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6" autoFilterDateGrouping="1"/>
  </bookViews>
  <sheets>
    <sheet name="README" sheetId="1" state="visible" r:id="rId1"/>
    <sheet name="Parameters" sheetId="2" state="visible" r:id="rId2"/>
    <sheet name="Upgrades" sheetId="3" state="visible" r:id="rId3"/>
    <sheet name="TimeBudget" sheetId="4" state="visible" r:id="rId4"/>
    <sheet name="UpgradeSim" sheetId="5" state="visible" r:id="rId5"/>
    <sheet name="Curves" sheetId="6" state="visible" r:id="rId6"/>
    <sheet name="UpgradeSimT2" sheetId="7" state="visible" r:id="rId7"/>
    <sheet name="CurvesT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%"/>
    <numFmt numFmtId="166" formatCode="0.000"/>
    <numFmt numFmtId="167" formatCode="0.000000"/>
  </numFmts>
  <fonts count="11">
    <font>
      <name val="Calibri"/>
      <family val="2"/>
      <color theme="1"/>
      <sz val="11"/>
      <scheme val="minor"/>
    </font>
    <font>
      <name val="Arial"/>
      <b val="1"/>
      <color rgb="00111827"/>
      <sz val="16"/>
    </font>
    <font>
      <name val="Arial"/>
      <i val="1"/>
      <color rgb="006B7280"/>
      <sz val="9"/>
    </font>
    <font>
      <name val="Arial"/>
      <b val="1"/>
      <color rgb="001F2937"/>
      <sz val="12"/>
    </font>
    <font>
      <name val="Arial"/>
      <color rgb="001F2937"/>
      <sz val="10"/>
    </font>
    <font>
      <name val="Arial"/>
      <b val="1"/>
      <color rgb="00374151"/>
      <sz val="11"/>
    </font>
    <font>
      <name val="Arial"/>
      <b val="1"/>
      <color rgb="001E40AF"/>
      <sz val="10"/>
    </font>
    <font>
      <name val="Arial"/>
      <b val="1"/>
      <color rgb="00FFFFFF"/>
      <sz val="10"/>
    </font>
    <font>
      <name val="Arial"/>
      <color rgb="00047857"/>
      <sz val="10"/>
    </font>
    <font>
      <name val="Arial"/>
      <color rgb="00000000"/>
      <sz val="10"/>
    </font>
    <font>
      <name val="Arial"/>
      <i val="1"/>
      <color rgb="007C2D12"/>
      <sz val="9"/>
    </font>
  </fonts>
  <fills count="7">
    <fill>
      <patternFill/>
    </fill>
    <fill>
      <patternFill patternType="gray125"/>
    </fill>
    <fill>
      <patternFill patternType="solid">
        <fgColor rgb="00F3F4F6"/>
      </patternFill>
    </fill>
    <fill>
      <patternFill patternType="solid">
        <fgColor rgb="00FEF3C7"/>
      </patternFill>
    </fill>
    <fill>
      <patternFill patternType="solid">
        <fgColor rgb="001F2937"/>
      </patternFill>
    </fill>
    <fill>
      <patternFill patternType="solid">
        <fgColor rgb="00ECFDF5"/>
      </patternFill>
    </fill>
    <fill>
      <patternFill patternType="solid">
        <fgColor rgb="00E0E7FF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/>
      <right/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1" fontId="6" fillId="3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  <xf numFmtId="2" fontId="6" fillId="3" borderId="1" applyAlignment="1" pivotButton="0" quotePrefix="0" xfId="0">
      <alignment horizontal="right" vertical="center"/>
    </xf>
    <xf numFmtId="9" fontId="6" fillId="3" borderId="1" applyAlignment="1" pivotButton="0" quotePrefix="0" xfId="0">
      <alignment horizontal="right" vertical="center"/>
    </xf>
    <xf numFmtId="164" fontId="6" fillId="3" borderId="1" applyAlignment="1" pivotButton="0" quotePrefix="0" xfId="0">
      <alignment horizontal="right" vertical="center"/>
    </xf>
    <xf numFmtId="165" fontId="6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7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166" fontId="6" fillId="3" borderId="1" applyAlignment="1" pivotButton="0" quotePrefix="0" xfId="0">
      <alignment horizontal="right" vertical="center"/>
    </xf>
    <xf numFmtId="1" fontId="6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/>
    </xf>
    <xf numFmtId="164" fontId="9" fillId="0" borderId="1" applyAlignment="1" pivotButton="0" quotePrefix="0" xfId="0">
      <alignment horizontal="right" vertical="center"/>
    </xf>
    <xf numFmtId="9" fontId="9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1" fontId="9" fillId="0" borderId="1" applyAlignment="1" pivotButton="0" quotePrefix="0" xfId="0">
      <alignment horizontal="right" vertical="center"/>
    </xf>
    <xf numFmtId="2" fontId="9" fillId="0" borderId="1" applyAlignment="1" pivotButton="0" quotePrefix="0" xfId="0">
      <alignment horizontal="right" vertical="center"/>
    </xf>
    <xf numFmtId="166" fontId="9" fillId="5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right" vertical="center"/>
    </xf>
    <xf numFmtId="2" fontId="9" fillId="5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167" fontId="9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1" fontId="8" fillId="0" borderId="1" applyAlignment="1" pivotButton="0" quotePrefix="0" xfId="0">
      <alignment horizontal="right" vertical="center"/>
    </xf>
    <xf numFmtId="9" fontId="8" fillId="0" borderId="1" applyAlignment="1" pivotButton="0" quotePrefix="0" xfId="0">
      <alignment horizontal="right" vertical="center"/>
    </xf>
    <xf numFmtId="0" fontId="5" fillId="2" borderId="0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164" fontId="9" fillId="6" borderId="1" applyAlignment="1" pivotButton="0" quotePrefix="0" xfId="0">
      <alignment horizontal="right" vertical="center"/>
    </xf>
    <xf numFmtId="166" fontId="9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T1 Purchases per Minute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'Curves'!B4</f>
            </strRef>
          </tx>
          <spPr>
            <a:ln>
              <a:prstDash val="solid"/>
            </a:ln>
          </spPr>
          <cat>
            <numRef>
              <f>'Curves'!$A$5:$A$34</f>
            </numRef>
          </cat>
          <val>
            <numRef>
              <f>'Curves'!$B$5:$B$34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Minute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Purchases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T1 Click Share — actual vs target</a:t>
            </a:r>
          </a:p>
        </rich>
      </tx>
    </title>
    <plotArea>
      <lineChart>
        <grouping val="standard"/>
        <ser>
          <idx val="0"/>
          <order val="0"/>
          <tx>
            <strRef>
              <f>'Curves'!D4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'Curves'!$A$5:$A$34</f>
            </numRef>
          </cat>
          <val>
            <numRef>
              <f>'Curves'!$D$5:$D$34</f>
            </numRef>
          </val>
        </ser>
        <ser>
          <idx val="1"/>
          <order val="1"/>
          <tx>
            <strRef>
              <f>'Curves'!E4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'Curves'!$A$5:$A$34</f>
            </numRef>
          </cat>
          <val>
            <numRef>
              <f>'Curves'!$E$5:$E$34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Minute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Click share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T2 Purchases per Minute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'CurvesT2'!B4</f>
            </strRef>
          </tx>
          <spPr>
            <a:ln>
              <a:prstDash val="solid"/>
            </a:ln>
          </spPr>
          <cat>
            <numRef>
              <f>'CurvesT2'!$A$5:$A$44</f>
            </numRef>
          </cat>
          <val>
            <numRef>
              <f>'CurvesT2'!$B$5:$B$44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Minute (T2)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Purchases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T2 Income Split (active vs auto)</a:t>
            </a:r>
          </a:p>
        </rich>
      </tx>
    </title>
    <plotArea>
      <lineChart>
        <grouping val="standard"/>
        <ser>
          <idx val="0"/>
          <order val="0"/>
          <tx>
            <strRef>
              <f>'CurvesT2'!D4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'CurvesT2'!$A$5:$A$44</f>
            </numRef>
          </cat>
          <val>
            <numRef>
              <f>'CurvesT2'!$D$5:$D$44</f>
            </numRef>
          </val>
        </ser>
        <ser>
          <idx val="1"/>
          <order val="1"/>
          <tx>
            <strRef>
              <f>'CurvesT2'!E4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'CurvesT2'!$A$5:$A$44</f>
            </numRef>
          </cat>
          <val>
            <numRef>
              <f>'CurvesT2'!$E$5:$E$44</f>
            </numRef>
          </val>
        </ser>
        <ser>
          <idx val="2"/>
          <order val="2"/>
          <tx>
            <strRef>
              <f>'CurvesT2'!F4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'CurvesT2'!$A$5:$A$44</f>
            </numRef>
          </cat>
          <val>
            <numRef>
              <f>'CurvesT2'!$F$5:$F$44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Minute (T2)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Share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Claude</author>
  </authors>
  <commentList>
    <comment ref="C5" authorId="0" shapeId="0">
      <text>
        <t>Mass cost of the FIRST purchase. Subsequent purchases grow by Cost growth ^ level.</t>
      </text>
    </comment>
    <comment ref="D5" authorId="0" shapeId="0">
      <text>
        <t>Cost multiplier per level. 1.0 = flat (one-shots use this). 1.15+ = standard idle compounding.</t>
      </text>
    </comment>
    <comment ref="E5" authorId="0" shapeId="0">
      <text>
        <t>Cap on purchases. 1 = one-shot. 99 = effectively unlimited.</t>
      </text>
    </comment>
    <comment ref="F5" authorId="0" shapeId="0">
      <text>
        <t>Cohesion granted per purchase. Sums across all purchases — used to gate tier transitions.</t>
      </text>
    </comment>
    <comment ref="G5" authorId="0" shapeId="0">
      <text>
        <t>Base M/sec contribution when level ≥ 1, before any growth or multipliers.</t>
      </text>
    </comment>
    <comment ref="H5" authorId="0" shapeId="0">
      <text>
        <t>Additive M/sec per level. Pure linear growth lever.</t>
      </text>
    </comment>
    <comment ref="I5" authorId="0" shapeId="0">
      <text>
        <t>Self-multiplicative growth on THIS upgrade's M/sec only.</t>
      </text>
    </comment>
    <comment ref="J5" authorId="0" shapeId="0">
      <text>
        <t>Base M/click contribution when level ≥ 1.</t>
      </text>
    </comment>
    <comment ref="K5" authorId="0" shapeId="0">
      <text>
        <t>Additive M/click per level.</t>
      </text>
    </comment>
    <comment ref="L5" authorId="0" shapeId="0">
      <text>
        <t>Self-multiplicative growth on THIS upgrade's M/click only.</t>
      </text>
    </comment>
    <comment ref="M5" authorId="0" shapeId="0">
      <text>
        <t>Base AC/sec contribution when level ≥ 1.</t>
      </text>
    </comment>
    <comment ref="N5" authorId="0" shapeId="0">
      <text>
        <t>Additive autoclicks per second per level.</t>
      </text>
    </comment>
    <comment ref="O5" authorId="0" shapeId="0">
      <text>
        <t>Self-multiplicative growth on THIS upgrade's AC/sec.</t>
      </text>
    </comment>
    <comment ref="P5" authorId="0" shapeId="0">
      <text>
        <t>Per-level multiplier on ALL passive sources across all upgrades.</t>
      </text>
    </comment>
    <comment ref="Q5" authorId="0" shapeId="0">
      <text>
        <t>Per-level multiplier on ALL click value sources.</t>
      </text>
    </comment>
    <comment ref="R5" authorId="0" shapeId="0">
      <text>
        <t>Per-level multiplier on ALL autoclicker rates.</t>
      </text>
    </comment>
    <comment ref="S5" authorId="0" shapeId="0">
      <text>
        <t>1 = missable (max &lt; 99 AND cohesion = 0). Sim under 'completion path' won't transition until these are owned.</t>
      </text>
    </comment>
    <comment ref="T5" authorId="0" shapeId="0">
      <text>
        <t>Name of another upgrade whose self-contribution is multiplied by this upgrade. Empty = no synergy.</t>
      </text>
    </comment>
    <comment ref="U5" authorId="0" shapeId="0">
      <text>
        <t>Multiplier applied to the targeted upgrade. Raised to this upgrade's level (compounds with multiple levels of provider).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C4" authorId="0" shapeId="0">
      <text>
        <t>Real-time minutes target for this tier.</t>
      </text>
    </comment>
    <comment ref="D4" authorId="0" shapeId="0">
      <text>
        <t>Cumulative minutes through end of this tier.</t>
      </text>
    </comment>
    <comment ref="E4" authorId="0" shapeId="0">
      <text>
        <t>Diagnostic target — what fraction of income should come from active clicking.</t>
      </text>
    </comment>
    <comment ref="F4" authorId="0" shapeId="0">
      <text>
        <t>Cohesion needed to transition OUT of this tier.</t>
      </text>
    </comment>
  </commentList>
</comments>
</file>

<file path=xl/comments/comment3.xml><?xml version="1.0" encoding="utf-8"?>
<comments xmlns="http://schemas.openxmlformats.org/spreadsheetml/2006/main">
  <authors>
    <author>Claude</author>
  </authors>
  <commentList>
    <comment ref="A4" authorId="0" shapeId="0">
      <text>
        <t>Sim tick number. Each tick = 10 game seconds.</t>
      </text>
    </comment>
    <comment ref="B4" authorId="0" shapeId="0">
      <text>
        <t>Minutes elapsed from game start.</t>
      </text>
    </comment>
    <comment ref="C4" authorId="0" shapeId="0">
      <text>
        <t>Mass at start of tick.</t>
      </text>
    </comment>
    <comment ref="D4" authorId="0" shapeId="0">
      <text>
        <t>Cohesion at start of tick.</t>
      </text>
    </comment>
    <comment ref="E4" authorId="0" shapeId="0">
      <text>
        <t>Solar Wind levels.</t>
      </text>
    </comment>
    <comment ref="F4" authorId="0" shapeId="0">
      <text>
        <t>Asteroid Belt levels.</t>
      </text>
    </comment>
    <comment ref="G4" authorId="0" shapeId="0">
      <text>
        <t>Stellar Coupling levels.</t>
      </text>
    </comment>
    <comment ref="H4" authorId="0" shapeId="0">
      <text>
        <t>Magnetosphere levels (max 3).</t>
      </text>
    </comment>
    <comment ref="I4" authorId="0" shapeId="0">
      <text>
        <t>Orbital Resonance owned.</t>
      </text>
    </comment>
    <comment ref="J4" authorId="0" shapeId="0">
      <text>
        <t>Heliopause owned.</t>
      </text>
    </comment>
    <comment ref="K4" authorId="0" shapeId="0">
      <text>
        <t>First Photons owned.</t>
      </text>
    </comment>
    <comment ref="L4" authorId="0" shapeId="0">
      <text>
        <t>Transitioned to Tier 2.</t>
      </text>
    </comment>
    <comment ref="M4" authorId="0" shapeId="0">
      <text>
        <t>Mass per Click.</t>
      </text>
    </comment>
    <comment ref="N4" authorId="0" shapeId="0">
      <text>
        <t>Mass per Second (passive).</t>
      </text>
    </comment>
    <comment ref="O4" authorId="0" shapeId="0">
      <text>
        <t>Autoclicks per Second. Always 0 in T1.</t>
      </text>
    </comment>
    <comment ref="P4" authorId="0" shapeId="0">
      <text>
        <t>Active click income this tick (10s).</t>
      </text>
    </comment>
    <comment ref="Q4" authorId="0" shapeId="0">
      <text>
        <t>Autoclicker income this tick.</t>
      </text>
    </comment>
    <comment ref="R4" authorId="0" shapeId="0">
      <text>
        <t>Passive income this tick.</t>
      </text>
    </comment>
    <comment ref="Y4" authorId="0" shapeId="0">
      <text>
        <t>Implied mass-per-second rate at end of tick.</t>
      </text>
    </comment>
    <comment ref="AA4" authorId="0" shapeId="0">
      <text>
        <t>Solar Wind's contribution to total income, in Mass/min. Already includes any global multipliers.</t>
      </text>
    </comment>
    <comment ref="AB4" authorId="0" shapeId="0">
      <text>
        <t>Asteroid Belt's contribution in Mass/min. Already includes any global multipliers.</t>
      </text>
    </comment>
    <comment ref="AC4" authorId="0" shapeId="0">
      <text>
        <t>Stellar Coupling's contribution to active click income, in Mass/min.</t>
      </text>
    </comment>
    <comment ref="AD4" authorId="0" shapeId="0">
      <text>
        <t>Magnetosphere's contribution to passive income, in Mass/min. Already includes any global multipliers.</t>
      </text>
    </comment>
    <comment ref="AE4" authorId="0" shapeId="0">
      <text>
        <t>First Photons' direct M/min contribution (its base 0.5 M/sec). Its click multiplier effect is rolled into SC's column AND the Base column.</t>
      </text>
    </comment>
    <comment ref="AF4" authorId="0" shapeId="0">
      <text>
        <t>Income from the implicit base click value (1.0 mass/click), with all global multipliers applied. Includes both active clicks and autoclickers (autoclickers are 0 in T1). Adding all upgrade columns plus this Base column equals total income.</t>
      </text>
    </comment>
  </commentList>
</comments>
</file>

<file path=xl/comments/comment4.xml><?xml version="1.0" encoding="utf-8"?>
<comments xmlns="http://schemas.openxmlformats.org/spreadsheetml/2006/main">
  <authors>
    <author>Claude</author>
  </authors>
  <commentList>
    <comment ref="A10" authorId="0" shapeId="0">
      <text>
        <t>Sim tick number. Each tick = 10 game seconds.</t>
      </text>
    </comment>
    <comment ref="B10" authorId="0" shapeId="0">
      <text>
        <t>Minutes elapsed in T2 (does NOT include T1 time).</t>
      </text>
    </comment>
    <comment ref="C10" authorId="0" shapeId="0">
      <text>
        <t>Mass at start of tick.</t>
      </text>
    </comment>
    <comment ref="D10" authorId="0" shapeId="0">
      <text>
        <t>Cohesion accumulated within T2 (towards 2.5 for T3 transition).</t>
      </text>
    </comment>
    <comment ref="E10" authorId="0" shapeId="0">
      <text>
        <t>Stellar Kinematics levels.</t>
      </text>
    </comment>
    <comment ref="F10" authorId="0" shapeId="0">
      <text>
        <t>Local Bubble levels.</t>
      </text>
    </comment>
    <comment ref="G10" authorId="0" shapeId="0">
      <text>
        <t>Microlensing levels.</t>
      </text>
    </comment>
    <comment ref="H10" authorId="0" shapeId="0">
      <text>
        <t>Roche Lobe Overflow levels (first APS source).</t>
      </text>
    </comment>
    <comment ref="I10" authorId="0" shapeId="0">
      <text>
        <t>Brown Dwarf levels (max 5).</t>
      </text>
    </comment>
    <comment ref="J10" authorId="0" shapeId="0">
      <text>
        <t>Binary Partner owned.</t>
      </text>
    </comment>
    <comment ref="K10" authorId="0" shapeId="0">
      <text>
        <t>Peculiar Velocity owned.</t>
      </text>
    </comment>
    <comment ref="L10" authorId="0" shapeId="0">
      <text>
        <t>Open Cluster owned.</t>
      </text>
    </comment>
    <comment ref="M10" authorId="0" shapeId="0">
      <text>
        <t>Moving Group owned.</t>
      </text>
    </comment>
    <comment ref="N10" authorId="0" shapeId="0">
      <text>
        <t>Transitioned to Tier 3.</t>
      </text>
    </comment>
    <comment ref="O10" authorId="0" shapeId="0">
      <text>
        <t>Mass per Click (T2 + carry).</t>
      </text>
    </comment>
    <comment ref="P10" authorId="0" shapeId="0">
      <text>
        <t>Mass per Second passive (T2 + carry).</t>
      </text>
    </comment>
    <comment ref="Q10" authorId="0" shapeId="0">
      <text>
        <t>Autoclicks per Second (T2 + carry).</t>
      </text>
    </comment>
    <comment ref="R10" authorId="0" shapeId="0">
      <text>
        <t>Active click income this tick (10s).</t>
      </text>
    </comment>
    <comment ref="S10" authorId="0" shapeId="0">
      <text>
        <t>Autoclicker income this tick (APS × MPC × 10).</t>
      </text>
    </comment>
    <comment ref="T10" authorId="0" shapeId="0">
      <text>
        <t>Click + auto + passive income this tick.</t>
      </text>
    </comment>
    <comment ref="U10" authorId="0" shapeId="0">
      <text>
        <t>Action chosen this tick.</t>
      </text>
    </comment>
    <comment ref="V10" authorId="0" shapeId="0">
      <text>
        <t>Mass spent this tick.</t>
      </text>
    </comment>
    <comment ref="W10" authorId="0" shapeId="0">
      <text>
        <t>Cohesion gained this tick.</t>
      </text>
    </comment>
    <comment ref="X10" authorId="0" shapeId="0">
      <text>
        <t>Mass at end of tick.</t>
      </text>
    </comment>
    <comment ref="Y10" authorId="0" shapeId="0">
      <text>
        <t>Implied mass-per-second rate at end of tick.</t>
      </text>
    </comment>
    <comment ref="Z10" authorId="0" shapeId="0">
      <text>
        <t>Annotations for milestone events.</t>
      </text>
    </comment>
    <comment ref="AA10" authorId="0" shapeId="0">
      <text>
        <t>Stellar Kinematics' M/min (passive).</t>
      </text>
    </comment>
    <comment ref="AB10" authorId="0" shapeId="0">
      <text>
        <t>Local Bubble's M/min (passive). Includes synergy from RLO.</t>
      </text>
    </comment>
    <comment ref="AC10" authorId="0" shapeId="0">
      <text>
        <t>Microlensing's M/min (active click contribution). Includes synergy from BiP.</t>
      </text>
    </comment>
    <comment ref="AD10" authorId="0" shapeId="0">
      <text>
        <t>Roche Lobe Overflow's M/min from autoclicks (APS × MPC). Includes synergy from BD.</t>
      </text>
    </comment>
    <comment ref="AE10" authorId="0" shapeId="0">
      <text>
        <t>Brown Dwarf's M/min (passive).</t>
      </text>
    </comment>
    <comment ref="AF10" authorId="0" shapeId="0">
      <text>
        <t>Binary Partner's direct contribution (zero — its only effect is the synergy on ML).</t>
      </text>
    </comment>
    <comment ref="AG10" authorId="0" shapeId="0">
      <text>
        <t>Peculiar Velocity's direct contribution (zero — it's a global multiplier on all MPS).</t>
      </text>
    </comment>
    <comment ref="AH10" authorId="0" shapeId="0">
      <text>
        <t>Open Cluster's direct contribution (zero — its purpose is cohesion gating for T3).</t>
      </text>
    </comment>
    <comment ref="AI10" authorId="0" shapeId="0">
      <text>
        <t>Moving Group's direct M/min (its base 6.0 M/sec).</t>
      </text>
    </comment>
    <comment ref="AJ10" authorId="0" shapeId="0">
      <text>
        <t>Carryover income floor from T1 (passive only — does NOT include click contribution, which flows through MPC).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23</row>
      <rowOff>0</rowOff>
    </from>
    <ext cx="576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23</row>
      <rowOff>0</rowOff>
    </from>
    <ext cx="576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Dark Filaments — Simulator v1.3</t>
        </is>
      </c>
    </row>
    <row r="2">
      <c r="A2" s="2" t="inlineStr">
        <is>
          <t>Adds Tier 2 in a separate sheet (UpgradeSimT2) that consumes T1's exit state as carryover. T1 sheet is unchanged from v1.2.1. Greedy VPC + save threshold + post-cohesion focus strategy carries over.</t>
        </is>
      </c>
    </row>
    <row r="3">
      <c r="A3" t="inlineStr"/>
    </row>
    <row r="4" ht="22" customHeight="1">
      <c r="A4" s="3" t="inlineStr">
        <is>
          <t>The three core stats</t>
        </is>
      </c>
    </row>
    <row r="5" ht="18" customHeight="1">
      <c r="A5" s="4" t="inlineStr">
        <is>
          <t>• MPC — Mass per Click — affects active click income AND autoclicker output</t>
        </is>
      </c>
    </row>
    <row r="6" ht="18" customHeight="1">
      <c r="A6" s="4" t="inlineStr">
        <is>
          <t>• MPS — Mass per Second — passive income rate</t>
        </is>
      </c>
    </row>
    <row r="7" ht="18" customHeight="1">
      <c r="A7" s="4" t="inlineStr">
        <is>
          <t>• APS — Autoclicks per Second — fake clicks per second from autoclickers</t>
        </is>
      </c>
    </row>
    <row r="8" ht="18" customHeight="1">
      <c r="A8" s="4" t="inlineStr">
        <is>
          <t>Game tick = 1 second. Total income/sec = (cpm/60 × MPC × active) + (APS × MPC) + MPS.</t>
        </is>
      </c>
    </row>
    <row r="9" ht="18" customHeight="1">
      <c r="A9" s="4" t="inlineStr">
        <is>
          <t>Simulator measures in 10-second chunks (10 game ticks per sim row).</t>
        </is>
      </c>
    </row>
    <row r="10">
      <c r="A10" t="inlineStr"/>
    </row>
    <row r="11" ht="22" customHeight="1">
      <c r="A11" s="3" t="inlineStr">
        <is>
          <t>Unified upgrade schema</t>
        </is>
      </c>
    </row>
    <row r="12" ht="28" customHeight="1">
      <c r="A12" s="4" t="inlineStr">
        <is>
          <t>Every upgrade has the same fields. Most fields will be 0 (additive) or 1.0 (multiplicative) for any given upgrade — only the ones that actually do something get filled in.</t>
        </is>
      </c>
    </row>
    <row r="13">
      <c r="A13" t="inlineStr"/>
    </row>
    <row r="14" ht="18" customHeight="1">
      <c r="A14" s="5" t="inlineStr">
        <is>
          <t>Per-stat fields (one set each for M/sec, M/click, AC/sec):</t>
        </is>
      </c>
    </row>
    <row r="15" ht="18" customHeight="1">
      <c r="A15" s="4" t="inlineStr">
        <is>
          <t>• Base — constant value when level ≥ 1, before any multipliers</t>
        </is>
      </c>
    </row>
    <row r="16" ht="18" customHeight="1">
      <c r="A16" s="4" t="inlineStr">
        <is>
          <t>• + per lvl — linear growth: each level adds this amount</t>
        </is>
      </c>
    </row>
    <row r="17" ht="18" customHeight="1">
      <c r="A17" s="4" t="inlineStr">
        <is>
          <t>• × self per lvl — exponential growth: each level multiplies THIS upgrade by this factor</t>
        </is>
      </c>
    </row>
    <row r="18">
      <c r="A18" t="inlineStr"/>
    </row>
    <row r="19" ht="18" customHeight="1">
      <c r="A19" s="5" t="inlineStr">
        <is>
          <t>Global multiplier fields (apply to ALL upgrades' contributions of that type):</t>
        </is>
      </c>
    </row>
    <row r="20" ht="18" customHeight="1">
      <c r="A20" s="4" t="inlineStr">
        <is>
          <t>• × all M/sec per lvl — buffs all passive sources</t>
        </is>
      </c>
    </row>
    <row r="21" ht="18" customHeight="1">
      <c r="A21" s="4" t="inlineStr">
        <is>
          <t>• × all M/click per lvl — buffs all click value sources</t>
        </is>
      </c>
    </row>
    <row r="22" ht="18" customHeight="1">
      <c r="A22" s="4" t="inlineStr">
        <is>
          <t>• × all AC speed per lvl — buffs all autoclicker rates</t>
        </is>
      </c>
    </row>
    <row r="23">
      <c r="A23" t="inlineStr"/>
    </row>
    <row r="24" ht="18" customHeight="1">
      <c r="A24" s="5" t="inlineStr">
        <is>
          <t>Contribution formula:</t>
        </is>
      </c>
    </row>
    <row r="25" ht="18" customHeight="1">
      <c r="A25" s="4" t="inlineStr">
        <is>
          <t>contribution(level N, upgrade U) = IF(N = 0, 0, (U.base + N × U.additive) × U.self_mult^N)</t>
        </is>
      </c>
    </row>
    <row r="26" ht="18" customHeight="1">
      <c r="A26" s="4" t="inlineStr">
        <is>
          <t>Total stat = SUM(self contributions) × PRODUCT(global multipliers ^ levels)</t>
        </is>
      </c>
    </row>
    <row r="27">
      <c r="A27" t="inlineStr"/>
    </row>
    <row r="28" ht="22" customHeight="1">
      <c r="A28" s="3" t="inlineStr">
        <is>
          <t>How current T1 maps to the schema</t>
        </is>
      </c>
    </row>
    <row r="29" ht="18" customHeight="1">
      <c r="A29" s="4" t="inlineStr">
        <is>
          <t>• Solar Wind — additive M/sec only: + per lvl = 0.02. Pure linear passive.</t>
        </is>
      </c>
    </row>
    <row r="30" ht="18" customHeight="1">
      <c r="A30" s="4" t="inlineStr">
        <is>
          <t>• Asteroid Belt — additive M/sec only: + per lvl = 0.07. Pure linear passive.</t>
        </is>
      </c>
    </row>
    <row r="31" ht="18" customHeight="1">
      <c r="A31" s="4" t="inlineStr">
        <is>
          <t>• Stellar Coupling — additive M/click only: + per lvl = 0.32. Pure linear click.</t>
        </is>
      </c>
    </row>
    <row r="32" ht="28" customHeight="1">
      <c r="A32" s="4" t="inlineStr">
        <is>
          <t>• Orbital Resonance — × all M/sec per lvl = 1.25, max levels = 1. One-shot global passive multiplier.</t>
        </is>
      </c>
    </row>
    <row r="33" ht="18" customHeight="1">
      <c r="A33" s="4" t="inlineStr">
        <is>
          <t>• Heliopause — all effects 0/1.0, max levels = 1, cohesion 0.6. Pure cohesion contribution.</t>
        </is>
      </c>
    </row>
    <row r="34">
      <c r="A34" t="inlineStr"/>
    </row>
    <row r="35" ht="22" customHeight="1">
      <c r="A35" s="3" t="inlineStr">
        <is>
          <t>Try a non-linear variant</t>
        </is>
      </c>
    </row>
    <row r="36" ht="18" customHeight="1">
      <c r="A36" s="4" t="inlineStr">
        <is>
          <t>Want to test 'each Solar Wind level grows itself by 5%'? Set:</t>
        </is>
      </c>
    </row>
    <row r="37" ht="18" customHeight="1">
      <c r="A37" s="4" t="inlineStr">
        <is>
          <t xml:space="preserve">  Solar Wind: base = 0.02, + per lvl = 0, × self M/sec per lvl = 1.05</t>
        </is>
      </c>
    </row>
    <row r="38" ht="28" customHeight="1">
      <c r="A38" s="4" t="inlineStr">
        <is>
          <t>That makes level 5 produce (0.02 + 0) × 1.05^5 = 0.0255 M/sec — 27% more than linear at the same level.</t>
        </is>
      </c>
    </row>
    <row r="39" ht="28" customHeight="1">
      <c r="A39" s="4" t="inlineStr">
        <is>
          <t>Or for a pure black-hole-style upgrade: base = 1.0, + per lvl = 0, × self per lvl = 1.10. Level 10 = 1.0 × 1.10^10 = 2.59 — slow start, runaway end.</t>
        </is>
      </c>
    </row>
    <row r="40">
      <c r="A40" t="inlineStr"/>
    </row>
    <row r="41" ht="22" customHeight="1">
      <c r="A41" s="3" t="inlineStr">
        <is>
          <t>Tier transitions</t>
        </is>
      </c>
    </row>
    <row r="42" ht="42" customHeight="1">
      <c r="A42" s="4" t="inlineStr">
        <is>
          <t>Cohesion-gated only. Available when cohesion ≥ tier_transition_cost. Player buys cohesion-rewarding one-shots in cheapest-first order until they have enough. No 'gates' field needed — the cohesion math takes care of ordering.</t>
        </is>
      </c>
    </row>
    <row r="43">
      <c r="A43" t="inlineStr"/>
    </row>
    <row r="44" ht="22" customHeight="1">
      <c r="A44" s="3" t="inlineStr">
        <is>
          <t>Carryover model (locked, unchanged from v0.7+)</t>
        </is>
      </c>
    </row>
    <row r="45" ht="28" customHeight="1">
      <c r="A45" s="4" t="inlineStr">
        <is>
          <t>Effects from earlier tiers persist forever. You cannot buy MORE of a previous tier's upgrades after transitioning. Each tier's purchase loop is self-contained.</t>
        </is>
      </c>
    </row>
    <row r="46">
      <c r="A46" t="inlineStr"/>
    </row>
    <row r="47" ht="22" customHeight="1">
      <c r="A47" s="3" t="inlineStr">
        <is>
          <t>Tab guide</t>
        </is>
      </c>
    </row>
    <row r="48" ht="28" customHeight="1">
      <c r="A48" s="4" t="inlineStr">
        <is>
          <t>Parameters    — Master knobs. Includes T2 carryover block (mode toggle + per-mode carry values).</t>
        </is>
      </c>
    </row>
    <row r="49" ht="18" customHeight="1">
      <c r="A49" s="4" t="inlineStr">
        <is>
          <t>Upgrades      — Per-upgrade definitions in the unified schema. T1 rows 6-12, T2 rows 13-21.</t>
        </is>
      </c>
    </row>
    <row r="50" ht="18" customHeight="1">
      <c r="A50" s="4" t="inlineStr">
        <is>
          <t>TimeBudget    — Per-tier minute targets and click share targets.</t>
        </is>
      </c>
    </row>
    <row r="51" ht="18" customHeight="1">
      <c r="A51" s="4" t="inlineStr">
        <is>
          <t>UpgradeSim    — Tier 1 micro simulation (unchanged from v1.2.1).</t>
        </is>
      </c>
    </row>
    <row r="52" ht="18" customHeight="1">
      <c r="A52" s="4" t="inlineStr">
        <is>
          <t>Curves        — T1 purchase cadence and click share diagnostics.</t>
        </is>
      </c>
    </row>
    <row r="53" ht="18" customHeight="1">
      <c r="A53" s="4" t="inlineStr">
        <is>
          <t>UpgradeSimT2  — Tier 2 micro simulation. Carryover block at top reflects T1 exit state.</t>
        </is>
      </c>
    </row>
    <row r="54" ht="18" customHeight="1">
      <c r="A54" s="4" t="inlineStr">
        <is>
          <t>CurvesT2      — T2 purchase cadence and active/auto/passive income split.</t>
        </is>
      </c>
    </row>
    <row r="55">
      <c r="A55" t="inlineStr"/>
    </row>
    <row r="56" ht="22" customHeight="1">
      <c r="A56" s="3" t="inlineStr">
        <is>
          <t>What got dropped from earlier versions</t>
        </is>
      </c>
    </row>
    <row r="57" ht="18" customHeight="1">
      <c r="A57" s="4" t="inlineStr">
        <is>
          <t>• income_ratio_total parameter (we never landed on a value that meant anything)</t>
        </is>
      </c>
    </row>
    <row r="58" ht="18" customHeight="1">
      <c r="A58" s="4" t="inlineStr">
        <is>
          <t>• Macro income target curves on TierPlan (replaced by simpler TimeBudget)</t>
        </is>
      </c>
    </row>
    <row r="59" ht="18" customHeight="1">
      <c r="A59" s="4" t="inlineStr">
        <is>
          <t>• Macro 1-min Simulation tab (was diagnostic for value targets we no longer track)</t>
        </is>
      </c>
    </row>
    <row r="60" ht="18" customHeight="1">
      <c r="A60" s="4" t="inlineStr">
        <is>
          <t>• Events/min density parameters (was never properly defined as a metric)</t>
        </is>
      </c>
    </row>
    <row r="61" ht="18" customHeight="1">
      <c r="A61" s="4" t="inlineStr">
        <is>
          <t>• Rigid upgrade type system (replaced by unified schema)</t>
        </is>
      </c>
    </row>
    <row r="62" ht="18" customHeight="1">
      <c r="A62" s="4" t="inlineStr">
        <is>
          <t>• 'Gates' field on upgrades (cohesion-gating handles transitions instead)</t>
        </is>
      </c>
    </row>
    <row r="63">
      <c r="A63" t="inlineStr"/>
    </row>
    <row r="64" ht="22" customHeight="1">
      <c r="A64" s="3" t="inlineStr">
        <is>
          <t>Color conventions</t>
        </is>
      </c>
    </row>
    <row r="65" ht="28" customHeight="1">
      <c r="A65" s="4" t="inlineStr">
        <is>
          <t>Yellow = editable input. Light green = derived live calculation. Black text = formula. Green text = cross-tab reference.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60" customWidth="1" min="3" max="3"/>
  </cols>
  <sheetData>
    <row r="1">
      <c r="A1" s="1" t="inlineStr">
        <is>
          <t>Parameters</t>
        </is>
      </c>
    </row>
    <row r="2">
      <c r="A2" s="2" t="inlineStr">
        <is>
          <t>Edit yellow cells. Everything else updates automatically.</t>
        </is>
      </c>
    </row>
    <row r="4">
      <c r="A4" s="3" t="inlineStr">
        <is>
          <t>Time budget</t>
        </is>
      </c>
    </row>
    <row r="5">
      <c r="A5" s="6" t="inlineStr">
        <is>
          <t>Total target playtime (minutes)</t>
        </is>
      </c>
      <c r="B5" s="7" t="n">
        <v>595</v>
      </c>
      <c r="C5" s="8" t="inlineStr">
        <is>
          <t>Casual pace at 45 cpm. 60 cpm players will finish closer to ~480 min.</t>
        </is>
      </c>
    </row>
    <row r="6">
      <c r="A6" s="6" t="inlineStr">
        <is>
          <t>Number of tiers</t>
        </is>
      </c>
      <c r="B6" s="7" t="n">
        <v>10</v>
      </c>
      <c r="C6" s="8" t="inlineStr">
        <is>
          <t>Solar System through Causal Horizon.</t>
        </is>
      </c>
    </row>
    <row r="7">
      <c r="A7" s="6" t="inlineStr">
        <is>
          <t>Tier real-time growth rate</t>
        </is>
      </c>
      <c r="B7" s="9" t="n">
        <v>1.3</v>
      </c>
      <c r="C7" s="8" t="inlineStr">
        <is>
          <t>Each tier takes this many times as long as the previous one.</t>
        </is>
      </c>
    </row>
    <row r="8">
      <c r="A8" s="3" t="inlineStr">
        <is>
          <t>Click &amp; income</t>
        </is>
      </c>
    </row>
    <row r="9">
      <c r="A9" s="6" t="inlineStr">
        <is>
          <t>Base click value (Mass per click, no upgrades)</t>
        </is>
      </c>
      <c r="B9" s="9" t="n">
        <v>1</v>
      </c>
      <c r="C9" s="8" t="inlineStr">
        <is>
          <t>The unit of the economy. Each click yields this much Mass with zero upgrades.</t>
        </is>
      </c>
    </row>
    <row r="10">
      <c r="A10" s="6" t="inlineStr">
        <is>
          <t>Average clicks per minute when active</t>
        </is>
      </c>
      <c r="B10" s="7" t="n">
        <v>100</v>
      </c>
      <c r="C10" s="8" t="inlineStr">
        <is>
          <t>Reflects autoclicker / engaged play. Prototype dynamically reports actual cpm.</t>
        </is>
      </c>
    </row>
    <row r="11">
      <c r="A11" s="6" t="inlineStr">
        <is>
          <t>Active play fraction (0–1)</t>
        </is>
      </c>
      <c r="B11" s="9" t="n">
        <v>1</v>
      </c>
      <c r="C11" s="8" t="inlineStr">
        <is>
          <t>Prototype reports cpm in real time, so this stays at 1.0; AFK time is captured by cpm dropping.</t>
        </is>
      </c>
    </row>
    <row r="12">
      <c r="A12" s="3" t="inlineStr">
        <is>
          <t>Click importance curve (U-shape, diagnostic only)</t>
        </is>
      </c>
    </row>
    <row r="13">
      <c r="A13" s="6" t="inlineStr">
        <is>
          <t>Click share at Tier 1</t>
        </is>
      </c>
      <c r="B13" s="10" t="n">
        <v>0.6</v>
      </c>
      <c r="C13" s="8" t="inlineStr">
        <is>
          <t>Clicks dominate at start.</t>
        </is>
      </c>
    </row>
    <row r="14">
      <c r="A14" s="6" t="inlineStr">
        <is>
          <t>Click share minimum (Tier 5 dip)</t>
        </is>
      </c>
      <c r="B14" s="10" t="n">
        <v>0.05</v>
      </c>
      <c r="C14" s="8" t="inlineStr">
        <is>
          <t>Crescendo — chain reactions handle nearly everything.</t>
        </is>
      </c>
    </row>
    <row r="15">
      <c r="A15" s="6" t="inlineStr">
        <is>
          <t>Click share late game (Tier 9)</t>
        </is>
      </c>
      <c r="B15" s="10" t="n">
        <v>0.65</v>
      </c>
      <c r="C15" s="8" t="inlineStr">
        <is>
          <t>'Hanging on.'</t>
        </is>
      </c>
    </row>
    <row r="16">
      <c r="A16" s="6" t="inlineStr">
        <is>
          <t>Click share endgame (Tier 10)</t>
        </is>
      </c>
      <c r="B16" s="10" t="n">
        <v>0.7</v>
      </c>
      <c r="C16" s="8" t="inlineStr">
        <is>
          <t>Click becomes ritual.</t>
        </is>
      </c>
    </row>
    <row r="17">
      <c r="A17" s="3" t="inlineStr">
        <is>
          <t>Cohesion (gates tier transitions)</t>
        </is>
      </c>
    </row>
    <row r="18">
      <c r="A18" s="6" t="inlineStr">
        <is>
          <t>Cohesion cost: T1 → T2 transition</t>
        </is>
      </c>
      <c r="B18" s="11" t="n">
        <v>1</v>
      </c>
      <c r="C18" s="8" t="inlineStr">
        <is>
          <t>Tutorial-friendly.</t>
        </is>
      </c>
    </row>
    <row r="19">
      <c r="A19" s="6" t="inlineStr">
        <is>
          <t>Cohesion cost growth per tier</t>
        </is>
      </c>
      <c r="B19" s="9" t="n">
        <v>2.5</v>
      </c>
      <c r="C19" s="8" t="inlineStr">
        <is>
          <t>Geometric growth.</t>
        </is>
      </c>
    </row>
    <row r="20">
      <c r="A20" s="3" t="inlineStr">
        <is>
          <t>Simulator strategy</t>
        </is>
      </c>
    </row>
    <row r="21">
      <c r="A21" s="6" t="inlineStr">
        <is>
          <t>VPC save threshold</t>
        </is>
      </c>
      <c r="B21" s="11" t="n">
        <v>1.5</v>
      </c>
      <c r="C21" s="8" t="inlineStr">
        <is>
          <t>Save mode triggers when next-target VPC &gt; (best-affordable VPC × this). Lower = saves harder.</t>
        </is>
      </c>
    </row>
    <row r="22">
      <c r="A22" s="3" t="inlineStr">
        <is>
          <t>Tier 2 carryover (from T1 exit state)</t>
        </is>
      </c>
    </row>
    <row r="23">
      <c r="A23" s="6" t="inlineStr">
        <is>
          <t>T2 carryover mode (1=Completion, 0=Threshold)</t>
        </is>
      </c>
      <c r="B23" s="7" t="n">
        <v>1</v>
      </c>
      <c r="C23" s="8" t="inlineStr">
        <is>
          <t>1: T1 fully completed (Mag=5, FP=1). 0: T1 cohesion met but completionists not maxed.</t>
        </is>
      </c>
    </row>
    <row r="24">
      <c r="A24" s="6" t="inlineStr">
        <is>
          <t>Carry mass at T1 Completion-exit</t>
        </is>
      </c>
      <c r="B24" s="7" t="n">
        <v>315</v>
      </c>
      <c r="C24" s="8" t="inlineStr">
        <is>
          <t>Mass surplus when T1 finishes the completion path at 100 cpm.</t>
        </is>
      </c>
    </row>
    <row r="25">
      <c r="A25" s="6" t="inlineStr">
        <is>
          <t>Carry mass at T1 Threshold-exit</t>
        </is>
      </c>
      <c r="B25" s="7" t="n">
        <v>80</v>
      </c>
      <c r="C25" s="8" t="inlineStr">
        <is>
          <t>Mass surplus when T1 just barely meets cohesion (Mag~2, FP=0).</t>
        </is>
      </c>
    </row>
    <row r="26">
      <c r="A26" s="6" t="inlineStr">
        <is>
          <t>Carry MPS floor at Completion-exit</t>
        </is>
      </c>
      <c r="B26" s="9" t="n">
        <v>10.75</v>
      </c>
      <c r="C26" s="8" t="inlineStr">
        <is>
          <t>T1 final MPS contribution. Persists into T2 as a floor.</t>
        </is>
      </c>
    </row>
    <row r="27">
      <c r="A27" s="6" t="inlineStr">
        <is>
          <t>Carry MPS floor at Threshold-exit</t>
        </is>
      </c>
      <c r="B27" s="9" t="n">
        <v>5.75</v>
      </c>
      <c r="C27" s="8" t="inlineStr">
        <is>
          <t>T1 partial MPS at threshold. Persists into T2 as a floor.</t>
        </is>
      </c>
    </row>
    <row r="28">
      <c r="A28" s="6" t="inlineStr">
        <is>
          <t>Carry MPC floor at Completion-exit</t>
        </is>
      </c>
      <c r="B28" s="9" t="n">
        <v>4.98</v>
      </c>
      <c r="C28" s="8" t="inlineStr">
        <is>
          <t>T1 final MPC contribution including base click value × all multipliers.</t>
        </is>
      </c>
    </row>
    <row r="29">
      <c r="A29" s="6" t="inlineStr">
        <is>
          <t>Carry MPC floor at Threshold-exit</t>
        </is>
      </c>
      <c r="B29" s="9" t="n">
        <v>4.15</v>
      </c>
      <c r="C29" s="8" t="inlineStr">
        <is>
          <t>T1 partial MPC including base click and active multipliers (no FP).</t>
        </is>
      </c>
    </row>
    <row r="30">
      <c r="A30" s="6" t="inlineStr">
        <is>
          <t>Carry APS floor</t>
        </is>
      </c>
      <c r="B30" s="9" t="n">
        <v>0</v>
      </c>
      <c r="C30" s="8" t="inlineStr">
        <is>
          <t>T1 has no APS sources. Stays 0 until that changes.</t>
        </is>
      </c>
    </row>
    <row r="31">
      <c r="A31" s="6" t="inlineStr">
        <is>
          <t>Carry × all M/sec at Completion-exit</t>
        </is>
      </c>
      <c r="B31" s="9" t="n">
        <v>1.25</v>
      </c>
      <c r="C31" s="8" t="inlineStr">
        <is>
          <t>OR active (×1.25). Continues to multiply T2 MPS contributions.</t>
        </is>
      </c>
    </row>
    <row r="32">
      <c r="A32" s="6" t="inlineStr">
        <is>
          <t>Carry × all M/sec at Threshold-exit</t>
        </is>
      </c>
      <c r="B32" s="9" t="n">
        <v>1.25</v>
      </c>
      <c r="C32" s="8" t="inlineStr">
        <is>
          <t>OR active at threshold-exit (it's bought to reach cohesion 1.0).</t>
        </is>
      </c>
    </row>
    <row r="33">
      <c r="A33" s="6" t="inlineStr">
        <is>
          <t>Carry × all M/click at Completion-exit</t>
        </is>
      </c>
      <c r="B33" s="9" t="n">
        <v>1.2</v>
      </c>
      <c r="C33" s="8" t="inlineStr">
        <is>
          <t>FP active (×1.20). Continues to multiply T2 MPC contributions.</t>
        </is>
      </c>
    </row>
    <row r="34">
      <c r="A34" s="6" t="inlineStr">
        <is>
          <t>Carry × all M/click at Threshold-exit</t>
        </is>
      </c>
      <c r="B34" s="9" t="n">
        <v>1</v>
      </c>
      <c r="C34" s="8" t="inlineStr">
        <is>
          <t>FP not yet owned at threshold-exit.</t>
        </is>
      </c>
    </row>
    <row r="35">
      <c r="A35" s="6" t="inlineStr">
        <is>
          <t>Carry × all AC speed</t>
        </is>
      </c>
      <c r="B35" s="9" t="n">
        <v>1</v>
      </c>
      <c r="C35" s="8" t="inlineStr">
        <is>
          <t>No T1 sources affect AC speed.</t>
        </is>
      </c>
    </row>
    <row r="36">
      <c r="A36" s="3" t="inlineStr">
        <is>
          <t>Offline progression</t>
        </is>
      </c>
    </row>
    <row r="37">
      <c r="A37" s="6" t="inlineStr">
        <is>
          <t>Offline progression rate (1.0 = full)</t>
        </is>
      </c>
      <c r="B37" s="12" t="n">
        <v>1</v>
      </c>
      <c r="C37" s="8" t="inlineStr">
        <is>
          <t>Full offline accumulation; queued events fire on return.</t>
        </is>
      </c>
    </row>
    <row r="38">
      <c r="A38" s="3" t="inlineStr">
        <is>
          <t>Tier names</t>
        </is>
      </c>
    </row>
    <row r="39">
      <c r="A39" s="6" t="inlineStr">
        <is>
          <t>Tier 1 name</t>
        </is>
      </c>
      <c r="B39" s="13" t="inlineStr">
        <is>
          <t>Solar System</t>
        </is>
      </c>
      <c r="C39" s="8" t="inlineStr">
        <is>
          <t>Tutorial.</t>
        </is>
      </c>
    </row>
    <row r="40">
      <c r="A40" s="6" t="inlineStr">
        <is>
          <t>Tier 2 name</t>
        </is>
      </c>
      <c r="B40" s="13" t="inlineStr">
        <is>
          <t>Stellar Neighborhood</t>
        </is>
      </c>
      <c r="C40" s="8" t="inlineStr">
        <is>
          <t>First sense of scale. Introduces autoclickers.</t>
        </is>
      </c>
    </row>
    <row r="41">
      <c r="A41" s="6" t="inlineStr">
        <is>
          <t>Tier 3 name</t>
        </is>
      </c>
      <c r="B41" s="13" t="inlineStr">
        <is>
          <t>Galactic Arm</t>
        </is>
      </c>
    </row>
    <row r="42">
      <c r="A42" s="6" t="inlineStr">
        <is>
          <t>Tier 4 name</t>
        </is>
      </c>
      <c r="B42" s="13" t="inlineStr">
        <is>
          <t>Galaxy</t>
        </is>
      </c>
    </row>
    <row r="43">
      <c r="A43" s="6" t="inlineStr">
        <is>
          <t>Tier 5 name</t>
        </is>
      </c>
      <c r="B43" s="13" t="inlineStr">
        <is>
          <t>Local Group</t>
        </is>
      </c>
      <c r="C43" s="8" t="inlineStr">
        <is>
          <t>PEAK. Crescendo.</t>
        </is>
      </c>
    </row>
    <row r="44">
      <c r="A44" s="6" t="inlineStr">
        <is>
          <t>Tier 6 name</t>
        </is>
      </c>
      <c r="B44" s="13" t="inlineStr">
        <is>
          <t>Galactic Cluster</t>
        </is>
      </c>
    </row>
    <row r="45">
      <c r="A45" s="6" t="inlineStr">
        <is>
          <t>Tier 7 name</t>
        </is>
      </c>
      <c r="B45" s="13" t="inlineStr">
        <is>
          <t>Supercluster</t>
        </is>
      </c>
    </row>
    <row r="46">
      <c r="A46" s="6" t="inlineStr">
        <is>
          <t>Tier 8 name</t>
        </is>
      </c>
      <c r="B46" s="13" t="inlineStr">
        <is>
          <t>Filament</t>
        </is>
      </c>
    </row>
    <row r="47">
      <c r="A47" s="6" t="inlineStr">
        <is>
          <t>Tier 9 name</t>
        </is>
      </c>
      <c r="B47" s="13" t="inlineStr">
        <is>
          <t>Cosmic Web</t>
        </is>
      </c>
    </row>
    <row r="48">
      <c r="A48" s="6" t="inlineStr">
        <is>
          <t>Tier 10 name</t>
        </is>
      </c>
      <c r="B48" s="13" t="inlineStr">
        <is>
          <t>Causal Horizon</t>
        </is>
      </c>
      <c r="C48" s="8" t="inlineStr">
        <is>
          <t>Endgame.</t>
        </is>
      </c>
    </row>
  </sheetData>
  <mergeCells count="8">
    <mergeCell ref="A36:C36"/>
    <mergeCell ref="A8:C8"/>
    <mergeCell ref="A22:C22"/>
    <mergeCell ref="A17:C17"/>
    <mergeCell ref="A12:C12"/>
    <mergeCell ref="A4:C4"/>
    <mergeCell ref="A20:C20"/>
    <mergeCell ref="A38:C3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11" customWidth="1" min="3" max="3"/>
    <col width="11" customWidth="1" min="4" max="4"/>
    <col width="11" customWidth="1" min="5" max="5"/>
    <col width="13" customWidth="1" min="6" max="6"/>
    <col width="11" customWidth="1" min="7" max="7"/>
    <col width="11" customWidth="1" min="8" max="8"/>
    <col width="13" customWidth="1" min="9" max="9"/>
    <col width="11" customWidth="1" min="10" max="10"/>
    <col width="11" customWidth="1" min="11" max="11"/>
    <col width="13" customWidth="1" min="12" max="12"/>
    <col width="11" customWidth="1" min="13" max="13"/>
    <col width="11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8" customWidth="1" min="20" max="20"/>
    <col width="13" customWidth="1" min="21" max="21"/>
    <col width="50" customWidth="1" min="22" max="22"/>
  </cols>
  <sheetData>
    <row r="1">
      <c r="A1" s="1" t="inlineStr">
        <is>
          <t>Upgrades — unified schema</t>
        </is>
      </c>
    </row>
    <row r="2" ht="18" customHeight="1">
      <c r="A2" s="2" t="inlineStr">
        <is>
          <t>Each row is one upgrade. Yellow cells editable. Most cells will be 0 (additive) or 1.0 (multiplicative) — only the levers that actually do something get filled in. Completionist = missable upgrade. Synergy target/mult lets one upgrade buff another's self-contribution geometrically with level.</t>
        </is>
      </c>
    </row>
    <row r="4">
      <c r="A4" s="14" t="inlineStr">
        <is>
          <t>Identity</t>
        </is>
      </c>
      <c r="B4" s="15" t="n"/>
      <c r="C4" s="14" t="inlineStr">
        <is>
          <t>Cost &amp; limits</t>
        </is>
      </c>
      <c r="D4" s="16" t="n"/>
      <c r="E4" s="16" t="n"/>
      <c r="F4" s="15" t="n"/>
      <c r="G4" s="14" t="inlineStr">
        <is>
          <t>Self M/sec</t>
        </is>
      </c>
      <c r="H4" s="16" t="n"/>
      <c r="I4" s="15" t="n"/>
      <c r="J4" s="14" t="inlineStr">
        <is>
          <t>Self M/click</t>
        </is>
      </c>
      <c r="K4" s="16" t="n"/>
      <c r="L4" s="15" t="n"/>
      <c r="M4" s="14" t="inlineStr">
        <is>
          <t>Self AC/sec</t>
        </is>
      </c>
      <c r="N4" s="16" t="n"/>
      <c r="O4" s="15" t="n"/>
      <c r="P4" s="14" t="inlineStr">
        <is>
          <t>Global multipliers</t>
        </is>
      </c>
      <c r="Q4" s="16" t="n"/>
      <c r="R4" s="15" t="n"/>
      <c r="S4" s="14" t="inlineStr">
        <is>
          <t>Completion</t>
        </is>
      </c>
      <c r="T4" s="14" t="inlineStr">
        <is>
          <t>Synergy</t>
        </is>
      </c>
      <c r="U4" s="15" t="n"/>
      <c r="V4" s="14" t="inlineStr">
        <is>
          <t>Description</t>
        </is>
      </c>
    </row>
    <row r="5">
      <c r="A5" s="17" t="inlineStr">
        <is>
          <t>Tier</t>
        </is>
      </c>
      <c r="B5" s="17" t="inlineStr">
        <is>
          <t>Name</t>
        </is>
      </c>
      <c r="C5" s="17" t="inlineStr">
        <is>
          <t>Init cost</t>
        </is>
      </c>
      <c r="D5" s="17" t="inlineStr">
        <is>
          <t>Cost growth</t>
        </is>
      </c>
      <c r="E5" s="17" t="inlineStr">
        <is>
          <t>Max levels</t>
        </is>
      </c>
      <c r="F5" s="17" t="inlineStr">
        <is>
          <t>Cohesion +</t>
        </is>
      </c>
      <c r="G5" s="17" t="inlineStr">
        <is>
          <t>Base</t>
        </is>
      </c>
      <c r="H5" s="17" t="inlineStr">
        <is>
          <t>+ /lvl</t>
        </is>
      </c>
      <c r="I5" s="17" t="inlineStr">
        <is>
          <t>× self /lvl</t>
        </is>
      </c>
      <c r="J5" s="17" t="inlineStr">
        <is>
          <t>Base</t>
        </is>
      </c>
      <c r="K5" s="17" t="inlineStr">
        <is>
          <t>+ /lvl</t>
        </is>
      </c>
      <c r="L5" s="17" t="inlineStr">
        <is>
          <t>× self /lvl</t>
        </is>
      </c>
      <c r="M5" s="17" t="inlineStr">
        <is>
          <t>Base</t>
        </is>
      </c>
      <c r="N5" s="17" t="inlineStr">
        <is>
          <t>+ /lvl</t>
        </is>
      </c>
      <c r="O5" s="17" t="inlineStr">
        <is>
          <t>× self /lvl</t>
        </is>
      </c>
      <c r="P5" s="17" t="inlineStr">
        <is>
          <t>× all M/sec /lvl</t>
        </is>
      </c>
      <c r="Q5" s="17" t="inlineStr">
        <is>
          <t>× all M/click /lvl</t>
        </is>
      </c>
      <c r="R5" s="17" t="inlineStr">
        <is>
          <t>× all AC speed /lvl</t>
        </is>
      </c>
      <c r="S5" s="17" t="inlineStr">
        <is>
          <t>Completionist?</t>
        </is>
      </c>
      <c r="T5" s="17" t="inlineStr">
        <is>
          <t>Synergy target</t>
        </is>
      </c>
      <c r="U5" s="17" t="inlineStr">
        <is>
          <t>Synergy mult/lvl</t>
        </is>
      </c>
      <c r="V5" s="17" t="inlineStr">
        <is>
          <t>Description voice</t>
        </is>
      </c>
    </row>
    <row r="6">
      <c r="A6" s="7" t="n">
        <v>1</v>
      </c>
      <c r="B6" s="18" t="inlineStr">
        <is>
          <t>Solar Wind</t>
        </is>
      </c>
      <c r="C6" s="7" t="n">
        <v>7</v>
      </c>
      <c r="D6" s="9" t="n">
        <v>1.15</v>
      </c>
      <c r="E6" s="7" t="n">
        <v>99</v>
      </c>
      <c r="F6" s="9" t="n">
        <v>0</v>
      </c>
      <c r="G6" s="19" t="n">
        <v>0</v>
      </c>
      <c r="H6" s="19" t="n">
        <v>0.08</v>
      </c>
      <c r="I6" s="19" t="n">
        <v>1</v>
      </c>
      <c r="J6" s="19" t="n">
        <v>0</v>
      </c>
      <c r="K6" s="19" t="n">
        <v>0</v>
      </c>
      <c r="L6" s="19" t="n">
        <v>1</v>
      </c>
      <c r="M6" s="19" t="n">
        <v>0</v>
      </c>
      <c r="N6" s="19" t="n">
        <v>0</v>
      </c>
      <c r="O6" s="19" t="n">
        <v>1</v>
      </c>
      <c r="P6" s="19" t="n">
        <v>1</v>
      </c>
      <c r="Q6" s="19" t="n">
        <v>1</v>
      </c>
      <c r="R6" s="19" t="n">
        <v>1</v>
      </c>
      <c r="S6" s="7" t="n">
        <v>0</v>
      </c>
      <c r="T6" s="18" t="inlineStr"/>
      <c r="U6" s="19" t="n">
        <v>1</v>
      </c>
      <c r="V6" s="8" t="inlineStr">
        <is>
          <t>Charged particles drift outward and return with company. We are pulling more than we used to.</t>
        </is>
      </c>
    </row>
    <row r="7">
      <c r="A7" s="7" t="n">
        <v>1</v>
      </c>
      <c r="B7" s="18" t="inlineStr">
        <is>
          <t>Asteroid Belt</t>
        </is>
      </c>
      <c r="C7" s="7" t="n">
        <v>20</v>
      </c>
      <c r="D7" s="9" t="n">
        <v>1.15</v>
      </c>
      <c r="E7" s="7" t="n">
        <v>99</v>
      </c>
      <c r="F7" s="9" t="n">
        <v>0</v>
      </c>
      <c r="G7" s="19" t="n">
        <v>0</v>
      </c>
      <c r="H7" s="19" t="n">
        <v>0.2</v>
      </c>
      <c r="I7" s="19" t="n">
        <v>1</v>
      </c>
      <c r="J7" s="19" t="n">
        <v>0</v>
      </c>
      <c r="K7" s="19" t="n">
        <v>0</v>
      </c>
      <c r="L7" s="19" t="n">
        <v>1</v>
      </c>
      <c r="M7" s="19" t="n">
        <v>0</v>
      </c>
      <c r="N7" s="19" t="n">
        <v>0</v>
      </c>
      <c r="O7" s="19" t="n">
        <v>1</v>
      </c>
      <c r="P7" s="19" t="n">
        <v>1</v>
      </c>
      <c r="Q7" s="19" t="n">
        <v>1</v>
      </c>
      <c r="R7" s="19" t="n">
        <v>1</v>
      </c>
      <c r="S7" s="7" t="n">
        <v>0</v>
      </c>
      <c r="T7" s="18" t="inlineStr"/>
      <c r="U7" s="19" t="n">
        <v>1</v>
      </c>
      <c r="V7" s="8" t="inlineStr">
        <is>
          <t>The belt yields. Iron, ice, the slow gravel of the early system. Each rock finds us.</t>
        </is>
      </c>
    </row>
    <row r="8">
      <c r="A8" s="7" t="n">
        <v>1</v>
      </c>
      <c r="B8" s="18" t="inlineStr">
        <is>
          <t>Stellar Coupling</t>
        </is>
      </c>
      <c r="C8" s="7" t="n">
        <v>22</v>
      </c>
      <c r="D8" s="9" t="n">
        <v>1.4</v>
      </c>
      <c r="E8" s="7" t="n">
        <v>99</v>
      </c>
      <c r="F8" s="9" t="n">
        <v>0</v>
      </c>
      <c r="G8" s="19" t="n">
        <v>0</v>
      </c>
      <c r="H8" s="19" t="n">
        <v>0</v>
      </c>
      <c r="I8" s="19" t="n">
        <v>1</v>
      </c>
      <c r="J8" s="19" t="n">
        <v>0</v>
      </c>
      <c r="K8" s="19" t="n">
        <v>0.35</v>
      </c>
      <c r="L8" s="19" t="n">
        <v>1</v>
      </c>
      <c r="M8" s="19" t="n">
        <v>0</v>
      </c>
      <c r="N8" s="19" t="n">
        <v>0</v>
      </c>
      <c r="O8" s="19" t="n">
        <v>1</v>
      </c>
      <c r="P8" s="19" t="n">
        <v>1</v>
      </c>
      <c r="Q8" s="19" t="n">
        <v>1</v>
      </c>
      <c r="R8" s="19" t="n">
        <v>1</v>
      </c>
      <c r="S8" s="7" t="n">
        <v>0</v>
      </c>
      <c r="T8" s="18" t="inlineStr"/>
      <c r="U8" s="19" t="n">
        <v>1</v>
      </c>
      <c r="V8" s="8" t="inlineStr">
        <is>
          <t>We pull harder. The center holds tighter.</t>
        </is>
      </c>
    </row>
    <row r="9">
      <c r="A9" s="7" t="n">
        <v>1</v>
      </c>
      <c r="B9" s="18" t="inlineStr">
        <is>
          <t>Magnetosphere</t>
        </is>
      </c>
      <c r="C9" s="7" t="n">
        <v>80</v>
      </c>
      <c r="D9" s="9" t="n">
        <v>2</v>
      </c>
      <c r="E9" s="7" t="n">
        <v>5</v>
      </c>
      <c r="F9" s="9" t="n">
        <v>0</v>
      </c>
      <c r="G9" s="19" t="n">
        <v>0</v>
      </c>
      <c r="H9" s="19" t="n">
        <v>1</v>
      </c>
      <c r="I9" s="19" t="n">
        <v>1</v>
      </c>
      <c r="J9" s="19" t="n">
        <v>0</v>
      </c>
      <c r="K9" s="19" t="n">
        <v>0</v>
      </c>
      <c r="L9" s="19" t="n">
        <v>1</v>
      </c>
      <c r="M9" s="19" t="n">
        <v>0</v>
      </c>
      <c r="N9" s="19" t="n">
        <v>0</v>
      </c>
      <c r="O9" s="19" t="n">
        <v>1</v>
      </c>
      <c r="P9" s="19" t="n">
        <v>1</v>
      </c>
      <c r="Q9" s="19" t="n">
        <v>1</v>
      </c>
      <c r="R9" s="19" t="n">
        <v>1</v>
      </c>
      <c r="S9" s="7" t="n">
        <v>1</v>
      </c>
      <c r="T9" s="18" t="inlineStr"/>
      <c r="U9" s="19" t="n">
        <v>1</v>
      </c>
      <c r="V9" s="8" t="inlineStr">
        <is>
          <t>The system's invisible shell. Charged particles arc and return. We catch what would have escaped.</t>
        </is>
      </c>
    </row>
    <row r="10">
      <c r="A10" s="7" t="n">
        <v>1</v>
      </c>
      <c r="B10" s="18" t="inlineStr">
        <is>
          <t>Orbital Resonance</t>
        </is>
      </c>
      <c r="C10" s="7" t="n">
        <v>240</v>
      </c>
      <c r="D10" s="9" t="n">
        <v>1</v>
      </c>
      <c r="E10" s="7" t="n">
        <v>1</v>
      </c>
      <c r="F10" s="9" t="n">
        <v>0.4</v>
      </c>
      <c r="G10" s="19" t="n">
        <v>0</v>
      </c>
      <c r="H10" s="19" t="n">
        <v>0</v>
      </c>
      <c r="I10" s="19" t="n">
        <v>1</v>
      </c>
      <c r="J10" s="19" t="n">
        <v>0</v>
      </c>
      <c r="K10" s="19" t="n">
        <v>0</v>
      </c>
      <c r="L10" s="19" t="n">
        <v>1</v>
      </c>
      <c r="M10" s="19" t="n">
        <v>0</v>
      </c>
      <c r="N10" s="19" t="n">
        <v>0</v>
      </c>
      <c r="O10" s="19" t="n">
        <v>1</v>
      </c>
      <c r="P10" s="19" t="n">
        <v>1.25</v>
      </c>
      <c r="Q10" s="19" t="n">
        <v>1</v>
      </c>
      <c r="R10" s="19" t="n">
        <v>1</v>
      </c>
      <c r="S10" s="7" t="n">
        <v>0</v>
      </c>
      <c r="T10" s="18" t="inlineStr"/>
      <c r="U10" s="19" t="n">
        <v>1</v>
      </c>
      <c r="V10" s="8" t="inlineStr">
        <is>
          <t>Periods align. The system breathes in time with us. Everything we touch becomes synchronous.</t>
        </is>
      </c>
    </row>
    <row r="11">
      <c r="A11" s="7" t="n">
        <v>1</v>
      </c>
      <c r="B11" s="18" t="inlineStr">
        <is>
          <t>Heliopause</t>
        </is>
      </c>
      <c r="C11" s="7" t="n">
        <v>575</v>
      </c>
      <c r="D11" s="9" t="n">
        <v>1</v>
      </c>
      <c r="E11" s="7" t="n">
        <v>1</v>
      </c>
      <c r="F11" s="9" t="n">
        <v>0.6</v>
      </c>
      <c r="G11" s="19" t="n">
        <v>0</v>
      </c>
      <c r="H11" s="19" t="n">
        <v>0</v>
      </c>
      <c r="I11" s="19" t="n">
        <v>1</v>
      </c>
      <c r="J11" s="19" t="n">
        <v>0</v>
      </c>
      <c r="K11" s="19" t="n">
        <v>0</v>
      </c>
      <c r="L11" s="19" t="n">
        <v>1</v>
      </c>
      <c r="M11" s="19" t="n">
        <v>0</v>
      </c>
      <c r="N11" s="19" t="n">
        <v>0</v>
      </c>
      <c r="O11" s="19" t="n">
        <v>1</v>
      </c>
      <c r="P11" s="19" t="n">
        <v>1</v>
      </c>
      <c r="Q11" s="19" t="n">
        <v>1</v>
      </c>
      <c r="R11" s="19" t="n">
        <v>1</v>
      </c>
      <c r="S11" s="7" t="n">
        <v>0</v>
      </c>
      <c r="T11" s="18" t="inlineStr">
        <is>
          <t>Stellar Coupling</t>
        </is>
      </c>
      <c r="U11" s="19" t="n">
        <v>1.5</v>
      </c>
      <c r="V11" s="8" t="inlineStr">
        <is>
          <t>We have reached the edge of our influence. Beyond it, the rest of the galaxy waits.</t>
        </is>
      </c>
    </row>
    <row r="12">
      <c r="A12" s="7" t="n">
        <v>1</v>
      </c>
      <c r="B12" s="18" t="inlineStr">
        <is>
          <t>First Photons</t>
        </is>
      </c>
      <c r="C12" s="7" t="n">
        <v>850</v>
      </c>
      <c r="D12" s="9" t="n">
        <v>1</v>
      </c>
      <c r="E12" s="7" t="n">
        <v>1</v>
      </c>
      <c r="F12" s="9" t="n">
        <v>0</v>
      </c>
      <c r="G12" s="19" t="n">
        <v>1</v>
      </c>
      <c r="H12" s="19" t="n">
        <v>0</v>
      </c>
      <c r="I12" s="19" t="n">
        <v>1</v>
      </c>
      <c r="J12" s="19" t="n">
        <v>0</v>
      </c>
      <c r="K12" s="19" t="n">
        <v>0</v>
      </c>
      <c r="L12" s="19" t="n">
        <v>1</v>
      </c>
      <c r="M12" s="19" t="n">
        <v>0</v>
      </c>
      <c r="N12" s="19" t="n">
        <v>0</v>
      </c>
      <c r="O12" s="19" t="n">
        <v>1</v>
      </c>
      <c r="P12" s="19" t="n">
        <v>1</v>
      </c>
      <c r="Q12" s="19" t="n">
        <v>1.2</v>
      </c>
      <c r="R12" s="19" t="n">
        <v>1</v>
      </c>
      <c r="S12" s="7" t="n">
        <v>1</v>
      </c>
      <c r="T12" s="18" t="inlineStr"/>
      <c r="U12" s="19" t="n">
        <v>1</v>
      </c>
      <c r="V12" s="8" t="inlineStr">
        <is>
          <t>Light, finally. The first photons leave the surface and find us. Everything quickens.</t>
        </is>
      </c>
    </row>
    <row r="13">
      <c r="A13" s="7" t="n">
        <v>2</v>
      </c>
      <c r="B13" s="18" t="inlineStr">
        <is>
          <t>Stellar Kinematics</t>
        </is>
      </c>
      <c r="C13" s="7" t="n">
        <v>60</v>
      </c>
      <c r="D13" s="9" t="n">
        <v>1.15</v>
      </c>
      <c r="E13" s="7" t="n">
        <v>99</v>
      </c>
      <c r="F13" s="9" t="n">
        <v>0</v>
      </c>
      <c r="G13" s="19" t="n">
        <v>0</v>
      </c>
      <c r="H13" s="19" t="n">
        <v>0.65</v>
      </c>
      <c r="I13" s="19" t="n">
        <v>1</v>
      </c>
      <c r="J13" s="19" t="n">
        <v>0</v>
      </c>
      <c r="K13" s="19" t="n">
        <v>0</v>
      </c>
      <c r="L13" s="19" t="n">
        <v>1</v>
      </c>
      <c r="M13" s="19" t="n">
        <v>0</v>
      </c>
      <c r="N13" s="19" t="n">
        <v>0</v>
      </c>
      <c r="O13" s="19" t="n">
        <v>1</v>
      </c>
      <c r="P13" s="19" t="n">
        <v>1</v>
      </c>
      <c r="Q13" s="19" t="n">
        <v>1</v>
      </c>
      <c r="R13" s="19" t="n">
        <v>1</v>
      </c>
      <c r="S13" s="7" t="n">
        <v>0</v>
      </c>
      <c r="T13" s="18" t="inlineStr"/>
      <c r="U13" s="19" t="n">
        <v>1</v>
      </c>
      <c r="V13" s="8" t="inlineStr">
        <is>
          <t>Stars drift in measured patterns. We learn to read the slow vectors of the neighborhood.</t>
        </is>
      </c>
    </row>
    <row r="14">
      <c r="A14" s="7" t="n">
        <v>2</v>
      </c>
      <c r="B14" s="18" t="inlineStr">
        <is>
          <t>Local Bubble</t>
        </is>
      </c>
      <c r="C14" s="7" t="n">
        <v>180</v>
      </c>
      <c r="D14" s="9" t="n">
        <v>1.15</v>
      </c>
      <c r="E14" s="7" t="n">
        <v>99</v>
      </c>
      <c r="F14" s="9" t="n">
        <v>0</v>
      </c>
      <c r="G14" s="19" t="n">
        <v>0</v>
      </c>
      <c r="H14" s="19" t="n">
        <v>1.8</v>
      </c>
      <c r="I14" s="19" t="n">
        <v>1</v>
      </c>
      <c r="J14" s="19" t="n">
        <v>0</v>
      </c>
      <c r="K14" s="19" t="n">
        <v>0</v>
      </c>
      <c r="L14" s="19" t="n">
        <v>1</v>
      </c>
      <c r="M14" s="19" t="n">
        <v>0</v>
      </c>
      <c r="N14" s="19" t="n">
        <v>0</v>
      </c>
      <c r="O14" s="19" t="n">
        <v>1</v>
      </c>
      <c r="P14" s="19" t="n">
        <v>1</v>
      </c>
      <c r="Q14" s="19" t="n">
        <v>1</v>
      </c>
      <c r="R14" s="19" t="n">
        <v>1</v>
      </c>
      <c r="S14" s="7" t="n">
        <v>0</v>
      </c>
      <c r="T14" s="18" t="inlineStr"/>
      <c r="U14" s="19" t="n">
        <v>1</v>
      </c>
      <c r="V14" s="8" t="inlineStr">
        <is>
          <t>An emptier pocket of the galaxy. Our reach extends through its low-density walls.</t>
        </is>
      </c>
    </row>
    <row r="15">
      <c r="A15" s="7" t="n">
        <v>2</v>
      </c>
      <c r="B15" s="18" t="inlineStr">
        <is>
          <t>Microlensing</t>
        </is>
      </c>
      <c r="C15" s="7" t="n">
        <v>200</v>
      </c>
      <c r="D15" s="9" t="n">
        <v>1.4</v>
      </c>
      <c r="E15" s="7" t="n">
        <v>99</v>
      </c>
      <c r="F15" s="9" t="n">
        <v>0</v>
      </c>
      <c r="G15" s="19" t="n">
        <v>0</v>
      </c>
      <c r="H15" s="19" t="n">
        <v>0</v>
      </c>
      <c r="I15" s="19" t="n">
        <v>1</v>
      </c>
      <c r="J15" s="19" t="n">
        <v>0</v>
      </c>
      <c r="K15" s="19" t="n">
        <v>2.8</v>
      </c>
      <c r="L15" s="19" t="n">
        <v>1</v>
      </c>
      <c r="M15" s="19" t="n">
        <v>0</v>
      </c>
      <c r="N15" s="19" t="n">
        <v>0</v>
      </c>
      <c r="O15" s="19" t="n">
        <v>1</v>
      </c>
      <c r="P15" s="19" t="n">
        <v>1</v>
      </c>
      <c r="Q15" s="19" t="n">
        <v>1</v>
      </c>
      <c r="R15" s="19" t="n">
        <v>1</v>
      </c>
      <c r="S15" s="7" t="n">
        <v>0</v>
      </c>
      <c r="T15" s="18" t="inlineStr"/>
      <c r="U15" s="19" t="n">
        <v>1</v>
      </c>
      <c r="V15" s="8" t="inlineStr">
        <is>
          <t>Distant light bends around mass we cannot see. Each event is a brief annunciation.</t>
        </is>
      </c>
    </row>
    <row r="16">
      <c r="A16" s="7" t="n">
        <v>2</v>
      </c>
      <c r="B16" s="18" t="inlineStr">
        <is>
          <t>Roche Lobe Overflow</t>
        </is>
      </c>
      <c r="C16" s="7" t="n">
        <v>350</v>
      </c>
      <c r="D16" s="9" t="n">
        <v>1.5</v>
      </c>
      <c r="E16" s="7" t="n">
        <v>99</v>
      </c>
      <c r="F16" s="9" t="n">
        <v>0</v>
      </c>
      <c r="G16" s="19" t="n">
        <v>0</v>
      </c>
      <c r="H16" s="19" t="n">
        <v>0</v>
      </c>
      <c r="I16" s="19" t="n">
        <v>1</v>
      </c>
      <c r="J16" s="19" t="n">
        <v>0</v>
      </c>
      <c r="K16" s="19" t="n">
        <v>0</v>
      </c>
      <c r="L16" s="19" t="n">
        <v>1</v>
      </c>
      <c r="M16" s="19" t="n">
        <v>0</v>
      </c>
      <c r="N16" s="19" t="n">
        <v>0.1</v>
      </c>
      <c r="O16" s="19" t="n">
        <v>1</v>
      </c>
      <c r="P16" s="19" t="n">
        <v>1</v>
      </c>
      <c r="Q16" s="19" t="n">
        <v>1</v>
      </c>
      <c r="R16" s="19" t="n">
        <v>1</v>
      </c>
      <c r="S16" s="7" t="n">
        <v>0</v>
      </c>
      <c r="T16" s="18" t="inlineStr">
        <is>
          <t>Local Bubble</t>
        </is>
      </c>
      <c r="U16" s="19" t="n">
        <v>1.05</v>
      </c>
      <c r="V16" s="8" t="inlineStr">
        <is>
          <t>A companion star's outer envelope spills across the gravitational saddle. Material flows to us automatically.</t>
        </is>
      </c>
    </row>
    <row r="17">
      <c r="A17" s="7" t="n">
        <v>2</v>
      </c>
      <c r="B17" s="18" t="inlineStr">
        <is>
          <t>Brown Dwarf</t>
        </is>
      </c>
      <c r="C17" s="7" t="n">
        <v>2000</v>
      </c>
      <c r="D17" s="9" t="n">
        <v>2</v>
      </c>
      <c r="E17" s="7" t="n">
        <v>5</v>
      </c>
      <c r="F17" s="9" t="n">
        <v>0</v>
      </c>
      <c r="G17" s="19" t="n">
        <v>0</v>
      </c>
      <c r="H17" s="19" t="n">
        <v>4</v>
      </c>
      <c r="I17" s="19" t="n">
        <v>1</v>
      </c>
      <c r="J17" s="19" t="n">
        <v>0</v>
      </c>
      <c r="K17" s="19" t="n">
        <v>0</v>
      </c>
      <c r="L17" s="19" t="n">
        <v>1</v>
      </c>
      <c r="M17" s="19" t="n">
        <v>0</v>
      </c>
      <c r="N17" s="19" t="n">
        <v>0</v>
      </c>
      <c r="O17" s="19" t="n">
        <v>1</v>
      </c>
      <c r="P17" s="19" t="n">
        <v>1</v>
      </c>
      <c r="Q17" s="19" t="n">
        <v>1</v>
      </c>
      <c r="R17" s="19" t="n">
        <v>1</v>
      </c>
      <c r="S17" s="7" t="n">
        <v>1</v>
      </c>
      <c r="T17" s="18" t="inlineStr">
        <is>
          <t>Roche Lobe Overflow</t>
        </is>
      </c>
      <c r="U17" s="19" t="n">
        <v>1.1</v>
      </c>
      <c r="V17" s="8" t="inlineStr">
        <is>
          <t>A failed star, never quite hot enough. We catalog it. Its weak gravity helps the lobes spill faster.</t>
        </is>
      </c>
    </row>
    <row r="18">
      <c r="A18" s="7" t="n">
        <v>2</v>
      </c>
      <c r="B18" s="18" t="inlineStr">
        <is>
          <t>Binary Partner</t>
        </is>
      </c>
      <c r="C18" s="7" t="n">
        <v>1400</v>
      </c>
      <c r="D18" s="9" t="n">
        <v>1</v>
      </c>
      <c r="E18" s="7" t="n">
        <v>1</v>
      </c>
      <c r="F18" s="9" t="n">
        <v>0.6</v>
      </c>
      <c r="G18" s="19" t="n">
        <v>0</v>
      </c>
      <c r="H18" s="19" t="n">
        <v>0</v>
      </c>
      <c r="I18" s="19" t="n">
        <v>1</v>
      </c>
      <c r="J18" s="19" t="n">
        <v>0</v>
      </c>
      <c r="K18" s="19" t="n">
        <v>0</v>
      </c>
      <c r="L18" s="19" t="n">
        <v>1</v>
      </c>
      <c r="M18" s="19" t="n">
        <v>0</v>
      </c>
      <c r="N18" s="19" t="n">
        <v>0</v>
      </c>
      <c r="O18" s="19" t="n">
        <v>1</v>
      </c>
      <c r="P18" s="19" t="n">
        <v>1</v>
      </c>
      <c r="Q18" s="19" t="n">
        <v>1</v>
      </c>
      <c r="R18" s="19" t="n">
        <v>1</v>
      </c>
      <c r="S18" s="7" t="n">
        <v>0</v>
      </c>
      <c r="T18" s="18" t="inlineStr">
        <is>
          <t>Microlensing</t>
        </is>
      </c>
      <c r="U18" s="19" t="n">
        <v>1.5</v>
      </c>
      <c r="V18" s="8" t="inlineStr">
        <is>
          <t>We pair. The two-body orbit is mathematics made visible. Lensing events double when seen from a moving baseline.</t>
        </is>
      </c>
    </row>
    <row r="19">
      <c r="A19" s="7" t="n">
        <v>2</v>
      </c>
      <c r="B19" s="18" t="inlineStr">
        <is>
          <t>Peculiar Velocity</t>
        </is>
      </c>
      <c r="C19" s="7" t="n">
        <v>2200</v>
      </c>
      <c r="D19" s="9" t="n">
        <v>1</v>
      </c>
      <c r="E19" s="7" t="n">
        <v>1</v>
      </c>
      <c r="F19" s="9" t="n">
        <v>0.9</v>
      </c>
      <c r="G19" s="19" t="n">
        <v>0</v>
      </c>
      <c r="H19" s="19" t="n">
        <v>0</v>
      </c>
      <c r="I19" s="19" t="n">
        <v>1</v>
      </c>
      <c r="J19" s="19" t="n">
        <v>0</v>
      </c>
      <c r="K19" s="19" t="n">
        <v>0</v>
      </c>
      <c r="L19" s="19" t="n">
        <v>1</v>
      </c>
      <c r="M19" s="19" t="n">
        <v>0</v>
      </c>
      <c r="N19" s="19" t="n">
        <v>0</v>
      </c>
      <c r="O19" s="19" t="n">
        <v>1</v>
      </c>
      <c r="P19" s="19" t="n">
        <v>1.3</v>
      </c>
      <c r="Q19" s="19" t="n">
        <v>1</v>
      </c>
      <c r="R19" s="19" t="n">
        <v>1</v>
      </c>
      <c r="S19" s="7" t="n">
        <v>0</v>
      </c>
      <c r="T19" s="18" t="inlineStr"/>
      <c r="U19" s="19" t="n">
        <v>1</v>
      </c>
      <c r="V19" s="8" t="inlineStr">
        <is>
          <t>Above the Hubble flow we have our own motion. Everything drifts a little faster toward us.</t>
        </is>
      </c>
    </row>
    <row r="20">
      <c r="A20" s="7" t="n">
        <v>2</v>
      </c>
      <c r="B20" s="18" t="inlineStr">
        <is>
          <t>Open Cluster</t>
        </is>
      </c>
      <c r="C20" s="7" t="n">
        <v>3400</v>
      </c>
      <c r="D20" s="9" t="n">
        <v>1</v>
      </c>
      <c r="E20" s="7" t="n">
        <v>1</v>
      </c>
      <c r="F20" s="9" t="n">
        <v>1</v>
      </c>
      <c r="G20" s="19" t="n">
        <v>0</v>
      </c>
      <c r="H20" s="19" t="n">
        <v>0</v>
      </c>
      <c r="I20" s="19" t="n">
        <v>1</v>
      </c>
      <c r="J20" s="19" t="n">
        <v>0</v>
      </c>
      <c r="K20" s="19" t="n">
        <v>0</v>
      </c>
      <c r="L20" s="19" t="n">
        <v>1</v>
      </c>
      <c r="M20" s="19" t="n">
        <v>0</v>
      </c>
      <c r="N20" s="19" t="n">
        <v>0</v>
      </c>
      <c r="O20" s="19" t="n">
        <v>1</v>
      </c>
      <c r="P20" s="19" t="n">
        <v>1</v>
      </c>
      <c r="Q20" s="19" t="n">
        <v>1</v>
      </c>
      <c r="R20" s="19" t="n">
        <v>1</v>
      </c>
      <c r="S20" s="7" t="n">
        <v>0</v>
      </c>
      <c r="T20" s="18" t="inlineStr"/>
      <c r="U20" s="19" t="n">
        <v>1</v>
      </c>
      <c r="V20" s="8" t="inlineStr">
        <is>
          <t>Loose stars share a birth and a direction. We are no longer alone in our trajectory.</t>
        </is>
      </c>
    </row>
    <row r="21">
      <c r="A21" s="7" t="n">
        <v>2</v>
      </c>
      <c r="B21" s="18" t="inlineStr">
        <is>
          <t>Moving Group</t>
        </is>
      </c>
      <c r="C21" s="7" t="n">
        <v>14000</v>
      </c>
      <c r="D21" s="9" t="n">
        <v>1</v>
      </c>
      <c r="E21" s="7" t="n">
        <v>1</v>
      </c>
      <c r="F21" s="9" t="n">
        <v>0</v>
      </c>
      <c r="G21" s="19" t="n">
        <v>6</v>
      </c>
      <c r="H21" s="19" t="n">
        <v>0</v>
      </c>
      <c r="I21" s="19" t="n">
        <v>1</v>
      </c>
      <c r="J21" s="19" t="n">
        <v>0</v>
      </c>
      <c r="K21" s="19" t="n">
        <v>0</v>
      </c>
      <c r="L21" s="19" t="n">
        <v>1</v>
      </c>
      <c r="M21" s="19" t="n">
        <v>0</v>
      </c>
      <c r="N21" s="19" t="n">
        <v>0</v>
      </c>
      <c r="O21" s="19" t="n">
        <v>1</v>
      </c>
      <c r="P21" s="19" t="n">
        <v>1</v>
      </c>
      <c r="Q21" s="19" t="n">
        <v>1.2</v>
      </c>
      <c r="R21" s="19" t="n">
        <v>1</v>
      </c>
      <c r="S21" s="7" t="n">
        <v>1</v>
      </c>
      <c r="T21" s="18" t="inlineStr"/>
      <c r="U21" s="19" t="n">
        <v>1</v>
      </c>
      <c r="V21" s="8" t="inlineStr">
        <is>
          <t>The whole pocket drifts together — Hyades, Pleiades, kin we never named. We feel the current.</t>
        </is>
      </c>
    </row>
  </sheetData>
  <mergeCells count="7">
    <mergeCell ref="A4:B4"/>
    <mergeCell ref="C4:F4"/>
    <mergeCell ref="M4:O4"/>
    <mergeCell ref="G4:I4"/>
    <mergeCell ref="J4:L4"/>
    <mergeCell ref="P4:R4"/>
    <mergeCell ref="T4:U4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4" customWidth="1" min="4" max="4"/>
    <col width="12" customWidth="1" min="5" max="5"/>
    <col width="14" customWidth="1" min="6" max="6"/>
    <col width="36" customWidth="1" min="7" max="7"/>
  </cols>
  <sheetData>
    <row r="1">
      <c r="A1" s="1" t="inlineStr">
        <is>
          <t>Time budget per tier</t>
        </is>
      </c>
    </row>
    <row r="2">
      <c r="A2" s="2" t="inlineStr">
        <is>
          <t>Time targets and click share targets per tier. Derived from Parameters.</t>
        </is>
      </c>
    </row>
    <row r="4">
      <c r="A4" s="17" t="inlineStr">
        <is>
          <t>Tier</t>
        </is>
      </c>
      <c r="B4" s="17" t="inlineStr">
        <is>
          <t>Name</t>
        </is>
      </c>
      <c r="C4" s="17" t="inlineStr">
        <is>
          <t>Min/tier</t>
        </is>
      </c>
      <c r="D4" s="17" t="inlineStr">
        <is>
          <t>Cum min</t>
        </is>
      </c>
      <c r="E4" s="17" t="inlineStr">
        <is>
          <t>Click %</t>
        </is>
      </c>
      <c r="F4" s="17" t="inlineStr">
        <is>
          <t>Cohesion cost</t>
        </is>
      </c>
      <c r="G4" s="17" t="inlineStr">
        <is>
          <t>Notes</t>
        </is>
      </c>
    </row>
    <row r="5">
      <c r="A5" s="20" t="n">
        <v>1</v>
      </c>
      <c r="B5" s="21">
        <f>Parameters!$B$39</f>
        <v/>
      </c>
      <c r="C5" s="22">
        <f>Parameters!$B$5*POWER(Parameters!$B$7,A5-1)/IF(Parameters!$B$7=1,Parameters!$B$6,(POWER(Parameters!$B$7,Parameters!$B$6)-1)/(Parameters!$B$7-1))</f>
        <v/>
      </c>
      <c r="D5" s="22">
        <f>SUM(C$5:C5)</f>
        <v/>
      </c>
      <c r="E5" s="23">
        <f>IF(A5&lt;=5,Parameters!$B$13+(Parameters!$B$14-Parameters!$B$13)*POWER((A5-1)/4,2),IF(A5&lt;=9,Parameters!$B$14+(Parameters!$B$15-Parameters!$B$14)*POWER((A5-5)/4,2),Parameters!$B$16))</f>
        <v/>
      </c>
      <c r="F5" s="22">
        <f>IF(A5&lt;Parameters!$B$6,Parameters!$B$18*POWER(Parameters!$B$19,A5-1),0)</f>
        <v/>
      </c>
      <c r="G5" s="2" t="inlineStr">
        <is>
          <t>Tutorial.</t>
        </is>
      </c>
    </row>
    <row r="6">
      <c r="A6" s="20" t="n">
        <v>2</v>
      </c>
      <c r="B6" s="21">
        <f>Parameters!$B$40</f>
        <v/>
      </c>
      <c r="C6" s="22">
        <f>Parameters!$B$5*POWER(Parameters!$B$7,A6-1)/IF(Parameters!$B$7=1,Parameters!$B$6,(POWER(Parameters!$B$7,Parameters!$B$6)-1)/(Parameters!$B$7-1))</f>
        <v/>
      </c>
      <c r="D6" s="22">
        <f>SUM(C$5:C6)</f>
        <v/>
      </c>
      <c r="E6" s="23">
        <f>IF(A6&lt;=5,Parameters!$B$13+(Parameters!$B$14-Parameters!$B$13)*POWER((A6-1)/4,2),IF(A6&lt;=9,Parameters!$B$14+(Parameters!$B$15-Parameters!$B$14)*POWER((A6-5)/4,2),Parameters!$B$16))</f>
        <v/>
      </c>
      <c r="F6" s="22">
        <f>IF(A6&lt;Parameters!$B$6,Parameters!$B$18*POWER(Parameters!$B$19,A6-1),0)</f>
        <v/>
      </c>
      <c r="G6" s="2" t="inlineStr">
        <is>
          <t>Autoclickers introduced.</t>
        </is>
      </c>
    </row>
    <row r="7">
      <c r="A7" s="20" t="n">
        <v>3</v>
      </c>
      <c r="B7" s="21">
        <f>Parameters!$B$41</f>
        <v/>
      </c>
      <c r="C7" s="22">
        <f>Parameters!$B$5*POWER(Parameters!$B$7,A7-1)/IF(Parameters!$B$7=1,Parameters!$B$6,(POWER(Parameters!$B$7,Parameters!$B$6)-1)/(Parameters!$B$7-1))</f>
        <v/>
      </c>
      <c r="D7" s="22">
        <f>SUM(C$5:C7)</f>
        <v/>
      </c>
      <c r="E7" s="23">
        <f>IF(A7&lt;=5,Parameters!$B$13+(Parameters!$B$14-Parameters!$B$13)*POWER((A7-1)/4,2),IF(A7&lt;=9,Parameters!$B$14+(Parameters!$B$15-Parameters!$B$14)*POWER((A7-5)/4,2),Parameters!$B$16))</f>
        <v/>
      </c>
      <c r="F7" s="22">
        <f>IF(A7&lt;Parameters!$B$6,Parameters!$B$18*POWER(Parameters!$B$19,A7-1),0)</f>
        <v/>
      </c>
      <c r="G7" s="2" t="inlineStr"/>
    </row>
    <row r="8">
      <c r="A8" s="20" t="n">
        <v>4</v>
      </c>
      <c r="B8" s="21">
        <f>Parameters!$B$42</f>
        <v/>
      </c>
      <c r="C8" s="22">
        <f>Parameters!$B$5*POWER(Parameters!$B$7,A8-1)/IF(Parameters!$B$7=1,Parameters!$B$6,(POWER(Parameters!$B$7,Parameters!$B$6)-1)/(Parameters!$B$7-1))</f>
        <v/>
      </c>
      <c r="D8" s="22">
        <f>SUM(C$5:C8)</f>
        <v/>
      </c>
      <c r="E8" s="23">
        <f>IF(A8&lt;=5,Parameters!$B$13+(Parameters!$B$14-Parameters!$B$13)*POWER((A8-1)/4,2),IF(A8&lt;=9,Parameters!$B$14+(Parameters!$B$15-Parameters!$B$14)*POWER((A8-5)/4,2),Parameters!$B$16))</f>
        <v/>
      </c>
      <c r="F8" s="22">
        <f>IF(A8&lt;Parameters!$B$6,Parameters!$B$18*POWER(Parameters!$B$19,A8-1),0)</f>
        <v/>
      </c>
      <c r="G8" s="2" t="inlineStr"/>
    </row>
    <row r="9">
      <c r="A9" s="20" t="n">
        <v>5</v>
      </c>
      <c r="B9" s="21">
        <f>Parameters!$B$43</f>
        <v/>
      </c>
      <c r="C9" s="22">
        <f>Parameters!$B$5*POWER(Parameters!$B$7,A9-1)/IF(Parameters!$B$7=1,Parameters!$B$6,(POWER(Parameters!$B$7,Parameters!$B$6)-1)/(Parameters!$B$7-1))</f>
        <v/>
      </c>
      <c r="D9" s="22">
        <f>SUM(C$5:C9)</f>
        <v/>
      </c>
      <c r="E9" s="23">
        <f>IF(A9&lt;=5,Parameters!$B$13+(Parameters!$B$14-Parameters!$B$13)*POWER((A9-1)/4,2),IF(A9&lt;=9,Parameters!$B$14+(Parameters!$B$15-Parameters!$B$14)*POWER((A9-5)/4,2),Parameters!$B$16))</f>
        <v/>
      </c>
      <c r="F9" s="22">
        <f>IF(A9&lt;Parameters!$B$6,Parameters!$B$18*POWER(Parameters!$B$19,A9-1),0)</f>
        <v/>
      </c>
      <c r="G9" s="2" t="inlineStr">
        <is>
          <t>PEAK.</t>
        </is>
      </c>
    </row>
    <row r="10">
      <c r="A10" s="20" t="n">
        <v>6</v>
      </c>
      <c r="B10" s="21">
        <f>Parameters!$B$44</f>
        <v/>
      </c>
      <c r="C10" s="22">
        <f>Parameters!$B$5*POWER(Parameters!$B$7,A10-1)/IF(Parameters!$B$7=1,Parameters!$B$6,(POWER(Parameters!$B$7,Parameters!$B$6)-1)/(Parameters!$B$7-1))</f>
        <v/>
      </c>
      <c r="D10" s="22">
        <f>SUM(C$5:C10)</f>
        <v/>
      </c>
      <c r="E10" s="23">
        <f>IF(A10&lt;=5,Parameters!$B$13+(Parameters!$B$14-Parameters!$B$13)*POWER((A10-1)/4,2),IF(A10&lt;=9,Parameters!$B$14+(Parameters!$B$15-Parameters!$B$14)*POWER((A10-5)/4,2),Parameters!$B$16))</f>
        <v/>
      </c>
      <c r="F10" s="22">
        <f>IF(A10&lt;Parameters!$B$6,Parameters!$B$18*POWER(Parameters!$B$19,A10-1),0)</f>
        <v/>
      </c>
      <c r="G10" s="2" t="inlineStr"/>
    </row>
    <row r="11">
      <c r="A11" s="20" t="n">
        <v>7</v>
      </c>
      <c r="B11" s="21">
        <f>Parameters!$B$45</f>
        <v/>
      </c>
      <c r="C11" s="22">
        <f>Parameters!$B$5*POWER(Parameters!$B$7,A11-1)/IF(Parameters!$B$7=1,Parameters!$B$6,(POWER(Parameters!$B$7,Parameters!$B$6)-1)/(Parameters!$B$7-1))</f>
        <v/>
      </c>
      <c r="D11" s="22">
        <f>SUM(C$5:C11)</f>
        <v/>
      </c>
      <c r="E11" s="23">
        <f>IF(A11&lt;=5,Parameters!$B$13+(Parameters!$B$14-Parameters!$B$13)*POWER((A11-1)/4,2),IF(A11&lt;=9,Parameters!$B$14+(Parameters!$B$15-Parameters!$B$14)*POWER((A11-5)/4,2),Parameters!$B$16))</f>
        <v/>
      </c>
      <c r="F11" s="22">
        <f>IF(A11&lt;Parameters!$B$6,Parameters!$B$18*POWER(Parameters!$B$19,A11-1),0)</f>
        <v/>
      </c>
      <c r="G11" s="2" t="inlineStr"/>
    </row>
    <row r="12">
      <c r="A12" s="20" t="n">
        <v>8</v>
      </c>
      <c r="B12" s="21">
        <f>Parameters!$B$46</f>
        <v/>
      </c>
      <c r="C12" s="22">
        <f>Parameters!$B$5*POWER(Parameters!$B$7,A12-1)/IF(Parameters!$B$7=1,Parameters!$B$6,(POWER(Parameters!$B$7,Parameters!$B$6)-1)/(Parameters!$B$7-1))</f>
        <v/>
      </c>
      <c r="D12" s="22">
        <f>SUM(C$5:C12)</f>
        <v/>
      </c>
      <c r="E12" s="23">
        <f>IF(A12&lt;=5,Parameters!$B$13+(Parameters!$B$14-Parameters!$B$13)*POWER((A12-1)/4,2),IF(A12&lt;=9,Parameters!$B$14+(Parameters!$B$15-Parameters!$B$14)*POWER((A12-5)/4,2),Parameters!$B$16))</f>
        <v/>
      </c>
      <c r="F12" s="22">
        <f>IF(A12&lt;Parameters!$B$6,Parameters!$B$18*POWER(Parameters!$B$19,A12-1),0)</f>
        <v/>
      </c>
      <c r="G12" s="2" t="inlineStr"/>
    </row>
    <row r="13">
      <c r="A13" s="20" t="n">
        <v>9</v>
      </c>
      <c r="B13" s="21">
        <f>Parameters!$B$47</f>
        <v/>
      </c>
      <c r="C13" s="22">
        <f>Parameters!$B$5*POWER(Parameters!$B$7,A13-1)/IF(Parameters!$B$7=1,Parameters!$B$6,(POWER(Parameters!$B$7,Parameters!$B$6)-1)/(Parameters!$B$7-1))</f>
        <v/>
      </c>
      <c r="D13" s="22">
        <f>SUM(C$5:C13)</f>
        <v/>
      </c>
      <c r="E13" s="23">
        <f>IF(A13&lt;=5,Parameters!$B$13+(Parameters!$B$14-Parameters!$B$13)*POWER((A13-1)/4,2),IF(A13&lt;=9,Parameters!$B$14+(Parameters!$B$15-Parameters!$B$14)*POWER((A13-5)/4,2),Parameters!$B$16))</f>
        <v/>
      </c>
      <c r="F13" s="22">
        <f>IF(A13&lt;Parameters!$B$6,Parameters!$B$18*POWER(Parameters!$B$19,A13-1),0)</f>
        <v/>
      </c>
      <c r="G13" s="2" t="inlineStr"/>
    </row>
    <row r="14">
      <c r="A14" s="20" t="n">
        <v>10</v>
      </c>
      <c r="B14" s="21">
        <f>Parameters!$B$48</f>
        <v/>
      </c>
      <c r="C14" s="22">
        <f>Parameters!$B$5*POWER(Parameters!$B$7,A14-1)/IF(Parameters!$B$7=1,Parameters!$B$6,(POWER(Parameters!$B$7,Parameters!$B$6)-1)/(Parameters!$B$7-1))</f>
        <v/>
      </c>
      <c r="D14" s="22">
        <f>SUM(C$5:C14)</f>
        <v/>
      </c>
      <c r="E14" s="23">
        <f>IF(A14&lt;=5,Parameters!$B$13+(Parameters!$B$14-Parameters!$B$13)*POWER((A14-1)/4,2),IF(A14&lt;=9,Parameters!$B$14+(Parameters!$B$15-Parameters!$B$14)*POWER((A14-5)/4,2),Parameters!$B$16))</f>
        <v/>
      </c>
      <c r="F14" s="22">
        <f>IF(A14&lt;Parameters!$B$6,Parameters!$B$18*POWER(Parameters!$B$19,A14-1),0)</f>
        <v/>
      </c>
      <c r="G14" s="2" t="inlineStr">
        <is>
          <t>Endgame.</t>
        </is>
      </c>
    </row>
    <row r="15">
      <c r="A15" s="5" t="inlineStr">
        <is>
          <t>TOTAL</t>
        </is>
      </c>
      <c r="C15" s="24">
        <f>SUM(C5:C14)</f>
        <v/>
      </c>
      <c r="F15" s="24">
        <f>SUM(F5:F14)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40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8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8" customWidth="1" min="21" max="21"/>
    <col width="10" customWidth="1" min="22" max="22"/>
    <col width="9" customWidth="1" min="23" max="23"/>
    <col width="12" customWidth="1" min="24" max="24"/>
    <col width="10" customWidth="1" min="25" max="25"/>
    <col width="28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hidden="1" width="9" customWidth="1" min="33" max="33"/>
    <col hidden="1" width="9" customWidth="1" min="34" max="34"/>
    <col hidden="1" width="9" customWidth="1" min="35" max="35"/>
    <col hidden="1" width="9" customWidth="1" min="36" max="36"/>
    <col hidden="1" width="9" customWidth="1" min="37" max="37"/>
    <col hidden="1" width="9" customWidth="1" min="38" max="38"/>
    <col hidden="1" width="9" customWidth="1" min="39" max="39"/>
    <col hidden="1" width="8" customWidth="1" min="40" max="40"/>
    <col hidden="1" width="8" customWidth="1" min="41" max="41"/>
    <col hidden="1" width="11" customWidth="1" min="42" max="42"/>
    <col hidden="1" width="11" customWidth="1" min="43" max="43"/>
    <col hidden="1" width="9" customWidth="1" min="44" max="44"/>
    <col hidden="1" width="12" customWidth="1" min="45" max="45"/>
    <col hidden="1" width="12" customWidth="1" min="46" max="46"/>
    <col hidden="1" width="12" customWidth="1" min="47" max="47"/>
    <col hidden="1" width="12" customWidth="1" min="48" max="48"/>
    <col hidden="1" width="12" customWidth="1" min="49" max="49"/>
    <col hidden="1" width="9" customWidth="1" min="50" max="50"/>
  </cols>
  <sheetData>
    <row r="1">
      <c r="A1" s="1" t="inlineStr">
        <is>
          <t>UpgradeSim — Tier 1 (Solar System)</t>
        </is>
      </c>
    </row>
    <row r="2">
      <c r="A2" s="2" t="inlineStr">
        <is>
          <t>10-second tick simulation. Game ticks every 1 second under the hood; sim runs the COMPLETION path. See row 3 for headline timing metrics.</t>
        </is>
      </c>
    </row>
    <row r="3">
      <c r="A3" s="2" t="inlineStr">
        <is>
          <t>Earliest possible transition (cohesion ready):</t>
        </is>
      </c>
      <c r="E3" s="25">
        <f>IFERROR(INDEX(B:B,MATCH(1,AO:AO,0))&amp;" min","—")</f>
        <v/>
      </c>
      <c r="H3" s="2" t="inlineStr">
        <is>
          <t>Actual transition (completion path):</t>
        </is>
      </c>
      <c r="M3" s="25">
        <f>IFERROR(INDEX(B:B,MATCH("transition",U:U,0))&amp;" min","—")</f>
        <v/>
      </c>
    </row>
    <row r="4">
      <c r="A4" s="17" t="inlineStr">
        <is>
          <t>Tick</t>
        </is>
      </c>
      <c r="B4" s="17" t="inlineStr">
        <is>
          <t>Time (min)</t>
        </is>
      </c>
      <c r="C4" s="17" t="inlineStr">
        <is>
          <t>Mass start</t>
        </is>
      </c>
      <c r="D4" s="17" t="inlineStr">
        <is>
          <t>Cohesion</t>
        </is>
      </c>
      <c r="E4" s="17" t="inlineStr">
        <is>
          <t>SW</t>
        </is>
      </c>
      <c r="F4" s="17" t="inlineStr">
        <is>
          <t>AB</t>
        </is>
      </c>
      <c r="G4" s="17" t="inlineStr">
        <is>
          <t>SC</t>
        </is>
      </c>
      <c r="H4" s="17" t="inlineStr">
        <is>
          <t>Mag</t>
        </is>
      </c>
      <c r="I4" s="17" t="inlineStr">
        <is>
          <t>OR</t>
        </is>
      </c>
      <c r="J4" s="17" t="inlineStr">
        <is>
          <t>HP</t>
        </is>
      </c>
      <c r="K4" s="17" t="inlineStr">
        <is>
          <t>FP</t>
        </is>
      </c>
      <c r="L4" s="17" t="inlineStr">
        <is>
          <t>T2?</t>
        </is>
      </c>
      <c r="M4" s="17" t="inlineStr">
        <is>
          <t>MPC</t>
        </is>
      </c>
      <c r="N4" s="17" t="inlineStr">
        <is>
          <t>MPS</t>
        </is>
      </c>
      <c r="O4" s="17" t="inlineStr">
        <is>
          <t>APS</t>
        </is>
      </c>
      <c r="P4" s="17" t="inlineStr">
        <is>
          <t>Click inc</t>
        </is>
      </c>
      <c r="Q4" s="17" t="inlineStr">
        <is>
          <t>Auto inc</t>
        </is>
      </c>
      <c r="R4" s="17" t="inlineStr">
        <is>
          <t>Pass inc</t>
        </is>
      </c>
      <c r="S4" s="17" t="inlineStr">
        <is>
          <t>Total inc</t>
        </is>
      </c>
      <c r="T4" s="17" t="inlineStr">
        <is>
          <t>Mass post-inc</t>
        </is>
      </c>
      <c r="U4" s="17" t="inlineStr">
        <is>
          <t>Buy?</t>
        </is>
      </c>
      <c r="V4" s="17" t="inlineStr">
        <is>
          <t>Cost</t>
        </is>
      </c>
      <c r="W4" s="17" t="inlineStr">
        <is>
          <t>Coh +</t>
        </is>
      </c>
      <c r="X4" s="17" t="inlineStr">
        <is>
          <t>Mass end</t>
        </is>
      </c>
      <c r="Y4" s="17" t="inlineStr">
        <is>
          <t>M/sec</t>
        </is>
      </c>
      <c r="Z4" s="17" t="inlineStr">
        <is>
          <t>Note</t>
        </is>
      </c>
      <c r="AA4" s="17" t="inlineStr">
        <is>
          <t>SW M/min</t>
        </is>
      </c>
      <c r="AB4" s="17" t="inlineStr">
        <is>
          <t>AB M/min</t>
        </is>
      </c>
      <c r="AC4" s="17" t="inlineStr">
        <is>
          <t>SC M/min</t>
        </is>
      </c>
      <c r="AD4" s="17" t="inlineStr">
        <is>
          <t>Mag M/min</t>
        </is>
      </c>
      <c r="AE4" s="17" t="inlineStr">
        <is>
          <t>FP M/min</t>
        </is>
      </c>
      <c r="AF4" s="17" t="inlineStr">
        <is>
          <t>Base M/min</t>
        </is>
      </c>
      <c r="AG4" s="17" t="inlineStr">
        <is>
          <t>SW cost</t>
        </is>
      </c>
      <c r="AH4" s="17" t="inlineStr">
        <is>
          <t>AB cost</t>
        </is>
      </c>
      <c r="AI4" s="17" t="inlineStr">
        <is>
          <t>SC cost</t>
        </is>
      </c>
      <c r="AJ4" s="17" t="inlineStr">
        <is>
          <t>Mag cost</t>
        </is>
      </c>
      <c r="AK4" s="17" t="inlineStr">
        <is>
          <t>OR cost</t>
        </is>
      </c>
      <c r="AL4" s="17" t="inlineStr">
        <is>
          <t>HP cost</t>
        </is>
      </c>
      <c r="AM4" s="17" t="inlineStr">
        <is>
          <t>FP cost</t>
        </is>
      </c>
      <c r="AN4" s="17" t="inlineStr">
        <is>
          <t>Trans?</t>
        </is>
      </c>
      <c r="AO4" s="17" t="inlineStr">
        <is>
          <t>Could-trans?</t>
        </is>
      </c>
      <c r="AP4" s="17" t="inlineStr">
        <is>
          <t>Next OS cost</t>
        </is>
      </c>
      <c r="AQ4" s="17" t="inlineStr">
        <is>
          <t>Cheapest stack</t>
        </is>
      </c>
      <c r="AR4" s="17" t="inlineStr">
        <is>
          <t>Save mode</t>
        </is>
      </c>
      <c r="AS4" s="17" t="inlineStr">
        <is>
          <t>SW VPC</t>
        </is>
      </c>
      <c r="AT4" s="17" t="inlineStr">
        <is>
          <t>AB VPC</t>
        </is>
      </c>
      <c r="AU4" s="17" t="inlineStr">
        <is>
          <t>SC VPC</t>
        </is>
      </c>
      <c r="AV4" s="17" t="inlineStr">
        <is>
          <t>Mag VPC</t>
        </is>
      </c>
      <c r="AW4" s="17" t="inlineStr">
        <is>
          <t>Next OS VPC</t>
        </is>
      </c>
      <c r="AX4" s="17" t="inlineStr">
        <is>
          <t>Action</t>
        </is>
      </c>
    </row>
    <row r="5">
      <c r="A5" s="26" t="n">
        <v>0</v>
      </c>
      <c r="B5" s="27" t="n">
        <v>0</v>
      </c>
      <c r="C5" s="22" t="n">
        <v>0</v>
      </c>
      <c r="D5" s="27" t="n">
        <v>0</v>
      </c>
      <c r="E5" s="26" t="n">
        <v>0</v>
      </c>
      <c r="F5" s="26" t="n">
        <v>0</v>
      </c>
      <c r="G5" s="26" t="n">
        <v>0</v>
      </c>
      <c r="H5" s="26" t="n">
        <v>0</v>
      </c>
      <c r="I5" s="26" t="n">
        <v>0</v>
      </c>
      <c r="J5" s="26" t="n">
        <v>0</v>
      </c>
      <c r="K5" s="26" t="n">
        <v>0</v>
      </c>
      <c r="L5" s="26" t="n">
        <v>0</v>
      </c>
      <c r="M5" s="28">
        <f>(Parameters!$B$9+(IF(E5=0,0,(Upgrades!$J$6+E5*Upgrades!$K$6)*POWER(Upgrades!$L$6,E5)))*(IF(Upgrades!$T$7="Solar Wind",POWER(Upgrades!$U$7,F5),1)*IF(Upgrades!$T$8="Solar Wind",POWER(Upgrades!$U$8,G5),1)*IF(Upgrades!$T$9="Solar Wind",POWER(Upgrades!$U$9,H5),1)*IF(Upgrades!$T$10="Solar Wind",POWER(Upgrades!$U$10,I5),1)*IF(Upgrades!$T$11="Solar Wind",POWER(Upgrades!$U$11,J5),1)*IF(Upgrades!$T$12="Solar Wind",POWER(Upgrades!$U$12,K5),1))+(IF(F5=0,0,(Upgrades!$J$7+F5*Upgrades!$K$7)*POWER(Upgrades!$L$7,F5)))*(IF(Upgrades!$T$6="Asteroid Belt",POWER(Upgrades!$U$6,E5),1)*IF(Upgrades!$T$8="Asteroid Belt",POWER(Upgrades!$U$8,G5),1)*IF(Upgrades!$T$9="Asteroid Belt",POWER(Upgrades!$U$9,H5),1)*IF(Upgrades!$T$10="Asteroid Belt",POWER(Upgrades!$U$10,I5),1)*IF(Upgrades!$T$11="Asteroid Belt",POWER(Upgrades!$U$11,J5),1)*IF(Upgrades!$T$12="Asteroid Belt",POWER(Upgrades!$U$12,K5),1))+(IF(G5=0,0,(Upgrades!$J$8+G5*Upgrades!$K$8)*POWER(Upgrades!$L$8,G5)))*(IF(Upgrades!$T$6="Stellar Coupling",POWER(Upgrades!$U$6,E5),1)*IF(Upgrades!$T$7="Stellar Coupling",POWER(Upgrades!$U$7,F5),1)*IF(Upgrades!$T$9="Stellar Coupling",POWER(Upgrades!$U$9,H5),1)*IF(Upgrades!$T$10="Stellar Coupling",POWER(Upgrades!$U$10,I5),1)*IF(Upgrades!$T$11="Stellar Coupling",POWER(Upgrades!$U$11,J5),1)*IF(Upgrades!$T$12="Stellar Coupling",POWER(Upgrades!$U$12,K5),1))+(IF(H5=0,0,(Upgrades!$J$9+H5*Upgrades!$K$9)*POWER(Upgrades!$L$9,H5)))*(IF(Upgrades!$T$6="Magnetosphere",POWER(Upgrades!$U$6,E5),1)*IF(Upgrades!$T$7="Magnetosphere",POWER(Upgrades!$U$7,F5),1)*IF(Upgrades!$T$8="Magnetosphere",POWER(Upgrades!$U$8,G5),1)*IF(Upgrades!$T$10="Magnetosphere",POWER(Upgrades!$U$10,I5),1)*IF(Upgrades!$T$11="Magnetosphere",POWER(Upgrades!$U$11,J5),1)*IF(Upgrades!$T$12="Magnetosphere",POWER(Upgrades!$U$12,K5),1))+(IF(I5=0,0,(Upgrades!$J$10+I5*Upgrades!$K$10)*POWER(Upgrades!$L$10,I5)))*(IF(Upgrades!$T$6="Orbital Resonance",POWER(Upgrades!$U$6,E5),1)*IF(Upgrades!$T$7="Orbital Resonance",POWER(Upgrades!$U$7,F5),1)*IF(Upgrades!$T$8="Orbital Resonance",POWER(Upgrades!$U$8,G5),1)*IF(Upgrades!$T$9="Orbital Resonance",POWER(Upgrades!$U$9,H5),1)*IF(Upgrades!$T$11="Orbital Resonance",POWER(Upgrades!$U$11,J5),1)*IF(Upgrades!$T$12="Orbital Resonance",POWER(Upgrades!$U$12,K5),1))+(IF(J5=0,0,(Upgrades!$J$11+J5*Upgrades!$K$11)*POWER(Upgrades!$L$11,J5)))*(IF(Upgrades!$T$6="Heliopause",POWER(Upgrades!$U$6,E5),1)*IF(Upgrades!$T$7="Heliopause",POWER(Upgrades!$U$7,F5),1)*IF(Upgrades!$T$8="Heliopause",POWER(Upgrades!$U$8,G5),1)*IF(Upgrades!$T$9="Heliopause",POWER(Upgrades!$U$9,H5),1)*IF(Upgrades!$T$10="Heliopause",POWER(Upgrades!$U$10,I5),1)*IF(Upgrades!$T$12="Heliopause",POWER(Upgrades!$U$12,K5),1))+(IF(K5=0,0,(Upgrades!$J$12+K5*Upgrades!$K$12)*POWER(Upgrades!$L$12,K5)))*(IF(Upgrades!$T$6="First Photons",POWER(Upgrades!$U$6,E5),1)*IF(Upgrades!$T$7="First Photons",POWER(Upgrades!$U$7,F5),1)*IF(Upgrades!$T$8="First Photons",POWER(Upgrades!$U$8,G5),1)*IF(Upgrades!$T$9="First Photons",POWER(Upgrades!$U$9,H5),1)*IF(Upgrades!$T$10="First Photons",POWER(Upgrades!$U$10,I5),1)*IF(Upgrades!$T$11="First Photons",POWER(Upgrades!$U$11,J5),1)))*POWER(Upgrades!$Q$6,E5)*POWER(Upgrades!$Q$7,F5)*POWER(Upgrades!$Q$8,G5)*POWER(Upgrades!$Q$9,H5)*POWER(Upgrades!$Q$10,I5)*POWER(Upgrades!$Q$11,J5)*POWER(Upgrades!$Q$12,K5)</f>
        <v/>
      </c>
      <c r="N5" s="28">
        <f>((IF(E5=0,0,(Upgrades!$G$6+E5*Upgrades!$H$6)*POWER(Upgrades!$I$6,E5)))*(IF(Upgrades!$T$7="Solar Wind",POWER(Upgrades!$U$7,F5),1)*IF(Upgrades!$T$8="Solar Wind",POWER(Upgrades!$U$8,G5),1)*IF(Upgrades!$T$9="Solar Wind",POWER(Upgrades!$U$9,H5),1)*IF(Upgrades!$T$10="Solar Wind",POWER(Upgrades!$U$10,I5),1)*IF(Upgrades!$T$11="Solar Wind",POWER(Upgrades!$U$11,J5),1)*IF(Upgrades!$T$12="Solar Wind",POWER(Upgrades!$U$12,K5),1))+(IF(F5=0,0,(Upgrades!$G$7+F5*Upgrades!$H$7)*POWER(Upgrades!$I$7,F5)))*(IF(Upgrades!$T$6="Asteroid Belt",POWER(Upgrades!$U$6,E5),1)*IF(Upgrades!$T$8="Asteroid Belt",POWER(Upgrades!$U$8,G5),1)*IF(Upgrades!$T$9="Asteroid Belt",POWER(Upgrades!$U$9,H5),1)*IF(Upgrades!$T$10="Asteroid Belt",POWER(Upgrades!$U$10,I5),1)*IF(Upgrades!$T$11="Asteroid Belt",POWER(Upgrades!$U$11,J5),1)*IF(Upgrades!$T$12="Asteroid Belt",POWER(Upgrades!$U$12,K5),1))+(IF(G5=0,0,(Upgrades!$G$8+G5*Upgrades!$H$8)*POWER(Upgrades!$I$8,G5)))*(IF(Upgrades!$T$6="Stellar Coupling",POWER(Upgrades!$U$6,E5),1)*IF(Upgrades!$T$7="Stellar Coupling",POWER(Upgrades!$U$7,F5),1)*IF(Upgrades!$T$9="Stellar Coupling",POWER(Upgrades!$U$9,H5),1)*IF(Upgrades!$T$10="Stellar Coupling",POWER(Upgrades!$U$10,I5),1)*IF(Upgrades!$T$11="Stellar Coupling",POWER(Upgrades!$U$11,J5),1)*IF(Upgrades!$T$12="Stellar Coupling",POWER(Upgrades!$U$12,K5),1))+(IF(H5=0,0,(Upgrades!$G$9+H5*Upgrades!$H$9)*POWER(Upgrades!$I$9,H5)))*(IF(Upgrades!$T$6="Magnetosphere",POWER(Upgrades!$U$6,E5),1)*IF(Upgrades!$T$7="Magnetosphere",POWER(Upgrades!$U$7,F5),1)*IF(Upgrades!$T$8="Magnetosphere",POWER(Upgrades!$U$8,G5),1)*IF(Upgrades!$T$10="Magnetosphere",POWER(Upgrades!$U$10,I5),1)*IF(Upgrades!$T$11="Magnetosphere",POWER(Upgrades!$U$11,J5),1)*IF(Upgrades!$T$12="Magnetosphere",POWER(Upgrades!$U$12,K5),1))+(IF(I5=0,0,(Upgrades!$G$10+I5*Upgrades!$H$10)*POWER(Upgrades!$I$10,I5)))*(IF(Upgrades!$T$6="Orbital Resonance",POWER(Upgrades!$U$6,E5),1)*IF(Upgrades!$T$7="Orbital Resonance",POWER(Upgrades!$U$7,F5),1)*IF(Upgrades!$T$8="Orbital Resonance",POWER(Upgrades!$U$8,G5),1)*IF(Upgrades!$T$9="Orbital Resonance",POWER(Upgrades!$U$9,H5),1)*IF(Upgrades!$T$11="Orbital Resonance",POWER(Upgrades!$U$11,J5),1)*IF(Upgrades!$T$12="Orbital Resonance",POWER(Upgrades!$U$12,K5),1))+(IF(J5=0,0,(Upgrades!$G$11+J5*Upgrades!$H$11)*POWER(Upgrades!$I$11,J5)))*(IF(Upgrades!$T$6="Heliopause",POWER(Upgrades!$U$6,E5),1)*IF(Upgrades!$T$7="Heliopause",POWER(Upgrades!$U$7,F5),1)*IF(Upgrades!$T$8="Heliopause",POWER(Upgrades!$U$8,G5),1)*IF(Upgrades!$T$9="Heliopause",POWER(Upgrades!$U$9,H5),1)*IF(Upgrades!$T$10="Heliopause",POWER(Upgrades!$U$10,I5),1)*IF(Upgrades!$T$12="Heliopause",POWER(Upgrades!$U$12,K5),1))+(IF(K5=0,0,(Upgrades!$G$12+K5*Upgrades!$H$12)*POWER(Upgrades!$I$12,K5)))*(IF(Upgrades!$T$6="First Photons",POWER(Upgrades!$U$6,E5),1)*IF(Upgrades!$T$7="First Photons",POWER(Upgrades!$U$7,F5),1)*IF(Upgrades!$T$8="First Photons",POWER(Upgrades!$U$8,G5),1)*IF(Upgrades!$T$9="First Photons",POWER(Upgrades!$U$9,H5),1)*IF(Upgrades!$T$10="First Photons",POWER(Upgrades!$U$10,I5),1)*IF(Upgrades!$T$11="First Photons",POWER(Upgrades!$U$11,J5),1)))*POWER(Upgrades!$P$6,E5)*POWER(Upgrades!$P$7,F5)*POWER(Upgrades!$P$8,G5)*POWER(Upgrades!$P$9,H5)*POWER(Upgrades!$P$10,I5)*POWER(Upgrades!$P$11,J5)*POWER(Upgrades!$P$12,K5)</f>
        <v/>
      </c>
      <c r="O5" s="28">
        <f>((IF(E5=0,0,(Upgrades!$M$6+E5*Upgrades!$N$6)*POWER(Upgrades!$O$6,E5)))*(IF(Upgrades!$T$7="Solar Wind",POWER(Upgrades!$U$7,F5),1)*IF(Upgrades!$T$8="Solar Wind",POWER(Upgrades!$U$8,G5),1)*IF(Upgrades!$T$9="Solar Wind",POWER(Upgrades!$U$9,H5),1)*IF(Upgrades!$T$10="Solar Wind",POWER(Upgrades!$U$10,I5),1)*IF(Upgrades!$T$11="Solar Wind",POWER(Upgrades!$U$11,J5),1)*IF(Upgrades!$T$12="Solar Wind",POWER(Upgrades!$U$12,K5),1))+(IF(F5=0,0,(Upgrades!$M$7+F5*Upgrades!$N$7)*POWER(Upgrades!$O$7,F5)))*(IF(Upgrades!$T$6="Asteroid Belt",POWER(Upgrades!$U$6,E5),1)*IF(Upgrades!$T$8="Asteroid Belt",POWER(Upgrades!$U$8,G5),1)*IF(Upgrades!$T$9="Asteroid Belt",POWER(Upgrades!$U$9,H5),1)*IF(Upgrades!$T$10="Asteroid Belt",POWER(Upgrades!$U$10,I5),1)*IF(Upgrades!$T$11="Asteroid Belt",POWER(Upgrades!$U$11,J5),1)*IF(Upgrades!$T$12="Asteroid Belt",POWER(Upgrades!$U$12,K5),1))+(IF(G5=0,0,(Upgrades!$M$8+G5*Upgrades!$N$8)*POWER(Upgrades!$O$8,G5)))*(IF(Upgrades!$T$6="Stellar Coupling",POWER(Upgrades!$U$6,E5),1)*IF(Upgrades!$T$7="Stellar Coupling",POWER(Upgrades!$U$7,F5),1)*IF(Upgrades!$T$9="Stellar Coupling",POWER(Upgrades!$U$9,H5),1)*IF(Upgrades!$T$10="Stellar Coupling",POWER(Upgrades!$U$10,I5),1)*IF(Upgrades!$T$11="Stellar Coupling",POWER(Upgrades!$U$11,J5),1)*IF(Upgrades!$T$12="Stellar Coupling",POWER(Upgrades!$U$12,K5),1))+(IF(H5=0,0,(Upgrades!$M$9+H5*Upgrades!$N$9)*POWER(Upgrades!$O$9,H5)))*(IF(Upgrades!$T$6="Magnetosphere",POWER(Upgrades!$U$6,E5),1)*IF(Upgrades!$T$7="Magnetosphere",POWER(Upgrades!$U$7,F5),1)*IF(Upgrades!$T$8="Magnetosphere",POWER(Upgrades!$U$8,G5),1)*IF(Upgrades!$T$10="Magnetosphere",POWER(Upgrades!$U$10,I5),1)*IF(Upgrades!$T$11="Magnetosphere",POWER(Upgrades!$U$11,J5),1)*IF(Upgrades!$T$12="Magnetosphere",POWER(Upgrades!$U$12,K5),1))+(IF(I5=0,0,(Upgrades!$M$10+I5*Upgrades!$N$10)*POWER(Upgrades!$O$10,I5)))*(IF(Upgrades!$T$6="Orbital Resonance",POWER(Upgrades!$U$6,E5),1)*IF(Upgrades!$T$7="Orbital Resonance",POWER(Upgrades!$U$7,F5),1)*IF(Upgrades!$T$8="Orbital Resonance",POWER(Upgrades!$U$8,G5),1)*IF(Upgrades!$T$9="Orbital Resonance",POWER(Upgrades!$U$9,H5),1)*IF(Upgrades!$T$11="Orbital Resonance",POWER(Upgrades!$U$11,J5),1)*IF(Upgrades!$T$12="Orbital Resonance",POWER(Upgrades!$U$12,K5),1))+(IF(J5=0,0,(Upgrades!$M$11+J5*Upgrades!$N$11)*POWER(Upgrades!$O$11,J5)))*(IF(Upgrades!$T$6="Heliopause",POWER(Upgrades!$U$6,E5),1)*IF(Upgrades!$T$7="Heliopause",POWER(Upgrades!$U$7,F5),1)*IF(Upgrades!$T$8="Heliopause",POWER(Upgrades!$U$8,G5),1)*IF(Upgrades!$T$9="Heliopause",POWER(Upgrades!$U$9,H5),1)*IF(Upgrades!$T$10="Heliopause",POWER(Upgrades!$U$10,I5),1)*IF(Upgrades!$T$12="Heliopause",POWER(Upgrades!$U$12,K5),1))+(IF(K5=0,0,(Upgrades!$M$12+K5*Upgrades!$N$12)*POWER(Upgrades!$O$12,K5)))*(IF(Upgrades!$T$6="First Photons",POWER(Upgrades!$U$6,E5),1)*IF(Upgrades!$T$7="First Photons",POWER(Upgrades!$U$7,F5),1)*IF(Upgrades!$T$8="First Photons",POWER(Upgrades!$U$8,G5),1)*IF(Upgrades!$T$9="First Photons",POWER(Upgrades!$U$9,H5),1)*IF(Upgrades!$T$10="First Photons",POWER(Upgrades!$U$10,I5),1)*IF(Upgrades!$T$11="First Photons",POWER(Upgrades!$U$11,J5),1)))*POWER(Upgrades!$R$6,E5)*POWER(Upgrades!$R$7,F5)*POWER(Upgrades!$R$8,G5)*POWER(Upgrades!$R$9,H5)*POWER(Upgrades!$R$10,I5)*POWER(Upgrades!$R$11,J5)*POWER(Upgrades!$R$12,K5)</f>
        <v/>
      </c>
      <c r="P5" s="27" t="n">
        <v>0</v>
      </c>
      <c r="Q5" s="27" t="n">
        <v>0</v>
      </c>
      <c r="R5" s="27" t="n">
        <v>0</v>
      </c>
      <c r="S5" s="27" t="n">
        <v>0</v>
      </c>
      <c r="T5" s="22" t="n">
        <v>0</v>
      </c>
      <c r="U5" s="29" t="inlineStr"/>
      <c r="V5" s="22" t="n">
        <v>0</v>
      </c>
      <c r="W5" s="27" t="n">
        <v>0</v>
      </c>
      <c r="X5" s="22" t="n">
        <v>0</v>
      </c>
      <c r="Y5" s="30">
        <f>M5*Parameters!$B$10/60*Parameters!$B$11+O5*M5+N5</f>
        <v/>
      </c>
      <c r="Z5" s="31" t="inlineStr">
        <is>
          <t>game start</t>
        </is>
      </c>
      <c r="AA5" s="27">
        <f>(IF(E5=0,0,(Upgrades!$G$6+E5*Upgrades!$H$6)*POWER(Upgrades!$I$6,E5)))*(IF(Upgrades!$T$7="Solar Wind",POWER(Upgrades!$U$7,F5),1)*IF(Upgrades!$T$8="Solar Wind",POWER(Upgrades!$U$8,G5),1)*IF(Upgrades!$T$9="Solar Wind",POWER(Upgrades!$U$9,H5),1)*IF(Upgrades!$T$10="Solar Wind",POWER(Upgrades!$U$10,I5),1)*IF(Upgrades!$T$11="Solar Wind",POWER(Upgrades!$U$11,J5),1)*IF(Upgrades!$T$12="Solar Wind",POWER(Upgrades!$U$12,K5),1))*POWER(Upgrades!$P$6,E5)*POWER(Upgrades!$P$7,F5)*POWER(Upgrades!$P$8,G5)*POWER(Upgrades!$P$9,H5)*POWER(Upgrades!$P$10,I5)*POWER(Upgrades!$P$11,J5)*POWER(Upgrades!$P$12,K5)*60</f>
        <v/>
      </c>
      <c r="AB5" s="27">
        <f>(IF(F5=0,0,(Upgrades!$G$7+F5*Upgrades!$H$7)*POWER(Upgrades!$I$7,F5)))*(IF(Upgrades!$T$6="Asteroid Belt",POWER(Upgrades!$U$6,E5),1)*IF(Upgrades!$T$8="Asteroid Belt",POWER(Upgrades!$U$8,G5),1)*IF(Upgrades!$T$9="Asteroid Belt",POWER(Upgrades!$U$9,H5),1)*IF(Upgrades!$T$10="Asteroid Belt",POWER(Upgrades!$U$10,I5),1)*IF(Upgrades!$T$11="Asteroid Belt",POWER(Upgrades!$U$11,J5),1)*IF(Upgrades!$T$12="Asteroid Belt",POWER(Upgrades!$U$12,K5),1))*POWER(Upgrades!$P$6,E5)*POWER(Upgrades!$P$7,F5)*POWER(Upgrades!$P$8,G5)*POWER(Upgrades!$P$9,H5)*POWER(Upgrades!$P$10,I5)*POWER(Upgrades!$P$11,J5)*POWER(Upgrades!$P$12,K5)*60</f>
        <v/>
      </c>
      <c r="AC5" s="27">
        <f>(IF(G5=0,0,(Upgrades!$J$8+G5*Upgrades!$K$8)*POWER(Upgrades!$L$8,G5)))*(IF(Upgrades!$T$6="Stellar Coupling",POWER(Upgrades!$U$6,E5),1)*IF(Upgrades!$T$7="Stellar Coupling",POWER(Upgrades!$U$7,F5),1)*IF(Upgrades!$T$9="Stellar Coupling",POWER(Upgrades!$U$9,H5),1)*IF(Upgrades!$T$10="Stellar Coupling",POWER(Upgrades!$U$10,I5),1)*IF(Upgrades!$T$11="Stellar Coupling",POWER(Upgrades!$U$11,J5),1)*IF(Upgrades!$T$12="Stellar Coupling",POWER(Upgrades!$U$12,K5),1))*POWER(Upgrades!$Q$6,E5)*POWER(Upgrades!$Q$7,F5)*POWER(Upgrades!$Q$8,G5)*POWER(Upgrades!$Q$9,H5)*POWER(Upgrades!$Q$10,I5)*POWER(Upgrades!$Q$11,J5)*POWER(Upgrades!$Q$12,K5)*Parameters!$B$10*Parameters!$B$11</f>
        <v/>
      </c>
      <c r="AD5" s="27">
        <f>(IF(H5=0,0,(Upgrades!$G$9+H5*Upgrades!$H$9)*POWER(Upgrades!$I$9,H5)))*(IF(Upgrades!$T$6="Magnetosphere",POWER(Upgrades!$U$6,E5),1)*IF(Upgrades!$T$7="Magnetosphere",POWER(Upgrades!$U$7,F5),1)*IF(Upgrades!$T$8="Magnetosphere",POWER(Upgrades!$U$8,G5),1)*IF(Upgrades!$T$10="Magnetosphere",POWER(Upgrades!$U$10,I5),1)*IF(Upgrades!$T$11="Magnetosphere",POWER(Upgrades!$U$11,J5),1)*IF(Upgrades!$T$12="Magnetosphere",POWER(Upgrades!$U$12,K5),1))*POWER(Upgrades!$P$6,E5)*POWER(Upgrades!$P$7,F5)*POWER(Upgrades!$P$8,G5)*POWER(Upgrades!$P$9,H5)*POWER(Upgrades!$P$10,I5)*POWER(Upgrades!$P$11,J5)*POWER(Upgrades!$P$12,K5)*60</f>
        <v/>
      </c>
      <c r="AE5" s="27">
        <f>(IF(K5=0,0,(Upgrades!$G$12+K5*Upgrades!$H$12)*POWER(Upgrades!$I$12,K5)))*(IF(Upgrades!$T$6="First Photons",POWER(Upgrades!$U$6,E5),1)*IF(Upgrades!$T$7="First Photons",POWER(Upgrades!$U$7,F5),1)*IF(Upgrades!$T$8="First Photons",POWER(Upgrades!$U$8,G5),1)*IF(Upgrades!$T$9="First Photons",POWER(Upgrades!$U$9,H5),1)*IF(Upgrades!$T$10="First Photons",POWER(Upgrades!$U$10,I5),1)*IF(Upgrades!$T$11="First Photons",POWER(Upgrades!$U$11,J5),1))*POWER(Upgrades!$P$6,E5)*POWER(Upgrades!$P$7,F5)*POWER(Upgrades!$P$8,G5)*POWER(Upgrades!$P$9,H5)*POWER(Upgrades!$P$10,I5)*POWER(Upgrades!$P$11,J5)*POWER(Upgrades!$P$12,K5)*60</f>
        <v/>
      </c>
      <c r="AF5" s="27">
        <f>Parameters!$B$9*POWER(Upgrades!$Q$6,E5)*POWER(Upgrades!$Q$7,F5)*POWER(Upgrades!$Q$8,G5)*POWER(Upgrades!$Q$9,H5)*POWER(Upgrades!$Q$10,I5)*POWER(Upgrades!$Q$11,J5)*POWER(Upgrades!$Q$12,K5)*(Parameters!$B$10*Parameters!$B$11+O5*60)</f>
        <v/>
      </c>
      <c r="AG5" s="22">
        <f>IF(E5&gt;=Upgrades!$E$6,"",Upgrades!$C$6*POWER(Upgrades!$D$6,E5))</f>
        <v/>
      </c>
      <c r="AH5" s="22">
        <f>IF(F5&gt;=Upgrades!$E$7,"",Upgrades!$C$7*POWER(Upgrades!$D$7,F5))</f>
        <v/>
      </c>
      <c r="AI5" s="22">
        <f>IF(G5&gt;=Upgrades!$E$8,"",Upgrades!$C$8*POWER(Upgrades!$D$8,G5))</f>
        <v/>
      </c>
      <c r="AJ5" s="22">
        <f>IF(H5&gt;=Upgrades!$E$9,"",Upgrades!$C$9*POWER(Upgrades!$D$9,H5))</f>
        <v/>
      </c>
      <c r="AK5" s="22">
        <f>IF(I5&gt;=Upgrades!$E$10,"",Upgrades!$C$10*POWER(Upgrades!$D$10,I5))</f>
        <v/>
      </c>
      <c r="AL5" s="22">
        <f>IF(J5&gt;=Upgrades!$E$11,"",Upgrades!$C$11*POWER(Upgrades!$D$11,J5))</f>
        <v/>
      </c>
      <c r="AM5" s="22">
        <f>IF(K5&gt;=Upgrades!$E$12,"",Upgrades!$C$12*POWER(Upgrades!$D$12,K5))</f>
        <v/>
      </c>
      <c r="AN5" s="26">
        <f>IF(AND(D5&gt;=Parameters!$B$18,(H5&gt;=Upgrades!$E$9)*(K5&gt;=Upgrades!$E$12)=1,L5=0),1,"")</f>
        <v/>
      </c>
      <c r="AO5" s="26">
        <f>IF(AND(D5&gt;=Parameters!$B$18,L5=0),1,"")</f>
        <v/>
      </c>
      <c r="AP5" s="22">
        <f>MIN(IF(ISNUMBER(AK5),AK5,9E15),IF(ISNUMBER(AL5),AL5,9E15),IF(ISNUMBER(AM5),AM5,9E15))</f>
        <v/>
      </c>
      <c r="AQ5" s="22">
        <f>MIN(IF(ISNUMBER(AG5),AG5,9E15),IF(ISNUMBER(AH5),AH5,9E15),IF(ISNUMBER(AI5),AI5,9E15),IF(ISNUMBER(AJ5),AJ5,9E15))</f>
        <v/>
      </c>
      <c r="AR5" s="29">
        <f>FALSE</f>
        <v/>
      </c>
      <c r="AS5" s="32" t="n">
        <v>0</v>
      </c>
      <c r="AT5" s="32" t="n">
        <v>0</v>
      </c>
      <c r="AU5" s="32" t="n">
        <v>0</v>
      </c>
      <c r="AV5" s="32" t="n">
        <v>0</v>
      </c>
      <c r="AW5" s="32" t="n">
        <v>0</v>
      </c>
      <c r="AX5" s="29" t="inlineStr"/>
    </row>
    <row r="6">
      <c r="A6" s="26" t="n">
        <v>1</v>
      </c>
      <c r="B6" s="27">
        <f>A6*10/60</f>
        <v/>
      </c>
      <c r="C6" s="22">
        <f>X5</f>
        <v/>
      </c>
      <c r="D6" s="27">
        <f>D5+W5</f>
        <v/>
      </c>
      <c r="E6" s="26">
        <f>E5+IF(U5="SW",1,0)</f>
        <v/>
      </c>
      <c r="F6" s="26">
        <f>F5+IF(U5="AB",1,0)</f>
        <v/>
      </c>
      <c r="G6" s="26">
        <f>G5+IF(U5="SC",1,0)</f>
        <v/>
      </c>
      <c r="H6" s="26">
        <f>H5+IF(U5="Mag",1,0)</f>
        <v/>
      </c>
      <c r="I6" s="26">
        <f>MAX(I5,IF(U5="OR",1,0))</f>
        <v/>
      </c>
      <c r="J6" s="26">
        <f>MAX(J5,IF(U5="HP",1,0))</f>
        <v/>
      </c>
      <c r="K6" s="26">
        <f>MAX(K5,IF(U5="FP",1,0))</f>
        <v/>
      </c>
      <c r="L6" s="26">
        <f>MAX(L5,IF(U5="transition",1,0))</f>
        <v/>
      </c>
      <c r="M6" s="28">
        <f>(Parameters!$B$9+(IF(E6=0,0,(Upgrades!$J$6+E6*Upgrades!$K$6)*POWER(Upgrades!$L$6,E6)))*(IF(Upgrades!$T$7="Solar Wind",POWER(Upgrades!$U$7,F6),1)*IF(Upgrades!$T$8="Solar Wind",POWER(Upgrades!$U$8,G6),1)*IF(Upgrades!$T$9="Solar Wind",POWER(Upgrades!$U$9,H6),1)*IF(Upgrades!$T$10="Solar Wind",POWER(Upgrades!$U$10,I6),1)*IF(Upgrades!$T$11="Solar Wind",POWER(Upgrades!$U$11,J6),1)*IF(Upgrades!$T$12="Solar Wind",POWER(Upgrades!$U$12,K6),1))+(IF(F6=0,0,(Upgrades!$J$7+F6*Upgrades!$K$7)*POWER(Upgrades!$L$7,F6)))*(IF(Upgrades!$T$6="Asteroid Belt",POWER(Upgrades!$U$6,E6),1)*IF(Upgrades!$T$8="Asteroid Belt",POWER(Upgrades!$U$8,G6),1)*IF(Upgrades!$T$9="Asteroid Belt",POWER(Upgrades!$U$9,H6),1)*IF(Upgrades!$T$10="Asteroid Belt",POWER(Upgrades!$U$10,I6),1)*IF(Upgrades!$T$11="Asteroid Belt",POWER(Upgrades!$U$11,J6),1)*IF(Upgrades!$T$12="Asteroid Belt",POWER(Upgrades!$U$12,K6),1))+(IF(G6=0,0,(Upgrades!$J$8+G6*Upgrades!$K$8)*POWER(Upgrades!$L$8,G6)))*(IF(Upgrades!$T$6="Stellar Coupling",POWER(Upgrades!$U$6,E6),1)*IF(Upgrades!$T$7="Stellar Coupling",POWER(Upgrades!$U$7,F6),1)*IF(Upgrades!$T$9="Stellar Coupling",POWER(Upgrades!$U$9,H6),1)*IF(Upgrades!$T$10="Stellar Coupling",POWER(Upgrades!$U$10,I6),1)*IF(Upgrades!$T$11="Stellar Coupling",POWER(Upgrades!$U$11,J6),1)*IF(Upgrades!$T$12="Stellar Coupling",POWER(Upgrades!$U$12,K6),1))+(IF(H6=0,0,(Upgrades!$J$9+H6*Upgrades!$K$9)*POWER(Upgrades!$L$9,H6)))*(IF(Upgrades!$T$6="Magnetosphere",POWER(Upgrades!$U$6,E6),1)*IF(Upgrades!$T$7="Magnetosphere",POWER(Upgrades!$U$7,F6),1)*IF(Upgrades!$T$8="Magnetosphere",POWER(Upgrades!$U$8,G6),1)*IF(Upgrades!$T$10="Magnetosphere",POWER(Upgrades!$U$10,I6),1)*IF(Upgrades!$T$11="Magnetosphere",POWER(Upgrades!$U$11,J6),1)*IF(Upgrades!$T$12="Magnetosphere",POWER(Upgrades!$U$12,K6),1))+(IF(I6=0,0,(Upgrades!$J$10+I6*Upgrades!$K$10)*POWER(Upgrades!$L$10,I6)))*(IF(Upgrades!$T$6="Orbital Resonance",POWER(Upgrades!$U$6,E6),1)*IF(Upgrades!$T$7="Orbital Resonance",POWER(Upgrades!$U$7,F6),1)*IF(Upgrades!$T$8="Orbital Resonance",POWER(Upgrades!$U$8,G6),1)*IF(Upgrades!$T$9="Orbital Resonance",POWER(Upgrades!$U$9,H6),1)*IF(Upgrades!$T$11="Orbital Resonance",POWER(Upgrades!$U$11,J6),1)*IF(Upgrades!$T$12="Orbital Resonance",POWER(Upgrades!$U$12,K6),1))+(IF(J6=0,0,(Upgrades!$J$11+J6*Upgrades!$K$11)*POWER(Upgrades!$L$11,J6)))*(IF(Upgrades!$T$6="Heliopause",POWER(Upgrades!$U$6,E6),1)*IF(Upgrades!$T$7="Heliopause",POWER(Upgrades!$U$7,F6),1)*IF(Upgrades!$T$8="Heliopause",POWER(Upgrades!$U$8,G6),1)*IF(Upgrades!$T$9="Heliopause",POWER(Upgrades!$U$9,H6),1)*IF(Upgrades!$T$10="Heliopause",POWER(Upgrades!$U$10,I6),1)*IF(Upgrades!$T$12="Heliopause",POWER(Upgrades!$U$12,K6),1))+(IF(K6=0,0,(Upgrades!$J$12+K6*Upgrades!$K$12)*POWER(Upgrades!$L$12,K6)))*(IF(Upgrades!$T$6="First Photons",POWER(Upgrades!$U$6,E6),1)*IF(Upgrades!$T$7="First Photons",POWER(Upgrades!$U$7,F6),1)*IF(Upgrades!$T$8="First Photons",POWER(Upgrades!$U$8,G6),1)*IF(Upgrades!$T$9="First Photons",POWER(Upgrades!$U$9,H6),1)*IF(Upgrades!$T$10="First Photons",POWER(Upgrades!$U$10,I6),1)*IF(Upgrades!$T$11="First Photons",POWER(Upgrades!$U$11,J6),1)))*POWER(Upgrades!$Q$6,E6)*POWER(Upgrades!$Q$7,F6)*POWER(Upgrades!$Q$8,G6)*POWER(Upgrades!$Q$9,H6)*POWER(Upgrades!$Q$10,I6)*POWER(Upgrades!$Q$11,J6)*POWER(Upgrades!$Q$12,K6)</f>
        <v/>
      </c>
      <c r="N6" s="28">
        <f>((IF(E6=0,0,(Upgrades!$G$6+E6*Upgrades!$H$6)*POWER(Upgrades!$I$6,E6)))*(IF(Upgrades!$T$7="Solar Wind",POWER(Upgrades!$U$7,F6),1)*IF(Upgrades!$T$8="Solar Wind",POWER(Upgrades!$U$8,G6),1)*IF(Upgrades!$T$9="Solar Wind",POWER(Upgrades!$U$9,H6),1)*IF(Upgrades!$T$10="Solar Wind",POWER(Upgrades!$U$10,I6),1)*IF(Upgrades!$T$11="Solar Wind",POWER(Upgrades!$U$11,J6),1)*IF(Upgrades!$T$12="Solar Wind",POWER(Upgrades!$U$12,K6),1))+(IF(F6=0,0,(Upgrades!$G$7+F6*Upgrades!$H$7)*POWER(Upgrades!$I$7,F6)))*(IF(Upgrades!$T$6="Asteroid Belt",POWER(Upgrades!$U$6,E6),1)*IF(Upgrades!$T$8="Asteroid Belt",POWER(Upgrades!$U$8,G6),1)*IF(Upgrades!$T$9="Asteroid Belt",POWER(Upgrades!$U$9,H6),1)*IF(Upgrades!$T$10="Asteroid Belt",POWER(Upgrades!$U$10,I6),1)*IF(Upgrades!$T$11="Asteroid Belt",POWER(Upgrades!$U$11,J6),1)*IF(Upgrades!$T$12="Asteroid Belt",POWER(Upgrades!$U$12,K6),1))+(IF(G6=0,0,(Upgrades!$G$8+G6*Upgrades!$H$8)*POWER(Upgrades!$I$8,G6)))*(IF(Upgrades!$T$6="Stellar Coupling",POWER(Upgrades!$U$6,E6),1)*IF(Upgrades!$T$7="Stellar Coupling",POWER(Upgrades!$U$7,F6),1)*IF(Upgrades!$T$9="Stellar Coupling",POWER(Upgrades!$U$9,H6),1)*IF(Upgrades!$T$10="Stellar Coupling",POWER(Upgrades!$U$10,I6),1)*IF(Upgrades!$T$11="Stellar Coupling",POWER(Upgrades!$U$11,J6),1)*IF(Upgrades!$T$12="Stellar Coupling",POWER(Upgrades!$U$12,K6),1))+(IF(H6=0,0,(Upgrades!$G$9+H6*Upgrades!$H$9)*POWER(Upgrades!$I$9,H6)))*(IF(Upgrades!$T$6="Magnetosphere",POWER(Upgrades!$U$6,E6),1)*IF(Upgrades!$T$7="Magnetosphere",POWER(Upgrades!$U$7,F6),1)*IF(Upgrades!$T$8="Magnetosphere",POWER(Upgrades!$U$8,G6),1)*IF(Upgrades!$T$10="Magnetosphere",POWER(Upgrades!$U$10,I6),1)*IF(Upgrades!$T$11="Magnetosphere",POWER(Upgrades!$U$11,J6),1)*IF(Upgrades!$T$12="Magnetosphere",POWER(Upgrades!$U$12,K6),1))+(IF(I6=0,0,(Upgrades!$G$10+I6*Upgrades!$H$10)*POWER(Upgrades!$I$10,I6)))*(IF(Upgrades!$T$6="Orbital Resonance",POWER(Upgrades!$U$6,E6),1)*IF(Upgrades!$T$7="Orbital Resonance",POWER(Upgrades!$U$7,F6),1)*IF(Upgrades!$T$8="Orbital Resonance",POWER(Upgrades!$U$8,G6),1)*IF(Upgrades!$T$9="Orbital Resonance",POWER(Upgrades!$U$9,H6),1)*IF(Upgrades!$T$11="Orbital Resonance",POWER(Upgrades!$U$11,J6),1)*IF(Upgrades!$T$12="Orbital Resonance",POWER(Upgrades!$U$12,K6),1))+(IF(J6=0,0,(Upgrades!$G$11+J6*Upgrades!$H$11)*POWER(Upgrades!$I$11,J6)))*(IF(Upgrades!$T$6="Heliopause",POWER(Upgrades!$U$6,E6),1)*IF(Upgrades!$T$7="Heliopause",POWER(Upgrades!$U$7,F6),1)*IF(Upgrades!$T$8="Heliopause",POWER(Upgrades!$U$8,G6),1)*IF(Upgrades!$T$9="Heliopause",POWER(Upgrades!$U$9,H6),1)*IF(Upgrades!$T$10="Heliopause",POWER(Upgrades!$U$10,I6),1)*IF(Upgrades!$T$12="Heliopause",POWER(Upgrades!$U$12,K6),1))+(IF(K6=0,0,(Upgrades!$G$12+K6*Upgrades!$H$12)*POWER(Upgrades!$I$12,K6)))*(IF(Upgrades!$T$6="First Photons",POWER(Upgrades!$U$6,E6),1)*IF(Upgrades!$T$7="First Photons",POWER(Upgrades!$U$7,F6),1)*IF(Upgrades!$T$8="First Photons",POWER(Upgrades!$U$8,G6),1)*IF(Upgrades!$T$9="First Photons",POWER(Upgrades!$U$9,H6),1)*IF(Upgrades!$T$10="First Photons",POWER(Upgrades!$U$10,I6),1)*IF(Upgrades!$T$11="First Photons",POWER(Upgrades!$U$11,J6),1)))*POWER(Upgrades!$P$6,E6)*POWER(Upgrades!$P$7,F6)*POWER(Upgrades!$P$8,G6)*POWER(Upgrades!$P$9,H6)*POWER(Upgrades!$P$10,I6)*POWER(Upgrades!$P$11,J6)*POWER(Upgrades!$P$12,K6)</f>
        <v/>
      </c>
      <c r="O6" s="28">
        <f>((IF(E6=0,0,(Upgrades!$M$6+E6*Upgrades!$N$6)*POWER(Upgrades!$O$6,E6)))*(IF(Upgrades!$T$7="Solar Wind",POWER(Upgrades!$U$7,F6),1)*IF(Upgrades!$T$8="Solar Wind",POWER(Upgrades!$U$8,G6),1)*IF(Upgrades!$T$9="Solar Wind",POWER(Upgrades!$U$9,H6),1)*IF(Upgrades!$T$10="Solar Wind",POWER(Upgrades!$U$10,I6),1)*IF(Upgrades!$T$11="Solar Wind",POWER(Upgrades!$U$11,J6),1)*IF(Upgrades!$T$12="Solar Wind",POWER(Upgrades!$U$12,K6),1))+(IF(F6=0,0,(Upgrades!$M$7+F6*Upgrades!$N$7)*POWER(Upgrades!$O$7,F6)))*(IF(Upgrades!$T$6="Asteroid Belt",POWER(Upgrades!$U$6,E6),1)*IF(Upgrades!$T$8="Asteroid Belt",POWER(Upgrades!$U$8,G6),1)*IF(Upgrades!$T$9="Asteroid Belt",POWER(Upgrades!$U$9,H6),1)*IF(Upgrades!$T$10="Asteroid Belt",POWER(Upgrades!$U$10,I6),1)*IF(Upgrades!$T$11="Asteroid Belt",POWER(Upgrades!$U$11,J6),1)*IF(Upgrades!$T$12="Asteroid Belt",POWER(Upgrades!$U$12,K6),1))+(IF(G6=0,0,(Upgrades!$M$8+G6*Upgrades!$N$8)*POWER(Upgrades!$O$8,G6)))*(IF(Upgrades!$T$6="Stellar Coupling",POWER(Upgrades!$U$6,E6),1)*IF(Upgrades!$T$7="Stellar Coupling",POWER(Upgrades!$U$7,F6),1)*IF(Upgrades!$T$9="Stellar Coupling",POWER(Upgrades!$U$9,H6),1)*IF(Upgrades!$T$10="Stellar Coupling",POWER(Upgrades!$U$10,I6),1)*IF(Upgrades!$T$11="Stellar Coupling",POWER(Upgrades!$U$11,J6),1)*IF(Upgrades!$T$12="Stellar Coupling",POWER(Upgrades!$U$12,K6),1))+(IF(H6=0,0,(Upgrades!$M$9+H6*Upgrades!$N$9)*POWER(Upgrades!$O$9,H6)))*(IF(Upgrades!$T$6="Magnetosphere",POWER(Upgrades!$U$6,E6),1)*IF(Upgrades!$T$7="Magnetosphere",POWER(Upgrades!$U$7,F6),1)*IF(Upgrades!$T$8="Magnetosphere",POWER(Upgrades!$U$8,G6),1)*IF(Upgrades!$T$10="Magnetosphere",POWER(Upgrades!$U$10,I6),1)*IF(Upgrades!$T$11="Magnetosphere",POWER(Upgrades!$U$11,J6),1)*IF(Upgrades!$T$12="Magnetosphere",POWER(Upgrades!$U$12,K6),1))+(IF(I6=0,0,(Upgrades!$M$10+I6*Upgrades!$N$10)*POWER(Upgrades!$O$10,I6)))*(IF(Upgrades!$T$6="Orbital Resonance",POWER(Upgrades!$U$6,E6),1)*IF(Upgrades!$T$7="Orbital Resonance",POWER(Upgrades!$U$7,F6),1)*IF(Upgrades!$T$8="Orbital Resonance",POWER(Upgrades!$U$8,G6),1)*IF(Upgrades!$T$9="Orbital Resonance",POWER(Upgrades!$U$9,H6),1)*IF(Upgrades!$T$11="Orbital Resonance",POWER(Upgrades!$U$11,J6),1)*IF(Upgrades!$T$12="Orbital Resonance",POWER(Upgrades!$U$12,K6),1))+(IF(J6=0,0,(Upgrades!$M$11+J6*Upgrades!$N$11)*POWER(Upgrades!$O$11,J6)))*(IF(Upgrades!$T$6="Heliopause",POWER(Upgrades!$U$6,E6),1)*IF(Upgrades!$T$7="Heliopause",POWER(Upgrades!$U$7,F6),1)*IF(Upgrades!$T$8="Heliopause",POWER(Upgrades!$U$8,G6),1)*IF(Upgrades!$T$9="Heliopause",POWER(Upgrades!$U$9,H6),1)*IF(Upgrades!$T$10="Heliopause",POWER(Upgrades!$U$10,I6),1)*IF(Upgrades!$T$12="Heliopause",POWER(Upgrades!$U$12,K6),1))+(IF(K6=0,0,(Upgrades!$M$12+K6*Upgrades!$N$12)*POWER(Upgrades!$O$12,K6)))*(IF(Upgrades!$T$6="First Photons",POWER(Upgrades!$U$6,E6),1)*IF(Upgrades!$T$7="First Photons",POWER(Upgrades!$U$7,F6),1)*IF(Upgrades!$T$8="First Photons",POWER(Upgrades!$U$8,G6),1)*IF(Upgrades!$T$9="First Photons",POWER(Upgrades!$U$9,H6),1)*IF(Upgrades!$T$10="First Photons",POWER(Upgrades!$U$10,I6),1)*IF(Upgrades!$T$11="First Photons",POWER(Upgrades!$U$11,J6),1)))*POWER(Upgrades!$R$6,E6)*POWER(Upgrades!$R$7,F6)*POWER(Upgrades!$R$8,G6)*POWER(Upgrades!$R$9,H6)*POWER(Upgrades!$R$10,I6)*POWER(Upgrades!$R$11,J6)*POWER(Upgrades!$R$12,K6)</f>
        <v/>
      </c>
      <c r="P6" s="27">
        <f>IF(L6=1,0,M6*Parameters!$B$10/60*Parameters!$B$11*10)</f>
        <v/>
      </c>
      <c r="Q6" s="27">
        <f>IF(L6=1,0,O6*M6*10)</f>
        <v/>
      </c>
      <c r="R6" s="27">
        <f>IF(L6=1,0,N6*10)</f>
        <v/>
      </c>
      <c r="S6" s="27">
        <f>P6+Q6+R6</f>
        <v/>
      </c>
      <c r="T6" s="22">
        <f>C6+S6</f>
        <v/>
      </c>
      <c r="U6" s="33">
        <f>AX6</f>
        <v/>
      </c>
      <c r="V6" s="22">
        <f>IF(U6="",0,IF(U6="transition",0,IF(U6="SW",AG6,IF(U6="AB",AH6,IF(U6="SC",AI6,IF(U6="Mag",AJ6,IF(U6="OR",AK6,IF(U6="HP",AL6,IF(U6="FP",AM6,0)))))))))</f>
        <v/>
      </c>
      <c r="W6" s="27">
        <f>IF(U6="OR",Upgrades!$F$10,IF(U6="HP",Upgrades!$F$11,IF(U6="transition",-Parameters!$B$18,0)))</f>
        <v/>
      </c>
      <c r="X6" s="22">
        <f>T6-V6</f>
        <v/>
      </c>
      <c r="Y6" s="30">
        <f>M6*Parameters!$B$10/60*Parameters!$B$11+O6*M6+N6</f>
        <v/>
      </c>
      <c r="Z6" s="34">
        <f>IF(U6="transition","→ Tier 2 (Stellar Neighborhood)",IF(U6="FP","First Photons — light begins, system quickens",IF(U6="HP","Heliopause acquired",IF(U6="OR","Orbital Resonance — passive multiplier active",IF(AND(AO6=1,L6=0,AN6&lt;&gt;1),"Cohesion ready (waiting on completionist upgrades)","")))))</f>
        <v/>
      </c>
      <c r="AA6" s="27">
        <f>(IF(E6=0,0,(Upgrades!$G$6+E6*Upgrades!$H$6)*POWER(Upgrades!$I$6,E6)))*(IF(Upgrades!$T$7="Solar Wind",POWER(Upgrades!$U$7,F6),1)*IF(Upgrades!$T$8="Solar Wind",POWER(Upgrades!$U$8,G6),1)*IF(Upgrades!$T$9="Solar Wind",POWER(Upgrades!$U$9,H6),1)*IF(Upgrades!$T$10="Solar Wind",POWER(Upgrades!$U$10,I6),1)*IF(Upgrades!$T$11="Solar Wind",POWER(Upgrades!$U$11,J6),1)*IF(Upgrades!$T$12="Solar Wind",POWER(Upgrades!$U$12,K6),1))*POWER(Upgrades!$P$6,E6)*POWER(Upgrades!$P$7,F6)*POWER(Upgrades!$P$8,G6)*POWER(Upgrades!$P$9,H6)*POWER(Upgrades!$P$10,I6)*POWER(Upgrades!$P$11,J6)*POWER(Upgrades!$P$12,K6)*60</f>
        <v/>
      </c>
      <c r="AB6" s="27">
        <f>(IF(F6=0,0,(Upgrades!$G$7+F6*Upgrades!$H$7)*POWER(Upgrades!$I$7,F6)))*(IF(Upgrades!$T$6="Asteroid Belt",POWER(Upgrades!$U$6,E6),1)*IF(Upgrades!$T$8="Asteroid Belt",POWER(Upgrades!$U$8,G6),1)*IF(Upgrades!$T$9="Asteroid Belt",POWER(Upgrades!$U$9,H6),1)*IF(Upgrades!$T$10="Asteroid Belt",POWER(Upgrades!$U$10,I6),1)*IF(Upgrades!$T$11="Asteroid Belt",POWER(Upgrades!$U$11,J6),1)*IF(Upgrades!$T$12="Asteroid Belt",POWER(Upgrades!$U$12,K6),1))*POWER(Upgrades!$P$6,E6)*POWER(Upgrades!$P$7,F6)*POWER(Upgrades!$P$8,G6)*POWER(Upgrades!$P$9,H6)*POWER(Upgrades!$P$10,I6)*POWER(Upgrades!$P$11,J6)*POWER(Upgrades!$P$12,K6)*60</f>
        <v/>
      </c>
      <c r="AC6" s="27">
        <f>(IF(G6=0,0,(Upgrades!$J$8+G6*Upgrades!$K$8)*POWER(Upgrades!$L$8,G6)))*(IF(Upgrades!$T$6="Stellar Coupling",POWER(Upgrades!$U$6,E6),1)*IF(Upgrades!$T$7="Stellar Coupling",POWER(Upgrades!$U$7,F6),1)*IF(Upgrades!$T$9="Stellar Coupling",POWER(Upgrades!$U$9,H6),1)*IF(Upgrades!$T$10="Stellar Coupling",POWER(Upgrades!$U$10,I6),1)*IF(Upgrades!$T$11="Stellar Coupling",POWER(Upgrades!$U$11,J6),1)*IF(Upgrades!$T$12="Stellar Coupling",POWER(Upgrades!$U$12,K6),1))*POWER(Upgrades!$Q$6,E6)*POWER(Upgrades!$Q$7,F6)*POWER(Upgrades!$Q$8,G6)*POWER(Upgrades!$Q$9,H6)*POWER(Upgrades!$Q$10,I6)*POWER(Upgrades!$Q$11,J6)*POWER(Upgrades!$Q$12,K6)*Parameters!$B$10*Parameters!$B$11</f>
        <v/>
      </c>
      <c r="AD6" s="27">
        <f>(IF(H6=0,0,(Upgrades!$G$9+H6*Upgrades!$H$9)*POWER(Upgrades!$I$9,H6)))*(IF(Upgrades!$T$6="Magnetosphere",POWER(Upgrades!$U$6,E6),1)*IF(Upgrades!$T$7="Magnetosphere",POWER(Upgrades!$U$7,F6),1)*IF(Upgrades!$T$8="Magnetosphere",POWER(Upgrades!$U$8,G6),1)*IF(Upgrades!$T$10="Magnetosphere",POWER(Upgrades!$U$10,I6),1)*IF(Upgrades!$T$11="Magnetosphere",POWER(Upgrades!$U$11,J6),1)*IF(Upgrades!$T$12="Magnetosphere",POWER(Upgrades!$U$12,K6),1))*POWER(Upgrades!$P$6,E6)*POWER(Upgrades!$P$7,F6)*POWER(Upgrades!$P$8,G6)*POWER(Upgrades!$P$9,H6)*POWER(Upgrades!$P$10,I6)*POWER(Upgrades!$P$11,J6)*POWER(Upgrades!$P$12,K6)*60</f>
        <v/>
      </c>
      <c r="AE6" s="27">
        <f>(IF(K6=0,0,(Upgrades!$G$12+K6*Upgrades!$H$12)*POWER(Upgrades!$I$12,K6)))*(IF(Upgrades!$T$6="First Photons",POWER(Upgrades!$U$6,E6),1)*IF(Upgrades!$T$7="First Photons",POWER(Upgrades!$U$7,F6),1)*IF(Upgrades!$T$8="First Photons",POWER(Upgrades!$U$8,G6),1)*IF(Upgrades!$T$9="First Photons",POWER(Upgrades!$U$9,H6),1)*IF(Upgrades!$T$10="First Photons",POWER(Upgrades!$U$10,I6),1)*IF(Upgrades!$T$11="First Photons",POWER(Upgrades!$U$11,J6),1))*POWER(Upgrades!$P$6,E6)*POWER(Upgrades!$P$7,F6)*POWER(Upgrades!$P$8,G6)*POWER(Upgrades!$P$9,H6)*POWER(Upgrades!$P$10,I6)*POWER(Upgrades!$P$11,J6)*POWER(Upgrades!$P$12,K6)*60</f>
        <v/>
      </c>
      <c r="AF6" s="27">
        <f>Parameters!$B$9*POWER(Upgrades!$Q$6,E6)*POWER(Upgrades!$Q$7,F6)*POWER(Upgrades!$Q$8,G6)*POWER(Upgrades!$Q$9,H6)*POWER(Upgrades!$Q$10,I6)*POWER(Upgrades!$Q$11,J6)*POWER(Upgrades!$Q$12,K6)*(Parameters!$B$10*Parameters!$B$11+O6*60)</f>
        <v/>
      </c>
      <c r="AG6" s="22">
        <f>IF(E6&gt;=Upgrades!$E$6,"",Upgrades!$C$6*POWER(Upgrades!$D$6,E6))</f>
        <v/>
      </c>
      <c r="AH6" s="22">
        <f>IF(F6&gt;=Upgrades!$E$7,"",Upgrades!$C$7*POWER(Upgrades!$D$7,F6))</f>
        <v/>
      </c>
      <c r="AI6" s="22">
        <f>IF(G6&gt;=Upgrades!$E$8,"",Upgrades!$C$8*POWER(Upgrades!$D$8,G6))</f>
        <v/>
      </c>
      <c r="AJ6" s="22">
        <f>IF(H6&gt;=Upgrades!$E$9,"",Upgrades!$C$9*POWER(Upgrades!$D$9,H6))</f>
        <v/>
      </c>
      <c r="AK6" s="22">
        <f>IF(I6&gt;=Upgrades!$E$10,"",Upgrades!$C$10*POWER(Upgrades!$D$10,I6))</f>
        <v/>
      </c>
      <c r="AL6" s="22">
        <f>IF(J6&gt;=Upgrades!$E$11,"",Upgrades!$C$11*POWER(Upgrades!$D$11,J6))</f>
        <v/>
      </c>
      <c r="AM6" s="22">
        <f>IF(K6&gt;=Upgrades!$E$12,"",Upgrades!$C$12*POWER(Upgrades!$D$12,K6))</f>
        <v/>
      </c>
      <c r="AN6" s="26">
        <f>IF(AND(D6&gt;=Parameters!$B$18,(H6&gt;=Upgrades!$E$9)*(K6&gt;=Upgrades!$E$12)=1,L6=0),1,"")</f>
        <v/>
      </c>
      <c r="AO6" s="26">
        <f>IF(AND(D6&gt;=Parameters!$B$18,L6=0),1,"")</f>
        <v/>
      </c>
      <c r="AP6" s="22">
        <f>MIN(IF(ISNUMBER(AK6),AK6,9E15),IF(ISNUMBER(AL6),AL6,9E15),IF(ISNUMBER(AM6),AM6,9E15))</f>
        <v/>
      </c>
      <c r="AQ6" s="22">
        <f>MIN(IF(ISNUMBER(AG6),AG6,9E15),IF(ISNUMBER(AH6),AH6,9E15),IF(ISNUMBER(AI6),AI6,9E15),IF(ISNUMBER(AJ6),AJ6,9E15))</f>
        <v/>
      </c>
      <c r="AR6" s="29">
        <f>IF(AW6&gt;Parameters!$B$21*(MAX(IF(AND(NOT(AND(AO6=1,AN6&lt;&gt;1)),ISNUMBER(AG6),AG6&lt;=T6),AS6,0),IF(AND(NOT(AND(AO6=1,AN6&lt;&gt;1)),ISNUMBER(AH6),AH6&lt;=T6),AT6,0),IF(AND(NOT(AND(AO6=1,AN6&lt;&gt;1)),ISNUMBER(AI6),AI6&lt;=T6),AU6,0),IF(AND(ISNUMBER(AJ6),AJ6&lt;=T6),AV6,0))),TRUE,FALSE)</f>
        <v/>
      </c>
      <c r="AS6" s="32">
        <f>IFERROR(Upgrades!$H$6*(POWER(Upgrades!$P$6,E6)*POWER(Upgrades!$P$7,F6)*POWER(Upgrades!$P$8,G6)*POWER(Upgrades!$P$9,H6)*POWER(Upgrades!$P$10,I6)*POWER(Upgrades!$P$11,J6)*POWER(Upgrades!$P$12,K6))*(IF(Upgrades!$T$7="Solar Wind",POWER(Upgrades!$U$7,F6),1)*IF(Upgrades!$T$8="Solar Wind",POWER(Upgrades!$U$8,G6),1)*IF(Upgrades!$T$9="Solar Wind",POWER(Upgrades!$U$9,H6),1)*IF(Upgrades!$T$10="Solar Wind",POWER(Upgrades!$U$10,I6),1)*IF(Upgrades!$T$11="Solar Wind",POWER(Upgrades!$U$11,J6),1)*IF(Upgrades!$T$12="Solar Wind",POWER(Upgrades!$U$12,K6),1))/AG6,0)</f>
        <v/>
      </c>
      <c r="AT6" s="32">
        <f>IFERROR(Upgrades!$H$7*(POWER(Upgrades!$P$6,E6)*POWER(Upgrades!$P$7,F6)*POWER(Upgrades!$P$8,G6)*POWER(Upgrades!$P$9,H6)*POWER(Upgrades!$P$10,I6)*POWER(Upgrades!$P$11,J6)*POWER(Upgrades!$P$12,K6))*(IF(Upgrades!$T$6="Asteroid Belt",POWER(Upgrades!$U$6,E6),1)*IF(Upgrades!$T$8="Asteroid Belt",POWER(Upgrades!$U$8,G6),1)*IF(Upgrades!$T$9="Asteroid Belt",POWER(Upgrades!$U$9,H6),1)*IF(Upgrades!$T$10="Asteroid Belt",POWER(Upgrades!$U$10,I6),1)*IF(Upgrades!$T$11="Asteroid Belt",POWER(Upgrades!$U$11,J6),1)*IF(Upgrades!$T$12="Asteroid Belt",POWER(Upgrades!$U$12,K6),1))/AH6,0)</f>
        <v/>
      </c>
      <c r="AU6" s="32">
        <f>IFERROR(Upgrades!$K$8*(POWER(Upgrades!$Q$6,E6)*POWER(Upgrades!$Q$7,F6)*POWER(Upgrades!$Q$8,G6)*POWER(Upgrades!$Q$9,H6)*POWER(Upgrades!$Q$10,I6)*POWER(Upgrades!$Q$11,J6)*POWER(Upgrades!$Q$12,K6))*(IF(Upgrades!$T$6="Stellar Coupling",POWER(Upgrades!$U$6,E6),1)*IF(Upgrades!$T$7="Stellar Coupling",POWER(Upgrades!$U$7,F6),1)*IF(Upgrades!$T$9="Stellar Coupling",POWER(Upgrades!$U$9,H6),1)*IF(Upgrades!$T$10="Stellar Coupling",POWER(Upgrades!$U$10,I6),1)*IF(Upgrades!$T$11="Stellar Coupling",POWER(Upgrades!$U$11,J6),1)*IF(Upgrades!$T$12="Stellar Coupling",POWER(Upgrades!$U$12,K6),1))*Parameters!$B$10*Parameters!$B$11/60/AI6,0)</f>
        <v/>
      </c>
      <c r="AV6" s="32">
        <f>IFERROR(Upgrades!$H$9*(POWER(Upgrades!$P$6,E6)*POWER(Upgrades!$P$7,F6)*POWER(Upgrades!$P$8,G6)*POWER(Upgrades!$P$9,H6)*POWER(Upgrades!$P$10,I6)*POWER(Upgrades!$P$11,J6)*POWER(Upgrades!$P$12,K6))*(IF(Upgrades!$T$6="Magnetosphere",POWER(Upgrades!$U$6,E6),1)*IF(Upgrades!$T$7="Magnetosphere",POWER(Upgrades!$U$7,F6),1)*IF(Upgrades!$T$8="Magnetosphere",POWER(Upgrades!$U$8,G6),1)*IF(Upgrades!$T$10="Magnetosphere",POWER(Upgrades!$U$10,I6),1)*IF(Upgrades!$T$11="Magnetosphere",POWER(Upgrades!$U$11,J6),1)*IF(Upgrades!$T$12="Magnetosphere",POWER(Upgrades!$U$12,K6),1))/AJ6,0)</f>
        <v/>
      </c>
      <c r="AW6" s="32">
        <f>MAX(IF(I6&gt;0,0,IFERROR(0.25*N6/Upgrades!$C$10,0)),IF(J6&gt;0,0,IFERROR(0.5*((IF(G6=0,0,(Upgrades!$J$8+G6*Upgrades!$K$8)*POWER(Upgrades!$L$8,G6)))*(IF(Upgrades!$T$6="Stellar Coupling",POWER(Upgrades!$U$6,E6),1)*IF(Upgrades!$T$7="Stellar Coupling",POWER(Upgrades!$U$7,F6),1)*IF(Upgrades!$T$9="Stellar Coupling",POWER(Upgrades!$U$9,H6),1)*IF(Upgrades!$T$10="Stellar Coupling",POWER(Upgrades!$U$10,I6),1)*IF(Upgrades!$T$11="Stellar Coupling",POWER(Upgrades!$U$11,J6),1)*IF(Upgrades!$T$12="Stellar Coupling",POWER(Upgrades!$U$12,K6),1))*(POWER(Upgrades!$Q$6,E6)*POWER(Upgrades!$Q$7,F6)*POWER(Upgrades!$Q$8,G6)*POWER(Upgrades!$Q$9,H6)*POWER(Upgrades!$Q$10,I6)*POWER(Upgrades!$Q$11,J6)*POWER(Upgrades!$Q$12,K6))*Parameters!$B$10*Parameters!$B$11/60)/Upgrades!$C$11,0)),IF(K6&gt;0,0,IFERROR((1.0*(POWER(Upgrades!$P$6,E6)*POWER(Upgrades!$P$7,F6)*POWER(Upgrades!$P$8,G6)*POWER(Upgrades!$P$9,H6)*POWER(Upgrades!$P$10,I6)*POWER(Upgrades!$P$11,J6)*POWER(Upgrades!$P$12,K6))+0.20*M6*Parameters!$B$10*Parameters!$B$11/60)/Upgrades!$C$12,0)),IF(AND(ISNUMBER(AG6),AG6&gt;T6),AS6,0),IF(AND(ISNUMBER(AH6),AH6&gt;T6),AT6,0),IF(AND(ISNUMBER(AI6),AI6&gt;T6),AU6,0),IF(AND(ISNUMBER(AJ6),AJ6&gt;T6),AV6,0))</f>
        <v/>
      </c>
      <c r="AX6" s="29">
        <f>IF(AN6=1,"transition",IF(MIN(IF(AND(I6=0,ISNUMBER(AK6),AK6&lt;=T6),AK6,9E15),IF(AND(J6=0,ISNUMBER(AL6),AL6&lt;=T6),AL6,9E15),IF(AND(K6=0,ISNUMBER(AM6),AM6&lt;=T6),AM6,9E15))&lt;9E15,IF(AND(AND(I6=0,ISNUMBER(AK6),AK6&lt;=T6),AK6=MIN(IF(AND(I6=0,ISNUMBER(AK6),AK6&lt;=T6),AK6,9E15),IF(AND(J6=0,ISNUMBER(AL6),AL6&lt;=T6),AL6,9E15),IF(AND(K6=0,ISNUMBER(AM6),AM6&lt;=T6),AM6,9E15))),"OR",IF(AND(AND(J6=0,ISNUMBER(AL6),AL6&lt;=T6),AL6=MIN(IF(AND(I6=0,ISNUMBER(AK6),AK6&lt;=T6),AK6,9E15),IF(AND(J6=0,ISNUMBER(AL6),AL6&lt;=T6),AL6,9E15),IF(AND(K6=0,ISNUMBER(AM6),AM6&lt;=T6),AM6,9E15))),"HP","FP")),IF(AR6=TRUE,"",IF(MAX(IF(AND(NOT(AND(AO6=1,AN6&lt;&gt;1)),ISNUMBER(AG6),AG6&lt;=T6),AS6,0),IF(AND(NOT(AND(AO6=1,AN6&lt;&gt;1)),ISNUMBER(AH6),AH6&lt;=T6),AT6,0),IF(AND(NOT(AND(AO6=1,AN6&lt;&gt;1)),ISNUMBER(AI6),AI6&lt;=T6),AU6,0),IF(AND(ISNUMBER(AJ6),AJ6&lt;=T6),AV6,0))&lt;=0,"",IF(AND(IF(AND(NOT(AND(AO6=1,AN6&lt;&gt;1)),ISNUMBER(AG6),AG6&lt;=T6),AS6,0)&gt;0,IF(AND(NOT(AND(AO6=1,AN6&lt;&gt;1)),ISNUMBER(AG6),AG6&lt;=T6),AS6,0)=MAX(IF(AND(NOT(AND(AO6=1,AN6&lt;&gt;1)),ISNUMBER(AG6),AG6&lt;=T6),AS6,0),IF(AND(NOT(AND(AO6=1,AN6&lt;&gt;1)),ISNUMBER(AH6),AH6&lt;=T6),AT6,0),IF(AND(NOT(AND(AO6=1,AN6&lt;&gt;1)),ISNUMBER(AI6),AI6&lt;=T6),AU6,0),IF(AND(ISNUMBER(AJ6),AJ6&lt;=T6),AV6,0))),"SW",IF(AND(IF(AND(NOT(AND(AO6=1,AN6&lt;&gt;1)),ISNUMBER(AH6),AH6&lt;=T6),AT6,0)&gt;0,IF(AND(NOT(AND(AO6=1,AN6&lt;&gt;1)),ISNUMBER(AH6),AH6&lt;=T6),AT6,0)=MAX(IF(AND(NOT(AND(AO6=1,AN6&lt;&gt;1)),ISNUMBER(AG6),AG6&lt;=T6),AS6,0),IF(AND(NOT(AND(AO6=1,AN6&lt;&gt;1)),ISNUMBER(AH6),AH6&lt;=T6),AT6,0),IF(AND(NOT(AND(AO6=1,AN6&lt;&gt;1)),ISNUMBER(AI6),AI6&lt;=T6),AU6,0),IF(AND(ISNUMBER(AJ6),AJ6&lt;=T6),AV6,0))),"AB",IF(AND(IF(AND(NOT(AND(AO6=1,AN6&lt;&gt;1)),ISNUMBER(AI6),AI6&lt;=T6),AU6,0)&gt;0,IF(AND(NOT(AND(AO6=1,AN6&lt;&gt;1)),ISNUMBER(AI6),AI6&lt;=T6),AU6,0)=MAX(IF(AND(NOT(AND(AO6=1,AN6&lt;&gt;1)),ISNUMBER(AG6),AG6&lt;=T6),AS6,0),IF(AND(NOT(AND(AO6=1,AN6&lt;&gt;1)),ISNUMBER(AH6),AH6&lt;=T6),AT6,0),IF(AND(NOT(AND(AO6=1,AN6&lt;&gt;1)),ISNUMBER(AI6),AI6&lt;=T6),AU6,0),IF(AND(ISNUMBER(AJ6),AJ6&lt;=T6),AV6,0))),"SC","Mag")))))))</f>
        <v/>
      </c>
    </row>
    <row r="7">
      <c r="A7" s="26" t="n">
        <v>2</v>
      </c>
      <c r="B7" s="27">
        <f>A7*10/60</f>
        <v/>
      </c>
      <c r="C7" s="22">
        <f>X6</f>
        <v/>
      </c>
      <c r="D7" s="27">
        <f>D6+W6</f>
        <v/>
      </c>
      <c r="E7" s="26">
        <f>E6+IF(U6="SW",1,0)</f>
        <v/>
      </c>
      <c r="F7" s="26">
        <f>F6+IF(U6="AB",1,0)</f>
        <v/>
      </c>
      <c r="G7" s="26">
        <f>G6+IF(U6="SC",1,0)</f>
        <v/>
      </c>
      <c r="H7" s="26">
        <f>H6+IF(U6="Mag",1,0)</f>
        <v/>
      </c>
      <c r="I7" s="26">
        <f>MAX(I6,IF(U6="OR",1,0))</f>
        <v/>
      </c>
      <c r="J7" s="26">
        <f>MAX(J6,IF(U6="HP",1,0))</f>
        <v/>
      </c>
      <c r="K7" s="26">
        <f>MAX(K6,IF(U6="FP",1,0))</f>
        <v/>
      </c>
      <c r="L7" s="26">
        <f>MAX(L6,IF(U6="transition",1,0))</f>
        <v/>
      </c>
      <c r="M7" s="28">
        <f>(Parameters!$B$9+(IF(E7=0,0,(Upgrades!$J$6+E7*Upgrades!$K$6)*POWER(Upgrades!$L$6,E7)))*(IF(Upgrades!$T$7="Solar Wind",POWER(Upgrades!$U$7,F7),1)*IF(Upgrades!$T$8="Solar Wind",POWER(Upgrades!$U$8,G7),1)*IF(Upgrades!$T$9="Solar Wind",POWER(Upgrades!$U$9,H7),1)*IF(Upgrades!$T$10="Solar Wind",POWER(Upgrades!$U$10,I7),1)*IF(Upgrades!$T$11="Solar Wind",POWER(Upgrades!$U$11,J7),1)*IF(Upgrades!$T$12="Solar Wind",POWER(Upgrades!$U$12,K7),1))+(IF(F7=0,0,(Upgrades!$J$7+F7*Upgrades!$K$7)*POWER(Upgrades!$L$7,F7)))*(IF(Upgrades!$T$6="Asteroid Belt",POWER(Upgrades!$U$6,E7),1)*IF(Upgrades!$T$8="Asteroid Belt",POWER(Upgrades!$U$8,G7),1)*IF(Upgrades!$T$9="Asteroid Belt",POWER(Upgrades!$U$9,H7),1)*IF(Upgrades!$T$10="Asteroid Belt",POWER(Upgrades!$U$10,I7),1)*IF(Upgrades!$T$11="Asteroid Belt",POWER(Upgrades!$U$11,J7),1)*IF(Upgrades!$T$12="Asteroid Belt",POWER(Upgrades!$U$12,K7),1))+(IF(G7=0,0,(Upgrades!$J$8+G7*Upgrades!$K$8)*POWER(Upgrades!$L$8,G7)))*(IF(Upgrades!$T$6="Stellar Coupling",POWER(Upgrades!$U$6,E7),1)*IF(Upgrades!$T$7="Stellar Coupling",POWER(Upgrades!$U$7,F7),1)*IF(Upgrades!$T$9="Stellar Coupling",POWER(Upgrades!$U$9,H7),1)*IF(Upgrades!$T$10="Stellar Coupling",POWER(Upgrades!$U$10,I7),1)*IF(Upgrades!$T$11="Stellar Coupling",POWER(Upgrades!$U$11,J7),1)*IF(Upgrades!$T$12="Stellar Coupling",POWER(Upgrades!$U$12,K7),1))+(IF(H7=0,0,(Upgrades!$J$9+H7*Upgrades!$K$9)*POWER(Upgrades!$L$9,H7)))*(IF(Upgrades!$T$6="Magnetosphere",POWER(Upgrades!$U$6,E7),1)*IF(Upgrades!$T$7="Magnetosphere",POWER(Upgrades!$U$7,F7),1)*IF(Upgrades!$T$8="Magnetosphere",POWER(Upgrades!$U$8,G7),1)*IF(Upgrades!$T$10="Magnetosphere",POWER(Upgrades!$U$10,I7),1)*IF(Upgrades!$T$11="Magnetosphere",POWER(Upgrades!$U$11,J7),1)*IF(Upgrades!$T$12="Magnetosphere",POWER(Upgrades!$U$12,K7),1))+(IF(I7=0,0,(Upgrades!$J$10+I7*Upgrades!$K$10)*POWER(Upgrades!$L$10,I7)))*(IF(Upgrades!$T$6="Orbital Resonance",POWER(Upgrades!$U$6,E7),1)*IF(Upgrades!$T$7="Orbital Resonance",POWER(Upgrades!$U$7,F7),1)*IF(Upgrades!$T$8="Orbital Resonance",POWER(Upgrades!$U$8,G7),1)*IF(Upgrades!$T$9="Orbital Resonance",POWER(Upgrades!$U$9,H7),1)*IF(Upgrades!$T$11="Orbital Resonance",POWER(Upgrades!$U$11,J7),1)*IF(Upgrades!$T$12="Orbital Resonance",POWER(Upgrades!$U$12,K7),1))+(IF(J7=0,0,(Upgrades!$J$11+J7*Upgrades!$K$11)*POWER(Upgrades!$L$11,J7)))*(IF(Upgrades!$T$6="Heliopause",POWER(Upgrades!$U$6,E7),1)*IF(Upgrades!$T$7="Heliopause",POWER(Upgrades!$U$7,F7),1)*IF(Upgrades!$T$8="Heliopause",POWER(Upgrades!$U$8,G7),1)*IF(Upgrades!$T$9="Heliopause",POWER(Upgrades!$U$9,H7),1)*IF(Upgrades!$T$10="Heliopause",POWER(Upgrades!$U$10,I7),1)*IF(Upgrades!$T$12="Heliopause",POWER(Upgrades!$U$12,K7),1))+(IF(K7=0,0,(Upgrades!$J$12+K7*Upgrades!$K$12)*POWER(Upgrades!$L$12,K7)))*(IF(Upgrades!$T$6="First Photons",POWER(Upgrades!$U$6,E7),1)*IF(Upgrades!$T$7="First Photons",POWER(Upgrades!$U$7,F7),1)*IF(Upgrades!$T$8="First Photons",POWER(Upgrades!$U$8,G7),1)*IF(Upgrades!$T$9="First Photons",POWER(Upgrades!$U$9,H7),1)*IF(Upgrades!$T$10="First Photons",POWER(Upgrades!$U$10,I7),1)*IF(Upgrades!$T$11="First Photons",POWER(Upgrades!$U$11,J7),1)))*POWER(Upgrades!$Q$6,E7)*POWER(Upgrades!$Q$7,F7)*POWER(Upgrades!$Q$8,G7)*POWER(Upgrades!$Q$9,H7)*POWER(Upgrades!$Q$10,I7)*POWER(Upgrades!$Q$11,J7)*POWER(Upgrades!$Q$12,K7)</f>
        <v/>
      </c>
      <c r="N7" s="28">
        <f>((IF(E7=0,0,(Upgrades!$G$6+E7*Upgrades!$H$6)*POWER(Upgrades!$I$6,E7)))*(IF(Upgrades!$T$7="Solar Wind",POWER(Upgrades!$U$7,F7),1)*IF(Upgrades!$T$8="Solar Wind",POWER(Upgrades!$U$8,G7),1)*IF(Upgrades!$T$9="Solar Wind",POWER(Upgrades!$U$9,H7),1)*IF(Upgrades!$T$10="Solar Wind",POWER(Upgrades!$U$10,I7),1)*IF(Upgrades!$T$11="Solar Wind",POWER(Upgrades!$U$11,J7),1)*IF(Upgrades!$T$12="Solar Wind",POWER(Upgrades!$U$12,K7),1))+(IF(F7=0,0,(Upgrades!$G$7+F7*Upgrades!$H$7)*POWER(Upgrades!$I$7,F7)))*(IF(Upgrades!$T$6="Asteroid Belt",POWER(Upgrades!$U$6,E7),1)*IF(Upgrades!$T$8="Asteroid Belt",POWER(Upgrades!$U$8,G7),1)*IF(Upgrades!$T$9="Asteroid Belt",POWER(Upgrades!$U$9,H7),1)*IF(Upgrades!$T$10="Asteroid Belt",POWER(Upgrades!$U$10,I7),1)*IF(Upgrades!$T$11="Asteroid Belt",POWER(Upgrades!$U$11,J7),1)*IF(Upgrades!$T$12="Asteroid Belt",POWER(Upgrades!$U$12,K7),1))+(IF(G7=0,0,(Upgrades!$G$8+G7*Upgrades!$H$8)*POWER(Upgrades!$I$8,G7)))*(IF(Upgrades!$T$6="Stellar Coupling",POWER(Upgrades!$U$6,E7),1)*IF(Upgrades!$T$7="Stellar Coupling",POWER(Upgrades!$U$7,F7),1)*IF(Upgrades!$T$9="Stellar Coupling",POWER(Upgrades!$U$9,H7),1)*IF(Upgrades!$T$10="Stellar Coupling",POWER(Upgrades!$U$10,I7),1)*IF(Upgrades!$T$11="Stellar Coupling",POWER(Upgrades!$U$11,J7),1)*IF(Upgrades!$T$12="Stellar Coupling",POWER(Upgrades!$U$12,K7),1))+(IF(H7=0,0,(Upgrades!$G$9+H7*Upgrades!$H$9)*POWER(Upgrades!$I$9,H7)))*(IF(Upgrades!$T$6="Magnetosphere",POWER(Upgrades!$U$6,E7),1)*IF(Upgrades!$T$7="Magnetosphere",POWER(Upgrades!$U$7,F7),1)*IF(Upgrades!$T$8="Magnetosphere",POWER(Upgrades!$U$8,G7),1)*IF(Upgrades!$T$10="Magnetosphere",POWER(Upgrades!$U$10,I7),1)*IF(Upgrades!$T$11="Magnetosphere",POWER(Upgrades!$U$11,J7),1)*IF(Upgrades!$T$12="Magnetosphere",POWER(Upgrades!$U$12,K7),1))+(IF(I7=0,0,(Upgrades!$G$10+I7*Upgrades!$H$10)*POWER(Upgrades!$I$10,I7)))*(IF(Upgrades!$T$6="Orbital Resonance",POWER(Upgrades!$U$6,E7),1)*IF(Upgrades!$T$7="Orbital Resonance",POWER(Upgrades!$U$7,F7),1)*IF(Upgrades!$T$8="Orbital Resonance",POWER(Upgrades!$U$8,G7),1)*IF(Upgrades!$T$9="Orbital Resonance",POWER(Upgrades!$U$9,H7),1)*IF(Upgrades!$T$11="Orbital Resonance",POWER(Upgrades!$U$11,J7),1)*IF(Upgrades!$T$12="Orbital Resonance",POWER(Upgrades!$U$12,K7),1))+(IF(J7=0,0,(Upgrades!$G$11+J7*Upgrades!$H$11)*POWER(Upgrades!$I$11,J7)))*(IF(Upgrades!$T$6="Heliopause",POWER(Upgrades!$U$6,E7),1)*IF(Upgrades!$T$7="Heliopause",POWER(Upgrades!$U$7,F7),1)*IF(Upgrades!$T$8="Heliopause",POWER(Upgrades!$U$8,G7),1)*IF(Upgrades!$T$9="Heliopause",POWER(Upgrades!$U$9,H7),1)*IF(Upgrades!$T$10="Heliopause",POWER(Upgrades!$U$10,I7),1)*IF(Upgrades!$T$12="Heliopause",POWER(Upgrades!$U$12,K7),1))+(IF(K7=0,0,(Upgrades!$G$12+K7*Upgrades!$H$12)*POWER(Upgrades!$I$12,K7)))*(IF(Upgrades!$T$6="First Photons",POWER(Upgrades!$U$6,E7),1)*IF(Upgrades!$T$7="First Photons",POWER(Upgrades!$U$7,F7),1)*IF(Upgrades!$T$8="First Photons",POWER(Upgrades!$U$8,G7),1)*IF(Upgrades!$T$9="First Photons",POWER(Upgrades!$U$9,H7),1)*IF(Upgrades!$T$10="First Photons",POWER(Upgrades!$U$10,I7),1)*IF(Upgrades!$T$11="First Photons",POWER(Upgrades!$U$11,J7),1)))*POWER(Upgrades!$P$6,E7)*POWER(Upgrades!$P$7,F7)*POWER(Upgrades!$P$8,G7)*POWER(Upgrades!$P$9,H7)*POWER(Upgrades!$P$10,I7)*POWER(Upgrades!$P$11,J7)*POWER(Upgrades!$P$12,K7)</f>
        <v/>
      </c>
      <c r="O7" s="28">
        <f>((IF(E7=0,0,(Upgrades!$M$6+E7*Upgrades!$N$6)*POWER(Upgrades!$O$6,E7)))*(IF(Upgrades!$T$7="Solar Wind",POWER(Upgrades!$U$7,F7),1)*IF(Upgrades!$T$8="Solar Wind",POWER(Upgrades!$U$8,G7),1)*IF(Upgrades!$T$9="Solar Wind",POWER(Upgrades!$U$9,H7),1)*IF(Upgrades!$T$10="Solar Wind",POWER(Upgrades!$U$10,I7),1)*IF(Upgrades!$T$11="Solar Wind",POWER(Upgrades!$U$11,J7),1)*IF(Upgrades!$T$12="Solar Wind",POWER(Upgrades!$U$12,K7),1))+(IF(F7=0,0,(Upgrades!$M$7+F7*Upgrades!$N$7)*POWER(Upgrades!$O$7,F7)))*(IF(Upgrades!$T$6="Asteroid Belt",POWER(Upgrades!$U$6,E7),1)*IF(Upgrades!$T$8="Asteroid Belt",POWER(Upgrades!$U$8,G7),1)*IF(Upgrades!$T$9="Asteroid Belt",POWER(Upgrades!$U$9,H7),1)*IF(Upgrades!$T$10="Asteroid Belt",POWER(Upgrades!$U$10,I7),1)*IF(Upgrades!$T$11="Asteroid Belt",POWER(Upgrades!$U$11,J7),1)*IF(Upgrades!$T$12="Asteroid Belt",POWER(Upgrades!$U$12,K7),1))+(IF(G7=0,0,(Upgrades!$M$8+G7*Upgrades!$N$8)*POWER(Upgrades!$O$8,G7)))*(IF(Upgrades!$T$6="Stellar Coupling",POWER(Upgrades!$U$6,E7),1)*IF(Upgrades!$T$7="Stellar Coupling",POWER(Upgrades!$U$7,F7),1)*IF(Upgrades!$T$9="Stellar Coupling",POWER(Upgrades!$U$9,H7),1)*IF(Upgrades!$T$10="Stellar Coupling",POWER(Upgrades!$U$10,I7),1)*IF(Upgrades!$T$11="Stellar Coupling",POWER(Upgrades!$U$11,J7),1)*IF(Upgrades!$T$12="Stellar Coupling",POWER(Upgrades!$U$12,K7),1))+(IF(H7=0,0,(Upgrades!$M$9+H7*Upgrades!$N$9)*POWER(Upgrades!$O$9,H7)))*(IF(Upgrades!$T$6="Magnetosphere",POWER(Upgrades!$U$6,E7),1)*IF(Upgrades!$T$7="Magnetosphere",POWER(Upgrades!$U$7,F7),1)*IF(Upgrades!$T$8="Magnetosphere",POWER(Upgrades!$U$8,G7),1)*IF(Upgrades!$T$10="Magnetosphere",POWER(Upgrades!$U$10,I7),1)*IF(Upgrades!$T$11="Magnetosphere",POWER(Upgrades!$U$11,J7),1)*IF(Upgrades!$T$12="Magnetosphere",POWER(Upgrades!$U$12,K7),1))+(IF(I7=0,0,(Upgrades!$M$10+I7*Upgrades!$N$10)*POWER(Upgrades!$O$10,I7)))*(IF(Upgrades!$T$6="Orbital Resonance",POWER(Upgrades!$U$6,E7),1)*IF(Upgrades!$T$7="Orbital Resonance",POWER(Upgrades!$U$7,F7),1)*IF(Upgrades!$T$8="Orbital Resonance",POWER(Upgrades!$U$8,G7),1)*IF(Upgrades!$T$9="Orbital Resonance",POWER(Upgrades!$U$9,H7),1)*IF(Upgrades!$T$11="Orbital Resonance",POWER(Upgrades!$U$11,J7),1)*IF(Upgrades!$T$12="Orbital Resonance",POWER(Upgrades!$U$12,K7),1))+(IF(J7=0,0,(Upgrades!$M$11+J7*Upgrades!$N$11)*POWER(Upgrades!$O$11,J7)))*(IF(Upgrades!$T$6="Heliopause",POWER(Upgrades!$U$6,E7),1)*IF(Upgrades!$T$7="Heliopause",POWER(Upgrades!$U$7,F7),1)*IF(Upgrades!$T$8="Heliopause",POWER(Upgrades!$U$8,G7),1)*IF(Upgrades!$T$9="Heliopause",POWER(Upgrades!$U$9,H7),1)*IF(Upgrades!$T$10="Heliopause",POWER(Upgrades!$U$10,I7),1)*IF(Upgrades!$T$12="Heliopause",POWER(Upgrades!$U$12,K7),1))+(IF(K7=0,0,(Upgrades!$M$12+K7*Upgrades!$N$12)*POWER(Upgrades!$O$12,K7)))*(IF(Upgrades!$T$6="First Photons",POWER(Upgrades!$U$6,E7),1)*IF(Upgrades!$T$7="First Photons",POWER(Upgrades!$U$7,F7),1)*IF(Upgrades!$T$8="First Photons",POWER(Upgrades!$U$8,G7),1)*IF(Upgrades!$T$9="First Photons",POWER(Upgrades!$U$9,H7),1)*IF(Upgrades!$T$10="First Photons",POWER(Upgrades!$U$10,I7),1)*IF(Upgrades!$T$11="First Photons",POWER(Upgrades!$U$11,J7),1)))*POWER(Upgrades!$R$6,E7)*POWER(Upgrades!$R$7,F7)*POWER(Upgrades!$R$8,G7)*POWER(Upgrades!$R$9,H7)*POWER(Upgrades!$R$10,I7)*POWER(Upgrades!$R$11,J7)*POWER(Upgrades!$R$12,K7)</f>
        <v/>
      </c>
      <c r="P7" s="27">
        <f>IF(L7=1,0,M7*Parameters!$B$10/60*Parameters!$B$11*10)</f>
        <v/>
      </c>
      <c r="Q7" s="27">
        <f>IF(L7=1,0,O7*M7*10)</f>
        <v/>
      </c>
      <c r="R7" s="27">
        <f>IF(L7=1,0,N7*10)</f>
        <v/>
      </c>
      <c r="S7" s="27">
        <f>P7+Q7+R7</f>
        <v/>
      </c>
      <c r="T7" s="22">
        <f>C7+S7</f>
        <v/>
      </c>
      <c r="U7" s="33">
        <f>AX7</f>
        <v/>
      </c>
      <c r="V7" s="22">
        <f>IF(U7="",0,IF(U7="transition",0,IF(U7="SW",AG7,IF(U7="AB",AH7,IF(U7="SC",AI7,IF(U7="Mag",AJ7,IF(U7="OR",AK7,IF(U7="HP",AL7,IF(U7="FP",AM7,0)))))))))</f>
        <v/>
      </c>
      <c r="W7" s="27">
        <f>IF(U7="OR",Upgrades!$F$10,IF(U7="HP",Upgrades!$F$11,IF(U7="transition",-Parameters!$B$18,0)))</f>
        <v/>
      </c>
      <c r="X7" s="22">
        <f>T7-V7</f>
        <v/>
      </c>
      <c r="Y7" s="30">
        <f>M7*Parameters!$B$10/60*Parameters!$B$11+O7*M7+N7</f>
        <v/>
      </c>
      <c r="Z7" s="34">
        <f>IF(U7="transition","→ Tier 2 (Stellar Neighborhood)",IF(U7="FP","First Photons — light begins, system quickens",IF(U7="HP","Heliopause acquired",IF(U7="OR","Orbital Resonance — passive multiplier active",IF(AND(AO7=1,L7=0,AN7&lt;&gt;1),"Cohesion ready (waiting on completionist upgrades)","")))))</f>
        <v/>
      </c>
      <c r="AA7" s="27">
        <f>(IF(E7=0,0,(Upgrades!$G$6+E7*Upgrades!$H$6)*POWER(Upgrades!$I$6,E7)))*(IF(Upgrades!$T$7="Solar Wind",POWER(Upgrades!$U$7,F7),1)*IF(Upgrades!$T$8="Solar Wind",POWER(Upgrades!$U$8,G7),1)*IF(Upgrades!$T$9="Solar Wind",POWER(Upgrades!$U$9,H7),1)*IF(Upgrades!$T$10="Solar Wind",POWER(Upgrades!$U$10,I7),1)*IF(Upgrades!$T$11="Solar Wind",POWER(Upgrades!$U$11,J7),1)*IF(Upgrades!$T$12="Solar Wind",POWER(Upgrades!$U$12,K7),1))*POWER(Upgrades!$P$6,E7)*POWER(Upgrades!$P$7,F7)*POWER(Upgrades!$P$8,G7)*POWER(Upgrades!$P$9,H7)*POWER(Upgrades!$P$10,I7)*POWER(Upgrades!$P$11,J7)*POWER(Upgrades!$P$12,K7)*60</f>
        <v/>
      </c>
      <c r="AB7" s="27">
        <f>(IF(F7=0,0,(Upgrades!$G$7+F7*Upgrades!$H$7)*POWER(Upgrades!$I$7,F7)))*(IF(Upgrades!$T$6="Asteroid Belt",POWER(Upgrades!$U$6,E7),1)*IF(Upgrades!$T$8="Asteroid Belt",POWER(Upgrades!$U$8,G7),1)*IF(Upgrades!$T$9="Asteroid Belt",POWER(Upgrades!$U$9,H7),1)*IF(Upgrades!$T$10="Asteroid Belt",POWER(Upgrades!$U$10,I7),1)*IF(Upgrades!$T$11="Asteroid Belt",POWER(Upgrades!$U$11,J7),1)*IF(Upgrades!$T$12="Asteroid Belt",POWER(Upgrades!$U$12,K7),1))*POWER(Upgrades!$P$6,E7)*POWER(Upgrades!$P$7,F7)*POWER(Upgrades!$P$8,G7)*POWER(Upgrades!$P$9,H7)*POWER(Upgrades!$P$10,I7)*POWER(Upgrades!$P$11,J7)*POWER(Upgrades!$P$12,K7)*60</f>
        <v/>
      </c>
      <c r="AC7" s="27">
        <f>(IF(G7=0,0,(Upgrades!$J$8+G7*Upgrades!$K$8)*POWER(Upgrades!$L$8,G7)))*(IF(Upgrades!$T$6="Stellar Coupling",POWER(Upgrades!$U$6,E7),1)*IF(Upgrades!$T$7="Stellar Coupling",POWER(Upgrades!$U$7,F7),1)*IF(Upgrades!$T$9="Stellar Coupling",POWER(Upgrades!$U$9,H7),1)*IF(Upgrades!$T$10="Stellar Coupling",POWER(Upgrades!$U$10,I7),1)*IF(Upgrades!$T$11="Stellar Coupling",POWER(Upgrades!$U$11,J7),1)*IF(Upgrades!$T$12="Stellar Coupling",POWER(Upgrades!$U$12,K7),1))*POWER(Upgrades!$Q$6,E7)*POWER(Upgrades!$Q$7,F7)*POWER(Upgrades!$Q$8,G7)*POWER(Upgrades!$Q$9,H7)*POWER(Upgrades!$Q$10,I7)*POWER(Upgrades!$Q$11,J7)*POWER(Upgrades!$Q$12,K7)*Parameters!$B$10*Parameters!$B$11</f>
        <v/>
      </c>
      <c r="AD7" s="27">
        <f>(IF(H7=0,0,(Upgrades!$G$9+H7*Upgrades!$H$9)*POWER(Upgrades!$I$9,H7)))*(IF(Upgrades!$T$6="Magnetosphere",POWER(Upgrades!$U$6,E7),1)*IF(Upgrades!$T$7="Magnetosphere",POWER(Upgrades!$U$7,F7),1)*IF(Upgrades!$T$8="Magnetosphere",POWER(Upgrades!$U$8,G7),1)*IF(Upgrades!$T$10="Magnetosphere",POWER(Upgrades!$U$10,I7),1)*IF(Upgrades!$T$11="Magnetosphere",POWER(Upgrades!$U$11,J7),1)*IF(Upgrades!$T$12="Magnetosphere",POWER(Upgrades!$U$12,K7),1))*POWER(Upgrades!$P$6,E7)*POWER(Upgrades!$P$7,F7)*POWER(Upgrades!$P$8,G7)*POWER(Upgrades!$P$9,H7)*POWER(Upgrades!$P$10,I7)*POWER(Upgrades!$P$11,J7)*POWER(Upgrades!$P$12,K7)*60</f>
        <v/>
      </c>
      <c r="AE7" s="27">
        <f>(IF(K7=0,0,(Upgrades!$G$12+K7*Upgrades!$H$12)*POWER(Upgrades!$I$12,K7)))*(IF(Upgrades!$T$6="First Photons",POWER(Upgrades!$U$6,E7),1)*IF(Upgrades!$T$7="First Photons",POWER(Upgrades!$U$7,F7),1)*IF(Upgrades!$T$8="First Photons",POWER(Upgrades!$U$8,G7),1)*IF(Upgrades!$T$9="First Photons",POWER(Upgrades!$U$9,H7),1)*IF(Upgrades!$T$10="First Photons",POWER(Upgrades!$U$10,I7),1)*IF(Upgrades!$T$11="First Photons",POWER(Upgrades!$U$11,J7),1))*POWER(Upgrades!$P$6,E7)*POWER(Upgrades!$P$7,F7)*POWER(Upgrades!$P$8,G7)*POWER(Upgrades!$P$9,H7)*POWER(Upgrades!$P$10,I7)*POWER(Upgrades!$P$11,J7)*POWER(Upgrades!$P$12,K7)*60</f>
        <v/>
      </c>
      <c r="AF7" s="27">
        <f>Parameters!$B$9*POWER(Upgrades!$Q$6,E7)*POWER(Upgrades!$Q$7,F7)*POWER(Upgrades!$Q$8,G7)*POWER(Upgrades!$Q$9,H7)*POWER(Upgrades!$Q$10,I7)*POWER(Upgrades!$Q$11,J7)*POWER(Upgrades!$Q$12,K7)*(Parameters!$B$10*Parameters!$B$11+O7*60)</f>
        <v/>
      </c>
      <c r="AG7" s="22">
        <f>IF(E7&gt;=Upgrades!$E$6,"",Upgrades!$C$6*POWER(Upgrades!$D$6,E7))</f>
        <v/>
      </c>
      <c r="AH7" s="22">
        <f>IF(F7&gt;=Upgrades!$E$7,"",Upgrades!$C$7*POWER(Upgrades!$D$7,F7))</f>
        <v/>
      </c>
      <c r="AI7" s="22">
        <f>IF(G7&gt;=Upgrades!$E$8,"",Upgrades!$C$8*POWER(Upgrades!$D$8,G7))</f>
        <v/>
      </c>
      <c r="AJ7" s="22">
        <f>IF(H7&gt;=Upgrades!$E$9,"",Upgrades!$C$9*POWER(Upgrades!$D$9,H7))</f>
        <v/>
      </c>
      <c r="AK7" s="22">
        <f>IF(I7&gt;=Upgrades!$E$10,"",Upgrades!$C$10*POWER(Upgrades!$D$10,I7))</f>
        <v/>
      </c>
      <c r="AL7" s="22">
        <f>IF(J7&gt;=Upgrades!$E$11,"",Upgrades!$C$11*POWER(Upgrades!$D$11,J7))</f>
        <v/>
      </c>
      <c r="AM7" s="22">
        <f>IF(K7&gt;=Upgrades!$E$12,"",Upgrades!$C$12*POWER(Upgrades!$D$12,K7))</f>
        <v/>
      </c>
      <c r="AN7" s="26">
        <f>IF(AND(D7&gt;=Parameters!$B$18,(H7&gt;=Upgrades!$E$9)*(K7&gt;=Upgrades!$E$12)=1,L7=0),1,"")</f>
        <v/>
      </c>
      <c r="AO7" s="26">
        <f>IF(AND(D7&gt;=Parameters!$B$18,L7=0),1,"")</f>
        <v/>
      </c>
      <c r="AP7" s="22">
        <f>MIN(IF(ISNUMBER(AK7),AK7,9E15),IF(ISNUMBER(AL7),AL7,9E15),IF(ISNUMBER(AM7),AM7,9E15))</f>
        <v/>
      </c>
      <c r="AQ7" s="22">
        <f>MIN(IF(ISNUMBER(AG7),AG7,9E15),IF(ISNUMBER(AH7),AH7,9E15),IF(ISNUMBER(AI7),AI7,9E15),IF(ISNUMBER(AJ7),AJ7,9E15))</f>
        <v/>
      </c>
      <c r="AR7" s="29">
        <f>IF(AW7&gt;Parameters!$B$21*(MAX(IF(AND(NOT(AND(AO7=1,AN7&lt;&gt;1)),ISNUMBER(AG7),AG7&lt;=T7),AS7,0),IF(AND(NOT(AND(AO7=1,AN7&lt;&gt;1)),ISNUMBER(AH7),AH7&lt;=T7),AT7,0),IF(AND(NOT(AND(AO7=1,AN7&lt;&gt;1)),ISNUMBER(AI7),AI7&lt;=T7),AU7,0),IF(AND(ISNUMBER(AJ7),AJ7&lt;=T7),AV7,0))),TRUE,FALSE)</f>
        <v/>
      </c>
      <c r="AS7" s="32">
        <f>IFERROR(Upgrades!$H$6*(POWER(Upgrades!$P$6,E7)*POWER(Upgrades!$P$7,F7)*POWER(Upgrades!$P$8,G7)*POWER(Upgrades!$P$9,H7)*POWER(Upgrades!$P$10,I7)*POWER(Upgrades!$P$11,J7)*POWER(Upgrades!$P$12,K7))*(IF(Upgrades!$T$7="Solar Wind",POWER(Upgrades!$U$7,F7),1)*IF(Upgrades!$T$8="Solar Wind",POWER(Upgrades!$U$8,G7),1)*IF(Upgrades!$T$9="Solar Wind",POWER(Upgrades!$U$9,H7),1)*IF(Upgrades!$T$10="Solar Wind",POWER(Upgrades!$U$10,I7),1)*IF(Upgrades!$T$11="Solar Wind",POWER(Upgrades!$U$11,J7),1)*IF(Upgrades!$T$12="Solar Wind",POWER(Upgrades!$U$12,K7),1))/AG7,0)</f>
        <v/>
      </c>
      <c r="AT7" s="32">
        <f>IFERROR(Upgrades!$H$7*(POWER(Upgrades!$P$6,E7)*POWER(Upgrades!$P$7,F7)*POWER(Upgrades!$P$8,G7)*POWER(Upgrades!$P$9,H7)*POWER(Upgrades!$P$10,I7)*POWER(Upgrades!$P$11,J7)*POWER(Upgrades!$P$12,K7))*(IF(Upgrades!$T$6="Asteroid Belt",POWER(Upgrades!$U$6,E7),1)*IF(Upgrades!$T$8="Asteroid Belt",POWER(Upgrades!$U$8,G7),1)*IF(Upgrades!$T$9="Asteroid Belt",POWER(Upgrades!$U$9,H7),1)*IF(Upgrades!$T$10="Asteroid Belt",POWER(Upgrades!$U$10,I7),1)*IF(Upgrades!$T$11="Asteroid Belt",POWER(Upgrades!$U$11,J7),1)*IF(Upgrades!$T$12="Asteroid Belt",POWER(Upgrades!$U$12,K7),1))/AH7,0)</f>
        <v/>
      </c>
      <c r="AU7" s="32">
        <f>IFERROR(Upgrades!$K$8*(POWER(Upgrades!$Q$6,E7)*POWER(Upgrades!$Q$7,F7)*POWER(Upgrades!$Q$8,G7)*POWER(Upgrades!$Q$9,H7)*POWER(Upgrades!$Q$10,I7)*POWER(Upgrades!$Q$11,J7)*POWER(Upgrades!$Q$12,K7))*(IF(Upgrades!$T$6="Stellar Coupling",POWER(Upgrades!$U$6,E7),1)*IF(Upgrades!$T$7="Stellar Coupling",POWER(Upgrades!$U$7,F7),1)*IF(Upgrades!$T$9="Stellar Coupling",POWER(Upgrades!$U$9,H7),1)*IF(Upgrades!$T$10="Stellar Coupling",POWER(Upgrades!$U$10,I7),1)*IF(Upgrades!$T$11="Stellar Coupling",POWER(Upgrades!$U$11,J7),1)*IF(Upgrades!$T$12="Stellar Coupling",POWER(Upgrades!$U$12,K7),1))*Parameters!$B$10*Parameters!$B$11/60/AI7,0)</f>
        <v/>
      </c>
      <c r="AV7" s="32">
        <f>IFERROR(Upgrades!$H$9*(POWER(Upgrades!$P$6,E7)*POWER(Upgrades!$P$7,F7)*POWER(Upgrades!$P$8,G7)*POWER(Upgrades!$P$9,H7)*POWER(Upgrades!$P$10,I7)*POWER(Upgrades!$P$11,J7)*POWER(Upgrades!$P$12,K7))*(IF(Upgrades!$T$6="Magnetosphere",POWER(Upgrades!$U$6,E7),1)*IF(Upgrades!$T$7="Magnetosphere",POWER(Upgrades!$U$7,F7),1)*IF(Upgrades!$T$8="Magnetosphere",POWER(Upgrades!$U$8,G7),1)*IF(Upgrades!$T$10="Magnetosphere",POWER(Upgrades!$U$10,I7),1)*IF(Upgrades!$T$11="Magnetosphere",POWER(Upgrades!$U$11,J7),1)*IF(Upgrades!$T$12="Magnetosphere",POWER(Upgrades!$U$12,K7),1))/AJ7,0)</f>
        <v/>
      </c>
      <c r="AW7" s="32">
        <f>MAX(IF(I7&gt;0,0,IFERROR(0.25*N7/Upgrades!$C$10,0)),IF(J7&gt;0,0,IFERROR(0.5*((IF(G7=0,0,(Upgrades!$J$8+G7*Upgrades!$K$8)*POWER(Upgrades!$L$8,G7)))*(IF(Upgrades!$T$6="Stellar Coupling",POWER(Upgrades!$U$6,E7),1)*IF(Upgrades!$T$7="Stellar Coupling",POWER(Upgrades!$U$7,F7),1)*IF(Upgrades!$T$9="Stellar Coupling",POWER(Upgrades!$U$9,H7),1)*IF(Upgrades!$T$10="Stellar Coupling",POWER(Upgrades!$U$10,I7),1)*IF(Upgrades!$T$11="Stellar Coupling",POWER(Upgrades!$U$11,J7),1)*IF(Upgrades!$T$12="Stellar Coupling",POWER(Upgrades!$U$12,K7),1))*(POWER(Upgrades!$Q$6,E7)*POWER(Upgrades!$Q$7,F7)*POWER(Upgrades!$Q$8,G7)*POWER(Upgrades!$Q$9,H7)*POWER(Upgrades!$Q$10,I7)*POWER(Upgrades!$Q$11,J7)*POWER(Upgrades!$Q$12,K7))*Parameters!$B$10*Parameters!$B$11/60)/Upgrades!$C$11,0)),IF(K7&gt;0,0,IFERROR((1.0*(POWER(Upgrades!$P$6,E7)*POWER(Upgrades!$P$7,F7)*POWER(Upgrades!$P$8,G7)*POWER(Upgrades!$P$9,H7)*POWER(Upgrades!$P$10,I7)*POWER(Upgrades!$P$11,J7)*POWER(Upgrades!$P$12,K7))+0.20*M7*Parameters!$B$10*Parameters!$B$11/60)/Upgrades!$C$12,0)),IF(AND(ISNUMBER(AG7),AG7&gt;T7),AS7,0),IF(AND(ISNUMBER(AH7),AH7&gt;T7),AT7,0),IF(AND(ISNUMBER(AI7),AI7&gt;T7),AU7,0),IF(AND(ISNUMBER(AJ7),AJ7&gt;T7),AV7,0))</f>
        <v/>
      </c>
      <c r="AX7" s="29">
        <f>IF(AN7=1,"transition",IF(MIN(IF(AND(I7=0,ISNUMBER(AK7),AK7&lt;=T7),AK7,9E15),IF(AND(J7=0,ISNUMBER(AL7),AL7&lt;=T7),AL7,9E15),IF(AND(K7=0,ISNUMBER(AM7),AM7&lt;=T7),AM7,9E15))&lt;9E15,IF(AND(AND(I7=0,ISNUMBER(AK7),AK7&lt;=T7),AK7=MIN(IF(AND(I7=0,ISNUMBER(AK7),AK7&lt;=T7),AK7,9E15),IF(AND(J7=0,ISNUMBER(AL7),AL7&lt;=T7),AL7,9E15),IF(AND(K7=0,ISNUMBER(AM7),AM7&lt;=T7),AM7,9E15))),"OR",IF(AND(AND(J7=0,ISNUMBER(AL7),AL7&lt;=T7),AL7=MIN(IF(AND(I7=0,ISNUMBER(AK7),AK7&lt;=T7),AK7,9E15),IF(AND(J7=0,ISNUMBER(AL7),AL7&lt;=T7),AL7,9E15),IF(AND(K7=0,ISNUMBER(AM7),AM7&lt;=T7),AM7,9E15))),"HP","FP")),IF(AR7=TRUE,"",IF(MAX(IF(AND(NOT(AND(AO7=1,AN7&lt;&gt;1)),ISNUMBER(AG7),AG7&lt;=T7),AS7,0),IF(AND(NOT(AND(AO7=1,AN7&lt;&gt;1)),ISNUMBER(AH7),AH7&lt;=T7),AT7,0),IF(AND(NOT(AND(AO7=1,AN7&lt;&gt;1)),ISNUMBER(AI7),AI7&lt;=T7),AU7,0),IF(AND(ISNUMBER(AJ7),AJ7&lt;=T7),AV7,0))&lt;=0,"",IF(AND(IF(AND(NOT(AND(AO7=1,AN7&lt;&gt;1)),ISNUMBER(AG7),AG7&lt;=T7),AS7,0)&gt;0,IF(AND(NOT(AND(AO7=1,AN7&lt;&gt;1)),ISNUMBER(AG7),AG7&lt;=T7),AS7,0)=MAX(IF(AND(NOT(AND(AO7=1,AN7&lt;&gt;1)),ISNUMBER(AG7),AG7&lt;=T7),AS7,0),IF(AND(NOT(AND(AO7=1,AN7&lt;&gt;1)),ISNUMBER(AH7),AH7&lt;=T7),AT7,0),IF(AND(NOT(AND(AO7=1,AN7&lt;&gt;1)),ISNUMBER(AI7),AI7&lt;=T7),AU7,0),IF(AND(ISNUMBER(AJ7),AJ7&lt;=T7),AV7,0))),"SW",IF(AND(IF(AND(NOT(AND(AO7=1,AN7&lt;&gt;1)),ISNUMBER(AH7),AH7&lt;=T7),AT7,0)&gt;0,IF(AND(NOT(AND(AO7=1,AN7&lt;&gt;1)),ISNUMBER(AH7),AH7&lt;=T7),AT7,0)=MAX(IF(AND(NOT(AND(AO7=1,AN7&lt;&gt;1)),ISNUMBER(AG7),AG7&lt;=T7),AS7,0),IF(AND(NOT(AND(AO7=1,AN7&lt;&gt;1)),ISNUMBER(AH7),AH7&lt;=T7),AT7,0),IF(AND(NOT(AND(AO7=1,AN7&lt;&gt;1)),ISNUMBER(AI7),AI7&lt;=T7),AU7,0),IF(AND(ISNUMBER(AJ7),AJ7&lt;=T7),AV7,0))),"AB",IF(AND(IF(AND(NOT(AND(AO7=1,AN7&lt;&gt;1)),ISNUMBER(AI7),AI7&lt;=T7),AU7,0)&gt;0,IF(AND(NOT(AND(AO7=1,AN7&lt;&gt;1)),ISNUMBER(AI7),AI7&lt;=T7),AU7,0)=MAX(IF(AND(NOT(AND(AO7=1,AN7&lt;&gt;1)),ISNUMBER(AG7),AG7&lt;=T7),AS7,0),IF(AND(NOT(AND(AO7=1,AN7&lt;&gt;1)),ISNUMBER(AH7),AH7&lt;=T7),AT7,0),IF(AND(NOT(AND(AO7=1,AN7&lt;&gt;1)),ISNUMBER(AI7),AI7&lt;=T7),AU7,0),IF(AND(ISNUMBER(AJ7),AJ7&lt;=T7),AV7,0))),"SC","Mag")))))))</f>
        <v/>
      </c>
    </row>
    <row r="8">
      <c r="A8" s="26" t="n">
        <v>3</v>
      </c>
      <c r="B8" s="27">
        <f>A8*10/60</f>
        <v/>
      </c>
      <c r="C8" s="22">
        <f>X7</f>
        <v/>
      </c>
      <c r="D8" s="27">
        <f>D7+W7</f>
        <v/>
      </c>
      <c r="E8" s="26">
        <f>E7+IF(U7="SW",1,0)</f>
        <v/>
      </c>
      <c r="F8" s="26">
        <f>F7+IF(U7="AB",1,0)</f>
        <v/>
      </c>
      <c r="G8" s="26">
        <f>G7+IF(U7="SC",1,0)</f>
        <v/>
      </c>
      <c r="H8" s="26">
        <f>H7+IF(U7="Mag",1,0)</f>
        <v/>
      </c>
      <c r="I8" s="26">
        <f>MAX(I7,IF(U7="OR",1,0))</f>
        <v/>
      </c>
      <c r="J8" s="26">
        <f>MAX(J7,IF(U7="HP",1,0))</f>
        <v/>
      </c>
      <c r="K8" s="26">
        <f>MAX(K7,IF(U7="FP",1,0))</f>
        <v/>
      </c>
      <c r="L8" s="26">
        <f>MAX(L7,IF(U7="transition",1,0))</f>
        <v/>
      </c>
      <c r="M8" s="28">
        <f>(Parameters!$B$9+(IF(E8=0,0,(Upgrades!$J$6+E8*Upgrades!$K$6)*POWER(Upgrades!$L$6,E8)))*(IF(Upgrades!$T$7="Solar Wind",POWER(Upgrades!$U$7,F8),1)*IF(Upgrades!$T$8="Solar Wind",POWER(Upgrades!$U$8,G8),1)*IF(Upgrades!$T$9="Solar Wind",POWER(Upgrades!$U$9,H8),1)*IF(Upgrades!$T$10="Solar Wind",POWER(Upgrades!$U$10,I8),1)*IF(Upgrades!$T$11="Solar Wind",POWER(Upgrades!$U$11,J8),1)*IF(Upgrades!$T$12="Solar Wind",POWER(Upgrades!$U$12,K8),1))+(IF(F8=0,0,(Upgrades!$J$7+F8*Upgrades!$K$7)*POWER(Upgrades!$L$7,F8)))*(IF(Upgrades!$T$6="Asteroid Belt",POWER(Upgrades!$U$6,E8),1)*IF(Upgrades!$T$8="Asteroid Belt",POWER(Upgrades!$U$8,G8),1)*IF(Upgrades!$T$9="Asteroid Belt",POWER(Upgrades!$U$9,H8),1)*IF(Upgrades!$T$10="Asteroid Belt",POWER(Upgrades!$U$10,I8),1)*IF(Upgrades!$T$11="Asteroid Belt",POWER(Upgrades!$U$11,J8),1)*IF(Upgrades!$T$12="Asteroid Belt",POWER(Upgrades!$U$12,K8),1))+(IF(G8=0,0,(Upgrades!$J$8+G8*Upgrades!$K$8)*POWER(Upgrades!$L$8,G8)))*(IF(Upgrades!$T$6="Stellar Coupling",POWER(Upgrades!$U$6,E8),1)*IF(Upgrades!$T$7="Stellar Coupling",POWER(Upgrades!$U$7,F8),1)*IF(Upgrades!$T$9="Stellar Coupling",POWER(Upgrades!$U$9,H8),1)*IF(Upgrades!$T$10="Stellar Coupling",POWER(Upgrades!$U$10,I8),1)*IF(Upgrades!$T$11="Stellar Coupling",POWER(Upgrades!$U$11,J8),1)*IF(Upgrades!$T$12="Stellar Coupling",POWER(Upgrades!$U$12,K8),1))+(IF(H8=0,0,(Upgrades!$J$9+H8*Upgrades!$K$9)*POWER(Upgrades!$L$9,H8)))*(IF(Upgrades!$T$6="Magnetosphere",POWER(Upgrades!$U$6,E8),1)*IF(Upgrades!$T$7="Magnetosphere",POWER(Upgrades!$U$7,F8),1)*IF(Upgrades!$T$8="Magnetosphere",POWER(Upgrades!$U$8,G8),1)*IF(Upgrades!$T$10="Magnetosphere",POWER(Upgrades!$U$10,I8),1)*IF(Upgrades!$T$11="Magnetosphere",POWER(Upgrades!$U$11,J8),1)*IF(Upgrades!$T$12="Magnetosphere",POWER(Upgrades!$U$12,K8),1))+(IF(I8=0,0,(Upgrades!$J$10+I8*Upgrades!$K$10)*POWER(Upgrades!$L$10,I8)))*(IF(Upgrades!$T$6="Orbital Resonance",POWER(Upgrades!$U$6,E8),1)*IF(Upgrades!$T$7="Orbital Resonance",POWER(Upgrades!$U$7,F8),1)*IF(Upgrades!$T$8="Orbital Resonance",POWER(Upgrades!$U$8,G8),1)*IF(Upgrades!$T$9="Orbital Resonance",POWER(Upgrades!$U$9,H8),1)*IF(Upgrades!$T$11="Orbital Resonance",POWER(Upgrades!$U$11,J8),1)*IF(Upgrades!$T$12="Orbital Resonance",POWER(Upgrades!$U$12,K8),1))+(IF(J8=0,0,(Upgrades!$J$11+J8*Upgrades!$K$11)*POWER(Upgrades!$L$11,J8)))*(IF(Upgrades!$T$6="Heliopause",POWER(Upgrades!$U$6,E8),1)*IF(Upgrades!$T$7="Heliopause",POWER(Upgrades!$U$7,F8),1)*IF(Upgrades!$T$8="Heliopause",POWER(Upgrades!$U$8,G8),1)*IF(Upgrades!$T$9="Heliopause",POWER(Upgrades!$U$9,H8),1)*IF(Upgrades!$T$10="Heliopause",POWER(Upgrades!$U$10,I8),1)*IF(Upgrades!$T$12="Heliopause",POWER(Upgrades!$U$12,K8),1))+(IF(K8=0,0,(Upgrades!$J$12+K8*Upgrades!$K$12)*POWER(Upgrades!$L$12,K8)))*(IF(Upgrades!$T$6="First Photons",POWER(Upgrades!$U$6,E8),1)*IF(Upgrades!$T$7="First Photons",POWER(Upgrades!$U$7,F8),1)*IF(Upgrades!$T$8="First Photons",POWER(Upgrades!$U$8,G8),1)*IF(Upgrades!$T$9="First Photons",POWER(Upgrades!$U$9,H8),1)*IF(Upgrades!$T$10="First Photons",POWER(Upgrades!$U$10,I8),1)*IF(Upgrades!$T$11="First Photons",POWER(Upgrades!$U$11,J8),1)))*POWER(Upgrades!$Q$6,E8)*POWER(Upgrades!$Q$7,F8)*POWER(Upgrades!$Q$8,G8)*POWER(Upgrades!$Q$9,H8)*POWER(Upgrades!$Q$10,I8)*POWER(Upgrades!$Q$11,J8)*POWER(Upgrades!$Q$12,K8)</f>
        <v/>
      </c>
      <c r="N8" s="28">
        <f>((IF(E8=0,0,(Upgrades!$G$6+E8*Upgrades!$H$6)*POWER(Upgrades!$I$6,E8)))*(IF(Upgrades!$T$7="Solar Wind",POWER(Upgrades!$U$7,F8),1)*IF(Upgrades!$T$8="Solar Wind",POWER(Upgrades!$U$8,G8),1)*IF(Upgrades!$T$9="Solar Wind",POWER(Upgrades!$U$9,H8),1)*IF(Upgrades!$T$10="Solar Wind",POWER(Upgrades!$U$10,I8),1)*IF(Upgrades!$T$11="Solar Wind",POWER(Upgrades!$U$11,J8),1)*IF(Upgrades!$T$12="Solar Wind",POWER(Upgrades!$U$12,K8),1))+(IF(F8=0,0,(Upgrades!$G$7+F8*Upgrades!$H$7)*POWER(Upgrades!$I$7,F8)))*(IF(Upgrades!$T$6="Asteroid Belt",POWER(Upgrades!$U$6,E8),1)*IF(Upgrades!$T$8="Asteroid Belt",POWER(Upgrades!$U$8,G8),1)*IF(Upgrades!$T$9="Asteroid Belt",POWER(Upgrades!$U$9,H8),1)*IF(Upgrades!$T$10="Asteroid Belt",POWER(Upgrades!$U$10,I8),1)*IF(Upgrades!$T$11="Asteroid Belt",POWER(Upgrades!$U$11,J8),1)*IF(Upgrades!$T$12="Asteroid Belt",POWER(Upgrades!$U$12,K8),1))+(IF(G8=0,0,(Upgrades!$G$8+G8*Upgrades!$H$8)*POWER(Upgrades!$I$8,G8)))*(IF(Upgrades!$T$6="Stellar Coupling",POWER(Upgrades!$U$6,E8),1)*IF(Upgrades!$T$7="Stellar Coupling",POWER(Upgrades!$U$7,F8),1)*IF(Upgrades!$T$9="Stellar Coupling",POWER(Upgrades!$U$9,H8),1)*IF(Upgrades!$T$10="Stellar Coupling",POWER(Upgrades!$U$10,I8),1)*IF(Upgrades!$T$11="Stellar Coupling",POWER(Upgrades!$U$11,J8),1)*IF(Upgrades!$T$12="Stellar Coupling",POWER(Upgrades!$U$12,K8),1))+(IF(H8=0,0,(Upgrades!$G$9+H8*Upgrades!$H$9)*POWER(Upgrades!$I$9,H8)))*(IF(Upgrades!$T$6="Magnetosphere",POWER(Upgrades!$U$6,E8),1)*IF(Upgrades!$T$7="Magnetosphere",POWER(Upgrades!$U$7,F8),1)*IF(Upgrades!$T$8="Magnetosphere",POWER(Upgrades!$U$8,G8),1)*IF(Upgrades!$T$10="Magnetosphere",POWER(Upgrades!$U$10,I8),1)*IF(Upgrades!$T$11="Magnetosphere",POWER(Upgrades!$U$11,J8),1)*IF(Upgrades!$T$12="Magnetosphere",POWER(Upgrades!$U$12,K8),1))+(IF(I8=0,0,(Upgrades!$G$10+I8*Upgrades!$H$10)*POWER(Upgrades!$I$10,I8)))*(IF(Upgrades!$T$6="Orbital Resonance",POWER(Upgrades!$U$6,E8),1)*IF(Upgrades!$T$7="Orbital Resonance",POWER(Upgrades!$U$7,F8),1)*IF(Upgrades!$T$8="Orbital Resonance",POWER(Upgrades!$U$8,G8),1)*IF(Upgrades!$T$9="Orbital Resonance",POWER(Upgrades!$U$9,H8),1)*IF(Upgrades!$T$11="Orbital Resonance",POWER(Upgrades!$U$11,J8),1)*IF(Upgrades!$T$12="Orbital Resonance",POWER(Upgrades!$U$12,K8),1))+(IF(J8=0,0,(Upgrades!$G$11+J8*Upgrades!$H$11)*POWER(Upgrades!$I$11,J8)))*(IF(Upgrades!$T$6="Heliopause",POWER(Upgrades!$U$6,E8),1)*IF(Upgrades!$T$7="Heliopause",POWER(Upgrades!$U$7,F8),1)*IF(Upgrades!$T$8="Heliopause",POWER(Upgrades!$U$8,G8),1)*IF(Upgrades!$T$9="Heliopause",POWER(Upgrades!$U$9,H8),1)*IF(Upgrades!$T$10="Heliopause",POWER(Upgrades!$U$10,I8),1)*IF(Upgrades!$T$12="Heliopause",POWER(Upgrades!$U$12,K8),1))+(IF(K8=0,0,(Upgrades!$G$12+K8*Upgrades!$H$12)*POWER(Upgrades!$I$12,K8)))*(IF(Upgrades!$T$6="First Photons",POWER(Upgrades!$U$6,E8),1)*IF(Upgrades!$T$7="First Photons",POWER(Upgrades!$U$7,F8),1)*IF(Upgrades!$T$8="First Photons",POWER(Upgrades!$U$8,G8),1)*IF(Upgrades!$T$9="First Photons",POWER(Upgrades!$U$9,H8),1)*IF(Upgrades!$T$10="First Photons",POWER(Upgrades!$U$10,I8),1)*IF(Upgrades!$T$11="First Photons",POWER(Upgrades!$U$11,J8),1)))*POWER(Upgrades!$P$6,E8)*POWER(Upgrades!$P$7,F8)*POWER(Upgrades!$P$8,G8)*POWER(Upgrades!$P$9,H8)*POWER(Upgrades!$P$10,I8)*POWER(Upgrades!$P$11,J8)*POWER(Upgrades!$P$12,K8)</f>
        <v/>
      </c>
      <c r="O8" s="28">
        <f>((IF(E8=0,0,(Upgrades!$M$6+E8*Upgrades!$N$6)*POWER(Upgrades!$O$6,E8)))*(IF(Upgrades!$T$7="Solar Wind",POWER(Upgrades!$U$7,F8),1)*IF(Upgrades!$T$8="Solar Wind",POWER(Upgrades!$U$8,G8),1)*IF(Upgrades!$T$9="Solar Wind",POWER(Upgrades!$U$9,H8),1)*IF(Upgrades!$T$10="Solar Wind",POWER(Upgrades!$U$10,I8),1)*IF(Upgrades!$T$11="Solar Wind",POWER(Upgrades!$U$11,J8),1)*IF(Upgrades!$T$12="Solar Wind",POWER(Upgrades!$U$12,K8),1))+(IF(F8=0,0,(Upgrades!$M$7+F8*Upgrades!$N$7)*POWER(Upgrades!$O$7,F8)))*(IF(Upgrades!$T$6="Asteroid Belt",POWER(Upgrades!$U$6,E8),1)*IF(Upgrades!$T$8="Asteroid Belt",POWER(Upgrades!$U$8,G8),1)*IF(Upgrades!$T$9="Asteroid Belt",POWER(Upgrades!$U$9,H8),1)*IF(Upgrades!$T$10="Asteroid Belt",POWER(Upgrades!$U$10,I8),1)*IF(Upgrades!$T$11="Asteroid Belt",POWER(Upgrades!$U$11,J8),1)*IF(Upgrades!$T$12="Asteroid Belt",POWER(Upgrades!$U$12,K8),1))+(IF(G8=0,0,(Upgrades!$M$8+G8*Upgrades!$N$8)*POWER(Upgrades!$O$8,G8)))*(IF(Upgrades!$T$6="Stellar Coupling",POWER(Upgrades!$U$6,E8),1)*IF(Upgrades!$T$7="Stellar Coupling",POWER(Upgrades!$U$7,F8),1)*IF(Upgrades!$T$9="Stellar Coupling",POWER(Upgrades!$U$9,H8),1)*IF(Upgrades!$T$10="Stellar Coupling",POWER(Upgrades!$U$10,I8),1)*IF(Upgrades!$T$11="Stellar Coupling",POWER(Upgrades!$U$11,J8),1)*IF(Upgrades!$T$12="Stellar Coupling",POWER(Upgrades!$U$12,K8),1))+(IF(H8=0,0,(Upgrades!$M$9+H8*Upgrades!$N$9)*POWER(Upgrades!$O$9,H8)))*(IF(Upgrades!$T$6="Magnetosphere",POWER(Upgrades!$U$6,E8),1)*IF(Upgrades!$T$7="Magnetosphere",POWER(Upgrades!$U$7,F8),1)*IF(Upgrades!$T$8="Magnetosphere",POWER(Upgrades!$U$8,G8),1)*IF(Upgrades!$T$10="Magnetosphere",POWER(Upgrades!$U$10,I8),1)*IF(Upgrades!$T$11="Magnetosphere",POWER(Upgrades!$U$11,J8),1)*IF(Upgrades!$T$12="Magnetosphere",POWER(Upgrades!$U$12,K8),1))+(IF(I8=0,0,(Upgrades!$M$10+I8*Upgrades!$N$10)*POWER(Upgrades!$O$10,I8)))*(IF(Upgrades!$T$6="Orbital Resonance",POWER(Upgrades!$U$6,E8),1)*IF(Upgrades!$T$7="Orbital Resonance",POWER(Upgrades!$U$7,F8),1)*IF(Upgrades!$T$8="Orbital Resonance",POWER(Upgrades!$U$8,G8),1)*IF(Upgrades!$T$9="Orbital Resonance",POWER(Upgrades!$U$9,H8),1)*IF(Upgrades!$T$11="Orbital Resonance",POWER(Upgrades!$U$11,J8),1)*IF(Upgrades!$T$12="Orbital Resonance",POWER(Upgrades!$U$12,K8),1))+(IF(J8=0,0,(Upgrades!$M$11+J8*Upgrades!$N$11)*POWER(Upgrades!$O$11,J8)))*(IF(Upgrades!$T$6="Heliopause",POWER(Upgrades!$U$6,E8),1)*IF(Upgrades!$T$7="Heliopause",POWER(Upgrades!$U$7,F8),1)*IF(Upgrades!$T$8="Heliopause",POWER(Upgrades!$U$8,G8),1)*IF(Upgrades!$T$9="Heliopause",POWER(Upgrades!$U$9,H8),1)*IF(Upgrades!$T$10="Heliopause",POWER(Upgrades!$U$10,I8),1)*IF(Upgrades!$T$12="Heliopause",POWER(Upgrades!$U$12,K8),1))+(IF(K8=0,0,(Upgrades!$M$12+K8*Upgrades!$N$12)*POWER(Upgrades!$O$12,K8)))*(IF(Upgrades!$T$6="First Photons",POWER(Upgrades!$U$6,E8),1)*IF(Upgrades!$T$7="First Photons",POWER(Upgrades!$U$7,F8),1)*IF(Upgrades!$T$8="First Photons",POWER(Upgrades!$U$8,G8),1)*IF(Upgrades!$T$9="First Photons",POWER(Upgrades!$U$9,H8),1)*IF(Upgrades!$T$10="First Photons",POWER(Upgrades!$U$10,I8),1)*IF(Upgrades!$T$11="First Photons",POWER(Upgrades!$U$11,J8),1)))*POWER(Upgrades!$R$6,E8)*POWER(Upgrades!$R$7,F8)*POWER(Upgrades!$R$8,G8)*POWER(Upgrades!$R$9,H8)*POWER(Upgrades!$R$10,I8)*POWER(Upgrades!$R$11,J8)*POWER(Upgrades!$R$12,K8)</f>
        <v/>
      </c>
      <c r="P8" s="27">
        <f>IF(L8=1,0,M8*Parameters!$B$10/60*Parameters!$B$11*10)</f>
        <v/>
      </c>
      <c r="Q8" s="27">
        <f>IF(L8=1,0,O8*M8*10)</f>
        <v/>
      </c>
      <c r="R8" s="27">
        <f>IF(L8=1,0,N8*10)</f>
        <v/>
      </c>
      <c r="S8" s="27">
        <f>P8+Q8+R8</f>
        <v/>
      </c>
      <c r="T8" s="22">
        <f>C8+S8</f>
        <v/>
      </c>
      <c r="U8" s="33">
        <f>AX8</f>
        <v/>
      </c>
      <c r="V8" s="22">
        <f>IF(U8="",0,IF(U8="transition",0,IF(U8="SW",AG8,IF(U8="AB",AH8,IF(U8="SC",AI8,IF(U8="Mag",AJ8,IF(U8="OR",AK8,IF(U8="HP",AL8,IF(U8="FP",AM8,0)))))))))</f>
        <v/>
      </c>
      <c r="W8" s="27">
        <f>IF(U8="OR",Upgrades!$F$10,IF(U8="HP",Upgrades!$F$11,IF(U8="transition",-Parameters!$B$18,0)))</f>
        <v/>
      </c>
      <c r="X8" s="22">
        <f>T8-V8</f>
        <v/>
      </c>
      <c r="Y8" s="30">
        <f>M8*Parameters!$B$10/60*Parameters!$B$11+O8*M8+N8</f>
        <v/>
      </c>
      <c r="Z8" s="34">
        <f>IF(U8="transition","→ Tier 2 (Stellar Neighborhood)",IF(U8="FP","First Photons — light begins, system quickens",IF(U8="HP","Heliopause acquired",IF(U8="OR","Orbital Resonance — passive multiplier active",IF(AND(AO8=1,L8=0,AN8&lt;&gt;1),"Cohesion ready (waiting on completionist upgrades)","")))))</f>
        <v/>
      </c>
      <c r="AA8" s="27">
        <f>(IF(E8=0,0,(Upgrades!$G$6+E8*Upgrades!$H$6)*POWER(Upgrades!$I$6,E8)))*(IF(Upgrades!$T$7="Solar Wind",POWER(Upgrades!$U$7,F8),1)*IF(Upgrades!$T$8="Solar Wind",POWER(Upgrades!$U$8,G8),1)*IF(Upgrades!$T$9="Solar Wind",POWER(Upgrades!$U$9,H8),1)*IF(Upgrades!$T$10="Solar Wind",POWER(Upgrades!$U$10,I8),1)*IF(Upgrades!$T$11="Solar Wind",POWER(Upgrades!$U$11,J8),1)*IF(Upgrades!$T$12="Solar Wind",POWER(Upgrades!$U$12,K8),1))*POWER(Upgrades!$P$6,E8)*POWER(Upgrades!$P$7,F8)*POWER(Upgrades!$P$8,G8)*POWER(Upgrades!$P$9,H8)*POWER(Upgrades!$P$10,I8)*POWER(Upgrades!$P$11,J8)*POWER(Upgrades!$P$12,K8)*60</f>
        <v/>
      </c>
      <c r="AB8" s="27">
        <f>(IF(F8=0,0,(Upgrades!$G$7+F8*Upgrades!$H$7)*POWER(Upgrades!$I$7,F8)))*(IF(Upgrades!$T$6="Asteroid Belt",POWER(Upgrades!$U$6,E8),1)*IF(Upgrades!$T$8="Asteroid Belt",POWER(Upgrades!$U$8,G8),1)*IF(Upgrades!$T$9="Asteroid Belt",POWER(Upgrades!$U$9,H8),1)*IF(Upgrades!$T$10="Asteroid Belt",POWER(Upgrades!$U$10,I8),1)*IF(Upgrades!$T$11="Asteroid Belt",POWER(Upgrades!$U$11,J8),1)*IF(Upgrades!$T$12="Asteroid Belt",POWER(Upgrades!$U$12,K8),1))*POWER(Upgrades!$P$6,E8)*POWER(Upgrades!$P$7,F8)*POWER(Upgrades!$P$8,G8)*POWER(Upgrades!$P$9,H8)*POWER(Upgrades!$P$10,I8)*POWER(Upgrades!$P$11,J8)*POWER(Upgrades!$P$12,K8)*60</f>
        <v/>
      </c>
      <c r="AC8" s="27">
        <f>(IF(G8=0,0,(Upgrades!$J$8+G8*Upgrades!$K$8)*POWER(Upgrades!$L$8,G8)))*(IF(Upgrades!$T$6="Stellar Coupling",POWER(Upgrades!$U$6,E8),1)*IF(Upgrades!$T$7="Stellar Coupling",POWER(Upgrades!$U$7,F8),1)*IF(Upgrades!$T$9="Stellar Coupling",POWER(Upgrades!$U$9,H8),1)*IF(Upgrades!$T$10="Stellar Coupling",POWER(Upgrades!$U$10,I8),1)*IF(Upgrades!$T$11="Stellar Coupling",POWER(Upgrades!$U$11,J8),1)*IF(Upgrades!$T$12="Stellar Coupling",POWER(Upgrades!$U$12,K8),1))*POWER(Upgrades!$Q$6,E8)*POWER(Upgrades!$Q$7,F8)*POWER(Upgrades!$Q$8,G8)*POWER(Upgrades!$Q$9,H8)*POWER(Upgrades!$Q$10,I8)*POWER(Upgrades!$Q$11,J8)*POWER(Upgrades!$Q$12,K8)*Parameters!$B$10*Parameters!$B$11</f>
        <v/>
      </c>
      <c r="AD8" s="27">
        <f>(IF(H8=0,0,(Upgrades!$G$9+H8*Upgrades!$H$9)*POWER(Upgrades!$I$9,H8)))*(IF(Upgrades!$T$6="Magnetosphere",POWER(Upgrades!$U$6,E8),1)*IF(Upgrades!$T$7="Magnetosphere",POWER(Upgrades!$U$7,F8),1)*IF(Upgrades!$T$8="Magnetosphere",POWER(Upgrades!$U$8,G8),1)*IF(Upgrades!$T$10="Magnetosphere",POWER(Upgrades!$U$10,I8),1)*IF(Upgrades!$T$11="Magnetosphere",POWER(Upgrades!$U$11,J8),1)*IF(Upgrades!$T$12="Magnetosphere",POWER(Upgrades!$U$12,K8),1))*POWER(Upgrades!$P$6,E8)*POWER(Upgrades!$P$7,F8)*POWER(Upgrades!$P$8,G8)*POWER(Upgrades!$P$9,H8)*POWER(Upgrades!$P$10,I8)*POWER(Upgrades!$P$11,J8)*POWER(Upgrades!$P$12,K8)*60</f>
        <v/>
      </c>
      <c r="AE8" s="27">
        <f>(IF(K8=0,0,(Upgrades!$G$12+K8*Upgrades!$H$12)*POWER(Upgrades!$I$12,K8)))*(IF(Upgrades!$T$6="First Photons",POWER(Upgrades!$U$6,E8),1)*IF(Upgrades!$T$7="First Photons",POWER(Upgrades!$U$7,F8),1)*IF(Upgrades!$T$8="First Photons",POWER(Upgrades!$U$8,G8),1)*IF(Upgrades!$T$9="First Photons",POWER(Upgrades!$U$9,H8),1)*IF(Upgrades!$T$10="First Photons",POWER(Upgrades!$U$10,I8),1)*IF(Upgrades!$T$11="First Photons",POWER(Upgrades!$U$11,J8),1))*POWER(Upgrades!$P$6,E8)*POWER(Upgrades!$P$7,F8)*POWER(Upgrades!$P$8,G8)*POWER(Upgrades!$P$9,H8)*POWER(Upgrades!$P$10,I8)*POWER(Upgrades!$P$11,J8)*POWER(Upgrades!$P$12,K8)*60</f>
        <v/>
      </c>
      <c r="AF8" s="27">
        <f>Parameters!$B$9*POWER(Upgrades!$Q$6,E8)*POWER(Upgrades!$Q$7,F8)*POWER(Upgrades!$Q$8,G8)*POWER(Upgrades!$Q$9,H8)*POWER(Upgrades!$Q$10,I8)*POWER(Upgrades!$Q$11,J8)*POWER(Upgrades!$Q$12,K8)*(Parameters!$B$10*Parameters!$B$11+O8*60)</f>
        <v/>
      </c>
      <c r="AG8" s="22">
        <f>IF(E8&gt;=Upgrades!$E$6,"",Upgrades!$C$6*POWER(Upgrades!$D$6,E8))</f>
        <v/>
      </c>
      <c r="AH8" s="22">
        <f>IF(F8&gt;=Upgrades!$E$7,"",Upgrades!$C$7*POWER(Upgrades!$D$7,F8))</f>
        <v/>
      </c>
      <c r="AI8" s="22">
        <f>IF(G8&gt;=Upgrades!$E$8,"",Upgrades!$C$8*POWER(Upgrades!$D$8,G8))</f>
        <v/>
      </c>
      <c r="AJ8" s="22">
        <f>IF(H8&gt;=Upgrades!$E$9,"",Upgrades!$C$9*POWER(Upgrades!$D$9,H8))</f>
        <v/>
      </c>
      <c r="AK8" s="22">
        <f>IF(I8&gt;=Upgrades!$E$10,"",Upgrades!$C$10*POWER(Upgrades!$D$10,I8))</f>
        <v/>
      </c>
      <c r="AL8" s="22">
        <f>IF(J8&gt;=Upgrades!$E$11,"",Upgrades!$C$11*POWER(Upgrades!$D$11,J8))</f>
        <v/>
      </c>
      <c r="AM8" s="22">
        <f>IF(K8&gt;=Upgrades!$E$12,"",Upgrades!$C$12*POWER(Upgrades!$D$12,K8))</f>
        <v/>
      </c>
      <c r="AN8" s="26">
        <f>IF(AND(D8&gt;=Parameters!$B$18,(H8&gt;=Upgrades!$E$9)*(K8&gt;=Upgrades!$E$12)=1,L8=0),1,"")</f>
        <v/>
      </c>
      <c r="AO8" s="26">
        <f>IF(AND(D8&gt;=Parameters!$B$18,L8=0),1,"")</f>
        <v/>
      </c>
      <c r="AP8" s="22">
        <f>MIN(IF(ISNUMBER(AK8),AK8,9E15),IF(ISNUMBER(AL8),AL8,9E15),IF(ISNUMBER(AM8),AM8,9E15))</f>
        <v/>
      </c>
      <c r="AQ8" s="22">
        <f>MIN(IF(ISNUMBER(AG8),AG8,9E15),IF(ISNUMBER(AH8),AH8,9E15),IF(ISNUMBER(AI8),AI8,9E15),IF(ISNUMBER(AJ8),AJ8,9E15))</f>
        <v/>
      </c>
      <c r="AR8" s="29">
        <f>IF(AW8&gt;Parameters!$B$21*(MAX(IF(AND(NOT(AND(AO8=1,AN8&lt;&gt;1)),ISNUMBER(AG8),AG8&lt;=T8),AS8,0),IF(AND(NOT(AND(AO8=1,AN8&lt;&gt;1)),ISNUMBER(AH8),AH8&lt;=T8),AT8,0),IF(AND(NOT(AND(AO8=1,AN8&lt;&gt;1)),ISNUMBER(AI8),AI8&lt;=T8),AU8,0),IF(AND(ISNUMBER(AJ8),AJ8&lt;=T8),AV8,0))),TRUE,FALSE)</f>
        <v/>
      </c>
      <c r="AS8" s="32">
        <f>IFERROR(Upgrades!$H$6*(POWER(Upgrades!$P$6,E8)*POWER(Upgrades!$P$7,F8)*POWER(Upgrades!$P$8,G8)*POWER(Upgrades!$P$9,H8)*POWER(Upgrades!$P$10,I8)*POWER(Upgrades!$P$11,J8)*POWER(Upgrades!$P$12,K8))*(IF(Upgrades!$T$7="Solar Wind",POWER(Upgrades!$U$7,F8),1)*IF(Upgrades!$T$8="Solar Wind",POWER(Upgrades!$U$8,G8),1)*IF(Upgrades!$T$9="Solar Wind",POWER(Upgrades!$U$9,H8),1)*IF(Upgrades!$T$10="Solar Wind",POWER(Upgrades!$U$10,I8),1)*IF(Upgrades!$T$11="Solar Wind",POWER(Upgrades!$U$11,J8),1)*IF(Upgrades!$T$12="Solar Wind",POWER(Upgrades!$U$12,K8),1))/AG8,0)</f>
        <v/>
      </c>
      <c r="AT8" s="32">
        <f>IFERROR(Upgrades!$H$7*(POWER(Upgrades!$P$6,E8)*POWER(Upgrades!$P$7,F8)*POWER(Upgrades!$P$8,G8)*POWER(Upgrades!$P$9,H8)*POWER(Upgrades!$P$10,I8)*POWER(Upgrades!$P$11,J8)*POWER(Upgrades!$P$12,K8))*(IF(Upgrades!$T$6="Asteroid Belt",POWER(Upgrades!$U$6,E8),1)*IF(Upgrades!$T$8="Asteroid Belt",POWER(Upgrades!$U$8,G8),1)*IF(Upgrades!$T$9="Asteroid Belt",POWER(Upgrades!$U$9,H8),1)*IF(Upgrades!$T$10="Asteroid Belt",POWER(Upgrades!$U$10,I8),1)*IF(Upgrades!$T$11="Asteroid Belt",POWER(Upgrades!$U$11,J8),1)*IF(Upgrades!$T$12="Asteroid Belt",POWER(Upgrades!$U$12,K8),1))/AH8,0)</f>
        <v/>
      </c>
      <c r="AU8" s="32">
        <f>IFERROR(Upgrades!$K$8*(POWER(Upgrades!$Q$6,E8)*POWER(Upgrades!$Q$7,F8)*POWER(Upgrades!$Q$8,G8)*POWER(Upgrades!$Q$9,H8)*POWER(Upgrades!$Q$10,I8)*POWER(Upgrades!$Q$11,J8)*POWER(Upgrades!$Q$12,K8))*(IF(Upgrades!$T$6="Stellar Coupling",POWER(Upgrades!$U$6,E8),1)*IF(Upgrades!$T$7="Stellar Coupling",POWER(Upgrades!$U$7,F8),1)*IF(Upgrades!$T$9="Stellar Coupling",POWER(Upgrades!$U$9,H8),1)*IF(Upgrades!$T$10="Stellar Coupling",POWER(Upgrades!$U$10,I8),1)*IF(Upgrades!$T$11="Stellar Coupling",POWER(Upgrades!$U$11,J8),1)*IF(Upgrades!$T$12="Stellar Coupling",POWER(Upgrades!$U$12,K8),1))*Parameters!$B$10*Parameters!$B$11/60/AI8,0)</f>
        <v/>
      </c>
      <c r="AV8" s="32">
        <f>IFERROR(Upgrades!$H$9*(POWER(Upgrades!$P$6,E8)*POWER(Upgrades!$P$7,F8)*POWER(Upgrades!$P$8,G8)*POWER(Upgrades!$P$9,H8)*POWER(Upgrades!$P$10,I8)*POWER(Upgrades!$P$11,J8)*POWER(Upgrades!$P$12,K8))*(IF(Upgrades!$T$6="Magnetosphere",POWER(Upgrades!$U$6,E8),1)*IF(Upgrades!$T$7="Magnetosphere",POWER(Upgrades!$U$7,F8),1)*IF(Upgrades!$T$8="Magnetosphere",POWER(Upgrades!$U$8,G8),1)*IF(Upgrades!$T$10="Magnetosphere",POWER(Upgrades!$U$10,I8),1)*IF(Upgrades!$T$11="Magnetosphere",POWER(Upgrades!$U$11,J8),1)*IF(Upgrades!$T$12="Magnetosphere",POWER(Upgrades!$U$12,K8),1))/AJ8,0)</f>
        <v/>
      </c>
      <c r="AW8" s="32">
        <f>MAX(IF(I8&gt;0,0,IFERROR(0.25*N8/Upgrades!$C$10,0)),IF(J8&gt;0,0,IFERROR(0.5*((IF(G8=0,0,(Upgrades!$J$8+G8*Upgrades!$K$8)*POWER(Upgrades!$L$8,G8)))*(IF(Upgrades!$T$6="Stellar Coupling",POWER(Upgrades!$U$6,E8),1)*IF(Upgrades!$T$7="Stellar Coupling",POWER(Upgrades!$U$7,F8),1)*IF(Upgrades!$T$9="Stellar Coupling",POWER(Upgrades!$U$9,H8),1)*IF(Upgrades!$T$10="Stellar Coupling",POWER(Upgrades!$U$10,I8),1)*IF(Upgrades!$T$11="Stellar Coupling",POWER(Upgrades!$U$11,J8),1)*IF(Upgrades!$T$12="Stellar Coupling",POWER(Upgrades!$U$12,K8),1))*(POWER(Upgrades!$Q$6,E8)*POWER(Upgrades!$Q$7,F8)*POWER(Upgrades!$Q$8,G8)*POWER(Upgrades!$Q$9,H8)*POWER(Upgrades!$Q$10,I8)*POWER(Upgrades!$Q$11,J8)*POWER(Upgrades!$Q$12,K8))*Parameters!$B$10*Parameters!$B$11/60)/Upgrades!$C$11,0)),IF(K8&gt;0,0,IFERROR((1.0*(POWER(Upgrades!$P$6,E8)*POWER(Upgrades!$P$7,F8)*POWER(Upgrades!$P$8,G8)*POWER(Upgrades!$P$9,H8)*POWER(Upgrades!$P$10,I8)*POWER(Upgrades!$P$11,J8)*POWER(Upgrades!$P$12,K8))+0.20*M8*Parameters!$B$10*Parameters!$B$11/60)/Upgrades!$C$12,0)),IF(AND(ISNUMBER(AG8),AG8&gt;T8),AS8,0),IF(AND(ISNUMBER(AH8),AH8&gt;T8),AT8,0),IF(AND(ISNUMBER(AI8),AI8&gt;T8),AU8,0),IF(AND(ISNUMBER(AJ8),AJ8&gt;T8),AV8,0))</f>
        <v/>
      </c>
      <c r="AX8" s="29">
        <f>IF(AN8=1,"transition",IF(MIN(IF(AND(I8=0,ISNUMBER(AK8),AK8&lt;=T8),AK8,9E15),IF(AND(J8=0,ISNUMBER(AL8),AL8&lt;=T8),AL8,9E15),IF(AND(K8=0,ISNUMBER(AM8),AM8&lt;=T8),AM8,9E15))&lt;9E15,IF(AND(AND(I8=0,ISNUMBER(AK8),AK8&lt;=T8),AK8=MIN(IF(AND(I8=0,ISNUMBER(AK8),AK8&lt;=T8),AK8,9E15),IF(AND(J8=0,ISNUMBER(AL8),AL8&lt;=T8),AL8,9E15),IF(AND(K8=0,ISNUMBER(AM8),AM8&lt;=T8),AM8,9E15))),"OR",IF(AND(AND(J8=0,ISNUMBER(AL8),AL8&lt;=T8),AL8=MIN(IF(AND(I8=0,ISNUMBER(AK8),AK8&lt;=T8),AK8,9E15),IF(AND(J8=0,ISNUMBER(AL8),AL8&lt;=T8),AL8,9E15),IF(AND(K8=0,ISNUMBER(AM8),AM8&lt;=T8),AM8,9E15))),"HP","FP")),IF(AR8=TRUE,"",IF(MAX(IF(AND(NOT(AND(AO8=1,AN8&lt;&gt;1)),ISNUMBER(AG8),AG8&lt;=T8),AS8,0),IF(AND(NOT(AND(AO8=1,AN8&lt;&gt;1)),ISNUMBER(AH8),AH8&lt;=T8),AT8,0),IF(AND(NOT(AND(AO8=1,AN8&lt;&gt;1)),ISNUMBER(AI8),AI8&lt;=T8),AU8,0),IF(AND(ISNUMBER(AJ8),AJ8&lt;=T8),AV8,0))&lt;=0,"",IF(AND(IF(AND(NOT(AND(AO8=1,AN8&lt;&gt;1)),ISNUMBER(AG8),AG8&lt;=T8),AS8,0)&gt;0,IF(AND(NOT(AND(AO8=1,AN8&lt;&gt;1)),ISNUMBER(AG8),AG8&lt;=T8),AS8,0)=MAX(IF(AND(NOT(AND(AO8=1,AN8&lt;&gt;1)),ISNUMBER(AG8),AG8&lt;=T8),AS8,0),IF(AND(NOT(AND(AO8=1,AN8&lt;&gt;1)),ISNUMBER(AH8),AH8&lt;=T8),AT8,0),IF(AND(NOT(AND(AO8=1,AN8&lt;&gt;1)),ISNUMBER(AI8),AI8&lt;=T8),AU8,0),IF(AND(ISNUMBER(AJ8),AJ8&lt;=T8),AV8,0))),"SW",IF(AND(IF(AND(NOT(AND(AO8=1,AN8&lt;&gt;1)),ISNUMBER(AH8),AH8&lt;=T8),AT8,0)&gt;0,IF(AND(NOT(AND(AO8=1,AN8&lt;&gt;1)),ISNUMBER(AH8),AH8&lt;=T8),AT8,0)=MAX(IF(AND(NOT(AND(AO8=1,AN8&lt;&gt;1)),ISNUMBER(AG8),AG8&lt;=T8),AS8,0),IF(AND(NOT(AND(AO8=1,AN8&lt;&gt;1)),ISNUMBER(AH8),AH8&lt;=T8),AT8,0),IF(AND(NOT(AND(AO8=1,AN8&lt;&gt;1)),ISNUMBER(AI8),AI8&lt;=T8),AU8,0),IF(AND(ISNUMBER(AJ8),AJ8&lt;=T8),AV8,0))),"AB",IF(AND(IF(AND(NOT(AND(AO8=1,AN8&lt;&gt;1)),ISNUMBER(AI8),AI8&lt;=T8),AU8,0)&gt;0,IF(AND(NOT(AND(AO8=1,AN8&lt;&gt;1)),ISNUMBER(AI8),AI8&lt;=T8),AU8,0)=MAX(IF(AND(NOT(AND(AO8=1,AN8&lt;&gt;1)),ISNUMBER(AG8),AG8&lt;=T8),AS8,0),IF(AND(NOT(AND(AO8=1,AN8&lt;&gt;1)),ISNUMBER(AH8),AH8&lt;=T8),AT8,0),IF(AND(NOT(AND(AO8=1,AN8&lt;&gt;1)),ISNUMBER(AI8),AI8&lt;=T8),AU8,0),IF(AND(ISNUMBER(AJ8),AJ8&lt;=T8),AV8,0))),"SC","Mag")))))))</f>
        <v/>
      </c>
    </row>
    <row r="9">
      <c r="A9" s="26" t="n">
        <v>4</v>
      </c>
      <c r="B9" s="27">
        <f>A9*10/60</f>
        <v/>
      </c>
      <c r="C9" s="22">
        <f>X8</f>
        <v/>
      </c>
      <c r="D9" s="27">
        <f>D8+W8</f>
        <v/>
      </c>
      <c r="E9" s="26">
        <f>E8+IF(U8="SW",1,0)</f>
        <v/>
      </c>
      <c r="F9" s="26">
        <f>F8+IF(U8="AB",1,0)</f>
        <v/>
      </c>
      <c r="G9" s="26">
        <f>G8+IF(U8="SC",1,0)</f>
        <v/>
      </c>
      <c r="H9" s="26">
        <f>H8+IF(U8="Mag",1,0)</f>
        <v/>
      </c>
      <c r="I9" s="26">
        <f>MAX(I8,IF(U8="OR",1,0))</f>
        <v/>
      </c>
      <c r="J9" s="26">
        <f>MAX(J8,IF(U8="HP",1,0))</f>
        <v/>
      </c>
      <c r="K9" s="26">
        <f>MAX(K8,IF(U8="FP",1,0))</f>
        <v/>
      </c>
      <c r="L9" s="26">
        <f>MAX(L8,IF(U8="transition",1,0))</f>
        <v/>
      </c>
      <c r="M9" s="28">
        <f>(Parameters!$B$9+(IF(E9=0,0,(Upgrades!$J$6+E9*Upgrades!$K$6)*POWER(Upgrades!$L$6,E9)))*(IF(Upgrades!$T$7="Solar Wind",POWER(Upgrades!$U$7,F9),1)*IF(Upgrades!$T$8="Solar Wind",POWER(Upgrades!$U$8,G9),1)*IF(Upgrades!$T$9="Solar Wind",POWER(Upgrades!$U$9,H9),1)*IF(Upgrades!$T$10="Solar Wind",POWER(Upgrades!$U$10,I9),1)*IF(Upgrades!$T$11="Solar Wind",POWER(Upgrades!$U$11,J9),1)*IF(Upgrades!$T$12="Solar Wind",POWER(Upgrades!$U$12,K9),1))+(IF(F9=0,0,(Upgrades!$J$7+F9*Upgrades!$K$7)*POWER(Upgrades!$L$7,F9)))*(IF(Upgrades!$T$6="Asteroid Belt",POWER(Upgrades!$U$6,E9),1)*IF(Upgrades!$T$8="Asteroid Belt",POWER(Upgrades!$U$8,G9),1)*IF(Upgrades!$T$9="Asteroid Belt",POWER(Upgrades!$U$9,H9),1)*IF(Upgrades!$T$10="Asteroid Belt",POWER(Upgrades!$U$10,I9),1)*IF(Upgrades!$T$11="Asteroid Belt",POWER(Upgrades!$U$11,J9),1)*IF(Upgrades!$T$12="Asteroid Belt",POWER(Upgrades!$U$12,K9),1))+(IF(G9=0,0,(Upgrades!$J$8+G9*Upgrades!$K$8)*POWER(Upgrades!$L$8,G9)))*(IF(Upgrades!$T$6="Stellar Coupling",POWER(Upgrades!$U$6,E9),1)*IF(Upgrades!$T$7="Stellar Coupling",POWER(Upgrades!$U$7,F9),1)*IF(Upgrades!$T$9="Stellar Coupling",POWER(Upgrades!$U$9,H9),1)*IF(Upgrades!$T$10="Stellar Coupling",POWER(Upgrades!$U$10,I9),1)*IF(Upgrades!$T$11="Stellar Coupling",POWER(Upgrades!$U$11,J9),1)*IF(Upgrades!$T$12="Stellar Coupling",POWER(Upgrades!$U$12,K9),1))+(IF(H9=0,0,(Upgrades!$J$9+H9*Upgrades!$K$9)*POWER(Upgrades!$L$9,H9)))*(IF(Upgrades!$T$6="Magnetosphere",POWER(Upgrades!$U$6,E9),1)*IF(Upgrades!$T$7="Magnetosphere",POWER(Upgrades!$U$7,F9),1)*IF(Upgrades!$T$8="Magnetosphere",POWER(Upgrades!$U$8,G9),1)*IF(Upgrades!$T$10="Magnetosphere",POWER(Upgrades!$U$10,I9),1)*IF(Upgrades!$T$11="Magnetosphere",POWER(Upgrades!$U$11,J9),1)*IF(Upgrades!$T$12="Magnetosphere",POWER(Upgrades!$U$12,K9),1))+(IF(I9=0,0,(Upgrades!$J$10+I9*Upgrades!$K$10)*POWER(Upgrades!$L$10,I9)))*(IF(Upgrades!$T$6="Orbital Resonance",POWER(Upgrades!$U$6,E9),1)*IF(Upgrades!$T$7="Orbital Resonance",POWER(Upgrades!$U$7,F9),1)*IF(Upgrades!$T$8="Orbital Resonance",POWER(Upgrades!$U$8,G9),1)*IF(Upgrades!$T$9="Orbital Resonance",POWER(Upgrades!$U$9,H9),1)*IF(Upgrades!$T$11="Orbital Resonance",POWER(Upgrades!$U$11,J9),1)*IF(Upgrades!$T$12="Orbital Resonance",POWER(Upgrades!$U$12,K9),1))+(IF(J9=0,0,(Upgrades!$J$11+J9*Upgrades!$K$11)*POWER(Upgrades!$L$11,J9)))*(IF(Upgrades!$T$6="Heliopause",POWER(Upgrades!$U$6,E9),1)*IF(Upgrades!$T$7="Heliopause",POWER(Upgrades!$U$7,F9),1)*IF(Upgrades!$T$8="Heliopause",POWER(Upgrades!$U$8,G9),1)*IF(Upgrades!$T$9="Heliopause",POWER(Upgrades!$U$9,H9),1)*IF(Upgrades!$T$10="Heliopause",POWER(Upgrades!$U$10,I9),1)*IF(Upgrades!$T$12="Heliopause",POWER(Upgrades!$U$12,K9),1))+(IF(K9=0,0,(Upgrades!$J$12+K9*Upgrades!$K$12)*POWER(Upgrades!$L$12,K9)))*(IF(Upgrades!$T$6="First Photons",POWER(Upgrades!$U$6,E9),1)*IF(Upgrades!$T$7="First Photons",POWER(Upgrades!$U$7,F9),1)*IF(Upgrades!$T$8="First Photons",POWER(Upgrades!$U$8,G9),1)*IF(Upgrades!$T$9="First Photons",POWER(Upgrades!$U$9,H9),1)*IF(Upgrades!$T$10="First Photons",POWER(Upgrades!$U$10,I9),1)*IF(Upgrades!$T$11="First Photons",POWER(Upgrades!$U$11,J9),1)))*POWER(Upgrades!$Q$6,E9)*POWER(Upgrades!$Q$7,F9)*POWER(Upgrades!$Q$8,G9)*POWER(Upgrades!$Q$9,H9)*POWER(Upgrades!$Q$10,I9)*POWER(Upgrades!$Q$11,J9)*POWER(Upgrades!$Q$12,K9)</f>
        <v/>
      </c>
      <c r="N9" s="28">
        <f>((IF(E9=0,0,(Upgrades!$G$6+E9*Upgrades!$H$6)*POWER(Upgrades!$I$6,E9)))*(IF(Upgrades!$T$7="Solar Wind",POWER(Upgrades!$U$7,F9),1)*IF(Upgrades!$T$8="Solar Wind",POWER(Upgrades!$U$8,G9),1)*IF(Upgrades!$T$9="Solar Wind",POWER(Upgrades!$U$9,H9),1)*IF(Upgrades!$T$10="Solar Wind",POWER(Upgrades!$U$10,I9),1)*IF(Upgrades!$T$11="Solar Wind",POWER(Upgrades!$U$11,J9),1)*IF(Upgrades!$T$12="Solar Wind",POWER(Upgrades!$U$12,K9),1))+(IF(F9=0,0,(Upgrades!$G$7+F9*Upgrades!$H$7)*POWER(Upgrades!$I$7,F9)))*(IF(Upgrades!$T$6="Asteroid Belt",POWER(Upgrades!$U$6,E9),1)*IF(Upgrades!$T$8="Asteroid Belt",POWER(Upgrades!$U$8,G9),1)*IF(Upgrades!$T$9="Asteroid Belt",POWER(Upgrades!$U$9,H9),1)*IF(Upgrades!$T$10="Asteroid Belt",POWER(Upgrades!$U$10,I9),1)*IF(Upgrades!$T$11="Asteroid Belt",POWER(Upgrades!$U$11,J9),1)*IF(Upgrades!$T$12="Asteroid Belt",POWER(Upgrades!$U$12,K9),1))+(IF(G9=0,0,(Upgrades!$G$8+G9*Upgrades!$H$8)*POWER(Upgrades!$I$8,G9)))*(IF(Upgrades!$T$6="Stellar Coupling",POWER(Upgrades!$U$6,E9),1)*IF(Upgrades!$T$7="Stellar Coupling",POWER(Upgrades!$U$7,F9),1)*IF(Upgrades!$T$9="Stellar Coupling",POWER(Upgrades!$U$9,H9),1)*IF(Upgrades!$T$10="Stellar Coupling",POWER(Upgrades!$U$10,I9),1)*IF(Upgrades!$T$11="Stellar Coupling",POWER(Upgrades!$U$11,J9),1)*IF(Upgrades!$T$12="Stellar Coupling",POWER(Upgrades!$U$12,K9),1))+(IF(H9=0,0,(Upgrades!$G$9+H9*Upgrades!$H$9)*POWER(Upgrades!$I$9,H9)))*(IF(Upgrades!$T$6="Magnetosphere",POWER(Upgrades!$U$6,E9),1)*IF(Upgrades!$T$7="Magnetosphere",POWER(Upgrades!$U$7,F9),1)*IF(Upgrades!$T$8="Magnetosphere",POWER(Upgrades!$U$8,G9),1)*IF(Upgrades!$T$10="Magnetosphere",POWER(Upgrades!$U$10,I9),1)*IF(Upgrades!$T$11="Magnetosphere",POWER(Upgrades!$U$11,J9),1)*IF(Upgrades!$T$12="Magnetosphere",POWER(Upgrades!$U$12,K9),1))+(IF(I9=0,0,(Upgrades!$G$10+I9*Upgrades!$H$10)*POWER(Upgrades!$I$10,I9)))*(IF(Upgrades!$T$6="Orbital Resonance",POWER(Upgrades!$U$6,E9),1)*IF(Upgrades!$T$7="Orbital Resonance",POWER(Upgrades!$U$7,F9),1)*IF(Upgrades!$T$8="Orbital Resonance",POWER(Upgrades!$U$8,G9),1)*IF(Upgrades!$T$9="Orbital Resonance",POWER(Upgrades!$U$9,H9),1)*IF(Upgrades!$T$11="Orbital Resonance",POWER(Upgrades!$U$11,J9),1)*IF(Upgrades!$T$12="Orbital Resonance",POWER(Upgrades!$U$12,K9),1))+(IF(J9=0,0,(Upgrades!$G$11+J9*Upgrades!$H$11)*POWER(Upgrades!$I$11,J9)))*(IF(Upgrades!$T$6="Heliopause",POWER(Upgrades!$U$6,E9),1)*IF(Upgrades!$T$7="Heliopause",POWER(Upgrades!$U$7,F9),1)*IF(Upgrades!$T$8="Heliopause",POWER(Upgrades!$U$8,G9),1)*IF(Upgrades!$T$9="Heliopause",POWER(Upgrades!$U$9,H9),1)*IF(Upgrades!$T$10="Heliopause",POWER(Upgrades!$U$10,I9),1)*IF(Upgrades!$T$12="Heliopause",POWER(Upgrades!$U$12,K9),1))+(IF(K9=0,0,(Upgrades!$G$12+K9*Upgrades!$H$12)*POWER(Upgrades!$I$12,K9)))*(IF(Upgrades!$T$6="First Photons",POWER(Upgrades!$U$6,E9),1)*IF(Upgrades!$T$7="First Photons",POWER(Upgrades!$U$7,F9),1)*IF(Upgrades!$T$8="First Photons",POWER(Upgrades!$U$8,G9),1)*IF(Upgrades!$T$9="First Photons",POWER(Upgrades!$U$9,H9),1)*IF(Upgrades!$T$10="First Photons",POWER(Upgrades!$U$10,I9),1)*IF(Upgrades!$T$11="First Photons",POWER(Upgrades!$U$11,J9),1)))*POWER(Upgrades!$P$6,E9)*POWER(Upgrades!$P$7,F9)*POWER(Upgrades!$P$8,G9)*POWER(Upgrades!$P$9,H9)*POWER(Upgrades!$P$10,I9)*POWER(Upgrades!$P$11,J9)*POWER(Upgrades!$P$12,K9)</f>
        <v/>
      </c>
      <c r="O9" s="28">
        <f>((IF(E9=0,0,(Upgrades!$M$6+E9*Upgrades!$N$6)*POWER(Upgrades!$O$6,E9)))*(IF(Upgrades!$T$7="Solar Wind",POWER(Upgrades!$U$7,F9),1)*IF(Upgrades!$T$8="Solar Wind",POWER(Upgrades!$U$8,G9),1)*IF(Upgrades!$T$9="Solar Wind",POWER(Upgrades!$U$9,H9),1)*IF(Upgrades!$T$10="Solar Wind",POWER(Upgrades!$U$10,I9),1)*IF(Upgrades!$T$11="Solar Wind",POWER(Upgrades!$U$11,J9),1)*IF(Upgrades!$T$12="Solar Wind",POWER(Upgrades!$U$12,K9),1))+(IF(F9=0,0,(Upgrades!$M$7+F9*Upgrades!$N$7)*POWER(Upgrades!$O$7,F9)))*(IF(Upgrades!$T$6="Asteroid Belt",POWER(Upgrades!$U$6,E9),1)*IF(Upgrades!$T$8="Asteroid Belt",POWER(Upgrades!$U$8,G9),1)*IF(Upgrades!$T$9="Asteroid Belt",POWER(Upgrades!$U$9,H9),1)*IF(Upgrades!$T$10="Asteroid Belt",POWER(Upgrades!$U$10,I9),1)*IF(Upgrades!$T$11="Asteroid Belt",POWER(Upgrades!$U$11,J9),1)*IF(Upgrades!$T$12="Asteroid Belt",POWER(Upgrades!$U$12,K9),1))+(IF(G9=0,0,(Upgrades!$M$8+G9*Upgrades!$N$8)*POWER(Upgrades!$O$8,G9)))*(IF(Upgrades!$T$6="Stellar Coupling",POWER(Upgrades!$U$6,E9),1)*IF(Upgrades!$T$7="Stellar Coupling",POWER(Upgrades!$U$7,F9),1)*IF(Upgrades!$T$9="Stellar Coupling",POWER(Upgrades!$U$9,H9),1)*IF(Upgrades!$T$10="Stellar Coupling",POWER(Upgrades!$U$10,I9),1)*IF(Upgrades!$T$11="Stellar Coupling",POWER(Upgrades!$U$11,J9),1)*IF(Upgrades!$T$12="Stellar Coupling",POWER(Upgrades!$U$12,K9),1))+(IF(H9=0,0,(Upgrades!$M$9+H9*Upgrades!$N$9)*POWER(Upgrades!$O$9,H9)))*(IF(Upgrades!$T$6="Magnetosphere",POWER(Upgrades!$U$6,E9),1)*IF(Upgrades!$T$7="Magnetosphere",POWER(Upgrades!$U$7,F9),1)*IF(Upgrades!$T$8="Magnetosphere",POWER(Upgrades!$U$8,G9),1)*IF(Upgrades!$T$10="Magnetosphere",POWER(Upgrades!$U$10,I9),1)*IF(Upgrades!$T$11="Magnetosphere",POWER(Upgrades!$U$11,J9),1)*IF(Upgrades!$T$12="Magnetosphere",POWER(Upgrades!$U$12,K9),1))+(IF(I9=0,0,(Upgrades!$M$10+I9*Upgrades!$N$10)*POWER(Upgrades!$O$10,I9)))*(IF(Upgrades!$T$6="Orbital Resonance",POWER(Upgrades!$U$6,E9),1)*IF(Upgrades!$T$7="Orbital Resonance",POWER(Upgrades!$U$7,F9),1)*IF(Upgrades!$T$8="Orbital Resonance",POWER(Upgrades!$U$8,G9),1)*IF(Upgrades!$T$9="Orbital Resonance",POWER(Upgrades!$U$9,H9),1)*IF(Upgrades!$T$11="Orbital Resonance",POWER(Upgrades!$U$11,J9),1)*IF(Upgrades!$T$12="Orbital Resonance",POWER(Upgrades!$U$12,K9),1))+(IF(J9=0,0,(Upgrades!$M$11+J9*Upgrades!$N$11)*POWER(Upgrades!$O$11,J9)))*(IF(Upgrades!$T$6="Heliopause",POWER(Upgrades!$U$6,E9),1)*IF(Upgrades!$T$7="Heliopause",POWER(Upgrades!$U$7,F9),1)*IF(Upgrades!$T$8="Heliopause",POWER(Upgrades!$U$8,G9),1)*IF(Upgrades!$T$9="Heliopause",POWER(Upgrades!$U$9,H9),1)*IF(Upgrades!$T$10="Heliopause",POWER(Upgrades!$U$10,I9),1)*IF(Upgrades!$T$12="Heliopause",POWER(Upgrades!$U$12,K9),1))+(IF(K9=0,0,(Upgrades!$M$12+K9*Upgrades!$N$12)*POWER(Upgrades!$O$12,K9)))*(IF(Upgrades!$T$6="First Photons",POWER(Upgrades!$U$6,E9),1)*IF(Upgrades!$T$7="First Photons",POWER(Upgrades!$U$7,F9),1)*IF(Upgrades!$T$8="First Photons",POWER(Upgrades!$U$8,G9),1)*IF(Upgrades!$T$9="First Photons",POWER(Upgrades!$U$9,H9),1)*IF(Upgrades!$T$10="First Photons",POWER(Upgrades!$U$10,I9),1)*IF(Upgrades!$T$11="First Photons",POWER(Upgrades!$U$11,J9),1)))*POWER(Upgrades!$R$6,E9)*POWER(Upgrades!$R$7,F9)*POWER(Upgrades!$R$8,G9)*POWER(Upgrades!$R$9,H9)*POWER(Upgrades!$R$10,I9)*POWER(Upgrades!$R$11,J9)*POWER(Upgrades!$R$12,K9)</f>
        <v/>
      </c>
      <c r="P9" s="27">
        <f>IF(L9=1,0,M9*Parameters!$B$10/60*Parameters!$B$11*10)</f>
        <v/>
      </c>
      <c r="Q9" s="27">
        <f>IF(L9=1,0,O9*M9*10)</f>
        <v/>
      </c>
      <c r="R9" s="27">
        <f>IF(L9=1,0,N9*10)</f>
        <v/>
      </c>
      <c r="S9" s="27">
        <f>P9+Q9+R9</f>
        <v/>
      </c>
      <c r="T9" s="22">
        <f>C9+S9</f>
        <v/>
      </c>
      <c r="U9" s="33">
        <f>AX9</f>
        <v/>
      </c>
      <c r="V9" s="22">
        <f>IF(U9="",0,IF(U9="transition",0,IF(U9="SW",AG9,IF(U9="AB",AH9,IF(U9="SC",AI9,IF(U9="Mag",AJ9,IF(U9="OR",AK9,IF(U9="HP",AL9,IF(U9="FP",AM9,0)))))))))</f>
        <v/>
      </c>
      <c r="W9" s="27">
        <f>IF(U9="OR",Upgrades!$F$10,IF(U9="HP",Upgrades!$F$11,IF(U9="transition",-Parameters!$B$18,0)))</f>
        <v/>
      </c>
      <c r="X9" s="22">
        <f>T9-V9</f>
        <v/>
      </c>
      <c r="Y9" s="30">
        <f>M9*Parameters!$B$10/60*Parameters!$B$11+O9*M9+N9</f>
        <v/>
      </c>
      <c r="Z9" s="34">
        <f>IF(U9="transition","→ Tier 2 (Stellar Neighborhood)",IF(U9="FP","First Photons — light begins, system quickens",IF(U9="HP","Heliopause acquired",IF(U9="OR","Orbital Resonance — passive multiplier active",IF(AND(AO9=1,L9=0,AN9&lt;&gt;1),"Cohesion ready (waiting on completionist upgrades)","")))))</f>
        <v/>
      </c>
      <c r="AA9" s="27">
        <f>(IF(E9=0,0,(Upgrades!$G$6+E9*Upgrades!$H$6)*POWER(Upgrades!$I$6,E9)))*(IF(Upgrades!$T$7="Solar Wind",POWER(Upgrades!$U$7,F9),1)*IF(Upgrades!$T$8="Solar Wind",POWER(Upgrades!$U$8,G9),1)*IF(Upgrades!$T$9="Solar Wind",POWER(Upgrades!$U$9,H9),1)*IF(Upgrades!$T$10="Solar Wind",POWER(Upgrades!$U$10,I9),1)*IF(Upgrades!$T$11="Solar Wind",POWER(Upgrades!$U$11,J9),1)*IF(Upgrades!$T$12="Solar Wind",POWER(Upgrades!$U$12,K9),1))*POWER(Upgrades!$P$6,E9)*POWER(Upgrades!$P$7,F9)*POWER(Upgrades!$P$8,G9)*POWER(Upgrades!$P$9,H9)*POWER(Upgrades!$P$10,I9)*POWER(Upgrades!$P$11,J9)*POWER(Upgrades!$P$12,K9)*60</f>
        <v/>
      </c>
      <c r="AB9" s="27">
        <f>(IF(F9=0,0,(Upgrades!$G$7+F9*Upgrades!$H$7)*POWER(Upgrades!$I$7,F9)))*(IF(Upgrades!$T$6="Asteroid Belt",POWER(Upgrades!$U$6,E9),1)*IF(Upgrades!$T$8="Asteroid Belt",POWER(Upgrades!$U$8,G9),1)*IF(Upgrades!$T$9="Asteroid Belt",POWER(Upgrades!$U$9,H9),1)*IF(Upgrades!$T$10="Asteroid Belt",POWER(Upgrades!$U$10,I9),1)*IF(Upgrades!$T$11="Asteroid Belt",POWER(Upgrades!$U$11,J9),1)*IF(Upgrades!$T$12="Asteroid Belt",POWER(Upgrades!$U$12,K9),1))*POWER(Upgrades!$P$6,E9)*POWER(Upgrades!$P$7,F9)*POWER(Upgrades!$P$8,G9)*POWER(Upgrades!$P$9,H9)*POWER(Upgrades!$P$10,I9)*POWER(Upgrades!$P$11,J9)*POWER(Upgrades!$P$12,K9)*60</f>
        <v/>
      </c>
      <c r="AC9" s="27">
        <f>(IF(G9=0,0,(Upgrades!$J$8+G9*Upgrades!$K$8)*POWER(Upgrades!$L$8,G9)))*(IF(Upgrades!$T$6="Stellar Coupling",POWER(Upgrades!$U$6,E9),1)*IF(Upgrades!$T$7="Stellar Coupling",POWER(Upgrades!$U$7,F9),1)*IF(Upgrades!$T$9="Stellar Coupling",POWER(Upgrades!$U$9,H9),1)*IF(Upgrades!$T$10="Stellar Coupling",POWER(Upgrades!$U$10,I9),1)*IF(Upgrades!$T$11="Stellar Coupling",POWER(Upgrades!$U$11,J9),1)*IF(Upgrades!$T$12="Stellar Coupling",POWER(Upgrades!$U$12,K9),1))*POWER(Upgrades!$Q$6,E9)*POWER(Upgrades!$Q$7,F9)*POWER(Upgrades!$Q$8,G9)*POWER(Upgrades!$Q$9,H9)*POWER(Upgrades!$Q$10,I9)*POWER(Upgrades!$Q$11,J9)*POWER(Upgrades!$Q$12,K9)*Parameters!$B$10*Parameters!$B$11</f>
        <v/>
      </c>
      <c r="AD9" s="27">
        <f>(IF(H9=0,0,(Upgrades!$G$9+H9*Upgrades!$H$9)*POWER(Upgrades!$I$9,H9)))*(IF(Upgrades!$T$6="Magnetosphere",POWER(Upgrades!$U$6,E9),1)*IF(Upgrades!$T$7="Magnetosphere",POWER(Upgrades!$U$7,F9),1)*IF(Upgrades!$T$8="Magnetosphere",POWER(Upgrades!$U$8,G9),1)*IF(Upgrades!$T$10="Magnetosphere",POWER(Upgrades!$U$10,I9),1)*IF(Upgrades!$T$11="Magnetosphere",POWER(Upgrades!$U$11,J9),1)*IF(Upgrades!$T$12="Magnetosphere",POWER(Upgrades!$U$12,K9),1))*POWER(Upgrades!$P$6,E9)*POWER(Upgrades!$P$7,F9)*POWER(Upgrades!$P$8,G9)*POWER(Upgrades!$P$9,H9)*POWER(Upgrades!$P$10,I9)*POWER(Upgrades!$P$11,J9)*POWER(Upgrades!$P$12,K9)*60</f>
        <v/>
      </c>
      <c r="AE9" s="27">
        <f>(IF(K9=0,0,(Upgrades!$G$12+K9*Upgrades!$H$12)*POWER(Upgrades!$I$12,K9)))*(IF(Upgrades!$T$6="First Photons",POWER(Upgrades!$U$6,E9),1)*IF(Upgrades!$T$7="First Photons",POWER(Upgrades!$U$7,F9),1)*IF(Upgrades!$T$8="First Photons",POWER(Upgrades!$U$8,G9),1)*IF(Upgrades!$T$9="First Photons",POWER(Upgrades!$U$9,H9),1)*IF(Upgrades!$T$10="First Photons",POWER(Upgrades!$U$10,I9),1)*IF(Upgrades!$T$11="First Photons",POWER(Upgrades!$U$11,J9),1))*POWER(Upgrades!$P$6,E9)*POWER(Upgrades!$P$7,F9)*POWER(Upgrades!$P$8,G9)*POWER(Upgrades!$P$9,H9)*POWER(Upgrades!$P$10,I9)*POWER(Upgrades!$P$11,J9)*POWER(Upgrades!$P$12,K9)*60</f>
        <v/>
      </c>
      <c r="AF9" s="27">
        <f>Parameters!$B$9*POWER(Upgrades!$Q$6,E9)*POWER(Upgrades!$Q$7,F9)*POWER(Upgrades!$Q$8,G9)*POWER(Upgrades!$Q$9,H9)*POWER(Upgrades!$Q$10,I9)*POWER(Upgrades!$Q$11,J9)*POWER(Upgrades!$Q$12,K9)*(Parameters!$B$10*Parameters!$B$11+O9*60)</f>
        <v/>
      </c>
      <c r="AG9" s="22">
        <f>IF(E9&gt;=Upgrades!$E$6,"",Upgrades!$C$6*POWER(Upgrades!$D$6,E9))</f>
        <v/>
      </c>
      <c r="AH9" s="22">
        <f>IF(F9&gt;=Upgrades!$E$7,"",Upgrades!$C$7*POWER(Upgrades!$D$7,F9))</f>
        <v/>
      </c>
      <c r="AI9" s="22">
        <f>IF(G9&gt;=Upgrades!$E$8,"",Upgrades!$C$8*POWER(Upgrades!$D$8,G9))</f>
        <v/>
      </c>
      <c r="AJ9" s="22">
        <f>IF(H9&gt;=Upgrades!$E$9,"",Upgrades!$C$9*POWER(Upgrades!$D$9,H9))</f>
        <v/>
      </c>
      <c r="AK9" s="22">
        <f>IF(I9&gt;=Upgrades!$E$10,"",Upgrades!$C$10*POWER(Upgrades!$D$10,I9))</f>
        <v/>
      </c>
      <c r="AL9" s="22">
        <f>IF(J9&gt;=Upgrades!$E$11,"",Upgrades!$C$11*POWER(Upgrades!$D$11,J9))</f>
        <v/>
      </c>
      <c r="AM9" s="22">
        <f>IF(K9&gt;=Upgrades!$E$12,"",Upgrades!$C$12*POWER(Upgrades!$D$12,K9))</f>
        <v/>
      </c>
      <c r="AN9" s="26">
        <f>IF(AND(D9&gt;=Parameters!$B$18,(H9&gt;=Upgrades!$E$9)*(K9&gt;=Upgrades!$E$12)=1,L9=0),1,"")</f>
        <v/>
      </c>
      <c r="AO9" s="26">
        <f>IF(AND(D9&gt;=Parameters!$B$18,L9=0),1,"")</f>
        <v/>
      </c>
      <c r="AP9" s="22">
        <f>MIN(IF(ISNUMBER(AK9),AK9,9E15),IF(ISNUMBER(AL9),AL9,9E15),IF(ISNUMBER(AM9),AM9,9E15))</f>
        <v/>
      </c>
      <c r="AQ9" s="22">
        <f>MIN(IF(ISNUMBER(AG9),AG9,9E15),IF(ISNUMBER(AH9),AH9,9E15),IF(ISNUMBER(AI9),AI9,9E15),IF(ISNUMBER(AJ9),AJ9,9E15))</f>
        <v/>
      </c>
      <c r="AR9" s="29">
        <f>IF(AW9&gt;Parameters!$B$21*(MAX(IF(AND(NOT(AND(AO9=1,AN9&lt;&gt;1)),ISNUMBER(AG9),AG9&lt;=T9),AS9,0),IF(AND(NOT(AND(AO9=1,AN9&lt;&gt;1)),ISNUMBER(AH9),AH9&lt;=T9),AT9,0),IF(AND(NOT(AND(AO9=1,AN9&lt;&gt;1)),ISNUMBER(AI9),AI9&lt;=T9),AU9,0),IF(AND(ISNUMBER(AJ9),AJ9&lt;=T9),AV9,0))),TRUE,FALSE)</f>
        <v/>
      </c>
      <c r="AS9" s="32">
        <f>IFERROR(Upgrades!$H$6*(POWER(Upgrades!$P$6,E9)*POWER(Upgrades!$P$7,F9)*POWER(Upgrades!$P$8,G9)*POWER(Upgrades!$P$9,H9)*POWER(Upgrades!$P$10,I9)*POWER(Upgrades!$P$11,J9)*POWER(Upgrades!$P$12,K9))*(IF(Upgrades!$T$7="Solar Wind",POWER(Upgrades!$U$7,F9),1)*IF(Upgrades!$T$8="Solar Wind",POWER(Upgrades!$U$8,G9),1)*IF(Upgrades!$T$9="Solar Wind",POWER(Upgrades!$U$9,H9),1)*IF(Upgrades!$T$10="Solar Wind",POWER(Upgrades!$U$10,I9),1)*IF(Upgrades!$T$11="Solar Wind",POWER(Upgrades!$U$11,J9),1)*IF(Upgrades!$T$12="Solar Wind",POWER(Upgrades!$U$12,K9),1))/AG9,0)</f>
        <v/>
      </c>
      <c r="AT9" s="32">
        <f>IFERROR(Upgrades!$H$7*(POWER(Upgrades!$P$6,E9)*POWER(Upgrades!$P$7,F9)*POWER(Upgrades!$P$8,G9)*POWER(Upgrades!$P$9,H9)*POWER(Upgrades!$P$10,I9)*POWER(Upgrades!$P$11,J9)*POWER(Upgrades!$P$12,K9))*(IF(Upgrades!$T$6="Asteroid Belt",POWER(Upgrades!$U$6,E9),1)*IF(Upgrades!$T$8="Asteroid Belt",POWER(Upgrades!$U$8,G9),1)*IF(Upgrades!$T$9="Asteroid Belt",POWER(Upgrades!$U$9,H9),1)*IF(Upgrades!$T$10="Asteroid Belt",POWER(Upgrades!$U$10,I9),1)*IF(Upgrades!$T$11="Asteroid Belt",POWER(Upgrades!$U$11,J9),1)*IF(Upgrades!$T$12="Asteroid Belt",POWER(Upgrades!$U$12,K9),1))/AH9,0)</f>
        <v/>
      </c>
      <c r="AU9" s="32">
        <f>IFERROR(Upgrades!$K$8*(POWER(Upgrades!$Q$6,E9)*POWER(Upgrades!$Q$7,F9)*POWER(Upgrades!$Q$8,G9)*POWER(Upgrades!$Q$9,H9)*POWER(Upgrades!$Q$10,I9)*POWER(Upgrades!$Q$11,J9)*POWER(Upgrades!$Q$12,K9))*(IF(Upgrades!$T$6="Stellar Coupling",POWER(Upgrades!$U$6,E9),1)*IF(Upgrades!$T$7="Stellar Coupling",POWER(Upgrades!$U$7,F9),1)*IF(Upgrades!$T$9="Stellar Coupling",POWER(Upgrades!$U$9,H9),1)*IF(Upgrades!$T$10="Stellar Coupling",POWER(Upgrades!$U$10,I9),1)*IF(Upgrades!$T$11="Stellar Coupling",POWER(Upgrades!$U$11,J9),1)*IF(Upgrades!$T$12="Stellar Coupling",POWER(Upgrades!$U$12,K9),1))*Parameters!$B$10*Parameters!$B$11/60/AI9,0)</f>
        <v/>
      </c>
      <c r="AV9" s="32">
        <f>IFERROR(Upgrades!$H$9*(POWER(Upgrades!$P$6,E9)*POWER(Upgrades!$P$7,F9)*POWER(Upgrades!$P$8,G9)*POWER(Upgrades!$P$9,H9)*POWER(Upgrades!$P$10,I9)*POWER(Upgrades!$P$11,J9)*POWER(Upgrades!$P$12,K9))*(IF(Upgrades!$T$6="Magnetosphere",POWER(Upgrades!$U$6,E9),1)*IF(Upgrades!$T$7="Magnetosphere",POWER(Upgrades!$U$7,F9),1)*IF(Upgrades!$T$8="Magnetosphere",POWER(Upgrades!$U$8,G9),1)*IF(Upgrades!$T$10="Magnetosphere",POWER(Upgrades!$U$10,I9),1)*IF(Upgrades!$T$11="Magnetosphere",POWER(Upgrades!$U$11,J9),1)*IF(Upgrades!$T$12="Magnetosphere",POWER(Upgrades!$U$12,K9),1))/AJ9,0)</f>
        <v/>
      </c>
      <c r="AW9" s="32">
        <f>MAX(IF(I9&gt;0,0,IFERROR(0.25*N9/Upgrades!$C$10,0)),IF(J9&gt;0,0,IFERROR(0.5*((IF(G9=0,0,(Upgrades!$J$8+G9*Upgrades!$K$8)*POWER(Upgrades!$L$8,G9)))*(IF(Upgrades!$T$6="Stellar Coupling",POWER(Upgrades!$U$6,E9),1)*IF(Upgrades!$T$7="Stellar Coupling",POWER(Upgrades!$U$7,F9),1)*IF(Upgrades!$T$9="Stellar Coupling",POWER(Upgrades!$U$9,H9),1)*IF(Upgrades!$T$10="Stellar Coupling",POWER(Upgrades!$U$10,I9),1)*IF(Upgrades!$T$11="Stellar Coupling",POWER(Upgrades!$U$11,J9),1)*IF(Upgrades!$T$12="Stellar Coupling",POWER(Upgrades!$U$12,K9),1))*(POWER(Upgrades!$Q$6,E9)*POWER(Upgrades!$Q$7,F9)*POWER(Upgrades!$Q$8,G9)*POWER(Upgrades!$Q$9,H9)*POWER(Upgrades!$Q$10,I9)*POWER(Upgrades!$Q$11,J9)*POWER(Upgrades!$Q$12,K9))*Parameters!$B$10*Parameters!$B$11/60)/Upgrades!$C$11,0)),IF(K9&gt;0,0,IFERROR((1.0*(POWER(Upgrades!$P$6,E9)*POWER(Upgrades!$P$7,F9)*POWER(Upgrades!$P$8,G9)*POWER(Upgrades!$P$9,H9)*POWER(Upgrades!$P$10,I9)*POWER(Upgrades!$P$11,J9)*POWER(Upgrades!$P$12,K9))+0.20*M9*Parameters!$B$10*Parameters!$B$11/60)/Upgrades!$C$12,0)),IF(AND(ISNUMBER(AG9),AG9&gt;T9),AS9,0),IF(AND(ISNUMBER(AH9),AH9&gt;T9),AT9,0),IF(AND(ISNUMBER(AI9),AI9&gt;T9),AU9,0),IF(AND(ISNUMBER(AJ9),AJ9&gt;T9),AV9,0))</f>
        <v/>
      </c>
      <c r="AX9" s="29">
        <f>IF(AN9=1,"transition",IF(MIN(IF(AND(I9=0,ISNUMBER(AK9),AK9&lt;=T9),AK9,9E15),IF(AND(J9=0,ISNUMBER(AL9),AL9&lt;=T9),AL9,9E15),IF(AND(K9=0,ISNUMBER(AM9),AM9&lt;=T9),AM9,9E15))&lt;9E15,IF(AND(AND(I9=0,ISNUMBER(AK9),AK9&lt;=T9),AK9=MIN(IF(AND(I9=0,ISNUMBER(AK9),AK9&lt;=T9),AK9,9E15),IF(AND(J9=0,ISNUMBER(AL9),AL9&lt;=T9),AL9,9E15),IF(AND(K9=0,ISNUMBER(AM9),AM9&lt;=T9),AM9,9E15))),"OR",IF(AND(AND(J9=0,ISNUMBER(AL9),AL9&lt;=T9),AL9=MIN(IF(AND(I9=0,ISNUMBER(AK9),AK9&lt;=T9),AK9,9E15),IF(AND(J9=0,ISNUMBER(AL9),AL9&lt;=T9),AL9,9E15),IF(AND(K9=0,ISNUMBER(AM9),AM9&lt;=T9),AM9,9E15))),"HP","FP")),IF(AR9=TRUE,"",IF(MAX(IF(AND(NOT(AND(AO9=1,AN9&lt;&gt;1)),ISNUMBER(AG9),AG9&lt;=T9),AS9,0),IF(AND(NOT(AND(AO9=1,AN9&lt;&gt;1)),ISNUMBER(AH9),AH9&lt;=T9),AT9,0),IF(AND(NOT(AND(AO9=1,AN9&lt;&gt;1)),ISNUMBER(AI9),AI9&lt;=T9),AU9,0),IF(AND(ISNUMBER(AJ9),AJ9&lt;=T9),AV9,0))&lt;=0,"",IF(AND(IF(AND(NOT(AND(AO9=1,AN9&lt;&gt;1)),ISNUMBER(AG9),AG9&lt;=T9),AS9,0)&gt;0,IF(AND(NOT(AND(AO9=1,AN9&lt;&gt;1)),ISNUMBER(AG9),AG9&lt;=T9),AS9,0)=MAX(IF(AND(NOT(AND(AO9=1,AN9&lt;&gt;1)),ISNUMBER(AG9),AG9&lt;=T9),AS9,0),IF(AND(NOT(AND(AO9=1,AN9&lt;&gt;1)),ISNUMBER(AH9),AH9&lt;=T9),AT9,0),IF(AND(NOT(AND(AO9=1,AN9&lt;&gt;1)),ISNUMBER(AI9),AI9&lt;=T9),AU9,0),IF(AND(ISNUMBER(AJ9),AJ9&lt;=T9),AV9,0))),"SW",IF(AND(IF(AND(NOT(AND(AO9=1,AN9&lt;&gt;1)),ISNUMBER(AH9),AH9&lt;=T9),AT9,0)&gt;0,IF(AND(NOT(AND(AO9=1,AN9&lt;&gt;1)),ISNUMBER(AH9),AH9&lt;=T9),AT9,0)=MAX(IF(AND(NOT(AND(AO9=1,AN9&lt;&gt;1)),ISNUMBER(AG9),AG9&lt;=T9),AS9,0),IF(AND(NOT(AND(AO9=1,AN9&lt;&gt;1)),ISNUMBER(AH9),AH9&lt;=T9),AT9,0),IF(AND(NOT(AND(AO9=1,AN9&lt;&gt;1)),ISNUMBER(AI9),AI9&lt;=T9),AU9,0),IF(AND(ISNUMBER(AJ9),AJ9&lt;=T9),AV9,0))),"AB",IF(AND(IF(AND(NOT(AND(AO9=1,AN9&lt;&gt;1)),ISNUMBER(AI9),AI9&lt;=T9),AU9,0)&gt;0,IF(AND(NOT(AND(AO9=1,AN9&lt;&gt;1)),ISNUMBER(AI9),AI9&lt;=T9),AU9,0)=MAX(IF(AND(NOT(AND(AO9=1,AN9&lt;&gt;1)),ISNUMBER(AG9),AG9&lt;=T9),AS9,0),IF(AND(NOT(AND(AO9=1,AN9&lt;&gt;1)),ISNUMBER(AH9),AH9&lt;=T9),AT9,0),IF(AND(NOT(AND(AO9=1,AN9&lt;&gt;1)),ISNUMBER(AI9),AI9&lt;=T9),AU9,0),IF(AND(ISNUMBER(AJ9),AJ9&lt;=T9),AV9,0))),"SC","Mag")))))))</f>
        <v/>
      </c>
    </row>
    <row r="10">
      <c r="A10" s="26" t="n">
        <v>5</v>
      </c>
      <c r="B10" s="27">
        <f>A10*10/60</f>
        <v/>
      </c>
      <c r="C10" s="22">
        <f>X9</f>
        <v/>
      </c>
      <c r="D10" s="27">
        <f>D9+W9</f>
        <v/>
      </c>
      <c r="E10" s="26">
        <f>E9+IF(U9="SW",1,0)</f>
        <v/>
      </c>
      <c r="F10" s="26">
        <f>F9+IF(U9="AB",1,0)</f>
        <v/>
      </c>
      <c r="G10" s="26">
        <f>G9+IF(U9="SC",1,0)</f>
        <v/>
      </c>
      <c r="H10" s="26">
        <f>H9+IF(U9="Mag",1,0)</f>
        <v/>
      </c>
      <c r="I10" s="26">
        <f>MAX(I9,IF(U9="OR",1,0))</f>
        <v/>
      </c>
      <c r="J10" s="26">
        <f>MAX(J9,IF(U9="HP",1,0))</f>
        <v/>
      </c>
      <c r="K10" s="26">
        <f>MAX(K9,IF(U9="FP",1,0))</f>
        <v/>
      </c>
      <c r="L10" s="26">
        <f>MAX(L9,IF(U9="transition",1,0))</f>
        <v/>
      </c>
      <c r="M10" s="28">
        <f>(Parameters!$B$9+(IF(E10=0,0,(Upgrades!$J$6+E10*Upgrades!$K$6)*POWER(Upgrades!$L$6,E10)))*(IF(Upgrades!$T$7="Solar Wind",POWER(Upgrades!$U$7,F10),1)*IF(Upgrades!$T$8="Solar Wind",POWER(Upgrades!$U$8,G10),1)*IF(Upgrades!$T$9="Solar Wind",POWER(Upgrades!$U$9,H10),1)*IF(Upgrades!$T$10="Solar Wind",POWER(Upgrades!$U$10,I10),1)*IF(Upgrades!$T$11="Solar Wind",POWER(Upgrades!$U$11,J10),1)*IF(Upgrades!$T$12="Solar Wind",POWER(Upgrades!$U$12,K10),1))+(IF(F10=0,0,(Upgrades!$J$7+F10*Upgrades!$K$7)*POWER(Upgrades!$L$7,F10)))*(IF(Upgrades!$T$6="Asteroid Belt",POWER(Upgrades!$U$6,E10),1)*IF(Upgrades!$T$8="Asteroid Belt",POWER(Upgrades!$U$8,G10),1)*IF(Upgrades!$T$9="Asteroid Belt",POWER(Upgrades!$U$9,H10),1)*IF(Upgrades!$T$10="Asteroid Belt",POWER(Upgrades!$U$10,I10),1)*IF(Upgrades!$T$11="Asteroid Belt",POWER(Upgrades!$U$11,J10),1)*IF(Upgrades!$T$12="Asteroid Belt",POWER(Upgrades!$U$12,K10),1))+(IF(G10=0,0,(Upgrades!$J$8+G10*Upgrades!$K$8)*POWER(Upgrades!$L$8,G10)))*(IF(Upgrades!$T$6="Stellar Coupling",POWER(Upgrades!$U$6,E10),1)*IF(Upgrades!$T$7="Stellar Coupling",POWER(Upgrades!$U$7,F10),1)*IF(Upgrades!$T$9="Stellar Coupling",POWER(Upgrades!$U$9,H10),1)*IF(Upgrades!$T$10="Stellar Coupling",POWER(Upgrades!$U$10,I10),1)*IF(Upgrades!$T$11="Stellar Coupling",POWER(Upgrades!$U$11,J10),1)*IF(Upgrades!$T$12="Stellar Coupling",POWER(Upgrades!$U$12,K10),1))+(IF(H10=0,0,(Upgrades!$J$9+H10*Upgrades!$K$9)*POWER(Upgrades!$L$9,H10)))*(IF(Upgrades!$T$6="Magnetosphere",POWER(Upgrades!$U$6,E10),1)*IF(Upgrades!$T$7="Magnetosphere",POWER(Upgrades!$U$7,F10),1)*IF(Upgrades!$T$8="Magnetosphere",POWER(Upgrades!$U$8,G10),1)*IF(Upgrades!$T$10="Magnetosphere",POWER(Upgrades!$U$10,I10),1)*IF(Upgrades!$T$11="Magnetosphere",POWER(Upgrades!$U$11,J10),1)*IF(Upgrades!$T$12="Magnetosphere",POWER(Upgrades!$U$12,K10),1))+(IF(I10=0,0,(Upgrades!$J$10+I10*Upgrades!$K$10)*POWER(Upgrades!$L$10,I10)))*(IF(Upgrades!$T$6="Orbital Resonance",POWER(Upgrades!$U$6,E10),1)*IF(Upgrades!$T$7="Orbital Resonance",POWER(Upgrades!$U$7,F10),1)*IF(Upgrades!$T$8="Orbital Resonance",POWER(Upgrades!$U$8,G10),1)*IF(Upgrades!$T$9="Orbital Resonance",POWER(Upgrades!$U$9,H10),1)*IF(Upgrades!$T$11="Orbital Resonance",POWER(Upgrades!$U$11,J10),1)*IF(Upgrades!$T$12="Orbital Resonance",POWER(Upgrades!$U$12,K10),1))+(IF(J10=0,0,(Upgrades!$J$11+J10*Upgrades!$K$11)*POWER(Upgrades!$L$11,J10)))*(IF(Upgrades!$T$6="Heliopause",POWER(Upgrades!$U$6,E10),1)*IF(Upgrades!$T$7="Heliopause",POWER(Upgrades!$U$7,F10),1)*IF(Upgrades!$T$8="Heliopause",POWER(Upgrades!$U$8,G10),1)*IF(Upgrades!$T$9="Heliopause",POWER(Upgrades!$U$9,H10),1)*IF(Upgrades!$T$10="Heliopause",POWER(Upgrades!$U$10,I10),1)*IF(Upgrades!$T$12="Heliopause",POWER(Upgrades!$U$12,K10),1))+(IF(K10=0,0,(Upgrades!$J$12+K10*Upgrades!$K$12)*POWER(Upgrades!$L$12,K10)))*(IF(Upgrades!$T$6="First Photons",POWER(Upgrades!$U$6,E10),1)*IF(Upgrades!$T$7="First Photons",POWER(Upgrades!$U$7,F10),1)*IF(Upgrades!$T$8="First Photons",POWER(Upgrades!$U$8,G10),1)*IF(Upgrades!$T$9="First Photons",POWER(Upgrades!$U$9,H10),1)*IF(Upgrades!$T$10="First Photons",POWER(Upgrades!$U$10,I10),1)*IF(Upgrades!$T$11="First Photons",POWER(Upgrades!$U$11,J10),1)))*POWER(Upgrades!$Q$6,E10)*POWER(Upgrades!$Q$7,F10)*POWER(Upgrades!$Q$8,G10)*POWER(Upgrades!$Q$9,H10)*POWER(Upgrades!$Q$10,I10)*POWER(Upgrades!$Q$11,J10)*POWER(Upgrades!$Q$12,K10)</f>
        <v/>
      </c>
      <c r="N10" s="28">
        <f>((IF(E10=0,0,(Upgrades!$G$6+E10*Upgrades!$H$6)*POWER(Upgrades!$I$6,E10)))*(IF(Upgrades!$T$7="Solar Wind",POWER(Upgrades!$U$7,F10),1)*IF(Upgrades!$T$8="Solar Wind",POWER(Upgrades!$U$8,G10),1)*IF(Upgrades!$T$9="Solar Wind",POWER(Upgrades!$U$9,H10),1)*IF(Upgrades!$T$10="Solar Wind",POWER(Upgrades!$U$10,I10),1)*IF(Upgrades!$T$11="Solar Wind",POWER(Upgrades!$U$11,J10),1)*IF(Upgrades!$T$12="Solar Wind",POWER(Upgrades!$U$12,K10),1))+(IF(F10=0,0,(Upgrades!$G$7+F10*Upgrades!$H$7)*POWER(Upgrades!$I$7,F10)))*(IF(Upgrades!$T$6="Asteroid Belt",POWER(Upgrades!$U$6,E10),1)*IF(Upgrades!$T$8="Asteroid Belt",POWER(Upgrades!$U$8,G10),1)*IF(Upgrades!$T$9="Asteroid Belt",POWER(Upgrades!$U$9,H10),1)*IF(Upgrades!$T$10="Asteroid Belt",POWER(Upgrades!$U$10,I10),1)*IF(Upgrades!$T$11="Asteroid Belt",POWER(Upgrades!$U$11,J10),1)*IF(Upgrades!$T$12="Asteroid Belt",POWER(Upgrades!$U$12,K10),1))+(IF(G10=0,0,(Upgrades!$G$8+G10*Upgrades!$H$8)*POWER(Upgrades!$I$8,G10)))*(IF(Upgrades!$T$6="Stellar Coupling",POWER(Upgrades!$U$6,E10),1)*IF(Upgrades!$T$7="Stellar Coupling",POWER(Upgrades!$U$7,F10),1)*IF(Upgrades!$T$9="Stellar Coupling",POWER(Upgrades!$U$9,H10),1)*IF(Upgrades!$T$10="Stellar Coupling",POWER(Upgrades!$U$10,I10),1)*IF(Upgrades!$T$11="Stellar Coupling",POWER(Upgrades!$U$11,J10),1)*IF(Upgrades!$T$12="Stellar Coupling",POWER(Upgrades!$U$12,K10),1))+(IF(H10=0,0,(Upgrades!$G$9+H10*Upgrades!$H$9)*POWER(Upgrades!$I$9,H10)))*(IF(Upgrades!$T$6="Magnetosphere",POWER(Upgrades!$U$6,E10),1)*IF(Upgrades!$T$7="Magnetosphere",POWER(Upgrades!$U$7,F10),1)*IF(Upgrades!$T$8="Magnetosphere",POWER(Upgrades!$U$8,G10),1)*IF(Upgrades!$T$10="Magnetosphere",POWER(Upgrades!$U$10,I10),1)*IF(Upgrades!$T$11="Magnetosphere",POWER(Upgrades!$U$11,J10),1)*IF(Upgrades!$T$12="Magnetosphere",POWER(Upgrades!$U$12,K10),1))+(IF(I10=0,0,(Upgrades!$G$10+I10*Upgrades!$H$10)*POWER(Upgrades!$I$10,I10)))*(IF(Upgrades!$T$6="Orbital Resonance",POWER(Upgrades!$U$6,E10),1)*IF(Upgrades!$T$7="Orbital Resonance",POWER(Upgrades!$U$7,F10),1)*IF(Upgrades!$T$8="Orbital Resonance",POWER(Upgrades!$U$8,G10),1)*IF(Upgrades!$T$9="Orbital Resonance",POWER(Upgrades!$U$9,H10),1)*IF(Upgrades!$T$11="Orbital Resonance",POWER(Upgrades!$U$11,J10),1)*IF(Upgrades!$T$12="Orbital Resonance",POWER(Upgrades!$U$12,K10),1))+(IF(J10=0,0,(Upgrades!$G$11+J10*Upgrades!$H$11)*POWER(Upgrades!$I$11,J10)))*(IF(Upgrades!$T$6="Heliopause",POWER(Upgrades!$U$6,E10),1)*IF(Upgrades!$T$7="Heliopause",POWER(Upgrades!$U$7,F10),1)*IF(Upgrades!$T$8="Heliopause",POWER(Upgrades!$U$8,G10),1)*IF(Upgrades!$T$9="Heliopause",POWER(Upgrades!$U$9,H10),1)*IF(Upgrades!$T$10="Heliopause",POWER(Upgrades!$U$10,I10),1)*IF(Upgrades!$T$12="Heliopause",POWER(Upgrades!$U$12,K10),1))+(IF(K10=0,0,(Upgrades!$G$12+K10*Upgrades!$H$12)*POWER(Upgrades!$I$12,K10)))*(IF(Upgrades!$T$6="First Photons",POWER(Upgrades!$U$6,E10),1)*IF(Upgrades!$T$7="First Photons",POWER(Upgrades!$U$7,F10),1)*IF(Upgrades!$T$8="First Photons",POWER(Upgrades!$U$8,G10),1)*IF(Upgrades!$T$9="First Photons",POWER(Upgrades!$U$9,H10),1)*IF(Upgrades!$T$10="First Photons",POWER(Upgrades!$U$10,I10),1)*IF(Upgrades!$T$11="First Photons",POWER(Upgrades!$U$11,J10),1)))*POWER(Upgrades!$P$6,E10)*POWER(Upgrades!$P$7,F10)*POWER(Upgrades!$P$8,G10)*POWER(Upgrades!$P$9,H10)*POWER(Upgrades!$P$10,I10)*POWER(Upgrades!$P$11,J10)*POWER(Upgrades!$P$12,K10)</f>
        <v/>
      </c>
      <c r="O10" s="28">
        <f>((IF(E10=0,0,(Upgrades!$M$6+E10*Upgrades!$N$6)*POWER(Upgrades!$O$6,E10)))*(IF(Upgrades!$T$7="Solar Wind",POWER(Upgrades!$U$7,F10),1)*IF(Upgrades!$T$8="Solar Wind",POWER(Upgrades!$U$8,G10),1)*IF(Upgrades!$T$9="Solar Wind",POWER(Upgrades!$U$9,H10),1)*IF(Upgrades!$T$10="Solar Wind",POWER(Upgrades!$U$10,I10),1)*IF(Upgrades!$T$11="Solar Wind",POWER(Upgrades!$U$11,J10),1)*IF(Upgrades!$T$12="Solar Wind",POWER(Upgrades!$U$12,K10),1))+(IF(F10=0,0,(Upgrades!$M$7+F10*Upgrades!$N$7)*POWER(Upgrades!$O$7,F10)))*(IF(Upgrades!$T$6="Asteroid Belt",POWER(Upgrades!$U$6,E10),1)*IF(Upgrades!$T$8="Asteroid Belt",POWER(Upgrades!$U$8,G10),1)*IF(Upgrades!$T$9="Asteroid Belt",POWER(Upgrades!$U$9,H10),1)*IF(Upgrades!$T$10="Asteroid Belt",POWER(Upgrades!$U$10,I10),1)*IF(Upgrades!$T$11="Asteroid Belt",POWER(Upgrades!$U$11,J10),1)*IF(Upgrades!$T$12="Asteroid Belt",POWER(Upgrades!$U$12,K10),1))+(IF(G10=0,0,(Upgrades!$M$8+G10*Upgrades!$N$8)*POWER(Upgrades!$O$8,G10)))*(IF(Upgrades!$T$6="Stellar Coupling",POWER(Upgrades!$U$6,E10),1)*IF(Upgrades!$T$7="Stellar Coupling",POWER(Upgrades!$U$7,F10),1)*IF(Upgrades!$T$9="Stellar Coupling",POWER(Upgrades!$U$9,H10),1)*IF(Upgrades!$T$10="Stellar Coupling",POWER(Upgrades!$U$10,I10),1)*IF(Upgrades!$T$11="Stellar Coupling",POWER(Upgrades!$U$11,J10),1)*IF(Upgrades!$T$12="Stellar Coupling",POWER(Upgrades!$U$12,K10),1))+(IF(H10=0,0,(Upgrades!$M$9+H10*Upgrades!$N$9)*POWER(Upgrades!$O$9,H10)))*(IF(Upgrades!$T$6="Magnetosphere",POWER(Upgrades!$U$6,E10),1)*IF(Upgrades!$T$7="Magnetosphere",POWER(Upgrades!$U$7,F10),1)*IF(Upgrades!$T$8="Magnetosphere",POWER(Upgrades!$U$8,G10),1)*IF(Upgrades!$T$10="Magnetosphere",POWER(Upgrades!$U$10,I10),1)*IF(Upgrades!$T$11="Magnetosphere",POWER(Upgrades!$U$11,J10),1)*IF(Upgrades!$T$12="Magnetosphere",POWER(Upgrades!$U$12,K10),1))+(IF(I10=0,0,(Upgrades!$M$10+I10*Upgrades!$N$10)*POWER(Upgrades!$O$10,I10)))*(IF(Upgrades!$T$6="Orbital Resonance",POWER(Upgrades!$U$6,E10),1)*IF(Upgrades!$T$7="Orbital Resonance",POWER(Upgrades!$U$7,F10),1)*IF(Upgrades!$T$8="Orbital Resonance",POWER(Upgrades!$U$8,G10),1)*IF(Upgrades!$T$9="Orbital Resonance",POWER(Upgrades!$U$9,H10),1)*IF(Upgrades!$T$11="Orbital Resonance",POWER(Upgrades!$U$11,J10),1)*IF(Upgrades!$T$12="Orbital Resonance",POWER(Upgrades!$U$12,K10),1))+(IF(J10=0,0,(Upgrades!$M$11+J10*Upgrades!$N$11)*POWER(Upgrades!$O$11,J10)))*(IF(Upgrades!$T$6="Heliopause",POWER(Upgrades!$U$6,E10),1)*IF(Upgrades!$T$7="Heliopause",POWER(Upgrades!$U$7,F10),1)*IF(Upgrades!$T$8="Heliopause",POWER(Upgrades!$U$8,G10),1)*IF(Upgrades!$T$9="Heliopause",POWER(Upgrades!$U$9,H10),1)*IF(Upgrades!$T$10="Heliopause",POWER(Upgrades!$U$10,I10),1)*IF(Upgrades!$T$12="Heliopause",POWER(Upgrades!$U$12,K10),1))+(IF(K10=0,0,(Upgrades!$M$12+K10*Upgrades!$N$12)*POWER(Upgrades!$O$12,K10)))*(IF(Upgrades!$T$6="First Photons",POWER(Upgrades!$U$6,E10),1)*IF(Upgrades!$T$7="First Photons",POWER(Upgrades!$U$7,F10),1)*IF(Upgrades!$T$8="First Photons",POWER(Upgrades!$U$8,G10),1)*IF(Upgrades!$T$9="First Photons",POWER(Upgrades!$U$9,H10),1)*IF(Upgrades!$T$10="First Photons",POWER(Upgrades!$U$10,I10),1)*IF(Upgrades!$T$11="First Photons",POWER(Upgrades!$U$11,J10),1)))*POWER(Upgrades!$R$6,E10)*POWER(Upgrades!$R$7,F10)*POWER(Upgrades!$R$8,G10)*POWER(Upgrades!$R$9,H10)*POWER(Upgrades!$R$10,I10)*POWER(Upgrades!$R$11,J10)*POWER(Upgrades!$R$12,K10)</f>
        <v/>
      </c>
      <c r="P10" s="27">
        <f>IF(L10=1,0,M10*Parameters!$B$10/60*Parameters!$B$11*10)</f>
        <v/>
      </c>
      <c r="Q10" s="27">
        <f>IF(L10=1,0,O10*M10*10)</f>
        <v/>
      </c>
      <c r="R10" s="27">
        <f>IF(L10=1,0,N10*10)</f>
        <v/>
      </c>
      <c r="S10" s="27">
        <f>P10+Q10+R10</f>
        <v/>
      </c>
      <c r="T10" s="22">
        <f>C10+S10</f>
        <v/>
      </c>
      <c r="U10" s="33">
        <f>AX10</f>
        <v/>
      </c>
      <c r="V10" s="22">
        <f>IF(U10="",0,IF(U10="transition",0,IF(U10="SW",AG10,IF(U10="AB",AH10,IF(U10="SC",AI10,IF(U10="Mag",AJ10,IF(U10="OR",AK10,IF(U10="HP",AL10,IF(U10="FP",AM10,0)))))))))</f>
        <v/>
      </c>
      <c r="W10" s="27">
        <f>IF(U10="OR",Upgrades!$F$10,IF(U10="HP",Upgrades!$F$11,IF(U10="transition",-Parameters!$B$18,0)))</f>
        <v/>
      </c>
      <c r="X10" s="22">
        <f>T10-V10</f>
        <v/>
      </c>
      <c r="Y10" s="30">
        <f>M10*Parameters!$B$10/60*Parameters!$B$11+O10*M10+N10</f>
        <v/>
      </c>
      <c r="Z10" s="34">
        <f>IF(U10="transition","→ Tier 2 (Stellar Neighborhood)",IF(U10="FP","First Photons — light begins, system quickens",IF(U10="HP","Heliopause acquired",IF(U10="OR","Orbital Resonance — passive multiplier active",IF(AND(AO10=1,L10=0,AN10&lt;&gt;1),"Cohesion ready (waiting on completionist upgrades)","")))))</f>
        <v/>
      </c>
      <c r="AA10" s="27">
        <f>(IF(E10=0,0,(Upgrades!$G$6+E10*Upgrades!$H$6)*POWER(Upgrades!$I$6,E10)))*(IF(Upgrades!$T$7="Solar Wind",POWER(Upgrades!$U$7,F10),1)*IF(Upgrades!$T$8="Solar Wind",POWER(Upgrades!$U$8,G10),1)*IF(Upgrades!$T$9="Solar Wind",POWER(Upgrades!$U$9,H10),1)*IF(Upgrades!$T$10="Solar Wind",POWER(Upgrades!$U$10,I10),1)*IF(Upgrades!$T$11="Solar Wind",POWER(Upgrades!$U$11,J10),1)*IF(Upgrades!$T$12="Solar Wind",POWER(Upgrades!$U$12,K10),1))*POWER(Upgrades!$P$6,E10)*POWER(Upgrades!$P$7,F10)*POWER(Upgrades!$P$8,G10)*POWER(Upgrades!$P$9,H10)*POWER(Upgrades!$P$10,I10)*POWER(Upgrades!$P$11,J10)*POWER(Upgrades!$P$12,K10)*60</f>
        <v/>
      </c>
      <c r="AB10" s="27">
        <f>(IF(F10=0,0,(Upgrades!$G$7+F10*Upgrades!$H$7)*POWER(Upgrades!$I$7,F10)))*(IF(Upgrades!$T$6="Asteroid Belt",POWER(Upgrades!$U$6,E10),1)*IF(Upgrades!$T$8="Asteroid Belt",POWER(Upgrades!$U$8,G10),1)*IF(Upgrades!$T$9="Asteroid Belt",POWER(Upgrades!$U$9,H10),1)*IF(Upgrades!$T$10="Asteroid Belt",POWER(Upgrades!$U$10,I10),1)*IF(Upgrades!$T$11="Asteroid Belt",POWER(Upgrades!$U$11,J10),1)*IF(Upgrades!$T$12="Asteroid Belt",POWER(Upgrades!$U$12,K10),1))*POWER(Upgrades!$P$6,E10)*POWER(Upgrades!$P$7,F10)*POWER(Upgrades!$P$8,G10)*POWER(Upgrades!$P$9,H10)*POWER(Upgrades!$P$10,I10)*POWER(Upgrades!$P$11,J10)*POWER(Upgrades!$P$12,K10)*60</f>
        <v/>
      </c>
      <c r="AC10" s="27">
        <f>(IF(G10=0,0,(Upgrades!$J$8+G10*Upgrades!$K$8)*POWER(Upgrades!$L$8,G10)))*(IF(Upgrades!$T$6="Stellar Coupling",POWER(Upgrades!$U$6,E10),1)*IF(Upgrades!$T$7="Stellar Coupling",POWER(Upgrades!$U$7,F10),1)*IF(Upgrades!$T$9="Stellar Coupling",POWER(Upgrades!$U$9,H10),1)*IF(Upgrades!$T$10="Stellar Coupling",POWER(Upgrades!$U$10,I10),1)*IF(Upgrades!$T$11="Stellar Coupling",POWER(Upgrades!$U$11,J10),1)*IF(Upgrades!$T$12="Stellar Coupling",POWER(Upgrades!$U$12,K10),1))*POWER(Upgrades!$Q$6,E10)*POWER(Upgrades!$Q$7,F10)*POWER(Upgrades!$Q$8,G10)*POWER(Upgrades!$Q$9,H10)*POWER(Upgrades!$Q$10,I10)*POWER(Upgrades!$Q$11,J10)*POWER(Upgrades!$Q$12,K10)*Parameters!$B$10*Parameters!$B$11</f>
        <v/>
      </c>
      <c r="AD10" s="27">
        <f>(IF(H10=0,0,(Upgrades!$G$9+H10*Upgrades!$H$9)*POWER(Upgrades!$I$9,H10)))*(IF(Upgrades!$T$6="Magnetosphere",POWER(Upgrades!$U$6,E10),1)*IF(Upgrades!$T$7="Magnetosphere",POWER(Upgrades!$U$7,F10),1)*IF(Upgrades!$T$8="Magnetosphere",POWER(Upgrades!$U$8,G10),1)*IF(Upgrades!$T$10="Magnetosphere",POWER(Upgrades!$U$10,I10),1)*IF(Upgrades!$T$11="Magnetosphere",POWER(Upgrades!$U$11,J10),1)*IF(Upgrades!$T$12="Magnetosphere",POWER(Upgrades!$U$12,K10),1))*POWER(Upgrades!$P$6,E10)*POWER(Upgrades!$P$7,F10)*POWER(Upgrades!$P$8,G10)*POWER(Upgrades!$P$9,H10)*POWER(Upgrades!$P$10,I10)*POWER(Upgrades!$P$11,J10)*POWER(Upgrades!$P$12,K10)*60</f>
        <v/>
      </c>
      <c r="AE10" s="27">
        <f>(IF(K10=0,0,(Upgrades!$G$12+K10*Upgrades!$H$12)*POWER(Upgrades!$I$12,K10)))*(IF(Upgrades!$T$6="First Photons",POWER(Upgrades!$U$6,E10),1)*IF(Upgrades!$T$7="First Photons",POWER(Upgrades!$U$7,F10),1)*IF(Upgrades!$T$8="First Photons",POWER(Upgrades!$U$8,G10),1)*IF(Upgrades!$T$9="First Photons",POWER(Upgrades!$U$9,H10),1)*IF(Upgrades!$T$10="First Photons",POWER(Upgrades!$U$10,I10),1)*IF(Upgrades!$T$11="First Photons",POWER(Upgrades!$U$11,J10),1))*POWER(Upgrades!$P$6,E10)*POWER(Upgrades!$P$7,F10)*POWER(Upgrades!$P$8,G10)*POWER(Upgrades!$P$9,H10)*POWER(Upgrades!$P$10,I10)*POWER(Upgrades!$P$11,J10)*POWER(Upgrades!$P$12,K10)*60</f>
        <v/>
      </c>
      <c r="AF10" s="27">
        <f>Parameters!$B$9*POWER(Upgrades!$Q$6,E10)*POWER(Upgrades!$Q$7,F10)*POWER(Upgrades!$Q$8,G10)*POWER(Upgrades!$Q$9,H10)*POWER(Upgrades!$Q$10,I10)*POWER(Upgrades!$Q$11,J10)*POWER(Upgrades!$Q$12,K10)*(Parameters!$B$10*Parameters!$B$11+O10*60)</f>
        <v/>
      </c>
      <c r="AG10" s="22">
        <f>IF(E10&gt;=Upgrades!$E$6,"",Upgrades!$C$6*POWER(Upgrades!$D$6,E10))</f>
        <v/>
      </c>
      <c r="AH10" s="22">
        <f>IF(F10&gt;=Upgrades!$E$7,"",Upgrades!$C$7*POWER(Upgrades!$D$7,F10))</f>
        <v/>
      </c>
      <c r="AI10" s="22">
        <f>IF(G10&gt;=Upgrades!$E$8,"",Upgrades!$C$8*POWER(Upgrades!$D$8,G10))</f>
        <v/>
      </c>
      <c r="AJ10" s="22">
        <f>IF(H10&gt;=Upgrades!$E$9,"",Upgrades!$C$9*POWER(Upgrades!$D$9,H10))</f>
        <v/>
      </c>
      <c r="AK10" s="22">
        <f>IF(I10&gt;=Upgrades!$E$10,"",Upgrades!$C$10*POWER(Upgrades!$D$10,I10))</f>
        <v/>
      </c>
      <c r="AL10" s="22">
        <f>IF(J10&gt;=Upgrades!$E$11,"",Upgrades!$C$11*POWER(Upgrades!$D$11,J10))</f>
        <v/>
      </c>
      <c r="AM10" s="22">
        <f>IF(K10&gt;=Upgrades!$E$12,"",Upgrades!$C$12*POWER(Upgrades!$D$12,K10))</f>
        <v/>
      </c>
      <c r="AN10" s="26">
        <f>IF(AND(D10&gt;=Parameters!$B$18,(H10&gt;=Upgrades!$E$9)*(K10&gt;=Upgrades!$E$12)=1,L10=0),1,"")</f>
        <v/>
      </c>
      <c r="AO10" s="26">
        <f>IF(AND(D10&gt;=Parameters!$B$18,L10=0),1,"")</f>
        <v/>
      </c>
      <c r="AP10" s="22">
        <f>MIN(IF(ISNUMBER(AK10),AK10,9E15),IF(ISNUMBER(AL10),AL10,9E15),IF(ISNUMBER(AM10),AM10,9E15))</f>
        <v/>
      </c>
      <c r="AQ10" s="22">
        <f>MIN(IF(ISNUMBER(AG10),AG10,9E15),IF(ISNUMBER(AH10),AH10,9E15),IF(ISNUMBER(AI10),AI10,9E15),IF(ISNUMBER(AJ10),AJ10,9E15))</f>
        <v/>
      </c>
      <c r="AR10" s="29">
        <f>IF(AW10&gt;Parameters!$B$21*(MAX(IF(AND(NOT(AND(AO10=1,AN10&lt;&gt;1)),ISNUMBER(AG10),AG10&lt;=T10),AS10,0),IF(AND(NOT(AND(AO10=1,AN10&lt;&gt;1)),ISNUMBER(AH10),AH10&lt;=T10),AT10,0),IF(AND(NOT(AND(AO10=1,AN10&lt;&gt;1)),ISNUMBER(AI10),AI10&lt;=T10),AU10,0),IF(AND(ISNUMBER(AJ10),AJ10&lt;=T10),AV10,0))),TRUE,FALSE)</f>
        <v/>
      </c>
      <c r="AS10" s="32">
        <f>IFERROR(Upgrades!$H$6*(POWER(Upgrades!$P$6,E10)*POWER(Upgrades!$P$7,F10)*POWER(Upgrades!$P$8,G10)*POWER(Upgrades!$P$9,H10)*POWER(Upgrades!$P$10,I10)*POWER(Upgrades!$P$11,J10)*POWER(Upgrades!$P$12,K10))*(IF(Upgrades!$T$7="Solar Wind",POWER(Upgrades!$U$7,F10),1)*IF(Upgrades!$T$8="Solar Wind",POWER(Upgrades!$U$8,G10),1)*IF(Upgrades!$T$9="Solar Wind",POWER(Upgrades!$U$9,H10),1)*IF(Upgrades!$T$10="Solar Wind",POWER(Upgrades!$U$10,I10),1)*IF(Upgrades!$T$11="Solar Wind",POWER(Upgrades!$U$11,J10),1)*IF(Upgrades!$T$12="Solar Wind",POWER(Upgrades!$U$12,K10),1))/AG10,0)</f>
        <v/>
      </c>
      <c r="AT10" s="32">
        <f>IFERROR(Upgrades!$H$7*(POWER(Upgrades!$P$6,E10)*POWER(Upgrades!$P$7,F10)*POWER(Upgrades!$P$8,G10)*POWER(Upgrades!$P$9,H10)*POWER(Upgrades!$P$10,I10)*POWER(Upgrades!$P$11,J10)*POWER(Upgrades!$P$12,K10))*(IF(Upgrades!$T$6="Asteroid Belt",POWER(Upgrades!$U$6,E10),1)*IF(Upgrades!$T$8="Asteroid Belt",POWER(Upgrades!$U$8,G10),1)*IF(Upgrades!$T$9="Asteroid Belt",POWER(Upgrades!$U$9,H10),1)*IF(Upgrades!$T$10="Asteroid Belt",POWER(Upgrades!$U$10,I10),1)*IF(Upgrades!$T$11="Asteroid Belt",POWER(Upgrades!$U$11,J10),1)*IF(Upgrades!$T$12="Asteroid Belt",POWER(Upgrades!$U$12,K10),1))/AH10,0)</f>
        <v/>
      </c>
      <c r="AU10" s="32">
        <f>IFERROR(Upgrades!$K$8*(POWER(Upgrades!$Q$6,E10)*POWER(Upgrades!$Q$7,F10)*POWER(Upgrades!$Q$8,G10)*POWER(Upgrades!$Q$9,H10)*POWER(Upgrades!$Q$10,I10)*POWER(Upgrades!$Q$11,J10)*POWER(Upgrades!$Q$12,K10))*(IF(Upgrades!$T$6="Stellar Coupling",POWER(Upgrades!$U$6,E10),1)*IF(Upgrades!$T$7="Stellar Coupling",POWER(Upgrades!$U$7,F10),1)*IF(Upgrades!$T$9="Stellar Coupling",POWER(Upgrades!$U$9,H10),1)*IF(Upgrades!$T$10="Stellar Coupling",POWER(Upgrades!$U$10,I10),1)*IF(Upgrades!$T$11="Stellar Coupling",POWER(Upgrades!$U$11,J10),1)*IF(Upgrades!$T$12="Stellar Coupling",POWER(Upgrades!$U$12,K10),1))*Parameters!$B$10*Parameters!$B$11/60/AI10,0)</f>
        <v/>
      </c>
      <c r="AV10" s="32">
        <f>IFERROR(Upgrades!$H$9*(POWER(Upgrades!$P$6,E10)*POWER(Upgrades!$P$7,F10)*POWER(Upgrades!$P$8,G10)*POWER(Upgrades!$P$9,H10)*POWER(Upgrades!$P$10,I10)*POWER(Upgrades!$P$11,J10)*POWER(Upgrades!$P$12,K10))*(IF(Upgrades!$T$6="Magnetosphere",POWER(Upgrades!$U$6,E10),1)*IF(Upgrades!$T$7="Magnetosphere",POWER(Upgrades!$U$7,F10),1)*IF(Upgrades!$T$8="Magnetosphere",POWER(Upgrades!$U$8,G10),1)*IF(Upgrades!$T$10="Magnetosphere",POWER(Upgrades!$U$10,I10),1)*IF(Upgrades!$T$11="Magnetosphere",POWER(Upgrades!$U$11,J10),1)*IF(Upgrades!$T$12="Magnetosphere",POWER(Upgrades!$U$12,K10),1))/AJ10,0)</f>
        <v/>
      </c>
      <c r="AW10" s="32">
        <f>MAX(IF(I10&gt;0,0,IFERROR(0.25*N10/Upgrades!$C$10,0)),IF(J10&gt;0,0,IFERROR(0.5*((IF(G10=0,0,(Upgrades!$J$8+G10*Upgrades!$K$8)*POWER(Upgrades!$L$8,G10)))*(IF(Upgrades!$T$6="Stellar Coupling",POWER(Upgrades!$U$6,E10),1)*IF(Upgrades!$T$7="Stellar Coupling",POWER(Upgrades!$U$7,F10),1)*IF(Upgrades!$T$9="Stellar Coupling",POWER(Upgrades!$U$9,H10),1)*IF(Upgrades!$T$10="Stellar Coupling",POWER(Upgrades!$U$10,I10),1)*IF(Upgrades!$T$11="Stellar Coupling",POWER(Upgrades!$U$11,J10),1)*IF(Upgrades!$T$12="Stellar Coupling",POWER(Upgrades!$U$12,K10),1))*(POWER(Upgrades!$Q$6,E10)*POWER(Upgrades!$Q$7,F10)*POWER(Upgrades!$Q$8,G10)*POWER(Upgrades!$Q$9,H10)*POWER(Upgrades!$Q$10,I10)*POWER(Upgrades!$Q$11,J10)*POWER(Upgrades!$Q$12,K10))*Parameters!$B$10*Parameters!$B$11/60)/Upgrades!$C$11,0)),IF(K10&gt;0,0,IFERROR((1.0*(POWER(Upgrades!$P$6,E10)*POWER(Upgrades!$P$7,F10)*POWER(Upgrades!$P$8,G10)*POWER(Upgrades!$P$9,H10)*POWER(Upgrades!$P$10,I10)*POWER(Upgrades!$P$11,J10)*POWER(Upgrades!$P$12,K10))+0.20*M10*Parameters!$B$10*Parameters!$B$11/60)/Upgrades!$C$12,0)),IF(AND(ISNUMBER(AG10),AG10&gt;T10),AS10,0),IF(AND(ISNUMBER(AH10),AH10&gt;T10),AT10,0),IF(AND(ISNUMBER(AI10),AI10&gt;T10),AU10,0),IF(AND(ISNUMBER(AJ10),AJ10&gt;T10),AV10,0))</f>
        <v/>
      </c>
      <c r="AX10" s="29">
        <f>IF(AN10=1,"transition",IF(MIN(IF(AND(I10=0,ISNUMBER(AK10),AK10&lt;=T10),AK10,9E15),IF(AND(J10=0,ISNUMBER(AL10),AL10&lt;=T10),AL10,9E15),IF(AND(K10=0,ISNUMBER(AM10),AM10&lt;=T10),AM10,9E15))&lt;9E15,IF(AND(AND(I10=0,ISNUMBER(AK10),AK10&lt;=T10),AK10=MIN(IF(AND(I10=0,ISNUMBER(AK10),AK10&lt;=T10),AK10,9E15),IF(AND(J10=0,ISNUMBER(AL10),AL10&lt;=T10),AL10,9E15),IF(AND(K10=0,ISNUMBER(AM10),AM10&lt;=T10),AM10,9E15))),"OR",IF(AND(AND(J10=0,ISNUMBER(AL10),AL10&lt;=T10),AL10=MIN(IF(AND(I10=0,ISNUMBER(AK10),AK10&lt;=T10),AK10,9E15),IF(AND(J10=0,ISNUMBER(AL10),AL10&lt;=T10),AL10,9E15),IF(AND(K10=0,ISNUMBER(AM10),AM10&lt;=T10),AM10,9E15))),"HP","FP")),IF(AR10=TRUE,"",IF(MAX(IF(AND(NOT(AND(AO10=1,AN10&lt;&gt;1)),ISNUMBER(AG10),AG10&lt;=T10),AS10,0),IF(AND(NOT(AND(AO10=1,AN10&lt;&gt;1)),ISNUMBER(AH10),AH10&lt;=T10),AT10,0),IF(AND(NOT(AND(AO10=1,AN10&lt;&gt;1)),ISNUMBER(AI10),AI10&lt;=T10),AU10,0),IF(AND(ISNUMBER(AJ10),AJ10&lt;=T10),AV10,0))&lt;=0,"",IF(AND(IF(AND(NOT(AND(AO10=1,AN10&lt;&gt;1)),ISNUMBER(AG10),AG10&lt;=T10),AS10,0)&gt;0,IF(AND(NOT(AND(AO10=1,AN10&lt;&gt;1)),ISNUMBER(AG10),AG10&lt;=T10),AS10,0)=MAX(IF(AND(NOT(AND(AO10=1,AN10&lt;&gt;1)),ISNUMBER(AG10),AG10&lt;=T10),AS10,0),IF(AND(NOT(AND(AO10=1,AN10&lt;&gt;1)),ISNUMBER(AH10),AH10&lt;=T10),AT10,0),IF(AND(NOT(AND(AO10=1,AN10&lt;&gt;1)),ISNUMBER(AI10),AI10&lt;=T10),AU10,0),IF(AND(ISNUMBER(AJ10),AJ10&lt;=T10),AV10,0))),"SW",IF(AND(IF(AND(NOT(AND(AO10=1,AN10&lt;&gt;1)),ISNUMBER(AH10),AH10&lt;=T10),AT10,0)&gt;0,IF(AND(NOT(AND(AO10=1,AN10&lt;&gt;1)),ISNUMBER(AH10),AH10&lt;=T10),AT10,0)=MAX(IF(AND(NOT(AND(AO10=1,AN10&lt;&gt;1)),ISNUMBER(AG10),AG10&lt;=T10),AS10,0),IF(AND(NOT(AND(AO10=1,AN10&lt;&gt;1)),ISNUMBER(AH10),AH10&lt;=T10),AT10,0),IF(AND(NOT(AND(AO10=1,AN10&lt;&gt;1)),ISNUMBER(AI10),AI10&lt;=T10),AU10,0),IF(AND(ISNUMBER(AJ10),AJ10&lt;=T10),AV10,0))),"AB",IF(AND(IF(AND(NOT(AND(AO10=1,AN10&lt;&gt;1)),ISNUMBER(AI10),AI10&lt;=T10),AU10,0)&gt;0,IF(AND(NOT(AND(AO10=1,AN10&lt;&gt;1)),ISNUMBER(AI10),AI10&lt;=T10),AU10,0)=MAX(IF(AND(NOT(AND(AO10=1,AN10&lt;&gt;1)),ISNUMBER(AG10),AG10&lt;=T10),AS10,0),IF(AND(NOT(AND(AO10=1,AN10&lt;&gt;1)),ISNUMBER(AH10),AH10&lt;=T10),AT10,0),IF(AND(NOT(AND(AO10=1,AN10&lt;&gt;1)),ISNUMBER(AI10),AI10&lt;=T10),AU10,0),IF(AND(ISNUMBER(AJ10),AJ10&lt;=T10),AV10,0))),"SC","Mag")))))))</f>
        <v/>
      </c>
    </row>
    <row r="11">
      <c r="A11" s="26" t="n">
        <v>6</v>
      </c>
      <c r="B11" s="27">
        <f>A11*10/60</f>
        <v/>
      </c>
      <c r="C11" s="22">
        <f>X10</f>
        <v/>
      </c>
      <c r="D11" s="27">
        <f>D10+W10</f>
        <v/>
      </c>
      <c r="E11" s="26">
        <f>E10+IF(U10="SW",1,0)</f>
        <v/>
      </c>
      <c r="F11" s="26">
        <f>F10+IF(U10="AB",1,0)</f>
        <v/>
      </c>
      <c r="G11" s="26">
        <f>G10+IF(U10="SC",1,0)</f>
        <v/>
      </c>
      <c r="H11" s="26">
        <f>H10+IF(U10="Mag",1,0)</f>
        <v/>
      </c>
      <c r="I11" s="26">
        <f>MAX(I10,IF(U10="OR",1,0))</f>
        <v/>
      </c>
      <c r="J11" s="26">
        <f>MAX(J10,IF(U10="HP",1,0))</f>
        <v/>
      </c>
      <c r="K11" s="26">
        <f>MAX(K10,IF(U10="FP",1,0))</f>
        <v/>
      </c>
      <c r="L11" s="26">
        <f>MAX(L10,IF(U10="transition",1,0))</f>
        <v/>
      </c>
      <c r="M11" s="28">
        <f>(Parameters!$B$9+(IF(E11=0,0,(Upgrades!$J$6+E11*Upgrades!$K$6)*POWER(Upgrades!$L$6,E11)))*(IF(Upgrades!$T$7="Solar Wind",POWER(Upgrades!$U$7,F11),1)*IF(Upgrades!$T$8="Solar Wind",POWER(Upgrades!$U$8,G11),1)*IF(Upgrades!$T$9="Solar Wind",POWER(Upgrades!$U$9,H11),1)*IF(Upgrades!$T$10="Solar Wind",POWER(Upgrades!$U$10,I11),1)*IF(Upgrades!$T$11="Solar Wind",POWER(Upgrades!$U$11,J11),1)*IF(Upgrades!$T$12="Solar Wind",POWER(Upgrades!$U$12,K11),1))+(IF(F11=0,0,(Upgrades!$J$7+F11*Upgrades!$K$7)*POWER(Upgrades!$L$7,F11)))*(IF(Upgrades!$T$6="Asteroid Belt",POWER(Upgrades!$U$6,E11),1)*IF(Upgrades!$T$8="Asteroid Belt",POWER(Upgrades!$U$8,G11),1)*IF(Upgrades!$T$9="Asteroid Belt",POWER(Upgrades!$U$9,H11),1)*IF(Upgrades!$T$10="Asteroid Belt",POWER(Upgrades!$U$10,I11),1)*IF(Upgrades!$T$11="Asteroid Belt",POWER(Upgrades!$U$11,J11),1)*IF(Upgrades!$T$12="Asteroid Belt",POWER(Upgrades!$U$12,K11),1))+(IF(G11=0,0,(Upgrades!$J$8+G11*Upgrades!$K$8)*POWER(Upgrades!$L$8,G11)))*(IF(Upgrades!$T$6="Stellar Coupling",POWER(Upgrades!$U$6,E11),1)*IF(Upgrades!$T$7="Stellar Coupling",POWER(Upgrades!$U$7,F11),1)*IF(Upgrades!$T$9="Stellar Coupling",POWER(Upgrades!$U$9,H11),1)*IF(Upgrades!$T$10="Stellar Coupling",POWER(Upgrades!$U$10,I11),1)*IF(Upgrades!$T$11="Stellar Coupling",POWER(Upgrades!$U$11,J11),1)*IF(Upgrades!$T$12="Stellar Coupling",POWER(Upgrades!$U$12,K11),1))+(IF(H11=0,0,(Upgrades!$J$9+H11*Upgrades!$K$9)*POWER(Upgrades!$L$9,H11)))*(IF(Upgrades!$T$6="Magnetosphere",POWER(Upgrades!$U$6,E11),1)*IF(Upgrades!$T$7="Magnetosphere",POWER(Upgrades!$U$7,F11),1)*IF(Upgrades!$T$8="Magnetosphere",POWER(Upgrades!$U$8,G11),1)*IF(Upgrades!$T$10="Magnetosphere",POWER(Upgrades!$U$10,I11),1)*IF(Upgrades!$T$11="Magnetosphere",POWER(Upgrades!$U$11,J11),1)*IF(Upgrades!$T$12="Magnetosphere",POWER(Upgrades!$U$12,K11),1))+(IF(I11=0,0,(Upgrades!$J$10+I11*Upgrades!$K$10)*POWER(Upgrades!$L$10,I11)))*(IF(Upgrades!$T$6="Orbital Resonance",POWER(Upgrades!$U$6,E11),1)*IF(Upgrades!$T$7="Orbital Resonance",POWER(Upgrades!$U$7,F11),1)*IF(Upgrades!$T$8="Orbital Resonance",POWER(Upgrades!$U$8,G11),1)*IF(Upgrades!$T$9="Orbital Resonance",POWER(Upgrades!$U$9,H11),1)*IF(Upgrades!$T$11="Orbital Resonance",POWER(Upgrades!$U$11,J11),1)*IF(Upgrades!$T$12="Orbital Resonance",POWER(Upgrades!$U$12,K11),1))+(IF(J11=0,0,(Upgrades!$J$11+J11*Upgrades!$K$11)*POWER(Upgrades!$L$11,J11)))*(IF(Upgrades!$T$6="Heliopause",POWER(Upgrades!$U$6,E11),1)*IF(Upgrades!$T$7="Heliopause",POWER(Upgrades!$U$7,F11),1)*IF(Upgrades!$T$8="Heliopause",POWER(Upgrades!$U$8,G11),1)*IF(Upgrades!$T$9="Heliopause",POWER(Upgrades!$U$9,H11),1)*IF(Upgrades!$T$10="Heliopause",POWER(Upgrades!$U$10,I11),1)*IF(Upgrades!$T$12="Heliopause",POWER(Upgrades!$U$12,K11),1))+(IF(K11=0,0,(Upgrades!$J$12+K11*Upgrades!$K$12)*POWER(Upgrades!$L$12,K11)))*(IF(Upgrades!$T$6="First Photons",POWER(Upgrades!$U$6,E11),1)*IF(Upgrades!$T$7="First Photons",POWER(Upgrades!$U$7,F11),1)*IF(Upgrades!$T$8="First Photons",POWER(Upgrades!$U$8,G11),1)*IF(Upgrades!$T$9="First Photons",POWER(Upgrades!$U$9,H11),1)*IF(Upgrades!$T$10="First Photons",POWER(Upgrades!$U$10,I11),1)*IF(Upgrades!$T$11="First Photons",POWER(Upgrades!$U$11,J11),1)))*POWER(Upgrades!$Q$6,E11)*POWER(Upgrades!$Q$7,F11)*POWER(Upgrades!$Q$8,G11)*POWER(Upgrades!$Q$9,H11)*POWER(Upgrades!$Q$10,I11)*POWER(Upgrades!$Q$11,J11)*POWER(Upgrades!$Q$12,K11)</f>
        <v/>
      </c>
      <c r="N11" s="28">
        <f>((IF(E11=0,0,(Upgrades!$G$6+E11*Upgrades!$H$6)*POWER(Upgrades!$I$6,E11)))*(IF(Upgrades!$T$7="Solar Wind",POWER(Upgrades!$U$7,F11),1)*IF(Upgrades!$T$8="Solar Wind",POWER(Upgrades!$U$8,G11),1)*IF(Upgrades!$T$9="Solar Wind",POWER(Upgrades!$U$9,H11),1)*IF(Upgrades!$T$10="Solar Wind",POWER(Upgrades!$U$10,I11),1)*IF(Upgrades!$T$11="Solar Wind",POWER(Upgrades!$U$11,J11),1)*IF(Upgrades!$T$12="Solar Wind",POWER(Upgrades!$U$12,K11),1))+(IF(F11=0,0,(Upgrades!$G$7+F11*Upgrades!$H$7)*POWER(Upgrades!$I$7,F11)))*(IF(Upgrades!$T$6="Asteroid Belt",POWER(Upgrades!$U$6,E11),1)*IF(Upgrades!$T$8="Asteroid Belt",POWER(Upgrades!$U$8,G11),1)*IF(Upgrades!$T$9="Asteroid Belt",POWER(Upgrades!$U$9,H11),1)*IF(Upgrades!$T$10="Asteroid Belt",POWER(Upgrades!$U$10,I11),1)*IF(Upgrades!$T$11="Asteroid Belt",POWER(Upgrades!$U$11,J11),1)*IF(Upgrades!$T$12="Asteroid Belt",POWER(Upgrades!$U$12,K11),1))+(IF(G11=0,0,(Upgrades!$G$8+G11*Upgrades!$H$8)*POWER(Upgrades!$I$8,G11)))*(IF(Upgrades!$T$6="Stellar Coupling",POWER(Upgrades!$U$6,E11),1)*IF(Upgrades!$T$7="Stellar Coupling",POWER(Upgrades!$U$7,F11),1)*IF(Upgrades!$T$9="Stellar Coupling",POWER(Upgrades!$U$9,H11),1)*IF(Upgrades!$T$10="Stellar Coupling",POWER(Upgrades!$U$10,I11),1)*IF(Upgrades!$T$11="Stellar Coupling",POWER(Upgrades!$U$11,J11),1)*IF(Upgrades!$T$12="Stellar Coupling",POWER(Upgrades!$U$12,K11),1))+(IF(H11=0,0,(Upgrades!$G$9+H11*Upgrades!$H$9)*POWER(Upgrades!$I$9,H11)))*(IF(Upgrades!$T$6="Magnetosphere",POWER(Upgrades!$U$6,E11),1)*IF(Upgrades!$T$7="Magnetosphere",POWER(Upgrades!$U$7,F11),1)*IF(Upgrades!$T$8="Magnetosphere",POWER(Upgrades!$U$8,G11),1)*IF(Upgrades!$T$10="Magnetosphere",POWER(Upgrades!$U$10,I11),1)*IF(Upgrades!$T$11="Magnetosphere",POWER(Upgrades!$U$11,J11),1)*IF(Upgrades!$T$12="Magnetosphere",POWER(Upgrades!$U$12,K11),1))+(IF(I11=0,0,(Upgrades!$G$10+I11*Upgrades!$H$10)*POWER(Upgrades!$I$10,I11)))*(IF(Upgrades!$T$6="Orbital Resonance",POWER(Upgrades!$U$6,E11),1)*IF(Upgrades!$T$7="Orbital Resonance",POWER(Upgrades!$U$7,F11),1)*IF(Upgrades!$T$8="Orbital Resonance",POWER(Upgrades!$U$8,G11),1)*IF(Upgrades!$T$9="Orbital Resonance",POWER(Upgrades!$U$9,H11),1)*IF(Upgrades!$T$11="Orbital Resonance",POWER(Upgrades!$U$11,J11),1)*IF(Upgrades!$T$12="Orbital Resonance",POWER(Upgrades!$U$12,K11),1))+(IF(J11=0,0,(Upgrades!$G$11+J11*Upgrades!$H$11)*POWER(Upgrades!$I$11,J11)))*(IF(Upgrades!$T$6="Heliopause",POWER(Upgrades!$U$6,E11),1)*IF(Upgrades!$T$7="Heliopause",POWER(Upgrades!$U$7,F11),1)*IF(Upgrades!$T$8="Heliopause",POWER(Upgrades!$U$8,G11),1)*IF(Upgrades!$T$9="Heliopause",POWER(Upgrades!$U$9,H11),1)*IF(Upgrades!$T$10="Heliopause",POWER(Upgrades!$U$10,I11),1)*IF(Upgrades!$T$12="Heliopause",POWER(Upgrades!$U$12,K11),1))+(IF(K11=0,0,(Upgrades!$G$12+K11*Upgrades!$H$12)*POWER(Upgrades!$I$12,K11)))*(IF(Upgrades!$T$6="First Photons",POWER(Upgrades!$U$6,E11),1)*IF(Upgrades!$T$7="First Photons",POWER(Upgrades!$U$7,F11),1)*IF(Upgrades!$T$8="First Photons",POWER(Upgrades!$U$8,G11),1)*IF(Upgrades!$T$9="First Photons",POWER(Upgrades!$U$9,H11),1)*IF(Upgrades!$T$10="First Photons",POWER(Upgrades!$U$10,I11),1)*IF(Upgrades!$T$11="First Photons",POWER(Upgrades!$U$11,J11),1)))*POWER(Upgrades!$P$6,E11)*POWER(Upgrades!$P$7,F11)*POWER(Upgrades!$P$8,G11)*POWER(Upgrades!$P$9,H11)*POWER(Upgrades!$P$10,I11)*POWER(Upgrades!$P$11,J11)*POWER(Upgrades!$P$12,K11)</f>
        <v/>
      </c>
      <c r="O11" s="28">
        <f>((IF(E11=0,0,(Upgrades!$M$6+E11*Upgrades!$N$6)*POWER(Upgrades!$O$6,E11)))*(IF(Upgrades!$T$7="Solar Wind",POWER(Upgrades!$U$7,F11),1)*IF(Upgrades!$T$8="Solar Wind",POWER(Upgrades!$U$8,G11),1)*IF(Upgrades!$T$9="Solar Wind",POWER(Upgrades!$U$9,H11),1)*IF(Upgrades!$T$10="Solar Wind",POWER(Upgrades!$U$10,I11),1)*IF(Upgrades!$T$11="Solar Wind",POWER(Upgrades!$U$11,J11),1)*IF(Upgrades!$T$12="Solar Wind",POWER(Upgrades!$U$12,K11),1))+(IF(F11=0,0,(Upgrades!$M$7+F11*Upgrades!$N$7)*POWER(Upgrades!$O$7,F11)))*(IF(Upgrades!$T$6="Asteroid Belt",POWER(Upgrades!$U$6,E11),1)*IF(Upgrades!$T$8="Asteroid Belt",POWER(Upgrades!$U$8,G11),1)*IF(Upgrades!$T$9="Asteroid Belt",POWER(Upgrades!$U$9,H11),1)*IF(Upgrades!$T$10="Asteroid Belt",POWER(Upgrades!$U$10,I11),1)*IF(Upgrades!$T$11="Asteroid Belt",POWER(Upgrades!$U$11,J11),1)*IF(Upgrades!$T$12="Asteroid Belt",POWER(Upgrades!$U$12,K11),1))+(IF(G11=0,0,(Upgrades!$M$8+G11*Upgrades!$N$8)*POWER(Upgrades!$O$8,G11)))*(IF(Upgrades!$T$6="Stellar Coupling",POWER(Upgrades!$U$6,E11),1)*IF(Upgrades!$T$7="Stellar Coupling",POWER(Upgrades!$U$7,F11),1)*IF(Upgrades!$T$9="Stellar Coupling",POWER(Upgrades!$U$9,H11),1)*IF(Upgrades!$T$10="Stellar Coupling",POWER(Upgrades!$U$10,I11),1)*IF(Upgrades!$T$11="Stellar Coupling",POWER(Upgrades!$U$11,J11),1)*IF(Upgrades!$T$12="Stellar Coupling",POWER(Upgrades!$U$12,K11),1))+(IF(H11=0,0,(Upgrades!$M$9+H11*Upgrades!$N$9)*POWER(Upgrades!$O$9,H11)))*(IF(Upgrades!$T$6="Magnetosphere",POWER(Upgrades!$U$6,E11),1)*IF(Upgrades!$T$7="Magnetosphere",POWER(Upgrades!$U$7,F11),1)*IF(Upgrades!$T$8="Magnetosphere",POWER(Upgrades!$U$8,G11),1)*IF(Upgrades!$T$10="Magnetosphere",POWER(Upgrades!$U$10,I11),1)*IF(Upgrades!$T$11="Magnetosphere",POWER(Upgrades!$U$11,J11),1)*IF(Upgrades!$T$12="Magnetosphere",POWER(Upgrades!$U$12,K11),1))+(IF(I11=0,0,(Upgrades!$M$10+I11*Upgrades!$N$10)*POWER(Upgrades!$O$10,I11)))*(IF(Upgrades!$T$6="Orbital Resonance",POWER(Upgrades!$U$6,E11),1)*IF(Upgrades!$T$7="Orbital Resonance",POWER(Upgrades!$U$7,F11),1)*IF(Upgrades!$T$8="Orbital Resonance",POWER(Upgrades!$U$8,G11),1)*IF(Upgrades!$T$9="Orbital Resonance",POWER(Upgrades!$U$9,H11),1)*IF(Upgrades!$T$11="Orbital Resonance",POWER(Upgrades!$U$11,J11),1)*IF(Upgrades!$T$12="Orbital Resonance",POWER(Upgrades!$U$12,K11),1))+(IF(J11=0,0,(Upgrades!$M$11+J11*Upgrades!$N$11)*POWER(Upgrades!$O$11,J11)))*(IF(Upgrades!$T$6="Heliopause",POWER(Upgrades!$U$6,E11),1)*IF(Upgrades!$T$7="Heliopause",POWER(Upgrades!$U$7,F11),1)*IF(Upgrades!$T$8="Heliopause",POWER(Upgrades!$U$8,G11),1)*IF(Upgrades!$T$9="Heliopause",POWER(Upgrades!$U$9,H11),1)*IF(Upgrades!$T$10="Heliopause",POWER(Upgrades!$U$10,I11),1)*IF(Upgrades!$T$12="Heliopause",POWER(Upgrades!$U$12,K11),1))+(IF(K11=0,0,(Upgrades!$M$12+K11*Upgrades!$N$12)*POWER(Upgrades!$O$12,K11)))*(IF(Upgrades!$T$6="First Photons",POWER(Upgrades!$U$6,E11),1)*IF(Upgrades!$T$7="First Photons",POWER(Upgrades!$U$7,F11),1)*IF(Upgrades!$T$8="First Photons",POWER(Upgrades!$U$8,G11),1)*IF(Upgrades!$T$9="First Photons",POWER(Upgrades!$U$9,H11),1)*IF(Upgrades!$T$10="First Photons",POWER(Upgrades!$U$10,I11),1)*IF(Upgrades!$T$11="First Photons",POWER(Upgrades!$U$11,J11),1)))*POWER(Upgrades!$R$6,E11)*POWER(Upgrades!$R$7,F11)*POWER(Upgrades!$R$8,G11)*POWER(Upgrades!$R$9,H11)*POWER(Upgrades!$R$10,I11)*POWER(Upgrades!$R$11,J11)*POWER(Upgrades!$R$12,K11)</f>
        <v/>
      </c>
      <c r="P11" s="27">
        <f>IF(L11=1,0,M11*Parameters!$B$10/60*Parameters!$B$11*10)</f>
        <v/>
      </c>
      <c r="Q11" s="27">
        <f>IF(L11=1,0,O11*M11*10)</f>
        <v/>
      </c>
      <c r="R11" s="27">
        <f>IF(L11=1,0,N11*10)</f>
        <v/>
      </c>
      <c r="S11" s="27">
        <f>P11+Q11+R11</f>
        <v/>
      </c>
      <c r="T11" s="22">
        <f>C11+S11</f>
        <v/>
      </c>
      <c r="U11" s="33">
        <f>AX11</f>
        <v/>
      </c>
      <c r="V11" s="22">
        <f>IF(U11="",0,IF(U11="transition",0,IF(U11="SW",AG11,IF(U11="AB",AH11,IF(U11="SC",AI11,IF(U11="Mag",AJ11,IF(U11="OR",AK11,IF(U11="HP",AL11,IF(U11="FP",AM11,0)))))))))</f>
        <v/>
      </c>
      <c r="W11" s="27">
        <f>IF(U11="OR",Upgrades!$F$10,IF(U11="HP",Upgrades!$F$11,IF(U11="transition",-Parameters!$B$18,0)))</f>
        <v/>
      </c>
      <c r="X11" s="22">
        <f>T11-V11</f>
        <v/>
      </c>
      <c r="Y11" s="30">
        <f>M11*Parameters!$B$10/60*Parameters!$B$11+O11*M11+N11</f>
        <v/>
      </c>
      <c r="Z11" s="34">
        <f>IF(U11="transition","→ Tier 2 (Stellar Neighborhood)",IF(U11="FP","First Photons — light begins, system quickens",IF(U11="HP","Heliopause acquired",IF(U11="OR","Orbital Resonance — passive multiplier active",IF(AND(AO11=1,L11=0,AN11&lt;&gt;1),"Cohesion ready (waiting on completionist upgrades)","")))))</f>
        <v/>
      </c>
      <c r="AA11" s="27">
        <f>(IF(E11=0,0,(Upgrades!$G$6+E11*Upgrades!$H$6)*POWER(Upgrades!$I$6,E11)))*(IF(Upgrades!$T$7="Solar Wind",POWER(Upgrades!$U$7,F11),1)*IF(Upgrades!$T$8="Solar Wind",POWER(Upgrades!$U$8,G11),1)*IF(Upgrades!$T$9="Solar Wind",POWER(Upgrades!$U$9,H11),1)*IF(Upgrades!$T$10="Solar Wind",POWER(Upgrades!$U$10,I11),1)*IF(Upgrades!$T$11="Solar Wind",POWER(Upgrades!$U$11,J11),1)*IF(Upgrades!$T$12="Solar Wind",POWER(Upgrades!$U$12,K11),1))*POWER(Upgrades!$P$6,E11)*POWER(Upgrades!$P$7,F11)*POWER(Upgrades!$P$8,G11)*POWER(Upgrades!$P$9,H11)*POWER(Upgrades!$P$10,I11)*POWER(Upgrades!$P$11,J11)*POWER(Upgrades!$P$12,K11)*60</f>
        <v/>
      </c>
      <c r="AB11" s="27">
        <f>(IF(F11=0,0,(Upgrades!$G$7+F11*Upgrades!$H$7)*POWER(Upgrades!$I$7,F11)))*(IF(Upgrades!$T$6="Asteroid Belt",POWER(Upgrades!$U$6,E11),1)*IF(Upgrades!$T$8="Asteroid Belt",POWER(Upgrades!$U$8,G11),1)*IF(Upgrades!$T$9="Asteroid Belt",POWER(Upgrades!$U$9,H11),1)*IF(Upgrades!$T$10="Asteroid Belt",POWER(Upgrades!$U$10,I11),1)*IF(Upgrades!$T$11="Asteroid Belt",POWER(Upgrades!$U$11,J11),1)*IF(Upgrades!$T$12="Asteroid Belt",POWER(Upgrades!$U$12,K11),1))*POWER(Upgrades!$P$6,E11)*POWER(Upgrades!$P$7,F11)*POWER(Upgrades!$P$8,G11)*POWER(Upgrades!$P$9,H11)*POWER(Upgrades!$P$10,I11)*POWER(Upgrades!$P$11,J11)*POWER(Upgrades!$P$12,K11)*60</f>
        <v/>
      </c>
      <c r="AC11" s="27">
        <f>(IF(G11=0,0,(Upgrades!$J$8+G11*Upgrades!$K$8)*POWER(Upgrades!$L$8,G11)))*(IF(Upgrades!$T$6="Stellar Coupling",POWER(Upgrades!$U$6,E11),1)*IF(Upgrades!$T$7="Stellar Coupling",POWER(Upgrades!$U$7,F11),1)*IF(Upgrades!$T$9="Stellar Coupling",POWER(Upgrades!$U$9,H11),1)*IF(Upgrades!$T$10="Stellar Coupling",POWER(Upgrades!$U$10,I11),1)*IF(Upgrades!$T$11="Stellar Coupling",POWER(Upgrades!$U$11,J11),1)*IF(Upgrades!$T$12="Stellar Coupling",POWER(Upgrades!$U$12,K11),1))*POWER(Upgrades!$Q$6,E11)*POWER(Upgrades!$Q$7,F11)*POWER(Upgrades!$Q$8,G11)*POWER(Upgrades!$Q$9,H11)*POWER(Upgrades!$Q$10,I11)*POWER(Upgrades!$Q$11,J11)*POWER(Upgrades!$Q$12,K11)*Parameters!$B$10*Parameters!$B$11</f>
        <v/>
      </c>
      <c r="AD11" s="27">
        <f>(IF(H11=0,0,(Upgrades!$G$9+H11*Upgrades!$H$9)*POWER(Upgrades!$I$9,H11)))*(IF(Upgrades!$T$6="Magnetosphere",POWER(Upgrades!$U$6,E11),1)*IF(Upgrades!$T$7="Magnetosphere",POWER(Upgrades!$U$7,F11),1)*IF(Upgrades!$T$8="Magnetosphere",POWER(Upgrades!$U$8,G11),1)*IF(Upgrades!$T$10="Magnetosphere",POWER(Upgrades!$U$10,I11),1)*IF(Upgrades!$T$11="Magnetosphere",POWER(Upgrades!$U$11,J11),1)*IF(Upgrades!$T$12="Magnetosphere",POWER(Upgrades!$U$12,K11),1))*POWER(Upgrades!$P$6,E11)*POWER(Upgrades!$P$7,F11)*POWER(Upgrades!$P$8,G11)*POWER(Upgrades!$P$9,H11)*POWER(Upgrades!$P$10,I11)*POWER(Upgrades!$P$11,J11)*POWER(Upgrades!$P$12,K11)*60</f>
        <v/>
      </c>
      <c r="AE11" s="27">
        <f>(IF(K11=0,0,(Upgrades!$G$12+K11*Upgrades!$H$12)*POWER(Upgrades!$I$12,K11)))*(IF(Upgrades!$T$6="First Photons",POWER(Upgrades!$U$6,E11),1)*IF(Upgrades!$T$7="First Photons",POWER(Upgrades!$U$7,F11),1)*IF(Upgrades!$T$8="First Photons",POWER(Upgrades!$U$8,G11),1)*IF(Upgrades!$T$9="First Photons",POWER(Upgrades!$U$9,H11),1)*IF(Upgrades!$T$10="First Photons",POWER(Upgrades!$U$10,I11),1)*IF(Upgrades!$T$11="First Photons",POWER(Upgrades!$U$11,J11),1))*POWER(Upgrades!$P$6,E11)*POWER(Upgrades!$P$7,F11)*POWER(Upgrades!$P$8,G11)*POWER(Upgrades!$P$9,H11)*POWER(Upgrades!$P$10,I11)*POWER(Upgrades!$P$11,J11)*POWER(Upgrades!$P$12,K11)*60</f>
        <v/>
      </c>
      <c r="AF11" s="27">
        <f>Parameters!$B$9*POWER(Upgrades!$Q$6,E11)*POWER(Upgrades!$Q$7,F11)*POWER(Upgrades!$Q$8,G11)*POWER(Upgrades!$Q$9,H11)*POWER(Upgrades!$Q$10,I11)*POWER(Upgrades!$Q$11,J11)*POWER(Upgrades!$Q$12,K11)*(Parameters!$B$10*Parameters!$B$11+O11*60)</f>
        <v/>
      </c>
      <c r="AG11" s="22">
        <f>IF(E11&gt;=Upgrades!$E$6,"",Upgrades!$C$6*POWER(Upgrades!$D$6,E11))</f>
        <v/>
      </c>
      <c r="AH11" s="22">
        <f>IF(F11&gt;=Upgrades!$E$7,"",Upgrades!$C$7*POWER(Upgrades!$D$7,F11))</f>
        <v/>
      </c>
      <c r="AI11" s="22">
        <f>IF(G11&gt;=Upgrades!$E$8,"",Upgrades!$C$8*POWER(Upgrades!$D$8,G11))</f>
        <v/>
      </c>
      <c r="AJ11" s="22">
        <f>IF(H11&gt;=Upgrades!$E$9,"",Upgrades!$C$9*POWER(Upgrades!$D$9,H11))</f>
        <v/>
      </c>
      <c r="AK11" s="22">
        <f>IF(I11&gt;=Upgrades!$E$10,"",Upgrades!$C$10*POWER(Upgrades!$D$10,I11))</f>
        <v/>
      </c>
      <c r="AL11" s="22">
        <f>IF(J11&gt;=Upgrades!$E$11,"",Upgrades!$C$11*POWER(Upgrades!$D$11,J11))</f>
        <v/>
      </c>
      <c r="AM11" s="22">
        <f>IF(K11&gt;=Upgrades!$E$12,"",Upgrades!$C$12*POWER(Upgrades!$D$12,K11))</f>
        <v/>
      </c>
      <c r="AN11" s="26">
        <f>IF(AND(D11&gt;=Parameters!$B$18,(H11&gt;=Upgrades!$E$9)*(K11&gt;=Upgrades!$E$12)=1,L11=0),1,"")</f>
        <v/>
      </c>
      <c r="AO11" s="26">
        <f>IF(AND(D11&gt;=Parameters!$B$18,L11=0),1,"")</f>
        <v/>
      </c>
      <c r="AP11" s="22">
        <f>MIN(IF(ISNUMBER(AK11),AK11,9E15),IF(ISNUMBER(AL11),AL11,9E15),IF(ISNUMBER(AM11),AM11,9E15))</f>
        <v/>
      </c>
      <c r="AQ11" s="22">
        <f>MIN(IF(ISNUMBER(AG11),AG11,9E15),IF(ISNUMBER(AH11),AH11,9E15),IF(ISNUMBER(AI11),AI11,9E15),IF(ISNUMBER(AJ11),AJ11,9E15))</f>
        <v/>
      </c>
      <c r="AR11" s="29">
        <f>IF(AW11&gt;Parameters!$B$21*(MAX(IF(AND(NOT(AND(AO11=1,AN11&lt;&gt;1)),ISNUMBER(AG11),AG11&lt;=T11),AS11,0),IF(AND(NOT(AND(AO11=1,AN11&lt;&gt;1)),ISNUMBER(AH11),AH11&lt;=T11),AT11,0),IF(AND(NOT(AND(AO11=1,AN11&lt;&gt;1)),ISNUMBER(AI11),AI11&lt;=T11),AU11,0),IF(AND(ISNUMBER(AJ11),AJ11&lt;=T11),AV11,0))),TRUE,FALSE)</f>
        <v/>
      </c>
      <c r="AS11" s="32">
        <f>IFERROR(Upgrades!$H$6*(POWER(Upgrades!$P$6,E11)*POWER(Upgrades!$P$7,F11)*POWER(Upgrades!$P$8,G11)*POWER(Upgrades!$P$9,H11)*POWER(Upgrades!$P$10,I11)*POWER(Upgrades!$P$11,J11)*POWER(Upgrades!$P$12,K11))*(IF(Upgrades!$T$7="Solar Wind",POWER(Upgrades!$U$7,F11),1)*IF(Upgrades!$T$8="Solar Wind",POWER(Upgrades!$U$8,G11),1)*IF(Upgrades!$T$9="Solar Wind",POWER(Upgrades!$U$9,H11),1)*IF(Upgrades!$T$10="Solar Wind",POWER(Upgrades!$U$10,I11),1)*IF(Upgrades!$T$11="Solar Wind",POWER(Upgrades!$U$11,J11),1)*IF(Upgrades!$T$12="Solar Wind",POWER(Upgrades!$U$12,K11),1))/AG11,0)</f>
        <v/>
      </c>
      <c r="AT11" s="32">
        <f>IFERROR(Upgrades!$H$7*(POWER(Upgrades!$P$6,E11)*POWER(Upgrades!$P$7,F11)*POWER(Upgrades!$P$8,G11)*POWER(Upgrades!$P$9,H11)*POWER(Upgrades!$P$10,I11)*POWER(Upgrades!$P$11,J11)*POWER(Upgrades!$P$12,K11))*(IF(Upgrades!$T$6="Asteroid Belt",POWER(Upgrades!$U$6,E11),1)*IF(Upgrades!$T$8="Asteroid Belt",POWER(Upgrades!$U$8,G11),1)*IF(Upgrades!$T$9="Asteroid Belt",POWER(Upgrades!$U$9,H11),1)*IF(Upgrades!$T$10="Asteroid Belt",POWER(Upgrades!$U$10,I11),1)*IF(Upgrades!$T$11="Asteroid Belt",POWER(Upgrades!$U$11,J11),1)*IF(Upgrades!$T$12="Asteroid Belt",POWER(Upgrades!$U$12,K11),1))/AH11,0)</f>
        <v/>
      </c>
      <c r="AU11" s="32">
        <f>IFERROR(Upgrades!$K$8*(POWER(Upgrades!$Q$6,E11)*POWER(Upgrades!$Q$7,F11)*POWER(Upgrades!$Q$8,G11)*POWER(Upgrades!$Q$9,H11)*POWER(Upgrades!$Q$10,I11)*POWER(Upgrades!$Q$11,J11)*POWER(Upgrades!$Q$12,K11))*(IF(Upgrades!$T$6="Stellar Coupling",POWER(Upgrades!$U$6,E11),1)*IF(Upgrades!$T$7="Stellar Coupling",POWER(Upgrades!$U$7,F11),1)*IF(Upgrades!$T$9="Stellar Coupling",POWER(Upgrades!$U$9,H11),1)*IF(Upgrades!$T$10="Stellar Coupling",POWER(Upgrades!$U$10,I11),1)*IF(Upgrades!$T$11="Stellar Coupling",POWER(Upgrades!$U$11,J11),1)*IF(Upgrades!$T$12="Stellar Coupling",POWER(Upgrades!$U$12,K11),1))*Parameters!$B$10*Parameters!$B$11/60/AI11,0)</f>
        <v/>
      </c>
      <c r="AV11" s="32">
        <f>IFERROR(Upgrades!$H$9*(POWER(Upgrades!$P$6,E11)*POWER(Upgrades!$P$7,F11)*POWER(Upgrades!$P$8,G11)*POWER(Upgrades!$P$9,H11)*POWER(Upgrades!$P$10,I11)*POWER(Upgrades!$P$11,J11)*POWER(Upgrades!$P$12,K11))*(IF(Upgrades!$T$6="Magnetosphere",POWER(Upgrades!$U$6,E11),1)*IF(Upgrades!$T$7="Magnetosphere",POWER(Upgrades!$U$7,F11),1)*IF(Upgrades!$T$8="Magnetosphere",POWER(Upgrades!$U$8,G11),1)*IF(Upgrades!$T$10="Magnetosphere",POWER(Upgrades!$U$10,I11),1)*IF(Upgrades!$T$11="Magnetosphere",POWER(Upgrades!$U$11,J11),1)*IF(Upgrades!$T$12="Magnetosphere",POWER(Upgrades!$U$12,K11),1))/AJ11,0)</f>
        <v/>
      </c>
      <c r="AW11" s="32">
        <f>MAX(IF(I11&gt;0,0,IFERROR(0.25*N11/Upgrades!$C$10,0)),IF(J11&gt;0,0,IFERROR(0.5*((IF(G11=0,0,(Upgrades!$J$8+G11*Upgrades!$K$8)*POWER(Upgrades!$L$8,G11)))*(IF(Upgrades!$T$6="Stellar Coupling",POWER(Upgrades!$U$6,E11),1)*IF(Upgrades!$T$7="Stellar Coupling",POWER(Upgrades!$U$7,F11),1)*IF(Upgrades!$T$9="Stellar Coupling",POWER(Upgrades!$U$9,H11),1)*IF(Upgrades!$T$10="Stellar Coupling",POWER(Upgrades!$U$10,I11),1)*IF(Upgrades!$T$11="Stellar Coupling",POWER(Upgrades!$U$11,J11),1)*IF(Upgrades!$T$12="Stellar Coupling",POWER(Upgrades!$U$12,K11),1))*(POWER(Upgrades!$Q$6,E11)*POWER(Upgrades!$Q$7,F11)*POWER(Upgrades!$Q$8,G11)*POWER(Upgrades!$Q$9,H11)*POWER(Upgrades!$Q$10,I11)*POWER(Upgrades!$Q$11,J11)*POWER(Upgrades!$Q$12,K11))*Parameters!$B$10*Parameters!$B$11/60)/Upgrades!$C$11,0)),IF(K11&gt;0,0,IFERROR((1.0*(POWER(Upgrades!$P$6,E11)*POWER(Upgrades!$P$7,F11)*POWER(Upgrades!$P$8,G11)*POWER(Upgrades!$P$9,H11)*POWER(Upgrades!$P$10,I11)*POWER(Upgrades!$P$11,J11)*POWER(Upgrades!$P$12,K11))+0.20*M11*Parameters!$B$10*Parameters!$B$11/60)/Upgrades!$C$12,0)),IF(AND(ISNUMBER(AG11),AG11&gt;T11),AS11,0),IF(AND(ISNUMBER(AH11),AH11&gt;T11),AT11,0),IF(AND(ISNUMBER(AI11),AI11&gt;T11),AU11,0),IF(AND(ISNUMBER(AJ11),AJ11&gt;T11),AV11,0))</f>
        <v/>
      </c>
      <c r="AX11" s="29">
        <f>IF(AN11=1,"transition",IF(MIN(IF(AND(I11=0,ISNUMBER(AK11),AK11&lt;=T11),AK11,9E15),IF(AND(J11=0,ISNUMBER(AL11),AL11&lt;=T11),AL11,9E15),IF(AND(K11=0,ISNUMBER(AM11),AM11&lt;=T11),AM11,9E15))&lt;9E15,IF(AND(AND(I11=0,ISNUMBER(AK11),AK11&lt;=T11),AK11=MIN(IF(AND(I11=0,ISNUMBER(AK11),AK11&lt;=T11),AK11,9E15),IF(AND(J11=0,ISNUMBER(AL11),AL11&lt;=T11),AL11,9E15),IF(AND(K11=0,ISNUMBER(AM11),AM11&lt;=T11),AM11,9E15))),"OR",IF(AND(AND(J11=0,ISNUMBER(AL11),AL11&lt;=T11),AL11=MIN(IF(AND(I11=0,ISNUMBER(AK11),AK11&lt;=T11),AK11,9E15),IF(AND(J11=0,ISNUMBER(AL11),AL11&lt;=T11),AL11,9E15),IF(AND(K11=0,ISNUMBER(AM11),AM11&lt;=T11),AM11,9E15))),"HP","FP")),IF(AR11=TRUE,"",IF(MAX(IF(AND(NOT(AND(AO11=1,AN11&lt;&gt;1)),ISNUMBER(AG11),AG11&lt;=T11),AS11,0),IF(AND(NOT(AND(AO11=1,AN11&lt;&gt;1)),ISNUMBER(AH11),AH11&lt;=T11),AT11,0),IF(AND(NOT(AND(AO11=1,AN11&lt;&gt;1)),ISNUMBER(AI11),AI11&lt;=T11),AU11,0),IF(AND(ISNUMBER(AJ11),AJ11&lt;=T11),AV11,0))&lt;=0,"",IF(AND(IF(AND(NOT(AND(AO11=1,AN11&lt;&gt;1)),ISNUMBER(AG11),AG11&lt;=T11),AS11,0)&gt;0,IF(AND(NOT(AND(AO11=1,AN11&lt;&gt;1)),ISNUMBER(AG11),AG11&lt;=T11),AS11,0)=MAX(IF(AND(NOT(AND(AO11=1,AN11&lt;&gt;1)),ISNUMBER(AG11),AG11&lt;=T11),AS11,0),IF(AND(NOT(AND(AO11=1,AN11&lt;&gt;1)),ISNUMBER(AH11),AH11&lt;=T11),AT11,0),IF(AND(NOT(AND(AO11=1,AN11&lt;&gt;1)),ISNUMBER(AI11),AI11&lt;=T11),AU11,0),IF(AND(ISNUMBER(AJ11),AJ11&lt;=T11),AV11,0))),"SW",IF(AND(IF(AND(NOT(AND(AO11=1,AN11&lt;&gt;1)),ISNUMBER(AH11),AH11&lt;=T11),AT11,0)&gt;0,IF(AND(NOT(AND(AO11=1,AN11&lt;&gt;1)),ISNUMBER(AH11),AH11&lt;=T11),AT11,0)=MAX(IF(AND(NOT(AND(AO11=1,AN11&lt;&gt;1)),ISNUMBER(AG11),AG11&lt;=T11),AS11,0),IF(AND(NOT(AND(AO11=1,AN11&lt;&gt;1)),ISNUMBER(AH11),AH11&lt;=T11),AT11,0),IF(AND(NOT(AND(AO11=1,AN11&lt;&gt;1)),ISNUMBER(AI11),AI11&lt;=T11),AU11,0),IF(AND(ISNUMBER(AJ11),AJ11&lt;=T11),AV11,0))),"AB",IF(AND(IF(AND(NOT(AND(AO11=1,AN11&lt;&gt;1)),ISNUMBER(AI11),AI11&lt;=T11),AU11,0)&gt;0,IF(AND(NOT(AND(AO11=1,AN11&lt;&gt;1)),ISNUMBER(AI11),AI11&lt;=T11),AU11,0)=MAX(IF(AND(NOT(AND(AO11=1,AN11&lt;&gt;1)),ISNUMBER(AG11),AG11&lt;=T11),AS11,0),IF(AND(NOT(AND(AO11=1,AN11&lt;&gt;1)),ISNUMBER(AH11),AH11&lt;=T11),AT11,0),IF(AND(NOT(AND(AO11=1,AN11&lt;&gt;1)),ISNUMBER(AI11),AI11&lt;=T11),AU11,0),IF(AND(ISNUMBER(AJ11),AJ11&lt;=T11),AV11,0))),"SC","Mag")))))))</f>
        <v/>
      </c>
    </row>
    <row r="12">
      <c r="A12" s="26" t="n">
        <v>7</v>
      </c>
      <c r="B12" s="27">
        <f>A12*10/60</f>
        <v/>
      </c>
      <c r="C12" s="22">
        <f>X11</f>
        <v/>
      </c>
      <c r="D12" s="27">
        <f>D11+W11</f>
        <v/>
      </c>
      <c r="E12" s="26">
        <f>E11+IF(U11="SW",1,0)</f>
        <v/>
      </c>
      <c r="F12" s="26">
        <f>F11+IF(U11="AB",1,0)</f>
        <v/>
      </c>
      <c r="G12" s="26">
        <f>G11+IF(U11="SC",1,0)</f>
        <v/>
      </c>
      <c r="H12" s="26">
        <f>H11+IF(U11="Mag",1,0)</f>
        <v/>
      </c>
      <c r="I12" s="26">
        <f>MAX(I11,IF(U11="OR",1,0))</f>
        <v/>
      </c>
      <c r="J12" s="26">
        <f>MAX(J11,IF(U11="HP",1,0))</f>
        <v/>
      </c>
      <c r="K12" s="26">
        <f>MAX(K11,IF(U11="FP",1,0))</f>
        <v/>
      </c>
      <c r="L12" s="26">
        <f>MAX(L11,IF(U11="transition",1,0))</f>
        <v/>
      </c>
      <c r="M12" s="28">
        <f>(Parameters!$B$9+(IF(E12=0,0,(Upgrades!$J$6+E12*Upgrades!$K$6)*POWER(Upgrades!$L$6,E12)))*(IF(Upgrades!$T$7="Solar Wind",POWER(Upgrades!$U$7,F12),1)*IF(Upgrades!$T$8="Solar Wind",POWER(Upgrades!$U$8,G12),1)*IF(Upgrades!$T$9="Solar Wind",POWER(Upgrades!$U$9,H12),1)*IF(Upgrades!$T$10="Solar Wind",POWER(Upgrades!$U$10,I12),1)*IF(Upgrades!$T$11="Solar Wind",POWER(Upgrades!$U$11,J12),1)*IF(Upgrades!$T$12="Solar Wind",POWER(Upgrades!$U$12,K12),1))+(IF(F12=0,0,(Upgrades!$J$7+F12*Upgrades!$K$7)*POWER(Upgrades!$L$7,F12)))*(IF(Upgrades!$T$6="Asteroid Belt",POWER(Upgrades!$U$6,E12),1)*IF(Upgrades!$T$8="Asteroid Belt",POWER(Upgrades!$U$8,G12),1)*IF(Upgrades!$T$9="Asteroid Belt",POWER(Upgrades!$U$9,H12),1)*IF(Upgrades!$T$10="Asteroid Belt",POWER(Upgrades!$U$10,I12),1)*IF(Upgrades!$T$11="Asteroid Belt",POWER(Upgrades!$U$11,J12),1)*IF(Upgrades!$T$12="Asteroid Belt",POWER(Upgrades!$U$12,K12),1))+(IF(G12=0,0,(Upgrades!$J$8+G12*Upgrades!$K$8)*POWER(Upgrades!$L$8,G12)))*(IF(Upgrades!$T$6="Stellar Coupling",POWER(Upgrades!$U$6,E12),1)*IF(Upgrades!$T$7="Stellar Coupling",POWER(Upgrades!$U$7,F12),1)*IF(Upgrades!$T$9="Stellar Coupling",POWER(Upgrades!$U$9,H12),1)*IF(Upgrades!$T$10="Stellar Coupling",POWER(Upgrades!$U$10,I12),1)*IF(Upgrades!$T$11="Stellar Coupling",POWER(Upgrades!$U$11,J12),1)*IF(Upgrades!$T$12="Stellar Coupling",POWER(Upgrades!$U$12,K12),1))+(IF(H12=0,0,(Upgrades!$J$9+H12*Upgrades!$K$9)*POWER(Upgrades!$L$9,H12)))*(IF(Upgrades!$T$6="Magnetosphere",POWER(Upgrades!$U$6,E12),1)*IF(Upgrades!$T$7="Magnetosphere",POWER(Upgrades!$U$7,F12),1)*IF(Upgrades!$T$8="Magnetosphere",POWER(Upgrades!$U$8,G12),1)*IF(Upgrades!$T$10="Magnetosphere",POWER(Upgrades!$U$10,I12),1)*IF(Upgrades!$T$11="Magnetosphere",POWER(Upgrades!$U$11,J12),1)*IF(Upgrades!$T$12="Magnetosphere",POWER(Upgrades!$U$12,K12),1))+(IF(I12=0,0,(Upgrades!$J$10+I12*Upgrades!$K$10)*POWER(Upgrades!$L$10,I12)))*(IF(Upgrades!$T$6="Orbital Resonance",POWER(Upgrades!$U$6,E12),1)*IF(Upgrades!$T$7="Orbital Resonance",POWER(Upgrades!$U$7,F12),1)*IF(Upgrades!$T$8="Orbital Resonance",POWER(Upgrades!$U$8,G12),1)*IF(Upgrades!$T$9="Orbital Resonance",POWER(Upgrades!$U$9,H12),1)*IF(Upgrades!$T$11="Orbital Resonance",POWER(Upgrades!$U$11,J12),1)*IF(Upgrades!$T$12="Orbital Resonance",POWER(Upgrades!$U$12,K12),1))+(IF(J12=0,0,(Upgrades!$J$11+J12*Upgrades!$K$11)*POWER(Upgrades!$L$11,J12)))*(IF(Upgrades!$T$6="Heliopause",POWER(Upgrades!$U$6,E12),1)*IF(Upgrades!$T$7="Heliopause",POWER(Upgrades!$U$7,F12),1)*IF(Upgrades!$T$8="Heliopause",POWER(Upgrades!$U$8,G12),1)*IF(Upgrades!$T$9="Heliopause",POWER(Upgrades!$U$9,H12),1)*IF(Upgrades!$T$10="Heliopause",POWER(Upgrades!$U$10,I12),1)*IF(Upgrades!$T$12="Heliopause",POWER(Upgrades!$U$12,K12),1))+(IF(K12=0,0,(Upgrades!$J$12+K12*Upgrades!$K$12)*POWER(Upgrades!$L$12,K12)))*(IF(Upgrades!$T$6="First Photons",POWER(Upgrades!$U$6,E12),1)*IF(Upgrades!$T$7="First Photons",POWER(Upgrades!$U$7,F12),1)*IF(Upgrades!$T$8="First Photons",POWER(Upgrades!$U$8,G12),1)*IF(Upgrades!$T$9="First Photons",POWER(Upgrades!$U$9,H12),1)*IF(Upgrades!$T$10="First Photons",POWER(Upgrades!$U$10,I12),1)*IF(Upgrades!$T$11="First Photons",POWER(Upgrades!$U$11,J12),1)))*POWER(Upgrades!$Q$6,E12)*POWER(Upgrades!$Q$7,F12)*POWER(Upgrades!$Q$8,G12)*POWER(Upgrades!$Q$9,H12)*POWER(Upgrades!$Q$10,I12)*POWER(Upgrades!$Q$11,J12)*POWER(Upgrades!$Q$12,K12)</f>
        <v/>
      </c>
      <c r="N12" s="28">
        <f>((IF(E12=0,0,(Upgrades!$G$6+E12*Upgrades!$H$6)*POWER(Upgrades!$I$6,E12)))*(IF(Upgrades!$T$7="Solar Wind",POWER(Upgrades!$U$7,F12),1)*IF(Upgrades!$T$8="Solar Wind",POWER(Upgrades!$U$8,G12),1)*IF(Upgrades!$T$9="Solar Wind",POWER(Upgrades!$U$9,H12),1)*IF(Upgrades!$T$10="Solar Wind",POWER(Upgrades!$U$10,I12),1)*IF(Upgrades!$T$11="Solar Wind",POWER(Upgrades!$U$11,J12),1)*IF(Upgrades!$T$12="Solar Wind",POWER(Upgrades!$U$12,K12),1))+(IF(F12=0,0,(Upgrades!$G$7+F12*Upgrades!$H$7)*POWER(Upgrades!$I$7,F12)))*(IF(Upgrades!$T$6="Asteroid Belt",POWER(Upgrades!$U$6,E12),1)*IF(Upgrades!$T$8="Asteroid Belt",POWER(Upgrades!$U$8,G12),1)*IF(Upgrades!$T$9="Asteroid Belt",POWER(Upgrades!$U$9,H12),1)*IF(Upgrades!$T$10="Asteroid Belt",POWER(Upgrades!$U$10,I12),1)*IF(Upgrades!$T$11="Asteroid Belt",POWER(Upgrades!$U$11,J12),1)*IF(Upgrades!$T$12="Asteroid Belt",POWER(Upgrades!$U$12,K12),1))+(IF(G12=0,0,(Upgrades!$G$8+G12*Upgrades!$H$8)*POWER(Upgrades!$I$8,G12)))*(IF(Upgrades!$T$6="Stellar Coupling",POWER(Upgrades!$U$6,E12),1)*IF(Upgrades!$T$7="Stellar Coupling",POWER(Upgrades!$U$7,F12),1)*IF(Upgrades!$T$9="Stellar Coupling",POWER(Upgrades!$U$9,H12),1)*IF(Upgrades!$T$10="Stellar Coupling",POWER(Upgrades!$U$10,I12),1)*IF(Upgrades!$T$11="Stellar Coupling",POWER(Upgrades!$U$11,J12),1)*IF(Upgrades!$T$12="Stellar Coupling",POWER(Upgrades!$U$12,K12),1))+(IF(H12=0,0,(Upgrades!$G$9+H12*Upgrades!$H$9)*POWER(Upgrades!$I$9,H12)))*(IF(Upgrades!$T$6="Magnetosphere",POWER(Upgrades!$U$6,E12),1)*IF(Upgrades!$T$7="Magnetosphere",POWER(Upgrades!$U$7,F12),1)*IF(Upgrades!$T$8="Magnetosphere",POWER(Upgrades!$U$8,G12),1)*IF(Upgrades!$T$10="Magnetosphere",POWER(Upgrades!$U$10,I12),1)*IF(Upgrades!$T$11="Magnetosphere",POWER(Upgrades!$U$11,J12),1)*IF(Upgrades!$T$12="Magnetosphere",POWER(Upgrades!$U$12,K12),1))+(IF(I12=0,0,(Upgrades!$G$10+I12*Upgrades!$H$10)*POWER(Upgrades!$I$10,I12)))*(IF(Upgrades!$T$6="Orbital Resonance",POWER(Upgrades!$U$6,E12),1)*IF(Upgrades!$T$7="Orbital Resonance",POWER(Upgrades!$U$7,F12),1)*IF(Upgrades!$T$8="Orbital Resonance",POWER(Upgrades!$U$8,G12),1)*IF(Upgrades!$T$9="Orbital Resonance",POWER(Upgrades!$U$9,H12),1)*IF(Upgrades!$T$11="Orbital Resonance",POWER(Upgrades!$U$11,J12),1)*IF(Upgrades!$T$12="Orbital Resonance",POWER(Upgrades!$U$12,K12),1))+(IF(J12=0,0,(Upgrades!$G$11+J12*Upgrades!$H$11)*POWER(Upgrades!$I$11,J12)))*(IF(Upgrades!$T$6="Heliopause",POWER(Upgrades!$U$6,E12),1)*IF(Upgrades!$T$7="Heliopause",POWER(Upgrades!$U$7,F12),1)*IF(Upgrades!$T$8="Heliopause",POWER(Upgrades!$U$8,G12),1)*IF(Upgrades!$T$9="Heliopause",POWER(Upgrades!$U$9,H12),1)*IF(Upgrades!$T$10="Heliopause",POWER(Upgrades!$U$10,I12),1)*IF(Upgrades!$T$12="Heliopause",POWER(Upgrades!$U$12,K12),1))+(IF(K12=0,0,(Upgrades!$G$12+K12*Upgrades!$H$12)*POWER(Upgrades!$I$12,K12)))*(IF(Upgrades!$T$6="First Photons",POWER(Upgrades!$U$6,E12),1)*IF(Upgrades!$T$7="First Photons",POWER(Upgrades!$U$7,F12),1)*IF(Upgrades!$T$8="First Photons",POWER(Upgrades!$U$8,G12),1)*IF(Upgrades!$T$9="First Photons",POWER(Upgrades!$U$9,H12),1)*IF(Upgrades!$T$10="First Photons",POWER(Upgrades!$U$10,I12),1)*IF(Upgrades!$T$11="First Photons",POWER(Upgrades!$U$11,J12),1)))*POWER(Upgrades!$P$6,E12)*POWER(Upgrades!$P$7,F12)*POWER(Upgrades!$P$8,G12)*POWER(Upgrades!$P$9,H12)*POWER(Upgrades!$P$10,I12)*POWER(Upgrades!$P$11,J12)*POWER(Upgrades!$P$12,K12)</f>
        <v/>
      </c>
      <c r="O12" s="28">
        <f>((IF(E12=0,0,(Upgrades!$M$6+E12*Upgrades!$N$6)*POWER(Upgrades!$O$6,E12)))*(IF(Upgrades!$T$7="Solar Wind",POWER(Upgrades!$U$7,F12),1)*IF(Upgrades!$T$8="Solar Wind",POWER(Upgrades!$U$8,G12),1)*IF(Upgrades!$T$9="Solar Wind",POWER(Upgrades!$U$9,H12),1)*IF(Upgrades!$T$10="Solar Wind",POWER(Upgrades!$U$10,I12),1)*IF(Upgrades!$T$11="Solar Wind",POWER(Upgrades!$U$11,J12),1)*IF(Upgrades!$T$12="Solar Wind",POWER(Upgrades!$U$12,K12),1))+(IF(F12=0,0,(Upgrades!$M$7+F12*Upgrades!$N$7)*POWER(Upgrades!$O$7,F12)))*(IF(Upgrades!$T$6="Asteroid Belt",POWER(Upgrades!$U$6,E12),1)*IF(Upgrades!$T$8="Asteroid Belt",POWER(Upgrades!$U$8,G12),1)*IF(Upgrades!$T$9="Asteroid Belt",POWER(Upgrades!$U$9,H12),1)*IF(Upgrades!$T$10="Asteroid Belt",POWER(Upgrades!$U$10,I12),1)*IF(Upgrades!$T$11="Asteroid Belt",POWER(Upgrades!$U$11,J12),1)*IF(Upgrades!$T$12="Asteroid Belt",POWER(Upgrades!$U$12,K12),1))+(IF(G12=0,0,(Upgrades!$M$8+G12*Upgrades!$N$8)*POWER(Upgrades!$O$8,G12)))*(IF(Upgrades!$T$6="Stellar Coupling",POWER(Upgrades!$U$6,E12),1)*IF(Upgrades!$T$7="Stellar Coupling",POWER(Upgrades!$U$7,F12),1)*IF(Upgrades!$T$9="Stellar Coupling",POWER(Upgrades!$U$9,H12),1)*IF(Upgrades!$T$10="Stellar Coupling",POWER(Upgrades!$U$10,I12),1)*IF(Upgrades!$T$11="Stellar Coupling",POWER(Upgrades!$U$11,J12),1)*IF(Upgrades!$T$12="Stellar Coupling",POWER(Upgrades!$U$12,K12),1))+(IF(H12=0,0,(Upgrades!$M$9+H12*Upgrades!$N$9)*POWER(Upgrades!$O$9,H12)))*(IF(Upgrades!$T$6="Magnetosphere",POWER(Upgrades!$U$6,E12),1)*IF(Upgrades!$T$7="Magnetosphere",POWER(Upgrades!$U$7,F12),1)*IF(Upgrades!$T$8="Magnetosphere",POWER(Upgrades!$U$8,G12),1)*IF(Upgrades!$T$10="Magnetosphere",POWER(Upgrades!$U$10,I12),1)*IF(Upgrades!$T$11="Magnetosphere",POWER(Upgrades!$U$11,J12),1)*IF(Upgrades!$T$12="Magnetosphere",POWER(Upgrades!$U$12,K12),1))+(IF(I12=0,0,(Upgrades!$M$10+I12*Upgrades!$N$10)*POWER(Upgrades!$O$10,I12)))*(IF(Upgrades!$T$6="Orbital Resonance",POWER(Upgrades!$U$6,E12),1)*IF(Upgrades!$T$7="Orbital Resonance",POWER(Upgrades!$U$7,F12),1)*IF(Upgrades!$T$8="Orbital Resonance",POWER(Upgrades!$U$8,G12),1)*IF(Upgrades!$T$9="Orbital Resonance",POWER(Upgrades!$U$9,H12),1)*IF(Upgrades!$T$11="Orbital Resonance",POWER(Upgrades!$U$11,J12),1)*IF(Upgrades!$T$12="Orbital Resonance",POWER(Upgrades!$U$12,K12),1))+(IF(J12=0,0,(Upgrades!$M$11+J12*Upgrades!$N$11)*POWER(Upgrades!$O$11,J12)))*(IF(Upgrades!$T$6="Heliopause",POWER(Upgrades!$U$6,E12),1)*IF(Upgrades!$T$7="Heliopause",POWER(Upgrades!$U$7,F12),1)*IF(Upgrades!$T$8="Heliopause",POWER(Upgrades!$U$8,G12),1)*IF(Upgrades!$T$9="Heliopause",POWER(Upgrades!$U$9,H12),1)*IF(Upgrades!$T$10="Heliopause",POWER(Upgrades!$U$10,I12),1)*IF(Upgrades!$T$12="Heliopause",POWER(Upgrades!$U$12,K12),1))+(IF(K12=0,0,(Upgrades!$M$12+K12*Upgrades!$N$12)*POWER(Upgrades!$O$12,K12)))*(IF(Upgrades!$T$6="First Photons",POWER(Upgrades!$U$6,E12),1)*IF(Upgrades!$T$7="First Photons",POWER(Upgrades!$U$7,F12),1)*IF(Upgrades!$T$8="First Photons",POWER(Upgrades!$U$8,G12),1)*IF(Upgrades!$T$9="First Photons",POWER(Upgrades!$U$9,H12),1)*IF(Upgrades!$T$10="First Photons",POWER(Upgrades!$U$10,I12),1)*IF(Upgrades!$T$11="First Photons",POWER(Upgrades!$U$11,J12),1)))*POWER(Upgrades!$R$6,E12)*POWER(Upgrades!$R$7,F12)*POWER(Upgrades!$R$8,G12)*POWER(Upgrades!$R$9,H12)*POWER(Upgrades!$R$10,I12)*POWER(Upgrades!$R$11,J12)*POWER(Upgrades!$R$12,K12)</f>
        <v/>
      </c>
      <c r="P12" s="27">
        <f>IF(L12=1,0,M12*Parameters!$B$10/60*Parameters!$B$11*10)</f>
        <v/>
      </c>
      <c r="Q12" s="27">
        <f>IF(L12=1,0,O12*M12*10)</f>
        <v/>
      </c>
      <c r="R12" s="27">
        <f>IF(L12=1,0,N12*10)</f>
        <v/>
      </c>
      <c r="S12" s="27">
        <f>P12+Q12+R12</f>
        <v/>
      </c>
      <c r="T12" s="22">
        <f>C12+S12</f>
        <v/>
      </c>
      <c r="U12" s="33">
        <f>AX12</f>
        <v/>
      </c>
      <c r="V12" s="22">
        <f>IF(U12="",0,IF(U12="transition",0,IF(U12="SW",AG12,IF(U12="AB",AH12,IF(U12="SC",AI12,IF(U12="Mag",AJ12,IF(U12="OR",AK12,IF(U12="HP",AL12,IF(U12="FP",AM12,0)))))))))</f>
        <v/>
      </c>
      <c r="W12" s="27">
        <f>IF(U12="OR",Upgrades!$F$10,IF(U12="HP",Upgrades!$F$11,IF(U12="transition",-Parameters!$B$18,0)))</f>
        <v/>
      </c>
      <c r="X12" s="22">
        <f>T12-V12</f>
        <v/>
      </c>
      <c r="Y12" s="30">
        <f>M12*Parameters!$B$10/60*Parameters!$B$11+O12*M12+N12</f>
        <v/>
      </c>
      <c r="Z12" s="34">
        <f>IF(U12="transition","→ Tier 2 (Stellar Neighborhood)",IF(U12="FP","First Photons — light begins, system quickens",IF(U12="HP","Heliopause acquired",IF(U12="OR","Orbital Resonance — passive multiplier active",IF(AND(AO12=1,L12=0,AN12&lt;&gt;1),"Cohesion ready (waiting on completionist upgrades)","")))))</f>
        <v/>
      </c>
      <c r="AA12" s="27">
        <f>(IF(E12=0,0,(Upgrades!$G$6+E12*Upgrades!$H$6)*POWER(Upgrades!$I$6,E12)))*(IF(Upgrades!$T$7="Solar Wind",POWER(Upgrades!$U$7,F12),1)*IF(Upgrades!$T$8="Solar Wind",POWER(Upgrades!$U$8,G12),1)*IF(Upgrades!$T$9="Solar Wind",POWER(Upgrades!$U$9,H12),1)*IF(Upgrades!$T$10="Solar Wind",POWER(Upgrades!$U$10,I12),1)*IF(Upgrades!$T$11="Solar Wind",POWER(Upgrades!$U$11,J12),1)*IF(Upgrades!$T$12="Solar Wind",POWER(Upgrades!$U$12,K12),1))*POWER(Upgrades!$P$6,E12)*POWER(Upgrades!$P$7,F12)*POWER(Upgrades!$P$8,G12)*POWER(Upgrades!$P$9,H12)*POWER(Upgrades!$P$10,I12)*POWER(Upgrades!$P$11,J12)*POWER(Upgrades!$P$12,K12)*60</f>
        <v/>
      </c>
      <c r="AB12" s="27">
        <f>(IF(F12=0,0,(Upgrades!$G$7+F12*Upgrades!$H$7)*POWER(Upgrades!$I$7,F12)))*(IF(Upgrades!$T$6="Asteroid Belt",POWER(Upgrades!$U$6,E12),1)*IF(Upgrades!$T$8="Asteroid Belt",POWER(Upgrades!$U$8,G12),1)*IF(Upgrades!$T$9="Asteroid Belt",POWER(Upgrades!$U$9,H12),1)*IF(Upgrades!$T$10="Asteroid Belt",POWER(Upgrades!$U$10,I12),1)*IF(Upgrades!$T$11="Asteroid Belt",POWER(Upgrades!$U$11,J12),1)*IF(Upgrades!$T$12="Asteroid Belt",POWER(Upgrades!$U$12,K12),1))*POWER(Upgrades!$P$6,E12)*POWER(Upgrades!$P$7,F12)*POWER(Upgrades!$P$8,G12)*POWER(Upgrades!$P$9,H12)*POWER(Upgrades!$P$10,I12)*POWER(Upgrades!$P$11,J12)*POWER(Upgrades!$P$12,K12)*60</f>
        <v/>
      </c>
      <c r="AC12" s="27">
        <f>(IF(G12=0,0,(Upgrades!$J$8+G12*Upgrades!$K$8)*POWER(Upgrades!$L$8,G12)))*(IF(Upgrades!$T$6="Stellar Coupling",POWER(Upgrades!$U$6,E12),1)*IF(Upgrades!$T$7="Stellar Coupling",POWER(Upgrades!$U$7,F12),1)*IF(Upgrades!$T$9="Stellar Coupling",POWER(Upgrades!$U$9,H12),1)*IF(Upgrades!$T$10="Stellar Coupling",POWER(Upgrades!$U$10,I12),1)*IF(Upgrades!$T$11="Stellar Coupling",POWER(Upgrades!$U$11,J12),1)*IF(Upgrades!$T$12="Stellar Coupling",POWER(Upgrades!$U$12,K12),1))*POWER(Upgrades!$Q$6,E12)*POWER(Upgrades!$Q$7,F12)*POWER(Upgrades!$Q$8,G12)*POWER(Upgrades!$Q$9,H12)*POWER(Upgrades!$Q$10,I12)*POWER(Upgrades!$Q$11,J12)*POWER(Upgrades!$Q$12,K12)*Parameters!$B$10*Parameters!$B$11</f>
        <v/>
      </c>
      <c r="AD12" s="27">
        <f>(IF(H12=0,0,(Upgrades!$G$9+H12*Upgrades!$H$9)*POWER(Upgrades!$I$9,H12)))*(IF(Upgrades!$T$6="Magnetosphere",POWER(Upgrades!$U$6,E12),1)*IF(Upgrades!$T$7="Magnetosphere",POWER(Upgrades!$U$7,F12),1)*IF(Upgrades!$T$8="Magnetosphere",POWER(Upgrades!$U$8,G12),1)*IF(Upgrades!$T$10="Magnetosphere",POWER(Upgrades!$U$10,I12),1)*IF(Upgrades!$T$11="Magnetosphere",POWER(Upgrades!$U$11,J12),1)*IF(Upgrades!$T$12="Magnetosphere",POWER(Upgrades!$U$12,K12),1))*POWER(Upgrades!$P$6,E12)*POWER(Upgrades!$P$7,F12)*POWER(Upgrades!$P$8,G12)*POWER(Upgrades!$P$9,H12)*POWER(Upgrades!$P$10,I12)*POWER(Upgrades!$P$11,J12)*POWER(Upgrades!$P$12,K12)*60</f>
        <v/>
      </c>
      <c r="AE12" s="27">
        <f>(IF(K12=0,0,(Upgrades!$G$12+K12*Upgrades!$H$12)*POWER(Upgrades!$I$12,K12)))*(IF(Upgrades!$T$6="First Photons",POWER(Upgrades!$U$6,E12),1)*IF(Upgrades!$T$7="First Photons",POWER(Upgrades!$U$7,F12),1)*IF(Upgrades!$T$8="First Photons",POWER(Upgrades!$U$8,G12),1)*IF(Upgrades!$T$9="First Photons",POWER(Upgrades!$U$9,H12),1)*IF(Upgrades!$T$10="First Photons",POWER(Upgrades!$U$10,I12),1)*IF(Upgrades!$T$11="First Photons",POWER(Upgrades!$U$11,J12),1))*POWER(Upgrades!$P$6,E12)*POWER(Upgrades!$P$7,F12)*POWER(Upgrades!$P$8,G12)*POWER(Upgrades!$P$9,H12)*POWER(Upgrades!$P$10,I12)*POWER(Upgrades!$P$11,J12)*POWER(Upgrades!$P$12,K12)*60</f>
        <v/>
      </c>
      <c r="AF12" s="27">
        <f>Parameters!$B$9*POWER(Upgrades!$Q$6,E12)*POWER(Upgrades!$Q$7,F12)*POWER(Upgrades!$Q$8,G12)*POWER(Upgrades!$Q$9,H12)*POWER(Upgrades!$Q$10,I12)*POWER(Upgrades!$Q$11,J12)*POWER(Upgrades!$Q$12,K12)*(Parameters!$B$10*Parameters!$B$11+O12*60)</f>
        <v/>
      </c>
      <c r="AG12" s="22">
        <f>IF(E12&gt;=Upgrades!$E$6,"",Upgrades!$C$6*POWER(Upgrades!$D$6,E12))</f>
        <v/>
      </c>
      <c r="AH12" s="22">
        <f>IF(F12&gt;=Upgrades!$E$7,"",Upgrades!$C$7*POWER(Upgrades!$D$7,F12))</f>
        <v/>
      </c>
      <c r="AI12" s="22">
        <f>IF(G12&gt;=Upgrades!$E$8,"",Upgrades!$C$8*POWER(Upgrades!$D$8,G12))</f>
        <v/>
      </c>
      <c r="AJ12" s="22">
        <f>IF(H12&gt;=Upgrades!$E$9,"",Upgrades!$C$9*POWER(Upgrades!$D$9,H12))</f>
        <v/>
      </c>
      <c r="AK12" s="22">
        <f>IF(I12&gt;=Upgrades!$E$10,"",Upgrades!$C$10*POWER(Upgrades!$D$10,I12))</f>
        <v/>
      </c>
      <c r="AL12" s="22">
        <f>IF(J12&gt;=Upgrades!$E$11,"",Upgrades!$C$11*POWER(Upgrades!$D$11,J12))</f>
        <v/>
      </c>
      <c r="AM12" s="22">
        <f>IF(K12&gt;=Upgrades!$E$12,"",Upgrades!$C$12*POWER(Upgrades!$D$12,K12))</f>
        <v/>
      </c>
      <c r="AN12" s="26">
        <f>IF(AND(D12&gt;=Parameters!$B$18,(H12&gt;=Upgrades!$E$9)*(K12&gt;=Upgrades!$E$12)=1,L12=0),1,"")</f>
        <v/>
      </c>
      <c r="AO12" s="26">
        <f>IF(AND(D12&gt;=Parameters!$B$18,L12=0),1,"")</f>
        <v/>
      </c>
      <c r="AP12" s="22">
        <f>MIN(IF(ISNUMBER(AK12),AK12,9E15),IF(ISNUMBER(AL12),AL12,9E15),IF(ISNUMBER(AM12),AM12,9E15))</f>
        <v/>
      </c>
      <c r="AQ12" s="22">
        <f>MIN(IF(ISNUMBER(AG12),AG12,9E15),IF(ISNUMBER(AH12),AH12,9E15),IF(ISNUMBER(AI12),AI12,9E15),IF(ISNUMBER(AJ12),AJ12,9E15))</f>
        <v/>
      </c>
      <c r="AR12" s="29">
        <f>IF(AW12&gt;Parameters!$B$21*(MAX(IF(AND(NOT(AND(AO12=1,AN12&lt;&gt;1)),ISNUMBER(AG12),AG12&lt;=T12),AS12,0),IF(AND(NOT(AND(AO12=1,AN12&lt;&gt;1)),ISNUMBER(AH12),AH12&lt;=T12),AT12,0),IF(AND(NOT(AND(AO12=1,AN12&lt;&gt;1)),ISNUMBER(AI12),AI12&lt;=T12),AU12,0),IF(AND(ISNUMBER(AJ12),AJ12&lt;=T12),AV12,0))),TRUE,FALSE)</f>
        <v/>
      </c>
      <c r="AS12" s="32">
        <f>IFERROR(Upgrades!$H$6*(POWER(Upgrades!$P$6,E12)*POWER(Upgrades!$P$7,F12)*POWER(Upgrades!$P$8,G12)*POWER(Upgrades!$P$9,H12)*POWER(Upgrades!$P$10,I12)*POWER(Upgrades!$P$11,J12)*POWER(Upgrades!$P$12,K12))*(IF(Upgrades!$T$7="Solar Wind",POWER(Upgrades!$U$7,F12),1)*IF(Upgrades!$T$8="Solar Wind",POWER(Upgrades!$U$8,G12),1)*IF(Upgrades!$T$9="Solar Wind",POWER(Upgrades!$U$9,H12),1)*IF(Upgrades!$T$10="Solar Wind",POWER(Upgrades!$U$10,I12),1)*IF(Upgrades!$T$11="Solar Wind",POWER(Upgrades!$U$11,J12),1)*IF(Upgrades!$T$12="Solar Wind",POWER(Upgrades!$U$12,K12),1))/AG12,0)</f>
        <v/>
      </c>
      <c r="AT12" s="32">
        <f>IFERROR(Upgrades!$H$7*(POWER(Upgrades!$P$6,E12)*POWER(Upgrades!$P$7,F12)*POWER(Upgrades!$P$8,G12)*POWER(Upgrades!$P$9,H12)*POWER(Upgrades!$P$10,I12)*POWER(Upgrades!$P$11,J12)*POWER(Upgrades!$P$12,K12))*(IF(Upgrades!$T$6="Asteroid Belt",POWER(Upgrades!$U$6,E12),1)*IF(Upgrades!$T$8="Asteroid Belt",POWER(Upgrades!$U$8,G12),1)*IF(Upgrades!$T$9="Asteroid Belt",POWER(Upgrades!$U$9,H12),1)*IF(Upgrades!$T$10="Asteroid Belt",POWER(Upgrades!$U$10,I12),1)*IF(Upgrades!$T$11="Asteroid Belt",POWER(Upgrades!$U$11,J12),1)*IF(Upgrades!$T$12="Asteroid Belt",POWER(Upgrades!$U$12,K12),1))/AH12,0)</f>
        <v/>
      </c>
      <c r="AU12" s="32">
        <f>IFERROR(Upgrades!$K$8*(POWER(Upgrades!$Q$6,E12)*POWER(Upgrades!$Q$7,F12)*POWER(Upgrades!$Q$8,G12)*POWER(Upgrades!$Q$9,H12)*POWER(Upgrades!$Q$10,I12)*POWER(Upgrades!$Q$11,J12)*POWER(Upgrades!$Q$12,K12))*(IF(Upgrades!$T$6="Stellar Coupling",POWER(Upgrades!$U$6,E12),1)*IF(Upgrades!$T$7="Stellar Coupling",POWER(Upgrades!$U$7,F12),1)*IF(Upgrades!$T$9="Stellar Coupling",POWER(Upgrades!$U$9,H12),1)*IF(Upgrades!$T$10="Stellar Coupling",POWER(Upgrades!$U$10,I12),1)*IF(Upgrades!$T$11="Stellar Coupling",POWER(Upgrades!$U$11,J12),1)*IF(Upgrades!$T$12="Stellar Coupling",POWER(Upgrades!$U$12,K12),1))*Parameters!$B$10*Parameters!$B$11/60/AI12,0)</f>
        <v/>
      </c>
      <c r="AV12" s="32">
        <f>IFERROR(Upgrades!$H$9*(POWER(Upgrades!$P$6,E12)*POWER(Upgrades!$P$7,F12)*POWER(Upgrades!$P$8,G12)*POWER(Upgrades!$P$9,H12)*POWER(Upgrades!$P$10,I12)*POWER(Upgrades!$P$11,J12)*POWER(Upgrades!$P$12,K12))*(IF(Upgrades!$T$6="Magnetosphere",POWER(Upgrades!$U$6,E12),1)*IF(Upgrades!$T$7="Magnetosphere",POWER(Upgrades!$U$7,F12),1)*IF(Upgrades!$T$8="Magnetosphere",POWER(Upgrades!$U$8,G12),1)*IF(Upgrades!$T$10="Magnetosphere",POWER(Upgrades!$U$10,I12),1)*IF(Upgrades!$T$11="Magnetosphere",POWER(Upgrades!$U$11,J12),1)*IF(Upgrades!$T$12="Magnetosphere",POWER(Upgrades!$U$12,K12),1))/AJ12,0)</f>
        <v/>
      </c>
      <c r="AW12" s="32">
        <f>MAX(IF(I12&gt;0,0,IFERROR(0.25*N12/Upgrades!$C$10,0)),IF(J12&gt;0,0,IFERROR(0.5*((IF(G12=0,0,(Upgrades!$J$8+G12*Upgrades!$K$8)*POWER(Upgrades!$L$8,G12)))*(IF(Upgrades!$T$6="Stellar Coupling",POWER(Upgrades!$U$6,E12),1)*IF(Upgrades!$T$7="Stellar Coupling",POWER(Upgrades!$U$7,F12),1)*IF(Upgrades!$T$9="Stellar Coupling",POWER(Upgrades!$U$9,H12),1)*IF(Upgrades!$T$10="Stellar Coupling",POWER(Upgrades!$U$10,I12),1)*IF(Upgrades!$T$11="Stellar Coupling",POWER(Upgrades!$U$11,J12),1)*IF(Upgrades!$T$12="Stellar Coupling",POWER(Upgrades!$U$12,K12),1))*(POWER(Upgrades!$Q$6,E12)*POWER(Upgrades!$Q$7,F12)*POWER(Upgrades!$Q$8,G12)*POWER(Upgrades!$Q$9,H12)*POWER(Upgrades!$Q$10,I12)*POWER(Upgrades!$Q$11,J12)*POWER(Upgrades!$Q$12,K12))*Parameters!$B$10*Parameters!$B$11/60)/Upgrades!$C$11,0)),IF(K12&gt;0,0,IFERROR((1.0*(POWER(Upgrades!$P$6,E12)*POWER(Upgrades!$P$7,F12)*POWER(Upgrades!$P$8,G12)*POWER(Upgrades!$P$9,H12)*POWER(Upgrades!$P$10,I12)*POWER(Upgrades!$P$11,J12)*POWER(Upgrades!$P$12,K12))+0.20*M12*Parameters!$B$10*Parameters!$B$11/60)/Upgrades!$C$12,0)),IF(AND(ISNUMBER(AG12),AG12&gt;T12),AS12,0),IF(AND(ISNUMBER(AH12),AH12&gt;T12),AT12,0),IF(AND(ISNUMBER(AI12),AI12&gt;T12),AU12,0),IF(AND(ISNUMBER(AJ12),AJ12&gt;T12),AV12,0))</f>
        <v/>
      </c>
      <c r="AX12" s="29">
        <f>IF(AN12=1,"transition",IF(MIN(IF(AND(I12=0,ISNUMBER(AK12),AK12&lt;=T12),AK12,9E15),IF(AND(J12=0,ISNUMBER(AL12),AL12&lt;=T12),AL12,9E15),IF(AND(K12=0,ISNUMBER(AM12),AM12&lt;=T12),AM12,9E15))&lt;9E15,IF(AND(AND(I12=0,ISNUMBER(AK12),AK12&lt;=T12),AK12=MIN(IF(AND(I12=0,ISNUMBER(AK12),AK12&lt;=T12),AK12,9E15),IF(AND(J12=0,ISNUMBER(AL12),AL12&lt;=T12),AL12,9E15),IF(AND(K12=0,ISNUMBER(AM12),AM12&lt;=T12),AM12,9E15))),"OR",IF(AND(AND(J12=0,ISNUMBER(AL12),AL12&lt;=T12),AL12=MIN(IF(AND(I12=0,ISNUMBER(AK12),AK12&lt;=T12),AK12,9E15),IF(AND(J12=0,ISNUMBER(AL12),AL12&lt;=T12),AL12,9E15),IF(AND(K12=0,ISNUMBER(AM12),AM12&lt;=T12),AM12,9E15))),"HP","FP")),IF(AR12=TRUE,"",IF(MAX(IF(AND(NOT(AND(AO12=1,AN12&lt;&gt;1)),ISNUMBER(AG12),AG12&lt;=T12),AS12,0),IF(AND(NOT(AND(AO12=1,AN12&lt;&gt;1)),ISNUMBER(AH12),AH12&lt;=T12),AT12,0),IF(AND(NOT(AND(AO12=1,AN12&lt;&gt;1)),ISNUMBER(AI12),AI12&lt;=T12),AU12,0),IF(AND(ISNUMBER(AJ12),AJ12&lt;=T12),AV12,0))&lt;=0,"",IF(AND(IF(AND(NOT(AND(AO12=1,AN12&lt;&gt;1)),ISNUMBER(AG12),AG12&lt;=T12),AS12,0)&gt;0,IF(AND(NOT(AND(AO12=1,AN12&lt;&gt;1)),ISNUMBER(AG12),AG12&lt;=T12),AS12,0)=MAX(IF(AND(NOT(AND(AO12=1,AN12&lt;&gt;1)),ISNUMBER(AG12),AG12&lt;=T12),AS12,0),IF(AND(NOT(AND(AO12=1,AN12&lt;&gt;1)),ISNUMBER(AH12),AH12&lt;=T12),AT12,0),IF(AND(NOT(AND(AO12=1,AN12&lt;&gt;1)),ISNUMBER(AI12),AI12&lt;=T12),AU12,0),IF(AND(ISNUMBER(AJ12),AJ12&lt;=T12),AV12,0))),"SW",IF(AND(IF(AND(NOT(AND(AO12=1,AN12&lt;&gt;1)),ISNUMBER(AH12),AH12&lt;=T12),AT12,0)&gt;0,IF(AND(NOT(AND(AO12=1,AN12&lt;&gt;1)),ISNUMBER(AH12),AH12&lt;=T12),AT12,0)=MAX(IF(AND(NOT(AND(AO12=1,AN12&lt;&gt;1)),ISNUMBER(AG12),AG12&lt;=T12),AS12,0),IF(AND(NOT(AND(AO12=1,AN12&lt;&gt;1)),ISNUMBER(AH12),AH12&lt;=T12),AT12,0),IF(AND(NOT(AND(AO12=1,AN12&lt;&gt;1)),ISNUMBER(AI12),AI12&lt;=T12),AU12,0),IF(AND(ISNUMBER(AJ12),AJ12&lt;=T12),AV12,0))),"AB",IF(AND(IF(AND(NOT(AND(AO12=1,AN12&lt;&gt;1)),ISNUMBER(AI12),AI12&lt;=T12),AU12,0)&gt;0,IF(AND(NOT(AND(AO12=1,AN12&lt;&gt;1)),ISNUMBER(AI12),AI12&lt;=T12),AU12,0)=MAX(IF(AND(NOT(AND(AO12=1,AN12&lt;&gt;1)),ISNUMBER(AG12),AG12&lt;=T12),AS12,0),IF(AND(NOT(AND(AO12=1,AN12&lt;&gt;1)),ISNUMBER(AH12),AH12&lt;=T12),AT12,0),IF(AND(NOT(AND(AO12=1,AN12&lt;&gt;1)),ISNUMBER(AI12),AI12&lt;=T12),AU12,0),IF(AND(ISNUMBER(AJ12),AJ12&lt;=T12),AV12,0))),"SC","Mag")))))))</f>
        <v/>
      </c>
    </row>
    <row r="13">
      <c r="A13" s="26" t="n">
        <v>8</v>
      </c>
      <c r="B13" s="27">
        <f>A13*10/60</f>
        <v/>
      </c>
      <c r="C13" s="22">
        <f>X12</f>
        <v/>
      </c>
      <c r="D13" s="27">
        <f>D12+W12</f>
        <v/>
      </c>
      <c r="E13" s="26">
        <f>E12+IF(U12="SW",1,0)</f>
        <v/>
      </c>
      <c r="F13" s="26">
        <f>F12+IF(U12="AB",1,0)</f>
        <v/>
      </c>
      <c r="G13" s="26">
        <f>G12+IF(U12="SC",1,0)</f>
        <v/>
      </c>
      <c r="H13" s="26">
        <f>H12+IF(U12="Mag",1,0)</f>
        <v/>
      </c>
      <c r="I13" s="26">
        <f>MAX(I12,IF(U12="OR",1,0))</f>
        <v/>
      </c>
      <c r="J13" s="26">
        <f>MAX(J12,IF(U12="HP",1,0))</f>
        <v/>
      </c>
      <c r="K13" s="26">
        <f>MAX(K12,IF(U12="FP",1,0))</f>
        <v/>
      </c>
      <c r="L13" s="26">
        <f>MAX(L12,IF(U12="transition",1,0))</f>
        <v/>
      </c>
      <c r="M13" s="28">
        <f>(Parameters!$B$9+(IF(E13=0,0,(Upgrades!$J$6+E13*Upgrades!$K$6)*POWER(Upgrades!$L$6,E13)))*(IF(Upgrades!$T$7="Solar Wind",POWER(Upgrades!$U$7,F13),1)*IF(Upgrades!$T$8="Solar Wind",POWER(Upgrades!$U$8,G13),1)*IF(Upgrades!$T$9="Solar Wind",POWER(Upgrades!$U$9,H13),1)*IF(Upgrades!$T$10="Solar Wind",POWER(Upgrades!$U$10,I13),1)*IF(Upgrades!$T$11="Solar Wind",POWER(Upgrades!$U$11,J13),1)*IF(Upgrades!$T$12="Solar Wind",POWER(Upgrades!$U$12,K13),1))+(IF(F13=0,0,(Upgrades!$J$7+F13*Upgrades!$K$7)*POWER(Upgrades!$L$7,F13)))*(IF(Upgrades!$T$6="Asteroid Belt",POWER(Upgrades!$U$6,E13),1)*IF(Upgrades!$T$8="Asteroid Belt",POWER(Upgrades!$U$8,G13),1)*IF(Upgrades!$T$9="Asteroid Belt",POWER(Upgrades!$U$9,H13),1)*IF(Upgrades!$T$10="Asteroid Belt",POWER(Upgrades!$U$10,I13),1)*IF(Upgrades!$T$11="Asteroid Belt",POWER(Upgrades!$U$11,J13),1)*IF(Upgrades!$T$12="Asteroid Belt",POWER(Upgrades!$U$12,K13),1))+(IF(G13=0,0,(Upgrades!$J$8+G13*Upgrades!$K$8)*POWER(Upgrades!$L$8,G13)))*(IF(Upgrades!$T$6="Stellar Coupling",POWER(Upgrades!$U$6,E13),1)*IF(Upgrades!$T$7="Stellar Coupling",POWER(Upgrades!$U$7,F13),1)*IF(Upgrades!$T$9="Stellar Coupling",POWER(Upgrades!$U$9,H13),1)*IF(Upgrades!$T$10="Stellar Coupling",POWER(Upgrades!$U$10,I13),1)*IF(Upgrades!$T$11="Stellar Coupling",POWER(Upgrades!$U$11,J13),1)*IF(Upgrades!$T$12="Stellar Coupling",POWER(Upgrades!$U$12,K13),1))+(IF(H13=0,0,(Upgrades!$J$9+H13*Upgrades!$K$9)*POWER(Upgrades!$L$9,H13)))*(IF(Upgrades!$T$6="Magnetosphere",POWER(Upgrades!$U$6,E13),1)*IF(Upgrades!$T$7="Magnetosphere",POWER(Upgrades!$U$7,F13),1)*IF(Upgrades!$T$8="Magnetosphere",POWER(Upgrades!$U$8,G13),1)*IF(Upgrades!$T$10="Magnetosphere",POWER(Upgrades!$U$10,I13),1)*IF(Upgrades!$T$11="Magnetosphere",POWER(Upgrades!$U$11,J13),1)*IF(Upgrades!$T$12="Magnetosphere",POWER(Upgrades!$U$12,K13),1))+(IF(I13=0,0,(Upgrades!$J$10+I13*Upgrades!$K$10)*POWER(Upgrades!$L$10,I13)))*(IF(Upgrades!$T$6="Orbital Resonance",POWER(Upgrades!$U$6,E13),1)*IF(Upgrades!$T$7="Orbital Resonance",POWER(Upgrades!$U$7,F13),1)*IF(Upgrades!$T$8="Orbital Resonance",POWER(Upgrades!$U$8,G13),1)*IF(Upgrades!$T$9="Orbital Resonance",POWER(Upgrades!$U$9,H13),1)*IF(Upgrades!$T$11="Orbital Resonance",POWER(Upgrades!$U$11,J13),1)*IF(Upgrades!$T$12="Orbital Resonance",POWER(Upgrades!$U$12,K13),1))+(IF(J13=0,0,(Upgrades!$J$11+J13*Upgrades!$K$11)*POWER(Upgrades!$L$11,J13)))*(IF(Upgrades!$T$6="Heliopause",POWER(Upgrades!$U$6,E13),1)*IF(Upgrades!$T$7="Heliopause",POWER(Upgrades!$U$7,F13),1)*IF(Upgrades!$T$8="Heliopause",POWER(Upgrades!$U$8,G13),1)*IF(Upgrades!$T$9="Heliopause",POWER(Upgrades!$U$9,H13),1)*IF(Upgrades!$T$10="Heliopause",POWER(Upgrades!$U$10,I13),1)*IF(Upgrades!$T$12="Heliopause",POWER(Upgrades!$U$12,K13),1))+(IF(K13=0,0,(Upgrades!$J$12+K13*Upgrades!$K$12)*POWER(Upgrades!$L$12,K13)))*(IF(Upgrades!$T$6="First Photons",POWER(Upgrades!$U$6,E13),1)*IF(Upgrades!$T$7="First Photons",POWER(Upgrades!$U$7,F13),1)*IF(Upgrades!$T$8="First Photons",POWER(Upgrades!$U$8,G13),1)*IF(Upgrades!$T$9="First Photons",POWER(Upgrades!$U$9,H13),1)*IF(Upgrades!$T$10="First Photons",POWER(Upgrades!$U$10,I13),1)*IF(Upgrades!$T$11="First Photons",POWER(Upgrades!$U$11,J13),1)))*POWER(Upgrades!$Q$6,E13)*POWER(Upgrades!$Q$7,F13)*POWER(Upgrades!$Q$8,G13)*POWER(Upgrades!$Q$9,H13)*POWER(Upgrades!$Q$10,I13)*POWER(Upgrades!$Q$11,J13)*POWER(Upgrades!$Q$12,K13)</f>
        <v/>
      </c>
      <c r="N13" s="28">
        <f>((IF(E13=0,0,(Upgrades!$G$6+E13*Upgrades!$H$6)*POWER(Upgrades!$I$6,E13)))*(IF(Upgrades!$T$7="Solar Wind",POWER(Upgrades!$U$7,F13),1)*IF(Upgrades!$T$8="Solar Wind",POWER(Upgrades!$U$8,G13),1)*IF(Upgrades!$T$9="Solar Wind",POWER(Upgrades!$U$9,H13),1)*IF(Upgrades!$T$10="Solar Wind",POWER(Upgrades!$U$10,I13),1)*IF(Upgrades!$T$11="Solar Wind",POWER(Upgrades!$U$11,J13),1)*IF(Upgrades!$T$12="Solar Wind",POWER(Upgrades!$U$12,K13),1))+(IF(F13=0,0,(Upgrades!$G$7+F13*Upgrades!$H$7)*POWER(Upgrades!$I$7,F13)))*(IF(Upgrades!$T$6="Asteroid Belt",POWER(Upgrades!$U$6,E13),1)*IF(Upgrades!$T$8="Asteroid Belt",POWER(Upgrades!$U$8,G13),1)*IF(Upgrades!$T$9="Asteroid Belt",POWER(Upgrades!$U$9,H13),1)*IF(Upgrades!$T$10="Asteroid Belt",POWER(Upgrades!$U$10,I13),1)*IF(Upgrades!$T$11="Asteroid Belt",POWER(Upgrades!$U$11,J13),1)*IF(Upgrades!$T$12="Asteroid Belt",POWER(Upgrades!$U$12,K13),1))+(IF(G13=0,0,(Upgrades!$G$8+G13*Upgrades!$H$8)*POWER(Upgrades!$I$8,G13)))*(IF(Upgrades!$T$6="Stellar Coupling",POWER(Upgrades!$U$6,E13),1)*IF(Upgrades!$T$7="Stellar Coupling",POWER(Upgrades!$U$7,F13),1)*IF(Upgrades!$T$9="Stellar Coupling",POWER(Upgrades!$U$9,H13),1)*IF(Upgrades!$T$10="Stellar Coupling",POWER(Upgrades!$U$10,I13),1)*IF(Upgrades!$T$11="Stellar Coupling",POWER(Upgrades!$U$11,J13),1)*IF(Upgrades!$T$12="Stellar Coupling",POWER(Upgrades!$U$12,K13),1))+(IF(H13=0,0,(Upgrades!$G$9+H13*Upgrades!$H$9)*POWER(Upgrades!$I$9,H13)))*(IF(Upgrades!$T$6="Magnetosphere",POWER(Upgrades!$U$6,E13),1)*IF(Upgrades!$T$7="Magnetosphere",POWER(Upgrades!$U$7,F13),1)*IF(Upgrades!$T$8="Magnetosphere",POWER(Upgrades!$U$8,G13),1)*IF(Upgrades!$T$10="Magnetosphere",POWER(Upgrades!$U$10,I13),1)*IF(Upgrades!$T$11="Magnetosphere",POWER(Upgrades!$U$11,J13),1)*IF(Upgrades!$T$12="Magnetosphere",POWER(Upgrades!$U$12,K13),1))+(IF(I13=0,0,(Upgrades!$G$10+I13*Upgrades!$H$10)*POWER(Upgrades!$I$10,I13)))*(IF(Upgrades!$T$6="Orbital Resonance",POWER(Upgrades!$U$6,E13),1)*IF(Upgrades!$T$7="Orbital Resonance",POWER(Upgrades!$U$7,F13),1)*IF(Upgrades!$T$8="Orbital Resonance",POWER(Upgrades!$U$8,G13),1)*IF(Upgrades!$T$9="Orbital Resonance",POWER(Upgrades!$U$9,H13),1)*IF(Upgrades!$T$11="Orbital Resonance",POWER(Upgrades!$U$11,J13),1)*IF(Upgrades!$T$12="Orbital Resonance",POWER(Upgrades!$U$12,K13),1))+(IF(J13=0,0,(Upgrades!$G$11+J13*Upgrades!$H$11)*POWER(Upgrades!$I$11,J13)))*(IF(Upgrades!$T$6="Heliopause",POWER(Upgrades!$U$6,E13),1)*IF(Upgrades!$T$7="Heliopause",POWER(Upgrades!$U$7,F13),1)*IF(Upgrades!$T$8="Heliopause",POWER(Upgrades!$U$8,G13),1)*IF(Upgrades!$T$9="Heliopause",POWER(Upgrades!$U$9,H13),1)*IF(Upgrades!$T$10="Heliopause",POWER(Upgrades!$U$10,I13),1)*IF(Upgrades!$T$12="Heliopause",POWER(Upgrades!$U$12,K13),1))+(IF(K13=0,0,(Upgrades!$G$12+K13*Upgrades!$H$12)*POWER(Upgrades!$I$12,K13)))*(IF(Upgrades!$T$6="First Photons",POWER(Upgrades!$U$6,E13),1)*IF(Upgrades!$T$7="First Photons",POWER(Upgrades!$U$7,F13),1)*IF(Upgrades!$T$8="First Photons",POWER(Upgrades!$U$8,G13),1)*IF(Upgrades!$T$9="First Photons",POWER(Upgrades!$U$9,H13),1)*IF(Upgrades!$T$10="First Photons",POWER(Upgrades!$U$10,I13),1)*IF(Upgrades!$T$11="First Photons",POWER(Upgrades!$U$11,J13),1)))*POWER(Upgrades!$P$6,E13)*POWER(Upgrades!$P$7,F13)*POWER(Upgrades!$P$8,G13)*POWER(Upgrades!$P$9,H13)*POWER(Upgrades!$P$10,I13)*POWER(Upgrades!$P$11,J13)*POWER(Upgrades!$P$12,K13)</f>
        <v/>
      </c>
      <c r="O13" s="28">
        <f>((IF(E13=0,0,(Upgrades!$M$6+E13*Upgrades!$N$6)*POWER(Upgrades!$O$6,E13)))*(IF(Upgrades!$T$7="Solar Wind",POWER(Upgrades!$U$7,F13),1)*IF(Upgrades!$T$8="Solar Wind",POWER(Upgrades!$U$8,G13),1)*IF(Upgrades!$T$9="Solar Wind",POWER(Upgrades!$U$9,H13),1)*IF(Upgrades!$T$10="Solar Wind",POWER(Upgrades!$U$10,I13),1)*IF(Upgrades!$T$11="Solar Wind",POWER(Upgrades!$U$11,J13),1)*IF(Upgrades!$T$12="Solar Wind",POWER(Upgrades!$U$12,K13),1))+(IF(F13=0,0,(Upgrades!$M$7+F13*Upgrades!$N$7)*POWER(Upgrades!$O$7,F13)))*(IF(Upgrades!$T$6="Asteroid Belt",POWER(Upgrades!$U$6,E13),1)*IF(Upgrades!$T$8="Asteroid Belt",POWER(Upgrades!$U$8,G13),1)*IF(Upgrades!$T$9="Asteroid Belt",POWER(Upgrades!$U$9,H13),1)*IF(Upgrades!$T$10="Asteroid Belt",POWER(Upgrades!$U$10,I13),1)*IF(Upgrades!$T$11="Asteroid Belt",POWER(Upgrades!$U$11,J13),1)*IF(Upgrades!$T$12="Asteroid Belt",POWER(Upgrades!$U$12,K13),1))+(IF(G13=0,0,(Upgrades!$M$8+G13*Upgrades!$N$8)*POWER(Upgrades!$O$8,G13)))*(IF(Upgrades!$T$6="Stellar Coupling",POWER(Upgrades!$U$6,E13),1)*IF(Upgrades!$T$7="Stellar Coupling",POWER(Upgrades!$U$7,F13),1)*IF(Upgrades!$T$9="Stellar Coupling",POWER(Upgrades!$U$9,H13),1)*IF(Upgrades!$T$10="Stellar Coupling",POWER(Upgrades!$U$10,I13),1)*IF(Upgrades!$T$11="Stellar Coupling",POWER(Upgrades!$U$11,J13),1)*IF(Upgrades!$T$12="Stellar Coupling",POWER(Upgrades!$U$12,K13),1))+(IF(H13=0,0,(Upgrades!$M$9+H13*Upgrades!$N$9)*POWER(Upgrades!$O$9,H13)))*(IF(Upgrades!$T$6="Magnetosphere",POWER(Upgrades!$U$6,E13),1)*IF(Upgrades!$T$7="Magnetosphere",POWER(Upgrades!$U$7,F13),1)*IF(Upgrades!$T$8="Magnetosphere",POWER(Upgrades!$U$8,G13),1)*IF(Upgrades!$T$10="Magnetosphere",POWER(Upgrades!$U$10,I13),1)*IF(Upgrades!$T$11="Magnetosphere",POWER(Upgrades!$U$11,J13),1)*IF(Upgrades!$T$12="Magnetosphere",POWER(Upgrades!$U$12,K13),1))+(IF(I13=0,0,(Upgrades!$M$10+I13*Upgrades!$N$10)*POWER(Upgrades!$O$10,I13)))*(IF(Upgrades!$T$6="Orbital Resonance",POWER(Upgrades!$U$6,E13),1)*IF(Upgrades!$T$7="Orbital Resonance",POWER(Upgrades!$U$7,F13),1)*IF(Upgrades!$T$8="Orbital Resonance",POWER(Upgrades!$U$8,G13),1)*IF(Upgrades!$T$9="Orbital Resonance",POWER(Upgrades!$U$9,H13),1)*IF(Upgrades!$T$11="Orbital Resonance",POWER(Upgrades!$U$11,J13),1)*IF(Upgrades!$T$12="Orbital Resonance",POWER(Upgrades!$U$12,K13),1))+(IF(J13=0,0,(Upgrades!$M$11+J13*Upgrades!$N$11)*POWER(Upgrades!$O$11,J13)))*(IF(Upgrades!$T$6="Heliopause",POWER(Upgrades!$U$6,E13),1)*IF(Upgrades!$T$7="Heliopause",POWER(Upgrades!$U$7,F13),1)*IF(Upgrades!$T$8="Heliopause",POWER(Upgrades!$U$8,G13),1)*IF(Upgrades!$T$9="Heliopause",POWER(Upgrades!$U$9,H13),1)*IF(Upgrades!$T$10="Heliopause",POWER(Upgrades!$U$10,I13),1)*IF(Upgrades!$T$12="Heliopause",POWER(Upgrades!$U$12,K13),1))+(IF(K13=0,0,(Upgrades!$M$12+K13*Upgrades!$N$12)*POWER(Upgrades!$O$12,K13)))*(IF(Upgrades!$T$6="First Photons",POWER(Upgrades!$U$6,E13),1)*IF(Upgrades!$T$7="First Photons",POWER(Upgrades!$U$7,F13),1)*IF(Upgrades!$T$8="First Photons",POWER(Upgrades!$U$8,G13),1)*IF(Upgrades!$T$9="First Photons",POWER(Upgrades!$U$9,H13),1)*IF(Upgrades!$T$10="First Photons",POWER(Upgrades!$U$10,I13),1)*IF(Upgrades!$T$11="First Photons",POWER(Upgrades!$U$11,J13),1)))*POWER(Upgrades!$R$6,E13)*POWER(Upgrades!$R$7,F13)*POWER(Upgrades!$R$8,G13)*POWER(Upgrades!$R$9,H13)*POWER(Upgrades!$R$10,I13)*POWER(Upgrades!$R$11,J13)*POWER(Upgrades!$R$12,K13)</f>
        <v/>
      </c>
      <c r="P13" s="27">
        <f>IF(L13=1,0,M13*Parameters!$B$10/60*Parameters!$B$11*10)</f>
        <v/>
      </c>
      <c r="Q13" s="27">
        <f>IF(L13=1,0,O13*M13*10)</f>
        <v/>
      </c>
      <c r="R13" s="27">
        <f>IF(L13=1,0,N13*10)</f>
        <v/>
      </c>
      <c r="S13" s="27">
        <f>P13+Q13+R13</f>
        <v/>
      </c>
      <c r="T13" s="22">
        <f>C13+S13</f>
        <v/>
      </c>
      <c r="U13" s="33">
        <f>AX13</f>
        <v/>
      </c>
      <c r="V13" s="22">
        <f>IF(U13="",0,IF(U13="transition",0,IF(U13="SW",AG13,IF(U13="AB",AH13,IF(U13="SC",AI13,IF(U13="Mag",AJ13,IF(U13="OR",AK13,IF(U13="HP",AL13,IF(U13="FP",AM13,0)))))))))</f>
        <v/>
      </c>
      <c r="W13" s="27">
        <f>IF(U13="OR",Upgrades!$F$10,IF(U13="HP",Upgrades!$F$11,IF(U13="transition",-Parameters!$B$18,0)))</f>
        <v/>
      </c>
      <c r="X13" s="22">
        <f>T13-V13</f>
        <v/>
      </c>
      <c r="Y13" s="30">
        <f>M13*Parameters!$B$10/60*Parameters!$B$11+O13*M13+N13</f>
        <v/>
      </c>
      <c r="Z13" s="34">
        <f>IF(U13="transition","→ Tier 2 (Stellar Neighborhood)",IF(U13="FP","First Photons — light begins, system quickens",IF(U13="HP","Heliopause acquired",IF(U13="OR","Orbital Resonance — passive multiplier active",IF(AND(AO13=1,L13=0,AN13&lt;&gt;1),"Cohesion ready (waiting on completionist upgrades)","")))))</f>
        <v/>
      </c>
      <c r="AA13" s="27">
        <f>(IF(E13=0,0,(Upgrades!$G$6+E13*Upgrades!$H$6)*POWER(Upgrades!$I$6,E13)))*(IF(Upgrades!$T$7="Solar Wind",POWER(Upgrades!$U$7,F13),1)*IF(Upgrades!$T$8="Solar Wind",POWER(Upgrades!$U$8,G13),1)*IF(Upgrades!$T$9="Solar Wind",POWER(Upgrades!$U$9,H13),1)*IF(Upgrades!$T$10="Solar Wind",POWER(Upgrades!$U$10,I13),1)*IF(Upgrades!$T$11="Solar Wind",POWER(Upgrades!$U$11,J13),1)*IF(Upgrades!$T$12="Solar Wind",POWER(Upgrades!$U$12,K13),1))*POWER(Upgrades!$P$6,E13)*POWER(Upgrades!$P$7,F13)*POWER(Upgrades!$P$8,G13)*POWER(Upgrades!$P$9,H13)*POWER(Upgrades!$P$10,I13)*POWER(Upgrades!$P$11,J13)*POWER(Upgrades!$P$12,K13)*60</f>
        <v/>
      </c>
      <c r="AB13" s="27">
        <f>(IF(F13=0,0,(Upgrades!$G$7+F13*Upgrades!$H$7)*POWER(Upgrades!$I$7,F13)))*(IF(Upgrades!$T$6="Asteroid Belt",POWER(Upgrades!$U$6,E13),1)*IF(Upgrades!$T$8="Asteroid Belt",POWER(Upgrades!$U$8,G13),1)*IF(Upgrades!$T$9="Asteroid Belt",POWER(Upgrades!$U$9,H13),1)*IF(Upgrades!$T$10="Asteroid Belt",POWER(Upgrades!$U$10,I13),1)*IF(Upgrades!$T$11="Asteroid Belt",POWER(Upgrades!$U$11,J13),1)*IF(Upgrades!$T$12="Asteroid Belt",POWER(Upgrades!$U$12,K13),1))*POWER(Upgrades!$P$6,E13)*POWER(Upgrades!$P$7,F13)*POWER(Upgrades!$P$8,G13)*POWER(Upgrades!$P$9,H13)*POWER(Upgrades!$P$10,I13)*POWER(Upgrades!$P$11,J13)*POWER(Upgrades!$P$12,K13)*60</f>
        <v/>
      </c>
      <c r="AC13" s="27">
        <f>(IF(G13=0,0,(Upgrades!$J$8+G13*Upgrades!$K$8)*POWER(Upgrades!$L$8,G13)))*(IF(Upgrades!$T$6="Stellar Coupling",POWER(Upgrades!$U$6,E13),1)*IF(Upgrades!$T$7="Stellar Coupling",POWER(Upgrades!$U$7,F13),1)*IF(Upgrades!$T$9="Stellar Coupling",POWER(Upgrades!$U$9,H13),1)*IF(Upgrades!$T$10="Stellar Coupling",POWER(Upgrades!$U$10,I13),1)*IF(Upgrades!$T$11="Stellar Coupling",POWER(Upgrades!$U$11,J13),1)*IF(Upgrades!$T$12="Stellar Coupling",POWER(Upgrades!$U$12,K13),1))*POWER(Upgrades!$Q$6,E13)*POWER(Upgrades!$Q$7,F13)*POWER(Upgrades!$Q$8,G13)*POWER(Upgrades!$Q$9,H13)*POWER(Upgrades!$Q$10,I13)*POWER(Upgrades!$Q$11,J13)*POWER(Upgrades!$Q$12,K13)*Parameters!$B$10*Parameters!$B$11</f>
        <v/>
      </c>
      <c r="AD13" s="27">
        <f>(IF(H13=0,0,(Upgrades!$G$9+H13*Upgrades!$H$9)*POWER(Upgrades!$I$9,H13)))*(IF(Upgrades!$T$6="Magnetosphere",POWER(Upgrades!$U$6,E13),1)*IF(Upgrades!$T$7="Magnetosphere",POWER(Upgrades!$U$7,F13),1)*IF(Upgrades!$T$8="Magnetosphere",POWER(Upgrades!$U$8,G13),1)*IF(Upgrades!$T$10="Magnetosphere",POWER(Upgrades!$U$10,I13),1)*IF(Upgrades!$T$11="Magnetosphere",POWER(Upgrades!$U$11,J13),1)*IF(Upgrades!$T$12="Magnetosphere",POWER(Upgrades!$U$12,K13),1))*POWER(Upgrades!$P$6,E13)*POWER(Upgrades!$P$7,F13)*POWER(Upgrades!$P$8,G13)*POWER(Upgrades!$P$9,H13)*POWER(Upgrades!$P$10,I13)*POWER(Upgrades!$P$11,J13)*POWER(Upgrades!$P$12,K13)*60</f>
        <v/>
      </c>
      <c r="AE13" s="27">
        <f>(IF(K13=0,0,(Upgrades!$G$12+K13*Upgrades!$H$12)*POWER(Upgrades!$I$12,K13)))*(IF(Upgrades!$T$6="First Photons",POWER(Upgrades!$U$6,E13),1)*IF(Upgrades!$T$7="First Photons",POWER(Upgrades!$U$7,F13),1)*IF(Upgrades!$T$8="First Photons",POWER(Upgrades!$U$8,G13),1)*IF(Upgrades!$T$9="First Photons",POWER(Upgrades!$U$9,H13),1)*IF(Upgrades!$T$10="First Photons",POWER(Upgrades!$U$10,I13),1)*IF(Upgrades!$T$11="First Photons",POWER(Upgrades!$U$11,J13),1))*POWER(Upgrades!$P$6,E13)*POWER(Upgrades!$P$7,F13)*POWER(Upgrades!$P$8,G13)*POWER(Upgrades!$P$9,H13)*POWER(Upgrades!$P$10,I13)*POWER(Upgrades!$P$11,J13)*POWER(Upgrades!$P$12,K13)*60</f>
        <v/>
      </c>
      <c r="AF13" s="27">
        <f>Parameters!$B$9*POWER(Upgrades!$Q$6,E13)*POWER(Upgrades!$Q$7,F13)*POWER(Upgrades!$Q$8,G13)*POWER(Upgrades!$Q$9,H13)*POWER(Upgrades!$Q$10,I13)*POWER(Upgrades!$Q$11,J13)*POWER(Upgrades!$Q$12,K13)*(Parameters!$B$10*Parameters!$B$11+O13*60)</f>
        <v/>
      </c>
      <c r="AG13" s="22">
        <f>IF(E13&gt;=Upgrades!$E$6,"",Upgrades!$C$6*POWER(Upgrades!$D$6,E13))</f>
        <v/>
      </c>
      <c r="AH13" s="22">
        <f>IF(F13&gt;=Upgrades!$E$7,"",Upgrades!$C$7*POWER(Upgrades!$D$7,F13))</f>
        <v/>
      </c>
      <c r="AI13" s="22">
        <f>IF(G13&gt;=Upgrades!$E$8,"",Upgrades!$C$8*POWER(Upgrades!$D$8,G13))</f>
        <v/>
      </c>
      <c r="AJ13" s="22">
        <f>IF(H13&gt;=Upgrades!$E$9,"",Upgrades!$C$9*POWER(Upgrades!$D$9,H13))</f>
        <v/>
      </c>
      <c r="AK13" s="22">
        <f>IF(I13&gt;=Upgrades!$E$10,"",Upgrades!$C$10*POWER(Upgrades!$D$10,I13))</f>
        <v/>
      </c>
      <c r="AL13" s="22">
        <f>IF(J13&gt;=Upgrades!$E$11,"",Upgrades!$C$11*POWER(Upgrades!$D$11,J13))</f>
        <v/>
      </c>
      <c r="AM13" s="22">
        <f>IF(K13&gt;=Upgrades!$E$12,"",Upgrades!$C$12*POWER(Upgrades!$D$12,K13))</f>
        <v/>
      </c>
      <c r="AN13" s="26">
        <f>IF(AND(D13&gt;=Parameters!$B$18,(H13&gt;=Upgrades!$E$9)*(K13&gt;=Upgrades!$E$12)=1,L13=0),1,"")</f>
        <v/>
      </c>
      <c r="AO13" s="26">
        <f>IF(AND(D13&gt;=Parameters!$B$18,L13=0),1,"")</f>
        <v/>
      </c>
      <c r="AP13" s="22">
        <f>MIN(IF(ISNUMBER(AK13),AK13,9E15),IF(ISNUMBER(AL13),AL13,9E15),IF(ISNUMBER(AM13),AM13,9E15))</f>
        <v/>
      </c>
      <c r="AQ13" s="22">
        <f>MIN(IF(ISNUMBER(AG13),AG13,9E15),IF(ISNUMBER(AH13),AH13,9E15),IF(ISNUMBER(AI13),AI13,9E15),IF(ISNUMBER(AJ13),AJ13,9E15))</f>
        <v/>
      </c>
      <c r="AR13" s="29">
        <f>IF(AW13&gt;Parameters!$B$21*(MAX(IF(AND(NOT(AND(AO13=1,AN13&lt;&gt;1)),ISNUMBER(AG13),AG13&lt;=T13),AS13,0),IF(AND(NOT(AND(AO13=1,AN13&lt;&gt;1)),ISNUMBER(AH13),AH13&lt;=T13),AT13,0),IF(AND(NOT(AND(AO13=1,AN13&lt;&gt;1)),ISNUMBER(AI13),AI13&lt;=T13),AU13,0),IF(AND(ISNUMBER(AJ13),AJ13&lt;=T13),AV13,0))),TRUE,FALSE)</f>
        <v/>
      </c>
      <c r="AS13" s="32">
        <f>IFERROR(Upgrades!$H$6*(POWER(Upgrades!$P$6,E13)*POWER(Upgrades!$P$7,F13)*POWER(Upgrades!$P$8,G13)*POWER(Upgrades!$P$9,H13)*POWER(Upgrades!$P$10,I13)*POWER(Upgrades!$P$11,J13)*POWER(Upgrades!$P$12,K13))*(IF(Upgrades!$T$7="Solar Wind",POWER(Upgrades!$U$7,F13),1)*IF(Upgrades!$T$8="Solar Wind",POWER(Upgrades!$U$8,G13),1)*IF(Upgrades!$T$9="Solar Wind",POWER(Upgrades!$U$9,H13),1)*IF(Upgrades!$T$10="Solar Wind",POWER(Upgrades!$U$10,I13),1)*IF(Upgrades!$T$11="Solar Wind",POWER(Upgrades!$U$11,J13),1)*IF(Upgrades!$T$12="Solar Wind",POWER(Upgrades!$U$12,K13),1))/AG13,0)</f>
        <v/>
      </c>
      <c r="AT13" s="32">
        <f>IFERROR(Upgrades!$H$7*(POWER(Upgrades!$P$6,E13)*POWER(Upgrades!$P$7,F13)*POWER(Upgrades!$P$8,G13)*POWER(Upgrades!$P$9,H13)*POWER(Upgrades!$P$10,I13)*POWER(Upgrades!$P$11,J13)*POWER(Upgrades!$P$12,K13))*(IF(Upgrades!$T$6="Asteroid Belt",POWER(Upgrades!$U$6,E13),1)*IF(Upgrades!$T$8="Asteroid Belt",POWER(Upgrades!$U$8,G13),1)*IF(Upgrades!$T$9="Asteroid Belt",POWER(Upgrades!$U$9,H13),1)*IF(Upgrades!$T$10="Asteroid Belt",POWER(Upgrades!$U$10,I13),1)*IF(Upgrades!$T$11="Asteroid Belt",POWER(Upgrades!$U$11,J13),1)*IF(Upgrades!$T$12="Asteroid Belt",POWER(Upgrades!$U$12,K13),1))/AH13,0)</f>
        <v/>
      </c>
      <c r="AU13" s="32">
        <f>IFERROR(Upgrades!$K$8*(POWER(Upgrades!$Q$6,E13)*POWER(Upgrades!$Q$7,F13)*POWER(Upgrades!$Q$8,G13)*POWER(Upgrades!$Q$9,H13)*POWER(Upgrades!$Q$10,I13)*POWER(Upgrades!$Q$11,J13)*POWER(Upgrades!$Q$12,K13))*(IF(Upgrades!$T$6="Stellar Coupling",POWER(Upgrades!$U$6,E13),1)*IF(Upgrades!$T$7="Stellar Coupling",POWER(Upgrades!$U$7,F13),1)*IF(Upgrades!$T$9="Stellar Coupling",POWER(Upgrades!$U$9,H13),1)*IF(Upgrades!$T$10="Stellar Coupling",POWER(Upgrades!$U$10,I13),1)*IF(Upgrades!$T$11="Stellar Coupling",POWER(Upgrades!$U$11,J13),1)*IF(Upgrades!$T$12="Stellar Coupling",POWER(Upgrades!$U$12,K13),1))*Parameters!$B$10*Parameters!$B$11/60/AI13,0)</f>
        <v/>
      </c>
      <c r="AV13" s="32">
        <f>IFERROR(Upgrades!$H$9*(POWER(Upgrades!$P$6,E13)*POWER(Upgrades!$P$7,F13)*POWER(Upgrades!$P$8,G13)*POWER(Upgrades!$P$9,H13)*POWER(Upgrades!$P$10,I13)*POWER(Upgrades!$P$11,J13)*POWER(Upgrades!$P$12,K13))*(IF(Upgrades!$T$6="Magnetosphere",POWER(Upgrades!$U$6,E13),1)*IF(Upgrades!$T$7="Magnetosphere",POWER(Upgrades!$U$7,F13),1)*IF(Upgrades!$T$8="Magnetosphere",POWER(Upgrades!$U$8,G13),1)*IF(Upgrades!$T$10="Magnetosphere",POWER(Upgrades!$U$10,I13),1)*IF(Upgrades!$T$11="Magnetosphere",POWER(Upgrades!$U$11,J13),1)*IF(Upgrades!$T$12="Magnetosphere",POWER(Upgrades!$U$12,K13),1))/AJ13,0)</f>
        <v/>
      </c>
      <c r="AW13" s="32">
        <f>MAX(IF(I13&gt;0,0,IFERROR(0.25*N13/Upgrades!$C$10,0)),IF(J13&gt;0,0,IFERROR(0.5*((IF(G13=0,0,(Upgrades!$J$8+G13*Upgrades!$K$8)*POWER(Upgrades!$L$8,G13)))*(IF(Upgrades!$T$6="Stellar Coupling",POWER(Upgrades!$U$6,E13),1)*IF(Upgrades!$T$7="Stellar Coupling",POWER(Upgrades!$U$7,F13),1)*IF(Upgrades!$T$9="Stellar Coupling",POWER(Upgrades!$U$9,H13),1)*IF(Upgrades!$T$10="Stellar Coupling",POWER(Upgrades!$U$10,I13),1)*IF(Upgrades!$T$11="Stellar Coupling",POWER(Upgrades!$U$11,J13),1)*IF(Upgrades!$T$12="Stellar Coupling",POWER(Upgrades!$U$12,K13),1))*(POWER(Upgrades!$Q$6,E13)*POWER(Upgrades!$Q$7,F13)*POWER(Upgrades!$Q$8,G13)*POWER(Upgrades!$Q$9,H13)*POWER(Upgrades!$Q$10,I13)*POWER(Upgrades!$Q$11,J13)*POWER(Upgrades!$Q$12,K13))*Parameters!$B$10*Parameters!$B$11/60)/Upgrades!$C$11,0)),IF(K13&gt;0,0,IFERROR((1.0*(POWER(Upgrades!$P$6,E13)*POWER(Upgrades!$P$7,F13)*POWER(Upgrades!$P$8,G13)*POWER(Upgrades!$P$9,H13)*POWER(Upgrades!$P$10,I13)*POWER(Upgrades!$P$11,J13)*POWER(Upgrades!$P$12,K13))+0.20*M13*Parameters!$B$10*Parameters!$B$11/60)/Upgrades!$C$12,0)),IF(AND(ISNUMBER(AG13),AG13&gt;T13),AS13,0),IF(AND(ISNUMBER(AH13),AH13&gt;T13),AT13,0),IF(AND(ISNUMBER(AI13),AI13&gt;T13),AU13,0),IF(AND(ISNUMBER(AJ13),AJ13&gt;T13),AV13,0))</f>
        <v/>
      </c>
      <c r="AX13" s="29">
        <f>IF(AN13=1,"transition",IF(MIN(IF(AND(I13=0,ISNUMBER(AK13),AK13&lt;=T13),AK13,9E15),IF(AND(J13=0,ISNUMBER(AL13),AL13&lt;=T13),AL13,9E15),IF(AND(K13=0,ISNUMBER(AM13),AM13&lt;=T13),AM13,9E15))&lt;9E15,IF(AND(AND(I13=0,ISNUMBER(AK13),AK13&lt;=T13),AK13=MIN(IF(AND(I13=0,ISNUMBER(AK13),AK13&lt;=T13),AK13,9E15),IF(AND(J13=0,ISNUMBER(AL13),AL13&lt;=T13),AL13,9E15),IF(AND(K13=0,ISNUMBER(AM13),AM13&lt;=T13),AM13,9E15))),"OR",IF(AND(AND(J13=0,ISNUMBER(AL13),AL13&lt;=T13),AL13=MIN(IF(AND(I13=0,ISNUMBER(AK13),AK13&lt;=T13),AK13,9E15),IF(AND(J13=0,ISNUMBER(AL13),AL13&lt;=T13),AL13,9E15),IF(AND(K13=0,ISNUMBER(AM13),AM13&lt;=T13),AM13,9E15))),"HP","FP")),IF(AR13=TRUE,"",IF(MAX(IF(AND(NOT(AND(AO13=1,AN13&lt;&gt;1)),ISNUMBER(AG13),AG13&lt;=T13),AS13,0),IF(AND(NOT(AND(AO13=1,AN13&lt;&gt;1)),ISNUMBER(AH13),AH13&lt;=T13),AT13,0),IF(AND(NOT(AND(AO13=1,AN13&lt;&gt;1)),ISNUMBER(AI13),AI13&lt;=T13),AU13,0),IF(AND(ISNUMBER(AJ13),AJ13&lt;=T13),AV13,0))&lt;=0,"",IF(AND(IF(AND(NOT(AND(AO13=1,AN13&lt;&gt;1)),ISNUMBER(AG13),AG13&lt;=T13),AS13,0)&gt;0,IF(AND(NOT(AND(AO13=1,AN13&lt;&gt;1)),ISNUMBER(AG13),AG13&lt;=T13),AS13,0)=MAX(IF(AND(NOT(AND(AO13=1,AN13&lt;&gt;1)),ISNUMBER(AG13),AG13&lt;=T13),AS13,0),IF(AND(NOT(AND(AO13=1,AN13&lt;&gt;1)),ISNUMBER(AH13),AH13&lt;=T13),AT13,0),IF(AND(NOT(AND(AO13=1,AN13&lt;&gt;1)),ISNUMBER(AI13),AI13&lt;=T13),AU13,0),IF(AND(ISNUMBER(AJ13),AJ13&lt;=T13),AV13,0))),"SW",IF(AND(IF(AND(NOT(AND(AO13=1,AN13&lt;&gt;1)),ISNUMBER(AH13),AH13&lt;=T13),AT13,0)&gt;0,IF(AND(NOT(AND(AO13=1,AN13&lt;&gt;1)),ISNUMBER(AH13),AH13&lt;=T13),AT13,0)=MAX(IF(AND(NOT(AND(AO13=1,AN13&lt;&gt;1)),ISNUMBER(AG13),AG13&lt;=T13),AS13,0),IF(AND(NOT(AND(AO13=1,AN13&lt;&gt;1)),ISNUMBER(AH13),AH13&lt;=T13),AT13,0),IF(AND(NOT(AND(AO13=1,AN13&lt;&gt;1)),ISNUMBER(AI13),AI13&lt;=T13),AU13,0),IF(AND(ISNUMBER(AJ13),AJ13&lt;=T13),AV13,0))),"AB",IF(AND(IF(AND(NOT(AND(AO13=1,AN13&lt;&gt;1)),ISNUMBER(AI13),AI13&lt;=T13),AU13,0)&gt;0,IF(AND(NOT(AND(AO13=1,AN13&lt;&gt;1)),ISNUMBER(AI13),AI13&lt;=T13),AU13,0)=MAX(IF(AND(NOT(AND(AO13=1,AN13&lt;&gt;1)),ISNUMBER(AG13),AG13&lt;=T13),AS13,0),IF(AND(NOT(AND(AO13=1,AN13&lt;&gt;1)),ISNUMBER(AH13),AH13&lt;=T13),AT13,0),IF(AND(NOT(AND(AO13=1,AN13&lt;&gt;1)),ISNUMBER(AI13),AI13&lt;=T13),AU13,0),IF(AND(ISNUMBER(AJ13),AJ13&lt;=T13),AV13,0))),"SC","Mag")))))))</f>
        <v/>
      </c>
    </row>
    <row r="14">
      <c r="A14" s="26" t="n">
        <v>9</v>
      </c>
      <c r="B14" s="27">
        <f>A14*10/60</f>
        <v/>
      </c>
      <c r="C14" s="22">
        <f>X13</f>
        <v/>
      </c>
      <c r="D14" s="27">
        <f>D13+W13</f>
        <v/>
      </c>
      <c r="E14" s="26">
        <f>E13+IF(U13="SW",1,0)</f>
        <v/>
      </c>
      <c r="F14" s="26">
        <f>F13+IF(U13="AB",1,0)</f>
        <v/>
      </c>
      <c r="G14" s="26">
        <f>G13+IF(U13="SC",1,0)</f>
        <v/>
      </c>
      <c r="H14" s="26">
        <f>H13+IF(U13="Mag",1,0)</f>
        <v/>
      </c>
      <c r="I14" s="26">
        <f>MAX(I13,IF(U13="OR",1,0))</f>
        <v/>
      </c>
      <c r="J14" s="26">
        <f>MAX(J13,IF(U13="HP",1,0))</f>
        <v/>
      </c>
      <c r="K14" s="26">
        <f>MAX(K13,IF(U13="FP",1,0))</f>
        <v/>
      </c>
      <c r="L14" s="26">
        <f>MAX(L13,IF(U13="transition",1,0))</f>
        <v/>
      </c>
      <c r="M14" s="28">
        <f>(Parameters!$B$9+(IF(E14=0,0,(Upgrades!$J$6+E14*Upgrades!$K$6)*POWER(Upgrades!$L$6,E14)))*(IF(Upgrades!$T$7="Solar Wind",POWER(Upgrades!$U$7,F14),1)*IF(Upgrades!$T$8="Solar Wind",POWER(Upgrades!$U$8,G14),1)*IF(Upgrades!$T$9="Solar Wind",POWER(Upgrades!$U$9,H14),1)*IF(Upgrades!$T$10="Solar Wind",POWER(Upgrades!$U$10,I14),1)*IF(Upgrades!$T$11="Solar Wind",POWER(Upgrades!$U$11,J14),1)*IF(Upgrades!$T$12="Solar Wind",POWER(Upgrades!$U$12,K14),1))+(IF(F14=0,0,(Upgrades!$J$7+F14*Upgrades!$K$7)*POWER(Upgrades!$L$7,F14)))*(IF(Upgrades!$T$6="Asteroid Belt",POWER(Upgrades!$U$6,E14),1)*IF(Upgrades!$T$8="Asteroid Belt",POWER(Upgrades!$U$8,G14),1)*IF(Upgrades!$T$9="Asteroid Belt",POWER(Upgrades!$U$9,H14),1)*IF(Upgrades!$T$10="Asteroid Belt",POWER(Upgrades!$U$10,I14),1)*IF(Upgrades!$T$11="Asteroid Belt",POWER(Upgrades!$U$11,J14),1)*IF(Upgrades!$T$12="Asteroid Belt",POWER(Upgrades!$U$12,K14),1))+(IF(G14=0,0,(Upgrades!$J$8+G14*Upgrades!$K$8)*POWER(Upgrades!$L$8,G14)))*(IF(Upgrades!$T$6="Stellar Coupling",POWER(Upgrades!$U$6,E14),1)*IF(Upgrades!$T$7="Stellar Coupling",POWER(Upgrades!$U$7,F14),1)*IF(Upgrades!$T$9="Stellar Coupling",POWER(Upgrades!$U$9,H14),1)*IF(Upgrades!$T$10="Stellar Coupling",POWER(Upgrades!$U$10,I14),1)*IF(Upgrades!$T$11="Stellar Coupling",POWER(Upgrades!$U$11,J14),1)*IF(Upgrades!$T$12="Stellar Coupling",POWER(Upgrades!$U$12,K14),1))+(IF(H14=0,0,(Upgrades!$J$9+H14*Upgrades!$K$9)*POWER(Upgrades!$L$9,H14)))*(IF(Upgrades!$T$6="Magnetosphere",POWER(Upgrades!$U$6,E14),1)*IF(Upgrades!$T$7="Magnetosphere",POWER(Upgrades!$U$7,F14),1)*IF(Upgrades!$T$8="Magnetosphere",POWER(Upgrades!$U$8,G14),1)*IF(Upgrades!$T$10="Magnetosphere",POWER(Upgrades!$U$10,I14),1)*IF(Upgrades!$T$11="Magnetosphere",POWER(Upgrades!$U$11,J14),1)*IF(Upgrades!$T$12="Magnetosphere",POWER(Upgrades!$U$12,K14),1))+(IF(I14=0,0,(Upgrades!$J$10+I14*Upgrades!$K$10)*POWER(Upgrades!$L$10,I14)))*(IF(Upgrades!$T$6="Orbital Resonance",POWER(Upgrades!$U$6,E14),1)*IF(Upgrades!$T$7="Orbital Resonance",POWER(Upgrades!$U$7,F14),1)*IF(Upgrades!$T$8="Orbital Resonance",POWER(Upgrades!$U$8,G14),1)*IF(Upgrades!$T$9="Orbital Resonance",POWER(Upgrades!$U$9,H14),1)*IF(Upgrades!$T$11="Orbital Resonance",POWER(Upgrades!$U$11,J14),1)*IF(Upgrades!$T$12="Orbital Resonance",POWER(Upgrades!$U$12,K14),1))+(IF(J14=0,0,(Upgrades!$J$11+J14*Upgrades!$K$11)*POWER(Upgrades!$L$11,J14)))*(IF(Upgrades!$T$6="Heliopause",POWER(Upgrades!$U$6,E14),1)*IF(Upgrades!$T$7="Heliopause",POWER(Upgrades!$U$7,F14),1)*IF(Upgrades!$T$8="Heliopause",POWER(Upgrades!$U$8,G14),1)*IF(Upgrades!$T$9="Heliopause",POWER(Upgrades!$U$9,H14),1)*IF(Upgrades!$T$10="Heliopause",POWER(Upgrades!$U$10,I14),1)*IF(Upgrades!$T$12="Heliopause",POWER(Upgrades!$U$12,K14),1))+(IF(K14=0,0,(Upgrades!$J$12+K14*Upgrades!$K$12)*POWER(Upgrades!$L$12,K14)))*(IF(Upgrades!$T$6="First Photons",POWER(Upgrades!$U$6,E14),1)*IF(Upgrades!$T$7="First Photons",POWER(Upgrades!$U$7,F14),1)*IF(Upgrades!$T$8="First Photons",POWER(Upgrades!$U$8,G14),1)*IF(Upgrades!$T$9="First Photons",POWER(Upgrades!$U$9,H14),1)*IF(Upgrades!$T$10="First Photons",POWER(Upgrades!$U$10,I14),1)*IF(Upgrades!$T$11="First Photons",POWER(Upgrades!$U$11,J14),1)))*POWER(Upgrades!$Q$6,E14)*POWER(Upgrades!$Q$7,F14)*POWER(Upgrades!$Q$8,G14)*POWER(Upgrades!$Q$9,H14)*POWER(Upgrades!$Q$10,I14)*POWER(Upgrades!$Q$11,J14)*POWER(Upgrades!$Q$12,K14)</f>
        <v/>
      </c>
      <c r="N14" s="28">
        <f>((IF(E14=0,0,(Upgrades!$G$6+E14*Upgrades!$H$6)*POWER(Upgrades!$I$6,E14)))*(IF(Upgrades!$T$7="Solar Wind",POWER(Upgrades!$U$7,F14),1)*IF(Upgrades!$T$8="Solar Wind",POWER(Upgrades!$U$8,G14),1)*IF(Upgrades!$T$9="Solar Wind",POWER(Upgrades!$U$9,H14),1)*IF(Upgrades!$T$10="Solar Wind",POWER(Upgrades!$U$10,I14),1)*IF(Upgrades!$T$11="Solar Wind",POWER(Upgrades!$U$11,J14),1)*IF(Upgrades!$T$12="Solar Wind",POWER(Upgrades!$U$12,K14),1))+(IF(F14=0,0,(Upgrades!$G$7+F14*Upgrades!$H$7)*POWER(Upgrades!$I$7,F14)))*(IF(Upgrades!$T$6="Asteroid Belt",POWER(Upgrades!$U$6,E14),1)*IF(Upgrades!$T$8="Asteroid Belt",POWER(Upgrades!$U$8,G14),1)*IF(Upgrades!$T$9="Asteroid Belt",POWER(Upgrades!$U$9,H14),1)*IF(Upgrades!$T$10="Asteroid Belt",POWER(Upgrades!$U$10,I14),1)*IF(Upgrades!$T$11="Asteroid Belt",POWER(Upgrades!$U$11,J14),1)*IF(Upgrades!$T$12="Asteroid Belt",POWER(Upgrades!$U$12,K14),1))+(IF(G14=0,0,(Upgrades!$G$8+G14*Upgrades!$H$8)*POWER(Upgrades!$I$8,G14)))*(IF(Upgrades!$T$6="Stellar Coupling",POWER(Upgrades!$U$6,E14),1)*IF(Upgrades!$T$7="Stellar Coupling",POWER(Upgrades!$U$7,F14),1)*IF(Upgrades!$T$9="Stellar Coupling",POWER(Upgrades!$U$9,H14),1)*IF(Upgrades!$T$10="Stellar Coupling",POWER(Upgrades!$U$10,I14),1)*IF(Upgrades!$T$11="Stellar Coupling",POWER(Upgrades!$U$11,J14),1)*IF(Upgrades!$T$12="Stellar Coupling",POWER(Upgrades!$U$12,K14),1))+(IF(H14=0,0,(Upgrades!$G$9+H14*Upgrades!$H$9)*POWER(Upgrades!$I$9,H14)))*(IF(Upgrades!$T$6="Magnetosphere",POWER(Upgrades!$U$6,E14),1)*IF(Upgrades!$T$7="Magnetosphere",POWER(Upgrades!$U$7,F14),1)*IF(Upgrades!$T$8="Magnetosphere",POWER(Upgrades!$U$8,G14),1)*IF(Upgrades!$T$10="Magnetosphere",POWER(Upgrades!$U$10,I14),1)*IF(Upgrades!$T$11="Magnetosphere",POWER(Upgrades!$U$11,J14),1)*IF(Upgrades!$T$12="Magnetosphere",POWER(Upgrades!$U$12,K14),1))+(IF(I14=0,0,(Upgrades!$G$10+I14*Upgrades!$H$10)*POWER(Upgrades!$I$10,I14)))*(IF(Upgrades!$T$6="Orbital Resonance",POWER(Upgrades!$U$6,E14),1)*IF(Upgrades!$T$7="Orbital Resonance",POWER(Upgrades!$U$7,F14),1)*IF(Upgrades!$T$8="Orbital Resonance",POWER(Upgrades!$U$8,G14),1)*IF(Upgrades!$T$9="Orbital Resonance",POWER(Upgrades!$U$9,H14),1)*IF(Upgrades!$T$11="Orbital Resonance",POWER(Upgrades!$U$11,J14),1)*IF(Upgrades!$T$12="Orbital Resonance",POWER(Upgrades!$U$12,K14),1))+(IF(J14=0,0,(Upgrades!$G$11+J14*Upgrades!$H$11)*POWER(Upgrades!$I$11,J14)))*(IF(Upgrades!$T$6="Heliopause",POWER(Upgrades!$U$6,E14),1)*IF(Upgrades!$T$7="Heliopause",POWER(Upgrades!$U$7,F14),1)*IF(Upgrades!$T$8="Heliopause",POWER(Upgrades!$U$8,G14),1)*IF(Upgrades!$T$9="Heliopause",POWER(Upgrades!$U$9,H14),1)*IF(Upgrades!$T$10="Heliopause",POWER(Upgrades!$U$10,I14),1)*IF(Upgrades!$T$12="Heliopause",POWER(Upgrades!$U$12,K14),1))+(IF(K14=0,0,(Upgrades!$G$12+K14*Upgrades!$H$12)*POWER(Upgrades!$I$12,K14)))*(IF(Upgrades!$T$6="First Photons",POWER(Upgrades!$U$6,E14),1)*IF(Upgrades!$T$7="First Photons",POWER(Upgrades!$U$7,F14),1)*IF(Upgrades!$T$8="First Photons",POWER(Upgrades!$U$8,G14),1)*IF(Upgrades!$T$9="First Photons",POWER(Upgrades!$U$9,H14),1)*IF(Upgrades!$T$10="First Photons",POWER(Upgrades!$U$10,I14),1)*IF(Upgrades!$T$11="First Photons",POWER(Upgrades!$U$11,J14),1)))*POWER(Upgrades!$P$6,E14)*POWER(Upgrades!$P$7,F14)*POWER(Upgrades!$P$8,G14)*POWER(Upgrades!$P$9,H14)*POWER(Upgrades!$P$10,I14)*POWER(Upgrades!$P$11,J14)*POWER(Upgrades!$P$12,K14)</f>
        <v/>
      </c>
      <c r="O14" s="28">
        <f>((IF(E14=0,0,(Upgrades!$M$6+E14*Upgrades!$N$6)*POWER(Upgrades!$O$6,E14)))*(IF(Upgrades!$T$7="Solar Wind",POWER(Upgrades!$U$7,F14),1)*IF(Upgrades!$T$8="Solar Wind",POWER(Upgrades!$U$8,G14),1)*IF(Upgrades!$T$9="Solar Wind",POWER(Upgrades!$U$9,H14),1)*IF(Upgrades!$T$10="Solar Wind",POWER(Upgrades!$U$10,I14),1)*IF(Upgrades!$T$11="Solar Wind",POWER(Upgrades!$U$11,J14),1)*IF(Upgrades!$T$12="Solar Wind",POWER(Upgrades!$U$12,K14),1))+(IF(F14=0,0,(Upgrades!$M$7+F14*Upgrades!$N$7)*POWER(Upgrades!$O$7,F14)))*(IF(Upgrades!$T$6="Asteroid Belt",POWER(Upgrades!$U$6,E14),1)*IF(Upgrades!$T$8="Asteroid Belt",POWER(Upgrades!$U$8,G14),1)*IF(Upgrades!$T$9="Asteroid Belt",POWER(Upgrades!$U$9,H14),1)*IF(Upgrades!$T$10="Asteroid Belt",POWER(Upgrades!$U$10,I14),1)*IF(Upgrades!$T$11="Asteroid Belt",POWER(Upgrades!$U$11,J14),1)*IF(Upgrades!$T$12="Asteroid Belt",POWER(Upgrades!$U$12,K14),1))+(IF(G14=0,0,(Upgrades!$M$8+G14*Upgrades!$N$8)*POWER(Upgrades!$O$8,G14)))*(IF(Upgrades!$T$6="Stellar Coupling",POWER(Upgrades!$U$6,E14),1)*IF(Upgrades!$T$7="Stellar Coupling",POWER(Upgrades!$U$7,F14),1)*IF(Upgrades!$T$9="Stellar Coupling",POWER(Upgrades!$U$9,H14),1)*IF(Upgrades!$T$10="Stellar Coupling",POWER(Upgrades!$U$10,I14),1)*IF(Upgrades!$T$11="Stellar Coupling",POWER(Upgrades!$U$11,J14),1)*IF(Upgrades!$T$12="Stellar Coupling",POWER(Upgrades!$U$12,K14),1))+(IF(H14=0,0,(Upgrades!$M$9+H14*Upgrades!$N$9)*POWER(Upgrades!$O$9,H14)))*(IF(Upgrades!$T$6="Magnetosphere",POWER(Upgrades!$U$6,E14),1)*IF(Upgrades!$T$7="Magnetosphere",POWER(Upgrades!$U$7,F14),1)*IF(Upgrades!$T$8="Magnetosphere",POWER(Upgrades!$U$8,G14),1)*IF(Upgrades!$T$10="Magnetosphere",POWER(Upgrades!$U$10,I14),1)*IF(Upgrades!$T$11="Magnetosphere",POWER(Upgrades!$U$11,J14),1)*IF(Upgrades!$T$12="Magnetosphere",POWER(Upgrades!$U$12,K14),1))+(IF(I14=0,0,(Upgrades!$M$10+I14*Upgrades!$N$10)*POWER(Upgrades!$O$10,I14)))*(IF(Upgrades!$T$6="Orbital Resonance",POWER(Upgrades!$U$6,E14),1)*IF(Upgrades!$T$7="Orbital Resonance",POWER(Upgrades!$U$7,F14),1)*IF(Upgrades!$T$8="Orbital Resonance",POWER(Upgrades!$U$8,G14),1)*IF(Upgrades!$T$9="Orbital Resonance",POWER(Upgrades!$U$9,H14),1)*IF(Upgrades!$T$11="Orbital Resonance",POWER(Upgrades!$U$11,J14),1)*IF(Upgrades!$T$12="Orbital Resonance",POWER(Upgrades!$U$12,K14),1))+(IF(J14=0,0,(Upgrades!$M$11+J14*Upgrades!$N$11)*POWER(Upgrades!$O$11,J14)))*(IF(Upgrades!$T$6="Heliopause",POWER(Upgrades!$U$6,E14),1)*IF(Upgrades!$T$7="Heliopause",POWER(Upgrades!$U$7,F14),1)*IF(Upgrades!$T$8="Heliopause",POWER(Upgrades!$U$8,G14),1)*IF(Upgrades!$T$9="Heliopause",POWER(Upgrades!$U$9,H14),1)*IF(Upgrades!$T$10="Heliopause",POWER(Upgrades!$U$10,I14),1)*IF(Upgrades!$T$12="Heliopause",POWER(Upgrades!$U$12,K14),1))+(IF(K14=0,0,(Upgrades!$M$12+K14*Upgrades!$N$12)*POWER(Upgrades!$O$12,K14)))*(IF(Upgrades!$T$6="First Photons",POWER(Upgrades!$U$6,E14),1)*IF(Upgrades!$T$7="First Photons",POWER(Upgrades!$U$7,F14),1)*IF(Upgrades!$T$8="First Photons",POWER(Upgrades!$U$8,G14),1)*IF(Upgrades!$T$9="First Photons",POWER(Upgrades!$U$9,H14),1)*IF(Upgrades!$T$10="First Photons",POWER(Upgrades!$U$10,I14),1)*IF(Upgrades!$T$11="First Photons",POWER(Upgrades!$U$11,J14),1)))*POWER(Upgrades!$R$6,E14)*POWER(Upgrades!$R$7,F14)*POWER(Upgrades!$R$8,G14)*POWER(Upgrades!$R$9,H14)*POWER(Upgrades!$R$10,I14)*POWER(Upgrades!$R$11,J14)*POWER(Upgrades!$R$12,K14)</f>
        <v/>
      </c>
      <c r="P14" s="27">
        <f>IF(L14=1,0,M14*Parameters!$B$10/60*Parameters!$B$11*10)</f>
        <v/>
      </c>
      <c r="Q14" s="27">
        <f>IF(L14=1,0,O14*M14*10)</f>
        <v/>
      </c>
      <c r="R14" s="27">
        <f>IF(L14=1,0,N14*10)</f>
        <v/>
      </c>
      <c r="S14" s="27">
        <f>P14+Q14+R14</f>
        <v/>
      </c>
      <c r="T14" s="22">
        <f>C14+S14</f>
        <v/>
      </c>
      <c r="U14" s="33">
        <f>AX14</f>
        <v/>
      </c>
      <c r="V14" s="22">
        <f>IF(U14="",0,IF(U14="transition",0,IF(U14="SW",AG14,IF(U14="AB",AH14,IF(U14="SC",AI14,IF(U14="Mag",AJ14,IF(U14="OR",AK14,IF(U14="HP",AL14,IF(U14="FP",AM14,0)))))))))</f>
        <v/>
      </c>
      <c r="W14" s="27">
        <f>IF(U14="OR",Upgrades!$F$10,IF(U14="HP",Upgrades!$F$11,IF(U14="transition",-Parameters!$B$18,0)))</f>
        <v/>
      </c>
      <c r="X14" s="22">
        <f>T14-V14</f>
        <v/>
      </c>
      <c r="Y14" s="30">
        <f>M14*Parameters!$B$10/60*Parameters!$B$11+O14*M14+N14</f>
        <v/>
      </c>
      <c r="Z14" s="34">
        <f>IF(U14="transition","→ Tier 2 (Stellar Neighborhood)",IF(U14="FP","First Photons — light begins, system quickens",IF(U14="HP","Heliopause acquired",IF(U14="OR","Orbital Resonance — passive multiplier active",IF(AND(AO14=1,L14=0,AN14&lt;&gt;1),"Cohesion ready (waiting on completionist upgrades)","")))))</f>
        <v/>
      </c>
      <c r="AA14" s="27">
        <f>(IF(E14=0,0,(Upgrades!$G$6+E14*Upgrades!$H$6)*POWER(Upgrades!$I$6,E14)))*(IF(Upgrades!$T$7="Solar Wind",POWER(Upgrades!$U$7,F14),1)*IF(Upgrades!$T$8="Solar Wind",POWER(Upgrades!$U$8,G14),1)*IF(Upgrades!$T$9="Solar Wind",POWER(Upgrades!$U$9,H14),1)*IF(Upgrades!$T$10="Solar Wind",POWER(Upgrades!$U$10,I14),1)*IF(Upgrades!$T$11="Solar Wind",POWER(Upgrades!$U$11,J14),1)*IF(Upgrades!$T$12="Solar Wind",POWER(Upgrades!$U$12,K14),1))*POWER(Upgrades!$P$6,E14)*POWER(Upgrades!$P$7,F14)*POWER(Upgrades!$P$8,G14)*POWER(Upgrades!$P$9,H14)*POWER(Upgrades!$P$10,I14)*POWER(Upgrades!$P$11,J14)*POWER(Upgrades!$P$12,K14)*60</f>
        <v/>
      </c>
      <c r="AB14" s="27">
        <f>(IF(F14=0,0,(Upgrades!$G$7+F14*Upgrades!$H$7)*POWER(Upgrades!$I$7,F14)))*(IF(Upgrades!$T$6="Asteroid Belt",POWER(Upgrades!$U$6,E14),1)*IF(Upgrades!$T$8="Asteroid Belt",POWER(Upgrades!$U$8,G14),1)*IF(Upgrades!$T$9="Asteroid Belt",POWER(Upgrades!$U$9,H14),1)*IF(Upgrades!$T$10="Asteroid Belt",POWER(Upgrades!$U$10,I14),1)*IF(Upgrades!$T$11="Asteroid Belt",POWER(Upgrades!$U$11,J14),1)*IF(Upgrades!$T$12="Asteroid Belt",POWER(Upgrades!$U$12,K14),1))*POWER(Upgrades!$P$6,E14)*POWER(Upgrades!$P$7,F14)*POWER(Upgrades!$P$8,G14)*POWER(Upgrades!$P$9,H14)*POWER(Upgrades!$P$10,I14)*POWER(Upgrades!$P$11,J14)*POWER(Upgrades!$P$12,K14)*60</f>
        <v/>
      </c>
      <c r="AC14" s="27">
        <f>(IF(G14=0,0,(Upgrades!$J$8+G14*Upgrades!$K$8)*POWER(Upgrades!$L$8,G14)))*(IF(Upgrades!$T$6="Stellar Coupling",POWER(Upgrades!$U$6,E14),1)*IF(Upgrades!$T$7="Stellar Coupling",POWER(Upgrades!$U$7,F14),1)*IF(Upgrades!$T$9="Stellar Coupling",POWER(Upgrades!$U$9,H14),1)*IF(Upgrades!$T$10="Stellar Coupling",POWER(Upgrades!$U$10,I14),1)*IF(Upgrades!$T$11="Stellar Coupling",POWER(Upgrades!$U$11,J14),1)*IF(Upgrades!$T$12="Stellar Coupling",POWER(Upgrades!$U$12,K14),1))*POWER(Upgrades!$Q$6,E14)*POWER(Upgrades!$Q$7,F14)*POWER(Upgrades!$Q$8,G14)*POWER(Upgrades!$Q$9,H14)*POWER(Upgrades!$Q$10,I14)*POWER(Upgrades!$Q$11,J14)*POWER(Upgrades!$Q$12,K14)*Parameters!$B$10*Parameters!$B$11</f>
        <v/>
      </c>
      <c r="AD14" s="27">
        <f>(IF(H14=0,0,(Upgrades!$G$9+H14*Upgrades!$H$9)*POWER(Upgrades!$I$9,H14)))*(IF(Upgrades!$T$6="Magnetosphere",POWER(Upgrades!$U$6,E14),1)*IF(Upgrades!$T$7="Magnetosphere",POWER(Upgrades!$U$7,F14),1)*IF(Upgrades!$T$8="Magnetosphere",POWER(Upgrades!$U$8,G14),1)*IF(Upgrades!$T$10="Magnetosphere",POWER(Upgrades!$U$10,I14),1)*IF(Upgrades!$T$11="Magnetosphere",POWER(Upgrades!$U$11,J14),1)*IF(Upgrades!$T$12="Magnetosphere",POWER(Upgrades!$U$12,K14),1))*POWER(Upgrades!$P$6,E14)*POWER(Upgrades!$P$7,F14)*POWER(Upgrades!$P$8,G14)*POWER(Upgrades!$P$9,H14)*POWER(Upgrades!$P$10,I14)*POWER(Upgrades!$P$11,J14)*POWER(Upgrades!$P$12,K14)*60</f>
        <v/>
      </c>
      <c r="AE14" s="27">
        <f>(IF(K14=0,0,(Upgrades!$G$12+K14*Upgrades!$H$12)*POWER(Upgrades!$I$12,K14)))*(IF(Upgrades!$T$6="First Photons",POWER(Upgrades!$U$6,E14),1)*IF(Upgrades!$T$7="First Photons",POWER(Upgrades!$U$7,F14),1)*IF(Upgrades!$T$8="First Photons",POWER(Upgrades!$U$8,G14),1)*IF(Upgrades!$T$9="First Photons",POWER(Upgrades!$U$9,H14),1)*IF(Upgrades!$T$10="First Photons",POWER(Upgrades!$U$10,I14),1)*IF(Upgrades!$T$11="First Photons",POWER(Upgrades!$U$11,J14),1))*POWER(Upgrades!$P$6,E14)*POWER(Upgrades!$P$7,F14)*POWER(Upgrades!$P$8,G14)*POWER(Upgrades!$P$9,H14)*POWER(Upgrades!$P$10,I14)*POWER(Upgrades!$P$11,J14)*POWER(Upgrades!$P$12,K14)*60</f>
        <v/>
      </c>
      <c r="AF14" s="27">
        <f>Parameters!$B$9*POWER(Upgrades!$Q$6,E14)*POWER(Upgrades!$Q$7,F14)*POWER(Upgrades!$Q$8,G14)*POWER(Upgrades!$Q$9,H14)*POWER(Upgrades!$Q$10,I14)*POWER(Upgrades!$Q$11,J14)*POWER(Upgrades!$Q$12,K14)*(Parameters!$B$10*Parameters!$B$11+O14*60)</f>
        <v/>
      </c>
      <c r="AG14" s="22">
        <f>IF(E14&gt;=Upgrades!$E$6,"",Upgrades!$C$6*POWER(Upgrades!$D$6,E14))</f>
        <v/>
      </c>
      <c r="AH14" s="22">
        <f>IF(F14&gt;=Upgrades!$E$7,"",Upgrades!$C$7*POWER(Upgrades!$D$7,F14))</f>
        <v/>
      </c>
      <c r="AI14" s="22">
        <f>IF(G14&gt;=Upgrades!$E$8,"",Upgrades!$C$8*POWER(Upgrades!$D$8,G14))</f>
        <v/>
      </c>
      <c r="AJ14" s="22">
        <f>IF(H14&gt;=Upgrades!$E$9,"",Upgrades!$C$9*POWER(Upgrades!$D$9,H14))</f>
        <v/>
      </c>
      <c r="AK14" s="22">
        <f>IF(I14&gt;=Upgrades!$E$10,"",Upgrades!$C$10*POWER(Upgrades!$D$10,I14))</f>
        <v/>
      </c>
      <c r="AL14" s="22">
        <f>IF(J14&gt;=Upgrades!$E$11,"",Upgrades!$C$11*POWER(Upgrades!$D$11,J14))</f>
        <v/>
      </c>
      <c r="AM14" s="22">
        <f>IF(K14&gt;=Upgrades!$E$12,"",Upgrades!$C$12*POWER(Upgrades!$D$12,K14))</f>
        <v/>
      </c>
      <c r="AN14" s="26">
        <f>IF(AND(D14&gt;=Parameters!$B$18,(H14&gt;=Upgrades!$E$9)*(K14&gt;=Upgrades!$E$12)=1,L14=0),1,"")</f>
        <v/>
      </c>
      <c r="AO14" s="26">
        <f>IF(AND(D14&gt;=Parameters!$B$18,L14=0),1,"")</f>
        <v/>
      </c>
      <c r="AP14" s="22">
        <f>MIN(IF(ISNUMBER(AK14),AK14,9E15),IF(ISNUMBER(AL14),AL14,9E15),IF(ISNUMBER(AM14),AM14,9E15))</f>
        <v/>
      </c>
      <c r="AQ14" s="22">
        <f>MIN(IF(ISNUMBER(AG14),AG14,9E15),IF(ISNUMBER(AH14),AH14,9E15),IF(ISNUMBER(AI14),AI14,9E15),IF(ISNUMBER(AJ14),AJ14,9E15))</f>
        <v/>
      </c>
      <c r="AR14" s="29">
        <f>IF(AW14&gt;Parameters!$B$21*(MAX(IF(AND(NOT(AND(AO14=1,AN14&lt;&gt;1)),ISNUMBER(AG14),AG14&lt;=T14),AS14,0),IF(AND(NOT(AND(AO14=1,AN14&lt;&gt;1)),ISNUMBER(AH14),AH14&lt;=T14),AT14,0),IF(AND(NOT(AND(AO14=1,AN14&lt;&gt;1)),ISNUMBER(AI14),AI14&lt;=T14),AU14,0),IF(AND(ISNUMBER(AJ14),AJ14&lt;=T14),AV14,0))),TRUE,FALSE)</f>
        <v/>
      </c>
      <c r="AS14" s="32">
        <f>IFERROR(Upgrades!$H$6*(POWER(Upgrades!$P$6,E14)*POWER(Upgrades!$P$7,F14)*POWER(Upgrades!$P$8,G14)*POWER(Upgrades!$P$9,H14)*POWER(Upgrades!$P$10,I14)*POWER(Upgrades!$P$11,J14)*POWER(Upgrades!$P$12,K14))*(IF(Upgrades!$T$7="Solar Wind",POWER(Upgrades!$U$7,F14),1)*IF(Upgrades!$T$8="Solar Wind",POWER(Upgrades!$U$8,G14),1)*IF(Upgrades!$T$9="Solar Wind",POWER(Upgrades!$U$9,H14),1)*IF(Upgrades!$T$10="Solar Wind",POWER(Upgrades!$U$10,I14),1)*IF(Upgrades!$T$11="Solar Wind",POWER(Upgrades!$U$11,J14),1)*IF(Upgrades!$T$12="Solar Wind",POWER(Upgrades!$U$12,K14),1))/AG14,0)</f>
        <v/>
      </c>
      <c r="AT14" s="32">
        <f>IFERROR(Upgrades!$H$7*(POWER(Upgrades!$P$6,E14)*POWER(Upgrades!$P$7,F14)*POWER(Upgrades!$P$8,G14)*POWER(Upgrades!$P$9,H14)*POWER(Upgrades!$P$10,I14)*POWER(Upgrades!$P$11,J14)*POWER(Upgrades!$P$12,K14))*(IF(Upgrades!$T$6="Asteroid Belt",POWER(Upgrades!$U$6,E14),1)*IF(Upgrades!$T$8="Asteroid Belt",POWER(Upgrades!$U$8,G14),1)*IF(Upgrades!$T$9="Asteroid Belt",POWER(Upgrades!$U$9,H14),1)*IF(Upgrades!$T$10="Asteroid Belt",POWER(Upgrades!$U$10,I14),1)*IF(Upgrades!$T$11="Asteroid Belt",POWER(Upgrades!$U$11,J14),1)*IF(Upgrades!$T$12="Asteroid Belt",POWER(Upgrades!$U$12,K14),1))/AH14,0)</f>
        <v/>
      </c>
      <c r="AU14" s="32">
        <f>IFERROR(Upgrades!$K$8*(POWER(Upgrades!$Q$6,E14)*POWER(Upgrades!$Q$7,F14)*POWER(Upgrades!$Q$8,G14)*POWER(Upgrades!$Q$9,H14)*POWER(Upgrades!$Q$10,I14)*POWER(Upgrades!$Q$11,J14)*POWER(Upgrades!$Q$12,K14))*(IF(Upgrades!$T$6="Stellar Coupling",POWER(Upgrades!$U$6,E14),1)*IF(Upgrades!$T$7="Stellar Coupling",POWER(Upgrades!$U$7,F14),1)*IF(Upgrades!$T$9="Stellar Coupling",POWER(Upgrades!$U$9,H14),1)*IF(Upgrades!$T$10="Stellar Coupling",POWER(Upgrades!$U$10,I14),1)*IF(Upgrades!$T$11="Stellar Coupling",POWER(Upgrades!$U$11,J14),1)*IF(Upgrades!$T$12="Stellar Coupling",POWER(Upgrades!$U$12,K14),1))*Parameters!$B$10*Parameters!$B$11/60/AI14,0)</f>
        <v/>
      </c>
      <c r="AV14" s="32">
        <f>IFERROR(Upgrades!$H$9*(POWER(Upgrades!$P$6,E14)*POWER(Upgrades!$P$7,F14)*POWER(Upgrades!$P$8,G14)*POWER(Upgrades!$P$9,H14)*POWER(Upgrades!$P$10,I14)*POWER(Upgrades!$P$11,J14)*POWER(Upgrades!$P$12,K14))*(IF(Upgrades!$T$6="Magnetosphere",POWER(Upgrades!$U$6,E14),1)*IF(Upgrades!$T$7="Magnetosphere",POWER(Upgrades!$U$7,F14),1)*IF(Upgrades!$T$8="Magnetosphere",POWER(Upgrades!$U$8,G14),1)*IF(Upgrades!$T$10="Magnetosphere",POWER(Upgrades!$U$10,I14),1)*IF(Upgrades!$T$11="Magnetosphere",POWER(Upgrades!$U$11,J14),1)*IF(Upgrades!$T$12="Magnetosphere",POWER(Upgrades!$U$12,K14),1))/AJ14,0)</f>
        <v/>
      </c>
      <c r="AW14" s="32">
        <f>MAX(IF(I14&gt;0,0,IFERROR(0.25*N14/Upgrades!$C$10,0)),IF(J14&gt;0,0,IFERROR(0.5*((IF(G14=0,0,(Upgrades!$J$8+G14*Upgrades!$K$8)*POWER(Upgrades!$L$8,G14)))*(IF(Upgrades!$T$6="Stellar Coupling",POWER(Upgrades!$U$6,E14),1)*IF(Upgrades!$T$7="Stellar Coupling",POWER(Upgrades!$U$7,F14),1)*IF(Upgrades!$T$9="Stellar Coupling",POWER(Upgrades!$U$9,H14),1)*IF(Upgrades!$T$10="Stellar Coupling",POWER(Upgrades!$U$10,I14),1)*IF(Upgrades!$T$11="Stellar Coupling",POWER(Upgrades!$U$11,J14),1)*IF(Upgrades!$T$12="Stellar Coupling",POWER(Upgrades!$U$12,K14),1))*(POWER(Upgrades!$Q$6,E14)*POWER(Upgrades!$Q$7,F14)*POWER(Upgrades!$Q$8,G14)*POWER(Upgrades!$Q$9,H14)*POWER(Upgrades!$Q$10,I14)*POWER(Upgrades!$Q$11,J14)*POWER(Upgrades!$Q$12,K14))*Parameters!$B$10*Parameters!$B$11/60)/Upgrades!$C$11,0)),IF(K14&gt;0,0,IFERROR((1.0*(POWER(Upgrades!$P$6,E14)*POWER(Upgrades!$P$7,F14)*POWER(Upgrades!$P$8,G14)*POWER(Upgrades!$P$9,H14)*POWER(Upgrades!$P$10,I14)*POWER(Upgrades!$P$11,J14)*POWER(Upgrades!$P$12,K14))+0.20*M14*Parameters!$B$10*Parameters!$B$11/60)/Upgrades!$C$12,0)),IF(AND(ISNUMBER(AG14),AG14&gt;T14),AS14,0),IF(AND(ISNUMBER(AH14),AH14&gt;T14),AT14,0),IF(AND(ISNUMBER(AI14),AI14&gt;T14),AU14,0),IF(AND(ISNUMBER(AJ14),AJ14&gt;T14),AV14,0))</f>
        <v/>
      </c>
      <c r="AX14" s="29">
        <f>IF(AN14=1,"transition",IF(MIN(IF(AND(I14=0,ISNUMBER(AK14),AK14&lt;=T14),AK14,9E15),IF(AND(J14=0,ISNUMBER(AL14),AL14&lt;=T14),AL14,9E15),IF(AND(K14=0,ISNUMBER(AM14),AM14&lt;=T14),AM14,9E15))&lt;9E15,IF(AND(AND(I14=0,ISNUMBER(AK14),AK14&lt;=T14),AK14=MIN(IF(AND(I14=0,ISNUMBER(AK14),AK14&lt;=T14),AK14,9E15),IF(AND(J14=0,ISNUMBER(AL14),AL14&lt;=T14),AL14,9E15),IF(AND(K14=0,ISNUMBER(AM14),AM14&lt;=T14),AM14,9E15))),"OR",IF(AND(AND(J14=0,ISNUMBER(AL14),AL14&lt;=T14),AL14=MIN(IF(AND(I14=0,ISNUMBER(AK14),AK14&lt;=T14),AK14,9E15),IF(AND(J14=0,ISNUMBER(AL14),AL14&lt;=T14),AL14,9E15),IF(AND(K14=0,ISNUMBER(AM14),AM14&lt;=T14),AM14,9E15))),"HP","FP")),IF(AR14=TRUE,"",IF(MAX(IF(AND(NOT(AND(AO14=1,AN14&lt;&gt;1)),ISNUMBER(AG14),AG14&lt;=T14),AS14,0),IF(AND(NOT(AND(AO14=1,AN14&lt;&gt;1)),ISNUMBER(AH14),AH14&lt;=T14),AT14,0),IF(AND(NOT(AND(AO14=1,AN14&lt;&gt;1)),ISNUMBER(AI14),AI14&lt;=T14),AU14,0),IF(AND(ISNUMBER(AJ14),AJ14&lt;=T14),AV14,0))&lt;=0,"",IF(AND(IF(AND(NOT(AND(AO14=1,AN14&lt;&gt;1)),ISNUMBER(AG14),AG14&lt;=T14),AS14,0)&gt;0,IF(AND(NOT(AND(AO14=1,AN14&lt;&gt;1)),ISNUMBER(AG14),AG14&lt;=T14),AS14,0)=MAX(IF(AND(NOT(AND(AO14=1,AN14&lt;&gt;1)),ISNUMBER(AG14),AG14&lt;=T14),AS14,0),IF(AND(NOT(AND(AO14=1,AN14&lt;&gt;1)),ISNUMBER(AH14),AH14&lt;=T14),AT14,0),IF(AND(NOT(AND(AO14=1,AN14&lt;&gt;1)),ISNUMBER(AI14),AI14&lt;=T14),AU14,0),IF(AND(ISNUMBER(AJ14),AJ14&lt;=T14),AV14,0))),"SW",IF(AND(IF(AND(NOT(AND(AO14=1,AN14&lt;&gt;1)),ISNUMBER(AH14),AH14&lt;=T14),AT14,0)&gt;0,IF(AND(NOT(AND(AO14=1,AN14&lt;&gt;1)),ISNUMBER(AH14),AH14&lt;=T14),AT14,0)=MAX(IF(AND(NOT(AND(AO14=1,AN14&lt;&gt;1)),ISNUMBER(AG14),AG14&lt;=T14),AS14,0),IF(AND(NOT(AND(AO14=1,AN14&lt;&gt;1)),ISNUMBER(AH14),AH14&lt;=T14),AT14,0),IF(AND(NOT(AND(AO14=1,AN14&lt;&gt;1)),ISNUMBER(AI14),AI14&lt;=T14),AU14,0),IF(AND(ISNUMBER(AJ14),AJ14&lt;=T14),AV14,0))),"AB",IF(AND(IF(AND(NOT(AND(AO14=1,AN14&lt;&gt;1)),ISNUMBER(AI14),AI14&lt;=T14),AU14,0)&gt;0,IF(AND(NOT(AND(AO14=1,AN14&lt;&gt;1)),ISNUMBER(AI14),AI14&lt;=T14),AU14,0)=MAX(IF(AND(NOT(AND(AO14=1,AN14&lt;&gt;1)),ISNUMBER(AG14),AG14&lt;=T14),AS14,0),IF(AND(NOT(AND(AO14=1,AN14&lt;&gt;1)),ISNUMBER(AH14),AH14&lt;=T14),AT14,0),IF(AND(NOT(AND(AO14=1,AN14&lt;&gt;1)),ISNUMBER(AI14),AI14&lt;=T14),AU14,0),IF(AND(ISNUMBER(AJ14),AJ14&lt;=T14),AV14,0))),"SC","Mag")))))))</f>
        <v/>
      </c>
    </row>
    <row r="15">
      <c r="A15" s="26" t="n">
        <v>10</v>
      </c>
      <c r="B15" s="27">
        <f>A15*10/60</f>
        <v/>
      </c>
      <c r="C15" s="22">
        <f>X14</f>
        <v/>
      </c>
      <c r="D15" s="27">
        <f>D14+W14</f>
        <v/>
      </c>
      <c r="E15" s="26">
        <f>E14+IF(U14="SW",1,0)</f>
        <v/>
      </c>
      <c r="F15" s="26">
        <f>F14+IF(U14="AB",1,0)</f>
        <v/>
      </c>
      <c r="G15" s="26">
        <f>G14+IF(U14="SC",1,0)</f>
        <v/>
      </c>
      <c r="H15" s="26">
        <f>H14+IF(U14="Mag",1,0)</f>
        <v/>
      </c>
      <c r="I15" s="26">
        <f>MAX(I14,IF(U14="OR",1,0))</f>
        <v/>
      </c>
      <c r="J15" s="26">
        <f>MAX(J14,IF(U14="HP",1,0))</f>
        <v/>
      </c>
      <c r="K15" s="26">
        <f>MAX(K14,IF(U14="FP",1,0))</f>
        <v/>
      </c>
      <c r="L15" s="26">
        <f>MAX(L14,IF(U14="transition",1,0))</f>
        <v/>
      </c>
      <c r="M15" s="28">
        <f>(Parameters!$B$9+(IF(E15=0,0,(Upgrades!$J$6+E15*Upgrades!$K$6)*POWER(Upgrades!$L$6,E15)))*(IF(Upgrades!$T$7="Solar Wind",POWER(Upgrades!$U$7,F15),1)*IF(Upgrades!$T$8="Solar Wind",POWER(Upgrades!$U$8,G15),1)*IF(Upgrades!$T$9="Solar Wind",POWER(Upgrades!$U$9,H15),1)*IF(Upgrades!$T$10="Solar Wind",POWER(Upgrades!$U$10,I15),1)*IF(Upgrades!$T$11="Solar Wind",POWER(Upgrades!$U$11,J15),1)*IF(Upgrades!$T$12="Solar Wind",POWER(Upgrades!$U$12,K15),1))+(IF(F15=0,0,(Upgrades!$J$7+F15*Upgrades!$K$7)*POWER(Upgrades!$L$7,F15)))*(IF(Upgrades!$T$6="Asteroid Belt",POWER(Upgrades!$U$6,E15),1)*IF(Upgrades!$T$8="Asteroid Belt",POWER(Upgrades!$U$8,G15),1)*IF(Upgrades!$T$9="Asteroid Belt",POWER(Upgrades!$U$9,H15),1)*IF(Upgrades!$T$10="Asteroid Belt",POWER(Upgrades!$U$10,I15),1)*IF(Upgrades!$T$11="Asteroid Belt",POWER(Upgrades!$U$11,J15),1)*IF(Upgrades!$T$12="Asteroid Belt",POWER(Upgrades!$U$12,K15),1))+(IF(G15=0,0,(Upgrades!$J$8+G15*Upgrades!$K$8)*POWER(Upgrades!$L$8,G15)))*(IF(Upgrades!$T$6="Stellar Coupling",POWER(Upgrades!$U$6,E15),1)*IF(Upgrades!$T$7="Stellar Coupling",POWER(Upgrades!$U$7,F15),1)*IF(Upgrades!$T$9="Stellar Coupling",POWER(Upgrades!$U$9,H15),1)*IF(Upgrades!$T$10="Stellar Coupling",POWER(Upgrades!$U$10,I15),1)*IF(Upgrades!$T$11="Stellar Coupling",POWER(Upgrades!$U$11,J15),1)*IF(Upgrades!$T$12="Stellar Coupling",POWER(Upgrades!$U$12,K15),1))+(IF(H15=0,0,(Upgrades!$J$9+H15*Upgrades!$K$9)*POWER(Upgrades!$L$9,H15)))*(IF(Upgrades!$T$6="Magnetosphere",POWER(Upgrades!$U$6,E15),1)*IF(Upgrades!$T$7="Magnetosphere",POWER(Upgrades!$U$7,F15),1)*IF(Upgrades!$T$8="Magnetosphere",POWER(Upgrades!$U$8,G15),1)*IF(Upgrades!$T$10="Magnetosphere",POWER(Upgrades!$U$10,I15),1)*IF(Upgrades!$T$11="Magnetosphere",POWER(Upgrades!$U$11,J15),1)*IF(Upgrades!$T$12="Magnetosphere",POWER(Upgrades!$U$12,K15),1))+(IF(I15=0,0,(Upgrades!$J$10+I15*Upgrades!$K$10)*POWER(Upgrades!$L$10,I15)))*(IF(Upgrades!$T$6="Orbital Resonance",POWER(Upgrades!$U$6,E15),1)*IF(Upgrades!$T$7="Orbital Resonance",POWER(Upgrades!$U$7,F15),1)*IF(Upgrades!$T$8="Orbital Resonance",POWER(Upgrades!$U$8,G15),1)*IF(Upgrades!$T$9="Orbital Resonance",POWER(Upgrades!$U$9,H15),1)*IF(Upgrades!$T$11="Orbital Resonance",POWER(Upgrades!$U$11,J15),1)*IF(Upgrades!$T$12="Orbital Resonance",POWER(Upgrades!$U$12,K15),1))+(IF(J15=0,0,(Upgrades!$J$11+J15*Upgrades!$K$11)*POWER(Upgrades!$L$11,J15)))*(IF(Upgrades!$T$6="Heliopause",POWER(Upgrades!$U$6,E15),1)*IF(Upgrades!$T$7="Heliopause",POWER(Upgrades!$U$7,F15),1)*IF(Upgrades!$T$8="Heliopause",POWER(Upgrades!$U$8,G15),1)*IF(Upgrades!$T$9="Heliopause",POWER(Upgrades!$U$9,H15),1)*IF(Upgrades!$T$10="Heliopause",POWER(Upgrades!$U$10,I15),1)*IF(Upgrades!$T$12="Heliopause",POWER(Upgrades!$U$12,K15),1))+(IF(K15=0,0,(Upgrades!$J$12+K15*Upgrades!$K$12)*POWER(Upgrades!$L$12,K15)))*(IF(Upgrades!$T$6="First Photons",POWER(Upgrades!$U$6,E15),1)*IF(Upgrades!$T$7="First Photons",POWER(Upgrades!$U$7,F15),1)*IF(Upgrades!$T$8="First Photons",POWER(Upgrades!$U$8,G15),1)*IF(Upgrades!$T$9="First Photons",POWER(Upgrades!$U$9,H15),1)*IF(Upgrades!$T$10="First Photons",POWER(Upgrades!$U$10,I15),1)*IF(Upgrades!$T$11="First Photons",POWER(Upgrades!$U$11,J15),1)))*POWER(Upgrades!$Q$6,E15)*POWER(Upgrades!$Q$7,F15)*POWER(Upgrades!$Q$8,G15)*POWER(Upgrades!$Q$9,H15)*POWER(Upgrades!$Q$10,I15)*POWER(Upgrades!$Q$11,J15)*POWER(Upgrades!$Q$12,K15)</f>
        <v/>
      </c>
      <c r="N15" s="28">
        <f>((IF(E15=0,0,(Upgrades!$G$6+E15*Upgrades!$H$6)*POWER(Upgrades!$I$6,E15)))*(IF(Upgrades!$T$7="Solar Wind",POWER(Upgrades!$U$7,F15),1)*IF(Upgrades!$T$8="Solar Wind",POWER(Upgrades!$U$8,G15),1)*IF(Upgrades!$T$9="Solar Wind",POWER(Upgrades!$U$9,H15),1)*IF(Upgrades!$T$10="Solar Wind",POWER(Upgrades!$U$10,I15),1)*IF(Upgrades!$T$11="Solar Wind",POWER(Upgrades!$U$11,J15),1)*IF(Upgrades!$T$12="Solar Wind",POWER(Upgrades!$U$12,K15),1))+(IF(F15=0,0,(Upgrades!$G$7+F15*Upgrades!$H$7)*POWER(Upgrades!$I$7,F15)))*(IF(Upgrades!$T$6="Asteroid Belt",POWER(Upgrades!$U$6,E15),1)*IF(Upgrades!$T$8="Asteroid Belt",POWER(Upgrades!$U$8,G15),1)*IF(Upgrades!$T$9="Asteroid Belt",POWER(Upgrades!$U$9,H15),1)*IF(Upgrades!$T$10="Asteroid Belt",POWER(Upgrades!$U$10,I15),1)*IF(Upgrades!$T$11="Asteroid Belt",POWER(Upgrades!$U$11,J15),1)*IF(Upgrades!$T$12="Asteroid Belt",POWER(Upgrades!$U$12,K15),1))+(IF(G15=0,0,(Upgrades!$G$8+G15*Upgrades!$H$8)*POWER(Upgrades!$I$8,G15)))*(IF(Upgrades!$T$6="Stellar Coupling",POWER(Upgrades!$U$6,E15),1)*IF(Upgrades!$T$7="Stellar Coupling",POWER(Upgrades!$U$7,F15),1)*IF(Upgrades!$T$9="Stellar Coupling",POWER(Upgrades!$U$9,H15),1)*IF(Upgrades!$T$10="Stellar Coupling",POWER(Upgrades!$U$10,I15),1)*IF(Upgrades!$T$11="Stellar Coupling",POWER(Upgrades!$U$11,J15),1)*IF(Upgrades!$T$12="Stellar Coupling",POWER(Upgrades!$U$12,K15),1))+(IF(H15=0,0,(Upgrades!$G$9+H15*Upgrades!$H$9)*POWER(Upgrades!$I$9,H15)))*(IF(Upgrades!$T$6="Magnetosphere",POWER(Upgrades!$U$6,E15),1)*IF(Upgrades!$T$7="Magnetosphere",POWER(Upgrades!$U$7,F15),1)*IF(Upgrades!$T$8="Magnetosphere",POWER(Upgrades!$U$8,G15),1)*IF(Upgrades!$T$10="Magnetosphere",POWER(Upgrades!$U$10,I15),1)*IF(Upgrades!$T$11="Magnetosphere",POWER(Upgrades!$U$11,J15),1)*IF(Upgrades!$T$12="Magnetosphere",POWER(Upgrades!$U$12,K15),1))+(IF(I15=0,0,(Upgrades!$G$10+I15*Upgrades!$H$10)*POWER(Upgrades!$I$10,I15)))*(IF(Upgrades!$T$6="Orbital Resonance",POWER(Upgrades!$U$6,E15),1)*IF(Upgrades!$T$7="Orbital Resonance",POWER(Upgrades!$U$7,F15),1)*IF(Upgrades!$T$8="Orbital Resonance",POWER(Upgrades!$U$8,G15),1)*IF(Upgrades!$T$9="Orbital Resonance",POWER(Upgrades!$U$9,H15),1)*IF(Upgrades!$T$11="Orbital Resonance",POWER(Upgrades!$U$11,J15),1)*IF(Upgrades!$T$12="Orbital Resonance",POWER(Upgrades!$U$12,K15),1))+(IF(J15=0,0,(Upgrades!$G$11+J15*Upgrades!$H$11)*POWER(Upgrades!$I$11,J15)))*(IF(Upgrades!$T$6="Heliopause",POWER(Upgrades!$U$6,E15),1)*IF(Upgrades!$T$7="Heliopause",POWER(Upgrades!$U$7,F15),1)*IF(Upgrades!$T$8="Heliopause",POWER(Upgrades!$U$8,G15),1)*IF(Upgrades!$T$9="Heliopause",POWER(Upgrades!$U$9,H15),1)*IF(Upgrades!$T$10="Heliopause",POWER(Upgrades!$U$10,I15),1)*IF(Upgrades!$T$12="Heliopause",POWER(Upgrades!$U$12,K15),1))+(IF(K15=0,0,(Upgrades!$G$12+K15*Upgrades!$H$12)*POWER(Upgrades!$I$12,K15)))*(IF(Upgrades!$T$6="First Photons",POWER(Upgrades!$U$6,E15),1)*IF(Upgrades!$T$7="First Photons",POWER(Upgrades!$U$7,F15),1)*IF(Upgrades!$T$8="First Photons",POWER(Upgrades!$U$8,G15),1)*IF(Upgrades!$T$9="First Photons",POWER(Upgrades!$U$9,H15),1)*IF(Upgrades!$T$10="First Photons",POWER(Upgrades!$U$10,I15),1)*IF(Upgrades!$T$11="First Photons",POWER(Upgrades!$U$11,J15),1)))*POWER(Upgrades!$P$6,E15)*POWER(Upgrades!$P$7,F15)*POWER(Upgrades!$P$8,G15)*POWER(Upgrades!$P$9,H15)*POWER(Upgrades!$P$10,I15)*POWER(Upgrades!$P$11,J15)*POWER(Upgrades!$P$12,K15)</f>
        <v/>
      </c>
      <c r="O15" s="28">
        <f>((IF(E15=0,0,(Upgrades!$M$6+E15*Upgrades!$N$6)*POWER(Upgrades!$O$6,E15)))*(IF(Upgrades!$T$7="Solar Wind",POWER(Upgrades!$U$7,F15),1)*IF(Upgrades!$T$8="Solar Wind",POWER(Upgrades!$U$8,G15),1)*IF(Upgrades!$T$9="Solar Wind",POWER(Upgrades!$U$9,H15),1)*IF(Upgrades!$T$10="Solar Wind",POWER(Upgrades!$U$10,I15),1)*IF(Upgrades!$T$11="Solar Wind",POWER(Upgrades!$U$11,J15),1)*IF(Upgrades!$T$12="Solar Wind",POWER(Upgrades!$U$12,K15),1))+(IF(F15=0,0,(Upgrades!$M$7+F15*Upgrades!$N$7)*POWER(Upgrades!$O$7,F15)))*(IF(Upgrades!$T$6="Asteroid Belt",POWER(Upgrades!$U$6,E15),1)*IF(Upgrades!$T$8="Asteroid Belt",POWER(Upgrades!$U$8,G15),1)*IF(Upgrades!$T$9="Asteroid Belt",POWER(Upgrades!$U$9,H15),1)*IF(Upgrades!$T$10="Asteroid Belt",POWER(Upgrades!$U$10,I15),1)*IF(Upgrades!$T$11="Asteroid Belt",POWER(Upgrades!$U$11,J15),1)*IF(Upgrades!$T$12="Asteroid Belt",POWER(Upgrades!$U$12,K15),1))+(IF(G15=0,0,(Upgrades!$M$8+G15*Upgrades!$N$8)*POWER(Upgrades!$O$8,G15)))*(IF(Upgrades!$T$6="Stellar Coupling",POWER(Upgrades!$U$6,E15),1)*IF(Upgrades!$T$7="Stellar Coupling",POWER(Upgrades!$U$7,F15),1)*IF(Upgrades!$T$9="Stellar Coupling",POWER(Upgrades!$U$9,H15),1)*IF(Upgrades!$T$10="Stellar Coupling",POWER(Upgrades!$U$10,I15),1)*IF(Upgrades!$T$11="Stellar Coupling",POWER(Upgrades!$U$11,J15),1)*IF(Upgrades!$T$12="Stellar Coupling",POWER(Upgrades!$U$12,K15),1))+(IF(H15=0,0,(Upgrades!$M$9+H15*Upgrades!$N$9)*POWER(Upgrades!$O$9,H15)))*(IF(Upgrades!$T$6="Magnetosphere",POWER(Upgrades!$U$6,E15),1)*IF(Upgrades!$T$7="Magnetosphere",POWER(Upgrades!$U$7,F15),1)*IF(Upgrades!$T$8="Magnetosphere",POWER(Upgrades!$U$8,G15),1)*IF(Upgrades!$T$10="Magnetosphere",POWER(Upgrades!$U$10,I15),1)*IF(Upgrades!$T$11="Magnetosphere",POWER(Upgrades!$U$11,J15),1)*IF(Upgrades!$T$12="Magnetosphere",POWER(Upgrades!$U$12,K15),1))+(IF(I15=0,0,(Upgrades!$M$10+I15*Upgrades!$N$10)*POWER(Upgrades!$O$10,I15)))*(IF(Upgrades!$T$6="Orbital Resonance",POWER(Upgrades!$U$6,E15),1)*IF(Upgrades!$T$7="Orbital Resonance",POWER(Upgrades!$U$7,F15),1)*IF(Upgrades!$T$8="Orbital Resonance",POWER(Upgrades!$U$8,G15),1)*IF(Upgrades!$T$9="Orbital Resonance",POWER(Upgrades!$U$9,H15),1)*IF(Upgrades!$T$11="Orbital Resonance",POWER(Upgrades!$U$11,J15),1)*IF(Upgrades!$T$12="Orbital Resonance",POWER(Upgrades!$U$12,K15),1))+(IF(J15=0,0,(Upgrades!$M$11+J15*Upgrades!$N$11)*POWER(Upgrades!$O$11,J15)))*(IF(Upgrades!$T$6="Heliopause",POWER(Upgrades!$U$6,E15),1)*IF(Upgrades!$T$7="Heliopause",POWER(Upgrades!$U$7,F15),1)*IF(Upgrades!$T$8="Heliopause",POWER(Upgrades!$U$8,G15),1)*IF(Upgrades!$T$9="Heliopause",POWER(Upgrades!$U$9,H15),1)*IF(Upgrades!$T$10="Heliopause",POWER(Upgrades!$U$10,I15),1)*IF(Upgrades!$T$12="Heliopause",POWER(Upgrades!$U$12,K15),1))+(IF(K15=0,0,(Upgrades!$M$12+K15*Upgrades!$N$12)*POWER(Upgrades!$O$12,K15)))*(IF(Upgrades!$T$6="First Photons",POWER(Upgrades!$U$6,E15),1)*IF(Upgrades!$T$7="First Photons",POWER(Upgrades!$U$7,F15),1)*IF(Upgrades!$T$8="First Photons",POWER(Upgrades!$U$8,G15),1)*IF(Upgrades!$T$9="First Photons",POWER(Upgrades!$U$9,H15),1)*IF(Upgrades!$T$10="First Photons",POWER(Upgrades!$U$10,I15),1)*IF(Upgrades!$T$11="First Photons",POWER(Upgrades!$U$11,J15),1)))*POWER(Upgrades!$R$6,E15)*POWER(Upgrades!$R$7,F15)*POWER(Upgrades!$R$8,G15)*POWER(Upgrades!$R$9,H15)*POWER(Upgrades!$R$10,I15)*POWER(Upgrades!$R$11,J15)*POWER(Upgrades!$R$12,K15)</f>
        <v/>
      </c>
      <c r="P15" s="27">
        <f>IF(L15=1,0,M15*Parameters!$B$10/60*Parameters!$B$11*10)</f>
        <v/>
      </c>
      <c r="Q15" s="27">
        <f>IF(L15=1,0,O15*M15*10)</f>
        <v/>
      </c>
      <c r="R15" s="27">
        <f>IF(L15=1,0,N15*10)</f>
        <v/>
      </c>
      <c r="S15" s="27">
        <f>P15+Q15+R15</f>
        <v/>
      </c>
      <c r="T15" s="22">
        <f>C15+S15</f>
        <v/>
      </c>
      <c r="U15" s="33">
        <f>AX15</f>
        <v/>
      </c>
      <c r="V15" s="22">
        <f>IF(U15="",0,IF(U15="transition",0,IF(U15="SW",AG15,IF(U15="AB",AH15,IF(U15="SC",AI15,IF(U15="Mag",AJ15,IF(U15="OR",AK15,IF(U15="HP",AL15,IF(U15="FP",AM15,0)))))))))</f>
        <v/>
      </c>
      <c r="W15" s="27">
        <f>IF(U15="OR",Upgrades!$F$10,IF(U15="HP",Upgrades!$F$11,IF(U15="transition",-Parameters!$B$18,0)))</f>
        <v/>
      </c>
      <c r="X15" s="22">
        <f>T15-V15</f>
        <v/>
      </c>
      <c r="Y15" s="30">
        <f>M15*Parameters!$B$10/60*Parameters!$B$11+O15*M15+N15</f>
        <v/>
      </c>
      <c r="Z15" s="34">
        <f>IF(U15="transition","→ Tier 2 (Stellar Neighborhood)",IF(U15="FP","First Photons — light begins, system quickens",IF(U15="HP","Heliopause acquired",IF(U15="OR","Orbital Resonance — passive multiplier active",IF(AND(AO15=1,L15=0,AN15&lt;&gt;1),"Cohesion ready (waiting on completionist upgrades)","")))))</f>
        <v/>
      </c>
      <c r="AA15" s="27">
        <f>(IF(E15=0,0,(Upgrades!$G$6+E15*Upgrades!$H$6)*POWER(Upgrades!$I$6,E15)))*(IF(Upgrades!$T$7="Solar Wind",POWER(Upgrades!$U$7,F15),1)*IF(Upgrades!$T$8="Solar Wind",POWER(Upgrades!$U$8,G15),1)*IF(Upgrades!$T$9="Solar Wind",POWER(Upgrades!$U$9,H15),1)*IF(Upgrades!$T$10="Solar Wind",POWER(Upgrades!$U$10,I15),1)*IF(Upgrades!$T$11="Solar Wind",POWER(Upgrades!$U$11,J15),1)*IF(Upgrades!$T$12="Solar Wind",POWER(Upgrades!$U$12,K15),1))*POWER(Upgrades!$P$6,E15)*POWER(Upgrades!$P$7,F15)*POWER(Upgrades!$P$8,G15)*POWER(Upgrades!$P$9,H15)*POWER(Upgrades!$P$10,I15)*POWER(Upgrades!$P$11,J15)*POWER(Upgrades!$P$12,K15)*60</f>
        <v/>
      </c>
      <c r="AB15" s="27">
        <f>(IF(F15=0,0,(Upgrades!$G$7+F15*Upgrades!$H$7)*POWER(Upgrades!$I$7,F15)))*(IF(Upgrades!$T$6="Asteroid Belt",POWER(Upgrades!$U$6,E15),1)*IF(Upgrades!$T$8="Asteroid Belt",POWER(Upgrades!$U$8,G15),1)*IF(Upgrades!$T$9="Asteroid Belt",POWER(Upgrades!$U$9,H15),1)*IF(Upgrades!$T$10="Asteroid Belt",POWER(Upgrades!$U$10,I15),1)*IF(Upgrades!$T$11="Asteroid Belt",POWER(Upgrades!$U$11,J15),1)*IF(Upgrades!$T$12="Asteroid Belt",POWER(Upgrades!$U$12,K15),1))*POWER(Upgrades!$P$6,E15)*POWER(Upgrades!$P$7,F15)*POWER(Upgrades!$P$8,G15)*POWER(Upgrades!$P$9,H15)*POWER(Upgrades!$P$10,I15)*POWER(Upgrades!$P$11,J15)*POWER(Upgrades!$P$12,K15)*60</f>
        <v/>
      </c>
      <c r="AC15" s="27">
        <f>(IF(G15=0,0,(Upgrades!$J$8+G15*Upgrades!$K$8)*POWER(Upgrades!$L$8,G15)))*(IF(Upgrades!$T$6="Stellar Coupling",POWER(Upgrades!$U$6,E15),1)*IF(Upgrades!$T$7="Stellar Coupling",POWER(Upgrades!$U$7,F15),1)*IF(Upgrades!$T$9="Stellar Coupling",POWER(Upgrades!$U$9,H15),1)*IF(Upgrades!$T$10="Stellar Coupling",POWER(Upgrades!$U$10,I15),1)*IF(Upgrades!$T$11="Stellar Coupling",POWER(Upgrades!$U$11,J15),1)*IF(Upgrades!$T$12="Stellar Coupling",POWER(Upgrades!$U$12,K15),1))*POWER(Upgrades!$Q$6,E15)*POWER(Upgrades!$Q$7,F15)*POWER(Upgrades!$Q$8,G15)*POWER(Upgrades!$Q$9,H15)*POWER(Upgrades!$Q$10,I15)*POWER(Upgrades!$Q$11,J15)*POWER(Upgrades!$Q$12,K15)*Parameters!$B$10*Parameters!$B$11</f>
        <v/>
      </c>
      <c r="AD15" s="27">
        <f>(IF(H15=0,0,(Upgrades!$G$9+H15*Upgrades!$H$9)*POWER(Upgrades!$I$9,H15)))*(IF(Upgrades!$T$6="Magnetosphere",POWER(Upgrades!$U$6,E15),1)*IF(Upgrades!$T$7="Magnetosphere",POWER(Upgrades!$U$7,F15),1)*IF(Upgrades!$T$8="Magnetosphere",POWER(Upgrades!$U$8,G15),1)*IF(Upgrades!$T$10="Magnetosphere",POWER(Upgrades!$U$10,I15),1)*IF(Upgrades!$T$11="Magnetosphere",POWER(Upgrades!$U$11,J15),1)*IF(Upgrades!$T$12="Magnetosphere",POWER(Upgrades!$U$12,K15),1))*POWER(Upgrades!$P$6,E15)*POWER(Upgrades!$P$7,F15)*POWER(Upgrades!$P$8,G15)*POWER(Upgrades!$P$9,H15)*POWER(Upgrades!$P$10,I15)*POWER(Upgrades!$P$11,J15)*POWER(Upgrades!$P$12,K15)*60</f>
        <v/>
      </c>
      <c r="AE15" s="27">
        <f>(IF(K15=0,0,(Upgrades!$G$12+K15*Upgrades!$H$12)*POWER(Upgrades!$I$12,K15)))*(IF(Upgrades!$T$6="First Photons",POWER(Upgrades!$U$6,E15),1)*IF(Upgrades!$T$7="First Photons",POWER(Upgrades!$U$7,F15),1)*IF(Upgrades!$T$8="First Photons",POWER(Upgrades!$U$8,G15),1)*IF(Upgrades!$T$9="First Photons",POWER(Upgrades!$U$9,H15),1)*IF(Upgrades!$T$10="First Photons",POWER(Upgrades!$U$10,I15),1)*IF(Upgrades!$T$11="First Photons",POWER(Upgrades!$U$11,J15),1))*POWER(Upgrades!$P$6,E15)*POWER(Upgrades!$P$7,F15)*POWER(Upgrades!$P$8,G15)*POWER(Upgrades!$P$9,H15)*POWER(Upgrades!$P$10,I15)*POWER(Upgrades!$P$11,J15)*POWER(Upgrades!$P$12,K15)*60</f>
        <v/>
      </c>
      <c r="AF15" s="27">
        <f>Parameters!$B$9*POWER(Upgrades!$Q$6,E15)*POWER(Upgrades!$Q$7,F15)*POWER(Upgrades!$Q$8,G15)*POWER(Upgrades!$Q$9,H15)*POWER(Upgrades!$Q$10,I15)*POWER(Upgrades!$Q$11,J15)*POWER(Upgrades!$Q$12,K15)*(Parameters!$B$10*Parameters!$B$11+O15*60)</f>
        <v/>
      </c>
      <c r="AG15" s="22">
        <f>IF(E15&gt;=Upgrades!$E$6,"",Upgrades!$C$6*POWER(Upgrades!$D$6,E15))</f>
        <v/>
      </c>
      <c r="AH15" s="22">
        <f>IF(F15&gt;=Upgrades!$E$7,"",Upgrades!$C$7*POWER(Upgrades!$D$7,F15))</f>
        <v/>
      </c>
      <c r="AI15" s="22">
        <f>IF(G15&gt;=Upgrades!$E$8,"",Upgrades!$C$8*POWER(Upgrades!$D$8,G15))</f>
        <v/>
      </c>
      <c r="AJ15" s="22">
        <f>IF(H15&gt;=Upgrades!$E$9,"",Upgrades!$C$9*POWER(Upgrades!$D$9,H15))</f>
        <v/>
      </c>
      <c r="AK15" s="22">
        <f>IF(I15&gt;=Upgrades!$E$10,"",Upgrades!$C$10*POWER(Upgrades!$D$10,I15))</f>
        <v/>
      </c>
      <c r="AL15" s="22">
        <f>IF(J15&gt;=Upgrades!$E$11,"",Upgrades!$C$11*POWER(Upgrades!$D$11,J15))</f>
        <v/>
      </c>
      <c r="AM15" s="22">
        <f>IF(K15&gt;=Upgrades!$E$12,"",Upgrades!$C$12*POWER(Upgrades!$D$12,K15))</f>
        <v/>
      </c>
      <c r="AN15" s="26">
        <f>IF(AND(D15&gt;=Parameters!$B$18,(H15&gt;=Upgrades!$E$9)*(K15&gt;=Upgrades!$E$12)=1,L15=0),1,"")</f>
        <v/>
      </c>
      <c r="AO15" s="26">
        <f>IF(AND(D15&gt;=Parameters!$B$18,L15=0),1,"")</f>
        <v/>
      </c>
      <c r="AP15" s="22">
        <f>MIN(IF(ISNUMBER(AK15),AK15,9E15),IF(ISNUMBER(AL15),AL15,9E15),IF(ISNUMBER(AM15),AM15,9E15))</f>
        <v/>
      </c>
      <c r="AQ15" s="22">
        <f>MIN(IF(ISNUMBER(AG15),AG15,9E15),IF(ISNUMBER(AH15),AH15,9E15),IF(ISNUMBER(AI15),AI15,9E15),IF(ISNUMBER(AJ15),AJ15,9E15))</f>
        <v/>
      </c>
      <c r="AR15" s="29">
        <f>IF(AW15&gt;Parameters!$B$21*(MAX(IF(AND(NOT(AND(AO15=1,AN15&lt;&gt;1)),ISNUMBER(AG15),AG15&lt;=T15),AS15,0),IF(AND(NOT(AND(AO15=1,AN15&lt;&gt;1)),ISNUMBER(AH15),AH15&lt;=T15),AT15,0),IF(AND(NOT(AND(AO15=1,AN15&lt;&gt;1)),ISNUMBER(AI15),AI15&lt;=T15),AU15,0),IF(AND(ISNUMBER(AJ15),AJ15&lt;=T15),AV15,0))),TRUE,FALSE)</f>
        <v/>
      </c>
      <c r="AS15" s="32">
        <f>IFERROR(Upgrades!$H$6*(POWER(Upgrades!$P$6,E15)*POWER(Upgrades!$P$7,F15)*POWER(Upgrades!$P$8,G15)*POWER(Upgrades!$P$9,H15)*POWER(Upgrades!$P$10,I15)*POWER(Upgrades!$P$11,J15)*POWER(Upgrades!$P$12,K15))*(IF(Upgrades!$T$7="Solar Wind",POWER(Upgrades!$U$7,F15),1)*IF(Upgrades!$T$8="Solar Wind",POWER(Upgrades!$U$8,G15),1)*IF(Upgrades!$T$9="Solar Wind",POWER(Upgrades!$U$9,H15),1)*IF(Upgrades!$T$10="Solar Wind",POWER(Upgrades!$U$10,I15),1)*IF(Upgrades!$T$11="Solar Wind",POWER(Upgrades!$U$11,J15),1)*IF(Upgrades!$T$12="Solar Wind",POWER(Upgrades!$U$12,K15),1))/AG15,0)</f>
        <v/>
      </c>
      <c r="AT15" s="32">
        <f>IFERROR(Upgrades!$H$7*(POWER(Upgrades!$P$6,E15)*POWER(Upgrades!$P$7,F15)*POWER(Upgrades!$P$8,G15)*POWER(Upgrades!$P$9,H15)*POWER(Upgrades!$P$10,I15)*POWER(Upgrades!$P$11,J15)*POWER(Upgrades!$P$12,K15))*(IF(Upgrades!$T$6="Asteroid Belt",POWER(Upgrades!$U$6,E15),1)*IF(Upgrades!$T$8="Asteroid Belt",POWER(Upgrades!$U$8,G15),1)*IF(Upgrades!$T$9="Asteroid Belt",POWER(Upgrades!$U$9,H15),1)*IF(Upgrades!$T$10="Asteroid Belt",POWER(Upgrades!$U$10,I15),1)*IF(Upgrades!$T$11="Asteroid Belt",POWER(Upgrades!$U$11,J15),1)*IF(Upgrades!$T$12="Asteroid Belt",POWER(Upgrades!$U$12,K15),1))/AH15,0)</f>
        <v/>
      </c>
      <c r="AU15" s="32">
        <f>IFERROR(Upgrades!$K$8*(POWER(Upgrades!$Q$6,E15)*POWER(Upgrades!$Q$7,F15)*POWER(Upgrades!$Q$8,G15)*POWER(Upgrades!$Q$9,H15)*POWER(Upgrades!$Q$10,I15)*POWER(Upgrades!$Q$11,J15)*POWER(Upgrades!$Q$12,K15))*(IF(Upgrades!$T$6="Stellar Coupling",POWER(Upgrades!$U$6,E15),1)*IF(Upgrades!$T$7="Stellar Coupling",POWER(Upgrades!$U$7,F15),1)*IF(Upgrades!$T$9="Stellar Coupling",POWER(Upgrades!$U$9,H15),1)*IF(Upgrades!$T$10="Stellar Coupling",POWER(Upgrades!$U$10,I15),1)*IF(Upgrades!$T$11="Stellar Coupling",POWER(Upgrades!$U$11,J15),1)*IF(Upgrades!$T$12="Stellar Coupling",POWER(Upgrades!$U$12,K15),1))*Parameters!$B$10*Parameters!$B$11/60/AI15,0)</f>
        <v/>
      </c>
      <c r="AV15" s="32">
        <f>IFERROR(Upgrades!$H$9*(POWER(Upgrades!$P$6,E15)*POWER(Upgrades!$P$7,F15)*POWER(Upgrades!$P$8,G15)*POWER(Upgrades!$P$9,H15)*POWER(Upgrades!$P$10,I15)*POWER(Upgrades!$P$11,J15)*POWER(Upgrades!$P$12,K15))*(IF(Upgrades!$T$6="Magnetosphere",POWER(Upgrades!$U$6,E15),1)*IF(Upgrades!$T$7="Magnetosphere",POWER(Upgrades!$U$7,F15),1)*IF(Upgrades!$T$8="Magnetosphere",POWER(Upgrades!$U$8,G15),1)*IF(Upgrades!$T$10="Magnetosphere",POWER(Upgrades!$U$10,I15),1)*IF(Upgrades!$T$11="Magnetosphere",POWER(Upgrades!$U$11,J15),1)*IF(Upgrades!$T$12="Magnetosphere",POWER(Upgrades!$U$12,K15),1))/AJ15,0)</f>
        <v/>
      </c>
      <c r="AW15" s="32">
        <f>MAX(IF(I15&gt;0,0,IFERROR(0.25*N15/Upgrades!$C$10,0)),IF(J15&gt;0,0,IFERROR(0.5*((IF(G15=0,0,(Upgrades!$J$8+G15*Upgrades!$K$8)*POWER(Upgrades!$L$8,G15)))*(IF(Upgrades!$T$6="Stellar Coupling",POWER(Upgrades!$U$6,E15),1)*IF(Upgrades!$T$7="Stellar Coupling",POWER(Upgrades!$U$7,F15),1)*IF(Upgrades!$T$9="Stellar Coupling",POWER(Upgrades!$U$9,H15),1)*IF(Upgrades!$T$10="Stellar Coupling",POWER(Upgrades!$U$10,I15),1)*IF(Upgrades!$T$11="Stellar Coupling",POWER(Upgrades!$U$11,J15),1)*IF(Upgrades!$T$12="Stellar Coupling",POWER(Upgrades!$U$12,K15),1))*(POWER(Upgrades!$Q$6,E15)*POWER(Upgrades!$Q$7,F15)*POWER(Upgrades!$Q$8,G15)*POWER(Upgrades!$Q$9,H15)*POWER(Upgrades!$Q$10,I15)*POWER(Upgrades!$Q$11,J15)*POWER(Upgrades!$Q$12,K15))*Parameters!$B$10*Parameters!$B$11/60)/Upgrades!$C$11,0)),IF(K15&gt;0,0,IFERROR((1.0*(POWER(Upgrades!$P$6,E15)*POWER(Upgrades!$P$7,F15)*POWER(Upgrades!$P$8,G15)*POWER(Upgrades!$P$9,H15)*POWER(Upgrades!$P$10,I15)*POWER(Upgrades!$P$11,J15)*POWER(Upgrades!$P$12,K15))+0.20*M15*Parameters!$B$10*Parameters!$B$11/60)/Upgrades!$C$12,0)),IF(AND(ISNUMBER(AG15),AG15&gt;T15),AS15,0),IF(AND(ISNUMBER(AH15),AH15&gt;T15),AT15,0),IF(AND(ISNUMBER(AI15),AI15&gt;T15),AU15,0),IF(AND(ISNUMBER(AJ15),AJ15&gt;T15),AV15,0))</f>
        <v/>
      </c>
      <c r="AX15" s="29">
        <f>IF(AN15=1,"transition",IF(MIN(IF(AND(I15=0,ISNUMBER(AK15),AK15&lt;=T15),AK15,9E15),IF(AND(J15=0,ISNUMBER(AL15),AL15&lt;=T15),AL15,9E15),IF(AND(K15=0,ISNUMBER(AM15),AM15&lt;=T15),AM15,9E15))&lt;9E15,IF(AND(AND(I15=0,ISNUMBER(AK15),AK15&lt;=T15),AK15=MIN(IF(AND(I15=0,ISNUMBER(AK15),AK15&lt;=T15),AK15,9E15),IF(AND(J15=0,ISNUMBER(AL15),AL15&lt;=T15),AL15,9E15),IF(AND(K15=0,ISNUMBER(AM15),AM15&lt;=T15),AM15,9E15))),"OR",IF(AND(AND(J15=0,ISNUMBER(AL15),AL15&lt;=T15),AL15=MIN(IF(AND(I15=0,ISNUMBER(AK15),AK15&lt;=T15),AK15,9E15),IF(AND(J15=0,ISNUMBER(AL15),AL15&lt;=T15),AL15,9E15),IF(AND(K15=0,ISNUMBER(AM15),AM15&lt;=T15),AM15,9E15))),"HP","FP")),IF(AR15=TRUE,"",IF(MAX(IF(AND(NOT(AND(AO15=1,AN15&lt;&gt;1)),ISNUMBER(AG15),AG15&lt;=T15),AS15,0),IF(AND(NOT(AND(AO15=1,AN15&lt;&gt;1)),ISNUMBER(AH15),AH15&lt;=T15),AT15,0),IF(AND(NOT(AND(AO15=1,AN15&lt;&gt;1)),ISNUMBER(AI15),AI15&lt;=T15),AU15,0),IF(AND(ISNUMBER(AJ15),AJ15&lt;=T15),AV15,0))&lt;=0,"",IF(AND(IF(AND(NOT(AND(AO15=1,AN15&lt;&gt;1)),ISNUMBER(AG15),AG15&lt;=T15),AS15,0)&gt;0,IF(AND(NOT(AND(AO15=1,AN15&lt;&gt;1)),ISNUMBER(AG15),AG15&lt;=T15),AS15,0)=MAX(IF(AND(NOT(AND(AO15=1,AN15&lt;&gt;1)),ISNUMBER(AG15),AG15&lt;=T15),AS15,0),IF(AND(NOT(AND(AO15=1,AN15&lt;&gt;1)),ISNUMBER(AH15),AH15&lt;=T15),AT15,0),IF(AND(NOT(AND(AO15=1,AN15&lt;&gt;1)),ISNUMBER(AI15),AI15&lt;=T15),AU15,0),IF(AND(ISNUMBER(AJ15),AJ15&lt;=T15),AV15,0))),"SW",IF(AND(IF(AND(NOT(AND(AO15=1,AN15&lt;&gt;1)),ISNUMBER(AH15),AH15&lt;=T15),AT15,0)&gt;0,IF(AND(NOT(AND(AO15=1,AN15&lt;&gt;1)),ISNUMBER(AH15),AH15&lt;=T15),AT15,0)=MAX(IF(AND(NOT(AND(AO15=1,AN15&lt;&gt;1)),ISNUMBER(AG15),AG15&lt;=T15),AS15,0),IF(AND(NOT(AND(AO15=1,AN15&lt;&gt;1)),ISNUMBER(AH15),AH15&lt;=T15),AT15,0),IF(AND(NOT(AND(AO15=1,AN15&lt;&gt;1)),ISNUMBER(AI15),AI15&lt;=T15),AU15,0),IF(AND(ISNUMBER(AJ15),AJ15&lt;=T15),AV15,0))),"AB",IF(AND(IF(AND(NOT(AND(AO15=1,AN15&lt;&gt;1)),ISNUMBER(AI15),AI15&lt;=T15),AU15,0)&gt;0,IF(AND(NOT(AND(AO15=1,AN15&lt;&gt;1)),ISNUMBER(AI15),AI15&lt;=T15),AU15,0)=MAX(IF(AND(NOT(AND(AO15=1,AN15&lt;&gt;1)),ISNUMBER(AG15),AG15&lt;=T15),AS15,0),IF(AND(NOT(AND(AO15=1,AN15&lt;&gt;1)),ISNUMBER(AH15),AH15&lt;=T15),AT15,0),IF(AND(NOT(AND(AO15=1,AN15&lt;&gt;1)),ISNUMBER(AI15),AI15&lt;=T15),AU15,0),IF(AND(ISNUMBER(AJ15),AJ15&lt;=T15),AV15,0))),"SC","Mag")))))))</f>
        <v/>
      </c>
    </row>
    <row r="16">
      <c r="A16" s="26" t="n">
        <v>11</v>
      </c>
      <c r="B16" s="27">
        <f>A16*10/60</f>
        <v/>
      </c>
      <c r="C16" s="22">
        <f>X15</f>
        <v/>
      </c>
      <c r="D16" s="27">
        <f>D15+W15</f>
        <v/>
      </c>
      <c r="E16" s="26">
        <f>E15+IF(U15="SW",1,0)</f>
        <v/>
      </c>
      <c r="F16" s="26">
        <f>F15+IF(U15="AB",1,0)</f>
        <v/>
      </c>
      <c r="G16" s="26">
        <f>G15+IF(U15="SC",1,0)</f>
        <v/>
      </c>
      <c r="H16" s="26">
        <f>H15+IF(U15="Mag",1,0)</f>
        <v/>
      </c>
      <c r="I16" s="26">
        <f>MAX(I15,IF(U15="OR",1,0))</f>
        <v/>
      </c>
      <c r="J16" s="26">
        <f>MAX(J15,IF(U15="HP",1,0))</f>
        <v/>
      </c>
      <c r="K16" s="26">
        <f>MAX(K15,IF(U15="FP",1,0))</f>
        <v/>
      </c>
      <c r="L16" s="26">
        <f>MAX(L15,IF(U15="transition",1,0))</f>
        <v/>
      </c>
      <c r="M16" s="28">
        <f>(Parameters!$B$9+(IF(E16=0,0,(Upgrades!$J$6+E16*Upgrades!$K$6)*POWER(Upgrades!$L$6,E16)))*(IF(Upgrades!$T$7="Solar Wind",POWER(Upgrades!$U$7,F16),1)*IF(Upgrades!$T$8="Solar Wind",POWER(Upgrades!$U$8,G16),1)*IF(Upgrades!$T$9="Solar Wind",POWER(Upgrades!$U$9,H16),1)*IF(Upgrades!$T$10="Solar Wind",POWER(Upgrades!$U$10,I16),1)*IF(Upgrades!$T$11="Solar Wind",POWER(Upgrades!$U$11,J16),1)*IF(Upgrades!$T$12="Solar Wind",POWER(Upgrades!$U$12,K16),1))+(IF(F16=0,0,(Upgrades!$J$7+F16*Upgrades!$K$7)*POWER(Upgrades!$L$7,F16)))*(IF(Upgrades!$T$6="Asteroid Belt",POWER(Upgrades!$U$6,E16),1)*IF(Upgrades!$T$8="Asteroid Belt",POWER(Upgrades!$U$8,G16),1)*IF(Upgrades!$T$9="Asteroid Belt",POWER(Upgrades!$U$9,H16),1)*IF(Upgrades!$T$10="Asteroid Belt",POWER(Upgrades!$U$10,I16),1)*IF(Upgrades!$T$11="Asteroid Belt",POWER(Upgrades!$U$11,J16),1)*IF(Upgrades!$T$12="Asteroid Belt",POWER(Upgrades!$U$12,K16),1))+(IF(G16=0,0,(Upgrades!$J$8+G16*Upgrades!$K$8)*POWER(Upgrades!$L$8,G16)))*(IF(Upgrades!$T$6="Stellar Coupling",POWER(Upgrades!$U$6,E16),1)*IF(Upgrades!$T$7="Stellar Coupling",POWER(Upgrades!$U$7,F16),1)*IF(Upgrades!$T$9="Stellar Coupling",POWER(Upgrades!$U$9,H16),1)*IF(Upgrades!$T$10="Stellar Coupling",POWER(Upgrades!$U$10,I16),1)*IF(Upgrades!$T$11="Stellar Coupling",POWER(Upgrades!$U$11,J16),1)*IF(Upgrades!$T$12="Stellar Coupling",POWER(Upgrades!$U$12,K16),1))+(IF(H16=0,0,(Upgrades!$J$9+H16*Upgrades!$K$9)*POWER(Upgrades!$L$9,H16)))*(IF(Upgrades!$T$6="Magnetosphere",POWER(Upgrades!$U$6,E16),1)*IF(Upgrades!$T$7="Magnetosphere",POWER(Upgrades!$U$7,F16),1)*IF(Upgrades!$T$8="Magnetosphere",POWER(Upgrades!$U$8,G16),1)*IF(Upgrades!$T$10="Magnetosphere",POWER(Upgrades!$U$10,I16),1)*IF(Upgrades!$T$11="Magnetosphere",POWER(Upgrades!$U$11,J16),1)*IF(Upgrades!$T$12="Magnetosphere",POWER(Upgrades!$U$12,K16),1))+(IF(I16=0,0,(Upgrades!$J$10+I16*Upgrades!$K$10)*POWER(Upgrades!$L$10,I16)))*(IF(Upgrades!$T$6="Orbital Resonance",POWER(Upgrades!$U$6,E16),1)*IF(Upgrades!$T$7="Orbital Resonance",POWER(Upgrades!$U$7,F16),1)*IF(Upgrades!$T$8="Orbital Resonance",POWER(Upgrades!$U$8,G16),1)*IF(Upgrades!$T$9="Orbital Resonance",POWER(Upgrades!$U$9,H16),1)*IF(Upgrades!$T$11="Orbital Resonance",POWER(Upgrades!$U$11,J16),1)*IF(Upgrades!$T$12="Orbital Resonance",POWER(Upgrades!$U$12,K16),1))+(IF(J16=0,0,(Upgrades!$J$11+J16*Upgrades!$K$11)*POWER(Upgrades!$L$11,J16)))*(IF(Upgrades!$T$6="Heliopause",POWER(Upgrades!$U$6,E16),1)*IF(Upgrades!$T$7="Heliopause",POWER(Upgrades!$U$7,F16),1)*IF(Upgrades!$T$8="Heliopause",POWER(Upgrades!$U$8,G16),1)*IF(Upgrades!$T$9="Heliopause",POWER(Upgrades!$U$9,H16),1)*IF(Upgrades!$T$10="Heliopause",POWER(Upgrades!$U$10,I16),1)*IF(Upgrades!$T$12="Heliopause",POWER(Upgrades!$U$12,K16),1))+(IF(K16=0,0,(Upgrades!$J$12+K16*Upgrades!$K$12)*POWER(Upgrades!$L$12,K16)))*(IF(Upgrades!$T$6="First Photons",POWER(Upgrades!$U$6,E16),1)*IF(Upgrades!$T$7="First Photons",POWER(Upgrades!$U$7,F16),1)*IF(Upgrades!$T$8="First Photons",POWER(Upgrades!$U$8,G16),1)*IF(Upgrades!$T$9="First Photons",POWER(Upgrades!$U$9,H16),1)*IF(Upgrades!$T$10="First Photons",POWER(Upgrades!$U$10,I16),1)*IF(Upgrades!$T$11="First Photons",POWER(Upgrades!$U$11,J16),1)))*POWER(Upgrades!$Q$6,E16)*POWER(Upgrades!$Q$7,F16)*POWER(Upgrades!$Q$8,G16)*POWER(Upgrades!$Q$9,H16)*POWER(Upgrades!$Q$10,I16)*POWER(Upgrades!$Q$11,J16)*POWER(Upgrades!$Q$12,K16)</f>
        <v/>
      </c>
      <c r="N16" s="28">
        <f>((IF(E16=0,0,(Upgrades!$G$6+E16*Upgrades!$H$6)*POWER(Upgrades!$I$6,E16)))*(IF(Upgrades!$T$7="Solar Wind",POWER(Upgrades!$U$7,F16),1)*IF(Upgrades!$T$8="Solar Wind",POWER(Upgrades!$U$8,G16),1)*IF(Upgrades!$T$9="Solar Wind",POWER(Upgrades!$U$9,H16),1)*IF(Upgrades!$T$10="Solar Wind",POWER(Upgrades!$U$10,I16),1)*IF(Upgrades!$T$11="Solar Wind",POWER(Upgrades!$U$11,J16),1)*IF(Upgrades!$T$12="Solar Wind",POWER(Upgrades!$U$12,K16),1))+(IF(F16=0,0,(Upgrades!$G$7+F16*Upgrades!$H$7)*POWER(Upgrades!$I$7,F16)))*(IF(Upgrades!$T$6="Asteroid Belt",POWER(Upgrades!$U$6,E16),1)*IF(Upgrades!$T$8="Asteroid Belt",POWER(Upgrades!$U$8,G16),1)*IF(Upgrades!$T$9="Asteroid Belt",POWER(Upgrades!$U$9,H16),1)*IF(Upgrades!$T$10="Asteroid Belt",POWER(Upgrades!$U$10,I16),1)*IF(Upgrades!$T$11="Asteroid Belt",POWER(Upgrades!$U$11,J16),1)*IF(Upgrades!$T$12="Asteroid Belt",POWER(Upgrades!$U$12,K16),1))+(IF(G16=0,0,(Upgrades!$G$8+G16*Upgrades!$H$8)*POWER(Upgrades!$I$8,G16)))*(IF(Upgrades!$T$6="Stellar Coupling",POWER(Upgrades!$U$6,E16),1)*IF(Upgrades!$T$7="Stellar Coupling",POWER(Upgrades!$U$7,F16),1)*IF(Upgrades!$T$9="Stellar Coupling",POWER(Upgrades!$U$9,H16),1)*IF(Upgrades!$T$10="Stellar Coupling",POWER(Upgrades!$U$10,I16),1)*IF(Upgrades!$T$11="Stellar Coupling",POWER(Upgrades!$U$11,J16),1)*IF(Upgrades!$T$12="Stellar Coupling",POWER(Upgrades!$U$12,K16),1))+(IF(H16=0,0,(Upgrades!$G$9+H16*Upgrades!$H$9)*POWER(Upgrades!$I$9,H16)))*(IF(Upgrades!$T$6="Magnetosphere",POWER(Upgrades!$U$6,E16),1)*IF(Upgrades!$T$7="Magnetosphere",POWER(Upgrades!$U$7,F16),1)*IF(Upgrades!$T$8="Magnetosphere",POWER(Upgrades!$U$8,G16),1)*IF(Upgrades!$T$10="Magnetosphere",POWER(Upgrades!$U$10,I16),1)*IF(Upgrades!$T$11="Magnetosphere",POWER(Upgrades!$U$11,J16),1)*IF(Upgrades!$T$12="Magnetosphere",POWER(Upgrades!$U$12,K16),1))+(IF(I16=0,0,(Upgrades!$G$10+I16*Upgrades!$H$10)*POWER(Upgrades!$I$10,I16)))*(IF(Upgrades!$T$6="Orbital Resonance",POWER(Upgrades!$U$6,E16),1)*IF(Upgrades!$T$7="Orbital Resonance",POWER(Upgrades!$U$7,F16),1)*IF(Upgrades!$T$8="Orbital Resonance",POWER(Upgrades!$U$8,G16),1)*IF(Upgrades!$T$9="Orbital Resonance",POWER(Upgrades!$U$9,H16),1)*IF(Upgrades!$T$11="Orbital Resonance",POWER(Upgrades!$U$11,J16),1)*IF(Upgrades!$T$12="Orbital Resonance",POWER(Upgrades!$U$12,K16),1))+(IF(J16=0,0,(Upgrades!$G$11+J16*Upgrades!$H$11)*POWER(Upgrades!$I$11,J16)))*(IF(Upgrades!$T$6="Heliopause",POWER(Upgrades!$U$6,E16),1)*IF(Upgrades!$T$7="Heliopause",POWER(Upgrades!$U$7,F16),1)*IF(Upgrades!$T$8="Heliopause",POWER(Upgrades!$U$8,G16),1)*IF(Upgrades!$T$9="Heliopause",POWER(Upgrades!$U$9,H16),1)*IF(Upgrades!$T$10="Heliopause",POWER(Upgrades!$U$10,I16),1)*IF(Upgrades!$T$12="Heliopause",POWER(Upgrades!$U$12,K16),1))+(IF(K16=0,0,(Upgrades!$G$12+K16*Upgrades!$H$12)*POWER(Upgrades!$I$12,K16)))*(IF(Upgrades!$T$6="First Photons",POWER(Upgrades!$U$6,E16),1)*IF(Upgrades!$T$7="First Photons",POWER(Upgrades!$U$7,F16),1)*IF(Upgrades!$T$8="First Photons",POWER(Upgrades!$U$8,G16),1)*IF(Upgrades!$T$9="First Photons",POWER(Upgrades!$U$9,H16),1)*IF(Upgrades!$T$10="First Photons",POWER(Upgrades!$U$10,I16),1)*IF(Upgrades!$T$11="First Photons",POWER(Upgrades!$U$11,J16),1)))*POWER(Upgrades!$P$6,E16)*POWER(Upgrades!$P$7,F16)*POWER(Upgrades!$P$8,G16)*POWER(Upgrades!$P$9,H16)*POWER(Upgrades!$P$10,I16)*POWER(Upgrades!$P$11,J16)*POWER(Upgrades!$P$12,K16)</f>
        <v/>
      </c>
      <c r="O16" s="28">
        <f>((IF(E16=0,0,(Upgrades!$M$6+E16*Upgrades!$N$6)*POWER(Upgrades!$O$6,E16)))*(IF(Upgrades!$T$7="Solar Wind",POWER(Upgrades!$U$7,F16),1)*IF(Upgrades!$T$8="Solar Wind",POWER(Upgrades!$U$8,G16),1)*IF(Upgrades!$T$9="Solar Wind",POWER(Upgrades!$U$9,H16),1)*IF(Upgrades!$T$10="Solar Wind",POWER(Upgrades!$U$10,I16),1)*IF(Upgrades!$T$11="Solar Wind",POWER(Upgrades!$U$11,J16),1)*IF(Upgrades!$T$12="Solar Wind",POWER(Upgrades!$U$12,K16),1))+(IF(F16=0,0,(Upgrades!$M$7+F16*Upgrades!$N$7)*POWER(Upgrades!$O$7,F16)))*(IF(Upgrades!$T$6="Asteroid Belt",POWER(Upgrades!$U$6,E16),1)*IF(Upgrades!$T$8="Asteroid Belt",POWER(Upgrades!$U$8,G16),1)*IF(Upgrades!$T$9="Asteroid Belt",POWER(Upgrades!$U$9,H16),1)*IF(Upgrades!$T$10="Asteroid Belt",POWER(Upgrades!$U$10,I16),1)*IF(Upgrades!$T$11="Asteroid Belt",POWER(Upgrades!$U$11,J16),1)*IF(Upgrades!$T$12="Asteroid Belt",POWER(Upgrades!$U$12,K16),1))+(IF(G16=0,0,(Upgrades!$M$8+G16*Upgrades!$N$8)*POWER(Upgrades!$O$8,G16)))*(IF(Upgrades!$T$6="Stellar Coupling",POWER(Upgrades!$U$6,E16),1)*IF(Upgrades!$T$7="Stellar Coupling",POWER(Upgrades!$U$7,F16),1)*IF(Upgrades!$T$9="Stellar Coupling",POWER(Upgrades!$U$9,H16),1)*IF(Upgrades!$T$10="Stellar Coupling",POWER(Upgrades!$U$10,I16),1)*IF(Upgrades!$T$11="Stellar Coupling",POWER(Upgrades!$U$11,J16),1)*IF(Upgrades!$T$12="Stellar Coupling",POWER(Upgrades!$U$12,K16),1))+(IF(H16=0,0,(Upgrades!$M$9+H16*Upgrades!$N$9)*POWER(Upgrades!$O$9,H16)))*(IF(Upgrades!$T$6="Magnetosphere",POWER(Upgrades!$U$6,E16),1)*IF(Upgrades!$T$7="Magnetosphere",POWER(Upgrades!$U$7,F16),1)*IF(Upgrades!$T$8="Magnetosphere",POWER(Upgrades!$U$8,G16),1)*IF(Upgrades!$T$10="Magnetosphere",POWER(Upgrades!$U$10,I16),1)*IF(Upgrades!$T$11="Magnetosphere",POWER(Upgrades!$U$11,J16),1)*IF(Upgrades!$T$12="Magnetosphere",POWER(Upgrades!$U$12,K16),1))+(IF(I16=0,0,(Upgrades!$M$10+I16*Upgrades!$N$10)*POWER(Upgrades!$O$10,I16)))*(IF(Upgrades!$T$6="Orbital Resonance",POWER(Upgrades!$U$6,E16),1)*IF(Upgrades!$T$7="Orbital Resonance",POWER(Upgrades!$U$7,F16),1)*IF(Upgrades!$T$8="Orbital Resonance",POWER(Upgrades!$U$8,G16),1)*IF(Upgrades!$T$9="Orbital Resonance",POWER(Upgrades!$U$9,H16),1)*IF(Upgrades!$T$11="Orbital Resonance",POWER(Upgrades!$U$11,J16),1)*IF(Upgrades!$T$12="Orbital Resonance",POWER(Upgrades!$U$12,K16),1))+(IF(J16=0,0,(Upgrades!$M$11+J16*Upgrades!$N$11)*POWER(Upgrades!$O$11,J16)))*(IF(Upgrades!$T$6="Heliopause",POWER(Upgrades!$U$6,E16),1)*IF(Upgrades!$T$7="Heliopause",POWER(Upgrades!$U$7,F16),1)*IF(Upgrades!$T$8="Heliopause",POWER(Upgrades!$U$8,G16),1)*IF(Upgrades!$T$9="Heliopause",POWER(Upgrades!$U$9,H16),1)*IF(Upgrades!$T$10="Heliopause",POWER(Upgrades!$U$10,I16),1)*IF(Upgrades!$T$12="Heliopause",POWER(Upgrades!$U$12,K16),1))+(IF(K16=0,0,(Upgrades!$M$12+K16*Upgrades!$N$12)*POWER(Upgrades!$O$12,K16)))*(IF(Upgrades!$T$6="First Photons",POWER(Upgrades!$U$6,E16),1)*IF(Upgrades!$T$7="First Photons",POWER(Upgrades!$U$7,F16),1)*IF(Upgrades!$T$8="First Photons",POWER(Upgrades!$U$8,G16),1)*IF(Upgrades!$T$9="First Photons",POWER(Upgrades!$U$9,H16),1)*IF(Upgrades!$T$10="First Photons",POWER(Upgrades!$U$10,I16),1)*IF(Upgrades!$T$11="First Photons",POWER(Upgrades!$U$11,J16),1)))*POWER(Upgrades!$R$6,E16)*POWER(Upgrades!$R$7,F16)*POWER(Upgrades!$R$8,G16)*POWER(Upgrades!$R$9,H16)*POWER(Upgrades!$R$10,I16)*POWER(Upgrades!$R$11,J16)*POWER(Upgrades!$R$12,K16)</f>
        <v/>
      </c>
      <c r="P16" s="27">
        <f>IF(L16=1,0,M16*Parameters!$B$10/60*Parameters!$B$11*10)</f>
        <v/>
      </c>
      <c r="Q16" s="27">
        <f>IF(L16=1,0,O16*M16*10)</f>
        <v/>
      </c>
      <c r="R16" s="27">
        <f>IF(L16=1,0,N16*10)</f>
        <v/>
      </c>
      <c r="S16" s="27">
        <f>P16+Q16+R16</f>
        <v/>
      </c>
      <c r="T16" s="22">
        <f>C16+S16</f>
        <v/>
      </c>
      <c r="U16" s="33">
        <f>AX16</f>
        <v/>
      </c>
      <c r="V16" s="22">
        <f>IF(U16="",0,IF(U16="transition",0,IF(U16="SW",AG16,IF(U16="AB",AH16,IF(U16="SC",AI16,IF(U16="Mag",AJ16,IF(U16="OR",AK16,IF(U16="HP",AL16,IF(U16="FP",AM16,0)))))))))</f>
        <v/>
      </c>
      <c r="W16" s="27">
        <f>IF(U16="OR",Upgrades!$F$10,IF(U16="HP",Upgrades!$F$11,IF(U16="transition",-Parameters!$B$18,0)))</f>
        <v/>
      </c>
      <c r="X16" s="22">
        <f>T16-V16</f>
        <v/>
      </c>
      <c r="Y16" s="30">
        <f>M16*Parameters!$B$10/60*Parameters!$B$11+O16*M16+N16</f>
        <v/>
      </c>
      <c r="Z16" s="34">
        <f>IF(U16="transition","→ Tier 2 (Stellar Neighborhood)",IF(U16="FP","First Photons — light begins, system quickens",IF(U16="HP","Heliopause acquired",IF(U16="OR","Orbital Resonance — passive multiplier active",IF(AND(AO16=1,L16=0,AN16&lt;&gt;1),"Cohesion ready (waiting on completionist upgrades)","")))))</f>
        <v/>
      </c>
      <c r="AA16" s="27">
        <f>(IF(E16=0,0,(Upgrades!$G$6+E16*Upgrades!$H$6)*POWER(Upgrades!$I$6,E16)))*(IF(Upgrades!$T$7="Solar Wind",POWER(Upgrades!$U$7,F16),1)*IF(Upgrades!$T$8="Solar Wind",POWER(Upgrades!$U$8,G16),1)*IF(Upgrades!$T$9="Solar Wind",POWER(Upgrades!$U$9,H16),1)*IF(Upgrades!$T$10="Solar Wind",POWER(Upgrades!$U$10,I16),1)*IF(Upgrades!$T$11="Solar Wind",POWER(Upgrades!$U$11,J16),1)*IF(Upgrades!$T$12="Solar Wind",POWER(Upgrades!$U$12,K16),1))*POWER(Upgrades!$P$6,E16)*POWER(Upgrades!$P$7,F16)*POWER(Upgrades!$P$8,G16)*POWER(Upgrades!$P$9,H16)*POWER(Upgrades!$P$10,I16)*POWER(Upgrades!$P$11,J16)*POWER(Upgrades!$P$12,K16)*60</f>
        <v/>
      </c>
      <c r="AB16" s="27">
        <f>(IF(F16=0,0,(Upgrades!$G$7+F16*Upgrades!$H$7)*POWER(Upgrades!$I$7,F16)))*(IF(Upgrades!$T$6="Asteroid Belt",POWER(Upgrades!$U$6,E16),1)*IF(Upgrades!$T$8="Asteroid Belt",POWER(Upgrades!$U$8,G16),1)*IF(Upgrades!$T$9="Asteroid Belt",POWER(Upgrades!$U$9,H16),1)*IF(Upgrades!$T$10="Asteroid Belt",POWER(Upgrades!$U$10,I16),1)*IF(Upgrades!$T$11="Asteroid Belt",POWER(Upgrades!$U$11,J16),1)*IF(Upgrades!$T$12="Asteroid Belt",POWER(Upgrades!$U$12,K16),1))*POWER(Upgrades!$P$6,E16)*POWER(Upgrades!$P$7,F16)*POWER(Upgrades!$P$8,G16)*POWER(Upgrades!$P$9,H16)*POWER(Upgrades!$P$10,I16)*POWER(Upgrades!$P$11,J16)*POWER(Upgrades!$P$12,K16)*60</f>
        <v/>
      </c>
      <c r="AC16" s="27">
        <f>(IF(G16=0,0,(Upgrades!$J$8+G16*Upgrades!$K$8)*POWER(Upgrades!$L$8,G16)))*(IF(Upgrades!$T$6="Stellar Coupling",POWER(Upgrades!$U$6,E16),1)*IF(Upgrades!$T$7="Stellar Coupling",POWER(Upgrades!$U$7,F16),1)*IF(Upgrades!$T$9="Stellar Coupling",POWER(Upgrades!$U$9,H16),1)*IF(Upgrades!$T$10="Stellar Coupling",POWER(Upgrades!$U$10,I16),1)*IF(Upgrades!$T$11="Stellar Coupling",POWER(Upgrades!$U$11,J16),1)*IF(Upgrades!$T$12="Stellar Coupling",POWER(Upgrades!$U$12,K16),1))*POWER(Upgrades!$Q$6,E16)*POWER(Upgrades!$Q$7,F16)*POWER(Upgrades!$Q$8,G16)*POWER(Upgrades!$Q$9,H16)*POWER(Upgrades!$Q$10,I16)*POWER(Upgrades!$Q$11,J16)*POWER(Upgrades!$Q$12,K16)*Parameters!$B$10*Parameters!$B$11</f>
        <v/>
      </c>
      <c r="AD16" s="27">
        <f>(IF(H16=0,0,(Upgrades!$G$9+H16*Upgrades!$H$9)*POWER(Upgrades!$I$9,H16)))*(IF(Upgrades!$T$6="Magnetosphere",POWER(Upgrades!$U$6,E16),1)*IF(Upgrades!$T$7="Magnetosphere",POWER(Upgrades!$U$7,F16),1)*IF(Upgrades!$T$8="Magnetosphere",POWER(Upgrades!$U$8,G16),1)*IF(Upgrades!$T$10="Magnetosphere",POWER(Upgrades!$U$10,I16),1)*IF(Upgrades!$T$11="Magnetosphere",POWER(Upgrades!$U$11,J16),1)*IF(Upgrades!$T$12="Magnetosphere",POWER(Upgrades!$U$12,K16),1))*POWER(Upgrades!$P$6,E16)*POWER(Upgrades!$P$7,F16)*POWER(Upgrades!$P$8,G16)*POWER(Upgrades!$P$9,H16)*POWER(Upgrades!$P$10,I16)*POWER(Upgrades!$P$11,J16)*POWER(Upgrades!$P$12,K16)*60</f>
        <v/>
      </c>
      <c r="AE16" s="27">
        <f>(IF(K16=0,0,(Upgrades!$G$12+K16*Upgrades!$H$12)*POWER(Upgrades!$I$12,K16)))*(IF(Upgrades!$T$6="First Photons",POWER(Upgrades!$U$6,E16),1)*IF(Upgrades!$T$7="First Photons",POWER(Upgrades!$U$7,F16),1)*IF(Upgrades!$T$8="First Photons",POWER(Upgrades!$U$8,G16),1)*IF(Upgrades!$T$9="First Photons",POWER(Upgrades!$U$9,H16),1)*IF(Upgrades!$T$10="First Photons",POWER(Upgrades!$U$10,I16),1)*IF(Upgrades!$T$11="First Photons",POWER(Upgrades!$U$11,J16),1))*POWER(Upgrades!$P$6,E16)*POWER(Upgrades!$P$7,F16)*POWER(Upgrades!$P$8,G16)*POWER(Upgrades!$P$9,H16)*POWER(Upgrades!$P$10,I16)*POWER(Upgrades!$P$11,J16)*POWER(Upgrades!$P$12,K16)*60</f>
        <v/>
      </c>
      <c r="AF16" s="27">
        <f>Parameters!$B$9*POWER(Upgrades!$Q$6,E16)*POWER(Upgrades!$Q$7,F16)*POWER(Upgrades!$Q$8,G16)*POWER(Upgrades!$Q$9,H16)*POWER(Upgrades!$Q$10,I16)*POWER(Upgrades!$Q$11,J16)*POWER(Upgrades!$Q$12,K16)*(Parameters!$B$10*Parameters!$B$11+O16*60)</f>
        <v/>
      </c>
      <c r="AG16" s="22">
        <f>IF(E16&gt;=Upgrades!$E$6,"",Upgrades!$C$6*POWER(Upgrades!$D$6,E16))</f>
        <v/>
      </c>
      <c r="AH16" s="22">
        <f>IF(F16&gt;=Upgrades!$E$7,"",Upgrades!$C$7*POWER(Upgrades!$D$7,F16))</f>
        <v/>
      </c>
      <c r="AI16" s="22">
        <f>IF(G16&gt;=Upgrades!$E$8,"",Upgrades!$C$8*POWER(Upgrades!$D$8,G16))</f>
        <v/>
      </c>
      <c r="AJ16" s="22">
        <f>IF(H16&gt;=Upgrades!$E$9,"",Upgrades!$C$9*POWER(Upgrades!$D$9,H16))</f>
        <v/>
      </c>
      <c r="AK16" s="22">
        <f>IF(I16&gt;=Upgrades!$E$10,"",Upgrades!$C$10*POWER(Upgrades!$D$10,I16))</f>
        <v/>
      </c>
      <c r="AL16" s="22">
        <f>IF(J16&gt;=Upgrades!$E$11,"",Upgrades!$C$11*POWER(Upgrades!$D$11,J16))</f>
        <v/>
      </c>
      <c r="AM16" s="22">
        <f>IF(K16&gt;=Upgrades!$E$12,"",Upgrades!$C$12*POWER(Upgrades!$D$12,K16))</f>
        <v/>
      </c>
      <c r="AN16" s="26">
        <f>IF(AND(D16&gt;=Parameters!$B$18,(H16&gt;=Upgrades!$E$9)*(K16&gt;=Upgrades!$E$12)=1,L16=0),1,"")</f>
        <v/>
      </c>
      <c r="AO16" s="26">
        <f>IF(AND(D16&gt;=Parameters!$B$18,L16=0),1,"")</f>
        <v/>
      </c>
      <c r="AP16" s="22">
        <f>MIN(IF(ISNUMBER(AK16),AK16,9E15),IF(ISNUMBER(AL16),AL16,9E15),IF(ISNUMBER(AM16),AM16,9E15))</f>
        <v/>
      </c>
      <c r="AQ16" s="22">
        <f>MIN(IF(ISNUMBER(AG16),AG16,9E15),IF(ISNUMBER(AH16),AH16,9E15),IF(ISNUMBER(AI16),AI16,9E15),IF(ISNUMBER(AJ16),AJ16,9E15))</f>
        <v/>
      </c>
      <c r="AR16" s="29">
        <f>IF(AW16&gt;Parameters!$B$21*(MAX(IF(AND(NOT(AND(AO16=1,AN16&lt;&gt;1)),ISNUMBER(AG16),AG16&lt;=T16),AS16,0),IF(AND(NOT(AND(AO16=1,AN16&lt;&gt;1)),ISNUMBER(AH16),AH16&lt;=T16),AT16,0),IF(AND(NOT(AND(AO16=1,AN16&lt;&gt;1)),ISNUMBER(AI16),AI16&lt;=T16),AU16,0),IF(AND(ISNUMBER(AJ16),AJ16&lt;=T16),AV16,0))),TRUE,FALSE)</f>
        <v/>
      </c>
      <c r="AS16" s="32">
        <f>IFERROR(Upgrades!$H$6*(POWER(Upgrades!$P$6,E16)*POWER(Upgrades!$P$7,F16)*POWER(Upgrades!$P$8,G16)*POWER(Upgrades!$P$9,H16)*POWER(Upgrades!$P$10,I16)*POWER(Upgrades!$P$11,J16)*POWER(Upgrades!$P$12,K16))*(IF(Upgrades!$T$7="Solar Wind",POWER(Upgrades!$U$7,F16),1)*IF(Upgrades!$T$8="Solar Wind",POWER(Upgrades!$U$8,G16),1)*IF(Upgrades!$T$9="Solar Wind",POWER(Upgrades!$U$9,H16),1)*IF(Upgrades!$T$10="Solar Wind",POWER(Upgrades!$U$10,I16),1)*IF(Upgrades!$T$11="Solar Wind",POWER(Upgrades!$U$11,J16),1)*IF(Upgrades!$T$12="Solar Wind",POWER(Upgrades!$U$12,K16),1))/AG16,0)</f>
        <v/>
      </c>
      <c r="AT16" s="32">
        <f>IFERROR(Upgrades!$H$7*(POWER(Upgrades!$P$6,E16)*POWER(Upgrades!$P$7,F16)*POWER(Upgrades!$P$8,G16)*POWER(Upgrades!$P$9,H16)*POWER(Upgrades!$P$10,I16)*POWER(Upgrades!$P$11,J16)*POWER(Upgrades!$P$12,K16))*(IF(Upgrades!$T$6="Asteroid Belt",POWER(Upgrades!$U$6,E16),1)*IF(Upgrades!$T$8="Asteroid Belt",POWER(Upgrades!$U$8,G16),1)*IF(Upgrades!$T$9="Asteroid Belt",POWER(Upgrades!$U$9,H16),1)*IF(Upgrades!$T$10="Asteroid Belt",POWER(Upgrades!$U$10,I16),1)*IF(Upgrades!$T$11="Asteroid Belt",POWER(Upgrades!$U$11,J16),1)*IF(Upgrades!$T$12="Asteroid Belt",POWER(Upgrades!$U$12,K16),1))/AH16,0)</f>
        <v/>
      </c>
      <c r="AU16" s="32">
        <f>IFERROR(Upgrades!$K$8*(POWER(Upgrades!$Q$6,E16)*POWER(Upgrades!$Q$7,F16)*POWER(Upgrades!$Q$8,G16)*POWER(Upgrades!$Q$9,H16)*POWER(Upgrades!$Q$10,I16)*POWER(Upgrades!$Q$11,J16)*POWER(Upgrades!$Q$12,K16))*(IF(Upgrades!$T$6="Stellar Coupling",POWER(Upgrades!$U$6,E16),1)*IF(Upgrades!$T$7="Stellar Coupling",POWER(Upgrades!$U$7,F16),1)*IF(Upgrades!$T$9="Stellar Coupling",POWER(Upgrades!$U$9,H16),1)*IF(Upgrades!$T$10="Stellar Coupling",POWER(Upgrades!$U$10,I16),1)*IF(Upgrades!$T$11="Stellar Coupling",POWER(Upgrades!$U$11,J16),1)*IF(Upgrades!$T$12="Stellar Coupling",POWER(Upgrades!$U$12,K16),1))*Parameters!$B$10*Parameters!$B$11/60/AI16,0)</f>
        <v/>
      </c>
      <c r="AV16" s="32">
        <f>IFERROR(Upgrades!$H$9*(POWER(Upgrades!$P$6,E16)*POWER(Upgrades!$P$7,F16)*POWER(Upgrades!$P$8,G16)*POWER(Upgrades!$P$9,H16)*POWER(Upgrades!$P$10,I16)*POWER(Upgrades!$P$11,J16)*POWER(Upgrades!$P$12,K16))*(IF(Upgrades!$T$6="Magnetosphere",POWER(Upgrades!$U$6,E16),1)*IF(Upgrades!$T$7="Magnetosphere",POWER(Upgrades!$U$7,F16),1)*IF(Upgrades!$T$8="Magnetosphere",POWER(Upgrades!$U$8,G16),1)*IF(Upgrades!$T$10="Magnetosphere",POWER(Upgrades!$U$10,I16),1)*IF(Upgrades!$T$11="Magnetosphere",POWER(Upgrades!$U$11,J16),1)*IF(Upgrades!$T$12="Magnetosphere",POWER(Upgrades!$U$12,K16),1))/AJ16,0)</f>
        <v/>
      </c>
      <c r="AW16" s="32">
        <f>MAX(IF(I16&gt;0,0,IFERROR(0.25*N16/Upgrades!$C$10,0)),IF(J16&gt;0,0,IFERROR(0.5*((IF(G16=0,0,(Upgrades!$J$8+G16*Upgrades!$K$8)*POWER(Upgrades!$L$8,G16)))*(IF(Upgrades!$T$6="Stellar Coupling",POWER(Upgrades!$U$6,E16),1)*IF(Upgrades!$T$7="Stellar Coupling",POWER(Upgrades!$U$7,F16),1)*IF(Upgrades!$T$9="Stellar Coupling",POWER(Upgrades!$U$9,H16),1)*IF(Upgrades!$T$10="Stellar Coupling",POWER(Upgrades!$U$10,I16),1)*IF(Upgrades!$T$11="Stellar Coupling",POWER(Upgrades!$U$11,J16),1)*IF(Upgrades!$T$12="Stellar Coupling",POWER(Upgrades!$U$12,K16),1))*(POWER(Upgrades!$Q$6,E16)*POWER(Upgrades!$Q$7,F16)*POWER(Upgrades!$Q$8,G16)*POWER(Upgrades!$Q$9,H16)*POWER(Upgrades!$Q$10,I16)*POWER(Upgrades!$Q$11,J16)*POWER(Upgrades!$Q$12,K16))*Parameters!$B$10*Parameters!$B$11/60)/Upgrades!$C$11,0)),IF(K16&gt;0,0,IFERROR((1.0*(POWER(Upgrades!$P$6,E16)*POWER(Upgrades!$P$7,F16)*POWER(Upgrades!$P$8,G16)*POWER(Upgrades!$P$9,H16)*POWER(Upgrades!$P$10,I16)*POWER(Upgrades!$P$11,J16)*POWER(Upgrades!$P$12,K16))+0.20*M16*Parameters!$B$10*Parameters!$B$11/60)/Upgrades!$C$12,0)),IF(AND(ISNUMBER(AG16),AG16&gt;T16),AS16,0),IF(AND(ISNUMBER(AH16),AH16&gt;T16),AT16,0),IF(AND(ISNUMBER(AI16),AI16&gt;T16),AU16,0),IF(AND(ISNUMBER(AJ16),AJ16&gt;T16),AV16,0))</f>
        <v/>
      </c>
      <c r="AX16" s="29">
        <f>IF(AN16=1,"transition",IF(MIN(IF(AND(I16=0,ISNUMBER(AK16),AK16&lt;=T16),AK16,9E15),IF(AND(J16=0,ISNUMBER(AL16),AL16&lt;=T16),AL16,9E15),IF(AND(K16=0,ISNUMBER(AM16),AM16&lt;=T16),AM16,9E15))&lt;9E15,IF(AND(AND(I16=0,ISNUMBER(AK16),AK16&lt;=T16),AK16=MIN(IF(AND(I16=0,ISNUMBER(AK16),AK16&lt;=T16),AK16,9E15),IF(AND(J16=0,ISNUMBER(AL16),AL16&lt;=T16),AL16,9E15),IF(AND(K16=0,ISNUMBER(AM16),AM16&lt;=T16),AM16,9E15))),"OR",IF(AND(AND(J16=0,ISNUMBER(AL16),AL16&lt;=T16),AL16=MIN(IF(AND(I16=0,ISNUMBER(AK16),AK16&lt;=T16),AK16,9E15),IF(AND(J16=0,ISNUMBER(AL16),AL16&lt;=T16),AL16,9E15),IF(AND(K16=0,ISNUMBER(AM16),AM16&lt;=T16),AM16,9E15))),"HP","FP")),IF(AR16=TRUE,"",IF(MAX(IF(AND(NOT(AND(AO16=1,AN16&lt;&gt;1)),ISNUMBER(AG16),AG16&lt;=T16),AS16,0),IF(AND(NOT(AND(AO16=1,AN16&lt;&gt;1)),ISNUMBER(AH16),AH16&lt;=T16),AT16,0),IF(AND(NOT(AND(AO16=1,AN16&lt;&gt;1)),ISNUMBER(AI16),AI16&lt;=T16),AU16,0),IF(AND(ISNUMBER(AJ16),AJ16&lt;=T16),AV16,0))&lt;=0,"",IF(AND(IF(AND(NOT(AND(AO16=1,AN16&lt;&gt;1)),ISNUMBER(AG16),AG16&lt;=T16),AS16,0)&gt;0,IF(AND(NOT(AND(AO16=1,AN16&lt;&gt;1)),ISNUMBER(AG16),AG16&lt;=T16),AS16,0)=MAX(IF(AND(NOT(AND(AO16=1,AN16&lt;&gt;1)),ISNUMBER(AG16),AG16&lt;=T16),AS16,0),IF(AND(NOT(AND(AO16=1,AN16&lt;&gt;1)),ISNUMBER(AH16),AH16&lt;=T16),AT16,0),IF(AND(NOT(AND(AO16=1,AN16&lt;&gt;1)),ISNUMBER(AI16),AI16&lt;=T16),AU16,0),IF(AND(ISNUMBER(AJ16),AJ16&lt;=T16),AV16,0))),"SW",IF(AND(IF(AND(NOT(AND(AO16=1,AN16&lt;&gt;1)),ISNUMBER(AH16),AH16&lt;=T16),AT16,0)&gt;0,IF(AND(NOT(AND(AO16=1,AN16&lt;&gt;1)),ISNUMBER(AH16),AH16&lt;=T16),AT16,0)=MAX(IF(AND(NOT(AND(AO16=1,AN16&lt;&gt;1)),ISNUMBER(AG16),AG16&lt;=T16),AS16,0),IF(AND(NOT(AND(AO16=1,AN16&lt;&gt;1)),ISNUMBER(AH16),AH16&lt;=T16),AT16,0),IF(AND(NOT(AND(AO16=1,AN16&lt;&gt;1)),ISNUMBER(AI16),AI16&lt;=T16),AU16,0),IF(AND(ISNUMBER(AJ16),AJ16&lt;=T16),AV16,0))),"AB",IF(AND(IF(AND(NOT(AND(AO16=1,AN16&lt;&gt;1)),ISNUMBER(AI16),AI16&lt;=T16),AU16,0)&gt;0,IF(AND(NOT(AND(AO16=1,AN16&lt;&gt;1)),ISNUMBER(AI16),AI16&lt;=T16),AU16,0)=MAX(IF(AND(NOT(AND(AO16=1,AN16&lt;&gt;1)),ISNUMBER(AG16),AG16&lt;=T16),AS16,0),IF(AND(NOT(AND(AO16=1,AN16&lt;&gt;1)),ISNUMBER(AH16),AH16&lt;=T16),AT16,0),IF(AND(NOT(AND(AO16=1,AN16&lt;&gt;1)),ISNUMBER(AI16),AI16&lt;=T16),AU16,0),IF(AND(ISNUMBER(AJ16),AJ16&lt;=T16),AV16,0))),"SC","Mag")))))))</f>
        <v/>
      </c>
    </row>
    <row r="17">
      <c r="A17" s="26" t="n">
        <v>12</v>
      </c>
      <c r="B17" s="27">
        <f>A17*10/60</f>
        <v/>
      </c>
      <c r="C17" s="22">
        <f>X16</f>
        <v/>
      </c>
      <c r="D17" s="27">
        <f>D16+W16</f>
        <v/>
      </c>
      <c r="E17" s="26">
        <f>E16+IF(U16="SW",1,0)</f>
        <v/>
      </c>
      <c r="F17" s="26">
        <f>F16+IF(U16="AB",1,0)</f>
        <v/>
      </c>
      <c r="G17" s="26">
        <f>G16+IF(U16="SC",1,0)</f>
        <v/>
      </c>
      <c r="H17" s="26">
        <f>H16+IF(U16="Mag",1,0)</f>
        <v/>
      </c>
      <c r="I17" s="26">
        <f>MAX(I16,IF(U16="OR",1,0))</f>
        <v/>
      </c>
      <c r="J17" s="26">
        <f>MAX(J16,IF(U16="HP",1,0))</f>
        <v/>
      </c>
      <c r="K17" s="26">
        <f>MAX(K16,IF(U16="FP",1,0))</f>
        <v/>
      </c>
      <c r="L17" s="26">
        <f>MAX(L16,IF(U16="transition",1,0))</f>
        <v/>
      </c>
      <c r="M17" s="28">
        <f>(Parameters!$B$9+(IF(E17=0,0,(Upgrades!$J$6+E17*Upgrades!$K$6)*POWER(Upgrades!$L$6,E17)))*(IF(Upgrades!$T$7="Solar Wind",POWER(Upgrades!$U$7,F17),1)*IF(Upgrades!$T$8="Solar Wind",POWER(Upgrades!$U$8,G17),1)*IF(Upgrades!$T$9="Solar Wind",POWER(Upgrades!$U$9,H17),1)*IF(Upgrades!$T$10="Solar Wind",POWER(Upgrades!$U$10,I17),1)*IF(Upgrades!$T$11="Solar Wind",POWER(Upgrades!$U$11,J17),1)*IF(Upgrades!$T$12="Solar Wind",POWER(Upgrades!$U$12,K17),1))+(IF(F17=0,0,(Upgrades!$J$7+F17*Upgrades!$K$7)*POWER(Upgrades!$L$7,F17)))*(IF(Upgrades!$T$6="Asteroid Belt",POWER(Upgrades!$U$6,E17),1)*IF(Upgrades!$T$8="Asteroid Belt",POWER(Upgrades!$U$8,G17),1)*IF(Upgrades!$T$9="Asteroid Belt",POWER(Upgrades!$U$9,H17),1)*IF(Upgrades!$T$10="Asteroid Belt",POWER(Upgrades!$U$10,I17),1)*IF(Upgrades!$T$11="Asteroid Belt",POWER(Upgrades!$U$11,J17),1)*IF(Upgrades!$T$12="Asteroid Belt",POWER(Upgrades!$U$12,K17),1))+(IF(G17=0,0,(Upgrades!$J$8+G17*Upgrades!$K$8)*POWER(Upgrades!$L$8,G17)))*(IF(Upgrades!$T$6="Stellar Coupling",POWER(Upgrades!$U$6,E17),1)*IF(Upgrades!$T$7="Stellar Coupling",POWER(Upgrades!$U$7,F17),1)*IF(Upgrades!$T$9="Stellar Coupling",POWER(Upgrades!$U$9,H17),1)*IF(Upgrades!$T$10="Stellar Coupling",POWER(Upgrades!$U$10,I17),1)*IF(Upgrades!$T$11="Stellar Coupling",POWER(Upgrades!$U$11,J17),1)*IF(Upgrades!$T$12="Stellar Coupling",POWER(Upgrades!$U$12,K17),1))+(IF(H17=0,0,(Upgrades!$J$9+H17*Upgrades!$K$9)*POWER(Upgrades!$L$9,H17)))*(IF(Upgrades!$T$6="Magnetosphere",POWER(Upgrades!$U$6,E17),1)*IF(Upgrades!$T$7="Magnetosphere",POWER(Upgrades!$U$7,F17),1)*IF(Upgrades!$T$8="Magnetosphere",POWER(Upgrades!$U$8,G17),1)*IF(Upgrades!$T$10="Magnetosphere",POWER(Upgrades!$U$10,I17),1)*IF(Upgrades!$T$11="Magnetosphere",POWER(Upgrades!$U$11,J17),1)*IF(Upgrades!$T$12="Magnetosphere",POWER(Upgrades!$U$12,K17),1))+(IF(I17=0,0,(Upgrades!$J$10+I17*Upgrades!$K$10)*POWER(Upgrades!$L$10,I17)))*(IF(Upgrades!$T$6="Orbital Resonance",POWER(Upgrades!$U$6,E17),1)*IF(Upgrades!$T$7="Orbital Resonance",POWER(Upgrades!$U$7,F17),1)*IF(Upgrades!$T$8="Orbital Resonance",POWER(Upgrades!$U$8,G17),1)*IF(Upgrades!$T$9="Orbital Resonance",POWER(Upgrades!$U$9,H17),1)*IF(Upgrades!$T$11="Orbital Resonance",POWER(Upgrades!$U$11,J17),1)*IF(Upgrades!$T$12="Orbital Resonance",POWER(Upgrades!$U$12,K17),1))+(IF(J17=0,0,(Upgrades!$J$11+J17*Upgrades!$K$11)*POWER(Upgrades!$L$11,J17)))*(IF(Upgrades!$T$6="Heliopause",POWER(Upgrades!$U$6,E17),1)*IF(Upgrades!$T$7="Heliopause",POWER(Upgrades!$U$7,F17),1)*IF(Upgrades!$T$8="Heliopause",POWER(Upgrades!$U$8,G17),1)*IF(Upgrades!$T$9="Heliopause",POWER(Upgrades!$U$9,H17),1)*IF(Upgrades!$T$10="Heliopause",POWER(Upgrades!$U$10,I17),1)*IF(Upgrades!$T$12="Heliopause",POWER(Upgrades!$U$12,K17),1))+(IF(K17=0,0,(Upgrades!$J$12+K17*Upgrades!$K$12)*POWER(Upgrades!$L$12,K17)))*(IF(Upgrades!$T$6="First Photons",POWER(Upgrades!$U$6,E17),1)*IF(Upgrades!$T$7="First Photons",POWER(Upgrades!$U$7,F17),1)*IF(Upgrades!$T$8="First Photons",POWER(Upgrades!$U$8,G17),1)*IF(Upgrades!$T$9="First Photons",POWER(Upgrades!$U$9,H17),1)*IF(Upgrades!$T$10="First Photons",POWER(Upgrades!$U$10,I17),1)*IF(Upgrades!$T$11="First Photons",POWER(Upgrades!$U$11,J17),1)))*POWER(Upgrades!$Q$6,E17)*POWER(Upgrades!$Q$7,F17)*POWER(Upgrades!$Q$8,G17)*POWER(Upgrades!$Q$9,H17)*POWER(Upgrades!$Q$10,I17)*POWER(Upgrades!$Q$11,J17)*POWER(Upgrades!$Q$12,K17)</f>
        <v/>
      </c>
      <c r="N17" s="28">
        <f>((IF(E17=0,0,(Upgrades!$G$6+E17*Upgrades!$H$6)*POWER(Upgrades!$I$6,E17)))*(IF(Upgrades!$T$7="Solar Wind",POWER(Upgrades!$U$7,F17),1)*IF(Upgrades!$T$8="Solar Wind",POWER(Upgrades!$U$8,G17),1)*IF(Upgrades!$T$9="Solar Wind",POWER(Upgrades!$U$9,H17),1)*IF(Upgrades!$T$10="Solar Wind",POWER(Upgrades!$U$10,I17),1)*IF(Upgrades!$T$11="Solar Wind",POWER(Upgrades!$U$11,J17),1)*IF(Upgrades!$T$12="Solar Wind",POWER(Upgrades!$U$12,K17),1))+(IF(F17=0,0,(Upgrades!$G$7+F17*Upgrades!$H$7)*POWER(Upgrades!$I$7,F17)))*(IF(Upgrades!$T$6="Asteroid Belt",POWER(Upgrades!$U$6,E17),1)*IF(Upgrades!$T$8="Asteroid Belt",POWER(Upgrades!$U$8,G17),1)*IF(Upgrades!$T$9="Asteroid Belt",POWER(Upgrades!$U$9,H17),1)*IF(Upgrades!$T$10="Asteroid Belt",POWER(Upgrades!$U$10,I17),1)*IF(Upgrades!$T$11="Asteroid Belt",POWER(Upgrades!$U$11,J17),1)*IF(Upgrades!$T$12="Asteroid Belt",POWER(Upgrades!$U$12,K17),1))+(IF(G17=0,0,(Upgrades!$G$8+G17*Upgrades!$H$8)*POWER(Upgrades!$I$8,G17)))*(IF(Upgrades!$T$6="Stellar Coupling",POWER(Upgrades!$U$6,E17),1)*IF(Upgrades!$T$7="Stellar Coupling",POWER(Upgrades!$U$7,F17),1)*IF(Upgrades!$T$9="Stellar Coupling",POWER(Upgrades!$U$9,H17),1)*IF(Upgrades!$T$10="Stellar Coupling",POWER(Upgrades!$U$10,I17),1)*IF(Upgrades!$T$11="Stellar Coupling",POWER(Upgrades!$U$11,J17),1)*IF(Upgrades!$T$12="Stellar Coupling",POWER(Upgrades!$U$12,K17),1))+(IF(H17=0,0,(Upgrades!$G$9+H17*Upgrades!$H$9)*POWER(Upgrades!$I$9,H17)))*(IF(Upgrades!$T$6="Magnetosphere",POWER(Upgrades!$U$6,E17),1)*IF(Upgrades!$T$7="Magnetosphere",POWER(Upgrades!$U$7,F17),1)*IF(Upgrades!$T$8="Magnetosphere",POWER(Upgrades!$U$8,G17),1)*IF(Upgrades!$T$10="Magnetosphere",POWER(Upgrades!$U$10,I17),1)*IF(Upgrades!$T$11="Magnetosphere",POWER(Upgrades!$U$11,J17),1)*IF(Upgrades!$T$12="Magnetosphere",POWER(Upgrades!$U$12,K17),1))+(IF(I17=0,0,(Upgrades!$G$10+I17*Upgrades!$H$10)*POWER(Upgrades!$I$10,I17)))*(IF(Upgrades!$T$6="Orbital Resonance",POWER(Upgrades!$U$6,E17),1)*IF(Upgrades!$T$7="Orbital Resonance",POWER(Upgrades!$U$7,F17),1)*IF(Upgrades!$T$8="Orbital Resonance",POWER(Upgrades!$U$8,G17),1)*IF(Upgrades!$T$9="Orbital Resonance",POWER(Upgrades!$U$9,H17),1)*IF(Upgrades!$T$11="Orbital Resonance",POWER(Upgrades!$U$11,J17),1)*IF(Upgrades!$T$12="Orbital Resonance",POWER(Upgrades!$U$12,K17),1))+(IF(J17=0,0,(Upgrades!$G$11+J17*Upgrades!$H$11)*POWER(Upgrades!$I$11,J17)))*(IF(Upgrades!$T$6="Heliopause",POWER(Upgrades!$U$6,E17),1)*IF(Upgrades!$T$7="Heliopause",POWER(Upgrades!$U$7,F17),1)*IF(Upgrades!$T$8="Heliopause",POWER(Upgrades!$U$8,G17),1)*IF(Upgrades!$T$9="Heliopause",POWER(Upgrades!$U$9,H17),1)*IF(Upgrades!$T$10="Heliopause",POWER(Upgrades!$U$10,I17),1)*IF(Upgrades!$T$12="Heliopause",POWER(Upgrades!$U$12,K17),1))+(IF(K17=0,0,(Upgrades!$G$12+K17*Upgrades!$H$12)*POWER(Upgrades!$I$12,K17)))*(IF(Upgrades!$T$6="First Photons",POWER(Upgrades!$U$6,E17),1)*IF(Upgrades!$T$7="First Photons",POWER(Upgrades!$U$7,F17),1)*IF(Upgrades!$T$8="First Photons",POWER(Upgrades!$U$8,G17),1)*IF(Upgrades!$T$9="First Photons",POWER(Upgrades!$U$9,H17),1)*IF(Upgrades!$T$10="First Photons",POWER(Upgrades!$U$10,I17),1)*IF(Upgrades!$T$11="First Photons",POWER(Upgrades!$U$11,J17),1)))*POWER(Upgrades!$P$6,E17)*POWER(Upgrades!$P$7,F17)*POWER(Upgrades!$P$8,G17)*POWER(Upgrades!$P$9,H17)*POWER(Upgrades!$P$10,I17)*POWER(Upgrades!$P$11,J17)*POWER(Upgrades!$P$12,K17)</f>
        <v/>
      </c>
      <c r="O17" s="28">
        <f>((IF(E17=0,0,(Upgrades!$M$6+E17*Upgrades!$N$6)*POWER(Upgrades!$O$6,E17)))*(IF(Upgrades!$T$7="Solar Wind",POWER(Upgrades!$U$7,F17),1)*IF(Upgrades!$T$8="Solar Wind",POWER(Upgrades!$U$8,G17),1)*IF(Upgrades!$T$9="Solar Wind",POWER(Upgrades!$U$9,H17),1)*IF(Upgrades!$T$10="Solar Wind",POWER(Upgrades!$U$10,I17),1)*IF(Upgrades!$T$11="Solar Wind",POWER(Upgrades!$U$11,J17),1)*IF(Upgrades!$T$12="Solar Wind",POWER(Upgrades!$U$12,K17),1))+(IF(F17=0,0,(Upgrades!$M$7+F17*Upgrades!$N$7)*POWER(Upgrades!$O$7,F17)))*(IF(Upgrades!$T$6="Asteroid Belt",POWER(Upgrades!$U$6,E17),1)*IF(Upgrades!$T$8="Asteroid Belt",POWER(Upgrades!$U$8,G17),1)*IF(Upgrades!$T$9="Asteroid Belt",POWER(Upgrades!$U$9,H17),1)*IF(Upgrades!$T$10="Asteroid Belt",POWER(Upgrades!$U$10,I17),1)*IF(Upgrades!$T$11="Asteroid Belt",POWER(Upgrades!$U$11,J17),1)*IF(Upgrades!$T$12="Asteroid Belt",POWER(Upgrades!$U$12,K17),1))+(IF(G17=0,0,(Upgrades!$M$8+G17*Upgrades!$N$8)*POWER(Upgrades!$O$8,G17)))*(IF(Upgrades!$T$6="Stellar Coupling",POWER(Upgrades!$U$6,E17),1)*IF(Upgrades!$T$7="Stellar Coupling",POWER(Upgrades!$U$7,F17),1)*IF(Upgrades!$T$9="Stellar Coupling",POWER(Upgrades!$U$9,H17),1)*IF(Upgrades!$T$10="Stellar Coupling",POWER(Upgrades!$U$10,I17),1)*IF(Upgrades!$T$11="Stellar Coupling",POWER(Upgrades!$U$11,J17),1)*IF(Upgrades!$T$12="Stellar Coupling",POWER(Upgrades!$U$12,K17),1))+(IF(H17=0,0,(Upgrades!$M$9+H17*Upgrades!$N$9)*POWER(Upgrades!$O$9,H17)))*(IF(Upgrades!$T$6="Magnetosphere",POWER(Upgrades!$U$6,E17),1)*IF(Upgrades!$T$7="Magnetosphere",POWER(Upgrades!$U$7,F17),1)*IF(Upgrades!$T$8="Magnetosphere",POWER(Upgrades!$U$8,G17),1)*IF(Upgrades!$T$10="Magnetosphere",POWER(Upgrades!$U$10,I17),1)*IF(Upgrades!$T$11="Magnetosphere",POWER(Upgrades!$U$11,J17),1)*IF(Upgrades!$T$12="Magnetosphere",POWER(Upgrades!$U$12,K17),1))+(IF(I17=0,0,(Upgrades!$M$10+I17*Upgrades!$N$10)*POWER(Upgrades!$O$10,I17)))*(IF(Upgrades!$T$6="Orbital Resonance",POWER(Upgrades!$U$6,E17),1)*IF(Upgrades!$T$7="Orbital Resonance",POWER(Upgrades!$U$7,F17),1)*IF(Upgrades!$T$8="Orbital Resonance",POWER(Upgrades!$U$8,G17),1)*IF(Upgrades!$T$9="Orbital Resonance",POWER(Upgrades!$U$9,H17),1)*IF(Upgrades!$T$11="Orbital Resonance",POWER(Upgrades!$U$11,J17),1)*IF(Upgrades!$T$12="Orbital Resonance",POWER(Upgrades!$U$12,K17),1))+(IF(J17=0,0,(Upgrades!$M$11+J17*Upgrades!$N$11)*POWER(Upgrades!$O$11,J17)))*(IF(Upgrades!$T$6="Heliopause",POWER(Upgrades!$U$6,E17),1)*IF(Upgrades!$T$7="Heliopause",POWER(Upgrades!$U$7,F17),1)*IF(Upgrades!$T$8="Heliopause",POWER(Upgrades!$U$8,G17),1)*IF(Upgrades!$T$9="Heliopause",POWER(Upgrades!$U$9,H17),1)*IF(Upgrades!$T$10="Heliopause",POWER(Upgrades!$U$10,I17),1)*IF(Upgrades!$T$12="Heliopause",POWER(Upgrades!$U$12,K17),1))+(IF(K17=0,0,(Upgrades!$M$12+K17*Upgrades!$N$12)*POWER(Upgrades!$O$12,K17)))*(IF(Upgrades!$T$6="First Photons",POWER(Upgrades!$U$6,E17),1)*IF(Upgrades!$T$7="First Photons",POWER(Upgrades!$U$7,F17),1)*IF(Upgrades!$T$8="First Photons",POWER(Upgrades!$U$8,G17),1)*IF(Upgrades!$T$9="First Photons",POWER(Upgrades!$U$9,H17),1)*IF(Upgrades!$T$10="First Photons",POWER(Upgrades!$U$10,I17),1)*IF(Upgrades!$T$11="First Photons",POWER(Upgrades!$U$11,J17),1)))*POWER(Upgrades!$R$6,E17)*POWER(Upgrades!$R$7,F17)*POWER(Upgrades!$R$8,G17)*POWER(Upgrades!$R$9,H17)*POWER(Upgrades!$R$10,I17)*POWER(Upgrades!$R$11,J17)*POWER(Upgrades!$R$12,K17)</f>
        <v/>
      </c>
      <c r="P17" s="27">
        <f>IF(L17=1,0,M17*Parameters!$B$10/60*Parameters!$B$11*10)</f>
        <v/>
      </c>
      <c r="Q17" s="27">
        <f>IF(L17=1,0,O17*M17*10)</f>
        <v/>
      </c>
      <c r="R17" s="27">
        <f>IF(L17=1,0,N17*10)</f>
        <v/>
      </c>
      <c r="S17" s="27">
        <f>P17+Q17+R17</f>
        <v/>
      </c>
      <c r="T17" s="22">
        <f>C17+S17</f>
        <v/>
      </c>
      <c r="U17" s="33">
        <f>AX17</f>
        <v/>
      </c>
      <c r="V17" s="22">
        <f>IF(U17="",0,IF(U17="transition",0,IF(U17="SW",AG17,IF(U17="AB",AH17,IF(U17="SC",AI17,IF(U17="Mag",AJ17,IF(U17="OR",AK17,IF(U17="HP",AL17,IF(U17="FP",AM17,0)))))))))</f>
        <v/>
      </c>
      <c r="W17" s="27">
        <f>IF(U17="OR",Upgrades!$F$10,IF(U17="HP",Upgrades!$F$11,IF(U17="transition",-Parameters!$B$18,0)))</f>
        <v/>
      </c>
      <c r="X17" s="22">
        <f>T17-V17</f>
        <v/>
      </c>
      <c r="Y17" s="30">
        <f>M17*Parameters!$B$10/60*Parameters!$B$11+O17*M17+N17</f>
        <v/>
      </c>
      <c r="Z17" s="34">
        <f>IF(U17="transition","→ Tier 2 (Stellar Neighborhood)",IF(U17="FP","First Photons — light begins, system quickens",IF(U17="HP","Heliopause acquired",IF(U17="OR","Orbital Resonance — passive multiplier active",IF(AND(AO17=1,L17=0,AN17&lt;&gt;1),"Cohesion ready (waiting on completionist upgrades)","")))))</f>
        <v/>
      </c>
      <c r="AA17" s="27">
        <f>(IF(E17=0,0,(Upgrades!$G$6+E17*Upgrades!$H$6)*POWER(Upgrades!$I$6,E17)))*(IF(Upgrades!$T$7="Solar Wind",POWER(Upgrades!$U$7,F17),1)*IF(Upgrades!$T$8="Solar Wind",POWER(Upgrades!$U$8,G17),1)*IF(Upgrades!$T$9="Solar Wind",POWER(Upgrades!$U$9,H17),1)*IF(Upgrades!$T$10="Solar Wind",POWER(Upgrades!$U$10,I17),1)*IF(Upgrades!$T$11="Solar Wind",POWER(Upgrades!$U$11,J17),1)*IF(Upgrades!$T$12="Solar Wind",POWER(Upgrades!$U$12,K17),1))*POWER(Upgrades!$P$6,E17)*POWER(Upgrades!$P$7,F17)*POWER(Upgrades!$P$8,G17)*POWER(Upgrades!$P$9,H17)*POWER(Upgrades!$P$10,I17)*POWER(Upgrades!$P$11,J17)*POWER(Upgrades!$P$12,K17)*60</f>
        <v/>
      </c>
      <c r="AB17" s="27">
        <f>(IF(F17=0,0,(Upgrades!$G$7+F17*Upgrades!$H$7)*POWER(Upgrades!$I$7,F17)))*(IF(Upgrades!$T$6="Asteroid Belt",POWER(Upgrades!$U$6,E17),1)*IF(Upgrades!$T$8="Asteroid Belt",POWER(Upgrades!$U$8,G17),1)*IF(Upgrades!$T$9="Asteroid Belt",POWER(Upgrades!$U$9,H17),1)*IF(Upgrades!$T$10="Asteroid Belt",POWER(Upgrades!$U$10,I17),1)*IF(Upgrades!$T$11="Asteroid Belt",POWER(Upgrades!$U$11,J17),1)*IF(Upgrades!$T$12="Asteroid Belt",POWER(Upgrades!$U$12,K17),1))*POWER(Upgrades!$P$6,E17)*POWER(Upgrades!$P$7,F17)*POWER(Upgrades!$P$8,G17)*POWER(Upgrades!$P$9,H17)*POWER(Upgrades!$P$10,I17)*POWER(Upgrades!$P$11,J17)*POWER(Upgrades!$P$12,K17)*60</f>
        <v/>
      </c>
      <c r="AC17" s="27">
        <f>(IF(G17=0,0,(Upgrades!$J$8+G17*Upgrades!$K$8)*POWER(Upgrades!$L$8,G17)))*(IF(Upgrades!$T$6="Stellar Coupling",POWER(Upgrades!$U$6,E17),1)*IF(Upgrades!$T$7="Stellar Coupling",POWER(Upgrades!$U$7,F17),1)*IF(Upgrades!$T$9="Stellar Coupling",POWER(Upgrades!$U$9,H17),1)*IF(Upgrades!$T$10="Stellar Coupling",POWER(Upgrades!$U$10,I17),1)*IF(Upgrades!$T$11="Stellar Coupling",POWER(Upgrades!$U$11,J17),1)*IF(Upgrades!$T$12="Stellar Coupling",POWER(Upgrades!$U$12,K17),1))*POWER(Upgrades!$Q$6,E17)*POWER(Upgrades!$Q$7,F17)*POWER(Upgrades!$Q$8,G17)*POWER(Upgrades!$Q$9,H17)*POWER(Upgrades!$Q$10,I17)*POWER(Upgrades!$Q$11,J17)*POWER(Upgrades!$Q$12,K17)*Parameters!$B$10*Parameters!$B$11</f>
        <v/>
      </c>
      <c r="AD17" s="27">
        <f>(IF(H17=0,0,(Upgrades!$G$9+H17*Upgrades!$H$9)*POWER(Upgrades!$I$9,H17)))*(IF(Upgrades!$T$6="Magnetosphere",POWER(Upgrades!$U$6,E17),1)*IF(Upgrades!$T$7="Magnetosphere",POWER(Upgrades!$U$7,F17),1)*IF(Upgrades!$T$8="Magnetosphere",POWER(Upgrades!$U$8,G17),1)*IF(Upgrades!$T$10="Magnetosphere",POWER(Upgrades!$U$10,I17),1)*IF(Upgrades!$T$11="Magnetosphere",POWER(Upgrades!$U$11,J17),1)*IF(Upgrades!$T$12="Magnetosphere",POWER(Upgrades!$U$12,K17),1))*POWER(Upgrades!$P$6,E17)*POWER(Upgrades!$P$7,F17)*POWER(Upgrades!$P$8,G17)*POWER(Upgrades!$P$9,H17)*POWER(Upgrades!$P$10,I17)*POWER(Upgrades!$P$11,J17)*POWER(Upgrades!$P$12,K17)*60</f>
        <v/>
      </c>
      <c r="AE17" s="27">
        <f>(IF(K17=0,0,(Upgrades!$G$12+K17*Upgrades!$H$12)*POWER(Upgrades!$I$12,K17)))*(IF(Upgrades!$T$6="First Photons",POWER(Upgrades!$U$6,E17),1)*IF(Upgrades!$T$7="First Photons",POWER(Upgrades!$U$7,F17),1)*IF(Upgrades!$T$8="First Photons",POWER(Upgrades!$U$8,G17),1)*IF(Upgrades!$T$9="First Photons",POWER(Upgrades!$U$9,H17),1)*IF(Upgrades!$T$10="First Photons",POWER(Upgrades!$U$10,I17),1)*IF(Upgrades!$T$11="First Photons",POWER(Upgrades!$U$11,J17),1))*POWER(Upgrades!$P$6,E17)*POWER(Upgrades!$P$7,F17)*POWER(Upgrades!$P$8,G17)*POWER(Upgrades!$P$9,H17)*POWER(Upgrades!$P$10,I17)*POWER(Upgrades!$P$11,J17)*POWER(Upgrades!$P$12,K17)*60</f>
        <v/>
      </c>
      <c r="AF17" s="27">
        <f>Parameters!$B$9*POWER(Upgrades!$Q$6,E17)*POWER(Upgrades!$Q$7,F17)*POWER(Upgrades!$Q$8,G17)*POWER(Upgrades!$Q$9,H17)*POWER(Upgrades!$Q$10,I17)*POWER(Upgrades!$Q$11,J17)*POWER(Upgrades!$Q$12,K17)*(Parameters!$B$10*Parameters!$B$11+O17*60)</f>
        <v/>
      </c>
      <c r="AG17" s="22">
        <f>IF(E17&gt;=Upgrades!$E$6,"",Upgrades!$C$6*POWER(Upgrades!$D$6,E17))</f>
        <v/>
      </c>
      <c r="AH17" s="22">
        <f>IF(F17&gt;=Upgrades!$E$7,"",Upgrades!$C$7*POWER(Upgrades!$D$7,F17))</f>
        <v/>
      </c>
      <c r="AI17" s="22">
        <f>IF(G17&gt;=Upgrades!$E$8,"",Upgrades!$C$8*POWER(Upgrades!$D$8,G17))</f>
        <v/>
      </c>
      <c r="AJ17" s="22">
        <f>IF(H17&gt;=Upgrades!$E$9,"",Upgrades!$C$9*POWER(Upgrades!$D$9,H17))</f>
        <v/>
      </c>
      <c r="AK17" s="22">
        <f>IF(I17&gt;=Upgrades!$E$10,"",Upgrades!$C$10*POWER(Upgrades!$D$10,I17))</f>
        <v/>
      </c>
      <c r="AL17" s="22">
        <f>IF(J17&gt;=Upgrades!$E$11,"",Upgrades!$C$11*POWER(Upgrades!$D$11,J17))</f>
        <v/>
      </c>
      <c r="AM17" s="22">
        <f>IF(K17&gt;=Upgrades!$E$12,"",Upgrades!$C$12*POWER(Upgrades!$D$12,K17))</f>
        <v/>
      </c>
      <c r="AN17" s="26">
        <f>IF(AND(D17&gt;=Parameters!$B$18,(H17&gt;=Upgrades!$E$9)*(K17&gt;=Upgrades!$E$12)=1,L17=0),1,"")</f>
        <v/>
      </c>
      <c r="AO17" s="26">
        <f>IF(AND(D17&gt;=Parameters!$B$18,L17=0),1,"")</f>
        <v/>
      </c>
      <c r="AP17" s="22">
        <f>MIN(IF(ISNUMBER(AK17),AK17,9E15),IF(ISNUMBER(AL17),AL17,9E15),IF(ISNUMBER(AM17),AM17,9E15))</f>
        <v/>
      </c>
      <c r="AQ17" s="22">
        <f>MIN(IF(ISNUMBER(AG17),AG17,9E15),IF(ISNUMBER(AH17),AH17,9E15),IF(ISNUMBER(AI17),AI17,9E15),IF(ISNUMBER(AJ17),AJ17,9E15))</f>
        <v/>
      </c>
      <c r="AR17" s="29">
        <f>IF(AW17&gt;Parameters!$B$21*(MAX(IF(AND(NOT(AND(AO17=1,AN17&lt;&gt;1)),ISNUMBER(AG17),AG17&lt;=T17),AS17,0),IF(AND(NOT(AND(AO17=1,AN17&lt;&gt;1)),ISNUMBER(AH17),AH17&lt;=T17),AT17,0),IF(AND(NOT(AND(AO17=1,AN17&lt;&gt;1)),ISNUMBER(AI17),AI17&lt;=T17),AU17,0),IF(AND(ISNUMBER(AJ17),AJ17&lt;=T17),AV17,0))),TRUE,FALSE)</f>
        <v/>
      </c>
      <c r="AS17" s="32">
        <f>IFERROR(Upgrades!$H$6*(POWER(Upgrades!$P$6,E17)*POWER(Upgrades!$P$7,F17)*POWER(Upgrades!$P$8,G17)*POWER(Upgrades!$P$9,H17)*POWER(Upgrades!$P$10,I17)*POWER(Upgrades!$P$11,J17)*POWER(Upgrades!$P$12,K17))*(IF(Upgrades!$T$7="Solar Wind",POWER(Upgrades!$U$7,F17),1)*IF(Upgrades!$T$8="Solar Wind",POWER(Upgrades!$U$8,G17),1)*IF(Upgrades!$T$9="Solar Wind",POWER(Upgrades!$U$9,H17),1)*IF(Upgrades!$T$10="Solar Wind",POWER(Upgrades!$U$10,I17),1)*IF(Upgrades!$T$11="Solar Wind",POWER(Upgrades!$U$11,J17),1)*IF(Upgrades!$T$12="Solar Wind",POWER(Upgrades!$U$12,K17),1))/AG17,0)</f>
        <v/>
      </c>
      <c r="AT17" s="32">
        <f>IFERROR(Upgrades!$H$7*(POWER(Upgrades!$P$6,E17)*POWER(Upgrades!$P$7,F17)*POWER(Upgrades!$P$8,G17)*POWER(Upgrades!$P$9,H17)*POWER(Upgrades!$P$10,I17)*POWER(Upgrades!$P$11,J17)*POWER(Upgrades!$P$12,K17))*(IF(Upgrades!$T$6="Asteroid Belt",POWER(Upgrades!$U$6,E17),1)*IF(Upgrades!$T$8="Asteroid Belt",POWER(Upgrades!$U$8,G17),1)*IF(Upgrades!$T$9="Asteroid Belt",POWER(Upgrades!$U$9,H17),1)*IF(Upgrades!$T$10="Asteroid Belt",POWER(Upgrades!$U$10,I17),1)*IF(Upgrades!$T$11="Asteroid Belt",POWER(Upgrades!$U$11,J17),1)*IF(Upgrades!$T$12="Asteroid Belt",POWER(Upgrades!$U$12,K17),1))/AH17,0)</f>
        <v/>
      </c>
      <c r="AU17" s="32">
        <f>IFERROR(Upgrades!$K$8*(POWER(Upgrades!$Q$6,E17)*POWER(Upgrades!$Q$7,F17)*POWER(Upgrades!$Q$8,G17)*POWER(Upgrades!$Q$9,H17)*POWER(Upgrades!$Q$10,I17)*POWER(Upgrades!$Q$11,J17)*POWER(Upgrades!$Q$12,K17))*(IF(Upgrades!$T$6="Stellar Coupling",POWER(Upgrades!$U$6,E17),1)*IF(Upgrades!$T$7="Stellar Coupling",POWER(Upgrades!$U$7,F17),1)*IF(Upgrades!$T$9="Stellar Coupling",POWER(Upgrades!$U$9,H17),1)*IF(Upgrades!$T$10="Stellar Coupling",POWER(Upgrades!$U$10,I17),1)*IF(Upgrades!$T$11="Stellar Coupling",POWER(Upgrades!$U$11,J17),1)*IF(Upgrades!$T$12="Stellar Coupling",POWER(Upgrades!$U$12,K17),1))*Parameters!$B$10*Parameters!$B$11/60/AI17,0)</f>
        <v/>
      </c>
      <c r="AV17" s="32">
        <f>IFERROR(Upgrades!$H$9*(POWER(Upgrades!$P$6,E17)*POWER(Upgrades!$P$7,F17)*POWER(Upgrades!$P$8,G17)*POWER(Upgrades!$P$9,H17)*POWER(Upgrades!$P$10,I17)*POWER(Upgrades!$P$11,J17)*POWER(Upgrades!$P$12,K17))*(IF(Upgrades!$T$6="Magnetosphere",POWER(Upgrades!$U$6,E17),1)*IF(Upgrades!$T$7="Magnetosphere",POWER(Upgrades!$U$7,F17),1)*IF(Upgrades!$T$8="Magnetosphere",POWER(Upgrades!$U$8,G17),1)*IF(Upgrades!$T$10="Magnetosphere",POWER(Upgrades!$U$10,I17),1)*IF(Upgrades!$T$11="Magnetosphere",POWER(Upgrades!$U$11,J17),1)*IF(Upgrades!$T$12="Magnetosphere",POWER(Upgrades!$U$12,K17),1))/AJ17,0)</f>
        <v/>
      </c>
      <c r="AW17" s="32">
        <f>MAX(IF(I17&gt;0,0,IFERROR(0.25*N17/Upgrades!$C$10,0)),IF(J17&gt;0,0,IFERROR(0.5*((IF(G17=0,0,(Upgrades!$J$8+G17*Upgrades!$K$8)*POWER(Upgrades!$L$8,G17)))*(IF(Upgrades!$T$6="Stellar Coupling",POWER(Upgrades!$U$6,E17),1)*IF(Upgrades!$T$7="Stellar Coupling",POWER(Upgrades!$U$7,F17),1)*IF(Upgrades!$T$9="Stellar Coupling",POWER(Upgrades!$U$9,H17),1)*IF(Upgrades!$T$10="Stellar Coupling",POWER(Upgrades!$U$10,I17),1)*IF(Upgrades!$T$11="Stellar Coupling",POWER(Upgrades!$U$11,J17),1)*IF(Upgrades!$T$12="Stellar Coupling",POWER(Upgrades!$U$12,K17),1))*(POWER(Upgrades!$Q$6,E17)*POWER(Upgrades!$Q$7,F17)*POWER(Upgrades!$Q$8,G17)*POWER(Upgrades!$Q$9,H17)*POWER(Upgrades!$Q$10,I17)*POWER(Upgrades!$Q$11,J17)*POWER(Upgrades!$Q$12,K17))*Parameters!$B$10*Parameters!$B$11/60)/Upgrades!$C$11,0)),IF(K17&gt;0,0,IFERROR((1.0*(POWER(Upgrades!$P$6,E17)*POWER(Upgrades!$P$7,F17)*POWER(Upgrades!$P$8,G17)*POWER(Upgrades!$P$9,H17)*POWER(Upgrades!$P$10,I17)*POWER(Upgrades!$P$11,J17)*POWER(Upgrades!$P$12,K17))+0.20*M17*Parameters!$B$10*Parameters!$B$11/60)/Upgrades!$C$12,0)),IF(AND(ISNUMBER(AG17),AG17&gt;T17),AS17,0),IF(AND(ISNUMBER(AH17),AH17&gt;T17),AT17,0),IF(AND(ISNUMBER(AI17),AI17&gt;T17),AU17,0),IF(AND(ISNUMBER(AJ17),AJ17&gt;T17),AV17,0))</f>
        <v/>
      </c>
      <c r="AX17" s="29">
        <f>IF(AN17=1,"transition",IF(MIN(IF(AND(I17=0,ISNUMBER(AK17),AK17&lt;=T17),AK17,9E15),IF(AND(J17=0,ISNUMBER(AL17),AL17&lt;=T17),AL17,9E15),IF(AND(K17=0,ISNUMBER(AM17),AM17&lt;=T17),AM17,9E15))&lt;9E15,IF(AND(AND(I17=0,ISNUMBER(AK17),AK17&lt;=T17),AK17=MIN(IF(AND(I17=0,ISNUMBER(AK17),AK17&lt;=T17),AK17,9E15),IF(AND(J17=0,ISNUMBER(AL17),AL17&lt;=T17),AL17,9E15),IF(AND(K17=0,ISNUMBER(AM17),AM17&lt;=T17),AM17,9E15))),"OR",IF(AND(AND(J17=0,ISNUMBER(AL17),AL17&lt;=T17),AL17=MIN(IF(AND(I17=0,ISNUMBER(AK17),AK17&lt;=T17),AK17,9E15),IF(AND(J17=0,ISNUMBER(AL17),AL17&lt;=T17),AL17,9E15),IF(AND(K17=0,ISNUMBER(AM17),AM17&lt;=T17),AM17,9E15))),"HP","FP")),IF(AR17=TRUE,"",IF(MAX(IF(AND(NOT(AND(AO17=1,AN17&lt;&gt;1)),ISNUMBER(AG17),AG17&lt;=T17),AS17,0),IF(AND(NOT(AND(AO17=1,AN17&lt;&gt;1)),ISNUMBER(AH17),AH17&lt;=T17),AT17,0),IF(AND(NOT(AND(AO17=1,AN17&lt;&gt;1)),ISNUMBER(AI17),AI17&lt;=T17),AU17,0),IF(AND(ISNUMBER(AJ17),AJ17&lt;=T17),AV17,0))&lt;=0,"",IF(AND(IF(AND(NOT(AND(AO17=1,AN17&lt;&gt;1)),ISNUMBER(AG17),AG17&lt;=T17),AS17,0)&gt;0,IF(AND(NOT(AND(AO17=1,AN17&lt;&gt;1)),ISNUMBER(AG17),AG17&lt;=T17),AS17,0)=MAX(IF(AND(NOT(AND(AO17=1,AN17&lt;&gt;1)),ISNUMBER(AG17),AG17&lt;=T17),AS17,0),IF(AND(NOT(AND(AO17=1,AN17&lt;&gt;1)),ISNUMBER(AH17),AH17&lt;=T17),AT17,0),IF(AND(NOT(AND(AO17=1,AN17&lt;&gt;1)),ISNUMBER(AI17),AI17&lt;=T17),AU17,0),IF(AND(ISNUMBER(AJ17),AJ17&lt;=T17),AV17,0))),"SW",IF(AND(IF(AND(NOT(AND(AO17=1,AN17&lt;&gt;1)),ISNUMBER(AH17),AH17&lt;=T17),AT17,0)&gt;0,IF(AND(NOT(AND(AO17=1,AN17&lt;&gt;1)),ISNUMBER(AH17),AH17&lt;=T17),AT17,0)=MAX(IF(AND(NOT(AND(AO17=1,AN17&lt;&gt;1)),ISNUMBER(AG17),AG17&lt;=T17),AS17,0),IF(AND(NOT(AND(AO17=1,AN17&lt;&gt;1)),ISNUMBER(AH17),AH17&lt;=T17),AT17,0),IF(AND(NOT(AND(AO17=1,AN17&lt;&gt;1)),ISNUMBER(AI17),AI17&lt;=T17),AU17,0),IF(AND(ISNUMBER(AJ17),AJ17&lt;=T17),AV17,0))),"AB",IF(AND(IF(AND(NOT(AND(AO17=1,AN17&lt;&gt;1)),ISNUMBER(AI17),AI17&lt;=T17),AU17,0)&gt;0,IF(AND(NOT(AND(AO17=1,AN17&lt;&gt;1)),ISNUMBER(AI17),AI17&lt;=T17),AU17,0)=MAX(IF(AND(NOT(AND(AO17=1,AN17&lt;&gt;1)),ISNUMBER(AG17),AG17&lt;=T17),AS17,0),IF(AND(NOT(AND(AO17=1,AN17&lt;&gt;1)),ISNUMBER(AH17),AH17&lt;=T17),AT17,0),IF(AND(NOT(AND(AO17=1,AN17&lt;&gt;1)),ISNUMBER(AI17),AI17&lt;=T17),AU17,0),IF(AND(ISNUMBER(AJ17),AJ17&lt;=T17),AV17,0))),"SC","Mag")))))))</f>
        <v/>
      </c>
    </row>
    <row r="18">
      <c r="A18" s="26" t="n">
        <v>13</v>
      </c>
      <c r="B18" s="27">
        <f>A18*10/60</f>
        <v/>
      </c>
      <c r="C18" s="22">
        <f>X17</f>
        <v/>
      </c>
      <c r="D18" s="27">
        <f>D17+W17</f>
        <v/>
      </c>
      <c r="E18" s="26">
        <f>E17+IF(U17="SW",1,0)</f>
        <v/>
      </c>
      <c r="F18" s="26">
        <f>F17+IF(U17="AB",1,0)</f>
        <v/>
      </c>
      <c r="G18" s="26">
        <f>G17+IF(U17="SC",1,0)</f>
        <v/>
      </c>
      <c r="H18" s="26">
        <f>H17+IF(U17="Mag",1,0)</f>
        <v/>
      </c>
      <c r="I18" s="26">
        <f>MAX(I17,IF(U17="OR",1,0))</f>
        <v/>
      </c>
      <c r="J18" s="26">
        <f>MAX(J17,IF(U17="HP",1,0))</f>
        <v/>
      </c>
      <c r="K18" s="26">
        <f>MAX(K17,IF(U17="FP",1,0))</f>
        <v/>
      </c>
      <c r="L18" s="26">
        <f>MAX(L17,IF(U17="transition",1,0))</f>
        <v/>
      </c>
      <c r="M18" s="28">
        <f>(Parameters!$B$9+(IF(E18=0,0,(Upgrades!$J$6+E18*Upgrades!$K$6)*POWER(Upgrades!$L$6,E18)))*(IF(Upgrades!$T$7="Solar Wind",POWER(Upgrades!$U$7,F18),1)*IF(Upgrades!$T$8="Solar Wind",POWER(Upgrades!$U$8,G18),1)*IF(Upgrades!$T$9="Solar Wind",POWER(Upgrades!$U$9,H18),1)*IF(Upgrades!$T$10="Solar Wind",POWER(Upgrades!$U$10,I18),1)*IF(Upgrades!$T$11="Solar Wind",POWER(Upgrades!$U$11,J18),1)*IF(Upgrades!$T$12="Solar Wind",POWER(Upgrades!$U$12,K18),1))+(IF(F18=0,0,(Upgrades!$J$7+F18*Upgrades!$K$7)*POWER(Upgrades!$L$7,F18)))*(IF(Upgrades!$T$6="Asteroid Belt",POWER(Upgrades!$U$6,E18),1)*IF(Upgrades!$T$8="Asteroid Belt",POWER(Upgrades!$U$8,G18),1)*IF(Upgrades!$T$9="Asteroid Belt",POWER(Upgrades!$U$9,H18),1)*IF(Upgrades!$T$10="Asteroid Belt",POWER(Upgrades!$U$10,I18),1)*IF(Upgrades!$T$11="Asteroid Belt",POWER(Upgrades!$U$11,J18),1)*IF(Upgrades!$T$12="Asteroid Belt",POWER(Upgrades!$U$12,K18),1))+(IF(G18=0,0,(Upgrades!$J$8+G18*Upgrades!$K$8)*POWER(Upgrades!$L$8,G18)))*(IF(Upgrades!$T$6="Stellar Coupling",POWER(Upgrades!$U$6,E18),1)*IF(Upgrades!$T$7="Stellar Coupling",POWER(Upgrades!$U$7,F18),1)*IF(Upgrades!$T$9="Stellar Coupling",POWER(Upgrades!$U$9,H18),1)*IF(Upgrades!$T$10="Stellar Coupling",POWER(Upgrades!$U$10,I18),1)*IF(Upgrades!$T$11="Stellar Coupling",POWER(Upgrades!$U$11,J18),1)*IF(Upgrades!$T$12="Stellar Coupling",POWER(Upgrades!$U$12,K18),1))+(IF(H18=0,0,(Upgrades!$J$9+H18*Upgrades!$K$9)*POWER(Upgrades!$L$9,H18)))*(IF(Upgrades!$T$6="Magnetosphere",POWER(Upgrades!$U$6,E18),1)*IF(Upgrades!$T$7="Magnetosphere",POWER(Upgrades!$U$7,F18),1)*IF(Upgrades!$T$8="Magnetosphere",POWER(Upgrades!$U$8,G18),1)*IF(Upgrades!$T$10="Magnetosphere",POWER(Upgrades!$U$10,I18),1)*IF(Upgrades!$T$11="Magnetosphere",POWER(Upgrades!$U$11,J18),1)*IF(Upgrades!$T$12="Magnetosphere",POWER(Upgrades!$U$12,K18),1))+(IF(I18=0,0,(Upgrades!$J$10+I18*Upgrades!$K$10)*POWER(Upgrades!$L$10,I18)))*(IF(Upgrades!$T$6="Orbital Resonance",POWER(Upgrades!$U$6,E18),1)*IF(Upgrades!$T$7="Orbital Resonance",POWER(Upgrades!$U$7,F18),1)*IF(Upgrades!$T$8="Orbital Resonance",POWER(Upgrades!$U$8,G18),1)*IF(Upgrades!$T$9="Orbital Resonance",POWER(Upgrades!$U$9,H18),1)*IF(Upgrades!$T$11="Orbital Resonance",POWER(Upgrades!$U$11,J18),1)*IF(Upgrades!$T$12="Orbital Resonance",POWER(Upgrades!$U$12,K18),1))+(IF(J18=0,0,(Upgrades!$J$11+J18*Upgrades!$K$11)*POWER(Upgrades!$L$11,J18)))*(IF(Upgrades!$T$6="Heliopause",POWER(Upgrades!$U$6,E18),1)*IF(Upgrades!$T$7="Heliopause",POWER(Upgrades!$U$7,F18),1)*IF(Upgrades!$T$8="Heliopause",POWER(Upgrades!$U$8,G18),1)*IF(Upgrades!$T$9="Heliopause",POWER(Upgrades!$U$9,H18),1)*IF(Upgrades!$T$10="Heliopause",POWER(Upgrades!$U$10,I18),1)*IF(Upgrades!$T$12="Heliopause",POWER(Upgrades!$U$12,K18),1))+(IF(K18=0,0,(Upgrades!$J$12+K18*Upgrades!$K$12)*POWER(Upgrades!$L$12,K18)))*(IF(Upgrades!$T$6="First Photons",POWER(Upgrades!$U$6,E18),1)*IF(Upgrades!$T$7="First Photons",POWER(Upgrades!$U$7,F18),1)*IF(Upgrades!$T$8="First Photons",POWER(Upgrades!$U$8,G18),1)*IF(Upgrades!$T$9="First Photons",POWER(Upgrades!$U$9,H18),1)*IF(Upgrades!$T$10="First Photons",POWER(Upgrades!$U$10,I18),1)*IF(Upgrades!$T$11="First Photons",POWER(Upgrades!$U$11,J18),1)))*POWER(Upgrades!$Q$6,E18)*POWER(Upgrades!$Q$7,F18)*POWER(Upgrades!$Q$8,G18)*POWER(Upgrades!$Q$9,H18)*POWER(Upgrades!$Q$10,I18)*POWER(Upgrades!$Q$11,J18)*POWER(Upgrades!$Q$12,K18)</f>
        <v/>
      </c>
      <c r="N18" s="28">
        <f>((IF(E18=0,0,(Upgrades!$G$6+E18*Upgrades!$H$6)*POWER(Upgrades!$I$6,E18)))*(IF(Upgrades!$T$7="Solar Wind",POWER(Upgrades!$U$7,F18),1)*IF(Upgrades!$T$8="Solar Wind",POWER(Upgrades!$U$8,G18),1)*IF(Upgrades!$T$9="Solar Wind",POWER(Upgrades!$U$9,H18),1)*IF(Upgrades!$T$10="Solar Wind",POWER(Upgrades!$U$10,I18),1)*IF(Upgrades!$T$11="Solar Wind",POWER(Upgrades!$U$11,J18),1)*IF(Upgrades!$T$12="Solar Wind",POWER(Upgrades!$U$12,K18),1))+(IF(F18=0,0,(Upgrades!$G$7+F18*Upgrades!$H$7)*POWER(Upgrades!$I$7,F18)))*(IF(Upgrades!$T$6="Asteroid Belt",POWER(Upgrades!$U$6,E18),1)*IF(Upgrades!$T$8="Asteroid Belt",POWER(Upgrades!$U$8,G18),1)*IF(Upgrades!$T$9="Asteroid Belt",POWER(Upgrades!$U$9,H18),1)*IF(Upgrades!$T$10="Asteroid Belt",POWER(Upgrades!$U$10,I18),1)*IF(Upgrades!$T$11="Asteroid Belt",POWER(Upgrades!$U$11,J18),1)*IF(Upgrades!$T$12="Asteroid Belt",POWER(Upgrades!$U$12,K18),1))+(IF(G18=0,0,(Upgrades!$G$8+G18*Upgrades!$H$8)*POWER(Upgrades!$I$8,G18)))*(IF(Upgrades!$T$6="Stellar Coupling",POWER(Upgrades!$U$6,E18),1)*IF(Upgrades!$T$7="Stellar Coupling",POWER(Upgrades!$U$7,F18),1)*IF(Upgrades!$T$9="Stellar Coupling",POWER(Upgrades!$U$9,H18),1)*IF(Upgrades!$T$10="Stellar Coupling",POWER(Upgrades!$U$10,I18),1)*IF(Upgrades!$T$11="Stellar Coupling",POWER(Upgrades!$U$11,J18),1)*IF(Upgrades!$T$12="Stellar Coupling",POWER(Upgrades!$U$12,K18),1))+(IF(H18=0,0,(Upgrades!$G$9+H18*Upgrades!$H$9)*POWER(Upgrades!$I$9,H18)))*(IF(Upgrades!$T$6="Magnetosphere",POWER(Upgrades!$U$6,E18),1)*IF(Upgrades!$T$7="Magnetosphere",POWER(Upgrades!$U$7,F18),1)*IF(Upgrades!$T$8="Magnetosphere",POWER(Upgrades!$U$8,G18),1)*IF(Upgrades!$T$10="Magnetosphere",POWER(Upgrades!$U$10,I18),1)*IF(Upgrades!$T$11="Magnetosphere",POWER(Upgrades!$U$11,J18),1)*IF(Upgrades!$T$12="Magnetosphere",POWER(Upgrades!$U$12,K18),1))+(IF(I18=0,0,(Upgrades!$G$10+I18*Upgrades!$H$10)*POWER(Upgrades!$I$10,I18)))*(IF(Upgrades!$T$6="Orbital Resonance",POWER(Upgrades!$U$6,E18),1)*IF(Upgrades!$T$7="Orbital Resonance",POWER(Upgrades!$U$7,F18),1)*IF(Upgrades!$T$8="Orbital Resonance",POWER(Upgrades!$U$8,G18),1)*IF(Upgrades!$T$9="Orbital Resonance",POWER(Upgrades!$U$9,H18),1)*IF(Upgrades!$T$11="Orbital Resonance",POWER(Upgrades!$U$11,J18),1)*IF(Upgrades!$T$12="Orbital Resonance",POWER(Upgrades!$U$12,K18),1))+(IF(J18=0,0,(Upgrades!$G$11+J18*Upgrades!$H$11)*POWER(Upgrades!$I$11,J18)))*(IF(Upgrades!$T$6="Heliopause",POWER(Upgrades!$U$6,E18),1)*IF(Upgrades!$T$7="Heliopause",POWER(Upgrades!$U$7,F18),1)*IF(Upgrades!$T$8="Heliopause",POWER(Upgrades!$U$8,G18),1)*IF(Upgrades!$T$9="Heliopause",POWER(Upgrades!$U$9,H18),1)*IF(Upgrades!$T$10="Heliopause",POWER(Upgrades!$U$10,I18),1)*IF(Upgrades!$T$12="Heliopause",POWER(Upgrades!$U$12,K18),1))+(IF(K18=0,0,(Upgrades!$G$12+K18*Upgrades!$H$12)*POWER(Upgrades!$I$12,K18)))*(IF(Upgrades!$T$6="First Photons",POWER(Upgrades!$U$6,E18),1)*IF(Upgrades!$T$7="First Photons",POWER(Upgrades!$U$7,F18),1)*IF(Upgrades!$T$8="First Photons",POWER(Upgrades!$U$8,G18),1)*IF(Upgrades!$T$9="First Photons",POWER(Upgrades!$U$9,H18),1)*IF(Upgrades!$T$10="First Photons",POWER(Upgrades!$U$10,I18),1)*IF(Upgrades!$T$11="First Photons",POWER(Upgrades!$U$11,J18),1)))*POWER(Upgrades!$P$6,E18)*POWER(Upgrades!$P$7,F18)*POWER(Upgrades!$P$8,G18)*POWER(Upgrades!$P$9,H18)*POWER(Upgrades!$P$10,I18)*POWER(Upgrades!$P$11,J18)*POWER(Upgrades!$P$12,K18)</f>
        <v/>
      </c>
      <c r="O18" s="28">
        <f>((IF(E18=0,0,(Upgrades!$M$6+E18*Upgrades!$N$6)*POWER(Upgrades!$O$6,E18)))*(IF(Upgrades!$T$7="Solar Wind",POWER(Upgrades!$U$7,F18),1)*IF(Upgrades!$T$8="Solar Wind",POWER(Upgrades!$U$8,G18),1)*IF(Upgrades!$T$9="Solar Wind",POWER(Upgrades!$U$9,H18),1)*IF(Upgrades!$T$10="Solar Wind",POWER(Upgrades!$U$10,I18),1)*IF(Upgrades!$T$11="Solar Wind",POWER(Upgrades!$U$11,J18),1)*IF(Upgrades!$T$12="Solar Wind",POWER(Upgrades!$U$12,K18),1))+(IF(F18=0,0,(Upgrades!$M$7+F18*Upgrades!$N$7)*POWER(Upgrades!$O$7,F18)))*(IF(Upgrades!$T$6="Asteroid Belt",POWER(Upgrades!$U$6,E18),1)*IF(Upgrades!$T$8="Asteroid Belt",POWER(Upgrades!$U$8,G18),1)*IF(Upgrades!$T$9="Asteroid Belt",POWER(Upgrades!$U$9,H18),1)*IF(Upgrades!$T$10="Asteroid Belt",POWER(Upgrades!$U$10,I18),1)*IF(Upgrades!$T$11="Asteroid Belt",POWER(Upgrades!$U$11,J18),1)*IF(Upgrades!$T$12="Asteroid Belt",POWER(Upgrades!$U$12,K18),1))+(IF(G18=0,0,(Upgrades!$M$8+G18*Upgrades!$N$8)*POWER(Upgrades!$O$8,G18)))*(IF(Upgrades!$T$6="Stellar Coupling",POWER(Upgrades!$U$6,E18),1)*IF(Upgrades!$T$7="Stellar Coupling",POWER(Upgrades!$U$7,F18),1)*IF(Upgrades!$T$9="Stellar Coupling",POWER(Upgrades!$U$9,H18),1)*IF(Upgrades!$T$10="Stellar Coupling",POWER(Upgrades!$U$10,I18),1)*IF(Upgrades!$T$11="Stellar Coupling",POWER(Upgrades!$U$11,J18),1)*IF(Upgrades!$T$12="Stellar Coupling",POWER(Upgrades!$U$12,K18),1))+(IF(H18=0,0,(Upgrades!$M$9+H18*Upgrades!$N$9)*POWER(Upgrades!$O$9,H18)))*(IF(Upgrades!$T$6="Magnetosphere",POWER(Upgrades!$U$6,E18),1)*IF(Upgrades!$T$7="Magnetosphere",POWER(Upgrades!$U$7,F18),1)*IF(Upgrades!$T$8="Magnetosphere",POWER(Upgrades!$U$8,G18),1)*IF(Upgrades!$T$10="Magnetosphere",POWER(Upgrades!$U$10,I18),1)*IF(Upgrades!$T$11="Magnetosphere",POWER(Upgrades!$U$11,J18),1)*IF(Upgrades!$T$12="Magnetosphere",POWER(Upgrades!$U$12,K18),1))+(IF(I18=0,0,(Upgrades!$M$10+I18*Upgrades!$N$10)*POWER(Upgrades!$O$10,I18)))*(IF(Upgrades!$T$6="Orbital Resonance",POWER(Upgrades!$U$6,E18),1)*IF(Upgrades!$T$7="Orbital Resonance",POWER(Upgrades!$U$7,F18),1)*IF(Upgrades!$T$8="Orbital Resonance",POWER(Upgrades!$U$8,G18),1)*IF(Upgrades!$T$9="Orbital Resonance",POWER(Upgrades!$U$9,H18),1)*IF(Upgrades!$T$11="Orbital Resonance",POWER(Upgrades!$U$11,J18),1)*IF(Upgrades!$T$12="Orbital Resonance",POWER(Upgrades!$U$12,K18),1))+(IF(J18=0,0,(Upgrades!$M$11+J18*Upgrades!$N$11)*POWER(Upgrades!$O$11,J18)))*(IF(Upgrades!$T$6="Heliopause",POWER(Upgrades!$U$6,E18),1)*IF(Upgrades!$T$7="Heliopause",POWER(Upgrades!$U$7,F18),1)*IF(Upgrades!$T$8="Heliopause",POWER(Upgrades!$U$8,G18),1)*IF(Upgrades!$T$9="Heliopause",POWER(Upgrades!$U$9,H18),1)*IF(Upgrades!$T$10="Heliopause",POWER(Upgrades!$U$10,I18),1)*IF(Upgrades!$T$12="Heliopause",POWER(Upgrades!$U$12,K18),1))+(IF(K18=0,0,(Upgrades!$M$12+K18*Upgrades!$N$12)*POWER(Upgrades!$O$12,K18)))*(IF(Upgrades!$T$6="First Photons",POWER(Upgrades!$U$6,E18),1)*IF(Upgrades!$T$7="First Photons",POWER(Upgrades!$U$7,F18),1)*IF(Upgrades!$T$8="First Photons",POWER(Upgrades!$U$8,G18),1)*IF(Upgrades!$T$9="First Photons",POWER(Upgrades!$U$9,H18),1)*IF(Upgrades!$T$10="First Photons",POWER(Upgrades!$U$10,I18),1)*IF(Upgrades!$T$11="First Photons",POWER(Upgrades!$U$11,J18),1)))*POWER(Upgrades!$R$6,E18)*POWER(Upgrades!$R$7,F18)*POWER(Upgrades!$R$8,G18)*POWER(Upgrades!$R$9,H18)*POWER(Upgrades!$R$10,I18)*POWER(Upgrades!$R$11,J18)*POWER(Upgrades!$R$12,K18)</f>
        <v/>
      </c>
      <c r="P18" s="27">
        <f>IF(L18=1,0,M18*Parameters!$B$10/60*Parameters!$B$11*10)</f>
        <v/>
      </c>
      <c r="Q18" s="27">
        <f>IF(L18=1,0,O18*M18*10)</f>
        <v/>
      </c>
      <c r="R18" s="27">
        <f>IF(L18=1,0,N18*10)</f>
        <v/>
      </c>
      <c r="S18" s="27">
        <f>P18+Q18+R18</f>
        <v/>
      </c>
      <c r="T18" s="22">
        <f>C18+S18</f>
        <v/>
      </c>
      <c r="U18" s="33">
        <f>AX18</f>
        <v/>
      </c>
      <c r="V18" s="22">
        <f>IF(U18="",0,IF(U18="transition",0,IF(U18="SW",AG18,IF(U18="AB",AH18,IF(U18="SC",AI18,IF(U18="Mag",AJ18,IF(U18="OR",AK18,IF(U18="HP",AL18,IF(U18="FP",AM18,0)))))))))</f>
        <v/>
      </c>
      <c r="W18" s="27">
        <f>IF(U18="OR",Upgrades!$F$10,IF(U18="HP",Upgrades!$F$11,IF(U18="transition",-Parameters!$B$18,0)))</f>
        <v/>
      </c>
      <c r="X18" s="22">
        <f>T18-V18</f>
        <v/>
      </c>
      <c r="Y18" s="30">
        <f>M18*Parameters!$B$10/60*Parameters!$B$11+O18*M18+N18</f>
        <v/>
      </c>
      <c r="Z18" s="34">
        <f>IF(U18="transition","→ Tier 2 (Stellar Neighborhood)",IF(U18="FP","First Photons — light begins, system quickens",IF(U18="HP","Heliopause acquired",IF(U18="OR","Orbital Resonance — passive multiplier active",IF(AND(AO18=1,L18=0,AN18&lt;&gt;1),"Cohesion ready (waiting on completionist upgrades)","")))))</f>
        <v/>
      </c>
      <c r="AA18" s="27">
        <f>(IF(E18=0,0,(Upgrades!$G$6+E18*Upgrades!$H$6)*POWER(Upgrades!$I$6,E18)))*(IF(Upgrades!$T$7="Solar Wind",POWER(Upgrades!$U$7,F18),1)*IF(Upgrades!$T$8="Solar Wind",POWER(Upgrades!$U$8,G18),1)*IF(Upgrades!$T$9="Solar Wind",POWER(Upgrades!$U$9,H18),1)*IF(Upgrades!$T$10="Solar Wind",POWER(Upgrades!$U$10,I18),1)*IF(Upgrades!$T$11="Solar Wind",POWER(Upgrades!$U$11,J18),1)*IF(Upgrades!$T$12="Solar Wind",POWER(Upgrades!$U$12,K18),1))*POWER(Upgrades!$P$6,E18)*POWER(Upgrades!$P$7,F18)*POWER(Upgrades!$P$8,G18)*POWER(Upgrades!$P$9,H18)*POWER(Upgrades!$P$10,I18)*POWER(Upgrades!$P$11,J18)*POWER(Upgrades!$P$12,K18)*60</f>
        <v/>
      </c>
      <c r="AB18" s="27">
        <f>(IF(F18=0,0,(Upgrades!$G$7+F18*Upgrades!$H$7)*POWER(Upgrades!$I$7,F18)))*(IF(Upgrades!$T$6="Asteroid Belt",POWER(Upgrades!$U$6,E18),1)*IF(Upgrades!$T$8="Asteroid Belt",POWER(Upgrades!$U$8,G18),1)*IF(Upgrades!$T$9="Asteroid Belt",POWER(Upgrades!$U$9,H18),1)*IF(Upgrades!$T$10="Asteroid Belt",POWER(Upgrades!$U$10,I18),1)*IF(Upgrades!$T$11="Asteroid Belt",POWER(Upgrades!$U$11,J18),1)*IF(Upgrades!$T$12="Asteroid Belt",POWER(Upgrades!$U$12,K18),1))*POWER(Upgrades!$P$6,E18)*POWER(Upgrades!$P$7,F18)*POWER(Upgrades!$P$8,G18)*POWER(Upgrades!$P$9,H18)*POWER(Upgrades!$P$10,I18)*POWER(Upgrades!$P$11,J18)*POWER(Upgrades!$P$12,K18)*60</f>
        <v/>
      </c>
      <c r="AC18" s="27">
        <f>(IF(G18=0,0,(Upgrades!$J$8+G18*Upgrades!$K$8)*POWER(Upgrades!$L$8,G18)))*(IF(Upgrades!$T$6="Stellar Coupling",POWER(Upgrades!$U$6,E18),1)*IF(Upgrades!$T$7="Stellar Coupling",POWER(Upgrades!$U$7,F18),1)*IF(Upgrades!$T$9="Stellar Coupling",POWER(Upgrades!$U$9,H18),1)*IF(Upgrades!$T$10="Stellar Coupling",POWER(Upgrades!$U$10,I18),1)*IF(Upgrades!$T$11="Stellar Coupling",POWER(Upgrades!$U$11,J18),1)*IF(Upgrades!$T$12="Stellar Coupling",POWER(Upgrades!$U$12,K18),1))*POWER(Upgrades!$Q$6,E18)*POWER(Upgrades!$Q$7,F18)*POWER(Upgrades!$Q$8,G18)*POWER(Upgrades!$Q$9,H18)*POWER(Upgrades!$Q$10,I18)*POWER(Upgrades!$Q$11,J18)*POWER(Upgrades!$Q$12,K18)*Parameters!$B$10*Parameters!$B$11</f>
        <v/>
      </c>
      <c r="AD18" s="27">
        <f>(IF(H18=0,0,(Upgrades!$G$9+H18*Upgrades!$H$9)*POWER(Upgrades!$I$9,H18)))*(IF(Upgrades!$T$6="Magnetosphere",POWER(Upgrades!$U$6,E18),1)*IF(Upgrades!$T$7="Magnetosphere",POWER(Upgrades!$U$7,F18),1)*IF(Upgrades!$T$8="Magnetosphere",POWER(Upgrades!$U$8,G18),1)*IF(Upgrades!$T$10="Magnetosphere",POWER(Upgrades!$U$10,I18),1)*IF(Upgrades!$T$11="Magnetosphere",POWER(Upgrades!$U$11,J18),1)*IF(Upgrades!$T$12="Magnetosphere",POWER(Upgrades!$U$12,K18),1))*POWER(Upgrades!$P$6,E18)*POWER(Upgrades!$P$7,F18)*POWER(Upgrades!$P$8,G18)*POWER(Upgrades!$P$9,H18)*POWER(Upgrades!$P$10,I18)*POWER(Upgrades!$P$11,J18)*POWER(Upgrades!$P$12,K18)*60</f>
        <v/>
      </c>
      <c r="AE18" s="27">
        <f>(IF(K18=0,0,(Upgrades!$G$12+K18*Upgrades!$H$12)*POWER(Upgrades!$I$12,K18)))*(IF(Upgrades!$T$6="First Photons",POWER(Upgrades!$U$6,E18),1)*IF(Upgrades!$T$7="First Photons",POWER(Upgrades!$U$7,F18),1)*IF(Upgrades!$T$8="First Photons",POWER(Upgrades!$U$8,G18),1)*IF(Upgrades!$T$9="First Photons",POWER(Upgrades!$U$9,H18),1)*IF(Upgrades!$T$10="First Photons",POWER(Upgrades!$U$10,I18),1)*IF(Upgrades!$T$11="First Photons",POWER(Upgrades!$U$11,J18),1))*POWER(Upgrades!$P$6,E18)*POWER(Upgrades!$P$7,F18)*POWER(Upgrades!$P$8,G18)*POWER(Upgrades!$P$9,H18)*POWER(Upgrades!$P$10,I18)*POWER(Upgrades!$P$11,J18)*POWER(Upgrades!$P$12,K18)*60</f>
        <v/>
      </c>
      <c r="AF18" s="27">
        <f>Parameters!$B$9*POWER(Upgrades!$Q$6,E18)*POWER(Upgrades!$Q$7,F18)*POWER(Upgrades!$Q$8,G18)*POWER(Upgrades!$Q$9,H18)*POWER(Upgrades!$Q$10,I18)*POWER(Upgrades!$Q$11,J18)*POWER(Upgrades!$Q$12,K18)*(Parameters!$B$10*Parameters!$B$11+O18*60)</f>
        <v/>
      </c>
      <c r="AG18" s="22">
        <f>IF(E18&gt;=Upgrades!$E$6,"",Upgrades!$C$6*POWER(Upgrades!$D$6,E18))</f>
        <v/>
      </c>
      <c r="AH18" s="22">
        <f>IF(F18&gt;=Upgrades!$E$7,"",Upgrades!$C$7*POWER(Upgrades!$D$7,F18))</f>
        <v/>
      </c>
      <c r="AI18" s="22">
        <f>IF(G18&gt;=Upgrades!$E$8,"",Upgrades!$C$8*POWER(Upgrades!$D$8,G18))</f>
        <v/>
      </c>
      <c r="AJ18" s="22">
        <f>IF(H18&gt;=Upgrades!$E$9,"",Upgrades!$C$9*POWER(Upgrades!$D$9,H18))</f>
        <v/>
      </c>
      <c r="AK18" s="22">
        <f>IF(I18&gt;=Upgrades!$E$10,"",Upgrades!$C$10*POWER(Upgrades!$D$10,I18))</f>
        <v/>
      </c>
      <c r="AL18" s="22">
        <f>IF(J18&gt;=Upgrades!$E$11,"",Upgrades!$C$11*POWER(Upgrades!$D$11,J18))</f>
        <v/>
      </c>
      <c r="AM18" s="22">
        <f>IF(K18&gt;=Upgrades!$E$12,"",Upgrades!$C$12*POWER(Upgrades!$D$12,K18))</f>
        <v/>
      </c>
      <c r="AN18" s="26">
        <f>IF(AND(D18&gt;=Parameters!$B$18,(H18&gt;=Upgrades!$E$9)*(K18&gt;=Upgrades!$E$12)=1,L18=0),1,"")</f>
        <v/>
      </c>
      <c r="AO18" s="26">
        <f>IF(AND(D18&gt;=Parameters!$B$18,L18=0),1,"")</f>
        <v/>
      </c>
      <c r="AP18" s="22">
        <f>MIN(IF(ISNUMBER(AK18),AK18,9E15),IF(ISNUMBER(AL18),AL18,9E15),IF(ISNUMBER(AM18),AM18,9E15))</f>
        <v/>
      </c>
      <c r="AQ18" s="22">
        <f>MIN(IF(ISNUMBER(AG18),AG18,9E15),IF(ISNUMBER(AH18),AH18,9E15),IF(ISNUMBER(AI18),AI18,9E15),IF(ISNUMBER(AJ18),AJ18,9E15))</f>
        <v/>
      </c>
      <c r="AR18" s="29">
        <f>IF(AW18&gt;Parameters!$B$21*(MAX(IF(AND(NOT(AND(AO18=1,AN18&lt;&gt;1)),ISNUMBER(AG18),AG18&lt;=T18),AS18,0),IF(AND(NOT(AND(AO18=1,AN18&lt;&gt;1)),ISNUMBER(AH18),AH18&lt;=T18),AT18,0),IF(AND(NOT(AND(AO18=1,AN18&lt;&gt;1)),ISNUMBER(AI18),AI18&lt;=T18),AU18,0),IF(AND(ISNUMBER(AJ18),AJ18&lt;=T18),AV18,0))),TRUE,FALSE)</f>
        <v/>
      </c>
      <c r="AS18" s="32">
        <f>IFERROR(Upgrades!$H$6*(POWER(Upgrades!$P$6,E18)*POWER(Upgrades!$P$7,F18)*POWER(Upgrades!$P$8,G18)*POWER(Upgrades!$P$9,H18)*POWER(Upgrades!$P$10,I18)*POWER(Upgrades!$P$11,J18)*POWER(Upgrades!$P$12,K18))*(IF(Upgrades!$T$7="Solar Wind",POWER(Upgrades!$U$7,F18),1)*IF(Upgrades!$T$8="Solar Wind",POWER(Upgrades!$U$8,G18),1)*IF(Upgrades!$T$9="Solar Wind",POWER(Upgrades!$U$9,H18),1)*IF(Upgrades!$T$10="Solar Wind",POWER(Upgrades!$U$10,I18),1)*IF(Upgrades!$T$11="Solar Wind",POWER(Upgrades!$U$11,J18),1)*IF(Upgrades!$T$12="Solar Wind",POWER(Upgrades!$U$12,K18),1))/AG18,0)</f>
        <v/>
      </c>
      <c r="AT18" s="32">
        <f>IFERROR(Upgrades!$H$7*(POWER(Upgrades!$P$6,E18)*POWER(Upgrades!$P$7,F18)*POWER(Upgrades!$P$8,G18)*POWER(Upgrades!$P$9,H18)*POWER(Upgrades!$P$10,I18)*POWER(Upgrades!$P$11,J18)*POWER(Upgrades!$P$12,K18))*(IF(Upgrades!$T$6="Asteroid Belt",POWER(Upgrades!$U$6,E18),1)*IF(Upgrades!$T$8="Asteroid Belt",POWER(Upgrades!$U$8,G18),1)*IF(Upgrades!$T$9="Asteroid Belt",POWER(Upgrades!$U$9,H18),1)*IF(Upgrades!$T$10="Asteroid Belt",POWER(Upgrades!$U$10,I18),1)*IF(Upgrades!$T$11="Asteroid Belt",POWER(Upgrades!$U$11,J18),1)*IF(Upgrades!$T$12="Asteroid Belt",POWER(Upgrades!$U$12,K18),1))/AH18,0)</f>
        <v/>
      </c>
      <c r="AU18" s="32">
        <f>IFERROR(Upgrades!$K$8*(POWER(Upgrades!$Q$6,E18)*POWER(Upgrades!$Q$7,F18)*POWER(Upgrades!$Q$8,G18)*POWER(Upgrades!$Q$9,H18)*POWER(Upgrades!$Q$10,I18)*POWER(Upgrades!$Q$11,J18)*POWER(Upgrades!$Q$12,K18))*(IF(Upgrades!$T$6="Stellar Coupling",POWER(Upgrades!$U$6,E18),1)*IF(Upgrades!$T$7="Stellar Coupling",POWER(Upgrades!$U$7,F18),1)*IF(Upgrades!$T$9="Stellar Coupling",POWER(Upgrades!$U$9,H18),1)*IF(Upgrades!$T$10="Stellar Coupling",POWER(Upgrades!$U$10,I18),1)*IF(Upgrades!$T$11="Stellar Coupling",POWER(Upgrades!$U$11,J18),1)*IF(Upgrades!$T$12="Stellar Coupling",POWER(Upgrades!$U$12,K18),1))*Parameters!$B$10*Parameters!$B$11/60/AI18,0)</f>
        <v/>
      </c>
      <c r="AV18" s="32">
        <f>IFERROR(Upgrades!$H$9*(POWER(Upgrades!$P$6,E18)*POWER(Upgrades!$P$7,F18)*POWER(Upgrades!$P$8,G18)*POWER(Upgrades!$P$9,H18)*POWER(Upgrades!$P$10,I18)*POWER(Upgrades!$P$11,J18)*POWER(Upgrades!$P$12,K18))*(IF(Upgrades!$T$6="Magnetosphere",POWER(Upgrades!$U$6,E18),1)*IF(Upgrades!$T$7="Magnetosphere",POWER(Upgrades!$U$7,F18),1)*IF(Upgrades!$T$8="Magnetosphere",POWER(Upgrades!$U$8,G18),1)*IF(Upgrades!$T$10="Magnetosphere",POWER(Upgrades!$U$10,I18),1)*IF(Upgrades!$T$11="Magnetosphere",POWER(Upgrades!$U$11,J18),1)*IF(Upgrades!$T$12="Magnetosphere",POWER(Upgrades!$U$12,K18),1))/AJ18,0)</f>
        <v/>
      </c>
      <c r="AW18" s="32">
        <f>MAX(IF(I18&gt;0,0,IFERROR(0.25*N18/Upgrades!$C$10,0)),IF(J18&gt;0,0,IFERROR(0.5*((IF(G18=0,0,(Upgrades!$J$8+G18*Upgrades!$K$8)*POWER(Upgrades!$L$8,G18)))*(IF(Upgrades!$T$6="Stellar Coupling",POWER(Upgrades!$U$6,E18),1)*IF(Upgrades!$T$7="Stellar Coupling",POWER(Upgrades!$U$7,F18),1)*IF(Upgrades!$T$9="Stellar Coupling",POWER(Upgrades!$U$9,H18),1)*IF(Upgrades!$T$10="Stellar Coupling",POWER(Upgrades!$U$10,I18),1)*IF(Upgrades!$T$11="Stellar Coupling",POWER(Upgrades!$U$11,J18),1)*IF(Upgrades!$T$12="Stellar Coupling",POWER(Upgrades!$U$12,K18),1))*(POWER(Upgrades!$Q$6,E18)*POWER(Upgrades!$Q$7,F18)*POWER(Upgrades!$Q$8,G18)*POWER(Upgrades!$Q$9,H18)*POWER(Upgrades!$Q$10,I18)*POWER(Upgrades!$Q$11,J18)*POWER(Upgrades!$Q$12,K18))*Parameters!$B$10*Parameters!$B$11/60)/Upgrades!$C$11,0)),IF(K18&gt;0,0,IFERROR((1.0*(POWER(Upgrades!$P$6,E18)*POWER(Upgrades!$P$7,F18)*POWER(Upgrades!$P$8,G18)*POWER(Upgrades!$P$9,H18)*POWER(Upgrades!$P$10,I18)*POWER(Upgrades!$P$11,J18)*POWER(Upgrades!$P$12,K18))+0.20*M18*Parameters!$B$10*Parameters!$B$11/60)/Upgrades!$C$12,0)),IF(AND(ISNUMBER(AG18),AG18&gt;T18),AS18,0),IF(AND(ISNUMBER(AH18),AH18&gt;T18),AT18,0),IF(AND(ISNUMBER(AI18),AI18&gt;T18),AU18,0),IF(AND(ISNUMBER(AJ18),AJ18&gt;T18),AV18,0))</f>
        <v/>
      </c>
      <c r="AX18" s="29">
        <f>IF(AN18=1,"transition",IF(MIN(IF(AND(I18=0,ISNUMBER(AK18),AK18&lt;=T18),AK18,9E15),IF(AND(J18=0,ISNUMBER(AL18),AL18&lt;=T18),AL18,9E15),IF(AND(K18=0,ISNUMBER(AM18),AM18&lt;=T18),AM18,9E15))&lt;9E15,IF(AND(AND(I18=0,ISNUMBER(AK18),AK18&lt;=T18),AK18=MIN(IF(AND(I18=0,ISNUMBER(AK18),AK18&lt;=T18),AK18,9E15),IF(AND(J18=0,ISNUMBER(AL18),AL18&lt;=T18),AL18,9E15),IF(AND(K18=0,ISNUMBER(AM18),AM18&lt;=T18),AM18,9E15))),"OR",IF(AND(AND(J18=0,ISNUMBER(AL18),AL18&lt;=T18),AL18=MIN(IF(AND(I18=0,ISNUMBER(AK18),AK18&lt;=T18),AK18,9E15),IF(AND(J18=0,ISNUMBER(AL18),AL18&lt;=T18),AL18,9E15),IF(AND(K18=0,ISNUMBER(AM18),AM18&lt;=T18),AM18,9E15))),"HP","FP")),IF(AR18=TRUE,"",IF(MAX(IF(AND(NOT(AND(AO18=1,AN18&lt;&gt;1)),ISNUMBER(AG18),AG18&lt;=T18),AS18,0),IF(AND(NOT(AND(AO18=1,AN18&lt;&gt;1)),ISNUMBER(AH18),AH18&lt;=T18),AT18,0),IF(AND(NOT(AND(AO18=1,AN18&lt;&gt;1)),ISNUMBER(AI18),AI18&lt;=T18),AU18,0),IF(AND(ISNUMBER(AJ18),AJ18&lt;=T18),AV18,0))&lt;=0,"",IF(AND(IF(AND(NOT(AND(AO18=1,AN18&lt;&gt;1)),ISNUMBER(AG18),AG18&lt;=T18),AS18,0)&gt;0,IF(AND(NOT(AND(AO18=1,AN18&lt;&gt;1)),ISNUMBER(AG18),AG18&lt;=T18),AS18,0)=MAX(IF(AND(NOT(AND(AO18=1,AN18&lt;&gt;1)),ISNUMBER(AG18),AG18&lt;=T18),AS18,0),IF(AND(NOT(AND(AO18=1,AN18&lt;&gt;1)),ISNUMBER(AH18),AH18&lt;=T18),AT18,0),IF(AND(NOT(AND(AO18=1,AN18&lt;&gt;1)),ISNUMBER(AI18),AI18&lt;=T18),AU18,0),IF(AND(ISNUMBER(AJ18),AJ18&lt;=T18),AV18,0))),"SW",IF(AND(IF(AND(NOT(AND(AO18=1,AN18&lt;&gt;1)),ISNUMBER(AH18),AH18&lt;=T18),AT18,0)&gt;0,IF(AND(NOT(AND(AO18=1,AN18&lt;&gt;1)),ISNUMBER(AH18),AH18&lt;=T18),AT18,0)=MAX(IF(AND(NOT(AND(AO18=1,AN18&lt;&gt;1)),ISNUMBER(AG18),AG18&lt;=T18),AS18,0),IF(AND(NOT(AND(AO18=1,AN18&lt;&gt;1)),ISNUMBER(AH18),AH18&lt;=T18),AT18,0),IF(AND(NOT(AND(AO18=1,AN18&lt;&gt;1)),ISNUMBER(AI18),AI18&lt;=T18),AU18,0),IF(AND(ISNUMBER(AJ18),AJ18&lt;=T18),AV18,0))),"AB",IF(AND(IF(AND(NOT(AND(AO18=1,AN18&lt;&gt;1)),ISNUMBER(AI18),AI18&lt;=T18),AU18,0)&gt;0,IF(AND(NOT(AND(AO18=1,AN18&lt;&gt;1)),ISNUMBER(AI18),AI18&lt;=T18),AU18,0)=MAX(IF(AND(NOT(AND(AO18=1,AN18&lt;&gt;1)),ISNUMBER(AG18),AG18&lt;=T18),AS18,0),IF(AND(NOT(AND(AO18=1,AN18&lt;&gt;1)),ISNUMBER(AH18),AH18&lt;=T18),AT18,0),IF(AND(NOT(AND(AO18=1,AN18&lt;&gt;1)),ISNUMBER(AI18),AI18&lt;=T18),AU18,0),IF(AND(ISNUMBER(AJ18),AJ18&lt;=T18),AV18,0))),"SC","Mag")))))))</f>
        <v/>
      </c>
    </row>
    <row r="19">
      <c r="A19" s="26" t="n">
        <v>14</v>
      </c>
      <c r="B19" s="27">
        <f>A19*10/60</f>
        <v/>
      </c>
      <c r="C19" s="22">
        <f>X18</f>
        <v/>
      </c>
      <c r="D19" s="27">
        <f>D18+W18</f>
        <v/>
      </c>
      <c r="E19" s="26">
        <f>E18+IF(U18="SW",1,0)</f>
        <v/>
      </c>
      <c r="F19" s="26">
        <f>F18+IF(U18="AB",1,0)</f>
        <v/>
      </c>
      <c r="G19" s="26">
        <f>G18+IF(U18="SC",1,0)</f>
        <v/>
      </c>
      <c r="H19" s="26">
        <f>H18+IF(U18="Mag",1,0)</f>
        <v/>
      </c>
      <c r="I19" s="26">
        <f>MAX(I18,IF(U18="OR",1,0))</f>
        <v/>
      </c>
      <c r="J19" s="26">
        <f>MAX(J18,IF(U18="HP",1,0))</f>
        <v/>
      </c>
      <c r="K19" s="26">
        <f>MAX(K18,IF(U18="FP",1,0))</f>
        <v/>
      </c>
      <c r="L19" s="26">
        <f>MAX(L18,IF(U18="transition",1,0))</f>
        <v/>
      </c>
      <c r="M19" s="28">
        <f>(Parameters!$B$9+(IF(E19=0,0,(Upgrades!$J$6+E19*Upgrades!$K$6)*POWER(Upgrades!$L$6,E19)))*(IF(Upgrades!$T$7="Solar Wind",POWER(Upgrades!$U$7,F19),1)*IF(Upgrades!$T$8="Solar Wind",POWER(Upgrades!$U$8,G19),1)*IF(Upgrades!$T$9="Solar Wind",POWER(Upgrades!$U$9,H19),1)*IF(Upgrades!$T$10="Solar Wind",POWER(Upgrades!$U$10,I19),1)*IF(Upgrades!$T$11="Solar Wind",POWER(Upgrades!$U$11,J19),1)*IF(Upgrades!$T$12="Solar Wind",POWER(Upgrades!$U$12,K19),1))+(IF(F19=0,0,(Upgrades!$J$7+F19*Upgrades!$K$7)*POWER(Upgrades!$L$7,F19)))*(IF(Upgrades!$T$6="Asteroid Belt",POWER(Upgrades!$U$6,E19),1)*IF(Upgrades!$T$8="Asteroid Belt",POWER(Upgrades!$U$8,G19),1)*IF(Upgrades!$T$9="Asteroid Belt",POWER(Upgrades!$U$9,H19),1)*IF(Upgrades!$T$10="Asteroid Belt",POWER(Upgrades!$U$10,I19),1)*IF(Upgrades!$T$11="Asteroid Belt",POWER(Upgrades!$U$11,J19),1)*IF(Upgrades!$T$12="Asteroid Belt",POWER(Upgrades!$U$12,K19),1))+(IF(G19=0,0,(Upgrades!$J$8+G19*Upgrades!$K$8)*POWER(Upgrades!$L$8,G19)))*(IF(Upgrades!$T$6="Stellar Coupling",POWER(Upgrades!$U$6,E19),1)*IF(Upgrades!$T$7="Stellar Coupling",POWER(Upgrades!$U$7,F19),1)*IF(Upgrades!$T$9="Stellar Coupling",POWER(Upgrades!$U$9,H19),1)*IF(Upgrades!$T$10="Stellar Coupling",POWER(Upgrades!$U$10,I19),1)*IF(Upgrades!$T$11="Stellar Coupling",POWER(Upgrades!$U$11,J19),1)*IF(Upgrades!$T$12="Stellar Coupling",POWER(Upgrades!$U$12,K19),1))+(IF(H19=0,0,(Upgrades!$J$9+H19*Upgrades!$K$9)*POWER(Upgrades!$L$9,H19)))*(IF(Upgrades!$T$6="Magnetosphere",POWER(Upgrades!$U$6,E19),1)*IF(Upgrades!$T$7="Magnetosphere",POWER(Upgrades!$U$7,F19),1)*IF(Upgrades!$T$8="Magnetosphere",POWER(Upgrades!$U$8,G19),1)*IF(Upgrades!$T$10="Magnetosphere",POWER(Upgrades!$U$10,I19),1)*IF(Upgrades!$T$11="Magnetosphere",POWER(Upgrades!$U$11,J19),1)*IF(Upgrades!$T$12="Magnetosphere",POWER(Upgrades!$U$12,K19),1))+(IF(I19=0,0,(Upgrades!$J$10+I19*Upgrades!$K$10)*POWER(Upgrades!$L$10,I19)))*(IF(Upgrades!$T$6="Orbital Resonance",POWER(Upgrades!$U$6,E19),1)*IF(Upgrades!$T$7="Orbital Resonance",POWER(Upgrades!$U$7,F19),1)*IF(Upgrades!$T$8="Orbital Resonance",POWER(Upgrades!$U$8,G19),1)*IF(Upgrades!$T$9="Orbital Resonance",POWER(Upgrades!$U$9,H19),1)*IF(Upgrades!$T$11="Orbital Resonance",POWER(Upgrades!$U$11,J19),1)*IF(Upgrades!$T$12="Orbital Resonance",POWER(Upgrades!$U$12,K19),1))+(IF(J19=0,0,(Upgrades!$J$11+J19*Upgrades!$K$11)*POWER(Upgrades!$L$11,J19)))*(IF(Upgrades!$T$6="Heliopause",POWER(Upgrades!$U$6,E19),1)*IF(Upgrades!$T$7="Heliopause",POWER(Upgrades!$U$7,F19),1)*IF(Upgrades!$T$8="Heliopause",POWER(Upgrades!$U$8,G19),1)*IF(Upgrades!$T$9="Heliopause",POWER(Upgrades!$U$9,H19),1)*IF(Upgrades!$T$10="Heliopause",POWER(Upgrades!$U$10,I19),1)*IF(Upgrades!$T$12="Heliopause",POWER(Upgrades!$U$12,K19),1))+(IF(K19=0,0,(Upgrades!$J$12+K19*Upgrades!$K$12)*POWER(Upgrades!$L$12,K19)))*(IF(Upgrades!$T$6="First Photons",POWER(Upgrades!$U$6,E19),1)*IF(Upgrades!$T$7="First Photons",POWER(Upgrades!$U$7,F19),1)*IF(Upgrades!$T$8="First Photons",POWER(Upgrades!$U$8,G19),1)*IF(Upgrades!$T$9="First Photons",POWER(Upgrades!$U$9,H19),1)*IF(Upgrades!$T$10="First Photons",POWER(Upgrades!$U$10,I19),1)*IF(Upgrades!$T$11="First Photons",POWER(Upgrades!$U$11,J19),1)))*POWER(Upgrades!$Q$6,E19)*POWER(Upgrades!$Q$7,F19)*POWER(Upgrades!$Q$8,G19)*POWER(Upgrades!$Q$9,H19)*POWER(Upgrades!$Q$10,I19)*POWER(Upgrades!$Q$11,J19)*POWER(Upgrades!$Q$12,K19)</f>
        <v/>
      </c>
      <c r="N19" s="28">
        <f>((IF(E19=0,0,(Upgrades!$G$6+E19*Upgrades!$H$6)*POWER(Upgrades!$I$6,E19)))*(IF(Upgrades!$T$7="Solar Wind",POWER(Upgrades!$U$7,F19),1)*IF(Upgrades!$T$8="Solar Wind",POWER(Upgrades!$U$8,G19),1)*IF(Upgrades!$T$9="Solar Wind",POWER(Upgrades!$U$9,H19),1)*IF(Upgrades!$T$10="Solar Wind",POWER(Upgrades!$U$10,I19),1)*IF(Upgrades!$T$11="Solar Wind",POWER(Upgrades!$U$11,J19),1)*IF(Upgrades!$T$12="Solar Wind",POWER(Upgrades!$U$12,K19),1))+(IF(F19=0,0,(Upgrades!$G$7+F19*Upgrades!$H$7)*POWER(Upgrades!$I$7,F19)))*(IF(Upgrades!$T$6="Asteroid Belt",POWER(Upgrades!$U$6,E19),1)*IF(Upgrades!$T$8="Asteroid Belt",POWER(Upgrades!$U$8,G19),1)*IF(Upgrades!$T$9="Asteroid Belt",POWER(Upgrades!$U$9,H19),1)*IF(Upgrades!$T$10="Asteroid Belt",POWER(Upgrades!$U$10,I19),1)*IF(Upgrades!$T$11="Asteroid Belt",POWER(Upgrades!$U$11,J19),1)*IF(Upgrades!$T$12="Asteroid Belt",POWER(Upgrades!$U$12,K19),1))+(IF(G19=0,0,(Upgrades!$G$8+G19*Upgrades!$H$8)*POWER(Upgrades!$I$8,G19)))*(IF(Upgrades!$T$6="Stellar Coupling",POWER(Upgrades!$U$6,E19),1)*IF(Upgrades!$T$7="Stellar Coupling",POWER(Upgrades!$U$7,F19),1)*IF(Upgrades!$T$9="Stellar Coupling",POWER(Upgrades!$U$9,H19),1)*IF(Upgrades!$T$10="Stellar Coupling",POWER(Upgrades!$U$10,I19),1)*IF(Upgrades!$T$11="Stellar Coupling",POWER(Upgrades!$U$11,J19),1)*IF(Upgrades!$T$12="Stellar Coupling",POWER(Upgrades!$U$12,K19),1))+(IF(H19=0,0,(Upgrades!$G$9+H19*Upgrades!$H$9)*POWER(Upgrades!$I$9,H19)))*(IF(Upgrades!$T$6="Magnetosphere",POWER(Upgrades!$U$6,E19),1)*IF(Upgrades!$T$7="Magnetosphere",POWER(Upgrades!$U$7,F19),1)*IF(Upgrades!$T$8="Magnetosphere",POWER(Upgrades!$U$8,G19),1)*IF(Upgrades!$T$10="Magnetosphere",POWER(Upgrades!$U$10,I19),1)*IF(Upgrades!$T$11="Magnetosphere",POWER(Upgrades!$U$11,J19),1)*IF(Upgrades!$T$12="Magnetosphere",POWER(Upgrades!$U$12,K19),1))+(IF(I19=0,0,(Upgrades!$G$10+I19*Upgrades!$H$10)*POWER(Upgrades!$I$10,I19)))*(IF(Upgrades!$T$6="Orbital Resonance",POWER(Upgrades!$U$6,E19),1)*IF(Upgrades!$T$7="Orbital Resonance",POWER(Upgrades!$U$7,F19),1)*IF(Upgrades!$T$8="Orbital Resonance",POWER(Upgrades!$U$8,G19),1)*IF(Upgrades!$T$9="Orbital Resonance",POWER(Upgrades!$U$9,H19),1)*IF(Upgrades!$T$11="Orbital Resonance",POWER(Upgrades!$U$11,J19),1)*IF(Upgrades!$T$12="Orbital Resonance",POWER(Upgrades!$U$12,K19),1))+(IF(J19=0,0,(Upgrades!$G$11+J19*Upgrades!$H$11)*POWER(Upgrades!$I$11,J19)))*(IF(Upgrades!$T$6="Heliopause",POWER(Upgrades!$U$6,E19),1)*IF(Upgrades!$T$7="Heliopause",POWER(Upgrades!$U$7,F19),1)*IF(Upgrades!$T$8="Heliopause",POWER(Upgrades!$U$8,G19),1)*IF(Upgrades!$T$9="Heliopause",POWER(Upgrades!$U$9,H19),1)*IF(Upgrades!$T$10="Heliopause",POWER(Upgrades!$U$10,I19),1)*IF(Upgrades!$T$12="Heliopause",POWER(Upgrades!$U$12,K19),1))+(IF(K19=0,0,(Upgrades!$G$12+K19*Upgrades!$H$12)*POWER(Upgrades!$I$12,K19)))*(IF(Upgrades!$T$6="First Photons",POWER(Upgrades!$U$6,E19),1)*IF(Upgrades!$T$7="First Photons",POWER(Upgrades!$U$7,F19),1)*IF(Upgrades!$T$8="First Photons",POWER(Upgrades!$U$8,G19),1)*IF(Upgrades!$T$9="First Photons",POWER(Upgrades!$U$9,H19),1)*IF(Upgrades!$T$10="First Photons",POWER(Upgrades!$U$10,I19),1)*IF(Upgrades!$T$11="First Photons",POWER(Upgrades!$U$11,J19),1)))*POWER(Upgrades!$P$6,E19)*POWER(Upgrades!$P$7,F19)*POWER(Upgrades!$P$8,G19)*POWER(Upgrades!$P$9,H19)*POWER(Upgrades!$P$10,I19)*POWER(Upgrades!$P$11,J19)*POWER(Upgrades!$P$12,K19)</f>
        <v/>
      </c>
      <c r="O19" s="28">
        <f>((IF(E19=0,0,(Upgrades!$M$6+E19*Upgrades!$N$6)*POWER(Upgrades!$O$6,E19)))*(IF(Upgrades!$T$7="Solar Wind",POWER(Upgrades!$U$7,F19),1)*IF(Upgrades!$T$8="Solar Wind",POWER(Upgrades!$U$8,G19),1)*IF(Upgrades!$T$9="Solar Wind",POWER(Upgrades!$U$9,H19),1)*IF(Upgrades!$T$10="Solar Wind",POWER(Upgrades!$U$10,I19),1)*IF(Upgrades!$T$11="Solar Wind",POWER(Upgrades!$U$11,J19),1)*IF(Upgrades!$T$12="Solar Wind",POWER(Upgrades!$U$12,K19),1))+(IF(F19=0,0,(Upgrades!$M$7+F19*Upgrades!$N$7)*POWER(Upgrades!$O$7,F19)))*(IF(Upgrades!$T$6="Asteroid Belt",POWER(Upgrades!$U$6,E19),1)*IF(Upgrades!$T$8="Asteroid Belt",POWER(Upgrades!$U$8,G19),1)*IF(Upgrades!$T$9="Asteroid Belt",POWER(Upgrades!$U$9,H19),1)*IF(Upgrades!$T$10="Asteroid Belt",POWER(Upgrades!$U$10,I19),1)*IF(Upgrades!$T$11="Asteroid Belt",POWER(Upgrades!$U$11,J19),1)*IF(Upgrades!$T$12="Asteroid Belt",POWER(Upgrades!$U$12,K19),1))+(IF(G19=0,0,(Upgrades!$M$8+G19*Upgrades!$N$8)*POWER(Upgrades!$O$8,G19)))*(IF(Upgrades!$T$6="Stellar Coupling",POWER(Upgrades!$U$6,E19),1)*IF(Upgrades!$T$7="Stellar Coupling",POWER(Upgrades!$U$7,F19),1)*IF(Upgrades!$T$9="Stellar Coupling",POWER(Upgrades!$U$9,H19),1)*IF(Upgrades!$T$10="Stellar Coupling",POWER(Upgrades!$U$10,I19),1)*IF(Upgrades!$T$11="Stellar Coupling",POWER(Upgrades!$U$11,J19),1)*IF(Upgrades!$T$12="Stellar Coupling",POWER(Upgrades!$U$12,K19),1))+(IF(H19=0,0,(Upgrades!$M$9+H19*Upgrades!$N$9)*POWER(Upgrades!$O$9,H19)))*(IF(Upgrades!$T$6="Magnetosphere",POWER(Upgrades!$U$6,E19),1)*IF(Upgrades!$T$7="Magnetosphere",POWER(Upgrades!$U$7,F19),1)*IF(Upgrades!$T$8="Magnetosphere",POWER(Upgrades!$U$8,G19),1)*IF(Upgrades!$T$10="Magnetosphere",POWER(Upgrades!$U$10,I19),1)*IF(Upgrades!$T$11="Magnetosphere",POWER(Upgrades!$U$11,J19),1)*IF(Upgrades!$T$12="Magnetosphere",POWER(Upgrades!$U$12,K19),1))+(IF(I19=0,0,(Upgrades!$M$10+I19*Upgrades!$N$10)*POWER(Upgrades!$O$10,I19)))*(IF(Upgrades!$T$6="Orbital Resonance",POWER(Upgrades!$U$6,E19),1)*IF(Upgrades!$T$7="Orbital Resonance",POWER(Upgrades!$U$7,F19),1)*IF(Upgrades!$T$8="Orbital Resonance",POWER(Upgrades!$U$8,G19),1)*IF(Upgrades!$T$9="Orbital Resonance",POWER(Upgrades!$U$9,H19),1)*IF(Upgrades!$T$11="Orbital Resonance",POWER(Upgrades!$U$11,J19),1)*IF(Upgrades!$T$12="Orbital Resonance",POWER(Upgrades!$U$12,K19),1))+(IF(J19=0,0,(Upgrades!$M$11+J19*Upgrades!$N$11)*POWER(Upgrades!$O$11,J19)))*(IF(Upgrades!$T$6="Heliopause",POWER(Upgrades!$U$6,E19),1)*IF(Upgrades!$T$7="Heliopause",POWER(Upgrades!$U$7,F19),1)*IF(Upgrades!$T$8="Heliopause",POWER(Upgrades!$U$8,G19),1)*IF(Upgrades!$T$9="Heliopause",POWER(Upgrades!$U$9,H19),1)*IF(Upgrades!$T$10="Heliopause",POWER(Upgrades!$U$10,I19),1)*IF(Upgrades!$T$12="Heliopause",POWER(Upgrades!$U$12,K19),1))+(IF(K19=0,0,(Upgrades!$M$12+K19*Upgrades!$N$12)*POWER(Upgrades!$O$12,K19)))*(IF(Upgrades!$T$6="First Photons",POWER(Upgrades!$U$6,E19),1)*IF(Upgrades!$T$7="First Photons",POWER(Upgrades!$U$7,F19),1)*IF(Upgrades!$T$8="First Photons",POWER(Upgrades!$U$8,G19),1)*IF(Upgrades!$T$9="First Photons",POWER(Upgrades!$U$9,H19),1)*IF(Upgrades!$T$10="First Photons",POWER(Upgrades!$U$10,I19),1)*IF(Upgrades!$T$11="First Photons",POWER(Upgrades!$U$11,J19),1)))*POWER(Upgrades!$R$6,E19)*POWER(Upgrades!$R$7,F19)*POWER(Upgrades!$R$8,G19)*POWER(Upgrades!$R$9,H19)*POWER(Upgrades!$R$10,I19)*POWER(Upgrades!$R$11,J19)*POWER(Upgrades!$R$12,K19)</f>
        <v/>
      </c>
      <c r="P19" s="27">
        <f>IF(L19=1,0,M19*Parameters!$B$10/60*Parameters!$B$11*10)</f>
        <v/>
      </c>
      <c r="Q19" s="27">
        <f>IF(L19=1,0,O19*M19*10)</f>
        <v/>
      </c>
      <c r="R19" s="27">
        <f>IF(L19=1,0,N19*10)</f>
        <v/>
      </c>
      <c r="S19" s="27">
        <f>P19+Q19+R19</f>
        <v/>
      </c>
      <c r="T19" s="22">
        <f>C19+S19</f>
        <v/>
      </c>
      <c r="U19" s="33">
        <f>AX19</f>
        <v/>
      </c>
      <c r="V19" s="22">
        <f>IF(U19="",0,IF(U19="transition",0,IF(U19="SW",AG19,IF(U19="AB",AH19,IF(U19="SC",AI19,IF(U19="Mag",AJ19,IF(U19="OR",AK19,IF(U19="HP",AL19,IF(U19="FP",AM19,0)))))))))</f>
        <v/>
      </c>
      <c r="W19" s="27">
        <f>IF(U19="OR",Upgrades!$F$10,IF(U19="HP",Upgrades!$F$11,IF(U19="transition",-Parameters!$B$18,0)))</f>
        <v/>
      </c>
      <c r="X19" s="22">
        <f>T19-V19</f>
        <v/>
      </c>
      <c r="Y19" s="30">
        <f>M19*Parameters!$B$10/60*Parameters!$B$11+O19*M19+N19</f>
        <v/>
      </c>
      <c r="Z19" s="34">
        <f>IF(U19="transition","→ Tier 2 (Stellar Neighborhood)",IF(U19="FP","First Photons — light begins, system quickens",IF(U19="HP","Heliopause acquired",IF(U19="OR","Orbital Resonance — passive multiplier active",IF(AND(AO19=1,L19=0,AN19&lt;&gt;1),"Cohesion ready (waiting on completionist upgrades)","")))))</f>
        <v/>
      </c>
      <c r="AA19" s="27">
        <f>(IF(E19=0,0,(Upgrades!$G$6+E19*Upgrades!$H$6)*POWER(Upgrades!$I$6,E19)))*(IF(Upgrades!$T$7="Solar Wind",POWER(Upgrades!$U$7,F19),1)*IF(Upgrades!$T$8="Solar Wind",POWER(Upgrades!$U$8,G19),1)*IF(Upgrades!$T$9="Solar Wind",POWER(Upgrades!$U$9,H19),1)*IF(Upgrades!$T$10="Solar Wind",POWER(Upgrades!$U$10,I19),1)*IF(Upgrades!$T$11="Solar Wind",POWER(Upgrades!$U$11,J19),1)*IF(Upgrades!$T$12="Solar Wind",POWER(Upgrades!$U$12,K19),1))*POWER(Upgrades!$P$6,E19)*POWER(Upgrades!$P$7,F19)*POWER(Upgrades!$P$8,G19)*POWER(Upgrades!$P$9,H19)*POWER(Upgrades!$P$10,I19)*POWER(Upgrades!$P$11,J19)*POWER(Upgrades!$P$12,K19)*60</f>
        <v/>
      </c>
      <c r="AB19" s="27">
        <f>(IF(F19=0,0,(Upgrades!$G$7+F19*Upgrades!$H$7)*POWER(Upgrades!$I$7,F19)))*(IF(Upgrades!$T$6="Asteroid Belt",POWER(Upgrades!$U$6,E19),1)*IF(Upgrades!$T$8="Asteroid Belt",POWER(Upgrades!$U$8,G19),1)*IF(Upgrades!$T$9="Asteroid Belt",POWER(Upgrades!$U$9,H19),1)*IF(Upgrades!$T$10="Asteroid Belt",POWER(Upgrades!$U$10,I19),1)*IF(Upgrades!$T$11="Asteroid Belt",POWER(Upgrades!$U$11,J19),1)*IF(Upgrades!$T$12="Asteroid Belt",POWER(Upgrades!$U$12,K19),1))*POWER(Upgrades!$P$6,E19)*POWER(Upgrades!$P$7,F19)*POWER(Upgrades!$P$8,G19)*POWER(Upgrades!$P$9,H19)*POWER(Upgrades!$P$10,I19)*POWER(Upgrades!$P$11,J19)*POWER(Upgrades!$P$12,K19)*60</f>
        <v/>
      </c>
      <c r="AC19" s="27">
        <f>(IF(G19=0,0,(Upgrades!$J$8+G19*Upgrades!$K$8)*POWER(Upgrades!$L$8,G19)))*(IF(Upgrades!$T$6="Stellar Coupling",POWER(Upgrades!$U$6,E19),1)*IF(Upgrades!$T$7="Stellar Coupling",POWER(Upgrades!$U$7,F19),1)*IF(Upgrades!$T$9="Stellar Coupling",POWER(Upgrades!$U$9,H19),1)*IF(Upgrades!$T$10="Stellar Coupling",POWER(Upgrades!$U$10,I19),1)*IF(Upgrades!$T$11="Stellar Coupling",POWER(Upgrades!$U$11,J19),1)*IF(Upgrades!$T$12="Stellar Coupling",POWER(Upgrades!$U$12,K19),1))*POWER(Upgrades!$Q$6,E19)*POWER(Upgrades!$Q$7,F19)*POWER(Upgrades!$Q$8,G19)*POWER(Upgrades!$Q$9,H19)*POWER(Upgrades!$Q$10,I19)*POWER(Upgrades!$Q$11,J19)*POWER(Upgrades!$Q$12,K19)*Parameters!$B$10*Parameters!$B$11</f>
        <v/>
      </c>
      <c r="AD19" s="27">
        <f>(IF(H19=0,0,(Upgrades!$G$9+H19*Upgrades!$H$9)*POWER(Upgrades!$I$9,H19)))*(IF(Upgrades!$T$6="Magnetosphere",POWER(Upgrades!$U$6,E19),1)*IF(Upgrades!$T$7="Magnetosphere",POWER(Upgrades!$U$7,F19),1)*IF(Upgrades!$T$8="Magnetosphere",POWER(Upgrades!$U$8,G19),1)*IF(Upgrades!$T$10="Magnetosphere",POWER(Upgrades!$U$10,I19),1)*IF(Upgrades!$T$11="Magnetosphere",POWER(Upgrades!$U$11,J19),1)*IF(Upgrades!$T$12="Magnetosphere",POWER(Upgrades!$U$12,K19),1))*POWER(Upgrades!$P$6,E19)*POWER(Upgrades!$P$7,F19)*POWER(Upgrades!$P$8,G19)*POWER(Upgrades!$P$9,H19)*POWER(Upgrades!$P$10,I19)*POWER(Upgrades!$P$11,J19)*POWER(Upgrades!$P$12,K19)*60</f>
        <v/>
      </c>
      <c r="AE19" s="27">
        <f>(IF(K19=0,0,(Upgrades!$G$12+K19*Upgrades!$H$12)*POWER(Upgrades!$I$12,K19)))*(IF(Upgrades!$T$6="First Photons",POWER(Upgrades!$U$6,E19),1)*IF(Upgrades!$T$7="First Photons",POWER(Upgrades!$U$7,F19),1)*IF(Upgrades!$T$8="First Photons",POWER(Upgrades!$U$8,G19),1)*IF(Upgrades!$T$9="First Photons",POWER(Upgrades!$U$9,H19),1)*IF(Upgrades!$T$10="First Photons",POWER(Upgrades!$U$10,I19),1)*IF(Upgrades!$T$11="First Photons",POWER(Upgrades!$U$11,J19),1))*POWER(Upgrades!$P$6,E19)*POWER(Upgrades!$P$7,F19)*POWER(Upgrades!$P$8,G19)*POWER(Upgrades!$P$9,H19)*POWER(Upgrades!$P$10,I19)*POWER(Upgrades!$P$11,J19)*POWER(Upgrades!$P$12,K19)*60</f>
        <v/>
      </c>
      <c r="AF19" s="27">
        <f>Parameters!$B$9*POWER(Upgrades!$Q$6,E19)*POWER(Upgrades!$Q$7,F19)*POWER(Upgrades!$Q$8,G19)*POWER(Upgrades!$Q$9,H19)*POWER(Upgrades!$Q$10,I19)*POWER(Upgrades!$Q$11,J19)*POWER(Upgrades!$Q$12,K19)*(Parameters!$B$10*Parameters!$B$11+O19*60)</f>
        <v/>
      </c>
      <c r="AG19" s="22">
        <f>IF(E19&gt;=Upgrades!$E$6,"",Upgrades!$C$6*POWER(Upgrades!$D$6,E19))</f>
        <v/>
      </c>
      <c r="AH19" s="22">
        <f>IF(F19&gt;=Upgrades!$E$7,"",Upgrades!$C$7*POWER(Upgrades!$D$7,F19))</f>
        <v/>
      </c>
      <c r="AI19" s="22">
        <f>IF(G19&gt;=Upgrades!$E$8,"",Upgrades!$C$8*POWER(Upgrades!$D$8,G19))</f>
        <v/>
      </c>
      <c r="AJ19" s="22">
        <f>IF(H19&gt;=Upgrades!$E$9,"",Upgrades!$C$9*POWER(Upgrades!$D$9,H19))</f>
        <v/>
      </c>
      <c r="AK19" s="22">
        <f>IF(I19&gt;=Upgrades!$E$10,"",Upgrades!$C$10*POWER(Upgrades!$D$10,I19))</f>
        <v/>
      </c>
      <c r="AL19" s="22">
        <f>IF(J19&gt;=Upgrades!$E$11,"",Upgrades!$C$11*POWER(Upgrades!$D$11,J19))</f>
        <v/>
      </c>
      <c r="AM19" s="22">
        <f>IF(K19&gt;=Upgrades!$E$12,"",Upgrades!$C$12*POWER(Upgrades!$D$12,K19))</f>
        <v/>
      </c>
      <c r="AN19" s="26">
        <f>IF(AND(D19&gt;=Parameters!$B$18,(H19&gt;=Upgrades!$E$9)*(K19&gt;=Upgrades!$E$12)=1,L19=0),1,"")</f>
        <v/>
      </c>
      <c r="AO19" s="26">
        <f>IF(AND(D19&gt;=Parameters!$B$18,L19=0),1,"")</f>
        <v/>
      </c>
      <c r="AP19" s="22">
        <f>MIN(IF(ISNUMBER(AK19),AK19,9E15),IF(ISNUMBER(AL19),AL19,9E15),IF(ISNUMBER(AM19),AM19,9E15))</f>
        <v/>
      </c>
      <c r="AQ19" s="22">
        <f>MIN(IF(ISNUMBER(AG19),AG19,9E15),IF(ISNUMBER(AH19),AH19,9E15),IF(ISNUMBER(AI19),AI19,9E15),IF(ISNUMBER(AJ19),AJ19,9E15))</f>
        <v/>
      </c>
      <c r="AR19" s="29">
        <f>IF(AW19&gt;Parameters!$B$21*(MAX(IF(AND(NOT(AND(AO19=1,AN19&lt;&gt;1)),ISNUMBER(AG19),AG19&lt;=T19),AS19,0),IF(AND(NOT(AND(AO19=1,AN19&lt;&gt;1)),ISNUMBER(AH19),AH19&lt;=T19),AT19,0),IF(AND(NOT(AND(AO19=1,AN19&lt;&gt;1)),ISNUMBER(AI19),AI19&lt;=T19),AU19,0),IF(AND(ISNUMBER(AJ19),AJ19&lt;=T19),AV19,0))),TRUE,FALSE)</f>
        <v/>
      </c>
      <c r="AS19" s="32">
        <f>IFERROR(Upgrades!$H$6*(POWER(Upgrades!$P$6,E19)*POWER(Upgrades!$P$7,F19)*POWER(Upgrades!$P$8,G19)*POWER(Upgrades!$P$9,H19)*POWER(Upgrades!$P$10,I19)*POWER(Upgrades!$P$11,J19)*POWER(Upgrades!$P$12,K19))*(IF(Upgrades!$T$7="Solar Wind",POWER(Upgrades!$U$7,F19),1)*IF(Upgrades!$T$8="Solar Wind",POWER(Upgrades!$U$8,G19),1)*IF(Upgrades!$T$9="Solar Wind",POWER(Upgrades!$U$9,H19),1)*IF(Upgrades!$T$10="Solar Wind",POWER(Upgrades!$U$10,I19),1)*IF(Upgrades!$T$11="Solar Wind",POWER(Upgrades!$U$11,J19),1)*IF(Upgrades!$T$12="Solar Wind",POWER(Upgrades!$U$12,K19),1))/AG19,0)</f>
        <v/>
      </c>
      <c r="AT19" s="32">
        <f>IFERROR(Upgrades!$H$7*(POWER(Upgrades!$P$6,E19)*POWER(Upgrades!$P$7,F19)*POWER(Upgrades!$P$8,G19)*POWER(Upgrades!$P$9,H19)*POWER(Upgrades!$P$10,I19)*POWER(Upgrades!$P$11,J19)*POWER(Upgrades!$P$12,K19))*(IF(Upgrades!$T$6="Asteroid Belt",POWER(Upgrades!$U$6,E19),1)*IF(Upgrades!$T$8="Asteroid Belt",POWER(Upgrades!$U$8,G19),1)*IF(Upgrades!$T$9="Asteroid Belt",POWER(Upgrades!$U$9,H19),1)*IF(Upgrades!$T$10="Asteroid Belt",POWER(Upgrades!$U$10,I19),1)*IF(Upgrades!$T$11="Asteroid Belt",POWER(Upgrades!$U$11,J19),1)*IF(Upgrades!$T$12="Asteroid Belt",POWER(Upgrades!$U$12,K19),1))/AH19,0)</f>
        <v/>
      </c>
      <c r="AU19" s="32">
        <f>IFERROR(Upgrades!$K$8*(POWER(Upgrades!$Q$6,E19)*POWER(Upgrades!$Q$7,F19)*POWER(Upgrades!$Q$8,G19)*POWER(Upgrades!$Q$9,H19)*POWER(Upgrades!$Q$10,I19)*POWER(Upgrades!$Q$11,J19)*POWER(Upgrades!$Q$12,K19))*(IF(Upgrades!$T$6="Stellar Coupling",POWER(Upgrades!$U$6,E19),1)*IF(Upgrades!$T$7="Stellar Coupling",POWER(Upgrades!$U$7,F19),1)*IF(Upgrades!$T$9="Stellar Coupling",POWER(Upgrades!$U$9,H19),1)*IF(Upgrades!$T$10="Stellar Coupling",POWER(Upgrades!$U$10,I19),1)*IF(Upgrades!$T$11="Stellar Coupling",POWER(Upgrades!$U$11,J19),1)*IF(Upgrades!$T$12="Stellar Coupling",POWER(Upgrades!$U$12,K19),1))*Parameters!$B$10*Parameters!$B$11/60/AI19,0)</f>
        <v/>
      </c>
      <c r="AV19" s="32">
        <f>IFERROR(Upgrades!$H$9*(POWER(Upgrades!$P$6,E19)*POWER(Upgrades!$P$7,F19)*POWER(Upgrades!$P$8,G19)*POWER(Upgrades!$P$9,H19)*POWER(Upgrades!$P$10,I19)*POWER(Upgrades!$P$11,J19)*POWER(Upgrades!$P$12,K19))*(IF(Upgrades!$T$6="Magnetosphere",POWER(Upgrades!$U$6,E19),1)*IF(Upgrades!$T$7="Magnetosphere",POWER(Upgrades!$U$7,F19),1)*IF(Upgrades!$T$8="Magnetosphere",POWER(Upgrades!$U$8,G19),1)*IF(Upgrades!$T$10="Magnetosphere",POWER(Upgrades!$U$10,I19),1)*IF(Upgrades!$T$11="Magnetosphere",POWER(Upgrades!$U$11,J19),1)*IF(Upgrades!$T$12="Magnetosphere",POWER(Upgrades!$U$12,K19),1))/AJ19,0)</f>
        <v/>
      </c>
      <c r="AW19" s="32">
        <f>MAX(IF(I19&gt;0,0,IFERROR(0.25*N19/Upgrades!$C$10,0)),IF(J19&gt;0,0,IFERROR(0.5*((IF(G19=0,0,(Upgrades!$J$8+G19*Upgrades!$K$8)*POWER(Upgrades!$L$8,G19)))*(IF(Upgrades!$T$6="Stellar Coupling",POWER(Upgrades!$U$6,E19),1)*IF(Upgrades!$T$7="Stellar Coupling",POWER(Upgrades!$U$7,F19),1)*IF(Upgrades!$T$9="Stellar Coupling",POWER(Upgrades!$U$9,H19),1)*IF(Upgrades!$T$10="Stellar Coupling",POWER(Upgrades!$U$10,I19),1)*IF(Upgrades!$T$11="Stellar Coupling",POWER(Upgrades!$U$11,J19),1)*IF(Upgrades!$T$12="Stellar Coupling",POWER(Upgrades!$U$12,K19),1))*(POWER(Upgrades!$Q$6,E19)*POWER(Upgrades!$Q$7,F19)*POWER(Upgrades!$Q$8,G19)*POWER(Upgrades!$Q$9,H19)*POWER(Upgrades!$Q$10,I19)*POWER(Upgrades!$Q$11,J19)*POWER(Upgrades!$Q$12,K19))*Parameters!$B$10*Parameters!$B$11/60)/Upgrades!$C$11,0)),IF(K19&gt;0,0,IFERROR((1.0*(POWER(Upgrades!$P$6,E19)*POWER(Upgrades!$P$7,F19)*POWER(Upgrades!$P$8,G19)*POWER(Upgrades!$P$9,H19)*POWER(Upgrades!$P$10,I19)*POWER(Upgrades!$P$11,J19)*POWER(Upgrades!$P$12,K19))+0.20*M19*Parameters!$B$10*Parameters!$B$11/60)/Upgrades!$C$12,0)),IF(AND(ISNUMBER(AG19),AG19&gt;T19),AS19,0),IF(AND(ISNUMBER(AH19),AH19&gt;T19),AT19,0),IF(AND(ISNUMBER(AI19),AI19&gt;T19),AU19,0),IF(AND(ISNUMBER(AJ19),AJ19&gt;T19),AV19,0))</f>
        <v/>
      </c>
      <c r="AX19" s="29">
        <f>IF(AN19=1,"transition",IF(MIN(IF(AND(I19=0,ISNUMBER(AK19),AK19&lt;=T19),AK19,9E15),IF(AND(J19=0,ISNUMBER(AL19),AL19&lt;=T19),AL19,9E15),IF(AND(K19=0,ISNUMBER(AM19),AM19&lt;=T19),AM19,9E15))&lt;9E15,IF(AND(AND(I19=0,ISNUMBER(AK19),AK19&lt;=T19),AK19=MIN(IF(AND(I19=0,ISNUMBER(AK19),AK19&lt;=T19),AK19,9E15),IF(AND(J19=0,ISNUMBER(AL19),AL19&lt;=T19),AL19,9E15),IF(AND(K19=0,ISNUMBER(AM19),AM19&lt;=T19),AM19,9E15))),"OR",IF(AND(AND(J19=0,ISNUMBER(AL19),AL19&lt;=T19),AL19=MIN(IF(AND(I19=0,ISNUMBER(AK19),AK19&lt;=T19),AK19,9E15),IF(AND(J19=0,ISNUMBER(AL19),AL19&lt;=T19),AL19,9E15),IF(AND(K19=0,ISNUMBER(AM19),AM19&lt;=T19),AM19,9E15))),"HP","FP")),IF(AR19=TRUE,"",IF(MAX(IF(AND(NOT(AND(AO19=1,AN19&lt;&gt;1)),ISNUMBER(AG19),AG19&lt;=T19),AS19,0),IF(AND(NOT(AND(AO19=1,AN19&lt;&gt;1)),ISNUMBER(AH19),AH19&lt;=T19),AT19,0),IF(AND(NOT(AND(AO19=1,AN19&lt;&gt;1)),ISNUMBER(AI19),AI19&lt;=T19),AU19,0),IF(AND(ISNUMBER(AJ19),AJ19&lt;=T19),AV19,0))&lt;=0,"",IF(AND(IF(AND(NOT(AND(AO19=1,AN19&lt;&gt;1)),ISNUMBER(AG19),AG19&lt;=T19),AS19,0)&gt;0,IF(AND(NOT(AND(AO19=1,AN19&lt;&gt;1)),ISNUMBER(AG19),AG19&lt;=T19),AS19,0)=MAX(IF(AND(NOT(AND(AO19=1,AN19&lt;&gt;1)),ISNUMBER(AG19),AG19&lt;=T19),AS19,0),IF(AND(NOT(AND(AO19=1,AN19&lt;&gt;1)),ISNUMBER(AH19),AH19&lt;=T19),AT19,0),IF(AND(NOT(AND(AO19=1,AN19&lt;&gt;1)),ISNUMBER(AI19),AI19&lt;=T19),AU19,0),IF(AND(ISNUMBER(AJ19),AJ19&lt;=T19),AV19,0))),"SW",IF(AND(IF(AND(NOT(AND(AO19=1,AN19&lt;&gt;1)),ISNUMBER(AH19),AH19&lt;=T19),AT19,0)&gt;0,IF(AND(NOT(AND(AO19=1,AN19&lt;&gt;1)),ISNUMBER(AH19),AH19&lt;=T19),AT19,0)=MAX(IF(AND(NOT(AND(AO19=1,AN19&lt;&gt;1)),ISNUMBER(AG19),AG19&lt;=T19),AS19,0),IF(AND(NOT(AND(AO19=1,AN19&lt;&gt;1)),ISNUMBER(AH19),AH19&lt;=T19),AT19,0),IF(AND(NOT(AND(AO19=1,AN19&lt;&gt;1)),ISNUMBER(AI19),AI19&lt;=T19),AU19,0),IF(AND(ISNUMBER(AJ19),AJ19&lt;=T19),AV19,0))),"AB",IF(AND(IF(AND(NOT(AND(AO19=1,AN19&lt;&gt;1)),ISNUMBER(AI19),AI19&lt;=T19),AU19,0)&gt;0,IF(AND(NOT(AND(AO19=1,AN19&lt;&gt;1)),ISNUMBER(AI19),AI19&lt;=T19),AU19,0)=MAX(IF(AND(NOT(AND(AO19=1,AN19&lt;&gt;1)),ISNUMBER(AG19),AG19&lt;=T19),AS19,0),IF(AND(NOT(AND(AO19=1,AN19&lt;&gt;1)),ISNUMBER(AH19),AH19&lt;=T19),AT19,0),IF(AND(NOT(AND(AO19=1,AN19&lt;&gt;1)),ISNUMBER(AI19),AI19&lt;=T19),AU19,0),IF(AND(ISNUMBER(AJ19),AJ19&lt;=T19),AV19,0))),"SC","Mag")))))))</f>
        <v/>
      </c>
    </row>
    <row r="20">
      <c r="A20" s="26" t="n">
        <v>15</v>
      </c>
      <c r="B20" s="27">
        <f>A20*10/60</f>
        <v/>
      </c>
      <c r="C20" s="22">
        <f>X19</f>
        <v/>
      </c>
      <c r="D20" s="27">
        <f>D19+W19</f>
        <v/>
      </c>
      <c r="E20" s="26">
        <f>E19+IF(U19="SW",1,0)</f>
        <v/>
      </c>
      <c r="F20" s="26">
        <f>F19+IF(U19="AB",1,0)</f>
        <v/>
      </c>
      <c r="G20" s="26">
        <f>G19+IF(U19="SC",1,0)</f>
        <v/>
      </c>
      <c r="H20" s="26">
        <f>H19+IF(U19="Mag",1,0)</f>
        <v/>
      </c>
      <c r="I20" s="26">
        <f>MAX(I19,IF(U19="OR",1,0))</f>
        <v/>
      </c>
      <c r="J20" s="26">
        <f>MAX(J19,IF(U19="HP",1,0))</f>
        <v/>
      </c>
      <c r="K20" s="26">
        <f>MAX(K19,IF(U19="FP",1,0))</f>
        <v/>
      </c>
      <c r="L20" s="26">
        <f>MAX(L19,IF(U19="transition",1,0))</f>
        <v/>
      </c>
      <c r="M20" s="28">
        <f>(Parameters!$B$9+(IF(E20=0,0,(Upgrades!$J$6+E20*Upgrades!$K$6)*POWER(Upgrades!$L$6,E20)))*(IF(Upgrades!$T$7="Solar Wind",POWER(Upgrades!$U$7,F20),1)*IF(Upgrades!$T$8="Solar Wind",POWER(Upgrades!$U$8,G20),1)*IF(Upgrades!$T$9="Solar Wind",POWER(Upgrades!$U$9,H20),1)*IF(Upgrades!$T$10="Solar Wind",POWER(Upgrades!$U$10,I20),1)*IF(Upgrades!$T$11="Solar Wind",POWER(Upgrades!$U$11,J20),1)*IF(Upgrades!$T$12="Solar Wind",POWER(Upgrades!$U$12,K20),1))+(IF(F20=0,0,(Upgrades!$J$7+F20*Upgrades!$K$7)*POWER(Upgrades!$L$7,F20)))*(IF(Upgrades!$T$6="Asteroid Belt",POWER(Upgrades!$U$6,E20),1)*IF(Upgrades!$T$8="Asteroid Belt",POWER(Upgrades!$U$8,G20),1)*IF(Upgrades!$T$9="Asteroid Belt",POWER(Upgrades!$U$9,H20),1)*IF(Upgrades!$T$10="Asteroid Belt",POWER(Upgrades!$U$10,I20),1)*IF(Upgrades!$T$11="Asteroid Belt",POWER(Upgrades!$U$11,J20),1)*IF(Upgrades!$T$12="Asteroid Belt",POWER(Upgrades!$U$12,K20),1))+(IF(G20=0,0,(Upgrades!$J$8+G20*Upgrades!$K$8)*POWER(Upgrades!$L$8,G20)))*(IF(Upgrades!$T$6="Stellar Coupling",POWER(Upgrades!$U$6,E20),1)*IF(Upgrades!$T$7="Stellar Coupling",POWER(Upgrades!$U$7,F20),1)*IF(Upgrades!$T$9="Stellar Coupling",POWER(Upgrades!$U$9,H20),1)*IF(Upgrades!$T$10="Stellar Coupling",POWER(Upgrades!$U$10,I20),1)*IF(Upgrades!$T$11="Stellar Coupling",POWER(Upgrades!$U$11,J20),1)*IF(Upgrades!$T$12="Stellar Coupling",POWER(Upgrades!$U$12,K20),1))+(IF(H20=0,0,(Upgrades!$J$9+H20*Upgrades!$K$9)*POWER(Upgrades!$L$9,H20)))*(IF(Upgrades!$T$6="Magnetosphere",POWER(Upgrades!$U$6,E20),1)*IF(Upgrades!$T$7="Magnetosphere",POWER(Upgrades!$U$7,F20),1)*IF(Upgrades!$T$8="Magnetosphere",POWER(Upgrades!$U$8,G20),1)*IF(Upgrades!$T$10="Magnetosphere",POWER(Upgrades!$U$10,I20),1)*IF(Upgrades!$T$11="Magnetosphere",POWER(Upgrades!$U$11,J20),1)*IF(Upgrades!$T$12="Magnetosphere",POWER(Upgrades!$U$12,K20),1))+(IF(I20=0,0,(Upgrades!$J$10+I20*Upgrades!$K$10)*POWER(Upgrades!$L$10,I20)))*(IF(Upgrades!$T$6="Orbital Resonance",POWER(Upgrades!$U$6,E20),1)*IF(Upgrades!$T$7="Orbital Resonance",POWER(Upgrades!$U$7,F20),1)*IF(Upgrades!$T$8="Orbital Resonance",POWER(Upgrades!$U$8,G20),1)*IF(Upgrades!$T$9="Orbital Resonance",POWER(Upgrades!$U$9,H20),1)*IF(Upgrades!$T$11="Orbital Resonance",POWER(Upgrades!$U$11,J20),1)*IF(Upgrades!$T$12="Orbital Resonance",POWER(Upgrades!$U$12,K20),1))+(IF(J20=0,0,(Upgrades!$J$11+J20*Upgrades!$K$11)*POWER(Upgrades!$L$11,J20)))*(IF(Upgrades!$T$6="Heliopause",POWER(Upgrades!$U$6,E20),1)*IF(Upgrades!$T$7="Heliopause",POWER(Upgrades!$U$7,F20),1)*IF(Upgrades!$T$8="Heliopause",POWER(Upgrades!$U$8,G20),1)*IF(Upgrades!$T$9="Heliopause",POWER(Upgrades!$U$9,H20),1)*IF(Upgrades!$T$10="Heliopause",POWER(Upgrades!$U$10,I20),1)*IF(Upgrades!$T$12="Heliopause",POWER(Upgrades!$U$12,K20),1))+(IF(K20=0,0,(Upgrades!$J$12+K20*Upgrades!$K$12)*POWER(Upgrades!$L$12,K20)))*(IF(Upgrades!$T$6="First Photons",POWER(Upgrades!$U$6,E20),1)*IF(Upgrades!$T$7="First Photons",POWER(Upgrades!$U$7,F20),1)*IF(Upgrades!$T$8="First Photons",POWER(Upgrades!$U$8,G20),1)*IF(Upgrades!$T$9="First Photons",POWER(Upgrades!$U$9,H20),1)*IF(Upgrades!$T$10="First Photons",POWER(Upgrades!$U$10,I20),1)*IF(Upgrades!$T$11="First Photons",POWER(Upgrades!$U$11,J20),1)))*POWER(Upgrades!$Q$6,E20)*POWER(Upgrades!$Q$7,F20)*POWER(Upgrades!$Q$8,G20)*POWER(Upgrades!$Q$9,H20)*POWER(Upgrades!$Q$10,I20)*POWER(Upgrades!$Q$11,J20)*POWER(Upgrades!$Q$12,K20)</f>
        <v/>
      </c>
      <c r="N20" s="28">
        <f>((IF(E20=0,0,(Upgrades!$G$6+E20*Upgrades!$H$6)*POWER(Upgrades!$I$6,E20)))*(IF(Upgrades!$T$7="Solar Wind",POWER(Upgrades!$U$7,F20),1)*IF(Upgrades!$T$8="Solar Wind",POWER(Upgrades!$U$8,G20),1)*IF(Upgrades!$T$9="Solar Wind",POWER(Upgrades!$U$9,H20),1)*IF(Upgrades!$T$10="Solar Wind",POWER(Upgrades!$U$10,I20),1)*IF(Upgrades!$T$11="Solar Wind",POWER(Upgrades!$U$11,J20),1)*IF(Upgrades!$T$12="Solar Wind",POWER(Upgrades!$U$12,K20),1))+(IF(F20=0,0,(Upgrades!$G$7+F20*Upgrades!$H$7)*POWER(Upgrades!$I$7,F20)))*(IF(Upgrades!$T$6="Asteroid Belt",POWER(Upgrades!$U$6,E20),1)*IF(Upgrades!$T$8="Asteroid Belt",POWER(Upgrades!$U$8,G20),1)*IF(Upgrades!$T$9="Asteroid Belt",POWER(Upgrades!$U$9,H20),1)*IF(Upgrades!$T$10="Asteroid Belt",POWER(Upgrades!$U$10,I20),1)*IF(Upgrades!$T$11="Asteroid Belt",POWER(Upgrades!$U$11,J20),1)*IF(Upgrades!$T$12="Asteroid Belt",POWER(Upgrades!$U$12,K20),1))+(IF(G20=0,0,(Upgrades!$G$8+G20*Upgrades!$H$8)*POWER(Upgrades!$I$8,G20)))*(IF(Upgrades!$T$6="Stellar Coupling",POWER(Upgrades!$U$6,E20),1)*IF(Upgrades!$T$7="Stellar Coupling",POWER(Upgrades!$U$7,F20),1)*IF(Upgrades!$T$9="Stellar Coupling",POWER(Upgrades!$U$9,H20),1)*IF(Upgrades!$T$10="Stellar Coupling",POWER(Upgrades!$U$10,I20),1)*IF(Upgrades!$T$11="Stellar Coupling",POWER(Upgrades!$U$11,J20),1)*IF(Upgrades!$T$12="Stellar Coupling",POWER(Upgrades!$U$12,K20),1))+(IF(H20=0,0,(Upgrades!$G$9+H20*Upgrades!$H$9)*POWER(Upgrades!$I$9,H20)))*(IF(Upgrades!$T$6="Magnetosphere",POWER(Upgrades!$U$6,E20),1)*IF(Upgrades!$T$7="Magnetosphere",POWER(Upgrades!$U$7,F20),1)*IF(Upgrades!$T$8="Magnetosphere",POWER(Upgrades!$U$8,G20),1)*IF(Upgrades!$T$10="Magnetosphere",POWER(Upgrades!$U$10,I20),1)*IF(Upgrades!$T$11="Magnetosphere",POWER(Upgrades!$U$11,J20),1)*IF(Upgrades!$T$12="Magnetosphere",POWER(Upgrades!$U$12,K20),1))+(IF(I20=0,0,(Upgrades!$G$10+I20*Upgrades!$H$10)*POWER(Upgrades!$I$10,I20)))*(IF(Upgrades!$T$6="Orbital Resonance",POWER(Upgrades!$U$6,E20),1)*IF(Upgrades!$T$7="Orbital Resonance",POWER(Upgrades!$U$7,F20),1)*IF(Upgrades!$T$8="Orbital Resonance",POWER(Upgrades!$U$8,G20),1)*IF(Upgrades!$T$9="Orbital Resonance",POWER(Upgrades!$U$9,H20),1)*IF(Upgrades!$T$11="Orbital Resonance",POWER(Upgrades!$U$11,J20),1)*IF(Upgrades!$T$12="Orbital Resonance",POWER(Upgrades!$U$12,K20),1))+(IF(J20=0,0,(Upgrades!$G$11+J20*Upgrades!$H$11)*POWER(Upgrades!$I$11,J20)))*(IF(Upgrades!$T$6="Heliopause",POWER(Upgrades!$U$6,E20),1)*IF(Upgrades!$T$7="Heliopause",POWER(Upgrades!$U$7,F20),1)*IF(Upgrades!$T$8="Heliopause",POWER(Upgrades!$U$8,G20),1)*IF(Upgrades!$T$9="Heliopause",POWER(Upgrades!$U$9,H20),1)*IF(Upgrades!$T$10="Heliopause",POWER(Upgrades!$U$10,I20),1)*IF(Upgrades!$T$12="Heliopause",POWER(Upgrades!$U$12,K20),1))+(IF(K20=0,0,(Upgrades!$G$12+K20*Upgrades!$H$12)*POWER(Upgrades!$I$12,K20)))*(IF(Upgrades!$T$6="First Photons",POWER(Upgrades!$U$6,E20),1)*IF(Upgrades!$T$7="First Photons",POWER(Upgrades!$U$7,F20),1)*IF(Upgrades!$T$8="First Photons",POWER(Upgrades!$U$8,G20),1)*IF(Upgrades!$T$9="First Photons",POWER(Upgrades!$U$9,H20),1)*IF(Upgrades!$T$10="First Photons",POWER(Upgrades!$U$10,I20),1)*IF(Upgrades!$T$11="First Photons",POWER(Upgrades!$U$11,J20),1)))*POWER(Upgrades!$P$6,E20)*POWER(Upgrades!$P$7,F20)*POWER(Upgrades!$P$8,G20)*POWER(Upgrades!$P$9,H20)*POWER(Upgrades!$P$10,I20)*POWER(Upgrades!$P$11,J20)*POWER(Upgrades!$P$12,K20)</f>
        <v/>
      </c>
      <c r="O20" s="28">
        <f>((IF(E20=0,0,(Upgrades!$M$6+E20*Upgrades!$N$6)*POWER(Upgrades!$O$6,E20)))*(IF(Upgrades!$T$7="Solar Wind",POWER(Upgrades!$U$7,F20),1)*IF(Upgrades!$T$8="Solar Wind",POWER(Upgrades!$U$8,G20),1)*IF(Upgrades!$T$9="Solar Wind",POWER(Upgrades!$U$9,H20),1)*IF(Upgrades!$T$10="Solar Wind",POWER(Upgrades!$U$10,I20),1)*IF(Upgrades!$T$11="Solar Wind",POWER(Upgrades!$U$11,J20),1)*IF(Upgrades!$T$12="Solar Wind",POWER(Upgrades!$U$12,K20),1))+(IF(F20=0,0,(Upgrades!$M$7+F20*Upgrades!$N$7)*POWER(Upgrades!$O$7,F20)))*(IF(Upgrades!$T$6="Asteroid Belt",POWER(Upgrades!$U$6,E20),1)*IF(Upgrades!$T$8="Asteroid Belt",POWER(Upgrades!$U$8,G20),1)*IF(Upgrades!$T$9="Asteroid Belt",POWER(Upgrades!$U$9,H20),1)*IF(Upgrades!$T$10="Asteroid Belt",POWER(Upgrades!$U$10,I20),1)*IF(Upgrades!$T$11="Asteroid Belt",POWER(Upgrades!$U$11,J20),1)*IF(Upgrades!$T$12="Asteroid Belt",POWER(Upgrades!$U$12,K20),1))+(IF(G20=0,0,(Upgrades!$M$8+G20*Upgrades!$N$8)*POWER(Upgrades!$O$8,G20)))*(IF(Upgrades!$T$6="Stellar Coupling",POWER(Upgrades!$U$6,E20),1)*IF(Upgrades!$T$7="Stellar Coupling",POWER(Upgrades!$U$7,F20),1)*IF(Upgrades!$T$9="Stellar Coupling",POWER(Upgrades!$U$9,H20),1)*IF(Upgrades!$T$10="Stellar Coupling",POWER(Upgrades!$U$10,I20),1)*IF(Upgrades!$T$11="Stellar Coupling",POWER(Upgrades!$U$11,J20),1)*IF(Upgrades!$T$12="Stellar Coupling",POWER(Upgrades!$U$12,K20),1))+(IF(H20=0,0,(Upgrades!$M$9+H20*Upgrades!$N$9)*POWER(Upgrades!$O$9,H20)))*(IF(Upgrades!$T$6="Magnetosphere",POWER(Upgrades!$U$6,E20),1)*IF(Upgrades!$T$7="Magnetosphere",POWER(Upgrades!$U$7,F20),1)*IF(Upgrades!$T$8="Magnetosphere",POWER(Upgrades!$U$8,G20),1)*IF(Upgrades!$T$10="Magnetosphere",POWER(Upgrades!$U$10,I20),1)*IF(Upgrades!$T$11="Magnetosphere",POWER(Upgrades!$U$11,J20),1)*IF(Upgrades!$T$12="Magnetosphere",POWER(Upgrades!$U$12,K20),1))+(IF(I20=0,0,(Upgrades!$M$10+I20*Upgrades!$N$10)*POWER(Upgrades!$O$10,I20)))*(IF(Upgrades!$T$6="Orbital Resonance",POWER(Upgrades!$U$6,E20),1)*IF(Upgrades!$T$7="Orbital Resonance",POWER(Upgrades!$U$7,F20),1)*IF(Upgrades!$T$8="Orbital Resonance",POWER(Upgrades!$U$8,G20),1)*IF(Upgrades!$T$9="Orbital Resonance",POWER(Upgrades!$U$9,H20),1)*IF(Upgrades!$T$11="Orbital Resonance",POWER(Upgrades!$U$11,J20),1)*IF(Upgrades!$T$12="Orbital Resonance",POWER(Upgrades!$U$12,K20),1))+(IF(J20=0,0,(Upgrades!$M$11+J20*Upgrades!$N$11)*POWER(Upgrades!$O$11,J20)))*(IF(Upgrades!$T$6="Heliopause",POWER(Upgrades!$U$6,E20),1)*IF(Upgrades!$T$7="Heliopause",POWER(Upgrades!$U$7,F20),1)*IF(Upgrades!$T$8="Heliopause",POWER(Upgrades!$U$8,G20),1)*IF(Upgrades!$T$9="Heliopause",POWER(Upgrades!$U$9,H20),1)*IF(Upgrades!$T$10="Heliopause",POWER(Upgrades!$U$10,I20),1)*IF(Upgrades!$T$12="Heliopause",POWER(Upgrades!$U$12,K20),1))+(IF(K20=0,0,(Upgrades!$M$12+K20*Upgrades!$N$12)*POWER(Upgrades!$O$12,K20)))*(IF(Upgrades!$T$6="First Photons",POWER(Upgrades!$U$6,E20),1)*IF(Upgrades!$T$7="First Photons",POWER(Upgrades!$U$7,F20),1)*IF(Upgrades!$T$8="First Photons",POWER(Upgrades!$U$8,G20),1)*IF(Upgrades!$T$9="First Photons",POWER(Upgrades!$U$9,H20),1)*IF(Upgrades!$T$10="First Photons",POWER(Upgrades!$U$10,I20),1)*IF(Upgrades!$T$11="First Photons",POWER(Upgrades!$U$11,J20),1)))*POWER(Upgrades!$R$6,E20)*POWER(Upgrades!$R$7,F20)*POWER(Upgrades!$R$8,G20)*POWER(Upgrades!$R$9,H20)*POWER(Upgrades!$R$10,I20)*POWER(Upgrades!$R$11,J20)*POWER(Upgrades!$R$12,K20)</f>
        <v/>
      </c>
      <c r="P20" s="27">
        <f>IF(L20=1,0,M20*Parameters!$B$10/60*Parameters!$B$11*10)</f>
        <v/>
      </c>
      <c r="Q20" s="27">
        <f>IF(L20=1,0,O20*M20*10)</f>
        <v/>
      </c>
      <c r="R20" s="27">
        <f>IF(L20=1,0,N20*10)</f>
        <v/>
      </c>
      <c r="S20" s="27">
        <f>P20+Q20+R20</f>
        <v/>
      </c>
      <c r="T20" s="22">
        <f>C20+S20</f>
        <v/>
      </c>
      <c r="U20" s="33">
        <f>AX20</f>
        <v/>
      </c>
      <c r="V20" s="22">
        <f>IF(U20="",0,IF(U20="transition",0,IF(U20="SW",AG20,IF(U20="AB",AH20,IF(U20="SC",AI20,IF(U20="Mag",AJ20,IF(U20="OR",AK20,IF(U20="HP",AL20,IF(U20="FP",AM20,0)))))))))</f>
        <v/>
      </c>
      <c r="W20" s="27">
        <f>IF(U20="OR",Upgrades!$F$10,IF(U20="HP",Upgrades!$F$11,IF(U20="transition",-Parameters!$B$18,0)))</f>
        <v/>
      </c>
      <c r="X20" s="22">
        <f>T20-V20</f>
        <v/>
      </c>
      <c r="Y20" s="30">
        <f>M20*Parameters!$B$10/60*Parameters!$B$11+O20*M20+N20</f>
        <v/>
      </c>
      <c r="Z20" s="34">
        <f>IF(U20="transition","→ Tier 2 (Stellar Neighborhood)",IF(U20="FP","First Photons — light begins, system quickens",IF(U20="HP","Heliopause acquired",IF(U20="OR","Orbital Resonance — passive multiplier active",IF(AND(AO20=1,L20=0,AN20&lt;&gt;1),"Cohesion ready (waiting on completionist upgrades)","")))))</f>
        <v/>
      </c>
      <c r="AA20" s="27">
        <f>(IF(E20=0,0,(Upgrades!$G$6+E20*Upgrades!$H$6)*POWER(Upgrades!$I$6,E20)))*(IF(Upgrades!$T$7="Solar Wind",POWER(Upgrades!$U$7,F20),1)*IF(Upgrades!$T$8="Solar Wind",POWER(Upgrades!$U$8,G20),1)*IF(Upgrades!$T$9="Solar Wind",POWER(Upgrades!$U$9,H20),1)*IF(Upgrades!$T$10="Solar Wind",POWER(Upgrades!$U$10,I20),1)*IF(Upgrades!$T$11="Solar Wind",POWER(Upgrades!$U$11,J20),1)*IF(Upgrades!$T$12="Solar Wind",POWER(Upgrades!$U$12,K20),1))*POWER(Upgrades!$P$6,E20)*POWER(Upgrades!$P$7,F20)*POWER(Upgrades!$P$8,G20)*POWER(Upgrades!$P$9,H20)*POWER(Upgrades!$P$10,I20)*POWER(Upgrades!$P$11,J20)*POWER(Upgrades!$P$12,K20)*60</f>
        <v/>
      </c>
      <c r="AB20" s="27">
        <f>(IF(F20=0,0,(Upgrades!$G$7+F20*Upgrades!$H$7)*POWER(Upgrades!$I$7,F20)))*(IF(Upgrades!$T$6="Asteroid Belt",POWER(Upgrades!$U$6,E20),1)*IF(Upgrades!$T$8="Asteroid Belt",POWER(Upgrades!$U$8,G20),1)*IF(Upgrades!$T$9="Asteroid Belt",POWER(Upgrades!$U$9,H20),1)*IF(Upgrades!$T$10="Asteroid Belt",POWER(Upgrades!$U$10,I20),1)*IF(Upgrades!$T$11="Asteroid Belt",POWER(Upgrades!$U$11,J20),1)*IF(Upgrades!$T$12="Asteroid Belt",POWER(Upgrades!$U$12,K20),1))*POWER(Upgrades!$P$6,E20)*POWER(Upgrades!$P$7,F20)*POWER(Upgrades!$P$8,G20)*POWER(Upgrades!$P$9,H20)*POWER(Upgrades!$P$10,I20)*POWER(Upgrades!$P$11,J20)*POWER(Upgrades!$P$12,K20)*60</f>
        <v/>
      </c>
      <c r="AC20" s="27">
        <f>(IF(G20=0,0,(Upgrades!$J$8+G20*Upgrades!$K$8)*POWER(Upgrades!$L$8,G20)))*(IF(Upgrades!$T$6="Stellar Coupling",POWER(Upgrades!$U$6,E20),1)*IF(Upgrades!$T$7="Stellar Coupling",POWER(Upgrades!$U$7,F20),1)*IF(Upgrades!$T$9="Stellar Coupling",POWER(Upgrades!$U$9,H20),1)*IF(Upgrades!$T$10="Stellar Coupling",POWER(Upgrades!$U$10,I20),1)*IF(Upgrades!$T$11="Stellar Coupling",POWER(Upgrades!$U$11,J20),1)*IF(Upgrades!$T$12="Stellar Coupling",POWER(Upgrades!$U$12,K20),1))*POWER(Upgrades!$Q$6,E20)*POWER(Upgrades!$Q$7,F20)*POWER(Upgrades!$Q$8,G20)*POWER(Upgrades!$Q$9,H20)*POWER(Upgrades!$Q$10,I20)*POWER(Upgrades!$Q$11,J20)*POWER(Upgrades!$Q$12,K20)*Parameters!$B$10*Parameters!$B$11</f>
        <v/>
      </c>
      <c r="AD20" s="27">
        <f>(IF(H20=0,0,(Upgrades!$G$9+H20*Upgrades!$H$9)*POWER(Upgrades!$I$9,H20)))*(IF(Upgrades!$T$6="Magnetosphere",POWER(Upgrades!$U$6,E20),1)*IF(Upgrades!$T$7="Magnetosphere",POWER(Upgrades!$U$7,F20),1)*IF(Upgrades!$T$8="Magnetosphere",POWER(Upgrades!$U$8,G20),1)*IF(Upgrades!$T$10="Magnetosphere",POWER(Upgrades!$U$10,I20),1)*IF(Upgrades!$T$11="Magnetosphere",POWER(Upgrades!$U$11,J20),1)*IF(Upgrades!$T$12="Magnetosphere",POWER(Upgrades!$U$12,K20),1))*POWER(Upgrades!$P$6,E20)*POWER(Upgrades!$P$7,F20)*POWER(Upgrades!$P$8,G20)*POWER(Upgrades!$P$9,H20)*POWER(Upgrades!$P$10,I20)*POWER(Upgrades!$P$11,J20)*POWER(Upgrades!$P$12,K20)*60</f>
        <v/>
      </c>
      <c r="AE20" s="27">
        <f>(IF(K20=0,0,(Upgrades!$G$12+K20*Upgrades!$H$12)*POWER(Upgrades!$I$12,K20)))*(IF(Upgrades!$T$6="First Photons",POWER(Upgrades!$U$6,E20),1)*IF(Upgrades!$T$7="First Photons",POWER(Upgrades!$U$7,F20),1)*IF(Upgrades!$T$8="First Photons",POWER(Upgrades!$U$8,G20),1)*IF(Upgrades!$T$9="First Photons",POWER(Upgrades!$U$9,H20),1)*IF(Upgrades!$T$10="First Photons",POWER(Upgrades!$U$10,I20),1)*IF(Upgrades!$T$11="First Photons",POWER(Upgrades!$U$11,J20),1))*POWER(Upgrades!$P$6,E20)*POWER(Upgrades!$P$7,F20)*POWER(Upgrades!$P$8,G20)*POWER(Upgrades!$P$9,H20)*POWER(Upgrades!$P$10,I20)*POWER(Upgrades!$P$11,J20)*POWER(Upgrades!$P$12,K20)*60</f>
        <v/>
      </c>
      <c r="AF20" s="27">
        <f>Parameters!$B$9*POWER(Upgrades!$Q$6,E20)*POWER(Upgrades!$Q$7,F20)*POWER(Upgrades!$Q$8,G20)*POWER(Upgrades!$Q$9,H20)*POWER(Upgrades!$Q$10,I20)*POWER(Upgrades!$Q$11,J20)*POWER(Upgrades!$Q$12,K20)*(Parameters!$B$10*Parameters!$B$11+O20*60)</f>
        <v/>
      </c>
      <c r="AG20" s="22">
        <f>IF(E20&gt;=Upgrades!$E$6,"",Upgrades!$C$6*POWER(Upgrades!$D$6,E20))</f>
        <v/>
      </c>
      <c r="AH20" s="22">
        <f>IF(F20&gt;=Upgrades!$E$7,"",Upgrades!$C$7*POWER(Upgrades!$D$7,F20))</f>
        <v/>
      </c>
      <c r="AI20" s="22">
        <f>IF(G20&gt;=Upgrades!$E$8,"",Upgrades!$C$8*POWER(Upgrades!$D$8,G20))</f>
        <v/>
      </c>
      <c r="AJ20" s="22">
        <f>IF(H20&gt;=Upgrades!$E$9,"",Upgrades!$C$9*POWER(Upgrades!$D$9,H20))</f>
        <v/>
      </c>
      <c r="AK20" s="22">
        <f>IF(I20&gt;=Upgrades!$E$10,"",Upgrades!$C$10*POWER(Upgrades!$D$10,I20))</f>
        <v/>
      </c>
      <c r="AL20" s="22">
        <f>IF(J20&gt;=Upgrades!$E$11,"",Upgrades!$C$11*POWER(Upgrades!$D$11,J20))</f>
        <v/>
      </c>
      <c r="AM20" s="22">
        <f>IF(K20&gt;=Upgrades!$E$12,"",Upgrades!$C$12*POWER(Upgrades!$D$12,K20))</f>
        <v/>
      </c>
      <c r="AN20" s="26">
        <f>IF(AND(D20&gt;=Parameters!$B$18,(H20&gt;=Upgrades!$E$9)*(K20&gt;=Upgrades!$E$12)=1,L20=0),1,"")</f>
        <v/>
      </c>
      <c r="AO20" s="26">
        <f>IF(AND(D20&gt;=Parameters!$B$18,L20=0),1,"")</f>
        <v/>
      </c>
      <c r="AP20" s="22">
        <f>MIN(IF(ISNUMBER(AK20),AK20,9E15),IF(ISNUMBER(AL20),AL20,9E15),IF(ISNUMBER(AM20),AM20,9E15))</f>
        <v/>
      </c>
      <c r="AQ20" s="22">
        <f>MIN(IF(ISNUMBER(AG20),AG20,9E15),IF(ISNUMBER(AH20),AH20,9E15),IF(ISNUMBER(AI20),AI20,9E15),IF(ISNUMBER(AJ20),AJ20,9E15))</f>
        <v/>
      </c>
      <c r="AR20" s="29">
        <f>IF(AW20&gt;Parameters!$B$21*(MAX(IF(AND(NOT(AND(AO20=1,AN20&lt;&gt;1)),ISNUMBER(AG20),AG20&lt;=T20),AS20,0),IF(AND(NOT(AND(AO20=1,AN20&lt;&gt;1)),ISNUMBER(AH20),AH20&lt;=T20),AT20,0),IF(AND(NOT(AND(AO20=1,AN20&lt;&gt;1)),ISNUMBER(AI20),AI20&lt;=T20),AU20,0),IF(AND(ISNUMBER(AJ20),AJ20&lt;=T20),AV20,0))),TRUE,FALSE)</f>
        <v/>
      </c>
      <c r="AS20" s="32">
        <f>IFERROR(Upgrades!$H$6*(POWER(Upgrades!$P$6,E20)*POWER(Upgrades!$P$7,F20)*POWER(Upgrades!$P$8,G20)*POWER(Upgrades!$P$9,H20)*POWER(Upgrades!$P$10,I20)*POWER(Upgrades!$P$11,J20)*POWER(Upgrades!$P$12,K20))*(IF(Upgrades!$T$7="Solar Wind",POWER(Upgrades!$U$7,F20),1)*IF(Upgrades!$T$8="Solar Wind",POWER(Upgrades!$U$8,G20),1)*IF(Upgrades!$T$9="Solar Wind",POWER(Upgrades!$U$9,H20),1)*IF(Upgrades!$T$10="Solar Wind",POWER(Upgrades!$U$10,I20),1)*IF(Upgrades!$T$11="Solar Wind",POWER(Upgrades!$U$11,J20),1)*IF(Upgrades!$T$12="Solar Wind",POWER(Upgrades!$U$12,K20),1))/AG20,0)</f>
        <v/>
      </c>
      <c r="AT20" s="32">
        <f>IFERROR(Upgrades!$H$7*(POWER(Upgrades!$P$6,E20)*POWER(Upgrades!$P$7,F20)*POWER(Upgrades!$P$8,G20)*POWER(Upgrades!$P$9,H20)*POWER(Upgrades!$P$10,I20)*POWER(Upgrades!$P$11,J20)*POWER(Upgrades!$P$12,K20))*(IF(Upgrades!$T$6="Asteroid Belt",POWER(Upgrades!$U$6,E20),1)*IF(Upgrades!$T$8="Asteroid Belt",POWER(Upgrades!$U$8,G20),1)*IF(Upgrades!$T$9="Asteroid Belt",POWER(Upgrades!$U$9,H20),1)*IF(Upgrades!$T$10="Asteroid Belt",POWER(Upgrades!$U$10,I20),1)*IF(Upgrades!$T$11="Asteroid Belt",POWER(Upgrades!$U$11,J20),1)*IF(Upgrades!$T$12="Asteroid Belt",POWER(Upgrades!$U$12,K20),1))/AH20,0)</f>
        <v/>
      </c>
      <c r="AU20" s="32">
        <f>IFERROR(Upgrades!$K$8*(POWER(Upgrades!$Q$6,E20)*POWER(Upgrades!$Q$7,F20)*POWER(Upgrades!$Q$8,G20)*POWER(Upgrades!$Q$9,H20)*POWER(Upgrades!$Q$10,I20)*POWER(Upgrades!$Q$11,J20)*POWER(Upgrades!$Q$12,K20))*(IF(Upgrades!$T$6="Stellar Coupling",POWER(Upgrades!$U$6,E20),1)*IF(Upgrades!$T$7="Stellar Coupling",POWER(Upgrades!$U$7,F20),1)*IF(Upgrades!$T$9="Stellar Coupling",POWER(Upgrades!$U$9,H20),1)*IF(Upgrades!$T$10="Stellar Coupling",POWER(Upgrades!$U$10,I20),1)*IF(Upgrades!$T$11="Stellar Coupling",POWER(Upgrades!$U$11,J20),1)*IF(Upgrades!$T$12="Stellar Coupling",POWER(Upgrades!$U$12,K20),1))*Parameters!$B$10*Parameters!$B$11/60/AI20,0)</f>
        <v/>
      </c>
      <c r="AV20" s="32">
        <f>IFERROR(Upgrades!$H$9*(POWER(Upgrades!$P$6,E20)*POWER(Upgrades!$P$7,F20)*POWER(Upgrades!$P$8,G20)*POWER(Upgrades!$P$9,H20)*POWER(Upgrades!$P$10,I20)*POWER(Upgrades!$P$11,J20)*POWER(Upgrades!$P$12,K20))*(IF(Upgrades!$T$6="Magnetosphere",POWER(Upgrades!$U$6,E20),1)*IF(Upgrades!$T$7="Magnetosphere",POWER(Upgrades!$U$7,F20),1)*IF(Upgrades!$T$8="Magnetosphere",POWER(Upgrades!$U$8,G20),1)*IF(Upgrades!$T$10="Magnetosphere",POWER(Upgrades!$U$10,I20),1)*IF(Upgrades!$T$11="Magnetosphere",POWER(Upgrades!$U$11,J20),1)*IF(Upgrades!$T$12="Magnetosphere",POWER(Upgrades!$U$12,K20),1))/AJ20,0)</f>
        <v/>
      </c>
      <c r="AW20" s="32">
        <f>MAX(IF(I20&gt;0,0,IFERROR(0.25*N20/Upgrades!$C$10,0)),IF(J20&gt;0,0,IFERROR(0.5*((IF(G20=0,0,(Upgrades!$J$8+G20*Upgrades!$K$8)*POWER(Upgrades!$L$8,G20)))*(IF(Upgrades!$T$6="Stellar Coupling",POWER(Upgrades!$U$6,E20),1)*IF(Upgrades!$T$7="Stellar Coupling",POWER(Upgrades!$U$7,F20),1)*IF(Upgrades!$T$9="Stellar Coupling",POWER(Upgrades!$U$9,H20),1)*IF(Upgrades!$T$10="Stellar Coupling",POWER(Upgrades!$U$10,I20),1)*IF(Upgrades!$T$11="Stellar Coupling",POWER(Upgrades!$U$11,J20),1)*IF(Upgrades!$T$12="Stellar Coupling",POWER(Upgrades!$U$12,K20),1))*(POWER(Upgrades!$Q$6,E20)*POWER(Upgrades!$Q$7,F20)*POWER(Upgrades!$Q$8,G20)*POWER(Upgrades!$Q$9,H20)*POWER(Upgrades!$Q$10,I20)*POWER(Upgrades!$Q$11,J20)*POWER(Upgrades!$Q$12,K20))*Parameters!$B$10*Parameters!$B$11/60)/Upgrades!$C$11,0)),IF(K20&gt;0,0,IFERROR((1.0*(POWER(Upgrades!$P$6,E20)*POWER(Upgrades!$P$7,F20)*POWER(Upgrades!$P$8,G20)*POWER(Upgrades!$P$9,H20)*POWER(Upgrades!$P$10,I20)*POWER(Upgrades!$P$11,J20)*POWER(Upgrades!$P$12,K20))+0.20*M20*Parameters!$B$10*Parameters!$B$11/60)/Upgrades!$C$12,0)),IF(AND(ISNUMBER(AG20),AG20&gt;T20),AS20,0),IF(AND(ISNUMBER(AH20),AH20&gt;T20),AT20,0),IF(AND(ISNUMBER(AI20),AI20&gt;T20),AU20,0),IF(AND(ISNUMBER(AJ20),AJ20&gt;T20),AV20,0))</f>
        <v/>
      </c>
      <c r="AX20" s="29">
        <f>IF(AN20=1,"transition",IF(MIN(IF(AND(I20=0,ISNUMBER(AK20),AK20&lt;=T20),AK20,9E15),IF(AND(J20=0,ISNUMBER(AL20),AL20&lt;=T20),AL20,9E15),IF(AND(K20=0,ISNUMBER(AM20),AM20&lt;=T20),AM20,9E15))&lt;9E15,IF(AND(AND(I20=0,ISNUMBER(AK20),AK20&lt;=T20),AK20=MIN(IF(AND(I20=0,ISNUMBER(AK20),AK20&lt;=T20),AK20,9E15),IF(AND(J20=0,ISNUMBER(AL20),AL20&lt;=T20),AL20,9E15),IF(AND(K20=0,ISNUMBER(AM20),AM20&lt;=T20),AM20,9E15))),"OR",IF(AND(AND(J20=0,ISNUMBER(AL20),AL20&lt;=T20),AL20=MIN(IF(AND(I20=0,ISNUMBER(AK20),AK20&lt;=T20),AK20,9E15),IF(AND(J20=0,ISNUMBER(AL20),AL20&lt;=T20),AL20,9E15),IF(AND(K20=0,ISNUMBER(AM20),AM20&lt;=T20),AM20,9E15))),"HP","FP")),IF(AR20=TRUE,"",IF(MAX(IF(AND(NOT(AND(AO20=1,AN20&lt;&gt;1)),ISNUMBER(AG20),AG20&lt;=T20),AS20,0),IF(AND(NOT(AND(AO20=1,AN20&lt;&gt;1)),ISNUMBER(AH20),AH20&lt;=T20),AT20,0),IF(AND(NOT(AND(AO20=1,AN20&lt;&gt;1)),ISNUMBER(AI20),AI20&lt;=T20),AU20,0),IF(AND(ISNUMBER(AJ20),AJ20&lt;=T20),AV20,0))&lt;=0,"",IF(AND(IF(AND(NOT(AND(AO20=1,AN20&lt;&gt;1)),ISNUMBER(AG20),AG20&lt;=T20),AS20,0)&gt;0,IF(AND(NOT(AND(AO20=1,AN20&lt;&gt;1)),ISNUMBER(AG20),AG20&lt;=T20),AS20,0)=MAX(IF(AND(NOT(AND(AO20=1,AN20&lt;&gt;1)),ISNUMBER(AG20),AG20&lt;=T20),AS20,0),IF(AND(NOT(AND(AO20=1,AN20&lt;&gt;1)),ISNUMBER(AH20),AH20&lt;=T20),AT20,0),IF(AND(NOT(AND(AO20=1,AN20&lt;&gt;1)),ISNUMBER(AI20),AI20&lt;=T20),AU20,0),IF(AND(ISNUMBER(AJ20),AJ20&lt;=T20),AV20,0))),"SW",IF(AND(IF(AND(NOT(AND(AO20=1,AN20&lt;&gt;1)),ISNUMBER(AH20),AH20&lt;=T20),AT20,0)&gt;0,IF(AND(NOT(AND(AO20=1,AN20&lt;&gt;1)),ISNUMBER(AH20),AH20&lt;=T20),AT20,0)=MAX(IF(AND(NOT(AND(AO20=1,AN20&lt;&gt;1)),ISNUMBER(AG20),AG20&lt;=T20),AS20,0),IF(AND(NOT(AND(AO20=1,AN20&lt;&gt;1)),ISNUMBER(AH20),AH20&lt;=T20),AT20,0),IF(AND(NOT(AND(AO20=1,AN20&lt;&gt;1)),ISNUMBER(AI20),AI20&lt;=T20),AU20,0),IF(AND(ISNUMBER(AJ20),AJ20&lt;=T20),AV20,0))),"AB",IF(AND(IF(AND(NOT(AND(AO20=1,AN20&lt;&gt;1)),ISNUMBER(AI20),AI20&lt;=T20),AU20,0)&gt;0,IF(AND(NOT(AND(AO20=1,AN20&lt;&gt;1)),ISNUMBER(AI20),AI20&lt;=T20),AU20,0)=MAX(IF(AND(NOT(AND(AO20=1,AN20&lt;&gt;1)),ISNUMBER(AG20),AG20&lt;=T20),AS20,0),IF(AND(NOT(AND(AO20=1,AN20&lt;&gt;1)),ISNUMBER(AH20),AH20&lt;=T20),AT20,0),IF(AND(NOT(AND(AO20=1,AN20&lt;&gt;1)),ISNUMBER(AI20),AI20&lt;=T20),AU20,0),IF(AND(ISNUMBER(AJ20),AJ20&lt;=T20),AV20,0))),"SC","Mag")))))))</f>
        <v/>
      </c>
    </row>
    <row r="21">
      <c r="A21" s="26" t="n">
        <v>16</v>
      </c>
      <c r="B21" s="27">
        <f>A21*10/60</f>
        <v/>
      </c>
      <c r="C21" s="22">
        <f>X20</f>
        <v/>
      </c>
      <c r="D21" s="27">
        <f>D20+W20</f>
        <v/>
      </c>
      <c r="E21" s="26">
        <f>E20+IF(U20="SW",1,0)</f>
        <v/>
      </c>
      <c r="F21" s="26">
        <f>F20+IF(U20="AB",1,0)</f>
        <v/>
      </c>
      <c r="G21" s="26">
        <f>G20+IF(U20="SC",1,0)</f>
        <v/>
      </c>
      <c r="H21" s="26">
        <f>H20+IF(U20="Mag",1,0)</f>
        <v/>
      </c>
      <c r="I21" s="26">
        <f>MAX(I20,IF(U20="OR",1,0))</f>
        <v/>
      </c>
      <c r="J21" s="26">
        <f>MAX(J20,IF(U20="HP",1,0))</f>
        <v/>
      </c>
      <c r="K21" s="26">
        <f>MAX(K20,IF(U20="FP",1,0))</f>
        <v/>
      </c>
      <c r="L21" s="26">
        <f>MAX(L20,IF(U20="transition",1,0))</f>
        <v/>
      </c>
      <c r="M21" s="28">
        <f>(Parameters!$B$9+(IF(E21=0,0,(Upgrades!$J$6+E21*Upgrades!$K$6)*POWER(Upgrades!$L$6,E21)))*(IF(Upgrades!$T$7="Solar Wind",POWER(Upgrades!$U$7,F21),1)*IF(Upgrades!$T$8="Solar Wind",POWER(Upgrades!$U$8,G21),1)*IF(Upgrades!$T$9="Solar Wind",POWER(Upgrades!$U$9,H21),1)*IF(Upgrades!$T$10="Solar Wind",POWER(Upgrades!$U$10,I21),1)*IF(Upgrades!$T$11="Solar Wind",POWER(Upgrades!$U$11,J21),1)*IF(Upgrades!$T$12="Solar Wind",POWER(Upgrades!$U$12,K21),1))+(IF(F21=0,0,(Upgrades!$J$7+F21*Upgrades!$K$7)*POWER(Upgrades!$L$7,F21)))*(IF(Upgrades!$T$6="Asteroid Belt",POWER(Upgrades!$U$6,E21),1)*IF(Upgrades!$T$8="Asteroid Belt",POWER(Upgrades!$U$8,G21),1)*IF(Upgrades!$T$9="Asteroid Belt",POWER(Upgrades!$U$9,H21),1)*IF(Upgrades!$T$10="Asteroid Belt",POWER(Upgrades!$U$10,I21),1)*IF(Upgrades!$T$11="Asteroid Belt",POWER(Upgrades!$U$11,J21),1)*IF(Upgrades!$T$12="Asteroid Belt",POWER(Upgrades!$U$12,K21),1))+(IF(G21=0,0,(Upgrades!$J$8+G21*Upgrades!$K$8)*POWER(Upgrades!$L$8,G21)))*(IF(Upgrades!$T$6="Stellar Coupling",POWER(Upgrades!$U$6,E21),1)*IF(Upgrades!$T$7="Stellar Coupling",POWER(Upgrades!$U$7,F21),1)*IF(Upgrades!$T$9="Stellar Coupling",POWER(Upgrades!$U$9,H21),1)*IF(Upgrades!$T$10="Stellar Coupling",POWER(Upgrades!$U$10,I21),1)*IF(Upgrades!$T$11="Stellar Coupling",POWER(Upgrades!$U$11,J21),1)*IF(Upgrades!$T$12="Stellar Coupling",POWER(Upgrades!$U$12,K21),1))+(IF(H21=0,0,(Upgrades!$J$9+H21*Upgrades!$K$9)*POWER(Upgrades!$L$9,H21)))*(IF(Upgrades!$T$6="Magnetosphere",POWER(Upgrades!$U$6,E21),1)*IF(Upgrades!$T$7="Magnetosphere",POWER(Upgrades!$U$7,F21),1)*IF(Upgrades!$T$8="Magnetosphere",POWER(Upgrades!$U$8,G21),1)*IF(Upgrades!$T$10="Magnetosphere",POWER(Upgrades!$U$10,I21),1)*IF(Upgrades!$T$11="Magnetosphere",POWER(Upgrades!$U$11,J21),1)*IF(Upgrades!$T$12="Magnetosphere",POWER(Upgrades!$U$12,K21),1))+(IF(I21=0,0,(Upgrades!$J$10+I21*Upgrades!$K$10)*POWER(Upgrades!$L$10,I21)))*(IF(Upgrades!$T$6="Orbital Resonance",POWER(Upgrades!$U$6,E21),1)*IF(Upgrades!$T$7="Orbital Resonance",POWER(Upgrades!$U$7,F21),1)*IF(Upgrades!$T$8="Orbital Resonance",POWER(Upgrades!$U$8,G21),1)*IF(Upgrades!$T$9="Orbital Resonance",POWER(Upgrades!$U$9,H21),1)*IF(Upgrades!$T$11="Orbital Resonance",POWER(Upgrades!$U$11,J21),1)*IF(Upgrades!$T$12="Orbital Resonance",POWER(Upgrades!$U$12,K21),1))+(IF(J21=0,0,(Upgrades!$J$11+J21*Upgrades!$K$11)*POWER(Upgrades!$L$11,J21)))*(IF(Upgrades!$T$6="Heliopause",POWER(Upgrades!$U$6,E21),1)*IF(Upgrades!$T$7="Heliopause",POWER(Upgrades!$U$7,F21),1)*IF(Upgrades!$T$8="Heliopause",POWER(Upgrades!$U$8,G21),1)*IF(Upgrades!$T$9="Heliopause",POWER(Upgrades!$U$9,H21),1)*IF(Upgrades!$T$10="Heliopause",POWER(Upgrades!$U$10,I21),1)*IF(Upgrades!$T$12="Heliopause",POWER(Upgrades!$U$12,K21),1))+(IF(K21=0,0,(Upgrades!$J$12+K21*Upgrades!$K$12)*POWER(Upgrades!$L$12,K21)))*(IF(Upgrades!$T$6="First Photons",POWER(Upgrades!$U$6,E21),1)*IF(Upgrades!$T$7="First Photons",POWER(Upgrades!$U$7,F21),1)*IF(Upgrades!$T$8="First Photons",POWER(Upgrades!$U$8,G21),1)*IF(Upgrades!$T$9="First Photons",POWER(Upgrades!$U$9,H21),1)*IF(Upgrades!$T$10="First Photons",POWER(Upgrades!$U$10,I21),1)*IF(Upgrades!$T$11="First Photons",POWER(Upgrades!$U$11,J21),1)))*POWER(Upgrades!$Q$6,E21)*POWER(Upgrades!$Q$7,F21)*POWER(Upgrades!$Q$8,G21)*POWER(Upgrades!$Q$9,H21)*POWER(Upgrades!$Q$10,I21)*POWER(Upgrades!$Q$11,J21)*POWER(Upgrades!$Q$12,K21)</f>
        <v/>
      </c>
      <c r="N21" s="28">
        <f>((IF(E21=0,0,(Upgrades!$G$6+E21*Upgrades!$H$6)*POWER(Upgrades!$I$6,E21)))*(IF(Upgrades!$T$7="Solar Wind",POWER(Upgrades!$U$7,F21),1)*IF(Upgrades!$T$8="Solar Wind",POWER(Upgrades!$U$8,G21),1)*IF(Upgrades!$T$9="Solar Wind",POWER(Upgrades!$U$9,H21),1)*IF(Upgrades!$T$10="Solar Wind",POWER(Upgrades!$U$10,I21),1)*IF(Upgrades!$T$11="Solar Wind",POWER(Upgrades!$U$11,J21),1)*IF(Upgrades!$T$12="Solar Wind",POWER(Upgrades!$U$12,K21),1))+(IF(F21=0,0,(Upgrades!$G$7+F21*Upgrades!$H$7)*POWER(Upgrades!$I$7,F21)))*(IF(Upgrades!$T$6="Asteroid Belt",POWER(Upgrades!$U$6,E21),1)*IF(Upgrades!$T$8="Asteroid Belt",POWER(Upgrades!$U$8,G21),1)*IF(Upgrades!$T$9="Asteroid Belt",POWER(Upgrades!$U$9,H21),1)*IF(Upgrades!$T$10="Asteroid Belt",POWER(Upgrades!$U$10,I21),1)*IF(Upgrades!$T$11="Asteroid Belt",POWER(Upgrades!$U$11,J21),1)*IF(Upgrades!$T$12="Asteroid Belt",POWER(Upgrades!$U$12,K21),1))+(IF(G21=0,0,(Upgrades!$G$8+G21*Upgrades!$H$8)*POWER(Upgrades!$I$8,G21)))*(IF(Upgrades!$T$6="Stellar Coupling",POWER(Upgrades!$U$6,E21),1)*IF(Upgrades!$T$7="Stellar Coupling",POWER(Upgrades!$U$7,F21),1)*IF(Upgrades!$T$9="Stellar Coupling",POWER(Upgrades!$U$9,H21),1)*IF(Upgrades!$T$10="Stellar Coupling",POWER(Upgrades!$U$10,I21),1)*IF(Upgrades!$T$11="Stellar Coupling",POWER(Upgrades!$U$11,J21),1)*IF(Upgrades!$T$12="Stellar Coupling",POWER(Upgrades!$U$12,K21),1))+(IF(H21=0,0,(Upgrades!$G$9+H21*Upgrades!$H$9)*POWER(Upgrades!$I$9,H21)))*(IF(Upgrades!$T$6="Magnetosphere",POWER(Upgrades!$U$6,E21),1)*IF(Upgrades!$T$7="Magnetosphere",POWER(Upgrades!$U$7,F21),1)*IF(Upgrades!$T$8="Magnetosphere",POWER(Upgrades!$U$8,G21),1)*IF(Upgrades!$T$10="Magnetosphere",POWER(Upgrades!$U$10,I21),1)*IF(Upgrades!$T$11="Magnetosphere",POWER(Upgrades!$U$11,J21),1)*IF(Upgrades!$T$12="Magnetosphere",POWER(Upgrades!$U$12,K21),1))+(IF(I21=0,0,(Upgrades!$G$10+I21*Upgrades!$H$10)*POWER(Upgrades!$I$10,I21)))*(IF(Upgrades!$T$6="Orbital Resonance",POWER(Upgrades!$U$6,E21),1)*IF(Upgrades!$T$7="Orbital Resonance",POWER(Upgrades!$U$7,F21),1)*IF(Upgrades!$T$8="Orbital Resonance",POWER(Upgrades!$U$8,G21),1)*IF(Upgrades!$T$9="Orbital Resonance",POWER(Upgrades!$U$9,H21),1)*IF(Upgrades!$T$11="Orbital Resonance",POWER(Upgrades!$U$11,J21),1)*IF(Upgrades!$T$12="Orbital Resonance",POWER(Upgrades!$U$12,K21),1))+(IF(J21=0,0,(Upgrades!$G$11+J21*Upgrades!$H$11)*POWER(Upgrades!$I$11,J21)))*(IF(Upgrades!$T$6="Heliopause",POWER(Upgrades!$U$6,E21),1)*IF(Upgrades!$T$7="Heliopause",POWER(Upgrades!$U$7,F21),1)*IF(Upgrades!$T$8="Heliopause",POWER(Upgrades!$U$8,G21),1)*IF(Upgrades!$T$9="Heliopause",POWER(Upgrades!$U$9,H21),1)*IF(Upgrades!$T$10="Heliopause",POWER(Upgrades!$U$10,I21),1)*IF(Upgrades!$T$12="Heliopause",POWER(Upgrades!$U$12,K21),1))+(IF(K21=0,0,(Upgrades!$G$12+K21*Upgrades!$H$12)*POWER(Upgrades!$I$12,K21)))*(IF(Upgrades!$T$6="First Photons",POWER(Upgrades!$U$6,E21),1)*IF(Upgrades!$T$7="First Photons",POWER(Upgrades!$U$7,F21),1)*IF(Upgrades!$T$8="First Photons",POWER(Upgrades!$U$8,G21),1)*IF(Upgrades!$T$9="First Photons",POWER(Upgrades!$U$9,H21),1)*IF(Upgrades!$T$10="First Photons",POWER(Upgrades!$U$10,I21),1)*IF(Upgrades!$T$11="First Photons",POWER(Upgrades!$U$11,J21),1)))*POWER(Upgrades!$P$6,E21)*POWER(Upgrades!$P$7,F21)*POWER(Upgrades!$P$8,G21)*POWER(Upgrades!$P$9,H21)*POWER(Upgrades!$P$10,I21)*POWER(Upgrades!$P$11,J21)*POWER(Upgrades!$P$12,K21)</f>
        <v/>
      </c>
      <c r="O21" s="28">
        <f>((IF(E21=0,0,(Upgrades!$M$6+E21*Upgrades!$N$6)*POWER(Upgrades!$O$6,E21)))*(IF(Upgrades!$T$7="Solar Wind",POWER(Upgrades!$U$7,F21),1)*IF(Upgrades!$T$8="Solar Wind",POWER(Upgrades!$U$8,G21),1)*IF(Upgrades!$T$9="Solar Wind",POWER(Upgrades!$U$9,H21),1)*IF(Upgrades!$T$10="Solar Wind",POWER(Upgrades!$U$10,I21),1)*IF(Upgrades!$T$11="Solar Wind",POWER(Upgrades!$U$11,J21),1)*IF(Upgrades!$T$12="Solar Wind",POWER(Upgrades!$U$12,K21),1))+(IF(F21=0,0,(Upgrades!$M$7+F21*Upgrades!$N$7)*POWER(Upgrades!$O$7,F21)))*(IF(Upgrades!$T$6="Asteroid Belt",POWER(Upgrades!$U$6,E21),1)*IF(Upgrades!$T$8="Asteroid Belt",POWER(Upgrades!$U$8,G21),1)*IF(Upgrades!$T$9="Asteroid Belt",POWER(Upgrades!$U$9,H21),1)*IF(Upgrades!$T$10="Asteroid Belt",POWER(Upgrades!$U$10,I21),1)*IF(Upgrades!$T$11="Asteroid Belt",POWER(Upgrades!$U$11,J21),1)*IF(Upgrades!$T$12="Asteroid Belt",POWER(Upgrades!$U$12,K21),1))+(IF(G21=0,0,(Upgrades!$M$8+G21*Upgrades!$N$8)*POWER(Upgrades!$O$8,G21)))*(IF(Upgrades!$T$6="Stellar Coupling",POWER(Upgrades!$U$6,E21),1)*IF(Upgrades!$T$7="Stellar Coupling",POWER(Upgrades!$U$7,F21),1)*IF(Upgrades!$T$9="Stellar Coupling",POWER(Upgrades!$U$9,H21),1)*IF(Upgrades!$T$10="Stellar Coupling",POWER(Upgrades!$U$10,I21),1)*IF(Upgrades!$T$11="Stellar Coupling",POWER(Upgrades!$U$11,J21),1)*IF(Upgrades!$T$12="Stellar Coupling",POWER(Upgrades!$U$12,K21),1))+(IF(H21=0,0,(Upgrades!$M$9+H21*Upgrades!$N$9)*POWER(Upgrades!$O$9,H21)))*(IF(Upgrades!$T$6="Magnetosphere",POWER(Upgrades!$U$6,E21),1)*IF(Upgrades!$T$7="Magnetosphere",POWER(Upgrades!$U$7,F21),1)*IF(Upgrades!$T$8="Magnetosphere",POWER(Upgrades!$U$8,G21),1)*IF(Upgrades!$T$10="Magnetosphere",POWER(Upgrades!$U$10,I21),1)*IF(Upgrades!$T$11="Magnetosphere",POWER(Upgrades!$U$11,J21),1)*IF(Upgrades!$T$12="Magnetosphere",POWER(Upgrades!$U$12,K21),1))+(IF(I21=0,0,(Upgrades!$M$10+I21*Upgrades!$N$10)*POWER(Upgrades!$O$10,I21)))*(IF(Upgrades!$T$6="Orbital Resonance",POWER(Upgrades!$U$6,E21),1)*IF(Upgrades!$T$7="Orbital Resonance",POWER(Upgrades!$U$7,F21),1)*IF(Upgrades!$T$8="Orbital Resonance",POWER(Upgrades!$U$8,G21),1)*IF(Upgrades!$T$9="Orbital Resonance",POWER(Upgrades!$U$9,H21),1)*IF(Upgrades!$T$11="Orbital Resonance",POWER(Upgrades!$U$11,J21),1)*IF(Upgrades!$T$12="Orbital Resonance",POWER(Upgrades!$U$12,K21),1))+(IF(J21=0,0,(Upgrades!$M$11+J21*Upgrades!$N$11)*POWER(Upgrades!$O$11,J21)))*(IF(Upgrades!$T$6="Heliopause",POWER(Upgrades!$U$6,E21),1)*IF(Upgrades!$T$7="Heliopause",POWER(Upgrades!$U$7,F21),1)*IF(Upgrades!$T$8="Heliopause",POWER(Upgrades!$U$8,G21),1)*IF(Upgrades!$T$9="Heliopause",POWER(Upgrades!$U$9,H21),1)*IF(Upgrades!$T$10="Heliopause",POWER(Upgrades!$U$10,I21),1)*IF(Upgrades!$T$12="Heliopause",POWER(Upgrades!$U$12,K21),1))+(IF(K21=0,0,(Upgrades!$M$12+K21*Upgrades!$N$12)*POWER(Upgrades!$O$12,K21)))*(IF(Upgrades!$T$6="First Photons",POWER(Upgrades!$U$6,E21),1)*IF(Upgrades!$T$7="First Photons",POWER(Upgrades!$U$7,F21),1)*IF(Upgrades!$T$8="First Photons",POWER(Upgrades!$U$8,G21),1)*IF(Upgrades!$T$9="First Photons",POWER(Upgrades!$U$9,H21),1)*IF(Upgrades!$T$10="First Photons",POWER(Upgrades!$U$10,I21),1)*IF(Upgrades!$T$11="First Photons",POWER(Upgrades!$U$11,J21),1)))*POWER(Upgrades!$R$6,E21)*POWER(Upgrades!$R$7,F21)*POWER(Upgrades!$R$8,G21)*POWER(Upgrades!$R$9,H21)*POWER(Upgrades!$R$10,I21)*POWER(Upgrades!$R$11,J21)*POWER(Upgrades!$R$12,K21)</f>
        <v/>
      </c>
      <c r="P21" s="27">
        <f>IF(L21=1,0,M21*Parameters!$B$10/60*Parameters!$B$11*10)</f>
        <v/>
      </c>
      <c r="Q21" s="27">
        <f>IF(L21=1,0,O21*M21*10)</f>
        <v/>
      </c>
      <c r="R21" s="27">
        <f>IF(L21=1,0,N21*10)</f>
        <v/>
      </c>
      <c r="S21" s="27">
        <f>P21+Q21+R21</f>
        <v/>
      </c>
      <c r="T21" s="22">
        <f>C21+S21</f>
        <v/>
      </c>
      <c r="U21" s="33">
        <f>AX21</f>
        <v/>
      </c>
      <c r="V21" s="22">
        <f>IF(U21="",0,IF(U21="transition",0,IF(U21="SW",AG21,IF(U21="AB",AH21,IF(U21="SC",AI21,IF(U21="Mag",AJ21,IF(U21="OR",AK21,IF(U21="HP",AL21,IF(U21="FP",AM21,0)))))))))</f>
        <v/>
      </c>
      <c r="W21" s="27">
        <f>IF(U21="OR",Upgrades!$F$10,IF(U21="HP",Upgrades!$F$11,IF(U21="transition",-Parameters!$B$18,0)))</f>
        <v/>
      </c>
      <c r="X21" s="22">
        <f>T21-V21</f>
        <v/>
      </c>
      <c r="Y21" s="30">
        <f>M21*Parameters!$B$10/60*Parameters!$B$11+O21*M21+N21</f>
        <v/>
      </c>
      <c r="Z21" s="34">
        <f>IF(U21="transition","→ Tier 2 (Stellar Neighborhood)",IF(U21="FP","First Photons — light begins, system quickens",IF(U21="HP","Heliopause acquired",IF(U21="OR","Orbital Resonance — passive multiplier active",IF(AND(AO21=1,L21=0,AN21&lt;&gt;1),"Cohesion ready (waiting on completionist upgrades)","")))))</f>
        <v/>
      </c>
      <c r="AA21" s="27">
        <f>(IF(E21=0,0,(Upgrades!$G$6+E21*Upgrades!$H$6)*POWER(Upgrades!$I$6,E21)))*(IF(Upgrades!$T$7="Solar Wind",POWER(Upgrades!$U$7,F21),1)*IF(Upgrades!$T$8="Solar Wind",POWER(Upgrades!$U$8,G21),1)*IF(Upgrades!$T$9="Solar Wind",POWER(Upgrades!$U$9,H21),1)*IF(Upgrades!$T$10="Solar Wind",POWER(Upgrades!$U$10,I21),1)*IF(Upgrades!$T$11="Solar Wind",POWER(Upgrades!$U$11,J21),1)*IF(Upgrades!$T$12="Solar Wind",POWER(Upgrades!$U$12,K21),1))*POWER(Upgrades!$P$6,E21)*POWER(Upgrades!$P$7,F21)*POWER(Upgrades!$P$8,G21)*POWER(Upgrades!$P$9,H21)*POWER(Upgrades!$P$10,I21)*POWER(Upgrades!$P$11,J21)*POWER(Upgrades!$P$12,K21)*60</f>
        <v/>
      </c>
      <c r="AB21" s="27">
        <f>(IF(F21=0,0,(Upgrades!$G$7+F21*Upgrades!$H$7)*POWER(Upgrades!$I$7,F21)))*(IF(Upgrades!$T$6="Asteroid Belt",POWER(Upgrades!$U$6,E21),1)*IF(Upgrades!$T$8="Asteroid Belt",POWER(Upgrades!$U$8,G21),1)*IF(Upgrades!$T$9="Asteroid Belt",POWER(Upgrades!$U$9,H21),1)*IF(Upgrades!$T$10="Asteroid Belt",POWER(Upgrades!$U$10,I21),1)*IF(Upgrades!$T$11="Asteroid Belt",POWER(Upgrades!$U$11,J21),1)*IF(Upgrades!$T$12="Asteroid Belt",POWER(Upgrades!$U$12,K21),1))*POWER(Upgrades!$P$6,E21)*POWER(Upgrades!$P$7,F21)*POWER(Upgrades!$P$8,G21)*POWER(Upgrades!$P$9,H21)*POWER(Upgrades!$P$10,I21)*POWER(Upgrades!$P$11,J21)*POWER(Upgrades!$P$12,K21)*60</f>
        <v/>
      </c>
      <c r="AC21" s="27">
        <f>(IF(G21=0,0,(Upgrades!$J$8+G21*Upgrades!$K$8)*POWER(Upgrades!$L$8,G21)))*(IF(Upgrades!$T$6="Stellar Coupling",POWER(Upgrades!$U$6,E21),1)*IF(Upgrades!$T$7="Stellar Coupling",POWER(Upgrades!$U$7,F21),1)*IF(Upgrades!$T$9="Stellar Coupling",POWER(Upgrades!$U$9,H21),1)*IF(Upgrades!$T$10="Stellar Coupling",POWER(Upgrades!$U$10,I21),1)*IF(Upgrades!$T$11="Stellar Coupling",POWER(Upgrades!$U$11,J21),1)*IF(Upgrades!$T$12="Stellar Coupling",POWER(Upgrades!$U$12,K21),1))*POWER(Upgrades!$Q$6,E21)*POWER(Upgrades!$Q$7,F21)*POWER(Upgrades!$Q$8,G21)*POWER(Upgrades!$Q$9,H21)*POWER(Upgrades!$Q$10,I21)*POWER(Upgrades!$Q$11,J21)*POWER(Upgrades!$Q$12,K21)*Parameters!$B$10*Parameters!$B$11</f>
        <v/>
      </c>
      <c r="AD21" s="27">
        <f>(IF(H21=0,0,(Upgrades!$G$9+H21*Upgrades!$H$9)*POWER(Upgrades!$I$9,H21)))*(IF(Upgrades!$T$6="Magnetosphere",POWER(Upgrades!$U$6,E21),1)*IF(Upgrades!$T$7="Magnetosphere",POWER(Upgrades!$U$7,F21),1)*IF(Upgrades!$T$8="Magnetosphere",POWER(Upgrades!$U$8,G21),1)*IF(Upgrades!$T$10="Magnetosphere",POWER(Upgrades!$U$10,I21),1)*IF(Upgrades!$T$11="Magnetosphere",POWER(Upgrades!$U$11,J21),1)*IF(Upgrades!$T$12="Magnetosphere",POWER(Upgrades!$U$12,K21),1))*POWER(Upgrades!$P$6,E21)*POWER(Upgrades!$P$7,F21)*POWER(Upgrades!$P$8,G21)*POWER(Upgrades!$P$9,H21)*POWER(Upgrades!$P$10,I21)*POWER(Upgrades!$P$11,J21)*POWER(Upgrades!$P$12,K21)*60</f>
        <v/>
      </c>
      <c r="AE21" s="27">
        <f>(IF(K21=0,0,(Upgrades!$G$12+K21*Upgrades!$H$12)*POWER(Upgrades!$I$12,K21)))*(IF(Upgrades!$T$6="First Photons",POWER(Upgrades!$U$6,E21),1)*IF(Upgrades!$T$7="First Photons",POWER(Upgrades!$U$7,F21),1)*IF(Upgrades!$T$8="First Photons",POWER(Upgrades!$U$8,G21),1)*IF(Upgrades!$T$9="First Photons",POWER(Upgrades!$U$9,H21),1)*IF(Upgrades!$T$10="First Photons",POWER(Upgrades!$U$10,I21),1)*IF(Upgrades!$T$11="First Photons",POWER(Upgrades!$U$11,J21),1))*POWER(Upgrades!$P$6,E21)*POWER(Upgrades!$P$7,F21)*POWER(Upgrades!$P$8,G21)*POWER(Upgrades!$P$9,H21)*POWER(Upgrades!$P$10,I21)*POWER(Upgrades!$P$11,J21)*POWER(Upgrades!$P$12,K21)*60</f>
        <v/>
      </c>
      <c r="AF21" s="27">
        <f>Parameters!$B$9*POWER(Upgrades!$Q$6,E21)*POWER(Upgrades!$Q$7,F21)*POWER(Upgrades!$Q$8,G21)*POWER(Upgrades!$Q$9,H21)*POWER(Upgrades!$Q$10,I21)*POWER(Upgrades!$Q$11,J21)*POWER(Upgrades!$Q$12,K21)*(Parameters!$B$10*Parameters!$B$11+O21*60)</f>
        <v/>
      </c>
      <c r="AG21" s="22">
        <f>IF(E21&gt;=Upgrades!$E$6,"",Upgrades!$C$6*POWER(Upgrades!$D$6,E21))</f>
        <v/>
      </c>
      <c r="AH21" s="22">
        <f>IF(F21&gt;=Upgrades!$E$7,"",Upgrades!$C$7*POWER(Upgrades!$D$7,F21))</f>
        <v/>
      </c>
      <c r="AI21" s="22">
        <f>IF(G21&gt;=Upgrades!$E$8,"",Upgrades!$C$8*POWER(Upgrades!$D$8,G21))</f>
        <v/>
      </c>
      <c r="AJ21" s="22">
        <f>IF(H21&gt;=Upgrades!$E$9,"",Upgrades!$C$9*POWER(Upgrades!$D$9,H21))</f>
        <v/>
      </c>
      <c r="AK21" s="22">
        <f>IF(I21&gt;=Upgrades!$E$10,"",Upgrades!$C$10*POWER(Upgrades!$D$10,I21))</f>
        <v/>
      </c>
      <c r="AL21" s="22">
        <f>IF(J21&gt;=Upgrades!$E$11,"",Upgrades!$C$11*POWER(Upgrades!$D$11,J21))</f>
        <v/>
      </c>
      <c r="AM21" s="22">
        <f>IF(K21&gt;=Upgrades!$E$12,"",Upgrades!$C$12*POWER(Upgrades!$D$12,K21))</f>
        <v/>
      </c>
      <c r="AN21" s="26">
        <f>IF(AND(D21&gt;=Parameters!$B$18,(H21&gt;=Upgrades!$E$9)*(K21&gt;=Upgrades!$E$12)=1,L21=0),1,"")</f>
        <v/>
      </c>
      <c r="AO21" s="26">
        <f>IF(AND(D21&gt;=Parameters!$B$18,L21=0),1,"")</f>
        <v/>
      </c>
      <c r="AP21" s="22">
        <f>MIN(IF(ISNUMBER(AK21),AK21,9E15),IF(ISNUMBER(AL21),AL21,9E15),IF(ISNUMBER(AM21),AM21,9E15))</f>
        <v/>
      </c>
      <c r="AQ21" s="22">
        <f>MIN(IF(ISNUMBER(AG21),AG21,9E15),IF(ISNUMBER(AH21),AH21,9E15),IF(ISNUMBER(AI21),AI21,9E15),IF(ISNUMBER(AJ21),AJ21,9E15))</f>
        <v/>
      </c>
      <c r="AR21" s="29">
        <f>IF(AW21&gt;Parameters!$B$21*(MAX(IF(AND(NOT(AND(AO21=1,AN21&lt;&gt;1)),ISNUMBER(AG21),AG21&lt;=T21),AS21,0),IF(AND(NOT(AND(AO21=1,AN21&lt;&gt;1)),ISNUMBER(AH21),AH21&lt;=T21),AT21,0),IF(AND(NOT(AND(AO21=1,AN21&lt;&gt;1)),ISNUMBER(AI21),AI21&lt;=T21),AU21,0),IF(AND(ISNUMBER(AJ21),AJ21&lt;=T21),AV21,0))),TRUE,FALSE)</f>
        <v/>
      </c>
      <c r="AS21" s="32">
        <f>IFERROR(Upgrades!$H$6*(POWER(Upgrades!$P$6,E21)*POWER(Upgrades!$P$7,F21)*POWER(Upgrades!$P$8,G21)*POWER(Upgrades!$P$9,H21)*POWER(Upgrades!$P$10,I21)*POWER(Upgrades!$P$11,J21)*POWER(Upgrades!$P$12,K21))*(IF(Upgrades!$T$7="Solar Wind",POWER(Upgrades!$U$7,F21),1)*IF(Upgrades!$T$8="Solar Wind",POWER(Upgrades!$U$8,G21),1)*IF(Upgrades!$T$9="Solar Wind",POWER(Upgrades!$U$9,H21),1)*IF(Upgrades!$T$10="Solar Wind",POWER(Upgrades!$U$10,I21),1)*IF(Upgrades!$T$11="Solar Wind",POWER(Upgrades!$U$11,J21),1)*IF(Upgrades!$T$12="Solar Wind",POWER(Upgrades!$U$12,K21),1))/AG21,0)</f>
        <v/>
      </c>
      <c r="AT21" s="32">
        <f>IFERROR(Upgrades!$H$7*(POWER(Upgrades!$P$6,E21)*POWER(Upgrades!$P$7,F21)*POWER(Upgrades!$P$8,G21)*POWER(Upgrades!$P$9,H21)*POWER(Upgrades!$P$10,I21)*POWER(Upgrades!$P$11,J21)*POWER(Upgrades!$P$12,K21))*(IF(Upgrades!$T$6="Asteroid Belt",POWER(Upgrades!$U$6,E21),1)*IF(Upgrades!$T$8="Asteroid Belt",POWER(Upgrades!$U$8,G21),1)*IF(Upgrades!$T$9="Asteroid Belt",POWER(Upgrades!$U$9,H21),1)*IF(Upgrades!$T$10="Asteroid Belt",POWER(Upgrades!$U$10,I21),1)*IF(Upgrades!$T$11="Asteroid Belt",POWER(Upgrades!$U$11,J21),1)*IF(Upgrades!$T$12="Asteroid Belt",POWER(Upgrades!$U$12,K21),1))/AH21,0)</f>
        <v/>
      </c>
      <c r="AU21" s="32">
        <f>IFERROR(Upgrades!$K$8*(POWER(Upgrades!$Q$6,E21)*POWER(Upgrades!$Q$7,F21)*POWER(Upgrades!$Q$8,G21)*POWER(Upgrades!$Q$9,H21)*POWER(Upgrades!$Q$10,I21)*POWER(Upgrades!$Q$11,J21)*POWER(Upgrades!$Q$12,K21))*(IF(Upgrades!$T$6="Stellar Coupling",POWER(Upgrades!$U$6,E21),1)*IF(Upgrades!$T$7="Stellar Coupling",POWER(Upgrades!$U$7,F21),1)*IF(Upgrades!$T$9="Stellar Coupling",POWER(Upgrades!$U$9,H21),1)*IF(Upgrades!$T$10="Stellar Coupling",POWER(Upgrades!$U$10,I21),1)*IF(Upgrades!$T$11="Stellar Coupling",POWER(Upgrades!$U$11,J21),1)*IF(Upgrades!$T$12="Stellar Coupling",POWER(Upgrades!$U$12,K21),1))*Parameters!$B$10*Parameters!$B$11/60/AI21,0)</f>
        <v/>
      </c>
      <c r="AV21" s="32">
        <f>IFERROR(Upgrades!$H$9*(POWER(Upgrades!$P$6,E21)*POWER(Upgrades!$P$7,F21)*POWER(Upgrades!$P$8,G21)*POWER(Upgrades!$P$9,H21)*POWER(Upgrades!$P$10,I21)*POWER(Upgrades!$P$11,J21)*POWER(Upgrades!$P$12,K21))*(IF(Upgrades!$T$6="Magnetosphere",POWER(Upgrades!$U$6,E21),1)*IF(Upgrades!$T$7="Magnetosphere",POWER(Upgrades!$U$7,F21),1)*IF(Upgrades!$T$8="Magnetosphere",POWER(Upgrades!$U$8,G21),1)*IF(Upgrades!$T$10="Magnetosphere",POWER(Upgrades!$U$10,I21),1)*IF(Upgrades!$T$11="Magnetosphere",POWER(Upgrades!$U$11,J21),1)*IF(Upgrades!$T$12="Magnetosphere",POWER(Upgrades!$U$12,K21),1))/AJ21,0)</f>
        <v/>
      </c>
      <c r="AW21" s="32">
        <f>MAX(IF(I21&gt;0,0,IFERROR(0.25*N21/Upgrades!$C$10,0)),IF(J21&gt;0,0,IFERROR(0.5*((IF(G21=0,0,(Upgrades!$J$8+G21*Upgrades!$K$8)*POWER(Upgrades!$L$8,G21)))*(IF(Upgrades!$T$6="Stellar Coupling",POWER(Upgrades!$U$6,E21),1)*IF(Upgrades!$T$7="Stellar Coupling",POWER(Upgrades!$U$7,F21),1)*IF(Upgrades!$T$9="Stellar Coupling",POWER(Upgrades!$U$9,H21),1)*IF(Upgrades!$T$10="Stellar Coupling",POWER(Upgrades!$U$10,I21),1)*IF(Upgrades!$T$11="Stellar Coupling",POWER(Upgrades!$U$11,J21),1)*IF(Upgrades!$T$12="Stellar Coupling",POWER(Upgrades!$U$12,K21),1))*(POWER(Upgrades!$Q$6,E21)*POWER(Upgrades!$Q$7,F21)*POWER(Upgrades!$Q$8,G21)*POWER(Upgrades!$Q$9,H21)*POWER(Upgrades!$Q$10,I21)*POWER(Upgrades!$Q$11,J21)*POWER(Upgrades!$Q$12,K21))*Parameters!$B$10*Parameters!$B$11/60)/Upgrades!$C$11,0)),IF(K21&gt;0,0,IFERROR((1.0*(POWER(Upgrades!$P$6,E21)*POWER(Upgrades!$P$7,F21)*POWER(Upgrades!$P$8,G21)*POWER(Upgrades!$P$9,H21)*POWER(Upgrades!$P$10,I21)*POWER(Upgrades!$P$11,J21)*POWER(Upgrades!$P$12,K21))+0.20*M21*Parameters!$B$10*Parameters!$B$11/60)/Upgrades!$C$12,0)),IF(AND(ISNUMBER(AG21),AG21&gt;T21),AS21,0),IF(AND(ISNUMBER(AH21),AH21&gt;T21),AT21,0),IF(AND(ISNUMBER(AI21),AI21&gt;T21),AU21,0),IF(AND(ISNUMBER(AJ21),AJ21&gt;T21),AV21,0))</f>
        <v/>
      </c>
      <c r="AX21" s="29">
        <f>IF(AN21=1,"transition",IF(MIN(IF(AND(I21=0,ISNUMBER(AK21),AK21&lt;=T21),AK21,9E15),IF(AND(J21=0,ISNUMBER(AL21),AL21&lt;=T21),AL21,9E15),IF(AND(K21=0,ISNUMBER(AM21),AM21&lt;=T21),AM21,9E15))&lt;9E15,IF(AND(AND(I21=0,ISNUMBER(AK21),AK21&lt;=T21),AK21=MIN(IF(AND(I21=0,ISNUMBER(AK21),AK21&lt;=T21),AK21,9E15),IF(AND(J21=0,ISNUMBER(AL21),AL21&lt;=T21),AL21,9E15),IF(AND(K21=0,ISNUMBER(AM21),AM21&lt;=T21),AM21,9E15))),"OR",IF(AND(AND(J21=0,ISNUMBER(AL21),AL21&lt;=T21),AL21=MIN(IF(AND(I21=0,ISNUMBER(AK21),AK21&lt;=T21),AK21,9E15),IF(AND(J21=0,ISNUMBER(AL21),AL21&lt;=T21),AL21,9E15),IF(AND(K21=0,ISNUMBER(AM21),AM21&lt;=T21),AM21,9E15))),"HP","FP")),IF(AR21=TRUE,"",IF(MAX(IF(AND(NOT(AND(AO21=1,AN21&lt;&gt;1)),ISNUMBER(AG21),AG21&lt;=T21),AS21,0),IF(AND(NOT(AND(AO21=1,AN21&lt;&gt;1)),ISNUMBER(AH21),AH21&lt;=T21),AT21,0),IF(AND(NOT(AND(AO21=1,AN21&lt;&gt;1)),ISNUMBER(AI21),AI21&lt;=T21),AU21,0),IF(AND(ISNUMBER(AJ21),AJ21&lt;=T21),AV21,0))&lt;=0,"",IF(AND(IF(AND(NOT(AND(AO21=1,AN21&lt;&gt;1)),ISNUMBER(AG21),AG21&lt;=T21),AS21,0)&gt;0,IF(AND(NOT(AND(AO21=1,AN21&lt;&gt;1)),ISNUMBER(AG21),AG21&lt;=T21),AS21,0)=MAX(IF(AND(NOT(AND(AO21=1,AN21&lt;&gt;1)),ISNUMBER(AG21),AG21&lt;=T21),AS21,0),IF(AND(NOT(AND(AO21=1,AN21&lt;&gt;1)),ISNUMBER(AH21),AH21&lt;=T21),AT21,0),IF(AND(NOT(AND(AO21=1,AN21&lt;&gt;1)),ISNUMBER(AI21),AI21&lt;=T21),AU21,0),IF(AND(ISNUMBER(AJ21),AJ21&lt;=T21),AV21,0))),"SW",IF(AND(IF(AND(NOT(AND(AO21=1,AN21&lt;&gt;1)),ISNUMBER(AH21),AH21&lt;=T21),AT21,0)&gt;0,IF(AND(NOT(AND(AO21=1,AN21&lt;&gt;1)),ISNUMBER(AH21),AH21&lt;=T21),AT21,0)=MAX(IF(AND(NOT(AND(AO21=1,AN21&lt;&gt;1)),ISNUMBER(AG21),AG21&lt;=T21),AS21,0),IF(AND(NOT(AND(AO21=1,AN21&lt;&gt;1)),ISNUMBER(AH21),AH21&lt;=T21),AT21,0),IF(AND(NOT(AND(AO21=1,AN21&lt;&gt;1)),ISNUMBER(AI21),AI21&lt;=T21),AU21,0),IF(AND(ISNUMBER(AJ21),AJ21&lt;=T21),AV21,0))),"AB",IF(AND(IF(AND(NOT(AND(AO21=1,AN21&lt;&gt;1)),ISNUMBER(AI21),AI21&lt;=T21),AU21,0)&gt;0,IF(AND(NOT(AND(AO21=1,AN21&lt;&gt;1)),ISNUMBER(AI21),AI21&lt;=T21),AU21,0)=MAX(IF(AND(NOT(AND(AO21=1,AN21&lt;&gt;1)),ISNUMBER(AG21),AG21&lt;=T21),AS21,0),IF(AND(NOT(AND(AO21=1,AN21&lt;&gt;1)),ISNUMBER(AH21),AH21&lt;=T21),AT21,0),IF(AND(NOT(AND(AO21=1,AN21&lt;&gt;1)),ISNUMBER(AI21),AI21&lt;=T21),AU21,0),IF(AND(ISNUMBER(AJ21),AJ21&lt;=T21),AV21,0))),"SC","Mag")))))))</f>
        <v/>
      </c>
    </row>
    <row r="22">
      <c r="A22" s="26" t="n">
        <v>17</v>
      </c>
      <c r="B22" s="27">
        <f>A22*10/60</f>
        <v/>
      </c>
      <c r="C22" s="22">
        <f>X21</f>
        <v/>
      </c>
      <c r="D22" s="27">
        <f>D21+W21</f>
        <v/>
      </c>
      <c r="E22" s="26">
        <f>E21+IF(U21="SW",1,0)</f>
        <v/>
      </c>
      <c r="F22" s="26">
        <f>F21+IF(U21="AB",1,0)</f>
        <v/>
      </c>
      <c r="G22" s="26">
        <f>G21+IF(U21="SC",1,0)</f>
        <v/>
      </c>
      <c r="H22" s="26">
        <f>H21+IF(U21="Mag",1,0)</f>
        <v/>
      </c>
      <c r="I22" s="26">
        <f>MAX(I21,IF(U21="OR",1,0))</f>
        <v/>
      </c>
      <c r="J22" s="26">
        <f>MAX(J21,IF(U21="HP",1,0))</f>
        <v/>
      </c>
      <c r="K22" s="26">
        <f>MAX(K21,IF(U21="FP",1,0))</f>
        <v/>
      </c>
      <c r="L22" s="26">
        <f>MAX(L21,IF(U21="transition",1,0))</f>
        <v/>
      </c>
      <c r="M22" s="28">
        <f>(Parameters!$B$9+(IF(E22=0,0,(Upgrades!$J$6+E22*Upgrades!$K$6)*POWER(Upgrades!$L$6,E22)))*(IF(Upgrades!$T$7="Solar Wind",POWER(Upgrades!$U$7,F22),1)*IF(Upgrades!$T$8="Solar Wind",POWER(Upgrades!$U$8,G22),1)*IF(Upgrades!$T$9="Solar Wind",POWER(Upgrades!$U$9,H22),1)*IF(Upgrades!$T$10="Solar Wind",POWER(Upgrades!$U$10,I22),1)*IF(Upgrades!$T$11="Solar Wind",POWER(Upgrades!$U$11,J22),1)*IF(Upgrades!$T$12="Solar Wind",POWER(Upgrades!$U$12,K22),1))+(IF(F22=0,0,(Upgrades!$J$7+F22*Upgrades!$K$7)*POWER(Upgrades!$L$7,F22)))*(IF(Upgrades!$T$6="Asteroid Belt",POWER(Upgrades!$U$6,E22),1)*IF(Upgrades!$T$8="Asteroid Belt",POWER(Upgrades!$U$8,G22),1)*IF(Upgrades!$T$9="Asteroid Belt",POWER(Upgrades!$U$9,H22),1)*IF(Upgrades!$T$10="Asteroid Belt",POWER(Upgrades!$U$10,I22),1)*IF(Upgrades!$T$11="Asteroid Belt",POWER(Upgrades!$U$11,J22),1)*IF(Upgrades!$T$12="Asteroid Belt",POWER(Upgrades!$U$12,K22),1))+(IF(G22=0,0,(Upgrades!$J$8+G22*Upgrades!$K$8)*POWER(Upgrades!$L$8,G22)))*(IF(Upgrades!$T$6="Stellar Coupling",POWER(Upgrades!$U$6,E22),1)*IF(Upgrades!$T$7="Stellar Coupling",POWER(Upgrades!$U$7,F22),1)*IF(Upgrades!$T$9="Stellar Coupling",POWER(Upgrades!$U$9,H22),1)*IF(Upgrades!$T$10="Stellar Coupling",POWER(Upgrades!$U$10,I22),1)*IF(Upgrades!$T$11="Stellar Coupling",POWER(Upgrades!$U$11,J22),1)*IF(Upgrades!$T$12="Stellar Coupling",POWER(Upgrades!$U$12,K22),1))+(IF(H22=0,0,(Upgrades!$J$9+H22*Upgrades!$K$9)*POWER(Upgrades!$L$9,H22)))*(IF(Upgrades!$T$6="Magnetosphere",POWER(Upgrades!$U$6,E22),1)*IF(Upgrades!$T$7="Magnetosphere",POWER(Upgrades!$U$7,F22),1)*IF(Upgrades!$T$8="Magnetosphere",POWER(Upgrades!$U$8,G22),1)*IF(Upgrades!$T$10="Magnetosphere",POWER(Upgrades!$U$10,I22),1)*IF(Upgrades!$T$11="Magnetosphere",POWER(Upgrades!$U$11,J22),1)*IF(Upgrades!$T$12="Magnetosphere",POWER(Upgrades!$U$12,K22),1))+(IF(I22=0,0,(Upgrades!$J$10+I22*Upgrades!$K$10)*POWER(Upgrades!$L$10,I22)))*(IF(Upgrades!$T$6="Orbital Resonance",POWER(Upgrades!$U$6,E22),1)*IF(Upgrades!$T$7="Orbital Resonance",POWER(Upgrades!$U$7,F22),1)*IF(Upgrades!$T$8="Orbital Resonance",POWER(Upgrades!$U$8,G22),1)*IF(Upgrades!$T$9="Orbital Resonance",POWER(Upgrades!$U$9,H22),1)*IF(Upgrades!$T$11="Orbital Resonance",POWER(Upgrades!$U$11,J22),1)*IF(Upgrades!$T$12="Orbital Resonance",POWER(Upgrades!$U$12,K22),1))+(IF(J22=0,0,(Upgrades!$J$11+J22*Upgrades!$K$11)*POWER(Upgrades!$L$11,J22)))*(IF(Upgrades!$T$6="Heliopause",POWER(Upgrades!$U$6,E22),1)*IF(Upgrades!$T$7="Heliopause",POWER(Upgrades!$U$7,F22),1)*IF(Upgrades!$T$8="Heliopause",POWER(Upgrades!$U$8,G22),1)*IF(Upgrades!$T$9="Heliopause",POWER(Upgrades!$U$9,H22),1)*IF(Upgrades!$T$10="Heliopause",POWER(Upgrades!$U$10,I22),1)*IF(Upgrades!$T$12="Heliopause",POWER(Upgrades!$U$12,K22),1))+(IF(K22=0,0,(Upgrades!$J$12+K22*Upgrades!$K$12)*POWER(Upgrades!$L$12,K22)))*(IF(Upgrades!$T$6="First Photons",POWER(Upgrades!$U$6,E22),1)*IF(Upgrades!$T$7="First Photons",POWER(Upgrades!$U$7,F22),1)*IF(Upgrades!$T$8="First Photons",POWER(Upgrades!$U$8,G22),1)*IF(Upgrades!$T$9="First Photons",POWER(Upgrades!$U$9,H22),1)*IF(Upgrades!$T$10="First Photons",POWER(Upgrades!$U$10,I22),1)*IF(Upgrades!$T$11="First Photons",POWER(Upgrades!$U$11,J22),1)))*POWER(Upgrades!$Q$6,E22)*POWER(Upgrades!$Q$7,F22)*POWER(Upgrades!$Q$8,G22)*POWER(Upgrades!$Q$9,H22)*POWER(Upgrades!$Q$10,I22)*POWER(Upgrades!$Q$11,J22)*POWER(Upgrades!$Q$12,K22)</f>
        <v/>
      </c>
      <c r="N22" s="28">
        <f>((IF(E22=0,0,(Upgrades!$G$6+E22*Upgrades!$H$6)*POWER(Upgrades!$I$6,E22)))*(IF(Upgrades!$T$7="Solar Wind",POWER(Upgrades!$U$7,F22),1)*IF(Upgrades!$T$8="Solar Wind",POWER(Upgrades!$U$8,G22),1)*IF(Upgrades!$T$9="Solar Wind",POWER(Upgrades!$U$9,H22),1)*IF(Upgrades!$T$10="Solar Wind",POWER(Upgrades!$U$10,I22),1)*IF(Upgrades!$T$11="Solar Wind",POWER(Upgrades!$U$11,J22),1)*IF(Upgrades!$T$12="Solar Wind",POWER(Upgrades!$U$12,K22),1))+(IF(F22=0,0,(Upgrades!$G$7+F22*Upgrades!$H$7)*POWER(Upgrades!$I$7,F22)))*(IF(Upgrades!$T$6="Asteroid Belt",POWER(Upgrades!$U$6,E22),1)*IF(Upgrades!$T$8="Asteroid Belt",POWER(Upgrades!$U$8,G22),1)*IF(Upgrades!$T$9="Asteroid Belt",POWER(Upgrades!$U$9,H22),1)*IF(Upgrades!$T$10="Asteroid Belt",POWER(Upgrades!$U$10,I22),1)*IF(Upgrades!$T$11="Asteroid Belt",POWER(Upgrades!$U$11,J22),1)*IF(Upgrades!$T$12="Asteroid Belt",POWER(Upgrades!$U$12,K22),1))+(IF(G22=0,0,(Upgrades!$G$8+G22*Upgrades!$H$8)*POWER(Upgrades!$I$8,G22)))*(IF(Upgrades!$T$6="Stellar Coupling",POWER(Upgrades!$U$6,E22),1)*IF(Upgrades!$T$7="Stellar Coupling",POWER(Upgrades!$U$7,F22),1)*IF(Upgrades!$T$9="Stellar Coupling",POWER(Upgrades!$U$9,H22),1)*IF(Upgrades!$T$10="Stellar Coupling",POWER(Upgrades!$U$10,I22),1)*IF(Upgrades!$T$11="Stellar Coupling",POWER(Upgrades!$U$11,J22),1)*IF(Upgrades!$T$12="Stellar Coupling",POWER(Upgrades!$U$12,K22),1))+(IF(H22=0,0,(Upgrades!$G$9+H22*Upgrades!$H$9)*POWER(Upgrades!$I$9,H22)))*(IF(Upgrades!$T$6="Magnetosphere",POWER(Upgrades!$U$6,E22),1)*IF(Upgrades!$T$7="Magnetosphere",POWER(Upgrades!$U$7,F22),1)*IF(Upgrades!$T$8="Magnetosphere",POWER(Upgrades!$U$8,G22),1)*IF(Upgrades!$T$10="Magnetosphere",POWER(Upgrades!$U$10,I22),1)*IF(Upgrades!$T$11="Magnetosphere",POWER(Upgrades!$U$11,J22),1)*IF(Upgrades!$T$12="Magnetosphere",POWER(Upgrades!$U$12,K22),1))+(IF(I22=0,0,(Upgrades!$G$10+I22*Upgrades!$H$10)*POWER(Upgrades!$I$10,I22)))*(IF(Upgrades!$T$6="Orbital Resonance",POWER(Upgrades!$U$6,E22),1)*IF(Upgrades!$T$7="Orbital Resonance",POWER(Upgrades!$U$7,F22),1)*IF(Upgrades!$T$8="Orbital Resonance",POWER(Upgrades!$U$8,G22),1)*IF(Upgrades!$T$9="Orbital Resonance",POWER(Upgrades!$U$9,H22),1)*IF(Upgrades!$T$11="Orbital Resonance",POWER(Upgrades!$U$11,J22),1)*IF(Upgrades!$T$12="Orbital Resonance",POWER(Upgrades!$U$12,K22),1))+(IF(J22=0,0,(Upgrades!$G$11+J22*Upgrades!$H$11)*POWER(Upgrades!$I$11,J22)))*(IF(Upgrades!$T$6="Heliopause",POWER(Upgrades!$U$6,E22),1)*IF(Upgrades!$T$7="Heliopause",POWER(Upgrades!$U$7,F22),1)*IF(Upgrades!$T$8="Heliopause",POWER(Upgrades!$U$8,G22),1)*IF(Upgrades!$T$9="Heliopause",POWER(Upgrades!$U$9,H22),1)*IF(Upgrades!$T$10="Heliopause",POWER(Upgrades!$U$10,I22),1)*IF(Upgrades!$T$12="Heliopause",POWER(Upgrades!$U$12,K22),1))+(IF(K22=0,0,(Upgrades!$G$12+K22*Upgrades!$H$12)*POWER(Upgrades!$I$12,K22)))*(IF(Upgrades!$T$6="First Photons",POWER(Upgrades!$U$6,E22),1)*IF(Upgrades!$T$7="First Photons",POWER(Upgrades!$U$7,F22),1)*IF(Upgrades!$T$8="First Photons",POWER(Upgrades!$U$8,G22),1)*IF(Upgrades!$T$9="First Photons",POWER(Upgrades!$U$9,H22),1)*IF(Upgrades!$T$10="First Photons",POWER(Upgrades!$U$10,I22),1)*IF(Upgrades!$T$11="First Photons",POWER(Upgrades!$U$11,J22),1)))*POWER(Upgrades!$P$6,E22)*POWER(Upgrades!$P$7,F22)*POWER(Upgrades!$P$8,G22)*POWER(Upgrades!$P$9,H22)*POWER(Upgrades!$P$10,I22)*POWER(Upgrades!$P$11,J22)*POWER(Upgrades!$P$12,K22)</f>
        <v/>
      </c>
      <c r="O22" s="28">
        <f>((IF(E22=0,0,(Upgrades!$M$6+E22*Upgrades!$N$6)*POWER(Upgrades!$O$6,E22)))*(IF(Upgrades!$T$7="Solar Wind",POWER(Upgrades!$U$7,F22),1)*IF(Upgrades!$T$8="Solar Wind",POWER(Upgrades!$U$8,G22),1)*IF(Upgrades!$T$9="Solar Wind",POWER(Upgrades!$U$9,H22),1)*IF(Upgrades!$T$10="Solar Wind",POWER(Upgrades!$U$10,I22),1)*IF(Upgrades!$T$11="Solar Wind",POWER(Upgrades!$U$11,J22),1)*IF(Upgrades!$T$12="Solar Wind",POWER(Upgrades!$U$12,K22),1))+(IF(F22=0,0,(Upgrades!$M$7+F22*Upgrades!$N$7)*POWER(Upgrades!$O$7,F22)))*(IF(Upgrades!$T$6="Asteroid Belt",POWER(Upgrades!$U$6,E22),1)*IF(Upgrades!$T$8="Asteroid Belt",POWER(Upgrades!$U$8,G22),1)*IF(Upgrades!$T$9="Asteroid Belt",POWER(Upgrades!$U$9,H22),1)*IF(Upgrades!$T$10="Asteroid Belt",POWER(Upgrades!$U$10,I22),1)*IF(Upgrades!$T$11="Asteroid Belt",POWER(Upgrades!$U$11,J22),1)*IF(Upgrades!$T$12="Asteroid Belt",POWER(Upgrades!$U$12,K22),1))+(IF(G22=0,0,(Upgrades!$M$8+G22*Upgrades!$N$8)*POWER(Upgrades!$O$8,G22)))*(IF(Upgrades!$T$6="Stellar Coupling",POWER(Upgrades!$U$6,E22),1)*IF(Upgrades!$T$7="Stellar Coupling",POWER(Upgrades!$U$7,F22),1)*IF(Upgrades!$T$9="Stellar Coupling",POWER(Upgrades!$U$9,H22),1)*IF(Upgrades!$T$10="Stellar Coupling",POWER(Upgrades!$U$10,I22),1)*IF(Upgrades!$T$11="Stellar Coupling",POWER(Upgrades!$U$11,J22),1)*IF(Upgrades!$T$12="Stellar Coupling",POWER(Upgrades!$U$12,K22),1))+(IF(H22=0,0,(Upgrades!$M$9+H22*Upgrades!$N$9)*POWER(Upgrades!$O$9,H22)))*(IF(Upgrades!$T$6="Magnetosphere",POWER(Upgrades!$U$6,E22),1)*IF(Upgrades!$T$7="Magnetosphere",POWER(Upgrades!$U$7,F22),1)*IF(Upgrades!$T$8="Magnetosphere",POWER(Upgrades!$U$8,G22),1)*IF(Upgrades!$T$10="Magnetosphere",POWER(Upgrades!$U$10,I22),1)*IF(Upgrades!$T$11="Magnetosphere",POWER(Upgrades!$U$11,J22),1)*IF(Upgrades!$T$12="Magnetosphere",POWER(Upgrades!$U$12,K22),1))+(IF(I22=0,0,(Upgrades!$M$10+I22*Upgrades!$N$10)*POWER(Upgrades!$O$10,I22)))*(IF(Upgrades!$T$6="Orbital Resonance",POWER(Upgrades!$U$6,E22),1)*IF(Upgrades!$T$7="Orbital Resonance",POWER(Upgrades!$U$7,F22),1)*IF(Upgrades!$T$8="Orbital Resonance",POWER(Upgrades!$U$8,G22),1)*IF(Upgrades!$T$9="Orbital Resonance",POWER(Upgrades!$U$9,H22),1)*IF(Upgrades!$T$11="Orbital Resonance",POWER(Upgrades!$U$11,J22),1)*IF(Upgrades!$T$12="Orbital Resonance",POWER(Upgrades!$U$12,K22),1))+(IF(J22=0,0,(Upgrades!$M$11+J22*Upgrades!$N$11)*POWER(Upgrades!$O$11,J22)))*(IF(Upgrades!$T$6="Heliopause",POWER(Upgrades!$U$6,E22),1)*IF(Upgrades!$T$7="Heliopause",POWER(Upgrades!$U$7,F22),1)*IF(Upgrades!$T$8="Heliopause",POWER(Upgrades!$U$8,G22),1)*IF(Upgrades!$T$9="Heliopause",POWER(Upgrades!$U$9,H22),1)*IF(Upgrades!$T$10="Heliopause",POWER(Upgrades!$U$10,I22),1)*IF(Upgrades!$T$12="Heliopause",POWER(Upgrades!$U$12,K22),1))+(IF(K22=0,0,(Upgrades!$M$12+K22*Upgrades!$N$12)*POWER(Upgrades!$O$12,K22)))*(IF(Upgrades!$T$6="First Photons",POWER(Upgrades!$U$6,E22),1)*IF(Upgrades!$T$7="First Photons",POWER(Upgrades!$U$7,F22),1)*IF(Upgrades!$T$8="First Photons",POWER(Upgrades!$U$8,G22),1)*IF(Upgrades!$T$9="First Photons",POWER(Upgrades!$U$9,H22),1)*IF(Upgrades!$T$10="First Photons",POWER(Upgrades!$U$10,I22),1)*IF(Upgrades!$T$11="First Photons",POWER(Upgrades!$U$11,J22),1)))*POWER(Upgrades!$R$6,E22)*POWER(Upgrades!$R$7,F22)*POWER(Upgrades!$R$8,G22)*POWER(Upgrades!$R$9,H22)*POWER(Upgrades!$R$10,I22)*POWER(Upgrades!$R$11,J22)*POWER(Upgrades!$R$12,K22)</f>
        <v/>
      </c>
      <c r="P22" s="27">
        <f>IF(L22=1,0,M22*Parameters!$B$10/60*Parameters!$B$11*10)</f>
        <v/>
      </c>
      <c r="Q22" s="27">
        <f>IF(L22=1,0,O22*M22*10)</f>
        <v/>
      </c>
      <c r="R22" s="27">
        <f>IF(L22=1,0,N22*10)</f>
        <v/>
      </c>
      <c r="S22" s="27">
        <f>P22+Q22+R22</f>
        <v/>
      </c>
      <c r="T22" s="22">
        <f>C22+S22</f>
        <v/>
      </c>
      <c r="U22" s="33">
        <f>AX22</f>
        <v/>
      </c>
      <c r="V22" s="22">
        <f>IF(U22="",0,IF(U22="transition",0,IF(U22="SW",AG22,IF(U22="AB",AH22,IF(U22="SC",AI22,IF(U22="Mag",AJ22,IF(U22="OR",AK22,IF(U22="HP",AL22,IF(U22="FP",AM22,0)))))))))</f>
        <v/>
      </c>
      <c r="W22" s="27">
        <f>IF(U22="OR",Upgrades!$F$10,IF(U22="HP",Upgrades!$F$11,IF(U22="transition",-Parameters!$B$18,0)))</f>
        <v/>
      </c>
      <c r="X22" s="22">
        <f>T22-V22</f>
        <v/>
      </c>
      <c r="Y22" s="30">
        <f>M22*Parameters!$B$10/60*Parameters!$B$11+O22*M22+N22</f>
        <v/>
      </c>
      <c r="Z22" s="34">
        <f>IF(U22="transition","→ Tier 2 (Stellar Neighborhood)",IF(U22="FP","First Photons — light begins, system quickens",IF(U22="HP","Heliopause acquired",IF(U22="OR","Orbital Resonance — passive multiplier active",IF(AND(AO22=1,L22=0,AN22&lt;&gt;1),"Cohesion ready (waiting on completionist upgrades)","")))))</f>
        <v/>
      </c>
      <c r="AA22" s="27">
        <f>(IF(E22=0,0,(Upgrades!$G$6+E22*Upgrades!$H$6)*POWER(Upgrades!$I$6,E22)))*(IF(Upgrades!$T$7="Solar Wind",POWER(Upgrades!$U$7,F22),1)*IF(Upgrades!$T$8="Solar Wind",POWER(Upgrades!$U$8,G22),1)*IF(Upgrades!$T$9="Solar Wind",POWER(Upgrades!$U$9,H22),1)*IF(Upgrades!$T$10="Solar Wind",POWER(Upgrades!$U$10,I22),1)*IF(Upgrades!$T$11="Solar Wind",POWER(Upgrades!$U$11,J22),1)*IF(Upgrades!$T$12="Solar Wind",POWER(Upgrades!$U$12,K22),1))*POWER(Upgrades!$P$6,E22)*POWER(Upgrades!$P$7,F22)*POWER(Upgrades!$P$8,G22)*POWER(Upgrades!$P$9,H22)*POWER(Upgrades!$P$10,I22)*POWER(Upgrades!$P$11,J22)*POWER(Upgrades!$P$12,K22)*60</f>
        <v/>
      </c>
      <c r="AB22" s="27">
        <f>(IF(F22=0,0,(Upgrades!$G$7+F22*Upgrades!$H$7)*POWER(Upgrades!$I$7,F22)))*(IF(Upgrades!$T$6="Asteroid Belt",POWER(Upgrades!$U$6,E22),1)*IF(Upgrades!$T$8="Asteroid Belt",POWER(Upgrades!$U$8,G22),1)*IF(Upgrades!$T$9="Asteroid Belt",POWER(Upgrades!$U$9,H22),1)*IF(Upgrades!$T$10="Asteroid Belt",POWER(Upgrades!$U$10,I22),1)*IF(Upgrades!$T$11="Asteroid Belt",POWER(Upgrades!$U$11,J22),1)*IF(Upgrades!$T$12="Asteroid Belt",POWER(Upgrades!$U$12,K22),1))*POWER(Upgrades!$P$6,E22)*POWER(Upgrades!$P$7,F22)*POWER(Upgrades!$P$8,G22)*POWER(Upgrades!$P$9,H22)*POWER(Upgrades!$P$10,I22)*POWER(Upgrades!$P$11,J22)*POWER(Upgrades!$P$12,K22)*60</f>
        <v/>
      </c>
      <c r="AC22" s="27">
        <f>(IF(G22=0,0,(Upgrades!$J$8+G22*Upgrades!$K$8)*POWER(Upgrades!$L$8,G22)))*(IF(Upgrades!$T$6="Stellar Coupling",POWER(Upgrades!$U$6,E22),1)*IF(Upgrades!$T$7="Stellar Coupling",POWER(Upgrades!$U$7,F22),1)*IF(Upgrades!$T$9="Stellar Coupling",POWER(Upgrades!$U$9,H22),1)*IF(Upgrades!$T$10="Stellar Coupling",POWER(Upgrades!$U$10,I22),1)*IF(Upgrades!$T$11="Stellar Coupling",POWER(Upgrades!$U$11,J22),1)*IF(Upgrades!$T$12="Stellar Coupling",POWER(Upgrades!$U$12,K22),1))*POWER(Upgrades!$Q$6,E22)*POWER(Upgrades!$Q$7,F22)*POWER(Upgrades!$Q$8,G22)*POWER(Upgrades!$Q$9,H22)*POWER(Upgrades!$Q$10,I22)*POWER(Upgrades!$Q$11,J22)*POWER(Upgrades!$Q$12,K22)*Parameters!$B$10*Parameters!$B$11</f>
        <v/>
      </c>
      <c r="AD22" s="27">
        <f>(IF(H22=0,0,(Upgrades!$G$9+H22*Upgrades!$H$9)*POWER(Upgrades!$I$9,H22)))*(IF(Upgrades!$T$6="Magnetosphere",POWER(Upgrades!$U$6,E22),1)*IF(Upgrades!$T$7="Magnetosphere",POWER(Upgrades!$U$7,F22),1)*IF(Upgrades!$T$8="Magnetosphere",POWER(Upgrades!$U$8,G22),1)*IF(Upgrades!$T$10="Magnetosphere",POWER(Upgrades!$U$10,I22),1)*IF(Upgrades!$T$11="Magnetosphere",POWER(Upgrades!$U$11,J22),1)*IF(Upgrades!$T$12="Magnetosphere",POWER(Upgrades!$U$12,K22),1))*POWER(Upgrades!$P$6,E22)*POWER(Upgrades!$P$7,F22)*POWER(Upgrades!$P$8,G22)*POWER(Upgrades!$P$9,H22)*POWER(Upgrades!$P$10,I22)*POWER(Upgrades!$P$11,J22)*POWER(Upgrades!$P$12,K22)*60</f>
        <v/>
      </c>
      <c r="AE22" s="27">
        <f>(IF(K22=0,0,(Upgrades!$G$12+K22*Upgrades!$H$12)*POWER(Upgrades!$I$12,K22)))*(IF(Upgrades!$T$6="First Photons",POWER(Upgrades!$U$6,E22),1)*IF(Upgrades!$T$7="First Photons",POWER(Upgrades!$U$7,F22),1)*IF(Upgrades!$T$8="First Photons",POWER(Upgrades!$U$8,G22),1)*IF(Upgrades!$T$9="First Photons",POWER(Upgrades!$U$9,H22),1)*IF(Upgrades!$T$10="First Photons",POWER(Upgrades!$U$10,I22),1)*IF(Upgrades!$T$11="First Photons",POWER(Upgrades!$U$11,J22),1))*POWER(Upgrades!$P$6,E22)*POWER(Upgrades!$P$7,F22)*POWER(Upgrades!$P$8,G22)*POWER(Upgrades!$P$9,H22)*POWER(Upgrades!$P$10,I22)*POWER(Upgrades!$P$11,J22)*POWER(Upgrades!$P$12,K22)*60</f>
        <v/>
      </c>
      <c r="AF22" s="27">
        <f>Parameters!$B$9*POWER(Upgrades!$Q$6,E22)*POWER(Upgrades!$Q$7,F22)*POWER(Upgrades!$Q$8,G22)*POWER(Upgrades!$Q$9,H22)*POWER(Upgrades!$Q$10,I22)*POWER(Upgrades!$Q$11,J22)*POWER(Upgrades!$Q$12,K22)*(Parameters!$B$10*Parameters!$B$11+O22*60)</f>
        <v/>
      </c>
      <c r="AG22" s="22">
        <f>IF(E22&gt;=Upgrades!$E$6,"",Upgrades!$C$6*POWER(Upgrades!$D$6,E22))</f>
        <v/>
      </c>
      <c r="AH22" s="22">
        <f>IF(F22&gt;=Upgrades!$E$7,"",Upgrades!$C$7*POWER(Upgrades!$D$7,F22))</f>
        <v/>
      </c>
      <c r="AI22" s="22">
        <f>IF(G22&gt;=Upgrades!$E$8,"",Upgrades!$C$8*POWER(Upgrades!$D$8,G22))</f>
        <v/>
      </c>
      <c r="AJ22" s="22">
        <f>IF(H22&gt;=Upgrades!$E$9,"",Upgrades!$C$9*POWER(Upgrades!$D$9,H22))</f>
        <v/>
      </c>
      <c r="AK22" s="22">
        <f>IF(I22&gt;=Upgrades!$E$10,"",Upgrades!$C$10*POWER(Upgrades!$D$10,I22))</f>
        <v/>
      </c>
      <c r="AL22" s="22">
        <f>IF(J22&gt;=Upgrades!$E$11,"",Upgrades!$C$11*POWER(Upgrades!$D$11,J22))</f>
        <v/>
      </c>
      <c r="AM22" s="22">
        <f>IF(K22&gt;=Upgrades!$E$12,"",Upgrades!$C$12*POWER(Upgrades!$D$12,K22))</f>
        <v/>
      </c>
      <c r="AN22" s="26">
        <f>IF(AND(D22&gt;=Parameters!$B$18,(H22&gt;=Upgrades!$E$9)*(K22&gt;=Upgrades!$E$12)=1,L22=0),1,"")</f>
        <v/>
      </c>
      <c r="AO22" s="26">
        <f>IF(AND(D22&gt;=Parameters!$B$18,L22=0),1,"")</f>
        <v/>
      </c>
      <c r="AP22" s="22">
        <f>MIN(IF(ISNUMBER(AK22),AK22,9E15),IF(ISNUMBER(AL22),AL22,9E15),IF(ISNUMBER(AM22),AM22,9E15))</f>
        <v/>
      </c>
      <c r="AQ22" s="22">
        <f>MIN(IF(ISNUMBER(AG22),AG22,9E15),IF(ISNUMBER(AH22),AH22,9E15),IF(ISNUMBER(AI22),AI22,9E15),IF(ISNUMBER(AJ22),AJ22,9E15))</f>
        <v/>
      </c>
      <c r="AR22" s="29">
        <f>IF(AW22&gt;Parameters!$B$21*(MAX(IF(AND(NOT(AND(AO22=1,AN22&lt;&gt;1)),ISNUMBER(AG22),AG22&lt;=T22),AS22,0),IF(AND(NOT(AND(AO22=1,AN22&lt;&gt;1)),ISNUMBER(AH22),AH22&lt;=T22),AT22,0),IF(AND(NOT(AND(AO22=1,AN22&lt;&gt;1)),ISNUMBER(AI22),AI22&lt;=T22),AU22,0),IF(AND(ISNUMBER(AJ22),AJ22&lt;=T22),AV22,0))),TRUE,FALSE)</f>
        <v/>
      </c>
      <c r="AS22" s="32">
        <f>IFERROR(Upgrades!$H$6*(POWER(Upgrades!$P$6,E22)*POWER(Upgrades!$P$7,F22)*POWER(Upgrades!$P$8,G22)*POWER(Upgrades!$P$9,H22)*POWER(Upgrades!$P$10,I22)*POWER(Upgrades!$P$11,J22)*POWER(Upgrades!$P$12,K22))*(IF(Upgrades!$T$7="Solar Wind",POWER(Upgrades!$U$7,F22),1)*IF(Upgrades!$T$8="Solar Wind",POWER(Upgrades!$U$8,G22),1)*IF(Upgrades!$T$9="Solar Wind",POWER(Upgrades!$U$9,H22),1)*IF(Upgrades!$T$10="Solar Wind",POWER(Upgrades!$U$10,I22),1)*IF(Upgrades!$T$11="Solar Wind",POWER(Upgrades!$U$11,J22),1)*IF(Upgrades!$T$12="Solar Wind",POWER(Upgrades!$U$12,K22),1))/AG22,0)</f>
        <v/>
      </c>
      <c r="AT22" s="32">
        <f>IFERROR(Upgrades!$H$7*(POWER(Upgrades!$P$6,E22)*POWER(Upgrades!$P$7,F22)*POWER(Upgrades!$P$8,G22)*POWER(Upgrades!$P$9,H22)*POWER(Upgrades!$P$10,I22)*POWER(Upgrades!$P$11,J22)*POWER(Upgrades!$P$12,K22))*(IF(Upgrades!$T$6="Asteroid Belt",POWER(Upgrades!$U$6,E22),1)*IF(Upgrades!$T$8="Asteroid Belt",POWER(Upgrades!$U$8,G22),1)*IF(Upgrades!$T$9="Asteroid Belt",POWER(Upgrades!$U$9,H22),1)*IF(Upgrades!$T$10="Asteroid Belt",POWER(Upgrades!$U$10,I22),1)*IF(Upgrades!$T$11="Asteroid Belt",POWER(Upgrades!$U$11,J22),1)*IF(Upgrades!$T$12="Asteroid Belt",POWER(Upgrades!$U$12,K22),1))/AH22,0)</f>
        <v/>
      </c>
      <c r="AU22" s="32">
        <f>IFERROR(Upgrades!$K$8*(POWER(Upgrades!$Q$6,E22)*POWER(Upgrades!$Q$7,F22)*POWER(Upgrades!$Q$8,G22)*POWER(Upgrades!$Q$9,H22)*POWER(Upgrades!$Q$10,I22)*POWER(Upgrades!$Q$11,J22)*POWER(Upgrades!$Q$12,K22))*(IF(Upgrades!$T$6="Stellar Coupling",POWER(Upgrades!$U$6,E22),1)*IF(Upgrades!$T$7="Stellar Coupling",POWER(Upgrades!$U$7,F22),1)*IF(Upgrades!$T$9="Stellar Coupling",POWER(Upgrades!$U$9,H22),1)*IF(Upgrades!$T$10="Stellar Coupling",POWER(Upgrades!$U$10,I22),1)*IF(Upgrades!$T$11="Stellar Coupling",POWER(Upgrades!$U$11,J22),1)*IF(Upgrades!$T$12="Stellar Coupling",POWER(Upgrades!$U$12,K22),1))*Parameters!$B$10*Parameters!$B$11/60/AI22,0)</f>
        <v/>
      </c>
      <c r="AV22" s="32">
        <f>IFERROR(Upgrades!$H$9*(POWER(Upgrades!$P$6,E22)*POWER(Upgrades!$P$7,F22)*POWER(Upgrades!$P$8,G22)*POWER(Upgrades!$P$9,H22)*POWER(Upgrades!$P$10,I22)*POWER(Upgrades!$P$11,J22)*POWER(Upgrades!$P$12,K22))*(IF(Upgrades!$T$6="Magnetosphere",POWER(Upgrades!$U$6,E22),1)*IF(Upgrades!$T$7="Magnetosphere",POWER(Upgrades!$U$7,F22),1)*IF(Upgrades!$T$8="Magnetosphere",POWER(Upgrades!$U$8,G22),1)*IF(Upgrades!$T$10="Magnetosphere",POWER(Upgrades!$U$10,I22),1)*IF(Upgrades!$T$11="Magnetosphere",POWER(Upgrades!$U$11,J22),1)*IF(Upgrades!$T$12="Magnetosphere",POWER(Upgrades!$U$12,K22),1))/AJ22,0)</f>
        <v/>
      </c>
      <c r="AW22" s="32">
        <f>MAX(IF(I22&gt;0,0,IFERROR(0.25*N22/Upgrades!$C$10,0)),IF(J22&gt;0,0,IFERROR(0.5*((IF(G22=0,0,(Upgrades!$J$8+G22*Upgrades!$K$8)*POWER(Upgrades!$L$8,G22)))*(IF(Upgrades!$T$6="Stellar Coupling",POWER(Upgrades!$U$6,E22),1)*IF(Upgrades!$T$7="Stellar Coupling",POWER(Upgrades!$U$7,F22),1)*IF(Upgrades!$T$9="Stellar Coupling",POWER(Upgrades!$U$9,H22),1)*IF(Upgrades!$T$10="Stellar Coupling",POWER(Upgrades!$U$10,I22),1)*IF(Upgrades!$T$11="Stellar Coupling",POWER(Upgrades!$U$11,J22),1)*IF(Upgrades!$T$12="Stellar Coupling",POWER(Upgrades!$U$12,K22),1))*(POWER(Upgrades!$Q$6,E22)*POWER(Upgrades!$Q$7,F22)*POWER(Upgrades!$Q$8,G22)*POWER(Upgrades!$Q$9,H22)*POWER(Upgrades!$Q$10,I22)*POWER(Upgrades!$Q$11,J22)*POWER(Upgrades!$Q$12,K22))*Parameters!$B$10*Parameters!$B$11/60)/Upgrades!$C$11,0)),IF(K22&gt;0,0,IFERROR((1.0*(POWER(Upgrades!$P$6,E22)*POWER(Upgrades!$P$7,F22)*POWER(Upgrades!$P$8,G22)*POWER(Upgrades!$P$9,H22)*POWER(Upgrades!$P$10,I22)*POWER(Upgrades!$P$11,J22)*POWER(Upgrades!$P$12,K22))+0.20*M22*Parameters!$B$10*Parameters!$B$11/60)/Upgrades!$C$12,0)),IF(AND(ISNUMBER(AG22),AG22&gt;T22),AS22,0),IF(AND(ISNUMBER(AH22),AH22&gt;T22),AT22,0),IF(AND(ISNUMBER(AI22),AI22&gt;T22),AU22,0),IF(AND(ISNUMBER(AJ22),AJ22&gt;T22),AV22,0))</f>
        <v/>
      </c>
      <c r="AX22" s="29">
        <f>IF(AN22=1,"transition",IF(MIN(IF(AND(I22=0,ISNUMBER(AK22),AK22&lt;=T22),AK22,9E15),IF(AND(J22=0,ISNUMBER(AL22),AL22&lt;=T22),AL22,9E15),IF(AND(K22=0,ISNUMBER(AM22),AM22&lt;=T22),AM22,9E15))&lt;9E15,IF(AND(AND(I22=0,ISNUMBER(AK22),AK22&lt;=T22),AK22=MIN(IF(AND(I22=0,ISNUMBER(AK22),AK22&lt;=T22),AK22,9E15),IF(AND(J22=0,ISNUMBER(AL22),AL22&lt;=T22),AL22,9E15),IF(AND(K22=0,ISNUMBER(AM22),AM22&lt;=T22),AM22,9E15))),"OR",IF(AND(AND(J22=0,ISNUMBER(AL22),AL22&lt;=T22),AL22=MIN(IF(AND(I22=0,ISNUMBER(AK22),AK22&lt;=T22),AK22,9E15),IF(AND(J22=0,ISNUMBER(AL22),AL22&lt;=T22),AL22,9E15),IF(AND(K22=0,ISNUMBER(AM22),AM22&lt;=T22),AM22,9E15))),"HP","FP")),IF(AR22=TRUE,"",IF(MAX(IF(AND(NOT(AND(AO22=1,AN22&lt;&gt;1)),ISNUMBER(AG22),AG22&lt;=T22),AS22,0),IF(AND(NOT(AND(AO22=1,AN22&lt;&gt;1)),ISNUMBER(AH22),AH22&lt;=T22),AT22,0),IF(AND(NOT(AND(AO22=1,AN22&lt;&gt;1)),ISNUMBER(AI22),AI22&lt;=T22),AU22,0),IF(AND(ISNUMBER(AJ22),AJ22&lt;=T22),AV22,0))&lt;=0,"",IF(AND(IF(AND(NOT(AND(AO22=1,AN22&lt;&gt;1)),ISNUMBER(AG22),AG22&lt;=T22),AS22,0)&gt;0,IF(AND(NOT(AND(AO22=1,AN22&lt;&gt;1)),ISNUMBER(AG22),AG22&lt;=T22),AS22,0)=MAX(IF(AND(NOT(AND(AO22=1,AN22&lt;&gt;1)),ISNUMBER(AG22),AG22&lt;=T22),AS22,0),IF(AND(NOT(AND(AO22=1,AN22&lt;&gt;1)),ISNUMBER(AH22),AH22&lt;=T22),AT22,0),IF(AND(NOT(AND(AO22=1,AN22&lt;&gt;1)),ISNUMBER(AI22),AI22&lt;=T22),AU22,0),IF(AND(ISNUMBER(AJ22),AJ22&lt;=T22),AV22,0))),"SW",IF(AND(IF(AND(NOT(AND(AO22=1,AN22&lt;&gt;1)),ISNUMBER(AH22),AH22&lt;=T22),AT22,0)&gt;0,IF(AND(NOT(AND(AO22=1,AN22&lt;&gt;1)),ISNUMBER(AH22),AH22&lt;=T22),AT22,0)=MAX(IF(AND(NOT(AND(AO22=1,AN22&lt;&gt;1)),ISNUMBER(AG22),AG22&lt;=T22),AS22,0),IF(AND(NOT(AND(AO22=1,AN22&lt;&gt;1)),ISNUMBER(AH22),AH22&lt;=T22),AT22,0),IF(AND(NOT(AND(AO22=1,AN22&lt;&gt;1)),ISNUMBER(AI22),AI22&lt;=T22),AU22,0),IF(AND(ISNUMBER(AJ22),AJ22&lt;=T22),AV22,0))),"AB",IF(AND(IF(AND(NOT(AND(AO22=1,AN22&lt;&gt;1)),ISNUMBER(AI22),AI22&lt;=T22),AU22,0)&gt;0,IF(AND(NOT(AND(AO22=1,AN22&lt;&gt;1)),ISNUMBER(AI22),AI22&lt;=T22),AU22,0)=MAX(IF(AND(NOT(AND(AO22=1,AN22&lt;&gt;1)),ISNUMBER(AG22),AG22&lt;=T22),AS22,0),IF(AND(NOT(AND(AO22=1,AN22&lt;&gt;1)),ISNUMBER(AH22),AH22&lt;=T22),AT22,0),IF(AND(NOT(AND(AO22=1,AN22&lt;&gt;1)),ISNUMBER(AI22),AI22&lt;=T22),AU22,0),IF(AND(ISNUMBER(AJ22),AJ22&lt;=T22),AV22,0))),"SC","Mag")))))))</f>
        <v/>
      </c>
    </row>
    <row r="23">
      <c r="A23" s="26" t="n">
        <v>18</v>
      </c>
      <c r="B23" s="27">
        <f>A23*10/60</f>
        <v/>
      </c>
      <c r="C23" s="22">
        <f>X22</f>
        <v/>
      </c>
      <c r="D23" s="27">
        <f>D22+W22</f>
        <v/>
      </c>
      <c r="E23" s="26">
        <f>E22+IF(U22="SW",1,0)</f>
        <v/>
      </c>
      <c r="F23" s="26">
        <f>F22+IF(U22="AB",1,0)</f>
        <v/>
      </c>
      <c r="G23" s="26">
        <f>G22+IF(U22="SC",1,0)</f>
        <v/>
      </c>
      <c r="H23" s="26">
        <f>H22+IF(U22="Mag",1,0)</f>
        <v/>
      </c>
      <c r="I23" s="26">
        <f>MAX(I22,IF(U22="OR",1,0))</f>
        <v/>
      </c>
      <c r="J23" s="26">
        <f>MAX(J22,IF(U22="HP",1,0))</f>
        <v/>
      </c>
      <c r="K23" s="26">
        <f>MAX(K22,IF(U22="FP",1,0))</f>
        <v/>
      </c>
      <c r="L23" s="26">
        <f>MAX(L22,IF(U22="transition",1,0))</f>
        <v/>
      </c>
      <c r="M23" s="28">
        <f>(Parameters!$B$9+(IF(E23=0,0,(Upgrades!$J$6+E23*Upgrades!$K$6)*POWER(Upgrades!$L$6,E23)))*(IF(Upgrades!$T$7="Solar Wind",POWER(Upgrades!$U$7,F23),1)*IF(Upgrades!$T$8="Solar Wind",POWER(Upgrades!$U$8,G23),1)*IF(Upgrades!$T$9="Solar Wind",POWER(Upgrades!$U$9,H23),1)*IF(Upgrades!$T$10="Solar Wind",POWER(Upgrades!$U$10,I23),1)*IF(Upgrades!$T$11="Solar Wind",POWER(Upgrades!$U$11,J23),1)*IF(Upgrades!$T$12="Solar Wind",POWER(Upgrades!$U$12,K23),1))+(IF(F23=0,0,(Upgrades!$J$7+F23*Upgrades!$K$7)*POWER(Upgrades!$L$7,F23)))*(IF(Upgrades!$T$6="Asteroid Belt",POWER(Upgrades!$U$6,E23),1)*IF(Upgrades!$T$8="Asteroid Belt",POWER(Upgrades!$U$8,G23),1)*IF(Upgrades!$T$9="Asteroid Belt",POWER(Upgrades!$U$9,H23),1)*IF(Upgrades!$T$10="Asteroid Belt",POWER(Upgrades!$U$10,I23),1)*IF(Upgrades!$T$11="Asteroid Belt",POWER(Upgrades!$U$11,J23),1)*IF(Upgrades!$T$12="Asteroid Belt",POWER(Upgrades!$U$12,K23),1))+(IF(G23=0,0,(Upgrades!$J$8+G23*Upgrades!$K$8)*POWER(Upgrades!$L$8,G23)))*(IF(Upgrades!$T$6="Stellar Coupling",POWER(Upgrades!$U$6,E23),1)*IF(Upgrades!$T$7="Stellar Coupling",POWER(Upgrades!$U$7,F23),1)*IF(Upgrades!$T$9="Stellar Coupling",POWER(Upgrades!$U$9,H23),1)*IF(Upgrades!$T$10="Stellar Coupling",POWER(Upgrades!$U$10,I23),1)*IF(Upgrades!$T$11="Stellar Coupling",POWER(Upgrades!$U$11,J23),1)*IF(Upgrades!$T$12="Stellar Coupling",POWER(Upgrades!$U$12,K23),1))+(IF(H23=0,0,(Upgrades!$J$9+H23*Upgrades!$K$9)*POWER(Upgrades!$L$9,H23)))*(IF(Upgrades!$T$6="Magnetosphere",POWER(Upgrades!$U$6,E23),1)*IF(Upgrades!$T$7="Magnetosphere",POWER(Upgrades!$U$7,F23),1)*IF(Upgrades!$T$8="Magnetosphere",POWER(Upgrades!$U$8,G23),1)*IF(Upgrades!$T$10="Magnetosphere",POWER(Upgrades!$U$10,I23),1)*IF(Upgrades!$T$11="Magnetosphere",POWER(Upgrades!$U$11,J23),1)*IF(Upgrades!$T$12="Magnetosphere",POWER(Upgrades!$U$12,K23),1))+(IF(I23=0,0,(Upgrades!$J$10+I23*Upgrades!$K$10)*POWER(Upgrades!$L$10,I23)))*(IF(Upgrades!$T$6="Orbital Resonance",POWER(Upgrades!$U$6,E23),1)*IF(Upgrades!$T$7="Orbital Resonance",POWER(Upgrades!$U$7,F23),1)*IF(Upgrades!$T$8="Orbital Resonance",POWER(Upgrades!$U$8,G23),1)*IF(Upgrades!$T$9="Orbital Resonance",POWER(Upgrades!$U$9,H23),1)*IF(Upgrades!$T$11="Orbital Resonance",POWER(Upgrades!$U$11,J23),1)*IF(Upgrades!$T$12="Orbital Resonance",POWER(Upgrades!$U$12,K23),1))+(IF(J23=0,0,(Upgrades!$J$11+J23*Upgrades!$K$11)*POWER(Upgrades!$L$11,J23)))*(IF(Upgrades!$T$6="Heliopause",POWER(Upgrades!$U$6,E23),1)*IF(Upgrades!$T$7="Heliopause",POWER(Upgrades!$U$7,F23),1)*IF(Upgrades!$T$8="Heliopause",POWER(Upgrades!$U$8,G23),1)*IF(Upgrades!$T$9="Heliopause",POWER(Upgrades!$U$9,H23),1)*IF(Upgrades!$T$10="Heliopause",POWER(Upgrades!$U$10,I23),1)*IF(Upgrades!$T$12="Heliopause",POWER(Upgrades!$U$12,K23),1))+(IF(K23=0,0,(Upgrades!$J$12+K23*Upgrades!$K$12)*POWER(Upgrades!$L$12,K23)))*(IF(Upgrades!$T$6="First Photons",POWER(Upgrades!$U$6,E23),1)*IF(Upgrades!$T$7="First Photons",POWER(Upgrades!$U$7,F23),1)*IF(Upgrades!$T$8="First Photons",POWER(Upgrades!$U$8,G23),1)*IF(Upgrades!$T$9="First Photons",POWER(Upgrades!$U$9,H23),1)*IF(Upgrades!$T$10="First Photons",POWER(Upgrades!$U$10,I23),1)*IF(Upgrades!$T$11="First Photons",POWER(Upgrades!$U$11,J23),1)))*POWER(Upgrades!$Q$6,E23)*POWER(Upgrades!$Q$7,F23)*POWER(Upgrades!$Q$8,G23)*POWER(Upgrades!$Q$9,H23)*POWER(Upgrades!$Q$10,I23)*POWER(Upgrades!$Q$11,J23)*POWER(Upgrades!$Q$12,K23)</f>
        <v/>
      </c>
      <c r="N23" s="28">
        <f>((IF(E23=0,0,(Upgrades!$G$6+E23*Upgrades!$H$6)*POWER(Upgrades!$I$6,E23)))*(IF(Upgrades!$T$7="Solar Wind",POWER(Upgrades!$U$7,F23),1)*IF(Upgrades!$T$8="Solar Wind",POWER(Upgrades!$U$8,G23),1)*IF(Upgrades!$T$9="Solar Wind",POWER(Upgrades!$U$9,H23),1)*IF(Upgrades!$T$10="Solar Wind",POWER(Upgrades!$U$10,I23),1)*IF(Upgrades!$T$11="Solar Wind",POWER(Upgrades!$U$11,J23),1)*IF(Upgrades!$T$12="Solar Wind",POWER(Upgrades!$U$12,K23),1))+(IF(F23=0,0,(Upgrades!$G$7+F23*Upgrades!$H$7)*POWER(Upgrades!$I$7,F23)))*(IF(Upgrades!$T$6="Asteroid Belt",POWER(Upgrades!$U$6,E23),1)*IF(Upgrades!$T$8="Asteroid Belt",POWER(Upgrades!$U$8,G23),1)*IF(Upgrades!$T$9="Asteroid Belt",POWER(Upgrades!$U$9,H23),1)*IF(Upgrades!$T$10="Asteroid Belt",POWER(Upgrades!$U$10,I23),1)*IF(Upgrades!$T$11="Asteroid Belt",POWER(Upgrades!$U$11,J23),1)*IF(Upgrades!$T$12="Asteroid Belt",POWER(Upgrades!$U$12,K23),1))+(IF(G23=0,0,(Upgrades!$G$8+G23*Upgrades!$H$8)*POWER(Upgrades!$I$8,G23)))*(IF(Upgrades!$T$6="Stellar Coupling",POWER(Upgrades!$U$6,E23),1)*IF(Upgrades!$T$7="Stellar Coupling",POWER(Upgrades!$U$7,F23),1)*IF(Upgrades!$T$9="Stellar Coupling",POWER(Upgrades!$U$9,H23),1)*IF(Upgrades!$T$10="Stellar Coupling",POWER(Upgrades!$U$10,I23),1)*IF(Upgrades!$T$11="Stellar Coupling",POWER(Upgrades!$U$11,J23),1)*IF(Upgrades!$T$12="Stellar Coupling",POWER(Upgrades!$U$12,K23),1))+(IF(H23=0,0,(Upgrades!$G$9+H23*Upgrades!$H$9)*POWER(Upgrades!$I$9,H23)))*(IF(Upgrades!$T$6="Magnetosphere",POWER(Upgrades!$U$6,E23),1)*IF(Upgrades!$T$7="Magnetosphere",POWER(Upgrades!$U$7,F23),1)*IF(Upgrades!$T$8="Magnetosphere",POWER(Upgrades!$U$8,G23),1)*IF(Upgrades!$T$10="Magnetosphere",POWER(Upgrades!$U$10,I23),1)*IF(Upgrades!$T$11="Magnetosphere",POWER(Upgrades!$U$11,J23),1)*IF(Upgrades!$T$12="Magnetosphere",POWER(Upgrades!$U$12,K23),1))+(IF(I23=0,0,(Upgrades!$G$10+I23*Upgrades!$H$10)*POWER(Upgrades!$I$10,I23)))*(IF(Upgrades!$T$6="Orbital Resonance",POWER(Upgrades!$U$6,E23),1)*IF(Upgrades!$T$7="Orbital Resonance",POWER(Upgrades!$U$7,F23),1)*IF(Upgrades!$T$8="Orbital Resonance",POWER(Upgrades!$U$8,G23),1)*IF(Upgrades!$T$9="Orbital Resonance",POWER(Upgrades!$U$9,H23),1)*IF(Upgrades!$T$11="Orbital Resonance",POWER(Upgrades!$U$11,J23),1)*IF(Upgrades!$T$12="Orbital Resonance",POWER(Upgrades!$U$12,K23),1))+(IF(J23=0,0,(Upgrades!$G$11+J23*Upgrades!$H$11)*POWER(Upgrades!$I$11,J23)))*(IF(Upgrades!$T$6="Heliopause",POWER(Upgrades!$U$6,E23),1)*IF(Upgrades!$T$7="Heliopause",POWER(Upgrades!$U$7,F23),1)*IF(Upgrades!$T$8="Heliopause",POWER(Upgrades!$U$8,G23),1)*IF(Upgrades!$T$9="Heliopause",POWER(Upgrades!$U$9,H23),1)*IF(Upgrades!$T$10="Heliopause",POWER(Upgrades!$U$10,I23),1)*IF(Upgrades!$T$12="Heliopause",POWER(Upgrades!$U$12,K23),1))+(IF(K23=0,0,(Upgrades!$G$12+K23*Upgrades!$H$12)*POWER(Upgrades!$I$12,K23)))*(IF(Upgrades!$T$6="First Photons",POWER(Upgrades!$U$6,E23),1)*IF(Upgrades!$T$7="First Photons",POWER(Upgrades!$U$7,F23),1)*IF(Upgrades!$T$8="First Photons",POWER(Upgrades!$U$8,G23),1)*IF(Upgrades!$T$9="First Photons",POWER(Upgrades!$U$9,H23),1)*IF(Upgrades!$T$10="First Photons",POWER(Upgrades!$U$10,I23),1)*IF(Upgrades!$T$11="First Photons",POWER(Upgrades!$U$11,J23),1)))*POWER(Upgrades!$P$6,E23)*POWER(Upgrades!$P$7,F23)*POWER(Upgrades!$P$8,G23)*POWER(Upgrades!$P$9,H23)*POWER(Upgrades!$P$10,I23)*POWER(Upgrades!$P$11,J23)*POWER(Upgrades!$P$12,K23)</f>
        <v/>
      </c>
      <c r="O23" s="28">
        <f>((IF(E23=0,0,(Upgrades!$M$6+E23*Upgrades!$N$6)*POWER(Upgrades!$O$6,E23)))*(IF(Upgrades!$T$7="Solar Wind",POWER(Upgrades!$U$7,F23),1)*IF(Upgrades!$T$8="Solar Wind",POWER(Upgrades!$U$8,G23),1)*IF(Upgrades!$T$9="Solar Wind",POWER(Upgrades!$U$9,H23),1)*IF(Upgrades!$T$10="Solar Wind",POWER(Upgrades!$U$10,I23),1)*IF(Upgrades!$T$11="Solar Wind",POWER(Upgrades!$U$11,J23),1)*IF(Upgrades!$T$12="Solar Wind",POWER(Upgrades!$U$12,K23),1))+(IF(F23=0,0,(Upgrades!$M$7+F23*Upgrades!$N$7)*POWER(Upgrades!$O$7,F23)))*(IF(Upgrades!$T$6="Asteroid Belt",POWER(Upgrades!$U$6,E23),1)*IF(Upgrades!$T$8="Asteroid Belt",POWER(Upgrades!$U$8,G23),1)*IF(Upgrades!$T$9="Asteroid Belt",POWER(Upgrades!$U$9,H23),1)*IF(Upgrades!$T$10="Asteroid Belt",POWER(Upgrades!$U$10,I23),1)*IF(Upgrades!$T$11="Asteroid Belt",POWER(Upgrades!$U$11,J23),1)*IF(Upgrades!$T$12="Asteroid Belt",POWER(Upgrades!$U$12,K23),1))+(IF(G23=0,0,(Upgrades!$M$8+G23*Upgrades!$N$8)*POWER(Upgrades!$O$8,G23)))*(IF(Upgrades!$T$6="Stellar Coupling",POWER(Upgrades!$U$6,E23),1)*IF(Upgrades!$T$7="Stellar Coupling",POWER(Upgrades!$U$7,F23),1)*IF(Upgrades!$T$9="Stellar Coupling",POWER(Upgrades!$U$9,H23),1)*IF(Upgrades!$T$10="Stellar Coupling",POWER(Upgrades!$U$10,I23),1)*IF(Upgrades!$T$11="Stellar Coupling",POWER(Upgrades!$U$11,J23),1)*IF(Upgrades!$T$12="Stellar Coupling",POWER(Upgrades!$U$12,K23),1))+(IF(H23=0,0,(Upgrades!$M$9+H23*Upgrades!$N$9)*POWER(Upgrades!$O$9,H23)))*(IF(Upgrades!$T$6="Magnetosphere",POWER(Upgrades!$U$6,E23),1)*IF(Upgrades!$T$7="Magnetosphere",POWER(Upgrades!$U$7,F23),1)*IF(Upgrades!$T$8="Magnetosphere",POWER(Upgrades!$U$8,G23),1)*IF(Upgrades!$T$10="Magnetosphere",POWER(Upgrades!$U$10,I23),1)*IF(Upgrades!$T$11="Magnetosphere",POWER(Upgrades!$U$11,J23),1)*IF(Upgrades!$T$12="Magnetosphere",POWER(Upgrades!$U$12,K23),1))+(IF(I23=0,0,(Upgrades!$M$10+I23*Upgrades!$N$10)*POWER(Upgrades!$O$10,I23)))*(IF(Upgrades!$T$6="Orbital Resonance",POWER(Upgrades!$U$6,E23),1)*IF(Upgrades!$T$7="Orbital Resonance",POWER(Upgrades!$U$7,F23),1)*IF(Upgrades!$T$8="Orbital Resonance",POWER(Upgrades!$U$8,G23),1)*IF(Upgrades!$T$9="Orbital Resonance",POWER(Upgrades!$U$9,H23),1)*IF(Upgrades!$T$11="Orbital Resonance",POWER(Upgrades!$U$11,J23),1)*IF(Upgrades!$T$12="Orbital Resonance",POWER(Upgrades!$U$12,K23),1))+(IF(J23=0,0,(Upgrades!$M$11+J23*Upgrades!$N$11)*POWER(Upgrades!$O$11,J23)))*(IF(Upgrades!$T$6="Heliopause",POWER(Upgrades!$U$6,E23),1)*IF(Upgrades!$T$7="Heliopause",POWER(Upgrades!$U$7,F23),1)*IF(Upgrades!$T$8="Heliopause",POWER(Upgrades!$U$8,G23),1)*IF(Upgrades!$T$9="Heliopause",POWER(Upgrades!$U$9,H23),1)*IF(Upgrades!$T$10="Heliopause",POWER(Upgrades!$U$10,I23),1)*IF(Upgrades!$T$12="Heliopause",POWER(Upgrades!$U$12,K23),1))+(IF(K23=0,0,(Upgrades!$M$12+K23*Upgrades!$N$12)*POWER(Upgrades!$O$12,K23)))*(IF(Upgrades!$T$6="First Photons",POWER(Upgrades!$U$6,E23),1)*IF(Upgrades!$T$7="First Photons",POWER(Upgrades!$U$7,F23),1)*IF(Upgrades!$T$8="First Photons",POWER(Upgrades!$U$8,G23),1)*IF(Upgrades!$T$9="First Photons",POWER(Upgrades!$U$9,H23),1)*IF(Upgrades!$T$10="First Photons",POWER(Upgrades!$U$10,I23),1)*IF(Upgrades!$T$11="First Photons",POWER(Upgrades!$U$11,J23),1)))*POWER(Upgrades!$R$6,E23)*POWER(Upgrades!$R$7,F23)*POWER(Upgrades!$R$8,G23)*POWER(Upgrades!$R$9,H23)*POWER(Upgrades!$R$10,I23)*POWER(Upgrades!$R$11,J23)*POWER(Upgrades!$R$12,K23)</f>
        <v/>
      </c>
      <c r="P23" s="27">
        <f>IF(L23=1,0,M23*Parameters!$B$10/60*Parameters!$B$11*10)</f>
        <v/>
      </c>
      <c r="Q23" s="27">
        <f>IF(L23=1,0,O23*M23*10)</f>
        <v/>
      </c>
      <c r="R23" s="27">
        <f>IF(L23=1,0,N23*10)</f>
        <v/>
      </c>
      <c r="S23" s="27">
        <f>P23+Q23+R23</f>
        <v/>
      </c>
      <c r="T23" s="22">
        <f>C23+S23</f>
        <v/>
      </c>
      <c r="U23" s="33">
        <f>AX23</f>
        <v/>
      </c>
      <c r="V23" s="22">
        <f>IF(U23="",0,IF(U23="transition",0,IF(U23="SW",AG23,IF(U23="AB",AH23,IF(U23="SC",AI23,IF(U23="Mag",AJ23,IF(U23="OR",AK23,IF(U23="HP",AL23,IF(U23="FP",AM23,0)))))))))</f>
        <v/>
      </c>
      <c r="W23" s="27">
        <f>IF(U23="OR",Upgrades!$F$10,IF(U23="HP",Upgrades!$F$11,IF(U23="transition",-Parameters!$B$18,0)))</f>
        <v/>
      </c>
      <c r="X23" s="22">
        <f>T23-V23</f>
        <v/>
      </c>
      <c r="Y23" s="30">
        <f>M23*Parameters!$B$10/60*Parameters!$B$11+O23*M23+N23</f>
        <v/>
      </c>
      <c r="Z23" s="34">
        <f>IF(U23="transition","→ Tier 2 (Stellar Neighborhood)",IF(U23="FP","First Photons — light begins, system quickens",IF(U23="HP","Heliopause acquired",IF(U23="OR","Orbital Resonance — passive multiplier active",IF(AND(AO23=1,L23=0,AN23&lt;&gt;1),"Cohesion ready (waiting on completionist upgrades)","")))))</f>
        <v/>
      </c>
      <c r="AA23" s="27">
        <f>(IF(E23=0,0,(Upgrades!$G$6+E23*Upgrades!$H$6)*POWER(Upgrades!$I$6,E23)))*(IF(Upgrades!$T$7="Solar Wind",POWER(Upgrades!$U$7,F23),1)*IF(Upgrades!$T$8="Solar Wind",POWER(Upgrades!$U$8,G23),1)*IF(Upgrades!$T$9="Solar Wind",POWER(Upgrades!$U$9,H23),1)*IF(Upgrades!$T$10="Solar Wind",POWER(Upgrades!$U$10,I23),1)*IF(Upgrades!$T$11="Solar Wind",POWER(Upgrades!$U$11,J23),1)*IF(Upgrades!$T$12="Solar Wind",POWER(Upgrades!$U$12,K23),1))*POWER(Upgrades!$P$6,E23)*POWER(Upgrades!$P$7,F23)*POWER(Upgrades!$P$8,G23)*POWER(Upgrades!$P$9,H23)*POWER(Upgrades!$P$10,I23)*POWER(Upgrades!$P$11,J23)*POWER(Upgrades!$P$12,K23)*60</f>
        <v/>
      </c>
      <c r="AB23" s="27">
        <f>(IF(F23=0,0,(Upgrades!$G$7+F23*Upgrades!$H$7)*POWER(Upgrades!$I$7,F23)))*(IF(Upgrades!$T$6="Asteroid Belt",POWER(Upgrades!$U$6,E23),1)*IF(Upgrades!$T$8="Asteroid Belt",POWER(Upgrades!$U$8,G23),1)*IF(Upgrades!$T$9="Asteroid Belt",POWER(Upgrades!$U$9,H23),1)*IF(Upgrades!$T$10="Asteroid Belt",POWER(Upgrades!$U$10,I23),1)*IF(Upgrades!$T$11="Asteroid Belt",POWER(Upgrades!$U$11,J23),1)*IF(Upgrades!$T$12="Asteroid Belt",POWER(Upgrades!$U$12,K23),1))*POWER(Upgrades!$P$6,E23)*POWER(Upgrades!$P$7,F23)*POWER(Upgrades!$P$8,G23)*POWER(Upgrades!$P$9,H23)*POWER(Upgrades!$P$10,I23)*POWER(Upgrades!$P$11,J23)*POWER(Upgrades!$P$12,K23)*60</f>
        <v/>
      </c>
      <c r="AC23" s="27">
        <f>(IF(G23=0,0,(Upgrades!$J$8+G23*Upgrades!$K$8)*POWER(Upgrades!$L$8,G23)))*(IF(Upgrades!$T$6="Stellar Coupling",POWER(Upgrades!$U$6,E23),1)*IF(Upgrades!$T$7="Stellar Coupling",POWER(Upgrades!$U$7,F23),1)*IF(Upgrades!$T$9="Stellar Coupling",POWER(Upgrades!$U$9,H23),1)*IF(Upgrades!$T$10="Stellar Coupling",POWER(Upgrades!$U$10,I23),1)*IF(Upgrades!$T$11="Stellar Coupling",POWER(Upgrades!$U$11,J23),1)*IF(Upgrades!$T$12="Stellar Coupling",POWER(Upgrades!$U$12,K23),1))*POWER(Upgrades!$Q$6,E23)*POWER(Upgrades!$Q$7,F23)*POWER(Upgrades!$Q$8,G23)*POWER(Upgrades!$Q$9,H23)*POWER(Upgrades!$Q$10,I23)*POWER(Upgrades!$Q$11,J23)*POWER(Upgrades!$Q$12,K23)*Parameters!$B$10*Parameters!$B$11</f>
        <v/>
      </c>
      <c r="AD23" s="27">
        <f>(IF(H23=0,0,(Upgrades!$G$9+H23*Upgrades!$H$9)*POWER(Upgrades!$I$9,H23)))*(IF(Upgrades!$T$6="Magnetosphere",POWER(Upgrades!$U$6,E23),1)*IF(Upgrades!$T$7="Magnetosphere",POWER(Upgrades!$U$7,F23),1)*IF(Upgrades!$T$8="Magnetosphere",POWER(Upgrades!$U$8,G23),1)*IF(Upgrades!$T$10="Magnetosphere",POWER(Upgrades!$U$10,I23),1)*IF(Upgrades!$T$11="Magnetosphere",POWER(Upgrades!$U$11,J23),1)*IF(Upgrades!$T$12="Magnetosphere",POWER(Upgrades!$U$12,K23),1))*POWER(Upgrades!$P$6,E23)*POWER(Upgrades!$P$7,F23)*POWER(Upgrades!$P$8,G23)*POWER(Upgrades!$P$9,H23)*POWER(Upgrades!$P$10,I23)*POWER(Upgrades!$P$11,J23)*POWER(Upgrades!$P$12,K23)*60</f>
        <v/>
      </c>
      <c r="AE23" s="27">
        <f>(IF(K23=0,0,(Upgrades!$G$12+K23*Upgrades!$H$12)*POWER(Upgrades!$I$12,K23)))*(IF(Upgrades!$T$6="First Photons",POWER(Upgrades!$U$6,E23),1)*IF(Upgrades!$T$7="First Photons",POWER(Upgrades!$U$7,F23),1)*IF(Upgrades!$T$8="First Photons",POWER(Upgrades!$U$8,G23),1)*IF(Upgrades!$T$9="First Photons",POWER(Upgrades!$U$9,H23),1)*IF(Upgrades!$T$10="First Photons",POWER(Upgrades!$U$10,I23),1)*IF(Upgrades!$T$11="First Photons",POWER(Upgrades!$U$11,J23),1))*POWER(Upgrades!$P$6,E23)*POWER(Upgrades!$P$7,F23)*POWER(Upgrades!$P$8,G23)*POWER(Upgrades!$P$9,H23)*POWER(Upgrades!$P$10,I23)*POWER(Upgrades!$P$11,J23)*POWER(Upgrades!$P$12,K23)*60</f>
        <v/>
      </c>
      <c r="AF23" s="27">
        <f>Parameters!$B$9*POWER(Upgrades!$Q$6,E23)*POWER(Upgrades!$Q$7,F23)*POWER(Upgrades!$Q$8,G23)*POWER(Upgrades!$Q$9,H23)*POWER(Upgrades!$Q$10,I23)*POWER(Upgrades!$Q$11,J23)*POWER(Upgrades!$Q$12,K23)*(Parameters!$B$10*Parameters!$B$11+O23*60)</f>
        <v/>
      </c>
      <c r="AG23" s="22">
        <f>IF(E23&gt;=Upgrades!$E$6,"",Upgrades!$C$6*POWER(Upgrades!$D$6,E23))</f>
        <v/>
      </c>
      <c r="AH23" s="22">
        <f>IF(F23&gt;=Upgrades!$E$7,"",Upgrades!$C$7*POWER(Upgrades!$D$7,F23))</f>
        <v/>
      </c>
      <c r="AI23" s="22">
        <f>IF(G23&gt;=Upgrades!$E$8,"",Upgrades!$C$8*POWER(Upgrades!$D$8,G23))</f>
        <v/>
      </c>
      <c r="AJ23" s="22">
        <f>IF(H23&gt;=Upgrades!$E$9,"",Upgrades!$C$9*POWER(Upgrades!$D$9,H23))</f>
        <v/>
      </c>
      <c r="AK23" s="22">
        <f>IF(I23&gt;=Upgrades!$E$10,"",Upgrades!$C$10*POWER(Upgrades!$D$10,I23))</f>
        <v/>
      </c>
      <c r="AL23" s="22">
        <f>IF(J23&gt;=Upgrades!$E$11,"",Upgrades!$C$11*POWER(Upgrades!$D$11,J23))</f>
        <v/>
      </c>
      <c r="AM23" s="22">
        <f>IF(K23&gt;=Upgrades!$E$12,"",Upgrades!$C$12*POWER(Upgrades!$D$12,K23))</f>
        <v/>
      </c>
      <c r="AN23" s="26">
        <f>IF(AND(D23&gt;=Parameters!$B$18,(H23&gt;=Upgrades!$E$9)*(K23&gt;=Upgrades!$E$12)=1,L23=0),1,"")</f>
        <v/>
      </c>
      <c r="AO23" s="26">
        <f>IF(AND(D23&gt;=Parameters!$B$18,L23=0),1,"")</f>
        <v/>
      </c>
      <c r="AP23" s="22">
        <f>MIN(IF(ISNUMBER(AK23),AK23,9E15),IF(ISNUMBER(AL23),AL23,9E15),IF(ISNUMBER(AM23),AM23,9E15))</f>
        <v/>
      </c>
      <c r="AQ23" s="22">
        <f>MIN(IF(ISNUMBER(AG23),AG23,9E15),IF(ISNUMBER(AH23),AH23,9E15),IF(ISNUMBER(AI23),AI23,9E15),IF(ISNUMBER(AJ23),AJ23,9E15))</f>
        <v/>
      </c>
      <c r="AR23" s="29">
        <f>IF(AW23&gt;Parameters!$B$21*(MAX(IF(AND(NOT(AND(AO23=1,AN23&lt;&gt;1)),ISNUMBER(AG23),AG23&lt;=T23),AS23,0),IF(AND(NOT(AND(AO23=1,AN23&lt;&gt;1)),ISNUMBER(AH23),AH23&lt;=T23),AT23,0),IF(AND(NOT(AND(AO23=1,AN23&lt;&gt;1)),ISNUMBER(AI23),AI23&lt;=T23),AU23,0),IF(AND(ISNUMBER(AJ23),AJ23&lt;=T23),AV23,0))),TRUE,FALSE)</f>
        <v/>
      </c>
      <c r="AS23" s="32">
        <f>IFERROR(Upgrades!$H$6*(POWER(Upgrades!$P$6,E23)*POWER(Upgrades!$P$7,F23)*POWER(Upgrades!$P$8,G23)*POWER(Upgrades!$P$9,H23)*POWER(Upgrades!$P$10,I23)*POWER(Upgrades!$P$11,J23)*POWER(Upgrades!$P$12,K23))*(IF(Upgrades!$T$7="Solar Wind",POWER(Upgrades!$U$7,F23),1)*IF(Upgrades!$T$8="Solar Wind",POWER(Upgrades!$U$8,G23),1)*IF(Upgrades!$T$9="Solar Wind",POWER(Upgrades!$U$9,H23),1)*IF(Upgrades!$T$10="Solar Wind",POWER(Upgrades!$U$10,I23),1)*IF(Upgrades!$T$11="Solar Wind",POWER(Upgrades!$U$11,J23),1)*IF(Upgrades!$T$12="Solar Wind",POWER(Upgrades!$U$12,K23),1))/AG23,0)</f>
        <v/>
      </c>
      <c r="AT23" s="32">
        <f>IFERROR(Upgrades!$H$7*(POWER(Upgrades!$P$6,E23)*POWER(Upgrades!$P$7,F23)*POWER(Upgrades!$P$8,G23)*POWER(Upgrades!$P$9,H23)*POWER(Upgrades!$P$10,I23)*POWER(Upgrades!$P$11,J23)*POWER(Upgrades!$P$12,K23))*(IF(Upgrades!$T$6="Asteroid Belt",POWER(Upgrades!$U$6,E23),1)*IF(Upgrades!$T$8="Asteroid Belt",POWER(Upgrades!$U$8,G23),1)*IF(Upgrades!$T$9="Asteroid Belt",POWER(Upgrades!$U$9,H23),1)*IF(Upgrades!$T$10="Asteroid Belt",POWER(Upgrades!$U$10,I23),1)*IF(Upgrades!$T$11="Asteroid Belt",POWER(Upgrades!$U$11,J23),1)*IF(Upgrades!$T$12="Asteroid Belt",POWER(Upgrades!$U$12,K23),1))/AH23,0)</f>
        <v/>
      </c>
      <c r="AU23" s="32">
        <f>IFERROR(Upgrades!$K$8*(POWER(Upgrades!$Q$6,E23)*POWER(Upgrades!$Q$7,F23)*POWER(Upgrades!$Q$8,G23)*POWER(Upgrades!$Q$9,H23)*POWER(Upgrades!$Q$10,I23)*POWER(Upgrades!$Q$11,J23)*POWER(Upgrades!$Q$12,K23))*(IF(Upgrades!$T$6="Stellar Coupling",POWER(Upgrades!$U$6,E23),1)*IF(Upgrades!$T$7="Stellar Coupling",POWER(Upgrades!$U$7,F23),1)*IF(Upgrades!$T$9="Stellar Coupling",POWER(Upgrades!$U$9,H23),1)*IF(Upgrades!$T$10="Stellar Coupling",POWER(Upgrades!$U$10,I23),1)*IF(Upgrades!$T$11="Stellar Coupling",POWER(Upgrades!$U$11,J23),1)*IF(Upgrades!$T$12="Stellar Coupling",POWER(Upgrades!$U$12,K23),1))*Parameters!$B$10*Parameters!$B$11/60/AI23,0)</f>
        <v/>
      </c>
      <c r="AV23" s="32">
        <f>IFERROR(Upgrades!$H$9*(POWER(Upgrades!$P$6,E23)*POWER(Upgrades!$P$7,F23)*POWER(Upgrades!$P$8,G23)*POWER(Upgrades!$P$9,H23)*POWER(Upgrades!$P$10,I23)*POWER(Upgrades!$P$11,J23)*POWER(Upgrades!$P$12,K23))*(IF(Upgrades!$T$6="Magnetosphere",POWER(Upgrades!$U$6,E23),1)*IF(Upgrades!$T$7="Magnetosphere",POWER(Upgrades!$U$7,F23),1)*IF(Upgrades!$T$8="Magnetosphere",POWER(Upgrades!$U$8,G23),1)*IF(Upgrades!$T$10="Magnetosphere",POWER(Upgrades!$U$10,I23),1)*IF(Upgrades!$T$11="Magnetosphere",POWER(Upgrades!$U$11,J23),1)*IF(Upgrades!$T$12="Magnetosphere",POWER(Upgrades!$U$12,K23),1))/AJ23,0)</f>
        <v/>
      </c>
      <c r="AW23" s="32">
        <f>MAX(IF(I23&gt;0,0,IFERROR(0.25*N23/Upgrades!$C$10,0)),IF(J23&gt;0,0,IFERROR(0.5*((IF(G23=0,0,(Upgrades!$J$8+G23*Upgrades!$K$8)*POWER(Upgrades!$L$8,G23)))*(IF(Upgrades!$T$6="Stellar Coupling",POWER(Upgrades!$U$6,E23),1)*IF(Upgrades!$T$7="Stellar Coupling",POWER(Upgrades!$U$7,F23),1)*IF(Upgrades!$T$9="Stellar Coupling",POWER(Upgrades!$U$9,H23),1)*IF(Upgrades!$T$10="Stellar Coupling",POWER(Upgrades!$U$10,I23),1)*IF(Upgrades!$T$11="Stellar Coupling",POWER(Upgrades!$U$11,J23),1)*IF(Upgrades!$T$12="Stellar Coupling",POWER(Upgrades!$U$12,K23),1))*(POWER(Upgrades!$Q$6,E23)*POWER(Upgrades!$Q$7,F23)*POWER(Upgrades!$Q$8,G23)*POWER(Upgrades!$Q$9,H23)*POWER(Upgrades!$Q$10,I23)*POWER(Upgrades!$Q$11,J23)*POWER(Upgrades!$Q$12,K23))*Parameters!$B$10*Parameters!$B$11/60)/Upgrades!$C$11,0)),IF(K23&gt;0,0,IFERROR((1.0*(POWER(Upgrades!$P$6,E23)*POWER(Upgrades!$P$7,F23)*POWER(Upgrades!$P$8,G23)*POWER(Upgrades!$P$9,H23)*POWER(Upgrades!$P$10,I23)*POWER(Upgrades!$P$11,J23)*POWER(Upgrades!$P$12,K23))+0.20*M23*Parameters!$B$10*Parameters!$B$11/60)/Upgrades!$C$12,0)),IF(AND(ISNUMBER(AG23),AG23&gt;T23),AS23,0),IF(AND(ISNUMBER(AH23),AH23&gt;T23),AT23,0),IF(AND(ISNUMBER(AI23),AI23&gt;T23),AU23,0),IF(AND(ISNUMBER(AJ23),AJ23&gt;T23),AV23,0))</f>
        <v/>
      </c>
      <c r="AX23" s="29">
        <f>IF(AN23=1,"transition",IF(MIN(IF(AND(I23=0,ISNUMBER(AK23),AK23&lt;=T23),AK23,9E15),IF(AND(J23=0,ISNUMBER(AL23),AL23&lt;=T23),AL23,9E15),IF(AND(K23=0,ISNUMBER(AM23),AM23&lt;=T23),AM23,9E15))&lt;9E15,IF(AND(AND(I23=0,ISNUMBER(AK23),AK23&lt;=T23),AK23=MIN(IF(AND(I23=0,ISNUMBER(AK23),AK23&lt;=T23),AK23,9E15),IF(AND(J23=0,ISNUMBER(AL23),AL23&lt;=T23),AL23,9E15),IF(AND(K23=0,ISNUMBER(AM23),AM23&lt;=T23),AM23,9E15))),"OR",IF(AND(AND(J23=0,ISNUMBER(AL23),AL23&lt;=T23),AL23=MIN(IF(AND(I23=0,ISNUMBER(AK23),AK23&lt;=T23),AK23,9E15),IF(AND(J23=0,ISNUMBER(AL23),AL23&lt;=T23),AL23,9E15),IF(AND(K23=0,ISNUMBER(AM23),AM23&lt;=T23),AM23,9E15))),"HP","FP")),IF(AR23=TRUE,"",IF(MAX(IF(AND(NOT(AND(AO23=1,AN23&lt;&gt;1)),ISNUMBER(AG23),AG23&lt;=T23),AS23,0),IF(AND(NOT(AND(AO23=1,AN23&lt;&gt;1)),ISNUMBER(AH23),AH23&lt;=T23),AT23,0),IF(AND(NOT(AND(AO23=1,AN23&lt;&gt;1)),ISNUMBER(AI23),AI23&lt;=T23),AU23,0),IF(AND(ISNUMBER(AJ23),AJ23&lt;=T23),AV23,0))&lt;=0,"",IF(AND(IF(AND(NOT(AND(AO23=1,AN23&lt;&gt;1)),ISNUMBER(AG23),AG23&lt;=T23),AS23,0)&gt;0,IF(AND(NOT(AND(AO23=1,AN23&lt;&gt;1)),ISNUMBER(AG23),AG23&lt;=T23),AS23,0)=MAX(IF(AND(NOT(AND(AO23=1,AN23&lt;&gt;1)),ISNUMBER(AG23),AG23&lt;=T23),AS23,0),IF(AND(NOT(AND(AO23=1,AN23&lt;&gt;1)),ISNUMBER(AH23),AH23&lt;=T23),AT23,0),IF(AND(NOT(AND(AO23=1,AN23&lt;&gt;1)),ISNUMBER(AI23),AI23&lt;=T23),AU23,0),IF(AND(ISNUMBER(AJ23),AJ23&lt;=T23),AV23,0))),"SW",IF(AND(IF(AND(NOT(AND(AO23=1,AN23&lt;&gt;1)),ISNUMBER(AH23),AH23&lt;=T23),AT23,0)&gt;0,IF(AND(NOT(AND(AO23=1,AN23&lt;&gt;1)),ISNUMBER(AH23),AH23&lt;=T23),AT23,0)=MAX(IF(AND(NOT(AND(AO23=1,AN23&lt;&gt;1)),ISNUMBER(AG23),AG23&lt;=T23),AS23,0),IF(AND(NOT(AND(AO23=1,AN23&lt;&gt;1)),ISNUMBER(AH23),AH23&lt;=T23),AT23,0),IF(AND(NOT(AND(AO23=1,AN23&lt;&gt;1)),ISNUMBER(AI23),AI23&lt;=T23),AU23,0),IF(AND(ISNUMBER(AJ23),AJ23&lt;=T23),AV23,0))),"AB",IF(AND(IF(AND(NOT(AND(AO23=1,AN23&lt;&gt;1)),ISNUMBER(AI23),AI23&lt;=T23),AU23,0)&gt;0,IF(AND(NOT(AND(AO23=1,AN23&lt;&gt;1)),ISNUMBER(AI23),AI23&lt;=T23),AU23,0)=MAX(IF(AND(NOT(AND(AO23=1,AN23&lt;&gt;1)),ISNUMBER(AG23),AG23&lt;=T23),AS23,0),IF(AND(NOT(AND(AO23=1,AN23&lt;&gt;1)),ISNUMBER(AH23),AH23&lt;=T23),AT23,0),IF(AND(NOT(AND(AO23=1,AN23&lt;&gt;1)),ISNUMBER(AI23),AI23&lt;=T23),AU23,0),IF(AND(ISNUMBER(AJ23),AJ23&lt;=T23),AV23,0))),"SC","Mag")))))))</f>
        <v/>
      </c>
    </row>
    <row r="24">
      <c r="A24" s="26" t="n">
        <v>19</v>
      </c>
      <c r="B24" s="27">
        <f>A24*10/60</f>
        <v/>
      </c>
      <c r="C24" s="22">
        <f>X23</f>
        <v/>
      </c>
      <c r="D24" s="27">
        <f>D23+W23</f>
        <v/>
      </c>
      <c r="E24" s="26">
        <f>E23+IF(U23="SW",1,0)</f>
        <v/>
      </c>
      <c r="F24" s="26">
        <f>F23+IF(U23="AB",1,0)</f>
        <v/>
      </c>
      <c r="G24" s="26">
        <f>G23+IF(U23="SC",1,0)</f>
        <v/>
      </c>
      <c r="H24" s="26">
        <f>H23+IF(U23="Mag",1,0)</f>
        <v/>
      </c>
      <c r="I24" s="26">
        <f>MAX(I23,IF(U23="OR",1,0))</f>
        <v/>
      </c>
      <c r="J24" s="26">
        <f>MAX(J23,IF(U23="HP",1,0))</f>
        <v/>
      </c>
      <c r="K24" s="26">
        <f>MAX(K23,IF(U23="FP",1,0))</f>
        <v/>
      </c>
      <c r="L24" s="26">
        <f>MAX(L23,IF(U23="transition",1,0))</f>
        <v/>
      </c>
      <c r="M24" s="28">
        <f>(Parameters!$B$9+(IF(E24=0,0,(Upgrades!$J$6+E24*Upgrades!$K$6)*POWER(Upgrades!$L$6,E24)))*(IF(Upgrades!$T$7="Solar Wind",POWER(Upgrades!$U$7,F24),1)*IF(Upgrades!$T$8="Solar Wind",POWER(Upgrades!$U$8,G24),1)*IF(Upgrades!$T$9="Solar Wind",POWER(Upgrades!$U$9,H24),1)*IF(Upgrades!$T$10="Solar Wind",POWER(Upgrades!$U$10,I24),1)*IF(Upgrades!$T$11="Solar Wind",POWER(Upgrades!$U$11,J24),1)*IF(Upgrades!$T$12="Solar Wind",POWER(Upgrades!$U$12,K24),1))+(IF(F24=0,0,(Upgrades!$J$7+F24*Upgrades!$K$7)*POWER(Upgrades!$L$7,F24)))*(IF(Upgrades!$T$6="Asteroid Belt",POWER(Upgrades!$U$6,E24),1)*IF(Upgrades!$T$8="Asteroid Belt",POWER(Upgrades!$U$8,G24),1)*IF(Upgrades!$T$9="Asteroid Belt",POWER(Upgrades!$U$9,H24),1)*IF(Upgrades!$T$10="Asteroid Belt",POWER(Upgrades!$U$10,I24),1)*IF(Upgrades!$T$11="Asteroid Belt",POWER(Upgrades!$U$11,J24),1)*IF(Upgrades!$T$12="Asteroid Belt",POWER(Upgrades!$U$12,K24),1))+(IF(G24=0,0,(Upgrades!$J$8+G24*Upgrades!$K$8)*POWER(Upgrades!$L$8,G24)))*(IF(Upgrades!$T$6="Stellar Coupling",POWER(Upgrades!$U$6,E24),1)*IF(Upgrades!$T$7="Stellar Coupling",POWER(Upgrades!$U$7,F24),1)*IF(Upgrades!$T$9="Stellar Coupling",POWER(Upgrades!$U$9,H24),1)*IF(Upgrades!$T$10="Stellar Coupling",POWER(Upgrades!$U$10,I24),1)*IF(Upgrades!$T$11="Stellar Coupling",POWER(Upgrades!$U$11,J24),1)*IF(Upgrades!$T$12="Stellar Coupling",POWER(Upgrades!$U$12,K24),1))+(IF(H24=0,0,(Upgrades!$J$9+H24*Upgrades!$K$9)*POWER(Upgrades!$L$9,H24)))*(IF(Upgrades!$T$6="Magnetosphere",POWER(Upgrades!$U$6,E24),1)*IF(Upgrades!$T$7="Magnetosphere",POWER(Upgrades!$U$7,F24),1)*IF(Upgrades!$T$8="Magnetosphere",POWER(Upgrades!$U$8,G24),1)*IF(Upgrades!$T$10="Magnetosphere",POWER(Upgrades!$U$10,I24),1)*IF(Upgrades!$T$11="Magnetosphere",POWER(Upgrades!$U$11,J24),1)*IF(Upgrades!$T$12="Magnetosphere",POWER(Upgrades!$U$12,K24),1))+(IF(I24=0,0,(Upgrades!$J$10+I24*Upgrades!$K$10)*POWER(Upgrades!$L$10,I24)))*(IF(Upgrades!$T$6="Orbital Resonance",POWER(Upgrades!$U$6,E24),1)*IF(Upgrades!$T$7="Orbital Resonance",POWER(Upgrades!$U$7,F24),1)*IF(Upgrades!$T$8="Orbital Resonance",POWER(Upgrades!$U$8,G24),1)*IF(Upgrades!$T$9="Orbital Resonance",POWER(Upgrades!$U$9,H24),1)*IF(Upgrades!$T$11="Orbital Resonance",POWER(Upgrades!$U$11,J24),1)*IF(Upgrades!$T$12="Orbital Resonance",POWER(Upgrades!$U$12,K24),1))+(IF(J24=0,0,(Upgrades!$J$11+J24*Upgrades!$K$11)*POWER(Upgrades!$L$11,J24)))*(IF(Upgrades!$T$6="Heliopause",POWER(Upgrades!$U$6,E24),1)*IF(Upgrades!$T$7="Heliopause",POWER(Upgrades!$U$7,F24),1)*IF(Upgrades!$T$8="Heliopause",POWER(Upgrades!$U$8,G24),1)*IF(Upgrades!$T$9="Heliopause",POWER(Upgrades!$U$9,H24),1)*IF(Upgrades!$T$10="Heliopause",POWER(Upgrades!$U$10,I24),1)*IF(Upgrades!$T$12="Heliopause",POWER(Upgrades!$U$12,K24),1))+(IF(K24=0,0,(Upgrades!$J$12+K24*Upgrades!$K$12)*POWER(Upgrades!$L$12,K24)))*(IF(Upgrades!$T$6="First Photons",POWER(Upgrades!$U$6,E24),1)*IF(Upgrades!$T$7="First Photons",POWER(Upgrades!$U$7,F24),1)*IF(Upgrades!$T$8="First Photons",POWER(Upgrades!$U$8,G24),1)*IF(Upgrades!$T$9="First Photons",POWER(Upgrades!$U$9,H24),1)*IF(Upgrades!$T$10="First Photons",POWER(Upgrades!$U$10,I24),1)*IF(Upgrades!$T$11="First Photons",POWER(Upgrades!$U$11,J24),1)))*POWER(Upgrades!$Q$6,E24)*POWER(Upgrades!$Q$7,F24)*POWER(Upgrades!$Q$8,G24)*POWER(Upgrades!$Q$9,H24)*POWER(Upgrades!$Q$10,I24)*POWER(Upgrades!$Q$11,J24)*POWER(Upgrades!$Q$12,K24)</f>
        <v/>
      </c>
      <c r="N24" s="28">
        <f>((IF(E24=0,0,(Upgrades!$G$6+E24*Upgrades!$H$6)*POWER(Upgrades!$I$6,E24)))*(IF(Upgrades!$T$7="Solar Wind",POWER(Upgrades!$U$7,F24),1)*IF(Upgrades!$T$8="Solar Wind",POWER(Upgrades!$U$8,G24),1)*IF(Upgrades!$T$9="Solar Wind",POWER(Upgrades!$U$9,H24),1)*IF(Upgrades!$T$10="Solar Wind",POWER(Upgrades!$U$10,I24),1)*IF(Upgrades!$T$11="Solar Wind",POWER(Upgrades!$U$11,J24),1)*IF(Upgrades!$T$12="Solar Wind",POWER(Upgrades!$U$12,K24),1))+(IF(F24=0,0,(Upgrades!$G$7+F24*Upgrades!$H$7)*POWER(Upgrades!$I$7,F24)))*(IF(Upgrades!$T$6="Asteroid Belt",POWER(Upgrades!$U$6,E24),1)*IF(Upgrades!$T$8="Asteroid Belt",POWER(Upgrades!$U$8,G24),1)*IF(Upgrades!$T$9="Asteroid Belt",POWER(Upgrades!$U$9,H24),1)*IF(Upgrades!$T$10="Asteroid Belt",POWER(Upgrades!$U$10,I24),1)*IF(Upgrades!$T$11="Asteroid Belt",POWER(Upgrades!$U$11,J24),1)*IF(Upgrades!$T$12="Asteroid Belt",POWER(Upgrades!$U$12,K24),1))+(IF(G24=0,0,(Upgrades!$G$8+G24*Upgrades!$H$8)*POWER(Upgrades!$I$8,G24)))*(IF(Upgrades!$T$6="Stellar Coupling",POWER(Upgrades!$U$6,E24),1)*IF(Upgrades!$T$7="Stellar Coupling",POWER(Upgrades!$U$7,F24),1)*IF(Upgrades!$T$9="Stellar Coupling",POWER(Upgrades!$U$9,H24),1)*IF(Upgrades!$T$10="Stellar Coupling",POWER(Upgrades!$U$10,I24),1)*IF(Upgrades!$T$11="Stellar Coupling",POWER(Upgrades!$U$11,J24),1)*IF(Upgrades!$T$12="Stellar Coupling",POWER(Upgrades!$U$12,K24),1))+(IF(H24=0,0,(Upgrades!$G$9+H24*Upgrades!$H$9)*POWER(Upgrades!$I$9,H24)))*(IF(Upgrades!$T$6="Magnetosphere",POWER(Upgrades!$U$6,E24),1)*IF(Upgrades!$T$7="Magnetosphere",POWER(Upgrades!$U$7,F24),1)*IF(Upgrades!$T$8="Magnetosphere",POWER(Upgrades!$U$8,G24),1)*IF(Upgrades!$T$10="Magnetosphere",POWER(Upgrades!$U$10,I24),1)*IF(Upgrades!$T$11="Magnetosphere",POWER(Upgrades!$U$11,J24),1)*IF(Upgrades!$T$12="Magnetosphere",POWER(Upgrades!$U$12,K24),1))+(IF(I24=0,0,(Upgrades!$G$10+I24*Upgrades!$H$10)*POWER(Upgrades!$I$10,I24)))*(IF(Upgrades!$T$6="Orbital Resonance",POWER(Upgrades!$U$6,E24),1)*IF(Upgrades!$T$7="Orbital Resonance",POWER(Upgrades!$U$7,F24),1)*IF(Upgrades!$T$8="Orbital Resonance",POWER(Upgrades!$U$8,G24),1)*IF(Upgrades!$T$9="Orbital Resonance",POWER(Upgrades!$U$9,H24),1)*IF(Upgrades!$T$11="Orbital Resonance",POWER(Upgrades!$U$11,J24),1)*IF(Upgrades!$T$12="Orbital Resonance",POWER(Upgrades!$U$12,K24),1))+(IF(J24=0,0,(Upgrades!$G$11+J24*Upgrades!$H$11)*POWER(Upgrades!$I$11,J24)))*(IF(Upgrades!$T$6="Heliopause",POWER(Upgrades!$U$6,E24),1)*IF(Upgrades!$T$7="Heliopause",POWER(Upgrades!$U$7,F24),1)*IF(Upgrades!$T$8="Heliopause",POWER(Upgrades!$U$8,G24),1)*IF(Upgrades!$T$9="Heliopause",POWER(Upgrades!$U$9,H24),1)*IF(Upgrades!$T$10="Heliopause",POWER(Upgrades!$U$10,I24),1)*IF(Upgrades!$T$12="Heliopause",POWER(Upgrades!$U$12,K24),1))+(IF(K24=0,0,(Upgrades!$G$12+K24*Upgrades!$H$12)*POWER(Upgrades!$I$12,K24)))*(IF(Upgrades!$T$6="First Photons",POWER(Upgrades!$U$6,E24),1)*IF(Upgrades!$T$7="First Photons",POWER(Upgrades!$U$7,F24),1)*IF(Upgrades!$T$8="First Photons",POWER(Upgrades!$U$8,G24),1)*IF(Upgrades!$T$9="First Photons",POWER(Upgrades!$U$9,H24),1)*IF(Upgrades!$T$10="First Photons",POWER(Upgrades!$U$10,I24),1)*IF(Upgrades!$T$11="First Photons",POWER(Upgrades!$U$11,J24),1)))*POWER(Upgrades!$P$6,E24)*POWER(Upgrades!$P$7,F24)*POWER(Upgrades!$P$8,G24)*POWER(Upgrades!$P$9,H24)*POWER(Upgrades!$P$10,I24)*POWER(Upgrades!$P$11,J24)*POWER(Upgrades!$P$12,K24)</f>
        <v/>
      </c>
      <c r="O24" s="28">
        <f>((IF(E24=0,0,(Upgrades!$M$6+E24*Upgrades!$N$6)*POWER(Upgrades!$O$6,E24)))*(IF(Upgrades!$T$7="Solar Wind",POWER(Upgrades!$U$7,F24),1)*IF(Upgrades!$T$8="Solar Wind",POWER(Upgrades!$U$8,G24),1)*IF(Upgrades!$T$9="Solar Wind",POWER(Upgrades!$U$9,H24),1)*IF(Upgrades!$T$10="Solar Wind",POWER(Upgrades!$U$10,I24),1)*IF(Upgrades!$T$11="Solar Wind",POWER(Upgrades!$U$11,J24),1)*IF(Upgrades!$T$12="Solar Wind",POWER(Upgrades!$U$12,K24),1))+(IF(F24=0,0,(Upgrades!$M$7+F24*Upgrades!$N$7)*POWER(Upgrades!$O$7,F24)))*(IF(Upgrades!$T$6="Asteroid Belt",POWER(Upgrades!$U$6,E24),1)*IF(Upgrades!$T$8="Asteroid Belt",POWER(Upgrades!$U$8,G24),1)*IF(Upgrades!$T$9="Asteroid Belt",POWER(Upgrades!$U$9,H24),1)*IF(Upgrades!$T$10="Asteroid Belt",POWER(Upgrades!$U$10,I24),1)*IF(Upgrades!$T$11="Asteroid Belt",POWER(Upgrades!$U$11,J24),1)*IF(Upgrades!$T$12="Asteroid Belt",POWER(Upgrades!$U$12,K24),1))+(IF(G24=0,0,(Upgrades!$M$8+G24*Upgrades!$N$8)*POWER(Upgrades!$O$8,G24)))*(IF(Upgrades!$T$6="Stellar Coupling",POWER(Upgrades!$U$6,E24),1)*IF(Upgrades!$T$7="Stellar Coupling",POWER(Upgrades!$U$7,F24),1)*IF(Upgrades!$T$9="Stellar Coupling",POWER(Upgrades!$U$9,H24),1)*IF(Upgrades!$T$10="Stellar Coupling",POWER(Upgrades!$U$10,I24),1)*IF(Upgrades!$T$11="Stellar Coupling",POWER(Upgrades!$U$11,J24),1)*IF(Upgrades!$T$12="Stellar Coupling",POWER(Upgrades!$U$12,K24),1))+(IF(H24=0,0,(Upgrades!$M$9+H24*Upgrades!$N$9)*POWER(Upgrades!$O$9,H24)))*(IF(Upgrades!$T$6="Magnetosphere",POWER(Upgrades!$U$6,E24),1)*IF(Upgrades!$T$7="Magnetosphere",POWER(Upgrades!$U$7,F24),1)*IF(Upgrades!$T$8="Magnetosphere",POWER(Upgrades!$U$8,G24),1)*IF(Upgrades!$T$10="Magnetosphere",POWER(Upgrades!$U$10,I24),1)*IF(Upgrades!$T$11="Magnetosphere",POWER(Upgrades!$U$11,J24),1)*IF(Upgrades!$T$12="Magnetosphere",POWER(Upgrades!$U$12,K24),1))+(IF(I24=0,0,(Upgrades!$M$10+I24*Upgrades!$N$10)*POWER(Upgrades!$O$10,I24)))*(IF(Upgrades!$T$6="Orbital Resonance",POWER(Upgrades!$U$6,E24),1)*IF(Upgrades!$T$7="Orbital Resonance",POWER(Upgrades!$U$7,F24),1)*IF(Upgrades!$T$8="Orbital Resonance",POWER(Upgrades!$U$8,G24),1)*IF(Upgrades!$T$9="Orbital Resonance",POWER(Upgrades!$U$9,H24),1)*IF(Upgrades!$T$11="Orbital Resonance",POWER(Upgrades!$U$11,J24),1)*IF(Upgrades!$T$12="Orbital Resonance",POWER(Upgrades!$U$12,K24),1))+(IF(J24=0,0,(Upgrades!$M$11+J24*Upgrades!$N$11)*POWER(Upgrades!$O$11,J24)))*(IF(Upgrades!$T$6="Heliopause",POWER(Upgrades!$U$6,E24),1)*IF(Upgrades!$T$7="Heliopause",POWER(Upgrades!$U$7,F24),1)*IF(Upgrades!$T$8="Heliopause",POWER(Upgrades!$U$8,G24),1)*IF(Upgrades!$T$9="Heliopause",POWER(Upgrades!$U$9,H24),1)*IF(Upgrades!$T$10="Heliopause",POWER(Upgrades!$U$10,I24),1)*IF(Upgrades!$T$12="Heliopause",POWER(Upgrades!$U$12,K24),1))+(IF(K24=0,0,(Upgrades!$M$12+K24*Upgrades!$N$12)*POWER(Upgrades!$O$12,K24)))*(IF(Upgrades!$T$6="First Photons",POWER(Upgrades!$U$6,E24),1)*IF(Upgrades!$T$7="First Photons",POWER(Upgrades!$U$7,F24),1)*IF(Upgrades!$T$8="First Photons",POWER(Upgrades!$U$8,G24),1)*IF(Upgrades!$T$9="First Photons",POWER(Upgrades!$U$9,H24),1)*IF(Upgrades!$T$10="First Photons",POWER(Upgrades!$U$10,I24),1)*IF(Upgrades!$T$11="First Photons",POWER(Upgrades!$U$11,J24),1)))*POWER(Upgrades!$R$6,E24)*POWER(Upgrades!$R$7,F24)*POWER(Upgrades!$R$8,G24)*POWER(Upgrades!$R$9,H24)*POWER(Upgrades!$R$10,I24)*POWER(Upgrades!$R$11,J24)*POWER(Upgrades!$R$12,K24)</f>
        <v/>
      </c>
      <c r="P24" s="27">
        <f>IF(L24=1,0,M24*Parameters!$B$10/60*Parameters!$B$11*10)</f>
        <v/>
      </c>
      <c r="Q24" s="27">
        <f>IF(L24=1,0,O24*M24*10)</f>
        <v/>
      </c>
      <c r="R24" s="27">
        <f>IF(L24=1,0,N24*10)</f>
        <v/>
      </c>
      <c r="S24" s="27">
        <f>P24+Q24+R24</f>
        <v/>
      </c>
      <c r="T24" s="22">
        <f>C24+S24</f>
        <v/>
      </c>
      <c r="U24" s="33">
        <f>AX24</f>
        <v/>
      </c>
      <c r="V24" s="22">
        <f>IF(U24="",0,IF(U24="transition",0,IF(U24="SW",AG24,IF(U24="AB",AH24,IF(U24="SC",AI24,IF(U24="Mag",AJ24,IF(U24="OR",AK24,IF(U24="HP",AL24,IF(U24="FP",AM24,0)))))))))</f>
        <v/>
      </c>
      <c r="W24" s="27">
        <f>IF(U24="OR",Upgrades!$F$10,IF(U24="HP",Upgrades!$F$11,IF(U24="transition",-Parameters!$B$18,0)))</f>
        <v/>
      </c>
      <c r="X24" s="22">
        <f>T24-V24</f>
        <v/>
      </c>
      <c r="Y24" s="30">
        <f>M24*Parameters!$B$10/60*Parameters!$B$11+O24*M24+N24</f>
        <v/>
      </c>
      <c r="Z24" s="34">
        <f>IF(U24="transition","→ Tier 2 (Stellar Neighborhood)",IF(U24="FP","First Photons — light begins, system quickens",IF(U24="HP","Heliopause acquired",IF(U24="OR","Orbital Resonance — passive multiplier active",IF(AND(AO24=1,L24=0,AN24&lt;&gt;1),"Cohesion ready (waiting on completionist upgrades)","")))))</f>
        <v/>
      </c>
      <c r="AA24" s="27">
        <f>(IF(E24=0,0,(Upgrades!$G$6+E24*Upgrades!$H$6)*POWER(Upgrades!$I$6,E24)))*(IF(Upgrades!$T$7="Solar Wind",POWER(Upgrades!$U$7,F24),1)*IF(Upgrades!$T$8="Solar Wind",POWER(Upgrades!$U$8,G24),1)*IF(Upgrades!$T$9="Solar Wind",POWER(Upgrades!$U$9,H24),1)*IF(Upgrades!$T$10="Solar Wind",POWER(Upgrades!$U$10,I24),1)*IF(Upgrades!$T$11="Solar Wind",POWER(Upgrades!$U$11,J24),1)*IF(Upgrades!$T$12="Solar Wind",POWER(Upgrades!$U$12,K24),1))*POWER(Upgrades!$P$6,E24)*POWER(Upgrades!$P$7,F24)*POWER(Upgrades!$P$8,G24)*POWER(Upgrades!$P$9,H24)*POWER(Upgrades!$P$10,I24)*POWER(Upgrades!$P$11,J24)*POWER(Upgrades!$P$12,K24)*60</f>
        <v/>
      </c>
      <c r="AB24" s="27">
        <f>(IF(F24=0,0,(Upgrades!$G$7+F24*Upgrades!$H$7)*POWER(Upgrades!$I$7,F24)))*(IF(Upgrades!$T$6="Asteroid Belt",POWER(Upgrades!$U$6,E24),1)*IF(Upgrades!$T$8="Asteroid Belt",POWER(Upgrades!$U$8,G24),1)*IF(Upgrades!$T$9="Asteroid Belt",POWER(Upgrades!$U$9,H24),1)*IF(Upgrades!$T$10="Asteroid Belt",POWER(Upgrades!$U$10,I24),1)*IF(Upgrades!$T$11="Asteroid Belt",POWER(Upgrades!$U$11,J24),1)*IF(Upgrades!$T$12="Asteroid Belt",POWER(Upgrades!$U$12,K24),1))*POWER(Upgrades!$P$6,E24)*POWER(Upgrades!$P$7,F24)*POWER(Upgrades!$P$8,G24)*POWER(Upgrades!$P$9,H24)*POWER(Upgrades!$P$10,I24)*POWER(Upgrades!$P$11,J24)*POWER(Upgrades!$P$12,K24)*60</f>
        <v/>
      </c>
      <c r="AC24" s="27">
        <f>(IF(G24=0,0,(Upgrades!$J$8+G24*Upgrades!$K$8)*POWER(Upgrades!$L$8,G24)))*(IF(Upgrades!$T$6="Stellar Coupling",POWER(Upgrades!$U$6,E24),1)*IF(Upgrades!$T$7="Stellar Coupling",POWER(Upgrades!$U$7,F24),1)*IF(Upgrades!$T$9="Stellar Coupling",POWER(Upgrades!$U$9,H24),1)*IF(Upgrades!$T$10="Stellar Coupling",POWER(Upgrades!$U$10,I24),1)*IF(Upgrades!$T$11="Stellar Coupling",POWER(Upgrades!$U$11,J24),1)*IF(Upgrades!$T$12="Stellar Coupling",POWER(Upgrades!$U$12,K24),1))*POWER(Upgrades!$Q$6,E24)*POWER(Upgrades!$Q$7,F24)*POWER(Upgrades!$Q$8,G24)*POWER(Upgrades!$Q$9,H24)*POWER(Upgrades!$Q$10,I24)*POWER(Upgrades!$Q$11,J24)*POWER(Upgrades!$Q$12,K24)*Parameters!$B$10*Parameters!$B$11</f>
        <v/>
      </c>
      <c r="AD24" s="27">
        <f>(IF(H24=0,0,(Upgrades!$G$9+H24*Upgrades!$H$9)*POWER(Upgrades!$I$9,H24)))*(IF(Upgrades!$T$6="Magnetosphere",POWER(Upgrades!$U$6,E24),1)*IF(Upgrades!$T$7="Magnetosphere",POWER(Upgrades!$U$7,F24),1)*IF(Upgrades!$T$8="Magnetosphere",POWER(Upgrades!$U$8,G24),1)*IF(Upgrades!$T$10="Magnetosphere",POWER(Upgrades!$U$10,I24),1)*IF(Upgrades!$T$11="Magnetosphere",POWER(Upgrades!$U$11,J24),1)*IF(Upgrades!$T$12="Magnetosphere",POWER(Upgrades!$U$12,K24),1))*POWER(Upgrades!$P$6,E24)*POWER(Upgrades!$P$7,F24)*POWER(Upgrades!$P$8,G24)*POWER(Upgrades!$P$9,H24)*POWER(Upgrades!$P$10,I24)*POWER(Upgrades!$P$11,J24)*POWER(Upgrades!$P$12,K24)*60</f>
        <v/>
      </c>
      <c r="AE24" s="27">
        <f>(IF(K24=0,0,(Upgrades!$G$12+K24*Upgrades!$H$12)*POWER(Upgrades!$I$12,K24)))*(IF(Upgrades!$T$6="First Photons",POWER(Upgrades!$U$6,E24),1)*IF(Upgrades!$T$7="First Photons",POWER(Upgrades!$U$7,F24),1)*IF(Upgrades!$T$8="First Photons",POWER(Upgrades!$U$8,G24),1)*IF(Upgrades!$T$9="First Photons",POWER(Upgrades!$U$9,H24),1)*IF(Upgrades!$T$10="First Photons",POWER(Upgrades!$U$10,I24),1)*IF(Upgrades!$T$11="First Photons",POWER(Upgrades!$U$11,J24),1))*POWER(Upgrades!$P$6,E24)*POWER(Upgrades!$P$7,F24)*POWER(Upgrades!$P$8,G24)*POWER(Upgrades!$P$9,H24)*POWER(Upgrades!$P$10,I24)*POWER(Upgrades!$P$11,J24)*POWER(Upgrades!$P$12,K24)*60</f>
        <v/>
      </c>
      <c r="AF24" s="27">
        <f>Parameters!$B$9*POWER(Upgrades!$Q$6,E24)*POWER(Upgrades!$Q$7,F24)*POWER(Upgrades!$Q$8,G24)*POWER(Upgrades!$Q$9,H24)*POWER(Upgrades!$Q$10,I24)*POWER(Upgrades!$Q$11,J24)*POWER(Upgrades!$Q$12,K24)*(Parameters!$B$10*Parameters!$B$11+O24*60)</f>
        <v/>
      </c>
      <c r="AG24" s="22">
        <f>IF(E24&gt;=Upgrades!$E$6,"",Upgrades!$C$6*POWER(Upgrades!$D$6,E24))</f>
        <v/>
      </c>
      <c r="AH24" s="22">
        <f>IF(F24&gt;=Upgrades!$E$7,"",Upgrades!$C$7*POWER(Upgrades!$D$7,F24))</f>
        <v/>
      </c>
      <c r="AI24" s="22">
        <f>IF(G24&gt;=Upgrades!$E$8,"",Upgrades!$C$8*POWER(Upgrades!$D$8,G24))</f>
        <v/>
      </c>
      <c r="AJ24" s="22">
        <f>IF(H24&gt;=Upgrades!$E$9,"",Upgrades!$C$9*POWER(Upgrades!$D$9,H24))</f>
        <v/>
      </c>
      <c r="AK24" s="22">
        <f>IF(I24&gt;=Upgrades!$E$10,"",Upgrades!$C$10*POWER(Upgrades!$D$10,I24))</f>
        <v/>
      </c>
      <c r="AL24" s="22">
        <f>IF(J24&gt;=Upgrades!$E$11,"",Upgrades!$C$11*POWER(Upgrades!$D$11,J24))</f>
        <v/>
      </c>
      <c r="AM24" s="22">
        <f>IF(K24&gt;=Upgrades!$E$12,"",Upgrades!$C$12*POWER(Upgrades!$D$12,K24))</f>
        <v/>
      </c>
      <c r="AN24" s="26">
        <f>IF(AND(D24&gt;=Parameters!$B$18,(H24&gt;=Upgrades!$E$9)*(K24&gt;=Upgrades!$E$12)=1,L24=0),1,"")</f>
        <v/>
      </c>
      <c r="AO24" s="26">
        <f>IF(AND(D24&gt;=Parameters!$B$18,L24=0),1,"")</f>
        <v/>
      </c>
      <c r="AP24" s="22">
        <f>MIN(IF(ISNUMBER(AK24),AK24,9E15),IF(ISNUMBER(AL24),AL24,9E15),IF(ISNUMBER(AM24),AM24,9E15))</f>
        <v/>
      </c>
      <c r="AQ24" s="22">
        <f>MIN(IF(ISNUMBER(AG24),AG24,9E15),IF(ISNUMBER(AH24),AH24,9E15),IF(ISNUMBER(AI24),AI24,9E15),IF(ISNUMBER(AJ24),AJ24,9E15))</f>
        <v/>
      </c>
      <c r="AR24" s="29">
        <f>IF(AW24&gt;Parameters!$B$21*(MAX(IF(AND(NOT(AND(AO24=1,AN24&lt;&gt;1)),ISNUMBER(AG24),AG24&lt;=T24),AS24,0),IF(AND(NOT(AND(AO24=1,AN24&lt;&gt;1)),ISNUMBER(AH24),AH24&lt;=T24),AT24,0),IF(AND(NOT(AND(AO24=1,AN24&lt;&gt;1)),ISNUMBER(AI24),AI24&lt;=T24),AU24,0),IF(AND(ISNUMBER(AJ24),AJ24&lt;=T24),AV24,0))),TRUE,FALSE)</f>
        <v/>
      </c>
      <c r="AS24" s="32">
        <f>IFERROR(Upgrades!$H$6*(POWER(Upgrades!$P$6,E24)*POWER(Upgrades!$P$7,F24)*POWER(Upgrades!$P$8,G24)*POWER(Upgrades!$P$9,H24)*POWER(Upgrades!$P$10,I24)*POWER(Upgrades!$P$11,J24)*POWER(Upgrades!$P$12,K24))*(IF(Upgrades!$T$7="Solar Wind",POWER(Upgrades!$U$7,F24),1)*IF(Upgrades!$T$8="Solar Wind",POWER(Upgrades!$U$8,G24),1)*IF(Upgrades!$T$9="Solar Wind",POWER(Upgrades!$U$9,H24),1)*IF(Upgrades!$T$10="Solar Wind",POWER(Upgrades!$U$10,I24),1)*IF(Upgrades!$T$11="Solar Wind",POWER(Upgrades!$U$11,J24),1)*IF(Upgrades!$T$12="Solar Wind",POWER(Upgrades!$U$12,K24),1))/AG24,0)</f>
        <v/>
      </c>
      <c r="AT24" s="32">
        <f>IFERROR(Upgrades!$H$7*(POWER(Upgrades!$P$6,E24)*POWER(Upgrades!$P$7,F24)*POWER(Upgrades!$P$8,G24)*POWER(Upgrades!$P$9,H24)*POWER(Upgrades!$P$10,I24)*POWER(Upgrades!$P$11,J24)*POWER(Upgrades!$P$12,K24))*(IF(Upgrades!$T$6="Asteroid Belt",POWER(Upgrades!$U$6,E24),1)*IF(Upgrades!$T$8="Asteroid Belt",POWER(Upgrades!$U$8,G24),1)*IF(Upgrades!$T$9="Asteroid Belt",POWER(Upgrades!$U$9,H24),1)*IF(Upgrades!$T$10="Asteroid Belt",POWER(Upgrades!$U$10,I24),1)*IF(Upgrades!$T$11="Asteroid Belt",POWER(Upgrades!$U$11,J24),1)*IF(Upgrades!$T$12="Asteroid Belt",POWER(Upgrades!$U$12,K24),1))/AH24,0)</f>
        <v/>
      </c>
      <c r="AU24" s="32">
        <f>IFERROR(Upgrades!$K$8*(POWER(Upgrades!$Q$6,E24)*POWER(Upgrades!$Q$7,F24)*POWER(Upgrades!$Q$8,G24)*POWER(Upgrades!$Q$9,H24)*POWER(Upgrades!$Q$10,I24)*POWER(Upgrades!$Q$11,J24)*POWER(Upgrades!$Q$12,K24))*(IF(Upgrades!$T$6="Stellar Coupling",POWER(Upgrades!$U$6,E24),1)*IF(Upgrades!$T$7="Stellar Coupling",POWER(Upgrades!$U$7,F24),1)*IF(Upgrades!$T$9="Stellar Coupling",POWER(Upgrades!$U$9,H24),1)*IF(Upgrades!$T$10="Stellar Coupling",POWER(Upgrades!$U$10,I24),1)*IF(Upgrades!$T$11="Stellar Coupling",POWER(Upgrades!$U$11,J24),1)*IF(Upgrades!$T$12="Stellar Coupling",POWER(Upgrades!$U$12,K24),1))*Parameters!$B$10*Parameters!$B$11/60/AI24,0)</f>
        <v/>
      </c>
      <c r="AV24" s="32">
        <f>IFERROR(Upgrades!$H$9*(POWER(Upgrades!$P$6,E24)*POWER(Upgrades!$P$7,F24)*POWER(Upgrades!$P$8,G24)*POWER(Upgrades!$P$9,H24)*POWER(Upgrades!$P$10,I24)*POWER(Upgrades!$P$11,J24)*POWER(Upgrades!$P$12,K24))*(IF(Upgrades!$T$6="Magnetosphere",POWER(Upgrades!$U$6,E24),1)*IF(Upgrades!$T$7="Magnetosphere",POWER(Upgrades!$U$7,F24),1)*IF(Upgrades!$T$8="Magnetosphere",POWER(Upgrades!$U$8,G24),1)*IF(Upgrades!$T$10="Magnetosphere",POWER(Upgrades!$U$10,I24),1)*IF(Upgrades!$T$11="Magnetosphere",POWER(Upgrades!$U$11,J24),1)*IF(Upgrades!$T$12="Magnetosphere",POWER(Upgrades!$U$12,K24),1))/AJ24,0)</f>
        <v/>
      </c>
      <c r="AW24" s="32">
        <f>MAX(IF(I24&gt;0,0,IFERROR(0.25*N24/Upgrades!$C$10,0)),IF(J24&gt;0,0,IFERROR(0.5*((IF(G24=0,0,(Upgrades!$J$8+G24*Upgrades!$K$8)*POWER(Upgrades!$L$8,G24)))*(IF(Upgrades!$T$6="Stellar Coupling",POWER(Upgrades!$U$6,E24),1)*IF(Upgrades!$T$7="Stellar Coupling",POWER(Upgrades!$U$7,F24),1)*IF(Upgrades!$T$9="Stellar Coupling",POWER(Upgrades!$U$9,H24),1)*IF(Upgrades!$T$10="Stellar Coupling",POWER(Upgrades!$U$10,I24),1)*IF(Upgrades!$T$11="Stellar Coupling",POWER(Upgrades!$U$11,J24),1)*IF(Upgrades!$T$12="Stellar Coupling",POWER(Upgrades!$U$12,K24),1))*(POWER(Upgrades!$Q$6,E24)*POWER(Upgrades!$Q$7,F24)*POWER(Upgrades!$Q$8,G24)*POWER(Upgrades!$Q$9,H24)*POWER(Upgrades!$Q$10,I24)*POWER(Upgrades!$Q$11,J24)*POWER(Upgrades!$Q$12,K24))*Parameters!$B$10*Parameters!$B$11/60)/Upgrades!$C$11,0)),IF(K24&gt;0,0,IFERROR((1.0*(POWER(Upgrades!$P$6,E24)*POWER(Upgrades!$P$7,F24)*POWER(Upgrades!$P$8,G24)*POWER(Upgrades!$P$9,H24)*POWER(Upgrades!$P$10,I24)*POWER(Upgrades!$P$11,J24)*POWER(Upgrades!$P$12,K24))+0.20*M24*Parameters!$B$10*Parameters!$B$11/60)/Upgrades!$C$12,0)),IF(AND(ISNUMBER(AG24),AG24&gt;T24),AS24,0),IF(AND(ISNUMBER(AH24),AH24&gt;T24),AT24,0),IF(AND(ISNUMBER(AI24),AI24&gt;T24),AU24,0),IF(AND(ISNUMBER(AJ24),AJ24&gt;T24),AV24,0))</f>
        <v/>
      </c>
      <c r="AX24" s="29">
        <f>IF(AN24=1,"transition",IF(MIN(IF(AND(I24=0,ISNUMBER(AK24),AK24&lt;=T24),AK24,9E15),IF(AND(J24=0,ISNUMBER(AL24),AL24&lt;=T24),AL24,9E15),IF(AND(K24=0,ISNUMBER(AM24),AM24&lt;=T24),AM24,9E15))&lt;9E15,IF(AND(AND(I24=0,ISNUMBER(AK24),AK24&lt;=T24),AK24=MIN(IF(AND(I24=0,ISNUMBER(AK24),AK24&lt;=T24),AK24,9E15),IF(AND(J24=0,ISNUMBER(AL24),AL24&lt;=T24),AL24,9E15),IF(AND(K24=0,ISNUMBER(AM24),AM24&lt;=T24),AM24,9E15))),"OR",IF(AND(AND(J24=0,ISNUMBER(AL24),AL24&lt;=T24),AL24=MIN(IF(AND(I24=0,ISNUMBER(AK24),AK24&lt;=T24),AK24,9E15),IF(AND(J24=0,ISNUMBER(AL24),AL24&lt;=T24),AL24,9E15),IF(AND(K24=0,ISNUMBER(AM24),AM24&lt;=T24),AM24,9E15))),"HP","FP")),IF(AR24=TRUE,"",IF(MAX(IF(AND(NOT(AND(AO24=1,AN24&lt;&gt;1)),ISNUMBER(AG24),AG24&lt;=T24),AS24,0),IF(AND(NOT(AND(AO24=1,AN24&lt;&gt;1)),ISNUMBER(AH24),AH24&lt;=T24),AT24,0),IF(AND(NOT(AND(AO24=1,AN24&lt;&gt;1)),ISNUMBER(AI24),AI24&lt;=T24),AU24,0),IF(AND(ISNUMBER(AJ24),AJ24&lt;=T24),AV24,0))&lt;=0,"",IF(AND(IF(AND(NOT(AND(AO24=1,AN24&lt;&gt;1)),ISNUMBER(AG24),AG24&lt;=T24),AS24,0)&gt;0,IF(AND(NOT(AND(AO24=1,AN24&lt;&gt;1)),ISNUMBER(AG24),AG24&lt;=T24),AS24,0)=MAX(IF(AND(NOT(AND(AO24=1,AN24&lt;&gt;1)),ISNUMBER(AG24),AG24&lt;=T24),AS24,0),IF(AND(NOT(AND(AO24=1,AN24&lt;&gt;1)),ISNUMBER(AH24),AH24&lt;=T24),AT24,0),IF(AND(NOT(AND(AO24=1,AN24&lt;&gt;1)),ISNUMBER(AI24),AI24&lt;=T24),AU24,0),IF(AND(ISNUMBER(AJ24),AJ24&lt;=T24),AV24,0))),"SW",IF(AND(IF(AND(NOT(AND(AO24=1,AN24&lt;&gt;1)),ISNUMBER(AH24),AH24&lt;=T24),AT24,0)&gt;0,IF(AND(NOT(AND(AO24=1,AN24&lt;&gt;1)),ISNUMBER(AH24),AH24&lt;=T24),AT24,0)=MAX(IF(AND(NOT(AND(AO24=1,AN24&lt;&gt;1)),ISNUMBER(AG24),AG24&lt;=T24),AS24,0),IF(AND(NOT(AND(AO24=1,AN24&lt;&gt;1)),ISNUMBER(AH24),AH24&lt;=T24),AT24,0),IF(AND(NOT(AND(AO24=1,AN24&lt;&gt;1)),ISNUMBER(AI24),AI24&lt;=T24),AU24,0),IF(AND(ISNUMBER(AJ24),AJ24&lt;=T24),AV24,0))),"AB",IF(AND(IF(AND(NOT(AND(AO24=1,AN24&lt;&gt;1)),ISNUMBER(AI24),AI24&lt;=T24),AU24,0)&gt;0,IF(AND(NOT(AND(AO24=1,AN24&lt;&gt;1)),ISNUMBER(AI24),AI24&lt;=T24),AU24,0)=MAX(IF(AND(NOT(AND(AO24=1,AN24&lt;&gt;1)),ISNUMBER(AG24),AG24&lt;=T24),AS24,0),IF(AND(NOT(AND(AO24=1,AN24&lt;&gt;1)),ISNUMBER(AH24),AH24&lt;=T24),AT24,0),IF(AND(NOT(AND(AO24=1,AN24&lt;&gt;1)),ISNUMBER(AI24),AI24&lt;=T24),AU24,0),IF(AND(ISNUMBER(AJ24),AJ24&lt;=T24),AV24,0))),"SC","Mag")))))))</f>
        <v/>
      </c>
    </row>
    <row r="25">
      <c r="A25" s="26" t="n">
        <v>20</v>
      </c>
      <c r="B25" s="27">
        <f>A25*10/60</f>
        <v/>
      </c>
      <c r="C25" s="22">
        <f>X24</f>
        <v/>
      </c>
      <c r="D25" s="27">
        <f>D24+W24</f>
        <v/>
      </c>
      <c r="E25" s="26">
        <f>E24+IF(U24="SW",1,0)</f>
        <v/>
      </c>
      <c r="F25" s="26">
        <f>F24+IF(U24="AB",1,0)</f>
        <v/>
      </c>
      <c r="G25" s="26">
        <f>G24+IF(U24="SC",1,0)</f>
        <v/>
      </c>
      <c r="H25" s="26">
        <f>H24+IF(U24="Mag",1,0)</f>
        <v/>
      </c>
      <c r="I25" s="26">
        <f>MAX(I24,IF(U24="OR",1,0))</f>
        <v/>
      </c>
      <c r="J25" s="26">
        <f>MAX(J24,IF(U24="HP",1,0))</f>
        <v/>
      </c>
      <c r="K25" s="26">
        <f>MAX(K24,IF(U24="FP",1,0))</f>
        <v/>
      </c>
      <c r="L25" s="26">
        <f>MAX(L24,IF(U24="transition",1,0))</f>
        <v/>
      </c>
      <c r="M25" s="28">
        <f>(Parameters!$B$9+(IF(E25=0,0,(Upgrades!$J$6+E25*Upgrades!$K$6)*POWER(Upgrades!$L$6,E25)))*(IF(Upgrades!$T$7="Solar Wind",POWER(Upgrades!$U$7,F25),1)*IF(Upgrades!$T$8="Solar Wind",POWER(Upgrades!$U$8,G25),1)*IF(Upgrades!$T$9="Solar Wind",POWER(Upgrades!$U$9,H25),1)*IF(Upgrades!$T$10="Solar Wind",POWER(Upgrades!$U$10,I25),1)*IF(Upgrades!$T$11="Solar Wind",POWER(Upgrades!$U$11,J25),1)*IF(Upgrades!$T$12="Solar Wind",POWER(Upgrades!$U$12,K25),1))+(IF(F25=0,0,(Upgrades!$J$7+F25*Upgrades!$K$7)*POWER(Upgrades!$L$7,F25)))*(IF(Upgrades!$T$6="Asteroid Belt",POWER(Upgrades!$U$6,E25),1)*IF(Upgrades!$T$8="Asteroid Belt",POWER(Upgrades!$U$8,G25),1)*IF(Upgrades!$T$9="Asteroid Belt",POWER(Upgrades!$U$9,H25),1)*IF(Upgrades!$T$10="Asteroid Belt",POWER(Upgrades!$U$10,I25),1)*IF(Upgrades!$T$11="Asteroid Belt",POWER(Upgrades!$U$11,J25),1)*IF(Upgrades!$T$12="Asteroid Belt",POWER(Upgrades!$U$12,K25),1))+(IF(G25=0,0,(Upgrades!$J$8+G25*Upgrades!$K$8)*POWER(Upgrades!$L$8,G25)))*(IF(Upgrades!$T$6="Stellar Coupling",POWER(Upgrades!$U$6,E25),1)*IF(Upgrades!$T$7="Stellar Coupling",POWER(Upgrades!$U$7,F25),1)*IF(Upgrades!$T$9="Stellar Coupling",POWER(Upgrades!$U$9,H25),1)*IF(Upgrades!$T$10="Stellar Coupling",POWER(Upgrades!$U$10,I25),1)*IF(Upgrades!$T$11="Stellar Coupling",POWER(Upgrades!$U$11,J25),1)*IF(Upgrades!$T$12="Stellar Coupling",POWER(Upgrades!$U$12,K25),1))+(IF(H25=0,0,(Upgrades!$J$9+H25*Upgrades!$K$9)*POWER(Upgrades!$L$9,H25)))*(IF(Upgrades!$T$6="Magnetosphere",POWER(Upgrades!$U$6,E25),1)*IF(Upgrades!$T$7="Magnetosphere",POWER(Upgrades!$U$7,F25),1)*IF(Upgrades!$T$8="Magnetosphere",POWER(Upgrades!$U$8,G25),1)*IF(Upgrades!$T$10="Magnetosphere",POWER(Upgrades!$U$10,I25),1)*IF(Upgrades!$T$11="Magnetosphere",POWER(Upgrades!$U$11,J25),1)*IF(Upgrades!$T$12="Magnetosphere",POWER(Upgrades!$U$12,K25),1))+(IF(I25=0,0,(Upgrades!$J$10+I25*Upgrades!$K$10)*POWER(Upgrades!$L$10,I25)))*(IF(Upgrades!$T$6="Orbital Resonance",POWER(Upgrades!$U$6,E25),1)*IF(Upgrades!$T$7="Orbital Resonance",POWER(Upgrades!$U$7,F25),1)*IF(Upgrades!$T$8="Orbital Resonance",POWER(Upgrades!$U$8,G25),1)*IF(Upgrades!$T$9="Orbital Resonance",POWER(Upgrades!$U$9,H25),1)*IF(Upgrades!$T$11="Orbital Resonance",POWER(Upgrades!$U$11,J25),1)*IF(Upgrades!$T$12="Orbital Resonance",POWER(Upgrades!$U$12,K25),1))+(IF(J25=0,0,(Upgrades!$J$11+J25*Upgrades!$K$11)*POWER(Upgrades!$L$11,J25)))*(IF(Upgrades!$T$6="Heliopause",POWER(Upgrades!$U$6,E25),1)*IF(Upgrades!$T$7="Heliopause",POWER(Upgrades!$U$7,F25),1)*IF(Upgrades!$T$8="Heliopause",POWER(Upgrades!$U$8,G25),1)*IF(Upgrades!$T$9="Heliopause",POWER(Upgrades!$U$9,H25),1)*IF(Upgrades!$T$10="Heliopause",POWER(Upgrades!$U$10,I25),1)*IF(Upgrades!$T$12="Heliopause",POWER(Upgrades!$U$12,K25),1))+(IF(K25=0,0,(Upgrades!$J$12+K25*Upgrades!$K$12)*POWER(Upgrades!$L$12,K25)))*(IF(Upgrades!$T$6="First Photons",POWER(Upgrades!$U$6,E25),1)*IF(Upgrades!$T$7="First Photons",POWER(Upgrades!$U$7,F25),1)*IF(Upgrades!$T$8="First Photons",POWER(Upgrades!$U$8,G25),1)*IF(Upgrades!$T$9="First Photons",POWER(Upgrades!$U$9,H25),1)*IF(Upgrades!$T$10="First Photons",POWER(Upgrades!$U$10,I25),1)*IF(Upgrades!$T$11="First Photons",POWER(Upgrades!$U$11,J25),1)))*POWER(Upgrades!$Q$6,E25)*POWER(Upgrades!$Q$7,F25)*POWER(Upgrades!$Q$8,G25)*POWER(Upgrades!$Q$9,H25)*POWER(Upgrades!$Q$10,I25)*POWER(Upgrades!$Q$11,J25)*POWER(Upgrades!$Q$12,K25)</f>
        <v/>
      </c>
      <c r="N25" s="28">
        <f>((IF(E25=0,0,(Upgrades!$G$6+E25*Upgrades!$H$6)*POWER(Upgrades!$I$6,E25)))*(IF(Upgrades!$T$7="Solar Wind",POWER(Upgrades!$U$7,F25),1)*IF(Upgrades!$T$8="Solar Wind",POWER(Upgrades!$U$8,G25),1)*IF(Upgrades!$T$9="Solar Wind",POWER(Upgrades!$U$9,H25),1)*IF(Upgrades!$T$10="Solar Wind",POWER(Upgrades!$U$10,I25),1)*IF(Upgrades!$T$11="Solar Wind",POWER(Upgrades!$U$11,J25),1)*IF(Upgrades!$T$12="Solar Wind",POWER(Upgrades!$U$12,K25),1))+(IF(F25=0,0,(Upgrades!$G$7+F25*Upgrades!$H$7)*POWER(Upgrades!$I$7,F25)))*(IF(Upgrades!$T$6="Asteroid Belt",POWER(Upgrades!$U$6,E25),1)*IF(Upgrades!$T$8="Asteroid Belt",POWER(Upgrades!$U$8,G25),1)*IF(Upgrades!$T$9="Asteroid Belt",POWER(Upgrades!$U$9,H25),1)*IF(Upgrades!$T$10="Asteroid Belt",POWER(Upgrades!$U$10,I25),1)*IF(Upgrades!$T$11="Asteroid Belt",POWER(Upgrades!$U$11,J25),1)*IF(Upgrades!$T$12="Asteroid Belt",POWER(Upgrades!$U$12,K25),1))+(IF(G25=0,0,(Upgrades!$G$8+G25*Upgrades!$H$8)*POWER(Upgrades!$I$8,G25)))*(IF(Upgrades!$T$6="Stellar Coupling",POWER(Upgrades!$U$6,E25),1)*IF(Upgrades!$T$7="Stellar Coupling",POWER(Upgrades!$U$7,F25),1)*IF(Upgrades!$T$9="Stellar Coupling",POWER(Upgrades!$U$9,H25),1)*IF(Upgrades!$T$10="Stellar Coupling",POWER(Upgrades!$U$10,I25),1)*IF(Upgrades!$T$11="Stellar Coupling",POWER(Upgrades!$U$11,J25),1)*IF(Upgrades!$T$12="Stellar Coupling",POWER(Upgrades!$U$12,K25),1))+(IF(H25=0,0,(Upgrades!$G$9+H25*Upgrades!$H$9)*POWER(Upgrades!$I$9,H25)))*(IF(Upgrades!$T$6="Magnetosphere",POWER(Upgrades!$U$6,E25),1)*IF(Upgrades!$T$7="Magnetosphere",POWER(Upgrades!$U$7,F25),1)*IF(Upgrades!$T$8="Magnetosphere",POWER(Upgrades!$U$8,G25),1)*IF(Upgrades!$T$10="Magnetosphere",POWER(Upgrades!$U$10,I25),1)*IF(Upgrades!$T$11="Magnetosphere",POWER(Upgrades!$U$11,J25),1)*IF(Upgrades!$T$12="Magnetosphere",POWER(Upgrades!$U$12,K25),1))+(IF(I25=0,0,(Upgrades!$G$10+I25*Upgrades!$H$10)*POWER(Upgrades!$I$10,I25)))*(IF(Upgrades!$T$6="Orbital Resonance",POWER(Upgrades!$U$6,E25),1)*IF(Upgrades!$T$7="Orbital Resonance",POWER(Upgrades!$U$7,F25),1)*IF(Upgrades!$T$8="Orbital Resonance",POWER(Upgrades!$U$8,G25),1)*IF(Upgrades!$T$9="Orbital Resonance",POWER(Upgrades!$U$9,H25),1)*IF(Upgrades!$T$11="Orbital Resonance",POWER(Upgrades!$U$11,J25),1)*IF(Upgrades!$T$12="Orbital Resonance",POWER(Upgrades!$U$12,K25),1))+(IF(J25=0,0,(Upgrades!$G$11+J25*Upgrades!$H$11)*POWER(Upgrades!$I$11,J25)))*(IF(Upgrades!$T$6="Heliopause",POWER(Upgrades!$U$6,E25),1)*IF(Upgrades!$T$7="Heliopause",POWER(Upgrades!$U$7,F25),1)*IF(Upgrades!$T$8="Heliopause",POWER(Upgrades!$U$8,G25),1)*IF(Upgrades!$T$9="Heliopause",POWER(Upgrades!$U$9,H25),1)*IF(Upgrades!$T$10="Heliopause",POWER(Upgrades!$U$10,I25),1)*IF(Upgrades!$T$12="Heliopause",POWER(Upgrades!$U$12,K25),1))+(IF(K25=0,0,(Upgrades!$G$12+K25*Upgrades!$H$12)*POWER(Upgrades!$I$12,K25)))*(IF(Upgrades!$T$6="First Photons",POWER(Upgrades!$U$6,E25),1)*IF(Upgrades!$T$7="First Photons",POWER(Upgrades!$U$7,F25),1)*IF(Upgrades!$T$8="First Photons",POWER(Upgrades!$U$8,G25),1)*IF(Upgrades!$T$9="First Photons",POWER(Upgrades!$U$9,H25),1)*IF(Upgrades!$T$10="First Photons",POWER(Upgrades!$U$10,I25),1)*IF(Upgrades!$T$11="First Photons",POWER(Upgrades!$U$11,J25),1)))*POWER(Upgrades!$P$6,E25)*POWER(Upgrades!$P$7,F25)*POWER(Upgrades!$P$8,G25)*POWER(Upgrades!$P$9,H25)*POWER(Upgrades!$P$10,I25)*POWER(Upgrades!$P$11,J25)*POWER(Upgrades!$P$12,K25)</f>
        <v/>
      </c>
      <c r="O25" s="28">
        <f>((IF(E25=0,0,(Upgrades!$M$6+E25*Upgrades!$N$6)*POWER(Upgrades!$O$6,E25)))*(IF(Upgrades!$T$7="Solar Wind",POWER(Upgrades!$U$7,F25),1)*IF(Upgrades!$T$8="Solar Wind",POWER(Upgrades!$U$8,G25),1)*IF(Upgrades!$T$9="Solar Wind",POWER(Upgrades!$U$9,H25),1)*IF(Upgrades!$T$10="Solar Wind",POWER(Upgrades!$U$10,I25),1)*IF(Upgrades!$T$11="Solar Wind",POWER(Upgrades!$U$11,J25),1)*IF(Upgrades!$T$12="Solar Wind",POWER(Upgrades!$U$12,K25),1))+(IF(F25=0,0,(Upgrades!$M$7+F25*Upgrades!$N$7)*POWER(Upgrades!$O$7,F25)))*(IF(Upgrades!$T$6="Asteroid Belt",POWER(Upgrades!$U$6,E25),1)*IF(Upgrades!$T$8="Asteroid Belt",POWER(Upgrades!$U$8,G25),1)*IF(Upgrades!$T$9="Asteroid Belt",POWER(Upgrades!$U$9,H25),1)*IF(Upgrades!$T$10="Asteroid Belt",POWER(Upgrades!$U$10,I25),1)*IF(Upgrades!$T$11="Asteroid Belt",POWER(Upgrades!$U$11,J25),1)*IF(Upgrades!$T$12="Asteroid Belt",POWER(Upgrades!$U$12,K25),1))+(IF(G25=0,0,(Upgrades!$M$8+G25*Upgrades!$N$8)*POWER(Upgrades!$O$8,G25)))*(IF(Upgrades!$T$6="Stellar Coupling",POWER(Upgrades!$U$6,E25),1)*IF(Upgrades!$T$7="Stellar Coupling",POWER(Upgrades!$U$7,F25),1)*IF(Upgrades!$T$9="Stellar Coupling",POWER(Upgrades!$U$9,H25),1)*IF(Upgrades!$T$10="Stellar Coupling",POWER(Upgrades!$U$10,I25),1)*IF(Upgrades!$T$11="Stellar Coupling",POWER(Upgrades!$U$11,J25),1)*IF(Upgrades!$T$12="Stellar Coupling",POWER(Upgrades!$U$12,K25),1))+(IF(H25=0,0,(Upgrades!$M$9+H25*Upgrades!$N$9)*POWER(Upgrades!$O$9,H25)))*(IF(Upgrades!$T$6="Magnetosphere",POWER(Upgrades!$U$6,E25),1)*IF(Upgrades!$T$7="Magnetosphere",POWER(Upgrades!$U$7,F25),1)*IF(Upgrades!$T$8="Magnetosphere",POWER(Upgrades!$U$8,G25),1)*IF(Upgrades!$T$10="Magnetosphere",POWER(Upgrades!$U$10,I25),1)*IF(Upgrades!$T$11="Magnetosphere",POWER(Upgrades!$U$11,J25),1)*IF(Upgrades!$T$12="Magnetosphere",POWER(Upgrades!$U$12,K25),1))+(IF(I25=0,0,(Upgrades!$M$10+I25*Upgrades!$N$10)*POWER(Upgrades!$O$10,I25)))*(IF(Upgrades!$T$6="Orbital Resonance",POWER(Upgrades!$U$6,E25),1)*IF(Upgrades!$T$7="Orbital Resonance",POWER(Upgrades!$U$7,F25),1)*IF(Upgrades!$T$8="Orbital Resonance",POWER(Upgrades!$U$8,G25),1)*IF(Upgrades!$T$9="Orbital Resonance",POWER(Upgrades!$U$9,H25),1)*IF(Upgrades!$T$11="Orbital Resonance",POWER(Upgrades!$U$11,J25),1)*IF(Upgrades!$T$12="Orbital Resonance",POWER(Upgrades!$U$12,K25),1))+(IF(J25=0,0,(Upgrades!$M$11+J25*Upgrades!$N$11)*POWER(Upgrades!$O$11,J25)))*(IF(Upgrades!$T$6="Heliopause",POWER(Upgrades!$U$6,E25),1)*IF(Upgrades!$T$7="Heliopause",POWER(Upgrades!$U$7,F25),1)*IF(Upgrades!$T$8="Heliopause",POWER(Upgrades!$U$8,G25),1)*IF(Upgrades!$T$9="Heliopause",POWER(Upgrades!$U$9,H25),1)*IF(Upgrades!$T$10="Heliopause",POWER(Upgrades!$U$10,I25),1)*IF(Upgrades!$T$12="Heliopause",POWER(Upgrades!$U$12,K25),1))+(IF(K25=0,0,(Upgrades!$M$12+K25*Upgrades!$N$12)*POWER(Upgrades!$O$12,K25)))*(IF(Upgrades!$T$6="First Photons",POWER(Upgrades!$U$6,E25),1)*IF(Upgrades!$T$7="First Photons",POWER(Upgrades!$U$7,F25),1)*IF(Upgrades!$T$8="First Photons",POWER(Upgrades!$U$8,G25),1)*IF(Upgrades!$T$9="First Photons",POWER(Upgrades!$U$9,H25),1)*IF(Upgrades!$T$10="First Photons",POWER(Upgrades!$U$10,I25),1)*IF(Upgrades!$T$11="First Photons",POWER(Upgrades!$U$11,J25),1)))*POWER(Upgrades!$R$6,E25)*POWER(Upgrades!$R$7,F25)*POWER(Upgrades!$R$8,G25)*POWER(Upgrades!$R$9,H25)*POWER(Upgrades!$R$10,I25)*POWER(Upgrades!$R$11,J25)*POWER(Upgrades!$R$12,K25)</f>
        <v/>
      </c>
      <c r="P25" s="27">
        <f>IF(L25=1,0,M25*Parameters!$B$10/60*Parameters!$B$11*10)</f>
        <v/>
      </c>
      <c r="Q25" s="27">
        <f>IF(L25=1,0,O25*M25*10)</f>
        <v/>
      </c>
      <c r="R25" s="27">
        <f>IF(L25=1,0,N25*10)</f>
        <v/>
      </c>
      <c r="S25" s="27">
        <f>P25+Q25+R25</f>
        <v/>
      </c>
      <c r="T25" s="22">
        <f>C25+S25</f>
        <v/>
      </c>
      <c r="U25" s="33">
        <f>AX25</f>
        <v/>
      </c>
      <c r="V25" s="22">
        <f>IF(U25="",0,IF(U25="transition",0,IF(U25="SW",AG25,IF(U25="AB",AH25,IF(U25="SC",AI25,IF(U25="Mag",AJ25,IF(U25="OR",AK25,IF(U25="HP",AL25,IF(U25="FP",AM25,0)))))))))</f>
        <v/>
      </c>
      <c r="W25" s="27">
        <f>IF(U25="OR",Upgrades!$F$10,IF(U25="HP",Upgrades!$F$11,IF(U25="transition",-Parameters!$B$18,0)))</f>
        <v/>
      </c>
      <c r="X25" s="22">
        <f>T25-V25</f>
        <v/>
      </c>
      <c r="Y25" s="30">
        <f>M25*Parameters!$B$10/60*Parameters!$B$11+O25*M25+N25</f>
        <v/>
      </c>
      <c r="Z25" s="34">
        <f>IF(U25="transition","→ Tier 2 (Stellar Neighborhood)",IF(U25="FP","First Photons — light begins, system quickens",IF(U25="HP","Heliopause acquired",IF(U25="OR","Orbital Resonance — passive multiplier active",IF(AND(AO25=1,L25=0,AN25&lt;&gt;1),"Cohesion ready (waiting on completionist upgrades)","")))))</f>
        <v/>
      </c>
      <c r="AA25" s="27">
        <f>(IF(E25=0,0,(Upgrades!$G$6+E25*Upgrades!$H$6)*POWER(Upgrades!$I$6,E25)))*(IF(Upgrades!$T$7="Solar Wind",POWER(Upgrades!$U$7,F25),1)*IF(Upgrades!$T$8="Solar Wind",POWER(Upgrades!$U$8,G25),1)*IF(Upgrades!$T$9="Solar Wind",POWER(Upgrades!$U$9,H25),1)*IF(Upgrades!$T$10="Solar Wind",POWER(Upgrades!$U$10,I25),1)*IF(Upgrades!$T$11="Solar Wind",POWER(Upgrades!$U$11,J25),1)*IF(Upgrades!$T$12="Solar Wind",POWER(Upgrades!$U$12,K25),1))*POWER(Upgrades!$P$6,E25)*POWER(Upgrades!$P$7,F25)*POWER(Upgrades!$P$8,G25)*POWER(Upgrades!$P$9,H25)*POWER(Upgrades!$P$10,I25)*POWER(Upgrades!$P$11,J25)*POWER(Upgrades!$P$12,K25)*60</f>
        <v/>
      </c>
      <c r="AB25" s="27">
        <f>(IF(F25=0,0,(Upgrades!$G$7+F25*Upgrades!$H$7)*POWER(Upgrades!$I$7,F25)))*(IF(Upgrades!$T$6="Asteroid Belt",POWER(Upgrades!$U$6,E25),1)*IF(Upgrades!$T$8="Asteroid Belt",POWER(Upgrades!$U$8,G25),1)*IF(Upgrades!$T$9="Asteroid Belt",POWER(Upgrades!$U$9,H25),1)*IF(Upgrades!$T$10="Asteroid Belt",POWER(Upgrades!$U$10,I25),1)*IF(Upgrades!$T$11="Asteroid Belt",POWER(Upgrades!$U$11,J25),1)*IF(Upgrades!$T$12="Asteroid Belt",POWER(Upgrades!$U$12,K25),1))*POWER(Upgrades!$P$6,E25)*POWER(Upgrades!$P$7,F25)*POWER(Upgrades!$P$8,G25)*POWER(Upgrades!$P$9,H25)*POWER(Upgrades!$P$10,I25)*POWER(Upgrades!$P$11,J25)*POWER(Upgrades!$P$12,K25)*60</f>
        <v/>
      </c>
      <c r="AC25" s="27">
        <f>(IF(G25=0,0,(Upgrades!$J$8+G25*Upgrades!$K$8)*POWER(Upgrades!$L$8,G25)))*(IF(Upgrades!$T$6="Stellar Coupling",POWER(Upgrades!$U$6,E25),1)*IF(Upgrades!$T$7="Stellar Coupling",POWER(Upgrades!$U$7,F25),1)*IF(Upgrades!$T$9="Stellar Coupling",POWER(Upgrades!$U$9,H25),1)*IF(Upgrades!$T$10="Stellar Coupling",POWER(Upgrades!$U$10,I25),1)*IF(Upgrades!$T$11="Stellar Coupling",POWER(Upgrades!$U$11,J25),1)*IF(Upgrades!$T$12="Stellar Coupling",POWER(Upgrades!$U$12,K25),1))*POWER(Upgrades!$Q$6,E25)*POWER(Upgrades!$Q$7,F25)*POWER(Upgrades!$Q$8,G25)*POWER(Upgrades!$Q$9,H25)*POWER(Upgrades!$Q$10,I25)*POWER(Upgrades!$Q$11,J25)*POWER(Upgrades!$Q$12,K25)*Parameters!$B$10*Parameters!$B$11</f>
        <v/>
      </c>
      <c r="AD25" s="27">
        <f>(IF(H25=0,0,(Upgrades!$G$9+H25*Upgrades!$H$9)*POWER(Upgrades!$I$9,H25)))*(IF(Upgrades!$T$6="Magnetosphere",POWER(Upgrades!$U$6,E25),1)*IF(Upgrades!$T$7="Magnetosphere",POWER(Upgrades!$U$7,F25),1)*IF(Upgrades!$T$8="Magnetosphere",POWER(Upgrades!$U$8,G25),1)*IF(Upgrades!$T$10="Magnetosphere",POWER(Upgrades!$U$10,I25),1)*IF(Upgrades!$T$11="Magnetosphere",POWER(Upgrades!$U$11,J25),1)*IF(Upgrades!$T$12="Magnetosphere",POWER(Upgrades!$U$12,K25),1))*POWER(Upgrades!$P$6,E25)*POWER(Upgrades!$P$7,F25)*POWER(Upgrades!$P$8,G25)*POWER(Upgrades!$P$9,H25)*POWER(Upgrades!$P$10,I25)*POWER(Upgrades!$P$11,J25)*POWER(Upgrades!$P$12,K25)*60</f>
        <v/>
      </c>
      <c r="AE25" s="27">
        <f>(IF(K25=0,0,(Upgrades!$G$12+K25*Upgrades!$H$12)*POWER(Upgrades!$I$12,K25)))*(IF(Upgrades!$T$6="First Photons",POWER(Upgrades!$U$6,E25),1)*IF(Upgrades!$T$7="First Photons",POWER(Upgrades!$U$7,F25),1)*IF(Upgrades!$T$8="First Photons",POWER(Upgrades!$U$8,G25),1)*IF(Upgrades!$T$9="First Photons",POWER(Upgrades!$U$9,H25),1)*IF(Upgrades!$T$10="First Photons",POWER(Upgrades!$U$10,I25),1)*IF(Upgrades!$T$11="First Photons",POWER(Upgrades!$U$11,J25),1))*POWER(Upgrades!$P$6,E25)*POWER(Upgrades!$P$7,F25)*POWER(Upgrades!$P$8,G25)*POWER(Upgrades!$P$9,H25)*POWER(Upgrades!$P$10,I25)*POWER(Upgrades!$P$11,J25)*POWER(Upgrades!$P$12,K25)*60</f>
        <v/>
      </c>
      <c r="AF25" s="27">
        <f>Parameters!$B$9*POWER(Upgrades!$Q$6,E25)*POWER(Upgrades!$Q$7,F25)*POWER(Upgrades!$Q$8,G25)*POWER(Upgrades!$Q$9,H25)*POWER(Upgrades!$Q$10,I25)*POWER(Upgrades!$Q$11,J25)*POWER(Upgrades!$Q$12,K25)*(Parameters!$B$10*Parameters!$B$11+O25*60)</f>
        <v/>
      </c>
      <c r="AG25" s="22">
        <f>IF(E25&gt;=Upgrades!$E$6,"",Upgrades!$C$6*POWER(Upgrades!$D$6,E25))</f>
        <v/>
      </c>
      <c r="AH25" s="22">
        <f>IF(F25&gt;=Upgrades!$E$7,"",Upgrades!$C$7*POWER(Upgrades!$D$7,F25))</f>
        <v/>
      </c>
      <c r="AI25" s="22">
        <f>IF(G25&gt;=Upgrades!$E$8,"",Upgrades!$C$8*POWER(Upgrades!$D$8,G25))</f>
        <v/>
      </c>
      <c r="AJ25" s="22">
        <f>IF(H25&gt;=Upgrades!$E$9,"",Upgrades!$C$9*POWER(Upgrades!$D$9,H25))</f>
        <v/>
      </c>
      <c r="AK25" s="22">
        <f>IF(I25&gt;=Upgrades!$E$10,"",Upgrades!$C$10*POWER(Upgrades!$D$10,I25))</f>
        <v/>
      </c>
      <c r="AL25" s="22">
        <f>IF(J25&gt;=Upgrades!$E$11,"",Upgrades!$C$11*POWER(Upgrades!$D$11,J25))</f>
        <v/>
      </c>
      <c r="AM25" s="22">
        <f>IF(K25&gt;=Upgrades!$E$12,"",Upgrades!$C$12*POWER(Upgrades!$D$12,K25))</f>
        <v/>
      </c>
      <c r="AN25" s="26">
        <f>IF(AND(D25&gt;=Parameters!$B$18,(H25&gt;=Upgrades!$E$9)*(K25&gt;=Upgrades!$E$12)=1,L25=0),1,"")</f>
        <v/>
      </c>
      <c r="AO25" s="26">
        <f>IF(AND(D25&gt;=Parameters!$B$18,L25=0),1,"")</f>
        <v/>
      </c>
      <c r="AP25" s="22">
        <f>MIN(IF(ISNUMBER(AK25),AK25,9E15),IF(ISNUMBER(AL25),AL25,9E15),IF(ISNUMBER(AM25),AM25,9E15))</f>
        <v/>
      </c>
      <c r="AQ25" s="22">
        <f>MIN(IF(ISNUMBER(AG25),AG25,9E15),IF(ISNUMBER(AH25),AH25,9E15),IF(ISNUMBER(AI25),AI25,9E15),IF(ISNUMBER(AJ25),AJ25,9E15))</f>
        <v/>
      </c>
      <c r="AR25" s="29">
        <f>IF(AW25&gt;Parameters!$B$21*(MAX(IF(AND(NOT(AND(AO25=1,AN25&lt;&gt;1)),ISNUMBER(AG25),AG25&lt;=T25),AS25,0),IF(AND(NOT(AND(AO25=1,AN25&lt;&gt;1)),ISNUMBER(AH25),AH25&lt;=T25),AT25,0),IF(AND(NOT(AND(AO25=1,AN25&lt;&gt;1)),ISNUMBER(AI25),AI25&lt;=T25),AU25,0),IF(AND(ISNUMBER(AJ25),AJ25&lt;=T25),AV25,0))),TRUE,FALSE)</f>
        <v/>
      </c>
      <c r="AS25" s="32">
        <f>IFERROR(Upgrades!$H$6*(POWER(Upgrades!$P$6,E25)*POWER(Upgrades!$P$7,F25)*POWER(Upgrades!$P$8,G25)*POWER(Upgrades!$P$9,H25)*POWER(Upgrades!$P$10,I25)*POWER(Upgrades!$P$11,J25)*POWER(Upgrades!$P$12,K25))*(IF(Upgrades!$T$7="Solar Wind",POWER(Upgrades!$U$7,F25),1)*IF(Upgrades!$T$8="Solar Wind",POWER(Upgrades!$U$8,G25),1)*IF(Upgrades!$T$9="Solar Wind",POWER(Upgrades!$U$9,H25),1)*IF(Upgrades!$T$10="Solar Wind",POWER(Upgrades!$U$10,I25),1)*IF(Upgrades!$T$11="Solar Wind",POWER(Upgrades!$U$11,J25),1)*IF(Upgrades!$T$12="Solar Wind",POWER(Upgrades!$U$12,K25),1))/AG25,0)</f>
        <v/>
      </c>
      <c r="AT25" s="32">
        <f>IFERROR(Upgrades!$H$7*(POWER(Upgrades!$P$6,E25)*POWER(Upgrades!$P$7,F25)*POWER(Upgrades!$P$8,G25)*POWER(Upgrades!$P$9,H25)*POWER(Upgrades!$P$10,I25)*POWER(Upgrades!$P$11,J25)*POWER(Upgrades!$P$12,K25))*(IF(Upgrades!$T$6="Asteroid Belt",POWER(Upgrades!$U$6,E25),1)*IF(Upgrades!$T$8="Asteroid Belt",POWER(Upgrades!$U$8,G25),1)*IF(Upgrades!$T$9="Asteroid Belt",POWER(Upgrades!$U$9,H25),1)*IF(Upgrades!$T$10="Asteroid Belt",POWER(Upgrades!$U$10,I25),1)*IF(Upgrades!$T$11="Asteroid Belt",POWER(Upgrades!$U$11,J25),1)*IF(Upgrades!$T$12="Asteroid Belt",POWER(Upgrades!$U$12,K25),1))/AH25,0)</f>
        <v/>
      </c>
      <c r="AU25" s="32">
        <f>IFERROR(Upgrades!$K$8*(POWER(Upgrades!$Q$6,E25)*POWER(Upgrades!$Q$7,F25)*POWER(Upgrades!$Q$8,G25)*POWER(Upgrades!$Q$9,H25)*POWER(Upgrades!$Q$10,I25)*POWER(Upgrades!$Q$11,J25)*POWER(Upgrades!$Q$12,K25))*(IF(Upgrades!$T$6="Stellar Coupling",POWER(Upgrades!$U$6,E25),1)*IF(Upgrades!$T$7="Stellar Coupling",POWER(Upgrades!$U$7,F25),1)*IF(Upgrades!$T$9="Stellar Coupling",POWER(Upgrades!$U$9,H25),1)*IF(Upgrades!$T$10="Stellar Coupling",POWER(Upgrades!$U$10,I25),1)*IF(Upgrades!$T$11="Stellar Coupling",POWER(Upgrades!$U$11,J25),1)*IF(Upgrades!$T$12="Stellar Coupling",POWER(Upgrades!$U$12,K25),1))*Parameters!$B$10*Parameters!$B$11/60/AI25,0)</f>
        <v/>
      </c>
      <c r="AV25" s="32">
        <f>IFERROR(Upgrades!$H$9*(POWER(Upgrades!$P$6,E25)*POWER(Upgrades!$P$7,F25)*POWER(Upgrades!$P$8,G25)*POWER(Upgrades!$P$9,H25)*POWER(Upgrades!$P$10,I25)*POWER(Upgrades!$P$11,J25)*POWER(Upgrades!$P$12,K25))*(IF(Upgrades!$T$6="Magnetosphere",POWER(Upgrades!$U$6,E25),1)*IF(Upgrades!$T$7="Magnetosphere",POWER(Upgrades!$U$7,F25),1)*IF(Upgrades!$T$8="Magnetosphere",POWER(Upgrades!$U$8,G25),1)*IF(Upgrades!$T$10="Magnetosphere",POWER(Upgrades!$U$10,I25),1)*IF(Upgrades!$T$11="Magnetosphere",POWER(Upgrades!$U$11,J25),1)*IF(Upgrades!$T$12="Magnetosphere",POWER(Upgrades!$U$12,K25),1))/AJ25,0)</f>
        <v/>
      </c>
      <c r="AW25" s="32">
        <f>MAX(IF(I25&gt;0,0,IFERROR(0.25*N25/Upgrades!$C$10,0)),IF(J25&gt;0,0,IFERROR(0.5*((IF(G25=0,0,(Upgrades!$J$8+G25*Upgrades!$K$8)*POWER(Upgrades!$L$8,G25)))*(IF(Upgrades!$T$6="Stellar Coupling",POWER(Upgrades!$U$6,E25),1)*IF(Upgrades!$T$7="Stellar Coupling",POWER(Upgrades!$U$7,F25),1)*IF(Upgrades!$T$9="Stellar Coupling",POWER(Upgrades!$U$9,H25),1)*IF(Upgrades!$T$10="Stellar Coupling",POWER(Upgrades!$U$10,I25),1)*IF(Upgrades!$T$11="Stellar Coupling",POWER(Upgrades!$U$11,J25),1)*IF(Upgrades!$T$12="Stellar Coupling",POWER(Upgrades!$U$12,K25),1))*(POWER(Upgrades!$Q$6,E25)*POWER(Upgrades!$Q$7,F25)*POWER(Upgrades!$Q$8,G25)*POWER(Upgrades!$Q$9,H25)*POWER(Upgrades!$Q$10,I25)*POWER(Upgrades!$Q$11,J25)*POWER(Upgrades!$Q$12,K25))*Parameters!$B$10*Parameters!$B$11/60)/Upgrades!$C$11,0)),IF(K25&gt;0,0,IFERROR((1.0*(POWER(Upgrades!$P$6,E25)*POWER(Upgrades!$P$7,F25)*POWER(Upgrades!$P$8,G25)*POWER(Upgrades!$P$9,H25)*POWER(Upgrades!$P$10,I25)*POWER(Upgrades!$P$11,J25)*POWER(Upgrades!$P$12,K25))+0.20*M25*Parameters!$B$10*Parameters!$B$11/60)/Upgrades!$C$12,0)),IF(AND(ISNUMBER(AG25),AG25&gt;T25),AS25,0),IF(AND(ISNUMBER(AH25),AH25&gt;T25),AT25,0),IF(AND(ISNUMBER(AI25),AI25&gt;T25),AU25,0),IF(AND(ISNUMBER(AJ25),AJ25&gt;T25),AV25,0))</f>
        <v/>
      </c>
      <c r="AX25" s="29">
        <f>IF(AN25=1,"transition",IF(MIN(IF(AND(I25=0,ISNUMBER(AK25),AK25&lt;=T25),AK25,9E15),IF(AND(J25=0,ISNUMBER(AL25),AL25&lt;=T25),AL25,9E15),IF(AND(K25=0,ISNUMBER(AM25),AM25&lt;=T25),AM25,9E15))&lt;9E15,IF(AND(AND(I25=0,ISNUMBER(AK25),AK25&lt;=T25),AK25=MIN(IF(AND(I25=0,ISNUMBER(AK25),AK25&lt;=T25),AK25,9E15),IF(AND(J25=0,ISNUMBER(AL25),AL25&lt;=T25),AL25,9E15),IF(AND(K25=0,ISNUMBER(AM25),AM25&lt;=T25),AM25,9E15))),"OR",IF(AND(AND(J25=0,ISNUMBER(AL25),AL25&lt;=T25),AL25=MIN(IF(AND(I25=0,ISNUMBER(AK25),AK25&lt;=T25),AK25,9E15),IF(AND(J25=0,ISNUMBER(AL25),AL25&lt;=T25),AL25,9E15),IF(AND(K25=0,ISNUMBER(AM25),AM25&lt;=T25),AM25,9E15))),"HP","FP")),IF(AR25=TRUE,"",IF(MAX(IF(AND(NOT(AND(AO25=1,AN25&lt;&gt;1)),ISNUMBER(AG25),AG25&lt;=T25),AS25,0),IF(AND(NOT(AND(AO25=1,AN25&lt;&gt;1)),ISNUMBER(AH25),AH25&lt;=T25),AT25,0),IF(AND(NOT(AND(AO25=1,AN25&lt;&gt;1)),ISNUMBER(AI25),AI25&lt;=T25),AU25,0),IF(AND(ISNUMBER(AJ25),AJ25&lt;=T25),AV25,0))&lt;=0,"",IF(AND(IF(AND(NOT(AND(AO25=1,AN25&lt;&gt;1)),ISNUMBER(AG25),AG25&lt;=T25),AS25,0)&gt;0,IF(AND(NOT(AND(AO25=1,AN25&lt;&gt;1)),ISNUMBER(AG25),AG25&lt;=T25),AS25,0)=MAX(IF(AND(NOT(AND(AO25=1,AN25&lt;&gt;1)),ISNUMBER(AG25),AG25&lt;=T25),AS25,0),IF(AND(NOT(AND(AO25=1,AN25&lt;&gt;1)),ISNUMBER(AH25),AH25&lt;=T25),AT25,0),IF(AND(NOT(AND(AO25=1,AN25&lt;&gt;1)),ISNUMBER(AI25),AI25&lt;=T25),AU25,0),IF(AND(ISNUMBER(AJ25),AJ25&lt;=T25),AV25,0))),"SW",IF(AND(IF(AND(NOT(AND(AO25=1,AN25&lt;&gt;1)),ISNUMBER(AH25),AH25&lt;=T25),AT25,0)&gt;0,IF(AND(NOT(AND(AO25=1,AN25&lt;&gt;1)),ISNUMBER(AH25),AH25&lt;=T25),AT25,0)=MAX(IF(AND(NOT(AND(AO25=1,AN25&lt;&gt;1)),ISNUMBER(AG25),AG25&lt;=T25),AS25,0),IF(AND(NOT(AND(AO25=1,AN25&lt;&gt;1)),ISNUMBER(AH25),AH25&lt;=T25),AT25,0),IF(AND(NOT(AND(AO25=1,AN25&lt;&gt;1)),ISNUMBER(AI25),AI25&lt;=T25),AU25,0),IF(AND(ISNUMBER(AJ25),AJ25&lt;=T25),AV25,0))),"AB",IF(AND(IF(AND(NOT(AND(AO25=1,AN25&lt;&gt;1)),ISNUMBER(AI25),AI25&lt;=T25),AU25,0)&gt;0,IF(AND(NOT(AND(AO25=1,AN25&lt;&gt;1)),ISNUMBER(AI25),AI25&lt;=T25),AU25,0)=MAX(IF(AND(NOT(AND(AO25=1,AN25&lt;&gt;1)),ISNUMBER(AG25),AG25&lt;=T25),AS25,0),IF(AND(NOT(AND(AO25=1,AN25&lt;&gt;1)),ISNUMBER(AH25),AH25&lt;=T25),AT25,0),IF(AND(NOT(AND(AO25=1,AN25&lt;&gt;1)),ISNUMBER(AI25),AI25&lt;=T25),AU25,0),IF(AND(ISNUMBER(AJ25),AJ25&lt;=T25),AV25,0))),"SC","Mag")))))))</f>
        <v/>
      </c>
    </row>
    <row r="26">
      <c r="A26" s="26" t="n">
        <v>21</v>
      </c>
      <c r="B26" s="27">
        <f>A26*10/60</f>
        <v/>
      </c>
      <c r="C26" s="22">
        <f>X25</f>
        <v/>
      </c>
      <c r="D26" s="27">
        <f>D25+W25</f>
        <v/>
      </c>
      <c r="E26" s="26">
        <f>E25+IF(U25="SW",1,0)</f>
        <v/>
      </c>
      <c r="F26" s="26">
        <f>F25+IF(U25="AB",1,0)</f>
        <v/>
      </c>
      <c r="G26" s="26">
        <f>G25+IF(U25="SC",1,0)</f>
        <v/>
      </c>
      <c r="H26" s="26">
        <f>H25+IF(U25="Mag",1,0)</f>
        <v/>
      </c>
      <c r="I26" s="26">
        <f>MAX(I25,IF(U25="OR",1,0))</f>
        <v/>
      </c>
      <c r="J26" s="26">
        <f>MAX(J25,IF(U25="HP",1,0))</f>
        <v/>
      </c>
      <c r="K26" s="26">
        <f>MAX(K25,IF(U25="FP",1,0))</f>
        <v/>
      </c>
      <c r="L26" s="26">
        <f>MAX(L25,IF(U25="transition",1,0))</f>
        <v/>
      </c>
      <c r="M26" s="28">
        <f>(Parameters!$B$9+(IF(E26=0,0,(Upgrades!$J$6+E26*Upgrades!$K$6)*POWER(Upgrades!$L$6,E26)))*(IF(Upgrades!$T$7="Solar Wind",POWER(Upgrades!$U$7,F26),1)*IF(Upgrades!$T$8="Solar Wind",POWER(Upgrades!$U$8,G26),1)*IF(Upgrades!$T$9="Solar Wind",POWER(Upgrades!$U$9,H26),1)*IF(Upgrades!$T$10="Solar Wind",POWER(Upgrades!$U$10,I26),1)*IF(Upgrades!$T$11="Solar Wind",POWER(Upgrades!$U$11,J26),1)*IF(Upgrades!$T$12="Solar Wind",POWER(Upgrades!$U$12,K26),1))+(IF(F26=0,0,(Upgrades!$J$7+F26*Upgrades!$K$7)*POWER(Upgrades!$L$7,F26)))*(IF(Upgrades!$T$6="Asteroid Belt",POWER(Upgrades!$U$6,E26),1)*IF(Upgrades!$T$8="Asteroid Belt",POWER(Upgrades!$U$8,G26),1)*IF(Upgrades!$T$9="Asteroid Belt",POWER(Upgrades!$U$9,H26),1)*IF(Upgrades!$T$10="Asteroid Belt",POWER(Upgrades!$U$10,I26),1)*IF(Upgrades!$T$11="Asteroid Belt",POWER(Upgrades!$U$11,J26),1)*IF(Upgrades!$T$12="Asteroid Belt",POWER(Upgrades!$U$12,K26),1))+(IF(G26=0,0,(Upgrades!$J$8+G26*Upgrades!$K$8)*POWER(Upgrades!$L$8,G26)))*(IF(Upgrades!$T$6="Stellar Coupling",POWER(Upgrades!$U$6,E26),1)*IF(Upgrades!$T$7="Stellar Coupling",POWER(Upgrades!$U$7,F26),1)*IF(Upgrades!$T$9="Stellar Coupling",POWER(Upgrades!$U$9,H26),1)*IF(Upgrades!$T$10="Stellar Coupling",POWER(Upgrades!$U$10,I26),1)*IF(Upgrades!$T$11="Stellar Coupling",POWER(Upgrades!$U$11,J26),1)*IF(Upgrades!$T$12="Stellar Coupling",POWER(Upgrades!$U$12,K26),1))+(IF(H26=0,0,(Upgrades!$J$9+H26*Upgrades!$K$9)*POWER(Upgrades!$L$9,H26)))*(IF(Upgrades!$T$6="Magnetosphere",POWER(Upgrades!$U$6,E26),1)*IF(Upgrades!$T$7="Magnetosphere",POWER(Upgrades!$U$7,F26),1)*IF(Upgrades!$T$8="Magnetosphere",POWER(Upgrades!$U$8,G26),1)*IF(Upgrades!$T$10="Magnetosphere",POWER(Upgrades!$U$10,I26),1)*IF(Upgrades!$T$11="Magnetosphere",POWER(Upgrades!$U$11,J26),1)*IF(Upgrades!$T$12="Magnetosphere",POWER(Upgrades!$U$12,K26),1))+(IF(I26=0,0,(Upgrades!$J$10+I26*Upgrades!$K$10)*POWER(Upgrades!$L$10,I26)))*(IF(Upgrades!$T$6="Orbital Resonance",POWER(Upgrades!$U$6,E26),1)*IF(Upgrades!$T$7="Orbital Resonance",POWER(Upgrades!$U$7,F26),1)*IF(Upgrades!$T$8="Orbital Resonance",POWER(Upgrades!$U$8,G26),1)*IF(Upgrades!$T$9="Orbital Resonance",POWER(Upgrades!$U$9,H26),1)*IF(Upgrades!$T$11="Orbital Resonance",POWER(Upgrades!$U$11,J26),1)*IF(Upgrades!$T$12="Orbital Resonance",POWER(Upgrades!$U$12,K26),1))+(IF(J26=0,0,(Upgrades!$J$11+J26*Upgrades!$K$11)*POWER(Upgrades!$L$11,J26)))*(IF(Upgrades!$T$6="Heliopause",POWER(Upgrades!$U$6,E26),1)*IF(Upgrades!$T$7="Heliopause",POWER(Upgrades!$U$7,F26),1)*IF(Upgrades!$T$8="Heliopause",POWER(Upgrades!$U$8,G26),1)*IF(Upgrades!$T$9="Heliopause",POWER(Upgrades!$U$9,H26),1)*IF(Upgrades!$T$10="Heliopause",POWER(Upgrades!$U$10,I26),1)*IF(Upgrades!$T$12="Heliopause",POWER(Upgrades!$U$12,K26),1))+(IF(K26=0,0,(Upgrades!$J$12+K26*Upgrades!$K$12)*POWER(Upgrades!$L$12,K26)))*(IF(Upgrades!$T$6="First Photons",POWER(Upgrades!$U$6,E26),1)*IF(Upgrades!$T$7="First Photons",POWER(Upgrades!$U$7,F26),1)*IF(Upgrades!$T$8="First Photons",POWER(Upgrades!$U$8,G26),1)*IF(Upgrades!$T$9="First Photons",POWER(Upgrades!$U$9,H26),1)*IF(Upgrades!$T$10="First Photons",POWER(Upgrades!$U$10,I26),1)*IF(Upgrades!$T$11="First Photons",POWER(Upgrades!$U$11,J26),1)))*POWER(Upgrades!$Q$6,E26)*POWER(Upgrades!$Q$7,F26)*POWER(Upgrades!$Q$8,G26)*POWER(Upgrades!$Q$9,H26)*POWER(Upgrades!$Q$10,I26)*POWER(Upgrades!$Q$11,J26)*POWER(Upgrades!$Q$12,K26)</f>
        <v/>
      </c>
      <c r="N26" s="28">
        <f>((IF(E26=0,0,(Upgrades!$G$6+E26*Upgrades!$H$6)*POWER(Upgrades!$I$6,E26)))*(IF(Upgrades!$T$7="Solar Wind",POWER(Upgrades!$U$7,F26),1)*IF(Upgrades!$T$8="Solar Wind",POWER(Upgrades!$U$8,G26),1)*IF(Upgrades!$T$9="Solar Wind",POWER(Upgrades!$U$9,H26),1)*IF(Upgrades!$T$10="Solar Wind",POWER(Upgrades!$U$10,I26),1)*IF(Upgrades!$T$11="Solar Wind",POWER(Upgrades!$U$11,J26),1)*IF(Upgrades!$T$12="Solar Wind",POWER(Upgrades!$U$12,K26),1))+(IF(F26=0,0,(Upgrades!$G$7+F26*Upgrades!$H$7)*POWER(Upgrades!$I$7,F26)))*(IF(Upgrades!$T$6="Asteroid Belt",POWER(Upgrades!$U$6,E26),1)*IF(Upgrades!$T$8="Asteroid Belt",POWER(Upgrades!$U$8,G26),1)*IF(Upgrades!$T$9="Asteroid Belt",POWER(Upgrades!$U$9,H26),1)*IF(Upgrades!$T$10="Asteroid Belt",POWER(Upgrades!$U$10,I26),1)*IF(Upgrades!$T$11="Asteroid Belt",POWER(Upgrades!$U$11,J26),1)*IF(Upgrades!$T$12="Asteroid Belt",POWER(Upgrades!$U$12,K26),1))+(IF(G26=0,0,(Upgrades!$G$8+G26*Upgrades!$H$8)*POWER(Upgrades!$I$8,G26)))*(IF(Upgrades!$T$6="Stellar Coupling",POWER(Upgrades!$U$6,E26),1)*IF(Upgrades!$T$7="Stellar Coupling",POWER(Upgrades!$U$7,F26),1)*IF(Upgrades!$T$9="Stellar Coupling",POWER(Upgrades!$U$9,H26),1)*IF(Upgrades!$T$10="Stellar Coupling",POWER(Upgrades!$U$10,I26),1)*IF(Upgrades!$T$11="Stellar Coupling",POWER(Upgrades!$U$11,J26),1)*IF(Upgrades!$T$12="Stellar Coupling",POWER(Upgrades!$U$12,K26),1))+(IF(H26=0,0,(Upgrades!$G$9+H26*Upgrades!$H$9)*POWER(Upgrades!$I$9,H26)))*(IF(Upgrades!$T$6="Magnetosphere",POWER(Upgrades!$U$6,E26),1)*IF(Upgrades!$T$7="Magnetosphere",POWER(Upgrades!$U$7,F26),1)*IF(Upgrades!$T$8="Magnetosphere",POWER(Upgrades!$U$8,G26),1)*IF(Upgrades!$T$10="Magnetosphere",POWER(Upgrades!$U$10,I26),1)*IF(Upgrades!$T$11="Magnetosphere",POWER(Upgrades!$U$11,J26),1)*IF(Upgrades!$T$12="Magnetosphere",POWER(Upgrades!$U$12,K26),1))+(IF(I26=0,0,(Upgrades!$G$10+I26*Upgrades!$H$10)*POWER(Upgrades!$I$10,I26)))*(IF(Upgrades!$T$6="Orbital Resonance",POWER(Upgrades!$U$6,E26),1)*IF(Upgrades!$T$7="Orbital Resonance",POWER(Upgrades!$U$7,F26),1)*IF(Upgrades!$T$8="Orbital Resonance",POWER(Upgrades!$U$8,G26),1)*IF(Upgrades!$T$9="Orbital Resonance",POWER(Upgrades!$U$9,H26),1)*IF(Upgrades!$T$11="Orbital Resonance",POWER(Upgrades!$U$11,J26),1)*IF(Upgrades!$T$12="Orbital Resonance",POWER(Upgrades!$U$12,K26),1))+(IF(J26=0,0,(Upgrades!$G$11+J26*Upgrades!$H$11)*POWER(Upgrades!$I$11,J26)))*(IF(Upgrades!$T$6="Heliopause",POWER(Upgrades!$U$6,E26),1)*IF(Upgrades!$T$7="Heliopause",POWER(Upgrades!$U$7,F26),1)*IF(Upgrades!$T$8="Heliopause",POWER(Upgrades!$U$8,G26),1)*IF(Upgrades!$T$9="Heliopause",POWER(Upgrades!$U$9,H26),1)*IF(Upgrades!$T$10="Heliopause",POWER(Upgrades!$U$10,I26),1)*IF(Upgrades!$T$12="Heliopause",POWER(Upgrades!$U$12,K26),1))+(IF(K26=0,0,(Upgrades!$G$12+K26*Upgrades!$H$12)*POWER(Upgrades!$I$12,K26)))*(IF(Upgrades!$T$6="First Photons",POWER(Upgrades!$U$6,E26),1)*IF(Upgrades!$T$7="First Photons",POWER(Upgrades!$U$7,F26),1)*IF(Upgrades!$T$8="First Photons",POWER(Upgrades!$U$8,G26),1)*IF(Upgrades!$T$9="First Photons",POWER(Upgrades!$U$9,H26),1)*IF(Upgrades!$T$10="First Photons",POWER(Upgrades!$U$10,I26),1)*IF(Upgrades!$T$11="First Photons",POWER(Upgrades!$U$11,J26),1)))*POWER(Upgrades!$P$6,E26)*POWER(Upgrades!$P$7,F26)*POWER(Upgrades!$P$8,G26)*POWER(Upgrades!$P$9,H26)*POWER(Upgrades!$P$10,I26)*POWER(Upgrades!$P$11,J26)*POWER(Upgrades!$P$12,K26)</f>
        <v/>
      </c>
      <c r="O26" s="28">
        <f>((IF(E26=0,0,(Upgrades!$M$6+E26*Upgrades!$N$6)*POWER(Upgrades!$O$6,E26)))*(IF(Upgrades!$T$7="Solar Wind",POWER(Upgrades!$U$7,F26),1)*IF(Upgrades!$T$8="Solar Wind",POWER(Upgrades!$U$8,G26),1)*IF(Upgrades!$T$9="Solar Wind",POWER(Upgrades!$U$9,H26),1)*IF(Upgrades!$T$10="Solar Wind",POWER(Upgrades!$U$10,I26),1)*IF(Upgrades!$T$11="Solar Wind",POWER(Upgrades!$U$11,J26),1)*IF(Upgrades!$T$12="Solar Wind",POWER(Upgrades!$U$12,K26),1))+(IF(F26=0,0,(Upgrades!$M$7+F26*Upgrades!$N$7)*POWER(Upgrades!$O$7,F26)))*(IF(Upgrades!$T$6="Asteroid Belt",POWER(Upgrades!$U$6,E26),1)*IF(Upgrades!$T$8="Asteroid Belt",POWER(Upgrades!$U$8,G26),1)*IF(Upgrades!$T$9="Asteroid Belt",POWER(Upgrades!$U$9,H26),1)*IF(Upgrades!$T$10="Asteroid Belt",POWER(Upgrades!$U$10,I26),1)*IF(Upgrades!$T$11="Asteroid Belt",POWER(Upgrades!$U$11,J26),1)*IF(Upgrades!$T$12="Asteroid Belt",POWER(Upgrades!$U$12,K26),1))+(IF(G26=0,0,(Upgrades!$M$8+G26*Upgrades!$N$8)*POWER(Upgrades!$O$8,G26)))*(IF(Upgrades!$T$6="Stellar Coupling",POWER(Upgrades!$U$6,E26),1)*IF(Upgrades!$T$7="Stellar Coupling",POWER(Upgrades!$U$7,F26),1)*IF(Upgrades!$T$9="Stellar Coupling",POWER(Upgrades!$U$9,H26),1)*IF(Upgrades!$T$10="Stellar Coupling",POWER(Upgrades!$U$10,I26),1)*IF(Upgrades!$T$11="Stellar Coupling",POWER(Upgrades!$U$11,J26),1)*IF(Upgrades!$T$12="Stellar Coupling",POWER(Upgrades!$U$12,K26),1))+(IF(H26=0,0,(Upgrades!$M$9+H26*Upgrades!$N$9)*POWER(Upgrades!$O$9,H26)))*(IF(Upgrades!$T$6="Magnetosphere",POWER(Upgrades!$U$6,E26),1)*IF(Upgrades!$T$7="Magnetosphere",POWER(Upgrades!$U$7,F26),1)*IF(Upgrades!$T$8="Magnetosphere",POWER(Upgrades!$U$8,G26),1)*IF(Upgrades!$T$10="Magnetosphere",POWER(Upgrades!$U$10,I26),1)*IF(Upgrades!$T$11="Magnetosphere",POWER(Upgrades!$U$11,J26),1)*IF(Upgrades!$T$12="Magnetosphere",POWER(Upgrades!$U$12,K26),1))+(IF(I26=0,0,(Upgrades!$M$10+I26*Upgrades!$N$10)*POWER(Upgrades!$O$10,I26)))*(IF(Upgrades!$T$6="Orbital Resonance",POWER(Upgrades!$U$6,E26),1)*IF(Upgrades!$T$7="Orbital Resonance",POWER(Upgrades!$U$7,F26),1)*IF(Upgrades!$T$8="Orbital Resonance",POWER(Upgrades!$U$8,G26),1)*IF(Upgrades!$T$9="Orbital Resonance",POWER(Upgrades!$U$9,H26),1)*IF(Upgrades!$T$11="Orbital Resonance",POWER(Upgrades!$U$11,J26),1)*IF(Upgrades!$T$12="Orbital Resonance",POWER(Upgrades!$U$12,K26),1))+(IF(J26=0,0,(Upgrades!$M$11+J26*Upgrades!$N$11)*POWER(Upgrades!$O$11,J26)))*(IF(Upgrades!$T$6="Heliopause",POWER(Upgrades!$U$6,E26),1)*IF(Upgrades!$T$7="Heliopause",POWER(Upgrades!$U$7,F26),1)*IF(Upgrades!$T$8="Heliopause",POWER(Upgrades!$U$8,G26),1)*IF(Upgrades!$T$9="Heliopause",POWER(Upgrades!$U$9,H26),1)*IF(Upgrades!$T$10="Heliopause",POWER(Upgrades!$U$10,I26),1)*IF(Upgrades!$T$12="Heliopause",POWER(Upgrades!$U$12,K26),1))+(IF(K26=0,0,(Upgrades!$M$12+K26*Upgrades!$N$12)*POWER(Upgrades!$O$12,K26)))*(IF(Upgrades!$T$6="First Photons",POWER(Upgrades!$U$6,E26),1)*IF(Upgrades!$T$7="First Photons",POWER(Upgrades!$U$7,F26),1)*IF(Upgrades!$T$8="First Photons",POWER(Upgrades!$U$8,G26),1)*IF(Upgrades!$T$9="First Photons",POWER(Upgrades!$U$9,H26),1)*IF(Upgrades!$T$10="First Photons",POWER(Upgrades!$U$10,I26),1)*IF(Upgrades!$T$11="First Photons",POWER(Upgrades!$U$11,J26),1)))*POWER(Upgrades!$R$6,E26)*POWER(Upgrades!$R$7,F26)*POWER(Upgrades!$R$8,G26)*POWER(Upgrades!$R$9,H26)*POWER(Upgrades!$R$10,I26)*POWER(Upgrades!$R$11,J26)*POWER(Upgrades!$R$12,K26)</f>
        <v/>
      </c>
      <c r="P26" s="27">
        <f>IF(L26=1,0,M26*Parameters!$B$10/60*Parameters!$B$11*10)</f>
        <v/>
      </c>
      <c r="Q26" s="27">
        <f>IF(L26=1,0,O26*M26*10)</f>
        <v/>
      </c>
      <c r="R26" s="27">
        <f>IF(L26=1,0,N26*10)</f>
        <v/>
      </c>
      <c r="S26" s="27">
        <f>P26+Q26+R26</f>
        <v/>
      </c>
      <c r="T26" s="22">
        <f>C26+S26</f>
        <v/>
      </c>
      <c r="U26" s="33">
        <f>AX26</f>
        <v/>
      </c>
      <c r="V26" s="22">
        <f>IF(U26="",0,IF(U26="transition",0,IF(U26="SW",AG26,IF(U26="AB",AH26,IF(U26="SC",AI26,IF(U26="Mag",AJ26,IF(U26="OR",AK26,IF(U26="HP",AL26,IF(U26="FP",AM26,0)))))))))</f>
        <v/>
      </c>
      <c r="W26" s="27">
        <f>IF(U26="OR",Upgrades!$F$10,IF(U26="HP",Upgrades!$F$11,IF(U26="transition",-Parameters!$B$18,0)))</f>
        <v/>
      </c>
      <c r="X26" s="22">
        <f>T26-V26</f>
        <v/>
      </c>
      <c r="Y26" s="30">
        <f>M26*Parameters!$B$10/60*Parameters!$B$11+O26*M26+N26</f>
        <v/>
      </c>
      <c r="Z26" s="34">
        <f>IF(U26="transition","→ Tier 2 (Stellar Neighborhood)",IF(U26="FP","First Photons — light begins, system quickens",IF(U26="HP","Heliopause acquired",IF(U26="OR","Orbital Resonance — passive multiplier active",IF(AND(AO26=1,L26=0,AN26&lt;&gt;1),"Cohesion ready (waiting on completionist upgrades)","")))))</f>
        <v/>
      </c>
      <c r="AA26" s="27">
        <f>(IF(E26=0,0,(Upgrades!$G$6+E26*Upgrades!$H$6)*POWER(Upgrades!$I$6,E26)))*(IF(Upgrades!$T$7="Solar Wind",POWER(Upgrades!$U$7,F26),1)*IF(Upgrades!$T$8="Solar Wind",POWER(Upgrades!$U$8,G26),1)*IF(Upgrades!$T$9="Solar Wind",POWER(Upgrades!$U$9,H26),1)*IF(Upgrades!$T$10="Solar Wind",POWER(Upgrades!$U$10,I26),1)*IF(Upgrades!$T$11="Solar Wind",POWER(Upgrades!$U$11,J26),1)*IF(Upgrades!$T$12="Solar Wind",POWER(Upgrades!$U$12,K26),1))*POWER(Upgrades!$P$6,E26)*POWER(Upgrades!$P$7,F26)*POWER(Upgrades!$P$8,G26)*POWER(Upgrades!$P$9,H26)*POWER(Upgrades!$P$10,I26)*POWER(Upgrades!$P$11,J26)*POWER(Upgrades!$P$12,K26)*60</f>
        <v/>
      </c>
      <c r="AB26" s="27">
        <f>(IF(F26=0,0,(Upgrades!$G$7+F26*Upgrades!$H$7)*POWER(Upgrades!$I$7,F26)))*(IF(Upgrades!$T$6="Asteroid Belt",POWER(Upgrades!$U$6,E26),1)*IF(Upgrades!$T$8="Asteroid Belt",POWER(Upgrades!$U$8,G26),1)*IF(Upgrades!$T$9="Asteroid Belt",POWER(Upgrades!$U$9,H26),1)*IF(Upgrades!$T$10="Asteroid Belt",POWER(Upgrades!$U$10,I26),1)*IF(Upgrades!$T$11="Asteroid Belt",POWER(Upgrades!$U$11,J26),1)*IF(Upgrades!$T$12="Asteroid Belt",POWER(Upgrades!$U$12,K26),1))*POWER(Upgrades!$P$6,E26)*POWER(Upgrades!$P$7,F26)*POWER(Upgrades!$P$8,G26)*POWER(Upgrades!$P$9,H26)*POWER(Upgrades!$P$10,I26)*POWER(Upgrades!$P$11,J26)*POWER(Upgrades!$P$12,K26)*60</f>
        <v/>
      </c>
      <c r="AC26" s="27">
        <f>(IF(G26=0,0,(Upgrades!$J$8+G26*Upgrades!$K$8)*POWER(Upgrades!$L$8,G26)))*(IF(Upgrades!$T$6="Stellar Coupling",POWER(Upgrades!$U$6,E26),1)*IF(Upgrades!$T$7="Stellar Coupling",POWER(Upgrades!$U$7,F26),1)*IF(Upgrades!$T$9="Stellar Coupling",POWER(Upgrades!$U$9,H26),1)*IF(Upgrades!$T$10="Stellar Coupling",POWER(Upgrades!$U$10,I26),1)*IF(Upgrades!$T$11="Stellar Coupling",POWER(Upgrades!$U$11,J26),1)*IF(Upgrades!$T$12="Stellar Coupling",POWER(Upgrades!$U$12,K26),1))*POWER(Upgrades!$Q$6,E26)*POWER(Upgrades!$Q$7,F26)*POWER(Upgrades!$Q$8,G26)*POWER(Upgrades!$Q$9,H26)*POWER(Upgrades!$Q$10,I26)*POWER(Upgrades!$Q$11,J26)*POWER(Upgrades!$Q$12,K26)*Parameters!$B$10*Parameters!$B$11</f>
        <v/>
      </c>
      <c r="AD26" s="27">
        <f>(IF(H26=0,0,(Upgrades!$G$9+H26*Upgrades!$H$9)*POWER(Upgrades!$I$9,H26)))*(IF(Upgrades!$T$6="Magnetosphere",POWER(Upgrades!$U$6,E26),1)*IF(Upgrades!$T$7="Magnetosphere",POWER(Upgrades!$U$7,F26),1)*IF(Upgrades!$T$8="Magnetosphere",POWER(Upgrades!$U$8,G26),1)*IF(Upgrades!$T$10="Magnetosphere",POWER(Upgrades!$U$10,I26),1)*IF(Upgrades!$T$11="Magnetosphere",POWER(Upgrades!$U$11,J26),1)*IF(Upgrades!$T$12="Magnetosphere",POWER(Upgrades!$U$12,K26),1))*POWER(Upgrades!$P$6,E26)*POWER(Upgrades!$P$7,F26)*POWER(Upgrades!$P$8,G26)*POWER(Upgrades!$P$9,H26)*POWER(Upgrades!$P$10,I26)*POWER(Upgrades!$P$11,J26)*POWER(Upgrades!$P$12,K26)*60</f>
        <v/>
      </c>
      <c r="AE26" s="27">
        <f>(IF(K26=0,0,(Upgrades!$G$12+K26*Upgrades!$H$12)*POWER(Upgrades!$I$12,K26)))*(IF(Upgrades!$T$6="First Photons",POWER(Upgrades!$U$6,E26),1)*IF(Upgrades!$T$7="First Photons",POWER(Upgrades!$U$7,F26),1)*IF(Upgrades!$T$8="First Photons",POWER(Upgrades!$U$8,G26),1)*IF(Upgrades!$T$9="First Photons",POWER(Upgrades!$U$9,H26),1)*IF(Upgrades!$T$10="First Photons",POWER(Upgrades!$U$10,I26),1)*IF(Upgrades!$T$11="First Photons",POWER(Upgrades!$U$11,J26),1))*POWER(Upgrades!$P$6,E26)*POWER(Upgrades!$P$7,F26)*POWER(Upgrades!$P$8,G26)*POWER(Upgrades!$P$9,H26)*POWER(Upgrades!$P$10,I26)*POWER(Upgrades!$P$11,J26)*POWER(Upgrades!$P$12,K26)*60</f>
        <v/>
      </c>
      <c r="AF26" s="27">
        <f>Parameters!$B$9*POWER(Upgrades!$Q$6,E26)*POWER(Upgrades!$Q$7,F26)*POWER(Upgrades!$Q$8,G26)*POWER(Upgrades!$Q$9,H26)*POWER(Upgrades!$Q$10,I26)*POWER(Upgrades!$Q$11,J26)*POWER(Upgrades!$Q$12,K26)*(Parameters!$B$10*Parameters!$B$11+O26*60)</f>
        <v/>
      </c>
      <c r="AG26" s="22">
        <f>IF(E26&gt;=Upgrades!$E$6,"",Upgrades!$C$6*POWER(Upgrades!$D$6,E26))</f>
        <v/>
      </c>
      <c r="AH26" s="22">
        <f>IF(F26&gt;=Upgrades!$E$7,"",Upgrades!$C$7*POWER(Upgrades!$D$7,F26))</f>
        <v/>
      </c>
      <c r="AI26" s="22">
        <f>IF(G26&gt;=Upgrades!$E$8,"",Upgrades!$C$8*POWER(Upgrades!$D$8,G26))</f>
        <v/>
      </c>
      <c r="AJ26" s="22">
        <f>IF(H26&gt;=Upgrades!$E$9,"",Upgrades!$C$9*POWER(Upgrades!$D$9,H26))</f>
        <v/>
      </c>
      <c r="AK26" s="22">
        <f>IF(I26&gt;=Upgrades!$E$10,"",Upgrades!$C$10*POWER(Upgrades!$D$10,I26))</f>
        <v/>
      </c>
      <c r="AL26" s="22">
        <f>IF(J26&gt;=Upgrades!$E$11,"",Upgrades!$C$11*POWER(Upgrades!$D$11,J26))</f>
        <v/>
      </c>
      <c r="AM26" s="22">
        <f>IF(K26&gt;=Upgrades!$E$12,"",Upgrades!$C$12*POWER(Upgrades!$D$12,K26))</f>
        <v/>
      </c>
      <c r="AN26" s="26">
        <f>IF(AND(D26&gt;=Parameters!$B$18,(H26&gt;=Upgrades!$E$9)*(K26&gt;=Upgrades!$E$12)=1,L26=0),1,"")</f>
        <v/>
      </c>
      <c r="AO26" s="26">
        <f>IF(AND(D26&gt;=Parameters!$B$18,L26=0),1,"")</f>
        <v/>
      </c>
      <c r="AP26" s="22">
        <f>MIN(IF(ISNUMBER(AK26),AK26,9E15),IF(ISNUMBER(AL26),AL26,9E15),IF(ISNUMBER(AM26),AM26,9E15))</f>
        <v/>
      </c>
      <c r="AQ26" s="22">
        <f>MIN(IF(ISNUMBER(AG26),AG26,9E15),IF(ISNUMBER(AH26),AH26,9E15),IF(ISNUMBER(AI26),AI26,9E15),IF(ISNUMBER(AJ26),AJ26,9E15))</f>
        <v/>
      </c>
      <c r="AR26" s="29">
        <f>IF(AW26&gt;Parameters!$B$21*(MAX(IF(AND(NOT(AND(AO26=1,AN26&lt;&gt;1)),ISNUMBER(AG26),AG26&lt;=T26),AS26,0),IF(AND(NOT(AND(AO26=1,AN26&lt;&gt;1)),ISNUMBER(AH26),AH26&lt;=T26),AT26,0),IF(AND(NOT(AND(AO26=1,AN26&lt;&gt;1)),ISNUMBER(AI26),AI26&lt;=T26),AU26,0),IF(AND(ISNUMBER(AJ26),AJ26&lt;=T26),AV26,0))),TRUE,FALSE)</f>
        <v/>
      </c>
      <c r="AS26" s="32">
        <f>IFERROR(Upgrades!$H$6*(POWER(Upgrades!$P$6,E26)*POWER(Upgrades!$P$7,F26)*POWER(Upgrades!$P$8,G26)*POWER(Upgrades!$P$9,H26)*POWER(Upgrades!$P$10,I26)*POWER(Upgrades!$P$11,J26)*POWER(Upgrades!$P$12,K26))*(IF(Upgrades!$T$7="Solar Wind",POWER(Upgrades!$U$7,F26),1)*IF(Upgrades!$T$8="Solar Wind",POWER(Upgrades!$U$8,G26),1)*IF(Upgrades!$T$9="Solar Wind",POWER(Upgrades!$U$9,H26),1)*IF(Upgrades!$T$10="Solar Wind",POWER(Upgrades!$U$10,I26),1)*IF(Upgrades!$T$11="Solar Wind",POWER(Upgrades!$U$11,J26),1)*IF(Upgrades!$T$12="Solar Wind",POWER(Upgrades!$U$12,K26),1))/AG26,0)</f>
        <v/>
      </c>
      <c r="AT26" s="32">
        <f>IFERROR(Upgrades!$H$7*(POWER(Upgrades!$P$6,E26)*POWER(Upgrades!$P$7,F26)*POWER(Upgrades!$P$8,G26)*POWER(Upgrades!$P$9,H26)*POWER(Upgrades!$P$10,I26)*POWER(Upgrades!$P$11,J26)*POWER(Upgrades!$P$12,K26))*(IF(Upgrades!$T$6="Asteroid Belt",POWER(Upgrades!$U$6,E26),1)*IF(Upgrades!$T$8="Asteroid Belt",POWER(Upgrades!$U$8,G26),1)*IF(Upgrades!$T$9="Asteroid Belt",POWER(Upgrades!$U$9,H26),1)*IF(Upgrades!$T$10="Asteroid Belt",POWER(Upgrades!$U$10,I26),1)*IF(Upgrades!$T$11="Asteroid Belt",POWER(Upgrades!$U$11,J26),1)*IF(Upgrades!$T$12="Asteroid Belt",POWER(Upgrades!$U$12,K26),1))/AH26,0)</f>
        <v/>
      </c>
      <c r="AU26" s="32">
        <f>IFERROR(Upgrades!$K$8*(POWER(Upgrades!$Q$6,E26)*POWER(Upgrades!$Q$7,F26)*POWER(Upgrades!$Q$8,G26)*POWER(Upgrades!$Q$9,H26)*POWER(Upgrades!$Q$10,I26)*POWER(Upgrades!$Q$11,J26)*POWER(Upgrades!$Q$12,K26))*(IF(Upgrades!$T$6="Stellar Coupling",POWER(Upgrades!$U$6,E26),1)*IF(Upgrades!$T$7="Stellar Coupling",POWER(Upgrades!$U$7,F26),1)*IF(Upgrades!$T$9="Stellar Coupling",POWER(Upgrades!$U$9,H26),1)*IF(Upgrades!$T$10="Stellar Coupling",POWER(Upgrades!$U$10,I26),1)*IF(Upgrades!$T$11="Stellar Coupling",POWER(Upgrades!$U$11,J26),1)*IF(Upgrades!$T$12="Stellar Coupling",POWER(Upgrades!$U$12,K26),1))*Parameters!$B$10*Parameters!$B$11/60/AI26,0)</f>
        <v/>
      </c>
      <c r="AV26" s="32">
        <f>IFERROR(Upgrades!$H$9*(POWER(Upgrades!$P$6,E26)*POWER(Upgrades!$P$7,F26)*POWER(Upgrades!$P$8,G26)*POWER(Upgrades!$P$9,H26)*POWER(Upgrades!$P$10,I26)*POWER(Upgrades!$P$11,J26)*POWER(Upgrades!$P$12,K26))*(IF(Upgrades!$T$6="Magnetosphere",POWER(Upgrades!$U$6,E26),1)*IF(Upgrades!$T$7="Magnetosphere",POWER(Upgrades!$U$7,F26),1)*IF(Upgrades!$T$8="Magnetosphere",POWER(Upgrades!$U$8,G26),1)*IF(Upgrades!$T$10="Magnetosphere",POWER(Upgrades!$U$10,I26),1)*IF(Upgrades!$T$11="Magnetosphere",POWER(Upgrades!$U$11,J26),1)*IF(Upgrades!$T$12="Magnetosphere",POWER(Upgrades!$U$12,K26),1))/AJ26,0)</f>
        <v/>
      </c>
      <c r="AW26" s="32">
        <f>MAX(IF(I26&gt;0,0,IFERROR(0.25*N26/Upgrades!$C$10,0)),IF(J26&gt;0,0,IFERROR(0.5*((IF(G26=0,0,(Upgrades!$J$8+G26*Upgrades!$K$8)*POWER(Upgrades!$L$8,G26)))*(IF(Upgrades!$T$6="Stellar Coupling",POWER(Upgrades!$U$6,E26),1)*IF(Upgrades!$T$7="Stellar Coupling",POWER(Upgrades!$U$7,F26),1)*IF(Upgrades!$T$9="Stellar Coupling",POWER(Upgrades!$U$9,H26),1)*IF(Upgrades!$T$10="Stellar Coupling",POWER(Upgrades!$U$10,I26),1)*IF(Upgrades!$T$11="Stellar Coupling",POWER(Upgrades!$U$11,J26),1)*IF(Upgrades!$T$12="Stellar Coupling",POWER(Upgrades!$U$12,K26),1))*(POWER(Upgrades!$Q$6,E26)*POWER(Upgrades!$Q$7,F26)*POWER(Upgrades!$Q$8,G26)*POWER(Upgrades!$Q$9,H26)*POWER(Upgrades!$Q$10,I26)*POWER(Upgrades!$Q$11,J26)*POWER(Upgrades!$Q$12,K26))*Parameters!$B$10*Parameters!$B$11/60)/Upgrades!$C$11,0)),IF(K26&gt;0,0,IFERROR((1.0*(POWER(Upgrades!$P$6,E26)*POWER(Upgrades!$P$7,F26)*POWER(Upgrades!$P$8,G26)*POWER(Upgrades!$P$9,H26)*POWER(Upgrades!$P$10,I26)*POWER(Upgrades!$P$11,J26)*POWER(Upgrades!$P$12,K26))+0.20*M26*Parameters!$B$10*Parameters!$B$11/60)/Upgrades!$C$12,0)),IF(AND(ISNUMBER(AG26),AG26&gt;T26),AS26,0),IF(AND(ISNUMBER(AH26),AH26&gt;T26),AT26,0),IF(AND(ISNUMBER(AI26),AI26&gt;T26),AU26,0),IF(AND(ISNUMBER(AJ26),AJ26&gt;T26),AV26,0))</f>
        <v/>
      </c>
      <c r="AX26" s="29">
        <f>IF(AN26=1,"transition",IF(MIN(IF(AND(I26=0,ISNUMBER(AK26),AK26&lt;=T26),AK26,9E15),IF(AND(J26=0,ISNUMBER(AL26),AL26&lt;=T26),AL26,9E15),IF(AND(K26=0,ISNUMBER(AM26),AM26&lt;=T26),AM26,9E15))&lt;9E15,IF(AND(AND(I26=0,ISNUMBER(AK26),AK26&lt;=T26),AK26=MIN(IF(AND(I26=0,ISNUMBER(AK26),AK26&lt;=T26),AK26,9E15),IF(AND(J26=0,ISNUMBER(AL26),AL26&lt;=T26),AL26,9E15),IF(AND(K26=0,ISNUMBER(AM26),AM26&lt;=T26),AM26,9E15))),"OR",IF(AND(AND(J26=0,ISNUMBER(AL26),AL26&lt;=T26),AL26=MIN(IF(AND(I26=0,ISNUMBER(AK26),AK26&lt;=T26),AK26,9E15),IF(AND(J26=0,ISNUMBER(AL26),AL26&lt;=T26),AL26,9E15),IF(AND(K26=0,ISNUMBER(AM26),AM26&lt;=T26),AM26,9E15))),"HP","FP")),IF(AR26=TRUE,"",IF(MAX(IF(AND(NOT(AND(AO26=1,AN26&lt;&gt;1)),ISNUMBER(AG26),AG26&lt;=T26),AS26,0),IF(AND(NOT(AND(AO26=1,AN26&lt;&gt;1)),ISNUMBER(AH26),AH26&lt;=T26),AT26,0),IF(AND(NOT(AND(AO26=1,AN26&lt;&gt;1)),ISNUMBER(AI26),AI26&lt;=T26),AU26,0),IF(AND(ISNUMBER(AJ26),AJ26&lt;=T26),AV26,0))&lt;=0,"",IF(AND(IF(AND(NOT(AND(AO26=1,AN26&lt;&gt;1)),ISNUMBER(AG26),AG26&lt;=T26),AS26,0)&gt;0,IF(AND(NOT(AND(AO26=1,AN26&lt;&gt;1)),ISNUMBER(AG26),AG26&lt;=T26),AS26,0)=MAX(IF(AND(NOT(AND(AO26=1,AN26&lt;&gt;1)),ISNUMBER(AG26),AG26&lt;=T26),AS26,0),IF(AND(NOT(AND(AO26=1,AN26&lt;&gt;1)),ISNUMBER(AH26),AH26&lt;=T26),AT26,0),IF(AND(NOT(AND(AO26=1,AN26&lt;&gt;1)),ISNUMBER(AI26),AI26&lt;=T26),AU26,0),IF(AND(ISNUMBER(AJ26),AJ26&lt;=T26),AV26,0))),"SW",IF(AND(IF(AND(NOT(AND(AO26=1,AN26&lt;&gt;1)),ISNUMBER(AH26),AH26&lt;=T26),AT26,0)&gt;0,IF(AND(NOT(AND(AO26=1,AN26&lt;&gt;1)),ISNUMBER(AH26),AH26&lt;=T26),AT26,0)=MAX(IF(AND(NOT(AND(AO26=1,AN26&lt;&gt;1)),ISNUMBER(AG26),AG26&lt;=T26),AS26,0),IF(AND(NOT(AND(AO26=1,AN26&lt;&gt;1)),ISNUMBER(AH26),AH26&lt;=T26),AT26,0),IF(AND(NOT(AND(AO26=1,AN26&lt;&gt;1)),ISNUMBER(AI26),AI26&lt;=T26),AU26,0),IF(AND(ISNUMBER(AJ26),AJ26&lt;=T26),AV26,0))),"AB",IF(AND(IF(AND(NOT(AND(AO26=1,AN26&lt;&gt;1)),ISNUMBER(AI26),AI26&lt;=T26),AU26,0)&gt;0,IF(AND(NOT(AND(AO26=1,AN26&lt;&gt;1)),ISNUMBER(AI26),AI26&lt;=T26),AU26,0)=MAX(IF(AND(NOT(AND(AO26=1,AN26&lt;&gt;1)),ISNUMBER(AG26),AG26&lt;=T26),AS26,0),IF(AND(NOT(AND(AO26=1,AN26&lt;&gt;1)),ISNUMBER(AH26),AH26&lt;=T26),AT26,0),IF(AND(NOT(AND(AO26=1,AN26&lt;&gt;1)),ISNUMBER(AI26),AI26&lt;=T26),AU26,0),IF(AND(ISNUMBER(AJ26),AJ26&lt;=T26),AV26,0))),"SC","Mag")))))))</f>
        <v/>
      </c>
    </row>
    <row r="27">
      <c r="A27" s="26" t="n">
        <v>22</v>
      </c>
      <c r="B27" s="27">
        <f>A27*10/60</f>
        <v/>
      </c>
      <c r="C27" s="22">
        <f>X26</f>
        <v/>
      </c>
      <c r="D27" s="27">
        <f>D26+W26</f>
        <v/>
      </c>
      <c r="E27" s="26">
        <f>E26+IF(U26="SW",1,0)</f>
        <v/>
      </c>
      <c r="F27" s="26">
        <f>F26+IF(U26="AB",1,0)</f>
        <v/>
      </c>
      <c r="G27" s="26">
        <f>G26+IF(U26="SC",1,0)</f>
        <v/>
      </c>
      <c r="H27" s="26">
        <f>H26+IF(U26="Mag",1,0)</f>
        <v/>
      </c>
      <c r="I27" s="26">
        <f>MAX(I26,IF(U26="OR",1,0))</f>
        <v/>
      </c>
      <c r="J27" s="26">
        <f>MAX(J26,IF(U26="HP",1,0))</f>
        <v/>
      </c>
      <c r="K27" s="26">
        <f>MAX(K26,IF(U26="FP",1,0))</f>
        <v/>
      </c>
      <c r="L27" s="26">
        <f>MAX(L26,IF(U26="transition",1,0))</f>
        <v/>
      </c>
      <c r="M27" s="28">
        <f>(Parameters!$B$9+(IF(E27=0,0,(Upgrades!$J$6+E27*Upgrades!$K$6)*POWER(Upgrades!$L$6,E27)))*(IF(Upgrades!$T$7="Solar Wind",POWER(Upgrades!$U$7,F27),1)*IF(Upgrades!$T$8="Solar Wind",POWER(Upgrades!$U$8,G27),1)*IF(Upgrades!$T$9="Solar Wind",POWER(Upgrades!$U$9,H27),1)*IF(Upgrades!$T$10="Solar Wind",POWER(Upgrades!$U$10,I27),1)*IF(Upgrades!$T$11="Solar Wind",POWER(Upgrades!$U$11,J27),1)*IF(Upgrades!$T$12="Solar Wind",POWER(Upgrades!$U$12,K27),1))+(IF(F27=0,0,(Upgrades!$J$7+F27*Upgrades!$K$7)*POWER(Upgrades!$L$7,F27)))*(IF(Upgrades!$T$6="Asteroid Belt",POWER(Upgrades!$U$6,E27),1)*IF(Upgrades!$T$8="Asteroid Belt",POWER(Upgrades!$U$8,G27),1)*IF(Upgrades!$T$9="Asteroid Belt",POWER(Upgrades!$U$9,H27),1)*IF(Upgrades!$T$10="Asteroid Belt",POWER(Upgrades!$U$10,I27),1)*IF(Upgrades!$T$11="Asteroid Belt",POWER(Upgrades!$U$11,J27),1)*IF(Upgrades!$T$12="Asteroid Belt",POWER(Upgrades!$U$12,K27),1))+(IF(G27=0,0,(Upgrades!$J$8+G27*Upgrades!$K$8)*POWER(Upgrades!$L$8,G27)))*(IF(Upgrades!$T$6="Stellar Coupling",POWER(Upgrades!$U$6,E27),1)*IF(Upgrades!$T$7="Stellar Coupling",POWER(Upgrades!$U$7,F27),1)*IF(Upgrades!$T$9="Stellar Coupling",POWER(Upgrades!$U$9,H27),1)*IF(Upgrades!$T$10="Stellar Coupling",POWER(Upgrades!$U$10,I27),1)*IF(Upgrades!$T$11="Stellar Coupling",POWER(Upgrades!$U$11,J27),1)*IF(Upgrades!$T$12="Stellar Coupling",POWER(Upgrades!$U$12,K27),1))+(IF(H27=0,0,(Upgrades!$J$9+H27*Upgrades!$K$9)*POWER(Upgrades!$L$9,H27)))*(IF(Upgrades!$T$6="Magnetosphere",POWER(Upgrades!$U$6,E27),1)*IF(Upgrades!$T$7="Magnetosphere",POWER(Upgrades!$U$7,F27),1)*IF(Upgrades!$T$8="Magnetosphere",POWER(Upgrades!$U$8,G27),1)*IF(Upgrades!$T$10="Magnetosphere",POWER(Upgrades!$U$10,I27),1)*IF(Upgrades!$T$11="Magnetosphere",POWER(Upgrades!$U$11,J27),1)*IF(Upgrades!$T$12="Magnetosphere",POWER(Upgrades!$U$12,K27),1))+(IF(I27=0,0,(Upgrades!$J$10+I27*Upgrades!$K$10)*POWER(Upgrades!$L$10,I27)))*(IF(Upgrades!$T$6="Orbital Resonance",POWER(Upgrades!$U$6,E27),1)*IF(Upgrades!$T$7="Orbital Resonance",POWER(Upgrades!$U$7,F27),1)*IF(Upgrades!$T$8="Orbital Resonance",POWER(Upgrades!$U$8,G27),1)*IF(Upgrades!$T$9="Orbital Resonance",POWER(Upgrades!$U$9,H27),1)*IF(Upgrades!$T$11="Orbital Resonance",POWER(Upgrades!$U$11,J27),1)*IF(Upgrades!$T$12="Orbital Resonance",POWER(Upgrades!$U$12,K27),1))+(IF(J27=0,0,(Upgrades!$J$11+J27*Upgrades!$K$11)*POWER(Upgrades!$L$11,J27)))*(IF(Upgrades!$T$6="Heliopause",POWER(Upgrades!$U$6,E27),1)*IF(Upgrades!$T$7="Heliopause",POWER(Upgrades!$U$7,F27),1)*IF(Upgrades!$T$8="Heliopause",POWER(Upgrades!$U$8,G27),1)*IF(Upgrades!$T$9="Heliopause",POWER(Upgrades!$U$9,H27),1)*IF(Upgrades!$T$10="Heliopause",POWER(Upgrades!$U$10,I27),1)*IF(Upgrades!$T$12="Heliopause",POWER(Upgrades!$U$12,K27),1))+(IF(K27=0,0,(Upgrades!$J$12+K27*Upgrades!$K$12)*POWER(Upgrades!$L$12,K27)))*(IF(Upgrades!$T$6="First Photons",POWER(Upgrades!$U$6,E27),1)*IF(Upgrades!$T$7="First Photons",POWER(Upgrades!$U$7,F27),1)*IF(Upgrades!$T$8="First Photons",POWER(Upgrades!$U$8,G27),1)*IF(Upgrades!$T$9="First Photons",POWER(Upgrades!$U$9,H27),1)*IF(Upgrades!$T$10="First Photons",POWER(Upgrades!$U$10,I27),1)*IF(Upgrades!$T$11="First Photons",POWER(Upgrades!$U$11,J27),1)))*POWER(Upgrades!$Q$6,E27)*POWER(Upgrades!$Q$7,F27)*POWER(Upgrades!$Q$8,G27)*POWER(Upgrades!$Q$9,H27)*POWER(Upgrades!$Q$10,I27)*POWER(Upgrades!$Q$11,J27)*POWER(Upgrades!$Q$12,K27)</f>
        <v/>
      </c>
      <c r="N27" s="28">
        <f>((IF(E27=0,0,(Upgrades!$G$6+E27*Upgrades!$H$6)*POWER(Upgrades!$I$6,E27)))*(IF(Upgrades!$T$7="Solar Wind",POWER(Upgrades!$U$7,F27),1)*IF(Upgrades!$T$8="Solar Wind",POWER(Upgrades!$U$8,G27),1)*IF(Upgrades!$T$9="Solar Wind",POWER(Upgrades!$U$9,H27),1)*IF(Upgrades!$T$10="Solar Wind",POWER(Upgrades!$U$10,I27),1)*IF(Upgrades!$T$11="Solar Wind",POWER(Upgrades!$U$11,J27),1)*IF(Upgrades!$T$12="Solar Wind",POWER(Upgrades!$U$12,K27),1))+(IF(F27=0,0,(Upgrades!$G$7+F27*Upgrades!$H$7)*POWER(Upgrades!$I$7,F27)))*(IF(Upgrades!$T$6="Asteroid Belt",POWER(Upgrades!$U$6,E27),1)*IF(Upgrades!$T$8="Asteroid Belt",POWER(Upgrades!$U$8,G27),1)*IF(Upgrades!$T$9="Asteroid Belt",POWER(Upgrades!$U$9,H27),1)*IF(Upgrades!$T$10="Asteroid Belt",POWER(Upgrades!$U$10,I27),1)*IF(Upgrades!$T$11="Asteroid Belt",POWER(Upgrades!$U$11,J27),1)*IF(Upgrades!$T$12="Asteroid Belt",POWER(Upgrades!$U$12,K27),1))+(IF(G27=0,0,(Upgrades!$G$8+G27*Upgrades!$H$8)*POWER(Upgrades!$I$8,G27)))*(IF(Upgrades!$T$6="Stellar Coupling",POWER(Upgrades!$U$6,E27),1)*IF(Upgrades!$T$7="Stellar Coupling",POWER(Upgrades!$U$7,F27),1)*IF(Upgrades!$T$9="Stellar Coupling",POWER(Upgrades!$U$9,H27),1)*IF(Upgrades!$T$10="Stellar Coupling",POWER(Upgrades!$U$10,I27),1)*IF(Upgrades!$T$11="Stellar Coupling",POWER(Upgrades!$U$11,J27),1)*IF(Upgrades!$T$12="Stellar Coupling",POWER(Upgrades!$U$12,K27),1))+(IF(H27=0,0,(Upgrades!$G$9+H27*Upgrades!$H$9)*POWER(Upgrades!$I$9,H27)))*(IF(Upgrades!$T$6="Magnetosphere",POWER(Upgrades!$U$6,E27),1)*IF(Upgrades!$T$7="Magnetosphere",POWER(Upgrades!$U$7,F27),1)*IF(Upgrades!$T$8="Magnetosphere",POWER(Upgrades!$U$8,G27),1)*IF(Upgrades!$T$10="Magnetosphere",POWER(Upgrades!$U$10,I27),1)*IF(Upgrades!$T$11="Magnetosphere",POWER(Upgrades!$U$11,J27),1)*IF(Upgrades!$T$12="Magnetosphere",POWER(Upgrades!$U$12,K27),1))+(IF(I27=0,0,(Upgrades!$G$10+I27*Upgrades!$H$10)*POWER(Upgrades!$I$10,I27)))*(IF(Upgrades!$T$6="Orbital Resonance",POWER(Upgrades!$U$6,E27),1)*IF(Upgrades!$T$7="Orbital Resonance",POWER(Upgrades!$U$7,F27),1)*IF(Upgrades!$T$8="Orbital Resonance",POWER(Upgrades!$U$8,G27),1)*IF(Upgrades!$T$9="Orbital Resonance",POWER(Upgrades!$U$9,H27),1)*IF(Upgrades!$T$11="Orbital Resonance",POWER(Upgrades!$U$11,J27),1)*IF(Upgrades!$T$12="Orbital Resonance",POWER(Upgrades!$U$12,K27),1))+(IF(J27=0,0,(Upgrades!$G$11+J27*Upgrades!$H$11)*POWER(Upgrades!$I$11,J27)))*(IF(Upgrades!$T$6="Heliopause",POWER(Upgrades!$U$6,E27),1)*IF(Upgrades!$T$7="Heliopause",POWER(Upgrades!$U$7,F27),1)*IF(Upgrades!$T$8="Heliopause",POWER(Upgrades!$U$8,G27),1)*IF(Upgrades!$T$9="Heliopause",POWER(Upgrades!$U$9,H27),1)*IF(Upgrades!$T$10="Heliopause",POWER(Upgrades!$U$10,I27),1)*IF(Upgrades!$T$12="Heliopause",POWER(Upgrades!$U$12,K27),1))+(IF(K27=0,0,(Upgrades!$G$12+K27*Upgrades!$H$12)*POWER(Upgrades!$I$12,K27)))*(IF(Upgrades!$T$6="First Photons",POWER(Upgrades!$U$6,E27),1)*IF(Upgrades!$T$7="First Photons",POWER(Upgrades!$U$7,F27),1)*IF(Upgrades!$T$8="First Photons",POWER(Upgrades!$U$8,G27),1)*IF(Upgrades!$T$9="First Photons",POWER(Upgrades!$U$9,H27),1)*IF(Upgrades!$T$10="First Photons",POWER(Upgrades!$U$10,I27),1)*IF(Upgrades!$T$11="First Photons",POWER(Upgrades!$U$11,J27),1)))*POWER(Upgrades!$P$6,E27)*POWER(Upgrades!$P$7,F27)*POWER(Upgrades!$P$8,G27)*POWER(Upgrades!$P$9,H27)*POWER(Upgrades!$P$10,I27)*POWER(Upgrades!$P$11,J27)*POWER(Upgrades!$P$12,K27)</f>
        <v/>
      </c>
      <c r="O27" s="28">
        <f>((IF(E27=0,0,(Upgrades!$M$6+E27*Upgrades!$N$6)*POWER(Upgrades!$O$6,E27)))*(IF(Upgrades!$T$7="Solar Wind",POWER(Upgrades!$U$7,F27),1)*IF(Upgrades!$T$8="Solar Wind",POWER(Upgrades!$U$8,G27),1)*IF(Upgrades!$T$9="Solar Wind",POWER(Upgrades!$U$9,H27),1)*IF(Upgrades!$T$10="Solar Wind",POWER(Upgrades!$U$10,I27),1)*IF(Upgrades!$T$11="Solar Wind",POWER(Upgrades!$U$11,J27),1)*IF(Upgrades!$T$12="Solar Wind",POWER(Upgrades!$U$12,K27),1))+(IF(F27=0,0,(Upgrades!$M$7+F27*Upgrades!$N$7)*POWER(Upgrades!$O$7,F27)))*(IF(Upgrades!$T$6="Asteroid Belt",POWER(Upgrades!$U$6,E27),1)*IF(Upgrades!$T$8="Asteroid Belt",POWER(Upgrades!$U$8,G27),1)*IF(Upgrades!$T$9="Asteroid Belt",POWER(Upgrades!$U$9,H27),1)*IF(Upgrades!$T$10="Asteroid Belt",POWER(Upgrades!$U$10,I27),1)*IF(Upgrades!$T$11="Asteroid Belt",POWER(Upgrades!$U$11,J27),1)*IF(Upgrades!$T$12="Asteroid Belt",POWER(Upgrades!$U$12,K27),1))+(IF(G27=0,0,(Upgrades!$M$8+G27*Upgrades!$N$8)*POWER(Upgrades!$O$8,G27)))*(IF(Upgrades!$T$6="Stellar Coupling",POWER(Upgrades!$U$6,E27),1)*IF(Upgrades!$T$7="Stellar Coupling",POWER(Upgrades!$U$7,F27),1)*IF(Upgrades!$T$9="Stellar Coupling",POWER(Upgrades!$U$9,H27),1)*IF(Upgrades!$T$10="Stellar Coupling",POWER(Upgrades!$U$10,I27),1)*IF(Upgrades!$T$11="Stellar Coupling",POWER(Upgrades!$U$11,J27),1)*IF(Upgrades!$T$12="Stellar Coupling",POWER(Upgrades!$U$12,K27),1))+(IF(H27=0,0,(Upgrades!$M$9+H27*Upgrades!$N$9)*POWER(Upgrades!$O$9,H27)))*(IF(Upgrades!$T$6="Magnetosphere",POWER(Upgrades!$U$6,E27),1)*IF(Upgrades!$T$7="Magnetosphere",POWER(Upgrades!$U$7,F27),1)*IF(Upgrades!$T$8="Magnetosphere",POWER(Upgrades!$U$8,G27),1)*IF(Upgrades!$T$10="Magnetosphere",POWER(Upgrades!$U$10,I27),1)*IF(Upgrades!$T$11="Magnetosphere",POWER(Upgrades!$U$11,J27),1)*IF(Upgrades!$T$12="Magnetosphere",POWER(Upgrades!$U$12,K27),1))+(IF(I27=0,0,(Upgrades!$M$10+I27*Upgrades!$N$10)*POWER(Upgrades!$O$10,I27)))*(IF(Upgrades!$T$6="Orbital Resonance",POWER(Upgrades!$U$6,E27),1)*IF(Upgrades!$T$7="Orbital Resonance",POWER(Upgrades!$U$7,F27),1)*IF(Upgrades!$T$8="Orbital Resonance",POWER(Upgrades!$U$8,G27),1)*IF(Upgrades!$T$9="Orbital Resonance",POWER(Upgrades!$U$9,H27),1)*IF(Upgrades!$T$11="Orbital Resonance",POWER(Upgrades!$U$11,J27),1)*IF(Upgrades!$T$12="Orbital Resonance",POWER(Upgrades!$U$12,K27),1))+(IF(J27=0,0,(Upgrades!$M$11+J27*Upgrades!$N$11)*POWER(Upgrades!$O$11,J27)))*(IF(Upgrades!$T$6="Heliopause",POWER(Upgrades!$U$6,E27),1)*IF(Upgrades!$T$7="Heliopause",POWER(Upgrades!$U$7,F27),1)*IF(Upgrades!$T$8="Heliopause",POWER(Upgrades!$U$8,G27),1)*IF(Upgrades!$T$9="Heliopause",POWER(Upgrades!$U$9,H27),1)*IF(Upgrades!$T$10="Heliopause",POWER(Upgrades!$U$10,I27),1)*IF(Upgrades!$T$12="Heliopause",POWER(Upgrades!$U$12,K27),1))+(IF(K27=0,0,(Upgrades!$M$12+K27*Upgrades!$N$12)*POWER(Upgrades!$O$12,K27)))*(IF(Upgrades!$T$6="First Photons",POWER(Upgrades!$U$6,E27),1)*IF(Upgrades!$T$7="First Photons",POWER(Upgrades!$U$7,F27),1)*IF(Upgrades!$T$8="First Photons",POWER(Upgrades!$U$8,G27),1)*IF(Upgrades!$T$9="First Photons",POWER(Upgrades!$U$9,H27),1)*IF(Upgrades!$T$10="First Photons",POWER(Upgrades!$U$10,I27),1)*IF(Upgrades!$T$11="First Photons",POWER(Upgrades!$U$11,J27),1)))*POWER(Upgrades!$R$6,E27)*POWER(Upgrades!$R$7,F27)*POWER(Upgrades!$R$8,G27)*POWER(Upgrades!$R$9,H27)*POWER(Upgrades!$R$10,I27)*POWER(Upgrades!$R$11,J27)*POWER(Upgrades!$R$12,K27)</f>
        <v/>
      </c>
      <c r="P27" s="27">
        <f>IF(L27=1,0,M27*Parameters!$B$10/60*Parameters!$B$11*10)</f>
        <v/>
      </c>
      <c r="Q27" s="27">
        <f>IF(L27=1,0,O27*M27*10)</f>
        <v/>
      </c>
      <c r="R27" s="27">
        <f>IF(L27=1,0,N27*10)</f>
        <v/>
      </c>
      <c r="S27" s="27">
        <f>P27+Q27+R27</f>
        <v/>
      </c>
      <c r="T27" s="22">
        <f>C27+S27</f>
        <v/>
      </c>
      <c r="U27" s="33">
        <f>AX27</f>
        <v/>
      </c>
      <c r="V27" s="22">
        <f>IF(U27="",0,IF(U27="transition",0,IF(U27="SW",AG27,IF(U27="AB",AH27,IF(U27="SC",AI27,IF(U27="Mag",AJ27,IF(U27="OR",AK27,IF(U27="HP",AL27,IF(U27="FP",AM27,0)))))))))</f>
        <v/>
      </c>
      <c r="W27" s="27">
        <f>IF(U27="OR",Upgrades!$F$10,IF(U27="HP",Upgrades!$F$11,IF(U27="transition",-Parameters!$B$18,0)))</f>
        <v/>
      </c>
      <c r="X27" s="22">
        <f>T27-V27</f>
        <v/>
      </c>
      <c r="Y27" s="30">
        <f>M27*Parameters!$B$10/60*Parameters!$B$11+O27*M27+N27</f>
        <v/>
      </c>
      <c r="Z27" s="34">
        <f>IF(U27="transition","→ Tier 2 (Stellar Neighborhood)",IF(U27="FP","First Photons — light begins, system quickens",IF(U27="HP","Heliopause acquired",IF(U27="OR","Orbital Resonance — passive multiplier active",IF(AND(AO27=1,L27=0,AN27&lt;&gt;1),"Cohesion ready (waiting on completionist upgrades)","")))))</f>
        <v/>
      </c>
      <c r="AA27" s="27">
        <f>(IF(E27=0,0,(Upgrades!$G$6+E27*Upgrades!$H$6)*POWER(Upgrades!$I$6,E27)))*(IF(Upgrades!$T$7="Solar Wind",POWER(Upgrades!$U$7,F27),1)*IF(Upgrades!$T$8="Solar Wind",POWER(Upgrades!$U$8,G27),1)*IF(Upgrades!$T$9="Solar Wind",POWER(Upgrades!$U$9,H27),1)*IF(Upgrades!$T$10="Solar Wind",POWER(Upgrades!$U$10,I27),1)*IF(Upgrades!$T$11="Solar Wind",POWER(Upgrades!$U$11,J27),1)*IF(Upgrades!$T$12="Solar Wind",POWER(Upgrades!$U$12,K27),1))*POWER(Upgrades!$P$6,E27)*POWER(Upgrades!$P$7,F27)*POWER(Upgrades!$P$8,G27)*POWER(Upgrades!$P$9,H27)*POWER(Upgrades!$P$10,I27)*POWER(Upgrades!$P$11,J27)*POWER(Upgrades!$P$12,K27)*60</f>
        <v/>
      </c>
      <c r="AB27" s="27">
        <f>(IF(F27=0,0,(Upgrades!$G$7+F27*Upgrades!$H$7)*POWER(Upgrades!$I$7,F27)))*(IF(Upgrades!$T$6="Asteroid Belt",POWER(Upgrades!$U$6,E27),1)*IF(Upgrades!$T$8="Asteroid Belt",POWER(Upgrades!$U$8,G27),1)*IF(Upgrades!$T$9="Asteroid Belt",POWER(Upgrades!$U$9,H27),1)*IF(Upgrades!$T$10="Asteroid Belt",POWER(Upgrades!$U$10,I27),1)*IF(Upgrades!$T$11="Asteroid Belt",POWER(Upgrades!$U$11,J27),1)*IF(Upgrades!$T$12="Asteroid Belt",POWER(Upgrades!$U$12,K27),1))*POWER(Upgrades!$P$6,E27)*POWER(Upgrades!$P$7,F27)*POWER(Upgrades!$P$8,G27)*POWER(Upgrades!$P$9,H27)*POWER(Upgrades!$P$10,I27)*POWER(Upgrades!$P$11,J27)*POWER(Upgrades!$P$12,K27)*60</f>
        <v/>
      </c>
      <c r="AC27" s="27">
        <f>(IF(G27=0,0,(Upgrades!$J$8+G27*Upgrades!$K$8)*POWER(Upgrades!$L$8,G27)))*(IF(Upgrades!$T$6="Stellar Coupling",POWER(Upgrades!$U$6,E27),1)*IF(Upgrades!$T$7="Stellar Coupling",POWER(Upgrades!$U$7,F27),1)*IF(Upgrades!$T$9="Stellar Coupling",POWER(Upgrades!$U$9,H27),1)*IF(Upgrades!$T$10="Stellar Coupling",POWER(Upgrades!$U$10,I27),1)*IF(Upgrades!$T$11="Stellar Coupling",POWER(Upgrades!$U$11,J27),1)*IF(Upgrades!$T$12="Stellar Coupling",POWER(Upgrades!$U$12,K27),1))*POWER(Upgrades!$Q$6,E27)*POWER(Upgrades!$Q$7,F27)*POWER(Upgrades!$Q$8,G27)*POWER(Upgrades!$Q$9,H27)*POWER(Upgrades!$Q$10,I27)*POWER(Upgrades!$Q$11,J27)*POWER(Upgrades!$Q$12,K27)*Parameters!$B$10*Parameters!$B$11</f>
        <v/>
      </c>
      <c r="AD27" s="27">
        <f>(IF(H27=0,0,(Upgrades!$G$9+H27*Upgrades!$H$9)*POWER(Upgrades!$I$9,H27)))*(IF(Upgrades!$T$6="Magnetosphere",POWER(Upgrades!$U$6,E27),1)*IF(Upgrades!$T$7="Magnetosphere",POWER(Upgrades!$U$7,F27),1)*IF(Upgrades!$T$8="Magnetosphere",POWER(Upgrades!$U$8,G27),1)*IF(Upgrades!$T$10="Magnetosphere",POWER(Upgrades!$U$10,I27),1)*IF(Upgrades!$T$11="Magnetosphere",POWER(Upgrades!$U$11,J27),1)*IF(Upgrades!$T$12="Magnetosphere",POWER(Upgrades!$U$12,K27),1))*POWER(Upgrades!$P$6,E27)*POWER(Upgrades!$P$7,F27)*POWER(Upgrades!$P$8,G27)*POWER(Upgrades!$P$9,H27)*POWER(Upgrades!$P$10,I27)*POWER(Upgrades!$P$11,J27)*POWER(Upgrades!$P$12,K27)*60</f>
        <v/>
      </c>
      <c r="AE27" s="27">
        <f>(IF(K27=0,0,(Upgrades!$G$12+K27*Upgrades!$H$12)*POWER(Upgrades!$I$12,K27)))*(IF(Upgrades!$T$6="First Photons",POWER(Upgrades!$U$6,E27),1)*IF(Upgrades!$T$7="First Photons",POWER(Upgrades!$U$7,F27),1)*IF(Upgrades!$T$8="First Photons",POWER(Upgrades!$U$8,G27),1)*IF(Upgrades!$T$9="First Photons",POWER(Upgrades!$U$9,H27),1)*IF(Upgrades!$T$10="First Photons",POWER(Upgrades!$U$10,I27),1)*IF(Upgrades!$T$11="First Photons",POWER(Upgrades!$U$11,J27),1))*POWER(Upgrades!$P$6,E27)*POWER(Upgrades!$P$7,F27)*POWER(Upgrades!$P$8,G27)*POWER(Upgrades!$P$9,H27)*POWER(Upgrades!$P$10,I27)*POWER(Upgrades!$P$11,J27)*POWER(Upgrades!$P$12,K27)*60</f>
        <v/>
      </c>
      <c r="AF27" s="27">
        <f>Parameters!$B$9*POWER(Upgrades!$Q$6,E27)*POWER(Upgrades!$Q$7,F27)*POWER(Upgrades!$Q$8,G27)*POWER(Upgrades!$Q$9,H27)*POWER(Upgrades!$Q$10,I27)*POWER(Upgrades!$Q$11,J27)*POWER(Upgrades!$Q$12,K27)*(Parameters!$B$10*Parameters!$B$11+O27*60)</f>
        <v/>
      </c>
      <c r="AG27" s="22">
        <f>IF(E27&gt;=Upgrades!$E$6,"",Upgrades!$C$6*POWER(Upgrades!$D$6,E27))</f>
        <v/>
      </c>
      <c r="AH27" s="22">
        <f>IF(F27&gt;=Upgrades!$E$7,"",Upgrades!$C$7*POWER(Upgrades!$D$7,F27))</f>
        <v/>
      </c>
      <c r="AI27" s="22">
        <f>IF(G27&gt;=Upgrades!$E$8,"",Upgrades!$C$8*POWER(Upgrades!$D$8,G27))</f>
        <v/>
      </c>
      <c r="AJ27" s="22">
        <f>IF(H27&gt;=Upgrades!$E$9,"",Upgrades!$C$9*POWER(Upgrades!$D$9,H27))</f>
        <v/>
      </c>
      <c r="AK27" s="22">
        <f>IF(I27&gt;=Upgrades!$E$10,"",Upgrades!$C$10*POWER(Upgrades!$D$10,I27))</f>
        <v/>
      </c>
      <c r="AL27" s="22">
        <f>IF(J27&gt;=Upgrades!$E$11,"",Upgrades!$C$11*POWER(Upgrades!$D$11,J27))</f>
        <v/>
      </c>
      <c r="AM27" s="22">
        <f>IF(K27&gt;=Upgrades!$E$12,"",Upgrades!$C$12*POWER(Upgrades!$D$12,K27))</f>
        <v/>
      </c>
      <c r="AN27" s="26">
        <f>IF(AND(D27&gt;=Parameters!$B$18,(H27&gt;=Upgrades!$E$9)*(K27&gt;=Upgrades!$E$12)=1,L27=0),1,"")</f>
        <v/>
      </c>
      <c r="AO27" s="26">
        <f>IF(AND(D27&gt;=Parameters!$B$18,L27=0),1,"")</f>
        <v/>
      </c>
      <c r="AP27" s="22">
        <f>MIN(IF(ISNUMBER(AK27),AK27,9E15),IF(ISNUMBER(AL27),AL27,9E15),IF(ISNUMBER(AM27),AM27,9E15))</f>
        <v/>
      </c>
      <c r="AQ27" s="22">
        <f>MIN(IF(ISNUMBER(AG27),AG27,9E15),IF(ISNUMBER(AH27),AH27,9E15),IF(ISNUMBER(AI27),AI27,9E15),IF(ISNUMBER(AJ27),AJ27,9E15))</f>
        <v/>
      </c>
      <c r="AR27" s="29">
        <f>IF(AW27&gt;Parameters!$B$21*(MAX(IF(AND(NOT(AND(AO27=1,AN27&lt;&gt;1)),ISNUMBER(AG27),AG27&lt;=T27),AS27,0),IF(AND(NOT(AND(AO27=1,AN27&lt;&gt;1)),ISNUMBER(AH27),AH27&lt;=T27),AT27,0),IF(AND(NOT(AND(AO27=1,AN27&lt;&gt;1)),ISNUMBER(AI27),AI27&lt;=T27),AU27,0),IF(AND(ISNUMBER(AJ27),AJ27&lt;=T27),AV27,0))),TRUE,FALSE)</f>
        <v/>
      </c>
      <c r="AS27" s="32">
        <f>IFERROR(Upgrades!$H$6*(POWER(Upgrades!$P$6,E27)*POWER(Upgrades!$P$7,F27)*POWER(Upgrades!$P$8,G27)*POWER(Upgrades!$P$9,H27)*POWER(Upgrades!$P$10,I27)*POWER(Upgrades!$P$11,J27)*POWER(Upgrades!$P$12,K27))*(IF(Upgrades!$T$7="Solar Wind",POWER(Upgrades!$U$7,F27),1)*IF(Upgrades!$T$8="Solar Wind",POWER(Upgrades!$U$8,G27),1)*IF(Upgrades!$T$9="Solar Wind",POWER(Upgrades!$U$9,H27),1)*IF(Upgrades!$T$10="Solar Wind",POWER(Upgrades!$U$10,I27),1)*IF(Upgrades!$T$11="Solar Wind",POWER(Upgrades!$U$11,J27),1)*IF(Upgrades!$T$12="Solar Wind",POWER(Upgrades!$U$12,K27),1))/AG27,0)</f>
        <v/>
      </c>
      <c r="AT27" s="32">
        <f>IFERROR(Upgrades!$H$7*(POWER(Upgrades!$P$6,E27)*POWER(Upgrades!$P$7,F27)*POWER(Upgrades!$P$8,G27)*POWER(Upgrades!$P$9,H27)*POWER(Upgrades!$P$10,I27)*POWER(Upgrades!$P$11,J27)*POWER(Upgrades!$P$12,K27))*(IF(Upgrades!$T$6="Asteroid Belt",POWER(Upgrades!$U$6,E27),1)*IF(Upgrades!$T$8="Asteroid Belt",POWER(Upgrades!$U$8,G27),1)*IF(Upgrades!$T$9="Asteroid Belt",POWER(Upgrades!$U$9,H27),1)*IF(Upgrades!$T$10="Asteroid Belt",POWER(Upgrades!$U$10,I27),1)*IF(Upgrades!$T$11="Asteroid Belt",POWER(Upgrades!$U$11,J27),1)*IF(Upgrades!$T$12="Asteroid Belt",POWER(Upgrades!$U$12,K27),1))/AH27,0)</f>
        <v/>
      </c>
      <c r="AU27" s="32">
        <f>IFERROR(Upgrades!$K$8*(POWER(Upgrades!$Q$6,E27)*POWER(Upgrades!$Q$7,F27)*POWER(Upgrades!$Q$8,G27)*POWER(Upgrades!$Q$9,H27)*POWER(Upgrades!$Q$10,I27)*POWER(Upgrades!$Q$11,J27)*POWER(Upgrades!$Q$12,K27))*(IF(Upgrades!$T$6="Stellar Coupling",POWER(Upgrades!$U$6,E27),1)*IF(Upgrades!$T$7="Stellar Coupling",POWER(Upgrades!$U$7,F27),1)*IF(Upgrades!$T$9="Stellar Coupling",POWER(Upgrades!$U$9,H27),1)*IF(Upgrades!$T$10="Stellar Coupling",POWER(Upgrades!$U$10,I27),1)*IF(Upgrades!$T$11="Stellar Coupling",POWER(Upgrades!$U$11,J27),1)*IF(Upgrades!$T$12="Stellar Coupling",POWER(Upgrades!$U$12,K27),1))*Parameters!$B$10*Parameters!$B$11/60/AI27,0)</f>
        <v/>
      </c>
      <c r="AV27" s="32">
        <f>IFERROR(Upgrades!$H$9*(POWER(Upgrades!$P$6,E27)*POWER(Upgrades!$P$7,F27)*POWER(Upgrades!$P$8,G27)*POWER(Upgrades!$P$9,H27)*POWER(Upgrades!$P$10,I27)*POWER(Upgrades!$P$11,J27)*POWER(Upgrades!$P$12,K27))*(IF(Upgrades!$T$6="Magnetosphere",POWER(Upgrades!$U$6,E27),1)*IF(Upgrades!$T$7="Magnetosphere",POWER(Upgrades!$U$7,F27),1)*IF(Upgrades!$T$8="Magnetosphere",POWER(Upgrades!$U$8,G27),1)*IF(Upgrades!$T$10="Magnetosphere",POWER(Upgrades!$U$10,I27),1)*IF(Upgrades!$T$11="Magnetosphere",POWER(Upgrades!$U$11,J27),1)*IF(Upgrades!$T$12="Magnetosphere",POWER(Upgrades!$U$12,K27),1))/AJ27,0)</f>
        <v/>
      </c>
      <c r="AW27" s="32">
        <f>MAX(IF(I27&gt;0,0,IFERROR(0.25*N27/Upgrades!$C$10,0)),IF(J27&gt;0,0,IFERROR(0.5*((IF(G27=0,0,(Upgrades!$J$8+G27*Upgrades!$K$8)*POWER(Upgrades!$L$8,G27)))*(IF(Upgrades!$T$6="Stellar Coupling",POWER(Upgrades!$U$6,E27),1)*IF(Upgrades!$T$7="Stellar Coupling",POWER(Upgrades!$U$7,F27),1)*IF(Upgrades!$T$9="Stellar Coupling",POWER(Upgrades!$U$9,H27),1)*IF(Upgrades!$T$10="Stellar Coupling",POWER(Upgrades!$U$10,I27),1)*IF(Upgrades!$T$11="Stellar Coupling",POWER(Upgrades!$U$11,J27),1)*IF(Upgrades!$T$12="Stellar Coupling",POWER(Upgrades!$U$12,K27),1))*(POWER(Upgrades!$Q$6,E27)*POWER(Upgrades!$Q$7,F27)*POWER(Upgrades!$Q$8,G27)*POWER(Upgrades!$Q$9,H27)*POWER(Upgrades!$Q$10,I27)*POWER(Upgrades!$Q$11,J27)*POWER(Upgrades!$Q$12,K27))*Parameters!$B$10*Parameters!$B$11/60)/Upgrades!$C$11,0)),IF(K27&gt;0,0,IFERROR((1.0*(POWER(Upgrades!$P$6,E27)*POWER(Upgrades!$P$7,F27)*POWER(Upgrades!$P$8,G27)*POWER(Upgrades!$P$9,H27)*POWER(Upgrades!$P$10,I27)*POWER(Upgrades!$P$11,J27)*POWER(Upgrades!$P$12,K27))+0.20*M27*Parameters!$B$10*Parameters!$B$11/60)/Upgrades!$C$12,0)),IF(AND(ISNUMBER(AG27),AG27&gt;T27),AS27,0),IF(AND(ISNUMBER(AH27),AH27&gt;T27),AT27,0),IF(AND(ISNUMBER(AI27),AI27&gt;T27),AU27,0),IF(AND(ISNUMBER(AJ27),AJ27&gt;T27),AV27,0))</f>
        <v/>
      </c>
      <c r="AX27" s="29">
        <f>IF(AN27=1,"transition",IF(MIN(IF(AND(I27=0,ISNUMBER(AK27),AK27&lt;=T27),AK27,9E15),IF(AND(J27=0,ISNUMBER(AL27),AL27&lt;=T27),AL27,9E15),IF(AND(K27=0,ISNUMBER(AM27),AM27&lt;=T27),AM27,9E15))&lt;9E15,IF(AND(AND(I27=0,ISNUMBER(AK27),AK27&lt;=T27),AK27=MIN(IF(AND(I27=0,ISNUMBER(AK27),AK27&lt;=T27),AK27,9E15),IF(AND(J27=0,ISNUMBER(AL27),AL27&lt;=T27),AL27,9E15),IF(AND(K27=0,ISNUMBER(AM27),AM27&lt;=T27),AM27,9E15))),"OR",IF(AND(AND(J27=0,ISNUMBER(AL27),AL27&lt;=T27),AL27=MIN(IF(AND(I27=0,ISNUMBER(AK27),AK27&lt;=T27),AK27,9E15),IF(AND(J27=0,ISNUMBER(AL27),AL27&lt;=T27),AL27,9E15),IF(AND(K27=0,ISNUMBER(AM27),AM27&lt;=T27),AM27,9E15))),"HP","FP")),IF(AR27=TRUE,"",IF(MAX(IF(AND(NOT(AND(AO27=1,AN27&lt;&gt;1)),ISNUMBER(AG27),AG27&lt;=T27),AS27,0),IF(AND(NOT(AND(AO27=1,AN27&lt;&gt;1)),ISNUMBER(AH27),AH27&lt;=T27),AT27,0),IF(AND(NOT(AND(AO27=1,AN27&lt;&gt;1)),ISNUMBER(AI27),AI27&lt;=T27),AU27,0),IF(AND(ISNUMBER(AJ27),AJ27&lt;=T27),AV27,0))&lt;=0,"",IF(AND(IF(AND(NOT(AND(AO27=1,AN27&lt;&gt;1)),ISNUMBER(AG27),AG27&lt;=T27),AS27,0)&gt;0,IF(AND(NOT(AND(AO27=1,AN27&lt;&gt;1)),ISNUMBER(AG27),AG27&lt;=T27),AS27,0)=MAX(IF(AND(NOT(AND(AO27=1,AN27&lt;&gt;1)),ISNUMBER(AG27),AG27&lt;=T27),AS27,0),IF(AND(NOT(AND(AO27=1,AN27&lt;&gt;1)),ISNUMBER(AH27),AH27&lt;=T27),AT27,0),IF(AND(NOT(AND(AO27=1,AN27&lt;&gt;1)),ISNUMBER(AI27),AI27&lt;=T27),AU27,0),IF(AND(ISNUMBER(AJ27),AJ27&lt;=T27),AV27,0))),"SW",IF(AND(IF(AND(NOT(AND(AO27=1,AN27&lt;&gt;1)),ISNUMBER(AH27),AH27&lt;=T27),AT27,0)&gt;0,IF(AND(NOT(AND(AO27=1,AN27&lt;&gt;1)),ISNUMBER(AH27),AH27&lt;=T27),AT27,0)=MAX(IF(AND(NOT(AND(AO27=1,AN27&lt;&gt;1)),ISNUMBER(AG27),AG27&lt;=T27),AS27,0),IF(AND(NOT(AND(AO27=1,AN27&lt;&gt;1)),ISNUMBER(AH27),AH27&lt;=T27),AT27,0),IF(AND(NOT(AND(AO27=1,AN27&lt;&gt;1)),ISNUMBER(AI27),AI27&lt;=T27),AU27,0),IF(AND(ISNUMBER(AJ27),AJ27&lt;=T27),AV27,0))),"AB",IF(AND(IF(AND(NOT(AND(AO27=1,AN27&lt;&gt;1)),ISNUMBER(AI27),AI27&lt;=T27),AU27,0)&gt;0,IF(AND(NOT(AND(AO27=1,AN27&lt;&gt;1)),ISNUMBER(AI27),AI27&lt;=T27),AU27,0)=MAX(IF(AND(NOT(AND(AO27=1,AN27&lt;&gt;1)),ISNUMBER(AG27),AG27&lt;=T27),AS27,0),IF(AND(NOT(AND(AO27=1,AN27&lt;&gt;1)),ISNUMBER(AH27),AH27&lt;=T27),AT27,0),IF(AND(NOT(AND(AO27=1,AN27&lt;&gt;1)),ISNUMBER(AI27),AI27&lt;=T27),AU27,0),IF(AND(ISNUMBER(AJ27),AJ27&lt;=T27),AV27,0))),"SC","Mag")))))))</f>
        <v/>
      </c>
    </row>
    <row r="28">
      <c r="A28" s="26" t="n">
        <v>23</v>
      </c>
      <c r="B28" s="27">
        <f>A28*10/60</f>
        <v/>
      </c>
      <c r="C28" s="22">
        <f>X27</f>
        <v/>
      </c>
      <c r="D28" s="27">
        <f>D27+W27</f>
        <v/>
      </c>
      <c r="E28" s="26">
        <f>E27+IF(U27="SW",1,0)</f>
        <v/>
      </c>
      <c r="F28" s="26">
        <f>F27+IF(U27="AB",1,0)</f>
        <v/>
      </c>
      <c r="G28" s="26">
        <f>G27+IF(U27="SC",1,0)</f>
        <v/>
      </c>
      <c r="H28" s="26">
        <f>H27+IF(U27="Mag",1,0)</f>
        <v/>
      </c>
      <c r="I28" s="26">
        <f>MAX(I27,IF(U27="OR",1,0))</f>
        <v/>
      </c>
      <c r="J28" s="26">
        <f>MAX(J27,IF(U27="HP",1,0))</f>
        <v/>
      </c>
      <c r="K28" s="26">
        <f>MAX(K27,IF(U27="FP",1,0))</f>
        <v/>
      </c>
      <c r="L28" s="26">
        <f>MAX(L27,IF(U27="transition",1,0))</f>
        <v/>
      </c>
      <c r="M28" s="28">
        <f>(Parameters!$B$9+(IF(E28=0,0,(Upgrades!$J$6+E28*Upgrades!$K$6)*POWER(Upgrades!$L$6,E28)))*(IF(Upgrades!$T$7="Solar Wind",POWER(Upgrades!$U$7,F28),1)*IF(Upgrades!$T$8="Solar Wind",POWER(Upgrades!$U$8,G28),1)*IF(Upgrades!$T$9="Solar Wind",POWER(Upgrades!$U$9,H28),1)*IF(Upgrades!$T$10="Solar Wind",POWER(Upgrades!$U$10,I28),1)*IF(Upgrades!$T$11="Solar Wind",POWER(Upgrades!$U$11,J28),1)*IF(Upgrades!$T$12="Solar Wind",POWER(Upgrades!$U$12,K28),1))+(IF(F28=0,0,(Upgrades!$J$7+F28*Upgrades!$K$7)*POWER(Upgrades!$L$7,F28)))*(IF(Upgrades!$T$6="Asteroid Belt",POWER(Upgrades!$U$6,E28),1)*IF(Upgrades!$T$8="Asteroid Belt",POWER(Upgrades!$U$8,G28),1)*IF(Upgrades!$T$9="Asteroid Belt",POWER(Upgrades!$U$9,H28),1)*IF(Upgrades!$T$10="Asteroid Belt",POWER(Upgrades!$U$10,I28),1)*IF(Upgrades!$T$11="Asteroid Belt",POWER(Upgrades!$U$11,J28),1)*IF(Upgrades!$T$12="Asteroid Belt",POWER(Upgrades!$U$12,K28),1))+(IF(G28=0,0,(Upgrades!$J$8+G28*Upgrades!$K$8)*POWER(Upgrades!$L$8,G28)))*(IF(Upgrades!$T$6="Stellar Coupling",POWER(Upgrades!$U$6,E28),1)*IF(Upgrades!$T$7="Stellar Coupling",POWER(Upgrades!$U$7,F28),1)*IF(Upgrades!$T$9="Stellar Coupling",POWER(Upgrades!$U$9,H28),1)*IF(Upgrades!$T$10="Stellar Coupling",POWER(Upgrades!$U$10,I28),1)*IF(Upgrades!$T$11="Stellar Coupling",POWER(Upgrades!$U$11,J28),1)*IF(Upgrades!$T$12="Stellar Coupling",POWER(Upgrades!$U$12,K28),1))+(IF(H28=0,0,(Upgrades!$J$9+H28*Upgrades!$K$9)*POWER(Upgrades!$L$9,H28)))*(IF(Upgrades!$T$6="Magnetosphere",POWER(Upgrades!$U$6,E28),1)*IF(Upgrades!$T$7="Magnetosphere",POWER(Upgrades!$U$7,F28),1)*IF(Upgrades!$T$8="Magnetosphere",POWER(Upgrades!$U$8,G28),1)*IF(Upgrades!$T$10="Magnetosphere",POWER(Upgrades!$U$10,I28),1)*IF(Upgrades!$T$11="Magnetosphere",POWER(Upgrades!$U$11,J28),1)*IF(Upgrades!$T$12="Magnetosphere",POWER(Upgrades!$U$12,K28),1))+(IF(I28=0,0,(Upgrades!$J$10+I28*Upgrades!$K$10)*POWER(Upgrades!$L$10,I28)))*(IF(Upgrades!$T$6="Orbital Resonance",POWER(Upgrades!$U$6,E28),1)*IF(Upgrades!$T$7="Orbital Resonance",POWER(Upgrades!$U$7,F28),1)*IF(Upgrades!$T$8="Orbital Resonance",POWER(Upgrades!$U$8,G28),1)*IF(Upgrades!$T$9="Orbital Resonance",POWER(Upgrades!$U$9,H28),1)*IF(Upgrades!$T$11="Orbital Resonance",POWER(Upgrades!$U$11,J28),1)*IF(Upgrades!$T$12="Orbital Resonance",POWER(Upgrades!$U$12,K28),1))+(IF(J28=0,0,(Upgrades!$J$11+J28*Upgrades!$K$11)*POWER(Upgrades!$L$11,J28)))*(IF(Upgrades!$T$6="Heliopause",POWER(Upgrades!$U$6,E28),1)*IF(Upgrades!$T$7="Heliopause",POWER(Upgrades!$U$7,F28),1)*IF(Upgrades!$T$8="Heliopause",POWER(Upgrades!$U$8,G28),1)*IF(Upgrades!$T$9="Heliopause",POWER(Upgrades!$U$9,H28),1)*IF(Upgrades!$T$10="Heliopause",POWER(Upgrades!$U$10,I28),1)*IF(Upgrades!$T$12="Heliopause",POWER(Upgrades!$U$12,K28),1))+(IF(K28=0,0,(Upgrades!$J$12+K28*Upgrades!$K$12)*POWER(Upgrades!$L$12,K28)))*(IF(Upgrades!$T$6="First Photons",POWER(Upgrades!$U$6,E28),1)*IF(Upgrades!$T$7="First Photons",POWER(Upgrades!$U$7,F28),1)*IF(Upgrades!$T$8="First Photons",POWER(Upgrades!$U$8,G28),1)*IF(Upgrades!$T$9="First Photons",POWER(Upgrades!$U$9,H28),1)*IF(Upgrades!$T$10="First Photons",POWER(Upgrades!$U$10,I28),1)*IF(Upgrades!$T$11="First Photons",POWER(Upgrades!$U$11,J28),1)))*POWER(Upgrades!$Q$6,E28)*POWER(Upgrades!$Q$7,F28)*POWER(Upgrades!$Q$8,G28)*POWER(Upgrades!$Q$9,H28)*POWER(Upgrades!$Q$10,I28)*POWER(Upgrades!$Q$11,J28)*POWER(Upgrades!$Q$12,K28)</f>
        <v/>
      </c>
      <c r="N28" s="28">
        <f>((IF(E28=0,0,(Upgrades!$G$6+E28*Upgrades!$H$6)*POWER(Upgrades!$I$6,E28)))*(IF(Upgrades!$T$7="Solar Wind",POWER(Upgrades!$U$7,F28),1)*IF(Upgrades!$T$8="Solar Wind",POWER(Upgrades!$U$8,G28),1)*IF(Upgrades!$T$9="Solar Wind",POWER(Upgrades!$U$9,H28),1)*IF(Upgrades!$T$10="Solar Wind",POWER(Upgrades!$U$10,I28),1)*IF(Upgrades!$T$11="Solar Wind",POWER(Upgrades!$U$11,J28),1)*IF(Upgrades!$T$12="Solar Wind",POWER(Upgrades!$U$12,K28),1))+(IF(F28=0,0,(Upgrades!$G$7+F28*Upgrades!$H$7)*POWER(Upgrades!$I$7,F28)))*(IF(Upgrades!$T$6="Asteroid Belt",POWER(Upgrades!$U$6,E28),1)*IF(Upgrades!$T$8="Asteroid Belt",POWER(Upgrades!$U$8,G28),1)*IF(Upgrades!$T$9="Asteroid Belt",POWER(Upgrades!$U$9,H28),1)*IF(Upgrades!$T$10="Asteroid Belt",POWER(Upgrades!$U$10,I28),1)*IF(Upgrades!$T$11="Asteroid Belt",POWER(Upgrades!$U$11,J28),1)*IF(Upgrades!$T$12="Asteroid Belt",POWER(Upgrades!$U$12,K28),1))+(IF(G28=0,0,(Upgrades!$G$8+G28*Upgrades!$H$8)*POWER(Upgrades!$I$8,G28)))*(IF(Upgrades!$T$6="Stellar Coupling",POWER(Upgrades!$U$6,E28),1)*IF(Upgrades!$T$7="Stellar Coupling",POWER(Upgrades!$U$7,F28),1)*IF(Upgrades!$T$9="Stellar Coupling",POWER(Upgrades!$U$9,H28),1)*IF(Upgrades!$T$10="Stellar Coupling",POWER(Upgrades!$U$10,I28),1)*IF(Upgrades!$T$11="Stellar Coupling",POWER(Upgrades!$U$11,J28),1)*IF(Upgrades!$T$12="Stellar Coupling",POWER(Upgrades!$U$12,K28),1))+(IF(H28=0,0,(Upgrades!$G$9+H28*Upgrades!$H$9)*POWER(Upgrades!$I$9,H28)))*(IF(Upgrades!$T$6="Magnetosphere",POWER(Upgrades!$U$6,E28),1)*IF(Upgrades!$T$7="Magnetosphere",POWER(Upgrades!$U$7,F28),1)*IF(Upgrades!$T$8="Magnetosphere",POWER(Upgrades!$U$8,G28),1)*IF(Upgrades!$T$10="Magnetosphere",POWER(Upgrades!$U$10,I28),1)*IF(Upgrades!$T$11="Magnetosphere",POWER(Upgrades!$U$11,J28),1)*IF(Upgrades!$T$12="Magnetosphere",POWER(Upgrades!$U$12,K28),1))+(IF(I28=0,0,(Upgrades!$G$10+I28*Upgrades!$H$10)*POWER(Upgrades!$I$10,I28)))*(IF(Upgrades!$T$6="Orbital Resonance",POWER(Upgrades!$U$6,E28),1)*IF(Upgrades!$T$7="Orbital Resonance",POWER(Upgrades!$U$7,F28),1)*IF(Upgrades!$T$8="Orbital Resonance",POWER(Upgrades!$U$8,G28),1)*IF(Upgrades!$T$9="Orbital Resonance",POWER(Upgrades!$U$9,H28),1)*IF(Upgrades!$T$11="Orbital Resonance",POWER(Upgrades!$U$11,J28),1)*IF(Upgrades!$T$12="Orbital Resonance",POWER(Upgrades!$U$12,K28),1))+(IF(J28=0,0,(Upgrades!$G$11+J28*Upgrades!$H$11)*POWER(Upgrades!$I$11,J28)))*(IF(Upgrades!$T$6="Heliopause",POWER(Upgrades!$U$6,E28),1)*IF(Upgrades!$T$7="Heliopause",POWER(Upgrades!$U$7,F28),1)*IF(Upgrades!$T$8="Heliopause",POWER(Upgrades!$U$8,G28),1)*IF(Upgrades!$T$9="Heliopause",POWER(Upgrades!$U$9,H28),1)*IF(Upgrades!$T$10="Heliopause",POWER(Upgrades!$U$10,I28),1)*IF(Upgrades!$T$12="Heliopause",POWER(Upgrades!$U$12,K28),1))+(IF(K28=0,0,(Upgrades!$G$12+K28*Upgrades!$H$12)*POWER(Upgrades!$I$12,K28)))*(IF(Upgrades!$T$6="First Photons",POWER(Upgrades!$U$6,E28),1)*IF(Upgrades!$T$7="First Photons",POWER(Upgrades!$U$7,F28),1)*IF(Upgrades!$T$8="First Photons",POWER(Upgrades!$U$8,G28),1)*IF(Upgrades!$T$9="First Photons",POWER(Upgrades!$U$9,H28),1)*IF(Upgrades!$T$10="First Photons",POWER(Upgrades!$U$10,I28),1)*IF(Upgrades!$T$11="First Photons",POWER(Upgrades!$U$11,J28),1)))*POWER(Upgrades!$P$6,E28)*POWER(Upgrades!$P$7,F28)*POWER(Upgrades!$P$8,G28)*POWER(Upgrades!$P$9,H28)*POWER(Upgrades!$P$10,I28)*POWER(Upgrades!$P$11,J28)*POWER(Upgrades!$P$12,K28)</f>
        <v/>
      </c>
      <c r="O28" s="28">
        <f>((IF(E28=0,0,(Upgrades!$M$6+E28*Upgrades!$N$6)*POWER(Upgrades!$O$6,E28)))*(IF(Upgrades!$T$7="Solar Wind",POWER(Upgrades!$U$7,F28),1)*IF(Upgrades!$T$8="Solar Wind",POWER(Upgrades!$U$8,G28),1)*IF(Upgrades!$T$9="Solar Wind",POWER(Upgrades!$U$9,H28),1)*IF(Upgrades!$T$10="Solar Wind",POWER(Upgrades!$U$10,I28),1)*IF(Upgrades!$T$11="Solar Wind",POWER(Upgrades!$U$11,J28),1)*IF(Upgrades!$T$12="Solar Wind",POWER(Upgrades!$U$12,K28),1))+(IF(F28=0,0,(Upgrades!$M$7+F28*Upgrades!$N$7)*POWER(Upgrades!$O$7,F28)))*(IF(Upgrades!$T$6="Asteroid Belt",POWER(Upgrades!$U$6,E28),1)*IF(Upgrades!$T$8="Asteroid Belt",POWER(Upgrades!$U$8,G28),1)*IF(Upgrades!$T$9="Asteroid Belt",POWER(Upgrades!$U$9,H28),1)*IF(Upgrades!$T$10="Asteroid Belt",POWER(Upgrades!$U$10,I28),1)*IF(Upgrades!$T$11="Asteroid Belt",POWER(Upgrades!$U$11,J28),1)*IF(Upgrades!$T$12="Asteroid Belt",POWER(Upgrades!$U$12,K28),1))+(IF(G28=0,0,(Upgrades!$M$8+G28*Upgrades!$N$8)*POWER(Upgrades!$O$8,G28)))*(IF(Upgrades!$T$6="Stellar Coupling",POWER(Upgrades!$U$6,E28),1)*IF(Upgrades!$T$7="Stellar Coupling",POWER(Upgrades!$U$7,F28),1)*IF(Upgrades!$T$9="Stellar Coupling",POWER(Upgrades!$U$9,H28),1)*IF(Upgrades!$T$10="Stellar Coupling",POWER(Upgrades!$U$10,I28),1)*IF(Upgrades!$T$11="Stellar Coupling",POWER(Upgrades!$U$11,J28),1)*IF(Upgrades!$T$12="Stellar Coupling",POWER(Upgrades!$U$12,K28),1))+(IF(H28=0,0,(Upgrades!$M$9+H28*Upgrades!$N$9)*POWER(Upgrades!$O$9,H28)))*(IF(Upgrades!$T$6="Magnetosphere",POWER(Upgrades!$U$6,E28),1)*IF(Upgrades!$T$7="Magnetosphere",POWER(Upgrades!$U$7,F28),1)*IF(Upgrades!$T$8="Magnetosphere",POWER(Upgrades!$U$8,G28),1)*IF(Upgrades!$T$10="Magnetosphere",POWER(Upgrades!$U$10,I28),1)*IF(Upgrades!$T$11="Magnetosphere",POWER(Upgrades!$U$11,J28),1)*IF(Upgrades!$T$12="Magnetosphere",POWER(Upgrades!$U$12,K28),1))+(IF(I28=0,0,(Upgrades!$M$10+I28*Upgrades!$N$10)*POWER(Upgrades!$O$10,I28)))*(IF(Upgrades!$T$6="Orbital Resonance",POWER(Upgrades!$U$6,E28),1)*IF(Upgrades!$T$7="Orbital Resonance",POWER(Upgrades!$U$7,F28),1)*IF(Upgrades!$T$8="Orbital Resonance",POWER(Upgrades!$U$8,G28),1)*IF(Upgrades!$T$9="Orbital Resonance",POWER(Upgrades!$U$9,H28),1)*IF(Upgrades!$T$11="Orbital Resonance",POWER(Upgrades!$U$11,J28),1)*IF(Upgrades!$T$12="Orbital Resonance",POWER(Upgrades!$U$12,K28),1))+(IF(J28=0,0,(Upgrades!$M$11+J28*Upgrades!$N$11)*POWER(Upgrades!$O$11,J28)))*(IF(Upgrades!$T$6="Heliopause",POWER(Upgrades!$U$6,E28),1)*IF(Upgrades!$T$7="Heliopause",POWER(Upgrades!$U$7,F28),1)*IF(Upgrades!$T$8="Heliopause",POWER(Upgrades!$U$8,G28),1)*IF(Upgrades!$T$9="Heliopause",POWER(Upgrades!$U$9,H28),1)*IF(Upgrades!$T$10="Heliopause",POWER(Upgrades!$U$10,I28),1)*IF(Upgrades!$T$12="Heliopause",POWER(Upgrades!$U$12,K28),1))+(IF(K28=0,0,(Upgrades!$M$12+K28*Upgrades!$N$12)*POWER(Upgrades!$O$12,K28)))*(IF(Upgrades!$T$6="First Photons",POWER(Upgrades!$U$6,E28),1)*IF(Upgrades!$T$7="First Photons",POWER(Upgrades!$U$7,F28),1)*IF(Upgrades!$T$8="First Photons",POWER(Upgrades!$U$8,G28),1)*IF(Upgrades!$T$9="First Photons",POWER(Upgrades!$U$9,H28),1)*IF(Upgrades!$T$10="First Photons",POWER(Upgrades!$U$10,I28),1)*IF(Upgrades!$T$11="First Photons",POWER(Upgrades!$U$11,J28),1)))*POWER(Upgrades!$R$6,E28)*POWER(Upgrades!$R$7,F28)*POWER(Upgrades!$R$8,G28)*POWER(Upgrades!$R$9,H28)*POWER(Upgrades!$R$10,I28)*POWER(Upgrades!$R$11,J28)*POWER(Upgrades!$R$12,K28)</f>
        <v/>
      </c>
      <c r="P28" s="27">
        <f>IF(L28=1,0,M28*Parameters!$B$10/60*Parameters!$B$11*10)</f>
        <v/>
      </c>
      <c r="Q28" s="27">
        <f>IF(L28=1,0,O28*M28*10)</f>
        <v/>
      </c>
      <c r="R28" s="27">
        <f>IF(L28=1,0,N28*10)</f>
        <v/>
      </c>
      <c r="S28" s="27">
        <f>P28+Q28+R28</f>
        <v/>
      </c>
      <c r="T28" s="22">
        <f>C28+S28</f>
        <v/>
      </c>
      <c r="U28" s="33">
        <f>AX28</f>
        <v/>
      </c>
      <c r="V28" s="22">
        <f>IF(U28="",0,IF(U28="transition",0,IF(U28="SW",AG28,IF(U28="AB",AH28,IF(U28="SC",AI28,IF(U28="Mag",AJ28,IF(U28="OR",AK28,IF(U28="HP",AL28,IF(U28="FP",AM28,0)))))))))</f>
        <v/>
      </c>
      <c r="W28" s="27">
        <f>IF(U28="OR",Upgrades!$F$10,IF(U28="HP",Upgrades!$F$11,IF(U28="transition",-Parameters!$B$18,0)))</f>
        <v/>
      </c>
      <c r="X28" s="22">
        <f>T28-V28</f>
        <v/>
      </c>
      <c r="Y28" s="30">
        <f>M28*Parameters!$B$10/60*Parameters!$B$11+O28*M28+N28</f>
        <v/>
      </c>
      <c r="Z28" s="34">
        <f>IF(U28="transition","→ Tier 2 (Stellar Neighborhood)",IF(U28="FP","First Photons — light begins, system quickens",IF(U28="HP","Heliopause acquired",IF(U28="OR","Orbital Resonance — passive multiplier active",IF(AND(AO28=1,L28=0,AN28&lt;&gt;1),"Cohesion ready (waiting on completionist upgrades)","")))))</f>
        <v/>
      </c>
      <c r="AA28" s="27">
        <f>(IF(E28=0,0,(Upgrades!$G$6+E28*Upgrades!$H$6)*POWER(Upgrades!$I$6,E28)))*(IF(Upgrades!$T$7="Solar Wind",POWER(Upgrades!$U$7,F28),1)*IF(Upgrades!$T$8="Solar Wind",POWER(Upgrades!$U$8,G28),1)*IF(Upgrades!$T$9="Solar Wind",POWER(Upgrades!$U$9,H28),1)*IF(Upgrades!$T$10="Solar Wind",POWER(Upgrades!$U$10,I28),1)*IF(Upgrades!$T$11="Solar Wind",POWER(Upgrades!$U$11,J28),1)*IF(Upgrades!$T$12="Solar Wind",POWER(Upgrades!$U$12,K28),1))*POWER(Upgrades!$P$6,E28)*POWER(Upgrades!$P$7,F28)*POWER(Upgrades!$P$8,G28)*POWER(Upgrades!$P$9,H28)*POWER(Upgrades!$P$10,I28)*POWER(Upgrades!$P$11,J28)*POWER(Upgrades!$P$12,K28)*60</f>
        <v/>
      </c>
      <c r="AB28" s="27">
        <f>(IF(F28=0,0,(Upgrades!$G$7+F28*Upgrades!$H$7)*POWER(Upgrades!$I$7,F28)))*(IF(Upgrades!$T$6="Asteroid Belt",POWER(Upgrades!$U$6,E28),1)*IF(Upgrades!$T$8="Asteroid Belt",POWER(Upgrades!$U$8,G28),1)*IF(Upgrades!$T$9="Asteroid Belt",POWER(Upgrades!$U$9,H28),1)*IF(Upgrades!$T$10="Asteroid Belt",POWER(Upgrades!$U$10,I28),1)*IF(Upgrades!$T$11="Asteroid Belt",POWER(Upgrades!$U$11,J28),1)*IF(Upgrades!$T$12="Asteroid Belt",POWER(Upgrades!$U$12,K28),1))*POWER(Upgrades!$P$6,E28)*POWER(Upgrades!$P$7,F28)*POWER(Upgrades!$P$8,G28)*POWER(Upgrades!$P$9,H28)*POWER(Upgrades!$P$10,I28)*POWER(Upgrades!$P$11,J28)*POWER(Upgrades!$P$12,K28)*60</f>
        <v/>
      </c>
      <c r="AC28" s="27">
        <f>(IF(G28=0,0,(Upgrades!$J$8+G28*Upgrades!$K$8)*POWER(Upgrades!$L$8,G28)))*(IF(Upgrades!$T$6="Stellar Coupling",POWER(Upgrades!$U$6,E28),1)*IF(Upgrades!$T$7="Stellar Coupling",POWER(Upgrades!$U$7,F28),1)*IF(Upgrades!$T$9="Stellar Coupling",POWER(Upgrades!$U$9,H28),1)*IF(Upgrades!$T$10="Stellar Coupling",POWER(Upgrades!$U$10,I28),1)*IF(Upgrades!$T$11="Stellar Coupling",POWER(Upgrades!$U$11,J28),1)*IF(Upgrades!$T$12="Stellar Coupling",POWER(Upgrades!$U$12,K28),1))*POWER(Upgrades!$Q$6,E28)*POWER(Upgrades!$Q$7,F28)*POWER(Upgrades!$Q$8,G28)*POWER(Upgrades!$Q$9,H28)*POWER(Upgrades!$Q$10,I28)*POWER(Upgrades!$Q$11,J28)*POWER(Upgrades!$Q$12,K28)*Parameters!$B$10*Parameters!$B$11</f>
        <v/>
      </c>
      <c r="AD28" s="27">
        <f>(IF(H28=0,0,(Upgrades!$G$9+H28*Upgrades!$H$9)*POWER(Upgrades!$I$9,H28)))*(IF(Upgrades!$T$6="Magnetosphere",POWER(Upgrades!$U$6,E28),1)*IF(Upgrades!$T$7="Magnetosphere",POWER(Upgrades!$U$7,F28),1)*IF(Upgrades!$T$8="Magnetosphere",POWER(Upgrades!$U$8,G28),1)*IF(Upgrades!$T$10="Magnetosphere",POWER(Upgrades!$U$10,I28),1)*IF(Upgrades!$T$11="Magnetosphere",POWER(Upgrades!$U$11,J28),1)*IF(Upgrades!$T$12="Magnetosphere",POWER(Upgrades!$U$12,K28),1))*POWER(Upgrades!$P$6,E28)*POWER(Upgrades!$P$7,F28)*POWER(Upgrades!$P$8,G28)*POWER(Upgrades!$P$9,H28)*POWER(Upgrades!$P$10,I28)*POWER(Upgrades!$P$11,J28)*POWER(Upgrades!$P$12,K28)*60</f>
        <v/>
      </c>
      <c r="AE28" s="27">
        <f>(IF(K28=0,0,(Upgrades!$G$12+K28*Upgrades!$H$12)*POWER(Upgrades!$I$12,K28)))*(IF(Upgrades!$T$6="First Photons",POWER(Upgrades!$U$6,E28),1)*IF(Upgrades!$T$7="First Photons",POWER(Upgrades!$U$7,F28),1)*IF(Upgrades!$T$8="First Photons",POWER(Upgrades!$U$8,G28),1)*IF(Upgrades!$T$9="First Photons",POWER(Upgrades!$U$9,H28),1)*IF(Upgrades!$T$10="First Photons",POWER(Upgrades!$U$10,I28),1)*IF(Upgrades!$T$11="First Photons",POWER(Upgrades!$U$11,J28),1))*POWER(Upgrades!$P$6,E28)*POWER(Upgrades!$P$7,F28)*POWER(Upgrades!$P$8,G28)*POWER(Upgrades!$P$9,H28)*POWER(Upgrades!$P$10,I28)*POWER(Upgrades!$P$11,J28)*POWER(Upgrades!$P$12,K28)*60</f>
        <v/>
      </c>
      <c r="AF28" s="27">
        <f>Parameters!$B$9*POWER(Upgrades!$Q$6,E28)*POWER(Upgrades!$Q$7,F28)*POWER(Upgrades!$Q$8,G28)*POWER(Upgrades!$Q$9,H28)*POWER(Upgrades!$Q$10,I28)*POWER(Upgrades!$Q$11,J28)*POWER(Upgrades!$Q$12,K28)*(Parameters!$B$10*Parameters!$B$11+O28*60)</f>
        <v/>
      </c>
      <c r="AG28" s="22">
        <f>IF(E28&gt;=Upgrades!$E$6,"",Upgrades!$C$6*POWER(Upgrades!$D$6,E28))</f>
        <v/>
      </c>
      <c r="AH28" s="22">
        <f>IF(F28&gt;=Upgrades!$E$7,"",Upgrades!$C$7*POWER(Upgrades!$D$7,F28))</f>
        <v/>
      </c>
      <c r="AI28" s="22">
        <f>IF(G28&gt;=Upgrades!$E$8,"",Upgrades!$C$8*POWER(Upgrades!$D$8,G28))</f>
        <v/>
      </c>
      <c r="AJ28" s="22">
        <f>IF(H28&gt;=Upgrades!$E$9,"",Upgrades!$C$9*POWER(Upgrades!$D$9,H28))</f>
        <v/>
      </c>
      <c r="AK28" s="22">
        <f>IF(I28&gt;=Upgrades!$E$10,"",Upgrades!$C$10*POWER(Upgrades!$D$10,I28))</f>
        <v/>
      </c>
      <c r="AL28" s="22">
        <f>IF(J28&gt;=Upgrades!$E$11,"",Upgrades!$C$11*POWER(Upgrades!$D$11,J28))</f>
        <v/>
      </c>
      <c r="AM28" s="22">
        <f>IF(K28&gt;=Upgrades!$E$12,"",Upgrades!$C$12*POWER(Upgrades!$D$12,K28))</f>
        <v/>
      </c>
      <c r="AN28" s="26">
        <f>IF(AND(D28&gt;=Parameters!$B$18,(H28&gt;=Upgrades!$E$9)*(K28&gt;=Upgrades!$E$12)=1,L28=0),1,"")</f>
        <v/>
      </c>
      <c r="AO28" s="26">
        <f>IF(AND(D28&gt;=Parameters!$B$18,L28=0),1,"")</f>
        <v/>
      </c>
      <c r="AP28" s="22">
        <f>MIN(IF(ISNUMBER(AK28),AK28,9E15),IF(ISNUMBER(AL28),AL28,9E15),IF(ISNUMBER(AM28),AM28,9E15))</f>
        <v/>
      </c>
      <c r="AQ28" s="22">
        <f>MIN(IF(ISNUMBER(AG28),AG28,9E15),IF(ISNUMBER(AH28),AH28,9E15),IF(ISNUMBER(AI28),AI28,9E15),IF(ISNUMBER(AJ28),AJ28,9E15))</f>
        <v/>
      </c>
      <c r="AR28" s="29">
        <f>IF(AW28&gt;Parameters!$B$21*(MAX(IF(AND(NOT(AND(AO28=1,AN28&lt;&gt;1)),ISNUMBER(AG28),AG28&lt;=T28),AS28,0),IF(AND(NOT(AND(AO28=1,AN28&lt;&gt;1)),ISNUMBER(AH28),AH28&lt;=T28),AT28,0),IF(AND(NOT(AND(AO28=1,AN28&lt;&gt;1)),ISNUMBER(AI28),AI28&lt;=T28),AU28,0),IF(AND(ISNUMBER(AJ28),AJ28&lt;=T28),AV28,0))),TRUE,FALSE)</f>
        <v/>
      </c>
      <c r="AS28" s="32">
        <f>IFERROR(Upgrades!$H$6*(POWER(Upgrades!$P$6,E28)*POWER(Upgrades!$P$7,F28)*POWER(Upgrades!$P$8,G28)*POWER(Upgrades!$P$9,H28)*POWER(Upgrades!$P$10,I28)*POWER(Upgrades!$P$11,J28)*POWER(Upgrades!$P$12,K28))*(IF(Upgrades!$T$7="Solar Wind",POWER(Upgrades!$U$7,F28),1)*IF(Upgrades!$T$8="Solar Wind",POWER(Upgrades!$U$8,G28),1)*IF(Upgrades!$T$9="Solar Wind",POWER(Upgrades!$U$9,H28),1)*IF(Upgrades!$T$10="Solar Wind",POWER(Upgrades!$U$10,I28),1)*IF(Upgrades!$T$11="Solar Wind",POWER(Upgrades!$U$11,J28),1)*IF(Upgrades!$T$12="Solar Wind",POWER(Upgrades!$U$12,K28),1))/AG28,0)</f>
        <v/>
      </c>
      <c r="AT28" s="32">
        <f>IFERROR(Upgrades!$H$7*(POWER(Upgrades!$P$6,E28)*POWER(Upgrades!$P$7,F28)*POWER(Upgrades!$P$8,G28)*POWER(Upgrades!$P$9,H28)*POWER(Upgrades!$P$10,I28)*POWER(Upgrades!$P$11,J28)*POWER(Upgrades!$P$12,K28))*(IF(Upgrades!$T$6="Asteroid Belt",POWER(Upgrades!$U$6,E28),1)*IF(Upgrades!$T$8="Asteroid Belt",POWER(Upgrades!$U$8,G28),1)*IF(Upgrades!$T$9="Asteroid Belt",POWER(Upgrades!$U$9,H28),1)*IF(Upgrades!$T$10="Asteroid Belt",POWER(Upgrades!$U$10,I28),1)*IF(Upgrades!$T$11="Asteroid Belt",POWER(Upgrades!$U$11,J28),1)*IF(Upgrades!$T$12="Asteroid Belt",POWER(Upgrades!$U$12,K28),1))/AH28,0)</f>
        <v/>
      </c>
      <c r="AU28" s="32">
        <f>IFERROR(Upgrades!$K$8*(POWER(Upgrades!$Q$6,E28)*POWER(Upgrades!$Q$7,F28)*POWER(Upgrades!$Q$8,G28)*POWER(Upgrades!$Q$9,H28)*POWER(Upgrades!$Q$10,I28)*POWER(Upgrades!$Q$11,J28)*POWER(Upgrades!$Q$12,K28))*(IF(Upgrades!$T$6="Stellar Coupling",POWER(Upgrades!$U$6,E28),1)*IF(Upgrades!$T$7="Stellar Coupling",POWER(Upgrades!$U$7,F28),1)*IF(Upgrades!$T$9="Stellar Coupling",POWER(Upgrades!$U$9,H28),1)*IF(Upgrades!$T$10="Stellar Coupling",POWER(Upgrades!$U$10,I28),1)*IF(Upgrades!$T$11="Stellar Coupling",POWER(Upgrades!$U$11,J28),1)*IF(Upgrades!$T$12="Stellar Coupling",POWER(Upgrades!$U$12,K28),1))*Parameters!$B$10*Parameters!$B$11/60/AI28,0)</f>
        <v/>
      </c>
      <c r="AV28" s="32">
        <f>IFERROR(Upgrades!$H$9*(POWER(Upgrades!$P$6,E28)*POWER(Upgrades!$P$7,F28)*POWER(Upgrades!$P$8,G28)*POWER(Upgrades!$P$9,H28)*POWER(Upgrades!$P$10,I28)*POWER(Upgrades!$P$11,J28)*POWER(Upgrades!$P$12,K28))*(IF(Upgrades!$T$6="Magnetosphere",POWER(Upgrades!$U$6,E28),1)*IF(Upgrades!$T$7="Magnetosphere",POWER(Upgrades!$U$7,F28),1)*IF(Upgrades!$T$8="Magnetosphere",POWER(Upgrades!$U$8,G28),1)*IF(Upgrades!$T$10="Magnetosphere",POWER(Upgrades!$U$10,I28),1)*IF(Upgrades!$T$11="Magnetosphere",POWER(Upgrades!$U$11,J28),1)*IF(Upgrades!$T$12="Magnetosphere",POWER(Upgrades!$U$12,K28),1))/AJ28,0)</f>
        <v/>
      </c>
      <c r="AW28" s="32">
        <f>MAX(IF(I28&gt;0,0,IFERROR(0.25*N28/Upgrades!$C$10,0)),IF(J28&gt;0,0,IFERROR(0.5*((IF(G28=0,0,(Upgrades!$J$8+G28*Upgrades!$K$8)*POWER(Upgrades!$L$8,G28)))*(IF(Upgrades!$T$6="Stellar Coupling",POWER(Upgrades!$U$6,E28),1)*IF(Upgrades!$T$7="Stellar Coupling",POWER(Upgrades!$U$7,F28),1)*IF(Upgrades!$T$9="Stellar Coupling",POWER(Upgrades!$U$9,H28),1)*IF(Upgrades!$T$10="Stellar Coupling",POWER(Upgrades!$U$10,I28),1)*IF(Upgrades!$T$11="Stellar Coupling",POWER(Upgrades!$U$11,J28),1)*IF(Upgrades!$T$12="Stellar Coupling",POWER(Upgrades!$U$12,K28),1))*(POWER(Upgrades!$Q$6,E28)*POWER(Upgrades!$Q$7,F28)*POWER(Upgrades!$Q$8,G28)*POWER(Upgrades!$Q$9,H28)*POWER(Upgrades!$Q$10,I28)*POWER(Upgrades!$Q$11,J28)*POWER(Upgrades!$Q$12,K28))*Parameters!$B$10*Parameters!$B$11/60)/Upgrades!$C$11,0)),IF(K28&gt;0,0,IFERROR((1.0*(POWER(Upgrades!$P$6,E28)*POWER(Upgrades!$P$7,F28)*POWER(Upgrades!$P$8,G28)*POWER(Upgrades!$P$9,H28)*POWER(Upgrades!$P$10,I28)*POWER(Upgrades!$P$11,J28)*POWER(Upgrades!$P$12,K28))+0.20*M28*Parameters!$B$10*Parameters!$B$11/60)/Upgrades!$C$12,0)),IF(AND(ISNUMBER(AG28),AG28&gt;T28),AS28,0),IF(AND(ISNUMBER(AH28),AH28&gt;T28),AT28,0),IF(AND(ISNUMBER(AI28),AI28&gt;T28),AU28,0),IF(AND(ISNUMBER(AJ28),AJ28&gt;T28),AV28,0))</f>
        <v/>
      </c>
      <c r="AX28" s="29">
        <f>IF(AN28=1,"transition",IF(MIN(IF(AND(I28=0,ISNUMBER(AK28),AK28&lt;=T28),AK28,9E15),IF(AND(J28=0,ISNUMBER(AL28),AL28&lt;=T28),AL28,9E15),IF(AND(K28=0,ISNUMBER(AM28),AM28&lt;=T28),AM28,9E15))&lt;9E15,IF(AND(AND(I28=0,ISNUMBER(AK28),AK28&lt;=T28),AK28=MIN(IF(AND(I28=0,ISNUMBER(AK28),AK28&lt;=T28),AK28,9E15),IF(AND(J28=0,ISNUMBER(AL28),AL28&lt;=T28),AL28,9E15),IF(AND(K28=0,ISNUMBER(AM28),AM28&lt;=T28),AM28,9E15))),"OR",IF(AND(AND(J28=0,ISNUMBER(AL28),AL28&lt;=T28),AL28=MIN(IF(AND(I28=0,ISNUMBER(AK28),AK28&lt;=T28),AK28,9E15),IF(AND(J28=0,ISNUMBER(AL28),AL28&lt;=T28),AL28,9E15),IF(AND(K28=0,ISNUMBER(AM28),AM28&lt;=T28),AM28,9E15))),"HP","FP")),IF(AR28=TRUE,"",IF(MAX(IF(AND(NOT(AND(AO28=1,AN28&lt;&gt;1)),ISNUMBER(AG28),AG28&lt;=T28),AS28,0),IF(AND(NOT(AND(AO28=1,AN28&lt;&gt;1)),ISNUMBER(AH28),AH28&lt;=T28),AT28,0),IF(AND(NOT(AND(AO28=1,AN28&lt;&gt;1)),ISNUMBER(AI28),AI28&lt;=T28),AU28,0),IF(AND(ISNUMBER(AJ28),AJ28&lt;=T28),AV28,0))&lt;=0,"",IF(AND(IF(AND(NOT(AND(AO28=1,AN28&lt;&gt;1)),ISNUMBER(AG28),AG28&lt;=T28),AS28,0)&gt;0,IF(AND(NOT(AND(AO28=1,AN28&lt;&gt;1)),ISNUMBER(AG28),AG28&lt;=T28),AS28,0)=MAX(IF(AND(NOT(AND(AO28=1,AN28&lt;&gt;1)),ISNUMBER(AG28),AG28&lt;=T28),AS28,0),IF(AND(NOT(AND(AO28=1,AN28&lt;&gt;1)),ISNUMBER(AH28),AH28&lt;=T28),AT28,0),IF(AND(NOT(AND(AO28=1,AN28&lt;&gt;1)),ISNUMBER(AI28),AI28&lt;=T28),AU28,0),IF(AND(ISNUMBER(AJ28),AJ28&lt;=T28),AV28,0))),"SW",IF(AND(IF(AND(NOT(AND(AO28=1,AN28&lt;&gt;1)),ISNUMBER(AH28),AH28&lt;=T28),AT28,0)&gt;0,IF(AND(NOT(AND(AO28=1,AN28&lt;&gt;1)),ISNUMBER(AH28),AH28&lt;=T28),AT28,0)=MAX(IF(AND(NOT(AND(AO28=1,AN28&lt;&gt;1)),ISNUMBER(AG28),AG28&lt;=T28),AS28,0),IF(AND(NOT(AND(AO28=1,AN28&lt;&gt;1)),ISNUMBER(AH28),AH28&lt;=T28),AT28,0),IF(AND(NOT(AND(AO28=1,AN28&lt;&gt;1)),ISNUMBER(AI28),AI28&lt;=T28),AU28,0),IF(AND(ISNUMBER(AJ28),AJ28&lt;=T28),AV28,0))),"AB",IF(AND(IF(AND(NOT(AND(AO28=1,AN28&lt;&gt;1)),ISNUMBER(AI28),AI28&lt;=T28),AU28,0)&gt;0,IF(AND(NOT(AND(AO28=1,AN28&lt;&gt;1)),ISNUMBER(AI28),AI28&lt;=T28),AU28,0)=MAX(IF(AND(NOT(AND(AO28=1,AN28&lt;&gt;1)),ISNUMBER(AG28),AG28&lt;=T28),AS28,0),IF(AND(NOT(AND(AO28=1,AN28&lt;&gt;1)),ISNUMBER(AH28),AH28&lt;=T28),AT28,0),IF(AND(NOT(AND(AO28=1,AN28&lt;&gt;1)),ISNUMBER(AI28),AI28&lt;=T28),AU28,0),IF(AND(ISNUMBER(AJ28),AJ28&lt;=T28),AV28,0))),"SC","Mag")))))))</f>
        <v/>
      </c>
    </row>
    <row r="29">
      <c r="A29" s="26" t="n">
        <v>24</v>
      </c>
      <c r="B29" s="27">
        <f>A29*10/60</f>
        <v/>
      </c>
      <c r="C29" s="22">
        <f>X28</f>
        <v/>
      </c>
      <c r="D29" s="27">
        <f>D28+W28</f>
        <v/>
      </c>
      <c r="E29" s="26">
        <f>E28+IF(U28="SW",1,0)</f>
        <v/>
      </c>
      <c r="F29" s="26">
        <f>F28+IF(U28="AB",1,0)</f>
        <v/>
      </c>
      <c r="G29" s="26">
        <f>G28+IF(U28="SC",1,0)</f>
        <v/>
      </c>
      <c r="H29" s="26">
        <f>H28+IF(U28="Mag",1,0)</f>
        <v/>
      </c>
      <c r="I29" s="26">
        <f>MAX(I28,IF(U28="OR",1,0))</f>
        <v/>
      </c>
      <c r="J29" s="26">
        <f>MAX(J28,IF(U28="HP",1,0))</f>
        <v/>
      </c>
      <c r="K29" s="26">
        <f>MAX(K28,IF(U28="FP",1,0))</f>
        <v/>
      </c>
      <c r="L29" s="26">
        <f>MAX(L28,IF(U28="transition",1,0))</f>
        <v/>
      </c>
      <c r="M29" s="28">
        <f>(Parameters!$B$9+(IF(E29=0,0,(Upgrades!$J$6+E29*Upgrades!$K$6)*POWER(Upgrades!$L$6,E29)))*(IF(Upgrades!$T$7="Solar Wind",POWER(Upgrades!$U$7,F29),1)*IF(Upgrades!$T$8="Solar Wind",POWER(Upgrades!$U$8,G29),1)*IF(Upgrades!$T$9="Solar Wind",POWER(Upgrades!$U$9,H29),1)*IF(Upgrades!$T$10="Solar Wind",POWER(Upgrades!$U$10,I29),1)*IF(Upgrades!$T$11="Solar Wind",POWER(Upgrades!$U$11,J29),1)*IF(Upgrades!$T$12="Solar Wind",POWER(Upgrades!$U$12,K29),1))+(IF(F29=0,0,(Upgrades!$J$7+F29*Upgrades!$K$7)*POWER(Upgrades!$L$7,F29)))*(IF(Upgrades!$T$6="Asteroid Belt",POWER(Upgrades!$U$6,E29),1)*IF(Upgrades!$T$8="Asteroid Belt",POWER(Upgrades!$U$8,G29),1)*IF(Upgrades!$T$9="Asteroid Belt",POWER(Upgrades!$U$9,H29),1)*IF(Upgrades!$T$10="Asteroid Belt",POWER(Upgrades!$U$10,I29),1)*IF(Upgrades!$T$11="Asteroid Belt",POWER(Upgrades!$U$11,J29),1)*IF(Upgrades!$T$12="Asteroid Belt",POWER(Upgrades!$U$12,K29),1))+(IF(G29=0,0,(Upgrades!$J$8+G29*Upgrades!$K$8)*POWER(Upgrades!$L$8,G29)))*(IF(Upgrades!$T$6="Stellar Coupling",POWER(Upgrades!$U$6,E29),1)*IF(Upgrades!$T$7="Stellar Coupling",POWER(Upgrades!$U$7,F29),1)*IF(Upgrades!$T$9="Stellar Coupling",POWER(Upgrades!$U$9,H29),1)*IF(Upgrades!$T$10="Stellar Coupling",POWER(Upgrades!$U$10,I29),1)*IF(Upgrades!$T$11="Stellar Coupling",POWER(Upgrades!$U$11,J29),1)*IF(Upgrades!$T$12="Stellar Coupling",POWER(Upgrades!$U$12,K29),1))+(IF(H29=0,0,(Upgrades!$J$9+H29*Upgrades!$K$9)*POWER(Upgrades!$L$9,H29)))*(IF(Upgrades!$T$6="Magnetosphere",POWER(Upgrades!$U$6,E29),1)*IF(Upgrades!$T$7="Magnetosphere",POWER(Upgrades!$U$7,F29),1)*IF(Upgrades!$T$8="Magnetosphere",POWER(Upgrades!$U$8,G29),1)*IF(Upgrades!$T$10="Magnetosphere",POWER(Upgrades!$U$10,I29),1)*IF(Upgrades!$T$11="Magnetosphere",POWER(Upgrades!$U$11,J29),1)*IF(Upgrades!$T$12="Magnetosphere",POWER(Upgrades!$U$12,K29),1))+(IF(I29=0,0,(Upgrades!$J$10+I29*Upgrades!$K$10)*POWER(Upgrades!$L$10,I29)))*(IF(Upgrades!$T$6="Orbital Resonance",POWER(Upgrades!$U$6,E29),1)*IF(Upgrades!$T$7="Orbital Resonance",POWER(Upgrades!$U$7,F29),1)*IF(Upgrades!$T$8="Orbital Resonance",POWER(Upgrades!$U$8,G29),1)*IF(Upgrades!$T$9="Orbital Resonance",POWER(Upgrades!$U$9,H29),1)*IF(Upgrades!$T$11="Orbital Resonance",POWER(Upgrades!$U$11,J29),1)*IF(Upgrades!$T$12="Orbital Resonance",POWER(Upgrades!$U$12,K29),1))+(IF(J29=0,0,(Upgrades!$J$11+J29*Upgrades!$K$11)*POWER(Upgrades!$L$11,J29)))*(IF(Upgrades!$T$6="Heliopause",POWER(Upgrades!$U$6,E29),1)*IF(Upgrades!$T$7="Heliopause",POWER(Upgrades!$U$7,F29),1)*IF(Upgrades!$T$8="Heliopause",POWER(Upgrades!$U$8,G29),1)*IF(Upgrades!$T$9="Heliopause",POWER(Upgrades!$U$9,H29),1)*IF(Upgrades!$T$10="Heliopause",POWER(Upgrades!$U$10,I29),1)*IF(Upgrades!$T$12="Heliopause",POWER(Upgrades!$U$12,K29),1))+(IF(K29=0,0,(Upgrades!$J$12+K29*Upgrades!$K$12)*POWER(Upgrades!$L$12,K29)))*(IF(Upgrades!$T$6="First Photons",POWER(Upgrades!$U$6,E29),1)*IF(Upgrades!$T$7="First Photons",POWER(Upgrades!$U$7,F29),1)*IF(Upgrades!$T$8="First Photons",POWER(Upgrades!$U$8,G29),1)*IF(Upgrades!$T$9="First Photons",POWER(Upgrades!$U$9,H29),1)*IF(Upgrades!$T$10="First Photons",POWER(Upgrades!$U$10,I29),1)*IF(Upgrades!$T$11="First Photons",POWER(Upgrades!$U$11,J29),1)))*POWER(Upgrades!$Q$6,E29)*POWER(Upgrades!$Q$7,F29)*POWER(Upgrades!$Q$8,G29)*POWER(Upgrades!$Q$9,H29)*POWER(Upgrades!$Q$10,I29)*POWER(Upgrades!$Q$11,J29)*POWER(Upgrades!$Q$12,K29)</f>
        <v/>
      </c>
      <c r="N29" s="28">
        <f>((IF(E29=0,0,(Upgrades!$G$6+E29*Upgrades!$H$6)*POWER(Upgrades!$I$6,E29)))*(IF(Upgrades!$T$7="Solar Wind",POWER(Upgrades!$U$7,F29),1)*IF(Upgrades!$T$8="Solar Wind",POWER(Upgrades!$U$8,G29),1)*IF(Upgrades!$T$9="Solar Wind",POWER(Upgrades!$U$9,H29),1)*IF(Upgrades!$T$10="Solar Wind",POWER(Upgrades!$U$10,I29),1)*IF(Upgrades!$T$11="Solar Wind",POWER(Upgrades!$U$11,J29),1)*IF(Upgrades!$T$12="Solar Wind",POWER(Upgrades!$U$12,K29),1))+(IF(F29=0,0,(Upgrades!$G$7+F29*Upgrades!$H$7)*POWER(Upgrades!$I$7,F29)))*(IF(Upgrades!$T$6="Asteroid Belt",POWER(Upgrades!$U$6,E29),1)*IF(Upgrades!$T$8="Asteroid Belt",POWER(Upgrades!$U$8,G29),1)*IF(Upgrades!$T$9="Asteroid Belt",POWER(Upgrades!$U$9,H29),1)*IF(Upgrades!$T$10="Asteroid Belt",POWER(Upgrades!$U$10,I29),1)*IF(Upgrades!$T$11="Asteroid Belt",POWER(Upgrades!$U$11,J29),1)*IF(Upgrades!$T$12="Asteroid Belt",POWER(Upgrades!$U$12,K29),1))+(IF(G29=0,0,(Upgrades!$G$8+G29*Upgrades!$H$8)*POWER(Upgrades!$I$8,G29)))*(IF(Upgrades!$T$6="Stellar Coupling",POWER(Upgrades!$U$6,E29),1)*IF(Upgrades!$T$7="Stellar Coupling",POWER(Upgrades!$U$7,F29),1)*IF(Upgrades!$T$9="Stellar Coupling",POWER(Upgrades!$U$9,H29),1)*IF(Upgrades!$T$10="Stellar Coupling",POWER(Upgrades!$U$10,I29),1)*IF(Upgrades!$T$11="Stellar Coupling",POWER(Upgrades!$U$11,J29),1)*IF(Upgrades!$T$12="Stellar Coupling",POWER(Upgrades!$U$12,K29),1))+(IF(H29=0,0,(Upgrades!$G$9+H29*Upgrades!$H$9)*POWER(Upgrades!$I$9,H29)))*(IF(Upgrades!$T$6="Magnetosphere",POWER(Upgrades!$U$6,E29),1)*IF(Upgrades!$T$7="Magnetosphere",POWER(Upgrades!$U$7,F29),1)*IF(Upgrades!$T$8="Magnetosphere",POWER(Upgrades!$U$8,G29),1)*IF(Upgrades!$T$10="Magnetosphere",POWER(Upgrades!$U$10,I29),1)*IF(Upgrades!$T$11="Magnetosphere",POWER(Upgrades!$U$11,J29),1)*IF(Upgrades!$T$12="Magnetosphere",POWER(Upgrades!$U$12,K29),1))+(IF(I29=0,0,(Upgrades!$G$10+I29*Upgrades!$H$10)*POWER(Upgrades!$I$10,I29)))*(IF(Upgrades!$T$6="Orbital Resonance",POWER(Upgrades!$U$6,E29),1)*IF(Upgrades!$T$7="Orbital Resonance",POWER(Upgrades!$U$7,F29),1)*IF(Upgrades!$T$8="Orbital Resonance",POWER(Upgrades!$U$8,G29),1)*IF(Upgrades!$T$9="Orbital Resonance",POWER(Upgrades!$U$9,H29),1)*IF(Upgrades!$T$11="Orbital Resonance",POWER(Upgrades!$U$11,J29),1)*IF(Upgrades!$T$12="Orbital Resonance",POWER(Upgrades!$U$12,K29),1))+(IF(J29=0,0,(Upgrades!$G$11+J29*Upgrades!$H$11)*POWER(Upgrades!$I$11,J29)))*(IF(Upgrades!$T$6="Heliopause",POWER(Upgrades!$U$6,E29),1)*IF(Upgrades!$T$7="Heliopause",POWER(Upgrades!$U$7,F29),1)*IF(Upgrades!$T$8="Heliopause",POWER(Upgrades!$U$8,G29),1)*IF(Upgrades!$T$9="Heliopause",POWER(Upgrades!$U$9,H29),1)*IF(Upgrades!$T$10="Heliopause",POWER(Upgrades!$U$10,I29),1)*IF(Upgrades!$T$12="Heliopause",POWER(Upgrades!$U$12,K29),1))+(IF(K29=0,0,(Upgrades!$G$12+K29*Upgrades!$H$12)*POWER(Upgrades!$I$12,K29)))*(IF(Upgrades!$T$6="First Photons",POWER(Upgrades!$U$6,E29),1)*IF(Upgrades!$T$7="First Photons",POWER(Upgrades!$U$7,F29),1)*IF(Upgrades!$T$8="First Photons",POWER(Upgrades!$U$8,G29),1)*IF(Upgrades!$T$9="First Photons",POWER(Upgrades!$U$9,H29),1)*IF(Upgrades!$T$10="First Photons",POWER(Upgrades!$U$10,I29),1)*IF(Upgrades!$T$11="First Photons",POWER(Upgrades!$U$11,J29),1)))*POWER(Upgrades!$P$6,E29)*POWER(Upgrades!$P$7,F29)*POWER(Upgrades!$P$8,G29)*POWER(Upgrades!$P$9,H29)*POWER(Upgrades!$P$10,I29)*POWER(Upgrades!$P$11,J29)*POWER(Upgrades!$P$12,K29)</f>
        <v/>
      </c>
      <c r="O29" s="28">
        <f>((IF(E29=0,0,(Upgrades!$M$6+E29*Upgrades!$N$6)*POWER(Upgrades!$O$6,E29)))*(IF(Upgrades!$T$7="Solar Wind",POWER(Upgrades!$U$7,F29),1)*IF(Upgrades!$T$8="Solar Wind",POWER(Upgrades!$U$8,G29),1)*IF(Upgrades!$T$9="Solar Wind",POWER(Upgrades!$U$9,H29),1)*IF(Upgrades!$T$10="Solar Wind",POWER(Upgrades!$U$10,I29),1)*IF(Upgrades!$T$11="Solar Wind",POWER(Upgrades!$U$11,J29),1)*IF(Upgrades!$T$12="Solar Wind",POWER(Upgrades!$U$12,K29),1))+(IF(F29=0,0,(Upgrades!$M$7+F29*Upgrades!$N$7)*POWER(Upgrades!$O$7,F29)))*(IF(Upgrades!$T$6="Asteroid Belt",POWER(Upgrades!$U$6,E29),1)*IF(Upgrades!$T$8="Asteroid Belt",POWER(Upgrades!$U$8,G29),1)*IF(Upgrades!$T$9="Asteroid Belt",POWER(Upgrades!$U$9,H29),1)*IF(Upgrades!$T$10="Asteroid Belt",POWER(Upgrades!$U$10,I29),1)*IF(Upgrades!$T$11="Asteroid Belt",POWER(Upgrades!$U$11,J29),1)*IF(Upgrades!$T$12="Asteroid Belt",POWER(Upgrades!$U$12,K29),1))+(IF(G29=0,0,(Upgrades!$M$8+G29*Upgrades!$N$8)*POWER(Upgrades!$O$8,G29)))*(IF(Upgrades!$T$6="Stellar Coupling",POWER(Upgrades!$U$6,E29),1)*IF(Upgrades!$T$7="Stellar Coupling",POWER(Upgrades!$U$7,F29),1)*IF(Upgrades!$T$9="Stellar Coupling",POWER(Upgrades!$U$9,H29),1)*IF(Upgrades!$T$10="Stellar Coupling",POWER(Upgrades!$U$10,I29),1)*IF(Upgrades!$T$11="Stellar Coupling",POWER(Upgrades!$U$11,J29),1)*IF(Upgrades!$T$12="Stellar Coupling",POWER(Upgrades!$U$12,K29),1))+(IF(H29=0,0,(Upgrades!$M$9+H29*Upgrades!$N$9)*POWER(Upgrades!$O$9,H29)))*(IF(Upgrades!$T$6="Magnetosphere",POWER(Upgrades!$U$6,E29),1)*IF(Upgrades!$T$7="Magnetosphere",POWER(Upgrades!$U$7,F29),1)*IF(Upgrades!$T$8="Magnetosphere",POWER(Upgrades!$U$8,G29),1)*IF(Upgrades!$T$10="Magnetosphere",POWER(Upgrades!$U$10,I29),1)*IF(Upgrades!$T$11="Magnetosphere",POWER(Upgrades!$U$11,J29),1)*IF(Upgrades!$T$12="Magnetosphere",POWER(Upgrades!$U$12,K29),1))+(IF(I29=0,0,(Upgrades!$M$10+I29*Upgrades!$N$10)*POWER(Upgrades!$O$10,I29)))*(IF(Upgrades!$T$6="Orbital Resonance",POWER(Upgrades!$U$6,E29),1)*IF(Upgrades!$T$7="Orbital Resonance",POWER(Upgrades!$U$7,F29),1)*IF(Upgrades!$T$8="Orbital Resonance",POWER(Upgrades!$U$8,G29),1)*IF(Upgrades!$T$9="Orbital Resonance",POWER(Upgrades!$U$9,H29),1)*IF(Upgrades!$T$11="Orbital Resonance",POWER(Upgrades!$U$11,J29),1)*IF(Upgrades!$T$12="Orbital Resonance",POWER(Upgrades!$U$12,K29),1))+(IF(J29=0,0,(Upgrades!$M$11+J29*Upgrades!$N$11)*POWER(Upgrades!$O$11,J29)))*(IF(Upgrades!$T$6="Heliopause",POWER(Upgrades!$U$6,E29),1)*IF(Upgrades!$T$7="Heliopause",POWER(Upgrades!$U$7,F29),1)*IF(Upgrades!$T$8="Heliopause",POWER(Upgrades!$U$8,G29),1)*IF(Upgrades!$T$9="Heliopause",POWER(Upgrades!$U$9,H29),1)*IF(Upgrades!$T$10="Heliopause",POWER(Upgrades!$U$10,I29),1)*IF(Upgrades!$T$12="Heliopause",POWER(Upgrades!$U$12,K29),1))+(IF(K29=0,0,(Upgrades!$M$12+K29*Upgrades!$N$12)*POWER(Upgrades!$O$12,K29)))*(IF(Upgrades!$T$6="First Photons",POWER(Upgrades!$U$6,E29),1)*IF(Upgrades!$T$7="First Photons",POWER(Upgrades!$U$7,F29),1)*IF(Upgrades!$T$8="First Photons",POWER(Upgrades!$U$8,G29),1)*IF(Upgrades!$T$9="First Photons",POWER(Upgrades!$U$9,H29),1)*IF(Upgrades!$T$10="First Photons",POWER(Upgrades!$U$10,I29),1)*IF(Upgrades!$T$11="First Photons",POWER(Upgrades!$U$11,J29),1)))*POWER(Upgrades!$R$6,E29)*POWER(Upgrades!$R$7,F29)*POWER(Upgrades!$R$8,G29)*POWER(Upgrades!$R$9,H29)*POWER(Upgrades!$R$10,I29)*POWER(Upgrades!$R$11,J29)*POWER(Upgrades!$R$12,K29)</f>
        <v/>
      </c>
      <c r="P29" s="27">
        <f>IF(L29=1,0,M29*Parameters!$B$10/60*Parameters!$B$11*10)</f>
        <v/>
      </c>
      <c r="Q29" s="27">
        <f>IF(L29=1,0,O29*M29*10)</f>
        <v/>
      </c>
      <c r="R29" s="27">
        <f>IF(L29=1,0,N29*10)</f>
        <v/>
      </c>
      <c r="S29" s="27">
        <f>P29+Q29+R29</f>
        <v/>
      </c>
      <c r="T29" s="22">
        <f>C29+S29</f>
        <v/>
      </c>
      <c r="U29" s="33">
        <f>AX29</f>
        <v/>
      </c>
      <c r="V29" s="22">
        <f>IF(U29="",0,IF(U29="transition",0,IF(U29="SW",AG29,IF(U29="AB",AH29,IF(U29="SC",AI29,IF(U29="Mag",AJ29,IF(U29="OR",AK29,IF(U29="HP",AL29,IF(U29="FP",AM29,0)))))))))</f>
        <v/>
      </c>
      <c r="W29" s="27">
        <f>IF(U29="OR",Upgrades!$F$10,IF(U29="HP",Upgrades!$F$11,IF(U29="transition",-Parameters!$B$18,0)))</f>
        <v/>
      </c>
      <c r="X29" s="22">
        <f>T29-V29</f>
        <v/>
      </c>
      <c r="Y29" s="30">
        <f>M29*Parameters!$B$10/60*Parameters!$B$11+O29*M29+N29</f>
        <v/>
      </c>
      <c r="Z29" s="34">
        <f>IF(U29="transition","→ Tier 2 (Stellar Neighborhood)",IF(U29="FP","First Photons — light begins, system quickens",IF(U29="HP","Heliopause acquired",IF(U29="OR","Orbital Resonance — passive multiplier active",IF(AND(AO29=1,L29=0,AN29&lt;&gt;1),"Cohesion ready (waiting on completionist upgrades)","")))))</f>
        <v/>
      </c>
      <c r="AA29" s="27">
        <f>(IF(E29=0,0,(Upgrades!$G$6+E29*Upgrades!$H$6)*POWER(Upgrades!$I$6,E29)))*(IF(Upgrades!$T$7="Solar Wind",POWER(Upgrades!$U$7,F29),1)*IF(Upgrades!$T$8="Solar Wind",POWER(Upgrades!$U$8,G29),1)*IF(Upgrades!$T$9="Solar Wind",POWER(Upgrades!$U$9,H29),1)*IF(Upgrades!$T$10="Solar Wind",POWER(Upgrades!$U$10,I29),1)*IF(Upgrades!$T$11="Solar Wind",POWER(Upgrades!$U$11,J29),1)*IF(Upgrades!$T$12="Solar Wind",POWER(Upgrades!$U$12,K29),1))*POWER(Upgrades!$P$6,E29)*POWER(Upgrades!$P$7,F29)*POWER(Upgrades!$P$8,G29)*POWER(Upgrades!$P$9,H29)*POWER(Upgrades!$P$10,I29)*POWER(Upgrades!$P$11,J29)*POWER(Upgrades!$P$12,K29)*60</f>
        <v/>
      </c>
      <c r="AB29" s="27">
        <f>(IF(F29=0,0,(Upgrades!$G$7+F29*Upgrades!$H$7)*POWER(Upgrades!$I$7,F29)))*(IF(Upgrades!$T$6="Asteroid Belt",POWER(Upgrades!$U$6,E29),1)*IF(Upgrades!$T$8="Asteroid Belt",POWER(Upgrades!$U$8,G29),1)*IF(Upgrades!$T$9="Asteroid Belt",POWER(Upgrades!$U$9,H29),1)*IF(Upgrades!$T$10="Asteroid Belt",POWER(Upgrades!$U$10,I29),1)*IF(Upgrades!$T$11="Asteroid Belt",POWER(Upgrades!$U$11,J29),1)*IF(Upgrades!$T$12="Asteroid Belt",POWER(Upgrades!$U$12,K29),1))*POWER(Upgrades!$P$6,E29)*POWER(Upgrades!$P$7,F29)*POWER(Upgrades!$P$8,G29)*POWER(Upgrades!$P$9,H29)*POWER(Upgrades!$P$10,I29)*POWER(Upgrades!$P$11,J29)*POWER(Upgrades!$P$12,K29)*60</f>
        <v/>
      </c>
      <c r="AC29" s="27">
        <f>(IF(G29=0,0,(Upgrades!$J$8+G29*Upgrades!$K$8)*POWER(Upgrades!$L$8,G29)))*(IF(Upgrades!$T$6="Stellar Coupling",POWER(Upgrades!$U$6,E29),1)*IF(Upgrades!$T$7="Stellar Coupling",POWER(Upgrades!$U$7,F29),1)*IF(Upgrades!$T$9="Stellar Coupling",POWER(Upgrades!$U$9,H29),1)*IF(Upgrades!$T$10="Stellar Coupling",POWER(Upgrades!$U$10,I29),1)*IF(Upgrades!$T$11="Stellar Coupling",POWER(Upgrades!$U$11,J29),1)*IF(Upgrades!$T$12="Stellar Coupling",POWER(Upgrades!$U$12,K29),1))*POWER(Upgrades!$Q$6,E29)*POWER(Upgrades!$Q$7,F29)*POWER(Upgrades!$Q$8,G29)*POWER(Upgrades!$Q$9,H29)*POWER(Upgrades!$Q$10,I29)*POWER(Upgrades!$Q$11,J29)*POWER(Upgrades!$Q$12,K29)*Parameters!$B$10*Parameters!$B$11</f>
        <v/>
      </c>
      <c r="AD29" s="27">
        <f>(IF(H29=0,0,(Upgrades!$G$9+H29*Upgrades!$H$9)*POWER(Upgrades!$I$9,H29)))*(IF(Upgrades!$T$6="Magnetosphere",POWER(Upgrades!$U$6,E29),1)*IF(Upgrades!$T$7="Magnetosphere",POWER(Upgrades!$U$7,F29),1)*IF(Upgrades!$T$8="Magnetosphere",POWER(Upgrades!$U$8,G29),1)*IF(Upgrades!$T$10="Magnetosphere",POWER(Upgrades!$U$10,I29),1)*IF(Upgrades!$T$11="Magnetosphere",POWER(Upgrades!$U$11,J29),1)*IF(Upgrades!$T$12="Magnetosphere",POWER(Upgrades!$U$12,K29),1))*POWER(Upgrades!$P$6,E29)*POWER(Upgrades!$P$7,F29)*POWER(Upgrades!$P$8,G29)*POWER(Upgrades!$P$9,H29)*POWER(Upgrades!$P$10,I29)*POWER(Upgrades!$P$11,J29)*POWER(Upgrades!$P$12,K29)*60</f>
        <v/>
      </c>
      <c r="AE29" s="27">
        <f>(IF(K29=0,0,(Upgrades!$G$12+K29*Upgrades!$H$12)*POWER(Upgrades!$I$12,K29)))*(IF(Upgrades!$T$6="First Photons",POWER(Upgrades!$U$6,E29),1)*IF(Upgrades!$T$7="First Photons",POWER(Upgrades!$U$7,F29),1)*IF(Upgrades!$T$8="First Photons",POWER(Upgrades!$U$8,G29),1)*IF(Upgrades!$T$9="First Photons",POWER(Upgrades!$U$9,H29),1)*IF(Upgrades!$T$10="First Photons",POWER(Upgrades!$U$10,I29),1)*IF(Upgrades!$T$11="First Photons",POWER(Upgrades!$U$11,J29),1))*POWER(Upgrades!$P$6,E29)*POWER(Upgrades!$P$7,F29)*POWER(Upgrades!$P$8,G29)*POWER(Upgrades!$P$9,H29)*POWER(Upgrades!$P$10,I29)*POWER(Upgrades!$P$11,J29)*POWER(Upgrades!$P$12,K29)*60</f>
        <v/>
      </c>
      <c r="AF29" s="27">
        <f>Parameters!$B$9*POWER(Upgrades!$Q$6,E29)*POWER(Upgrades!$Q$7,F29)*POWER(Upgrades!$Q$8,G29)*POWER(Upgrades!$Q$9,H29)*POWER(Upgrades!$Q$10,I29)*POWER(Upgrades!$Q$11,J29)*POWER(Upgrades!$Q$12,K29)*(Parameters!$B$10*Parameters!$B$11+O29*60)</f>
        <v/>
      </c>
      <c r="AG29" s="22">
        <f>IF(E29&gt;=Upgrades!$E$6,"",Upgrades!$C$6*POWER(Upgrades!$D$6,E29))</f>
        <v/>
      </c>
      <c r="AH29" s="22">
        <f>IF(F29&gt;=Upgrades!$E$7,"",Upgrades!$C$7*POWER(Upgrades!$D$7,F29))</f>
        <v/>
      </c>
      <c r="AI29" s="22">
        <f>IF(G29&gt;=Upgrades!$E$8,"",Upgrades!$C$8*POWER(Upgrades!$D$8,G29))</f>
        <v/>
      </c>
      <c r="AJ29" s="22">
        <f>IF(H29&gt;=Upgrades!$E$9,"",Upgrades!$C$9*POWER(Upgrades!$D$9,H29))</f>
        <v/>
      </c>
      <c r="AK29" s="22">
        <f>IF(I29&gt;=Upgrades!$E$10,"",Upgrades!$C$10*POWER(Upgrades!$D$10,I29))</f>
        <v/>
      </c>
      <c r="AL29" s="22">
        <f>IF(J29&gt;=Upgrades!$E$11,"",Upgrades!$C$11*POWER(Upgrades!$D$11,J29))</f>
        <v/>
      </c>
      <c r="AM29" s="22">
        <f>IF(K29&gt;=Upgrades!$E$12,"",Upgrades!$C$12*POWER(Upgrades!$D$12,K29))</f>
        <v/>
      </c>
      <c r="AN29" s="26">
        <f>IF(AND(D29&gt;=Parameters!$B$18,(H29&gt;=Upgrades!$E$9)*(K29&gt;=Upgrades!$E$12)=1,L29=0),1,"")</f>
        <v/>
      </c>
      <c r="AO29" s="26">
        <f>IF(AND(D29&gt;=Parameters!$B$18,L29=0),1,"")</f>
        <v/>
      </c>
      <c r="AP29" s="22">
        <f>MIN(IF(ISNUMBER(AK29),AK29,9E15),IF(ISNUMBER(AL29),AL29,9E15),IF(ISNUMBER(AM29),AM29,9E15))</f>
        <v/>
      </c>
      <c r="AQ29" s="22">
        <f>MIN(IF(ISNUMBER(AG29),AG29,9E15),IF(ISNUMBER(AH29),AH29,9E15),IF(ISNUMBER(AI29),AI29,9E15),IF(ISNUMBER(AJ29),AJ29,9E15))</f>
        <v/>
      </c>
      <c r="AR29" s="29">
        <f>IF(AW29&gt;Parameters!$B$21*(MAX(IF(AND(NOT(AND(AO29=1,AN29&lt;&gt;1)),ISNUMBER(AG29),AG29&lt;=T29),AS29,0),IF(AND(NOT(AND(AO29=1,AN29&lt;&gt;1)),ISNUMBER(AH29),AH29&lt;=T29),AT29,0),IF(AND(NOT(AND(AO29=1,AN29&lt;&gt;1)),ISNUMBER(AI29),AI29&lt;=T29),AU29,0),IF(AND(ISNUMBER(AJ29),AJ29&lt;=T29),AV29,0))),TRUE,FALSE)</f>
        <v/>
      </c>
      <c r="AS29" s="32">
        <f>IFERROR(Upgrades!$H$6*(POWER(Upgrades!$P$6,E29)*POWER(Upgrades!$P$7,F29)*POWER(Upgrades!$P$8,G29)*POWER(Upgrades!$P$9,H29)*POWER(Upgrades!$P$10,I29)*POWER(Upgrades!$P$11,J29)*POWER(Upgrades!$P$12,K29))*(IF(Upgrades!$T$7="Solar Wind",POWER(Upgrades!$U$7,F29),1)*IF(Upgrades!$T$8="Solar Wind",POWER(Upgrades!$U$8,G29),1)*IF(Upgrades!$T$9="Solar Wind",POWER(Upgrades!$U$9,H29),1)*IF(Upgrades!$T$10="Solar Wind",POWER(Upgrades!$U$10,I29),1)*IF(Upgrades!$T$11="Solar Wind",POWER(Upgrades!$U$11,J29),1)*IF(Upgrades!$T$12="Solar Wind",POWER(Upgrades!$U$12,K29),1))/AG29,0)</f>
        <v/>
      </c>
      <c r="AT29" s="32">
        <f>IFERROR(Upgrades!$H$7*(POWER(Upgrades!$P$6,E29)*POWER(Upgrades!$P$7,F29)*POWER(Upgrades!$P$8,G29)*POWER(Upgrades!$P$9,H29)*POWER(Upgrades!$P$10,I29)*POWER(Upgrades!$P$11,J29)*POWER(Upgrades!$P$12,K29))*(IF(Upgrades!$T$6="Asteroid Belt",POWER(Upgrades!$U$6,E29),1)*IF(Upgrades!$T$8="Asteroid Belt",POWER(Upgrades!$U$8,G29),1)*IF(Upgrades!$T$9="Asteroid Belt",POWER(Upgrades!$U$9,H29),1)*IF(Upgrades!$T$10="Asteroid Belt",POWER(Upgrades!$U$10,I29),1)*IF(Upgrades!$T$11="Asteroid Belt",POWER(Upgrades!$U$11,J29),1)*IF(Upgrades!$T$12="Asteroid Belt",POWER(Upgrades!$U$12,K29),1))/AH29,0)</f>
        <v/>
      </c>
      <c r="AU29" s="32">
        <f>IFERROR(Upgrades!$K$8*(POWER(Upgrades!$Q$6,E29)*POWER(Upgrades!$Q$7,F29)*POWER(Upgrades!$Q$8,G29)*POWER(Upgrades!$Q$9,H29)*POWER(Upgrades!$Q$10,I29)*POWER(Upgrades!$Q$11,J29)*POWER(Upgrades!$Q$12,K29))*(IF(Upgrades!$T$6="Stellar Coupling",POWER(Upgrades!$U$6,E29),1)*IF(Upgrades!$T$7="Stellar Coupling",POWER(Upgrades!$U$7,F29),1)*IF(Upgrades!$T$9="Stellar Coupling",POWER(Upgrades!$U$9,H29),1)*IF(Upgrades!$T$10="Stellar Coupling",POWER(Upgrades!$U$10,I29),1)*IF(Upgrades!$T$11="Stellar Coupling",POWER(Upgrades!$U$11,J29),1)*IF(Upgrades!$T$12="Stellar Coupling",POWER(Upgrades!$U$12,K29),1))*Parameters!$B$10*Parameters!$B$11/60/AI29,0)</f>
        <v/>
      </c>
      <c r="AV29" s="32">
        <f>IFERROR(Upgrades!$H$9*(POWER(Upgrades!$P$6,E29)*POWER(Upgrades!$P$7,F29)*POWER(Upgrades!$P$8,G29)*POWER(Upgrades!$P$9,H29)*POWER(Upgrades!$P$10,I29)*POWER(Upgrades!$P$11,J29)*POWER(Upgrades!$P$12,K29))*(IF(Upgrades!$T$6="Magnetosphere",POWER(Upgrades!$U$6,E29),1)*IF(Upgrades!$T$7="Magnetosphere",POWER(Upgrades!$U$7,F29),1)*IF(Upgrades!$T$8="Magnetosphere",POWER(Upgrades!$U$8,G29),1)*IF(Upgrades!$T$10="Magnetosphere",POWER(Upgrades!$U$10,I29),1)*IF(Upgrades!$T$11="Magnetosphere",POWER(Upgrades!$U$11,J29),1)*IF(Upgrades!$T$12="Magnetosphere",POWER(Upgrades!$U$12,K29),1))/AJ29,0)</f>
        <v/>
      </c>
      <c r="AW29" s="32">
        <f>MAX(IF(I29&gt;0,0,IFERROR(0.25*N29/Upgrades!$C$10,0)),IF(J29&gt;0,0,IFERROR(0.5*((IF(G29=0,0,(Upgrades!$J$8+G29*Upgrades!$K$8)*POWER(Upgrades!$L$8,G29)))*(IF(Upgrades!$T$6="Stellar Coupling",POWER(Upgrades!$U$6,E29),1)*IF(Upgrades!$T$7="Stellar Coupling",POWER(Upgrades!$U$7,F29),1)*IF(Upgrades!$T$9="Stellar Coupling",POWER(Upgrades!$U$9,H29),1)*IF(Upgrades!$T$10="Stellar Coupling",POWER(Upgrades!$U$10,I29),1)*IF(Upgrades!$T$11="Stellar Coupling",POWER(Upgrades!$U$11,J29),1)*IF(Upgrades!$T$12="Stellar Coupling",POWER(Upgrades!$U$12,K29),1))*(POWER(Upgrades!$Q$6,E29)*POWER(Upgrades!$Q$7,F29)*POWER(Upgrades!$Q$8,G29)*POWER(Upgrades!$Q$9,H29)*POWER(Upgrades!$Q$10,I29)*POWER(Upgrades!$Q$11,J29)*POWER(Upgrades!$Q$12,K29))*Parameters!$B$10*Parameters!$B$11/60)/Upgrades!$C$11,0)),IF(K29&gt;0,0,IFERROR((1.0*(POWER(Upgrades!$P$6,E29)*POWER(Upgrades!$P$7,F29)*POWER(Upgrades!$P$8,G29)*POWER(Upgrades!$P$9,H29)*POWER(Upgrades!$P$10,I29)*POWER(Upgrades!$P$11,J29)*POWER(Upgrades!$P$12,K29))+0.20*M29*Parameters!$B$10*Parameters!$B$11/60)/Upgrades!$C$12,0)),IF(AND(ISNUMBER(AG29),AG29&gt;T29),AS29,0),IF(AND(ISNUMBER(AH29),AH29&gt;T29),AT29,0),IF(AND(ISNUMBER(AI29),AI29&gt;T29),AU29,0),IF(AND(ISNUMBER(AJ29),AJ29&gt;T29),AV29,0))</f>
        <v/>
      </c>
      <c r="AX29" s="29">
        <f>IF(AN29=1,"transition",IF(MIN(IF(AND(I29=0,ISNUMBER(AK29),AK29&lt;=T29),AK29,9E15),IF(AND(J29=0,ISNUMBER(AL29),AL29&lt;=T29),AL29,9E15),IF(AND(K29=0,ISNUMBER(AM29),AM29&lt;=T29),AM29,9E15))&lt;9E15,IF(AND(AND(I29=0,ISNUMBER(AK29),AK29&lt;=T29),AK29=MIN(IF(AND(I29=0,ISNUMBER(AK29),AK29&lt;=T29),AK29,9E15),IF(AND(J29=0,ISNUMBER(AL29),AL29&lt;=T29),AL29,9E15),IF(AND(K29=0,ISNUMBER(AM29),AM29&lt;=T29),AM29,9E15))),"OR",IF(AND(AND(J29=0,ISNUMBER(AL29),AL29&lt;=T29),AL29=MIN(IF(AND(I29=0,ISNUMBER(AK29),AK29&lt;=T29),AK29,9E15),IF(AND(J29=0,ISNUMBER(AL29),AL29&lt;=T29),AL29,9E15),IF(AND(K29=0,ISNUMBER(AM29),AM29&lt;=T29),AM29,9E15))),"HP","FP")),IF(AR29=TRUE,"",IF(MAX(IF(AND(NOT(AND(AO29=1,AN29&lt;&gt;1)),ISNUMBER(AG29),AG29&lt;=T29),AS29,0),IF(AND(NOT(AND(AO29=1,AN29&lt;&gt;1)),ISNUMBER(AH29),AH29&lt;=T29),AT29,0),IF(AND(NOT(AND(AO29=1,AN29&lt;&gt;1)),ISNUMBER(AI29),AI29&lt;=T29),AU29,0),IF(AND(ISNUMBER(AJ29),AJ29&lt;=T29),AV29,0))&lt;=0,"",IF(AND(IF(AND(NOT(AND(AO29=1,AN29&lt;&gt;1)),ISNUMBER(AG29),AG29&lt;=T29),AS29,0)&gt;0,IF(AND(NOT(AND(AO29=1,AN29&lt;&gt;1)),ISNUMBER(AG29),AG29&lt;=T29),AS29,0)=MAX(IF(AND(NOT(AND(AO29=1,AN29&lt;&gt;1)),ISNUMBER(AG29),AG29&lt;=T29),AS29,0),IF(AND(NOT(AND(AO29=1,AN29&lt;&gt;1)),ISNUMBER(AH29),AH29&lt;=T29),AT29,0),IF(AND(NOT(AND(AO29=1,AN29&lt;&gt;1)),ISNUMBER(AI29),AI29&lt;=T29),AU29,0),IF(AND(ISNUMBER(AJ29),AJ29&lt;=T29),AV29,0))),"SW",IF(AND(IF(AND(NOT(AND(AO29=1,AN29&lt;&gt;1)),ISNUMBER(AH29),AH29&lt;=T29),AT29,0)&gt;0,IF(AND(NOT(AND(AO29=1,AN29&lt;&gt;1)),ISNUMBER(AH29),AH29&lt;=T29),AT29,0)=MAX(IF(AND(NOT(AND(AO29=1,AN29&lt;&gt;1)),ISNUMBER(AG29),AG29&lt;=T29),AS29,0),IF(AND(NOT(AND(AO29=1,AN29&lt;&gt;1)),ISNUMBER(AH29),AH29&lt;=T29),AT29,0),IF(AND(NOT(AND(AO29=1,AN29&lt;&gt;1)),ISNUMBER(AI29),AI29&lt;=T29),AU29,0),IF(AND(ISNUMBER(AJ29),AJ29&lt;=T29),AV29,0))),"AB",IF(AND(IF(AND(NOT(AND(AO29=1,AN29&lt;&gt;1)),ISNUMBER(AI29),AI29&lt;=T29),AU29,0)&gt;0,IF(AND(NOT(AND(AO29=1,AN29&lt;&gt;1)),ISNUMBER(AI29),AI29&lt;=T29),AU29,0)=MAX(IF(AND(NOT(AND(AO29=1,AN29&lt;&gt;1)),ISNUMBER(AG29),AG29&lt;=T29),AS29,0),IF(AND(NOT(AND(AO29=1,AN29&lt;&gt;1)),ISNUMBER(AH29),AH29&lt;=T29),AT29,0),IF(AND(NOT(AND(AO29=1,AN29&lt;&gt;1)),ISNUMBER(AI29),AI29&lt;=T29),AU29,0),IF(AND(ISNUMBER(AJ29),AJ29&lt;=T29),AV29,0))),"SC","Mag")))))))</f>
        <v/>
      </c>
    </row>
    <row r="30">
      <c r="A30" s="26" t="n">
        <v>25</v>
      </c>
      <c r="B30" s="27">
        <f>A30*10/60</f>
        <v/>
      </c>
      <c r="C30" s="22">
        <f>X29</f>
        <v/>
      </c>
      <c r="D30" s="27">
        <f>D29+W29</f>
        <v/>
      </c>
      <c r="E30" s="26">
        <f>E29+IF(U29="SW",1,0)</f>
        <v/>
      </c>
      <c r="F30" s="26">
        <f>F29+IF(U29="AB",1,0)</f>
        <v/>
      </c>
      <c r="G30" s="26">
        <f>G29+IF(U29="SC",1,0)</f>
        <v/>
      </c>
      <c r="H30" s="26">
        <f>H29+IF(U29="Mag",1,0)</f>
        <v/>
      </c>
      <c r="I30" s="26">
        <f>MAX(I29,IF(U29="OR",1,0))</f>
        <v/>
      </c>
      <c r="J30" s="26">
        <f>MAX(J29,IF(U29="HP",1,0))</f>
        <v/>
      </c>
      <c r="K30" s="26">
        <f>MAX(K29,IF(U29="FP",1,0))</f>
        <v/>
      </c>
      <c r="L30" s="26">
        <f>MAX(L29,IF(U29="transition",1,0))</f>
        <v/>
      </c>
      <c r="M30" s="28">
        <f>(Parameters!$B$9+(IF(E30=0,0,(Upgrades!$J$6+E30*Upgrades!$K$6)*POWER(Upgrades!$L$6,E30)))*(IF(Upgrades!$T$7="Solar Wind",POWER(Upgrades!$U$7,F30),1)*IF(Upgrades!$T$8="Solar Wind",POWER(Upgrades!$U$8,G30),1)*IF(Upgrades!$T$9="Solar Wind",POWER(Upgrades!$U$9,H30),1)*IF(Upgrades!$T$10="Solar Wind",POWER(Upgrades!$U$10,I30),1)*IF(Upgrades!$T$11="Solar Wind",POWER(Upgrades!$U$11,J30),1)*IF(Upgrades!$T$12="Solar Wind",POWER(Upgrades!$U$12,K30),1))+(IF(F30=0,0,(Upgrades!$J$7+F30*Upgrades!$K$7)*POWER(Upgrades!$L$7,F30)))*(IF(Upgrades!$T$6="Asteroid Belt",POWER(Upgrades!$U$6,E30),1)*IF(Upgrades!$T$8="Asteroid Belt",POWER(Upgrades!$U$8,G30),1)*IF(Upgrades!$T$9="Asteroid Belt",POWER(Upgrades!$U$9,H30),1)*IF(Upgrades!$T$10="Asteroid Belt",POWER(Upgrades!$U$10,I30),1)*IF(Upgrades!$T$11="Asteroid Belt",POWER(Upgrades!$U$11,J30),1)*IF(Upgrades!$T$12="Asteroid Belt",POWER(Upgrades!$U$12,K30),1))+(IF(G30=0,0,(Upgrades!$J$8+G30*Upgrades!$K$8)*POWER(Upgrades!$L$8,G30)))*(IF(Upgrades!$T$6="Stellar Coupling",POWER(Upgrades!$U$6,E30),1)*IF(Upgrades!$T$7="Stellar Coupling",POWER(Upgrades!$U$7,F30),1)*IF(Upgrades!$T$9="Stellar Coupling",POWER(Upgrades!$U$9,H30),1)*IF(Upgrades!$T$10="Stellar Coupling",POWER(Upgrades!$U$10,I30),1)*IF(Upgrades!$T$11="Stellar Coupling",POWER(Upgrades!$U$11,J30),1)*IF(Upgrades!$T$12="Stellar Coupling",POWER(Upgrades!$U$12,K30),1))+(IF(H30=0,0,(Upgrades!$J$9+H30*Upgrades!$K$9)*POWER(Upgrades!$L$9,H30)))*(IF(Upgrades!$T$6="Magnetosphere",POWER(Upgrades!$U$6,E30),1)*IF(Upgrades!$T$7="Magnetosphere",POWER(Upgrades!$U$7,F30),1)*IF(Upgrades!$T$8="Magnetosphere",POWER(Upgrades!$U$8,G30),1)*IF(Upgrades!$T$10="Magnetosphere",POWER(Upgrades!$U$10,I30),1)*IF(Upgrades!$T$11="Magnetosphere",POWER(Upgrades!$U$11,J30),1)*IF(Upgrades!$T$12="Magnetosphere",POWER(Upgrades!$U$12,K30),1))+(IF(I30=0,0,(Upgrades!$J$10+I30*Upgrades!$K$10)*POWER(Upgrades!$L$10,I30)))*(IF(Upgrades!$T$6="Orbital Resonance",POWER(Upgrades!$U$6,E30),1)*IF(Upgrades!$T$7="Orbital Resonance",POWER(Upgrades!$U$7,F30),1)*IF(Upgrades!$T$8="Orbital Resonance",POWER(Upgrades!$U$8,G30),1)*IF(Upgrades!$T$9="Orbital Resonance",POWER(Upgrades!$U$9,H30),1)*IF(Upgrades!$T$11="Orbital Resonance",POWER(Upgrades!$U$11,J30),1)*IF(Upgrades!$T$12="Orbital Resonance",POWER(Upgrades!$U$12,K30),1))+(IF(J30=0,0,(Upgrades!$J$11+J30*Upgrades!$K$11)*POWER(Upgrades!$L$11,J30)))*(IF(Upgrades!$T$6="Heliopause",POWER(Upgrades!$U$6,E30),1)*IF(Upgrades!$T$7="Heliopause",POWER(Upgrades!$U$7,F30),1)*IF(Upgrades!$T$8="Heliopause",POWER(Upgrades!$U$8,G30),1)*IF(Upgrades!$T$9="Heliopause",POWER(Upgrades!$U$9,H30),1)*IF(Upgrades!$T$10="Heliopause",POWER(Upgrades!$U$10,I30),1)*IF(Upgrades!$T$12="Heliopause",POWER(Upgrades!$U$12,K30),1))+(IF(K30=0,0,(Upgrades!$J$12+K30*Upgrades!$K$12)*POWER(Upgrades!$L$12,K30)))*(IF(Upgrades!$T$6="First Photons",POWER(Upgrades!$U$6,E30),1)*IF(Upgrades!$T$7="First Photons",POWER(Upgrades!$U$7,F30),1)*IF(Upgrades!$T$8="First Photons",POWER(Upgrades!$U$8,G30),1)*IF(Upgrades!$T$9="First Photons",POWER(Upgrades!$U$9,H30),1)*IF(Upgrades!$T$10="First Photons",POWER(Upgrades!$U$10,I30),1)*IF(Upgrades!$T$11="First Photons",POWER(Upgrades!$U$11,J30),1)))*POWER(Upgrades!$Q$6,E30)*POWER(Upgrades!$Q$7,F30)*POWER(Upgrades!$Q$8,G30)*POWER(Upgrades!$Q$9,H30)*POWER(Upgrades!$Q$10,I30)*POWER(Upgrades!$Q$11,J30)*POWER(Upgrades!$Q$12,K30)</f>
        <v/>
      </c>
      <c r="N30" s="28">
        <f>((IF(E30=0,0,(Upgrades!$G$6+E30*Upgrades!$H$6)*POWER(Upgrades!$I$6,E30)))*(IF(Upgrades!$T$7="Solar Wind",POWER(Upgrades!$U$7,F30),1)*IF(Upgrades!$T$8="Solar Wind",POWER(Upgrades!$U$8,G30),1)*IF(Upgrades!$T$9="Solar Wind",POWER(Upgrades!$U$9,H30),1)*IF(Upgrades!$T$10="Solar Wind",POWER(Upgrades!$U$10,I30),1)*IF(Upgrades!$T$11="Solar Wind",POWER(Upgrades!$U$11,J30),1)*IF(Upgrades!$T$12="Solar Wind",POWER(Upgrades!$U$12,K30),1))+(IF(F30=0,0,(Upgrades!$G$7+F30*Upgrades!$H$7)*POWER(Upgrades!$I$7,F30)))*(IF(Upgrades!$T$6="Asteroid Belt",POWER(Upgrades!$U$6,E30),1)*IF(Upgrades!$T$8="Asteroid Belt",POWER(Upgrades!$U$8,G30),1)*IF(Upgrades!$T$9="Asteroid Belt",POWER(Upgrades!$U$9,H30),1)*IF(Upgrades!$T$10="Asteroid Belt",POWER(Upgrades!$U$10,I30),1)*IF(Upgrades!$T$11="Asteroid Belt",POWER(Upgrades!$U$11,J30),1)*IF(Upgrades!$T$12="Asteroid Belt",POWER(Upgrades!$U$12,K30),1))+(IF(G30=0,0,(Upgrades!$G$8+G30*Upgrades!$H$8)*POWER(Upgrades!$I$8,G30)))*(IF(Upgrades!$T$6="Stellar Coupling",POWER(Upgrades!$U$6,E30),1)*IF(Upgrades!$T$7="Stellar Coupling",POWER(Upgrades!$U$7,F30),1)*IF(Upgrades!$T$9="Stellar Coupling",POWER(Upgrades!$U$9,H30),1)*IF(Upgrades!$T$10="Stellar Coupling",POWER(Upgrades!$U$10,I30),1)*IF(Upgrades!$T$11="Stellar Coupling",POWER(Upgrades!$U$11,J30),1)*IF(Upgrades!$T$12="Stellar Coupling",POWER(Upgrades!$U$12,K30),1))+(IF(H30=0,0,(Upgrades!$G$9+H30*Upgrades!$H$9)*POWER(Upgrades!$I$9,H30)))*(IF(Upgrades!$T$6="Magnetosphere",POWER(Upgrades!$U$6,E30),1)*IF(Upgrades!$T$7="Magnetosphere",POWER(Upgrades!$U$7,F30),1)*IF(Upgrades!$T$8="Magnetosphere",POWER(Upgrades!$U$8,G30),1)*IF(Upgrades!$T$10="Magnetosphere",POWER(Upgrades!$U$10,I30),1)*IF(Upgrades!$T$11="Magnetosphere",POWER(Upgrades!$U$11,J30),1)*IF(Upgrades!$T$12="Magnetosphere",POWER(Upgrades!$U$12,K30),1))+(IF(I30=0,0,(Upgrades!$G$10+I30*Upgrades!$H$10)*POWER(Upgrades!$I$10,I30)))*(IF(Upgrades!$T$6="Orbital Resonance",POWER(Upgrades!$U$6,E30),1)*IF(Upgrades!$T$7="Orbital Resonance",POWER(Upgrades!$U$7,F30),1)*IF(Upgrades!$T$8="Orbital Resonance",POWER(Upgrades!$U$8,G30),1)*IF(Upgrades!$T$9="Orbital Resonance",POWER(Upgrades!$U$9,H30),1)*IF(Upgrades!$T$11="Orbital Resonance",POWER(Upgrades!$U$11,J30),1)*IF(Upgrades!$T$12="Orbital Resonance",POWER(Upgrades!$U$12,K30),1))+(IF(J30=0,0,(Upgrades!$G$11+J30*Upgrades!$H$11)*POWER(Upgrades!$I$11,J30)))*(IF(Upgrades!$T$6="Heliopause",POWER(Upgrades!$U$6,E30),1)*IF(Upgrades!$T$7="Heliopause",POWER(Upgrades!$U$7,F30),1)*IF(Upgrades!$T$8="Heliopause",POWER(Upgrades!$U$8,G30),1)*IF(Upgrades!$T$9="Heliopause",POWER(Upgrades!$U$9,H30),1)*IF(Upgrades!$T$10="Heliopause",POWER(Upgrades!$U$10,I30),1)*IF(Upgrades!$T$12="Heliopause",POWER(Upgrades!$U$12,K30),1))+(IF(K30=0,0,(Upgrades!$G$12+K30*Upgrades!$H$12)*POWER(Upgrades!$I$12,K30)))*(IF(Upgrades!$T$6="First Photons",POWER(Upgrades!$U$6,E30),1)*IF(Upgrades!$T$7="First Photons",POWER(Upgrades!$U$7,F30),1)*IF(Upgrades!$T$8="First Photons",POWER(Upgrades!$U$8,G30),1)*IF(Upgrades!$T$9="First Photons",POWER(Upgrades!$U$9,H30),1)*IF(Upgrades!$T$10="First Photons",POWER(Upgrades!$U$10,I30),1)*IF(Upgrades!$T$11="First Photons",POWER(Upgrades!$U$11,J30),1)))*POWER(Upgrades!$P$6,E30)*POWER(Upgrades!$P$7,F30)*POWER(Upgrades!$P$8,G30)*POWER(Upgrades!$P$9,H30)*POWER(Upgrades!$P$10,I30)*POWER(Upgrades!$P$11,J30)*POWER(Upgrades!$P$12,K30)</f>
        <v/>
      </c>
      <c r="O30" s="28">
        <f>((IF(E30=0,0,(Upgrades!$M$6+E30*Upgrades!$N$6)*POWER(Upgrades!$O$6,E30)))*(IF(Upgrades!$T$7="Solar Wind",POWER(Upgrades!$U$7,F30),1)*IF(Upgrades!$T$8="Solar Wind",POWER(Upgrades!$U$8,G30),1)*IF(Upgrades!$T$9="Solar Wind",POWER(Upgrades!$U$9,H30),1)*IF(Upgrades!$T$10="Solar Wind",POWER(Upgrades!$U$10,I30),1)*IF(Upgrades!$T$11="Solar Wind",POWER(Upgrades!$U$11,J30),1)*IF(Upgrades!$T$12="Solar Wind",POWER(Upgrades!$U$12,K30),1))+(IF(F30=0,0,(Upgrades!$M$7+F30*Upgrades!$N$7)*POWER(Upgrades!$O$7,F30)))*(IF(Upgrades!$T$6="Asteroid Belt",POWER(Upgrades!$U$6,E30),1)*IF(Upgrades!$T$8="Asteroid Belt",POWER(Upgrades!$U$8,G30),1)*IF(Upgrades!$T$9="Asteroid Belt",POWER(Upgrades!$U$9,H30),1)*IF(Upgrades!$T$10="Asteroid Belt",POWER(Upgrades!$U$10,I30),1)*IF(Upgrades!$T$11="Asteroid Belt",POWER(Upgrades!$U$11,J30),1)*IF(Upgrades!$T$12="Asteroid Belt",POWER(Upgrades!$U$12,K30),1))+(IF(G30=0,0,(Upgrades!$M$8+G30*Upgrades!$N$8)*POWER(Upgrades!$O$8,G30)))*(IF(Upgrades!$T$6="Stellar Coupling",POWER(Upgrades!$U$6,E30),1)*IF(Upgrades!$T$7="Stellar Coupling",POWER(Upgrades!$U$7,F30),1)*IF(Upgrades!$T$9="Stellar Coupling",POWER(Upgrades!$U$9,H30),1)*IF(Upgrades!$T$10="Stellar Coupling",POWER(Upgrades!$U$10,I30),1)*IF(Upgrades!$T$11="Stellar Coupling",POWER(Upgrades!$U$11,J30),1)*IF(Upgrades!$T$12="Stellar Coupling",POWER(Upgrades!$U$12,K30),1))+(IF(H30=0,0,(Upgrades!$M$9+H30*Upgrades!$N$9)*POWER(Upgrades!$O$9,H30)))*(IF(Upgrades!$T$6="Magnetosphere",POWER(Upgrades!$U$6,E30),1)*IF(Upgrades!$T$7="Magnetosphere",POWER(Upgrades!$U$7,F30),1)*IF(Upgrades!$T$8="Magnetosphere",POWER(Upgrades!$U$8,G30),1)*IF(Upgrades!$T$10="Magnetosphere",POWER(Upgrades!$U$10,I30),1)*IF(Upgrades!$T$11="Magnetosphere",POWER(Upgrades!$U$11,J30),1)*IF(Upgrades!$T$12="Magnetosphere",POWER(Upgrades!$U$12,K30),1))+(IF(I30=0,0,(Upgrades!$M$10+I30*Upgrades!$N$10)*POWER(Upgrades!$O$10,I30)))*(IF(Upgrades!$T$6="Orbital Resonance",POWER(Upgrades!$U$6,E30),1)*IF(Upgrades!$T$7="Orbital Resonance",POWER(Upgrades!$U$7,F30),1)*IF(Upgrades!$T$8="Orbital Resonance",POWER(Upgrades!$U$8,G30),1)*IF(Upgrades!$T$9="Orbital Resonance",POWER(Upgrades!$U$9,H30),1)*IF(Upgrades!$T$11="Orbital Resonance",POWER(Upgrades!$U$11,J30),1)*IF(Upgrades!$T$12="Orbital Resonance",POWER(Upgrades!$U$12,K30),1))+(IF(J30=0,0,(Upgrades!$M$11+J30*Upgrades!$N$11)*POWER(Upgrades!$O$11,J30)))*(IF(Upgrades!$T$6="Heliopause",POWER(Upgrades!$U$6,E30),1)*IF(Upgrades!$T$7="Heliopause",POWER(Upgrades!$U$7,F30),1)*IF(Upgrades!$T$8="Heliopause",POWER(Upgrades!$U$8,G30),1)*IF(Upgrades!$T$9="Heliopause",POWER(Upgrades!$U$9,H30),1)*IF(Upgrades!$T$10="Heliopause",POWER(Upgrades!$U$10,I30),1)*IF(Upgrades!$T$12="Heliopause",POWER(Upgrades!$U$12,K30),1))+(IF(K30=0,0,(Upgrades!$M$12+K30*Upgrades!$N$12)*POWER(Upgrades!$O$12,K30)))*(IF(Upgrades!$T$6="First Photons",POWER(Upgrades!$U$6,E30),1)*IF(Upgrades!$T$7="First Photons",POWER(Upgrades!$U$7,F30),1)*IF(Upgrades!$T$8="First Photons",POWER(Upgrades!$U$8,G30),1)*IF(Upgrades!$T$9="First Photons",POWER(Upgrades!$U$9,H30),1)*IF(Upgrades!$T$10="First Photons",POWER(Upgrades!$U$10,I30),1)*IF(Upgrades!$T$11="First Photons",POWER(Upgrades!$U$11,J30),1)))*POWER(Upgrades!$R$6,E30)*POWER(Upgrades!$R$7,F30)*POWER(Upgrades!$R$8,G30)*POWER(Upgrades!$R$9,H30)*POWER(Upgrades!$R$10,I30)*POWER(Upgrades!$R$11,J30)*POWER(Upgrades!$R$12,K30)</f>
        <v/>
      </c>
      <c r="P30" s="27">
        <f>IF(L30=1,0,M30*Parameters!$B$10/60*Parameters!$B$11*10)</f>
        <v/>
      </c>
      <c r="Q30" s="27">
        <f>IF(L30=1,0,O30*M30*10)</f>
        <v/>
      </c>
      <c r="R30" s="27">
        <f>IF(L30=1,0,N30*10)</f>
        <v/>
      </c>
      <c r="S30" s="27">
        <f>P30+Q30+R30</f>
        <v/>
      </c>
      <c r="T30" s="22">
        <f>C30+S30</f>
        <v/>
      </c>
      <c r="U30" s="33">
        <f>AX30</f>
        <v/>
      </c>
      <c r="V30" s="22">
        <f>IF(U30="",0,IF(U30="transition",0,IF(U30="SW",AG30,IF(U30="AB",AH30,IF(U30="SC",AI30,IF(U30="Mag",AJ30,IF(U30="OR",AK30,IF(U30="HP",AL30,IF(U30="FP",AM30,0)))))))))</f>
        <v/>
      </c>
      <c r="W30" s="27">
        <f>IF(U30="OR",Upgrades!$F$10,IF(U30="HP",Upgrades!$F$11,IF(U30="transition",-Parameters!$B$18,0)))</f>
        <v/>
      </c>
      <c r="X30" s="22">
        <f>T30-V30</f>
        <v/>
      </c>
      <c r="Y30" s="30">
        <f>M30*Parameters!$B$10/60*Parameters!$B$11+O30*M30+N30</f>
        <v/>
      </c>
      <c r="Z30" s="34">
        <f>IF(U30="transition","→ Tier 2 (Stellar Neighborhood)",IF(U30="FP","First Photons — light begins, system quickens",IF(U30="HP","Heliopause acquired",IF(U30="OR","Orbital Resonance — passive multiplier active",IF(AND(AO30=1,L30=0,AN30&lt;&gt;1),"Cohesion ready (waiting on completionist upgrades)","")))))</f>
        <v/>
      </c>
      <c r="AA30" s="27">
        <f>(IF(E30=0,0,(Upgrades!$G$6+E30*Upgrades!$H$6)*POWER(Upgrades!$I$6,E30)))*(IF(Upgrades!$T$7="Solar Wind",POWER(Upgrades!$U$7,F30),1)*IF(Upgrades!$T$8="Solar Wind",POWER(Upgrades!$U$8,G30),1)*IF(Upgrades!$T$9="Solar Wind",POWER(Upgrades!$U$9,H30),1)*IF(Upgrades!$T$10="Solar Wind",POWER(Upgrades!$U$10,I30),1)*IF(Upgrades!$T$11="Solar Wind",POWER(Upgrades!$U$11,J30),1)*IF(Upgrades!$T$12="Solar Wind",POWER(Upgrades!$U$12,K30),1))*POWER(Upgrades!$P$6,E30)*POWER(Upgrades!$P$7,F30)*POWER(Upgrades!$P$8,G30)*POWER(Upgrades!$P$9,H30)*POWER(Upgrades!$P$10,I30)*POWER(Upgrades!$P$11,J30)*POWER(Upgrades!$P$12,K30)*60</f>
        <v/>
      </c>
      <c r="AB30" s="27">
        <f>(IF(F30=0,0,(Upgrades!$G$7+F30*Upgrades!$H$7)*POWER(Upgrades!$I$7,F30)))*(IF(Upgrades!$T$6="Asteroid Belt",POWER(Upgrades!$U$6,E30),1)*IF(Upgrades!$T$8="Asteroid Belt",POWER(Upgrades!$U$8,G30),1)*IF(Upgrades!$T$9="Asteroid Belt",POWER(Upgrades!$U$9,H30),1)*IF(Upgrades!$T$10="Asteroid Belt",POWER(Upgrades!$U$10,I30),1)*IF(Upgrades!$T$11="Asteroid Belt",POWER(Upgrades!$U$11,J30),1)*IF(Upgrades!$T$12="Asteroid Belt",POWER(Upgrades!$U$12,K30),1))*POWER(Upgrades!$P$6,E30)*POWER(Upgrades!$P$7,F30)*POWER(Upgrades!$P$8,G30)*POWER(Upgrades!$P$9,H30)*POWER(Upgrades!$P$10,I30)*POWER(Upgrades!$P$11,J30)*POWER(Upgrades!$P$12,K30)*60</f>
        <v/>
      </c>
      <c r="AC30" s="27">
        <f>(IF(G30=0,0,(Upgrades!$J$8+G30*Upgrades!$K$8)*POWER(Upgrades!$L$8,G30)))*(IF(Upgrades!$T$6="Stellar Coupling",POWER(Upgrades!$U$6,E30),1)*IF(Upgrades!$T$7="Stellar Coupling",POWER(Upgrades!$U$7,F30),1)*IF(Upgrades!$T$9="Stellar Coupling",POWER(Upgrades!$U$9,H30),1)*IF(Upgrades!$T$10="Stellar Coupling",POWER(Upgrades!$U$10,I30),1)*IF(Upgrades!$T$11="Stellar Coupling",POWER(Upgrades!$U$11,J30),1)*IF(Upgrades!$T$12="Stellar Coupling",POWER(Upgrades!$U$12,K30),1))*POWER(Upgrades!$Q$6,E30)*POWER(Upgrades!$Q$7,F30)*POWER(Upgrades!$Q$8,G30)*POWER(Upgrades!$Q$9,H30)*POWER(Upgrades!$Q$10,I30)*POWER(Upgrades!$Q$11,J30)*POWER(Upgrades!$Q$12,K30)*Parameters!$B$10*Parameters!$B$11</f>
        <v/>
      </c>
      <c r="AD30" s="27">
        <f>(IF(H30=0,0,(Upgrades!$G$9+H30*Upgrades!$H$9)*POWER(Upgrades!$I$9,H30)))*(IF(Upgrades!$T$6="Magnetosphere",POWER(Upgrades!$U$6,E30),1)*IF(Upgrades!$T$7="Magnetosphere",POWER(Upgrades!$U$7,F30),1)*IF(Upgrades!$T$8="Magnetosphere",POWER(Upgrades!$U$8,G30),1)*IF(Upgrades!$T$10="Magnetosphere",POWER(Upgrades!$U$10,I30),1)*IF(Upgrades!$T$11="Magnetosphere",POWER(Upgrades!$U$11,J30),1)*IF(Upgrades!$T$12="Magnetosphere",POWER(Upgrades!$U$12,K30),1))*POWER(Upgrades!$P$6,E30)*POWER(Upgrades!$P$7,F30)*POWER(Upgrades!$P$8,G30)*POWER(Upgrades!$P$9,H30)*POWER(Upgrades!$P$10,I30)*POWER(Upgrades!$P$11,J30)*POWER(Upgrades!$P$12,K30)*60</f>
        <v/>
      </c>
      <c r="AE30" s="27">
        <f>(IF(K30=0,0,(Upgrades!$G$12+K30*Upgrades!$H$12)*POWER(Upgrades!$I$12,K30)))*(IF(Upgrades!$T$6="First Photons",POWER(Upgrades!$U$6,E30),1)*IF(Upgrades!$T$7="First Photons",POWER(Upgrades!$U$7,F30),1)*IF(Upgrades!$T$8="First Photons",POWER(Upgrades!$U$8,G30),1)*IF(Upgrades!$T$9="First Photons",POWER(Upgrades!$U$9,H30),1)*IF(Upgrades!$T$10="First Photons",POWER(Upgrades!$U$10,I30),1)*IF(Upgrades!$T$11="First Photons",POWER(Upgrades!$U$11,J30),1))*POWER(Upgrades!$P$6,E30)*POWER(Upgrades!$P$7,F30)*POWER(Upgrades!$P$8,G30)*POWER(Upgrades!$P$9,H30)*POWER(Upgrades!$P$10,I30)*POWER(Upgrades!$P$11,J30)*POWER(Upgrades!$P$12,K30)*60</f>
        <v/>
      </c>
      <c r="AF30" s="27">
        <f>Parameters!$B$9*POWER(Upgrades!$Q$6,E30)*POWER(Upgrades!$Q$7,F30)*POWER(Upgrades!$Q$8,G30)*POWER(Upgrades!$Q$9,H30)*POWER(Upgrades!$Q$10,I30)*POWER(Upgrades!$Q$11,J30)*POWER(Upgrades!$Q$12,K30)*(Parameters!$B$10*Parameters!$B$11+O30*60)</f>
        <v/>
      </c>
      <c r="AG30" s="22">
        <f>IF(E30&gt;=Upgrades!$E$6,"",Upgrades!$C$6*POWER(Upgrades!$D$6,E30))</f>
        <v/>
      </c>
      <c r="AH30" s="22">
        <f>IF(F30&gt;=Upgrades!$E$7,"",Upgrades!$C$7*POWER(Upgrades!$D$7,F30))</f>
        <v/>
      </c>
      <c r="AI30" s="22">
        <f>IF(G30&gt;=Upgrades!$E$8,"",Upgrades!$C$8*POWER(Upgrades!$D$8,G30))</f>
        <v/>
      </c>
      <c r="AJ30" s="22">
        <f>IF(H30&gt;=Upgrades!$E$9,"",Upgrades!$C$9*POWER(Upgrades!$D$9,H30))</f>
        <v/>
      </c>
      <c r="AK30" s="22">
        <f>IF(I30&gt;=Upgrades!$E$10,"",Upgrades!$C$10*POWER(Upgrades!$D$10,I30))</f>
        <v/>
      </c>
      <c r="AL30" s="22">
        <f>IF(J30&gt;=Upgrades!$E$11,"",Upgrades!$C$11*POWER(Upgrades!$D$11,J30))</f>
        <v/>
      </c>
      <c r="AM30" s="22">
        <f>IF(K30&gt;=Upgrades!$E$12,"",Upgrades!$C$12*POWER(Upgrades!$D$12,K30))</f>
        <v/>
      </c>
      <c r="AN30" s="26">
        <f>IF(AND(D30&gt;=Parameters!$B$18,(H30&gt;=Upgrades!$E$9)*(K30&gt;=Upgrades!$E$12)=1,L30=0),1,"")</f>
        <v/>
      </c>
      <c r="AO30" s="26">
        <f>IF(AND(D30&gt;=Parameters!$B$18,L30=0),1,"")</f>
        <v/>
      </c>
      <c r="AP30" s="22">
        <f>MIN(IF(ISNUMBER(AK30),AK30,9E15),IF(ISNUMBER(AL30),AL30,9E15),IF(ISNUMBER(AM30),AM30,9E15))</f>
        <v/>
      </c>
      <c r="AQ30" s="22">
        <f>MIN(IF(ISNUMBER(AG30),AG30,9E15),IF(ISNUMBER(AH30),AH30,9E15),IF(ISNUMBER(AI30),AI30,9E15),IF(ISNUMBER(AJ30),AJ30,9E15))</f>
        <v/>
      </c>
      <c r="AR30" s="29">
        <f>IF(AW30&gt;Parameters!$B$21*(MAX(IF(AND(NOT(AND(AO30=1,AN30&lt;&gt;1)),ISNUMBER(AG30),AG30&lt;=T30),AS30,0),IF(AND(NOT(AND(AO30=1,AN30&lt;&gt;1)),ISNUMBER(AH30),AH30&lt;=T30),AT30,0),IF(AND(NOT(AND(AO30=1,AN30&lt;&gt;1)),ISNUMBER(AI30),AI30&lt;=T30),AU30,0),IF(AND(ISNUMBER(AJ30),AJ30&lt;=T30),AV30,0))),TRUE,FALSE)</f>
        <v/>
      </c>
      <c r="AS30" s="32">
        <f>IFERROR(Upgrades!$H$6*(POWER(Upgrades!$P$6,E30)*POWER(Upgrades!$P$7,F30)*POWER(Upgrades!$P$8,G30)*POWER(Upgrades!$P$9,H30)*POWER(Upgrades!$P$10,I30)*POWER(Upgrades!$P$11,J30)*POWER(Upgrades!$P$12,K30))*(IF(Upgrades!$T$7="Solar Wind",POWER(Upgrades!$U$7,F30),1)*IF(Upgrades!$T$8="Solar Wind",POWER(Upgrades!$U$8,G30),1)*IF(Upgrades!$T$9="Solar Wind",POWER(Upgrades!$U$9,H30),1)*IF(Upgrades!$T$10="Solar Wind",POWER(Upgrades!$U$10,I30),1)*IF(Upgrades!$T$11="Solar Wind",POWER(Upgrades!$U$11,J30),1)*IF(Upgrades!$T$12="Solar Wind",POWER(Upgrades!$U$12,K30),1))/AG30,0)</f>
        <v/>
      </c>
      <c r="AT30" s="32">
        <f>IFERROR(Upgrades!$H$7*(POWER(Upgrades!$P$6,E30)*POWER(Upgrades!$P$7,F30)*POWER(Upgrades!$P$8,G30)*POWER(Upgrades!$P$9,H30)*POWER(Upgrades!$P$10,I30)*POWER(Upgrades!$P$11,J30)*POWER(Upgrades!$P$12,K30))*(IF(Upgrades!$T$6="Asteroid Belt",POWER(Upgrades!$U$6,E30),1)*IF(Upgrades!$T$8="Asteroid Belt",POWER(Upgrades!$U$8,G30),1)*IF(Upgrades!$T$9="Asteroid Belt",POWER(Upgrades!$U$9,H30),1)*IF(Upgrades!$T$10="Asteroid Belt",POWER(Upgrades!$U$10,I30),1)*IF(Upgrades!$T$11="Asteroid Belt",POWER(Upgrades!$U$11,J30),1)*IF(Upgrades!$T$12="Asteroid Belt",POWER(Upgrades!$U$12,K30),1))/AH30,0)</f>
        <v/>
      </c>
      <c r="AU30" s="32">
        <f>IFERROR(Upgrades!$K$8*(POWER(Upgrades!$Q$6,E30)*POWER(Upgrades!$Q$7,F30)*POWER(Upgrades!$Q$8,G30)*POWER(Upgrades!$Q$9,H30)*POWER(Upgrades!$Q$10,I30)*POWER(Upgrades!$Q$11,J30)*POWER(Upgrades!$Q$12,K30))*(IF(Upgrades!$T$6="Stellar Coupling",POWER(Upgrades!$U$6,E30),1)*IF(Upgrades!$T$7="Stellar Coupling",POWER(Upgrades!$U$7,F30),1)*IF(Upgrades!$T$9="Stellar Coupling",POWER(Upgrades!$U$9,H30),1)*IF(Upgrades!$T$10="Stellar Coupling",POWER(Upgrades!$U$10,I30),1)*IF(Upgrades!$T$11="Stellar Coupling",POWER(Upgrades!$U$11,J30),1)*IF(Upgrades!$T$12="Stellar Coupling",POWER(Upgrades!$U$12,K30),1))*Parameters!$B$10*Parameters!$B$11/60/AI30,0)</f>
        <v/>
      </c>
      <c r="AV30" s="32">
        <f>IFERROR(Upgrades!$H$9*(POWER(Upgrades!$P$6,E30)*POWER(Upgrades!$P$7,F30)*POWER(Upgrades!$P$8,G30)*POWER(Upgrades!$P$9,H30)*POWER(Upgrades!$P$10,I30)*POWER(Upgrades!$P$11,J30)*POWER(Upgrades!$P$12,K30))*(IF(Upgrades!$T$6="Magnetosphere",POWER(Upgrades!$U$6,E30),1)*IF(Upgrades!$T$7="Magnetosphere",POWER(Upgrades!$U$7,F30),1)*IF(Upgrades!$T$8="Magnetosphere",POWER(Upgrades!$U$8,G30),1)*IF(Upgrades!$T$10="Magnetosphere",POWER(Upgrades!$U$10,I30),1)*IF(Upgrades!$T$11="Magnetosphere",POWER(Upgrades!$U$11,J30),1)*IF(Upgrades!$T$12="Magnetosphere",POWER(Upgrades!$U$12,K30),1))/AJ30,0)</f>
        <v/>
      </c>
      <c r="AW30" s="32">
        <f>MAX(IF(I30&gt;0,0,IFERROR(0.25*N30/Upgrades!$C$10,0)),IF(J30&gt;0,0,IFERROR(0.5*((IF(G30=0,0,(Upgrades!$J$8+G30*Upgrades!$K$8)*POWER(Upgrades!$L$8,G30)))*(IF(Upgrades!$T$6="Stellar Coupling",POWER(Upgrades!$U$6,E30),1)*IF(Upgrades!$T$7="Stellar Coupling",POWER(Upgrades!$U$7,F30),1)*IF(Upgrades!$T$9="Stellar Coupling",POWER(Upgrades!$U$9,H30),1)*IF(Upgrades!$T$10="Stellar Coupling",POWER(Upgrades!$U$10,I30),1)*IF(Upgrades!$T$11="Stellar Coupling",POWER(Upgrades!$U$11,J30),1)*IF(Upgrades!$T$12="Stellar Coupling",POWER(Upgrades!$U$12,K30),1))*(POWER(Upgrades!$Q$6,E30)*POWER(Upgrades!$Q$7,F30)*POWER(Upgrades!$Q$8,G30)*POWER(Upgrades!$Q$9,H30)*POWER(Upgrades!$Q$10,I30)*POWER(Upgrades!$Q$11,J30)*POWER(Upgrades!$Q$12,K30))*Parameters!$B$10*Parameters!$B$11/60)/Upgrades!$C$11,0)),IF(K30&gt;0,0,IFERROR((1.0*(POWER(Upgrades!$P$6,E30)*POWER(Upgrades!$P$7,F30)*POWER(Upgrades!$P$8,G30)*POWER(Upgrades!$P$9,H30)*POWER(Upgrades!$P$10,I30)*POWER(Upgrades!$P$11,J30)*POWER(Upgrades!$P$12,K30))+0.20*M30*Parameters!$B$10*Parameters!$B$11/60)/Upgrades!$C$12,0)),IF(AND(ISNUMBER(AG30),AG30&gt;T30),AS30,0),IF(AND(ISNUMBER(AH30),AH30&gt;T30),AT30,0),IF(AND(ISNUMBER(AI30),AI30&gt;T30),AU30,0),IF(AND(ISNUMBER(AJ30),AJ30&gt;T30),AV30,0))</f>
        <v/>
      </c>
      <c r="AX30" s="29">
        <f>IF(AN30=1,"transition",IF(MIN(IF(AND(I30=0,ISNUMBER(AK30),AK30&lt;=T30),AK30,9E15),IF(AND(J30=0,ISNUMBER(AL30),AL30&lt;=T30),AL30,9E15),IF(AND(K30=0,ISNUMBER(AM30),AM30&lt;=T30),AM30,9E15))&lt;9E15,IF(AND(AND(I30=0,ISNUMBER(AK30),AK30&lt;=T30),AK30=MIN(IF(AND(I30=0,ISNUMBER(AK30),AK30&lt;=T30),AK30,9E15),IF(AND(J30=0,ISNUMBER(AL30),AL30&lt;=T30),AL30,9E15),IF(AND(K30=0,ISNUMBER(AM30),AM30&lt;=T30),AM30,9E15))),"OR",IF(AND(AND(J30=0,ISNUMBER(AL30),AL30&lt;=T30),AL30=MIN(IF(AND(I30=0,ISNUMBER(AK30),AK30&lt;=T30),AK30,9E15),IF(AND(J30=0,ISNUMBER(AL30),AL30&lt;=T30),AL30,9E15),IF(AND(K30=0,ISNUMBER(AM30),AM30&lt;=T30),AM30,9E15))),"HP","FP")),IF(AR30=TRUE,"",IF(MAX(IF(AND(NOT(AND(AO30=1,AN30&lt;&gt;1)),ISNUMBER(AG30),AG30&lt;=T30),AS30,0),IF(AND(NOT(AND(AO30=1,AN30&lt;&gt;1)),ISNUMBER(AH30),AH30&lt;=T30),AT30,0),IF(AND(NOT(AND(AO30=1,AN30&lt;&gt;1)),ISNUMBER(AI30),AI30&lt;=T30),AU30,0),IF(AND(ISNUMBER(AJ30),AJ30&lt;=T30),AV30,0))&lt;=0,"",IF(AND(IF(AND(NOT(AND(AO30=1,AN30&lt;&gt;1)),ISNUMBER(AG30),AG30&lt;=T30),AS30,0)&gt;0,IF(AND(NOT(AND(AO30=1,AN30&lt;&gt;1)),ISNUMBER(AG30),AG30&lt;=T30),AS30,0)=MAX(IF(AND(NOT(AND(AO30=1,AN30&lt;&gt;1)),ISNUMBER(AG30),AG30&lt;=T30),AS30,0),IF(AND(NOT(AND(AO30=1,AN30&lt;&gt;1)),ISNUMBER(AH30),AH30&lt;=T30),AT30,0),IF(AND(NOT(AND(AO30=1,AN30&lt;&gt;1)),ISNUMBER(AI30),AI30&lt;=T30),AU30,0),IF(AND(ISNUMBER(AJ30),AJ30&lt;=T30),AV30,0))),"SW",IF(AND(IF(AND(NOT(AND(AO30=1,AN30&lt;&gt;1)),ISNUMBER(AH30),AH30&lt;=T30),AT30,0)&gt;0,IF(AND(NOT(AND(AO30=1,AN30&lt;&gt;1)),ISNUMBER(AH30),AH30&lt;=T30),AT30,0)=MAX(IF(AND(NOT(AND(AO30=1,AN30&lt;&gt;1)),ISNUMBER(AG30),AG30&lt;=T30),AS30,0),IF(AND(NOT(AND(AO30=1,AN30&lt;&gt;1)),ISNUMBER(AH30),AH30&lt;=T30),AT30,0),IF(AND(NOT(AND(AO30=1,AN30&lt;&gt;1)),ISNUMBER(AI30),AI30&lt;=T30),AU30,0),IF(AND(ISNUMBER(AJ30),AJ30&lt;=T30),AV30,0))),"AB",IF(AND(IF(AND(NOT(AND(AO30=1,AN30&lt;&gt;1)),ISNUMBER(AI30),AI30&lt;=T30),AU30,0)&gt;0,IF(AND(NOT(AND(AO30=1,AN30&lt;&gt;1)),ISNUMBER(AI30),AI30&lt;=T30),AU30,0)=MAX(IF(AND(NOT(AND(AO30=1,AN30&lt;&gt;1)),ISNUMBER(AG30),AG30&lt;=T30),AS30,0),IF(AND(NOT(AND(AO30=1,AN30&lt;&gt;1)),ISNUMBER(AH30),AH30&lt;=T30),AT30,0),IF(AND(NOT(AND(AO30=1,AN30&lt;&gt;1)),ISNUMBER(AI30),AI30&lt;=T30),AU30,0),IF(AND(ISNUMBER(AJ30),AJ30&lt;=T30),AV30,0))),"SC","Mag")))))))</f>
        <v/>
      </c>
    </row>
    <row r="31">
      <c r="A31" s="26" t="n">
        <v>26</v>
      </c>
      <c r="B31" s="27">
        <f>A31*10/60</f>
        <v/>
      </c>
      <c r="C31" s="22">
        <f>X30</f>
        <v/>
      </c>
      <c r="D31" s="27">
        <f>D30+W30</f>
        <v/>
      </c>
      <c r="E31" s="26">
        <f>E30+IF(U30="SW",1,0)</f>
        <v/>
      </c>
      <c r="F31" s="26">
        <f>F30+IF(U30="AB",1,0)</f>
        <v/>
      </c>
      <c r="G31" s="26">
        <f>G30+IF(U30="SC",1,0)</f>
        <v/>
      </c>
      <c r="H31" s="26">
        <f>H30+IF(U30="Mag",1,0)</f>
        <v/>
      </c>
      <c r="I31" s="26">
        <f>MAX(I30,IF(U30="OR",1,0))</f>
        <v/>
      </c>
      <c r="J31" s="26">
        <f>MAX(J30,IF(U30="HP",1,0))</f>
        <v/>
      </c>
      <c r="K31" s="26">
        <f>MAX(K30,IF(U30="FP",1,0))</f>
        <v/>
      </c>
      <c r="L31" s="26">
        <f>MAX(L30,IF(U30="transition",1,0))</f>
        <v/>
      </c>
      <c r="M31" s="28">
        <f>(Parameters!$B$9+(IF(E31=0,0,(Upgrades!$J$6+E31*Upgrades!$K$6)*POWER(Upgrades!$L$6,E31)))*(IF(Upgrades!$T$7="Solar Wind",POWER(Upgrades!$U$7,F31),1)*IF(Upgrades!$T$8="Solar Wind",POWER(Upgrades!$U$8,G31),1)*IF(Upgrades!$T$9="Solar Wind",POWER(Upgrades!$U$9,H31),1)*IF(Upgrades!$T$10="Solar Wind",POWER(Upgrades!$U$10,I31),1)*IF(Upgrades!$T$11="Solar Wind",POWER(Upgrades!$U$11,J31),1)*IF(Upgrades!$T$12="Solar Wind",POWER(Upgrades!$U$12,K31),1))+(IF(F31=0,0,(Upgrades!$J$7+F31*Upgrades!$K$7)*POWER(Upgrades!$L$7,F31)))*(IF(Upgrades!$T$6="Asteroid Belt",POWER(Upgrades!$U$6,E31),1)*IF(Upgrades!$T$8="Asteroid Belt",POWER(Upgrades!$U$8,G31),1)*IF(Upgrades!$T$9="Asteroid Belt",POWER(Upgrades!$U$9,H31),1)*IF(Upgrades!$T$10="Asteroid Belt",POWER(Upgrades!$U$10,I31),1)*IF(Upgrades!$T$11="Asteroid Belt",POWER(Upgrades!$U$11,J31),1)*IF(Upgrades!$T$12="Asteroid Belt",POWER(Upgrades!$U$12,K31),1))+(IF(G31=0,0,(Upgrades!$J$8+G31*Upgrades!$K$8)*POWER(Upgrades!$L$8,G31)))*(IF(Upgrades!$T$6="Stellar Coupling",POWER(Upgrades!$U$6,E31),1)*IF(Upgrades!$T$7="Stellar Coupling",POWER(Upgrades!$U$7,F31),1)*IF(Upgrades!$T$9="Stellar Coupling",POWER(Upgrades!$U$9,H31),1)*IF(Upgrades!$T$10="Stellar Coupling",POWER(Upgrades!$U$10,I31),1)*IF(Upgrades!$T$11="Stellar Coupling",POWER(Upgrades!$U$11,J31),1)*IF(Upgrades!$T$12="Stellar Coupling",POWER(Upgrades!$U$12,K31),1))+(IF(H31=0,0,(Upgrades!$J$9+H31*Upgrades!$K$9)*POWER(Upgrades!$L$9,H31)))*(IF(Upgrades!$T$6="Magnetosphere",POWER(Upgrades!$U$6,E31),1)*IF(Upgrades!$T$7="Magnetosphere",POWER(Upgrades!$U$7,F31),1)*IF(Upgrades!$T$8="Magnetosphere",POWER(Upgrades!$U$8,G31),1)*IF(Upgrades!$T$10="Magnetosphere",POWER(Upgrades!$U$10,I31),1)*IF(Upgrades!$T$11="Magnetosphere",POWER(Upgrades!$U$11,J31),1)*IF(Upgrades!$T$12="Magnetosphere",POWER(Upgrades!$U$12,K31),1))+(IF(I31=0,0,(Upgrades!$J$10+I31*Upgrades!$K$10)*POWER(Upgrades!$L$10,I31)))*(IF(Upgrades!$T$6="Orbital Resonance",POWER(Upgrades!$U$6,E31),1)*IF(Upgrades!$T$7="Orbital Resonance",POWER(Upgrades!$U$7,F31),1)*IF(Upgrades!$T$8="Orbital Resonance",POWER(Upgrades!$U$8,G31),1)*IF(Upgrades!$T$9="Orbital Resonance",POWER(Upgrades!$U$9,H31),1)*IF(Upgrades!$T$11="Orbital Resonance",POWER(Upgrades!$U$11,J31),1)*IF(Upgrades!$T$12="Orbital Resonance",POWER(Upgrades!$U$12,K31),1))+(IF(J31=0,0,(Upgrades!$J$11+J31*Upgrades!$K$11)*POWER(Upgrades!$L$11,J31)))*(IF(Upgrades!$T$6="Heliopause",POWER(Upgrades!$U$6,E31),1)*IF(Upgrades!$T$7="Heliopause",POWER(Upgrades!$U$7,F31),1)*IF(Upgrades!$T$8="Heliopause",POWER(Upgrades!$U$8,G31),1)*IF(Upgrades!$T$9="Heliopause",POWER(Upgrades!$U$9,H31),1)*IF(Upgrades!$T$10="Heliopause",POWER(Upgrades!$U$10,I31),1)*IF(Upgrades!$T$12="Heliopause",POWER(Upgrades!$U$12,K31),1))+(IF(K31=0,0,(Upgrades!$J$12+K31*Upgrades!$K$12)*POWER(Upgrades!$L$12,K31)))*(IF(Upgrades!$T$6="First Photons",POWER(Upgrades!$U$6,E31),1)*IF(Upgrades!$T$7="First Photons",POWER(Upgrades!$U$7,F31),1)*IF(Upgrades!$T$8="First Photons",POWER(Upgrades!$U$8,G31),1)*IF(Upgrades!$T$9="First Photons",POWER(Upgrades!$U$9,H31),1)*IF(Upgrades!$T$10="First Photons",POWER(Upgrades!$U$10,I31),1)*IF(Upgrades!$T$11="First Photons",POWER(Upgrades!$U$11,J31),1)))*POWER(Upgrades!$Q$6,E31)*POWER(Upgrades!$Q$7,F31)*POWER(Upgrades!$Q$8,G31)*POWER(Upgrades!$Q$9,H31)*POWER(Upgrades!$Q$10,I31)*POWER(Upgrades!$Q$11,J31)*POWER(Upgrades!$Q$12,K31)</f>
        <v/>
      </c>
      <c r="N31" s="28">
        <f>((IF(E31=0,0,(Upgrades!$G$6+E31*Upgrades!$H$6)*POWER(Upgrades!$I$6,E31)))*(IF(Upgrades!$T$7="Solar Wind",POWER(Upgrades!$U$7,F31),1)*IF(Upgrades!$T$8="Solar Wind",POWER(Upgrades!$U$8,G31),1)*IF(Upgrades!$T$9="Solar Wind",POWER(Upgrades!$U$9,H31),1)*IF(Upgrades!$T$10="Solar Wind",POWER(Upgrades!$U$10,I31),1)*IF(Upgrades!$T$11="Solar Wind",POWER(Upgrades!$U$11,J31),1)*IF(Upgrades!$T$12="Solar Wind",POWER(Upgrades!$U$12,K31),1))+(IF(F31=0,0,(Upgrades!$G$7+F31*Upgrades!$H$7)*POWER(Upgrades!$I$7,F31)))*(IF(Upgrades!$T$6="Asteroid Belt",POWER(Upgrades!$U$6,E31),1)*IF(Upgrades!$T$8="Asteroid Belt",POWER(Upgrades!$U$8,G31),1)*IF(Upgrades!$T$9="Asteroid Belt",POWER(Upgrades!$U$9,H31),1)*IF(Upgrades!$T$10="Asteroid Belt",POWER(Upgrades!$U$10,I31),1)*IF(Upgrades!$T$11="Asteroid Belt",POWER(Upgrades!$U$11,J31),1)*IF(Upgrades!$T$12="Asteroid Belt",POWER(Upgrades!$U$12,K31),1))+(IF(G31=0,0,(Upgrades!$G$8+G31*Upgrades!$H$8)*POWER(Upgrades!$I$8,G31)))*(IF(Upgrades!$T$6="Stellar Coupling",POWER(Upgrades!$U$6,E31),1)*IF(Upgrades!$T$7="Stellar Coupling",POWER(Upgrades!$U$7,F31),1)*IF(Upgrades!$T$9="Stellar Coupling",POWER(Upgrades!$U$9,H31),1)*IF(Upgrades!$T$10="Stellar Coupling",POWER(Upgrades!$U$10,I31),1)*IF(Upgrades!$T$11="Stellar Coupling",POWER(Upgrades!$U$11,J31),1)*IF(Upgrades!$T$12="Stellar Coupling",POWER(Upgrades!$U$12,K31),1))+(IF(H31=0,0,(Upgrades!$G$9+H31*Upgrades!$H$9)*POWER(Upgrades!$I$9,H31)))*(IF(Upgrades!$T$6="Magnetosphere",POWER(Upgrades!$U$6,E31),1)*IF(Upgrades!$T$7="Magnetosphere",POWER(Upgrades!$U$7,F31),1)*IF(Upgrades!$T$8="Magnetosphere",POWER(Upgrades!$U$8,G31),1)*IF(Upgrades!$T$10="Magnetosphere",POWER(Upgrades!$U$10,I31),1)*IF(Upgrades!$T$11="Magnetosphere",POWER(Upgrades!$U$11,J31),1)*IF(Upgrades!$T$12="Magnetosphere",POWER(Upgrades!$U$12,K31),1))+(IF(I31=0,0,(Upgrades!$G$10+I31*Upgrades!$H$10)*POWER(Upgrades!$I$10,I31)))*(IF(Upgrades!$T$6="Orbital Resonance",POWER(Upgrades!$U$6,E31),1)*IF(Upgrades!$T$7="Orbital Resonance",POWER(Upgrades!$U$7,F31),1)*IF(Upgrades!$T$8="Orbital Resonance",POWER(Upgrades!$U$8,G31),1)*IF(Upgrades!$T$9="Orbital Resonance",POWER(Upgrades!$U$9,H31),1)*IF(Upgrades!$T$11="Orbital Resonance",POWER(Upgrades!$U$11,J31),1)*IF(Upgrades!$T$12="Orbital Resonance",POWER(Upgrades!$U$12,K31),1))+(IF(J31=0,0,(Upgrades!$G$11+J31*Upgrades!$H$11)*POWER(Upgrades!$I$11,J31)))*(IF(Upgrades!$T$6="Heliopause",POWER(Upgrades!$U$6,E31),1)*IF(Upgrades!$T$7="Heliopause",POWER(Upgrades!$U$7,F31),1)*IF(Upgrades!$T$8="Heliopause",POWER(Upgrades!$U$8,G31),1)*IF(Upgrades!$T$9="Heliopause",POWER(Upgrades!$U$9,H31),1)*IF(Upgrades!$T$10="Heliopause",POWER(Upgrades!$U$10,I31),1)*IF(Upgrades!$T$12="Heliopause",POWER(Upgrades!$U$12,K31),1))+(IF(K31=0,0,(Upgrades!$G$12+K31*Upgrades!$H$12)*POWER(Upgrades!$I$12,K31)))*(IF(Upgrades!$T$6="First Photons",POWER(Upgrades!$U$6,E31),1)*IF(Upgrades!$T$7="First Photons",POWER(Upgrades!$U$7,F31),1)*IF(Upgrades!$T$8="First Photons",POWER(Upgrades!$U$8,G31),1)*IF(Upgrades!$T$9="First Photons",POWER(Upgrades!$U$9,H31),1)*IF(Upgrades!$T$10="First Photons",POWER(Upgrades!$U$10,I31),1)*IF(Upgrades!$T$11="First Photons",POWER(Upgrades!$U$11,J31),1)))*POWER(Upgrades!$P$6,E31)*POWER(Upgrades!$P$7,F31)*POWER(Upgrades!$P$8,G31)*POWER(Upgrades!$P$9,H31)*POWER(Upgrades!$P$10,I31)*POWER(Upgrades!$P$11,J31)*POWER(Upgrades!$P$12,K31)</f>
        <v/>
      </c>
      <c r="O31" s="28">
        <f>((IF(E31=0,0,(Upgrades!$M$6+E31*Upgrades!$N$6)*POWER(Upgrades!$O$6,E31)))*(IF(Upgrades!$T$7="Solar Wind",POWER(Upgrades!$U$7,F31),1)*IF(Upgrades!$T$8="Solar Wind",POWER(Upgrades!$U$8,G31),1)*IF(Upgrades!$T$9="Solar Wind",POWER(Upgrades!$U$9,H31),1)*IF(Upgrades!$T$10="Solar Wind",POWER(Upgrades!$U$10,I31),1)*IF(Upgrades!$T$11="Solar Wind",POWER(Upgrades!$U$11,J31),1)*IF(Upgrades!$T$12="Solar Wind",POWER(Upgrades!$U$12,K31),1))+(IF(F31=0,0,(Upgrades!$M$7+F31*Upgrades!$N$7)*POWER(Upgrades!$O$7,F31)))*(IF(Upgrades!$T$6="Asteroid Belt",POWER(Upgrades!$U$6,E31),1)*IF(Upgrades!$T$8="Asteroid Belt",POWER(Upgrades!$U$8,G31),1)*IF(Upgrades!$T$9="Asteroid Belt",POWER(Upgrades!$U$9,H31),1)*IF(Upgrades!$T$10="Asteroid Belt",POWER(Upgrades!$U$10,I31),1)*IF(Upgrades!$T$11="Asteroid Belt",POWER(Upgrades!$U$11,J31),1)*IF(Upgrades!$T$12="Asteroid Belt",POWER(Upgrades!$U$12,K31),1))+(IF(G31=0,0,(Upgrades!$M$8+G31*Upgrades!$N$8)*POWER(Upgrades!$O$8,G31)))*(IF(Upgrades!$T$6="Stellar Coupling",POWER(Upgrades!$U$6,E31),1)*IF(Upgrades!$T$7="Stellar Coupling",POWER(Upgrades!$U$7,F31),1)*IF(Upgrades!$T$9="Stellar Coupling",POWER(Upgrades!$U$9,H31),1)*IF(Upgrades!$T$10="Stellar Coupling",POWER(Upgrades!$U$10,I31),1)*IF(Upgrades!$T$11="Stellar Coupling",POWER(Upgrades!$U$11,J31),1)*IF(Upgrades!$T$12="Stellar Coupling",POWER(Upgrades!$U$12,K31),1))+(IF(H31=0,0,(Upgrades!$M$9+H31*Upgrades!$N$9)*POWER(Upgrades!$O$9,H31)))*(IF(Upgrades!$T$6="Magnetosphere",POWER(Upgrades!$U$6,E31),1)*IF(Upgrades!$T$7="Magnetosphere",POWER(Upgrades!$U$7,F31),1)*IF(Upgrades!$T$8="Magnetosphere",POWER(Upgrades!$U$8,G31),1)*IF(Upgrades!$T$10="Magnetosphere",POWER(Upgrades!$U$10,I31),1)*IF(Upgrades!$T$11="Magnetosphere",POWER(Upgrades!$U$11,J31),1)*IF(Upgrades!$T$12="Magnetosphere",POWER(Upgrades!$U$12,K31),1))+(IF(I31=0,0,(Upgrades!$M$10+I31*Upgrades!$N$10)*POWER(Upgrades!$O$10,I31)))*(IF(Upgrades!$T$6="Orbital Resonance",POWER(Upgrades!$U$6,E31),1)*IF(Upgrades!$T$7="Orbital Resonance",POWER(Upgrades!$U$7,F31),1)*IF(Upgrades!$T$8="Orbital Resonance",POWER(Upgrades!$U$8,G31),1)*IF(Upgrades!$T$9="Orbital Resonance",POWER(Upgrades!$U$9,H31),1)*IF(Upgrades!$T$11="Orbital Resonance",POWER(Upgrades!$U$11,J31),1)*IF(Upgrades!$T$12="Orbital Resonance",POWER(Upgrades!$U$12,K31),1))+(IF(J31=0,0,(Upgrades!$M$11+J31*Upgrades!$N$11)*POWER(Upgrades!$O$11,J31)))*(IF(Upgrades!$T$6="Heliopause",POWER(Upgrades!$U$6,E31),1)*IF(Upgrades!$T$7="Heliopause",POWER(Upgrades!$U$7,F31),1)*IF(Upgrades!$T$8="Heliopause",POWER(Upgrades!$U$8,G31),1)*IF(Upgrades!$T$9="Heliopause",POWER(Upgrades!$U$9,H31),1)*IF(Upgrades!$T$10="Heliopause",POWER(Upgrades!$U$10,I31),1)*IF(Upgrades!$T$12="Heliopause",POWER(Upgrades!$U$12,K31),1))+(IF(K31=0,0,(Upgrades!$M$12+K31*Upgrades!$N$12)*POWER(Upgrades!$O$12,K31)))*(IF(Upgrades!$T$6="First Photons",POWER(Upgrades!$U$6,E31),1)*IF(Upgrades!$T$7="First Photons",POWER(Upgrades!$U$7,F31),1)*IF(Upgrades!$T$8="First Photons",POWER(Upgrades!$U$8,G31),1)*IF(Upgrades!$T$9="First Photons",POWER(Upgrades!$U$9,H31),1)*IF(Upgrades!$T$10="First Photons",POWER(Upgrades!$U$10,I31),1)*IF(Upgrades!$T$11="First Photons",POWER(Upgrades!$U$11,J31),1)))*POWER(Upgrades!$R$6,E31)*POWER(Upgrades!$R$7,F31)*POWER(Upgrades!$R$8,G31)*POWER(Upgrades!$R$9,H31)*POWER(Upgrades!$R$10,I31)*POWER(Upgrades!$R$11,J31)*POWER(Upgrades!$R$12,K31)</f>
        <v/>
      </c>
      <c r="P31" s="27">
        <f>IF(L31=1,0,M31*Parameters!$B$10/60*Parameters!$B$11*10)</f>
        <v/>
      </c>
      <c r="Q31" s="27">
        <f>IF(L31=1,0,O31*M31*10)</f>
        <v/>
      </c>
      <c r="R31" s="27">
        <f>IF(L31=1,0,N31*10)</f>
        <v/>
      </c>
      <c r="S31" s="27">
        <f>P31+Q31+R31</f>
        <v/>
      </c>
      <c r="T31" s="22">
        <f>C31+S31</f>
        <v/>
      </c>
      <c r="U31" s="33">
        <f>AX31</f>
        <v/>
      </c>
      <c r="V31" s="22">
        <f>IF(U31="",0,IF(U31="transition",0,IF(U31="SW",AG31,IF(U31="AB",AH31,IF(U31="SC",AI31,IF(U31="Mag",AJ31,IF(U31="OR",AK31,IF(U31="HP",AL31,IF(U31="FP",AM31,0)))))))))</f>
        <v/>
      </c>
      <c r="W31" s="27">
        <f>IF(U31="OR",Upgrades!$F$10,IF(U31="HP",Upgrades!$F$11,IF(U31="transition",-Parameters!$B$18,0)))</f>
        <v/>
      </c>
      <c r="X31" s="22">
        <f>T31-V31</f>
        <v/>
      </c>
      <c r="Y31" s="30">
        <f>M31*Parameters!$B$10/60*Parameters!$B$11+O31*M31+N31</f>
        <v/>
      </c>
      <c r="Z31" s="34">
        <f>IF(U31="transition","→ Tier 2 (Stellar Neighborhood)",IF(U31="FP","First Photons — light begins, system quickens",IF(U31="HP","Heliopause acquired",IF(U31="OR","Orbital Resonance — passive multiplier active",IF(AND(AO31=1,L31=0,AN31&lt;&gt;1),"Cohesion ready (waiting on completionist upgrades)","")))))</f>
        <v/>
      </c>
      <c r="AA31" s="27">
        <f>(IF(E31=0,0,(Upgrades!$G$6+E31*Upgrades!$H$6)*POWER(Upgrades!$I$6,E31)))*(IF(Upgrades!$T$7="Solar Wind",POWER(Upgrades!$U$7,F31),1)*IF(Upgrades!$T$8="Solar Wind",POWER(Upgrades!$U$8,G31),1)*IF(Upgrades!$T$9="Solar Wind",POWER(Upgrades!$U$9,H31),1)*IF(Upgrades!$T$10="Solar Wind",POWER(Upgrades!$U$10,I31),1)*IF(Upgrades!$T$11="Solar Wind",POWER(Upgrades!$U$11,J31),1)*IF(Upgrades!$T$12="Solar Wind",POWER(Upgrades!$U$12,K31),1))*POWER(Upgrades!$P$6,E31)*POWER(Upgrades!$P$7,F31)*POWER(Upgrades!$P$8,G31)*POWER(Upgrades!$P$9,H31)*POWER(Upgrades!$P$10,I31)*POWER(Upgrades!$P$11,J31)*POWER(Upgrades!$P$12,K31)*60</f>
        <v/>
      </c>
      <c r="AB31" s="27">
        <f>(IF(F31=0,0,(Upgrades!$G$7+F31*Upgrades!$H$7)*POWER(Upgrades!$I$7,F31)))*(IF(Upgrades!$T$6="Asteroid Belt",POWER(Upgrades!$U$6,E31),1)*IF(Upgrades!$T$8="Asteroid Belt",POWER(Upgrades!$U$8,G31),1)*IF(Upgrades!$T$9="Asteroid Belt",POWER(Upgrades!$U$9,H31),1)*IF(Upgrades!$T$10="Asteroid Belt",POWER(Upgrades!$U$10,I31),1)*IF(Upgrades!$T$11="Asteroid Belt",POWER(Upgrades!$U$11,J31),1)*IF(Upgrades!$T$12="Asteroid Belt",POWER(Upgrades!$U$12,K31),1))*POWER(Upgrades!$P$6,E31)*POWER(Upgrades!$P$7,F31)*POWER(Upgrades!$P$8,G31)*POWER(Upgrades!$P$9,H31)*POWER(Upgrades!$P$10,I31)*POWER(Upgrades!$P$11,J31)*POWER(Upgrades!$P$12,K31)*60</f>
        <v/>
      </c>
      <c r="AC31" s="27">
        <f>(IF(G31=0,0,(Upgrades!$J$8+G31*Upgrades!$K$8)*POWER(Upgrades!$L$8,G31)))*(IF(Upgrades!$T$6="Stellar Coupling",POWER(Upgrades!$U$6,E31),1)*IF(Upgrades!$T$7="Stellar Coupling",POWER(Upgrades!$U$7,F31),1)*IF(Upgrades!$T$9="Stellar Coupling",POWER(Upgrades!$U$9,H31),1)*IF(Upgrades!$T$10="Stellar Coupling",POWER(Upgrades!$U$10,I31),1)*IF(Upgrades!$T$11="Stellar Coupling",POWER(Upgrades!$U$11,J31),1)*IF(Upgrades!$T$12="Stellar Coupling",POWER(Upgrades!$U$12,K31),1))*POWER(Upgrades!$Q$6,E31)*POWER(Upgrades!$Q$7,F31)*POWER(Upgrades!$Q$8,G31)*POWER(Upgrades!$Q$9,H31)*POWER(Upgrades!$Q$10,I31)*POWER(Upgrades!$Q$11,J31)*POWER(Upgrades!$Q$12,K31)*Parameters!$B$10*Parameters!$B$11</f>
        <v/>
      </c>
      <c r="AD31" s="27">
        <f>(IF(H31=0,0,(Upgrades!$G$9+H31*Upgrades!$H$9)*POWER(Upgrades!$I$9,H31)))*(IF(Upgrades!$T$6="Magnetosphere",POWER(Upgrades!$U$6,E31),1)*IF(Upgrades!$T$7="Magnetosphere",POWER(Upgrades!$U$7,F31),1)*IF(Upgrades!$T$8="Magnetosphere",POWER(Upgrades!$U$8,G31),1)*IF(Upgrades!$T$10="Magnetosphere",POWER(Upgrades!$U$10,I31),1)*IF(Upgrades!$T$11="Magnetosphere",POWER(Upgrades!$U$11,J31),1)*IF(Upgrades!$T$12="Magnetosphere",POWER(Upgrades!$U$12,K31),1))*POWER(Upgrades!$P$6,E31)*POWER(Upgrades!$P$7,F31)*POWER(Upgrades!$P$8,G31)*POWER(Upgrades!$P$9,H31)*POWER(Upgrades!$P$10,I31)*POWER(Upgrades!$P$11,J31)*POWER(Upgrades!$P$12,K31)*60</f>
        <v/>
      </c>
      <c r="AE31" s="27">
        <f>(IF(K31=0,0,(Upgrades!$G$12+K31*Upgrades!$H$12)*POWER(Upgrades!$I$12,K31)))*(IF(Upgrades!$T$6="First Photons",POWER(Upgrades!$U$6,E31),1)*IF(Upgrades!$T$7="First Photons",POWER(Upgrades!$U$7,F31),1)*IF(Upgrades!$T$8="First Photons",POWER(Upgrades!$U$8,G31),1)*IF(Upgrades!$T$9="First Photons",POWER(Upgrades!$U$9,H31),1)*IF(Upgrades!$T$10="First Photons",POWER(Upgrades!$U$10,I31),1)*IF(Upgrades!$T$11="First Photons",POWER(Upgrades!$U$11,J31),1))*POWER(Upgrades!$P$6,E31)*POWER(Upgrades!$P$7,F31)*POWER(Upgrades!$P$8,G31)*POWER(Upgrades!$P$9,H31)*POWER(Upgrades!$P$10,I31)*POWER(Upgrades!$P$11,J31)*POWER(Upgrades!$P$12,K31)*60</f>
        <v/>
      </c>
      <c r="AF31" s="27">
        <f>Parameters!$B$9*POWER(Upgrades!$Q$6,E31)*POWER(Upgrades!$Q$7,F31)*POWER(Upgrades!$Q$8,G31)*POWER(Upgrades!$Q$9,H31)*POWER(Upgrades!$Q$10,I31)*POWER(Upgrades!$Q$11,J31)*POWER(Upgrades!$Q$12,K31)*(Parameters!$B$10*Parameters!$B$11+O31*60)</f>
        <v/>
      </c>
      <c r="AG31" s="22">
        <f>IF(E31&gt;=Upgrades!$E$6,"",Upgrades!$C$6*POWER(Upgrades!$D$6,E31))</f>
        <v/>
      </c>
      <c r="AH31" s="22">
        <f>IF(F31&gt;=Upgrades!$E$7,"",Upgrades!$C$7*POWER(Upgrades!$D$7,F31))</f>
        <v/>
      </c>
      <c r="AI31" s="22">
        <f>IF(G31&gt;=Upgrades!$E$8,"",Upgrades!$C$8*POWER(Upgrades!$D$8,G31))</f>
        <v/>
      </c>
      <c r="AJ31" s="22">
        <f>IF(H31&gt;=Upgrades!$E$9,"",Upgrades!$C$9*POWER(Upgrades!$D$9,H31))</f>
        <v/>
      </c>
      <c r="AK31" s="22">
        <f>IF(I31&gt;=Upgrades!$E$10,"",Upgrades!$C$10*POWER(Upgrades!$D$10,I31))</f>
        <v/>
      </c>
      <c r="AL31" s="22">
        <f>IF(J31&gt;=Upgrades!$E$11,"",Upgrades!$C$11*POWER(Upgrades!$D$11,J31))</f>
        <v/>
      </c>
      <c r="AM31" s="22">
        <f>IF(K31&gt;=Upgrades!$E$12,"",Upgrades!$C$12*POWER(Upgrades!$D$12,K31))</f>
        <v/>
      </c>
      <c r="AN31" s="26">
        <f>IF(AND(D31&gt;=Parameters!$B$18,(H31&gt;=Upgrades!$E$9)*(K31&gt;=Upgrades!$E$12)=1,L31=0),1,"")</f>
        <v/>
      </c>
      <c r="AO31" s="26">
        <f>IF(AND(D31&gt;=Parameters!$B$18,L31=0),1,"")</f>
        <v/>
      </c>
      <c r="AP31" s="22">
        <f>MIN(IF(ISNUMBER(AK31),AK31,9E15),IF(ISNUMBER(AL31),AL31,9E15),IF(ISNUMBER(AM31),AM31,9E15))</f>
        <v/>
      </c>
      <c r="AQ31" s="22">
        <f>MIN(IF(ISNUMBER(AG31),AG31,9E15),IF(ISNUMBER(AH31),AH31,9E15),IF(ISNUMBER(AI31),AI31,9E15),IF(ISNUMBER(AJ31),AJ31,9E15))</f>
        <v/>
      </c>
      <c r="AR31" s="29">
        <f>IF(AW31&gt;Parameters!$B$21*(MAX(IF(AND(NOT(AND(AO31=1,AN31&lt;&gt;1)),ISNUMBER(AG31),AG31&lt;=T31),AS31,0),IF(AND(NOT(AND(AO31=1,AN31&lt;&gt;1)),ISNUMBER(AH31),AH31&lt;=T31),AT31,0),IF(AND(NOT(AND(AO31=1,AN31&lt;&gt;1)),ISNUMBER(AI31),AI31&lt;=T31),AU31,0),IF(AND(ISNUMBER(AJ31),AJ31&lt;=T31),AV31,0))),TRUE,FALSE)</f>
        <v/>
      </c>
      <c r="AS31" s="32">
        <f>IFERROR(Upgrades!$H$6*(POWER(Upgrades!$P$6,E31)*POWER(Upgrades!$P$7,F31)*POWER(Upgrades!$P$8,G31)*POWER(Upgrades!$P$9,H31)*POWER(Upgrades!$P$10,I31)*POWER(Upgrades!$P$11,J31)*POWER(Upgrades!$P$12,K31))*(IF(Upgrades!$T$7="Solar Wind",POWER(Upgrades!$U$7,F31),1)*IF(Upgrades!$T$8="Solar Wind",POWER(Upgrades!$U$8,G31),1)*IF(Upgrades!$T$9="Solar Wind",POWER(Upgrades!$U$9,H31),1)*IF(Upgrades!$T$10="Solar Wind",POWER(Upgrades!$U$10,I31),1)*IF(Upgrades!$T$11="Solar Wind",POWER(Upgrades!$U$11,J31),1)*IF(Upgrades!$T$12="Solar Wind",POWER(Upgrades!$U$12,K31),1))/AG31,0)</f>
        <v/>
      </c>
      <c r="AT31" s="32">
        <f>IFERROR(Upgrades!$H$7*(POWER(Upgrades!$P$6,E31)*POWER(Upgrades!$P$7,F31)*POWER(Upgrades!$P$8,G31)*POWER(Upgrades!$P$9,H31)*POWER(Upgrades!$P$10,I31)*POWER(Upgrades!$P$11,J31)*POWER(Upgrades!$P$12,K31))*(IF(Upgrades!$T$6="Asteroid Belt",POWER(Upgrades!$U$6,E31),1)*IF(Upgrades!$T$8="Asteroid Belt",POWER(Upgrades!$U$8,G31),1)*IF(Upgrades!$T$9="Asteroid Belt",POWER(Upgrades!$U$9,H31),1)*IF(Upgrades!$T$10="Asteroid Belt",POWER(Upgrades!$U$10,I31),1)*IF(Upgrades!$T$11="Asteroid Belt",POWER(Upgrades!$U$11,J31),1)*IF(Upgrades!$T$12="Asteroid Belt",POWER(Upgrades!$U$12,K31),1))/AH31,0)</f>
        <v/>
      </c>
      <c r="AU31" s="32">
        <f>IFERROR(Upgrades!$K$8*(POWER(Upgrades!$Q$6,E31)*POWER(Upgrades!$Q$7,F31)*POWER(Upgrades!$Q$8,G31)*POWER(Upgrades!$Q$9,H31)*POWER(Upgrades!$Q$10,I31)*POWER(Upgrades!$Q$11,J31)*POWER(Upgrades!$Q$12,K31))*(IF(Upgrades!$T$6="Stellar Coupling",POWER(Upgrades!$U$6,E31),1)*IF(Upgrades!$T$7="Stellar Coupling",POWER(Upgrades!$U$7,F31),1)*IF(Upgrades!$T$9="Stellar Coupling",POWER(Upgrades!$U$9,H31),1)*IF(Upgrades!$T$10="Stellar Coupling",POWER(Upgrades!$U$10,I31),1)*IF(Upgrades!$T$11="Stellar Coupling",POWER(Upgrades!$U$11,J31),1)*IF(Upgrades!$T$12="Stellar Coupling",POWER(Upgrades!$U$12,K31),1))*Parameters!$B$10*Parameters!$B$11/60/AI31,0)</f>
        <v/>
      </c>
      <c r="AV31" s="32">
        <f>IFERROR(Upgrades!$H$9*(POWER(Upgrades!$P$6,E31)*POWER(Upgrades!$P$7,F31)*POWER(Upgrades!$P$8,G31)*POWER(Upgrades!$P$9,H31)*POWER(Upgrades!$P$10,I31)*POWER(Upgrades!$P$11,J31)*POWER(Upgrades!$P$12,K31))*(IF(Upgrades!$T$6="Magnetosphere",POWER(Upgrades!$U$6,E31),1)*IF(Upgrades!$T$7="Magnetosphere",POWER(Upgrades!$U$7,F31),1)*IF(Upgrades!$T$8="Magnetosphere",POWER(Upgrades!$U$8,G31),1)*IF(Upgrades!$T$10="Magnetosphere",POWER(Upgrades!$U$10,I31),1)*IF(Upgrades!$T$11="Magnetosphere",POWER(Upgrades!$U$11,J31),1)*IF(Upgrades!$T$12="Magnetosphere",POWER(Upgrades!$U$12,K31),1))/AJ31,0)</f>
        <v/>
      </c>
      <c r="AW31" s="32">
        <f>MAX(IF(I31&gt;0,0,IFERROR(0.25*N31/Upgrades!$C$10,0)),IF(J31&gt;0,0,IFERROR(0.5*((IF(G31=0,0,(Upgrades!$J$8+G31*Upgrades!$K$8)*POWER(Upgrades!$L$8,G31)))*(IF(Upgrades!$T$6="Stellar Coupling",POWER(Upgrades!$U$6,E31),1)*IF(Upgrades!$T$7="Stellar Coupling",POWER(Upgrades!$U$7,F31),1)*IF(Upgrades!$T$9="Stellar Coupling",POWER(Upgrades!$U$9,H31),1)*IF(Upgrades!$T$10="Stellar Coupling",POWER(Upgrades!$U$10,I31),1)*IF(Upgrades!$T$11="Stellar Coupling",POWER(Upgrades!$U$11,J31),1)*IF(Upgrades!$T$12="Stellar Coupling",POWER(Upgrades!$U$12,K31),1))*(POWER(Upgrades!$Q$6,E31)*POWER(Upgrades!$Q$7,F31)*POWER(Upgrades!$Q$8,G31)*POWER(Upgrades!$Q$9,H31)*POWER(Upgrades!$Q$10,I31)*POWER(Upgrades!$Q$11,J31)*POWER(Upgrades!$Q$12,K31))*Parameters!$B$10*Parameters!$B$11/60)/Upgrades!$C$11,0)),IF(K31&gt;0,0,IFERROR((1.0*(POWER(Upgrades!$P$6,E31)*POWER(Upgrades!$P$7,F31)*POWER(Upgrades!$P$8,G31)*POWER(Upgrades!$P$9,H31)*POWER(Upgrades!$P$10,I31)*POWER(Upgrades!$P$11,J31)*POWER(Upgrades!$P$12,K31))+0.20*M31*Parameters!$B$10*Parameters!$B$11/60)/Upgrades!$C$12,0)),IF(AND(ISNUMBER(AG31),AG31&gt;T31),AS31,0),IF(AND(ISNUMBER(AH31),AH31&gt;T31),AT31,0),IF(AND(ISNUMBER(AI31),AI31&gt;T31),AU31,0),IF(AND(ISNUMBER(AJ31),AJ31&gt;T31),AV31,0))</f>
        <v/>
      </c>
      <c r="AX31" s="29">
        <f>IF(AN31=1,"transition",IF(MIN(IF(AND(I31=0,ISNUMBER(AK31),AK31&lt;=T31),AK31,9E15),IF(AND(J31=0,ISNUMBER(AL31),AL31&lt;=T31),AL31,9E15),IF(AND(K31=0,ISNUMBER(AM31),AM31&lt;=T31),AM31,9E15))&lt;9E15,IF(AND(AND(I31=0,ISNUMBER(AK31),AK31&lt;=T31),AK31=MIN(IF(AND(I31=0,ISNUMBER(AK31),AK31&lt;=T31),AK31,9E15),IF(AND(J31=0,ISNUMBER(AL31),AL31&lt;=T31),AL31,9E15),IF(AND(K31=0,ISNUMBER(AM31),AM31&lt;=T31),AM31,9E15))),"OR",IF(AND(AND(J31=0,ISNUMBER(AL31),AL31&lt;=T31),AL31=MIN(IF(AND(I31=0,ISNUMBER(AK31),AK31&lt;=T31),AK31,9E15),IF(AND(J31=0,ISNUMBER(AL31),AL31&lt;=T31),AL31,9E15),IF(AND(K31=0,ISNUMBER(AM31),AM31&lt;=T31),AM31,9E15))),"HP","FP")),IF(AR31=TRUE,"",IF(MAX(IF(AND(NOT(AND(AO31=1,AN31&lt;&gt;1)),ISNUMBER(AG31),AG31&lt;=T31),AS31,0),IF(AND(NOT(AND(AO31=1,AN31&lt;&gt;1)),ISNUMBER(AH31),AH31&lt;=T31),AT31,0),IF(AND(NOT(AND(AO31=1,AN31&lt;&gt;1)),ISNUMBER(AI31),AI31&lt;=T31),AU31,0),IF(AND(ISNUMBER(AJ31),AJ31&lt;=T31),AV31,0))&lt;=0,"",IF(AND(IF(AND(NOT(AND(AO31=1,AN31&lt;&gt;1)),ISNUMBER(AG31),AG31&lt;=T31),AS31,0)&gt;0,IF(AND(NOT(AND(AO31=1,AN31&lt;&gt;1)),ISNUMBER(AG31),AG31&lt;=T31),AS31,0)=MAX(IF(AND(NOT(AND(AO31=1,AN31&lt;&gt;1)),ISNUMBER(AG31),AG31&lt;=T31),AS31,0),IF(AND(NOT(AND(AO31=1,AN31&lt;&gt;1)),ISNUMBER(AH31),AH31&lt;=T31),AT31,0),IF(AND(NOT(AND(AO31=1,AN31&lt;&gt;1)),ISNUMBER(AI31),AI31&lt;=T31),AU31,0),IF(AND(ISNUMBER(AJ31),AJ31&lt;=T31),AV31,0))),"SW",IF(AND(IF(AND(NOT(AND(AO31=1,AN31&lt;&gt;1)),ISNUMBER(AH31),AH31&lt;=T31),AT31,0)&gt;0,IF(AND(NOT(AND(AO31=1,AN31&lt;&gt;1)),ISNUMBER(AH31),AH31&lt;=T31),AT31,0)=MAX(IF(AND(NOT(AND(AO31=1,AN31&lt;&gt;1)),ISNUMBER(AG31),AG31&lt;=T31),AS31,0),IF(AND(NOT(AND(AO31=1,AN31&lt;&gt;1)),ISNUMBER(AH31),AH31&lt;=T31),AT31,0),IF(AND(NOT(AND(AO31=1,AN31&lt;&gt;1)),ISNUMBER(AI31),AI31&lt;=T31),AU31,0),IF(AND(ISNUMBER(AJ31),AJ31&lt;=T31),AV31,0))),"AB",IF(AND(IF(AND(NOT(AND(AO31=1,AN31&lt;&gt;1)),ISNUMBER(AI31),AI31&lt;=T31),AU31,0)&gt;0,IF(AND(NOT(AND(AO31=1,AN31&lt;&gt;1)),ISNUMBER(AI31),AI31&lt;=T31),AU31,0)=MAX(IF(AND(NOT(AND(AO31=1,AN31&lt;&gt;1)),ISNUMBER(AG31),AG31&lt;=T31),AS31,0),IF(AND(NOT(AND(AO31=1,AN31&lt;&gt;1)),ISNUMBER(AH31),AH31&lt;=T31),AT31,0),IF(AND(NOT(AND(AO31=1,AN31&lt;&gt;1)),ISNUMBER(AI31),AI31&lt;=T31),AU31,0),IF(AND(ISNUMBER(AJ31),AJ31&lt;=T31),AV31,0))),"SC","Mag")))))))</f>
        <v/>
      </c>
    </row>
    <row r="32">
      <c r="A32" s="26" t="n">
        <v>27</v>
      </c>
      <c r="B32" s="27">
        <f>A32*10/60</f>
        <v/>
      </c>
      <c r="C32" s="22">
        <f>X31</f>
        <v/>
      </c>
      <c r="D32" s="27">
        <f>D31+W31</f>
        <v/>
      </c>
      <c r="E32" s="26">
        <f>E31+IF(U31="SW",1,0)</f>
        <v/>
      </c>
      <c r="F32" s="26">
        <f>F31+IF(U31="AB",1,0)</f>
        <v/>
      </c>
      <c r="G32" s="26">
        <f>G31+IF(U31="SC",1,0)</f>
        <v/>
      </c>
      <c r="H32" s="26">
        <f>H31+IF(U31="Mag",1,0)</f>
        <v/>
      </c>
      <c r="I32" s="26">
        <f>MAX(I31,IF(U31="OR",1,0))</f>
        <v/>
      </c>
      <c r="J32" s="26">
        <f>MAX(J31,IF(U31="HP",1,0))</f>
        <v/>
      </c>
      <c r="K32" s="26">
        <f>MAX(K31,IF(U31="FP",1,0))</f>
        <v/>
      </c>
      <c r="L32" s="26">
        <f>MAX(L31,IF(U31="transition",1,0))</f>
        <v/>
      </c>
      <c r="M32" s="28">
        <f>(Parameters!$B$9+(IF(E32=0,0,(Upgrades!$J$6+E32*Upgrades!$K$6)*POWER(Upgrades!$L$6,E32)))*(IF(Upgrades!$T$7="Solar Wind",POWER(Upgrades!$U$7,F32),1)*IF(Upgrades!$T$8="Solar Wind",POWER(Upgrades!$U$8,G32),1)*IF(Upgrades!$T$9="Solar Wind",POWER(Upgrades!$U$9,H32),1)*IF(Upgrades!$T$10="Solar Wind",POWER(Upgrades!$U$10,I32),1)*IF(Upgrades!$T$11="Solar Wind",POWER(Upgrades!$U$11,J32),1)*IF(Upgrades!$T$12="Solar Wind",POWER(Upgrades!$U$12,K32),1))+(IF(F32=0,0,(Upgrades!$J$7+F32*Upgrades!$K$7)*POWER(Upgrades!$L$7,F32)))*(IF(Upgrades!$T$6="Asteroid Belt",POWER(Upgrades!$U$6,E32),1)*IF(Upgrades!$T$8="Asteroid Belt",POWER(Upgrades!$U$8,G32),1)*IF(Upgrades!$T$9="Asteroid Belt",POWER(Upgrades!$U$9,H32),1)*IF(Upgrades!$T$10="Asteroid Belt",POWER(Upgrades!$U$10,I32),1)*IF(Upgrades!$T$11="Asteroid Belt",POWER(Upgrades!$U$11,J32),1)*IF(Upgrades!$T$12="Asteroid Belt",POWER(Upgrades!$U$12,K32),1))+(IF(G32=0,0,(Upgrades!$J$8+G32*Upgrades!$K$8)*POWER(Upgrades!$L$8,G32)))*(IF(Upgrades!$T$6="Stellar Coupling",POWER(Upgrades!$U$6,E32),1)*IF(Upgrades!$T$7="Stellar Coupling",POWER(Upgrades!$U$7,F32),1)*IF(Upgrades!$T$9="Stellar Coupling",POWER(Upgrades!$U$9,H32),1)*IF(Upgrades!$T$10="Stellar Coupling",POWER(Upgrades!$U$10,I32),1)*IF(Upgrades!$T$11="Stellar Coupling",POWER(Upgrades!$U$11,J32),1)*IF(Upgrades!$T$12="Stellar Coupling",POWER(Upgrades!$U$12,K32),1))+(IF(H32=0,0,(Upgrades!$J$9+H32*Upgrades!$K$9)*POWER(Upgrades!$L$9,H32)))*(IF(Upgrades!$T$6="Magnetosphere",POWER(Upgrades!$U$6,E32),1)*IF(Upgrades!$T$7="Magnetosphere",POWER(Upgrades!$U$7,F32),1)*IF(Upgrades!$T$8="Magnetosphere",POWER(Upgrades!$U$8,G32),1)*IF(Upgrades!$T$10="Magnetosphere",POWER(Upgrades!$U$10,I32),1)*IF(Upgrades!$T$11="Magnetosphere",POWER(Upgrades!$U$11,J32),1)*IF(Upgrades!$T$12="Magnetosphere",POWER(Upgrades!$U$12,K32),1))+(IF(I32=0,0,(Upgrades!$J$10+I32*Upgrades!$K$10)*POWER(Upgrades!$L$10,I32)))*(IF(Upgrades!$T$6="Orbital Resonance",POWER(Upgrades!$U$6,E32),1)*IF(Upgrades!$T$7="Orbital Resonance",POWER(Upgrades!$U$7,F32),1)*IF(Upgrades!$T$8="Orbital Resonance",POWER(Upgrades!$U$8,G32),1)*IF(Upgrades!$T$9="Orbital Resonance",POWER(Upgrades!$U$9,H32),1)*IF(Upgrades!$T$11="Orbital Resonance",POWER(Upgrades!$U$11,J32),1)*IF(Upgrades!$T$12="Orbital Resonance",POWER(Upgrades!$U$12,K32),1))+(IF(J32=0,0,(Upgrades!$J$11+J32*Upgrades!$K$11)*POWER(Upgrades!$L$11,J32)))*(IF(Upgrades!$T$6="Heliopause",POWER(Upgrades!$U$6,E32),1)*IF(Upgrades!$T$7="Heliopause",POWER(Upgrades!$U$7,F32),1)*IF(Upgrades!$T$8="Heliopause",POWER(Upgrades!$U$8,G32),1)*IF(Upgrades!$T$9="Heliopause",POWER(Upgrades!$U$9,H32),1)*IF(Upgrades!$T$10="Heliopause",POWER(Upgrades!$U$10,I32),1)*IF(Upgrades!$T$12="Heliopause",POWER(Upgrades!$U$12,K32),1))+(IF(K32=0,0,(Upgrades!$J$12+K32*Upgrades!$K$12)*POWER(Upgrades!$L$12,K32)))*(IF(Upgrades!$T$6="First Photons",POWER(Upgrades!$U$6,E32),1)*IF(Upgrades!$T$7="First Photons",POWER(Upgrades!$U$7,F32),1)*IF(Upgrades!$T$8="First Photons",POWER(Upgrades!$U$8,G32),1)*IF(Upgrades!$T$9="First Photons",POWER(Upgrades!$U$9,H32),1)*IF(Upgrades!$T$10="First Photons",POWER(Upgrades!$U$10,I32),1)*IF(Upgrades!$T$11="First Photons",POWER(Upgrades!$U$11,J32),1)))*POWER(Upgrades!$Q$6,E32)*POWER(Upgrades!$Q$7,F32)*POWER(Upgrades!$Q$8,G32)*POWER(Upgrades!$Q$9,H32)*POWER(Upgrades!$Q$10,I32)*POWER(Upgrades!$Q$11,J32)*POWER(Upgrades!$Q$12,K32)</f>
        <v/>
      </c>
      <c r="N32" s="28">
        <f>((IF(E32=0,0,(Upgrades!$G$6+E32*Upgrades!$H$6)*POWER(Upgrades!$I$6,E32)))*(IF(Upgrades!$T$7="Solar Wind",POWER(Upgrades!$U$7,F32),1)*IF(Upgrades!$T$8="Solar Wind",POWER(Upgrades!$U$8,G32),1)*IF(Upgrades!$T$9="Solar Wind",POWER(Upgrades!$U$9,H32),1)*IF(Upgrades!$T$10="Solar Wind",POWER(Upgrades!$U$10,I32),1)*IF(Upgrades!$T$11="Solar Wind",POWER(Upgrades!$U$11,J32),1)*IF(Upgrades!$T$12="Solar Wind",POWER(Upgrades!$U$12,K32),1))+(IF(F32=0,0,(Upgrades!$G$7+F32*Upgrades!$H$7)*POWER(Upgrades!$I$7,F32)))*(IF(Upgrades!$T$6="Asteroid Belt",POWER(Upgrades!$U$6,E32),1)*IF(Upgrades!$T$8="Asteroid Belt",POWER(Upgrades!$U$8,G32),1)*IF(Upgrades!$T$9="Asteroid Belt",POWER(Upgrades!$U$9,H32),1)*IF(Upgrades!$T$10="Asteroid Belt",POWER(Upgrades!$U$10,I32),1)*IF(Upgrades!$T$11="Asteroid Belt",POWER(Upgrades!$U$11,J32),1)*IF(Upgrades!$T$12="Asteroid Belt",POWER(Upgrades!$U$12,K32),1))+(IF(G32=0,0,(Upgrades!$G$8+G32*Upgrades!$H$8)*POWER(Upgrades!$I$8,G32)))*(IF(Upgrades!$T$6="Stellar Coupling",POWER(Upgrades!$U$6,E32),1)*IF(Upgrades!$T$7="Stellar Coupling",POWER(Upgrades!$U$7,F32),1)*IF(Upgrades!$T$9="Stellar Coupling",POWER(Upgrades!$U$9,H32),1)*IF(Upgrades!$T$10="Stellar Coupling",POWER(Upgrades!$U$10,I32),1)*IF(Upgrades!$T$11="Stellar Coupling",POWER(Upgrades!$U$11,J32),1)*IF(Upgrades!$T$12="Stellar Coupling",POWER(Upgrades!$U$12,K32),1))+(IF(H32=0,0,(Upgrades!$G$9+H32*Upgrades!$H$9)*POWER(Upgrades!$I$9,H32)))*(IF(Upgrades!$T$6="Magnetosphere",POWER(Upgrades!$U$6,E32),1)*IF(Upgrades!$T$7="Magnetosphere",POWER(Upgrades!$U$7,F32),1)*IF(Upgrades!$T$8="Magnetosphere",POWER(Upgrades!$U$8,G32),1)*IF(Upgrades!$T$10="Magnetosphere",POWER(Upgrades!$U$10,I32),1)*IF(Upgrades!$T$11="Magnetosphere",POWER(Upgrades!$U$11,J32),1)*IF(Upgrades!$T$12="Magnetosphere",POWER(Upgrades!$U$12,K32),1))+(IF(I32=0,0,(Upgrades!$G$10+I32*Upgrades!$H$10)*POWER(Upgrades!$I$10,I32)))*(IF(Upgrades!$T$6="Orbital Resonance",POWER(Upgrades!$U$6,E32),1)*IF(Upgrades!$T$7="Orbital Resonance",POWER(Upgrades!$U$7,F32),1)*IF(Upgrades!$T$8="Orbital Resonance",POWER(Upgrades!$U$8,G32),1)*IF(Upgrades!$T$9="Orbital Resonance",POWER(Upgrades!$U$9,H32),1)*IF(Upgrades!$T$11="Orbital Resonance",POWER(Upgrades!$U$11,J32),1)*IF(Upgrades!$T$12="Orbital Resonance",POWER(Upgrades!$U$12,K32),1))+(IF(J32=0,0,(Upgrades!$G$11+J32*Upgrades!$H$11)*POWER(Upgrades!$I$11,J32)))*(IF(Upgrades!$T$6="Heliopause",POWER(Upgrades!$U$6,E32),1)*IF(Upgrades!$T$7="Heliopause",POWER(Upgrades!$U$7,F32),1)*IF(Upgrades!$T$8="Heliopause",POWER(Upgrades!$U$8,G32),1)*IF(Upgrades!$T$9="Heliopause",POWER(Upgrades!$U$9,H32),1)*IF(Upgrades!$T$10="Heliopause",POWER(Upgrades!$U$10,I32),1)*IF(Upgrades!$T$12="Heliopause",POWER(Upgrades!$U$12,K32),1))+(IF(K32=0,0,(Upgrades!$G$12+K32*Upgrades!$H$12)*POWER(Upgrades!$I$12,K32)))*(IF(Upgrades!$T$6="First Photons",POWER(Upgrades!$U$6,E32),1)*IF(Upgrades!$T$7="First Photons",POWER(Upgrades!$U$7,F32),1)*IF(Upgrades!$T$8="First Photons",POWER(Upgrades!$U$8,G32),1)*IF(Upgrades!$T$9="First Photons",POWER(Upgrades!$U$9,H32),1)*IF(Upgrades!$T$10="First Photons",POWER(Upgrades!$U$10,I32),1)*IF(Upgrades!$T$11="First Photons",POWER(Upgrades!$U$11,J32),1)))*POWER(Upgrades!$P$6,E32)*POWER(Upgrades!$P$7,F32)*POWER(Upgrades!$P$8,G32)*POWER(Upgrades!$P$9,H32)*POWER(Upgrades!$P$10,I32)*POWER(Upgrades!$P$11,J32)*POWER(Upgrades!$P$12,K32)</f>
        <v/>
      </c>
      <c r="O32" s="28">
        <f>((IF(E32=0,0,(Upgrades!$M$6+E32*Upgrades!$N$6)*POWER(Upgrades!$O$6,E32)))*(IF(Upgrades!$T$7="Solar Wind",POWER(Upgrades!$U$7,F32),1)*IF(Upgrades!$T$8="Solar Wind",POWER(Upgrades!$U$8,G32),1)*IF(Upgrades!$T$9="Solar Wind",POWER(Upgrades!$U$9,H32),1)*IF(Upgrades!$T$10="Solar Wind",POWER(Upgrades!$U$10,I32),1)*IF(Upgrades!$T$11="Solar Wind",POWER(Upgrades!$U$11,J32),1)*IF(Upgrades!$T$12="Solar Wind",POWER(Upgrades!$U$12,K32),1))+(IF(F32=0,0,(Upgrades!$M$7+F32*Upgrades!$N$7)*POWER(Upgrades!$O$7,F32)))*(IF(Upgrades!$T$6="Asteroid Belt",POWER(Upgrades!$U$6,E32),1)*IF(Upgrades!$T$8="Asteroid Belt",POWER(Upgrades!$U$8,G32),1)*IF(Upgrades!$T$9="Asteroid Belt",POWER(Upgrades!$U$9,H32),1)*IF(Upgrades!$T$10="Asteroid Belt",POWER(Upgrades!$U$10,I32),1)*IF(Upgrades!$T$11="Asteroid Belt",POWER(Upgrades!$U$11,J32),1)*IF(Upgrades!$T$12="Asteroid Belt",POWER(Upgrades!$U$12,K32),1))+(IF(G32=0,0,(Upgrades!$M$8+G32*Upgrades!$N$8)*POWER(Upgrades!$O$8,G32)))*(IF(Upgrades!$T$6="Stellar Coupling",POWER(Upgrades!$U$6,E32),1)*IF(Upgrades!$T$7="Stellar Coupling",POWER(Upgrades!$U$7,F32),1)*IF(Upgrades!$T$9="Stellar Coupling",POWER(Upgrades!$U$9,H32),1)*IF(Upgrades!$T$10="Stellar Coupling",POWER(Upgrades!$U$10,I32),1)*IF(Upgrades!$T$11="Stellar Coupling",POWER(Upgrades!$U$11,J32),1)*IF(Upgrades!$T$12="Stellar Coupling",POWER(Upgrades!$U$12,K32),1))+(IF(H32=0,0,(Upgrades!$M$9+H32*Upgrades!$N$9)*POWER(Upgrades!$O$9,H32)))*(IF(Upgrades!$T$6="Magnetosphere",POWER(Upgrades!$U$6,E32),1)*IF(Upgrades!$T$7="Magnetosphere",POWER(Upgrades!$U$7,F32),1)*IF(Upgrades!$T$8="Magnetosphere",POWER(Upgrades!$U$8,G32),1)*IF(Upgrades!$T$10="Magnetosphere",POWER(Upgrades!$U$10,I32),1)*IF(Upgrades!$T$11="Magnetosphere",POWER(Upgrades!$U$11,J32),1)*IF(Upgrades!$T$12="Magnetosphere",POWER(Upgrades!$U$12,K32),1))+(IF(I32=0,0,(Upgrades!$M$10+I32*Upgrades!$N$10)*POWER(Upgrades!$O$10,I32)))*(IF(Upgrades!$T$6="Orbital Resonance",POWER(Upgrades!$U$6,E32),1)*IF(Upgrades!$T$7="Orbital Resonance",POWER(Upgrades!$U$7,F32),1)*IF(Upgrades!$T$8="Orbital Resonance",POWER(Upgrades!$U$8,G32),1)*IF(Upgrades!$T$9="Orbital Resonance",POWER(Upgrades!$U$9,H32),1)*IF(Upgrades!$T$11="Orbital Resonance",POWER(Upgrades!$U$11,J32),1)*IF(Upgrades!$T$12="Orbital Resonance",POWER(Upgrades!$U$12,K32),1))+(IF(J32=0,0,(Upgrades!$M$11+J32*Upgrades!$N$11)*POWER(Upgrades!$O$11,J32)))*(IF(Upgrades!$T$6="Heliopause",POWER(Upgrades!$U$6,E32),1)*IF(Upgrades!$T$7="Heliopause",POWER(Upgrades!$U$7,F32),1)*IF(Upgrades!$T$8="Heliopause",POWER(Upgrades!$U$8,G32),1)*IF(Upgrades!$T$9="Heliopause",POWER(Upgrades!$U$9,H32),1)*IF(Upgrades!$T$10="Heliopause",POWER(Upgrades!$U$10,I32),1)*IF(Upgrades!$T$12="Heliopause",POWER(Upgrades!$U$12,K32),1))+(IF(K32=0,0,(Upgrades!$M$12+K32*Upgrades!$N$12)*POWER(Upgrades!$O$12,K32)))*(IF(Upgrades!$T$6="First Photons",POWER(Upgrades!$U$6,E32),1)*IF(Upgrades!$T$7="First Photons",POWER(Upgrades!$U$7,F32),1)*IF(Upgrades!$T$8="First Photons",POWER(Upgrades!$U$8,G32),1)*IF(Upgrades!$T$9="First Photons",POWER(Upgrades!$U$9,H32),1)*IF(Upgrades!$T$10="First Photons",POWER(Upgrades!$U$10,I32),1)*IF(Upgrades!$T$11="First Photons",POWER(Upgrades!$U$11,J32),1)))*POWER(Upgrades!$R$6,E32)*POWER(Upgrades!$R$7,F32)*POWER(Upgrades!$R$8,G32)*POWER(Upgrades!$R$9,H32)*POWER(Upgrades!$R$10,I32)*POWER(Upgrades!$R$11,J32)*POWER(Upgrades!$R$12,K32)</f>
        <v/>
      </c>
      <c r="P32" s="27">
        <f>IF(L32=1,0,M32*Parameters!$B$10/60*Parameters!$B$11*10)</f>
        <v/>
      </c>
      <c r="Q32" s="27">
        <f>IF(L32=1,0,O32*M32*10)</f>
        <v/>
      </c>
      <c r="R32" s="27">
        <f>IF(L32=1,0,N32*10)</f>
        <v/>
      </c>
      <c r="S32" s="27">
        <f>P32+Q32+R32</f>
        <v/>
      </c>
      <c r="T32" s="22">
        <f>C32+S32</f>
        <v/>
      </c>
      <c r="U32" s="33">
        <f>AX32</f>
        <v/>
      </c>
      <c r="V32" s="22">
        <f>IF(U32="",0,IF(U32="transition",0,IF(U32="SW",AG32,IF(U32="AB",AH32,IF(U32="SC",AI32,IF(U32="Mag",AJ32,IF(U32="OR",AK32,IF(U32="HP",AL32,IF(U32="FP",AM32,0)))))))))</f>
        <v/>
      </c>
      <c r="W32" s="27">
        <f>IF(U32="OR",Upgrades!$F$10,IF(U32="HP",Upgrades!$F$11,IF(U32="transition",-Parameters!$B$18,0)))</f>
        <v/>
      </c>
      <c r="X32" s="22">
        <f>T32-V32</f>
        <v/>
      </c>
      <c r="Y32" s="30">
        <f>M32*Parameters!$B$10/60*Parameters!$B$11+O32*M32+N32</f>
        <v/>
      </c>
      <c r="Z32" s="34">
        <f>IF(U32="transition","→ Tier 2 (Stellar Neighborhood)",IF(U32="FP","First Photons — light begins, system quickens",IF(U32="HP","Heliopause acquired",IF(U32="OR","Orbital Resonance — passive multiplier active",IF(AND(AO32=1,L32=0,AN32&lt;&gt;1),"Cohesion ready (waiting on completionist upgrades)","")))))</f>
        <v/>
      </c>
      <c r="AA32" s="27">
        <f>(IF(E32=0,0,(Upgrades!$G$6+E32*Upgrades!$H$6)*POWER(Upgrades!$I$6,E32)))*(IF(Upgrades!$T$7="Solar Wind",POWER(Upgrades!$U$7,F32),1)*IF(Upgrades!$T$8="Solar Wind",POWER(Upgrades!$U$8,G32),1)*IF(Upgrades!$T$9="Solar Wind",POWER(Upgrades!$U$9,H32),1)*IF(Upgrades!$T$10="Solar Wind",POWER(Upgrades!$U$10,I32),1)*IF(Upgrades!$T$11="Solar Wind",POWER(Upgrades!$U$11,J32),1)*IF(Upgrades!$T$12="Solar Wind",POWER(Upgrades!$U$12,K32),1))*POWER(Upgrades!$P$6,E32)*POWER(Upgrades!$P$7,F32)*POWER(Upgrades!$P$8,G32)*POWER(Upgrades!$P$9,H32)*POWER(Upgrades!$P$10,I32)*POWER(Upgrades!$P$11,J32)*POWER(Upgrades!$P$12,K32)*60</f>
        <v/>
      </c>
      <c r="AB32" s="27">
        <f>(IF(F32=0,0,(Upgrades!$G$7+F32*Upgrades!$H$7)*POWER(Upgrades!$I$7,F32)))*(IF(Upgrades!$T$6="Asteroid Belt",POWER(Upgrades!$U$6,E32),1)*IF(Upgrades!$T$8="Asteroid Belt",POWER(Upgrades!$U$8,G32),1)*IF(Upgrades!$T$9="Asteroid Belt",POWER(Upgrades!$U$9,H32),1)*IF(Upgrades!$T$10="Asteroid Belt",POWER(Upgrades!$U$10,I32),1)*IF(Upgrades!$T$11="Asteroid Belt",POWER(Upgrades!$U$11,J32),1)*IF(Upgrades!$T$12="Asteroid Belt",POWER(Upgrades!$U$12,K32),1))*POWER(Upgrades!$P$6,E32)*POWER(Upgrades!$P$7,F32)*POWER(Upgrades!$P$8,G32)*POWER(Upgrades!$P$9,H32)*POWER(Upgrades!$P$10,I32)*POWER(Upgrades!$P$11,J32)*POWER(Upgrades!$P$12,K32)*60</f>
        <v/>
      </c>
      <c r="AC32" s="27">
        <f>(IF(G32=0,0,(Upgrades!$J$8+G32*Upgrades!$K$8)*POWER(Upgrades!$L$8,G32)))*(IF(Upgrades!$T$6="Stellar Coupling",POWER(Upgrades!$U$6,E32),1)*IF(Upgrades!$T$7="Stellar Coupling",POWER(Upgrades!$U$7,F32),1)*IF(Upgrades!$T$9="Stellar Coupling",POWER(Upgrades!$U$9,H32),1)*IF(Upgrades!$T$10="Stellar Coupling",POWER(Upgrades!$U$10,I32),1)*IF(Upgrades!$T$11="Stellar Coupling",POWER(Upgrades!$U$11,J32),1)*IF(Upgrades!$T$12="Stellar Coupling",POWER(Upgrades!$U$12,K32),1))*POWER(Upgrades!$Q$6,E32)*POWER(Upgrades!$Q$7,F32)*POWER(Upgrades!$Q$8,G32)*POWER(Upgrades!$Q$9,H32)*POWER(Upgrades!$Q$10,I32)*POWER(Upgrades!$Q$11,J32)*POWER(Upgrades!$Q$12,K32)*Parameters!$B$10*Parameters!$B$11</f>
        <v/>
      </c>
      <c r="AD32" s="27">
        <f>(IF(H32=0,0,(Upgrades!$G$9+H32*Upgrades!$H$9)*POWER(Upgrades!$I$9,H32)))*(IF(Upgrades!$T$6="Magnetosphere",POWER(Upgrades!$U$6,E32),1)*IF(Upgrades!$T$7="Magnetosphere",POWER(Upgrades!$U$7,F32),1)*IF(Upgrades!$T$8="Magnetosphere",POWER(Upgrades!$U$8,G32),1)*IF(Upgrades!$T$10="Magnetosphere",POWER(Upgrades!$U$10,I32),1)*IF(Upgrades!$T$11="Magnetosphere",POWER(Upgrades!$U$11,J32),1)*IF(Upgrades!$T$12="Magnetosphere",POWER(Upgrades!$U$12,K32),1))*POWER(Upgrades!$P$6,E32)*POWER(Upgrades!$P$7,F32)*POWER(Upgrades!$P$8,G32)*POWER(Upgrades!$P$9,H32)*POWER(Upgrades!$P$10,I32)*POWER(Upgrades!$P$11,J32)*POWER(Upgrades!$P$12,K32)*60</f>
        <v/>
      </c>
      <c r="AE32" s="27">
        <f>(IF(K32=0,0,(Upgrades!$G$12+K32*Upgrades!$H$12)*POWER(Upgrades!$I$12,K32)))*(IF(Upgrades!$T$6="First Photons",POWER(Upgrades!$U$6,E32),1)*IF(Upgrades!$T$7="First Photons",POWER(Upgrades!$U$7,F32),1)*IF(Upgrades!$T$8="First Photons",POWER(Upgrades!$U$8,G32),1)*IF(Upgrades!$T$9="First Photons",POWER(Upgrades!$U$9,H32),1)*IF(Upgrades!$T$10="First Photons",POWER(Upgrades!$U$10,I32),1)*IF(Upgrades!$T$11="First Photons",POWER(Upgrades!$U$11,J32),1))*POWER(Upgrades!$P$6,E32)*POWER(Upgrades!$P$7,F32)*POWER(Upgrades!$P$8,G32)*POWER(Upgrades!$P$9,H32)*POWER(Upgrades!$P$10,I32)*POWER(Upgrades!$P$11,J32)*POWER(Upgrades!$P$12,K32)*60</f>
        <v/>
      </c>
      <c r="AF32" s="27">
        <f>Parameters!$B$9*POWER(Upgrades!$Q$6,E32)*POWER(Upgrades!$Q$7,F32)*POWER(Upgrades!$Q$8,G32)*POWER(Upgrades!$Q$9,H32)*POWER(Upgrades!$Q$10,I32)*POWER(Upgrades!$Q$11,J32)*POWER(Upgrades!$Q$12,K32)*(Parameters!$B$10*Parameters!$B$11+O32*60)</f>
        <v/>
      </c>
      <c r="AG32" s="22">
        <f>IF(E32&gt;=Upgrades!$E$6,"",Upgrades!$C$6*POWER(Upgrades!$D$6,E32))</f>
        <v/>
      </c>
      <c r="AH32" s="22">
        <f>IF(F32&gt;=Upgrades!$E$7,"",Upgrades!$C$7*POWER(Upgrades!$D$7,F32))</f>
        <v/>
      </c>
      <c r="AI32" s="22">
        <f>IF(G32&gt;=Upgrades!$E$8,"",Upgrades!$C$8*POWER(Upgrades!$D$8,G32))</f>
        <v/>
      </c>
      <c r="AJ32" s="22">
        <f>IF(H32&gt;=Upgrades!$E$9,"",Upgrades!$C$9*POWER(Upgrades!$D$9,H32))</f>
        <v/>
      </c>
      <c r="AK32" s="22">
        <f>IF(I32&gt;=Upgrades!$E$10,"",Upgrades!$C$10*POWER(Upgrades!$D$10,I32))</f>
        <v/>
      </c>
      <c r="AL32" s="22">
        <f>IF(J32&gt;=Upgrades!$E$11,"",Upgrades!$C$11*POWER(Upgrades!$D$11,J32))</f>
        <v/>
      </c>
      <c r="AM32" s="22">
        <f>IF(K32&gt;=Upgrades!$E$12,"",Upgrades!$C$12*POWER(Upgrades!$D$12,K32))</f>
        <v/>
      </c>
      <c r="AN32" s="26">
        <f>IF(AND(D32&gt;=Parameters!$B$18,(H32&gt;=Upgrades!$E$9)*(K32&gt;=Upgrades!$E$12)=1,L32=0),1,"")</f>
        <v/>
      </c>
      <c r="AO32" s="26">
        <f>IF(AND(D32&gt;=Parameters!$B$18,L32=0),1,"")</f>
        <v/>
      </c>
      <c r="AP32" s="22">
        <f>MIN(IF(ISNUMBER(AK32),AK32,9E15),IF(ISNUMBER(AL32),AL32,9E15),IF(ISNUMBER(AM32),AM32,9E15))</f>
        <v/>
      </c>
      <c r="AQ32" s="22">
        <f>MIN(IF(ISNUMBER(AG32),AG32,9E15),IF(ISNUMBER(AH32),AH32,9E15),IF(ISNUMBER(AI32),AI32,9E15),IF(ISNUMBER(AJ32),AJ32,9E15))</f>
        <v/>
      </c>
      <c r="AR32" s="29">
        <f>IF(AW32&gt;Parameters!$B$21*(MAX(IF(AND(NOT(AND(AO32=1,AN32&lt;&gt;1)),ISNUMBER(AG32),AG32&lt;=T32),AS32,0),IF(AND(NOT(AND(AO32=1,AN32&lt;&gt;1)),ISNUMBER(AH32),AH32&lt;=T32),AT32,0),IF(AND(NOT(AND(AO32=1,AN32&lt;&gt;1)),ISNUMBER(AI32),AI32&lt;=T32),AU32,0),IF(AND(ISNUMBER(AJ32),AJ32&lt;=T32),AV32,0))),TRUE,FALSE)</f>
        <v/>
      </c>
      <c r="AS32" s="32">
        <f>IFERROR(Upgrades!$H$6*(POWER(Upgrades!$P$6,E32)*POWER(Upgrades!$P$7,F32)*POWER(Upgrades!$P$8,G32)*POWER(Upgrades!$P$9,H32)*POWER(Upgrades!$P$10,I32)*POWER(Upgrades!$P$11,J32)*POWER(Upgrades!$P$12,K32))*(IF(Upgrades!$T$7="Solar Wind",POWER(Upgrades!$U$7,F32),1)*IF(Upgrades!$T$8="Solar Wind",POWER(Upgrades!$U$8,G32),1)*IF(Upgrades!$T$9="Solar Wind",POWER(Upgrades!$U$9,H32),1)*IF(Upgrades!$T$10="Solar Wind",POWER(Upgrades!$U$10,I32),1)*IF(Upgrades!$T$11="Solar Wind",POWER(Upgrades!$U$11,J32),1)*IF(Upgrades!$T$12="Solar Wind",POWER(Upgrades!$U$12,K32),1))/AG32,0)</f>
        <v/>
      </c>
      <c r="AT32" s="32">
        <f>IFERROR(Upgrades!$H$7*(POWER(Upgrades!$P$6,E32)*POWER(Upgrades!$P$7,F32)*POWER(Upgrades!$P$8,G32)*POWER(Upgrades!$P$9,H32)*POWER(Upgrades!$P$10,I32)*POWER(Upgrades!$P$11,J32)*POWER(Upgrades!$P$12,K32))*(IF(Upgrades!$T$6="Asteroid Belt",POWER(Upgrades!$U$6,E32),1)*IF(Upgrades!$T$8="Asteroid Belt",POWER(Upgrades!$U$8,G32),1)*IF(Upgrades!$T$9="Asteroid Belt",POWER(Upgrades!$U$9,H32),1)*IF(Upgrades!$T$10="Asteroid Belt",POWER(Upgrades!$U$10,I32),1)*IF(Upgrades!$T$11="Asteroid Belt",POWER(Upgrades!$U$11,J32),1)*IF(Upgrades!$T$12="Asteroid Belt",POWER(Upgrades!$U$12,K32),1))/AH32,0)</f>
        <v/>
      </c>
      <c r="AU32" s="32">
        <f>IFERROR(Upgrades!$K$8*(POWER(Upgrades!$Q$6,E32)*POWER(Upgrades!$Q$7,F32)*POWER(Upgrades!$Q$8,G32)*POWER(Upgrades!$Q$9,H32)*POWER(Upgrades!$Q$10,I32)*POWER(Upgrades!$Q$11,J32)*POWER(Upgrades!$Q$12,K32))*(IF(Upgrades!$T$6="Stellar Coupling",POWER(Upgrades!$U$6,E32),1)*IF(Upgrades!$T$7="Stellar Coupling",POWER(Upgrades!$U$7,F32),1)*IF(Upgrades!$T$9="Stellar Coupling",POWER(Upgrades!$U$9,H32),1)*IF(Upgrades!$T$10="Stellar Coupling",POWER(Upgrades!$U$10,I32),1)*IF(Upgrades!$T$11="Stellar Coupling",POWER(Upgrades!$U$11,J32),1)*IF(Upgrades!$T$12="Stellar Coupling",POWER(Upgrades!$U$12,K32),1))*Parameters!$B$10*Parameters!$B$11/60/AI32,0)</f>
        <v/>
      </c>
      <c r="AV32" s="32">
        <f>IFERROR(Upgrades!$H$9*(POWER(Upgrades!$P$6,E32)*POWER(Upgrades!$P$7,F32)*POWER(Upgrades!$P$8,G32)*POWER(Upgrades!$P$9,H32)*POWER(Upgrades!$P$10,I32)*POWER(Upgrades!$P$11,J32)*POWER(Upgrades!$P$12,K32))*(IF(Upgrades!$T$6="Magnetosphere",POWER(Upgrades!$U$6,E32),1)*IF(Upgrades!$T$7="Magnetosphere",POWER(Upgrades!$U$7,F32),1)*IF(Upgrades!$T$8="Magnetosphere",POWER(Upgrades!$U$8,G32),1)*IF(Upgrades!$T$10="Magnetosphere",POWER(Upgrades!$U$10,I32),1)*IF(Upgrades!$T$11="Magnetosphere",POWER(Upgrades!$U$11,J32),1)*IF(Upgrades!$T$12="Magnetosphere",POWER(Upgrades!$U$12,K32),1))/AJ32,0)</f>
        <v/>
      </c>
      <c r="AW32" s="32">
        <f>MAX(IF(I32&gt;0,0,IFERROR(0.25*N32/Upgrades!$C$10,0)),IF(J32&gt;0,0,IFERROR(0.5*((IF(G32=0,0,(Upgrades!$J$8+G32*Upgrades!$K$8)*POWER(Upgrades!$L$8,G32)))*(IF(Upgrades!$T$6="Stellar Coupling",POWER(Upgrades!$U$6,E32),1)*IF(Upgrades!$T$7="Stellar Coupling",POWER(Upgrades!$U$7,F32),1)*IF(Upgrades!$T$9="Stellar Coupling",POWER(Upgrades!$U$9,H32),1)*IF(Upgrades!$T$10="Stellar Coupling",POWER(Upgrades!$U$10,I32),1)*IF(Upgrades!$T$11="Stellar Coupling",POWER(Upgrades!$U$11,J32),1)*IF(Upgrades!$T$12="Stellar Coupling",POWER(Upgrades!$U$12,K32),1))*(POWER(Upgrades!$Q$6,E32)*POWER(Upgrades!$Q$7,F32)*POWER(Upgrades!$Q$8,G32)*POWER(Upgrades!$Q$9,H32)*POWER(Upgrades!$Q$10,I32)*POWER(Upgrades!$Q$11,J32)*POWER(Upgrades!$Q$12,K32))*Parameters!$B$10*Parameters!$B$11/60)/Upgrades!$C$11,0)),IF(K32&gt;0,0,IFERROR((1.0*(POWER(Upgrades!$P$6,E32)*POWER(Upgrades!$P$7,F32)*POWER(Upgrades!$P$8,G32)*POWER(Upgrades!$P$9,H32)*POWER(Upgrades!$P$10,I32)*POWER(Upgrades!$P$11,J32)*POWER(Upgrades!$P$12,K32))+0.20*M32*Parameters!$B$10*Parameters!$B$11/60)/Upgrades!$C$12,0)),IF(AND(ISNUMBER(AG32),AG32&gt;T32),AS32,0),IF(AND(ISNUMBER(AH32),AH32&gt;T32),AT32,0),IF(AND(ISNUMBER(AI32),AI32&gt;T32),AU32,0),IF(AND(ISNUMBER(AJ32),AJ32&gt;T32),AV32,0))</f>
        <v/>
      </c>
      <c r="AX32" s="29">
        <f>IF(AN32=1,"transition",IF(MIN(IF(AND(I32=0,ISNUMBER(AK32),AK32&lt;=T32),AK32,9E15),IF(AND(J32=0,ISNUMBER(AL32),AL32&lt;=T32),AL32,9E15),IF(AND(K32=0,ISNUMBER(AM32),AM32&lt;=T32),AM32,9E15))&lt;9E15,IF(AND(AND(I32=0,ISNUMBER(AK32),AK32&lt;=T32),AK32=MIN(IF(AND(I32=0,ISNUMBER(AK32),AK32&lt;=T32),AK32,9E15),IF(AND(J32=0,ISNUMBER(AL32),AL32&lt;=T32),AL32,9E15),IF(AND(K32=0,ISNUMBER(AM32),AM32&lt;=T32),AM32,9E15))),"OR",IF(AND(AND(J32=0,ISNUMBER(AL32),AL32&lt;=T32),AL32=MIN(IF(AND(I32=0,ISNUMBER(AK32),AK32&lt;=T32),AK32,9E15),IF(AND(J32=0,ISNUMBER(AL32),AL32&lt;=T32),AL32,9E15),IF(AND(K32=0,ISNUMBER(AM32),AM32&lt;=T32),AM32,9E15))),"HP","FP")),IF(AR32=TRUE,"",IF(MAX(IF(AND(NOT(AND(AO32=1,AN32&lt;&gt;1)),ISNUMBER(AG32),AG32&lt;=T32),AS32,0),IF(AND(NOT(AND(AO32=1,AN32&lt;&gt;1)),ISNUMBER(AH32),AH32&lt;=T32),AT32,0),IF(AND(NOT(AND(AO32=1,AN32&lt;&gt;1)),ISNUMBER(AI32),AI32&lt;=T32),AU32,0),IF(AND(ISNUMBER(AJ32),AJ32&lt;=T32),AV32,0))&lt;=0,"",IF(AND(IF(AND(NOT(AND(AO32=1,AN32&lt;&gt;1)),ISNUMBER(AG32),AG32&lt;=T32),AS32,0)&gt;0,IF(AND(NOT(AND(AO32=1,AN32&lt;&gt;1)),ISNUMBER(AG32),AG32&lt;=T32),AS32,0)=MAX(IF(AND(NOT(AND(AO32=1,AN32&lt;&gt;1)),ISNUMBER(AG32),AG32&lt;=T32),AS32,0),IF(AND(NOT(AND(AO32=1,AN32&lt;&gt;1)),ISNUMBER(AH32),AH32&lt;=T32),AT32,0),IF(AND(NOT(AND(AO32=1,AN32&lt;&gt;1)),ISNUMBER(AI32),AI32&lt;=T32),AU32,0),IF(AND(ISNUMBER(AJ32),AJ32&lt;=T32),AV32,0))),"SW",IF(AND(IF(AND(NOT(AND(AO32=1,AN32&lt;&gt;1)),ISNUMBER(AH32),AH32&lt;=T32),AT32,0)&gt;0,IF(AND(NOT(AND(AO32=1,AN32&lt;&gt;1)),ISNUMBER(AH32),AH32&lt;=T32),AT32,0)=MAX(IF(AND(NOT(AND(AO32=1,AN32&lt;&gt;1)),ISNUMBER(AG32),AG32&lt;=T32),AS32,0),IF(AND(NOT(AND(AO32=1,AN32&lt;&gt;1)),ISNUMBER(AH32),AH32&lt;=T32),AT32,0),IF(AND(NOT(AND(AO32=1,AN32&lt;&gt;1)),ISNUMBER(AI32),AI32&lt;=T32),AU32,0),IF(AND(ISNUMBER(AJ32),AJ32&lt;=T32),AV32,0))),"AB",IF(AND(IF(AND(NOT(AND(AO32=1,AN32&lt;&gt;1)),ISNUMBER(AI32),AI32&lt;=T32),AU32,0)&gt;0,IF(AND(NOT(AND(AO32=1,AN32&lt;&gt;1)),ISNUMBER(AI32),AI32&lt;=T32),AU32,0)=MAX(IF(AND(NOT(AND(AO32=1,AN32&lt;&gt;1)),ISNUMBER(AG32),AG32&lt;=T32),AS32,0),IF(AND(NOT(AND(AO32=1,AN32&lt;&gt;1)),ISNUMBER(AH32),AH32&lt;=T32),AT32,0),IF(AND(NOT(AND(AO32=1,AN32&lt;&gt;1)),ISNUMBER(AI32),AI32&lt;=T32),AU32,0),IF(AND(ISNUMBER(AJ32),AJ32&lt;=T32),AV32,0))),"SC","Mag")))))))</f>
        <v/>
      </c>
    </row>
    <row r="33">
      <c r="A33" s="26" t="n">
        <v>28</v>
      </c>
      <c r="B33" s="27">
        <f>A33*10/60</f>
        <v/>
      </c>
      <c r="C33" s="22">
        <f>X32</f>
        <v/>
      </c>
      <c r="D33" s="27">
        <f>D32+W32</f>
        <v/>
      </c>
      <c r="E33" s="26">
        <f>E32+IF(U32="SW",1,0)</f>
        <v/>
      </c>
      <c r="F33" s="26">
        <f>F32+IF(U32="AB",1,0)</f>
        <v/>
      </c>
      <c r="G33" s="26">
        <f>G32+IF(U32="SC",1,0)</f>
        <v/>
      </c>
      <c r="H33" s="26">
        <f>H32+IF(U32="Mag",1,0)</f>
        <v/>
      </c>
      <c r="I33" s="26">
        <f>MAX(I32,IF(U32="OR",1,0))</f>
        <v/>
      </c>
      <c r="J33" s="26">
        <f>MAX(J32,IF(U32="HP",1,0))</f>
        <v/>
      </c>
      <c r="K33" s="26">
        <f>MAX(K32,IF(U32="FP",1,0))</f>
        <v/>
      </c>
      <c r="L33" s="26">
        <f>MAX(L32,IF(U32="transition",1,0))</f>
        <v/>
      </c>
      <c r="M33" s="28">
        <f>(Parameters!$B$9+(IF(E33=0,0,(Upgrades!$J$6+E33*Upgrades!$K$6)*POWER(Upgrades!$L$6,E33)))*(IF(Upgrades!$T$7="Solar Wind",POWER(Upgrades!$U$7,F33),1)*IF(Upgrades!$T$8="Solar Wind",POWER(Upgrades!$U$8,G33),1)*IF(Upgrades!$T$9="Solar Wind",POWER(Upgrades!$U$9,H33),1)*IF(Upgrades!$T$10="Solar Wind",POWER(Upgrades!$U$10,I33),1)*IF(Upgrades!$T$11="Solar Wind",POWER(Upgrades!$U$11,J33),1)*IF(Upgrades!$T$12="Solar Wind",POWER(Upgrades!$U$12,K33),1))+(IF(F33=0,0,(Upgrades!$J$7+F33*Upgrades!$K$7)*POWER(Upgrades!$L$7,F33)))*(IF(Upgrades!$T$6="Asteroid Belt",POWER(Upgrades!$U$6,E33),1)*IF(Upgrades!$T$8="Asteroid Belt",POWER(Upgrades!$U$8,G33),1)*IF(Upgrades!$T$9="Asteroid Belt",POWER(Upgrades!$U$9,H33),1)*IF(Upgrades!$T$10="Asteroid Belt",POWER(Upgrades!$U$10,I33),1)*IF(Upgrades!$T$11="Asteroid Belt",POWER(Upgrades!$U$11,J33),1)*IF(Upgrades!$T$12="Asteroid Belt",POWER(Upgrades!$U$12,K33),1))+(IF(G33=0,0,(Upgrades!$J$8+G33*Upgrades!$K$8)*POWER(Upgrades!$L$8,G33)))*(IF(Upgrades!$T$6="Stellar Coupling",POWER(Upgrades!$U$6,E33),1)*IF(Upgrades!$T$7="Stellar Coupling",POWER(Upgrades!$U$7,F33),1)*IF(Upgrades!$T$9="Stellar Coupling",POWER(Upgrades!$U$9,H33),1)*IF(Upgrades!$T$10="Stellar Coupling",POWER(Upgrades!$U$10,I33),1)*IF(Upgrades!$T$11="Stellar Coupling",POWER(Upgrades!$U$11,J33),1)*IF(Upgrades!$T$12="Stellar Coupling",POWER(Upgrades!$U$12,K33),1))+(IF(H33=0,0,(Upgrades!$J$9+H33*Upgrades!$K$9)*POWER(Upgrades!$L$9,H33)))*(IF(Upgrades!$T$6="Magnetosphere",POWER(Upgrades!$U$6,E33),1)*IF(Upgrades!$T$7="Magnetosphere",POWER(Upgrades!$U$7,F33),1)*IF(Upgrades!$T$8="Magnetosphere",POWER(Upgrades!$U$8,G33),1)*IF(Upgrades!$T$10="Magnetosphere",POWER(Upgrades!$U$10,I33),1)*IF(Upgrades!$T$11="Magnetosphere",POWER(Upgrades!$U$11,J33),1)*IF(Upgrades!$T$12="Magnetosphere",POWER(Upgrades!$U$12,K33),1))+(IF(I33=0,0,(Upgrades!$J$10+I33*Upgrades!$K$10)*POWER(Upgrades!$L$10,I33)))*(IF(Upgrades!$T$6="Orbital Resonance",POWER(Upgrades!$U$6,E33),1)*IF(Upgrades!$T$7="Orbital Resonance",POWER(Upgrades!$U$7,F33),1)*IF(Upgrades!$T$8="Orbital Resonance",POWER(Upgrades!$U$8,G33),1)*IF(Upgrades!$T$9="Orbital Resonance",POWER(Upgrades!$U$9,H33),1)*IF(Upgrades!$T$11="Orbital Resonance",POWER(Upgrades!$U$11,J33),1)*IF(Upgrades!$T$12="Orbital Resonance",POWER(Upgrades!$U$12,K33),1))+(IF(J33=0,0,(Upgrades!$J$11+J33*Upgrades!$K$11)*POWER(Upgrades!$L$11,J33)))*(IF(Upgrades!$T$6="Heliopause",POWER(Upgrades!$U$6,E33),1)*IF(Upgrades!$T$7="Heliopause",POWER(Upgrades!$U$7,F33),1)*IF(Upgrades!$T$8="Heliopause",POWER(Upgrades!$U$8,G33),1)*IF(Upgrades!$T$9="Heliopause",POWER(Upgrades!$U$9,H33),1)*IF(Upgrades!$T$10="Heliopause",POWER(Upgrades!$U$10,I33),1)*IF(Upgrades!$T$12="Heliopause",POWER(Upgrades!$U$12,K33),1))+(IF(K33=0,0,(Upgrades!$J$12+K33*Upgrades!$K$12)*POWER(Upgrades!$L$12,K33)))*(IF(Upgrades!$T$6="First Photons",POWER(Upgrades!$U$6,E33),1)*IF(Upgrades!$T$7="First Photons",POWER(Upgrades!$U$7,F33),1)*IF(Upgrades!$T$8="First Photons",POWER(Upgrades!$U$8,G33),1)*IF(Upgrades!$T$9="First Photons",POWER(Upgrades!$U$9,H33),1)*IF(Upgrades!$T$10="First Photons",POWER(Upgrades!$U$10,I33),1)*IF(Upgrades!$T$11="First Photons",POWER(Upgrades!$U$11,J33),1)))*POWER(Upgrades!$Q$6,E33)*POWER(Upgrades!$Q$7,F33)*POWER(Upgrades!$Q$8,G33)*POWER(Upgrades!$Q$9,H33)*POWER(Upgrades!$Q$10,I33)*POWER(Upgrades!$Q$11,J33)*POWER(Upgrades!$Q$12,K33)</f>
        <v/>
      </c>
      <c r="N33" s="28">
        <f>((IF(E33=0,0,(Upgrades!$G$6+E33*Upgrades!$H$6)*POWER(Upgrades!$I$6,E33)))*(IF(Upgrades!$T$7="Solar Wind",POWER(Upgrades!$U$7,F33),1)*IF(Upgrades!$T$8="Solar Wind",POWER(Upgrades!$U$8,G33),1)*IF(Upgrades!$T$9="Solar Wind",POWER(Upgrades!$U$9,H33),1)*IF(Upgrades!$T$10="Solar Wind",POWER(Upgrades!$U$10,I33),1)*IF(Upgrades!$T$11="Solar Wind",POWER(Upgrades!$U$11,J33),1)*IF(Upgrades!$T$12="Solar Wind",POWER(Upgrades!$U$12,K33),1))+(IF(F33=0,0,(Upgrades!$G$7+F33*Upgrades!$H$7)*POWER(Upgrades!$I$7,F33)))*(IF(Upgrades!$T$6="Asteroid Belt",POWER(Upgrades!$U$6,E33),1)*IF(Upgrades!$T$8="Asteroid Belt",POWER(Upgrades!$U$8,G33),1)*IF(Upgrades!$T$9="Asteroid Belt",POWER(Upgrades!$U$9,H33),1)*IF(Upgrades!$T$10="Asteroid Belt",POWER(Upgrades!$U$10,I33),1)*IF(Upgrades!$T$11="Asteroid Belt",POWER(Upgrades!$U$11,J33),1)*IF(Upgrades!$T$12="Asteroid Belt",POWER(Upgrades!$U$12,K33),1))+(IF(G33=0,0,(Upgrades!$G$8+G33*Upgrades!$H$8)*POWER(Upgrades!$I$8,G33)))*(IF(Upgrades!$T$6="Stellar Coupling",POWER(Upgrades!$U$6,E33),1)*IF(Upgrades!$T$7="Stellar Coupling",POWER(Upgrades!$U$7,F33),1)*IF(Upgrades!$T$9="Stellar Coupling",POWER(Upgrades!$U$9,H33),1)*IF(Upgrades!$T$10="Stellar Coupling",POWER(Upgrades!$U$10,I33),1)*IF(Upgrades!$T$11="Stellar Coupling",POWER(Upgrades!$U$11,J33),1)*IF(Upgrades!$T$12="Stellar Coupling",POWER(Upgrades!$U$12,K33),1))+(IF(H33=0,0,(Upgrades!$G$9+H33*Upgrades!$H$9)*POWER(Upgrades!$I$9,H33)))*(IF(Upgrades!$T$6="Magnetosphere",POWER(Upgrades!$U$6,E33),1)*IF(Upgrades!$T$7="Magnetosphere",POWER(Upgrades!$U$7,F33),1)*IF(Upgrades!$T$8="Magnetosphere",POWER(Upgrades!$U$8,G33),1)*IF(Upgrades!$T$10="Magnetosphere",POWER(Upgrades!$U$10,I33),1)*IF(Upgrades!$T$11="Magnetosphere",POWER(Upgrades!$U$11,J33),1)*IF(Upgrades!$T$12="Magnetosphere",POWER(Upgrades!$U$12,K33),1))+(IF(I33=0,0,(Upgrades!$G$10+I33*Upgrades!$H$10)*POWER(Upgrades!$I$10,I33)))*(IF(Upgrades!$T$6="Orbital Resonance",POWER(Upgrades!$U$6,E33),1)*IF(Upgrades!$T$7="Orbital Resonance",POWER(Upgrades!$U$7,F33),1)*IF(Upgrades!$T$8="Orbital Resonance",POWER(Upgrades!$U$8,G33),1)*IF(Upgrades!$T$9="Orbital Resonance",POWER(Upgrades!$U$9,H33),1)*IF(Upgrades!$T$11="Orbital Resonance",POWER(Upgrades!$U$11,J33),1)*IF(Upgrades!$T$12="Orbital Resonance",POWER(Upgrades!$U$12,K33),1))+(IF(J33=0,0,(Upgrades!$G$11+J33*Upgrades!$H$11)*POWER(Upgrades!$I$11,J33)))*(IF(Upgrades!$T$6="Heliopause",POWER(Upgrades!$U$6,E33),1)*IF(Upgrades!$T$7="Heliopause",POWER(Upgrades!$U$7,F33),1)*IF(Upgrades!$T$8="Heliopause",POWER(Upgrades!$U$8,G33),1)*IF(Upgrades!$T$9="Heliopause",POWER(Upgrades!$U$9,H33),1)*IF(Upgrades!$T$10="Heliopause",POWER(Upgrades!$U$10,I33),1)*IF(Upgrades!$T$12="Heliopause",POWER(Upgrades!$U$12,K33),1))+(IF(K33=0,0,(Upgrades!$G$12+K33*Upgrades!$H$12)*POWER(Upgrades!$I$12,K33)))*(IF(Upgrades!$T$6="First Photons",POWER(Upgrades!$U$6,E33),1)*IF(Upgrades!$T$7="First Photons",POWER(Upgrades!$U$7,F33),1)*IF(Upgrades!$T$8="First Photons",POWER(Upgrades!$U$8,G33),1)*IF(Upgrades!$T$9="First Photons",POWER(Upgrades!$U$9,H33),1)*IF(Upgrades!$T$10="First Photons",POWER(Upgrades!$U$10,I33),1)*IF(Upgrades!$T$11="First Photons",POWER(Upgrades!$U$11,J33),1)))*POWER(Upgrades!$P$6,E33)*POWER(Upgrades!$P$7,F33)*POWER(Upgrades!$P$8,G33)*POWER(Upgrades!$P$9,H33)*POWER(Upgrades!$P$10,I33)*POWER(Upgrades!$P$11,J33)*POWER(Upgrades!$P$12,K33)</f>
        <v/>
      </c>
      <c r="O33" s="28">
        <f>((IF(E33=0,0,(Upgrades!$M$6+E33*Upgrades!$N$6)*POWER(Upgrades!$O$6,E33)))*(IF(Upgrades!$T$7="Solar Wind",POWER(Upgrades!$U$7,F33),1)*IF(Upgrades!$T$8="Solar Wind",POWER(Upgrades!$U$8,G33),1)*IF(Upgrades!$T$9="Solar Wind",POWER(Upgrades!$U$9,H33),1)*IF(Upgrades!$T$10="Solar Wind",POWER(Upgrades!$U$10,I33),1)*IF(Upgrades!$T$11="Solar Wind",POWER(Upgrades!$U$11,J33),1)*IF(Upgrades!$T$12="Solar Wind",POWER(Upgrades!$U$12,K33),1))+(IF(F33=0,0,(Upgrades!$M$7+F33*Upgrades!$N$7)*POWER(Upgrades!$O$7,F33)))*(IF(Upgrades!$T$6="Asteroid Belt",POWER(Upgrades!$U$6,E33),1)*IF(Upgrades!$T$8="Asteroid Belt",POWER(Upgrades!$U$8,G33),1)*IF(Upgrades!$T$9="Asteroid Belt",POWER(Upgrades!$U$9,H33),1)*IF(Upgrades!$T$10="Asteroid Belt",POWER(Upgrades!$U$10,I33),1)*IF(Upgrades!$T$11="Asteroid Belt",POWER(Upgrades!$U$11,J33),1)*IF(Upgrades!$T$12="Asteroid Belt",POWER(Upgrades!$U$12,K33),1))+(IF(G33=0,0,(Upgrades!$M$8+G33*Upgrades!$N$8)*POWER(Upgrades!$O$8,G33)))*(IF(Upgrades!$T$6="Stellar Coupling",POWER(Upgrades!$U$6,E33),1)*IF(Upgrades!$T$7="Stellar Coupling",POWER(Upgrades!$U$7,F33),1)*IF(Upgrades!$T$9="Stellar Coupling",POWER(Upgrades!$U$9,H33),1)*IF(Upgrades!$T$10="Stellar Coupling",POWER(Upgrades!$U$10,I33),1)*IF(Upgrades!$T$11="Stellar Coupling",POWER(Upgrades!$U$11,J33),1)*IF(Upgrades!$T$12="Stellar Coupling",POWER(Upgrades!$U$12,K33),1))+(IF(H33=0,0,(Upgrades!$M$9+H33*Upgrades!$N$9)*POWER(Upgrades!$O$9,H33)))*(IF(Upgrades!$T$6="Magnetosphere",POWER(Upgrades!$U$6,E33),1)*IF(Upgrades!$T$7="Magnetosphere",POWER(Upgrades!$U$7,F33),1)*IF(Upgrades!$T$8="Magnetosphere",POWER(Upgrades!$U$8,G33),1)*IF(Upgrades!$T$10="Magnetosphere",POWER(Upgrades!$U$10,I33),1)*IF(Upgrades!$T$11="Magnetosphere",POWER(Upgrades!$U$11,J33),1)*IF(Upgrades!$T$12="Magnetosphere",POWER(Upgrades!$U$12,K33),1))+(IF(I33=0,0,(Upgrades!$M$10+I33*Upgrades!$N$10)*POWER(Upgrades!$O$10,I33)))*(IF(Upgrades!$T$6="Orbital Resonance",POWER(Upgrades!$U$6,E33),1)*IF(Upgrades!$T$7="Orbital Resonance",POWER(Upgrades!$U$7,F33),1)*IF(Upgrades!$T$8="Orbital Resonance",POWER(Upgrades!$U$8,G33),1)*IF(Upgrades!$T$9="Orbital Resonance",POWER(Upgrades!$U$9,H33),1)*IF(Upgrades!$T$11="Orbital Resonance",POWER(Upgrades!$U$11,J33),1)*IF(Upgrades!$T$12="Orbital Resonance",POWER(Upgrades!$U$12,K33),1))+(IF(J33=0,0,(Upgrades!$M$11+J33*Upgrades!$N$11)*POWER(Upgrades!$O$11,J33)))*(IF(Upgrades!$T$6="Heliopause",POWER(Upgrades!$U$6,E33),1)*IF(Upgrades!$T$7="Heliopause",POWER(Upgrades!$U$7,F33),1)*IF(Upgrades!$T$8="Heliopause",POWER(Upgrades!$U$8,G33),1)*IF(Upgrades!$T$9="Heliopause",POWER(Upgrades!$U$9,H33),1)*IF(Upgrades!$T$10="Heliopause",POWER(Upgrades!$U$10,I33),1)*IF(Upgrades!$T$12="Heliopause",POWER(Upgrades!$U$12,K33),1))+(IF(K33=0,0,(Upgrades!$M$12+K33*Upgrades!$N$12)*POWER(Upgrades!$O$12,K33)))*(IF(Upgrades!$T$6="First Photons",POWER(Upgrades!$U$6,E33),1)*IF(Upgrades!$T$7="First Photons",POWER(Upgrades!$U$7,F33),1)*IF(Upgrades!$T$8="First Photons",POWER(Upgrades!$U$8,G33),1)*IF(Upgrades!$T$9="First Photons",POWER(Upgrades!$U$9,H33),1)*IF(Upgrades!$T$10="First Photons",POWER(Upgrades!$U$10,I33),1)*IF(Upgrades!$T$11="First Photons",POWER(Upgrades!$U$11,J33),1)))*POWER(Upgrades!$R$6,E33)*POWER(Upgrades!$R$7,F33)*POWER(Upgrades!$R$8,G33)*POWER(Upgrades!$R$9,H33)*POWER(Upgrades!$R$10,I33)*POWER(Upgrades!$R$11,J33)*POWER(Upgrades!$R$12,K33)</f>
        <v/>
      </c>
      <c r="P33" s="27">
        <f>IF(L33=1,0,M33*Parameters!$B$10/60*Parameters!$B$11*10)</f>
        <v/>
      </c>
      <c r="Q33" s="27">
        <f>IF(L33=1,0,O33*M33*10)</f>
        <v/>
      </c>
      <c r="R33" s="27">
        <f>IF(L33=1,0,N33*10)</f>
        <v/>
      </c>
      <c r="S33" s="27">
        <f>P33+Q33+R33</f>
        <v/>
      </c>
      <c r="T33" s="22">
        <f>C33+S33</f>
        <v/>
      </c>
      <c r="U33" s="33">
        <f>AX33</f>
        <v/>
      </c>
      <c r="V33" s="22">
        <f>IF(U33="",0,IF(U33="transition",0,IF(U33="SW",AG33,IF(U33="AB",AH33,IF(U33="SC",AI33,IF(U33="Mag",AJ33,IF(U33="OR",AK33,IF(U33="HP",AL33,IF(U33="FP",AM33,0)))))))))</f>
        <v/>
      </c>
      <c r="W33" s="27">
        <f>IF(U33="OR",Upgrades!$F$10,IF(U33="HP",Upgrades!$F$11,IF(U33="transition",-Parameters!$B$18,0)))</f>
        <v/>
      </c>
      <c r="X33" s="22">
        <f>T33-V33</f>
        <v/>
      </c>
      <c r="Y33" s="30">
        <f>M33*Parameters!$B$10/60*Parameters!$B$11+O33*M33+N33</f>
        <v/>
      </c>
      <c r="Z33" s="34">
        <f>IF(U33="transition","→ Tier 2 (Stellar Neighborhood)",IF(U33="FP","First Photons — light begins, system quickens",IF(U33="HP","Heliopause acquired",IF(U33="OR","Orbital Resonance — passive multiplier active",IF(AND(AO33=1,L33=0,AN33&lt;&gt;1),"Cohesion ready (waiting on completionist upgrades)","")))))</f>
        <v/>
      </c>
      <c r="AA33" s="27">
        <f>(IF(E33=0,0,(Upgrades!$G$6+E33*Upgrades!$H$6)*POWER(Upgrades!$I$6,E33)))*(IF(Upgrades!$T$7="Solar Wind",POWER(Upgrades!$U$7,F33),1)*IF(Upgrades!$T$8="Solar Wind",POWER(Upgrades!$U$8,G33),1)*IF(Upgrades!$T$9="Solar Wind",POWER(Upgrades!$U$9,H33),1)*IF(Upgrades!$T$10="Solar Wind",POWER(Upgrades!$U$10,I33),1)*IF(Upgrades!$T$11="Solar Wind",POWER(Upgrades!$U$11,J33),1)*IF(Upgrades!$T$12="Solar Wind",POWER(Upgrades!$U$12,K33),1))*POWER(Upgrades!$P$6,E33)*POWER(Upgrades!$P$7,F33)*POWER(Upgrades!$P$8,G33)*POWER(Upgrades!$P$9,H33)*POWER(Upgrades!$P$10,I33)*POWER(Upgrades!$P$11,J33)*POWER(Upgrades!$P$12,K33)*60</f>
        <v/>
      </c>
      <c r="AB33" s="27">
        <f>(IF(F33=0,0,(Upgrades!$G$7+F33*Upgrades!$H$7)*POWER(Upgrades!$I$7,F33)))*(IF(Upgrades!$T$6="Asteroid Belt",POWER(Upgrades!$U$6,E33),1)*IF(Upgrades!$T$8="Asteroid Belt",POWER(Upgrades!$U$8,G33),1)*IF(Upgrades!$T$9="Asteroid Belt",POWER(Upgrades!$U$9,H33),1)*IF(Upgrades!$T$10="Asteroid Belt",POWER(Upgrades!$U$10,I33),1)*IF(Upgrades!$T$11="Asteroid Belt",POWER(Upgrades!$U$11,J33),1)*IF(Upgrades!$T$12="Asteroid Belt",POWER(Upgrades!$U$12,K33),1))*POWER(Upgrades!$P$6,E33)*POWER(Upgrades!$P$7,F33)*POWER(Upgrades!$P$8,G33)*POWER(Upgrades!$P$9,H33)*POWER(Upgrades!$P$10,I33)*POWER(Upgrades!$P$11,J33)*POWER(Upgrades!$P$12,K33)*60</f>
        <v/>
      </c>
      <c r="AC33" s="27">
        <f>(IF(G33=0,0,(Upgrades!$J$8+G33*Upgrades!$K$8)*POWER(Upgrades!$L$8,G33)))*(IF(Upgrades!$T$6="Stellar Coupling",POWER(Upgrades!$U$6,E33),1)*IF(Upgrades!$T$7="Stellar Coupling",POWER(Upgrades!$U$7,F33),1)*IF(Upgrades!$T$9="Stellar Coupling",POWER(Upgrades!$U$9,H33),1)*IF(Upgrades!$T$10="Stellar Coupling",POWER(Upgrades!$U$10,I33),1)*IF(Upgrades!$T$11="Stellar Coupling",POWER(Upgrades!$U$11,J33),1)*IF(Upgrades!$T$12="Stellar Coupling",POWER(Upgrades!$U$12,K33),1))*POWER(Upgrades!$Q$6,E33)*POWER(Upgrades!$Q$7,F33)*POWER(Upgrades!$Q$8,G33)*POWER(Upgrades!$Q$9,H33)*POWER(Upgrades!$Q$10,I33)*POWER(Upgrades!$Q$11,J33)*POWER(Upgrades!$Q$12,K33)*Parameters!$B$10*Parameters!$B$11</f>
        <v/>
      </c>
      <c r="AD33" s="27">
        <f>(IF(H33=0,0,(Upgrades!$G$9+H33*Upgrades!$H$9)*POWER(Upgrades!$I$9,H33)))*(IF(Upgrades!$T$6="Magnetosphere",POWER(Upgrades!$U$6,E33),1)*IF(Upgrades!$T$7="Magnetosphere",POWER(Upgrades!$U$7,F33),1)*IF(Upgrades!$T$8="Magnetosphere",POWER(Upgrades!$U$8,G33),1)*IF(Upgrades!$T$10="Magnetosphere",POWER(Upgrades!$U$10,I33),1)*IF(Upgrades!$T$11="Magnetosphere",POWER(Upgrades!$U$11,J33),1)*IF(Upgrades!$T$12="Magnetosphere",POWER(Upgrades!$U$12,K33),1))*POWER(Upgrades!$P$6,E33)*POWER(Upgrades!$P$7,F33)*POWER(Upgrades!$P$8,G33)*POWER(Upgrades!$P$9,H33)*POWER(Upgrades!$P$10,I33)*POWER(Upgrades!$P$11,J33)*POWER(Upgrades!$P$12,K33)*60</f>
        <v/>
      </c>
      <c r="AE33" s="27">
        <f>(IF(K33=0,0,(Upgrades!$G$12+K33*Upgrades!$H$12)*POWER(Upgrades!$I$12,K33)))*(IF(Upgrades!$T$6="First Photons",POWER(Upgrades!$U$6,E33),1)*IF(Upgrades!$T$7="First Photons",POWER(Upgrades!$U$7,F33),1)*IF(Upgrades!$T$8="First Photons",POWER(Upgrades!$U$8,G33),1)*IF(Upgrades!$T$9="First Photons",POWER(Upgrades!$U$9,H33),1)*IF(Upgrades!$T$10="First Photons",POWER(Upgrades!$U$10,I33),1)*IF(Upgrades!$T$11="First Photons",POWER(Upgrades!$U$11,J33),1))*POWER(Upgrades!$P$6,E33)*POWER(Upgrades!$P$7,F33)*POWER(Upgrades!$P$8,G33)*POWER(Upgrades!$P$9,H33)*POWER(Upgrades!$P$10,I33)*POWER(Upgrades!$P$11,J33)*POWER(Upgrades!$P$12,K33)*60</f>
        <v/>
      </c>
      <c r="AF33" s="27">
        <f>Parameters!$B$9*POWER(Upgrades!$Q$6,E33)*POWER(Upgrades!$Q$7,F33)*POWER(Upgrades!$Q$8,G33)*POWER(Upgrades!$Q$9,H33)*POWER(Upgrades!$Q$10,I33)*POWER(Upgrades!$Q$11,J33)*POWER(Upgrades!$Q$12,K33)*(Parameters!$B$10*Parameters!$B$11+O33*60)</f>
        <v/>
      </c>
      <c r="AG33" s="22">
        <f>IF(E33&gt;=Upgrades!$E$6,"",Upgrades!$C$6*POWER(Upgrades!$D$6,E33))</f>
        <v/>
      </c>
      <c r="AH33" s="22">
        <f>IF(F33&gt;=Upgrades!$E$7,"",Upgrades!$C$7*POWER(Upgrades!$D$7,F33))</f>
        <v/>
      </c>
      <c r="AI33" s="22">
        <f>IF(G33&gt;=Upgrades!$E$8,"",Upgrades!$C$8*POWER(Upgrades!$D$8,G33))</f>
        <v/>
      </c>
      <c r="AJ33" s="22">
        <f>IF(H33&gt;=Upgrades!$E$9,"",Upgrades!$C$9*POWER(Upgrades!$D$9,H33))</f>
        <v/>
      </c>
      <c r="AK33" s="22">
        <f>IF(I33&gt;=Upgrades!$E$10,"",Upgrades!$C$10*POWER(Upgrades!$D$10,I33))</f>
        <v/>
      </c>
      <c r="AL33" s="22">
        <f>IF(J33&gt;=Upgrades!$E$11,"",Upgrades!$C$11*POWER(Upgrades!$D$11,J33))</f>
        <v/>
      </c>
      <c r="AM33" s="22">
        <f>IF(K33&gt;=Upgrades!$E$12,"",Upgrades!$C$12*POWER(Upgrades!$D$12,K33))</f>
        <v/>
      </c>
      <c r="AN33" s="26">
        <f>IF(AND(D33&gt;=Parameters!$B$18,(H33&gt;=Upgrades!$E$9)*(K33&gt;=Upgrades!$E$12)=1,L33=0),1,"")</f>
        <v/>
      </c>
      <c r="AO33" s="26">
        <f>IF(AND(D33&gt;=Parameters!$B$18,L33=0),1,"")</f>
        <v/>
      </c>
      <c r="AP33" s="22">
        <f>MIN(IF(ISNUMBER(AK33),AK33,9E15),IF(ISNUMBER(AL33),AL33,9E15),IF(ISNUMBER(AM33),AM33,9E15))</f>
        <v/>
      </c>
      <c r="AQ33" s="22">
        <f>MIN(IF(ISNUMBER(AG33),AG33,9E15),IF(ISNUMBER(AH33),AH33,9E15),IF(ISNUMBER(AI33),AI33,9E15),IF(ISNUMBER(AJ33),AJ33,9E15))</f>
        <v/>
      </c>
      <c r="AR33" s="29">
        <f>IF(AW33&gt;Parameters!$B$21*(MAX(IF(AND(NOT(AND(AO33=1,AN33&lt;&gt;1)),ISNUMBER(AG33),AG33&lt;=T33),AS33,0),IF(AND(NOT(AND(AO33=1,AN33&lt;&gt;1)),ISNUMBER(AH33),AH33&lt;=T33),AT33,0),IF(AND(NOT(AND(AO33=1,AN33&lt;&gt;1)),ISNUMBER(AI33),AI33&lt;=T33),AU33,0),IF(AND(ISNUMBER(AJ33),AJ33&lt;=T33),AV33,0))),TRUE,FALSE)</f>
        <v/>
      </c>
      <c r="AS33" s="32">
        <f>IFERROR(Upgrades!$H$6*(POWER(Upgrades!$P$6,E33)*POWER(Upgrades!$P$7,F33)*POWER(Upgrades!$P$8,G33)*POWER(Upgrades!$P$9,H33)*POWER(Upgrades!$P$10,I33)*POWER(Upgrades!$P$11,J33)*POWER(Upgrades!$P$12,K33))*(IF(Upgrades!$T$7="Solar Wind",POWER(Upgrades!$U$7,F33),1)*IF(Upgrades!$T$8="Solar Wind",POWER(Upgrades!$U$8,G33),1)*IF(Upgrades!$T$9="Solar Wind",POWER(Upgrades!$U$9,H33),1)*IF(Upgrades!$T$10="Solar Wind",POWER(Upgrades!$U$10,I33),1)*IF(Upgrades!$T$11="Solar Wind",POWER(Upgrades!$U$11,J33),1)*IF(Upgrades!$T$12="Solar Wind",POWER(Upgrades!$U$12,K33),1))/AG33,0)</f>
        <v/>
      </c>
      <c r="AT33" s="32">
        <f>IFERROR(Upgrades!$H$7*(POWER(Upgrades!$P$6,E33)*POWER(Upgrades!$P$7,F33)*POWER(Upgrades!$P$8,G33)*POWER(Upgrades!$P$9,H33)*POWER(Upgrades!$P$10,I33)*POWER(Upgrades!$P$11,J33)*POWER(Upgrades!$P$12,K33))*(IF(Upgrades!$T$6="Asteroid Belt",POWER(Upgrades!$U$6,E33),1)*IF(Upgrades!$T$8="Asteroid Belt",POWER(Upgrades!$U$8,G33),1)*IF(Upgrades!$T$9="Asteroid Belt",POWER(Upgrades!$U$9,H33),1)*IF(Upgrades!$T$10="Asteroid Belt",POWER(Upgrades!$U$10,I33),1)*IF(Upgrades!$T$11="Asteroid Belt",POWER(Upgrades!$U$11,J33),1)*IF(Upgrades!$T$12="Asteroid Belt",POWER(Upgrades!$U$12,K33),1))/AH33,0)</f>
        <v/>
      </c>
      <c r="AU33" s="32">
        <f>IFERROR(Upgrades!$K$8*(POWER(Upgrades!$Q$6,E33)*POWER(Upgrades!$Q$7,F33)*POWER(Upgrades!$Q$8,G33)*POWER(Upgrades!$Q$9,H33)*POWER(Upgrades!$Q$10,I33)*POWER(Upgrades!$Q$11,J33)*POWER(Upgrades!$Q$12,K33))*(IF(Upgrades!$T$6="Stellar Coupling",POWER(Upgrades!$U$6,E33),1)*IF(Upgrades!$T$7="Stellar Coupling",POWER(Upgrades!$U$7,F33),1)*IF(Upgrades!$T$9="Stellar Coupling",POWER(Upgrades!$U$9,H33),1)*IF(Upgrades!$T$10="Stellar Coupling",POWER(Upgrades!$U$10,I33),1)*IF(Upgrades!$T$11="Stellar Coupling",POWER(Upgrades!$U$11,J33),1)*IF(Upgrades!$T$12="Stellar Coupling",POWER(Upgrades!$U$12,K33),1))*Parameters!$B$10*Parameters!$B$11/60/AI33,0)</f>
        <v/>
      </c>
      <c r="AV33" s="32">
        <f>IFERROR(Upgrades!$H$9*(POWER(Upgrades!$P$6,E33)*POWER(Upgrades!$P$7,F33)*POWER(Upgrades!$P$8,G33)*POWER(Upgrades!$P$9,H33)*POWER(Upgrades!$P$10,I33)*POWER(Upgrades!$P$11,J33)*POWER(Upgrades!$P$12,K33))*(IF(Upgrades!$T$6="Magnetosphere",POWER(Upgrades!$U$6,E33),1)*IF(Upgrades!$T$7="Magnetosphere",POWER(Upgrades!$U$7,F33),1)*IF(Upgrades!$T$8="Magnetosphere",POWER(Upgrades!$U$8,G33),1)*IF(Upgrades!$T$10="Magnetosphere",POWER(Upgrades!$U$10,I33),1)*IF(Upgrades!$T$11="Magnetosphere",POWER(Upgrades!$U$11,J33),1)*IF(Upgrades!$T$12="Magnetosphere",POWER(Upgrades!$U$12,K33),1))/AJ33,0)</f>
        <v/>
      </c>
      <c r="AW33" s="32">
        <f>MAX(IF(I33&gt;0,0,IFERROR(0.25*N33/Upgrades!$C$10,0)),IF(J33&gt;0,0,IFERROR(0.5*((IF(G33=0,0,(Upgrades!$J$8+G33*Upgrades!$K$8)*POWER(Upgrades!$L$8,G33)))*(IF(Upgrades!$T$6="Stellar Coupling",POWER(Upgrades!$U$6,E33),1)*IF(Upgrades!$T$7="Stellar Coupling",POWER(Upgrades!$U$7,F33),1)*IF(Upgrades!$T$9="Stellar Coupling",POWER(Upgrades!$U$9,H33),1)*IF(Upgrades!$T$10="Stellar Coupling",POWER(Upgrades!$U$10,I33),1)*IF(Upgrades!$T$11="Stellar Coupling",POWER(Upgrades!$U$11,J33),1)*IF(Upgrades!$T$12="Stellar Coupling",POWER(Upgrades!$U$12,K33),1))*(POWER(Upgrades!$Q$6,E33)*POWER(Upgrades!$Q$7,F33)*POWER(Upgrades!$Q$8,G33)*POWER(Upgrades!$Q$9,H33)*POWER(Upgrades!$Q$10,I33)*POWER(Upgrades!$Q$11,J33)*POWER(Upgrades!$Q$12,K33))*Parameters!$B$10*Parameters!$B$11/60)/Upgrades!$C$11,0)),IF(K33&gt;0,0,IFERROR((1.0*(POWER(Upgrades!$P$6,E33)*POWER(Upgrades!$P$7,F33)*POWER(Upgrades!$P$8,G33)*POWER(Upgrades!$P$9,H33)*POWER(Upgrades!$P$10,I33)*POWER(Upgrades!$P$11,J33)*POWER(Upgrades!$P$12,K33))+0.20*M33*Parameters!$B$10*Parameters!$B$11/60)/Upgrades!$C$12,0)),IF(AND(ISNUMBER(AG33),AG33&gt;T33),AS33,0),IF(AND(ISNUMBER(AH33),AH33&gt;T33),AT33,0),IF(AND(ISNUMBER(AI33),AI33&gt;T33),AU33,0),IF(AND(ISNUMBER(AJ33),AJ33&gt;T33),AV33,0))</f>
        <v/>
      </c>
      <c r="AX33" s="29">
        <f>IF(AN33=1,"transition",IF(MIN(IF(AND(I33=0,ISNUMBER(AK33),AK33&lt;=T33),AK33,9E15),IF(AND(J33=0,ISNUMBER(AL33),AL33&lt;=T33),AL33,9E15),IF(AND(K33=0,ISNUMBER(AM33),AM33&lt;=T33),AM33,9E15))&lt;9E15,IF(AND(AND(I33=0,ISNUMBER(AK33),AK33&lt;=T33),AK33=MIN(IF(AND(I33=0,ISNUMBER(AK33),AK33&lt;=T33),AK33,9E15),IF(AND(J33=0,ISNUMBER(AL33),AL33&lt;=T33),AL33,9E15),IF(AND(K33=0,ISNUMBER(AM33),AM33&lt;=T33),AM33,9E15))),"OR",IF(AND(AND(J33=0,ISNUMBER(AL33),AL33&lt;=T33),AL33=MIN(IF(AND(I33=0,ISNUMBER(AK33),AK33&lt;=T33),AK33,9E15),IF(AND(J33=0,ISNUMBER(AL33),AL33&lt;=T33),AL33,9E15),IF(AND(K33=0,ISNUMBER(AM33),AM33&lt;=T33),AM33,9E15))),"HP","FP")),IF(AR33=TRUE,"",IF(MAX(IF(AND(NOT(AND(AO33=1,AN33&lt;&gt;1)),ISNUMBER(AG33),AG33&lt;=T33),AS33,0),IF(AND(NOT(AND(AO33=1,AN33&lt;&gt;1)),ISNUMBER(AH33),AH33&lt;=T33),AT33,0),IF(AND(NOT(AND(AO33=1,AN33&lt;&gt;1)),ISNUMBER(AI33),AI33&lt;=T33),AU33,0),IF(AND(ISNUMBER(AJ33),AJ33&lt;=T33),AV33,0))&lt;=0,"",IF(AND(IF(AND(NOT(AND(AO33=1,AN33&lt;&gt;1)),ISNUMBER(AG33),AG33&lt;=T33),AS33,0)&gt;0,IF(AND(NOT(AND(AO33=1,AN33&lt;&gt;1)),ISNUMBER(AG33),AG33&lt;=T33),AS33,0)=MAX(IF(AND(NOT(AND(AO33=1,AN33&lt;&gt;1)),ISNUMBER(AG33),AG33&lt;=T33),AS33,0),IF(AND(NOT(AND(AO33=1,AN33&lt;&gt;1)),ISNUMBER(AH33),AH33&lt;=T33),AT33,0),IF(AND(NOT(AND(AO33=1,AN33&lt;&gt;1)),ISNUMBER(AI33),AI33&lt;=T33),AU33,0),IF(AND(ISNUMBER(AJ33),AJ33&lt;=T33),AV33,0))),"SW",IF(AND(IF(AND(NOT(AND(AO33=1,AN33&lt;&gt;1)),ISNUMBER(AH33),AH33&lt;=T33),AT33,0)&gt;0,IF(AND(NOT(AND(AO33=1,AN33&lt;&gt;1)),ISNUMBER(AH33),AH33&lt;=T33),AT33,0)=MAX(IF(AND(NOT(AND(AO33=1,AN33&lt;&gt;1)),ISNUMBER(AG33),AG33&lt;=T33),AS33,0),IF(AND(NOT(AND(AO33=1,AN33&lt;&gt;1)),ISNUMBER(AH33),AH33&lt;=T33),AT33,0),IF(AND(NOT(AND(AO33=1,AN33&lt;&gt;1)),ISNUMBER(AI33),AI33&lt;=T33),AU33,0),IF(AND(ISNUMBER(AJ33),AJ33&lt;=T33),AV33,0))),"AB",IF(AND(IF(AND(NOT(AND(AO33=1,AN33&lt;&gt;1)),ISNUMBER(AI33),AI33&lt;=T33),AU33,0)&gt;0,IF(AND(NOT(AND(AO33=1,AN33&lt;&gt;1)),ISNUMBER(AI33),AI33&lt;=T33),AU33,0)=MAX(IF(AND(NOT(AND(AO33=1,AN33&lt;&gt;1)),ISNUMBER(AG33),AG33&lt;=T33),AS33,0),IF(AND(NOT(AND(AO33=1,AN33&lt;&gt;1)),ISNUMBER(AH33),AH33&lt;=T33),AT33,0),IF(AND(NOT(AND(AO33=1,AN33&lt;&gt;1)),ISNUMBER(AI33),AI33&lt;=T33),AU33,0),IF(AND(ISNUMBER(AJ33),AJ33&lt;=T33),AV33,0))),"SC","Mag")))))))</f>
        <v/>
      </c>
    </row>
    <row r="34">
      <c r="A34" s="26" t="n">
        <v>29</v>
      </c>
      <c r="B34" s="27">
        <f>A34*10/60</f>
        <v/>
      </c>
      <c r="C34" s="22">
        <f>X33</f>
        <v/>
      </c>
      <c r="D34" s="27">
        <f>D33+W33</f>
        <v/>
      </c>
      <c r="E34" s="26">
        <f>E33+IF(U33="SW",1,0)</f>
        <v/>
      </c>
      <c r="F34" s="26">
        <f>F33+IF(U33="AB",1,0)</f>
        <v/>
      </c>
      <c r="G34" s="26">
        <f>G33+IF(U33="SC",1,0)</f>
        <v/>
      </c>
      <c r="H34" s="26">
        <f>H33+IF(U33="Mag",1,0)</f>
        <v/>
      </c>
      <c r="I34" s="26">
        <f>MAX(I33,IF(U33="OR",1,0))</f>
        <v/>
      </c>
      <c r="J34" s="26">
        <f>MAX(J33,IF(U33="HP",1,0))</f>
        <v/>
      </c>
      <c r="K34" s="26">
        <f>MAX(K33,IF(U33="FP",1,0))</f>
        <v/>
      </c>
      <c r="L34" s="26">
        <f>MAX(L33,IF(U33="transition",1,0))</f>
        <v/>
      </c>
      <c r="M34" s="28">
        <f>(Parameters!$B$9+(IF(E34=0,0,(Upgrades!$J$6+E34*Upgrades!$K$6)*POWER(Upgrades!$L$6,E34)))*(IF(Upgrades!$T$7="Solar Wind",POWER(Upgrades!$U$7,F34),1)*IF(Upgrades!$T$8="Solar Wind",POWER(Upgrades!$U$8,G34),1)*IF(Upgrades!$T$9="Solar Wind",POWER(Upgrades!$U$9,H34),1)*IF(Upgrades!$T$10="Solar Wind",POWER(Upgrades!$U$10,I34),1)*IF(Upgrades!$T$11="Solar Wind",POWER(Upgrades!$U$11,J34),1)*IF(Upgrades!$T$12="Solar Wind",POWER(Upgrades!$U$12,K34),1))+(IF(F34=0,0,(Upgrades!$J$7+F34*Upgrades!$K$7)*POWER(Upgrades!$L$7,F34)))*(IF(Upgrades!$T$6="Asteroid Belt",POWER(Upgrades!$U$6,E34),1)*IF(Upgrades!$T$8="Asteroid Belt",POWER(Upgrades!$U$8,G34),1)*IF(Upgrades!$T$9="Asteroid Belt",POWER(Upgrades!$U$9,H34),1)*IF(Upgrades!$T$10="Asteroid Belt",POWER(Upgrades!$U$10,I34),1)*IF(Upgrades!$T$11="Asteroid Belt",POWER(Upgrades!$U$11,J34),1)*IF(Upgrades!$T$12="Asteroid Belt",POWER(Upgrades!$U$12,K34),1))+(IF(G34=0,0,(Upgrades!$J$8+G34*Upgrades!$K$8)*POWER(Upgrades!$L$8,G34)))*(IF(Upgrades!$T$6="Stellar Coupling",POWER(Upgrades!$U$6,E34),1)*IF(Upgrades!$T$7="Stellar Coupling",POWER(Upgrades!$U$7,F34),1)*IF(Upgrades!$T$9="Stellar Coupling",POWER(Upgrades!$U$9,H34),1)*IF(Upgrades!$T$10="Stellar Coupling",POWER(Upgrades!$U$10,I34),1)*IF(Upgrades!$T$11="Stellar Coupling",POWER(Upgrades!$U$11,J34),1)*IF(Upgrades!$T$12="Stellar Coupling",POWER(Upgrades!$U$12,K34),1))+(IF(H34=0,0,(Upgrades!$J$9+H34*Upgrades!$K$9)*POWER(Upgrades!$L$9,H34)))*(IF(Upgrades!$T$6="Magnetosphere",POWER(Upgrades!$U$6,E34),1)*IF(Upgrades!$T$7="Magnetosphere",POWER(Upgrades!$U$7,F34),1)*IF(Upgrades!$T$8="Magnetosphere",POWER(Upgrades!$U$8,G34),1)*IF(Upgrades!$T$10="Magnetosphere",POWER(Upgrades!$U$10,I34),1)*IF(Upgrades!$T$11="Magnetosphere",POWER(Upgrades!$U$11,J34),1)*IF(Upgrades!$T$12="Magnetosphere",POWER(Upgrades!$U$12,K34),1))+(IF(I34=0,0,(Upgrades!$J$10+I34*Upgrades!$K$10)*POWER(Upgrades!$L$10,I34)))*(IF(Upgrades!$T$6="Orbital Resonance",POWER(Upgrades!$U$6,E34),1)*IF(Upgrades!$T$7="Orbital Resonance",POWER(Upgrades!$U$7,F34),1)*IF(Upgrades!$T$8="Orbital Resonance",POWER(Upgrades!$U$8,G34),1)*IF(Upgrades!$T$9="Orbital Resonance",POWER(Upgrades!$U$9,H34),1)*IF(Upgrades!$T$11="Orbital Resonance",POWER(Upgrades!$U$11,J34),1)*IF(Upgrades!$T$12="Orbital Resonance",POWER(Upgrades!$U$12,K34),1))+(IF(J34=0,0,(Upgrades!$J$11+J34*Upgrades!$K$11)*POWER(Upgrades!$L$11,J34)))*(IF(Upgrades!$T$6="Heliopause",POWER(Upgrades!$U$6,E34),1)*IF(Upgrades!$T$7="Heliopause",POWER(Upgrades!$U$7,F34),1)*IF(Upgrades!$T$8="Heliopause",POWER(Upgrades!$U$8,G34),1)*IF(Upgrades!$T$9="Heliopause",POWER(Upgrades!$U$9,H34),1)*IF(Upgrades!$T$10="Heliopause",POWER(Upgrades!$U$10,I34),1)*IF(Upgrades!$T$12="Heliopause",POWER(Upgrades!$U$12,K34),1))+(IF(K34=0,0,(Upgrades!$J$12+K34*Upgrades!$K$12)*POWER(Upgrades!$L$12,K34)))*(IF(Upgrades!$T$6="First Photons",POWER(Upgrades!$U$6,E34),1)*IF(Upgrades!$T$7="First Photons",POWER(Upgrades!$U$7,F34),1)*IF(Upgrades!$T$8="First Photons",POWER(Upgrades!$U$8,G34),1)*IF(Upgrades!$T$9="First Photons",POWER(Upgrades!$U$9,H34),1)*IF(Upgrades!$T$10="First Photons",POWER(Upgrades!$U$10,I34),1)*IF(Upgrades!$T$11="First Photons",POWER(Upgrades!$U$11,J34),1)))*POWER(Upgrades!$Q$6,E34)*POWER(Upgrades!$Q$7,F34)*POWER(Upgrades!$Q$8,G34)*POWER(Upgrades!$Q$9,H34)*POWER(Upgrades!$Q$10,I34)*POWER(Upgrades!$Q$11,J34)*POWER(Upgrades!$Q$12,K34)</f>
        <v/>
      </c>
      <c r="N34" s="28">
        <f>((IF(E34=0,0,(Upgrades!$G$6+E34*Upgrades!$H$6)*POWER(Upgrades!$I$6,E34)))*(IF(Upgrades!$T$7="Solar Wind",POWER(Upgrades!$U$7,F34),1)*IF(Upgrades!$T$8="Solar Wind",POWER(Upgrades!$U$8,G34),1)*IF(Upgrades!$T$9="Solar Wind",POWER(Upgrades!$U$9,H34),1)*IF(Upgrades!$T$10="Solar Wind",POWER(Upgrades!$U$10,I34),1)*IF(Upgrades!$T$11="Solar Wind",POWER(Upgrades!$U$11,J34),1)*IF(Upgrades!$T$12="Solar Wind",POWER(Upgrades!$U$12,K34),1))+(IF(F34=0,0,(Upgrades!$G$7+F34*Upgrades!$H$7)*POWER(Upgrades!$I$7,F34)))*(IF(Upgrades!$T$6="Asteroid Belt",POWER(Upgrades!$U$6,E34),1)*IF(Upgrades!$T$8="Asteroid Belt",POWER(Upgrades!$U$8,G34),1)*IF(Upgrades!$T$9="Asteroid Belt",POWER(Upgrades!$U$9,H34),1)*IF(Upgrades!$T$10="Asteroid Belt",POWER(Upgrades!$U$10,I34),1)*IF(Upgrades!$T$11="Asteroid Belt",POWER(Upgrades!$U$11,J34),1)*IF(Upgrades!$T$12="Asteroid Belt",POWER(Upgrades!$U$12,K34),1))+(IF(G34=0,0,(Upgrades!$G$8+G34*Upgrades!$H$8)*POWER(Upgrades!$I$8,G34)))*(IF(Upgrades!$T$6="Stellar Coupling",POWER(Upgrades!$U$6,E34),1)*IF(Upgrades!$T$7="Stellar Coupling",POWER(Upgrades!$U$7,F34),1)*IF(Upgrades!$T$9="Stellar Coupling",POWER(Upgrades!$U$9,H34),1)*IF(Upgrades!$T$10="Stellar Coupling",POWER(Upgrades!$U$10,I34),1)*IF(Upgrades!$T$11="Stellar Coupling",POWER(Upgrades!$U$11,J34),1)*IF(Upgrades!$T$12="Stellar Coupling",POWER(Upgrades!$U$12,K34),1))+(IF(H34=0,0,(Upgrades!$G$9+H34*Upgrades!$H$9)*POWER(Upgrades!$I$9,H34)))*(IF(Upgrades!$T$6="Magnetosphere",POWER(Upgrades!$U$6,E34),1)*IF(Upgrades!$T$7="Magnetosphere",POWER(Upgrades!$U$7,F34),1)*IF(Upgrades!$T$8="Magnetosphere",POWER(Upgrades!$U$8,G34),1)*IF(Upgrades!$T$10="Magnetosphere",POWER(Upgrades!$U$10,I34),1)*IF(Upgrades!$T$11="Magnetosphere",POWER(Upgrades!$U$11,J34),1)*IF(Upgrades!$T$12="Magnetosphere",POWER(Upgrades!$U$12,K34),1))+(IF(I34=0,0,(Upgrades!$G$10+I34*Upgrades!$H$10)*POWER(Upgrades!$I$10,I34)))*(IF(Upgrades!$T$6="Orbital Resonance",POWER(Upgrades!$U$6,E34),1)*IF(Upgrades!$T$7="Orbital Resonance",POWER(Upgrades!$U$7,F34),1)*IF(Upgrades!$T$8="Orbital Resonance",POWER(Upgrades!$U$8,G34),1)*IF(Upgrades!$T$9="Orbital Resonance",POWER(Upgrades!$U$9,H34),1)*IF(Upgrades!$T$11="Orbital Resonance",POWER(Upgrades!$U$11,J34),1)*IF(Upgrades!$T$12="Orbital Resonance",POWER(Upgrades!$U$12,K34),1))+(IF(J34=0,0,(Upgrades!$G$11+J34*Upgrades!$H$11)*POWER(Upgrades!$I$11,J34)))*(IF(Upgrades!$T$6="Heliopause",POWER(Upgrades!$U$6,E34),1)*IF(Upgrades!$T$7="Heliopause",POWER(Upgrades!$U$7,F34),1)*IF(Upgrades!$T$8="Heliopause",POWER(Upgrades!$U$8,G34),1)*IF(Upgrades!$T$9="Heliopause",POWER(Upgrades!$U$9,H34),1)*IF(Upgrades!$T$10="Heliopause",POWER(Upgrades!$U$10,I34),1)*IF(Upgrades!$T$12="Heliopause",POWER(Upgrades!$U$12,K34),1))+(IF(K34=0,0,(Upgrades!$G$12+K34*Upgrades!$H$12)*POWER(Upgrades!$I$12,K34)))*(IF(Upgrades!$T$6="First Photons",POWER(Upgrades!$U$6,E34),1)*IF(Upgrades!$T$7="First Photons",POWER(Upgrades!$U$7,F34),1)*IF(Upgrades!$T$8="First Photons",POWER(Upgrades!$U$8,G34),1)*IF(Upgrades!$T$9="First Photons",POWER(Upgrades!$U$9,H34),1)*IF(Upgrades!$T$10="First Photons",POWER(Upgrades!$U$10,I34),1)*IF(Upgrades!$T$11="First Photons",POWER(Upgrades!$U$11,J34),1)))*POWER(Upgrades!$P$6,E34)*POWER(Upgrades!$P$7,F34)*POWER(Upgrades!$P$8,G34)*POWER(Upgrades!$P$9,H34)*POWER(Upgrades!$P$10,I34)*POWER(Upgrades!$P$11,J34)*POWER(Upgrades!$P$12,K34)</f>
        <v/>
      </c>
      <c r="O34" s="28">
        <f>((IF(E34=0,0,(Upgrades!$M$6+E34*Upgrades!$N$6)*POWER(Upgrades!$O$6,E34)))*(IF(Upgrades!$T$7="Solar Wind",POWER(Upgrades!$U$7,F34),1)*IF(Upgrades!$T$8="Solar Wind",POWER(Upgrades!$U$8,G34),1)*IF(Upgrades!$T$9="Solar Wind",POWER(Upgrades!$U$9,H34),1)*IF(Upgrades!$T$10="Solar Wind",POWER(Upgrades!$U$10,I34),1)*IF(Upgrades!$T$11="Solar Wind",POWER(Upgrades!$U$11,J34),1)*IF(Upgrades!$T$12="Solar Wind",POWER(Upgrades!$U$12,K34),1))+(IF(F34=0,0,(Upgrades!$M$7+F34*Upgrades!$N$7)*POWER(Upgrades!$O$7,F34)))*(IF(Upgrades!$T$6="Asteroid Belt",POWER(Upgrades!$U$6,E34),1)*IF(Upgrades!$T$8="Asteroid Belt",POWER(Upgrades!$U$8,G34),1)*IF(Upgrades!$T$9="Asteroid Belt",POWER(Upgrades!$U$9,H34),1)*IF(Upgrades!$T$10="Asteroid Belt",POWER(Upgrades!$U$10,I34),1)*IF(Upgrades!$T$11="Asteroid Belt",POWER(Upgrades!$U$11,J34),1)*IF(Upgrades!$T$12="Asteroid Belt",POWER(Upgrades!$U$12,K34),1))+(IF(G34=0,0,(Upgrades!$M$8+G34*Upgrades!$N$8)*POWER(Upgrades!$O$8,G34)))*(IF(Upgrades!$T$6="Stellar Coupling",POWER(Upgrades!$U$6,E34),1)*IF(Upgrades!$T$7="Stellar Coupling",POWER(Upgrades!$U$7,F34),1)*IF(Upgrades!$T$9="Stellar Coupling",POWER(Upgrades!$U$9,H34),1)*IF(Upgrades!$T$10="Stellar Coupling",POWER(Upgrades!$U$10,I34),1)*IF(Upgrades!$T$11="Stellar Coupling",POWER(Upgrades!$U$11,J34),1)*IF(Upgrades!$T$12="Stellar Coupling",POWER(Upgrades!$U$12,K34),1))+(IF(H34=0,0,(Upgrades!$M$9+H34*Upgrades!$N$9)*POWER(Upgrades!$O$9,H34)))*(IF(Upgrades!$T$6="Magnetosphere",POWER(Upgrades!$U$6,E34),1)*IF(Upgrades!$T$7="Magnetosphere",POWER(Upgrades!$U$7,F34),1)*IF(Upgrades!$T$8="Magnetosphere",POWER(Upgrades!$U$8,G34),1)*IF(Upgrades!$T$10="Magnetosphere",POWER(Upgrades!$U$10,I34),1)*IF(Upgrades!$T$11="Magnetosphere",POWER(Upgrades!$U$11,J34),1)*IF(Upgrades!$T$12="Magnetosphere",POWER(Upgrades!$U$12,K34),1))+(IF(I34=0,0,(Upgrades!$M$10+I34*Upgrades!$N$10)*POWER(Upgrades!$O$10,I34)))*(IF(Upgrades!$T$6="Orbital Resonance",POWER(Upgrades!$U$6,E34),1)*IF(Upgrades!$T$7="Orbital Resonance",POWER(Upgrades!$U$7,F34),1)*IF(Upgrades!$T$8="Orbital Resonance",POWER(Upgrades!$U$8,G34),1)*IF(Upgrades!$T$9="Orbital Resonance",POWER(Upgrades!$U$9,H34),1)*IF(Upgrades!$T$11="Orbital Resonance",POWER(Upgrades!$U$11,J34),1)*IF(Upgrades!$T$12="Orbital Resonance",POWER(Upgrades!$U$12,K34),1))+(IF(J34=0,0,(Upgrades!$M$11+J34*Upgrades!$N$11)*POWER(Upgrades!$O$11,J34)))*(IF(Upgrades!$T$6="Heliopause",POWER(Upgrades!$U$6,E34),1)*IF(Upgrades!$T$7="Heliopause",POWER(Upgrades!$U$7,F34),1)*IF(Upgrades!$T$8="Heliopause",POWER(Upgrades!$U$8,G34),1)*IF(Upgrades!$T$9="Heliopause",POWER(Upgrades!$U$9,H34),1)*IF(Upgrades!$T$10="Heliopause",POWER(Upgrades!$U$10,I34),1)*IF(Upgrades!$T$12="Heliopause",POWER(Upgrades!$U$12,K34),1))+(IF(K34=0,0,(Upgrades!$M$12+K34*Upgrades!$N$12)*POWER(Upgrades!$O$12,K34)))*(IF(Upgrades!$T$6="First Photons",POWER(Upgrades!$U$6,E34),1)*IF(Upgrades!$T$7="First Photons",POWER(Upgrades!$U$7,F34),1)*IF(Upgrades!$T$8="First Photons",POWER(Upgrades!$U$8,G34),1)*IF(Upgrades!$T$9="First Photons",POWER(Upgrades!$U$9,H34),1)*IF(Upgrades!$T$10="First Photons",POWER(Upgrades!$U$10,I34),1)*IF(Upgrades!$T$11="First Photons",POWER(Upgrades!$U$11,J34),1)))*POWER(Upgrades!$R$6,E34)*POWER(Upgrades!$R$7,F34)*POWER(Upgrades!$R$8,G34)*POWER(Upgrades!$R$9,H34)*POWER(Upgrades!$R$10,I34)*POWER(Upgrades!$R$11,J34)*POWER(Upgrades!$R$12,K34)</f>
        <v/>
      </c>
      <c r="P34" s="27">
        <f>IF(L34=1,0,M34*Parameters!$B$10/60*Parameters!$B$11*10)</f>
        <v/>
      </c>
      <c r="Q34" s="27">
        <f>IF(L34=1,0,O34*M34*10)</f>
        <v/>
      </c>
      <c r="R34" s="27">
        <f>IF(L34=1,0,N34*10)</f>
        <v/>
      </c>
      <c r="S34" s="27">
        <f>P34+Q34+R34</f>
        <v/>
      </c>
      <c r="T34" s="22">
        <f>C34+S34</f>
        <v/>
      </c>
      <c r="U34" s="33">
        <f>AX34</f>
        <v/>
      </c>
      <c r="V34" s="22">
        <f>IF(U34="",0,IF(U34="transition",0,IF(U34="SW",AG34,IF(U34="AB",AH34,IF(U34="SC",AI34,IF(U34="Mag",AJ34,IF(U34="OR",AK34,IF(U34="HP",AL34,IF(U34="FP",AM34,0)))))))))</f>
        <v/>
      </c>
      <c r="W34" s="27">
        <f>IF(U34="OR",Upgrades!$F$10,IF(U34="HP",Upgrades!$F$11,IF(U34="transition",-Parameters!$B$18,0)))</f>
        <v/>
      </c>
      <c r="X34" s="22">
        <f>T34-V34</f>
        <v/>
      </c>
      <c r="Y34" s="30">
        <f>M34*Parameters!$B$10/60*Parameters!$B$11+O34*M34+N34</f>
        <v/>
      </c>
      <c r="Z34" s="34">
        <f>IF(U34="transition","→ Tier 2 (Stellar Neighborhood)",IF(U34="FP","First Photons — light begins, system quickens",IF(U34="HP","Heliopause acquired",IF(U34="OR","Orbital Resonance — passive multiplier active",IF(AND(AO34=1,L34=0,AN34&lt;&gt;1),"Cohesion ready (waiting on completionist upgrades)","")))))</f>
        <v/>
      </c>
      <c r="AA34" s="27">
        <f>(IF(E34=0,0,(Upgrades!$G$6+E34*Upgrades!$H$6)*POWER(Upgrades!$I$6,E34)))*(IF(Upgrades!$T$7="Solar Wind",POWER(Upgrades!$U$7,F34),1)*IF(Upgrades!$T$8="Solar Wind",POWER(Upgrades!$U$8,G34),1)*IF(Upgrades!$T$9="Solar Wind",POWER(Upgrades!$U$9,H34),1)*IF(Upgrades!$T$10="Solar Wind",POWER(Upgrades!$U$10,I34),1)*IF(Upgrades!$T$11="Solar Wind",POWER(Upgrades!$U$11,J34),1)*IF(Upgrades!$T$12="Solar Wind",POWER(Upgrades!$U$12,K34),1))*POWER(Upgrades!$P$6,E34)*POWER(Upgrades!$P$7,F34)*POWER(Upgrades!$P$8,G34)*POWER(Upgrades!$P$9,H34)*POWER(Upgrades!$P$10,I34)*POWER(Upgrades!$P$11,J34)*POWER(Upgrades!$P$12,K34)*60</f>
        <v/>
      </c>
      <c r="AB34" s="27">
        <f>(IF(F34=0,0,(Upgrades!$G$7+F34*Upgrades!$H$7)*POWER(Upgrades!$I$7,F34)))*(IF(Upgrades!$T$6="Asteroid Belt",POWER(Upgrades!$U$6,E34),1)*IF(Upgrades!$T$8="Asteroid Belt",POWER(Upgrades!$U$8,G34),1)*IF(Upgrades!$T$9="Asteroid Belt",POWER(Upgrades!$U$9,H34),1)*IF(Upgrades!$T$10="Asteroid Belt",POWER(Upgrades!$U$10,I34),1)*IF(Upgrades!$T$11="Asteroid Belt",POWER(Upgrades!$U$11,J34),1)*IF(Upgrades!$T$12="Asteroid Belt",POWER(Upgrades!$U$12,K34),1))*POWER(Upgrades!$P$6,E34)*POWER(Upgrades!$P$7,F34)*POWER(Upgrades!$P$8,G34)*POWER(Upgrades!$P$9,H34)*POWER(Upgrades!$P$10,I34)*POWER(Upgrades!$P$11,J34)*POWER(Upgrades!$P$12,K34)*60</f>
        <v/>
      </c>
      <c r="AC34" s="27">
        <f>(IF(G34=0,0,(Upgrades!$J$8+G34*Upgrades!$K$8)*POWER(Upgrades!$L$8,G34)))*(IF(Upgrades!$T$6="Stellar Coupling",POWER(Upgrades!$U$6,E34),1)*IF(Upgrades!$T$7="Stellar Coupling",POWER(Upgrades!$U$7,F34),1)*IF(Upgrades!$T$9="Stellar Coupling",POWER(Upgrades!$U$9,H34),1)*IF(Upgrades!$T$10="Stellar Coupling",POWER(Upgrades!$U$10,I34),1)*IF(Upgrades!$T$11="Stellar Coupling",POWER(Upgrades!$U$11,J34),1)*IF(Upgrades!$T$12="Stellar Coupling",POWER(Upgrades!$U$12,K34),1))*POWER(Upgrades!$Q$6,E34)*POWER(Upgrades!$Q$7,F34)*POWER(Upgrades!$Q$8,G34)*POWER(Upgrades!$Q$9,H34)*POWER(Upgrades!$Q$10,I34)*POWER(Upgrades!$Q$11,J34)*POWER(Upgrades!$Q$12,K34)*Parameters!$B$10*Parameters!$B$11</f>
        <v/>
      </c>
      <c r="AD34" s="27">
        <f>(IF(H34=0,0,(Upgrades!$G$9+H34*Upgrades!$H$9)*POWER(Upgrades!$I$9,H34)))*(IF(Upgrades!$T$6="Magnetosphere",POWER(Upgrades!$U$6,E34),1)*IF(Upgrades!$T$7="Magnetosphere",POWER(Upgrades!$U$7,F34),1)*IF(Upgrades!$T$8="Magnetosphere",POWER(Upgrades!$U$8,G34),1)*IF(Upgrades!$T$10="Magnetosphere",POWER(Upgrades!$U$10,I34),1)*IF(Upgrades!$T$11="Magnetosphere",POWER(Upgrades!$U$11,J34),1)*IF(Upgrades!$T$12="Magnetosphere",POWER(Upgrades!$U$12,K34),1))*POWER(Upgrades!$P$6,E34)*POWER(Upgrades!$P$7,F34)*POWER(Upgrades!$P$8,G34)*POWER(Upgrades!$P$9,H34)*POWER(Upgrades!$P$10,I34)*POWER(Upgrades!$P$11,J34)*POWER(Upgrades!$P$12,K34)*60</f>
        <v/>
      </c>
      <c r="AE34" s="27">
        <f>(IF(K34=0,0,(Upgrades!$G$12+K34*Upgrades!$H$12)*POWER(Upgrades!$I$12,K34)))*(IF(Upgrades!$T$6="First Photons",POWER(Upgrades!$U$6,E34),1)*IF(Upgrades!$T$7="First Photons",POWER(Upgrades!$U$7,F34),1)*IF(Upgrades!$T$8="First Photons",POWER(Upgrades!$U$8,G34),1)*IF(Upgrades!$T$9="First Photons",POWER(Upgrades!$U$9,H34),1)*IF(Upgrades!$T$10="First Photons",POWER(Upgrades!$U$10,I34),1)*IF(Upgrades!$T$11="First Photons",POWER(Upgrades!$U$11,J34),1))*POWER(Upgrades!$P$6,E34)*POWER(Upgrades!$P$7,F34)*POWER(Upgrades!$P$8,G34)*POWER(Upgrades!$P$9,H34)*POWER(Upgrades!$P$10,I34)*POWER(Upgrades!$P$11,J34)*POWER(Upgrades!$P$12,K34)*60</f>
        <v/>
      </c>
      <c r="AF34" s="27">
        <f>Parameters!$B$9*POWER(Upgrades!$Q$6,E34)*POWER(Upgrades!$Q$7,F34)*POWER(Upgrades!$Q$8,G34)*POWER(Upgrades!$Q$9,H34)*POWER(Upgrades!$Q$10,I34)*POWER(Upgrades!$Q$11,J34)*POWER(Upgrades!$Q$12,K34)*(Parameters!$B$10*Parameters!$B$11+O34*60)</f>
        <v/>
      </c>
      <c r="AG34" s="22">
        <f>IF(E34&gt;=Upgrades!$E$6,"",Upgrades!$C$6*POWER(Upgrades!$D$6,E34))</f>
        <v/>
      </c>
      <c r="AH34" s="22">
        <f>IF(F34&gt;=Upgrades!$E$7,"",Upgrades!$C$7*POWER(Upgrades!$D$7,F34))</f>
        <v/>
      </c>
      <c r="AI34" s="22">
        <f>IF(G34&gt;=Upgrades!$E$8,"",Upgrades!$C$8*POWER(Upgrades!$D$8,G34))</f>
        <v/>
      </c>
      <c r="AJ34" s="22">
        <f>IF(H34&gt;=Upgrades!$E$9,"",Upgrades!$C$9*POWER(Upgrades!$D$9,H34))</f>
        <v/>
      </c>
      <c r="AK34" s="22">
        <f>IF(I34&gt;=Upgrades!$E$10,"",Upgrades!$C$10*POWER(Upgrades!$D$10,I34))</f>
        <v/>
      </c>
      <c r="AL34" s="22">
        <f>IF(J34&gt;=Upgrades!$E$11,"",Upgrades!$C$11*POWER(Upgrades!$D$11,J34))</f>
        <v/>
      </c>
      <c r="AM34" s="22">
        <f>IF(K34&gt;=Upgrades!$E$12,"",Upgrades!$C$12*POWER(Upgrades!$D$12,K34))</f>
        <v/>
      </c>
      <c r="AN34" s="26">
        <f>IF(AND(D34&gt;=Parameters!$B$18,(H34&gt;=Upgrades!$E$9)*(K34&gt;=Upgrades!$E$12)=1,L34=0),1,"")</f>
        <v/>
      </c>
      <c r="AO34" s="26">
        <f>IF(AND(D34&gt;=Parameters!$B$18,L34=0),1,"")</f>
        <v/>
      </c>
      <c r="AP34" s="22">
        <f>MIN(IF(ISNUMBER(AK34),AK34,9E15),IF(ISNUMBER(AL34),AL34,9E15),IF(ISNUMBER(AM34),AM34,9E15))</f>
        <v/>
      </c>
      <c r="AQ34" s="22">
        <f>MIN(IF(ISNUMBER(AG34),AG34,9E15),IF(ISNUMBER(AH34),AH34,9E15),IF(ISNUMBER(AI34),AI34,9E15),IF(ISNUMBER(AJ34),AJ34,9E15))</f>
        <v/>
      </c>
      <c r="AR34" s="29">
        <f>IF(AW34&gt;Parameters!$B$21*(MAX(IF(AND(NOT(AND(AO34=1,AN34&lt;&gt;1)),ISNUMBER(AG34),AG34&lt;=T34),AS34,0),IF(AND(NOT(AND(AO34=1,AN34&lt;&gt;1)),ISNUMBER(AH34),AH34&lt;=T34),AT34,0),IF(AND(NOT(AND(AO34=1,AN34&lt;&gt;1)),ISNUMBER(AI34),AI34&lt;=T34),AU34,0),IF(AND(ISNUMBER(AJ34),AJ34&lt;=T34),AV34,0))),TRUE,FALSE)</f>
        <v/>
      </c>
      <c r="AS34" s="32">
        <f>IFERROR(Upgrades!$H$6*(POWER(Upgrades!$P$6,E34)*POWER(Upgrades!$P$7,F34)*POWER(Upgrades!$P$8,G34)*POWER(Upgrades!$P$9,H34)*POWER(Upgrades!$P$10,I34)*POWER(Upgrades!$P$11,J34)*POWER(Upgrades!$P$12,K34))*(IF(Upgrades!$T$7="Solar Wind",POWER(Upgrades!$U$7,F34),1)*IF(Upgrades!$T$8="Solar Wind",POWER(Upgrades!$U$8,G34),1)*IF(Upgrades!$T$9="Solar Wind",POWER(Upgrades!$U$9,H34),1)*IF(Upgrades!$T$10="Solar Wind",POWER(Upgrades!$U$10,I34),1)*IF(Upgrades!$T$11="Solar Wind",POWER(Upgrades!$U$11,J34),1)*IF(Upgrades!$T$12="Solar Wind",POWER(Upgrades!$U$12,K34),1))/AG34,0)</f>
        <v/>
      </c>
      <c r="AT34" s="32">
        <f>IFERROR(Upgrades!$H$7*(POWER(Upgrades!$P$6,E34)*POWER(Upgrades!$P$7,F34)*POWER(Upgrades!$P$8,G34)*POWER(Upgrades!$P$9,H34)*POWER(Upgrades!$P$10,I34)*POWER(Upgrades!$P$11,J34)*POWER(Upgrades!$P$12,K34))*(IF(Upgrades!$T$6="Asteroid Belt",POWER(Upgrades!$U$6,E34),1)*IF(Upgrades!$T$8="Asteroid Belt",POWER(Upgrades!$U$8,G34),1)*IF(Upgrades!$T$9="Asteroid Belt",POWER(Upgrades!$U$9,H34),1)*IF(Upgrades!$T$10="Asteroid Belt",POWER(Upgrades!$U$10,I34),1)*IF(Upgrades!$T$11="Asteroid Belt",POWER(Upgrades!$U$11,J34),1)*IF(Upgrades!$T$12="Asteroid Belt",POWER(Upgrades!$U$12,K34),1))/AH34,0)</f>
        <v/>
      </c>
      <c r="AU34" s="32">
        <f>IFERROR(Upgrades!$K$8*(POWER(Upgrades!$Q$6,E34)*POWER(Upgrades!$Q$7,F34)*POWER(Upgrades!$Q$8,G34)*POWER(Upgrades!$Q$9,H34)*POWER(Upgrades!$Q$10,I34)*POWER(Upgrades!$Q$11,J34)*POWER(Upgrades!$Q$12,K34))*(IF(Upgrades!$T$6="Stellar Coupling",POWER(Upgrades!$U$6,E34),1)*IF(Upgrades!$T$7="Stellar Coupling",POWER(Upgrades!$U$7,F34),1)*IF(Upgrades!$T$9="Stellar Coupling",POWER(Upgrades!$U$9,H34),1)*IF(Upgrades!$T$10="Stellar Coupling",POWER(Upgrades!$U$10,I34),1)*IF(Upgrades!$T$11="Stellar Coupling",POWER(Upgrades!$U$11,J34),1)*IF(Upgrades!$T$12="Stellar Coupling",POWER(Upgrades!$U$12,K34),1))*Parameters!$B$10*Parameters!$B$11/60/AI34,0)</f>
        <v/>
      </c>
      <c r="AV34" s="32">
        <f>IFERROR(Upgrades!$H$9*(POWER(Upgrades!$P$6,E34)*POWER(Upgrades!$P$7,F34)*POWER(Upgrades!$P$8,G34)*POWER(Upgrades!$P$9,H34)*POWER(Upgrades!$P$10,I34)*POWER(Upgrades!$P$11,J34)*POWER(Upgrades!$P$12,K34))*(IF(Upgrades!$T$6="Magnetosphere",POWER(Upgrades!$U$6,E34),1)*IF(Upgrades!$T$7="Magnetosphere",POWER(Upgrades!$U$7,F34),1)*IF(Upgrades!$T$8="Magnetosphere",POWER(Upgrades!$U$8,G34),1)*IF(Upgrades!$T$10="Magnetosphere",POWER(Upgrades!$U$10,I34),1)*IF(Upgrades!$T$11="Magnetosphere",POWER(Upgrades!$U$11,J34),1)*IF(Upgrades!$T$12="Magnetosphere",POWER(Upgrades!$U$12,K34),1))/AJ34,0)</f>
        <v/>
      </c>
      <c r="AW34" s="32">
        <f>MAX(IF(I34&gt;0,0,IFERROR(0.25*N34/Upgrades!$C$10,0)),IF(J34&gt;0,0,IFERROR(0.5*((IF(G34=0,0,(Upgrades!$J$8+G34*Upgrades!$K$8)*POWER(Upgrades!$L$8,G34)))*(IF(Upgrades!$T$6="Stellar Coupling",POWER(Upgrades!$U$6,E34),1)*IF(Upgrades!$T$7="Stellar Coupling",POWER(Upgrades!$U$7,F34),1)*IF(Upgrades!$T$9="Stellar Coupling",POWER(Upgrades!$U$9,H34),1)*IF(Upgrades!$T$10="Stellar Coupling",POWER(Upgrades!$U$10,I34),1)*IF(Upgrades!$T$11="Stellar Coupling",POWER(Upgrades!$U$11,J34),1)*IF(Upgrades!$T$12="Stellar Coupling",POWER(Upgrades!$U$12,K34),1))*(POWER(Upgrades!$Q$6,E34)*POWER(Upgrades!$Q$7,F34)*POWER(Upgrades!$Q$8,G34)*POWER(Upgrades!$Q$9,H34)*POWER(Upgrades!$Q$10,I34)*POWER(Upgrades!$Q$11,J34)*POWER(Upgrades!$Q$12,K34))*Parameters!$B$10*Parameters!$B$11/60)/Upgrades!$C$11,0)),IF(K34&gt;0,0,IFERROR((1.0*(POWER(Upgrades!$P$6,E34)*POWER(Upgrades!$P$7,F34)*POWER(Upgrades!$P$8,G34)*POWER(Upgrades!$P$9,H34)*POWER(Upgrades!$P$10,I34)*POWER(Upgrades!$P$11,J34)*POWER(Upgrades!$P$12,K34))+0.20*M34*Parameters!$B$10*Parameters!$B$11/60)/Upgrades!$C$12,0)),IF(AND(ISNUMBER(AG34),AG34&gt;T34),AS34,0),IF(AND(ISNUMBER(AH34),AH34&gt;T34),AT34,0),IF(AND(ISNUMBER(AI34),AI34&gt;T34),AU34,0),IF(AND(ISNUMBER(AJ34),AJ34&gt;T34),AV34,0))</f>
        <v/>
      </c>
      <c r="AX34" s="29">
        <f>IF(AN34=1,"transition",IF(MIN(IF(AND(I34=0,ISNUMBER(AK34),AK34&lt;=T34),AK34,9E15),IF(AND(J34=0,ISNUMBER(AL34),AL34&lt;=T34),AL34,9E15),IF(AND(K34=0,ISNUMBER(AM34),AM34&lt;=T34),AM34,9E15))&lt;9E15,IF(AND(AND(I34=0,ISNUMBER(AK34),AK34&lt;=T34),AK34=MIN(IF(AND(I34=0,ISNUMBER(AK34),AK34&lt;=T34),AK34,9E15),IF(AND(J34=0,ISNUMBER(AL34),AL34&lt;=T34),AL34,9E15),IF(AND(K34=0,ISNUMBER(AM34),AM34&lt;=T34),AM34,9E15))),"OR",IF(AND(AND(J34=0,ISNUMBER(AL34),AL34&lt;=T34),AL34=MIN(IF(AND(I34=0,ISNUMBER(AK34),AK34&lt;=T34),AK34,9E15),IF(AND(J34=0,ISNUMBER(AL34),AL34&lt;=T34),AL34,9E15),IF(AND(K34=0,ISNUMBER(AM34),AM34&lt;=T34),AM34,9E15))),"HP","FP")),IF(AR34=TRUE,"",IF(MAX(IF(AND(NOT(AND(AO34=1,AN34&lt;&gt;1)),ISNUMBER(AG34),AG34&lt;=T34),AS34,0),IF(AND(NOT(AND(AO34=1,AN34&lt;&gt;1)),ISNUMBER(AH34),AH34&lt;=T34),AT34,0),IF(AND(NOT(AND(AO34=1,AN34&lt;&gt;1)),ISNUMBER(AI34),AI34&lt;=T34),AU34,0),IF(AND(ISNUMBER(AJ34),AJ34&lt;=T34),AV34,0))&lt;=0,"",IF(AND(IF(AND(NOT(AND(AO34=1,AN34&lt;&gt;1)),ISNUMBER(AG34),AG34&lt;=T34),AS34,0)&gt;0,IF(AND(NOT(AND(AO34=1,AN34&lt;&gt;1)),ISNUMBER(AG34),AG34&lt;=T34),AS34,0)=MAX(IF(AND(NOT(AND(AO34=1,AN34&lt;&gt;1)),ISNUMBER(AG34),AG34&lt;=T34),AS34,0),IF(AND(NOT(AND(AO34=1,AN34&lt;&gt;1)),ISNUMBER(AH34),AH34&lt;=T34),AT34,0),IF(AND(NOT(AND(AO34=1,AN34&lt;&gt;1)),ISNUMBER(AI34),AI34&lt;=T34),AU34,0),IF(AND(ISNUMBER(AJ34),AJ34&lt;=T34),AV34,0))),"SW",IF(AND(IF(AND(NOT(AND(AO34=1,AN34&lt;&gt;1)),ISNUMBER(AH34),AH34&lt;=T34),AT34,0)&gt;0,IF(AND(NOT(AND(AO34=1,AN34&lt;&gt;1)),ISNUMBER(AH34),AH34&lt;=T34),AT34,0)=MAX(IF(AND(NOT(AND(AO34=1,AN34&lt;&gt;1)),ISNUMBER(AG34),AG34&lt;=T34),AS34,0),IF(AND(NOT(AND(AO34=1,AN34&lt;&gt;1)),ISNUMBER(AH34),AH34&lt;=T34),AT34,0),IF(AND(NOT(AND(AO34=1,AN34&lt;&gt;1)),ISNUMBER(AI34),AI34&lt;=T34),AU34,0),IF(AND(ISNUMBER(AJ34),AJ34&lt;=T34),AV34,0))),"AB",IF(AND(IF(AND(NOT(AND(AO34=1,AN34&lt;&gt;1)),ISNUMBER(AI34),AI34&lt;=T34),AU34,0)&gt;0,IF(AND(NOT(AND(AO34=1,AN34&lt;&gt;1)),ISNUMBER(AI34),AI34&lt;=T34),AU34,0)=MAX(IF(AND(NOT(AND(AO34=1,AN34&lt;&gt;1)),ISNUMBER(AG34),AG34&lt;=T34),AS34,0),IF(AND(NOT(AND(AO34=1,AN34&lt;&gt;1)),ISNUMBER(AH34),AH34&lt;=T34),AT34,0),IF(AND(NOT(AND(AO34=1,AN34&lt;&gt;1)),ISNUMBER(AI34),AI34&lt;=T34),AU34,0),IF(AND(ISNUMBER(AJ34),AJ34&lt;=T34),AV34,0))),"SC","Mag")))))))</f>
        <v/>
      </c>
    </row>
    <row r="35">
      <c r="A35" s="26" t="n">
        <v>30</v>
      </c>
      <c r="B35" s="27">
        <f>A35*10/60</f>
        <v/>
      </c>
      <c r="C35" s="22">
        <f>X34</f>
        <v/>
      </c>
      <c r="D35" s="27">
        <f>D34+W34</f>
        <v/>
      </c>
      <c r="E35" s="26">
        <f>E34+IF(U34="SW",1,0)</f>
        <v/>
      </c>
      <c r="F35" s="26">
        <f>F34+IF(U34="AB",1,0)</f>
        <v/>
      </c>
      <c r="G35" s="26">
        <f>G34+IF(U34="SC",1,0)</f>
        <v/>
      </c>
      <c r="H35" s="26">
        <f>H34+IF(U34="Mag",1,0)</f>
        <v/>
      </c>
      <c r="I35" s="26">
        <f>MAX(I34,IF(U34="OR",1,0))</f>
        <v/>
      </c>
      <c r="J35" s="26">
        <f>MAX(J34,IF(U34="HP",1,0))</f>
        <v/>
      </c>
      <c r="K35" s="26">
        <f>MAX(K34,IF(U34="FP",1,0))</f>
        <v/>
      </c>
      <c r="L35" s="26">
        <f>MAX(L34,IF(U34="transition",1,0))</f>
        <v/>
      </c>
      <c r="M35" s="28">
        <f>(Parameters!$B$9+(IF(E35=0,0,(Upgrades!$J$6+E35*Upgrades!$K$6)*POWER(Upgrades!$L$6,E35)))*(IF(Upgrades!$T$7="Solar Wind",POWER(Upgrades!$U$7,F35),1)*IF(Upgrades!$T$8="Solar Wind",POWER(Upgrades!$U$8,G35),1)*IF(Upgrades!$T$9="Solar Wind",POWER(Upgrades!$U$9,H35),1)*IF(Upgrades!$T$10="Solar Wind",POWER(Upgrades!$U$10,I35),1)*IF(Upgrades!$T$11="Solar Wind",POWER(Upgrades!$U$11,J35),1)*IF(Upgrades!$T$12="Solar Wind",POWER(Upgrades!$U$12,K35),1))+(IF(F35=0,0,(Upgrades!$J$7+F35*Upgrades!$K$7)*POWER(Upgrades!$L$7,F35)))*(IF(Upgrades!$T$6="Asteroid Belt",POWER(Upgrades!$U$6,E35),1)*IF(Upgrades!$T$8="Asteroid Belt",POWER(Upgrades!$U$8,G35),1)*IF(Upgrades!$T$9="Asteroid Belt",POWER(Upgrades!$U$9,H35),1)*IF(Upgrades!$T$10="Asteroid Belt",POWER(Upgrades!$U$10,I35),1)*IF(Upgrades!$T$11="Asteroid Belt",POWER(Upgrades!$U$11,J35),1)*IF(Upgrades!$T$12="Asteroid Belt",POWER(Upgrades!$U$12,K35),1))+(IF(G35=0,0,(Upgrades!$J$8+G35*Upgrades!$K$8)*POWER(Upgrades!$L$8,G35)))*(IF(Upgrades!$T$6="Stellar Coupling",POWER(Upgrades!$U$6,E35),1)*IF(Upgrades!$T$7="Stellar Coupling",POWER(Upgrades!$U$7,F35),1)*IF(Upgrades!$T$9="Stellar Coupling",POWER(Upgrades!$U$9,H35),1)*IF(Upgrades!$T$10="Stellar Coupling",POWER(Upgrades!$U$10,I35),1)*IF(Upgrades!$T$11="Stellar Coupling",POWER(Upgrades!$U$11,J35),1)*IF(Upgrades!$T$12="Stellar Coupling",POWER(Upgrades!$U$12,K35),1))+(IF(H35=0,0,(Upgrades!$J$9+H35*Upgrades!$K$9)*POWER(Upgrades!$L$9,H35)))*(IF(Upgrades!$T$6="Magnetosphere",POWER(Upgrades!$U$6,E35),1)*IF(Upgrades!$T$7="Magnetosphere",POWER(Upgrades!$U$7,F35),1)*IF(Upgrades!$T$8="Magnetosphere",POWER(Upgrades!$U$8,G35),1)*IF(Upgrades!$T$10="Magnetosphere",POWER(Upgrades!$U$10,I35),1)*IF(Upgrades!$T$11="Magnetosphere",POWER(Upgrades!$U$11,J35),1)*IF(Upgrades!$T$12="Magnetosphere",POWER(Upgrades!$U$12,K35),1))+(IF(I35=0,0,(Upgrades!$J$10+I35*Upgrades!$K$10)*POWER(Upgrades!$L$10,I35)))*(IF(Upgrades!$T$6="Orbital Resonance",POWER(Upgrades!$U$6,E35),1)*IF(Upgrades!$T$7="Orbital Resonance",POWER(Upgrades!$U$7,F35),1)*IF(Upgrades!$T$8="Orbital Resonance",POWER(Upgrades!$U$8,G35),1)*IF(Upgrades!$T$9="Orbital Resonance",POWER(Upgrades!$U$9,H35),1)*IF(Upgrades!$T$11="Orbital Resonance",POWER(Upgrades!$U$11,J35),1)*IF(Upgrades!$T$12="Orbital Resonance",POWER(Upgrades!$U$12,K35),1))+(IF(J35=0,0,(Upgrades!$J$11+J35*Upgrades!$K$11)*POWER(Upgrades!$L$11,J35)))*(IF(Upgrades!$T$6="Heliopause",POWER(Upgrades!$U$6,E35),1)*IF(Upgrades!$T$7="Heliopause",POWER(Upgrades!$U$7,F35),1)*IF(Upgrades!$T$8="Heliopause",POWER(Upgrades!$U$8,G35),1)*IF(Upgrades!$T$9="Heliopause",POWER(Upgrades!$U$9,H35),1)*IF(Upgrades!$T$10="Heliopause",POWER(Upgrades!$U$10,I35),1)*IF(Upgrades!$T$12="Heliopause",POWER(Upgrades!$U$12,K35),1))+(IF(K35=0,0,(Upgrades!$J$12+K35*Upgrades!$K$12)*POWER(Upgrades!$L$12,K35)))*(IF(Upgrades!$T$6="First Photons",POWER(Upgrades!$U$6,E35),1)*IF(Upgrades!$T$7="First Photons",POWER(Upgrades!$U$7,F35),1)*IF(Upgrades!$T$8="First Photons",POWER(Upgrades!$U$8,G35),1)*IF(Upgrades!$T$9="First Photons",POWER(Upgrades!$U$9,H35),1)*IF(Upgrades!$T$10="First Photons",POWER(Upgrades!$U$10,I35),1)*IF(Upgrades!$T$11="First Photons",POWER(Upgrades!$U$11,J35),1)))*POWER(Upgrades!$Q$6,E35)*POWER(Upgrades!$Q$7,F35)*POWER(Upgrades!$Q$8,G35)*POWER(Upgrades!$Q$9,H35)*POWER(Upgrades!$Q$10,I35)*POWER(Upgrades!$Q$11,J35)*POWER(Upgrades!$Q$12,K35)</f>
        <v/>
      </c>
      <c r="N35" s="28">
        <f>((IF(E35=0,0,(Upgrades!$G$6+E35*Upgrades!$H$6)*POWER(Upgrades!$I$6,E35)))*(IF(Upgrades!$T$7="Solar Wind",POWER(Upgrades!$U$7,F35),1)*IF(Upgrades!$T$8="Solar Wind",POWER(Upgrades!$U$8,G35),1)*IF(Upgrades!$T$9="Solar Wind",POWER(Upgrades!$U$9,H35),1)*IF(Upgrades!$T$10="Solar Wind",POWER(Upgrades!$U$10,I35),1)*IF(Upgrades!$T$11="Solar Wind",POWER(Upgrades!$U$11,J35),1)*IF(Upgrades!$T$12="Solar Wind",POWER(Upgrades!$U$12,K35),1))+(IF(F35=0,0,(Upgrades!$G$7+F35*Upgrades!$H$7)*POWER(Upgrades!$I$7,F35)))*(IF(Upgrades!$T$6="Asteroid Belt",POWER(Upgrades!$U$6,E35),1)*IF(Upgrades!$T$8="Asteroid Belt",POWER(Upgrades!$U$8,G35),1)*IF(Upgrades!$T$9="Asteroid Belt",POWER(Upgrades!$U$9,H35),1)*IF(Upgrades!$T$10="Asteroid Belt",POWER(Upgrades!$U$10,I35),1)*IF(Upgrades!$T$11="Asteroid Belt",POWER(Upgrades!$U$11,J35),1)*IF(Upgrades!$T$12="Asteroid Belt",POWER(Upgrades!$U$12,K35),1))+(IF(G35=0,0,(Upgrades!$G$8+G35*Upgrades!$H$8)*POWER(Upgrades!$I$8,G35)))*(IF(Upgrades!$T$6="Stellar Coupling",POWER(Upgrades!$U$6,E35),1)*IF(Upgrades!$T$7="Stellar Coupling",POWER(Upgrades!$U$7,F35),1)*IF(Upgrades!$T$9="Stellar Coupling",POWER(Upgrades!$U$9,H35),1)*IF(Upgrades!$T$10="Stellar Coupling",POWER(Upgrades!$U$10,I35),1)*IF(Upgrades!$T$11="Stellar Coupling",POWER(Upgrades!$U$11,J35),1)*IF(Upgrades!$T$12="Stellar Coupling",POWER(Upgrades!$U$12,K35),1))+(IF(H35=0,0,(Upgrades!$G$9+H35*Upgrades!$H$9)*POWER(Upgrades!$I$9,H35)))*(IF(Upgrades!$T$6="Magnetosphere",POWER(Upgrades!$U$6,E35),1)*IF(Upgrades!$T$7="Magnetosphere",POWER(Upgrades!$U$7,F35),1)*IF(Upgrades!$T$8="Magnetosphere",POWER(Upgrades!$U$8,G35),1)*IF(Upgrades!$T$10="Magnetosphere",POWER(Upgrades!$U$10,I35),1)*IF(Upgrades!$T$11="Magnetosphere",POWER(Upgrades!$U$11,J35),1)*IF(Upgrades!$T$12="Magnetosphere",POWER(Upgrades!$U$12,K35),1))+(IF(I35=0,0,(Upgrades!$G$10+I35*Upgrades!$H$10)*POWER(Upgrades!$I$10,I35)))*(IF(Upgrades!$T$6="Orbital Resonance",POWER(Upgrades!$U$6,E35),1)*IF(Upgrades!$T$7="Orbital Resonance",POWER(Upgrades!$U$7,F35),1)*IF(Upgrades!$T$8="Orbital Resonance",POWER(Upgrades!$U$8,G35),1)*IF(Upgrades!$T$9="Orbital Resonance",POWER(Upgrades!$U$9,H35),1)*IF(Upgrades!$T$11="Orbital Resonance",POWER(Upgrades!$U$11,J35),1)*IF(Upgrades!$T$12="Orbital Resonance",POWER(Upgrades!$U$12,K35),1))+(IF(J35=0,0,(Upgrades!$G$11+J35*Upgrades!$H$11)*POWER(Upgrades!$I$11,J35)))*(IF(Upgrades!$T$6="Heliopause",POWER(Upgrades!$U$6,E35),1)*IF(Upgrades!$T$7="Heliopause",POWER(Upgrades!$U$7,F35),1)*IF(Upgrades!$T$8="Heliopause",POWER(Upgrades!$U$8,G35),1)*IF(Upgrades!$T$9="Heliopause",POWER(Upgrades!$U$9,H35),1)*IF(Upgrades!$T$10="Heliopause",POWER(Upgrades!$U$10,I35),1)*IF(Upgrades!$T$12="Heliopause",POWER(Upgrades!$U$12,K35),1))+(IF(K35=0,0,(Upgrades!$G$12+K35*Upgrades!$H$12)*POWER(Upgrades!$I$12,K35)))*(IF(Upgrades!$T$6="First Photons",POWER(Upgrades!$U$6,E35),1)*IF(Upgrades!$T$7="First Photons",POWER(Upgrades!$U$7,F35),1)*IF(Upgrades!$T$8="First Photons",POWER(Upgrades!$U$8,G35),1)*IF(Upgrades!$T$9="First Photons",POWER(Upgrades!$U$9,H35),1)*IF(Upgrades!$T$10="First Photons",POWER(Upgrades!$U$10,I35),1)*IF(Upgrades!$T$11="First Photons",POWER(Upgrades!$U$11,J35),1)))*POWER(Upgrades!$P$6,E35)*POWER(Upgrades!$P$7,F35)*POWER(Upgrades!$P$8,G35)*POWER(Upgrades!$P$9,H35)*POWER(Upgrades!$P$10,I35)*POWER(Upgrades!$P$11,J35)*POWER(Upgrades!$P$12,K35)</f>
        <v/>
      </c>
      <c r="O35" s="28">
        <f>((IF(E35=0,0,(Upgrades!$M$6+E35*Upgrades!$N$6)*POWER(Upgrades!$O$6,E35)))*(IF(Upgrades!$T$7="Solar Wind",POWER(Upgrades!$U$7,F35),1)*IF(Upgrades!$T$8="Solar Wind",POWER(Upgrades!$U$8,G35),1)*IF(Upgrades!$T$9="Solar Wind",POWER(Upgrades!$U$9,H35),1)*IF(Upgrades!$T$10="Solar Wind",POWER(Upgrades!$U$10,I35),1)*IF(Upgrades!$T$11="Solar Wind",POWER(Upgrades!$U$11,J35),1)*IF(Upgrades!$T$12="Solar Wind",POWER(Upgrades!$U$12,K35),1))+(IF(F35=0,0,(Upgrades!$M$7+F35*Upgrades!$N$7)*POWER(Upgrades!$O$7,F35)))*(IF(Upgrades!$T$6="Asteroid Belt",POWER(Upgrades!$U$6,E35),1)*IF(Upgrades!$T$8="Asteroid Belt",POWER(Upgrades!$U$8,G35),1)*IF(Upgrades!$T$9="Asteroid Belt",POWER(Upgrades!$U$9,H35),1)*IF(Upgrades!$T$10="Asteroid Belt",POWER(Upgrades!$U$10,I35),1)*IF(Upgrades!$T$11="Asteroid Belt",POWER(Upgrades!$U$11,J35),1)*IF(Upgrades!$T$12="Asteroid Belt",POWER(Upgrades!$U$12,K35),1))+(IF(G35=0,0,(Upgrades!$M$8+G35*Upgrades!$N$8)*POWER(Upgrades!$O$8,G35)))*(IF(Upgrades!$T$6="Stellar Coupling",POWER(Upgrades!$U$6,E35),1)*IF(Upgrades!$T$7="Stellar Coupling",POWER(Upgrades!$U$7,F35),1)*IF(Upgrades!$T$9="Stellar Coupling",POWER(Upgrades!$U$9,H35),1)*IF(Upgrades!$T$10="Stellar Coupling",POWER(Upgrades!$U$10,I35),1)*IF(Upgrades!$T$11="Stellar Coupling",POWER(Upgrades!$U$11,J35),1)*IF(Upgrades!$T$12="Stellar Coupling",POWER(Upgrades!$U$12,K35),1))+(IF(H35=0,0,(Upgrades!$M$9+H35*Upgrades!$N$9)*POWER(Upgrades!$O$9,H35)))*(IF(Upgrades!$T$6="Magnetosphere",POWER(Upgrades!$U$6,E35),1)*IF(Upgrades!$T$7="Magnetosphere",POWER(Upgrades!$U$7,F35),1)*IF(Upgrades!$T$8="Magnetosphere",POWER(Upgrades!$U$8,G35),1)*IF(Upgrades!$T$10="Magnetosphere",POWER(Upgrades!$U$10,I35),1)*IF(Upgrades!$T$11="Magnetosphere",POWER(Upgrades!$U$11,J35),1)*IF(Upgrades!$T$12="Magnetosphere",POWER(Upgrades!$U$12,K35),1))+(IF(I35=0,0,(Upgrades!$M$10+I35*Upgrades!$N$10)*POWER(Upgrades!$O$10,I35)))*(IF(Upgrades!$T$6="Orbital Resonance",POWER(Upgrades!$U$6,E35),1)*IF(Upgrades!$T$7="Orbital Resonance",POWER(Upgrades!$U$7,F35),1)*IF(Upgrades!$T$8="Orbital Resonance",POWER(Upgrades!$U$8,G35),1)*IF(Upgrades!$T$9="Orbital Resonance",POWER(Upgrades!$U$9,H35),1)*IF(Upgrades!$T$11="Orbital Resonance",POWER(Upgrades!$U$11,J35),1)*IF(Upgrades!$T$12="Orbital Resonance",POWER(Upgrades!$U$12,K35),1))+(IF(J35=0,0,(Upgrades!$M$11+J35*Upgrades!$N$11)*POWER(Upgrades!$O$11,J35)))*(IF(Upgrades!$T$6="Heliopause",POWER(Upgrades!$U$6,E35),1)*IF(Upgrades!$T$7="Heliopause",POWER(Upgrades!$U$7,F35),1)*IF(Upgrades!$T$8="Heliopause",POWER(Upgrades!$U$8,G35),1)*IF(Upgrades!$T$9="Heliopause",POWER(Upgrades!$U$9,H35),1)*IF(Upgrades!$T$10="Heliopause",POWER(Upgrades!$U$10,I35),1)*IF(Upgrades!$T$12="Heliopause",POWER(Upgrades!$U$12,K35),1))+(IF(K35=0,0,(Upgrades!$M$12+K35*Upgrades!$N$12)*POWER(Upgrades!$O$12,K35)))*(IF(Upgrades!$T$6="First Photons",POWER(Upgrades!$U$6,E35),1)*IF(Upgrades!$T$7="First Photons",POWER(Upgrades!$U$7,F35),1)*IF(Upgrades!$T$8="First Photons",POWER(Upgrades!$U$8,G35),1)*IF(Upgrades!$T$9="First Photons",POWER(Upgrades!$U$9,H35),1)*IF(Upgrades!$T$10="First Photons",POWER(Upgrades!$U$10,I35),1)*IF(Upgrades!$T$11="First Photons",POWER(Upgrades!$U$11,J35),1)))*POWER(Upgrades!$R$6,E35)*POWER(Upgrades!$R$7,F35)*POWER(Upgrades!$R$8,G35)*POWER(Upgrades!$R$9,H35)*POWER(Upgrades!$R$10,I35)*POWER(Upgrades!$R$11,J35)*POWER(Upgrades!$R$12,K35)</f>
        <v/>
      </c>
      <c r="P35" s="27">
        <f>IF(L35=1,0,M35*Parameters!$B$10/60*Parameters!$B$11*10)</f>
        <v/>
      </c>
      <c r="Q35" s="27">
        <f>IF(L35=1,0,O35*M35*10)</f>
        <v/>
      </c>
      <c r="R35" s="27">
        <f>IF(L35=1,0,N35*10)</f>
        <v/>
      </c>
      <c r="S35" s="27">
        <f>P35+Q35+R35</f>
        <v/>
      </c>
      <c r="T35" s="22">
        <f>C35+S35</f>
        <v/>
      </c>
      <c r="U35" s="33">
        <f>AX35</f>
        <v/>
      </c>
      <c r="V35" s="22">
        <f>IF(U35="",0,IF(U35="transition",0,IF(U35="SW",AG35,IF(U35="AB",AH35,IF(U35="SC",AI35,IF(U35="Mag",AJ35,IF(U35="OR",AK35,IF(U35="HP",AL35,IF(U35="FP",AM35,0)))))))))</f>
        <v/>
      </c>
      <c r="W35" s="27">
        <f>IF(U35="OR",Upgrades!$F$10,IF(U35="HP",Upgrades!$F$11,IF(U35="transition",-Parameters!$B$18,0)))</f>
        <v/>
      </c>
      <c r="X35" s="22">
        <f>T35-V35</f>
        <v/>
      </c>
      <c r="Y35" s="30">
        <f>M35*Parameters!$B$10/60*Parameters!$B$11+O35*M35+N35</f>
        <v/>
      </c>
      <c r="Z35" s="34">
        <f>IF(U35="transition","→ Tier 2 (Stellar Neighborhood)",IF(U35="FP","First Photons — light begins, system quickens",IF(U35="HP","Heliopause acquired",IF(U35="OR","Orbital Resonance — passive multiplier active",IF(AND(AO35=1,L35=0,AN35&lt;&gt;1),"Cohesion ready (waiting on completionist upgrades)","")))))</f>
        <v/>
      </c>
      <c r="AA35" s="27">
        <f>(IF(E35=0,0,(Upgrades!$G$6+E35*Upgrades!$H$6)*POWER(Upgrades!$I$6,E35)))*(IF(Upgrades!$T$7="Solar Wind",POWER(Upgrades!$U$7,F35),1)*IF(Upgrades!$T$8="Solar Wind",POWER(Upgrades!$U$8,G35),1)*IF(Upgrades!$T$9="Solar Wind",POWER(Upgrades!$U$9,H35),1)*IF(Upgrades!$T$10="Solar Wind",POWER(Upgrades!$U$10,I35),1)*IF(Upgrades!$T$11="Solar Wind",POWER(Upgrades!$U$11,J35),1)*IF(Upgrades!$T$12="Solar Wind",POWER(Upgrades!$U$12,K35),1))*POWER(Upgrades!$P$6,E35)*POWER(Upgrades!$P$7,F35)*POWER(Upgrades!$P$8,G35)*POWER(Upgrades!$P$9,H35)*POWER(Upgrades!$P$10,I35)*POWER(Upgrades!$P$11,J35)*POWER(Upgrades!$P$12,K35)*60</f>
        <v/>
      </c>
      <c r="AB35" s="27">
        <f>(IF(F35=0,0,(Upgrades!$G$7+F35*Upgrades!$H$7)*POWER(Upgrades!$I$7,F35)))*(IF(Upgrades!$T$6="Asteroid Belt",POWER(Upgrades!$U$6,E35),1)*IF(Upgrades!$T$8="Asteroid Belt",POWER(Upgrades!$U$8,G35),1)*IF(Upgrades!$T$9="Asteroid Belt",POWER(Upgrades!$U$9,H35),1)*IF(Upgrades!$T$10="Asteroid Belt",POWER(Upgrades!$U$10,I35),1)*IF(Upgrades!$T$11="Asteroid Belt",POWER(Upgrades!$U$11,J35),1)*IF(Upgrades!$T$12="Asteroid Belt",POWER(Upgrades!$U$12,K35),1))*POWER(Upgrades!$P$6,E35)*POWER(Upgrades!$P$7,F35)*POWER(Upgrades!$P$8,G35)*POWER(Upgrades!$P$9,H35)*POWER(Upgrades!$P$10,I35)*POWER(Upgrades!$P$11,J35)*POWER(Upgrades!$P$12,K35)*60</f>
        <v/>
      </c>
      <c r="AC35" s="27">
        <f>(IF(G35=0,0,(Upgrades!$J$8+G35*Upgrades!$K$8)*POWER(Upgrades!$L$8,G35)))*(IF(Upgrades!$T$6="Stellar Coupling",POWER(Upgrades!$U$6,E35),1)*IF(Upgrades!$T$7="Stellar Coupling",POWER(Upgrades!$U$7,F35),1)*IF(Upgrades!$T$9="Stellar Coupling",POWER(Upgrades!$U$9,H35),1)*IF(Upgrades!$T$10="Stellar Coupling",POWER(Upgrades!$U$10,I35),1)*IF(Upgrades!$T$11="Stellar Coupling",POWER(Upgrades!$U$11,J35),1)*IF(Upgrades!$T$12="Stellar Coupling",POWER(Upgrades!$U$12,K35),1))*POWER(Upgrades!$Q$6,E35)*POWER(Upgrades!$Q$7,F35)*POWER(Upgrades!$Q$8,G35)*POWER(Upgrades!$Q$9,H35)*POWER(Upgrades!$Q$10,I35)*POWER(Upgrades!$Q$11,J35)*POWER(Upgrades!$Q$12,K35)*Parameters!$B$10*Parameters!$B$11</f>
        <v/>
      </c>
      <c r="AD35" s="27">
        <f>(IF(H35=0,0,(Upgrades!$G$9+H35*Upgrades!$H$9)*POWER(Upgrades!$I$9,H35)))*(IF(Upgrades!$T$6="Magnetosphere",POWER(Upgrades!$U$6,E35),1)*IF(Upgrades!$T$7="Magnetosphere",POWER(Upgrades!$U$7,F35),1)*IF(Upgrades!$T$8="Magnetosphere",POWER(Upgrades!$U$8,G35),1)*IF(Upgrades!$T$10="Magnetosphere",POWER(Upgrades!$U$10,I35),1)*IF(Upgrades!$T$11="Magnetosphere",POWER(Upgrades!$U$11,J35),1)*IF(Upgrades!$T$12="Magnetosphere",POWER(Upgrades!$U$12,K35),1))*POWER(Upgrades!$P$6,E35)*POWER(Upgrades!$P$7,F35)*POWER(Upgrades!$P$8,G35)*POWER(Upgrades!$P$9,H35)*POWER(Upgrades!$P$10,I35)*POWER(Upgrades!$P$11,J35)*POWER(Upgrades!$P$12,K35)*60</f>
        <v/>
      </c>
      <c r="AE35" s="27">
        <f>(IF(K35=0,0,(Upgrades!$G$12+K35*Upgrades!$H$12)*POWER(Upgrades!$I$12,K35)))*(IF(Upgrades!$T$6="First Photons",POWER(Upgrades!$U$6,E35),1)*IF(Upgrades!$T$7="First Photons",POWER(Upgrades!$U$7,F35),1)*IF(Upgrades!$T$8="First Photons",POWER(Upgrades!$U$8,G35),1)*IF(Upgrades!$T$9="First Photons",POWER(Upgrades!$U$9,H35),1)*IF(Upgrades!$T$10="First Photons",POWER(Upgrades!$U$10,I35),1)*IF(Upgrades!$T$11="First Photons",POWER(Upgrades!$U$11,J35),1))*POWER(Upgrades!$P$6,E35)*POWER(Upgrades!$P$7,F35)*POWER(Upgrades!$P$8,G35)*POWER(Upgrades!$P$9,H35)*POWER(Upgrades!$P$10,I35)*POWER(Upgrades!$P$11,J35)*POWER(Upgrades!$P$12,K35)*60</f>
        <v/>
      </c>
      <c r="AF35" s="27">
        <f>Parameters!$B$9*POWER(Upgrades!$Q$6,E35)*POWER(Upgrades!$Q$7,F35)*POWER(Upgrades!$Q$8,G35)*POWER(Upgrades!$Q$9,H35)*POWER(Upgrades!$Q$10,I35)*POWER(Upgrades!$Q$11,J35)*POWER(Upgrades!$Q$12,K35)*(Parameters!$B$10*Parameters!$B$11+O35*60)</f>
        <v/>
      </c>
      <c r="AG35" s="22">
        <f>IF(E35&gt;=Upgrades!$E$6,"",Upgrades!$C$6*POWER(Upgrades!$D$6,E35))</f>
        <v/>
      </c>
      <c r="AH35" s="22">
        <f>IF(F35&gt;=Upgrades!$E$7,"",Upgrades!$C$7*POWER(Upgrades!$D$7,F35))</f>
        <v/>
      </c>
      <c r="AI35" s="22">
        <f>IF(G35&gt;=Upgrades!$E$8,"",Upgrades!$C$8*POWER(Upgrades!$D$8,G35))</f>
        <v/>
      </c>
      <c r="AJ35" s="22">
        <f>IF(H35&gt;=Upgrades!$E$9,"",Upgrades!$C$9*POWER(Upgrades!$D$9,H35))</f>
        <v/>
      </c>
      <c r="AK35" s="22">
        <f>IF(I35&gt;=Upgrades!$E$10,"",Upgrades!$C$10*POWER(Upgrades!$D$10,I35))</f>
        <v/>
      </c>
      <c r="AL35" s="22">
        <f>IF(J35&gt;=Upgrades!$E$11,"",Upgrades!$C$11*POWER(Upgrades!$D$11,J35))</f>
        <v/>
      </c>
      <c r="AM35" s="22">
        <f>IF(K35&gt;=Upgrades!$E$12,"",Upgrades!$C$12*POWER(Upgrades!$D$12,K35))</f>
        <v/>
      </c>
      <c r="AN35" s="26">
        <f>IF(AND(D35&gt;=Parameters!$B$18,(H35&gt;=Upgrades!$E$9)*(K35&gt;=Upgrades!$E$12)=1,L35=0),1,"")</f>
        <v/>
      </c>
      <c r="AO35" s="26">
        <f>IF(AND(D35&gt;=Parameters!$B$18,L35=0),1,"")</f>
        <v/>
      </c>
      <c r="AP35" s="22">
        <f>MIN(IF(ISNUMBER(AK35),AK35,9E15),IF(ISNUMBER(AL35),AL35,9E15),IF(ISNUMBER(AM35),AM35,9E15))</f>
        <v/>
      </c>
      <c r="AQ35" s="22">
        <f>MIN(IF(ISNUMBER(AG35),AG35,9E15),IF(ISNUMBER(AH35),AH35,9E15),IF(ISNUMBER(AI35),AI35,9E15),IF(ISNUMBER(AJ35),AJ35,9E15))</f>
        <v/>
      </c>
      <c r="AR35" s="29">
        <f>IF(AW35&gt;Parameters!$B$21*(MAX(IF(AND(NOT(AND(AO35=1,AN35&lt;&gt;1)),ISNUMBER(AG35),AG35&lt;=T35),AS35,0),IF(AND(NOT(AND(AO35=1,AN35&lt;&gt;1)),ISNUMBER(AH35),AH35&lt;=T35),AT35,0),IF(AND(NOT(AND(AO35=1,AN35&lt;&gt;1)),ISNUMBER(AI35),AI35&lt;=T35),AU35,0),IF(AND(ISNUMBER(AJ35),AJ35&lt;=T35),AV35,0))),TRUE,FALSE)</f>
        <v/>
      </c>
      <c r="AS35" s="32">
        <f>IFERROR(Upgrades!$H$6*(POWER(Upgrades!$P$6,E35)*POWER(Upgrades!$P$7,F35)*POWER(Upgrades!$P$8,G35)*POWER(Upgrades!$P$9,H35)*POWER(Upgrades!$P$10,I35)*POWER(Upgrades!$P$11,J35)*POWER(Upgrades!$P$12,K35))*(IF(Upgrades!$T$7="Solar Wind",POWER(Upgrades!$U$7,F35),1)*IF(Upgrades!$T$8="Solar Wind",POWER(Upgrades!$U$8,G35),1)*IF(Upgrades!$T$9="Solar Wind",POWER(Upgrades!$U$9,H35),1)*IF(Upgrades!$T$10="Solar Wind",POWER(Upgrades!$U$10,I35),1)*IF(Upgrades!$T$11="Solar Wind",POWER(Upgrades!$U$11,J35),1)*IF(Upgrades!$T$12="Solar Wind",POWER(Upgrades!$U$12,K35),1))/AG35,0)</f>
        <v/>
      </c>
      <c r="AT35" s="32">
        <f>IFERROR(Upgrades!$H$7*(POWER(Upgrades!$P$6,E35)*POWER(Upgrades!$P$7,F35)*POWER(Upgrades!$P$8,G35)*POWER(Upgrades!$P$9,H35)*POWER(Upgrades!$P$10,I35)*POWER(Upgrades!$P$11,J35)*POWER(Upgrades!$P$12,K35))*(IF(Upgrades!$T$6="Asteroid Belt",POWER(Upgrades!$U$6,E35),1)*IF(Upgrades!$T$8="Asteroid Belt",POWER(Upgrades!$U$8,G35),1)*IF(Upgrades!$T$9="Asteroid Belt",POWER(Upgrades!$U$9,H35),1)*IF(Upgrades!$T$10="Asteroid Belt",POWER(Upgrades!$U$10,I35),1)*IF(Upgrades!$T$11="Asteroid Belt",POWER(Upgrades!$U$11,J35),1)*IF(Upgrades!$T$12="Asteroid Belt",POWER(Upgrades!$U$12,K35),1))/AH35,0)</f>
        <v/>
      </c>
      <c r="AU35" s="32">
        <f>IFERROR(Upgrades!$K$8*(POWER(Upgrades!$Q$6,E35)*POWER(Upgrades!$Q$7,F35)*POWER(Upgrades!$Q$8,G35)*POWER(Upgrades!$Q$9,H35)*POWER(Upgrades!$Q$10,I35)*POWER(Upgrades!$Q$11,J35)*POWER(Upgrades!$Q$12,K35))*(IF(Upgrades!$T$6="Stellar Coupling",POWER(Upgrades!$U$6,E35),1)*IF(Upgrades!$T$7="Stellar Coupling",POWER(Upgrades!$U$7,F35),1)*IF(Upgrades!$T$9="Stellar Coupling",POWER(Upgrades!$U$9,H35),1)*IF(Upgrades!$T$10="Stellar Coupling",POWER(Upgrades!$U$10,I35),1)*IF(Upgrades!$T$11="Stellar Coupling",POWER(Upgrades!$U$11,J35),1)*IF(Upgrades!$T$12="Stellar Coupling",POWER(Upgrades!$U$12,K35),1))*Parameters!$B$10*Parameters!$B$11/60/AI35,0)</f>
        <v/>
      </c>
      <c r="AV35" s="32">
        <f>IFERROR(Upgrades!$H$9*(POWER(Upgrades!$P$6,E35)*POWER(Upgrades!$P$7,F35)*POWER(Upgrades!$P$8,G35)*POWER(Upgrades!$P$9,H35)*POWER(Upgrades!$P$10,I35)*POWER(Upgrades!$P$11,J35)*POWER(Upgrades!$P$12,K35))*(IF(Upgrades!$T$6="Magnetosphere",POWER(Upgrades!$U$6,E35),1)*IF(Upgrades!$T$7="Magnetosphere",POWER(Upgrades!$U$7,F35),1)*IF(Upgrades!$T$8="Magnetosphere",POWER(Upgrades!$U$8,G35),1)*IF(Upgrades!$T$10="Magnetosphere",POWER(Upgrades!$U$10,I35),1)*IF(Upgrades!$T$11="Magnetosphere",POWER(Upgrades!$U$11,J35),1)*IF(Upgrades!$T$12="Magnetosphere",POWER(Upgrades!$U$12,K35),1))/AJ35,0)</f>
        <v/>
      </c>
      <c r="AW35" s="32">
        <f>MAX(IF(I35&gt;0,0,IFERROR(0.25*N35/Upgrades!$C$10,0)),IF(J35&gt;0,0,IFERROR(0.5*((IF(G35=0,0,(Upgrades!$J$8+G35*Upgrades!$K$8)*POWER(Upgrades!$L$8,G35)))*(IF(Upgrades!$T$6="Stellar Coupling",POWER(Upgrades!$U$6,E35),1)*IF(Upgrades!$T$7="Stellar Coupling",POWER(Upgrades!$U$7,F35),1)*IF(Upgrades!$T$9="Stellar Coupling",POWER(Upgrades!$U$9,H35),1)*IF(Upgrades!$T$10="Stellar Coupling",POWER(Upgrades!$U$10,I35),1)*IF(Upgrades!$T$11="Stellar Coupling",POWER(Upgrades!$U$11,J35),1)*IF(Upgrades!$T$12="Stellar Coupling",POWER(Upgrades!$U$12,K35),1))*(POWER(Upgrades!$Q$6,E35)*POWER(Upgrades!$Q$7,F35)*POWER(Upgrades!$Q$8,G35)*POWER(Upgrades!$Q$9,H35)*POWER(Upgrades!$Q$10,I35)*POWER(Upgrades!$Q$11,J35)*POWER(Upgrades!$Q$12,K35))*Parameters!$B$10*Parameters!$B$11/60)/Upgrades!$C$11,0)),IF(K35&gt;0,0,IFERROR((1.0*(POWER(Upgrades!$P$6,E35)*POWER(Upgrades!$P$7,F35)*POWER(Upgrades!$P$8,G35)*POWER(Upgrades!$P$9,H35)*POWER(Upgrades!$P$10,I35)*POWER(Upgrades!$P$11,J35)*POWER(Upgrades!$P$12,K35))+0.20*M35*Parameters!$B$10*Parameters!$B$11/60)/Upgrades!$C$12,0)),IF(AND(ISNUMBER(AG35),AG35&gt;T35),AS35,0),IF(AND(ISNUMBER(AH35),AH35&gt;T35),AT35,0),IF(AND(ISNUMBER(AI35),AI35&gt;T35),AU35,0),IF(AND(ISNUMBER(AJ35),AJ35&gt;T35),AV35,0))</f>
        <v/>
      </c>
      <c r="AX35" s="29">
        <f>IF(AN35=1,"transition",IF(MIN(IF(AND(I35=0,ISNUMBER(AK35),AK35&lt;=T35),AK35,9E15),IF(AND(J35=0,ISNUMBER(AL35),AL35&lt;=T35),AL35,9E15),IF(AND(K35=0,ISNUMBER(AM35),AM35&lt;=T35),AM35,9E15))&lt;9E15,IF(AND(AND(I35=0,ISNUMBER(AK35),AK35&lt;=T35),AK35=MIN(IF(AND(I35=0,ISNUMBER(AK35),AK35&lt;=T35),AK35,9E15),IF(AND(J35=0,ISNUMBER(AL35),AL35&lt;=T35),AL35,9E15),IF(AND(K35=0,ISNUMBER(AM35),AM35&lt;=T35),AM35,9E15))),"OR",IF(AND(AND(J35=0,ISNUMBER(AL35),AL35&lt;=T35),AL35=MIN(IF(AND(I35=0,ISNUMBER(AK35),AK35&lt;=T35),AK35,9E15),IF(AND(J35=0,ISNUMBER(AL35),AL35&lt;=T35),AL35,9E15),IF(AND(K35=0,ISNUMBER(AM35),AM35&lt;=T35),AM35,9E15))),"HP","FP")),IF(AR35=TRUE,"",IF(MAX(IF(AND(NOT(AND(AO35=1,AN35&lt;&gt;1)),ISNUMBER(AG35),AG35&lt;=T35),AS35,0),IF(AND(NOT(AND(AO35=1,AN35&lt;&gt;1)),ISNUMBER(AH35),AH35&lt;=T35),AT35,0),IF(AND(NOT(AND(AO35=1,AN35&lt;&gt;1)),ISNUMBER(AI35),AI35&lt;=T35),AU35,0),IF(AND(ISNUMBER(AJ35),AJ35&lt;=T35),AV35,0))&lt;=0,"",IF(AND(IF(AND(NOT(AND(AO35=1,AN35&lt;&gt;1)),ISNUMBER(AG35),AG35&lt;=T35),AS35,0)&gt;0,IF(AND(NOT(AND(AO35=1,AN35&lt;&gt;1)),ISNUMBER(AG35),AG35&lt;=T35),AS35,0)=MAX(IF(AND(NOT(AND(AO35=1,AN35&lt;&gt;1)),ISNUMBER(AG35),AG35&lt;=T35),AS35,0),IF(AND(NOT(AND(AO35=1,AN35&lt;&gt;1)),ISNUMBER(AH35),AH35&lt;=T35),AT35,0),IF(AND(NOT(AND(AO35=1,AN35&lt;&gt;1)),ISNUMBER(AI35),AI35&lt;=T35),AU35,0),IF(AND(ISNUMBER(AJ35),AJ35&lt;=T35),AV35,0))),"SW",IF(AND(IF(AND(NOT(AND(AO35=1,AN35&lt;&gt;1)),ISNUMBER(AH35),AH35&lt;=T35),AT35,0)&gt;0,IF(AND(NOT(AND(AO35=1,AN35&lt;&gt;1)),ISNUMBER(AH35),AH35&lt;=T35),AT35,0)=MAX(IF(AND(NOT(AND(AO35=1,AN35&lt;&gt;1)),ISNUMBER(AG35),AG35&lt;=T35),AS35,0),IF(AND(NOT(AND(AO35=1,AN35&lt;&gt;1)),ISNUMBER(AH35),AH35&lt;=T35),AT35,0),IF(AND(NOT(AND(AO35=1,AN35&lt;&gt;1)),ISNUMBER(AI35),AI35&lt;=T35),AU35,0),IF(AND(ISNUMBER(AJ35),AJ35&lt;=T35),AV35,0))),"AB",IF(AND(IF(AND(NOT(AND(AO35=1,AN35&lt;&gt;1)),ISNUMBER(AI35),AI35&lt;=T35),AU35,0)&gt;0,IF(AND(NOT(AND(AO35=1,AN35&lt;&gt;1)),ISNUMBER(AI35),AI35&lt;=T35),AU35,0)=MAX(IF(AND(NOT(AND(AO35=1,AN35&lt;&gt;1)),ISNUMBER(AG35),AG35&lt;=T35),AS35,0),IF(AND(NOT(AND(AO35=1,AN35&lt;&gt;1)),ISNUMBER(AH35),AH35&lt;=T35),AT35,0),IF(AND(NOT(AND(AO35=1,AN35&lt;&gt;1)),ISNUMBER(AI35),AI35&lt;=T35),AU35,0),IF(AND(ISNUMBER(AJ35),AJ35&lt;=T35),AV35,0))),"SC","Mag")))))))</f>
        <v/>
      </c>
    </row>
    <row r="36">
      <c r="A36" s="26" t="n">
        <v>31</v>
      </c>
      <c r="B36" s="27">
        <f>A36*10/60</f>
        <v/>
      </c>
      <c r="C36" s="22">
        <f>X35</f>
        <v/>
      </c>
      <c r="D36" s="27">
        <f>D35+W35</f>
        <v/>
      </c>
      <c r="E36" s="26">
        <f>E35+IF(U35="SW",1,0)</f>
        <v/>
      </c>
      <c r="F36" s="26">
        <f>F35+IF(U35="AB",1,0)</f>
        <v/>
      </c>
      <c r="G36" s="26">
        <f>G35+IF(U35="SC",1,0)</f>
        <v/>
      </c>
      <c r="H36" s="26">
        <f>H35+IF(U35="Mag",1,0)</f>
        <v/>
      </c>
      <c r="I36" s="26">
        <f>MAX(I35,IF(U35="OR",1,0))</f>
        <v/>
      </c>
      <c r="J36" s="26">
        <f>MAX(J35,IF(U35="HP",1,0))</f>
        <v/>
      </c>
      <c r="K36" s="26">
        <f>MAX(K35,IF(U35="FP",1,0))</f>
        <v/>
      </c>
      <c r="L36" s="26">
        <f>MAX(L35,IF(U35="transition",1,0))</f>
        <v/>
      </c>
      <c r="M36" s="28">
        <f>(Parameters!$B$9+(IF(E36=0,0,(Upgrades!$J$6+E36*Upgrades!$K$6)*POWER(Upgrades!$L$6,E36)))*(IF(Upgrades!$T$7="Solar Wind",POWER(Upgrades!$U$7,F36),1)*IF(Upgrades!$T$8="Solar Wind",POWER(Upgrades!$U$8,G36),1)*IF(Upgrades!$T$9="Solar Wind",POWER(Upgrades!$U$9,H36),1)*IF(Upgrades!$T$10="Solar Wind",POWER(Upgrades!$U$10,I36),1)*IF(Upgrades!$T$11="Solar Wind",POWER(Upgrades!$U$11,J36),1)*IF(Upgrades!$T$12="Solar Wind",POWER(Upgrades!$U$12,K36),1))+(IF(F36=0,0,(Upgrades!$J$7+F36*Upgrades!$K$7)*POWER(Upgrades!$L$7,F36)))*(IF(Upgrades!$T$6="Asteroid Belt",POWER(Upgrades!$U$6,E36),1)*IF(Upgrades!$T$8="Asteroid Belt",POWER(Upgrades!$U$8,G36),1)*IF(Upgrades!$T$9="Asteroid Belt",POWER(Upgrades!$U$9,H36),1)*IF(Upgrades!$T$10="Asteroid Belt",POWER(Upgrades!$U$10,I36),1)*IF(Upgrades!$T$11="Asteroid Belt",POWER(Upgrades!$U$11,J36),1)*IF(Upgrades!$T$12="Asteroid Belt",POWER(Upgrades!$U$12,K36),1))+(IF(G36=0,0,(Upgrades!$J$8+G36*Upgrades!$K$8)*POWER(Upgrades!$L$8,G36)))*(IF(Upgrades!$T$6="Stellar Coupling",POWER(Upgrades!$U$6,E36),1)*IF(Upgrades!$T$7="Stellar Coupling",POWER(Upgrades!$U$7,F36),1)*IF(Upgrades!$T$9="Stellar Coupling",POWER(Upgrades!$U$9,H36),1)*IF(Upgrades!$T$10="Stellar Coupling",POWER(Upgrades!$U$10,I36),1)*IF(Upgrades!$T$11="Stellar Coupling",POWER(Upgrades!$U$11,J36),1)*IF(Upgrades!$T$12="Stellar Coupling",POWER(Upgrades!$U$12,K36),1))+(IF(H36=0,0,(Upgrades!$J$9+H36*Upgrades!$K$9)*POWER(Upgrades!$L$9,H36)))*(IF(Upgrades!$T$6="Magnetosphere",POWER(Upgrades!$U$6,E36),1)*IF(Upgrades!$T$7="Magnetosphere",POWER(Upgrades!$U$7,F36),1)*IF(Upgrades!$T$8="Magnetosphere",POWER(Upgrades!$U$8,G36),1)*IF(Upgrades!$T$10="Magnetosphere",POWER(Upgrades!$U$10,I36),1)*IF(Upgrades!$T$11="Magnetosphere",POWER(Upgrades!$U$11,J36),1)*IF(Upgrades!$T$12="Magnetosphere",POWER(Upgrades!$U$12,K36),1))+(IF(I36=0,0,(Upgrades!$J$10+I36*Upgrades!$K$10)*POWER(Upgrades!$L$10,I36)))*(IF(Upgrades!$T$6="Orbital Resonance",POWER(Upgrades!$U$6,E36),1)*IF(Upgrades!$T$7="Orbital Resonance",POWER(Upgrades!$U$7,F36),1)*IF(Upgrades!$T$8="Orbital Resonance",POWER(Upgrades!$U$8,G36),1)*IF(Upgrades!$T$9="Orbital Resonance",POWER(Upgrades!$U$9,H36),1)*IF(Upgrades!$T$11="Orbital Resonance",POWER(Upgrades!$U$11,J36),1)*IF(Upgrades!$T$12="Orbital Resonance",POWER(Upgrades!$U$12,K36),1))+(IF(J36=0,0,(Upgrades!$J$11+J36*Upgrades!$K$11)*POWER(Upgrades!$L$11,J36)))*(IF(Upgrades!$T$6="Heliopause",POWER(Upgrades!$U$6,E36),1)*IF(Upgrades!$T$7="Heliopause",POWER(Upgrades!$U$7,F36),1)*IF(Upgrades!$T$8="Heliopause",POWER(Upgrades!$U$8,G36),1)*IF(Upgrades!$T$9="Heliopause",POWER(Upgrades!$U$9,H36),1)*IF(Upgrades!$T$10="Heliopause",POWER(Upgrades!$U$10,I36),1)*IF(Upgrades!$T$12="Heliopause",POWER(Upgrades!$U$12,K36),1))+(IF(K36=0,0,(Upgrades!$J$12+K36*Upgrades!$K$12)*POWER(Upgrades!$L$12,K36)))*(IF(Upgrades!$T$6="First Photons",POWER(Upgrades!$U$6,E36),1)*IF(Upgrades!$T$7="First Photons",POWER(Upgrades!$U$7,F36),1)*IF(Upgrades!$T$8="First Photons",POWER(Upgrades!$U$8,G36),1)*IF(Upgrades!$T$9="First Photons",POWER(Upgrades!$U$9,H36),1)*IF(Upgrades!$T$10="First Photons",POWER(Upgrades!$U$10,I36),1)*IF(Upgrades!$T$11="First Photons",POWER(Upgrades!$U$11,J36),1)))*POWER(Upgrades!$Q$6,E36)*POWER(Upgrades!$Q$7,F36)*POWER(Upgrades!$Q$8,G36)*POWER(Upgrades!$Q$9,H36)*POWER(Upgrades!$Q$10,I36)*POWER(Upgrades!$Q$11,J36)*POWER(Upgrades!$Q$12,K36)</f>
        <v/>
      </c>
      <c r="N36" s="28">
        <f>((IF(E36=0,0,(Upgrades!$G$6+E36*Upgrades!$H$6)*POWER(Upgrades!$I$6,E36)))*(IF(Upgrades!$T$7="Solar Wind",POWER(Upgrades!$U$7,F36),1)*IF(Upgrades!$T$8="Solar Wind",POWER(Upgrades!$U$8,G36),1)*IF(Upgrades!$T$9="Solar Wind",POWER(Upgrades!$U$9,H36),1)*IF(Upgrades!$T$10="Solar Wind",POWER(Upgrades!$U$10,I36),1)*IF(Upgrades!$T$11="Solar Wind",POWER(Upgrades!$U$11,J36),1)*IF(Upgrades!$T$12="Solar Wind",POWER(Upgrades!$U$12,K36),1))+(IF(F36=0,0,(Upgrades!$G$7+F36*Upgrades!$H$7)*POWER(Upgrades!$I$7,F36)))*(IF(Upgrades!$T$6="Asteroid Belt",POWER(Upgrades!$U$6,E36),1)*IF(Upgrades!$T$8="Asteroid Belt",POWER(Upgrades!$U$8,G36),1)*IF(Upgrades!$T$9="Asteroid Belt",POWER(Upgrades!$U$9,H36),1)*IF(Upgrades!$T$10="Asteroid Belt",POWER(Upgrades!$U$10,I36),1)*IF(Upgrades!$T$11="Asteroid Belt",POWER(Upgrades!$U$11,J36),1)*IF(Upgrades!$T$12="Asteroid Belt",POWER(Upgrades!$U$12,K36),1))+(IF(G36=0,0,(Upgrades!$G$8+G36*Upgrades!$H$8)*POWER(Upgrades!$I$8,G36)))*(IF(Upgrades!$T$6="Stellar Coupling",POWER(Upgrades!$U$6,E36),1)*IF(Upgrades!$T$7="Stellar Coupling",POWER(Upgrades!$U$7,F36),1)*IF(Upgrades!$T$9="Stellar Coupling",POWER(Upgrades!$U$9,H36),1)*IF(Upgrades!$T$10="Stellar Coupling",POWER(Upgrades!$U$10,I36),1)*IF(Upgrades!$T$11="Stellar Coupling",POWER(Upgrades!$U$11,J36),1)*IF(Upgrades!$T$12="Stellar Coupling",POWER(Upgrades!$U$12,K36),1))+(IF(H36=0,0,(Upgrades!$G$9+H36*Upgrades!$H$9)*POWER(Upgrades!$I$9,H36)))*(IF(Upgrades!$T$6="Magnetosphere",POWER(Upgrades!$U$6,E36),1)*IF(Upgrades!$T$7="Magnetosphere",POWER(Upgrades!$U$7,F36),1)*IF(Upgrades!$T$8="Magnetosphere",POWER(Upgrades!$U$8,G36),1)*IF(Upgrades!$T$10="Magnetosphere",POWER(Upgrades!$U$10,I36),1)*IF(Upgrades!$T$11="Magnetosphere",POWER(Upgrades!$U$11,J36),1)*IF(Upgrades!$T$12="Magnetosphere",POWER(Upgrades!$U$12,K36),1))+(IF(I36=0,0,(Upgrades!$G$10+I36*Upgrades!$H$10)*POWER(Upgrades!$I$10,I36)))*(IF(Upgrades!$T$6="Orbital Resonance",POWER(Upgrades!$U$6,E36),1)*IF(Upgrades!$T$7="Orbital Resonance",POWER(Upgrades!$U$7,F36),1)*IF(Upgrades!$T$8="Orbital Resonance",POWER(Upgrades!$U$8,G36),1)*IF(Upgrades!$T$9="Orbital Resonance",POWER(Upgrades!$U$9,H36),1)*IF(Upgrades!$T$11="Orbital Resonance",POWER(Upgrades!$U$11,J36),1)*IF(Upgrades!$T$12="Orbital Resonance",POWER(Upgrades!$U$12,K36),1))+(IF(J36=0,0,(Upgrades!$G$11+J36*Upgrades!$H$11)*POWER(Upgrades!$I$11,J36)))*(IF(Upgrades!$T$6="Heliopause",POWER(Upgrades!$U$6,E36),1)*IF(Upgrades!$T$7="Heliopause",POWER(Upgrades!$U$7,F36),1)*IF(Upgrades!$T$8="Heliopause",POWER(Upgrades!$U$8,G36),1)*IF(Upgrades!$T$9="Heliopause",POWER(Upgrades!$U$9,H36),1)*IF(Upgrades!$T$10="Heliopause",POWER(Upgrades!$U$10,I36),1)*IF(Upgrades!$T$12="Heliopause",POWER(Upgrades!$U$12,K36),1))+(IF(K36=0,0,(Upgrades!$G$12+K36*Upgrades!$H$12)*POWER(Upgrades!$I$12,K36)))*(IF(Upgrades!$T$6="First Photons",POWER(Upgrades!$U$6,E36),1)*IF(Upgrades!$T$7="First Photons",POWER(Upgrades!$U$7,F36),1)*IF(Upgrades!$T$8="First Photons",POWER(Upgrades!$U$8,G36),1)*IF(Upgrades!$T$9="First Photons",POWER(Upgrades!$U$9,H36),1)*IF(Upgrades!$T$10="First Photons",POWER(Upgrades!$U$10,I36),1)*IF(Upgrades!$T$11="First Photons",POWER(Upgrades!$U$11,J36),1)))*POWER(Upgrades!$P$6,E36)*POWER(Upgrades!$P$7,F36)*POWER(Upgrades!$P$8,G36)*POWER(Upgrades!$P$9,H36)*POWER(Upgrades!$P$10,I36)*POWER(Upgrades!$P$11,J36)*POWER(Upgrades!$P$12,K36)</f>
        <v/>
      </c>
      <c r="O36" s="28">
        <f>((IF(E36=0,0,(Upgrades!$M$6+E36*Upgrades!$N$6)*POWER(Upgrades!$O$6,E36)))*(IF(Upgrades!$T$7="Solar Wind",POWER(Upgrades!$U$7,F36),1)*IF(Upgrades!$T$8="Solar Wind",POWER(Upgrades!$U$8,G36),1)*IF(Upgrades!$T$9="Solar Wind",POWER(Upgrades!$U$9,H36),1)*IF(Upgrades!$T$10="Solar Wind",POWER(Upgrades!$U$10,I36),1)*IF(Upgrades!$T$11="Solar Wind",POWER(Upgrades!$U$11,J36),1)*IF(Upgrades!$T$12="Solar Wind",POWER(Upgrades!$U$12,K36),1))+(IF(F36=0,0,(Upgrades!$M$7+F36*Upgrades!$N$7)*POWER(Upgrades!$O$7,F36)))*(IF(Upgrades!$T$6="Asteroid Belt",POWER(Upgrades!$U$6,E36),1)*IF(Upgrades!$T$8="Asteroid Belt",POWER(Upgrades!$U$8,G36),1)*IF(Upgrades!$T$9="Asteroid Belt",POWER(Upgrades!$U$9,H36),1)*IF(Upgrades!$T$10="Asteroid Belt",POWER(Upgrades!$U$10,I36),1)*IF(Upgrades!$T$11="Asteroid Belt",POWER(Upgrades!$U$11,J36),1)*IF(Upgrades!$T$12="Asteroid Belt",POWER(Upgrades!$U$12,K36),1))+(IF(G36=0,0,(Upgrades!$M$8+G36*Upgrades!$N$8)*POWER(Upgrades!$O$8,G36)))*(IF(Upgrades!$T$6="Stellar Coupling",POWER(Upgrades!$U$6,E36),1)*IF(Upgrades!$T$7="Stellar Coupling",POWER(Upgrades!$U$7,F36),1)*IF(Upgrades!$T$9="Stellar Coupling",POWER(Upgrades!$U$9,H36),1)*IF(Upgrades!$T$10="Stellar Coupling",POWER(Upgrades!$U$10,I36),1)*IF(Upgrades!$T$11="Stellar Coupling",POWER(Upgrades!$U$11,J36),1)*IF(Upgrades!$T$12="Stellar Coupling",POWER(Upgrades!$U$12,K36),1))+(IF(H36=0,0,(Upgrades!$M$9+H36*Upgrades!$N$9)*POWER(Upgrades!$O$9,H36)))*(IF(Upgrades!$T$6="Magnetosphere",POWER(Upgrades!$U$6,E36),1)*IF(Upgrades!$T$7="Magnetosphere",POWER(Upgrades!$U$7,F36),1)*IF(Upgrades!$T$8="Magnetosphere",POWER(Upgrades!$U$8,G36),1)*IF(Upgrades!$T$10="Magnetosphere",POWER(Upgrades!$U$10,I36),1)*IF(Upgrades!$T$11="Magnetosphere",POWER(Upgrades!$U$11,J36),1)*IF(Upgrades!$T$12="Magnetosphere",POWER(Upgrades!$U$12,K36),1))+(IF(I36=0,0,(Upgrades!$M$10+I36*Upgrades!$N$10)*POWER(Upgrades!$O$10,I36)))*(IF(Upgrades!$T$6="Orbital Resonance",POWER(Upgrades!$U$6,E36),1)*IF(Upgrades!$T$7="Orbital Resonance",POWER(Upgrades!$U$7,F36),1)*IF(Upgrades!$T$8="Orbital Resonance",POWER(Upgrades!$U$8,G36),1)*IF(Upgrades!$T$9="Orbital Resonance",POWER(Upgrades!$U$9,H36),1)*IF(Upgrades!$T$11="Orbital Resonance",POWER(Upgrades!$U$11,J36),1)*IF(Upgrades!$T$12="Orbital Resonance",POWER(Upgrades!$U$12,K36),1))+(IF(J36=0,0,(Upgrades!$M$11+J36*Upgrades!$N$11)*POWER(Upgrades!$O$11,J36)))*(IF(Upgrades!$T$6="Heliopause",POWER(Upgrades!$U$6,E36),1)*IF(Upgrades!$T$7="Heliopause",POWER(Upgrades!$U$7,F36),1)*IF(Upgrades!$T$8="Heliopause",POWER(Upgrades!$U$8,G36),1)*IF(Upgrades!$T$9="Heliopause",POWER(Upgrades!$U$9,H36),1)*IF(Upgrades!$T$10="Heliopause",POWER(Upgrades!$U$10,I36),1)*IF(Upgrades!$T$12="Heliopause",POWER(Upgrades!$U$12,K36),1))+(IF(K36=0,0,(Upgrades!$M$12+K36*Upgrades!$N$12)*POWER(Upgrades!$O$12,K36)))*(IF(Upgrades!$T$6="First Photons",POWER(Upgrades!$U$6,E36),1)*IF(Upgrades!$T$7="First Photons",POWER(Upgrades!$U$7,F36),1)*IF(Upgrades!$T$8="First Photons",POWER(Upgrades!$U$8,G36),1)*IF(Upgrades!$T$9="First Photons",POWER(Upgrades!$U$9,H36),1)*IF(Upgrades!$T$10="First Photons",POWER(Upgrades!$U$10,I36),1)*IF(Upgrades!$T$11="First Photons",POWER(Upgrades!$U$11,J36),1)))*POWER(Upgrades!$R$6,E36)*POWER(Upgrades!$R$7,F36)*POWER(Upgrades!$R$8,G36)*POWER(Upgrades!$R$9,H36)*POWER(Upgrades!$R$10,I36)*POWER(Upgrades!$R$11,J36)*POWER(Upgrades!$R$12,K36)</f>
        <v/>
      </c>
      <c r="P36" s="27">
        <f>IF(L36=1,0,M36*Parameters!$B$10/60*Parameters!$B$11*10)</f>
        <v/>
      </c>
      <c r="Q36" s="27">
        <f>IF(L36=1,0,O36*M36*10)</f>
        <v/>
      </c>
      <c r="R36" s="27">
        <f>IF(L36=1,0,N36*10)</f>
        <v/>
      </c>
      <c r="S36" s="27">
        <f>P36+Q36+R36</f>
        <v/>
      </c>
      <c r="T36" s="22">
        <f>C36+S36</f>
        <v/>
      </c>
      <c r="U36" s="33">
        <f>AX36</f>
        <v/>
      </c>
      <c r="V36" s="22">
        <f>IF(U36="",0,IF(U36="transition",0,IF(U36="SW",AG36,IF(U36="AB",AH36,IF(U36="SC",AI36,IF(U36="Mag",AJ36,IF(U36="OR",AK36,IF(U36="HP",AL36,IF(U36="FP",AM36,0)))))))))</f>
        <v/>
      </c>
      <c r="W36" s="27">
        <f>IF(U36="OR",Upgrades!$F$10,IF(U36="HP",Upgrades!$F$11,IF(U36="transition",-Parameters!$B$18,0)))</f>
        <v/>
      </c>
      <c r="X36" s="22">
        <f>T36-V36</f>
        <v/>
      </c>
      <c r="Y36" s="30">
        <f>M36*Parameters!$B$10/60*Parameters!$B$11+O36*M36+N36</f>
        <v/>
      </c>
      <c r="Z36" s="34">
        <f>IF(U36="transition","→ Tier 2 (Stellar Neighborhood)",IF(U36="FP","First Photons — light begins, system quickens",IF(U36="HP","Heliopause acquired",IF(U36="OR","Orbital Resonance — passive multiplier active",IF(AND(AO36=1,L36=0,AN36&lt;&gt;1),"Cohesion ready (waiting on completionist upgrades)","")))))</f>
        <v/>
      </c>
      <c r="AA36" s="27">
        <f>(IF(E36=0,0,(Upgrades!$G$6+E36*Upgrades!$H$6)*POWER(Upgrades!$I$6,E36)))*(IF(Upgrades!$T$7="Solar Wind",POWER(Upgrades!$U$7,F36),1)*IF(Upgrades!$T$8="Solar Wind",POWER(Upgrades!$U$8,G36),1)*IF(Upgrades!$T$9="Solar Wind",POWER(Upgrades!$U$9,H36),1)*IF(Upgrades!$T$10="Solar Wind",POWER(Upgrades!$U$10,I36),1)*IF(Upgrades!$T$11="Solar Wind",POWER(Upgrades!$U$11,J36),1)*IF(Upgrades!$T$12="Solar Wind",POWER(Upgrades!$U$12,K36),1))*POWER(Upgrades!$P$6,E36)*POWER(Upgrades!$P$7,F36)*POWER(Upgrades!$P$8,G36)*POWER(Upgrades!$P$9,H36)*POWER(Upgrades!$P$10,I36)*POWER(Upgrades!$P$11,J36)*POWER(Upgrades!$P$12,K36)*60</f>
        <v/>
      </c>
      <c r="AB36" s="27">
        <f>(IF(F36=0,0,(Upgrades!$G$7+F36*Upgrades!$H$7)*POWER(Upgrades!$I$7,F36)))*(IF(Upgrades!$T$6="Asteroid Belt",POWER(Upgrades!$U$6,E36),1)*IF(Upgrades!$T$8="Asteroid Belt",POWER(Upgrades!$U$8,G36),1)*IF(Upgrades!$T$9="Asteroid Belt",POWER(Upgrades!$U$9,H36),1)*IF(Upgrades!$T$10="Asteroid Belt",POWER(Upgrades!$U$10,I36),1)*IF(Upgrades!$T$11="Asteroid Belt",POWER(Upgrades!$U$11,J36),1)*IF(Upgrades!$T$12="Asteroid Belt",POWER(Upgrades!$U$12,K36),1))*POWER(Upgrades!$P$6,E36)*POWER(Upgrades!$P$7,F36)*POWER(Upgrades!$P$8,G36)*POWER(Upgrades!$P$9,H36)*POWER(Upgrades!$P$10,I36)*POWER(Upgrades!$P$11,J36)*POWER(Upgrades!$P$12,K36)*60</f>
        <v/>
      </c>
      <c r="AC36" s="27">
        <f>(IF(G36=0,0,(Upgrades!$J$8+G36*Upgrades!$K$8)*POWER(Upgrades!$L$8,G36)))*(IF(Upgrades!$T$6="Stellar Coupling",POWER(Upgrades!$U$6,E36),1)*IF(Upgrades!$T$7="Stellar Coupling",POWER(Upgrades!$U$7,F36),1)*IF(Upgrades!$T$9="Stellar Coupling",POWER(Upgrades!$U$9,H36),1)*IF(Upgrades!$T$10="Stellar Coupling",POWER(Upgrades!$U$10,I36),1)*IF(Upgrades!$T$11="Stellar Coupling",POWER(Upgrades!$U$11,J36),1)*IF(Upgrades!$T$12="Stellar Coupling",POWER(Upgrades!$U$12,K36),1))*POWER(Upgrades!$Q$6,E36)*POWER(Upgrades!$Q$7,F36)*POWER(Upgrades!$Q$8,G36)*POWER(Upgrades!$Q$9,H36)*POWER(Upgrades!$Q$10,I36)*POWER(Upgrades!$Q$11,J36)*POWER(Upgrades!$Q$12,K36)*Parameters!$B$10*Parameters!$B$11</f>
        <v/>
      </c>
      <c r="AD36" s="27">
        <f>(IF(H36=0,0,(Upgrades!$G$9+H36*Upgrades!$H$9)*POWER(Upgrades!$I$9,H36)))*(IF(Upgrades!$T$6="Magnetosphere",POWER(Upgrades!$U$6,E36),1)*IF(Upgrades!$T$7="Magnetosphere",POWER(Upgrades!$U$7,F36),1)*IF(Upgrades!$T$8="Magnetosphere",POWER(Upgrades!$U$8,G36),1)*IF(Upgrades!$T$10="Magnetosphere",POWER(Upgrades!$U$10,I36),1)*IF(Upgrades!$T$11="Magnetosphere",POWER(Upgrades!$U$11,J36),1)*IF(Upgrades!$T$12="Magnetosphere",POWER(Upgrades!$U$12,K36),1))*POWER(Upgrades!$P$6,E36)*POWER(Upgrades!$P$7,F36)*POWER(Upgrades!$P$8,G36)*POWER(Upgrades!$P$9,H36)*POWER(Upgrades!$P$10,I36)*POWER(Upgrades!$P$11,J36)*POWER(Upgrades!$P$12,K36)*60</f>
        <v/>
      </c>
      <c r="AE36" s="27">
        <f>(IF(K36=0,0,(Upgrades!$G$12+K36*Upgrades!$H$12)*POWER(Upgrades!$I$12,K36)))*(IF(Upgrades!$T$6="First Photons",POWER(Upgrades!$U$6,E36),1)*IF(Upgrades!$T$7="First Photons",POWER(Upgrades!$U$7,F36),1)*IF(Upgrades!$T$8="First Photons",POWER(Upgrades!$U$8,G36),1)*IF(Upgrades!$T$9="First Photons",POWER(Upgrades!$U$9,H36),1)*IF(Upgrades!$T$10="First Photons",POWER(Upgrades!$U$10,I36),1)*IF(Upgrades!$T$11="First Photons",POWER(Upgrades!$U$11,J36),1))*POWER(Upgrades!$P$6,E36)*POWER(Upgrades!$P$7,F36)*POWER(Upgrades!$P$8,G36)*POWER(Upgrades!$P$9,H36)*POWER(Upgrades!$P$10,I36)*POWER(Upgrades!$P$11,J36)*POWER(Upgrades!$P$12,K36)*60</f>
        <v/>
      </c>
      <c r="AF36" s="27">
        <f>Parameters!$B$9*POWER(Upgrades!$Q$6,E36)*POWER(Upgrades!$Q$7,F36)*POWER(Upgrades!$Q$8,G36)*POWER(Upgrades!$Q$9,H36)*POWER(Upgrades!$Q$10,I36)*POWER(Upgrades!$Q$11,J36)*POWER(Upgrades!$Q$12,K36)*(Parameters!$B$10*Parameters!$B$11+O36*60)</f>
        <v/>
      </c>
      <c r="AG36" s="22">
        <f>IF(E36&gt;=Upgrades!$E$6,"",Upgrades!$C$6*POWER(Upgrades!$D$6,E36))</f>
        <v/>
      </c>
      <c r="AH36" s="22">
        <f>IF(F36&gt;=Upgrades!$E$7,"",Upgrades!$C$7*POWER(Upgrades!$D$7,F36))</f>
        <v/>
      </c>
      <c r="AI36" s="22">
        <f>IF(G36&gt;=Upgrades!$E$8,"",Upgrades!$C$8*POWER(Upgrades!$D$8,G36))</f>
        <v/>
      </c>
      <c r="AJ36" s="22">
        <f>IF(H36&gt;=Upgrades!$E$9,"",Upgrades!$C$9*POWER(Upgrades!$D$9,H36))</f>
        <v/>
      </c>
      <c r="AK36" s="22">
        <f>IF(I36&gt;=Upgrades!$E$10,"",Upgrades!$C$10*POWER(Upgrades!$D$10,I36))</f>
        <v/>
      </c>
      <c r="AL36" s="22">
        <f>IF(J36&gt;=Upgrades!$E$11,"",Upgrades!$C$11*POWER(Upgrades!$D$11,J36))</f>
        <v/>
      </c>
      <c r="AM36" s="22">
        <f>IF(K36&gt;=Upgrades!$E$12,"",Upgrades!$C$12*POWER(Upgrades!$D$12,K36))</f>
        <v/>
      </c>
      <c r="AN36" s="26">
        <f>IF(AND(D36&gt;=Parameters!$B$18,(H36&gt;=Upgrades!$E$9)*(K36&gt;=Upgrades!$E$12)=1,L36=0),1,"")</f>
        <v/>
      </c>
      <c r="AO36" s="26">
        <f>IF(AND(D36&gt;=Parameters!$B$18,L36=0),1,"")</f>
        <v/>
      </c>
      <c r="AP36" s="22">
        <f>MIN(IF(ISNUMBER(AK36),AK36,9E15),IF(ISNUMBER(AL36),AL36,9E15),IF(ISNUMBER(AM36),AM36,9E15))</f>
        <v/>
      </c>
      <c r="AQ36" s="22">
        <f>MIN(IF(ISNUMBER(AG36),AG36,9E15),IF(ISNUMBER(AH36),AH36,9E15),IF(ISNUMBER(AI36),AI36,9E15),IF(ISNUMBER(AJ36),AJ36,9E15))</f>
        <v/>
      </c>
      <c r="AR36" s="29">
        <f>IF(AW36&gt;Parameters!$B$21*(MAX(IF(AND(NOT(AND(AO36=1,AN36&lt;&gt;1)),ISNUMBER(AG36),AG36&lt;=T36),AS36,0),IF(AND(NOT(AND(AO36=1,AN36&lt;&gt;1)),ISNUMBER(AH36),AH36&lt;=T36),AT36,0),IF(AND(NOT(AND(AO36=1,AN36&lt;&gt;1)),ISNUMBER(AI36),AI36&lt;=T36),AU36,0),IF(AND(ISNUMBER(AJ36),AJ36&lt;=T36),AV36,0))),TRUE,FALSE)</f>
        <v/>
      </c>
      <c r="AS36" s="32">
        <f>IFERROR(Upgrades!$H$6*(POWER(Upgrades!$P$6,E36)*POWER(Upgrades!$P$7,F36)*POWER(Upgrades!$P$8,G36)*POWER(Upgrades!$P$9,H36)*POWER(Upgrades!$P$10,I36)*POWER(Upgrades!$P$11,J36)*POWER(Upgrades!$P$12,K36))*(IF(Upgrades!$T$7="Solar Wind",POWER(Upgrades!$U$7,F36),1)*IF(Upgrades!$T$8="Solar Wind",POWER(Upgrades!$U$8,G36),1)*IF(Upgrades!$T$9="Solar Wind",POWER(Upgrades!$U$9,H36),1)*IF(Upgrades!$T$10="Solar Wind",POWER(Upgrades!$U$10,I36),1)*IF(Upgrades!$T$11="Solar Wind",POWER(Upgrades!$U$11,J36),1)*IF(Upgrades!$T$12="Solar Wind",POWER(Upgrades!$U$12,K36),1))/AG36,0)</f>
        <v/>
      </c>
      <c r="AT36" s="32">
        <f>IFERROR(Upgrades!$H$7*(POWER(Upgrades!$P$6,E36)*POWER(Upgrades!$P$7,F36)*POWER(Upgrades!$P$8,G36)*POWER(Upgrades!$P$9,H36)*POWER(Upgrades!$P$10,I36)*POWER(Upgrades!$P$11,J36)*POWER(Upgrades!$P$12,K36))*(IF(Upgrades!$T$6="Asteroid Belt",POWER(Upgrades!$U$6,E36),1)*IF(Upgrades!$T$8="Asteroid Belt",POWER(Upgrades!$U$8,G36),1)*IF(Upgrades!$T$9="Asteroid Belt",POWER(Upgrades!$U$9,H36),1)*IF(Upgrades!$T$10="Asteroid Belt",POWER(Upgrades!$U$10,I36),1)*IF(Upgrades!$T$11="Asteroid Belt",POWER(Upgrades!$U$11,J36),1)*IF(Upgrades!$T$12="Asteroid Belt",POWER(Upgrades!$U$12,K36),1))/AH36,0)</f>
        <v/>
      </c>
      <c r="AU36" s="32">
        <f>IFERROR(Upgrades!$K$8*(POWER(Upgrades!$Q$6,E36)*POWER(Upgrades!$Q$7,F36)*POWER(Upgrades!$Q$8,G36)*POWER(Upgrades!$Q$9,H36)*POWER(Upgrades!$Q$10,I36)*POWER(Upgrades!$Q$11,J36)*POWER(Upgrades!$Q$12,K36))*(IF(Upgrades!$T$6="Stellar Coupling",POWER(Upgrades!$U$6,E36),1)*IF(Upgrades!$T$7="Stellar Coupling",POWER(Upgrades!$U$7,F36),1)*IF(Upgrades!$T$9="Stellar Coupling",POWER(Upgrades!$U$9,H36),1)*IF(Upgrades!$T$10="Stellar Coupling",POWER(Upgrades!$U$10,I36),1)*IF(Upgrades!$T$11="Stellar Coupling",POWER(Upgrades!$U$11,J36),1)*IF(Upgrades!$T$12="Stellar Coupling",POWER(Upgrades!$U$12,K36),1))*Parameters!$B$10*Parameters!$B$11/60/AI36,0)</f>
        <v/>
      </c>
      <c r="AV36" s="32">
        <f>IFERROR(Upgrades!$H$9*(POWER(Upgrades!$P$6,E36)*POWER(Upgrades!$P$7,F36)*POWER(Upgrades!$P$8,G36)*POWER(Upgrades!$P$9,H36)*POWER(Upgrades!$P$10,I36)*POWER(Upgrades!$P$11,J36)*POWER(Upgrades!$P$12,K36))*(IF(Upgrades!$T$6="Magnetosphere",POWER(Upgrades!$U$6,E36),1)*IF(Upgrades!$T$7="Magnetosphere",POWER(Upgrades!$U$7,F36),1)*IF(Upgrades!$T$8="Magnetosphere",POWER(Upgrades!$U$8,G36),1)*IF(Upgrades!$T$10="Magnetosphere",POWER(Upgrades!$U$10,I36),1)*IF(Upgrades!$T$11="Magnetosphere",POWER(Upgrades!$U$11,J36),1)*IF(Upgrades!$T$12="Magnetosphere",POWER(Upgrades!$U$12,K36),1))/AJ36,0)</f>
        <v/>
      </c>
      <c r="AW36" s="32">
        <f>MAX(IF(I36&gt;0,0,IFERROR(0.25*N36/Upgrades!$C$10,0)),IF(J36&gt;0,0,IFERROR(0.5*((IF(G36=0,0,(Upgrades!$J$8+G36*Upgrades!$K$8)*POWER(Upgrades!$L$8,G36)))*(IF(Upgrades!$T$6="Stellar Coupling",POWER(Upgrades!$U$6,E36),1)*IF(Upgrades!$T$7="Stellar Coupling",POWER(Upgrades!$U$7,F36),1)*IF(Upgrades!$T$9="Stellar Coupling",POWER(Upgrades!$U$9,H36),1)*IF(Upgrades!$T$10="Stellar Coupling",POWER(Upgrades!$U$10,I36),1)*IF(Upgrades!$T$11="Stellar Coupling",POWER(Upgrades!$U$11,J36),1)*IF(Upgrades!$T$12="Stellar Coupling",POWER(Upgrades!$U$12,K36),1))*(POWER(Upgrades!$Q$6,E36)*POWER(Upgrades!$Q$7,F36)*POWER(Upgrades!$Q$8,G36)*POWER(Upgrades!$Q$9,H36)*POWER(Upgrades!$Q$10,I36)*POWER(Upgrades!$Q$11,J36)*POWER(Upgrades!$Q$12,K36))*Parameters!$B$10*Parameters!$B$11/60)/Upgrades!$C$11,0)),IF(K36&gt;0,0,IFERROR((1.0*(POWER(Upgrades!$P$6,E36)*POWER(Upgrades!$P$7,F36)*POWER(Upgrades!$P$8,G36)*POWER(Upgrades!$P$9,H36)*POWER(Upgrades!$P$10,I36)*POWER(Upgrades!$P$11,J36)*POWER(Upgrades!$P$12,K36))+0.20*M36*Parameters!$B$10*Parameters!$B$11/60)/Upgrades!$C$12,0)),IF(AND(ISNUMBER(AG36),AG36&gt;T36),AS36,0),IF(AND(ISNUMBER(AH36),AH36&gt;T36),AT36,0),IF(AND(ISNUMBER(AI36),AI36&gt;T36),AU36,0),IF(AND(ISNUMBER(AJ36),AJ36&gt;T36),AV36,0))</f>
        <v/>
      </c>
      <c r="AX36" s="29">
        <f>IF(AN36=1,"transition",IF(MIN(IF(AND(I36=0,ISNUMBER(AK36),AK36&lt;=T36),AK36,9E15),IF(AND(J36=0,ISNUMBER(AL36),AL36&lt;=T36),AL36,9E15),IF(AND(K36=0,ISNUMBER(AM36),AM36&lt;=T36),AM36,9E15))&lt;9E15,IF(AND(AND(I36=0,ISNUMBER(AK36),AK36&lt;=T36),AK36=MIN(IF(AND(I36=0,ISNUMBER(AK36),AK36&lt;=T36),AK36,9E15),IF(AND(J36=0,ISNUMBER(AL36),AL36&lt;=T36),AL36,9E15),IF(AND(K36=0,ISNUMBER(AM36),AM36&lt;=T36),AM36,9E15))),"OR",IF(AND(AND(J36=0,ISNUMBER(AL36),AL36&lt;=T36),AL36=MIN(IF(AND(I36=0,ISNUMBER(AK36),AK36&lt;=T36),AK36,9E15),IF(AND(J36=0,ISNUMBER(AL36),AL36&lt;=T36),AL36,9E15),IF(AND(K36=0,ISNUMBER(AM36),AM36&lt;=T36),AM36,9E15))),"HP","FP")),IF(AR36=TRUE,"",IF(MAX(IF(AND(NOT(AND(AO36=1,AN36&lt;&gt;1)),ISNUMBER(AG36),AG36&lt;=T36),AS36,0),IF(AND(NOT(AND(AO36=1,AN36&lt;&gt;1)),ISNUMBER(AH36),AH36&lt;=T36),AT36,0),IF(AND(NOT(AND(AO36=1,AN36&lt;&gt;1)),ISNUMBER(AI36),AI36&lt;=T36),AU36,0),IF(AND(ISNUMBER(AJ36),AJ36&lt;=T36),AV36,0))&lt;=0,"",IF(AND(IF(AND(NOT(AND(AO36=1,AN36&lt;&gt;1)),ISNUMBER(AG36),AG36&lt;=T36),AS36,0)&gt;0,IF(AND(NOT(AND(AO36=1,AN36&lt;&gt;1)),ISNUMBER(AG36),AG36&lt;=T36),AS36,0)=MAX(IF(AND(NOT(AND(AO36=1,AN36&lt;&gt;1)),ISNUMBER(AG36),AG36&lt;=T36),AS36,0),IF(AND(NOT(AND(AO36=1,AN36&lt;&gt;1)),ISNUMBER(AH36),AH36&lt;=T36),AT36,0),IF(AND(NOT(AND(AO36=1,AN36&lt;&gt;1)),ISNUMBER(AI36),AI36&lt;=T36),AU36,0),IF(AND(ISNUMBER(AJ36),AJ36&lt;=T36),AV36,0))),"SW",IF(AND(IF(AND(NOT(AND(AO36=1,AN36&lt;&gt;1)),ISNUMBER(AH36),AH36&lt;=T36),AT36,0)&gt;0,IF(AND(NOT(AND(AO36=1,AN36&lt;&gt;1)),ISNUMBER(AH36),AH36&lt;=T36),AT36,0)=MAX(IF(AND(NOT(AND(AO36=1,AN36&lt;&gt;1)),ISNUMBER(AG36),AG36&lt;=T36),AS36,0),IF(AND(NOT(AND(AO36=1,AN36&lt;&gt;1)),ISNUMBER(AH36),AH36&lt;=T36),AT36,0),IF(AND(NOT(AND(AO36=1,AN36&lt;&gt;1)),ISNUMBER(AI36),AI36&lt;=T36),AU36,0),IF(AND(ISNUMBER(AJ36),AJ36&lt;=T36),AV36,0))),"AB",IF(AND(IF(AND(NOT(AND(AO36=1,AN36&lt;&gt;1)),ISNUMBER(AI36),AI36&lt;=T36),AU36,0)&gt;0,IF(AND(NOT(AND(AO36=1,AN36&lt;&gt;1)),ISNUMBER(AI36),AI36&lt;=T36),AU36,0)=MAX(IF(AND(NOT(AND(AO36=1,AN36&lt;&gt;1)),ISNUMBER(AG36),AG36&lt;=T36),AS36,0),IF(AND(NOT(AND(AO36=1,AN36&lt;&gt;1)),ISNUMBER(AH36),AH36&lt;=T36),AT36,0),IF(AND(NOT(AND(AO36=1,AN36&lt;&gt;1)),ISNUMBER(AI36),AI36&lt;=T36),AU36,0),IF(AND(ISNUMBER(AJ36),AJ36&lt;=T36),AV36,0))),"SC","Mag")))))))</f>
        <v/>
      </c>
    </row>
    <row r="37">
      <c r="A37" s="26" t="n">
        <v>32</v>
      </c>
      <c r="B37" s="27">
        <f>A37*10/60</f>
        <v/>
      </c>
      <c r="C37" s="22">
        <f>X36</f>
        <v/>
      </c>
      <c r="D37" s="27">
        <f>D36+W36</f>
        <v/>
      </c>
      <c r="E37" s="26">
        <f>E36+IF(U36="SW",1,0)</f>
        <v/>
      </c>
      <c r="F37" s="26">
        <f>F36+IF(U36="AB",1,0)</f>
        <v/>
      </c>
      <c r="G37" s="26">
        <f>G36+IF(U36="SC",1,0)</f>
        <v/>
      </c>
      <c r="H37" s="26">
        <f>H36+IF(U36="Mag",1,0)</f>
        <v/>
      </c>
      <c r="I37" s="26">
        <f>MAX(I36,IF(U36="OR",1,0))</f>
        <v/>
      </c>
      <c r="J37" s="26">
        <f>MAX(J36,IF(U36="HP",1,0))</f>
        <v/>
      </c>
      <c r="K37" s="26">
        <f>MAX(K36,IF(U36="FP",1,0))</f>
        <v/>
      </c>
      <c r="L37" s="26">
        <f>MAX(L36,IF(U36="transition",1,0))</f>
        <v/>
      </c>
      <c r="M37" s="28">
        <f>(Parameters!$B$9+(IF(E37=0,0,(Upgrades!$J$6+E37*Upgrades!$K$6)*POWER(Upgrades!$L$6,E37)))*(IF(Upgrades!$T$7="Solar Wind",POWER(Upgrades!$U$7,F37),1)*IF(Upgrades!$T$8="Solar Wind",POWER(Upgrades!$U$8,G37),1)*IF(Upgrades!$T$9="Solar Wind",POWER(Upgrades!$U$9,H37),1)*IF(Upgrades!$T$10="Solar Wind",POWER(Upgrades!$U$10,I37),1)*IF(Upgrades!$T$11="Solar Wind",POWER(Upgrades!$U$11,J37),1)*IF(Upgrades!$T$12="Solar Wind",POWER(Upgrades!$U$12,K37),1))+(IF(F37=0,0,(Upgrades!$J$7+F37*Upgrades!$K$7)*POWER(Upgrades!$L$7,F37)))*(IF(Upgrades!$T$6="Asteroid Belt",POWER(Upgrades!$U$6,E37),1)*IF(Upgrades!$T$8="Asteroid Belt",POWER(Upgrades!$U$8,G37),1)*IF(Upgrades!$T$9="Asteroid Belt",POWER(Upgrades!$U$9,H37),1)*IF(Upgrades!$T$10="Asteroid Belt",POWER(Upgrades!$U$10,I37),1)*IF(Upgrades!$T$11="Asteroid Belt",POWER(Upgrades!$U$11,J37),1)*IF(Upgrades!$T$12="Asteroid Belt",POWER(Upgrades!$U$12,K37),1))+(IF(G37=0,0,(Upgrades!$J$8+G37*Upgrades!$K$8)*POWER(Upgrades!$L$8,G37)))*(IF(Upgrades!$T$6="Stellar Coupling",POWER(Upgrades!$U$6,E37),1)*IF(Upgrades!$T$7="Stellar Coupling",POWER(Upgrades!$U$7,F37),1)*IF(Upgrades!$T$9="Stellar Coupling",POWER(Upgrades!$U$9,H37),1)*IF(Upgrades!$T$10="Stellar Coupling",POWER(Upgrades!$U$10,I37),1)*IF(Upgrades!$T$11="Stellar Coupling",POWER(Upgrades!$U$11,J37),1)*IF(Upgrades!$T$12="Stellar Coupling",POWER(Upgrades!$U$12,K37),1))+(IF(H37=0,0,(Upgrades!$J$9+H37*Upgrades!$K$9)*POWER(Upgrades!$L$9,H37)))*(IF(Upgrades!$T$6="Magnetosphere",POWER(Upgrades!$U$6,E37),1)*IF(Upgrades!$T$7="Magnetosphere",POWER(Upgrades!$U$7,F37),1)*IF(Upgrades!$T$8="Magnetosphere",POWER(Upgrades!$U$8,G37),1)*IF(Upgrades!$T$10="Magnetosphere",POWER(Upgrades!$U$10,I37),1)*IF(Upgrades!$T$11="Magnetosphere",POWER(Upgrades!$U$11,J37),1)*IF(Upgrades!$T$12="Magnetosphere",POWER(Upgrades!$U$12,K37),1))+(IF(I37=0,0,(Upgrades!$J$10+I37*Upgrades!$K$10)*POWER(Upgrades!$L$10,I37)))*(IF(Upgrades!$T$6="Orbital Resonance",POWER(Upgrades!$U$6,E37),1)*IF(Upgrades!$T$7="Orbital Resonance",POWER(Upgrades!$U$7,F37),1)*IF(Upgrades!$T$8="Orbital Resonance",POWER(Upgrades!$U$8,G37),1)*IF(Upgrades!$T$9="Orbital Resonance",POWER(Upgrades!$U$9,H37),1)*IF(Upgrades!$T$11="Orbital Resonance",POWER(Upgrades!$U$11,J37),1)*IF(Upgrades!$T$12="Orbital Resonance",POWER(Upgrades!$U$12,K37),1))+(IF(J37=0,0,(Upgrades!$J$11+J37*Upgrades!$K$11)*POWER(Upgrades!$L$11,J37)))*(IF(Upgrades!$T$6="Heliopause",POWER(Upgrades!$U$6,E37),1)*IF(Upgrades!$T$7="Heliopause",POWER(Upgrades!$U$7,F37),1)*IF(Upgrades!$T$8="Heliopause",POWER(Upgrades!$U$8,G37),1)*IF(Upgrades!$T$9="Heliopause",POWER(Upgrades!$U$9,H37),1)*IF(Upgrades!$T$10="Heliopause",POWER(Upgrades!$U$10,I37),1)*IF(Upgrades!$T$12="Heliopause",POWER(Upgrades!$U$12,K37),1))+(IF(K37=0,0,(Upgrades!$J$12+K37*Upgrades!$K$12)*POWER(Upgrades!$L$12,K37)))*(IF(Upgrades!$T$6="First Photons",POWER(Upgrades!$U$6,E37),1)*IF(Upgrades!$T$7="First Photons",POWER(Upgrades!$U$7,F37),1)*IF(Upgrades!$T$8="First Photons",POWER(Upgrades!$U$8,G37),1)*IF(Upgrades!$T$9="First Photons",POWER(Upgrades!$U$9,H37),1)*IF(Upgrades!$T$10="First Photons",POWER(Upgrades!$U$10,I37),1)*IF(Upgrades!$T$11="First Photons",POWER(Upgrades!$U$11,J37),1)))*POWER(Upgrades!$Q$6,E37)*POWER(Upgrades!$Q$7,F37)*POWER(Upgrades!$Q$8,G37)*POWER(Upgrades!$Q$9,H37)*POWER(Upgrades!$Q$10,I37)*POWER(Upgrades!$Q$11,J37)*POWER(Upgrades!$Q$12,K37)</f>
        <v/>
      </c>
      <c r="N37" s="28">
        <f>((IF(E37=0,0,(Upgrades!$G$6+E37*Upgrades!$H$6)*POWER(Upgrades!$I$6,E37)))*(IF(Upgrades!$T$7="Solar Wind",POWER(Upgrades!$U$7,F37),1)*IF(Upgrades!$T$8="Solar Wind",POWER(Upgrades!$U$8,G37),1)*IF(Upgrades!$T$9="Solar Wind",POWER(Upgrades!$U$9,H37),1)*IF(Upgrades!$T$10="Solar Wind",POWER(Upgrades!$U$10,I37),1)*IF(Upgrades!$T$11="Solar Wind",POWER(Upgrades!$U$11,J37),1)*IF(Upgrades!$T$12="Solar Wind",POWER(Upgrades!$U$12,K37),1))+(IF(F37=0,0,(Upgrades!$G$7+F37*Upgrades!$H$7)*POWER(Upgrades!$I$7,F37)))*(IF(Upgrades!$T$6="Asteroid Belt",POWER(Upgrades!$U$6,E37),1)*IF(Upgrades!$T$8="Asteroid Belt",POWER(Upgrades!$U$8,G37),1)*IF(Upgrades!$T$9="Asteroid Belt",POWER(Upgrades!$U$9,H37),1)*IF(Upgrades!$T$10="Asteroid Belt",POWER(Upgrades!$U$10,I37),1)*IF(Upgrades!$T$11="Asteroid Belt",POWER(Upgrades!$U$11,J37),1)*IF(Upgrades!$T$12="Asteroid Belt",POWER(Upgrades!$U$12,K37),1))+(IF(G37=0,0,(Upgrades!$G$8+G37*Upgrades!$H$8)*POWER(Upgrades!$I$8,G37)))*(IF(Upgrades!$T$6="Stellar Coupling",POWER(Upgrades!$U$6,E37),1)*IF(Upgrades!$T$7="Stellar Coupling",POWER(Upgrades!$U$7,F37),1)*IF(Upgrades!$T$9="Stellar Coupling",POWER(Upgrades!$U$9,H37),1)*IF(Upgrades!$T$10="Stellar Coupling",POWER(Upgrades!$U$10,I37),1)*IF(Upgrades!$T$11="Stellar Coupling",POWER(Upgrades!$U$11,J37),1)*IF(Upgrades!$T$12="Stellar Coupling",POWER(Upgrades!$U$12,K37),1))+(IF(H37=0,0,(Upgrades!$G$9+H37*Upgrades!$H$9)*POWER(Upgrades!$I$9,H37)))*(IF(Upgrades!$T$6="Magnetosphere",POWER(Upgrades!$U$6,E37),1)*IF(Upgrades!$T$7="Magnetosphere",POWER(Upgrades!$U$7,F37),1)*IF(Upgrades!$T$8="Magnetosphere",POWER(Upgrades!$U$8,G37),1)*IF(Upgrades!$T$10="Magnetosphere",POWER(Upgrades!$U$10,I37),1)*IF(Upgrades!$T$11="Magnetosphere",POWER(Upgrades!$U$11,J37),1)*IF(Upgrades!$T$12="Magnetosphere",POWER(Upgrades!$U$12,K37),1))+(IF(I37=0,0,(Upgrades!$G$10+I37*Upgrades!$H$10)*POWER(Upgrades!$I$10,I37)))*(IF(Upgrades!$T$6="Orbital Resonance",POWER(Upgrades!$U$6,E37),1)*IF(Upgrades!$T$7="Orbital Resonance",POWER(Upgrades!$U$7,F37),1)*IF(Upgrades!$T$8="Orbital Resonance",POWER(Upgrades!$U$8,G37),1)*IF(Upgrades!$T$9="Orbital Resonance",POWER(Upgrades!$U$9,H37),1)*IF(Upgrades!$T$11="Orbital Resonance",POWER(Upgrades!$U$11,J37),1)*IF(Upgrades!$T$12="Orbital Resonance",POWER(Upgrades!$U$12,K37),1))+(IF(J37=0,0,(Upgrades!$G$11+J37*Upgrades!$H$11)*POWER(Upgrades!$I$11,J37)))*(IF(Upgrades!$T$6="Heliopause",POWER(Upgrades!$U$6,E37),1)*IF(Upgrades!$T$7="Heliopause",POWER(Upgrades!$U$7,F37),1)*IF(Upgrades!$T$8="Heliopause",POWER(Upgrades!$U$8,G37),1)*IF(Upgrades!$T$9="Heliopause",POWER(Upgrades!$U$9,H37),1)*IF(Upgrades!$T$10="Heliopause",POWER(Upgrades!$U$10,I37),1)*IF(Upgrades!$T$12="Heliopause",POWER(Upgrades!$U$12,K37),1))+(IF(K37=0,0,(Upgrades!$G$12+K37*Upgrades!$H$12)*POWER(Upgrades!$I$12,K37)))*(IF(Upgrades!$T$6="First Photons",POWER(Upgrades!$U$6,E37),1)*IF(Upgrades!$T$7="First Photons",POWER(Upgrades!$U$7,F37),1)*IF(Upgrades!$T$8="First Photons",POWER(Upgrades!$U$8,G37),1)*IF(Upgrades!$T$9="First Photons",POWER(Upgrades!$U$9,H37),1)*IF(Upgrades!$T$10="First Photons",POWER(Upgrades!$U$10,I37),1)*IF(Upgrades!$T$11="First Photons",POWER(Upgrades!$U$11,J37),1)))*POWER(Upgrades!$P$6,E37)*POWER(Upgrades!$P$7,F37)*POWER(Upgrades!$P$8,G37)*POWER(Upgrades!$P$9,H37)*POWER(Upgrades!$P$10,I37)*POWER(Upgrades!$P$11,J37)*POWER(Upgrades!$P$12,K37)</f>
        <v/>
      </c>
      <c r="O37" s="28">
        <f>((IF(E37=0,0,(Upgrades!$M$6+E37*Upgrades!$N$6)*POWER(Upgrades!$O$6,E37)))*(IF(Upgrades!$T$7="Solar Wind",POWER(Upgrades!$U$7,F37),1)*IF(Upgrades!$T$8="Solar Wind",POWER(Upgrades!$U$8,G37),1)*IF(Upgrades!$T$9="Solar Wind",POWER(Upgrades!$U$9,H37),1)*IF(Upgrades!$T$10="Solar Wind",POWER(Upgrades!$U$10,I37),1)*IF(Upgrades!$T$11="Solar Wind",POWER(Upgrades!$U$11,J37),1)*IF(Upgrades!$T$12="Solar Wind",POWER(Upgrades!$U$12,K37),1))+(IF(F37=0,0,(Upgrades!$M$7+F37*Upgrades!$N$7)*POWER(Upgrades!$O$7,F37)))*(IF(Upgrades!$T$6="Asteroid Belt",POWER(Upgrades!$U$6,E37),1)*IF(Upgrades!$T$8="Asteroid Belt",POWER(Upgrades!$U$8,G37),1)*IF(Upgrades!$T$9="Asteroid Belt",POWER(Upgrades!$U$9,H37),1)*IF(Upgrades!$T$10="Asteroid Belt",POWER(Upgrades!$U$10,I37),1)*IF(Upgrades!$T$11="Asteroid Belt",POWER(Upgrades!$U$11,J37),1)*IF(Upgrades!$T$12="Asteroid Belt",POWER(Upgrades!$U$12,K37),1))+(IF(G37=0,0,(Upgrades!$M$8+G37*Upgrades!$N$8)*POWER(Upgrades!$O$8,G37)))*(IF(Upgrades!$T$6="Stellar Coupling",POWER(Upgrades!$U$6,E37),1)*IF(Upgrades!$T$7="Stellar Coupling",POWER(Upgrades!$U$7,F37),1)*IF(Upgrades!$T$9="Stellar Coupling",POWER(Upgrades!$U$9,H37),1)*IF(Upgrades!$T$10="Stellar Coupling",POWER(Upgrades!$U$10,I37),1)*IF(Upgrades!$T$11="Stellar Coupling",POWER(Upgrades!$U$11,J37),1)*IF(Upgrades!$T$12="Stellar Coupling",POWER(Upgrades!$U$12,K37),1))+(IF(H37=0,0,(Upgrades!$M$9+H37*Upgrades!$N$9)*POWER(Upgrades!$O$9,H37)))*(IF(Upgrades!$T$6="Magnetosphere",POWER(Upgrades!$U$6,E37),1)*IF(Upgrades!$T$7="Magnetosphere",POWER(Upgrades!$U$7,F37),1)*IF(Upgrades!$T$8="Magnetosphere",POWER(Upgrades!$U$8,G37),1)*IF(Upgrades!$T$10="Magnetosphere",POWER(Upgrades!$U$10,I37),1)*IF(Upgrades!$T$11="Magnetosphere",POWER(Upgrades!$U$11,J37),1)*IF(Upgrades!$T$12="Magnetosphere",POWER(Upgrades!$U$12,K37),1))+(IF(I37=0,0,(Upgrades!$M$10+I37*Upgrades!$N$10)*POWER(Upgrades!$O$10,I37)))*(IF(Upgrades!$T$6="Orbital Resonance",POWER(Upgrades!$U$6,E37),1)*IF(Upgrades!$T$7="Orbital Resonance",POWER(Upgrades!$U$7,F37),1)*IF(Upgrades!$T$8="Orbital Resonance",POWER(Upgrades!$U$8,G37),1)*IF(Upgrades!$T$9="Orbital Resonance",POWER(Upgrades!$U$9,H37),1)*IF(Upgrades!$T$11="Orbital Resonance",POWER(Upgrades!$U$11,J37),1)*IF(Upgrades!$T$12="Orbital Resonance",POWER(Upgrades!$U$12,K37),1))+(IF(J37=0,0,(Upgrades!$M$11+J37*Upgrades!$N$11)*POWER(Upgrades!$O$11,J37)))*(IF(Upgrades!$T$6="Heliopause",POWER(Upgrades!$U$6,E37),1)*IF(Upgrades!$T$7="Heliopause",POWER(Upgrades!$U$7,F37),1)*IF(Upgrades!$T$8="Heliopause",POWER(Upgrades!$U$8,G37),1)*IF(Upgrades!$T$9="Heliopause",POWER(Upgrades!$U$9,H37),1)*IF(Upgrades!$T$10="Heliopause",POWER(Upgrades!$U$10,I37),1)*IF(Upgrades!$T$12="Heliopause",POWER(Upgrades!$U$12,K37),1))+(IF(K37=0,0,(Upgrades!$M$12+K37*Upgrades!$N$12)*POWER(Upgrades!$O$12,K37)))*(IF(Upgrades!$T$6="First Photons",POWER(Upgrades!$U$6,E37),1)*IF(Upgrades!$T$7="First Photons",POWER(Upgrades!$U$7,F37),1)*IF(Upgrades!$T$8="First Photons",POWER(Upgrades!$U$8,G37),1)*IF(Upgrades!$T$9="First Photons",POWER(Upgrades!$U$9,H37),1)*IF(Upgrades!$T$10="First Photons",POWER(Upgrades!$U$10,I37),1)*IF(Upgrades!$T$11="First Photons",POWER(Upgrades!$U$11,J37),1)))*POWER(Upgrades!$R$6,E37)*POWER(Upgrades!$R$7,F37)*POWER(Upgrades!$R$8,G37)*POWER(Upgrades!$R$9,H37)*POWER(Upgrades!$R$10,I37)*POWER(Upgrades!$R$11,J37)*POWER(Upgrades!$R$12,K37)</f>
        <v/>
      </c>
      <c r="P37" s="27">
        <f>IF(L37=1,0,M37*Parameters!$B$10/60*Parameters!$B$11*10)</f>
        <v/>
      </c>
      <c r="Q37" s="27">
        <f>IF(L37=1,0,O37*M37*10)</f>
        <v/>
      </c>
      <c r="R37" s="27">
        <f>IF(L37=1,0,N37*10)</f>
        <v/>
      </c>
      <c r="S37" s="27">
        <f>P37+Q37+R37</f>
        <v/>
      </c>
      <c r="T37" s="22">
        <f>C37+S37</f>
        <v/>
      </c>
      <c r="U37" s="33">
        <f>AX37</f>
        <v/>
      </c>
      <c r="V37" s="22">
        <f>IF(U37="",0,IF(U37="transition",0,IF(U37="SW",AG37,IF(U37="AB",AH37,IF(U37="SC",AI37,IF(U37="Mag",AJ37,IF(U37="OR",AK37,IF(U37="HP",AL37,IF(U37="FP",AM37,0)))))))))</f>
        <v/>
      </c>
      <c r="W37" s="27">
        <f>IF(U37="OR",Upgrades!$F$10,IF(U37="HP",Upgrades!$F$11,IF(U37="transition",-Parameters!$B$18,0)))</f>
        <v/>
      </c>
      <c r="X37" s="22">
        <f>T37-V37</f>
        <v/>
      </c>
      <c r="Y37" s="30">
        <f>M37*Parameters!$B$10/60*Parameters!$B$11+O37*M37+N37</f>
        <v/>
      </c>
      <c r="Z37" s="34">
        <f>IF(U37="transition","→ Tier 2 (Stellar Neighborhood)",IF(U37="FP","First Photons — light begins, system quickens",IF(U37="HP","Heliopause acquired",IF(U37="OR","Orbital Resonance — passive multiplier active",IF(AND(AO37=1,L37=0,AN37&lt;&gt;1),"Cohesion ready (waiting on completionist upgrades)","")))))</f>
        <v/>
      </c>
      <c r="AA37" s="27">
        <f>(IF(E37=0,0,(Upgrades!$G$6+E37*Upgrades!$H$6)*POWER(Upgrades!$I$6,E37)))*(IF(Upgrades!$T$7="Solar Wind",POWER(Upgrades!$U$7,F37),1)*IF(Upgrades!$T$8="Solar Wind",POWER(Upgrades!$U$8,G37),1)*IF(Upgrades!$T$9="Solar Wind",POWER(Upgrades!$U$9,H37),1)*IF(Upgrades!$T$10="Solar Wind",POWER(Upgrades!$U$10,I37),1)*IF(Upgrades!$T$11="Solar Wind",POWER(Upgrades!$U$11,J37),1)*IF(Upgrades!$T$12="Solar Wind",POWER(Upgrades!$U$12,K37),1))*POWER(Upgrades!$P$6,E37)*POWER(Upgrades!$P$7,F37)*POWER(Upgrades!$P$8,G37)*POWER(Upgrades!$P$9,H37)*POWER(Upgrades!$P$10,I37)*POWER(Upgrades!$P$11,J37)*POWER(Upgrades!$P$12,K37)*60</f>
        <v/>
      </c>
      <c r="AB37" s="27">
        <f>(IF(F37=0,0,(Upgrades!$G$7+F37*Upgrades!$H$7)*POWER(Upgrades!$I$7,F37)))*(IF(Upgrades!$T$6="Asteroid Belt",POWER(Upgrades!$U$6,E37),1)*IF(Upgrades!$T$8="Asteroid Belt",POWER(Upgrades!$U$8,G37),1)*IF(Upgrades!$T$9="Asteroid Belt",POWER(Upgrades!$U$9,H37),1)*IF(Upgrades!$T$10="Asteroid Belt",POWER(Upgrades!$U$10,I37),1)*IF(Upgrades!$T$11="Asteroid Belt",POWER(Upgrades!$U$11,J37),1)*IF(Upgrades!$T$12="Asteroid Belt",POWER(Upgrades!$U$12,K37),1))*POWER(Upgrades!$P$6,E37)*POWER(Upgrades!$P$7,F37)*POWER(Upgrades!$P$8,G37)*POWER(Upgrades!$P$9,H37)*POWER(Upgrades!$P$10,I37)*POWER(Upgrades!$P$11,J37)*POWER(Upgrades!$P$12,K37)*60</f>
        <v/>
      </c>
      <c r="AC37" s="27">
        <f>(IF(G37=0,0,(Upgrades!$J$8+G37*Upgrades!$K$8)*POWER(Upgrades!$L$8,G37)))*(IF(Upgrades!$T$6="Stellar Coupling",POWER(Upgrades!$U$6,E37),1)*IF(Upgrades!$T$7="Stellar Coupling",POWER(Upgrades!$U$7,F37),1)*IF(Upgrades!$T$9="Stellar Coupling",POWER(Upgrades!$U$9,H37),1)*IF(Upgrades!$T$10="Stellar Coupling",POWER(Upgrades!$U$10,I37),1)*IF(Upgrades!$T$11="Stellar Coupling",POWER(Upgrades!$U$11,J37),1)*IF(Upgrades!$T$12="Stellar Coupling",POWER(Upgrades!$U$12,K37),1))*POWER(Upgrades!$Q$6,E37)*POWER(Upgrades!$Q$7,F37)*POWER(Upgrades!$Q$8,G37)*POWER(Upgrades!$Q$9,H37)*POWER(Upgrades!$Q$10,I37)*POWER(Upgrades!$Q$11,J37)*POWER(Upgrades!$Q$12,K37)*Parameters!$B$10*Parameters!$B$11</f>
        <v/>
      </c>
      <c r="AD37" s="27">
        <f>(IF(H37=0,0,(Upgrades!$G$9+H37*Upgrades!$H$9)*POWER(Upgrades!$I$9,H37)))*(IF(Upgrades!$T$6="Magnetosphere",POWER(Upgrades!$U$6,E37),1)*IF(Upgrades!$T$7="Magnetosphere",POWER(Upgrades!$U$7,F37),1)*IF(Upgrades!$T$8="Magnetosphere",POWER(Upgrades!$U$8,G37),1)*IF(Upgrades!$T$10="Magnetosphere",POWER(Upgrades!$U$10,I37),1)*IF(Upgrades!$T$11="Magnetosphere",POWER(Upgrades!$U$11,J37),1)*IF(Upgrades!$T$12="Magnetosphere",POWER(Upgrades!$U$12,K37),1))*POWER(Upgrades!$P$6,E37)*POWER(Upgrades!$P$7,F37)*POWER(Upgrades!$P$8,G37)*POWER(Upgrades!$P$9,H37)*POWER(Upgrades!$P$10,I37)*POWER(Upgrades!$P$11,J37)*POWER(Upgrades!$P$12,K37)*60</f>
        <v/>
      </c>
      <c r="AE37" s="27">
        <f>(IF(K37=0,0,(Upgrades!$G$12+K37*Upgrades!$H$12)*POWER(Upgrades!$I$12,K37)))*(IF(Upgrades!$T$6="First Photons",POWER(Upgrades!$U$6,E37),1)*IF(Upgrades!$T$7="First Photons",POWER(Upgrades!$U$7,F37),1)*IF(Upgrades!$T$8="First Photons",POWER(Upgrades!$U$8,G37),1)*IF(Upgrades!$T$9="First Photons",POWER(Upgrades!$U$9,H37),1)*IF(Upgrades!$T$10="First Photons",POWER(Upgrades!$U$10,I37),1)*IF(Upgrades!$T$11="First Photons",POWER(Upgrades!$U$11,J37),1))*POWER(Upgrades!$P$6,E37)*POWER(Upgrades!$P$7,F37)*POWER(Upgrades!$P$8,G37)*POWER(Upgrades!$P$9,H37)*POWER(Upgrades!$P$10,I37)*POWER(Upgrades!$P$11,J37)*POWER(Upgrades!$P$12,K37)*60</f>
        <v/>
      </c>
      <c r="AF37" s="27">
        <f>Parameters!$B$9*POWER(Upgrades!$Q$6,E37)*POWER(Upgrades!$Q$7,F37)*POWER(Upgrades!$Q$8,G37)*POWER(Upgrades!$Q$9,H37)*POWER(Upgrades!$Q$10,I37)*POWER(Upgrades!$Q$11,J37)*POWER(Upgrades!$Q$12,K37)*(Parameters!$B$10*Parameters!$B$11+O37*60)</f>
        <v/>
      </c>
      <c r="AG37" s="22">
        <f>IF(E37&gt;=Upgrades!$E$6,"",Upgrades!$C$6*POWER(Upgrades!$D$6,E37))</f>
        <v/>
      </c>
      <c r="AH37" s="22">
        <f>IF(F37&gt;=Upgrades!$E$7,"",Upgrades!$C$7*POWER(Upgrades!$D$7,F37))</f>
        <v/>
      </c>
      <c r="AI37" s="22">
        <f>IF(G37&gt;=Upgrades!$E$8,"",Upgrades!$C$8*POWER(Upgrades!$D$8,G37))</f>
        <v/>
      </c>
      <c r="AJ37" s="22">
        <f>IF(H37&gt;=Upgrades!$E$9,"",Upgrades!$C$9*POWER(Upgrades!$D$9,H37))</f>
        <v/>
      </c>
      <c r="AK37" s="22">
        <f>IF(I37&gt;=Upgrades!$E$10,"",Upgrades!$C$10*POWER(Upgrades!$D$10,I37))</f>
        <v/>
      </c>
      <c r="AL37" s="22">
        <f>IF(J37&gt;=Upgrades!$E$11,"",Upgrades!$C$11*POWER(Upgrades!$D$11,J37))</f>
        <v/>
      </c>
      <c r="AM37" s="22">
        <f>IF(K37&gt;=Upgrades!$E$12,"",Upgrades!$C$12*POWER(Upgrades!$D$12,K37))</f>
        <v/>
      </c>
      <c r="AN37" s="26">
        <f>IF(AND(D37&gt;=Parameters!$B$18,(H37&gt;=Upgrades!$E$9)*(K37&gt;=Upgrades!$E$12)=1,L37=0),1,"")</f>
        <v/>
      </c>
      <c r="AO37" s="26">
        <f>IF(AND(D37&gt;=Parameters!$B$18,L37=0),1,"")</f>
        <v/>
      </c>
      <c r="AP37" s="22">
        <f>MIN(IF(ISNUMBER(AK37),AK37,9E15),IF(ISNUMBER(AL37),AL37,9E15),IF(ISNUMBER(AM37),AM37,9E15))</f>
        <v/>
      </c>
      <c r="AQ37" s="22">
        <f>MIN(IF(ISNUMBER(AG37),AG37,9E15),IF(ISNUMBER(AH37),AH37,9E15),IF(ISNUMBER(AI37),AI37,9E15),IF(ISNUMBER(AJ37),AJ37,9E15))</f>
        <v/>
      </c>
      <c r="AR37" s="29">
        <f>IF(AW37&gt;Parameters!$B$21*(MAX(IF(AND(NOT(AND(AO37=1,AN37&lt;&gt;1)),ISNUMBER(AG37),AG37&lt;=T37),AS37,0),IF(AND(NOT(AND(AO37=1,AN37&lt;&gt;1)),ISNUMBER(AH37),AH37&lt;=T37),AT37,0),IF(AND(NOT(AND(AO37=1,AN37&lt;&gt;1)),ISNUMBER(AI37),AI37&lt;=T37),AU37,0),IF(AND(ISNUMBER(AJ37),AJ37&lt;=T37),AV37,0))),TRUE,FALSE)</f>
        <v/>
      </c>
      <c r="AS37" s="32">
        <f>IFERROR(Upgrades!$H$6*(POWER(Upgrades!$P$6,E37)*POWER(Upgrades!$P$7,F37)*POWER(Upgrades!$P$8,G37)*POWER(Upgrades!$P$9,H37)*POWER(Upgrades!$P$10,I37)*POWER(Upgrades!$P$11,J37)*POWER(Upgrades!$P$12,K37))*(IF(Upgrades!$T$7="Solar Wind",POWER(Upgrades!$U$7,F37),1)*IF(Upgrades!$T$8="Solar Wind",POWER(Upgrades!$U$8,G37),1)*IF(Upgrades!$T$9="Solar Wind",POWER(Upgrades!$U$9,H37),1)*IF(Upgrades!$T$10="Solar Wind",POWER(Upgrades!$U$10,I37),1)*IF(Upgrades!$T$11="Solar Wind",POWER(Upgrades!$U$11,J37),1)*IF(Upgrades!$T$12="Solar Wind",POWER(Upgrades!$U$12,K37),1))/AG37,0)</f>
        <v/>
      </c>
      <c r="AT37" s="32">
        <f>IFERROR(Upgrades!$H$7*(POWER(Upgrades!$P$6,E37)*POWER(Upgrades!$P$7,F37)*POWER(Upgrades!$P$8,G37)*POWER(Upgrades!$P$9,H37)*POWER(Upgrades!$P$10,I37)*POWER(Upgrades!$P$11,J37)*POWER(Upgrades!$P$12,K37))*(IF(Upgrades!$T$6="Asteroid Belt",POWER(Upgrades!$U$6,E37),1)*IF(Upgrades!$T$8="Asteroid Belt",POWER(Upgrades!$U$8,G37),1)*IF(Upgrades!$T$9="Asteroid Belt",POWER(Upgrades!$U$9,H37),1)*IF(Upgrades!$T$10="Asteroid Belt",POWER(Upgrades!$U$10,I37),1)*IF(Upgrades!$T$11="Asteroid Belt",POWER(Upgrades!$U$11,J37),1)*IF(Upgrades!$T$12="Asteroid Belt",POWER(Upgrades!$U$12,K37),1))/AH37,0)</f>
        <v/>
      </c>
      <c r="AU37" s="32">
        <f>IFERROR(Upgrades!$K$8*(POWER(Upgrades!$Q$6,E37)*POWER(Upgrades!$Q$7,F37)*POWER(Upgrades!$Q$8,G37)*POWER(Upgrades!$Q$9,H37)*POWER(Upgrades!$Q$10,I37)*POWER(Upgrades!$Q$11,J37)*POWER(Upgrades!$Q$12,K37))*(IF(Upgrades!$T$6="Stellar Coupling",POWER(Upgrades!$U$6,E37),1)*IF(Upgrades!$T$7="Stellar Coupling",POWER(Upgrades!$U$7,F37),1)*IF(Upgrades!$T$9="Stellar Coupling",POWER(Upgrades!$U$9,H37),1)*IF(Upgrades!$T$10="Stellar Coupling",POWER(Upgrades!$U$10,I37),1)*IF(Upgrades!$T$11="Stellar Coupling",POWER(Upgrades!$U$11,J37),1)*IF(Upgrades!$T$12="Stellar Coupling",POWER(Upgrades!$U$12,K37),1))*Parameters!$B$10*Parameters!$B$11/60/AI37,0)</f>
        <v/>
      </c>
      <c r="AV37" s="32">
        <f>IFERROR(Upgrades!$H$9*(POWER(Upgrades!$P$6,E37)*POWER(Upgrades!$P$7,F37)*POWER(Upgrades!$P$8,G37)*POWER(Upgrades!$P$9,H37)*POWER(Upgrades!$P$10,I37)*POWER(Upgrades!$P$11,J37)*POWER(Upgrades!$P$12,K37))*(IF(Upgrades!$T$6="Magnetosphere",POWER(Upgrades!$U$6,E37),1)*IF(Upgrades!$T$7="Magnetosphere",POWER(Upgrades!$U$7,F37),1)*IF(Upgrades!$T$8="Magnetosphere",POWER(Upgrades!$U$8,G37),1)*IF(Upgrades!$T$10="Magnetosphere",POWER(Upgrades!$U$10,I37),1)*IF(Upgrades!$T$11="Magnetosphere",POWER(Upgrades!$U$11,J37),1)*IF(Upgrades!$T$12="Magnetosphere",POWER(Upgrades!$U$12,K37),1))/AJ37,0)</f>
        <v/>
      </c>
      <c r="AW37" s="32">
        <f>MAX(IF(I37&gt;0,0,IFERROR(0.25*N37/Upgrades!$C$10,0)),IF(J37&gt;0,0,IFERROR(0.5*((IF(G37=0,0,(Upgrades!$J$8+G37*Upgrades!$K$8)*POWER(Upgrades!$L$8,G37)))*(IF(Upgrades!$T$6="Stellar Coupling",POWER(Upgrades!$U$6,E37),1)*IF(Upgrades!$T$7="Stellar Coupling",POWER(Upgrades!$U$7,F37),1)*IF(Upgrades!$T$9="Stellar Coupling",POWER(Upgrades!$U$9,H37),1)*IF(Upgrades!$T$10="Stellar Coupling",POWER(Upgrades!$U$10,I37),1)*IF(Upgrades!$T$11="Stellar Coupling",POWER(Upgrades!$U$11,J37),1)*IF(Upgrades!$T$12="Stellar Coupling",POWER(Upgrades!$U$12,K37),1))*(POWER(Upgrades!$Q$6,E37)*POWER(Upgrades!$Q$7,F37)*POWER(Upgrades!$Q$8,G37)*POWER(Upgrades!$Q$9,H37)*POWER(Upgrades!$Q$10,I37)*POWER(Upgrades!$Q$11,J37)*POWER(Upgrades!$Q$12,K37))*Parameters!$B$10*Parameters!$B$11/60)/Upgrades!$C$11,0)),IF(K37&gt;0,0,IFERROR((1.0*(POWER(Upgrades!$P$6,E37)*POWER(Upgrades!$P$7,F37)*POWER(Upgrades!$P$8,G37)*POWER(Upgrades!$P$9,H37)*POWER(Upgrades!$P$10,I37)*POWER(Upgrades!$P$11,J37)*POWER(Upgrades!$P$12,K37))+0.20*M37*Parameters!$B$10*Parameters!$B$11/60)/Upgrades!$C$12,0)),IF(AND(ISNUMBER(AG37),AG37&gt;T37),AS37,0),IF(AND(ISNUMBER(AH37),AH37&gt;T37),AT37,0),IF(AND(ISNUMBER(AI37),AI37&gt;T37),AU37,0),IF(AND(ISNUMBER(AJ37),AJ37&gt;T37),AV37,0))</f>
        <v/>
      </c>
      <c r="AX37" s="29">
        <f>IF(AN37=1,"transition",IF(MIN(IF(AND(I37=0,ISNUMBER(AK37),AK37&lt;=T37),AK37,9E15),IF(AND(J37=0,ISNUMBER(AL37),AL37&lt;=T37),AL37,9E15),IF(AND(K37=0,ISNUMBER(AM37),AM37&lt;=T37),AM37,9E15))&lt;9E15,IF(AND(AND(I37=0,ISNUMBER(AK37),AK37&lt;=T37),AK37=MIN(IF(AND(I37=0,ISNUMBER(AK37),AK37&lt;=T37),AK37,9E15),IF(AND(J37=0,ISNUMBER(AL37),AL37&lt;=T37),AL37,9E15),IF(AND(K37=0,ISNUMBER(AM37),AM37&lt;=T37),AM37,9E15))),"OR",IF(AND(AND(J37=0,ISNUMBER(AL37),AL37&lt;=T37),AL37=MIN(IF(AND(I37=0,ISNUMBER(AK37),AK37&lt;=T37),AK37,9E15),IF(AND(J37=0,ISNUMBER(AL37),AL37&lt;=T37),AL37,9E15),IF(AND(K37=0,ISNUMBER(AM37),AM37&lt;=T37),AM37,9E15))),"HP","FP")),IF(AR37=TRUE,"",IF(MAX(IF(AND(NOT(AND(AO37=1,AN37&lt;&gt;1)),ISNUMBER(AG37),AG37&lt;=T37),AS37,0),IF(AND(NOT(AND(AO37=1,AN37&lt;&gt;1)),ISNUMBER(AH37),AH37&lt;=T37),AT37,0),IF(AND(NOT(AND(AO37=1,AN37&lt;&gt;1)),ISNUMBER(AI37),AI37&lt;=T37),AU37,0),IF(AND(ISNUMBER(AJ37),AJ37&lt;=T37),AV37,0))&lt;=0,"",IF(AND(IF(AND(NOT(AND(AO37=1,AN37&lt;&gt;1)),ISNUMBER(AG37),AG37&lt;=T37),AS37,0)&gt;0,IF(AND(NOT(AND(AO37=1,AN37&lt;&gt;1)),ISNUMBER(AG37),AG37&lt;=T37),AS37,0)=MAX(IF(AND(NOT(AND(AO37=1,AN37&lt;&gt;1)),ISNUMBER(AG37),AG37&lt;=T37),AS37,0),IF(AND(NOT(AND(AO37=1,AN37&lt;&gt;1)),ISNUMBER(AH37),AH37&lt;=T37),AT37,0),IF(AND(NOT(AND(AO37=1,AN37&lt;&gt;1)),ISNUMBER(AI37),AI37&lt;=T37),AU37,0),IF(AND(ISNUMBER(AJ37),AJ37&lt;=T37),AV37,0))),"SW",IF(AND(IF(AND(NOT(AND(AO37=1,AN37&lt;&gt;1)),ISNUMBER(AH37),AH37&lt;=T37),AT37,0)&gt;0,IF(AND(NOT(AND(AO37=1,AN37&lt;&gt;1)),ISNUMBER(AH37),AH37&lt;=T37),AT37,0)=MAX(IF(AND(NOT(AND(AO37=1,AN37&lt;&gt;1)),ISNUMBER(AG37),AG37&lt;=T37),AS37,0),IF(AND(NOT(AND(AO37=1,AN37&lt;&gt;1)),ISNUMBER(AH37),AH37&lt;=T37),AT37,0),IF(AND(NOT(AND(AO37=1,AN37&lt;&gt;1)),ISNUMBER(AI37),AI37&lt;=T37),AU37,0),IF(AND(ISNUMBER(AJ37),AJ37&lt;=T37),AV37,0))),"AB",IF(AND(IF(AND(NOT(AND(AO37=1,AN37&lt;&gt;1)),ISNUMBER(AI37),AI37&lt;=T37),AU37,0)&gt;0,IF(AND(NOT(AND(AO37=1,AN37&lt;&gt;1)),ISNUMBER(AI37),AI37&lt;=T37),AU37,0)=MAX(IF(AND(NOT(AND(AO37=1,AN37&lt;&gt;1)),ISNUMBER(AG37),AG37&lt;=T37),AS37,0),IF(AND(NOT(AND(AO37=1,AN37&lt;&gt;1)),ISNUMBER(AH37),AH37&lt;=T37),AT37,0),IF(AND(NOT(AND(AO37=1,AN37&lt;&gt;1)),ISNUMBER(AI37),AI37&lt;=T37),AU37,0),IF(AND(ISNUMBER(AJ37),AJ37&lt;=T37),AV37,0))),"SC","Mag")))))))</f>
        <v/>
      </c>
    </row>
    <row r="38">
      <c r="A38" s="26" t="n">
        <v>33</v>
      </c>
      <c r="B38" s="27">
        <f>A38*10/60</f>
        <v/>
      </c>
      <c r="C38" s="22">
        <f>X37</f>
        <v/>
      </c>
      <c r="D38" s="27">
        <f>D37+W37</f>
        <v/>
      </c>
      <c r="E38" s="26">
        <f>E37+IF(U37="SW",1,0)</f>
        <v/>
      </c>
      <c r="F38" s="26">
        <f>F37+IF(U37="AB",1,0)</f>
        <v/>
      </c>
      <c r="G38" s="26">
        <f>G37+IF(U37="SC",1,0)</f>
        <v/>
      </c>
      <c r="H38" s="26">
        <f>H37+IF(U37="Mag",1,0)</f>
        <v/>
      </c>
      <c r="I38" s="26">
        <f>MAX(I37,IF(U37="OR",1,0))</f>
        <v/>
      </c>
      <c r="J38" s="26">
        <f>MAX(J37,IF(U37="HP",1,0))</f>
        <v/>
      </c>
      <c r="K38" s="26">
        <f>MAX(K37,IF(U37="FP",1,0))</f>
        <v/>
      </c>
      <c r="L38" s="26">
        <f>MAX(L37,IF(U37="transition",1,0))</f>
        <v/>
      </c>
      <c r="M38" s="28">
        <f>(Parameters!$B$9+(IF(E38=0,0,(Upgrades!$J$6+E38*Upgrades!$K$6)*POWER(Upgrades!$L$6,E38)))*(IF(Upgrades!$T$7="Solar Wind",POWER(Upgrades!$U$7,F38),1)*IF(Upgrades!$T$8="Solar Wind",POWER(Upgrades!$U$8,G38),1)*IF(Upgrades!$T$9="Solar Wind",POWER(Upgrades!$U$9,H38),1)*IF(Upgrades!$T$10="Solar Wind",POWER(Upgrades!$U$10,I38),1)*IF(Upgrades!$T$11="Solar Wind",POWER(Upgrades!$U$11,J38),1)*IF(Upgrades!$T$12="Solar Wind",POWER(Upgrades!$U$12,K38),1))+(IF(F38=0,0,(Upgrades!$J$7+F38*Upgrades!$K$7)*POWER(Upgrades!$L$7,F38)))*(IF(Upgrades!$T$6="Asteroid Belt",POWER(Upgrades!$U$6,E38),1)*IF(Upgrades!$T$8="Asteroid Belt",POWER(Upgrades!$U$8,G38),1)*IF(Upgrades!$T$9="Asteroid Belt",POWER(Upgrades!$U$9,H38),1)*IF(Upgrades!$T$10="Asteroid Belt",POWER(Upgrades!$U$10,I38),1)*IF(Upgrades!$T$11="Asteroid Belt",POWER(Upgrades!$U$11,J38),1)*IF(Upgrades!$T$12="Asteroid Belt",POWER(Upgrades!$U$12,K38),1))+(IF(G38=0,0,(Upgrades!$J$8+G38*Upgrades!$K$8)*POWER(Upgrades!$L$8,G38)))*(IF(Upgrades!$T$6="Stellar Coupling",POWER(Upgrades!$U$6,E38),1)*IF(Upgrades!$T$7="Stellar Coupling",POWER(Upgrades!$U$7,F38),1)*IF(Upgrades!$T$9="Stellar Coupling",POWER(Upgrades!$U$9,H38),1)*IF(Upgrades!$T$10="Stellar Coupling",POWER(Upgrades!$U$10,I38),1)*IF(Upgrades!$T$11="Stellar Coupling",POWER(Upgrades!$U$11,J38),1)*IF(Upgrades!$T$12="Stellar Coupling",POWER(Upgrades!$U$12,K38),1))+(IF(H38=0,0,(Upgrades!$J$9+H38*Upgrades!$K$9)*POWER(Upgrades!$L$9,H38)))*(IF(Upgrades!$T$6="Magnetosphere",POWER(Upgrades!$U$6,E38),1)*IF(Upgrades!$T$7="Magnetosphere",POWER(Upgrades!$U$7,F38),1)*IF(Upgrades!$T$8="Magnetosphere",POWER(Upgrades!$U$8,G38),1)*IF(Upgrades!$T$10="Magnetosphere",POWER(Upgrades!$U$10,I38),1)*IF(Upgrades!$T$11="Magnetosphere",POWER(Upgrades!$U$11,J38),1)*IF(Upgrades!$T$12="Magnetosphere",POWER(Upgrades!$U$12,K38),1))+(IF(I38=0,0,(Upgrades!$J$10+I38*Upgrades!$K$10)*POWER(Upgrades!$L$10,I38)))*(IF(Upgrades!$T$6="Orbital Resonance",POWER(Upgrades!$U$6,E38),1)*IF(Upgrades!$T$7="Orbital Resonance",POWER(Upgrades!$U$7,F38),1)*IF(Upgrades!$T$8="Orbital Resonance",POWER(Upgrades!$U$8,G38),1)*IF(Upgrades!$T$9="Orbital Resonance",POWER(Upgrades!$U$9,H38),1)*IF(Upgrades!$T$11="Orbital Resonance",POWER(Upgrades!$U$11,J38),1)*IF(Upgrades!$T$12="Orbital Resonance",POWER(Upgrades!$U$12,K38),1))+(IF(J38=0,0,(Upgrades!$J$11+J38*Upgrades!$K$11)*POWER(Upgrades!$L$11,J38)))*(IF(Upgrades!$T$6="Heliopause",POWER(Upgrades!$U$6,E38),1)*IF(Upgrades!$T$7="Heliopause",POWER(Upgrades!$U$7,F38),1)*IF(Upgrades!$T$8="Heliopause",POWER(Upgrades!$U$8,G38),1)*IF(Upgrades!$T$9="Heliopause",POWER(Upgrades!$U$9,H38),1)*IF(Upgrades!$T$10="Heliopause",POWER(Upgrades!$U$10,I38),1)*IF(Upgrades!$T$12="Heliopause",POWER(Upgrades!$U$12,K38),1))+(IF(K38=0,0,(Upgrades!$J$12+K38*Upgrades!$K$12)*POWER(Upgrades!$L$12,K38)))*(IF(Upgrades!$T$6="First Photons",POWER(Upgrades!$U$6,E38),1)*IF(Upgrades!$T$7="First Photons",POWER(Upgrades!$U$7,F38),1)*IF(Upgrades!$T$8="First Photons",POWER(Upgrades!$U$8,G38),1)*IF(Upgrades!$T$9="First Photons",POWER(Upgrades!$U$9,H38),1)*IF(Upgrades!$T$10="First Photons",POWER(Upgrades!$U$10,I38),1)*IF(Upgrades!$T$11="First Photons",POWER(Upgrades!$U$11,J38),1)))*POWER(Upgrades!$Q$6,E38)*POWER(Upgrades!$Q$7,F38)*POWER(Upgrades!$Q$8,G38)*POWER(Upgrades!$Q$9,H38)*POWER(Upgrades!$Q$10,I38)*POWER(Upgrades!$Q$11,J38)*POWER(Upgrades!$Q$12,K38)</f>
        <v/>
      </c>
      <c r="N38" s="28">
        <f>((IF(E38=0,0,(Upgrades!$G$6+E38*Upgrades!$H$6)*POWER(Upgrades!$I$6,E38)))*(IF(Upgrades!$T$7="Solar Wind",POWER(Upgrades!$U$7,F38),1)*IF(Upgrades!$T$8="Solar Wind",POWER(Upgrades!$U$8,G38),1)*IF(Upgrades!$T$9="Solar Wind",POWER(Upgrades!$U$9,H38),1)*IF(Upgrades!$T$10="Solar Wind",POWER(Upgrades!$U$10,I38),1)*IF(Upgrades!$T$11="Solar Wind",POWER(Upgrades!$U$11,J38),1)*IF(Upgrades!$T$12="Solar Wind",POWER(Upgrades!$U$12,K38),1))+(IF(F38=0,0,(Upgrades!$G$7+F38*Upgrades!$H$7)*POWER(Upgrades!$I$7,F38)))*(IF(Upgrades!$T$6="Asteroid Belt",POWER(Upgrades!$U$6,E38),1)*IF(Upgrades!$T$8="Asteroid Belt",POWER(Upgrades!$U$8,G38),1)*IF(Upgrades!$T$9="Asteroid Belt",POWER(Upgrades!$U$9,H38),1)*IF(Upgrades!$T$10="Asteroid Belt",POWER(Upgrades!$U$10,I38),1)*IF(Upgrades!$T$11="Asteroid Belt",POWER(Upgrades!$U$11,J38),1)*IF(Upgrades!$T$12="Asteroid Belt",POWER(Upgrades!$U$12,K38),1))+(IF(G38=0,0,(Upgrades!$G$8+G38*Upgrades!$H$8)*POWER(Upgrades!$I$8,G38)))*(IF(Upgrades!$T$6="Stellar Coupling",POWER(Upgrades!$U$6,E38),1)*IF(Upgrades!$T$7="Stellar Coupling",POWER(Upgrades!$U$7,F38),1)*IF(Upgrades!$T$9="Stellar Coupling",POWER(Upgrades!$U$9,H38),1)*IF(Upgrades!$T$10="Stellar Coupling",POWER(Upgrades!$U$10,I38),1)*IF(Upgrades!$T$11="Stellar Coupling",POWER(Upgrades!$U$11,J38),1)*IF(Upgrades!$T$12="Stellar Coupling",POWER(Upgrades!$U$12,K38),1))+(IF(H38=0,0,(Upgrades!$G$9+H38*Upgrades!$H$9)*POWER(Upgrades!$I$9,H38)))*(IF(Upgrades!$T$6="Magnetosphere",POWER(Upgrades!$U$6,E38),1)*IF(Upgrades!$T$7="Magnetosphere",POWER(Upgrades!$U$7,F38),1)*IF(Upgrades!$T$8="Magnetosphere",POWER(Upgrades!$U$8,G38),1)*IF(Upgrades!$T$10="Magnetosphere",POWER(Upgrades!$U$10,I38),1)*IF(Upgrades!$T$11="Magnetosphere",POWER(Upgrades!$U$11,J38),1)*IF(Upgrades!$T$12="Magnetosphere",POWER(Upgrades!$U$12,K38),1))+(IF(I38=0,0,(Upgrades!$G$10+I38*Upgrades!$H$10)*POWER(Upgrades!$I$10,I38)))*(IF(Upgrades!$T$6="Orbital Resonance",POWER(Upgrades!$U$6,E38),1)*IF(Upgrades!$T$7="Orbital Resonance",POWER(Upgrades!$U$7,F38),1)*IF(Upgrades!$T$8="Orbital Resonance",POWER(Upgrades!$U$8,G38),1)*IF(Upgrades!$T$9="Orbital Resonance",POWER(Upgrades!$U$9,H38),1)*IF(Upgrades!$T$11="Orbital Resonance",POWER(Upgrades!$U$11,J38),1)*IF(Upgrades!$T$12="Orbital Resonance",POWER(Upgrades!$U$12,K38),1))+(IF(J38=0,0,(Upgrades!$G$11+J38*Upgrades!$H$11)*POWER(Upgrades!$I$11,J38)))*(IF(Upgrades!$T$6="Heliopause",POWER(Upgrades!$U$6,E38),1)*IF(Upgrades!$T$7="Heliopause",POWER(Upgrades!$U$7,F38),1)*IF(Upgrades!$T$8="Heliopause",POWER(Upgrades!$U$8,G38),1)*IF(Upgrades!$T$9="Heliopause",POWER(Upgrades!$U$9,H38),1)*IF(Upgrades!$T$10="Heliopause",POWER(Upgrades!$U$10,I38),1)*IF(Upgrades!$T$12="Heliopause",POWER(Upgrades!$U$12,K38),1))+(IF(K38=0,0,(Upgrades!$G$12+K38*Upgrades!$H$12)*POWER(Upgrades!$I$12,K38)))*(IF(Upgrades!$T$6="First Photons",POWER(Upgrades!$U$6,E38),1)*IF(Upgrades!$T$7="First Photons",POWER(Upgrades!$U$7,F38),1)*IF(Upgrades!$T$8="First Photons",POWER(Upgrades!$U$8,G38),1)*IF(Upgrades!$T$9="First Photons",POWER(Upgrades!$U$9,H38),1)*IF(Upgrades!$T$10="First Photons",POWER(Upgrades!$U$10,I38),1)*IF(Upgrades!$T$11="First Photons",POWER(Upgrades!$U$11,J38),1)))*POWER(Upgrades!$P$6,E38)*POWER(Upgrades!$P$7,F38)*POWER(Upgrades!$P$8,G38)*POWER(Upgrades!$P$9,H38)*POWER(Upgrades!$P$10,I38)*POWER(Upgrades!$P$11,J38)*POWER(Upgrades!$P$12,K38)</f>
        <v/>
      </c>
      <c r="O38" s="28">
        <f>((IF(E38=0,0,(Upgrades!$M$6+E38*Upgrades!$N$6)*POWER(Upgrades!$O$6,E38)))*(IF(Upgrades!$T$7="Solar Wind",POWER(Upgrades!$U$7,F38),1)*IF(Upgrades!$T$8="Solar Wind",POWER(Upgrades!$U$8,G38),1)*IF(Upgrades!$T$9="Solar Wind",POWER(Upgrades!$U$9,H38),1)*IF(Upgrades!$T$10="Solar Wind",POWER(Upgrades!$U$10,I38),1)*IF(Upgrades!$T$11="Solar Wind",POWER(Upgrades!$U$11,J38),1)*IF(Upgrades!$T$12="Solar Wind",POWER(Upgrades!$U$12,K38),1))+(IF(F38=0,0,(Upgrades!$M$7+F38*Upgrades!$N$7)*POWER(Upgrades!$O$7,F38)))*(IF(Upgrades!$T$6="Asteroid Belt",POWER(Upgrades!$U$6,E38),1)*IF(Upgrades!$T$8="Asteroid Belt",POWER(Upgrades!$U$8,G38),1)*IF(Upgrades!$T$9="Asteroid Belt",POWER(Upgrades!$U$9,H38),1)*IF(Upgrades!$T$10="Asteroid Belt",POWER(Upgrades!$U$10,I38),1)*IF(Upgrades!$T$11="Asteroid Belt",POWER(Upgrades!$U$11,J38),1)*IF(Upgrades!$T$12="Asteroid Belt",POWER(Upgrades!$U$12,K38),1))+(IF(G38=0,0,(Upgrades!$M$8+G38*Upgrades!$N$8)*POWER(Upgrades!$O$8,G38)))*(IF(Upgrades!$T$6="Stellar Coupling",POWER(Upgrades!$U$6,E38),1)*IF(Upgrades!$T$7="Stellar Coupling",POWER(Upgrades!$U$7,F38),1)*IF(Upgrades!$T$9="Stellar Coupling",POWER(Upgrades!$U$9,H38),1)*IF(Upgrades!$T$10="Stellar Coupling",POWER(Upgrades!$U$10,I38),1)*IF(Upgrades!$T$11="Stellar Coupling",POWER(Upgrades!$U$11,J38),1)*IF(Upgrades!$T$12="Stellar Coupling",POWER(Upgrades!$U$12,K38),1))+(IF(H38=0,0,(Upgrades!$M$9+H38*Upgrades!$N$9)*POWER(Upgrades!$O$9,H38)))*(IF(Upgrades!$T$6="Magnetosphere",POWER(Upgrades!$U$6,E38),1)*IF(Upgrades!$T$7="Magnetosphere",POWER(Upgrades!$U$7,F38),1)*IF(Upgrades!$T$8="Magnetosphere",POWER(Upgrades!$U$8,G38),1)*IF(Upgrades!$T$10="Magnetosphere",POWER(Upgrades!$U$10,I38),1)*IF(Upgrades!$T$11="Magnetosphere",POWER(Upgrades!$U$11,J38),1)*IF(Upgrades!$T$12="Magnetosphere",POWER(Upgrades!$U$12,K38),1))+(IF(I38=0,0,(Upgrades!$M$10+I38*Upgrades!$N$10)*POWER(Upgrades!$O$10,I38)))*(IF(Upgrades!$T$6="Orbital Resonance",POWER(Upgrades!$U$6,E38),1)*IF(Upgrades!$T$7="Orbital Resonance",POWER(Upgrades!$U$7,F38),1)*IF(Upgrades!$T$8="Orbital Resonance",POWER(Upgrades!$U$8,G38),1)*IF(Upgrades!$T$9="Orbital Resonance",POWER(Upgrades!$U$9,H38),1)*IF(Upgrades!$T$11="Orbital Resonance",POWER(Upgrades!$U$11,J38),1)*IF(Upgrades!$T$12="Orbital Resonance",POWER(Upgrades!$U$12,K38),1))+(IF(J38=0,0,(Upgrades!$M$11+J38*Upgrades!$N$11)*POWER(Upgrades!$O$11,J38)))*(IF(Upgrades!$T$6="Heliopause",POWER(Upgrades!$U$6,E38),1)*IF(Upgrades!$T$7="Heliopause",POWER(Upgrades!$U$7,F38),1)*IF(Upgrades!$T$8="Heliopause",POWER(Upgrades!$U$8,G38),1)*IF(Upgrades!$T$9="Heliopause",POWER(Upgrades!$U$9,H38),1)*IF(Upgrades!$T$10="Heliopause",POWER(Upgrades!$U$10,I38),1)*IF(Upgrades!$T$12="Heliopause",POWER(Upgrades!$U$12,K38),1))+(IF(K38=0,0,(Upgrades!$M$12+K38*Upgrades!$N$12)*POWER(Upgrades!$O$12,K38)))*(IF(Upgrades!$T$6="First Photons",POWER(Upgrades!$U$6,E38),1)*IF(Upgrades!$T$7="First Photons",POWER(Upgrades!$U$7,F38),1)*IF(Upgrades!$T$8="First Photons",POWER(Upgrades!$U$8,G38),1)*IF(Upgrades!$T$9="First Photons",POWER(Upgrades!$U$9,H38),1)*IF(Upgrades!$T$10="First Photons",POWER(Upgrades!$U$10,I38),1)*IF(Upgrades!$T$11="First Photons",POWER(Upgrades!$U$11,J38),1)))*POWER(Upgrades!$R$6,E38)*POWER(Upgrades!$R$7,F38)*POWER(Upgrades!$R$8,G38)*POWER(Upgrades!$R$9,H38)*POWER(Upgrades!$R$10,I38)*POWER(Upgrades!$R$11,J38)*POWER(Upgrades!$R$12,K38)</f>
        <v/>
      </c>
      <c r="P38" s="27">
        <f>IF(L38=1,0,M38*Parameters!$B$10/60*Parameters!$B$11*10)</f>
        <v/>
      </c>
      <c r="Q38" s="27">
        <f>IF(L38=1,0,O38*M38*10)</f>
        <v/>
      </c>
      <c r="R38" s="27">
        <f>IF(L38=1,0,N38*10)</f>
        <v/>
      </c>
      <c r="S38" s="27">
        <f>P38+Q38+R38</f>
        <v/>
      </c>
      <c r="T38" s="22">
        <f>C38+S38</f>
        <v/>
      </c>
      <c r="U38" s="33">
        <f>AX38</f>
        <v/>
      </c>
      <c r="V38" s="22">
        <f>IF(U38="",0,IF(U38="transition",0,IF(U38="SW",AG38,IF(U38="AB",AH38,IF(U38="SC",AI38,IF(U38="Mag",AJ38,IF(U38="OR",AK38,IF(U38="HP",AL38,IF(U38="FP",AM38,0)))))))))</f>
        <v/>
      </c>
      <c r="W38" s="27">
        <f>IF(U38="OR",Upgrades!$F$10,IF(U38="HP",Upgrades!$F$11,IF(U38="transition",-Parameters!$B$18,0)))</f>
        <v/>
      </c>
      <c r="X38" s="22">
        <f>T38-V38</f>
        <v/>
      </c>
      <c r="Y38" s="30">
        <f>M38*Parameters!$B$10/60*Parameters!$B$11+O38*M38+N38</f>
        <v/>
      </c>
      <c r="Z38" s="34">
        <f>IF(U38="transition","→ Tier 2 (Stellar Neighborhood)",IF(U38="FP","First Photons — light begins, system quickens",IF(U38="HP","Heliopause acquired",IF(U38="OR","Orbital Resonance — passive multiplier active",IF(AND(AO38=1,L38=0,AN38&lt;&gt;1),"Cohesion ready (waiting on completionist upgrades)","")))))</f>
        <v/>
      </c>
      <c r="AA38" s="27">
        <f>(IF(E38=0,0,(Upgrades!$G$6+E38*Upgrades!$H$6)*POWER(Upgrades!$I$6,E38)))*(IF(Upgrades!$T$7="Solar Wind",POWER(Upgrades!$U$7,F38),1)*IF(Upgrades!$T$8="Solar Wind",POWER(Upgrades!$U$8,G38),1)*IF(Upgrades!$T$9="Solar Wind",POWER(Upgrades!$U$9,H38),1)*IF(Upgrades!$T$10="Solar Wind",POWER(Upgrades!$U$10,I38),1)*IF(Upgrades!$T$11="Solar Wind",POWER(Upgrades!$U$11,J38),1)*IF(Upgrades!$T$12="Solar Wind",POWER(Upgrades!$U$12,K38),1))*POWER(Upgrades!$P$6,E38)*POWER(Upgrades!$P$7,F38)*POWER(Upgrades!$P$8,G38)*POWER(Upgrades!$P$9,H38)*POWER(Upgrades!$P$10,I38)*POWER(Upgrades!$P$11,J38)*POWER(Upgrades!$P$12,K38)*60</f>
        <v/>
      </c>
      <c r="AB38" s="27">
        <f>(IF(F38=0,0,(Upgrades!$G$7+F38*Upgrades!$H$7)*POWER(Upgrades!$I$7,F38)))*(IF(Upgrades!$T$6="Asteroid Belt",POWER(Upgrades!$U$6,E38),1)*IF(Upgrades!$T$8="Asteroid Belt",POWER(Upgrades!$U$8,G38),1)*IF(Upgrades!$T$9="Asteroid Belt",POWER(Upgrades!$U$9,H38),1)*IF(Upgrades!$T$10="Asteroid Belt",POWER(Upgrades!$U$10,I38),1)*IF(Upgrades!$T$11="Asteroid Belt",POWER(Upgrades!$U$11,J38),1)*IF(Upgrades!$T$12="Asteroid Belt",POWER(Upgrades!$U$12,K38),1))*POWER(Upgrades!$P$6,E38)*POWER(Upgrades!$P$7,F38)*POWER(Upgrades!$P$8,G38)*POWER(Upgrades!$P$9,H38)*POWER(Upgrades!$P$10,I38)*POWER(Upgrades!$P$11,J38)*POWER(Upgrades!$P$12,K38)*60</f>
        <v/>
      </c>
      <c r="AC38" s="27">
        <f>(IF(G38=0,0,(Upgrades!$J$8+G38*Upgrades!$K$8)*POWER(Upgrades!$L$8,G38)))*(IF(Upgrades!$T$6="Stellar Coupling",POWER(Upgrades!$U$6,E38),1)*IF(Upgrades!$T$7="Stellar Coupling",POWER(Upgrades!$U$7,F38),1)*IF(Upgrades!$T$9="Stellar Coupling",POWER(Upgrades!$U$9,H38),1)*IF(Upgrades!$T$10="Stellar Coupling",POWER(Upgrades!$U$10,I38),1)*IF(Upgrades!$T$11="Stellar Coupling",POWER(Upgrades!$U$11,J38),1)*IF(Upgrades!$T$12="Stellar Coupling",POWER(Upgrades!$U$12,K38),1))*POWER(Upgrades!$Q$6,E38)*POWER(Upgrades!$Q$7,F38)*POWER(Upgrades!$Q$8,G38)*POWER(Upgrades!$Q$9,H38)*POWER(Upgrades!$Q$10,I38)*POWER(Upgrades!$Q$11,J38)*POWER(Upgrades!$Q$12,K38)*Parameters!$B$10*Parameters!$B$11</f>
        <v/>
      </c>
      <c r="AD38" s="27">
        <f>(IF(H38=0,0,(Upgrades!$G$9+H38*Upgrades!$H$9)*POWER(Upgrades!$I$9,H38)))*(IF(Upgrades!$T$6="Magnetosphere",POWER(Upgrades!$U$6,E38),1)*IF(Upgrades!$T$7="Magnetosphere",POWER(Upgrades!$U$7,F38),1)*IF(Upgrades!$T$8="Magnetosphere",POWER(Upgrades!$U$8,G38),1)*IF(Upgrades!$T$10="Magnetosphere",POWER(Upgrades!$U$10,I38),1)*IF(Upgrades!$T$11="Magnetosphere",POWER(Upgrades!$U$11,J38),1)*IF(Upgrades!$T$12="Magnetosphere",POWER(Upgrades!$U$12,K38),1))*POWER(Upgrades!$P$6,E38)*POWER(Upgrades!$P$7,F38)*POWER(Upgrades!$P$8,G38)*POWER(Upgrades!$P$9,H38)*POWER(Upgrades!$P$10,I38)*POWER(Upgrades!$P$11,J38)*POWER(Upgrades!$P$12,K38)*60</f>
        <v/>
      </c>
      <c r="AE38" s="27">
        <f>(IF(K38=0,0,(Upgrades!$G$12+K38*Upgrades!$H$12)*POWER(Upgrades!$I$12,K38)))*(IF(Upgrades!$T$6="First Photons",POWER(Upgrades!$U$6,E38),1)*IF(Upgrades!$T$7="First Photons",POWER(Upgrades!$U$7,F38),1)*IF(Upgrades!$T$8="First Photons",POWER(Upgrades!$U$8,G38),1)*IF(Upgrades!$T$9="First Photons",POWER(Upgrades!$U$9,H38),1)*IF(Upgrades!$T$10="First Photons",POWER(Upgrades!$U$10,I38),1)*IF(Upgrades!$T$11="First Photons",POWER(Upgrades!$U$11,J38),1))*POWER(Upgrades!$P$6,E38)*POWER(Upgrades!$P$7,F38)*POWER(Upgrades!$P$8,G38)*POWER(Upgrades!$P$9,H38)*POWER(Upgrades!$P$10,I38)*POWER(Upgrades!$P$11,J38)*POWER(Upgrades!$P$12,K38)*60</f>
        <v/>
      </c>
      <c r="AF38" s="27">
        <f>Parameters!$B$9*POWER(Upgrades!$Q$6,E38)*POWER(Upgrades!$Q$7,F38)*POWER(Upgrades!$Q$8,G38)*POWER(Upgrades!$Q$9,H38)*POWER(Upgrades!$Q$10,I38)*POWER(Upgrades!$Q$11,J38)*POWER(Upgrades!$Q$12,K38)*(Parameters!$B$10*Parameters!$B$11+O38*60)</f>
        <v/>
      </c>
      <c r="AG38" s="22">
        <f>IF(E38&gt;=Upgrades!$E$6,"",Upgrades!$C$6*POWER(Upgrades!$D$6,E38))</f>
        <v/>
      </c>
      <c r="AH38" s="22">
        <f>IF(F38&gt;=Upgrades!$E$7,"",Upgrades!$C$7*POWER(Upgrades!$D$7,F38))</f>
        <v/>
      </c>
      <c r="AI38" s="22">
        <f>IF(G38&gt;=Upgrades!$E$8,"",Upgrades!$C$8*POWER(Upgrades!$D$8,G38))</f>
        <v/>
      </c>
      <c r="AJ38" s="22">
        <f>IF(H38&gt;=Upgrades!$E$9,"",Upgrades!$C$9*POWER(Upgrades!$D$9,H38))</f>
        <v/>
      </c>
      <c r="AK38" s="22">
        <f>IF(I38&gt;=Upgrades!$E$10,"",Upgrades!$C$10*POWER(Upgrades!$D$10,I38))</f>
        <v/>
      </c>
      <c r="AL38" s="22">
        <f>IF(J38&gt;=Upgrades!$E$11,"",Upgrades!$C$11*POWER(Upgrades!$D$11,J38))</f>
        <v/>
      </c>
      <c r="AM38" s="22">
        <f>IF(K38&gt;=Upgrades!$E$12,"",Upgrades!$C$12*POWER(Upgrades!$D$12,K38))</f>
        <v/>
      </c>
      <c r="AN38" s="26">
        <f>IF(AND(D38&gt;=Parameters!$B$18,(H38&gt;=Upgrades!$E$9)*(K38&gt;=Upgrades!$E$12)=1,L38=0),1,"")</f>
        <v/>
      </c>
      <c r="AO38" s="26">
        <f>IF(AND(D38&gt;=Parameters!$B$18,L38=0),1,"")</f>
        <v/>
      </c>
      <c r="AP38" s="22">
        <f>MIN(IF(ISNUMBER(AK38),AK38,9E15),IF(ISNUMBER(AL38),AL38,9E15),IF(ISNUMBER(AM38),AM38,9E15))</f>
        <v/>
      </c>
      <c r="AQ38" s="22">
        <f>MIN(IF(ISNUMBER(AG38),AG38,9E15),IF(ISNUMBER(AH38),AH38,9E15),IF(ISNUMBER(AI38),AI38,9E15),IF(ISNUMBER(AJ38),AJ38,9E15))</f>
        <v/>
      </c>
      <c r="AR38" s="29">
        <f>IF(AW38&gt;Parameters!$B$21*(MAX(IF(AND(NOT(AND(AO38=1,AN38&lt;&gt;1)),ISNUMBER(AG38),AG38&lt;=T38),AS38,0),IF(AND(NOT(AND(AO38=1,AN38&lt;&gt;1)),ISNUMBER(AH38),AH38&lt;=T38),AT38,0),IF(AND(NOT(AND(AO38=1,AN38&lt;&gt;1)),ISNUMBER(AI38),AI38&lt;=T38),AU38,0),IF(AND(ISNUMBER(AJ38),AJ38&lt;=T38),AV38,0))),TRUE,FALSE)</f>
        <v/>
      </c>
      <c r="AS38" s="32">
        <f>IFERROR(Upgrades!$H$6*(POWER(Upgrades!$P$6,E38)*POWER(Upgrades!$P$7,F38)*POWER(Upgrades!$P$8,G38)*POWER(Upgrades!$P$9,H38)*POWER(Upgrades!$P$10,I38)*POWER(Upgrades!$P$11,J38)*POWER(Upgrades!$P$12,K38))*(IF(Upgrades!$T$7="Solar Wind",POWER(Upgrades!$U$7,F38),1)*IF(Upgrades!$T$8="Solar Wind",POWER(Upgrades!$U$8,G38),1)*IF(Upgrades!$T$9="Solar Wind",POWER(Upgrades!$U$9,H38),1)*IF(Upgrades!$T$10="Solar Wind",POWER(Upgrades!$U$10,I38),1)*IF(Upgrades!$T$11="Solar Wind",POWER(Upgrades!$U$11,J38),1)*IF(Upgrades!$T$12="Solar Wind",POWER(Upgrades!$U$12,K38),1))/AG38,0)</f>
        <v/>
      </c>
      <c r="AT38" s="32">
        <f>IFERROR(Upgrades!$H$7*(POWER(Upgrades!$P$6,E38)*POWER(Upgrades!$P$7,F38)*POWER(Upgrades!$P$8,G38)*POWER(Upgrades!$P$9,H38)*POWER(Upgrades!$P$10,I38)*POWER(Upgrades!$P$11,J38)*POWER(Upgrades!$P$12,K38))*(IF(Upgrades!$T$6="Asteroid Belt",POWER(Upgrades!$U$6,E38),1)*IF(Upgrades!$T$8="Asteroid Belt",POWER(Upgrades!$U$8,G38),1)*IF(Upgrades!$T$9="Asteroid Belt",POWER(Upgrades!$U$9,H38),1)*IF(Upgrades!$T$10="Asteroid Belt",POWER(Upgrades!$U$10,I38),1)*IF(Upgrades!$T$11="Asteroid Belt",POWER(Upgrades!$U$11,J38),1)*IF(Upgrades!$T$12="Asteroid Belt",POWER(Upgrades!$U$12,K38),1))/AH38,0)</f>
        <v/>
      </c>
      <c r="AU38" s="32">
        <f>IFERROR(Upgrades!$K$8*(POWER(Upgrades!$Q$6,E38)*POWER(Upgrades!$Q$7,F38)*POWER(Upgrades!$Q$8,G38)*POWER(Upgrades!$Q$9,H38)*POWER(Upgrades!$Q$10,I38)*POWER(Upgrades!$Q$11,J38)*POWER(Upgrades!$Q$12,K38))*(IF(Upgrades!$T$6="Stellar Coupling",POWER(Upgrades!$U$6,E38),1)*IF(Upgrades!$T$7="Stellar Coupling",POWER(Upgrades!$U$7,F38),1)*IF(Upgrades!$T$9="Stellar Coupling",POWER(Upgrades!$U$9,H38),1)*IF(Upgrades!$T$10="Stellar Coupling",POWER(Upgrades!$U$10,I38),1)*IF(Upgrades!$T$11="Stellar Coupling",POWER(Upgrades!$U$11,J38),1)*IF(Upgrades!$T$12="Stellar Coupling",POWER(Upgrades!$U$12,K38),1))*Parameters!$B$10*Parameters!$B$11/60/AI38,0)</f>
        <v/>
      </c>
      <c r="AV38" s="32">
        <f>IFERROR(Upgrades!$H$9*(POWER(Upgrades!$P$6,E38)*POWER(Upgrades!$P$7,F38)*POWER(Upgrades!$P$8,G38)*POWER(Upgrades!$P$9,H38)*POWER(Upgrades!$P$10,I38)*POWER(Upgrades!$P$11,J38)*POWER(Upgrades!$P$12,K38))*(IF(Upgrades!$T$6="Magnetosphere",POWER(Upgrades!$U$6,E38),1)*IF(Upgrades!$T$7="Magnetosphere",POWER(Upgrades!$U$7,F38),1)*IF(Upgrades!$T$8="Magnetosphere",POWER(Upgrades!$U$8,G38),1)*IF(Upgrades!$T$10="Magnetosphere",POWER(Upgrades!$U$10,I38),1)*IF(Upgrades!$T$11="Magnetosphere",POWER(Upgrades!$U$11,J38),1)*IF(Upgrades!$T$12="Magnetosphere",POWER(Upgrades!$U$12,K38),1))/AJ38,0)</f>
        <v/>
      </c>
      <c r="AW38" s="32">
        <f>MAX(IF(I38&gt;0,0,IFERROR(0.25*N38/Upgrades!$C$10,0)),IF(J38&gt;0,0,IFERROR(0.5*((IF(G38=0,0,(Upgrades!$J$8+G38*Upgrades!$K$8)*POWER(Upgrades!$L$8,G38)))*(IF(Upgrades!$T$6="Stellar Coupling",POWER(Upgrades!$U$6,E38),1)*IF(Upgrades!$T$7="Stellar Coupling",POWER(Upgrades!$U$7,F38),1)*IF(Upgrades!$T$9="Stellar Coupling",POWER(Upgrades!$U$9,H38),1)*IF(Upgrades!$T$10="Stellar Coupling",POWER(Upgrades!$U$10,I38),1)*IF(Upgrades!$T$11="Stellar Coupling",POWER(Upgrades!$U$11,J38),1)*IF(Upgrades!$T$12="Stellar Coupling",POWER(Upgrades!$U$12,K38),1))*(POWER(Upgrades!$Q$6,E38)*POWER(Upgrades!$Q$7,F38)*POWER(Upgrades!$Q$8,G38)*POWER(Upgrades!$Q$9,H38)*POWER(Upgrades!$Q$10,I38)*POWER(Upgrades!$Q$11,J38)*POWER(Upgrades!$Q$12,K38))*Parameters!$B$10*Parameters!$B$11/60)/Upgrades!$C$11,0)),IF(K38&gt;0,0,IFERROR((1.0*(POWER(Upgrades!$P$6,E38)*POWER(Upgrades!$P$7,F38)*POWER(Upgrades!$P$8,G38)*POWER(Upgrades!$P$9,H38)*POWER(Upgrades!$P$10,I38)*POWER(Upgrades!$P$11,J38)*POWER(Upgrades!$P$12,K38))+0.20*M38*Parameters!$B$10*Parameters!$B$11/60)/Upgrades!$C$12,0)),IF(AND(ISNUMBER(AG38),AG38&gt;T38),AS38,0),IF(AND(ISNUMBER(AH38),AH38&gt;T38),AT38,0),IF(AND(ISNUMBER(AI38),AI38&gt;T38),AU38,0),IF(AND(ISNUMBER(AJ38),AJ38&gt;T38),AV38,0))</f>
        <v/>
      </c>
      <c r="AX38" s="29">
        <f>IF(AN38=1,"transition",IF(MIN(IF(AND(I38=0,ISNUMBER(AK38),AK38&lt;=T38),AK38,9E15),IF(AND(J38=0,ISNUMBER(AL38),AL38&lt;=T38),AL38,9E15),IF(AND(K38=0,ISNUMBER(AM38),AM38&lt;=T38),AM38,9E15))&lt;9E15,IF(AND(AND(I38=0,ISNUMBER(AK38),AK38&lt;=T38),AK38=MIN(IF(AND(I38=0,ISNUMBER(AK38),AK38&lt;=T38),AK38,9E15),IF(AND(J38=0,ISNUMBER(AL38),AL38&lt;=T38),AL38,9E15),IF(AND(K38=0,ISNUMBER(AM38),AM38&lt;=T38),AM38,9E15))),"OR",IF(AND(AND(J38=0,ISNUMBER(AL38),AL38&lt;=T38),AL38=MIN(IF(AND(I38=0,ISNUMBER(AK38),AK38&lt;=T38),AK38,9E15),IF(AND(J38=0,ISNUMBER(AL38),AL38&lt;=T38),AL38,9E15),IF(AND(K38=0,ISNUMBER(AM38),AM38&lt;=T38),AM38,9E15))),"HP","FP")),IF(AR38=TRUE,"",IF(MAX(IF(AND(NOT(AND(AO38=1,AN38&lt;&gt;1)),ISNUMBER(AG38),AG38&lt;=T38),AS38,0),IF(AND(NOT(AND(AO38=1,AN38&lt;&gt;1)),ISNUMBER(AH38),AH38&lt;=T38),AT38,0),IF(AND(NOT(AND(AO38=1,AN38&lt;&gt;1)),ISNUMBER(AI38),AI38&lt;=T38),AU38,0),IF(AND(ISNUMBER(AJ38),AJ38&lt;=T38),AV38,0))&lt;=0,"",IF(AND(IF(AND(NOT(AND(AO38=1,AN38&lt;&gt;1)),ISNUMBER(AG38),AG38&lt;=T38),AS38,0)&gt;0,IF(AND(NOT(AND(AO38=1,AN38&lt;&gt;1)),ISNUMBER(AG38),AG38&lt;=T38),AS38,0)=MAX(IF(AND(NOT(AND(AO38=1,AN38&lt;&gt;1)),ISNUMBER(AG38),AG38&lt;=T38),AS38,0),IF(AND(NOT(AND(AO38=1,AN38&lt;&gt;1)),ISNUMBER(AH38),AH38&lt;=T38),AT38,0),IF(AND(NOT(AND(AO38=1,AN38&lt;&gt;1)),ISNUMBER(AI38),AI38&lt;=T38),AU38,0),IF(AND(ISNUMBER(AJ38),AJ38&lt;=T38),AV38,0))),"SW",IF(AND(IF(AND(NOT(AND(AO38=1,AN38&lt;&gt;1)),ISNUMBER(AH38),AH38&lt;=T38),AT38,0)&gt;0,IF(AND(NOT(AND(AO38=1,AN38&lt;&gt;1)),ISNUMBER(AH38),AH38&lt;=T38),AT38,0)=MAX(IF(AND(NOT(AND(AO38=1,AN38&lt;&gt;1)),ISNUMBER(AG38),AG38&lt;=T38),AS38,0),IF(AND(NOT(AND(AO38=1,AN38&lt;&gt;1)),ISNUMBER(AH38),AH38&lt;=T38),AT38,0),IF(AND(NOT(AND(AO38=1,AN38&lt;&gt;1)),ISNUMBER(AI38),AI38&lt;=T38),AU38,0),IF(AND(ISNUMBER(AJ38),AJ38&lt;=T38),AV38,0))),"AB",IF(AND(IF(AND(NOT(AND(AO38=1,AN38&lt;&gt;1)),ISNUMBER(AI38),AI38&lt;=T38),AU38,0)&gt;0,IF(AND(NOT(AND(AO38=1,AN38&lt;&gt;1)),ISNUMBER(AI38),AI38&lt;=T38),AU38,0)=MAX(IF(AND(NOT(AND(AO38=1,AN38&lt;&gt;1)),ISNUMBER(AG38),AG38&lt;=T38),AS38,0),IF(AND(NOT(AND(AO38=1,AN38&lt;&gt;1)),ISNUMBER(AH38),AH38&lt;=T38),AT38,0),IF(AND(NOT(AND(AO38=1,AN38&lt;&gt;1)),ISNUMBER(AI38),AI38&lt;=T38),AU38,0),IF(AND(ISNUMBER(AJ38),AJ38&lt;=T38),AV38,0))),"SC","Mag")))))))</f>
        <v/>
      </c>
    </row>
    <row r="39">
      <c r="A39" s="26" t="n">
        <v>34</v>
      </c>
      <c r="B39" s="27">
        <f>A39*10/60</f>
        <v/>
      </c>
      <c r="C39" s="22">
        <f>X38</f>
        <v/>
      </c>
      <c r="D39" s="27">
        <f>D38+W38</f>
        <v/>
      </c>
      <c r="E39" s="26">
        <f>E38+IF(U38="SW",1,0)</f>
        <v/>
      </c>
      <c r="F39" s="26">
        <f>F38+IF(U38="AB",1,0)</f>
        <v/>
      </c>
      <c r="G39" s="26">
        <f>G38+IF(U38="SC",1,0)</f>
        <v/>
      </c>
      <c r="H39" s="26">
        <f>H38+IF(U38="Mag",1,0)</f>
        <v/>
      </c>
      <c r="I39" s="26">
        <f>MAX(I38,IF(U38="OR",1,0))</f>
        <v/>
      </c>
      <c r="J39" s="26">
        <f>MAX(J38,IF(U38="HP",1,0))</f>
        <v/>
      </c>
      <c r="K39" s="26">
        <f>MAX(K38,IF(U38="FP",1,0))</f>
        <v/>
      </c>
      <c r="L39" s="26">
        <f>MAX(L38,IF(U38="transition",1,0))</f>
        <v/>
      </c>
      <c r="M39" s="28">
        <f>(Parameters!$B$9+(IF(E39=0,0,(Upgrades!$J$6+E39*Upgrades!$K$6)*POWER(Upgrades!$L$6,E39)))*(IF(Upgrades!$T$7="Solar Wind",POWER(Upgrades!$U$7,F39),1)*IF(Upgrades!$T$8="Solar Wind",POWER(Upgrades!$U$8,G39),1)*IF(Upgrades!$T$9="Solar Wind",POWER(Upgrades!$U$9,H39),1)*IF(Upgrades!$T$10="Solar Wind",POWER(Upgrades!$U$10,I39),1)*IF(Upgrades!$T$11="Solar Wind",POWER(Upgrades!$U$11,J39),1)*IF(Upgrades!$T$12="Solar Wind",POWER(Upgrades!$U$12,K39),1))+(IF(F39=0,0,(Upgrades!$J$7+F39*Upgrades!$K$7)*POWER(Upgrades!$L$7,F39)))*(IF(Upgrades!$T$6="Asteroid Belt",POWER(Upgrades!$U$6,E39),1)*IF(Upgrades!$T$8="Asteroid Belt",POWER(Upgrades!$U$8,G39),1)*IF(Upgrades!$T$9="Asteroid Belt",POWER(Upgrades!$U$9,H39),1)*IF(Upgrades!$T$10="Asteroid Belt",POWER(Upgrades!$U$10,I39),1)*IF(Upgrades!$T$11="Asteroid Belt",POWER(Upgrades!$U$11,J39),1)*IF(Upgrades!$T$12="Asteroid Belt",POWER(Upgrades!$U$12,K39),1))+(IF(G39=0,0,(Upgrades!$J$8+G39*Upgrades!$K$8)*POWER(Upgrades!$L$8,G39)))*(IF(Upgrades!$T$6="Stellar Coupling",POWER(Upgrades!$U$6,E39),1)*IF(Upgrades!$T$7="Stellar Coupling",POWER(Upgrades!$U$7,F39),1)*IF(Upgrades!$T$9="Stellar Coupling",POWER(Upgrades!$U$9,H39),1)*IF(Upgrades!$T$10="Stellar Coupling",POWER(Upgrades!$U$10,I39),1)*IF(Upgrades!$T$11="Stellar Coupling",POWER(Upgrades!$U$11,J39),1)*IF(Upgrades!$T$12="Stellar Coupling",POWER(Upgrades!$U$12,K39),1))+(IF(H39=0,0,(Upgrades!$J$9+H39*Upgrades!$K$9)*POWER(Upgrades!$L$9,H39)))*(IF(Upgrades!$T$6="Magnetosphere",POWER(Upgrades!$U$6,E39),1)*IF(Upgrades!$T$7="Magnetosphere",POWER(Upgrades!$U$7,F39),1)*IF(Upgrades!$T$8="Magnetosphere",POWER(Upgrades!$U$8,G39),1)*IF(Upgrades!$T$10="Magnetosphere",POWER(Upgrades!$U$10,I39),1)*IF(Upgrades!$T$11="Magnetosphere",POWER(Upgrades!$U$11,J39),1)*IF(Upgrades!$T$12="Magnetosphere",POWER(Upgrades!$U$12,K39),1))+(IF(I39=0,0,(Upgrades!$J$10+I39*Upgrades!$K$10)*POWER(Upgrades!$L$10,I39)))*(IF(Upgrades!$T$6="Orbital Resonance",POWER(Upgrades!$U$6,E39),1)*IF(Upgrades!$T$7="Orbital Resonance",POWER(Upgrades!$U$7,F39),1)*IF(Upgrades!$T$8="Orbital Resonance",POWER(Upgrades!$U$8,G39),1)*IF(Upgrades!$T$9="Orbital Resonance",POWER(Upgrades!$U$9,H39),1)*IF(Upgrades!$T$11="Orbital Resonance",POWER(Upgrades!$U$11,J39),1)*IF(Upgrades!$T$12="Orbital Resonance",POWER(Upgrades!$U$12,K39),1))+(IF(J39=0,0,(Upgrades!$J$11+J39*Upgrades!$K$11)*POWER(Upgrades!$L$11,J39)))*(IF(Upgrades!$T$6="Heliopause",POWER(Upgrades!$U$6,E39),1)*IF(Upgrades!$T$7="Heliopause",POWER(Upgrades!$U$7,F39),1)*IF(Upgrades!$T$8="Heliopause",POWER(Upgrades!$U$8,G39),1)*IF(Upgrades!$T$9="Heliopause",POWER(Upgrades!$U$9,H39),1)*IF(Upgrades!$T$10="Heliopause",POWER(Upgrades!$U$10,I39),1)*IF(Upgrades!$T$12="Heliopause",POWER(Upgrades!$U$12,K39),1))+(IF(K39=0,0,(Upgrades!$J$12+K39*Upgrades!$K$12)*POWER(Upgrades!$L$12,K39)))*(IF(Upgrades!$T$6="First Photons",POWER(Upgrades!$U$6,E39),1)*IF(Upgrades!$T$7="First Photons",POWER(Upgrades!$U$7,F39),1)*IF(Upgrades!$T$8="First Photons",POWER(Upgrades!$U$8,G39),1)*IF(Upgrades!$T$9="First Photons",POWER(Upgrades!$U$9,H39),1)*IF(Upgrades!$T$10="First Photons",POWER(Upgrades!$U$10,I39),1)*IF(Upgrades!$T$11="First Photons",POWER(Upgrades!$U$11,J39),1)))*POWER(Upgrades!$Q$6,E39)*POWER(Upgrades!$Q$7,F39)*POWER(Upgrades!$Q$8,G39)*POWER(Upgrades!$Q$9,H39)*POWER(Upgrades!$Q$10,I39)*POWER(Upgrades!$Q$11,J39)*POWER(Upgrades!$Q$12,K39)</f>
        <v/>
      </c>
      <c r="N39" s="28">
        <f>((IF(E39=0,0,(Upgrades!$G$6+E39*Upgrades!$H$6)*POWER(Upgrades!$I$6,E39)))*(IF(Upgrades!$T$7="Solar Wind",POWER(Upgrades!$U$7,F39),1)*IF(Upgrades!$T$8="Solar Wind",POWER(Upgrades!$U$8,G39),1)*IF(Upgrades!$T$9="Solar Wind",POWER(Upgrades!$U$9,H39),1)*IF(Upgrades!$T$10="Solar Wind",POWER(Upgrades!$U$10,I39),1)*IF(Upgrades!$T$11="Solar Wind",POWER(Upgrades!$U$11,J39),1)*IF(Upgrades!$T$12="Solar Wind",POWER(Upgrades!$U$12,K39),1))+(IF(F39=0,0,(Upgrades!$G$7+F39*Upgrades!$H$7)*POWER(Upgrades!$I$7,F39)))*(IF(Upgrades!$T$6="Asteroid Belt",POWER(Upgrades!$U$6,E39),1)*IF(Upgrades!$T$8="Asteroid Belt",POWER(Upgrades!$U$8,G39),1)*IF(Upgrades!$T$9="Asteroid Belt",POWER(Upgrades!$U$9,H39),1)*IF(Upgrades!$T$10="Asteroid Belt",POWER(Upgrades!$U$10,I39),1)*IF(Upgrades!$T$11="Asteroid Belt",POWER(Upgrades!$U$11,J39),1)*IF(Upgrades!$T$12="Asteroid Belt",POWER(Upgrades!$U$12,K39),1))+(IF(G39=0,0,(Upgrades!$G$8+G39*Upgrades!$H$8)*POWER(Upgrades!$I$8,G39)))*(IF(Upgrades!$T$6="Stellar Coupling",POWER(Upgrades!$U$6,E39),1)*IF(Upgrades!$T$7="Stellar Coupling",POWER(Upgrades!$U$7,F39),1)*IF(Upgrades!$T$9="Stellar Coupling",POWER(Upgrades!$U$9,H39),1)*IF(Upgrades!$T$10="Stellar Coupling",POWER(Upgrades!$U$10,I39),1)*IF(Upgrades!$T$11="Stellar Coupling",POWER(Upgrades!$U$11,J39),1)*IF(Upgrades!$T$12="Stellar Coupling",POWER(Upgrades!$U$12,K39),1))+(IF(H39=0,0,(Upgrades!$G$9+H39*Upgrades!$H$9)*POWER(Upgrades!$I$9,H39)))*(IF(Upgrades!$T$6="Magnetosphere",POWER(Upgrades!$U$6,E39),1)*IF(Upgrades!$T$7="Magnetosphere",POWER(Upgrades!$U$7,F39),1)*IF(Upgrades!$T$8="Magnetosphere",POWER(Upgrades!$U$8,G39),1)*IF(Upgrades!$T$10="Magnetosphere",POWER(Upgrades!$U$10,I39),1)*IF(Upgrades!$T$11="Magnetosphere",POWER(Upgrades!$U$11,J39),1)*IF(Upgrades!$T$12="Magnetosphere",POWER(Upgrades!$U$12,K39),1))+(IF(I39=0,0,(Upgrades!$G$10+I39*Upgrades!$H$10)*POWER(Upgrades!$I$10,I39)))*(IF(Upgrades!$T$6="Orbital Resonance",POWER(Upgrades!$U$6,E39),1)*IF(Upgrades!$T$7="Orbital Resonance",POWER(Upgrades!$U$7,F39),1)*IF(Upgrades!$T$8="Orbital Resonance",POWER(Upgrades!$U$8,G39),1)*IF(Upgrades!$T$9="Orbital Resonance",POWER(Upgrades!$U$9,H39),1)*IF(Upgrades!$T$11="Orbital Resonance",POWER(Upgrades!$U$11,J39),1)*IF(Upgrades!$T$12="Orbital Resonance",POWER(Upgrades!$U$12,K39),1))+(IF(J39=0,0,(Upgrades!$G$11+J39*Upgrades!$H$11)*POWER(Upgrades!$I$11,J39)))*(IF(Upgrades!$T$6="Heliopause",POWER(Upgrades!$U$6,E39),1)*IF(Upgrades!$T$7="Heliopause",POWER(Upgrades!$U$7,F39),1)*IF(Upgrades!$T$8="Heliopause",POWER(Upgrades!$U$8,G39),1)*IF(Upgrades!$T$9="Heliopause",POWER(Upgrades!$U$9,H39),1)*IF(Upgrades!$T$10="Heliopause",POWER(Upgrades!$U$10,I39),1)*IF(Upgrades!$T$12="Heliopause",POWER(Upgrades!$U$12,K39),1))+(IF(K39=0,0,(Upgrades!$G$12+K39*Upgrades!$H$12)*POWER(Upgrades!$I$12,K39)))*(IF(Upgrades!$T$6="First Photons",POWER(Upgrades!$U$6,E39),1)*IF(Upgrades!$T$7="First Photons",POWER(Upgrades!$U$7,F39),1)*IF(Upgrades!$T$8="First Photons",POWER(Upgrades!$U$8,G39),1)*IF(Upgrades!$T$9="First Photons",POWER(Upgrades!$U$9,H39),1)*IF(Upgrades!$T$10="First Photons",POWER(Upgrades!$U$10,I39),1)*IF(Upgrades!$T$11="First Photons",POWER(Upgrades!$U$11,J39),1)))*POWER(Upgrades!$P$6,E39)*POWER(Upgrades!$P$7,F39)*POWER(Upgrades!$P$8,G39)*POWER(Upgrades!$P$9,H39)*POWER(Upgrades!$P$10,I39)*POWER(Upgrades!$P$11,J39)*POWER(Upgrades!$P$12,K39)</f>
        <v/>
      </c>
      <c r="O39" s="28">
        <f>((IF(E39=0,0,(Upgrades!$M$6+E39*Upgrades!$N$6)*POWER(Upgrades!$O$6,E39)))*(IF(Upgrades!$T$7="Solar Wind",POWER(Upgrades!$U$7,F39),1)*IF(Upgrades!$T$8="Solar Wind",POWER(Upgrades!$U$8,G39),1)*IF(Upgrades!$T$9="Solar Wind",POWER(Upgrades!$U$9,H39),1)*IF(Upgrades!$T$10="Solar Wind",POWER(Upgrades!$U$10,I39),1)*IF(Upgrades!$T$11="Solar Wind",POWER(Upgrades!$U$11,J39),1)*IF(Upgrades!$T$12="Solar Wind",POWER(Upgrades!$U$12,K39),1))+(IF(F39=0,0,(Upgrades!$M$7+F39*Upgrades!$N$7)*POWER(Upgrades!$O$7,F39)))*(IF(Upgrades!$T$6="Asteroid Belt",POWER(Upgrades!$U$6,E39),1)*IF(Upgrades!$T$8="Asteroid Belt",POWER(Upgrades!$U$8,G39),1)*IF(Upgrades!$T$9="Asteroid Belt",POWER(Upgrades!$U$9,H39),1)*IF(Upgrades!$T$10="Asteroid Belt",POWER(Upgrades!$U$10,I39),1)*IF(Upgrades!$T$11="Asteroid Belt",POWER(Upgrades!$U$11,J39),1)*IF(Upgrades!$T$12="Asteroid Belt",POWER(Upgrades!$U$12,K39),1))+(IF(G39=0,0,(Upgrades!$M$8+G39*Upgrades!$N$8)*POWER(Upgrades!$O$8,G39)))*(IF(Upgrades!$T$6="Stellar Coupling",POWER(Upgrades!$U$6,E39),1)*IF(Upgrades!$T$7="Stellar Coupling",POWER(Upgrades!$U$7,F39),1)*IF(Upgrades!$T$9="Stellar Coupling",POWER(Upgrades!$U$9,H39),1)*IF(Upgrades!$T$10="Stellar Coupling",POWER(Upgrades!$U$10,I39),1)*IF(Upgrades!$T$11="Stellar Coupling",POWER(Upgrades!$U$11,J39),1)*IF(Upgrades!$T$12="Stellar Coupling",POWER(Upgrades!$U$12,K39),1))+(IF(H39=0,0,(Upgrades!$M$9+H39*Upgrades!$N$9)*POWER(Upgrades!$O$9,H39)))*(IF(Upgrades!$T$6="Magnetosphere",POWER(Upgrades!$U$6,E39),1)*IF(Upgrades!$T$7="Magnetosphere",POWER(Upgrades!$U$7,F39),1)*IF(Upgrades!$T$8="Magnetosphere",POWER(Upgrades!$U$8,G39),1)*IF(Upgrades!$T$10="Magnetosphere",POWER(Upgrades!$U$10,I39),1)*IF(Upgrades!$T$11="Magnetosphere",POWER(Upgrades!$U$11,J39),1)*IF(Upgrades!$T$12="Magnetosphere",POWER(Upgrades!$U$12,K39),1))+(IF(I39=0,0,(Upgrades!$M$10+I39*Upgrades!$N$10)*POWER(Upgrades!$O$10,I39)))*(IF(Upgrades!$T$6="Orbital Resonance",POWER(Upgrades!$U$6,E39),1)*IF(Upgrades!$T$7="Orbital Resonance",POWER(Upgrades!$U$7,F39),1)*IF(Upgrades!$T$8="Orbital Resonance",POWER(Upgrades!$U$8,G39),1)*IF(Upgrades!$T$9="Orbital Resonance",POWER(Upgrades!$U$9,H39),1)*IF(Upgrades!$T$11="Orbital Resonance",POWER(Upgrades!$U$11,J39),1)*IF(Upgrades!$T$12="Orbital Resonance",POWER(Upgrades!$U$12,K39),1))+(IF(J39=0,0,(Upgrades!$M$11+J39*Upgrades!$N$11)*POWER(Upgrades!$O$11,J39)))*(IF(Upgrades!$T$6="Heliopause",POWER(Upgrades!$U$6,E39),1)*IF(Upgrades!$T$7="Heliopause",POWER(Upgrades!$U$7,F39),1)*IF(Upgrades!$T$8="Heliopause",POWER(Upgrades!$U$8,G39),1)*IF(Upgrades!$T$9="Heliopause",POWER(Upgrades!$U$9,H39),1)*IF(Upgrades!$T$10="Heliopause",POWER(Upgrades!$U$10,I39),1)*IF(Upgrades!$T$12="Heliopause",POWER(Upgrades!$U$12,K39),1))+(IF(K39=0,0,(Upgrades!$M$12+K39*Upgrades!$N$12)*POWER(Upgrades!$O$12,K39)))*(IF(Upgrades!$T$6="First Photons",POWER(Upgrades!$U$6,E39),1)*IF(Upgrades!$T$7="First Photons",POWER(Upgrades!$U$7,F39),1)*IF(Upgrades!$T$8="First Photons",POWER(Upgrades!$U$8,G39),1)*IF(Upgrades!$T$9="First Photons",POWER(Upgrades!$U$9,H39),1)*IF(Upgrades!$T$10="First Photons",POWER(Upgrades!$U$10,I39),1)*IF(Upgrades!$T$11="First Photons",POWER(Upgrades!$U$11,J39),1)))*POWER(Upgrades!$R$6,E39)*POWER(Upgrades!$R$7,F39)*POWER(Upgrades!$R$8,G39)*POWER(Upgrades!$R$9,H39)*POWER(Upgrades!$R$10,I39)*POWER(Upgrades!$R$11,J39)*POWER(Upgrades!$R$12,K39)</f>
        <v/>
      </c>
      <c r="P39" s="27">
        <f>IF(L39=1,0,M39*Parameters!$B$10/60*Parameters!$B$11*10)</f>
        <v/>
      </c>
      <c r="Q39" s="27">
        <f>IF(L39=1,0,O39*M39*10)</f>
        <v/>
      </c>
      <c r="R39" s="27">
        <f>IF(L39=1,0,N39*10)</f>
        <v/>
      </c>
      <c r="S39" s="27">
        <f>P39+Q39+R39</f>
        <v/>
      </c>
      <c r="T39" s="22">
        <f>C39+S39</f>
        <v/>
      </c>
      <c r="U39" s="33">
        <f>AX39</f>
        <v/>
      </c>
      <c r="V39" s="22">
        <f>IF(U39="",0,IF(U39="transition",0,IF(U39="SW",AG39,IF(U39="AB",AH39,IF(U39="SC",AI39,IF(U39="Mag",AJ39,IF(U39="OR",AK39,IF(U39="HP",AL39,IF(U39="FP",AM39,0)))))))))</f>
        <v/>
      </c>
      <c r="W39" s="27">
        <f>IF(U39="OR",Upgrades!$F$10,IF(U39="HP",Upgrades!$F$11,IF(U39="transition",-Parameters!$B$18,0)))</f>
        <v/>
      </c>
      <c r="X39" s="22">
        <f>T39-V39</f>
        <v/>
      </c>
      <c r="Y39" s="30">
        <f>M39*Parameters!$B$10/60*Parameters!$B$11+O39*M39+N39</f>
        <v/>
      </c>
      <c r="Z39" s="34">
        <f>IF(U39="transition","→ Tier 2 (Stellar Neighborhood)",IF(U39="FP","First Photons — light begins, system quickens",IF(U39="HP","Heliopause acquired",IF(U39="OR","Orbital Resonance — passive multiplier active",IF(AND(AO39=1,L39=0,AN39&lt;&gt;1),"Cohesion ready (waiting on completionist upgrades)","")))))</f>
        <v/>
      </c>
      <c r="AA39" s="27">
        <f>(IF(E39=0,0,(Upgrades!$G$6+E39*Upgrades!$H$6)*POWER(Upgrades!$I$6,E39)))*(IF(Upgrades!$T$7="Solar Wind",POWER(Upgrades!$U$7,F39),1)*IF(Upgrades!$T$8="Solar Wind",POWER(Upgrades!$U$8,G39),1)*IF(Upgrades!$T$9="Solar Wind",POWER(Upgrades!$U$9,H39),1)*IF(Upgrades!$T$10="Solar Wind",POWER(Upgrades!$U$10,I39),1)*IF(Upgrades!$T$11="Solar Wind",POWER(Upgrades!$U$11,J39),1)*IF(Upgrades!$T$12="Solar Wind",POWER(Upgrades!$U$12,K39),1))*POWER(Upgrades!$P$6,E39)*POWER(Upgrades!$P$7,F39)*POWER(Upgrades!$P$8,G39)*POWER(Upgrades!$P$9,H39)*POWER(Upgrades!$P$10,I39)*POWER(Upgrades!$P$11,J39)*POWER(Upgrades!$P$12,K39)*60</f>
        <v/>
      </c>
      <c r="AB39" s="27">
        <f>(IF(F39=0,0,(Upgrades!$G$7+F39*Upgrades!$H$7)*POWER(Upgrades!$I$7,F39)))*(IF(Upgrades!$T$6="Asteroid Belt",POWER(Upgrades!$U$6,E39),1)*IF(Upgrades!$T$8="Asteroid Belt",POWER(Upgrades!$U$8,G39),1)*IF(Upgrades!$T$9="Asteroid Belt",POWER(Upgrades!$U$9,H39),1)*IF(Upgrades!$T$10="Asteroid Belt",POWER(Upgrades!$U$10,I39),1)*IF(Upgrades!$T$11="Asteroid Belt",POWER(Upgrades!$U$11,J39),1)*IF(Upgrades!$T$12="Asteroid Belt",POWER(Upgrades!$U$12,K39),1))*POWER(Upgrades!$P$6,E39)*POWER(Upgrades!$P$7,F39)*POWER(Upgrades!$P$8,G39)*POWER(Upgrades!$P$9,H39)*POWER(Upgrades!$P$10,I39)*POWER(Upgrades!$P$11,J39)*POWER(Upgrades!$P$12,K39)*60</f>
        <v/>
      </c>
      <c r="AC39" s="27">
        <f>(IF(G39=0,0,(Upgrades!$J$8+G39*Upgrades!$K$8)*POWER(Upgrades!$L$8,G39)))*(IF(Upgrades!$T$6="Stellar Coupling",POWER(Upgrades!$U$6,E39),1)*IF(Upgrades!$T$7="Stellar Coupling",POWER(Upgrades!$U$7,F39),1)*IF(Upgrades!$T$9="Stellar Coupling",POWER(Upgrades!$U$9,H39),1)*IF(Upgrades!$T$10="Stellar Coupling",POWER(Upgrades!$U$10,I39),1)*IF(Upgrades!$T$11="Stellar Coupling",POWER(Upgrades!$U$11,J39),1)*IF(Upgrades!$T$12="Stellar Coupling",POWER(Upgrades!$U$12,K39),1))*POWER(Upgrades!$Q$6,E39)*POWER(Upgrades!$Q$7,F39)*POWER(Upgrades!$Q$8,G39)*POWER(Upgrades!$Q$9,H39)*POWER(Upgrades!$Q$10,I39)*POWER(Upgrades!$Q$11,J39)*POWER(Upgrades!$Q$12,K39)*Parameters!$B$10*Parameters!$B$11</f>
        <v/>
      </c>
      <c r="AD39" s="27">
        <f>(IF(H39=0,0,(Upgrades!$G$9+H39*Upgrades!$H$9)*POWER(Upgrades!$I$9,H39)))*(IF(Upgrades!$T$6="Magnetosphere",POWER(Upgrades!$U$6,E39),1)*IF(Upgrades!$T$7="Magnetosphere",POWER(Upgrades!$U$7,F39),1)*IF(Upgrades!$T$8="Magnetosphere",POWER(Upgrades!$U$8,G39),1)*IF(Upgrades!$T$10="Magnetosphere",POWER(Upgrades!$U$10,I39),1)*IF(Upgrades!$T$11="Magnetosphere",POWER(Upgrades!$U$11,J39),1)*IF(Upgrades!$T$12="Magnetosphere",POWER(Upgrades!$U$12,K39),1))*POWER(Upgrades!$P$6,E39)*POWER(Upgrades!$P$7,F39)*POWER(Upgrades!$P$8,G39)*POWER(Upgrades!$P$9,H39)*POWER(Upgrades!$P$10,I39)*POWER(Upgrades!$P$11,J39)*POWER(Upgrades!$P$12,K39)*60</f>
        <v/>
      </c>
      <c r="AE39" s="27">
        <f>(IF(K39=0,0,(Upgrades!$G$12+K39*Upgrades!$H$12)*POWER(Upgrades!$I$12,K39)))*(IF(Upgrades!$T$6="First Photons",POWER(Upgrades!$U$6,E39),1)*IF(Upgrades!$T$7="First Photons",POWER(Upgrades!$U$7,F39),1)*IF(Upgrades!$T$8="First Photons",POWER(Upgrades!$U$8,G39),1)*IF(Upgrades!$T$9="First Photons",POWER(Upgrades!$U$9,H39),1)*IF(Upgrades!$T$10="First Photons",POWER(Upgrades!$U$10,I39),1)*IF(Upgrades!$T$11="First Photons",POWER(Upgrades!$U$11,J39),1))*POWER(Upgrades!$P$6,E39)*POWER(Upgrades!$P$7,F39)*POWER(Upgrades!$P$8,G39)*POWER(Upgrades!$P$9,H39)*POWER(Upgrades!$P$10,I39)*POWER(Upgrades!$P$11,J39)*POWER(Upgrades!$P$12,K39)*60</f>
        <v/>
      </c>
      <c r="AF39" s="27">
        <f>Parameters!$B$9*POWER(Upgrades!$Q$6,E39)*POWER(Upgrades!$Q$7,F39)*POWER(Upgrades!$Q$8,G39)*POWER(Upgrades!$Q$9,H39)*POWER(Upgrades!$Q$10,I39)*POWER(Upgrades!$Q$11,J39)*POWER(Upgrades!$Q$12,K39)*(Parameters!$B$10*Parameters!$B$11+O39*60)</f>
        <v/>
      </c>
      <c r="AG39" s="22">
        <f>IF(E39&gt;=Upgrades!$E$6,"",Upgrades!$C$6*POWER(Upgrades!$D$6,E39))</f>
        <v/>
      </c>
      <c r="AH39" s="22">
        <f>IF(F39&gt;=Upgrades!$E$7,"",Upgrades!$C$7*POWER(Upgrades!$D$7,F39))</f>
        <v/>
      </c>
      <c r="AI39" s="22">
        <f>IF(G39&gt;=Upgrades!$E$8,"",Upgrades!$C$8*POWER(Upgrades!$D$8,G39))</f>
        <v/>
      </c>
      <c r="AJ39" s="22">
        <f>IF(H39&gt;=Upgrades!$E$9,"",Upgrades!$C$9*POWER(Upgrades!$D$9,H39))</f>
        <v/>
      </c>
      <c r="AK39" s="22">
        <f>IF(I39&gt;=Upgrades!$E$10,"",Upgrades!$C$10*POWER(Upgrades!$D$10,I39))</f>
        <v/>
      </c>
      <c r="AL39" s="22">
        <f>IF(J39&gt;=Upgrades!$E$11,"",Upgrades!$C$11*POWER(Upgrades!$D$11,J39))</f>
        <v/>
      </c>
      <c r="AM39" s="22">
        <f>IF(K39&gt;=Upgrades!$E$12,"",Upgrades!$C$12*POWER(Upgrades!$D$12,K39))</f>
        <v/>
      </c>
      <c r="AN39" s="26">
        <f>IF(AND(D39&gt;=Parameters!$B$18,(H39&gt;=Upgrades!$E$9)*(K39&gt;=Upgrades!$E$12)=1,L39=0),1,"")</f>
        <v/>
      </c>
      <c r="AO39" s="26">
        <f>IF(AND(D39&gt;=Parameters!$B$18,L39=0),1,"")</f>
        <v/>
      </c>
      <c r="AP39" s="22">
        <f>MIN(IF(ISNUMBER(AK39),AK39,9E15),IF(ISNUMBER(AL39),AL39,9E15),IF(ISNUMBER(AM39),AM39,9E15))</f>
        <v/>
      </c>
      <c r="AQ39" s="22">
        <f>MIN(IF(ISNUMBER(AG39),AG39,9E15),IF(ISNUMBER(AH39),AH39,9E15),IF(ISNUMBER(AI39),AI39,9E15),IF(ISNUMBER(AJ39),AJ39,9E15))</f>
        <v/>
      </c>
      <c r="AR39" s="29">
        <f>IF(AW39&gt;Parameters!$B$21*(MAX(IF(AND(NOT(AND(AO39=1,AN39&lt;&gt;1)),ISNUMBER(AG39),AG39&lt;=T39),AS39,0),IF(AND(NOT(AND(AO39=1,AN39&lt;&gt;1)),ISNUMBER(AH39),AH39&lt;=T39),AT39,0),IF(AND(NOT(AND(AO39=1,AN39&lt;&gt;1)),ISNUMBER(AI39),AI39&lt;=T39),AU39,0),IF(AND(ISNUMBER(AJ39),AJ39&lt;=T39),AV39,0))),TRUE,FALSE)</f>
        <v/>
      </c>
      <c r="AS39" s="32">
        <f>IFERROR(Upgrades!$H$6*(POWER(Upgrades!$P$6,E39)*POWER(Upgrades!$P$7,F39)*POWER(Upgrades!$P$8,G39)*POWER(Upgrades!$P$9,H39)*POWER(Upgrades!$P$10,I39)*POWER(Upgrades!$P$11,J39)*POWER(Upgrades!$P$12,K39))*(IF(Upgrades!$T$7="Solar Wind",POWER(Upgrades!$U$7,F39),1)*IF(Upgrades!$T$8="Solar Wind",POWER(Upgrades!$U$8,G39),1)*IF(Upgrades!$T$9="Solar Wind",POWER(Upgrades!$U$9,H39),1)*IF(Upgrades!$T$10="Solar Wind",POWER(Upgrades!$U$10,I39),1)*IF(Upgrades!$T$11="Solar Wind",POWER(Upgrades!$U$11,J39),1)*IF(Upgrades!$T$12="Solar Wind",POWER(Upgrades!$U$12,K39),1))/AG39,0)</f>
        <v/>
      </c>
      <c r="AT39" s="32">
        <f>IFERROR(Upgrades!$H$7*(POWER(Upgrades!$P$6,E39)*POWER(Upgrades!$P$7,F39)*POWER(Upgrades!$P$8,G39)*POWER(Upgrades!$P$9,H39)*POWER(Upgrades!$P$10,I39)*POWER(Upgrades!$P$11,J39)*POWER(Upgrades!$P$12,K39))*(IF(Upgrades!$T$6="Asteroid Belt",POWER(Upgrades!$U$6,E39),1)*IF(Upgrades!$T$8="Asteroid Belt",POWER(Upgrades!$U$8,G39),1)*IF(Upgrades!$T$9="Asteroid Belt",POWER(Upgrades!$U$9,H39),1)*IF(Upgrades!$T$10="Asteroid Belt",POWER(Upgrades!$U$10,I39),1)*IF(Upgrades!$T$11="Asteroid Belt",POWER(Upgrades!$U$11,J39),1)*IF(Upgrades!$T$12="Asteroid Belt",POWER(Upgrades!$U$12,K39),1))/AH39,0)</f>
        <v/>
      </c>
      <c r="AU39" s="32">
        <f>IFERROR(Upgrades!$K$8*(POWER(Upgrades!$Q$6,E39)*POWER(Upgrades!$Q$7,F39)*POWER(Upgrades!$Q$8,G39)*POWER(Upgrades!$Q$9,H39)*POWER(Upgrades!$Q$10,I39)*POWER(Upgrades!$Q$11,J39)*POWER(Upgrades!$Q$12,K39))*(IF(Upgrades!$T$6="Stellar Coupling",POWER(Upgrades!$U$6,E39),1)*IF(Upgrades!$T$7="Stellar Coupling",POWER(Upgrades!$U$7,F39),1)*IF(Upgrades!$T$9="Stellar Coupling",POWER(Upgrades!$U$9,H39),1)*IF(Upgrades!$T$10="Stellar Coupling",POWER(Upgrades!$U$10,I39),1)*IF(Upgrades!$T$11="Stellar Coupling",POWER(Upgrades!$U$11,J39),1)*IF(Upgrades!$T$12="Stellar Coupling",POWER(Upgrades!$U$12,K39),1))*Parameters!$B$10*Parameters!$B$11/60/AI39,0)</f>
        <v/>
      </c>
      <c r="AV39" s="32">
        <f>IFERROR(Upgrades!$H$9*(POWER(Upgrades!$P$6,E39)*POWER(Upgrades!$P$7,F39)*POWER(Upgrades!$P$8,G39)*POWER(Upgrades!$P$9,H39)*POWER(Upgrades!$P$10,I39)*POWER(Upgrades!$P$11,J39)*POWER(Upgrades!$P$12,K39))*(IF(Upgrades!$T$6="Magnetosphere",POWER(Upgrades!$U$6,E39),1)*IF(Upgrades!$T$7="Magnetosphere",POWER(Upgrades!$U$7,F39),1)*IF(Upgrades!$T$8="Magnetosphere",POWER(Upgrades!$U$8,G39),1)*IF(Upgrades!$T$10="Magnetosphere",POWER(Upgrades!$U$10,I39),1)*IF(Upgrades!$T$11="Magnetosphere",POWER(Upgrades!$U$11,J39),1)*IF(Upgrades!$T$12="Magnetosphere",POWER(Upgrades!$U$12,K39),1))/AJ39,0)</f>
        <v/>
      </c>
      <c r="AW39" s="32">
        <f>MAX(IF(I39&gt;0,0,IFERROR(0.25*N39/Upgrades!$C$10,0)),IF(J39&gt;0,0,IFERROR(0.5*((IF(G39=0,0,(Upgrades!$J$8+G39*Upgrades!$K$8)*POWER(Upgrades!$L$8,G39)))*(IF(Upgrades!$T$6="Stellar Coupling",POWER(Upgrades!$U$6,E39),1)*IF(Upgrades!$T$7="Stellar Coupling",POWER(Upgrades!$U$7,F39),1)*IF(Upgrades!$T$9="Stellar Coupling",POWER(Upgrades!$U$9,H39),1)*IF(Upgrades!$T$10="Stellar Coupling",POWER(Upgrades!$U$10,I39),1)*IF(Upgrades!$T$11="Stellar Coupling",POWER(Upgrades!$U$11,J39),1)*IF(Upgrades!$T$12="Stellar Coupling",POWER(Upgrades!$U$12,K39),1))*(POWER(Upgrades!$Q$6,E39)*POWER(Upgrades!$Q$7,F39)*POWER(Upgrades!$Q$8,G39)*POWER(Upgrades!$Q$9,H39)*POWER(Upgrades!$Q$10,I39)*POWER(Upgrades!$Q$11,J39)*POWER(Upgrades!$Q$12,K39))*Parameters!$B$10*Parameters!$B$11/60)/Upgrades!$C$11,0)),IF(K39&gt;0,0,IFERROR((1.0*(POWER(Upgrades!$P$6,E39)*POWER(Upgrades!$P$7,F39)*POWER(Upgrades!$P$8,G39)*POWER(Upgrades!$P$9,H39)*POWER(Upgrades!$P$10,I39)*POWER(Upgrades!$P$11,J39)*POWER(Upgrades!$P$12,K39))+0.20*M39*Parameters!$B$10*Parameters!$B$11/60)/Upgrades!$C$12,0)),IF(AND(ISNUMBER(AG39),AG39&gt;T39),AS39,0),IF(AND(ISNUMBER(AH39),AH39&gt;T39),AT39,0),IF(AND(ISNUMBER(AI39),AI39&gt;T39),AU39,0),IF(AND(ISNUMBER(AJ39),AJ39&gt;T39),AV39,0))</f>
        <v/>
      </c>
      <c r="AX39" s="29">
        <f>IF(AN39=1,"transition",IF(MIN(IF(AND(I39=0,ISNUMBER(AK39),AK39&lt;=T39),AK39,9E15),IF(AND(J39=0,ISNUMBER(AL39),AL39&lt;=T39),AL39,9E15),IF(AND(K39=0,ISNUMBER(AM39),AM39&lt;=T39),AM39,9E15))&lt;9E15,IF(AND(AND(I39=0,ISNUMBER(AK39),AK39&lt;=T39),AK39=MIN(IF(AND(I39=0,ISNUMBER(AK39),AK39&lt;=T39),AK39,9E15),IF(AND(J39=0,ISNUMBER(AL39),AL39&lt;=T39),AL39,9E15),IF(AND(K39=0,ISNUMBER(AM39),AM39&lt;=T39),AM39,9E15))),"OR",IF(AND(AND(J39=0,ISNUMBER(AL39),AL39&lt;=T39),AL39=MIN(IF(AND(I39=0,ISNUMBER(AK39),AK39&lt;=T39),AK39,9E15),IF(AND(J39=0,ISNUMBER(AL39),AL39&lt;=T39),AL39,9E15),IF(AND(K39=0,ISNUMBER(AM39),AM39&lt;=T39),AM39,9E15))),"HP","FP")),IF(AR39=TRUE,"",IF(MAX(IF(AND(NOT(AND(AO39=1,AN39&lt;&gt;1)),ISNUMBER(AG39),AG39&lt;=T39),AS39,0),IF(AND(NOT(AND(AO39=1,AN39&lt;&gt;1)),ISNUMBER(AH39),AH39&lt;=T39),AT39,0),IF(AND(NOT(AND(AO39=1,AN39&lt;&gt;1)),ISNUMBER(AI39),AI39&lt;=T39),AU39,0),IF(AND(ISNUMBER(AJ39),AJ39&lt;=T39),AV39,0))&lt;=0,"",IF(AND(IF(AND(NOT(AND(AO39=1,AN39&lt;&gt;1)),ISNUMBER(AG39),AG39&lt;=T39),AS39,0)&gt;0,IF(AND(NOT(AND(AO39=1,AN39&lt;&gt;1)),ISNUMBER(AG39),AG39&lt;=T39),AS39,0)=MAX(IF(AND(NOT(AND(AO39=1,AN39&lt;&gt;1)),ISNUMBER(AG39),AG39&lt;=T39),AS39,0),IF(AND(NOT(AND(AO39=1,AN39&lt;&gt;1)),ISNUMBER(AH39),AH39&lt;=T39),AT39,0),IF(AND(NOT(AND(AO39=1,AN39&lt;&gt;1)),ISNUMBER(AI39),AI39&lt;=T39),AU39,0),IF(AND(ISNUMBER(AJ39),AJ39&lt;=T39),AV39,0))),"SW",IF(AND(IF(AND(NOT(AND(AO39=1,AN39&lt;&gt;1)),ISNUMBER(AH39),AH39&lt;=T39),AT39,0)&gt;0,IF(AND(NOT(AND(AO39=1,AN39&lt;&gt;1)),ISNUMBER(AH39),AH39&lt;=T39),AT39,0)=MAX(IF(AND(NOT(AND(AO39=1,AN39&lt;&gt;1)),ISNUMBER(AG39),AG39&lt;=T39),AS39,0),IF(AND(NOT(AND(AO39=1,AN39&lt;&gt;1)),ISNUMBER(AH39),AH39&lt;=T39),AT39,0),IF(AND(NOT(AND(AO39=1,AN39&lt;&gt;1)),ISNUMBER(AI39),AI39&lt;=T39),AU39,0),IF(AND(ISNUMBER(AJ39),AJ39&lt;=T39),AV39,0))),"AB",IF(AND(IF(AND(NOT(AND(AO39=1,AN39&lt;&gt;1)),ISNUMBER(AI39),AI39&lt;=T39),AU39,0)&gt;0,IF(AND(NOT(AND(AO39=1,AN39&lt;&gt;1)),ISNUMBER(AI39),AI39&lt;=T39),AU39,0)=MAX(IF(AND(NOT(AND(AO39=1,AN39&lt;&gt;1)),ISNUMBER(AG39),AG39&lt;=T39),AS39,0),IF(AND(NOT(AND(AO39=1,AN39&lt;&gt;1)),ISNUMBER(AH39),AH39&lt;=T39),AT39,0),IF(AND(NOT(AND(AO39=1,AN39&lt;&gt;1)),ISNUMBER(AI39),AI39&lt;=T39),AU39,0),IF(AND(ISNUMBER(AJ39),AJ39&lt;=T39),AV39,0))),"SC","Mag")))))))</f>
        <v/>
      </c>
    </row>
    <row r="40">
      <c r="A40" s="26" t="n">
        <v>35</v>
      </c>
      <c r="B40" s="27">
        <f>A40*10/60</f>
        <v/>
      </c>
      <c r="C40" s="22">
        <f>X39</f>
        <v/>
      </c>
      <c r="D40" s="27">
        <f>D39+W39</f>
        <v/>
      </c>
      <c r="E40" s="26">
        <f>E39+IF(U39="SW",1,0)</f>
        <v/>
      </c>
      <c r="F40" s="26">
        <f>F39+IF(U39="AB",1,0)</f>
        <v/>
      </c>
      <c r="G40" s="26">
        <f>G39+IF(U39="SC",1,0)</f>
        <v/>
      </c>
      <c r="H40" s="26">
        <f>H39+IF(U39="Mag",1,0)</f>
        <v/>
      </c>
      <c r="I40" s="26">
        <f>MAX(I39,IF(U39="OR",1,0))</f>
        <v/>
      </c>
      <c r="J40" s="26">
        <f>MAX(J39,IF(U39="HP",1,0))</f>
        <v/>
      </c>
      <c r="K40" s="26">
        <f>MAX(K39,IF(U39="FP",1,0))</f>
        <v/>
      </c>
      <c r="L40" s="26">
        <f>MAX(L39,IF(U39="transition",1,0))</f>
        <v/>
      </c>
      <c r="M40" s="28">
        <f>(Parameters!$B$9+(IF(E40=0,0,(Upgrades!$J$6+E40*Upgrades!$K$6)*POWER(Upgrades!$L$6,E40)))*(IF(Upgrades!$T$7="Solar Wind",POWER(Upgrades!$U$7,F40),1)*IF(Upgrades!$T$8="Solar Wind",POWER(Upgrades!$U$8,G40),1)*IF(Upgrades!$T$9="Solar Wind",POWER(Upgrades!$U$9,H40),1)*IF(Upgrades!$T$10="Solar Wind",POWER(Upgrades!$U$10,I40),1)*IF(Upgrades!$T$11="Solar Wind",POWER(Upgrades!$U$11,J40),1)*IF(Upgrades!$T$12="Solar Wind",POWER(Upgrades!$U$12,K40),1))+(IF(F40=0,0,(Upgrades!$J$7+F40*Upgrades!$K$7)*POWER(Upgrades!$L$7,F40)))*(IF(Upgrades!$T$6="Asteroid Belt",POWER(Upgrades!$U$6,E40),1)*IF(Upgrades!$T$8="Asteroid Belt",POWER(Upgrades!$U$8,G40),1)*IF(Upgrades!$T$9="Asteroid Belt",POWER(Upgrades!$U$9,H40),1)*IF(Upgrades!$T$10="Asteroid Belt",POWER(Upgrades!$U$10,I40),1)*IF(Upgrades!$T$11="Asteroid Belt",POWER(Upgrades!$U$11,J40),1)*IF(Upgrades!$T$12="Asteroid Belt",POWER(Upgrades!$U$12,K40),1))+(IF(G40=0,0,(Upgrades!$J$8+G40*Upgrades!$K$8)*POWER(Upgrades!$L$8,G40)))*(IF(Upgrades!$T$6="Stellar Coupling",POWER(Upgrades!$U$6,E40),1)*IF(Upgrades!$T$7="Stellar Coupling",POWER(Upgrades!$U$7,F40),1)*IF(Upgrades!$T$9="Stellar Coupling",POWER(Upgrades!$U$9,H40),1)*IF(Upgrades!$T$10="Stellar Coupling",POWER(Upgrades!$U$10,I40),1)*IF(Upgrades!$T$11="Stellar Coupling",POWER(Upgrades!$U$11,J40),1)*IF(Upgrades!$T$12="Stellar Coupling",POWER(Upgrades!$U$12,K40),1))+(IF(H40=0,0,(Upgrades!$J$9+H40*Upgrades!$K$9)*POWER(Upgrades!$L$9,H40)))*(IF(Upgrades!$T$6="Magnetosphere",POWER(Upgrades!$U$6,E40),1)*IF(Upgrades!$T$7="Magnetosphere",POWER(Upgrades!$U$7,F40),1)*IF(Upgrades!$T$8="Magnetosphere",POWER(Upgrades!$U$8,G40),1)*IF(Upgrades!$T$10="Magnetosphere",POWER(Upgrades!$U$10,I40),1)*IF(Upgrades!$T$11="Magnetosphere",POWER(Upgrades!$U$11,J40),1)*IF(Upgrades!$T$12="Magnetosphere",POWER(Upgrades!$U$12,K40),1))+(IF(I40=0,0,(Upgrades!$J$10+I40*Upgrades!$K$10)*POWER(Upgrades!$L$10,I40)))*(IF(Upgrades!$T$6="Orbital Resonance",POWER(Upgrades!$U$6,E40),1)*IF(Upgrades!$T$7="Orbital Resonance",POWER(Upgrades!$U$7,F40),1)*IF(Upgrades!$T$8="Orbital Resonance",POWER(Upgrades!$U$8,G40),1)*IF(Upgrades!$T$9="Orbital Resonance",POWER(Upgrades!$U$9,H40),1)*IF(Upgrades!$T$11="Orbital Resonance",POWER(Upgrades!$U$11,J40),1)*IF(Upgrades!$T$12="Orbital Resonance",POWER(Upgrades!$U$12,K40),1))+(IF(J40=0,0,(Upgrades!$J$11+J40*Upgrades!$K$11)*POWER(Upgrades!$L$11,J40)))*(IF(Upgrades!$T$6="Heliopause",POWER(Upgrades!$U$6,E40),1)*IF(Upgrades!$T$7="Heliopause",POWER(Upgrades!$U$7,F40),1)*IF(Upgrades!$T$8="Heliopause",POWER(Upgrades!$U$8,G40),1)*IF(Upgrades!$T$9="Heliopause",POWER(Upgrades!$U$9,H40),1)*IF(Upgrades!$T$10="Heliopause",POWER(Upgrades!$U$10,I40),1)*IF(Upgrades!$T$12="Heliopause",POWER(Upgrades!$U$12,K40),1))+(IF(K40=0,0,(Upgrades!$J$12+K40*Upgrades!$K$12)*POWER(Upgrades!$L$12,K40)))*(IF(Upgrades!$T$6="First Photons",POWER(Upgrades!$U$6,E40),1)*IF(Upgrades!$T$7="First Photons",POWER(Upgrades!$U$7,F40),1)*IF(Upgrades!$T$8="First Photons",POWER(Upgrades!$U$8,G40),1)*IF(Upgrades!$T$9="First Photons",POWER(Upgrades!$U$9,H40),1)*IF(Upgrades!$T$10="First Photons",POWER(Upgrades!$U$10,I40),1)*IF(Upgrades!$T$11="First Photons",POWER(Upgrades!$U$11,J40),1)))*POWER(Upgrades!$Q$6,E40)*POWER(Upgrades!$Q$7,F40)*POWER(Upgrades!$Q$8,G40)*POWER(Upgrades!$Q$9,H40)*POWER(Upgrades!$Q$10,I40)*POWER(Upgrades!$Q$11,J40)*POWER(Upgrades!$Q$12,K40)</f>
        <v/>
      </c>
      <c r="N40" s="28">
        <f>((IF(E40=0,0,(Upgrades!$G$6+E40*Upgrades!$H$6)*POWER(Upgrades!$I$6,E40)))*(IF(Upgrades!$T$7="Solar Wind",POWER(Upgrades!$U$7,F40),1)*IF(Upgrades!$T$8="Solar Wind",POWER(Upgrades!$U$8,G40),1)*IF(Upgrades!$T$9="Solar Wind",POWER(Upgrades!$U$9,H40),1)*IF(Upgrades!$T$10="Solar Wind",POWER(Upgrades!$U$10,I40),1)*IF(Upgrades!$T$11="Solar Wind",POWER(Upgrades!$U$11,J40),1)*IF(Upgrades!$T$12="Solar Wind",POWER(Upgrades!$U$12,K40),1))+(IF(F40=0,0,(Upgrades!$G$7+F40*Upgrades!$H$7)*POWER(Upgrades!$I$7,F40)))*(IF(Upgrades!$T$6="Asteroid Belt",POWER(Upgrades!$U$6,E40),1)*IF(Upgrades!$T$8="Asteroid Belt",POWER(Upgrades!$U$8,G40),1)*IF(Upgrades!$T$9="Asteroid Belt",POWER(Upgrades!$U$9,H40),1)*IF(Upgrades!$T$10="Asteroid Belt",POWER(Upgrades!$U$10,I40),1)*IF(Upgrades!$T$11="Asteroid Belt",POWER(Upgrades!$U$11,J40),1)*IF(Upgrades!$T$12="Asteroid Belt",POWER(Upgrades!$U$12,K40),1))+(IF(G40=0,0,(Upgrades!$G$8+G40*Upgrades!$H$8)*POWER(Upgrades!$I$8,G40)))*(IF(Upgrades!$T$6="Stellar Coupling",POWER(Upgrades!$U$6,E40),1)*IF(Upgrades!$T$7="Stellar Coupling",POWER(Upgrades!$U$7,F40),1)*IF(Upgrades!$T$9="Stellar Coupling",POWER(Upgrades!$U$9,H40),1)*IF(Upgrades!$T$10="Stellar Coupling",POWER(Upgrades!$U$10,I40),1)*IF(Upgrades!$T$11="Stellar Coupling",POWER(Upgrades!$U$11,J40),1)*IF(Upgrades!$T$12="Stellar Coupling",POWER(Upgrades!$U$12,K40),1))+(IF(H40=0,0,(Upgrades!$G$9+H40*Upgrades!$H$9)*POWER(Upgrades!$I$9,H40)))*(IF(Upgrades!$T$6="Magnetosphere",POWER(Upgrades!$U$6,E40),1)*IF(Upgrades!$T$7="Magnetosphere",POWER(Upgrades!$U$7,F40),1)*IF(Upgrades!$T$8="Magnetosphere",POWER(Upgrades!$U$8,G40),1)*IF(Upgrades!$T$10="Magnetosphere",POWER(Upgrades!$U$10,I40),1)*IF(Upgrades!$T$11="Magnetosphere",POWER(Upgrades!$U$11,J40),1)*IF(Upgrades!$T$12="Magnetosphere",POWER(Upgrades!$U$12,K40),1))+(IF(I40=0,0,(Upgrades!$G$10+I40*Upgrades!$H$10)*POWER(Upgrades!$I$10,I40)))*(IF(Upgrades!$T$6="Orbital Resonance",POWER(Upgrades!$U$6,E40),1)*IF(Upgrades!$T$7="Orbital Resonance",POWER(Upgrades!$U$7,F40),1)*IF(Upgrades!$T$8="Orbital Resonance",POWER(Upgrades!$U$8,G40),1)*IF(Upgrades!$T$9="Orbital Resonance",POWER(Upgrades!$U$9,H40),1)*IF(Upgrades!$T$11="Orbital Resonance",POWER(Upgrades!$U$11,J40),1)*IF(Upgrades!$T$12="Orbital Resonance",POWER(Upgrades!$U$12,K40),1))+(IF(J40=0,0,(Upgrades!$G$11+J40*Upgrades!$H$11)*POWER(Upgrades!$I$11,J40)))*(IF(Upgrades!$T$6="Heliopause",POWER(Upgrades!$U$6,E40),1)*IF(Upgrades!$T$7="Heliopause",POWER(Upgrades!$U$7,F40),1)*IF(Upgrades!$T$8="Heliopause",POWER(Upgrades!$U$8,G40),1)*IF(Upgrades!$T$9="Heliopause",POWER(Upgrades!$U$9,H40),1)*IF(Upgrades!$T$10="Heliopause",POWER(Upgrades!$U$10,I40),1)*IF(Upgrades!$T$12="Heliopause",POWER(Upgrades!$U$12,K40),1))+(IF(K40=0,0,(Upgrades!$G$12+K40*Upgrades!$H$12)*POWER(Upgrades!$I$12,K40)))*(IF(Upgrades!$T$6="First Photons",POWER(Upgrades!$U$6,E40),1)*IF(Upgrades!$T$7="First Photons",POWER(Upgrades!$U$7,F40),1)*IF(Upgrades!$T$8="First Photons",POWER(Upgrades!$U$8,G40),1)*IF(Upgrades!$T$9="First Photons",POWER(Upgrades!$U$9,H40),1)*IF(Upgrades!$T$10="First Photons",POWER(Upgrades!$U$10,I40),1)*IF(Upgrades!$T$11="First Photons",POWER(Upgrades!$U$11,J40),1)))*POWER(Upgrades!$P$6,E40)*POWER(Upgrades!$P$7,F40)*POWER(Upgrades!$P$8,G40)*POWER(Upgrades!$P$9,H40)*POWER(Upgrades!$P$10,I40)*POWER(Upgrades!$P$11,J40)*POWER(Upgrades!$P$12,K40)</f>
        <v/>
      </c>
      <c r="O40" s="28">
        <f>((IF(E40=0,0,(Upgrades!$M$6+E40*Upgrades!$N$6)*POWER(Upgrades!$O$6,E40)))*(IF(Upgrades!$T$7="Solar Wind",POWER(Upgrades!$U$7,F40),1)*IF(Upgrades!$T$8="Solar Wind",POWER(Upgrades!$U$8,G40),1)*IF(Upgrades!$T$9="Solar Wind",POWER(Upgrades!$U$9,H40),1)*IF(Upgrades!$T$10="Solar Wind",POWER(Upgrades!$U$10,I40),1)*IF(Upgrades!$T$11="Solar Wind",POWER(Upgrades!$U$11,J40),1)*IF(Upgrades!$T$12="Solar Wind",POWER(Upgrades!$U$12,K40),1))+(IF(F40=0,0,(Upgrades!$M$7+F40*Upgrades!$N$7)*POWER(Upgrades!$O$7,F40)))*(IF(Upgrades!$T$6="Asteroid Belt",POWER(Upgrades!$U$6,E40),1)*IF(Upgrades!$T$8="Asteroid Belt",POWER(Upgrades!$U$8,G40),1)*IF(Upgrades!$T$9="Asteroid Belt",POWER(Upgrades!$U$9,H40),1)*IF(Upgrades!$T$10="Asteroid Belt",POWER(Upgrades!$U$10,I40),1)*IF(Upgrades!$T$11="Asteroid Belt",POWER(Upgrades!$U$11,J40),1)*IF(Upgrades!$T$12="Asteroid Belt",POWER(Upgrades!$U$12,K40),1))+(IF(G40=0,0,(Upgrades!$M$8+G40*Upgrades!$N$8)*POWER(Upgrades!$O$8,G40)))*(IF(Upgrades!$T$6="Stellar Coupling",POWER(Upgrades!$U$6,E40),1)*IF(Upgrades!$T$7="Stellar Coupling",POWER(Upgrades!$U$7,F40),1)*IF(Upgrades!$T$9="Stellar Coupling",POWER(Upgrades!$U$9,H40),1)*IF(Upgrades!$T$10="Stellar Coupling",POWER(Upgrades!$U$10,I40),1)*IF(Upgrades!$T$11="Stellar Coupling",POWER(Upgrades!$U$11,J40),1)*IF(Upgrades!$T$12="Stellar Coupling",POWER(Upgrades!$U$12,K40),1))+(IF(H40=0,0,(Upgrades!$M$9+H40*Upgrades!$N$9)*POWER(Upgrades!$O$9,H40)))*(IF(Upgrades!$T$6="Magnetosphere",POWER(Upgrades!$U$6,E40),1)*IF(Upgrades!$T$7="Magnetosphere",POWER(Upgrades!$U$7,F40),1)*IF(Upgrades!$T$8="Magnetosphere",POWER(Upgrades!$U$8,G40),1)*IF(Upgrades!$T$10="Magnetosphere",POWER(Upgrades!$U$10,I40),1)*IF(Upgrades!$T$11="Magnetosphere",POWER(Upgrades!$U$11,J40),1)*IF(Upgrades!$T$12="Magnetosphere",POWER(Upgrades!$U$12,K40),1))+(IF(I40=0,0,(Upgrades!$M$10+I40*Upgrades!$N$10)*POWER(Upgrades!$O$10,I40)))*(IF(Upgrades!$T$6="Orbital Resonance",POWER(Upgrades!$U$6,E40),1)*IF(Upgrades!$T$7="Orbital Resonance",POWER(Upgrades!$U$7,F40),1)*IF(Upgrades!$T$8="Orbital Resonance",POWER(Upgrades!$U$8,G40),1)*IF(Upgrades!$T$9="Orbital Resonance",POWER(Upgrades!$U$9,H40),1)*IF(Upgrades!$T$11="Orbital Resonance",POWER(Upgrades!$U$11,J40),1)*IF(Upgrades!$T$12="Orbital Resonance",POWER(Upgrades!$U$12,K40),1))+(IF(J40=0,0,(Upgrades!$M$11+J40*Upgrades!$N$11)*POWER(Upgrades!$O$11,J40)))*(IF(Upgrades!$T$6="Heliopause",POWER(Upgrades!$U$6,E40),1)*IF(Upgrades!$T$7="Heliopause",POWER(Upgrades!$U$7,F40),1)*IF(Upgrades!$T$8="Heliopause",POWER(Upgrades!$U$8,G40),1)*IF(Upgrades!$T$9="Heliopause",POWER(Upgrades!$U$9,H40),1)*IF(Upgrades!$T$10="Heliopause",POWER(Upgrades!$U$10,I40),1)*IF(Upgrades!$T$12="Heliopause",POWER(Upgrades!$U$12,K40),1))+(IF(K40=0,0,(Upgrades!$M$12+K40*Upgrades!$N$12)*POWER(Upgrades!$O$12,K40)))*(IF(Upgrades!$T$6="First Photons",POWER(Upgrades!$U$6,E40),1)*IF(Upgrades!$T$7="First Photons",POWER(Upgrades!$U$7,F40),1)*IF(Upgrades!$T$8="First Photons",POWER(Upgrades!$U$8,G40),1)*IF(Upgrades!$T$9="First Photons",POWER(Upgrades!$U$9,H40),1)*IF(Upgrades!$T$10="First Photons",POWER(Upgrades!$U$10,I40),1)*IF(Upgrades!$T$11="First Photons",POWER(Upgrades!$U$11,J40),1)))*POWER(Upgrades!$R$6,E40)*POWER(Upgrades!$R$7,F40)*POWER(Upgrades!$R$8,G40)*POWER(Upgrades!$R$9,H40)*POWER(Upgrades!$R$10,I40)*POWER(Upgrades!$R$11,J40)*POWER(Upgrades!$R$12,K40)</f>
        <v/>
      </c>
      <c r="P40" s="27">
        <f>IF(L40=1,0,M40*Parameters!$B$10/60*Parameters!$B$11*10)</f>
        <v/>
      </c>
      <c r="Q40" s="27">
        <f>IF(L40=1,0,O40*M40*10)</f>
        <v/>
      </c>
      <c r="R40" s="27">
        <f>IF(L40=1,0,N40*10)</f>
        <v/>
      </c>
      <c r="S40" s="27">
        <f>P40+Q40+R40</f>
        <v/>
      </c>
      <c r="T40" s="22">
        <f>C40+S40</f>
        <v/>
      </c>
      <c r="U40" s="33">
        <f>AX40</f>
        <v/>
      </c>
      <c r="V40" s="22">
        <f>IF(U40="",0,IF(U40="transition",0,IF(U40="SW",AG40,IF(U40="AB",AH40,IF(U40="SC",AI40,IF(U40="Mag",AJ40,IF(U40="OR",AK40,IF(U40="HP",AL40,IF(U40="FP",AM40,0)))))))))</f>
        <v/>
      </c>
      <c r="W40" s="27">
        <f>IF(U40="OR",Upgrades!$F$10,IF(U40="HP",Upgrades!$F$11,IF(U40="transition",-Parameters!$B$18,0)))</f>
        <v/>
      </c>
      <c r="X40" s="22">
        <f>T40-V40</f>
        <v/>
      </c>
      <c r="Y40" s="30">
        <f>M40*Parameters!$B$10/60*Parameters!$B$11+O40*M40+N40</f>
        <v/>
      </c>
      <c r="Z40" s="34">
        <f>IF(U40="transition","→ Tier 2 (Stellar Neighborhood)",IF(U40="FP","First Photons — light begins, system quickens",IF(U40="HP","Heliopause acquired",IF(U40="OR","Orbital Resonance — passive multiplier active",IF(AND(AO40=1,L40=0,AN40&lt;&gt;1),"Cohesion ready (waiting on completionist upgrades)","")))))</f>
        <v/>
      </c>
      <c r="AA40" s="27">
        <f>(IF(E40=0,0,(Upgrades!$G$6+E40*Upgrades!$H$6)*POWER(Upgrades!$I$6,E40)))*(IF(Upgrades!$T$7="Solar Wind",POWER(Upgrades!$U$7,F40),1)*IF(Upgrades!$T$8="Solar Wind",POWER(Upgrades!$U$8,G40),1)*IF(Upgrades!$T$9="Solar Wind",POWER(Upgrades!$U$9,H40),1)*IF(Upgrades!$T$10="Solar Wind",POWER(Upgrades!$U$10,I40),1)*IF(Upgrades!$T$11="Solar Wind",POWER(Upgrades!$U$11,J40),1)*IF(Upgrades!$T$12="Solar Wind",POWER(Upgrades!$U$12,K40),1))*POWER(Upgrades!$P$6,E40)*POWER(Upgrades!$P$7,F40)*POWER(Upgrades!$P$8,G40)*POWER(Upgrades!$P$9,H40)*POWER(Upgrades!$P$10,I40)*POWER(Upgrades!$P$11,J40)*POWER(Upgrades!$P$12,K40)*60</f>
        <v/>
      </c>
      <c r="AB40" s="27">
        <f>(IF(F40=0,0,(Upgrades!$G$7+F40*Upgrades!$H$7)*POWER(Upgrades!$I$7,F40)))*(IF(Upgrades!$T$6="Asteroid Belt",POWER(Upgrades!$U$6,E40),1)*IF(Upgrades!$T$8="Asteroid Belt",POWER(Upgrades!$U$8,G40),1)*IF(Upgrades!$T$9="Asteroid Belt",POWER(Upgrades!$U$9,H40),1)*IF(Upgrades!$T$10="Asteroid Belt",POWER(Upgrades!$U$10,I40),1)*IF(Upgrades!$T$11="Asteroid Belt",POWER(Upgrades!$U$11,J40),1)*IF(Upgrades!$T$12="Asteroid Belt",POWER(Upgrades!$U$12,K40),1))*POWER(Upgrades!$P$6,E40)*POWER(Upgrades!$P$7,F40)*POWER(Upgrades!$P$8,G40)*POWER(Upgrades!$P$9,H40)*POWER(Upgrades!$P$10,I40)*POWER(Upgrades!$P$11,J40)*POWER(Upgrades!$P$12,K40)*60</f>
        <v/>
      </c>
      <c r="AC40" s="27">
        <f>(IF(G40=0,0,(Upgrades!$J$8+G40*Upgrades!$K$8)*POWER(Upgrades!$L$8,G40)))*(IF(Upgrades!$T$6="Stellar Coupling",POWER(Upgrades!$U$6,E40),1)*IF(Upgrades!$T$7="Stellar Coupling",POWER(Upgrades!$U$7,F40),1)*IF(Upgrades!$T$9="Stellar Coupling",POWER(Upgrades!$U$9,H40),1)*IF(Upgrades!$T$10="Stellar Coupling",POWER(Upgrades!$U$10,I40),1)*IF(Upgrades!$T$11="Stellar Coupling",POWER(Upgrades!$U$11,J40),1)*IF(Upgrades!$T$12="Stellar Coupling",POWER(Upgrades!$U$12,K40),1))*POWER(Upgrades!$Q$6,E40)*POWER(Upgrades!$Q$7,F40)*POWER(Upgrades!$Q$8,G40)*POWER(Upgrades!$Q$9,H40)*POWER(Upgrades!$Q$10,I40)*POWER(Upgrades!$Q$11,J40)*POWER(Upgrades!$Q$12,K40)*Parameters!$B$10*Parameters!$B$11</f>
        <v/>
      </c>
      <c r="AD40" s="27">
        <f>(IF(H40=0,0,(Upgrades!$G$9+H40*Upgrades!$H$9)*POWER(Upgrades!$I$9,H40)))*(IF(Upgrades!$T$6="Magnetosphere",POWER(Upgrades!$U$6,E40),1)*IF(Upgrades!$T$7="Magnetosphere",POWER(Upgrades!$U$7,F40),1)*IF(Upgrades!$T$8="Magnetosphere",POWER(Upgrades!$U$8,G40),1)*IF(Upgrades!$T$10="Magnetosphere",POWER(Upgrades!$U$10,I40),1)*IF(Upgrades!$T$11="Magnetosphere",POWER(Upgrades!$U$11,J40),1)*IF(Upgrades!$T$12="Magnetosphere",POWER(Upgrades!$U$12,K40),1))*POWER(Upgrades!$P$6,E40)*POWER(Upgrades!$P$7,F40)*POWER(Upgrades!$P$8,G40)*POWER(Upgrades!$P$9,H40)*POWER(Upgrades!$P$10,I40)*POWER(Upgrades!$P$11,J40)*POWER(Upgrades!$P$12,K40)*60</f>
        <v/>
      </c>
      <c r="AE40" s="27">
        <f>(IF(K40=0,0,(Upgrades!$G$12+K40*Upgrades!$H$12)*POWER(Upgrades!$I$12,K40)))*(IF(Upgrades!$T$6="First Photons",POWER(Upgrades!$U$6,E40),1)*IF(Upgrades!$T$7="First Photons",POWER(Upgrades!$U$7,F40),1)*IF(Upgrades!$T$8="First Photons",POWER(Upgrades!$U$8,G40),1)*IF(Upgrades!$T$9="First Photons",POWER(Upgrades!$U$9,H40),1)*IF(Upgrades!$T$10="First Photons",POWER(Upgrades!$U$10,I40),1)*IF(Upgrades!$T$11="First Photons",POWER(Upgrades!$U$11,J40),1))*POWER(Upgrades!$P$6,E40)*POWER(Upgrades!$P$7,F40)*POWER(Upgrades!$P$8,G40)*POWER(Upgrades!$P$9,H40)*POWER(Upgrades!$P$10,I40)*POWER(Upgrades!$P$11,J40)*POWER(Upgrades!$P$12,K40)*60</f>
        <v/>
      </c>
      <c r="AF40" s="27">
        <f>Parameters!$B$9*POWER(Upgrades!$Q$6,E40)*POWER(Upgrades!$Q$7,F40)*POWER(Upgrades!$Q$8,G40)*POWER(Upgrades!$Q$9,H40)*POWER(Upgrades!$Q$10,I40)*POWER(Upgrades!$Q$11,J40)*POWER(Upgrades!$Q$12,K40)*(Parameters!$B$10*Parameters!$B$11+O40*60)</f>
        <v/>
      </c>
      <c r="AG40" s="22">
        <f>IF(E40&gt;=Upgrades!$E$6,"",Upgrades!$C$6*POWER(Upgrades!$D$6,E40))</f>
        <v/>
      </c>
      <c r="AH40" s="22">
        <f>IF(F40&gt;=Upgrades!$E$7,"",Upgrades!$C$7*POWER(Upgrades!$D$7,F40))</f>
        <v/>
      </c>
      <c r="AI40" s="22">
        <f>IF(G40&gt;=Upgrades!$E$8,"",Upgrades!$C$8*POWER(Upgrades!$D$8,G40))</f>
        <v/>
      </c>
      <c r="AJ40" s="22">
        <f>IF(H40&gt;=Upgrades!$E$9,"",Upgrades!$C$9*POWER(Upgrades!$D$9,H40))</f>
        <v/>
      </c>
      <c r="AK40" s="22">
        <f>IF(I40&gt;=Upgrades!$E$10,"",Upgrades!$C$10*POWER(Upgrades!$D$10,I40))</f>
        <v/>
      </c>
      <c r="AL40" s="22">
        <f>IF(J40&gt;=Upgrades!$E$11,"",Upgrades!$C$11*POWER(Upgrades!$D$11,J40))</f>
        <v/>
      </c>
      <c r="AM40" s="22">
        <f>IF(K40&gt;=Upgrades!$E$12,"",Upgrades!$C$12*POWER(Upgrades!$D$12,K40))</f>
        <v/>
      </c>
      <c r="AN40" s="26">
        <f>IF(AND(D40&gt;=Parameters!$B$18,(H40&gt;=Upgrades!$E$9)*(K40&gt;=Upgrades!$E$12)=1,L40=0),1,"")</f>
        <v/>
      </c>
      <c r="AO40" s="26">
        <f>IF(AND(D40&gt;=Parameters!$B$18,L40=0),1,"")</f>
        <v/>
      </c>
      <c r="AP40" s="22">
        <f>MIN(IF(ISNUMBER(AK40),AK40,9E15),IF(ISNUMBER(AL40),AL40,9E15),IF(ISNUMBER(AM40),AM40,9E15))</f>
        <v/>
      </c>
      <c r="AQ40" s="22">
        <f>MIN(IF(ISNUMBER(AG40),AG40,9E15),IF(ISNUMBER(AH40),AH40,9E15),IF(ISNUMBER(AI40),AI40,9E15),IF(ISNUMBER(AJ40),AJ40,9E15))</f>
        <v/>
      </c>
      <c r="AR40" s="29">
        <f>IF(AW40&gt;Parameters!$B$21*(MAX(IF(AND(NOT(AND(AO40=1,AN40&lt;&gt;1)),ISNUMBER(AG40),AG40&lt;=T40),AS40,0),IF(AND(NOT(AND(AO40=1,AN40&lt;&gt;1)),ISNUMBER(AH40),AH40&lt;=T40),AT40,0),IF(AND(NOT(AND(AO40=1,AN40&lt;&gt;1)),ISNUMBER(AI40),AI40&lt;=T40),AU40,0),IF(AND(ISNUMBER(AJ40),AJ40&lt;=T40),AV40,0))),TRUE,FALSE)</f>
        <v/>
      </c>
      <c r="AS40" s="32">
        <f>IFERROR(Upgrades!$H$6*(POWER(Upgrades!$P$6,E40)*POWER(Upgrades!$P$7,F40)*POWER(Upgrades!$P$8,G40)*POWER(Upgrades!$P$9,H40)*POWER(Upgrades!$P$10,I40)*POWER(Upgrades!$P$11,J40)*POWER(Upgrades!$P$12,K40))*(IF(Upgrades!$T$7="Solar Wind",POWER(Upgrades!$U$7,F40),1)*IF(Upgrades!$T$8="Solar Wind",POWER(Upgrades!$U$8,G40),1)*IF(Upgrades!$T$9="Solar Wind",POWER(Upgrades!$U$9,H40),1)*IF(Upgrades!$T$10="Solar Wind",POWER(Upgrades!$U$10,I40),1)*IF(Upgrades!$T$11="Solar Wind",POWER(Upgrades!$U$11,J40),1)*IF(Upgrades!$T$12="Solar Wind",POWER(Upgrades!$U$12,K40),1))/AG40,0)</f>
        <v/>
      </c>
      <c r="AT40" s="32">
        <f>IFERROR(Upgrades!$H$7*(POWER(Upgrades!$P$6,E40)*POWER(Upgrades!$P$7,F40)*POWER(Upgrades!$P$8,G40)*POWER(Upgrades!$P$9,H40)*POWER(Upgrades!$P$10,I40)*POWER(Upgrades!$P$11,J40)*POWER(Upgrades!$P$12,K40))*(IF(Upgrades!$T$6="Asteroid Belt",POWER(Upgrades!$U$6,E40),1)*IF(Upgrades!$T$8="Asteroid Belt",POWER(Upgrades!$U$8,G40),1)*IF(Upgrades!$T$9="Asteroid Belt",POWER(Upgrades!$U$9,H40),1)*IF(Upgrades!$T$10="Asteroid Belt",POWER(Upgrades!$U$10,I40),1)*IF(Upgrades!$T$11="Asteroid Belt",POWER(Upgrades!$U$11,J40),1)*IF(Upgrades!$T$12="Asteroid Belt",POWER(Upgrades!$U$12,K40),1))/AH40,0)</f>
        <v/>
      </c>
      <c r="AU40" s="32">
        <f>IFERROR(Upgrades!$K$8*(POWER(Upgrades!$Q$6,E40)*POWER(Upgrades!$Q$7,F40)*POWER(Upgrades!$Q$8,G40)*POWER(Upgrades!$Q$9,H40)*POWER(Upgrades!$Q$10,I40)*POWER(Upgrades!$Q$11,J40)*POWER(Upgrades!$Q$12,K40))*(IF(Upgrades!$T$6="Stellar Coupling",POWER(Upgrades!$U$6,E40),1)*IF(Upgrades!$T$7="Stellar Coupling",POWER(Upgrades!$U$7,F40),1)*IF(Upgrades!$T$9="Stellar Coupling",POWER(Upgrades!$U$9,H40),1)*IF(Upgrades!$T$10="Stellar Coupling",POWER(Upgrades!$U$10,I40),1)*IF(Upgrades!$T$11="Stellar Coupling",POWER(Upgrades!$U$11,J40),1)*IF(Upgrades!$T$12="Stellar Coupling",POWER(Upgrades!$U$12,K40),1))*Parameters!$B$10*Parameters!$B$11/60/AI40,0)</f>
        <v/>
      </c>
      <c r="AV40" s="32">
        <f>IFERROR(Upgrades!$H$9*(POWER(Upgrades!$P$6,E40)*POWER(Upgrades!$P$7,F40)*POWER(Upgrades!$P$8,G40)*POWER(Upgrades!$P$9,H40)*POWER(Upgrades!$P$10,I40)*POWER(Upgrades!$P$11,J40)*POWER(Upgrades!$P$12,K40))*(IF(Upgrades!$T$6="Magnetosphere",POWER(Upgrades!$U$6,E40),1)*IF(Upgrades!$T$7="Magnetosphere",POWER(Upgrades!$U$7,F40),1)*IF(Upgrades!$T$8="Magnetosphere",POWER(Upgrades!$U$8,G40),1)*IF(Upgrades!$T$10="Magnetosphere",POWER(Upgrades!$U$10,I40),1)*IF(Upgrades!$T$11="Magnetosphere",POWER(Upgrades!$U$11,J40),1)*IF(Upgrades!$T$12="Magnetosphere",POWER(Upgrades!$U$12,K40),1))/AJ40,0)</f>
        <v/>
      </c>
      <c r="AW40" s="32">
        <f>MAX(IF(I40&gt;0,0,IFERROR(0.25*N40/Upgrades!$C$10,0)),IF(J40&gt;0,0,IFERROR(0.5*((IF(G40=0,0,(Upgrades!$J$8+G40*Upgrades!$K$8)*POWER(Upgrades!$L$8,G40)))*(IF(Upgrades!$T$6="Stellar Coupling",POWER(Upgrades!$U$6,E40),1)*IF(Upgrades!$T$7="Stellar Coupling",POWER(Upgrades!$U$7,F40),1)*IF(Upgrades!$T$9="Stellar Coupling",POWER(Upgrades!$U$9,H40),1)*IF(Upgrades!$T$10="Stellar Coupling",POWER(Upgrades!$U$10,I40),1)*IF(Upgrades!$T$11="Stellar Coupling",POWER(Upgrades!$U$11,J40),1)*IF(Upgrades!$T$12="Stellar Coupling",POWER(Upgrades!$U$12,K40),1))*(POWER(Upgrades!$Q$6,E40)*POWER(Upgrades!$Q$7,F40)*POWER(Upgrades!$Q$8,G40)*POWER(Upgrades!$Q$9,H40)*POWER(Upgrades!$Q$10,I40)*POWER(Upgrades!$Q$11,J40)*POWER(Upgrades!$Q$12,K40))*Parameters!$B$10*Parameters!$B$11/60)/Upgrades!$C$11,0)),IF(K40&gt;0,0,IFERROR((1.0*(POWER(Upgrades!$P$6,E40)*POWER(Upgrades!$P$7,F40)*POWER(Upgrades!$P$8,G40)*POWER(Upgrades!$P$9,H40)*POWER(Upgrades!$P$10,I40)*POWER(Upgrades!$P$11,J40)*POWER(Upgrades!$P$12,K40))+0.20*M40*Parameters!$B$10*Parameters!$B$11/60)/Upgrades!$C$12,0)),IF(AND(ISNUMBER(AG40),AG40&gt;T40),AS40,0),IF(AND(ISNUMBER(AH40),AH40&gt;T40),AT40,0),IF(AND(ISNUMBER(AI40),AI40&gt;T40),AU40,0),IF(AND(ISNUMBER(AJ40),AJ40&gt;T40),AV40,0))</f>
        <v/>
      </c>
      <c r="AX40" s="29">
        <f>IF(AN40=1,"transition",IF(MIN(IF(AND(I40=0,ISNUMBER(AK40),AK40&lt;=T40),AK40,9E15),IF(AND(J40=0,ISNUMBER(AL40),AL40&lt;=T40),AL40,9E15),IF(AND(K40=0,ISNUMBER(AM40),AM40&lt;=T40),AM40,9E15))&lt;9E15,IF(AND(AND(I40=0,ISNUMBER(AK40),AK40&lt;=T40),AK40=MIN(IF(AND(I40=0,ISNUMBER(AK40),AK40&lt;=T40),AK40,9E15),IF(AND(J40=0,ISNUMBER(AL40),AL40&lt;=T40),AL40,9E15),IF(AND(K40=0,ISNUMBER(AM40),AM40&lt;=T40),AM40,9E15))),"OR",IF(AND(AND(J40=0,ISNUMBER(AL40),AL40&lt;=T40),AL40=MIN(IF(AND(I40=0,ISNUMBER(AK40),AK40&lt;=T40),AK40,9E15),IF(AND(J40=0,ISNUMBER(AL40),AL40&lt;=T40),AL40,9E15),IF(AND(K40=0,ISNUMBER(AM40),AM40&lt;=T40),AM40,9E15))),"HP","FP")),IF(AR40=TRUE,"",IF(MAX(IF(AND(NOT(AND(AO40=1,AN40&lt;&gt;1)),ISNUMBER(AG40),AG40&lt;=T40),AS40,0),IF(AND(NOT(AND(AO40=1,AN40&lt;&gt;1)),ISNUMBER(AH40),AH40&lt;=T40),AT40,0),IF(AND(NOT(AND(AO40=1,AN40&lt;&gt;1)),ISNUMBER(AI40),AI40&lt;=T40),AU40,0),IF(AND(ISNUMBER(AJ40),AJ40&lt;=T40),AV40,0))&lt;=0,"",IF(AND(IF(AND(NOT(AND(AO40=1,AN40&lt;&gt;1)),ISNUMBER(AG40),AG40&lt;=T40),AS40,0)&gt;0,IF(AND(NOT(AND(AO40=1,AN40&lt;&gt;1)),ISNUMBER(AG40),AG40&lt;=T40),AS40,0)=MAX(IF(AND(NOT(AND(AO40=1,AN40&lt;&gt;1)),ISNUMBER(AG40),AG40&lt;=T40),AS40,0),IF(AND(NOT(AND(AO40=1,AN40&lt;&gt;1)),ISNUMBER(AH40),AH40&lt;=T40),AT40,0),IF(AND(NOT(AND(AO40=1,AN40&lt;&gt;1)),ISNUMBER(AI40),AI40&lt;=T40),AU40,0),IF(AND(ISNUMBER(AJ40),AJ40&lt;=T40),AV40,0))),"SW",IF(AND(IF(AND(NOT(AND(AO40=1,AN40&lt;&gt;1)),ISNUMBER(AH40),AH40&lt;=T40),AT40,0)&gt;0,IF(AND(NOT(AND(AO40=1,AN40&lt;&gt;1)),ISNUMBER(AH40),AH40&lt;=T40),AT40,0)=MAX(IF(AND(NOT(AND(AO40=1,AN40&lt;&gt;1)),ISNUMBER(AG40),AG40&lt;=T40),AS40,0),IF(AND(NOT(AND(AO40=1,AN40&lt;&gt;1)),ISNUMBER(AH40),AH40&lt;=T40),AT40,0),IF(AND(NOT(AND(AO40=1,AN40&lt;&gt;1)),ISNUMBER(AI40),AI40&lt;=T40),AU40,0),IF(AND(ISNUMBER(AJ40),AJ40&lt;=T40),AV40,0))),"AB",IF(AND(IF(AND(NOT(AND(AO40=1,AN40&lt;&gt;1)),ISNUMBER(AI40),AI40&lt;=T40),AU40,0)&gt;0,IF(AND(NOT(AND(AO40=1,AN40&lt;&gt;1)),ISNUMBER(AI40),AI40&lt;=T40),AU40,0)=MAX(IF(AND(NOT(AND(AO40=1,AN40&lt;&gt;1)),ISNUMBER(AG40),AG40&lt;=T40),AS40,0),IF(AND(NOT(AND(AO40=1,AN40&lt;&gt;1)),ISNUMBER(AH40),AH40&lt;=T40),AT40,0),IF(AND(NOT(AND(AO40=1,AN40&lt;&gt;1)),ISNUMBER(AI40),AI40&lt;=T40),AU40,0),IF(AND(ISNUMBER(AJ40),AJ40&lt;=T40),AV40,0))),"SC","Mag")))))))</f>
        <v/>
      </c>
    </row>
    <row r="41">
      <c r="A41" s="26" t="n">
        <v>36</v>
      </c>
      <c r="B41" s="27">
        <f>A41*10/60</f>
        <v/>
      </c>
      <c r="C41" s="22">
        <f>X40</f>
        <v/>
      </c>
      <c r="D41" s="27">
        <f>D40+W40</f>
        <v/>
      </c>
      <c r="E41" s="26">
        <f>E40+IF(U40="SW",1,0)</f>
        <v/>
      </c>
      <c r="F41" s="26">
        <f>F40+IF(U40="AB",1,0)</f>
        <v/>
      </c>
      <c r="G41" s="26">
        <f>G40+IF(U40="SC",1,0)</f>
        <v/>
      </c>
      <c r="H41" s="26">
        <f>H40+IF(U40="Mag",1,0)</f>
        <v/>
      </c>
      <c r="I41" s="26">
        <f>MAX(I40,IF(U40="OR",1,0))</f>
        <v/>
      </c>
      <c r="J41" s="26">
        <f>MAX(J40,IF(U40="HP",1,0))</f>
        <v/>
      </c>
      <c r="K41" s="26">
        <f>MAX(K40,IF(U40="FP",1,0))</f>
        <v/>
      </c>
      <c r="L41" s="26">
        <f>MAX(L40,IF(U40="transition",1,0))</f>
        <v/>
      </c>
      <c r="M41" s="28">
        <f>(Parameters!$B$9+(IF(E41=0,0,(Upgrades!$J$6+E41*Upgrades!$K$6)*POWER(Upgrades!$L$6,E41)))*(IF(Upgrades!$T$7="Solar Wind",POWER(Upgrades!$U$7,F41),1)*IF(Upgrades!$T$8="Solar Wind",POWER(Upgrades!$U$8,G41),1)*IF(Upgrades!$T$9="Solar Wind",POWER(Upgrades!$U$9,H41),1)*IF(Upgrades!$T$10="Solar Wind",POWER(Upgrades!$U$10,I41),1)*IF(Upgrades!$T$11="Solar Wind",POWER(Upgrades!$U$11,J41),1)*IF(Upgrades!$T$12="Solar Wind",POWER(Upgrades!$U$12,K41),1))+(IF(F41=0,0,(Upgrades!$J$7+F41*Upgrades!$K$7)*POWER(Upgrades!$L$7,F41)))*(IF(Upgrades!$T$6="Asteroid Belt",POWER(Upgrades!$U$6,E41),1)*IF(Upgrades!$T$8="Asteroid Belt",POWER(Upgrades!$U$8,G41),1)*IF(Upgrades!$T$9="Asteroid Belt",POWER(Upgrades!$U$9,H41),1)*IF(Upgrades!$T$10="Asteroid Belt",POWER(Upgrades!$U$10,I41),1)*IF(Upgrades!$T$11="Asteroid Belt",POWER(Upgrades!$U$11,J41),1)*IF(Upgrades!$T$12="Asteroid Belt",POWER(Upgrades!$U$12,K41),1))+(IF(G41=0,0,(Upgrades!$J$8+G41*Upgrades!$K$8)*POWER(Upgrades!$L$8,G41)))*(IF(Upgrades!$T$6="Stellar Coupling",POWER(Upgrades!$U$6,E41),1)*IF(Upgrades!$T$7="Stellar Coupling",POWER(Upgrades!$U$7,F41),1)*IF(Upgrades!$T$9="Stellar Coupling",POWER(Upgrades!$U$9,H41),1)*IF(Upgrades!$T$10="Stellar Coupling",POWER(Upgrades!$U$10,I41),1)*IF(Upgrades!$T$11="Stellar Coupling",POWER(Upgrades!$U$11,J41),1)*IF(Upgrades!$T$12="Stellar Coupling",POWER(Upgrades!$U$12,K41),1))+(IF(H41=0,0,(Upgrades!$J$9+H41*Upgrades!$K$9)*POWER(Upgrades!$L$9,H41)))*(IF(Upgrades!$T$6="Magnetosphere",POWER(Upgrades!$U$6,E41),1)*IF(Upgrades!$T$7="Magnetosphere",POWER(Upgrades!$U$7,F41),1)*IF(Upgrades!$T$8="Magnetosphere",POWER(Upgrades!$U$8,G41),1)*IF(Upgrades!$T$10="Magnetosphere",POWER(Upgrades!$U$10,I41),1)*IF(Upgrades!$T$11="Magnetosphere",POWER(Upgrades!$U$11,J41),1)*IF(Upgrades!$T$12="Magnetosphere",POWER(Upgrades!$U$12,K41),1))+(IF(I41=0,0,(Upgrades!$J$10+I41*Upgrades!$K$10)*POWER(Upgrades!$L$10,I41)))*(IF(Upgrades!$T$6="Orbital Resonance",POWER(Upgrades!$U$6,E41),1)*IF(Upgrades!$T$7="Orbital Resonance",POWER(Upgrades!$U$7,F41),1)*IF(Upgrades!$T$8="Orbital Resonance",POWER(Upgrades!$U$8,G41),1)*IF(Upgrades!$T$9="Orbital Resonance",POWER(Upgrades!$U$9,H41),1)*IF(Upgrades!$T$11="Orbital Resonance",POWER(Upgrades!$U$11,J41),1)*IF(Upgrades!$T$12="Orbital Resonance",POWER(Upgrades!$U$12,K41),1))+(IF(J41=0,0,(Upgrades!$J$11+J41*Upgrades!$K$11)*POWER(Upgrades!$L$11,J41)))*(IF(Upgrades!$T$6="Heliopause",POWER(Upgrades!$U$6,E41),1)*IF(Upgrades!$T$7="Heliopause",POWER(Upgrades!$U$7,F41),1)*IF(Upgrades!$T$8="Heliopause",POWER(Upgrades!$U$8,G41),1)*IF(Upgrades!$T$9="Heliopause",POWER(Upgrades!$U$9,H41),1)*IF(Upgrades!$T$10="Heliopause",POWER(Upgrades!$U$10,I41),1)*IF(Upgrades!$T$12="Heliopause",POWER(Upgrades!$U$12,K41),1))+(IF(K41=0,0,(Upgrades!$J$12+K41*Upgrades!$K$12)*POWER(Upgrades!$L$12,K41)))*(IF(Upgrades!$T$6="First Photons",POWER(Upgrades!$U$6,E41),1)*IF(Upgrades!$T$7="First Photons",POWER(Upgrades!$U$7,F41),1)*IF(Upgrades!$T$8="First Photons",POWER(Upgrades!$U$8,G41),1)*IF(Upgrades!$T$9="First Photons",POWER(Upgrades!$U$9,H41),1)*IF(Upgrades!$T$10="First Photons",POWER(Upgrades!$U$10,I41),1)*IF(Upgrades!$T$11="First Photons",POWER(Upgrades!$U$11,J41),1)))*POWER(Upgrades!$Q$6,E41)*POWER(Upgrades!$Q$7,F41)*POWER(Upgrades!$Q$8,G41)*POWER(Upgrades!$Q$9,H41)*POWER(Upgrades!$Q$10,I41)*POWER(Upgrades!$Q$11,J41)*POWER(Upgrades!$Q$12,K41)</f>
        <v/>
      </c>
      <c r="N41" s="28">
        <f>((IF(E41=0,0,(Upgrades!$G$6+E41*Upgrades!$H$6)*POWER(Upgrades!$I$6,E41)))*(IF(Upgrades!$T$7="Solar Wind",POWER(Upgrades!$U$7,F41),1)*IF(Upgrades!$T$8="Solar Wind",POWER(Upgrades!$U$8,G41),1)*IF(Upgrades!$T$9="Solar Wind",POWER(Upgrades!$U$9,H41),1)*IF(Upgrades!$T$10="Solar Wind",POWER(Upgrades!$U$10,I41),1)*IF(Upgrades!$T$11="Solar Wind",POWER(Upgrades!$U$11,J41),1)*IF(Upgrades!$T$12="Solar Wind",POWER(Upgrades!$U$12,K41),1))+(IF(F41=0,0,(Upgrades!$G$7+F41*Upgrades!$H$7)*POWER(Upgrades!$I$7,F41)))*(IF(Upgrades!$T$6="Asteroid Belt",POWER(Upgrades!$U$6,E41),1)*IF(Upgrades!$T$8="Asteroid Belt",POWER(Upgrades!$U$8,G41),1)*IF(Upgrades!$T$9="Asteroid Belt",POWER(Upgrades!$U$9,H41),1)*IF(Upgrades!$T$10="Asteroid Belt",POWER(Upgrades!$U$10,I41),1)*IF(Upgrades!$T$11="Asteroid Belt",POWER(Upgrades!$U$11,J41),1)*IF(Upgrades!$T$12="Asteroid Belt",POWER(Upgrades!$U$12,K41),1))+(IF(G41=0,0,(Upgrades!$G$8+G41*Upgrades!$H$8)*POWER(Upgrades!$I$8,G41)))*(IF(Upgrades!$T$6="Stellar Coupling",POWER(Upgrades!$U$6,E41),1)*IF(Upgrades!$T$7="Stellar Coupling",POWER(Upgrades!$U$7,F41),1)*IF(Upgrades!$T$9="Stellar Coupling",POWER(Upgrades!$U$9,H41),1)*IF(Upgrades!$T$10="Stellar Coupling",POWER(Upgrades!$U$10,I41),1)*IF(Upgrades!$T$11="Stellar Coupling",POWER(Upgrades!$U$11,J41),1)*IF(Upgrades!$T$12="Stellar Coupling",POWER(Upgrades!$U$12,K41),1))+(IF(H41=0,0,(Upgrades!$G$9+H41*Upgrades!$H$9)*POWER(Upgrades!$I$9,H41)))*(IF(Upgrades!$T$6="Magnetosphere",POWER(Upgrades!$U$6,E41),1)*IF(Upgrades!$T$7="Magnetosphere",POWER(Upgrades!$U$7,F41),1)*IF(Upgrades!$T$8="Magnetosphere",POWER(Upgrades!$U$8,G41),1)*IF(Upgrades!$T$10="Magnetosphere",POWER(Upgrades!$U$10,I41),1)*IF(Upgrades!$T$11="Magnetosphere",POWER(Upgrades!$U$11,J41),1)*IF(Upgrades!$T$12="Magnetosphere",POWER(Upgrades!$U$12,K41),1))+(IF(I41=0,0,(Upgrades!$G$10+I41*Upgrades!$H$10)*POWER(Upgrades!$I$10,I41)))*(IF(Upgrades!$T$6="Orbital Resonance",POWER(Upgrades!$U$6,E41),1)*IF(Upgrades!$T$7="Orbital Resonance",POWER(Upgrades!$U$7,F41),1)*IF(Upgrades!$T$8="Orbital Resonance",POWER(Upgrades!$U$8,G41),1)*IF(Upgrades!$T$9="Orbital Resonance",POWER(Upgrades!$U$9,H41),1)*IF(Upgrades!$T$11="Orbital Resonance",POWER(Upgrades!$U$11,J41),1)*IF(Upgrades!$T$12="Orbital Resonance",POWER(Upgrades!$U$12,K41),1))+(IF(J41=0,0,(Upgrades!$G$11+J41*Upgrades!$H$11)*POWER(Upgrades!$I$11,J41)))*(IF(Upgrades!$T$6="Heliopause",POWER(Upgrades!$U$6,E41),1)*IF(Upgrades!$T$7="Heliopause",POWER(Upgrades!$U$7,F41),1)*IF(Upgrades!$T$8="Heliopause",POWER(Upgrades!$U$8,G41),1)*IF(Upgrades!$T$9="Heliopause",POWER(Upgrades!$U$9,H41),1)*IF(Upgrades!$T$10="Heliopause",POWER(Upgrades!$U$10,I41),1)*IF(Upgrades!$T$12="Heliopause",POWER(Upgrades!$U$12,K41),1))+(IF(K41=0,0,(Upgrades!$G$12+K41*Upgrades!$H$12)*POWER(Upgrades!$I$12,K41)))*(IF(Upgrades!$T$6="First Photons",POWER(Upgrades!$U$6,E41),1)*IF(Upgrades!$T$7="First Photons",POWER(Upgrades!$U$7,F41),1)*IF(Upgrades!$T$8="First Photons",POWER(Upgrades!$U$8,G41),1)*IF(Upgrades!$T$9="First Photons",POWER(Upgrades!$U$9,H41),1)*IF(Upgrades!$T$10="First Photons",POWER(Upgrades!$U$10,I41),1)*IF(Upgrades!$T$11="First Photons",POWER(Upgrades!$U$11,J41),1)))*POWER(Upgrades!$P$6,E41)*POWER(Upgrades!$P$7,F41)*POWER(Upgrades!$P$8,G41)*POWER(Upgrades!$P$9,H41)*POWER(Upgrades!$P$10,I41)*POWER(Upgrades!$P$11,J41)*POWER(Upgrades!$P$12,K41)</f>
        <v/>
      </c>
      <c r="O41" s="28">
        <f>((IF(E41=0,0,(Upgrades!$M$6+E41*Upgrades!$N$6)*POWER(Upgrades!$O$6,E41)))*(IF(Upgrades!$T$7="Solar Wind",POWER(Upgrades!$U$7,F41),1)*IF(Upgrades!$T$8="Solar Wind",POWER(Upgrades!$U$8,G41),1)*IF(Upgrades!$T$9="Solar Wind",POWER(Upgrades!$U$9,H41),1)*IF(Upgrades!$T$10="Solar Wind",POWER(Upgrades!$U$10,I41),1)*IF(Upgrades!$T$11="Solar Wind",POWER(Upgrades!$U$11,J41),1)*IF(Upgrades!$T$12="Solar Wind",POWER(Upgrades!$U$12,K41),1))+(IF(F41=0,0,(Upgrades!$M$7+F41*Upgrades!$N$7)*POWER(Upgrades!$O$7,F41)))*(IF(Upgrades!$T$6="Asteroid Belt",POWER(Upgrades!$U$6,E41),1)*IF(Upgrades!$T$8="Asteroid Belt",POWER(Upgrades!$U$8,G41),1)*IF(Upgrades!$T$9="Asteroid Belt",POWER(Upgrades!$U$9,H41),1)*IF(Upgrades!$T$10="Asteroid Belt",POWER(Upgrades!$U$10,I41),1)*IF(Upgrades!$T$11="Asteroid Belt",POWER(Upgrades!$U$11,J41),1)*IF(Upgrades!$T$12="Asteroid Belt",POWER(Upgrades!$U$12,K41),1))+(IF(G41=0,0,(Upgrades!$M$8+G41*Upgrades!$N$8)*POWER(Upgrades!$O$8,G41)))*(IF(Upgrades!$T$6="Stellar Coupling",POWER(Upgrades!$U$6,E41),1)*IF(Upgrades!$T$7="Stellar Coupling",POWER(Upgrades!$U$7,F41),1)*IF(Upgrades!$T$9="Stellar Coupling",POWER(Upgrades!$U$9,H41),1)*IF(Upgrades!$T$10="Stellar Coupling",POWER(Upgrades!$U$10,I41),1)*IF(Upgrades!$T$11="Stellar Coupling",POWER(Upgrades!$U$11,J41),1)*IF(Upgrades!$T$12="Stellar Coupling",POWER(Upgrades!$U$12,K41),1))+(IF(H41=0,0,(Upgrades!$M$9+H41*Upgrades!$N$9)*POWER(Upgrades!$O$9,H41)))*(IF(Upgrades!$T$6="Magnetosphere",POWER(Upgrades!$U$6,E41),1)*IF(Upgrades!$T$7="Magnetosphere",POWER(Upgrades!$U$7,F41),1)*IF(Upgrades!$T$8="Magnetosphere",POWER(Upgrades!$U$8,G41),1)*IF(Upgrades!$T$10="Magnetosphere",POWER(Upgrades!$U$10,I41),1)*IF(Upgrades!$T$11="Magnetosphere",POWER(Upgrades!$U$11,J41),1)*IF(Upgrades!$T$12="Magnetosphere",POWER(Upgrades!$U$12,K41),1))+(IF(I41=0,0,(Upgrades!$M$10+I41*Upgrades!$N$10)*POWER(Upgrades!$O$10,I41)))*(IF(Upgrades!$T$6="Orbital Resonance",POWER(Upgrades!$U$6,E41),1)*IF(Upgrades!$T$7="Orbital Resonance",POWER(Upgrades!$U$7,F41),1)*IF(Upgrades!$T$8="Orbital Resonance",POWER(Upgrades!$U$8,G41),1)*IF(Upgrades!$T$9="Orbital Resonance",POWER(Upgrades!$U$9,H41),1)*IF(Upgrades!$T$11="Orbital Resonance",POWER(Upgrades!$U$11,J41),1)*IF(Upgrades!$T$12="Orbital Resonance",POWER(Upgrades!$U$12,K41),1))+(IF(J41=0,0,(Upgrades!$M$11+J41*Upgrades!$N$11)*POWER(Upgrades!$O$11,J41)))*(IF(Upgrades!$T$6="Heliopause",POWER(Upgrades!$U$6,E41),1)*IF(Upgrades!$T$7="Heliopause",POWER(Upgrades!$U$7,F41),1)*IF(Upgrades!$T$8="Heliopause",POWER(Upgrades!$U$8,G41),1)*IF(Upgrades!$T$9="Heliopause",POWER(Upgrades!$U$9,H41),1)*IF(Upgrades!$T$10="Heliopause",POWER(Upgrades!$U$10,I41),1)*IF(Upgrades!$T$12="Heliopause",POWER(Upgrades!$U$12,K41),1))+(IF(K41=0,0,(Upgrades!$M$12+K41*Upgrades!$N$12)*POWER(Upgrades!$O$12,K41)))*(IF(Upgrades!$T$6="First Photons",POWER(Upgrades!$U$6,E41),1)*IF(Upgrades!$T$7="First Photons",POWER(Upgrades!$U$7,F41),1)*IF(Upgrades!$T$8="First Photons",POWER(Upgrades!$U$8,G41),1)*IF(Upgrades!$T$9="First Photons",POWER(Upgrades!$U$9,H41),1)*IF(Upgrades!$T$10="First Photons",POWER(Upgrades!$U$10,I41),1)*IF(Upgrades!$T$11="First Photons",POWER(Upgrades!$U$11,J41),1)))*POWER(Upgrades!$R$6,E41)*POWER(Upgrades!$R$7,F41)*POWER(Upgrades!$R$8,G41)*POWER(Upgrades!$R$9,H41)*POWER(Upgrades!$R$10,I41)*POWER(Upgrades!$R$11,J41)*POWER(Upgrades!$R$12,K41)</f>
        <v/>
      </c>
      <c r="P41" s="27">
        <f>IF(L41=1,0,M41*Parameters!$B$10/60*Parameters!$B$11*10)</f>
        <v/>
      </c>
      <c r="Q41" s="27">
        <f>IF(L41=1,0,O41*M41*10)</f>
        <v/>
      </c>
      <c r="R41" s="27">
        <f>IF(L41=1,0,N41*10)</f>
        <v/>
      </c>
      <c r="S41" s="27">
        <f>P41+Q41+R41</f>
        <v/>
      </c>
      <c r="T41" s="22">
        <f>C41+S41</f>
        <v/>
      </c>
      <c r="U41" s="33">
        <f>AX41</f>
        <v/>
      </c>
      <c r="V41" s="22">
        <f>IF(U41="",0,IF(U41="transition",0,IF(U41="SW",AG41,IF(U41="AB",AH41,IF(U41="SC",AI41,IF(U41="Mag",AJ41,IF(U41="OR",AK41,IF(U41="HP",AL41,IF(U41="FP",AM41,0)))))))))</f>
        <v/>
      </c>
      <c r="W41" s="27">
        <f>IF(U41="OR",Upgrades!$F$10,IF(U41="HP",Upgrades!$F$11,IF(U41="transition",-Parameters!$B$18,0)))</f>
        <v/>
      </c>
      <c r="X41" s="22">
        <f>T41-V41</f>
        <v/>
      </c>
      <c r="Y41" s="30">
        <f>M41*Parameters!$B$10/60*Parameters!$B$11+O41*M41+N41</f>
        <v/>
      </c>
      <c r="Z41" s="34">
        <f>IF(U41="transition","→ Tier 2 (Stellar Neighborhood)",IF(U41="FP","First Photons — light begins, system quickens",IF(U41="HP","Heliopause acquired",IF(U41="OR","Orbital Resonance — passive multiplier active",IF(AND(AO41=1,L41=0,AN41&lt;&gt;1),"Cohesion ready (waiting on completionist upgrades)","")))))</f>
        <v/>
      </c>
      <c r="AA41" s="27">
        <f>(IF(E41=0,0,(Upgrades!$G$6+E41*Upgrades!$H$6)*POWER(Upgrades!$I$6,E41)))*(IF(Upgrades!$T$7="Solar Wind",POWER(Upgrades!$U$7,F41),1)*IF(Upgrades!$T$8="Solar Wind",POWER(Upgrades!$U$8,G41),1)*IF(Upgrades!$T$9="Solar Wind",POWER(Upgrades!$U$9,H41),1)*IF(Upgrades!$T$10="Solar Wind",POWER(Upgrades!$U$10,I41),1)*IF(Upgrades!$T$11="Solar Wind",POWER(Upgrades!$U$11,J41),1)*IF(Upgrades!$T$12="Solar Wind",POWER(Upgrades!$U$12,K41),1))*POWER(Upgrades!$P$6,E41)*POWER(Upgrades!$P$7,F41)*POWER(Upgrades!$P$8,G41)*POWER(Upgrades!$P$9,H41)*POWER(Upgrades!$P$10,I41)*POWER(Upgrades!$P$11,J41)*POWER(Upgrades!$P$12,K41)*60</f>
        <v/>
      </c>
      <c r="AB41" s="27">
        <f>(IF(F41=0,0,(Upgrades!$G$7+F41*Upgrades!$H$7)*POWER(Upgrades!$I$7,F41)))*(IF(Upgrades!$T$6="Asteroid Belt",POWER(Upgrades!$U$6,E41),1)*IF(Upgrades!$T$8="Asteroid Belt",POWER(Upgrades!$U$8,G41),1)*IF(Upgrades!$T$9="Asteroid Belt",POWER(Upgrades!$U$9,H41),1)*IF(Upgrades!$T$10="Asteroid Belt",POWER(Upgrades!$U$10,I41),1)*IF(Upgrades!$T$11="Asteroid Belt",POWER(Upgrades!$U$11,J41),1)*IF(Upgrades!$T$12="Asteroid Belt",POWER(Upgrades!$U$12,K41),1))*POWER(Upgrades!$P$6,E41)*POWER(Upgrades!$P$7,F41)*POWER(Upgrades!$P$8,G41)*POWER(Upgrades!$P$9,H41)*POWER(Upgrades!$P$10,I41)*POWER(Upgrades!$P$11,J41)*POWER(Upgrades!$P$12,K41)*60</f>
        <v/>
      </c>
      <c r="AC41" s="27">
        <f>(IF(G41=0,0,(Upgrades!$J$8+G41*Upgrades!$K$8)*POWER(Upgrades!$L$8,G41)))*(IF(Upgrades!$T$6="Stellar Coupling",POWER(Upgrades!$U$6,E41),1)*IF(Upgrades!$T$7="Stellar Coupling",POWER(Upgrades!$U$7,F41),1)*IF(Upgrades!$T$9="Stellar Coupling",POWER(Upgrades!$U$9,H41),1)*IF(Upgrades!$T$10="Stellar Coupling",POWER(Upgrades!$U$10,I41),1)*IF(Upgrades!$T$11="Stellar Coupling",POWER(Upgrades!$U$11,J41),1)*IF(Upgrades!$T$12="Stellar Coupling",POWER(Upgrades!$U$12,K41),1))*POWER(Upgrades!$Q$6,E41)*POWER(Upgrades!$Q$7,F41)*POWER(Upgrades!$Q$8,G41)*POWER(Upgrades!$Q$9,H41)*POWER(Upgrades!$Q$10,I41)*POWER(Upgrades!$Q$11,J41)*POWER(Upgrades!$Q$12,K41)*Parameters!$B$10*Parameters!$B$11</f>
        <v/>
      </c>
      <c r="AD41" s="27">
        <f>(IF(H41=0,0,(Upgrades!$G$9+H41*Upgrades!$H$9)*POWER(Upgrades!$I$9,H41)))*(IF(Upgrades!$T$6="Magnetosphere",POWER(Upgrades!$U$6,E41),1)*IF(Upgrades!$T$7="Magnetosphere",POWER(Upgrades!$U$7,F41),1)*IF(Upgrades!$T$8="Magnetosphere",POWER(Upgrades!$U$8,G41),1)*IF(Upgrades!$T$10="Magnetosphere",POWER(Upgrades!$U$10,I41),1)*IF(Upgrades!$T$11="Magnetosphere",POWER(Upgrades!$U$11,J41),1)*IF(Upgrades!$T$12="Magnetosphere",POWER(Upgrades!$U$12,K41),1))*POWER(Upgrades!$P$6,E41)*POWER(Upgrades!$P$7,F41)*POWER(Upgrades!$P$8,G41)*POWER(Upgrades!$P$9,H41)*POWER(Upgrades!$P$10,I41)*POWER(Upgrades!$P$11,J41)*POWER(Upgrades!$P$12,K41)*60</f>
        <v/>
      </c>
      <c r="AE41" s="27">
        <f>(IF(K41=0,0,(Upgrades!$G$12+K41*Upgrades!$H$12)*POWER(Upgrades!$I$12,K41)))*(IF(Upgrades!$T$6="First Photons",POWER(Upgrades!$U$6,E41),1)*IF(Upgrades!$T$7="First Photons",POWER(Upgrades!$U$7,F41),1)*IF(Upgrades!$T$8="First Photons",POWER(Upgrades!$U$8,G41),1)*IF(Upgrades!$T$9="First Photons",POWER(Upgrades!$U$9,H41),1)*IF(Upgrades!$T$10="First Photons",POWER(Upgrades!$U$10,I41),1)*IF(Upgrades!$T$11="First Photons",POWER(Upgrades!$U$11,J41),1))*POWER(Upgrades!$P$6,E41)*POWER(Upgrades!$P$7,F41)*POWER(Upgrades!$P$8,G41)*POWER(Upgrades!$P$9,H41)*POWER(Upgrades!$P$10,I41)*POWER(Upgrades!$P$11,J41)*POWER(Upgrades!$P$12,K41)*60</f>
        <v/>
      </c>
      <c r="AF41" s="27">
        <f>Parameters!$B$9*POWER(Upgrades!$Q$6,E41)*POWER(Upgrades!$Q$7,F41)*POWER(Upgrades!$Q$8,G41)*POWER(Upgrades!$Q$9,H41)*POWER(Upgrades!$Q$10,I41)*POWER(Upgrades!$Q$11,J41)*POWER(Upgrades!$Q$12,K41)*(Parameters!$B$10*Parameters!$B$11+O41*60)</f>
        <v/>
      </c>
      <c r="AG41" s="22">
        <f>IF(E41&gt;=Upgrades!$E$6,"",Upgrades!$C$6*POWER(Upgrades!$D$6,E41))</f>
        <v/>
      </c>
      <c r="AH41" s="22">
        <f>IF(F41&gt;=Upgrades!$E$7,"",Upgrades!$C$7*POWER(Upgrades!$D$7,F41))</f>
        <v/>
      </c>
      <c r="AI41" s="22">
        <f>IF(G41&gt;=Upgrades!$E$8,"",Upgrades!$C$8*POWER(Upgrades!$D$8,G41))</f>
        <v/>
      </c>
      <c r="AJ41" s="22">
        <f>IF(H41&gt;=Upgrades!$E$9,"",Upgrades!$C$9*POWER(Upgrades!$D$9,H41))</f>
        <v/>
      </c>
      <c r="AK41" s="22">
        <f>IF(I41&gt;=Upgrades!$E$10,"",Upgrades!$C$10*POWER(Upgrades!$D$10,I41))</f>
        <v/>
      </c>
      <c r="AL41" s="22">
        <f>IF(J41&gt;=Upgrades!$E$11,"",Upgrades!$C$11*POWER(Upgrades!$D$11,J41))</f>
        <v/>
      </c>
      <c r="AM41" s="22">
        <f>IF(K41&gt;=Upgrades!$E$12,"",Upgrades!$C$12*POWER(Upgrades!$D$12,K41))</f>
        <v/>
      </c>
      <c r="AN41" s="26">
        <f>IF(AND(D41&gt;=Parameters!$B$18,(H41&gt;=Upgrades!$E$9)*(K41&gt;=Upgrades!$E$12)=1,L41=0),1,"")</f>
        <v/>
      </c>
      <c r="AO41" s="26">
        <f>IF(AND(D41&gt;=Parameters!$B$18,L41=0),1,"")</f>
        <v/>
      </c>
      <c r="AP41" s="22">
        <f>MIN(IF(ISNUMBER(AK41),AK41,9E15),IF(ISNUMBER(AL41),AL41,9E15),IF(ISNUMBER(AM41),AM41,9E15))</f>
        <v/>
      </c>
      <c r="AQ41" s="22">
        <f>MIN(IF(ISNUMBER(AG41),AG41,9E15),IF(ISNUMBER(AH41),AH41,9E15),IF(ISNUMBER(AI41),AI41,9E15),IF(ISNUMBER(AJ41),AJ41,9E15))</f>
        <v/>
      </c>
      <c r="AR41" s="29">
        <f>IF(AW41&gt;Parameters!$B$21*(MAX(IF(AND(NOT(AND(AO41=1,AN41&lt;&gt;1)),ISNUMBER(AG41),AG41&lt;=T41),AS41,0),IF(AND(NOT(AND(AO41=1,AN41&lt;&gt;1)),ISNUMBER(AH41),AH41&lt;=T41),AT41,0),IF(AND(NOT(AND(AO41=1,AN41&lt;&gt;1)),ISNUMBER(AI41),AI41&lt;=T41),AU41,0),IF(AND(ISNUMBER(AJ41),AJ41&lt;=T41),AV41,0))),TRUE,FALSE)</f>
        <v/>
      </c>
      <c r="AS41" s="32">
        <f>IFERROR(Upgrades!$H$6*(POWER(Upgrades!$P$6,E41)*POWER(Upgrades!$P$7,F41)*POWER(Upgrades!$P$8,G41)*POWER(Upgrades!$P$9,H41)*POWER(Upgrades!$P$10,I41)*POWER(Upgrades!$P$11,J41)*POWER(Upgrades!$P$12,K41))*(IF(Upgrades!$T$7="Solar Wind",POWER(Upgrades!$U$7,F41),1)*IF(Upgrades!$T$8="Solar Wind",POWER(Upgrades!$U$8,G41),1)*IF(Upgrades!$T$9="Solar Wind",POWER(Upgrades!$U$9,H41),1)*IF(Upgrades!$T$10="Solar Wind",POWER(Upgrades!$U$10,I41),1)*IF(Upgrades!$T$11="Solar Wind",POWER(Upgrades!$U$11,J41),1)*IF(Upgrades!$T$12="Solar Wind",POWER(Upgrades!$U$12,K41),1))/AG41,0)</f>
        <v/>
      </c>
      <c r="AT41" s="32">
        <f>IFERROR(Upgrades!$H$7*(POWER(Upgrades!$P$6,E41)*POWER(Upgrades!$P$7,F41)*POWER(Upgrades!$P$8,G41)*POWER(Upgrades!$P$9,H41)*POWER(Upgrades!$P$10,I41)*POWER(Upgrades!$P$11,J41)*POWER(Upgrades!$P$12,K41))*(IF(Upgrades!$T$6="Asteroid Belt",POWER(Upgrades!$U$6,E41),1)*IF(Upgrades!$T$8="Asteroid Belt",POWER(Upgrades!$U$8,G41),1)*IF(Upgrades!$T$9="Asteroid Belt",POWER(Upgrades!$U$9,H41),1)*IF(Upgrades!$T$10="Asteroid Belt",POWER(Upgrades!$U$10,I41),1)*IF(Upgrades!$T$11="Asteroid Belt",POWER(Upgrades!$U$11,J41),1)*IF(Upgrades!$T$12="Asteroid Belt",POWER(Upgrades!$U$12,K41),1))/AH41,0)</f>
        <v/>
      </c>
      <c r="AU41" s="32">
        <f>IFERROR(Upgrades!$K$8*(POWER(Upgrades!$Q$6,E41)*POWER(Upgrades!$Q$7,F41)*POWER(Upgrades!$Q$8,G41)*POWER(Upgrades!$Q$9,H41)*POWER(Upgrades!$Q$10,I41)*POWER(Upgrades!$Q$11,J41)*POWER(Upgrades!$Q$12,K41))*(IF(Upgrades!$T$6="Stellar Coupling",POWER(Upgrades!$U$6,E41),1)*IF(Upgrades!$T$7="Stellar Coupling",POWER(Upgrades!$U$7,F41),1)*IF(Upgrades!$T$9="Stellar Coupling",POWER(Upgrades!$U$9,H41),1)*IF(Upgrades!$T$10="Stellar Coupling",POWER(Upgrades!$U$10,I41),1)*IF(Upgrades!$T$11="Stellar Coupling",POWER(Upgrades!$U$11,J41),1)*IF(Upgrades!$T$12="Stellar Coupling",POWER(Upgrades!$U$12,K41),1))*Parameters!$B$10*Parameters!$B$11/60/AI41,0)</f>
        <v/>
      </c>
      <c r="AV41" s="32">
        <f>IFERROR(Upgrades!$H$9*(POWER(Upgrades!$P$6,E41)*POWER(Upgrades!$P$7,F41)*POWER(Upgrades!$P$8,G41)*POWER(Upgrades!$P$9,H41)*POWER(Upgrades!$P$10,I41)*POWER(Upgrades!$P$11,J41)*POWER(Upgrades!$P$12,K41))*(IF(Upgrades!$T$6="Magnetosphere",POWER(Upgrades!$U$6,E41),1)*IF(Upgrades!$T$7="Magnetosphere",POWER(Upgrades!$U$7,F41),1)*IF(Upgrades!$T$8="Magnetosphere",POWER(Upgrades!$U$8,G41),1)*IF(Upgrades!$T$10="Magnetosphere",POWER(Upgrades!$U$10,I41),1)*IF(Upgrades!$T$11="Magnetosphere",POWER(Upgrades!$U$11,J41),1)*IF(Upgrades!$T$12="Magnetosphere",POWER(Upgrades!$U$12,K41),1))/AJ41,0)</f>
        <v/>
      </c>
      <c r="AW41" s="32">
        <f>MAX(IF(I41&gt;0,0,IFERROR(0.25*N41/Upgrades!$C$10,0)),IF(J41&gt;0,0,IFERROR(0.5*((IF(G41=0,0,(Upgrades!$J$8+G41*Upgrades!$K$8)*POWER(Upgrades!$L$8,G41)))*(IF(Upgrades!$T$6="Stellar Coupling",POWER(Upgrades!$U$6,E41),1)*IF(Upgrades!$T$7="Stellar Coupling",POWER(Upgrades!$U$7,F41),1)*IF(Upgrades!$T$9="Stellar Coupling",POWER(Upgrades!$U$9,H41),1)*IF(Upgrades!$T$10="Stellar Coupling",POWER(Upgrades!$U$10,I41),1)*IF(Upgrades!$T$11="Stellar Coupling",POWER(Upgrades!$U$11,J41),1)*IF(Upgrades!$T$12="Stellar Coupling",POWER(Upgrades!$U$12,K41),1))*(POWER(Upgrades!$Q$6,E41)*POWER(Upgrades!$Q$7,F41)*POWER(Upgrades!$Q$8,G41)*POWER(Upgrades!$Q$9,H41)*POWER(Upgrades!$Q$10,I41)*POWER(Upgrades!$Q$11,J41)*POWER(Upgrades!$Q$12,K41))*Parameters!$B$10*Parameters!$B$11/60)/Upgrades!$C$11,0)),IF(K41&gt;0,0,IFERROR((1.0*(POWER(Upgrades!$P$6,E41)*POWER(Upgrades!$P$7,F41)*POWER(Upgrades!$P$8,G41)*POWER(Upgrades!$P$9,H41)*POWER(Upgrades!$P$10,I41)*POWER(Upgrades!$P$11,J41)*POWER(Upgrades!$P$12,K41))+0.20*M41*Parameters!$B$10*Parameters!$B$11/60)/Upgrades!$C$12,0)),IF(AND(ISNUMBER(AG41),AG41&gt;T41),AS41,0),IF(AND(ISNUMBER(AH41),AH41&gt;T41),AT41,0),IF(AND(ISNUMBER(AI41),AI41&gt;T41),AU41,0),IF(AND(ISNUMBER(AJ41),AJ41&gt;T41),AV41,0))</f>
        <v/>
      </c>
      <c r="AX41" s="29">
        <f>IF(AN41=1,"transition",IF(MIN(IF(AND(I41=0,ISNUMBER(AK41),AK41&lt;=T41),AK41,9E15),IF(AND(J41=0,ISNUMBER(AL41),AL41&lt;=T41),AL41,9E15),IF(AND(K41=0,ISNUMBER(AM41),AM41&lt;=T41),AM41,9E15))&lt;9E15,IF(AND(AND(I41=0,ISNUMBER(AK41),AK41&lt;=T41),AK41=MIN(IF(AND(I41=0,ISNUMBER(AK41),AK41&lt;=T41),AK41,9E15),IF(AND(J41=0,ISNUMBER(AL41),AL41&lt;=T41),AL41,9E15),IF(AND(K41=0,ISNUMBER(AM41),AM41&lt;=T41),AM41,9E15))),"OR",IF(AND(AND(J41=0,ISNUMBER(AL41),AL41&lt;=T41),AL41=MIN(IF(AND(I41=0,ISNUMBER(AK41),AK41&lt;=T41),AK41,9E15),IF(AND(J41=0,ISNUMBER(AL41),AL41&lt;=T41),AL41,9E15),IF(AND(K41=0,ISNUMBER(AM41),AM41&lt;=T41),AM41,9E15))),"HP","FP")),IF(AR41=TRUE,"",IF(MAX(IF(AND(NOT(AND(AO41=1,AN41&lt;&gt;1)),ISNUMBER(AG41),AG41&lt;=T41),AS41,0),IF(AND(NOT(AND(AO41=1,AN41&lt;&gt;1)),ISNUMBER(AH41),AH41&lt;=T41),AT41,0),IF(AND(NOT(AND(AO41=1,AN41&lt;&gt;1)),ISNUMBER(AI41),AI41&lt;=T41),AU41,0),IF(AND(ISNUMBER(AJ41),AJ41&lt;=T41),AV41,0))&lt;=0,"",IF(AND(IF(AND(NOT(AND(AO41=1,AN41&lt;&gt;1)),ISNUMBER(AG41),AG41&lt;=T41),AS41,0)&gt;0,IF(AND(NOT(AND(AO41=1,AN41&lt;&gt;1)),ISNUMBER(AG41),AG41&lt;=T41),AS41,0)=MAX(IF(AND(NOT(AND(AO41=1,AN41&lt;&gt;1)),ISNUMBER(AG41),AG41&lt;=T41),AS41,0),IF(AND(NOT(AND(AO41=1,AN41&lt;&gt;1)),ISNUMBER(AH41),AH41&lt;=T41),AT41,0),IF(AND(NOT(AND(AO41=1,AN41&lt;&gt;1)),ISNUMBER(AI41),AI41&lt;=T41),AU41,0),IF(AND(ISNUMBER(AJ41),AJ41&lt;=T41),AV41,0))),"SW",IF(AND(IF(AND(NOT(AND(AO41=1,AN41&lt;&gt;1)),ISNUMBER(AH41),AH41&lt;=T41),AT41,0)&gt;0,IF(AND(NOT(AND(AO41=1,AN41&lt;&gt;1)),ISNUMBER(AH41),AH41&lt;=T41),AT41,0)=MAX(IF(AND(NOT(AND(AO41=1,AN41&lt;&gt;1)),ISNUMBER(AG41),AG41&lt;=T41),AS41,0),IF(AND(NOT(AND(AO41=1,AN41&lt;&gt;1)),ISNUMBER(AH41),AH41&lt;=T41),AT41,0),IF(AND(NOT(AND(AO41=1,AN41&lt;&gt;1)),ISNUMBER(AI41),AI41&lt;=T41),AU41,0),IF(AND(ISNUMBER(AJ41),AJ41&lt;=T41),AV41,0))),"AB",IF(AND(IF(AND(NOT(AND(AO41=1,AN41&lt;&gt;1)),ISNUMBER(AI41),AI41&lt;=T41),AU41,0)&gt;0,IF(AND(NOT(AND(AO41=1,AN41&lt;&gt;1)),ISNUMBER(AI41),AI41&lt;=T41),AU41,0)=MAX(IF(AND(NOT(AND(AO41=1,AN41&lt;&gt;1)),ISNUMBER(AG41),AG41&lt;=T41),AS41,0),IF(AND(NOT(AND(AO41=1,AN41&lt;&gt;1)),ISNUMBER(AH41),AH41&lt;=T41),AT41,0),IF(AND(NOT(AND(AO41=1,AN41&lt;&gt;1)),ISNUMBER(AI41),AI41&lt;=T41),AU41,0),IF(AND(ISNUMBER(AJ41),AJ41&lt;=T41),AV41,0))),"SC","Mag")))))))</f>
        <v/>
      </c>
    </row>
    <row r="42">
      <c r="A42" s="26" t="n">
        <v>37</v>
      </c>
      <c r="B42" s="27">
        <f>A42*10/60</f>
        <v/>
      </c>
      <c r="C42" s="22">
        <f>X41</f>
        <v/>
      </c>
      <c r="D42" s="27">
        <f>D41+W41</f>
        <v/>
      </c>
      <c r="E42" s="26">
        <f>E41+IF(U41="SW",1,0)</f>
        <v/>
      </c>
      <c r="F42" s="26">
        <f>F41+IF(U41="AB",1,0)</f>
        <v/>
      </c>
      <c r="G42" s="26">
        <f>G41+IF(U41="SC",1,0)</f>
        <v/>
      </c>
      <c r="H42" s="26">
        <f>H41+IF(U41="Mag",1,0)</f>
        <v/>
      </c>
      <c r="I42" s="26">
        <f>MAX(I41,IF(U41="OR",1,0))</f>
        <v/>
      </c>
      <c r="J42" s="26">
        <f>MAX(J41,IF(U41="HP",1,0))</f>
        <v/>
      </c>
      <c r="K42" s="26">
        <f>MAX(K41,IF(U41="FP",1,0))</f>
        <v/>
      </c>
      <c r="L42" s="26">
        <f>MAX(L41,IF(U41="transition",1,0))</f>
        <v/>
      </c>
      <c r="M42" s="28">
        <f>(Parameters!$B$9+(IF(E42=0,0,(Upgrades!$J$6+E42*Upgrades!$K$6)*POWER(Upgrades!$L$6,E42)))*(IF(Upgrades!$T$7="Solar Wind",POWER(Upgrades!$U$7,F42),1)*IF(Upgrades!$T$8="Solar Wind",POWER(Upgrades!$U$8,G42),1)*IF(Upgrades!$T$9="Solar Wind",POWER(Upgrades!$U$9,H42),1)*IF(Upgrades!$T$10="Solar Wind",POWER(Upgrades!$U$10,I42),1)*IF(Upgrades!$T$11="Solar Wind",POWER(Upgrades!$U$11,J42),1)*IF(Upgrades!$T$12="Solar Wind",POWER(Upgrades!$U$12,K42),1))+(IF(F42=0,0,(Upgrades!$J$7+F42*Upgrades!$K$7)*POWER(Upgrades!$L$7,F42)))*(IF(Upgrades!$T$6="Asteroid Belt",POWER(Upgrades!$U$6,E42),1)*IF(Upgrades!$T$8="Asteroid Belt",POWER(Upgrades!$U$8,G42),1)*IF(Upgrades!$T$9="Asteroid Belt",POWER(Upgrades!$U$9,H42),1)*IF(Upgrades!$T$10="Asteroid Belt",POWER(Upgrades!$U$10,I42),1)*IF(Upgrades!$T$11="Asteroid Belt",POWER(Upgrades!$U$11,J42),1)*IF(Upgrades!$T$12="Asteroid Belt",POWER(Upgrades!$U$12,K42),1))+(IF(G42=0,0,(Upgrades!$J$8+G42*Upgrades!$K$8)*POWER(Upgrades!$L$8,G42)))*(IF(Upgrades!$T$6="Stellar Coupling",POWER(Upgrades!$U$6,E42),1)*IF(Upgrades!$T$7="Stellar Coupling",POWER(Upgrades!$U$7,F42),1)*IF(Upgrades!$T$9="Stellar Coupling",POWER(Upgrades!$U$9,H42),1)*IF(Upgrades!$T$10="Stellar Coupling",POWER(Upgrades!$U$10,I42),1)*IF(Upgrades!$T$11="Stellar Coupling",POWER(Upgrades!$U$11,J42),1)*IF(Upgrades!$T$12="Stellar Coupling",POWER(Upgrades!$U$12,K42),1))+(IF(H42=0,0,(Upgrades!$J$9+H42*Upgrades!$K$9)*POWER(Upgrades!$L$9,H42)))*(IF(Upgrades!$T$6="Magnetosphere",POWER(Upgrades!$U$6,E42),1)*IF(Upgrades!$T$7="Magnetosphere",POWER(Upgrades!$U$7,F42),1)*IF(Upgrades!$T$8="Magnetosphere",POWER(Upgrades!$U$8,G42),1)*IF(Upgrades!$T$10="Magnetosphere",POWER(Upgrades!$U$10,I42),1)*IF(Upgrades!$T$11="Magnetosphere",POWER(Upgrades!$U$11,J42),1)*IF(Upgrades!$T$12="Magnetosphere",POWER(Upgrades!$U$12,K42),1))+(IF(I42=0,0,(Upgrades!$J$10+I42*Upgrades!$K$10)*POWER(Upgrades!$L$10,I42)))*(IF(Upgrades!$T$6="Orbital Resonance",POWER(Upgrades!$U$6,E42),1)*IF(Upgrades!$T$7="Orbital Resonance",POWER(Upgrades!$U$7,F42),1)*IF(Upgrades!$T$8="Orbital Resonance",POWER(Upgrades!$U$8,G42),1)*IF(Upgrades!$T$9="Orbital Resonance",POWER(Upgrades!$U$9,H42),1)*IF(Upgrades!$T$11="Orbital Resonance",POWER(Upgrades!$U$11,J42),1)*IF(Upgrades!$T$12="Orbital Resonance",POWER(Upgrades!$U$12,K42),1))+(IF(J42=0,0,(Upgrades!$J$11+J42*Upgrades!$K$11)*POWER(Upgrades!$L$11,J42)))*(IF(Upgrades!$T$6="Heliopause",POWER(Upgrades!$U$6,E42),1)*IF(Upgrades!$T$7="Heliopause",POWER(Upgrades!$U$7,F42),1)*IF(Upgrades!$T$8="Heliopause",POWER(Upgrades!$U$8,G42),1)*IF(Upgrades!$T$9="Heliopause",POWER(Upgrades!$U$9,H42),1)*IF(Upgrades!$T$10="Heliopause",POWER(Upgrades!$U$10,I42),1)*IF(Upgrades!$T$12="Heliopause",POWER(Upgrades!$U$12,K42),1))+(IF(K42=0,0,(Upgrades!$J$12+K42*Upgrades!$K$12)*POWER(Upgrades!$L$12,K42)))*(IF(Upgrades!$T$6="First Photons",POWER(Upgrades!$U$6,E42),1)*IF(Upgrades!$T$7="First Photons",POWER(Upgrades!$U$7,F42),1)*IF(Upgrades!$T$8="First Photons",POWER(Upgrades!$U$8,G42),1)*IF(Upgrades!$T$9="First Photons",POWER(Upgrades!$U$9,H42),1)*IF(Upgrades!$T$10="First Photons",POWER(Upgrades!$U$10,I42),1)*IF(Upgrades!$T$11="First Photons",POWER(Upgrades!$U$11,J42),1)))*POWER(Upgrades!$Q$6,E42)*POWER(Upgrades!$Q$7,F42)*POWER(Upgrades!$Q$8,G42)*POWER(Upgrades!$Q$9,H42)*POWER(Upgrades!$Q$10,I42)*POWER(Upgrades!$Q$11,J42)*POWER(Upgrades!$Q$12,K42)</f>
        <v/>
      </c>
      <c r="N42" s="28">
        <f>((IF(E42=0,0,(Upgrades!$G$6+E42*Upgrades!$H$6)*POWER(Upgrades!$I$6,E42)))*(IF(Upgrades!$T$7="Solar Wind",POWER(Upgrades!$U$7,F42),1)*IF(Upgrades!$T$8="Solar Wind",POWER(Upgrades!$U$8,G42),1)*IF(Upgrades!$T$9="Solar Wind",POWER(Upgrades!$U$9,H42),1)*IF(Upgrades!$T$10="Solar Wind",POWER(Upgrades!$U$10,I42),1)*IF(Upgrades!$T$11="Solar Wind",POWER(Upgrades!$U$11,J42),1)*IF(Upgrades!$T$12="Solar Wind",POWER(Upgrades!$U$12,K42),1))+(IF(F42=0,0,(Upgrades!$G$7+F42*Upgrades!$H$7)*POWER(Upgrades!$I$7,F42)))*(IF(Upgrades!$T$6="Asteroid Belt",POWER(Upgrades!$U$6,E42),1)*IF(Upgrades!$T$8="Asteroid Belt",POWER(Upgrades!$U$8,G42),1)*IF(Upgrades!$T$9="Asteroid Belt",POWER(Upgrades!$U$9,H42),1)*IF(Upgrades!$T$10="Asteroid Belt",POWER(Upgrades!$U$10,I42),1)*IF(Upgrades!$T$11="Asteroid Belt",POWER(Upgrades!$U$11,J42),1)*IF(Upgrades!$T$12="Asteroid Belt",POWER(Upgrades!$U$12,K42),1))+(IF(G42=0,0,(Upgrades!$G$8+G42*Upgrades!$H$8)*POWER(Upgrades!$I$8,G42)))*(IF(Upgrades!$T$6="Stellar Coupling",POWER(Upgrades!$U$6,E42),1)*IF(Upgrades!$T$7="Stellar Coupling",POWER(Upgrades!$U$7,F42),1)*IF(Upgrades!$T$9="Stellar Coupling",POWER(Upgrades!$U$9,H42),1)*IF(Upgrades!$T$10="Stellar Coupling",POWER(Upgrades!$U$10,I42),1)*IF(Upgrades!$T$11="Stellar Coupling",POWER(Upgrades!$U$11,J42),1)*IF(Upgrades!$T$12="Stellar Coupling",POWER(Upgrades!$U$12,K42),1))+(IF(H42=0,0,(Upgrades!$G$9+H42*Upgrades!$H$9)*POWER(Upgrades!$I$9,H42)))*(IF(Upgrades!$T$6="Magnetosphere",POWER(Upgrades!$U$6,E42),1)*IF(Upgrades!$T$7="Magnetosphere",POWER(Upgrades!$U$7,F42),1)*IF(Upgrades!$T$8="Magnetosphere",POWER(Upgrades!$U$8,G42),1)*IF(Upgrades!$T$10="Magnetosphere",POWER(Upgrades!$U$10,I42),1)*IF(Upgrades!$T$11="Magnetosphere",POWER(Upgrades!$U$11,J42),1)*IF(Upgrades!$T$12="Magnetosphere",POWER(Upgrades!$U$12,K42),1))+(IF(I42=0,0,(Upgrades!$G$10+I42*Upgrades!$H$10)*POWER(Upgrades!$I$10,I42)))*(IF(Upgrades!$T$6="Orbital Resonance",POWER(Upgrades!$U$6,E42),1)*IF(Upgrades!$T$7="Orbital Resonance",POWER(Upgrades!$U$7,F42),1)*IF(Upgrades!$T$8="Orbital Resonance",POWER(Upgrades!$U$8,G42),1)*IF(Upgrades!$T$9="Orbital Resonance",POWER(Upgrades!$U$9,H42),1)*IF(Upgrades!$T$11="Orbital Resonance",POWER(Upgrades!$U$11,J42),1)*IF(Upgrades!$T$12="Orbital Resonance",POWER(Upgrades!$U$12,K42),1))+(IF(J42=0,0,(Upgrades!$G$11+J42*Upgrades!$H$11)*POWER(Upgrades!$I$11,J42)))*(IF(Upgrades!$T$6="Heliopause",POWER(Upgrades!$U$6,E42),1)*IF(Upgrades!$T$7="Heliopause",POWER(Upgrades!$U$7,F42),1)*IF(Upgrades!$T$8="Heliopause",POWER(Upgrades!$U$8,G42),1)*IF(Upgrades!$T$9="Heliopause",POWER(Upgrades!$U$9,H42),1)*IF(Upgrades!$T$10="Heliopause",POWER(Upgrades!$U$10,I42),1)*IF(Upgrades!$T$12="Heliopause",POWER(Upgrades!$U$12,K42),1))+(IF(K42=0,0,(Upgrades!$G$12+K42*Upgrades!$H$12)*POWER(Upgrades!$I$12,K42)))*(IF(Upgrades!$T$6="First Photons",POWER(Upgrades!$U$6,E42),1)*IF(Upgrades!$T$7="First Photons",POWER(Upgrades!$U$7,F42),1)*IF(Upgrades!$T$8="First Photons",POWER(Upgrades!$U$8,G42),1)*IF(Upgrades!$T$9="First Photons",POWER(Upgrades!$U$9,H42),1)*IF(Upgrades!$T$10="First Photons",POWER(Upgrades!$U$10,I42),1)*IF(Upgrades!$T$11="First Photons",POWER(Upgrades!$U$11,J42),1)))*POWER(Upgrades!$P$6,E42)*POWER(Upgrades!$P$7,F42)*POWER(Upgrades!$P$8,G42)*POWER(Upgrades!$P$9,H42)*POWER(Upgrades!$P$10,I42)*POWER(Upgrades!$P$11,J42)*POWER(Upgrades!$P$12,K42)</f>
        <v/>
      </c>
      <c r="O42" s="28">
        <f>((IF(E42=0,0,(Upgrades!$M$6+E42*Upgrades!$N$6)*POWER(Upgrades!$O$6,E42)))*(IF(Upgrades!$T$7="Solar Wind",POWER(Upgrades!$U$7,F42),1)*IF(Upgrades!$T$8="Solar Wind",POWER(Upgrades!$U$8,G42),1)*IF(Upgrades!$T$9="Solar Wind",POWER(Upgrades!$U$9,H42),1)*IF(Upgrades!$T$10="Solar Wind",POWER(Upgrades!$U$10,I42),1)*IF(Upgrades!$T$11="Solar Wind",POWER(Upgrades!$U$11,J42),1)*IF(Upgrades!$T$12="Solar Wind",POWER(Upgrades!$U$12,K42),1))+(IF(F42=0,0,(Upgrades!$M$7+F42*Upgrades!$N$7)*POWER(Upgrades!$O$7,F42)))*(IF(Upgrades!$T$6="Asteroid Belt",POWER(Upgrades!$U$6,E42),1)*IF(Upgrades!$T$8="Asteroid Belt",POWER(Upgrades!$U$8,G42),1)*IF(Upgrades!$T$9="Asteroid Belt",POWER(Upgrades!$U$9,H42),1)*IF(Upgrades!$T$10="Asteroid Belt",POWER(Upgrades!$U$10,I42),1)*IF(Upgrades!$T$11="Asteroid Belt",POWER(Upgrades!$U$11,J42),1)*IF(Upgrades!$T$12="Asteroid Belt",POWER(Upgrades!$U$12,K42),1))+(IF(G42=0,0,(Upgrades!$M$8+G42*Upgrades!$N$8)*POWER(Upgrades!$O$8,G42)))*(IF(Upgrades!$T$6="Stellar Coupling",POWER(Upgrades!$U$6,E42),1)*IF(Upgrades!$T$7="Stellar Coupling",POWER(Upgrades!$U$7,F42),1)*IF(Upgrades!$T$9="Stellar Coupling",POWER(Upgrades!$U$9,H42),1)*IF(Upgrades!$T$10="Stellar Coupling",POWER(Upgrades!$U$10,I42),1)*IF(Upgrades!$T$11="Stellar Coupling",POWER(Upgrades!$U$11,J42),1)*IF(Upgrades!$T$12="Stellar Coupling",POWER(Upgrades!$U$12,K42),1))+(IF(H42=0,0,(Upgrades!$M$9+H42*Upgrades!$N$9)*POWER(Upgrades!$O$9,H42)))*(IF(Upgrades!$T$6="Magnetosphere",POWER(Upgrades!$U$6,E42),1)*IF(Upgrades!$T$7="Magnetosphere",POWER(Upgrades!$U$7,F42),1)*IF(Upgrades!$T$8="Magnetosphere",POWER(Upgrades!$U$8,G42),1)*IF(Upgrades!$T$10="Magnetosphere",POWER(Upgrades!$U$10,I42),1)*IF(Upgrades!$T$11="Magnetosphere",POWER(Upgrades!$U$11,J42),1)*IF(Upgrades!$T$12="Magnetosphere",POWER(Upgrades!$U$12,K42),1))+(IF(I42=0,0,(Upgrades!$M$10+I42*Upgrades!$N$10)*POWER(Upgrades!$O$10,I42)))*(IF(Upgrades!$T$6="Orbital Resonance",POWER(Upgrades!$U$6,E42),1)*IF(Upgrades!$T$7="Orbital Resonance",POWER(Upgrades!$U$7,F42),1)*IF(Upgrades!$T$8="Orbital Resonance",POWER(Upgrades!$U$8,G42),1)*IF(Upgrades!$T$9="Orbital Resonance",POWER(Upgrades!$U$9,H42),1)*IF(Upgrades!$T$11="Orbital Resonance",POWER(Upgrades!$U$11,J42),1)*IF(Upgrades!$T$12="Orbital Resonance",POWER(Upgrades!$U$12,K42),1))+(IF(J42=0,0,(Upgrades!$M$11+J42*Upgrades!$N$11)*POWER(Upgrades!$O$11,J42)))*(IF(Upgrades!$T$6="Heliopause",POWER(Upgrades!$U$6,E42),1)*IF(Upgrades!$T$7="Heliopause",POWER(Upgrades!$U$7,F42),1)*IF(Upgrades!$T$8="Heliopause",POWER(Upgrades!$U$8,G42),1)*IF(Upgrades!$T$9="Heliopause",POWER(Upgrades!$U$9,H42),1)*IF(Upgrades!$T$10="Heliopause",POWER(Upgrades!$U$10,I42),1)*IF(Upgrades!$T$12="Heliopause",POWER(Upgrades!$U$12,K42),1))+(IF(K42=0,0,(Upgrades!$M$12+K42*Upgrades!$N$12)*POWER(Upgrades!$O$12,K42)))*(IF(Upgrades!$T$6="First Photons",POWER(Upgrades!$U$6,E42),1)*IF(Upgrades!$T$7="First Photons",POWER(Upgrades!$U$7,F42),1)*IF(Upgrades!$T$8="First Photons",POWER(Upgrades!$U$8,G42),1)*IF(Upgrades!$T$9="First Photons",POWER(Upgrades!$U$9,H42),1)*IF(Upgrades!$T$10="First Photons",POWER(Upgrades!$U$10,I42),1)*IF(Upgrades!$T$11="First Photons",POWER(Upgrades!$U$11,J42),1)))*POWER(Upgrades!$R$6,E42)*POWER(Upgrades!$R$7,F42)*POWER(Upgrades!$R$8,G42)*POWER(Upgrades!$R$9,H42)*POWER(Upgrades!$R$10,I42)*POWER(Upgrades!$R$11,J42)*POWER(Upgrades!$R$12,K42)</f>
        <v/>
      </c>
      <c r="P42" s="27">
        <f>IF(L42=1,0,M42*Parameters!$B$10/60*Parameters!$B$11*10)</f>
        <v/>
      </c>
      <c r="Q42" s="27">
        <f>IF(L42=1,0,O42*M42*10)</f>
        <v/>
      </c>
      <c r="R42" s="27">
        <f>IF(L42=1,0,N42*10)</f>
        <v/>
      </c>
      <c r="S42" s="27">
        <f>P42+Q42+R42</f>
        <v/>
      </c>
      <c r="T42" s="22">
        <f>C42+S42</f>
        <v/>
      </c>
      <c r="U42" s="33">
        <f>AX42</f>
        <v/>
      </c>
      <c r="V42" s="22">
        <f>IF(U42="",0,IF(U42="transition",0,IF(U42="SW",AG42,IF(U42="AB",AH42,IF(U42="SC",AI42,IF(U42="Mag",AJ42,IF(U42="OR",AK42,IF(U42="HP",AL42,IF(U42="FP",AM42,0)))))))))</f>
        <v/>
      </c>
      <c r="W42" s="27">
        <f>IF(U42="OR",Upgrades!$F$10,IF(U42="HP",Upgrades!$F$11,IF(U42="transition",-Parameters!$B$18,0)))</f>
        <v/>
      </c>
      <c r="X42" s="22">
        <f>T42-V42</f>
        <v/>
      </c>
      <c r="Y42" s="30">
        <f>M42*Parameters!$B$10/60*Parameters!$B$11+O42*M42+N42</f>
        <v/>
      </c>
      <c r="Z42" s="34">
        <f>IF(U42="transition","→ Tier 2 (Stellar Neighborhood)",IF(U42="FP","First Photons — light begins, system quickens",IF(U42="HP","Heliopause acquired",IF(U42="OR","Orbital Resonance — passive multiplier active",IF(AND(AO42=1,L42=0,AN42&lt;&gt;1),"Cohesion ready (waiting on completionist upgrades)","")))))</f>
        <v/>
      </c>
      <c r="AA42" s="27">
        <f>(IF(E42=0,0,(Upgrades!$G$6+E42*Upgrades!$H$6)*POWER(Upgrades!$I$6,E42)))*(IF(Upgrades!$T$7="Solar Wind",POWER(Upgrades!$U$7,F42),1)*IF(Upgrades!$T$8="Solar Wind",POWER(Upgrades!$U$8,G42),1)*IF(Upgrades!$T$9="Solar Wind",POWER(Upgrades!$U$9,H42),1)*IF(Upgrades!$T$10="Solar Wind",POWER(Upgrades!$U$10,I42),1)*IF(Upgrades!$T$11="Solar Wind",POWER(Upgrades!$U$11,J42),1)*IF(Upgrades!$T$12="Solar Wind",POWER(Upgrades!$U$12,K42),1))*POWER(Upgrades!$P$6,E42)*POWER(Upgrades!$P$7,F42)*POWER(Upgrades!$P$8,G42)*POWER(Upgrades!$P$9,H42)*POWER(Upgrades!$P$10,I42)*POWER(Upgrades!$P$11,J42)*POWER(Upgrades!$P$12,K42)*60</f>
        <v/>
      </c>
      <c r="AB42" s="27">
        <f>(IF(F42=0,0,(Upgrades!$G$7+F42*Upgrades!$H$7)*POWER(Upgrades!$I$7,F42)))*(IF(Upgrades!$T$6="Asteroid Belt",POWER(Upgrades!$U$6,E42),1)*IF(Upgrades!$T$8="Asteroid Belt",POWER(Upgrades!$U$8,G42),1)*IF(Upgrades!$T$9="Asteroid Belt",POWER(Upgrades!$U$9,H42),1)*IF(Upgrades!$T$10="Asteroid Belt",POWER(Upgrades!$U$10,I42),1)*IF(Upgrades!$T$11="Asteroid Belt",POWER(Upgrades!$U$11,J42),1)*IF(Upgrades!$T$12="Asteroid Belt",POWER(Upgrades!$U$12,K42),1))*POWER(Upgrades!$P$6,E42)*POWER(Upgrades!$P$7,F42)*POWER(Upgrades!$P$8,G42)*POWER(Upgrades!$P$9,H42)*POWER(Upgrades!$P$10,I42)*POWER(Upgrades!$P$11,J42)*POWER(Upgrades!$P$12,K42)*60</f>
        <v/>
      </c>
      <c r="AC42" s="27">
        <f>(IF(G42=0,0,(Upgrades!$J$8+G42*Upgrades!$K$8)*POWER(Upgrades!$L$8,G42)))*(IF(Upgrades!$T$6="Stellar Coupling",POWER(Upgrades!$U$6,E42),1)*IF(Upgrades!$T$7="Stellar Coupling",POWER(Upgrades!$U$7,F42),1)*IF(Upgrades!$T$9="Stellar Coupling",POWER(Upgrades!$U$9,H42),1)*IF(Upgrades!$T$10="Stellar Coupling",POWER(Upgrades!$U$10,I42),1)*IF(Upgrades!$T$11="Stellar Coupling",POWER(Upgrades!$U$11,J42),1)*IF(Upgrades!$T$12="Stellar Coupling",POWER(Upgrades!$U$12,K42),1))*POWER(Upgrades!$Q$6,E42)*POWER(Upgrades!$Q$7,F42)*POWER(Upgrades!$Q$8,G42)*POWER(Upgrades!$Q$9,H42)*POWER(Upgrades!$Q$10,I42)*POWER(Upgrades!$Q$11,J42)*POWER(Upgrades!$Q$12,K42)*Parameters!$B$10*Parameters!$B$11</f>
        <v/>
      </c>
      <c r="AD42" s="27">
        <f>(IF(H42=0,0,(Upgrades!$G$9+H42*Upgrades!$H$9)*POWER(Upgrades!$I$9,H42)))*(IF(Upgrades!$T$6="Magnetosphere",POWER(Upgrades!$U$6,E42),1)*IF(Upgrades!$T$7="Magnetosphere",POWER(Upgrades!$U$7,F42),1)*IF(Upgrades!$T$8="Magnetosphere",POWER(Upgrades!$U$8,G42),1)*IF(Upgrades!$T$10="Magnetosphere",POWER(Upgrades!$U$10,I42),1)*IF(Upgrades!$T$11="Magnetosphere",POWER(Upgrades!$U$11,J42),1)*IF(Upgrades!$T$12="Magnetosphere",POWER(Upgrades!$U$12,K42),1))*POWER(Upgrades!$P$6,E42)*POWER(Upgrades!$P$7,F42)*POWER(Upgrades!$P$8,G42)*POWER(Upgrades!$P$9,H42)*POWER(Upgrades!$P$10,I42)*POWER(Upgrades!$P$11,J42)*POWER(Upgrades!$P$12,K42)*60</f>
        <v/>
      </c>
      <c r="AE42" s="27">
        <f>(IF(K42=0,0,(Upgrades!$G$12+K42*Upgrades!$H$12)*POWER(Upgrades!$I$12,K42)))*(IF(Upgrades!$T$6="First Photons",POWER(Upgrades!$U$6,E42),1)*IF(Upgrades!$T$7="First Photons",POWER(Upgrades!$U$7,F42),1)*IF(Upgrades!$T$8="First Photons",POWER(Upgrades!$U$8,G42),1)*IF(Upgrades!$T$9="First Photons",POWER(Upgrades!$U$9,H42),1)*IF(Upgrades!$T$10="First Photons",POWER(Upgrades!$U$10,I42),1)*IF(Upgrades!$T$11="First Photons",POWER(Upgrades!$U$11,J42),1))*POWER(Upgrades!$P$6,E42)*POWER(Upgrades!$P$7,F42)*POWER(Upgrades!$P$8,G42)*POWER(Upgrades!$P$9,H42)*POWER(Upgrades!$P$10,I42)*POWER(Upgrades!$P$11,J42)*POWER(Upgrades!$P$12,K42)*60</f>
        <v/>
      </c>
      <c r="AF42" s="27">
        <f>Parameters!$B$9*POWER(Upgrades!$Q$6,E42)*POWER(Upgrades!$Q$7,F42)*POWER(Upgrades!$Q$8,G42)*POWER(Upgrades!$Q$9,H42)*POWER(Upgrades!$Q$10,I42)*POWER(Upgrades!$Q$11,J42)*POWER(Upgrades!$Q$12,K42)*(Parameters!$B$10*Parameters!$B$11+O42*60)</f>
        <v/>
      </c>
      <c r="AG42" s="22">
        <f>IF(E42&gt;=Upgrades!$E$6,"",Upgrades!$C$6*POWER(Upgrades!$D$6,E42))</f>
        <v/>
      </c>
      <c r="AH42" s="22">
        <f>IF(F42&gt;=Upgrades!$E$7,"",Upgrades!$C$7*POWER(Upgrades!$D$7,F42))</f>
        <v/>
      </c>
      <c r="AI42" s="22">
        <f>IF(G42&gt;=Upgrades!$E$8,"",Upgrades!$C$8*POWER(Upgrades!$D$8,G42))</f>
        <v/>
      </c>
      <c r="AJ42" s="22">
        <f>IF(H42&gt;=Upgrades!$E$9,"",Upgrades!$C$9*POWER(Upgrades!$D$9,H42))</f>
        <v/>
      </c>
      <c r="AK42" s="22">
        <f>IF(I42&gt;=Upgrades!$E$10,"",Upgrades!$C$10*POWER(Upgrades!$D$10,I42))</f>
        <v/>
      </c>
      <c r="AL42" s="22">
        <f>IF(J42&gt;=Upgrades!$E$11,"",Upgrades!$C$11*POWER(Upgrades!$D$11,J42))</f>
        <v/>
      </c>
      <c r="AM42" s="22">
        <f>IF(K42&gt;=Upgrades!$E$12,"",Upgrades!$C$12*POWER(Upgrades!$D$12,K42))</f>
        <v/>
      </c>
      <c r="AN42" s="26">
        <f>IF(AND(D42&gt;=Parameters!$B$18,(H42&gt;=Upgrades!$E$9)*(K42&gt;=Upgrades!$E$12)=1,L42=0),1,"")</f>
        <v/>
      </c>
      <c r="AO42" s="26">
        <f>IF(AND(D42&gt;=Parameters!$B$18,L42=0),1,"")</f>
        <v/>
      </c>
      <c r="AP42" s="22">
        <f>MIN(IF(ISNUMBER(AK42),AK42,9E15),IF(ISNUMBER(AL42),AL42,9E15),IF(ISNUMBER(AM42),AM42,9E15))</f>
        <v/>
      </c>
      <c r="AQ42" s="22">
        <f>MIN(IF(ISNUMBER(AG42),AG42,9E15),IF(ISNUMBER(AH42),AH42,9E15),IF(ISNUMBER(AI42),AI42,9E15),IF(ISNUMBER(AJ42),AJ42,9E15))</f>
        <v/>
      </c>
      <c r="AR42" s="29">
        <f>IF(AW42&gt;Parameters!$B$21*(MAX(IF(AND(NOT(AND(AO42=1,AN42&lt;&gt;1)),ISNUMBER(AG42),AG42&lt;=T42),AS42,0),IF(AND(NOT(AND(AO42=1,AN42&lt;&gt;1)),ISNUMBER(AH42),AH42&lt;=T42),AT42,0),IF(AND(NOT(AND(AO42=1,AN42&lt;&gt;1)),ISNUMBER(AI42),AI42&lt;=T42),AU42,0),IF(AND(ISNUMBER(AJ42),AJ42&lt;=T42),AV42,0))),TRUE,FALSE)</f>
        <v/>
      </c>
      <c r="AS42" s="32">
        <f>IFERROR(Upgrades!$H$6*(POWER(Upgrades!$P$6,E42)*POWER(Upgrades!$P$7,F42)*POWER(Upgrades!$P$8,G42)*POWER(Upgrades!$P$9,H42)*POWER(Upgrades!$P$10,I42)*POWER(Upgrades!$P$11,J42)*POWER(Upgrades!$P$12,K42))*(IF(Upgrades!$T$7="Solar Wind",POWER(Upgrades!$U$7,F42),1)*IF(Upgrades!$T$8="Solar Wind",POWER(Upgrades!$U$8,G42),1)*IF(Upgrades!$T$9="Solar Wind",POWER(Upgrades!$U$9,H42),1)*IF(Upgrades!$T$10="Solar Wind",POWER(Upgrades!$U$10,I42),1)*IF(Upgrades!$T$11="Solar Wind",POWER(Upgrades!$U$11,J42),1)*IF(Upgrades!$T$12="Solar Wind",POWER(Upgrades!$U$12,K42),1))/AG42,0)</f>
        <v/>
      </c>
      <c r="AT42" s="32">
        <f>IFERROR(Upgrades!$H$7*(POWER(Upgrades!$P$6,E42)*POWER(Upgrades!$P$7,F42)*POWER(Upgrades!$P$8,G42)*POWER(Upgrades!$P$9,H42)*POWER(Upgrades!$P$10,I42)*POWER(Upgrades!$P$11,J42)*POWER(Upgrades!$P$12,K42))*(IF(Upgrades!$T$6="Asteroid Belt",POWER(Upgrades!$U$6,E42),1)*IF(Upgrades!$T$8="Asteroid Belt",POWER(Upgrades!$U$8,G42),1)*IF(Upgrades!$T$9="Asteroid Belt",POWER(Upgrades!$U$9,H42),1)*IF(Upgrades!$T$10="Asteroid Belt",POWER(Upgrades!$U$10,I42),1)*IF(Upgrades!$T$11="Asteroid Belt",POWER(Upgrades!$U$11,J42),1)*IF(Upgrades!$T$12="Asteroid Belt",POWER(Upgrades!$U$12,K42),1))/AH42,0)</f>
        <v/>
      </c>
      <c r="AU42" s="32">
        <f>IFERROR(Upgrades!$K$8*(POWER(Upgrades!$Q$6,E42)*POWER(Upgrades!$Q$7,F42)*POWER(Upgrades!$Q$8,G42)*POWER(Upgrades!$Q$9,H42)*POWER(Upgrades!$Q$10,I42)*POWER(Upgrades!$Q$11,J42)*POWER(Upgrades!$Q$12,K42))*(IF(Upgrades!$T$6="Stellar Coupling",POWER(Upgrades!$U$6,E42),1)*IF(Upgrades!$T$7="Stellar Coupling",POWER(Upgrades!$U$7,F42),1)*IF(Upgrades!$T$9="Stellar Coupling",POWER(Upgrades!$U$9,H42),1)*IF(Upgrades!$T$10="Stellar Coupling",POWER(Upgrades!$U$10,I42),1)*IF(Upgrades!$T$11="Stellar Coupling",POWER(Upgrades!$U$11,J42),1)*IF(Upgrades!$T$12="Stellar Coupling",POWER(Upgrades!$U$12,K42),1))*Parameters!$B$10*Parameters!$B$11/60/AI42,0)</f>
        <v/>
      </c>
      <c r="AV42" s="32">
        <f>IFERROR(Upgrades!$H$9*(POWER(Upgrades!$P$6,E42)*POWER(Upgrades!$P$7,F42)*POWER(Upgrades!$P$8,G42)*POWER(Upgrades!$P$9,H42)*POWER(Upgrades!$P$10,I42)*POWER(Upgrades!$P$11,J42)*POWER(Upgrades!$P$12,K42))*(IF(Upgrades!$T$6="Magnetosphere",POWER(Upgrades!$U$6,E42),1)*IF(Upgrades!$T$7="Magnetosphere",POWER(Upgrades!$U$7,F42),1)*IF(Upgrades!$T$8="Magnetosphere",POWER(Upgrades!$U$8,G42),1)*IF(Upgrades!$T$10="Magnetosphere",POWER(Upgrades!$U$10,I42),1)*IF(Upgrades!$T$11="Magnetosphere",POWER(Upgrades!$U$11,J42),1)*IF(Upgrades!$T$12="Magnetosphere",POWER(Upgrades!$U$12,K42),1))/AJ42,0)</f>
        <v/>
      </c>
      <c r="AW42" s="32">
        <f>MAX(IF(I42&gt;0,0,IFERROR(0.25*N42/Upgrades!$C$10,0)),IF(J42&gt;0,0,IFERROR(0.5*((IF(G42=0,0,(Upgrades!$J$8+G42*Upgrades!$K$8)*POWER(Upgrades!$L$8,G42)))*(IF(Upgrades!$T$6="Stellar Coupling",POWER(Upgrades!$U$6,E42),1)*IF(Upgrades!$T$7="Stellar Coupling",POWER(Upgrades!$U$7,F42),1)*IF(Upgrades!$T$9="Stellar Coupling",POWER(Upgrades!$U$9,H42),1)*IF(Upgrades!$T$10="Stellar Coupling",POWER(Upgrades!$U$10,I42),1)*IF(Upgrades!$T$11="Stellar Coupling",POWER(Upgrades!$U$11,J42),1)*IF(Upgrades!$T$12="Stellar Coupling",POWER(Upgrades!$U$12,K42),1))*(POWER(Upgrades!$Q$6,E42)*POWER(Upgrades!$Q$7,F42)*POWER(Upgrades!$Q$8,G42)*POWER(Upgrades!$Q$9,H42)*POWER(Upgrades!$Q$10,I42)*POWER(Upgrades!$Q$11,J42)*POWER(Upgrades!$Q$12,K42))*Parameters!$B$10*Parameters!$B$11/60)/Upgrades!$C$11,0)),IF(K42&gt;0,0,IFERROR((1.0*(POWER(Upgrades!$P$6,E42)*POWER(Upgrades!$P$7,F42)*POWER(Upgrades!$P$8,G42)*POWER(Upgrades!$P$9,H42)*POWER(Upgrades!$P$10,I42)*POWER(Upgrades!$P$11,J42)*POWER(Upgrades!$P$12,K42))+0.20*M42*Parameters!$B$10*Parameters!$B$11/60)/Upgrades!$C$12,0)),IF(AND(ISNUMBER(AG42),AG42&gt;T42),AS42,0),IF(AND(ISNUMBER(AH42),AH42&gt;T42),AT42,0),IF(AND(ISNUMBER(AI42),AI42&gt;T42),AU42,0),IF(AND(ISNUMBER(AJ42),AJ42&gt;T42),AV42,0))</f>
        <v/>
      </c>
      <c r="AX42" s="29">
        <f>IF(AN42=1,"transition",IF(MIN(IF(AND(I42=0,ISNUMBER(AK42),AK42&lt;=T42),AK42,9E15),IF(AND(J42=0,ISNUMBER(AL42),AL42&lt;=T42),AL42,9E15),IF(AND(K42=0,ISNUMBER(AM42),AM42&lt;=T42),AM42,9E15))&lt;9E15,IF(AND(AND(I42=0,ISNUMBER(AK42),AK42&lt;=T42),AK42=MIN(IF(AND(I42=0,ISNUMBER(AK42),AK42&lt;=T42),AK42,9E15),IF(AND(J42=0,ISNUMBER(AL42),AL42&lt;=T42),AL42,9E15),IF(AND(K42=0,ISNUMBER(AM42),AM42&lt;=T42),AM42,9E15))),"OR",IF(AND(AND(J42=0,ISNUMBER(AL42),AL42&lt;=T42),AL42=MIN(IF(AND(I42=0,ISNUMBER(AK42),AK42&lt;=T42),AK42,9E15),IF(AND(J42=0,ISNUMBER(AL42),AL42&lt;=T42),AL42,9E15),IF(AND(K42=0,ISNUMBER(AM42),AM42&lt;=T42),AM42,9E15))),"HP","FP")),IF(AR42=TRUE,"",IF(MAX(IF(AND(NOT(AND(AO42=1,AN42&lt;&gt;1)),ISNUMBER(AG42),AG42&lt;=T42),AS42,0),IF(AND(NOT(AND(AO42=1,AN42&lt;&gt;1)),ISNUMBER(AH42),AH42&lt;=T42),AT42,0),IF(AND(NOT(AND(AO42=1,AN42&lt;&gt;1)),ISNUMBER(AI42),AI42&lt;=T42),AU42,0),IF(AND(ISNUMBER(AJ42),AJ42&lt;=T42),AV42,0))&lt;=0,"",IF(AND(IF(AND(NOT(AND(AO42=1,AN42&lt;&gt;1)),ISNUMBER(AG42),AG42&lt;=T42),AS42,0)&gt;0,IF(AND(NOT(AND(AO42=1,AN42&lt;&gt;1)),ISNUMBER(AG42),AG42&lt;=T42),AS42,0)=MAX(IF(AND(NOT(AND(AO42=1,AN42&lt;&gt;1)),ISNUMBER(AG42),AG42&lt;=T42),AS42,0),IF(AND(NOT(AND(AO42=1,AN42&lt;&gt;1)),ISNUMBER(AH42),AH42&lt;=T42),AT42,0),IF(AND(NOT(AND(AO42=1,AN42&lt;&gt;1)),ISNUMBER(AI42),AI42&lt;=T42),AU42,0),IF(AND(ISNUMBER(AJ42),AJ42&lt;=T42),AV42,0))),"SW",IF(AND(IF(AND(NOT(AND(AO42=1,AN42&lt;&gt;1)),ISNUMBER(AH42),AH42&lt;=T42),AT42,0)&gt;0,IF(AND(NOT(AND(AO42=1,AN42&lt;&gt;1)),ISNUMBER(AH42),AH42&lt;=T42),AT42,0)=MAX(IF(AND(NOT(AND(AO42=1,AN42&lt;&gt;1)),ISNUMBER(AG42),AG42&lt;=T42),AS42,0),IF(AND(NOT(AND(AO42=1,AN42&lt;&gt;1)),ISNUMBER(AH42),AH42&lt;=T42),AT42,0),IF(AND(NOT(AND(AO42=1,AN42&lt;&gt;1)),ISNUMBER(AI42),AI42&lt;=T42),AU42,0),IF(AND(ISNUMBER(AJ42),AJ42&lt;=T42),AV42,0))),"AB",IF(AND(IF(AND(NOT(AND(AO42=1,AN42&lt;&gt;1)),ISNUMBER(AI42),AI42&lt;=T42),AU42,0)&gt;0,IF(AND(NOT(AND(AO42=1,AN42&lt;&gt;1)),ISNUMBER(AI42),AI42&lt;=T42),AU42,0)=MAX(IF(AND(NOT(AND(AO42=1,AN42&lt;&gt;1)),ISNUMBER(AG42),AG42&lt;=T42),AS42,0),IF(AND(NOT(AND(AO42=1,AN42&lt;&gt;1)),ISNUMBER(AH42),AH42&lt;=T42),AT42,0),IF(AND(NOT(AND(AO42=1,AN42&lt;&gt;1)),ISNUMBER(AI42),AI42&lt;=T42),AU42,0),IF(AND(ISNUMBER(AJ42),AJ42&lt;=T42),AV42,0))),"SC","Mag")))))))</f>
        <v/>
      </c>
    </row>
    <row r="43">
      <c r="A43" s="26" t="n">
        <v>38</v>
      </c>
      <c r="B43" s="27">
        <f>A43*10/60</f>
        <v/>
      </c>
      <c r="C43" s="22">
        <f>X42</f>
        <v/>
      </c>
      <c r="D43" s="27">
        <f>D42+W42</f>
        <v/>
      </c>
      <c r="E43" s="26">
        <f>E42+IF(U42="SW",1,0)</f>
        <v/>
      </c>
      <c r="F43" s="26">
        <f>F42+IF(U42="AB",1,0)</f>
        <v/>
      </c>
      <c r="G43" s="26">
        <f>G42+IF(U42="SC",1,0)</f>
        <v/>
      </c>
      <c r="H43" s="26">
        <f>H42+IF(U42="Mag",1,0)</f>
        <v/>
      </c>
      <c r="I43" s="26">
        <f>MAX(I42,IF(U42="OR",1,0))</f>
        <v/>
      </c>
      <c r="J43" s="26">
        <f>MAX(J42,IF(U42="HP",1,0))</f>
        <v/>
      </c>
      <c r="K43" s="26">
        <f>MAX(K42,IF(U42="FP",1,0))</f>
        <v/>
      </c>
      <c r="L43" s="26">
        <f>MAX(L42,IF(U42="transition",1,0))</f>
        <v/>
      </c>
      <c r="M43" s="28">
        <f>(Parameters!$B$9+(IF(E43=0,0,(Upgrades!$J$6+E43*Upgrades!$K$6)*POWER(Upgrades!$L$6,E43)))*(IF(Upgrades!$T$7="Solar Wind",POWER(Upgrades!$U$7,F43),1)*IF(Upgrades!$T$8="Solar Wind",POWER(Upgrades!$U$8,G43),1)*IF(Upgrades!$T$9="Solar Wind",POWER(Upgrades!$U$9,H43),1)*IF(Upgrades!$T$10="Solar Wind",POWER(Upgrades!$U$10,I43),1)*IF(Upgrades!$T$11="Solar Wind",POWER(Upgrades!$U$11,J43),1)*IF(Upgrades!$T$12="Solar Wind",POWER(Upgrades!$U$12,K43),1))+(IF(F43=0,0,(Upgrades!$J$7+F43*Upgrades!$K$7)*POWER(Upgrades!$L$7,F43)))*(IF(Upgrades!$T$6="Asteroid Belt",POWER(Upgrades!$U$6,E43),1)*IF(Upgrades!$T$8="Asteroid Belt",POWER(Upgrades!$U$8,G43),1)*IF(Upgrades!$T$9="Asteroid Belt",POWER(Upgrades!$U$9,H43),1)*IF(Upgrades!$T$10="Asteroid Belt",POWER(Upgrades!$U$10,I43),1)*IF(Upgrades!$T$11="Asteroid Belt",POWER(Upgrades!$U$11,J43),1)*IF(Upgrades!$T$12="Asteroid Belt",POWER(Upgrades!$U$12,K43),1))+(IF(G43=0,0,(Upgrades!$J$8+G43*Upgrades!$K$8)*POWER(Upgrades!$L$8,G43)))*(IF(Upgrades!$T$6="Stellar Coupling",POWER(Upgrades!$U$6,E43),1)*IF(Upgrades!$T$7="Stellar Coupling",POWER(Upgrades!$U$7,F43),1)*IF(Upgrades!$T$9="Stellar Coupling",POWER(Upgrades!$U$9,H43),1)*IF(Upgrades!$T$10="Stellar Coupling",POWER(Upgrades!$U$10,I43),1)*IF(Upgrades!$T$11="Stellar Coupling",POWER(Upgrades!$U$11,J43),1)*IF(Upgrades!$T$12="Stellar Coupling",POWER(Upgrades!$U$12,K43),1))+(IF(H43=0,0,(Upgrades!$J$9+H43*Upgrades!$K$9)*POWER(Upgrades!$L$9,H43)))*(IF(Upgrades!$T$6="Magnetosphere",POWER(Upgrades!$U$6,E43),1)*IF(Upgrades!$T$7="Magnetosphere",POWER(Upgrades!$U$7,F43),1)*IF(Upgrades!$T$8="Magnetosphere",POWER(Upgrades!$U$8,G43),1)*IF(Upgrades!$T$10="Magnetosphere",POWER(Upgrades!$U$10,I43),1)*IF(Upgrades!$T$11="Magnetosphere",POWER(Upgrades!$U$11,J43),1)*IF(Upgrades!$T$12="Magnetosphere",POWER(Upgrades!$U$12,K43),1))+(IF(I43=0,0,(Upgrades!$J$10+I43*Upgrades!$K$10)*POWER(Upgrades!$L$10,I43)))*(IF(Upgrades!$T$6="Orbital Resonance",POWER(Upgrades!$U$6,E43),1)*IF(Upgrades!$T$7="Orbital Resonance",POWER(Upgrades!$U$7,F43),1)*IF(Upgrades!$T$8="Orbital Resonance",POWER(Upgrades!$U$8,G43),1)*IF(Upgrades!$T$9="Orbital Resonance",POWER(Upgrades!$U$9,H43),1)*IF(Upgrades!$T$11="Orbital Resonance",POWER(Upgrades!$U$11,J43),1)*IF(Upgrades!$T$12="Orbital Resonance",POWER(Upgrades!$U$12,K43),1))+(IF(J43=0,0,(Upgrades!$J$11+J43*Upgrades!$K$11)*POWER(Upgrades!$L$11,J43)))*(IF(Upgrades!$T$6="Heliopause",POWER(Upgrades!$U$6,E43),1)*IF(Upgrades!$T$7="Heliopause",POWER(Upgrades!$U$7,F43),1)*IF(Upgrades!$T$8="Heliopause",POWER(Upgrades!$U$8,G43),1)*IF(Upgrades!$T$9="Heliopause",POWER(Upgrades!$U$9,H43),1)*IF(Upgrades!$T$10="Heliopause",POWER(Upgrades!$U$10,I43),1)*IF(Upgrades!$T$12="Heliopause",POWER(Upgrades!$U$12,K43),1))+(IF(K43=0,0,(Upgrades!$J$12+K43*Upgrades!$K$12)*POWER(Upgrades!$L$12,K43)))*(IF(Upgrades!$T$6="First Photons",POWER(Upgrades!$U$6,E43),1)*IF(Upgrades!$T$7="First Photons",POWER(Upgrades!$U$7,F43),1)*IF(Upgrades!$T$8="First Photons",POWER(Upgrades!$U$8,G43),1)*IF(Upgrades!$T$9="First Photons",POWER(Upgrades!$U$9,H43),1)*IF(Upgrades!$T$10="First Photons",POWER(Upgrades!$U$10,I43),1)*IF(Upgrades!$T$11="First Photons",POWER(Upgrades!$U$11,J43),1)))*POWER(Upgrades!$Q$6,E43)*POWER(Upgrades!$Q$7,F43)*POWER(Upgrades!$Q$8,G43)*POWER(Upgrades!$Q$9,H43)*POWER(Upgrades!$Q$10,I43)*POWER(Upgrades!$Q$11,J43)*POWER(Upgrades!$Q$12,K43)</f>
        <v/>
      </c>
      <c r="N43" s="28">
        <f>((IF(E43=0,0,(Upgrades!$G$6+E43*Upgrades!$H$6)*POWER(Upgrades!$I$6,E43)))*(IF(Upgrades!$T$7="Solar Wind",POWER(Upgrades!$U$7,F43),1)*IF(Upgrades!$T$8="Solar Wind",POWER(Upgrades!$U$8,G43),1)*IF(Upgrades!$T$9="Solar Wind",POWER(Upgrades!$U$9,H43),1)*IF(Upgrades!$T$10="Solar Wind",POWER(Upgrades!$U$10,I43),1)*IF(Upgrades!$T$11="Solar Wind",POWER(Upgrades!$U$11,J43),1)*IF(Upgrades!$T$12="Solar Wind",POWER(Upgrades!$U$12,K43),1))+(IF(F43=0,0,(Upgrades!$G$7+F43*Upgrades!$H$7)*POWER(Upgrades!$I$7,F43)))*(IF(Upgrades!$T$6="Asteroid Belt",POWER(Upgrades!$U$6,E43),1)*IF(Upgrades!$T$8="Asteroid Belt",POWER(Upgrades!$U$8,G43),1)*IF(Upgrades!$T$9="Asteroid Belt",POWER(Upgrades!$U$9,H43),1)*IF(Upgrades!$T$10="Asteroid Belt",POWER(Upgrades!$U$10,I43),1)*IF(Upgrades!$T$11="Asteroid Belt",POWER(Upgrades!$U$11,J43),1)*IF(Upgrades!$T$12="Asteroid Belt",POWER(Upgrades!$U$12,K43),1))+(IF(G43=0,0,(Upgrades!$G$8+G43*Upgrades!$H$8)*POWER(Upgrades!$I$8,G43)))*(IF(Upgrades!$T$6="Stellar Coupling",POWER(Upgrades!$U$6,E43),1)*IF(Upgrades!$T$7="Stellar Coupling",POWER(Upgrades!$U$7,F43),1)*IF(Upgrades!$T$9="Stellar Coupling",POWER(Upgrades!$U$9,H43),1)*IF(Upgrades!$T$10="Stellar Coupling",POWER(Upgrades!$U$10,I43),1)*IF(Upgrades!$T$11="Stellar Coupling",POWER(Upgrades!$U$11,J43),1)*IF(Upgrades!$T$12="Stellar Coupling",POWER(Upgrades!$U$12,K43),1))+(IF(H43=0,0,(Upgrades!$G$9+H43*Upgrades!$H$9)*POWER(Upgrades!$I$9,H43)))*(IF(Upgrades!$T$6="Magnetosphere",POWER(Upgrades!$U$6,E43),1)*IF(Upgrades!$T$7="Magnetosphere",POWER(Upgrades!$U$7,F43),1)*IF(Upgrades!$T$8="Magnetosphere",POWER(Upgrades!$U$8,G43),1)*IF(Upgrades!$T$10="Magnetosphere",POWER(Upgrades!$U$10,I43),1)*IF(Upgrades!$T$11="Magnetosphere",POWER(Upgrades!$U$11,J43),1)*IF(Upgrades!$T$12="Magnetosphere",POWER(Upgrades!$U$12,K43),1))+(IF(I43=0,0,(Upgrades!$G$10+I43*Upgrades!$H$10)*POWER(Upgrades!$I$10,I43)))*(IF(Upgrades!$T$6="Orbital Resonance",POWER(Upgrades!$U$6,E43),1)*IF(Upgrades!$T$7="Orbital Resonance",POWER(Upgrades!$U$7,F43),1)*IF(Upgrades!$T$8="Orbital Resonance",POWER(Upgrades!$U$8,G43),1)*IF(Upgrades!$T$9="Orbital Resonance",POWER(Upgrades!$U$9,H43),1)*IF(Upgrades!$T$11="Orbital Resonance",POWER(Upgrades!$U$11,J43),1)*IF(Upgrades!$T$12="Orbital Resonance",POWER(Upgrades!$U$12,K43),1))+(IF(J43=0,0,(Upgrades!$G$11+J43*Upgrades!$H$11)*POWER(Upgrades!$I$11,J43)))*(IF(Upgrades!$T$6="Heliopause",POWER(Upgrades!$U$6,E43),1)*IF(Upgrades!$T$7="Heliopause",POWER(Upgrades!$U$7,F43),1)*IF(Upgrades!$T$8="Heliopause",POWER(Upgrades!$U$8,G43),1)*IF(Upgrades!$T$9="Heliopause",POWER(Upgrades!$U$9,H43),1)*IF(Upgrades!$T$10="Heliopause",POWER(Upgrades!$U$10,I43),1)*IF(Upgrades!$T$12="Heliopause",POWER(Upgrades!$U$12,K43),1))+(IF(K43=0,0,(Upgrades!$G$12+K43*Upgrades!$H$12)*POWER(Upgrades!$I$12,K43)))*(IF(Upgrades!$T$6="First Photons",POWER(Upgrades!$U$6,E43),1)*IF(Upgrades!$T$7="First Photons",POWER(Upgrades!$U$7,F43),1)*IF(Upgrades!$T$8="First Photons",POWER(Upgrades!$U$8,G43),1)*IF(Upgrades!$T$9="First Photons",POWER(Upgrades!$U$9,H43),1)*IF(Upgrades!$T$10="First Photons",POWER(Upgrades!$U$10,I43),1)*IF(Upgrades!$T$11="First Photons",POWER(Upgrades!$U$11,J43),1)))*POWER(Upgrades!$P$6,E43)*POWER(Upgrades!$P$7,F43)*POWER(Upgrades!$P$8,G43)*POWER(Upgrades!$P$9,H43)*POWER(Upgrades!$P$10,I43)*POWER(Upgrades!$P$11,J43)*POWER(Upgrades!$P$12,K43)</f>
        <v/>
      </c>
      <c r="O43" s="28">
        <f>((IF(E43=0,0,(Upgrades!$M$6+E43*Upgrades!$N$6)*POWER(Upgrades!$O$6,E43)))*(IF(Upgrades!$T$7="Solar Wind",POWER(Upgrades!$U$7,F43),1)*IF(Upgrades!$T$8="Solar Wind",POWER(Upgrades!$U$8,G43),1)*IF(Upgrades!$T$9="Solar Wind",POWER(Upgrades!$U$9,H43),1)*IF(Upgrades!$T$10="Solar Wind",POWER(Upgrades!$U$10,I43),1)*IF(Upgrades!$T$11="Solar Wind",POWER(Upgrades!$U$11,J43),1)*IF(Upgrades!$T$12="Solar Wind",POWER(Upgrades!$U$12,K43),1))+(IF(F43=0,0,(Upgrades!$M$7+F43*Upgrades!$N$7)*POWER(Upgrades!$O$7,F43)))*(IF(Upgrades!$T$6="Asteroid Belt",POWER(Upgrades!$U$6,E43),1)*IF(Upgrades!$T$8="Asteroid Belt",POWER(Upgrades!$U$8,G43),1)*IF(Upgrades!$T$9="Asteroid Belt",POWER(Upgrades!$U$9,H43),1)*IF(Upgrades!$T$10="Asteroid Belt",POWER(Upgrades!$U$10,I43),1)*IF(Upgrades!$T$11="Asteroid Belt",POWER(Upgrades!$U$11,J43),1)*IF(Upgrades!$T$12="Asteroid Belt",POWER(Upgrades!$U$12,K43),1))+(IF(G43=0,0,(Upgrades!$M$8+G43*Upgrades!$N$8)*POWER(Upgrades!$O$8,G43)))*(IF(Upgrades!$T$6="Stellar Coupling",POWER(Upgrades!$U$6,E43),1)*IF(Upgrades!$T$7="Stellar Coupling",POWER(Upgrades!$U$7,F43),1)*IF(Upgrades!$T$9="Stellar Coupling",POWER(Upgrades!$U$9,H43),1)*IF(Upgrades!$T$10="Stellar Coupling",POWER(Upgrades!$U$10,I43),1)*IF(Upgrades!$T$11="Stellar Coupling",POWER(Upgrades!$U$11,J43),1)*IF(Upgrades!$T$12="Stellar Coupling",POWER(Upgrades!$U$12,K43),1))+(IF(H43=0,0,(Upgrades!$M$9+H43*Upgrades!$N$9)*POWER(Upgrades!$O$9,H43)))*(IF(Upgrades!$T$6="Magnetosphere",POWER(Upgrades!$U$6,E43),1)*IF(Upgrades!$T$7="Magnetosphere",POWER(Upgrades!$U$7,F43),1)*IF(Upgrades!$T$8="Magnetosphere",POWER(Upgrades!$U$8,G43),1)*IF(Upgrades!$T$10="Magnetosphere",POWER(Upgrades!$U$10,I43),1)*IF(Upgrades!$T$11="Magnetosphere",POWER(Upgrades!$U$11,J43),1)*IF(Upgrades!$T$12="Magnetosphere",POWER(Upgrades!$U$12,K43),1))+(IF(I43=0,0,(Upgrades!$M$10+I43*Upgrades!$N$10)*POWER(Upgrades!$O$10,I43)))*(IF(Upgrades!$T$6="Orbital Resonance",POWER(Upgrades!$U$6,E43),1)*IF(Upgrades!$T$7="Orbital Resonance",POWER(Upgrades!$U$7,F43),1)*IF(Upgrades!$T$8="Orbital Resonance",POWER(Upgrades!$U$8,G43),1)*IF(Upgrades!$T$9="Orbital Resonance",POWER(Upgrades!$U$9,H43),1)*IF(Upgrades!$T$11="Orbital Resonance",POWER(Upgrades!$U$11,J43),1)*IF(Upgrades!$T$12="Orbital Resonance",POWER(Upgrades!$U$12,K43),1))+(IF(J43=0,0,(Upgrades!$M$11+J43*Upgrades!$N$11)*POWER(Upgrades!$O$11,J43)))*(IF(Upgrades!$T$6="Heliopause",POWER(Upgrades!$U$6,E43),1)*IF(Upgrades!$T$7="Heliopause",POWER(Upgrades!$U$7,F43),1)*IF(Upgrades!$T$8="Heliopause",POWER(Upgrades!$U$8,G43),1)*IF(Upgrades!$T$9="Heliopause",POWER(Upgrades!$U$9,H43),1)*IF(Upgrades!$T$10="Heliopause",POWER(Upgrades!$U$10,I43),1)*IF(Upgrades!$T$12="Heliopause",POWER(Upgrades!$U$12,K43),1))+(IF(K43=0,0,(Upgrades!$M$12+K43*Upgrades!$N$12)*POWER(Upgrades!$O$12,K43)))*(IF(Upgrades!$T$6="First Photons",POWER(Upgrades!$U$6,E43),1)*IF(Upgrades!$T$7="First Photons",POWER(Upgrades!$U$7,F43),1)*IF(Upgrades!$T$8="First Photons",POWER(Upgrades!$U$8,G43),1)*IF(Upgrades!$T$9="First Photons",POWER(Upgrades!$U$9,H43),1)*IF(Upgrades!$T$10="First Photons",POWER(Upgrades!$U$10,I43),1)*IF(Upgrades!$T$11="First Photons",POWER(Upgrades!$U$11,J43),1)))*POWER(Upgrades!$R$6,E43)*POWER(Upgrades!$R$7,F43)*POWER(Upgrades!$R$8,G43)*POWER(Upgrades!$R$9,H43)*POWER(Upgrades!$R$10,I43)*POWER(Upgrades!$R$11,J43)*POWER(Upgrades!$R$12,K43)</f>
        <v/>
      </c>
      <c r="P43" s="27">
        <f>IF(L43=1,0,M43*Parameters!$B$10/60*Parameters!$B$11*10)</f>
        <v/>
      </c>
      <c r="Q43" s="27">
        <f>IF(L43=1,0,O43*M43*10)</f>
        <v/>
      </c>
      <c r="R43" s="27">
        <f>IF(L43=1,0,N43*10)</f>
        <v/>
      </c>
      <c r="S43" s="27">
        <f>P43+Q43+R43</f>
        <v/>
      </c>
      <c r="T43" s="22">
        <f>C43+S43</f>
        <v/>
      </c>
      <c r="U43" s="33">
        <f>AX43</f>
        <v/>
      </c>
      <c r="V43" s="22">
        <f>IF(U43="",0,IF(U43="transition",0,IF(U43="SW",AG43,IF(U43="AB",AH43,IF(U43="SC",AI43,IF(U43="Mag",AJ43,IF(U43="OR",AK43,IF(U43="HP",AL43,IF(U43="FP",AM43,0)))))))))</f>
        <v/>
      </c>
      <c r="W43" s="27">
        <f>IF(U43="OR",Upgrades!$F$10,IF(U43="HP",Upgrades!$F$11,IF(U43="transition",-Parameters!$B$18,0)))</f>
        <v/>
      </c>
      <c r="X43" s="22">
        <f>T43-V43</f>
        <v/>
      </c>
      <c r="Y43" s="30">
        <f>M43*Parameters!$B$10/60*Parameters!$B$11+O43*M43+N43</f>
        <v/>
      </c>
      <c r="Z43" s="34">
        <f>IF(U43="transition","→ Tier 2 (Stellar Neighborhood)",IF(U43="FP","First Photons — light begins, system quickens",IF(U43="HP","Heliopause acquired",IF(U43="OR","Orbital Resonance — passive multiplier active",IF(AND(AO43=1,L43=0,AN43&lt;&gt;1),"Cohesion ready (waiting on completionist upgrades)","")))))</f>
        <v/>
      </c>
      <c r="AA43" s="27">
        <f>(IF(E43=0,0,(Upgrades!$G$6+E43*Upgrades!$H$6)*POWER(Upgrades!$I$6,E43)))*(IF(Upgrades!$T$7="Solar Wind",POWER(Upgrades!$U$7,F43),1)*IF(Upgrades!$T$8="Solar Wind",POWER(Upgrades!$U$8,G43),1)*IF(Upgrades!$T$9="Solar Wind",POWER(Upgrades!$U$9,H43),1)*IF(Upgrades!$T$10="Solar Wind",POWER(Upgrades!$U$10,I43),1)*IF(Upgrades!$T$11="Solar Wind",POWER(Upgrades!$U$11,J43),1)*IF(Upgrades!$T$12="Solar Wind",POWER(Upgrades!$U$12,K43),1))*POWER(Upgrades!$P$6,E43)*POWER(Upgrades!$P$7,F43)*POWER(Upgrades!$P$8,G43)*POWER(Upgrades!$P$9,H43)*POWER(Upgrades!$P$10,I43)*POWER(Upgrades!$P$11,J43)*POWER(Upgrades!$P$12,K43)*60</f>
        <v/>
      </c>
      <c r="AB43" s="27">
        <f>(IF(F43=0,0,(Upgrades!$G$7+F43*Upgrades!$H$7)*POWER(Upgrades!$I$7,F43)))*(IF(Upgrades!$T$6="Asteroid Belt",POWER(Upgrades!$U$6,E43),1)*IF(Upgrades!$T$8="Asteroid Belt",POWER(Upgrades!$U$8,G43),1)*IF(Upgrades!$T$9="Asteroid Belt",POWER(Upgrades!$U$9,H43),1)*IF(Upgrades!$T$10="Asteroid Belt",POWER(Upgrades!$U$10,I43),1)*IF(Upgrades!$T$11="Asteroid Belt",POWER(Upgrades!$U$11,J43),1)*IF(Upgrades!$T$12="Asteroid Belt",POWER(Upgrades!$U$12,K43),1))*POWER(Upgrades!$P$6,E43)*POWER(Upgrades!$P$7,F43)*POWER(Upgrades!$P$8,G43)*POWER(Upgrades!$P$9,H43)*POWER(Upgrades!$P$10,I43)*POWER(Upgrades!$P$11,J43)*POWER(Upgrades!$P$12,K43)*60</f>
        <v/>
      </c>
      <c r="AC43" s="27">
        <f>(IF(G43=0,0,(Upgrades!$J$8+G43*Upgrades!$K$8)*POWER(Upgrades!$L$8,G43)))*(IF(Upgrades!$T$6="Stellar Coupling",POWER(Upgrades!$U$6,E43),1)*IF(Upgrades!$T$7="Stellar Coupling",POWER(Upgrades!$U$7,F43),1)*IF(Upgrades!$T$9="Stellar Coupling",POWER(Upgrades!$U$9,H43),1)*IF(Upgrades!$T$10="Stellar Coupling",POWER(Upgrades!$U$10,I43),1)*IF(Upgrades!$T$11="Stellar Coupling",POWER(Upgrades!$U$11,J43),1)*IF(Upgrades!$T$12="Stellar Coupling",POWER(Upgrades!$U$12,K43),1))*POWER(Upgrades!$Q$6,E43)*POWER(Upgrades!$Q$7,F43)*POWER(Upgrades!$Q$8,G43)*POWER(Upgrades!$Q$9,H43)*POWER(Upgrades!$Q$10,I43)*POWER(Upgrades!$Q$11,J43)*POWER(Upgrades!$Q$12,K43)*Parameters!$B$10*Parameters!$B$11</f>
        <v/>
      </c>
      <c r="AD43" s="27">
        <f>(IF(H43=0,0,(Upgrades!$G$9+H43*Upgrades!$H$9)*POWER(Upgrades!$I$9,H43)))*(IF(Upgrades!$T$6="Magnetosphere",POWER(Upgrades!$U$6,E43),1)*IF(Upgrades!$T$7="Magnetosphere",POWER(Upgrades!$U$7,F43),1)*IF(Upgrades!$T$8="Magnetosphere",POWER(Upgrades!$U$8,G43),1)*IF(Upgrades!$T$10="Magnetosphere",POWER(Upgrades!$U$10,I43),1)*IF(Upgrades!$T$11="Magnetosphere",POWER(Upgrades!$U$11,J43),1)*IF(Upgrades!$T$12="Magnetosphere",POWER(Upgrades!$U$12,K43),1))*POWER(Upgrades!$P$6,E43)*POWER(Upgrades!$P$7,F43)*POWER(Upgrades!$P$8,G43)*POWER(Upgrades!$P$9,H43)*POWER(Upgrades!$P$10,I43)*POWER(Upgrades!$P$11,J43)*POWER(Upgrades!$P$12,K43)*60</f>
        <v/>
      </c>
      <c r="AE43" s="27">
        <f>(IF(K43=0,0,(Upgrades!$G$12+K43*Upgrades!$H$12)*POWER(Upgrades!$I$12,K43)))*(IF(Upgrades!$T$6="First Photons",POWER(Upgrades!$U$6,E43),1)*IF(Upgrades!$T$7="First Photons",POWER(Upgrades!$U$7,F43),1)*IF(Upgrades!$T$8="First Photons",POWER(Upgrades!$U$8,G43),1)*IF(Upgrades!$T$9="First Photons",POWER(Upgrades!$U$9,H43),1)*IF(Upgrades!$T$10="First Photons",POWER(Upgrades!$U$10,I43),1)*IF(Upgrades!$T$11="First Photons",POWER(Upgrades!$U$11,J43),1))*POWER(Upgrades!$P$6,E43)*POWER(Upgrades!$P$7,F43)*POWER(Upgrades!$P$8,G43)*POWER(Upgrades!$P$9,H43)*POWER(Upgrades!$P$10,I43)*POWER(Upgrades!$P$11,J43)*POWER(Upgrades!$P$12,K43)*60</f>
        <v/>
      </c>
      <c r="AF43" s="27">
        <f>Parameters!$B$9*POWER(Upgrades!$Q$6,E43)*POWER(Upgrades!$Q$7,F43)*POWER(Upgrades!$Q$8,G43)*POWER(Upgrades!$Q$9,H43)*POWER(Upgrades!$Q$10,I43)*POWER(Upgrades!$Q$11,J43)*POWER(Upgrades!$Q$12,K43)*(Parameters!$B$10*Parameters!$B$11+O43*60)</f>
        <v/>
      </c>
      <c r="AG43" s="22">
        <f>IF(E43&gt;=Upgrades!$E$6,"",Upgrades!$C$6*POWER(Upgrades!$D$6,E43))</f>
        <v/>
      </c>
      <c r="AH43" s="22">
        <f>IF(F43&gt;=Upgrades!$E$7,"",Upgrades!$C$7*POWER(Upgrades!$D$7,F43))</f>
        <v/>
      </c>
      <c r="AI43" s="22">
        <f>IF(G43&gt;=Upgrades!$E$8,"",Upgrades!$C$8*POWER(Upgrades!$D$8,G43))</f>
        <v/>
      </c>
      <c r="AJ43" s="22">
        <f>IF(H43&gt;=Upgrades!$E$9,"",Upgrades!$C$9*POWER(Upgrades!$D$9,H43))</f>
        <v/>
      </c>
      <c r="AK43" s="22">
        <f>IF(I43&gt;=Upgrades!$E$10,"",Upgrades!$C$10*POWER(Upgrades!$D$10,I43))</f>
        <v/>
      </c>
      <c r="AL43" s="22">
        <f>IF(J43&gt;=Upgrades!$E$11,"",Upgrades!$C$11*POWER(Upgrades!$D$11,J43))</f>
        <v/>
      </c>
      <c r="AM43" s="22">
        <f>IF(K43&gt;=Upgrades!$E$12,"",Upgrades!$C$12*POWER(Upgrades!$D$12,K43))</f>
        <v/>
      </c>
      <c r="AN43" s="26">
        <f>IF(AND(D43&gt;=Parameters!$B$18,(H43&gt;=Upgrades!$E$9)*(K43&gt;=Upgrades!$E$12)=1,L43=0),1,"")</f>
        <v/>
      </c>
      <c r="AO43" s="26">
        <f>IF(AND(D43&gt;=Parameters!$B$18,L43=0),1,"")</f>
        <v/>
      </c>
      <c r="AP43" s="22">
        <f>MIN(IF(ISNUMBER(AK43),AK43,9E15),IF(ISNUMBER(AL43),AL43,9E15),IF(ISNUMBER(AM43),AM43,9E15))</f>
        <v/>
      </c>
      <c r="AQ43" s="22">
        <f>MIN(IF(ISNUMBER(AG43),AG43,9E15),IF(ISNUMBER(AH43),AH43,9E15),IF(ISNUMBER(AI43),AI43,9E15),IF(ISNUMBER(AJ43),AJ43,9E15))</f>
        <v/>
      </c>
      <c r="AR43" s="29">
        <f>IF(AW43&gt;Parameters!$B$21*(MAX(IF(AND(NOT(AND(AO43=1,AN43&lt;&gt;1)),ISNUMBER(AG43),AG43&lt;=T43),AS43,0),IF(AND(NOT(AND(AO43=1,AN43&lt;&gt;1)),ISNUMBER(AH43),AH43&lt;=T43),AT43,0),IF(AND(NOT(AND(AO43=1,AN43&lt;&gt;1)),ISNUMBER(AI43),AI43&lt;=T43),AU43,0),IF(AND(ISNUMBER(AJ43),AJ43&lt;=T43),AV43,0))),TRUE,FALSE)</f>
        <v/>
      </c>
      <c r="AS43" s="32">
        <f>IFERROR(Upgrades!$H$6*(POWER(Upgrades!$P$6,E43)*POWER(Upgrades!$P$7,F43)*POWER(Upgrades!$P$8,G43)*POWER(Upgrades!$P$9,H43)*POWER(Upgrades!$P$10,I43)*POWER(Upgrades!$P$11,J43)*POWER(Upgrades!$P$12,K43))*(IF(Upgrades!$T$7="Solar Wind",POWER(Upgrades!$U$7,F43),1)*IF(Upgrades!$T$8="Solar Wind",POWER(Upgrades!$U$8,G43),1)*IF(Upgrades!$T$9="Solar Wind",POWER(Upgrades!$U$9,H43),1)*IF(Upgrades!$T$10="Solar Wind",POWER(Upgrades!$U$10,I43),1)*IF(Upgrades!$T$11="Solar Wind",POWER(Upgrades!$U$11,J43),1)*IF(Upgrades!$T$12="Solar Wind",POWER(Upgrades!$U$12,K43),1))/AG43,0)</f>
        <v/>
      </c>
      <c r="AT43" s="32">
        <f>IFERROR(Upgrades!$H$7*(POWER(Upgrades!$P$6,E43)*POWER(Upgrades!$P$7,F43)*POWER(Upgrades!$P$8,G43)*POWER(Upgrades!$P$9,H43)*POWER(Upgrades!$P$10,I43)*POWER(Upgrades!$P$11,J43)*POWER(Upgrades!$P$12,K43))*(IF(Upgrades!$T$6="Asteroid Belt",POWER(Upgrades!$U$6,E43),1)*IF(Upgrades!$T$8="Asteroid Belt",POWER(Upgrades!$U$8,G43),1)*IF(Upgrades!$T$9="Asteroid Belt",POWER(Upgrades!$U$9,H43),1)*IF(Upgrades!$T$10="Asteroid Belt",POWER(Upgrades!$U$10,I43),1)*IF(Upgrades!$T$11="Asteroid Belt",POWER(Upgrades!$U$11,J43),1)*IF(Upgrades!$T$12="Asteroid Belt",POWER(Upgrades!$U$12,K43),1))/AH43,0)</f>
        <v/>
      </c>
      <c r="AU43" s="32">
        <f>IFERROR(Upgrades!$K$8*(POWER(Upgrades!$Q$6,E43)*POWER(Upgrades!$Q$7,F43)*POWER(Upgrades!$Q$8,G43)*POWER(Upgrades!$Q$9,H43)*POWER(Upgrades!$Q$10,I43)*POWER(Upgrades!$Q$11,J43)*POWER(Upgrades!$Q$12,K43))*(IF(Upgrades!$T$6="Stellar Coupling",POWER(Upgrades!$U$6,E43),1)*IF(Upgrades!$T$7="Stellar Coupling",POWER(Upgrades!$U$7,F43),1)*IF(Upgrades!$T$9="Stellar Coupling",POWER(Upgrades!$U$9,H43),1)*IF(Upgrades!$T$10="Stellar Coupling",POWER(Upgrades!$U$10,I43),1)*IF(Upgrades!$T$11="Stellar Coupling",POWER(Upgrades!$U$11,J43),1)*IF(Upgrades!$T$12="Stellar Coupling",POWER(Upgrades!$U$12,K43),1))*Parameters!$B$10*Parameters!$B$11/60/AI43,0)</f>
        <v/>
      </c>
      <c r="AV43" s="32">
        <f>IFERROR(Upgrades!$H$9*(POWER(Upgrades!$P$6,E43)*POWER(Upgrades!$P$7,F43)*POWER(Upgrades!$P$8,G43)*POWER(Upgrades!$P$9,H43)*POWER(Upgrades!$P$10,I43)*POWER(Upgrades!$P$11,J43)*POWER(Upgrades!$P$12,K43))*(IF(Upgrades!$T$6="Magnetosphere",POWER(Upgrades!$U$6,E43),1)*IF(Upgrades!$T$7="Magnetosphere",POWER(Upgrades!$U$7,F43),1)*IF(Upgrades!$T$8="Magnetosphere",POWER(Upgrades!$U$8,G43),1)*IF(Upgrades!$T$10="Magnetosphere",POWER(Upgrades!$U$10,I43),1)*IF(Upgrades!$T$11="Magnetosphere",POWER(Upgrades!$U$11,J43),1)*IF(Upgrades!$T$12="Magnetosphere",POWER(Upgrades!$U$12,K43),1))/AJ43,0)</f>
        <v/>
      </c>
      <c r="AW43" s="32">
        <f>MAX(IF(I43&gt;0,0,IFERROR(0.25*N43/Upgrades!$C$10,0)),IF(J43&gt;0,0,IFERROR(0.5*((IF(G43=0,0,(Upgrades!$J$8+G43*Upgrades!$K$8)*POWER(Upgrades!$L$8,G43)))*(IF(Upgrades!$T$6="Stellar Coupling",POWER(Upgrades!$U$6,E43),1)*IF(Upgrades!$T$7="Stellar Coupling",POWER(Upgrades!$U$7,F43),1)*IF(Upgrades!$T$9="Stellar Coupling",POWER(Upgrades!$U$9,H43),1)*IF(Upgrades!$T$10="Stellar Coupling",POWER(Upgrades!$U$10,I43),1)*IF(Upgrades!$T$11="Stellar Coupling",POWER(Upgrades!$U$11,J43),1)*IF(Upgrades!$T$12="Stellar Coupling",POWER(Upgrades!$U$12,K43),1))*(POWER(Upgrades!$Q$6,E43)*POWER(Upgrades!$Q$7,F43)*POWER(Upgrades!$Q$8,G43)*POWER(Upgrades!$Q$9,H43)*POWER(Upgrades!$Q$10,I43)*POWER(Upgrades!$Q$11,J43)*POWER(Upgrades!$Q$12,K43))*Parameters!$B$10*Parameters!$B$11/60)/Upgrades!$C$11,0)),IF(K43&gt;0,0,IFERROR((1.0*(POWER(Upgrades!$P$6,E43)*POWER(Upgrades!$P$7,F43)*POWER(Upgrades!$P$8,G43)*POWER(Upgrades!$P$9,H43)*POWER(Upgrades!$P$10,I43)*POWER(Upgrades!$P$11,J43)*POWER(Upgrades!$P$12,K43))+0.20*M43*Parameters!$B$10*Parameters!$B$11/60)/Upgrades!$C$12,0)),IF(AND(ISNUMBER(AG43),AG43&gt;T43),AS43,0),IF(AND(ISNUMBER(AH43),AH43&gt;T43),AT43,0),IF(AND(ISNUMBER(AI43),AI43&gt;T43),AU43,0),IF(AND(ISNUMBER(AJ43),AJ43&gt;T43),AV43,0))</f>
        <v/>
      </c>
      <c r="AX43" s="29">
        <f>IF(AN43=1,"transition",IF(MIN(IF(AND(I43=0,ISNUMBER(AK43),AK43&lt;=T43),AK43,9E15),IF(AND(J43=0,ISNUMBER(AL43),AL43&lt;=T43),AL43,9E15),IF(AND(K43=0,ISNUMBER(AM43),AM43&lt;=T43),AM43,9E15))&lt;9E15,IF(AND(AND(I43=0,ISNUMBER(AK43),AK43&lt;=T43),AK43=MIN(IF(AND(I43=0,ISNUMBER(AK43),AK43&lt;=T43),AK43,9E15),IF(AND(J43=0,ISNUMBER(AL43),AL43&lt;=T43),AL43,9E15),IF(AND(K43=0,ISNUMBER(AM43),AM43&lt;=T43),AM43,9E15))),"OR",IF(AND(AND(J43=0,ISNUMBER(AL43),AL43&lt;=T43),AL43=MIN(IF(AND(I43=0,ISNUMBER(AK43),AK43&lt;=T43),AK43,9E15),IF(AND(J43=0,ISNUMBER(AL43),AL43&lt;=T43),AL43,9E15),IF(AND(K43=0,ISNUMBER(AM43),AM43&lt;=T43),AM43,9E15))),"HP","FP")),IF(AR43=TRUE,"",IF(MAX(IF(AND(NOT(AND(AO43=1,AN43&lt;&gt;1)),ISNUMBER(AG43),AG43&lt;=T43),AS43,0),IF(AND(NOT(AND(AO43=1,AN43&lt;&gt;1)),ISNUMBER(AH43),AH43&lt;=T43),AT43,0),IF(AND(NOT(AND(AO43=1,AN43&lt;&gt;1)),ISNUMBER(AI43),AI43&lt;=T43),AU43,0),IF(AND(ISNUMBER(AJ43),AJ43&lt;=T43),AV43,0))&lt;=0,"",IF(AND(IF(AND(NOT(AND(AO43=1,AN43&lt;&gt;1)),ISNUMBER(AG43),AG43&lt;=T43),AS43,0)&gt;0,IF(AND(NOT(AND(AO43=1,AN43&lt;&gt;1)),ISNUMBER(AG43),AG43&lt;=T43),AS43,0)=MAX(IF(AND(NOT(AND(AO43=1,AN43&lt;&gt;1)),ISNUMBER(AG43),AG43&lt;=T43),AS43,0),IF(AND(NOT(AND(AO43=1,AN43&lt;&gt;1)),ISNUMBER(AH43),AH43&lt;=T43),AT43,0),IF(AND(NOT(AND(AO43=1,AN43&lt;&gt;1)),ISNUMBER(AI43),AI43&lt;=T43),AU43,0),IF(AND(ISNUMBER(AJ43),AJ43&lt;=T43),AV43,0))),"SW",IF(AND(IF(AND(NOT(AND(AO43=1,AN43&lt;&gt;1)),ISNUMBER(AH43),AH43&lt;=T43),AT43,0)&gt;0,IF(AND(NOT(AND(AO43=1,AN43&lt;&gt;1)),ISNUMBER(AH43),AH43&lt;=T43),AT43,0)=MAX(IF(AND(NOT(AND(AO43=1,AN43&lt;&gt;1)),ISNUMBER(AG43),AG43&lt;=T43),AS43,0),IF(AND(NOT(AND(AO43=1,AN43&lt;&gt;1)),ISNUMBER(AH43),AH43&lt;=T43),AT43,0),IF(AND(NOT(AND(AO43=1,AN43&lt;&gt;1)),ISNUMBER(AI43),AI43&lt;=T43),AU43,0),IF(AND(ISNUMBER(AJ43),AJ43&lt;=T43),AV43,0))),"AB",IF(AND(IF(AND(NOT(AND(AO43=1,AN43&lt;&gt;1)),ISNUMBER(AI43),AI43&lt;=T43),AU43,0)&gt;0,IF(AND(NOT(AND(AO43=1,AN43&lt;&gt;1)),ISNUMBER(AI43),AI43&lt;=T43),AU43,0)=MAX(IF(AND(NOT(AND(AO43=1,AN43&lt;&gt;1)),ISNUMBER(AG43),AG43&lt;=T43),AS43,0),IF(AND(NOT(AND(AO43=1,AN43&lt;&gt;1)),ISNUMBER(AH43),AH43&lt;=T43),AT43,0),IF(AND(NOT(AND(AO43=1,AN43&lt;&gt;1)),ISNUMBER(AI43),AI43&lt;=T43),AU43,0),IF(AND(ISNUMBER(AJ43),AJ43&lt;=T43),AV43,0))),"SC","Mag")))))))</f>
        <v/>
      </c>
    </row>
    <row r="44">
      <c r="A44" s="26" t="n">
        <v>39</v>
      </c>
      <c r="B44" s="27">
        <f>A44*10/60</f>
        <v/>
      </c>
      <c r="C44" s="22">
        <f>X43</f>
        <v/>
      </c>
      <c r="D44" s="27">
        <f>D43+W43</f>
        <v/>
      </c>
      <c r="E44" s="26">
        <f>E43+IF(U43="SW",1,0)</f>
        <v/>
      </c>
      <c r="F44" s="26">
        <f>F43+IF(U43="AB",1,0)</f>
        <v/>
      </c>
      <c r="G44" s="26">
        <f>G43+IF(U43="SC",1,0)</f>
        <v/>
      </c>
      <c r="H44" s="26">
        <f>H43+IF(U43="Mag",1,0)</f>
        <v/>
      </c>
      <c r="I44" s="26">
        <f>MAX(I43,IF(U43="OR",1,0))</f>
        <v/>
      </c>
      <c r="J44" s="26">
        <f>MAX(J43,IF(U43="HP",1,0))</f>
        <v/>
      </c>
      <c r="K44" s="26">
        <f>MAX(K43,IF(U43="FP",1,0))</f>
        <v/>
      </c>
      <c r="L44" s="26">
        <f>MAX(L43,IF(U43="transition",1,0))</f>
        <v/>
      </c>
      <c r="M44" s="28">
        <f>(Parameters!$B$9+(IF(E44=0,0,(Upgrades!$J$6+E44*Upgrades!$K$6)*POWER(Upgrades!$L$6,E44)))*(IF(Upgrades!$T$7="Solar Wind",POWER(Upgrades!$U$7,F44),1)*IF(Upgrades!$T$8="Solar Wind",POWER(Upgrades!$U$8,G44),1)*IF(Upgrades!$T$9="Solar Wind",POWER(Upgrades!$U$9,H44),1)*IF(Upgrades!$T$10="Solar Wind",POWER(Upgrades!$U$10,I44),1)*IF(Upgrades!$T$11="Solar Wind",POWER(Upgrades!$U$11,J44),1)*IF(Upgrades!$T$12="Solar Wind",POWER(Upgrades!$U$12,K44),1))+(IF(F44=0,0,(Upgrades!$J$7+F44*Upgrades!$K$7)*POWER(Upgrades!$L$7,F44)))*(IF(Upgrades!$T$6="Asteroid Belt",POWER(Upgrades!$U$6,E44),1)*IF(Upgrades!$T$8="Asteroid Belt",POWER(Upgrades!$U$8,G44),1)*IF(Upgrades!$T$9="Asteroid Belt",POWER(Upgrades!$U$9,H44),1)*IF(Upgrades!$T$10="Asteroid Belt",POWER(Upgrades!$U$10,I44),1)*IF(Upgrades!$T$11="Asteroid Belt",POWER(Upgrades!$U$11,J44),1)*IF(Upgrades!$T$12="Asteroid Belt",POWER(Upgrades!$U$12,K44),1))+(IF(G44=0,0,(Upgrades!$J$8+G44*Upgrades!$K$8)*POWER(Upgrades!$L$8,G44)))*(IF(Upgrades!$T$6="Stellar Coupling",POWER(Upgrades!$U$6,E44),1)*IF(Upgrades!$T$7="Stellar Coupling",POWER(Upgrades!$U$7,F44),1)*IF(Upgrades!$T$9="Stellar Coupling",POWER(Upgrades!$U$9,H44),1)*IF(Upgrades!$T$10="Stellar Coupling",POWER(Upgrades!$U$10,I44),1)*IF(Upgrades!$T$11="Stellar Coupling",POWER(Upgrades!$U$11,J44),1)*IF(Upgrades!$T$12="Stellar Coupling",POWER(Upgrades!$U$12,K44),1))+(IF(H44=0,0,(Upgrades!$J$9+H44*Upgrades!$K$9)*POWER(Upgrades!$L$9,H44)))*(IF(Upgrades!$T$6="Magnetosphere",POWER(Upgrades!$U$6,E44),1)*IF(Upgrades!$T$7="Magnetosphere",POWER(Upgrades!$U$7,F44),1)*IF(Upgrades!$T$8="Magnetosphere",POWER(Upgrades!$U$8,G44),1)*IF(Upgrades!$T$10="Magnetosphere",POWER(Upgrades!$U$10,I44),1)*IF(Upgrades!$T$11="Magnetosphere",POWER(Upgrades!$U$11,J44),1)*IF(Upgrades!$T$12="Magnetosphere",POWER(Upgrades!$U$12,K44),1))+(IF(I44=0,0,(Upgrades!$J$10+I44*Upgrades!$K$10)*POWER(Upgrades!$L$10,I44)))*(IF(Upgrades!$T$6="Orbital Resonance",POWER(Upgrades!$U$6,E44),1)*IF(Upgrades!$T$7="Orbital Resonance",POWER(Upgrades!$U$7,F44),1)*IF(Upgrades!$T$8="Orbital Resonance",POWER(Upgrades!$U$8,G44),1)*IF(Upgrades!$T$9="Orbital Resonance",POWER(Upgrades!$U$9,H44),1)*IF(Upgrades!$T$11="Orbital Resonance",POWER(Upgrades!$U$11,J44),1)*IF(Upgrades!$T$12="Orbital Resonance",POWER(Upgrades!$U$12,K44),1))+(IF(J44=0,0,(Upgrades!$J$11+J44*Upgrades!$K$11)*POWER(Upgrades!$L$11,J44)))*(IF(Upgrades!$T$6="Heliopause",POWER(Upgrades!$U$6,E44),1)*IF(Upgrades!$T$7="Heliopause",POWER(Upgrades!$U$7,F44),1)*IF(Upgrades!$T$8="Heliopause",POWER(Upgrades!$U$8,G44),1)*IF(Upgrades!$T$9="Heliopause",POWER(Upgrades!$U$9,H44),1)*IF(Upgrades!$T$10="Heliopause",POWER(Upgrades!$U$10,I44),1)*IF(Upgrades!$T$12="Heliopause",POWER(Upgrades!$U$12,K44),1))+(IF(K44=0,0,(Upgrades!$J$12+K44*Upgrades!$K$12)*POWER(Upgrades!$L$12,K44)))*(IF(Upgrades!$T$6="First Photons",POWER(Upgrades!$U$6,E44),1)*IF(Upgrades!$T$7="First Photons",POWER(Upgrades!$U$7,F44),1)*IF(Upgrades!$T$8="First Photons",POWER(Upgrades!$U$8,G44),1)*IF(Upgrades!$T$9="First Photons",POWER(Upgrades!$U$9,H44),1)*IF(Upgrades!$T$10="First Photons",POWER(Upgrades!$U$10,I44),1)*IF(Upgrades!$T$11="First Photons",POWER(Upgrades!$U$11,J44),1)))*POWER(Upgrades!$Q$6,E44)*POWER(Upgrades!$Q$7,F44)*POWER(Upgrades!$Q$8,G44)*POWER(Upgrades!$Q$9,H44)*POWER(Upgrades!$Q$10,I44)*POWER(Upgrades!$Q$11,J44)*POWER(Upgrades!$Q$12,K44)</f>
        <v/>
      </c>
      <c r="N44" s="28">
        <f>((IF(E44=0,0,(Upgrades!$G$6+E44*Upgrades!$H$6)*POWER(Upgrades!$I$6,E44)))*(IF(Upgrades!$T$7="Solar Wind",POWER(Upgrades!$U$7,F44),1)*IF(Upgrades!$T$8="Solar Wind",POWER(Upgrades!$U$8,G44),1)*IF(Upgrades!$T$9="Solar Wind",POWER(Upgrades!$U$9,H44),1)*IF(Upgrades!$T$10="Solar Wind",POWER(Upgrades!$U$10,I44),1)*IF(Upgrades!$T$11="Solar Wind",POWER(Upgrades!$U$11,J44),1)*IF(Upgrades!$T$12="Solar Wind",POWER(Upgrades!$U$12,K44),1))+(IF(F44=0,0,(Upgrades!$G$7+F44*Upgrades!$H$7)*POWER(Upgrades!$I$7,F44)))*(IF(Upgrades!$T$6="Asteroid Belt",POWER(Upgrades!$U$6,E44),1)*IF(Upgrades!$T$8="Asteroid Belt",POWER(Upgrades!$U$8,G44),1)*IF(Upgrades!$T$9="Asteroid Belt",POWER(Upgrades!$U$9,H44),1)*IF(Upgrades!$T$10="Asteroid Belt",POWER(Upgrades!$U$10,I44),1)*IF(Upgrades!$T$11="Asteroid Belt",POWER(Upgrades!$U$11,J44),1)*IF(Upgrades!$T$12="Asteroid Belt",POWER(Upgrades!$U$12,K44),1))+(IF(G44=0,0,(Upgrades!$G$8+G44*Upgrades!$H$8)*POWER(Upgrades!$I$8,G44)))*(IF(Upgrades!$T$6="Stellar Coupling",POWER(Upgrades!$U$6,E44),1)*IF(Upgrades!$T$7="Stellar Coupling",POWER(Upgrades!$U$7,F44),1)*IF(Upgrades!$T$9="Stellar Coupling",POWER(Upgrades!$U$9,H44),1)*IF(Upgrades!$T$10="Stellar Coupling",POWER(Upgrades!$U$10,I44),1)*IF(Upgrades!$T$11="Stellar Coupling",POWER(Upgrades!$U$11,J44),1)*IF(Upgrades!$T$12="Stellar Coupling",POWER(Upgrades!$U$12,K44),1))+(IF(H44=0,0,(Upgrades!$G$9+H44*Upgrades!$H$9)*POWER(Upgrades!$I$9,H44)))*(IF(Upgrades!$T$6="Magnetosphere",POWER(Upgrades!$U$6,E44),1)*IF(Upgrades!$T$7="Magnetosphere",POWER(Upgrades!$U$7,F44),1)*IF(Upgrades!$T$8="Magnetosphere",POWER(Upgrades!$U$8,G44),1)*IF(Upgrades!$T$10="Magnetosphere",POWER(Upgrades!$U$10,I44),1)*IF(Upgrades!$T$11="Magnetosphere",POWER(Upgrades!$U$11,J44),1)*IF(Upgrades!$T$12="Magnetosphere",POWER(Upgrades!$U$12,K44),1))+(IF(I44=0,0,(Upgrades!$G$10+I44*Upgrades!$H$10)*POWER(Upgrades!$I$10,I44)))*(IF(Upgrades!$T$6="Orbital Resonance",POWER(Upgrades!$U$6,E44),1)*IF(Upgrades!$T$7="Orbital Resonance",POWER(Upgrades!$U$7,F44),1)*IF(Upgrades!$T$8="Orbital Resonance",POWER(Upgrades!$U$8,G44),1)*IF(Upgrades!$T$9="Orbital Resonance",POWER(Upgrades!$U$9,H44),1)*IF(Upgrades!$T$11="Orbital Resonance",POWER(Upgrades!$U$11,J44),1)*IF(Upgrades!$T$12="Orbital Resonance",POWER(Upgrades!$U$12,K44),1))+(IF(J44=0,0,(Upgrades!$G$11+J44*Upgrades!$H$11)*POWER(Upgrades!$I$11,J44)))*(IF(Upgrades!$T$6="Heliopause",POWER(Upgrades!$U$6,E44),1)*IF(Upgrades!$T$7="Heliopause",POWER(Upgrades!$U$7,F44),1)*IF(Upgrades!$T$8="Heliopause",POWER(Upgrades!$U$8,G44),1)*IF(Upgrades!$T$9="Heliopause",POWER(Upgrades!$U$9,H44),1)*IF(Upgrades!$T$10="Heliopause",POWER(Upgrades!$U$10,I44),1)*IF(Upgrades!$T$12="Heliopause",POWER(Upgrades!$U$12,K44),1))+(IF(K44=0,0,(Upgrades!$G$12+K44*Upgrades!$H$12)*POWER(Upgrades!$I$12,K44)))*(IF(Upgrades!$T$6="First Photons",POWER(Upgrades!$U$6,E44),1)*IF(Upgrades!$T$7="First Photons",POWER(Upgrades!$U$7,F44),1)*IF(Upgrades!$T$8="First Photons",POWER(Upgrades!$U$8,G44),1)*IF(Upgrades!$T$9="First Photons",POWER(Upgrades!$U$9,H44),1)*IF(Upgrades!$T$10="First Photons",POWER(Upgrades!$U$10,I44),1)*IF(Upgrades!$T$11="First Photons",POWER(Upgrades!$U$11,J44),1)))*POWER(Upgrades!$P$6,E44)*POWER(Upgrades!$P$7,F44)*POWER(Upgrades!$P$8,G44)*POWER(Upgrades!$P$9,H44)*POWER(Upgrades!$P$10,I44)*POWER(Upgrades!$P$11,J44)*POWER(Upgrades!$P$12,K44)</f>
        <v/>
      </c>
      <c r="O44" s="28">
        <f>((IF(E44=0,0,(Upgrades!$M$6+E44*Upgrades!$N$6)*POWER(Upgrades!$O$6,E44)))*(IF(Upgrades!$T$7="Solar Wind",POWER(Upgrades!$U$7,F44),1)*IF(Upgrades!$T$8="Solar Wind",POWER(Upgrades!$U$8,G44),1)*IF(Upgrades!$T$9="Solar Wind",POWER(Upgrades!$U$9,H44),1)*IF(Upgrades!$T$10="Solar Wind",POWER(Upgrades!$U$10,I44),1)*IF(Upgrades!$T$11="Solar Wind",POWER(Upgrades!$U$11,J44),1)*IF(Upgrades!$T$12="Solar Wind",POWER(Upgrades!$U$12,K44),1))+(IF(F44=0,0,(Upgrades!$M$7+F44*Upgrades!$N$7)*POWER(Upgrades!$O$7,F44)))*(IF(Upgrades!$T$6="Asteroid Belt",POWER(Upgrades!$U$6,E44),1)*IF(Upgrades!$T$8="Asteroid Belt",POWER(Upgrades!$U$8,G44),1)*IF(Upgrades!$T$9="Asteroid Belt",POWER(Upgrades!$U$9,H44),1)*IF(Upgrades!$T$10="Asteroid Belt",POWER(Upgrades!$U$10,I44),1)*IF(Upgrades!$T$11="Asteroid Belt",POWER(Upgrades!$U$11,J44),1)*IF(Upgrades!$T$12="Asteroid Belt",POWER(Upgrades!$U$12,K44),1))+(IF(G44=0,0,(Upgrades!$M$8+G44*Upgrades!$N$8)*POWER(Upgrades!$O$8,G44)))*(IF(Upgrades!$T$6="Stellar Coupling",POWER(Upgrades!$U$6,E44),1)*IF(Upgrades!$T$7="Stellar Coupling",POWER(Upgrades!$U$7,F44),1)*IF(Upgrades!$T$9="Stellar Coupling",POWER(Upgrades!$U$9,H44),1)*IF(Upgrades!$T$10="Stellar Coupling",POWER(Upgrades!$U$10,I44),1)*IF(Upgrades!$T$11="Stellar Coupling",POWER(Upgrades!$U$11,J44),1)*IF(Upgrades!$T$12="Stellar Coupling",POWER(Upgrades!$U$12,K44),1))+(IF(H44=0,0,(Upgrades!$M$9+H44*Upgrades!$N$9)*POWER(Upgrades!$O$9,H44)))*(IF(Upgrades!$T$6="Magnetosphere",POWER(Upgrades!$U$6,E44),1)*IF(Upgrades!$T$7="Magnetosphere",POWER(Upgrades!$U$7,F44),1)*IF(Upgrades!$T$8="Magnetosphere",POWER(Upgrades!$U$8,G44),1)*IF(Upgrades!$T$10="Magnetosphere",POWER(Upgrades!$U$10,I44),1)*IF(Upgrades!$T$11="Magnetosphere",POWER(Upgrades!$U$11,J44),1)*IF(Upgrades!$T$12="Magnetosphere",POWER(Upgrades!$U$12,K44),1))+(IF(I44=0,0,(Upgrades!$M$10+I44*Upgrades!$N$10)*POWER(Upgrades!$O$10,I44)))*(IF(Upgrades!$T$6="Orbital Resonance",POWER(Upgrades!$U$6,E44),1)*IF(Upgrades!$T$7="Orbital Resonance",POWER(Upgrades!$U$7,F44),1)*IF(Upgrades!$T$8="Orbital Resonance",POWER(Upgrades!$U$8,G44),1)*IF(Upgrades!$T$9="Orbital Resonance",POWER(Upgrades!$U$9,H44),1)*IF(Upgrades!$T$11="Orbital Resonance",POWER(Upgrades!$U$11,J44),1)*IF(Upgrades!$T$12="Orbital Resonance",POWER(Upgrades!$U$12,K44),1))+(IF(J44=0,0,(Upgrades!$M$11+J44*Upgrades!$N$11)*POWER(Upgrades!$O$11,J44)))*(IF(Upgrades!$T$6="Heliopause",POWER(Upgrades!$U$6,E44),1)*IF(Upgrades!$T$7="Heliopause",POWER(Upgrades!$U$7,F44),1)*IF(Upgrades!$T$8="Heliopause",POWER(Upgrades!$U$8,G44),1)*IF(Upgrades!$T$9="Heliopause",POWER(Upgrades!$U$9,H44),1)*IF(Upgrades!$T$10="Heliopause",POWER(Upgrades!$U$10,I44),1)*IF(Upgrades!$T$12="Heliopause",POWER(Upgrades!$U$12,K44),1))+(IF(K44=0,0,(Upgrades!$M$12+K44*Upgrades!$N$12)*POWER(Upgrades!$O$12,K44)))*(IF(Upgrades!$T$6="First Photons",POWER(Upgrades!$U$6,E44),1)*IF(Upgrades!$T$7="First Photons",POWER(Upgrades!$U$7,F44),1)*IF(Upgrades!$T$8="First Photons",POWER(Upgrades!$U$8,G44),1)*IF(Upgrades!$T$9="First Photons",POWER(Upgrades!$U$9,H44),1)*IF(Upgrades!$T$10="First Photons",POWER(Upgrades!$U$10,I44),1)*IF(Upgrades!$T$11="First Photons",POWER(Upgrades!$U$11,J44),1)))*POWER(Upgrades!$R$6,E44)*POWER(Upgrades!$R$7,F44)*POWER(Upgrades!$R$8,G44)*POWER(Upgrades!$R$9,H44)*POWER(Upgrades!$R$10,I44)*POWER(Upgrades!$R$11,J44)*POWER(Upgrades!$R$12,K44)</f>
        <v/>
      </c>
      <c r="P44" s="27">
        <f>IF(L44=1,0,M44*Parameters!$B$10/60*Parameters!$B$11*10)</f>
        <v/>
      </c>
      <c r="Q44" s="27">
        <f>IF(L44=1,0,O44*M44*10)</f>
        <v/>
      </c>
      <c r="R44" s="27">
        <f>IF(L44=1,0,N44*10)</f>
        <v/>
      </c>
      <c r="S44" s="27">
        <f>P44+Q44+R44</f>
        <v/>
      </c>
      <c r="T44" s="22">
        <f>C44+S44</f>
        <v/>
      </c>
      <c r="U44" s="33">
        <f>AX44</f>
        <v/>
      </c>
      <c r="V44" s="22">
        <f>IF(U44="",0,IF(U44="transition",0,IF(U44="SW",AG44,IF(U44="AB",AH44,IF(U44="SC",AI44,IF(U44="Mag",AJ44,IF(U44="OR",AK44,IF(U44="HP",AL44,IF(U44="FP",AM44,0)))))))))</f>
        <v/>
      </c>
      <c r="W44" s="27">
        <f>IF(U44="OR",Upgrades!$F$10,IF(U44="HP",Upgrades!$F$11,IF(U44="transition",-Parameters!$B$18,0)))</f>
        <v/>
      </c>
      <c r="X44" s="22">
        <f>T44-V44</f>
        <v/>
      </c>
      <c r="Y44" s="30">
        <f>M44*Parameters!$B$10/60*Parameters!$B$11+O44*M44+N44</f>
        <v/>
      </c>
      <c r="Z44" s="34">
        <f>IF(U44="transition","→ Tier 2 (Stellar Neighborhood)",IF(U44="FP","First Photons — light begins, system quickens",IF(U44="HP","Heliopause acquired",IF(U44="OR","Orbital Resonance — passive multiplier active",IF(AND(AO44=1,L44=0,AN44&lt;&gt;1),"Cohesion ready (waiting on completionist upgrades)","")))))</f>
        <v/>
      </c>
      <c r="AA44" s="27">
        <f>(IF(E44=0,0,(Upgrades!$G$6+E44*Upgrades!$H$6)*POWER(Upgrades!$I$6,E44)))*(IF(Upgrades!$T$7="Solar Wind",POWER(Upgrades!$U$7,F44),1)*IF(Upgrades!$T$8="Solar Wind",POWER(Upgrades!$U$8,G44),1)*IF(Upgrades!$T$9="Solar Wind",POWER(Upgrades!$U$9,H44),1)*IF(Upgrades!$T$10="Solar Wind",POWER(Upgrades!$U$10,I44),1)*IF(Upgrades!$T$11="Solar Wind",POWER(Upgrades!$U$11,J44),1)*IF(Upgrades!$T$12="Solar Wind",POWER(Upgrades!$U$12,K44),1))*POWER(Upgrades!$P$6,E44)*POWER(Upgrades!$P$7,F44)*POWER(Upgrades!$P$8,G44)*POWER(Upgrades!$P$9,H44)*POWER(Upgrades!$P$10,I44)*POWER(Upgrades!$P$11,J44)*POWER(Upgrades!$P$12,K44)*60</f>
        <v/>
      </c>
      <c r="AB44" s="27">
        <f>(IF(F44=0,0,(Upgrades!$G$7+F44*Upgrades!$H$7)*POWER(Upgrades!$I$7,F44)))*(IF(Upgrades!$T$6="Asteroid Belt",POWER(Upgrades!$U$6,E44),1)*IF(Upgrades!$T$8="Asteroid Belt",POWER(Upgrades!$U$8,G44),1)*IF(Upgrades!$T$9="Asteroid Belt",POWER(Upgrades!$U$9,H44),1)*IF(Upgrades!$T$10="Asteroid Belt",POWER(Upgrades!$U$10,I44),1)*IF(Upgrades!$T$11="Asteroid Belt",POWER(Upgrades!$U$11,J44),1)*IF(Upgrades!$T$12="Asteroid Belt",POWER(Upgrades!$U$12,K44),1))*POWER(Upgrades!$P$6,E44)*POWER(Upgrades!$P$7,F44)*POWER(Upgrades!$P$8,G44)*POWER(Upgrades!$P$9,H44)*POWER(Upgrades!$P$10,I44)*POWER(Upgrades!$P$11,J44)*POWER(Upgrades!$P$12,K44)*60</f>
        <v/>
      </c>
      <c r="AC44" s="27">
        <f>(IF(G44=0,0,(Upgrades!$J$8+G44*Upgrades!$K$8)*POWER(Upgrades!$L$8,G44)))*(IF(Upgrades!$T$6="Stellar Coupling",POWER(Upgrades!$U$6,E44),1)*IF(Upgrades!$T$7="Stellar Coupling",POWER(Upgrades!$U$7,F44),1)*IF(Upgrades!$T$9="Stellar Coupling",POWER(Upgrades!$U$9,H44),1)*IF(Upgrades!$T$10="Stellar Coupling",POWER(Upgrades!$U$10,I44),1)*IF(Upgrades!$T$11="Stellar Coupling",POWER(Upgrades!$U$11,J44),1)*IF(Upgrades!$T$12="Stellar Coupling",POWER(Upgrades!$U$12,K44),1))*POWER(Upgrades!$Q$6,E44)*POWER(Upgrades!$Q$7,F44)*POWER(Upgrades!$Q$8,G44)*POWER(Upgrades!$Q$9,H44)*POWER(Upgrades!$Q$10,I44)*POWER(Upgrades!$Q$11,J44)*POWER(Upgrades!$Q$12,K44)*Parameters!$B$10*Parameters!$B$11</f>
        <v/>
      </c>
      <c r="AD44" s="27">
        <f>(IF(H44=0,0,(Upgrades!$G$9+H44*Upgrades!$H$9)*POWER(Upgrades!$I$9,H44)))*(IF(Upgrades!$T$6="Magnetosphere",POWER(Upgrades!$U$6,E44),1)*IF(Upgrades!$T$7="Magnetosphere",POWER(Upgrades!$U$7,F44),1)*IF(Upgrades!$T$8="Magnetosphere",POWER(Upgrades!$U$8,G44),1)*IF(Upgrades!$T$10="Magnetosphere",POWER(Upgrades!$U$10,I44),1)*IF(Upgrades!$T$11="Magnetosphere",POWER(Upgrades!$U$11,J44),1)*IF(Upgrades!$T$12="Magnetosphere",POWER(Upgrades!$U$12,K44),1))*POWER(Upgrades!$P$6,E44)*POWER(Upgrades!$P$7,F44)*POWER(Upgrades!$P$8,G44)*POWER(Upgrades!$P$9,H44)*POWER(Upgrades!$P$10,I44)*POWER(Upgrades!$P$11,J44)*POWER(Upgrades!$P$12,K44)*60</f>
        <v/>
      </c>
      <c r="AE44" s="27">
        <f>(IF(K44=0,0,(Upgrades!$G$12+K44*Upgrades!$H$12)*POWER(Upgrades!$I$12,K44)))*(IF(Upgrades!$T$6="First Photons",POWER(Upgrades!$U$6,E44),1)*IF(Upgrades!$T$7="First Photons",POWER(Upgrades!$U$7,F44),1)*IF(Upgrades!$T$8="First Photons",POWER(Upgrades!$U$8,G44),1)*IF(Upgrades!$T$9="First Photons",POWER(Upgrades!$U$9,H44),1)*IF(Upgrades!$T$10="First Photons",POWER(Upgrades!$U$10,I44),1)*IF(Upgrades!$T$11="First Photons",POWER(Upgrades!$U$11,J44),1))*POWER(Upgrades!$P$6,E44)*POWER(Upgrades!$P$7,F44)*POWER(Upgrades!$P$8,G44)*POWER(Upgrades!$P$9,H44)*POWER(Upgrades!$P$10,I44)*POWER(Upgrades!$P$11,J44)*POWER(Upgrades!$P$12,K44)*60</f>
        <v/>
      </c>
      <c r="AF44" s="27">
        <f>Parameters!$B$9*POWER(Upgrades!$Q$6,E44)*POWER(Upgrades!$Q$7,F44)*POWER(Upgrades!$Q$8,G44)*POWER(Upgrades!$Q$9,H44)*POWER(Upgrades!$Q$10,I44)*POWER(Upgrades!$Q$11,J44)*POWER(Upgrades!$Q$12,K44)*(Parameters!$B$10*Parameters!$B$11+O44*60)</f>
        <v/>
      </c>
      <c r="AG44" s="22">
        <f>IF(E44&gt;=Upgrades!$E$6,"",Upgrades!$C$6*POWER(Upgrades!$D$6,E44))</f>
        <v/>
      </c>
      <c r="AH44" s="22">
        <f>IF(F44&gt;=Upgrades!$E$7,"",Upgrades!$C$7*POWER(Upgrades!$D$7,F44))</f>
        <v/>
      </c>
      <c r="AI44" s="22">
        <f>IF(G44&gt;=Upgrades!$E$8,"",Upgrades!$C$8*POWER(Upgrades!$D$8,G44))</f>
        <v/>
      </c>
      <c r="AJ44" s="22">
        <f>IF(H44&gt;=Upgrades!$E$9,"",Upgrades!$C$9*POWER(Upgrades!$D$9,H44))</f>
        <v/>
      </c>
      <c r="AK44" s="22">
        <f>IF(I44&gt;=Upgrades!$E$10,"",Upgrades!$C$10*POWER(Upgrades!$D$10,I44))</f>
        <v/>
      </c>
      <c r="AL44" s="22">
        <f>IF(J44&gt;=Upgrades!$E$11,"",Upgrades!$C$11*POWER(Upgrades!$D$11,J44))</f>
        <v/>
      </c>
      <c r="AM44" s="22">
        <f>IF(K44&gt;=Upgrades!$E$12,"",Upgrades!$C$12*POWER(Upgrades!$D$12,K44))</f>
        <v/>
      </c>
      <c r="AN44" s="26">
        <f>IF(AND(D44&gt;=Parameters!$B$18,(H44&gt;=Upgrades!$E$9)*(K44&gt;=Upgrades!$E$12)=1,L44=0),1,"")</f>
        <v/>
      </c>
      <c r="AO44" s="26">
        <f>IF(AND(D44&gt;=Parameters!$B$18,L44=0),1,"")</f>
        <v/>
      </c>
      <c r="AP44" s="22">
        <f>MIN(IF(ISNUMBER(AK44),AK44,9E15),IF(ISNUMBER(AL44),AL44,9E15),IF(ISNUMBER(AM44),AM44,9E15))</f>
        <v/>
      </c>
      <c r="AQ44" s="22">
        <f>MIN(IF(ISNUMBER(AG44),AG44,9E15),IF(ISNUMBER(AH44),AH44,9E15),IF(ISNUMBER(AI44),AI44,9E15),IF(ISNUMBER(AJ44),AJ44,9E15))</f>
        <v/>
      </c>
      <c r="AR44" s="29">
        <f>IF(AW44&gt;Parameters!$B$21*(MAX(IF(AND(NOT(AND(AO44=1,AN44&lt;&gt;1)),ISNUMBER(AG44),AG44&lt;=T44),AS44,0),IF(AND(NOT(AND(AO44=1,AN44&lt;&gt;1)),ISNUMBER(AH44),AH44&lt;=T44),AT44,0),IF(AND(NOT(AND(AO44=1,AN44&lt;&gt;1)),ISNUMBER(AI44),AI44&lt;=T44),AU44,0),IF(AND(ISNUMBER(AJ44),AJ44&lt;=T44),AV44,0))),TRUE,FALSE)</f>
        <v/>
      </c>
      <c r="AS44" s="32">
        <f>IFERROR(Upgrades!$H$6*(POWER(Upgrades!$P$6,E44)*POWER(Upgrades!$P$7,F44)*POWER(Upgrades!$P$8,G44)*POWER(Upgrades!$P$9,H44)*POWER(Upgrades!$P$10,I44)*POWER(Upgrades!$P$11,J44)*POWER(Upgrades!$P$12,K44))*(IF(Upgrades!$T$7="Solar Wind",POWER(Upgrades!$U$7,F44),1)*IF(Upgrades!$T$8="Solar Wind",POWER(Upgrades!$U$8,G44),1)*IF(Upgrades!$T$9="Solar Wind",POWER(Upgrades!$U$9,H44),1)*IF(Upgrades!$T$10="Solar Wind",POWER(Upgrades!$U$10,I44),1)*IF(Upgrades!$T$11="Solar Wind",POWER(Upgrades!$U$11,J44),1)*IF(Upgrades!$T$12="Solar Wind",POWER(Upgrades!$U$12,K44),1))/AG44,0)</f>
        <v/>
      </c>
      <c r="AT44" s="32">
        <f>IFERROR(Upgrades!$H$7*(POWER(Upgrades!$P$6,E44)*POWER(Upgrades!$P$7,F44)*POWER(Upgrades!$P$8,G44)*POWER(Upgrades!$P$9,H44)*POWER(Upgrades!$P$10,I44)*POWER(Upgrades!$P$11,J44)*POWER(Upgrades!$P$12,K44))*(IF(Upgrades!$T$6="Asteroid Belt",POWER(Upgrades!$U$6,E44),1)*IF(Upgrades!$T$8="Asteroid Belt",POWER(Upgrades!$U$8,G44),1)*IF(Upgrades!$T$9="Asteroid Belt",POWER(Upgrades!$U$9,H44),1)*IF(Upgrades!$T$10="Asteroid Belt",POWER(Upgrades!$U$10,I44),1)*IF(Upgrades!$T$11="Asteroid Belt",POWER(Upgrades!$U$11,J44),1)*IF(Upgrades!$T$12="Asteroid Belt",POWER(Upgrades!$U$12,K44),1))/AH44,0)</f>
        <v/>
      </c>
      <c r="AU44" s="32">
        <f>IFERROR(Upgrades!$K$8*(POWER(Upgrades!$Q$6,E44)*POWER(Upgrades!$Q$7,F44)*POWER(Upgrades!$Q$8,G44)*POWER(Upgrades!$Q$9,H44)*POWER(Upgrades!$Q$10,I44)*POWER(Upgrades!$Q$11,J44)*POWER(Upgrades!$Q$12,K44))*(IF(Upgrades!$T$6="Stellar Coupling",POWER(Upgrades!$U$6,E44),1)*IF(Upgrades!$T$7="Stellar Coupling",POWER(Upgrades!$U$7,F44),1)*IF(Upgrades!$T$9="Stellar Coupling",POWER(Upgrades!$U$9,H44),1)*IF(Upgrades!$T$10="Stellar Coupling",POWER(Upgrades!$U$10,I44),1)*IF(Upgrades!$T$11="Stellar Coupling",POWER(Upgrades!$U$11,J44),1)*IF(Upgrades!$T$12="Stellar Coupling",POWER(Upgrades!$U$12,K44),1))*Parameters!$B$10*Parameters!$B$11/60/AI44,0)</f>
        <v/>
      </c>
      <c r="AV44" s="32">
        <f>IFERROR(Upgrades!$H$9*(POWER(Upgrades!$P$6,E44)*POWER(Upgrades!$P$7,F44)*POWER(Upgrades!$P$8,G44)*POWER(Upgrades!$P$9,H44)*POWER(Upgrades!$P$10,I44)*POWER(Upgrades!$P$11,J44)*POWER(Upgrades!$P$12,K44))*(IF(Upgrades!$T$6="Magnetosphere",POWER(Upgrades!$U$6,E44),1)*IF(Upgrades!$T$7="Magnetosphere",POWER(Upgrades!$U$7,F44),1)*IF(Upgrades!$T$8="Magnetosphere",POWER(Upgrades!$U$8,G44),1)*IF(Upgrades!$T$10="Magnetosphere",POWER(Upgrades!$U$10,I44),1)*IF(Upgrades!$T$11="Magnetosphere",POWER(Upgrades!$U$11,J44),1)*IF(Upgrades!$T$12="Magnetosphere",POWER(Upgrades!$U$12,K44),1))/AJ44,0)</f>
        <v/>
      </c>
      <c r="AW44" s="32">
        <f>MAX(IF(I44&gt;0,0,IFERROR(0.25*N44/Upgrades!$C$10,0)),IF(J44&gt;0,0,IFERROR(0.5*((IF(G44=0,0,(Upgrades!$J$8+G44*Upgrades!$K$8)*POWER(Upgrades!$L$8,G44)))*(IF(Upgrades!$T$6="Stellar Coupling",POWER(Upgrades!$U$6,E44),1)*IF(Upgrades!$T$7="Stellar Coupling",POWER(Upgrades!$U$7,F44),1)*IF(Upgrades!$T$9="Stellar Coupling",POWER(Upgrades!$U$9,H44),1)*IF(Upgrades!$T$10="Stellar Coupling",POWER(Upgrades!$U$10,I44),1)*IF(Upgrades!$T$11="Stellar Coupling",POWER(Upgrades!$U$11,J44),1)*IF(Upgrades!$T$12="Stellar Coupling",POWER(Upgrades!$U$12,K44),1))*(POWER(Upgrades!$Q$6,E44)*POWER(Upgrades!$Q$7,F44)*POWER(Upgrades!$Q$8,G44)*POWER(Upgrades!$Q$9,H44)*POWER(Upgrades!$Q$10,I44)*POWER(Upgrades!$Q$11,J44)*POWER(Upgrades!$Q$12,K44))*Parameters!$B$10*Parameters!$B$11/60)/Upgrades!$C$11,0)),IF(K44&gt;0,0,IFERROR((1.0*(POWER(Upgrades!$P$6,E44)*POWER(Upgrades!$P$7,F44)*POWER(Upgrades!$P$8,G44)*POWER(Upgrades!$P$9,H44)*POWER(Upgrades!$P$10,I44)*POWER(Upgrades!$P$11,J44)*POWER(Upgrades!$P$12,K44))+0.20*M44*Parameters!$B$10*Parameters!$B$11/60)/Upgrades!$C$12,0)),IF(AND(ISNUMBER(AG44),AG44&gt;T44),AS44,0),IF(AND(ISNUMBER(AH44),AH44&gt;T44),AT44,0),IF(AND(ISNUMBER(AI44),AI44&gt;T44),AU44,0),IF(AND(ISNUMBER(AJ44),AJ44&gt;T44),AV44,0))</f>
        <v/>
      </c>
      <c r="AX44" s="29">
        <f>IF(AN44=1,"transition",IF(MIN(IF(AND(I44=0,ISNUMBER(AK44),AK44&lt;=T44),AK44,9E15),IF(AND(J44=0,ISNUMBER(AL44),AL44&lt;=T44),AL44,9E15),IF(AND(K44=0,ISNUMBER(AM44),AM44&lt;=T44),AM44,9E15))&lt;9E15,IF(AND(AND(I44=0,ISNUMBER(AK44),AK44&lt;=T44),AK44=MIN(IF(AND(I44=0,ISNUMBER(AK44),AK44&lt;=T44),AK44,9E15),IF(AND(J44=0,ISNUMBER(AL44),AL44&lt;=T44),AL44,9E15),IF(AND(K44=0,ISNUMBER(AM44),AM44&lt;=T44),AM44,9E15))),"OR",IF(AND(AND(J44=0,ISNUMBER(AL44),AL44&lt;=T44),AL44=MIN(IF(AND(I44=0,ISNUMBER(AK44),AK44&lt;=T44),AK44,9E15),IF(AND(J44=0,ISNUMBER(AL44),AL44&lt;=T44),AL44,9E15),IF(AND(K44=0,ISNUMBER(AM44),AM44&lt;=T44),AM44,9E15))),"HP","FP")),IF(AR44=TRUE,"",IF(MAX(IF(AND(NOT(AND(AO44=1,AN44&lt;&gt;1)),ISNUMBER(AG44),AG44&lt;=T44),AS44,0),IF(AND(NOT(AND(AO44=1,AN44&lt;&gt;1)),ISNUMBER(AH44),AH44&lt;=T44),AT44,0),IF(AND(NOT(AND(AO44=1,AN44&lt;&gt;1)),ISNUMBER(AI44),AI44&lt;=T44),AU44,0),IF(AND(ISNUMBER(AJ44),AJ44&lt;=T44),AV44,0))&lt;=0,"",IF(AND(IF(AND(NOT(AND(AO44=1,AN44&lt;&gt;1)),ISNUMBER(AG44),AG44&lt;=T44),AS44,0)&gt;0,IF(AND(NOT(AND(AO44=1,AN44&lt;&gt;1)),ISNUMBER(AG44),AG44&lt;=T44),AS44,0)=MAX(IF(AND(NOT(AND(AO44=1,AN44&lt;&gt;1)),ISNUMBER(AG44),AG44&lt;=T44),AS44,0),IF(AND(NOT(AND(AO44=1,AN44&lt;&gt;1)),ISNUMBER(AH44),AH44&lt;=T44),AT44,0),IF(AND(NOT(AND(AO44=1,AN44&lt;&gt;1)),ISNUMBER(AI44),AI44&lt;=T44),AU44,0),IF(AND(ISNUMBER(AJ44),AJ44&lt;=T44),AV44,0))),"SW",IF(AND(IF(AND(NOT(AND(AO44=1,AN44&lt;&gt;1)),ISNUMBER(AH44),AH44&lt;=T44),AT44,0)&gt;0,IF(AND(NOT(AND(AO44=1,AN44&lt;&gt;1)),ISNUMBER(AH44),AH44&lt;=T44),AT44,0)=MAX(IF(AND(NOT(AND(AO44=1,AN44&lt;&gt;1)),ISNUMBER(AG44),AG44&lt;=T44),AS44,0),IF(AND(NOT(AND(AO44=1,AN44&lt;&gt;1)),ISNUMBER(AH44),AH44&lt;=T44),AT44,0),IF(AND(NOT(AND(AO44=1,AN44&lt;&gt;1)),ISNUMBER(AI44),AI44&lt;=T44),AU44,0),IF(AND(ISNUMBER(AJ44),AJ44&lt;=T44),AV44,0))),"AB",IF(AND(IF(AND(NOT(AND(AO44=1,AN44&lt;&gt;1)),ISNUMBER(AI44),AI44&lt;=T44),AU44,0)&gt;0,IF(AND(NOT(AND(AO44=1,AN44&lt;&gt;1)),ISNUMBER(AI44),AI44&lt;=T44),AU44,0)=MAX(IF(AND(NOT(AND(AO44=1,AN44&lt;&gt;1)),ISNUMBER(AG44),AG44&lt;=T44),AS44,0),IF(AND(NOT(AND(AO44=1,AN44&lt;&gt;1)),ISNUMBER(AH44),AH44&lt;=T44),AT44,0),IF(AND(NOT(AND(AO44=1,AN44&lt;&gt;1)),ISNUMBER(AI44),AI44&lt;=T44),AU44,0),IF(AND(ISNUMBER(AJ44),AJ44&lt;=T44),AV44,0))),"SC","Mag")))))))</f>
        <v/>
      </c>
    </row>
    <row r="45">
      <c r="A45" s="26" t="n">
        <v>40</v>
      </c>
      <c r="B45" s="27">
        <f>A45*10/60</f>
        <v/>
      </c>
      <c r="C45" s="22">
        <f>X44</f>
        <v/>
      </c>
      <c r="D45" s="27">
        <f>D44+W44</f>
        <v/>
      </c>
      <c r="E45" s="26">
        <f>E44+IF(U44="SW",1,0)</f>
        <v/>
      </c>
      <c r="F45" s="26">
        <f>F44+IF(U44="AB",1,0)</f>
        <v/>
      </c>
      <c r="G45" s="26">
        <f>G44+IF(U44="SC",1,0)</f>
        <v/>
      </c>
      <c r="H45" s="26">
        <f>H44+IF(U44="Mag",1,0)</f>
        <v/>
      </c>
      <c r="I45" s="26">
        <f>MAX(I44,IF(U44="OR",1,0))</f>
        <v/>
      </c>
      <c r="J45" s="26">
        <f>MAX(J44,IF(U44="HP",1,0))</f>
        <v/>
      </c>
      <c r="K45" s="26">
        <f>MAX(K44,IF(U44="FP",1,0))</f>
        <v/>
      </c>
      <c r="L45" s="26">
        <f>MAX(L44,IF(U44="transition",1,0))</f>
        <v/>
      </c>
      <c r="M45" s="28">
        <f>(Parameters!$B$9+(IF(E45=0,0,(Upgrades!$J$6+E45*Upgrades!$K$6)*POWER(Upgrades!$L$6,E45)))*(IF(Upgrades!$T$7="Solar Wind",POWER(Upgrades!$U$7,F45),1)*IF(Upgrades!$T$8="Solar Wind",POWER(Upgrades!$U$8,G45),1)*IF(Upgrades!$T$9="Solar Wind",POWER(Upgrades!$U$9,H45),1)*IF(Upgrades!$T$10="Solar Wind",POWER(Upgrades!$U$10,I45),1)*IF(Upgrades!$T$11="Solar Wind",POWER(Upgrades!$U$11,J45),1)*IF(Upgrades!$T$12="Solar Wind",POWER(Upgrades!$U$12,K45),1))+(IF(F45=0,0,(Upgrades!$J$7+F45*Upgrades!$K$7)*POWER(Upgrades!$L$7,F45)))*(IF(Upgrades!$T$6="Asteroid Belt",POWER(Upgrades!$U$6,E45),1)*IF(Upgrades!$T$8="Asteroid Belt",POWER(Upgrades!$U$8,G45),1)*IF(Upgrades!$T$9="Asteroid Belt",POWER(Upgrades!$U$9,H45),1)*IF(Upgrades!$T$10="Asteroid Belt",POWER(Upgrades!$U$10,I45),1)*IF(Upgrades!$T$11="Asteroid Belt",POWER(Upgrades!$U$11,J45),1)*IF(Upgrades!$T$12="Asteroid Belt",POWER(Upgrades!$U$12,K45),1))+(IF(G45=0,0,(Upgrades!$J$8+G45*Upgrades!$K$8)*POWER(Upgrades!$L$8,G45)))*(IF(Upgrades!$T$6="Stellar Coupling",POWER(Upgrades!$U$6,E45),1)*IF(Upgrades!$T$7="Stellar Coupling",POWER(Upgrades!$U$7,F45),1)*IF(Upgrades!$T$9="Stellar Coupling",POWER(Upgrades!$U$9,H45),1)*IF(Upgrades!$T$10="Stellar Coupling",POWER(Upgrades!$U$10,I45),1)*IF(Upgrades!$T$11="Stellar Coupling",POWER(Upgrades!$U$11,J45),1)*IF(Upgrades!$T$12="Stellar Coupling",POWER(Upgrades!$U$12,K45),1))+(IF(H45=0,0,(Upgrades!$J$9+H45*Upgrades!$K$9)*POWER(Upgrades!$L$9,H45)))*(IF(Upgrades!$T$6="Magnetosphere",POWER(Upgrades!$U$6,E45),1)*IF(Upgrades!$T$7="Magnetosphere",POWER(Upgrades!$U$7,F45),1)*IF(Upgrades!$T$8="Magnetosphere",POWER(Upgrades!$U$8,G45),1)*IF(Upgrades!$T$10="Magnetosphere",POWER(Upgrades!$U$10,I45),1)*IF(Upgrades!$T$11="Magnetosphere",POWER(Upgrades!$U$11,J45),1)*IF(Upgrades!$T$12="Magnetosphere",POWER(Upgrades!$U$12,K45),1))+(IF(I45=0,0,(Upgrades!$J$10+I45*Upgrades!$K$10)*POWER(Upgrades!$L$10,I45)))*(IF(Upgrades!$T$6="Orbital Resonance",POWER(Upgrades!$U$6,E45),1)*IF(Upgrades!$T$7="Orbital Resonance",POWER(Upgrades!$U$7,F45),1)*IF(Upgrades!$T$8="Orbital Resonance",POWER(Upgrades!$U$8,G45),1)*IF(Upgrades!$T$9="Orbital Resonance",POWER(Upgrades!$U$9,H45),1)*IF(Upgrades!$T$11="Orbital Resonance",POWER(Upgrades!$U$11,J45),1)*IF(Upgrades!$T$12="Orbital Resonance",POWER(Upgrades!$U$12,K45),1))+(IF(J45=0,0,(Upgrades!$J$11+J45*Upgrades!$K$11)*POWER(Upgrades!$L$11,J45)))*(IF(Upgrades!$T$6="Heliopause",POWER(Upgrades!$U$6,E45),1)*IF(Upgrades!$T$7="Heliopause",POWER(Upgrades!$U$7,F45),1)*IF(Upgrades!$T$8="Heliopause",POWER(Upgrades!$U$8,G45),1)*IF(Upgrades!$T$9="Heliopause",POWER(Upgrades!$U$9,H45),1)*IF(Upgrades!$T$10="Heliopause",POWER(Upgrades!$U$10,I45),1)*IF(Upgrades!$T$12="Heliopause",POWER(Upgrades!$U$12,K45),1))+(IF(K45=0,0,(Upgrades!$J$12+K45*Upgrades!$K$12)*POWER(Upgrades!$L$12,K45)))*(IF(Upgrades!$T$6="First Photons",POWER(Upgrades!$U$6,E45),1)*IF(Upgrades!$T$7="First Photons",POWER(Upgrades!$U$7,F45),1)*IF(Upgrades!$T$8="First Photons",POWER(Upgrades!$U$8,G45),1)*IF(Upgrades!$T$9="First Photons",POWER(Upgrades!$U$9,H45),1)*IF(Upgrades!$T$10="First Photons",POWER(Upgrades!$U$10,I45),1)*IF(Upgrades!$T$11="First Photons",POWER(Upgrades!$U$11,J45),1)))*POWER(Upgrades!$Q$6,E45)*POWER(Upgrades!$Q$7,F45)*POWER(Upgrades!$Q$8,G45)*POWER(Upgrades!$Q$9,H45)*POWER(Upgrades!$Q$10,I45)*POWER(Upgrades!$Q$11,J45)*POWER(Upgrades!$Q$12,K45)</f>
        <v/>
      </c>
      <c r="N45" s="28">
        <f>((IF(E45=0,0,(Upgrades!$G$6+E45*Upgrades!$H$6)*POWER(Upgrades!$I$6,E45)))*(IF(Upgrades!$T$7="Solar Wind",POWER(Upgrades!$U$7,F45),1)*IF(Upgrades!$T$8="Solar Wind",POWER(Upgrades!$U$8,G45),1)*IF(Upgrades!$T$9="Solar Wind",POWER(Upgrades!$U$9,H45),1)*IF(Upgrades!$T$10="Solar Wind",POWER(Upgrades!$U$10,I45),1)*IF(Upgrades!$T$11="Solar Wind",POWER(Upgrades!$U$11,J45),1)*IF(Upgrades!$T$12="Solar Wind",POWER(Upgrades!$U$12,K45),1))+(IF(F45=0,0,(Upgrades!$G$7+F45*Upgrades!$H$7)*POWER(Upgrades!$I$7,F45)))*(IF(Upgrades!$T$6="Asteroid Belt",POWER(Upgrades!$U$6,E45),1)*IF(Upgrades!$T$8="Asteroid Belt",POWER(Upgrades!$U$8,G45),1)*IF(Upgrades!$T$9="Asteroid Belt",POWER(Upgrades!$U$9,H45),1)*IF(Upgrades!$T$10="Asteroid Belt",POWER(Upgrades!$U$10,I45),1)*IF(Upgrades!$T$11="Asteroid Belt",POWER(Upgrades!$U$11,J45),1)*IF(Upgrades!$T$12="Asteroid Belt",POWER(Upgrades!$U$12,K45),1))+(IF(G45=0,0,(Upgrades!$G$8+G45*Upgrades!$H$8)*POWER(Upgrades!$I$8,G45)))*(IF(Upgrades!$T$6="Stellar Coupling",POWER(Upgrades!$U$6,E45),1)*IF(Upgrades!$T$7="Stellar Coupling",POWER(Upgrades!$U$7,F45),1)*IF(Upgrades!$T$9="Stellar Coupling",POWER(Upgrades!$U$9,H45),1)*IF(Upgrades!$T$10="Stellar Coupling",POWER(Upgrades!$U$10,I45),1)*IF(Upgrades!$T$11="Stellar Coupling",POWER(Upgrades!$U$11,J45),1)*IF(Upgrades!$T$12="Stellar Coupling",POWER(Upgrades!$U$12,K45),1))+(IF(H45=0,0,(Upgrades!$G$9+H45*Upgrades!$H$9)*POWER(Upgrades!$I$9,H45)))*(IF(Upgrades!$T$6="Magnetosphere",POWER(Upgrades!$U$6,E45),1)*IF(Upgrades!$T$7="Magnetosphere",POWER(Upgrades!$U$7,F45),1)*IF(Upgrades!$T$8="Magnetosphere",POWER(Upgrades!$U$8,G45),1)*IF(Upgrades!$T$10="Magnetosphere",POWER(Upgrades!$U$10,I45),1)*IF(Upgrades!$T$11="Magnetosphere",POWER(Upgrades!$U$11,J45),1)*IF(Upgrades!$T$12="Magnetosphere",POWER(Upgrades!$U$12,K45),1))+(IF(I45=0,0,(Upgrades!$G$10+I45*Upgrades!$H$10)*POWER(Upgrades!$I$10,I45)))*(IF(Upgrades!$T$6="Orbital Resonance",POWER(Upgrades!$U$6,E45),1)*IF(Upgrades!$T$7="Orbital Resonance",POWER(Upgrades!$U$7,F45),1)*IF(Upgrades!$T$8="Orbital Resonance",POWER(Upgrades!$U$8,G45),1)*IF(Upgrades!$T$9="Orbital Resonance",POWER(Upgrades!$U$9,H45),1)*IF(Upgrades!$T$11="Orbital Resonance",POWER(Upgrades!$U$11,J45),1)*IF(Upgrades!$T$12="Orbital Resonance",POWER(Upgrades!$U$12,K45),1))+(IF(J45=0,0,(Upgrades!$G$11+J45*Upgrades!$H$11)*POWER(Upgrades!$I$11,J45)))*(IF(Upgrades!$T$6="Heliopause",POWER(Upgrades!$U$6,E45),1)*IF(Upgrades!$T$7="Heliopause",POWER(Upgrades!$U$7,F45),1)*IF(Upgrades!$T$8="Heliopause",POWER(Upgrades!$U$8,G45),1)*IF(Upgrades!$T$9="Heliopause",POWER(Upgrades!$U$9,H45),1)*IF(Upgrades!$T$10="Heliopause",POWER(Upgrades!$U$10,I45),1)*IF(Upgrades!$T$12="Heliopause",POWER(Upgrades!$U$12,K45),1))+(IF(K45=0,0,(Upgrades!$G$12+K45*Upgrades!$H$12)*POWER(Upgrades!$I$12,K45)))*(IF(Upgrades!$T$6="First Photons",POWER(Upgrades!$U$6,E45),1)*IF(Upgrades!$T$7="First Photons",POWER(Upgrades!$U$7,F45),1)*IF(Upgrades!$T$8="First Photons",POWER(Upgrades!$U$8,G45),1)*IF(Upgrades!$T$9="First Photons",POWER(Upgrades!$U$9,H45),1)*IF(Upgrades!$T$10="First Photons",POWER(Upgrades!$U$10,I45),1)*IF(Upgrades!$T$11="First Photons",POWER(Upgrades!$U$11,J45),1)))*POWER(Upgrades!$P$6,E45)*POWER(Upgrades!$P$7,F45)*POWER(Upgrades!$P$8,G45)*POWER(Upgrades!$P$9,H45)*POWER(Upgrades!$P$10,I45)*POWER(Upgrades!$P$11,J45)*POWER(Upgrades!$P$12,K45)</f>
        <v/>
      </c>
      <c r="O45" s="28">
        <f>((IF(E45=0,0,(Upgrades!$M$6+E45*Upgrades!$N$6)*POWER(Upgrades!$O$6,E45)))*(IF(Upgrades!$T$7="Solar Wind",POWER(Upgrades!$U$7,F45),1)*IF(Upgrades!$T$8="Solar Wind",POWER(Upgrades!$U$8,G45),1)*IF(Upgrades!$T$9="Solar Wind",POWER(Upgrades!$U$9,H45),1)*IF(Upgrades!$T$10="Solar Wind",POWER(Upgrades!$U$10,I45),1)*IF(Upgrades!$T$11="Solar Wind",POWER(Upgrades!$U$11,J45),1)*IF(Upgrades!$T$12="Solar Wind",POWER(Upgrades!$U$12,K45),1))+(IF(F45=0,0,(Upgrades!$M$7+F45*Upgrades!$N$7)*POWER(Upgrades!$O$7,F45)))*(IF(Upgrades!$T$6="Asteroid Belt",POWER(Upgrades!$U$6,E45),1)*IF(Upgrades!$T$8="Asteroid Belt",POWER(Upgrades!$U$8,G45),1)*IF(Upgrades!$T$9="Asteroid Belt",POWER(Upgrades!$U$9,H45),1)*IF(Upgrades!$T$10="Asteroid Belt",POWER(Upgrades!$U$10,I45),1)*IF(Upgrades!$T$11="Asteroid Belt",POWER(Upgrades!$U$11,J45),1)*IF(Upgrades!$T$12="Asteroid Belt",POWER(Upgrades!$U$12,K45),1))+(IF(G45=0,0,(Upgrades!$M$8+G45*Upgrades!$N$8)*POWER(Upgrades!$O$8,G45)))*(IF(Upgrades!$T$6="Stellar Coupling",POWER(Upgrades!$U$6,E45),1)*IF(Upgrades!$T$7="Stellar Coupling",POWER(Upgrades!$U$7,F45),1)*IF(Upgrades!$T$9="Stellar Coupling",POWER(Upgrades!$U$9,H45),1)*IF(Upgrades!$T$10="Stellar Coupling",POWER(Upgrades!$U$10,I45),1)*IF(Upgrades!$T$11="Stellar Coupling",POWER(Upgrades!$U$11,J45),1)*IF(Upgrades!$T$12="Stellar Coupling",POWER(Upgrades!$U$12,K45),1))+(IF(H45=0,0,(Upgrades!$M$9+H45*Upgrades!$N$9)*POWER(Upgrades!$O$9,H45)))*(IF(Upgrades!$T$6="Magnetosphere",POWER(Upgrades!$U$6,E45),1)*IF(Upgrades!$T$7="Magnetosphere",POWER(Upgrades!$U$7,F45),1)*IF(Upgrades!$T$8="Magnetosphere",POWER(Upgrades!$U$8,G45),1)*IF(Upgrades!$T$10="Magnetosphere",POWER(Upgrades!$U$10,I45),1)*IF(Upgrades!$T$11="Magnetosphere",POWER(Upgrades!$U$11,J45),1)*IF(Upgrades!$T$12="Magnetosphere",POWER(Upgrades!$U$12,K45),1))+(IF(I45=0,0,(Upgrades!$M$10+I45*Upgrades!$N$10)*POWER(Upgrades!$O$10,I45)))*(IF(Upgrades!$T$6="Orbital Resonance",POWER(Upgrades!$U$6,E45),1)*IF(Upgrades!$T$7="Orbital Resonance",POWER(Upgrades!$U$7,F45),1)*IF(Upgrades!$T$8="Orbital Resonance",POWER(Upgrades!$U$8,G45),1)*IF(Upgrades!$T$9="Orbital Resonance",POWER(Upgrades!$U$9,H45),1)*IF(Upgrades!$T$11="Orbital Resonance",POWER(Upgrades!$U$11,J45),1)*IF(Upgrades!$T$12="Orbital Resonance",POWER(Upgrades!$U$12,K45),1))+(IF(J45=0,0,(Upgrades!$M$11+J45*Upgrades!$N$11)*POWER(Upgrades!$O$11,J45)))*(IF(Upgrades!$T$6="Heliopause",POWER(Upgrades!$U$6,E45),1)*IF(Upgrades!$T$7="Heliopause",POWER(Upgrades!$U$7,F45),1)*IF(Upgrades!$T$8="Heliopause",POWER(Upgrades!$U$8,G45),1)*IF(Upgrades!$T$9="Heliopause",POWER(Upgrades!$U$9,H45),1)*IF(Upgrades!$T$10="Heliopause",POWER(Upgrades!$U$10,I45),1)*IF(Upgrades!$T$12="Heliopause",POWER(Upgrades!$U$12,K45),1))+(IF(K45=0,0,(Upgrades!$M$12+K45*Upgrades!$N$12)*POWER(Upgrades!$O$12,K45)))*(IF(Upgrades!$T$6="First Photons",POWER(Upgrades!$U$6,E45),1)*IF(Upgrades!$T$7="First Photons",POWER(Upgrades!$U$7,F45),1)*IF(Upgrades!$T$8="First Photons",POWER(Upgrades!$U$8,G45),1)*IF(Upgrades!$T$9="First Photons",POWER(Upgrades!$U$9,H45),1)*IF(Upgrades!$T$10="First Photons",POWER(Upgrades!$U$10,I45),1)*IF(Upgrades!$T$11="First Photons",POWER(Upgrades!$U$11,J45),1)))*POWER(Upgrades!$R$6,E45)*POWER(Upgrades!$R$7,F45)*POWER(Upgrades!$R$8,G45)*POWER(Upgrades!$R$9,H45)*POWER(Upgrades!$R$10,I45)*POWER(Upgrades!$R$11,J45)*POWER(Upgrades!$R$12,K45)</f>
        <v/>
      </c>
      <c r="P45" s="27">
        <f>IF(L45=1,0,M45*Parameters!$B$10/60*Parameters!$B$11*10)</f>
        <v/>
      </c>
      <c r="Q45" s="27">
        <f>IF(L45=1,0,O45*M45*10)</f>
        <v/>
      </c>
      <c r="R45" s="27">
        <f>IF(L45=1,0,N45*10)</f>
        <v/>
      </c>
      <c r="S45" s="27">
        <f>P45+Q45+R45</f>
        <v/>
      </c>
      <c r="T45" s="22">
        <f>C45+S45</f>
        <v/>
      </c>
      <c r="U45" s="33">
        <f>AX45</f>
        <v/>
      </c>
      <c r="V45" s="22">
        <f>IF(U45="",0,IF(U45="transition",0,IF(U45="SW",AG45,IF(U45="AB",AH45,IF(U45="SC",AI45,IF(U45="Mag",AJ45,IF(U45="OR",AK45,IF(U45="HP",AL45,IF(U45="FP",AM45,0)))))))))</f>
        <v/>
      </c>
      <c r="W45" s="27">
        <f>IF(U45="OR",Upgrades!$F$10,IF(U45="HP",Upgrades!$F$11,IF(U45="transition",-Parameters!$B$18,0)))</f>
        <v/>
      </c>
      <c r="X45" s="22">
        <f>T45-V45</f>
        <v/>
      </c>
      <c r="Y45" s="30">
        <f>M45*Parameters!$B$10/60*Parameters!$B$11+O45*M45+N45</f>
        <v/>
      </c>
      <c r="Z45" s="34">
        <f>IF(U45="transition","→ Tier 2 (Stellar Neighborhood)",IF(U45="FP","First Photons — light begins, system quickens",IF(U45="HP","Heliopause acquired",IF(U45="OR","Orbital Resonance — passive multiplier active",IF(AND(AO45=1,L45=0,AN45&lt;&gt;1),"Cohesion ready (waiting on completionist upgrades)","")))))</f>
        <v/>
      </c>
      <c r="AA45" s="27">
        <f>(IF(E45=0,0,(Upgrades!$G$6+E45*Upgrades!$H$6)*POWER(Upgrades!$I$6,E45)))*(IF(Upgrades!$T$7="Solar Wind",POWER(Upgrades!$U$7,F45),1)*IF(Upgrades!$T$8="Solar Wind",POWER(Upgrades!$U$8,G45),1)*IF(Upgrades!$T$9="Solar Wind",POWER(Upgrades!$U$9,H45),1)*IF(Upgrades!$T$10="Solar Wind",POWER(Upgrades!$U$10,I45),1)*IF(Upgrades!$T$11="Solar Wind",POWER(Upgrades!$U$11,J45),1)*IF(Upgrades!$T$12="Solar Wind",POWER(Upgrades!$U$12,K45),1))*POWER(Upgrades!$P$6,E45)*POWER(Upgrades!$P$7,F45)*POWER(Upgrades!$P$8,G45)*POWER(Upgrades!$P$9,H45)*POWER(Upgrades!$P$10,I45)*POWER(Upgrades!$P$11,J45)*POWER(Upgrades!$P$12,K45)*60</f>
        <v/>
      </c>
      <c r="AB45" s="27">
        <f>(IF(F45=0,0,(Upgrades!$G$7+F45*Upgrades!$H$7)*POWER(Upgrades!$I$7,F45)))*(IF(Upgrades!$T$6="Asteroid Belt",POWER(Upgrades!$U$6,E45),1)*IF(Upgrades!$T$8="Asteroid Belt",POWER(Upgrades!$U$8,G45),1)*IF(Upgrades!$T$9="Asteroid Belt",POWER(Upgrades!$U$9,H45),1)*IF(Upgrades!$T$10="Asteroid Belt",POWER(Upgrades!$U$10,I45),1)*IF(Upgrades!$T$11="Asteroid Belt",POWER(Upgrades!$U$11,J45),1)*IF(Upgrades!$T$12="Asteroid Belt",POWER(Upgrades!$U$12,K45),1))*POWER(Upgrades!$P$6,E45)*POWER(Upgrades!$P$7,F45)*POWER(Upgrades!$P$8,G45)*POWER(Upgrades!$P$9,H45)*POWER(Upgrades!$P$10,I45)*POWER(Upgrades!$P$11,J45)*POWER(Upgrades!$P$12,K45)*60</f>
        <v/>
      </c>
      <c r="AC45" s="27">
        <f>(IF(G45=0,0,(Upgrades!$J$8+G45*Upgrades!$K$8)*POWER(Upgrades!$L$8,G45)))*(IF(Upgrades!$T$6="Stellar Coupling",POWER(Upgrades!$U$6,E45),1)*IF(Upgrades!$T$7="Stellar Coupling",POWER(Upgrades!$U$7,F45),1)*IF(Upgrades!$T$9="Stellar Coupling",POWER(Upgrades!$U$9,H45),1)*IF(Upgrades!$T$10="Stellar Coupling",POWER(Upgrades!$U$10,I45),1)*IF(Upgrades!$T$11="Stellar Coupling",POWER(Upgrades!$U$11,J45),1)*IF(Upgrades!$T$12="Stellar Coupling",POWER(Upgrades!$U$12,K45),1))*POWER(Upgrades!$Q$6,E45)*POWER(Upgrades!$Q$7,F45)*POWER(Upgrades!$Q$8,G45)*POWER(Upgrades!$Q$9,H45)*POWER(Upgrades!$Q$10,I45)*POWER(Upgrades!$Q$11,J45)*POWER(Upgrades!$Q$12,K45)*Parameters!$B$10*Parameters!$B$11</f>
        <v/>
      </c>
      <c r="AD45" s="27">
        <f>(IF(H45=0,0,(Upgrades!$G$9+H45*Upgrades!$H$9)*POWER(Upgrades!$I$9,H45)))*(IF(Upgrades!$T$6="Magnetosphere",POWER(Upgrades!$U$6,E45),1)*IF(Upgrades!$T$7="Magnetosphere",POWER(Upgrades!$U$7,F45),1)*IF(Upgrades!$T$8="Magnetosphere",POWER(Upgrades!$U$8,G45),1)*IF(Upgrades!$T$10="Magnetosphere",POWER(Upgrades!$U$10,I45),1)*IF(Upgrades!$T$11="Magnetosphere",POWER(Upgrades!$U$11,J45),1)*IF(Upgrades!$T$12="Magnetosphere",POWER(Upgrades!$U$12,K45),1))*POWER(Upgrades!$P$6,E45)*POWER(Upgrades!$P$7,F45)*POWER(Upgrades!$P$8,G45)*POWER(Upgrades!$P$9,H45)*POWER(Upgrades!$P$10,I45)*POWER(Upgrades!$P$11,J45)*POWER(Upgrades!$P$12,K45)*60</f>
        <v/>
      </c>
      <c r="AE45" s="27">
        <f>(IF(K45=0,0,(Upgrades!$G$12+K45*Upgrades!$H$12)*POWER(Upgrades!$I$12,K45)))*(IF(Upgrades!$T$6="First Photons",POWER(Upgrades!$U$6,E45),1)*IF(Upgrades!$T$7="First Photons",POWER(Upgrades!$U$7,F45),1)*IF(Upgrades!$T$8="First Photons",POWER(Upgrades!$U$8,G45),1)*IF(Upgrades!$T$9="First Photons",POWER(Upgrades!$U$9,H45),1)*IF(Upgrades!$T$10="First Photons",POWER(Upgrades!$U$10,I45),1)*IF(Upgrades!$T$11="First Photons",POWER(Upgrades!$U$11,J45),1))*POWER(Upgrades!$P$6,E45)*POWER(Upgrades!$P$7,F45)*POWER(Upgrades!$P$8,G45)*POWER(Upgrades!$P$9,H45)*POWER(Upgrades!$P$10,I45)*POWER(Upgrades!$P$11,J45)*POWER(Upgrades!$P$12,K45)*60</f>
        <v/>
      </c>
      <c r="AF45" s="27">
        <f>Parameters!$B$9*POWER(Upgrades!$Q$6,E45)*POWER(Upgrades!$Q$7,F45)*POWER(Upgrades!$Q$8,G45)*POWER(Upgrades!$Q$9,H45)*POWER(Upgrades!$Q$10,I45)*POWER(Upgrades!$Q$11,J45)*POWER(Upgrades!$Q$12,K45)*(Parameters!$B$10*Parameters!$B$11+O45*60)</f>
        <v/>
      </c>
      <c r="AG45" s="22">
        <f>IF(E45&gt;=Upgrades!$E$6,"",Upgrades!$C$6*POWER(Upgrades!$D$6,E45))</f>
        <v/>
      </c>
      <c r="AH45" s="22">
        <f>IF(F45&gt;=Upgrades!$E$7,"",Upgrades!$C$7*POWER(Upgrades!$D$7,F45))</f>
        <v/>
      </c>
      <c r="AI45" s="22">
        <f>IF(G45&gt;=Upgrades!$E$8,"",Upgrades!$C$8*POWER(Upgrades!$D$8,G45))</f>
        <v/>
      </c>
      <c r="AJ45" s="22">
        <f>IF(H45&gt;=Upgrades!$E$9,"",Upgrades!$C$9*POWER(Upgrades!$D$9,H45))</f>
        <v/>
      </c>
      <c r="AK45" s="22">
        <f>IF(I45&gt;=Upgrades!$E$10,"",Upgrades!$C$10*POWER(Upgrades!$D$10,I45))</f>
        <v/>
      </c>
      <c r="AL45" s="22">
        <f>IF(J45&gt;=Upgrades!$E$11,"",Upgrades!$C$11*POWER(Upgrades!$D$11,J45))</f>
        <v/>
      </c>
      <c r="AM45" s="22">
        <f>IF(K45&gt;=Upgrades!$E$12,"",Upgrades!$C$12*POWER(Upgrades!$D$12,K45))</f>
        <v/>
      </c>
      <c r="AN45" s="26">
        <f>IF(AND(D45&gt;=Parameters!$B$18,(H45&gt;=Upgrades!$E$9)*(K45&gt;=Upgrades!$E$12)=1,L45=0),1,"")</f>
        <v/>
      </c>
      <c r="AO45" s="26">
        <f>IF(AND(D45&gt;=Parameters!$B$18,L45=0),1,"")</f>
        <v/>
      </c>
      <c r="AP45" s="22">
        <f>MIN(IF(ISNUMBER(AK45),AK45,9E15),IF(ISNUMBER(AL45),AL45,9E15),IF(ISNUMBER(AM45),AM45,9E15))</f>
        <v/>
      </c>
      <c r="AQ45" s="22">
        <f>MIN(IF(ISNUMBER(AG45),AG45,9E15),IF(ISNUMBER(AH45),AH45,9E15),IF(ISNUMBER(AI45),AI45,9E15),IF(ISNUMBER(AJ45),AJ45,9E15))</f>
        <v/>
      </c>
      <c r="AR45" s="29">
        <f>IF(AW45&gt;Parameters!$B$21*(MAX(IF(AND(NOT(AND(AO45=1,AN45&lt;&gt;1)),ISNUMBER(AG45),AG45&lt;=T45),AS45,0),IF(AND(NOT(AND(AO45=1,AN45&lt;&gt;1)),ISNUMBER(AH45),AH45&lt;=T45),AT45,0),IF(AND(NOT(AND(AO45=1,AN45&lt;&gt;1)),ISNUMBER(AI45),AI45&lt;=T45),AU45,0),IF(AND(ISNUMBER(AJ45),AJ45&lt;=T45),AV45,0))),TRUE,FALSE)</f>
        <v/>
      </c>
      <c r="AS45" s="32">
        <f>IFERROR(Upgrades!$H$6*(POWER(Upgrades!$P$6,E45)*POWER(Upgrades!$P$7,F45)*POWER(Upgrades!$P$8,G45)*POWER(Upgrades!$P$9,H45)*POWER(Upgrades!$P$10,I45)*POWER(Upgrades!$P$11,J45)*POWER(Upgrades!$P$12,K45))*(IF(Upgrades!$T$7="Solar Wind",POWER(Upgrades!$U$7,F45),1)*IF(Upgrades!$T$8="Solar Wind",POWER(Upgrades!$U$8,G45),1)*IF(Upgrades!$T$9="Solar Wind",POWER(Upgrades!$U$9,H45),1)*IF(Upgrades!$T$10="Solar Wind",POWER(Upgrades!$U$10,I45),1)*IF(Upgrades!$T$11="Solar Wind",POWER(Upgrades!$U$11,J45),1)*IF(Upgrades!$T$12="Solar Wind",POWER(Upgrades!$U$12,K45),1))/AG45,0)</f>
        <v/>
      </c>
      <c r="AT45" s="32">
        <f>IFERROR(Upgrades!$H$7*(POWER(Upgrades!$P$6,E45)*POWER(Upgrades!$P$7,F45)*POWER(Upgrades!$P$8,G45)*POWER(Upgrades!$P$9,H45)*POWER(Upgrades!$P$10,I45)*POWER(Upgrades!$P$11,J45)*POWER(Upgrades!$P$12,K45))*(IF(Upgrades!$T$6="Asteroid Belt",POWER(Upgrades!$U$6,E45),1)*IF(Upgrades!$T$8="Asteroid Belt",POWER(Upgrades!$U$8,G45),1)*IF(Upgrades!$T$9="Asteroid Belt",POWER(Upgrades!$U$9,H45),1)*IF(Upgrades!$T$10="Asteroid Belt",POWER(Upgrades!$U$10,I45),1)*IF(Upgrades!$T$11="Asteroid Belt",POWER(Upgrades!$U$11,J45),1)*IF(Upgrades!$T$12="Asteroid Belt",POWER(Upgrades!$U$12,K45),1))/AH45,0)</f>
        <v/>
      </c>
      <c r="AU45" s="32">
        <f>IFERROR(Upgrades!$K$8*(POWER(Upgrades!$Q$6,E45)*POWER(Upgrades!$Q$7,F45)*POWER(Upgrades!$Q$8,G45)*POWER(Upgrades!$Q$9,H45)*POWER(Upgrades!$Q$10,I45)*POWER(Upgrades!$Q$11,J45)*POWER(Upgrades!$Q$12,K45))*(IF(Upgrades!$T$6="Stellar Coupling",POWER(Upgrades!$U$6,E45),1)*IF(Upgrades!$T$7="Stellar Coupling",POWER(Upgrades!$U$7,F45),1)*IF(Upgrades!$T$9="Stellar Coupling",POWER(Upgrades!$U$9,H45),1)*IF(Upgrades!$T$10="Stellar Coupling",POWER(Upgrades!$U$10,I45),1)*IF(Upgrades!$T$11="Stellar Coupling",POWER(Upgrades!$U$11,J45),1)*IF(Upgrades!$T$12="Stellar Coupling",POWER(Upgrades!$U$12,K45),1))*Parameters!$B$10*Parameters!$B$11/60/AI45,0)</f>
        <v/>
      </c>
      <c r="AV45" s="32">
        <f>IFERROR(Upgrades!$H$9*(POWER(Upgrades!$P$6,E45)*POWER(Upgrades!$P$7,F45)*POWER(Upgrades!$P$8,G45)*POWER(Upgrades!$P$9,H45)*POWER(Upgrades!$P$10,I45)*POWER(Upgrades!$P$11,J45)*POWER(Upgrades!$P$12,K45))*(IF(Upgrades!$T$6="Magnetosphere",POWER(Upgrades!$U$6,E45),1)*IF(Upgrades!$T$7="Magnetosphere",POWER(Upgrades!$U$7,F45),1)*IF(Upgrades!$T$8="Magnetosphere",POWER(Upgrades!$U$8,G45),1)*IF(Upgrades!$T$10="Magnetosphere",POWER(Upgrades!$U$10,I45),1)*IF(Upgrades!$T$11="Magnetosphere",POWER(Upgrades!$U$11,J45),1)*IF(Upgrades!$T$12="Magnetosphere",POWER(Upgrades!$U$12,K45),1))/AJ45,0)</f>
        <v/>
      </c>
      <c r="AW45" s="32">
        <f>MAX(IF(I45&gt;0,0,IFERROR(0.25*N45/Upgrades!$C$10,0)),IF(J45&gt;0,0,IFERROR(0.5*((IF(G45=0,0,(Upgrades!$J$8+G45*Upgrades!$K$8)*POWER(Upgrades!$L$8,G45)))*(IF(Upgrades!$T$6="Stellar Coupling",POWER(Upgrades!$U$6,E45),1)*IF(Upgrades!$T$7="Stellar Coupling",POWER(Upgrades!$U$7,F45),1)*IF(Upgrades!$T$9="Stellar Coupling",POWER(Upgrades!$U$9,H45),1)*IF(Upgrades!$T$10="Stellar Coupling",POWER(Upgrades!$U$10,I45),1)*IF(Upgrades!$T$11="Stellar Coupling",POWER(Upgrades!$U$11,J45),1)*IF(Upgrades!$T$12="Stellar Coupling",POWER(Upgrades!$U$12,K45),1))*(POWER(Upgrades!$Q$6,E45)*POWER(Upgrades!$Q$7,F45)*POWER(Upgrades!$Q$8,G45)*POWER(Upgrades!$Q$9,H45)*POWER(Upgrades!$Q$10,I45)*POWER(Upgrades!$Q$11,J45)*POWER(Upgrades!$Q$12,K45))*Parameters!$B$10*Parameters!$B$11/60)/Upgrades!$C$11,0)),IF(K45&gt;0,0,IFERROR((1.0*(POWER(Upgrades!$P$6,E45)*POWER(Upgrades!$P$7,F45)*POWER(Upgrades!$P$8,G45)*POWER(Upgrades!$P$9,H45)*POWER(Upgrades!$P$10,I45)*POWER(Upgrades!$P$11,J45)*POWER(Upgrades!$P$12,K45))+0.20*M45*Parameters!$B$10*Parameters!$B$11/60)/Upgrades!$C$12,0)),IF(AND(ISNUMBER(AG45),AG45&gt;T45),AS45,0),IF(AND(ISNUMBER(AH45),AH45&gt;T45),AT45,0),IF(AND(ISNUMBER(AI45),AI45&gt;T45),AU45,0),IF(AND(ISNUMBER(AJ45),AJ45&gt;T45),AV45,0))</f>
        <v/>
      </c>
      <c r="AX45" s="29">
        <f>IF(AN45=1,"transition",IF(MIN(IF(AND(I45=0,ISNUMBER(AK45),AK45&lt;=T45),AK45,9E15),IF(AND(J45=0,ISNUMBER(AL45),AL45&lt;=T45),AL45,9E15),IF(AND(K45=0,ISNUMBER(AM45),AM45&lt;=T45),AM45,9E15))&lt;9E15,IF(AND(AND(I45=0,ISNUMBER(AK45),AK45&lt;=T45),AK45=MIN(IF(AND(I45=0,ISNUMBER(AK45),AK45&lt;=T45),AK45,9E15),IF(AND(J45=0,ISNUMBER(AL45),AL45&lt;=T45),AL45,9E15),IF(AND(K45=0,ISNUMBER(AM45),AM45&lt;=T45),AM45,9E15))),"OR",IF(AND(AND(J45=0,ISNUMBER(AL45),AL45&lt;=T45),AL45=MIN(IF(AND(I45=0,ISNUMBER(AK45),AK45&lt;=T45),AK45,9E15),IF(AND(J45=0,ISNUMBER(AL45),AL45&lt;=T45),AL45,9E15),IF(AND(K45=0,ISNUMBER(AM45),AM45&lt;=T45),AM45,9E15))),"HP","FP")),IF(AR45=TRUE,"",IF(MAX(IF(AND(NOT(AND(AO45=1,AN45&lt;&gt;1)),ISNUMBER(AG45),AG45&lt;=T45),AS45,0),IF(AND(NOT(AND(AO45=1,AN45&lt;&gt;1)),ISNUMBER(AH45),AH45&lt;=T45),AT45,0),IF(AND(NOT(AND(AO45=1,AN45&lt;&gt;1)),ISNUMBER(AI45),AI45&lt;=T45),AU45,0),IF(AND(ISNUMBER(AJ45),AJ45&lt;=T45),AV45,0))&lt;=0,"",IF(AND(IF(AND(NOT(AND(AO45=1,AN45&lt;&gt;1)),ISNUMBER(AG45),AG45&lt;=T45),AS45,0)&gt;0,IF(AND(NOT(AND(AO45=1,AN45&lt;&gt;1)),ISNUMBER(AG45),AG45&lt;=T45),AS45,0)=MAX(IF(AND(NOT(AND(AO45=1,AN45&lt;&gt;1)),ISNUMBER(AG45),AG45&lt;=T45),AS45,0),IF(AND(NOT(AND(AO45=1,AN45&lt;&gt;1)),ISNUMBER(AH45),AH45&lt;=T45),AT45,0),IF(AND(NOT(AND(AO45=1,AN45&lt;&gt;1)),ISNUMBER(AI45),AI45&lt;=T45),AU45,0),IF(AND(ISNUMBER(AJ45),AJ45&lt;=T45),AV45,0))),"SW",IF(AND(IF(AND(NOT(AND(AO45=1,AN45&lt;&gt;1)),ISNUMBER(AH45),AH45&lt;=T45),AT45,0)&gt;0,IF(AND(NOT(AND(AO45=1,AN45&lt;&gt;1)),ISNUMBER(AH45),AH45&lt;=T45),AT45,0)=MAX(IF(AND(NOT(AND(AO45=1,AN45&lt;&gt;1)),ISNUMBER(AG45),AG45&lt;=T45),AS45,0),IF(AND(NOT(AND(AO45=1,AN45&lt;&gt;1)),ISNUMBER(AH45),AH45&lt;=T45),AT45,0),IF(AND(NOT(AND(AO45=1,AN45&lt;&gt;1)),ISNUMBER(AI45),AI45&lt;=T45),AU45,0),IF(AND(ISNUMBER(AJ45),AJ45&lt;=T45),AV45,0))),"AB",IF(AND(IF(AND(NOT(AND(AO45=1,AN45&lt;&gt;1)),ISNUMBER(AI45),AI45&lt;=T45),AU45,0)&gt;0,IF(AND(NOT(AND(AO45=1,AN45&lt;&gt;1)),ISNUMBER(AI45),AI45&lt;=T45),AU45,0)=MAX(IF(AND(NOT(AND(AO45=1,AN45&lt;&gt;1)),ISNUMBER(AG45),AG45&lt;=T45),AS45,0),IF(AND(NOT(AND(AO45=1,AN45&lt;&gt;1)),ISNUMBER(AH45),AH45&lt;=T45),AT45,0),IF(AND(NOT(AND(AO45=1,AN45&lt;&gt;1)),ISNUMBER(AI45),AI45&lt;=T45),AU45,0),IF(AND(ISNUMBER(AJ45),AJ45&lt;=T45),AV45,0))),"SC","Mag")))))))</f>
        <v/>
      </c>
    </row>
    <row r="46">
      <c r="A46" s="26" t="n">
        <v>41</v>
      </c>
      <c r="B46" s="27">
        <f>A46*10/60</f>
        <v/>
      </c>
      <c r="C46" s="22">
        <f>X45</f>
        <v/>
      </c>
      <c r="D46" s="27">
        <f>D45+W45</f>
        <v/>
      </c>
      <c r="E46" s="26">
        <f>E45+IF(U45="SW",1,0)</f>
        <v/>
      </c>
      <c r="F46" s="26">
        <f>F45+IF(U45="AB",1,0)</f>
        <v/>
      </c>
      <c r="G46" s="26">
        <f>G45+IF(U45="SC",1,0)</f>
        <v/>
      </c>
      <c r="H46" s="26">
        <f>H45+IF(U45="Mag",1,0)</f>
        <v/>
      </c>
      <c r="I46" s="26">
        <f>MAX(I45,IF(U45="OR",1,0))</f>
        <v/>
      </c>
      <c r="J46" s="26">
        <f>MAX(J45,IF(U45="HP",1,0))</f>
        <v/>
      </c>
      <c r="K46" s="26">
        <f>MAX(K45,IF(U45="FP",1,0))</f>
        <v/>
      </c>
      <c r="L46" s="26">
        <f>MAX(L45,IF(U45="transition",1,0))</f>
        <v/>
      </c>
      <c r="M46" s="28">
        <f>(Parameters!$B$9+(IF(E46=0,0,(Upgrades!$J$6+E46*Upgrades!$K$6)*POWER(Upgrades!$L$6,E46)))*(IF(Upgrades!$T$7="Solar Wind",POWER(Upgrades!$U$7,F46),1)*IF(Upgrades!$T$8="Solar Wind",POWER(Upgrades!$U$8,G46),1)*IF(Upgrades!$T$9="Solar Wind",POWER(Upgrades!$U$9,H46),1)*IF(Upgrades!$T$10="Solar Wind",POWER(Upgrades!$U$10,I46),1)*IF(Upgrades!$T$11="Solar Wind",POWER(Upgrades!$U$11,J46),1)*IF(Upgrades!$T$12="Solar Wind",POWER(Upgrades!$U$12,K46),1))+(IF(F46=0,0,(Upgrades!$J$7+F46*Upgrades!$K$7)*POWER(Upgrades!$L$7,F46)))*(IF(Upgrades!$T$6="Asteroid Belt",POWER(Upgrades!$U$6,E46),1)*IF(Upgrades!$T$8="Asteroid Belt",POWER(Upgrades!$U$8,G46),1)*IF(Upgrades!$T$9="Asteroid Belt",POWER(Upgrades!$U$9,H46),1)*IF(Upgrades!$T$10="Asteroid Belt",POWER(Upgrades!$U$10,I46),1)*IF(Upgrades!$T$11="Asteroid Belt",POWER(Upgrades!$U$11,J46),1)*IF(Upgrades!$T$12="Asteroid Belt",POWER(Upgrades!$U$12,K46),1))+(IF(G46=0,0,(Upgrades!$J$8+G46*Upgrades!$K$8)*POWER(Upgrades!$L$8,G46)))*(IF(Upgrades!$T$6="Stellar Coupling",POWER(Upgrades!$U$6,E46),1)*IF(Upgrades!$T$7="Stellar Coupling",POWER(Upgrades!$U$7,F46),1)*IF(Upgrades!$T$9="Stellar Coupling",POWER(Upgrades!$U$9,H46),1)*IF(Upgrades!$T$10="Stellar Coupling",POWER(Upgrades!$U$10,I46),1)*IF(Upgrades!$T$11="Stellar Coupling",POWER(Upgrades!$U$11,J46),1)*IF(Upgrades!$T$12="Stellar Coupling",POWER(Upgrades!$U$12,K46),1))+(IF(H46=0,0,(Upgrades!$J$9+H46*Upgrades!$K$9)*POWER(Upgrades!$L$9,H46)))*(IF(Upgrades!$T$6="Magnetosphere",POWER(Upgrades!$U$6,E46),1)*IF(Upgrades!$T$7="Magnetosphere",POWER(Upgrades!$U$7,F46),1)*IF(Upgrades!$T$8="Magnetosphere",POWER(Upgrades!$U$8,G46),1)*IF(Upgrades!$T$10="Magnetosphere",POWER(Upgrades!$U$10,I46),1)*IF(Upgrades!$T$11="Magnetosphere",POWER(Upgrades!$U$11,J46),1)*IF(Upgrades!$T$12="Magnetosphere",POWER(Upgrades!$U$12,K46),1))+(IF(I46=0,0,(Upgrades!$J$10+I46*Upgrades!$K$10)*POWER(Upgrades!$L$10,I46)))*(IF(Upgrades!$T$6="Orbital Resonance",POWER(Upgrades!$U$6,E46),1)*IF(Upgrades!$T$7="Orbital Resonance",POWER(Upgrades!$U$7,F46),1)*IF(Upgrades!$T$8="Orbital Resonance",POWER(Upgrades!$U$8,G46),1)*IF(Upgrades!$T$9="Orbital Resonance",POWER(Upgrades!$U$9,H46),1)*IF(Upgrades!$T$11="Orbital Resonance",POWER(Upgrades!$U$11,J46),1)*IF(Upgrades!$T$12="Orbital Resonance",POWER(Upgrades!$U$12,K46),1))+(IF(J46=0,0,(Upgrades!$J$11+J46*Upgrades!$K$11)*POWER(Upgrades!$L$11,J46)))*(IF(Upgrades!$T$6="Heliopause",POWER(Upgrades!$U$6,E46),1)*IF(Upgrades!$T$7="Heliopause",POWER(Upgrades!$U$7,F46),1)*IF(Upgrades!$T$8="Heliopause",POWER(Upgrades!$U$8,G46),1)*IF(Upgrades!$T$9="Heliopause",POWER(Upgrades!$U$9,H46),1)*IF(Upgrades!$T$10="Heliopause",POWER(Upgrades!$U$10,I46),1)*IF(Upgrades!$T$12="Heliopause",POWER(Upgrades!$U$12,K46),1))+(IF(K46=0,0,(Upgrades!$J$12+K46*Upgrades!$K$12)*POWER(Upgrades!$L$12,K46)))*(IF(Upgrades!$T$6="First Photons",POWER(Upgrades!$U$6,E46),1)*IF(Upgrades!$T$7="First Photons",POWER(Upgrades!$U$7,F46),1)*IF(Upgrades!$T$8="First Photons",POWER(Upgrades!$U$8,G46),1)*IF(Upgrades!$T$9="First Photons",POWER(Upgrades!$U$9,H46),1)*IF(Upgrades!$T$10="First Photons",POWER(Upgrades!$U$10,I46),1)*IF(Upgrades!$T$11="First Photons",POWER(Upgrades!$U$11,J46),1)))*POWER(Upgrades!$Q$6,E46)*POWER(Upgrades!$Q$7,F46)*POWER(Upgrades!$Q$8,G46)*POWER(Upgrades!$Q$9,H46)*POWER(Upgrades!$Q$10,I46)*POWER(Upgrades!$Q$11,J46)*POWER(Upgrades!$Q$12,K46)</f>
        <v/>
      </c>
      <c r="N46" s="28">
        <f>((IF(E46=0,0,(Upgrades!$G$6+E46*Upgrades!$H$6)*POWER(Upgrades!$I$6,E46)))*(IF(Upgrades!$T$7="Solar Wind",POWER(Upgrades!$U$7,F46),1)*IF(Upgrades!$T$8="Solar Wind",POWER(Upgrades!$U$8,G46),1)*IF(Upgrades!$T$9="Solar Wind",POWER(Upgrades!$U$9,H46),1)*IF(Upgrades!$T$10="Solar Wind",POWER(Upgrades!$U$10,I46),1)*IF(Upgrades!$T$11="Solar Wind",POWER(Upgrades!$U$11,J46),1)*IF(Upgrades!$T$12="Solar Wind",POWER(Upgrades!$U$12,K46),1))+(IF(F46=0,0,(Upgrades!$G$7+F46*Upgrades!$H$7)*POWER(Upgrades!$I$7,F46)))*(IF(Upgrades!$T$6="Asteroid Belt",POWER(Upgrades!$U$6,E46),1)*IF(Upgrades!$T$8="Asteroid Belt",POWER(Upgrades!$U$8,G46),1)*IF(Upgrades!$T$9="Asteroid Belt",POWER(Upgrades!$U$9,H46),1)*IF(Upgrades!$T$10="Asteroid Belt",POWER(Upgrades!$U$10,I46),1)*IF(Upgrades!$T$11="Asteroid Belt",POWER(Upgrades!$U$11,J46),1)*IF(Upgrades!$T$12="Asteroid Belt",POWER(Upgrades!$U$12,K46),1))+(IF(G46=0,0,(Upgrades!$G$8+G46*Upgrades!$H$8)*POWER(Upgrades!$I$8,G46)))*(IF(Upgrades!$T$6="Stellar Coupling",POWER(Upgrades!$U$6,E46),1)*IF(Upgrades!$T$7="Stellar Coupling",POWER(Upgrades!$U$7,F46),1)*IF(Upgrades!$T$9="Stellar Coupling",POWER(Upgrades!$U$9,H46),1)*IF(Upgrades!$T$10="Stellar Coupling",POWER(Upgrades!$U$10,I46),1)*IF(Upgrades!$T$11="Stellar Coupling",POWER(Upgrades!$U$11,J46),1)*IF(Upgrades!$T$12="Stellar Coupling",POWER(Upgrades!$U$12,K46),1))+(IF(H46=0,0,(Upgrades!$G$9+H46*Upgrades!$H$9)*POWER(Upgrades!$I$9,H46)))*(IF(Upgrades!$T$6="Magnetosphere",POWER(Upgrades!$U$6,E46),1)*IF(Upgrades!$T$7="Magnetosphere",POWER(Upgrades!$U$7,F46),1)*IF(Upgrades!$T$8="Magnetosphere",POWER(Upgrades!$U$8,G46),1)*IF(Upgrades!$T$10="Magnetosphere",POWER(Upgrades!$U$10,I46),1)*IF(Upgrades!$T$11="Magnetosphere",POWER(Upgrades!$U$11,J46),1)*IF(Upgrades!$T$12="Magnetosphere",POWER(Upgrades!$U$12,K46),1))+(IF(I46=0,0,(Upgrades!$G$10+I46*Upgrades!$H$10)*POWER(Upgrades!$I$10,I46)))*(IF(Upgrades!$T$6="Orbital Resonance",POWER(Upgrades!$U$6,E46),1)*IF(Upgrades!$T$7="Orbital Resonance",POWER(Upgrades!$U$7,F46),1)*IF(Upgrades!$T$8="Orbital Resonance",POWER(Upgrades!$U$8,G46),1)*IF(Upgrades!$T$9="Orbital Resonance",POWER(Upgrades!$U$9,H46),1)*IF(Upgrades!$T$11="Orbital Resonance",POWER(Upgrades!$U$11,J46),1)*IF(Upgrades!$T$12="Orbital Resonance",POWER(Upgrades!$U$12,K46),1))+(IF(J46=0,0,(Upgrades!$G$11+J46*Upgrades!$H$11)*POWER(Upgrades!$I$11,J46)))*(IF(Upgrades!$T$6="Heliopause",POWER(Upgrades!$U$6,E46),1)*IF(Upgrades!$T$7="Heliopause",POWER(Upgrades!$U$7,F46),1)*IF(Upgrades!$T$8="Heliopause",POWER(Upgrades!$U$8,G46),1)*IF(Upgrades!$T$9="Heliopause",POWER(Upgrades!$U$9,H46),1)*IF(Upgrades!$T$10="Heliopause",POWER(Upgrades!$U$10,I46),1)*IF(Upgrades!$T$12="Heliopause",POWER(Upgrades!$U$12,K46),1))+(IF(K46=0,0,(Upgrades!$G$12+K46*Upgrades!$H$12)*POWER(Upgrades!$I$12,K46)))*(IF(Upgrades!$T$6="First Photons",POWER(Upgrades!$U$6,E46),1)*IF(Upgrades!$T$7="First Photons",POWER(Upgrades!$U$7,F46),1)*IF(Upgrades!$T$8="First Photons",POWER(Upgrades!$U$8,G46),1)*IF(Upgrades!$T$9="First Photons",POWER(Upgrades!$U$9,H46),1)*IF(Upgrades!$T$10="First Photons",POWER(Upgrades!$U$10,I46),1)*IF(Upgrades!$T$11="First Photons",POWER(Upgrades!$U$11,J46),1)))*POWER(Upgrades!$P$6,E46)*POWER(Upgrades!$P$7,F46)*POWER(Upgrades!$P$8,G46)*POWER(Upgrades!$P$9,H46)*POWER(Upgrades!$P$10,I46)*POWER(Upgrades!$P$11,J46)*POWER(Upgrades!$P$12,K46)</f>
        <v/>
      </c>
      <c r="O46" s="28">
        <f>((IF(E46=0,0,(Upgrades!$M$6+E46*Upgrades!$N$6)*POWER(Upgrades!$O$6,E46)))*(IF(Upgrades!$T$7="Solar Wind",POWER(Upgrades!$U$7,F46),1)*IF(Upgrades!$T$8="Solar Wind",POWER(Upgrades!$U$8,G46),1)*IF(Upgrades!$T$9="Solar Wind",POWER(Upgrades!$U$9,H46),1)*IF(Upgrades!$T$10="Solar Wind",POWER(Upgrades!$U$10,I46),1)*IF(Upgrades!$T$11="Solar Wind",POWER(Upgrades!$U$11,J46),1)*IF(Upgrades!$T$12="Solar Wind",POWER(Upgrades!$U$12,K46),1))+(IF(F46=0,0,(Upgrades!$M$7+F46*Upgrades!$N$7)*POWER(Upgrades!$O$7,F46)))*(IF(Upgrades!$T$6="Asteroid Belt",POWER(Upgrades!$U$6,E46),1)*IF(Upgrades!$T$8="Asteroid Belt",POWER(Upgrades!$U$8,G46),1)*IF(Upgrades!$T$9="Asteroid Belt",POWER(Upgrades!$U$9,H46),1)*IF(Upgrades!$T$10="Asteroid Belt",POWER(Upgrades!$U$10,I46),1)*IF(Upgrades!$T$11="Asteroid Belt",POWER(Upgrades!$U$11,J46),1)*IF(Upgrades!$T$12="Asteroid Belt",POWER(Upgrades!$U$12,K46),1))+(IF(G46=0,0,(Upgrades!$M$8+G46*Upgrades!$N$8)*POWER(Upgrades!$O$8,G46)))*(IF(Upgrades!$T$6="Stellar Coupling",POWER(Upgrades!$U$6,E46),1)*IF(Upgrades!$T$7="Stellar Coupling",POWER(Upgrades!$U$7,F46),1)*IF(Upgrades!$T$9="Stellar Coupling",POWER(Upgrades!$U$9,H46),1)*IF(Upgrades!$T$10="Stellar Coupling",POWER(Upgrades!$U$10,I46),1)*IF(Upgrades!$T$11="Stellar Coupling",POWER(Upgrades!$U$11,J46),1)*IF(Upgrades!$T$12="Stellar Coupling",POWER(Upgrades!$U$12,K46),1))+(IF(H46=0,0,(Upgrades!$M$9+H46*Upgrades!$N$9)*POWER(Upgrades!$O$9,H46)))*(IF(Upgrades!$T$6="Magnetosphere",POWER(Upgrades!$U$6,E46),1)*IF(Upgrades!$T$7="Magnetosphere",POWER(Upgrades!$U$7,F46),1)*IF(Upgrades!$T$8="Magnetosphere",POWER(Upgrades!$U$8,G46),1)*IF(Upgrades!$T$10="Magnetosphere",POWER(Upgrades!$U$10,I46),1)*IF(Upgrades!$T$11="Magnetosphere",POWER(Upgrades!$U$11,J46),1)*IF(Upgrades!$T$12="Magnetosphere",POWER(Upgrades!$U$12,K46),1))+(IF(I46=0,0,(Upgrades!$M$10+I46*Upgrades!$N$10)*POWER(Upgrades!$O$10,I46)))*(IF(Upgrades!$T$6="Orbital Resonance",POWER(Upgrades!$U$6,E46),1)*IF(Upgrades!$T$7="Orbital Resonance",POWER(Upgrades!$U$7,F46),1)*IF(Upgrades!$T$8="Orbital Resonance",POWER(Upgrades!$U$8,G46),1)*IF(Upgrades!$T$9="Orbital Resonance",POWER(Upgrades!$U$9,H46),1)*IF(Upgrades!$T$11="Orbital Resonance",POWER(Upgrades!$U$11,J46),1)*IF(Upgrades!$T$12="Orbital Resonance",POWER(Upgrades!$U$12,K46),1))+(IF(J46=0,0,(Upgrades!$M$11+J46*Upgrades!$N$11)*POWER(Upgrades!$O$11,J46)))*(IF(Upgrades!$T$6="Heliopause",POWER(Upgrades!$U$6,E46),1)*IF(Upgrades!$T$7="Heliopause",POWER(Upgrades!$U$7,F46),1)*IF(Upgrades!$T$8="Heliopause",POWER(Upgrades!$U$8,G46),1)*IF(Upgrades!$T$9="Heliopause",POWER(Upgrades!$U$9,H46),1)*IF(Upgrades!$T$10="Heliopause",POWER(Upgrades!$U$10,I46),1)*IF(Upgrades!$T$12="Heliopause",POWER(Upgrades!$U$12,K46),1))+(IF(K46=0,0,(Upgrades!$M$12+K46*Upgrades!$N$12)*POWER(Upgrades!$O$12,K46)))*(IF(Upgrades!$T$6="First Photons",POWER(Upgrades!$U$6,E46),1)*IF(Upgrades!$T$7="First Photons",POWER(Upgrades!$U$7,F46),1)*IF(Upgrades!$T$8="First Photons",POWER(Upgrades!$U$8,G46),1)*IF(Upgrades!$T$9="First Photons",POWER(Upgrades!$U$9,H46),1)*IF(Upgrades!$T$10="First Photons",POWER(Upgrades!$U$10,I46),1)*IF(Upgrades!$T$11="First Photons",POWER(Upgrades!$U$11,J46),1)))*POWER(Upgrades!$R$6,E46)*POWER(Upgrades!$R$7,F46)*POWER(Upgrades!$R$8,G46)*POWER(Upgrades!$R$9,H46)*POWER(Upgrades!$R$10,I46)*POWER(Upgrades!$R$11,J46)*POWER(Upgrades!$R$12,K46)</f>
        <v/>
      </c>
      <c r="P46" s="27">
        <f>IF(L46=1,0,M46*Parameters!$B$10/60*Parameters!$B$11*10)</f>
        <v/>
      </c>
      <c r="Q46" s="27">
        <f>IF(L46=1,0,O46*M46*10)</f>
        <v/>
      </c>
      <c r="R46" s="27">
        <f>IF(L46=1,0,N46*10)</f>
        <v/>
      </c>
      <c r="S46" s="27">
        <f>P46+Q46+R46</f>
        <v/>
      </c>
      <c r="T46" s="22">
        <f>C46+S46</f>
        <v/>
      </c>
      <c r="U46" s="33">
        <f>AX46</f>
        <v/>
      </c>
      <c r="V46" s="22">
        <f>IF(U46="",0,IF(U46="transition",0,IF(U46="SW",AG46,IF(U46="AB",AH46,IF(U46="SC",AI46,IF(U46="Mag",AJ46,IF(U46="OR",AK46,IF(U46="HP",AL46,IF(U46="FP",AM46,0)))))))))</f>
        <v/>
      </c>
      <c r="W46" s="27">
        <f>IF(U46="OR",Upgrades!$F$10,IF(U46="HP",Upgrades!$F$11,IF(U46="transition",-Parameters!$B$18,0)))</f>
        <v/>
      </c>
      <c r="X46" s="22">
        <f>T46-V46</f>
        <v/>
      </c>
      <c r="Y46" s="30">
        <f>M46*Parameters!$B$10/60*Parameters!$B$11+O46*M46+N46</f>
        <v/>
      </c>
      <c r="Z46" s="34">
        <f>IF(U46="transition","→ Tier 2 (Stellar Neighborhood)",IF(U46="FP","First Photons — light begins, system quickens",IF(U46="HP","Heliopause acquired",IF(U46="OR","Orbital Resonance — passive multiplier active",IF(AND(AO46=1,L46=0,AN46&lt;&gt;1),"Cohesion ready (waiting on completionist upgrades)","")))))</f>
        <v/>
      </c>
      <c r="AA46" s="27">
        <f>(IF(E46=0,0,(Upgrades!$G$6+E46*Upgrades!$H$6)*POWER(Upgrades!$I$6,E46)))*(IF(Upgrades!$T$7="Solar Wind",POWER(Upgrades!$U$7,F46),1)*IF(Upgrades!$T$8="Solar Wind",POWER(Upgrades!$U$8,G46),1)*IF(Upgrades!$T$9="Solar Wind",POWER(Upgrades!$U$9,H46),1)*IF(Upgrades!$T$10="Solar Wind",POWER(Upgrades!$U$10,I46),1)*IF(Upgrades!$T$11="Solar Wind",POWER(Upgrades!$U$11,J46),1)*IF(Upgrades!$T$12="Solar Wind",POWER(Upgrades!$U$12,K46),1))*POWER(Upgrades!$P$6,E46)*POWER(Upgrades!$P$7,F46)*POWER(Upgrades!$P$8,G46)*POWER(Upgrades!$P$9,H46)*POWER(Upgrades!$P$10,I46)*POWER(Upgrades!$P$11,J46)*POWER(Upgrades!$P$12,K46)*60</f>
        <v/>
      </c>
      <c r="AB46" s="27">
        <f>(IF(F46=0,0,(Upgrades!$G$7+F46*Upgrades!$H$7)*POWER(Upgrades!$I$7,F46)))*(IF(Upgrades!$T$6="Asteroid Belt",POWER(Upgrades!$U$6,E46),1)*IF(Upgrades!$T$8="Asteroid Belt",POWER(Upgrades!$U$8,G46),1)*IF(Upgrades!$T$9="Asteroid Belt",POWER(Upgrades!$U$9,H46),1)*IF(Upgrades!$T$10="Asteroid Belt",POWER(Upgrades!$U$10,I46),1)*IF(Upgrades!$T$11="Asteroid Belt",POWER(Upgrades!$U$11,J46),1)*IF(Upgrades!$T$12="Asteroid Belt",POWER(Upgrades!$U$12,K46),1))*POWER(Upgrades!$P$6,E46)*POWER(Upgrades!$P$7,F46)*POWER(Upgrades!$P$8,G46)*POWER(Upgrades!$P$9,H46)*POWER(Upgrades!$P$10,I46)*POWER(Upgrades!$P$11,J46)*POWER(Upgrades!$P$12,K46)*60</f>
        <v/>
      </c>
      <c r="AC46" s="27">
        <f>(IF(G46=0,0,(Upgrades!$J$8+G46*Upgrades!$K$8)*POWER(Upgrades!$L$8,G46)))*(IF(Upgrades!$T$6="Stellar Coupling",POWER(Upgrades!$U$6,E46),1)*IF(Upgrades!$T$7="Stellar Coupling",POWER(Upgrades!$U$7,F46),1)*IF(Upgrades!$T$9="Stellar Coupling",POWER(Upgrades!$U$9,H46),1)*IF(Upgrades!$T$10="Stellar Coupling",POWER(Upgrades!$U$10,I46),1)*IF(Upgrades!$T$11="Stellar Coupling",POWER(Upgrades!$U$11,J46),1)*IF(Upgrades!$T$12="Stellar Coupling",POWER(Upgrades!$U$12,K46),1))*POWER(Upgrades!$Q$6,E46)*POWER(Upgrades!$Q$7,F46)*POWER(Upgrades!$Q$8,G46)*POWER(Upgrades!$Q$9,H46)*POWER(Upgrades!$Q$10,I46)*POWER(Upgrades!$Q$11,J46)*POWER(Upgrades!$Q$12,K46)*Parameters!$B$10*Parameters!$B$11</f>
        <v/>
      </c>
      <c r="AD46" s="27">
        <f>(IF(H46=0,0,(Upgrades!$G$9+H46*Upgrades!$H$9)*POWER(Upgrades!$I$9,H46)))*(IF(Upgrades!$T$6="Magnetosphere",POWER(Upgrades!$U$6,E46),1)*IF(Upgrades!$T$7="Magnetosphere",POWER(Upgrades!$U$7,F46),1)*IF(Upgrades!$T$8="Magnetosphere",POWER(Upgrades!$U$8,G46),1)*IF(Upgrades!$T$10="Magnetosphere",POWER(Upgrades!$U$10,I46),1)*IF(Upgrades!$T$11="Magnetosphere",POWER(Upgrades!$U$11,J46),1)*IF(Upgrades!$T$12="Magnetosphere",POWER(Upgrades!$U$12,K46),1))*POWER(Upgrades!$P$6,E46)*POWER(Upgrades!$P$7,F46)*POWER(Upgrades!$P$8,G46)*POWER(Upgrades!$P$9,H46)*POWER(Upgrades!$P$10,I46)*POWER(Upgrades!$P$11,J46)*POWER(Upgrades!$P$12,K46)*60</f>
        <v/>
      </c>
      <c r="AE46" s="27">
        <f>(IF(K46=0,0,(Upgrades!$G$12+K46*Upgrades!$H$12)*POWER(Upgrades!$I$12,K46)))*(IF(Upgrades!$T$6="First Photons",POWER(Upgrades!$U$6,E46),1)*IF(Upgrades!$T$7="First Photons",POWER(Upgrades!$U$7,F46),1)*IF(Upgrades!$T$8="First Photons",POWER(Upgrades!$U$8,G46),1)*IF(Upgrades!$T$9="First Photons",POWER(Upgrades!$U$9,H46),1)*IF(Upgrades!$T$10="First Photons",POWER(Upgrades!$U$10,I46),1)*IF(Upgrades!$T$11="First Photons",POWER(Upgrades!$U$11,J46),1))*POWER(Upgrades!$P$6,E46)*POWER(Upgrades!$P$7,F46)*POWER(Upgrades!$P$8,G46)*POWER(Upgrades!$P$9,H46)*POWER(Upgrades!$P$10,I46)*POWER(Upgrades!$P$11,J46)*POWER(Upgrades!$P$12,K46)*60</f>
        <v/>
      </c>
      <c r="AF46" s="27">
        <f>Parameters!$B$9*POWER(Upgrades!$Q$6,E46)*POWER(Upgrades!$Q$7,F46)*POWER(Upgrades!$Q$8,G46)*POWER(Upgrades!$Q$9,H46)*POWER(Upgrades!$Q$10,I46)*POWER(Upgrades!$Q$11,J46)*POWER(Upgrades!$Q$12,K46)*(Parameters!$B$10*Parameters!$B$11+O46*60)</f>
        <v/>
      </c>
      <c r="AG46" s="22">
        <f>IF(E46&gt;=Upgrades!$E$6,"",Upgrades!$C$6*POWER(Upgrades!$D$6,E46))</f>
        <v/>
      </c>
      <c r="AH46" s="22">
        <f>IF(F46&gt;=Upgrades!$E$7,"",Upgrades!$C$7*POWER(Upgrades!$D$7,F46))</f>
        <v/>
      </c>
      <c r="AI46" s="22">
        <f>IF(G46&gt;=Upgrades!$E$8,"",Upgrades!$C$8*POWER(Upgrades!$D$8,G46))</f>
        <v/>
      </c>
      <c r="AJ46" s="22">
        <f>IF(H46&gt;=Upgrades!$E$9,"",Upgrades!$C$9*POWER(Upgrades!$D$9,H46))</f>
        <v/>
      </c>
      <c r="AK46" s="22">
        <f>IF(I46&gt;=Upgrades!$E$10,"",Upgrades!$C$10*POWER(Upgrades!$D$10,I46))</f>
        <v/>
      </c>
      <c r="AL46" s="22">
        <f>IF(J46&gt;=Upgrades!$E$11,"",Upgrades!$C$11*POWER(Upgrades!$D$11,J46))</f>
        <v/>
      </c>
      <c r="AM46" s="22">
        <f>IF(K46&gt;=Upgrades!$E$12,"",Upgrades!$C$12*POWER(Upgrades!$D$12,K46))</f>
        <v/>
      </c>
      <c r="AN46" s="26">
        <f>IF(AND(D46&gt;=Parameters!$B$18,(H46&gt;=Upgrades!$E$9)*(K46&gt;=Upgrades!$E$12)=1,L46=0),1,"")</f>
        <v/>
      </c>
      <c r="AO46" s="26">
        <f>IF(AND(D46&gt;=Parameters!$B$18,L46=0),1,"")</f>
        <v/>
      </c>
      <c r="AP46" s="22">
        <f>MIN(IF(ISNUMBER(AK46),AK46,9E15),IF(ISNUMBER(AL46),AL46,9E15),IF(ISNUMBER(AM46),AM46,9E15))</f>
        <v/>
      </c>
      <c r="AQ46" s="22">
        <f>MIN(IF(ISNUMBER(AG46),AG46,9E15),IF(ISNUMBER(AH46),AH46,9E15),IF(ISNUMBER(AI46),AI46,9E15),IF(ISNUMBER(AJ46),AJ46,9E15))</f>
        <v/>
      </c>
      <c r="AR46" s="29">
        <f>IF(AW46&gt;Parameters!$B$21*(MAX(IF(AND(NOT(AND(AO46=1,AN46&lt;&gt;1)),ISNUMBER(AG46),AG46&lt;=T46),AS46,0),IF(AND(NOT(AND(AO46=1,AN46&lt;&gt;1)),ISNUMBER(AH46),AH46&lt;=T46),AT46,0),IF(AND(NOT(AND(AO46=1,AN46&lt;&gt;1)),ISNUMBER(AI46),AI46&lt;=T46),AU46,0),IF(AND(ISNUMBER(AJ46),AJ46&lt;=T46),AV46,0))),TRUE,FALSE)</f>
        <v/>
      </c>
      <c r="AS46" s="32">
        <f>IFERROR(Upgrades!$H$6*(POWER(Upgrades!$P$6,E46)*POWER(Upgrades!$P$7,F46)*POWER(Upgrades!$P$8,G46)*POWER(Upgrades!$P$9,H46)*POWER(Upgrades!$P$10,I46)*POWER(Upgrades!$P$11,J46)*POWER(Upgrades!$P$12,K46))*(IF(Upgrades!$T$7="Solar Wind",POWER(Upgrades!$U$7,F46),1)*IF(Upgrades!$T$8="Solar Wind",POWER(Upgrades!$U$8,G46),1)*IF(Upgrades!$T$9="Solar Wind",POWER(Upgrades!$U$9,H46),1)*IF(Upgrades!$T$10="Solar Wind",POWER(Upgrades!$U$10,I46),1)*IF(Upgrades!$T$11="Solar Wind",POWER(Upgrades!$U$11,J46),1)*IF(Upgrades!$T$12="Solar Wind",POWER(Upgrades!$U$12,K46),1))/AG46,0)</f>
        <v/>
      </c>
      <c r="AT46" s="32">
        <f>IFERROR(Upgrades!$H$7*(POWER(Upgrades!$P$6,E46)*POWER(Upgrades!$P$7,F46)*POWER(Upgrades!$P$8,G46)*POWER(Upgrades!$P$9,H46)*POWER(Upgrades!$P$10,I46)*POWER(Upgrades!$P$11,J46)*POWER(Upgrades!$P$12,K46))*(IF(Upgrades!$T$6="Asteroid Belt",POWER(Upgrades!$U$6,E46),1)*IF(Upgrades!$T$8="Asteroid Belt",POWER(Upgrades!$U$8,G46),1)*IF(Upgrades!$T$9="Asteroid Belt",POWER(Upgrades!$U$9,H46),1)*IF(Upgrades!$T$10="Asteroid Belt",POWER(Upgrades!$U$10,I46),1)*IF(Upgrades!$T$11="Asteroid Belt",POWER(Upgrades!$U$11,J46),1)*IF(Upgrades!$T$12="Asteroid Belt",POWER(Upgrades!$U$12,K46),1))/AH46,0)</f>
        <v/>
      </c>
      <c r="AU46" s="32">
        <f>IFERROR(Upgrades!$K$8*(POWER(Upgrades!$Q$6,E46)*POWER(Upgrades!$Q$7,F46)*POWER(Upgrades!$Q$8,G46)*POWER(Upgrades!$Q$9,H46)*POWER(Upgrades!$Q$10,I46)*POWER(Upgrades!$Q$11,J46)*POWER(Upgrades!$Q$12,K46))*(IF(Upgrades!$T$6="Stellar Coupling",POWER(Upgrades!$U$6,E46),1)*IF(Upgrades!$T$7="Stellar Coupling",POWER(Upgrades!$U$7,F46),1)*IF(Upgrades!$T$9="Stellar Coupling",POWER(Upgrades!$U$9,H46),1)*IF(Upgrades!$T$10="Stellar Coupling",POWER(Upgrades!$U$10,I46),1)*IF(Upgrades!$T$11="Stellar Coupling",POWER(Upgrades!$U$11,J46),1)*IF(Upgrades!$T$12="Stellar Coupling",POWER(Upgrades!$U$12,K46),1))*Parameters!$B$10*Parameters!$B$11/60/AI46,0)</f>
        <v/>
      </c>
      <c r="AV46" s="32">
        <f>IFERROR(Upgrades!$H$9*(POWER(Upgrades!$P$6,E46)*POWER(Upgrades!$P$7,F46)*POWER(Upgrades!$P$8,G46)*POWER(Upgrades!$P$9,H46)*POWER(Upgrades!$P$10,I46)*POWER(Upgrades!$P$11,J46)*POWER(Upgrades!$P$12,K46))*(IF(Upgrades!$T$6="Magnetosphere",POWER(Upgrades!$U$6,E46),1)*IF(Upgrades!$T$7="Magnetosphere",POWER(Upgrades!$U$7,F46),1)*IF(Upgrades!$T$8="Magnetosphere",POWER(Upgrades!$U$8,G46),1)*IF(Upgrades!$T$10="Magnetosphere",POWER(Upgrades!$U$10,I46),1)*IF(Upgrades!$T$11="Magnetosphere",POWER(Upgrades!$U$11,J46),1)*IF(Upgrades!$T$12="Magnetosphere",POWER(Upgrades!$U$12,K46),1))/AJ46,0)</f>
        <v/>
      </c>
      <c r="AW46" s="32">
        <f>MAX(IF(I46&gt;0,0,IFERROR(0.25*N46/Upgrades!$C$10,0)),IF(J46&gt;0,0,IFERROR(0.5*((IF(G46=0,0,(Upgrades!$J$8+G46*Upgrades!$K$8)*POWER(Upgrades!$L$8,G46)))*(IF(Upgrades!$T$6="Stellar Coupling",POWER(Upgrades!$U$6,E46),1)*IF(Upgrades!$T$7="Stellar Coupling",POWER(Upgrades!$U$7,F46),1)*IF(Upgrades!$T$9="Stellar Coupling",POWER(Upgrades!$U$9,H46),1)*IF(Upgrades!$T$10="Stellar Coupling",POWER(Upgrades!$U$10,I46),1)*IF(Upgrades!$T$11="Stellar Coupling",POWER(Upgrades!$U$11,J46),1)*IF(Upgrades!$T$12="Stellar Coupling",POWER(Upgrades!$U$12,K46),1))*(POWER(Upgrades!$Q$6,E46)*POWER(Upgrades!$Q$7,F46)*POWER(Upgrades!$Q$8,G46)*POWER(Upgrades!$Q$9,H46)*POWER(Upgrades!$Q$10,I46)*POWER(Upgrades!$Q$11,J46)*POWER(Upgrades!$Q$12,K46))*Parameters!$B$10*Parameters!$B$11/60)/Upgrades!$C$11,0)),IF(K46&gt;0,0,IFERROR((1.0*(POWER(Upgrades!$P$6,E46)*POWER(Upgrades!$P$7,F46)*POWER(Upgrades!$P$8,G46)*POWER(Upgrades!$P$9,H46)*POWER(Upgrades!$P$10,I46)*POWER(Upgrades!$P$11,J46)*POWER(Upgrades!$P$12,K46))+0.20*M46*Parameters!$B$10*Parameters!$B$11/60)/Upgrades!$C$12,0)),IF(AND(ISNUMBER(AG46),AG46&gt;T46),AS46,0),IF(AND(ISNUMBER(AH46),AH46&gt;T46),AT46,0),IF(AND(ISNUMBER(AI46),AI46&gt;T46),AU46,0),IF(AND(ISNUMBER(AJ46),AJ46&gt;T46),AV46,0))</f>
        <v/>
      </c>
      <c r="AX46" s="29">
        <f>IF(AN46=1,"transition",IF(MIN(IF(AND(I46=0,ISNUMBER(AK46),AK46&lt;=T46),AK46,9E15),IF(AND(J46=0,ISNUMBER(AL46),AL46&lt;=T46),AL46,9E15),IF(AND(K46=0,ISNUMBER(AM46),AM46&lt;=T46),AM46,9E15))&lt;9E15,IF(AND(AND(I46=0,ISNUMBER(AK46),AK46&lt;=T46),AK46=MIN(IF(AND(I46=0,ISNUMBER(AK46),AK46&lt;=T46),AK46,9E15),IF(AND(J46=0,ISNUMBER(AL46),AL46&lt;=T46),AL46,9E15),IF(AND(K46=0,ISNUMBER(AM46),AM46&lt;=T46),AM46,9E15))),"OR",IF(AND(AND(J46=0,ISNUMBER(AL46),AL46&lt;=T46),AL46=MIN(IF(AND(I46=0,ISNUMBER(AK46),AK46&lt;=T46),AK46,9E15),IF(AND(J46=0,ISNUMBER(AL46),AL46&lt;=T46),AL46,9E15),IF(AND(K46=0,ISNUMBER(AM46),AM46&lt;=T46),AM46,9E15))),"HP","FP")),IF(AR46=TRUE,"",IF(MAX(IF(AND(NOT(AND(AO46=1,AN46&lt;&gt;1)),ISNUMBER(AG46),AG46&lt;=T46),AS46,0),IF(AND(NOT(AND(AO46=1,AN46&lt;&gt;1)),ISNUMBER(AH46),AH46&lt;=T46),AT46,0),IF(AND(NOT(AND(AO46=1,AN46&lt;&gt;1)),ISNUMBER(AI46),AI46&lt;=T46),AU46,0),IF(AND(ISNUMBER(AJ46),AJ46&lt;=T46),AV46,0))&lt;=0,"",IF(AND(IF(AND(NOT(AND(AO46=1,AN46&lt;&gt;1)),ISNUMBER(AG46),AG46&lt;=T46),AS46,0)&gt;0,IF(AND(NOT(AND(AO46=1,AN46&lt;&gt;1)),ISNUMBER(AG46),AG46&lt;=T46),AS46,0)=MAX(IF(AND(NOT(AND(AO46=1,AN46&lt;&gt;1)),ISNUMBER(AG46),AG46&lt;=T46),AS46,0),IF(AND(NOT(AND(AO46=1,AN46&lt;&gt;1)),ISNUMBER(AH46),AH46&lt;=T46),AT46,0),IF(AND(NOT(AND(AO46=1,AN46&lt;&gt;1)),ISNUMBER(AI46),AI46&lt;=T46),AU46,0),IF(AND(ISNUMBER(AJ46),AJ46&lt;=T46),AV46,0))),"SW",IF(AND(IF(AND(NOT(AND(AO46=1,AN46&lt;&gt;1)),ISNUMBER(AH46),AH46&lt;=T46),AT46,0)&gt;0,IF(AND(NOT(AND(AO46=1,AN46&lt;&gt;1)),ISNUMBER(AH46),AH46&lt;=T46),AT46,0)=MAX(IF(AND(NOT(AND(AO46=1,AN46&lt;&gt;1)),ISNUMBER(AG46),AG46&lt;=T46),AS46,0),IF(AND(NOT(AND(AO46=1,AN46&lt;&gt;1)),ISNUMBER(AH46),AH46&lt;=T46),AT46,0),IF(AND(NOT(AND(AO46=1,AN46&lt;&gt;1)),ISNUMBER(AI46),AI46&lt;=T46),AU46,0),IF(AND(ISNUMBER(AJ46),AJ46&lt;=T46),AV46,0))),"AB",IF(AND(IF(AND(NOT(AND(AO46=1,AN46&lt;&gt;1)),ISNUMBER(AI46),AI46&lt;=T46),AU46,0)&gt;0,IF(AND(NOT(AND(AO46=1,AN46&lt;&gt;1)),ISNUMBER(AI46),AI46&lt;=T46),AU46,0)=MAX(IF(AND(NOT(AND(AO46=1,AN46&lt;&gt;1)),ISNUMBER(AG46),AG46&lt;=T46),AS46,0),IF(AND(NOT(AND(AO46=1,AN46&lt;&gt;1)),ISNUMBER(AH46),AH46&lt;=T46),AT46,0),IF(AND(NOT(AND(AO46=1,AN46&lt;&gt;1)),ISNUMBER(AI46),AI46&lt;=T46),AU46,0),IF(AND(ISNUMBER(AJ46),AJ46&lt;=T46),AV46,0))),"SC","Mag")))))))</f>
        <v/>
      </c>
    </row>
    <row r="47">
      <c r="A47" s="26" t="n">
        <v>42</v>
      </c>
      <c r="B47" s="27">
        <f>A47*10/60</f>
        <v/>
      </c>
      <c r="C47" s="22">
        <f>X46</f>
        <v/>
      </c>
      <c r="D47" s="27">
        <f>D46+W46</f>
        <v/>
      </c>
      <c r="E47" s="26">
        <f>E46+IF(U46="SW",1,0)</f>
        <v/>
      </c>
      <c r="F47" s="26">
        <f>F46+IF(U46="AB",1,0)</f>
        <v/>
      </c>
      <c r="G47" s="26">
        <f>G46+IF(U46="SC",1,0)</f>
        <v/>
      </c>
      <c r="H47" s="26">
        <f>H46+IF(U46="Mag",1,0)</f>
        <v/>
      </c>
      <c r="I47" s="26">
        <f>MAX(I46,IF(U46="OR",1,0))</f>
        <v/>
      </c>
      <c r="J47" s="26">
        <f>MAX(J46,IF(U46="HP",1,0))</f>
        <v/>
      </c>
      <c r="K47" s="26">
        <f>MAX(K46,IF(U46="FP",1,0))</f>
        <v/>
      </c>
      <c r="L47" s="26">
        <f>MAX(L46,IF(U46="transition",1,0))</f>
        <v/>
      </c>
      <c r="M47" s="28">
        <f>(Parameters!$B$9+(IF(E47=0,0,(Upgrades!$J$6+E47*Upgrades!$K$6)*POWER(Upgrades!$L$6,E47)))*(IF(Upgrades!$T$7="Solar Wind",POWER(Upgrades!$U$7,F47),1)*IF(Upgrades!$T$8="Solar Wind",POWER(Upgrades!$U$8,G47),1)*IF(Upgrades!$T$9="Solar Wind",POWER(Upgrades!$U$9,H47),1)*IF(Upgrades!$T$10="Solar Wind",POWER(Upgrades!$U$10,I47),1)*IF(Upgrades!$T$11="Solar Wind",POWER(Upgrades!$U$11,J47),1)*IF(Upgrades!$T$12="Solar Wind",POWER(Upgrades!$U$12,K47),1))+(IF(F47=0,0,(Upgrades!$J$7+F47*Upgrades!$K$7)*POWER(Upgrades!$L$7,F47)))*(IF(Upgrades!$T$6="Asteroid Belt",POWER(Upgrades!$U$6,E47),1)*IF(Upgrades!$T$8="Asteroid Belt",POWER(Upgrades!$U$8,G47),1)*IF(Upgrades!$T$9="Asteroid Belt",POWER(Upgrades!$U$9,H47),1)*IF(Upgrades!$T$10="Asteroid Belt",POWER(Upgrades!$U$10,I47),1)*IF(Upgrades!$T$11="Asteroid Belt",POWER(Upgrades!$U$11,J47),1)*IF(Upgrades!$T$12="Asteroid Belt",POWER(Upgrades!$U$12,K47),1))+(IF(G47=0,0,(Upgrades!$J$8+G47*Upgrades!$K$8)*POWER(Upgrades!$L$8,G47)))*(IF(Upgrades!$T$6="Stellar Coupling",POWER(Upgrades!$U$6,E47),1)*IF(Upgrades!$T$7="Stellar Coupling",POWER(Upgrades!$U$7,F47),1)*IF(Upgrades!$T$9="Stellar Coupling",POWER(Upgrades!$U$9,H47),1)*IF(Upgrades!$T$10="Stellar Coupling",POWER(Upgrades!$U$10,I47),1)*IF(Upgrades!$T$11="Stellar Coupling",POWER(Upgrades!$U$11,J47),1)*IF(Upgrades!$T$12="Stellar Coupling",POWER(Upgrades!$U$12,K47),1))+(IF(H47=0,0,(Upgrades!$J$9+H47*Upgrades!$K$9)*POWER(Upgrades!$L$9,H47)))*(IF(Upgrades!$T$6="Magnetosphere",POWER(Upgrades!$U$6,E47),1)*IF(Upgrades!$T$7="Magnetosphere",POWER(Upgrades!$U$7,F47),1)*IF(Upgrades!$T$8="Magnetosphere",POWER(Upgrades!$U$8,G47),1)*IF(Upgrades!$T$10="Magnetosphere",POWER(Upgrades!$U$10,I47),1)*IF(Upgrades!$T$11="Magnetosphere",POWER(Upgrades!$U$11,J47),1)*IF(Upgrades!$T$12="Magnetosphere",POWER(Upgrades!$U$12,K47),1))+(IF(I47=0,0,(Upgrades!$J$10+I47*Upgrades!$K$10)*POWER(Upgrades!$L$10,I47)))*(IF(Upgrades!$T$6="Orbital Resonance",POWER(Upgrades!$U$6,E47),1)*IF(Upgrades!$T$7="Orbital Resonance",POWER(Upgrades!$U$7,F47),1)*IF(Upgrades!$T$8="Orbital Resonance",POWER(Upgrades!$U$8,G47),1)*IF(Upgrades!$T$9="Orbital Resonance",POWER(Upgrades!$U$9,H47),1)*IF(Upgrades!$T$11="Orbital Resonance",POWER(Upgrades!$U$11,J47),1)*IF(Upgrades!$T$12="Orbital Resonance",POWER(Upgrades!$U$12,K47),1))+(IF(J47=0,0,(Upgrades!$J$11+J47*Upgrades!$K$11)*POWER(Upgrades!$L$11,J47)))*(IF(Upgrades!$T$6="Heliopause",POWER(Upgrades!$U$6,E47),1)*IF(Upgrades!$T$7="Heliopause",POWER(Upgrades!$U$7,F47),1)*IF(Upgrades!$T$8="Heliopause",POWER(Upgrades!$U$8,G47),1)*IF(Upgrades!$T$9="Heliopause",POWER(Upgrades!$U$9,H47),1)*IF(Upgrades!$T$10="Heliopause",POWER(Upgrades!$U$10,I47),1)*IF(Upgrades!$T$12="Heliopause",POWER(Upgrades!$U$12,K47),1))+(IF(K47=0,0,(Upgrades!$J$12+K47*Upgrades!$K$12)*POWER(Upgrades!$L$12,K47)))*(IF(Upgrades!$T$6="First Photons",POWER(Upgrades!$U$6,E47),1)*IF(Upgrades!$T$7="First Photons",POWER(Upgrades!$U$7,F47),1)*IF(Upgrades!$T$8="First Photons",POWER(Upgrades!$U$8,G47),1)*IF(Upgrades!$T$9="First Photons",POWER(Upgrades!$U$9,H47),1)*IF(Upgrades!$T$10="First Photons",POWER(Upgrades!$U$10,I47),1)*IF(Upgrades!$T$11="First Photons",POWER(Upgrades!$U$11,J47),1)))*POWER(Upgrades!$Q$6,E47)*POWER(Upgrades!$Q$7,F47)*POWER(Upgrades!$Q$8,G47)*POWER(Upgrades!$Q$9,H47)*POWER(Upgrades!$Q$10,I47)*POWER(Upgrades!$Q$11,J47)*POWER(Upgrades!$Q$12,K47)</f>
        <v/>
      </c>
      <c r="N47" s="28">
        <f>((IF(E47=0,0,(Upgrades!$G$6+E47*Upgrades!$H$6)*POWER(Upgrades!$I$6,E47)))*(IF(Upgrades!$T$7="Solar Wind",POWER(Upgrades!$U$7,F47),1)*IF(Upgrades!$T$8="Solar Wind",POWER(Upgrades!$U$8,G47),1)*IF(Upgrades!$T$9="Solar Wind",POWER(Upgrades!$U$9,H47),1)*IF(Upgrades!$T$10="Solar Wind",POWER(Upgrades!$U$10,I47),1)*IF(Upgrades!$T$11="Solar Wind",POWER(Upgrades!$U$11,J47),1)*IF(Upgrades!$T$12="Solar Wind",POWER(Upgrades!$U$12,K47),1))+(IF(F47=0,0,(Upgrades!$G$7+F47*Upgrades!$H$7)*POWER(Upgrades!$I$7,F47)))*(IF(Upgrades!$T$6="Asteroid Belt",POWER(Upgrades!$U$6,E47),1)*IF(Upgrades!$T$8="Asteroid Belt",POWER(Upgrades!$U$8,G47),1)*IF(Upgrades!$T$9="Asteroid Belt",POWER(Upgrades!$U$9,H47),1)*IF(Upgrades!$T$10="Asteroid Belt",POWER(Upgrades!$U$10,I47),1)*IF(Upgrades!$T$11="Asteroid Belt",POWER(Upgrades!$U$11,J47),1)*IF(Upgrades!$T$12="Asteroid Belt",POWER(Upgrades!$U$12,K47),1))+(IF(G47=0,0,(Upgrades!$G$8+G47*Upgrades!$H$8)*POWER(Upgrades!$I$8,G47)))*(IF(Upgrades!$T$6="Stellar Coupling",POWER(Upgrades!$U$6,E47),1)*IF(Upgrades!$T$7="Stellar Coupling",POWER(Upgrades!$U$7,F47),1)*IF(Upgrades!$T$9="Stellar Coupling",POWER(Upgrades!$U$9,H47),1)*IF(Upgrades!$T$10="Stellar Coupling",POWER(Upgrades!$U$10,I47),1)*IF(Upgrades!$T$11="Stellar Coupling",POWER(Upgrades!$U$11,J47),1)*IF(Upgrades!$T$12="Stellar Coupling",POWER(Upgrades!$U$12,K47),1))+(IF(H47=0,0,(Upgrades!$G$9+H47*Upgrades!$H$9)*POWER(Upgrades!$I$9,H47)))*(IF(Upgrades!$T$6="Magnetosphere",POWER(Upgrades!$U$6,E47),1)*IF(Upgrades!$T$7="Magnetosphere",POWER(Upgrades!$U$7,F47),1)*IF(Upgrades!$T$8="Magnetosphere",POWER(Upgrades!$U$8,G47),1)*IF(Upgrades!$T$10="Magnetosphere",POWER(Upgrades!$U$10,I47),1)*IF(Upgrades!$T$11="Magnetosphere",POWER(Upgrades!$U$11,J47),1)*IF(Upgrades!$T$12="Magnetosphere",POWER(Upgrades!$U$12,K47),1))+(IF(I47=0,0,(Upgrades!$G$10+I47*Upgrades!$H$10)*POWER(Upgrades!$I$10,I47)))*(IF(Upgrades!$T$6="Orbital Resonance",POWER(Upgrades!$U$6,E47),1)*IF(Upgrades!$T$7="Orbital Resonance",POWER(Upgrades!$U$7,F47),1)*IF(Upgrades!$T$8="Orbital Resonance",POWER(Upgrades!$U$8,G47),1)*IF(Upgrades!$T$9="Orbital Resonance",POWER(Upgrades!$U$9,H47),1)*IF(Upgrades!$T$11="Orbital Resonance",POWER(Upgrades!$U$11,J47),1)*IF(Upgrades!$T$12="Orbital Resonance",POWER(Upgrades!$U$12,K47),1))+(IF(J47=0,0,(Upgrades!$G$11+J47*Upgrades!$H$11)*POWER(Upgrades!$I$11,J47)))*(IF(Upgrades!$T$6="Heliopause",POWER(Upgrades!$U$6,E47),1)*IF(Upgrades!$T$7="Heliopause",POWER(Upgrades!$U$7,F47),1)*IF(Upgrades!$T$8="Heliopause",POWER(Upgrades!$U$8,G47),1)*IF(Upgrades!$T$9="Heliopause",POWER(Upgrades!$U$9,H47),1)*IF(Upgrades!$T$10="Heliopause",POWER(Upgrades!$U$10,I47),1)*IF(Upgrades!$T$12="Heliopause",POWER(Upgrades!$U$12,K47),1))+(IF(K47=0,0,(Upgrades!$G$12+K47*Upgrades!$H$12)*POWER(Upgrades!$I$12,K47)))*(IF(Upgrades!$T$6="First Photons",POWER(Upgrades!$U$6,E47),1)*IF(Upgrades!$T$7="First Photons",POWER(Upgrades!$U$7,F47),1)*IF(Upgrades!$T$8="First Photons",POWER(Upgrades!$U$8,G47),1)*IF(Upgrades!$T$9="First Photons",POWER(Upgrades!$U$9,H47),1)*IF(Upgrades!$T$10="First Photons",POWER(Upgrades!$U$10,I47),1)*IF(Upgrades!$T$11="First Photons",POWER(Upgrades!$U$11,J47),1)))*POWER(Upgrades!$P$6,E47)*POWER(Upgrades!$P$7,F47)*POWER(Upgrades!$P$8,G47)*POWER(Upgrades!$P$9,H47)*POWER(Upgrades!$P$10,I47)*POWER(Upgrades!$P$11,J47)*POWER(Upgrades!$P$12,K47)</f>
        <v/>
      </c>
      <c r="O47" s="28">
        <f>((IF(E47=0,0,(Upgrades!$M$6+E47*Upgrades!$N$6)*POWER(Upgrades!$O$6,E47)))*(IF(Upgrades!$T$7="Solar Wind",POWER(Upgrades!$U$7,F47),1)*IF(Upgrades!$T$8="Solar Wind",POWER(Upgrades!$U$8,G47),1)*IF(Upgrades!$T$9="Solar Wind",POWER(Upgrades!$U$9,H47),1)*IF(Upgrades!$T$10="Solar Wind",POWER(Upgrades!$U$10,I47),1)*IF(Upgrades!$T$11="Solar Wind",POWER(Upgrades!$U$11,J47),1)*IF(Upgrades!$T$12="Solar Wind",POWER(Upgrades!$U$12,K47),1))+(IF(F47=0,0,(Upgrades!$M$7+F47*Upgrades!$N$7)*POWER(Upgrades!$O$7,F47)))*(IF(Upgrades!$T$6="Asteroid Belt",POWER(Upgrades!$U$6,E47),1)*IF(Upgrades!$T$8="Asteroid Belt",POWER(Upgrades!$U$8,G47),1)*IF(Upgrades!$T$9="Asteroid Belt",POWER(Upgrades!$U$9,H47),1)*IF(Upgrades!$T$10="Asteroid Belt",POWER(Upgrades!$U$10,I47),1)*IF(Upgrades!$T$11="Asteroid Belt",POWER(Upgrades!$U$11,J47),1)*IF(Upgrades!$T$12="Asteroid Belt",POWER(Upgrades!$U$12,K47),1))+(IF(G47=0,0,(Upgrades!$M$8+G47*Upgrades!$N$8)*POWER(Upgrades!$O$8,G47)))*(IF(Upgrades!$T$6="Stellar Coupling",POWER(Upgrades!$U$6,E47),1)*IF(Upgrades!$T$7="Stellar Coupling",POWER(Upgrades!$U$7,F47),1)*IF(Upgrades!$T$9="Stellar Coupling",POWER(Upgrades!$U$9,H47),1)*IF(Upgrades!$T$10="Stellar Coupling",POWER(Upgrades!$U$10,I47),1)*IF(Upgrades!$T$11="Stellar Coupling",POWER(Upgrades!$U$11,J47),1)*IF(Upgrades!$T$12="Stellar Coupling",POWER(Upgrades!$U$12,K47),1))+(IF(H47=0,0,(Upgrades!$M$9+H47*Upgrades!$N$9)*POWER(Upgrades!$O$9,H47)))*(IF(Upgrades!$T$6="Magnetosphere",POWER(Upgrades!$U$6,E47),1)*IF(Upgrades!$T$7="Magnetosphere",POWER(Upgrades!$U$7,F47),1)*IF(Upgrades!$T$8="Magnetosphere",POWER(Upgrades!$U$8,G47),1)*IF(Upgrades!$T$10="Magnetosphere",POWER(Upgrades!$U$10,I47),1)*IF(Upgrades!$T$11="Magnetosphere",POWER(Upgrades!$U$11,J47),1)*IF(Upgrades!$T$12="Magnetosphere",POWER(Upgrades!$U$12,K47),1))+(IF(I47=0,0,(Upgrades!$M$10+I47*Upgrades!$N$10)*POWER(Upgrades!$O$10,I47)))*(IF(Upgrades!$T$6="Orbital Resonance",POWER(Upgrades!$U$6,E47),1)*IF(Upgrades!$T$7="Orbital Resonance",POWER(Upgrades!$U$7,F47),1)*IF(Upgrades!$T$8="Orbital Resonance",POWER(Upgrades!$U$8,G47),1)*IF(Upgrades!$T$9="Orbital Resonance",POWER(Upgrades!$U$9,H47),1)*IF(Upgrades!$T$11="Orbital Resonance",POWER(Upgrades!$U$11,J47),1)*IF(Upgrades!$T$12="Orbital Resonance",POWER(Upgrades!$U$12,K47),1))+(IF(J47=0,0,(Upgrades!$M$11+J47*Upgrades!$N$11)*POWER(Upgrades!$O$11,J47)))*(IF(Upgrades!$T$6="Heliopause",POWER(Upgrades!$U$6,E47),1)*IF(Upgrades!$T$7="Heliopause",POWER(Upgrades!$U$7,F47),1)*IF(Upgrades!$T$8="Heliopause",POWER(Upgrades!$U$8,G47),1)*IF(Upgrades!$T$9="Heliopause",POWER(Upgrades!$U$9,H47),1)*IF(Upgrades!$T$10="Heliopause",POWER(Upgrades!$U$10,I47),1)*IF(Upgrades!$T$12="Heliopause",POWER(Upgrades!$U$12,K47),1))+(IF(K47=0,0,(Upgrades!$M$12+K47*Upgrades!$N$12)*POWER(Upgrades!$O$12,K47)))*(IF(Upgrades!$T$6="First Photons",POWER(Upgrades!$U$6,E47),1)*IF(Upgrades!$T$7="First Photons",POWER(Upgrades!$U$7,F47),1)*IF(Upgrades!$T$8="First Photons",POWER(Upgrades!$U$8,G47),1)*IF(Upgrades!$T$9="First Photons",POWER(Upgrades!$U$9,H47),1)*IF(Upgrades!$T$10="First Photons",POWER(Upgrades!$U$10,I47),1)*IF(Upgrades!$T$11="First Photons",POWER(Upgrades!$U$11,J47),1)))*POWER(Upgrades!$R$6,E47)*POWER(Upgrades!$R$7,F47)*POWER(Upgrades!$R$8,G47)*POWER(Upgrades!$R$9,H47)*POWER(Upgrades!$R$10,I47)*POWER(Upgrades!$R$11,J47)*POWER(Upgrades!$R$12,K47)</f>
        <v/>
      </c>
      <c r="P47" s="27">
        <f>IF(L47=1,0,M47*Parameters!$B$10/60*Parameters!$B$11*10)</f>
        <v/>
      </c>
      <c r="Q47" s="27">
        <f>IF(L47=1,0,O47*M47*10)</f>
        <v/>
      </c>
      <c r="R47" s="27">
        <f>IF(L47=1,0,N47*10)</f>
        <v/>
      </c>
      <c r="S47" s="27">
        <f>P47+Q47+R47</f>
        <v/>
      </c>
      <c r="T47" s="22">
        <f>C47+S47</f>
        <v/>
      </c>
      <c r="U47" s="33">
        <f>AX47</f>
        <v/>
      </c>
      <c r="V47" s="22">
        <f>IF(U47="",0,IF(U47="transition",0,IF(U47="SW",AG47,IF(U47="AB",AH47,IF(U47="SC",AI47,IF(U47="Mag",AJ47,IF(U47="OR",AK47,IF(U47="HP",AL47,IF(U47="FP",AM47,0)))))))))</f>
        <v/>
      </c>
      <c r="W47" s="27">
        <f>IF(U47="OR",Upgrades!$F$10,IF(U47="HP",Upgrades!$F$11,IF(U47="transition",-Parameters!$B$18,0)))</f>
        <v/>
      </c>
      <c r="X47" s="22">
        <f>T47-V47</f>
        <v/>
      </c>
      <c r="Y47" s="30">
        <f>M47*Parameters!$B$10/60*Parameters!$B$11+O47*M47+N47</f>
        <v/>
      </c>
      <c r="Z47" s="34">
        <f>IF(U47="transition","→ Tier 2 (Stellar Neighborhood)",IF(U47="FP","First Photons — light begins, system quickens",IF(U47="HP","Heliopause acquired",IF(U47="OR","Orbital Resonance — passive multiplier active",IF(AND(AO47=1,L47=0,AN47&lt;&gt;1),"Cohesion ready (waiting on completionist upgrades)","")))))</f>
        <v/>
      </c>
      <c r="AA47" s="27">
        <f>(IF(E47=0,0,(Upgrades!$G$6+E47*Upgrades!$H$6)*POWER(Upgrades!$I$6,E47)))*(IF(Upgrades!$T$7="Solar Wind",POWER(Upgrades!$U$7,F47),1)*IF(Upgrades!$T$8="Solar Wind",POWER(Upgrades!$U$8,G47),1)*IF(Upgrades!$T$9="Solar Wind",POWER(Upgrades!$U$9,H47),1)*IF(Upgrades!$T$10="Solar Wind",POWER(Upgrades!$U$10,I47),1)*IF(Upgrades!$T$11="Solar Wind",POWER(Upgrades!$U$11,J47),1)*IF(Upgrades!$T$12="Solar Wind",POWER(Upgrades!$U$12,K47),1))*POWER(Upgrades!$P$6,E47)*POWER(Upgrades!$P$7,F47)*POWER(Upgrades!$P$8,G47)*POWER(Upgrades!$P$9,H47)*POWER(Upgrades!$P$10,I47)*POWER(Upgrades!$P$11,J47)*POWER(Upgrades!$P$12,K47)*60</f>
        <v/>
      </c>
      <c r="AB47" s="27">
        <f>(IF(F47=0,0,(Upgrades!$G$7+F47*Upgrades!$H$7)*POWER(Upgrades!$I$7,F47)))*(IF(Upgrades!$T$6="Asteroid Belt",POWER(Upgrades!$U$6,E47),1)*IF(Upgrades!$T$8="Asteroid Belt",POWER(Upgrades!$U$8,G47),1)*IF(Upgrades!$T$9="Asteroid Belt",POWER(Upgrades!$U$9,H47),1)*IF(Upgrades!$T$10="Asteroid Belt",POWER(Upgrades!$U$10,I47),1)*IF(Upgrades!$T$11="Asteroid Belt",POWER(Upgrades!$U$11,J47),1)*IF(Upgrades!$T$12="Asteroid Belt",POWER(Upgrades!$U$12,K47),1))*POWER(Upgrades!$P$6,E47)*POWER(Upgrades!$P$7,F47)*POWER(Upgrades!$P$8,G47)*POWER(Upgrades!$P$9,H47)*POWER(Upgrades!$P$10,I47)*POWER(Upgrades!$P$11,J47)*POWER(Upgrades!$P$12,K47)*60</f>
        <v/>
      </c>
      <c r="AC47" s="27">
        <f>(IF(G47=0,0,(Upgrades!$J$8+G47*Upgrades!$K$8)*POWER(Upgrades!$L$8,G47)))*(IF(Upgrades!$T$6="Stellar Coupling",POWER(Upgrades!$U$6,E47),1)*IF(Upgrades!$T$7="Stellar Coupling",POWER(Upgrades!$U$7,F47),1)*IF(Upgrades!$T$9="Stellar Coupling",POWER(Upgrades!$U$9,H47),1)*IF(Upgrades!$T$10="Stellar Coupling",POWER(Upgrades!$U$10,I47),1)*IF(Upgrades!$T$11="Stellar Coupling",POWER(Upgrades!$U$11,J47),1)*IF(Upgrades!$T$12="Stellar Coupling",POWER(Upgrades!$U$12,K47),1))*POWER(Upgrades!$Q$6,E47)*POWER(Upgrades!$Q$7,F47)*POWER(Upgrades!$Q$8,G47)*POWER(Upgrades!$Q$9,H47)*POWER(Upgrades!$Q$10,I47)*POWER(Upgrades!$Q$11,J47)*POWER(Upgrades!$Q$12,K47)*Parameters!$B$10*Parameters!$B$11</f>
        <v/>
      </c>
      <c r="AD47" s="27">
        <f>(IF(H47=0,0,(Upgrades!$G$9+H47*Upgrades!$H$9)*POWER(Upgrades!$I$9,H47)))*(IF(Upgrades!$T$6="Magnetosphere",POWER(Upgrades!$U$6,E47),1)*IF(Upgrades!$T$7="Magnetosphere",POWER(Upgrades!$U$7,F47),1)*IF(Upgrades!$T$8="Magnetosphere",POWER(Upgrades!$U$8,G47),1)*IF(Upgrades!$T$10="Magnetosphere",POWER(Upgrades!$U$10,I47),1)*IF(Upgrades!$T$11="Magnetosphere",POWER(Upgrades!$U$11,J47),1)*IF(Upgrades!$T$12="Magnetosphere",POWER(Upgrades!$U$12,K47),1))*POWER(Upgrades!$P$6,E47)*POWER(Upgrades!$P$7,F47)*POWER(Upgrades!$P$8,G47)*POWER(Upgrades!$P$9,H47)*POWER(Upgrades!$P$10,I47)*POWER(Upgrades!$P$11,J47)*POWER(Upgrades!$P$12,K47)*60</f>
        <v/>
      </c>
      <c r="AE47" s="27">
        <f>(IF(K47=0,0,(Upgrades!$G$12+K47*Upgrades!$H$12)*POWER(Upgrades!$I$12,K47)))*(IF(Upgrades!$T$6="First Photons",POWER(Upgrades!$U$6,E47),1)*IF(Upgrades!$T$7="First Photons",POWER(Upgrades!$U$7,F47),1)*IF(Upgrades!$T$8="First Photons",POWER(Upgrades!$U$8,G47),1)*IF(Upgrades!$T$9="First Photons",POWER(Upgrades!$U$9,H47),1)*IF(Upgrades!$T$10="First Photons",POWER(Upgrades!$U$10,I47),1)*IF(Upgrades!$T$11="First Photons",POWER(Upgrades!$U$11,J47),1))*POWER(Upgrades!$P$6,E47)*POWER(Upgrades!$P$7,F47)*POWER(Upgrades!$P$8,G47)*POWER(Upgrades!$P$9,H47)*POWER(Upgrades!$P$10,I47)*POWER(Upgrades!$P$11,J47)*POWER(Upgrades!$P$12,K47)*60</f>
        <v/>
      </c>
      <c r="AF47" s="27">
        <f>Parameters!$B$9*POWER(Upgrades!$Q$6,E47)*POWER(Upgrades!$Q$7,F47)*POWER(Upgrades!$Q$8,G47)*POWER(Upgrades!$Q$9,H47)*POWER(Upgrades!$Q$10,I47)*POWER(Upgrades!$Q$11,J47)*POWER(Upgrades!$Q$12,K47)*(Parameters!$B$10*Parameters!$B$11+O47*60)</f>
        <v/>
      </c>
      <c r="AG47" s="22">
        <f>IF(E47&gt;=Upgrades!$E$6,"",Upgrades!$C$6*POWER(Upgrades!$D$6,E47))</f>
        <v/>
      </c>
      <c r="AH47" s="22">
        <f>IF(F47&gt;=Upgrades!$E$7,"",Upgrades!$C$7*POWER(Upgrades!$D$7,F47))</f>
        <v/>
      </c>
      <c r="AI47" s="22">
        <f>IF(G47&gt;=Upgrades!$E$8,"",Upgrades!$C$8*POWER(Upgrades!$D$8,G47))</f>
        <v/>
      </c>
      <c r="AJ47" s="22">
        <f>IF(H47&gt;=Upgrades!$E$9,"",Upgrades!$C$9*POWER(Upgrades!$D$9,H47))</f>
        <v/>
      </c>
      <c r="AK47" s="22">
        <f>IF(I47&gt;=Upgrades!$E$10,"",Upgrades!$C$10*POWER(Upgrades!$D$10,I47))</f>
        <v/>
      </c>
      <c r="AL47" s="22">
        <f>IF(J47&gt;=Upgrades!$E$11,"",Upgrades!$C$11*POWER(Upgrades!$D$11,J47))</f>
        <v/>
      </c>
      <c r="AM47" s="22">
        <f>IF(K47&gt;=Upgrades!$E$12,"",Upgrades!$C$12*POWER(Upgrades!$D$12,K47))</f>
        <v/>
      </c>
      <c r="AN47" s="26">
        <f>IF(AND(D47&gt;=Parameters!$B$18,(H47&gt;=Upgrades!$E$9)*(K47&gt;=Upgrades!$E$12)=1,L47=0),1,"")</f>
        <v/>
      </c>
      <c r="AO47" s="26">
        <f>IF(AND(D47&gt;=Parameters!$B$18,L47=0),1,"")</f>
        <v/>
      </c>
      <c r="AP47" s="22">
        <f>MIN(IF(ISNUMBER(AK47),AK47,9E15),IF(ISNUMBER(AL47),AL47,9E15),IF(ISNUMBER(AM47),AM47,9E15))</f>
        <v/>
      </c>
      <c r="AQ47" s="22">
        <f>MIN(IF(ISNUMBER(AG47),AG47,9E15),IF(ISNUMBER(AH47),AH47,9E15),IF(ISNUMBER(AI47),AI47,9E15),IF(ISNUMBER(AJ47),AJ47,9E15))</f>
        <v/>
      </c>
      <c r="AR47" s="29">
        <f>IF(AW47&gt;Parameters!$B$21*(MAX(IF(AND(NOT(AND(AO47=1,AN47&lt;&gt;1)),ISNUMBER(AG47),AG47&lt;=T47),AS47,0),IF(AND(NOT(AND(AO47=1,AN47&lt;&gt;1)),ISNUMBER(AH47),AH47&lt;=T47),AT47,0),IF(AND(NOT(AND(AO47=1,AN47&lt;&gt;1)),ISNUMBER(AI47),AI47&lt;=T47),AU47,0),IF(AND(ISNUMBER(AJ47),AJ47&lt;=T47),AV47,0))),TRUE,FALSE)</f>
        <v/>
      </c>
      <c r="AS47" s="32">
        <f>IFERROR(Upgrades!$H$6*(POWER(Upgrades!$P$6,E47)*POWER(Upgrades!$P$7,F47)*POWER(Upgrades!$P$8,G47)*POWER(Upgrades!$P$9,H47)*POWER(Upgrades!$P$10,I47)*POWER(Upgrades!$P$11,J47)*POWER(Upgrades!$P$12,K47))*(IF(Upgrades!$T$7="Solar Wind",POWER(Upgrades!$U$7,F47),1)*IF(Upgrades!$T$8="Solar Wind",POWER(Upgrades!$U$8,G47),1)*IF(Upgrades!$T$9="Solar Wind",POWER(Upgrades!$U$9,H47),1)*IF(Upgrades!$T$10="Solar Wind",POWER(Upgrades!$U$10,I47),1)*IF(Upgrades!$T$11="Solar Wind",POWER(Upgrades!$U$11,J47),1)*IF(Upgrades!$T$12="Solar Wind",POWER(Upgrades!$U$12,K47),1))/AG47,0)</f>
        <v/>
      </c>
      <c r="AT47" s="32">
        <f>IFERROR(Upgrades!$H$7*(POWER(Upgrades!$P$6,E47)*POWER(Upgrades!$P$7,F47)*POWER(Upgrades!$P$8,G47)*POWER(Upgrades!$P$9,H47)*POWER(Upgrades!$P$10,I47)*POWER(Upgrades!$P$11,J47)*POWER(Upgrades!$P$12,K47))*(IF(Upgrades!$T$6="Asteroid Belt",POWER(Upgrades!$U$6,E47),1)*IF(Upgrades!$T$8="Asteroid Belt",POWER(Upgrades!$U$8,G47),1)*IF(Upgrades!$T$9="Asteroid Belt",POWER(Upgrades!$U$9,H47),1)*IF(Upgrades!$T$10="Asteroid Belt",POWER(Upgrades!$U$10,I47),1)*IF(Upgrades!$T$11="Asteroid Belt",POWER(Upgrades!$U$11,J47),1)*IF(Upgrades!$T$12="Asteroid Belt",POWER(Upgrades!$U$12,K47),1))/AH47,0)</f>
        <v/>
      </c>
      <c r="AU47" s="32">
        <f>IFERROR(Upgrades!$K$8*(POWER(Upgrades!$Q$6,E47)*POWER(Upgrades!$Q$7,F47)*POWER(Upgrades!$Q$8,G47)*POWER(Upgrades!$Q$9,H47)*POWER(Upgrades!$Q$10,I47)*POWER(Upgrades!$Q$11,J47)*POWER(Upgrades!$Q$12,K47))*(IF(Upgrades!$T$6="Stellar Coupling",POWER(Upgrades!$U$6,E47),1)*IF(Upgrades!$T$7="Stellar Coupling",POWER(Upgrades!$U$7,F47),1)*IF(Upgrades!$T$9="Stellar Coupling",POWER(Upgrades!$U$9,H47),1)*IF(Upgrades!$T$10="Stellar Coupling",POWER(Upgrades!$U$10,I47),1)*IF(Upgrades!$T$11="Stellar Coupling",POWER(Upgrades!$U$11,J47),1)*IF(Upgrades!$T$12="Stellar Coupling",POWER(Upgrades!$U$12,K47),1))*Parameters!$B$10*Parameters!$B$11/60/AI47,0)</f>
        <v/>
      </c>
      <c r="AV47" s="32">
        <f>IFERROR(Upgrades!$H$9*(POWER(Upgrades!$P$6,E47)*POWER(Upgrades!$P$7,F47)*POWER(Upgrades!$P$8,G47)*POWER(Upgrades!$P$9,H47)*POWER(Upgrades!$P$10,I47)*POWER(Upgrades!$P$11,J47)*POWER(Upgrades!$P$12,K47))*(IF(Upgrades!$T$6="Magnetosphere",POWER(Upgrades!$U$6,E47),1)*IF(Upgrades!$T$7="Magnetosphere",POWER(Upgrades!$U$7,F47),1)*IF(Upgrades!$T$8="Magnetosphere",POWER(Upgrades!$U$8,G47),1)*IF(Upgrades!$T$10="Magnetosphere",POWER(Upgrades!$U$10,I47),1)*IF(Upgrades!$T$11="Magnetosphere",POWER(Upgrades!$U$11,J47),1)*IF(Upgrades!$T$12="Magnetosphere",POWER(Upgrades!$U$12,K47),1))/AJ47,0)</f>
        <v/>
      </c>
      <c r="AW47" s="32">
        <f>MAX(IF(I47&gt;0,0,IFERROR(0.25*N47/Upgrades!$C$10,0)),IF(J47&gt;0,0,IFERROR(0.5*((IF(G47=0,0,(Upgrades!$J$8+G47*Upgrades!$K$8)*POWER(Upgrades!$L$8,G47)))*(IF(Upgrades!$T$6="Stellar Coupling",POWER(Upgrades!$U$6,E47),1)*IF(Upgrades!$T$7="Stellar Coupling",POWER(Upgrades!$U$7,F47),1)*IF(Upgrades!$T$9="Stellar Coupling",POWER(Upgrades!$U$9,H47),1)*IF(Upgrades!$T$10="Stellar Coupling",POWER(Upgrades!$U$10,I47),1)*IF(Upgrades!$T$11="Stellar Coupling",POWER(Upgrades!$U$11,J47),1)*IF(Upgrades!$T$12="Stellar Coupling",POWER(Upgrades!$U$12,K47),1))*(POWER(Upgrades!$Q$6,E47)*POWER(Upgrades!$Q$7,F47)*POWER(Upgrades!$Q$8,G47)*POWER(Upgrades!$Q$9,H47)*POWER(Upgrades!$Q$10,I47)*POWER(Upgrades!$Q$11,J47)*POWER(Upgrades!$Q$12,K47))*Parameters!$B$10*Parameters!$B$11/60)/Upgrades!$C$11,0)),IF(K47&gt;0,0,IFERROR((1.0*(POWER(Upgrades!$P$6,E47)*POWER(Upgrades!$P$7,F47)*POWER(Upgrades!$P$8,G47)*POWER(Upgrades!$P$9,H47)*POWER(Upgrades!$P$10,I47)*POWER(Upgrades!$P$11,J47)*POWER(Upgrades!$P$12,K47))+0.20*M47*Parameters!$B$10*Parameters!$B$11/60)/Upgrades!$C$12,0)),IF(AND(ISNUMBER(AG47),AG47&gt;T47),AS47,0),IF(AND(ISNUMBER(AH47),AH47&gt;T47),AT47,0),IF(AND(ISNUMBER(AI47),AI47&gt;T47),AU47,0),IF(AND(ISNUMBER(AJ47),AJ47&gt;T47),AV47,0))</f>
        <v/>
      </c>
      <c r="AX47" s="29">
        <f>IF(AN47=1,"transition",IF(MIN(IF(AND(I47=0,ISNUMBER(AK47),AK47&lt;=T47),AK47,9E15),IF(AND(J47=0,ISNUMBER(AL47),AL47&lt;=T47),AL47,9E15),IF(AND(K47=0,ISNUMBER(AM47),AM47&lt;=T47),AM47,9E15))&lt;9E15,IF(AND(AND(I47=0,ISNUMBER(AK47),AK47&lt;=T47),AK47=MIN(IF(AND(I47=0,ISNUMBER(AK47),AK47&lt;=T47),AK47,9E15),IF(AND(J47=0,ISNUMBER(AL47),AL47&lt;=T47),AL47,9E15),IF(AND(K47=0,ISNUMBER(AM47),AM47&lt;=T47),AM47,9E15))),"OR",IF(AND(AND(J47=0,ISNUMBER(AL47),AL47&lt;=T47),AL47=MIN(IF(AND(I47=0,ISNUMBER(AK47),AK47&lt;=T47),AK47,9E15),IF(AND(J47=0,ISNUMBER(AL47),AL47&lt;=T47),AL47,9E15),IF(AND(K47=0,ISNUMBER(AM47),AM47&lt;=T47),AM47,9E15))),"HP","FP")),IF(AR47=TRUE,"",IF(MAX(IF(AND(NOT(AND(AO47=1,AN47&lt;&gt;1)),ISNUMBER(AG47),AG47&lt;=T47),AS47,0),IF(AND(NOT(AND(AO47=1,AN47&lt;&gt;1)),ISNUMBER(AH47),AH47&lt;=T47),AT47,0),IF(AND(NOT(AND(AO47=1,AN47&lt;&gt;1)),ISNUMBER(AI47),AI47&lt;=T47),AU47,0),IF(AND(ISNUMBER(AJ47),AJ47&lt;=T47),AV47,0))&lt;=0,"",IF(AND(IF(AND(NOT(AND(AO47=1,AN47&lt;&gt;1)),ISNUMBER(AG47),AG47&lt;=T47),AS47,0)&gt;0,IF(AND(NOT(AND(AO47=1,AN47&lt;&gt;1)),ISNUMBER(AG47),AG47&lt;=T47),AS47,0)=MAX(IF(AND(NOT(AND(AO47=1,AN47&lt;&gt;1)),ISNUMBER(AG47),AG47&lt;=T47),AS47,0),IF(AND(NOT(AND(AO47=1,AN47&lt;&gt;1)),ISNUMBER(AH47),AH47&lt;=T47),AT47,0),IF(AND(NOT(AND(AO47=1,AN47&lt;&gt;1)),ISNUMBER(AI47),AI47&lt;=T47),AU47,0),IF(AND(ISNUMBER(AJ47),AJ47&lt;=T47),AV47,0))),"SW",IF(AND(IF(AND(NOT(AND(AO47=1,AN47&lt;&gt;1)),ISNUMBER(AH47),AH47&lt;=T47),AT47,0)&gt;0,IF(AND(NOT(AND(AO47=1,AN47&lt;&gt;1)),ISNUMBER(AH47),AH47&lt;=T47),AT47,0)=MAX(IF(AND(NOT(AND(AO47=1,AN47&lt;&gt;1)),ISNUMBER(AG47),AG47&lt;=T47),AS47,0),IF(AND(NOT(AND(AO47=1,AN47&lt;&gt;1)),ISNUMBER(AH47),AH47&lt;=T47),AT47,0),IF(AND(NOT(AND(AO47=1,AN47&lt;&gt;1)),ISNUMBER(AI47),AI47&lt;=T47),AU47,0),IF(AND(ISNUMBER(AJ47),AJ47&lt;=T47),AV47,0))),"AB",IF(AND(IF(AND(NOT(AND(AO47=1,AN47&lt;&gt;1)),ISNUMBER(AI47),AI47&lt;=T47),AU47,0)&gt;0,IF(AND(NOT(AND(AO47=1,AN47&lt;&gt;1)),ISNUMBER(AI47),AI47&lt;=T47),AU47,0)=MAX(IF(AND(NOT(AND(AO47=1,AN47&lt;&gt;1)),ISNUMBER(AG47),AG47&lt;=T47),AS47,0),IF(AND(NOT(AND(AO47=1,AN47&lt;&gt;1)),ISNUMBER(AH47),AH47&lt;=T47),AT47,0),IF(AND(NOT(AND(AO47=1,AN47&lt;&gt;1)),ISNUMBER(AI47),AI47&lt;=T47),AU47,0),IF(AND(ISNUMBER(AJ47),AJ47&lt;=T47),AV47,0))),"SC","Mag")))))))</f>
        <v/>
      </c>
    </row>
    <row r="48">
      <c r="A48" s="26" t="n">
        <v>43</v>
      </c>
      <c r="B48" s="27">
        <f>A48*10/60</f>
        <v/>
      </c>
      <c r="C48" s="22">
        <f>X47</f>
        <v/>
      </c>
      <c r="D48" s="27">
        <f>D47+W47</f>
        <v/>
      </c>
      <c r="E48" s="26">
        <f>E47+IF(U47="SW",1,0)</f>
        <v/>
      </c>
      <c r="F48" s="26">
        <f>F47+IF(U47="AB",1,0)</f>
        <v/>
      </c>
      <c r="G48" s="26">
        <f>G47+IF(U47="SC",1,0)</f>
        <v/>
      </c>
      <c r="H48" s="26">
        <f>H47+IF(U47="Mag",1,0)</f>
        <v/>
      </c>
      <c r="I48" s="26">
        <f>MAX(I47,IF(U47="OR",1,0))</f>
        <v/>
      </c>
      <c r="J48" s="26">
        <f>MAX(J47,IF(U47="HP",1,0))</f>
        <v/>
      </c>
      <c r="K48" s="26">
        <f>MAX(K47,IF(U47="FP",1,0))</f>
        <v/>
      </c>
      <c r="L48" s="26">
        <f>MAX(L47,IF(U47="transition",1,0))</f>
        <v/>
      </c>
      <c r="M48" s="28">
        <f>(Parameters!$B$9+(IF(E48=0,0,(Upgrades!$J$6+E48*Upgrades!$K$6)*POWER(Upgrades!$L$6,E48)))*(IF(Upgrades!$T$7="Solar Wind",POWER(Upgrades!$U$7,F48),1)*IF(Upgrades!$T$8="Solar Wind",POWER(Upgrades!$U$8,G48),1)*IF(Upgrades!$T$9="Solar Wind",POWER(Upgrades!$U$9,H48),1)*IF(Upgrades!$T$10="Solar Wind",POWER(Upgrades!$U$10,I48),1)*IF(Upgrades!$T$11="Solar Wind",POWER(Upgrades!$U$11,J48),1)*IF(Upgrades!$T$12="Solar Wind",POWER(Upgrades!$U$12,K48),1))+(IF(F48=0,0,(Upgrades!$J$7+F48*Upgrades!$K$7)*POWER(Upgrades!$L$7,F48)))*(IF(Upgrades!$T$6="Asteroid Belt",POWER(Upgrades!$U$6,E48),1)*IF(Upgrades!$T$8="Asteroid Belt",POWER(Upgrades!$U$8,G48),1)*IF(Upgrades!$T$9="Asteroid Belt",POWER(Upgrades!$U$9,H48),1)*IF(Upgrades!$T$10="Asteroid Belt",POWER(Upgrades!$U$10,I48),1)*IF(Upgrades!$T$11="Asteroid Belt",POWER(Upgrades!$U$11,J48),1)*IF(Upgrades!$T$12="Asteroid Belt",POWER(Upgrades!$U$12,K48),1))+(IF(G48=0,0,(Upgrades!$J$8+G48*Upgrades!$K$8)*POWER(Upgrades!$L$8,G48)))*(IF(Upgrades!$T$6="Stellar Coupling",POWER(Upgrades!$U$6,E48),1)*IF(Upgrades!$T$7="Stellar Coupling",POWER(Upgrades!$U$7,F48),1)*IF(Upgrades!$T$9="Stellar Coupling",POWER(Upgrades!$U$9,H48),1)*IF(Upgrades!$T$10="Stellar Coupling",POWER(Upgrades!$U$10,I48),1)*IF(Upgrades!$T$11="Stellar Coupling",POWER(Upgrades!$U$11,J48),1)*IF(Upgrades!$T$12="Stellar Coupling",POWER(Upgrades!$U$12,K48),1))+(IF(H48=0,0,(Upgrades!$J$9+H48*Upgrades!$K$9)*POWER(Upgrades!$L$9,H48)))*(IF(Upgrades!$T$6="Magnetosphere",POWER(Upgrades!$U$6,E48),1)*IF(Upgrades!$T$7="Magnetosphere",POWER(Upgrades!$U$7,F48),1)*IF(Upgrades!$T$8="Magnetosphere",POWER(Upgrades!$U$8,G48),1)*IF(Upgrades!$T$10="Magnetosphere",POWER(Upgrades!$U$10,I48),1)*IF(Upgrades!$T$11="Magnetosphere",POWER(Upgrades!$U$11,J48),1)*IF(Upgrades!$T$12="Magnetosphere",POWER(Upgrades!$U$12,K48),1))+(IF(I48=0,0,(Upgrades!$J$10+I48*Upgrades!$K$10)*POWER(Upgrades!$L$10,I48)))*(IF(Upgrades!$T$6="Orbital Resonance",POWER(Upgrades!$U$6,E48),1)*IF(Upgrades!$T$7="Orbital Resonance",POWER(Upgrades!$U$7,F48),1)*IF(Upgrades!$T$8="Orbital Resonance",POWER(Upgrades!$U$8,G48),1)*IF(Upgrades!$T$9="Orbital Resonance",POWER(Upgrades!$U$9,H48),1)*IF(Upgrades!$T$11="Orbital Resonance",POWER(Upgrades!$U$11,J48),1)*IF(Upgrades!$T$12="Orbital Resonance",POWER(Upgrades!$U$12,K48),1))+(IF(J48=0,0,(Upgrades!$J$11+J48*Upgrades!$K$11)*POWER(Upgrades!$L$11,J48)))*(IF(Upgrades!$T$6="Heliopause",POWER(Upgrades!$U$6,E48),1)*IF(Upgrades!$T$7="Heliopause",POWER(Upgrades!$U$7,F48),1)*IF(Upgrades!$T$8="Heliopause",POWER(Upgrades!$U$8,G48),1)*IF(Upgrades!$T$9="Heliopause",POWER(Upgrades!$U$9,H48),1)*IF(Upgrades!$T$10="Heliopause",POWER(Upgrades!$U$10,I48),1)*IF(Upgrades!$T$12="Heliopause",POWER(Upgrades!$U$12,K48),1))+(IF(K48=0,0,(Upgrades!$J$12+K48*Upgrades!$K$12)*POWER(Upgrades!$L$12,K48)))*(IF(Upgrades!$T$6="First Photons",POWER(Upgrades!$U$6,E48),1)*IF(Upgrades!$T$7="First Photons",POWER(Upgrades!$U$7,F48),1)*IF(Upgrades!$T$8="First Photons",POWER(Upgrades!$U$8,G48),1)*IF(Upgrades!$T$9="First Photons",POWER(Upgrades!$U$9,H48),1)*IF(Upgrades!$T$10="First Photons",POWER(Upgrades!$U$10,I48),1)*IF(Upgrades!$T$11="First Photons",POWER(Upgrades!$U$11,J48),1)))*POWER(Upgrades!$Q$6,E48)*POWER(Upgrades!$Q$7,F48)*POWER(Upgrades!$Q$8,G48)*POWER(Upgrades!$Q$9,H48)*POWER(Upgrades!$Q$10,I48)*POWER(Upgrades!$Q$11,J48)*POWER(Upgrades!$Q$12,K48)</f>
        <v/>
      </c>
      <c r="N48" s="28">
        <f>((IF(E48=0,0,(Upgrades!$G$6+E48*Upgrades!$H$6)*POWER(Upgrades!$I$6,E48)))*(IF(Upgrades!$T$7="Solar Wind",POWER(Upgrades!$U$7,F48),1)*IF(Upgrades!$T$8="Solar Wind",POWER(Upgrades!$U$8,G48),1)*IF(Upgrades!$T$9="Solar Wind",POWER(Upgrades!$U$9,H48),1)*IF(Upgrades!$T$10="Solar Wind",POWER(Upgrades!$U$10,I48),1)*IF(Upgrades!$T$11="Solar Wind",POWER(Upgrades!$U$11,J48),1)*IF(Upgrades!$T$12="Solar Wind",POWER(Upgrades!$U$12,K48),1))+(IF(F48=0,0,(Upgrades!$G$7+F48*Upgrades!$H$7)*POWER(Upgrades!$I$7,F48)))*(IF(Upgrades!$T$6="Asteroid Belt",POWER(Upgrades!$U$6,E48),1)*IF(Upgrades!$T$8="Asteroid Belt",POWER(Upgrades!$U$8,G48),1)*IF(Upgrades!$T$9="Asteroid Belt",POWER(Upgrades!$U$9,H48),1)*IF(Upgrades!$T$10="Asteroid Belt",POWER(Upgrades!$U$10,I48),1)*IF(Upgrades!$T$11="Asteroid Belt",POWER(Upgrades!$U$11,J48),1)*IF(Upgrades!$T$12="Asteroid Belt",POWER(Upgrades!$U$12,K48),1))+(IF(G48=0,0,(Upgrades!$G$8+G48*Upgrades!$H$8)*POWER(Upgrades!$I$8,G48)))*(IF(Upgrades!$T$6="Stellar Coupling",POWER(Upgrades!$U$6,E48),1)*IF(Upgrades!$T$7="Stellar Coupling",POWER(Upgrades!$U$7,F48),1)*IF(Upgrades!$T$9="Stellar Coupling",POWER(Upgrades!$U$9,H48),1)*IF(Upgrades!$T$10="Stellar Coupling",POWER(Upgrades!$U$10,I48),1)*IF(Upgrades!$T$11="Stellar Coupling",POWER(Upgrades!$U$11,J48),1)*IF(Upgrades!$T$12="Stellar Coupling",POWER(Upgrades!$U$12,K48),1))+(IF(H48=0,0,(Upgrades!$G$9+H48*Upgrades!$H$9)*POWER(Upgrades!$I$9,H48)))*(IF(Upgrades!$T$6="Magnetosphere",POWER(Upgrades!$U$6,E48),1)*IF(Upgrades!$T$7="Magnetosphere",POWER(Upgrades!$U$7,F48),1)*IF(Upgrades!$T$8="Magnetosphere",POWER(Upgrades!$U$8,G48),1)*IF(Upgrades!$T$10="Magnetosphere",POWER(Upgrades!$U$10,I48),1)*IF(Upgrades!$T$11="Magnetosphere",POWER(Upgrades!$U$11,J48),1)*IF(Upgrades!$T$12="Magnetosphere",POWER(Upgrades!$U$12,K48),1))+(IF(I48=0,0,(Upgrades!$G$10+I48*Upgrades!$H$10)*POWER(Upgrades!$I$10,I48)))*(IF(Upgrades!$T$6="Orbital Resonance",POWER(Upgrades!$U$6,E48),1)*IF(Upgrades!$T$7="Orbital Resonance",POWER(Upgrades!$U$7,F48),1)*IF(Upgrades!$T$8="Orbital Resonance",POWER(Upgrades!$U$8,G48),1)*IF(Upgrades!$T$9="Orbital Resonance",POWER(Upgrades!$U$9,H48),1)*IF(Upgrades!$T$11="Orbital Resonance",POWER(Upgrades!$U$11,J48),1)*IF(Upgrades!$T$12="Orbital Resonance",POWER(Upgrades!$U$12,K48),1))+(IF(J48=0,0,(Upgrades!$G$11+J48*Upgrades!$H$11)*POWER(Upgrades!$I$11,J48)))*(IF(Upgrades!$T$6="Heliopause",POWER(Upgrades!$U$6,E48),1)*IF(Upgrades!$T$7="Heliopause",POWER(Upgrades!$U$7,F48),1)*IF(Upgrades!$T$8="Heliopause",POWER(Upgrades!$U$8,G48),1)*IF(Upgrades!$T$9="Heliopause",POWER(Upgrades!$U$9,H48),1)*IF(Upgrades!$T$10="Heliopause",POWER(Upgrades!$U$10,I48),1)*IF(Upgrades!$T$12="Heliopause",POWER(Upgrades!$U$12,K48),1))+(IF(K48=0,0,(Upgrades!$G$12+K48*Upgrades!$H$12)*POWER(Upgrades!$I$12,K48)))*(IF(Upgrades!$T$6="First Photons",POWER(Upgrades!$U$6,E48),1)*IF(Upgrades!$T$7="First Photons",POWER(Upgrades!$U$7,F48),1)*IF(Upgrades!$T$8="First Photons",POWER(Upgrades!$U$8,G48),1)*IF(Upgrades!$T$9="First Photons",POWER(Upgrades!$U$9,H48),1)*IF(Upgrades!$T$10="First Photons",POWER(Upgrades!$U$10,I48),1)*IF(Upgrades!$T$11="First Photons",POWER(Upgrades!$U$11,J48),1)))*POWER(Upgrades!$P$6,E48)*POWER(Upgrades!$P$7,F48)*POWER(Upgrades!$P$8,G48)*POWER(Upgrades!$P$9,H48)*POWER(Upgrades!$P$10,I48)*POWER(Upgrades!$P$11,J48)*POWER(Upgrades!$P$12,K48)</f>
        <v/>
      </c>
      <c r="O48" s="28">
        <f>((IF(E48=0,0,(Upgrades!$M$6+E48*Upgrades!$N$6)*POWER(Upgrades!$O$6,E48)))*(IF(Upgrades!$T$7="Solar Wind",POWER(Upgrades!$U$7,F48),1)*IF(Upgrades!$T$8="Solar Wind",POWER(Upgrades!$U$8,G48),1)*IF(Upgrades!$T$9="Solar Wind",POWER(Upgrades!$U$9,H48),1)*IF(Upgrades!$T$10="Solar Wind",POWER(Upgrades!$U$10,I48),1)*IF(Upgrades!$T$11="Solar Wind",POWER(Upgrades!$U$11,J48),1)*IF(Upgrades!$T$12="Solar Wind",POWER(Upgrades!$U$12,K48),1))+(IF(F48=0,0,(Upgrades!$M$7+F48*Upgrades!$N$7)*POWER(Upgrades!$O$7,F48)))*(IF(Upgrades!$T$6="Asteroid Belt",POWER(Upgrades!$U$6,E48),1)*IF(Upgrades!$T$8="Asteroid Belt",POWER(Upgrades!$U$8,G48),1)*IF(Upgrades!$T$9="Asteroid Belt",POWER(Upgrades!$U$9,H48),1)*IF(Upgrades!$T$10="Asteroid Belt",POWER(Upgrades!$U$10,I48),1)*IF(Upgrades!$T$11="Asteroid Belt",POWER(Upgrades!$U$11,J48),1)*IF(Upgrades!$T$12="Asteroid Belt",POWER(Upgrades!$U$12,K48),1))+(IF(G48=0,0,(Upgrades!$M$8+G48*Upgrades!$N$8)*POWER(Upgrades!$O$8,G48)))*(IF(Upgrades!$T$6="Stellar Coupling",POWER(Upgrades!$U$6,E48),1)*IF(Upgrades!$T$7="Stellar Coupling",POWER(Upgrades!$U$7,F48),1)*IF(Upgrades!$T$9="Stellar Coupling",POWER(Upgrades!$U$9,H48),1)*IF(Upgrades!$T$10="Stellar Coupling",POWER(Upgrades!$U$10,I48),1)*IF(Upgrades!$T$11="Stellar Coupling",POWER(Upgrades!$U$11,J48),1)*IF(Upgrades!$T$12="Stellar Coupling",POWER(Upgrades!$U$12,K48),1))+(IF(H48=0,0,(Upgrades!$M$9+H48*Upgrades!$N$9)*POWER(Upgrades!$O$9,H48)))*(IF(Upgrades!$T$6="Magnetosphere",POWER(Upgrades!$U$6,E48),1)*IF(Upgrades!$T$7="Magnetosphere",POWER(Upgrades!$U$7,F48),1)*IF(Upgrades!$T$8="Magnetosphere",POWER(Upgrades!$U$8,G48),1)*IF(Upgrades!$T$10="Magnetosphere",POWER(Upgrades!$U$10,I48),1)*IF(Upgrades!$T$11="Magnetosphere",POWER(Upgrades!$U$11,J48),1)*IF(Upgrades!$T$12="Magnetosphere",POWER(Upgrades!$U$12,K48),1))+(IF(I48=0,0,(Upgrades!$M$10+I48*Upgrades!$N$10)*POWER(Upgrades!$O$10,I48)))*(IF(Upgrades!$T$6="Orbital Resonance",POWER(Upgrades!$U$6,E48),1)*IF(Upgrades!$T$7="Orbital Resonance",POWER(Upgrades!$U$7,F48),1)*IF(Upgrades!$T$8="Orbital Resonance",POWER(Upgrades!$U$8,G48),1)*IF(Upgrades!$T$9="Orbital Resonance",POWER(Upgrades!$U$9,H48),1)*IF(Upgrades!$T$11="Orbital Resonance",POWER(Upgrades!$U$11,J48),1)*IF(Upgrades!$T$12="Orbital Resonance",POWER(Upgrades!$U$12,K48),1))+(IF(J48=0,0,(Upgrades!$M$11+J48*Upgrades!$N$11)*POWER(Upgrades!$O$11,J48)))*(IF(Upgrades!$T$6="Heliopause",POWER(Upgrades!$U$6,E48),1)*IF(Upgrades!$T$7="Heliopause",POWER(Upgrades!$U$7,F48),1)*IF(Upgrades!$T$8="Heliopause",POWER(Upgrades!$U$8,G48),1)*IF(Upgrades!$T$9="Heliopause",POWER(Upgrades!$U$9,H48),1)*IF(Upgrades!$T$10="Heliopause",POWER(Upgrades!$U$10,I48),1)*IF(Upgrades!$T$12="Heliopause",POWER(Upgrades!$U$12,K48),1))+(IF(K48=0,0,(Upgrades!$M$12+K48*Upgrades!$N$12)*POWER(Upgrades!$O$12,K48)))*(IF(Upgrades!$T$6="First Photons",POWER(Upgrades!$U$6,E48),1)*IF(Upgrades!$T$7="First Photons",POWER(Upgrades!$U$7,F48),1)*IF(Upgrades!$T$8="First Photons",POWER(Upgrades!$U$8,G48),1)*IF(Upgrades!$T$9="First Photons",POWER(Upgrades!$U$9,H48),1)*IF(Upgrades!$T$10="First Photons",POWER(Upgrades!$U$10,I48),1)*IF(Upgrades!$T$11="First Photons",POWER(Upgrades!$U$11,J48),1)))*POWER(Upgrades!$R$6,E48)*POWER(Upgrades!$R$7,F48)*POWER(Upgrades!$R$8,G48)*POWER(Upgrades!$R$9,H48)*POWER(Upgrades!$R$10,I48)*POWER(Upgrades!$R$11,J48)*POWER(Upgrades!$R$12,K48)</f>
        <v/>
      </c>
      <c r="P48" s="27">
        <f>IF(L48=1,0,M48*Parameters!$B$10/60*Parameters!$B$11*10)</f>
        <v/>
      </c>
      <c r="Q48" s="27">
        <f>IF(L48=1,0,O48*M48*10)</f>
        <v/>
      </c>
      <c r="R48" s="27">
        <f>IF(L48=1,0,N48*10)</f>
        <v/>
      </c>
      <c r="S48" s="27">
        <f>P48+Q48+R48</f>
        <v/>
      </c>
      <c r="T48" s="22">
        <f>C48+S48</f>
        <v/>
      </c>
      <c r="U48" s="33">
        <f>AX48</f>
        <v/>
      </c>
      <c r="V48" s="22">
        <f>IF(U48="",0,IF(U48="transition",0,IF(U48="SW",AG48,IF(U48="AB",AH48,IF(U48="SC",AI48,IF(U48="Mag",AJ48,IF(U48="OR",AK48,IF(U48="HP",AL48,IF(U48="FP",AM48,0)))))))))</f>
        <v/>
      </c>
      <c r="W48" s="27">
        <f>IF(U48="OR",Upgrades!$F$10,IF(U48="HP",Upgrades!$F$11,IF(U48="transition",-Parameters!$B$18,0)))</f>
        <v/>
      </c>
      <c r="X48" s="22">
        <f>T48-V48</f>
        <v/>
      </c>
      <c r="Y48" s="30">
        <f>M48*Parameters!$B$10/60*Parameters!$B$11+O48*M48+N48</f>
        <v/>
      </c>
      <c r="Z48" s="34">
        <f>IF(U48="transition","→ Tier 2 (Stellar Neighborhood)",IF(U48="FP","First Photons — light begins, system quickens",IF(U48="HP","Heliopause acquired",IF(U48="OR","Orbital Resonance — passive multiplier active",IF(AND(AO48=1,L48=0,AN48&lt;&gt;1),"Cohesion ready (waiting on completionist upgrades)","")))))</f>
        <v/>
      </c>
      <c r="AA48" s="27">
        <f>(IF(E48=0,0,(Upgrades!$G$6+E48*Upgrades!$H$6)*POWER(Upgrades!$I$6,E48)))*(IF(Upgrades!$T$7="Solar Wind",POWER(Upgrades!$U$7,F48),1)*IF(Upgrades!$T$8="Solar Wind",POWER(Upgrades!$U$8,G48),1)*IF(Upgrades!$T$9="Solar Wind",POWER(Upgrades!$U$9,H48),1)*IF(Upgrades!$T$10="Solar Wind",POWER(Upgrades!$U$10,I48),1)*IF(Upgrades!$T$11="Solar Wind",POWER(Upgrades!$U$11,J48),1)*IF(Upgrades!$T$12="Solar Wind",POWER(Upgrades!$U$12,K48),1))*POWER(Upgrades!$P$6,E48)*POWER(Upgrades!$P$7,F48)*POWER(Upgrades!$P$8,G48)*POWER(Upgrades!$P$9,H48)*POWER(Upgrades!$P$10,I48)*POWER(Upgrades!$P$11,J48)*POWER(Upgrades!$P$12,K48)*60</f>
        <v/>
      </c>
      <c r="AB48" s="27">
        <f>(IF(F48=0,0,(Upgrades!$G$7+F48*Upgrades!$H$7)*POWER(Upgrades!$I$7,F48)))*(IF(Upgrades!$T$6="Asteroid Belt",POWER(Upgrades!$U$6,E48),1)*IF(Upgrades!$T$8="Asteroid Belt",POWER(Upgrades!$U$8,G48),1)*IF(Upgrades!$T$9="Asteroid Belt",POWER(Upgrades!$U$9,H48),1)*IF(Upgrades!$T$10="Asteroid Belt",POWER(Upgrades!$U$10,I48),1)*IF(Upgrades!$T$11="Asteroid Belt",POWER(Upgrades!$U$11,J48),1)*IF(Upgrades!$T$12="Asteroid Belt",POWER(Upgrades!$U$12,K48),1))*POWER(Upgrades!$P$6,E48)*POWER(Upgrades!$P$7,F48)*POWER(Upgrades!$P$8,G48)*POWER(Upgrades!$P$9,H48)*POWER(Upgrades!$P$10,I48)*POWER(Upgrades!$P$11,J48)*POWER(Upgrades!$P$12,K48)*60</f>
        <v/>
      </c>
      <c r="AC48" s="27">
        <f>(IF(G48=0,0,(Upgrades!$J$8+G48*Upgrades!$K$8)*POWER(Upgrades!$L$8,G48)))*(IF(Upgrades!$T$6="Stellar Coupling",POWER(Upgrades!$U$6,E48),1)*IF(Upgrades!$T$7="Stellar Coupling",POWER(Upgrades!$U$7,F48),1)*IF(Upgrades!$T$9="Stellar Coupling",POWER(Upgrades!$U$9,H48),1)*IF(Upgrades!$T$10="Stellar Coupling",POWER(Upgrades!$U$10,I48),1)*IF(Upgrades!$T$11="Stellar Coupling",POWER(Upgrades!$U$11,J48),1)*IF(Upgrades!$T$12="Stellar Coupling",POWER(Upgrades!$U$12,K48),1))*POWER(Upgrades!$Q$6,E48)*POWER(Upgrades!$Q$7,F48)*POWER(Upgrades!$Q$8,G48)*POWER(Upgrades!$Q$9,H48)*POWER(Upgrades!$Q$10,I48)*POWER(Upgrades!$Q$11,J48)*POWER(Upgrades!$Q$12,K48)*Parameters!$B$10*Parameters!$B$11</f>
        <v/>
      </c>
      <c r="AD48" s="27">
        <f>(IF(H48=0,0,(Upgrades!$G$9+H48*Upgrades!$H$9)*POWER(Upgrades!$I$9,H48)))*(IF(Upgrades!$T$6="Magnetosphere",POWER(Upgrades!$U$6,E48),1)*IF(Upgrades!$T$7="Magnetosphere",POWER(Upgrades!$U$7,F48),1)*IF(Upgrades!$T$8="Magnetosphere",POWER(Upgrades!$U$8,G48),1)*IF(Upgrades!$T$10="Magnetosphere",POWER(Upgrades!$U$10,I48),1)*IF(Upgrades!$T$11="Magnetosphere",POWER(Upgrades!$U$11,J48),1)*IF(Upgrades!$T$12="Magnetosphere",POWER(Upgrades!$U$12,K48),1))*POWER(Upgrades!$P$6,E48)*POWER(Upgrades!$P$7,F48)*POWER(Upgrades!$P$8,G48)*POWER(Upgrades!$P$9,H48)*POWER(Upgrades!$P$10,I48)*POWER(Upgrades!$P$11,J48)*POWER(Upgrades!$P$12,K48)*60</f>
        <v/>
      </c>
      <c r="AE48" s="27">
        <f>(IF(K48=0,0,(Upgrades!$G$12+K48*Upgrades!$H$12)*POWER(Upgrades!$I$12,K48)))*(IF(Upgrades!$T$6="First Photons",POWER(Upgrades!$U$6,E48),1)*IF(Upgrades!$T$7="First Photons",POWER(Upgrades!$U$7,F48),1)*IF(Upgrades!$T$8="First Photons",POWER(Upgrades!$U$8,G48),1)*IF(Upgrades!$T$9="First Photons",POWER(Upgrades!$U$9,H48),1)*IF(Upgrades!$T$10="First Photons",POWER(Upgrades!$U$10,I48),1)*IF(Upgrades!$T$11="First Photons",POWER(Upgrades!$U$11,J48),1))*POWER(Upgrades!$P$6,E48)*POWER(Upgrades!$P$7,F48)*POWER(Upgrades!$P$8,G48)*POWER(Upgrades!$P$9,H48)*POWER(Upgrades!$P$10,I48)*POWER(Upgrades!$P$11,J48)*POWER(Upgrades!$P$12,K48)*60</f>
        <v/>
      </c>
      <c r="AF48" s="27">
        <f>Parameters!$B$9*POWER(Upgrades!$Q$6,E48)*POWER(Upgrades!$Q$7,F48)*POWER(Upgrades!$Q$8,G48)*POWER(Upgrades!$Q$9,H48)*POWER(Upgrades!$Q$10,I48)*POWER(Upgrades!$Q$11,J48)*POWER(Upgrades!$Q$12,K48)*(Parameters!$B$10*Parameters!$B$11+O48*60)</f>
        <v/>
      </c>
      <c r="AG48" s="22">
        <f>IF(E48&gt;=Upgrades!$E$6,"",Upgrades!$C$6*POWER(Upgrades!$D$6,E48))</f>
        <v/>
      </c>
      <c r="AH48" s="22">
        <f>IF(F48&gt;=Upgrades!$E$7,"",Upgrades!$C$7*POWER(Upgrades!$D$7,F48))</f>
        <v/>
      </c>
      <c r="AI48" s="22">
        <f>IF(G48&gt;=Upgrades!$E$8,"",Upgrades!$C$8*POWER(Upgrades!$D$8,G48))</f>
        <v/>
      </c>
      <c r="AJ48" s="22">
        <f>IF(H48&gt;=Upgrades!$E$9,"",Upgrades!$C$9*POWER(Upgrades!$D$9,H48))</f>
        <v/>
      </c>
      <c r="AK48" s="22">
        <f>IF(I48&gt;=Upgrades!$E$10,"",Upgrades!$C$10*POWER(Upgrades!$D$10,I48))</f>
        <v/>
      </c>
      <c r="AL48" s="22">
        <f>IF(J48&gt;=Upgrades!$E$11,"",Upgrades!$C$11*POWER(Upgrades!$D$11,J48))</f>
        <v/>
      </c>
      <c r="AM48" s="22">
        <f>IF(K48&gt;=Upgrades!$E$12,"",Upgrades!$C$12*POWER(Upgrades!$D$12,K48))</f>
        <v/>
      </c>
      <c r="AN48" s="26">
        <f>IF(AND(D48&gt;=Parameters!$B$18,(H48&gt;=Upgrades!$E$9)*(K48&gt;=Upgrades!$E$12)=1,L48=0),1,"")</f>
        <v/>
      </c>
      <c r="AO48" s="26">
        <f>IF(AND(D48&gt;=Parameters!$B$18,L48=0),1,"")</f>
        <v/>
      </c>
      <c r="AP48" s="22">
        <f>MIN(IF(ISNUMBER(AK48),AK48,9E15),IF(ISNUMBER(AL48),AL48,9E15),IF(ISNUMBER(AM48),AM48,9E15))</f>
        <v/>
      </c>
      <c r="AQ48" s="22">
        <f>MIN(IF(ISNUMBER(AG48),AG48,9E15),IF(ISNUMBER(AH48),AH48,9E15),IF(ISNUMBER(AI48),AI48,9E15),IF(ISNUMBER(AJ48),AJ48,9E15))</f>
        <v/>
      </c>
      <c r="AR48" s="29">
        <f>IF(AW48&gt;Parameters!$B$21*(MAX(IF(AND(NOT(AND(AO48=1,AN48&lt;&gt;1)),ISNUMBER(AG48),AG48&lt;=T48),AS48,0),IF(AND(NOT(AND(AO48=1,AN48&lt;&gt;1)),ISNUMBER(AH48),AH48&lt;=T48),AT48,0),IF(AND(NOT(AND(AO48=1,AN48&lt;&gt;1)),ISNUMBER(AI48),AI48&lt;=T48),AU48,0),IF(AND(ISNUMBER(AJ48),AJ48&lt;=T48),AV48,0))),TRUE,FALSE)</f>
        <v/>
      </c>
      <c r="AS48" s="32">
        <f>IFERROR(Upgrades!$H$6*(POWER(Upgrades!$P$6,E48)*POWER(Upgrades!$P$7,F48)*POWER(Upgrades!$P$8,G48)*POWER(Upgrades!$P$9,H48)*POWER(Upgrades!$P$10,I48)*POWER(Upgrades!$P$11,J48)*POWER(Upgrades!$P$12,K48))*(IF(Upgrades!$T$7="Solar Wind",POWER(Upgrades!$U$7,F48),1)*IF(Upgrades!$T$8="Solar Wind",POWER(Upgrades!$U$8,G48),1)*IF(Upgrades!$T$9="Solar Wind",POWER(Upgrades!$U$9,H48),1)*IF(Upgrades!$T$10="Solar Wind",POWER(Upgrades!$U$10,I48),1)*IF(Upgrades!$T$11="Solar Wind",POWER(Upgrades!$U$11,J48),1)*IF(Upgrades!$T$12="Solar Wind",POWER(Upgrades!$U$12,K48),1))/AG48,0)</f>
        <v/>
      </c>
      <c r="AT48" s="32">
        <f>IFERROR(Upgrades!$H$7*(POWER(Upgrades!$P$6,E48)*POWER(Upgrades!$P$7,F48)*POWER(Upgrades!$P$8,G48)*POWER(Upgrades!$P$9,H48)*POWER(Upgrades!$P$10,I48)*POWER(Upgrades!$P$11,J48)*POWER(Upgrades!$P$12,K48))*(IF(Upgrades!$T$6="Asteroid Belt",POWER(Upgrades!$U$6,E48),1)*IF(Upgrades!$T$8="Asteroid Belt",POWER(Upgrades!$U$8,G48),1)*IF(Upgrades!$T$9="Asteroid Belt",POWER(Upgrades!$U$9,H48),1)*IF(Upgrades!$T$10="Asteroid Belt",POWER(Upgrades!$U$10,I48),1)*IF(Upgrades!$T$11="Asteroid Belt",POWER(Upgrades!$U$11,J48),1)*IF(Upgrades!$T$12="Asteroid Belt",POWER(Upgrades!$U$12,K48),1))/AH48,0)</f>
        <v/>
      </c>
      <c r="AU48" s="32">
        <f>IFERROR(Upgrades!$K$8*(POWER(Upgrades!$Q$6,E48)*POWER(Upgrades!$Q$7,F48)*POWER(Upgrades!$Q$8,G48)*POWER(Upgrades!$Q$9,H48)*POWER(Upgrades!$Q$10,I48)*POWER(Upgrades!$Q$11,J48)*POWER(Upgrades!$Q$12,K48))*(IF(Upgrades!$T$6="Stellar Coupling",POWER(Upgrades!$U$6,E48),1)*IF(Upgrades!$T$7="Stellar Coupling",POWER(Upgrades!$U$7,F48),1)*IF(Upgrades!$T$9="Stellar Coupling",POWER(Upgrades!$U$9,H48),1)*IF(Upgrades!$T$10="Stellar Coupling",POWER(Upgrades!$U$10,I48),1)*IF(Upgrades!$T$11="Stellar Coupling",POWER(Upgrades!$U$11,J48),1)*IF(Upgrades!$T$12="Stellar Coupling",POWER(Upgrades!$U$12,K48),1))*Parameters!$B$10*Parameters!$B$11/60/AI48,0)</f>
        <v/>
      </c>
      <c r="AV48" s="32">
        <f>IFERROR(Upgrades!$H$9*(POWER(Upgrades!$P$6,E48)*POWER(Upgrades!$P$7,F48)*POWER(Upgrades!$P$8,G48)*POWER(Upgrades!$P$9,H48)*POWER(Upgrades!$P$10,I48)*POWER(Upgrades!$P$11,J48)*POWER(Upgrades!$P$12,K48))*(IF(Upgrades!$T$6="Magnetosphere",POWER(Upgrades!$U$6,E48),1)*IF(Upgrades!$T$7="Magnetosphere",POWER(Upgrades!$U$7,F48),1)*IF(Upgrades!$T$8="Magnetosphere",POWER(Upgrades!$U$8,G48),1)*IF(Upgrades!$T$10="Magnetosphere",POWER(Upgrades!$U$10,I48),1)*IF(Upgrades!$T$11="Magnetosphere",POWER(Upgrades!$U$11,J48),1)*IF(Upgrades!$T$12="Magnetosphere",POWER(Upgrades!$U$12,K48),1))/AJ48,0)</f>
        <v/>
      </c>
      <c r="AW48" s="32">
        <f>MAX(IF(I48&gt;0,0,IFERROR(0.25*N48/Upgrades!$C$10,0)),IF(J48&gt;0,0,IFERROR(0.5*((IF(G48=0,0,(Upgrades!$J$8+G48*Upgrades!$K$8)*POWER(Upgrades!$L$8,G48)))*(IF(Upgrades!$T$6="Stellar Coupling",POWER(Upgrades!$U$6,E48),1)*IF(Upgrades!$T$7="Stellar Coupling",POWER(Upgrades!$U$7,F48),1)*IF(Upgrades!$T$9="Stellar Coupling",POWER(Upgrades!$U$9,H48),1)*IF(Upgrades!$T$10="Stellar Coupling",POWER(Upgrades!$U$10,I48),1)*IF(Upgrades!$T$11="Stellar Coupling",POWER(Upgrades!$U$11,J48),1)*IF(Upgrades!$T$12="Stellar Coupling",POWER(Upgrades!$U$12,K48),1))*(POWER(Upgrades!$Q$6,E48)*POWER(Upgrades!$Q$7,F48)*POWER(Upgrades!$Q$8,G48)*POWER(Upgrades!$Q$9,H48)*POWER(Upgrades!$Q$10,I48)*POWER(Upgrades!$Q$11,J48)*POWER(Upgrades!$Q$12,K48))*Parameters!$B$10*Parameters!$B$11/60)/Upgrades!$C$11,0)),IF(K48&gt;0,0,IFERROR((1.0*(POWER(Upgrades!$P$6,E48)*POWER(Upgrades!$P$7,F48)*POWER(Upgrades!$P$8,G48)*POWER(Upgrades!$P$9,H48)*POWER(Upgrades!$P$10,I48)*POWER(Upgrades!$P$11,J48)*POWER(Upgrades!$P$12,K48))+0.20*M48*Parameters!$B$10*Parameters!$B$11/60)/Upgrades!$C$12,0)),IF(AND(ISNUMBER(AG48),AG48&gt;T48),AS48,0),IF(AND(ISNUMBER(AH48),AH48&gt;T48),AT48,0),IF(AND(ISNUMBER(AI48),AI48&gt;T48),AU48,0),IF(AND(ISNUMBER(AJ48),AJ48&gt;T48),AV48,0))</f>
        <v/>
      </c>
      <c r="AX48" s="29">
        <f>IF(AN48=1,"transition",IF(MIN(IF(AND(I48=0,ISNUMBER(AK48),AK48&lt;=T48),AK48,9E15),IF(AND(J48=0,ISNUMBER(AL48),AL48&lt;=T48),AL48,9E15),IF(AND(K48=0,ISNUMBER(AM48),AM48&lt;=T48),AM48,9E15))&lt;9E15,IF(AND(AND(I48=0,ISNUMBER(AK48),AK48&lt;=T48),AK48=MIN(IF(AND(I48=0,ISNUMBER(AK48),AK48&lt;=T48),AK48,9E15),IF(AND(J48=0,ISNUMBER(AL48),AL48&lt;=T48),AL48,9E15),IF(AND(K48=0,ISNUMBER(AM48),AM48&lt;=T48),AM48,9E15))),"OR",IF(AND(AND(J48=0,ISNUMBER(AL48),AL48&lt;=T48),AL48=MIN(IF(AND(I48=0,ISNUMBER(AK48),AK48&lt;=T48),AK48,9E15),IF(AND(J48=0,ISNUMBER(AL48),AL48&lt;=T48),AL48,9E15),IF(AND(K48=0,ISNUMBER(AM48),AM48&lt;=T48),AM48,9E15))),"HP","FP")),IF(AR48=TRUE,"",IF(MAX(IF(AND(NOT(AND(AO48=1,AN48&lt;&gt;1)),ISNUMBER(AG48),AG48&lt;=T48),AS48,0),IF(AND(NOT(AND(AO48=1,AN48&lt;&gt;1)),ISNUMBER(AH48),AH48&lt;=T48),AT48,0),IF(AND(NOT(AND(AO48=1,AN48&lt;&gt;1)),ISNUMBER(AI48),AI48&lt;=T48),AU48,0),IF(AND(ISNUMBER(AJ48),AJ48&lt;=T48),AV48,0))&lt;=0,"",IF(AND(IF(AND(NOT(AND(AO48=1,AN48&lt;&gt;1)),ISNUMBER(AG48),AG48&lt;=T48),AS48,0)&gt;0,IF(AND(NOT(AND(AO48=1,AN48&lt;&gt;1)),ISNUMBER(AG48),AG48&lt;=T48),AS48,0)=MAX(IF(AND(NOT(AND(AO48=1,AN48&lt;&gt;1)),ISNUMBER(AG48),AG48&lt;=T48),AS48,0),IF(AND(NOT(AND(AO48=1,AN48&lt;&gt;1)),ISNUMBER(AH48),AH48&lt;=T48),AT48,0),IF(AND(NOT(AND(AO48=1,AN48&lt;&gt;1)),ISNUMBER(AI48),AI48&lt;=T48),AU48,0),IF(AND(ISNUMBER(AJ48),AJ48&lt;=T48),AV48,0))),"SW",IF(AND(IF(AND(NOT(AND(AO48=1,AN48&lt;&gt;1)),ISNUMBER(AH48),AH48&lt;=T48),AT48,0)&gt;0,IF(AND(NOT(AND(AO48=1,AN48&lt;&gt;1)),ISNUMBER(AH48),AH48&lt;=T48),AT48,0)=MAX(IF(AND(NOT(AND(AO48=1,AN48&lt;&gt;1)),ISNUMBER(AG48),AG48&lt;=T48),AS48,0),IF(AND(NOT(AND(AO48=1,AN48&lt;&gt;1)),ISNUMBER(AH48),AH48&lt;=T48),AT48,0),IF(AND(NOT(AND(AO48=1,AN48&lt;&gt;1)),ISNUMBER(AI48),AI48&lt;=T48),AU48,0),IF(AND(ISNUMBER(AJ48),AJ48&lt;=T48),AV48,0))),"AB",IF(AND(IF(AND(NOT(AND(AO48=1,AN48&lt;&gt;1)),ISNUMBER(AI48),AI48&lt;=T48),AU48,0)&gt;0,IF(AND(NOT(AND(AO48=1,AN48&lt;&gt;1)),ISNUMBER(AI48),AI48&lt;=T48),AU48,0)=MAX(IF(AND(NOT(AND(AO48=1,AN48&lt;&gt;1)),ISNUMBER(AG48),AG48&lt;=T48),AS48,0),IF(AND(NOT(AND(AO48=1,AN48&lt;&gt;1)),ISNUMBER(AH48),AH48&lt;=T48),AT48,0),IF(AND(NOT(AND(AO48=1,AN48&lt;&gt;1)),ISNUMBER(AI48),AI48&lt;=T48),AU48,0),IF(AND(ISNUMBER(AJ48),AJ48&lt;=T48),AV48,0))),"SC","Mag")))))))</f>
        <v/>
      </c>
    </row>
    <row r="49">
      <c r="A49" s="26" t="n">
        <v>44</v>
      </c>
      <c r="B49" s="27">
        <f>A49*10/60</f>
        <v/>
      </c>
      <c r="C49" s="22">
        <f>X48</f>
        <v/>
      </c>
      <c r="D49" s="27">
        <f>D48+W48</f>
        <v/>
      </c>
      <c r="E49" s="26">
        <f>E48+IF(U48="SW",1,0)</f>
        <v/>
      </c>
      <c r="F49" s="26">
        <f>F48+IF(U48="AB",1,0)</f>
        <v/>
      </c>
      <c r="G49" s="26">
        <f>G48+IF(U48="SC",1,0)</f>
        <v/>
      </c>
      <c r="H49" s="26">
        <f>H48+IF(U48="Mag",1,0)</f>
        <v/>
      </c>
      <c r="I49" s="26">
        <f>MAX(I48,IF(U48="OR",1,0))</f>
        <v/>
      </c>
      <c r="J49" s="26">
        <f>MAX(J48,IF(U48="HP",1,0))</f>
        <v/>
      </c>
      <c r="K49" s="26">
        <f>MAX(K48,IF(U48="FP",1,0))</f>
        <v/>
      </c>
      <c r="L49" s="26">
        <f>MAX(L48,IF(U48="transition",1,0))</f>
        <v/>
      </c>
      <c r="M49" s="28">
        <f>(Parameters!$B$9+(IF(E49=0,0,(Upgrades!$J$6+E49*Upgrades!$K$6)*POWER(Upgrades!$L$6,E49)))*(IF(Upgrades!$T$7="Solar Wind",POWER(Upgrades!$U$7,F49),1)*IF(Upgrades!$T$8="Solar Wind",POWER(Upgrades!$U$8,G49),1)*IF(Upgrades!$T$9="Solar Wind",POWER(Upgrades!$U$9,H49),1)*IF(Upgrades!$T$10="Solar Wind",POWER(Upgrades!$U$10,I49),1)*IF(Upgrades!$T$11="Solar Wind",POWER(Upgrades!$U$11,J49),1)*IF(Upgrades!$T$12="Solar Wind",POWER(Upgrades!$U$12,K49),1))+(IF(F49=0,0,(Upgrades!$J$7+F49*Upgrades!$K$7)*POWER(Upgrades!$L$7,F49)))*(IF(Upgrades!$T$6="Asteroid Belt",POWER(Upgrades!$U$6,E49),1)*IF(Upgrades!$T$8="Asteroid Belt",POWER(Upgrades!$U$8,G49),1)*IF(Upgrades!$T$9="Asteroid Belt",POWER(Upgrades!$U$9,H49),1)*IF(Upgrades!$T$10="Asteroid Belt",POWER(Upgrades!$U$10,I49),1)*IF(Upgrades!$T$11="Asteroid Belt",POWER(Upgrades!$U$11,J49),1)*IF(Upgrades!$T$12="Asteroid Belt",POWER(Upgrades!$U$12,K49),1))+(IF(G49=0,0,(Upgrades!$J$8+G49*Upgrades!$K$8)*POWER(Upgrades!$L$8,G49)))*(IF(Upgrades!$T$6="Stellar Coupling",POWER(Upgrades!$U$6,E49),1)*IF(Upgrades!$T$7="Stellar Coupling",POWER(Upgrades!$U$7,F49),1)*IF(Upgrades!$T$9="Stellar Coupling",POWER(Upgrades!$U$9,H49),1)*IF(Upgrades!$T$10="Stellar Coupling",POWER(Upgrades!$U$10,I49),1)*IF(Upgrades!$T$11="Stellar Coupling",POWER(Upgrades!$U$11,J49),1)*IF(Upgrades!$T$12="Stellar Coupling",POWER(Upgrades!$U$12,K49),1))+(IF(H49=0,0,(Upgrades!$J$9+H49*Upgrades!$K$9)*POWER(Upgrades!$L$9,H49)))*(IF(Upgrades!$T$6="Magnetosphere",POWER(Upgrades!$U$6,E49),1)*IF(Upgrades!$T$7="Magnetosphere",POWER(Upgrades!$U$7,F49),1)*IF(Upgrades!$T$8="Magnetosphere",POWER(Upgrades!$U$8,G49),1)*IF(Upgrades!$T$10="Magnetosphere",POWER(Upgrades!$U$10,I49),1)*IF(Upgrades!$T$11="Magnetosphere",POWER(Upgrades!$U$11,J49),1)*IF(Upgrades!$T$12="Magnetosphere",POWER(Upgrades!$U$12,K49),1))+(IF(I49=0,0,(Upgrades!$J$10+I49*Upgrades!$K$10)*POWER(Upgrades!$L$10,I49)))*(IF(Upgrades!$T$6="Orbital Resonance",POWER(Upgrades!$U$6,E49),1)*IF(Upgrades!$T$7="Orbital Resonance",POWER(Upgrades!$U$7,F49),1)*IF(Upgrades!$T$8="Orbital Resonance",POWER(Upgrades!$U$8,G49),1)*IF(Upgrades!$T$9="Orbital Resonance",POWER(Upgrades!$U$9,H49),1)*IF(Upgrades!$T$11="Orbital Resonance",POWER(Upgrades!$U$11,J49),1)*IF(Upgrades!$T$12="Orbital Resonance",POWER(Upgrades!$U$12,K49),1))+(IF(J49=0,0,(Upgrades!$J$11+J49*Upgrades!$K$11)*POWER(Upgrades!$L$11,J49)))*(IF(Upgrades!$T$6="Heliopause",POWER(Upgrades!$U$6,E49),1)*IF(Upgrades!$T$7="Heliopause",POWER(Upgrades!$U$7,F49),1)*IF(Upgrades!$T$8="Heliopause",POWER(Upgrades!$U$8,G49),1)*IF(Upgrades!$T$9="Heliopause",POWER(Upgrades!$U$9,H49),1)*IF(Upgrades!$T$10="Heliopause",POWER(Upgrades!$U$10,I49),1)*IF(Upgrades!$T$12="Heliopause",POWER(Upgrades!$U$12,K49),1))+(IF(K49=0,0,(Upgrades!$J$12+K49*Upgrades!$K$12)*POWER(Upgrades!$L$12,K49)))*(IF(Upgrades!$T$6="First Photons",POWER(Upgrades!$U$6,E49),1)*IF(Upgrades!$T$7="First Photons",POWER(Upgrades!$U$7,F49),1)*IF(Upgrades!$T$8="First Photons",POWER(Upgrades!$U$8,G49),1)*IF(Upgrades!$T$9="First Photons",POWER(Upgrades!$U$9,H49),1)*IF(Upgrades!$T$10="First Photons",POWER(Upgrades!$U$10,I49),1)*IF(Upgrades!$T$11="First Photons",POWER(Upgrades!$U$11,J49),1)))*POWER(Upgrades!$Q$6,E49)*POWER(Upgrades!$Q$7,F49)*POWER(Upgrades!$Q$8,G49)*POWER(Upgrades!$Q$9,H49)*POWER(Upgrades!$Q$10,I49)*POWER(Upgrades!$Q$11,J49)*POWER(Upgrades!$Q$12,K49)</f>
        <v/>
      </c>
      <c r="N49" s="28">
        <f>((IF(E49=0,0,(Upgrades!$G$6+E49*Upgrades!$H$6)*POWER(Upgrades!$I$6,E49)))*(IF(Upgrades!$T$7="Solar Wind",POWER(Upgrades!$U$7,F49),1)*IF(Upgrades!$T$8="Solar Wind",POWER(Upgrades!$U$8,G49),1)*IF(Upgrades!$T$9="Solar Wind",POWER(Upgrades!$U$9,H49),1)*IF(Upgrades!$T$10="Solar Wind",POWER(Upgrades!$U$10,I49),1)*IF(Upgrades!$T$11="Solar Wind",POWER(Upgrades!$U$11,J49),1)*IF(Upgrades!$T$12="Solar Wind",POWER(Upgrades!$U$12,K49),1))+(IF(F49=0,0,(Upgrades!$G$7+F49*Upgrades!$H$7)*POWER(Upgrades!$I$7,F49)))*(IF(Upgrades!$T$6="Asteroid Belt",POWER(Upgrades!$U$6,E49),1)*IF(Upgrades!$T$8="Asteroid Belt",POWER(Upgrades!$U$8,G49),1)*IF(Upgrades!$T$9="Asteroid Belt",POWER(Upgrades!$U$9,H49),1)*IF(Upgrades!$T$10="Asteroid Belt",POWER(Upgrades!$U$10,I49),1)*IF(Upgrades!$T$11="Asteroid Belt",POWER(Upgrades!$U$11,J49),1)*IF(Upgrades!$T$12="Asteroid Belt",POWER(Upgrades!$U$12,K49),1))+(IF(G49=0,0,(Upgrades!$G$8+G49*Upgrades!$H$8)*POWER(Upgrades!$I$8,G49)))*(IF(Upgrades!$T$6="Stellar Coupling",POWER(Upgrades!$U$6,E49),1)*IF(Upgrades!$T$7="Stellar Coupling",POWER(Upgrades!$U$7,F49),1)*IF(Upgrades!$T$9="Stellar Coupling",POWER(Upgrades!$U$9,H49),1)*IF(Upgrades!$T$10="Stellar Coupling",POWER(Upgrades!$U$10,I49),1)*IF(Upgrades!$T$11="Stellar Coupling",POWER(Upgrades!$U$11,J49),1)*IF(Upgrades!$T$12="Stellar Coupling",POWER(Upgrades!$U$12,K49),1))+(IF(H49=0,0,(Upgrades!$G$9+H49*Upgrades!$H$9)*POWER(Upgrades!$I$9,H49)))*(IF(Upgrades!$T$6="Magnetosphere",POWER(Upgrades!$U$6,E49),1)*IF(Upgrades!$T$7="Magnetosphere",POWER(Upgrades!$U$7,F49),1)*IF(Upgrades!$T$8="Magnetosphere",POWER(Upgrades!$U$8,G49),1)*IF(Upgrades!$T$10="Magnetosphere",POWER(Upgrades!$U$10,I49),1)*IF(Upgrades!$T$11="Magnetosphere",POWER(Upgrades!$U$11,J49),1)*IF(Upgrades!$T$12="Magnetosphere",POWER(Upgrades!$U$12,K49),1))+(IF(I49=0,0,(Upgrades!$G$10+I49*Upgrades!$H$10)*POWER(Upgrades!$I$10,I49)))*(IF(Upgrades!$T$6="Orbital Resonance",POWER(Upgrades!$U$6,E49),1)*IF(Upgrades!$T$7="Orbital Resonance",POWER(Upgrades!$U$7,F49),1)*IF(Upgrades!$T$8="Orbital Resonance",POWER(Upgrades!$U$8,G49),1)*IF(Upgrades!$T$9="Orbital Resonance",POWER(Upgrades!$U$9,H49),1)*IF(Upgrades!$T$11="Orbital Resonance",POWER(Upgrades!$U$11,J49),1)*IF(Upgrades!$T$12="Orbital Resonance",POWER(Upgrades!$U$12,K49),1))+(IF(J49=0,0,(Upgrades!$G$11+J49*Upgrades!$H$11)*POWER(Upgrades!$I$11,J49)))*(IF(Upgrades!$T$6="Heliopause",POWER(Upgrades!$U$6,E49),1)*IF(Upgrades!$T$7="Heliopause",POWER(Upgrades!$U$7,F49),1)*IF(Upgrades!$T$8="Heliopause",POWER(Upgrades!$U$8,G49),1)*IF(Upgrades!$T$9="Heliopause",POWER(Upgrades!$U$9,H49),1)*IF(Upgrades!$T$10="Heliopause",POWER(Upgrades!$U$10,I49),1)*IF(Upgrades!$T$12="Heliopause",POWER(Upgrades!$U$12,K49),1))+(IF(K49=0,0,(Upgrades!$G$12+K49*Upgrades!$H$12)*POWER(Upgrades!$I$12,K49)))*(IF(Upgrades!$T$6="First Photons",POWER(Upgrades!$U$6,E49),1)*IF(Upgrades!$T$7="First Photons",POWER(Upgrades!$U$7,F49),1)*IF(Upgrades!$T$8="First Photons",POWER(Upgrades!$U$8,G49),1)*IF(Upgrades!$T$9="First Photons",POWER(Upgrades!$U$9,H49),1)*IF(Upgrades!$T$10="First Photons",POWER(Upgrades!$U$10,I49),1)*IF(Upgrades!$T$11="First Photons",POWER(Upgrades!$U$11,J49),1)))*POWER(Upgrades!$P$6,E49)*POWER(Upgrades!$P$7,F49)*POWER(Upgrades!$P$8,G49)*POWER(Upgrades!$P$9,H49)*POWER(Upgrades!$P$10,I49)*POWER(Upgrades!$P$11,J49)*POWER(Upgrades!$P$12,K49)</f>
        <v/>
      </c>
      <c r="O49" s="28">
        <f>((IF(E49=0,0,(Upgrades!$M$6+E49*Upgrades!$N$6)*POWER(Upgrades!$O$6,E49)))*(IF(Upgrades!$T$7="Solar Wind",POWER(Upgrades!$U$7,F49),1)*IF(Upgrades!$T$8="Solar Wind",POWER(Upgrades!$U$8,G49),1)*IF(Upgrades!$T$9="Solar Wind",POWER(Upgrades!$U$9,H49),1)*IF(Upgrades!$T$10="Solar Wind",POWER(Upgrades!$U$10,I49),1)*IF(Upgrades!$T$11="Solar Wind",POWER(Upgrades!$U$11,J49),1)*IF(Upgrades!$T$12="Solar Wind",POWER(Upgrades!$U$12,K49),1))+(IF(F49=0,0,(Upgrades!$M$7+F49*Upgrades!$N$7)*POWER(Upgrades!$O$7,F49)))*(IF(Upgrades!$T$6="Asteroid Belt",POWER(Upgrades!$U$6,E49),1)*IF(Upgrades!$T$8="Asteroid Belt",POWER(Upgrades!$U$8,G49),1)*IF(Upgrades!$T$9="Asteroid Belt",POWER(Upgrades!$U$9,H49),1)*IF(Upgrades!$T$10="Asteroid Belt",POWER(Upgrades!$U$10,I49),1)*IF(Upgrades!$T$11="Asteroid Belt",POWER(Upgrades!$U$11,J49),1)*IF(Upgrades!$T$12="Asteroid Belt",POWER(Upgrades!$U$12,K49),1))+(IF(G49=0,0,(Upgrades!$M$8+G49*Upgrades!$N$8)*POWER(Upgrades!$O$8,G49)))*(IF(Upgrades!$T$6="Stellar Coupling",POWER(Upgrades!$U$6,E49),1)*IF(Upgrades!$T$7="Stellar Coupling",POWER(Upgrades!$U$7,F49),1)*IF(Upgrades!$T$9="Stellar Coupling",POWER(Upgrades!$U$9,H49),1)*IF(Upgrades!$T$10="Stellar Coupling",POWER(Upgrades!$U$10,I49),1)*IF(Upgrades!$T$11="Stellar Coupling",POWER(Upgrades!$U$11,J49),1)*IF(Upgrades!$T$12="Stellar Coupling",POWER(Upgrades!$U$12,K49),1))+(IF(H49=0,0,(Upgrades!$M$9+H49*Upgrades!$N$9)*POWER(Upgrades!$O$9,H49)))*(IF(Upgrades!$T$6="Magnetosphere",POWER(Upgrades!$U$6,E49),1)*IF(Upgrades!$T$7="Magnetosphere",POWER(Upgrades!$U$7,F49),1)*IF(Upgrades!$T$8="Magnetosphere",POWER(Upgrades!$U$8,G49),1)*IF(Upgrades!$T$10="Magnetosphere",POWER(Upgrades!$U$10,I49),1)*IF(Upgrades!$T$11="Magnetosphere",POWER(Upgrades!$U$11,J49),1)*IF(Upgrades!$T$12="Magnetosphere",POWER(Upgrades!$U$12,K49),1))+(IF(I49=0,0,(Upgrades!$M$10+I49*Upgrades!$N$10)*POWER(Upgrades!$O$10,I49)))*(IF(Upgrades!$T$6="Orbital Resonance",POWER(Upgrades!$U$6,E49),1)*IF(Upgrades!$T$7="Orbital Resonance",POWER(Upgrades!$U$7,F49),1)*IF(Upgrades!$T$8="Orbital Resonance",POWER(Upgrades!$U$8,G49),1)*IF(Upgrades!$T$9="Orbital Resonance",POWER(Upgrades!$U$9,H49),1)*IF(Upgrades!$T$11="Orbital Resonance",POWER(Upgrades!$U$11,J49),1)*IF(Upgrades!$T$12="Orbital Resonance",POWER(Upgrades!$U$12,K49),1))+(IF(J49=0,0,(Upgrades!$M$11+J49*Upgrades!$N$11)*POWER(Upgrades!$O$11,J49)))*(IF(Upgrades!$T$6="Heliopause",POWER(Upgrades!$U$6,E49),1)*IF(Upgrades!$T$7="Heliopause",POWER(Upgrades!$U$7,F49),1)*IF(Upgrades!$T$8="Heliopause",POWER(Upgrades!$U$8,G49),1)*IF(Upgrades!$T$9="Heliopause",POWER(Upgrades!$U$9,H49),1)*IF(Upgrades!$T$10="Heliopause",POWER(Upgrades!$U$10,I49),1)*IF(Upgrades!$T$12="Heliopause",POWER(Upgrades!$U$12,K49),1))+(IF(K49=0,0,(Upgrades!$M$12+K49*Upgrades!$N$12)*POWER(Upgrades!$O$12,K49)))*(IF(Upgrades!$T$6="First Photons",POWER(Upgrades!$U$6,E49),1)*IF(Upgrades!$T$7="First Photons",POWER(Upgrades!$U$7,F49),1)*IF(Upgrades!$T$8="First Photons",POWER(Upgrades!$U$8,G49),1)*IF(Upgrades!$T$9="First Photons",POWER(Upgrades!$U$9,H49),1)*IF(Upgrades!$T$10="First Photons",POWER(Upgrades!$U$10,I49),1)*IF(Upgrades!$T$11="First Photons",POWER(Upgrades!$U$11,J49),1)))*POWER(Upgrades!$R$6,E49)*POWER(Upgrades!$R$7,F49)*POWER(Upgrades!$R$8,G49)*POWER(Upgrades!$R$9,H49)*POWER(Upgrades!$R$10,I49)*POWER(Upgrades!$R$11,J49)*POWER(Upgrades!$R$12,K49)</f>
        <v/>
      </c>
      <c r="P49" s="27">
        <f>IF(L49=1,0,M49*Parameters!$B$10/60*Parameters!$B$11*10)</f>
        <v/>
      </c>
      <c r="Q49" s="27">
        <f>IF(L49=1,0,O49*M49*10)</f>
        <v/>
      </c>
      <c r="R49" s="27">
        <f>IF(L49=1,0,N49*10)</f>
        <v/>
      </c>
      <c r="S49" s="27">
        <f>P49+Q49+R49</f>
        <v/>
      </c>
      <c r="T49" s="22">
        <f>C49+S49</f>
        <v/>
      </c>
      <c r="U49" s="33">
        <f>AX49</f>
        <v/>
      </c>
      <c r="V49" s="22">
        <f>IF(U49="",0,IF(U49="transition",0,IF(U49="SW",AG49,IF(U49="AB",AH49,IF(U49="SC",AI49,IF(U49="Mag",AJ49,IF(U49="OR",AK49,IF(U49="HP",AL49,IF(U49="FP",AM49,0)))))))))</f>
        <v/>
      </c>
      <c r="W49" s="27">
        <f>IF(U49="OR",Upgrades!$F$10,IF(U49="HP",Upgrades!$F$11,IF(U49="transition",-Parameters!$B$18,0)))</f>
        <v/>
      </c>
      <c r="X49" s="22">
        <f>T49-V49</f>
        <v/>
      </c>
      <c r="Y49" s="30">
        <f>M49*Parameters!$B$10/60*Parameters!$B$11+O49*M49+N49</f>
        <v/>
      </c>
      <c r="Z49" s="34">
        <f>IF(U49="transition","→ Tier 2 (Stellar Neighborhood)",IF(U49="FP","First Photons — light begins, system quickens",IF(U49="HP","Heliopause acquired",IF(U49="OR","Orbital Resonance — passive multiplier active",IF(AND(AO49=1,L49=0,AN49&lt;&gt;1),"Cohesion ready (waiting on completionist upgrades)","")))))</f>
        <v/>
      </c>
      <c r="AA49" s="27">
        <f>(IF(E49=0,0,(Upgrades!$G$6+E49*Upgrades!$H$6)*POWER(Upgrades!$I$6,E49)))*(IF(Upgrades!$T$7="Solar Wind",POWER(Upgrades!$U$7,F49),1)*IF(Upgrades!$T$8="Solar Wind",POWER(Upgrades!$U$8,G49),1)*IF(Upgrades!$T$9="Solar Wind",POWER(Upgrades!$U$9,H49),1)*IF(Upgrades!$T$10="Solar Wind",POWER(Upgrades!$U$10,I49),1)*IF(Upgrades!$T$11="Solar Wind",POWER(Upgrades!$U$11,J49),1)*IF(Upgrades!$T$12="Solar Wind",POWER(Upgrades!$U$12,K49),1))*POWER(Upgrades!$P$6,E49)*POWER(Upgrades!$P$7,F49)*POWER(Upgrades!$P$8,G49)*POWER(Upgrades!$P$9,H49)*POWER(Upgrades!$P$10,I49)*POWER(Upgrades!$P$11,J49)*POWER(Upgrades!$P$12,K49)*60</f>
        <v/>
      </c>
      <c r="AB49" s="27">
        <f>(IF(F49=0,0,(Upgrades!$G$7+F49*Upgrades!$H$7)*POWER(Upgrades!$I$7,F49)))*(IF(Upgrades!$T$6="Asteroid Belt",POWER(Upgrades!$U$6,E49),1)*IF(Upgrades!$T$8="Asteroid Belt",POWER(Upgrades!$U$8,G49),1)*IF(Upgrades!$T$9="Asteroid Belt",POWER(Upgrades!$U$9,H49),1)*IF(Upgrades!$T$10="Asteroid Belt",POWER(Upgrades!$U$10,I49),1)*IF(Upgrades!$T$11="Asteroid Belt",POWER(Upgrades!$U$11,J49),1)*IF(Upgrades!$T$12="Asteroid Belt",POWER(Upgrades!$U$12,K49),1))*POWER(Upgrades!$P$6,E49)*POWER(Upgrades!$P$7,F49)*POWER(Upgrades!$P$8,G49)*POWER(Upgrades!$P$9,H49)*POWER(Upgrades!$P$10,I49)*POWER(Upgrades!$P$11,J49)*POWER(Upgrades!$P$12,K49)*60</f>
        <v/>
      </c>
      <c r="AC49" s="27">
        <f>(IF(G49=0,0,(Upgrades!$J$8+G49*Upgrades!$K$8)*POWER(Upgrades!$L$8,G49)))*(IF(Upgrades!$T$6="Stellar Coupling",POWER(Upgrades!$U$6,E49),1)*IF(Upgrades!$T$7="Stellar Coupling",POWER(Upgrades!$U$7,F49),1)*IF(Upgrades!$T$9="Stellar Coupling",POWER(Upgrades!$U$9,H49),1)*IF(Upgrades!$T$10="Stellar Coupling",POWER(Upgrades!$U$10,I49),1)*IF(Upgrades!$T$11="Stellar Coupling",POWER(Upgrades!$U$11,J49),1)*IF(Upgrades!$T$12="Stellar Coupling",POWER(Upgrades!$U$12,K49),1))*POWER(Upgrades!$Q$6,E49)*POWER(Upgrades!$Q$7,F49)*POWER(Upgrades!$Q$8,G49)*POWER(Upgrades!$Q$9,H49)*POWER(Upgrades!$Q$10,I49)*POWER(Upgrades!$Q$11,J49)*POWER(Upgrades!$Q$12,K49)*Parameters!$B$10*Parameters!$B$11</f>
        <v/>
      </c>
      <c r="AD49" s="27">
        <f>(IF(H49=0,0,(Upgrades!$G$9+H49*Upgrades!$H$9)*POWER(Upgrades!$I$9,H49)))*(IF(Upgrades!$T$6="Magnetosphere",POWER(Upgrades!$U$6,E49),1)*IF(Upgrades!$T$7="Magnetosphere",POWER(Upgrades!$U$7,F49),1)*IF(Upgrades!$T$8="Magnetosphere",POWER(Upgrades!$U$8,G49),1)*IF(Upgrades!$T$10="Magnetosphere",POWER(Upgrades!$U$10,I49),1)*IF(Upgrades!$T$11="Magnetosphere",POWER(Upgrades!$U$11,J49),1)*IF(Upgrades!$T$12="Magnetosphere",POWER(Upgrades!$U$12,K49),1))*POWER(Upgrades!$P$6,E49)*POWER(Upgrades!$P$7,F49)*POWER(Upgrades!$P$8,G49)*POWER(Upgrades!$P$9,H49)*POWER(Upgrades!$P$10,I49)*POWER(Upgrades!$P$11,J49)*POWER(Upgrades!$P$12,K49)*60</f>
        <v/>
      </c>
      <c r="AE49" s="27">
        <f>(IF(K49=0,0,(Upgrades!$G$12+K49*Upgrades!$H$12)*POWER(Upgrades!$I$12,K49)))*(IF(Upgrades!$T$6="First Photons",POWER(Upgrades!$U$6,E49),1)*IF(Upgrades!$T$7="First Photons",POWER(Upgrades!$U$7,F49),1)*IF(Upgrades!$T$8="First Photons",POWER(Upgrades!$U$8,G49),1)*IF(Upgrades!$T$9="First Photons",POWER(Upgrades!$U$9,H49),1)*IF(Upgrades!$T$10="First Photons",POWER(Upgrades!$U$10,I49),1)*IF(Upgrades!$T$11="First Photons",POWER(Upgrades!$U$11,J49),1))*POWER(Upgrades!$P$6,E49)*POWER(Upgrades!$P$7,F49)*POWER(Upgrades!$P$8,G49)*POWER(Upgrades!$P$9,H49)*POWER(Upgrades!$P$10,I49)*POWER(Upgrades!$P$11,J49)*POWER(Upgrades!$P$12,K49)*60</f>
        <v/>
      </c>
      <c r="AF49" s="27">
        <f>Parameters!$B$9*POWER(Upgrades!$Q$6,E49)*POWER(Upgrades!$Q$7,F49)*POWER(Upgrades!$Q$8,G49)*POWER(Upgrades!$Q$9,H49)*POWER(Upgrades!$Q$10,I49)*POWER(Upgrades!$Q$11,J49)*POWER(Upgrades!$Q$12,K49)*(Parameters!$B$10*Parameters!$B$11+O49*60)</f>
        <v/>
      </c>
      <c r="AG49" s="22">
        <f>IF(E49&gt;=Upgrades!$E$6,"",Upgrades!$C$6*POWER(Upgrades!$D$6,E49))</f>
        <v/>
      </c>
      <c r="AH49" s="22">
        <f>IF(F49&gt;=Upgrades!$E$7,"",Upgrades!$C$7*POWER(Upgrades!$D$7,F49))</f>
        <v/>
      </c>
      <c r="AI49" s="22">
        <f>IF(G49&gt;=Upgrades!$E$8,"",Upgrades!$C$8*POWER(Upgrades!$D$8,G49))</f>
        <v/>
      </c>
      <c r="AJ49" s="22">
        <f>IF(H49&gt;=Upgrades!$E$9,"",Upgrades!$C$9*POWER(Upgrades!$D$9,H49))</f>
        <v/>
      </c>
      <c r="AK49" s="22">
        <f>IF(I49&gt;=Upgrades!$E$10,"",Upgrades!$C$10*POWER(Upgrades!$D$10,I49))</f>
        <v/>
      </c>
      <c r="AL49" s="22">
        <f>IF(J49&gt;=Upgrades!$E$11,"",Upgrades!$C$11*POWER(Upgrades!$D$11,J49))</f>
        <v/>
      </c>
      <c r="AM49" s="22">
        <f>IF(K49&gt;=Upgrades!$E$12,"",Upgrades!$C$12*POWER(Upgrades!$D$12,K49))</f>
        <v/>
      </c>
      <c r="AN49" s="26">
        <f>IF(AND(D49&gt;=Parameters!$B$18,(H49&gt;=Upgrades!$E$9)*(K49&gt;=Upgrades!$E$12)=1,L49=0),1,"")</f>
        <v/>
      </c>
      <c r="AO49" s="26">
        <f>IF(AND(D49&gt;=Parameters!$B$18,L49=0),1,"")</f>
        <v/>
      </c>
      <c r="AP49" s="22">
        <f>MIN(IF(ISNUMBER(AK49),AK49,9E15),IF(ISNUMBER(AL49),AL49,9E15),IF(ISNUMBER(AM49),AM49,9E15))</f>
        <v/>
      </c>
      <c r="AQ49" s="22">
        <f>MIN(IF(ISNUMBER(AG49),AG49,9E15),IF(ISNUMBER(AH49),AH49,9E15),IF(ISNUMBER(AI49),AI49,9E15),IF(ISNUMBER(AJ49),AJ49,9E15))</f>
        <v/>
      </c>
      <c r="AR49" s="29">
        <f>IF(AW49&gt;Parameters!$B$21*(MAX(IF(AND(NOT(AND(AO49=1,AN49&lt;&gt;1)),ISNUMBER(AG49),AG49&lt;=T49),AS49,0),IF(AND(NOT(AND(AO49=1,AN49&lt;&gt;1)),ISNUMBER(AH49),AH49&lt;=T49),AT49,0),IF(AND(NOT(AND(AO49=1,AN49&lt;&gt;1)),ISNUMBER(AI49),AI49&lt;=T49),AU49,0),IF(AND(ISNUMBER(AJ49),AJ49&lt;=T49),AV49,0))),TRUE,FALSE)</f>
        <v/>
      </c>
      <c r="AS49" s="32">
        <f>IFERROR(Upgrades!$H$6*(POWER(Upgrades!$P$6,E49)*POWER(Upgrades!$P$7,F49)*POWER(Upgrades!$P$8,G49)*POWER(Upgrades!$P$9,H49)*POWER(Upgrades!$P$10,I49)*POWER(Upgrades!$P$11,J49)*POWER(Upgrades!$P$12,K49))*(IF(Upgrades!$T$7="Solar Wind",POWER(Upgrades!$U$7,F49),1)*IF(Upgrades!$T$8="Solar Wind",POWER(Upgrades!$U$8,G49),1)*IF(Upgrades!$T$9="Solar Wind",POWER(Upgrades!$U$9,H49),1)*IF(Upgrades!$T$10="Solar Wind",POWER(Upgrades!$U$10,I49),1)*IF(Upgrades!$T$11="Solar Wind",POWER(Upgrades!$U$11,J49),1)*IF(Upgrades!$T$12="Solar Wind",POWER(Upgrades!$U$12,K49),1))/AG49,0)</f>
        <v/>
      </c>
      <c r="AT49" s="32">
        <f>IFERROR(Upgrades!$H$7*(POWER(Upgrades!$P$6,E49)*POWER(Upgrades!$P$7,F49)*POWER(Upgrades!$P$8,G49)*POWER(Upgrades!$P$9,H49)*POWER(Upgrades!$P$10,I49)*POWER(Upgrades!$P$11,J49)*POWER(Upgrades!$P$12,K49))*(IF(Upgrades!$T$6="Asteroid Belt",POWER(Upgrades!$U$6,E49),1)*IF(Upgrades!$T$8="Asteroid Belt",POWER(Upgrades!$U$8,G49),1)*IF(Upgrades!$T$9="Asteroid Belt",POWER(Upgrades!$U$9,H49),1)*IF(Upgrades!$T$10="Asteroid Belt",POWER(Upgrades!$U$10,I49),1)*IF(Upgrades!$T$11="Asteroid Belt",POWER(Upgrades!$U$11,J49),1)*IF(Upgrades!$T$12="Asteroid Belt",POWER(Upgrades!$U$12,K49),1))/AH49,0)</f>
        <v/>
      </c>
      <c r="AU49" s="32">
        <f>IFERROR(Upgrades!$K$8*(POWER(Upgrades!$Q$6,E49)*POWER(Upgrades!$Q$7,F49)*POWER(Upgrades!$Q$8,G49)*POWER(Upgrades!$Q$9,H49)*POWER(Upgrades!$Q$10,I49)*POWER(Upgrades!$Q$11,J49)*POWER(Upgrades!$Q$12,K49))*(IF(Upgrades!$T$6="Stellar Coupling",POWER(Upgrades!$U$6,E49),1)*IF(Upgrades!$T$7="Stellar Coupling",POWER(Upgrades!$U$7,F49),1)*IF(Upgrades!$T$9="Stellar Coupling",POWER(Upgrades!$U$9,H49),1)*IF(Upgrades!$T$10="Stellar Coupling",POWER(Upgrades!$U$10,I49),1)*IF(Upgrades!$T$11="Stellar Coupling",POWER(Upgrades!$U$11,J49),1)*IF(Upgrades!$T$12="Stellar Coupling",POWER(Upgrades!$U$12,K49),1))*Parameters!$B$10*Parameters!$B$11/60/AI49,0)</f>
        <v/>
      </c>
      <c r="AV49" s="32">
        <f>IFERROR(Upgrades!$H$9*(POWER(Upgrades!$P$6,E49)*POWER(Upgrades!$P$7,F49)*POWER(Upgrades!$P$8,G49)*POWER(Upgrades!$P$9,H49)*POWER(Upgrades!$P$10,I49)*POWER(Upgrades!$P$11,J49)*POWER(Upgrades!$P$12,K49))*(IF(Upgrades!$T$6="Magnetosphere",POWER(Upgrades!$U$6,E49),1)*IF(Upgrades!$T$7="Magnetosphere",POWER(Upgrades!$U$7,F49),1)*IF(Upgrades!$T$8="Magnetosphere",POWER(Upgrades!$U$8,G49),1)*IF(Upgrades!$T$10="Magnetosphere",POWER(Upgrades!$U$10,I49),1)*IF(Upgrades!$T$11="Magnetosphere",POWER(Upgrades!$U$11,J49),1)*IF(Upgrades!$T$12="Magnetosphere",POWER(Upgrades!$U$12,K49),1))/AJ49,0)</f>
        <v/>
      </c>
      <c r="AW49" s="32">
        <f>MAX(IF(I49&gt;0,0,IFERROR(0.25*N49/Upgrades!$C$10,0)),IF(J49&gt;0,0,IFERROR(0.5*((IF(G49=0,0,(Upgrades!$J$8+G49*Upgrades!$K$8)*POWER(Upgrades!$L$8,G49)))*(IF(Upgrades!$T$6="Stellar Coupling",POWER(Upgrades!$U$6,E49),1)*IF(Upgrades!$T$7="Stellar Coupling",POWER(Upgrades!$U$7,F49),1)*IF(Upgrades!$T$9="Stellar Coupling",POWER(Upgrades!$U$9,H49),1)*IF(Upgrades!$T$10="Stellar Coupling",POWER(Upgrades!$U$10,I49),1)*IF(Upgrades!$T$11="Stellar Coupling",POWER(Upgrades!$U$11,J49),1)*IF(Upgrades!$T$12="Stellar Coupling",POWER(Upgrades!$U$12,K49),1))*(POWER(Upgrades!$Q$6,E49)*POWER(Upgrades!$Q$7,F49)*POWER(Upgrades!$Q$8,G49)*POWER(Upgrades!$Q$9,H49)*POWER(Upgrades!$Q$10,I49)*POWER(Upgrades!$Q$11,J49)*POWER(Upgrades!$Q$12,K49))*Parameters!$B$10*Parameters!$B$11/60)/Upgrades!$C$11,0)),IF(K49&gt;0,0,IFERROR((1.0*(POWER(Upgrades!$P$6,E49)*POWER(Upgrades!$P$7,F49)*POWER(Upgrades!$P$8,G49)*POWER(Upgrades!$P$9,H49)*POWER(Upgrades!$P$10,I49)*POWER(Upgrades!$P$11,J49)*POWER(Upgrades!$P$12,K49))+0.20*M49*Parameters!$B$10*Parameters!$B$11/60)/Upgrades!$C$12,0)),IF(AND(ISNUMBER(AG49),AG49&gt;T49),AS49,0),IF(AND(ISNUMBER(AH49),AH49&gt;T49),AT49,0),IF(AND(ISNUMBER(AI49),AI49&gt;T49),AU49,0),IF(AND(ISNUMBER(AJ49),AJ49&gt;T49),AV49,0))</f>
        <v/>
      </c>
      <c r="AX49" s="29">
        <f>IF(AN49=1,"transition",IF(MIN(IF(AND(I49=0,ISNUMBER(AK49),AK49&lt;=T49),AK49,9E15),IF(AND(J49=0,ISNUMBER(AL49),AL49&lt;=T49),AL49,9E15),IF(AND(K49=0,ISNUMBER(AM49),AM49&lt;=T49),AM49,9E15))&lt;9E15,IF(AND(AND(I49=0,ISNUMBER(AK49),AK49&lt;=T49),AK49=MIN(IF(AND(I49=0,ISNUMBER(AK49),AK49&lt;=T49),AK49,9E15),IF(AND(J49=0,ISNUMBER(AL49),AL49&lt;=T49),AL49,9E15),IF(AND(K49=0,ISNUMBER(AM49),AM49&lt;=T49),AM49,9E15))),"OR",IF(AND(AND(J49=0,ISNUMBER(AL49),AL49&lt;=T49),AL49=MIN(IF(AND(I49=0,ISNUMBER(AK49),AK49&lt;=T49),AK49,9E15),IF(AND(J49=0,ISNUMBER(AL49),AL49&lt;=T49),AL49,9E15),IF(AND(K49=0,ISNUMBER(AM49),AM49&lt;=T49),AM49,9E15))),"HP","FP")),IF(AR49=TRUE,"",IF(MAX(IF(AND(NOT(AND(AO49=1,AN49&lt;&gt;1)),ISNUMBER(AG49),AG49&lt;=T49),AS49,0),IF(AND(NOT(AND(AO49=1,AN49&lt;&gt;1)),ISNUMBER(AH49),AH49&lt;=T49),AT49,0),IF(AND(NOT(AND(AO49=1,AN49&lt;&gt;1)),ISNUMBER(AI49),AI49&lt;=T49),AU49,0),IF(AND(ISNUMBER(AJ49),AJ49&lt;=T49),AV49,0))&lt;=0,"",IF(AND(IF(AND(NOT(AND(AO49=1,AN49&lt;&gt;1)),ISNUMBER(AG49),AG49&lt;=T49),AS49,0)&gt;0,IF(AND(NOT(AND(AO49=1,AN49&lt;&gt;1)),ISNUMBER(AG49),AG49&lt;=T49),AS49,0)=MAX(IF(AND(NOT(AND(AO49=1,AN49&lt;&gt;1)),ISNUMBER(AG49),AG49&lt;=T49),AS49,0),IF(AND(NOT(AND(AO49=1,AN49&lt;&gt;1)),ISNUMBER(AH49),AH49&lt;=T49),AT49,0),IF(AND(NOT(AND(AO49=1,AN49&lt;&gt;1)),ISNUMBER(AI49),AI49&lt;=T49),AU49,0),IF(AND(ISNUMBER(AJ49),AJ49&lt;=T49),AV49,0))),"SW",IF(AND(IF(AND(NOT(AND(AO49=1,AN49&lt;&gt;1)),ISNUMBER(AH49),AH49&lt;=T49),AT49,0)&gt;0,IF(AND(NOT(AND(AO49=1,AN49&lt;&gt;1)),ISNUMBER(AH49),AH49&lt;=T49),AT49,0)=MAX(IF(AND(NOT(AND(AO49=1,AN49&lt;&gt;1)),ISNUMBER(AG49),AG49&lt;=T49),AS49,0),IF(AND(NOT(AND(AO49=1,AN49&lt;&gt;1)),ISNUMBER(AH49),AH49&lt;=T49),AT49,0),IF(AND(NOT(AND(AO49=1,AN49&lt;&gt;1)),ISNUMBER(AI49),AI49&lt;=T49),AU49,0),IF(AND(ISNUMBER(AJ49),AJ49&lt;=T49),AV49,0))),"AB",IF(AND(IF(AND(NOT(AND(AO49=1,AN49&lt;&gt;1)),ISNUMBER(AI49),AI49&lt;=T49),AU49,0)&gt;0,IF(AND(NOT(AND(AO49=1,AN49&lt;&gt;1)),ISNUMBER(AI49),AI49&lt;=T49),AU49,0)=MAX(IF(AND(NOT(AND(AO49=1,AN49&lt;&gt;1)),ISNUMBER(AG49),AG49&lt;=T49),AS49,0),IF(AND(NOT(AND(AO49=1,AN49&lt;&gt;1)),ISNUMBER(AH49),AH49&lt;=T49),AT49,0),IF(AND(NOT(AND(AO49=1,AN49&lt;&gt;1)),ISNUMBER(AI49),AI49&lt;=T49),AU49,0),IF(AND(ISNUMBER(AJ49),AJ49&lt;=T49),AV49,0))),"SC","Mag")))))))</f>
        <v/>
      </c>
    </row>
    <row r="50">
      <c r="A50" s="26" t="n">
        <v>45</v>
      </c>
      <c r="B50" s="27">
        <f>A50*10/60</f>
        <v/>
      </c>
      <c r="C50" s="22">
        <f>X49</f>
        <v/>
      </c>
      <c r="D50" s="27">
        <f>D49+W49</f>
        <v/>
      </c>
      <c r="E50" s="26">
        <f>E49+IF(U49="SW",1,0)</f>
        <v/>
      </c>
      <c r="F50" s="26">
        <f>F49+IF(U49="AB",1,0)</f>
        <v/>
      </c>
      <c r="G50" s="26">
        <f>G49+IF(U49="SC",1,0)</f>
        <v/>
      </c>
      <c r="H50" s="26">
        <f>H49+IF(U49="Mag",1,0)</f>
        <v/>
      </c>
      <c r="I50" s="26">
        <f>MAX(I49,IF(U49="OR",1,0))</f>
        <v/>
      </c>
      <c r="J50" s="26">
        <f>MAX(J49,IF(U49="HP",1,0))</f>
        <v/>
      </c>
      <c r="K50" s="26">
        <f>MAX(K49,IF(U49="FP",1,0))</f>
        <v/>
      </c>
      <c r="L50" s="26">
        <f>MAX(L49,IF(U49="transition",1,0))</f>
        <v/>
      </c>
      <c r="M50" s="28">
        <f>(Parameters!$B$9+(IF(E50=0,0,(Upgrades!$J$6+E50*Upgrades!$K$6)*POWER(Upgrades!$L$6,E50)))*(IF(Upgrades!$T$7="Solar Wind",POWER(Upgrades!$U$7,F50),1)*IF(Upgrades!$T$8="Solar Wind",POWER(Upgrades!$U$8,G50),1)*IF(Upgrades!$T$9="Solar Wind",POWER(Upgrades!$U$9,H50),1)*IF(Upgrades!$T$10="Solar Wind",POWER(Upgrades!$U$10,I50),1)*IF(Upgrades!$T$11="Solar Wind",POWER(Upgrades!$U$11,J50),1)*IF(Upgrades!$T$12="Solar Wind",POWER(Upgrades!$U$12,K50),1))+(IF(F50=0,0,(Upgrades!$J$7+F50*Upgrades!$K$7)*POWER(Upgrades!$L$7,F50)))*(IF(Upgrades!$T$6="Asteroid Belt",POWER(Upgrades!$U$6,E50),1)*IF(Upgrades!$T$8="Asteroid Belt",POWER(Upgrades!$U$8,G50),1)*IF(Upgrades!$T$9="Asteroid Belt",POWER(Upgrades!$U$9,H50),1)*IF(Upgrades!$T$10="Asteroid Belt",POWER(Upgrades!$U$10,I50),1)*IF(Upgrades!$T$11="Asteroid Belt",POWER(Upgrades!$U$11,J50),1)*IF(Upgrades!$T$12="Asteroid Belt",POWER(Upgrades!$U$12,K50),1))+(IF(G50=0,0,(Upgrades!$J$8+G50*Upgrades!$K$8)*POWER(Upgrades!$L$8,G50)))*(IF(Upgrades!$T$6="Stellar Coupling",POWER(Upgrades!$U$6,E50),1)*IF(Upgrades!$T$7="Stellar Coupling",POWER(Upgrades!$U$7,F50),1)*IF(Upgrades!$T$9="Stellar Coupling",POWER(Upgrades!$U$9,H50),1)*IF(Upgrades!$T$10="Stellar Coupling",POWER(Upgrades!$U$10,I50),1)*IF(Upgrades!$T$11="Stellar Coupling",POWER(Upgrades!$U$11,J50),1)*IF(Upgrades!$T$12="Stellar Coupling",POWER(Upgrades!$U$12,K50),1))+(IF(H50=0,0,(Upgrades!$J$9+H50*Upgrades!$K$9)*POWER(Upgrades!$L$9,H50)))*(IF(Upgrades!$T$6="Magnetosphere",POWER(Upgrades!$U$6,E50),1)*IF(Upgrades!$T$7="Magnetosphere",POWER(Upgrades!$U$7,F50),1)*IF(Upgrades!$T$8="Magnetosphere",POWER(Upgrades!$U$8,G50),1)*IF(Upgrades!$T$10="Magnetosphere",POWER(Upgrades!$U$10,I50),1)*IF(Upgrades!$T$11="Magnetosphere",POWER(Upgrades!$U$11,J50),1)*IF(Upgrades!$T$12="Magnetosphere",POWER(Upgrades!$U$12,K50),1))+(IF(I50=0,0,(Upgrades!$J$10+I50*Upgrades!$K$10)*POWER(Upgrades!$L$10,I50)))*(IF(Upgrades!$T$6="Orbital Resonance",POWER(Upgrades!$U$6,E50),1)*IF(Upgrades!$T$7="Orbital Resonance",POWER(Upgrades!$U$7,F50),1)*IF(Upgrades!$T$8="Orbital Resonance",POWER(Upgrades!$U$8,G50),1)*IF(Upgrades!$T$9="Orbital Resonance",POWER(Upgrades!$U$9,H50),1)*IF(Upgrades!$T$11="Orbital Resonance",POWER(Upgrades!$U$11,J50),1)*IF(Upgrades!$T$12="Orbital Resonance",POWER(Upgrades!$U$12,K50),1))+(IF(J50=0,0,(Upgrades!$J$11+J50*Upgrades!$K$11)*POWER(Upgrades!$L$11,J50)))*(IF(Upgrades!$T$6="Heliopause",POWER(Upgrades!$U$6,E50),1)*IF(Upgrades!$T$7="Heliopause",POWER(Upgrades!$U$7,F50),1)*IF(Upgrades!$T$8="Heliopause",POWER(Upgrades!$U$8,G50),1)*IF(Upgrades!$T$9="Heliopause",POWER(Upgrades!$U$9,H50),1)*IF(Upgrades!$T$10="Heliopause",POWER(Upgrades!$U$10,I50),1)*IF(Upgrades!$T$12="Heliopause",POWER(Upgrades!$U$12,K50),1))+(IF(K50=0,0,(Upgrades!$J$12+K50*Upgrades!$K$12)*POWER(Upgrades!$L$12,K50)))*(IF(Upgrades!$T$6="First Photons",POWER(Upgrades!$U$6,E50),1)*IF(Upgrades!$T$7="First Photons",POWER(Upgrades!$U$7,F50),1)*IF(Upgrades!$T$8="First Photons",POWER(Upgrades!$U$8,G50),1)*IF(Upgrades!$T$9="First Photons",POWER(Upgrades!$U$9,H50),1)*IF(Upgrades!$T$10="First Photons",POWER(Upgrades!$U$10,I50),1)*IF(Upgrades!$T$11="First Photons",POWER(Upgrades!$U$11,J50),1)))*POWER(Upgrades!$Q$6,E50)*POWER(Upgrades!$Q$7,F50)*POWER(Upgrades!$Q$8,G50)*POWER(Upgrades!$Q$9,H50)*POWER(Upgrades!$Q$10,I50)*POWER(Upgrades!$Q$11,J50)*POWER(Upgrades!$Q$12,K50)</f>
        <v/>
      </c>
      <c r="N50" s="28">
        <f>((IF(E50=0,0,(Upgrades!$G$6+E50*Upgrades!$H$6)*POWER(Upgrades!$I$6,E50)))*(IF(Upgrades!$T$7="Solar Wind",POWER(Upgrades!$U$7,F50),1)*IF(Upgrades!$T$8="Solar Wind",POWER(Upgrades!$U$8,G50),1)*IF(Upgrades!$T$9="Solar Wind",POWER(Upgrades!$U$9,H50),1)*IF(Upgrades!$T$10="Solar Wind",POWER(Upgrades!$U$10,I50),1)*IF(Upgrades!$T$11="Solar Wind",POWER(Upgrades!$U$11,J50),1)*IF(Upgrades!$T$12="Solar Wind",POWER(Upgrades!$U$12,K50),1))+(IF(F50=0,0,(Upgrades!$G$7+F50*Upgrades!$H$7)*POWER(Upgrades!$I$7,F50)))*(IF(Upgrades!$T$6="Asteroid Belt",POWER(Upgrades!$U$6,E50),1)*IF(Upgrades!$T$8="Asteroid Belt",POWER(Upgrades!$U$8,G50),1)*IF(Upgrades!$T$9="Asteroid Belt",POWER(Upgrades!$U$9,H50),1)*IF(Upgrades!$T$10="Asteroid Belt",POWER(Upgrades!$U$10,I50),1)*IF(Upgrades!$T$11="Asteroid Belt",POWER(Upgrades!$U$11,J50),1)*IF(Upgrades!$T$12="Asteroid Belt",POWER(Upgrades!$U$12,K50),1))+(IF(G50=0,0,(Upgrades!$G$8+G50*Upgrades!$H$8)*POWER(Upgrades!$I$8,G50)))*(IF(Upgrades!$T$6="Stellar Coupling",POWER(Upgrades!$U$6,E50),1)*IF(Upgrades!$T$7="Stellar Coupling",POWER(Upgrades!$U$7,F50),1)*IF(Upgrades!$T$9="Stellar Coupling",POWER(Upgrades!$U$9,H50),1)*IF(Upgrades!$T$10="Stellar Coupling",POWER(Upgrades!$U$10,I50),1)*IF(Upgrades!$T$11="Stellar Coupling",POWER(Upgrades!$U$11,J50),1)*IF(Upgrades!$T$12="Stellar Coupling",POWER(Upgrades!$U$12,K50),1))+(IF(H50=0,0,(Upgrades!$G$9+H50*Upgrades!$H$9)*POWER(Upgrades!$I$9,H50)))*(IF(Upgrades!$T$6="Magnetosphere",POWER(Upgrades!$U$6,E50),1)*IF(Upgrades!$T$7="Magnetosphere",POWER(Upgrades!$U$7,F50),1)*IF(Upgrades!$T$8="Magnetosphere",POWER(Upgrades!$U$8,G50),1)*IF(Upgrades!$T$10="Magnetosphere",POWER(Upgrades!$U$10,I50),1)*IF(Upgrades!$T$11="Magnetosphere",POWER(Upgrades!$U$11,J50),1)*IF(Upgrades!$T$12="Magnetosphere",POWER(Upgrades!$U$12,K50),1))+(IF(I50=0,0,(Upgrades!$G$10+I50*Upgrades!$H$10)*POWER(Upgrades!$I$10,I50)))*(IF(Upgrades!$T$6="Orbital Resonance",POWER(Upgrades!$U$6,E50),1)*IF(Upgrades!$T$7="Orbital Resonance",POWER(Upgrades!$U$7,F50),1)*IF(Upgrades!$T$8="Orbital Resonance",POWER(Upgrades!$U$8,G50),1)*IF(Upgrades!$T$9="Orbital Resonance",POWER(Upgrades!$U$9,H50),1)*IF(Upgrades!$T$11="Orbital Resonance",POWER(Upgrades!$U$11,J50),1)*IF(Upgrades!$T$12="Orbital Resonance",POWER(Upgrades!$U$12,K50),1))+(IF(J50=0,0,(Upgrades!$G$11+J50*Upgrades!$H$11)*POWER(Upgrades!$I$11,J50)))*(IF(Upgrades!$T$6="Heliopause",POWER(Upgrades!$U$6,E50),1)*IF(Upgrades!$T$7="Heliopause",POWER(Upgrades!$U$7,F50),1)*IF(Upgrades!$T$8="Heliopause",POWER(Upgrades!$U$8,G50),1)*IF(Upgrades!$T$9="Heliopause",POWER(Upgrades!$U$9,H50),1)*IF(Upgrades!$T$10="Heliopause",POWER(Upgrades!$U$10,I50),1)*IF(Upgrades!$T$12="Heliopause",POWER(Upgrades!$U$12,K50),1))+(IF(K50=0,0,(Upgrades!$G$12+K50*Upgrades!$H$12)*POWER(Upgrades!$I$12,K50)))*(IF(Upgrades!$T$6="First Photons",POWER(Upgrades!$U$6,E50),1)*IF(Upgrades!$T$7="First Photons",POWER(Upgrades!$U$7,F50),1)*IF(Upgrades!$T$8="First Photons",POWER(Upgrades!$U$8,G50),1)*IF(Upgrades!$T$9="First Photons",POWER(Upgrades!$U$9,H50),1)*IF(Upgrades!$T$10="First Photons",POWER(Upgrades!$U$10,I50),1)*IF(Upgrades!$T$11="First Photons",POWER(Upgrades!$U$11,J50),1)))*POWER(Upgrades!$P$6,E50)*POWER(Upgrades!$P$7,F50)*POWER(Upgrades!$P$8,G50)*POWER(Upgrades!$P$9,H50)*POWER(Upgrades!$P$10,I50)*POWER(Upgrades!$P$11,J50)*POWER(Upgrades!$P$12,K50)</f>
        <v/>
      </c>
      <c r="O50" s="28">
        <f>((IF(E50=0,0,(Upgrades!$M$6+E50*Upgrades!$N$6)*POWER(Upgrades!$O$6,E50)))*(IF(Upgrades!$T$7="Solar Wind",POWER(Upgrades!$U$7,F50),1)*IF(Upgrades!$T$8="Solar Wind",POWER(Upgrades!$U$8,G50),1)*IF(Upgrades!$T$9="Solar Wind",POWER(Upgrades!$U$9,H50),1)*IF(Upgrades!$T$10="Solar Wind",POWER(Upgrades!$U$10,I50),1)*IF(Upgrades!$T$11="Solar Wind",POWER(Upgrades!$U$11,J50),1)*IF(Upgrades!$T$12="Solar Wind",POWER(Upgrades!$U$12,K50),1))+(IF(F50=0,0,(Upgrades!$M$7+F50*Upgrades!$N$7)*POWER(Upgrades!$O$7,F50)))*(IF(Upgrades!$T$6="Asteroid Belt",POWER(Upgrades!$U$6,E50),1)*IF(Upgrades!$T$8="Asteroid Belt",POWER(Upgrades!$U$8,G50),1)*IF(Upgrades!$T$9="Asteroid Belt",POWER(Upgrades!$U$9,H50),1)*IF(Upgrades!$T$10="Asteroid Belt",POWER(Upgrades!$U$10,I50),1)*IF(Upgrades!$T$11="Asteroid Belt",POWER(Upgrades!$U$11,J50),1)*IF(Upgrades!$T$12="Asteroid Belt",POWER(Upgrades!$U$12,K50),1))+(IF(G50=0,0,(Upgrades!$M$8+G50*Upgrades!$N$8)*POWER(Upgrades!$O$8,G50)))*(IF(Upgrades!$T$6="Stellar Coupling",POWER(Upgrades!$U$6,E50),1)*IF(Upgrades!$T$7="Stellar Coupling",POWER(Upgrades!$U$7,F50),1)*IF(Upgrades!$T$9="Stellar Coupling",POWER(Upgrades!$U$9,H50),1)*IF(Upgrades!$T$10="Stellar Coupling",POWER(Upgrades!$U$10,I50),1)*IF(Upgrades!$T$11="Stellar Coupling",POWER(Upgrades!$U$11,J50),1)*IF(Upgrades!$T$12="Stellar Coupling",POWER(Upgrades!$U$12,K50),1))+(IF(H50=0,0,(Upgrades!$M$9+H50*Upgrades!$N$9)*POWER(Upgrades!$O$9,H50)))*(IF(Upgrades!$T$6="Magnetosphere",POWER(Upgrades!$U$6,E50),1)*IF(Upgrades!$T$7="Magnetosphere",POWER(Upgrades!$U$7,F50),1)*IF(Upgrades!$T$8="Magnetosphere",POWER(Upgrades!$U$8,G50),1)*IF(Upgrades!$T$10="Magnetosphere",POWER(Upgrades!$U$10,I50),1)*IF(Upgrades!$T$11="Magnetosphere",POWER(Upgrades!$U$11,J50),1)*IF(Upgrades!$T$12="Magnetosphere",POWER(Upgrades!$U$12,K50),1))+(IF(I50=0,0,(Upgrades!$M$10+I50*Upgrades!$N$10)*POWER(Upgrades!$O$10,I50)))*(IF(Upgrades!$T$6="Orbital Resonance",POWER(Upgrades!$U$6,E50),1)*IF(Upgrades!$T$7="Orbital Resonance",POWER(Upgrades!$U$7,F50),1)*IF(Upgrades!$T$8="Orbital Resonance",POWER(Upgrades!$U$8,G50),1)*IF(Upgrades!$T$9="Orbital Resonance",POWER(Upgrades!$U$9,H50),1)*IF(Upgrades!$T$11="Orbital Resonance",POWER(Upgrades!$U$11,J50),1)*IF(Upgrades!$T$12="Orbital Resonance",POWER(Upgrades!$U$12,K50),1))+(IF(J50=0,0,(Upgrades!$M$11+J50*Upgrades!$N$11)*POWER(Upgrades!$O$11,J50)))*(IF(Upgrades!$T$6="Heliopause",POWER(Upgrades!$U$6,E50),1)*IF(Upgrades!$T$7="Heliopause",POWER(Upgrades!$U$7,F50),1)*IF(Upgrades!$T$8="Heliopause",POWER(Upgrades!$U$8,G50),1)*IF(Upgrades!$T$9="Heliopause",POWER(Upgrades!$U$9,H50),1)*IF(Upgrades!$T$10="Heliopause",POWER(Upgrades!$U$10,I50),1)*IF(Upgrades!$T$12="Heliopause",POWER(Upgrades!$U$12,K50),1))+(IF(K50=0,0,(Upgrades!$M$12+K50*Upgrades!$N$12)*POWER(Upgrades!$O$12,K50)))*(IF(Upgrades!$T$6="First Photons",POWER(Upgrades!$U$6,E50),1)*IF(Upgrades!$T$7="First Photons",POWER(Upgrades!$U$7,F50),1)*IF(Upgrades!$T$8="First Photons",POWER(Upgrades!$U$8,G50),1)*IF(Upgrades!$T$9="First Photons",POWER(Upgrades!$U$9,H50),1)*IF(Upgrades!$T$10="First Photons",POWER(Upgrades!$U$10,I50),1)*IF(Upgrades!$T$11="First Photons",POWER(Upgrades!$U$11,J50),1)))*POWER(Upgrades!$R$6,E50)*POWER(Upgrades!$R$7,F50)*POWER(Upgrades!$R$8,G50)*POWER(Upgrades!$R$9,H50)*POWER(Upgrades!$R$10,I50)*POWER(Upgrades!$R$11,J50)*POWER(Upgrades!$R$12,K50)</f>
        <v/>
      </c>
      <c r="P50" s="27">
        <f>IF(L50=1,0,M50*Parameters!$B$10/60*Parameters!$B$11*10)</f>
        <v/>
      </c>
      <c r="Q50" s="27">
        <f>IF(L50=1,0,O50*M50*10)</f>
        <v/>
      </c>
      <c r="R50" s="27">
        <f>IF(L50=1,0,N50*10)</f>
        <v/>
      </c>
      <c r="S50" s="27">
        <f>P50+Q50+R50</f>
        <v/>
      </c>
      <c r="T50" s="22">
        <f>C50+S50</f>
        <v/>
      </c>
      <c r="U50" s="33">
        <f>AX50</f>
        <v/>
      </c>
      <c r="V50" s="22">
        <f>IF(U50="",0,IF(U50="transition",0,IF(U50="SW",AG50,IF(U50="AB",AH50,IF(U50="SC",AI50,IF(U50="Mag",AJ50,IF(U50="OR",AK50,IF(U50="HP",AL50,IF(U50="FP",AM50,0)))))))))</f>
        <v/>
      </c>
      <c r="W50" s="27">
        <f>IF(U50="OR",Upgrades!$F$10,IF(U50="HP",Upgrades!$F$11,IF(U50="transition",-Parameters!$B$18,0)))</f>
        <v/>
      </c>
      <c r="X50" s="22">
        <f>T50-V50</f>
        <v/>
      </c>
      <c r="Y50" s="30">
        <f>M50*Parameters!$B$10/60*Parameters!$B$11+O50*M50+N50</f>
        <v/>
      </c>
      <c r="Z50" s="34">
        <f>IF(U50="transition","→ Tier 2 (Stellar Neighborhood)",IF(U50="FP","First Photons — light begins, system quickens",IF(U50="HP","Heliopause acquired",IF(U50="OR","Orbital Resonance — passive multiplier active",IF(AND(AO50=1,L50=0,AN50&lt;&gt;1),"Cohesion ready (waiting on completionist upgrades)","")))))</f>
        <v/>
      </c>
      <c r="AA50" s="27">
        <f>(IF(E50=0,0,(Upgrades!$G$6+E50*Upgrades!$H$6)*POWER(Upgrades!$I$6,E50)))*(IF(Upgrades!$T$7="Solar Wind",POWER(Upgrades!$U$7,F50),1)*IF(Upgrades!$T$8="Solar Wind",POWER(Upgrades!$U$8,G50),1)*IF(Upgrades!$T$9="Solar Wind",POWER(Upgrades!$U$9,H50),1)*IF(Upgrades!$T$10="Solar Wind",POWER(Upgrades!$U$10,I50),1)*IF(Upgrades!$T$11="Solar Wind",POWER(Upgrades!$U$11,J50),1)*IF(Upgrades!$T$12="Solar Wind",POWER(Upgrades!$U$12,K50),1))*POWER(Upgrades!$P$6,E50)*POWER(Upgrades!$P$7,F50)*POWER(Upgrades!$P$8,G50)*POWER(Upgrades!$P$9,H50)*POWER(Upgrades!$P$10,I50)*POWER(Upgrades!$P$11,J50)*POWER(Upgrades!$P$12,K50)*60</f>
        <v/>
      </c>
      <c r="AB50" s="27">
        <f>(IF(F50=0,0,(Upgrades!$G$7+F50*Upgrades!$H$7)*POWER(Upgrades!$I$7,F50)))*(IF(Upgrades!$T$6="Asteroid Belt",POWER(Upgrades!$U$6,E50),1)*IF(Upgrades!$T$8="Asteroid Belt",POWER(Upgrades!$U$8,G50),1)*IF(Upgrades!$T$9="Asteroid Belt",POWER(Upgrades!$U$9,H50),1)*IF(Upgrades!$T$10="Asteroid Belt",POWER(Upgrades!$U$10,I50),1)*IF(Upgrades!$T$11="Asteroid Belt",POWER(Upgrades!$U$11,J50),1)*IF(Upgrades!$T$12="Asteroid Belt",POWER(Upgrades!$U$12,K50),1))*POWER(Upgrades!$P$6,E50)*POWER(Upgrades!$P$7,F50)*POWER(Upgrades!$P$8,G50)*POWER(Upgrades!$P$9,H50)*POWER(Upgrades!$P$10,I50)*POWER(Upgrades!$P$11,J50)*POWER(Upgrades!$P$12,K50)*60</f>
        <v/>
      </c>
      <c r="AC50" s="27">
        <f>(IF(G50=0,0,(Upgrades!$J$8+G50*Upgrades!$K$8)*POWER(Upgrades!$L$8,G50)))*(IF(Upgrades!$T$6="Stellar Coupling",POWER(Upgrades!$U$6,E50),1)*IF(Upgrades!$T$7="Stellar Coupling",POWER(Upgrades!$U$7,F50),1)*IF(Upgrades!$T$9="Stellar Coupling",POWER(Upgrades!$U$9,H50),1)*IF(Upgrades!$T$10="Stellar Coupling",POWER(Upgrades!$U$10,I50),1)*IF(Upgrades!$T$11="Stellar Coupling",POWER(Upgrades!$U$11,J50),1)*IF(Upgrades!$T$12="Stellar Coupling",POWER(Upgrades!$U$12,K50),1))*POWER(Upgrades!$Q$6,E50)*POWER(Upgrades!$Q$7,F50)*POWER(Upgrades!$Q$8,G50)*POWER(Upgrades!$Q$9,H50)*POWER(Upgrades!$Q$10,I50)*POWER(Upgrades!$Q$11,J50)*POWER(Upgrades!$Q$12,K50)*Parameters!$B$10*Parameters!$B$11</f>
        <v/>
      </c>
      <c r="AD50" s="27">
        <f>(IF(H50=0,0,(Upgrades!$G$9+H50*Upgrades!$H$9)*POWER(Upgrades!$I$9,H50)))*(IF(Upgrades!$T$6="Magnetosphere",POWER(Upgrades!$U$6,E50),1)*IF(Upgrades!$T$7="Magnetosphere",POWER(Upgrades!$U$7,F50),1)*IF(Upgrades!$T$8="Magnetosphere",POWER(Upgrades!$U$8,G50),1)*IF(Upgrades!$T$10="Magnetosphere",POWER(Upgrades!$U$10,I50),1)*IF(Upgrades!$T$11="Magnetosphere",POWER(Upgrades!$U$11,J50),1)*IF(Upgrades!$T$12="Magnetosphere",POWER(Upgrades!$U$12,K50),1))*POWER(Upgrades!$P$6,E50)*POWER(Upgrades!$P$7,F50)*POWER(Upgrades!$P$8,G50)*POWER(Upgrades!$P$9,H50)*POWER(Upgrades!$P$10,I50)*POWER(Upgrades!$P$11,J50)*POWER(Upgrades!$P$12,K50)*60</f>
        <v/>
      </c>
      <c r="AE50" s="27">
        <f>(IF(K50=0,0,(Upgrades!$G$12+K50*Upgrades!$H$12)*POWER(Upgrades!$I$12,K50)))*(IF(Upgrades!$T$6="First Photons",POWER(Upgrades!$U$6,E50),1)*IF(Upgrades!$T$7="First Photons",POWER(Upgrades!$U$7,F50),1)*IF(Upgrades!$T$8="First Photons",POWER(Upgrades!$U$8,G50),1)*IF(Upgrades!$T$9="First Photons",POWER(Upgrades!$U$9,H50),1)*IF(Upgrades!$T$10="First Photons",POWER(Upgrades!$U$10,I50),1)*IF(Upgrades!$T$11="First Photons",POWER(Upgrades!$U$11,J50),1))*POWER(Upgrades!$P$6,E50)*POWER(Upgrades!$P$7,F50)*POWER(Upgrades!$P$8,G50)*POWER(Upgrades!$P$9,H50)*POWER(Upgrades!$P$10,I50)*POWER(Upgrades!$P$11,J50)*POWER(Upgrades!$P$12,K50)*60</f>
        <v/>
      </c>
      <c r="AF50" s="27">
        <f>Parameters!$B$9*POWER(Upgrades!$Q$6,E50)*POWER(Upgrades!$Q$7,F50)*POWER(Upgrades!$Q$8,G50)*POWER(Upgrades!$Q$9,H50)*POWER(Upgrades!$Q$10,I50)*POWER(Upgrades!$Q$11,J50)*POWER(Upgrades!$Q$12,K50)*(Parameters!$B$10*Parameters!$B$11+O50*60)</f>
        <v/>
      </c>
      <c r="AG50" s="22">
        <f>IF(E50&gt;=Upgrades!$E$6,"",Upgrades!$C$6*POWER(Upgrades!$D$6,E50))</f>
        <v/>
      </c>
      <c r="AH50" s="22">
        <f>IF(F50&gt;=Upgrades!$E$7,"",Upgrades!$C$7*POWER(Upgrades!$D$7,F50))</f>
        <v/>
      </c>
      <c r="AI50" s="22">
        <f>IF(G50&gt;=Upgrades!$E$8,"",Upgrades!$C$8*POWER(Upgrades!$D$8,G50))</f>
        <v/>
      </c>
      <c r="AJ50" s="22">
        <f>IF(H50&gt;=Upgrades!$E$9,"",Upgrades!$C$9*POWER(Upgrades!$D$9,H50))</f>
        <v/>
      </c>
      <c r="AK50" s="22">
        <f>IF(I50&gt;=Upgrades!$E$10,"",Upgrades!$C$10*POWER(Upgrades!$D$10,I50))</f>
        <v/>
      </c>
      <c r="AL50" s="22">
        <f>IF(J50&gt;=Upgrades!$E$11,"",Upgrades!$C$11*POWER(Upgrades!$D$11,J50))</f>
        <v/>
      </c>
      <c r="AM50" s="22">
        <f>IF(K50&gt;=Upgrades!$E$12,"",Upgrades!$C$12*POWER(Upgrades!$D$12,K50))</f>
        <v/>
      </c>
      <c r="AN50" s="26">
        <f>IF(AND(D50&gt;=Parameters!$B$18,(H50&gt;=Upgrades!$E$9)*(K50&gt;=Upgrades!$E$12)=1,L50=0),1,"")</f>
        <v/>
      </c>
      <c r="AO50" s="26">
        <f>IF(AND(D50&gt;=Parameters!$B$18,L50=0),1,"")</f>
        <v/>
      </c>
      <c r="AP50" s="22">
        <f>MIN(IF(ISNUMBER(AK50),AK50,9E15),IF(ISNUMBER(AL50),AL50,9E15),IF(ISNUMBER(AM50),AM50,9E15))</f>
        <v/>
      </c>
      <c r="AQ50" s="22">
        <f>MIN(IF(ISNUMBER(AG50),AG50,9E15),IF(ISNUMBER(AH50),AH50,9E15),IF(ISNUMBER(AI50),AI50,9E15),IF(ISNUMBER(AJ50),AJ50,9E15))</f>
        <v/>
      </c>
      <c r="AR50" s="29">
        <f>IF(AW50&gt;Parameters!$B$21*(MAX(IF(AND(NOT(AND(AO50=1,AN50&lt;&gt;1)),ISNUMBER(AG50),AG50&lt;=T50),AS50,0),IF(AND(NOT(AND(AO50=1,AN50&lt;&gt;1)),ISNUMBER(AH50),AH50&lt;=T50),AT50,0),IF(AND(NOT(AND(AO50=1,AN50&lt;&gt;1)),ISNUMBER(AI50),AI50&lt;=T50),AU50,0),IF(AND(ISNUMBER(AJ50),AJ50&lt;=T50),AV50,0))),TRUE,FALSE)</f>
        <v/>
      </c>
      <c r="AS50" s="32">
        <f>IFERROR(Upgrades!$H$6*(POWER(Upgrades!$P$6,E50)*POWER(Upgrades!$P$7,F50)*POWER(Upgrades!$P$8,G50)*POWER(Upgrades!$P$9,H50)*POWER(Upgrades!$P$10,I50)*POWER(Upgrades!$P$11,J50)*POWER(Upgrades!$P$12,K50))*(IF(Upgrades!$T$7="Solar Wind",POWER(Upgrades!$U$7,F50),1)*IF(Upgrades!$T$8="Solar Wind",POWER(Upgrades!$U$8,G50),1)*IF(Upgrades!$T$9="Solar Wind",POWER(Upgrades!$U$9,H50),1)*IF(Upgrades!$T$10="Solar Wind",POWER(Upgrades!$U$10,I50),1)*IF(Upgrades!$T$11="Solar Wind",POWER(Upgrades!$U$11,J50),1)*IF(Upgrades!$T$12="Solar Wind",POWER(Upgrades!$U$12,K50),1))/AG50,0)</f>
        <v/>
      </c>
      <c r="AT50" s="32">
        <f>IFERROR(Upgrades!$H$7*(POWER(Upgrades!$P$6,E50)*POWER(Upgrades!$P$7,F50)*POWER(Upgrades!$P$8,G50)*POWER(Upgrades!$P$9,H50)*POWER(Upgrades!$P$10,I50)*POWER(Upgrades!$P$11,J50)*POWER(Upgrades!$P$12,K50))*(IF(Upgrades!$T$6="Asteroid Belt",POWER(Upgrades!$U$6,E50),1)*IF(Upgrades!$T$8="Asteroid Belt",POWER(Upgrades!$U$8,G50),1)*IF(Upgrades!$T$9="Asteroid Belt",POWER(Upgrades!$U$9,H50),1)*IF(Upgrades!$T$10="Asteroid Belt",POWER(Upgrades!$U$10,I50),1)*IF(Upgrades!$T$11="Asteroid Belt",POWER(Upgrades!$U$11,J50),1)*IF(Upgrades!$T$12="Asteroid Belt",POWER(Upgrades!$U$12,K50),1))/AH50,0)</f>
        <v/>
      </c>
      <c r="AU50" s="32">
        <f>IFERROR(Upgrades!$K$8*(POWER(Upgrades!$Q$6,E50)*POWER(Upgrades!$Q$7,F50)*POWER(Upgrades!$Q$8,G50)*POWER(Upgrades!$Q$9,H50)*POWER(Upgrades!$Q$10,I50)*POWER(Upgrades!$Q$11,J50)*POWER(Upgrades!$Q$12,K50))*(IF(Upgrades!$T$6="Stellar Coupling",POWER(Upgrades!$U$6,E50),1)*IF(Upgrades!$T$7="Stellar Coupling",POWER(Upgrades!$U$7,F50),1)*IF(Upgrades!$T$9="Stellar Coupling",POWER(Upgrades!$U$9,H50),1)*IF(Upgrades!$T$10="Stellar Coupling",POWER(Upgrades!$U$10,I50),1)*IF(Upgrades!$T$11="Stellar Coupling",POWER(Upgrades!$U$11,J50),1)*IF(Upgrades!$T$12="Stellar Coupling",POWER(Upgrades!$U$12,K50),1))*Parameters!$B$10*Parameters!$B$11/60/AI50,0)</f>
        <v/>
      </c>
      <c r="AV50" s="32">
        <f>IFERROR(Upgrades!$H$9*(POWER(Upgrades!$P$6,E50)*POWER(Upgrades!$P$7,F50)*POWER(Upgrades!$P$8,G50)*POWER(Upgrades!$P$9,H50)*POWER(Upgrades!$P$10,I50)*POWER(Upgrades!$P$11,J50)*POWER(Upgrades!$P$12,K50))*(IF(Upgrades!$T$6="Magnetosphere",POWER(Upgrades!$U$6,E50),1)*IF(Upgrades!$T$7="Magnetosphere",POWER(Upgrades!$U$7,F50),1)*IF(Upgrades!$T$8="Magnetosphere",POWER(Upgrades!$U$8,G50),1)*IF(Upgrades!$T$10="Magnetosphere",POWER(Upgrades!$U$10,I50),1)*IF(Upgrades!$T$11="Magnetosphere",POWER(Upgrades!$U$11,J50),1)*IF(Upgrades!$T$12="Magnetosphere",POWER(Upgrades!$U$12,K50),1))/AJ50,0)</f>
        <v/>
      </c>
      <c r="AW50" s="32">
        <f>MAX(IF(I50&gt;0,0,IFERROR(0.25*N50/Upgrades!$C$10,0)),IF(J50&gt;0,0,IFERROR(0.5*((IF(G50=0,0,(Upgrades!$J$8+G50*Upgrades!$K$8)*POWER(Upgrades!$L$8,G50)))*(IF(Upgrades!$T$6="Stellar Coupling",POWER(Upgrades!$U$6,E50),1)*IF(Upgrades!$T$7="Stellar Coupling",POWER(Upgrades!$U$7,F50),1)*IF(Upgrades!$T$9="Stellar Coupling",POWER(Upgrades!$U$9,H50),1)*IF(Upgrades!$T$10="Stellar Coupling",POWER(Upgrades!$U$10,I50),1)*IF(Upgrades!$T$11="Stellar Coupling",POWER(Upgrades!$U$11,J50),1)*IF(Upgrades!$T$12="Stellar Coupling",POWER(Upgrades!$U$12,K50),1))*(POWER(Upgrades!$Q$6,E50)*POWER(Upgrades!$Q$7,F50)*POWER(Upgrades!$Q$8,G50)*POWER(Upgrades!$Q$9,H50)*POWER(Upgrades!$Q$10,I50)*POWER(Upgrades!$Q$11,J50)*POWER(Upgrades!$Q$12,K50))*Parameters!$B$10*Parameters!$B$11/60)/Upgrades!$C$11,0)),IF(K50&gt;0,0,IFERROR((1.0*(POWER(Upgrades!$P$6,E50)*POWER(Upgrades!$P$7,F50)*POWER(Upgrades!$P$8,G50)*POWER(Upgrades!$P$9,H50)*POWER(Upgrades!$P$10,I50)*POWER(Upgrades!$P$11,J50)*POWER(Upgrades!$P$12,K50))+0.20*M50*Parameters!$B$10*Parameters!$B$11/60)/Upgrades!$C$12,0)),IF(AND(ISNUMBER(AG50),AG50&gt;T50),AS50,0),IF(AND(ISNUMBER(AH50),AH50&gt;T50),AT50,0),IF(AND(ISNUMBER(AI50),AI50&gt;T50),AU50,0),IF(AND(ISNUMBER(AJ50),AJ50&gt;T50),AV50,0))</f>
        <v/>
      </c>
      <c r="AX50" s="29">
        <f>IF(AN50=1,"transition",IF(MIN(IF(AND(I50=0,ISNUMBER(AK50),AK50&lt;=T50),AK50,9E15),IF(AND(J50=0,ISNUMBER(AL50),AL50&lt;=T50),AL50,9E15),IF(AND(K50=0,ISNUMBER(AM50),AM50&lt;=T50),AM50,9E15))&lt;9E15,IF(AND(AND(I50=0,ISNUMBER(AK50),AK50&lt;=T50),AK50=MIN(IF(AND(I50=0,ISNUMBER(AK50),AK50&lt;=T50),AK50,9E15),IF(AND(J50=0,ISNUMBER(AL50),AL50&lt;=T50),AL50,9E15),IF(AND(K50=0,ISNUMBER(AM50),AM50&lt;=T50),AM50,9E15))),"OR",IF(AND(AND(J50=0,ISNUMBER(AL50),AL50&lt;=T50),AL50=MIN(IF(AND(I50=0,ISNUMBER(AK50),AK50&lt;=T50),AK50,9E15),IF(AND(J50=0,ISNUMBER(AL50),AL50&lt;=T50),AL50,9E15),IF(AND(K50=0,ISNUMBER(AM50),AM50&lt;=T50),AM50,9E15))),"HP","FP")),IF(AR50=TRUE,"",IF(MAX(IF(AND(NOT(AND(AO50=1,AN50&lt;&gt;1)),ISNUMBER(AG50),AG50&lt;=T50),AS50,0),IF(AND(NOT(AND(AO50=1,AN50&lt;&gt;1)),ISNUMBER(AH50),AH50&lt;=T50),AT50,0),IF(AND(NOT(AND(AO50=1,AN50&lt;&gt;1)),ISNUMBER(AI50),AI50&lt;=T50),AU50,0),IF(AND(ISNUMBER(AJ50),AJ50&lt;=T50),AV50,0))&lt;=0,"",IF(AND(IF(AND(NOT(AND(AO50=1,AN50&lt;&gt;1)),ISNUMBER(AG50),AG50&lt;=T50),AS50,0)&gt;0,IF(AND(NOT(AND(AO50=1,AN50&lt;&gt;1)),ISNUMBER(AG50),AG50&lt;=T50),AS50,0)=MAX(IF(AND(NOT(AND(AO50=1,AN50&lt;&gt;1)),ISNUMBER(AG50),AG50&lt;=T50),AS50,0),IF(AND(NOT(AND(AO50=1,AN50&lt;&gt;1)),ISNUMBER(AH50),AH50&lt;=T50),AT50,0),IF(AND(NOT(AND(AO50=1,AN50&lt;&gt;1)),ISNUMBER(AI50),AI50&lt;=T50),AU50,0),IF(AND(ISNUMBER(AJ50),AJ50&lt;=T50),AV50,0))),"SW",IF(AND(IF(AND(NOT(AND(AO50=1,AN50&lt;&gt;1)),ISNUMBER(AH50),AH50&lt;=T50),AT50,0)&gt;0,IF(AND(NOT(AND(AO50=1,AN50&lt;&gt;1)),ISNUMBER(AH50),AH50&lt;=T50),AT50,0)=MAX(IF(AND(NOT(AND(AO50=1,AN50&lt;&gt;1)),ISNUMBER(AG50),AG50&lt;=T50),AS50,0),IF(AND(NOT(AND(AO50=1,AN50&lt;&gt;1)),ISNUMBER(AH50),AH50&lt;=T50),AT50,0),IF(AND(NOT(AND(AO50=1,AN50&lt;&gt;1)),ISNUMBER(AI50),AI50&lt;=T50),AU50,0),IF(AND(ISNUMBER(AJ50),AJ50&lt;=T50),AV50,0))),"AB",IF(AND(IF(AND(NOT(AND(AO50=1,AN50&lt;&gt;1)),ISNUMBER(AI50),AI50&lt;=T50),AU50,0)&gt;0,IF(AND(NOT(AND(AO50=1,AN50&lt;&gt;1)),ISNUMBER(AI50),AI50&lt;=T50),AU50,0)=MAX(IF(AND(NOT(AND(AO50=1,AN50&lt;&gt;1)),ISNUMBER(AG50),AG50&lt;=T50),AS50,0),IF(AND(NOT(AND(AO50=1,AN50&lt;&gt;1)),ISNUMBER(AH50),AH50&lt;=T50),AT50,0),IF(AND(NOT(AND(AO50=1,AN50&lt;&gt;1)),ISNUMBER(AI50),AI50&lt;=T50),AU50,0),IF(AND(ISNUMBER(AJ50),AJ50&lt;=T50),AV50,0))),"SC","Mag")))))))</f>
        <v/>
      </c>
    </row>
    <row r="51">
      <c r="A51" s="26" t="n">
        <v>46</v>
      </c>
      <c r="B51" s="27">
        <f>A51*10/60</f>
        <v/>
      </c>
      <c r="C51" s="22">
        <f>X50</f>
        <v/>
      </c>
      <c r="D51" s="27">
        <f>D50+W50</f>
        <v/>
      </c>
      <c r="E51" s="26">
        <f>E50+IF(U50="SW",1,0)</f>
        <v/>
      </c>
      <c r="F51" s="26">
        <f>F50+IF(U50="AB",1,0)</f>
        <v/>
      </c>
      <c r="G51" s="26">
        <f>G50+IF(U50="SC",1,0)</f>
        <v/>
      </c>
      <c r="H51" s="26">
        <f>H50+IF(U50="Mag",1,0)</f>
        <v/>
      </c>
      <c r="I51" s="26">
        <f>MAX(I50,IF(U50="OR",1,0))</f>
        <v/>
      </c>
      <c r="J51" s="26">
        <f>MAX(J50,IF(U50="HP",1,0))</f>
        <v/>
      </c>
      <c r="K51" s="26">
        <f>MAX(K50,IF(U50="FP",1,0))</f>
        <v/>
      </c>
      <c r="L51" s="26">
        <f>MAX(L50,IF(U50="transition",1,0))</f>
        <v/>
      </c>
      <c r="M51" s="28">
        <f>(Parameters!$B$9+(IF(E51=0,0,(Upgrades!$J$6+E51*Upgrades!$K$6)*POWER(Upgrades!$L$6,E51)))*(IF(Upgrades!$T$7="Solar Wind",POWER(Upgrades!$U$7,F51),1)*IF(Upgrades!$T$8="Solar Wind",POWER(Upgrades!$U$8,G51),1)*IF(Upgrades!$T$9="Solar Wind",POWER(Upgrades!$U$9,H51),1)*IF(Upgrades!$T$10="Solar Wind",POWER(Upgrades!$U$10,I51),1)*IF(Upgrades!$T$11="Solar Wind",POWER(Upgrades!$U$11,J51),1)*IF(Upgrades!$T$12="Solar Wind",POWER(Upgrades!$U$12,K51),1))+(IF(F51=0,0,(Upgrades!$J$7+F51*Upgrades!$K$7)*POWER(Upgrades!$L$7,F51)))*(IF(Upgrades!$T$6="Asteroid Belt",POWER(Upgrades!$U$6,E51),1)*IF(Upgrades!$T$8="Asteroid Belt",POWER(Upgrades!$U$8,G51),1)*IF(Upgrades!$T$9="Asteroid Belt",POWER(Upgrades!$U$9,H51),1)*IF(Upgrades!$T$10="Asteroid Belt",POWER(Upgrades!$U$10,I51),1)*IF(Upgrades!$T$11="Asteroid Belt",POWER(Upgrades!$U$11,J51),1)*IF(Upgrades!$T$12="Asteroid Belt",POWER(Upgrades!$U$12,K51),1))+(IF(G51=0,0,(Upgrades!$J$8+G51*Upgrades!$K$8)*POWER(Upgrades!$L$8,G51)))*(IF(Upgrades!$T$6="Stellar Coupling",POWER(Upgrades!$U$6,E51),1)*IF(Upgrades!$T$7="Stellar Coupling",POWER(Upgrades!$U$7,F51),1)*IF(Upgrades!$T$9="Stellar Coupling",POWER(Upgrades!$U$9,H51),1)*IF(Upgrades!$T$10="Stellar Coupling",POWER(Upgrades!$U$10,I51),1)*IF(Upgrades!$T$11="Stellar Coupling",POWER(Upgrades!$U$11,J51),1)*IF(Upgrades!$T$12="Stellar Coupling",POWER(Upgrades!$U$12,K51),1))+(IF(H51=0,0,(Upgrades!$J$9+H51*Upgrades!$K$9)*POWER(Upgrades!$L$9,H51)))*(IF(Upgrades!$T$6="Magnetosphere",POWER(Upgrades!$U$6,E51),1)*IF(Upgrades!$T$7="Magnetosphere",POWER(Upgrades!$U$7,F51),1)*IF(Upgrades!$T$8="Magnetosphere",POWER(Upgrades!$U$8,G51),1)*IF(Upgrades!$T$10="Magnetosphere",POWER(Upgrades!$U$10,I51),1)*IF(Upgrades!$T$11="Magnetosphere",POWER(Upgrades!$U$11,J51),1)*IF(Upgrades!$T$12="Magnetosphere",POWER(Upgrades!$U$12,K51),1))+(IF(I51=0,0,(Upgrades!$J$10+I51*Upgrades!$K$10)*POWER(Upgrades!$L$10,I51)))*(IF(Upgrades!$T$6="Orbital Resonance",POWER(Upgrades!$U$6,E51),1)*IF(Upgrades!$T$7="Orbital Resonance",POWER(Upgrades!$U$7,F51),1)*IF(Upgrades!$T$8="Orbital Resonance",POWER(Upgrades!$U$8,G51),1)*IF(Upgrades!$T$9="Orbital Resonance",POWER(Upgrades!$U$9,H51),1)*IF(Upgrades!$T$11="Orbital Resonance",POWER(Upgrades!$U$11,J51),1)*IF(Upgrades!$T$12="Orbital Resonance",POWER(Upgrades!$U$12,K51),1))+(IF(J51=0,0,(Upgrades!$J$11+J51*Upgrades!$K$11)*POWER(Upgrades!$L$11,J51)))*(IF(Upgrades!$T$6="Heliopause",POWER(Upgrades!$U$6,E51),1)*IF(Upgrades!$T$7="Heliopause",POWER(Upgrades!$U$7,F51),1)*IF(Upgrades!$T$8="Heliopause",POWER(Upgrades!$U$8,G51),1)*IF(Upgrades!$T$9="Heliopause",POWER(Upgrades!$U$9,H51),1)*IF(Upgrades!$T$10="Heliopause",POWER(Upgrades!$U$10,I51),1)*IF(Upgrades!$T$12="Heliopause",POWER(Upgrades!$U$12,K51),1))+(IF(K51=0,0,(Upgrades!$J$12+K51*Upgrades!$K$12)*POWER(Upgrades!$L$12,K51)))*(IF(Upgrades!$T$6="First Photons",POWER(Upgrades!$U$6,E51),1)*IF(Upgrades!$T$7="First Photons",POWER(Upgrades!$U$7,F51),1)*IF(Upgrades!$T$8="First Photons",POWER(Upgrades!$U$8,G51),1)*IF(Upgrades!$T$9="First Photons",POWER(Upgrades!$U$9,H51),1)*IF(Upgrades!$T$10="First Photons",POWER(Upgrades!$U$10,I51),1)*IF(Upgrades!$T$11="First Photons",POWER(Upgrades!$U$11,J51),1)))*POWER(Upgrades!$Q$6,E51)*POWER(Upgrades!$Q$7,F51)*POWER(Upgrades!$Q$8,G51)*POWER(Upgrades!$Q$9,H51)*POWER(Upgrades!$Q$10,I51)*POWER(Upgrades!$Q$11,J51)*POWER(Upgrades!$Q$12,K51)</f>
        <v/>
      </c>
      <c r="N51" s="28">
        <f>((IF(E51=0,0,(Upgrades!$G$6+E51*Upgrades!$H$6)*POWER(Upgrades!$I$6,E51)))*(IF(Upgrades!$T$7="Solar Wind",POWER(Upgrades!$U$7,F51),1)*IF(Upgrades!$T$8="Solar Wind",POWER(Upgrades!$U$8,G51),1)*IF(Upgrades!$T$9="Solar Wind",POWER(Upgrades!$U$9,H51),1)*IF(Upgrades!$T$10="Solar Wind",POWER(Upgrades!$U$10,I51),1)*IF(Upgrades!$T$11="Solar Wind",POWER(Upgrades!$U$11,J51),1)*IF(Upgrades!$T$12="Solar Wind",POWER(Upgrades!$U$12,K51),1))+(IF(F51=0,0,(Upgrades!$G$7+F51*Upgrades!$H$7)*POWER(Upgrades!$I$7,F51)))*(IF(Upgrades!$T$6="Asteroid Belt",POWER(Upgrades!$U$6,E51),1)*IF(Upgrades!$T$8="Asteroid Belt",POWER(Upgrades!$U$8,G51),1)*IF(Upgrades!$T$9="Asteroid Belt",POWER(Upgrades!$U$9,H51),1)*IF(Upgrades!$T$10="Asteroid Belt",POWER(Upgrades!$U$10,I51),1)*IF(Upgrades!$T$11="Asteroid Belt",POWER(Upgrades!$U$11,J51),1)*IF(Upgrades!$T$12="Asteroid Belt",POWER(Upgrades!$U$12,K51),1))+(IF(G51=0,0,(Upgrades!$G$8+G51*Upgrades!$H$8)*POWER(Upgrades!$I$8,G51)))*(IF(Upgrades!$T$6="Stellar Coupling",POWER(Upgrades!$U$6,E51),1)*IF(Upgrades!$T$7="Stellar Coupling",POWER(Upgrades!$U$7,F51),1)*IF(Upgrades!$T$9="Stellar Coupling",POWER(Upgrades!$U$9,H51),1)*IF(Upgrades!$T$10="Stellar Coupling",POWER(Upgrades!$U$10,I51),1)*IF(Upgrades!$T$11="Stellar Coupling",POWER(Upgrades!$U$11,J51),1)*IF(Upgrades!$T$12="Stellar Coupling",POWER(Upgrades!$U$12,K51),1))+(IF(H51=0,0,(Upgrades!$G$9+H51*Upgrades!$H$9)*POWER(Upgrades!$I$9,H51)))*(IF(Upgrades!$T$6="Magnetosphere",POWER(Upgrades!$U$6,E51),1)*IF(Upgrades!$T$7="Magnetosphere",POWER(Upgrades!$U$7,F51),1)*IF(Upgrades!$T$8="Magnetosphere",POWER(Upgrades!$U$8,G51),1)*IF(Upgrades!$T$10="Magnetosphere",POWER(Upgrades!$U$10,I51),1)*IF(Upgrades!$T$11="Magnetosphere",POWER(Upgrades!$U$11,J51),1)*IF(Upgrades!$T$12="Magnetosphere",POWER(Upgrades!$U$12,K51),1))+(IF(I51=0,0,(Upgrades!$G$10+I51*Upgrades!$H$10)*POWER(Upgrades!$I$10,I51)))*(IF(Upgrades!$T$6="Orbital Resonance",POWER(Upgrades!$U$6,E51),1)*IF(Upgrades!$T$7="Orbital Resonance",POWER(Upgrades!$U$7,F51),1)*IF(Upgrades!$T$8="Orbital Resonance",POWER(Upgrades!$U$8,G51),1)*IF(Upgrades!$T$9="Orbital Resonance",POWER(Upgrades!$U$9,H51),1)*IF(Upgrades!$T$11="Orbital Resonance",POWER(Upgrades!$U$11,J51),1)*IF(Upgrades!$T$12="Orbital Resonance",POWER(Upgrades!$U$12,K51),1))+(IF(J51=0,0,(Upgrades!$G$11+J51*Upgrades!$H$11)*POWER(Upgrades!$I$11,J51)))*(IF(Upgrades!$T$6="Heliopause",POWER(Upgrades!$U$6,E51),1)*IF(Upgrades!$T$7="Heliopause",POWER(Upgrades!$U$7,F51),1)*IF(Upgrades!$T$8="Heliopause",POWER(Upgrades!$U$8,G51),1)*IF(Upgrades!$T$9="Heliopause",POWER(Upgrades!$U$9,H51),1)*IF(Upgrades!$T$10="Heliopause",POWER(Upgrades!$U$10,I51),1)*IF(Upgrades!$T$12="Heliopause",POWER(Upgrades!$U$12,K51),1))+(IF(K51=0,0,(Upgrades!$G$12+K51*Upgrades!$H$12)*POWER(Upgrades!$I$12,K51)))*(IF(Upgrades!$T$6="First Photons",POWER(Upgrades!$U$6,E51),1)*IF(Upgrades!$T$7="First Photons",POWER(Upgrades!$U$7,F51),1)*IF(Upgrades!$T$8="First Photons",POWER(Upgrades!$U$8,G51),1)*IF(Upgrades!$T$9="First Photons",POWER(Upgrades!$U$9,H51),1)*IF(Upgrades!$T$10="First Photons",POWER(Upgrades!$U$10,I51),1)*IF(Upgrades!$T$11="First Photons",POWER(Upgrades!$U$11,J51),1)))*POWER(Upgrades!$P$6,E51)*POWER(Upgrades!$P$7,F51)*POWER(Upgrades!$P$8,G51)*POWER(Upgrades!$P$9,H51)*POWER(Upgrades!$P$10,I51)*POWER(Upgrades!$P$11,J51)*POWER(Upgrades!$P$12,K51)</f>
        <v/>
      </c>
      <c r="O51" s="28">
        <f>((IF(E51=0,0,(Upgrades!$M$6+E51*Upgrades!$N$6)*POWER(Upgrades!$O$6,E51)))*(IF(Upgrades!$T$7="Solar Wind",POWER(Upgrades!$U$7,F51),1)*IF(Upgrades!$T$8="Solar Wind",POWER(Upgrades!$U$8,G51),1)*IF(Upgrades!$T$9="Solar Wind",POWER(Upgrades!$U$9,H51),1)*IF(Upgrades!$T$10="Solar Wind",POWER(Upgrades!$U$10,I51),1)*IF(Upgrades!$T$11="Solar Wind",POWER(Upgrades!$U$11,J51),1)*IF(Upgrades!$T$12="Solar Wind",POWER(Upgrades!$U$12,K51),1))+(IF(F51=0,0,(Upgrades!$M$7+F51*Upgrades!$N$7)*POWER(Upgrades!$O$7,F51)))*(IF(Upgrades!$T$6="Asteroid Belt",POWER(Upgrades!$U$6,E51),1)*IF(Upgrades!$T$8="Asteroid Belt",POWER(Upgrades!$U$8,G51),1)*IF(Upgrades!$T$9="Asteroid Belt",POWER(Upgrades!$U$9,H51),1)*IF(Upgrades!$T$10="Asteroid Belt",POWER(Upgrades!$U$10,I51),1)*IF(Upgrades!$T$11="Asteroid Belt",POWER(Upgrades!$U$11,J51),1)*IF(Upgrades!$T$12="Asteroid Belt",POWER(Upgrades!$U$12,K51),1))+(IF(G51=0,0,(Upgrades!$M$8+G51*Upgrades!$N$8)*POWER(Upgrades!$O$8,G51)))*(IF(Upgrades!$T$6="Stellar Coupling",POWER(Upgrades!$U$6,E51),1)*IF(Upgrades!$T$7="Stellar Coupling",POWER(Upgrades!$U$7,F51),1)*IF(Upgrades!$T$9="Stellar Coupling",POWER(Upgrades!$U$9,H51),1)*IF(Upgrades!$T$10="Stellar Coupling",POWER(Upgrades!$U$10,I51),1)*IF(Upgrades!$T$11="Stellar Coupling",POWER(Upgrades!$U$11,J51),1)*IF(Upgrades!$T$12="Stellar Coupling",POWER(Upgrades!$U$12,K51),1))+(IF(H51=0,0,(Upgrades!$M$9+H51*Upgrades!$N$9)*POWER(Upgrades!$O$9,H51)))*(IF(Upgrades!$T$6="Magnetosphere",POWER(Upgrades!$U$6,E51),1)*IF(Upgrades!$T$7="Magnetosphere",POWER(Upgrades!$U$7,F51),1)*IF(Upgrades!$T$8="Magnetosphere",POWER(Upgrades!$U$8,G51),1)*IF(Upgrades!$T$10="Magnetosphere",POWER(Upgrades!$U$10,I51),1)*IF(Upgrades!$T$11="Magnetosphere",POWER(Upgrades!$U$11,J51),1)*IF(Upgrades!$T$12="Magnetosphere",POWER(Upgrades!$U$12,K51),1))+(IF(I51=0,0,(Upgrades!$M$10+I51*Upgrades!$N$10)*POWER(Upgrades!$O$10,I51)))*(IF(Upgrades!$T$6="Orbital Resonance",POWER(Upgrades!$U$6,E51),1)*IF(Upgrades!$T$7="Orbital Resonance",POWER(Upgrades!$U$7,F51),1)*IF(Upgrades!$T$8="Orbital Resonance",POWER(Upgrades!$U$8,G51),1)*IF(Upgrades!$T$9="Orbital Resonance",POWER(Upgrades!$U$9,H51),1)*IF(Upgrades!$T$11="Orbital Resonance",POWER(Upgrades!$U$11,J51),1)*IF(Upgrades!$T$12="Orbital Resonance",POWER(Upgrades!$U$12,K51),1))+(IF(J51=0,0,(Upgrades!$M$11+J51*Upgrades!$N$11)*POWER(Upgrades!$O$11,J51)))*(IF(Upgrades!$T$6="Heliopause",POWER(Upgrades!$U$6,E51),1)*IF(Upgrades!$T$7="Heliopause",POWER(Upgrades!$U$7,F51),1)*IF(Upgrades!$T$8="Heliopause",POWER(Upgrades!$U$8,G51),1)*IF(Upgrades!$T$9="Heliopause",POWER(Upgrades!$U$9,H51),1)*IF(Upgrades!$T$10="Heliopause",POWER(Upgrades!$U$10,I51),1)*IF(Upgrades!$T$12="Heliopause",POWER(Upgrades!$U$12,K51),1))+(IF(K51=0,0,(Upgrades!$M$12+K51*Upgrades!$N$12)*POWER(Upgrades!$O$12,K51)))*(IF(Upgrades!$T$6="First Photons",POWER(Upgrades!$U$6,E51),1)*IF(Upgrades!$T$7="First Photons",POWER(Upgrades!$U$7,F51),1)*IF(Upgrades!$T$8="First Photons",POWER(Upgrades!$U$8,G51),1)*IF(Upgrades!$T$9="First Photons",POWER(Upgrades!$U$9,H51),1)*IF(Upgrades!$T$10="First Photons",POWER(Upgrades!$U$10,I51),1)*IF(Upgrades!$T$11="First Photons",POWER(Upgrades!$U$11,J51),1)))*POWER(Upgrades!$R$6,E51)*POWER(Upgrades!$R$7,F51)*POWER(Upgrades!$R$8,G51)*POWER(Upgrades!$R$9,H51)*POWER(Upgrades!$R$10,I51)*POWER(Upgrades!$R$11,J51)*POWER(Upgrades!$R$12,K51)</f>
        <v/>
      </c>
      <c r="P51" s="27">
        <f>IF(L51=1,0,M51*Parameters!$B$10/60*Parameters!$B$11*10)</f>
        <v/>
      </c>
      <c r="Q51" s="27">
        <f>IF(L51=1,0,O51*M51*10)</f>
        <v/>
      </c>
      <c r="R51" s="27">
        <f>IF(L51=1,0,N51*10)</f>
        <v/>
      </c>
      <c r="S51" s="27">
        <f>P51+Q51+R51</f>
        <v/>
      </c>
      <c r="T51" s="22">
        <f>C51+S51</f>
        <v/>
      </c>
      <c r="U51" s="33">
        <f>AX51</f>
        <v/>
      </c>
      <c r="V51" s="22">
        <f>IF(U51="",0,IF(U51="transition",0,IF(U51="SW",AG51,IF(U51="AB",AH51,IF(U51="SC",AI51,IF(U51="Mag",AJ51,IF(U51="OR",AK51,IF(U51="HP",AL51,IF(U51="FP",AM51,0)))))))))</f>
        <v/>
      </c>
      <c r="W51" s="27">
        <f>IF(U51="OR",Upgrades!$F$10,IF(U51="HP",Upgrades!$F$11,IF(U51="transition",-Parameters!$B$18,0)))</f>
        <v/>
      </c>
      <c r="X51" s="22">
        <f>T51-V51</f>
        <v/>
      </c>
      <c r="Y51" s="30">
        <f>M51*Parameters!$B$10/60*Parameters!$B$11+O51*M51+N51</f>
        <v/>
      </c>
      <c r="Z51" s="34">
        <f>IF(U51="transition","→ Tier 2 (Stellar Neighborhood)",IF(U51="FP","First Photons — light begins, system quickens",IF(U51="HP","Heliopause acquired",IF(U51="OR","Orbital Resonance — passive multiplier active",IF(AND(AO51=1,L51=0,AN51&lt;&gt;1),"Cohesion ready (waiting on completionist upgrades)","")))))</f>
        <v/>
      </c>
      <c r="AA51" s="27">
        <f>(IF(E51=0,0,(Upgrades!$G$6+E51*Upgrades!$H$6)*POWER(Upgrades!$I$6,E51)))*(IF(Upgrades!$T$7="Solar Wind",POWER(Upgrades!$U$7,F51),1)*IF(Upgrades!$T$8="Solar Wind",POWER(Upgrades!$U$8,G51),1)*IF(Upgrades!$T$9="Solar Wind",POWER(Upgrades!$U$9,H51),1)*IF(Upgrades!$T$10="Solar Wind",POWER(Upgrades!$U$10,I51),1)*IF(Upgrades!$T$11="Solar Wind",POWER(Upgrades!$U$11,J51),1)*IF(Upgrades!$T$12="Solar Wind",POWER(Upgrades!$U$12,K51),1))*POWER(Upgrades!$P$6,E51)*POWER(Upgrades!$P$7,F51)*POWER(Upgrades!$P$8,G51)*POWER(Upgrades!$P$9,H51)*POWER(Upgrades!$P$10,I51)*POWER(Upgrades!$P$11,J51)*POWER(Upgrades!$P$12,K51)*60</f>
        <v/>
      </c>
      <c r="AB51" s="27">
        <f>(IF(F51=0,0,(Upgrades!$G$7+F51*Upgrades!$H$7)*POWER(Upgrades!$I$7,F51)))*(IF(Upgrades!$T$6="Asteroid Belt",POWER(Upgrades!$U$6,E51),1)*IF(Upgrades!$T$8="Asteroid Belt",POWER(Upgrades!$U$8,G51),1)*IF(Upgrades!$T$9="Asteroid Belt",POWER(Upgrades!$U$9,H51),1)*IF(Upgrades!$T$10="Asteroid Belt",POWER(Upgrades!$U$10,I51),1)*IF(Upgrades!$T$11="Asteroid Belt",POWER(Upgrades!$U$11,J51),1)*IF(Upgrades!$T$12="Asteroid Belt",POWER(Upgrades!$U$12,K51),1))*POWER(Upgrades!$P$6,E51)*POWER(Upgrades!$P$7,F51)*POWER(Upgrades!$P$8,G51)*POWER(Upgrades!$P$9,H51)*POWER(Upgrades!$P$10,I51)*POWER(Upgrades!$P$11,J51)*POWER(Upgrades!$P$12,K51)*60</f>
        <v/>
      </c>
      <c r="AC51" s="27">
        <f>(IF(G51=0,0,(Upgrades!$J$8+G51*Upgrades!$K$8)*POWER(Upgrades!$L$8,G51)))*(IF(Upgrades!$T$6="Stellar Coupling",POWER(Upgrades!$U$6,E51),1)*IF(Upgrades!$T$7="Stellar Coupling",POWER(Upgrades!$U$7,F51),1)*IF(Upgrades!$T$9="Stellar Coupling",POWER(Upgrades!$U$9,H51),1)*IF(Upgrades!$T$10="Stellar Coupling",POWER(Upgrades!$U$10,I51),1)*IF(Upgrades!$T$11="Stellar Coupling",POWER(Upgrades!$U$11,J51),1)*IF(Upgrades!$T$12="Stellar Coupling",POWER(Upgrades!$U$12,K51),1))*POWER(Upgrades!$Q$6,E51)*POWER(Upgrades!$Q$7,F51)*POWER(Upgrades!$Q$8,G51)*POWER(Upgrades!$Q$9,H51)*POWER(Upgrades!$Q$10,I51)*POWER(Upgrades!$Q$11,J51)*POWER(Upgrades!$Q$12,K51)*Parameters!$B$10*Parameters!$B$11</f>
        <v/>
      </c>
      <c r="AD51" s="27">
        <f>(IF(H51=0,0,(Upgrades!$G$9+H51*Upgrades!$H$9)*POWER(Upgrades!$I$9,H51)))*(IF(Upgrades!$T$6="Magnetosphere",POWER(Upgrades!$U$6,E51),1)*IF(Upgrades!$T$7="Magnetosphere",POWER(Upgrades!$U$7,F51),1)*IF(Upgrades!$T$8="Magnetosphere",POWER(Upgrades!$U$8,G51),1)*IF(Upgrades!$T$10="Magnetosphere",POWER(Upgrades!$U$10,I51),1)*IF(Upgrades!$T$11="Magnetosphere",POWER(Upgrades!$U$11,J51),1)*IF(Upgrades!$T$12="Magnetosphere",POWER(Upgrades!$U$12,K51),1))*POWER(Upgrades!$P$6,E51)*POWER(Upgrades!$P$7,F51)*POWER(Upgrades!$P$8,G51)*POWER(Upgrades!$P$9,H51)*POWER(Upgrades!$P$10,I51)*POWER(Upgrades!$P$11,J51)*POWER(Upgrades!$P$12,K51)*60</f>
        <v/>
      </c>
      <c r="AE51" s="27">
        <f>(IF(K51=0,0,(Upgrades!$G$12+K51*Upgrades!$H$12)*POWER(Upgrades!$I$12,K51)))*(IF(Upgrades!$T$6="First Photons",POWER(Upgrades!$U$6,E51),1)*IF(Upgrades!$T$7="First Photons",POWER(Upgrades!$U$7,F51),1)*IF(Upgrades!$T$8="First Photons",POWER(Upgrades!$U$8,G51),1)*IF(Upgrades!$T$9="First Photons",POWER(Upgrades!$U$9,H51),1)*IF(Upgrades!$T$10="First Photons",POWER(Upgrades!$U$10,I51),1)*IF(Upgrades!$T$11="First Photons",POWER(Upgrades!$U$11,J51),1))*POWER(Upgrades!$P$6,E51)*POWER(Upgrades!$P$7,F51)*POWER(Upgrades!$P$8,G51)*POWER(Upgrades!$P$9,H51)*POWER(Upgrades!$P$10,I51)*POWER(Upgrades!$P$11,J51)*POWER(Upgrades!$P$12,K51)*60</f>
        <v/>
      </c>
      <c r="AF51" s="27">
        <f>Parameters!$B$9*POWER(Upgrades!$Q$6,E51)*POWER(Upgrades!$Q$7,F51)*POWER(Upgrades!$Q$8,G51)*POWER(Upgrades!$Q$9,H51)*POWER(Upgrades!$Q$10,I51)*POWER(Upgrades!$Q$11,J51)*POWER(Upgrades!$Q$12,K51)*(Parameters!$B$10*Parameters!$B$11+O51*60)</f>
        <v/>
      </c>
      <c r="AG51" s="22">
        <f>IF(E51&gt;=Upgrades!$E$6,"",Upgrades!$C$6*POWER(Upgrades!$D$6,E51))</f>
        <v/>
      </c>
      <c r="AH51" s="22">
        <f>IF(F51&gt;=Upgrades!$E$7,"",Upgrades!$C$7*POWER(Upgrades!$D$7,F51))</f>
        <v/>
      </c>
      <c r="AI51" s="22">
        <f>IF(G51&gt;=Upgrades!$E$8,"",Upgrades!$C$8*POWER(Upgrades!$D$8,G51))</f>
        <v/>
      </c>
      <c r="AJ51" s="22">
        <f>IF(H51&gt;=Upgrades!$E$9,"",Upgrades!$C$9*POWER(Upgrades!$D$9,H51))</f>
        <v/>
      </c>
      <c r="AK51" s="22">
        <f>IF(I51&gt;=Upgrades!$E$10,"",Upgrades!$C$10*POWER(Upgrades!$D$10,I51))</f>
        <v/>
      </c>
      <c r="AL51" s="22">
        <f>IF(J51&gt;=Upgrades!$E$11,"",Upgrades!$C$11*POWER(Upgrades!$D$11,J51))</f>
        <v/>
      </c>
      <c r="AM51" s="22">
        <f>IF(K51&gt;=Upgrades!$E$12,"",Upgrades!$C$12*POWER(Upgrades!$D$12,K51))</f>
        <v/>
      </c>
      <c r="AN51" s="26">
        <f>IF(AND(D51&gt;=Parameters!$B$18,(H51&gt;=Upgrades!$E$9)*(K51&gt;=Upgrades!$E$12)=1,L51=0),1,"")</f>
        <v/>
      </c>
      <c r="AO51" s="26">
        <f>IF(AND(D51&gt;=Parameters!$B$18,L51=0),1,"")</f>
        <v/>
      </c>
      <c r="AP51" s="22">
        <f>MIN(IF(ISNUMBER(AK51),AK51,9E15),IF(ISNUMBER(AL51),AL51,9E15),IF(ISNUMBER(AM51),AM51,9E15))</f>
        <v/>
      </c>
      <c r="AQ51" s="22">
        <f>MIN(IF(ISNUMBER(AG51),AG51,9E15),IF(ISNUMBER(AH51),AH51,9E15),IF(ISNUMBER(AI51),AI51,9E15),IF(ISNUMBER(AJ51),AJ51,9E15))</f>
        <v/>
      </c>
      <c r="AR51" s="29">
        <f>IF(AW51&gt;Parameters!$B$21*(MAX(IF(AND(NOT(AND(AO51=1,AN51&lt;&gt;1)),ISNUMBER(AG51),AG51&lt;=T51),AS51,0),IF(AND(NOT(AND(AO51=1,AN51&lt;&gt;1)),ISNUMBER(AH51),AH51&lt;=T51),AT51,0),IF(AND(NOT(AND(AO51=1,AN51&lt;&gt;1)),ISNUMBER(AI51),AI51&lt;=T51),AU51,0),IF(AND(ISNUMBER(AJ51),AJ51&lt;=T51),AV51,0))),TRUE,FALSE)</f>
        <v/>
      </c>
      <c r="AS51" s="32">
        <f>IFERROR(Upgrades!$H$6*(POWER(Upgrades!$P$6,E51)*POWER(Upgrades!$P$7,F51)*POWER(Upgrades!$P$8,G51)*POWER(Upgrades!$P$9,H51)*POWER(Upgrades!$P$10,I51)*POWER(Upgrades!$P$11,J51)*POWER(Upgrades!$P$12,K51))*(IF(Upgrades!$T$7="Solar Wind",POWER(Upgrades!$U$7,F51),1)*IF(Upgrades!$T$8="Solar Wind",POWER(Upgrades!$U$8,G51),1)*IF(Upgrades!$T$9="Solar Wind",POWER(Upgrades!$U$9,H51),1)*IF(Upgrades!$T$10="Solar Wind",POWER(Upgrades!$U$10,I51),1)*IF(Upgrades!$T$11="Solar Wind",POWER(Upgrades!$U$11,J51),1)*IF(Upgrades!$T$12="Solar Wind",POWER(Upgrades!$U$12,K51),1))/AG51,0)</f>
        <v/>
      </c>
      <c r="AT51" s="32">
        <f>IFERROR(Upgrades!$H$7*(POWER(Upgrades!$P$6,E51)*POWER(Upgrades!$P$7,F51)*POWER(Upgrades!$P$8,G51)*POWER(Upgrades!$P$9,H51)*POWER(Upgrades!$P$10,I51)*POWER(Upgrades!$P$11,J51)*POWER(Upgrades!$P$12,K51))*(IF(Upgrades!$T$6="Asteroid Belt",POWER(Upgrades!$U$6,E51),1)*IF(Upgrades!$T$8="Asteroid Belt",POWER(Upgrades!$U$8,G51),1)*IF(Upgrades!$T$9="Asteroid Belt",POWER(Upgrades!$U$9,H51),1)*IF(Upgrades!$T$10="Asteroid Belt",POWER(Upgrades!$U$10,I51),1)*IF(Upgrades!$T$11="Asteroid Belt",POWER(Upgrades!$U$11,J51),1)*IF(Upgrades!$T$12="Asteroid Belt",POWER(Upgrades!$U$12,K51),1))/AH51,0)</f>
        <v/>
      </c>
      <c r="AU51" s="32">
        <f>IFERROR(Upgrades!$K$8*(POWER(Upgrades!$Q$6,E51)*POWER(Upgrades!$Q$7,F51)*POWER(Upgrades!$Q$8,G51)*POWER(Upgrades!$Q$9,H51)*POWER(Upgrades!$Q$10,I51)*POWER(Upgrades!$Q$11,J51)*POWER(Upgrades!$Q$12,K51))*(IF(Upgrades!$T$6="Stellar Coupling",POWER(Upgrades!$U$6,E51),1)*IF(Upgrades!$T$7="Stellar Coupling",POWER(Upgrades!$U$7,F51),1)*IF(Upgrades!$T$9="Stellar Coupling",POWER(Upgrades!$U$9,H51),1)*IF(Upgrades!$T$10="Stellar Coupling",POWER(Upgrades!$U$10,I51),1)*IF(Upgrades!$T$11="Stellar Coupling",POWER(Upgrades!$U$11,J51),1)*IF(Upgrades!$T$12="Stellar Coupling",POWER(Upgrades!$U$12,K51),1))*Parameters!$B$10*Parameters!$B$11/60/AI51,0)</f>
        <v/>
      </c>
      <c r="AV51" s="32">
        <f>IFERROR(Upgrades!$H$9*(POWER(Upgrades!$P$6,E51)*POWER(Upgrades!$P$7,F51)*POWER(Upgrades!$P$8,G51)*POWER(Upgrades!$P$9,H51)*POWER(Upgrades!$P$10,I51)*POWER(Upgrades!$P$11,J51)*POWER(Upgrades!$P$12,K51))*(IF(Upgrades!$T$6="Magnetosphere",POWER(Upgrades!$U$6,E51),1)*IF(Upgrades!$T$7="Magnetosphere",POWER(Upgrades!$U$7,F51),1)*IF(Upgrades!$T$8="Magnetosphere",POWER(Upgrades!$U$8,G51),1)*IF(Upgrades!$T$10="Magnetosphere",POWER(Upgrades!$U$10,I51),1)*IF(Upgrades!$T$11="Magnetosphere",POWER(Upgrades!$U$11,J51),1)*IF(Upgrades!$T$12="Magnetosphere",POWER(Upgrades!$U$12,K51),1))/AJ51,0)</f>
        <v/>
      </c>
      <c r="AW51" s="32">
        <f>MAX(IF(I51&gt;0,0,IFERROR(0.25*N51/Upgrades!$C$10,0)),IF(J51&gt;0,0,IFERROR(0.5*((IF(G51=0,0,(Upgrades!$J$8+G51*Upgrades!$K$8)*POWER(Upgrades!$L$8,G51)))*(IF(Upgrades!$T$6="Stellar Coupling",POWER(Upgrades!$U$6,E51),1)*IF(Upgrades!$T$7="Stellar Coupling",POWER(Upgrades!$U$7,F51),1)*IF(Upgrades!$T$9="Stellar Coupling",POWER(Upgrades!$U$9,H51),1)*IF(Upgrades!$T$10="Stellar Coupling",POWER(Upgrades!$U$10,I51),1)*IF(Upgrades!$T$11="Stellar Coupling",POWER(Upgrades!$U$11,J51),1)*IF(Upgrades!$T$12="Stellar Coupling",POWER(Upgrades!$U$12,K51),1))*(POWER(Upgrades!$Q$6,E51)*POWER(Upgrades!$Q$7,F51)*POWER(Upgrades!$Q$8,G51)*POWER(Upgrades!$Q$9,H51)*POWER(Upgrades!$Q$10,I51)*POWER(Upgrades!$Q$11,J51)*POWER(Upgrades!$Q$12,K51))*Parameters!$B$10*Parameters!$B$11/60)/Upgrades!$C$11,0)),IF(K51&gt;0,0,IFERROR((1.0*(POWER(Upgrades!$P$6,E51)*POWER(Upgrades!$P$7,F51)*POWER(Upgrades!$P$8,G51)*POWER(Upgrades!$P$9,H51)*POWER(Upgrades!$P$10,I51)*POWER(Upgrades!$P$11,J51)*POWER(Upgrades!$P$12,K51))+0.20*M51*Parameters!$B$10*Parameters!$B$11/60)/Upgrades!$C$12,0)),IF(AND(ISNUMBER(AG51),AG51&gt;T51),AS51,0),IF(AND(ISNUMBER(AH51),AH51&gt;T51),AT51,0),IF(AND(ISNUMBER(AI51),AI51&gt;T51),AU51,0),IF(AND(ISNUMBER(AJ51),AJ51&gt;T51),AV51,0))</f>
        <v/>
      </c>
      <c r="AX51" s="29">
        <f>IF(AN51=1,"transition",IF(MIN(IF(AND(I51=0,ISNUMBER(AK51),AK51&lt;=T51),AK51,9E15),IF(AND(J51=0,ISNUMBER(AL51),AL51&lt;=T51),AL51,9E15),IF(AND(K51=0,ISNUMBER(AM51),AM51&lt;=T51),AM51,9E15))&lt;9E15,IF(AND(AND(I51=0,ISNUMBER(AK51),AK51&lt;=T51),AK51=MIN(IF(AND(I51=0,ISNUMBER(AK51),AK51&lt;=T51),AK51,9E15),IF(AND(J51=0,ISNUMBER(AL51),AL51&lt;=T51),AL51,9E15),IF(AND(K51=0,ISNUMBER(AM51),AM51&lt;=T51),AM51,9E15))),"OR",IF(AND(AND(J51=0,ISNUMBER(AL51),AL51&lt;=T51),AL51=MIN(IF(AND(I51=0,ISNUMBER(AK51),AK51&lt;=T51),AK51,9E15),IF(AND(J51=0,ISNUMBER(AL51),AL51&lt;=T51),AL51,9E15),IF(AND(K51=0,ISNUMBER(AM51),AM51&lt;=T51),AM51,9E15))),"HP","FP")),IF(AR51=TRUE,"",IF(MAX(IF(AND(NOT(AND(AO51=1,AN51&lt;&gt;1)),ISNUMBER(AG51),AG51&lt;=T51),AS51,0),IF(AND(NOT(AND(AO51=1,AN51&lt;&gt;1)),ISNUMBER(AH51),AH51&lt;=T51),AT51,0),IF(AND(NOT(AND(AO51=1,AN51&lt;&gt;1)),ISNUMBER(AI51),AI51&lt;=T51),AU51,0),IF(AND(ISNUMBER(AJ51),AJ51&lt;=T51),AV51,0))&lt;=0,"",IF(AND(IF(AND(NOT(AND(AO51=1,AN51&lt;&gt;1)),ISNUMBER(AG51),AG51&lt;=T51),AS51,0)&gt;0,IF(AND(NOT(AND(AO51=1,AN51&lt;&gt;1)),ISNUMBER(AG51),AG51&lt;=T51),AS51,0)=MAX(IF(AND(NOT(AND(AO51=1,AN51&lt;&gt;1)),ISNUMBER(AG51),AG51&lt;=T51),AS51,0),IF(AND(NOT(AND(AO51=1,AN51&lt;&gt;1)),ISNUMBER(AH51),AH51&lt;=T51),AT51,0),IF(AND(NOT(AND(AO51=1,AN51&lt;&gt;1)),ISNUMBER(AI51),AI51&lt;=T51),AU51,0),IF(AND(ISNUMBER(AJ51),AJ51&lt;=T51),AV51,0))),"SW",IF(AND(IF(AND(NOT(AND(AO51=1,AN51&lt;&gt;1)),ISNUMBER(AH51),AH51&lt;=T51),AT51,0)&gt;0,IF(AND(NOT(AND(AO51=1,AN51&lt;&gt;1)),ISNUMBER(AH51),AH51&lt;=T51),AT51,0)=MAX(IF(AND(NOT(AND(AO51=1,AN51&lt;&gt;1)),ISNUMBER(AG51),AG51&lt;=T51),AS51,0),IF(AND(NOT(AND(AO51=1,AN51&lt;&gt;1)),ISNUMBER(AH51),AH51&lt;=T51),AT51,0),IF(AND(NOT(AND(AO51=1,AN51&lt;&gt;1)),ISNUMBER(AI51),AI51&lt;=T51),AU51,0),IF(AND(ISNUMBER(AJ51),AJ51&lt;=T51),AV51,0))),"AB",IF(AND(IF(AND(NOT(AND(AO51=1,AN51&lt;&gt;1)),ISNUMBER(AI51),AI51&lt;=T51),AU51,0)&gt;0,IF(AND(NOT(AND(AO51=1,AN51&lt;&gt;1)),ISNUMBER(AI51),AI51&lt;=T51),AU51,0)=MAX(IF(AND(NOT(AND(AO51=1,AN51&lt;&gt;1)),ISNUMBER(AG51),AG51&lt;=T51),AS51,0),IF(AND(NOT(AND(AO51=1,AN51&lt;&gt;1)),ISNUMBER(AH51),AH51&lt;=T51),AT51,0),IF(AND(NOT(AND(AO51=1,AN51&lt;&gt;1)),ISNUMBER(AI51),AI51&lt;=T51),AU51,0),IF(AND(ISNUMBER(AJ51),AJ51&lt;=T51),AV51,0))),"SC","Mag")))))))</f>
        <v/>
      </c>
    </row>
    <row r="52">
      <c r="A52" s="26" t="n">
        <v>47</v>
      </c>
      <c r="B52" s="27">
        <f>A52*10/60</f>
        <v/>
      </c>
      <c r="C52" s="22">
        <f>X51</f>
        <v/>
      </c>
      <c r="D52" s="27">
        <f>D51+W51</f>
        <v/>
      </c>
      <c r="E52" s="26">
        <f>E51+IF(U51="SW",1,0)</f>
        <v/>
      </c>
      <c r="F52" s="26">
        <f>F51+IF(U51="AB",1,0)</f>
        <v/>
      </c>
      <c r="G52" s="26">
        <f>G51+IF(U51="SC",1,0)</f>
        <v/>
      </c>
      <c r="H52" s="26">
        <f>H51+IF(U51="Mag",1,0)</f>
        <v/>
      </c>
      <c r="I52" s="26">
        <f>MAX(I51,IF(U51="OR",1,0))</f>
        <v/>
      </c>
      <c r="J52" s="26">
        <f>MAX(J51,IF(U51="HP",1,0))</f>
        <v/>
      </c>
      <c r="K52" s="26">
        <f>MAX(K51,IF(U51="FP",1,0))</f>
        <v/>
      </c>
      <c r="L52" s="26">
        <f>MAX(L51,IF(U51="transition",1,0))</f>
        <v/>
      </c>
      <c r="M52" s="28">
        <f>(Parameters!$B$9+(IF(E52=0,0,(Upgrades!$J$6+E52*Upgrades!$K$6)*POWER(Upgrades!$L$6,E52)))*(IF(Upgrades!$T$7="Solar Wind",POWER(Upgrades!$U$7,F52),1)*IF(Upgrades!$T$8="Solar Wind",POWER(Upgrades!$U$8,G52),1)*IF(Upgrades!$T$9="Solar Wind",POWER(Upgrades!$U$9,H52),1)*IF(Upgrades!$T$10="Solar Wind",POWER(Upgrades!$U$10,I52),1)*IF(Upgrades!$T$11="Solar Wind",POWER(Upgrades!$U$11,J52),1)*IF(Upgrades!$T$12="Solar Wind",POWER(Upgrades!$U$12,K52),1))+(IF(F52=0,0,(Upgrades!$J$7+F52*Upgrades!$K$7)*POWER(Upgrades!$L$7,F52)))*(IF(Upgrades!$T$6="Asteroid Belt",POWER(Upgrades!$U$6,E52),1)*IF(Upgrades!$T$8="Asteroid Belt",POWER(Upgrades!$U$8,G52),1)*IF(Upgrades!$T$9="Asteroid Belt",POWER(Upgrades!$U$9,H52),1)*IF(Upgrades!$T$10="Asteroid Belt",POWER(Upgrades!$U$10,I52),1)*IF(Upgrades!$T$11="Asteroid Belt",POWER(Upgrades!$U$11,J52),1)*IF(Upgrades!$T$12="Asteroid Belt",POWER(Upgrades!$U$12,K52),1))+(IF(G52=0,0,(Upgrades!$J$8+G52*Upgrades!$K$8)*POWER(Upgrades!$L$8,G52)))*(IF(Upgrades!$T$6="Stellar Coupling",POWER(Upgrades!$U$6,E52),1)*IF(Upgrades!$T$7="Stellar Coupling",POWER(Upgrades!$U$7,F52),1)*IF(Upgrades!$T$9="Stellar Coupling",POWER(Upgrades!$U$9,H52),1)*IF(Upgrades!$T$10="Stellar Coupling",POWER(Upgrades!$U$10,I52),1)*IF(Upgrades!$T$11="Stellar Coupling",POWER(Upgrades!$U$11,J52),1)*IF(Upgrades!$T$12="Stellar Coupling",POWER(Upgrades!$U$12,K52),1))+(IF(H52=0,0,(Upgrades!$J$9+H52*Upgrades!$K$9)*POWER(Upgrades!$L$9,H52)))*(IF(Upgrades!$T$6="Magnetosphere",POWER(Upgrades!$U$6,E52),1)*IF(Upgrades!$T$7="Magnetosphere",POWER(Upgrades!$U$7,F52),1)*IF(Upgrades!$T$8="Magnetosphere",POWER(Upgrades!$U$8,G52),1)*IF(Upgrades!$T$10="Magnetosphere",POWER(Upgrades!$U$10,I52),1)*IF(Upgrades!$T$11="Magnetosphere",POWER(Upgrades!$U$11,J52),1)*IF(Upgrades!$T$12="Magnetosphere",POWER(Upgrades!$U$12,K52),1))+(IF(I52=0,0,(Upgrades!$J$10+I52*Upgrades!$K$10)*POWER(Upgrades!$L$10,I52)))*(IF(Upgrades!$T$6="Orbital Resonance",POWER(Upgrades!$U$6,E52),1)*IF(Upgrades!$T$7="Orbital Resonance",POWER(Upgrades!$U$7,F52),1)*IF(Upgrades!$T$8="Orbital Resonance",POWER(Upgrades!$U$8,G52),1)*IF(Upgrades!$T$9="Orbital Resonance",POWER(Upgrades!$U$9,H52),1)*IF(Upgrades!$T$11="Orbital Resonance",POWER(Upgrades!$U$11,J52),1)*IF(Upgrades!$T$12="Orbital Resonance",POWER(Upgrades!$U$12,K52),1))+(IF(J52=0,0,(Upgrades!$J$11+J52*Upgrades!$K$11)*POWER(Upgrades!$L$11,J52)))*(IF(Upgrades!$T$6="Heliopause",POWER(Upgrades!$U$6,E52),1)*IF(Upgrades!$T$7="Heliopause",POWER(Upgrades!$U$7,F52),1)*IF(Upgrades!$T$8="Heliopause",POWER(Upgrades!$U$8,G52),1)*IF(Upgrades!$T$9="Heliopause",POWER(Upgrades!$U$9,H52),1)*IF(Upgrades!$T$10="Heliopause",POWER(Upgrades!$U$10,I52),1)*IF(Upgrades!$T$12="Heliopause",POWER(Upgrades!$U$12,K52),1))+(IF(K52=0,0,(Upgrades!$J$12+K52*Upgrades!$K$12)*POWER(Upgrades!$L$12,K52)))*(IF(Upgrades!$T$6="First Photons",POWER(Upgrades!$U$6,E52),1)*IF(Upgrades!$T$7="First Photons",POWER(Upgrades!$U$7,F52),1)*IF(Upgrades!$T$8="First Photons",POWER(Upgrades!$U$8,G52),1)*IF(Upgrades!$T$9="First Photons",POWER(Upgrades!$U$9,H52),1)*IF(Upgrades!$T$10="First Photons",POWER(Upgrades!$U$10,I52),1)*IF(Upgrades!$T$11="First Photons",POWER(Upgrades!$U$11,J52),1)))*POWER(Upgrades!$Q$6,E52)*POWER(Upgrades!$Q$7,F52)*POWER(Upgrades!$Q$8,G52)*POWER(Upgrades!$Q$9,H52)*POWER(Upgrades!$Q$10,I52)*POWER(Upgrades!$Q$11,J52)*POWER(Upgrades!$Q$12,K52)</f>
        <v/>
      </c>
      <c r="N52" s="28">
        <f>((IF(E52=0,0,(Upgrades!$G$6+E52*Upgrades!$H$6)*POWER(Upgrades!$I$6,E52)))*(IF(Upgrades!$T$7="Solar Wind",POWER(Upgrades!$U$7,F52),1)*IF(Upgrades!$T$8="Solar Wind",POWER(Upgrades!$U$8,G52),1)*IF(Upgrades!$T$9="Solar Wind",POWER(Upgrades!$U$9,H52),1)*IF(Upgrades!$T$10="Solar Wind",POWER(Upgrades!$U$10,I52),1)*IF(Upgrades!$T$11="Solar Wind",POWER(Upgrades!$U$11,J52),1)*IF(Upgrades!$T$12="Solar Wind",POWER(Upgrades!$U$12,K52),1))+(IF(F52=0,0,(Upgrades!$G$7+F52*Upgrades!$H$7)*POWER(Upgrades!$I$7,F52)))*(IF(Upgrades!$T$6="Asteroid Belt",POWER(Upgrades!$U$6,E52),1)*IF(Upgrades!$T$8="Asteroid Belt",POWER(Upgrades!$U$8,G52),1)*IF(Upgrades!$T$9="Asteroid Belt",POWER(Upgrades!$U$9,H52),1)*IF(Upgrades!$T$10="Asteroid Belt",POWER(Upgrades!$U$10,I52),1)*IF(Upgrades!$T$11="Asteroid Belt",POWER(Upgrades!$U$11,J52),1)*IF(Upgrades!$T$12="Asteroid Belt",POWER(Upgrades!$U$12,K52),1))+(IF(G52=0,0,(Upgrades!$G$8+G52*Upgrades!$H$8)*POWER(Upgrades!$I$8,G52)))*(IF(Upgrades!$T$6="Stellar Coupling",POWER(Upgrades!$U$6,E52),1)*IF(Upgrades!$T$7="Stellar Coupling",POWER(Upgrades!$U$7,F52),1)*IF(Upgrades!$T$9="Stellar Coupling",POWER(Upgrades!$U$9,H52),1)*IF(Upgrades!$T$10="Stellar Coupling",POWER(Upgrades!$U$10,I52),1)*IF(Upgrades!$T$11="Stellar Coupling",POWER(Upgrades!$U$11,J52),1)*IF(Upgrades!$T$12="Stellar Coupling",POWER(Upgrades!$U$12,K52),1))+(IF(H52=0,0,(Upgrades!$G$9+H52*Upgrades!$H$9)*POWER(Upgrades!$I$9,H52)))*(IF(Upgrades!$T$6="Magnetosphere",POWER(Upgrades!$U$6,E52),1)*IF(Upgrades!$T$7="Magnetosphere",POWER(Upgrades!$U$7,F52),1)*IF(Upgrades!$T$8="Magnetosphere",POWER(Upgrades!$U$8,G52),1)*IF(Upgrades!$T$10="Magnetosphere",POWER(Upgrades!$U$10,I52),1)*IF(Upgrades!$T$11="Magnetosphere",POWER(Upgrades!$U$11,J52),1)*IF(Upgrades!$T$12="Magnetosphere",POWER(Upgrades!$U$12,K52),1))+(IF(I52=0,0,(Upgrades!$G$10+I52*Upgrades!$H$10)*POWER(Upgrades!$I$10,I52)))*(IF(Upgrades!$T$6="Orbital Resonance",POWER(Upgrades!$U$6,E52),1)*IF(Upgrades!$T$7="Orbital Resonance",POWER(Upgrades!$U$7,F52),1)*IF(Upgrades!$T$8="Orbital Resonance",POWER(Upgrades!$U$8,G52),1)*IF(Upgrades!$T$9="Orbital Resonance",POWER(Upgrades!$U$9,H52),1)*IF(Upgrades!$T$11="Orbital Resonance",POWER(Upgrades!$U$11,J52),1)*IF(Upgrades!$T$12="Orbital Resonance",POWER(Upgrades!$U$12,K52),1))+(IF(J52=0,0,(Upgrades!$G$11+J52*Upgrades!$H$11)*POWER(Upgrades!$I$11,J52)))*(IF(Upgrades!$T$6="Heliopause",POWER(Upgrades!$U$6,E52),1)*IF(Upgrades!$T$7="Heliopause",POWER(Upgrades!$U$7,F52),1)*IF(Upgrades!$T$8="Heliopause",POWER(Upgrades!$U$8,G52),1)*IF(Upgrades!$T$9="Heliopause",POWER(Upgrades!$U$9,H52),1)*IF(Upgrades!$T$10="Heliopause",POWER(Upgrades!$U$10,I52),1)*IF(Upgrades!$T$12="Heliopause",POWER(Upgrades!$U$12,K52),1))+(IF(K52=0,0,(Upgrades!$G$12+K52*Upgrades!$H$12)*POWER(Upgrades!$I$12,K52)))*(IF(Upgrades!$T$6="First Photons",POWER(Upgrades!$U$6,E52),1)*IF(Upgrades!$T$7="First Photons",POWER(Upgrades!$U$7,F52),1)*IF(Upgrades!$T$8="First Photons",POWER(Upgrades!$U$8,G52),1)*IF(Upgrades!$T$9="First Photons",POWER(Upgrades!$U$9,H52),1)*IF(Upgrades!$T$10="First Photons",POWER(Upgrades!$U$10,I52),1)*IF(Upgrades!$T$11="First Photons",POWER(Upgrades!$U$11,J52),1)))*POWER(Upgrades!$P$6,E52)*POWER(Upgrades!$P$7,F52)*POWER(Upgrades!$P$8,G52)*POWER(Upgrades!$P$9,H52)*POWER(Upgrades!$P$10,I52)*POWER(Upgrades!$P$11,J52)*POWER(Upgrades!$P$12,K52)</f>
        <v/>
      </c>
      <c r="O52" s="28">
        <f>((IF(E52=0,0,(Upgrades!$M$6+E52*Upgrades!$N$6)*POWER(Upgrades!$O$6,E52)))*(IF(Upgrades!$T$7="Solar Wind",POWER(Upgrades!$U$7,F52),1)*IF(Upgrades!$T$8="Solar Wind",POWER(Upgrades!$U$8,G52),1)*IF(Upgrades!$T$9="Solar Wind",POWER(Upgrades!$U$9,H52),1)*IF(Upgrades!$T$10="Solar Wind",POWER(Upgrades!$U$10,I52),1)*IF(Upgrades!$T$11="Solar Wind",POWER(Upgrades!$U$11,J52),1)*IF(Upgrades!$T$12="Solar Wind",POWER(Upgrades!$U$12,K52),1))+(IF(F52=0,0,(Upgrades!$M$7+F52*Upgrades!$N$7)*POWER(Upgrades!$O$7,F52)))*(IF(Upgrades!$T$6="Asteroid Belt",POWER(Upgrades!$U$6,E52),1)*IF(Upgrades!$T$8="Asteroid Belt",POWER(Upgrades!$U$8,G52),1)*IF(Upgrades!$T$9="Asteroid Belt",POWER(Upgrades!$U$9,H52),1)*IF(Upgrades!$T$10="Asteroid Belt",POWER(Upgrades!$U$10,I52),1)*IF(Upgrades!$T$11="Asteroid Belt",POWER(Upgrades!$U$11,J52),1)*IF(Upgrades!$T$12="Asteroid Belt",POWER(Upgrades!$U$12,K52),1))+(IF(G52=0,0,(Upgrades!$M$8+G52*Upgrades!$N$8)*POWER(Upgrades!$O$8,G52)))*(IF(Upgrades!$T$6="Stellar Coupling",POWER(Upgrades!$U$6,E52),1)*IF(Upgrades!$T$7="Stellar Coupling",POWER(Upgrades!$U$7,F52),1)*IF(Upgrades!$T$9="Stellar Coupling",POWER(Upgrades!$U$9,H52),1)*IF(Upgrades!$T$10="Stellar Coupling",POWER(Upgrades!$U$10,I52),1)*IF(Upgrades!$T$11="Stellar Coupling",POWER(Upgrades!$U$11,J52),1)*IF(Upgrades!$T$12="Stellar Coupling",POWER(Upgrades!$U$12,K52),1))+(IF(H52=0,0,(Upgrades!$M$9+H52*Upgrades!$N$9)*POWER(Upgrades!$O$9,H52)))*(IF(Upgrades!$T$6="Magnetosphere",POWER(Upgrades!$U$6,E52),1)*IF(Upgrades!$T$7="Magnetosphere",POWER(Upgrades!$U$7,F52),1)*IF(Upgrades!$T$8="Magnetosphere",POWER(Upgrades!$U$8,G52),1)*IF(Upgrades!$T$10="Magnetosphere",POWER(Upgrades!$U$10,I52),1)*IF(Upgrades!$T$11="Magnetosphere",POWER(Upgrades!$U$11,J52),1)*IF(Upgrades!$T$12="Magnetosphere",POWER(Upgrades!$U$12,K52),1))+(IF(I52=0,0,(Upgrades!$M$10+I52*Upgrades!$N$10)*POWER(Upgrades!$O$10,I52)))*(IF(Upgrades!$T$6="Orbital Resonance",POWER(Upgrades!$U$6,E52),1)*IF(Upgrades!$T$7="Orbital Resonance",POWER(Upgrades!$U$7,F52),1)*IF(Upgrades!$T$8="Orbital Resonance",POWER(Upgrades!$U$8,G52),1)*IF(Upgrades!$T$9="Orbital Resonance",POWER(Upgrades!$U$9,H52),1)*IF(Upgrades!$T$11="Orbital Resonance",POWER(Upgrades!$U$11,J52),1)*IF(Upgrades!$T$12="Orbital Resonance",POWER(Upgrades!$U$12,K52),1))+(IF(J52=0,0,(Upgrades!$M$11+J52*Upgrades!$N$11)*POWER(Upgrades!$O$11,J52)))*(IF(Upgrades!$T$6="Heliopause",POWER(Upgrades!$U$6,E52),1)*IF(Upgrades!$T$7="Heliopause",POWER(Upgrades!$U$7,F52),1)*IF(Upgrades!$T$8="Heliopause",POWER(Upgrades!$U$8,G52),1)*IF(Upgrades!$T$9="Heliopause",POWER(Upgrades!$U$9,H52),1)*IF(Upgrades!$T$10="Heliopause",POWER(Upgrades!$U$10,I52),1)*IF(Upgrades!$T$12="Heliopause",POWER(Upgrades!$U$12,K52),1))+(IF(K52=0,0,(Upgrades!$M$12+K52*Upgrades!$N$12)*POWER(Upgrades!$O$12,K52)))*(IF(Upgrades!$T$6="First Photons",POWER(Upgrades!$U$6,E52),1)*IF(Upgrades!$T$7="First Photons",POWER(Upgrades!$U$7,F52),1)*IF(Upgrades!$T$8="First Photons",POWER(Upgrades!$U$8,G52),1)*IF(Upgrades!$T$9="First Photons",POWER(Upgrades!$U$9,H52),1)*IF(Upgrades!$T$10="First Photons",POWER(Upgrades!$U$10,I52),1)*IF(Upgrades!$T$11="First Photons",POWER(Upgrades!$U$11,J52),1)))*POWER(Upgrades!$R$6,E52)*POWER(Upgrades!$R$7,F52)*POWER(Upgrades!$R$8,G52)*POWER(Upgrades!$R$9,H52)*POWER(Upgrades!$R$10,I52)*POWER(Upgrades!$R$11,J52)*POWER(Upgrades!$R$12,K52)</f>
        <v/>
      </c>
      <c r="P52" s="27">
        <f>IF(L52=1,0,M52*Parameters!$B$10/60*Parameters!$B$11*10)</f>
        <v/>
      </c>
      <c r="Q52" s="27">
        <f>IF(L52=1,0,O52*M52*10)</f>
        <v/>
      </c>
      <c r="R52" s="27">
        <f>IF(L52=1,0,N52*10)</f>
        <v/>
      </c>
      <c r="S52" s="27">
        <f>P52+Q52+R52</f>
        <v/>
      </c>
      <c r="T52" s="22">
        <f>C52+S52</f>
        <v/>
      </c>
      <c r="U52" s="33">
        <f>AX52</f>
        <v/>
      </c>
      <c r="V52" s="22">
        <f>IF(U52="",0,IF(U52="transition",0,IF(U52="SW",AG52,IF(U52="AB",AH52,IF(U52="SC",AI52,IF(U52="Mag",AJ52,IF(U52="OR",AK52,IF(U52="HP",AL52,IF(U52="FP",AM52,0)))))))))</f>
        <v/>
      </c>
      <c r="W52" s="27">
        <f>IF(U52="OR",Upgrades!$F$10,IF(U52="HP",Upgrades!$F$11,IF(U52="transition",-Parameters!$B$18,0)))</f>
        <v/>
      </c>
      <c r="X52" s="22">
        <f>T52-V52</f>
        <v/>
      </c>
      <c r="Y52" s="30">
        <f>M52*Parameters!$B$10/60*Parameters!$B$11+O52*M52+N52</f>
        <v/>
      </c>
      <c r="Z52" s="34">
        <f>IF(U52="transition","→ Tier 2 (Stellar Neighborhood)",IF(U52="FP","First Photons — light begins, system quickens",IF(U52="HP","Heliopause acquired",IF(U52="OR","Orbital Resonance — passive multiplier active",IF(AND(AO52=1,L52=0,AN52&lt;&gt;1),"Cohesion ready (waiting on completionist upgrades)","")))))</f>
        <v/>
      </c>
      <c r="AA52" s="27">
        <f>(IF(E52=0,0,(Upgrades!$G$6+E52*Upgrades!$H$6)*POWER(Upgrades!$I$6,E52)))*(IF(Upgrades!$T$7="Solar Wind",POWER(Upgrades!$U$7,F52),1)*IF(Upgrades!$T$8="Solar Wind",POWER(Upgrades!$U$8,G52),1)*IF(Upgrades!$T$9="Solar Wind",POWER(Upgrades!$U$9,H52),1)*IF(Upgrades!$T$10="Solar Wind",POWER(Upgrades!$U$10,I52),1)*IF(Upgrades!$T$11="Solar Wind",POWER(Upgrades!$U$11,J52),1)*IF(Upgrades!$T$12="Solar Wind",POWER(Upgrades!$U$12,K52),1))*POWER(Upgrades!$P$6,E52)*POWER(Upgrades!$P$7,F52)*POWER(Upgrades!$P$8,G52)*POWER(Upgrades!$P$9,H52)*POWER(Upgrades!$P$10,I52)*POWER(Upgrades!$P$11,J52)*POWER(Upgrades!$P$12,K52)*60</f>
        <v/>
      </c>
      <c r="AB52" s="27">
        <f>(IF(F52=0,0,(Upgrades!$G$7+F52*Upgrades!$H$7)*POWER(Upgrades!$I$7,F52)))*(IF(Upgrades!$T$6="Asteroid Belt",POWER(Upgrades!$U$6,E52),1)*IF(Upgrades!$T$8="Asteroid Belt",POWER(Upgrades!$U$8,G52),1)*IF(Upgrades!$T$9="Asteroid Belt",POWER(Upgrades!$U$9,H52),1)*IF(Upgrades!$T$10="Asteroid Belt",POWER(Upgrades!$U$10,I52),1)*IF(Upgrades!$T$11="Asteroid Belt",POWER(Upgrades!$U$11,J52),1)*IF(Upgrades!$T$12="Asteroid Belt",POWER(Upgrades!$U$12,K52),1))*POWER(Upgrades!$P$6,E52)*POWER(Upgrades!$P$7,F52)*POWER(Upgrades!$P$8,G52)*POWER(Upgrades!$P$9,H52)*POWER(Upgrades!$P$10,I52)*POWER(Upgrades!$P$11,J52)*POWER(Upgrades!$P$12,K52)*60</f>
        <v/>
      </c>
      <c r="AC52" s="27">
        <f>(IF(G52=0,0,(Upgrades!$J$8+G52*Upgrades!$K$8)*POWER(Upgrades!$L$8,G52)))*(IF(Upgrades!$T$6="Stellar Coupling",POWER(Upgrades!$U$6,E52),1)*IF(Upgrades!$T$7="Stellar Coupling",POWER(Upgrades!$U$7,F52),1)*IF(Upgrades!$T$9="Stellar Coupling",POWER(Upgrades!$U$9,H52),1)*IF(Upgrades!$T$10="Stellar Coupling",POWER(Upgrades!$U$10,I52),1)*IF(Upgrades!$T$11="Stellar Coupling",POWER(Upgrades!$U$11,J52),1)*IF(Upgrades!$T$12="Stellar Coupling",POWER(Upgrades!$U$12,K52),1))*POWER(Upgrades!$Q$6,E52)*POWER(Upgrades!$Q$7,F52)*POWER(Upgrades!$Q$8,G52)*POWER(Upgrades!$Q$9,H52)*POWER(Upgrades!$Q$10,I52)*POWER(Upgrades!$Q$11,J52)*POWER(Upgrades!$Q$12,K52)*Parameters!$B$10*Parameters!$B$11</f>
        <v/>
      </c>
      <c r="AD52" s="27">
        <f>(IF(H52=0,0,(Upgrades!$G$9+H52*Upgrades!$H$9)*POWER(Upgrades!$I$9,H52)))*(IF(Upgrades!$T$6="Magnetosphere",POWER(Upgrades!$U$6,E52),1)*IF(Upgrades!$T$7="Magnetosphere",POWER(Upgrades!$U$7,F52),1)*IF(Upgrades!$T$8="Magnetosphere",POWER(Upgrades!$U$8,G52),1)*IF(Upgrades!$T$10="Magnetosphere",POWER(Upgrades!$U$10,I52),1)*IF(Upgrades!$T$11="Magnetosphere",POWER(Upgrades!$U$11,J52),1)*IF(Upgrades!$T$12="Magnetosphere",POWER(Upgrades!$U$12,K52),1))*POWER(Upgrades!$P$6,E52)*POWER(Upgrades!$P$7,F52)*POWER(Upgrades!$P$8,G52)*POWER(Upgrades!$P$9,H52)*POWER(Upgrades!$P$10,I52)*POWER(Upgrades!$P$11,J52)*POWER(Upgrades!$P$12,K52)*60</f>
        <v/>
      </c>
      <c r="AE52" s="27">
        <f>(IF(K52=0,0,(Upgrades!$G$12+K52*Upgrades!$H$12)*POWER(Upgrades!$I$12,K52)))*(IF(Upgrades!$T$6="First Photons",POWER(Upgrades!$U$6,E52),1)*IF(Upgrades!$T$7="First Photons",POWER(Upgrades!$U$7,F52),1)*IF(Upgrades!$T$8="First Photons",POWER(Upgrades!$U$8,G52),1)*IF(Upgrades!$T$9="First Photons",POWER(Upgrades!$U$9,H52),1)*IF(Upgrades!$T$10="First Photons",POWER(Upgrades!$U$10,I52),1)*IF(Upgrades!$T$11="First Photons",POWER(Upgrades!$U$11,J52),1))*POWER(Upgrades!$P$6,E52)*POWER(Upgrades!$P$7,F52)*POWER(Upgrades!$P$8,G52)*POWER(Upgrades!$P$9,H52)*POWER(Upgrades!$P$10,I52)*POWER(Upgrades!$P$11,J52)*POWER(Upgrades!$P$12,K52)*60</f>
        <v/>
      </c>
      <c r="AF52" s="27">
        <f>Parameters!$B$9*POWER(Upgrades!$Q$6,E52)*POWER(Upgrades!$Q$7,F52)*POWER(Upgrades!$Q$8,G52)*POWER(Upgrades!$Q$9,H52)*POWER(Upgrades!$Q$10,I52)*POWER(Upgrades!$Q$11,J52)*POWER(Upgrades!$Q$12,K52)*(Parameters!$B$10*Parameters!$B$11+O52*60)</f>
        <v/>
      </c>
      <c r="AG52" s="22">
        <f>IF(E52&gt;=Upgrades!$E$6,"",Upgrades!$C$6*POWER(Upgrades!$D$6,E52))</f>
        <v/>
      </c>
      <c r="AH52" s="22">
        <f>IF(F52&gt;=Upgrades!$E$7,"",Upgrades!$C$7*POWER(Upgrades!$D$7,F52))</f>
        <v/>
      </c>
      <c r="AI52" s="22">
        <f>IF(G52&gt;=Upgrades!$E$8,"",Upgrades!$C$8*POWER(Upgrades!$D$8,G52))</f>
        <v/>
      </c>
      <c r="AJ52" s="22">
        <f>IF(H52&gt;=Upgrades!$E$9,"",Upgrades!$C$9*POWER(Upgrades!$D$9,H52))</f>
        <v/>
      </c>
      <c r="AK52" s="22">
        <f>IF(I52&gt;=Upgrades!$E$10,"",Upgrades!$C$10*POWER(Upgrades!$D$10,I52))</f>
        <v/>
      </c>
      <c r="AL52" s="22">
        <f>IF(J52&gt;=Upgrades!$E$11,"",Upgrades!$C$11*POWER(Upgrades!$D$11,J52))</f>
        <v/>
      </c>
      <c r="AM52" s="22">
        <f>IF(K52&gt;=Upgrades!$E$12,"",Upgrades!$C$12*POWER(Upgrades!$D$12,K52))</f>
        <v/>
      </c>
      <c r="AN52" s="26">
        <f>IF(AND(D52&gt;=Parameters!$B$18,(H52&gt;=Upgrades!$E$9)*(K52&gt;=Upgrades!$E$12)=1,L52=0),1,"")</f>
        <v/>
      </c>
      <c r="AO52" s="26">
        <f>IF(AND(D52&gt;=Parameters!$B$18,L52=0),1,"")</f>
        <v/>
      </c>
      <c r="AP52" s="22">
        <f>MIN(IF(ISNUMBER(AK52),AK52,9E15),IF(ISNUMBER(AL52),AL52,9E15),IF(ISNUMBER(AM52),AM52,9E15))</f>
        <v/>
      </c>
      <c r="AQ52" s="22">
        <f>MIN(IF(ISNUMBER(AG52),AG52,9E15),IF(ISNUMBER(AH52),AH52,9E15),IF(ISNUMBER(AI52),AI52,9E15),IF(ISNUMBER(AJ52),AJ52,9E15))</f>
        <v/>
      </c>
      <c r="AR52" s="29">
        <f>IF(AW52&gt;Parameters!$B$21*(MAX(IF(AND(NOT(AND(AO52=1,AN52&lt;&gt;1)),ISNUMBER(AG52),AG52&lt;=T52),AS52,0),IF(AND(NOT(AND(AO52=1,AN52&lt;&gt;1)),ISNUMBER(AH52),AH52&lt;=T52),AT52,0),IF(AND(NOT(AND(AO52=1,AN52&lt;&gt;1)),ISNUMBER(AI52),AI52&lt;=T52),AU52,0),IF(AND(ISNUMBER(AJ52),AJ52&lt;=T52),AV52,0))),TRUE,FALSE)</f>
        <v/>
      </c>
      <c r="AS52" s="32">
        <f>IFERROR(Upgrades!$H$6*(POWER(Upgrades!$P$6,E52)*POWER(Upgrades!$P$7,F52)*POWER(Upgrades!$P$8,G52)*POWER(Upgrades!$P$9,H52)*POWER(Upgrades!$P$10,I52)*POWER(Upgrades!$P$11,J52)*POWER(Upgrades!$P$12,K52))*(IF(Upgrades!$T$7="Solar Wind",POWER(Upgrades!$U$7,F52),1)*IF(Upgrades!$T$8="Solar Wind",POWER(Upgrades!$U$8,G52),1)*IF(Upgrades!$T$9="Solar Wind",POWER(Upgrades!$U$9,H52),1)*IF(Upgrades!$T$10="Solar Wind",POWER(Upgrades!$U$10,I52),1)*IF(Upgrades!$T$11="Solar Wind",POWER(Upgrades!$U$11,J52),1)*IF(Upgrades!$T$12="Solar Wind",POWER(Upgrades!$U$12,K52),1))/AG52,0)</f>
        <v/>
      </c>
      <c r="AT52" s="32">
        <f>IFERROR(Upgrades!$H$7*(POWER(Upgrades!$P$6,E52)*POWER(Upgrades!$P$7,F52)*POWER(Upgrades!$P$8,G52)*POWER(Upgrades!$P$9,H52)*POWER(Upgrades!$P$10,I52)*POWER(Upgrades!$P$11,J52)*POWER(Upgrades!$P$12,K52))*(IF(Upgrades!$T$6="Asteroid Belt",POWER(Upgrades!$U$6,E52),1)*IF(Upgrades!$T$8="Asteroid Belt",POWER(Upgrades!$U$8,G52),1)*IF(Upgrades!$T$9="Asteroid Belt",POWER(Upgrades!$U$9,H52),1)*IF(Upgrades!$T$10="Asteroid Belt",POWER(Upgrades!$U$10,I52),1)*IF(Upgrades!$T$11="Asteroid Belt",POWER(Upgrades!$U$11,J52),1)*IF(Upgrades!$T$12="Asteroid Belt",POWER(Upgrades!$U$12,K52),1))/AH52,0)</f>
        <v/>
      </c>
      <c r="AU52" s="32">
        <f>IFERROR(Upgrades!$K$8*(POWER(Upgrades!$Q$6,E52)*POWER(Upgrades!$Q$7,F52)*POWER(Upgrades!$Q$8,G52)*POWER(Upgrades!$Q$9,H52)*POWER(Upgrades!$Q$10,I52)*POWER(Upgrades!$Q$11,J52)*POWER(Upgrades!$Q$12,K52))*(IF(Upgrades!$T$6="Stellar Coupling",POWER(Upgrades!$U$6,E52),1)*IF(Upgrades!$T$7="Stellar Coupling",POWER(Upgrades!$U$7,F52),1)*IF(Upgrades!$T$9="Stellar Coupling",POWER(Upgrades!$U$9,H52),1)*IF(Upgrades!$T$10="Stellar Coupling",POWER(Upgrades!$U$10,I52),1)*IF(Upgrades!$T$11="Stellar Coupling",POWER(Upgrades!$U$11,J52),1)*IF(Upgrades!$T$12="Stellar Coupling",POWER(Upgrades!$U$12,K52),1))*Parameters!$B$10*Parameters!$B$11/60/AI52,0)</f>
        <v/>
      </c>
      <c r="AV52" s="32">
        <f>IFERROR(Upgrades!$H$9*(POWER(Upgrades!$P$6,E52)*POWER(Upgrades!$P$7,F52)*POWER(Upgrades!$P$8,G52)*POWER(Upgrades!$P$9,H52)*POWER(Upgrades!$P$10,I52)*POWER(Upgrades!$P$11,J52)*POWER(Upgrades!$P$12,K52))*(IF(Upgrades!$T$6="Magnetosphere",POWER(Upgrades!$U$6,E52),1)*IF(Upgrades!$T$7="Magnetosphere",POWER(Upgrades!$U$7,F52),1)*IF(Upgrades!$T$8="Magnetosphere",POWER(Upgrades!$U$8,G52),1)*IF(Upgrades!$T$10="Magnetosphere",POWER(Upgrades!$U$10,I52),1)*IF(Upgrades!$T$11="Magnetosphere",POWER(Upgrades!$U$11,J52),1)*IF(Upgrades!$T$12="Magnetosphere",POWER(Upgrades!$U$12,K52),1))/AJ52,0)</f>
        <v/>
      </c>
      <c r="AW52" s="32">
        <f>MAX(IF(I52&gt;0,0,IFERROR(0.25*N52/Upgrades!$C$10,0)),IF(J52&gt;0,0,IFERROR(0.5*((IF(G52=0,0,(Upgrades!$J$8+G52*Upgrades!$K$8)*POWER(Upgrades!$L$8,G52)))*(IF(Upgrades!$T$6="Stellar Coupling",POWER(Upgrades!$U$6,E52),1)*IF(Upgrades!$T$7="Stellar Coupling",POWER(Upgrades!$U$7,F52),1)*IF(Upgrades!$T$9="Stellar Coupling",POWER(Upgrades!$U$9,H52),1)*IF(Upgrades!$T$10="Stellar Coupling",POWER(Upgrades!$U$10,I52),1)*IF(Upgrades!$T$11="Stellar Coupling",POWER(Upgrades!$U$11,J52),1)*IF(Upgrades!$T$12="Stellar Coupling",POWER(Upgrades!$U$12,K52),1))*(POWER(Upgrades!$Q$6,E52)*POWER(Upgrades!$Q$7,F52)*POWER(Upgrades!$Q$8,G52)*POWER(Upgrades!$Q$9,H52)*POWER(Upgrades!$Q$10,I52)*POWER(Upgrades!$Q$11,J52)*POWER(Upgrades!$Q$12,K52))*Parameters!$B$10*Parameters!$B$11/60)/Upgrades!$C$11,0)),IF(K52&gt;0,0,IFERROR((1.0*(POWER(Upgrades!$P$6,E52)*POWER(Upgrades!$P$7,F52)*POWER(Upgrades!$P$8,G52)*POWER(Upgrades!$P$9,H52)*POWER(Upgrades!$P$10,I52)*POWER(Upgrades!$P$11,J52)*POWER(Upgrades!$P$12,K52))+0.20*M52*Parameters!$B$10*Parameters!$B$11/60)/Upgrades!$C$12,0)),IF(AND(ISNUMBER(AG52),AG52&gt;T52),AS52,0),IF(AND(ISNUMBER(AH52),AH52&gt;T52),AT52,0),IF(AND(ISNUMBER(AI52),AI52&gt;T52),AU52,0),IF(AND(ISNUMBER(AJ52),AJ52&gt;T52),AV52,0))</f>
        <v/>
      </c>
      <c r="AX52" s="29">
        <f>IF(AN52=1,"transition",IF(MIN(IF(AND(I52=0,ISNUMBER(AK52),AK52&lt;=T52),AK52,9E15),IF(AND(J52=0,ISNUMBER(AL52),AL52&lt;=T52),AL52,9E15),IF(AND(K52=0,ISNUMBER(AM52),AM52&lt;=T52),AM52,9E15))&lt;9E15,IF(AND(AND(I52=0,ISNUMBER(AK52),AK52&lt;=T52),AK52=MIN(IF(AND(I52=0,ISNUMBER(AK52),AK52&lt;=T52),AK52,9E15),IF(AND(J52=0,ISNUMBER(AL52),AL52&lt;=T52),AL52,9E15),IF(AND(K52=0,ISNUMBER(AM52),AM52&lt;=T52),AM52,9E15))),"OR",IF(AND(AND(J52=0,ISNUMBER(AL52),AL52&lt;=T52),AL52=MIN(IF(AND(I52=0,ISNUMBER(AK52),AK52&lt;=T52),AK52,9E15),IF(AND(J52=0,ISNUMBER(AL52),AL52&lt;=T52),AL52,9E15),IF(AND(K52=0,ISNUMBER(AM52),AM52&lt;=T52),AM52,9E15))),"HP","FP")),IF(AR52=TRUE,"",IF(MAX(IF(AND(NOT(AND(AO52=1,AN52&lt;&gt;1)),ISNUMBER(AG52),AG52&lt;=T52),AS52,0),IF(AND(NOT(AND(AO52=1,AN52&lt;&gt;1)),ISNUMBER(AH52),AH52&lt;=T52),AT52,0),IF(AND(NOT(AND(AO52=1,AN52&lt;&gt;1)),ISNUMBER(AI52),AI52&lt;=T52),AU52,0),IF(AND(ISNUMBER(AJ52),AJ52&lt;=T52),AV52,0))&lt;=0,"",IF(AND(IF(AND(NOT(AND(AO52=1,AN52&lt;&gt;1)),ISNUMBER(AG52),AG52&lt;=T52),AS52,0)&gt;0,IF(AND(NOT(AND(AO52=1,AN52&lt;&gt;1)),ISNUMBER(AG52),AG52&lt;=T52),AS52,0)=MAX(IF(AND(NOT(AND(AO52=1,AN52&lt;&gt;1)),ISNUMBER(AG52),AG52&lt;=T52),AS52,0),IF(AND(NOT(AND(AO52=1,AN52&lt;&gt;1)),ISNUMBER(AH52),AH52&lt;=T52),AT52,0),IF(AND(NOT(AND(AO52=1,AN52&lt;&gt;1)),ISNUMBER(AI52),AI52&lt;=T52),AU52,0),IF(AND(ISNUMBER(AJ52),AJ52&lt;=T52),AV52,0))),"SW",IF(AND(IF(AND(NOT(AND(AO52=1,AN52&lt;&gt;1)),ISNUMBER(AH52),AH52&lt;=T52),AT52,0)&gt;0,IF(AND(NOT(AND(AO52=1,AN52&lt;&gt;1)),ISNUMBER(AH52),AH52&lt;=T52),AT52,0)=MAX(IF(AND(NOT(AND(AO52=1,AN52&lt;&gt;1)),ISNUMBER(AG52),AG52&lt;=T52),AS52,0),IF(AND(NOT(AND(AO52=1,AN52&lt;&gt;1)),ISNUMBER(AH52),AH52&lt;=T52),AT52,0),IF(AND(NOT(AND(AO52=1,AN52&lt;&gt;1)),ISNUMBER(AI52),AI52&lt;=T52),AU52,0),IF(AND(ISNUMBER(AJ52),AJ52&lt;=T52),AV52,0))),"AB",IF(AND(IF(AND(NOT(AND(AO52=1,AN52&lt;&gt;1)),ISNUMBER(AI52),AI52&lt;=T52),AU52,0)&gt;0,IF(AND(NOT(AND(AO52=1,AN52&lt;&gt;1)),ISNUMBER(AI52),AI52&lt;=T52),AU52,0)=MAX(IF(AND(NOT(AND(AO52=1,AN52&lt;&gt;1)),ISNUMBER(AG52),AG52&lt;=T52),AS52,0),IF(AND(NOT(AND(AO52=1,AN52&lt;&gt;1)),ISNUMBER(AH52),AH52&lt;=T52),AT52,0),IF(AND(NOT(AND(AO52=1,AN52&lt;&gt;1)),ISNUMBER(AI52),AI52&lt;=T52),AU52,0),IF(AND(ISNUMBER(AJ52),AJ52&lt;=T52),AV52,0))),"SC","Mag")))))))</f>
        <v/>
      </c>
    </row>
    <row r="53">
      <c r="A53" s="26" t="n">
        <v>48</v>
      </c>
      <c r="B53" s="27">
        <f>A53*10/60</f>
        <v/>
      </c>
      <c r="C53" s="22">
        <f>X52</f>
        <v/>
      </c>
      <c r="D53" s="27">
        <f>D52+W52</f>
        <v/>
      </c>
      <c r="E53" s="26">
        <f>E52+IF(U52="SW",1,0)</f>
        <v/>
      </c>
      <c r="F53" s="26">
        <f>F52+IF(U52="AB",1,0)</f>
        <v/>
      </c>
      <c r="G53" s="26">
        <f>G52+IF(U52="SC",1,0)</f>
        <v/>
      </c>
      <c r="H53" s="26">
        <f>H52+IF(U52="Mag",1,0)</f>
        <v/>
      </c>
      <c r="I53" s="26">
        <f>MAX(I52,IF(U52="OR",1,0))</f>
        <v/>
      </c>
      <c r="J53" s="26">
        <f>MAX(J52,IF(U52="HP",1,0))</f>
        <v/>
      </c>
      <c r="K53" s="26">
        <f>MAX(K52,IF(U52="FP",1,0))</f>
        <v/>
      </c>
      <c r="L53" s="26">
        <f>MAX(L52,IF(U52="transition",1,0))</f>
        <v/>
      </c>
      <c r="M53" s="28">
        <f>(Parameters!$B$9+(IF(E53=0,0,(Upgrades!$J$6+E53*Upgrades!$K$6)*POWER(Upgrades!$L$6,E53)))*(IF(Upgrades!$T$7="Solar Wind",POWER(Upgrades!$U$7,F53),1)*IF(Upgrades!$T$8="Solar Wind",POWER(Upgrades!$U$8,G53),1)*IF(Upgrades!$T$9="Solar Wind",POWER(Upgrades!$U$9,H53),1)*IF(Upgrades!$T$10="Solar Wind",POWER(Upgrades!$U$10,I53),1)*IF(Upgrades!$T$11="Solar Wind",POWER(Upgrades!$U$11,J53),1)*IF(Upgrades!$T$12="Solar Wind",POWER(Upgrades!$U$12,K53),1))+(IF(F53=0,0,(Upgrades!$J$7+F53*Upgrades!$K$7)*POWER(Upgrades!$L$7,F53)))*(IF(Upgrades!$T$6="Asteroid Belt",POWER(Upgrades!$U$6,E53),1)*IF(Upgrades!$T$8="Asteroid Belt",POWER(Upgrades!$U$8,G53),1)*IF(Upgrades!$T$9="Asteroid Belt",POWER(Upgrades!$U$9,H53),1)*IF(Upgrades!$T$10="Asteroid Belt",POWER(Upgrades!$U$10,I53),1)*IF(Upgrades!$T$11="Asteroid Belt",POWER(Upgrades!$U$11,J53),1)*IF(Upgrades!$T$12="Asteroid Belt",POWER(Upgrades!$U$12,K53),1))+(IF(G53=0,0,(Upgrades!$J$8+G53*Upgrades!$K$8)*POWER(Upgrades!$L$8,G53)))*(IF(Upgrades!$T$6="Stellar Coupling",POWER(Upgrades!$U$6,E53),1)*IF(Upgrades!$T$7="Stellar Coupling",POWER(Upgrades!$U$7,F53),1)*IF(Upgrades!$T$9="Stellar Coupling",POWER(Upgrades!$U$9,H53),1)*IF(Upgrades!$T$10="Stellar Coupling",POWER(Upgrades!$U$10,I53),1)*IF(Upgrades!$T$11="Stellar Coupling",POWER(Upgrades!$U$11,J53),1)*IF(Upgrades!$T$12="Stellar Coupling",POWER(Upgrades!$U$12,K53),1))+(IF(H53=0,0,(Upgrades!$J$9+H53*Upgrades!$K$9)*POWER(Upgrades!$L$9,H53)))*(IF(Upgrades!$T$6="Magnetosphere",POWER(Upgrades!$U$6,E53),1)*IF(Upgrades!$T$7="Magnetosphere",POWER(Upgrades!$U$7,F53),1)*IF(Upgrades!$T$8="Magnetosphere",POWER(Upgrades!$U$8,G53),1)*IF(Upgrades!$T$10="Magnetosphere",POWER(Upgrades!$U$10,I53),1)*IF(Upgrades!$T$11="Magnetosphere",POWER(Upgrades!$U$11,J53),1)*IF(Upgrades!$T$12="Magnetosphere",POWER(Upgrades!$U$12,K53),1))+(IF(I53=0,0,(Upgrades!$J$10+I53*Upgrades!$K$10)*POWER(Upgrades!$L$10,I53)))*(IF(Upgrades!$T$6="Orbital Resonance",POWER(Upgrades!$U$6,E53),1)*IF(Upgrades!$T$7="Orbital Resonance",POWER(Upgrades!$U$7,F53),1)*IF(Upgrades!$T$8="Orbital Resonance",POWER(Upgrades!$U$8,G53),1)*IF(Upgrades!$T$9="Orbital Resonance",POWER(Upgrades!$U$9,H53),1)*IF(Upgrades!$T$11="Orbital Resonance",POWER(Upgrades!$U$11,J53),1)*IF(Upgrades!$T$12="Orbital Resonance",POWER(Upgrades!$U$12,K53),1))+(IF(J53=0,0,(Upgrades!$J$11+J53*Upgrades!$K$11)*POWER(Upgrades!$L$11,J53)))*(IF(Upgrades!$T$6="Heliopause",POWER(Upgrades!$U$6,E53),1)*IF(Upgrades!$T$7="Heliopause",POWER(Upgrades!$U$7,F53),1)*IF(Upgrades!$T$8="Heliopause",POWER(Upgrades!$U$8,G53),1)*IF(Upgrades!$T$9="Heliopause",POWER(Upgrades!$U$9,H53),1)*IF(Upgrades!$T$10="Heliopause",POWER(Upgrades!$U$10,I53),1)*IF(Upgrades!$T$12="Heliopause",POWER(Upgrades!$U$12,K53),1))+(IF(K53=0,0,(Upgrades!$J$12+K53*Upgrades!$K$12)*POWER(Upgrades!$L$12,K53)))*(IF(Upgrades!$T$6="First Photons",POWER(Upgrades!$U$6,E53),1)*IF(Upgrades!$T$7="First Photons",POWER(Upgrades!$U$7,F53),1)*IF(Upgrades!$T$8="First Photons",POWER(Upgrades!$U$8,G53),1)*IF(Upgrades!$T$9="First Photons",POWER(Upgrades!$U$9,H53),1)*IF(Upgrades!$T$10="First Photons",POWER(Upgrades!$U$10,I53),1)*IF(Upgrades!$T$11="First Photons",POWER(Upgrades!$U$11,J53),1)))*POWER(Upgrades!$Q$6,E53)*POWER(Upgrades!$Q$7,F53)*POWER(Upgrades!$Q$8,G53)*POWER(Upgrades!$Q$9,H53)*POWER(Upgrades!$Q$10,I53)*POWER(Upgrades!$Q$11,J53)*POWER(Upgrades!$Q$12,K53)</f>
        <v/>
      </c>
      <c r="N53" s="28">
        <f>((IF(E53=0,0,(Upgrades!$G$6+E53*Upgrades!$H$6)*POWER(Upgrades!$I$6,E53)))*(IF(Upgrades!$T$7="Solar Wind",POWER(Upgrades!$U$7,F53),1)*IF(Upgrades!$T$8="Solar Wind",POWER(Upgrades!$U$8,G53),1)*IF(Upgrades!$T$9="Solar Wind",POWER(Upgrades!$U$9,H53),1)*IF(Upgrades!$T$10="Solar Wind",POWER(Upgrades!$U$10,I53),1)*IF(Upgrades!$T$11="Solar Wind",POWER(Upgrades!$U$11,J53),1)*IF(Upgrades!$T$12="Solar Wind",POWER(Upgrades!$U$12,K53),1))+(IF(F53=0,0,(Upgrades!$G$7+F53*Upgrades!$H$7)*POWER(Upgrades!$I$7,F53)))*(IF(Upgrades!$T$6="Asteroid Belt",POWER(Upgrades!$U$6,E53),1)*IF(Upgrades!$T$8="Asteroid Belt",POWER(Upgrades!$U$8,G53),1)*IF(Upgrades!$T$9="Asteroid Belt",POWER(Upgrades!$U$9,H53),1)*IF(Upgrades!$T$10="Asteroid Belt",POWER(Upgrades!$U$10,I53),1)*IF(Upgrades!$T$11="Asteroid Belt",POWER(Upgrades!$U$11,J53),1)*IF(Upgrades!$T$12="Asteroid Belt",POWER(Upgrades!$U$12,K53),1))+(IF(G53=0,0,(Upgrades!$G$8+G53*Upgrades!$H$8)*POWER(Upgrades!$I$8,G53)))*(IF(Upgrades!$T$6="Stellar Coupling",POWER(Upgrades!$U$6,E53),1)*IF(Upgrades!$T$7="Stellar Coupling",POWER(Upgrades!$U$7,F53),1)*IF(Upgrades!$T$9="Stellar Coupling",POWER(Upgrades!$U$9,H53),1)*IF(Upgrades!$T$10="Stellar Coupling",POWER(Upgrades!$U$10,I53),1)*IF(Upgrades!$T$11="Stellar Coupling",POWER(Upgrades!$U$11,J53),1)*IF(Upgrades!$T$12="Stellar Coupling",POWER(Upgrades!$U$12,K53),1))+(IF(H53=0,0,(Upgrades!$G$9+H53*Upgrades!$H$9)*POWER(Upgrades!$I$9,H53)))*(IF(Upgrades!$T$6="Magnetosphere",POWER(Upgrades!$U$6,E53),1)*IF(Upgrades!$T$7="Magnetosphere",POWER(Upgrades!$U$7,F53),1)*IF(Upgrades!$T$8="Magnetosphere",POWER(Upgrades!$U$8,G53),1)*IF(Upgrades!$T$10="Magnetosphere",POWER(Upgrades!$U$10,I53),1)*IF(Upgrades!$T$11="Magnetosphere",POWER(Upgrades!$U$11,J53),1)*IF(Upgrades!$T$12="Magnetosphere",POWER(Upgrades!$U$12,K53),1))+(IF(I53=0,0,(Upgrades!$G$10+I53*Upgrades!$H$10)*POWER(Upgrades!$I$10,I53)))*(IF(Upgrades!$T$6="Orbital Resonance",POWER(Upgrades!$U$6,E53),1)*IF(Upgrades!$T$7="Orbital Resonance",POWER(Upgrades!$U$7,F53),1)*IF(Upgrades!$T$8="Orbital Resonance",POWER(Upgrades!$U$8,G53),1)*IF(Upgrades!$T$9="Orbital Resonance",POWER(Upgrades!$U$9,H53),1)*IF(Upgrades!$T$11="Orbital Resonance",POWER(Upgrades!$U$11,J53),1)*IF(Upgrades!$T$12="Orbital Resonance",POWER(Upgrades!$U$12,K53),1))+(IF(J53=0,0,(Upgrades!$G$11+J53*Upgrades!$H$11)*POWER(Upgrades!$I$11,J53)))*(IF(Upgrades!$T$6="Heliopause",POWER(Upgrades!$U$6,E53),1)*IF(Upgrades!$T$7="Heliopause",POWER(Upgrades!$U$7,F53),1)*IF(Upgrades!$T$8="Heliopause",POWER(Upgrades!$U$8,G53),1)*IF(Upgrades!$T$9="Heliopause",POWER(Upgrades!$U$9,H53),1)*IF(Upgrades!$T$10="Heliopause",POWER(Upgrades!$U$10,I53),1)*IF(Upgrades!$T$12="Heliopause",POWER(Upgrades!$U$12,K53),1))+(IF(K53=0,0,(Upgrades!$G$12+K53*Upgrades!$H$12)*POWER(Upgrades!$I$12,K53)))*(IF(Upgrades!$T$6="First Photons",POWER(Upgrades!$U$6,E53),1)*IF(Upgrades!$T$7="First Photons",POWER(Upgrades!$U$7,F53),1)*IF(Upgrades!$T$8="First Photons",POWER(Upgrades!$U$8,G53),1)*IF(Upgrades!$T$9="First Photons",POWER(Upgrades!$U$9,H53),1)*IF(Upgrades!$T$10="First Photons",POWER(Upgrades!$U$10,I53),1)*IF(Upgrades!$T$11="First Photons",POWER(Upgrades!$U$11,J53),1)))*POWER(Upgrades!$P$6,E53)*POWER(Upgrades!$P$7,F53)*POWER(Upgrades!$P$8,G53)*POWER(Upgrades!$P$9,H53)*POWER(Upgrades!$P$10,I53)*POWER(Upgrades!$P$11,J53)*POWER(Upgrades!$P$12,K53)</f>
        <v/>
      </c>
      <c r="O53" s="28">
        <f>((IF(E53=0,0,(Upgrades!$M$6+E53*Upgrades!$N$6)*POWER(Upgrades!$O$6,E53)))*(IF(Upgrades!$T$7="Solar Wind",POWER(Upgrades!$U$7,F53),1)*IF(Upgrades!$T$8="Solar Wind",POWER(Upgrades!$U$8,G53),1)*IF(Upgrades!$T$9="Solar Wind",POWER(Upgrades!$U$9,H53),1)*IF(Upgrades!$T$10="Solar Wind",POWER(Upgrades!$U$10,I53),1)*IF(Upgrades!$T$11="Solar Wind",POWER(Upgrades!$U$11,J53),1)*IF(Upgrades!$T$12="Solar Wind",POWER(Upgrades!$U$12,K53),1))+(IF(F53=0,0,(Upgrades!$M$7+F53*Upgrades!$N$7)*POWER(Upgrades!$O$7,F53)))*(IF(Upgrades!$T$6="Asteroid Belt",POWER(Upgrades!$U$6,E53),1)*IF(Upgrades!$T$8="Asteroid Belt",POWER(Upgrades!$U$8,G53),1)*IF(Upgrades!$T$9="Asteroid Belt",POWER(Upgrades!$U$9,H53),1)*IF(Upgrades!$T$10="Asteroid Belt",POWER(Upgrades!$U$10,I53),1)*IF(Upgrades!$T$11="Asteroid Belt",POWER(Upgrades!$U$11,J53),1)*IF(Upgrades!$T$12="Asteroid Belt",POWER(Upgrades!$U$12,K53),1))+(IF(G53=0,0,(Upgrades!$M$8+G53*Upgrades!$N$8)*POWER(Upgrades!$O$8,G53)))*(IF(Upgrades!$T$6="Stellar Coupling",POWER(Upgrades!$U$6,E53),1)*IF(Upgrades!$T$7="Stellar Coupling",POWER(Upgrades!$U$7,F53),1)*IF(Upgrades!$T$9="Stellar Coupling",POWER(Upgrades!$U$9,H53),1)*IF(Upgrades!$T$10="Stellar Coupling",POWER(Upgrades!$U$10,I53),1)*IF(Upgrades!$T$11="Stellar Coupling",POWER(Upgrades!$U$11,J53),1)*IF(Upgrades!$T$12="Stellar Coupling",POWER(Upgrades!$U$12,K53),1))+(IF(H53=0,0,(Upgrades!$M$9+H53*Upgrades!$N$9)*POWER(Upgrades!$O$9,H53)))*(IF(Upgrades!$T$6="Magnetosphere",POWER(Upgrades!$U$6,E53),1)*IF(Upgrades!$T$7="Magnetosphere",POWER(Upgrades!$U$7,F53),1)*IF(Upgrades!$T$8="Magnetosphere",POWER(Upgrades!$U$8,G53),1)*IF(Upgrades!$T$10="Magnetosphere",POWER(Upgrades!$U$10,I53),1)*IF(Upgrades!$T$11="Magnetosphere",POWER(Upgrades!$U$11,J53),1)*IF(Upgrades!$T$12="Magnetosphere",POWER(Upgrades!$U$12,K53),1))+(IF(I53=0,0,(Upgrades!$M$10+I53*Upgrades!$N$10)*POWER(Upgrades!$O$10,I53)))*(IF(Upgrades!$T$6="Orbital Resonance",POWER(Upgrades!$U$6,E53),1)*IF(Upgrades!$T$7="Orbital Resonance",POWER(Upgrades!$U$7,F53),1)*IF(Upgrades!$T$8="Orbital Resonance",POWER(Upgrades!$U$8,G53),1)*IF(Upgrades!$T$9="Orbital Resonance",POWER(Upgrades!$U$9,H53),1)*IF(Upgrades!$T$11="Orbital Resonance",POWER(Upgrades!$U$11,J53),1)*IF(Upgrades!$T$12="Orbital Resonance",POWER(Upgrades!$U$12,K53),1))+(IF(J53=0,0,(Upgrades!$M$11+J53*Upgrades!$N$11)*POWER(Upgrades!$O$11,J53)))*(IF(Upgrades!$T$6="Heliopause",POWER(Upgrades!$U$6,E53),1)*IF(Upgrades!$T$7="Heliopause",POWER(Upgrades!$U$7,F53),1)*IF(Upgrades!$T$8="Heliopause",POWER(Upgrades!$U$8,G53),1)*IF(Upgrades!$T$9="Heliopause",POWER(Upgrades!$U$9,H53),1)*IF(Upgrades!$T$10="Heliopause",POWER(Upgrades!$U$10,I53),1)*IF(Upgrades!$T$12="Heliopause",POWER(Upgrades!$U$12,K53),1))+(IF(K53=0,0,(Upgrades!$M$12+K53*Upgrades!$N$12)*POWER(Upgrades!$O$12,K53)))*(IF(Upgrades!$T$6="First Photons",POWER(Upgrades!$U$6,E53),1)*IF(Upgrades!$T$7="First Photons",POWER(Upgrades!$U$7,F53),1)*IF(Upgrades!$T$8="First Photons",POWER(Upgrades!$U$8,G53),1)*IF(Upgrades!$T$9="First Photons",POWER(Upgrades!$U$9,H53),1)*IF(Upgrades!$T$10="First Photons",POWER(Upgrades!$U$10,I53),1)*IF(Upgrades!$T$11="First Photons",POWER(Upgrades!$U$11,J53),1)))*POWER(Upgrades!$R$6,E53)*POWER(Upgrades!$R$7,F53)*POWER(Upgrades!$R$8,G53)*POWER(Upgrades!$R$9,H53)*POWER(Upgrades!$R$10,I53)*POWER(Upgrades!$R$11,J53)*POWER(Upgrades!$R$12,K53)</f>
        <v/>
      </c>
      <c r="P53" s="27">
        <f>IF(L53=1,0,M53*Parameters!$B$10/60*Parameters!$B$11*10)</f>
        <v/>
      </c>
      <c r="Q53" s="27">
        <f>IF(L53=1,0,O53*M53*10)</f>
        <v/>
      </c>
      <c r="R53" s="27">
        <f>IF(L53=1,0,N53*10)</f>
        <v/>
      </c>
      <c r="S53" s="27">
        <f>P53+Q53+R53</f>
        <v/>
      </c>
      <c r="T53" s="22">
        <f>C53+S53</f>
        <v/>
      </c>
      <c r="U53" s="33">
        <f>AX53</f>
        <v/>
      </c>
      <c r="V53" s="22">
        <f>IF(U53="",0,IF(U53="transition",0,IF(U53="SW",AG53,IF(U53="AB",AH53,IF(U53="SC",AI53,IF(U53="Mag",AJ53,IF(U53="OR",AK53,IF(U53="HP",AL53,IF(U53="FP",AM53,0)))))))))</f>
        <v/>
      </c>
      <c r="W53" s="27">
        <f>IF(U53="OR",Upgrades!$F$10,IF(U53="HP",Upgrades!$F$11,IF(U53="transition",-Parameters!$B$18,0)))</f>
        <v/>
      </c>
      <c r="X53" s="22">
        <f>T53-V53</f>
        <v/>
      </c>
      <c r="Y53" s="30">
        <f>M53*Parameters!$B$10/60*Parameters!$B$11+O53*M53+N53</f>
        <v/>
      </c>
      <c r="Z53" s="34">
        <f>IF(U53="transition","→ Tier 2 (Stellar Neighborhood)",IF(U53="FP","First Photons — light begins, system quickens",IF(U53="HP","Heliopause acquired",IF(U53="OR","Orbital Resonance — passive multiplier active",IF(AND(AO53=1,L53=0,AN53&lt;&gt;1),"Cohesion ready (waiting on completionist upgrades)","")))))</f>
        <v/>
      </c>
      <c r="AA53" s="27">
        <f>(IF(E53=0,0,(Upgrades!$G$6+E53*Upgrades!$H$6)*POWER(Upgrades!$I$6,E53)))*(IF(Upgrades!$T$7="Solar Wind",POWER(Upgrades!$U$7,F53),1)*IF(Upgrades!$T$8="Solar Wind",POWER(Upgrades!$U$8,G53),1)*IF(Upgrades!$T$9="Solar Wind",POWER(Upgrades!$U$9,H53),1)*IF(Upgrades!$T$10="Solar Wind",POWER(Upgrades!$U$10,I53),1)*IF(Upgrades!$T$11="Solar Wind",POWER(Upgrades!$U$11,J53),1)*IF(Upgrades!$T$12="Solar Wind",POWER(Upgrades!$U$12,K53),1))*POWER(Upgrades!$P$6,E53)*POWER(Upgrades!$P$7,F53)*POWER(Upgrades!$P$8,G53)*POWER(Upgrades!$P$9,H53)*POWER(Upgrades!$P$10,I53)*POWER(Upgrades!$P$11,J53)*POWER(Upgrades!$P$12,K53)*60</f>
        <v/>
      </c>
      <c r="AB53" s="27">
        <f>(IF(F53=0,0,(Upgrades!$G$7+F53*Upgrades!$H$7)*POWER(Upgrades!$I$7,F53)))*(IF(Upgrades!$T$6="Asteroid Belt",POWER(Upgrades!$U$6,E53),1)*IF(Upgrades!$T$8="Asteroid Belt",POWER(Upgrades!$U$8,G53),1)*IF(Upgrades!$T$9="Asteroid Belt",POWER(Upgrades!$U$9,H53),1)*IF(Upgrades!$T$10="Asteroid Belt",POWER(Upgrades!$U$10,I53),1)*IF(Upgrades!$T$11="Asteroid Belt",POWER(Upgrades!$U$11,J53),1)*IF(Upgrades!$T$12="Asteroid Belt",POWER(Upgrades!$U$12,K53),1))*POWER(Upgrades!$P$6,E53)*POWER(Upgrades!$P$7,F53)*POWER(Upgrades!$P$8,G53)*POWER(Upgrades!$P$9,H53)*POWER(Upgrades!$P$10,I53)*POWER(Upgrades!$P$11,J53)*POWER(Upgrades!$P$12,K53)*60</f>
        <v/>
      </c>
      <c r="AC53" s="27">
        <f>(IF(G53=0,0,(Upgrades!$J$8+G53*Upgrades!$K$8)*POWER(Upgrades!$L$8,G53)))*(IF(Upgrades!$T$6="Stellar Coupling",POWER(Upgrades!$U$6,E53),1)*IF(Upgrades!$T$7="Stellar Coupling",POWER(Upgrades!$U$7,F53),1)*IF(Upgrades!$T$9="Stellar Coupling",POWER(Upgrades!$U$9,H53),1)*IF(Upgrades!$T$10="Stellar Coupling",POWER(Upgrades!$U$10,I53),1)*IF(Upgrades!$T$11="Stellar Coupling",POWER(Upgrades!$U$11,J53),1)*IF(Upgrades!$T$12="Stellar Coupling",POWER(Upgrades!$U$12,K53),1))*POWER(Upgrades!$Q$6,E53)*POWER(Upgrades!$Q$7,F53)*POWER(Upgrades!$Q$8,G53)*POWER(Upgrades!$Q$9,H53)*POWER(Upgrades!$Q$10,I53)*POWER(Upgrades!$Q$11,J53)*POWER(Upgrades!$Q$12,K53)*Parameters!$B$10*Parameters!$B$11</f>
        <v/>
      </c>
      <c r="AD53" s="27">
        <f>(IF(H53=0,0,(Upgrades!$G$9+H53*Upgrades!$H$9)*POWER(Upgrades!$I$9,H53)))*(IF(Upgrades!$T$6="Magnetosphere",POWER(Upgrades!$U$6,E53),1)*IF(Upgrades!$T$7="Magnetosphere",POWER(Upgrades!$U$7,F53),1)*IF(Upgrades!$T$8="Magnetosphere",POWER(Upgrades!$U$8,G53),1)*IF(Upgrades!$T$10="Magnetosphere",POWER(Upgrades!$U$10,I53),1)*IF(Upgrades!$T$11="Magnetosphere",POWER(Upgrades!$U$11,J53),1)*IF(Upgrades!$T$12="Magnetosphere",POWER(Upgrades!$U$12,K53),1))*POWER(Upgrades!$P$6,E53)*POWER(Upgrades!$P$7,F53)*POWER(Upgrades!$P$8,G53)*POWER(Upgrades!$P$9,H53)*POWER(Upgrades!$P$10,I53)*POWER(Upgrades!$P$11,J53)*POWER(Upgrades!$P$12,K53)*60</f>
        <v/>
      </c>
      <c r="AE53" s="27">
        <f>(IF(K53=0,0,(Upgrades!$G$12+K53*Upgrades!$H$12)*POWER(Upgrades!$I$12,K53)))*(IF(Upgrades!$T$6="First Photons",POWER(Upgrades!$U$6,E53),1)*IF(Upgrades!$T$7="First Photons",POWER(Upgrades!$U$7,F53),1)*IF(Upgrades!$T$8="First Photons",POWER(Upgrades!$U$8,G53),1)*IF(Upgrades!$T$9="First Photons",POWER(Upgrades!$U$9,H53),1)*IF(Upgrades!$T$10="First Photons",POWER(Upgrades!$U$10,I53),1)*IF(Upgrades!$T$11="First Photons",POWER(Upgrades!$U$11,J53),1))*POWER(Upgrades!$P$6,E53)*POWER(Upgrades!$P$7,F53)*POWER(Upgrades!$P$8,G53)*POWER(Upgrades!$P$9,H53)*POWER(Upgrades!$P$10,I53)*POWER(Upgrades!$P$11,J53)*POWER(Upgrades!$P$12,K53)*60</f>
        <v/>
      </c>
      <c r="AF53" s="27">
        <f>Parameters!$B$9*POWER(Upgrades!$Q$6,E53)*POWER(Upgrades!$Q$7,F53)*POWER(Upgrades!$Q$8,G53)*POWER(Upgrades!$Q$9,H53)*POWER(Upgrades!$Q$10,I53)*POWER(Upgrades!$Q$11,J53)*POWER(Upgrades!$Q$12,K53)*(Parameters!$B$10*Parameters!$B$11+O53*60)</f>
        <v/>
      </c>
      <c r="AG53" s="22">
        <f>IF(E53&gt;=Upgrades!$E$6,"",Upgrades!$C$6*POWER(Upgrades!$D$6,E53))</f>
        <v/>
      </c>
      <c r="AH53" s="22">
        <f>IF(F53&gt;=Upgrades!$E$7,"",Upgrades!$C$7*POWER(Upgrades!$D$7,F53))</f>
        <v/>
      </c>
      <c r="AI53" s="22">
        <f>IF(G53&gt;=Upgrades!$E$8,"",Upgrades!$C$8*POWER(Upgrades!$D$8,G53))</f>
        <v/>
      </c>
      <c r="AJ53" s="22">
        <f>IF(H53&gt;=Upgrades!$E$9,"",Upgrades!$C$9*POWER(Upgrades!$D$9,H53))</f>
        <v/>
      </c>
      <c r="AK53" s="22">
        <f>IF(I53&gt;=Upgrades!$E$10,"",Upgrades!$C$10*POWER(Upgrades!$D$10,I53))</f>
        <v/>
      </c>
      <c r="AL53" s="22">
        <f>IF(J53&gt;=Upgrades!$E$11,"",Upgrades!$C$11*POWER(Upgrades!$D$11,J53))</f>
        <v/>
      </c>
      <c r="AM53" s="22">
        <f>IF(K53&gt;=Upgrades!$E$12,"",Upgrades!$C$12*POWER(Upgrades!$D$12,K53))</f>
        <v/>
      </c>
      <c r="AN53" s="26">
        <f>IF(AND(D53&gt;=Parameters!$B$18,(H53&gt;=Upgrades!$E$9)*(K53&gt;=Upgrades!$E$12)=1,L53=0),1,"")</f>
        <v/>
      </c>
      <c r="AO53" s="26">
        <f>IF(AND(D53&gt;=Parameters!$B$18,L53=0),1,"")</f>
        <v/>
      </c>
      <c r="AP53" s="22">
        <f>MIN(IF(ISNUMBER(AK53),AK53,9E15),IF(ISNUMBER(AL53),AL53,9E15),IF(ISNUMBER(AM53),AM53,9E15))</f>
        <v/>
      </c>
      <c r="AQ53" s="22">
        <f>MIN(IF(ISNUMBER(AG53),AG53,9E15),IF(ISNUMBER(AH53),AH53,9E15),IF(ISNUMBER(AI53),AI53,9E15),IF(ISNUMBER(AJ53),AJ53,9E15))</f>
        <v/>
      </c>
      <c r="AR53" s="29">
        <f>IF(AW53&gt;Parameters!$B$21*(MAX(IF(AND(NOT(AND(AO53=1,AN53&lt;&gt;1)),ISNUMBER(AG53),AG53&lt;=T53),AS53,0),IF(AND(NOT(AND(AO53=1,AN53&lt;&gt;1)),ISNUMBER(AH53),AH53&lt;=T53),AT53,0),IF(AND(NOT(AND(AO53=1,AN53&lt;&gt;1)),ISNUMBER(AI53),AI53&lt;=T53),AU53,0),IF(AND(ISNUMBER(AJ53),AJ53&lt;=T53),AV53,0))),TRUE,FALSE)</f>
        <v/>
      </c>
      <c r="AS53" s="32">
        <f>IFERROR(Upgrades!$H$6*(POWER(Upgrades!$P$6,E53)*POWER(Upgrades!$P$7,F53)*POWER(Upgrades!$P$8,G53)*POWER(Upgrades!$P$9,H53)*POWER(Upgrades!$P$10,I53)*POWER(Upgrades!$P$11,J53)*POWER(Upgrades!$P$12,K53))*(IF(Upgrades!$T$7="Solar Wind",POWER(Upgrades!$U$7,F53),1)*IF(Upgrades!$T$8="Solar Wind",POWER(Upgrades!$U$8,G53),1)*IF(Upgrades!$T$9="Solar Wind",POWER(Upgrades!$U$9,H53),1)*IF(Upgrades!$T$10="Solar Wind",POWER(Upgrades!$U$10,I53),1)*IF(Upgrades!$T$11="Solar Wind",POWER(Upgrades!$U$11,J53),1)*IF(Upgrades!$T$12="Solar Wind",POWER(Upgrades!$U$12,K53),1))/AG53,0)</f>
        <v/>
      </c>
      <c r="AT53" s="32">
        <f>IFERROR(Upgrades!$H$7*(POWER(Upgrades!$P$6,E53)*POWER(Upgrades!$P$7,F53)*POWER(Upgrades!$P$8,G53)*POWER(Upgrades!$P$9,H53)*POWER(Upgrades!$P$10,I53)*POWER(Upgrades!$P$11,J53)*POWER(Upgrades!$P$12,K53))*(IF(Upgrades!$T$6="Asteroid Belt",POWER(Upgrades!$U$6,E53),1)*IF(Upgrades!$T$8="Asteroid Belt",POWER(Upgrades!$U$8,G53),1)*IF(Upgrades!$T$9="Asteroid Belt",POWER(Upgrades!$U$9,H53),1)*IF(Upgrades!$T$10="Asteroid Belt",POWER(Upgrades!$U$10,I53),1)*IF(Upgrades!$T$11="Asteroid Belt",POWER(Upgrades!$U$11,J53),1)*IF(Upgrades!$T$12="Asteroid Belt",POWER(Upgrades!$U$12,K53),1))/AH53,0)</f>
        <v/>
      </c>
      <c r="AU53" s="32">
        <f>IFERROR(Upgrades!$K$8*(POWER(Upgrades!$Q$6,E53)*POWER(Upgrades!$Q$7,F53)*POWER(Upgrades!$Q$8,G53)*POWER(Upgrades!$Q$9,H53)*POWER(Upgrades!$Q$10,I53)*POWER(Upgrades!$Q$11,J53)*POWER(Upgrades!$Q$12,K53))*(IF(Upgrades!$T$6="Stellar Coupling",POWER(Upgrades!$U$6,E53),1)*IF(Upgrades!$T$7="Stellar Coupling",POWER(Upgrades!$U$7,F53),1)*IF(Upgrades!$T$9="Stellar Coupling",POWER(Upgrades!$U$9,H53),1)*IF(Upgrades!$T$10="Stellar Coupling",POWER(Upgrades!$U$10,I53),1)*IF(Upgrades!$T$11="Stellar Coupling",POWER(Upgrades!$U$11,J53),1)*IF(Upgrades!$T$12="Stellar Coupling",POWER(Upgrades!$U$12,K53),1))*Parameters!$B$10*Parameters!$B$11/60/AI53,0)</f>
        <v/>
      </c>
      <c r="AV53" s="32">
        <f>IFERROR(Upgrades!$H$9*(POWER(Upgrades!$P$6,E53)*POWER(Upgrades!$P$7,F53)*POWER(Upgrades!$P$8,G53)*POWER(Upgrades!$P$9,H53)*POWER(Upgrades!$P$10,I53)*POWER(Upgrades!$P$11,J53)*POWER(Upgrades!$P$12,K53))*(IF(Upgrades!$T$6="Magnetosphere",POWER(Upgrades!$U$6,E53),1)*IF(Upgrades!$T$7="Magnetosphere",POWER(Upgrades!$U$7,F53),1)*IF(Upgrades!$T$8="Magnetosphere",POWER(Upgrades!$U$8,G53),1)*IF(Upgrades!$T$10="Magnetosphere",POWER(Upgrades!$U$10,I53),1)*IF(Upgrades!$T$11="Magnetosphere",POWER(Upgrades!$U$11,J53),1)*IF(Upgrades!$T$12="Magnetosphere",POWER(Upgrades!$U$12,K53),1))/AJ53,0)</f>
        <v/>
      </c>
      <c r="AW53" s="32">
        <f>MAX(IF(I53&gt;0,0,IFERROR(0.25*N53/Upgrades!$C$10,0)),IF(J53&gt;0,0,IFERROR(0.5*((IF(G53=0,0,(Upgrades!$J$8+G53*Upgrades!$K$8)*POWER(Upgrades!$L$8,G53)))*(IF(Upgrades!$T$6="Stellar Coupling",POWER(Upgrades!$U$6,E53),1)*IF(Upgrades!$T$7="Stellar Coupling",POWER(Upgrades!$U$7,F53),1)*IF(Upgrades!$T$9="Stellar Coupling",POWER(Upgrades!$U$9,H53),1)*IF(Upgrades!$T$10="Stellar Coupling",POWER(Upgrades!$U$10,I53),1)*IF(Upgrades!$T$11="Stellar Coupling",POWER(Upgrades!$U$11,J53),1)*IF(Upgrades!$T$12="Stellar Coupling",POWER(Upgrades!$U$12,K53),1))*(POWER(Upgrades!$Q$6,E53)*POWER(Upgrades!$Q$7,F53)*POWER(Upgrades!$Q$8,G53)*POWER(Upgrades!$Q$9,H53)*POWER(Upgrades!$Q$10,I53)*POWER(Upgrades!$Q$11,J53)*POWER(Upgrades!$Q$12,K53))*Parameters!$B$10*Parameters!$B$11/60)/Upgrades!$C$11,0)),IF(K53&gt;0,0,IFERROR((1.0*(POWER(Upgrades!$P$6,E53)*POWER(Upgrades!$P$7,F53)*POWER(Upgrades!$P$8,G53)*POWER(Upgrades!$P$9,H53)*POWER(Upgrades!$P$10,I53)*POWER(Upgrades!$P$11,J53)*POWER(Upgrades!$P$12,K53))+0.20*M53*Parameters!$B$10*Parameters!$B$11/60)/Upgrades!$C$12,0)),IF(AND(ISNUMBER(AG53),AG53&gt;T53),AS53,0),IF(AND(ISNUMBER(AH53),AH53&gt;T53),AT53,0),IF(AND(ISNUMBER(AI53),AI53&gt;T53),AU53,0),IF(AND(ISNUMBER(AJ53),AJ53&gt;T53),AV53,0))</f>
        <v/>
      </c>
      <c r="AX53" s="29">
        <f>IF(AN53=1,"transition",IF(MIN(IF(AND(I53=0,ISNUMBER(AK53),AK53&lt;=T53),AK53,9E15),IF(AND(J53=0,ISNUMBER(AL53),AL53&lt;=T53),AL53,9E15),IF(AND(K53=0,ISNUMBER(AM53),AM53&lt;=T53),AM53,9E15))&lt;9E15,IF(AND(AND(I53=0,ISNUMBER(AK53),AK53&lt;=T53),AK53=MIN(IF(AND(I53=0,ISNUMBER(AK53),AK53&lt;=T53),AK53,9E15),IF(AND(J53=0,ISNUMBER(AL53),AL53&lt;=T53),AL53,9E15),IF(AND(K53=0,ISNUMBER(AM53),AM53&lt;=T53),AM53,9E15))),"OR",IF(AND(AND(J53=0,ISNUMBER(AL53),AL53&lt;=T53),AL53=MIN(IF(AND(I53=0,ISNUMBER(AK53),AK53&lt;=T53),AK53,9E15),IF(AND(J53=0,ISNUMBER(AL53),AL53&lt;=T53),AL53,9E15),IF(AND(K53=0,ISNUMBER(AM53),AM53&lt;=T53),AM53,9E15))),"HP","FP")),IF(AR53=TRUE,"",IF(MAX(IF(AND(NOT(AND(AO53=1,AN53&lt;&gt;1)),ISNUMBER(AG53),AG53&lt;=T53),AS53,0),IF(AND(NOT(AND(AO53=1,AN53&lt;&gt;1)),ISNUMBER(AH53),AH53&lt;=T53),AT53,0),IF(AND(NOT(AND(AO53=1,AN53&lt;&gt;1)),ISNUMBER(AI53),AI53&lt;=T53),AU53,0),IF(AND(ISNUMBER(AJ53),AJ53&lt;=T53),AV53,0))&lt;=0,"",IF(AND(IF(AND(NOT(AND(AO53=1,AN53&lt;&gt;1)),ISNUMBER(AG53),AG53&lt;=T53),AS53,0)&gt;0,IF(AND(NOT(AND(AO53=1,AN53&lt;&gt;1)),ISNUMBER(AG53),AG53&lt;=T53),AS53,0)=MAX(IF(AND(NOT(AND(AO53=1,AN53&lt;&gt;1)),ISNUMBER(AG53),AG53&lt;=T53),AS53,0),IF(AND(NOT(AND(AO53=1,AN53&lt;&gt;1)),ISNUMBER(AH53),AH53&lt;=T53),AT53,0),IF(AND(NOT(AND(AO53=1,AN53&lt;&gt;1)),ISNUMBER(AI53),AI53&lt;=T53),AU53,0),IF(AND(ISNUMBER(AJ53),AJ53&lt;=T53),AV53,0))),"SW",IF(AND(IF(AND(NOT(AND(AO53=1,AN53&lt;&gt;1)),ISNUMBER(AH53),AH53&lt;=T53),AT53,0)&gt;0,IF(AND(NOT(AND(AO53=1,AN53&lt;&gt;1)),ISNUMBER(AH53),AH53&lt;=T53),AT53,0)=MAX(IF(AND(NOT(AND(AO53=1,AN53&lt;&gt;1)),ISNUMBER(AG53),AG53&lt;=T53),AS53,0),IF(AND(NOT(AND(AO53=1,AN53&lt;&gt;1)),ISNUMBER(AH53),AH53&lt;=T53),AT53,0),IF(AND(NOT(AND(AO53=1,AN53&lt;&gt;1)),ISNUMBER(AI53),AI53&lt;=T53),AU53,0),IF(AND(ISNUMBER(AJ53),AJ53&lt;=T53),AV53,0))),"AB",IF(AND(IF(AND(NOT(AND(AO53=1,AN53&lt;&gt;1)),ISNUMBER(AI53),AI53&lt;=T53),AU53,0)&gt;0,IF(AND(NOT(AND(AO53=1,AN53&lt;&gt;1)),ISNUMBER(AI53),AI53&lt;=T53),AU53,0)=MAX(IF(AND(NOT(AND(AO53=1,AN53&lt;&gt;1)),ISNUMBER(AG53),AG53&lt;=T53),AS53,0),IF(AND(NOT(AND(AO53=1,AN53&lt;&gt;1)),ISNUMBER(AH53),AH53&lt;=T53),AT53,0),IF(AND(NOT(AND(AO53=1,AN53&lt;&gt;1)),ISNUMBER(AI53),AI53&lt;=T53),AU53,0),IF(AND(ISNUMBER(AJ53),AJ53&lt;=T53),AV53,0))),"SC","Mag")))))))</f>
        <v/>
      </c>
    </row>
    <row r="54">
      <c r="A54" s="26" t="n">
        <v>49</v>
      </c>
      <c r="B54" s="27">
        <f>A54*10/60</f>
        <v/>
      </c>
      <c r="C54" s="22">
        <f>X53</f>
        <v/>
      </c>
      <c r="D54" s="27">
        <f>D53+W53</f>
        <v/>
      </c>
      <c r="E54" s="26">
        <f>E53+IF(U53="SW",1,0)</f>
        <v/>
      </c>
      <c r="F54" s="26">
        <f>F53+IF(U53="AB",1,0)</f>
        <v/>
      </c>
      <c r="G54" s="26">
        <f>G53+IF(U53="SC",1,0)</f>
        <v/>
      </c>
      <c r="H54" s="26">
        <f>H53+IF(U53="Mag",1,0)</f>
        <v/>
      </c>
      <c r="I54" s="26">
        <f>MAX(I53,IF(U53="OR",1,0))</f>
        <v/>
      </c>
      <c r="J54" s="26">
        <f>MAX(J53,IF(U53="HP",1,0))</f>
        <v/>
      </c>
      <c r="K54" s="26">
        <f>MAX(K53,IF(U53="FP",1,0))</f>
        <v/>
      </c>
      <c r="L54" s="26">
        <f>MAX(L53,IF(U53="transition",1,0))</f>
        <v/>
      </c>
      <c r="M54" s="28">
        <f>(Parameters!$B$9+(IF(E54=0,0,(Upgrades!$J$6+E54*Upgrades!$K$6)*POWER(Upgrades!$L$6,E54)))*(IF(Upgrades!$T$7="Solar Wind",POWER(Upgrades!$U$7,F54),1)*IF(Upgrades!$T$8="Solar Wind",POWER(Upgrades!$U$8,G54),1)*IF(Upgrades!$T$9="Solar Wind",POWER(Upgrades!$U$9,H54),1)*IF(Upgrades!$T$10="Solar Wind",POWER(Upgrades!$U$10,I54),1)*IF(Upgrades!$T$11="Solar Wind",POWER(Upgrades!$U$11,J54),1)*IF(Upgrades!$T$12="Solar Wind",POWER(Upgrades!$U$12,K54),1))+(IF(F54=0,0,(Upgrades!$J$7+F54*Upgrades!$K$7)*POWER(Upgrades!$L$7,F54)))*(IF(Upgrades!$T$6="Asteroid Belt",POWER(Upgrades!$U$6,E54),1)*IF(Upgrades!$T$8="Asteroid Belt",POWER(Upgrades!$U$8,G54),1)*IF(Upgrades!$T$9="Asteroid Belt",POWER(Upgrades!$U$9,H54),1)*IF(Upgrades!$T$10="Asteroid Belt",POWER(Upgrades!$U$10,I54),1)*IF(Upgrades!$T$11="Asteroid Belt",POWER(Upgrades!$U$11,J54),1)*IF(Upgrades!$T$12="Asteroid Belt",POWER(Upgrades!$U$12,K54),1))+(IF(G54=0,0,(Upgrades!$J$8+G54*Upgrades!$K$8)*POWER(Upgrades!$L$8,G54)))*(IF(Upgrades!$T$6="Stellar Coupling",POWER(Upgrades!$U$6,E54),1)*IF(Upgrades!$T$7="Stellar Coupling",POWER(Upgrades!$U$7,F54),1)*IF(Upgrades!$T$9="Stellar Coupling",POWER(Upgrades!$U$9,H54),1)*IF(Upgrades!$T$10="Stellar Coupling",POWER(Upgrades!$U$10,I54),1)*IF(Upgrades!$T$11="Stellar Coupling",POWER(Upgrades!$U$11,J54),1)*IF(Upgrades!$T$12="Stellar Coupling",POWER(Upgrades!$U$12,K54),1))+(IF(H54=0,0,(Upgrades!$J$9+H54*Upgrades!$K$9)*POWER(Upgrades!$L$9,H54)))*(IF(Upgrades!$T$6="Magnetosphere",POWER(Upgrades!$U$6,E54),1)*IF(Upgrades!$T$7="Magnetosphere",POWER(Upgrades!$U$7,F54),1)*IF(Upgrades!$T$8="Magnetosphere",POWER(Upgrades!$U$8,G54),1)*IF(Upgrades!$T$10="Magnetosphere",POWER(Upgrades!$U$10,I54),1)*IF(Upgrades!$T$11="Magnetosphere",POWER(Upgrades!$U$11,J54),1)*IF(Upgrades!$T$12="Magnetosphere",POWER(Upgrades!$U$12,K54),1))+(IF(I54=0,0,(Upgrades!$J$10+I54*Upgrades!$K$10)*POWER(Upgrades!$L$10,I54)))*(IF(Upgrades!$T$6="Orbital Resonance",POWER(Upgrades!$U$6,E54),1)*IF(Upgrades!$T$7="Orbital Resonance",POWER(Upgrades!$U$7,F54),1)*IF(Upgrades!$T$8="Orbital Resonance",POWER(Upgrades!$U$8,G54),1)*IF(Upgrades!$T$9="Orbital Resonance",POWER(Upgrades!$U$9,H54),1)*IF(Upgrades!$T$11="Orbital Resonance",POWER(Upgrades!$U$11,J54),1)*IF(Upgrades!$T$12="Orbital Resonance",POWER(Upgrades!$U$12,K54),1))+(IF(J54=0,0,(Upgrades!$J$11+J54*Upgrades!$K$11)*POWER(Upgrades!$L$11,J54)))*(IF(Upgrades!$T$6="Heliopause",POWER(Upgrades!$U$6,E54),1)*IF(Upgrades!$T$7="Heliopause",POWER(Upgrades!$U$7,F54),1)*IF(Upgrades!$T$8="Heliopause",POWER(Upgrades!$U$8,G54),1)*IF(Upgrades!$T$9="Heliopause",POWER(Upgrades!$U$9,H54),1)*IF(Upgrades!$T$10="Heliopause",POWER(Upgrades!$U$10,I54),1)*IF(Upgrades!$T$12="Heliopause",POWER(Upgrades!$U$12,K54),1))+(IF(K54=0,0,(Upgrades!$J$12+K54*Upgrades!$K$12)*POWER(Upgrades!$L$12,K54)))*(IF(Upgrades!$T$6="First Photons",POWER(Upgrades!$U$6,E54),1)*IF(Upgrades!$T$7="First Photons",POWER(Upgrades!$U$7,F54),1)*IF(Upgrades!$T$8="First Photons",POWER(Upgrades!$U$8,G54),1)*IF(Upgrades!$T$9="First Photons",POWER(Upgrades!$U$9,H54),1)*IF(Upgrades!$T$10="First Photons",POWER(Upgrades!$U$10,I54),1)*IF(Upgrades!$T$11="First Photons",POWER(Upgrades!$U$11,J54),1)))*POWER(Upgrades!$Q$6,E54)*POWER(Upgrades!$Q$7,F54)*POWER(Upgrades!$Q$8,G54)*POWER(Upgrades!$Q$9,H54)*POWER(Upgrades!$Q$10,I54)*POWER(Upgrades!$Q$11,J54)*POWER(Upgrades!$Q$12,K54)</f>
        <v/>
      </c>
      <c r="N54" s="28">
        <f>((IF(E54=0,0,(Upgrades!$G$6+E54*Upgrades!$H$6)*POWER(Upgrades!$I$6,E54)))*(IF(Upgrades!$T$7="Solar Wind",POWER(Upgrades!$U$7,F54),1)*IF(Upgrades!$T$8="Solar Wind",POWER(Upgrades!$U$8,G54),1)*IF(Upgrades!$T$9="Solar Wind",POWER(Upgrades!$U$9,H54),1)*IF(Upgrades!$T$10="Solar Wind",POWER(Upgrades!$U$10,I54),1)*IF(Upgrades!$T$11="Solar Wind",POWER(Upgrades!$U$11,J54),1)*IF(Upgrades!$T$12="Solar Wind",POWER(Upgrades!$U$12,K54),1))+(IF(F54=0,0,(Upgrades!$G$7+F54*Upgrades!$H$7)*POWER(Upgrades!$I$7,F54)))*(IF(Upgrades!$T$6="Asteroid Belt",POWER(Upgrades!$U$6,E54),1)*IF(Upgrades!$T$8="Asteroid Belt",POWER(Upgrades!$U$8,G54),1)*IF(Upgrades!$T$9="Asteroid Belt",POWER(Upgrades!$U$9,H54),1)*IF(Upgrades!$T$10="Asteroid Belt",POWER(Upgrades!$U$10,I54),1)*IF(Upgrades!$T$11="Asteroid Belt",POWER(Upgrades!$U$11,J54),1)*IF(Upgrades!$T$12="Asteroid Belt",POWER(Upgrades!$U$12,K54),1))+(IF(G54=0,0,(Upgrades!$G$8+G54*Upgrades!$H$8)*POWER(Upgrades!$I$8,G54)))*(IF(Upgrades!$T$6="Stellar Coupling",POWER(Upgrades!$U$6,E54),1)*IF(Upgrades!$T$7="Stellar Coupling",POWER(Upgrades!$U$7,F54),1)*IF(Upgrades!$T$9="Stellar Coupling",POWER(Upgrades!$U$9,H54),1)*IF(Upgrades!$T$10="Stellar Coupling",POWER(Upgrades!$U$10,I54),1)*IF(Upgrades!$T$11="Stellar Coupling",POWER(Upgrades!$U$11,J54),1)*IF(Upgrades!$T$12="Stellar Coupling",POWER(Upgrades!$U$12,K54),1))+(IF(H54=0,0,(Upgrades!$G$9+H54*Upgrades!$H$9)*POWER(Upgrades!$I$9,H54)))*(IF(Upgrades!$T$6="Magnetosphere",POWER(Upgrades!$U$6,E54),1)*IF(Upgrades!$T$7="Magnetosphere",POWER(Upgrades!$U$7,F54),1)*IF(Upgrades!$T$8="Magnetosphere",POWER(Upgrades!$U$8,G54),1)*IF(Upgrades!$T$10="Magnetosphere",POWER(Upgrades!$U$10,I54),1)*IF(Upgrades!$T$11="Magnetosphere",POWER(Upgrades!$U$11,J54),1)*IF(Upgrades!$T$12="Magnetosphere",POWER(Upgrades!$U$12,K54),1))+(IF(I54=0,0,(Upgrades!$G$10+I54*Upgrades!$H$10)*POWER(Upgrades!$I$10,I54)))*(IF(Upgrades!$T$6="Orbital Resonance",POWER(Upgrades!$U$6,E54),1)*IF(Upgrades!$T$7="Orbital Resonance",POWER(Upgrades!$U$7,F54),1)*IF(Upgrades!$T$8="Orbital Resonance",POWER(Upgrades!$U$8,G54),1)*IF(Upgrades!$T$9="Orbital Resonance",POWER(Upgrades!$U$9,H54),1)*IF(Upgrades!$T$11="Orbital Resonance",POWER(Upgrades!$U$11,J54),1)*IF(Upgrades!$T$12="Orbital Resonance",POWER(Upgrades!$U$12,K54),1))+(IF(J54=0,0,(Upgrades!$G$11+J54*Upgrades!$H$11)*POWER(Upgrades!$I$11,J54)))*(IF(Upgrades!$T$6="Heliopause",POWER(Upgrades!$U$6,E54),1)*IF(Upgrades!$T$7="Heliopause",POWER(Upgrades!$U$7,F54),1)*IF(Upgrades!$T$8="Heliopause",POWER(Upgrades!$U$8,G54),1)*IF(Upgrades!$T$9="Heliopause",POWER(Upgrades!$U$9,H54),1)*IF(Upgrades!$T$10="Heliopause",POWER(Upgrades!$U$10,I54),1)*IF(Upgrades!$T$12="Heliopause",POWER(Upgrades!$U$12,K54),1))+(IF(K54=0,0,(Upgrades!$G$12+K54*Upgrades!$H$12)*POWER(Upgrades!$I$12,K54)))*(IF(Upgrades!$T$6="First Photons",POWER(Upgrades!$U$6,E54),1)*IF(Upgrades!$T$7="First Photons",POWER(Upgrades!$U$7,F54),1)*IF(Upgrades!$T$8="First Photons",POWER(Upgrades!$U$8,G54),1)*IF(Upgrades!$T$9="First Photons",POWER(Upgrades!$U$9,H54),1)*IF(Upgrades!$T$10="First Photons",POWER(Upgrades!$U$10,I54),1)*IF(Upgrades!$T$11="First Photons",POWER(Upgrades!$U$11,J54),1)))*POWER(Upgrades!$P$6,E54)*POWER(Upgrades!$P$7,F54)*POWER(Upgrades!$P$8,G54)*POWER(Upgrades!$P$9,H54)*POWER(Upgrades!$P$10,I54)*POWER(Upgrades!$P$11,J54)*POWER(Upgrades!$P$12,K54)</f>
        <v/>
      </c>
      <c r="O54" s="28">
        <f>((IF(E54=0,0,(Upgrades!$M$6+E54*Upgrades!$N$6)*POWER(Upgrades!$O$6,E54)))*(IF(Upgrades!$T$7="Solar Wind",POWER(Upgrades!$U$7,F54),1)*IF(Upgrades!$T$8="Solar Wind",POWER(Upgrades!$U$8,G54),1)*IF(Upgrades!$T$9="Solar Wind",POWER(Upgrades!$U$9,H54),1)*IF(Upgrades!$T$10="Solar Wind",POWER(Upgrades!$U$10,I54),1)*IF(Upgrades!$T$11="Solar Wind",POWER(Upgrades!$U$11,J54),1)*IF(Upgrades!$T$12="Solar Wind",POWER(Upgrades!$U$12,K54),1))+(IF(F54=0,0,(Upgrades!$M$7+F54*Upgrades!$N$7)*POWER(Upgrades!$O$7,F54)))*(IF(Upgrades!$T$6="Asteroid Belt",POWER(Upgrades!$U$6,E54),1)*IF(Upgrades!$T$8="Asteroid Belt",POWER(Upgrades!$U$8,G54),1)*IF(Upgrades!$T$9="Asteroid Belt",POWER(Upgrades!$U$9,H54),1)*IF(Upgrades!$T$10="Asteroid Belt",POWER(Upgrades!$U$10,I54),1)*IF(Upgrades!$T$11="Asteroid Belt",POWER(Upgrades!$U$11,J54),1)*IF(Upgrades!$T$12="Asteroid Belt",POWER(Upgrades!$U$12,K54),1))+(IF(G54=0,0,(Upgrades!$M$8+G54*Upgrades!$N$8)*POWER(Upgrades!$O$8,G54)))*(IF(Upgrades!$T$6="Stellar Coupling",POWER(Upgrades!$U$6,E54),1)*IF(Upgrades!$T$7="Stellar Coupling",POWER(Upgrades!$U$7,F54),1)*IF(Upgrades!$T$9="Stellar Coupling",POWER(Upgrades!$U$9,H54),1)*IF(Upgrades!$T$10="Stellar Coupling",POWER(Upgrades!$U$10,I54),1)*IF(Upgrades!$T$11="Stellar Coupling",POWER(Upgrades!$U$11,J54),1)*IF(Upgrades!$T$12="Stellar Coupling",POWER(Upgrades!$U$12,K54),1))+(IF(H54=0,0,(Upgrades!$M$9+H54*Upgrades!$N$9)*POWER(Upgrades!$O$9,H54)))*(IF(Upgrades!$T$6="Magnetosphere",POWER(Upgrades!$U$6,E54),1)*IF(Upgrades!$T$7="Magnetosphere",POWER(Upgrades!$U$7,F54),1)*IF(Upgrades!$T$8="Magnetosphere",POWER(Upgrades!$U$8,G54),1)*IF(Upgrades!$T$10="Magnetosphere",POWER(Upgrades!$U$10,I54),1)*IF(Upgrades!$T$11="Magnetosphere",POWER(Upgrades!$U$11,J54),1)*IF(Upgrades!$T$12="Magnetosphere",POWER(Upgrades!$U$12,K54),1))+(IF(I54=0,0,(Upgrades!$M$10+I54*Upgrades!$N$10)*POWER(Upgrades!$O$10,I54)))*(IF(Upgrades!$T$6="Orbital Resonance",POWER(Upgrades!$U$6,E54),1)*IF(Upgrades!$T$7="Orbital Resonance",POWER(Upgrades!$U$7,F54),1)*IF(Upgrades!$T$8="Orbital Resonance",POWER(Upgrades!$U$8,G54),1)*IF(Upgrades!$T$9="Orbital Resonance",POWER(Upgrades!$U$9,H54),1)*IF(Upgrades!$T$11="Orbital Resonance",POWER(Upgrades!$U$11,J54),1)*IF(Upgrades!$T$12="Orbital Resonance",POWER(Upgrades!$U$12,K54),1))+(IF(J54=0,0,(Upgrades!$M$11+J54*Upgrades!$N$11)*POWER(Upgrades!$O$11,J54)))*(IF(Upgrades!$T$6="Heliopause",POWER(Upgrades!$U$6,E54),1)*IF(Upgrades!$T$7="Heliopause",POWER(Upgrades!$U$7,F54),1)*IF(Upgrades!$T$8="Heliopause",POWER(Upgrades!$U$8,G54),1)*IF(Upgrades!$T$9="Heliopause",POWER(Upgrades!$U$9,H54),1)*IF(Upgrades!$T$10="Heliopause",POWER(Upgrades!$U$10,I54),1)*IF(Upgrades!$T$12="Heliopause",POWER(Upgrades!$U$12,K54),1))+(IF(K54=0,0,(Upgrades!$M$12+K54*Upgrades!$N$12)*POWER(Upgrades!$O$12,K54)))*(IF(Upgrades!$T$6="First Photons",POWER(Upgrades!$U$6,E54),1)*IF(Upgrades!$T$7="First Photons",POWER(Upgrades!$U$7,F54),1)*IF(Upgrades!$T$8="First Photons",POWER(Upgrades!$U$8,G54),1)*IF(Upgrades!$T$9="First Photons",POWER(Upgrades!$U$9,H54),1)*IF(Upgrades!$T$10="First Photons",POWER(Upgrades!$U$10,I54),1)*IF(Upgrades!$T$11="First Photons",POWER(Upgrades!$U$11,J54),1)))*POWER(Upgrades!$R$6,E54)*POWER(Upgrades!$R$7,F54)*POWER(Upgrades!$R$8,G54)*POWER(Upgrades!$R$9,H54)*POWER(Upgrades!$R$10,I54)*POWER(Upgrades!$R$11,J54)*POWER(Upgrades!$R$12,K54)</f>
        <v/>
      </c>
      <c r="P54" s="27">
        <f>IF(L54=1,0,M54*Parameters!$B$10/60*Parameters!$B$11*10)</f>
        <v/>
      </c>
      <c r="Q54" s="27">
        <f>IF(L54=1,0,O54*M54*10)</f>
        <v/>
      </c>
      <c r="R54" s="27">
        <f>IF(L54=1,0,N54*10)</f>
        <v/>
      </c>
      <c r="S54" s="27">
        <f>P54+Q54+R54</f>
        <v/>
      </c>
      <c r="T54" s="22">
        <f>C54+S54</f>
        <v/>
      </c>
      <c r="U54" s="33">
        <f>AX54</f>
        <v/>
      </c>
      <c r="V54" s="22">
        <f>IF(U54="",0,IF(U54="transition",0,IF(U54="SW",AG54,IF(U54="AB",AH54,IF(U54="SC",AI54,IF(U54="Mag",AJ54,IF(U54="OR",AK54,IF(U54="HP",AL54,IF(U54="FP",AM54,0)))))))))</f>
        <v/>
      </c>
      <c r="W54" s="27">
        <f>IF(U54="OR",Upgrades!$F$10,IF(U54="HP",Upgrades!$F$11,IF(U54="transition",-Parameters!$B$18,0)))</f>
        <v/>
      </c>
      <c r="X54" s="22">
        <f>T54-V54</f>
        <v/>
      </c>
      <c r="Y54" s="30">
        <f>M54*Parameters!$B$10/60*Parameters!$B$11+O54*M54+N54</f>
        <v/>
      </c>
      <c r="Z54" s="34">
        <f>IF(U54="transition","→ Tier 2 (Stellar Neighborhood)",IF(U54="FP","First Photons — light begins, system quickens",IF(U54="HP","Heliopause acquired",IF(U54="OR","Orbital Resonance — passive multiplier active",IF(AND(AO54=1,L54=0,AN54&lt;&gt;1),"Cohesion ready (waiting on completionist upgrades)","")))))</f>
        <v/>
      </c>
      <c r="AA54" s="27">
        <f>(IF(E54=0,0,(Upgrades!$G$6+E54*Upgrades!$H$6)*POWER(Upgrades!$I$6,E54)))*(IF(Upgrades!$T$7="Solar Wind",POWER(Upgrades!$U$7,F54),1)*IF(Upgrades!$T$8="Solar Wind",POWER(Upgrades!$U$8,G54),1)*IF(Upgrades!$T$9="Solar Wind",POWER(Upgrades!$U$9,H54),1)*IF(Upgrades!$T$10="Solar Wind",POWER(Upgrades!$U$10,I54),1)*IF(Upgrades!$T$11="Solar Wind",POWER(Upgrades!$U$11,J54),1)*IF(Upgrades!$T$12="Solar Wind",POWER(Upgrades!$U$12,K54),1))*POWER(Upgrades!$P$6,E54)*POWER(Upgrades!$P$7,F54)*POWER(Upgrades!$P$8,G54)*POWER(Upgrades!$P$9,H54)*POWER(Upgrades!$P$10,I54)*POWER(Upgrades!$P$11,J54)*POWER(Upgrades!$P$12,K54)*60</f>
        <v/>
      </c>
      <c r="AB54" s="27">
        <f>(IF(F54=0,0,(Upgrades!$G$7+F54*Upgrades!$H$7)*POWER(Upgrades!$I$7,F54)))*(IF(Upgrades!$T$6="Asteroid Belt",POWER(Upgrades!$U$6,E54),1)*IF(Upgrades!$T$8="Asteroid Belt",POWER(Upgrades!$U$8,G54),1)*IF(Upgrades!$T$9="Asteroid Belt",POWER(Upgrades!$U$9,H54),1)*IF(Upgrades!$T$10="Asteroid Belt",POWER(Upgrades!$U$10,I54),1)*IF(Upgrades!$T$11="Asteroid Belt",POWER(Upgrades!$U$11,J54),1)*IF(Upgrades!$T$12="Asteroid Belt",POWER(Upgrades!$U$12,K54),1))*POWER(Upgrades!$P$6,E54)*POWER(Upgrades!$P$7,F54)*POWER(Upgrades!$P$8,G54)*POWER(Upgrades!$P$9,H54)*POWER(Upgrades!$P$10,I54)*POWER(Upgrades!$P$11,J54)*POWER(Upgrades!$P$12,K54)*60</f>
        <v/>
      </c>
      <c r="AC54" s="27">
        <f>(IF(G54=0,0,(Upgrades!$J$8+G54*Upgrades!$K$8)*POWER(Upgrades!$L$8,G54)))*(IF(Upgrades!$T$6="Stellar Coupling",POWER(Upgrades!$U$6,E54),1)*IF(Upgrades!$T$7="Stellar Coupling",POWER(Upgrades!$U$7,F54),1)*IF(Upgrades!$T$9="Stellar Coupling",POWER(Upgrades!$U$9,H54),1)*IF(Upgrades!$T$10="Stellar Coupling",POWER(Upgrades!$U$10,I54),1)*IF(Upgrades!$T$11="Stellar Coupling",POWER(Upgrades!$U$11,J54),1)*IF(Upgrades!$T$12="Stellar Coupling",POWER(Upgrades!$U$12,K54),1))*POWER(Upgrades!$Q$6,E54)*POWER(Upgrades!$Q$7,F54)*POWER(Upgrades!$Q$8,G54)*POWER(Upgrades!$Q$9,H54)*POWER(Upgrades!$Q$10,I54)*POWER(Upgrades!$Q$11,J54)*POWER(Upgrades!$Q$12,K54)*Parameters!$B$10*Parameters!$B$11</f>
        <v/>
      </c>
      <c r="AD54" s="27">
        <f>(IF(H54=0,0,(Upgrades!$G$9+H54*Upgrades!$H$9)*POWER(Upgrades!$I$9,H54)))*(IF(Upgrades!$T$6="Magnetosphere",POWER(Upgrades!$U$6,E54),1)*IF(Upgrades!$T$7="Magnetosphere",POWER(Upgrades!$U$7,F54),1)*IF(Upgrades!$T$8="Magnetosphere",POWER(Upgrades!$U$8,G54),1)*IF(Upgrades!$T$10="Magnetosphere",POWER(Upgrades!$U$10,I54),1)*IF(Upgrades!$T$11="Magnetosphere",POWER(Upgrades!$U$11,J54),1)*IF(Upgrades!$T$12="Magnetosphere",POWER(Upgrades!$U$12,K54),1))*POWER(Upgrades!$P$6,E54)*POWER(Upgrades!$P$7,F54)*POWER(Upgrades!$P$8,G54)*POWER(Upgrades!$P$9,H54)*POWER(Upgrades!$P$10,I54)*POWER(Upgrades!$P$11,J54)*POWER(Upgrades!$P$12,K54)*60</f>
        <v/>
      </c>
      <c r="AE54" s="27">
        <f>(IF(K54=0,0,(Upgrades!$G$12+K54*Upgrades!$H$12)*POWER(Upgrades!$I$12,K54)))*(IF(Upgrades!$T$6="First Photons",POWER(Upgrades!$U$6,E54),1)*IF(Upgrades!$T$7="First Photons",POWER(Upgrades!$U$7,F54),1)*IF(Upgrades!$T$8="First Photons",POWER(Upgrades!$U$8,G54),1)*IF(Upgrades!$T$9="First Photons",POWER(Upgrades!$U$9,H54),1)*IF(Upgrades!$T$10="First Photons",POWER(Upgrades!$U$10,I54),1)*IF(Upgrades!$T$11="First Photons",POWER(Upgrades!$U$11,J54),1))*POWER(Upgrades!$P$6,E54)*POWER(Upgrades!$P$7,F54)*POWER(Upgrades!$P$8,G54)*POWER(Upgrades!$P$9,H54)*POWER(Upgrades!$P$10,I54)*POWER(Upgrades!$P$11,J54)*POWER(Upgrades!$P$12,K54)*60</f>
        <v/>
      </c>
      <c r="AF54" s="27">
        <f>Parameters!$B$9*POWER(Upgrades!$Q$6,E54)*POWER(Upgrades!$Q$7,F54)*POWER(Upgrades!$Q$8,G54)*POWER(Upgrades!$Q$9,H54)*POWER(Upgrades!$Q$10,I54)*POWER(Upgrades!$Q$11,J54)*POWER(Upgrades!$Q$12,K54)*(Parameters!$B$10*Parameters!$B$11+O54*60)</f>
        <v/>
      </c>
      <c r="AG54" s="22">
        <f>IF(E54&gt;=Upgrades!$E$6,"",Upgrades!$C$6*POWER(Upgrades!$D$6,E54))</f>
        <v/>
      </c>
      <c r="AH54" s="22">
        <f>IF(F54&gt;=Upgrades!$E$7,"",Upgrades!$C$7*POWER(Upgrades!$D$7,F54))</f>
        <v/>
      </c>
      <c r="AI54" s="22">
        <f>IF(G54&gt;=Upgrades!$E$8,"",Upgrades!$C$8*POWER(Upgrades!$D$8,G54))</f>
        <v/>
      </c>
      <c r="AJ54" s="22">
        <f>IF(H54&gt;=Upgrades!$E$9,"",Upgrades!$C$9*POWER(Upgrades!$D$9,H54))</f>
        <v/>
      </c>
      <c r="AK54" s="22">
        <f>IF(I54&gt;=Upgrades!$E$10,"",Upgrades!$C$10*POWER(Upgrades!$D$10,I54))</f>
        <v/>
      </c>
      <c r="AL54" s="22">
        <f>IF(J54&gt;=Upgrades!$E$11,"",Upgrades!$C$11*POWER(Upgrades!$D$11,J54))</f>
        <v/>
      </c>
      <c r="AM54" s="22">
        <f>IF(K54&gt;=Upgrades!$E$12,"",Upgrades!$C$12*POWER(Upgrades!$D$12,K54))</f>
        <v/>
      </c>
      <c r="AN54" s="26">
        <f>IF(AND(D54&gt;=Parameters!$B$18,(H54&gt;=Upgrades!$E$9)*(K54&gt;=Upgrades!$E$12)=1,L54=0),1,"")</f>
        <v/>
      </c>
      <c r="AO54" s="26">
        <f>IF(AND(D54&gt;=Parameters!$B$18,L54=0),1,"")</f>
        <v/>
      </c>
      <c r="AP54" s="22">
        <f>MIN(IF(ISNUMBER(AK54),AK54,9E15),IF(ISNUMBER(AL54),AL54,9E15),IF(ISNUMBER(AM54),AM54,9E15))</f>
        <v/>
      </c>
      <c r="AQ54" s="22">
        <f>MIN(IF(ISNUMBER(AG54),AG54,9E15),IF(ISNUMBER(AH54),AH54,9E15),IF(ISNUMBER(AI54),AI54,9E15),IF(ISNUMBER(AJ54),AJ54,9E15))</f>
        <v/>
      </c>
      <c r="AR54" s="29">
        <f>IF(AW54&gt;Parameters!$B$21*(MAX(IF(AND(NOT(AND(AO54=1,AN54&lt;&gt;1)),ISNUMBER(AG54),AG54&lt;=T54),AS54,0),IF(AND(NOT(AND(AO54=1,AN54&lt;&gt;1)),ISNUMBER(AH54),AH54&lt;=T54),AT54,0),IF(AND(NOT(AND(AO54=1,AN54&lt;&gt;1)),ISNUMBER(AI54),AI54&lt;=T54),AU54,0),IF(AND(ISNUMBER(AJ54),AJ54&lt;=T54),AV54,0))),TRUE,FALSE)</f>
        <v/>
      </c>
      <c r="AS54" s="32">
        <f>IFERROR(Upgrades!$H$6*(POWER(Upgrades!$P$6,E54)*POWER(Upgrades!$P$7,F54)*POWER(Upgrades!$P$8,G54)*POWER(Upgrades!$P$9,H54)*POWER(Upgrades!$P$10,I54)*POWER(Upgrades!$P$11,J54)*POWER(Upgrades!$P$12,K54))*(IF(Upgrades!$T$7="Solar Wind",POWER(Upgrades!$U$7,F54),1)*IF(Upgrades!$T$8="Solar Wind",POWER(Upgrades!$U$8,G54),1)*IF(Upgrades!$T$9="Solar Wind",POWER(Upgrades!$U$9,H54),1)*IF(Upgrades!$T$10="Solar Wind",POWER(Upgrades!$U$10,I54),1)*IF(Upgrades!$T$11="Solar Wind",POWER(Upgrades!$U$11,J54),1)*IF(Upgrades!$T$12="Solar Wind",POWER(Upgrades!$U$12,K54),1))/AG54,0)</f>
        <v/>
      </c>
      <c r="AT54" s="32">
        <f>IFERROR(Upgrades!$H$7*(POWER(Upgrades!$P$6,E54)*POWER(Upgrades!$P$7,F54)*POWER(Upgrades!$P$8,G54)*POWER(Upgrades!$P$9,H54)*POWER(Upgrades!$P$10,I54)*POWER(Upgrades!$P$11,J54)*POWER(Upgrades!$P$12,K54))*(IF(Upgrades!$T$6="Asteroid Belt",POWER(Upgrades!$U$6,E54),1)*IF(Upgrades!$T$8="Asteroid Belt",POWER(Upgrades!$U$8,G54),1)*IF(Upgrades!$T$9="Asteroid Belt",POWER(Upgrades!$U$9,H54),1)*IF(Upgrades!$T$10="Asteroid Belt",POWER(Upgrades!$U$10,I54),1)*IF(Upgrades!$T$11="Asteroid Belt",POWER(Upgrades!$U$11,J54),1)*IF(Upgrades!$T$12="Asteroid Belt",POWER(Upgrades!$U$12,K54),1))/AH54,0)</f>
        <v/>
      </c>
      <c r="AU54" s="32">
        <f>IFERROR(Upgrades!$K$8*(POWER(Upgrades!$Q$6,E54)*POWER(Upgrades!$Q$7,F54)*POWER(Upgrades!$Q$8,G54)*POWER(Upgrades!$Q$9,H54)*POWER(Upgrades!$Q$10,I54)*POWER(Upgrades!$Q$11,J54)*POWER(Upgrades!$Q$12,K54))*(IF(Upgrades!$T$6="Stellar Coupling",POWER(Upgrades!$U$6,E54),1)*IF(Upgrades!$T$7="Stellar Coupling",POWER(Upgrades!$U$7,F54),1)*IF(Upgrades!$T$9="Stellar Coupling",POWER(Upgrades!$U$9,H54),1)*IF(Upgrades!$T$10="Stellar Coupling",POWER(Upgrades!$U$10,I54),1)*IF(Upgrades!$T$11="Stellar Coupling",POWER(Upgrades!$U$11,J54),1)*IF(Upgrades!$T$12="Stellar Coupling",POWER(Upgrades!$U$12,K54),1))*Parameters!$B$10*Parameters!$B$11/60/AI54,0)</f>
        <v/>
      </c>
      <c r="AV54" s="32">
        <f>IFERROR(Upgrades!$H$9*(POWER(Upgrades!$P$6,E54)*POWER(Upgrades!$P$7,F54)*POWER(Upgrades!$P$8,G54)*POWER(Upgrades!$P$9,H54)*POWER(Upgrades!$P$10,I54)*POWER(Upgrades!$P$11,J54)*POWER(Upgrades!$P$12,K54))*(IF(Upgrades!$T$6="Magnetosphere",POWER(Upgrades!$U$6,E54),1)*IF(Upgrades!$T$7="Magnetosphere",POWER(Upgrades!$U$7,F54),1)*IF(Upgrades!$T$8="Magnetosphere",POWER(Upgrades!$U$8,G54),1)*IF(Upgrades!$T$10="Magnetosphere",POWER(Upgrades!$U$10,I54),1)*IF(Upgrades!$T$11="Magnetosphere",POWER(Upgrades!$U$11,J54),1)*IF(Upgrades!$T$12="Magnetosphere",POWER(Upgrades!$U$12,K54),1))/AJ54,0)</f>
        <v/>
      </c>
      <c r="AW54" s="32">
        <f>MAX(IF(I54&gt;0,0,IFERROR(0.25*N54/Upgrades!$C$10,0)),IF(J54&gt;0,0,IFERROR(0.5*((IF(G54=0,0,(Upgrades!$J$8+G54*Upgrades!$K$8)*POWER(Upgrades!$L$8,G54)))*(IF(Upgrades!$T$6="Stellar Coupling",POWER(Upgrades!$U$6,E54),1)*IF(Upgrades!$T$7="Stellar Coupling",POWER(Upgrades!$U$7,F54),1)*IF(Upgrades!$T$9="Stellar Coupling",POWER(Upgrades!$U$9,H54),1)*IF(Upgrades!$T$10="Stellar Coupling",POWER(Upgrades!$U$10,I54),1)*IF(Upgrades!$T$11="Stellar Coupling",POWER(Upgrades!$U$11,J54),1)*IF(Upgrades!$T$12="Stellar Coupling",POWER(Upgrades!$U$12,K54),1))*(POWER(Upgrades!$Q$6,E54)*POWER(Upgrades!$Q$7,F54)*POWER(Upgrades!$Q$8,G54)*POWER(Upgrades!$Q$9,H54)*POWER(Upgrades!$Q$10,I54)*POWER(Upgrades!$Q$11,J54)*POWER(Upgrades!$Q$12,K54))*Parameters!$B$10*Parameters!$B$11/60)/Upgrades!$C$11,0)),IF(K54&gt;0,0,IFERROR((1.0*(POWER(Upgrades!$P$6,E54)*POWER(Upgrades!$P$7,F54)*POWER(Upgrades!$P$8,G54)*POWER(Upgrades!$P$9,H54)*POWER(Upgrades!$P$10,I54)*POWER(Upgrades!$P$11,J54)*POWER(Upgrades!$P$12,K54))+0.20*M54*Parameters!$B$10*Parameters!$B$11/60)/Upgrades!$C$12,0)),IF(AND(ISNUMBER(AG54),AG54&gt;T54),AS54,0),IF(AND(ISNUMBER(AH54),AH54&gt;T54),AT54,0),IF(AND(ISNUMBER(AI54),AI54&gt;T54),AU54,0),IF(AND(ISNUMBER(AJ54),AJ54&gt;T54),AV54,0))</f>
        <v/>
      </c>
      <c r="AX54" s="29">
        <f>IF(AN54=1,"transition",IF(MIN(IF(AND(I54=0,ISNUMBER(AK54),AK54&lt;=T54),AK54,9E15),IF(AND(J54=0,ISNUMBER(AL54),AL54&lt;=T54),AL54,9E15),IF(AND(K54=0,ISNUMBER(AM54),AM54&lt;=T54),AM54,9E15))&lt;9E15,IF(AND(AND(I54=0,ISNUMBER(AK54),AK54&lt;=T54),AK54=MIN(IF(AND(I54=0,ISNUMBER(AK54),AK54&lt;=T54),AK54,9E15),IF(AND(J54=0,ISNUMBER(AL54),AL54&lt;=T54),AL54,9E15),IF(AND(K54=0,ISNUMBER(AM54),AM54&lt;=T54),AM54,9E15))),"OR",IF(AND(AND(J54=0,ISNUMBER(AL54),AL54&lt;=T54),AL54=MIN(IF(AND(I54=0,ISNUMBER(AK54),AK54&lt;=T54),AK54,9E15),IF(AND(J54=0,ISNUMBER(AL54),AL54&lt;=T54),AL54,9E15),IF(AND(K54=0,ISNUMBER(AM54),AM54&lt;=T54),AM54,9E15))),"HP","FP")),IF(AR54=TRUE,"",IF(MAX(IF(AND(NOT(AND(AO54=1,AN54&lt;&gt;1)),ISNUMBER(AG54),AG54&lt;=T54),AS54,0),IF(AND(NOT(AND(AO54=1,AN54&lt;&gt;1)),ISNUMBER(AH54),AH54&lt;=T54),AT54,0),IF(AND(NOT(AND(AO54=1,AN54&lt;&gt;1)),ISNUMBER(AI54),AI54&lt;=T54),AU54,0),IF(AND(ISNUMBER(AJ54),AJ54&lt;=T54),AV54,0))&lt;=0,"",IF(AND(IF(AND(NOT(AND(AO54=1,AN54&lt;&gt;1)),ISNUMBER(AG54),AG54&lt;=T54),AS54,0)&gt;0,IF(AND(NOT(AND(AO54=1,AN54&lt;&gt;1)),ISNUMBER(AG54),AG54&lt;=T54),AS54,0)=MAX(IF(AND(NOT(AND(AO54=1,AN54&lt;&gt;1)),ISNUMBER(AG54),AG54&lt;=T54),AS54,0),IF(AND(NOT(AND(AO54=1,AN54&lt;&gt;1)),ISNUMBER(AH54),AH54&lt;=T54),AT54,0),IF(AND(NOT(AND(AO54=1,AN54&lt;&gt;1)),ISNUMBER(AI54),AI54&lt;=T54),AU54,0),IF(AND(ISNUMBER(AJ54),AJ54&lt;=T54),AV54,0))),"SW",IF(AND(IF(AND(NOT(AND(AO54=1,AN54&lt;&gt;1)),ISNUMBER(AH54),AH54&lt;=T54),AT54,0)&gt;0,IF(AND(NOT(AND(AO54=1,AN54&lt;&gt;1)),ISNUMBER(AH54),AH54&lt;=T54),AT54,0)=MAX(IF(AND(NOT(AND(AO54=1,AN54&lt;&gt;1)),ISNUMBER(AG54),AG54&lt;=T54),AS54,0),IF(AND(NOT(AND(AO54=1,AN54&lt;&gt;1)),ISNUMBER(AH54),AH54&lt;=T54),AT54,0),IF(AND(NOT(AND(AO54=1,AN54&lt;&gt;1)),ISNUMBER(AI54),AI54&lt;=T54),AU54,0),IF(AND(ISNUMBER(AJ54),AJ54&lt;=T54),AV54,0))),"AB",IF(AND(IF(AND(NOT(AND(AO54=1,AN54&lt;&gt;1)),ISNUMBER(AI54),AI54&lt;=T54),AU54,0)&gt;0,IF(AND(NOT(AND(AO54=1,AN54&lt;&gt;1)),ISNUMBER(AI54),AI54&lt;=T54),AU54,0)=MAX(IF(AND(NOT(AND(AO54=1,AN54&lt;&gt;1)),ISNUMBER(AG54),AG54&lt;=T54),AS54,0),IF(AND(NOT(AND(AO54=1,AN54&lt;&gt;1)),ISNUMBER(AH54),AH54&lt;=T54),AT54,0),IF(AND(NOT(AND(AO54=1,AN54&lt;&gt;1)),ISNUMBER(AI54),AI54&lt;=T54),AU54,0),IF(AND(ISNUMBER(AJ54),AJ54&lt;=T54),AV54,0))),"SC","Mag")))))))</f>
        <v/>
      </c>
    </row>
    <row r="55">
      <c r="A55" s="26" t="n">
        <v>50</v>
      </c>
      <c r="B55" s="27">
        <f>A55*10/60</f>
        <v/>
      </c>
      <c r="C55" s="22">
        <f>X54</f>
        <v/>
      </c>
      <c r="D55" s="27">
        <f>D54+W54</f>
        <v/>
      </c>
      <c r="E55" s="26">
        <f>E54+IF(U54="SW",1,0)</f>
        <v/>
      </c>
      <c r="F55" s="26">
        <f>F54+IF(U54="AB",1,0)</f>
        <v/>
      </c>
      <c r="G55" s="26">
        <f>G54+IF(U54="SC",1,0)</f>
        <v/>
      </c>
      <c r="H55" s="26">
        <f>H54+IF(U54="Mag",1,0)</f>
        <v/>
      </c>
      <c r="I55" s="26">
        <f>MAX(I54,IF(U54="OR",1,0))</f>
        <v/>
      </c>
      <c r="J55" s="26">
        <f>MAX(J54,IF(U54="HP",1,0))</f>
        <v/>
      </c>
      <c r="K55" s="26">
        <f>MAX(K54,IF(U54="FP",1,0))</f>
        <v/>
      </c>
      <c r="L55" s="26">
        <f>MAX(L54,IF(U54="transition",1,0))</f>
        <v/>
      </c>
      <c r="M55" s="28">
        <f>(Parameters!$B$9+(IF(E55=0,0,(Upgrades!$J$6+E55*Upgrades!$K$6)*POWER(Upgrades!$L$6,E55)))*(IF(Upgrades!$T$7="Solar Wind",POWER(Upgrades!$U$7,F55),1)*IF(Upgrades!$T$8="Solar Wind",POWER(Upgrades!$U$8,G55),1)*IF(Upgrades!$T$9="Solar Wind",POWER(Upgrades!$U$9,H55),1)*IF(Upgrades!$T$10="Solar Wind",POWER(Upgrades!$U$10,I55),1)*IF(Upgrades!$T$11="Solar Wind",POWER(Upgrades!$U$11,J55),1)*IF(Upgrades!$T$12="Solar Wind",POWER(Upgrades!$U$12,K55),1))+(IF(F55=0,0,(Upgrades!$J$7+F55*Upgrades!$K$7)*POWER(Upgrades!$L$7,F55)))*(IF(Upgrades!$T$6="Asteroid Belt",POWER(Upgrades!$U$6,E55),1)*IF(Upgrades!$T$8="Asteroid Belt",POWER(Upgrades!$U$8,G55),1)*IF(Upgrades!$T$9="Asteroid Belt",POWER(Upgrades!$U$9,H55),1)*IF(Upgrades!$T$10="Asteroid Belt",POWER(Upgrades!$U$10,I55),1)*IF(Upgrades!$T$11="Asteroid Belt",POWER(Upgrades!$U$11,J55),1)*IF(Upgrades!$T$12="Asteroid Belt",POWER(Upgrades!$U$12,K55),1))+(IF(G55=0,0,(Upgrades!$J$8+G55*Upgrades!$K$8)*POWER(Upgrades!$L$8,G55)))*(IF(Upgrades!$T$6="Stellar Coupling",POWER(Upgrades!$U$6,E55),1)*IF(Upgrades!$T$7="Stellar Coupling",POWER(Upgrades!$U$7,F55),1)*IF(Upgrades!$T$9="Stellar Coupling",POWER(Upgrades!$U$9,H55),1)*IF(Upgrades!$T$10="Stellar Coupling",POWER(Upgrades!$U$10,I55),1)*IF(Upgrades!$T$11="Stellar Coupling",POWER(Upgrades!$U$11,J55),1)*IF(Upgrades!$T$12="Stellar Coupling",POWER(Upgrades!$U$12,K55),1))+(IF(H55=0,0,(Upgrades!$J$9+H55*Upgrades!$K$9)*POWER(Upgrades!$L$9,H55)))*(IF(Upgrades!$T$6="Magnetosphere",POWER(Upgrades!$U$6,E55),1)*IF(Upgrades!$T$7="Magnetosphere",POWER(Upgrades!$U$7,F55),1)*IF(Upgrades!$T$8="Magnetosphere",POWER(Upgrades!$U$8,G55),1)*IF(Upgrades!$T$10="Magnetosphere",POWER(Upgrades!$U$10,I55),1)*IF(Upgrades!$T$11="Magnetosphere",POWER(Upgrades!$U$11,J55),1)*IF(Upgrades!$T$12="Magnetosphere",POWER(Upgrades!$U$12,K55),1))+(IF(I55=0,0,(Upgrades!$J$10+I55*Upgrades!$K$10)*POWER(Upgrades!$L$10,I55)))*(IF(Upgrades!$T$6="Orbital Resonance",POWER(Upgrades!$U$6,E55),1)*IF(Upgrades!$T$7="Orbital Resonance",POWER(Upgrades!$U$7,F55),1)*IF(Upgrades!$T$8="Orbital Resonance",POWER(Upgrades!$U$8,G55),1)*IF(Upgrades!$T$9="Orbital Resonance",POWER(Upgrades!$U$9,H55),1)*IF(Upgrades!$T$11="Orbital Resonance",POWER(Upgrades!$U$11,J55),1)*IF(Upgrades!$T$12="Orbital Resonance",POWER(Upgrades!$U$12,K55),1))+(IF(J55=0,0,(Upgrades!$J$11+J55*Upgrades!$K$11)*POWER(Upgrades!$L$11,J55)))*(IF(Upgrades!$T$6="Heliopause",POWER(Upgrades!$U$6,E55),1)*IF(Upgrades!$T$7="Heliopause",POWER(Upgrades!$U$7,F55),1)*IF(Upgrades!$T$8="Heliopause",POWER(Upgrades!$U$8,G55),1)*IF(Upgrades!$T$9="Heliopause",POWER(Upgrades!$U$9,H55),1)*IF(Upgrades!$T$10="Heliopause",POWER(Upgrades!$U$10,I55),1)*IF(Upgrades!$T$12="Heliopause",POWER(Upgrades!$U$12,K55),1))+(IF(K55=0,0,(Upgrades!$J$12+K55*Upgrades!$K$12)*POWER(Upgrades!$L$12,K55)))*(IF(Upgrades!$T$6="First Photons",POWER(Upgrades!$U$6,E55),1)*IF(Upgrades!$T$7="First Photons",POWER(Upgrades!$U$7,F55),1)*IF(Upgrades!$T$8="First Photons",POWER(Upgrades!$U$8,G55),1)*IF(Upgrades!$T$9="First Photons",POWER(Upgrades!$U$9,H55),1)*IF(Upgrades!$T$10="First Photons",POWER(Upgrades!$U$10,I55),1)*IF(Upgrades!$T$11="First Photons",POWER(Upgrades!$U$11,J55),1)))*POWER(Upgrades!$Q$6,E55)*POWER(Upgrades!$Q$7,F55)*POWER(Upgrades!$Q$8,G55)*POWER(Upgrades!$Q$9,H55)*POWER(Upgrades!$Q$10,I55)*POWER(Upgrades!$Q$11,J55)*POWER(Upgrades!$Q$12,K55)</f>
        <v/>
      </c>
      <c r="N55" s="28">
        <f>((IF(E55=0,0,(Upgrades!$G$6+E55*Upgrades!$H$6)*POWER(Upgrades!$I$6,E55)))*(IF(Upgrades!$T$7="Solar Wind",POWER(Upgrades!$U$7,F55),1)*IF(Upgrades!$T$8="Solar Wind",POWER(Upgrades!$U$8,G55),1)*IF(Upgrades!$T$9="Solar Wind",POWER(Upgrades!$U$9,H55),1)*IF(Upgrades!$T$10="Solar Wind",POWER(Upgrades!$U$10,I55),1)*IF(Upgrades!$T$11="Solar Wind",POWER(Upgrades!$U$11,J55),1)*IF(Upgrades!$T$12="Solar Wind",POWER(Upgrades!$U$12,K55),1))+(IF(F55=0,0,(Upgrades!$G$7+F55*Upgrades!$H$7)*POWER(Upgrades!$I$7,F55)))*(IF(Upgrades!$T$6="Asteroid Belt",POWER(Upgrades!$U$6,E55),1)*IF(Upgrades!$T$8="Asteroid Belt",POWER(Upgrades!$U$8,G55),1)*IF(Upgrades!$T$9="Asteroid Belt",POWER(Upgrades!$U$9,H55),1)*IF(Upgrades!$T$10="Asteroid Belt",POWER(Upgrades!$U$10,I55),1)*IF(Upgrades!$T$11="Asteroid Belt",POWER(Upgrades!$U$11,J55),1)*IF(Upgrades!$T$12="Asteroid Belt",POWER(Upgrades!$U$12,K55),1))+(IF(G55=0,0,(Upgrades!$G$8+G55*Upgrades!$H$8)*POWER(Upgrades!$I$8,G55)))*(IF(Upgrades!$T$6="Stellar Coupling",POWER(Upgrades!$U$6,E55),1)*IF(Upgrades!$T$7="Stellar Coupling",POWER(Upgrades!$U$7,F55),1)*IF(Upgrades!$T$9="Stellar Coupling",POWER(Upgrades!$U$9,H55),1)*IF(Upgrades!$T$10="Stellar Coupling",POWER(Upgrades!$U$10,I55),1)*IF(Upgrades!$T$11="Stellar Coupling",POWER(Upgrades!$U$11,J55),1)*IF(Upgrades!$T$12="Stellar Coupling",POWER(Upgrades!$U$12,K55),1))+(IF(H55=0,0,(Upgrades!$G$9+H55*Upgrades!$H$9)*POWER(Upgrades!$I$9,H55)))*(IF(Upgrades!$T$6="Magnetosphere",POWER(Upgrades!$U$6,E55),1)*IF(Upgrades!$T$7="Magnetosphere",POWER(Upgrades!$U$7,F55),1)*IF(Upgrades!$T$8="Magnetosphere",POWER(Upgrades!$U$8,G55),1)*IF(Upgrades!$T$10="Magnetosphere",POWER(Upgrades!$U$10,I55),1)*IF(Upgrades!$T$11="Magnetosphere",POWER(Upgrades!$U$11,J55),1)*IF(Upgrades!$T$12="Magnetosphere",POWER(Upgrades!$U$12,K55),1))+(IF(I55=0,0,(Upgrades!$G$10+I55*Upgrades!$H$10)*POWER(Upgrades!$I$10,I55)))*(IF(Upgrades!$T$6="Orbital Resonance",POWER(Upgrades!$U$6,E55),1)*IF(Upgrades!$T$7="Orbital Resonance",POWER(Upgrades!$U$7,F55),1)*IF(Upgrades!$T$8="Orbital Resonance",POWER(Upgrades!$U$8,G55),1)*IF(Upgrades!$T$9="Orbital Resonance",POWER(Upgrades!$U$9,H55),1)*IF(Upgrades!$T$11="Orbital Resonance",POWER(Upgrades!$U$11,J55),1)*IF(Upgrades!$T$12="Orbital Resonance",POWER(Upgrades!$U$12,K55),1))+(IF(J55=0,0,(Upgrades!$G$11+J55*Upgrades!$H$11)*POWER(Upgrades!$I$11,J55)))*(IF(Upgrades!$T$6="Heliopause",POWER(Upgrades!$U$6,E55),1)*IF(Upgrades!$T$7="Heliopause",POWER(Upgrades!$U$7,F55),1)*IF(Upgrades!$T$8="Heliopause",POWER(Upgrades!$U$8,G55),1)*IF(Upgrades!$T$9="Heliopause",POWER(Upgrades!$U$9,H55),1)*IF(Upgrades!$T$10="Heliopause",POWER(Upgrades!$U$10,I55),1)*IF(Upgrades!$T$12="Heliopause",POWER(Upgrades!$U$12,K55),1))+(IF(K55=0,0,(Upgrades!$G$12+K55*Upgrades!$H$12)*POWER(Upgrades!$I$12,K55)))*(IF(Upgrades!$T$6="First Photons",POWER(Upgrades!$U$6,E55),1)*IF(Upgrades!$T$7="First Photons",POWER(Upgrades!$U$7,F55),1)*IF(Upgrades!$T$8="First Photons",POWER(Upgrades!$U$8,G55),1)*IF(Upgrades!$T$9="First Photons",POWER(Upgrades!$U$9,H55),1)*IF(Upgrades!$T$10="First Photons",POWER(Upgrades!$U$10,I55),1)*IF(Upgrades!$T$11="First Photons",POWER(Upgrades!$U$11,J55),1)))*POWER(Upgrades!$P$6,E55)*POWER(Upgrades!$P$7,F55)*POWER(Upgrades!$P$8,G55)*POWER(Upgrades!$P$9,H55)*POWER(Upgrades!$P$10,I55)*POWER(Upgrades!$P$11,J55)*POWER(Upgrades!$P$12,K55)</f>
        <v/>
      </c>
      <c r="O55" s="28">
        <f>((IF(E55=0,0,(Upgrades!$M$6+E55*Upgrades!$N$6)*POWER(Upgrades!$O$6,E55)))*(IF(Upgrades!$T$7="Solar Wind",POWER(Upgrades!$U$7,F55),1)*IF(Upgrades!$T$8="Solar Wind",POWER(Upgrades!$U$8,G55),1)*IF(Upgrades!$T$9="Solar Wind",POWER(Upgrades!$U$9,H55),1)*IF(Upgrades!$T$10="Solar Wind",POWER(Upgrades!$U$10,I55),1)*IF(Upgrades!$T$11="Solar Wind",POWER(Upgrades!$U$11,J55),1)*IF(Upgrades!$T$12="Solar Wind",POWER(Upgrades!$U$12,K55),1))+(IF(F55=0,0,(Upgrades!$M$7+F55*Upgrades!$N$7)*POWER(Upgrades!$O$7,F55)))*(IF(Upgrades!$T$6="Asteroid Belt",POWER(Upgrades!$U$6,E55),1)*IF(Upgrades!$T$8="Asteroid Belt",POWER(Upgrades!$U$8,G55),1)*IF(Upgrades!$T$9="Asteroid Belt",POWER(Upgrades!$U$9,H55),1)*IF(Upgrades!$T$10="Asteroid Belt",POWER(Upgrades!$U$10,I55),1)*IF(Upgrades!$T$11="Asteroid Belt",POWER(Upgrades!$U$11,J55),1)*IF(Upgrades!$T$12="Asteroid Belt",POWER(Upgrades!$U$12,K55),1))+(IF(G55=0,0,(Upgrades!$M$8+G55*Upgrades!$N$8)*POWER(Upgrades!$O$8,G55)))*(IF(Upgrades!$T$6="Stellar Coupling",POWER(Upgrades!$U$6,E55),1)*IF(Upgrades!$T$7="Stellar Coupling",POWER(Upgrades!$U$7,F55),1)*IF(Upgrades!$T$9="Stellar Coupling",POWER(Upgrades!$U$9,H55),1)*IF(Upgrades!$T$10="Stellar Coupling",POWER(Upgrades!$U$10,I55),1)*IF(Upgrades!$T$11="Stellar Coupling",POWER(Upgrades!$U$11,J55),1)*IF(Upgrades!$T$12="Stellar Coupling",POWER(Upgrades!$U$12,K55),1))+(IF(H55=0,0,(Upgrades!$M$9+H55*Upgrades!$N$9)*POWER(Upgrades!$O$9,H55)))*(IF(Upgrades!$T$6="Magnetosphere",POWER(Upgrades!$U$6,E55),1)*IF(Upgrades!$T$7="Magnetosphere",POWER(Upgrades!$U$7,F55),1)*IF(Upgrades!$T$8="Magnetosphere",POWER(Upgrades!$U$8,G55),1)*IF(Upgrades!$T$10="Magnetosphere",POWER(Upgrades!$U$10,I55),1)*IF(Upgrades!$T$11="Magnetosphere",POWER(Upgrades!$U$11,J55),1)*IF(Upgrades!$T$12="Magnetosphere",POWER(Upgrades!$U$12,K55),1))+(IF(I55=0,0,(Upgrades!$M$10+I55*Upgrades!$N$10)*POWER(Upgrades!$O$10,I55)))*(IF(Upgrades!$T$6="Orbital Resonance",POWER(Upgrades!$U$6,E55),1)*IF(Upgrades!$T$7="Orbital Resonance",POWER(Upgrades!$U$7,F55),1)*IF(Upgrades!$T$8="Orbital Resonance",POWER(Upgrades!$U$8,G55),1)*IF(Upgrades!$T$9="Orbital Resonance",POWER(Upgrades!$U$9,H55),1)*IF(Upgrades!$T$11="Orbital Resonance",POWER(Upgrades!$U$11,J55),1)*IF(Upgrades!$T$12="Orbital Resonance",POWER(Upgrades!$U$12,K55),1))+(IF(J55=0,0,(Upgrades!$M$11+J55*Upgrades!$N$11)*POWER(Upgrades!$O$11,J55)))*(IF(Upgrades!$T$6="Heliopause",POWER(Upgrades!$U$6,E55),1)*IF(Upgrades!$T$7="Heliopause",POWER(Upgrades!$U$7,F55),1)*IF(Upgrades!$T$8="Heliopause",POWER(Upgrades!$U$8,G55),1)*IF(Upgrades!$T$9="Heliopause",POWER(Upgrades!$U$9,H55),1)*IF(Upgrades!$T$10="Heliopause",POWER(Upgrades!$U$10,I55),1)*IF(Upgrades!$T$12="Heliopause",POWER(Upgrades!$U$12,K55),1))+(IF(K55=0,0,(Upgrades!$M$12+K55*Upgrades!$N$12)*POWER(Upgrades!$O$12,K55)))*(IF(Upgrades!$T$6="First Photons",POWER(Upgrades!$U$6,E55),1)*IF(Upgrades!$T$7="First Photons",POWER(Upgrades!$U$7,F55),1)*IF(Upgrades!$T$8="First Photons",POWER(Upgrades!$U$8,G55),1)*IF(Upgrades!$T$9="First Photons",POWER(Upgrades!$U$9,H55),1)*IF(Upgrades!$T$10="First Photons",POWER(Upgrades!$U$10,I55),1)*IF(Upgrades!$T$11="First Photons",POWER(Upgrades!$U$11,J55),1)))*POWER(Upgrades!$R$6,E55)*POWER(Upgrades!$R$7,F55)*POWER(Upgrades!$R$8,G55)*POWER(Upgrades!$R$9,H55)*POWER(Upgrades!$R$10,I55)*POWER(Upgrades!$R$11,J55)*POWER(Upgrades!$R$12,K55)</f>
        <v/>
      </c>
      <c r="P55" s="27">
        <f>IF(L55=1,0,M55*Parameters!$B$10/60*Parameters!$B$11*10)</f>
        <v/>
      </c>
      <c r="Q55" s="27">
        <f>IF(L55=1,0,O55*M55*10)</f>
        <v/>
      </c>
      <c r="R55" s="27">
        <f>IF(L55=1,0,N55*10)</f>
        <v/>
      </c>
      <c r="S55" s="27">
        <f>P55+Q55+R55</f>
        <v/>
      </c>
      <c r="T55" s="22">
        <f>C55+S55</f>
        <v/>
      </c>
      <c r="U55" s="33">
        <f>AX55</f>
        <v/>
      </c>
      <c r="V55" s="22">
        <f>IF(U55="",0,IF(U55="transition",0,IF(U55="SW",AG55,IF(U55="AB",AH55,IF(U55="SC",AI55,IF(U55="Mag",AJ55,IF(U55="OR",AK55,IF(U55="HP",AL55,IF(U55="FP",AM55,0)))))))))</f>
        <v/>
      </c>
      <c r="W55" s="27">
        <f>IF(U55="OR",Upgrades!$F$10,IF(U55="HP",Upgrades!$F$11,IF(U55="transition",-Parameters!$B$18,0)))</f>
        <v/>
      </c>
      <c r="X55" s="22">
        <f>T55-V55</f>
        <v/>
      </c>
      <c r="Y55" s="30">
        <f>M55*Parameters!$B$10/60*Parameters!$B$11+O55*M55+N55</f>
        <v/>
      </c>
      <c r="Z55" s="34">
        <f>IF(U55="transition","→ Tier 2 (Stellar Neighborhood)",IF(U55="FP","First Photons — light begins, system quickens",IF(U55="HP","Heliopause acquired",IF(U55="OR","Orbital Resonance — passive multiplier active",IF(AND(AO55=1,L55=0,AN55&lt;&gt;1),"Cohesion ready (waiting on completionist upgrades)","")))))</f>
        <v/>
      </c>
      <c r="AA55" s="27">
        <f>(IF(E55=0,0,(Upgrades!$G$6+E55*Upgrades!$H$6)*POWER(Upgrades!$I$6,E55)))*(IF(Upgrades!$T$7="Solar Wind",POWER(Upgrades!$U$7,F55),1)*IF(Upgrades!$T$8="Solar Wind",POWER(Upgrades!$U$8,G55),1)*IF(Upgrades!$T$9="Solar Wind",POWER(Upgrades!$U$9,H55),1)*IF(Upgrades!$T$10="Solar Wind",POWER(Upgrades!$U$10,I55),1)*IF(Upgrades!$T$11="Solar Wind",POWER(Upgrades!$U$11,J55),1)*IF(Upgrades!$T$12="Solar Wind",POWER(Upgrades!$U$12,K55),1))*POWER(Upgrades!$P$6,E55)*POWER(Upgrades!$P$7,F55)*POWER(Upgrades!$P$8,G55)*POWER(Upgrades!$P$9,H55)*POWER(Upgrades!$P$10,I55)*POWER(Upgrades!$P$11,J55)*POWER(Upgrades!$P$12,K55)*60</f>
        <v/>
      </c>
      <c r="AB55" s="27">
        <f>(IF(F55=0,0,(Upgrades!$G$7+F55*Upgrades!$H$7)*POWER(Upgrades!$I$7,F55)))*(IF(Upgrades!$T$6="Asteroid Belt",POWER(Upgrades!$U$6,E55),1)*IF(Upgrades!$T$8="Asteroid Belt",POWER(Upgrades!$U$8,G55),1)*IF(Upgrades!$T$9="Asteroid Belt",POWER(Upgrades!$U$9,H55),1)*IF(Upgrades!$T$10="Asteroid Belt",POWER(Upgrades!$U$10,I55),1)*IF(Upgrades!$T$11="Asteroid Belt",POWER(Upgrades!$U$11,J55),1)*IF(Upgrades!$T$12="Asteroid Belt",POWER(Upgrades!$U$12,K55),1))*POWER(Upgrades!$P$6,E55)*POWER(Upgrades!$P$7,F55)*POWER(Upgrades!$P$8,G55)*POWER(Upgrades!$P$9,H55)*POWER(Upgrades!$P$10,I55)*POWER(Upgrades!$P$11,J55)*POWER(Upgrades!$P$12,K55)*60</f>
        <v/>
      </c>
      <c r="AC55" s="27">
        <f>(IF(G55=0,0,(Upgrades!$J$8+G55*Upgrades!$K$8)*POWER(Upgrades!$L$8,G55)))*(IF(Upgrades!$T$6="Stellar Coupling",POWER(Upgrades!$U$6,E55),1)*IF(Upgrades!$T$7="Stellar Coupling",POWER(Upgrades!$U$7,F55),1)*IF(Upgrades!$T$9="Stellar Coupling",POWER(Upgrades!$U$9,H55),1)*IF(Upgrades!$T$10="Stellar Coupling",POWER(Upgrades!$U$10,I55),1)*IF(Upgrades!$T$11="Stellar Coupling",POWER(Upgrades!$U$11,J55),1)*IF(Upgrades!$T$12="Stellar Coupling",POWER(Upgrades!$U$12,K55),1))*POWER(Upgrades!$Q$6,E55)*POWER(Upgrades!$Q$7,F55)*POWER(Upgrades!$Q$8,G55)*POWER(Upgrades!$Q$9,H55)*POWER(Upgrades!$Q$10,I55)*POWER(Upgrades!$Q$11,J55)*POWER(Upgrades!$Q$12,K55)*Parameters!$B$10*Parameters!$B$11</f>
        <v/>
      </c>
      <c r="AD55" s="27">
        <f>(IF(H55=0,0,(Upgrades!$G$9+H55*Upgrades!$H$9)*POWER(Upgrades!$I$9,H55)))*(IF(Upgrades!$T$6="Magnetosphere",POWER(Upgrades!$U$6,E55),1)*IF(Upgrades!$T$7="Magnetosphere",POWER(Upgrades!$U$7,F55),1)*IF(Upgrades!$T$8="Magnetosphere",POWER(Upgrades!$U$8,G55),1)*IF(Upgrades!$T$10="Magnetosphere",POWER(Upgrades!$U$10,I55),1)*IF(Upgrades!$T$11="Magnetosphere",POWER(Upgrades!$U$11,J55),1)*IF(Upgrades!$T$12="Magnetosphere",POWER(Upgrades!$U$12,K55),1))*POWER(Upgrades!$P$6,E55)*POWER(Upgrades!$P$7,F55)*POWER(Upgrades!$P$8,G55)*POWER(Upgrades!$P$9,H55)*POWER(Upgrades!$P$10,I55)*POWER(Upgrades!$P$11,J55)*POWER(Upgrades!$P$12,K55)*60</f>
        <v/>
      </c>
      <c r="AE55" s="27">
        <f>(IF(K55=0,0,(Upgrades!$G$12+K55*Upgrades!$H$12)*POWER(Upgrades!$I$12,K55)))*(IF(Upgrades!$T$6="First Photons",POWER(Upgrades!$U$6,E55),1)*IF(Upgrades!$T$7="First Photons",POWER(Upgrades!$U$7,F55),1)*IF(Upgrades!$T$8="First Photons",POWER(Upgrades!$U$8,G55),1)*IF(Upgrades!$T$9="First Photons",POWER(Upgrades!$U$9,H55),1)*IF(Upgrades!$T$10="First Photons",POWER(Upgrades!$U$10,I55),1)*IF(Upgrades!$T$11="First Photons",POWER(Upgrades!$U$11,J55),1))*POWER(Upgrades!$P$6,E55)*POWER(Upgrades!$P$7,F55)*POWER(Upgrades!$P$8,G55)*POWER(Upgrades!$P$9,H55)*POWER(Upgrades!$P$10,I55)*POWER(Upgrades!$P$11,J55)*POWER(Upgrades!$P$12,K55)*60</f>
        <v/>
      </c>
      <c r="AF55" s="27">
        <f>Parameters!$B$9*POWER(Upgrades!$Q$6,E55)*POWER(Upgrades!$Q$7,F55)*POWER(Upgrades!$Q$8,G55)*POWER(Upgrades!$Q$9,H55)*POWER(Upgrades!$Q$10,I55)*POWER(Upgrades!$Q$11,J55)*POWER(Upgrades!$Q$12,K55)*(Parameters!$B$10*Parameters!$B$11+O55*60)</f>
        <v/>
      </c>
      <c r="AG55" s="22">
        <f>IF(E55&gt;=Upgrades!$E$6,"",Upgrades!$C$6*POWER(Upgrades!$D$6,E55))</f>
        <v/>
      </c>
      <c r="AH55" s="22">
        <f>IF(F55&gt;=Upgrades!$E$7,"",Upgrades!$C$7*POWER(Upgrades!$D$7,F55))</f>
        <v/>
      </c>
      <c r="AI55" s="22">
        <f>IF(G55&gt;=Upgrades!$E$8,"",Upgrades!$C$8*POWER(Upgrades!$D$8,G55))</f>
        <v/>
      </c>
      <c r="AJ55" s="22">
        <f>IF(H55&gt;=Upgrades!$E$9,"",Upgrades!$C$9*POWER(Upgrades!$D$9,H55))</f>
        <v/>
      </c>
      <c r="AK55" s="22">
        <f>IF(I55&gt;=Upgrades!$E$10,"",Upgrades!$C$10*POWER(Upgrades!$D$10,I55))</f>
        <v/>
      </c>
      <c r="AL55" s="22">
        <f>IF(J55&gt;=Upgrades!$E$11,"",Upgrades!$C$11*POWER(Upgrades!$D$11,J55))</f>
        <v/>
      </c>
      <c r="AM55" s="22">
        <f>IF(K55&gt;=Upgrades!$E$12,"",Upgrades!$C$12*POWER(Upgrades!$D$12,K55))</f>
        <v/>
      </c>
      <c r="AN55" s="26">
        <f>IF(AND(D55&gt;=Parameters!$B$18,(H55&gt;=Upgrades!$E$9)*(K55&gt;=Upgrades!$E$12)=1,L55=0),1,"")</f>
        <v/>
      </c>
      <c r="AO55" s="26">
        <f>IF(AND(D55&gt;=Parameters!$B$18,L55=0),1,"")</f>
        <v/>
      </c>
      <c r="AP55" s="22">
        <f>MIN(IF(ISNUMBER(AK55),AK55,9E15),IF(ISNUMBER(AL55),AL55,9E15),IF(ISNUMBER(AM55),AM55,9E15))</f>
        <v/>
      </c>
      <c r="AQ55" s="22">
        <f>MIN(IF(ISNUMBER(AG55),AG55,9E15),IF(ISNUMBER(AH55),AH55,9E15),IF(ISNUMBER(AI55),AI55,9E15),IF(ISNUMBER(AJ55),AJ55,9E15))</f>
        <v/>
      </c>
      <c r="AR55" s="29">
        <f>IF(AW55&gt;Parameters!$B$21*(MAX(IF(AND(NOT(AND(AO55=1,AN55&lt;&gt;1)),ISNUMBER(AG55),AG55&lt;=T55),AS55,0),IF(AND(NOT(AND(AO55=1,AN55&lt;&gt;1)),ISNUMBER(AH55),AH55&lt;=T55),AT55,0),IF(AND(NOT(AND(AO55=1,AN55&lt;&gt;1)),ISNUMBER(AI55),AI55&lt;=T55),AU55,0),IF(AND(ISNUMBER(AJ55),AJ55&lt;=T55),AV55,0))),TRUE,FALSE)</f>
        <v/>
      </c>
      <c r="AS55" s="32">
        <f>IFERROR(Upgrades!$H$6*(POWER(Upgrades!$P$6,E55)*POWER(Upgrades!$P$7,F55)*POWER(Upgrades!$P$8,G55)*POWER(Upgrades!$P$9,H55)*POWER(Upgrades!$P$10,I55)*POWER(Upgrades!$P$11,J55)*POWER(Upgrades!$P$12,K55))*(IF(Upgrades!$T$7="Solar Wind",POWER(Upgrades!$U$7,F55),1)*IF(Upgrades!$T$8="Solar Wind",POWER(Upgrades!$U$8,G55),1)*IF(Upgrades!$T$9="Solar Wind",POWER(Upgrades!$U$9,H55),1)*IF(Upgrades!$T$10="Solar Wind",POWER(Upgrades!$U$10,I55),1)*IF(Upgrades!$T$11="Solar Wind",POWER(Upgrades!$U$11,J55),1)*IF(Upgrades!$T$12="Solar Wind",POWER(Upgrades!$U$12,K55),1))/AG55,0)</f>
        <v/>
      </c>
      <c r="AT55" s="32">
        <f>IFERROR(Upgrades!$H$7*(POWER(Upgrades!$P$6,E55)*POWER(Upgrades!$P$7,F55)*POWER(Upgrades!$P$8,G55)*POWER(Upgrades!$P$9,H55)*POWER(Upgrades!$P$10,I55)*POWER(Upgrades!$P$11,J55)*POWER(Upgrades!$P$12,K55))*(IF(Upgrades!$T$6="Asteroid Belt",POWER(Upgrades!$U$6,E55),1)*IF(Upgrades!$T$8="Asteroid Belt",POWER(Upgrades!$U$8,G55),1)*IF(Upgrades!$T$9="Asteroid Belt",POWER(Upgrades!$U$9,H55),1)*IF(Upgrades!$T$10="Asteroid Belt",POWER(Upgrades!$U$10,I55),1)*IF(Upgrades!$T$11="Asteroid Belt",POWER(Upgrades!$U$11,J55),1)*IF(Upgrades!$T$12="Asteroid Belt",POWER(Upgrades!$U$12,K55),1))/AH55,0)</f>
        <v/>
      </c>
      <c r="AU55" s="32">
        <f>IFERROR(Upgrades!$K$8*(POWER(Upgrades!$Q$6,E55)*POWER(Upgrades!$Q$7,F55)*POWER(Upgrades!$Q$8,G55)*POWER(Upgrades!$Q$9,H55)*POWER(Upgrades!$Q$10,I55)*POWER(Upgrades!$Q$11,J55)*POWER(Upgrades!$Q$12,K55))*(IF(Upgrades!$T$6="Stellar Coupling",POWER(Upgrades!$U$6,E55),1)*IF(Upgrades!$T$7="Stellar Coupling",POWER(Upgrades!$U$7,F55),1)*IF(Upgrades!$T$9="Stellar Coupling",POWER(Upgrades!$U$9,H55),1)*IF(Upgrades!$T$10="Stellar Coupling",POWER(Upgrades!$U$10,I55),1)*IF(Upgrades!$T$11="Stellar Coupling",POWER(Upgrades!$U$11,J55),1)*IF(Upgrades!$T$12="Stellar Coupling",POWER(Upgrades!$U$12,K55),1))*Parameters!$B$10*Parameters!$B$11/60/AI55,0)</f>
        <v/>
      </c>
      <c r="AV55" s="32">
        <f>IFERROR(Upgrades!$H$9*(POWER(Upgrades!$P$6,E55)*POWER(Upgrades!$P$7,F55)*POWER(Upgrades!$P$8,G55)*POWER(Upgrades!$P$9,H55)*POWER(Upgrades!$P$10,I55)*POWER(Upgrades!$P$11,J55)*POWER(Upgrades!$P$12,K55))*(IF(Upgrades!$T$6="Magnetosphere",POWER(Upgrades!$U$6,E55),1)*IF(Upgrades!$T$7="Magnetosphere",POWER(Upgrades!$U$7,F55),1)*IF(Upgrades!$T$8="Magnetosphere",POWER(Upgrades!$U$8,G55),1)*IF(Upgrades!$T$10="Magnetosphere",POWER(Upgrades!$U$10,I55),1)*IF(Upgrades!$T$11="Magnetosphere",POWER(Upgrades!$U$11,J55),1)*IF(Upgrades!$T$12="Magnetosphere",POWER(Upgrades!$U$12,K55),1))/AJ55,0)</f>
        <v/>
      </c>
      <c r="AW55" s="32">
        <f>MAX(IF(I55&gt;0,0,IFERROR(0.25*N55/Upgrades!$C$10,0)),IF(J55&gt;0,0,IFERROR(0.5*((IF(G55=0,0,(Upgrades!$J$8+G55*Upgrades!$K$8)*POWER(Upgrades!$L$8,G55)))*(IF(Upgrades!$T$6="Stellar Coupling",POWER(Upgrades!$U$6,E55),1)*IF(Upgrades!$T$7="Stellar Coupling",POWER(Upgrades!$U$7,F55),1)*IF(Upgrades!$T$9="Stellar Coupling",POWER(Upgrades!$U$9,H55),1)*IF(Upgrades!$T$10="Stellar Coupling",POWER(Upgrades!$U$10,I55),1)*IF(Upgrades!$T$11="Stellar Coupling",POWER(Upgrades!$U$11,J55),1)*IF(Upgrades!$T$12="Stellar Coupling",POWER(Upgrades!$U$12,K55),1))*(POWER(Upgrades!$Q$6,E55)*POWER(Upgrades!$Q$7,F55)*POWER(Upgrades!$Q$8,G55)*POWER(Upgrades!$Q$9,H55)*POWER(Upgrades!$Q$10,I55)*POWER(Upgrades!$Q$11,J55)*POWER(Upgrades!$Q$12,K55))*Parameters!$B$10*Parameters!$B$11/60)/Upgrades!$C$11,0)),IF(K55&gt;0,0,IFERROR((1.0*(POWER(Upgrades!$P$6,E55)*POWER(Upgrades!$P$7,F55)*POWER(Upgrades!$P$8,G55)*POWER(Upgrades!$P$9,H55)*POWER(Upgrades!$P$10,I55)*POWER(Upgrades!$P$11,J55)*POWER(Upgrades!$P$12,K55))+0.20*M55*Parameters!$B$10*Parameters!$B$11/60)/Upgrades!$C$12,0)),IF(AND(ISNUMBER(AG55),AG55&gt;T55),AS55,0),IF(AND(ISNUMBER(AH55),AH55&gt;T55),AT55,0),IF(AND(ISNUMBER(AI55),AI55&gt;T55),AU55,0),IF(AND(ISNUMBER(AJ55),AJ55&gt;T55),AV55,0))</f>
        <v/>
      </c>
      <c r="AX55" s="29">
        <f>IF(AN55=1,"transition",IF(MIN(IF(AND(I55=0,ISNUMBER(AK55),AK55&lt;=T55),AK55,9E15),IF(AND(J55=0,ISNUMBER(AL55),AL55&lt;=T55),AL55,9E15),IF(AND(K55=0,ISNUMBER(AM55),AM55&lt;=T55),AM55,9E15))&lt;9E15,IF(AND(AND(I55=0,ISNUMBER(AK55),AK55&lt;=T55),AK55=MIN(IF(AND(I55=0,ISNUMBER(AK55),AK55&lt;=T55),AK55,9E15),IF(AND(J55=0,ISNUMBER(AL55),AL55&lt;=T55),AL55,9E15),IF(AND(K55=0,ISNUMBER(AM55),AM55&lt;=T55),AM55,9E15))),"OR",IF(AND(AND(J55=0,ISNUMBER(AL55),AL55&lt;=T55),AL55=MIN(IF(AND(I55=0,ISNUMBER(AK55),AK55&lt;=T55),AK55,9E15),IF(AND(J55=0,ISNUMBER(AL55),AL55&lt;=T55),AL55,9E15),IF(AND(K55=0,ISNUMBER(AM55),AM55&lt;=T55),AM55,9E15))),"HP","FP")),IF(AR55=TRUE,"",IF(MAX(IF(AND(NOT(AND(AO55=1,AN55&lt;&gt;1)),ISNUMBER(AG55),AG55&lt;=T55),AS55,0),IF(AND(NOT(AND(AO55=1,AN55&lt;&gt;1)),ISNUMBER(AH55),AH55&lt;=T55),AT55,0),IF(AND(NOT(AND(AO55=1,AN55&lt;&gt;1)),ISNUMBER(AI55),AI55&lt;=T55),AU55,0),IF(AND(ISNUMBER(AJ55),AJ55&lt;=T55),AV55,0))&lt;=0,"",IF(AND(IF(AND(NOT(AND(AO55=1,AN55&lt;&gt;1)),ISNUMBER(AG55),AG55&lt;=T55),AS55,0)&gt;0,IF(AND(NOT(AND(AO55=1,AN55&lt;&gt;1)),ISNUMBER(AG55),AG55&lt;=T55),AS55,0)=MAX(IF(AND(NOT(AND(AO55=1,AN55&lt;&gt;1)),ISNUMBER(AG55),AG55&lt;=T55),AS55,0),IF(AND(NOT(AND(AO55=1,AN55&lt;&gt;1)),ISNUMBER(AH55),AH55&lt;=T55),AT55,0),IF(AND(NOT(AND(AO55=1,AN55&lt;&gt;1)),ISNUMBER(AI55),AI55&lt;=T55),AU55,0),IF(AND(ISNUMBER(AJ55),AJ55&lt;=T55),AV55,0))),"SW",IF(AND(IF(AND(NOT(AND(AO55=1,AN55&lt;&gt;1)),ISNUMBER(AH55),AH55&lt;=T55),AT55,0)&gt;0,IF(AND(NOT(AND(AO55=1,AN55&lt;&gt;1)),ISNUMBER(AH55),AH55&lt;=T55),AT55,0)=MAX(IF(AND(NOT(AND(AO55=1,AN55&lt;&gt;1)),ISNUMBER(AG55),AG55&lt;=T55),AS55,0),IF(AND(NOT(AND(AO55=1,AN55&lt;&gt;1)),ISNUMBER(AH55),AH55&lt;=T55),AT55,0),IF(AND(NOT(AND(AO55=1,AN55&lt;&gt;1)),ISNUMBER(AI55),AI55&lt;=T55),AU55,0),IF(AND(ISNUMBER(AJ55),AJ55&lt;=T55),AV55,0))),"AB",IF(AND(IF(AND(NOT(AND(AO55=1,AN55&lt;&gt;1)),ISNUMBER(AI55),AI55&lt;=T55),AU55,0)&gt;0,IF(AND(NOT(AND(AO55=1,AN55&lt;&gt;1)),ISNUMBER(AI55),AI55&lt;=T55),AU55,0)=MAX(IF(AND(NOT(AND(AO55=1,AN55&lt;&gt;1)),ISNUMBER(AG55),AG55&lt;=T55),AS55,0),IF(AND(NOT(AND(AO55=1,AN55&lt;&gt;1)),ISNUMBER(AH55),AH55&lt;=T55),AT55,0),IF(AND(NOT(AND(AO55=1,AN55&lt;&gt;1)),ISNUMBER(AI55),AI55&lt;=T55),AU55,0),IF(AND(ISNUMBER(AJ55),AJ55&lt;=T55),AV55,0))),"SC","Mag")))))))</f>
        <v/>
      </c>
    </row>
    <row r="56">
      <c r="A56" s="26" t="n">
        <v>51</v>
      </c>
      <c r="B56" s="27">
        <f>A56*10/60</f>
        <v/>
      </c>
      <c r="C56" s="22">
        <f>X55</f>
        <v/>
      </c>
      <c r="D56" s="27">
        <f>D55+W55</f>
        <v/>
      </c>
      <c r="E56" s="26">
        <f>E55+IF(U55="SW",1,0)</f>
        <v/>
      </c>
      <c r="F56" s="26">
        <f>F55+IF(U55="AB",1,0)</f>
        <v/>
      </c>
      <c r="G56" s="26">
        <f>G55+IF(U55="SC",1,0)</f>
        <v/>
      </c>
      <c r="H56" s="26">
        <f>H55+IF(U55="Mag",1,0)</f>
        <v/>
      </c>
      <c r="I56" s="26">
        <f>MAX(I55,IF(U55="OR",1,0))</f>
        <v/>
      </c>
      <c r="J56" s="26">
        <f>MAX(J55,IF(U55="HP",1,0))</f>
        <v/>
      </c>
      <c r="K56" s="26">
        <f>MAX(K55,IF(U55="FP",1,0))</f>
        <v/>
      </c>
      <c r="L56" s="26">
        <f>MAX(L55,IF(U55="transition",1,0))</f>
        <v/>
      </c>
      <c r="M56" s="28">
        <f>(Parameters!$B$9+(IF(E56=0,0,(Upgrades!$J$6+E56*Upgrades!$K$6)*POWER(Upgrades!$L$6,E56)))*(IF(Upgrades!$T$7="Solar Wind",POWER(Upgrades!$U$7,F56),1)*IF(Upgrades!$T$8="Solar Wind",POWER(Upgrades!$U$8,G56),1)*IF(Upgrades!$T$9="Solar Wind",POWER(Upgrades!$U$9,H56),1)*IF(Upgrades!$T$10="Solar Wind",POWER(Upgrades!$U$10,I56),1)*IF(Upgrades!$T$11="Solar Wind",POWER(Upgrades!$U$11,J56),1)*IF(Upgrades!$T$12="Solar Wind",POWER(Upgrades!$U$12,K56),1))+(IF(F56=0,0,(Upgrades!$J$7+F56*Upgrades!$K$7)*POWER(Upgrades!$L$7,F56)))*(IF(Upgrades!$T$6="Asteroid Belt",POWER(Upgrades!$U$6,E56),1)*IF(Upgrades!$T$8="Asteroid Belt",POWER(Upgrades!$U$8,G56),1)*IF(Upgrades!$T$9="Asteroid Belt",POWER(Upgrades!$U$9,H56),1)*IF(Upgrades!$T$10="Asteroid Belt",POWER(Upgrades!$U$10,I56),1)*IF(Upgrades!$T$11="Asteroid Belt",POWER(Upgrades!$U$11,J56),1)*IF(Upgrades!$T$12="Asteroid Belt",POWER(Upgrades!$U$12,K56),1))+(IF(G56=0,0,(Upgrades!$J$8+G56*Upgrades!$K$8)*POWER(Upgrades!$L$8,G56)))*(IF(Upgrades!$T$6="Stellar Coupling",POWER(Upgrades!$U$6,E56),1)*IF(Upgrades!$T$7="Stellar Coupling",POWER(Upgrades!$U$7,F56),1)*IF(Upgrades!$T$9="Stellar Coupling",POWER(Upgrades!$U$9,H56),1)*IF(Upgrades!$T$10="Stellar Coupling",POWER(Upgrades!$U$10,I56),1)*IF(Upgrades!$T$11="Stellar Coupling",POWER(Upgrades!$U$11,J56),1)*IF(Upgrades!$T$12="Stellar Coupling",POWER(Upgrades!$U$12,K56),1))+(IF(H56=0,0,(Upgrades!$J$9+H56*Upgrades!$K$9)*POWER(Upgrades!$L$9,H56)))*(IF(Upgrades!$T$6="Magnetosphere",POWER(Upgrades!$U$6,E56),1)*IF(Upgrades!$T$7="Magnetosphere",POWER(Upgrades!$U$7,F56),1)*IF(Upgrades!$T$8="Magnetosphere",POWER(Upgrades!$U$8,G56),1)*IF(Upgrades!$T$10="Magnetosphere",POWER(Upgrades!$U$10,I56),1)*IF(Upgrades!$T$11="Magnetosphere",POWER(Upgrades!$U$11,J56),1)*IF(Upgrades!$T$12="Magnetosphere",POWER(Upgrades!$U$12,K56),1))+(IF(I56=0,0,(Upgrades!$J$10+I56*Upgrades!$K$10)*POWER(Upgrades!$L$10,I56)))*(IF(Upgrades!$T$6="Orbital Resonance",POWER(Upgrades!$U$6,E56),1)*IF(Upgrades!$T$7="Orbital Resonance",POWER(Upgrades!$U$7,F56),1)*IF(Upgrades!$T$8="Orbital Resonance",POWER(Upgrades!$U$8,G56),1)*IF(Upgrades!$T$9="Orbital Resonance",POWER(Upgrades!$U$9,H56),1)*IF(Upgrades!$T$11="Orbital Resonance",POWER(Upgrades!$U$11,J56),1)*IF(Upgrades!$T$12="Orbital Resonance",POWER(Upgrades!$U$12,K56),1))+(IF(J56=0,0,(Upgrades!$J$11+J56*Upgrades!$K$11)*POWER(Upgrades!$L$11,J56)))*(IF(Upgrades!$T$6="Heliopause",POWER(Upgrades!$U$6,E56),1)*IF(Upgrades!$T$7="Heliopause",POWER(Upgrades!$U$7,F56),1)*IF(Upgrades!$T$8="Heliopause",POWER(Upgrades!$U$8,G56),1)*IF(Upgrades!$T$9="Heliopause",POWER(Upgrades!$U$9,H56),1)*IF(Upgrades!$T$10="Heliopause",POWER(Upgrades!$U$10,I56),1)*IF(Upgrades!$T$12="Heliopause",POWER(Upgrades!$U$12,K56),1))+(IF(K56=0,0,(Upgrades!$J$12+K56*Upgrades!$K$12)*POWER(Upgrades!$L$12,K56)))*(IF(Upgrades!$T$6="First Photons",POWER(Upgrades!$U$6,E56),1)*IF(Upgrades!$T$7="First Photons",POWER(Upgrades!$U$7,F56),1)*IF(Upgrades!$T$8="First Photons",POWER(Upgrades!$U$8,G56),1)*IF(Upgrades!$T$9="First Photons",POWER(Upgrades!$U$9,H56),1)*IF(Upgrades!$T$10="First Photons",POWER(Upgrades!$U$10,I56),1)*IF(Upgrades!$T$11="First Photons",POWER(Upgrades!$U$11,J56),1)))*POWER(Upgrades!$Q$6,E56)*POWER(Upgrades!$Q$7,F56)*POWER(Upgrades!$Q$8,G56)*POWER(Upgrades!$Q$9,H56)*POWER(Upgrades!$Q$10,I56)*POWER(Upgrades!$Q$11,J56)*POWER(Upgrades!$Q$12,K56)</f>
        <v/>
      </c>
      <c r="N56" s="28">
        <f>((IF(E56=0,0,(Upgrades!$G$6+E56*Upgrades!$H$6)*POWER(Upgrades!$I$6,E56)))*(IF(Upgrades!$T$7="Solar Wind",POWER(Upgrades!$U$7,F56),1)*IF(Upgrades!$T$8="Solar Wind",POWER(Upgrades!$U$8,G56),1)*IF(Upgrades!$T$9="Solar Wind",POWER(Upgrades!$U$9,H56),1)*IF(Upgrades!$T$10="Solar Wind",POWER(Upgrades!$U$10,I56),1)*IF(Upgrades!$T$11="Solar Wind",POWER(Upgrades!$U$11,J56),1)*IF(Upgrades!$T$12="Solar Wind",POWER(Upgrades!$U$12,K56),1))+(IF(F56=0,0,(Upgrades!$G$7+F56*Upgrades!$H$7)*POWER(Upgrades!$I$7,F56)))*(IF(Upgrades!$T$6="Asteroid Belt",POWER(Upgrades!$U$6,E56),1)*IF(Upgrades!$T$8="Asteroid Belt",POWER(Upgrades!$U$8,G56),1)*IF(Upgrades!$T$9="Asteroid Belt",POWER(Upgrades!$U$9,H56),1)*IF(Upgrades!$T$10="Asteroid Belt",POWER(Upgrades!$U$10,I56),1)*IF(Upgrades!$T$11="Asteroid Belt",POWER(Upgrades!$U$11,J56),1)*IF(Upgrades!$T$12="Asteroid Belt",POWER(Upgrades!$U$12,K56),1))+(IF(G56=0,0,(Upgrades!$G$8+G56*Upgrades!$H$8)*POWER(Upgrades!$I$8,G56)))*(IF(Upgrades!$T$6="Stellar Coupling",POWER(Upgrades!$U$6,E56),1)*IF(Upgrades!$T$7="Stellar Coupling",POWER(Upgrades!$U$7,F56),1)*IF(Upgrades!$T$9="Stellar Coupling",POWER(Upgrades!$U$9,H56),1)*IF(Upgrades!$T$10="Stellar Coupling",POWER(Upgrades!$U$10,I56),1)*IF(Upgrades!$T$11="Stellar Coupling",POWER(Upgrades!$U$11,J56),1)*IF(Upgrades!$T$12="Stellar Coupling",POWER(Upgrades!$U$12,K56),1))+(IF(H56=0,0,(Upgrades!$G$9+H56*Upgrades!$H$9)*POWER(Upgrades!$I$9,H56)))*(IF(Upgrades!$T$6="Magnetosphere",POWER(Upgrades!$U$6,E56),1)*IF(Upgrades!$T$7="Magnetosphere",POWER(Upgrades!$U$7,F56),1)*IF(Upgrades!$T$8="Magnetosphere",POWER(Upgrades!$U$8,G56),1)*IF(Upgrades!$T$10="Magnetosphere",POWER(Upgrades!$U$10,I56),1)*IF(Upgrades!$T$11="Magnetosphere",POWER(Upgrades!$U$11,J56),1)*IF(Upgrades!$T$12="Magnetosphere",POWER(Upgrades!$U$12,K56),1))+(IF(I56=0,0,(Upgrades!$G$10+I56*Upgrades!$H$10)*POWER(Upgrades!$I$10,I56)))*(IF(Upgrades!$T$6="Orbital Resonance",POWER(Upgrades!$U$6,E56),1)*IF(Upgrades!$T$7="Orbital Resonance",POWER(Upgrades!$U$7,F56),1)*IF(Upgrades!$T$8="Orbital Resonance",POWER(Upgrades!$U$8,G56),1)*IF(Upgrades!$T$9="Orbital Resonance",POWER(Upgrades!$U$9,H56),1)*IF(Upgrades!$T$11="Orbital Resonance",POWER(Upgrades!$U$11,J56),1)*IF(Upgrades!$T$12="Orbital Resonance",POWER(Upgrades!$U$12,K56),1))+(IF(J56=0,0,(Upgrades!$G$11+J56*Upgrades!$H$11)*POWER(Upgrades!$I$11,J56)))*(IF(Upgrades!$T$6="Heliopause",POWER(Upgrades!$U$6,E56),1)*IF(Upgrades!$T$7="Heliopause",POWER(Upgrades!$U$7,F56),1)*IF(Upgrades!$T$8="Heliopause",POWER(Upgrades!$U$8,G56),1)*IF(Upgrades!$T$9="Heliopause",POWER(Upgrades!$U$9,H56),1)*IF(Upgrades!$T$10="Heliopause",POWER(Upgrades!$U$10,I56),1)*IF(Upgrades!$T$12="Heliopause",POWER(Upgrades!$U$12,K56),1))+(IF(K56=0,0,(Upgrades!$G$12+K56*Upgrades!$H$12)*POWER(Upgrades!$I$12,K56)))*(IF(Upgrades!$T$6="First Photons",POWER(Upgrades!$U$6,E56),1)*IF(Upgrades!$T$7="First Photons",POWER(Upgrades!$U$7,F56),1)*IF(Upgrades!$T$8="First Photons",POWER(Upgrades!$U$8,G56),1)*IF(Upgrades!$T$9="First Photons",POWER(Upgrades!$U$9,H56),1)*IF(Upgrades!$T$10="First Photons",POWER(Upgrades!$U$10,I56),1)*IF(Upgrades!$T$11="First Photons",POWER(Upgrades!$U$11,J56),1)))*POWER(Upgrades!$P$6,E56)*POWER(Upgrades!$P$7,F56)*POWER(Upgrades!$P$8,G56)*POWER(Upgrades!$P$9,H56)*POWER(Upgrades!$P$10,I56)*POWER(Upgrades!$P$11,J56)*POWER(Upgrades!$P$12,K56)</f>
        <v/>
      </c>
      <c r="O56" s="28">
        <f>((IF(E56=0,0,(Upgrades!$M$6+E56*Upgrades!$N$6)*POWER(Upgrades!$O$6,E56)))*(IF(Upgrades!$T$7="Solar Wind",POWER(Upgrades!$U$7,F56),1)*IF(Upgrades!$T$8="Solar Wind",POWER(Upgrades!$U$8,G56),1)*IF(Upgrades!$T$9="Solar Wind",POWER(Upgrades!$U$9,H56),1)*IF(Upgrades!$T$10="Solar Wind",POWER(Upgrades!$U$10,I56),1)*IF(Upgrades!$T$11="Solar Wind",POWER(Upgrades!$U$11,J56),1)*IF(Upgrades!$T$12="Solar Wind",POWER(Upgrades!$U$12,K56),1))+(IF(F56=0,0,(Upgrades!$M$7+F56*Upgrades!$N$7)*POWER(Upgrades!$O$7,F56)))*(IF(Upgrades!$T$6="Asteroid Belt",POWER(Upgrades!$U$6,E56),1)*IF(Upgrades!$T$8="Asteroid Belt",POWER(Upgrades!$U$8,G56),1)*IF(Upgrades!$T$9="Asteroid Belt",POWER(Upgrades!$U$9,H56),1)*IF(Upgrades!$T$10="Asteroid Belt",POWER(Upgrades!$U$10,I56),1)*IF(Upgrades!$T$11="Asteroid Belt",POWER(Upgrades!$U$11,J56),1)*IF(Upgrades!$T$12="Asteroid Belt",POWER(Upgrades!$U$12,K56),1))+(IF(G56=0,0,(Upgrades!$M$8+G56*Upgrades!$N$8)*POWER(Upgrades!$O$8,G56)))*(IF(Upgrades!$T$6="Stellar Coupling",POWER(Upgrades!$U$6,E56),1)*IF(Upgrades!$T$7="Stellar Coupling",POWER(Upgrades!$U$7,F56),1)*IF(Upgrades!$T$9="Stellar Coupling",POWER(Upgrades!$U$9,H56),1)*IF(Upgrades!$T$10="Stellar Coupling",POWER(Upgrades!$U$10,I56),1)*IF(Upgrades!$T$11="Stellar Coupling",POWER(Upgrades!$U$11,J56),1)*IF(Upgrades!$T$12="Stellar Coupling",POWER(Upgrades!$U$12,K56),1))+(IF(H56=0,0,(Upgrades!$M$9+H56*Upgrades!$N$9)*POWER(Upgrades!$O$9,H56)))*(IF(Upgrades!$T$6="Magnetosphere",POWER(Upgrades!$U$6,E56),1)*IF(Upgrades!$T$7="Magnetosphere",POWER(Upgrades!$U$7,F56),1)*IF(Upgrades!$T$8="Magnetosphere",POWER(Upgrades!$U$8,G56),1)*IF(Upgrades!$T$10="Magnetosphere",POWER(Upgrades!$U$10,I56),1)*IF(Upgrades!$T$11="Magnetosphere",POWER(Upgrades!$U$11,J56),1)*IF(Upgrades!$T$12="Magnetosphere",POWER(Upgrades!$U$12,K56),1))+(IF(I56=0,0,(Upgrades!$M$10+I56*Upgrades!$N$10)*POWER(Upgrades!$O$10,I56)))*(IF(Upgrades!$T$6="Orbital Resonance",POWER(Upgrades!$U$6,E56),1)*IF(Upgrades!$T$7="Orbital Resonance",POWER(Upgrades!$U$7,F56),1)*IF(Upgrades!$T$8="Orbital Resonance",POWER(Upgrades!$U$8,G56),1)*IF(Upgrades!$T$9="Orbital Resonance",POWER(Upgrades!$U$9,H56),1)*IF(Upgrades!$T$11="Orbital Resonance",POWER(Upgrades!$U$11,J56),1)*IF(Upgrades!$T$12="Orbital Resonance",POWER(Upgrades!$U$12,K56),1))+(IF(J56=0,0,(Upgrades!$M$11+J56*Upgrades!$N$11)*POWER(Upgrades!$O$11,J56)))*(IF(Upgrades!$T$6="Heliopause",POWER(Upgrades!$U$6,E56),1)*IF(Upgrades!$T$7="Heliopause",POWER(Upgrades!$U$7,F56),1)*IF(Upgrades!$T$8="Heliopause",POWER(Upgrades!$U$8,G56),1)*IF(Upgrades!$T$9="Heliopause",POWER(Upgrades!$U$9,H56),1)*IF(Upgrades!$T$10="Heliopause",POWER(Upgrades!$U$10,I56),1)*IF(Upgrades!$T$12="Heliopause",POWER(Upgrades!$U$12,K56),1))+(IF(K56=0,0,(Upgrades!$M$12+K56*Upgrades!$N$12)*POWER(Upgrades!$O$12,K56)))*(IF(Upgrades!$T$6="First Photons",POWER(Upgrades!$U$6,E56),1)*IF(Upgrades!$T$7="First Photons",POWER(Upgrades!$U$7,F56),1)*IF(Upgrades!$T$8="First Photons",POWER(Upgrades!$U$8,G56),1)*IF(Upgrades!$T$9="First Photons",POWER(Upgrades!$U$9,H56),1)*IF(Upgrades!$T$10="First Photons",POWER(Upgrades!$U$10,I56),1)*IF(Upgrades!$T$11="First Photons",POWER(Upgrades!$U$11,J56),1)))*POWER(Upgrades!$R$6,E56)*POWER(Upgrades!$R$7,F56)*POWER(Upgrades!$R$8,G56)*POWER(Upgrades!$R$9,H56)*POWER(Upgrades!$R$10,I56)*POWER(Upgrades!$R$11,J56)*POWER(Upgrades!$R$12,K56)</f>
        <v/>
      </c>
      <c r="P56" s="27">
        <f>IF(L56=1,0,M56*Parameters!$B$10/60*Parameters!$B$11*10)</f>
        <v/>
      </c>
      <c r="Q56" s="27">
        <f>IF(L56=1,0,O56*M56*10)</f>
        <v/>
      </c>
      <c r="R56" s="27">
        <f>IF(L56=1,0,N56*10)</f>
        <v/>
      </c>
      <c r="S56" s="27">
        <f>P56+Q56+R56</f>
        <v/>
      </c>
      <c r="T56" s="22">
        <f>C56+S56</f>
        <v/>
      </c>
      <c r="U56" s="33">
        <f>AX56</f>
        <v/>
      </c>
      <c r="V56" s="22">
        <f>IF(U56="",0,IF(U56="transition",0,IF(U56="SW",AG56,IF(U56="AB",AH56,IF(U56="SC",AI56,IF(U56="Mag",AJ56,IF(U56="OR",AK56,IF(U56="HP",AL56,IF(U56="FP",AM56,0)))))))))</f>
        <v/>
      </c>
      <c r="W56" s="27">
        <f>IF(U56="OR",Upgrades!$F$10,IF(U56="HP",Upgrades!$F$11,IF(U56="transition",-Parameters!$B$18,0)))</f>
        <v/>
      </c>
      <c r="X56" s="22">
        <f>T56-V56</f>
        <v/>
      </c>
      <c r="Y56" s="30">
        <f>M56*Parameters!$B$10/60*Parameters!$B$11+O56*M56+N56</f>
        <v/>
      </c>
      <c r="Z56" s="34">
        <f>IF(U56="transition","→ Tier 2 (Stellar Neighborhood)",IF(U56="FP","First Photons — light begins, system quickens",IF(U56="HP","Heliopause acquired",IF(U56="OR","Orbital Resonance — passive multiplier active",IF(AND(AO56=1,L56=0,AN56&lt;&gt;1),"Cohesion ready (waiting on completionist upgrades)","")))))</f>
        <v/>
      </c>
      <c r="AA56" s="27">
        <f>(IF(E56=0,0,(Upgrades!$G$6+E56*Upgrades!$H$6)*POWER(Upgrades!$I$6,E56)))*(IF(Upgrades!$T$7="Solar Wind",POWER(Upgrades!$U$7,F56),1)*IF(Upgrades!$T$8="Solar Wind",POWER(Upgrades!$U$8,G56),1)*IF(Upgrades!$T$9="Solar Wind",POWER(Upgrades!$U$9,H56),1)*IF(Upgrades!$T$10="Solar Wind",POWER(Upgrades!$U$10,I56),1)*IF(Upgrades!$T$11="Solar Wind",POWER(Upgrades!$U$11,J56),1)*IF(Upgrades!$T$12="Solar Wind",POWER(Upgrades!$U$12,K56),1))*POWER(Upgrades!$P$6,E56)*POWER(Upgrades!$P$7,F56)*POWER(Upgrades!$P$8,G56)*POWER(Upgrades!$P$9,H56)*POWER(Upgrades!$P$10,I56)*POWER(Upgrades!$P$11,J56)*POWER(Upgrades!$P$12,K56)*60</f>
        <v/>
      </c>
      <c r="AB56" s="27">
        <f>(IF(F56=0,0,(Upgrades!$G$7+F56*Upgrades!$H$7)*POWER(Upgrades!$I$7,F56)))*(IF(Upgrades!$T$6="Asteroid Belt",POWER(Upgrades!$U$6,E56),1)*IF(Upgrades!$T$8="Asteroid Belt",POWER(Upgrades!$U$8,G56),1)*IF(Upgrades!$T$9="Asteroid Belt",POWER(Upgrades!$U$9,H56),1)*IF(Upgrades!$T$10="Asteroid Belt",POWER(Upgrades!$U$10,I56),1)*IF(Upgrades!$T$11="Asteroid Belt",POWER(Upgrades!$U$11,J56),1)*IF(Upgrades!$T$12="Asteroid Belt",POWER(Upgrades!$U$12,K56),1))*POWER(Upgrades!$P$6,E56)*POWER(Upgrades!$P$7,F56)*POWER(Upgrades!$P$8,G56)*POWER(Upgrades!$P$9,H56)*POWER(Upgrades!$P$10,I56)*POWER(Upgrades!$P$11,J56)*POWER(Upgrades!$P$12,K56)*60</f>
        <v/>
      </c>
      <c r="AC56" s="27">
        <f>(IF(G56=0,0,(Upgrades!$J$8+G56*Upgrades!$K$8)*POWER(Upgrades!$L$8,G56)))*(IF(Upgrades!$T$6="Stellar Coupling",POWER(Upgrades!$U$6,E56),1)*IF(Upgrades!$T$7="Stellar Coupling",POWER(Upgrades!$U$7,F56),1)*IF(Upgrades!$T$9="Stellar Coupling",POWER(Upgrades!$U$9,H56),1)*IF(Upgrades!$T$10="Stellar Coupling",POWER(Upgrades!$U$10,I56),1)*IF(Upgrades!$T$11="Stellar Coupling",POWER(Upgrades!$U$11,J56),1)*IF(Upgrades!$T$12="Stellar Coupling",POWER(Upgrades!$U$12,K56),1))*POWER(Upgrades!$Q$6,E56)*POWER(Upgrades!$Q$7,F56)*POWER(Upgrades!$Q$8,G56)*POWER(Upgrades!$Q$9,H56)*POWER(Upgrades!$Q$10,I56)*POWER(Upgrades!$Q$11,J56)*POWER(Upgrades!$Q$12,K56)*Parameters!$B$10*Parameters!$B$11</f>
        <v/>
      </c>
      <c r="AD56" s="27">
        <f>(IF(H56=0,0,(Upgrades!$G$9+H56*Upgrades!$H$9)*POWER(Upgrades!$I$9,H56)))*(IF(Upgrades!$T$6="Magnetosphere",POWER(Upgrades!$U$6,E56),1)*IF(Upgrades!$T$7="Magnetosphere",POWER(Upgrades!$U$7,F56),1)*IF(Upgrades!$T$8="Magnetosphere",POWER(Upgrades!$U$8,G56),1)*IF(Upgrades!$T$10="Magnetosphere",POWER(Upgrades!$U$10,I56),1)*IF(Upgrades!$T$11="Magnetosphere",POWER(Upgrades!$U$11,J56),1)*IF(Upgrades!$T$12="Magnetosphere",POWER(Upgrades!$U$12,K56),1))*POWER(Upgrades!$P$6,E56)*POWER(Upgrades!$P$7,F56)*POWER(Upgrades!$P$8,G56)*POWER(Upgrades!$P$9,H56)*POWER(Upgrades!$P$10,I56)*POWER(Upgrades!$P$11,J56)*POWER(Upgrades!$P$12,K56)*60</f>
        <v/>
      </c>
      <c r="AE56" s="27">
        <f>(IF(K56=0,0,(Upgrades!$G$12+K56*Upgrades!$H$12)*POWER(Upgrades!$I$12,K56)))*(IF(Upgrades!$T$6="First Photons",POWER(Upgrades!$U$6,E56),1)*IF(Upgrades!$T$7="First Photons",POWER(Upgrades!$U$7,F56),1)*IF(Upgrades!$T$8="First Photons",POWER(Upgrades!$U$8,G56),1)*IF(Upgrades!$T$9="First Photons",POWER(Upgrades!$U$9,H56),1)*IF(Upgrades!$T$10="First Photons",POWER(Upgrades!$U$10,I56),1)*IF(Upgrades!$T$11="First Photons",POWER(Upgrades!$U$11,J56),1))*POWER(Upgrades!$P$6,E56)*POWER(Upgrades!$P$7,F56)*POWER(Upgrades!$P$8,G56)*POWER(Upgrades!$P$9,H56)*POWER(Upgrades!$P$10,I56)*POWER(Upgrades!$P$11,J56)*POWER(Upgrades!$P$12,K56)*60</f>
        <v/>
      </c>
      <c r="AF56" s="27">
        <f>Parameters!$B$9*POWER(Upgrades!$Q$6,E56)*POWER(Upgrades!$Q$7,F56)*POWER(Upgrades!$Q$8,G56)*POWER(Upgrades!$Q$9,H56)*POWER(Upgrades!$Q$10,I56)*POWER(Upgrades!$Q$11,J56)*POWER(Upgrades!$Q$12,K56)*(Parameters!$B$10*Parameters!$B$11+O56*60)</f>
        <v/>
      </c>
      <c r="AG56" s="22">
        <f>IF(E56&gt;=Upgrades!$E$6,"",Upgrades!$C$6*POWER(Upgrades!$D$6,E56))</f>
        <v/>
      </c>
      <c r="AH56" s="22">
        <f>IF(F56&gt;=Upgrades!$E$7,"",Upgrades!$C$7*POWER(Upgrades!$D$7,F56))</f>
        <v/>
      </c>
      <c r="AI56" s="22">
        <f>IF(G56&gt;=Upgrades!$E$8,"",Upgrades!$C$8*POWER(Upgrades!$D$8,G56))</f>
        <v/>
      </c>
      <c r="AJ56" s="22">
        <f>IF(H56&gt;=Upgrades!$E$9,"",Upgrades!$C$9*POWER(Upgrades!$D$9,H56))</f>
        <v/>
      </c>
      <c r="AK56" s="22">
        <f>IF(I56&gt;=Upgrades!$E$10,"",Upgrades!$C$10*POWER(Upgrades!$D$10,I56))</f>
        <v/>
      </c>
      <c r="AL56" s="22">
        <f>IF(J56&gt;=Upgrades!$E$11,"",Upgrades!$C$11*POWER(Upgrades!$D$11,J56))</f>
        <v/>
      </c>
      <c r="AM56" s="22">
        <f>IF(K56&gt;=Upgrades!$E$12,"",Upgrades!$C$12*POWER(Upgrades!$D$12,K56))</f>
        <v/>
      </c>
      <c r="AN56" s="26">
        <f>IF(AND(D56&gt;=Parameters!$B$18,(H56&gt;=Upgrades!$E$9)*(K56&gt;=Upgrades!$E$12)=1,L56=0),1,"")</f>
        <v/>
      </c>
      <c r="AO56" s="26">
        <f>IF(AND(D56&gt;=Parameters!$B$18,L56=0),1,"")</f>
        <v/>
      </c>
      <c r="AP56" s="22">
        <f>MIN(IF(ISNUMBER(AK56),AK56,9E15),IF(ISNUMBER(AL56),AL56,9E15),IF(ISNUMBER(AM56),AM56,9E15))</f>
        <v/>
      </c>
      <c r="AQ56" s="22">
        <f>MIN(IF(ISNUMBER(AG56),AG56,9E15),IF(ISNUMBER(AH56),AH56,9E15),IF(ISNUMBER(AI56),AI56,9E15),IF(ISNUMBER(AJ56),AJ56,9E15))</f>
        <v/>
      </c>
      <c r="AR56" s="29">
        <f>IF(AW56&gt;Parameters!$B$21*(MAX(IF(AND(NOT(AND(AO56=1,AN56&lt;&gt;1)),ISNUMBER(AG56),AG56&lt;=T56),AS56,0),IF(AND(NOT(AND(AO56=1,AN56&lt;&gt;1)),ISNUMBER(AH56),AH56&lt;=T56),AT56,0),IF(AND(NOT(AND(AO56=1,AN56&lt;&gt;1)),ISNUMBER(AI56),AI56&lt;=T56),AU56,0),IF(AND(ISNUMBER(AJ56),AJ56&lt;=T56),AV56,0))),TRUE,FALSE)</f>
        <v/>
      </c>
      <c r="AS56" s="32">
        <f>IFERROR(Upgrades!$H$6*(POWER(Upgrades!$P$6,E56)*POWER(Upgrades!$P$7,F56)*POWER(Upgrades!$P$8,G56)*POWER(Upgrades!$P$9,H56)*POWER(Upgrades!$P$10,I56)*POWER(Upgrades!$P$11,J56)*POWER(Upgrades!$P$12,K56))*(IF(Upgrades!$T$7="Solar Wind",POWER(Upgrades!$U$7,F56),1)*IF(Upgrades!$T$8="Solar Wind",POWER(Upgrades!$U$8,G56),1)*IF(Upgrades!$T$9="Solar Wind",POWER(Upgrades!$U$9,H56),1)*IF(Upgrades!$T$10="Solar Wind",POWER(Upgrades!$U$10,I56),1)*IF(Upgrades!$T$11="Solar Wind",POWER(Upgrades!$U$11,J56),1)*IF(Upgrades!$T$12="Solar Wind",POWER(Upgrades!$U$12,K56),1))/AG56,0)</f>
        <v/>
      </c>
      <c r="AT56" s="32">
        <f>IFERROR(Upgrades!$H$7*(POWER(Upgrades!$P$6,E56)*POWER(Upgrades!$P$7,F56)*POWER(Upgrades!$P$8,G56)*POWER(Upgrades!$P$9,H56)*POWER(Upgrades!$P$10,I56)*POWER(Upgrades!$P$11,J56)*POWER(Upgrades!$P$12,K56))*(IF(Upgrades!$T$6="Asteroid Belt",POWER(Upgrades!$U$6,E56),1)*IF(Upgrades!$T$8="Asteroid Belt",POWER(Upgrades!$U$8,G56),1)*IF(Upgrades!$T$9="Asteroid Belt",POWER(Upgrades!$U$9,H56),1)*IF(Upgrades!$T$10="Asteroid Belt",POWER(Upgrades!$U$10,I56),1)*IF(Upgrades!$T$11="Asteroid Belt",POWER(Upgrades!$U$11,J56),1)*IF(Upgrades!$T$12="Asteroid Belt",POWER(Upgrades!$U$12,K56),1))/AH56,0)</f>
        <v/>
      </c>
      <c r="AU56" s="32">
        <f>IFERROR(Upgrades!$K$8*(POWER(Upgrades!$Q$6,E56)*POWER(Upgrades!$Q$7,F56)*POWER(Upgrades!$Q$8,G56)*POWER(Upgrades!$Q$9,H56)*POWER(Upgrades!$Q$10,I56)*POWER(Upgrades!$Q$11,J56)*POWER(Upgrades!$Q$12,K56))*(IF(Upgrades!$T$6="Stellar Coupling",POWER(Upgrades!$U$6,E56),1)*IF(Upgrades!$T$7="Stellar Coupling",POWER(Upgrades!$U$7,F56),1)*IF(Upgrades!$T$9="Stellar Coupling",POWER(Upgrades!$U$9,H56),1)*IF(Upgrades!$T$10="Stellar Coupling",POWER(Upgrades!$U$10,I56),1)*IF(Upgrades!$T$11="Stellar Coupling",POWER(Upgrades!$U$11,J56),1)*IF(Upgrades!$T$12="Stellar Coupling",POWER(Upgrades!$U$12,K56),1))*Parameters!$B$10*Parameters!$B$11/60/AI56,0)</f>
        <v/>
      </c>
      <c r="AV56" s="32">
        <f>IFERROR(Upgrades!$H$9*(POWER(Upgrades!$P$6,E56)*POWER(Upgrades!$P$7,F56)*POWER(Upgrades!$P$8,G56)*POWER(Upgrades!$P$9,H56)*POWER(Upgrades!$P$10,I56)*POWER(Upgrades!$P$11,J56)*POWER(Upgrades!$P$12,K56))*(IF(Upgrades!$T$6="Magnetosphere",POWER(Upgrades!$U$6,E56),1)*IF(Upgrades!$T$7="Magnetosphere",POWER(Upgrades!$U$7,F56),1)*IF(Upgrades!$T$8="Magnetosphere",POWER(Upgrades!$U$8,G56),1)*IF(Upgrades!$T$10="Magnetosphere",POWER(Upgrades!$U$10,I56),1)*IF(Upgrades!$T$11="Magnetosphere",POWER(Upgrades!$U$11,J56),1)*IF(Upgrades!$T$12="Magnetosphere",POWER(Upgrades!$U$12,K56),1))/AJ56,0)</f>
        <v/>
      </c>
      <c r="AW56" s="32">
        <f>MAX(IF(I56&gt;0,0,IFERROR(0.25*N56/Upgrades!$C$10,0)),IF(J56&gt;0,0,IFERROR(0.5*((IF(G56=0,0,(Upgrades!$J$8+G56*Upgrades!$K$8)*POWER(Upgrades!$L$8,G56)))*(IF(Upgrades!$T$6="Stellar Coupling",POWER(Upgrades!$U$6,E56),1)*IF(Upgrades!$T$7="Stellar Coupling",POWER(Upgrades!$U$7,F56),1)*IF(Upgrades!$T$9="Stellar Coupling",POWER(Upgrades!$U$9,H56),1)*IF(Upgrades!$T$10="Stellar Coupling",POWER(Upgrades!$U$10,I56),1)*IF(Upgrades!$T$11="Stellar Coupling",POWER(Upgrades!$U$11,J56),1)*IF(Upgrades!$T$12="Stellar Coupling",POWER(Upgrades!$U$12,K56),1))*(POWER(Upgrades!$Q$6,E56)*POWER(Upgrades!$Q$7,F56)*POWER(Upgrades!$Q$8,G56)*POWER(Upgrades!$Q$9,H56)*POWER(Upgrades!$Q$10,I56)*POWER(Upgrades!$Q$11,J56)*POWER(Upgrades!$Q$12,K56))*Parameters!$B$10*Parameters!$B$11/60)/Upgrades!$C$11,0)),IF(K56&gt;0,0,IFERROR((1.0*(POWER(Upgrades!$P$6,E56)*POWER(Upgrades!$P$7,F56)*POWER(Upgrades!$P$8,G56)*POWER(Upgrades!$P$9,H56)*POWER(Upgrades!$P$10,I56)*POWER(Upgrades!$P$11,J56)*POWER(Upgrades!$P$12,K56))+0.20*M56*Parameters!$B$10*Parameters!$B$11/60)/Upgrades!$C$12,0)),IF(AND(ISNUMBER(AG56),AG56&gt;T56),AS56,0),IF(AND(ISNUMBER(AH56),AH56&gt;T56),AT56,0),IF(AND(ISNUMBER(AI56),AI56&gt;T56),AU56,0),IF(AND(ISNUMBER(AJ56),AJ56&gt;T56),AV56,0))</f>
        <v/>
      </c>
      <c r="AX56" s="29">
        <f>IF(AN56=1,"transition",IF(MIN(IF(AND(I56=0,ISNUMBER(AK56),AK56&lt;=T56),AK56,9E15),IF(AND(J56=0,ISNUMBER(AL56),AL56&lt;=T56),AL56,9E15),IF(AND(K56=0,ISNUMBER(AM56),AM56&lt;=T56),AM56,9E15))&lt;9E15,IF(AND(AND(I56=0,ISNUMBER(AK56),AK56&lt;=T56),AK56=MIN(IF(AND(I56=0,ISNUMBER(AK56),AK56&lt;=T56),AK56,9E15),IF(AND(J56=0,ISNUMBER(AL56),AL56&lt;=T56),AL56,9E15),IF(AND(K56=0,ISNUMBER(AM56),AM56&lt;=T56),AM56,9E15))),"OR",IF(AND(AND(J56=0,ISNUMBER(AL56),AL56&lt;=T56),AL56=MIN(IF(AND(I56=0,ISNUMBER(AK56),AK56&lt;=T56),AK56,9E15),IF(AND(J56=0,ISNUMBER(AL56),AL56&lt;=T56),AL56,9E15),IF(AND(K56=0,ISNUMBER(AM56),AM56&lt;=T56),AM56,9E15))),"HP","FP")),IF(AR56=TRUE,"",IF(MAX(IF(AND(NOT(AND(AO56=1,AN56&lt;&gt;1)),ISNUMBER(AG56),AG56&lt;=T56),AS56,0),IF(AND(NOT(AND(AO56=1,AN56&lt;&gt;1)),ISNUMBER(AH56),AH56&lt;=T56),AT56,0),IF(AND(NOT(AND(AO56=1,AN56&lt;&gt;1)),ISNUMBER(AI56),AI56&lt;=T56),AU56,0),IF(AND(ISNUMBER(AJ56),AJ56&lt;=T56),AV56,0))&lt;=0,"",IF(AND(IF(AND(NOT(AND(AO56=1,AN56&lt;&gt;1)),ISNUMBER(AG56),AG56&lt;=T56),AS56,0)&gt;0,IF(AND(NOT(AND(AO56=1,AN56&lt;&gt;1)),ISNUMBER(AG56),AG56&lt;=T56),AS56,0)=MAX(IF(AND(NOT(AND(AO56=1,AN56&lt;&gt;1)),ISNUMBER(AG56),AG56&lt;=T56),AS56,0),IF(AND(NOT(AND(AO56=1,AN56&lt;&gt;1)),ISNUMBER(AH56),AH56&lt;=T56),AT56,0),IF(AND(NOT(AND(AO56=1,AN56&lt;&gt;1)),ISNUMBER(AI56),AI56&lt;=T56),AU56,0),IF(AND(ISNUMBER(AJ56),AJ56&lt;=T56),AV56,0))),"SW",IF(AND(IF(AND(NOT(AND(AO56=1,AN56&lt;&gt;1)),ISNUMBER(AH56),AH56&lt;=T56),AT56,0)&gt;0,IF(AND(NOT(AND(AO56=1,AN56&lt;&gt;1)),ISNUMBER(AH56),AH56&lt;=T56),AT56,0)=MAX(IF(AND(NOT(AND(AO56=1,AN56&lt;&gt;1)),ISNUMBER(AG56),AG56&lt;=T56),AS56,0),IF(AND(NOT(AND(AO56=1,AN56&lt;&gt;1)),ISNUMBER(AH56),AH56&lt;=T56),AT56,0),IF(AND(NOT(AND(AO56=1,AN56&lt;&gt;1)),ISNUMBER(AI56),AI56&lt;=T56),AU56,0),IF(AND(ISNUMBER(AJ56),AJ56&lt;=T56),AV56,0))),"AB",IF(AND(IF(AND(NOT(AND(AO56=1,AN56&lt;&gt;1)),ISNUMBER(AI56),AI56&lt;=T56),AU56,0)&gt;0,IF(AND(NOT(AND(AO56=1,AN56&lt;&gt;1)),ISNUMBER(AI56),AI56&lt;=T56),AU56,0)=MAX(IF(AND(NOT(AND(AO56=1,AN56&lt;&gt;1)),ISNUMBER(AG56),AG56&lt;=T56),AS56,0),IF(AND(NOT(AND(AO56=1,AN56&lt;&gt;1)),ISNUMBER(AH56),AH56&lt;=T56),AT56,0),IF(AND(NOT(AND(AO56=1,AN56&lt;&gt;1)),ISNUMBER(AI56),AI56&lt;=T56),AU56,0),IF(AND(ISNUMBER(AJ56),AJ56&lt;=T56),AV56,0))),"SC","Mag")))))))</f>
        <v/>
      </c>
    </row>
    <row r="57">
      <c r="A57" s="26" t="n">
        <v>52</v>
      </c>
      <c r="B57" s="27">
        <f>A57*10/60</f>
        <v/>
      </c>
      <c r="C57" s="22">
        <f>X56</f>
        <v/>
      </c>
      <c r="D57" s="27">
        <f>D56+W56</f>
        <v/>
      </c>
      <c r="E57" s="26">
        <f>E56+IF(U56="SW",1,0)</f>
        <v/>
      </c>
      <c r="F57" s="26">
        <f>F56+IF(U56="AB",1,0)</f>
        <v/>
      </c>
      <c r="G57" s="26">
        <f>G56+IF(U56="SC",1,0)</f>
        <v/>
      </c>
      <c r="H57" s="26">
        <f>H56+IF(U56="Mag",1,0)</f>
        <v/>
      </c>
      <c r="I57" s="26">
        <f>MAX(I56,IF(U56="OR",1,0))</f>
        <v/>
      </c>
      <c r="J57" s="26">
        <f>MAX(J56,IF(U56="HP",1,0))</f>
        <v/>
      </c>
      <c r="K57" s="26">
        <f>MAX(K56,IF(U56="FP",1,0))</f>
        <v/>
      </c>
      <c r="L57" s="26">
        <f>MAX(L56,IF(U56="transition",1,0))</f>
        <v/>
      </c>
      <c r="M57" s="28">
        <f>(Parameters!$B$9+(IF(E57=0,0,(Upgrades!$J$6+E57*Upgrades!$K$6)*POWER(Upgrades!$L$6,E57)))*(IF(Upgrades!$T$7="Solar Wind",POWER(Upgrades!$U$7,F57),1)*IF(Upgrades!$T$8="Solar Wind",POWER(Upgrades!$U$8,G57),1)*IF(Upgrades!$T$9="Solar Wind",POWER(Upgrades!$U$9,H57),1)*IF(Upgrades!$T$10="Solar Wind",POWER(Upgrades!$U$10,I57),1)*IF(Upgrades!$T$11="Solar Wind",POWER(Upgrades!$U$11,J57),1)*IF(Upgrades!$T$12="Solar Wind",POWER(Upgrades!$U$12,K57),1))+(IF(F57=0,0,(Upgrades!$J$7+F57*Upgrades!$K$7)*POWER(Upgrades!$L$7,F57)))*(IF(Upgrades!$T$6="Asteroid Belt",POWER(Upgrades!$U$6,E57),1)*IF(Upgrades!$T$8="Asteroid Belt",POWER(Upgrades!$U$8,G57),1)*IF(Upgrades!$T$9="Asteroid Belt",POWER(Upgrades!$U$9,H57),1)*IF(Upgrades!$T$10="Asteroid Belt",POWER(Upgrades!$U$10,I57),1)*IF(Upgrades!$T$11="Asteroid Belt",POWER(Upgrades!$U$11,J57),1)*IF(Upgrades!$T$12="Asteroid Belt",POWER(Upgrades!$U$12,K57),1))+(IF(G57=0,0,(Upgrades!$J$8+G57*Upgrades!$K$8)*POWER(Upgrades!$L$8,G57)))*(IF(Upgrades!$T$6="Stellar Coupling",POWER(Upgrades!$U$6,E57),1)*IF(Upgrades!$T$7="Stellar Coupling",POWER(Upgrades!$U$7,F57),1)*IF(Upgrades!$T$9="Stellar Coupling",POWER(Upgrades!$U$9,H57),1)*IF(Upgrades!$T$10="Stellar Coupling",POWER(Upgrades!$U$10,I57),1)*IF(Upgrades!$T$11="Stellar Coupling",POWER(Upgrades!$U$11,J57),1)*IF(Upgrades!$T$12="Stellar Coupling",POWER(Upgrades!$U$12,K57),1))+(IF(H57=0,0,(Upgrades!$J$9+H57*Upgrades!$K$9)*POWER(Upgrades!$L$9,H57)))*(IF(Upgrades!$T$6="Magnetosphere",POWER(Upgrades!$U$6,E57),1)*IF(Upgrades!$T$7="Magnetosphere",POWER(Upgrades!$U$7,F57),1)*IF(Upgrades!$T$8="Magnetosphere",POWER(Upgrades!$U$8,G57),1)*IF(Upgrades!$T$10="Magnetosphere",POWER(Upgrades!$U$10,I57),1)*IF(Upgrades!$T$11="Magnetosphere",POWER(Upgrades!$U$11,J57),1)*IF(Upgrades!$T$12="Magnetosphere",POWER(Upgrades!$U$12,K57),1))+(IF(I57=0,0,(Upgrades!$J$10+I57*Upgrades!$K$10)*POWER(Upgrades!$L$10,I57)))*(IF(Upgrades!$T$6="Orbital Resonance",POWER(Upgrades!$U$6,E57),1)*IF(Upgrades!$T$7="Orbital Resonance",POWER(Upgrades!$U$7,F57),1)*IF(Upgrades!$T$8="Orbital Resonance",POWER(Upgrades!$U$8,G57),1)*IF(Upgrades!$T$9="Orbital Resonance",POWER(Upgrades!$U$9,H57),1)*IF(Upgrades!$T$11="Orbital Resonance",POWER(Upgrades!$U$11,J57),1)*IF(Upgrades!$T$12="Orbital Resonance",POWER(Upgrades!$U$12,K57),1))+(IF(J57=0,0,(Upgrades!$J$11+J57*Upgrades!$K$11)*POWER(Upgrades!$L$11,J57)))*(IF(Upgrades!$T$6="Heliopause",POWER(Upgrades!$U$6,E57),1)*IF(Upgrades!$T$7="Heliopause",POWER(Upgrades!$U$7,F57),1)*IF(Upgrades!$T$8="Heliopause",POWER(Upgrades!$U$8,G57),1)*IF(Upgrades!$T$9="Heliopause",POWER(Upgrades!$U$9,H57),1)*IF(Upgrades!$T$10="Heliopause",POWER(Upgrades!$U$10,I57),1)*IF(Upgrades!$T$12="Heliopause",POWER(Upgrades!$U$12,K57),1))+(IF(K57=0,0,(Upgrades!$J$12+K57*Upgrades!$K$12)*POWER(Upgrades!$L$12,K57)))*(IF(Upgrades!$T$6="First Photons",POWER(Upgrades!$U$6,E57),1)*IF(Upgrades!$T$7="First Photons",POWER(Upgrades!$U$7,F57),1)*IF(Upgrades!$T$8="First Photons",POWER(Upgrades!$U$8,G57),1)*IF(Upgrades!$T$9="First Photons",POWER(Upgrades!$U$9,H57),1)*IF(Upgrades!$T$10="First Photons",POWER(Upgrades!$U$10,I57),1)*IF(Upgrades!$T$11="First Photons",POWER(Upgrades!$U$11,J57),1)))*POWER(Upgrades!$Q$6,E57)*POWER(Upgrades!$Q$7,F57)*POWER(Upgrades!$Q$8,G57)*POWER(Upgrades!$Q$9,H57)*POWER(Upgrades!$Q$10,I57)*POWER(Upgrades!$Q$11,J57)*POWER(Upgrades!$Q$12,K57)</f>
        <v/>
      </c>
      <c r="N57" s="28">
        <f>((IF(E57=0,0,(Upgrades!$G$6+E57*Upgrades!$H$6)*POWER(Upgrades!$I$6,E57)))*(IF(Upgrades!$T$7="Solar Wind",POWER(Upgrades!$U$7,F57),1)*IF(Upgrades!$T$8="Solar Wind",POWER(Upgrades!$U$8,G57),1)*IF(Upgrades!$T$9="Solar Wind",POWER(Upgrades!$U$9,H57),1)*IF(Upgrades!$T$10="Solar Wind",POWER(Upgrades!$U$10,I57),1)*IF(Upgrades!$T$11="Solar Wind",POWER(Upgrades!$U$11,J57),1)*IF(Upgrades!$T$12="Solar Wind",POWER(Upgrades!$U$12,K57),1))+(IF(F57=0,0,(Upgrades!$G$7+F57*Upgrades!$H$7)*POWER(Upgrades!$I$7,F57)))*(IF(Upgrades!$T$6="Asteroid Belt",POWER(Upgrades!$U$6,E57),1)*IF(Upgrades!$T$8="Asteroid Belt",POWER(Upgrades!$U$8,G57),1)*IF(Upgrades!$T$9="Asteroid Belt",POWER(Upgrades!$U$9,H57),1)*IF(Upgrades!$T$10="Asteroid Belt",POWER(Upgrades!$U$10,I57),1)*IF(Upgrades!$T$11="Asteroid Belt",POWER(Upgrades!$U$11,J57),1)*IF(Upgrades!$T$12="Asteroid Belt",POWER(Upgrades!$U$12,K57),1))+(IF(G57=0,0,(Upgrades!$G$8+G57*Upgrades!$H$8)*POWER(Upgrades!$I$8,G57)))*(IF(Upgrades!$T$6="Stellar Coupling",POWER(Upgrades!$U$6,E57),1)*IF(Upgrades!$T$7="Stellar Coupling",POWER(Upgrades!$U$7,F57),1)*IF(Upgrades!$T$9="Stellar Coupling",POWER(Upgrades!$U$9,H57),1)*IF(Upgrades!$T$10="Stellar Coupling",POWER(Upgrades!$U$10,I57),1)*IF(Upgrades!$T$11="Stellar Coupling",POWER(Upgrades!$U$11,J57),1)*IF(Upgrades!$T$12="Stellar Coupling",POWER(Upgrades!$U$12,K57),1))+(IF(H57=0,0,(Upgrades!$G$9+H57*Upgrades!$H$9)*POWER(Upgrades!$I$9,H57)))*(IF(Upgrades!$T$6="Magnetosphere",POWER(Upgrades!$U$6,E57),1)*IF(Upgrades!$T$7="Magnetosphere",POWER(Upgrades!$U$7,F57),1)*IF(Upgrades!$T$8="Magnetosphere",POWER(Upgrades!$U$8,G57),1)*IF(Upgrades!$T$10="Magnetosphere",POWER(Upgrades!$U$10,I57),1)*IF(Upgrades!$T$11="Magnetosphere",POWER(Upgrades!$U$11,J57),1)*IF(Upgrades!$T$12="Magnetosphere",POWER(Upgrades!$U$12,K57),1))+(IF(I57=0,0,(Upgrades!$G$10+I57*Upgrades!$H$10)*POWER(Upgrades!$I$10,I57)))*(IF(Upgrades!$T$6="Orbital Resonance",POWER(Upgrades!$U$6,E57),1)*IF(Upgrades!$T$7="Orbital Resonance",POWER(Upgrades!$U$7,F57),1)*IF(Upgrades!$T$8="Orbital Resonance",POWER(Upgrades!$U$8,G57),1)*IF(Upgrades!$T$9="Orbital Resonance",POWER(Upgrades!$U$9,H57),1)*IF(Upgrades!$T$11="Orbital Resonance",POWER(Upgrades!$U$11,J57),1)*IF(Upgrades!$T$12="Orbital Resonance",POWER(Upgrades!$U$12,K57),1))+(IF(J57=0,0,(Upgrades!$G$11+J57*Upgrades!$H$11)*POWER(Upgrades!$I$11,J57)))*(IF(Upgrades!$T$6="Heliopause",POWER(Upgrades!$U$6,E57),1)*IF(Upgrades!$T$7="Heliopause",POWER(Upgrades!$U$7,F57),1)*IF(Upgrades!$T$8="Heliopause",POWER(Upgrades!$U$8,G57),1)*IF(Upgrades!$T$9="Heliopause",POWER(Upgrades!$U$9,H57),1)*IF(Upgrades!$T$10="Heliopause",POWER(Upgrades!$U$10,I57),1)*IF(Upgrades!$T$12="Heliopause",POWER(Upgrades!$U$12,K57),1))+(IF(K57=0,0,(Upgrades!$G$12+K57*Upgrades!$H$12)*POWER(Upgrades!$I$12,K57)))*(IF(Upgrades!$T$6="First Photons",POWER(Upgrades!$U$6,E57),1)*IF(Upgrades!$T$7="First Photons",POWER(Upgrades!$U$7,F57),1)*IF(Upgrades!$T$8="First Photons",POWER(Upgrades!$U$8,G57),1)*IF(Upgrades!$T$9="First Photons",POWER(Upgrades!$U$9,H57),1)*IF(Upgrades!$T$10="First Photons",POWER(Upgrades!$U$10,I57),1)*IF(Upgrades!$T$11="First Photons",POWER(Upgrades!$U$11,J57),1)))*POWER(Upgrades!$P$6,E57)*POWER(Upgrades!$P$7,F57)*POWER(Upgrades!$P$8,G57)*POWER(Upgrades!$P$9,H57)*POWER(Upgrades!$P$10,I57)*POWER(Upgrades!$P$11,J57)*POWER(Upgrades!$P$12,K57)</f>
        <v/>
      </c>
      <c r="O57" s="28">
        <f>((IF(E57=0,0,(Upgrades!$M$6+E57*Upgrades!$N$6)*POWER(Upgrades!$O$6,E57)))*(IF(Upgrades!$T$7="Solar Wind",POWER(Upgrades!$U$7,F57),1)*IF(Upgrades!$T$8="Solar Wind",POWER(Upgrades!$U$8,G57),1)*IF(Upgrades!$T$9="Solar Wind",POWER(Upgrades!$U$9,H57),1)*IF(Upgrades!$T$10="Solar Wind",POWER(Upgrades!$U$10,I57),1)*IF(Upgrades!$T$11="Solar Wind",POWER(Upgrades!$U$11,J57),1)*IF(Upgrades!$T$12="Solar Wind",POWER(Upgrades!$U$12,K57),1))+(IF(F57=0,0,(Upgrades!$M$7+F57*Upgrades!$N$7)*POWER(Upgrades!$O$7,F57)))*(IF(Upgrades!$T$6="Asteroid Belt",POWER(Upgrades!$U$6,E57),1)*IF(Upgrades!$T$8="Asteroid Belt",POWER(Upgrades!$U$8,G57),1)*IF(Upgrades!$T$9="Asteroid Belt",POWER(Upgrades!$U$9,H57),1)*IF(Upgrades!$T$10="Asteroid Belt",POWER(Upgrades!$U$10,I57),1)*IF(Upgrades!$T$11="Asteroid Belt",POWER(Upgrades!$U$11,J57),1)*IF(Upgrades!$T$12="Asteroid Belt",POWER(Upgrades!$U$12,K57),1))+(IF(G57=0,0,(Upgrades!$M$8+G57*Upgrades!$N$8)*POWER(Upgrades!$O$8,G57)))*(IF(Upgrades!$T$6="Stellar Coupling",POWER(Upgrades!$U$6,E57),1)*IF(Upgrades!$T$7="Stellar Coupling",POWER(Upgrades!$U$7,F57),1)*IF(Upgrades!$T$9="Stellar Coupling",POWER(Upgrades!$U$9,H57),1)*IF(Upgrades!$T$10="Stellar Coupling",POWER(Upgrades!$U$10,I57),1)*IF(Upgrades!$T$11="Stellar Coupling",POWER(Upgrades!$U$11,J57),1)*IF(Upgrades!$T$12="Stellar Coupling",POWER(Upgrades!$U$12,K57),1))+(IF(H57=0,0,(Upgrades!$M$9+H57*Upgrades!$N$9)*POWER(Upgrades!$O$9,H57)))*(IF(Upgrades!$T$6="Magnetosphere",POWER(Upgrades!$U$6,E57),1)*IF(Upgrades!$T$7="Magnetosphere",POWER(Upgrades!$U$7,F57),1)*IF(Upgrades!$T$8="Magnetosphere",POWER(Upgrades!$U$8,G57),1)*IF(Upgrades!$T$10="Magnetosphere",POWER(Upgrades!$U$10,I57),1)*IF(Upgrades!$T$11="Magnetosphere",POWER(Upgrades!$U$11,J57),1)*IF(Upgrades!$T$12="Magnetosphere",POWER(Upgrades!$U$12,K57),1))+(IF(I57=0,0,(Upgrades!$M$10+I57*Upgrades!$N$10)*POWER(Upgrades!$O$10,I57)))*(IF(Upgrades!$T$6="Orbital Resonance",POWER(Upgrades!$U$6,E57),1)*IF(Upgrades!$T$7="Orbital Resonance",POWER(Upgrades!$U$7,F57),1)*IF(Upgrades!$T$8="Orbital Resonance",POWER(Upgrades!$U$8,G57),1)*IF(Upgrades!$T$9="Orbital Resonance",POWER(Upgrades!$U$9,H57),1)*IF(Upgrades!$T$11="Orbital Resonance",POWER(Upgrades!$U$11,J57),1)*IF(Upgrades!$T$12="Orbital Resonance",POWER(Upgrades!$U$12,K57),1))+(IF(J57=0,0,(Upgrades!$M$11+J57*Upgrades!$N$11)*POWER(Upgrades!$O$11,J57)))*(IF(Upgrades!$T$6="Heliopause",POWER(Upgrades!$U$6,E57),1)*IF(Upgrades!$T$7="Heliopause",POWER(Upgrades!$U$7,F57),1)*IF(Upgrades!$T$8="Heliopause",POWER(Upgrades!$U$8,G57),1)*IF(Upgrades!$T$9="Heliopause",POWER(Upgrades!$U$9,H57),1)*IF(Upgrades!$T$10="Heliopause",POWER(Upgrades!$U$10,I57),1)*IF(Upgrades!$T$12="Heliopause",POWER(Upgrades!$U$12,K57),1))+(IF(K57=0,0,(Upgrades!$M$12+K57*Upgrades!$N$12)*POWER(Upgrades!$O$12,K57)))*(IF(Upgrades!$T$6="First Photons",POWER(Upgrades!$U$6,E57),1)*IF(Upgrades!$T$7="First Photons",POWER(Upgrades!$U$7,F57),1)*IF(Upgrades!$T$8="First Photons",POWER(Upgrades!$U$8,G57),1)*IF(Upgrades!$T$9="First Photons",POWER(Upgrades!$U$9,H57),1)*IF(Upgrades!$T$10="First Photons",POWER(Upgrades!$U$10,I57),1)*IF(Upgrades!$T$11="First Photons",POWER(Upgrades!$U$11,J57),1)))*POWER(Upgrades!$R$6,E57)*POWER(Upgrades!$R$7,F57)*POWER(Upgrades!$R$8,G57)*POWER(Upgrades!$R$9,H57)*POWER(Upgrades!$R$10,I57)*POWER(Upgrades!$R$11,J57)*POWER(Upgrades!$R$12,K57)</f>
        <v/>
      </c>
      <c r="P57" s="27">
        <f>IF(L57=1,0,M57*Parameters!$B$10/60*Parameters!$B$11*10)</f>
        <v/>
      </c>
      <c r="Q57" s="27">
        <f>IF(L57=1,0,O57*M57*10)</f>
        <v/>
      </c>
      <c r="R57" s="27">
        <f>IF(L57=1,0,N57*10)</f>
        <v/>
      </c>
      <c r="S57" s="27">
        <f>P57+Q57+R57</f>
        <v/>
      </c>
      <c r="T57" s="22">
        <f>C57+S57</f>
        <v/>
      </c>
      <c r="U57" s="33">
        <f>AX57</f>
        <v/>
      </c>
      <c r="V57" s="22">
        <f>IF(U57="",0,IF(U57="transition",0,IF(U57="SW",AG57,IF(U57="AB",AH57,IF(U57="SC",AI57,IF(U57="Mag",AJ57,IF(U57="OR",AK57,IF(U57="HP",AL57,IF(U57="FP",AM57,0)))))))))</f>
        <v/>
      </c>
      <c r="W57" s="27">
        <f>IF(U57="OR",Upgrades!$F$10,IF(U57="HP",Upgrades!$F$11,IF(U57="transition",-Parameters!$B$18,0)))</f>
        <v/>
      </c>
      <c r="X57" s="22">
        <f>T57-V57</f>
        <v/>
      </c>
      <c r="Y57" s="30">
        <f>M57*Parameters!$B$10/60*Parameters!$B$11+O57*M57+N57</f>
        <v/>
      </c>
      <c r="Z57" s="34">
        <f>IF(U57="transition","→ Tier 2 (Stellar Neighborhood)",IF(U57="FP","First Photons — light begins, system quickens",IF(U57="HP","Heliopause acquired",IF(U57="OR","Orbital Resonance — passive multiplier active",IF(AND(AO57=1,L57=0,AN57&lt;&gt;1),"Cohesion ready (waiting on completionist upgrades)","")))))</f>
        <v/>
      </c>
      <c r="AA57" s="27">
        <f>(IF(E57=0,0,(Upgrades!$G$6+E57*Upgrades!$H$6)*POWER(Upgrades!$I$6,E57)))*(IF(Upgrades!$T$7="Solar Wind",POWER(Upgrades!$U$7,F57),1)*IF(Upgrades!$T$8="Solar Wind",POWER(Upgrades!$U$8,G57),1)*IF(Upgrades!$T$9="Solar Wind",POWER(Upgrades!$U$9,H57),1)*IF(Upgrades!$T$10="Solar Wind",POWER(Upgrades!$U$10,I57),1)*IF(Upgrades!$T$11="Solar Wind",POWER(Upgrades!$U$11,J57),1)*IF(Upgrades!$T$12="Solar Wind",POWER(Upgrades!$U$12,K57),1))*POWER(Upgrades!$P$6,E57)*POWER(Upgrades!$P$7,F57)*POWER(Upgrades!$P$8,G57)*POWER(Upgrades!$P$9,H57)*POWER(Upgrades!$P$10,I57)*POWER(Upgrades!$P$11,J57)*POWER(Upgrades!$P$12,K57)*60</f>
        <v/>
      </c>
      <c r="AB57" s="27">
        <f>(IF(F57=0,0,(Upgrades!$G$7+F57*Upgrades!$H$7)*POWER(Upgrades!$I$7,F57)))*(IF(Upgrades!$T$6="Asteroid Belt",POWER(Upgrades!$U$6,E57),1)*IF(Upgrades!$T$8="Asteroid Belt",POWER(Upgrades!$U$8,G57),1)*IF(Upgrades!$T$9="Asteroid Belt",POWER(Upgrades!$U$9,H57),1)*IF(Upgrades!$T$10="Asteroid Belt",POWER(Upgrades!$U$10,I57),1)*IF(Upgrades!$T$11="Asteroid Belt",POWER(Upgrades!$U$11,J57),1)*IF(Upgrades!$T$12="Asteroid Belt",POWER(Upgrades!$U$12,K57),1))*POWER(Upgrades!$P$6,E57)*POWER(Upgrades!$P$7,F57)*POWER(Upgrades!$P$8,G57)*POWER(Upgrades!$P$9,H57)*POWER(Upgrades!$P$10,I57)*POWER(Upgrades!$P$11,J57)*POWER(Upgrades!$P$12,K57)*60</f>
        <v/>
      </c>
      <c r="AC57" s="27">
        <f>(IF(G57=0,0,(Upgrades!$J$8+G57*Upgrades!$K$8)*POWER(Upgrades!$L$8,G57)))*(IF(Upgrades!$T$6="Stellar Coupling",POWER(Upgrades!$U$6,E57),1)*IF(Upgrades!$T$7="Stellar Coupling",POWER(Upgrades!$U$7,F57),1)*IF(Upgrades!$T$9="Stellar Coupling",POWER(Upgrades!$U$9,H57),1)*IF(Upgrades!$T$10="Stellar Coupling",POWER(Upgrades!$U$10,I57),1)*IF(Upgrades!$T$11="Stellar Coupling",POWER(Upgrades!$U$11,J57),1)*IF(Upgrades!$T$12="Stellar Coupling",POWER(Upgrades!$U$12,K57),1))*POWER(Upgrades!$Q$6,E57)*POWER(Upgrades!$Q$7,F57)*POWER(Upgrades!$Q$8,G57)*POWER(Upgrades!$Q$9,H57)*POWER(Upgrades!$Q$10,I57)*POWER(Upgrades!$Q$11,J57)*POWER(Upgrades!$Q$12,K57)*Parameters!$B$10*Parameters!$B$11</f>
        <v/>
      </c>
      <c r="AD57" s="27">
        <f>(IF(H57=0,0,(Upgrades!$G$9+H57*Upgrades!$H$9)*POWER(Upgrades!$I$9,H57)))*(IF(Upgrades!$T$6="Magnetosphere",POWER(Upgrades!$U$6,E57),1)*IF(Upgrades!$T$7="Magnetosphere",POWER(Upgrades!$U$7,F57),1)*IF(Upgrades!$T$8="Magnetosphere",POWER(Upgrades!$U$8,G57),1)*IF(Upgrades!$T$10="Magnetosphere",POWER(Upgrades!$U$10,I57),1)*IF(Upgrades!$T$11="Magnetosphere",POWER(Upgrades!$U$11,J57),1)*IF(Upgrades!$T$12="Magnetosphere",POWER(Upgrades!$U$12,K57),1))*POWER(Upgrades!$P$6,E57)*POWER(Upgrades!$P$7,F57)*POWER(Upgrades!$P$8,G57)*POWER(Upgrades!$P$9,H57)*POWER(Upgrades!$P$10,I57)*POWER(Upgrades!$P$11,J57)*POWER(Upgrades!$P$12,K57)*60</f>
        <v/>
      </c>
      <c r="AE57" s="27">
        <f>(IF(K57=0,0,(Upgrades!$G$12+K57*Upgrades!$H$12)*POWER(Upgrades!$I$12,K57)))*(IF(Upgrades!$T$6="First Photons",POWER(Upgrades!$U$6,E57),1)*IF(Upgrades!$T$7="First Photons",POWER(Upgrades!$U$7,F57),1)*IF(Upgrades!$T$8="First Photons",POWER(Upgrades!$U$8,G57),1)*IF(Upgrades!$T$9="First Photons",POWER(Upgrades!$U$9,H57),1)*IF(Upgrades!$T$10="First Photons",POWER(Upgrades!$U$10,I57),1)*IF(Upgrades!$T$11="First Photons",POWER(Upgrades!$U$11,J57),1))*POWER(Upgrades!$P$6,E57)*POWER(Upgrades!$P$7,F57)*POWER(Upgrades!$P$8,G57)*POWER(Upgrades!$P$9,H57)*POWER(Upgrades!$P$10,I57)*POWER(Upgrades!$P$11,J57)*POWER(Upgrades!$P$12,K57)*60</f>
        <v/>
      </c>
      <c r="AF57" s="27">
        <f>Parameters!$B$9*POWER(Upgrades!$Q$6,E57)*POWER(Upgrades!$Q$7,F57)*POWER(Upgrades!$Q$8,G57)*POWER(Upgrades!$Q$9,H57)*POWER(Upgrades!$Q$10,I57)*POWER(Upgrades!$Q$11,J57)*POWER(Upgrades!$Q$12,K57)*(Parameters!$B$10*Parameters!$B$11+O57*60)</f>
        <v/>
      </c>
      <c r="AG57" s="22">
        <f>IF(E57&gt;=Upgrades!$E$6,"",Upgrades!$C$6*POWER(Upgrades!$D$6,E57))</f>
        <v/>
      </c>
      <c r="AH57" s="22">
        <f>IF(F57&gt;=Upgrades!$E$7,"",Upgrades!$C$7*POWER(Upgrades!$D$7,F57))</f>
        <v/>
      </c>
      <c r="AI57" s="22">
        <f>IF(G57&gt;=Upgrades!$E$8,"",Upgrades!$C$8*POWER(Upgrades!$D$8,G57))</f>
        <v/>
      </c>
      <c r="AJ57" s="22">
        <f>IF(H57&gt;=Upgrades!$E$9,"",Upgrades!$C$9*POWER(Upgrades!$D$9,H57))</f>
        <v/>
      </c>
      <c r="AK57" s="22">
        <f>IF(I57&gt;=Upgrades!$E$10,"",Upgrades!$C$10*POWER(Upgrades!$D$10,I57))</f>
        <v/>
      </c>
      <c r="AL57" s="22">
        <f>IF(J57&gt;=Upgrades!$E$11,"",Upgrades!$C$11*POWER(Upgrades!$D$11,J57))</f>
        <v/>
      </c>
      <c r="AM57" s="22">
        <f>IF(K57&gt;=Upgrades!$E$12,"",Upgrades!$C$12*POWER(Upgrades!$D$12,K57))</f>
        <v/>
      </c>
      <c r="AN57" s="26">
        <f>IF(AND(D57&gt;=Parameters!$B$18,(H57&gt;=Upgrades!$E$9)*(K57&gt;=Upgrades!$E$12)=1,L57=0),1,"")</f>
        <v/>
      </c>
      <c r="AO57" s="26">
        <f>IF(AND(D57&gt;=Parameters!$B$18,L57=0),1,"")</f>
        <v/>
      </c>
      <c r="AP57" s="22">
        <f>MIN(IF(ISNUMBER(AK57),AK57,9E15),IF(ISNUMBER(AL57),AL57,9E15),IF(ISNUMBER(AM57),AM57,9E15))</f>
        <v/>
      </c>
      <c r="AQ57" s="22">
        <f>MIN(IF(ISNUMBER(AG57),AG57,9E15),IF(ISNUMBER(AH57),AH57,9E15),IF(ISNUMBER(AI57),AI57,9E15),IF(ISNUMBER(AJ57),AJ57,9E15))</f>
        <v/>
      </c>
      <c r="AR57" s="29">
        <f>IF(AW57&gt;Parameters!$B$21*(MAX(IF(AND(NOT(AND(AO57=1,AN57&lt;&gt;1)),ISNUMBER(AG57),AG57&lt;=T57),AS57,0),IF(AND(NOT(AND(AO57=1,AN57&lt;&gt;1)),ISNUMBER(AH57),AH57&lt;=T57),AT57,0),IF(AND(NOT(AND(AO57=1,AN57&lt;&gt;1)),ISNUMBER(AI57),AI57&lt;=T57),AU57,0),IF(AND(ISNUMBER(AJ57),AJ57&lt;=T57),AV57,0))),TRUE,FALSE)</f>
        <v/>
      </c>
      <c r="AS57" s="32">
        <f>IFERROR(Upgrades!$H$6*(POWER(Upgrades!$P$6,E57)*POWER(Upgrades!$P$7,F57)*POWER(Upgrades!$P$8,G57)*POWER(Upgrades!$P$9,H57)*POWER(Upgrades!$P$10,I57)*POWER(Upgrades!$P$11,J57)*POWER(Upgrades!$P$12,K57))*(IF(Upgrades!$T$7="Solar Wind",POWER(Upgrades!$U$7,F57),1)*IF(Upgrades!$T$8="Solar Wind",POWER(Upgrades!$U$8,G57),1)*IF(Upgrades!$T$9="Solar Wind",POWER(Upgrades!$U$9,H57),1)*IF(Upgrades!$T$10="Solar Wind",POWER(Upgrades!$U$10,I57),1)*IF(Upgrades!$T$11="Solar Wind",POWER(Upgrades!$U$11,J57),1)*IF(Upgrades!$T$12="Solar Wind",POWER(Upgrades!$U$12,K57),1))/AG57,0)</f>
        <v/>
      </c>
      <c r="AT57" s="32">
        <f>IFERROR(Upgrades!$H$7*(POWER(Upgrades!$P$6,E57)*POWER(Upgrades!$P$7,F57)*POWER(Upgrades!$P$8,G57)*POWER(Upgrades!$P$9,H57)*POWER(Upgrades!$P$10,I57)*POWER(Upgrades!$P$11,J57)*POWER(Upgrades!$P$12,K57))*(IF(Upgrades!$T$6="Asteroid Belt",POWER(Upgrades!$U$6,E57),1)*IF(Upgrades!$T$8="Asteroid Belt",POWER(Upgrades!$U$8,G57),1)*IF(Upgrades!$T$9="Asteroid Belt",POWER(Upgrades!$U$9,H57),1)*IF(Upgrades!$T$10="Asteroid Belt",POWER(Upgrades!$U$10,I57),1)*IF(Upgrades!$T$11="Asteroid Belt",POWER(Upgrades!$U$11,J57),1)*IF(Upgrades!$T$12="Asteroid Belt",POWER(Upgrades!$U$12,K57),1))/AH57,0)</f>
        <v/>
      </c>
      <c r="AU57" s="32">
        <f>IFERROR(Upgrades!$K$8*(POWER(Upgrades!$Q$6,E57)*POWER(Upgrades!$Q$7,F57)*POWER(Upgrades!$Q$8,G57)*POWER(Upgrades!$Q$9,H57)*POWER(Upgrades!$Q$10,I57)*POWER(Upgrades!$Q$11,J57)*POWER(Upgrades!$Q$12,K57))*(IF(Upgrades!$T$6="Stellar Coupling",POWER(Upgrades!$U$6,E57),1)*IF(Upgrades!$T$7="Stellar Coupling",POWER(Upgrades!$U$7,F57),1)*IF(Upgrades!$T$9="Stellar Coupling",POWER(Upgrades!$U$9,H57),1)*IF(Upgrades!$T$10="Stellar Coupling",POWER(Upgrades!$U$10,I57),1)*IF(Upgrades!$T$11="Stellar Coupling",POWER(Upgrades!$U$11,J57),1)*IF(Upgrades!$T$12="Stellar Coupling",POWER(Upgrades!$U$12,K57),1))*Parameters!$B$10*Parameters!$B$11/60/AI57,0)</f>
        <v/>
      </c>
      <c r="AV57" s="32">
        <f>IFERROR(Upgrades!$H$9*(POWER(Upgrades!$P$6,E57)*POWER(Upgrades!$P$7,F57)*POWER(Upgrades!$P$8,G57)*POWER(Upgrades!$P$9,H57)*POWER(Upgrades!$P$10,I57)*POWER(Upgrades!$P$11,J57)*POWER(Upgrades!$P$12,K57))*(IF(Upgrades!$T$6="Magnetosphere",POWER(Upgrades!$U$6,E57),1)*IF(Upgrades!$T$7="Magnetosphere",POWER(Upgrades!$U$7,F57),1)*IF(Upgrades!$T$8="Magnetosphere",POWER(Upgrades!$U$8,G57),1)*IF(Upgrades!$T$10="Magnetosphere",POWER(Upgrades!$U$10,I57),1)*IF(Upgrades!$T$11="Magnetosphere",POWER(Upgrades!$U$11,J57),1)*IF(Upgrades!$T$12="Magnetosphere",POWER(Upgrades!$U$12,K57),1))/AJ57,0)</f>
        <v/>
      </c>
      <c r="AW57" s="32">
        <f>MAX(IF(I57&gt;0,0,IFERROR(0.25*N57/Upgrades!$C$10,0)),IF(J57&gt;0,0,IFERROR(0.5*((IF(G57=0,0,(Upgrades!$J$8+G57*Upgrades!$K$8)*POWER(Upgrades!$L$8,G57)))*(IF(Upgrades!$T$6="Stellar Coupling",POWER(Upgrades!$U$6,E57),1)*IF(Upgrades!$T$7="Stellar Coupling",POWER(Upgrades!$U$7,F57),1)*IF(Upgrades!$T$9="Stellar Coupling",POWER(Upgrades!$U$9,H57),1)*IF(Upgrades!$T$10="Stellar Coupling",POWER(Upgrades!$U$10,I57),1)*IF(Upgrades!$T$11="Stellar Coupling",POWER(Upgrades!$U$11,J57),1)*IF(Upgrades!$T$12="Stellar Coupling",POWER(Upgrades!$U$12,K57),1))*(POWER(Upgrades!$Q$6,E57)*POWER(Upgrades!$Q$7,F57)*POWER(Upgrades!$Q$8,G57)*POWER(Upgrades!$Q$9,H57)*POWER(Upgrades!$Q$10,I57)*POWER(Upgrades!$Q$11,J57)*POWER(Upgrades!$Q$12,K57))*Parameters!$B$10*Parameters!$B$11/60)/Upgrades!$C$11,0)),IF(K57&gt;0,0,IFERROR((1.0*(POWER(Upgrades!$P$6,E57)*POWER(Upgrades!$P$7,F57)*POWER(Upgrades!$P$8,G57)*POWER(Upgrades!$P$9,H57)*POWER(Upgrades!$P$10,I57)*POWER(Upgrades!$P$11,J57)*POWER(Upgrades!$P$12,K57))+0.20*M57*Parameters!$B$10*Parameters!$B$11/60)/Upgrades!$C$12,0)),IF(AND(ISNUMBER(AG57),AG57&gt;T57),AS57,0),IF(AND(ISNUMBER(AH57),AH57&gt;T57),AT57,0),IF(AND(ISNUMBER(AI57),AI57&gt;T57),AU57,0),IF(AND(ISNUMBER(AJ57),AJ57&gt;T57),AV57,0))</f>
        <v/>
      </c>
      <c r="AX57" s="29">
        <f>IF(AN57=1,"transition",IF(MIN(IF(AND(I57=0,ISNUMBER(AK57),AK57&lt;=T57),AK57,9E15),IF(AND(J57=0,ISNUMBER(AL57),AL57&lt;=T57),AL57,9E15),IF(AND(K57=0,ISNUMBER(AM57),AM57&lt;=T57),AM57,9E15))&lt;9E15,IF(AND(AND(I57=0,ISNUMBER(AK57),AK57&lt;=T57),AK57=MIN(IF(AND(I57=0,ISNUMBER(AK57),AK57&lt;=T57),AK57,9E15),IF(AND(J57=0,ISNUMBER(AL57),AL57&lt;=T57),AL57,9E15),IF(AND(K57=0,ISNUMBER(AM57),AM57&lt;=T57),AM57,9E15))),"OR",IF(AND(AND(J57=0,ISNUMBER(AL57),AL57&lt;=T57),AL57=MIN(IF(AND(I57=0,ISNUMBER(AK57),AK57&lt;=T57),AK57,9E15),IF(AND(J57=0,ISNUMBER(AL57),AL57&lt;=T57),AL57,9E15),IF(AND(K57=0,ISNUMBER(AM57),AM57&lt;=T57),AM57,9E15))),"HP","FP")),IF(AR57=TRUE,"",IF(MAX(IF(AND(NOT(AND(AO57=1,AN57&lt;&gt;1)),ISNUMBER(AG57),AG57&lt;=T57),AS57,0),IF(AND(NOT(AND(AO57=1,AN57&lt;&gt;1)),ISNUMBER(AH57),AH57&lt;=T57),AT57,0),IF(AND(NOT(AND(AO57=1,AN57&lt;&gt;1)),ISNUMBER(AI57),AI57&lt;=T57),AU57,0),IF(AND(ISNUMBER(AJ57),AJ57&lt;=T57),AV57,0))&lt;=0,"",IF(AND(IF(AND(NOT(AND(AO57=1,AN57&lt;&gt;1)),ISNUMBER(AG57),AG57&lt;=T57),AS57,0)&gt;0,IF(AND(NOT(AND(AO57=1,AN57&lt;&gt;1)),ISNUMBER(AG57),AG57&lt;=T57),AS57,0)=MAX(IF(AND(NOT(AND(AO57=1,AN57&lt;&gt;1)),ISNUMBER(AG57),AG57&lt;=T57),AS57,0),IF(AND(NOT(AND(AO57=1,AN57&lt;&gt;1)),ISNUMBER(AH57),AH57&lt;=T57),AT57,0),IF(AND(NOT(AND(AO57=1,AN57&lt;&gt;1)),ISNUMBER(AI57),AI57&lt;=T57),AU57,0),IF(AND(ISNUMBER(AJ57),AJ57&lt;=T57),AV57,0))),"SW",IF(AND(IF(AND(NOT(AND(AO57=1,AN57&lt;&gt;1)),ISNUMBER(AH57),AH57&lt;=T57),AT57,0)&gt;0,IF(AND(NOT(AND(AO57=1,AN57&lt;&gt;1)),ISNUMBER(AH57),AH57&lt;=T57),AT57,0)=MAX(IF(AND(NOT(AND(AO57=1,AN57&lt;&gt;1)),ISNUMBER(AG57),AG57&lt;=T57),AS57,0),IF(AND(NOT(AND(AO57=1,AN57&lt;&gt;1)),ISNUMBER(AH57),AH57&lt;=T57),AT57,0),IF(AND(NOT(AND(AO57=1,AN57&lt;&gt;1)),ISNUMBER(AI57),AI57&lt;=T57),AU57,0),IF(AND(ISNUMBER(AJ57),AJ57&lt;=T57),AV57,0))),"AB",IF(AND(IF(AND(NOT(AND(AO57=1,AN57&lt;&gt;1)),ISNUMBER(AI57),AI57&lt;=T57),AU57,0)&gt;0,IF(AND(NOT(AND(AO57=1,AN57&lt;&gt;1)),ISNUMBER(AI57),AI57&lt;=T57),AU57,0)=MAX(IF(AND(NOT(AND(AO57=1,AN57&lt;&gt;1)),ISNUMBER(AG57),AG57&lt;=T57),AS57,0),IF(AND(NOT(AND(AO57=1,AN57&lt;&gt;1)),ISNUMBER(AH57),AH57&lt;=T57),AT57,0),IF(AND(NOT(AND(AO57=1,AN57&lt;&gt;1)),ISNUMBER(AI57),AI57&lt;=T57),AU57,0),IF(AND(ISNUMBER(AJ57),AJ57&lt;=T57),AV57,0))),"SC","Mag")))))))</f>
        <v/>
      </c>
    </row>
    <row r="58">
      <c r="A58" s="26" t="n">
        <v>53</v>
      </c>
      <c r="B58" s="27">
        <f>A58*10/60</f>
        <v/>
      </c>
      <c r="C58" s="22">
        <f>X57</f>
        <v/>
      </c>
      <c r="D58" s="27">
        <f>D57+W57</f>
        <v/>
      </c>
      <c r="E58" s="26">
        <f>E57+IF(U57="SW",1,0)</f>
        <v/>
      </c>
      <c r="F58" s="26">
        <f>F57+IF(U57="AB",1,0)</f>
        <v/>
      </c>
      <c r="G58" s="26">
        <f>G57+IF(U57="SC",1,0)</f>
        <v/>
      </c>
      <c r="H58" s="26">
        <f>H57+IF(U57="Mag",1,0)</f>
        <v/>
      </c>
      <c r="I58" s="26">
        <f>MAX(I57,IF(U57="OR",1,0))</f>
        <v/>
      </c>
      <c r="J58" s="26">
        <f>MAX(J57,IF(U57="HP",1,0))</f>
        <v/>
      </c>
      <c r="K58" s="26">
        <f>MAX(K57,IF(U57="FP",1,0))</f>
        <v/>
      </c>
      <c r="L58" s="26">
        <f>MAX(L57,IF(U57="transition",1,0))</f>
        <v/>
      </c>
      <c r="M58" s="28">
        <f>(Parameters!$B$9+(IF(E58=0,0,(Upgrades!$J$6+E58*Upgrades!$K$6)*POWER(Upgrades!$L$6,E58)))*(IF(Upgrades!$T$7="Solar Wind",POWER(Upgrades!$U$7,F58),1)*IF(Upgrades!$T$8="Solar Wind",POWER(Upgrades!$U$8,G58),1)*IF(Upgrades!$T$9="Solar Wind",POWER(Upgrades!$U$9,H58),1)*IF(Upgrades!$T$10="Solar Wind",POWER(Upgrades!$U$10,I58),1)*IF(Upgrades!$T$11="Solar Wind",POWER(Upgrades!$U$11,J58),1)*IF(Upgrades!$T$12="Solar Wind",POWER(Upgrades!$U$12,K58),1))+(IF(F58=0,0,(Upgrades!$J$7+F58*Upgrades!$K$7)*POWER(Upgrades!$L$7,F58)))*(IF(Upgrades!$T$6="Asteroid Belt",POWER(Upgrades!$U$6,E58),1)*IF(Upgrades!$T$8="Asteroid Belt",POWER(Upgrades!$U$8,G58),1)*IF(Upgrades!$T$9="Asteroid Belt",POWER(Upgrades!$U$9,H58),1)*IF(Upgrades!$T$10="Asteroid Belt",POWER(Upgrades!$U$10,I58),1)*IF(Upgrades!$T$11="Asteroid Belt",POWER(Upgrades!$U$11,J58),1)*IF(Upgrades!$T$12="Asteroid Belt",POWER(Upgrades!$U$12,K58),1))+(IF(G58=0,0,(Upgrades!$J$8+G58*Upgrades!$K$8)*POWER(Upgrades!$L$8,G58)))*(IF(Upgrades!$T$6="Stellar Coupling",POWER(Upgrades!$U$6,E58),1)*IF(Upgrades!$T$7="Stellar Coupling",POWER(Upgrades!$U$7,F58),1)*IF(Upgrades!$T$9="Stellar Coupling",POWER(Upgrades!$U$9,H58),1)*IF(Upgrades!$T$10="Stellar Coupling",POWER(Upgrades!$U$10,I58),1)*IF(Upgrades!$T$11="Stellar Coupling",POWER(Upgrades!$U$11,J58),1)*IF(Upgrades!$T$12="Stellar Coupling",POWER(Upgrades!$U$12,K58),1))+(IF(H58=0,0,(Upgrades!$J$9+H58*Upgrades!$K$9)*POWER(Upgrades!$L$9,H58)))*(IF(Upgrades!$T$6="Magnetosphere",POWER(Upgrades!$U$6,E58),1)*IF(Upgrades!$T$7="Magnetosphere",POWER(Upgrades!$U$7,F58),1)*IF(Upgrades!$T$8="Magnetosphere",POWER(Upgrades!$U$8,G58),1)*IF(Upgrades!$T$10="Magnetosphere",POWER(Upgrades!$U$10,I58),1)*IF(Upgrades!$T$11="Magnetosphere",POWER(Upgrades!$U$11,J58),1)*IF(Upgrades!$T$12="Magnetosphere",POWER(Upgrades!$U$12,K58),1))+(IF(I58=0,0,(Upgrades!$J$10+I58*Upgrades!$K$10)*POWER(Upgrades!$L$10,I58)))*(IF(Upgrades!$T$6="Orbital Resonance",POWER(Upgrades!$U$6,E58),1)*IF(Upgrades!$T$7="Orbital Resonance",POWER(Upgrades!$U$7,F58),1)*IF(Upgrades!$T$8="Orbital Resonance",POWER(Upgrades!$U$8,G58),1)*IF(Upgrades!$T$9="Orbital Resonance",POWER(Upgrades!$U$9,H58),1)*IF(Upgrades!$T$11="Orbital Resonance",POWER(Upgrades!$U$11,J58),1)*IF(Upgrades!$T$12="Orbital Resonance",POWER(Upgrades!$U$12,K58),1))+(IF(J58=0,0,(Upgrades!$J$11+J58*Upgrades!$K$11)*POWER(Upgrades!$L$11,J58)))*(IF(Upgrades!$T$6="Heliopause",POWER(Upgrades!$U$6,E58),1)*IF(Upgrades!$T$7="Heliopause",POWER(Upgrades!$U$7,F58),1)*IF(Upgrades!$T$8="Heliopause",POWER(Upgrades!$U$8,G58),1)*IF(Upgrades!$T$9="Heliopause",POWER(Upgrades!$U$9,H58),1)*IF(Upgrades!$T$10="Heliopause",POWER(Upgrades!$U$10,I58),1)*IF(Upgrades!$T$12="Heliopause",POWER(Upgrades!$U$12,K58),1))+(IF(K58=0,0,(Upgrades!$J$12+K58*Upgrades!$K$12)*POWER(Upgrades!$L$12,K58)))*(IF(Upgrades!$T$6="First Photons",POWER(Upgrades!$U$6,E58),1)*IF(Upgrades!$T$7="First Photons",POWER(Upgrades!$U$7,F58),1)*IF(Upgrades!$T$8="First Photons",POWER(Upgrades!$U$8,G58),1)*IF(Upgrades!$T$9="First Photons",POWER(Upgrades!$U$9,H58),1)*IF(Upgrades!$T$10="First Photons",POWER(Upgrades!$U$10,I58),1)*IF(Upgrades!$T$11="First Photons",POWER(Upgrades!$U$11,J58),1)))*POWER(Upgrades!$Q$6,E58)*POWER(Upgrades!$Q$7,F58)*POWER(Upgrades!$Q$8,G58)*POWER(Upgrades!$Q$9,H58)*POWER(Upgrades!$Q$10,I58)*POWER(Upgrades!$Q$11,J58)*POWER(Upgrades!$Q$12,K58)</f>
        <v/>
      </c>
      <c r="N58" s="28">
        <f>((IF(E58=0,0,(Upgrades!$G$6+E58*Upgrades!$H$6)*POWER(Upgrades!$I$6,E58)))*(IF(Upgrades!$T$7="Solar Wind",POWER(Upgrades!$U$7,F58),1)*IF(Upgrades!$T$8="Solar Wind",POWER(Upgrades!$U$8,G58),1)*IF(Upgrades!$T$9="Solar Wind",POWER(Upgrades!$U$9,H58),1)*IF(Upgrades!$T$10="Solar Wind",POWER(Upgrades!$U$10,I58),1)*IF(Upgrades!$T$11="Solar Wind",POWER(Upgrades!$U$11,J58),1)*IF(Upgrades!$T$12="Solar Wind",POWER(Upgrades!$U$12,K58),1))+(IF(F58=0,0,(Upgrades!$G$7+F58*Upgrades!$H$7)*POWER(Upgrades!$I$7,F58)))*(IF(Upgrades!$T$6="Asteroid Belt",POWER(Upgrades!$U$6,E58),1)*IF(Upgrades!$T$8="Asteroid Belt",POWER(Upgrades!$U$8,G58),1)*IF(Upgrades!$T$9="Asteroid Belt",POWER(Upgrades!$U$9,H58),1)*IF(Upgrades!$T$10="Asteroid Belt",POWER(Upgrades!$U$10,I58),1)*IF(Upgrades!$T$11="Asteroid Belt",POWER(Upgrades!$U$11,J58),1)*IF(Upgrades!$T$12="Asteroid Belt",POWER(Upgrades!$U$12,K58),1))+(IF(G58=0,0,(Upgrades!$G$8+G58*Upgrades!$H$8)*POWER(Upgrades!$I$8,G58)))*(IF(Upgrades!$T$6="Stellar Coupling",POWER(Upgrades!$U$6,E58),1)*IF(Upgrades!$T$7="Stellar Coupling",POWER(Upgrades!$U$7,F58),1)*IF(Upgrades!$T$9="Stellar Coupling",POWER(Upgrades!$U$9,H58),1)*IF(Upgrades!$T$10="Stellar Coupling",POWER(Upgrades!$U$10,I58),1)*IF(Upgrades!$T$11="Stellar Coupling",POWER(Upgrades!$U$11,J58),1)*IF(Upgrades!$T$12="Stellar Coupling",POWER(Upgrades!$U$12,K58),1))+(IF(H58=0,0,(Upgrades!$G$9+H58*Upgrades!$H$9)*POWER(Upgrades!$I$9,H58)))*(IF(Upgrades!$T$6="Magnetosphere",POWER(Upgrades!$U$6,E58),1)*IF(Upgrades!$T$7="Magnetosphere",POWER(Upgrades!$U$7,F58),1)*IF(Upgrades!$T$8="Magnetosphere",POWER(Upgrades!$U$8,G58),1)*IF(Upgrades!$T$10="Magnetosphere",POWER(Upgrades!$U$10,I58),1)*IF(Upgrades!$T$11="Magnetosphere",POWER(Upgrades!$U$11,J58),1)*IF(Upgrades!$T$12="Magnetosphere",POWER(Upgrades!$U$12,K58),1))+(IF(I58=0,0,(Upgrades!$G$10+I58*Upgrades!$H$10)*POWER(Upgrades!$I$10,I58)))*(IF(Upgrades!$T$6="Orbital Resonance",POWER(Upgrades!$U$6,E58),1)*IF(Upgrades!$T$7="Orbital Resonance",POWER(Upgrades!$U$7,F58),1)*IF(Upgrades!$T$8="Orbital Resonance",POWER(Upgrades!$U$8,G58),1)*IF(Upgrades!$T$9="Orbital Resonance",POWER(Upgrades!$U$9,H58),1)*IF(Upgrades!$T$11="Orbital Resonance",POWER(Upgrades!$U$11,J58),1)*IF(Upgrades!$T$12="Orbital Resonance",POWER(Upgrades!$U$12,K58),1))+(IF(J58=0,0,(Upgrades!$G$11+J58*Upgrades!$H$11)*POWER(Upgrades!$I$11,J58)))*(IF(Upgrades!$T$6="Heliopause",POWER(Upgrades!$U$6,E58),1)*IF(Upgrades!$T$7="Heliopause",POWER(Upgrades!$U$7,F58),1)*IF(Upgrades!$T$8="Heliopause",POWER(Upgrades!$U$8,G58),1)*IF(Upgrades!$T$9="Heliopause",POWER(Upgrades!$U$9,H58),1)*IF(Upgrades!$T$10="Heliopause",POWER(Upgrades!$U$10,I58),1)*IF(Upgrades!$T$12="Heliopause",POWER(Upgrades!$U$12,K58),1))+(IF(K58=0,0,(Upgrades!$G$12+K58*Upgrades!$H$12)*POWER(Upgrades!$I$12,K58)))*(IF(Upgrades!$T$6="First Photons",POWER(Upgrades!$U$6,E58),1)*IF(Upgrades!$T$7="First Photons",POWER(Upgrades!$U$7,F58),1)*IF(Upgrades!$T$8="First Photons",POWER(Upgrades!$U$8,G58),1)*IF(Upgrades!$T$9="First Photons",POWER(Upgrades!$U$9,H58),1)*IF(Upgrades!$T$10="First Photons",POWER(Upgrades!$U$10,I58),1)*IF(Upgrades!$T$11="First Photons",POWER(Upgrades!$U$11,J58),1)))*POWER(Upgrades!$P$6,E58)*POWER(Upgrades!$P$7,F58)*POWER(Upgrades!$P$8,G58)*POWER(Upgrades!$P$9,H58)*POWER(Upgrades!$P$10,I58)*POWER(Upgrades!$P$11,J58)*POWER(Upgrades!$P$12,K58)</f>
        <v/>
      </c>
      <c r="O58" s="28">
        <f>((IF(E58=0,0,(Upgrades!$M$6+E58*Upgrades!$N$6)*POWER(Upgrades!$O$6,E58)))*(IF(Upgrades!$T$7="Solar Wind",POWER(Upgrades!$U$7,F58),1)*IF(Upgrades!$T$8="Solar Wind",POWER(Upgrades!$U$8,G58),1)*IF(Upgrades!$T$9="Solar Wind",POWER(Upgrades!$U$9,H58),1)*IF(Upgrades!$T$10="Solar Wind",POWER(Upgrades!$U$10,I58),1)*IF(Upgrades!$T$11="Solar Wind",POWER(Upgrades!$U$11,J58),1)*IF(Upgrades!$T$12="Solar Wind",POWER(Upgrades!$U$12,K58),1))+(IF(F58=0,0,(Upgrades!$M$7+F58*Upgrades!$N$7)*POWER(Upgrades!$O$7,F58)))*(IF(Upgrades!$T$6="Asteroid Belt",POWER(Upgrades!$U$6,E58),1)*IF(Upgrades!$T$8="Asteroid Belt",POWER(Upgrades!$U$8,G58),1)*IF(Upgrades!$T$9="Asteroid Belt",POWER(Upgrades!$U$9,H58),1)*IF(Upgrades!$T$10="Asteroid Belt",POWER(Upgrades!$U$10,I58),1)*IF(Upgrades!$T$11="Asteroid Belt",POWER(Upgrades!$U$11,J58),1)*IF(Upgrades!$T$12="Asteroid Belt",POWER(Upgrades!$U$12,K58),1))+(IF(G58=0,0,(Upgrades!$M$8+G58*Upgrades!$N$8)*POWER(Upgrades!$O$8,G58)))*(IF(Upgrades!$T$6="Stellar Coupling",POWER(Upgrades!$U$6,E58),1)*IF(Upgrades!$T$7="Stellar Coupling",POWER(Upgrades!$U$7,F58),1)*IF(Upgrades!$T$9="Stellar Coupling",POWER(Upgrades!$U$9,H58),1)*IF(Upgrades!$T$10="Stellar Coupling",POWER(Upgrades!$U$10,I58),1)*IF(Upgrades!$T$11="Stellar Coupling",POWER(Upgrades!$U$11,J58),1)*IF(Upgrades!$T$12="Stellar Coupling",POWER(Upgrades!$U$12,K58),1))+(IF(H58=0,0,(Upgrades!$M$9+H58*Upgrades!$N$9)*POWER(Upgrades!$O$9,H58)))*(IF(Upgrades!$T$6="Magnetosphere",POWER(Upgrades!$U$6,E58),1)*IF(Upgrades!$T$7="Magnetosphere",POWER(Upgrades!$U$7,F58),1)*IF(Upgrades!$T$8="Magnetosphere",POWER(Upgrades!$U$8,G58),1)*IF(Upgrades!$T$10="Magnetosphere",POWER(Upgrades!$U$10,I58),1)*IF(Upgrades!$T$11="Magnetosphere",POWER(Upgrades!$U$11,J58),1)*IF(Upgrades!$T$12="Magnetosphere",POWER(Upgrades!$U$12,K58),1))+(IF(I58=0,0,(Upgrades!$M$10+I58*Upgrades!$N$10)*POWER(Upgrades!$O$10,I58)))*(IF(Upgrades!$T$6="Orbital Resonance",POWER(Upgrades!$U$6,E58),1)*IF(Upgrades!$T$7="Orbital Resonance",POWER(Upgrades!$U$7,F58),1)*IF(Upgrades!$T$8="Orbital Resonance",POWER(Upgrades!$U$8,G58),1)*IF(Upgrades!$T$9="Orbital Resonance",POWER(Upgrades!$U$9,H58),1)*IF(Upgrades!$T$11="Orbital Resonance",POWER(Upgrades!$U$11,J58),1)*IF(Upgrades!$T$12="Orbital Resonance",POWER(Upgrades!$U$12,K58),1))+(IF(J58=0,0,(Upgrades!$M$11+J58*Upgrades!$N$11)*POWER(Upgrades!$O$11,J58)))*(IF(Upgrades!$T$6="Heliopause",POWER(Upgrades!$U$6,E58),1)*IF(Upgrades!$T$7="Heliopause",POWER(Upgrades!$U$7,F58),1)*IF(Upgrades!$T$8="Heliopause",POWER(Upgrades!$U$8,G58),1)*IF(Upgrades!$T$9="Heliopause",POWER(Upgrades!$U$9,H58),1)*IF(Upgrades!$T$10="Heliopause",POWER(Upgrades!$U$10,I58),1)*IF(Upgrades!$T$12="Heliopause",POWER(Upgrades!$U$12,K58),1))+(IF(K58=0,0,(Upgrades!$M$12+K58*Upgrades!$N$12)*POWER(Upgrades!$O$12,K58)))*(IF(Upgrades!$T$6="First Photons",POWER(Upgrades!$U$6,E58),1)*IF(Upgrades!$T$7="First Photons",POWER(Upgrades!$U$7,F58),1)*IF(Upgrades!$T$8="First Photons",POWER(Upgrades!$U$8,G58),1)*IF(Upgrades!$T$9="First Photons",POWER(Upgrades!$U$9,H58),1)*IF(Upgrades!$T$10="First Photons",POWER(Upgrades!$U$10,I58),1)*IF(Upgrades!$T$11="First Photons",POWER(Upgrades!$U$11,J58),1)))*POWER(Upgrades!$R$6,E58)*POWER(Upgrades!$R$7,F58)*POWER(Upgrades!$R$8,G58)*POWER(Upgrades!$R$9,H58)*POWER(Upgrades!$R$10,I58)*POWER(Upgrades!$R$11,J58)*POWER(Upgrades!$R$12,K58)</f>
        <v/>
      </c>
      <c r="P58" s="27">
        <f>IF(L58=1,0,M58*Parameters!$B$10/60*Parameters!$B$11*10)</f>
        <v/>
      </c>
      <c r="Q58" s="27">
        <f>IF(L58=1,0,O58*M58*10)</f>
        <v/>
      </c>
      <c r="R58" s="27">
        <f>IF(L58=1,0,N58*10)</f>
        <v/>
      </c>
      <c r="S58" s="27">
        <f>P58+Q58+R58</f>
        <v/>
      </c>
      <c r="T58" s="22">
        <f>C58+S58</f>
        <v/>
      </c>
      <c r="U58" s="33">
        <f>AX58</f>
        <v/>
      </c>
      <c r="V58" s="22">
        <f>IF(U58="",0,IF(U58="transition",0,IF(U58="SW",AG58,IF(U58="AB",AH58,IF(U58="SC",AI58,IF(U58="Mag",AJ58,IF(U58="OR",AK58,IF(U58="HP",AL58,IF(U58="FP",AM58,0)))))))))</f>
        <v/>
      </c>
      <c r="W58" s="27">
        <f>IF(U58="OR",Upgrades!$F$10,IF(U58="HP",Upgrades!$F$11,IF(U58="transition",-Parameters!$B$18,0)))</f>
        <v/>
      </c>
      <c r="X58" s="22">
        <f>T58-V58</f>
        <v/>
      </c>
      <c r="Y58" s="30">
        <f>M58*Parameters!$B$10/60*Parameters!$B$11+O58*M58+N58</f>
        <v/>
      </c>
      <c r="Z58" s="34">
        <f>IF(U58="transition","→ Tier 2 (Stellar Neighborhood)",IF(U58="FP","First Photons — light begins, system quickens",IF(U58="HP","Heliopause acquired",IF(U58="OR","Orbital Resonance — passive multiplier active",IF(AND(AO58=1,L58=0,AN58&lt;&gt;1),"Cohesion ready (waiting on completionist upgrades)","")))))</f>
        <v/>
      </c>
      <c r="AA58" s="27">
        <f>(IF(E58=0,0,(Upgrades!$G$6+E58*Upgrades!$H$6)*POWER(Upgrades!$I$6,E58)))*(IF(Upgrades!$T$7="Solar Wind",POWER(Upgrades!$U$7,F58),1)*IF(Upgrades!$T$8="Solar Wind",POWER(Upgrades!$U$8,G58),1)*IF(Upgrades!$T$9="Solar Wind",POWER(Upgrades!$U$9,H58),1)*IF(Upgrades!$T$10="Solar Wind",POWER(Upgrades!$U$10,I58),1)*IF(Upgrades!$T$11="Solar Wind",POWER(Upgrades!$U$11,J58),1)*IF(Upgrades!$T$12="Solar Wind",POWER(Upgrades!$U$12,K58),1))*POWER(Upgrades!$P$6,E58)*POWER(Upgrades!$P$7,F58)*POWER(Upgrades!$P$8,G58)*POWER(Upgrades!$P$9,H58)*POWER(Upgrades!$P$10,I58)*POWER(Upgrades!$P$11,J58)*POWER(Upgrades!$P$12,K58)*60</f>
        <v/>
      </c>
      <c r="AB58" s="27">
        <f>(IF(F58=0,0,(Upgrades!$G$7+F58*Upgrades!$H$7)*POWER(Upgrades!$I$7,F58)))*(IF(Upgrades!$T$6="Asteroid Belt",POWER(Upgrades!$U$6,E58),1)*IF(Upgrades!$T$8="Asteroid Belt",POWER(Upgrades!$U$8,G58),1)*IF(Upgrades!$T$9="Asteroid Belt",POWER(Upgrades!$U$9,H58),1)*IF(Upgrades!$T$10="Asteroid Belt",POWER(Upgrades!$U$10,I58),1)*IF(Upgrades!$T$11="Asteroid Belt",POWER(Upgrades!$U$11,J58),1)*IF(Upgrades!$T$12="Asteroid Belt",POWER(Upgrades!$U$12,K58),1))*POWER(Upgrades!$P$6,E58)*POWER(Upgrades!$P$7,F58)*POWER(Upgrades!$P$8,G58)*POWER(Upgrades!$P$9,H58)*POWER(Upgrades!$P$10,I58)*POWER(Upgrades!$P$11,J58)*POWER(Upgrades!$P$12,K58)*60</f>
        <v/>
      </c>
      <c r="AC58" s="27">
        <f>(IF(G58=0,0,(Upgrades!$J$8+G58*Upgrades!$K$8)*POWER(Upgrades!$L$8,G58)))*(IF(Upgrades!$T$6="Stellar Coupling",POWER(Upgrades!$U$6,E58),1)*IF(Upgrades!$T$7="Stellar Coupling",POWER(Upgrades!$U$7,F58),1)*IF(Upgrades!$T$9="Stellar Coupling",POWER(Upgrades!$U$9,H58),1)*IF(Upgrades!$T$10="Stellar Coupling",POWER(Upgrades!$U$10,I58),1)*IF(Upgrades!$T$11="Stellar Coupling",POWER(Upgrades!$U$11,J58),1)*IF(Upgrades!$T$12="Stellar Coupling",POWER(Upgrades!$U$12,K58),1))*POWER(Upgrades!$Q$6,E58)*POWER(Upgrades!$Q$7,F58)*POWER(Upgrades!$Q$8,G58)*POWER(Upgrades!$Q$9,H58)*POWER(Upgrades!$Q$10,I58)*POWER(Upgrades!$Q$11,J58)*POWER(Upgrades!$Q$12,K58)*Parameters!$B$10*Parameters!$B$11</f>
        <v/>
      </c>
      <c r="AD58" s="27">
        <f>(IF(H58=0,0,(Upgrades!$G$9+H58*Upgrades!$H$9)*POWER(Upgrades!$I$9,H58)))*(IF(Upgrades!$T$6="Magnetosphere",POWER(Upgrades!$U$6,E58),1)*IF(Upgrades!$T$7="Magnetosphere",POWER(Upgrades!$U$7,F58),1)*IF(Upgrades!$T$8="Magnetosphere",POWER(Upgrades!$U$8,G58),1)*IF(Upgrades!$T$10="Magnetosphere",POWER(Upgrades!$U$10,I58),1)*IF(Upgrades!$T$11="Magnetosphere",POWER(Upgrades!$U$11,J58),1)*IF(Upgrades!$T$12="Magnetosphere",POWER(Upgrades!$U$12,K58),1))*POWER(Upgrades!$P$6,E58)*POWER(Upgrades!$P$7,F58)*POWER(Upgrades!$P$8,G58)*POWER(Upgrades!$P$9,H58)*POWER(Upgrades!$P$10,I58)*POWER(Upgrades!$P$11,J58)*POWER(Upgrades!$P$12,K58)*60</f>
        <v/>
      </c>
      <c r="AE58" s="27">
        <f>(IF(K58=0,0,(Upgrades!$G$12+K58*Upgrades!$H$12)*POWER(Upgrades!$I$12,K58)))*(IF(Upgrades!$T$6="First Photons",POWER(Upgrades!$U$6,E58),1)*IF(Upgrades!$T$7="First Photons",POWER(Upgrades!$U$7,F58),1)*IF(Upgrades!$T$8="First Photons",POWER(Upgrades!$U$8,G58),1)*IF(Upgrades!$T$9="First Photons",POWER(Upgrades!$U$9,H58),1)*IF(Upgrades!$T$10="First Photons",POWER(Upgrades!$U$10,I58),1)*IF(Upgrades!$T$11="First Photons",POWER(Upgrades!$U$11,J58),1))*POWER(Upgrades!$P$6,E58)*POWER(Upgrades!$P$7,F58)*POWER(Upgrades!$P$8,G58)*POWER(Upgrades!$P$9,H58)*POWER(Upgrades!$P$10,I58)*POWER(Upgrades!$P$11,J58)*POWER(Upgrades!$P$12,K58)*60</f>
        <v/>
      </c>
      <c r="AF58" s="27">
        <f>Parameters!$B$9*POWER(Upgrades!$Q$6,E58)*POWER(Upgrades!$Q$7,F58)*POWER(Upgrades!$Q$8,G58)*POWER(Upgrades!$Q$9,H58)*POWER(Upgrades!$Q$10,I58)*POWER(Upgrades!$Q$11,J58)*POWER(Upgrades!$Q$12,K58)*(Parameters!$B$10*Parameters!$B$11+O58*60)</f>
        <v/>
      </c>
      <c r="AG58" s="22">
        <f>IF(E58&gt;=Upgrades!$E$6,"",Upgrades!$C$6*POWER(Upgrades!$D$6,E58))</f>
        <v/>
      </c>
      <c r="AH58" s="22">
        <f>IF(F58&gt;=Upgrades!$E$7,"",Upgrades!$C$7*POWER(Upgrades!$D$7,F58))</f>
        <v/>
      </c>
      <c r="AI58" s="22">
        <f>IF(G58&gt;=Upgrades!$E$8,"",Upgrades!$C$8*POWER(Upgrades!$D$8,G58))</f>
        <v/>
      </c>
      <c r="AJ58" s="22">
        <f>IF(H58&gt;=Upgrades!$E$9,"",Upgrades!$C$9*POWER(Upgrades!$D$9,H58))</f>
        <v/>
      </c>
      <c r="AK58" s="22">
        <f>IF(I58&gt;=Upgrades!$E$10,"",Upgrades!$C$10*POWER(Upgrades!$D$10,I58))</f>
        <v/>
      </c>
      <c r="AL58" s="22">
        <f>IF(J58&gt;=Upgrades!$E$11,"",Upgrades!$C$11*POWER(Upgrades!$D$11,J58))</f>
        <v/>
      </c>
      <c r="AM58" s="22">
        <f>IF(K58&gt;=Upgrades!$E$12,"",Upgrades!$C$12*POWER(Upgrades!$D$12,K58))</f>
        <v/>
      </c>
      <c r="AN58" s="26">
        <f>IF(AND(D58&gt;=Parameters!$B$18,(H58&gt;=Upgrades!$E$9)*(K58&gt;=Upgrades!$E$12)=1,L58=0),1,"")</f>
        <v/>
      </c>
      <c r="AO58" s="26">
        <f>IF(AND(D58&gt;=Parameters!$B$18,L58=0),1,"")</f>
        <v/>
      </c>
      <c r="AP58" s="22">
        <f>MIN(IF(ISNUMBER(AK58),AK58,9E15),IF(ISNUMBER(AL58),AL58,9E15),IF(ISNUMBER(AM58),AM58,9E15))</f>
        <v/>
      </c>
      <c r="AQ58" s="22">
        <f>MIN(IF(ISNUMBER(AG58),AG58,9E15),IF(ISNUMBER(AH58),AH58,9E15),IF(ISNUMBER(AI58),AI58,9E15),IF(ISNUMBER(AJ58),AJ58,9E15))</f>
        <v/>
      </c>
      <c r="AR58" s="29">
        <f>IF(AW58&gt;Parameters!$B$21*(MAX(IF(AND(NOT(AND(AO58=1,AN58&lt;&gt;1)),ISNUMBER(AG58),AG58&lt;=T58),AS58,0),IF(AND(NOT(AND(AO58=1,AN58&lt;&gt;1)),ISNUMBER(AH58),AH58&lt;=T58),AT58,0),IF(AND(NOT(AND(AO58=1,AN58&lt;&gt;1)),ISNUMBER(AI58),AI58&lt;=T58),AU58,0),IF(AND(ISNUMBER(AJ58),AJ58&lt;=T58),AV58,0))),TRUE,FALSE)</f>
        <v/>
      </c>
      <c r="AS58" s="32">
        <f>IFERROR(Upgrades!$H$6*(POWER(Upgrades!$P$6,E58)*POWER(Upgrades!$P$7,F58)*POWER(Upgrades!$P$8,G58)*POWER(Upgrades!$P$9,H58)*POWER(Upgrades!$P$10,I58)*POWER(Upgrades!$P$11,J58)*POWER(Upgrades!$P$12,K58))*(IF(Upgrades!$T$7="Solar Wind",POWER(Upgrades!$U$7,F58),1)*IF(Upgrades!$T$8="Solar Wind",POWER(Upgrades!$U$8,G58),1)*IF(Upgrades!$T$9="Solar Wind",POWER(Upgrades!$U$9,H58),1)*IF(Upgrades!$T$10="Solar Wind",POWER(Upgrades!$U$10,I58),1)*IF(Upgrades!$T$11="Solar Wind",POWER(Upgrades!$U$11,J58),1)*IF(Upgrades!$T$12="Solar Wind",POWER(Upgrades!$U$12,K58),1))/AG58,0)</f>
        <v/>
      </c>
      <c r="AT58" s="32">
        <f>IFERROR(Upgrades!$H$7*(POWER(Upgrades!$P$6,E58)*POWER(Upgrades!$P$7,F58)*POWER(Upgrades!$P$8,G58)*POWER(Upgrades!$P$9,H58)*POWER(Upgrades!$P$10,I58)*POWER(Upgrades!$P$11,J58)*POWER(Upgrades!$P$12,K58))*(IF(Upgrades!$T$6="Asteroid Belt",POWER(Upgrades!$U$6,E58),1)*IF(Upgrades!$T$8="Asteroid Belt",POWER(Upgrades!$U$8,G58),1)*IF(Upgrades!$T$9="Asteroid Belt",POWER(Upgrades!$U$9,H58),1)*IF(Upgrades!$T$10="Asteroid Belt",POWER(Upgrades!$U$10,I58),1)*IF(Upgrades!$T$11="Asteroid Belt",POWER(Upgrades!$U$11,J58),1)*IF(Upgrades!$T$12="Asteroid Belt",POWER(Upgrades!$U$12,K58),1))/AH58,0)</f>
        <v/>
      </c>
      <c r="AU58" s="32">
        <f>IFERROR(Upgrades!$K$8*(POWER(Upgrades!$Q$6,E58)*POWER(Upgrades!$Q$7,F58)*POWER(Upgrades!$Q$8,G58)*POWER(Upgrades!$Q$9,H58)*POWER(Upgrades!$Q$10,I58)*POWER(Upgrades!$Q$11,J58)*POWER(Upgrades!$Q$12,K58))*(IF(Upgrades!$T$6="Stellar Coupling",POWER(Upgrades!$U$6,E58),1)*IF(Upgrades!$T$7="Stellar Coupling",POWER(Upgrades!$U$7,F58),1)*IF(Upgrades!$T$9="Stellar Coupling",POWER(Upgrades!$U$9,H58),1)*IF(Upgrades!$T$10="Stellar Coupling",POWER(Upgrades!$U$10,I58),1)*IF(Upgrades!$T$11="Stellar Coupling",POWER(Upgrades!$U$11,J58),1)*IF(Upgrades!$T$12="Stellar Coupling",POWER(Upgrades!$U$12,K58),1))*Parameters!$B$10*Parameters!$B$11/60/AI58,0)</f>
        <v/>
      </c>
      <c r="AV58" s="32">
        <f>IFERROR(Upgrades!$H$9*(POWER(Upgrades!$P$6,E58)*POWER(Upgrades!$P$7,F58)*POWER(Upgrades!$P$8,G58)*POWER(Upgrades!$P$9,H58)*POWER(Upgrades!$P$10,I58)*POWER(Upgrades!$P$11,J58)*POWER(Upgrades!$P$12,K58))*(IF(Upgrades!$T$6="Magnetosphere",POWER(Upgrades!$U$6,E58),1)*IF(Upgrades!$T$7="Magnetosphere",POWER(Upgrades!$U$7,F58),1)*IF(Upgrades!$T$8="Magnetosphere",POWER(Upgrades!$U$8,G58),1)*IF(Upgrades!$T$10="Magnetosphere",POWER(Upgrades!$U$10,I58),1)*IF(Upgrades!$T$11="Magnetosphere",POWER(Upgrades!$U$11,J58),1)*IF(Upgrades!$T$12="Magnetosphere",POWER(Upgrades!$U$12,K58),1))/AJ58,0)</f>
        <v/>
      </c>
      <c r="AW58" s="32">
        <f>MAX(IF(I58&gt;0,0,IFERROR(0.25*N58/Upgrades!$C$10,0)),IF(J58&gt;0,0,IFERROR(0.5*((IF(G58=0,0,(Upgrades!$J$8+G58*Upgrades!$K$8)*POWER(Upgrades!$L$8,G58)))*(IF(Upgrades!$T$6="Stellar Coupling",POWER(Upgrades!$U$6,E58),1)*IF(Upgrades!$T$7="Stellar Coupling",POWER(Upgrades!$U$7,F58),1)*IF(Upgrades!$T$9="Stellar Coupling",POWER(Upgrades!$U$9,H58),1)*IF(Upgrades!$T$10="Stellar Coupling",POWER(Upgrades!$U$10,I58),1)*IF(Upgrades!$T$11="Stellar Coupling",POWER(Upgrades!$U$11,J58),1)*IF(Upgrades!$T$12="Stellar Coupling",POWER(Upgrades!$U$12,K58),1))*(POWER(Upgrades!$Q$6,E58)*POWER(Upgrades!$Q$7,F58)*POWER(Upgrades!$Q$8,G58)*POWER(Upgrades!$Q$9,H58)*POWER(Upgrades!$Q$10,I58)*POWER(Upgrades!$Q$11,J58)*POWER(Upgrades!$Q$12,K58))*Parameters!$B$10*Parameters!$B$11/60)/Upgrades!$C$11,0)),IF(K58&gt;0,0,IFERROR((1.0*(POWER(Upgrades!$P$6,E58)*POWER(Upgrades!$P$7,F58)*POWER(Upgrades!$P$8,G58)*POWER(Upgrades!$P$9,H58)*POWER(Upgrades!$P$10,I58)*POWER(Upgrades!$P$11,J58)*POWER(Upgrades!$P$12,K58))+0.20*M58*Parameters!$B$10*Parameters!$B$11/60)/Upgrades!$C$12,0)),IF(AND(ISNUMBER(AG58),AG58&gt;T58),AS58,0),IF(AND(ISNUMBER(AH58),AH58&gt;T58),AT58,0),IF(AND(ISNUMBER(AI58),AI58&gt;T58),AU58,0),IF(AND(ISNUMBER(AJ58),AJ58&gt;T58),AV58,0))</f>
        <v/>
      </c>
      <c r="AX58" s="29">
        <f>IF(AN58=1,"transition",IF(MIN(IF(AND(I58=0,ISNUMBER(AK58),AK58&lt;=T58),AK58,9E15),IF(AND(J58=0,ISNUMBER(AL58),AL58&lt;=T58),AL58,9E15),IF(AND(K58=0,ISNUMBER(AM58),AM58&lt;=T58),AM58,9E15))&lt;9E15,IF(AND(AND(I58=0,ISNUMBER(AK58),AK58&lt;=T58),AK58=MIN(IF(AND(I58=0,ISNUMBER(AK58),AK58&lt;=T58),AK58,9E15),IF(AND(J58=0,ISNUMBER(AL58),AL58&lt;=T58),AL58,9E15),IF(AND(K58=0,ISNUMBER(AM58),AM58&lt;=T58),AM58,9E15))),"OR",IF(AND(AND(J58=0,ISNUMBER(AL58),AL58&lt;=T58),AL58=MIN(IF(AND(I58=0,ISNUMBER(AK58),AK58&lt;=T58),AK58,9E15),IF(AND(J58=0,ISNUMBER(AL58),AL58&lt;=T58),AL58,9E15),IF(AND(K58=0,ISNUMBER(AM58),AM58&lt;=T58),AM58,9E15))),"HP","FP")),IF(AR58=TRUE,"",IF(MAX(IF(AND(NOT(AND(AO58=1,AN58&lt;&gt;1)),ISNUMBER(AG58),AG58&lt;=T58),AS58,0),IF(AND(NOT(AND(AO58=1,AN58&lt;&gt;1)),ISNUMBER(AH58),AH58&lt;=T58),AT58,0),IF(AND(NOT(AND(AO58=1,AN58&lt;&gt;1)),ISNUMBER(AI58),AI58&lt;=T58),AU58,0),IF(AND(ISNUMBER(AJ58),AJ58&lt;=T58),AV58,0))&lt;=0,"",IF(AND(IF(AND(NOT(AND(AO58=1,AN58&lt;&gt;1)),ISNUMBER(AG58),AG58&lt;=T58),AS58,0)&gt;0,IF(AND(NOT(AND(AO58=1,AN58&lt;&gt;1)),ISNUMBER(AG58),AG58&lt;=T58),AS58,0)=MAX(IF(AND(NOT(AND(AO58=1,AN58&lt;&gt;1)),ISNUMBER(AG58),AG58&lt;=T58),AS58,0),IF(AND(NOT(AND(AO58=1,AN58&lt;&gt;1)),ISNUMBER(AH58),AH58&lt;=T58),AT58,0),IF(AND(NOT(AND(AO58=1,AN58&lt;&gt;1)),ISNUMBER(AI58),AI58&lt;=T58),AU58,0),IF(AND(ISNUMBER(AJ58),AJ58&lt;=T58),AV58,0))),"SW",IF(AND(IF(AND(NOT(AND(AO58=1,AN58&lt;&gt;1)),ISNUMBER(AH58),AH58&lt;=T58),AT58,0)&gt;0,IF(AND(NOT(AND(AO58=1,AN58&lt;&gt;1)),ISNUMBER(AH58),AH58&lt;=T58),AT58,0)=MAX(IF(AND(NOT(AND(AO58=1,AN58&lt;&gt;1)),ISNUMBER(AG58),AG58&lt;=T58),AS58,0),IF(AND(NOT(AND(AO58=1,AN58&lt;&gt;1)),ISNUMBER(AH58),AH58&lt;=T58),AT58,0),IF(AND(NOT(AND(AO58=1,AN58&lt;&gt;1)),ISNUMBER(AI58),AI58&lt;=T58),AU58,0),IF(AND(ISNUMBER(AJ58),AJ58&lt;=T58),AV58,0))),"AB",IF(AND(IF(AND(NOT(AND(AO58=1,AN58&lt;&gt;1)),ISNUMBER(AI58),AI58&lt;=T58),AU58,0)&gt;0,IF(AND(NOT(AND(AO58=1,AN58&lt;&gt;1)),ISNUMBER(AI58),AI58&lt;=T58),AU58,0)=MAX(IF(AND(NOT(AND(AO58=1,AN58&lt;&gt;1)),ISNUMBER(AG58),AG58&lt;=T58),AS58,0),IF(AND(NOT(AND(AO58=1,AN58&lt;&gt;1)),ISNUMBER(AH58),AH58&lt;=T58),AT58,0),IF(AND(NOT(AND(AO58=1,AN58&lt;&gt;1)),ISNUMBER(AI58),AI58&lt;=T58),AU58,0),IF(AND(ISNUMBER(AJ58),AJ58&lt;=T58),AV58,0))),"SC","Mag")))))))</f>
        <v/>
      </c>
    </row>
    <row r="59">
      <c r="A59" s="26" t="n">
        <v>54</v>
      </c>
      <c r="B59" s="27">
        <f>A59*10/60</f>
        <v/>
      </c>
      <c r="C59" s="22">
        <f>X58</f>
        <v/>
      </c>
      <c r="D59" s="27">
        <f>D58+W58</f>
        <v/>
      </c>
      <c r="E59" s="26">
        <f>E58+IF(U58="SW",1,0)</f>
        <v/>
      </c>
      <c r="F59" s="26">
        <f>F58+IF(U58="AB",1,0)</f>
        <v/>
      </c>
      <c r="G59" s="26">
        <f>G58+IF(U58="SC",1,0)</f>
        <v/>
      </c>
      <c r="H59" s="26">
        <f>H58+IF(U58="Mag",1,0)</f>
        <v/>
      </c>
      <c r="I59" s="26">
        <f>MAX(I58,IF(U58="OR",1,0))</f>
        <v/>
      </c>
      <c r="J59" s="26">
        <f>MAX(J58,IF(U58="HP",1,0))</f>
        <v/>
      </c>
      <c r="K59" s="26">
        <f>MAX(K58,IF(U58="FP",1,0))</f>
        <v/>
      </c>
      <c r="L59" s="26">
        <f>MAX(L58,IF(U58="transition",1,0))</f>
        <v/>
      </c>
      <c r="M59" s="28">
        <f>(Parameters!$B$9+(IF(E59=0,0,(Upgrades!$J$6+E59*Upgrades!$K$6)*POWER(Upgrades!$L$6,E59)))*(IF(Upgrades!$T$7="Solar Wind",POWER(Upgrades!$U$7,F59),1)*IF(Upgrades!$T$8="Solar Wind",POWER(Upgrades!$U$8,G59),1)*IF(Upgrades!$T$9="Solar Wind",POWER(Upgrades!$U$9,H59),1)*IF(Upgrades!$T$10="Solar Wind",POWER(Upgrades!$U$10,I59),1)*IF(Upgrades!$T$11="Solar Wind",POWER(Upgrades!$U$11,J59),1)*IF(Upgrades!$T$12="Solar Wind",POWER(Upgrades!$U$12,K59),1))+(IF(F59=0,0,(Upgrades!$J$7+F59*Upgrades!$K$7)*POWER(Upgrades!$L$7,F59)))*(IF(Upgrades!$T$6="Asteroid Belt",POWER(Upgrades!$U$6,E59),1)*IF(Upgrades!$T$8="Asteroid Belt",POWER(Upgrades!$U$8,G59),1)*IF(Upgrades!$T$9="Asteroid Belt",POWER(Upgrades!$U$9,H59),1)*IF(Upgrades!$T$10="Asteroid Belt",POWER(Upgrades!$U$10,I59),1)*IF(Upgrades!$T$11="Asteroid Belt",POWER(Upgrades!$U$11,J59),1)*IF(Upgrades!$T$12="Asteroid Belt",POWER(Upgrades!$U$12,K59),1))+(IF(G59=0,0,(Upgrades!$J$8+G59*Upgrades!$K$8)*POWER(Upgrades!$L$8,G59)))*(IF(Upgrades!$T$6="Stellar Coupling",POWER(Upgrades!$U$6,E59),1)*IF(Upgrades!$T$7="Stellar Coupling",POWER(Upgrades!$U$7,F59),1)*IF(Upgrades!$T$9="Stellar Coupling",POWER(Upgrades!$U$9,H59),1)*IF(Upgrades!$T$10="Stellar Coupling",POWER(Upgrades!$U$10,I59),1)*IF(Upgrades!$T$11="Stellar Coupling",POWER(Upgrades!$U$11,J59),1)*IF(Upgrades!$T$12="Stellar Coupling",POWER(Upgrades!$U$12,K59),1))+(IF(H59=0,0,(Upgrades!$J$9+H59*Upgrades!$K$9)*POWER(Upgrades!$L$9,H59)))*(IF(Upgrades!$T$6="Magnetosphere",POWER(Upgrades!$U$6,E59),1)*IF(Upgrades!$T$7="Magnetosphere",POWER(Upgrades!$U$7,F59),1)*IF(Upgrades!$T$8="Magnetosphere",POWER(Upgrades!$U$8,G59),1)*IF(Upgrades!$T$10="Magnetosphere",POWER(Upgrades!$U$10,I59),1)*IF(Upgrades!$T$11="Magnetosphere",POWER(Upgrades!$U$11,J59),1)*IF(Upgrades!$T$12="Magnetosphere",POWER(Upgrades!$U$12,K59),1))+(IF(I59=0,0,(Upgrades!$J$10+I59*Upgrades!$K$10)*POWER(Upgrades!$L$10,I59)))*(IF(Upgrades!$T$6="Orbital Resonance",POWER(Upgrades!$U$6,E59),1)*IF(Upgrades!$T$7="Orbital Resonance",POWER(Upgrades!$U$7,F59),1)*IF(Upgrades!$T$8="Orbital Resonance",POWER(Upgrades!$U$8,G59),1)*IF(Upgrades!$T$9="Orbital Resonance",POWER(Upgrades!$U$9,H59),1)*IF(Upgrades!$T$11="Orbital Resonance",POWER(Upgrades!$U$11,J59),1)*IF(Upgrades!$T$12="Orbital Resonance",POWER(Upgrades!$U$12,K59),1))+(IF(J59=0,0,(Upgrades!$J$11+J59*Upgrades!$K$11)*POWER(Upgrades!$L$11,J59)))*(IF(Upgrades!$T$6="Heliopause",POWER(Upgrades!$U$6,E59),1)*IF(Upgrades!$T$7="Heliopause",POWER(Upgrades!$U$7,F59),1)*IF(Upgrades!$T$8="Heliopause",POWER(Upgrades!$U$8,G59),1)*IF(Upgrades!$T$9="Heliopause",POWER(Upgrades!$U$9,H59),1)*IF(Upgrades!$T$10="Heliopause",POWER(Upgrades!$U$10,I59),1)*IF(Upgrades!$T$12="Heliopause",POWER(Upgrades!$U$12,K59),1))+(IF(K59=0,0,(Upgrades!$J$12+K59*Upgrades!$K$12)*POWER(Upgrades!$L$12,K59)))*(IF(Upgrades!$T$6="First Photons",POWER(Upgrades!$U$6,E59),1)*IF(Upgrades!$T$7="First Photons",POWER(Upgrades!$U$7,F59),1)*IF(Upgrades!$T$8="First Photons",POWER(Upgrades!$U$8,G59),1)*IF(Upgrades!$T$9="First Photons",POWER(Upgrades!$U$9,H59),1)*IF(Upgrades!$T$10="First Photons",POWER(Upgrades!$U$10,I59),1)*IF(Upgrades!$T$11="First Photons",POWER(Upgrades!$U$11,J59),1)))*POWER(Upgrades!$Q$6,E59)*POWER(Upgrades!$Q$7,F59)*POWER(Upgrades!$Q$8,G59)*POWER(Upgrades!$Q$9,H59)*POWER(Upgrades!$Q$10,I59)*POWER(Upgrades!$Q$11,J59)*POWER(Upgrades!$Q$12,K59)</f>
        <v/>
      </c>
      <c r="N59" s="28">
        <f>((IF(E59=0,0,(Upgrades!$G$6+E59*Upgrades!$H$6)*POWER(Upgrades!$I$6,E59)))*(IF(Upgrades!$T$7="Solar Wind",POWER(Upgrades!$U$7,F59),1)*IF(Upgrades!$T$8="Solar Wind",POWER(Upgrades!$U$8,G59),1)*IF(Upgrades!$T$9="Solar Wind",POWER(Upgrades!$U$9,H59),1)*IF(Upgrades!$T$10="Solar Wind",POWER(Upgrades!$U$10,I59),1)*IF(Upgrades!$T$11="Solar Wind",POWER(Upgrades!$U$11,J59),1)*IF(Upgrades!$T$12="Solar Wind",POWER(Upgrades!$U$12,K59),1))+(IF(F59=0,0,(Upgrades!$G$7+F59*Upgrades!$H$7)*POWER(Upgrades!$I$7,F59)))*(IF(Upgrades!$T$6="Asteroid Belt",POWER(Upgrades!$U$6,E59),1)*IF(Upgrades!$T$8="Asteroid Belt",POWER(Upgrades!$U$8,G59),1)*IF(Upgrades!$T$9="Asteroid Belt",POWER(Upgrades!$U$9,H59),1)*IF(Upgrades!$T$10="Asteroid Belt",POWER(Upgrades!$U$10,I59),1)*IF(Upgrades!$T$11="Asteroid Belt",POWER(Upgrades!$U$11,J59),1)*IF(Upgrades!$T$12="Asteroid Belt",POWER(Upgrades!$U$12,K59),1))+(IF(G59=0,0,(Upgrades!$G$8+G59*Upgrades!$H$8)*POWER(Upgrades!$I$8,G59)))*(IF(Upgrades!$T$6="Stellar Coupling",POWER(Upgrades!$U$6,E59),1)*IF(Upgrades!$T$7="Stellar Coupling",POWER(Upgrades!$U$7,F59),1)*IF(Upgrades!$T$9="Stellar Coupling",POWER(Upgrades!$U$9,H59),1)*IF(Upgrades!$T$10="Stellar Coupling",POWER(Upgrades!$U$10,I59),1)*IF(Upgrades!$T$11="Stellar Coupling",POWER(Upgrades!$U$11,J59),1)*IF(Upgrades!$T$12="Stellar Coupling",POWER(Upgrades!$U$12,K59),1))+(IF(H59=0,0,(Upgrades!$G$9+H59*Upgrades!$H$9)*POWER(Upgrades!$I$9,H59)))*(IF(Upgrades!$T$6="Magnetosphere",POWER(Upgrades!$U$6,E59),1)*IF(Upgrades!$T$7="Magnetosphere",POWER(Upgrades!$U$7,F59),1)*IF(Upgrades!$T$8="Magnetosphere",POWER(Upgrades!$U$8,G59),1)*IF(Upgrades!$T$10="Magnetosphere",POWER(Upgrades!$U$10,I59),1)*IF(Upgrades!$T$11="Magnetosphere",POWER(Upgrades!$U$11,J59),1)*IF(Upgrades!$T$12="Magnetosphere",POWER(Upgrades!$U$12,K59),1))+(IF(I59=0,0,(Upgrades!$G$10+I59*Upgrades!$H$10)*POWER(Upgrades!$I$10,I59)))*(IF(Upgrades!$T$6="Orbital Resonance",POWER(Upgrades!$U$6,E59),1)*IF(Upgrades!$T$7="Orbital Resonance",POWER(Upgrades!$U$7,F59),1)*IF(Upgrades!$T$8="Orbital Resonance",POWER(Upgrades!$U$8,G59),1)*IF(Upgrades!$T$9="Orbital Resonance",POWER(Upgrades!$U$9,H59),1)*IF(Upgrades!$T$11="Orbital Resonance",POWER(Upgrades!$U$11,J59),1)*IF(Upgrades!$T$12="Orbital Resonance",POWER(Upgrades!$U$12,K59),1))+(IF(J59=0,0,(Upgrades!$G$11+J59*Upgrades!$H$11)*POWER(Upgrades!$I$11,J59)))*(IF(Upgrades!$T$6="Heliopause",POWER(Upgrades!$U$6,E59),1)*IF(Upgrades!$T$7="Heliopause",POWER(Upgrades!$U$7,F59),1)*IF(Upgrades!$T$8="Heliopause",POWER(Upgrades!$U$8,G59),1)*IF(Upgrades!$T$9="Heliopause",POWER(Upgrades!$U$9,H59),1)*IF(Upgrades!$T$10="Heliopause",POWER(Upgrades!$U$10,I59),1)*IF(Upgrades!$T$12="Heliopause",POWER(Upgrades!$U$12,K59),1))+(IF(K59=0,0,(Upgrades!$G$12+K59*Upgrades!$H$12)*POWER(Upgrades!$I$12,K59)))*(IF(Upgrades!$T$6="First Photons",POWER(Upgrades!$U$6,E59),1)*IF(Upgrades!$T$7="First Photons",POWER(Upgrades!$U$7,F59),1)*IF(Upgrades!$T$8="First Photons",POWER(Upgrades!$U$8,G59),1)*IF(Upgrades!$T$9="First Photons",POWER(Upgrades!$U$9,H59),1)*IF(Upgrades!$T$10="First Photons",POWER(Upgrades!$U$10,I59),1)*IF(Upgrades!$T$11="First Photons",POWER(Upgrades!$U$11,J59),1)))*POWER(Upgrades!$P$6,E59)*POWER(Upgrades!$P$7,F59)*POWER(Upgrades!$P$8,G59)*POWER(Upgrades!$P$9,H59)*POWER(Upgrades!$P$10,I59)*POWER(Upgrades!$P$11,J59)*POWER(Upgrades!$P$12,K59)</f>
        <v/>
      </c>
      <c r="O59" s="28">
        <f>((IF(E59=0,0,(Upgrades!$M$6+E59*Upgrades!$N$6)*POWER(Upgrades!$O$6,E59)))*(IF(Upgrades!$T$7="Solar Wind",POWER(Upgrades!$U$7,F59),1)*IF(Upgrades!$T$8="Solar Wind",POWER(Upgrades!$U$8,G59),1)*IF(Upgrades!$T$9="Solar Wind",POWER(Upgrades!$U$9,H59),1)*IF(Upgrades!$T$10="Solar Wind",POWER(Upgrades!$U$10,I59),1)*IF(Upgrades!$T$11="Solar Wind",POWER(Upgrades!$U$11,J59),1)*IF(Upgrades!$T$12="Solar Wind",POWER(Upgrades!$U$12,K59),1))+(IF(F59=0,0,(Upgrades!$M$7+F59*Upgrades!$N$7)*POWER(Upgrades!$O$7,F59)))*(IF(Upgrades!$T$6="Asteroid Belt",POWER(Upgrades!$U$6,E59),1)*IF(Upgrades!$T$8="Asteroid Belt",POWER(Upgrades!$U$8,G59),1)*IF(Upgrades!$T$9="Asteroid Belt",POWER(Upgrades!$U$9,H59),1)*IF(Upgrades!$T$10="Asteroid Belt",POWER(Upgrades!$U$10,I59),1)*IF(Upgrades!$T$11="Asteroid Belt",POWER(Upgrades!$U$11,J59),1)*IF(Upgrades!$T$12="Asteroid Belt",POWER(Upgrades!$U$12,K59),1))+(IF(G59=0,0,(Upgrades!$M$8+G59*Upgrades!$N$8)*POWER(Upgrades!$O$8,G59)))*(IF(Upgrades!$T$6="Stellar Coupling",POWER(Upgrades!$U$6,E59),1)*IF(Upgrades!$T$7="Stellar Coupling",POWER(Upgrades!$U$7,F59),1)*IF(Upgrades!$T$9="Stellar Coupling",POWER(Upgrades!$U$9,H59),1)*IF(Upgrades!$T$10="Stellar Coupling",POWER(Upgrades!$U$10,I59),1)*IF(Upgrades!$T$11="Stellar Coupling",POWER(Upgrades!$U$11,J59),1)*IF(Upgrades!$T$12="Stellar Coupling",POWER(Upgrades!$U$12,K59),1))+(IF(H59=0,0,(Upgrades!$M$9+H59*Upgrades!$N$9)*POWER(Upgrades!$O$9,H59)))*(IF(Upgrades!$T$6="Magnetosphere",POWER(Upgrades!$U$6,E59),1)*IF(Upgrades!$T$7="Magnetosphere",POWER(Upgrades!$U$7,F59),1)*IF(Upgrades!$T$8="Magnetosphere",POWER(Upgrades!$U$8,G59),1)*IF(Upgrades!$T$10="Magnetosphere",POWER(Upgrades!$U$10,I59),1)*IF(Upgrades!$T$11="Magnetosphere",POWER(Upgrades!$U$11,J59),1)*IF(Upgrades!$T$12="Magnetosphere",POWER(Upgrades!$U$12,K59),1))+(IF(I59=0,0,(Upgrades!$M$10+I59*Upgrades!$N$10)*POWER(Upgrades!$O$10,I59)))*(IF(Upgrades!$T$6="Orbital Resonance",POWER(Upgrades!$U$6,E59),1)*IF(Upgrades!$T$7="Orbital Resonance",POWER(Upgrades!$U$7,F59),1)*IF(Upgrades!$T$8="Orbital Resonance",POWER(Upgrades!$U$8,G59),1)*IF(Upgrades!$T$9="Orbital Resonance",POWER(Upgrades!$U$9,H59),1)*IF(Upgrades!$T$11="Orbital Resonance",POWER(Upgrades!$U$11,J59),1)*IF(Upgrades!$T$12="Orbital Resonance",POWER(Upgrades!$U$12,K59),1))+(IF(J59=0,0,(Upgrades!$M$11+J59*Upgrades!$N$11)*POWER(Upgrades!$O$11,J59)))*(IF(Upgrades!$T$6="Heliopause",POWER(Upgrades!$U$6,E59),1)*IF(Upgrades!$T$7="Heliopause",POWER(Upgrades!$U$7,F59),1)*IF(Upgrades!$T$8="Heliopause",POWER(Upgrades!$U$8,G59),1)*IF(Upgrades!$T$9="Heliopause",POWER(Upgrades!$U$9,H59),1)*IF(Upgrades!$T$10="Heliopause",POWER(Upgrades!$U$10,I59),1)*IF(Upgrades!$T$12="Heliopause",POWER(Upgrades!$U$12,K59),1))+(IF(K59=0,0,(Upgrades!$M$12+K59*Upgrades!$N$12)*POWER(Upgrades!$O$12,K59)))*(IF(Upgrades!$T$6="First Photons",POWER(Upgrades!$U$6,E59),1)*IF(Upgrades!$T$7="First Photons",POWER(Upgrades!$U$7,F59),1)*IF(Upgrades!$T$8="First Photons",POWER(Upgrades!$U$8,G59),1)*IF(Upgrades!$T$9="First Photons",POWER(Upgrades!$U$9,H59),1)*IF(Upgrades!$T$10="First Photons",POWER(Upgrades!$U$10,I59),1)*IF(Upgrades!$T$11="First Photons",POWER(Upgrades!$U$11,J59),1)))*POWER(Upgrades!$R$6,E59)*POWER(Upgrades!$R$7,F59)*POWER(Upgrades!$R$8,G59)*POWER(Upgrades!$R$9,H59)*POWER(Upgrades!$R$10,I59)*POWER(Upgrades!$R$11,J59)*POWER(Upgrades!$R$12,K59)</f>
        <v/>
      </c>
      <c r="P59" s="27">
        <f>IF(L59=1,0,M59*Parameters!$B$10/60*Parameters!$B$11*10)</f>
        <v/>
      </c>
      <c r="Q59" s="27">
        <f>IF(L59=1,0,O59*M59*10)</f>
        <v/>
      </c>
      <c r="R59" s="27">
        <f>IF(L59=1,0,N59*10)</f>
        <v/>
      </c>
      <c r="S59" s="27">
        <f>P59+Q59+R59</f>
        <v/>
      </c>
      <c r="T59" s="22">
        <f>C59+S59</f>
        <v/>
      </c>
      <c r="U59" s="33">
        <f>AX59</f>
        <v/>
      </c>
      <c r="V59" s="22">
        <f>IF(U59="",0,IF(U59="transition",0,IF(U59="SW",AG59,IF(U59="AB",AH59,IF(U59="SC",AI59,IF(U59="Mag",AJ59,IF(U59="OR",AK59,IF(U59="HP",AL59,IF(U59="FP",AM59,0)))))))))</f>
        <v/>
      </c>
      <c r="W59" s="27">
        <f>IF(U59="OR",Upgrades!$F$10,IF(U59="HP",Upgrades!$F$11,IF(U59="transition",-Parameters!$B$18,0)))</f>
        <v/>
      </c>
      <c r="X59" s="22">
        <f>T59-V59</f>
        <v/>
      </c>
      <c r="Y59" s="30">
        <f>M59*Parameters!$B$10/60*Parameters!$B$11+O59*M59+N59</f>
        <v/>
      </c>
      <c r="Z59" s="34">
        <f>IF(U59="transition","→ Tier 2 (Stellar Neighborhood)",IF(U59="FP","First Photons — light begins, system quickens",IF(U59="HP","Heliopause acquired",IF(U59="OR","Orbital Resonance — passive multiplier active",IF(AND(AO59=1,L59=0,AN59&lt;&gt;1),"Cohesion ready (waiting on completionist upgrades)","")))))</f>
        <v/>
      </c>
      <c r="AA59" s="27">
        <f>(IF(E59=0,0,(Upgrades!$G$6+E59*Upgrades!$H$6)*POWER(Upgrades!$I$6,E59)))*(IF(Upgrades!$T$7="Solar Wind",POWER(Upgrades!$U$7,F59),1)*IF(Upgrades!$T$8="Solar Wind",POWER(Upgrades!$U$8,G59),1)*IF(Upgrades!$T$9="Solar Wind",POWER(Upgrades!$U$9,H59),1)*IF(Upgrades!$T$10="Solar Wind",POWER(Upgrades!$U$10,I59),1)*IF(Upgrades!$T$11="Solar Wind",POWER(Upgrades!$U$11,J59),1)*IF(Upgrades!$T$12="Solar Wind",POWER(Upgrades!$U$12,K59),1))*POWER(Upgrades!$P$6,E59)*POWER(Upgrades!$P$7,F59)*POWER(Upgrades!$P$8,G59)*POWER(Upgrades!$P$9,H59)*POWER(Upgrades!$P$10,I59)*POWER(Upgrades!$P$11,J59)*POWER(Upgrades!$P$12,K59)*60</f>
        <v/>
      </c>
      <c r="AB59" s="27">
        <f>(IF(F59=0,0,(Upgrades!$G$7+F59*Upgrades!$H$7)*POWER(Upgrades!$I$7,F59)))*(IF(Upgrades!$T$6="Asteroid Belt",POWER(Upgrades!$U$6,E59),1)*IF(Upgrades!$T$8="Asteroid Belt",POWER(Upgrades!$U$8,G59),1)*IF(Upgrades!$T$9="Asteroid Belt",POWER(Upgrades!$U$9,H59),1)*IF(Upgrades!$T$10="Asteroid Belt",POWER(Upgrades!$U$10,I59),1)*IF(Upgrades!$T$11="Asteroid Belt",POWER(Upgrades!$U$11,J59),1)*IF(Upgrades!$T$12="Asteroid Belt",POWER(Upgrades!$U$12,K59),1))*POWER(Upgrades!$P$6,E59)*POWER(Upgrades!$P$7,F59)*POWER(Upgrades!$P$8,G59)*POWER(Upgrades!$P$9,H59)*POWER(Upgrades!$P$10,I59)*POWER(Upgrades!$P$11,J59)*POWER(Upgrades!$P$12,K59)*60</f>
        <v/>
      </c>
      <c r="AC59" s="27">
        <f>(IF(G59=0,0,(Upgrades!$J$8+G59*Upgrades!$K$8)*POWER(Upgrades!$L$8,G59)))*(IF(Upgrades!$T$6="Stellar Coupling",POWER(Upgrades!$U$6,E59),1)*IF(Upgrades!$T$7="Stellar Coupling",POWER(Upgrades!$U$7,F59),1)*IF(Upgrades!$T$9="Stellar Coupling",POWER(Upgrades!$U$9,H59),1)*IF(Upgrades!$T$10="Stellar Coupling",POWER(Upgrades!$U$10,I59),1)*IF(Upgrades!$T$11="Stellar Coupling",POWER(Upgrades!$U$11,J59),1)*IF(Upgrades!$T$12="Stellar Coupling",POWER(Upgrades!$U$12,K59),1))*POWER(Upgrades!$Q$6,E59)*POWER(Upgrades!$Q$7,F59)*POWER(Upgrades!$Q$8,G59)*POWER(Upgrades!$Q$9,H59)*POWER(Upgrades!$Q$10,I59)*POWER(Upgrades!$Q$11,J59)*POWER(Upgrades!$Q$12,K59)*Parameters!$B$10*Parameters!$B$11</f>
        <v/>
      </c>
      <c r="AD59" s="27">
        <f>(IF(H59=0,0,(Upgrades!$G$9+H59*Upgrades!$H$9)*POWER(Upgrades!$I$9,H59)))*(IF(Upgrades!$T$6="Magnetosphere",POWER(Upgrades!$U$6,E59),1)*IF(Upgrades!$T$7="Magnetosphere",POWER(Upgrades!$U$7,F59),1)*IF(Upgrades!$T$8="Magnetosphere",POWER(Upgrades!$U$8,G59),1)*IF(Upgrades!$T$10="Magnetosphere",POWER(Upgrades!$U$10,I59),1)*IF(Upgrades!$T$11="Magnetosphere",POWER(Upgrades!$U$11,J59),1)*IF(Upgrades!$T$12="Magnetosphere",POWER(Upgrades!$U$12,K59),1))*POWER(Upgrades!$P$6,E59)*POWER(Upgrades!$P$7,F59)*POWER(Upgrades!$P$8,G59)*POWER(Upgrades!$P$9,H59)*POWER(Upgrades!$P$10,I59)*POWER(Upgrades!$P$11,J59)*POWER(Upgrades!$P$12,K59)*60</f>
        <v/>
      </c>
      <c r="AE59" s="27">
        <f>(IF(K59=0,0,(Upgrades!$G$12+K59*Upgrades!$H$12)*POWER(Upgrades!$I$12,K59)))*(IF(Upgrades!$T$6="First Photons",POWER(Upgrades!$U$6,E59),1)*IF(Upgrades!$T$7="First Photons",POWER(Upgrades!$U$7,F59),1)*IF(Upgrades!$T$8="First Photons",POWER(Upgrades!$U$8,G59),1)*IF(Upgrades!$T$9="First Photons",POWER(Upgrades!$U$9,H59),1)*IF(Upgrades!$T$10="First Photons",POWER(Upgrades!$U$10,I59),1)*IF(Upgrades!$T$11="First Photons",POWER(Upgrades!$U$11,J59),1))*POWER(Upgrades!$P$6,E59)*POWER(Upgrades!$P$7,F59)*POWER(Upgrades!$P$8,G59)*POWER(Upgrades!$P$9,H59)*POWER(Upgrades!$P$10,I59)*POWER(Upgrades!$P$11,J59)*POWER(Upgrades!$P$12,K59)*60</f>
        <v/>
      </c>
      <c r="AF59" s="27">
        <f>Parameters!$B$9*POWER(Upgrades!$Q$6,E59)*POWER(Upgrades!$Q$7,F59)*POWER(Upgrades!$Q$8,G59)*POWER(Upgrades!$Q$9,H59)*POWER(Upgrades!$Q$10,I59)*POWER(Upgrades!$Q$11,J59)*POWER(Upgrades!$Q$12,K59)*(Parameters!$B$10*Parameters!$B$11+O59*60)</f>
        <v/>
      </c>
      <c r="AG59" s="22">
        <f>IF(E59&gt;=Upgrades!$E$6,"",Upgrades!$C$6*POWER(Upgrades!$D$6,E59))</f>
        <v/>
      </c>
      <c r="AH59" s="22">
        <f>IF(F59&gt;=Upgrades!$E$7,"",Upgrades!$C$7*POWER(Upgrades!$D$7,F59))</f>
        <v/>
      </c>
      <c r="AI59" s="22">
        <f>IF(G59&gt;=Upgrades!$E$8,"",Upgrades!$C$8*POWER(Upgrades!$D$8,G59))</f>
        <v/>
      </c>
      <c r="AJ59" s="22">
        <f>IF(H59&gt;=Upgrades!$E$9,"",Upgrades!$C$9*POWER(Upgrades!$D$9,H59))</f>
        <v/>
      </c>
      <c r="AK59" s="22">
        <f>IF(I59&gt;=Upgrades!$E$10,"",Upgrades!$C$10*POWER(Upgrades!$D$10,I59))</f>
        <v/>
      </c>
      <c r="AL59" s="22">
        <f>IF(J59&gt;=Upgrades!$E$11,"",Upgrades!$C$11*POWER(Upgrades!$D$11,J59))</f>
        <v/>
      </c>
      <c r="AM59" s="22">
        <f>IF(K59&gt;=Upgrades!$E$12,"",Upgrades!$C$12*POWER(Upgrades!$D$12,K59))</f>
        <v/>
      </c>
      <c r="AN59" s="26">
        <f>IF(AND(D59&gt;=Parameters!$B$18,(H59&gt;=Upgrades!$E$9)*(K59&gt;=Upgrades!$E$12)=1,L59=0),1,"")</f>
        <v/>
      </c>
      <c r="AO59" s="26">
        <f>IF(AND(D59&gt;=Parameters!$B$18,L59=0),1,"")</f>
        <v/>
      </c>
      <c r="AP59" s="22">
        <f>MIN(IF(ISNUMBER(AK59),AK59,9E15),IF(ISNUMBER(AL59),AL59,9E15),IF(ISNUMBER(AM59),AM59,9E15))</f>
        <v/>
      </c>
      <c r="AQ59" s="22">
        <f>MIN(IF(ISNUMBER(AG59),AG59,9E15),IF(ISNUMBER(AH59),AH59,9E15),IF(ISNUMBER(AI59),AI59,9E15),IF(ISNUMBER(AJ59),AJ59,9E15))</f>
        <v/>
      </c>
      <c r="AR59" s="29">
        <f>IF(AW59&gt;Parameters!$B$21*(MAX(IF(AND(NOT(AND(AO59=1,AN59&lt;&gt;1)),ISNUMBER(AG59),AG59&lt;=T59),AS59,0),IF(AND(NOT(AND(AO59=1,AN59&lt;&gt;1)),ISNUMBER(AH59),AH59&lt;=T59),AT59,0),IF(AND(NOT(AND(AO59=1,AN59&lt;&gt;1)),ISNUMBER(AI59),AI59&lt;=T59),AU59,0),IF(AND(ISNUMBER(AJ59),AJ59&lt;=T59),AV59,0))),TRUE,FALSE)</f>
        <v/>
      </c>
      <c r="AS59" s="32">
        <f>IFERROR(Upgrades!$H$6*(POWER(Upgrades!$P$6,E59)*POWER(Upgrades!$P$7,F59)*POWER(Upgrades!$P$8,G59)*POWER(Upgrades!$P$9,H59)*POWER(Upgrades!$P$10,I59)*POWER(Upgrades!$P$11,J59)*POWER(Upgrades!$P$12,K59))*(IF(Upgrades!$T$7="Solar Wind",POWER(Upgrades!$U$7,F59),1)*IF(Upgrades!$T$8="Solar Wind",POWER(Upgrades!$U$8,G59),1)*IF(Upgrades!$T$9="Solar Wind",POWER(Upgrades!$U$9,H59),1)*IF(Upgrades!$T$10="Solar Wind",POWER(Upgrades!$U$10,I59),1)*IF(Upgrades!$T$11="Solar Wind",POWER(Upgrades!$U$11,J59),1)*IF(Upgrades!$T$12="Solar Wind",POWER(Upgrades!$U$12,K59),1))/AG59,0)</f>
        <v/>
      </c>
      <c r="AT59" s="32">
        <f>IFERROR(Upgrades!$H$7*(POWER(Upgrades!$P$6,E59)*POWER(Upgrades!$P$7,F59)*POWER(Upgrades!$P$8,G59)*POWER(Upgrades!$P$9,H59)*POWER(Upgrades!$P$10,I59)*POWER(Upgrades!$P$11,J59)*POWER(Upgrades!$P$12,K59))*(IF(Upgrades!$T$6="Asteroid Belt",POWER(Upgrades!$U$6,E59),1)*IF(Upgrades!$T$8="Asteroid Belt",POWER(Upgrades!$U$8,G59),1)*IF(Upgrades!$T$9="Asteroid Belt",POWER(Upgrades!$U$9,H59),1)*IF(Upgrades!$T$10="Asteroid Belt",POWER(Upgrades!$U$10,I59),1)*IF(Upgrades!$T$11="Asteroid Belt",POWER(Upgrades!$U$11,J59),1)*IF(Upgrades!$T$12="Asteroid Belt",POWER(Upgrades!$U$12,K59),1))/AH59,0)</f>
        <v/>
      </c>
      <c r="AU59" s="32">
        <f>IFERROR(Upgrades!$K$8*(POWER(Upgrades!$Q$6,E59)*POWER(Upgrades!$Q$7,F59)*POWER(Upgrades!$Q$8,G59)*POWER(Upgrades!$Q$9,H59)*POWER(Upgrades!$Q$10,I59)*POWER(Upgrades!$Q$11,J59)*POWER(Upgrades!$Q$12,K59))*(IF(Upgrades!$T$6="Stellar Coupling",POWER(Upgrades!$U$6,E59),1)*IF(Upgrades!$T$7="Stellar Coupling",POWER(Upgrades!$U$7,F59),1)*IF(Upgrades!$T$9="Stellar Coupling",POWER(Upgrades!$U$9,H59),1)*IF(Upgrades!$T$10="Stellar Coupling",POWER(Upgrades!$U$10,I59),1)*IF(Upgrades!$T$11="Stellar Coupling",POWER(Upgrades!$U$11,J59),1)*IF(Upgrades!$T$12="Stellar Coupling",POWER(Upgrades!$U$12,K59),1))*Parameters!$B$10*Parameters!$B$11/60/AI59,0)</f>
        <v/>
      </c>
      <c r="AV59" s="32">
        <f>IFERROR(Upgrades!$H$9*(POWER(Upgrades!$P$6,E59)*POWER(Upgrades!$P$7,F59)*POWER(Upgrades!$P$8,G59)*POWER(Upgrades!$P$9,H59)*POWER(Upgrades!$P$10,I59)*POWER(Upgrades!$P$11,J59)*POWER(Upgrades!$P$12,K59))*(IF(Upgrades!$T$6="Magnetosphere",POWER(Upgrades!$U$6,E59),1)*IF(Upgrades!$T$7="Magnetosphere",POWER(Upgrades!$U$7,F59),1)*IF(Upgrades!$T$8="Magnetosphere",POWER(Upgrades!$U$8,G59),1)*IF(Upgrades!$T$10="Magnetosphere",POWER(Upgrades!$U$10,I59),1)*IF(Upgrades!$T$11="Magnetosphere",POWER(Upgrades!$U$11,J59),1)*IF(Upgrades!$T$12="Magnetosphere",POWER(Upgrades!$U$12,K59),1))/AJ59,0)</f>
        <v/>
      </c>
      <c r="AW59" s="32">
        <f>MAX(IF(I59&gt;0,0,IFERROR(0.25*N59/Upgrades!$C$10,0)),IF(J59&gt;0,0,IFERROR(0.5*((IF(G59=0,0,(Upgrades!$J$8+G59*Upgrades!$K$8)*POWER(Upgrades!$L$8,G59)))*(IF(Upgrades!$T$6="Stellar Coupling",POWER(Upgrades!$U$6,E59),1)*IF(Upgrades!$T$7="Stellar Coupling",POWER(Upgrades!$U$7,F59),1)*IF(Upgrades!$T$9="Stellar Coupling",POWER(Upgrades!$U$9,H59),1)*IF(Upgrades!$T$10="Stellar Coupling",POWER(Upgrades!$U$10,I59),1)*IF(Upgrades!$T$11="Stellar Coupling",POWER(Upgrades!$U$11,J59),1)*IF(Upgrades!$T$12="Stellar Coupling",POWER(Upgrades!$U$12,K59),1))*(POWER(Upgrades!$Q$6,E59)*POWER(Upgrades!$Q$7,F59)*POWER(Upgrades!$Q$8,G59)*POWER(Upgrades!$Q$9,H59)*POWER(Upgrades!$Q$10,I59)*POWER(Upgrades!$Q$11,J59)*POWER(Upgrades!$Q$12,K59))*Parameters!$B$10*Parameters!$B$11/60)/Upgrades!$C$11,0)),IF(K59&gt;0,0,IFERROR((1.0*(POWER(Upgrades!$P$6,E59)*POWER(Upgrades!$P$7,F59)*POWER(Upgrades!$P$8,G59)*POWER(Upgrades!$P$9,H59)*POWER(Upgrades!$P$10,I59)*POWER(Upgrades!$P$11,J59)*POWER(Upgrades!$P$12,K59))+0.20*M59*Parameters!$B$10*Parameters!$B$11/60)/Upgrades!$C$12,0)),IF(AND(ISNUMBER(AG59),AG59&gt;T59),AS59,0),IF(AND(ISNUMBER(AH59),AH59&gt;T59),AT59,0),IF(AND(ISNUMBER(AI59),AI59&gt;T59),AU59,0),IF(AND(ISNUMBER(AJ59),AJ59&gt;T59),AV59,0))</f>
        <v/>
      </c>
      <c r="AX59" s="29">
        <f>IF(AN59=1,"transition",IF(MIN(IF(AND(I59=0,ISNUMBER(AK59),AK59&lt;=T59),AK59,9E15),IF(AND(J59=0,ISNUMBER(AL59),AL59&lt;=T59),AL59,9E15),IF(AND(K59=0,ISNUMBER(AM59),AM59&lt;=T59),AM59,9E15))&lt;9E15,IF(AND(AND(I59=0,ISNUMBER(AK59),AK59&lt;=T59),AK59=MIN(IF(AND(I59=0,ISNUMBER(AK59),AK59&lt;=T59),AK59,9E15),IF(AND(J59=0,ISNUMBER(AL59),AL59&lt;=T59),AL59,9E15),IF(AND(K59=0,ISNUMBER(AM59),AM59&lt;=T59),AM59,9E15))),"OR",IF(AND(AND(J59=0,ISNUMBER(AL59),AL59&lt;=T59),AL59=MIN(IF(AND(I59=0,ISNUMBER(AK59),AK59&lt;=T59),AK59,9E15),IF(AND(J59=0,ISNUMBER(AL59),AL59&lt;=T59),AL59,9E15),IF(AND(K59=0,ISNUMBER(AM59),AM59&lt;=T59),AM59,9E15))),"HP","FP")),IF(AR59=TRUE,"",IF(MAX(IF(AND(NOT(AND(AO59=1,AN59&lt;&gt;1)),ISNUMBER(AG59),AG59&lt;=T59),AS59,0),IF(AND(NOT(AND(AO59=1,AN59&lt;&gt;1)),ISNUMBER(AH59),AH59&lt;=T59),AT59,0),IF(AND(NOT(AND(AO59=1,AN59&lt;&gt;1)),ISNUMBER(AI59),AI59&lt;=T59),AU59,0),IF(AND(ISNUMBER(AJ59),AJ59&lt;=T59),AV59,0))&lt;=0,"",IF(AND(IF(AND(NOT(AND(AO59=1,AN59&lt;&gt;1)),ISNUMBER(AG59),AG59&lt;=T59),AS59,0)&gt;0,IF(AND(NOT(AND(AO59=1,AN59&lt;&gt;1)),ISNUMBER(AG59),AG59&lt;=T59),AS59,0)=MAX(IF(AND(NOT(AND(AO59=1,AN59&lt;&gt;1)),ISNUMBER(AG59),AG59&lt;=T59),AS59,0),IF(AND(NOT(AND(AO59=1,AN59&lt;&gt;1)),ISNUMBER(AH59),AH59&lt;=T59),AT59,0),IF(AND(NOT(AND(AO59=1,AN59&lt;&gt;1)),ISNUMBER(AI59),AI59&lt;=T59),AU59,0),IF(AND(ISNUMBER(AJ59),AJ59&lt;=T59),AV59,0))),"SW",IF(AND(IF(AND(NOT(AND(AO59=1,AN59&lt;&gt;1)),ISNUMBER(AH59),AH59&lt;=T59),AT59,0)&gt;0,IF(AND(NOT(AND(AO59=1,AN59&lt;&gt;1)),ISNUMBER(AH59),AH59&lt;=T59),AT59,0)=MAX(IF(AND(NOT(AND(AO59=1,AN59&lt;&gt;1)),ISNUMBER(AG59),AG59&lt;=T59),AS59,0),IF(AND(NOT(AND(AO59=1,AN59&lt;&gt;1)),ISNUMBER(AH59),AH59&lt;=T59),AT59,0),IF(AND(NOT(AND(AO59=1,AN59&lt;&gt;1)),ISNUMBER(AI59),AI59&lt;=T59),AU59,0),IF(AND(ISNUMBER(AJ59),AJ59&lt;=T59),AV59,0))),"AB",IF(AND(IF(AND(NOT(AND(AO59=1,AN59&lt;&gt;1)),ISNUMBER(AI59),AI59&lt;=T59),AU59,0)&gt;0,IF(AND(NOT(AND(AO59=1,AN59&lt;&gt;1)),ISNUMBER(AI59),AI59&lt;=T59),AU59,0)=MAX(IF(AND(NOT(AND(AO59=1,AN59&lt;&gt;1)),ISNUMBER(AG59),AG59&lt;=T59),AS59,0),IF(AND(NOT(AND(AO59=1,AN59&lt;&gt;1)),ISNUMBER(AH59),AH59&lt;=T59),AT59,0),IF(AND(NOT(AND(AO59=1,AN59&lt;&gt;1)),ISNUMBER(AI59),AI59&lt;=T59),AU59,0),IF(AND(ISNUMBER(AJ59),AJ59&lt;=T59),AV59,0))),"SC","Mag")))))))</f>
        <v/>
      </c>
    </row>
    <row r="60">
      <c r="A60" s="26" t="n">
        <v>55</v>
      </c>
      <c r="B60" s="27">
        <f>A60*10/60</f>
        <v/>
      </c>
      <c r="C60" s="22">
        <f>X59</f>
        <v/>
      </c>
      <c r="D60" s="27">
        <f>D59+W59</f>
        <v/>
      </c>
      <c r="E60" s="26">
        <f>E59+IF(U59="SW",1,0)</f>
        <v/>
      </c>
      <c r="F60" s="26">
        <f>F59+IF(U59="AB",1,0)</f>
        <v/>
      </c>
      <c r="G60" s="26">
        <f>G59+IF(U59="SC",1,0)</f>
        <v/>
      </c>
      <c r="H60" s="26">
        <f>H59+IF(U59="Mag",1,0)</f>
        <v/>
      </c>
      <c r="I60" s="26">
        <f>MAX(I59,IF(U59="OR",1,0))</f>
        <v/>
      </c>
      <c r="J60" s="26">
        <f>MAX(J59,IF(U59="HP",1,0))</f>
        <v/>
      </c>
      <c r="K60" s="26">
        <f>MAX(K59,IF(U59="FP",1,0))</f>
        <v/>
      </c>
      <c r="L60" s="26">
        <f>MAX(L59,IF(U59="transition",1,0))</f>
        <v/>
      </c>
      <c r="M60" s="28">
        <f>(Parameters!$B$9+(IF(E60=0,0,(Upgrades!$J$6+E60*Upgrades!$K$6)*POWER(Upgrades!$L$6,E60)))*(IF(Upgrades!$T$7="Solar Wind",POWER(Upgrades!$U$7,F60),1)*IF(Upgrades!$T$8="Solar Wind",POWER(Upgrades!$U$8,G60),1)*IF(Upgrades!$T$9="Solar Wind",POWER(Upgrades!$U$9,H60),1)*IF(Upgrades!$T$10="Solar Wind",POWER(Upgrades!$U$10,I60),1)*IF(Upgrades!$T$11="Solar Wind",POWER(Upgrades!$U$11,J60),1)*IF(Upgrades!$T$12="Solar Wind",POWER(Upgrades!$U$12,K60),1))+(IF(F60=0,0,(Upgrades!$J$7+F60*Upgrades!$K$7)*POWER(Upgrades!$L$7,F60)))*(IF(Upgrades!$T$6="Asteroid Belt",POWER(Upgrades!$U$6,E60),1)*IF(Upgrades!$T$8="Asteroid Belt",POWER(Upgrades!$U$8,G60),1)*IF(Upgrades!$T$9="Asteroid Belt",POWER(Upgrades!$U$9,H60),1)*IF(Upgrades!$T$10="Asteroid Belt",POWER(Upgrades!$U$10,I60),1)*IF(Upgrades!$T$11="Asteroid Belt",POWER(Upgrades!$U$11,J60),1)*IF(Upgrades!$T$12="Asteroid Belt",POWER(Upgrades!$U$12,K60),1))+(IF(G60=0,0,(Upgrades!$J$8+G60*Upgrades!$K$8)*POWER(Upgrades!$L$8,G60)))*(IF(Upgrades!$T$6="Stellar Coupling",POWER(Upgrades!$U$6,E60),1)*IF(Upgrades!$T$7="Stellar Coupling",POWER(Upgrades!$U$7,F60),1)*IF(Upgrades!$T$9="Stellar Coupling",POWER(Upgrades!$U$9,H60),1)*IF(Upgrades!$T$10="Stellar Coupling",POWER(Upgrades!$U$10,I60),1)*IF(Upgrades!$T$11="Stellar Coupling",POWER(Upgrades!$U$11,J60),1)*IF(Upgrades!$T$12="Stellar Coupling",POWER(Upgrades!$U$12,K60),1))+(IF(H60=0,0,(Upgrades!$J$9+H60*Upgrades!$K$9)*POWER(Upgrades!$L$9,H60)))*(IF(Upgrades!$T$6="Magnetosphere",POWER(Upgrades!$U$6,E60),1)*IF(Upgrades!$T$7="Magnetosphere",POWER(Upgrades!$U$7,F60),1)*IF(Upgrades!$T$8="Magnetosphere",POWER(Upgrades!$U$8,G60),1)*IF(Upgrades!$T$10="Magnetosphere",POWER(Upgrades!$U$10,I60),1)*IF(Upgrades!$T$11="Magnetosphere",POWER(Upgrades!$U$11,J60),1)*IF(Upgrades!$T$12="Magnetosphere",POWER(Upgrades!$U$12,K60),1))+(IF(I60=0,0,(Upgrades!$J$10+I60*Upgrades!$K$10)*POWER(Upgrades!$L$10,I60)))*(IF(Upgrades!$T$6="Orbital Resonance",POWER(Upgrades!$U$6,E60),1)*IF(Upgrades!$T$7="Orbital Resonance",POWER(Upgrades!$U$7,F60),1)*IF(Upgrades!$T$8="Orbital Resonance",POWER(Upgrades!$U$8,G60),1)*IF(Upgrades!$T$9="Orbital Resonance",POWER(Upgrades!$U$9,H60),1)*IF(Upgrades!$T$11="Orbital Resonance",POWER(Upgrades!$U$11,J60),1)*IF(Upgrades!$T$12="Orbital Resonance",POWER(Upgrades!$U$12,K60),1))+(IF(J60=0,0,(Upgrades!$J$11+J60*Upgrades!$K$11)*POWER(Upgrades!$L$11,J60)))*(IF(Upgrades!$T$6="Heliopause",POWER(Upgrades!$U$6,E60),1)*IF(Upgrades!$T$7="Heliopause",POWER(Upgrades!$U$7,F60),1)*IF(Upgrades!$T$8="Heliopause",POWER(Upgrades!$U$8,G60),1)*IF(Upgrades!$T$9="Heliopause",POWER(Upgrades!$U$9,H60),1)*IF(Upgrades!$T$10="Heliopause",POWER(Upgrades!$U$10,I60),1)*IF(Upgrades!$T$12="Heliopause",POWER(Upgrades!$U$12,K60),1))+(IF(K60=0,0,(Upgrades!$J$12+K60*Upgrades!$K$12)*POWER(Upgrades!$L$12,K60)))*(IF(Upgrades!$T$6="First Photons",POWER(Upgrades!$U$6,E60),1)*IF(Upgrades!$T$7="First Photons",POWER(Upgrades!$U$7,F60),1)*IF(Upgrades!$T$8="First Photons",POWER(Upgrades!$U$8,G60),1)*IF(Upgrades!$T$9="First Photons",POWER(Upgrades!$U$9,H60),1)*IF(Upgrades!$T$10="First Photons",POWER(Upgrades!$U$10,I60),1)*IF(Upgrades!$T$11="First Photons",POWER(Upgrades!$U$11,J60),1)))*POWER(Upgrades!$Q$6,E60)*POWER(Upgrades!$Q$7,F60)*POWER(Upgrades!$Q$8,G60)*POWER(Upgrades!$Q$9,H60)*POWER(Upgrades!$Q$10,I60)*POWER(Upgrades!$Q$11,J60)*POWER(Upgrades!$Q$12,K60)</f>
        <v/>
      </c>
      <c r="N60" s="28">
        <f>((IF(E60=0,0,(Upgrades!$G$6+E60*Upgrades!$H$6)*POWER(Upgrades!$I$6,E60)))*(IF(Upgrades!$T$7="Solar Wind",POWER(Upgrades!$U$7,F60),1)*IF(Upgrades!$T$8="Solar Wind",POWER(Upgrades!$U$8,G60),1)*IF(Upgrades!$T$9="Solar Wind",POWER(Upgrades!$U$9,H60),1)*IF(Upgrades!$T$10="Solar Wind",POWER(Upgrades!$U$10,I60),1)*IF(Upgrades!$T$11="Solar Wind",POWER(Upgrades!$U$11,J60),1)*IF(Upgrades!$T$12="Solar Wind",POWER(Upgrades!$U$12,K60),1))+(IF(F60=0,0,(Upgrades!$G$7+F60*Upgrades!$H$7)*POWER(Upgrades!$I$7,F60)))*(IF(Upgrades!$T$6="Asteroid Belt",POWER(Upgrades!$U$6,E60),1)*IF(Upgrades!$T$8="Asteroid Belt",POWER(Upgrades!$U$8,G60),1)*IF(Upgrades!$T$9="Asteroid Belt",POWER(Upgrades!$U$9,H60),1)*IF(Upgrades!$T$10="Asteroid Belt",POWER(Upgrades!$U$10,I60),1)*IF(Upgrades!$T$11="Asteroid Belt",POWER(Upgrades!$U$11,J60),1)*IF(Upgrades!$T$12="Asteroid Belt",POWER(Upgrades!$U$12,K60),1))+(IF(G60=0,0,(Upgrades!$G$8+G60*Upgrades!$H$8)*POWER(Upgrades!$I$8,G60)))*(IF(Upgrades!$T$6="Stellar Coupling",POWER(Upgrades!$U$6,E60),1)*IF(Upgrades!$T$7="Stellar Coupling",POWER(Upgrades!$U$7,F60),1)*IF(Upgrades!$T$9="Stellar Coupling",POWER(Upgrades!$U$9,H60),1)*IF(Upgrades!$T$10="Stellar Coupling",POWER(Upgrades!$U$10,I60),1)*IF(Upgrades!$T$11="Stellar Coupling",POWER(Upgrades!$U$11,J60),1)*IF(Upgrades!$T$12="Stellar Coupling",POWER(Upgrades!$U$12,K60),1))+(IF(H60=0,0,(Upgrades!$G$9+H60*Upgrades!$H$9)*POWER(Upgrades!$I$9,H60)))*(IF(Upgrades!$T$6="Magnetosphere",POWER(Upgrades!$U$6,E60),1)*IF(Upgrades!$T$7="Magnetosphere",POWER(Upgrades!$U$7,F60),1)*IF(Upgrades!$T$8="Magnetosphere",POWER(Upgrades!$U$8,G60),1)*IF(Upgrades!$T$10="Magnetosphere",POWER(Upgrades!$U$10,I60),1)*IF(Upgrades!$T$11="Magnetosphere",POWER(Upgrades!$U$11,J60),1)*IF(Upgrades!$T$12="Magnetosphere",POWER(Upgrades!$U$12,K60),1))+(IF(I60=0,0,(Upgrades!$G$10+I60*Upgrades!$H$10)*POWER(Upgrades!$I$10,I60)))*(IF(Upgrades!$T$6="Orbital Resonance",POWER(Upgrades!$U$6,E60),1)*IF(Upgrades!$T$7="Orbital Resonance",POWER(Upgrades!$U$7,F60),1)*IF(Upgrades!$T$8="Orbital Resonance",POWER(Upgrades!$U$8,G60),1)*IF(Upgrades!$T$9="Orbital Resonance",POWER(Upgrades!$U$9,H60),1)*IF(Upgrades!$T$11="Orbital Resonance",POWER(Upgrades!$U$11,J60),1)*IF(Upgrades!$T$12="Orbital Resonance",POWER(Upgrades!$U$12,K60),1))+(IF(J60=0,0,(Upgrades!$G$11+J60*Upgrades!$H$11)*POWER(Upgrades!$I$11,J60)))*(IF(Upgrades!$T$6="Heliopause",POWER(Upgrades!$U$6,E60),1)*IF(Upgrades!$T$7="Heliopause",POWER(Upgrades!$U$7,F60),1)*IF(Upgrades!$T$8="Heliopause",POWER(Upgrades!$U$8,G60),1)*IF(Upgrades!$T$9="Heliopause",POWER(Upgrades!$U$9,H60),1)*IF(Upgrades!$T$10="Heliopause",POWER(Upgrades!$U$10,I60),1)*IF(Upgrades!$T$12="Heliopause",POWER(Upgrades!$U$12,K60),1))+(IF(K60=0,0,(Upgrades!$G$12+K60*Upgrades!$H$12)*POWER(Upgrades!$I$12,K60)))*(IF(Upgrades!$T$6="First Photons",POWER(Upgrades!$U$6,E60),1)*IF(Upgrades!$T$7="First Photons",POWER(Upgrades!$U$7,F60),1)*IF(Upgrades!$T$8="First Photons",POWER(Upgrades!$U$8,G60),1)*IF(Upgrades!$T$9="First Photons",POWER(Upgrades!$U$9,H60),1)*IF(Upgrades!$T$10="First Photons",POWER(Upgrades!$U$10,I60),1)*IF(Upgrades!$T$11="First Photons",POWER(Upgrades!$U$11,J60),1)))*POWER(Upgrades!$P$6,E60)*POWER(Upgrades!$P$7,F60)*POWER(Upgrades!$P$8,G60)*POWER(Upgrades!$P$9,H60)*POWER(Upgrades!$P$10,I60)*POWER(Upgrades!$P$11,J60)*POWER(Upgrades!$P$12,K60)</f>
        <v/>
      </c>
      <c r="O60" s="28">
        <f>((IF(E60=0,0,(Upgrades!$M$6+E60*Upgrades!$N$6)*POWER(Upgrades!$O$6,E60)))*(IF(Upgrades!$T$7="Solar Wind",POWER(Upgrades!$U$7,F60),1)*IF(Upgrades!$T$8="Solar Wind",POWER(Upgrades!$U$8,G60),1)*IF(Upgrades!$T$9="Solar Wind",POWER(Upgrades!$U$9,H60),1)*IF(Upgrades!$T$10="Solar Wind",POWER(Upgrades!$U$10,I60),1)*IF(Upgrades!$T$11="Solar Wind",POWER(Upgrades!$U$11,J60),1)*IF(Upgrades!$T$12="Solar Wind",POWER(Upgrades!$U$12,K60),1))+(IF(F60=0,0,(Upgrades!$M$7+F60*Upgrades!$N$7)*POWER(Upgrades!$O$7,F60)))*(IF(Upgrades!$T$6="Asteroid Belt",POWER(Upgrades!$U$6,E60),1)*IF(Upgrades!$T$8="Asteroid Belt",POWER(Upgrades!$U$8,G60),1)*IF(Upgrades!$T$9="Asteroid Belt",POWER(Upgrades!$U$9,H60),1)*IF(Upgrades!$T$10="Asteroid Belt",POWER(Upgrades!$U$10,I60),1)*IF(Upgrades!$T$11="Asteroid Belt",POWER(Upgrades!$U$11,J60),1)*IF(Upgrades!$T$12="Asteroid Belt",POWER(Upgrades!$U$12,K60),1))+(IF(G60=0,0,(Upgrades!$M$8+G60*Upgrades!$N$8)*POWER(Upgrades!$O$8,G60)))*(IF(Upgrades!$T$6="Stellar Coupling",POWER(Upgrades!$U$6,E60),1)*IF(Upgrades!$T$7="Stellar Coupling",POWER(Upgrades!$U$7,F60),1)*IF(Upgrades!$T$9="Stellar Coupling",POWER(Upgrades!$U$9,H60),1)*IF(Upgrades!$T$10="Stellar Coupling",POWER(Upgrades!$U$10,I60),1)*IF(Upgrades!$T$11="Stellar Coupling",POWER(Upgrades!$U$11,J60),1)*IF(Upgrades!$T$12="Stellar Coupling",POWER(Upgrades!$U$12,K60),1))+(IF(H60=0,0,(Upgrades!$M$9+H60*Upgrades!$N$9)*POWER(Upgrades!$O$9,H60)))*(IF(Upgrades!$T$6="Magnetosphere",POWER(Upgrades!$U$6,E60),1)*IF(Upgrades!$T$7="Magnetosphere",POWER(Upgrades!$U$7,F60),1)*IF(Upgrades!$T$8="Magnetosphere",POWER(Upgrades!$U$8,G60),1)*IF(Upgrades!$T$10="Magnetosphere",POWER(Upgrades!$U$10,I60),1)*IF(Upgrades!$T$11="Magnetosphere",POWER(Upgrades!$U$11,J60),1)*IF(Upgrades!$T$12="Magnetosphere",POWER(Upgrades!$U$12,K60),1))+(IF(I60=0,0,(Upgrades!$M$10+I60*Upgrades!$N$10)*POWER(Upgrades!$O$10,I60)))*(IF(Upgrades!$T$6="Orbital Resonance",POWER(Upgrades!$U$6,E60),1)*IF(Upgrades!$T$7="Orbital Resonance",POWER(Upgrades!$U$7,F60),1)*IF(Upgrades!$T$8="Orbital Resonance",POWER(Upgrades!$U$8,G60),1)*IF(Upgrades!$T$9="Orbital Resonance",POWER(Upgrades!$U$9,H60),1)*IF(Upgrades!$T$11="Orbital Resonance",POWER(Upgrades!$U$11,J60),1)*IF(Upgrades!$T$12="Orbital Resonance",POWER(Upgrades!$U$12,K60),1))+(IF(J60=0,0,(Upgrades!$M$11+J60*Upgrades!$N$11)*POWER(Upgrades!$O$11,J60)))*(IF(Upgrades!$T$6="Heliopause",POWER(Upgrades!$U$6,E60),1)*IF(Upgrades!$T$7="Heliopause",POWER(Upgrades!$U$7,F60),1)*IF(Upgrades!$T$8="Heliopause",POWER(Upgrades!$U$8,G60),1)*IF(Upgrades!$T$9="Heliopause",POWER(Upgrades!$U$9,H60),1)*IF(Upgrades!$T$10="Heliopause",POWER(Upgrades!$U$10,I60),1)*IF(Upgrades!$T$12="Heliopause",POWER(Upgrades!$U$12,K60),1))+(IF(K60=0,0,(Upgrades!$M$12+K60*Upgrades!$N$12)*POWER(Upgrades!$O$12,K60)))*(IF(Upgrades!$T$6="First Photons",POWER(Upgrades!$U$6,E60),1)*IF(Upgrades!$T$7="First Photons",POWER(Upgrades!$U$7,F60),1)*IF(Upgrades!$T$8="First Photons",POWER(Upgrades!$U$8,G60),1)*IF(Upgrades!$T$9="First Photons",POWER(Upgrades!$U$9,H60),1)*IF(Upgrades!$T$10="First Photons",POWER(Upgrades!$U$10,I60),1)*IF(Upgrades!$T$11="First Photons",POWER(Upgrades!$U$11,J60),1)))*POWER(Upgrades!$R$6,E60)*POWER(Upgrades!$R$7,F60)*POWER(Upgrades!$R$8,G60)*POWER(Upgrades!$R$9,H60)*POWER(Upgrades!$R$10,I60)*POWER(Upgrades!$R$11,J60)*POWER(Upgrades!$R$12,K60)</f>
        <v/>
      </c>
      <c r="P60" s="27">
        <f>IF(L60=1,0,M60*Parameters!$B$10/60*Parameters!$B$11*10)</f>
        <v/>
      </c>
      <c r="Q60" s="27">
        <f>IF(L60=1,0,O60*M60*10)</f>
        <v/>
      </c>
      <c r="R60" s="27">
        <f>IF(L60=1,0,N60*10)</f>
        <v/>
      </c>
      <c r="S60" s="27">
        <f>P60+Q60+R60</f>
        <v/>
      </c>
      <c r="T60" s="22">
        <f>C60+S60</f>
        <v/>
      </c>
      <c r="U60" s="33">
        <f>AX60</f>
        <v/>
      </c>
      <c r="V60" s="22">
        <f>IF(U60="",0,IF(U60="transition",0,IF(U60="SW",AG60,IF(U60="AB",AH60,IF(U60="SC",AI60,IF(U60="Mag",AJ60,IF(U60="OR",AK60,IF(U60="HP",AL60,IF(U60="FP",AM60,0)))))))))</f>
        <v/>
      </c>
      <c r="W60" s="27">
        <f>IF(U60="OR",Upgrades!$F$10,IF(U60="HP",Upgrades!$F$11,IF(U60="transition",-Parameters!$B$18,0)))</f>
        <v/>
      </c>
      <c r="X60" s="22">
        <f>T60-V60</f>
        <v/>
      </c>
      <c r="Y60" s="30">
        <f>M60*Parameters!$B$10/60*Parameters!$B$11+O60*M60+N60</f>
        <v/>
      </c>
      <c r="Z60" s="34">
        <f>IF(U60="transition","→ Tier 2 (Stellar Neighborhood)",IF(U60="FP","First Photons — light begins, system quickens",IF(U60="HP","Heliopause acquired",IF(U60="OR","Orbital Resonance — passive multiplier active",IF(AND(AO60=1,L60=0,AN60&lt;&gt;1),"Cohesion ready (waiting on completionist upgrades)","")))))</f>
        <v/>
      </c>
      <c r="AA60" s="27">
        <f>(IF(E60=0,0,(Upgrades!$G$6+E60*Upgrades!$H$6)*POWER(Upgrades!$I$6,E60)))*(IF(Upgrades!$T$7="Solar Wind",POWER(Upgrades!$U$7,F60),1)*IF(Upgrades!$T$8="Solar Wind",POWER(Upgrades!$U$8,G60),1)*IF(Upgrades!$T$9="Solar Wind",POWER(Upgrades!$U$9,H60),1)*IF(Upgrades!$T$10="Solar Wind",POWER(Upgrades!$U$10,I60),1)*IF(Upgrades!$T$11="Solar Wind",POWER(Upgrades!$U$11,J60),1)*IF(Upgrades!$T$12="Solar Wind",POWER(Upgrades!$U$12,K60),1))*POWER(Upgrades!$P$6,E60)*POWER(Upgrades!$P$7,F60)*POWER(Upgrades!$P$8,G60)*POWER(Upgrades!$P$9,H60)*POWER(Upgrades!$P$10,I60)*POWER(Upgrades!$P$11,J60)*POWER(Upgrades!$P$12,K60)*60</f>
        <v/>
      </c>
      <c r="AB60" s="27">
        <f>(IF(F60=0,0,(Upgrades!$G$7+F60*Upgrades!$H$7)*POWER(Upgrades!$I$7,F60)))*(IF(Upgrades!$T$6="Asteroid Belt",POWER(Upgrades!$U$6,E60),1)*IF(Upgrades!$T$8="Asteroid Belt",POWER(Upgrades!$U$8,G60),1)*IF(Upgrades!$T$9="Asteroid Belt",POWER(Upgrades!$U$9,H60),1)*IF(Upgrades!$T$10="Asteroid Belt",POWER(Upgrades!$U$10,I60),1)*IF(Upgrades!$T$11="Asteroid Belt",POWER(Upgrades!$U$11,J60),1)*IF(Upgrades!$T$12="Asteroid Belt",POWER(Upgrades!$U$12,K60),1))*POWER(Upgrades!$P$6,E60)*POWER(Upgrades!$P$7,F60)*POWER(Upgrades!$P$8,G60)*POWER(Upgrades!$P$9,H60)*POWER(Upgrades!$P$10,I60)*POWER(Upgrades!$P$11,J60)*POWER(Upgrades!$P$12,K60)*60</f>
        <v/>
      </c>
      <c r="AC60" s="27">
        <f>(IF(G60=0,0,(Upgrades!$J$8+G60*Upgrades!$K$8)*POWER(Upgrades!$L$8,G60)))*(IF(Upgrades!$T$6="Stellar Coupling",POWER(Upgrades!$U$6,E60),1)*IF(Upgrades!$T$7="Stellar Coupling",POWER(Upgrades!$U$7,F60),1)*IF(Upgrades!$T$9="Stellar Coupling",POWER(Upgrades!$U$9,H60),1)*IF(Upgrades!$T$10="Stellar Coupling",POWER(Upgrades!$U$10,I60),1)*IF(Upgrades!$T$11="Stellar Coupling",POWER(Upgrades!$U$11,J60),1)*IF(Upgrades!$T$12="Stellar Coupling",POWER(Upgrades!$U$12,K60),1))*POWER(Upgrades!$Q$6,E60)*POWER(Upgrades!$Q$7,F60)*POWER(Upgrades!$Q$8,G60)*POWER(Upgrades!$Q$9,H60)*POWER(Upgrades!$Q$10,I60)*POWER(Upgrades!$Q$11,J60)*POWER(Upgrades!$Q$12,K60)*Parameters!$B$10*Parameters!$B$11</f>
        <v/>
      </c>
      <c r="AD60" s="27">
        <f>(IF(H60=0,0,(Upgrades!$G$9+H60*Upgrades!$H$9)*POWER(Upgrades!$I$9,H60)))*(IF(Upgrades!$T$6="Magnetosphere",POWER(Upgrades!$U$6,E60),1)*IF(Upgrades!$T$7="Magnetosphere",POWER(Upgrades!$U$7,F60),1)*IF(Upgrades!$T$8="Magnetosphere",POWER(Upgrades!$U$8,G60),1)*IF(Upgrades!$T$10="Magnetosphere",POWER(Upgrades!$U$10,I60),1)*IF(Upgrades!$T$11="Magnetosphere",POWER(Upgrades!$U$11,J60),1)*IF(Upgrades!$T$12="Magnetosphere",POWER(Upgrades!$U$12,K60),1))*POWER(Upgrades!$P$6,E60)*POWER(Upgrades!$P$7,F60)*POWER(Upgrades!$P$8,G60)*POWER(Upgrades!$P$9,H60)*POWER(Upgrades!$P$10,I60)*POWER(Upgrades!$P$11,J60)*POWER(Upgrades!$P$12,K60)*60</f>
        <v/>
      </c>
      <c r="AE60" s="27">
        <f>(IF(K60=0,0,(Upgrades!$G$12+K60*Upgrades!$H$12)*POWER(Upgrades!$I$12,K60)))*(IF(Upgrades!$T$6="First Photons",POWER(Upgrades!$U$6,E60),1)*IF(Upgrades!$T$7="First Photons",POWER(Upgrades!$U$7,F60),1)*IF(Upgrades!$T$8="First Photons",POWER(Upgrades!$U$8,G60),1)*IF(Upgrades!$T$9="First Photons",POWER(Upgrades!$U$9,H60),1)*IF(Upgrades!$T$10="First Photons",POWER(Upgrades!$U$10,I60),1)*IF(Upgrades!$T$11="First Photons",POWER(Upgrades!$U$11,J60),1))*POWER(Upgrades!$P$6,E60)*POWER(Upgrades!$P$7,F60)*POWER(Upgrades!$P$8,G60)*POWER(Upgrades!$P$9,H60)*POWER(Upgrades!$P$10,I60)*POWER(Upgrades!$P$11,J60)*POWER(Upgrades!$P$12,K60)*60</f>
        <v/>
      </c>
      <c r="AF60" s="27">
        <f>Parameters!$B$9*POWER(Upgrades!$Q$6,E60)*POWER(Upgrades!$Q$7,F60)*POWER(Upgrades!$Q$8,G60)*POWER(Upgrades!$Q$9,H60)*POWER(Upgrades!$Q$10,I60)*POWER(Upgrades!$Q$11,J60)*POWER(Upgrades!$Q$12,K60)*(Parameters!$B$10*Parameters!$B$11+O60*60)</f>
        <v/>
      </c>
      <c r="AG60" s="22">
        <f>IF(E60&gt;=Upgrades!$E$6,"",Upgrades!$C$6*POWER(Upgrades!$D$6,E60))</f>
        <v/>
      </c>
      <c r="AH60" s="22">
        <f>IF(F60&gt;=Upgrades!$E$7,"",Upgrades!$C$7*POWER(Upgrades!$D$7,F60))</f>
        <v/>
      </c>
      <c r="AI60" s="22">
        <f>IF(G60&gt;=Upgrades!$E$8,"",Upgrades!$C$8*POWER(Upgrades!$D$8,G60))</f>
        <v/>
      </c>
      <c r="AJ60" s="22">
        <f>IF(H60&gt;=Upgrades!$E$9,"",Upgrades!$C$9*POWER(Upgrades!$D$9,H60))</f>
        <v/>
      </c>
      <c r="AK60" s="22">
        <f>IF(I60&gt;=Upgrades!$E$10,"",Upgrades!$C$10*POWER(Upgrades!$D$10,I60))</f>
        <v/>
      </c>
      <c r="AL60" s="22">
        <f>IF(J60&gt;=Upgrades!$E$11,"",Upgrades!$C$11*POWER(Upgrades!$D$11,J60))</f>
        <v/>
      </c>
      <c r="AM60" s="22">
        <f>IF(K60&gt;=Upgrades!$E$12,"",Upgrades!$C$12*POWER(Upgrades!$D$12,K60))</f>
        <v/>
      </c>
      <c r="AN60" s="26">
        <f>IF(AND(D60&gt;=Parameters!$B$18,(H60&gt;=Upgrades!$E$9)*(K60&gt;=Upgrades!$E$12)=1,L60=0),1,"")</f>
        <v/>
      </c>
      <c r="AO60" s="26">
        <f>IF(AND(D60&gt;=Parameters!$B$18,L60=0),1,"")</f>
        <v/>
      </c>
      <c r="AP60" s="22">
        <f>MIN(IF(ISNUMBER(AK60),AK60,9E15),IF(ISNUMBER(AL60),AL60,9E15),IF(ISNUMBER(AM60),AM60,9E15))</f>
        <v/>
      </c>
      <c r="AQ60" s="22">
        <f>MIN(IF(ISNUMBER(AG60),AG60,9E15),IF(ISNUMBER(AH60),AH60,9E15),IF(ISNUMBER(AI60),AI60,9E15),IF(ISNUMBER(AJ60),AJ60,9E15))</f>
        <v/>
      </c>
      <c r="AR60" s="29">
        <f>IF(AW60&gt;Parameters!$B$21*(MAX(IF(AND(NOT(AND(AO60=1,AN60&lt;&gt;1)),ISNUMBER(AG60),AG60&lt;=T60),AS60,0),IF(AND(NOT(AND(AO60=1,AN60&lt;&gt;1)),ISNUMBER(AH60),AH60&lt;=T60),AT60,0),IF(AND(NOT(AND(AO60=1,AN60&lt;&gt;1)),ISNUMBER(AI60),AI60&lt;=T60),AU60,0),IF(AND(ISNUMBER(AJ60),AJ60&lt;=T60),AV60,0))),TRUE,FALSE)</f>
        <v/>
      </c>
      <c r="AS60" s="32">
        <f>IFERROR(Upgrades!$H$6*(POWER(Upgrades!$P$6,E60)*POWER(Upgrades!$P$7,F60)*POWER(Upgrades!$P$8,G60)*POWER(Upgrades!$P$9,H60)*POWER(Upgrades!$P$10,I60)*POWER(Upgrades!$P$11,J60)*POWER(Upgrades!$P$12,K60))*(IF(Upgrades!$T$7="Solar Wind",POWER(Upgrades!$U$7,F60),1)*IF(Upgrades!$T$8="Solar Wind",POWER(Upgrades!$U$8,G60),1)*IF(Upgrades!$T$9="Solar Wind",POWER(Upgrades!$U$9,H60),1)*IF(Upgrades!$T$10="Solar Wind",POWER(Upgrades!$U$10,I60),1)*IF(Upgrades!$T$11="Solar Wind",POWER(Upgrades!$U$11,J60),1)*IF(Upgrades!$T$12="Solar Wind",POWER(Upgrades!$U$12,K60),1))/AG60,0)</f>
        <v/>
      </c>
      <c r="AT60" s="32">
        <f>IFERROR(Upgrades!$H$7*(POWER(Upgrades!$P$6,E60)*POWER(Upgrades!$P$7,F60)*POWER(Upgrades!$P$8,G60)*POWER(Upgrades!$P$9,H60)*POWER(Upgrades!$P$10,I60)*POWER(Upgrades!$P$11,J60)*POWER(Upgrades!$P$12,K60))*(IF(Upgrades!$T$6="Asteroid Belt",POWER(Upgrades!$U$6,E60),1)*IF(Upgrades!$T$8="Asteroid Belt",POWER(Upgrades!$U$8,G60),1)*IF(Upgrades!$T$9="Asteroid Belt",POWER(Upgrades!$U$9,H60),1)*IF(Upgrades!$T$10="Asteroid Belt",POWER(Upgrades!$U$10,I60),1)*IF(Upgrades!$T$11="Asteroid Belt",POWER(Upgrades!$U$11,J60),1)*IF(Upgrades!$T$12="Asteroid Belt",POWER(Upgrades!$U$12,K60),1))/AH60,0)</f>
        <v/>
      </c>
      <c r="AU60" s="32">
        <f>IFERROR(Upgrades!$K$8*(POWER(Upgrades!$Q$6,E60)*POWER(Upgrades!$Q$7,F60)*POWER(Upgrades!$Q$8,G60)*POWER(Upgrades!$Q$9,H60)*POWER(Upgrades!$Q$10,I60)*POWER(Upgrades!$Q$11,J60)*POWER(Upgrades!$Q$12,K60))*(IF(Upgrades!$T$6="Stellar Coupling",POWER(Upgrades!$U$6,E60),1)*IF(Upgrades!$T$7="Stellar Coupling",POWER(Upgrades!$U$7,F60),1)*IF(Upgrades!$T$9="Stellar Coupling",POWER(Upgrades!$U$9,H60),1)*IF(Upgrades!$T$10="Stellar Coupling",POWER(Upgrades!$U$10,I60),1)*IF(Upgrades!$T$11="Stellar Coupling",POWER(Upgrades!$U$11,J60),1)*IF(Upgrades!$T$12="Stellar Coupling",POWER(Upgrades!$U$12,K60),1))*Parameters!$B$10*Parameters!$B$11/60/AI60,0)</f>
        <v/>
      </c>
      <c r="AV60" s="32">
        <f>IFERROR(Upgrades!$H$9*(POWER(Upgrades!$P$6,E60)*POWER(Upgrades!$P$7,F60)*POWER(Upgrades!$P$8,G60)*POWER(Upgrades!$P$9,H60)*POWER(Upgrades!$P$10,I60)*POWER(Upgrades!$P$11,J60)*POWER(Upgrades!$P$12,K60))*(IF(Upgrades!$T$6="Magnetosphere",POWER(Upgrades!$U$6,E60),1)*IF(Upgrades!$T$7="Magnetosphere",POWER(Upgrades!$U$7,F60),1)*IF(Upgrades!$T$8="Magnetosphere",POWER(Upgrades!$U$8,G60),1)*IF(Upgrades!$T$10="Magnetosphere",POWER(Upgrades!$U$10,I60),1)*IF(Upgrades!$T$11="Magnetosphere",POWER(Upgrades!$U$11,J60),1)*IF(Upgrades!$T$12="Magnetosphere",POWER(Upgrades!$U$12,K60),1))/AJ60,0)</f>
        <v/>
      </c>
      <c r="AW60" s="32">
        <f>MAX(IF(I60&gt;0,0,IFERROR(0.25*N60/Upgrades!$C$10,0)),IF(J60&gt;0,0,IFERROR(0.5*((IF(G60=0,0,(Upgrades!$J$8+G60*Upgrades!$K$8)*POWER(Upgrades!$L$8,G60)))*(IF(Upgrades!$T$6="Stellar Coupling",POWER(Upgrades!$U$6,E60),1)*IF(Upgrades!$T$7="Stellar Coupling",POWER(Upgrades!$U$7,F60),1)*IF(Upgrades!$T$9="Stellar Coupling",POWER(Upgrades!$U$9,H60),1)*IF(Upgrades!$T$10="Stellar Coupling",POWER(Upgrades!$U$10,I60),1)*IF(Upgrades!$T$11="Stellar Coupling",POWER(Upgrades!$U$11,J60),1)*IF(Upgrades!$T$12="Stellar Coupling",POWER(Upgrades!$U$12,K60),1))*(POWER(Upgrades!$Q$6,E60)*POWER(Upgrades!$Q$7,F60)*POWER(Upgrades!$Q$8,G60)*POWER(Upgrades!$Q$9,H60)*POWER(Upgrades!$Q$10,I60)*POWER(Upgrades!$Q$11,J60)*POWER(Upgrades!$Q$12,K60))*Parameters!$B$10*Parameters!$B$11/60)/Upgrades!$C$11,0)),IF(K60&gt;0,0,IFERROR((1.0*(POWER(Upgrades!$P$6,E60)*POWER(Upgrades!$P$7,F60)*POWER(Upgrades!$P$8,G60)*POWER(Upgrades!$P$9,H60)*POWER(Upgrades!$P$10,I60)*POWER(Upgrades!$P$11,J60)*POWER(Upgrades!$P$12,K60))+0.20*M60*Parameters!$B$10*Parameters!$B$11/60)/Upgrades!$C$12,0)),IF(AND(ISNUMBER(AG60),AG60&gt;T60),AS60,0),IF(AND(ISNUMBER(AH60),AH60&gt;T60),AT60,0),IF(AND(ISNUMBER(AI60),AI60&gt;T60),AU60,0),IF(AND(ISNUMBER(AJ60),AJ60&gt;T60),AV60,0))</f>
        <v/>
      </c>
      <c r="AX60" s="29">
        <f>IF(AN60=1,"transition",IF(MIN(IF(AND(I60=0,ISNUMBER(AK60),AK60&lt;=T60),AK60,9E15),IF(AND(J60=0,ISNUMBER(AL60),AL60&lt;=T60),AL60,9E15),IF(AND(K60=0,ISNUMBER(AM60),AM60&lt;=T60),AM60,9E15))&lt;9E15,IF(AND(AND(I60=0,ISNUMBER(AK60),AK60&lt;=T60),AK60=MIN(IF(AND(I60=0,ISNUMBER(AK60),AK60&lt;=T60),AK60,9E15),IF(AND(J60=0,ISNUMBER(AL60),AL60&lt;=T60),AL60,9E15),IF(AND(K60=0,ISNUMBER(AM60),AM60&lt;=T60),AM60,9E15))),"OR",IF(AND(AND(J60=0,ISNUMBER(AL60),AL60&lt;=T60),AL60=MIN(IF(AND(I60=0,ISNUMBER(AK60),AK60&lt;=T60),AK60,9E15),IF(AND(J60=0,ISNUMBER(AL60),AL60&lt;=T60),AL60,9E15),IF(AND(K60=0,ISNUMBER(AM60),AM60&lt;=T60),AM60,9E15))),"HP","FP")),IF(AR60=TRUE,"",IF(MAX(IF(AND(NOT(AND(AO60=1,AN60&lt;&gt;1)),ISNUMBER(AG60),AG60&lt;=T60),AS60,0),IF(AND(NOT(AND(AO60=1,AN60&lt;&gt;1)),ISNUMBER(AH60),AH60&lt;=T60),AT60,0),IF(AND(NOT(AND(AO60=1,AN60&lt;&gt;1)),ISNUMBER(AI60),AI60&lt;=T60),AU60,0),IF(AND(ISNUMBER(AJ60),AJ60&lt;=T60),AV60,0))&lt;=0,"",IF(AND(IF(AND(NOT(AND(AO60=1,AN60&lt;&gt;1)),ISNUMBER(AG60),AG60&lt;=T60),AS60,0)&gt;0,IF(AND(NOT(AND(AO60=1,AN60&lt;&gt;1)),ISNUMBER(AG60),AG60&lt;=T60),AS60,0)=MAX(IF(AND(NOT(AND(AO60=1,AN60&lt;&gt;1)),ISNUMBER(AG60),AG60&lt;=T60),AS60,0),IF(AND(NOT(AND(AO60=1,AN60&lt;&gt;1)),ISNUMBER(AH60),AH60&lt;=T60),AT60,0),IF(AND(NOT(AND(AO60=1,AN60&lt;&gt;1)),ISNUMBER(AI60),AI60&lt;=T60),AU60,0),IF(AND(ISNUMBER(AJ60),AJ60&lt;=T60),AV60,0))),"SW",IF(AND(IF(AND(NOT(AND(AO60=1,AN60&lt;&gt;1)),ISNUMBER(AH60),AH60&lt;=T60),AT60,0)&gt;0,IF(AND(NOT(AND(AO60=1,AN60&lt;&gt;1)),ISNUMBER(AH60),AH60&lt;=T60),AT60,0)=MAX(IF(AND(NOT(AND(AO60=1,AN60&lt;&gt;1)),ISNUMBER(AG60),AG60&lt;=T60),AS60,0),IF(AND(NOT(AND(AO60=1,AN60&lt;&gt;1)),ISNUMBER(AH60),AH60&lt;=T60),AT60,0),IF(AND(NOT(AND(AO60=1,AN60&lt;&gt;1)),ISNUMBER(AI60),AI60&lt;=T60),AU60,0),IF(AND(ISNUMBER(AJ60),AJ60&lt;=T60),AV60,0))),"AB",IF(AND(IF(AND(NOT(AND(AO60=1,AN60&lt;&gt;1)),ISNUMBER(AI60),AI60&lt;=T60),AU60,0)&gt;0,IF(AND(NOT(AND(AO60=1,AN60&lt;&gt;1)),ISNUMBER(AI60),AI60&lt;=T60),AU60,0)=MAX(IF(AND(NOT(AND(AO60=1,AN60&lt;&gt;1)),ISNUMBER(AG60),AG60&lt;=T60),AS60,0),IF(AND(NOT(AND(AO60=1,AN60&lt;&gt;1)),ISNUMBER(AH60),AH60&lt;=T60),AT60,0),IF(AND(NOT(AND(AO60=1,AN60&lt;&gt;1)),ISNUMBER(AI60),AI60&lt;=T60),AU60,0),IF(AND(ISNUMBER(AJ60),AJ60&lt;=T60),AV60,0))),"SC","Mag")))))))</f>
        <v/>
      </c>
    </row>
    <row r="61">
      <c r="A61" s="26" t="n">
        <v>56</v>
      </c>
      <c r="B61" s="27">
        <f>A61*10/60</f>
        <v/>
      </c>
      <c r="C61" s="22">
        <f>X60</f>
        <v/>
      </c>
      <c r="D61" s="27">
        <f>D60+W60</f>
        <v/>
      </c>
      <c r="E61" s="26">
        <f>E60+IF(U60="SW",1,0)</f>
        <v/>
      </c>
      <c r="F61" s="26">
        <f>F60+IF(U60="AB",1,0)</f>
        <v/>
      </c>
      <c r="G61" s="26">
        <f>G60+IF(U60="SC",1,0)</f>
        <v/>
      </c>
      <c r="H61" s="26">
        <f>H60+IF(U60="Mag",1,0)</f>
        <v/>
      </c>
      <c r="I61" s="26">
        <f>MAX(I60,IF(U60="OR",1,0))</f>
        <v/>
      </c>
      <c r="J61" s="26">
        <f>MAX(J60,IF(U60="HP",1,0))</f>
        <v/>
      </c>
      <c r="K61" s="26">
        <f>MAX(K60,IF(U60="FP",1,0))</f>
        <v/>
      </c>
      <c r="L61" s="26">
        <f>MAX(L60,IF(U60="transition",1,0))</f>
        <v/>
      </c>
      <c r="M61" s="28">
        <f>(Parameters!$B$9+(IF(E61=0,0,(Upgrades!$J$6+E61*Upgrades!$K$6)*POWER(Upgrades!$L$6,E61)))*(IF(Upgrades!$T$7="Solar Wind",POWER(Upgrades!$U$7,F61),1)*IF(Upgrades!$T$8="Solar Wind",POWER(Upgrades!$U$8,G61),1)*IF(Upgrades!$T$9="Solar Wind",POWER(Upgrades!$U$9,H61),1)*IF(Upgrades!$T$10="Solar Wind",POWER(Upgrades!$U$10,I61),1)*IF(Upgrades!$T$11="Solar Wind",POWER(Upgrades!$U$11,J61),1)*IF(Upgrades!$T$12="Solar Wind",POWER(Upgrades!$U$12,K61),1))+(IF(F61=0,0,(Upgrades!$J$7+F61*Upgrades!$K$7)*POWER(Upgrades!$L$7,F61)))*(IF(Upgrades!$T$6="Asteroid Belt",POWER(Upgrades!$U$6,E61),1)*IF(Upgrades!$T$8="Asteroid Belt",POWER(Upgrades!$U$8,G61),1)*IF(Upgrades!$T$9="Asteroid Belt",POWER(Upgrades!$U$9,H61),1)*IF(Upgrades!$T$10="Asteroid Belt",POWER(Upgrades!$U$10,I61),1)*IF(Upgrades!$T$11="Asteroid Belt",POWER(Upgrades!$U$11,J61),1)*IF(Upgrades!$T$12="Asteroid Belt",POWER(Upgrades!$U$12,K61),1))+(IF(G61=0,0,(Upgrades!$J$8+G61*Upgrades!$K$8)*POWER(Upgrades!$L$8,G61)))*(IF(Upgrades!$T$6="Stellar Coupling",POWER(Upgrades!$U$6,E61),1)*IF(Upgrades!$T$7="Stellar Coupling",POWER(Upgrades!$U$7,F61),1)*IF(Upgrades!$T$9="Stellar Coupling",POWER(Upgrades!$U$9,H61),1)*IF(Upgrades!$T$10="Stellar Coupling",POWER(Upgrades!$U$10,I61),1)*IF(Upgrades!$T$11="Stellar Coupling",POWER(Upgrades!$U$11,J61),1)*IF(Upgrades!$T$12="Stellar Coupling",POWER(Upgrades!$U$12,K61),1))+(IF(H61=0,0,(Upgrades!$J$9+H61*Upgrades!$K$9)*POWER(Upgrades!$L$9,H61)))*(IF(Upgrades!$T$6="Magnetosphere",POWER(Upgrades!$U$6,E61),1)*IF(Upgrades!$T$7="Magnetosphere",POWER(Upgrades!$U$7,F61),1)*IF(Upgrades!$T$8="Magnetosphere",POWER(Upgrades!$U$8,G61),1)*IF(Upgrades!$T$10="Magnetosphere",POWER(Upgrades!$U$10,I61),1)*IF(Upgrades!$T$11="Magnetosphere",POWER(Upgrades!$U$11,J61),1)*IF(Upgrades!$T$12="Magnetosphere",POWER(Upgrades!$U$12,K61),1))+(IF(I61=0,0,(Upgrades!$J$10+I61*Upgrades!$K$10)*POWER(Upgrades!$L$10,I61)))*(IF(Upgrades!$T$6="Orbital Resonance",POWER(Upgrades!$U$6,E61),1)*IF(Upgrades!$T$7="Orbital Resonance",POWER(Upgrades!$U$7,F61),1)*IF(Upgrades!$T$8="Orbital Resonance",POWER(Upgrades!$U$8,G61),1)*IF(Upgrades!$T$9="Orbital Resonance",POWER(Upgrades!$U$9,H61),1)*IF(Upgrades!$T$11="Orbital Resonance",POWER(Upgrades!$U$11,J61),1)*IF(Upgrades!$T$12="Orbital Resonance",POWER(Upgrades!$U$12,K61),1))+(IF(J61=0,0,(Upgrades!$J$11+J61*Upgrades!$K$11)*POWER(Upgrades!$L$11,J61)))*(IF(Upgrades!$T$6="Heliopause",POWER(Upgrades!$U$6,E61),1)*IF(Upgrades!$T$7="Heliopause",POWER(Upgrades!$U$7,F61),1)*IF(Upgrades!$T$8="Heliopause",POWER(Upgrades!$U$8,G61),1)*IF(Upgrades!$T$9="Heliopause",POWER(Upgrades!$U$9,H61),1)*IF(Upgrades!$T$10="Heliopause",POWER(Upgrades!$U$10,I61),1)*IF(Upgrades!$T$12="Heliopause",POWER(Upgrades!$U$12,K61),1))+(IF(K61=0,0,(Upgrades!$J$12+K61*Upgrades!$K$12)*POWER(Upgrades!$L$12,K61)))*(IF(Upgrades!$T$6="First Photons",POWER(Upgrades!$U$6,E61),1)*IF(Upgrades!$T$7="First Photons",POWER(Upgrades!$U$7,F61),1)*IF(Upgrades!$T$8="First Photons",POWER(Upgrades!$U$8,G61),1)*IF(Upgrades!$T$9="First Photons",POWER(Upgrades!$U$9,H61),1)*IF(Upgrades!$T$10="First Photons",POWER(Upgrades!$U$10,I61),1)*IF(Upgrades!$T$11="First Photons",POWER(Upgrades!$U$11,J61),1)))*POWER(Upgrades!$Q$6,E61)*POWER(Upgrades!$Q$7,F61)*POWER(Upgrades!$Q$8,G61)*POWER(Upgrades!$Q$9,H61)*POWER(Upgrades!$Q$10,I61)*POWER(Upgrades!$Q$11,J61)*POWER(Upgrades!$Q$12,K61)</f>
        <v/>
      </c>
      <c r="N61" s="28">
        <f>((IF(E61=0,0,(Upgrades!$G$6+E61*Upgrades!$H$6)*POWER(Upgrades!$I$6,E61)))*(IF(Upgrades!$T$7="Solar Wind",POWER(Upgrades!$U$7,F61),1)*IF(Upgrades!$T$8="Solar Wind",POWER(Upgrades!$U$8,G61),1)*IF(Upgrades!$T$9="Solar Wind",POWER(Upgrades!$U$9,H61),1)*IF(Upgrades!$T$10="Solar Wind",POWER(Upgrades!$U$10,I61),1)*IF(Upgrades!$T$11="Solar Wind",POWER(Upgrades!$U$11,J61),1)*IF(Upgrades!$T$12="Solar Wind",POWER(Upgrades!$U$12,K61),1))+(IF(F61=0,0,(Upgrades!$G$7+F61*Upgrades!$H$7)*POWER(Upgrades!$I$7,F61)))*(IF(Upgrades!$T$6="Asteroid Belt",POWER(Upgrades!$U$6,E61),1)*IF(Upgrades!$T$8="Asteroid Belt",POWER(Upgrades!$U$8,G61),1)*IF(Upgrades!$T$9="Asteroid Belt",POWER(Upgrades!$U$9,H61),1)*IF(Upgrades!$T$10="Asteroid Belt",POWER(Upgrades!$U$10,I61),1)*IF(Upgrades!$T$11="Asteroid Belt",POWER(Upgrades!$U$11,J61),1)*IF(Upgrades!$T$12="Asteroid Belt",POWER(Upgrades!$U$12,K61),1))+(IF(G61=0,0,(Upgrades!$G$8+G61*Upgrades!$H$8)*POWER(Upgrades!$I$8,G61)))*(IF(Upgrades!$T$6="Stellar Coupling",POWER(Upgrades!$U$6,E61),1)*IF(Upgrades!$T$7="Stellar Coupling",POWER(Upgrades!$U$7,F61),1)*IF(Upgrades!$T$9="Stellar Coupling",POWER(Upgrades!$U$9,H61),1)*IF(Upgrades!$T$10="Stellar Coupling",POWER(Upgrades!$U$10,I61),1)*IF(Upgrades!$T$11="Stellar Coupling",POWER(Upgrades!$U$11,J61),1)*IF(Upgrades!$T$12="Stellar Coupling",POWER(Upgrades!$U$12,K61),1))+(IF(H61=0,0,(Upgrades!$G$9+H61*Upgrades!$H$9)*POWER(Upgrades!$I$9,H61)))*(IF(Upgrades!$T$6="Magnetosphere",POWER(Upgrades!$U$6,E61),1)*IF(Upgrades!$T$7="Magnetosphere",POWER(Upgrades!$U$7,F61),1)*IF(Upgrades!$T$8="Magnetosphere",POWER(Upgrades!$U$8,G61),1)*IF(Upgrades!$T$10="Magnetosphere",POWER(Upgrades!$U$10,I61),1)*IF(Upgrades!$T$11="Magnetosphere",POWER(Upgrades!$U$11,J61),1)*IF(Upgrades!$T$12="Magnetosphere",POWER(Upgrades!$U$12,K61),1))+(IF(I61=0,0,(Upgrades!$G$10+I61*Upgrades!$H$10)*POWER(Upgrades!$I$10,I61)))*(IF(Upgrades!$T$6="Orbital Resonance",POWER(Upgrades!$U$6,E61),1)*IF(Upgrades!$T$7="Orbital Resonance",POWER(Upgrades!$U$7,F61),1)*IF(Upgrades!$T$8="Orbital Resonance",POWER(Upgrades!$U$8,G61),1)*IF(Upgrades!$T$9="Orbital Resonance",POWER(Upgrades!$U$9,H61),1)*IF(Upgrades!$T$11="Orbital Resonance",POWER(Upgrades!$U$11,J61),1)*IF(Upgrades!$T$12="Orbital Resonance",POWER(Upgrades!$U$12,K61),1))+(IF(J61=0,0,(Upgrades!$G$11+J61*Upgrades!$H$11)*POWER(Upgrades!$I$11,J61)))*(IF(Upgrades!$T$6="Heliopause",POWER(Upgrades!$U$6,E61),1)*IF(Upgrades!$T$7="Heliopause",POWER(Upgrades!$U$7,F61),1)*IF(Upgrades!$T$8="Heliopause",POWER(Upgrades!$U$8,G61),1)*IF(Upgrades!$T$9="Heliopause",POWER(Upgrades!$U$9,H61),1)*IF(Upgrades!$T$10="Heliopause",POWER(Upgrades!$U$10,I61),1)*IF(Upgrades!$T$12="Heliopause",POWER(Upgrades!$U$12,K61),1))+(IF(K61=0,0,(Upgrades!$G$12+K61*Upgrades!$H$12)*POWER(Upgrades!$I$12,K61)))*(IF(Upgrades!$T$6="First Photons",POWER(Upgrades!$U$6,E61),1)*IF(Upgrades!$T$7="First Photons",POWER(Upgrades!$U$7,F61),1)*IF(Upgrades!$T$8="First Photons",POWER(Upgrades!$U$8,G61),1)*IF(Upgrades!$T$9="First Photons",POWER(Upgrades!$U$9,H61),1)*IF(Upgrades!$T$10="First Photons",POWER(Upgrades!$U$10,I61),1)*IF(Upgrades!$T$11="First Photons",POWER(Upgrades!$U$11,J61),1)))*POWER(Upgrades!$P$6,E61)*POWER(Upgrades!$P$7,F61)*POWER(Upgrades!$P$8,G61)*POWER(Upgrades!$P$9,H61)*POWER(Upgrades!$P$10,I61)*POWER(Upgrades!$P$11,J61)*POWER(Upgrades!$P$12,K61)</f>
        <v/>
      </c>
      <c r="O61" s="28">
        <f>((IF(E61=0,0,(Upgrades!$M$6+E61*Upgrades!$N$6)*POWER(Upgrades!$O$6,E61)))*(IF(Upgrades!$T$7="Solar Wind",POWER(Upgrades!$U$7,F61),1)*IF(Upgrades!$T$8="Solar Wind",POWER(Upgrades!$U$8,G61),1)*IF(Upgrades!$T$9="Solar Wind",POWER(Upgrades!$U$9,H61),1)*IF(Upgrades!$T$10="Solar Wind",POWER(Upgrades!$U$10,I61),1)*IF(Upgrades!$T$11="Solar Wind",POWER(Upgrades!$U$11,J61),1)*IF(Upgrades!$T$12="Solar Wind",POWER(Upgrades!$U$12,K61),1))+(IF(F61=0,0,(Upgrades!$M$7+F61*Upgrades!$N$7)*POWER(Upgrades!$O$7,F61)))*(IF(Upgrades!$T$6="Asteroid Belt",POWER(Upgrades!$U$6,E61),1)*IF(Upgrades!$T$8="Asteroid Belt",POWER(Upgrades!$U$8,G61),1)*IF(Upgrades!$T$9="Asteroid Belt",POWER(Upgrades!$U$9,H61),1)*IF(Upgrades!$T$10="Asteroid Belt",POWER(Upgrades!$U$10,I61),1)*IF(Upgrades!$T$11="Asteroid Belt",POWER(Upgrades!$U$11,J61),1)*IF(Upgrades!$T$12="Asteroid Belt",POWER(Upgrades!$U$12,K61),1))+(IF(G61=0,0,(Upgrades!$M$8+G61*Upgrades!$N$8)*POWER(Upgrades!$O$8,G61)))*(IF(Upgrades!$T$6="Stellar Coupling",POWER(Upgrades!$U$6,E61),1)*IF(Upgrades!$T$7="Stellar Coupling",POWER(Upgrades!$U$7,F61),1)*IF(Upgrades!$T$9="Stellar Coupling",POWER(Upgrades!$U$9,H61),1)*IF(Upgrades!$T$10="Stellar Coupling",POWER(Upgrades!$U$10,I61),1)*IF(Upgrades!$T$11="Stellar Coupling",POWER(Upgrades!$U$11,J61),1)*IF(Upgrades!$T$12="Stellar Coupling",POWER(Upgrades!$U$12,K61),1))+(IF(H61=0,0,(Upgrades!$M$9+H61*Upgrades!$N$9)*POWER(Upgrades!$O$9,H61)))*(IF(Upgrades!$T$6="Magnetosphere",POWER(Upgrades!$U$6,E61),1)*IF(Upgrades!$T$7="Magnetosphere",POWER(Upgrades!$U$7,F61),1)*IF(Upgrades!$T$8="Magnetosphere",POWER(Upgrades!$U$8,G61),1)*IF(Upgrades!$T$10="Magnetosphere",POWER(Upgrades!$U$10,I61),1)*IF(Upgrades!$T$11="Magnetosphere",POWER(Upgrades!$U$11,J61),1)*IF(Upgrades!$T$12="Magnetosphere",POWER(Upgrades!$U$12,K61),1))+(IF(I61=0,0,(Upgrades!$M$10+I61*Upgrades!$N$10)*POWER(Upgrades!$O$10,I61)))*(IF(Upgrades!$T$6="Orbital Resonance",POWER(Upgrades!$U$6,E61),1)*IF(Upgrades!$T$7="Orbital Resonance",POWER(Upgrades!$U$7,F61),1)*IF(Upgrades!$T$8="Orbital Resonance",POWER(Upgrades!$U$8,G61),1)*IF(Upgrades!$T$9="Orbital Resonance",POWER(Upgrades!$U$9,H61),1)*IF(Upgrades!$T$11="Orbital Resonance",POWER(Upgrades!$U$11,J61),1)*IF(Upgrades!$T$12="Orbital Resonance",POWER(Upgrades!$U$12,K61),1))+(IF(J61=0,0,(Upgrades!$M$11+J61*Upgrades!$N$11)*POWER(Upgrades!$O$11,J61)))*(IF(Upgrades!$T$6="Heliopause",POWER(Upgrades!$U$6,E61),1)*IF(Upgrades!$T$7="Heliopause",POWER(Upgrades!$U$7,F61),1)*IF(Upgrades!$T$8="Heliopause",POWER(Upgrades!$U$8,G61),1)*IF(Upgrades!$T$9="Heliopause",POWER(Upgrades!$U$9,H61),1)*IF(Upgrades!$T$10="Heliopause",POWER(Upgrades!$U$10,I61),1)*IF(Upgrades!$T$12="Heliopause",POWER(Upgrades!$U$12,K61),1))+(IF(K61=0,0,(Upgrades!$M$12+K61*Upgrades!$N$12)*POWER(Upgrades!$O$12,K61)))*(IF(Upgrades!$T$6="First Photons",POWER(Upgrades!$U$6,E61),1)*IF(Upgrades!$T$7="First Photons",POWER(Upgrades!$U$7,F61),1)*IF(Upgrades!$T$8="First Photons",POWER(Upgrades!$U$8,G61),1)*IF(Upgrades!$T$9="First Photons",POWER(Upgrades!$U$9,H61),1)*IF(Upgrades!$T$10="First Photons",POWER(Upgrades!$U$10,I61),1)*IF(Upgrades!$T$11="First Photons",POWER(Upgrades!$U$11,J61),1)))*POWER(Upgrades!$R$6,E61)*POWER(Upgrades!$R$7,F61)*POWER(Upgrades!$R$8,G61)*POWER(Upgrades!$R$9,H61)*POWER(Upgrades!$R$10,I61)*POWER(Upgrades!$R$11,J61)*POWER(Upgrades!$R$12,K61)</f>
        <v/>
      </c>
      <c r="P61" s="27">
        <f>IF(L61=1,0,M61*Parameters!$B$10/60*Parameters!$B$11*10)</f>
        <v/>
      </c>
      <c r="Q61" s="27">
        <f>IF(L61=1,0,O61*M61*10)</f>
        <v/>
      </c>
      <c r="R61" s="27">
        <f>IF(L61=1,0,N61*10)</f>
        <v/>
      </c>
      <c r="S61" s="27">
        <f>P61+Q61+R61</f>
        <v/>
      </c>
      <c r="T61" s="22">
        <f>C61+S61</f>
        <v/>
      </c>
      <c r="U61" s="33">
        <f>AX61</f>
        <v/>
      </c>
      <c r="V61" s="22">
        <f>IF(U61="",0,IF(U61="transition",0,IF(U61="SW",AG61,IF(U61="AB",AH61,IF(U61="SC",AI61,IF(U61="Mag",AJ61,IF(U61="OR",AK61,IF(U61="HP",AL61,IF(U61="FP",AM61,0)))))))))</f>
        <v/>
      </c>
      <c r="W61" s="27">
        <f>IF(U61="OR",Upgrades!$F$10,IF(U61="HP",Upgrades!$F$11,IF(U61="transition",-Parameters!$B$18,0)))</f>
        <v/>
      </c>
      <c r="X61" s="22">
        <f>T61-V61</f>
        <v/>
      </c>
      <c r="Y61" s="30">
        <f>M61*Parameters!$B$10/60*Parameters!$B$11+O61*M61+N61</f>
        <v/>
      </c>
      <c r="Z61" s="34">
        <f>IF(U61="transition","→ Tier 2 (Stellar Neighborhood)",IF(U61="FP","First Photons — light begins, system quickens",IF(U61="HP","Heliopause acquired",IF(U61="OR","Orbital Resonance — passive multiplier active",IF(AND(AO61=1,L61=0,AN61&lt;&gt;1),"Cohesion ready (waiting on completionist upgrades)","")))))</f>
        <v/>
      </c>
      <c r="AA61" s="27">
        <f>(IF(E61=0,0,(Upgrades!$G$6+E61*Upgrades!$H$6)*POWER(Upgrades!$I$6,E61)))*(IF(Upgrades!$T$7="Solar Wind",POWER(Upgrades!$U$7,F61),1)*IF(Upgrades!$T$8="Solar Wind",POWER(Upgrades!$U$8,G61),1)*IF(Upgrades!$T$9="Solar Wind",POWER(Upgrades!$U$9,H61),1)*IF(Upgrades!$T$10="Solar Wind",POWER(Upgrades!$U$10,I61),1)*IF(Upgrades!$T$11="Solar Wind",POWER(Upgrades!$U$11,J61),1)*IF(Upgrades!$T$12="Solar Wind",POWER(Upgrades!$U$12,K61),1))*POWER(Upgrades!$P$6,E61)*POWER(Upgrades!$P$7,F61)*POWER(Upgrades!$P$8,G61)*POWER(Upgrades!$P$9,H61)*POWER(Upgrades!$P$10,I61)*POWER(Upgrades!$P$11,J61)*POWER(Upgrades!$P$12,K61)*60</f>
        <v/>
      </c>
      <c r="AB61" s="27">
        <f>(IF(F61=0,0,(Upgrades!$G$7+F61*Upgrades!$H$7)*POWER(Upgrades!$I$7,F61)))*(IF(Upgrades!$T$6="Asteroid Belt",POWER(Upgrades!$U$6,E61),1)*IF(Upgrades!$T$8="Asteroid Belt",POWER(Upgrades!$U$8,G61),1)*IF(Upgrades!$T$9="Asteroid Belt",POWER(Upgrades!$U$9,H61),1)*IF(Upgrades!$T$10="Asteroid Belt",POWER(Upgrades!$U$10,I61),1)*IF(Upgrades!$T$11="Asteroid Belt",POWER(Upgrades!$U$11,J61),1)*IF(Upgrades!$T$12="Asteroid Belt",POWER(Upgrades!$U$12,K61),1))*POWER(Upgrades!$P$6,E61)*POWER(Upgrades!$P$7,F61)*POWER(Upgrades!$P$8,G61)*POWER(Upgrades!$P$9,H61)*POWER(Upgrades!$P$10,I61)*POWER(Upgrades!$P$11,J61)*POWER(Upgrades!$P$12,K61)*60</f>
        <v/>
      </c>
      <c r="AC61" s="27">
        <f>(IF(G61=0,0,(Upgrades!$J$8+G61*Upgrades!$K$8)*POWER(Upgrades!$L$8,G61)))*(IF(Upgrades!$T$6="Stellar Coupling",POWER(Upgrades!$U$6,E61),1)*IF(Upgrades!$T$7="Stellar Coupling",POWER(Upgrades!$U$7,F61),1)*IF(Upgrades!$T$9="Stellar Coupling",POWER(Upgrades!$U$9,H61),1)*IF(Upgrades!$T$10="Stellar Coupling",POWER(Upgrades!$U$10,I61),1)*IF(Upgrades!$T$11="Stellar Coupling",POWER(Upgrades!$U$11,J61),1)*IF(Upgrades!$T$12="Stellar Coupling",POWER(Upgrades!$U$12,K61),1))*POWER(Upgrades!$Q$6,E61)*POWER(Upgrades!$Q$7,F61)*POWER(Upgrades!$Q$8,G61)*POWER(Upgrades!$Q$9,H61)*POWER(Upgrades!$Q$10,I61)*POWER(Upgrades!$Q$11,J61)*POWER(Upgrades!$Q$12,K61)*Parameters!$B$10*Parameters!$B$11</f>
        <v/>
      </c>
      <c r="AD61" s="27">
        <f>(IF(H61=0,0,(Upgrades!$G$9+H61*Upgrades!$H$9)*POWER(Upgrades!$I$9,H61)))*(IF(Upgrades!$T$6="Magnetosphere",POWER(Upgrades!$U$6,E61),1)*IF(Upgrades!$T$7="Magnetosphere",POWER(Upgrades!$U$7,F61),1)*IF(Upgrades!$T$8="Magnetosphere",POWER(Upgrades!$U$8,G61),1)*IF(Upgrades!$T$10="Magnetosphere",POWER(Upgrades!$U$10,I61),1)*IF(Upgrades!$T$11="Magnetosphere",POWER(Upgrades!$U$11,J61),1)*IF(Upgrades!$T$12="Magnetosphere",POWER(Upgrades!$U$12,K61),1))*POWER(Upgrades!$P$6,E61)*POWER(Upgrades!$P$7,F61)*POWER(Upgrades!$P$8,G61)*POWER(Upgrades!$P$9,H61)*POWER(Upgrades!$P$10,I61)*POWER(Upgrades!$P$11,J61)*POWER(Upgrades!$P$12,K61)*60</f>
        <v/>
      </c>
      <c r="AE61" s="27">
        <f>(IF(K61=0,0,(Upgrades!$G$12+K61*Upgrades!$H$12)*POWER(Upgrades!$I$12,K61)))*(IF(Upgrades!$T$6="First Photons",POWER(Upgrades!$U$6,E61),1)*IF(Upgrades!$T$7="First Photons",POWER(Upgrades!$U$7,F61),1)*IF(Upgrades!$T$8="First Photons",POWER(Upgrades!$U$8,G61),1)*IF(Upgrades!$T$9="First Photons",POWER(Upgrades!$U$9,H61),1)*IF(Upgrades!$T$10="First Photons",POWER(Upgrades!$U$10,I61),1)*IF(Upgrades!$T$11="First Photons",POWER(Upgrades!$U$11,J61),1))*POWER(Upgrades!$P$6,E61)*POWER(Upgrades!$P$7,F61)*POWER(Upgrades!$P$8,G61)*POWER(Upgrades!$P$9,H61)*POWER(Upgrades!$P$10,I61)*POWER(Upgrades!$P$11,J61)*POWER(Upgrades!$P$12,K61)*60</f>
        <v/>
      </c>
      <c r="AF61" s="27">
        <f>Parameters!$B$9*POWER(Upgrades!$Q$6,E61)*POWER(Upgrades!$Q$7,F61)*POWER(Upgrades!$Q$8,G61)*POWER(Upgrades!$Q$9,H61)*POWER(Upgrades!$Q$10,I61)*POWER(Upgrades!$Q$11,J61)*POWER(Upgrades!$Q$12,K61)*(Parameters!$B$10*Parameters!$B$11+O61*60)</f>
        <v/>
      </c>
      <c r="AG61" s="22">
        <f>IF(E61&gt;=Upgrades!$E$6,"",Upgrades!$C$6*POWER(Upgrades!$D$6,E61))</f>
        <v/>
      </c>
      <c r="AH61" s="22">
        <f>IF(F61&gt;=Upgrades!$E$7,"",Upgrades!$C$7*POWER(Upgrades!$D$7,F61))</f>
        <v/>
      </c>
      <c r="AI61" s="22">
        <f>IF(G61&gt;=Upgrades!$E$8,"",Upgrades!$C$8*POWER(Upgrades!$D$8,G61))</f>
        <v/>
      </c>
      <c r="AJ61" s="22">
        <f>IF(H61&gt;=Upgrades!$E$9,"",Upgrades!$C$9*POWER(Upgrades!$D$9,H61))</f>
        <v/>
      </c>
      <c r="AK61" s="22">
        <f>IF(I61&gt;=Upgrades!$E$10,"",Upgrades!$C$10*POWER(Upgrades!$D$10,I61))</f>
        <v/>
      </c>
      <c r="AL61" s="22">
        <f>IF(J61&gt;=Upgrades!$E$11,"",Upgrades!$C$11*POWER(Upgrades!$D$11,J61))</f>
        <v/>
      </c>
      <c r="AM61" s="22">
        <f>IF(K61&gt;=Upgrades!$E$12,"",Upgrades!$C$12*POWER(Upgrades!$D$12,K61))</f>
        <v/>
      </c>
      <c r="AN61" s="26">
        <f>IF(AND(D61&gt;=Parameters!$B$18,(H61&gt;=Upgrades!$E$9)*(K61&gt;=Upgrades!$E$12)=1,L61=0),1,"")</f>
        <v/>
      </c>
      <c r="AO61" s="26">
        <f>IF(AND(D61&gt;=Parameters!$B$18,L61=0),1,"")</f>
        <v/>
      </c>
      <c r="AP61" s="22">
        <f>MIN(IF(ISNUMBER(AK61),AK61,9E15),IF(ISNUMBER(AL61),AL61,9E15),IF(ISNUMBER(AM61),AM61,9E15))</f>
        <v/>
      </c>
      <c r="AQ61" s="22">
        <f>MIN(IF(ISNUMBER(AG61),AG61,9E15),IF(ISNUMBER(AH61),AH61,9E15),IF(ISNUMBER(AI61),AI61,9E15),IF(ISNUMBER(AJ61),AJ61,9E15))</f>
        <v/>
      </c>
      <c r="AR61" s="29">
        <f>IF(AW61&gt;Parameters!$B$21*(MAX(IF(AND(NOT(AND(AO61=1,AN61&lt;&gt;1)),ISNUMBER(AG61),AG61&lt;=T61),AS61,0),IF(AND(NOT(AND(AO61=1,AN61&lt;&gt;1)),ISNUMBER(AH61),AH61&lt;=T61),AT61,0),IF(AND(NOT(AND(AO61=1,AN61&lt;&gt;1)),ISNUMBER(AI61),AI61&lt;=T61),AU61,0),IF(AND(ISNUMBER(AJ61),AJ61&lt;=T61),AV61,0))),TRUE,FALSE)</f>
        <v/>
      </c>
      <c r="AS61" s="32">
        <f>IFERROR(Upgrades!$H$6*(POWER(Upgrades!$P$6,E61)*POWER(Upgrades!$P$7,F61)*POWER(Upgrades!$P$8,G61)*POWER(Upgrades!$P$9,H61)*POWER(Upgrades!$P$10,I61)*POWER(Upgrades!$P$11,J61)*POWER(Upgrades!$P$12,K61))*(IF(Upgrades!$T$7="Solar Wind",POWER(Upgrades!$U$7,F61),1)*IF(Upgrades!$T$8="Solar Wind",POWER(Upgrades!$U$8,G61),1)*IF(Upgrades!$T$9="Solar Wind",POWER(Upgrades!$U$9,H61),1)*IF(Upgrades!$T$10="Solar Wind",POWER(Upgrades!$U$10,I61),1)*IF(Upgrades!$T$11="Solar Wind",POWER(Upgrades!$U$11,J61),1)*IF(Upgrades!$T$12="Solar Wind",POWER(Upgrades!$U$12,K61),1))/AG61,0)</f>
        <v/>
      </c>
      <c r="AT61" s="32">
        <f>IFERROR(Upgrades!$H$7*(POWER(Upgrades!$P$6,E61)*POWER(Upgrades!$P$7,F61)*POWER(Upgrades!$P$8,G61)*POWER(Upgrades!$P$9,H61)*POWER(Upgrades!$P$10,I61)*POWER(Upgrades!$P$11,J61)*POWER(Upgrades!$P$12,K61))*(IF(Upgrades!$T$6="Asteroid Belt",POWER(Upgrades!$U$6,E61),1)*IF(Upgrades!$T$8="Asteroid Belt",POWER(Upgrades!$U$8,G61),1)*IF(Upgrades!$T$9="Asteroid Belt",POWER(Upgrades!$U$9,H61),1)*IF(Upgrades!$T$10="Asteroid Belt",POWER(Upgrades!$U$10,I61),1)*IF(Upgrades!$T$11="Asteroid Belt",POWER(Upgrades!$U$11,J61),1)*IF(Upgrades!$T$12="Asteroid Belt",POWER(Upgrades!$U$12,K61),1))/AH61,0)</f>
        <v/>
      </c>
      <c r="AU61" s="32">
        <f>IFERROR(Upgrades!$K$8*(POWER(Upgrades!$Q$6,E61)*POWER(Upgrades!$Q$7,F61)*POWER(Upgrades!$Q$8,G61)*POWER(Upgrades!$Q$9,H61)*POWER(Upgrades!$Q$10,I61)*POWER(Upgrades!$Q$11,J61)*POWER(Upgrades!$Q$12,K61))*(IF(Upgrades!$T$6="Stellar Coupling",POWER(Upgrades!$U$6,E61),1)*IF(Upgrades!$T$7="Stellar Coupling",POWER(Upgrades!$U$7,F61),1)*IF(Upgrades!$T$9="Stellar Coupling",POWER(Upgrades!$U$9,H61),1)*IF(Upgrades!$T$10="Stellar Coupling",POWER(Upgrades!$U$10,I61),1)*IF(Upgrades!$T$11="Stellar Coupling",POWER(Upgrades!$U$11,J61),1)*IF(Upgrades!$T$12="Stellar Coupling",POWER(Upgrades!$U$12,K61),1))*Parameters!$B$10*Parameters!$B$11/60/AI61,0)</f>
        <v/>
      </c>
      <c r="AV61" s="32">
        <f>IFERROR(Upgrades!$H$9*(POWER(Upgrades!$P$6,E61)*POWER(Upgrades!$P$7,F61)*POWER(Upgrades!$P$8,G61)*POWER(Upgrades!$P$9,H61)*POWER(Upgrades!$P$10,I61)*POWER(Upgrades!$P$11,J61)*POWER(Upgrades!$P$12,K61))*(IF(Upgrades!$T$6="Magnetosphere",POWER(Upgrades!$U$6,E61),1)*IF(Upgrades!$T$7="Magnetosphere",POWER(Upgrades!$U$7,F61),1)*IF(Upgrades!$T$8="Magnetosphere",POWER(Upgrades!$U$8,G61),1)*IF(Upgrades!$T$10="Magnetosphere",POWER(Upgrades!$U$10,I61),1)*IF(Upgrades!$T$11="Magnetosphere",POWER(Upgrades!$U$11,J61),1)*IF(Upgrades!$T$12="Magnetosphere",POWER(Upgrades!$U$12,K61),1))/AJ61,0)</f>
        <v/>
      </c>
      <c r="AW61" s="32">
        <f>MAX(IF(I61&gt;0,0,IFERROR(0.25*N61/Upgrades!$C$10,0)),IF(J61&gt;0,0,IFERROR(0.5*((IF(G61=0,0,(Upgrades!$J$8+G61*Upgrades!$K$8)*POWER(Upgrades!$L$8,G61)))*(IF(Upgrades!$T$6="Stellar Coupling",POWER(Upgrades!$U$6,E61),1)*IF(Upgrades!$T$7="Stellar Coupling",POWER(Upgrades!$U$7,F61),1)*IF(Upgrades!$T$9="Stellar Coupling",POWER(Upgrades!$U$9,H61),1)*IF(Upgrades!$T$10="Stellar Coupling",POWER(Upgrades!$U$10,I61),1)*IF(Upgrades!$T$11="Stellar Coupling",POWER(Upgrades!$U$11,J61),1)*IF(Upgrades!$T$12="Stellar Coupling",POWER(Upgrades!$U$12,K61),1))*(POWER(Upgrades!$Q$6,E61)*POWER(Upgrades!$Q$7,F61)*POWER(Upgrades!$Q$8,G61)*POWER(Upgrades!$Q$9,H61)*POWER(Upgrades!$Q$10,I61)*POWER(Upgrades!$Q$11,J61)*POWER(Upgrades!$Q$12,K61))*Parameters!$B$10*Parameters!$B$11/60)/Upgrades!$C$11,0)),IF(K61&gt;0,0,IFERROR((1.0*(POWER(Upgrades!$P$6,E61)*POWER(Upgrades!$P$7,F61)*POWER(Upgrades!$P$8,G61)*POWER(Upgrades!$P$9,H61)*POWER(Upgrades!$P$10,I61)*POWER(Upgrades!$P$11,J61)*POWER(Upgrades!$P$12,K61))+0.20*M61*Parameters!$B$10*Parameters!$B$11/60)/Upgrades!$C$12,0)),IF(AND(ISNUMBER(AG61),AG61&gt;T61),AS61,0),IF(AND(ISNUMBER(AH61),AH61&gt;T61),AT61,0),IF(AND(ISNUMBER(AI61),AI61&gt;T61),AU61,0),IF(AND(ISNUMBER(AJ61),AJ61&gt;T61),AV61,0))</f>
        <v/>
      </c>
      <c r="AX61" s="29">
        <f>IF(AN61=1,"transition",IF(MIN(IF(AND(I61=0,ISNUMBER(AK61),AK61&lt;=T61),AK61,9E15),IF(AND(J61=0,ISNUMBER(AL61),AL61&lt;=T61),AL61,9E15),IF(AND(K61=0,ISNUMBER(AM61),AM61&lt;=T61),AM61,9E15))&lt;9E15,IF(AND(AND(I61=0,ISNUMBER(AK61),AK61&lt;=T61),AK61=MIN(IF(AND(I61=0,ISNUMBER(AK61),AK61&lt;=T61),AK61,9E15),IF(AND(J61=0,ISNUMBER(AL61),AL61&lt;=T61),AL61,9E15),IF(AND(K61=0,ISNUMBER(AM61),AM61&lt;=T61),AM61,9E15))),"OR",IF(AND(AND(J61=0,ISNUMBER(AL61),AL61&lt;=T61),AL61=MIN(IF(AND(I61=0,ISNUMBER(AK61),AK61&lt;=T61),AK61,9E15),IF(AND(J61=0,ISNUMBER(AL61),AL61&lt;=T61),AL61,9E15),IF(AND(K61=0,ISNUMBER(AM61),AM61&lt;=T61),AM61,9E15))),"HP","FP")),IF(AR61=TRUE,"",IF(MAX(IF(AND(NOT(AND(AO61=1,AN61&lt;&gt;1)),ISNUMBER(AG61),AG61&lt;=T61),AS61,0),IF(AND(NOT(AND(AO61=1,AN61&lt;&gt;1)),ISNUMBER(AH61),AH61&lt;=T61),AT61,0),IF(AND(NOT(AND(AO61=1,AN61&lt;&gt;1)),ISNUMBER(AI61),AI61&lt;=T61),AU61,0),IF(AND(ISNUMBER(AJ61),AJ61&lt;=T61),AV61,0))&lt;=0,"",IF(AND(IF(AND(NOT(AND(AO61=1,AN61&lt;&gt;1)),ISNUMBER(AG61),AG61&lt;=T61),AS61,0)&gt;0,IF(AND(NOT(AND(AO61=1,AN61&lt;&gt;1)),ISNUMBER(AG61),AG61&lt;=T61),AS61,0)=MAX(IF(AND(NOT(AND(AO61=1,AN61&lt;&gt;1)),ISNUMBER(AG61),AG61&lt;=T61),AS61,0),IF(AND(NOT(AND(AO61=1,AN61&lt;&gt;1)),ISNUMBER(AH61),AH61&lt;=T61),AT61,0),IF(AND(NOT(AND(AO61=1,AN61&lt;&gt;1)),ISNUMBER(AI61),AI61&lt;=T61),AU61,0),IF(AND(ISNUMBER(AJ61),AJ61&lt;=T61),AV61,0))),"SW",IF(AND(IF(AND(NOT(AND(AO61=1,AN61&lt;&gt;1)),ISNUMBER(AH61),AH61&lt;=T61),AT61,0)&gt;0,IF(AND(NOT(AND(AO61=1,AN61&lt;&gt;1)),ISNUMBER(AH61),AH61&lt;=T61),AT61,0)=MAX(IF(AND(NOT(AND(AO61=1,AN61&lt;&gt;1)),ISNUMBER(AG61),AG61&lt;=T61),AS61,0),IF(AND(NOT(AND(AO61=1,AN61&lt;&gt;1)),ISNUMBER(AH61),AH61&lt;=T61),AT61,0),IF(AND(NOT(AND(AO61=1,AN61&lt;&gt;1)),ISNUMBER(AI61),AI61&lt;=T61),AU61,0),IF(AND(ISNUMBER(AJ61),AJ61&lt;=T61),AV61,0))),"AB",IF(AND(IF(AND(NOT(AND(AO61=1,AN61&lt;&gt;1)),ISNUMBER(AI61),AI61&lt;=T61),AU61,0)&gt;0,IF(AND(NOT(AND(AO61=1,AN61&lt;&gt;1)),ISNUMBER(AI61),AI61&lt;=T61),AU61,0)=MAX(IF(AND(NOT(AND(AO61=1,AN61&lt;&gt;1)),ISNUMBER(AG61),AG61&lt;=T61),AS61,0),IF(AND(NOT(AND(AO61=1,AN61&lt;&gt;1)),ISNUMBER(AH61),AH61&lt;=T61),AT61,0),IF(AND(NOT(AND(AO61=1,AN61&lt;&gt;1)),ISNUMBER(AI61),AI61&lt;=T61),AU61,0),IF(AND(ISNUMBER(AJ61),AJ61&lt;=T61),AV61,0))),"SC","Mag")))))))</f>
        <v/>
      </c>
    </row>
    <row r="62">
      <c r="A62" s="26" t="n">
        <v>57</v>
      </c>
      <c r="B62" s="27">
        <f>A62*10/60</f>
        <v/>
      </c>
      <c r="C62" s="22">
        <f>X61</f>
        <v/>
      </c>
      <c r="D62" s="27">
        <f>D61+W61</f>
        <v/>
      </c>
      <c r="E62" s="26">
        <f>E61+IF(U61="SW",1,0)</f>
        <v/>
      </c>
      <c r="F62" s="26">
        <f>F61+IF(U61="AB",1,0)</f>
        <v/>
      </c>
      <c r="G62" s="26">
        <f>G61+IF(U61="SC",1,0)</f>
        <v/>
      </c>
      <c r="H62" s="26">
        <f>H61+IF(U61="Mag",1,0)</f>
        <v/>
      </c>
      <c r="I62" s="26">
        <f>MAX(I61,IF(U61="OR",1,0))</f>
        <v/>
      </c>
      <c r="J62" s="26">
        <f>MAX(J61,IF(U61="HP",1,0))</f>
        <v/>
      </c>
      <c r="K62" s="26">
        <f>MAX(K61,IF(U61="FP",1,0))</f>
        <v/>
      </c>
      <c r="L62" s="26">
        <f>MAX(L61,IF(U61="transition",1,0))</f>
        <v/>
      </c>
      <c r="M62" s="28">
        <f>(Parameters!$B$9+(IF(E62=0,0,(Upgrades!$J$6+E62*Upgrades!$K$6)*POWER(Upgrades!$L$6,E62)))*(IF(Upgrades!$T$7="Solar Wind",POWER(Upgrades!$U$7,F62),1)*IF(Upgrades!$T$8="Solar Wind",POWER(Upgrades!$U$8,G62),1)*IF(Upgrades!$T$9="Solar Wind",POWER(Upgrades!$U$9,H62),1)*IF(Upgrades!$T$10="Solar Wind",POWER(Upgrades!$U$10,I62),1)*IF(Upgrades!$T$11="Solar Wind",POWER(Upgrades!$U$11,J62),1)*IF(Upgrades!$T$12="Solar Wind",POWER(Upgrades!$U$12,K62),1))+(IF(F62=0,0,(Upgrades!$J$7+F62*Upgrades!$K$7)*POWER(Upgrades!$L$7,F62)))*(IF(Upgrades!$T$6="Asteroid Belt",POWER(Upgrades!$U$6,E62),1)*IF(Upgrades!$T$8="Asteroid Belt",POWER(Upgrades!$U$8,G62),1)*IF(Upgrades!$T$9="Asteroid Belt",POWER(Upgrades!$U$9,H62),1)*IF(Upgrades!$T$10="Asteroid Belt",POWER(Upgrades!$U$10,I62),1)*IF(Upgrades!$T$11="Asteroid Belt",POWER(Upgrades!$U$11,J62),1)*IF(Upgrades!$T$12="Asteroid Belt",POWER(Upgrades!$U$12,K62),1))+(IF(G62=0,0,(Upgrades!$J$8+G62*Upgrades!$K$8)*POWER(Upgrades!$L$8,G62)))*(IF(Upgrades!$T$6="Stellar Coupling",POWER(Upgrades!$U$6,E62),1)*IF(Upgrades!$T$7="Stellar Coupling",POWER(Upgrades!$U$7,F62),1)*IF(Upgrades!$T$9="Stellar Coupling",POWER(Upgrades!$U$9,H62),1)*IF(Upgrades!$T$10="Stellar Coupling",POWER(Upgrades!$U$10,I62),1)*IF(Upgrades!$T$11="Stellar Coupling",POWER(Upgrades!$U$11,J62),1)*IF(Upgrades!$T$12="Stellar Coupling",POWER(Upgrades!$U$12,K62),1))+(IF(H62=0,0,(Upgrades!$J$9+H62*Upgrades!$K$9)*POWER(Upgrades!$L$9,H62)))*(IF(Upgrades!$T$6="Magnetosphere",POWER(Upgrades!$U$6,E62),1)*IF(Upgrades!$T$7="Magnetosphere",POWER(Upgrades!$U$7,F62),1)*IF(Upgrades!$T$8="Magnetosphere",POWER(Upgrades!$U$8,G62),1)*IF(Upgrades!$T$10="Magnetosphere",POWER(Upgrades!$U$10,I62),1)*IF(Upgrades!$T$11="Magnetosphere",POWER(Upgrades!$U$11,J62),1)*IF(Upgrades!$T$12="Magnetosphere",POWER(Upgrades!$U$12,K62),1))+(IF(I62=0,0,(Upgrades!$J$10+I62*Upgrades!$K$10)*POWER(Upgrades!$L$10,I62)))*(IF(Upgrades!$T$6="Orbital Resonance",POWER(Upgrades!$U$6,E62),1)*IF(Upgrades!$T$7="Orbital Resonance",POWER(Upgrades!$U$7,F62),1)*IF(Upgrades!$T$8="Orbital Resonance",POWER(Upgrades!$U$8,G62),1)*IF(Upgrades!$T$9="Orbital Resonance",POWER(Upgrades!$U$9,H62),1)*IF(Upgrades!$T$11="Orbital Resonance",POWER(Upgrades!$U$11,J62),1)*IF(Upgrades!$T$12="Orbital Resonance",POWER(Upgrades!$U$12,K62),1))+(IF(J62=0,0,(Upgrades!$J$11+J62*Upgrades!$K$11)*POWER(Upgrades!$L$11,J62)))*(IF(Upgrades!$T$6="Heliopause",POWER(Upgrades!$U$6,E62),1)*IF(Upgrades!$T$7="Heliopause",POWER(Upgrades!$U$7,F62),1)*IF(Upgrades!$T$8="Heliopause",POWER(Upgrades!$U$8,G62),1)*IF(Upgrades!$T$9="Heliopause",POWER(Upgrades!$U$9,H62),1)*IF(Upgrades!$T$10="Heliopause",POWER(Upgrades!$U$10,I62),1)*IF(Upgrades!$T$12="Heliopause",POWER(Upgrades!$U$12,K62),1))+(IF(K62=0,0,(Upgrades!$J$12+K62*Upgrades!$K$12)*POWER(Upgrades!$L$12,K62)))*(IF(Upgrades!$T$6="First Photons",POWER(Upgrades!$U$6,E62),1)*IF(Upgrades!$T$7="First Photons",POWER(Upgrades!$U$7,F62),1)*IF(Upgrades!$T$8="First Photons",POWER(Upgrades!$U$8,G62),1)*IF(Upgrades!$T$9="First Photons",POWER(Upgrades!$U$9,H62),1)*IF(Upgrades!$T$10="First Photons",POWER(Upgrades!$U$10,I62),1)*IF(Upgrades!$T$11="First Photons",POWER(Upgrades!$U$11,J62),1)))*POWER(Upgrades!$Q$6,E62)*POWER(Upgrades!$Q$7,F62)*POWER(Upgrades!$Q$8,G62)*POWER(Upgrades!$Q$9,H62)*POWER(Upgrades!$Q$10,I62)*POWER(Upgrades!$Q$11,J62)*POWER(Upgrades!$Q$12,K62)</f>
        <v/>
      </c>
      <c r="N62" s="28">
        <f>((IF(E62=0,0,(Upgrades!$G$6+E62*Upgrades!$H$6)*POWER(Upgrades!$I$6,E62)))*(IF(Upgrades!$T$7="Solar Wind",POWER(Upgrades!$U$7,F62),1)*IF(Upgrades!$T$8="Solar Wind",POWER(Upgrades!$U$8,G62),1)*IF(Upgrades!$T$9="Solar Wind",POWER(Upgrades!$U$9,H62),1)*IF(Upgrades!$T$10="Solar Wind",POWER(Upgrades!$U$10,I62),1)*IF(Upgrades!$T$11="Solar Wind",POWER(Upgrades!$U$11,J62),1)*IF(Upgrades!$T$12="Solar Wind",POWER(Upgrades!$U$12,K62),1))+(IF(F62=0,0,(Upgrades!$G$7+F62*Upgrades!$H$7)*POWER(Upgrades!$I$7,F62)))*(IF(Upgrades!$T$6="Asteroid Belt",POWER(Upgrades!$U$6,E62),1)*IF(Upgrades!$T$8="Asteroid Belt",POWER(Upgrades!$U$8,G62),1)*IF(Upgrades!$T$9="Asteroid Belt",POWER(Upgrades!$U$9,H62),1)*IF(Upgrades!$T$10="Asteroid Belt",POWER(Upgrades!$U$10,I62),1)*IF(Upgrades!$T$11="Asteroid Belt",POWER(Upgrades!$U$11,J62),1)*IF(Upgrades!$T$12="Asteroid Belt",POWER(Upgrades!$U$12,K62),1))+(IF(G62=0,0,(Upgrades!$G$8+G62*Upgrades!$H$8)*POWER(Upgrades!$I$8,G62)))*(IF(Upgrades!$T$6="Stellar Coupling",POWER(Upgrades!$U$6,E62),1)*IF(Upgrades!$T$7="Stellar Coupling",POWER(Upgrades!$U$7,F62),1)*IF(Upgrades!$T$9="Stellar Coupling",POWER(Upgrades!$U$9,H62),1)*IF(Upgrades!$T$10="Stellar Coupling",POWER(Upgrades!$U$10,I62),1)*IF(Upgrades!$T$11="Stellar Coupling",POWER(Upgrades!$U$11,J62),1)*IF(Upgrades!$T$12="Stellar Coupling",POWER(Upgrades!$U$12,K62),1))+(IF(H62=0,0,(Upgrades!$G$9+H62*Upgrades!$H$9)*POWER(Upgrades!$I$9,H62)))*(IF(Upgrades!$T$6="Magnetosphere",POWER(Upgrades!$U$6,E62),1)*IF(Upgrades!$T$7="Magnetosphere",POWER(Upgrades!$U$7,F62),1)*IF(Upgrades!$T$8="Magnetosphere",POWER(Upgrades!$U$8,G62),1)*IF(Upgrades!$T$10="Magnetosphere",POWER(Upgrades!$U$10,I62),1)*IF(Upgrades!$T$11="Magnetosphere",POWER(Upgrades!$U$11,J62),1)*IF(Upgrades!$T$12="Magnetosphere",POWER(Upgrades!$U$12,K62),1))+(IF(I62=0,0,(Upgrades!$G$10+I62*Upgrades!$H$10)*POWER(Upgrades!$I$10,I62)))*(IF(Upgrades!$T$6="Orbital Resonance",POWER(Upgrades!$U$6,E62),1)*IF(Upgrades!$T$7="Orbital Resonance",POWER(Upgrades!$U$7,F62),1)*IF(Upgrades!$T$8="Orbital Resonance",POWER(Upgrades!$U$8,G62),1)*IF(Upgrades!$T$9="Orbital Resonance",POWER(Upgrades!$U$9,H62),1)*IF(Upgrades!$T$11="Orbital Resonance",POWER(Upgrades!$U$11,J62),1)*IF(Upgrades!$T$12="Orbital Resonance",POWER(Upgrades!$U$12,K62),1))+(IF(J62=0,0,(Upgrades!$G$11+J62*Upgrades!$H$11)*POWER(Upgrades!$I$11,J62)))*(IF(Upgrades!$T$6="Heliopause",POWER(Upgrades!$U$6,E62),1)*IF(Upgrades!$T$7="Heliopause",POWER(Upgrades!$U$7,F62),1)*IF(Upgrades!$T$8="Heliopause",POWER(Upgrades!$U$8,G62),1)*IF(Upgrades!$T$9="Heliopause",POWER(Upgrades!$U$9,H62),1)*IF(Upgrades!$T$10="Heliopause",POWER(Upgrades!$U$10,I62),1)*IF(Upgrades!$T$12="Heliopause",POWER(Upgrades!$U$12,K62),1))+(IF(K62=0,0,(Upgrades!$G$12+K62*Upgrades!$H$12)*POWER(Upgrades!$I$12,K62)))*(IF(Upgrades!$T$6="First Photons",POWER(Upgrades!$U$6,E62),1)*IF(Upgrades!$T$7="First Photons",POWER(Upgrades!$U$7,F62),1)*IF(Upgrades!$T$8="First Photons",POWER(Upgrades!$U$8,G62),1)*IF(Upgrades!$T$9="First Photons",POWER(Upgrades!$U$9,H62),1)*IF(Upgrades!$T$10="First Photons",POWER(Upgrades!$U$10,I62),1)*IF(Upgrades!$T$11="First Photons",POWER(Upgrades!$U$11,J62),1)))*POWER(Upgrades!$P$6,E62)*POWER(Upgrades!$P$7,F62)*POWER(Upgrades!$P$8,G62)*POWER(Upgrades!$P$9,H62)*POWER(Upgrades!$P$10,I62)*POWER(Upgrades!$P$11,J62)*POWER(Upgrades!$P$12,K62)</f>
        <v/>
      </c>
      <c r="O62" s="28">
        <f>((IF(E62=0,0,(Upgrades!$M$6+E62*Upgrades!$N$6)*POWER(Upgrades!$O$6,E62)))*(IF(Upgrades!$T$7="Solar Wind",POWER(Upgrades!$U$7,F62),1)*IF(Upgrades!$T$8="Solar Wind",POWER(Upgrades!$U$8,G62),1)*IF(Upgrades!$T$9="Solar Wind",POWER(Upgrades!$U$9,H62),1)*IF(Upgrades!$T$10="Solar Wind",POWER(Upgrades!$U$10,I62),1)*IF(Upgrades!$T$11="Solar Wind",POWER(Upgrades!$U$11,J62),1)*IF(Upgrades!$T$12="Solar Wind",POWER(Upgrades!$U$12,K62),1))+(IF(F62=0,0,(Upgrades!$M$7+F62*Upgrades!$N$7)*POWER(Upgrades!$O$7,F62)))*(IF(Upgrades!$T$6="Asteroid Belt",POWER(Upgrades!$U$6,E62),1)*IF(Upgrades!$T$8="Asteroid Belt",POWER(Upgrades!$U$8,G62),1)*IF(Upgrades!$T$9="Asteroid Belt",POWER(Upgrades!$U$9,H62),1)*IF(Upgrades!$T$10="Asteroid Belt",POWER(Upgrades!$U$10,I62),1)*IF(Upgrades!$T$11="Asteroid Belt",POWER(Upgrades!$U$11,J62),1)*IF(Upgrades!$T$12="Asteroid Belt",POWER(Upgrades!$U$12,K62),1))+(IF(G62=0,0,(Upgrades!$M$8+G62*Upgrades!$N$8)*POWER(Upgrades!$O$8,G62)))*(IF(Upgrades!$T$6="Stellar Coupling",POWER(Upgrades!$U$6,E62),1)*IF(Upgrades!$T$7="Stellar Coupling",POWER(Upgrades!$U$7,F62),1)*IF(Upgrades!$T$9="Stellar Coupling",POWER(Upgrades!$U$9,H62),1)*IF(Upgrades!$T$10="Stellar Coupling",POWER(Upgrades!$U$10,I62),1)*IF(Upgrades!$T$11="Stellar Coupling",POWER(Upgrades!$U$11,J62),1)*IF(Upgrades!$T$12="Stellar Coupling",POWER(Upgrades!$U$12,K62),1))+(IF(H62=0,0,(Upgrades!$M$9+H62*Upgrades!$N$9)*POWER(Upgrades!$O$9,H62)))*(IF(Upgrades!$T$6="Magnetosphere",POWER(Upgrades!$U$6,E62),1)*IF(Upgrades!$T$7="Magnetosphere",POWER(Upgrades!$U$7,F62),1)*IF(Upgrades!$T$8="Magnetosphere",POWER(Upgrades!$U$8,G62),1)*IF(Upgrades!$T$10="Magnetosphere",POWER(Upgrades!$U$10,I62),1)*IF(Upgrades!$T$11="Magnetosphere",POWER(Upgrades!$U$11,J62),1)*IF(Upgrades!$T$12="Magnetosphere",POWER(Upgrades!$U$12,K62),1))+(IF(I62=0,0,(Upgrades!$M$10+I62*Upgrades!$N$10)*POWER(Upgrades!$O$10,I62)))*(IF(Upgrades!$T$6="Orbital Resonance",POWER(Upgrades!$U$6,E62),1)*IF(Upgrades!$T$7="Orbital Resonance",POWER(Upgrades!$U$7,F62),1)*IF(Upgrades!$T$8="Orbital Resonance",POWER(Upgrades!$U$8,G62),1)*IF(Upgrades!$T$9="Orbital Resonance",POWER(Upgrades!$U$9,H62),1)*IF(Upgrades!$T$11="Orbital Resonance",POWER(Upgrades!$U$11,J62),1)*IF(Upgrades!$T$12="Orbital Resonance",POWER(Upgrades!$U$12,K62),1))+(IF(J62=0,0,(Upgrades!$M$11+J62*Upgrades!$N$11)*POWER(Upgrades!$O$11,J62)))*(IF(Upgrades!$T$6="Heliopause",POWER(Upgrades!$U$6,E62),1)*IF(Upgrades!$T$7="Heliopause",POWER(Upgrades!$U$7,F62),1)*IF(Upgrades!$T$8="Heliopause",POWER(Upgrades!$U$8,G62),1)*IF(Upgrades!$T$9="Heliopause",POWER(Upgrades!$U$9,H62),1)*IF(Upgrades!$T$10="Heliopause",POWER(Upgrades!$U$10,I62),1)*IF(Upgrades!$T$12="Heliopause",POWER(Upgrades!$U$12,K62),1))+(IF(K62=0,0,(Upgrades!$M$12+K62*Upgrades!$N$12)*POWER(Upgrades!$O$12,K62)))*(IF(Upgrades!$T$6="First Photons",POWER(Upgrades!$U$6,E62),1)*IF(Upgrades!$T$7="First Photons",POWER(Upgrades!$U$7,F62),1)*IF(Upgrades!$T$8="First Photons",POWER(Upgrades!$U$8,G62),1)*IF(Upgrades!$T$9="First Photons",POWER(Upgrades!$U$9,H62),1)*IF(Upgrades!$T$10="First Photons",POWER(Upgrades!$U$10,I62),1)*IF(Upgrades!$T$11="First Photons",POWER(Upgrades!$U$11,J62),1)))*POWER(Upgrades!$R$6,E62)*POWER(Upgrades!$R$7,F62)*POWER(Upgrades!$R$8,G62)*POWER(Upgrades!$R$9,H62)*POWER(Upgrades!$R$10,I62)*POWER(Upgrades!$R$11,J62)*POWER(Upgrades!$R$12,K62)</f>
        <v/>
      </c>
      <c r="P62" s="27">
        <f>IF(L62=1,0,M62*Parameters!$B$10/60*Parameters!$B$11*10)</f>
        <v/>
      </c>
      <c r="Q62" s="27">
        <f>IF(L62=1,0,O62*M62*10)</f>
        <v/>
      </c>
      <c r="R62" s="27">
        <f>IF(L62=1,0,N62*10)</f>
        <v/>
      </c>
      <c r="S62" s="27">
        <f>P62+Q62+R62</f>
        <v/>
      </c>
      <c r="T62" s="22">
        <f>C62+S62</f>
        <v/>
      </c>
      <c r="U62" s="33">
        <f>AX62</f>
        <v/>
      </c>
      <c r="V62" s="22">
        <f>IF(U62="",0,IF(U62="transition",0,IF(U62="SW",AG62,IF(U62="AB",AH62,IF(U62="SC",AI62,IF(U62="Mag",AJ62,IF(U62="OR",AK62,IF(U62="HP",AL62,IF(U62="FP",AM62,0)))))))))</f>
        <v/>
      </c>
      <c r="W62" s="27">
        <f>IF(U62="OR",Upgrades!$F$10,IF(U62="HP",Upgrades!$F$11,IF(U62="transition",-Parameters!$B$18,0)))</f>
        <v/>
      </c>
      <c r="X62" s="22">
        <f>T62-V62</f>
        <v/>
      </c>
      <c r="Y62" s="30">
        <f>M62*Parameters!$B$10/60*Parameters!$B$11+O62*M62+N62</f>
        <v/>
      </c>
      <c r="Z62" s="34">
        <f>IF(U62="transition","→ Tier 2 (Stellar Neighborhood)",IF(U62="FP","First Photons — light begins, system quickens",IF(U62="HP","Heliopause acquired",IF(U62="OR","Orbital Resonance — passive multiplier active",IF(AND(AO62=1,L62=0,AN62&lt;&gt;1),"Cohesion ready (waiting on completionist upgrades)","")))))</f>
        <v/>
      </c>
      <c r="AA62" s="27">
        <f>(IF(E62=0,0,(Upgrades!$G$6+E62*Upgrades!$H$6)*POWER(Upgrades!$I$6,E62)))*(IF(Upgrades!$T$7="Solar Wind",POWER(Upgrades!$U$7,F62),1)*IF(Upgrades!$T$8="Solar Wind",POWER(Upgrades!$U$8,G62),1)*IF(Upgrades!$T$9="Solar Wind",POWER(Upgrades!$U$9,H62),1)*IF(Upgrades!$T$10="Solar Wind",POWER(Upgrades!$U$10,I62),1)*IF(Upgrades!$T$11="Solar Wind",POWER(Upgrades!$U$11,J62),1)*IF(Upgrades!$T$12="Solar Wind",POWER(Upgrades!$U$12,K62),1))*POWER(Upgrades!$P$6,E62)*POWER(Upgrades!$P$7,F62)*POWER(Upgrades!$P$8,G62)*POWER(Upgrades!$P$9,H62)*POWER(Upgrades!$P$10,I62)*POWER(Upgrades!$P$11,J62)*POWER(Upgrades!$P$12,K62)*60</f>
        <v/>
      </c>
      <c r="AB62" s="27">
        <f>(IF(F62=0,0,(Upgrades!$G$7+F62*Upgrades!$H$7)*POWER(Upgrades!$I$7,F62)))*(IF(Upgrades!$T$6="Asteroid Belt",POWER(Upgrades!$U$6,E62),1)*IF(Upgrades!$T$8="Asteroid Belt",POWER(Upgrades!$U$8,G62),1)*IF(Upgrades!$T$9="Asteroid Belt",POWER(Upgrades!$U$9,H62),1)*IF(Upgrades!$T$10="Asteroid Belt",POWER(Upgrades!$U$10,I62),1)*IF(Upgrades!$T$11="Asteroid Belt",POWER(Upgrades!$U$11,J62),1)*IF(Upgrades!$T$12="Asteroid Belt",POWER(Upgrades!$U$12,K62),1))*POWER(Upgrades!$P$6,E62)*POWER(Upgrades!$P$7,F62)*POWER(Upgrades!$P$8,G62)*POWER(Upgrades!$P$9,H62)*POWER(Upgrades!$P$10,I62)*POWER(Upgrades!$P$11,J62)*POWER(Upgrades!$P$12,K62)*60</f>
        <v/>
      </c>
      <c r="AC62" s="27">
        <f>(IF(G62=0,0,(Upgrades!$J$8+G62*Upgrades!$K$8)*POWER(Upgrades!$L$8,G62)))*(IF(Upgrades!$T$6="Stellar Coupling",POWER(Upgrades!$U$6,E62),1)*IF(Upgrades!$T$7="Stellar Coupling",POWER(Upgrades!$U$7,F62),1)*IF(Upgrades!$T$9="Stellar Coupling",POWER(Upgrades!$U$9,H62),1)*IF(Upgrades!$T$10="Stellar Coupling",POWER(Upgrades!$U$10,I62),1)*IF(Upgrades!$T$11="Stellar Coupling",POWER(Upgrades!$U$11,J62),1)*IF(Upgrades!$T$12="Stellar Coupling",POWER(Upgrades!$U$12,K62),1))*POWER(Upgrades!$Q$6,E62)*POWER(Upgrades!$Q$7,F62)*POWER(Upgrades!$Q$8,G62)*POWER(Upgrades!$Q$9,H62)*POWER(Upgrades!$Q$10,I62)*POWER(Upgrades!$Q$11,J62)*POWER(Upgrades!$Q$12,K62)*Parameters!$B$10*Parameters!$B$11</f>
        <v/>
      </c>
      <c r="AD62" s="27">
        <f>(IF(H62=0,0,(Upgrades!$G$9+H62*Upgrades!$H$9)*POWER(Upgrades!$I$9,H62)))*(IF(Upgrades!$T$6="Magnetosphere",POWER(Upgrades!$U$6,E62),1)*IF(Upgrades!$T$7="Magnetosphere",POWER(Upgrades!$U$7,F62),1)*IF(Upgrades!$T$8="Magnetosphere",POWER(Upgrades!$U$8,G62),1)*IF(Upgrades!$T$10="Magnetosphere",POWER(Upgrades!$U$10,I62),1)*IF(Upgrades!$T$11="Magnetosphere",POWER(Upgrades!$U$11,J62),1)*IF(Upgrades!$T$12="Magnetosphere",POWER(Upgrades!$U$12,K62),1))*POWER(Upgrades!$P$6,E62)*POWER(Upgrades!$P$7,F62)*POWER(Upgrades!$P$8,G62)*POWER(Upgrades!$P$9,H62)*POWER(Upgrades!$P$10,I62)*POWER(Upgrades!$P$11,J62)*POWER(Upgrades!$P$12,K62)*60</f>
        <v/>
      </c>
      <c r="AE62" s="27">
        <f>(IF(K62=0,0,(Upgrades!$G$12+K62*Upgrades!$H$12)*POWER(Upgrades!$I$12,K62)))*(IF(Upgrades!$T$6="First Photons",POWER(Upgrades!$U$6,E62),1)*IF(Upgrades!$T$7="First Photons",POWER(Upgrades!$U$7,F62),1)*IF(Upgrades!$T$8="First Photons",POWER(Upgrades!$U$8,G62),1)*IF(Upgrades!$T$9="First Photons",POWER(Upgrades!$U$9,H62),1)*IF(Upgrades!$T$10="First Photons",POWER(Upgrades!$U$10,I62),1)*IF(Upgrades!$T$11="First Photons",POWER(Upgrades!$U$11,J62),1))*POWER(Upgrades!$P$6,E62)*POWER(Upgrades!$P$7,F62)*POWER(Upgrades!$P$8,G62)*POWER(Upgrades!$P$9,H62)*POWER(Upgrades!$P$10,I62)*POWER(Upgrades!$P$11,J62)*POWER(Upgrades!$P$12,K62)*60</f>
        <v/>
      </c>
      <c r="AF62" s="27">
        <f>Parameters!$B$9*POWER(Upgrades!$Q$6,E62)*POWER(Upgrades!$Q$7,F62)*POWER(Upgrades!$Q$8,G62)*POWER(Upgrades!$Q$9,H62)*POWER(Upgrades!$Q$10,I62)*POWER(Upgrades!$Q$11,J62)*POWER(Upgrades!$Q$12,K62)*(Parameters!$B$10*Parameters!$B$11+O62*60)</f>
        <v/>
      </c>
      <c r="AG62" s="22">
        <f>IF(E62&gt;=Upgrades!$E$6,"",Upgrades!$C$6*POWER(Upgrades!$D$6,E62))</f>
        <v/>
      </c>
      <c r="AH62" s="22">
        <f>IF(F62&gt;=Upgrades!$E$7,"",Upgrades!$C$7*POWER(Upgrades!$D$7,F62))</f>
        <v/>
      </c>
      <c r="AI62" s="22">
        <f>IF(G62&gt;=Upgrades!$E$8,"",Upgrades!$C$8*POWER(Upgrades!$D$8,G62))</f>
        <v/>
      </c>
      <c r="AJ62" s="22">
        <f>IF(H62&gt;=Upgrades!$E$9,"",Upgrades!$C$9*POWER(Upgrades!$D$9,H62))</f>
        <v/>
      </c>
      <c r="AK62" s="22">
        <f>IF(I62&gt;=Upgrades!$E$10,"",Upgrades!$C$10*POWER(Upgrades!$D$10,I62))</f>
        <v/>
      </c>
      <c r="AL62" s="22">
        <f>IF(J62&gt;=Upgrades!$E$11,"",Upgrades!$C$11*POWER(Upgrades!$D$11,J62))</f>
        <v/>
      </c>
      <c r="AM62" s="22">
        <f>IF(K62&gt;=Upgrades!$E$12,"",Upgrades!$C$12*POWER(Upgrades!$D$12,K62))</f>
        <v/>
      </c>
      <c r="AN62" s="26">
        <f>IF(AND(D62&gt;=Parameters!$B$18,(H62&gt;=Upgrades!$E$9)*(K62&gt;=Upgrades!$E$12)=1,L62=0),1,"")</f>
        <v/>
      </c>
      <c r="AO62" s="26">
        <f>IF(AND(D62&gt;=Parameters!$B$18,L62=0),1,"")</f>
        <v/>
      </c>
      <c r="AP62" s="22">
        <f>MIN(IF(ISNUMBER(AK62),AK62,9E15),IF(ISNUMBER(AL62),AL62,9E15),IF(ISNUMBER(AM62),AM62,9E15))</f>
        <v/>
      </c>
      <c r="AQ62" s="22">
        <f>MIN(IF(ISNUMBER(AG62),AG62,9E15),IF(ISNUMBER(AH62),AH62,9E15),IF(ISNUMBER(AI62),AI62,9E15),IF(ISNUMBER(AJ62),AJ62,9E15))</f>
        <v/>
      </c>
      <c r="AR62" s="29">
        <f>IF(AW62&gt;Parameters!$B$21*(MAX(IF(AND(NOT(AND(AO62=1,AN62&lt;&gt;1)),ISNUMBER(AG62),AG62&lt;=T62),AS62,0),IF(AND(NOT(AND(AO62=1,AN62&lt;&gt;1)),ISNUMBER(AH62),AH62&lt;=T62),AT62,0),IF(AND(NOT(AND(AO62=1,AN62&lt;&gt;1)),ISNUMBER(AI62),AI62&lt;=T62),AU62,0),IF(AND(ISNUMBER(AJ62),AJ62&lt;=T62),AV62,0))),TRUE,FALSE)</f>
        <v/>
      </c>
      <c r="AS62" s="32">
        <f>IFERROR(Upgrades!$H$6*(POWER(Upgrades!$P$6,E62)*POWER(Upgrades!$P$7,F62)*POWER(Upgrades!$P$8,G62)*POWER(Upgrades!$P$9,H62)*POWER(Upgrades!$P$10,I62)*POWER(Upgrades!$P$11,J62)*POWER(Upgrades!$P$12,K62))*(IF(Upgrades!$T$7="Solar Wind",POWER(Upgrades!$U$7,F62),1)*IF(Upgrades!$T$8="Solar Wind",POWER(Upgrades!$U$8,G62),1)*IF(Upgrades!$T$9="Solar Wind",POWER(Upgrades!$U$9,H62),1)*IF(Upgrades!$T$10="Solar Wind",POWER(Upgrades!$U$10,I62),1)*IF(Upgrades!$T$11="Solar Wind",POWER(Upgrades!$U$11,J62),1)*IF(Upgrades!$T$12="Solar Wind",POWER(Upgrades!$U$12,K62),1))/AG62,0)</f>
        <v/>
      </c>
      <c r="AT62" s="32">
        <f>IFERROR(Upgrades!$H$7*(POWER(Upgrades!$P$6,E62)*POWER(Upgrades!$P$7,F62)*POWER(Upgrades!$P$8,G62)*POWER(Upgrades!$P$9,H62)*POWER(Upgrades!$P$10,I62)*POWER(Upgrades!$P$11,J62)*POWER(Upgrades!$P$12,K62))*(IF(Upgrades!$T$6="Asteroid Belt",POWER(Upgrades!$U$6,E62),1)*IF(Upgrades!$T$8="Asteroid Belt",POWER(Upgrades!$U$8,G62),1)*IF(Upgrades!$T$9="Asteroid Belt",POWER(Upgrades!$U$9,H62),1)*IF(Upgrades!$T$10="Asteroid Belt",POWER(Upgrades!$U$10,I62),1)*IF(Upgrades!$T$11="Asteroid Belt",POWER(Upgrades!$U$11,J62),1)*IF(Upgrades!$T$12="Asteroid Belt",POWER(Upgrades!$U$12,K62),1))/AH62,0)</f>
        <v/>
      </c>
      <c r="AU62" s="32">
        <f>IFERROR(Upgrades!$K$8*(POWER(Upgrades!$Q$6,E62)*POWER(Upgrades!$Q$7,F62)*POWER(Upgrades!$Q$8,G62)*POWER(Upgrades!$Q$9,H62)*POWER(Upgrades!$Q$10,I62)*POWER(Upgrades!$Q$11,J62)*POWER(Upgrades!$Q$12,K62))*(IF(Upgrades!$T$6="Stellar Coupling",POWER(Upgrades!$U$6,E62),1)*IF(Upgrades!$T$7="Stellar Coupling",POWER(Upgrades!$U$7,F62),1)*IF(Upgrades!$T$9="Stellar Coupling",POWER(Upgrades!$U$9,H62),1)*IF(Upgrades!$T$10="Stellar Coupling",POWER(Upgrades!$U$10,I62),1)*IF(Upgrades!$T$11="Stellar Coupling",POWER(Upgrades!$U$11,J62),1)*IF(Upgrades!$T$12="Stellar Coupling",POWER(Upgrades!$U$12,K62),1))*Parameters!$B$10*Parameters!$B$11/60/AI62,0)</f>
        <v/>
      </c>
      <c r="AV62" s="32">
        <f>IFERROR(Upgrades!$H$9*(POWER(Upgrades!$P$6,E62)*POWER(Upgrades!$P$7,F62)*POWER(Upgrades!$P$8,G62)*POWER(Upgrades!$P$9,H62)*POWER(Upgrades!$P$10,I62)*POWER(Upgrades!$P$11,J62)*POWER(Upgrades!$P$12,K62))*(IF(Upgrades!$T$6="Magnetosphere",POWER(Upgrades!$U$6,E62),1)*IF(Upgrades!$T$7="Magnetosphere",POWER(Upgrades!$U$7,F62),1)*IF(Upgrades!$T$8="Magnetosphere",POWER(Upgrades!$U$8,G62),1)*IF(Upgrades!$T$10="Magnetosphere",POWER(Upgrades!$U$10,I62),1)*IF(Upgrades!$T$11="Magnetosphere",POWER(Upgrades!$U$11,J62),1)*IF(Upgrades!$T$12="Magnetosphere",POWER(Upgrades!$U$12,K62),1))/AJ62,0)</f>
        <v/>
      </c>
      <c r="AW62" s="32">
        <f>MAX(IF(I62&gt;0,0,IFERROR(0.25*N62/Upgrades!$C$10,0)),IF(J62&gt;0,0,IFERROR(0.5*((IF(G62=0,0,(Upgrades!$J$8+G62*Upgrades!$K$8)*POWER(Upgrades!$L$8,G62)))*(IF(Upgrades!$T$6="Stellar Coupling",POWER(Upgrades!$U$6,E62),1)*IF(Upgrades!$T$7="Stellar Coupling",POWER(Upgrades!$U$7,F62),1)*IF(Upgrades!$T$9="Stellar Coupling",POWER(Upgrades!$U$9,H62),1)*IF(Upgrades!$T$10="Stellar Coupling",POWER(Upgrades!$U$10,I62),1)*IF(Upgrades!$T$11="Stellar Coupling",POWER(Upgrades!$U$11,J62),1)*IF(Upgrades!$T$12="Stellar Coupling",POWER(Upgrades!$U$12,K62),1))*(POWER(Upgrades!$Q$6,E62)*POWER(Upgrades!$Q$7,F62)*POWER(Upgrades!$Q$8,G62)*POWER(Upgrades!$Q$9,H62)*POWER(Upgrades!$Q$10,I62)*POWER(Upgrades!$Q$11,J62)*POWER(Upgrades!$Q$12,K62))*Parameters!$B$10*Parameters!$B$11/60)/Upgrades!$C$11,0)),IF(K62&gt;0,0,IFERROR((1.0*(POWER(Upgrades!$P$6,E62)*POWER(Upgrades!$P$7,F62)*POWER(Upgrades!$P$8,G62)*POWER(Upgrades!$P$9,H62)*POWER(Upgrades!$P$10,I62)*POWER(Upgrades!$P$11,J62)*POWER(Upgrades!$P$12,K62))+0.20*M62*Parameters!$B$10*Parameters!$B$11/60)/Upgrades!$C$12,0)),IF(AND(ISNUMBER(AG62),AG62&gt;T62),AS62,0),IF(AND(ISNUMBER(AH62),AH62&gt;T62),AT62,0),IF(AND(ISNUMBER(AI62),AI62&gt;T62),AU62,0),IF(AND(ISNUMBER(AJ62),AJ62&gt;T62),AV62,0))</f>
        <v/>
      </c>
      <c r="AX62" s="29">
        <f>IF(AN62=1,"transition",IF(MIN(IF(AND(I62=0,ISNUMBER(AK62),AK62&lt;=T62),AK62,9E15),IF(AND(J62=0,ISNUMBER(AL62),AL62&lt;=T62),AL62,9E15),IF(AND(K62=0,ISNUMBER(AM62),AM62&lt;=T62),AM62,9E15))&lt;9E15,IF(AND(AND(I62=0,ISNUMBER(AK62),AK62&lt;=T62),AK62=MIN(IF(AND(I62=0,ISNUMBER(AK62),AK62&lt;=T62),AK62,9E15),IF(AND(J62=0,ISNUMBER(AL62),AL62&lt;=T62),AL62,9E15),IF(AND(K62=0,ISNUMBER(AM62),AM62&lt;=T62),AM62,9E15))),"OR",IF(AND(AND(J62=0,ISNUMBER(AL62),AL62&lt;=T62),AL62=MIN(IF(AND(I62=0,ISNUMBER(AK62),AK62&lt;=T62),AK62,9E15),IF(AND(J62=0,ISNUMBER(AL62),AL62&lt;=T62),AL62,9E15),IF(AND(K62=0,ISNUMBER(AM62),AM62&lt;=T62),AM62,9E15))),"HP","FP")),IF(AR62=TRUE,"",IF(MAX(IF(AND(NOT(AND(AO62=1,AN62&lt;&gt;1)),ISNUMBER(AG62),AG62&lt;=T62),AS62,0),IF(AND(NOT(AND(AO62=1,AN62&lt;&gt;1)),ISNUMBER(AH62),AH62&lt;=T62),AT62,0),IF(AND(NOT(AND(AO62=1,AN62&lt;&gt;1)),ISNUMBER(AI62),AI62&lt;=T62),AU62,0),IF(AND(ISNUMBER(AJ62),AJ62&lt;=T62),AV62,0))&lt;=0,"",IF(AND(IF(AND(NOT(AND(AO62=1,AN62&lt;&gt;1)),ISNUMBER(AG62),AG62&lt;=T62),AS62,0)&gt;0,IF(AND(NOT(AND(AO62=1,AN62&lt;&gt;1)),ISNUMBER(AG62),AG62&lt;=T62),AS62,0)=MAX(IF(AND(NOT(AND(AO62=1,AN62&lt;&gt;1)),ISNUMBER(AG62),AG62&lt;=T62),AS62,0),IF(AND(NOT(AND(AO62=1,AN62&lt;&gt;1)),ISNUMBER(AH62),AH62&lt;=T62),AT62,0),IF(AND(NOT(AND(AO62=1,AN62&lt;&gt;1)),ISNUMBER(AI62),AI62&lt;=T62),AU62,0),IF(AND(ISNUMBER(AJ62),AJ62&lt;=T62),AV62,0))),"SW",IF(AND(IF(AND(NOT(AND(AO62=1,AN62&lt;&gt;1)),ISNUMBER(AH62),AH62&lt;=T62),AT62,0)&gt;0,IF(AND(NOT(AND(AO62=1,AN62&lt;&gt;1)),ISNUMBER(AH62),AH62&lt;=T62),AT62,0)=MAX(IF(AND(NOT(AND(AO62=1,AN62&lt;&gt;1)),ISNUMBER(AG62),AG62&lt;=T62),AS62,0),IF(AND(NOT(AND(AO62=1,AN62&lt;&gt;1)),ISNUMBER(AH62),AH62&lt;=T62),AT62,0),IF(AND(NOT(AND(AO62=1,AN62&lt;&gt;1)),ISNUMBER(AI62),AI62&lt;=T62),AU62,0),IF(AND(ISNUMBER(AJ62),AJ62&lt;=T62),AV62,0))),"AB",IF(AND(IF(AND(NOT(AND(AO62=1,AN62&lt;&gt;1)),ISNUMBER(AI62),AI62&lt;=T62),AU62,0)&gt;0,IF(AND(NOT(AND(AO62=1,AN62&lt;&gt;1)),ISNUMBER(AI62),AI62&lt;=T62),AU62,0)=MAX(IF(AND(NOT(AND(AO62=1,AN62&lt;&gt;1)),ISNUMBER(AG62),AG62&lt;=T62),AS62,0),IF(AND(NOT(AND(AO62=1,AN62&lt;&gt;1)),ISNUMBER(AH62),AH62&lt;=T62),AT62,0),IF(AND(NOT(AND(AO62=1,AN62&lt;&gt;1)),ISNUMBER(AI62),AI62&lt;=T62),AU62,0),IF(AND(ISNUMBER(AJ62),AJ62&lt;=T62),AV62,0))),"SC","Mag")))))))</f>
        <v/>
      </c>
    </row>
    <row r="63">
      <c r="A63" s="26" t="n">
        <v>58</v>
      </c>
      <c r="B63" s="27">
        <f>A63*10/60</f>
        <v/>
      </c>
      <c r="C63" s="22">
        <f>X62</f>
        <v/>
      </c>
      <c r="D63" s="27">
        <f>D62+W62</f>
        <v/>
      </c>
      <c r="E63" s="26">
        <f>E62+IF(U62="SW",1,0)</f>
        <v/>
      </c>
      <c r="F63" s="26">
        <f>F62+IF(U62="AB",1,0)</f>
        <v/>
      </c>
      <c r="G63" s="26">
        <f>G62+IF(U62="SC",1,0)</f>
        <v/>
      </c>
      <c r="H63" s="26">
        <f>H62+IF(U62="Mag",1,0)</f>
        <v/>
      </c>
      <c r="I63" s="26">
        <f>MAX(I62,IF(U62="OR",1,0))</f>
        <v/>
      </c>
      <c r="J63" s="26">
        <f>MAX(J62,IF(U62="HP",1,0))</f>
        <v/>
      </c>
      <c r="K63" s="26">
        <f>MAX(K62,IF(U62="FP",1,0))</f>
        <v/>
      </c>
      <c r="L63" s="26">
        <f>MAX(L62,IF(U62="transition",1,0))</f>
        <v/>
      </c>
      <c r="M63" s="28">
        <f>(Parameters!$B$9+(IF(E63=0,0,(Upgrades!$J$6+E63*Upgrades!$K$6)*POWER(Upgrades!$L$6,E63)))*(IF(Upgrades!$T$7="Solar Wind",POWER(Upgrades!$U$7,F63),1)*IF(Upgrades!$T$8="Solar Wind",POWER(Upgrades!$U$8,G63),1)*IF(Upgrades!$T$9="Solar Wind",POWER(Upgrades!$U$9,H63),1)*IF(Upgrades!$T$10="Solar Wind",POWER(Upgrades!$U$10,I63),1)*IF(Upgrades!$T$11="Solar Wind",POWER(Upgrades!$U$11,J63),1)*IF(Upgrades!$T$12="Solar Wind",POWER(Upgrades!$U$12,K63),1))+(IF(F63=0,0,(Upgrades!$J$7+F63*Upgrades!$K$7)*POWER(Upgrades!$L$7,F63)))*(IF(Upgrades!$T$6="Asteroid Belt",POWER(Upgrades!$U$6,E63),1)*IF(Upgrades!$T$8="Asteroid Belt",POWER(Upgrades!$U$8,G63),1)*IF(Upgrades!$T$9="Asteroid Belt",POWER(Upgrades!$U$9,H63),1)*IF(Upgrades!$T$10="Asteroid Belt",POWER(Upgrades!$U$10,I63),1)*IF(Upgrades!$T$11="Asteroid Belt",POWER(Upgrades!$U$11,J63),1)*IF(Upgrades!$T$12="Asteroid Belt",POWER(Upgrades!$U$12,K63),1))+(IF(G63=0,0,(Upgrades!$J$8+G63*Upgrades!$K$8)*POWER(Upgrades!$L$8,G63)))*(IF(Upgrades!$T$6="Stellar Coupling",POWER(Upgrades!$U$6,E63),1)*IF(Upgrades!$T$7="Stellar Coupling",POWER(Upgrades!$U$7,F63),1)*IF(Upgrades!$T$9="Stellar Coupling",POWER(Upgrades!$U$9,H63),1)*IF(Upgrades!$T$10="Stellar Coupling",POWER(Upgrades!$U$10,I63),1)*IF(Upgrades!$T$11="Stellar Coupling",POWER(Upgrades!$U$11,J63),1)*IF(Upgrades!$T$12="Stellar Coupling",POWER(Upgrades!$U$12,K63),1))+(IF(H63=0,0,(Upgrades!$J$9+H63*Upgrades!$K$9)*POWER(Upgrades!$L$9,H63)))*(IF(Upgrades!$T$6="Magnetosphere",POWER(Upgrades!$U$6,E63),1)*IF(Upgrades!$T$7="Magnetosphere",POWER(Upgrades!$U$7,F63),1)*IF(Upgrades!$T$8="Magnetosphere",POWER(Upgrades!$U$8,G63),1)*IF(Upgrades!$T$10="Magnetosphere",POWER(Upgrades!$U$10,I63),1)*IF(Upgrades!$T$11="Magnetosphere",POWER(Upgrades!$U$11,J63),1)*IF(Upgrades!$T$12="Magnetosphere",POWER(Upgrades!$U$12,K63),1))+(IF(I63=0,0,(Upgrades!$J$10+I63*Upgrades!$K$10)*POWER(Upgrades!$L$10,I63)))*(IF(Upgrades!$T$6="Orbital Resonance",POWER(Upgrades!$U$6,E63),1)*IF(Upgrades!$T$7="Orbital Resonance",POWER(Upgrades!$U$7,F63),1)*IF(Upgrades!$T$8="Orbital Resonance",POWER(Upgrades!$U$8,G63),1)*IF(Upgrades!$T$9="Orbital Resonance",POWER(Upgrades!$U$9,H63),1)*IF(Upgrades!$T$11="Orbital Resonance",POWER(Upgrades!$U$11,J63),1)*IF(Upgrades!$T$12="Orbital Resonance",POWER(Upgrades!$U$12,K63),1))+(IF(J63=0,0,(Upgrades!$J$11+J63*Upgrades!$K$11)*POWER(Upgrades!$L$11,J63)))*(IF(Upgrades!$T$6="Heliopause",POWER(Upgrades!$U$6,E63),1)*IF(Upgrades!$T$7="Heliopause",POWER(Upgrades!$U$7,F63),1)*IF(Upgrades!$T$8="Heliopause",POWER(Upgrades!$U$8,G63),1)*IF(Upgrades!$T$9="Heliopause",POWER(Upgrades!$U$9,H63),1)*IF(Upgrades!$T$10="Heliopause",POWER(Upgrades!$U$10,I63),1)*IF(Upgrades!$T$12="Heliopause",POWER(Upgrades!$U$12,K63),1))+(IF(K63=0,0,(Upgrades!$J$12+K63*Upgrades!$K$12)*POWER(Upgrades!$L$12,K63)))*(IF(Upgrades!$T$6="First Photons",POWER(Upgrades!$U$6,E63),1)*IF(Upgrades!$T$7="First Photons",POWER(Upgrades!$U$7,F63),1)*IF(Upgrades!$T$8="First Photons",POWER(Upgrades!$U$8,G63),1)*IF(Upgrades!$T$9="First Photons",POWER(Upgrades!$U$9,H63),1)*IF(Upgrades!$T$10="First Photons",POWER(Upgrades!$U$10,I63),1)*IF(Upgrades!$T$11="First Photons",POWER(Upgrades!$U$11,J63),1)))*POWER(Upgrades!$Q$6,E63)*POWER(Upgrades!$Q$7,F63)*POWER(Upgrades!$Q$8,G63)*POWER(Upgrades!$Q$9,H63)*POWER(Upgrades!$Q$10,I63)*POWER(Upgrades!$Q$11,J63)*POWER(Upgrades!$Q$12,K63)</f>
        <v/>
      </c>
      <c r="N63" s="28">
        <f>((IF(E63=0,0,(Upgrades!$G$6+E63*Upgrades!$H$6)*POWER(Upgrades!$I$6,E63)))*(IF(Upgrades!$T$7="Solar Wind",POWER(Upgrades!$U$7,F63),1)*IF(Upgrades!$T$8="Solar Wind",POWER(Upgrades!$U$8,G63),1)*IF(Upgrades!$T$9="Solar Wind",POWER(Upgrades!$U$9,H63),1)*IF(Upgrades!$T$10="Solar Wind",POWER(Upgrades!$U$10,I63),1)*IF(Upgrades!$T$11="Solar Wind",POWER(Upgrades!$U$11,J63),1)*IF(Upgrades!$T$12="Solar Wind",POWER(Upgrades!$U$12,K63),1))+(IF(F63=0,0,(Upgrades!$G$7+F63*Upgrades!$H$7)*POWER(Upgrades!$I$7,F63)))*(IF(Upgrades!$T$6="Asteroid Belt",POWER(Upgrades!$U$6,E63),1)*IF(Upgrades!$T$8="Asteroid Belt",POWER(Upgrades!$U$8,G63),1)*IF(Upgrades!$T$9="Asteroid Belt",POWER(Upgrades!$U$9,H63),1)*IF(Upgrades!$T$10="Asteroid Belt",POWER(Upgrades!$U$10,I63),1)*IF(Upgrades!$T$11="Asteroid Belt",POWER(Upgrades!$U$11,J63),1)*IF(Upgrades!$T$12="Asteroid Belt",POWER(Upgrades!$U$12,K63),1))+(IF(G63=0,0,(Upgrades!$G$8+G63*Upgrades!$H$8)*POWER(Upgrades!$I$8,G63)))*(IF(Upgrades!$T$6="Stellar Coupling",POWER(Upgrades!$U$6,E63),1)*IF(Upgrades!$T$7="Stellar Coupling",POWER(Upgrades!$U$7,F63),1)*IF(Upgrades!$T$9="Stellar Coupling",POWER(Upgrades!$U$9,H63),1)*IF(Upgrades!$T$10="Stellar Coupling",POWER(Upgrades!$U$10,I63),1)*IF(Upgrades!$T$11="Stellar Coupling",POWER(Upgrades!$U$11,J63),1)*IF(Upgrades!$T$12="Stellar Coupling",POWER(Upgrades!$U$12,K63),1))+(IF(H63=0,0,(Upgrades!$G$9+H63*Upgrades!$H$9)*POWER(Upgrades!$I$9,H63)))*(IF(Upgrades!$T$6="Magnetosphere",POWER(Upgrades!$U$6,E63),1)*IF(Upgrades!$T$7="Magnetosphere",POWER(Upgrades!$U$7,F63),1)*IF(Upgrades!$T$8="Magnetosphere",POWER(Upgrades!$U$8,G63),1)*IF(Upgrades!$T$10="Magnetosphere",POWER(Upgrades!$U$10,I63),1)*IF(Upgrades!$T$11="Magnetosphere",POWER(Upgrades!$U$11,J63),1)*IF(Upgrades!$T$12="Magnetosphere",POWER(Upgrades!$U$12,K63),1))+(IF(I63=0,0,(Upgrades!$G$10+I63*Upgrades!$H$10)*POWER(Upgrades!$I$10,I63)))*(IF(Upgrades!$T$6="Orbital Resonance",POWER(Upgrades!$U$6,E63),1)*IF(Upgrades!$T$7="Orbital Resonance",POWER(Upgrades!$U$7,F63),1)*IF(Upgrades!$T$8="Orbital Resonance",POWER(Upgrades!$U$8,G63),1)*IF(Upgrades!$T$9="Orbital Resonance",POWER(Upgrades!$U$9,H63),1)*IF(Upgrades!$T$11="Orbital Resonance",POWER(Upgrades!$U$11,J63),1)*IF(Upgrades!$T$12="Orbital Resonance",POWER(Upgrades!$U$12,K63),1))+(IF(J63=0,0,(Upgrades!$G$11+J63*Upgrades!$H$11)*POWER(Upgrades!$I$11,J63)))*(IF(Upgrades!$T$6="Heliopause",POWER(Upgrades!$U$6,E63),1)*IF(Upgrades!$T$7="Heliopause",POWER(Upgrades!$U$7,F63),1)*IF(Upgrades!$T$8="Heliopause",POWER(Upgrades!$U$8,G63),1)*IF(Upgrades!$T$9="Heliopause",POWER(Upgrades!$U$9,H63),1)*IF(Upgrades!$T$10="Heliopause",POWER(Upgrades!$U$10,I63),1)*IF(Upgrades!$T$12="Heliopause",POWER(Upgrades!$U$12,K63),1))+(IF(K63=0,0,(Upgrades!$G$12+K63*Upgrades!$H$12)*POWER(Upgrades!$I$12,K63)))*(IF(Upgrades!$T$6="First Photons",POWER(Upgrades!$U$6,E63),1)*IF(Upgrades!$T$7="First Photons",POWER(Upgrades!$U$7,F63),1)*IF(Upgrades!$T$8="First Photons",POWER(Upgrades!$U$8,G63),1)*IF(Upgrades!$T$9="First Photons",POWER(Upgrades!$U$9,H63),1)*IF(Upgrades!$T$10="First Photons",POWER(Upgrades!$U$10,I63),1)*IF(Upgrades!$T$11="First Photons",POWER(Upgrades!$U$11,J63),1)))*POWER(Upgrades!$P$6,E63)*POWER(Upgrades!$P$7,F63)*POWER(Upgrades!$P$8,G63)*POWER(Upgrades!$P$9,H63)*POWER(Upgrades!$P$10,I63)*POWER(Upgrades!$P$11,J63)*POWER(Upgrades!$P$12,K63)</f>
        <v/>
      </c>
      <c r="O63" s="28">
        <f>((IF(E63=0,0,(Upgrades!$M$6+E63*Upgrades!$N$6)*POWER(Upgrades!$O$6,E63)))*(IF(Upgrades!$T$7="Solar Wind",POWER(Upgrades!$U$7,F63),1)*IF(Upgrades!$T$8="Solar Wind",POWER(Upgrades!$U$8,G63),1)*IF(Upgrades!$T$9="Solar Wind",POWER(Upgrades!$U$9,H63),1)*IF(Upgrades!$T$10="Solar Wind",POWER(Upgrades!$U$10,I63),1)*IF(Upgrades!$T$11="Solar Wind",POWER(Upgrades!$U$11,J63),1)*IF(Upgrades!$T$12="Solar Wind",POWER(Upgrades!$U$12,K63),1))+(IF(F63=0,0,(Upgrades!$M$7+F63*Upgrades!$N$7)*POWER(Upgrades!$O$7,F63)))*(IF(Upgrades!$T$6="Asteroid Belt",POWER(Upgrades!$U$6,E63),1)*IF(Upgrades!$T$8="Asteroid Belt",POWER(Upgrades!$U$8,G63),1)*IF(Upgrades!$T$9="Asteroid Belt",POWER(Upgrades!$U$9,H63),1)*IF(Upgrades!$T$10="Asteroid Belt",POWER(Upgrades!$U$10,I63),1)*IF(Upgrades!$T$11="Asteroid Belt",POWER(Upgrades!$U$11,J63),1)*IF(Upgrades!$T$12="Asteroid Belt",POWER(Upgrades!$U$12,K63),1))+(IF(G63=0,0,(Upgrades!$M$8+G63*Upgrades!$N$8)*POWER(Upgrades!$O$8,G63)))*(IF(Upgrades!$T$6="Stellar Coupling",POWER(Upgrades!$U$6,E63),1)*IF(Upgrades!$T$7="Stellar Coupling",POWER(Upgrades!$U$7,F63),1)*IF(Upgrades!$T$9="Stellar Coupling",POWER(Upgrades!$U$9,H63),1)*IF(Upgrades!$T$10="Stellar Coupling",POWER(Upgrades!$U$10,I63),1)*IF(Upgrades!$T$11="Stellar Coupling",POWER(Upgrades!$U$11,J63),1)*IF(Upgrades!$T$12="Stellar Coupling",POWER(Upgrades!$U$12,K63),1))+(IF(H63=0,0,(Upgrades!$M$9+H63*Upgrades!$N$9)*POWER(Upgrades!$O$9,H63)))*(IF(Upgrades!$T$6="Magnetosphere",POWER(Upgrades!$U$6,E63),1)*IF(Upgrades!$T$7="Magnetosphere",POWER(Upgrades!$U$7,F63),1)*IF(Upgrades!$T$8="Magnetosphere",POWER(Upgrades!$U$8,G63),1)*IF(Upgrades!$T$10="Magnetosphere",POWER(Upgrades!$U$10,I63),1)*IF(Upgrades!$T$11="Magnetosphere",POWER(Upgrades!$U$11,J63),1)*IF(Upgrades!$T$12="Magnetosphere",POWER(Upgrades!$U$12,K63),1))+(IF(I63=0,0,(Upgrades!$M$10+I63*Upgrades!$N$10)*POWER(Upgrades!$O$10,I63)))*(IF(Upgrades!$T$6="Orbital Resonance",POWER(Upgrades!$U$6,E63),1)*IF(Upgrades!$T$7="Orbital Resonance",POWER(Upgrades!$U$7,F63),1)*IF(Upgrades!$T$8="Orbital Resonance",POWER(Upgrades!$U$8,G63),1)*IF(Upgrades!$T$9="Orbital Resonance",POWER(Upgrades!$U$9,H63),1)*IF(Upgrades!$T$11="Orbital Resonance",POWER(Upgrades!$U$11,J63),1)*IF(Upgrades!$T$12="Orbital Resonance",POWER(Upgrades!$U$12,K63),1))+(IF(J63=0,0,(Upgrades!$M$11+J63*Upgrades!$N$11)*POWER(Upgrades!$O$11,J63)))*(IF(Upgrades!$T$6="Heliopause",POWER(Upgrades!$U$6,E63),1)*IF(Upgrades!$T$7="Heliopause",POWER(Upgrades!$U$7,F63),1)*IF(Upgrades!$T$8="Heliopause",POWER(Upgrades!$U$8,G63),1)*IF(Upgrades!$T$9="Heliopause",POWER(Upgrades!$U$9,H63),1)*IF(Upgrades!$T$10="Heliopause",POWER(Upgrades!$U$10,I63),1)*IF(Upgrades!$T$12="Heliopause",POWER(Upgrades!$U$12,K63),1))+(IF(K63=0,0,(Upgrades!$M$12+K63*Upgrades!$N$12)*POWER(Upgrades!$O$12,K63)))*(IF(Upgrades!$T$6="First Photons",POWER(Upgrades!$U$6,E63),1)*IF(Upgrades!$T$7="First Photons",POWER(Upgrades!$U$7,F63),1)*IF(Upgrades!$T$8="First Photons",POWER(Upgrades!$U$8,G63),1)*IF(Upgrades!$T$9="First Photons",POWER(Upgrades!$U$9,H63),1)*IF(Upgrades!$T$10="First Photons",POWER(Upgrades!$U$10,I63),1)*IF(Upgrades!$T$11="First Photons",POWER(Upgrades!$U$11,J63),1)))*POWER(Upgrades!$R$6,E63)*POWER(Upgrades!$R$7,F63)*POWER(Upgrades!$R$8,G63)*POWER(Upgrades!$R$9,H63)*POWER(Upgrades!$R$10,I63)*POWER(Upgrades!$R$11,J63)*POWER(Upgrades!$R$12,K63)</f>
        <v/>
      </c>
      <c r="P63" s="27">
        <f>IF(L63=1,0,M63*Parameters!$B$10/60*Parameters!$B$11*10)</f>
        <v/>
      </c>
      <c r="Q63" s="27">
        <f>IF(L63=1,0,O63*M63*10)</f>
        <v/>
      </c>
      <c r="R63" s="27">
        <f>IF(L63=1,0,N63*10)</f>
        <v/>
      </c>
      <c r="S63" s="27">
        <f>P63+Q63+R63</f>
        <v/>
      </c>
      <c r="T63" s="22">
        <f>C63+S63</f>
        <v/>
      </c>
      <c r="U63" s="33">
        <f>AX63</f>
        <v/>
      </c>
      <c r="V63" s="22">
        <f>IF(U63="",0,IF(U63="transition",0,IF(U63="SW",AG63,IF(U63="AB",AH63,IF(U63="SC",AI63,IF(U63="Mag",AJ63,IF(U63="OR",AK63,IF(U63="HP",AL63,IF(U63="FP",AM63,0)))))))))</f>
        <v/>
      </c>
      <c r="W63" s="27">
        <f>IF(U63="OR",Upgrades!$F$10,IF(U63="HP",Upgrades!$F$11,IF(U63="transition",-Parameters!$B$18,0)))</f>
        <v/>
      </c>
      <c r="X63" s="22">
        <f>T63-V63</f>
        <v/>
      </c>
      <c r="Y63" s="30">
        <f>M63*Parameters!$B$10/60*Parameters!$B$11+O63*M63+N63</f>
        <v/>
      </c>
      <c r="Z63" s="34">
        <f>IF(U63="transition","→ Tier 2 (Stellar Neighborhood)",IF(U63="FP","First Photons — light begins, system quickens",IF(U63="HP","Heliopause acquired",IF(U63="OR","Orbital Resonance — passive multiplier active",IF(AND(AO63=1,L63=0,AN63&lt;&gt;1),"Cohesion ready (waiting on completionist upgrades)","")))))</f>
        <v/>
      </c>
      <c r="AA63" s="27">
        <f>(IF(E63=0,0,(Upgrades!$G$6+E63*Upgrades!$H$6)*POWER(Upgrades!$I$6,E63)))*(IF(Upgrades!$T$7="Solar Wind",POWER(Upgrades!$U$7,F63),1)*IF(Upgrades!$T$8="Solar Wind",POWER(Upgrades!$U$8,G63),1)*IF(Upgrades!$T$9="Solar Wind",POWER(Upgrades!$U$9,H63),1)*IF(Upgrades!$T$10="Solar Wind",POWER(Upgrades!$U$10,I63),1)*IF(Upgrades!$T$11="Solar Wind",POWER(Upgrades!$U$11,J63),1)*IF(Upgrades!$T$12="Solar Wind",POWER(Upgrades!$U$12,K63),1))*POWER(Upgrades!$P$6,E63)*POWER(Upgrades!$P$7,F63)*POWER(Upgrades!$P$8,G63)*POWER(Upgrades!$P$9,H63)*POWER(Upgrades!$P$10,I63)*POWER(Upgrades!$P$11,J63)*POWER(Upgrades!$P$12,K63)*60</f>
        <v/>
      </c>
      <c r="AB63" s="27">
        <f>(IF(F63=0,0,(Upgrades!$G$7+F63*Upgrades!$H$7)*POWER(Upgrades!$I$7,F63)))*(IF(Upgrades!$T$6="Asteroid Belt",POWER(Upgrades!$U$6,E63),1)*IF(Upgrades!$T$8="Asteroid Belt",POWER(Upgrades!$U$8,G63),1)*IF(Upgrades!$T$9="Asteroid Belt",POWER(Upgrades!$U$9,H63),1)*IF(Upgrades!$T$10="Asteroid Belt",POWER(Upgrades!$U$10,I63),1)*IF(Upgrades!$T$11="Asteroid Belt",POWER(Upgrades!$U$11,J63),1)*IF(Upgrades!$T$12="Asteroid Belt",POWER(Upgrades!$U$12,K63),1))*POWER(Upgrades!$P$6,E63)*POWER(Upgrades!$P$7,F63)*POWER(Upgrades!$P$8,G63)*POWER(Upgrades!$P$9,H63)*POWER(Upgrades!$P$10,I63)*POWER(Upgrades!$P$11,J63)*POWER(Upgrades!$P$12,K63)*60</f>
        <v/>
      </c>
      <c r="AC63" s="27">
        <f>(IF(G63=0,0,(Upgrades!$J$8+G63*Upgrades!$K$8)*POWER(Upgrades!$L$8,G63)))*(IF(Upgrades!$T$6="Stellar Coupling",POWER(Upgrades!$U$6,E63),1)*IF(Upgrades!$T$7="Stellar Coupling",POWER(Upgrades!$U$7,F63),1)*IF(Upgrades!$T$9="Stellar Coupling",POWER(Upgrades!$U$9,H63),1)*IF(Upgrades!$T$10="Stellar Coupling",POWER(Upgrades!$U$10,I63),1)*IF(Upgrades!$T$11="Stellar Coupling",POWER(Upgrades!$U$11,J63),1)*IF(Upgrades!$T$12="Stellar Coupling",POWER(Upgrades!$U$12,K63),1))*POWER(Upgrades!$Q$6,E63)*POWER(Upgrades!$Q$7,F63)*POWER(Upgrades!$Q$8,G63)*POWER(Upgrades!$Q$9,H63)*POWER(Upgrades!$Q$10,I63)*POWER(Upgrades!$Q$11,J63)*POWER(Upgrades!$Q$12,K63)*Parameters!$B$10*Parameters!$B$11</f>
        <v/>
      </c>
      <c r="AD63" s="27">
        <f>(IF(H63=0,0,(Upgrades!$G$9+H63*Upgrades!$H$9)*POWER(Upgrades!$I$9,H63)))*(IF(Upgrades!$T$6="Magnetosphere",POWER(Upgrades!$U$6,E63),1)*IF(Upgrades!$T$7="Magnetosphere",POWER(Upgrades!$U$7,F63),1)*IF(Upgrades!$T$8="Magnetosphere",POWER(Upgrades!$U$8,G63),1)*IF(Upgrades!$T$10="Magnetosphere",POWER(Upgrades!$U$10,I63),1)*IF(Upgrades!$T$11="Magnetosphere",POWER(Upgrades!$U$11,J63),1)*IF(Upgrades!$T$12="Magnetosphere",POWER(Upgrades!$U$12,K63),1))*POWER(Upgrades!$P$6,E63)*POWER(Upgrades!$P$7,F63)*POWER(Upgrades!$P$8,G63)*POWER(Upgrades!$P$9,H63)*POWER(Upgrades!$P$10,I63)*POWER(Upgrades!$P$11,J63)*POWER(Upgrades!$P$12,K63)*60</f>
        <v/>
      </c>
      <c r="AE63" s="27">
        <f>(IF(K63=0,0,(Upgrades!$G$12+K63*Upgrades!$H$12)*POWER(Upgrades!$I$12,K63)))*(IF(Upgrades!$T$6="First Photons",POWER(Upgrades!$U$6,E63),1)*IF(Upgrades!$T$7="First Photons",POWER(Upgrades!$U$7,F63),1)*IF(Upgrades!$T$8="First Photons",POWER(Upgrades!$U$8,G63),1)*IF(Upgrades!$T$9="First Photons",POWER(Upgrades!$U$9,H63),1)*IF(Upgrades!$T$10="First Photons",POWER(Upgrades!$U$10,I63),1)*IF(Upgrades!$T$11="First Photons",POWER(Upgrades!$U$11,J63),1))*POWER(Upgrades!$P$6,E63)*POWER(Upgrades!$P$7,F63)*POWER(Upgrades!$P$8,G63)*POWER(Upgrades!$P$9,H63)*POWER(Upgrades!$P$10,I63)*POWER(Upgrades!$P$11,J63)*POWER(Upgrades!$P$12,K63)*60</f>
        <v/>
      </c>
      <c r="AF63" s="27">
        <f>Parameters!$B$9*POWER(Upgrades!$Q$6,E63)*POWER(Upgrades!$Q$7,F63)*POWER(Upgrades!$Q$8,G63)*POWER(Upgrades!$Q$9,H63)*POWER(Upgrades!$Q$10,I63)*POWER(Upgrades!$Q$11,J63)*POWER(Upgrades!$Q$12,K63)*(Parameters!$B$10*Parameters!$B$11+O63*60)</f>
        <v/>
      </c>
      <c r="AG63" s="22">
        <f>IF(E63&gt;=Upgrades!$E$6,"",Upgrades!$C$6*POWER(Upgrades!$D$6,E63))</f>
        <v/>
      </c>
      <c r="AH63" s="22">
        <f>IF(F63&gt;=Upgrades!$E$7,"",Upgrades!$C$7*POWER(Upgrades!$D$7,F63))</f>
        <v/>
      </c>
      <c r="AI63" s="22">
        <f>IF(G63&gt;=Upgrades!$E$8,"",Upgrades!$C$8*POWER(Upgrades!$D$8,G63))</f>
        <v/>
      </c>
      <c r="AJ63" s="22">
        <f>IF(H63&gt;=Upgrades!$E$9,"",Upgrades!$C$9*POWER(Upgrades!$D$9,H63))</f>
        <v/>
      </c>
      <c r="AK63" s="22">
        <f>IF(I63&gt;=Upgrades!$E$10,"",Upgrades!$C$10*POWER(Upgrades!$D$10,I63))</f>
        <v/>
      </c>
      <c r="AL63" s="22">
        <f>IF(J63&gt;=Upgrades!$E$11,"",Upgrades!$C$11*POWER(Upgrades!$D$11,J63))</f>
        <v/>
      </c>
      <c r="AM63" s="22">
        <f>IF(K63&gt;=Upgrades!$E$12,"",Upgrades!$C$12*POWER(Upgrades!$D$12,K63))</f>
        <v/>
      </c>
      <c r="AN63" s="26">
        <f>IF(AND(D63&gt;=Parameters!$B$18,(H63&gt;=Upgrades!$E$9)*(K63&gt;=Upgrades!$E$12)=1,L63=0),1,"")</f>
        <v/>
      </c>
      <c r="AO63" s="26">
        <f>IF(AND(D63&gt;=Parameters!$B$18,L63=0),1,"")</f>
        <v/>
      </c>
      <c r="AP63" s="22">
        <f>MIN(IF(ISNUMBER(AK63),AK63,9E15),IF(ISNUMBER(AL63),AL63,9E15),IF(ISNUMBER(AM63),AM63,9E15))</f>
        <v/>
      </c>
      <c r="AQ63" s="22">
        <f>MIN(IF(ISNUMBER(AG63),AG63,9E15),IF(ISNUMBER(AH63),AH63,9E15),IF(ISNUMBER(AI63),AI63,9E15),IF(ISNUMBER(AJ63),AJ63,9E15))</f>
        <v/>
      </c>
      <c r="AR63" s="29">
        <f>IF(AW63&gt;Parameters!$B$21*(MAX(IF(AND(NOT(AND(AO63=1,AN63&lt;&gt;1)),ISNUMBER(AG63),AG63&lt;=T63),AS63,0),IF(AND(NOT(AND(AO63=1,AN63&lt;&gt;1)),ISNUMBER(AH63),AH63&lt;=T63),AT63,0),IF(AND(NOT(AND(AO63=1,AN63&lt;&gt;1)),ISNUMBER(AI63),AI63&lt;=T63),AU63,0),IF(AND(ISNUMBER(AJ63),AJ63&lt;=T63),AV63,0))),TRUE,FALSE)</f>
        <v/>
      </c>
      <c r="AS63" s="32">
        <f>IFERROR(Upgrades!$H$6*(POWER(Upgrades!$P$6,E63)*POWER(Upgrades!$P$7,F63)*POWER(Upgrades!$P$8,G63)*POWER(Upgrades!$P$9,H63)*POWER(Upgrades!$P$10,I63)*POWER(Upgrades!$P$11,J63)*POWER(Upgrades!$P$12,K63))*(IF(Upgrades!$T$7="Solar Wind",POWER(Upgrades!$U$7,F63),1)*IF(Upgrades!$T$8="Solar Wind",POWER(Upgrades!$U$8,G63),1)*IF(Upgrades!$T$9="Solar Wind",POWER(Upgrades!$U$9,H63),1)*IF(Upgrades!$T$10="Solar Wind",POWER(Upgrades!$U$10,I63),1)*IF(Upgrades!$T$11="Solar Wind",POWER(Upgrades!$U$11,J63),1)*IF(Upgrades!$T$12="Solar Wind",POWER(Upgrades!$U$12,K63),1))/AG63,0)</f>
        <v/>
      </c>
      <c r="AT63" s="32">
        <f>IFERROR(Upgrades!$H$7*(POWER(Upgrades!$P$6,E63)*POWER(Upgrades!$P$7,F63)*POWER(Upgrades!$P$8,G63)*POWER(Upgrades!$P$9,H63)*POWER(Upgrades!$P$10,I63)*POWER(Upgrades!$P$11,J63)*POWER(Upgrades!$P$12,K63))*(IF(Upgrades!$T$6="Asteroid Belt",POWER(Upgrades!$U$6,E63),1)*IF(Upgrades!$T$8="Asteroid Belt",POWER(Upgrades!$U$8,G63),1)*IF(Upgrades!$T$9="Asteroid Belt",POWER(Upgrades!$U$9,H63),1)*IF(Upgrades!$T$10="Asteroid Belt",POWER(Upgrades!$U$10,I63),1)*IF(Upgrades!$T$11="Asteroid Belt",POWER(Upgrades!$U$11,J63),1)*IF(Upgrades!$T$12="Asteroid Belt",POWER(Upgrades!$U$12,K63),1))/AH63,0)</f>
        <v/>
      </c>
      <c r="AU63" s="32">
        <f>IFERROR(Upgrades!$K$8*(POWER(Upgrades!$Q$6,E63)*POWER(Upgrades!$Q$7,F63)*POWER(Upgrades!$Q$8,G63)*POWER(Upgrades!$Q$9,H63)*POWER(Upgrades!$Q$10,I63)*POWER(Upgrades!$Q$11,J63)*POWER(Upgrades!$Q$12,K63))*(IF(Upgrades!$T$6="Stellar Coupling",POWER(Upgrades!$U$6,E63),1)*IF(Upgrades!$T$7="Stellar Coupling",POWER(Upgrades!$U$7,F63),1)*IF(Upgrades!$T$9="Stellar Coupling",POWER(Upgrades!$U$9,H63),1)*IF(Upgrades!$T$10="Stellar Coupling",POWER(Upgrades!$U$10,I63),1)*IF(Upgrades!$T$11="Stellar Coupling",POWER(Upgrades!$U$11,J63),1)*IF(Upgrades!$T$12="Stellar Coupling",POWER(Upgrades!$U$12,K63),1))*Parameters!$B$10*Parameters!$B$11/60/AI63,0)</f>
        <v/>
      </c>
      <c r="AV63" s="32">
        <f>IFERROR(Upgrades!$H$9*(POWER(Upgrades!$P$6,E63)*POWER(Upgrades!$P$7,F63)*POWER(Upgrades!$P$8,G63)*POWER(Upgrades!$P$9,H63)*POWER(Upgrades!$P$10,I63)*POWER(Upgrades!$P$11,J63)*POWER(Upgrades!$P$12,K63))*(IF(Upgrades!$T$6="Magnetosphere",POWER(Upgrades!$U$6,E63),1)*IF(Upgrades!$T$7="Magnetosphere",POWER(Upgrades!$U$7,F63),1)*IF(Upgrades!$T$8="Magnetosphere",POWER(Upgrades!$U$8,G63),1)*IF(Upgrades!$T$10="Magnetosphere",POWER(Upgrades!$U$10,I63),1)*IF(Upgrades!$T$11="Magnetosphere",POWER(Upgrades!$U$11,J63),1)*IF(Upgrades!$T$12="Magnetosphere",POWER(Upgrades!$U$12,K63),1))/AJ63,0)</f>
        <v/>
      </c>
      <c r="AW63" s="32">
        <f>MAX(IF(I63&gt;0,0,IFERROR(0.25*N63/Upgrades!$C$10,0)),IF(J63&gt;0,0,IFERROR(0.5*((IF(G63=0,0,(Upgrades!$J$8+G63*Upgrades!$K$8)*POWER(Upgrades!$L$8,G63)))*(IF(Upgrades!$T$6="Stellar Coupling",POWER(Upgrades!$U$6,E63),1)*IF(Upgrades!$T$7="Stellar Coupling",POWER(Upgrades!$U$7,F63),1)*IF(Upgrades!$T$9="Stellar Coupling",POWER(Upgrades!$U$9,H63),1)*IF(Upgrades!$T$10="Stellar Coupling",POWER(Upgrades!$U$10,I63),1)*IF(Upgrades!$T$11="Stellar Coupling",POWER(Upgrades!$U$11,J63),1)*IF(Upgrades!$T$12="Stellar Coupling",POWER(Upgrades!$U$12,K63),1))*(POWER(Upgrades!$Q$6,E63)*POWER(Upgrades!$Q$7,F63)*POWER(Upgrades!$Q$8,G63)*POWER(Upgrades!$Q$9,H63)*POWER(Upgrades!$Q$10,I63)*POWER(Upgrades!$Q$11,J63)*POWER(Upgrades!$Q$12,K63))*Parameters!$B$10*Parameters!$B$11/60)/Upgrades!$C$11,0)),IF(K63&gt;0,0,IFERROR((1.0*(POWER(Upgrades!$P$6,E63)*POWER(Upgrades!$P$7,F63)*POWER(Upgrades!$P$8,G63)*POWER(Upgrades!$P$9,H63)*POWER(Upgrades!$P$10,I63)*POWER(Upgrades!$P$11,J63)*POWER(Upgrades!$P$12,K63))+0.20*M63*Parameters!$B$10*Parameters!$B$11/60)/Upgrades!$C$12,0)),IF(AND(ISNUMBER(AG63),AG63&gt;T63),AS63,0),IF(AND(ISNUMBER(AH63),AH63&gt;T63),AT63,0),IF(AND(ISNUMBER(AI63),AI63&gt;T63),AU63,0),IF(AND(ISNUMBER(AJ63),AJ63&gt;T63),AV63,0))</f>
        <v/>
      </c>
      <c r="AX63" s="29">
        <f>IF(AN63=1,"transition",IF(MIN(IF(AND(I63=0,ISNUMBER(AK63),AK63&lt;=T63),AK63,9E15),IF(AND(J63=0,ISNUMBER(AL63),AL63&lt;=T63),AL63,9E15),IF(AND(K63=0,ISNUMBER(AM63),AM63&lt;=T63),AM63,9E15))&lt;9E15,IF(AND(AND(I63=0,ISNUMBER(AK63),AK63&lt;=T63),AK63=MIN(IF(AND(I63=0,ISNUMBER(AK63),AK63&lt;=T63),AK63,9E15),IF(AND(J63=0,ISNUMBER(AL63),AL63&lt;=T63),AL63,9E15),IF(AND(K63=0,ISNUMBER(AM63),AM63&lt;=T63),AM63,9E15))),"OR",IF(AND(AND(J63=0,ISNUMBER(AL63),AL63&lt;=T63),AL63=MIN(IF(AND(I63=0,ISNUMBER(AK63),AK63&lt;=T63),AK63,9E15),IF(AND(J63=0,ISNUMBER(AL63),AL63&lt;=T63),AL63,9E15),IF(AND(K63=0,ISNUMBER(AM63),AM63&lt;=T63),AM63,9E15))),"HP","FP")),IF(AR63=TRUE,"",IF(MAX(IF(AND(NOT(AND(AO63=1,AN63&lt;&gt;1)),ISNUMBER(AG63),AG63&lt;=T63),AS63,0),IF(AND(NOT(AND(AO63=1,AN63&lt;&gt;1)),ISNUMBER(AH63),AH63&lt;=T63),AT63,0),IF(AND(NOT(AND(AO63=1,AN63&lt;&gt;1)),ISNUMBER(AI63),AI63&lt;=T63),AU63,0),IF(AND(ISNUMBER(AJ63),AJ63&lt;=T63),AV63,0))&lt;=0,"",IF(AND(IF(AND(NOT(AND(AO63=1,AN63&lt;&gt;1)),ISNUMBER(AG63),AG63&lt;=T63),AS63,0)&gt;0,IF(AND(NOT(AND(AO63=1,AN63&lt;&gt;1)),ISNUMBER(AG63),AG63&lt;=T63),AS63,0)=MAX(IF(AND(NOT(AND(AO63=1,AN63&lt;&gt;1)),ISNUMBER(AG63),AG63&lt;=T63),AS63,0),IF(AND(NOT(AND(AO63=1,AN63&lt;&gt;1)),ISNUMBER(AH63),AH63&lt;=T63),AT63,0),IF(AND(NOT(AND(AO63=1,AN63&lt;&gt;1)),ISNUMBER(AI63),AI63&lt;=T63),AU63,0),IF(AND(ISNUMBER(AJ63),AJ63&lt;=T63),AV63,0))),"SW",IF(AND(IF(AND(NOT(AND(AO63=1,AN63&lt;&gt;1)),ISNUMBER(AH63),AH63&lt;=T63),AT63,0)&gt;0,IF(AND(NOT(AND(AO63=1,AN63&lt;&gt;1)),ISNUMBER(AH63),AH63&lt;=T63),AT63,0)=MAX(IF(AND(NOT(AND(AO63=1,AN63&lt;&gt;1)),ISNUMBER(AG63),AG63&lt;=T63),AS63,0),IF(AND(NOT(AND(AO63=1,AN63&lt;&gt;1)),ISNUMBER(AH63),AH63&lt;=T63),AT63,0),IF(AND(NOT(AND(AO63=1,AN63&lt;&gt;1)),ISNUMBER(AI63),AI63&lt;=T63),AU63,0),IF(AND(ISNUMBER(AJ63),AJ63&lt;=T63),AV63,0))),"AB",IF(AND(IF(AND(NOT(AND(AO63=1,AN63&lt;&gt;1)),ISNUMBER(AI63),AI63&lt;=T63),AU63,0)&gt;0,IF(AND(NOT(AND(AO63=1,AN63&lt;&gt;1)),ISNUMBER(AI63),AI63&lt;=T63),AU63,0)=MAX(IF(AND(NOT(AND(AO63=1,AN63&lt;&gt;1)),ISNUMBER(AG63),AG63&lt;=T63),AS63,0),IF(AND(NOT(AND(AO63=1,AN63&lt;&gt;1)),ISNUMBER(AH63),AH63&lt;=T63),AT63,0),IF(AND(NOT(AND(AO63=1,AN63&lt;&gt;1)),ISNUMBER(AI63),AI63&lt;=T63),AU63,0),IF(AND(ISNUMBER(AJ63),AJ63&lt;=T63),AV63,0))),"SC","Mag")))))))</f>
        <v/>
      </c>
    </row>
    <row r="64">
      <c r="A64" s="26" t="n">
        <v>59</v>
      </c>
      <c r="B64" s="27">
        <f>A64*10/60</f>
        <v/>
      </c>
      <c r="C64" s="22">
        <f>X63</f>
        <v/>
      </c>
      <c r="D64" s="27">
        <f>D63+W63</f>
        <v/>
      </c>
      <c r="E64" s="26">
        <f>E63+IF(U63="SW",1,0)</f>
        <v/>
      </c>
      <c r="F64" s="26">
        <f>F63+IF(U63="AB",1,0)</f>
        <v/>
      </c>
      <c r="G64" s="26">
        <f>G63+IF(U63="SC",1,0)</f>
        <v/>
      </c>
      <c r="H64" s="26">
        <f>H63+IF(U63="Mag",1,0)</f>
        <v/>
      </c>
      <c r="I64" s="26">
        <f>MAX(I63,IF(U63="OR",1,0))</f>
        <v/>
      </c>
      <c r="J64" s="26">
        <f>MAX(J63,IF(U63="HP",1,0))</f>
        <v/>
      </c>
      <c r="K64" s="26">
        <f>MAX(K63,IF(U63="FP",1,0))</f>
        <v/>
      </c>
      <c r="L64" s="26">
        <f>MAX(L63,IF(U63="transition",1,0))</f>
        <v/>
      </c>
      <c r="M64" s="28">
        <f>(Parameters!$B$9+(IF(E64=0,0,(Upgrades!$J$6+E64*Upgrades!$K$6)*POWER(Upgrades!$L$6,E64)))*(IF(Upgrades!$T$7="Solar Wind",POWER(Upgrades!$U$7,F64),1)*IF(Upgrades!$T$8="Solar Wind",POWER(Upgrades!$U$8,G64),1)*IF(Upgrades!$T$9="Solar Wind",POWER(Upgrades!$U$9,H64),1)*IF(Upgrades!$T$10="Solar Wind",POWER(Upgrades!$U$10,I64),1)*IF(Upgrades!$T$11="Solar Wind",POWER(Upgrades!$U$11,J64),1)*IF(Upgrades!$T$12="Solar Wind",POWER(Upgrades!$U$12,K64),1))+(IF(F64=0,0,(Upgrades!$J$7+F64*Upgrades!$K$7)*POWER(Upgrades!$L$7,F64)))*(IF(Upgrades!$T$6="Asteroid Belt",POWER(Upgrades!$U$6,E64),1)*IF(Upgrades!$T$8="Asteroid Belt",POWER(Upgrades!$U$8,G64),1)*IF(Upgrades!$T$9="Asteroid Belt",POWER(Upgrades!$U$9,H64),1)*IF(Upgrades!$T$10="Asteroid Belt",POWER(Upgrades!$U$10,I64),1)*IF(Upgrades!$T$11="Asteroid Belt",POWER(Upgrades!$U$11,J64),1)*IF(Upgrades!$T$12="Asteroid Belt",POWER(Upgrades!$U$12,K64),1))+(IF(G64=0,0,(Upgrades!$J$8+G64*Upgrades!$K$8)*POWER(Upgrades!$L$8,G64)))*(IF(Upgrades!$T$6="Stellar Coupling",POWER(Upgrades!$U$6,E64),1)*IF(Upgrades!$T$7="Stellar Coupling",POWER(Upgrades!$U$7,F64),1)*IF(Upgrades!$T$9="Stellar Coupling",POWER(Upgrades!$U$9,H64),1)*IF(Upgrades!$T$10="Stellar Coupling",POWER(Upgrades!$U$10,I64),1)*IF(Upgrades!$T$11="Stellar Coupling",POWER(Upgrades!$U$11,J64),1)*IF(Upgrades!$T$12="Stellar Coupling",POWER(Upgrades!$U$12,K64),1))+(IF(H64=0,0,(Upgrades!$J$9+H64*Upgrades!$K$9)*POWER(Upgrades!$L$9,H64)))*(IF(Upgrades!$T$6="Magnetosphere",POWER(Upgrades!$U$6,E64),1)*IF(Upgrades!$T$7="Magnetosphere",POWER(Upgrades!$U$7,F64),1)*IF(Upgrades!$T$8="Magnetosphere",POWER(Upgrades!$U$8,G64),1)*IF(Upgrades!$T$10="Magnetosphere",POWER(Upgrades!$U$10,I64),1)*IF(Upgrades!$T$11="Magnetosphere",POWER(Upgrades!$U$11,J64),1)*IF(Upgrades!$T$12="Magnetosphere",POWER(Upgrades!$U$12,K64),1))+(IF(I64=0,0,(Upgrades!$J$10+I64*Upgrades!$K$10)*POWER(Upgrades!$L$10,I64)))*(IF(Upgrades!$T$6="Orbital Resonance",POWER(Upgrades!$U$6,E64),1)*IF(Upgrades!$T$7="Orbital Resonance",POWER(Upgrades!$U$7,F64),1)*IF(Upgrades!$T$8="Orbital Resonance",POWER(Upgrades!$U$8,G64),1)*IF(Upgrades!$T$9="Orbital Resonance",POWER(Upgrades!$U$9,H64),1)*IF(Upgrades!$T$11="Orbital Resonance",POWER(Upgrades!$U$11,J64),1)*IF(Upgrades!$T$12="Orbital Resonance",POWER(Upgrades!$U$12,K64),1))+(IF(J64=0,0,(Upgrades!$J$11+J64*Upgrades!$K$11)*POWER(Upgrades!$L$11,J64)))*(IF(Upgrades!$T$6="Heliopause",POWER(Upgrades!$U$6,E64),1)*IF(Upgrades!$T$7="Heliopause",POWER(Upgrades!$U$7,F64),1)*IF(Upgrades!$T$8="Heliopause",POWER(Upgrades!$U$8,G64),1)*IF(Upgrades!$T$9="Heliopause",POWER(Upgrades!$U$9,H64),1)*IF(Upgrades!$T$10="Heliopause",POWER(Upgrades!$U$10,I64),1)*IF(Upgrades!$T$12="Heliopause",POWER(Upgrades!$U$12,K64),1))+(IF(K64=0,0,(Upgrades!$J$12+K64*Upgrades!$K$12)*POWER(Upgrades!$L$12,K64)))*(IF(Upgrades!$T$6="First Photons",POWER(Upgrades!$U$6,E64),1)*IF(Upgrades!$T$7="First Photons",POWER(Upgrades!$U$7,F64),1)*IF(Upgrades!$T$8="First Photons",POWER(Upgrades!$U$8,G64),1)*IF(Upgrades!$T$9="First Photons",POWER(Upgrades!$U$9,H64),1)*IF(Upgrades!$T$10="First Photons",POWER(Upgrades!$U$10,I64),1)*IF(Upgrades!$T$11="First Photons",POWER(Upgrades!$U$11,J64),1)))*POWER(Upgrades!$Q$6,E64)*POWER(Upgrades!$Q$7,F64)*POWER(Upgrades!$Q$8,G64)*POWER(Upgrades!$Q$9,H64)*POWER(Upgrades!$Q$10,I64)*POWER(Upgrades!$Q$11,J64)*POWER(Upgrades!$Q$12,K64)</f>
        <v/>
      </c>
      <c r="N64" s="28">
        <f>((IF(E64=0,0,(Upgrades!$G$6+E64*Upgrades!$H$6)*POWER(Upgrades!$I$6,E64)))*(IF(Upgrades!$T$7="Solar Wind",POWER(Upgrades!$U$7,F64),1)*IF(Upgrades!$T$8="Solar Wind",POWER(Upgrades!$U$8,G64),1)*IF(Upgrades!$T$9="Solar Wind",POWER(Upgrades!$U$9,H64),1)*IF(Upgrades!$T$10="Solar Wind",POWER(Upgrades!$U$10,I64),1)*IF(Upgrades!$T$11="Solar Wind",POWER(Upgrades!$U$11,J64),1)*IF(Upgrades!$T$12="Solar Wind",POWER(Upgrades!$U$12,K64),1))+(IF(F64=0,0,(Upgrades!$G$7+F64*Upgrades!$H$7)*POWER(Upgrades!$I$7,F64)))*(IF(Upgrades!$T$6="Asteroid Belt",POWER(Upgrades!$U$6,E64),1)*IF(Upgrades!$T$8="Asteroid Belt",POWER(Upgrades!$U$8,G64),1)*IF(Upgrades!$T$9="Asteroid Belt",POWER(Upgrades!$U$9,H64),1)*IF(Upgrades!$T$10="Asteroid Belt",POWER(Upgrades!$U$10,I64),1)*IF(Upgrades!$T$11="Asteroid Belt",POWER(Upgrades!$U$11,J64),1)*IF(Upgrades!$T$12="Asteroid Belt",POWER(Upgrades!$U$12,K64),1))+(IF(G64=0,0,(Upgrades!$G$8+G64*Upgrades!$H$8)*POWER(Upgrades!$I$8,G64)))*(IF(Upgrades!$T$6="Stellar Coupling",POWER(Upgrades!$U$6,E64),1)*IF(Upgrades!$T$7="Stellar Coupling",POWER(Upgrades!$U$7,F64),1)*IF(Upgrades!$T$9="Stellar Coupling",POWER(Upgrades!$U$9,H64),1)*IF(Upgrades!$T$10="Stellar Coupling",POWER(Upgrades!$U$10,I64),1)*IF(Upgrades!$T$11="Stellar Coupling",POWER(Upgrades!$U$11,J64),1)*IF(Upgrades!$T$12="Stellar Coupling",POWER(Upgrades!$U$12,K64),1))+(IF(H64=0,0,(Upgrades!$G$9+H64*Upgrades!$H$9)*POWER(Upgrades!$I$9,H64)))*(IF(Upgrades!$T$6="Magnetosphere",POWER(Upgrades!$U$6,E64),1)*IF(Upgrades!$T$7="Magnetosphere",POWER(Upgrades!$U$7,F64),1)*IF(Upgrades!$T$8="Magnetosphere",POWER(Upgrades!$U$8,G64),1)*IF(Upgrades!$T$10="Magnetosphere",POWER(Upgrades!$U$10,I64),1)*IF(Upgrades!$T$11="Magnetosphere",POWER(Upgrades!$U$11,J64),1)*IF(Upgrades!$T$12="Magnetosphere",POWER(Upgrades!$U$12,K64),1))+(IF(I64=0,0,(Upgrades!$G$10+I64*Upgrades!$H$10)*POWER(Upgrades!$I$10,I64)))*(IF(Upgrades!$T$6="Orbital Resonance",POWER(Upgrades!$U$6,E64),1)*IF(Upgrades!$T$7="Orbital Resonance",POWER(Upgrades!$U$7,F64),1)*IF(Upgrades!$T$8="Orbital Resonance",POWER(Upgrades!$U$8,G64),1)*IF(Upgrades!$T$9="Orbital Resonance",POWER(Upgrades!$U$9,H64),1)*IF(Upgrades!$T$11="Orbital Resonance",POWER(Upgrades!$U$11,J64),1)*IF(Upgrades!$T$12="Orbital Resonance",POWER(Upgrades!$U$12,K64),1))+(IF(J64=0,0,(Upgrades!$G$11+J64*Upgrades!$H$11)*POWER(Upgrades!$I$11,J64)))*(IF(Upgrades!$T$6="Heliopause",POWER(Upgrades!$U$6,E64),1)*IF(Upgrades!$T$7="Heliopause",POWER(Upgrades!$U$7,F64),1)*IF(Upgrades!$T$8="Heliopause",POWER(Upgrades!$U$8,G64),1)*IF(Upgrades!$T$9="Heliopause",POWER(Upgrades!$U$9,H64),1)*IF(Upgrades!$T$10="Heliopause",POWER(Upgrades!$U$10,I64),1)*IF(Upgrades!$T$12="Heliopause",POWER(Upgrades!$U$12,K64),1))+(IF(K64=0,0,(Upgrades!$G$12+K64*Upgrades!$H$12)*POWER(Upgrades!$I$12,K64)))*(IF(Upgrades!$T$6="First Photons",POWER(Upgrades!$U$6,E64),1)*IF(Upgrades!$T$7="First Photons",POWER(Upgrades!$U$7,F64),1)*IF(Upgrades!$T$8="First Photons",POWER(Upgrades!$U$8,G64),1)*IF(Upgrades!$T$9="First Photons",POWER(Upgrades!$U$9,H64),1)*IF(Upgrades!$T$10="First Photons",POWER(Upgrades!$U$10,I64),1)*IF(Upgrades!$T$11="First Photons",POWER(Upgrades!$U$11,J64),1)))*POWER(Upgrades!$P$6,E64)*POWER(Upgrades!$P$7,F64)*POWER(Upgrades!$P$8,G64)*POWER(Upgrades!$P$9,H64)*POWER(Upgrades!$P$10,I64)*POWER(Upgrades!$P$11,J64)*POWER(Upgrades!$P$12,K64)</f>
        <v/>
      </c>
      <c r="O64" s="28">
        <f>((IF(E64=0,0,(Upgrades!$M$6+E64*Upgrades!$N$6)*POWER(Upgrades!$O$6,E64)))*(IF(Upgrades!$T$7="Solar Wind",POWER(Upgrades!$U$7,F64),1)*IF(Upgrades!$T$8="Solar Wind",POWER(Upgrades!$U$8,G64),1)*IF(Upgrades!$T$9="Solar Wind",POWER(Upgrades!$U$9,H64),1)*IF(Upgrades!$T$10="Solar Wind",POWER(Upgrades!$U$10,I64),1)*IF(Upgrades!$T$11="Solar Wind",POWER(Upgrades!$U$11,J64),1)*IF(Upgrades!$T$12="Solar Wind",POWER(Upgrades!$U$12,K64),1))+(IF(F64=0,0,(Upgrades!$M$7+F64*Upgrades!$N$7)*POWER(Upgrades!$O$7,F64)))*(IF(Upgrades!$T$6="Asteroid Belt",POWER(Upgrades!$U$6,E64),1)*IF(Upgrades!$T$8="Asteroid Belt",POWER(Upgrades!$U$8,G64),1)*IF(Upgrades!$T$9="Asteroid Belt",POWER(Upgrades!$U$9,H64),1)*IF(Upgrades!$T$10="Asteroid Belt",POWER(Upgrades!$U$10,I64),1)*IF(Upgrades!$T$11="Asteroid Belt",POWER(Upgrades!$U$11,J64),1)*IF(Upgrades!$T$12="Asteroid Belt",POWER(Upgrades!$U$12,K64),1))+(IF(G64=0,0,(Upgrades!$M$8+G64*Upgrades!$N$8)*POWER(Upgrades!$O$8,G64)))*(IF(Upgrades!$T$6="Stellar Coupling",POWER(Upgrades!$U$6,E64),1)*IF(Upgrades!$T$7="Stellar Coupling",POWER(Upgrades!$U$7,F64),1)*IF(Upgrades!$T$9="Stellar Coupling",POWER(Upgrades!$U$9,H64),1)*IF(Upgrades!$T$10="Stellar Coupling",POWER(Upgrades!$U$10,I64),1)*IF(Upgrades!$T$11="Stellar Coupling",POWER(Upgrades!$U$11,J64),1)*IF(Upgrades!$T$12="Stellar Coupling",POWER(Upgrades!$U$12,K64),1))+(IF(H64=0,0,(Upgrades!$M$9+H64*Upgrades!$N$9)*POWER(Upgrades!$O$9,H64)))*(IF(Upgrades!$T$6="Magnetosphere",POWER(Upgrades!$U$6,E64),1)*IF(Upgrades!$T$7="Magnetosphere",POWER(Upgrades!$U$7,F64),1)*IF(Upgrades!$T$8="Magnetosphere",POWER(Upgrades!$U$8,G64),1)*IF(Upgrades!$T$10="Magnetosphere",POWER(Upgrades!$U$10,I64),1)*IF(Upgrades!$T$11="Magnetosphere",POWER(Upgrades!$U$11,J64),1)*IF(Upgrades!$T$12="Magnetosphere",POWER(Upgrades!$U$12,K64),1))+(IF(I64=0,0,(Upgrades!$M$10+I64*Upgrades!$N$10)*POWER(Upgrades!$O$10,I64)))*(IF(Upgrades!$T$6="Orbital Resonance",POWER(Upgrades!$U$6,E64),1)*IF(Upgrades!$T$7="Orbital Resonance",POWER(Upgrades!$U$7,F64),1)*IF(Upgrades!$T$8="Orbital Resonance",POWER(Upgrades!$U$8,G64),1)*IF(Upgrades!$T$9="Orbital Resonance",POWER(Upgrades!$U$9,H64),1)*IF(Upgrades!$T$11="Orbital Resonance",POWER(Upgrades!$U$11,J64),1)*IF(Upgrades!$T$12="Orbital Resonance",POWER(Upgrades!$U$12,K64),1))+(IF(J64=0,0,(Upgrades!$M$11+J64*Upgrades!$N$11)*POWER(Upgrades!$O$11,J64)))*(IF(Upgrades!$T$6="Heliopause",POWER(Upgrades!$U$6,E64),1)*IF(Upgrades!$T$7="Heliopause",POWER(Upgrades!$U$7,F64),1)*IF(Upgrades!$T$8="Heliopause",POWER(Upgrades!$U$8,G64),1)*IF(Upgrades!$T$9="Heliopause",POWER(Upgrades!$U$9,H64),1)*IF(Upgrades!$T$10="Heliopause",POWER(Upgrades!$U$10,I64),1)*IF(Upgrades!$T$12="Heliopause",POWER(Upgrades!$U$12,K64),1))+(IF(K64=0,0,(Upgrades!$M$12+K64*Upgrades!$N$12)*POWER(Upgrades!$O$12,K64)))*(IF(Upgrades!$T$6="First Photons",POWER(Upgrades!$U$6,E64),1)*IF(Upgrades!$T$7="First Photons",POWER(Upgrades!$U$7,F64),1)*IF(Upgrades!$T$8="First Photons",POWER(Upgrades!$U$8,G64),1)*IF(Upgrades!$T$9="First Photons",POWER(Upgrades!$U$9,H64),1)*IF(Upgrades!$T$10="First Photons",POWER(Upgrades!$U$10,I64),1)*IF(Upgrades!$T$11="First Photons",POWER(Upgrades!$U$11,J64),1)))*POWER(Upgrades!$R$6,E64)*POWER(Upgrades!$R$7,F64)*POWER(Upgrades!$R$8,G64)*POWER(Upgrades!$R$9,H64)*POWER(Upgrades!$R$10,I64)*POWER(Upgrades!$R$11,J64)*POWER(Upgrades!$R$12,K64)</f>
        <v/>
      </c>
      <c r="P64" s="27">
        <f>IF(L64=1,0,M64*Parameters!$B$10/60*Parameters!$B$11*10)</f>
        <v/>
      </c>
      <c r="Q64" s="27">
        <f>IF(L64=1,0,O64*M64*10)</f>
        <v/>
      </c>
      <c r="R64" s="27">
        <f>IF(L64=1,0,N64*10)</f>
        <v/>
      </c>
      <c r="S64" s="27">
        <f>P64+Q64+R64</f>
        <v/>
      </c>
      <c r="T64" s="22">
        <f>C64+S64</f>
        <v/>
      </c>
      <c r="U64" s="33">
        <f>AX64</f>
        <v/>
      </c>
      <c r="V64" s="22">
        <f>IF(U64="",0,IF(U64="transition",0,IF(U64="SW",AG64,IF(U64="AB",AH64,IF(U64="SC",AI64,IF(U64="Mag",AJ64,IF(U64="OR",AK64,IF(U64="HP",AL64,IF(U64="FP",AM64,0)))))))))</f>
        <v/>
      </c>
      <c r="W64" s="27">
        <f>IF(U64="OR",Upgrades!$F$10,IF(U64="HP",Upgrades!$F$11,IF(U64="transition",-Parameters!$B$18,0)))</f>
        <v/>
      </c>
      <c r="X64" s="22">
        <f>T64-V64</f>
        <v/>
      </c>
      <c r="Y64" s="30">
        <f>M64*Parameters!$B$10/60*Parameters!$B$11+O64*M64+N64</f>
        <v/>
      </c>
      <c r="Z64" s="34">
        <f>IF(U64="transition","→ Tier 2 (Stellar Neighborhood)",IF(U64="FP","First Photons — light begins, system quickens",IF(U64="HP","Heliopause acquired",IF(U64="OR","Orbital Resonance — passive multiplier active",IF(AND(AO64=1,L64=0,AN64&lt;&gt;1),"Cohesion ready (waiting on completionist upgrades)","")))))</f>
        <v/>
      </c>
      <c r="AA64" s="27">
        <f>(IF(E64=0,0,(Upgrades!$G$6+E64*Upgrades!$H$6)*POWER(Upgrades!$I$6,E64)))*(IF(Upgrades!$T$7="Solar Wind",POWER(Upgrades!$U$7,F64),1)*IF(Upgrades!$T$8="Solar Wind",POWER(Upgrades!$U$8,G64),1)*IF(Upgrades!$T$9="Solar Wind",POWER(Upgrades!$U$9,H64),1)*IF(Upgrades!$T$10="Solar Wind",POWER(Upgrades!$U$10,I64),1)*IF(Upgrades!$T$11="Solar Wind",POWER(Upgrades!$U$11,J64),1)*IF(Upgrades!$T$12="Solar Wind",POWER(Upgrades!$U$12,K64),1))*POWER(Upgrades!$P$6,E64)*POWER(Upgrades!$P$7,F64)*POWER(Upgrades!$P$8,G64)*POWER(Upgrades!$P$9,H64)*POWER(Upgrades!$P$10,I64)*POWER(Upgrades!$P$11,J64)*POWER(Upgrades!$P$12,K64)*60</f>
        <v/>
      </c>
      <c r="AB64" s="27">
        <f>(IF(F64=0,0,(Upgrades!$G$7+F64*Upgrades!$H$7)*POWER(Upgrades!$I$7,F64)))*(IF(Upgrades!$T$6="Asteroid Belt",POWER(Upgrades!$U$6,E64),1)*IF(Upgrades!$T$8="Asteroid Belt",POWER(Upgrades!$U$8,G64),1)*IF(Upgrades!$T$9="Asteroid Belt",POWER(Upgrades!$U$9,H64),1)*IF(Upgrades!$T$10="Asteroid Belt",POWER(Upgrades!$U$10,I64),1)*IF(Upgrades!$T$11="Asteroid Belt",POWER(Upgrades!$U$11,J64),1)*IF(Upgrades!$T$12="Asteroid Belt",POWER(Upgrades!$U$12,K64),1))*POWER(Upgrades!$P$6,E64)*POWER(Upgrades!$P$7,F64)*POWER(Upgrades!$P$8,G64)*POWER(Upgrades!$P$9,H64)*POWER(Upgrades!$P$10,I64)*POWER(Upgrades!$P$11,J64)*POWER(Upgrades!$P$12,K64)*60</f>
        <v/>
      </c>
      <c r="AC64" s="27">
        <f>(IF(G64=0,0,(Upgrades!$J$8+G64*Upgrades!$K$8)*POWER(Upgrades!$L$8,G64)))*(IF(Upgrades!$T$6="Stellar Coupling",POWER(Upgrades!$U$6,E64),1)*IF(Upgrades!$T$7="Stellar Coupling",POWER(Upgrades!$U$7,F64),1)*IF(Upgrades!$T$9="Stellar Coupling",POWER(Upgrades!$U$9,H64),1)*IF(Upgrades!$T$10="Stellar Coupling",POWER(Upgrades!$U$10,I64),1)*IF(Upgrades!$T$11="Stellar Coupling",POWER(Upgrades!$U$11,J64),1)*IF(Upgrades!$T$12="Stellar Coupling",POWER(Upgrades!$U$12,K64),1))*POWER(Upgrades!$Q$6,E64)*POWER(Upgrades!$Q$7,F64)*POWER(Upgrades!$Q$8,G64)*POWER(Upgrades!$Q$9,H64)*POWER(Upgrades!$Q$10,I64)*POWER(Upgrades!$Q$11,J64)*POWER(Upgrades!$Q$12,K64)*Parameters!$B$10*Parameters!$B$11</f>
        <v/>
      </c>
      <c r="AD64" s="27">
        <f>(IF(H64=0,0,(Upgrades!$G$9+H64*Upgrades!$H$9)*POWER(Upgrades!$I$9,H64)))*(IF(Upgrades!$T$6="Magnetosphere",POWER(Upgrades!$U$6,E64),1)*IF(Upgrades!$T$7="Magnetosphere",POWER(Upgrades!$U$7,F64),1)*IF(Upgrades!$T$8="Magnetosphere",POWER(Upgrades!$U$8,G64),1)*IF(Upgrades!$T$10="Magnetosphere",POWER(Upgrades!$U$10,I64),1)*IF(Upgrades!$T$11="Magnetosphere",POWER(Upgrades!$U$11,J64),1)*IF(Upgrades!$T$12="Magnetosphere",POWER(Upgrades!$U$12,K64),1))*POWER(Upgrades!$P$6,E64)*POWER(Upgrades!$P$7,F64)*POWER(Upgrades!$P$8,G64)*POWER(Upgrades!$P$9,H64)*POWER(Upgrades!$P$10,I64)*POWER(Upgrades!$P$11,J64)*POWER(Upgrades!$P$12,K64)*60</f>
        <v/>
      </c>
      <c r="AE64" s="27">
        <f>(IF(K64=0,0,(Upgrades!$G$12+K64*Upgrades!$H$12)*POWER(Upgrades!$I$12,K64)))*(IF(Upgrades!$T$6="First Photons",POWER(Upgrades!$U$6,E64),1)*IF(Upgrades!$T$7="First Photons",POWER(Upgrades!$U$7,F64),1)*IF(Upgrades!$T$8="First Photons",POWER(Upgrades!$U$8,G64),1)*IF(Upgrades!$T$9="First Photons",POWER(Upgrades!$U$9,H64),1)*IF(Upgrades!$T$10="First Photons",POWER(Upgrades!$U$10,I64),1)*IF(Upgrades!$T$11="First Photons",POWER(Upgrades!$U$11,J64),1))*POWER(Upgrades!$P$6,E64)*POWER(Upgrades!$P$7,F64)*POWER(Upgrades!$P$8,G64)*POWER(Upgrades!$P$9,H64)*POWER(Upgrades!$P$10,I64)*POWER(Upgrades!$P$11,J64)*POWER(Upgrades!$P$12,K64)*60</f>
        <v/>
      </c>
      <c r="AF64" s="27">
        <f>Parameters!$B$9*POWER(Upgrades!$Q$6,E64)*POWER(Upgrades!$Q$7,F64)*POWER(Upgrades!$Q$8,G64)*POWER(Upgrades!$Q$9,H64)*POWER(Upgrades!$Q$10,I64)*POWER(Upgrades!$Q$11,J64)*POWER(Upgrades!$Q$12,K64)*(Parameters!$B$10*Parameters!$B$11+O64*60)</f>
        <v/>
      </c>
      <c r="AG64" s="22">
        <f>IF(E64&gt;=Upgrades!$E$6,"",Upgrades!$C$6*POWER(Upgrades!$D$6,E64))</f>
        <v/>
      </c>
      <c r="AH64" s="22">
        <f>IF(F64&gt;=Upgrades!$E$7,"",Upgrades!$C$7*POWER(Upgrades!$D$7,F64))</f>
        <v/>
      </c>
      <c r="AI64" s="22">
        <f>IF(G64&gt;=Upgrades!$E$8,"",Upgrades!$C$8*POWER(Upgrades!$D$8,G64))</f>
        <v/>
      </c>
      <c r="AJ64" s="22">
        <f>IF(H64&gt;=Upgrades!$E$9,"",Upgrades!$C$9*POWER(Upgrades!$D$9,H64))</f>
        <v/>
      </c>
      <c r="AK64" s="22">
        <f>IF(I64&gt;=Upgrades!$E$10,"",Upgrades!$C$10*POWER(Upgrades!$D$10,I64))</f>
        <v/>
      </c>
      <c r="AL64" s="22">
        <f>IF(J64&gt;=Upgrades!$E$11,"",Upgrades!$C$11*POWER(Upgrades!$D$11,J64))</f>
        <v/>
      </c>
      <c r="AM64" s="22">
        <f>IF(K64&gt;=Upgrades!$E$12,"",Upgrades!$C$12*POWER(Upgrades!$D$12,K64))</f>
        <v/>
      </c>
      <c r="AN64" s="26">
        <f>IF(AND(D64&gt;=Parameters!$B$18,(H64&gt;=Upgrades!$E$9)*(K64&gt;=Upgrades!$E$12)=1,L64=0),1,"")</f>
        <v/>
      </c>
      <c r="AO64" s="26">
        <f>IF(AND(D64&gt;=Parameters!$B$18,L64=0),1,"")</f>
        <v/>
      </c>
      <c r="AP64" s="22">
        <f>MIN(IF(ISNUMBER(AK64),AK64,9E15),IF(ISNUMBER(AL64),AL64,9E15),IF(ISNUMBER(AM64),AM64,9E15))</f>
        <v/>
      </c>
      <c r="AQ64" s="22">
        <f>MIN(IF(ISNUMBER(AG64),AG64,9E15),IF(ISNUMBER(AH64),AH64,9E15),IF(ISNUMBER(AI64),AI64,9E15),IF(ISNUMBER(AJ64),AJ64,9E15))</f>
        <v/>
      </c>
      <c r="AR64" s="29">
        <f>IF(AW64&gt;Parameters!$B$21*(MAX(IF(AND(NOT(AND(AO64=1,AN64&lt;&gt;1)),ISNUMBER(AG64),AG64&lt;=T64),AS64,0),IF(AND(NOT(AND(AO64=1,AN64&lt;&gt;1)),ISNUMBER(AH64),AH64&lt;=T64),AT64,0),IF(AND(NOT(AND(AO64=1,AN64&lt;&gt;1)),ISNUMBER(AI64),AI64&lt;=T64),AU64,0),IF(AND(ISNUMBER(AJ64),AJ64&lt;=T64),AV64,0))),TRUE,FALSE)</f>
        <v/>
      </c>
      <c r="AS64" s="32">
        <f>IFERROR(Upgrades!$H$6*(POWER(Upgrades!$P$6,E64)*POWER(Upgrades!$P$7,F64)*POWER(Upgrades!$P$8,G64)*POWER(Upgrades!$P$9,H64)*POWER(Upgrades!$P$10,I64)*POWER(Upgrades!$P$11,J64)*POWER(Upgrades!$P$12,K64))*(IF(Upgrades!$T$7="Solar Wind",POWER(Upgrades!$U$7,F64),1)*IF(Upgrades!$T$8="Solar Wind",POWER(Upgrades!$U$8,G64),1)*IF(Upgrades!$T$9="Solar Wind",POWER(Upgrades!$U$9,H64),1)*IF(Upgrades!$T$10="Solar Wind",POWER(Upgrades!$U$10,I64),1)*IF(Upgrades!$T$11="Solar Wind",POWER(Upgrades!$U$11,J64),1)*IF(Upgrades!$T$12="Solar Wind",POWER(Upgrades!$U$12,K64),1))/AG64,0)</f>
        <v/>
      </c>
      <c r="AT64" s="32">
        <f>IFERROR(Upgrades!$H$7*(POWER(Upgrades!$P$6,E64)*POWER(Upgrades!$P$7,F64)*POWER(Upgrades!$P$8,G64)*POWER(Upgrades!$P$9,H64)*POWER(Upgrades!$P$10,I64)*POWER(Upgrades!$P$11,J64)*POWER(Upgrades!$P$12,K64))*(IF(Upgrades!$T$6="Asteroid Belt",POWER(Upgrades!$U$6,E64),1)*IF(Upgrades!$T$8="Asteroid Belt",POWER(Upgrades!$U$8,G64),1)*IF(Upgrades!$T$9="Asteroid Belt",POWER(Upgrades!$U$9,H64),1)*IF(Upgrades!$T$10="Asteroid Belt",POWER(Upgrades!$U$10,I64),1)*IF(Upgrades!$T$11="Asteroid Belt",POWER(Upgrades!$U$11,J64),1)*IF(Upgrades!$T$12="Asteroid Belt",POWER(Upgrades!$U$12,K64),1))/AH64,0)</f>
        <v/>
      </c>
      <c r="AU64" s="32">
        <f>IFERROR(Upgrades!$K$8*(POWER(Upgrades!$Q$6,E64)*POWER(Upgrades!$Q$7,F64)*POWER(Upgrades!$Q$8,G64)*POWER(Upgrades!$Q$9,H64)*POWER(Upgrades!$Q$10,I64)*POWER(Upgrades!$Q$11,J64)*POWER(Upgrades!$Q$12,K64))*(IF(Upgrades!$T$6="Stellar Coupling",POWER(Upgrades!$U$6,E64),1)*IF(Upgrades!$T$7="Stellar Coupling",POWER(Upgrades!$U$7,F64),1)*IF(Upgrades!$T$9="Stellar Coupling",POWER(Upgrades!$U$9,H64),1)*IF(Upgrades!$T$10="Stellar Coupling",POWER(Upgrades!$U$10,I64),1)*IF(Upgrades!$T$11="Stellar Coupling",POWER(Upgrades!$U$11,J64),1)*IF(Upgrades!$T$12="Stellar Coupling",POWER(Upgrades!$U$12,K64),1))*Parameters!$B$10*Parameters!$B$11/60/AI64,0)</f>
        <v/>
      </c>
      <c r="AV64" s="32">
        <f>IFERROR(Upgrades!$H$9*(POWER(Upgrades!$P$6,E64)*POWER(Upgrades!$P$7,F64)*POWER(Upgrades!$P$8,G64)*POWER(Upgrades!$P$9,H64)*POWER(Upgrades!$P$10,I64)*POWER(Upgrades!$P$11,J64)*POWER(Upgrades!$P$12,K64))*(IF(Upgrades!$T$6="Magnetosphere",POWER(Upgrades!$U$6,E64),1)*IF(Upgrades!$T$7="Magnetosphere",POWER(Upgrades!$U$7,F64),1)*IF(Upgrades!$T$8="Magnetosphere",POWER(Upgrades!$U$8,G64),1)*IF(Upgrades!$T$10="Magnetosphere",POWER(Upgrades!$U$10,I64),1)*IF(Upgrades!$T$11="Magnetosphere",POWER(Upgrades!$U$11,J64),1)*IF(Upgrades!$T$12="Magnetosphere",POWER(Upgrades!$U$12,K64),1))/AJ64,0)</f>
        <v/>
      </c>
      <c r="AW64" s="32">
        <f>MAX(IF(I64&gt;0,0,IFERROR(0.25*N64/Upgrades!$C$10,0)),IF(J64&gt;0,0,IFERROR(0.5*((IF(G64=0,0,(Upgrades!$J$8+G64*Upgrades!$K$8)*POWER(Upgrades!$L$8,G64)))*(IF(Upgrades!$T$6="Stellar Coupling",POWER(Upgrades!$U$6,E64),1)*IF(Upgrades!$T$7="Stellar Coupling",POWER(Upgrades!$U$7,F64),1)*IF(Upgrades!$T$9="Stellar Coupling",POWER(Upgrades!$U$9,H64),1)*IF(Upgrades!$T$10="Stellar Coupling",POWER(Upgrades!$U$10,I64),1)*IF(Upgrades!$T$11="Stellar Coupling",POWER(Upgrades!$U$11,J64),1)*IF(Upgrades!$T$12="Stellar Coupling",POWER(Upgrades!$U$12,K64),1))*(POWER(Upgrades!$Q$6,E64)*POWER(Upgrades!$Q$7,F64)*POWER(Upgrades!$Q$8,G64)*POWER(Upgrades!$Q$9,H64)*POWER(Upgrades!$Q$10,I64)*POWER(Upgrades!$Q$11,J64)*POWER(Upgrades!$Q$12,K64))*Parameters!$B$10*Parameters!$B$11/60)/Upgrades!$C$11,0)),IF(K64&gt;0,0,IFERROR((1.0*(POWER(Upgrades!$P$6,E64)*POWER(Upgrades!$P$7,F64)*POWER(Upgrades!$P$8,G64)*POWER(Upgrades!$P$9,H64)*POWER(Upgrades!$P$10,I64)*POWER(Upgrades!$P$11,J64)*POWER(Upgrades!$P$12,K64))+0.20*M64*Parameters!$B$10*Parameters!$B$11/60)/Upgrades!$C$12,0)),IF(AND(ISNUMBER(AG64),AG64&gt;T64),AS64,0),IF(AND(ISNUMBER(AH64),AH64&gt;T64),AT64,0),IF(AND(ISNUMBER(AI64),AI64&gt;T64),AU64,0),IF(AND(ISNUMBER(AJ64),AJ64&gt;T64),AV64,0))</f>
        <v/>
      </c>
      <c r="AX64" s="29">
        <f>IF(AN64=1,"transition",IF(MIN(IF(AND(I64=0,ISNUMBER(AK64),AK64&lt;=T64),AK64,9E15),IF(AND(J64=0,ISNUMBER(AL64),AL64&lt;=T64),AL64,9E15),IF(AND(K64=0,ISNUMBER(AM64),AM64&lt;=T64),AM64,9E15))&lt;9E15,IF(AND(AND(I64=0,ISNUMBER(AK64),AK64&lt;=T64),AK64=MIN(IF(AND(I64=0,ISNUMBER(AK64),AK64&lt;=T64),AK64,9E15),IF(AND(J64=0,ISNUMBER(AL64),AL64&lt;=T64),AL64,9E15),IF(AND(K64=0,ISNUMBER(AM64),AM64&lt;=T64),AM64,9E15))),"OR",IF(AND(AND(J64=0,ISNUMBER(AL64),AL64&lt;=T64),AL64=MIN(IF(AND(I64=0,ISNUMBER(AK64),AK64&lt;=T64),AK64,9E15),IF(AND(J64=0,ISNUMBER(AL64),AL64&lt;=T64),AL64,9E15),IF(AND(K64=0,ISNUMBER(AM64),AM64&lt;=T64),AM64,9E15))),"HP","FP")),IF(AR64=TRUE,"",IF(MAX(IF(AND(NOT(AND(AO64=1,AN64&lt;&gt;1)),ISNUMBER(AG64),AG64&lt;=T64),AS64,0),IF(AND(NOT(AND(AO64=1,AN64&lt;&gt;1)),ISNUMBER(AH64),AH64&lt;=T64),AT64,0),IF(AND(NOT(AND(AO64=1,AN64&lt;&gt;1)),ISNUMBER(AI64),AI64&lt;=T64),AU64,0),IF(AND(ISNUMBER(AJ64),AJ64&lt;=T64),AV64,0))&lt;=0,"",IF(AND(IF(AND(NOT(AND(AO64=1,AN64&lt;&gt;1)),ISNUMBER(AG64),AG64&lt;=T64),AS64,0)&gt;0,IF(AND(NOT(AND(AO64=1,AN64&lt;&gt;1)),ISNUMBER(AG64),AG64&lt;=T64),AS64,0)=MAX(IF(AND(NOT(AND(AO64=1,AN64&lt;&gt;1)),ISNUMBER(AG64),AG64&lt;=T64),AS64,0),IF(AND(NOT(AND(AO64=1,AN64&lt;&gt;1)),ISNUMBER(AH64),AH64&lt;=T64),AT64,0),IF(AND(NOT(AND(AO64=1,AN64&lt;&gt;1)),ISNUMBER(AI64),AI64&lt;=T64),AU64,0),IF(AND(ISNUMBER(AJ64),AJ64&lt;=T64),AV64,0))),"SW",IF(AND(IF(AND(NOT(AND(AO64=1,AN64&lt;&gt;1)),ISNUMBER(AH64),AH64&lt;=T64),AT64,0)&gt;0,IF(AND(NOT(AND(AO64=1,AN64&lt;&gt;1)),ISNUMBER(AH64),AH64&lt;=T64),AT64,0)=MAX(IF(AND(NOT(AND(AO64=1,AN64&lt;&gt;1)),ISNUMBER(AG64),AG64&lt;=T64),AS64,0),IF(AND(NOT(AND(AO64=1,AN64&lt;&gt;1)),ISNUMBER(AH64),AH64&lt;=T64),AT64,0),IF(AND(NOT(AND(AO64=1,AN64&lt;&gt;1)),ISNUMBER(AI64),AI64&lt;=T64),AU64,0),IF(AND(ISNUMBER(AJ64),AJ64&lt;=T64),AV64,0))),"AB",IF(AND(IF(AND(NOT(AND(AO64=1,AN64&lt;&gt;1)),ISNUMBER(AI64),AI64&lt;=T64),AU64,0)&gt;0,IF(AND(NOT(AND(AO64=1,AN64&lt;&gt;1)),ISNUMBER(AI64),AI64&lt;=T64),AU64,0)=MAX(IF(AND(NOT(AND(AO64=1,AN64&lt;&gt;1)),ISNUMBER(AG64),AG64&lt;=T64),AS64,0),IF(AND(NOT(AND(AO64=1,AN64&lt;&gt;1)),ISNUMBER(AH64),AH64&lt;=T64),AT64,0),IF(AND(NOT(AND(AO64=1,AN64&lt;&gt;1)),ISNUMBER(AI64),AI64&lt;=T64),AU64,0),IF(AND(ISNUMBER(AJ64),AJ64&lt;=T64),AV64,0))),"SC","Mag")))))))</f>
        <v/>
      </c>
    </row>
    <row r="65">
      <c r="A65" s="26" t="n">
        <v>60</v>
      </c>
      <c r="B65" s="27">
        <f>A65*10/60</f>
        <v/>
      </c>
      <c r="C65" s="22">
        <f>X64</f>
        <v/>
      </c>
      <c r="D65" s="27">
        <f>D64+W64</f>
        <v/>
      </c>
      <c r="E65" s="26">
        <f>E64+IF(U64="SW",1,0)</f>
        <v/>
      </c>
      <c r="F65" s="26">
        <f>F64+IF(U64="AB",1,0)</f>
        <v/>
      </c>
      <c r="G65" s="26">
        <f>G64+IF(U64="SC",1,0)</f>
        <v/>
      </c>
      <c r="H65" s="26">
        <f>H64+IF(U64="Mag",1,0)</f>
        <v/>
      </c>
      <c r="I65" s="26">
        <f>MAX(I64,IF(U64="OR",1,0))</f>
        <v/>
      </c>
      <c r="J65" s="26">
        <f>MAX(J64,IF(U64="HP",1,0))</f>
        <v/>
      </c>
      <c r="K65" s="26">
        <f>MAX(K64,IF(U64="FP",1,0))</f>
        <v/>
      </c>
      <c r="L65" s="26">
        <f>MAX(L64,IF(U64="transition",1,0))</f>
        <v/>
      </c>
      <c r="M65" s="28">
        <f>(Parameters!$B$9+(IF(E65=0,0,(Upgrades!$J$6+E65*Upgrades!$K$6)*POWER(Upgrades!$L$6,E65)))*(IF(Upgrades!$T$7="Solar Wind",POWER(Upgrades!$U$7,F65),1)*IF(Upgrades!$T$8="Solar Wind",POWER(Upgrades!$U$8,G65),1)*IF(Upgrades!$T$9="Solar Wind",POWER(Upgrades!$U$9,H65),1)*IF(Upgrades!$T$10="Solar Wind",POWER(Upgrades!$U$10,I65),1)*IF(Upgrades!$T$11="Solar Wind",POWER(Upgrades!$U$11,J65),1)*IF(Upgrades!$T$12="Solar Wind",POWER(Upgrades!$U$12,K65),1))+(IF(F65=0,0,(Upgrades!$J$7+F65*Upgrades!$K$7)*POWER(Upgrades!$L$7,F65)))*(IF(Upgrades!$T$6="Asteroid Belt",POWER(Upgrades!$U$6,E65),1)*IF(Upgrades!$T$8="Asteroid Belt",POWER(Upgrades!$U$8,G65),1)*IF(Upgrades!$T$9="Asteroid Belt",POWER(Upgrades!$U$9,H65),1)*IF(Upgrades!$T$10="Asteroid Belt",POWER(Upgrades!$U$10,I65),1)*IF(Upgrades!$T$11="Asteroid Belt",POWER(Upgrades!$U$11,J65),1)*IF(Upgrades!$T$12="Asteroid Belt",POWER(Upgrades!$U$12,K65),1))+(IF(G65=0,0,(Upgrades!$J$8+G65*Upgrades!$K$8)*POWER(Upgrades!$L$8,G65)))*(IF(Upgrades!$T$6="Stellar Coupling",POWER(Upgrades!$U$6,E65),1)*IF(Upgrades!$T$7="Stellar Coupling",POWER(Upgrades!$U$7,F65),1)*IF(Upgrades!$T$9="Stellar Coupling",POWER(Upgrades!$U$9,H65),1)*IF(Upgrades!$T$10="Stellar Coupling",POWER(Upgrades!$U$10,I65),1)*IF(Upgrades!$T$11="Stellar Coupling",POWER(Upgrades!$U$11,J65),1)*IF(Upgrades!$T$12="Stellar Coupling",POWER(Upgrades!$U$12,K65),1))+(IF(H65=0,0,(Upgrades!$J$9+H65*Upgrades!$K$9)*POWER(Upgrades!$L$9,H65)))*(IF(Upgrades!$T$6="Magnetosphere",POWER(Upgrades!$U$6,E65),1)*IF(Upgrades!$T$7="Magnetosphere",POWER(Upgrades!$U$7,F65),1)*IF(Upgrades!$T$8="Magnetosphere",POWER(Upgrades!$U$8,G65),1)*IF(Upgrades!$T$10="Magnetosphere",POWER(Upgrades!$U$10,I65),1)*IF(Upgrades!$T$11="Magnetosphere",POWER(Upgrades!$U$11,J65),1)*IF(Upgrades!$T$12="Magnetosphere",POWER(Upgrades!$U$12,K65),1))+(IF(I65=0,0,(Upgrades!$J$10+I65*Upgrades!$K$10)*POWER(Upgrades!$L$10,I65)))*(IF(Upgrades!$T$6="Orbital Resonance",POWER(Upgrades!$U$6,E65),1)*IF(Upgrades!$T$7="Orbital Resonance",POWER(Upgrades!$U$7,F65),1)*IF(Upgrades!$T$8="Orbital Resonance",POWER(Upgrades!$U$8,G65),1)*IF(Upgrades!$T$9="Orbital Resonance",POWER(Upgrades!$U$9,H65),1)*IF(Upgrades!$T$11="Orbital Resonance",POWER(Upgrades!$U$11,J65),1)*IF(Upgrades!$T$12="Orbital Resonance",POWER(Upgrades!$U$12,K65),1))+(IF(J65=0,0,(Upgrades!$J$11+J65*Upgrades!$K$11)*POWER(Upgrades!$L$11,J65)))*(IF(Upgrades!$T$6="Heliopause",POWER(Upgrades!$U$6,E65),1)*IF(Upgrades!$T$7="Heliopause",POWER(Upgrades!$U$7,F65),1)*IF(Upgrades!$T$8="Heliopause",POWER(Upgrades!$U$8,G65),1)*IF(Upgrades!$T$9="Heliopause",POWER(Upgrades!$U$9,H65),1)*IF(Upgrades!$T$10="Heliopause",POWER(Upgrades!$U$10,I65),1)*IF(Upgrades!$T$12="Heliopause",POWER(Upgrades!$U$12,K65),1))+(IF(K65=0,0,(Upgrades!$J$12+K65*Upgrades!$K$12)*POWER(Upgrades!$L$12,K65)))*(IF(Upgrades!$T$6="First Photons",POWER(Upgrades!$U$6,E65),1)*IF(Upgrades!$T$7="First Photons",POWER(Upgrades!$U$7,F65),1)*IF(Upgrades!$T$8="First Photons",POWER(Upgrades!$U$8,G65),1)*IF(Upgrades!$T$9="First Photons",POWER(Upgrades!$U$9,H65),1)*IF(Upgrades!$T$10="First Photons",POWER(Upgrades!$U$10,I65),1)*IF(Upgrades!$T$11="First Photons",POWER(Upgrades!$U$11,J65),1)))*POWER(Upgrades!$Q$6,E65)*POWER(Upgrades!$Q$7,F65)*POWER(Upgrades!$Q$8,G65)*POWER(Upgrades!$Q$9,H65)*POWER(Upgrades!$Q$10,I65)*POWER(Upgrades!$Q$11,J65)*POWER(Upgrades!$Q$12,K65)</f>
        <v/>
      </c>
      <c r="N65" s="28">
        <f>((IF(E65=0,0,(Upgrades!$G$6+E65*Upgrades!$H$6)*POWER(Upgrades!$I$6,E65)))*(IF(Upgrades!$T$7="Solar Wind",POWER(Upgrades!$U$7,F65),1)*IF(Upgrades!$T$8="Solar Wind",POWER(Upgrades!$U$8,G65),1)*IF(Upgrades!$T$9="Solar Wind",POWER(Upgrades!$U$9,H65),1)*IF(Upgrades!$T$10="Solar Wind",POWER(Upgrades!$U$10,I65),1)*IF(Upgrades!$T$11="Solar Wind",POWER(Upgrades!$U$11,J65),1)*IF(Upgrades!$T$12="Solar Wind",POWER(Upgrades!$U$12,K65),1))+(IF(F65=0,0,(Upgrades!$G$7+F65*Upgrades!$H$7)*POWER(Upgrades!$I$7,F65)))*(IF(Upgrades!$T$6="Asteroid Belt",POWER(Upgrades!$U$6,E65),1)*IF(Upgrades!$T$8="Asteroid Belt",POWER(Upgrades!$U$8,G65),1)*IF(Upgrades!$T$9="Asteroid Belt",POWER(Upgrades!$U$9,H65),1)*IF(Upgrades!$T$10="Asteroid Belt",POWER(Upgrades!$U$10,I65),1)*IF(Upgrades!$T$11="Asteroid Belt",POWER(Upgrades!$U$11,J65),1)*IF(Upgrades!$T$12="Asteroid Belt",POWER(Upgrades!$U$12,K65),1))+(IF(G65=0,0,(Upgrades!$G$8+G65*Upgrades!$H$8)*POWER(Upgrades!$I$8,G65)))*(IF(Upgrades!$T$6="Stellar Coupling",POWER(Upgrades!$U$6,E65),1)*IF(Upgrades!$T$7="Stellar Coupling",POWER(Upgrades!$U$7,F65),1)*IF(Upgrades!$T$9="Stellar Coupling",POWER(Upgrades!$U$9,H65),1)*IF(Upgrades!$T$10="Stellar Coupling",POWER(Upgrades!$U$10,I65),1)*IF(Upgrades!$T$11="Stellar Coupling",POWER(Upgrades!$U$11,J65),1)*IF(Upgrades!$T$12="Stellar Coupling",POWER(Upgrades!$U$12,K65),1))+(IF(H65=0,0,(Upgrades!$G$9+H65*Upgrades!$H$9)*POWER(Upgrades!$I$9,H65)))*(IF(Upgrades!$T$6="Magnetosphere",POWER(Upgrades!$U$6,E65),1)*IF(Upgrades!$T$7="Magnetosphere",POWER(Upgrades!$U$7,F65),1)*IF(Upgrades!$T$8="Magnetosphere",POWER(Upgrades!$U$8,G65),1)*IF(Upgrades!$T$10="Magnetosphere",POWER(Upgrades!$U$10,I65),1)*IF(Upgrades!$T$11="Magnetosphere",POWER(Upgrades!$U$11,J65),1)*IF(Upgrades!$T$12="Magnetosphere",POWER(Upgrades!$U$12,K65),1))+(IF(I65=0,0,(Upgrades!$G$10+I65*Upgrades!$H$10)*POWER(Upgrades!$I$10,I65)))*(IF(Upgrades!$T$6="Orbital Resonance",POWER(Upgrades!$U$6,E65),1)*IF(Upgrades!$T$7="Orbital Resonance",POWER(Upgrades!$U$7,F65),1)*IF(Upgrades!$T$8="Orbital Resonance",POWER(Upgrades!$U$8,G65),1)*IF(Upgrades!$T$9="Orbital Resonance",POWER(Upgrades!$U$9,H65),1)*IF(Upgrades!$T$11="Orbital Resonance",POWER(Upgrades!$U$11,J65),1)*IF(Upgrades!$T$12="Orbital Resonance",POWER(Upgrades!$U$12,K65),1))+(IF(J65=0,0,(Upgrades!$G$11+J65*Upgrades!$H$11)*POWER(Upgrades!$I$11,J65)))*(IF(Upgrades!$T$6="Heliopause",POWER(Upgrades!$U$6,E65),1)*IF(Upgrades!$T$7="Heliopause",POWER(Upgrades!$U$7,F65),1)*IF(Upgrades!$T$8="Heliopause",POWER(Upgrades!$U$8,G65),1)*IF(Upgrades!$T$9="Heliopause",POWER(Upgrades!$U$9,H65),1)*IF(Upgrades!$T$10="Heliopause",POWER(Upgrades!$U$10,I65),1)*IF(Upgrades!$T$12="Heliopause",POWER(Upgrades!$U$12,K65),1))+(IF(K65=0,0,(Upgrades!$G$12+K65*Upgrades!$H$12)*POWER(Upgrades!$I$12,K65)))*(IF(Upgrades!$T$6="First Photons",POWER(Upgrades!$U$6,E65),1)*IF(Upgrades!$T$7="First Photons",POWER(Upgrades!$U$7,F65),1)*IF(Upgrades!$T$8="First Photons",POWER(Upgrades!$U$8,G65),1)*IF(Upgrades!$T$9="First Photons",POWER(Upgrades!$U$9,H65),1)*IF(Upgrades!$T$10="First Photons",POWER(Upgrades!$U$10,I65),1)*IF(Upgrades!$T$11="First Photons",POWER(Upgrades!$U$11,J65),1)))*POWER(Upgrades!$P$6,E65)*POWER(Upgrades!$P$7,F65)*POWER(Upgrades!$P$8,G65)*POWER(Upgrades!$P$9,H65)*POWER(Upgrades!$P$10,I65)*POWER(Upgrades!$P$11,J65)*POWER(Upgrades!$P$12,K65)</f>
        <v/>
      </c>
      <c r="O65" s="28">
        <f>((IF(E65=0,0,(Upgrades!$M$6+E65*Upgrades!$N$6)*POWER(Upgrades!$O$6,E65)))*(IF(Upgrades!$T$7="Solar Wind",POWER(Upgrades!$U$7,F65),1)*IF(Upgrades!$T$8="Solar Wind",POWER(Upgrades!$U$8,G65),1)*IF(Upgrades!$T$9="Solar Wind",POWER(Upgrades!$U$9,H65),1)*IF(Upgrades!$T$10="Solar Wind",POWER(Upgrades!$U$10,I65),1)*IF(Upgrades!$T$11="Solar Wind",POWER(Upgrades!$U$11,J65),1)*IF(Upgrades!$T$12="Solar Wind",POWER(Upgrades!$U$12,K65),1))+(IF(F65=0,0,(Upgrades!$M$7+F65*Upgrades!$N$7)*POWER(Upgrades!$O$7,F65)))*(IF(Upgrades!$T$6="Asteroid Belt",POWER(Upgrades!$U$6,E65),1)*IF(Upgrades!$T$8="Asteroid Belt",POWER(Upgrades!$U$8,G65),1)*IF(Upgrades!$T$9="Asteroid Belt",POWER(Upgrades!$U$9,H65),1)*IF(Upgrades!$T$10="Asteroid Belt",POWER(Upgrades!$U$10,I65),1)*IF(Upgrades!$T$11="Asteroid Belt",POWER(Upgrades!$U$11,J65),1)*IF(Upgrades!$T$12="Asteroid Belt",POWER(Upgrades!$U$12,K65),1))+(IF(G65=0,0,(Upgrades!$M$8+G65*Upgrades!$N$8)*POWER(Upgrades!$O$8,G65)))*(IF(Upgrades!$T$6="Stellar Coupling",POWER(Upgrades!$U$6,E65),1)*IF(Upgrades!$T$7="Stellar Coupling",POWER(Upgrades!$U$7,F65),1)*IF(Upgrades!$T$9="Stellar Coupling",POWER(Upgrades!$U$9,H65),1)*IF(Upgrades!$T$10="Stellar Coupling",POWER(Upgrades!$U$10,I65),1)*IF(Upgrades!$T$11="Stellar Coupling",POWER(Upgrades!$U$11,J65),1)*IF(Upgrades!$T$12="Stellar Coupling",POWER(Upgrades!$U$12,K65),1))+(IF(H65=0,0,(Upgrades!$M$9+H65*Upgrades!$N$9)*POWER(Upgrades!$O$9,H65)))*(IF(Upgrades!$T$6="Magnetosphere",POWER(Upgrades!$U$6,E65),1)*IF(Upgrades!$T$7="Magnetosphere",POWER(Upgrades!$U$7,F65),1)*IF(Upgrades!$T$8="Magnetosphere",POWER(Upgrades!$U$8,G65),1)*IF(Upgrades!$T$10="Magnetosphere",POWER(Upgrades!$U$10,I65),1)*IF(Upgrades!$T$11="Magnetosphere",POWER(Upgrades!$U$11,J65),1)*IF(Upgrades!$T$12="Magnetosphere",POWER(Upgrades!$U$12,K65),1))+(IF(I65=0,0,(Upgrades!$M$10+I65*Upgrades!$N$10)*POWER(Upgrades!$O$10,I65)))*(IF(Upgrades!$T$6="Orbital Resonance",POWER(Upgrades!$U$6,E65),1)*IF(Upgrades!$T$7="Orbital Resonance",POWER(Upgrades!$U$7,F65),1)*IF(Upgrades!$T$8="Orbital Resonance",POWER(Upgrades!$U$8,G65),1)*IF(Upgrades!$T$9="Orbital Resonance",POWER(Upgrades!$U$9,H65),1)*IF(Upgrades!$T$11="Orbital Resonance",POWER(Upgrades!$U$11,J65),1)*IF(Upgrades!$T$12="Orbital Resonance",POWER(Upgrades!$U$12,K65),1))+(IF(J65=0,0,(Upgrades!$M$11+J65*Upgrades!$N$11)*POWER(Upgrades!$O$11,J65)))*(IF(Upgrades!$T$6="Heliopause",POWER(Upgrades!$U$6,E65),1)*IF(Upgrades!$T$7="Heliopause",POWER(Upgrades!$U$7,F65),1)*IF(Upgrades!$T$8="Heliopause",POWER(Upgrades!$U$8,G65),1)*IF(Upgrades!$T$9="Heliopause",POWER(Upgrades!$U$9,H65),1)*IF(Upgrades!$T$10="Heliopause",POWER(Upgrades!$U$10,I65),1)*IF(Upgrades!$T$12="Heliopause",POWER(Upgrades!$U$12,K65),1))+(IF(K65=0,0,(Upgrades!$M$12+K65*Upgrades!$N$12)*POWER(Upgrades!$O$12,K65)))*(IF(Upgrades!$T$6="First Photons",POWER(Upgrades!$U$6,E65),1)*IF(Upgrades!$T$7="First Photons",POWER(Upgrades!$U$7,F65),1)*IF(Upgrades!$T$8="First Photons",POWER(Upgrades!$U$8,G65),1)*IF(Upgrades!$T$9="First Photons",POWER(Upgrades!$U$9,H65),1)*IF(Upgrades!$T$10="First Photons",POWER(Upgrades!$U$10,I65),1)*IF(Upgrades!$T$11="First Photons",POWER(Upgrades!$U$11,J65),1)))*POWER(Upgrades!$R$6,E65)*POWER(Upgrades!$R$7,F65)*POWER(Upgrades!$R$8,G65)*POWER(Upgrades!$R$9,H65)*POWER(Upgrades!$R$10,I65)*POWER(Upgrades!$R$11,J65)*POWER(Upgrades!$R$12,K65)</f>
        <v/>
      </c>
      <c r="P65" s="27">
        <f>IF(L65=1,0,M65*Parameters!$B$10/60*Parameters!$B$11*10)</f>
        <v/>
      </c>
      <c r="Q65" s="27">
        <f>IF(L65=1,0,O65*M65*10)</f>
        <v/>
      </c>
      <c r="R65" s="27">
        <f>IF(L65=1,0,N65*10)</f>
        <v/>
      </c>
      <c r="S65" s="27">
        <f>P65+Q65+R65</f>
        <v/>
      </c>
      <c r="T65" s="22">
        <f>C65+S65</f>
        <v/>
      </c>
      <c r="U65" s="33">
        <f>AX65</f>
        <v/>
      </c>
      <c r="V65" s="22">
        <f>IF(U65="",0,IF(U65="transition",0,IF(U65="SW",AG65,IF(U65="AB",AH65,IF(U65="SC",AI65,IF(U65="Mag",AJ65,IF(U65="OR",AK65,IF(U65="HP",AL65,IF(U65="FP",AM65,0)))))))))</f>
        <v/>
      </c>
      <c r="W65" s="27">
        <f>IF(U65="OR",Upgrades!$F$10,IF(U65="HP",Upgrades!$F$11,IF(U65="transition",-Parameters!$B$18,0)))</f>
        <v/>
      </c>
      <c r="X65" s="22">
        <f>T65-V65</f>
        <v/>
      </c>
      <c r="Y65" s="30">
        <f>M65*Parameters!$B$10/60*Parameters!$B$11+O65*M65+N65</f>
        <v/>
      </c>
      <c r="Z65" s="34">
        <f>IF(U65="transition","→ Tier 2 (Stellar Neighborhood)",IF(U65="FP","First Photons — light begins, system quickens",IF(U65="HP","Heliopause acquired",IF(U65="OR","Orbital Resonance — passive multiplier active",IF(AND(AO65=1,L65=0,AN65&lt;&gt;1),"Cohesion ready (waiting on completionist upgrades)","")))))</f>
        <v/>
      </c>
      <c r="AA65" s="27">
        <f>(IF(E65=0,0,(Upgrades!$G$6+E65*Upgrades!$H$6)*POWER(Upgrades!$I$6,E65)))*(IF(Upgrades!$T$7="Solar Wind",POWER(Upgrades!$U$7,F65),1)*IF(Upgrades!$T$8="Solar Wind",POWER(Upgrades!$U$8,G65),1)*IF(Upgrades!$T$9="Solar Wind",POWER(Upgrades!$U$9,H65),1)*IF(Upgrades!$T$10="Solar Wind",POWER(Upgrades!$U$10,I65),1)*IF(Upgrades!$T$11="Solar Wind",POWER(Upgrades!$U$11,J65),1)*IF(Upgrades!$T$12="Solar Wind",POWER(Upgrades!$U$12,K65),1))*POWER(Upgrades!$P$6,E65)*POWER(Upgrades!$P$7,F65)*POWER(Upgrades!$P$8,G65)*POWER(Upgrades!$P$9,H65)*POWER(Upgrades!$P$10,I65)*POWER(Upgrades!$P$11,J65)*POWER(Upgrades!$P$12,K65)*60</f>
        <v/>
      </c>
      <c r="AB65" s="27">
        <f>(IF(F65=0,0,(Upgrades!$G$7+F65*Upgrades!$H$7)*POWER(Upgrades!$I$7,F65)))*(IF(Upgrades!$T$6="Asteroid Belt",POWER(Upgrades!$U$6,E65),1)*IF(Upgrades!$T$8="Asteroid Belt",POWER(Upgrades!$U$8,G65),1)*IF(Upgrades!$T$9="Asteroid Belt",POWER(Upgrades!$U$9,H65),1)*IF(Upgrades!$T$10="Asteroid Belt",POWER(Upgrades!$U$10,I65),1)*IF(Upgrades!$T$11="Asteroid Belt",POWER(Upgrades!$U$11,J65),1)*IF(Upgrades!$T$12="Asteroid Belt",POWER(Upgrades!$U$12,K65),1))*POWER(Upgrades!$P$6,E65)*POWER(Upgrades!$P$7,F65)*POWER(Upgrades!$P$8,G65)*POWER(Upgrades!$P$9,H65)*POWER(Upgrades!$P$10,I65)*POWER(Upgrades!$P$11,J65)*POWER(Upgrades!$P$12,K65)*60</f>
        <v/>
      </c>
      <c r="AC65" s="27">
        <f>(IF(G65=0,0,(Upgrades!$J$8+G65*Upgrades!$K$8)*POWER(Upgrades!$L$8,G65)))*(IF(Upgrades!$T$6="Stellar Coupling",POWER(Upgrades!$U$6,E65),1)*IF(Upgrades!$T$7="Stellar Coupling",POWER(Upgrades!$U$7,F65),1)*IF(Upgrades!$T$9="Stellar Coupling",POWER(Upgrades!$U$9,H65),1)*IF(Upgrades!$T$10="Stellar Coupling",POWER(Upgrades!$U$10,I65),1)*IF(Upgrades!$T$11="Stellar Coupling",POWER(Upgrades!$U$11,J65),1)*IF(Upgrades!$T$12="Stellar Coupling",POWER(Upgrades!$U$12,K65),1))*POWER(Upgrades!$Q$6,E65)*POWER(Upgrades!$Q$7,F65)*POWER(Upgrades!$Q$8,G65)*POWER(Upgrades!$Q$9,H65)*POWER(Upgrades!$Q$10,I65)*POWER(Upgrades!$Q$11,J65)*POWER(Upgrades!$Q$12,K65)*Parameters!$B$10*Parameters!$B$11</f>
        <v/>
      </c>
      <c r="AD65" s="27">
        <f>(IF(H65=0,0,(Upgrades!$G$9+H65*Upgrades!$H$9)*POWER(Upgrades!$I$9,H65)))*(IF(Upgrades!$T$6="Magnetosphere",POWER(Upgrades!$U$6,E65),1)*IF(Upgrades!$T$7="Magnetosphere",POWER(Upgrades!$U$7,F65),1)*IF(Upgrades!$T$8="Magnetosphere",POWER(Upgrades!$U$8,G65),1)*IF(Upgrades!$T$10="Magnetosphere",POWER(Upgrades!$U$10,I65),1)*IF(Upgrades!$T$11="Magnetosphere",POWER(Upgrades!$U$11,J65),1)*IF(Upgrades!$T$12="Magnetosphere",POWER(Upgrades!$U$12,K65),1))*POWER(Upgrades!$P$6,E65)*POWER(Upgrades!$P$7,F65)*POWER(Upgrades!$P$8,G65)*POWER(Upgrades!$P$9,H65)*POWER(Upgrades!$P$10,I65)*POWER(Upgrades!$P$11,J65)*POWER(Upgrades!$P$12,K65)*60</f>
        <v/>
      </c>
      <c r="AE65" s="27">
        <f>(IF(K65=0,0,(Upgrades!$G$12+K65*Upgrades!$H$12)*POWER(Upgrades!$I$12,K65)))*(IF(Upgrades!$T$6="First Photons",POWER(Upgrades!$U$6,E65),1)*IF(Upgrades!$T$7="First Photons",POWER(Upgrades!$U$7,F65),1)*IF(Upgrades!$T$8="First Photons",POWER(Upgrades!$U$8,G65),1)*IF(Upgrades!$T$9="First Photons",POWER(Upgrades!$U$9,H65),1)*IF(Upgrades!$T$10="First Photons",POWER(Upgrades!$U$10,I65),1)*IF(Upgrades!$T$11="First Photons",POWER(Upgrades!$U$11,J65),1))*POWER(Upgrades!$P$6,E65)*POWER(Upgrades!$P$7,F65)*POWER(Upgrades!$P$8,G65)*POWER(Upgrades!$P$9,H65)*POWER(Upgrades!$P$10,I65)*POWER(Upgrades!$P$11,J65)*POWER(Upgrades!$P$12,K65)*60</f>
        <v/>
      </c>
      <c r="AF65" s="27">
        <f>Parameters!$B$9*POWER(Upgrades!$Q$6,E65)*POWER(Upgrades!$Q$7,F65)*POWER(Upgrades!$Q$8,G65)*POWER(Upgrades!$Q$9,H65)*POWER(Upgrades!$Q$10,I65)*POWER(Upgrades!$Q$11,J65)*POWER(Upgrades!$Q$12,K65)*(Parameters!$B$10*Parameters!$B$11+O65*60)</f>
        <v/>
      </c>
      <c r="AG65" s="22">
        <f>IF(E65&gt;=Upgrades!$E$6,"",Upgrades!$C$6*POWER(Upgrades!$D$6,E65))</f>
        <v/>
      </c>
      <c r="AH65" s="22">
        <f>IF(F65&gt;=Upgrades!$E$7,"",Upgrades!$C$7*POWER(Upgrades!$D$7,F65))</f>
        <v/>
      </c>
      <c r="AI65" s="22">
        <f>IF(G65&gt;=Upgrades!$E$8,"",Upgrades!$C$8*POWER(Upgrades!$D$8,G65))</f>
        <v/>
      </c>
      <c r="AJ65" s="22">
        <f>IF(H65&gt;=Upgrades!$E$9,"",Upgrades!$C$9*POWER(Upgrades!$D$9,H65))</f>
        <v/>
      </c>
      <c r="AK65" s="22">
        <f>IF(I65&gt;=Upgrades!$E$10,"",Upgrades!$C$10*POWER(Upgrades!$D$10,I65))</f>
        <v/>
      </c>
      <c r="AL65" s="22">
        <f>IF(J65&gt;=Upgrades!$E$11,"",Upgrades!$C$11*POWER(Upgrades!$D$11,J65))</f>
        <v/>
      </c>
      <c r="AM65" s="22">
        <f>IF(K65&gt;=Upgrades!$E$12,"",Upgrades!$C$12*POWER(Upgrades!$D$12,K65))</f>
        <v/>
      </c>
      <c r="AN65" s="26">
        <f>IF(AND(D65&gt;=Parameters!$B$18,(H65&gt;=Upgrades!$E$9)*(K65&gt;=Upgrades!$E$12)=1,L65=0),1,"")</f>
        <v/>
      </c>
      <c r="AO65" s="26">
        <f>IF(AND(D65&gt;=Parameters!$B$18,L65=0),1,"")</f>
        <v/>
      </c>
      <c r="AP65" s="22">
        <f>MIN(IF(ISNUMBER(AK65),AK65,9E15),IF(ISNUMBER(AL65),AL65,9E15),IF(ISNUMBER(AM65),AM65,9E15))</f>
        <v/>
      </c>
      <c r="AQ65" s="22">
        <f>MIN(IF(ISNUMBER(AG65),AG65,9E15),IF(ISNUMBER(AH65),AH65,9E15),IF(ISNUMBER(AI65),AI65,9E15),IF(ISNUMBER(AJ65),AJ65,9E15))</f>
        <v/>
      </c>
      <c r="AR65" s="29">
        <f>IF(AW65&gt;Parameters!$B$21*(MAX(IF(AND(NOT(AND(AO65=1,AN65&lt;&gt;1)),ISNUMBER(AG65),AG65&lt;=T65),AS65,0),IF(AND(NOT(AND(AO65=1,AN65&lt;&gt;1)),ISNUMBER(AH65),AH65&lt;=T65),AT65,0),IF(AND(NOT(AND(AO65=1,AN65&lt;&gt;1)),ISNUMBER(AI65),AI65&lt;=T65),AU65,0),IF(AND(ISNUMBER(AJ65),AJ65&lt;=T65),AV65,0))),TRUE,FALSE)</f>
        <v/>
      </c>
      <c r="AS65" s="32">
        <f>IFERROR(Upgrades!$H$6*(POWER(Upgrades!$P$6,E65)*POWER(Upgrades!$P$7,F65)*POWER(Upgrades!$P$8,G65)*POWER(Upgrades!$P$9,H65)*POWER(Upgrades!$P$10,I65)*POWER(Upgrades!$P$11,J65)*POWER(Upgrades!$P$12,K65))*(IF(Upgrades!$T$7="Solar Wind",POWER(Upgrades!$U$7,F65),1)*IF(Upgrades!$T$8="Solar Wind",POWER(Upgrades!$U$8,G65),1)*IF(Upgrades!$T$9="Solar Wind",POWER(Upgrades!$U$9,H65),1)*IF(Upgrades!$T$10="Solar Wind",POWER(Upgrades!$U$10,I65),1)*IF(Upgrades!$T$11="Solar Wind",POWER(Upgrades!$U$11,J65),1)*IF(Upgrades!$T$12="Solar Wind",POWER(Upgrades!$U$12,K65),1))/AG65,0)</f>
        <v/>
      </c>
      <c r="AT65" s="32">
        <f>IFERROR(Upgrades!$H$7*(POWER(Upgrades!$P$6,E65)*POWER(Upgrades!$P$7,F65)*POWER(Upgrades!$P$8,G65)*POWER(Upgrades!$P$9,H65)*POWER(Upgrades!$P$10,I65)*POWER(Upgrades!$P$11,J65)*POWER(Upgrades!$P$12,K65))*(IF(Upgrades!$T$6="Asteroid Belt",POWER(Upgrades!$U$6,E65),1)*IF(Upgrades!$T$8="Asteroid Belt",POWER(Upgrades!$U$8,G65),1)*IF(Upgrades!$T$9="Asteroid Belt",POWER(Upgrades!$U$9,H65),1)*IF(Upgrades!$T$10="Asteroid Belt",POWER(Upgrades!$U$10,I65),1)*IF(Upgrades!$T$11="Asteroid Belt",POWER(Upgrades!$U$11,J65),1)*IF(Upgrades!$T$12="Asteroid Belt",POWER(Upgrades!$U$12,K65),1))/AH65,0)</f>
        <v/>
      </c>
      <c r="AU65" s="32">
        <f>IFERROR(Upgrades!$K$8*(POWER(Upgrades!$Q$6,E65)*POWER(Upgrades!$Q$7,F65)*POWER(Upgrades!$Q$8,G65)*POWER(Upgrades!$Q$9,H65)*POWER(Upgrades!$Q$10,I65)*POWER(Upgrades!$Q$11,J65)*POWER(Upgrades!$Q$12,K65))*(IF(Upgrades!$T$6="Stellar Coupling",POWER(Upgrades!$U$6,E65),1)*IF(Upgrades!$T$7="Stellar Coupling",POWER(Upgrades!$U$7,F65),1)*IF(Upgrades!$T$9="Stellar Coupling",POWER(Upgrades!$U$9,H65),1)*IF(Upgrades!$T$10="Stellar Coupling",POWER(Upgrades!$U$10,I65),1)*IF(Upgrades!$T$11="Stellar Coupling",POWER(Upgrades!$U$11,J65),1)*IF(Upgrades!$T$12="Stellar Coupling",POWER(Upgrades!$U$12,K65),1))*Parameters!$B$10*Parameters!$B$11/60/AI65,0)</f>
        <v/>
      </c>
      <c r="AV65" s="32">
        <f>IFERROR(Upgrades!$H$9*(POWER(Upgrades!$P$6,E65)*POWER(Upgrades!$P$7,F65)*POWER(Upgrades!$P$8,G65)*POWER(Upgrades!$P$9,H65)*POWER(Upgrades!$P$10,I65)*POWER(Upgrades!$P$11,J65)*POWER(Upgrades!$P$12,K65))*(IF(Upgrades!$T$6="Magnetosphere",POWER(Upgrades!$U$6,E65),1)*IF(Upgrades!$T$7="Magnetosphere",POWER(Upgrades!$U$7,F65),1)*IF(Upgrades!$T$8="Magnetosphere",POWER(Upgrades!$U$8,G65),1)*IF(Upgrades!$T$10="Magnetosphere",POWER(Upgrades!$U$10,I65),1)*IF(Upgrades!$T$11="Magnetosphere",POWER(Upgrades!$U$11,J65),1)*IF(Upgrades!$T$12="Magnetosphere",POWER(Upgrades!$U$12,K65),1))/AJ65,0)</f>
        <v/>
      </c>
      <c r="AW65" s="32">
        <f>MAX(IF(I65&gt;0,0,IFERROR(0.25*N65/Upgrades!$C$10,0)),IF(J65&gt;0,0,IFERROR(0.5*((IF(G65=0,0,(Upgrades!$J$8+G65*Upgrades!$K$8)*POWER(Upgrades!$L$8,G65)))*(IF(Upgrades!$T$6="Stellar Coupling",POWER(Upgrades!$U$6,E65),1)*IF(Upgrades!$T$7="Stellar Coupling",POWER(Upgrades!$U$7,F65),1)*IF(Upgrades!$T$9="Stellar Coupling",POWER(Upgrades!$U$9,H65),1)*IF(Upgrades!$T$10="Stellar Coupling",POWER(Upgrades!$U$10,I65),1)*IF(Upgrades!$T$11="Stellar Coupling",POWER(Upgrades!$U$11,J65),1)*IF(Upgrades!$T$12="Stellar Coupling",POWER(Upgrades!$U$12,K65),1))*(POWER(Upgrades!$Q$6,E65)*POWER(Upgrades!$Q$7,F65)*POWER(Upgrades!$Q$8,G65)*POWER(Upgrades!$Q$9,H65)*POWER(Upgrades!$Q$10,I65)*POWER(Upgrades!$Q$11,J65)*POWER(Upgrades!$Q$12,K65))*Parameters!$B$10*Parameters!$B$11/60)/Upgrades!$C$11,0)),IF(K65&gt;0,0,IFERROR((1.0*(POWER(Upgrades!$P$6,E65)*POWER(Upgrades!$P$7,F65)*POWER(Upgrades!$P$8,G65)*POWER(Upgrades!$P$9,H65)*POWER(Upgrades!$P$10,I65)*POWER(Upgrades!$P$11,J65)*POWER(Upgrades!$P$12,K65))+0.20*M65*Parameters!$B$10*Parameters!$B$11/60)/Upgrades!$C$12,0)),IF(AND(ISNUMBER(AG65),AG65&gt;T65),AS65,0),IF(AND(ISNUMBER(AH65),AH65&gt;T65),AT65,0),IF(AND(ISNUMBER(AI65),AI65&gt;T65),AU65,0),IF(AND(ISNUMBER(AJ65),AJ65&gt;T65),AV65,0))</f>
        <v/>
      </c>
      <c r="AX65" s="29">
        <f>IF(AN65=1,"transition",IF(MIN(IF(AND(I65=0,ISNUMBER(AK65),AK65&lt;=T65),AK65,9E15),IF(AND(J65=0,ISNUMBER(AL65),AL65&lt;=T65),AL65,9E15),IF(AND(K65=0,ISNUMBER(AM65),AM65&lt;=T65),AM65,9E15))&lt;9E15,IF(AND(AND(I65=0,ISNUMBER(AK65),AK65&lt;=T65),AK65=MIN(IF(AND(I65=0,ISNUMBER(AK65),AK65&lt;=T65),AK65,9E15),IF(AND(J65=0,ISNUMBER(AL65),AL65&lt;=T65),AL65,9E15),IF(AND(K65=0,ISNUMBER(AM65),AM65&lt;=T65),AM65,9E15))),"OR",IF(AND(AND(J65=0,ISNUMBER(AL65),AL65&lt;=T65),AL65=MIN(IF(AND(I65=0,ISNUMBER(AK65),AK65&lt;=T65),AK65,9E15),IF(AND(J65=0,ISNUMBER(AL65),AL65&lt;=T65),AL65,9E15),IF(AND(K65=0,ISNUMBER(AM65),AM65&lt;=T65),AM65,9E15))),"HP","FP")),IF(AR65=TRUE,"",IF(MAX(IF(AND(NOT(AND(AO65=1,AN65&lt;&gt;1)),ISNUMBER(AG65),AG65&lt;=T65),AS65,0),IF(AND(NOT(AND(AO65=1,AN65&lt;&gt;1)),ISNUMBER(AH65),AH65&lt;=T65),AT65,0),IF(AND(NOT(AND(AO65=1,AN65&lt;&gt;1)),ISNUMBER(AI65),AI65&lt;=T65),AU65,0),IF(AND(ISNUMBER(AJ65),AJ65&lt;=T65),AV65,0))&lt;=0,"",IF(AND(IF(AND(NOT(AND(AO65=1,AN65&lt;&gt;1)),ISNUMBER(AG65),AG65&lt;=T65),AS65,0)&gt;0,IF(AND(NOT(AND(AO65=1,AN65&lt;&gt;1)),ISNUMBER(AG65),AG65&lt;=T65),AS65,0)=MAX(IF(AND(NOT(AND(AO65=1,AN65&lt;&gt;1)),ISNUMBER(AG65),AG65&lt;=T65),AS65,0),IF(AND(NOT(AND(AO65=1,AN65&lt;&gt;1)),ISNUMBER(AH65),AH65&lt;=T65),AT65,0),IF(AND(NOT(AND(AO65=1,AN65&lt;&gt;1)),ISNUMBER(AI65),AI65&lt;=T65),AU65,0),IF(AND(ISNUMBER(AJ65),AJ65&lt;=T65),AV65,0))),"SW",IF(AND(IF(AND(NOT(AND(AO65=1,AN65&lt;&gt;1)),ISNUMBER(AH65),AH65&lt;=T65),AT65,0)&gt;0,IF(AND(NOT(AND(AO65=1,AN65&lt;&gt;1)),ISNUMBER(AH65),AH65&lt;=T65),AT65,0)=MAX(IF(AND(NOT(AND(AO65=1,AN65&lt;&gt;1)),ISNUMBER(AG65),AG65&lt;=T65),AS65,0),IF(AND(NOT(AND(AO65=1,AN65&lt;&gt;1)),ISNUMBER(AH65),AH65&lt;=T65),AT65,0),IF(AND(NOT(AND(AO65=1,AN65&lt;&gt;1)),ISNUMBER(AI65),AI65&lt;=T65),AU65,0),IF(AND(ISNUMBER(AJ65),AJ65&lt;=T65),AV65,0))),"AB",IF(AND(IF(AND(NOT(AND(AO65=1,AN65&lt;&gt;1)),ISNUMBER(AI65),AI65&lt;=T65),AU65,0)&gt;0,IF(AND(NOT(AND(AO65=1,AN65&lt;&gt;1)),ISNUMBER(AI65),AI65&lt;=T65),AU65,0)=MAX(IF(AND(NOT(AND(AO65=1,AN65&lt;&gt;1)),ISNUMBER(AG65),AG65&lt;=T65),AS65,0),IF(AND(NOT(AND(AO65=1,AN65&lt;&gt;1)),ISNUMBER(AH65),AH65&lt;=T65),AT65,0),IF(AND(NOT(AND(AO65=1,AN65&lt;&gt;1)),ISNUMBER(AI65),AI65&lt;=T65),AU65,0),IF(AND(ISNUMBER(AJ65),AJ65&lt;=T65),AV65,0))),"SC","Mag")))))))</f>
        <v/>
      </c>
    </row>
    <row r="66">
      <c r="A66" s="26" t="n">
        <v>61</v>
      </c>
      <c r="B66" s="27">
        <f>A66*10/60</f>
        <v/>
      </c>
      <c r="C66" s="22">
        <f>X65</f>
        <v/>
      </c>
      <c r="D66" s="27">
        <f>D65+W65</f>
        <v/>
      </c>
      <c r="E66" s="26">
        <f>E65+IF(U65="SW",1,0)</f>
        <v/>
      </c>
      <c r="F66" s="26">
        <f>F65+IF(U65="AB",1,0)</f>
        <v/>
      </c>
      <c r="G66" s="26">
        <f>G65+IF(U65="SC",1,0)</f>
        <v/>
      </c>
      <c r="H66" s="26">
        <f>H65+IF(U65="Mag",1,0)</f>
        <v/>
      </c>
      <c r="I66" s="26">
        <f>MAX(I65,IF(U65="OR",1,0))</f>
        <v/>
      </c>
      <c r="J66" s="26">
        <f>MAX(J65,IF(U65="HP",1,0))</f>
        <v/>
      </c>
      <c r="K66" s="26">
        <f>MAX(K65,IF(U65="FP",1,0))</f>
        <v/>
      </c>
      <c r="L66" s="26">
        <f>MAX(L65,IF(U65="transition",1,0))</f>
        <v/>
      </c>
      <c r="M66" s="28">
        <f>(Parameters!$B$9+(IF(E66=0,0,(Upgrades!$J$6+E66*Upgrades!$K$6)*POWER(Upgrades!$L$6,E66)))*(IF(Upgrades!$T$7="Solar Wind",POWER(Upgrades!$U$7,F66),1)*IF(Upgrades!$T$8="Solar Wind",POWER(Upgrades!$U$8,G66),1)*IF(Upgrades!$T$9="Solar Wind",POWER(Upgrades!$U$9,H66),1)*IF(Upgrades!$T$10="Solar Wind",POWER(Upgrades!$U$10,I66),1)*IF(Upgrades!$T$11="Solar Wind",POWER(Upgrades!$U$11,J66),1)*IF(Upgrades!$T$12="Solar Wind",POWER(Upgrades!$U$12,K66),1))+(IF(F66=0,0,(Upgrades!$J$7+F66*Upgrades!$K$7)*POWER(Upgrades!$L$7,F66)))*(IF(Upgrades!$T$6="Asteroid Belt",POWER(Upgrades!$U$6,E66),1)*IF(Upgrades!$T$8="Asteroid Belt",POWER(Upgrades!$U$8,G66),1)*IF(Upgrades!$T$9="Asteroid Belt",POWER(Upgrades!$U$9,H66),1)*IF(Upgrades!$T$10="Asteroid Belt",POWER(Upgrades!$U$10,I66),1)*IF(Upgrades!$T$11="Asteroid Belt",POWER(Upgrades!$U$11,J66),1)*IF(Upgrades!$T$12="Asteroid Belt",POWER(Upgrades!$U$12,K66),1))+(IF(G66=0,0,(Upgrades!$J$8+G66*Upgrades!$K$8)*POWER(Upgrades!$L$8,G66)))*(IF(Upgrades!$T$6="Stellar Coupling",POWER(Upgrades!$U$6,E66),1)*IF(Upgrades!$T$7="Stellar Coupling",POWER(Upgrades!$U$7,F66),1)*IF(Upgrades!$T$9="Stellar Coupling",POWER(Upgrades!$U$9,H66),1)*IF(Upgrades!$T$10="Stellar Coupling",POWER(Upgrades!$U$10,I66),1)*IF(Upgrades!$T$11="Stellar Coupling",POWER(Upgrades!$U$11,J66),1)*IF(Upgrades!$T$12="Stellar Coupling",POWER(Upgrades!$U$12,K66),1))+(IF(H66=0,0,(Upgrades!$J$9+H66*Upgrades!$K$9)*POWER(Upgrades!$L$9,H66)))*(IF(Upgrades!$T$6="Magnetosphere",POWER(Upgrades!$U$6,E66),1)*IF(Upgrades!$T$7="Magnetosphere",POWER(Upgrades!$U$7,F66),1)*IF(Upgrades!$T$8="Magnetosphere",POWER(Upgrades!$U$8,G66),1)*IF(Upgrades!$T$10="Magnetosphere",POWER(Upgrades!$U$10,I66),1)*IF(Upgrades!$T$11="Magnetosphere",POWER(Upgrades!$U$11,J66),1)*IF(Upgrades!$T$12="Magnetosphere",POWER(Upgrades!$U$12,K66),1))+(IF(I66=0,0,(Upgrades!$J$10+I66*Upgrades!$K$10)*POWER(Upgrades!$L$10,I66)))*(IF(Upgrades!$T$6="Orbital Resonance",POWER(Upgrades!$U$6,E66),1)*IF(Upgrades!$T$7="Orbital Resonance",POWER(Upgrades!$U$7,F66),1)*IF(Upgrades!$T$8="Orbital Resonance",POWER(Upgrades!$U$8,G66),1)*IF(Upgrades!$T$9="Orbital Resonance",POWER(Upgrades!$U$9,H66),1)*IF(Upgrades!$T$11="Orbital Resonance",POWER(Upgrades!$U$11,J66),1)*IF(Upgrades!$T$12="Orbital Resonance",POWER(Upgrades!$U$12,K66),1))+(IF(J66=0,0,(Upgrades!$J$11+J66*Upgrades!$K$11)*POWER(Upgrades!$L$11,J66)))*(IF(Upgrades!$T$6="Heliopause",POWER(Upgrades!$U$6,E66),1)*IF(Upgrades!$T$7="Heliopause",POWER(Upgrades!$U$7,F66),1)*IF(Upgrades!$T$8="Heliopause",POWER(Upgrades!$U$8,G66),1)*IF(Upgrades!$T$9="Heliopause",POWER(Upgrades!$U$9,H66),1)*IF(Upgrades!$T$10="Heliopause",POWER(Upgrades!$U$10,I66),1)*IF(Upgrades!$T$12="Heliopause",POWER(Upgrades!$U$12,K66),1))+(IF(K66=0,0,(Upgrades!$J$12+K66*Upgrades!$K$12)*POWER(Upgrades!$L$12,K66)))*(IF(Upgrades!$T$6="First Photons",POWER(Upgrades!$U$6,E66),1)*IF(Upgrades!$T$7="First Photons",POWER(Upgrades!$U$7,F66),1)*IF(Upgrades!$T$8="First Photons",POWER(Upgrades!$U$8,G66),1)*IF(Upgrades!$T$9="First Photons",POWER(Upgrades!$U$9,H66),1)*IF(Upgrades!$T$10="First Photons",POWER(Upgrades!$U$10,I66),1)*IF(Upgrades!$T$11="First Photons",POWER(Upgrades!$U$11,J66),1)))*POWER(Upgrades!$Q$6,E66)*POWER(Upgrades!$Q$7,F66)*POWER(Upgrades!$Q$8,G66)*POWER(Upgrades!$Q$9,H66)*POWER(Upgrades!$Q$10,I66)*POWER(Upgrades!$Q$11,J66)*POWER(Upgrades!$Q$12,K66)</f>
        <v/>
      </c>
      <c r="N66" s="28">
        <f>((IF(E66=0,0,(Upgrades!$G$6+E66*Upgrades!$H$6)*POWER(Upgrades!$I$6,E66)))*(IF(Upgrades!$T$7="Solar Wind",POWER(Upgrades!$U$7,F66),1)*IF(Upgrades!$T$8="Solar Wind",POWER(Upgrades!$U$8,G66),1)*IF(Upgrades!$T$9="Solar Wind",POWER(Upgrades!$U$9,H66),1)*IF(Upgrades!$T$10="Solar Wind",POWER(Upgrades!$U$10,I66),1)*IF(Upgrades!$T$11="Solar Wind",POWER(Upgrades!$U$11,J66),1)*IF(Upgrades!$T$12="Solar Wind",POWER(Upgrades!$U$12,K66),1))+(IF(F66=0,0,(Upgrades!$G$7+F66*Upgrades!$H$7)*POWER(Upgrades!$I$7,F66)))*(IF(Upgrades!$T$6="Asteroid Belt",POWER(Upgrades!$U$6,E66),1)*IF(Upgrades!$T$8="Asteroid Belt",POWER(Upgrades!$U$8,G66),1)*IF(Upgrades!$T$9="Asteroid Belt",POWER(Upgrades!$U$9,H66),1)*IF(Upgrades!$T$10="Asteroid Belt",POWER(Upgrades!$U$10,I66),1)*IF(Upgrades!$T$11="Asteroid Belt",POWER(Upgrades!$U$11,J66),1)*IF(Upgrades!$T$12="Asteroid Belt",POWER(Upgrades!$U$12,K66),1))+(IF(G66=0,0,(Upgrades!$G$8+G66*Upgrades!$H$8)*POWER(Upgrades!$I$8,G66)))*(IF(Upgrades!$T$6="Stellar Coupling",POWER(Upgrades!$U$6,E66),1)*IF(Upgrades!$T$7="Stellar Coupling",POWER(Upgrades!$U$7,F66),1)*IF(Upgrades!$T$9="Stellar Coupling",POWER(Upgrades!$U$9,H66),1)*IF(Upgrades!$T$10="Stellar Coupling",POWER(Upgrades!$U$10,I66),1)*IF(Upgrades!$T$11="Stellar Coupling",POWER(Upgrades!$U$11,J66),1)*IF(Upgrades!$T$12="Stellar Coupling",POWER(Upgrades!$U$12,K66),1))+(IF(H66=0,0,(Upgrades!$G$9+H66*Upgrades!$H$9)*POWER(Upgrades!$I$9,H66)))*(IF(Upgrades!$T$6="Magnetosphere",POWER(Upgrades!$U$6,E66),1)*IF(Upgrades!$T$7="Magnetosphere",POWER(Upgrades!$U$7,F66),1)*IF(Upgrades!$T$8="Magnetosphere",POWER(Upgrades!$U$8,G66),1)*IF(Upgrades!$T$10="Magnetosphere",POWER(Upgrades!$U$10,I66),1)*IF(Upgrades!$T$11="Magnetosphere",POWER(Upgrades!$U$11,J66),1)*IF(Upgrades!$T$12="Magnetosphere",POWER(Upgrades!$U$12,K66),1))+(IF(I66=0,0,(Upgrades!$G$10+I66*Upgrades!$H$10)*POWER(Upgrades!$I$10,I66)))*(IF(Upgrades!$T$6="Orbital Resonance",POWER(Upgrades!$U$6,E66),1)*IF(Upgrades!$T$7="Orbital Resonance",POWER(Upgrades!$U$7,F66),1)*IF(Upgrades!$T$8="Orbital Resonance",POWER(Upgrades!$U$8,G66),1)*IF(Upgrades!$T$9="Orbital Resonance",POWER(Upgrades!$U$9,H66),1)*IF(Upgrades!$T$11="Orbital Resonance",POWER(Upgrades!$U$11,J66),1)*IF(Upgrades!$T$12="Orbital Resonance",POWER(Upgrades!$U$12,K66),1))+(IF(J66=0,0,(Upgrades!$G$11+J66*Upgrades!$H$11)*POWER(Upgrades!$I$11,J66)))*(IF(Upgrades!$T$6="Heliopause",POWER(Upgrades!$U$6,E66),1)*IF(Upgrades!$T$7="Heliopause",POWER(Upgrades!$U$7,F66),1)*IF(Upgrades!$T$8="Heliopause",POWER(Upgrades!$U$8,G66),1)*IF(Upgrades!$T$9="Heliopause",POWER(Upgrades!$U$9,H66),1)*IF(Upgrades!$T$10="Heliopause",POWER(Upgrades!$U$10,I66),1)*IF(Upgrades!$T$12="Heliopause",POWER(Upgrades!$U$12,K66),1))+(IF(K66=0,0,(Upgrades!$G$12+K66*Upgrades!$H$12)*POWER(Upgrades!$I$12,K66)))*(IF(Upgrades!$T$6="First Photons",POWER(Upgrades!$U$6,E66),1)*IF(Upgrades!$T$7="First Photons",POWER(Upgrades!$U$7,F66),1)*IF(Upgrades!$T$8="First Photons",POWER(Upgrades!$U$8,G66),1)*IF(Upgrades!$T$9="First Photons",POWER(Upgrades!$U$9,H66),1)*IF(Upgrades!$T$10="First Photons",POWER(Upgrades!$U$10,I66),1)*IF(Upgrades!$T$11="First Photons",POWER(Upgrades!$U$11,J66),1)))*POWER(Upgrades!$P$6,E66)*POWER(Upgrades!$P$7,F66)*POWER(Upgrades!$P$8,G66)*POWER(Upgrades!$P$9,H66)*POWER(Upgrades!$P$10,I66)*POWER(Upgrades!$P$11,J66)*POWER(Upgrades!$P$12,K66)</f>
        <v/>
      </c>
      <c r="O66" s="28">
        <f>((IF(E66=0,0,(Upgrades!$M$6+E66*Upgrades!$N$6)*POWER(Upgrades!$O$6,E66)))*(IF(Upgrades!$T$7="Solar Wind",POWER(Upgrades!$U$7,F66),1)*IF(Upgrades!$T$8="Solar Wind",POWER(Upgrades!$U$8,G66),1)*IF(Upgrades!$T$9="Solar Wind",POWER(Upgrades!$U$9,H66),1)*IF(Upgrades!$T$10="Solar Wind",POWER(Upgrades!$U$10,I66),1)*IF(Upgrades!$T$11="Solar Wind",POWER(Upgrades!$U$11,J66),1)*IF(Upgrades!$T$12="Solar Wind",POWER(Upgrades!$U$12,K66),1))+(IF(F66=0,0,(Upgrades!$M$7+F66*Upgrades!$N$7)*POWER(Upgrades!$O$7,F66)))*(IF(Upgrades!$T$6="Asteroid Belt",POWER(Upgrades!$U$6,E66),1)*IF(Upgrades!$T$8="Asteroid Belt",POWER(Upgrades!$U$8,G66),1)*IF(Upgrades!$T$9="Asteroid Belt",POWER(Upgrades!$U$9,H66),1)*IF(Upgrades!$T$10="Asteroid Belt",POWER(Upgrades!$U$10,I66),1)*IF(Upgrades!$T$11="Asteroid Belt",POWER(Upgrades!$U$11,J66),1)*IF(Upgrades!$T$12="Asteroid Belt",POWER(Upgrades!$U$12,K66),1))+(IF(G66=0,0,(Upgrades!$M$8+G66*Upgrades!$N$8)*POWER(Upgrades!$O$8,G66)))*(IF(Upgrades!$T$6="Stellar Coupling",POWER(Upgrades!$U$6,E66),1)*IF(Upgrades!$T$7="Stellar Coupling",POWER(Upgrades!$U$7,F66),1)*IF(Upgrades!$T$9="Stellar Coupling",POWER(Upgrades!$U$9,H66),1)*IF(Upgrades!$T$10="Stellar Coupling",POWER(Upgrades!$U$10,I66),1)*IF(Upgrades!$T$11="Stellar Coupling",POWER(Upgrades!$U$11,J66),1)*IF(Upgrades!$T$12="Stellar Coupling",POWER(Upgrades!$U$12,K66),1))+(IF(H66=0,0,(Upgrades!$M$9+H66*Upgrades!$N$9)*POWER(Upgrades!$O$9,H66)))*(IF(Upgrades!$T$6="Magnetosphere",POWER(Upgrades!$U$6,E66),1)*IF(Upgrades!$T$7="Magnetosphere",POWER(Upgrades!$U$7,F66),1)*IF(Upgrades!$T$8="Magnetosphere",POWER(Upgrades!$U$8,G66),1)*IF(Upgrades!$T$10="Magnetosphere",POWER(Upgrades!$U$10,I66),1)*IF(Upgrades!$T$11="Magnetosphere",POWER(Upgrades!$U$11,J66),1)*IF(Upgrades!$T$12="Magnetosphere",POWER(Upgrades!$U$12,K66),1))+(IF(I66=0,0,(Upgrades!$M$10+I66*Upgrades!$N$10)*POWER(Upgrades!$O$10,I66)))*(IF(Upgrades!$T$6="Orbital Resonance",POWER(Upgrades!$U$6,E66),1)*IF(Upgrades!$T$7="Orbital Resonance",POWER(Upgrades!$U$7,F66),1)*IF(Upgrades!$T$8="Orbital Resonance",POWER(Upgrades!$U$8,G66),1)*IF(Upgrades!$T$9="Orbital Resonance",POWER(Upgrades!$U$9,H66),1)*IF(Upgrades!$T$11="Orbital Resonance",POWER(Upgrades!$U$11,J66),1)*IF(Upgrades!$T$12="Orbital Resonance",POWER(Upgrades!$U$12,K66),1))+(IF(J66=0,0,(Upgrades!$M$11+J66*Upgrades!$N$11)*POWER(Upgrades!$O$11,J66)))*(IF(Upgrades!$T$6="Heliopause",POWER(Upgrades!$U$6,E66),1)*IF(Upgrades!$T$7="Heliopause",POWER(Upgrades!$U$7,F66),1)*IF(Upgrades!$T$8="Heliopause",POWER(Upgrades!$U$8,G66),1)*IF(Upgrades!$T$9="Heliopause",POWER(Upgrades!$U$9,H66),1)*IF(Upgrades!$T$10="Heliopause",POWER(Upgrades!$U$10,I66),1)*IF(Upgrades!$T$12="Heliopause",POWER(Upgrades!$U$12,K66),1))+(IF(K66=0,0,(Upgrades!$M$12+K66*Upgrades!$N$12)*POWER(Upgrades!$O$12,K66)))*(IF(Upgrades!$T$6="First Photons",POWER(Upgrades!$U$6,E66),1)*IF(Upgrades!$T$7="First Photons",POWER(Upgrades!$U$7,F66),1)*IF(Upgrades!$T$8="First Photons",POWER(Upgrades!$U$8,G66),1)*IF(Upgrades!$T$9="First Photons",POWER(Upgrades!$U$9,H66),1)*IF(Upgrades!$T$10="First Photons",POWER(Upgrades!$U$10,I66),1)*IF(Upgrades!$T$11="First Photons",POWER(Upgrades!$U$11,J66),1)))*POWER(Upgrades!$R$6,E66)*POWER(Upgrades!$R$7,F66)*POWER(Upgrades!$R$8,G66)*POWER(Upgrades!$R$9,H66)*POWER(Upgrades!$R$10,I66)*POWER(Upgrades!$R$11,J66)*POWER(Upgrades!$R$12,K66)</f>
        <v/>
      </c>
      <c r="P66" s="27">
        <f>IF(L66=1,0,M66*Parameters!$B$10/60*Parameters!$B$11*10)</f>
        <v/>
      </c>
      <c r="Q66" s="27">
        <f>IF(L66=1,0,O66*M66*10)</f>
        <v/>
      </c>
      <c r="R66" s="27">
        <f>IF(L66=1,0,N66*10)</f>
        <v/>
      </c>
      <c r="S66" s="27">
        <f>P66+Q66+R66</f>
        <v/>
      </c>
      <c r="T66" s="22">
        <f>C66+S66</f>
        <v/>
      </c>
      <c r="U66" s="33">
        <f>AX66</f>
        <v/>
      </c>
      <c r="V66" s="22">
        <f>IF(U66="",0,IF(U66="transition",0,IF(U66="SW",AG66,IF(U66="AB",AH66,IF(U66="SC",AI66,IF(U66="Mag",AJ66,IF(U66="OR",AK66,IF(U66="HP",AL66,IF(U66="FP",AM66,0)))))))))</f>
        <v/>
      </c>
      <c r="W66" s="27">
        <f>IF(U66="OR",Upgrades!$F$10,IF(U66="HP",Upgrades!$F$11,IF(U66="transition",-Parameters!$B$18,0)))</f>
        <v/>
      </c>
      <c r="X66" s="22">
        <f>T66-V66</f>
        <v/>
      </c>
      <c r="Y66" s="30">
        <f>M66*Parameters!$B$10/60*Parameters!$B$11+O66*M66+N66</f>
        <v/>
      </c>
      <c r="Z66" s="34">
        <f>IF(U66="transition","→ Tier 2 (Stellar Neighborhood)",IF(U66="FP","First Photons — light begins, system quickens",IF(U66="HP","Heliopause acquired",IF(U66="OR","Orbital Resonance — passive multiplier active",IF(AND(AO66=1,L66=0,AN66&lt;&gt;1),"Cohesion ready (waiting on completionist upgrades)","")))))</f>
        <v/>
      </c>
      <c r="AA66" s="27">
        <f>(IF(E66=0,0,(Upgrades!$G$6+E66*Upgrades!$H$6)*POWER(Upgrades!$I$6,E66)))*(IF(Upgrades!$T$7="Solar Wind",POWER(Upgrades!$U$7,F66),1)*IF(Upgrades!$T$8="Solar Wind",POWER(Upgrades!$U$8,G66),1)*IF(Upgrades!$T$9="Solar Wind",POWER(Upgrades!$U$9,H66),1)*IF(Upgrades!$T$10="Solar Wind",POWER(Upgrades!$U$10,I66),1)*IF(Upgrades!$T$11="Solar Wind",POWER(Upgrades!$U$11,J66),1)*IF(Upgrades!$T$12="Solar Wind",POWER(Upgrades!$U$12,K66),1))*POWER(Upgrades!$P$6,E66)*POWER(Upgrades!$P$7,F66)*POWER(Upgrades!$P$8,G66)*POWER(Upgrades!$P$9,H66)*POWER(Upgrades!$P$10,I66)*POWER(Upgrades!$P$11,J66)*POWER(Upgrades!$P$12,K66)*60</f>
        <v/>
      </c>
      <c r="AB66" s="27">
        <f>(IF(F66=0,0,(Upgrades!$G$7+F66*Upgrades!$H$7)*POWER(Upgrades!$I$7,F66)))*(IF(Upgrades!$T$6="Asteroid Belt",POWER(Upgrades!$U$6,E66),1)*IF(Upgrades!$T$8="Asteroid Belt",POWER(Upgrades!$U$8,G66),1)*IF(Upgrades!$T$9="Asteroid Belt",POWER(Upgrades!$U$9,H66),1)*IF(Upgrades!$T$10="Asteroid Belt",POWER(Upgrades!$U$10,I66),1)*IF(Upgrades!$T$11="Asteroid Belt",POWER(Upgrades!$U$11,J66),1)*IF(Upgrades!$T$12="Asteroid Belt",POWER(Upgrades!$U$12,K66),1))*POWER(Upgrades!$P$6,E66)*POWER(Upgrades!$P$7,F66)*POWER(Upgrades!$P$8,G66)*POWER(Upgrades!$P$9,H66)*POWER(Upgrades!$P$10,I66)*POWER(Upgrades!$P$11,J66)*POWER(Upgrades!$P$12,K66)*60</f>
        <v/>
      </c>
      <c r="AC66" s="27">
        <f>(IF(G66=0,0,(Upgrades!$J$8+G66*Upgrades!$K$8)*POWER(Upgrades!$L$8,G66)))*(IF(Upgrades!$T$6="Stellar Coupling",POWER(Upgrades!$U$6,E66),1)*IF(Upgrades!$T$7="Stellar Coupling",POWER(Upgrades!$U$7,F66),1)*IF(Upgrades!$T$9="Stellar Coupling",POWER(Upgrades!$U$9,H66),1)*IF(Upgrades!$T$10="Stellar Coupling",POWER(Upgrades!$U$10,I66),1)*IF(Upgrades!$T$11="Stellar Coupling",POWER(Upgrades!$U$11,J66),1)*IF(Upgrades!$T$12="Stellar Coupling",POWER(Upgrades!$U$12,K66),1))*POWER(Upgrades!$Q$6,E66)*POWER(Upgrades!$Q$7,F66)*POWER(Upgrades!$Q$8,G66)*POWER(Upgrades!$Q$9,H66)*POWER(Upgrades!$Q$10,I66)*POWER(Upgrades!$Q$11,J66)*POWER(Upgrades!$Q$12,K66)*Parameters!$B$10*Parameters!$B$11</f>
        <v/>
      </c>
      <c r="AD66" s="27">
        <f>(IF(H66=0,0,(Upgrades!$G$9+H66*Upgrades!$H$9)*POWER(Upgrades!$I$9,H66)))*(IF(Upgrades!$T$6="Magnetosphere",POWER(Upgrades!$U$6,E66),1)*IF(Upgrades!$T$7="Magnetosphere",POWER(Upgrades!$U$7,F66),1)*IF(Upgrades!$T$8="Magnetosphere",POWER(Upgrades!$U$8,G66),1)*IF(Upgrades!$T$10="Magnetosphere",POWER(Upgrades!$U$10,I66),1)*IF(Upgrades!$T$11="Magnetosphere",POWER(Upgrades!$U$11,J66),1)*IF(Upgrades!$T$12="Magnetosphere",POWER(Upgrades!$U$12,K66),1))*POWER(Upgrades!$P$6,E66)*POWER(Upgrades!$P$7,F66)*POWER(Upgrades!$P$8,G66)*POWER(Upgrades!$P$9,H66)*POWER(Upgrades!$P$10,I66)*POWER(Upgrades!$P$11,J66)*POWER(Upgrades!$P$12,K66)*60</f>
        <v/>
      </c>
      <c r="AE66" s="27">
        <f>(IF(K66=0,0,(Upgrades!$G$12+K66*Upgrades!$H$12)*POWER(Upgrades!$I$12,K66)))*(IF(Upgrades!$T$6="First Photons",POWER(Upgrades!$U$6,E66),1)*IF(Upgrades!$T$7="First Photons",POWER(Upgrades!$U$7,F66),1)*IF(Upgrades!$T$8="First Photons",POWER(Upgrades!$U$8,G66),1)*IF(Upgrades!$T$9="First Photons",POWER(Upgrades!$U$9,H66),1)*IF(Upgrades!$T$10="First Photons",POWER(Upgrades!$U$10,I66),1)*IF(Upgrades!$T$11="First Photons",POWER(Upgrades!$U$11,J66),1))*POWER(Upgrades!$P$6,E66)*POWER(Upgrades!$P$7,F66)*POWER(Upgrades!$P$8,G66)*POWER(Upgrades!$P$9,H66)*POWER(Upgrades!$P$10,I66)*POWER(Upgrades!$P$11,J66)*POWER(Upgrades!$P$12,K66)*60</f>
        <v/>
      </c>
      <c r="AF66" s="27">
        <f>Parameters!$B$9*POWER(Upgrades!$Q$6,E66)*POWER(Upgrades!$Q$7,F66)*POWER(Upgrades!$Q$8,G66)*POWER(Upgrades!$Q$9,H66)*POWER(Upgrades!$Q$10,I66)*POWER(Upgrades!$Q$11,J66)*POWER(Upgrades!$Q$12,K66)*(Parameters!$B$10*Parameters!$B$11+O66*60)</f>
        <v/>
      </c>
      <c r="AG66" s="22">
        <f>IF(E66&gt;=Upgrades!$E$6,"",Upgrades!$C$6*POWER(Upgrades!$D$6,E66))</f>
        <v/>
      </c>
      <c r="AH66" s="22">
        <f>IF(F66&gt;=Upgrades!$E$7,"",Upgrades!$C$7*POWER(Upgrades!$D$7,F66))</f>
        <v/>
      </c>
      <c r="AI66" s="22">
        <f>IF(G66&gt;=Upgrades!$E$8,"",Upgrades!$C$8*POWER(Upgrades!$D$8,G66))</f>
        <v/>
      </c>
      <c r="AJ66" s="22">
        <f>IF(H66&gt;=Upgrades!$E$9,"",Upgrades!$C$9*POWER(Upgrades!$D$9,H66))</f>
        <v/>
      </c>
      <c r="AK66" s="22">
        <f>IF(I66&gt;=Upgrades!$E$10,"",Upgrades!$C$10*POWER(Upgrades!$D$10,I66))</f>
        <v/>
      </c>
      <c r="AL66" s="22">
        <f>IF(J66&gt;=Upgrades!$E$11,"",Upgrades!$C$11*POWER(Upgrades!$D$11,J66))</f>
        <v/>
      </c>
      <c r="AM66" s="22">
        <f>IF(K66&gt;=Upgrades!$E$12,"",Upgrades!$C$12*POWER(Upgrades!$D$12,K66))</f>
        <v/>
      </c>
      <c r="AN66" s="26">
        <f>IF(AND(D66&gt;=Parameters!$B$18,(H66&gt;=Upgrades!$E$9)*(K66&gt;=Upgrades!$E$12)=1,L66=0),1,"")</f>
        <v/>
      </c>
      <c r="AO66" s="26">
        <f>IF(AND(D66&gt;=Parameters!$B$18,L66=0),1,"")</f>
        <v/>
      </c>
      <c r="AP66" s="22">
        <f>MIN(IF(ISNUMBER(AK66),AK66,9E15),IF(ISNUMBER(AL66),AL66,9E15),IF(ISNUMBER(AM66),AM66,9E15))</f>
        <v/>
      </c>
      <c r="AQ66" s="22">
        <f>MIN(IF(ISNUMBER(AG66),AG66,9E15),IF(ISNUMBER(AH66),AH66,9E15),IF(ISNUMBER(AI66),AI66,9E15),IF(ISNUMBER(AJ66),AJ66,9E15))</f>
        <v/>
      </c>
      <c r="AR66" s="29">
        <f>IF(AW66&gt;Parameters!$B$21*(MAX(IF(AND(NOT(AND(AO66=1,AN66&lt;&gt;1)),ISNUMBER(AG66),AG66&lt;=T66),AS66,0),IF(AND(NOT(AND(AO66=1,AN66&lt;&gt;1)),ISNUMBER(AH66),AH66&lt;=T66),AT66,0),IF(AND(NOT(AND(AO66=1,AN66&lt;&gt;1)),ISNUMBER(AI66),AI66&lt;=T66),AU66,0),IF(AND(ISNUMBER(AJ66),AJ66&lt;=T66),AV66,0))),TRUE,FALSE)</f>
        <v/>
      </c>
      <c r="AS66" s="32">
        <f>IFERROR(Upgrades!$H$6*(POWER(Upgrades!$P$6,E66)*POWER(Upgrades!$P$7,F66)*POWER(Upgrades!$P$8,G66)*POWER(Upgrades!$P$9,H66)*POWER(Upgrades!$P$10,I66)*POWER(Upgrades!$P$11,J66)*POWER(Upgrades!$P$12,K66))*(IF(Upgrades!$T$7="Solar Wind",POWER(Upgrades!$U$7,F66),1)*IF(Upgrades!$T$8="Solar Wind",POWER(Upgrades!$U$8,G66),1)*IF(Upgrades!$T$9="Solar Wind",POWER(Upgrades!$U$9,H66),1)*IF(Upgrades!$T$10="Solar Wind",POWER(Upgrades!$U$10,I66),1)*IF(Upgrades!$T$11="Solar Wind",POWER(Upgrades!$U$11,J66),1)*IF(Upgrades!$T$12="Solar Wind",POWER(Upgrades!$U$12,K66),1))/AG66,0)</f>
        <v/>
      </c>
      <c r="AT66" s="32">
        <f>IFERROR(Upgrades!$H$7*(POWER(Upgrades!$P$6,E66)*POWER(Upgrades!$P$7,F66)*POWER(Upgrades!$P$8,G66)*POWER(Upgrades!$P$9,H66)*POWER(Upgrades!$P$10,I66)*POWER(Upgrades!$P$11,J66)*POWER(Upgrades!$P$12,K66))*(IF(Upgrades!$T$6="Asteroid Belt",POWER(Upgrades!$U$6,E66),1)*IF(Upgrades!$T$8="Asteroid Belt",POWER(Upgrades!$U$8,G66),1)*IF(Upgrades!$T$9="Asteroid Belt",POWER(Upgrades!$U$9,H66),1)*IF(Upgrades!$T$10="Asteroid Belt",POWER(Upgrades!$U$10,I66),1)*IF(Upgrades!$T$11="Asteroid Belt",POWER(Upgrades!$U$11,J66),1)*IF(Upgrades!$T$12="Asteroid Belt",POWER(Upgrades!$U$12,K66),1))/AH66,0)</f>
        <v/>
      </c>
      <c r="AU66" s="32">
        <f>IFERROR(Upgrades!$K$8*(POWER(Upgrades!$Q$6,E66)*POWER(Upgrades!$Q$7,F66)*POWER(Upgrades!$Q$8,G66)*POWER(Upgrades!$Q$9,H66)*POWER(Upgrades!$Q$10,I66)*POWER(Upgrades!$Q$11,J66)*POWER(Upgrades!$Q$12,K66))*(IF(Upgrades!$T$6="Stellar Coupling",POWER(Upgrades!$U$6,E66),1)*IF(Upgrades!$T$7="Stellar Coupling",POWER(Upgrades!$U$7,F66),1)*IF(Upgrades!$T$9="Stellar Coupling",POWER(Upgrades!$U$9,H66),1)*IF(Upgrades!$T$10="Stellar Coupling",POWER(Upgrades!$U$10,I66),1)*IF(Upgrades!$T$11="Stellar Coupling",POWER(Upgrades!$U$11,J66),1)*IF(Upgrades!$T$12="Stellar Coupling",POWER(Upgrades!$U$12,K66),1))*Parameters!$B$10*Parameters!$B$11/60/AI66,0)</f>
        <v/>
      </c>
      <c r="AV66" s="32">
        <f>IFERROR(Upgrades!$H$9*(POWER(Upgrades!$P$6,E66)*POWER(Upgrades!$P$7,F66)*POWER(Upgrades!$P$8,G66)*POWER(Upgrades!$P$9,H66)*POWER(Upgrades!$P$10,I66)*POWER(Upgrades!$P$11,J66)*POWER(Upgrades!$P$12,K66))*(IF(Upgrades!$T$6="Magnetosphere",POWER(Upgrades!$U$6,E66),1)*IF(Upgrades!$T$7="Magnetosphere",POWER(Upgrades!$U$7,F66),1)*IF(Upgrades!$T$8="Magnetosphere",POWER(Upgrades!$U$8,G66),1)*IF(Upgrades!$T$10="Magnetosphere",POWER(Upgrades!$U$10,I66),1)*IF(Upgrades!$T$11="Magnetosphere",POWER(Upgrades!$U$11,J66),1)*IF(Upgrades!$T$12="Magnetosphere",POWER(Upgrades!$U$12,K66),1))/AJ66,0)</f>
        <v/>
      </c>
      <c r="AW66" s="32">
        <f>MAX(IF(I66&gt;0,0,IFERROR(0.25*N66/Upgrades!$C$10,0)),IF(J66&gt;0,0,IFERROR(0.5*((IF(G66=0,0,(Upgrades!$J$8+G66*Upgrades!$K$8)*POWER(Upgrades!$L$8,G66)))*(IF(Upgrades!$T$6="Stellar Coupling",POWER(Upgrades!$U$6,E66),1)*IF(Upgrades!$T$7="Stellar Coupling",POWER(Upgrades!$U$7,F66),1)*IF(Upgrades!$T$9="Stellar Coupling",POWER(Upgrades!$U$9,H66),1)*IF(Upgrades!$T$10="Stellar Coupling",POWER(Upgrades!$U$10,I66),1)*IF(Upgrades!$T$11="Stellar Coupling",POWER(Upgrades!$U$11,J66),1)*IF(Upgrades!$T$12="Stellar Coupling",POWER(Upgrades!$U$12,K66),1))*(POWER(Upgrades!$Q$6,E66)*POWER(Upgrades!$Q$7,F66)*POWER(Upgrades!$Q$8,G66)*POWER(Upgrades!$Q$9,H66)*POWER(Upgrades!$Q$10,I66)*POWER(Upgrades!$Q$11,J66)*POWER(Upgrades!$Q$12,K66))*Parameters!$B$10*Parameters!$B$11/60)/Upgrades!$C$11,0)),IF(K66&gt;0,0,IFERROR((1.0*(POWER(Upgrades!$P$6,E66)*POWER(Upgrades!$P$7,F66)*POWER(Upgrades!$P$8,G66)*POWER(Upgrades!$P$9,H66)*POWER(Upgrades!$P$10,I66)*POWER(Upgrades!$P$11,J66)*POWER(Upgrades!$P$12,K66))+0.20*M66*Parameters!$B$10*Parameters!$B$11/60)/Upgrades!$C$12,0)),IF(AND(ISNUMBER(AG66),AG66&gt;T66),AS66,0),IF(AND(ISNUMBER(AH66),AH66&gt;T66),AT66,0),IF(AND(ISNUMBER(AI66),AI66&gt;T66),AU66,0),IF(AND(ISNUMBER(AJ66),AJ66&gt;T66),AV66,0))</f>
        <v/>
      </c>
      <c r="AX66" s="29">
        <f>IF(AN66=1,"transition",IF(MIN(IF(AND(I66=0,ISNUMBER(AK66),AK66&lt;=T66),AK66,9E15),IF(AND(J66=0,ISNUMBER(AL66),AL66&lt;=T66),AL66,9E15),IF(AND(K66=0,ISNUMBER(AM66),AM66&lt;=T66),AM66,9E15))&lt;9E15,IF(AND(AND(I66=0,ISNUMBER(AK66),AK66&lt;=T66),AK66=MIN(IF(AND(I66=0,ISNUMBER(AK66),AK66&lt;=T66),AK66,9E15),IF(AND(J66=0,ISNUMBER(AL66),AL66&lt;=T66),AL66,9E15),IF(AND(K66=0,ISNUMBER(AM66),AM66&lt;=T66),AM66,9E15))),"OR",IF(AND(AND(J66=0,ISNUMBER(AL66),AL66&lt;=T66),AL66=MIN(IF(AND(I66=0,ISNUMBER(AK66),AK66&lt;=T66),AK66,9E15),IF(AND(J66=0,ISNUMBER(AL66),AL66&lt;=T66),AL66,9E15),IF(AND(K66=0,ISNUMBER(AM66),AM66&lt;=T66),AM66,9E15))),"HP","FP")),IF(AR66=TRUE,"",IF(MAX(IF(AND(NOT(AND(AO66=1,AN66&lt;&gt;1)),ISNUMBER(AG66),AG66&lt;=T66),AS66,0),IF(AND(NOT(AND(AO66=1,AN66&lt;&gt;1)),ISNUMBER(AH66),AH66&lt;=T66),AT66,0),IF(AND(NOT(AND(AO66=1,AN66&lt;&gt;1)),ISNUMBER(AI66),AI66&lt;=T66),AU66,0),IF(AND(ISNUMBER(AJ66),AJ66&lt;=T66),AV66,0))&lt;=0,"",IF(AND(IF(AND(NOT(AND(AO66=1,AN66&lt;&gt;1)),ISNUMBER(AG66),AG66&lt;=T66),AS66,0)&gt;0,IF(AND(NOT(AND(AO66=1,AN66&lt;&gt;1)),ISNUMBER(AG66),AG66&lt;=T66),AS66,0)=MAX(IF(AND(NOT(AND(AO66=1,AN66&lt;&gt;1)),ISNUMBER(AG66),AG66&lt;=T66),AS66,0),IF(AND(NOT(AND(AO66=1,AN66&lt;&gt;1)),ISNUMBER(AH66),AH66&lt;=T66),AT66,0),IF(AND(NOT(AND(AO66=1,AN66&lt;&gt;1)),ISNUMBER(AI66),AI66&lt;=T66),AU66,0),IF(AND(ISNUMBER(AJ66),AJ66&lt;=T66),AV66,0))),"SW",IF(AND(IF(AND(NOT(AND(AO66=1,AN66&lt;&gt;1)),ISNUMBER(AH66),AH66&lt;=T66),AT66,0)&gt;0,IF(AND(NOT(AND(AO66=1,AN66&lt;&gt;1)),ISNUMBER(AH66),AH66&lt;=T66),AT66,0)=MAX(IF(AND(NOT(AND(AO66=1,AN66&lt;&gt;1)),ISNUMBER(AG66),AG66&lt;=T66),AS66,0),IF(AND(NOT(AND(AO66=1,AN66&lt;&gt;1)),ISNUMBER(AH66),AH66&lt;=T66),AT66,0),IF(AND(NOT(AND(AO66=1,AN66&lt;&gt;1)),ISNUMBER(AI66),AI66&lt;=T66),AU66,0),IF(AND(ISNUMBER(AJ66),AJ66&lt;=T66),AV66,0))),"AB",IF(AND(IF(AND(NOT(AND(AO66=1,AN66&lt;&gt;1)),ISNUMBER(AI66),AI66&lt;=T66),AU66,0)&gt;0,IF(AND(NOT(AND(AO66=1,AN66&lt;&gt;1)),ISNUMBER(AI66),AI66&lt;=T66),AU66,0)=MAX(IF(AND(NOT(AND(AO66=1,AN66&lt;&gt;1)),ISNUMBER(AG66),AG66&lt;=T66),AS66,0),IF(AND(NOT(AND(AO66=1,AN66&lt;&gt;1)),ISNUMBER(AH66),AH66&lt;=T66),AT66,0),IF(AND(NOT(AND(AO66=1,AN66&lt;&gt;1)),ISNUMBER(AI66),AI66&lt;=T66),AU66,0),IF(AND(ISNUMBER(AJ66),AJ66&lt;=T66),AV66,0))),"SC","Mag")))))))</f>
        <v/>
      </c>
    </row>
    <row r="67">
      <c r="A67" s="26" t="n">
        <v>62</v>
      </c>
      <c r="B67" s="27">
        <f>A67*10/60</f>
        <v/>
      </c>
      <c r="C67" s="22">
        <f>X66</f>
        <v/>
      </c>
      <c r="D67" s="27">
        <f>D66+W66</f>
        <v/>
      </c>
      <c r="E67" s="26">
        <f>E66+IF(U66="SW",1,0)</f>
        <v/>
      </c>
      <c r="F67" s="26">
        <f>F66+IF(U66="AB",1,0)</f>
        <v/>
      </c>
      <c r="G67" s="26">
        <f>G66+IF(U66="SC",1,0)</f>
        <v/>
      </c>
      <c r="H67" s="26">
        <f>H66+IF(U66="Mag",1,0)</f>
        <v/>
      </c>
      <c r="I67" s="26">
        <f>MAX(I66,IF(U66="OR",1,0))</f>
        <v/>
      </c>
      <c r="J67" s="26">
        <f>MAX(J66,IF(U66="HP",1,0))</f>
        <v/>
      </c>
      <c r="K67" s="26">
        <f>MAX(K66,IF(U66="FP",1,0))</f>
        <v/>
      </c>
      <c r="L67" s="26">
        <f>MAX(L66,IF(U66="transition",1,0))</f>
        <v/>
      </c>
      <c r="M67" s="28">
        <f>(Parameters!$B$9+(IF(E67=0,0,(Upgrades!$J$6+E67*Upgrades!$K$6)*POWER(Upgrades!$L$6,E67)))*(IF(Upgrades!$T$7="Solar Wind",POWER(Upgrades!$U$7,F67),1)*IF(Upgrades!$T$8="Solar Wind",POWER(Upgrades!$U$8,G67),1)*IF(Upgrades!$T$9="Solar Wind",POWER(Upgrades!$U$9,H67),1)*IF(Upgrades!$T$10="Solar Wind",POWER(Upgrades!$U$10,I67),1)*IF(Upgrades!$T$11="Solar Wind",POWER(Upgrades!$U$11,J67),1)*IF(Upgrades!$T$12="Solar Wind",POWER(Upgrades!$U$12,K67),1))+(IF(F67=0,0,(Upgrades!$J$7+F67*Upgrades!$K$7)*POWER(Upgrades!$L$7,F67)))*(IF(Upgrades!$T$6="Asteroid Belt",POWER(Upgrades!$U$6,E67),1)*IF(Upgrades!$T$8="Asteroid Belt",POWER(Upgrades!$U$8,G67),1)*IF(Upgrades!$T$9="Asteroid Belt",POWER(Upgrades!$U$9,H67),1)*IF(Upgrades!$T$10="Asteroid Belt",POWER(Upgrades!$U$10,I67),1)*IF(Upgrades!$T$11="Asteroid Belt",POWER(Upgrades!$U$11,J67),1)*IF(Upgrades!$T$12="Asteroid Belt",POWER(Upgrades!$U$12,K67),1))+(IF(G67=0,0,(Upgrades!$J$8+G67*Upgrades!$K$8)*POWER(Upgrades!$L$8,G67)))*(IF(Upgrades!$T$6="Stellar Coupling",POWER(Upgrades!$U$6,E67),1)*IF(Upgrades!$T$7="Stellar Coupling",POWER(Upgrades!$U$7,F67),1)*IF(Upgrades!$T$9="Stellar Coupling",POWER(Upgrades!$U$9,H67),1)*IF(Upgrades!$T$10="Stellar Coupling",POWER(Upgrades!$U$10,I67),1)*IF(Upgrades!$T$11="Stellar Coupling",POWER(Upgrades!$U$11,J67),1)*IF(Upgrades!$T$12="Stellar Coupling",POWER(Upgrades!$U$12,K67),1))+(IF(H67=0,0,(Upgrades!$J$9+H67*Upgrades!$K$9)*POWER(Upgrades!$L$9,H67)))*(IF(Upgrades!$T$6="Magnetosphere",POWER(Upgrades!$U$6,E67),1)*IF(Upgrades!$T$7="Magnetosphere",POWER(Upgrades!$U$7,F67),1)*IF(Upgrades!$T$8="Magnetosphere",POWER(Upgrades!$U$8,G67),1)*IF(Upgrades!$T$10="Magnetosphere",POWER(Upgrades!$U$10,I67),1)*IF(Upgrades!$T$11="Magnetosphere",POWER(Upgrades!$U$11,J67),1)*IF(Upgrades!$T$12="Magnetosphere",POWER(Upgrades!$U$12,K67),1))+(IF(I67=0,0,(Upgrades!$J$10+I67*Upgrades!$K$10)*POWER(Upgrades!$L$10,I67)))*(IF(Upgrades!$T$6="Orbital Resonance",POWER(Upgrades!$U$6,E67),1)*IF(Upgrades!$T$7="Orbital Resonance",POWER(Upgrades!$U$7,F67),1)*IF(Upgrades!$T$8="Orbital Resonance",POWER(Upgrades!$U$8,G67),1)*IF(Upgrades!$T$9="Orbital Resonance",POWER(Upgrades!$U$9,H67),1)*IF(Upgrades!$T$11="Orbital Resonance",POWER(Upgrades!$U$11,J67),1)*IF(Upgrades!$T$12="Orbital Resonance",POWER(Upgrades!$U$12,K67),1))+(IF(J67=0,0,(Upgrades!$J$11+J67*Upgrades!$K$11)*POWER(Upgrades!$L$11,J67)))*(IF(Upgrades!$T$6="Heliopause",POWER(Upgrades!$U$6,E67),1)*IF(Upgrades!$T$7="Heliopause",POWER(Upgrades!$U$7,F67),1)*IF(Upgrades!$T$8="Heliopause",POWER(Upgrades!$U$8,G67),1)*IF(Upgrades!$T$9="Heliopause",POWER(Upgrades!$U$9,H67),1)*IF(Upgrades!$T$10="Heliopause",POWER(Upgrades!$U$10,I67),1)*IF(Upgrades!$T$12="Heliopause",POWER(Upgrades!$U$12,K67),1))+(IF(K67=0,0,(Upgrades!$J$12+K67*Upgrades!$K$12)*POWER(Upgrades!$L$12,K67)))*(IF(Upgrades!$T$6="First Photons",POWER(Upgrades!$U$6,E67),1)*IF(Upgrades!$T$7="First Photons",POWER(Upgrades!$U$7,F67),1)*IF(Upgrades!$T$8="First Photons",POWER(Upgrades!$U$8,G67),1)*IF(Upgrades!$T$9="First Photons",POWER(Upgrades!$U$9,H67),1)*IF(Upgrades!$T$10="First Photons",POWER(Upgrades!$U$10,I67),1)*IF(Upgrades!$T$11="First Photons",POWER(Upgrades!$U$11,J67),1)))*POWER(Upgrades!$Q$6,E67)*POWER(Upgrades!$Q$7,F67)*POWER(Upgrades!$Q$8,G67)*POWER(Upgrades!$Q$9,H67)*POWER(Upgrades!$Q$10,I67)*POWER(Upgrades!$Q$11,J67)*POWER(Upgrades!$Q$12,K67)</f>
        <v/>
      </c>
      <c r="N67" s="28">
        <f>((IF(E67=0,0,(Upgrades!$G$6+E67*Upgrades!$H$6)*POWER(Upgrades!$I$6,E67)))*(IF(Upgrades!$T$7="Solar Wind",POWER(Upgrades!$U$7,F67),1)*IF(Upgrades!$T$8="Solar Wind",POWER(Upgrades!$U$8,G67),1)*IF(Upgrades!$T$9="Solar Wind",POWER(Upgrades!$U$9,H67),1)*IF(Upgrades!$T$10="Solar Wind",POWER(Upgrades!$U$10,I67),1)*IF(Upgrades!$T$11="Solar Wind",POWER(Upgrades!$U$11,J67),1)*IF(Upgrades!$T$12="Solar Wind",POWER(Upgrades!$U$12,K67),1))+(IF(F67=0,0,(Upgrades!$G$7+F67*Upgrades!$H$7)*POWER(Upgrades!$I$7,F67)))*(IF(Upgrades!$T$6="Asteroid Belt",POWER(Upgrades!$U$6,E67),1)*IF(Upgrades!$T$8="Asteroid Belt",POWER(Upgrades!$U$8,G67),1)*IF(Upgrades!$T$9="Asteroid Belt",POWER(Upgrades!$U$9,H67),1)*IF(Upgrades!$T$10="Asteroid Belt",POWER(Upgrades!$U$10,I67),1)*IF(Upgrades!$T$11="Asteroid Belt",POWER(Upgrades!$U$11,J67),1)*IF(Upgrades!$T$12="Asteroid Belt",POWER(Upgrades!$U$12,K67),1))+(IF(G67=0,0,(Upgrades!$G$8+G67*Upgrades!$H$8)*POWER(Upgrades!$I$8,G67)))*(IF(Upgrades!$T$6="Stellar Coupling",POWER(Upgrades!$U$6,E67),1)*IF(Upgrades!$T$7="Stellar Coupling",POWER(Upgrades!$U$7,F67),1)*IF(Upgrades!$T$9="Stellar Coupling",POWER(Upgrades!$U$9,H67),1)*IF(Upgrades!$T$10="Stellar Coupling",POWER(Upgrades!$U$10,I67),1)*IF(Upgrades!$T$11="Stellar Coupling",POWER(Upgrades!$U$11,J67),1)*IF(Upgrades!$T$12="Stellar Coupling",POWER(Upgrades!$U$12,K67),1))+(IF(H67=0,0,(Upgrades!$G$9+H67*Upgrades!$H$9)*POWER(Upgrades!$I$9,H67)))*(IF(Upgrades!$T$6="Magnetosphere",POWER(Upgrades!$U$6,E67),1)*IF(Upgrades!$T$7="Magnetosphere",POWER(Upgrades!$U$7,F67),1)*IF(Upgrades!$T$8="Magnetosphere",POWER(Upgrades!$U$8,G67),1)*IF(Upgrades!$T$10="Magnetosphere",POWER(Upgrades!$U$10,I67),1)*IF(Upgrades!$T$11="Magnetosphere",POWER(Upgrades!$U$11,J67),1)*IF(Upgrades!$T$12="Magnetosphere",POWER(Upgrades!$U$12,K67),1))+(IF(I67=0,0,(Upgrades!$G$10+I67*Upgrades!$H$10)*POWER(Upgrades!$I$10,I67)))*(IF(Upgrades!$T$6="Orbital Resonance",POWER(Upgrades!$U$6,E67),1)*IF(Upgrades!$T$7="Orbital Resonance",POWER(Upgrades!$U$7,F67),1)*IF(Upgrades!$T$8="Orbital Resonance",POWER(Upgrades!$U$8,G67),1)*IF(Upgrades!$T$9="Orbital Resonance",POWER(Upgrades!$U$9,H67),1)*IF(Upgrades!$T$11="Orbital Resonance",POWER(Upgrades!$U$11,J67),1)*IF(Upgrades!$T$12="Orbital Resonance",POWER(Upgrades!$U$12,K67),1))+(IF(J67=0,0,(Upgrades!$G$11+J67*Upgrades!$H$11)*POWER(Upgrades!$I$11,J67)))*(IF(Upgrades!$T$6="Heliopause",POWER(Upgrades!$U$6,E67),1)*IF(Upgrades!$T$7="Heliopause",POWER(Upgrades!$U$7,F67),1)*IF(Upgrades!$T$8="Heliopause",POWER(Upgrades!$U$8,G67),1)*IF(Upgrades!$T$9="Heliopause",POWER(Upgrades!$U$9,H67),1)*IF(Upgrades!$T$10="Heliopause",POWER(Upgrades!$U$10,I67),1)*IF(Upgrades!$T$12="Heliopause",POWER(Upgrades!$U$12,K67),1))+(IF(K67=0,0,(Upgrades!$G$12+K67*Upgrades!$H$12)*POWER(Upgrades!$I$12,K67)))*(IF(Upgrades!$T$6="First Photons",POWER(Upgrades!$U$6,E67),1)*IF(Upgrades!$T$7="First Photons",POWER(Upgrades!$U$7,F67),1)*IF(Upgrades!$T$8="First Photons",POWER(Upgrades!$U$8,G67),1)*IF(Upgrades!$T$9="First Photons",POWER(Upgrades!$U$9,H67),1)*IF(Upgrades!$T$10="First Photons",POWER(Upgrades!$U$10,I67),1)*IF(Upgrades!$T$11="First Photons",POWER(Upgrades!$U$11,J67),1)))*POWER(Upgrades!$P$6,E67)*POWER(Upgrades!$P$7,F67)*POWER(Upgrades!$P$8,G67)*POWER(Upgrades!$P$9,H67)*POWER(Upgrades!$P$10,I67)*POWER(Upgrades!$P$11,J67)*POWER(Upgrades!$P$12,K67)</f>
        <v/>
      </c>
      <c r="O67" s="28">
        <f>((IF(E67=0,0,(Upgrades!$M$6+E67*Upgrades!$N$6)*POWER(Upgrades!$O$6,E67)))*(IF(Upgrades!$T$7="Solar Wind",POWER(Upgrades!$U$7,F67),1)*IF(Upgrades!$T$8="Solar Wind",POWER(Upgrades!$U$8,G67),1)*IF(Upgrades!$T$9="Solar Wind",POWER(Upgrades!$U$9,H67),1)*IF(Upgrades!$T$10="Solar Wind",POWER(Upgrades!$U$10,I67),1)*IF(Upgrades!$T$11="Solar Wind",POWER(Upgrades!$U$11,J67),1)*IF(Upgrades!$T$12="Solar Wind",POWER(Upgrades!$U$12,K67),1))+(IF(F67=0,0,(Upgrades!$M$7+F67*Upgrades!$N$7)*POWER(Upgrades!$O$7,F67)))*(IF(Upgrades!$T$6="Asteroid Belt",POWER(Upgrades!$U$6,E67),1)*IF(Upgrades!$T$8="Asteroid Belt",POWER(Upgrades!$U$8,G67),1)*IF(Upgrades!$T$9="Asteroid Belt",POWER(Upgrades!$U$9,H67),1)*IF(Upgrades!$T$10="Asteroid Belt",POWER(Upgrades!$U$10,I67),1)*IF(Upgrades!$T$11="Asteroid Belt",POWER(Upgrades!$U$11,J67),1)*IF(Upgrades!$T$12="Asteroid Belt",POWER(Upgrades!$U$12,K67),1))+(IF(G67=0,0,(Upgrades!$M$8+G67*Upgrades!$N$8)*POWER(Upgrades!$O$8,G67)))*(IF(Upgrades!$T$6="Stellar Coupling",POWER(Upgrades!$U$6,E67),1)*IF(Upgrades!$T$7="Stellar Coupling",POWER(Upgrades!$U$7,F67),1)*IF(Upgrades!$T$9="Stellar Coupling",POWER(Upgrades!$U$9,H67),1)*IF(Upgrades!$T$10="Stellar Coupling",POWER(Upgrades!$U$10,I67),1)*IF(Upgrades!$T$11="Stellar Coupling",POWER(Upgrades!$U$11,J67),1)*IF(Upgrades!$T$12="Stellar Coupling",POWER(Upgrades!$U$12,K67),1))+(IF(H67=0,0,(Upgrades!$M$9+H67*Upgrades!$N$9)*POWER(Upgrades!$O$9,H67)))*(IF(Upgrades!$T$6="Magnetosphere",POWER(Upgrades!$U$6,E67),1)*IF(Upgrades!$T$7="Magnetosphere",POWER(Upgrades!$U$7,F67),1)*IF(Upgrades!$T$8="Magnetosphere",POWER(Upgrades!$U$8,G67),1)*IF(Upgrades!$T$10="Magnetosphere",POWER(Upgrades!$U$10,I67),1)*IF(Upgrades!$T$11="Magnetosphere",POWER(Upgrades!$U$11,J67),1)*IF(Upgrades!$T$12="Magnetosphere",POWER(Upgrades!$U$12,K67),1))+(IF(I67=0,0,(Upgrades!$M$10+I67*Upgrades!$N$10)*POWER(Upgrades!$O$10,I67)))*(IF(Upgrades!$T$6="Orbital Resonance",POWER(Upgrades!$U$6,E67),1)*IF(Upgrades!$T$7="Orbital Resonance",POWER(Upgrades!$U$7,F67),1)*IF(Upgrades!$T$8="Orbital Resonance",POWER(Upgrades!$U$8,G67),1)*IF(Upgrades!$T$9="Orbital Resonance",POWER(Upgrades!$U$9,H67),1)*IF(Upgrades!$T$11="Orbital Resonance",POWER(Upgrades!$U$11,J67),1)*IF(Upgrades!$T$12="Orbital Resonance",POWER(Upgrades!$U$12,K67),1))+(IF(J67=0,0,(Upgrades!$M$11+J67*Upgrades!$N$11)*POWER(Upgrades!$O$11,J67)))*(IF(Upgrades!$T$6="Heliopause",POWER(Upgrades!$U$6,E67),1)*IF(Upgrades!$T$7="Heliopause",POWER(Upgrades!$U$7,F67),1)*IF(Upgrades!$T$8="Heliopause",POWER(Upgrades!$U$8,G67),1)*IF(Upgrades!$T$9="Heliopause",POWER(Upgrades!$U$9,H67),1)*IF(Upgrades!$T$10="Heliopause",POWER(Upgrades!$U$10,I67),1)*IF(Upgrades!$T$12="Heliopause",POWER(Upgrades!$U$12,K67),1))+(IF(K67=0,0,(Upgrades!$M$12+K67*Upgrades!$N$12)*POWER(Upgrades!$O$12,K67)))*(IF(Upgrades!$T$6="First Photons",POWER(Upgrades!$U$6,E67),1)*IF(Upgrades!$T$7="First Photons",POWER(Upgrades!$U$7,F67),1)*IF(Upgrades!$T$8="First Photons",POWER(Upgrades!$U$8,G67),1)*IF(Upgrades!$T$9="First Photons",POWER(Upgrades!$U$9,H67),1)*IF(Upgrades!$T$10="First Photons",POWER(Upgrades!$U$10,I67),1)*IF(Upgrades!$T$11="First Photons",POWER(Upgrades!$U$11,J67),1)))*POWER(Upgrades!$R$6,E67)*POWER(Upgrades!$R$7,F67)*POWER(Upgrades!$R$8,G67)*POWER(Upgrades!$R$9,H67)*POWER(Upgrades!$R$10,I67)*POWER(Upgrades!$R$11,J67)*POWER(Upgrades!$R$12,K67)</f>
        <v/>
      </c>
      <c r="P67" s="27">
        <f>IF(L67=1,0,M67*Parameters!$B$10/60*Parameters!$B$11*10)</f>
        <v/>
      </c>
      <c r="Q67" s="27">
        <f>IF(L67=1,0,O67*M67*10)</f>
        <v/>
      </c>
      <c r="R67" s="27">
        <f>IF(L67=1,0,N67*10)</f>
        <v/>
      </c>
      <c r="S67" s="27">
        <f>P67+Q67+R67</f>
        <v/>
      </c>
      <c r="T67" s="22">
        <f>C67+S67</f>
        <v/>
      </c>
      <c r="U67" s="33">
        <f>AX67</f>
        <v/>
      </c>
      <c r="V67" s="22">
        <f>IF(U67="",0,IF(U67="transition",0,IF(U67="SW",AG67,IF(U67="AB",AH67,IF(U67="SC",AI67,IF(U67="Mag",AJ67,IF(U67="OR",AK67,IF(U67="HP",AL67,IF(U67="FP",AM67,0)))))))))</f>
        <v/>
      </c>
      <c r="W67" s="27">
        <f>IF(U67="OR",Upgrades!$F$10,IF(U67="HP",Upgrades!$F$11,IF(U67="transition",-Parameters!$B$18,0)))</f>
        <v/>
      </c>
      <c r="X67" s="22">
        <f>T67-V67</f>
        <v/>
      </c>
      <c r="Y67" s="30">
        <f>M67*Parameters!$B$10/60*Parameters!$B$11+O67*M67+N67</f>
        <v/>
      </c>
      <c r="Z67" s="34">
        <f>IF(U67="transition","→ Tier 2 (Stellar Neighborhood)",IF(U67="FP","First Photons — light begins, system quickens",IF(U67="HP","Heliopause acquired",IF(U67="OR","Orbital Resonance — passive multiplier active",IF(AND(AO67=1,L67=0,AN67&lt;&gt;1),"Cohesion ready (waiting on completionist upgrades)","")))))</f>
        <v/>
      </c>
      <c r="AA67" s="27">
        <f>(IF(E67=0,0,(Upgrades!$G$6+E67*Upgrades!$H$6)*POWER(Upgrades!$I$6,E67)))*(IF(Upgrades!$T$7="Solar Wind",POWER(Upgrades!$U$7,F67),1)*IF(Upgrades!$T$8="Solar Wind",POWER(Upgrades!$U$8,G67),1)*IF(Upgrades!$T$9="Solar Wind",POWER(Upgrades!$U$9,H67),1)*IF(Upgrades!$T$10="Solar Wind",POWER(Upgrades!$U$10,I67),1)*IF(Upgrades!$T$11="Solar Wind",POWER(Upgrades!$U$11,J67),1)*IF(Upgrades!$T$12="Solar Wind",POWER(Upgrades!$U$12,K67),1))*POWER(Upgrades!$P$6,E67)*POWER(Upgrades!$P$7,F67)*POWER(Upgrades!$P$8,G67)*POWER(Upgrades!$P$9,H67)*POWER(Upgrades!$P$10,I67)*POWER(Upgrades!$P$11,J67)*POWER(Upgrades!$P$12,K67)*60</f>
        <v/>
      </c>
      <c r="AB67" s="27">
        <f>(IF(F67=0,0,(Upgrades!$G$7+F67*Upgrades!$H$7)*POWER(Upgrades!$I$7,F67)))*(IF(Upgrades!$T$6="Asteroid Belt",POWER(Upgrades!$U$6,E67),1)*IF(Upgrades!$T$8="Asteroid Belt",POWER(Upgrades!$U$8,G67),1)*IF(Upgrades!$T$9="Asteroid Belt",POWER(Upgrades!$U$9,H67),1)*IF(Upgrades!$T$10="Asteroid Belt",POWER(Upgrades!$U$10,I67),1)*IF(Upgrades!$T$11="Asteroid Belt",POWER(Upgrades!$U$11,J67),1)*IF(Upgrades!$T$12="Asteroid Belt",POWER(Upgrades!$U$12,K67),1))*POWER(Upgrades!$P$6,E67)*POWER(Upgrades!$P$7,F67)*POWER(Upgrades!$P$8,G67)*POWER(Upgrades!$P$9,H67)*POWER(Upgrades!$P$10,I67)*POWER(Upgrades!$P$11,J67)*POWER(Upgrades!$P$12,K67)*60</f>
        <v/>
      </c>
      <c r="AC67" s="27">
        <f>(IF(G67=0,0,(Upgrades!$J$8+G67*Upgrades!$K$8)*POWER(Upgrades!$L$8,G67)))*(IF(Upgrades!$T$6="Stellar Coupling",POWER(Upgrades!$U$6,E67),1)*IF(Upgrades!$T$7="Stellar Coupling",POWER(Upgrades!$U$7,F67),1)*IF(Upgrades!$T$9="Stellar Coupling",POWER(Upgrades!$U$9,H67),1)*IF(Upgrades!$T$10="Stellar Coupling",POWER(Upgrades!$U$10,I67),1)*IF(Upgrades!$T$11="Stellar Coupling",POWER(Upgrades!$U$11,J67),1)*IF(Upgrades!$T$12="Stellar Coupling",POWER(Upgrades!$U$12,K67),1))*POWER(Upgrades!$Q$6,E67)*POWER(Upgrades!$Q$7,F67)*POWER(Upgrades!$Q$8,G67)*POWER(Upgrades!$Q$9,H67)*POWER(Upgrades!$Q$10,I67)*POWER(Upgrades!$Q$11,J67)*POWER(Upgrades!$Q$12,K67)*Parameters!$B$10*Parameters!$B$11</f>
        <v/>
      </c>
      <c r="AD67" s="27">
        <f>(IF(H67=0,0,(Upgrades!$G$9+H67*Upgrades!$H$9)*POWER(Upgrades!$I$9,H67)))*(IF(Upgrades!$T$6="Magnetosphere",POWER(Upgrades!$U$6,E67),1)*IF(Upgrades!$T$7="Magnetosphere",POWER(Upgrades!$U$7,F67),1)*IF(Upgrades!$T$8="Magnetosphere",POWER(Upgrades!$U$8,G67),1)*IF(Upgrades!$T$10="Magnetosphere",POWER(Upgrades!$U$10,I67),1)*IF(Upgrades!$T$11="Magnetosphere",POWER(Upgrades!$U$11,J67),1)*IF(Upgrades!$T$12="Magnetosphere",POWER(Upgrades!$U$12,K67),1))*POWER(Upgrades!$P$6,E67)*POWER(Upgrades!$P$7,F67)*POWER(Upgrades!$P$8,G67)*POWER(Upgrades!$P$9,H67)*POWER(Upgrades!$P$10,I67)*POWER(Upgrades!$P$11,J67)*POWER(Upgrades!$P$12,K67)*60</f>
        <v/>
      </c>
      <c r="AE67" s="27">
        <f>(IF(K67=0,0,(Upgrades!$G$12+K67*Upgrades!$H$12)*POWER(Upgrades!$I$12,K67)))*(IF(Upgrades!$T$6="First Photons",POWER(Upgrades!$U$6,E67),1)*IF(Upgrades!$T$7="First Photons",POWER(Upgrades!$U$7,F67),1)*IF(Upgrades!$T$8="First Photons",POWER(Upgrades!$U$8,G67),1)*IF(Upgrades!$T$9="First Photons",POWER(Upgrades!$U$9,H67),1)*IF(Upgrades!$T$10="First Photons",POWER(Upgrades!$U$10,I67),1)*IF(Upgrades!$T$11="First Photons",POWER(Upgrades!$U$11,J67),1))*POWER(Upgrades!$P$6,E67)*POWER(Upgrades!$P$7,F67)*POWER(Upgrades!$P$8,G67)*POWER(Upgrades!$P$9,H67)*POWER(Upgrades!$P$10,I67)*POWER(Upgrades!$P$11,J67)*POWER(Upgrades!$P$12,K67)*60</f>
        <v/>
      </c>
      <c r="AF67" s="27">
        <f>Parameters!$B$9*POWER(Upgrades!$Q$6,E67)*POWER(Upgrades!$Q$7,F67)*POWER(Upgrades!$Q$8,G67)*POWER(Upgrades!$Q$9,H67)*POWER(Upgrades!$Q$10,I67)*POWER(Upgrades!$Q$11,J67)*POWER(Upgrades!$Q$12,K67)*(Parameters!$B$10*Parameters!$B$11+O67*60)</f>
        <v/>
      </c>
      <c r="AG67" s="22">
        <f>IF(E67&gt;=Upgrades!$E$6,"",Upgrades!$C$6*POWER(Upgrades!$D$6,E67))</f>
        <v/>
      </c>
      <c r="AH67" s="22">
        <f>IF(F67&gt;=Upgrades!$E$7,"",Upgrades!$C$7*POWER(Upgrades!$D$7,F67))</f>
        <v/>
      </c>
      <c r="AI67" s="22">
        <f>IF(G67&gt;=Upgrades!$E$8,"",Upgrades!$C$8*POWER(Upgrades!$D$8,G67))</f>
        <v/>
      </c>
      <c r="AJ67" s="22">
        <f>IF(H67&gt;=Upgrades!$E$9,"",Upgrades!$C$9*POWER(Upgrades!$D$9,H67))</f>
        <v/>
      </c>
      <c r="AK67" s="22">
        <f>IF(I67&gt;=Upgrades!$E$10,"",Upgrades!$C$10*POWER(Upgrades!$D$10,I67))</f>
        <v/>
      </c>
      <c r="AL67" s="22">
        <f>IF(J67&gt;=Upgrades!$E$11,"",Upgrades!$C$11*POWER(Upgrades!$D$11,J67))</f>
        <v/>
      </c>
      <c r="AM67" s="22">
        <f>IF(K67&gt;=Upgrades!$E$12,"",Upgrades!$C$12*POWER(Upgrades!$D$12,K67))</f>
        <v/>
      </c>
      <c r="AN67" s="26">
        <f>IF(AND(D67&gt;=Parameters!$B$18,(H67&gt;=Upgrades!$E$9)*(K67&gt;=Upgrades!$E$12)=1,L67=0),1,"")</f>
        <v/>
      </c>
      <c r="AO67" s="26">
        <f>IF(AND(D67&gt;=Parameters!$B$18,L67=0),1,"")</f>
        <v/>
      </c>
      <c r="AP67" s="22">
        <f>MIN(IF(ISNUMBER(AK67),AK67,9E15),IF(ISNUMBER(AL67),AL67,9E15),IF(ISNUMBER(AM67),AM67,9E15))</f>
        <v/>
      </c>
      <c r="AQ67" s="22">
        <f>MIN(IF(ISNUMBER(AG67),AG67,9E15),IF(ISNUMBER(AH67),AH67,9E15),IF(ISNUMBER(AI67),AI67,9E15),IF(ISNUMBER(AJ67),AJ67,9E15))</f>
        <v/>
      </c>
      <c r="AR67" s="29">
        <f>IF(AW67&gt;Parameters!$B$21*(MAX(IF(AND(NOT(AND(AO67=1,AN67&lt;&gt;1)),ISNUMBER(AG67),AG67&lt;=T67),AS67,0),IF(AND(NOT(AND(AO67=1,AN67&lt;&gt;1)),ISNUMBER(AH67),AH67&lt;=T67),AT67,0),IF(AND(NOT(AND(AO67=1,AN67&lt;&gt;1)),ISNUMBER(AI67),AI67&lt;=T67),AU67,0),IF(AND(ISNUMBER(AJ67),AJ67&lt;=T67),AV67,0))),TRUE,FALSE)</f>
        <v/>
      </c>
      <c r="AS67" s="32">
        <f>IFERROR(Upgrades!$H$6*(POWER(Upgrades!$P$6,E67)*POWER(Upgrades!$P$7,F67)*POWER(Upgrades!$P$8,G67)*POWER(Upgrades!$P$9,H67)*POWER(Upgrades!$P$10,I67)*POWER(Upgrades!$P$11,J67)*POWER(Upgrades!$P$12,K67))*(IF(Upgrades!$T$7="Solar Wind",POWER(Upgrades!$U$7,F67),1)*IF(Upgrades!$T$8="Solar Wind",POWER(Upgrades!$U$8,G67),1)*IF(Upgrades!$T$9="Solar Wind",POWER(Upgrades!$U$9,H67),1)*IF(Upgrades!$T$10="Solar Wind",POWER(Upgrades!$U$10,I67),1)*IF(Upgrades!$T$11="Solar Wind",POWER(Upgrades!$U$11,J67),1)*IF(Upgrades!$T$12="Solar Wind",POWER(Upgrades!$U$12,K67),1))/AG67,0)</f>
        <v/>
      </c>
      <c r="AT67" s="32">
        <f>IFERROR(Upgrades!$H$7*(POWER(Upgrades!$P$6,E67)*POWER(Upgrades!$P$7,F67)*POWER(Upgrades!$P$8,G67)*POWER(Upgrades!$P$9,H67)*POWER(Upgrades!$P$10,I67)*POWER(Upgrades!$P$11,J67)*POWER(Upgrades!$P$12,K67))*(IF(Upgrades!$T$6="Asteroid Belt",POWER(Upgrades!$U$6,E67),1)*IF(Upgrades!$T$8="Asteroid Belt",POWER(Upgrades!$U$8,G67),1)*IF(Upgrades!$T$9="Asteroid Belt",POWER(Upgrades!$U$9,H67),1)*IF(Upgrades!$T$10="Asteroid Belt",POWER(Upgrades!$U$10,I67),1)*IF(Upgrades!$T$11="Asteroid Belt",POWER(Upgrades!$U$11,J67),1)*IF(Upgrades!$T$12="Asteroid Belt",POWER(Upgrades!$U$12,K67),1))/AH67,0)</f>
        <v/>
      </c>
      <c r="AU67" s="32">
        <f>IFERROR(Upgrades!$K$8*(POWER(Upgrades!$Q$6,E67)*POWER(Upgrades!$Q$7,F67)*POWER(Upgrades!$Q$8,G67)*POWER(Upgrades!$Q$9,H67)*POWER(Upgrades!$Q$10,I67)*POWER(Upgrades!$Q$11,J67)*POWER(Upgrades!$Q$12,K67))*(IF(Upgrades!$T$6="Stellar Coupling",POWER(Upgrades!$U$6,E67),1)*IF(Upgrades!$T$7="Stellar Coupling",POWER(Upgrades!$U$7,F67),1)*IF(Upgrades!$T$9="Stellar Coupling",POWER(Upgrades!$U$9,H67),1)*IF(Upgrades!$T$10="Stellar Coupling",POWER(Upgrades!$U$10,I67),1)*IF(Upgrades!$T$11="Stellar Coupling",POWER(Upgrades!$U$11,J67),1)*IF(Upgrades!$T$12="Stellar Coupling",POWER(Upgrades!$U$12,K67),1))*Parameters!$B$10*Parameters!$B$11/60/AI67,0)</f>
        <v/>
      </c>
      <c r="AV67" s="32">
        <f>IFERROR(Upgrades!$H$9*(POWER(Upgrades!$P$6,E67)*POWER(Upgrades!$P$7,F67)*POWER(Upgrades!$P$8,G67)*POWER(Upgrades!$P$9,H67)*POWER(Upgrades!$P$10,I67)*POWER(Upgrades!$P$11,J67)*POWER(Upgrades!$P$12,K67))*(IF(Upgrades!$T$6="Magnetosphere",POWER(Upgrades!$U$6,E67),1)*IF(Upgrades!$T$7="Magnetosphere",POWER(Upgrades!$U$7,F67),1)*IF(Upgrades!$T$8="Magnetosphere",POWER(Upgrades!$U$8,G67),1)*IF(Upgrades!$T$10="Magnetosphere",POWER(Upgrades!$U$10,I67),1)*IF(Upgrades!$T$11="Magnetosphere",POWER(Upgrades!$U$11,J67),1)*IF(Upgrades!$T$12="Magnetosphere",POWER(Upgrades!$U$12,K67),1))/AJ67,0)</f>
        <v/>
      </c>
      <c r="AW67" s="32">
        <f>MAX(IF(I67&gt;0,0,IFERROR(0.25*N67/Upgrades!$C$10,0)),IF(J67&gt;0,0,IFERROR(0.5*((IF(G67=0,0,(Upgrades!$J$8+G67*Upgrades!$K$8)*POWER(Upgrades!$L$8,G67)))*(IF(Upgrades!$T$6="Stellar Coupling",POWER(Upgrades!$U$6,E67),1)*IF(Upgrades!$T$7="Stellar Coupling",POWER(Upgrades!$U$7,F67),1)*IF(Upgrades!$T$9="Stellar Coupling",POWER(Upgrades!$U$9,H67),1)*IF(Upgrades!$T$10="Stellar Coupling",POWER(Upgrades!$U$10,I67),1)*IF(Upgrades!$T$11="Stellar Coupling",POWER(Upgrades!$U$11,J67),1)*IF(Upgrades!$T$12="Stellar Coupling",POWER(Upgrades!$U$12,K67),1))*(POWER(Upgrades!$Q$6,E67)*POWER(Upgrades!$Q$7,F67)*POWER(Upgrades!$Q$8,G67)*POWER(Upgrades!$Q$9,H67)*POWER(Upgrades!$Q$10,I67)*POWER(Upgrades!$Q$11,J67)*POWER(Upgrades!$Q$12,K67))*Parameters!$B$10*Parameters!$B$11/60)/Upgrades!$C$11,0)),IF(K67&gt;0,0,IFERROR((1.0*(POWER(Upgrades!$P$6,E67)*POWER(Upgrades!$P$7,F67)*POWER(Upgrades!$P$8,G67)*POWER(Upgrades!$P$9,H67)*POWER(Upgrades!$P$10,I67)*POWER(Upgrades!$P$11,J67)*POWER(Upgrades!$P$12,K67))+0.20*M67*Parameters!$B$10*Parameters!$B$11/60)/Upgrades!$C$12,0)),IF(AND(ISNUMBER(AG67),AG67&gt;T67),AS67,0),IF(AND(ISNUMBER(AH67),AH67&gt;T67),AT67,0),IF(AND(ISNUMBER(AI67),AI67&gt;T67),AU67,0),IF(AND(ISNUMBER(AJ67),AJ67&gt;T67),AV67,0))</f>
        <v/>
      </c>
      <c r="AX67" s="29">
        <f>IF(AN67=1,"transition",IF(MIN(IF(AND(I67=0,ISNUMBER(AK67),AK67&lt;=T67),AK67,9E15),IF(AND(J67=0,ISNUMBER(AL67),AL67&lt;=T67),AL67,9E15),IF(AND(K67=0,ISNUMBER(AM67),AM67&lt;=T67),AM67,9E15))&lt;9E15,IF(AND(AND(I67=0,ISNUMBER(AK67),AK67&lt;=T67),AK67=MIN(IF(AND(I67=0,ISNUMBER(AK67),AK67&lt;=T67),AK67,9E15),IF(AND(J67=0,ISNUMBER(AL67),AL67&lt;=T67),AL67,9E15),IF(AND(K67=0,ISNUMBER(AM67),AM67&lt;=T67),AM67,9E15))),"OR",IF(AND(AND(J67=0,ISNUMBER(AL67),AL67&lt;=T67),AL67=MIN(IF(AND(I67=0,ISNUMBER(AK67),AK67&lt;=T67),AK67,9E15),IF(AND(J67=0,ISNUMBER(AL67),AL67&lt;=T67),AL67,9E15),IF(AND(K67=0,ISNUMBER(AM67),AM67&lt;=T67),AM67,9E15))),"HP","FP")),IF(AR67=TRUE,"",IF(MAX(IF(AND(NOT(AND(AO67=1,AN67&lt;&gt;1)),ISNUMBER(AG67),AG67&lt;=T67),AS67,0),IF(AND(NOT(AND(AO67=1,AN67&lt;&gt;1)),ISNUMBER(AH67),AH67&lt;=T67),AT67,0),IF(AND(NOT(AND(AO67=1,AN67&lt;&gt;1)),ISNUMBER(AI67),AI67&lt;=T67),AU67,0),IF(AND(ISNUMBER(AJ67),AJ67&lt;=T67),AV67,0))&lt;=0,"",IF(AND(IF(AND(NOT(AND(AO67=1,AN67&lt;&gt;1)),ISNUMBER(AG67),AG67&lt;=T67),AS67,0)&gt;0,IF(AND(NOT(AND(AO67=1,AN67&lt;&gt;1)),ISNUMBER(AG67),AG67&lt;=T67),AS67,0)=MAX(IF(AND(NOT(AND(AO67=1,AN67&lt;&gt;1)),ISNUMBER(AG67),AG67&lt;=T67),AS67,0),IF(AND(NOT(AND(AO67=1,AN67&lt;&gt;1)),ISNUMBER(AH67),AH67&lt;=T67),AT67,0),IF(AND(NOT(AND(AO67=1,AN67&lt;&gt;1)),ISNUMBER(AI67),AI67&lt;=T67),AU67,0),IF(AND(ISNUMBER(AJ67),AJ67&lt;=T67),AV67,0))),"SW",IF(AND(IF(AND(NOT(AND(AO67=1,AN67&lt;&gt;1)),ISNUMBER(AH67),AH67&lt;=T67),AT67,0)&gt;0,IF(AND(NOT(AND(AO67=1,AN67&lt;&gt;1)),ISNUMBER(AH67),AH67&lt;=T67),AT67,0)=MAX(IF(AND(NOT(AND(AO67=1,AN67&lt;&gt;1)),ISNUMBER(AG67),AG67&lt;=T67),AS67,0),IF(AND(NOT(AND(AO67=1,AN67&lt;&gt;1)),ISNUMBER(AH67),AH67&lt;=T67),AT67,0),IF(AND(NOT(AND(AO67=1,AN67&lt;&gt;1)),ISNUMBER(AI67),AI67&lt;=T67),AU67,0),IF(AND(ISNUMBER(AJ67),AJ67&lt;=T67),AV67,0))),"AB",IF(AND(IF(AND(NOT(AND(AO67=1,AN67&lt;&gt;1)),ISNUMBER(AI67),AI67&lt;=T67),AU67,0)&gt;0,IF(AND(NOT(AND(AO67=1,AN67&lt;&gt;1)),ISNUMBER(AI67),AI67&lt;=T67),AU67,0)=MAX(IF(AND(NOT(AND(AO67=1,AN67&lt;&gt;1)),ISNUMBER(AG67),AG67&lt;=T67),AS67,0),IF(AND(NOT(AND(AO67=1,AN67&lt;&gt;1)),ISNUMBER(AH67),AH67&lt;=T67),AT67,0),IF(AND(NOT(AND(AO67=1,AN67&lt;&gt;1)),ISNUMBER(AI67),AI67&lt;=T67),AU67,0),IF(AND(ISNUMBER(AJ67),AJ67&lt;=T67),AV67,0))),"SC","Mag")))))))</f>
        <v/>
      </c>
    </row>
    <row r="68">
      <c r="A68" s="26" t="n">
        <v>63</v>
      </c>
      <c r="B68" s="27">
        <f>A68*10/60</f>
        <v/>
      </c>
      <c r="C68" s="22">
        <f>X67</f>
        <v/>
      </c>
      <c r="D68" s="27">
        <f>D67+W67</f>
        <v/>
      </c>
      <c r="E68" s="26">
        <f>E67+IF(U67="SW",1,0)</f>
        <v/>
      </c>
      <c r="F68" s="26">
        <f>F67+IF(U67="AB",1,0)</f>
        <v/>
      </c>
      <c r="G68" s="26">
        <f>G67+IF(U67="SC",1,0)</f>
        <v/>
      </c>
      <c r="H68" s="26">
        <f>H67+IF(U67="Mag",1,0)</f>
        <v/>
      </c>
      <c r="I68" s="26">
        <f>MAX(I67,IF(U67="OR",1,0))</f>
        <v/>
      </c>
      <c r="J68" s="26">
        <f>MAX(J67,IF(U67="HP",1,0))</f>
        <v/>
      </c>
      <c r="K68" s="26">
        <f>MAX(K67,IF(U67="FP",1,0))</f>
        <v/>
      </c>
      <c r="L68" s="26">
        <f>MAX(L67,IF(U67="transition",1,0))</f>
        <v/>
      </c>
      <c r="M68" s="28">
        <f>(Parameters!$B$9+(IF(E68=0,0,(Upgrades!$J$6+E68*Upgrades!$K$6)*POWER(Upgrades!$L$6,E68)))*(IF(Upgrades!$T$7="Solar Wind",POWER(Upgrades!$U$7,F68),1)*IF(Upgrades!$T$8="Solar Wind",POWER(Upgrades!$U$8,G68),1)*IF(Upgrades!$T$9="Solar Wind",POWER(Upgrades!$U$9,H68),1)*IF(Upgrades!$T$10="Solar Wind",POWER(Upgrades!$U$10,I68),1)*IF(Upgrades!$T$11="Solar Wind",POWER(Upgrades!$U$11,J68),1)*IF(Upgrades!$T$12="Solar Wind",POWER(Upgrades!$U$12,K68),1))+(IF(F68=0,0,(Upgrades!$J$7+F68*Upgrades!$K$7)*POWER(Upgrades!$L$7,F68)))*(IF(Upgrades!$T$6="Asteroid Belt",POWER(Upgrades!$U$6,E68),1)*IF(Upgrades!$T$8="Asteroid Belt",POWER(Upgrades!$U$8,G68),1)*IF(Upgrades!$T$9="Asteroid Belt",POWER(Upgrades!$U$9,H68),1)*IF(Upgrades!$T$10="Asteroid Belt",POWER(Upgrades!$U$10,I68),1)*IF(Upgrades!$T$11="Asteroid Belt",POWER(Upgrades!$U$11,J68),1)*IF(Upgrades!$T$12="Asteroid Belt",POWER(Upgrades!$U$12,K68),1))+(IF(G68=0,0,(Upgrades!$J$8+G68*Upgrades!$K$8)*POWER(Upgrades!$L$8,G68)))*(IF(Upgrades!$T$6="Stellar Coupling",POWER(Upgrades!$U$6,E68),1)*IF(Upgrades!$T$7="Stellar Coupling",POWER(Upgrades!$U$7,F68),1)*IF(Upgrades!$T$9="Stellar Coupling",POWER(Upgrades!$U$9,H68),1)*IF(Upgrades!$T$10="Stellar Coupling",POWER(Upgrades!$U$10,I68),1)*IF(Upgrades!$T$11="Stellar Coupling",POWER(Upgrades!$U$11,J68),1)*IF(Upgrades!$T$12="Stellar Coupling",POWER(Upgrades!$U$12,K68),1))+(IF(H68=0,0,(Upgrades!$J$9+H68*Upgrades!$K$9)*POWER(Upgrades!$L$9,H68)))*(IF(Upgrades!$T$6="Magnetosphere",POWER(Upgrades!$U$6,E68),1)*IF(Upgrades!$T$7="Magnetosphere",POWER(Upgrades!$U$7,F68),1)*IF(Upgrades!$T$8="Magnetosphere",POWER(Upgrades!$U$8,G68),1)*IF(Upgrades!$T$10="Magnetosphere",POWER(Upgrades!$U$10,I68),1)*IF(Upgrades!$T$11="Magnetosphere",POWER(Upgrades!$U$11,J68),1)*IF(Upgrades!$T$12="Magnetosphere",POWER(Upgrades!$U$12,K68),1))+(IF(I68=0,0,(Upgrades!$J$10+I68*Upgrades!$K$10)*POWER(Upgrades!$L$10,I68)))*(IF(Upgrades!$T$6="Orbital Resonance",POWER(Upgrades!$U$6,E68),1)*IF(Upgrades!$T$7="Orbital Resonance",POWER(Upgrades!$U$7,F68),1)*IF(Upgrades!$T$8="Orbital Resonance",POWER(Upgrades!$U$8,G68),1)*IF(Upgrades!$T$9="Orbital Resonance",POWER(Upgrades!$U$9,H68),1)*IF(Upgrades!$T$11="Orbital Resonance",POWER(Upgrades!$U$11,J68),1)*IF(Upgrades!$T$12="Orbital Resonance",POWER(Upgrades!$U$12,K68),1))+(IF(J68=0,0,(Upgrades!$J$11+J68*Upgrades!$K$11)*POWER(Upgrades!$L$11,J68)))*(IF(Upgrades!$T$6="Heliopause",POWER(Upgrades!$U$6,E68),1)*IF(Upgrades!$T$7="Heliopause",POWER(Upgrades!$U$7,F68),1)*IF(Upgrades!$T$8="Heliopause",POWER(Upgrades!$U$8,G68),1)*IF(Upgrades!$T$9="Heliopause",POWER(Upgrades!$U$9,H68),1)*IF(Upgrades!$T$10="Heliopause",POWER(Upgrades!$U$10,I68),1)*IF(Upgrades!$T$12="Heliopause",POWER(Upgrades!$U$12,K68),1))+(IF(K68=0,0,(Upgrades!$J$12+K68*Upgrades!$K$12)*POWER(Upgrades!$L$12,K68)))*(IF(Upgrades!$T$6="First Photons",POWER(Upgrades!$U$6,E68),1)*IF(Upgrades!$T$7="First Photons",POWER(Upgrades!$U$7,F68),1)*IF(Upgrades!$T$8="First Photons",POWER(Upgrades!$U$8,G68),1)*IF(Upgrades!$T$9="First Photons",POWER(Upgrades!$U$9,H68),1)*IF(Upgrades!$T$10="First Photons",POWER(Upgrades!$U$10,I68),1)*IF(Upgrades!$T$11="First Photons",POWER(Upgrades!$U$11,J68),1)))*POWER(Upgrades!$Q$6,E68)*POWER(Upgrades!$Q$7,F68)*POWER(Upgrades!$Q$8,G68)*POWER(Upgrades!$Q$9,H68)*POWER(Upgrades!$Q$10,I68)*POWER(Upgrades!$Q$11,J68)*POWER(Upgrades!$Q$12,K68)</f>
        <v/>
      </c>
      <c r="N68" s="28">
        <f>((IF(E68=0,0,(Upgrades!$G$6+E68*Upgrades!$H$6)*POWER(Upgrades!$I$6,E68)))*(IF(Upgrades!$T$7="Solar Wind",POWER(Upgrades!$U$7,F68),1)*IF(Upgrades!$T$8="Solar Wind",POWER(Upgrades!$U$8,G68),1)*IF(Upgrades!$T$9="Solar Wind",POWER(Upgrades!$U$9,H68),1)*IF(Upgrades!$T$10="Solar Wind",POWER(Upgrades!$U$10,I68),1)*IF(Upgrades!$T$11="Solar Wind",POWER(Upgrades!$U$11,J68),1)*IF(Upgrades!$T$12="Solar Wind",POWER(Upgrades!$U$12,K68),1))+(IF(F68=0,0,(Upgrades!$G$7+F68*Upgrades!$H$7)*POWER(Upgrades!$I$7,F68)))*(IF(Upgrades!$T$6="Asteroid Belt",POWER(Upgrades!$U$6,E68),1)*IF(Upgrades!$T$8="Asteroid Belt",POWER(Upgrades!$U$8,G68),1)*IF(Upgrades!$T$9="Asteroid Belt",POWER(Upgrades!$U$9,H68),1)*IF(Upgrades!$T$10="Asteroid Belt",POWER(Upgrades!$U$10,I68),1)*IF(Upgrades!$T$11="Asteroid Belt",POWER(Upgrades!$U$11,J68),1)*IF(Upgrades!$T$12="Asteroid Belt",POWER(Upgrades!$U$12,K68),1))+(IF(G68=0,0,(Upgrades!$G$8+G68*Upgrades!$H$8)*POWER(Upgrades!$I$8,G68)))*(IF(Upgrades!$T$6="Stellar Coupling",POWER(Upgrades!$U$6,E68),1)*IF(Upgrades!$T$7="Stellar Coupling",POWER(Upgrades!$U$7,F68),1)*IF(Upgrades!$T$9="Stellar Coupling",POWER(Upgrades!$U$9,H68),1)*IF(Upgrades!$T$10="Stellar Coupling",POWER(Upgrades!$U$10,I68),1)*IF(Upgrades!$T$11="Stellar Coupling",POWER(Upgrades!$U$11,J68),1)*IF(Upgrades!$T$12="Stellar Coupling",POWER(Upgrades!$U$12,K68),1))+(IF(H68=0,0,(Upgrades!$G$9+H68*Upgrades!$H$9)*POWER(Upgrades!$I$9,H68)))*(IF(Upgrades!$T$6="Magnetosphere",POWER(Upgrades!$U$6,E68),1)*IF(Upgrades!$T$7="Magnetosphere",POWER(Upgrades!$U$7,F68),1)*IF(Upgrades!$T$8="Magnetosphere",POWER(Upgrades!$U$8,G68),1)*IF(Upgrades!$T$10="Magnetosphere",POWER(Upgrades!$U$10,I68),1)*IF(Upgrades!$T$11="Magnetosphere",POWER(Upgrades!$U$11,J68),1)*IF(Upgrades!$T$12="Magnetosphere",POWER(Upgrades!$U$12,K68),1))+(IF(I68=0,0,(Upgrades!$G$10+I68*Upgrades!$H$10)*POWER(Upgrades!$I$10,I68)))*(IF(Upgrades!$T$6="Orbital Resonance",POWER(Upgrades!$U$6,E68),1)*IF(Upgrades!$T$7="Orbital Resonance",POWER(Upgrades!$U$7,F68),1)*IF(Upgrades!$T$8="Orbital Resonance",POWER(Upgrades!$U$8,G68),1)*IF(Upgrades!$T$9="Orbital Resonance",POWER(Upgrades!$U$9,H68),1)*IF(Upgrades!$T$11="Orbital Resonance",POWER(Upgrades!$U$11,J68),1)*IF(Upgrades!$T$12="Orbital Resonance",POWER(Upgrades!$U$12,K68),1))+(IF(J68=0,0,(Upgrades!$G$11+J68*Upgrades!$H$11)*POWER(Upgrades!$I$11,J68)))*(IF(Upgrades!$T$6="Heliopause",POWER(Upgrades!$U$6,E68),1)*IF(Upgrades!$T$7="Heliopause",POWER(Upgrades!$U$7,F68),1)*IF(Upgrades!$T$8="Heliopause",POWER(Upgrades!$U$8,G68),1)*IF(Upgrades!$T$9="Heliopause",POWER(Upgrades!$U$9,H68),1)*IF(Upgrades!$T$10="Heliopause",POWER(Upgrades!$U$10,I68),1)*IF(Upgrades!$T$12="Heliopause",POWER(Upgrades!$U$12,K68),1))+(IF(K68=0,0,(Upgrades!$G$12+K68*Upgrades!$H$12)*POWER(Upgrades!$I$12,K68)))*(IF(Upgrades!$T$6="First Photons",POWER(Upgrades!$U$6,E68),1)*IF(Upgrades!$T$7="First Photons",POWER(Upgrades!$U$7,F68),1)*IF(Upgrades!$T$8="First Photons",POWER(Upgrades!$U$8,G68),1)*IF(Upgrades!$T$9="First Photons",POWER(Upgrades!$U$9,H68),1)*IF(Upgrades!$T$10="First Photons",POWER(Upgrades!$U$10,I68),1)*IF(Upgrades!$T$11="First Photons",POWER(Upgrades!$U$11,J68),1)))*POWER(Upgrades!$P$6,E68)*POWER(Upgrades!$P$7,F68)*POWER(Upgrades!$P$8,G68)*POWER(Upgrades!$P$9,H68)*POWER(Upgrades!$P$10,I68)*POWER(Upgrades!$P$11,J68)*POWER(Upgrades!$P$12,K68)</f>
        <v/>
      </c>
      <c r="O68" s="28">
        <f>((IF(E68=0,0,(Upgrades!$M$6+E68*Upgrades!$N$6)*POWER(Upgrades!$O$6,E68)))*(IF(Upgrades!$T$7="Solar Wind",POWER(Upgrades!$U$7,F68),1)*IF(Upgrades!$T$8="Solar Wind",POWER(Upgrades!$U$8,G68),1)*IF(Upgrades!$T$9="Solar Wind",POWER(Upgrades!$U$9,H68),1)*IF(Upgrades!$T$10="Solar Wind",POWER(Upgrades!$U$10,I68),1)*IF(Upgrades!$T$11="Solar Wind",POWER(Upgrades!$U$11,J68),1)*IF(Upgrades!$T$12="Solar Wind",POWER(Upgrades!$U$12,K68),1))+(IF(F68=0,0,(Upgrades!$M$7+F68*Upgrades!$N$7)*POWER(Upgrades!$O$7,F68)))*(IF(Upgrades!$T$6="Asteroid Belt",POWER(Upgrades!$U$6,E68),1)*IF(Upgrades!$T$8="Asteroid Belt",POWER(Upgrades!$U$8,G68),1)*IF(Upgrades!$T$9="Asteroid Belt",POWER(Upgrades!$U$9,H68),1)*IF(Upgrades!$T$10="Asteroid Belt",POWER(Upgrades!$U$10,I68),1)*IF(Upgrades!$T$11="Asteroid Belt",POWER(Upgrades!$U$11,J68),1)*IF(Upgrades!$T$12="Asteroid Belt",POWER(Upgrades!$U$12,K68),1))+(IF(G68=0,0,(Upgrades!$M$8+G68*Upgrades!$N$8)*POWER(Upgrades!$O$8,G68)))*(IF(Upgrades!$T$6="Stellar Coupling",POWER(Upgrades!$U$6,E68),1)*IF(Upgrades!$T$7="Stellar Coupling",POWER(Upgrades!$U$7,F68),1)*IF(Upgrades!$T$9="Stellar Coupling",POWER(Upgrades!$U$9,H68),1)*IF(Upgrades!$T$10="Stellar Coupling",POWER(Upgrades!$U$10,I68),1)*IF(Upgrades!$T$11="Stellar Coupling",POWER(Upgrades!$U$11,J68),1)*IF(Upgrades!$T$12="Stellar Coupling",POWER(Upgrades!$U$12,K68),1))+(IF(H68=0,0,(Upgrades!$M$9+H68*Upgrades!$N$9)*POWER(Upgrades!$O$9,H68)))*(IF(Upgrades!$T$6="Magnetosphere",POWER(Upgrades!$U$6,E68),1)*IF(Upgrades!$T$7="Magnetosphere",POWER(Upgrades!$U$7,F68),1)*IF(Upgrades!$T$8="Magnetosphere",POWER(Upgrades!$U$8,G68),1)*IF(Upgrades!$T$10="Magnetosphere",POWER(Upgrades!$U$10,I68),1)*IF(Upgrades!$T$11="Magnetosphere",POWER(Upgrades!$U$11,J68),1)*IF(Upgrades!$T$12="Magnetosphere",POWER(Upgrades!$U$12,K68),1))+(IF(I68=0,0,(Upgrades!$M$10+I68*Upgrades!$N$10)*POWER(Upgrades!$O$10,I68)))*(IF(Upgrades!$T$6="Orbital Resonance",POWER(Upgrades!$U$6,E68),1)*IF(Upgrades!$T$7="Orbital Resonance",POWER(Upgrades!$U$7,F68),1)*IF(Upgrades!$T$8="Orbital Resonance",POWER(Upgrades!$U$8,G68),1)*IF(Upgrades!$T$9="Orbital Resonance",POWER(Upgrades!$U$9,H68),1)*IF(Upgrades!$T$11="Orbital Resonance",POWER(Upgrades!$U$11,J68),1)*IF(Upgrades!$T$12="Orbital Resonance",POWER(Upgrades!$U$12,K68),1))+(IF(J68=0,0,(Upgrades!$M$11+J68*Upgrades!$N$11)*POWER(Upgrades!$O$11,J68)))*(IF(Upgrades!$T$6="Heliopause",POWER(Upgrades!$U$6,E68),1)*IF(Upgrades!$T$7="Heliopause",POWER(Upgrades!$U$7,F68),1)*IF(Upgrades!$T$8="Heliopause",POWER(Upgrades!$U$8,G68),1)*IF(Upgrades!$T$9="Heliopause",POWER(Upgrades!$U$9,H68),1)*IF(Upgrades!$T$10="Heliopause",POWER(Upgrades!$U$10,I68),1)*IF(Upgrades!$T$12="Heliopause",POWER(Upgrades!$U$12,K68),1))+(IF(K68=0,0,(Upgrades!$M$12+K68*Upgrades!$N$12)*POWER(Upgrades!$O$12,K68)))*(IF(Upgrades!$T$6="First Photons",POWER(Upgrades!$U$6,E68),1)*IF(Upgrades!$T$7="First Photons",POWER(Upgrades!$U$7,F68),1)*IF(Upgrades!$T$8="First Photons",POWER(Upgrades!$U$8,G68),1)*IF(Upgrades!$T$9="First Photons",POWER(Upgrades!$U$9,H68),1)*IF(Upgrades!$T$10="First Photons",POWER(Upgrades!$U$10,I68),1)*IF(Upgrades!$T$11="First Photons",POWER(Upgrades!$U$11,J68),1)))*POWER(Upgrades!$R$6,E68)*POWER(Upgrades!$R$7,F68)*POWER(Upgrades!$R$8,G68)*POWER(Upgrades!$R$9,H68)*POWER(Upgrades!$R$10,I68)*POWER(Upgrades!$R$11,J68)*POWER(Upgrades!$R$12,K68)</f>
        <v/>
      </c>
      <c r="P68" s="27">
        <f>IF(L68=1,0,M68*Parameters!$B$10/60*Parameters!$B$11*10)</f>
        <v/>
      </c>
      <c r="Q68" s="27">
        <f>IF(L68=1,0,O68*M68*10)</f>
        <v/>
      </c>
      <c r="R68" s="27">
        <f>IF(L68=1,0,N68*10)</f>
        <v/>
      </c>
      <c r="S68" s="27">
        <f>P68+Q68+R68</f>
        <v/>
      </c>
      <c r="T68" s="22">
        <f>C68+S68</f>
        <v/>
      </c>
      <c r="U68" s="33">
        <f>AX68</f>
        <v/>
      </c>
      <c r="V68" s="22">
        <f>IF(U68="",0,IF(U68="transition",0,IF(U68="SW",AG68,IF(U68="AB",AH68,IF(U68="SC",AI68,IF(U68="Mag",AJ68,IF(U68="OR",AK68,IF(U68="HP",AL68,IF(U68="FP",AM68,0)))))))))</f>
        <v/>
      </c>
      <c r="W68" s="27">
        <f>IF(U68="OR",Upgrades!$F$10,IF(U68="HP",Upgrades!$F$11,IF(U68="transition",-Parameters!$B$18,0)))</f>
        <v/>
      </c>
      <c r="X68" s="22">
        <f>T68-V68</f>
        <v/>
      </c>
      <c r="Y68" s="30">
        <f>M68*Parameters!$B$10/60*Parameters!$B$11+O68*M68+N68</f>
        <v/>
      </c>
      <c r="Z68" s="34">
        <f>IF(U68="transition","→ Tier 2 (Stellar Neighborhood)",IF(U68="FP","First Photons — light begins, system quickens",IF(U68="HP","Heliopause acquired",IF(U68="OR","Orbital Resonance — passive multiplier active",IF(AND(AO68=1,L68=0,AN68&lt;&gt;1),"Cohesion ready (waiting on completionist upgrades)","")))))</f>
        <v/>
      </c>
      <c r="AA68" s="27">
        <f>(IF(E68=0,0,(Upgrades!$G$6+E68*Upgrades!$H$6)*POWER(Upgrades!$I$6,E68)))*(IF(Upgrades!$T$7="Solar Wind",POWER(Upgrades!$U$7,F68),1)*IF(Upgrades!$T$8="Solar Wind",POWER(Upgrades!$U$8,G68),1)*IF(Upgrades!$T$9="Solar Wind",POWER(Upgrades!$U$9,H68),1)*IF(Upgrades!$T$10="Solar Wind",POWER(Upgrades!$U$10,I68),1)*IF(Upgrades!$T$11="Solar Wind",POWER(Upgrades!$U$11,J68),1)*IF(Upgrades!$T$12="Solar Wind",POWER(Upgrades!$U$12,K68),1))*POWER(Upgrades!$P$6,E68)*POWER(Upgrades!$P$7,F68)*POWER(Upgrades!$P$8,G68)*POWER(Upgrades!$P$9,H68)*POWER(Upgrades!$P$10,I68)*POWER(Upgrades!$P$11,J68)*POWER(Upgrades!$P$12,K68)*60</f>
        <v/>
      </c>
      <c r="AB68" s="27">
        <f>(IF(F68=0,0,(Upgrades!$G$7+F68*Upgrades!$H$7)*POWER(Upgrades!$I$7,F68)))*(IF(Upgrades!$T$6="Asteroid Belt",POWER(Upgrades!$U$6,E68),1)*IF(Upgrades!$T$8="Asteroid Belt",POWER(Upgrades!$U$8,G68),1)*IF(Upgrades!$T$9="Asteroid Belt",POWER(Upgrades!$U$9,H68),1)*IF(Upgrades!$T$10="Asteroid Belt",POWER(Upgrades!$U$10,I68),1)*IF(Upgrades!$T$11="Asteroid Belt",POWER(Upgrades!$U$11,J68),1)*IF(Upgrades!$T$12="Asteroid Belt",POWER(Upgrades!$U$12,K68),1))*POWER(Upgrades!$P$6,E68)*POWER(Upgrades!$P$7,F68)*POWER(Upgrades!$P$8,G68)*POWER(Upgrades!$P$9,H68)*POWER(Upgrades!$P$10,I68)*POWER(Upgrades!$P$11,J68)*POWER(Upgrades!$P$12,K68)*60</f>
        <v/>
      </c>
      <c r="AC68" s="27">
        <f>(IF(G68=0,0,(Upgrades!$J$8+G68*Upgrades!$K$8)*POWER(Upgrades!$L$8,G68)))*(IF(Upgrades!$T$6="Stellar Coupling",POWER(Upgrades!$U$6,E68),1)*IF(Upgrades!$T$7="Stellar Coupling",POWER(Upgrades!$U$7,F68),1)*IF(Upgrades!$T$9="Stellar Coupling",POWER(Upgrades!$U$9,H68),1)*IF(Upgrades!$T$10="Stellar Coupling",POWER(Upgrades!$U$10,I68),1)*IF(Upgrades!$T$11="Stellar Coupling",POWER(Upgrades!$U$11,J68),1)*IF(Upgrades!$T$12="Stellar Coupling",POWER(Upgrades!$U$12,K68),1))*POWER(Upgrades!$Q$6,E68)*POWER(Upgrades!$Q$7,F68)*POWER(Upgrades!$Q$8,G68)*POWER(Upgrades!$Q$9,H68)*POWER(Upgrades!$Q$10,I68)*POWER(Upgrades!$Q$11,J68)*POWER(Upgrades!$Q$12,K68)*Parameters!$B$10*Parameters!$B$11</f>
        <v/>
      </c>
      <c r="AD68" s="27">
        <f>(IF(H68=0,0,(Upgrades!$G$9+H68*Upgrades!$H$9)*POWER(Upgrades!$I$9,H68)))*(IF(Upgrades!$T$6="Magnetosphere",POWER(Upgrades!$U$6,E68),1)*IF(Upgrades!$T$7="Magnetosphere",POWER(Upgrades!$U$7,F68),1)*IF(Upgrades!$T$8="Magnetosphere",POWER(Upgrades!$U$8,G68),1)*IF(Upgrades!$T$10="Magnetosphere",POWER(Upgrades!$U$10,I68),1)*IF(Upgrades!$T$11="Magnetosphere",POWER(Upgrades!$U$11,J68),1)*IF(Upgrades!$T$12="Magnetosphere",POWER(Upgrades!$U$12,K68),1))*POWER(Upgrades!$P$6,E68)*POWER(Upgrades!$P$7,F68)*POWER(Upgrades!$P$8,G68)*POWER(Upgrades!$P$9,H68)*POWER(Upgrades!$P$10,I68)*POWER(Upgrades!$P$11,J68)*POWER(Upgrades!$P$12,K68)*60</f>
        <v/>
      </c>
      <c r="AE68" s="27">
        <f>(IF(K68=0,0,(Upgrades!$G$12+K68*Upgrades!$H$12)*POWER(Upgrades!$I$12,K68)))*(IF(Upgrades!$T$6="First Photons",POWER(Upgrades!$U$6,E68),1)*IF(Upgrades!$T$7="First Photons",POWER(Upgrades!$U$7,F68),1)*IF(Upgrades!$T$8="First Photons",POWER(Upgrades!$U$8,G68),1)*IF(Upgrades!$T$9="First Photons",POWER(Upgrades!$U$9,H68),1)*IF(Upgrades!$T$10="First Photons",POWER(Upgrades!$U$10,I68),1)*IF(Upgrades!$T$11="First Photons",POWER(Upgrades!$U$11,J68),1))*POWER(Upgrades!$P$6,E68)*POWER(Upgrades!$P$7,F68)*POWER(Upgrades!$P$8,G68)*POWER(Upgrades!$P$9,H68)*POWER(Upgrades!$P$10,I68)*POWER(Upgrades!$P$11,J68)*POWER(Upgrades!$P$12,K68)*60</f>
        <v/>
      </c>
      <c r="AF68" s="27">
        <f>Parameters!$B$9*POWER(Upgrades!$Q$6,E68)*POWER(Upgrades!$Q$7,F68)*POWER(Upgrades!$Q$8,G68)*POWER(Upgrades!$Q$9,H68)*POWER(Upgrades!$Q$10,I68)*POWER(Upgrades!$Q$11,J68)*POWER(Upgrades!$Q$12,K68)*(Parameters!$B$10*Parameters!$B$11+O68*60)</f>
        <v/>
      </c>
      <c r="AG68" s="22">
        <f>IF(E68&gt;=Upgrades!$E$6,"",Upgrades!$C$6*POWER(Upgrades!$D$6,E68))</f>
        <v/>
      </c>
      <c r="AH68" s="22">
        <f>IF(F68&gt;=Upgrades!$E$7,"",Upgrades!$C$7*POWER(Upgrades!$D$7,F68))</f>
        <v/>
      </c>
      <c r="AI68" s="22">
        <f>IF(G68&gt;=Upgrades!$E$8,"",Upgrades!$C$8*POWER(Upgrades!$D$8,G68))</f>
        <v/>
      </c>
      <c r="AJ68" s="22">
        <f>IF(H68&gt;=Upgrades!$E$9,"",Upgrades!$C$9*POWER(Upgrades!$D$9,H68))</f>
        <v/>
      </c>
      <c r="AK68" s="22">
        <f>IF(I68&gt;=Upgrades!$E$10,"",Upgrades!$C$10*POWER(Upgrades!$D$10,I68))</f>
        <v/>
      </c>
      <c r="AL68" s="22">
        <f>IF(J68&gt;=Upgrades!$E$11,"",Upgrades!$C$11*POWER(Upgrades!$D$11,J68))</f>
        <v/>
      </c>
      <c r="AM68" s="22">
        <f>IF(K68&gt;=Upgrades!$E$12,"",Upgrades!$C$12*POWER(Upgrades!$D$12,K68))</f>
        <v/>
      </c>
      <c r="AN68" s="26">
        <f>IF(AND(D68&gt;=Parameters!$B$18,(H68&gt;=Upgrades!$E$9)*(K68&gt;=Upgrades!$E$12)=1,L68=0),1,"")</f>
        <v/>
      </c>
      <c r="AO68" s="26">
        <f>IF(AND(D68&gt;=Parameters!$B$18,L68=0),1,"")</f>
        <v/>
      </c>
      <c r="AP68" s="22">
        <f>MIN(IF(ISNUMBER(AK68),AK68,9E15),IF(ISNUMBER(AL68),AL68,9E15),IF(ISNUMBER(AM68),AM68,9E15))</f>
        <v/>
      </c>
      <c r="AQ68" s="22">
        <f>MIN(IF(ISNUMBER(AG68),AG68,9E15),IF(ISNUMBER(AH68),AH68,9E15),IF(ISNUMBER(AI68),AI68,9E15),IF(ISNUMBER(AJ68),AJ68,9E15))</f>
        <v/>
      </c>
      <c r="AR68" s="29">
        <f>IF(AW68&gt;Parameters!$B$21*(MAX(IF(AND(NOT(AND(AO68=1,AN68&lt;&gt;1)),ISNUMBER(AG68),AG68&lt;=T68),AS68,0),IF(AND(NOT(AND(AO68=1,AN68&lt;&gt;1)),ISNUMBER(AH68),AH68&lt;=T68),AT68,0),IF(AND(NOT(AND(AO68=1,AN68&lt;&gt;1)),ISNUMBER(AI68),AI68&lt;=T68),AU68,0),IF(AND(ISNUMBER(AJ68),AJ68&lt;=T68),AV68,0))),TRUE,FALSE)</f>
        <v/>
      </c>
      <c r="AS68" s="32">
        <f>IFERROR(Upgrades!$H$6*(POWER(Upgrades!$P$6,E68)*POWER(Upgrades!$P$7,F68)*POWER(Upgrades!$P$8,G68)*POWER(Upgrades!$P$9,H68)*POWER(Upgrades!$P$10,I68)*POWER(Upgrades!$P$11,J68)*POWER(Upgrades!$P$12,K68))*(IF(Upgrades!$T$7="Solar Wind",POWER(Upgrades!$U$7,F68),1)*IF(Upgrades!$T$8="Solar Wind",POWER(Upgrades!$U$8,G68),1)*IF(Upgrades!$T$9="Solar Wind",POWER(Upgrades!$U$9,H68),1)*IF(Upgrades!$T$10="Solar Wind",POWER(Upgrades!$U$10,I68),1)*IF(Upgrades!$T$11="Solar Wind",POWER(Upgrades!$U$11,J68),1)*IF(Upgrades!$T$12="Solar Wind",POWER(Upgrades!$U$12,K68),1))/AG68,0)</f>
        <v/>
      </c>
      <c r="AT68" s="32">
        <f>IFERROR(Upgrades!$H$7*(POWER(Upgrades!$P$6,E68)*POWER(Upgrades!$P$7,F68)*POWER(Upgrades!$P$8,G68)*POWER(Upgrades!$P$9,H68)*POWER(Upgrades!$P$10,I68)*POWER(Upgrades!$P$11,J68)*POWER(Upgrades!$P$12,K68))*(IF(Upgrades!$T$6="Asteroid Belt",POWER(Upgrades!$U$6,E68),1)*IF(Upgrades!$T$8="Asteroid Belt",POWER(Upgrades!$U$8,G68),1)*IF(Upgrades!$T$9="Asteroid Belt",POWER(Upgrades!$U$9,H68),1)*IF(Upgrades!$T$10="Asteroid Belt",POWER(Upgrades!$U$10,I68),1)*IF(Upgrades!$T$11="Asteroid Belt",POWER(Upgrades!$U$11,J68),1)*IF(Upgrades!$T$12="Asteroid Belt",POWER(Upgrades!$U$12,K68),1))/AH68,0)</f>
        <v/>
      </c>
      <c r="AU68" s="32">
        <f>IFERROR(Upgrades!$K$8*(POWER(Upgrades!$Q$6,E68)*POWER(Upgrades!$Q$7,F68)*POWER(Upgrades!$Q$8,G68)*POWER(Upgrades!$Q$9,H68)*POWER(Upgrades!$Q$10,I68)*POWER(Upgrades!$Q$11,J68)*POWER(Upgrades!$Q$12,K68))*(IF(Upgrades!$T$6="Stellar Coupling",POWER(Upgrades!$U$6,E68),1)*IF(Upgrades!$T$7="Stellar Coupling",POWER(Upgrades!$U$7,F68),1)*IF(Upgrades!$T$9="Stellar Coupling",POWER(Upgrades!$U$9,H68),1)*IF(Upgrades!$T$10="Stellar Coupling",POWER(Upgrades!$U$10,I68),1)*IF(Upgrades!$T$11="Stellar Coupling",POWER(Upgrades!$U$11,J68),1)*IF(Upgrades!$T$12="Stellar Coupling",POWER(Upgrades!$U$12,K68),1))*Parameters!$B$10*Parameters!$B$11/60/AI68,0)</f>
        <v/>
      </c>
      <c r="AV68" s="32">
        <f>IFERROR(Upgrades!$H$9*(POWER(Upgrades!$P$6,E68)*POWER(Upgrades!$P$7,F68)*POWER(Upgrades!$P$8,G68)*POWER(Upgrades!$P$9,H68)*POWER(Upgrades!$P$10,I68)*POWER(Upgrades!$P$11,J68)*POWER(Upgrades!$P$12,K68))*(IF(Upgrades!$T$6="Magnetosphere",POWER(Upgrades!$U$6,E68),1)*IF(Upgrades!$T$7="Magnetosphere",POWER(Upgrades!$U$7,F68),1)*IF(Upgrades!$T$8="Magnetosphere",POWER(Upgrades!$U$8,G68),1)*IF(Upgrades!$T$10="Magnetosphere",POWER(Upgrades!$U$10,I68),1)*IF(Upgrades!$T$11="Magnetosphere",POWER(Upgrades!$U$11,J68),1)*IF(Upgrades!$T$12="Magnetosphere",POWER(Upgrades!$U$12,K68),1))/AJ68,0)</f>
        <v/>
      </c>
      <c r="AW68" s="32">
        <f>MAX(IF(I68&gt;0,0,IFERROR(0.25*N68/Upgrades!$C$10,0)),IF(J68&gt;0,0,IFERROR(0.5*((IF(G68=0,0,(Upgrades!$J$8+G68*Upgrades!$K$8)*POWER(Upgrades!$L$8,G68)))*(IF(Upgrades!$T$6="Stellar Coupling",POWER(Upgrades!$U$6,E68),1)*IF(Upgrades!$T$7="Stellar Coupling",POWER(Upgrades!$U$7,F68),1)*IF(Upgrades!$T$9="Stellar Coupling",POWER(Upgrades!$U$9,H68),1)*IF(Upgrades!$T$10="Stellar Coupling",POWER(Upgrades!$U$10,I68),1)*IF(Upgrades!$T$11="Stellar Coupling",POWER(Upgrades!$U$11,J68),1)*IF(Upgrades!$T$12="Stellar Coupling",POWER(Upgrades!$U$12,K68),1))*(POWER(Upgrades!$Q$6,E68)*POWER(Upgrades!$Q$7,F68)*POWER(Upgrades!$Q$8,G68)*POWER(Upgrades!$Q$9,H68)*POWER(Upgrades!$Q$10,I68)*POWER(Upgrades!$Q$11,J68)*POWER(Upgrades!$Q$12,K68))*Parameters!$B$10*Parameters!$B$11/60)/Upgrades!$C$11,0)),IF(K68&gt;0,0,IFERROR((1.0*(POWER(Upgrades!$P$6,E68)*POWER(Upgrades!$P$7,F68)*POWER(Upgrades!$P$8,G68)*POWER(Upgrades!$P$9,H68)*POWER(Upgrades!$P$10,I68)*POWER(Upgrades!$P$11,J68)*POWER(Upgrades!$P$12,K68))+0.20*M68*Parameters!$B$10*Parameters!$B$11/60)/Upgrades!$C$12,0)),IF(AND(ISNUMBER(AG68),AG68&gt;T68),AS68,0),IF(AND(ISNUMBER(AH68),AH68&gt;T68),AT68,0),IF(AND(ISNUMBER(AI68),AI68&gt;T68),AU68,0),IF(AND(ISNUMBER(AJ68),AJ68&gt;T68),AV68,0))</f>
        <v/>
      </c>
      <c r="AX68" s="29">
        <f>IF(AN68=1,"transition",IF(MIN(IF(AND(I68=0,ISNUMBER(AK68),AK68&lt;=T68),AK68,9E15),IF(AND(J68=0,ISNUMBER(AL68),AL68&lt;=T68),AL68,9E15),IF(AND(K68=0,ISNUMBER(AM68),AM68&lt;=T68),AM68,9E15))&lt;9E15,IF(AND(AND(I68=0,ISNUMBER(AK68),AK68&lt;=T68),AK68=MIN(IF(AND(I68=0,ISNUMBER(AK68),AK68&lt;=T68),AK68,9E15),IF(AND(J68=0,ISNUMBER(AL68),AL68&lt;=T68),AL68,9E15),IF(AND(K68=0,ISNUMBER(AM68),AM68&lt;=T68),AM68,9E15))),"OR",IF(AND(AND(J68=0,ISNUMBER(AL68),AL68&lt;=T68),AL68=MIN(IF(AND(I68=0,ISNUMBER(AK68),AK68&lt;=T68),AK68,9E15),IF(AND(J68=0,ISNUMBER(AL68),AL68&lt;=T68),AL68,9E15),IF(AND(K68=0,ISNUMBER(AM68),AM68&lt;=T68),AM68,9E15))),"HP","FP")),IF(AR68=TRUE,"",IF(MAX(IF(AND(NOT(AND(AO68=1,AN68&lt;&gt;1)),ISNUMBER(AG68),AG68&lt;=T68),AS68,0),IF(AND(NOT(AND(AO68=1,AN68&lt;&gt;1)),ISNUMBER(AH68),AH68&lt;=T68),AT68,0),IF(AND(NOT(AND(AO68=1,AN68&lt;&gt;1)),ISNUMBER(AI68),AI68&lt;=T68),AU68,0),IF(AND(ISNUMBER(AJ68),AJ68&lt;=T68),AV68,0))&lt;=0,"",IF(AND(IF(AND(NOT(AND(AO68=1,AN68&lt;&gt;1)),ISNUMBER(AG68),AG68&lt;=T68),AS68,0)&gt;0,IF(AND(NOT(AND(AO68=1,AN68&lt;&gt;1)),ISNUMBER(AG68),AG68&lt;=T68),AS68,0)=MAX(IF(AND(NOT(AND(AO68=1,AN68&lt;&gt;1)),ISNUMBER(AG68),AG68&lt;=T68),AS68,0),IF(AND(NOT(AND(AO68=1,AN68&lt;&gt;1)),ISNUMBER(AH68),AH68&lt;=T68),AT68,0),IF(AND(NOT(AND(AO68=1,AN68&lt;&gt;1)),ISNUMBER(AI68),AI68&lt;=T68),AU68,0),IF(AND(ISNUMBER(AJ68),AJ68&lt;=T68),AV68,0))),"SW",IF(AND(IF(AND(NOT(AND(AO68=1,AN68&lt;&gt;1)),ISNUMBER(AH68),AH68&lt;=T68),AT68,0)&gt;0,IF(AND(NOT(AND(AO68=1,AN68&lt;&gt;1)),ISNUMBER(AH68),AH68&lt;=T68),AT68,0)=MAX(IF(AND(NOT(AND(AO68=1,AN68&lt;&gt;1)),ISNUMBER(AG68),AG68&lt;=T68),AS68,0),IF(AND(NOT(AND(AO68=1,AN68&lt;&gt;1)),ISNUMBER(AH68),AH68&lt;=T68),AT68,0),IF(AND(NOT(AND(AO68=1,AN68&lt;&gt;1)),ISNUMBER(AI68),AI68&lt;=T68),AU68,0),IF(AND(ISNUMBER(AJ68),AJ68&lt;=T68),AV68,0))),"AB",IF(AND(IF(AND(NOT(AND(AO68=1,AN68&lt;&gt;1)),ISNUMBER(AI68),AI68&lt;=T68),AU68,0)&gt;0,IF(AND(NOT(AND(AO68=1,AN68&lt;&gt;1)),ISNUMBER(AI68),AI68&lt;=T68),AU68,0)=MAX(IF(AND(NOT(AND(AO68=1,AN68&lt;&gt;1)),ISNUMBER(AG68),AG68&lt;=T68),AS68,0),IF(AND(NOT(AND(AO68=1,AN68&lt;&gt;1)),ISNUMBER(AH68),AH68&lt;=T68),AT68,0),IF(AND(NOT(AND(AO68=1,AN68&lt;&gt;1)),ISNUMBER(AI68),AI68&lt;=T68),AU68,0),IF(AND(ISNUMBER(AJ68),AJ68&lt;=T68),AV68,0))),"SC","Mag")))))))</f>
        <v/>
      </c>
    </row>
    <row r="69">
      <c r="A69" s="26" t="n">
        <v>64</v>
      </c>
      <c r="B69" s="27">
        <f>A69*10/60</f>
        <v/>
      </c>
      <c r="C69" s="22">
        <f>X68</f>
        <v/>
      </c>
      <c r="D69" s="27">
        <f>D68+W68</f>
        <v/>
      </c>
      <c r="E69" s="26">
        <f>E68+IF(U68="SW",1,0)</f>
        <v/>
      </c>
      <c r="F69" s="26">
        <f>F68+IF(U68="AB",1,0)</f>
        <v/>
      </c>
      <c r="G69" s="26">
        <f>G68+IF(U68="SC",1,0)</f>
        <v/>
      </c>
      <c r="H69" s="26">
        <f>H68+IF(U68="Mag",1,0)</f>
        <v/>
      </c>
      <c r="I69" s="26">
        <f>MAX(I68,IF(U68="OR",1,0))</f>
        <v/>
      </c>
      <c r="J69" s="26">
        <f>MAX(J68,IF(U68="HP",1,0))</f>
        <v/>
      </c>
      <c r="K69" s="26">
        <f>MAX(K68,IF(U68="FP",1,0))</f>
        <v/>
      </c>
      <c r="L69" s="26">
        <f>MAX(L68,IF(U68="transition",1,0))</f>
        <v/>
      </c>
      <c r="M69" s="28">
        <f>(Parameters!$B$9+(IF(E69=0,0,(Upgrades!$J$6+E69*Upgrades!$K$6)*POWER(Upgrades!$L$6,E69)))*(IF(Upgrades!$T$7="Solar Wind",POWER(Upgrades!$U$7,F69),1)*IF(Upgrades!$T$8="Solar Wind",POWER(Upgrades!$U$8,G69),1)*IF(Upgrades!$T$9="Solar Wind",POWER(Upgrades!$U$9,H69),1)*IF(Upgrades!$T$10="Solar Wind",POWER(Upgrades!$U$10,I69),1)*IF(Upgrades!$T$11="Solar Wind",POWER(Upgrades!$U$11,J69),1)*IF(Upgrades!$T$12="Solar Wind",POWER(Upgrades!$U$12,K69),1))+(IF(F69=0,0,(Upgrades!$J$7+F69*Upgrades!$K$7)*POWER(Upgrades!$L$7,F69)))*(IF(Upgrades!$T$6="Asteroid Belt",POWER(Upgrades!$U$6,E69),1)*IF(Upgrades!$T$8="Asteroid Belt",POWER(Upgrades!$U$8,G69),1)*IF(Upgrades!$T$9="Asteroid Belt",POWER(Upgrades!$U$9,H69),1)*IF(Upgrades!$T$10="Asteroid Belt",POWER(Upgrades!$U$10,I69),1)*IF(Upgrades!$T$11="Asteroid Belt",POWER(Upgrades!$U$11,J69),1)*IF(Upgrades!$T$12="Asteroid Belt",POWER(Upgrades!$U$12,K69),1))+(IF(G69=0,0,(Upgrades!$J$8+G69*Upgrades!$K$8)*POWER(Upgrades!$L$8,G69)))*(IF(Upgrades!$T$6="Stellar Coupling",POWER(Upgrades!$U$6,E69),1)*IF(Upgrades!$T$7="Stellar Coupling",POWER(Upgrades!$U$7,F69),1)*IF(Upgrades!$T$9="Stellar Coupling",POWER(Upgrades!$U$9,H69),1)*IF(Upgrades!$T$10="Stellar Coupling",POWER(Upgrades!$U$10,I69),1)*IF(Upgrades!$T$11="Stellar Coupling",POWER(Upgrades!$U$11,J69),1)*IF(Upgrades!$T$12="Stellar Coupling",POWER(Upgrades!$U$12,K69),1))+(IF(H69=0,0,(Upgrades!$J$9+H69*Upgrades!$K$9)*POWER(Upgrades!$L$9,H69)))*(IF(Upgrades!$T$6="Magnetosphere",POWER(Upgrades!$U$6,E69),1)*IF(Upgrades!$T$7="Magnetosphere",POWER(Upgrades!$U$7,F69),1)*IF(Upgrades!$T$8="Magnetosphere",POWER(Upgrades!$U$8,G69),1)*IF(Upgrades!$T$10="Magnetosphere",POWER(Upgrades!$U$10,I69),1)*IF(Upgrades!$T$11="Magnetosphere",POWER(Upgrades!$U$11,J69),1)*IF(Upgrades!$T$12="Magnetosphere",POWER(Upgrades!$U$12,K69),1))+(IF(I69=0,0,(Upgrades!$J$10+I69*Upgrades!$K$10)*POWER(Upgrades!$L$10,I69)))*(IF(Upgrades!$T$6="Orbital Resonance",POWER(Upgrades!$U$6,E69),1)*IF(Upgrades!$T$7="Orbital Resonance",POWER(Upgrades!$U$7,F69),1)*IF(Upgrades!$T$8="Orbital Resonance",POWER(Upgrades!$U$8,G69),1)*IF(Upgrades!$T$9="Orbital Resonance",POWER(Upgrades!$U$9,H69),1)*IF(Upgrades!$T$11="Orbital Resonance",POWER(Upgrades!$U$11,J69),1)*IF(Upgrades!$T$12="Orbital Resonance",POWER(Upgrades!$U$12,K69),1))+(IF(J69=0,0,(Upgrades!$J$11+J69*Upgrades!$K$11)*POWER(Upgrades!$L$11,J69)))*(IF(Upgrades!$T$6="Heliopause",POWER(Upgrades!$U$6,E69),1)*IF(Upgrades!$T$7="Heliopause",POWER(Upgrades!$U$7,F69),1)*IF(Upgrades!$T$8="Heliopause",POWER(Upgrades!$U$8,G69),1)*IF(Upgrades!$T$9="Heliopause",POWER(Upgrades!$U$9,H69),1)*IF(Upgrades!$T$10="Heliopause",POWER(Upgrades!$U$10,I69),1)*IF(Upgrades!$T$12="Heliopause",POWER(Upgrades!$U$12,K69),1))+(IF(K69=0,0,(Upgrades!$J$12+K69*Upgrades!$K$12)*POWER(Upgrades!$L$12,K69)))*(IF(Upgrades!$T$6="First Photons",POWER(Upgrades!$U$6,E69),1)*IF(Upgrades!$T$7="First Photons",POWER(Upgrades!$U$7,F69),1)*IF(Upgrades!$T$8="First Photons",POWER(Upgrades!$U$8,G69),1)*IF(Upgrades!$T$9="First Photons",POWER(Upgrades!$U$9,H69),1)*IF(Upgrades!$T$10="First Photons",POWER(Upgrades!$U$10,I69),1)*IF(Upgrades!$T$11="First Photons",POWER(Upgrades!$U$11,J69),1)))*POWER(Upgrades!$Q$6,E69)*POWER(Upgrades!$Q$7,F69)*POWER(Upgrades!$Q$8,G69)*POWER(Upgrades!$Q$9,H69)*POWER(Upgrades!$Q$10,I69)*POWER(Upgrades!$Q$11,J69)*POWER(Upgrades!$Q$12,K69)</f>
        <v/>
      </c>
      <c r="N69" s="28">
        <f>((IF(E69=0,0,(Upgrades!$G$6+E69*Upgrades!$H$6)*POWER(Upgrades!$I$6,E69)))*(IF(Upgrades!$T$7="Solar Wind",POWER(Upgrades!$U$7,F69),1)*IF(Upgrades!$T$8="Solar Wind",POWER(Upgrades!$U$8,G69),1)*IF(Upgrades!$T$9="Solar Wind",POWER(Upgrades!$U$9,H69),1)*IF(Upgrades!$T$10="Solar Wind",POWER(Upgrades!$U$10,I69),1)*IF(Upgrades!$T$11="Solar Wind",POWER(Upgrades!$U$11,J69),1)*IF(Upgrades!$T$12="Solar Wind",POWER(Upgrades!$U$12,K69),1))+(IF(F69=0,0,(Upgrades!$G$7+F69*Upgrades!$H$7)*POWER(Upgrades!$I$7,F69)))*(IF(Upgrades!$T$6="Asteroid Belt",POWER(Upgrades!$U$6,E69),1)*IF(Upgrades!$T$8="Asteroid Belt",POWER(Upgrades!$U$8,G69),1)*IF(Upgrades!$T$9="Asteroid Belt",POWER(Upgrades!$U$9,H69),1)*IF(Upgrades!$T$10="Asteroid Belt",POWER(Upgrades!$U$10,I69),1)*IF(Upgrades!$T$11="Asteroid Belt",POWER(Upgrades!$U$11,J69),1)*IF(Upgrades!$T$12="Asteroid Belt",POWER(Upgrades!$U$12,K69),1))+(IF(G69=0,0,(Upgrades!$G$8+G69*Upgrades!$H$8)*POWER(Upgrades!$I$8,G69)))*(IF(Upgrades!$T$6="Stellar Coupling",POWER(Upgrades!$U$6,E69),1)*IF(Upgrades!$T$7="Stellar Coupling",POWER(Upgrades!$U$7,F69),1)*IF(Upgrades!$T$9="Stellar Coupling",POWER(Upgrades!$U$9,H69),1)*IF(Upgrades!$T$10="Stellar Coupling",POWER(Upgrades!$U$10,I69),1)*IF(Upgrades!$T$11="Stellar Coupling",POWER(Upgrades!$U$11,J69),1)*IF(Upgrades!$T$12="Stellar Coupling",POWER(Upgrades!$U$12,K69),1))+(IF(H69=0,0,(Upgrades!$G$9+H69*Upgrades!$H$9)*POWER(Upgrades!$I$9,H69)))*(IF(Upgrades!$T$6="Magnetosphere",POWER(Upgrades!$U$6,E69),1)*IF(Upgrades!$T$7="Magnetosphere",POWER(Upgrades!$U$7,F69),1)*IF(Upgrades!$T$8="Magnetosphere",POWER(Upgrades!$U$8,G69),1)*IF(Upgrades!$T$10="Magnetosphere",POWER(Upgrades!$U$10,I69),1)*IF(Upgrades!$T$11="Magnetosphere",POWER(Upgrades!$U$11,J69),1)*IF(Upgrades!$T$12="Magnetosphere",POWER(Upgrades!$U$12,K69),1))+(IF(I69=0,0,(Upgrades!$G$10+I69*Upgrades!$H$10)*POWER(Upgrades!$I$10,I69)))*(IF(Upgrades!$T$6="Orbital Resonance",POWER(Upgrades!$U$6,E69),1)*IF(Upgrades!$T$7="Orbital Resonance",POWER(Upgrades!$U$7,F69),1)*IF(Upgrades!$T$8="Orbital Resonance",POWER(Upgrades!$U$8,G69),1)*IF(Upgrades!$T$9="Orbital Resonance",POWER(Upgrades!$U$9,H69),1)*IF(Upgrades!$T$11="Orbital Resonance",POWER(Upgrades!$U$11,J69),1)*IF(Upgrades!$T$12="Orbital Resonance",POWER(Upgrades!$U$12,K69),1))+(IF(J69=0,0,(Upgrades!$G$11+J69*Upgrades!$H$11)*POWER(Upgrades!$I$11,J69)))*(IF(Upgrades!$T$6="Heliopause",POWER(Upgrades!$U$6,E69),1)*IF(Upgrades!$T$7="Heliopause",POWER(Upgrades!$U$7,F69),1)*IF(Upgrades!$T$8="Heliopause",POWER(Upgrades!$U$8,G69),1)*IF(Upgrades!$T$9="Heliopause",POWER(Upgrades!$U$9,H69),1)*IF(Upgrades!$T$10="Heliopause",POWER(Upgrades!$U$10,I69),1)*IF(Upgrades!$T$12="Heliopause",POWER(Upgrades!$U$12,K69),1))+(IF(K69=0,0,(Upgrades!$G$12+K69*Upgrades!$H$12)*POWER(Upgrades!$I$12,K69)))*(IF(Upgrades!$T$6="First Photons",POWER(Upgrades!$U$6,E69),1)*IF(Upgrades!$T$7="First Photons",POWER(Upgrades!$U$7,F69),1)*IF(Upgrades!$T$8="First Photons",POWER(Upgrades!$U$8,G69),1)*IF(Upgrades!$T$9="First Photons",POWER(Upgrades!$U$9,H69),1)*IF(Upgrades!$T$10="First Photons",POWER(Upgrades!$U$10,I69),1)*IF(Upgrades!$T$11="First Photons",POWER(Upgrades!$U$11,J69),1)))*POWER(Upgrades!$P$6,E69)*POWER(Upgrades!$P$7,F69)*POWER(Upgrades!$P$8,G69)*POWER(Upgrades!$P$9,H69)*POWER(Upgrades!$P$10,I69)*POWER(Upgrades!$P$11,J69)*POWER(Upgrades!$P$12,K69)</f>
        <v/>
      </c>
      <c r="O69" s="28">
        <f>((IF(E69=0,0,(Upgrades!$M$6+E69*Upgrades!$N$6)*POWER(Upgrades!$O$6,E69)))*(IF(Upgrades!$T$7="Solar Wind",POWER(Upgrades!$U$7,F69),1)*IF(Upgrades!$T$8="Solar Wind",POWER(Upgrades!$U$8,G69),1)*IF(Upgrades!$T$9="Solar Wind",POWER(Upgrades!$U$9,H69),1)*IF(Upgrades!$T$10="Solar Wind",POWER(Upgrades!$U$10,I69),1)*IF(Upgrades!$T$11="Solar Wind",POWER(Upgrades!$U$11,J69),1)*IF(Upgrades!$T$12="Solar Wind",POWER(Upgrades!$U$12,K69),1))+(IF(F69=0,0,(Upgrades!$M$7+F69*Upgrades!$N$7)*POWER(Upgrades!$O$7,F69)))*(IF(Upgrades!$T$6="Asteroid Belt",POWER(Upgrades!$U$6,E69),1)*IF(Upgrades!$T$8="Asteroid Belt",POWER(Upgrades!$U$8,G69),1)*IF(Upgrades!$T$9="Asteroid Belt",POWER(Upgrades!$U$9,H69),1)*IF(Upgrades!$T$10="Asteroid Belt",POWER(Upgrades!$U$10,I69),1)*IF(Upgrades!$T$11="Asteroid Belt",POWER(Upgrades!$U$11,J69),1)*IF(Upgrades!$T$12="Asteroid Belt",POWER(Upgrades!$U$12,K69),1))+(IF(G69=0,0,(Upgrades!$M$8+G69*Upgrades!$N$8)*POWER(Upgrades!$O$8,G69)))*(IF(Upgrades!$T$6="Stellar Coupling",POWER(Upgrades!$U$6,E69),1)*IF(Upgrades!$T$7="Stellar Coupling",POWER(Upgrades!$U$7,F69),1)*IF(Upgrades!$T$9="Stellar Coupling",POWER(Upgrades!$U$9,H69),1)*IF(Upgrades!$T$10="Stellar Coupling",POWER(Upgrades!$U$10,I69),1)*IF(Upgrades!$T$11="Stellar Coupling",POWER(Upgrades!$U$11,J69),1)*IF(Upgrades!$T$12="Stellar Coupling",POWER(Upgrades!$U$12,K69),1))+(IF(H69=0,0,(Upgrades!$M$9+H69*Upgrades!$N$9)*POWER(Upgrades!$O$9,H69)))*(IF(Upgrades!$T$6="Magnetosphere",POWER(Upgrades!$U$6,E69),1)*IF(Upgrades!$T$7="Magnetosphere",POWER(Upgrades!$U$7,F69),1)*IF(Upgrades!$T$8="Magnetosphere",POWER(Upgrades!$U$8,G69),1)*IF(Upgrades!$T$10="Magnetosphere",POWER(Upgrades!$U$10,I69),1)*IF(Upgrades!$T$11="Magnetosphere",POWER(Upgrades!$U$11,J69),1)*IF(Upgrades!$T$12="Magnetosphere",POWER(Upgrades!$U$12,K69),1))+(IF(I69=0,0,(Upgrades!$M$10+I69*Upgrades!$N$10)*POWER(Upgrades!$O$10,I69)))*(IF(Upgrades!$T$6="Orbital Resonance",POWER(Upgrades!$U$6,E69),1)*IF(Upgrades!$T$7="Orbital Resonance",POWER(Upgrades!$U$7,F69),1)*IF(Upgrades!$T$8="Orbital Resonance",POWER(Upgrades!$U$8,G69),1)*IF(Upgrades!$T$9="Orbital Resonance",POWER(Upgrades!$U$9,H69),1)*IF(Upgrades!$T$11="Orbital Resonance",POWER(Upgrades!$U$11,J69),1)*IF(Upgrades!$T$12="Orbital Resonance",POWER(Upgrades!$U$12,K69),1))+(IF(J69=0,0,(Upgrades!$M$11+J69*Upgrades!$N$11)*POWER(Upgrades!$O$11,J69)))*(IF(Upgrades!$T$6="Heliopause",POWER(Upgrades!$U$6,E69),1)*IF(Upgrades!$T$7="Heliopause",POWER(Upgrades!$U$7,F69),1)*IF(Upgrades!$T$8="Heliopause",POWER(Upgrades!$U$8,G69),1)*IF(Upgrades!$T$9="Heliopause",POWER(Upgrades!$U$9,H69),1)*IF(Upgrades!$T$10="Heliopause",POWER(Upgrades!$U$10,I69),1)*IF(Upgrades!$T$12="Heliopause",POWER(Upgrades!$U$12,K69),1))+(IF(K69=0,0,(Upgrades!$M$12+K69*Upgrades!$N$12)*POWER(Upgrades!$O$12,K69)))*(IF(Upgrades!$T$6="First Photons",POWER(Upgrades!$U$6,E69),1)*IF(Upgrades!$T$7="First Photons",POWER(Upgrades!$U$7,F69),1)*IF(Upgrades!$T$8="First Photons",POWER(Upgrades!$U$8,G69),1)*IF(Upgrades!$T$9="First Photons",POWER(Upgrades!$U$9,H69),1)*IF(Upgrades!$T$10="First Photons",POWER(Upgrades!$U$10,I69),1)*IF(Upgrades!$T$11="First Photons",POWER(Upgrades!$U$11,J69),1)))*POWER(Upgrades!$R$6,E69)*POWER(Upgrades!$R$7,F69)*POWER(Upgrades!$R$8,G69)*POWER(Upgrades!$R$9,H69)*POWER(Upgrades!$R$10,I69)*POWER(Upgrades!$R$11,J69)*POWER(Upgrades!$R$12,K69)</f>
        <v/>
      </c>
      <c r="P69" s="27">
        <f>IF(L69=1,0,M69*Parameters!$B$10/60*Parameters!$B$11*10)</f>
        <v/>
      </c>
      <c r="Q69" s="27">
        <f>IF(L69=1,0,O69*M69*10)</f>
        <v/>
      </c>
      <c r="R69" s="27">
        <f>IF(L69=1,0,N69*10)</f>
        <v/>
      </c>
      <c r="S69" s="27">
        <f>P69+Q69+R69</f>
        <v/>
      </c>
      <c r="T69" s="22">
        <f>C69+S69</f>
        <v/>
      </c>
      <c r="U69" s="33">
        <f>AX69</f>
        <v/>
      </c>
      <c r="V69" s="22">
        <f>IF(U69="",0,IF(U69="transition",0,IF(U69="SW",AG69,IF(U69="AB",AH69,IF(U69="SC",AI69,IF(U69="Mag",AJ69,IF(U69="OR",AK69,IF(U69="HP",AL69,IF(U69="FP",AM69,0)))))))))</f>
        <v/>
      </c>
      <c r="W69" s="27">
        <f>IF(U69="OR",Upgrades!$F$10,IF(U69="HP",Upgrades!$F$11,IF(U69="transition",-Parameters!$B$18,0)))</f>
        <v/>
      </c>
      <c r="X69" s="22">
        <f>T69-V69</f>
        <v/>
      </c>
      <c r="Y69" s="30">
        <f>M69*Parameters!$B$10/60*Parameters!$B$11+O69*M69+N69</f>
        <v/>
      </c>
      <c r="Z69" s="34">
        <f>IF(U69="transition","→ Tier 2 (Stellar Neighborhood)",IF(U69="FP","First Photons — light begins, system quickens",IF(U69="HP","Heliopause acquired",IF(U69="OR","Orbital Resonance — passive multiplier active",IF(AND(AO69=1,L69=0,AN69&lt;&gt;1),"Cohesion ready (waiting on completionist upgrades)","")))))</f>
        <v/>
      </c>
      <c r="AA69" s="27">
        <f>(IF(E69=0,0,(Upgrades!$G$6+E69*Upgrades!$H$6)*POWER(Upgrades!$I$6,E69)))*(IF(Upgrades!$T$7="Solar Wind",POWER(Upgrades!$U$7,F69),1)*IF(Upgrades!$T$8="Solar Wind",POWER(Upgrades!$U$8,G69),1)*IF(Upgrades!$T$9="Solar Wind",POWER(Upgrades!$U$9,H69),1)*IF(Upgrades!$T$10="Solar Wind",POWER(Upgrades!$U$10,I69),1)*IF(Upgrades!$T$11="Solar Wind",POWER(Upgrades!$U$11,J69),1)*IF(Upgrades!$T$12="Solar Wind",POWER(Upgrades!$U$12,K69),1))*POWER(Upgrades!$P$6,E69)*POWER(Upgrades!$P$7,F69)*POWER(Upgrades!$P$8,G69)*POWER(Upgrades!$P$9,H69)*POWER(Upgrades!$P$10,I69)*POWER(Upgrades!$P$11,J69)*POWER(Upgrades!$P$12,K69)*60</f>
        <v/>
      </c>
      <c r="AB69" s="27">
        <f>(IF(F69=0,0,(Upgrades!$G$7+F69*Upgrades!$H$7)*POWER(Upgrades!$I$7,F69)))*(IF(Upgrades!$T$6="Asteroid Belt",POWER(Upgrades!$U$6,E69),1)*IF(Upgrades!$T$8="Asteroid Belt",POWER(Upgrades!$U$8,G69),1)*IF(Upgrades!$T$9="Asteroid Belt",POWER(Upgrades!$U$9,H69),1)*IF(Upgrades!$T$10="Asteroid Belt",POWER(Upgrades!$U$10,I69),1)*IF(Upgrades!$T$11="Asteroid Belt",POWER(Upgrades!$U$11,J69),1)*IF(Upgrades!$T$12="Asteroid Belt",POWER(Upgrades!$U$12,K69),1))*POWER(Upgrades!$P$6,E69)*POWER(Upgrades!$P$7,F69)*POWER(Upgrades!$P$8,G69)*POWER(Upgrades!$P$9,H69)*POWER(Upgrades!$P$10,I69)*POWER(Upgrades!$P$11,J69)*POWER(Upgrades!$P$12,K69)*60</f>
        <v/>
      </c>
      <c r="AC69" s="27">
        <f>(IF(G69=0,0,(Upgrades!$J$8+G69*Upgrades!$K$8)*POWER(Upgrades!$L$8,G69)))*(IF(Upgrades!$T$6="Stellar Coupling",POWER(Upgrades!$U$6,E69),1)*IF(Upgrades!$T$7="Stellar Coupling",POWER(Upgrades!$U$7,F69),1)*IF(Upgrades!$T$9="Stellar Coupling",POWER(Upgrades!$U$9,H69),1)*IF(Upgrades!$T$10="Stellar Coupling",POWER(Upgrades!$U$10,I69),1)*IF(Upgrades!$T$11="Stellar Coupling",POWER(Upgrades!$U$11,J69),1)*IF(Upgrades!$T$12="Stellar Coupling",POWER(Upgrades!$U$12,K69),1))*POWER(Upgrades!$Q$6,E69)*POWER(Upgrades!$Q$7,F69)*POWER(Upgrades!$Q$8,G69)*POWER(Upgrades!$Q$9,H69)*POWER(Upgrades!$Q$10,I69)*POWER(Upgrades!$Q$11,J69)*POWER(Upgrades!$Q$12,K69)*Parameters!$B$10*Parameters!$B$11</f>
        <v/>
      </c>
      <c r="AD69" s="27">
        <f>(IF(H69=0,0,(Upgrades!$G$9+H69*Upgrades!$H$9)*POWER(Upgrades!$I$9,H69)))*(IF(Upgrades!$T$6="Magnetosphere",POWER(Upgrades!$U$6,E69),1)*IF(Upgrades!$T$7="Magnetosphere",POWER(Upgrades!$U$7,F69),1)*IF(Upgrades!$T$8="Magnetosphere",POWER(Upgrades!$U$8,G69),1)*IF(Upgrades!$T$10="Magnetosphere",POWER(Upgrades!$U$10,I69),1)*IF(Upgrades!$T$11="Magnetosphere",POWER(Upgrades!$U$11,J69),1)*IF(Upgrades!$T$12="Magnetosphere",POWER(Upgrades!$U$12,K69),1))*POWER(Upgrades!$P$6,E69)*POWER(Upgrades!$P$7,F69)*POWER(Upgrades!$P$8,G69)*POWER(Upgrades!$P$9,H69)*POWER(Upgrades!$P$10,I69)*POWER(Upgrades!$P$11,J69)*POWER(Upgrades!$P$12,K69)*60</f>
        <v/>
      </c>
      <c r="AE69" s="27">
        <f>(IF(K69=0,0,(Upgrades!$G$12+K69*Upgrades!$H$12)*POWER(Upgrades!$I$12,K69)))*(IF(Upgrades!$T$6="First Photons",POWER(Upgrades!$U$6,E69),1)*IF(Upgrades!$T$7="First Photons",POWER(Upgrades!$U$7,F69),1)*IF(Upgrades!$T$8="First Photons",POWER(Upgrades!$U$8,G69),1)*IF(Upgrades!$T$9="First Photons",POWER(Upgrades!$U$9,H69),1)*IF(Upgrades!$T$10="First Photons",POWER(Upgrades!$U$10,I69),1)*IF(Upgrades!$T$11="First Photons",POWER(Upgrades!$U$11,J69),1))*POWER(Upgrades!$P$6,E69)*POWER(Upgrades!$P$7,F69)*POWER(Upgrades!$P$8,G69)*POWER(Upgrades!$P$9,H69)*POWER(Upgrades!$P$10,I69)*POWER(Upgrades!$P$11,J69)*POWER(Upgrades!$P$12,K69)*60</f>
        <v/>
      </c>
      <c r="AF69" s="27">
        <f>Parameters!$B$9*POWER(Upgrades!$Q$6,E69)*POWER(Upgrades!$Q$7,F69)*POWER(Upgrades!$Q$8,G69)*POWER(Upgrades!$Q$9,H69)*POWER(Upgrades!$Q$10,I69)*POWER(Upgrades!$Q$11,J69)*POWER(Upgrades!$Q$12,K69)*(Parameters!$B$10*Parameters!$B$11+O69*60)</f>
        <v/>
      </c>
      <c r="AG69" s="22">
        <f>IF(E69&gt;=Upgrades!$E$6,"",Upgrades!$C$6*POWER(Upgrades!$D$6,E69))</f>
        <v/>
      </c>
      <c r="AH69" s="22">
        <f>IF(F69&gt;=Upgrades!$E$7,"",Upgrades!$C$7*POWER(Upgrades!$D$7,F69))</f>
        <v/>
      </c>
      <c r="AI69" s="22">
        <f>IF(G69&gt;=Upgrades!$E$8,"",Upgrades!$C$8*POWER(Upgrades!$D$8,G69))</f>
        <v/>
      </c>
      <c r="AJ69" s="22">
        <f>IF(H69&gt;=Upgrades!$E$9,"",Upgrades!$C$9*POWER(Upgrades!$D$9,H69))</f>
        <v/>
      </c>
      <c r="AK69" s="22">
        <f>IF(I69&gt;=Upgrades!$E$10,"",Upgrades!$C$10*POWER(Upgrades!$D$10,I69))</f>
        <v/>
      </c>
      <c r="AL69" s="22">
        <f>IF(J69&gt;=Upgrades!$E$11,"",Upgrades!$C$11*POWER(Upgrades!$D$11,J69))</f>
        <v/>
      </c>
      <c r="AM69" s="22">
        <f>IF(K69&gt;=Upgrades!$E$12,"",Upgrades!$C$12*POWER(Upgrades!$D$12,K69))</f>
        <v/>
      </c>
      <c r="AN69" s="26">
        <f>IF(AND(D69&gt;=Parameters!$B$18,(H69&gt;=Upgrades!$E$9)*(K69&gt;=Upgrades!$E$12)=1,L69=0),1,"")</f>
        <v/>
      </c>
      <c r="AO69" s="26">
        <f>IF(AND(D69&gt;=Parameters!$B$18,L69=0),1,"")</f>
        <v/>
      </c>
      <c r="AP69" s="22">
        <f>MIN(IF(ISNUMBER(AK69),AK69,9E15),IF(ISNUMBER(AL69),AL69,9E15),IF(ISNUMBER(AM69),AM69,9E15))</f>
        <v/>
      </c>
      <c r="AQ69" s="22">
        <f>MIN(IF(ISNUMBER(AG69),AG69,9E15),IF(ISNUMBER(AH69),AH69,9E15),IF(ISNUMBER(AI69),AI69,9E15),IF(ISNUMBER(AJ69),AJ69,9E15))</f>
        <v/>
      </c>
      <c r="AR69" s="29">
        <f>IF(AW69&gt;Parameters!$B$21*(MAX(IF(AND(NOT(AND(AO69=1,AN69&lt;&gt;1)),ISNUMBER(AG69),AG69&lt;=T69),AS69,0),IF(AND(NOT(AND(AO69=1,AN69&lt;&gt;1)),ISNUMBER(AH69),AH69&lt;=T69),AT69,0),IF(AND(NOT(AND(AO69=1,AN69&lt;&gt;1)),ISNUMBER(AI69),AI69&lt;=T69),AU69,0),IF(AND(ISNUMBER(AJ69),AJ69&lt;=T69),AV69,0))),TRUE,FALSE)</f>
        <v/>
      </c>
      <c r="AS69" s="32">
        <f>IFERROR(Upgrades!$H$6*(POWER(Upgrades!$P$6,E69)*POWER(Upgrades!$P$7,F69)*POWER(Upgrades!$P$8,G69)*POWER(Upgrades!$P$9,H69)*POWER(Upgrades!$P$10,I69)*POWER(Upgrades!$P$11,J69)*POWER(Upgrades!$P$12,K69))*(IF(Upgrades!$T$7="Solar Wind",POWER(Upgrades!$U$7,F69),1)*IF(Upgrades!$T$8="Solar Wind",POWER(Upgrades!$U$8,G69),1)*IF(Upgrades!$T$9="Solar Wind",POWER(Upgrades!$U$9,H69),1)*IF(Upgrades!$T$10="Solar Wind",POWER(Upgrades!$U$10,I69),1)*IF(Upgrades!$T$11="Solar Wind",POWER(Upgrades!$U$11,J69),1)*IF(Upgrades!$T$12="Solar Wind",POWER(Upgrades!$U$12,K69),1))/AG69,0)</f>
        <v/>
      </c>
      <c r="AT69" s="32">
        <f>IFERROR(Upgrades!$H$7*(POWER(Upgrades!$P$6,E69)*POWER(Upgrades!$P$7,F69)*POWER(Upgrades!$P$8,G69)*POWER(Upgrades!$P$9,H69)*POWER(Upgrades!$P$10,I69)*POWER(Upgrades!$P$11,J69)*POWER(Upgrades!$P$12,K69))*(IF(Upgrades!$T$6="Asteroid Belt",POWER(Upgrades!$U$6,E69),1)*IF(Upgrades!$T$8="Asteroid Belt",POWER(Upgrades!$U$8,G69),1)*IF(Upgrades!$T$9="Asteroid Belt",POWER(Upgrades!$U$9,H69),1)*IF(Upgrades!$T$10="Asteroid Belt",POWER(Upgrades!$U$10,I69),1)*IF(Upgrades!$T$11="Asteroid Belt",POWER(Upgrades!$U$11,J69),1)*IF(Upgrades!$T$12="Asteroid Belt",POWER(Upgrades!$U$12,K69),1))/AH69,0)</f>
        <v/>
      </c>
      <c r="AU69" s="32">
        <f>IFERROR(Upgrades!$K$8*(POWER(Upgrades!$Q$6,E69)*POWER(Upgrades!$Q$7,F69)*POWER(Upgrades!$Q$8,G69)*POWER(Upgrades!$Q$9,H69)*POWER(Upgrades!$Q$10,I69)*POWER(Upgrades!$Q$11,J69)*POWER(Upgrades!$Q$12,K69))*(IF(Upgrades!$T$6="Stellar Coupling",POWER(Upgrades!$U$6,E69),1)*IF(Upgrades!$T$7="Stellar Coupling",POWER(Upgrades!$U$7,F69),1)*IF(Upgrades!$T$9="Stellar Coupling",POWER(Upgrades!$U$9,H69),1)*IF(Upgrades!$T$10="Stellar Coupling",POWER(Upgrades!$U$10,I69),1)*IF(Upgrades!$T$11="Stellar Coupling",POWER(Upgrades!$U$11,J69),1)*IF(Upgrades!$T$12="Stellar Coupling",POWER(Upgrades!$U$12,K69),1))*Parameters!$B$10*Parameters!$B$11/60/AI69,0)</f>
        <v/>
      </c>
      <c r="AV69" s="32">
        <f>IFERROR(Upgrades!$H$9*(POWER(Upgrades!$P$6,E69)*POWER(Upgrades!$P$7,F69)*POWER(Upgrades!$P$8,G69)*POWER(Upgrades!$P$9,H69)*POWER(Upgrades!$P$10,I69)*POWER(Upgrades!$P$11,J69)*POWER(Upgrades!$P$12,K69))*(IF(Upgrades!$T$6="Magnetosphere",POWER(Upgrades!$U$6,E69),1)*IF(Upgrades!$T$7="Magnetosphere",POWER(Upgrades!$U$7,F69),1)*IF(Upgrades!$T$8="Magnetosphere",POWER(Upgrades!$U$8,G69),1)*IF(Upgrades!$T$10="Magnetosphere",POWER(Upgrades!$U$10,I69),1)*IF(Upgrades!$T$11="Magnetosphere",POWER(Upgrades!$U$11,J69),1)*IF(Upgrades!$T$12="Magnetosphere",POWER(Upgrades!$U$12,K69),1))/AJ69,0)</f>
        <v/>
      </c>
      <c r="AW69" s="32">
        <f>MAX(IF(I69&gt;0,0,IFERROR(0.25*N69/Upgrades!$C$10,0)),IF(J69&gt;0,0,IFERROR(0.5*((IF(G69=0,0,(Upgrades!$J$8+G69*Upgrades!$K$8)*POWER(Upgrades!$L$8,G69)))*(IF(Upgrades!$T$6="Stellar Coupling",POWER(Upgrades!$U$6,E69),1)*IF(Upgrades!$T$7="Stellar Coupling",POWER(Upgrades!$U$7,F69),1)*IF(Upgrades!$T$9="Stellar Coupling",POWER(Upgrades!$U$9,H69),1)*IF(Upgrades!$T$10="Stellar Coupling",POWER(Upgrades!$U$10,I69),1)*IF(Upgrades!$T$11="Stellar Coupling",POWER(Upgrades!$U$11,J69),1)*IF(Upgrades!$T$12="Stellar Coupling",POWER(Upgrades!$U$12,K69),1))*(POWER(Upgrades!$Q$6,E69)*POWER(Upgrades!$Q$7,F69)*POWER(Upgrades!$Q$8,G69)*POWER(Upgrades!$Q$9,H69)*POWER(Upgrades!$Q$10,I69)*POWER(Upgrades!$Q$11,J69)*POWER(Upgrades!$Q$12,K69))*Parameters!$B$10*Parameters!$B$11/60)/Upgrades!$C$11,0)),IF(K69&gt;0,0,IFERROR((1.0*(POWER(Upgrades!$P$6,E69)*POWER(Upgrades!$P$7,F69)*POWER(Upgrades!$P$8,G69)*POWER(Upgrades!$P$9,H69)*POWER(Upgrades!$P$10,I69)*POWER(Upgrades!$P$11,J69)*POWER(Upgrades!$P$12,K69))+0.20*M69*Parameters!$B$10*Parameters!$B$11/60)/Upgrades!$C$12,0)),IF(AND(ISNUMBER(AG69),AG69&gt;T69),AS69,0),IF(AND(ISNUMBER(AH69),AH69&gt;T69),AT69,0),IF(AND(ISNUMBER(AI69),AI69&gt;T69),AU69,0),IF(AND(ISNUMBER(AJ69),AJ69&gt;T69),AV69,0))</f>
        <v/>
      </c>
      <c r="AX69" s="29">
        <f>IF(AN69=1,"transition",IF(MIN(IF(AND(I69=0,ISNUMBER(AK69),AK69&lt;=T69),AK69,9E15),IF(AND(J69=0,ISNUMBER(AL69),AL69&lt;=T69),AL69,9E15),IF(AND(K69=0,ISNUMBER(AM69),AM69&lt;=T69),AM69,9E15))&lt;9E15,IF(AND(AND(I69=0,ISNUMBER(AK69),AK69&lt;=T69),AK69=MIN(IF(AND(I69=0,ISNUMBER(AK69),AK69&lt;=T69),AK69,9E15),IF(AND(J69=0,ISNUMBER(AL69),AL69&lt;=T69),AL69,9E15),IF(AND(K69=0,ISNUMBER(AM69),AM69&lt;=T69),AM69,9E15))),"OR",IF(AND(AND(J69=0,ISNUMBER(AL69),AL69&lt;=T69),AL69=MIN(IF(AND(I69=0,ISNUMBER(AK69),AK69&lt;=T69),AK69,9E15),IF(AND(J69=0,ISNUMBER(AL69),AL69&lt;=T69),AL69,9E15),IF(AND(K69=0,ISNUMBER(AM69),AM69&lt;=T69),AM69,9E15))),"HP","FP")),IF(AR69=TRUE,"",IF(MAX(IF(AND(NOT(AND(AO69=1,AN69&lt;&gt;1)),ISNUMBER(AG69),AG69&lt;=T69),AS69,0),IF(AND(NOT(AND(AO69=1,AN69&lt;&gt;1)),ISNUMBER(AH69),AH69&lt;=T69),AT69,0),IF(AND(NOT(AND(AO69=1,AN69&lt;&gt;1)),ISNUMBER(AI69),AI69&lt;=T69),AU69,0),IF(AND(ISNUMBER(AJ69),AJ69&lt;=T69),AV69,0))&lt;=0,"",IF(AND(IF(AND(NOT(AND(AO69=1,AN69&lt;&gt;1)),ISNUMBER(AG69),AG69&lt;=T69),AS69,0)&gt;0,IF(AND(NOT(AND(AO69=1,AN69&lt;&gt;1)),ISNUMBER(AG69),AG69&lt;=T69),AS69,0)=MAX(IF(AND(NOT(AND(AO69=1,AN69&lt;&gt;1)),ISNUMBER(AG69),AG69&lt;=T69),AS69,0),IF(AND(NOT(AND(AO69=1,AN69&lt;&gt;1)),ISNUMBER(AH69),AH69&lt;=T69),AT69,0),IF(AND(NOT(AND(AO69=1,AN69&lt;&gt;1)),ISNUMBER(AI69),AI69&lt;=T69),AU69,0),IF(AND(ISNUMBER(AJ69),AJ69&lt;=T69),AV69,0))),"SW",IF(AND(IF(AND(NOT(AND(AO69=1,AN69&lt;&gt;1)),ISNUMBER(AH69),AH69&lt;=T69),AT69,0)&gt;0,IF(AND(NOT(AND(AO69=1,AN69&lt;&gt;1)),ISNUMBER(AH69),AH69&lt;=T69),AT69,0)=MAX(IF(AND(NOT(AND(AO69=1,AN69&lt;&gt;1)),ISNUMBER(AG69),AG69&lt;=T69),AS69,0),IF(AND(NOT(AND(AO69=1,AN69&lt;&gt;1)),ISNUMBER(AH69),AH69&lt;=T69),AT69,0),IF(AND(NOT(AND(AO69=1,AN69&lt;&gt;1)),ISNUMBER(AI69),AI69&lt;=T69),AU69,0),IF(AND(ISNUMBER(AJ69),AJ69&lt;=T69),AV69,0))),"AB",IF(AND(IF(AND(NOT(AND(AO69=1,AN69&lt;&gt;1)),ISNUMBER(AI69),AI69&lt;=T69),AU69,0)&gt;0,IF(AND(NOT(AND(AO69=1,AN69&lt;&gt;1)),ISNUMBER(AI69),AI69&lt;=T69),AU69,0)=MAX(IF(AND(NOT(AND(AO69=1,AN69&lt;&gt;1)),ISNUMBER(AG69),AG69&lt;=T69),AS69,0),IF(AND(NOT(AND(AO69=1,AN69&lt;&gt;1)),ISNUMBER(AH69),AH69&lt;=T69),AT69,0),IF(AND(NOT(AND(AO69=1,AN69&lt;&gt;1)),ISNUMBER(AI69),AI69&lt;=T69),AU69,0),IF(AND(ISNUMBER(AJ69),AJ69&lt;=T69),AV69,0))),"SC","Mag")))))))</f>
        <v/>
      </c>
    </row>
    <row r="70">
      <c r="A70" s="26" t="n">
        <v>65</v>
      </c>
      <c r="B70" s="27">
        <f>A70*10/60</f>
        <v/>
      </c>
      <c r="C70" s="22">
        <f>X69</f>
        <v/>
      </c>
      <c r="D70" s="27">
        <f>D69+W69</f>
        <v/>
      </c>
      <c r="E70" s="26">
        <f>E69+IF(U69="SW",1,0)</f>
        <v/>
      </c>
      <c r="F70" s="26">
        <f>F69+IF(U69="AB",1,0)</f>
        <v/>
      </c>
      <c r="G70" s="26">
        <f>G69+IF(U69="SC",1,0)</f>
        <v/>
      </c>
      <c r="H70" s="26">
        <f>H69+IF(U69="Mag",1,0)</f>
        <v/>
      </c>
      <c r="I70" s="26">
        <f>MAX(I69,IF(U69="OR",1,0))</f>
        <v/>
      </c>
      <c r="J70" s="26">
        <f>MAX(J69,IF(U69="HP",1,0))</f>
        <v/>
      </c>
      <c r="K70" s="26">
        <f>MAX(K69,IF(U69="FP",1,0))</f>
        <v/>
      </c>
      <c r="L70" s="26">
        <f>MAX(L69,IF(U69="transition",1,0))</f>
        <v/>
      </c>
      <c r="M70" s="28">
        <f>(Parameters!$B$9+(IF(E70=0,0,(Upgrades!$J$6+E70*Upgrades!$K$6)*POWER(Upgrades!$L$6,E70)))*(IF(Upgrades!$T$7="Solar Wind",POWER(Upgrades!$U$7,F70),1)*IF(Upgrades!$T$8="Solar Wind",POWER(Upgrades!$U$8,G70),1)*IF(Upgrades!$T$9="Solar Wind",POWER(Upgrades!$U$9,H70),1)*IF(Upgrades!$T$10="Solar Wind",POWER(Upgrades!$U$10,I70),1)*IF(Upgrades!$T$11="Solar Wind",POWER(Upgrades!$U$11,J70),1)*IF(Upgrades!$T$12="Solar Wind",POWER(Upgrades!$U$12,K70),1))+(IF(F70=0,0,(Upgrades!$J$7+F70*Upgrades!$K$7)*POWER(Upgrades!$L$7,F70)))*(IF(Upgrades!$T$6="Asteroid Belt",POWER(Upgrades!$U$6,E70),1)*IF(Upgrades!$T$8="Asteroid Belt",POWER(Upgrades!$U$8,G70),1)*IF(Upgrades!$T$9="Asteroid Belt",POWER(Upgrades!$U$9,H70),1)*IF(Upgrades!$T$10="Asteroid Belt",POWER(Upgrades!$U$10,I70),1)*IF(Upgrades!$T$11="Asteroid Belt",POWER(Upgrades!$U$11,J70),1)*IF(Upgrades!$T$12="Asteroid Belt",POWER(Upgrades!$U$12,K70),1))+(IF(G70=0,0,(Upgrades!$J$8+G70*Upgrades!$K$8)*POWER(Upgrades!$L$8,G70)))*(IF(Upgrades!$T$6="Stellar Coupling",POWER(Upgrades!$U$6,E70),1)*IF(Upgrades!$T$7="Stellar Coupling",POWER(Upgrades!$U$7,F70),1)*IF(Upgrades!$T$9="Stellar Coupling",POWER(Upgrades!$U$9,H70),1)*IF(Upgrades!$T$10="Stellar Coupling",POWER(Upgrades!$U$10,I70),1)*IF(Upgrades!$T$11="Stellar Coupling",POWER(Upgrades!$U$11,J70),1)*IF(Upgrades!$T$12="Stellar Coupling",POWER(Upgrades!$U$12,K70),1))+(IF(H70=0,0,(Upgrades!$J$9+H70*Upgrades!$K$9)*POWER(Upgrades!$L$9,H70)))*(IF(Upgrades!$T$6="Magnetosphere",POWER(Upgrades!$U$6,E70),1)*IF(Upgrades!$T$7="Magnetosphere",POWER(Upgrades!$U$7,F70),1)*IF(Upgrades!$T$8="Magnetosphere",POWER(Upgrades!$U$8,G70),1)*IF(Upgrades!$T$10="Magnetosphere",POWER(Upgrades!$U$10,I70),1)*IF(Upgrades!$T$11="Magnetosphere",POWER(Upgrades!$U$11,J70),1)*IF(Upgrades!$T$12="Magnetosphere",POWER(Upgrades!$U$12,K70),1))+(IF(I70=0,0,(Upgrades!$J$10+I70*Upgrades!$K$10)*POWER(Upgrades!$L$10,I70)))*(IF(Upgrades!$T$6="Orbital Resonance",POWER(Upgrades!$U$6,E70),1)*IF(Upgrades!$T$7="Orbital Resonance",POWER(Upgrades!$U$7,F70),1)*IF(Upgrades!$T$8="Orbital Resonance",POWER(Upgrades!$U$8,G70),1)*IF(Upgrades!$T$9="Orbital Resonance",POWER(Upgrades!$U$9,H70),1)*IF(Upgrades!$T$11="Orbital Resonance",POWER(Upgrades!$U$11,J70),1)*IF(Upgrades!$T$12="Orbital Resonance",POWER(Upgrades!$U$12,K70),1))+(IF(J70=0,0,(Upgrades!$J$11+J70*Upgrades!$K$11)*POWER(Upgrades!$L$11,J70)))*(IF(Upgrades!$T$6="Heliopause",POWER(Upgrades!$U$6,E70),1)*IF(Upgrades!$T$7="Heliopause",POWER(Upgrades!$U$7,F70),1)*IF(Upgrades!$T$8="Heliopause",POWER(Upgrades!$U$8,G70),1)*IF(Upgrades!$T$9="Heliopause",POWER(Upgrades!$U$9,H70),1)*IF(Upgrades!$T$10="Heliopause",POWER(Upgrades!$U$10,I70),1)*IF(Upgrades!$T$12="Heliopause",POWER(Upgrades!$U$12,K70),1))+(IF(K70=0,0,(Upgrades!$J$12+K70*Upgrades!$K$12)*POWER(Upgrades!$L$12,K70)))*(IF(Upgrades!$T$6="First Photons",POWER(Upgrades!$U$6,E70),1)*IF(Upgrades!$T$7="First Photons",POWER(Upgrades!$U$7,F70),1)*IF(Upgrades!$T$8="First Photons",POWER(Upgrades!$U$8,G70),1)*IF(Upgrades!$T$9="First Photons",POWER(Upgrades!$U$9,H70),1)*IF(Upgrades!$T$10="First Photons",POWER(Upgrades!$U$10,I70),1)*IF(Upgrades!$T$11="First Photons",POWER(Upgrades!$U$11,J70),1)))*POWER(Upgrades!$Q$6,E70)*POWER(Upgrades!$Q$7,F70)*POWER(Upgrades!$Q$8,G70)*POWER(Upgrades!$Q$9,H70)*POWER(Upgrades!$Q$10,I70)*POWER(Upgrades!$Q$11,J70)*POWER(Upgrades!$Q$12,K70)</f>
        <v/>
      </c>
      <c r="N70" s="28">
        <f>((IF(E70=0,0,(Upgrades!$G$6+E70*Upgrades!$H$6)*POWER(Upgrades!$I$6,E70)))*(IF(Upgrades!$T$7="Solar Wind",POWER(Upgrades!$U$7,F70),1)*IF(Upgrades!$T$8="Solar Wind",POWER(Upgrades!$U$8,G70),1)*IF(Upgrades!$T$9="Solar Wind",POWER(Upgrades!$U$9,H70),1)*IF(Upgrades!$T$10="Solar Wind",POWER(Upgrades!$U$10,I70),1)*IF(Upgrades!$T$11="Solar Wind",POWER(Upgrades!$U$11,J70),1)*IF(Upgrades!$T$12="Solar Wind",POWER(Upgrades!$U$12,K70),1))+(IF(F70=0,0,(Upgrades!$G$7+F70*Upgrades!$H$7)*POWER(Upgrades!$I$7,F70)))*(IF(Upgrades!$T$6="Asteroid Belt",POWER(Upgrades!$U$6,E70),1)*IF(Upgrades!$T$8="Asteroid Belt",POWER(Upgrades!$U$8,G70),1)*IF(Upgrades!$T$9="Asteroid Belt",POWER(Upgrades!$U$9,H70),1)*IF(Upgrades!$T$10="Asteroid Belt",POWER(Upgrades!$U$10,I70),1)*IF(Upgrades!$T$11="Asteroid Belt",POWER(Upgrades!$U$11,J70),1)*IF(Upgrades!$T$12="Asteroid Belt",POWER(Upgrades!$U$12,K70),1))+(IF(G70=0,0,(Upgrades!$G$8+G70*Upgrades!$H$8)*POWER(Upgrades!$I$8,G70)))*(IF(Upgrades!$T$6="Stellar Coupling",POWER(Upgrades!$U$6,E70),1)*IF(Upgrades!$T$7="Stellar Coupling",POWER(Upgrades!$U$7,F70),1)*IF(Upgrades!$T$9="Stellar Coupling",POWER(Upgrades!$U$9,H70),1)*IF(Upgrades!$T$10="Stellar Coupling",POWER(Upgrades!$U$10,I70),1)*IF(Upgrades!$T$11="Stellar Coupling",POWER(Upgrades!$U$11,J70),1)*IF(Upgrades!$T$12="Stellar Coupling",POWER(Upgrades!$U$12,K70),1))+(IF(H70=0,0,(Upgrades!$G$9+H70*Upgrades!$H$9)*POWER(Upgrades!$I$9,H70)))*(IF(Upgrades!$T$6="Magnetosphere",POWER(Upgrades!$U$6,E70),1)*IF(Upgrades!$T$7="Magnetosphere",POWER(Upgrades!$U$7,F70),1)*IF(Upgrades!$T$8="Magnetosphere",POWER(Upgrades!$U$8,G70),1)*IF(Upgrades!$T$10="Magnetosphere",POWER(Upgrades!$U$10,I70),1)*IF(Upgrades!$T$11="Magnetosphere",POWER(Upgrades!$U$11,J70),1)*IF(Upgrades!$T$12="Magnetosphere",POWER(Upgrades!$U$12,K70),1))+(IF(I70=0,0,(Upgrades!$G$10+I70*Upgrades!$H$10)*POWER(Upgrades!$I$10,I70)))*(IF(Upgrades!$T$6="Orbital Resonance",POWER(Upgrades!$U$6,E70),1)*IF(Upgrades!$T$7="Orbital Resonance",POWER(Upgrades!$U$7,F70),1)*IF(Upgrades!$T$8="Orbital Resonance",POWER(Upgrades!$U$8,G70),1)*IF(Upgrades!$T$9="Orbital Resonance",POWER(Upgrades!$U$9,H70),1)*IF(Upgrades!$T$11="Orbital Resonance",POWER(Upgrades!$U$11,J70),1)*IF(Upgrades!$T$12="Orbital Resonance",POWER(Upgrades!$U$12,K70),1))+(IF(J70=0,0,(Upgrades!$G$11+J70*Upgrades!$H$11)*POWER(Upgrades!$I$11,J70)))*(IF(Upgrades!$T$6="Heliopause",POWER(Upgrades!$U$6,E70),1)*IF(Upgrades!$T$7="Heliopause",POWER(Upgrades!$U$7,F70),1)*IF(Upgrades!$T$8="Heliopause",POWER(Upgrades!$U$8,G70),1)*IF(Upgrades!$T$9="Heliopause",POWER(Upgrades!$U$9,H70),1)*IF(Upgrades!$T$10="Heliopause",POWER(Upgrades!$U$10,I70),1)*IF(Upgrades!$T$12="Heliopause",POWER(Upgrades!$U$12,K70),1))+(IF(K70=0,0,(Upgrades!$G$12+K70*Upgrades!$H$12)*POWER(Upgrades!$I$12,K70)))*(IF(Upgrades!$T$6="First Photons",POWER(Upgrades!$U$6,E70),1)*IF(Upgrades!$T$7="First Photons",POWER(Upgrades!$U$7,F70),1)*IF(Upgrades!$T$8="First Photons",POWER(Upgrades!$U$8,G70),1)*IF(Upgrades!$T$9="First Photons",POWER(Upgrades!$U$9,H70),1)*IF(Upgrades!$T$10="First Photons",POWER(Upgrades!$U$10,I70),1)*IF(Upgrades!$T$11="First Photons",POWER(Upgrades!$U$11,J70),1)))*POWER(Upgrades!$P$6,E70)*POWER(Upgrades!$P$7,F70)*POWER(Upgrades!$P$8,G70)*POWER(Upgrades!$P$9,H70)*POWER(Upgrades!$P$10,I70)*POWER(Upgrades!$P$11,J70)*POWER(Upgrades!$P$12,K70)</f>
        <v/>
      </c>
      <c r="O70" s="28">
        <f>((IF(E70=0,0,(Upgrades!$M$6+E70*Upgrades!$N$6)*POWER(Upgrades!$O$6,E70)))*(IF(Upgrades!$T$7="Solar Wind",POWER(Upgrades!$U$7,F70),1)*IF(Upgrades!$T$8="Solar Wind",POWER(Upgrades!$U$8,G70),1)*IF(Upgrades!$T$9="Solar Wind",POWER(Upgrades!$U$9,H70),1)*IF(Upgrades!$T$10="Solar Wind",POWER(Upgrades!$U$10,I70),1)*IF(Upgrades!$T$11="Solar Wind",POWER(Upgrades!$U$11,J70),1)*IF(Upgrades!$T$12="Solar Wind",POWER(Upgrades!$U$12,K70),1))+(IF(F70=0,0,(Upgrades!$M$7+F70*Upgrades!$N$7)*POWER(Upgrades!$O$7,F70)))*(IF(Upgrades!$T$6="Asteroid Belt",POWER(Upgrades!$U$6,E70),1)*IF(Upgrades!$T$8="Asteroid Belt",POWER(Upgrades!$U$8,G70),1)*IF(Upgrades!$T$9="Asteroid Belt",POWER(Upgrades!$U$9,H70),1)*IF(Upgrades!$T$10="Asteroid Belt",POWER(Upgrades!$U$10,I70),1)*IF(Upgrades!$T$11="Asteroid Belt",POWER(Upgrades!$U$11,J70),1)*IF(Upgrades!$T$12="Asteroid Belt",POWER(Upgrades!$U$12,K70),1))+(IF(G70=0,0,(Upgrades!$M$8+G70*Upgrades!$N$8)*POWER(Upgrades!$O$8,G70)))*(IF(Upgrades!$T$6="Stellar Coupling",POWER(Upgrades!$U$6,E70),1)*IF(Upgrades!$T$7="Stellar Coupling",POWER(Upgrades!$U$7,F70),1)*IF(Upgrades!$T$9="Stellar Coupling",POWER(Upgrades!$U$9,H70),1)*IF(Upgrades!$T$10="Stellar Coupling",POWER(Upgrades!$U$10,I70),1)*IF(Upgrades!$T$11="Stellar Coupling",POWER(Upgrades!$U$11,J70),1)*IF(Upgrades!$T$12="Stellar Coupling",POWER(Upgrades!$U$12,K70),1))+(IF(H70=0,0,(Upgrades!$M$9+H70*Upgrades!$N$9)*POWER(Upgrades!$O$9,H70)))*(IF(Upgrades!$T$6="Magnetosphere",POWER(Upgrades!$U$6,E70),1)*IF(Upgrades!$T$7="Magnetosphere",POWER(Upgrades!$U$7,F70),1)*IF(Upgrades!$T$8="Magnetosphere",POWER(Upgrades!$U$8,G70),1)*IF(Upgrades!$T$10="Magnetosphere",POWER(Upgrades!$U$10,I70),1)*IF(Upgrades!$T$11="Magnetosphere",POWER(Upgrades!$U$11,J70),1)*IF(Upgrades!$T$12="Magnetosphere",POWER(Upgrades!$U$12,K70),1))+(IF(I70=0,0,(Upgrades!$M$10+I70*Upgrades!$N$10)*POWER(Upgrades!$O$10,I70)))*(IF(Upgrades!$T$6="Orbital Resonance",POWER(Upgrades!$U$6,E70),1)*IF(Upgrades!$T$7="Orbital Resonance",POWER(Upgrades!$U$7,F70),1)*IF(Upgrades!$T$8="Orbital Resonance",POWER(Upgrades!$U$8,G70),1)*IF(Upgrades!$T$9="Orbital Resonance",POWER(Upgrades!$U$9,H70),1)*IF(Upgrades!$T$11="Orbital Resonance",POWER(Upgrades!$U$11,J70),1)*IF(Upgrades!$T$12="Orbital Resonance",POWER(Upgrades!$U$12,K70),1))+(IF(J70=0,0,(Upgrades!$M$11+J70*Upgrades!$N$11)*POWER(Upgrades!$O$11,J70)))*(IF(Upgrades!$T$6="Heliopause",POWER(Upgrades!$U$6,E70),1)*IF(Upgrades!$T$7="Heliopause",POWER(Upgrades!$U$7,F70),1)*IF(Upgrades!$T$8="Heliopause",POWER(Upgrades!$U$8,G70),1)*IF(Upgrades!$T$9="Heliopause",POWER(Upgrades!$U$9,H70),1)*IF(Upgrades!$T$10="Heliopause",POWER(Upgrades!$U$10,I70),1)*IF(Upgrades!$T$12="Heliopause",POWER(Upgrades!$U$12,K70),1))+(IF(K70=0,0,(Upgrades!$M$12+K70*Upgrades!$N$12)*POWER(Upgrades!$O$12,K70)))*(IF(Upgrades!$T$6="First Photons",POWER(Upgrades!$U$6,E70),1)*IF(Upgrades!$T$7="First Photons",POWER(Upgrades!$U$7,F70),1)*IF(Upgrades!$T$8="First Photons",POWER(Upgrades!$U$8,G70),1)*IF(Upgrades!$T$9="First Photons",POWER(Upgrades!$U$9,H70),1)*IF(Upgrades!$T$10="First Photons",POWER(Upgrades!$U$10,I70),1)*IF(Upgrades!$T$11="First Photons",POWER(Upgrades!$U$11,J70),1)))*POWER(Upgrades!$R$6,E70)*POWER(Upgrades!$R$7,F70)*POWER(Upgrades!$R$8,G70)*POWER(Upgrades!$R$9,H70)*POWER(Upgrades!$R$10,I70)*POWER(Upgrades!$R$11,J70)*POWER(Upgrades!$R$12,K70)</f>
        <v/>
      </c>
      <c r="P70" s="27">
        <f>IF(L70=1,0,M70*Parameters!$B$10/60*Parameters!$B$11*10)</f>
        <v/>
      </c>
      <c r="Q70" s="27">
        <f>IF(L70=1,0,O70*M70*10)</f>
        <v/>
      </c>
      <c r="R70" s="27">
        <f>IF(L70=1,0,N70*10)</f>
        <v/>
      </c>
      <c r="S70" s="27">
        <f>P70+Q70+R70</f>
        <v/>
      </c>
      <c r="T70" s="22">
        <f>C70+S70</f>
        <v/>
      </c>
      <c r="U70" s="33">
        <f>AX70</f>
        <v/>
      </c>
      <c r="V70" s="22">
        <f>IF(U70="",0,IF(U70="transition",0,IF(U70="SW",AG70,IF(U70="AB",AH70,IF(U70="SC",AI70,IF(U70="Mag",AJ70,IF(U70="OR",AK70,IF(U70="HP",AL70,IF(U70="FP",AM70,0)))))))))</f>
        <v/>
      </c>
      <c r="W70" s="27">
        <f>IF(U70="OR",Upgrades!$F$10,IF(U70="HP",Upgrades!$F$11,IF(U70="transition",-Parameters!$B$18,0)))</f>
        <v/>
      </c>
      <c r="X70" s="22">
        <f>T70-V70</f>
        <v/>
      </c>
      <c r="Y70" s="30">
        <f>M70*Parameters!$B$10/60*Parameters!$B$11+O70*M70+N70</f>
        <v/>
      </c>
      <c r="Z70" s="34">
        <f>IF(U70="transition","→ Tier 2 (Stellar Neighborhood)",IF(U70="FP","First Photons — light begins, system quickens",IF(U70="HP","Heliopause acquired",IF(U70="OR","Orbital Resonance — passive multiplier active",IF(AND(AO70=1,L70=0,AN70&lt;&gt;1),"Cohesion ready (waiting on completionist upgrades)","")))))</f>
        <v/>
      </c>
      <c r="AA70" s="27">
        <f>(IF(E70=0,0,(Upgrades!$G$6+E70*Upgrades!$H$6)*POWER(Upgrades!$I$6,E70)))*(IF(Upgrades!$T$7="Solar Wind",POWER(Upgrades!$U$7,F70),1)*IF(Upgrades!$T$8="Solar Wind",POWER(Upgrades!$U$8,G70),1)*IF(Upgrades!$T$9="Solar Wind",POWER(Upgrades!$U$9,H70),1)*IF(Upgrades!$T$10="Solar Wind",POWER(Upgrades!$U$10,I70),1)*IF(Upgrades!$T$11="Solar Wind",POWER(Upgrades!$U$11,J70),1)*IF(Upgrades!$T$12="Solar Wind",POWER(Upgrades!$U$12,K70),1))*POWER(Upgrades!$P$6,E70)*POWER(Upgrades!$P$7,F70)*POWER(Upgrades!$P$8,G70)*POWER(Upgrades!$P$9,H70)*POWER(Upgrades!$P$10,I70)*POWER(Upgrades!$P$11,J70)*POWER(Upgrades!$P$12,K70)*60</f>
        <v/>
      </c>
      <c r="AB70" s="27">
        <f>(IF(F70=0,0,(Upgrades!$G$7+F70*Upgrades!$H$7)*POWER(Upgrades!$I$7,F70)))*(IF(Upgrades!$T$6="Asteroid Belt",POWER(Upgrades!$U$6,E70),1)*IF(Upgrades!$T$8="Asteroid Belt",POWER(Upgrades!$U$8,G70),1)*IF(Upgrades!$T$9="Asteroid Belt",POWER(Upgrades!$U$9,H70),1)*IF(Upgrades!$T$10="Asteroid Belt",POWER(Upgrades!$U$10,I70),1)*IF(Upgrades!$T$11="Asteroid Belt",POWER(Upgrades!$U$11,J70),1)*IF(Upgrades!$T$12="Asteroid Belt",POWER(Upgrades!$U$12,K70),1))*POWER(Upgrades!$P$6,E70)*POWER(Upgrades!$P$7,F70)*POWER(Upgrades!$P$8,G70)*POWER(Upgrades!$P$9,H70)*POWER(Upgrades!$P$10,I70)*POWER(Upgrades!$P$11,J70)*POWER(Upgrades!$P$12,K70)*60</f>
        <v/>
      </c>
      <c r="AC70" s="27">
        <f>(IF(G70=0,0,(Upgrades!$J$8+G70*Upgrades!$K$8)*POWER(Upgrades!$L$8,G70)))*(IF(Upgrades!$T$6="Stellar Coupling",POWER(Upgrades!$U$6,E70),1)*IF(Upgrades!$T$7="Stellar Coupling",POWER(Upgrades!$U$7,F70),1)*IF(Upgrades!$T$9="Stellar Coupling",POWER(Upgrades!$U$9,H70),1)*IF(Upgrades!$T$10="Stellar Coupling",POWER(Upgrades!$U$10,I70),1)*IF(Upgrades!$T$11="Stellar Coupling",POWER(Upgrades!$U$11,J70),1)*IF(Upgrades!$T$12="Stellar Coupling",POWER(Upgrades!$U$12,K70),1))*POWER(Upgrades!$Q$6,E70)*POWER(Upgrades!$Q$7,F70)*POWER(Upgrades!$Q$8,G70)*POWER(Upgrades!$Q$9,H70)*POWER(Upgrades!$Q$10,I70)*POWER(Upgrades!$Q$11,J70)*POWER(Upgrades!$Q$12,K70)*Parameters!$B$10*Parameters!$B$11</f>
        <v/>
      </c>
      <c r="AD70" s="27">
        <f>(IF(H70=0,0,(Upgrades!$G$9+H70*Upgrades!$H$9)*POWER(Upgrades!$I$9,H70)))*(IF(Upgrades!$T$6="Magnetosphere",POWER(Upgrades!$U$6,E70),1)*IF(Upgrades!$T$7="Magnetosphere",POWER(Upgrades!$U$7,F70),1)*IF(Upgrades!$T$8="Magnetosphere",POWER(Upgrades!$U$8,G70),1)*IF(Upgrades!$T$10="Magnetosphere",POWER(Upgrades!$U$10,I70),1)*IF(Upgrades!$T$11="Magnetosphere",POWER(Upgrades!$U$11,J70),1)*IF(Upgrades!$T$12="Magnetosphere",POWER(Upgrades!$U$12,K70),1))*POWER(Upgrades!$P$6,E70)*POWER(Upgrades!$P$7,F70)*POWER(Upgrades!$P$8,G70)*POWER(Upgrades!$P$9,H70)*POWER(Upgrades!$P$10,I70)*POWER(Upgrades!$P$11,J70)*POWER(Upgrades!$P$12,K70)*60</f>
        <v/>
      </c>
      <c r="AE70" s="27">
        <f>(IF(K70=0,0,(Upgrades!$G$12+K70*Upgrades!$H$12)*POWER(Upgrades!$I$12,K70)))*(IF(Upgrades!$T$6="First Photons",POWER(Upgrades!$U$6,E70),1)*IF(Upgrades!$T$7="First Photons",POWER(Upgrades!$U$7,F70),1)*IF(Upgrades!$T$8="First Photons",POWER(Upgrades!$U$8,G70),1)*IF(Upgrades!$T$9="First Photons",POWER(Upgrades!$U$9,H70),1)*IF(Upgrades!$T$10="First Photons",POWER(Upgrades!$U$10,I70),1)*IF(Upgrades!$T$11="First Photons",POWER(Upgrades!$U$11,J70),1))*POWER(Upgrades!$P$6,E70)*POWER(Upgrades!$P$7,F70)*POWER(Upgrades!$P$8,G70)*POWER(Upgrades!$P$9,H70)*POWER(Upgrades!$P$10,I70)*POWER(Upgrades!$P$11,J70)*POWER(Upgrades!$P$12,K70)*60</f>
        <v/>
      </c>
      <c r="AF70" s="27">
        <f>Parameters!$B$9*POWER(Upgrades!$Q$6,E70)*POWER(Upgrades!$Q$7,F70)*POWER(Upgrades!$Q$8,G70)*POWER(Upgrades!$Q$9,H70)*POWER(Upgrades!$Q$10,I70)*POWER(Upgrades!$Q$11,J70)*POWER(Upgrades!$Q$12,K70)*(Parameters!$B$10*Parameters!$B$11+O70*60)</f>
        <v/>
      </c>
      <c r="AG70" s="22">
        <f>IF(E70&gt;=Upgrades!$E$6,"",Upgrades!$C$6*POWER(Upgrades!$D$6,E70))</f>
        <v/>
      </c>
      <c r="AH70" s="22">
        <f>IF(F70&gt;=Upgrades!$E$7,"",Upgrades!$C$7*POWER(Upgrades!$D$7,F70))</f>
        <v/>
      </c>
      <c r="AI70" s="22">
        <f>IF(G70&gt;=Upgrades!$E$8,"",Upgrades!$C$8*POWER(Upgrades!$D$8,G70))</f>
        <v/>
      </c>
      <c r="AJ70" s="22">
        <f>IF(H70&gt;=Upgrades!$E$9,"",Upgrades!$C$9*POWER(Upgrades!$D$9,H70))</f>
        <v/>
      </c>
      <c r="AK70" s="22">
        <f>IF(I70&gt;=Upgrades!$E$10,"",Upgrades!$C$10*POWER(Upgrades!$D$10,I70))</f>
        <v/>
      </c>
      <c r="AL70" s="22">
        <f>IF(J70&gt;=Upgrades!$E$11,"",Upgrades!$C$11*POWER(Upgrades!$D$11,J70))</f>
        <v/>
      </c>
      <c r="AM70" s="22">
        <f>IF(K70&gt;=Upgrades!$E$12,"",Upgrades!$C$12*POWER(Upgrades!$D$12,K70))</f>
        <v/>
      </c>
      <c r="AN70" s="26">
        <f>IF(AND(D70&gt;=Parameters!$B$18,(H70&gt;=Upgrades!$E$9)*(K70&gt;=Upgrades!$E$12)=1,L70=0),1,"")</f>
        <v/>
      </c>
      <c r="AO70" s="26">
        <f>IF(AND(D70&gt;=Parameters!$B$18,L70=0),1,"")</f>
        <v/>
      </c>
      <c r="AP70" s="22">
        <f>MIN(IF(ISNUMBER(AK70),AK70,9E15),IF(ISNUMBER(AL70),AL70,9E15),IF(ISNUMBER(AM70),AM70,9E15))</f>
        <v/>
      </c>
      <c r="AQ70" s="22">
        <f>MIN(IF(ISNUMBER(AG70),AG70,9E15),IF(ISNUMBER(AH70),AH70,9E15),IF(ISNUMBER(AI70),AI70,9E15),IF(ISNUMBER(AJ70),AJ70,9E15))</f>
        <v/>
      </c>
      <c r="AR70" s="29">
        <f>IF(AW70&gt;Parameters!$B$21*(MAX(IF(AND(NOT(AND(AO70=1,AN70&lt;&gt;1)),ISNUMBER(AG70),AG70&lt;=T70),AS70,0),IF(AND(NOT(AND(AO70=1,AN70&lt;&gt;1)),ISNUMBER(AH70),AH70&lt;=T70),AT70,0),IF(AND(NOT(AND(AO70=1,AN70&lt;&gt;1)),ISNUMBER(AI70),AI70&lt;=T70),AU70,0),IF(AND(ISNUMBER(AJ70),AJ70&lt;=T70),AV70,0))),TRUE,FALSE)</f>
        <v/>
      </c>
      <c r="AS70" s="32">
        <f>IFERROR(Upgrades!$H$6*(POWER(Upgrades!$P$6,E70)*POWER(Upgrades!$P$7,F70)*POWER(Upgrades!$P$8,G70)*POWER(Upgrades!$P$9,H70)*POWER(Upgrades!$P$10,I70)*POWER(Upgrades!$P$11,J70)*POWER(Upgrades!$P$12,K70))*(IF(Upgrades!$T$7="Solar Wind",POWER(Upgrades!$U$7,F70),1)*IF(Upgrades!$T$8="Solar Wind",POWER(Upgrades!$U$8,G70),1)*IF(Upgrades!$T$9="Solar Wind",POWER(Upgrades!$U$9,H70),1)*IF(Upgrades!$T$10="Solar Wind",POWER(Upgrades!$U$10,I70),1)*IF(Upgrades!$T$11="Solar Wind",POWER(Upgrades!$U$11,J70),1)*IF(Upgrades!$T$12="Solar Wind",POWER(Upgrades!$U$12,K70),1))/AG70,0)</f>
        <v/>
      </c>
      <c r="AT70" s="32">
        <f>IFERROR(Upgrades!$H$7*(POWER(Upgrades!$P$6,E70)*POWER(Upgrades!$P$7,F70)*POWER(Upgrades!$P$8,G70)*POWER(Upgrades!$P$9,H70)*POWER(Upgrades!$P$10,I70)*POWER(Upgrades!$P$11,J70)*POWER(Upgrades!$P$12,K70))*(IF(Upgrades!$T$6="Asteroid Belt",POWER(Upgrades!$U$6,E70),1)*IF(Upgrades!$T$8="Asteroid Belt",POWER(Upgrades!$U$8,G70),1)*IF(Upgrades!$T$9="Asteroid Belt",POWER(Upgrades!$U$9,H70),1)*IF(Upgrades!$T$10="Asteroid Belt",POWER(Upgrades!$U$10,I70),1)*IF(Upgrades!$T$11="Asteroid Belt",POWER(Upgrades!$U$11,J70),1)*IF(Upgrades!$T$12="Asteroid Belt",POWER(Upgrades!$U$12,K70),1))/AH70,0)</f>
        <v/>
      </c>
      <c r="AU70" s="32">
        <f>IFERROR(Upgrades!$K$8*(POWER(Upgrades!$Q$6,E70)*POWER(Upgrades!$Q$7,F70)*POWER(Upgrades!$Q$8,G70)*POWER(Upgrades!$Q$9,H70)*POWER(Upgrades!$Q$10,I70)*POWER(Upgrades!$Q$11,J70)*POWER(Upgrades!$Q$12,K70))*(IF(Upgrades!$T$6="Stellar Coupling",POWER(Upgrades!$U$6,E70),1)*IF(Upgrades!$T$7="Stellar Coupling",POWER(Upgrades!$U$7,F70),1)*IF(Upgrades!$T$9="Stellar Coupling",POWER(Upgrades!$U$9,H70),1)*IF(Upgrades!$T$10="Stellar Coupling",POWER(Upgrades!$U$10,I70),1)*IF(Upgrades!$T$11="Stellar Coupling",POWER(Upgrades!$U$11,J70),1)*IF(Upgrades!$T$12="Stellar Coupling",POWER(Upgrades!$U$12,K70),1))*Parameters!$B$10*Parameters!$B$11/60/AI70,0)</f>
        <v/>
      </c>
      <c r="AV70" s="32">
        <f>IFERROR(Upgrades!$H$9*(POWER(Upgrades!$P$6,E70)*POWER(Upgrades!$P$7,F70)*POWER(Upgrades!$P$8,G70)*POWER(Upgrades!$P$9,H70)*POWER(Upgrades!$P$10,I70)*POWER(Upgrades!$P$11,J70)*POWER(Upgrades!$P$12,K70))*(IF(Upgrades!$T$6="Magnetosphere",POWER(Upgrades!$U$6,E70),1)*IF(Upgrades!$T$7="Magnetosphere",POWER(Upgrades!$U$7,F70),1)*IF(Upgrades!$T$8="Magnetosphere",POWER(Upgrades!$U$8,G70),1)*IF(Upgrades!$T$10="Magnetosphere",POWER(Upgrades!$U$10,I70),1)*IF(Upgrades!$T$11="Magnetosphere",POWER(Upgrades!$U$11,J70),1)*IF(Upgrades!$T$12="Magnetosphere",POWER(Upgrades!$U$12,K70),1))/AJ70,0)</f>
        <v/>
      </c>
      <c r="AW70" s="32">
        <f>MAX(IF(I70&gt;0,0,IFERROR(0.25*N70/Upgrades!$C$10,0)),IF(J70&gt;0,0,IFERROR(0.5*((IF(G70=0,0,(Upgrades!$J$8+G70*Upgrades!$K$8)*POWER(Upgrades!$L$8,G70)))*(IF(Upgrades!$T$6="Stellar Coupling",POWER(Upgrades!$U$6,E70),1)*IF(Upgrades!$T$7="Stellar Coupling",POWER(Upgrades!$U$7,F70),1)*IF(Upgrades!$T$9="Stellar Coupling",POWER(Upgrades!$U$9,H70),1)*IF(Upgrades!$T$10="Stellar Coupling",POWER(Upgrades!$U$10,I70),1)*IF(Upgrades!$T$11="Stellar Coupling",POWER(Upgrades!$U$11,J70),1)*IF(Upgrades!$T$12="Stellar Coupling",POWER(Upgrades!$U$12,K70),1))*(POWER(Upgrades!$Q$6,E70)*POWER(Upgrades!$Q$7,F70)*POWER(Upgrades!$Q$8,G70)*POWER(Upgrades!$Q$9,H70)*POWER(Upgrades!$Q$10,I70)*POWER(Upgrades!$Q$11,J70)*POWER(Upgrades!$Q$12,K70))*Parameters!$B$10*Parameters!$B$11/60)/Upgrades!$C$11,0)),IF(K70&gt;0,0,IFERROR((1.0*(POWER(Upgrades!$P$6,E70)*POWER(Upgrades!$P$7,F70)*POWER(Upgrades!$P$8,G70)*POWER(Upgrades!$P$9,H70)*POWER(Upgrades!$P$10,I70)*POWER(Upgrades!$P$11,J70)*POWER(Upgrades!$P$12,K70))+0.20*M70*Parameters!$B$10*Parameters!$B$11/60)/Upgrades!$C$12,0)),IF(AND(ISNUMBER(AG70),AG70&gt;T70),AS70,0),IF(AND(ISNUMBER(AH70),AH70&gt;T70),AT70,0),IF(AND(ISNUMBER(AI70),AI70&gt;T70),AU70,0),IF(AND(ISNUMBER(AJ70),AJ70&gt;T70),AV70,0))</f>
        <v/>
      </c>
      <c r="AX70" s="29">
        <f>IF(AN70=1,"transition",IF(MIN(IF(AND(I70=0,ISNUMBER(AK70),AK70&lt;=T70),AK70,9E15),IF(AND(J70=0,ISNUMBER(AL70),AL70&lt;=T70),AL70,9E15),IF(AND(K70=0,ISNUMBER(AM70),AM70&lt;=T70),AM70,9E15))&lt;9E15,IF(AND(AND(I70=0,ISNUMBER(AK70),AK70&lt;=T70),AK70=MIN(IF(AND(I70=0,ISNUMBER(AK70),AK70&lt;=T70),AK70,9E15),IF(AND(J70=0,ISNUMBER(AL70),AL70&lt;=T70),AL70,9E15),IF(AND(K70=0,ISNUMBER(AM70),AM70&lt;=T70),AM70,9E15))),"OR",IF(AND(AND(J70=0,ISNUMBER(AL70),AL70&lt;=T70),AL70=MIN(IF(AND(I70=0,ISNUMBER(AK70),AK70&lt;=T70),AK70,9E15),IF(AND(J70=0,ISNUMBER(AL70),AL70&lt;=T70),AL70,9E15),IF(AND(K70=0,ISNUMBER(AM70),AM70&lt;=T70),AM70,9E15))),"HP","FP")),IF(AR70=TRUE,"",IF(MAX(IF(AND(NOT(AND(AO70=1,AN70&lt;&gt;1)),ISNUMBER(AG70),AG70&lt;=T70),AS70,0),IF(AND(NOT(AND(AO70=1,AN70&lt;&gt;1)),ISNUMBER(AH70),AH70&lt;=T70),AT70,0),IF(AND(NOT(AND(AO70=1,AN70&lt;&gt;1)),ISNUMBER(AI70),AI70&lt;=T70),AU70,0),IF(AND(ISNUMBER(AJ70),AJ70&lt;=T70),AV70,0))&lt;=0,"",IF(AND(IF(AND(NOT(AND(AO70=1,AN70&lt;&gt;1)),ISNUMBER(AG70),AG70&lt;=T70),AS70,0)&gt;0,IF(AND(NOT(AND(AO70=1,AN70&lt;&gt;1)),ISNUMBER(AG70),AG70&lt;=T70),AS70,0)=MAX(IF(AND(NOT(AND(AO70=1,AN70&lt;&gt;1)),ISNUMBER(AG70),AG70&lt;=T70),AS70,0),IF(AND(NOT(AND(AO70=1,AN70&lt;&gt;1)),ISNUMBER(AH70),AH70&lt;=T70),AT70,0),IF(AND(NOT(AND(AO70=1,AN70&lt;&gt;1)),ISNUMBER(AI70),AI70&lt;=T70),AU70,0),IF(AND(ISNUMBER(AJ70),AJ70&lt;=T70),AV70,0))),"SW",IF(AND(IF(AND(NOT(AND(AO70=1,AN70&lt;&gt;1)),ISNUMBER(AH70),AH70&lt;=T70),AT70,0)&gt;0,IF(AND(NOT(AND(AO70=1,AN70&lt;&gt;1)),ISNUMBER(AH70),AH70&lt;=T70),AT70,0)=MAX(IF(AND(NOT(AND(AO70=1,AN70&lt;&gt;1)),ISNUMBER(AG70),AG70&lt;=T70),AS70,0),IF(AND(NOT(AND(AO70=1,AN70&lt;&gt;1)),ISNUMBER(AH70),AH70&lt;=T70),AT70,0),IF(AND(NOT(AND(AO70=1,AN70&lt;&gt;1)),ISNUMBER(AI70),AI70&lt;=T70),AU70,0),IF(AND(ISNUMBER(AJ70),AJ70&lt;=T70),AV70,0))),"AB",IF(AND(IF(AND(NOT(AND(AO70=1,AN70&lt;&gt;1)),ISNUMBER(AI70),AI70&lt;=T70),AU70,0)&gt;0,IF(AND(NOT(AND(AO70=1,AN70&lt;&gt;1)),ISNUMBER(AI70),AI70&lt;=T70),AU70,0)=MAX(IF(AND(NOT(AND(AO70=1,AN70&lt;&gt;1)),ISNUMBER(AG70),AG70&lt;=T70),AS70,0),IF(AND(NOT(AND(AO70=1,AN70&lt;&gt;1)),ISNUMBER(AH70),AH70&lt;=T70),AT70,0),IF(AND(NOT(AND(AO70=1,AN70&lt;&gt;1)),ISNUMBER(AI70),AI70&lt;=T70),AU70,0),IF(AND(ISNUMBER(AJ70),AJ70&lt;=T70),AV70,0))),"SC","Mag")))))))</f>
        <v/>
      </c>
    </row>
    <row r="71">
      <c r="A71" s="26" t="n">
        <v>66</v>
      </c>
      <c r="B71" s="27">
        <f>A71*10/60</f>
        <v/>
      </c>
      <c r="C71" s="22">
        <f>X70</f>
        <v/>
      </c>
      <c r="D71" s="27">
        <f>D70+W70</f>
        <v/>
      </c>
      <c r="E71" s="26">
        <f>E70+IF(U70="SW",1,0)</f>
        <v/>
      </c>
      <c r="F71" s="26">
        <f>F70+IF(U70="AB",1,0)</f>
        <v/>
      </c>
      <c r="G71" s="26">
        <f>G70+IF(U70="SC",1,0)</f>
        <v/>
      </c>
      <c r="H71" s="26">
        <f>H70+IF(U70="Mag",1,0)</f>
        <v/>
      </c>
      <c r="I71" s="26">
        <f>MAX(I70,IF(U70="OR",1,0))</f>
        <v/>
      </c>
      <c r="J71" s="26">
        <f>MAX(J70,IF(U70="HP",1,0))</f>
        <v/>
      </c>
      <c r="K71" s="26">
        <f>MAX(K70,IF(U70="FP",1,0))</f>
        <v/>
      </c>
      <c r="L71" s="26">
        <f>MAX(L70,IF(U70="transition",1,0))</f>
        <v/>
      </c>
      <c r="M71" s="28">
        <f>(Parameters!$B$9+(IF(E71=0,0,(Upgrades!$J$6+E71*Upgrades!$K$6)*POWER(Upgrades!$L$6,E71)))*(IF(Upgrades!$T$7="Solar Wind",POWER(Upgrades!$U$7,F71),1)*IF(Upgrades!$T$8="Solar Wind",POWER(Upgrades!$U$8,G71),1)*IF(Upgrades!$T$9="Solar Wind",POWER(Upgrades!$U$9,H71),1)*IF(Upgrades!$T$10="Solar Wind",POWER(Upgrades!$U$10,I71),1)*IF(Upgrades!$T$11="Solar Wind",POWER(Upgrades!$U$11,J71),1)*IF(Upgrades!$T$12="Solar Wind",POWER(Upgrades!$U$12,K71),1))+(IF(F71=0,0,(Upgrades!$J$7+F71*Upgrades!$K$7)*POWER(Upgrades!$L$7,F71)))*(IF(Upgrades!$T$6="Asteroid Belt",POWER(Upgrades!$U$6,E71),1)*IF(Upgrades!$T$8="Asteroid Belt",POWER(Upgrades!$U$8,G71),1)*IF(Upgrades!$T$9="Asteroid Belt",POWER(Upgrades!$U$9,H71),1)*IF(Upgrades!$T$10="Asteroid Belt",POWER(Upgrades!$U$10,I71),1)*IF(Upgrades!$T$11="Asteroid Belt",POWER(Upgrades!$U$11,J71),1)*IF(Upgrades!$T$12="Asteroid Belt",POWER(Upgrades!$U$12,K71),1))+(IF(G71=0,0,(Upgrades!$J$8+G71*Upgrades!$K$8)*POWER(Upgrades!$L$8,G71)))*(IF(Upgrades!$T$6="Stellar Coupling",POWER(Upgrades!$U$6,E71),1)*IF(Upgrades!$T$7="Stellar Coupling",POWER(Upgrades!$U$7,F71),1)*IF(Upgrades!$T$9="Stellar Coupling",POWER(Upgrades!$U$9,H71),1)*IF(Upgrades!$T$10="Stellar Coupling",POWER(Upgrades!$U$10,I71),1)*IF(Upgrades!$T$11="Stellar Coupling",POWER(Upgrades!$U$11,J71),1)*IF(Upgrades!$T$12="Stellar Coupling",POWER(Upgrades!$U$12,K71),1))+(IF(H71=0,0,(Upgrades!$J$9+H71*Upgrades!$K$9)*POWER(Upgrades!$L$9,H71)))*(IF(Upgrades!$T$6="Magnetosphere",POWER(Upgrades!$U$6,E71),1)*IF(Upgrades!$T$7="Magnetosphere",POWER(Upgrades!$U$7,F71),1)*IF(Upgrades!$T$8="Magnetosphere",POWER(Upgrades!$U$8,G71),1)*IF(Upgrades!$T$10="Magnetosphere",POWER(Upgrades!$U$10,I71),1)*IF(Upgrades!$T$11="Magnetosphere",POWER(Upgrades!$U$11,J71),1)*IF(Upgrades!$T$12="Magnetosphere",POWER(Upgrades!$U$12,K71),1))+(IF(I71=0,0,(Upgrades!$J$10+I71*Upgrades!$K$10)*POWER(Upgrades!$L$10,I71)))*(IF(Upgrades!$T$6="Orbital Resonance",POWER(Upgrades!$U$6,E71),1)*IF(Upgrades!$T$7="Orbital Resonance",POWER(Upgrades!$U$7,F71),1)*IF(Upgrades!$T$8="Orbital Resonance",POWER(Upgrades!$U$8,G71),1)*IF(Upgrades!$T$9="Orbital Resonance",POWER(Upgrades!$U$9,H71),1)*IF(Upgrades!$T$11="Orbital Resonance",POWER(Upgrades!$U$11,J71),1)*IF(Upgrades!$T$12="Orbital Resonance",POWER(Upgrades!$U$12,K71),1))+(IF(J71=0,0,(Upgrades!$J$11+J71*Upgrades!$K$11)*POWER(Upgrades!$L$11,J71)))*(IF(Upgrades!$T$6="Heliopause",POWER(Upgrades!$U$6,E71),1)*IF(Upgrades!$T$7="Heliopause",POWER(Upgrades!$U$7,F71),1)*IF(Upgrades!$T$8="Heliopause",POWER(Upgrades!$U$8,G71),1)*IF(Upgrades!$T$9="Heliopause",POWER(Upgrades!$U$9,H71),1)*IF(Upgrades!$T$10="Heliopause",POWER(Upgrades!$U$10,I71),1)*IF(Upgrades!$T$12="Heliopause",POWER(Upgrades!$U$12,K71),1))+(IF(K71=0,0,(Upgrades!$J$12+K71*Upgrades!$K$12)*POWER(Upgrades!$L$12,K71)))*(IF(Upgrades!$T$6="First Photons",POWER(Upgrades!$U$6,E71),1)*IF(Upgrades!$T$7="First Photons",POWER(Upgrades!$U$7,F71),1)*IF(Upgrades!$T$8="First Photons",POWER(Upgrades!$U$8,G71),1)*IF(Upgrades!$T$9="First Photons",POWER(Upgrades!$U$9,H71),1)*IF(Upgrades!$T$10="First Photons",POWER(Upgrades!$U$10,I71),1)*IF(Upgrades!$T$11="First Photons",POWER(Upgrades!$U$11,J71),1)))*POWER(Upgrades!$Q$6,E71)*POWER(Upgrades!$Q$7,F71)*POWER(Upgrades!$Q$8,G71)*POWER(Upgrades!$Q$9,H71)*POWER(Upgrades!$Q$10,I71)*POWER(Upgrades!$Q$11,J71)*POWER(Upgrades!$Q$12,K71)</f>
        <v/>
      </c>
      <c r="N71" s="28">
        <f>((IF(E71=0,0,(Upgrades!$G$6+E71*Upgrades!$H$6)*POWER(Upgrades!$I$6,E71)))*(IF(Upgrades!$T$7="Solar Wind",POWER(Upgrades!$U$7,F71),1)*IF(Upgrades!$T$8="Solar Wind",POWER(Upgrades!$U$8,G71),1)*IF(Upgrades!$T$9="Solar Wind",POWER(Upgrades!$U$9,H71),1)*IF(Upgrades!$T$10="Solar Wind",POWER(Upgrades!$U$10,I71),1)*IF(Upgrades!$T$11="Solar Wind",POWER(Upgrades!$U$11,J71),1)*IF(Upgrades!$T$12="Solar Wind",POWER(Upgrades!$U$12,K71),1))+(IF(F71=0,0,(Upgrades!$G$7+F71*Upgrades!$H$7)*POWER(Upgrades!$I$7,F71)))*(IF(Upgrades!$T$6="Asteroid Belt",POWER(Upgrades!$U$6,E71),1)*IF(Upgrades!$T$8="Asteroid Belt",POWER(Upgrades!$U$8,G71),1)*IF(Upgrades!$T$9="Asteroid Belt",POWER(Upgrades!$U$9,H71),1)*IF(Upgrades!$T$10="Asteroid Belt",POWER(Upgrades!$U$10,I71),1)*IF(Upgrades!$T$11="Asteroid Belt",POWER(Upgrades!$U$11,J71),1)*IF(Upgrades!$T$12="Asteroid Belt",POWER(Upgrades!$U$12,K71),1))+(IF(G71=0,0,(Upgrades!$G$8+G71*Upgrades!$H$8)*POWER(Upgrades!$I$8,G71)))*(IF(Upgrades!$T$6="Stellar Coupling",POWER(Upgrades!$U$6,E71),1)*IF(Upgrades!$T$7="Stellar Coupling",POWER(Upgrades!$U$7,F71),1)*IF(Upgrades!$T$9="Stellar Coupling",POWER(Upgrades!$U$9,H71),1)*IF(Upgrades!$T$10="Stellar Coupling",POWER(Upgrades!$U$10,I71),1)*IF(Upgrades!$T$11="Stellar Coupling",POWER(Upgrades!$U$11,J71),1)*IF(Upgrades!$T$12="Stellar Coupling",POWER(Upgrades!$U$12,K71),1))+(IF(H71=0,0,(Upgrades!$G$9+H71*Upgrades!$H$9)*POWER(Upgrades!$I$9,H71)))*(IF(Upgrades!$T$6="Magnetosphere",POWER(Upgrades!$U$6,E71),1)*IF(Upgrades!$T$7="Magnetosphere",POWER(Upgrades!$U$7,F71),1)*IF(Upgrades!$T$8="Magnetosphere",POWER(Upgrades!$U$8,G71),1)*IF(Upgrades!$T$10="Magnetosphere",POWER(Upgrades!$U$10,I71),1)*IF(Upgrades!$T$11="Magnetosphere",POWER(Upgrades!$U$11,J71),1)*IF(Upgrades!$T$12="Magnetosphere",POWER(Upgrades!$U$12,K71),1))+(IF(I71=0,0,(Upgrades!$G$10+I71*Upgrades!$H$10)*POWER(Upgrades!$I$10,I71)))*(IF(Upgrades!$T$6="Orbital Resonance",POWER(Upgrades!$U$6,E71),1)*IF(Upgrades!$T$7="Orbital Resonance",POWER(Upgrades!$U$7,F71),1)*IF(Upgrades!$T$8="Orbital Resonance",POWER(Upgrades!$U$8,G71),1)*IF(Upgrades!$T$9="Orbital Resonance",POWER(Upgrades!$U$9,H71),1)*IF(Upgrades!$T$11="Orbital Resonance",POWER(Upgrades!$U$11,J71),1)*IF(Upgrades!$T$12="Orbital Resonance",POWER(Upgrades!$U$12,K71),1))+(IF(J71=0,0,(Upgrades!$G$11+J71*Upgrades!$H$11)*POWER(Upgrades!$I$11,J71)))*(IF(Upgrades!$T$6="Heliopause",POWER(Upgrades!$U$6,E71),1)*IF(Upgrades!$T$7="Heliopause",POWER(Upgrades!$U$7,F71),1)*IF(Upgrades!$T$8="Heliopause",POWER(Upgrades!$U$8,G71),1)*IF(Upgrades!$T$9="Heliopause",POWER(Upgrades!$U$9,H71),1)*IF(Upgrades!$T$10="Heliopause",POWER(Upgrades!$U$10,I71),1)*IF(Upgrades!$T$12="Heliopause",POWER(Upgrades!$U$12,K71),1))+(IF(K71=0,0,(Upgrades!$G$12+K71*Upgrades!$H$12)*POWER(Upgrades!$I$12,K71)))*(IF(Upgrades!$T$6="First Photons",POWER(Upgrades!$U$6,E71),1)*IF(Upgrades!$T$7="First Photons",POWER(Upgrades!$U$7,F71),1)*IF(Upgrades!$T$8="First Photons",POWER(Upgrades!$U$8,G71),1)*IF(Upgrades!$T$9="First Photons",POWER(Upgrades!$U$9,H71),1)*IF(Upgrades!$T$10="First Photons",POWER(Upgrades!$U$10,I71),1)*IF(Upgrades!$T$11="First Photons",POWER(Upgrades!$U$11,J71),1)))*POWER(Upgrades!$P$6,E71)*POWER(Upgrades!$P$7,F71)*POWER(Upgrades!$P$8,G71)*POWER(Upgrades!$P$9,H71)*POWER(Upgrades!$P$10,I71)*POWER(Upgrades!$P$11,J71)*POWER(Upgrades!$P$12,K71)</f>
        <v/>
      </c>
      <c r="O71" s="28">
        <f>((IF(E71=0,0,(Upgrades!$M$6+E71*Upgrades!$N$6)*POWER(Upgrades!$O$6,E71)))*(IF(Upgrades!$T$7="Solar Wind",POWER(Upgrades!$U$7,F71),1)*IF(Upgrades!$T$8="Solar Wind",POWER(Upgrades!$U$8,G71),1)*IF(Upgrades!$T$9="Solar Wind",POWER(Upgrades!$U$9,H71),1)*IF(Upgrades!$T$10="Solar Wind",POWER(Upgrades!$U$10,I71),1)*IF(Upgrades!$T$11="Solar Wind",POWER(Upgrades!$U$11,J71),1)*IF(Upgrades!$T$12="Solar Wind",POWER(Upgrades!$U$12,K71),1))+(IF(F71=0,0,(Upgrades!$M$7+F71*Upgrades!$N$7)*POWER(Upgrades!$O$7,F71)))*(IF(Upgrades!$T$6="Asteroid Belt",POWER(Upgrades!$U$6,E71),1)*IF(Upgrades!$T$8="Asteroid Belt",POWER(Upgrades!$U$8,G71),1)*IF(Upgrades!$T$9="Asteroid Belt",POWER(Upgrades!$U$9,H71),1)*IF(Upgrades!$T$10="Asteroid Belt",POWER(Upgrades!$U$10,I71),1)*IF(Upgrades!$T$11="Asteroid Belt",POWER(Upgrades!$U$11,J71),1)*IF(Upgrades!$T$12="Asteroid Belt",POWER(Upgrades!$U$12,K71),1))+(IF(G71=0,0,(Upgrades!$M$8+G71*Upgrades!$N$8)*POWER(Upgrades!$O$8,G71)))*(IF(Upgrades!$T$6="Stellar Coupling",POWER(Upgrades!$U$6,E71),1)*IF(Upgrades!$T$7="Stellar Coupling",POWER(Upgrades!$U$7,F71),1)*IF(Upgrades!$T$9="Stellar Coupling",POWER(Upgrades!$U$9,H71),1)*IF(Upgrades!$T$10="Stellar Coupling",POWER(Upgrades!$U$10,I71),1)*IF(Upgrades!$T$11="Stellar Coupling",POWER(Upgrades!$U$11,J71),1)*IF(Upgrades!$T$12="Stellar Coupling",POWER(Upgrades!$U$12,K71),1))+(IF(H71=0,0,(Upgrades!$M$9+H71*Upgrades!$N$9)*POWER(Upgrades!$O$9,H71)))*(IF(Upgrades!$T$6="Magnetosphere",POWER(Upgrades!$U$6,E71),1)*IF(Upgrades!$T$7="Magnetosphere",POWER(Upgrades!$U$7,F71),1)*IF(Upgrades!$T$8="Magnetosphere",POWER(Upgrades!$U$8,G71),1)*IF(Upgrades!$T$10="Magnetosphere",POWER(Upgrades!$U$10,I71),1)*IF(Upgrades!$T$11="Magnetosphere",POWER(Upgrades!$U$11,J71),1)*IF(Upgrades!$T$12="Magnetosphere",POWER(Upgrades!$U$12,K71),1))+(IF(I71=0,0,(Upgrades!$M$10+I71*Upgrades!$N$10)*POWER(Upgrades!$O$10,I71)))*(IF(Upgrades!$T$6="Orbital Resonance",POWER(Upgrades!$U$6,E71),1)*IF(Upgrades!$T$7="Orbital Resonance",POWER(Upgrades!$U$7,F71),1)*IF(Upgrades!$T$8="Orbital Resonance",POWER(Upgrades!$U$8,G71),1)*IF(Upgrades!$T$9="Orbital Resonance",POWER(Upgrades!$U$9,H71),1)*IF(Upgrades!$T$11="Orbital Resonance",POWER(Upgrades!$U$11,J71),1)*IF(Upgrades!$T$12="Orbital Resonance",POWER(Upgrades!$U$12,K71),1))+(IF(J71=0,0,(Upgrades!$M$11+J71*Upgrades!$N$11)*POWER(Upgrades!$O$11,J71)))*(IF(Upgrades!$T$6="Heliopause",POWER(Upgrades!$U$6,E71),1)*IF(Upgrades!$T$7="Heliopause",POWER(Upgrades!$U$7,F71),1)*IF(Upgrades!$T$8="Heliopause",POWER(Upgrades!$U$8,G71),1)*IF(Upgrades!$T$9="Heliopause",POWER(Upgrades!$U$9,H71),1)*IF(Upgrades!$T$10="Heliopause",POWER(Upgrades!$U$10,I71),1)*IF(Upgrades!$T$12="Heliopause",POWER(Upgrades!$U$12,K71),1))+(IF(K71=0,0,(Upgrades!$M$12+K71*Upgrades!$N$12)*POWER(Upgrades!$O$12,K71)))*(IF(Upgrades!$T$6="First Photons",POWER(Upgrades!$U$6,E71),1)*IF(Upgrades!$T$7="First Photons",POWER(Upgrades!$U$7,F71),1)*IF(Upgrades!$T$8="First Photons",POWER(Upgrades!$U$8,G71),1)*IF(Upgrades!$T$9="First Photons",POWER(Upgrades!$U$9,H71),1)*IF(Upgrades!$T$10="First Photons",POWER(Upgrades!$U$10,I71),1)*IF(Upgrades!$T$11="First Photons",POWER(Upgrades!$U$11,J71),1)))*POWER(Upgrades!$R$6,E71)*POWER(Upgrades!$R$7,F71)*POWER(Upgrades!$R$8,G71)*POWER(Upgrades!$R$9,H71)*POWER(Upgrades!$R$10,I71)*POWER(Upgrades!$R$11,J71)*POWER(Upgrades!$R$12,K71)</f>
        <v/>
      </c>
      <c r="P71" s="27">
        <f>IF(L71=1,0,M71*Parameters!$B$10/60*Parameters!$B$11*10)</f>
        <v/>
      </c>
      <c r="Q71" s="27">
        <f>IF(L71=1,0,O71*M71*10)</f>
        <v/>
      </c>
      <c r="R71" s="27">
        <f>IF(L71=1,0,N71*10)</f>
        <v/>
      </c>
      <c r="S71" s="27">
        <f>P71+Q71+R71</f>
        <v/>
      </c>
      <c r="T71" s="22">
        <f>C71+S71</f>
        <v/>
      </c>
      <c r="U71" s="33">
        <f>AX71</f>
        <v/>
      </c>
      <c r="V71" s="22">
        <f>IF(U71="",0,IF(U71="transition",0,IF(U71="SW",AG71,IF(U71="AB",AH71,IF(U71="SC",AI71,IF(U71="Mag",AJ71,IF(U71="OR",AK71,IF(U71="HP",AL71,IF(U71="FP",AM71,0)))))))))</f>
        <v/>
      </c>
      <c r="W71" s="27">
        <f>IF(U71="OR",Upgrades!$F$10,IF(U71="HP",Upgrades!$F$11,IF(U71="transition",-Parameters!$B$18,0)))</f>
        <v/>
      </c>
      <c r="X71" s="22">
        <f>T71-V71</f>
        <v/>
      </c>
      <c r="Y71" s="30">
        <f>M71*Parameters!$B$10/60*Parameters!$B$11+O71*M71+N71</f>
        <v/>
      </c>
      <c r="Z71" s="34">
        <f>IF(U71="transition","→ Tier 2 (Stellar Neighborhood)",IF(U71="FP","First Photons — light begins, system quickens",IF(U71="HP","Heliopause acquired",IF(U71="OR","Orbital Resonance — passive multiplier active",IF(AND(AO71=1,L71=0,AN71&lt;&gt;1),"Cohesion ready (waiting on completionist upgrades)","")))))</f>
        <v/>
      </c>
      <c r="AA71" s="27">
        <f>(IF(E71=0,0,(Upgrades!$G$6+E71*Upgrades!$H$6)*POWER(Upgrades!$I$6,E71)))*(IF(Upgrades!$T$7="Solar Wind",POWER(Upgrades!$U$7,F71),1)*IF(Upgrades!$T$8="Solar Wind",POWER(Upgrades!$U$8,G71),1)*IF(Upgrades!$T$9="Solar Wind",POWER(Upgrades!$U$9,H71),1)*IF(Upgrades!$T$10="Solar Wind",POWER(Upgrades!$U$10,I71),1)*IF(Upgrades!$T$11="Solar Wind",POWER(Upgrades!$U$11,J71),1)*IF(Upgrades!$T$12="Solar Wind",POWER(Upgrades!$U$12,K71),1))*POWER(Upgrades!$P$6,E71)*POWER(Upgrades!$P$7,F71)*POWER(Upgrades!$P$8,G71)*POWER(Upgrades!$P$9,H71)*POWER(Upgrades!$P$10,I71)*POWER(Upgrades!$P$11,J71)*POWER(Upgrades!$P$12,K71)*60</f>
        <v/>
      </c>
      <c r="AB71" s="27">
        <f>(IF(F71=0,0,(Upgrades!$G$7+F71*Upgrades!$H$7)*POWER(Upgrades!$I$7,F71)))*(IF(Upgrades!$T$6="Asteroid Belt",POWER(Upgrades!$U$6,E71),1)*IF(Upgrades!$T$8="Asteroid Belt",POWER(Upgrades!$U$8,G71),1)*IF(Upgrades!$T$9="Asteroid Belt",POWER(Upgrades!$U$9,H71),1)*IF(Upgrades!$T$10="Asteroid Belt",POWER(Upgrades!$U$10,I71),1)*IF(Upgrades!$T$11="Asteroid Belt",POWER(Upgrades!$U$11,J71),1)*IF(Upgrades!$T$12="Asteroid Belt",POWER(Upgrades!$U$12,K71),1))*POWER(Upgrades!$P$6,E71)*POWER(Upgrades!$P$7,F71)*POWER(Upgrades!$P$8,G71)*POWER(Upgrades!$P$9,H71)*POWER(Upgrades!$P$10,I71)*POWER(Upgrades!$P$11,J71)*POWER(Upgrades!$P$12,K71)*60</f>
        <v/>
      </c>
      <c r="AC71" s="27">
        <f>(IF(G71=0,0,(Upgrades!$J$8+G71*Upgrades!$K$8)*POWER(Upgrades!$L$8,G71)))*(IF(Upgrades!$T$6="Stellar Coupling",POWER(Upgrades!$U$6,E71),1)*IF(Upgrades!$T$7="Stellar Coupling",POWER(Upgrades!$U$7,F71),1)*IF(Upgrades!$T$9="Stellar Coupling",POWER(Upgrades!$U$9,H71),1)*IF(Upgrades!$T$10="Stellar Coupling",POWER(Upgrades!$U$10,I71),1)*IF(Upgrades!$T$11="Stellar Coupling",POWER(Upgrades!$U$11,J71),1)*IF(Upgrades!$T$12="Stellar Coupling",POWER(Upgrades!$U$12,K71),1))*POWER(Upgrades!$Q$6,E71)*POWER(Upgrades!$Q$7,F71)*POWER(Upgrades!$Q$8,G71)*POWER(Upgrades!$Q$9,H71)*POWER(Upgrades!$Q$10,I71)*POWER(Upgrades!$Q$11,J71)*POWER(Upgrades!$Q$12,K71)*Parameters!$B$10*Parameters!$B$11</f>
        <v/>
      </c>
      <c r="AD71" s="27">
        <f>(IF(H71=0,0,(Upgrades!$G$9+H71*Upgrades!$H$9)*POWER(Upgrades!$I$9,H71)))*(IF(Upgrades!$T$6="Magnetosphere",POWER(Upgrades!$U$6,E71),1)*IF(Upgrades!$T$7="Magnetosphere",POWER(Upgrades!$U$7,F71),1)*IF(Upgrades!$T$8="Magnetosphere",POWER(Upgrades!$U$8,G71),1)*IF(Upgrades!$T$10="Magnetosphere",POWER(Upgrades!$U$10,I71),1)*IF(Upgrades!$T$11="Magnetosphere",POWER(Upgrades!$U$11,J71),1)*IF(Upgrades!$T$12="Magnetosphere",POWER(Upgrades!$U$12,K71),1))*POWER(Upgrades!$P$6,E71)*POWER(Upgrades!$P$7,F71)*POWER(Upgrades!$P$8,G71)*POWER(Upgrades!$P$9,H71)*POWER(Upgrades!$P$10,I71)*POWER(Upgrades!$P$11,J71)*POWER(Upgrades!$P$12,K71)*60</f>
        <v/>
      </c>
      <c r="AE71" s="27">
        <f>(IF(K71=0,0,(Upgrades!$G$12+K71*Upgrades!$H$12)*POWER(Upgrades!$I$12,K71)))*(IF(Upgrades!$T$6="First Photons",POWER(Upgrades!$U$6,E71),1)*IF(Upgrades!$T$7="First Photons",POWER(Upgrades!$U$7,F71),1)*IF(Upgrades!$T$8="First Photons",POWER(Upgrades!$U$8,G71),1)*IF(Upgrades!$T$9="First Photons",POWER(Upgrades!$U$9,H71),1)*IF(Upgrades!$T$10="First Photons",POWER(Upgrades!$U$10,I71),1)*IF(Upgrades!$T$11="First Photons",POWER(Upgrades!$U$11,J71),1))*POWER(Upgrades!$P$6,E71)*POWER(Upgrades!$P$7,F71)*POWER(Upgrades!$P$8,G71)*POWER(Upgrades!$P$9,H71)*POWER(Upgrades!$P$10,I71)*POWER(Upgrades!$P$11,J71)*POWER(Upgrades!$P$12,K71)*60</f>
        <v/>
      </c>
      <c r="AF71" s="27">
        <f>Parameters!$B$9*POWER(Upgrades!$Q$6,E71)*POWER(Upgrades!$Q$7,F71)*POWER(Upgrades!$Q$8,G71)*POWER(Upgrades!$Q$9,H71)*POWER(Upgrades!$Q$10,I71)*POWER(Upgrades!$Q$11,J71)*POWER(Upgrades!$Q$12,K71)*(Parameters!$B$10*Parameters!$B$11+O71*60)</f>
        <v/>
      </c>
      <c r="AG71" s="22">
        <f>IF(E71&gt;=Upgrades!$E$6,"",Upgrades!$C$6*POWER(Upgrades!$D$6,E71))</f>
        <v/>
      </c>
      <c r="AH71" s="22">
        <f>IF(F71&gt;=Upgrades!$E$7,"",Upgrades!$C$7*POWER(Upgrades!$D$7,F71))</f>
        <v/>
      </c>
      <c r="AI71" s="22">
        <f>IF(G71&gt;=Upgrades!$E$8,"",Upgrades!$C$8*POWER(Upgrades!$D$8,G71))</f>
        <v/>
      </c>
      <c r="AJ71" s="22">
        <f>IF(H71&gt;=Upgrades!$E$9,"",Upgrades!$C$9*POWER(Upgrades!$D$9,H71))</f>
        <v/>
      </c>
      <c r="AK71" s="22">
        <f>IF(I71&gt;=Upgrades!$E$10,"",Upgrades!$C$10*POWER(Upgrades!$D$10,I71))</f>
        <v/>
      </c>
      <c r="AL71" s="22">
        <f>IF(J71&gt;=Upgrades!$E$11,"",Upgrades!$C$11*POWER(Upgrades!$D$11,J71))</f>
        <v/>
      </c>
      <c r="AM71" s="22">
        <f>IF(K71&gt;=Upgrades!$E$12,"",Upgrades!$C$12*POWER(Upgrades!$D$12,K71))</f>
        <v/>
      </c>
      <c r="AN71" s="26">
        <f>IF(AND(D71&gt;=Parameters!$B$18,(H71&gt;=Upgrades!$E$9)*(K71&gt;=Upgrades!$E$12)=1,L71=0),1,"")</f>
        <v/>
      </c>
      <c r="AO71" s="26">
        <f>IF(AND(D71&gt;=Parameters!$B$18,L71=0),1,"")</f>
        <v/>
      </c>
      <c r="AP71" s="22">
        <f>MIN(IF(ISNUMBER(AK71),AK71,9E15),IF(ISNUMBER(AL71),AL71,9E15),IF(ISNUMBER(AM71),AM71,9E15))</f>
        <v/>
      </c>
      <c r="AQ71" s="22">
        <f>MIN(IF(ISNUMBER(AG71),AG71,9E15),IF(ISNUMBER(AH71),AH71,9E15),IF(ISNUMBER(AI71),AI71,9E15),IF(ISNUMBER(AJ71),AJ71,9E15))</f>
        <v/>
      </c>
      <c r="AR71" s="29">
        <f>IF(AW71&gt;Parameters!$B$21*(MAX(IF(AND(NOT(AND(AO71=1,AN71&lt;&gt;1)),ISNUMBER(AG71),AG71&lt;=T71),AS71,0),IF(AND(NOT(AND(AO71=1,AN71&lt;&gt;1)),ISNUMBER(AH71),AH71&lt;=T71),AT71,0),IF(AND(NOT(AND(AO71=1,AN71&lt;&gt;1)),ISNUMBER(AI71),AI71&lt;=T71),AU71,0),IF(AND(ISNUMBER(AJ71),AJ71&lt;=T71),AV71,0))),TRUE,FALSE)</f>
        <v/>
      </c>
      <c r="AS71" s="32">
        <f>IFERROR(Upgrades!$H$6*(POWER(Upgrades!$P$6,E71)*POWER(Upgrades!$P$7,F71)*POWER(Upgrades!$P$8,G71)*POWER(Upgrades!$P$9,H71)*POWER(Upgrades!$P$10,I71)*POWER(Upgrades!$P$11,J71)*POWER(Upgrades!$P$12,K71))*(IF(Upgrades!$T$7="Solar Wind",POWER(Upgrades!$U$7,F71),1)*IF(Upgrades!$T$8="Solar Wind",POWER(Upgrades!$U$8,G71),1)*IF(Upgrades!$T$9="Solar Wind",POWER(Upgrades!$U$9,H71),1)*IF(Upgrades!$T$10="Solar Wind",POWER(Upgrades!$U$10,I71),1)*IF(Upgrades!$T$11="Solar Wind",POWER(Upgrades!$U$11,J71),1)*IF(Upgrades!$T$12="Solar Wind",POWER(Upgrades!$U$12,K71),1))/AG71,0)</f>
        <v/>
      </c>
      <c r="AT71" s="32">
        <f>IFERROR(Upgrades!$H$7*(POWER(Upgrades!$P$6,E71)*POWER(Upgrades!$P$7,F71)*POWER(Upgrades!$P$8,G71)*POWER(Upgrades!$P$9,H71)*POWER(Upgrades!$P$10,I71)*POWER(Upgrades!$P$11,J71)*POWER(Upgrades!$P$12,K71))*(IF(Upgrades!$T$6="Asteroid Belt",POWER(Upgrades!$U$6,E71),1)*IF(Upgrades!$T$8="Asteroid Belt",POWER(Upgrades!$U$8,G71),1)*IF(Upgrades!$T$9="Asteroid Belt",POWER(Upgrades!$U$9,H71),1)*IF(Upgrades!$T$10="Asteroid Belt",POWER(Upgrades!$U$10,I71),1)*IF(Upgrades!$T$11="Asteroid Belt",POWER(Upgrades!$U$11,J71),1)*IF(Upgrades!$T$12="Asteroid Belt",POWER(Upgrades!$U$12,K71),1))/AH71,0)</f>
        <v/>
      </c>
      <c r="AU71" s="32">
        <f>IFERROR(Upgrades!$K$8*(POWER(Upgrades!$Q$6,E71)*POWER(Upgrades!$Q$7,F71)*POWER(Upgrades!$Q$8,G71)*POWER(Upgrades!$Q$9,H71)*POWER(Upgrades!$Q$10,I71)*POWER(Upgrades!$Q$11,J71)*POWER(Upgrades!$Q$12,K71))*(IF(Upgrades!$T$6="Stellar Coupling",POWER(Upgrades!$U$6,E71),1)*IF(Upgrades!$T$7="Stellar Coupling",POWER(Upgrades!$U$7,F71),1)*IF(Upgrades!$T$9="Stellar Coupling",POWER(Upgrades!$U$9,H71),1)*IF(Upgrades!$T$10="Stellar Coupling",POWER(Upgrades!$U$10,I71),1)*IF(Upgrades!$T$11="Stellar Coupling",POWER(Upgrades!$U$11,J71),1)*IF(Upgrades!$T$12="Stellar Coupling",POWER(Upgrades!$U$12,K71),1))*Parameters!$B$10*Parameters!$B$11/60/AI71,0)</f>
        <v/>
      </c>
      <c r="AV71" s="32">
        <f>IFERROR(Upgrades!$H$9*(POWER(Upgrades!$P$6,E71)*POWER(Upgrades!$P$7,F71)*POWER(Upgrades!$P$8,G71)*POWER(Upgrades!$P$9,H71)*POWER(Upgrades!$P$10,I71)*POWER(Upgrades!$P$11,J71)*POWER(Upgrades!$P$12,K71))*(IF(Upgrades!$T$6="Magnetosphere",POWER(Upgrades!$U$6,E71),1)*IF(Upgrades!$T$7="Magnetosphere",POWER(Upgrades!$U$7,F71),1)*IF(Upgrades!$T$8="Magnetosphere",POWER(Upgrades!$U$8,G71),1)*IF(Upgrades!$T$10="Magnetosphere",POWER(Upgrades!$U$10,I71),1)*IF(Upgrades!$T$11="Magnetosphere",POWER(Upgrades!$U$11,J71),1)*IF(Upgrades!$T$12="Magnetosphere",POWER(Upgrades!$U$12,K71),1))/AJ71,0)</f>
        <v/>
      </c>
      <c r="AW71" s="32">
        <f>MAX(IF(I71&gt;0,0,IFERROR(0.25*N71/Upgrades!$C$10,0)),IF(J71&gt;0,0,IFERROR(0.5*((IF(G71=0,0,(Upgrades!$J$8+G71*Upgrades!$K$8)*POWER(Upgrades!$L$8,G71)))*(IF(Upgrades!$T$6="Stellar Coupling",POWER(Upgrades!$U$6,E71),1)*IF(Upgrades!$T$7="Stellar Coupling",POWER(Upgrades!$U$7,F71),1)*IF(Upgrades!$T$9="Stellar Coupling",POWER(Upgrades!$U$9,H71),1)*IF(Upgrades!$T$10="Stellar Coupling",POWER(Upgrades!$U$10,I71),1)*IF(Upgrades!$T$11="Stellar Coupling",POWER(Upgrades!$U$11,J71),1)*IF(Upgrades!$T$12="Stellar Coupling",POWER(Upgrades!$U$12,K71),1))*(POWER(Upgrades!$Q$6,E71)*POWER(Upgrades!$Q$7,F71)*POWER(Upgrades!$Q$8,G71)*POWER(Upgrades!$Q$9,H71)*POWER(Upgrades!$Q$10,I71)*POWER(Upgrades!$Q$11,J71)*POWER(Upgrades!$Q$12,K71))*Parameters!$B$10*Parameters!$B$11/60)/Upgrades!$C$11,0)),IF(K71&gt;0,0,IFERROR((1.0*(POWER(Upgrades!$P$6,E71)*POWER(Upgrades!$P$7,F71)*POWER(Upgrades!$P$8,G71)*POWER(Upgrades!$P$9,H71)*POWER(Upgrades!$P$10,I71)*POWER(Upgrades!$P$11,J71)*POWER(Upgrades!$P$12,K71))+0.20*M71*Parameters!$B$10*Parameters!$B$11/60)/Upgrades!$C$12,0)),IF(AND(ISNUMBER(AG71),AG71&gt;T71),AS71,0),IF(AND(ISNUMBER(AH71),AH71&gt;T71),AT71,0),IF(AND(ISNUMBER(AI71),AI71&gt;T71),AU71,0),IF(AND(ISNUMBER(AJ71),AJ71&gt;T71),AV71,0))</f>
        <v/>
      </c>
      <c r="AX71" s="29">
        <f>IF(AN71=1,"transition",IF(MIN(IF(AND(I71=0,ISNUMBER(AK71),AK71&lt;=T71),AK71,9E15),IF(AND(J71=0,ISNUMBER(AL71),AL71&lt;=T71),AL71,9E15),IF(AND(K71=0,ISNUMBER(AM71),AM71&lt;=T71),AM71,9E15))&lt;9E15,IF(AND(AND(I71=0,ISNUMBER(AK71),AK71&lt;=T71),AK71=MIN(IF(AND(I71=0,ISNUMBER(AK71),AK71&lt;=T71),AK71,9E15),IF(AND(J71=0,ISNUMBER(AL71),AL71&lt;=T71),AL71,9E15),IF(AND(K71=0,ISNUMBER(AM71),AM71&lt;=T71),AM71,9E15))),"OR",IF(AND(AND(J71=0,ISNUMBER(AL71),AL71&lt;=T71),AL71=MIN(IF(AND(I71=0,ISNUMBER(AK71),AK71&lt;=T71),AK71,9E15),IF(AND(J71=0,ISNUMBER(AL71),AL71&lt;=T71),AL71,9E15),IF(AND(K71=0,ISNUMBER(AM71),AM71&lt;=T71),AM71,9E15))),"HP","FP")),IF(AR71=TRUE,"",IF(MAX(IF(AND(NOT(AND(AO71=1,AN71&lt;&gt;1)),ISNUMBER(AG71),AG71&lt;=T71),AS71,0),IF(AND(NOT(AND(AO71=1,AN71&lt;&gt;1)),ISNUMBER(AH71),AH71&lt;=T71),AT71,0),IF(AND(NOT(AND(AO71=1,AN71&lt;&gt;1)),ISNUMBER(AI71),AI71&lt;=T71),AU71,0),IF(AND(ISNUMBER(AJ71),AJ71&lt;=T71),AV71,0))&lt;=0,"",IF(AND(IF(AND(NOT(AND(AO71=1,AN71&lt;&gt;1)),ISNUMBER(AG71),AG71&lt;=T71),AS71,0)&gt;0,IF(AND(NOT(AND(AO71=1,AN71&lt;&gt;1)),ISNUMBER(AG71),AG71&lt;=T71),AS71,0)=MAX(IF(AND(NOT(AND(AO71=1,AN71&lt;&gt;1)),ISNUMBER(AG71),AG71&lt;=T71),AS71,0),IF(AND(NOT(AND(AO71=1,AN71&lt;&gt;1)),ISNUMBER(AH71),AH71&lt;=T71),AT71,0),IF(AND(NOT(AND(AO71=1,AN71&lt;&gt;1)),ISNUMBER(AI71),AI71&lt;=T71),AU71,0),IF(AND(ISNUMBER(AJ71),AJ71&lt;=T71),AV71,0))),"SW",IF(AND(IF(AND(NOT(AND(AO71=1,AN71&lt;&gt;1)),ISNUMBER(AH71),AH71&lt;=T71),AT71,0)&gt;0,IF(AND(NOT(AND(AO71=1,AN71&lt;&gt;1)),ISNUMBER(AH71),AH71&lt;=T71),AT71,0)=MAX(IF(AND(NOT(AND(AO71=1,AN71&lt;&gt;1)),ISNUMBER(AG71),AG71&lt;=T71),AS71,0),IF(AND(NOT(AND(AO71=1,AN71&lt;&gt;1)),ISNUMBER(AH71),AH71&lt;=T71),AT71,0),IF(AND(NOT(AND(AO71=1,AN71&lt;&gt;1)),ISNUMBER(AI71),AI71&lt;=T71),AU71,0),IF(AND(ISNUMBER(AJ71),AJ71&lt;=T71),AV71,0))),"AB",IF(AND(IF(AND(NOT(AND(AO71=1,AN71&lt;&gt;1)),ISNUMBER(AI71),AI71&lt;=T71),AU71,0)&gt;0,IF(AND(NOT(AND(AO71=1,AN71&lt;&gt;1)),ISNUMBER(AI71),AI71&lt;=T71),AU71,0)=MAX(IF(AND(NOT(AND(AO71=1,AN71&lt;&gt;1)),ISNUMBER(AG71),AG71&lt;=T71),AS71,0),IF(AND(NOT(AND(AO71=1,AN71&lt;&gt;1)),ISNUMBER(AH71),AH71&lt;=T71),AT71,0),IF(AND(NOT(AND(AO71=1,AN71&lt;&gt;1)),ISNUMBER(AI71),AI71&lt;=T71),AU71,0),IF(AND(ISNUMBER(AJ71),AJ71&lt;=T71),AV71,0))),"SC","Mag")))))))</f>
        <v/>
      </c>
    </row>
    <row r="72">
      <c r="A72" s="26" t="n">
        <v>67</v>
      </c>
      <c r="B72" s="27">
        <f>A72*10/60</f>
        <v/>
      </c>
      <c r="C72" s="22">
        <f>X71</f>
        <v/>
      </c>
      <c r="D72" s="27">
        <f>D71+W71</f>
        <v/>
      </c>
      <c r="E72" s="26">
        <f>E71+IF(U71="SW",1,0)</f>
        <v/>
      </c>
      <c r="F72" s="26">
        <f>F71+IF(U71="AB",1,0)</f>
        <v/>
      </c>
      <c r="G72" s="26">
        <f>G71+IF(U71="SC",1,0)</f>
        <v/>
      </c>
      <c r="H72" s="26">
        <f>H71+IF(U71="Mag",1,0)</f>
        <v/>
      </c>
      <c r="I72" s="26">
        <f>MAX(I71,IF(U71="OR",1,0))</f>
        <v/>
      </c>
      <c r="J72" s="26">
        <f>MAX(J71,IF(U71="HP",1,0))</f>
        <v/>
      </c>
      <c r="K72" s="26">
        <f>MAX(K71,IF(U71="FP",1,0))</f>
        <v/>
      </c>
      <c r="L72" s="26">
        <f>MAX(L71,IF(U71="transition",1,0))</f>
        <v/>
      </c>
      <c r="M72" s="28">
        <f>(Parameters!$B$9+(IF(E72=0,0,(Upgrades!$J$6+E72*Upgrades!$K$6)*POWER(Upgrades!$L$6,E72)))*(IF(Upgrades!$T$7="Solar Wind",POWER(Upgrades!$U$7,F72),1)*IF(Upgrades!$T$8="Solar Wind",POWER(Upgrades!$U$8,G72),1)*IF(Upgrades!$T$9="Solar Wind",POWER(Upgrades!$U$9,H72),1)*IF(Upgrades!$T$10="Solar Wind",POWER(Upgrades!$U$10,I72),1)*IF(Upgrades!$T$11="Solar Wind",POWER(Upgrades!$U$11,J72),1)*IF(Upgrades!$T$12="Solar Wind",POWER(Upgrades!$U$12,K72),1))+(IF(F72=0,0,(Upgrades!$J$7+F72*Upgrades!$K$7)*POWER(Upgrades!$L$7,F72)))*(IF(Upgrades!$T$6="Asteroid Belt",POWER(Upgrades!$U$6,E72),1)*IF(Upgrades!$T$8="Asteroid Belt",POWER(Upgrades!$U$8,G72),1)*IF(Upgrades!$T$9="Asteroid Belt",POWER(Upgrades!$U$9,H72),1)*IF(Upgrades!$T$10="Asteroid Belt",POWER(Upgrades!$U$10,I72),1)*IF(Upgrades!$T$11="Asteroid Belt",POWER(Upgrades!$U$11,J72),1)*IF(Upgrades!$T$12="Asteroid Belt",POWER(Upgrades!$U$12,K72),1))+(IF(G72=0,0,(Upgrades!$J$8+G72*Upgrades!$K$8)*POWER(Upgrades!$L$8,G72)))*(IF(Upgrades!$T$6="Stellar Coupling",POWER(Upgrades!$U$6,E72),1)*IF(Upgrades!$T$7="Stellar Coupling",POWER(Upgrades!$U$7,F72),1)*IF(Upgrades!$T$9="Stellar Coupling",POWER(Upgrades!$U$9,H72),1)*IF(Upgrades!$T$10="Stellar Coupling",POWER(Upgrades!$U$10,I72),1)*IF(Upgrades!$T$11="Stellar Coupling",POWER(Upgrades!$U$11,J72),1)*IF(Upgrades!$T$12="Stellar Coupling",POWER(Upgrades!$U$12,K72),1))+(IF(H72=0,0,(Upgrades!$J$9+H72*Upgrades!$K$9)*POWER(Upgrades!$L$9,H72)))*(IF(Upgrades!$T$6="Magnetosphere",POWER(Upgrades!$U$6,E72),1)*IF(Upgrades!$T$7="Magnetosphere",POWER(Upgrades!$U$7,F72),1)*IF(Upgrades!$T$8="Magnetosphere",POWER(Upgrades!$U$8,G72),1)*IF(Upgrades!$T$10="Magnetosphere",POWER(Upgrades!$U$10,I72),1)*IF(Upgrades!$T$11="Magnetosphere",POWER(Upgrades!$U$11,J72),1)*IF(Upgrades!$T$12="Magnetosphere",POWER(Upgrades!$U$12,K72),1))+(IF(I72=0,0,(Upgrades!$J$10+I72*Upgrades!$K$10)*POWER(Upgrades!$L$10,I72)))*(IF(Upgrades!$T$6="Orbital Resonance",POWER(Upgrades!$U$6,E72),1)*IF(Upgrades!$T$7="Orbital Resonance",POWER(Upgrades!$U$7,F72),1)*IF(Upgrades!$T$8="Orbital Resonance",POWER(Upgrades!$U$8,G72),1)*IF(Upgrades!$T$9="Orbital Resonance",POWER(Upgrades!$U$9,H72),1)*IF(Upgrades!$T$11="Orbital Resonance",POWER(Upgrades!$U$11,J72),1)*IF(Upgrades!$T$12="Orbital Resonance",POWER(Upgrades!$U$12,K72),1))+(IF(J72=0,0,(Upgrades!$J$11+J72*Upgrades!$K$11)*POWER(Upgrades!$L$11,J72)))*(IF(Upgrades!$T$6="Heliopause",POWER(Upgrades!$U$6,E72),1)*IF(Upgrades!$T$7="Heliopause",POWER(Upgrades!$U$7,F72),1)*IF(Upgrades!$T$8="Heliopause",POWER(Upgrades!$U$8,G72),1)*IF(Upgrades!$T$9="Heliopause",POWER(Upgrades!$U$9,H72),1)*IF(Upgrades!$T$10="Heliopause",POWER(Upgrades!$U$10,I72),1)*IF(Upgrades!$T$12="Heliopause",POWER(Upgrades!$U$12,K72),1))+(IF(K72=0,0,(Upgrades!$J$12+K72*Upgrades!$K$12)*POWER(Upgrades!$L$12,K72)))*(IF(Upgrades!$T$6="First Photons",POWER(Upgrades!$U$6,E72),1)*IF(Upgrades!$T$7="First Photons",POWER(Upgrades!$U$7,F72),1)*IF(Upgrades!$T$8="First Photons",POWER(Upgrades!$U$8,G72),1)*IF(Upgrades!$T$9="First Photons",POWER(Upgrades!$U$9,H72),1)*IF(Upgrades!$T$10="First Photons",POWER(Upgrades!$U$10,I72),1)*IF(Upgrades!$T$11="First Photons",POWER(Upgrades!$U$11,J72),1)))*POWER(Upgrades!$Q$6,E72)*POWER(Upgrades!$Q$7,F72)*POWER(Upgrades!$Q$8,G72)*POWER(Upgrades!$Q$9,H72)*POWER(Upgrades!$Q$10,I72)*POWER(Upgrades!$Q$11,J72)*POWER(Upgrades!$Q$12,K72)</f>
        <v/>
      </c>
      <c r="N72" s="28">
        <f>((IF(E72=0,0,(Upgrades!$G$6+E72*Upgrades!$H$6)*POWER(Upgrades!$I$6,E72)))*(IF(Upgrades!$T$7="Solar Wind",POWER(Upgrades!$U$7,F72),1)*IF(Upgrades!$T$8="Solar Wind",POWER(Upgrades!$U$8,G72),1)*IF(Upgrades!$T$9="Solar Wind",POWER(Upgrades!$U$9,H72),1)*IF(Upgrades!$T$10="Solar Wind",POWER(Upgrades!$U$10,I72),1)*IF(Upgrades!$T$11="Solar Wind",POWER(Upgrades!$U$11,J72),1)*IF(Upgrades!$T$12="Solar Wind",POWER(Upgrades!$U$12,K72),1))+(IF(F72=0,0,(Upgrades!$G$7+F72*Upgrades!$H$7)*POWER(Upgrades!$I$7,F72)))*(IF(Upgrades!$T$6="Asteroid Belt",POWER(Upgrades!$U$6,E72),1)*IF(Upgrades!$T$8="Asteroid Belt",POWER(Upgrades!$U$8,G72),1)*IF(Upgrades!$T$9="Asteroid Belt",POWER(Upgrades!$U$9,H72),1)*IF(Upgrades!$T$10="Asteroid Belt",POWER(Upgrades!$U$10,I72),1)*IF(Upgrades!$T$11="Asteroid Belt",POWER(Upgrades!$U$11,J72),1)*IF(Upgrades!$T$12="Asteroid Belt",POWER(Upgrades!$U$12,K72),1))+(IF(G72=0,0,(Upgrades!$G$8+G72*Upgrades!$H$8)*POWER(Upgrades!$I$8,G72)))*(IF(Upgrades!$T$6="Stellar Coupling",POWER(Upgrades!$U$6,E72),1)*IF(Upgrades!$T$7="Stellar Coupling",POWER(Upgrades!$U$7,F72),1)*IF(Upgrades!$T$9="Stellar Coupling",POWER(Upgrades!$U$9,H72),1)*IF(Upgrades!$T$10="Stellar Coupling",POWER(Upgrades!$U$10,I72),1)*IF(Upgrades!$T$11="Stellar Coupling",POWER(Upgrades!$U$11,J72),1)*IF(Upgrades!$T$12="Stellar Coupling",POWER(Upgrades!$U$12,K72),1))+(IF(H72=0,0,(Upgrades!$G$9+H72*Upgrades!$H$9)*POWER(Upgrades!$I$9,H72)))*(IF(Upgrades!$T$6="Magnetosphere",POWER(Upgrades!$U$6,E72),1)*IF(Upgrades!$T$7="Magnetosphere",POWER(Upgrades!$U$7,F72),1)*IF(Upgrades!$T$8="Magnetosphere",POWER(Upgrades!$U$8,G72),1)*IF(Upgrades!$T$10="Magnetosphere",POWER(Upgrades!$U$10,I72),1)*IF(Upgrades!$T$11="Magnetosphere",POWER(Upgrades!$U$11,J72),1)*IF(Upgrades!$T$12="Magnetosphere",POWER(Upgrades!$U$12,K72),1))+(IF(I72=0,0,(Upgrades!$G$10+I72*Upgrades!$H$10)*POWER(Upgrades!$I$10,I72)))*(IF(Upgrades!$T$6="Orbital Resonance",POWER(Upgrades!$U$6,E72),1)*IF(Upgrades!$T$7="Orbital Resonance",POWER(Upgrades!$U$7,F72),1)*IF(Upgrades!$T$8="Orbital Resonance",POWER(Upgrades!$U$8,G72),1)*IF(Upgrades!$T$9="Orbital Resonance",POWER(Upgrades!$U$9,H72),1)*IF(Upgrades!$T$11="Orbital Resonance",POWER(Upgrades!$U$11,J72),1)*IF(Upgrades!$T$12="Orbital Resonance",POWER(Upgrades!$U$12,K72),1))+(IF(J72=0,0,(Upgrades!$G$11+J72*Upgrades!$H$11)*POWER(Upgrades!$I$11,J72)))*(IF(Upgrades!$T$6="Heliopause",POWER(Upgrades!$U$6,E72),1)*IF(Upgrades!$T$7="Heliopause",POWER(Upgrades!$U$7,F72),1)*IF(Upgrades!$T$8="Heliopause",POWER(Upgrades!$U$8,G72),1)*IF(Upgrades!$T$9="Heliopause",POWER(Upgrades!$U$9,H72),1)*IF(Upgrades!$T$10="Heliopause",POWER(Upgrades!$U$10,I72),1)*IF(Upgrades!$T$12="Heliopause",POWER(Upgrades!$U$12,K72),1))+(IF(K72=0,0,(Upgrades!$G$12+K72*Upgrades!$H$12)*POWER(Upgrades!$I$12,K72)))*(IF(Upgrades!$T$6="First Photons",POWER(Upgrades!$U$6,E72),1)*IF(Upgrades!$T$7="First Photons",POWER(Upgrades!$U$7,F72),1)*IF(Upgrades!$T$8="First Photons",POWER(Upgrades!$U$8,G72),1)*IF(Upgrades!$T$9="First Photons",POWER(Upgrades!$U$9,H72),1)*IF(Upgrades!$T$10="First Photons",POWER(Upgrades!$U$10,I72),1)*IF(Upgrades!$T$11="First Photons",POWER(Upgrades!$U$11,J72),1)))*POWER(Upgrades!$P$6,E72)*POWER(Upgrades!$P$7,F72)*POWER(Upgrades!$P$8,G72)*POWER(Upgrades!$P$9,H72)*POWER(Upgrades!$P$10,I72)*POWER(Upgrades!$P$11,J72)*POWER(Upgrades!$P$12,K72)</f>
        <v/>
      </c>
      <c r="O72" s="28">
        <f>((IF(E72=0,0,(Upgrades!$M$6+E72*Upgrades!$N$6)*POWER(Upgrades!$O$6,E72)))*(IF(Upgrades!$T$7="Solar Wind",POWER(Upgrades!$U$7,F72),1)*IF(Upgrades!$T$8="Solar Wind",POWER(Upgrades!$U$8,G72),1)*IF(Upgrades!$T$9="Solar Wind",POWER(Upgrades!$U$9,H72),1)*IF(Upgrades!$T$10="Solar Wind",POWER(Upgrades!$U$10,I72),1)*IF(Upgrades!$T$11="Solar Wind",POWER(Upgrades!$U$11,J72),1)*IF(Upgrades!$T$12="Solar Wind",POWER(Upgrades!$U$12,K72),1))+(IF(F72=0,0,(Upgrades!$M$7+F72*Upgrades!$N$7)*POWER(Upgrades!$O$7,F72)))*(IF(Upgrades!$T$6="Asteroid Belt",POWER(Upgrades!$U$6,E72),1)*IF(Upgrades!$T$8="Asteroid Belt",POWER(Upgrades!$U$8,G72),1)*IF(Upgrades!$T$9="Asteroid Belt",POWER(Upgrades!$U$9,H72),1)*IF(Upgrades!$T$10="Asteroid Belt",POWER(Upgrades!$U$10,I72),1)*IF(Upgrades!$T$11="Asteroid Belt",POWER(Upgrades!$U$11,J72),1)*IF(Upgrades!$T$12="Asteroid Belt",POWER(Upgrades!$U$12,K72),1))+(IF(G72=0,0,(Upgrades!$M$8+G72*Upgrades!$N$8)*POWER(Upgrades!$O$8,G72)))*(IF(Upgrades!$T$6="Stellar Coupling",POWER(Upgrades!$U$6,E72),1)*IF(Upgrades!$T$7="Stellar Coupling",POWER(Upgrades!$U$7,F72),1)*IF(Upgrades!$T$9="Stellar Coupling",POWER(Upgrades!$U$9,H72),1)*IF(Upgrades!$T$10="Stellar Coupling",POWER(Upgrades!$U$10,I72),1)*IF(Upgrades!$T$11="Stellar Coupling",POWER(Upgrades!$U$11,J72),1)*IF(Upgrades!$T$12="Stellar Coupling",POWER(Upgrades!$U$12,K72),1))+(IF(H72=0,0,(Upgrades!$M$9+H72*Upgrades!$N$9)*POWER(Upgrades!$O$9,H72)))*(IF(Upgrades!$T$6="Magnetosphere",POWER(Upgrades!$U$6,E72),1)*IF(Upgrades!$T$7="Magnetosphere",POWER(Upgrades!$U$7,F72),1)*IF(Upgrades!$T$8="Magnetosphere",POWER(Upgrades!$U$8,G72),1)*IF(Upgrades!$T$10="Magnetosphere",POWER(Upgrades!$U$10,I72),1)*IF(Upgrades!$T$11="Magnetosphere",POWER(Upgrades!$U$11,J72),1)*IF(Upgrades!$T$12="Magnetosphere",POWER(Upgrades!$U$12,K72),1))+(IF(I72=0,0,(Upgrades!$M$10+I72*Upgrades!$N$10)*POWER(Upgrades!$O$10,I72)))*(IF(Upgrades!$T$6="Orbital Resonance",POWER(Upgrades!$U$6,E72),1)*IF(Upgrades!$T$7="Orbital Resonance",POWER(Upgrades!$U$7,F72),1)*IF(Upgrades!$T$8="Orbital Resonance",POWER(Upgrades!$U$8,G72),1)*IF(Upgrades!$T$9="Orbital Resonance",POWER(Upgrades!$U$9,H72),1)*IF(Upgrades!$T$11="Orbital Resonance",POWER(Upgrades!$U$11,J72),1)*IF(Upgrades!$T$12="Orbital Resonance",POWER(Upgrades!$U$12,K72),1))+(IF(J72=0,0,(Upgrades!$M$11+J72*Upgrades!$N$11)*POWER(Upgrades!$O$11,J72)))*(IF(Upgrades!$T$6="Heliopause",POWER(Upgrades!$U$6,E72),1)*IF(Upgrades!$T$7="Heliopause",POWER(Upgrades!$U$7,F72),1)*IF(Upgrades!$T$8="Heliopause",POWER(Upgrades!$U$8,G72),1)*IF(Upgrades!$T$9="Heliopause",POWER(Upgrades!$U$9,H72),1)*IF(Upgrades!$T$10="Heliopause",POWER(Upgrades!$U$10,I72),1)*IF(Upgrades!$T$12="Heliopause",POWER(Upgrades!$U$12,K72),1))+(IF(K72=0,0,(Upgrades!$M$12+K72*Upgrades!$N$12)*POWER(Upgrades!$O$12,K72)))*(IF(Upgrades!$T$6="First Photons",POWER(Upgrades!$U$6,E72),1)*IF(Upgrades!$T$7="First Photons",POWER(Upgrades!$U$7,F72),1)*IF(Upgrades!$T$8="First Photons",POWER(Upgrades!$U$8,G72),1)*IF(Upgrades!$T$9="First Photons",POWER(Upgrades!$U$9,H72),1)*IF(Upgrades!$T$10="First Photons",POWER(Upgrades!$U$10,I72),1)*IF(Upgrades!$T$11="First Photons",POWER(Upgrades!$U$11,J72),1)))*POWER(Upgrades!$R$6,E72)*POWER(Upgrades!$R$7,F72)*POWER(Upgrades!$R$8,G72)*POWER(Upgrades!$R$9,H72)*POWER(Upgrades!$R$10,I72)*POWER(Upgrades!$R$11,J72)*POWER(Upgrades!$R$12,K72)</f>
        <v/>
      </c>
      <c r="P72" s="27">
        <f>IF(L72=1,0,M72*Parameters!$B$10/60*Parameters!$B$11*10)</f>
        <v/>
      </c>
      <c r="Q72" s="27">
        <f>IF(L72=1,0,O72*M72*10)</f>
        <v/>
      </c>
      <c r="R72" s="27">
        <f>IF(L72=1,0,N72*10)</f>
        <v/>
      </c>
      <c r="S72" s="27">
        <f>P72+Q72+R72</f>
        <v/>
      </c>
      <c r="T72" s="22">
        <f>C72+S72</f>
        <v/>
      </c>
      <c r="U72" s="33">
        <f>AX72</f>
        <v/>
      </c>
      <c r="V72" s="22">
        <f>IF(U72="",0,IF(U72="transition",0,IF(U72="SW",AG72,IF(U72="AB",AH72,IF(U72="SC",AI72,IF(U72="Mag",AJ72,IF(U72="OR",AK72,IF(U72="HP",AL72,IF(U72="FP",AM72,0)))))))))</f>
        <v/>
      </c>
      <c r="W72" s="27">
        <f>IF(U72="OR",Upgrades!$F$10,IF(U72="HP",Upgrades!$F$11,IF(U72="transition",-Parameters!$B$18,0)))</f>
        <v/>
      </c>
      <c r="X72" s="22">
        <f>T72-V72</f>
        <v/>
      </c>
      <c r="Y72" s="30">
        <f>M72*Parameters!$B$10/60*Parameters!$B$11+O72*M72+N72</f>
        <v/>
      </c>
      <c r="Z72" s="34">
        <f>IF(U72="transition","→ Tier 2 (Stellar Neighborhood)",IF(U72="FP","First Photons — light begins, system quickens",IF(U72="HP","Heliopause acquired",IF(U72="OR","Orbital Resonance — passive multiplier active",IF(AND(AO72=1,L72=0,AN72&lt;&gt;1),"Cohesion ready (waiting on completionist upgrades)","")))))</f>
        <v/>
      </c>
      <c r="AA72" s="27">
        <f>(IF(E72=0,0,(Upgrades!$G$6+E72*Upgrades!$H$6)*POWER(Upgrades!$I$6,E72)))*(IF(Upgrades!$T$7="Solar Wind",POWER(Upgrades!$U$7,F72),1)*IF(Upgrades!$T$8="Solar Wind",POWER(Upgrades!$U$8,G72),1)*IF(Upgrades!$T$9="Solar Wind",POWER(Upgrades!$U$9,H72),1)*IF(Upgrades!$T$10="Solar Wind",POWER(Upgrades!$U$10,I72),1)*IF(Upgrades!$T$11="Solar Wind",POWER(Upgrades!$U$11,J72),1)*IF(Upgrades!$T$12="Solar Wind",POWER(Upgrades!$U$12,K72),1))*POWER(Upgrades!$P$6,E72)*POWER(Upgrades!$P$7,F72)*POWER(Upgrades!$P$8,G72)*POWER(Upgrades!$P$9,H72)*POWER(Upgrades!$P$10,I72)*POWER(Upgrades!$P$11,J72)*POWER(Upgrades!$P$12,K72)*60</f>
        <v/>
      </c>
      <c r="AB72" s="27">
        <f>(IF(F72=0,0,(Upgrades!$G$7+F72*Upgrades!$H$7)*POWER(Upgrades!$I$7,F72)))*(IF(Upgrades!$T$6="Asteroid Belt",POWER(Upgrades!$U$6,E72),1)*IF(Upgrades!$T$8="Asteroid Belt",POWER(Upgrades!$U$8,G72),1)*IF(Upgrades!$T$9="Asteroid Belt",POWER(Upgrades!$U$9,H72),1)*IF(Upgrades!$T$10="Asteroid Belt",POWER(Upgrades!$U$10,I72),1)*IF(Upgrades!$T$11="Asteroid Belt",POWER(Upgrades!$U$11,J72),1)*IF(Upgrades!$T$12="Asteroid Belt",POWER(Upgrades!$U$12,K72),1))*POWER(Upgrades!$P$6,E72)*POWER(Upgrades!$P$7,F72)*POWER(Upgrades!$P$8,G72)*POWER(Upgrades!$P$9,H72)*POWER(Upgrades!$P$10,I72)*POWER(Upgrades!$P$11,J72)*POWER(Upgrades!$P$12,K72)*60</f>
        <v/>
      </c>
      <c r="AC72" s="27">
        <f>(IF(G72=0,0,(Upgrades!$J$8+G72*Upgrades!$K$8)*POWER(Upgrades!$L$8,G72)))*(IF(Upgrades!$T$6="Stellar Coupling",POWER(Upgrades!$U$6,E72),1)*IF(Upgrades!$T$7="Stellar Coupling",POWER(Upgrades!$U$7,F72),1)*IF(Upgrades!$T$9="Stellar Coupling",POWER(Upgrades!$U$9,H72),1)*IF(Upgrades!$T$10="Stellar Coupling",POWER(Upgrades!$U$10,I72),1)*IF(Upgrades!$T$11="Stellar Coupling",POWER(Upgrades!$U$11,J72),1)*IF(Upgrades!$T$12="Stellar Coupling",POWER(Upgrades!$U$12,K72),1))*POWER(Upgrades!$Q$6,E72)*POWER(Upgrades!$Q$7,F72)*POWER(Upgrades!$Q$8,G72)*POWER(Upgrades!$Q$9,H72)*POWER(Upgrades!$Q$10,I72)*POWER(Upgrades!$Q$11,J72)*POWER(Upgrades!$Q$12,K72)*Parameters!$B$10*Parameters!$B$11</f>
        <v/>
      </c>
      <c r="AD72" s="27">
        <f>(IF(H72=0,0,(Upgrades!$G$9+H72*Upgrades!$H$9)*POWER(Upgrades!$I$9,H72)))*(IF(Upgrades!$T$6="Magnetosphere",POWER(Upgrades!$U$6,E72),1)*IF(Upgrades!$T$7="Magnetosphere",POWER(Upgrades!$U$7,F72),1)*IF(Upgrades!$T$8="Magnetosphere",POWER(Upgrades!$U$8,G72),1)*IF(Upgrades!$T$10="Magnetosphere",POWER(Upgrades!$U$10,I72),1)*IF(Upgrades!$T$11="Magnetosphere",POWER(Upgrades!$U$11,J72),1)*IF(Upgrades!$T$12="Magnetosphere",POWER(Upgrades!$U$12,K72),1))*POWER(Upgrades!$P$6,E72)*POWER(Upgrades!$P$7,F72)*POWER(Upgrades!$P$8,G72)*POWER(Upgrades!$P$9,H72)*POWER(Upgrades!$P$10,I72)*POWER(Upgrades!$P$11,J72)*POWER(Upgrades!$P$12,K72)*60</f>
        <v/>
      </c>
      <c r="AE72" s="27">
        <f>(IF(K72=0,0,(Upgrades!$G$12+K72*Upgrades!$H$12)*POWER(Upgrades!$I$12,K72)))*(IF(Upgrades!$T$6="First Photons",POWER(Upgrades!$U$6,E72),1)*IF(Upgrades!$T$7="First Photons",POWER(Upgrades!$U$7,F72),1)*IF(Upgrades!$T$8="First Photons",POWER(Upgrades!$U$8,G72),1)*IF(Upgrades!$T$9="First Photons",POWER(Upgrades!$U$9,H72),1)*IF(Upgrades!$T$10="First Photons",POWER(Upgrades!$U$10,I72),1)*IF(Upgrades!$T$11="First Photons",POWER(Upgrades!$U$11,J72),1))*POWER(Upgrades!$P$6,E72)*POWER(Upgrades!$P$7,F72)*POWER(Upgrades!$P$8,G72)*POWER(Upgrades!$P$9,H72)*POWER(Upgrades!$P$10,I72)*POWER(Upgrades!$P$11,J72)*POWER(Upgrades!$P$12,K72)*60</f>
        <v/>
      </c>
      <c r="AF72" s="27">
        <f>Parameters!$B$9*POWER(Upgrades!$Q$6,E72)*POWER(Upgrades!$Q$7,F72)*POWER(Upgrades!$Q$8,G72)*POWER(Upgrades!$Q$9,H72)*POWER(Upgrades!$Q$10,I72)*POWER(Upgrades!$Q$11,J72)*POWER(Upgrades!$Q$12,K72)*(Parameters!$B$10*Parameters!$B$11+O72*60)</f>
        <v/>
      </c>
      <c r="AG72" s="22">
        <f>IF(E72&gt;=Upgrades!$E$6,"",Upgrades!$C$6*POWER(Upgrades!$D$6,E72))</f>
        <v/>
      </c>
      <c r="AH72" s="22">
        <f>IF(F72&gt;=Upgrades!$E$7,"",Upgrades!$C$7*POWER(Upgrades!$D$7,F72))</f>
        <v/>
      </c>
      <c r="AI72" s="22">
        <f>IF(G72&gt;=Upgrades!$E$8,"",Upgrades!$C$8*POWER(Upgrades!$D$8,G72))</f>
        <v/>
      </c>
      <c r="AJ72" s="22">
        <f>IF(H72&gt;=Upgrades!$E$9,"",Upgrades!$C$9*POWER(Upgrades!$D$9,H72))</f>
        <v/>
      </c>
      <c r="AK72" s="22">
        <f>IF(I72&gt;=Upgrades!$E$10,"",Upgrades!$C$10*POWER(Upgrades!$D$10,I72))</f>
        <v/>
      </c>
      <c r="AL72" s="22">
        <f>IF(J72&gt;=Upgrades!$E$11,"",Upgrades!$C$11*POWER(Upgrades!$D$11,J72))</f>
        <v/>
      </c>
      <c r="AM72" s="22">
        <f>IF(K72&gt;=Upgrades!$E$12,"",Upgrades!$C$12*POWER(Upgrades!$D$12,K72))</f>
        <v/>
      </c>
      <c r="AN72" s="26">
        <f>IF(AND(D72&gt;=Parameters!$B$18,(H72&gt;=Upgrades!$E$9)*(K72&gt;=Upgrades!$E$12)=1,L72=0),1,"")</f>
        <v/>
      </c>
      <c r="AO72" s="26">
        <f>IF(AND(D72&gt;=Parameters!$B$18,L72=0),1,"")</f>
        <v/>
      </c>
      <c r="AP72" s="22">
        <f>MIN(IF(ISNUMBER(AK72),AK72,9E15),IF(ISNUMBER(AL72),AL72,9E15),IF(ISNUMBER(AM72),AM72,9E15))</f>
        <v/>
      </c>
      <c r="AQ72" s="22">
        <f>MIN(IF(ISNUMBER(AG72),AG72,9E15),IF(ISNUMBER(AH72),AH72,9E15),IF(ISNUMBER(AI72),AI72,9E15),IF(ISNUMBER(AJ72),AJ72,9E15))</f>
        <v/>
      </c>
      <c r="AR72" s="29">
        <f>IF(AW72&gt;Parameters!$B$21*(MAX(IF(AND(NOT(AND(AO72=1,AN72&lt;&gt;1)),ISNUMBER(AG72),AG72&lt;=T72),AS72,0),IF(AND(NOT(AND(AO72=1,AN72&lt;&gt;1)),ISNUMBER(AH72),AH72&lt;=T72),AT72,0),IF(AND(NOT(AND(AO72=1,AN72&lt;&gt;1)),ISNUMBER(AI72),AI72&lt;=T72),AU72,0),IF(AND(ISNUMBER(AJ72),AJ72&lt;=T72),AV72,0))),TRUE,FALSE)</f>
        <v/>
      </c>
      <c r="AS72" s="32">
        <f>IFERROR(Upgrades!$H$6*(POWER(Upgrades!$P$6,E72)*POWER(Upgrades!$P$7,F72)*POWER(Upgrades!$P$8,G72)*POWER(Upgrades!$P$9,H72)*POWER(Upgrades!$P$10,I72)*POWER(Upgrades!$P$11,J72)*POWER(Upgrades!$P$12,K72))*(IF(Upgrades!$T$7="Solar Wind",POWER(Upgrades!$U$7,F72),1)*IF(Upgrades!$T$8="Solar Wind",POWER(Upgrades!$U$8,G72),1)*IF(Upgrades!$T$9="Solar Wind",POWER(Upgrades!$U$9,H72),1)*IF(Upgrades!$T$10="Solar Wind",POWER(Upgrades!$U$10,I72),1)*IF(Upgrades!$T$11="Solar Wind",POWER(Upgrades!$U$11,J72),1)*IF(Upgrades!$T$12="Solar Wind",POWER(Upgrades!$U$12,K72),1))/AG72,0)</f>
        <v/>
      </c>
      <c r="AT72" s="32">
        <f>IFERROR(Upgrades!$H$7*(POWER(Upgrades!$P$6,E72)*POWER(Upgrades!$P$7,F72)*POWER(Upgrades!$P$8,G72)*POWER(Upgrades!$P$9,H72)*POWER(Upgrades!$P$10,I72)*POWER(Upgrades!$P$11,J72)*POWER(Upgrades!$P$12,K72))*(IF(Upgrades!$T$6="Asteroid Belt",POWER(Upgrades!$U$6,E72),1)*IF(Upgrades!$T$8="Asteroid Belt",POWER(Upgrades!$U$8,G72),1)*IF(Upgrades!$T$9="Asteroid Belt",POWER(Upgrades!$U$9,H72),1)*IF(Upgrades!$T$10="Asteroid Belt",POWER(Upgrades!$U$10,I72),1)*IF(Upgrades!$T$11="Asteroid Belt",POWER(Upgrades!$U$11,J72),1)*IF(Upgrades!$T$12="Asteroid Belt",POWER(Upgrades!$U$12,K72),1))/AH72,0)</f>
        <v/>
      </c>
      <c r="AU72" s="32">
        <f>IFERROR(Upgrades!$K$8*(POWER(Upgrades!$Q$6,E72)*POWER(Upgrades!$Q$7,F72)*POWER(Upgrades!$Q$8,G72)*POWER(Upgrades!$Q$9,H72)*POWER(Upgrades!$Q$10,I72)*POWER(Upgrades!$Q$11,J72)*POWER(Upgrades!$Q$12,K72))*(IF(Upgrades!$T$6="Stellar Coupling",POWER(Upgrades!$U$6,E72),1)*IF(Upgrades!$T$7="Stellar Coupling",POWER(Upgrades!$U$7,F72),1)*IF(Upgrades!$T$9="Stellar Coupling",POWER(Upgrades!$U$9,H72),1)*IF(Upgrades!$T$10="Stellar Coupling",POWER(Upgrades!$U$10,I72),1)*IF(Upgrades!$T$11="Stellar Coupling",POWER(Upgrades!$U$11,J72),1)*IF(Upgrades!$T$12="Stellar Coupling",POWER(Upgrades!$U$12,K72),1))*Parameters!$B$10*Parameters!$B$11/60/AI72,0)</f>
        <v/>
      </c>
      <c r="AV72" s="32">
        <f>IFERROR(Upgrades!$H$9*(POWER(Upgrades!$P$6,E72)*POWER(Upgrades!$P$7,F72)*POWER(Upgrades!$P$8,G72)*POWER(Upgrades!$P$9,H72)*POWER(Upgrades!$P$10,I72)*POWER(Upgrades!$P$11,J72)*POWER(Upgrades!$P$12,K72))*(IF(Upgrades!$T$6="Magnetosphere",POWER(Upgrades!$U$6,E72),1)*IF(Upgrades!$T$7="Magnetosphere",POWER(Upgrades!$U$7,F72),1)*IF(Upgrades!$T$8="Magnetosphere",POWER(Upgrades!$U$8,G72),1)*IF(Upgrades!$T$10="Magnetosphere",POWER(Upgrades!$U$10,I72),1)*IF(Upgrades!$T$11="Magnetosphere",POWER(Upgrades!$U$11,J72),1)*IF(Upgrades!$T$12="Magnetosphere",POWER(Upgrades!$U$12,K72),1))/AJ72,0)</f>
        <v/>
      </c>
      <c r="AW72" s="32">
        <f>MAX(IF(I72&gt;0,0,IFERROR(0.25*N72/Upgrades!$C$10,0)),IF(J72&gt;0,0,IFERROR(0.5*((IF(G72=0,0,(Upgrades!$J$8+G72*Upgrades!$K$8)*POWER(Upgrades!$L$8,G72)))*(IF(Upgrades!$T$6="Stellar Coupling",POWER(Upgrades!$U$6,E72),1)*IF(Upgrades!$T$7="Stellar Coupling",POWER(Upgrades!$U$7,F72),1)*IF(Upgrades!$T$9="Stellar Coupling",POWER(Upgrades!$U$9,H72),1)*IF(Upgrades!$T$10="Stellar Coupling",POWER(Upgrades!$U$10,I72),1)*IF(Upgrades!$T$11="Stellar Coupling",POWER(Upgrades!$U$11,J72),1)*IF(Upgrades!$T$12="Stellar Coupling",POWER(Upgrades!$U$12,K72),1))*(POWER(Upgrades!$Q$6,E72)*POWER(Upgrades!$Q$7,F72)*POWER(Upgrades!$Q$8,G72)*POWER(Upgrades!$Q$9,H72)*POWER(Upgrades!$Q$10,I72)*POWER(Upgrades!$Q$11,J72)*POWER(Upgrades!$Q$12,K72))*Parameters!$B$10*Parameters!$B$11/60)/Upgrades!$C$11,0)),IF(K72&gt;0,0,IFERROR((1.0*(POWER(Upgrades!$P$6,E72)*POWER(Upgrades!$P$7,F72)*POWER(Upgrades!$P$8,G72)*POWER(Upgrades!$P$9,H72)*POWER(Upgrades!$P$10,I72)*POWER(Upgrades!$P$11,J72)*POWER(Upgrades!$P$12,K72))+0.20*M72*Parameters!$B$10*Parameters!$B$11/60)/Upgrades!$C$12,0)),IF(AND(ISNUMBER(AG72),AG72&gt;T72),AS72,0),IF(AND(ISNUMBER(AH72),AH72&gt;T72),AT72,0),IF(AND(ISNUMBER(AI72),AI72&gt;T72),AU72,0),IF(AND(ISNUMBER(AJ72),AJ72&gt;T72),AV72,0))</f>
        <v/>
      </c>
      <c r="AX72" s="29">
        <f>IF(AN72=1,"transition",IF(MIN(IF(AND(I72=0,ISNUMBER(AK72),AK72&lt;=T72),AK72,9E15),IF(AND(J72=0,ISNUMBER(AL72),AL72&lt;=T72),AL72,9E15),IF(AND(K72=0,ISNUMBER(AM72),AM72&lt;=T72),AM72,9E15))&lt;9E15,IF(AND(AND(I72=0,ISNUMBER(AK72),AK72&lt;=T72),AK72=MIN(IF(AND(I72=0,ISNUMBER(AK72),AK72&lt;=T72),AK72,9E15),IF(AND(J72=0,ISNUMBER(AL72),AL72&lt;=T72),AL72,9E15),IF(AND(K72=0,ISNUMBER(AM72),AM72&lt;=T72),AM72,9E15))),"OR",IF(AND(AND(J72=0,ISNUMBER(AL72),AL72&lt;=T72),AL72=MIN(IF(AND(I72=0,ISNUMBER(AK72),AK72&lt;=T72),AK72,9E15),IF(AND(J72=0,ISNUMBER(AL72),AL72&lt;=T72),AL72,9E15),IF(AND(K72=0,ISNUMBER(AM72),AM72&lt;=T72),AM72,9E15))),"HP","FP")),IF(AR72=TRUE,"",IF(MAX(IF(AND(NOT(AND(AO72=1,AN72&lt;&gt;1)),ISNUMBER(AG72),AG72&lt;=T72),AS72,0),IF(AND(NOT(AND(AO72=1,AN72&lt;&gt;1)),ISNUMBER(AH72),AH72&lt;=T72),AT72,0),IF(AND(NOT(AND(AO72=1,AN72&lt;&gt;1)),ISNUMBER(AI72),AI72&lt;=T72),AU72,0),IF(AND(ISNUMBER(AJ72),AJ72&lt;=T72),AV72,0))&lt;=0,"",IF(AND(IF(AND(NOT(AND(AO72=1,AN72&lt;&gt;1)),ISNUMBER(AG72),AG72&lt;=T72),AS72,0)&gt;0,IF(AND(NOT(AND(AO72=1,AN72&lt;&gt;1)),ISNUMBER(AG72),AG72&lt;=T72),AS72,0)=MAX(IF(AND(NOT(AND(AO72=1,AN72&lt;&gt;1)),ISNUMBER(AG72),AG72&lt;=T72),AS72,0),IF(AND(NOT(AND(AO72=1,AN72&lt;&gt;1)),ISNUMBER(AH72),AH72&lt;=T72),AT72,0),IF(AND(NOT(AND(AO72=1,AN72&lt;&gt;1)),ISNUMBER(AI72),AI72&lt;=T72),AU72,0),IF(AND(ISNUMBER(AJ72),AJ72&lt;=T72),AV72,0))),"SW",IF(AND(IF(AND(NOT(AND(AO72=1,AN72&lt;&gt;1)),ISNUMBER(AH72),AH72&lt;=T72),AT72,0)&gt;0,IF(AND(NOT(AND(AO72=1,AN72&lt;&gt;1)),ISNUMBER(AH72),AH72&lt;=T72),AT72,0)=MAX(IF(AND(NOT(AND(AO72=1,AN72&lt;&gt;1)),ISNUMBER(AG72),AG72&lt;=T72),AS72,0),IF(AND(NOT(AND(AO72=1,AN72&lt;&gt;1)),ISNUMBER(AH72),AH72&lt;=T72),AT72,0),IF(AND(NOT(AND(AO72=1,AN72&lt;&gt;1)),ISNUMBER(AI72),AI72&lt;=T72),AU72,0),IF(AND(ISNUMBER(AJ72),AJ72&lt;=T72),AV72,0))),"AB",IF(AND(IF(AND(NOT(AND(AO72=1,AN72&lt;&gt;1)),ISNUMBER(AI72),AI72&lt;=T72),AU72,0)&gt;0,IF(AND(NOT(AND(AO72=1,AN72&lt;&gt;1)),ISNUMBER(AI72),AI72&lt;=T72),AU72,0)=MAX(IF(AND(NOT(AND(AO72=1,AN72&lt;&gt;1)),ISNUMBER(AG72),AG72&lt;=T72),AS72,0),IF(AND(NOT(AND(AO72=1,AN72&lt;&gt;1)),ISNUMBER(AH72),AH72&lt;=T72),AT72,0),IF(AND(NOT(AND(AO72=1,AN72&lt;&gt;1)),ISNUMBER(AI72),AI72&lt;=T72),AU72,0),IF(AND(ISNUMBER(AJ72),AJ72&lt;=T72),AV72,0))),"SC","Mag")))))))</f>
        <v/>
      </c>
    </row>
    <row r="73">
      <c r="A73" s="26" t="n">
        <v>68</v>
      </c>
      <c r="B73" s="27">
        <f>A73*10/60</f>
        <v/>
      </c>
      <c r="C73" s="22">
        <f>X72</f>
        <v/>
      </c>
      <c r="D73" s="27">
        <f>D72+W72</f>
        <v/>
      </c>
      <c r="E73" s="26">
        <f>E72+IF(U72="SW",1,0)</f>
        <v/>
      </c>
      <c r="F73" s="26">
        <f>F72+IF(U72="AB",1,0)</f>
        <v/>
      </c>
      <c r="G73" s="26">
        <f>G72+IF(U72="SC",1,0)</f>
        <v/>
      </c>
      <c r="H73" s="26">
        <f>H72+IF(U72="Mag",1,0)</f>
        <v/>
      </c>
      <c r="I73" s="26">
        <f>MAX(I72,IF(U72="OR",1,0))</f>
        <v/>
      </c>
      <c r="J73" s="26">
        <f>MAX(J72,IF(U72="HP",1,0))</f>
        <v/>
      </c>
      <c r="K73" s="26">
        <f>MAX(K72,IF(U72="FP",1,0))</f>
        <v/>
      </c>
      <c r="L73" s="26">
        <f>MAX(L72,IF(U72="transition",1,0))</f>
        <v/>
      </c>
      <c r="M73" s="28">
        <f>(Parameters!$B$9+(IF(E73=0,0,(Upgrades!$J$6+E73*Upgrades!$K$6)*POWER(Upgrades!$L$6,E73)))*(IF(Upgrades!$T$7="Solar Wind",POWER(Upgrades!$U$7,F73),1)*IF(Upgrades!$T$8="Solar Wind",POWER(Upgrades!$U$8,G73),1)*IF(Upgrades!$T$9="Solar Wind",POWER(Upgrades!$U$9,H73),1)*IF(Upgrades!$T$10="Solar Wind",POWER(Upgrades!$U$10,I73),1)*IF(Upgrades!$T$11="Solar Wind",POWER(Upgrades!$U$11,J73),1)*IF(Upgrades!$T$12="Solar Wind",POWER(Upgrades!$U$12,K73),1))+(IF(F73=0,0,(Upgrades!$J$7+F73*Upgrades!$K$7)*POWER(Upgrades!$L$7,F73)))*(IF(Upgrades!$T$6="Asteroid Belt",POWER(Upgrades!$U$6,E73),1)*IF(Upgrades!$T$8="Asteroid Belt",POWER(Upgrades!$U$8,G73),1)*IF(Upgrades!$T$9="Asteroid Belt",POWER(Upgrades!$U$9,H73),1)*IF(Upgrades!$T$10="Asteroid Belt",POWER(Upgrades!$U$10,I73),1)*IF(Upgrades!$T$11="Asteroid Belt",POWER(Upgrades!$U$11,J73),1)*IF(Upgrades!$T$12="Asteroid Belt",POWER(Upgrades!$U$12,K73),1))+(IF(G73=0,0,(Upgrades!$J$8+G73*Upgrades!$K$8)*POWER(Upgrades!$L$8,G73)))*(IF(Upgrades!$T$6="Stellar Coupling",POWER(Upgrades!$U$6,E73),1)*IF(Upgrades!$T$7="Stellar Coupling",POWER(Upgrades!$U$7,F73),1)*IF(Upgrades!$T$9="Stellar Coupling",POWER(Upgrades!$U$9,H73),1)*IF(Upgrades!$T$10="Stellar Coupling",POWER(Upgrades!$U$10,I73),1)*IF(Upgrades!$T$11="Stellar Coupling",POWER(Upgrades!$U$11,J73),1)*IF(Upgrades!$T$12="Stellar Coupling",POWER(Upgrades!$U$12,K73),1))+(IF(H73=0,0,(Upgrades!$J$9+H73*Upgrades!$K$9)*POWER(Upgrades!$L$9,H73)))*(IF(Upgrades!$T$6="Magnetosphere",POWER(Upgrades!$U$6,E73),1)*IF(Upgrades!$T$7="Magnetosphere",POWER(Upgrades!$U$7,F73),1)*IF(Upgrades!$T$8="Magnetosphere",POWER(Upgrades!$U$8,G73),1)*IF(Upgrades!$T$10="Magnetosphere",POWER(Upgrades!$U$10,I73),1)*IF(Upgrades!$T$11="Magnetosphere",POWER(Upgrades!$U$11,J73),1)*IF(Upgrades!$T$12="Magnetosphere",POWER(Upgrades!$U$12,K73),1))+(IF(I73=0,0,(Upgrades!$J$10+I73*Upgrades!$K$10)*POWER(Upgrades!$L$10,I73)))*(IF(Upgrades!$T$6="Orbital Resonance",POWER(Upgrades!$U$6,E73),1)*IF(Upgrades!$T$7="Orbital Resonance",POWER(Upgrades!$U$7,F73),1)*IF(Upgrades!$T$8="Orbital Resonance",POWER(Upgrades!$U$8,G73),1)*IF(Upgrades!$T$9="Orbital Resonance",POWER(Upgrades!$U$9,H73),1)*IF(Upgrades!$T$11="Orbital Resonance",POWER(Upgrades!$U$11,J73),1)*IF(Upgrades!$T$12="Orbital Resonance",POWER(Upgrades!$U$12,K73),1))+(IF(J73=0,0,(Upgrades!$J$11+J73*Upgrades!$K$11)*POWER(Upgrades!$L$11,J73)))*(IF(Upgrades!$T$6="Heliopause",POWER(Upgrades!$U$6,E73),1)*IF(Upgrades!$T$7="Heliopause",POWER(Upgrades!$U$7,F73),1)*IF(Upgrades!$T$8="Heliopause",POWER(Upgrades!$U$8,G73),1)*IF(Upgrades!$T$9="Heliopause",POWER(Upgrades!$U$9,H73),1)*IF(Upgrades!$T$10="Heliopause",POWER(Upgrades!$U$10,I73),1)*IF(Upgrades!$T$12="Heliopause",POWER(Upgrades!$U$12,K73),1))+(IF(K73=0,0,(Upgrades!$J$12+K73*Upgrades!$K$12)*POWER(Upgrades!$L$12,K73)))*(IF(Upgrades!$T$6="First Photons",POWER(Upgrades!$U$6,E73),1)*IF(Upgrades!$T$7="First Photons",POWER(Upgrades!$U$7,F73),1)*IF(Upgrades!$T$8="First Photons",POWER(Upgrades!$U$8,G73),1)*IF(Upgrades!$T$9="First Photons",POWER(Upgrades!$U$9,H73),1)*IF(Upgrades!$T$10="First Photons",POWER(Upgrades!$U$10,I73),1)*IF(Upgrades!$T$11="First Photons",POWER(Upgrades!$U$11,J73),1)))*POWER(Upgrades!$Q$6,E73)*POWER(Upgrades!$Q$7,F73)*POWER(Upgrades!$Q$8,G73)*POWER(Upgrades!$Q$9,H73)*POWER(Upgrades!$Q$10,I73)*POWER(Upgrades!$Q$11,J73)*POWER(Upgrades!$Q$12,K73)</f>
        <v/>
      </c>
      <c r="N73" s="28">
        <f>((IF(E73=0,0,(Upgrades!$G$6+E73*Upgrades!$H$6)*POWER(Upgrades!$I$6,E73)))*(IF(Upgrades!$T$7="Solar Wind",POWER(Upgrades!$U$7,F73),1)*IF(Upgrades!$T$8="Solar Wind",POWER(Upgrades!$U$8,G73),1)*IF(Upgrades!$T$9="Solar Wind",POWER(Upgrades!$U$9,H73),1)*IF(Upgrades!$T$10="Solar Wind",POWER(Upgrades!$U$10,I73),1)*IF(Upgrades!$T$11="Solar Wind",POWER(Upgrades!$U$11,J73),1)*IF(Upgrades!$T$12="Solar Wind",POWER(Upgrades!$U$12,K73),1))+(IF(F73=0,0,(Upgrades!$G$7+F73*Upgrades!$H$7)*POWER(Upgrades!$I$7,F73)))*(IF(Upgrades!$T$6="Asteroid Belt",POWER(Upgrades!$U$6,E73),1)*IF(Upgrades!$T$8="Asteroid Belt",POWER(Upgrades!$U$8,G73),1)*IF(Upgrades!$T$9="Asteroid Belt",POWER(Upgrades!$U$9,H73),1)*IF(Upgrades!$T$10="Asteroid Belt",POWER(Upgrades!$U$10,I73),1)*IF(Upgrades!$T$11="Asteroid Belt",POWER(Upgrades!$U$11,J73),1)*IF(Upgrades!$T$12="Asteroid Belt",POWER(Upgrades!$U$12,K73),1))+(IF(G73=0,0,(Upgrades!$G$8+G73*Upgrades!$H$8)*POWER(Upgrades!$I$8,G73)))*(IF(Upgrades!$T$6="Stellar Coupling",POWER(Upgrades!$U$6,E73),1)*IF(Upgrades!$T$7="Stellar Coupling",POWER(Upgrades!$U$7,F73),1)*IF(Upgrades!$T$9="Stellar Coupling",POWER(Upgrades!$U$9,H73),1)*IF(Upgrades!$T$10="Stellar Coupling",POWER(Upgrades!$U$10,I73),1)*IF(Upgrades!$T$11="Stellar Coupling",POWER(Upgrades!$U$11,J73),1)*IF(Upgrades!$T$12="Stellar Coupling",POWER(Upgrades!$U$12,K73),1))+(IF(H73=0,0,(Upgrades!$G$9+H73*Upgrades!$H$9)*POWER(Upgrades!$I$9,H73)))*(IF(Upgrades!$T$6="Magnetosphere",POWER(Upgrades!$U$6,E73),1)*IF(Upgrades!$T$7="Magnetosphere",POWER(Upgrades!$U$7,F73),1)*IF(Upgrades!$T$8="Magnetosphere",POWER(Upgrades!$U$8,G73),1)*IF(Upgrades!$T$10="Magnetosphere",POWER(Upgrades!$U$10,I73),1)*IF(Upgrades!$T$11="Magnetosphere",POWER(Upgrades!$U$11,J73),1)*IF(Upgrades!$T$12="Magnetosphere",POWER(Upgrades!$U$12,K73),1))+(IF(I73=0,0,(Upgrades!$G$10+I73*Upgrades!$H$10)*POWER(Upgrades!$I$10,I73)))*(IF(Upgrades!$T$6="Orbital Resonance",POWER(Upgrades!$U$6,E73),1)*IF(Upgrades!$T$7="Orbital Resonance",POWER(Upgrades!$U$7,F73),1)*IF(Upgrades!$T$8="Orbital Resonance",POWER(Upgrades!$U$8,G73),1)*IF(Upgrades!$T$9="Orbital Resonance",POWER(Upgrades!$U$9,H73),1)*IF(Upgrades!$T$11="Orbital Resonance",POWER(Upgrades!$U$11,J73),1)*IF(Upgrades!$T$12="Orbital Resonance",POWER(Upgrades!$U$12,K73),1))+(IF(J73=0,0,(Upgrades!$G$11+J73*Upgrades!$H$11)*POWER(Upgrades!$I$11,J73)))*(IF(Upgrades!$T$6="Heliopause",POWER(Upgrades!$U$6,E73),1)*IF(Upgrades!$T$7="Heliopause",POWER(Upgrades!$U$7,F73),1)*IF(Upgrades!$T$8="Heliopause",POWER(Upgrades!$U$8,G73),1)*IF(Upgrades!$T$9="Heliopause",POWER(Upgrades!$U$9,H73),1)*IF(Upgrades!$T$10="Heliopause",POWER(Upgrades!$U$10,I73),1)*IF(Upgrades!$T$12="Heliopause",POWER(Upgrades!$U$12,K73),1))+(IF(K73=0,0,(Upgrades!$G$12+K73*Upgrades!$H$12)*POWER(Upgrades!$I$12,K73)))*(IF(Upgrades!$T$6="First Photons",POWER(Upgrades!$U$6,E73),1)*IF(Upgrades!$T$7="First Photons",POWER(Upgrades!$U$7,F73),1)*IF(Upgrades!$T$8="First Photons",POWER(Upgrades!$U$8,G73),1)*IF(Upgrades!$T$9="First Photons",POWER(Upgrades!$U$9,H73),1)*IF(Upgrades!$T$10="First Photons",POWER(Upgrades!$U$10,I73),1)*IF(Upgrades!$T$11="First Photons",POWER(Upgrades!$U$11,J73),1)))*POWER(Upgrades!$P$6,E73)*POWER(Upgrades!$P$7,F73)*POWER(Upgrades!$P$8,G73)*POWER(Upgrades!$P$9,H73)*POWER(Upgrades!$P$10,I73)*POWER(Upgrades!$P$11,J73)*POWER(Upgrades!$P$12,K73)</f>
        <v/>
      </c>
      <c r="O73" s="28">
        <f>((IF(E73=0,0,(Upgrades!$M$6+E73*Upgrades!$N$6)*POWER(Upgrades!$O$6,E73)))*(IF(Upgrades!$T$7="Solar Wind",POWER(Upgrades!$U$7,F73),1)*IF(Upgrades!$T$8="Solar Wind",POWER(Upgrades!$U$8,G73),1)*IF(Upgrades!$T$9="Solar Wind",POWER(Upgrades!$U$9,H73),1)*IF(Upgrades!$T$10="Solar Wind",POWER(Upgrades!$U$10,I73),1)*IF(Upgrades!$T$11="Solar Wind",POWER(Upgrades!$U$11,J73),1)*IF(Upgrades!$T$12="Solar Wind",POWER(Upgrades!$U$12,K73),1))+(IF(F73=0,0,(Upgrades!$M$7+F73*Upgrades!$N$7)*POWER(Upgrades!$O$7,F73)))*(IF(Upgrades!$T$6="Asteroid Belt",POWER(Upgrades!$U$6,E73),1)*IF(Upgrades!$T$8="Asteroid Belt",POWER(Upgrades!$U$8,G73),1)*IF(Upgrades!$T$9="Asteroid Belt",POWER(Upgrades!$U$9,H73),1)*IF(Upgrades!$T$10="Asteroid Belt",POWER(Upgrades!$U$10,I73),1)*IF(Upgrades!$T$11="Asteroid Belt",POWER(Upgrades!$U$11,J73),1)*IF(Upgrades!$T$12="Asteroid Belt",POWER(Upgrades!$U$12,K73),1))+(IF(G73=0,0,(Upgrades!$M$8+G73*Upgrades!$N$8)*POWER(Upgrades!$O$8,G73)))*(IF(Upgrades!$T$6="Stellar Coupling",POWER(Upgrades!$U$6,E73),1)*IF(Upgrades!$T$7="Stellar Coupling",POWER(Upgrades!$U$7,F73),1)*IF(Upgrades!$T$9="Stellar Coupling",POWER(Upgrades!$U$9,H73),1)*IF(Upgrades!$T$10="Stellar Coupling",POWER(Upgrades!$U$10,I73),1)*IF(Upgrades!$T$11="Stellar Coupling",POWER(Upgrades!$U$11,J73),1)*IF(Upgrades!$T$12="Stellar Coupling",POWER(Upgrades!$U$12,K73),1))+(IF(H73=0,0,(Upgrades!$M$9+H73*Upgrades!$N$9)*POWER(Upgrades!$O$9,H73)))*(IF(Upgrades!$T$6="Magnetosphere",POWER(Upgrades!$U$6,E73),1)*IF(Upgrades!$T$7="Magnetosphere",POWER(Upgrades!$U$7,F73),1)*IF(Upgrades!$T$8="Magnetosphere",POWER(Upgrades!$U$8,G73),1)*IF(Upgrades!$T$10="Magnetosphere",POWER(Upgrades!$U$10,I73),1)*IF(Upgrades!$T$11="Magnetosphere",POWER(Upgrades!$U$11,J73),1)*IF(Upgrades!$T$12="Magnetosphere",POWER(Upgrades!$U$12,K73),1))+(IF(I73=0,0,(Upgrades!$M$10+I73*Upgrades!$N$10)*POWER(Upgrades!$O$10,I73)))*(IF(Upgrades!$T$6="Orbital Resonance",POWER(Upgrades!$U$6,E73),1)*IF(Upgrades!$T$7="Orbital Resonance",POWER(Upgrades!$U$7,F73),1)*IF(Upgrades!$T$8="Orbital Resonance",POWER(Upgrades!$U$8,G73),1)*IF(Upgrades!$T$9="Orbital Resonance",POWER(Upgrades!$U$9,H73),1)*IF(Upgrades!$T$11="Orbital Resonance",POWER(Upgrades!$U$11,J73),1)*IF(Upgrades!$T$12="Orbital Resonance",POWER(Upgrades!$U$12,K73),1))+(IF(J73=0,0,(Upgrades!$M$11+J73*Upgrades!$N$11)*POWER(Upgrades!$O$11,J73)))*(IF(Upgrades!$T$6="Heliopause",POWER(Upgrades!$U$6,E73),1)*IF(Upgrades!$T$7="Heliopause",POWER(Upgrades!$U$7,F73),1)*IF(Upgrades!$T$8="Heliopause",POWER(Upgrades!$U$8,G73),1)*IF(Upgrades!$T$9="Heliopause",POWER(Upgrades!$U$9,H73),1)*IF(Upgrades!$T$10="Heliopause",POWER(Upgrades!$U$10,I73),1)*IF(Upgrades!$T$12="Heliopause",POWER(Upgrades!$U$12,K73),1))+(IF(K73=0,0,(Upgrades!$M$12+K73*Upgrades!$N$12)*POWER(Upgrades!$O$12,K73)))*(IF(Upgrades!$T$6="First Photons",POWER(Upgrades!$U$6,E73),1)*IF(Upgrades!$T$7="First Photons",POWER(Upgrades!$U$7,F73),1)*IF(Upgrades!$T$8="First Photons",POWER(Upgrades!$U$8,G73),1)*IF(Upgrades!$T$9="First Photons",POWER(Upgrades!$U$9,H73),1)*IF(Upgrades!$T$10="First Photons",POWER(Upgrades!$U$10,I73),1)*IF(Upgrades!$T$11="First Photons",POWER(Upgrades!$U$11,J73),1)))*POWER(Upgrades!$R$6,E73)*POWER(Upgrades!$R$7,F73)*POWER(Upgrades!$R$8,G73)*POWER(Upgrades!$R$9,H73)*POWER(Upgrades!$R$10,I73)*POWER(Upgrades!$R$11,J73)*POWER(Upgrades!$R$12,K73)</f>
        <v/>
      </c>
      <c r="P73" s="27">
        <f>IF(L73=1,0,M73*Parameters!$B$10/60*Parameters!$B$11*10)</f>
        <v/>
      </c>
      <c r="Q73" s="27">
        <f>IF(L73=1,0,O73*M73*10)</f>
        <v/>
      </c>
      <c r="R73" s="27">
        <f>IF(L73=1,0,N73*10)</f>
        <v/>
      </c>
      <c r="S73" s="27">
        <f>P73+Q73+R73</f>
        <v/>
      </c>
      <c r="T73" s="22">
        <f>C73+S73</f>
        <v/>
      </c>
      <c r="U73" s="33">
        <f>AX73</f>
        <v/>
      </c>
      <c r="V73" s="22">
        <f>IF(U73="",0,IF(U73="transition",0,IF(U73="SW",AG73,IF(U73="AB",AH73,IF(U73="SC",AI73,IF(U73="Mag",AJ73,IF(U73="OR",AK73,IF(U73="HP",AL73,IF(U73="FP",AM73,0)))))))))</f>
        <v/>
      </c>
      <c r="W73" s="27">
        <f>IF(U73="OR",Upgrades!$F$10,IF(U73="HP",Upgrades!$F$11,IF(U73="transition",-Parameters!$B$18,0)))</f>
        <v/>
      </c>
      <c r="X73" s="22">
        <f>T73-V73</f>
        <v/>
      </c>
      <c r="Y73" s="30">
        <f>M73*Parameters!$B$10/60*Parameters!$B$11+O73*M73+N73</f>
        <v/>
      </c>
      <c r="Z73" s="34">
        <f>IF(U73="transition","→ Tier 2 (Stellar Neighborhood)",IF(U73="FP","First Photons — light begins, system quickens",IF(U73="HP","Heliopause acquired",IF(U73="OR","Orbital Resonance — passive multiplier active",IF(AND(AO73=1,L73=0,AN73&lt;&gt;1),"Cohesion ready (waiting on completionist upgrades)","")))))</f>
        <v/>
      </c>
      <c r="AA73" s="27">
        <f>(IF(E73=0,0,(Upgrades!$G$6+E73*Upgrades!$H$6)*POWER(Upgrades!$I$6,E73)))*(IF(Upgrades!$T$7="Solar Wind",POWER(Upgrades!$U$7,F73),1)*IF(Upgrades!$T$8="Solar Wind",POWER(Upgrades!$U$8,G73),1)*IF(Upgrades!$T$9="Solar Wind",POWER(Upgrades!$U$9,H73),1)*IF(Upgrades!$T$10="Solar Wind",POWER(Upgrades!$U$10,I73),1)*IF(Upgrades!$T$11="Solar Wind",POWER(Upgrades!$U$11,J73),1)*IF(Upgrades!$T$12="Solar Wind",POWER(Upgrades!$U$12,K73),1))*POWER(Upgrades!$P$6,E73)*POWER(Upgrades!$P$7,F73)*POWER(Upgrades!$P$8,G73)*POWER(Upgrades!$P$9,H73)*POWER(Upgrades!$P$10,I73)*POWER(Upgrades!$P$11,J73)*POWER(Upgrades!$P$12,K73)*60</f>
        <v/>
      </c>
      <c r="AB73" s="27">
        <f>(IF(F73=0,0,(Upgrades!$G$7+F73*Upgrades!$H$7)*POWER(Upgrades!$I$7,F73)))*(IF(Upgrades!$T$6="Asteroid Belt",POWER(Upgrades!$U$6,E73),1)*IF(Upgrades!$T$8="Asteroid Belt",POWER(Upgrades!$U$8,G73),1)*IF(Upgrades!$T$9="Asteroid Belt",POWER(Upgrades!$U$9,H73),1)*IF(Upgrades!$T$10="Asteroid Belt",POWER(Upgrades!$U$10,I73),1)*IF(Upgrades!$T$11="Asteroid Belt",POWER(Upgrades!$U$11,J73),1)*IF(Upgrades!$T$12="Asteroid Belt",POWER(Upgrades!$U$12,K73),1))*POWER(Upgrades!$P$6,E73)*POWER(Upgrades!$P$7,F73)*POWER(Upgrades!$P$8,G73)*POWER(Upgrades!$P$9,H73)*POWER(Upgrades!$P$10,I73)*POWER(Upgrades!$P$11,J73)*POWER(Upgrades!$P$12,K73)*60</f>
        <v/>
      </c>
      <c r="AC73" s="27">
        <f>(IF(G73=0,0,(Upgrades!$J$8+G73*Upgrades!$K$8)*POWER(Upgrades!$L$8,G73)))*(IF(Upgrades!$T$6="Stellar Coupling",POWER(Upgrades!$U$6,E73),1)*IF(Upgrades!$T$7="Stellar Coupling",POWER(Upgrades!$U$7,F73),1)*IF(Upgrades!$T$9="Stellar Coupling",POWER(Upgrades!$U$9,H73),1)*IF(Upgrades!$T$10="Stellar Coupling",POWER(Upgrades!$U$10,I73),1)*IF(Upgrades!$T$11="Stellar Coupling",POWER(Upgrades!$U$11,J73),1)*IF(Upgrades!$T$12="Stellar Coupling",POWER(Upgrades!$U$12,K73),1))*POWER(Upgrades!$Q$6,E73)*POWER(Upgrades!$Q$7,F73)*POWER(Upgrades!$Q$8,G73)*POWER(Upgrades!$Q$9,H73)*POWER(Upgrades!$Q$10,I73)*POWER(Upgrades!$Q$11,J73)*POWER(Upgrades!$Q$12,K73)*Parameters!$B$10*Parameters!$B$11</f>
        <v/>
      </c>
      <c r="AD73" s="27">
        <f>(IF(H73=0,0,(Upgrades!$G$9+H73*Upgrades!$H$9)*POWER(Upgrades!$I$9,H73)))*(IF(Upgrades!$T$6="Magnetosphere",POWER(Upgrades!$U$6,E73),1)*IF(Upgrades!$T$7="Magnetosphere",POWER(Upgrades!$U$7,F73),1)*IF(Upgrades!$T$8="Magnetosphere",POWER(Upgrades!$U$8,G73),1)*IF(Upgrades!$T$10="Magnetosphere",POWER(Upgrades!$U$10,I73),1)*IF(Upgrades!$T$11="Magnetosphere",POWER(Upgrades!$U$11,J73),1)*IF(Upgrades!$T$12="Magnetosphere",POWER(Upgrades!$U$12,K73),1))*POWER(Upgrades!$P$6,E73)*POWER(Upgrades!$P$7,F73)*POWER(Upgrades!$P$8,G73)*POWER(Upgrades!$P$9,H73)*POWER(Upgrades!$P$10,I73)*POWER(Upgrades!$P$11,J73)*POWER(Upgrades!$P$12,K73)*60</f>
        <v/>
      </c>
      <c r="AE73" s="27">
        <f>(IF(K73=0,0,(Upgrades!$G$12+K73*Upgrades!$H$12)*POWER(Upgrades!$I$12,K73)))*(IF(Upgrades!$T$6="First Photons",POWER(Upgrades!$U$6,E73),1)*IF(Upgrades!$T$7="First Photons",POWER(Upgrades!$U$7,F73),1)*IF(Upgrades!$T$8="First Photons",POWER(Upgrades!$U$8,G73),1)*IF(Upgrades!$T$9="First Photons",POWER(Upgrades!$U$9,H73),1)*IF(Upgrades!$T$10="First Photons",POWER(Upgrades!$U$10,I73),1)*IF(Upgrades!$T$11="First Photons",POWER(Upgrades!$U$11,J73),1))*POWER(Upgrades!$P$6,E73)*POWER(Upgrades!$P$7,F73)*POWER(Upgrades!$P$8,G73)*POWER(Upgrades!$P$9,H73)*POWER(Upgrades!$P$10,I73)*POWER(Upgrades!$P$11,J73)*POWER(Upgrades!$P$12,K73)*60</f>
        <v/>
      </c>
      <c r="AF73" s="27">
        <f>Parameters!$B$9*POWER(Upgrades!$Q$6,E73)*POWER(Upgrades!$Q$7,F73)*POWER(Upgrades!$Q$8,G73)*POWER(Upgrades!$Q$9,H73)*POWER(Upgrades!$Q$10,I73)*POWER(Upgrades!$Q$11,J73)*POWER(Upgrades!$Q$12,K73)*(Parameters!$B$10*Parameters!$B$11+O73*60)</f>
        <v/>
      </c>
      <c r="AG73" s="22">
        <f>IF(E73&gt;=Upgrades!$E$6,"",Upgrades!$C$6*POWER(Upgrades!$D$6,E73))</f>
        <v/>
      </c>
      <c r="AH73" s="22">
        <f>IF(F73&gt;=Upgrades!$E$7,"",Upgrades!$C$7*POWER(Upgrades!$D$7,F73))</f>
        <v/>
      </c>
      <c r="AI73" s="22">
        <f>IF(G73&gt;=Upgrades!$E$8,"",Upgrades!$C$8*POWER(Upgrades!$D$8,G73))</f>
        <v/>
      </c>
      <c r="AJ73" s="22">
        <f>IF(H73&gt;=Upgrades!$E$9,"",Upgrades!$C$9*POWER(Upgrades!$D$9,H73))</f>
        <v/>
      </c>
      <c r="AK73" s="22">
        <f>IF(I73&gt;=Upgrades!$E$10,"",Upgrades!$C$10*POWER(Upgrades!$D$10,I73))</f>
        <v/>
      </c>
      <c r="AL73" s="22">
        <f>IF(J73&gt;=Upgrades!$E$11,"",Upgrades!$C$11*POWER(Upgrades!$D$11,J73))</f>
        <v/>
      </c>
      <c r="AM73" s="22">
        <f>IF(K73&gt;=Upgrades!$E$12,"",Upgrades!$C$12*POWER(Upgrades!$D$12,K73))</f>
        <v/>
      </c>
      <c r="AN73" s="26">
        <f>IF(AND(D73&gt;=Parameters!$B$18,(H73&gt;=Upgrades!$E$9)*(K73&gt;=Upgrades!$E$12)=1,L73=0),1,"")</f>
        <v/>
      </c>
      <c r="AO73" s="26">
        <f>IF(AND(D73&gt;=Parameters!$B$18,L73=0),1,"")</f>
        <v/>
      </c>
      <c r="AP73" s="22">
        <f>MIN(IF(ISNUMBER(AK73),AK73,9E15),IF(ISNUMBER(AL73),AL73,9E15),IF(ISNUMBER(AM73),AM73,9E15))</f>
        <v/>
      </c>
      <c r="AQ73" s="22">
        <f>MIN(IF(ISNUMBER(AG73),AG73,9E15),IF(ISNUMBER(AH73),AH73,9E15),IF(ISNUMBER(AI73),AI73,9E15),IF(ISNUMBER(AJ73),AJ73,9E15))</f>
        <v/>
      </c>
      <c r="AR73" s="29">
        <f>IF(AW73&gt;Parameters!$B$21*(MAX(IF(AND(NOT(AND(AO73=1,AN73&lt;&gt;1)),ISNUMBER(AG73),AG73&lt;=T73),AS73,0),IF(AND(NOT(AND(AO73=1,AN73&lt;&gt;1)),ISNUMBER(AH73),AH73&lt;=T73),AT73,0),IF(AND(NOT(AND(AO73=1,AN73&lt;&gt;1)),ISNUMBER(AI73),AI73&lt;=T73),AU73,0),IF(AND(ISNUMBER(AJ73),AJ73&lt;=T73),AV73,0))),TRUE,FALSE)</f>
        <v/>
      </c>
      <c r="AS73" s="32">
        <f>IFERROR(Upgrades!$H$6*(POWER(Upgrades!$P$6,E73)*POWER(Upgrades!$P$7,F73)*POWER(Upgrades!$P$8,G73)*POWER(Upgrades!$P$9,H73)*POWER(Upgrades!$P$10,I73)*POWER(Upgrades!$P$11,J73)*POWER(Upgrades!$P$12,K73))*(IF(Upgrades!$T$7="Solar Wind",POWER(Upgrades!$U$7,F73),1)*IF(Upgrades!$T$8="Solar Wind",POWER(Upgrades!$U$8,G73),1)*IF(Upgrades!$T$9="Solar Wind",POWER(Upgrades!$U$9,H73),1)*IF(Upgrades!$T$10="Solar Wind",POWER(Upgrades!$U$10,I73),1)*IF(Upgrades!$T$11="Solar Wind",POWER(Upgrades!$U$11,J73),1)*IF(Upgrades!$T$12="Solar Wind",POWER(Upgrades!$U$12,K73),1))/AG73,0)</f>
        <v/>
      </c>
      <c r="AT73" s="32">
        <f>IFERROR(Upgrades!$H$7*(POWER(Upgrades!$P$6,E73)*POWER(Upgrades!$P$7,F73)*POWER(Upgrades!$P$8,G73)*POWER(Upgrades!$P$9,H73)*POWER(Upgrades!$P$10,I73)*POWER(Upgrades!$P$11,J73)*POWER(Upgrades!$P$12,K73))*(IF(Upgrades!$T$6="Asteroid Belt",POWER(Upgrades!$U$6,E73),1)*IF(Upgrades!$T$8="Asteroid Belt",POWER(Upgrades!$U$8,G73),1)*IF(Upgrades!$T$9="Asteroid Belt",POWER(Upgrades!$U$9,H73),1)*IF(Upgrades!$T$10="Asteroid Belt",POWER(Upgrades!$U$10,I73),1)*IF(Upgrades!$T$11="Asteroid Belt",POWER(Upgrades!$U$11,J73),1)*IF(Upgrades!$T$12="Asteroid Belt",POWER(Upgrades!$U$12,K73),1))/AH73,0)</f>
        <v/>
      </c>
      <c r="AU73" s="32">
        <f>IFERROR(Upgrades!$K$8*(POWER(Upgrades!$Q$6,E73)*POWER(Upgrades!$Q$7,F73)*POWER(Upgrades!$Q$8,G73)*POWER(Upgrades!$Q$9,H73)*POWER(Upgrades!$Q$10,I73)*POWER(Upgrades!$Q$11,J73)*POWER(Upgrades!$Q$12,K73))*(IF(Upgrades!$T$6="Stellar Coupling",POWER(Upgrades!$U$6,E73),1)*IF(Upgrades!$T$7="Stellar Coupling",POWER(Upgrades!$U$7,F73),1)*IF(Upgrades!$T$9="Stellar Coupling",POWER(Upgrades!$U$9,H73),1)*IF(Upgrades!$T$10="Stellar Coupling",POWER(Upgrades!$U$10,I73),1)*IF(Upgrades!$T$11="Stellar Coupling",POWER(Upgrades!$U$11,J73),1)*IF(Upgrades!$T$12="Stellar Coupling",POWER(Upgrades!$U$12,K73),1))*Parameters!$B$10*Parameters!$B$11/60/AI73,0)</f>
        <v/>
      </c>
      <c r="AV73" s="32">
        <f>IFERROR(Upgrades!$H$9*(POWER(Upgrades!$P$6,E73)*POWER(Upgrades!$P$7,F73)*POWER(Upgrades!$P$8,G73)*POWER(Upgrades!$P$9,H73)*POWER(Upgrades!$P$10,I73)*POWER(Upgrades!$P$11,J73)*POWER(Upgrades!$P$12,K73))*(IF(Upgrades!$T$6="Magnetosphere",POWER(Upgrades!$U$6,E73),1)*IF(Upgrades!$T$7="Magnetosphere",POWER(Upgrades!$U$7,F73),1)*IF(Upgrades!$T$8="Magnetosphere",POWER(Upgrades!$U$8,G73),1)*IF(Upgrades!$T$10="Magnetosphere",POWER(Upgrades!$U$10,I73),1)*IF(Upgrades!$T$11="Magnetosphere",POWER(Upgrades!$U$11,J73),1)*IF(Upgrades!$T$12="Magnetosphere",POWER(Upgrades!$U$12,K73),1))/AJ73,0)</f>
        <v/>
      </c>
      <c r="AW73" s="32">
        <f>MAX(IF(I73&gt;0,0,IFERROR(0.25*N73/Upgrades!$C$10,0)),IF(J73&gt;0,0,IFERROR(0.5*((IF(G73=0,0,(Upgrades!$J$8+G73*Upgrades!$K$8)*POWER(Upgrades!$L$8,G73)))*(IF(Upgrades!$T$6="Stellar Coupling",POWER(Upgrades!$U$6,E73),1)*IF(Upgrades!$T$7="Stellar Coupling",POWER(Upgrades!$U$7,F73),1)*IF(Upgrades!$T$9="Stellar Coupling",POWER(Upgrades!$U$9,H73),1)*IF(Upgrades!$T$10="Stellar Coupling",POWER(Upgrades!$U$10,I73),1)*IF(Upgrades!$T$11="Stellar Coupling",POWER(Upgrades!$U$11,J73),1)*IF(Upgrades!$T$12="Stellar Coupling",POWER(Upgrades!$U$12,K73),1))*(POWER(Upgrades!$Q$6,E73)*POWER(Upgrades!$Q$7,F73)*POWER(Upgrades!$Q$8,G73)*POWER(Upgrades!$Q$9,H73)*POWER(Upgrades!$Q$10,I73)*POWER(Upgrades!$Q$11,J73)*POWER(Upgrades!$Q$12,K73))*Parameters!$B$10*Parameters!$B$11/60)/Upgrades!$C$11,0)),IF(K73&gt;0,0,IFERROR((1.0*(POWER(Upgrades!$P$6,E73)*POWER(Upgrades!$P$7,F73)*POWER(Upgrades!$P$8,G73)*POWER(Upgrades!$P$9,H73)*POWER(Upgrades!$P$10,I73)*POWER(Upgrades!$P$11,J73)*POWER(Upgrades!$P$12,K73))+0.20*M73*Parameters!$B$10*Parameters!$B$11/60)/Upgrades!$C$12,0)),IF(AND(ISNUMBER(AG73),AG73&gt;T73),AS73,0),IF(AND(ISNUMBER(AH73),AH73&gt;T73),AT73,0),IF(AND(ISNUMBER(AI73),AI73&gt;T73),AU73,0),IF(AND(ISNUMBER(AJ73),AJ73&gt;T73),AV73,0))</f>
        <v/>
      </c>
      <c r="AX73" s="29">
        <f>IF(AN73=1,"transition",IF(MIN(IF(AND(I73=0,ISNUMBER(AK73),AK73&lt;=T73),AK73,9E15),IF(AND(J73=0,ISNUMBER(AL73),AL73&lt;=T73),AL73,9E15),IF(AND(K73=0,ISNUMBER(AM73),AM73&lt;=T73),AM73,9E15))&lt;9E15,IF(AND(AND(I73=0,ISNUMBER(AK73),AK73&lt;=T73),AK73=MIN(IF(AND(I73=0,ISNUMBER(AK73),AK73&lt;=T73),AK73,9E15),IF(AND(J73=0,ISNUMBER(AL73),AL73&lt;=T73),AL73,9E15),IF(AND(K73=0,ISNUMBER(AM73),AM73&lt;=T73),AM73,9E15))),"OR",IF(AND(AND(J73=0,ISNUMBER(AL73),AL73&lt;=T73),AL73=MIN(IF(AND(I73=0,ISNUMBER(AK73),AK73&lt;=T73),AK73,9E15),IF(AND(J73=0,ISNUMBER(AL73),AL73&lt;=T73),AL73,9E15),IF(AND(K73=0,ISNUMBER(AM73),AM73&lt;=T73),AM73,9E15))),"HP","FP")),IF(AR73=TRUE,"",IF(MAX(IF(AND(NOT(AND(AO73=1,AN73&lt;&gt;1)),ISNUMBER(AG73),AG73&lt;=T73),AS73,0),IF(AND(NOT(AND(AO73=1,AN73&lt;&gt;1)),ISNUMBER(AH73),AH73&lt;=T73),AT73,0),IF(AND(NOT(AND(AO73=1,AN73&lt;&gt;1)),ISNUMBER(AI73),AI73&lt;=T73),AU73,0),IF(AND(ISNUMBER(AJ73),AJ73&lt;=T73),AV73,0))&lt;=0,"",IF(AND(IF(AND(NOT(AND(AO73=1,AN73&lt;&gt;1)),ISNUMBER(AG73),AG73&lt;=T73),AS73,0)&gt;0,IF(AND(NOT(AND(AO73=1,AN73&lt;&gt;1)),ISNUMBER(AG73),AG73&lt;=T73),AS73,0)=MAX(IF(AND(NOT(AND(AO73=1,AN73&lt;&gt;1)),ISNUMBER(AG73),AG73&lt;=T73),AS73,0),IF(AND(NOT(AND(AO73=1,AN73&lt;&gt;1)),ISNUMBER(AH73),AH73&lt;=T73),AT73,0),IF(AND(NOT(AND(AO73=1,AN73&lt;&gt;1)),ISNUMBER(AI73),AI73&lt;=T73),AU73,0),IF(AND(ISNUMBER(AJ73),AJ73&lt;=T73),AV73,0))),"SW",IF(AND(IF(AND(NOT(AND(AO73=1,AN73&lt;&gt;1)),ISNUMBER(AH73),AH73&lt;=T73),AT73,0)&gt;0,IF(AND(NOT(AND(AO73=1,AN73&lt;&gt;1)),ISNUMBER(AH73),AH73&lt;=T73),AT73,0)=MAX(IF(AND(NOT(AND(AO73=1,AN73&lt;&gt;1)),ISNUMBER(AG73),AG73&lt;=T73),AS73,0),IF(AND(NOT(AND(AO73=1,AN73&lt;&gt;1)),ISNUMBER(AH73),AH73&lt;=T73),AT73,0),IF(AND(NOT(AND(AO73=1,AN73&lt;&gt;1)),ISNUMBER(AI73),AI73&lt;=T73),AU73,0),IF(AND(ISNUMBER(AJ73),AJ73&lt;=T73),AV73,0))),"AB",IF(AND(IF(AND(NOT(AND(AO73=1,AN73&lt;&gt;1)),ISNUMBER(AI73),AI73&lt;=T73),AU73,0)&gt;0,IF(AND(NOT(AND(AO73=1,AN73&lt;&gt;1)),ISNUMBER(AI73),AI73&lt;=T73),AU73,0)=MAX(IF(AND(NOT(AND(AO73=1,AN73&lt;&gt;1)),ISNUMBER(AG73),AG73&lt;=T73),AS73,0),IF(AND(NOT(AND(AO73=1,AN73&lt;&gt;1)),ISNUMBER(AH73),AH73&lt;=T73),AT73,0),IF(AND(NOT(AND(AO73=1,AN73&lt;&gt;1)),ISNUMBER(AI73),AI73&lt;=T73),AU73,0),IF(AND(ISNUMBER(AJ73),AJ73&lt;=T73),AV73,0))),"SC","Mag")))))))</f>
        <v/>
      </c>
    </row>
    <row r="74">
      <c r="A74" s="26" t="n">
        <v>69</v>
      </c>
      <c r="B74" s="27">
        <f>A74*10/60</f>
        <v/>
      </c>
      <c r="C74" s="22">
        <f>X73</f>
        <v/>
      </c>
      <c r="D74" s="27">
        <f>D73+W73</f>
        <v/>
      </c>
      <c r="E74" s="26">
        <f>E73+IF(U73="SW",1,0)</f>
        <v/>
      </c>
      <c r="F74" s="26">
        <f>F73+IF(U73="AB",1,0)</f>
        <v/>
      </c>
      <c r="G74" s="26">
        <f>G73+IF(U73="SC",1,0)</f>
        <v/>
      </c>
      <c r="H74" s="26">
        <f>H73+IF(U73="Mag",1,0)</f>
        <v/>
      </c>
      <c r="I74" s="26">
        <f>MAX(I73,IF(U73="OR",1,0))</f>
        <v/>
      </c>
      <c r="J74" s="26">
        <f>MAX(J73,IF(U73="HP",1,0))</f>
        <v/>
      </c>
      <c r="K74" s="26">
        <f>MAX(K73,IF(U73="FP",1,0))</f>
        <v/>
      </c>
      <c r="L74" s="26">
        <f>MAX(L73,IF(U73="transition",1,0))</f>
        <v/>
      </c>
      <c r="M74" s="28">
        <f>(Parameters!$B$9+(IF(E74=0,0,(Upgrades!$J$6+E74*Upgrades!$K$6)*POWER(Upgrades!$L$6,E74)))*(IF(Upgrades!$T$7="Solar Wind",POWER(Upgrades!$U$7,F74),1)*IF(Upgrades!$T$8="Solar Wind",POWER(Upgrades!$U$8,G74),1)*IF(Upgrades!$T$9="Solar Wind",POWER(Upgrades!$U$9,H74),1)*IF(Upgrades!$T$10="Solar Wind",POWER(Upgrades!$U$10,I74),1)*IF(Upgrades!$T$11="Solar Wind",POWER(Upgrades!$U$11,J74),1)*IF(Upgrades!$T$12="Solar Wind",POWER(Upgrades!$U$12,K74),1))+(IF(F74=0,0,(Upgrades!$J$7+F74*Upgrades!$K$7)*POWER(Upgrades!$L$7,F74)))*(IF(Upgrades!$T$6="Asteroid Belt",POWER(Upgrades!$U$6,E74),1)*IF(Upgrades!$T$8="Asteroid Belt",POWER(Upgrades!$U$8,G74),1)*IF(Upgrades!$T$9="Asteroid Belt",POWER(Upgrades!$U$9,H74),1)*IF(Upgrades!$T$10="Asteroid Belt",POWER(Upgrades!$U$10,I74),1)*IF(Upgrades!$T$11="Asteroid Belt",POWER(Upgrades!$U$11,J74),1)*IF(Upgrades!$T$12="Asteroid Belt",POWER(Upgrades!$U$12,K74),1))+(IF(G74=0,0,(Upgrades!$J$8+G74*Upgrades!$K$8)*POWER(Upgrades!$L$8,G74)))*(IF(Upgrades!$T$6="Stellar Coupling",POWER(Upgrades!$U$6,E74),1)*IF(Upgrades!$T$7="Stellar Coupling",POWER(Upgrades!$U$7,F74),1)*IF(Upgrades!$T$9="Stellar Coupling",POWER(Upgrades!$U$9,H74),1)*IF(Upgrades!$T$10="Stellar Coupling",POWER(Upgrades!$U$10,I74),1)*IF(Upgrades!$T$11="Stellar Coupling",POWER(Upgrades!$U$11,J74),1)*IF(Upgrades!$T$12="Stellar Coupling",POWER(Upgrades!$U$12,K74),1))+(IF(H74=0,0,(Upgrades!$J$9+H74*Upgrades!$K$9)*POWER(Upgrades!$L$9,H74)))*(IF(Upgrades!$T$6="Magnetosphere",POWER(Upgrades!$U$6,E74),1)*IF(Upgrades!$T$7="Magnetosphere",POWER(Upgrades!$U$7,F74),1)*IF(Upgrades!$T$8="Magnetosphere",POWER(Upgrades!$U$8,G74),1)*IF(Upgrades!$T$10="Magnetosphere",POWER(Upgrades!$U$10,I74),1)*IF(Upgrades!$T$11="Magnetosphere",POWER(Upgrades!$U$11,J74),1)*IF(Upgrades!$T$12="Magnetosphere",POWER(Upgrades!$U$12,K74),1))+(IF(I74=0,0,(Upgrades!$J$10+I74*Upgrades!$K$10)*POWER(Upgrades!$L$10,I74)))*(IF(Upgrades!$T$6="Orbital Resonance",POWER(Upgrades!$U$6,E74),1)*IF(Upgrades!$T$7="Orbital Resonance",POWER(Upgrades!$U$7,F74),1)*IF(Upgrades!$T$8="Orbital Resonance",POWER(Upgrades!$U$8,G74),1)*IF(Upgrades!$T$9="Orbital Resonance",POWER(Upgrades!$U$9,H74),1)*IF(Upgrades!$T$11="Orbital Resonance",POWER(Upgrades!$U$11,J74),1)*IF(Upgrades!$T$12="Orbital Resonance",POWER(Upgrades!$U$12,K74),1))+(IF(J74=0,0,(Upgrades!$J$11+J74*Upgrades!$K$11)*POWER(Upgrades!$L$11,J74)))*(IF(Upgrades!$T$6="Heliopause",POWER(Upgrades!$U$6,E74),1)*IF(Upgrades!$T$7="Heliopause",POWER(Upgrades!$U$7,F74),1)*IF(Upgrades!$T$8="Heliopause",POWER(Upgrades!$U$8,G74),1)*IF(Upgrades!$T$9="Heliopause",POWER(Upgrades!$U$9,H74),1)*IF(Upgrades!$T$10="Heliopause",POWER(Upgrades!$U$10,I74),1)*IF(Upgrades!$T$12="Heliopause",POWER(Upgrades!$U$12,K74),1))+(IF(K74=0,0,(Upgrades!$J$12+K74*Upgrades!$K$12)*POWER(Upgrades!$L$12,K74)))*(IF(Upgrades!$T$6="First Photons",POWER(Upgrades!$U$6,E74),1)*IF(Upgrades!$T$7="First Photons",POWER(Upgrades!$U$7,F74),1)*IF(Upgrades!$T$8="First Photons",POWER(Upgrades!$U$8,G74),1)*IF(Upgrades!$T$9="First Photons",POWER(Upgrades!$U$9,H74),1)*IF(Upgrades!$T$10="First Photons",POWER(Upgrades!$U$10,I74),1)*IF(Upgrades!$T$11="First Photons",POWER(Upgrades!$U$11,J74),1)))*POWER(Upgrades!$Q$6,E74)*POWER(Upgrades!$Q$7,F74)*POWER(Upgrades!$Q$8,G74)*POWER(Upgrades!$Q$9,H74)*POWER(Upgrades!$Q$10,I74)*POWER(Upgrades!$Q$11,J74)*POWER(Upgrades!$Q$12,K74)</f>
        <v/>
      </c>
      <c r="N74" s="28">
        <f>((IF(E74=0,0,(Upgrades!$G$6+E74*Upgrades!$H$6)*POWER(Upgrades!$I$6,E74)))*(IF(Upgrades!$T$7="Solar Wind",POWER(Upgrades!$U$7,F74),1)*IF(Upgrades!$T$8="Solar Wind",POWER(Upgrades!$U$8,G74),1)*IF(Upgrades!$T$9="Solar Wind",POWER(Upgrades!$U$9,H74),1)*IF(Upgrades!$T$10="Solar Wind",POWER(Upgrades!$U$10,I74),1)*IF(Upgrades!$T$11="Solar Wind",POWER(Upgrades!$U$11,J74),1)*IF(Upgrades!$T$12="Solar Wind",POWER(Upgrades!$U$12,K74),1))+(IF(F74=0,0,(Upgrades!$G$7+F74*Upgrades!$H$7)*POWER(Upgrades!$I$7,F74)))*(IF(Upgrades!$T$6="Asteroid Belt",POWER(Upgrades!$U$6,E74),1)*IF(Upgrades!$T$8="Asteroid Belt",POWER(Upgrades!$U$8,G74),1)*IF(Upgrades!$T$9="Asteroid Belt",POWER(Upgrades!$U$9,H74),1)*IF(Upgrades!$T$10="Asteroid Belt",POWER(Upgrades!$U$10,I74),1)*IF(Upgrades!$T$11="Asteroid Belt",POWER(Upgrades!$U$11,J74),1)*IF(Upgrades!$T$12="Asteroid Belt",POWER(Upgrades!$U$12,K74),1))+(IF(G74=0,0,(Upgrades!$G$8+G74*Upgrades!$H$8)*POWER(Upgrades!$I$8,G74)))*(IF(Upgrades!$T$6="Stellar Coupling",POWER(Upgrades!$U$6,E74),1)*IF(Upgrades!$T$7="Stellar Coupling",POWER(Upgrades!$U$7,F74),1)*IF(Upgrades!$T$9="Stellar Coupling",POWER(Upgrades!$U$9,H74),1)*IF(Upgrades!$T$10="Stellar Coupling",POWER(Upgrades!$U$10,I74),1)*IF(Upgrades!$T$11="Stellar Coupling",POWER(Upgrades!$U$11,J74),1)*IF(Upgrades!$T$12="Stellar Coupling",POWER(Upgrades!$U$12,K74),1))+(IF(H74=0,0,(Upgrades!$G$9+H74*Upgrades!$H$9)*POWER(Upgrades!$I$9,H74)))*(IF(Upgrades!$T$6="Magnetosphere",POWER(Upgrades!$U$6,E74),1)*IF(Upgrades!$T$7="Magnetosphere",POWER(Upgrades!$U$7,F74),1)*IF(Upgrades!$T$8="Magnetosphere",POWER(Upgrades!$U$8,G74),1)*IF(Upgrades!$T$10="Magnetosphere",POWER(Upgrades!$U$10,I74),1)*IF(Upgrades!$T$11="Magnetosphere",POWER(Upgrades!$U$11,J74),1)*IF(Upgrades!$T$12="Magnetosphere",POWER(Upgrades!$U$12,K74),1))+(IF(I74=0,0,(Upgrades!$G$10+I74*Upgrades!$H$10)*POWER(Upgrades!$I$10,I74)))*(IF(Upgrades!$T$6="Orbital Resonance",POWER(Upgrades!$U$6,E74),1)*IF(Upgrades!$T$7="Orbital Resonance",POWER(Upgrades!$U$7,F74),1)*IF(Upgrades!$T$8="Orbital Resonance",POWER(Upgrades!$U$8,G74),1)*IF(Upgrades!$T$9="Orbital Resonance",POWER(Upgrades!$U$9,H74),1)*IF(Upgrades!$T$11="Orbital Resonance",POWER(Upgrades!$U$11,J74),1)*IF(Upgrades!$T$12="Orbital Resonance",POWER(Upgrades!$U$12,K74),1))+(IF(J74=0,0,(Upgrades!$G$11+J74*Upgrades!$H$11)*POWER(Upgrades!$I$11,J74)))*(IF(Upgrades!$T$6="Heliopause",POWER(Upgrades!$U$6,E74),1)*IF(Upgrades!$T$7="Heliopause",POWER(Upgrades!$U$7,F74),1)*IF(Upgrades!$T$8="Heliopause",POWER(Upgrades!$U$8,G74),1)*IF(Upgrades!$T$9="Heliopause",POWER(Upgrades!$U$9,H74),1)*IF(Upgrades!$T$10="Heliopause",POWER(Upgrades!$U$10,I74),1)*IF(Upgrades!$T$12="Heliopause",POWER(Upgrades!$U$12,K74),1))+(IF(K74=0,0,(Upgrades!$G$12+K74*Upgrades!$H$12)*POWER(Upgrades!$I$12,K74)))*(IF(Upgrades!$T$6="First Photons",POWER(Upgrades!$U$6,E74),1)*IF(Upgrades!$T$7="First Photons",POWER(Upgrades!$U$7,F74),1)*IF(Upgrades!$T$8="First Photons",POWER(Upgrades!$U$8,G74),1)*IF(Upgrades!$T$9="First Photons",POWER(Upgrades!$U$9,H74),1)*IF(Upgrades!$T$10="First Photons",POWER(Upgrades!$U$10,I74),1)*IF(Upgrades!$T$11="First Photons",POWER(Upgrades!$U$11,J74),1)))*POWER(Upgrades!$P$6,E74)*POWER(Upgrades!$P$7,F74)*POWER(Upgrades!$P$8,G74)*POWER(Upgrades!$P$9,H74)*POWER(Upgrades!$P$10,I74)*POWER(Upgrades!$P$11,J74)*POWER(Upgrades!$P$12,K74)</f>
        <v/>
      </c>
      <c r="O74" s="28">
        <f>((IF(E74=0,0,(Upgrades!$M$6+E74*Upgrades!$N$6)*POWER(Upgrades!$O$6,E74)))*(IF(Upgrades!$T$7="Solar Wind",POWER(Upgrades!$U$7,F74),1)*IF(Upgrades!$T$8="Solar Wind",POWER(Upgrades!$U$8,G74),1)*IF(Upgrades!$T$9="Solar Wind",POWER(Upgrades!$U$9,H74),1)*IF(Upgrades!$T$10="Solar Wind",POWER(Upgrades!$U$10,I74),1)*IF(Upgrades!$T$11="Solar Wind",POWER(Upgrades!$U$11,J74),1)*IF(Upgrades!$T$12="Solar Wind",POWER(Upgrades!$U$12,K74),1))+(IF(F74=0,0,(Upgrades!$M$7+F74*Upgrades!$N$7)*POWER(Upgrades!$O$7,F74)))*(IF(Upgrades!$T$6="Asteroid Belt",POWER(Upgrades!$U$6,E74),1)*IF(Upgrades!$T$8="Asteroid Belt",POWER(Upgrades!$U$8,G74),1)*IF(Upgrades!$T$9="Asteroid Belt",POWER(Upgrades!$U$9,H74),1)*IF(Upgrades!$T$10="Asteroid Belt",POWER(Upgrades!$U$10,I74),1)*IF(Upgrades!$T$11="Asteroid Belt",POWER(Upgrades!$U$11,J74),1)*IF(Upgrades!$T$12="Asteroid Belt",POWER(Upgrades!$U$12,K74),1))+(IF(G74=0,0,(Upgrades!$M$8+G74*Upgrades!$N$8)*POWER(Upgrades!$O$8,G74)))*(IF(Upgrades!$T$6="Stellar Coupling",POWER(Upgrades!$U$6,E74),1)*IF(Upgrades!$T$7="Stellar Coupling",POWER(Upgrades!$U$7,F74),1)*IF(Upgrades!$T$9="Stellar Coupling",POWER(Upgrades!$U$9,H74),1)*IF(Upgrades!$T$10="Stellar Coupling",POWER(Upgrades!$U$10,I74),1)*IF(Upgrades!$T$11="Stellar Coupling",POWER(Upgrades!$U$11,J74),1)*IF(Upgrades!$T$12="Stellar Coupling",POWER(Upgrades!$U$12,K74),1))+(IF(H74=0,0,(Upgrades!$M$9+H74*Upgrades!$N$9)*POWER(Upgrades!$O$9,H74)))*(IF(Upgrades!$T$6="Magnetosphere",POWER(Upgrades!$U$6,E74),1)*IF(Upgrades!$T$7="Magnetosphere",POWER(Upgrades!$U$7,F74),1)*IF(Upgrades!$T$8="Magnetosphere",POWER(Upgrades!$U$8,G74),1)*IF(Upgrades!$T$10="Magnetosphere",POWER(Upgrades!$U$10,I74),1)*IF(Upgrades!$T$11="Magnetosphere",POWER(Upgrades!$U$11,J74),1)*IF(Upgrades!$T$12="Magnetosphere",POWER(Upgrades!$U$12,K74),1))+(IF(I74=0,0,(Upgrades!$M$10+I74*Upgrades!$N$10)*POWER(Upgrades!$O$10,I74)))*(IF(Upgrades!$T$6="Orbital Resonance",POWER(Upgrades!$U$6,E74),1)*IF(Upgrades!$T$7="Orbital Resonance",POWER(Upgrades!$U$7,F74),1)*IF(Upgrades!$T$8="Orbital Resonance",POWER(Upgrades!$U$8,G74),1)*IF(Upgrades!$T$9="Orbital Resonance",POWER(Upgrades!$U$9,H74),1)*IF(Upgrades!$T$11="Orbital Resonance",POWER(Upgrades!$U$11,J74),1)*IF(Upgrades!$T$12="Orbital Resonance",POWER(Upgrades!$U$12,K74),1))+(IF(J74=0,0,(Upgrades!$M$11+J74*Upgrades!$N$11)*POWER(Upgrades!$O$11,J74)))*(IF(Upgrades!$T$6="Heliopause",POWER(Upgrades!$U$6,E74),1)*IF(Upgrades!$T$7="Heliopause",POWER(Upgrades!$U$7,F74),1)*IF(Upgrades!$T$8="Heliopause",POWER(Upgrades!$U$8,G74),1)*IF(Upgrades!$T$9="Heliopause",POWER(Upgrades!$U$9,H74),1)*IF(Upgrades!$T$10="Heliopause",POWER(Upgrades!$U$10,I74),1)*IF(Upgrades!$T$12="Heliopause",POWER(Upgrades!$U$12,K74),1))+(IF(K74=0,0,(Upgrades!$M$12+K74*Upgrades!$N$12)*POWER(Upgrades!$O$12,K74)))*(IF(Upgrades!$T$6="First Photons",POWER(Upgrades!$U$6,E74),1)*IF(Upgrades!$T$7="First Photons",POWER(Upgrades!$U$7,F74),1)*IF(Upgrades!$T$8="First Photons",POWER(Upgrades!$U$8,G74),1)*IF(Upgrades!$T$9="First Photons",POWER(Upgrades!$U$9,H74),1)*IF(Upgrades!$T$10="First Photons",POWER(Upgrades!$U$10,I74),1)*IF(Upgrades!$T$11="First Photons",POWER(Upgrades!$U$11,J74),1)))*POWER(Upgrades!$R$6,E74)*POWER(Upgrades!$R$7,F74)*POWER(Upgrades!$R$8,G74)*POWER(Upgrades!$R$9,H74)*POWER(Upgrades!$R$10,I74)*POWER(Upgrades!$R$11,J74)*POWER(Upgrades!$R$12,K74)</f>
        <v/>
      </c>
      <c r="P74" s="27">
        <f>IF(L74=1,0,M74*Parameters!$B$10/60*Parameters!$B$11*10)</f>
        <v/>
      </c>
      <c r="Q74" s="27">
        <f>IF(L74=1,0,O74*M74*10)</f>
        <v/>
      </c>
      <c r="R74" s="27">
        <f>IF(L74=1,0,N74*10)</f>
        <v/>
      </c>
      <c r="S74" s="27">
        <f>P74+Q74+R74</f>
        <v/>
      </c>
      <c r="T74" s="22">
        <f>C74+S74</f>
        <v/>
      </c>
      <c r="U74" s="33">
        <f>AX74</f>
        <v/>
      </c>
      <c r="V74" s="22">
        <f>IF(U74="",0,IF(U74="transition",0,IF(U74="SW",AG74,IF(U74="AB",AH74,IF(U74="SC",AI74,IF(U74="Mag",AJ74,IF(U74="OR",AK74,IF(U74="HP",AL74,IF(U74="FP",AM74,0)))))))))</f>
        <v/>
      </c>
      <c r="W74" s="27">
        <f>IF(U74="OR",Upgrades!$F$10,IF(U74="HP",Upgrades!$F$11,IF(U74="transition",-Parameters!$B$18,0)))</f>
        <v/>
      </c>
      <c r="X74" s="22">
        <f>T74-V74</f>
        <v/>
      </c>
      <c r="Y74" s="30">
        <f>M74*Parameters!$B$10/60*Parameters!$B$11+O74*M74+N74</f>
        <v/>
      </c>
      <c r="Z74" s="34">
        <f>IF(U74="transition","→ Tier 2 (Stellar Neighborhood)",IF(U74="FP","First Photons — light begins, system quickens",IF(U74="HP","Heliopause acquired",IF(U74="OR","Orbital Resonance — passive multiplier active",IF(AND(AO74=1,L74=0,AN74&lt;&gt;1),"Cohesion ready (waiting on completionist upgrades)","")))))</f>
        <v/>
      </c>
      <c r="AA74" s="27">
        <f>(IF(E74=0,0,(Upgrades!$G$6+E74*Upgrades!$H$6)*POWER(Upgrades!$I$6,E74)))*(IF(Upgrades!$T$7="Solar Wind",POWER(Upgrades!$U$7,F74),1)*IF(Upgrades!$T$8="Solar Wind",POWER(Upgrades!$U$8,G74),1)*IF(Upgrades!$T$9="Solar Wind",POWER(Upgrades!$U$9,H74),1)*IF(Upgrades!$T$10="Solar Wind",POWER(Upgrades!$U$10,I74),1)*IF(Upgrades!$T$11="Solar Wind",POWER(Upgrades!$U$11,J74),1)*IF(Upgrades!$T$12="Solar Wind",POWER(Upgrades!$U$12,K74),1))*POWER(Upgrades!$P$6,E74)*POWER(Upgrades!$P$7,F74)*POWER(Upgrades!$P$8,G74)*POWER(Upgrades!$P$9,H74)*POWER(Upgrades!$P$10,I74)*POWER(Upgrades!$P$11,J74)*POWER(Upgrades!$P$12,K74)*60</f>
        <v/>
      </c>
      <c r="AB74" s="27">
        <f>(IF(F74=0,0,(Upgrades!$G$7+F74*Upgrades!$H$7)*POWER(Upgrades!$I$7,F74)))*(IF(Upgrades!$T$6="Asteroid Belt",POWER(Upgrades!$U$6,E74),1)*IF(Upgrades!$T$8="Asteroid Belt",POWER(Upgrades!$U$8,G74),1)*IF(Upgrades!$T$9="Asteroid Belt",POWER(Upgrades!$U$9,H74),1)*IF(Upgrades!$T$10="Asteroid Belt",POWER(Upgrades!$U$10,I74),1)*IF(Upgrades!$T$11="Asteroid Belt",POWER(Upgrades!$U$11,J74),1)*IF(Upgrades!$T$12="Asteroid Belt",POWER(Upgrades!$U$12,K74),1))*POWER(Upgrades!$P$6,E74)*POWER(Upgrades!$P$7,F74)*POWER(Upgrades!$P$8,G74)*POWER(Upgrades!$P$9,H74)*POWER(Upgrades!$P$10,I74)*POWER(Upgrades!$P$11,J74)*POWER(Upgrades!$P$12,K74)*60</f>
        <v/>
      </c>
      <c r="AC74" s="27">
        <f>(IF(G74=0,0,(Upgrades!$J$8+G74*Upgrades!$K$8)*POWER(Upgrades!$L$8,G74)))*(IF(Upgrades!$T$6="Stellar Coupling",POWER(Upgrades!$U$6,E74),1)*IF(Upgrades!$T$7="Stellar Coupling",POWER(Upgrades!$U$7,F74),1)*IF(Upgrades!$T$9="Stellar Coupling",POWER(Upgrades!$U$9,H74),1)*IF(Upgrades!$T$10="Stellar Coupling",POWER(Upgrades!$U$10,I74),1)*IF(Upgrades!$T$11="Stellar Coupling",POWER(Upgrades!$U$11,J74),1)*IF(Upgrades!$T$12="Stellar Coupling",POWER(Upgrades!$U$12,K74),1))*POWER(Upgrades!$Q$6,E74)*POWER(Upgrades!$Q$7,F74)*POWER(Upgrades!$Q$8,G74)*POWER(Upgrades!$Q$9,H74)*POWER(Upgrades!$Q$10,I74)*POWER(Upgrades!$Q$11,J74)*POWER(Upgrades!$Q$12,K74)*Parameters!$B$10*Parameters!$B$11</f>
        <v/>
      </c>
      <c r="AD74" s="27">
        <f>(IF(H74=0,0,(Upgrades!$G$9+H74*Upgrades!$H$9)*POWER(Upgrades!$I$9,H74)))*(IF(Upgrades!$T$6="Magnetosphere",POWER(Upgrades!$U$6,E74),1)*IF(Upgrades!$T$7="Magnetosphere",POWER(Upgrades!$U$7,F74),1)*IF(Upgrades!$T$8="Magnetosphere",POWER(Upgrades!$U$8,G74),1)*IF(Upgrades!$T$10="Magnetosphere",POWER(Upgrades!$U$10,I74),1)*IF(Upgrades!$T$11="Magnetosphere",POWER(Upgrades!$U$11,J74),1)*IF(Upgrades!$T$12="Magnetosphere",POWER(Upgrades!$U$12,K74),1))*POWER(Upgrades!$P$6,E74)*POWER(Upgrades!$P$7,F74)*POWER(Upgrades!$P$8,G74)*POWER(Upgrades!$P$9,H74)*POWER(Upgrades!$P$10,I74)*POWER(Upgrades!$P$11,J74)*POWER(Upgrades!$P$12,K74)*60</f>
        <v/>
      </c>
      <c r="AE74" s="27">
        <f>(IF(K74=0,0,(Upgrades!$G$12+K74*Upgrades!$H$12)*POWER(Upgrades!$I$12,K74)))*(IF(Upgrades!$T$6="First Photons",POWER(Upgrades!$U$6,E74),1)*IF(Upgrades!$T$7="First Photons",POWER(Upgrades!$U$7,F74),1)*IF(Upgrades!$T$8="First Photons",POWER(Upgrades!$U$8,G74),1)*IF(Upgrades!$T$9="First Photons",POWER(Upgrades!$U$9,H74),1)*IF(Upgrades!$T$10="First Photons",POWER(Upgrades!$U$10,I74),1)*IF(Upgrades!$T$11="First Photons",POWER(Upgrades!$U$11,J74),1))*POWER(Upgrades!$P$6,E74)*POWER(Upgrades!$P$7,F74)*POWER(Upgrades!$P$8,G74)*POWER(Upgrades!$P$9,H74)*POWER(Upgrades!$P$10,I74)*POWER(Upgrades!$P$11,J74)*POWER(Upgrades!$P$12,K74)*60</f>
        <v/>
      </c>
      <c r="AF74" s="27">
        <f>Parameters!$B$9*POWER(Upgrades!$Q$6,E74)*POWER(Upgrades!$Q$7,F74)*POWER(Upgrades!$Q$8,G74)*POWER(Upgrades!$Q$9,H74)*POWER(Upgrades!$Q$10,I74)*POWER(Upgrades!$Q$11,J74)*POWER(Upgrades!$Q$12,K74)*(Parameters!$B$10*Parameters!$B$11+O74*60)</f>
        <v/>
      </c>
      <c r="AG74" s="22">
        <f>IF(E74&gt;=Upgrades!$E$6,"",Upgrades!$C$6*POWER(Upgrades!$D$6,E74))</f>
        <v/>
      </c>
      <c r="AH74" s="22">
        <f>IF(F74&gt;=Upgrades!$E$7,"",Upgrades!$C$7*POWER(Upgrades!$D$7,F74))</f>
        <v/>
      </c>
      <c r="AI74" s="22">
        <f>IF(G74&gt;=Upgrades!$E$8,"",Upgrades!$C$8*POWER(Upgrades!$D$8,G74))</f>
        <v/>
      </c>
      <c r="AJ74" s="22">
        <f>IF(H74&gt;=Upgrades!$E$9,"",Upgrades!$C$9*POWER(Upgrades!$D$9,H74))</f>
        <v/>
      </c>
      <c r="AK74" s="22">
        <f>IF(I74&gt;=Upgrades!$E$10,"",Upgrades!$C$10*POWER(Upgrades!$D$10,I74))</f>
        <v/>
      </c>
      <c r="AL74" s="22">
        <f>IF(J74&gt;=Upgrades!$E$11,"",Upgrades!$C$11*POWER(Upgrades!$D$11,J74))</f>
        <v/>
      </c>
      <c r="AM74" s="22">
        <f>IF(K74&gt;=Upgrades!$E$12,"",Upgrades!$C$12*POWER(Upgrades!$D$12,K74))</f>
        <v/>
      </c>
      <c r="AN74" s="26">
        <f>IF(AND(D74&gt;=Parameters!$B$18,(H74&gt;=Upgrades!$E$9)*(K74&gt;=Upgrades!$E$12)=1,L74=0),1,"")</f>
        <v/>
      </c>
      <c r="AO74" s="26">
        <f>IF(AND(D74&gt;=Parameters!$B$18,L74=0),1,"")</f>
        <v/>
      </c>
      <c r="AP74" s="22">
        <f>MIN(IF(ISNUMBER(AK74),AK74,9E15),IF(ISNUMBER(AL74),AL74,9E15),IF(ISNUMBER(AM74),AM74,9E15))</f>
        <v/>
      </c>
      <c r="AQ74" s="22">
        <f>MIN(IF(ISNUMBER(AG74),AG74,9E15),IF(ISNUMBER(AH74),AH74,9E15),IF(ISNUMBER(AI74),AI74,9E15),IF(ISNUMBER(AJ74),AJ74,9E15))</f>
        <v/>
      </c>
      <c r="AR74" s="29">
        <f>IF(AW74&gt;Parameters!$B$21*(MAX(IF(AND(NOT(AND(AO74=1,AN74&lt;&gt;1)),ISNUMBER(AG74),AG74&lt;=T74),AS74,0),IF(AND(NOT(AND(AO74=1,AN74&lt;&gt;1)),ISNUMBER(AH74),AH74&lt;=T74),AT74,0),IF(AND(NOT(AND(AO74=1,AN74&lt;&gt;1)),ISNUMBER(AI74),AI74&lt;=T74),AU74,0),IF(AND(ISNUMBER(AJ74),AJ74&lt;=T74),AV74,0))),TRUE,FALSE)</f>
        <v/>
      </c>
      <c r="AS74" s="32">
        <f>IFERROR(Upgrades!$H$6*(POWER(Upgrades!$P$6,E74)*POWER(Upgrades!$P$7,F74)*POWER(Upgrades!$P$8,G74)*POWER(Upgrades!$P$9,H74)*POWER(Upgrades!$P$10,I74)*POWER(Upgrades!$P$11,J74)*POWER(Upgrades!$P$12,K74))*(IF(Upgrades!$T$7="Solar Wind",POWER(Upgrades!$U$7,F74),1)*IF(Upgrades!$T$8="Solar Wind",POWER(Upgrades!$U$8,G74),1)*IF(Upgrades!$T$9="Solar Wind",POWER(Upgrades!$U$9,H74),1)*IF(Upgrades!$T$10="Solar Wind",POWER(Upgrades!$U$10,I74),1)*IF(Upgrades!$T$11="Solar Wind",POWER(Upgrades!$U$11,J74),1)*IF(Upgrades!$T$12="Solar Wind",POWER(Upgrades!$U$12,K74),1))/AG74,0)</f>
        <v/>
      </c>
      <c r="AT74" s="32">
        <f>IFERROR(Upgrades!$H$7*(POWER(Upgrades!$P$6,E74)*POWER(Upgrades!$P$7,F74)*POWER(Upgrades!$P$8,G74)*POWER(Upgrades!$P$9,H74)*POWER(Upgrades!$P$10,I74)*POWER(Upgrades!$P$11,J74)*POWER(Upgrades!$P$12,K74))*(IF(Upgrades!$T$6="Asteroid Belt",POWER(Upgrades!$U$6,E74),1)*IF(Upgrades!$T$8="Asteroid Belt",POWER(Upgrades!$U$8,G74),1)*IF(Upgrades!$T$9="Asteroid Belt",POWER(Upgrades!$U$9,H74),1)*IF(Upgrades!$T$10="Asteroid Belt",POWER(Upgrades!$U$10,I74),1)*IF(Upgrades!$T$11="Asteroid Belt",POWER(Upgrades!$U$11,J74),1)*IF(Upgrades!$T$12="Asteroid Belt",POWER(Upgrades!$U$12,K74),1))/AH74,0)</f>
        <v/>
      </c>
      <c r="AU74" s="32">
        <f>IFERROR(Upgrades!$K$8*(POWER(Upgrades!$Q$6,E74)*POWER(Upgrades!$Q$7,F74)*POWER(Upgrades!$Q$8,G74)*POWER(Upgrades!$Q$9,H74)*POWER(Upgrades!$Q$10,I74)*POWER(Upgrades!$Q$11,J74)*POWER(Upgrades!$Q$12,K74))*(IF(Upgrades!$T$6="Stellar Coupling",POWER(Upgrades!$U$6,E74),1)*IF(Upgrades!$T$7="Stellar Coupling",POWER(Upgrades!$U$7,F74),1)*IF(Upgrades!$T$9="Stellar Coupling",POWER(Upgrades!$U$9,H74),1)*IF(Upgrades!$T$10="Stellar Coupling",POWER(Upgrades!$U$10,I74),1)*IF(Upgrades!$T$11="Stellar Coupling",POWER(Upgrades!$U$11,J74),1)*IF(Upgrades!$T$12="Stellar Coupling",POWER(Upgrades!$U$12,K74),1))*Parameters!$B$10*Parameters!$B$11/60/AI74,0)</f>
        <v/>
      </c>
      <c r="AV74" s="32">
        <f>IFERROR(Upgrades!$H$9*(POWER(Upgrades!$P$6,E74)*POWER(Upgrades!$P$7,F74)*POWER(Upgrades!$P$8,G74)*POWER(Upgrades!$P$9,H74)*POWER(Upgrades!$P$10,I74)*POWER(Upgrades!$P$11,J74)*POWER(Upgrades!$P$12,K74))*(IF(Upgrades!$T$6="Magnetosphere",POWER(Upgrades!$U$6,E74),1)*IF(Upgrades!$T$7="Magnetosphere",POWER(Upgrades!$U$7,F74),1)*IF(Upgrades!$T$8="Magnetosphere",POWER(Upgrades!$U$8,G74),1)*IF(Upgrades!$T$10="Magnetosphere",POWER(Upgrades!$U$10,I74),1)*IF(Upgrades!$T$11="Magnetosphere",POWER(Upgrades!$U$11,J74),1)*IF(Upgrades!$T$12="Magnetosphere",POWER(Upgrades!$U$12,K74),1))/AJ74,0)</f>
        <v/>
      </c>
      <c r="AW74" s="32">
        <f>MAX(IF(I74&gt;0,0,IFERROR(0.25*N74/Upgrades!$C$10,0)),IF(J74&gt;0,0,IFERROR(0.5*((IF(G74=0,0,(Upgrades!$J$8+G74*Upgrades!$K$8)*POWER(Upgrades!$L$8,G74)))*(IF(Upgrades!$T$6="Stellar Coupling",POWER(Upgrades!$U$6,E74),1)*IF(Upgrades!$T$7="Stellar Coupling",POWER(Upgrades!$U$7,F74),1)*IF(Upgrades!$T$9="Stellar Coupling",POWER(Upgrades!$U$9,H74),1)*IF(Upgrades!$T$10="Stellar Coupling",POWER(Upgrades!$U$10,I74),1)*IF(Upgrades!$T$11="Stellar Coupling",POWER(Upgrades!$U$11,J74),1)*IF(Upgrades!$T$12="Stellar Coupling",POWER(Upgrades!$U$12,K74),1))*(POWER(Upgrades!$Q$6,E74)*POWER(Upgrades!$Q$7,F74)*POWER(Upgrades!$Q$8,G74)*POWER(Upgrades!$Q$9,H74)*POWER(Upgrades!$Q$10,I74)*POWER(Upgrades!$Q$11,J74)*POWER(Upgrades!$Q$12,K74))*Parameters!$B$10*Parameters!$B$11/60)/Upgrades!$C$11,0)),IF(K74&gt;0,0,IFERROR((1.0*(POWER(Upgrades!$P$6,E74)*POWER(Upgrades!$P$7,F74)*POWER(Upgrades!$P$8,G74)*POWER(Upgrades!$P$9,H74)*POWER(Upgrades!$P$10,I74)*POWER(Upgrades!$P$11,J74)*POWER(Upgrades!$P$12,K74))+0.20*M74*Parameters!$B$10*Parameters!$B$11/60)/Upgrades!$C$12,0)),IF(AND(ISNUMBER(AG74),AG74&gt;T74),AS74,0),IF(AND(ISNUMBER(AH74),AH74&gt;T74),AT74,0),IF(AND(ISNUMBER(AI74),AI74&gt;T74),AU74,0),IF(AND(ISNUMBER(AJ74),AJ74&gt;T74),AV74,0))</f>
        <v/>
      </c>
      <c r="AX74" s="29">
        <f>IF(AN74=1,"transition",IF(MIN(IF(AND(I74=0,ISNUMBER(AK74),AK74&lt;=T74),AK74,9E15),IF(AND(J74=0,ISNUMBER(AL74),AL74&lt;=T74),AL74,9E15),IF(AND(K74=0,ISNUMBER(AM74),AM74&lt;=T74),AM74,9E15))&lt;9E15,IF(AND(AND(I74=0,ISNUMBER(AK74),AK74&lt;=T74),AK74=MIN(IF(AND(I74=0,ISNUMBER(AK74),AK74&lt;=T74),AK74,9E15),IF(AND(J74=0,ISNUMBER(AL74),AL74&lt;=T74),AL74,9E15),IF(AND(K74=0,ISNUMBER(AM74),AM74&lt;=T74),AM74,9E15))),"OR",IF(AND(AND(J74=0,ISNUMBER(AL74),AL74&lt;=T74),AL74=MIN(IF(AND(I74=0,ISNUMBER(AK74),AK74&lt;=T74),AK74,9E15),IF(AND(J74=0,ISNUMBER(AL74),AL74&lt;=T74),AL74,9E15),IF(AND(K74=0,ISNUMBER(AM74),AM74&lt;=T74),AM74,9E15))),"HP","FP")),IF(AR74=TRUE,"",IF(MAX(IF(AND(NOT(AND(AO74=1,AN74&lt;&gt;1)),ISNUMBER(AG74),AG74&lt;=T74),AS74,0),IF(AND(NOT(AND(AO74=1,AN74&lt;&gt;1)),ISNUMBER(AH74),AH74&lt;=T74),AT74,0),IF(AND(NOT(AND(AO74=1,AN74&lt;&gt;1)),ISNUMBER(AI74),AI74&lt;=T74),AU74,0),IF(AND(ISNUMBER(AJ74),AJ74&lt;=T74),AV74,0))&lt;=0,"",IF(AND(IF(AND(NOT(AND(AO74=1,AN74&lt;&gt;1)),ISNUMBER(AG74),AG74&lt;=T74),AS74,0)&gt;0,IF(AND(NOT(AND(AO74=1,AN74&lt;&gt;1)),ISNUMBER(AG74),AG74&lt;=T74),AS74,0)=MAX(IF(AND(NOT(AND(AO74=1,AN74&lt;&gt;1)),ISNUMBER(AG74),AG74&lt;=T74),AS74,0),IF(AND(NOT(AND(AO74=1,AN74&lt;&gt;1)),ISNUMBER(AH74),AH74&lt;=T74),AT74,0),IF(AND(NOT(AND(AO74=1,AN74&lt;&gt;1)),ISNUMBER(AI74),AI74&lt;=T74),AU74,0),IF(AND(ISNUMBER(AJ74),AJ74&lt;=T74),AV74,0))),"SW",IF(AND(IF(AND(NOT(AND(AO74=1,AN74&lt;&gt;1)),ISNUMBER(AH74),AH74&lt;=T74),AT74,0)&gt;0,IF(AND(NOT(AND(AO74=1,AN74&lt;&gt;1)),ISNUMBER(AH74),AH74&lt;=T74),AT74,0)=MAX(IF(AND(NOT(AND(AO74=1,AN74&lt;&gt;1)),ISNUMBER(AG74),AG74&lt;=T74),AS74,0),IF(AND(NOT(AND(AO74=1,AN74&lt;&gt;1)),ISNUMBER(AH74),AH74&lt;=T74),AT74,0),IF(AND(NOT(AND(AO74=1,AN74&lt;&gt;1)),ISNUMBER(AI74),AI74&lt;=T74),AU74,0),IF(AND(ISNUMBER(AJ74),AJ74&lt;=T74),AV74,0))),"AB",IF(AND(IF(AND(NOT(AND(AO74=1,AN74&lt;&gt;1)),ISNUMBER(AI74),AI74&lt;=T74),AU74,0)&gt;0,IF(AND(NOT(AND(AO74=1,AN74&lt;&gt;1)),ISNUMBER(AI74),AI74&lt;=T74),AU74,0)=MAX(IF(AND(NOT(AND(AO74=1,AN74&lt;&gt;1)),ISNUMBER(AG74),AG74&lt;=T74),AS74,0),IF(AND(NOT(AND(AO74=1,AN74&lt;&gt;1)),ISNUMBER(AH74),AH74&lt;=T74),AT74,0),IF(AND(NOT(AND(AO74=1,AN74&lt;&gt;1)),ISNUMBER(AI74),AI74&lt;=T74),AU74,0),IF(AND(ISNUMBER(AJ74),AJ74&lt;=T74),AV74,0))),"SC","Mag")))))))</f>
        <v/>
      </c>
    </row>
    <row r="75">
      <c r="A75" s="26" t="n">
        <v>70</v>
      </c>
      <c r="B75" s="27">
        <f>A75*10/60</f>
        <v/>
      </c>
      <c r="C75" s="22">
        <f>X74</f>
        <v/>
      </c>
      <c r="D75" s="27">
        <f>D74+W74</f>
        <v/>
      </c>
      <c r="E75" s="26">
        <f>E74+IF(U74="SW",1,0)</f>
        <v/>
      </c>
      <c r="F75" s="26">
        <f>F74+IF(U74="AB",1,0)</f>
        <v/>
      </c>
      <c r="G75" s="26">
        <f>G74+IF(U74="SC",1,0)</f>
        <v/>
      </c>
      <c r="H75" s="26">
        <f>H74+IF(U74="Mag",1,0)</f>
        <v/>
      </c>
      <c r="I75" s="26">
        <f>MAX(I74,IF(U74="OR",1,0))</f>
        <v/>
      </c>
      <c r="J75" s="26">
        <f>MAX(J74,IF(U74="HP",1,0))</f>
        <v/>
      </c>
      <c r="K75" s="26">
        <f>MAX(K74,IF(U74="FP",1,0))</f>
        <v/>
      </c>
      <c r="L75" s="26">
        <f>MAX(L74,IF(U74="transition",1,0))</f>
        <v/>
      </c>
      <c r="M75" s="28">
        <f>(Parameters!$B$9+(IF(E75=0,0,(Upgrades!$J$6+E75*Upgrades!$K$6)*POWER(Upgrades!$L$6,E75)))*(IF(Upgrades!$T$7="Solar Wind",POWER(Upgrades!$U$7,F75),1)*IF(Upgrades!$T$8="Solar Wind",POWER(Upgrades!$U$8,G75),1)*IF(Upgrades!$T$9="Solar Wind",POWER(Upgrades!$U$9,H75),1)*IF(Upgrades!$T$10="Solar Wind",POWER(Upgrades!$U$10,I75),1)*IF(Upgrades!$T$11="Solar Wind",POWER(Upgrades!$U$11,J75),1)*IF(Upgrades!$T$12="Solar Wind",POWER(Upgrades!$U$12,K75),1))+(IF(F75=0,0,(Upgrades!$J$7+F75*Upgrades!$K$7)*POWER(Upgrades!$L$7,F75)))*(IF(Upgrades!$T$6="Asteroid Belt",POWER(Upgrades!$U$6,E75),1)*IF(Upgrades!$T$8="Asteroid Belt",POWER(Upgrades!$U$8,G75),1)*IF(Upgrades!$T$9="Asteroid Belt",POWER(Upgrades!$U$9,H75),1)*IF(Upgrades!$T$10="Asteroid Belt",POWER(Upgrades!$U$10,I75),1)*IF(Upgrades!$T$11="Asteroid Belt",POWER(Upgrades!$U$11,J75),1)*IF(Upgrades!$T$12="Asteroid Belt",POWER(Upgrades!$U$12,K75),1))+(IF(G75=0,0,(Upgrades!$J$8+G75*Upgrades!$K$8)*POWER(Upgrades!$L$8,G75)))*(IF(Upgrades!$T$6="Stellar Coupling",POWER(Upgrades!$U$6,E75),1)*IF(Upgrades!$T$7="Stellar Coupling",POWER(Upgrades!$U$7,F75),1)*IF(Upgrades!$T$9="Stellar Coupling",POWER(Upgrades!$U$9,H75),1)*IF(Upgrades!$T$10="Stellar Coupling",POWER(Upgrades!$U$10,I75),1)*IF(Upgrades!$T$11="Stellar Coupling",POWER(Upgrades!$U$11,J75),1)*IF(Upgrades!$T$12="Stellar Coupling",POWER(Upgrades!$U$12,K75),1))+(IF(H75=0,0,(Upgrades!$J$9+H75*Upgrades!$K$9)*POWER(Upgrades!$L$9,H75)))*(IF(Upgrades!$T$6="Magnetosphere",POWER(Upgrades!$U$6,E75),1)*IF(Upgrades!$T$7="Magnetosphere",POWER(Upgrades!$U$7,F75),1)*IF(Upgrades!$T$8="Magnetosphere",POWER(Upgrades!$U$8,G75),1)*IF(Upgrades!$T$10="Magnetosphere",POWER(Upgrades!$U$10,I75),1)*IF(Upgrades!$T$11="Magnetosphere",POWER(Upgrades!$U$11,J75),1)*IF(Upgrades!$T$12="Magnetosphere",POWER(Upgrades!$U$12,K75),1))+(IF(I75=0,0,(Upgrades!$J$10+I75*Upgrades!$K$10)*POWER(Upgrades!$L$10,I75)))*(IF(Upgrades!$T$6="Orbital Resonance",POWER(Upgrades!$U$6,E75),1)*IF(Upgrades!$T$7="Orbital Resonance",POWER(Upgrades!$U$7,F75),1)*IF(Upgrades!$T$8="Orbital Resonance",POWER(Upgrades!$U$8,G75),1)*IF(Upgrades!$T$9="Orbital Resonance",POWER(Upgrades!$U$9,H75),1)*IF(Upgrades!$T$11="Orbital Resonance",POWER(Upgrades!$U$11,J75),1)*IF(Upgrades!$T$12="Orbital Resonance",POWER(Upgrades!$U$12,K75),1))+(IF(J75=0,0,(Upgrades!$J$11+J75*Upgrades!$K$11)*POWER(Upgrades!$L$11,J75)))*(IF(Upgrades!$T$6="Heliopause",POWER(Upgrades!$U$6,E75),1)*IF(Upgrades!$T$7="Heliopause",POWER(Upgrades!$U$7,F75),1)*IF(Upgrades!$T$8="Heliopause",POWER(Upgrades!$U$8,G75),1)*IF(Upgrades!$T$9="Heliopause",POWER(Upgrades!$U$9,H75),1)*IF(Upgrades!$T$10="Heliopause",POWER(Upgrades!$U$10,I75),1)*IF(Upgrades!$T$12="Heliopause",POWER(Upgrades!$U$12,K75),1))+(IF(K75=0,0,(Upgrades!$J$12+K75*Upgrades!$K$12)*POWER(Upgrades!$L$12,K75)))*(IF(Upgrades!$T$6="First Photons",POWER(Upgrades!$U$6,E75),1)*IF(Upgrades!$T$7="First Photons",POWER(Upgrades!$U$7,F75),1)*IF(Upgrades!$T$8="First Photons",POWER(Upgrades!$U$8,G75),1)*IF(Upgrades!$T$9="First Photons",POWER(Upgrades!$U$9,H75),1)*IF(Upgrades!$T$10="First Photons",POWER(Upgrades!$U$10,I75),1)*IF(Upgrades!$T$11="First Photons",POWER(Upgrades!$U$11,J75),1)))*POWER(Upgrades!$Q$6,E75)*POWER(Upgrades!$Q$7,F75)*POWER(Upgrades!$Q$8,G75)*POWER(Upgrades!$Q$9,H75)*POWER(Upgrades!$Q$10,I75)*POWER(Upgrades!$Q$11,J75)*POWER(Upgrades!$Q$12,K75)</f>
        <v/>
      </c>
      <c r="N75" s="28">
        <f>((IF(E75=0,0,(Upgrades!$G$6+E75*Upgrades!$H$6)*POWER(Upgrades!$I$6,E75)))*(IF(Upgrades!$T$7="Solar Wind",POWER(Upgrades!$U$7,F75),1)*IF(Upgrades!$T$8="Solar Wind",POWER(Upgrades!$U$8,G75),1)*IF(Upgrades!$T$9="Solar Wind",POWER(Upgrades!$U$9,H75),1)*IF(Upgrades!$T$10="Solar Wind",POWER(Upgrades!$U$10,I75),1)*IF(Upgrades!$T$11="Solar Wind",POWER(Upgrades!$U$11,J75),1)*IF(Upgrades!$T$12="Solar Wind",POWER(Upgrades!$U$12,K75),1))+(IF(F75=0,0,(Upgrades!$G$7+F75*Upgrades!$H$7)*POWER(Upgrades!$I$7,F75)))*(IF(Upgrades!$T$6="Asteroid Belt",POWER(Upgrades!$U$6,E75),1)*IF(Upgrades!$T$8="Asteroid Belt",POWER(Upgrades!$U$8,G75),1)*IF(Upgrades!$T$9="Asteroid Belt",POWER(Upgrades!$U$9,H75),1)*IF(Upgrades!$T$10="Asteroid Belt",POWER(Upgrades!$U$10,I75),1)*IF(Upgrades!$T$11="Asteroid Belt",POWER(Upgrades!$U$11,J75),1)*IF(Upgrades!$T$12="Asteroid Belt",POWER(Upgrades!$U$12,K75),1))+(IF(G75=0,0,(Upgrades!$G$8+G75*Upgrades!$H$8)*POWER(Upgrades!$I$8,G75)))*(IF(Upgrades!$T$6="Stellar Coupling",POWER(Upgrades!$U$6,E75),1)*IF(Upgrades!$T$7="Stellar Coupling",POWER(Upgrades!$U$7,F75),1)*IF(Upgrades!$T$9="Stellar Coupling",POWER(Upgrades!$U$9,H75),1)*IF(Upgrades!$T$10="Stellar Coupling",POWER(Upgrades!$U$10,I75),1)*IF(Upgrades!$T$11="Stellar Coupling",POWER(Upgrades!$U$11,J75),1)*IF(Upgrades!$T$12="Stellar Coupling",POWER(Upgrades!$U$12,K75),1))+(IF(H75=0,0,(Upgrades!$G$9+H75*Upgrades!$H$9)*POWER(Upgrades!$I$9,H75)))*(IF(Upgrades!$T$6="Magnetosphere",POWER(Upgrades!$U$6,E75),1)*IF(Upgrades!$T$7="Magnetosphere",POWER(Upgrades!$U$7,F75),1)*IF(Upgrades!$T$8="Magnetosphere",POWER(Upgrades!$U$8,G75),1)*IF(Upgrades!$T$10="Magnetosphere",POWER(Upgrades!$U$10,I75),1)*IF(Upgrades!$T$11="Magnetosphere",POWER(Upgrades!$U$11,J75),1)*IF(Upgrades!$T$12="Magnetosphere",POWER(Upgrades!$U$12,K75),1))+(IF(I75=0,0,(Upgrades!$G$10+I75*Upgrades!$H$10)*POWER(Upgrades!$I$10,I75)))*(IF(Upgrades!$T$6="Orbital Resonance",POWER(Upgrades!$U$6,E75),1)*IF(Upgrades!$T$7="Orbital Resonance",POWER(Upgrades!$U$7,F75),1)*IF(Upgrades!$T$8="Orbital Resonance",POWER(Upgrades!$U$8,G75),1)*IF(Upgrades!$T$9="Orbital Resonance",POWER(Upgrades!$U$9,H75),1)*IF(Upgrades!$T$11="Orbital Resonance",POWER(Upgrades!$U$11,J75),1)*IF(Upgrades!$T$12="Orbital Resonance",POWER(Upgrades!$U$12,K75),1))+(IF(J75=0,0,(Upgrades!$G$11+J75*Upgrades!$H$11)*POWER(Upgrades!$I$11,J75)))*(IF(Upgrades!$T$6="Heliopause",POWER(Upgrades!$U$6,E75),1)*IF(Upgrades!$T$7="Heliopause",POWER(Upgrades!$U$7,F75),1)*IF(Upgrades!$T$8="Heliopause",POWER(Upgrades!$U$8,G75),1)*IF(Upgrades!$T$9="Heliopause",POWER(Upgrades!$U$9,H75),1)*IF(Upgrades!$T$10="Heliopause",POWER(Upgrades!$U$10,I75),1)*IF(Upgrades!$T$12="Heliopause",POWER(Upgrades!$U$12,K75),1))+(IF(K75=0,0,(Upgrades!$G$12+K75*Upgrades!$H$12)*POWER(Upgrades!$I$12,K75)))*(IF(Upgrades!$T$6="First Photons",POWER(Upgrades!$U$6,E75),1)*IF(Upgrades!$T$7="First Photons",POWER(Upgrades!$U$7,F75),1)*IF(Upgrades!$T$8="First Photons",POWER(Upgrades!$U$8,G75),1)*IF(Upgrades!$T$9="First Photons",POWER(Upgrades!$U$9,H75),1)*IF(Upgrades!$T$10="First Photons",POWER(Upgrades!$U$10,I75),1)*IF(Upgrades!$T$11="First Photons",POWER(Upgrades!$U$11,J75),1)))*POWER(Upgrades!$P$6,E75)*POWER(Upgrades!$P$7,F75)*POWER(Upgrades!$P$8,G75)*POWER(Upgrades!$P$9,H75)*POWER(Upgrades!$P$10,I75)*POWER(Upgrades!$P$11,J75)*POWER(Upgrades!$P$12,K75)</f>
        <v/>
      </c>
      <c r="O75" s="28">
        <f>((IF(E75=0,0,(Upgrades!$M$6+E75*Upgrades!$N$6)*POWER(Upgrades!$O$6,E75)))*(IF(Upgrades!$T$7="Solar Wind",POWER(Upgrades!$U$7,F75),1)*IF(Upgrades!$T$8="Solar Wind",POWER(Upgrades!$U$8,G75),1)*IF(Upgrades!$T$9="Solar Wind",POWER(Upgrades!$U$9,H75),1)*IF(Upgrades!$T$10="Solar Wind",POWER(Upgrades!$U$10,I75),1)*IF(Upgrades!$T$11="Solar Wind",POWER(Upgrades!$U$11,J75),1)*IF(Upgrades!$T$12="Solar Wind",POWER(Upgrades!$U$12,K75),1))+(IF(F75=0,0,(Upgrades!$M$7+F75*Upgrades!$N$7)*POWER(Upgrades!$O$7,F75)))*(IF(Upgrades!$T$6="Asteroid Belt",POWER(Upgrades!$U$6,E75),1)*IF(Upgrades!$T$8="Asteroid Belt",POWER(Upgrades!$U$8,G75),1)*IF(Upgrades!$T$9="Asteroid Belt",POWER(Upgrades!$U$9,H75),1)*IF(Upgrades!$T$10="Asteroid Belt",POWER(Upgrades!$U$10,I75),1)*IF(Upgrades!$T$11="Asteroid Belt",POWER(Upgrades!$U$11,J75),1)*IF(Upgrades!$T$12="Asteroid Belt",POWER(Upgrades!$U$12,K75),1))+(IF(G75=0,0,(Upgrades!$M$8+G75*Upgrades!$N$8)*POWER(Upgrades!$O$8,G75)))*(IF(Upgrades!$T$6="Stellar Coupling",POWER(Upgrades!$U$6,E75),1)*IF(Upgrades!$T$7="Stellar Coupling",POWER(Upgrades!$U$7,F75),1)*IF(Upgrades!$T$9="Stellar Coupling",POWER(Upgrades!$U$9,H75),1)*IF(Upgrades!$T$10="Stellar Coupling",POWER(Upgrades!$U$10,I75),1)*IF(Upgrades!$T$11="Stellar Coupling",POWER(Upgrades!$U$11,J75),1)*IF(Upgrades!$T$12="Stellar Coupling",POWER(Upgrades!$U$12,K75),1))+(IF(H75=0,0,(Upgrades!$M$9+H75*Upgrades!$N$9)*POWER(Upgrades!$O$9,H75)))*(IF(Upgrades!$T$6="Magnetosphere",POWER(Upgrades!$U$6,E75),1)*IF(Upgrades!$T$7="Magnetosphere",POWER(Upgrades!$U$7,F75),1)*IF(Upgrades!$T$8="Magnetosphere",POWER(Upgrades!$U$8,G75),1)*IF(Upgrades!$T$10="Magnetosphere",POWER(Upgrades!$U$10,I75),1)*IF(Upgrades!$T$11="Magnetosphere",POWER(Upgrades!$U$11,J75),1)*IF(Upgrades!$T$12="Magnetosphere",POWER(Upgrades!$U$12,K75),1))+(IF(I75=0,0,(Upgrades!$M$10+I75*Upgrades!$N$10)*POWER(Upgrades!$O$10,I75)))*(IF(Upgrades!$T$6="Orbital Resonance",POWER(Upgrades!$U$6,E75),1)*IF(Upgrades!$T$7="Orbital Resonance",POWER(Upgrades!$U$7,F75),1)*IF(Upgrades!$T$8="Orbital Resonance",POWER(Upgrades!$U$8,G75),1)*IF(Upgrades!$T$9="Orbital Resonance",POWER(Upgrades!$U$9,H75),1)*IF(Upgrades!$T$11="Orbital Resonance",POWER(Upgrades!$U$11,J75),1)*IF(Upgrades!$T$12="Orbital Resonance",POWER(Upgrades!$U$12,K75),1))+(IF(J75=0,0,(Upgrades!$M$11+J75*Upgrades!$N$11)*POWER(Upgrades!$O$11,J75)))*(IF(Upgrades!$T$6="Heliopause",POWER(Upgrades!$U$6,E75),1)*IF(Upgrades!$T$7="Heliopause",POWER(Upgrades!$U$7,F75),1)*IF(Upgrades!$T$8="Heliopause",POWER(Upgrades!$U$8,G75),1)*IF(Upgrades!$T$9="Heliopause",POWER(Upgrades!$U$9,H75),1)*IF(Upgrades!$T$10="Heliopause",POWER(Upgrades!$U$10,I75),1)*IF(Upgrades!$T$12="Heliopause",POWER(Upgrades!$U$12,K75),1))+(IF(K75=0,0,(Upgrades!$M$12+K75*Upgrades!$N$12)*POWER(Upgrades!$O$12,K75)))*(IF(Upgrades!$T$6="First Photons",POWER(Upgrades!$U$6,E75),1)*IF(Upgrades!$T$7="First Photons",POWER(Upgrades!$U$7,F75),1)*IF(Upgrades!$T$8="First Photons",POWER(Upgrades!$U$8,G75),1)*IF(Upgrades!$T$9="First Photons",POWER(Upgrades!$U$9,H75),1)*IF(Upgrades!$T$10="First Photons",POWER(Upgrades!$U$10,I75),1)*IF(Upgrades!$T$11="First Photons",POWER(Upgrades!$U$11,J75),1)))*POWER(Upgrades!$R$6,E75)*POWER(Upgrades!$R$7,F75)*POWER(Upgrades!$R$8,G75)*POWER(Upgrades!$R$9,H75)*POWER(Upgrades!$R$10,I75)*POWER(Upgrades!$R$11,J75)*POWER(Upgrades!$R$12,K75)</f>
        <v/>
      </c>
      <c r="P75" s="27">
        <f>IF(L75=1,0,M75*Parameters!$B$10/60*Parameters!$B$11*10)</f>
        <v/>
      </c>
      <c r="Q75" s="27">
        <f>IF(L75=1,0,O75*M75*10)</f>
        <v/>
      </c>
      <c r="R75" s="27">
        <f>IF(L75=1,0,N75*10)</f>
        <v/>
      </c>
      <c r="S75" s="27">
        <f>P75+Q75+R75</f>
        <v/>
      </c>
      <c r="T75" s="22">
        <f>C75+S75</f>
        <v/>
      </c>
      <c r="U75" s="33">
        <f>AX75</f>
        <v/>
      </c>
      <c r="V75" s="22">
        <f>IF(U75="",0,IF(U75="transition",0,IF(U75="SW",AG75,IF(U75="AB",AH75,IF(U75="SC",AI75,IF(U75="Mag",AJ75,IF(U75="OR",AK75,IF(U75="HP",AL75,IF(U75="FP",AM75,0)))))))))</f>
        <v/>
      </c>
      <c r="W75" s="27">
        <f>IF(U75="OR",Upgrades!$F$10,IF(U75="HP",Upgrades!$F$11,IF(U75="transition",-Parameters!$B$18,0)))</f>
        <v/>
      </c>
      <c r="X75" s="22">
        <f>T75-V75</f>
        <v/>
      </c>
      <c r="Y75" s="30">
        <f>M75*Parameters!$B$10/60*Parameters!$B$11+O75*M75+N75</f>
        <v/>
      </c>
      <c r="Z75" s="34">
        <f>IF(U75="transition","→ Tier 2 (Stellar Neighborhood)",IF(U75="FP","First Photons — light begins, system quickens",IF(U75="HP","Heliopause acquired",IF(U75="OR","Orbital Resonance — passive multiplier active",IF(AND(AO75=1,L75=0,AN75&lt;&gt;1),"Cohesion ready (waiting on completionist upgrades)","")))))</f>
        <v/>
      </c>
      <c r="AA75" s="27">
        <f>(IF(E75=0,0,(Upgrades!$G$6+E75*Upgrades!$H$6)*POWER(Upgrades!$I$6,E75)))*(IF(Upgrades!$T$7="Solar Wind",POWER(Upgrades!$U$7,F75),1)*IF(Upgrades!$T$8="Solar Wind",POWER(Upgrades!$U$8,G75),1)*IF(Upgrades!$T$9="Solar Wind",POWER(Upgrades!$U$9,H75),1)*IF(Upgrades!$T$10="Solar Wind",POWER(Upgrades!$U$10,I75),1)*IF(Upgrades!$T$11="Solar Wind",POWER(Upgrades!$U$11,J75),1)*IF(Upgrades!$T$12="Solar Wind",POWER(Upgrades!$U$12,K75),1))*POWER(Upgrades!$P$6,E75)*POWER(Upgrades!$P$7,F75)*POWER(Upgrades!$P$8,G75)*POWER(Upgrades!$P$9,H75)*POWER(Upgrades!$P$10,I75)*POWER(Upgrades!$P$11,J75)*POWER(Upgrades!$P$12,K75)*60</f>
        <v/>
      </c>
      <c r="AB75" s="27">
        <f>(IF(F75=0,0,(Upgrades!$G$7+F75*Upgrades!$H$7)*POWER(Upgrades!$I$7,F75)))*(IF(Upgrades!$T$6="Asteroid Belt",POWER(Upgrades!$U$6,E75),1)*IF(Upgrades!$T$8="Asteroid Belt",POWER(Upgrades!$U$8,G75),1)*IF(Upgrades!$T$9="Asteroid Belt",POWER(Upgrades!$U$9,H75),1)*IF(Upgrades!$T$10="Asteroid Belt",POWER(Upgrades!$U$10,I75),1)*IF(Upgrades!$T$11="Asteroid Belt",POWER(Upgrades!$U$11,J75),1)*IF(Upgrades!$T$12="Asteroid Belt",POWER(Upgrades!$U$12,K75),1))*POWER(Upgrades!$P$6,E75)*POWER(Upgrades!$P$7,F75)*POWER(Upgrades!$P$8,G75)*POWER(Upgrades!$P$9,H75)*POWER(Upgrades!$P$10,I75)*POWER(Upgrades!$P$11,J75)*POWER(Upgrades!$P$12,K75)*60</f>
        <v/>
      </c>
      <c r="AC75" s="27">
        <f>(IF(G75=0,0,(Upgrades!$J$8+G75*Upgrades!$K$8)*POWER(Upgrades!$L$8,G75)))*(IF(Upgrades!$T$6="Stellar Coupling",POWER(Upgrades!$U$6,E75),1)*IF(Upgrades!$T$7="Stellar Coupling",POWER(Upgrades!$U$7,F75),1)*IF(Upgrades!$T$9="Stellar Coupling",POWER(Upgrades!$U$9,H75),1)*IF(Upgrades!$T$10="Stellar Coupling",POWER(Upgrades!$U$10,I75),1)*IF(Upgrades!$T$11="Stellar Coupling",POWER(Upgrades!$U$11,J75),1)*IF(Upgrades!$T$12="Stellar Coupling",POWER(Upgrades!$U$12,K75),1))*POWER(Upgrades!$Q$6,E75)*POWER(Upgrades!$Q$7,F75)*POWER(Upgrades!$Q$8,G75)*POWER(Upgrades!$Q$9,H75)*POWER(Upgrades!$Q$10,I75)*POWER(Upgrades!$Q$11,J75)*POWER(Upgrades!$Q$12,K75)*Parameters!$B$10*Parameters!$B$11</f>
        <v/>
      </c>
      <c r="AD75" s="27">
        <f>(IF(H75=0,0,(Upgrades!$G$9+H75*Upgrades!$H$9)*POWER(Upgrades!$I$9,H75)))*(IF(Upgrades!$T$6="Magnetosphere",POWER(Upgrades!$U$6,E75),1)*IF(Upgrades!$T$7="Magnetosphere",POWER(Upgrades!$U$7,F75),1)*IF(Upgrades!$T$8="Magnetosphere",POWER(Upgrades!$U$8,G75),1)*IF(Upgrades!$T$10="Magnetosphere",POWER(Upgrades!$U$10,I75),1)*IF(Upgrades!$T$11="Magnetosphere",POWER(Upgrades!$U$11,J75),1)*IF(Upgrades!$T$12="Magnetosphere",POWER(Upgrades!$U$12,K75),1))*POWER(Upgrades!$P$6,E75)*POWER(Upgrades!$P$7,F75)*POWER(Upgrades!$P$8,G75)*POWER(Upgrades!$P$9,H75)*POWER(Upgrades!$P$10,I75)*POWER(Upgrades!$P$11,J75)*POWER(Upgrades!$P$12,K75)*60</f>
        <v/>
      </c>
      <c r="AE75" s="27">
        <f>(IF(K75=0,0,(Upgrades!$G$12+K75*Upgrades!$H$12)*POWER(Upgrades!$I$12,K75)))*(IF(Upgrades!$T$6="First Photons",POWER(Upgrades!$U$6,E75),1)*IF(Upgrades!$T$7="First Photons",POWER(Upgrades!$U$7,F75),1)*IF(Upgrades!$T$8="First Photons",POWER(Upgrades!$U$8,G75),1)*IF(Upgrades!$T$9="First Photons",POWER(Upgrades!$U$9,H75),1)*IF(Upgrades!$T$10="First Photons",POWER(Upgrades!$U$10,I75),1)*IF(Upgrades!$T$11="First Photons",POWER(Upgrades!$U$11,J75),1))*POWER(Upgrades!$P$6,E75)*POWER(Upgrades!$P$7,F75)*POWER(Upgrades!$P$8,G75)*POWER(Upgrades!$P$9,H75)*POWER(Upgrades!$P$10,I75)*POWER(Upgrades!$P$11,J75)*POWER(Upgrades!$P$12,K75)*60</f>
        <v/>
      </c>
      <c r="AF75" s="27">
        <f>Parameters!$B$9*POWER(Upgrades!$Q$6,E75)*POWER(Upgrades!$Q$7,F75)*POWER(Upgrades!$Q$8,G75)*POWER(Upgrades!$Q$9,H75)*POWER(Upgrades!$Q$10,I75)*POWER(Upgrades!$Q$11,J75)*POWER(Upgrades!$Q$12,K75)*(Parameters!$B$10*Parameters!$B$11+O75*60)</f>
        <v/>
      </c>
      <c r="AG75" s="22">
        <f>IF(E75&gt;=Upgrades!$E$6,"",Upgrades!$C$6*POWER(Upgrades!$D$6,E75))</f>
        <v/>
      </c>
      <c r="AH75" s="22">
        <f>IF(F75&gt;=Upgrades!$E$7,"",Upgrades!$C$7*POWER(Upgrades!$D$7,F75))</f>
        <v/>
      </c>
      <c r="AI75" s="22">
        <f>IF(G75&gt;=Upgrades!$E$8,"",Upgrades!$C$8*POWER(Upgrades!$D$8,G75))</f>
        <v/>
      </c>
      <c r="AJ75" s="22">
        <f>IF(H75&gt;=Upgrades!$E$9,"",Upgrades!$C$9*POWER(Upgrades!$D$9,H75))</f>
        <v/>
      </c>
      <c r="AK75" s="22">
        <f>IF(I75&gt;=Upgrades!$E$10,"",Upgrades!$C$10*POWER(Upgrades!$D$10,I75))</f>
        <v/>
      </c>
      <c r="AL75" s="22">
        <f>IF(J75&gt;=Upgrades!$E$11,"",Upgrades!$C$11*POWER(Upgrades!$D$11,J75))</f>
        <v/>
      </c>
      <c r="AM75" s="22">
        <f>IF(K75&gt;=Upgrades!$E$12,"",Upgrades!$C$12*POWER(Upgrades!$D$12,K75))</f>
        <v/>
      </c>
      <c r="AN75" s="26">
        <f>IF(AND(D75&gt;=Parameters!$B$18,(H75&gt;=Upgrades!$E$9)*(K75&gt;=Upgrades!$E$12)=1,L75=0),1,"")</f>
        <v/>
      </c>
      <c r="AO75" s="26">
        <f>IF(AND(D75&gt;=Parameters!$B$18,L75=0),1,"")</f>
        <v/>
      </c>
      <c r="AP75" s="22">
        <f>MIN(IF(ISNUMBER(AK75),AK75,9E15),IF(ISNUMBER(AL75),AL75,9E15),IF(ISNUMBER(AM75),AM75,9E15))</f>
        <v/>
      </c>
      <c r="AQ75" s="22">
        <f>MIN(IF(ISNUMBER(AG75),AG75,9E15),IF(ISNUMBER(AH75),AH75,9E15),IF(ISNUMBER(AI75),AI75,9E15),IF(ISNUMBER(AJ75),AJ75,9E15))</f>
        <v/>
      </c>
      <c r="AR75" s="29">
        <f>IF(AW75&gt;Parameters!$B$21*(MAX(IF(AND(NOT(AND(AO75=1,AN75&lt;&gt;1)),ISNUMBER(AG75),AG75&lt;=T75),AS75,0),IF(AND(NOT(AND(AO75=1,AN75&lt;&gt;1)),ISNUMBER(AH75),AH75&lt;=T75),AT75,0),IF(AND(NOT(AND(AO75=1,AN75&lt;&gt;1)),ISNUMBER(AI75),AI75&lt;=T75),AU75,0),IF(AND(ISNUMBER(AJ75),AJ75&lt;=T75),AV75,0))),TRUE,FALSE)</f>
        <v/>
      </c>
      <c r="AS75" s="32">
        <f>IFERROR(Upgrades!$H$6*(POWER(Upgrades!$P$6,E75)*POWER(Upgrades!$P$7,F75)*POWER(Upgrades!$P$8,G75)*POWER(Upgrades!$P$9,H75)*POWER(Upgrades!$P$10,I75)*POWER(Upgrades!$P$11,J75)*POWER(Upgrades!$P$12,K75))*(IF(Upgrades!$T$7="Solar Wind",POWER(Upgrades!$U$7,F75),1)*IF(Upgrades!$T$8="Solar Wind",POWER(Upgrades!$U$8,G75),1)*IF(Upgrades!$T$9="Solar Wind",POWER(Upgrades!$U$9,H75),1)*IF(Upgrades!$T$10="Solar Wind",POWER(Upgrades!$U$10,I75),1)*IF(Upgrades!$T$11="Solar Wind",POWER(Upgrades!$U$11,J75),1)*IF(Upgrades!$T$12="Solar Wind",POWER(Upgrades!$U$12,K75),1))/AG75,0)</f>
        <v/>
      </c>
      <c r="AT75" s="32">
        <f>IFERROR(Upgrades!$H$7*(POWER(Upgrades!$P$6,E75)*POWER(Upgrades!$P$7,F75)*POWER(Upgrades!$P$8,G75)*POWER(Upgrades!$P$9,H75)*POWER(Upgrades!$P$10,I75)*POWER(Upgrades!$P$11,J75)*POWER(Upgrades!$P$12,K75))*(IF(Upgrades!$T$6="Asteroid Belt",POWER(Upgrades!$U$6,E75),1)*IF(Upgrades!$T$8="Asteroid Belt",POWER(Upgrades!$U$8,G75),1)*IF(Upgrades!$T$9="Asteroid Belt",POWER(Upgrades!$U$9,H75),1)*IF(Upgrades!$T$10="Asteroid Belt",POWER(Upgrades!$U$10,I75),1)*IF(Upgrades!$T$11="Asteroid Belt",POWER(Upgrades!$U$11,J75),1)*IF(Upgrades!$T$12="Asteroid Belt",POWER(Upgrades!$U$12,K75),1))/AH75,0)</f>
        <v/>
      </c>
      <c r="AU75" s="32">
        <f>IFERROR(Upgrades!$K$8*(POWER(Upgrades!$Q$6,E75)*POWER(Upgrades!$Q$7,F75)*POWER(Upgrades!$Q$8,G75)*POWER(Upgrades!$Q$9,H75)*POWER(Upgrades!$Q$10,I75)*POWER(Upgrades!$Q$11,J75)*POWER(Upgrades!$Q$12,K75))*(IF(Upgrades!$T$6="Stellar Coupling",POWER(Upgrades!$U$6,E75),1)*IF(Upgrades!$T$7="Stellar Coupling",POWER(Upgrades!$U$7,F75),1)*IF(Upgrades!$T$9="Stellar Coupling",POWER(Upgrades!$U$9,H75),1)*IF(Upgrades!$T$10="Stellar Coupling",POWER(Upgrades!$U$10,I75),1)*IF(Upgrades!$T$11="Stellar Coupling",POWER(Upgrades!$U$11,J75),1)*IF(Upgrades!$T$12="Stellar Coupling",POWER(Upgrades!$U$12,K75),1))*Parameters!$B$10*Parameters!$B$11/60/AI75,0)</f>
        <v/>
      </c>
      <c r="AV75" s="32">
        <f>IFERROR(Upgrades!$H$9*(POWER(Upgrades!$P$6,E75)*POWER(Upgrades!$P$7,F75)*POWER(Upgrades!$P$8,G75)*POWER(Upgrades!$P$9,H75)*POWER(Upgrades!$P$10,I75)*POWER(Upgrades!$P$11,J75)*POWER(Upgrades!$P$12,K75))*(IF(Upgrades!$T$6="Magnetosphere",POWER(Upgrades!$U$6,E75),1)*IF(Upgrades!$T$7="Magnetosphere",POWER(Upgrades!$U$7,F75),1)*IF(Upgrades!$T$8="Magnetosphere",POWER(Upgrades!$U$8,G75),1)*IF(Upgrades!$T$10="Magnetosphere",POWER(Upgrades!$U$10,I75),1)*IF(Upgrades!$T$11="Magnetosphere",POWER(Upgrades!$U$11,J75),1)*IF(Upgrades!$T$12="Magnetosphere",POWER(Upgrades!$U$12,K75),1))/AJ75,0)</f>
        <v/>
      </c>
      <c r="AW75" s="32">
        <f>MAX(IF(I75&gt;0,0,IFERROR(0.25*N75/Upgrades!$C$10,0)),IF(J75&gt;0,0,IFERROR(0.5*((IF(G75=0,0,(Upgrades!$J$8+G75*Upgrades!$K$8)*POWER(Upgrades!$L$8,G75)))*(IF(Upgrades!$T$6="Stellar Coupling",POWER(Upgrades!$U$6,E75),1)*IF(Upgrades!$T$7="Stellar Coupling",POWER(Upgrades!$U$7,F75),1)*IF(Upgrades!$T$9="Stellar Coupling",POWER(Upgrades!$U$9,H75),1)*IF(Upgrades!$T$10="Stellar Coupling",POWER(Upgrades!$U$10,I75),1)*IF(Upgrades!$T$11="Stellar Coupling",POWER(Upgrades!$U$11,J75),1)*IF(Upgrades!$T$12="Stellar Coupling",POWER(Upgrades!$U$12,K75),1))*(POWER(Upgrades!$Q$6,E75)*POWER(Upgrades!$Q$7,F75)*POWER(Upgrades!$Q$8,G75)*POWER(Upgrades!$Q$9,H75)*POWER(Upgrades!$Q$10,I75)*POWER(Upgrades!$Q$11,J75)*POWER(Upgrades!$Q$12,K75))*Parameters!$B$10*Parameters!$B$11/60)/Upgrades!$C$11,0)),IF(K75&gt;0,0,IFERROR((1.0*(POWER(Upgrades!$P$6,E75)*POWER(Upgrades!$P$7,F75)*POWER(Upgrades!$P$8,G75)*POWER(Upgrades!$P$9,H75)*POWER(Upgrades!$P$10,I75)*POWER(Upgrades!$P$11,J75)*POWER(Upgrades!$P$12,K75))+0.20*M75*Parameters!$B$10*Parameters!$B$11/60)/Upgrades!$C$12,0)),IF(AND(ISNUMBER(AG75),AG75&gt;T75),AS75,0),IF(AND(ISNUMBER(AH75),AH75&gt;T75),AT75,0),IF(AND(ISNUMBER(AI75),AI75&gt;T75),AU75,0),IF(AND(ISNUMBER(AJ75),AJ75&gt;T75),AV75,0))</f>
        <v/>
      </c>
      <c r="AX75" s="29">
        <f>IF(AN75=1,"transition",IF(MIN(IF(AND(I75=0,ISNUMBER(AK75),AK75&lt;=T75),AK75,9E15),IF(AND(J75=0,ISNUMBER(AL75),AL75&lt;=T75),AL75,9E15),IF(AND(K75=0,ISNUMBER(AM75),AM75&lt;=T75),AM75,9E15))&lt;9E15,IF(AND(AND(I75=0,ISNUMBER(AK75),AK75&lt;=T75),AK75=MIN(IF(AND(I75=0,ISNUMBER(AK75),AK75&lt;=T75),AK75,9E15),IF(AND(J75=0,ISNUMBER(AL75),AL75&lt;=T75),AL75,9E15),IF(AND(K75=0,ISNUMBER(AM75),AM75&lt;=T75),AM75,9E15))),"OR",IF(AND(AND(J75=0,ISNUMBER(AL75),AL75&lt;=T75),AL75=MIN(IF(AND(I75=0,ISNUMBER(AK75),AK75&lt;=T75),AK75,9E15),IF(AND(J75=0,ISNUMBER(AL75),AL75&lt;=T75),AL75,9E15),IF(AND(K75=0,ISNUMBER(AM75),AM75&lt;=T75),AM75,9E15))),"HP","FP")),IF(AR75=TRUE,"",IF(MAX(IF(AND(NOT(AND(AO75=1,AN75&lt;&gt;1)),ISNUMBER(AG75),AG75&lt;=T75),AS75,0),IF(AND(NOT(AND(AO75=1,AN75&lt;&gt;1)),ISNUMBER(AH75),AH75&lt;=T75),AT75,0),IF(AND(NOT(AND(AO75=1,AN75&lt;&gt;1)),ISNUMBER(AI75),AI75&lt;=T75),AU75,0),IF(AND(ISNUMBER(AJ75),AJ75&lt;=T75),AV75,0))&lt;=0,"",IF(AND(IF(AND(NOT(AND(AO75=1,AN75&lt;&gt;1)),ISNUMBER(AG75),AG75&lt;=T75),AS75,0)&gt;0,IF(AND(NOT(AND(AO75=1,AN75&lt;&gt;1)),ISNUMBER(AG75),AG75&lt;=T75),AS75,0)=MAX(IF(AND(NOT(AND(AO75=1,AN75&lt;&gt;1)),ISNUMBER(AG75),AG75&lt;=T75),AS75,0),IF(AND(NOT(AND(AO75=1,AN75&lt;&gt;1)),ISNUMBER(AH75),AH75&lt;=T75),AT75,0),IF(AND(NOT(AND(AO75=1,AN75&lt;&gt;1)),ISNUMBER(AI75),AI75&lt;=T75),AU75,0),IF(AND(ISNUMBER(AJ75),AJ75&lt;=T75),AV75,0))),"SW",IF(AND(IF(AND(NOT(AND(AO75=1,AN75&lt;&gt;1)),ISNUMBER(AH75),AH75&lt;=T75),AT75,0)&gt;0,IF(AND(NOT(AND(AO75=1,AN75&lt;&gt;1)),ISNUMBER(AH75),AH75&lt;=T75),AT75,0)=MAX(IF(AND(NOT(AND(AO75=1,AN75&lt;&gt;1)),ISNUMBER(AG75),AG75&lt;=T75),AS75,0),IF(AND(NOT(AND(AO75=1,AN75&lt;&gt;1)),ISNUMBER(AH75),AH75&lt;=T75),AT75,0),IF(AND(NOT(AND(AO75=1,AN75&lt;&gt;1)),ISNUMBER(AI75),AI75&lt;=T75),AU75,0),IF(AND(ISNUMBER(AJ75),AJ75&lt;=T75),AV75,0))),"AB",IF(AND(IF(AND(NOT(AND(AO75=1,AN75&lt;&gt;1)),ISNUMBER(AI75),AI75&lt;=T75),AU75,0)&gt;0,IF(AND(NOT(AND(AO75=1,AN75&lt;&gt;1)),ISNUMBER(AI75),AI75&lt;=T75),AU75,0)=MAX(IF(AND(NOT(AND(AO75=1,AN75&lt;&gt;1)),ISNUMBER(AG75),AG75&lt;=T75),AS75,0),IF(AND(NOT(AND(AO75=1,AN75&lt;&gt;1)),ISNUMBER(AH75),AH75&lt;=T75),AT75,0),IF(AND(NOT(AND(AO75=1,AN75&lt;&gt;1)),ISNUMBER(AI75),AI75&lt;=T75),AU75,0),IF(AND(ISNUMBER(AJ75),AJ75&lt;=T75),AV75,0))),"SC","Mag")))))))</f>
        <v/>
      </c>
    </row>
    <row r="76">
      <c r="A76" s="26" t="n">
        <v>71</v>
      </c>
      <c r="B76" s="27">
        <f>A76*10/60</f>
        <v/>
      </c>
      <c r="C76" s="22">
        <f>X75</f>
        <v/>
      </c>
      <c r="D76" s="27">
        <f>D75+W75</f>
        <v/>
      </c>
      <c r="E76" s="26">
        <f>E75+IF(U75="SW",1,0)</f>
        <v/>
      </c>
      <c r="F76" s="26">
        <f>F75+IF(U75="AB",1,0)</f>
        <v/>
      </c>
      <c r="G76" s="26">
        <f>G75+IF(U75="SC",1,0)</f>
        <v/>
      </c>
      <c r="H76" s="26">
        <f>H75+IF(U75="Mag",1,0)</f>
        <v/>
      </c>
      <c r="I76" s="26">
        <f>MAX(I75,IF(U75="OR",1,0))</f>
        <v/>
      </c>
      <c r="J76" s="26">
        <f>MAX(J75,IF(U75="HP",1,0))</f>
        <v/>
      </c>
      <c r="K76" s="26">
        <f>MAX(K75,IF(U75="FP",1,0))</f>
        <v/>
      </c>
      <c r="L76" s="26">
        <f>MAX(L75,IF(U75="transition",1,0))</f>
        <v/>
      </c>
      <c r="M76" s="28">
        <f>(Parameters!$B$9+(IF(E76=0,0,(Upgrades!$J$6+E76*Upgrades!$K$6)*POWER(Upgrades!$L$6,E76)))*(IF(Upgrades!$T$7="Solar Wind",POWER(Upgrades!$U$7,F76),1)*IF(Upgrades!$T$8="Solar Wind",POWER(Upgrades!$U$8,G76),1)*IF(Upgrades!$T$9="Solar Wind",POWER(Upgrades!$U$9,H76),1)*IF(Upgrades!$T$10="Solar Wind",POWER(Upgrades!$U$10,I76),1)*IF(Upgrades!$T$11="Solar Wind",POWER(Upgrades!$U$11,J76),1)*IF(Upgrades!$T$12="Solar Wind",POWER(Upgrades!$U$12,K76),1))+(IF(F76=0,0,(Upgrades!$J$7+F76*Upgrades!$K$7)*POWER(Upgrades!$L$7,F76)))*(IF(Upgrades!$T$6="Asteroid Belt",POWER(Upgrades!$U$6,E76),1)*IF(Upgrades!$T$8="Asteroid Belt",POWER(Upgrades!$U$8,G76),1)*IF(Upgrades!$T$9="Asteroid Belt",POWER(Upgrades!$U$9,H76),1)*IF(Upgrades!$T$10="Asteroid Belt",POWER(Upgrades!$U$10,I76),1)*IF(Upgrades!$T$11="Asteroid Belt",POWER(Upgrades!$U$11,J76),1)*IF(Upgrades!$T$12="Asteroid Belt",POWER(Upgrades!$U$12,K76),1))+(IF(G76=0,0,(Upgrades!$J$8+G76*Upgrades!$K$8)*POWER(Upgrades!$L$8,G76)))*(IF(Upgrades!$T$6="Stellar Coupling",POWER(Upgrades!$U$6,E76),1)*IF(Upgrades!$T$7="Stellar Coupling",POWER(Upgrades!$U$7,F76),1)*IF(Upgrades!$T$9="Stellar Coupling",POWER(Upgrades!$U$9,H76),1)*IF(Upgrades!$T$10="Stellar Coupling",POWER(Upgrades!$U$10,I76),1)*IF(Upgrades!$T$11="Stellar Coupling",POWER(Upgrades!$U$11,J76),1)*IF(Upgrades!$T$12="Stellar Coupling",POWER(Upgrades!$U$12,K76),1))+(IF(H76=0,0,(Upgrades!$J$9+H76*Upgrades!$K$9)*POWER(Upgrades!$L$9,H76)))*(IF(Upgrades!$T$6="Magnetosphere",POWER(Upgrades!$U$6,E76),1)*IF(Upgrades!$T$7="Magnetosphere",POWER(Upgrades!$U$7,F76),1)*IF(Upgrades!$T$8="Magnetosphere",POWER(Upgrades!$U$8,G76),1)*IF(Upgrades!$T$10="Magnetosphere",POWER(Upgrades!$U$10,I76),1)*IF(Upgrades!$T$11="Magnetosphere",POWER(Upgrades!$U$11,J76),1)*IF(Upgrades!$T$12="Magnetosphere",POWER(Upgrades!$U$12,K76),1))+(IF(I76=0,0,(Upgrades!$J$10+I76*Upgrades!$K$10)*POWER(Upgrades!$L$10,I76)))*(IF(Upgrades!$T$6="Orbital Resonance",POWER(Upgrades!$U$6,E76),1)*IF(Upgrades!$T$7="Orbital Resonance",POWER(Upgrades!$U$7,F76),1)*IF(Upgrades!$T$8="Orbital Resonance",POWER(Upgrades!$U$8,G76),1)*IF(Upgrades!$T$9="Orbital Resonance",POWER(Upgrades!$U$9,H76),1)*IF(Upgrades!$T$11="Orbital Resonance",POWER(Upgrades!$U$11,J76),1)*IF(Upgrades!$T$12="Orbital Resonance",POWER(Upgrades!$U$12,K76),1))+(IF(J76=0,0,(Upgrades!$J$11+J76*Upgrades!$K$11)*POWER(Upgrades!$L$11,J76)))*(IF(Upgrades!$T$6="Heliopause",POWER(Upgrades!$U$6,E76),1)*IF(Upgrades!$T$7="Heliopause",POWER(Upgrades!$U$7,F76),1)*IF(Upgrades!$T$8="Heliopause",POWER(Upgrades!$U$8,G76),1)*IF(Upgrades!$T$9="Heliopause",POWER(Upgrades!$U$9,H76),1)*IF(Upgrades!$T$10="Heliopause",POWER(Upgrades!$U$10,I76),1)*IF(Upgrades!$T$12="Heliopause",POWER(Upgrades!$U$12,K76),1))+(IF(K76=0,0,(Upgrades!$J$12+K76*Upgrades!$K$12)*POWER(Upgrades!$L$12,K76)))*(IF(Upgrades!$T$6="First Photons",POWER(Upgrades!$U$6,E76),1)*IF(Upgrades!$T$7="First Photons",POWER(Upgrades!$U$7,F76),1)*IF(Upgrades!$T$8="First Photons",POWER(Upgrades!$U$8,G76),1)*IF(Upgrades!$T$9="First Photons",POWER(Upgrades!$U$9,H76),1)*IF(Upgrades!$T$10="First Photons",POWER(Upgrades!$U$10,I76),1)*IF(Upgrades!$T$11="First Photons",POWER(Upgrades!$U$11,J76),1)))*POWER(Upgrades!$Q$6,E76)*POWER(Upgrades!$Q$7,F76)*POWER(Upgrades!$Q$8,G76)*POWER(Upgrades!$Q$9,H76)*POWER(Upgrades!$Q$10,I76)*POWER(Upgrades!$Q$11,J76)*POWER(Upgrades!$Q$12,K76)</f>
        <v/>
      </c>
      <c r="N76" s="28">
        <f>((IF(E76=0,0,(Upgrades!$G$6+E76*Upgrades!$H$6)*POWER(Upgrades!$I$6,E76)))*(IF(Upgrades!$T$7="Solar Wind",POWER(Upgrades!$U$7,F76),1)*IF(Upgrades!$T$8="Solar Wind",POWER(Upgrades!$U$8,G76),1)*IF(Upgrades!$T$9="Solar Wind",POWER(Upgrades!$U$9,H76),1)*IF(Upgrades!$T$10="Solar Wind",POWER(Upgrades!$U$10,I76),1)*IF(Upgrades!$T$11="Solar Wind",POWER(Upgrades!$U$11,J76),1)*IF(Upgrades!$T$12="Solar Wind",POWER(Upgrades!$U$12,K76),1))+(IF(F76=0,0,(Upgrades!$G$7+F76*Upgrades!$H$7)*POWER(Upgrades!$I$7,F76)))*(IF(Upgrades!$T$6="Asteroid Belt",POWER(Upgrades!$U$6,E76),1)*IF(Upgrades!$T$8="Asteroid Belt",POWER(Upgrades!$U$8,G76),1)*IF(Upgrades!$T$9="Asteroid Belt",POWER(Upgrades!$U$9,H76),1)*IF(Upgrades!$T$10="Asteroid Belt",POWER(Upgrades!$U$10,I76),1)*IF(Upgrades!$T$11="Asteroid Belt",POWER(Upgrades!$U$11,J76),1)*IF(Upgrades!$T$12="Asteroid Belt",POWER(Upgrades!$U$12,K76),1))+(IF(G76=0,0,(Upgrades!$G$8+G76*Upgrades!$H$8)*POWER(Upgrades!$I$8,G76)))*(IF(Upgrades!$T$6="Stellar Coupling",POWER(Upgrades!$U$6,E76),1)*IF(Upgrades!$T$7="Stellar Coupling",POWER(Upgrades!$U$7,F76),1)*IF(Upgrades!$T$9="Stellar Coupling",POWER(Upgrades!$U$9,H76),1)*IF(Upgrades!$T$10="Stellar Coupling",POWER(Upgrades!$U$10,I76),1)*IF(Upgrades!$T$11="Stellar Coupling",POWER(Upgrades!$U$11,J76),1)*IF(Upgrades!$T$12="Stellar Coupling",POWER(Upgrades!$U$12,K76),1))+(IF(H76=0,0,(Upgrades!$G$9+H76*Upgrades!$H$9)*POWER(Upgrades!$I$9,H76)))*(IF(Upgrades!$T$6="Magnetosphere",POWER(Upgrades!$U$6,E76),1)*IF(Upgrades!$T$7="Magnetosphere",POWER(Upgrades!$U$7,F76),1)*IF(Upgrades!$T$8="Magnetosphere",POWER(Upgrades!$U$8,G76),1)*IF(Upgrades!$T$10="Magnetosphere",POWER(Upgrades!$U$10,I76),1)*IF(Upgrades!$T$11="Magnetosphere",POWER(Upgrades!$U$11,J76),1)*IF(Upgrades!$T$12="Magnetosphere",POWER(Upgrades!$U$12,K76),1))+(IF(I76=0,0,(Upgrades!$G$10+I76*Upgrades!$H$10)*POWER(Upgrades!$I$10,I76)))*(IF(Upgrades!$T$6="Orbital Resonance",POWER(Upgrades!$U$6,E76),1)*IF(Upgrades!$T$7="Orbital Resonance",POWER(Upgrades!$U$7,F76),1)*IF(Upgrades!$T$8="Orbital Resonance",POWER(Upgrades!$U$8,G76),1)*IF(Upgrades!$T$9="Orbital Resonance",POWER(Upgrades!$U$9,H76),1)*IF(Upgrades!$T$11="Orbital Resonance",POWER(Upgrades!$U$11,J76),1)*IF(Upgrades!$T$12="Orbital Resonance",POWER(Upgrades!$U$12,K76),1))+(IF(J76=0,0,(Upgrades!$G$11+J76*Upgrades!$H$11)*POWER(Upgrades!$I$11,J76)))*(IF(Upgrades!$T$6="Heliopause",POWER(Upgrades!$U$6,E76),1)*IF(Upgrades!$T$7="Heliopause",POWER(Upgrades!$U$7,F76),1)*IF(Upgrades!$T$8="Heliopause",POWER(Upgrades!$U$8,G76),1)*IF(Upgrades!$T$9="Heliopause",POWER(Upgrades!$U$9,H76),1)*IF(Upgrades!$T$10="Heliopause",POWER(Upgrades!$U$10,I76),1)*IF(Upgrades!$T$12="Heliopause",POWER(Upgrades!$U$12,K76),1))+(IF(K76=0,0,(Upgrades!$G$12+K76*Upgrades!$H$12)*POWER(Upgrades!$I$12,K76)))*(IF(Upgrades!$T$6="First Photons",POWER(Upgrades!$U$6,E76),1)*IF(Upgrades!$T$7="First Photons",POWER(Upgrades!$U$7,F76),1)*IF(Upgrades!$T$8="First Photons",POWER(Upgrades!$U$8,G76),1)*IF(Upgrades!$T$9="First Photons",POWER(Upgrades!$U$9,H76),1)*IF(Upgrades!$T$10="First Photons",POWER(Upgrades!$U$10,I76),1)*IF(Upgrades!$T$11="First Photons",POWER(Upgrades!$U$11,J76),1)))*POWER(Upgrades!$P$6,E76)*POWER(Upgrades!$P$7,F76)*POWER(Upgrades!$P$8,G76)*POWER(Upgrades!$P$9,H76)*POWER(Upgrades!$P$10,I76)*POWER(Upgrades!$P$11,J76)*POWER(Upgrades!$P$12,K76)</f>
        <v/>
      </c>
      <c r="O76" s="28">
        <f>((IF(E76=0,0,(Upgrades!$M$6+E76*Upgrades!$N$6)*POWER(Upgrades!$O$6,E76)))*(IF(Upgrades!$T$7="Solar Wind",POWER(Upgrades!$U$7,F76),1)*IF(Upgrades!$T$8="Solar Wind",POWER(Upgrades!$U$8,G76),1)*IF(Upgrades!$T$9="Solar Wind",POWER(Upgrades!$U$9,H76),1)*IF(Upgrades!$T$10="Solar Wind",POWER(Upgrades!$U$10,I76),1)*IF(Upgrades!$T$11="Solar Wind",POWER(Upgrades!$U$11,J76),1)*IF(Upgrades!$T$12="Solar Wind",POWER(Upgrades!$U$12,K76),1))+(IF(F76=0,0,(Upgrades!$M$7+F76*Upgrades!$N$7)*POWER(Upgrades!$O$7,F76)))*(IF(Upgrades!$T$6="Asteroid Belt",POWER(Upgrades!$U$6,E76),1)*IF(Upgrades!$T$8="Asteroid Belt",POWER(Upgrades!$U$8,G76),1)*IF(Upgrades!$T$9="Asteroid Belt",POWER(Upgrades!$U$9,H76),1)*IF(Upgrades!$T$10="Asteroid Belt",POWER(Upgrades!$U$10,I76),1)*IF(Upgrades!$T$11="Asteroid Belt",POWER(Upgrades!$U$11,J76),1)*IF(Upgrades!$T$12="Asteroid Belt",POWER(Upgrades!$U$12,K76),1))+(IF(G76=0,0,(Upgrades!$M$8+G76*Upgrades!$N$8)*POWER(Upgrades!$O$8,G76)))*(IF(Upgrades!$T$6="Stellar Coupling",POWER(Upgrades!$U$6,E76),1)*IF(Upgrades!$T$7="Stellar Coupling",POWER(Upgrades!$U$7,F76),1)*IF(Upgrades!$T$9="Stellar Coupling",POWER(Upgrades!$U$9,H76),1)*IF(Upgrades!$T$10="Stellar Coupling",POWER(Upgrades!$U$10,I76),1)*IF(Upgrades!$T$11="Stellar Coupling",POWER(Upgrades!$U$11,J76),1)*IF(Upgrades!$T$12="Stellar Coupling",POWER(Upgrades!$U$12,K76),1))+(IF(H76=0,0,(Upgrades!$M$9+H76*Upgrades!$N$9)*POWER(Upgrades!$O$9,H76)))*(IF(Upgrades!$T$6="Magnetosphere",POWER(Upgrades!$U$6,E76),1)*IF(Upgrades!$T$7="Magnetosphere",POWER(Upgrades!$U$7,F76),1)*IF(Upgrades!$T$8="Magnetosphere",POWER(Upgrades!$U$8,G76),1)*IF(Upgrades!$T$10="Magnetosphere",POWER(Upgrades!$U$10,I76),1)*IF(Upgrades!$T$11="Magnetosphere",POWER(Upgrades!$U$11,J76),1)*IF(Upgrades!$T$12="Magnetosphere",POWER(Upgrades!$U$12,K76),1))+(IF(I76=0,0,(Upgrades!$M$10+I76*Upgrades!$N$10)*POWER(Upgrades!$O$10,I76)))*(IF(Upgrades!$T$6="Orbital Resonance",POWER(Upgrades!$U$6,E76),1)*IF(Upgrades!$T$7="Orbital Resonance",POWER(Upgrades!$U$7,F76),1)*IF(Upgrades!$T$8="Orbital Resonance",POWER(Upgrades!$U$8,G76),1)*IF(Upgrades!$T$9="Orbital Resonance",POWER(Upgrades!$U$9,H76),1)*IF(Upgrades!$T$11="Orbital Resonance",POWER(Upgrades!$U$11,J76),1)*IF(Upgrades!$T$12="Orbital Resonance",POWER(Upgrades!$U$12,K76),1))+(IF(J76=0,0,(Upgrades!$M$11+J76*Upgrades!$N$11)*POWER(Upgrades!$O$11,J76)))*(IF(Upgrades!$T$6="Heliopause",POWER(Upgrades!$U$6,E76),1)*IF(Upgrades!$T$7="Heliopause",POWER(Upgrades!$U$7,F76),1)*IF(Upgrades!$T$8="Heliopause",POWER(Upgrades!$U$8,G76),1)*IF(Upgrades!$T$9="Heliopause",POWER(Upgrades!$U$9,H76),1)*IF(Upgrades!$T$10="Heliopause",POWER(Upgrades!$U$10,I76),1)*IF(Upgrades!$T$12="Heliopause",POWER(Upgrades!$U$12,K76),1))+(IF(K76=0,0,(Upgrades!$M$12+K76*Upgrades!$N$12)*POWER(Upgrades!$O$12,K76)))*(IF(Upgrades!$T$6="First Photons",POWER(Upgrades!$U$6,E76),1)*IF(Upgrades!$T$7="First Photons",POWER(Upgrades!$U$7,F76),1)*IF(Upgrades!$T$8="First Photons",POWER(Upgrades!$U$8,G76),1)*IF(Upgrades!$T$9="First Photons",POWER(Upgrades!$U$9,H76),1)*IF(Upgrades!$T$10="First Photons",POWER(Upgrades!$U$10,I76),1)*IF(Upgrades!$T$11="First Photons",POWER(Upgrades!$U$11,J76),1)))*POWER(Upgrades!$R$6,E76)*POWER(Upgrades!$R$7,F76)*POWER(Upgrades!$R$8,G76)*POWER(Upgrades!$R$9,H76)*POWER(Upgrades!$R$10,I76)*POWER(Upgrades!$R$11,J76)*POWER(Upgrades!$R$12,K76)</f>
        <v/>
      </c>
      <c r="P76" s="27">
        <f>IF(L76=1,0,M76*Parameters!$B$10/60*Parameters!$B$11*10)</f>
        <v/>
      </c>
      <c r="Q76" s="27">
        <f>IF(L76=1,0,O76*M76*10)</f>
        <v/>
      </c>
      <c r="R76" s="27">
        <f>IF(L76=1,0,N76*10)</f>
        <v/>
      </c>
      <c r="S76" s="27">
        <f>P76+Q76+R76</f>
        <v/>
      </c>
      <c r="T76" s="22">
        <f>C76+S76</f>
        <v/>
      </c>
      <c r="U76" s="33">
        <f>AX76</f>
        <v/>
      </c>
      <c r="V76" s="22">
        <f>IF(U76="",0,IF(U76="transition",0,IF(U76="SW",AG76,IF(U76="AB",AH76,IF(U76="SC",AI76,IF(U76="Mag",AJ76,IF(U76="OR",AK76,IF(U76="HP",AL76,IF(U76="FP",AM76,0)))))))))</f>
        <v/>
      </c>
      <c r="W76" s="27">
        <f>IF(U76="OR",Upgrades!$F$10,IF(U76="HP",Upgrades!$F$11,IF(U76="transition",-Parameters!$B$18,0)))</f>
        <v/>
      </c>
      <c r="X76" s="22">
        <f>T76-V76</f>
        <v/>
      </c>
      <c r="Y76" s="30">
        <f>M76*Parameters!$B$10/60*Parameters!$B$11+O76*M76+N76</f>
        <v/>
      </c>
      <c r="Z76" s="34">
        <f>IF(U76="transition","→ Tier 2 (Stellar Neighborhood)",IF(U76="FP","First Photons — light begins, system quickens",IF(U76="HP","Heliopause acquired",IF(U76="OR","Orbital Resonance — passive multiplier active",IF(AND(AO76=1,L76=0,AN76&lt;&gt;1),"Cohesion ready (waiting on completionist upgrades)","")))))</f>
        <v/>
      </c>
      <c r="AA76" s="27">
        <f>(IF(E76=0,0,(Upgrades!$G$6+E76*Upgrades!$H$6)*POWER(Upgrades!$I$6,E76)))*(IF(Upgrades!$T$7="Solar Wind",POWER(Upgrades!$U$7,F76),1)*IF(Upgrades!$T$8="Solar Wind",POWER(Upgrades!$U$8,G76),1)*IF(Upgrades!$T$9="Solar Wind",POWER(Upgrades!$U$9,H76),1)*IF(Upgrades!$T$10="Solar Wind",POWER(Upgrades!$U$10,I76),1)*IF(Upgrades!$T$11="Solar Wind",POWER(Upgrades!$U$11,J76),1)*IF(Upgrades!$T$12="Solar Wind",POWER(Upgrades!$U$12,K76),1))*POWER(Upgrades!$P$6,E76)*POWER(Upgrades!$P$7,F76)*POWER(Upgrades!$P$8,G76)*POWER(Upgrades!$P$9,H76)*POWER(Upgrades!$P$10,I76)*POWER(Upgrades!$P$11,J76)*POWER(Upgrades!$P$12,K76)*60</f>
        <v/>
      </c>
      <c r="AB76" s="27">
        <f>(IF(F76=0,0,(Upgrades!$G$7+F76*Upgrades!$H$7)*POWER(Upgrades!$I$7,F76)))*(IF(Upgrades!$T$6="Asteroid Belt",POWER(Upgrades!$U$6,E76),1)*IF(Upgrades!$T$8="Asteroid Belt",POWER(Upgrades!$U$8,G76),1)*IF(Upgrades!$T$9="Asteroid Belt",POWER(Upgrades!$U$9,H76),1)*IF(Upgrades!$T$10="Asteroid Belt",POWER(Upgrades!$U$10,I76),1)*IF(Upgrades!$T$11="Asteroid Belt",POWER(Upgrades!$U$11,J76),1)*IF(Upgrades!$T$12="Asteroid Belt",POWER(Upgrades!$U$12,K76),1))*POWER(Upgrades!$P$6,E76)*POWER(Upgrades!$P$7,F76)*POWER(Upgrades!$P$8,G76)*POWER(Upgrades!$P$9,H76)*POWER(Upgrades!$P$10,I76)*POWER(Upgrades!$P$11,J76)*POWER(Upgrades!$P$12,K76)*60</f>
        <v/>
      </c>
      <c r="AC76" s="27">
        <f>(IF(G76=0,0,(Upgrades!$J$8+G76*Upgrades!$K$8)*POWER(Upgrades!$L$8,G76)))*(IF(Upgrades!$T$6="Stellar Coupling",POWER(Upgrades!$U$6,E76),1)*IF(Upgrades!$T$7="Stellar Coupling",POWER(Upgrades!$U$7,F76),1)*IF(Upgrades!$T$9="Stellar Coupling",POWER(Upgrades!$U$9,H76),1)*IF(Upgrades!$T$10="Stellar Coupling",POWER(Upgrades!$U$10,I76),1)*IF(Upgrades!$T$11="Stellar Coupling",POWER(Upgrades!$U$11,J76),1)*IF(Upgrades!$T$12="Stellar Coupling",POWER(Upgrades!$U$12,K76),1))*POWER(Upgrades!$Q$6,E76)*POWER(Upgrades!$Q$7,F76)*POWER(Upgrades!$Q$8,G76)*POWER(Upgrades!$Q$9,H76)*POWER(Upgrades!$Q$10,I76)*POWER(Upgrades!$Q$11,J76)*POWER(Upgrades!$Q$12,K76)*Parameters!$B$10*Parameters!$B$11</f>
        <v/>
      </c>
      <c r="AD76" s="27">
        <f>(IF(H76=0,0,(Upgrades!$G$9+H76*Upgrades!$H$9)*POWER(Upgrades!$I$9,H76)))*(IF(Upgrades!$T$6="Magnetosphere",POWER(Upgrades!$U$6,E76),1)*IF(Upgrades!$T$7="Magnetosphere",POWER(Upgrades!$U$7,F76),1)*IF(Upgrades!$T$8="Magnetosphere",POWER(Upgrades!$U$8,G76),1)*IF(Upgrades!$T$10="Magnetosphere",POWER(Upgrades!$U$10,I76),1)*IF(Upgrades!$T$11="Magnetosphere",POWER(Upgrades!$U$11,J76),1)*IF(Upgrades!$T$12="Magnetosphere",POWER(Upgrades!$U$12,K76),1))*POWER(Upgrades!$P$6,E76)*POWER(Upgrades!$P$7,F76)*POWER(Upgrades!$P$8,G76)*POWER(Upgrades!$P$9,H76)*POWER(Upgrades!$P$10,I76)*POWER(Upgrades!$P$11,J76)*POWER(Upgrades!$P$12,K76)*60</f>
        <v/>
      </c>
      <c r="AE76" s="27">
        <f>(IF(K76=0,0,(Upgrades!$G$12+K76*Upgrades!$H$12)*POWER(Upgrades!$I$12,K76)))*(IF(Upgrades!$T$6="First Photons",POWER(Upgrades!$U$6,E76),1)*IF(Upgrades!$T$7="First Photons",POWER(Upgrades!$U$7,F76),1)*IF(Upgrades!$T$8="First Photons",POWER(Upgrades!$U$8,G76),1)*IF(Upgrades!$T$9="First Photons",POWER(Upgrades!$U$9,H76),1)*IF(Upgrades!$T$10="First Photons",POWER(Upgrades!$U$10,I76),1)*IF(Upgrades!$T$11="First Photons",POWER(Upgrades!$U$11,J76),1))*POWER(Upgrades!$P$6,E76)*POWER(Upgrades!$P$7,F76)*POWER(Upgrades!$P$8,G76)*POWER(Upgrades!$P$9,H76)*POWER(Upgrades!$P$10,I76)*POWER(Upgrades!$P$11,J76)*POWER(Upgrades!$P$12,K76)*60</f>
        <v/>
      </c>
      <c r="AF76" s="27">
        <f>Parameters!$B$9*POWER(Upgrades!$Q$6,E76)*POWER(Upgrades!$Q$7,F76)*POWER(Upgrades!$Q$8,G76)*POWER(Upgrades!$Q$9,H76)*POWER(Upgrades!$Q$10,I76)*POWER(Upgrades!$Q$11,J76)*POWER(Upgrades!$Q$12,K76)*(Parameters!$B$10*Parameters!$B$11+O76*60)</f>
        <v/>
      </c>
      <c r="AG76" s="22">
        <f>IF(E76&gt;=Upgrades!$E$6,"",Upgrades!$C$6*POWER(Upgrades!$D$6,E76))</f>
        <v/>
      </c>
      <c r="AH76" s="22">
        <f>IF(F76&gt;=Upgrades!$E$7,"",Upgrades!$C$7*POWER(Upgrades!$D$7,F76))</f>
        <v/>
      </c>
      <c r="AI76" s="22">
        <f>IF(G76&gt;=Upgrades!$E$8,"",Upgrades!$C$8*POWER(Upgrades!$D$8,G76))</f>
        <v/>
      </c>
      <c r="AJ76" s="22">
        <f>IF(H76&gt;=Upgrades!$E$9,"",Upgrades!$C$9*POWER(Upgrades!$D$9,H76))</f>
        <v/>
      </c>
      <c r="AK76" s="22">
        <f>IF(I76&gt;=Upgrades!$E$10,"",Upgrades!$C$10*POWER(Upgrades!$D$10,I76))</f>
        <v/>
      </c>
      <c r="AL76" s="22">
        <f>IF(J76&gt;=Upgrades!$E$11,"",Upgrades!$C$11*POWER(Upgrades!$D$11,J76))</f>
        <v/>
      </c>
      <c r="AM76" s="22">
        <f>IF(K76&gt;=Upgrades!$E$12,"",Upgrades!$C$12*POWER(Upgrades!$D$12,K76))</f>
        <v/>
      </c>
      <c r="AN76" s="26">
        <f>IF(AND(D76&gt;=Parameters!$B$18,(H76&gt;=Upgrades!$E$9)*(K76&gt;=Upgrades!$E$12)=1,L76=0),1,"")</f>
        <v/>
      </c>
      <c r="AO76" s="26">
        <f>IF(AND(D76&gt;=Parameters!$B$18,L76=0),1,"")</f>
        <v/>
      </c>
      <c r="AP76" s="22">
        <f>MIN(IF(ISNUMBER(AK76),AK76,9E15),IF(ISNUMBER(AL76),AL76,9E15),IF(ISNUMBER(AM76),AM76,9E15))</f>
        <v/>
      </c>
      <c r="AQ76" s="22">
        <f>MIN(IF(ISNUMBER(AG76),AG76,9E15),IF(ISNUMBER(AH76),AH76,9E15),IF(ISNUMBER(AI76),AI76,9E15),IF(ISNUMBER(AJ76),AJ76,9E15))</f>
        <v/>
      </c>
      <c r="AR76" s="29">
        <f>IF(AW76&gt;Parameters!$B$21*(MAX(IF(AND(NOT(AND(AO76=1,AN76&lt;&gt;1)),ISNUMBER(AG76),AG76&lt;=T76),AS76,0),IF(AND(NOT(AND(AO76=1,AN76&lt;&gt;1)),ISNUMBER(AH76),AH76&lt;=T76),AT76,0),IF(AND(NOT(AND(AO76=1,AN76&lt;&gt;1)),ISNUMBER(AI76),AI76&lt;=T76),AU76,0),IF(AND(ISNUMBER(AJ76),AJ76&lt;=T76),AV76,0))),TRUE,FALSE)</f>
        <v/>
      </c>
      <c r="AS76" s="32">
        <f>IFERROR(Upgrades!$H$6*(POWER(Upgrades!$P$6,E76)*POWER(Upgrades!$P$7,F76)*POWER(Upgrades!$P$8,G76)*POWER(Upgrades!$P$9,H76)*POWER(Upgrades!$P$10,I76)*POWER(Upgrades!$P$11,J76)*POWER(Upgrades!$P$12,K76))*(IF(Upgrades!$T$7="Solar Wind",POWER(Upgrades!$U$7,F76),1)*IF(Upgrades!$T$8="Solar Wind",POWER(Upgrades!$U$8,G76),1)*IF(Upgrades!$T$9="Solar Wind",POWER(Upgrades!$U$9,H76),1)*IF(Upgrades!$T$10="Solar Wind",POWER(Upgrades!$U$10,I76),1)*IF(Upgrades!$T$11="Solar Wind",POWER(Upgrades!$U$11,J76),1)*IF(Upgrades!$T$12="Solar Wind",POWER(Upgrades!$U$12,K76),1))/AG76,0)</f>
        <v/>
      </c>
      <c r="AT76" s="32">
        <f>IFERROR(Upgrades!$H$7*(POWER(Upgrades!$P$6,E76)*POWER(Upgrades!$P$7,F76)*POWER(Upgrades!$P$8,G76)*POWER(Upgrades!$P$9,H76)*POWER(Upgrades!$P$10,I76)*POWER(Upgrades!$P$11,J76)*POWER(Upgrades!$P$12,K76))*(IF(Upgrades!$T$6="Asteroid Belt",POWER(Upgrades!$U$6,E76),1)*IF(Upgrades!$T$8="Asteroid Belt",POWER(Upgrades!$U$8,G76),1)*IF(Upgrades!$T$9="Asteroid Belt",POWER(Upgrades!$U$9,H76),1)*IF(Upgrades!$T$10="Asteroid Belt",POWER(Upgrades!$U$10,I76),1)*IF(Upgrades!$T$11="Asteroid Belt",POWER(Upgrades!$U$11,J76),1)*IF(Upgrades!$T$12="Asteroid Belt",POWER(Upgrades!$U$12,K76),1))/AH76,0)</f>
        <v/>
      </c>
      <c r="AU76" s="32">
        <f>IFERROR(Upgrades!$K$8*(POWER(Upgrades!$Q$6,E76)*POWER(Upgrades!$Q$7,F76)*POWER(Upgrades!$Q$8,G76)*POWER(Upgrades!$Q$9,H76)*POWER(Upgrades!$Q$10,I76)*POWER(Upgrades!$Q$11,J76)*POWER(Upgrades!$Q$12,K76))*(IF(Upgrades!$T$6="Stellar Coupling",POWER(Upgrades!$U$6,E76),1)*IF(Upgrades!$T$7="Stellar Coupling",POWER(Upgrades!$U$7,F76),1)*IF(Upgrades!$T$9="Stellar Coupling",POWER(Upgrades!$U$9,H76),1)*IF(Upgrades!$T$10="Stellar Coupling",POWER(Upgrades!$U$10,I76),1)*IF(Upgrades!$T$11="Stellar Coupling",POWER(Upgrades!$U$11,J76),1)*IF(Upgrades!$T$12="Stellar Coupling",POWER(Upgrades!$U$12,K76),1))*Parameters!$B$10*Parameters!$B$11/60/AI76,0)</f>
        <v/>
      </c>
      <c r="AV76" s="32">
        <f>IFERROR(Upgrades!$H$9*(POWER(Upgrades!$P$6,E76)*POWER(Upgrades!$P$7,F76)*POWER(Upgrades!$P$8,G76)*POWER(Upgrades!$P$9,H76)*POWER(Upgrades!$P$10,I76)*POWER(Upgrades!$P$11,J76)*POWER(Upgrades!$P$12,K76))*(IF(Upgrades!$T$6="Magnetosphere",POWER(Upgrades!$U$6,E76),1)*IF(Upgrades!$T$7="Magnetosphere",POWER(Upgrades!$U$7,F76),1)*IF(Upgrades!$T$8="Magnetosphere",POWER(Upgrades!$U$8,G76),1)*IF(Upgrades!$T$10="Magnetosphere",POWER(Upgrades!$U$10,I76),1)*IF(Upgrades!$T$11="Magnetosphere",POWER(Upgrades!$U$11,J76),1)*IF(Upgrades!$T$12="Magnetosphere",POWER(Upgrades!$U$12,K76),1))/AJ76,0)</f>
        <v/>
      </c>
      <c r="AW76" s="32">
        <f>MAX(IF(I76&gt;0,0,IFERROR(0.25*N76/Upgrades!$C$10,0)),IF(J76&gt;0,0,IFERROR(0.5*((IF(G76=0,0,(Upgrades!$J$8+G76*Upgrades!$K$8)*POWER(Upgrades!$L$8,G76)))*(IF(Upgrades!$T$6="Stellar Coupling",POWER(Upgrades!$U$6,E76),1)*IF(Upgrades!$T$7="Stellar Coupling",POWER(Upgrades!$U$7,F76),1)*IF(Upgrades!$T$9="Stellar Coupling",POWER(Upgrades!$U$9,H76),1)*IF(Upgrades!$T$10="Stellar Coupling",POWER(Upgrades!$U$10,I76),1)*IF(Upgrades!$T$11="Stellar Coupling",POWER(Upgrades!$U$11,J76),1)*IF(Upgrades!$T$12="Stellar Coupling",POWER(Upgrades!$U$12,K76),1))*(POWER(Upgrades!$Q$6,E76)*POWER(Upgrades!$Q$7,F76)*POWER(Upgrades!$Q$8,G76)*POWER(Upgrades!$Q$9,H76)*POWER(Upgrades!$Q$10,I76)*POWER(Upgrades!$Q$11,J76)*POWER(Upgrades!$Q$12,K76))*Parameters!$B$10*Parameters!$B$11/60)/Upgrades!$C$11,0)),IF(K76&gt;0,0,IFERROR((1.0*(POWER(Upgrades!$P$6,E76)*POWER(Upgrades!$P$7,F76)*POWER(Upgrades!$P$8,G76)*POWER(Upgrades!$P$9,H76)*POWER(Upgrades!$P$10,I76)*POWER(Upgrades!$P$11,J76)*POWER(Upgrades!$P$12,K76))+0.20*M76*Parameters!$B$10*Parameters!$B$11/60)/Upgrades!$C$12,0)),IF(AND(ISNUMBER(AG76),AG76&gt;T76),AS76,0),IF(AND(ISNUMBER(AH76),AH76&gt;T76),AT76,0),IF(AND(ISNUMBER(AI76),AI76&gt;T76),AU76,0),IF(AND(ISNUMBER(AJ76),AJ76&gt;T76),AV76,0))</f>
        <v/>
      </c>
      <c r="AX76" s="29">
        <f>IF(AN76=1,"transition",IF(MIN(IF(AND(I76=0,ISNUMBER(AK76),AK76&lt;=T76),AK76,9E15),IF(AND(J76=0,ISNUMBER(AL76),AL76&lt;=T76),AL76,9E15),IF(AND(K76=0,ISNUMBER(AM76),AM76&lt;=T76),AM76,9E15))&lt;9E15,IF(AND(AND(I76=0,ISNUMBER(AK76),AK76&lt;=T76),AK76=MIN(IF(AND(I76=0,ISNUMBER(AK76),AK76&lt;=T76),AK76,9E15),IF(AND(J76=0,ISNUMBER(AL76),AL76&lt;=T76),AL76,9E15),IF(AND(K76=0,ISNUMBER(AM76),AM76&lt;=T76),AM76,9E15))),"OR",IF(AND(AND(J76=0,ISNUMBER(AL76),AL76&lt;=T76),AL76=MIN(IF(AND(I76=0,ISNUMBER(AK76),AK76&lt;=T76),AK76,9E15),IF(AND(J76=0,ISNUMBER(AL76),AL76&lt;=T76),AL76,9E15),IF(AND(K76=0,ISNUMBER(AM76),AM76&lt;=T76),AM76,9E15))),"HP","FP")),IF(AR76=TRUE,"",IF(MAX(IF(AND(NOT(AND(AO76=1,AN76&lt;&gt;1)),ISNUMBER(AG76),AG76&lt;=T76),AS76,0),IF(AND(NOT(AND(AO76=1,AN76&lt;&gt;1)),ISNUMBER(AH76),AH76&lt;=T76),AT76,0),IF(AND(NOT(AND(AO76=1,AN76&lt;&gt;1)),ISNUMBER(AI76),AI76&lt;=T76),AU76,0),IF(AND(ISNUMBER(AJ76),AJ76&lt;=T76),AV76,0))&lt;=0,"",IF(AND(IF(AND(NOT(AND(AO76=1,AN76&lt;&gt;1)),ISNUMBER(AG76),AG76&lt;=T76),AS76,0)&gt;0,IF(AND(NOT(AND(AO76=1,AN76&lt;&gt;1)),ISNUMBER(AG76),AG76&lt;=T76),AS76,0)=MAX(IF(AND(NOT(AND(AO76=1,AN76&lt;&gt;1)),ISNUMBER(AG76),AG76&lt;=T76),AS76,0),IF(AND(NOT(AND(AO76=1,AN76&lt;&gt;1)),ISNUMBER(AH76),AH76&lt;=T76),AT76,0),IF(AND(NOT(AND(AO76=1,AN76&lt;&gt;1)),ISNUMBER(AI76),AI76&lt;=T76),AU76,0),IF(AND(ISNUMBER(AJ76),AJ76&lt;=T76),AV76,0))),"SW",IF(AND(IF(AND(NOT(AND(AO76=1,AN76&lt;&gt;1)),ISNUMBER(AH76),AH76&lt;=T76),AT76,0)&gt;0,IF(AND(NOT(AND(AO76=1,AN76&lt;&gt;1)),ISNUMBER(AH76),AH76&lt;=T76),AT76,0)=MAX(IF(AND(NOT(AND(AO76=1,AN76&lt;&gt;1)),ISNUMBER(AG76),AG76&lt;=T76),AS76,0),IF(AND(NOT(AND(AO76=1,AN76&lt;&gt;1)),ISNUMBER(AH76),AH76&lt;=T76),AT76,0),IF(AND(NOT(AND(AO76=1,AN76&lt;&gt;1)),ISNUMBER(AI76),AI76&lt;=T76),AU76,0),IF(AND(ISNUMBER(AJ76),AJ76&lt;=T76),AV76,0))),"AB",IF(AND(IF(AND(NOT(AND(AO76=1,AN76&lt;&gt;1)),ISNUMBER(AI76),AI76&lt;=T76),AU76,0)&gt;0,IF(AND(NOT(AND(AO76=1,AN76&lt;&gt;1)),ISNUMBER(AI76),AI76&lt;=T76),AU76,0)=MAX(IF(AND(NOT(AND(AO76=1,AN76&lt;&gt;1)),ISNUMBER(AG76),AG76&lt;=T76),AS76,0),IF(AND(NOT(AND(AO76=1,AN76&lt;&gt;1)),ISNUMBER(AH76),AH76&lt;=T76),AT76,0),IF(AND(NOT(AND(AO76=1,AN76&lt;&gt;1)),ISNUMBER(AI76),AI76&lt;=T76),AU76,0),IF(AND(ISNUMBER(AJ76),AJ76&lt;=T76),AV76,0))),"SC","Mag")))))))</f>
        <v/>
      </c>
    </row>
    <row r="77">
      <c r="A77" s="26" t="n">
        <v>72</v>
      </c>
      <c r="B77" s="27">
        <f>A77*10/60</f>
        <v/>
      </c>
      <c r="C77" s="22">
        <f>X76</f>
        <v/>
      </c>
      <c r="D77" s="27">
        <f>D76+W76</f>
        <v/>
      </c>
      <c r="E77" s="26">
        <f>E76+IF(U76="SW",1,0)</f>
        <v/>
      </c>
      <c r="F77" s="26">
        <f>F76+IF(U76="AB",1,0)</f>
        <v/>
      </c>
      <c r="G77" s="26">
        <f>G76+IF(U76="SC",1,0)</f>
        <v/>
      </c>
      <c r="H77" s="26">
        <f>H76+IF(U76="Mag",1,0)</f>
        <v/>
      </c>
      <c r="I77" s="26">
        <f>MAX(I76,IF(U76="OR",1,0))</f>
        <v/>
      </c>
      <c r="J77" s="26">
        <f>MAX(J76,IF(U76="HP",1,0))</f>
        <v/>
      </c>
      <c r="K77" s="26">
        <f>MAX(K76,IF(U76="FP",1,0))</f>
        <v/>
      </c>
      <c r="L77" s="26">
        <f>MAX(L76,IF(U76="transition",1,0))</f>
        <v/>
      </c>
      <c r="M77" s="28">
        <f>(Parameters!$B$9+(IF(E77=0,0,(Upgrades!$J$6+E77*Upgrades!$K$6)*POWER(Upgrades!$L$6,E77)))*(IF(Upgrades!$T$7="Solar Wind",POWER(Upgrades!$U$7,F77),1)*IF(Upgrades!$T$8="Solar Wind",POWER(Upgrades!$U$8,G77),1)*IF(Upgrades!$T$9="Solar Wind",POWER(Upgrades!$U$9,H77),1)*IF(Upgrades!$T$10="Solar Wind",POWER(Upgrades!$U$10,I77),1)*IF(Upgrades!$T$11="Solar Wind",POWER(Upgrades!$U$11,J77),1)*IF(Upgrades!$T$12="Solar Wind",POWER(Upgrades!$U$12,K77),1))+(IF(F77=0,0,(Upgrades!$J$7+F77*Upgrades!$K$7)*POWER(Upgrades!$L$7,F77)))*(IF(Upgrades!$T$6="Asteroid Belt",POWER(Upgrades!$U$6,E77),1)*IF(Upgrades!$T$8="Asteroid Belt",POWER(Upgrades!$U$8,G77),1)*IF(Upgrades!$T$9="Asteroid Belt",POWER(Upgrades!$U$9,H77),1)*IF(Upgrades!$T$10="Asteroid Belt",POWER(Upgrades!$U$10,I77),1)*IF(Upgrades!$T$11="Asteroid Belt",POWER(Upgrades!$U$11,J77),1)*IF(Upgrades!$T$12="Asteroid Belt",POWER(Upgrades!$U$12,K77),1))+(IF(G77=0,0,(Upgrades!$J$8+G77*Upgrades!$K$8)*POWER(Upgrades!$L$8,G77)))*(IF(Upgrades!$T$6="Stellar Coupling",POWER(Upgrades!$U$6,E77),1)*IF(Upgrades!$T$7="Stellar Coupling",POWER(Upgrades!$U$7,F77),1)*IF(Upgrades!$T$9="Stellar Coupling",POWER(Upgrades!$U$9,H77),1)*IF(Upgrades!$T$10="Stellar Coupling",POWER(Upgrades!$U$10,I77),1)*IF(Upgrades!$T$11="Stellar Coupling",POWER(Upgrades!$U$11,J77),1)*IF(Upgrades!$T$12="Stellar Coupling",POWER(Upgrades!$U$12,K77),1))+(IF(H77=0,0,(Upgrades!$J$9+H77*Upgrades!$K$9)*POWER(Upgrades!$L$9,H77)))*(IF(Upgrades!$T$6="Magnetosphere",POWER(Upgrades!$U$6,E77),1)*IF(Upgrades!$T$7="Magnetosphere",POWER(Upgrades!$U$7,F77),1)*IF(Upgrades!$T$8="Magnetosphere",POWER(Upgrades!$U$8,G77),1)*IF(Upgrades!$T$10="Magnetosphere",POWER(Upgrades!$U$10,I77),1)*IF(Upgrades!$T$11="Magnetosphere",POWER(Upgrades!$U$11,J77),1)*IF(Upgrades!$T$12="Magnetosphere",POWER(Upgrades!$U$12,K77),1))+(IF(I77=0,0,(Upgrades!$J$10+I77*Upgrades!$K$10)*POWER(Upgrades!$L$10,I77)))*(IF(Upgrades!$T$6="Orbital Resonance",POWER(Upgrades!$U$6,E77),1)*IF(Upgrades!$T$7="Orbital Resonance",POWER(Upgrades!$U$7,F77),1)*IF(Upgrades!$T$8="Orbital Resonance",POWER(Upgrades!$U$8,G77),1)*IF(Upgrades!$T$9="Orbital Resonance",POWER(Upgrades!$U$9,H77),1)*IF(Upgrades!$T$11="Orbital Resonance",POWER(Upgrades!$U$11,J77),1)*IF(Upgrades!$T$12="Orbital Resonance",POWER(Upgrades!$U$12,K77),1))+(IF(J77=0,0,(Upgrades!$J$11+J77*Upgrades!$K$11)*POWER(Upgrades!$L$11,J77)))*(IF(Upgrades!$T$6="Heliopause",POWER(Upgrades!$U$6,E77),1)*IF(Upgrades!$T$7="Heliopause",POWER(Upgrades!$U$7,F77),1)*IF(Upgrades!$T$8="Heliopause",POWER(Upgrades!$U$8,G77),1)*IF(Upgrades!$T$9="Heliopause",POWER(Upgrades!$U$9,H77),1)*IF(Upgrades!$T$10="Heliopause",POWER(Upgrades!$U$10,I77),1)*IF(Upgrades!$T$12="Heliopause",POWER(Upgrades!$U$12,K77),1))+(IF(K77=0,0,(Upgrades!$J$12+K77*Upgrades!$K$12)*POWER(Upgrades!$L$12,K77)))*(IF(Upgrades!$T$6="First Photons",POWER(Upgrades!$U$6,E77),1)*IF(Upgrades!$T$7="First Photons",POWER(Upgrades!$U$7,F77),1)*IF(Upgrades!$T$8="First Photons",POWER(Upgrades!$U$8,G77),1)*IF(Upgrades!$T$9="First Photons",POWER(Upgrades!$U$9,H77),1)*IF(Upgrades!$T$10="First Photons",POWER(Upgrades!$U$10,I77),1)*IF(Upgrades!$T$11="First Photons",POWER(Upgrades!$U$11,J77),1)))*POWER(Upgrades!$Q$6,E77)*POWER(Upgrades!$Q$7,F77)*POWER(Upgrades!$Q$8,G77)*POWER(Upgrades!$Q$9,H77)*POWER(Upgrades!$Q$10,I77)*POWER(Upgrades!$Q$11,J77)*POWER(Upgrades!$Q$12,K77)</f>
        <v/>
      </c>
      <c r="N77" s="28">
        <f>((IF(E77=0,0,(Upgrades!$G$6+E77*Upgrades!$H$6)*POWER(Upgrades!$I$6,E77)))*(IF(Upgrades!$T$7="Solar Wind",POWER(Upgrades!$U$7,F77),1)*IF(Upgrades!$T$8="Solar Wind",POWER(Upgrades!$U$8,G77),1)*IF(Upgrades!$T$9="Solar Wind",POWER(Upgrades!$U$9,H77),1)*IF(Upgrades!$T$10="Solar Wind",POWER(Upgrades!$U$10,I77),1)*IF(Upgrades!$T$11="Solar Wind",POWER(Upgrades!$U$11,J77),1)*IF(Upgrades!$T$12="Solar Wind",POWER(Upgrades!$U$12,K77),1))+(IF(F77=0,0,(Upgrades!$G$7+F77*Upgrades!$H$7)*POWER(Upgrades!$I$7,F77)))*(IF(Upgrades!$T$6="Asteroid Belt",POWER(Upgrades!$U$6,E77),1)*IF(Upgrades!$T$8="Asteroid Belt",POWER(Upgrades!$U$8,G77),1)*IF(Upgrades!$T$9="Asteroid Belt",POWER(Upgrades!$U$9,H77),1)*IF(Upgrades!$T$10="Asteroid Belt",POWER(Upgrades!$U$10,I77),1)*IF(Upgrades!$T$11="Asteroid Belt",POWER(Upgrades!$U$11,J77),1)*IF(Upgrades!$T$12="Asteroid Belt",POWER(Upgrades!$U$12,K77),1))+(IF(G77=0,0,(Upgrades!$G$8+G77*Upgrades!$H$8)*POWER(Upgrades!$I$8,G77)))*(IF(Upgrades!$T$6="Stellar Coupling",POWER(Upgrades!$U$6,E77),1)*IF(Upgrades!$T$7="Stellar Coupling",POWER(Upgrades!$U$7,F77),1)*IF(Upgrades!$T$9="Stellar Coupling",POWER(Upgrades!$U$9,H77),1)*IF(Upgrades!$T$10="Stellar Coupling",POWER(Upgrades!$U$10,I77),1)*IF(Upgrades!$T$11="Stellar Coupling",POWER(Upgrades!$U$11,J77),1)*IF(Upgrades!$T$12="Stellar Coupling",POWER(Upgrades!$U$12,K77),1))+(IF(H77=0,0,(Upgrades!$G$9+H77*Upgrades!$H$9)*POWER(Upgrades!$I$9,H77)))*(IF(Upgrades!$T$6="Magnetosphere",POWER(Upgrades!$U$6,E77),1)*IF(Upgrades!$T$7="Magnetosphere",POWER(Upgrades!$U$7,F77),1)*IF(Upgrades!$T$8="Magnetosphere",POWER(Upgrades!$U$8,G77),1)*IF(Upgrades!$T$10="Magnetosphere",POWER(Upgrades!$U$10,I77),1)*IF(Upgrades!$T$11="Magnetosphere",POWER(Upgrades!$U$11,J77),1)*IF(Upgrades!$T$12="Magnetosphere",POWER(Upgrades!$U$12,K77),1))+(IF(I77=0,0,(Upgrades!$G$10+I77*Upgrades!$H$10)*POWER(Upgrades!$I$10,I77)))*(IF(Upgrades!$T$6="Orbital Resonance",POWER(Upgrades!$U$6,E77),1)*IF(Upgrades!$T$7="Orbital Resonance",POWER(Upgrades!$U$7,F77),1)*IF(Upgrades!$T$8="Orbital Resonance",POWER(Upgrades!$U$8,G77),1)*IF(Upgrades!$T$9="Orbital Resonance",POWER(Upgrades!$U$9,H77),1)*IF(Upgrades!$T$11="Orbital Resonance",POWER(Upgrades!$U$11,J77),1)*IF(Upgrades!$T$12="Orbital Resonance",POWER(Upgrades!$U$12,K77),1))+(IF(J77=0,0,(Upgrades!$G$11+J77*Upgrades!$H$11)*POWER(Upgrades!$I$11,J77)))*(IF(Upgrades!$T$6="Heliopause",POWER(Upgrades!$U$6,E77),1)*IF(Upgrades!$T$7="Heliopause",POWER(Upgrades!$U$7,F77),1)*IF(Upgrades!$T$8="Heliopause",POWER(Upgrades!$U$8,G77),1)*IF(Upgrades!$T$9="Heliopause",POWER(Upgrades!$U$9,H77),1)*IF(Upgrades!$T$10="Heliopause",POWER(Upgrades!$U$10,I77),1)*IF(Upgrades!$T$12="Heliopause",POWER(Upgrades!$U$12,K77),1))+(IF(K77=0,0,(Upgrades!$G$12+K77*Upgrades!$H$12)*POWER(Upgrades!$I$12,K77)))*(IF(Upgrades!$T$6="First Photons",POWER(Upgrades!$U$6,E77),1)*IF(Upgrades!$T$7="First Photons",POWER(Upgrades!$U$7,F77),1)*IF(Upgrades!$T$8="First Photons",POWER(Upgrades!$U$8,G77),1)*IF(Upgrades!$T$9="First Photons",POWER(Upgrades!$U$9,H77),1)*IF(Upgrades!$T$10="First Photons",POWER(Upgrades!$U$10,I77),1)*IF(Upgrades!$T$11="First Photons",POWER(Upgrades!$U$11,J77),1)))*POWER(Upgrades!$P$6,E77)*POWER(Upgrades!$P$7,F77)*POWER(Upgrades!$P$8,G77)*POWER(Upgrades!$P$9,H77)*POWER(Upgrades!$P$10,I77)*POWER(Upgrades!$P$11,J77)*POWER(Upgrades!$P$12,K77)</f>
        <v/>
      </c>
      <c r="O77" s="28">
        <f>((IF(E77=0,0,(Upgrades!$M$6+E77*Upgrades!$N$6)*POWER(Upgrades!$O$6,E77)))*(IF(Upgrades!$T$7="Solar Wind",POWER(Upgrades!$U$7,F77),1)*IF(Upgrades!$T$8="Solar Wind",POWER(Upgrades!$U$8,G77),1)*IF(Upgrades!$T$9="Solar Wind",POWER(Upgrades!$U$9,H77),1)*IF(Upgrades!$T$10="Solar Wind",POWER(Upgrades!$U$10,I77),1)*IF(Upgrades!$T$11="Solar Wind",POWER(Upgrades!$U$11,J77),1)*IF(Upgrades!$T$12="Solar Wind",POWER(Upgrades!$U$12,K77),1))+(IF(F77=0,0,(Upgrades!$M$7+F77*Upgrades!$N$7)*POWER(Upgrades!$O$7,F77)))*(IF(Upgrades!$T$6="Asteroid Belt",POWER(Upgrades!$U$6,E77),1)*IF(Upgrades!$T$8="Asteroid Belt",POWER(Upgrades!$U$8,G77),1)*IF(Upgrades!$T$9="Asteroid Belt",POWER(Upgrades!$U$9,H77),1)*IF(Upgrades!$T$10="Asteroid Belt",POWER(Upgrades!$U$10,I77),1)*IF(Upgrades!$T$11="Asteroid Belt",POWER(Upgrades!$U$11,J77),1)*IF(Upgrades!$T$12="Asteroid Belt",POWER(Upgrades!$U$12,K77),1))+(IF(G77=0,0,(Upgrades!$M$8+G77*Upgrades!$N$8)*POWER(Upgrades!$O$8,G77)))*(IF(Upgrades!$T$6="Stellar Coupling",POWER(Upgrades!$U$6,E77),1)*IF(Upgrades!$T$7="Stellar Coupling",POWER(Upgrades!$U$7,F77),1)*IF(Upgrades!$T$9="Stellar Coupling",POWER(Upgrades!$U$9,H77),1)*IF(Upgrades!$T$10="Stellar Coupling",POWER(Upgrades!$U$10,I77),1)*IF(Upgrades!$T$11="Stellar Coupling",POWER(Upgrades!$U$11,J77),1)*IF(Upgrades!$T$12="Stellar Coupling",POWER(Upgrades!$U$12,K77),1))+(IF(H77=0,0,(Upgrades!$M$9+H77*Upgrades!$N$9)*POWER(Upgrades!$O$9,H77)))*(IF(Upgrades!$T$6="Magnetosphere",POWER(Upgrades!$U$6,E77),1)*IF(Upgrades!$T$7="Magnetosphere",POWER(Upgrades!$U$7,F77),1)*IF(Upgrades!$T$8="Magnetosphere",POWER(Upgrades!$U$8,G77),1)*IF(Upgrades!$T$10="Magnetosphere",POWER(Upgrades!$U$10,I77),1)*IF(Upgrades!$T$11="Magnetosphere",POWER(Upgrades!$U$11,J77),1)*IF(Upgrades!$T$12="Magnetosphere",POWER(Upgrades!$U$12,K77),1))+(IF(I77=0,0,(Upgrades!$M$10+I77*Upgrades!$N$10)*POWER(Upgrades!$O$10,I77)))*(IF(Upgrades!$T$6="Orbital Resonance",POWER(Upgrades!$U$6,E77),1)*IF(Upgrades!$T$7="Orbital Resonance",POWER(Upgrades!$U$7,F77),1)*IF(Upgrades!$T$8="Orbital Resonance",POWER(Upgrades!$U$8,G77),1)*IF(Upgrades!$T$9="Orbital Resonance",POWER(Upgrades!$U$9,H77),1)*IF(Upgrades!$T$11="Orbital Resonance",POWER(Upgrades!$U$11,J77),1)*IF(Upgrades!$T$12="Orbital Resonance",POWER(Upgrades!$U$12,K77),1))+(IF(J77=0,0,(Upgrades!$M$11+J77*Upgrades!$N$11)*POWER(Upgrades!$O$11,J77)))*(IF(Upgrades!$T$6="Heliopause",POWER(Upgrades!$U$6,E77),1)*IF(Upgrades!$T$7="Heliopause",POWER(Upgrades!$U$7,F77),1)*IF(Upgrades!$T$8="Heliopause",POWER(Upgrades!$U$8,G77),1)*IF(Upgrades!$T$9="Heliopause",POWER(Upgrades!$U$9,H77),1)*IF(Upgrades!$T$10="Heliopause",POWER(Upgrades!$U$10,I77),1)*IF(Upgrades!$T$12="Heliopause",POWER(Upgrades!$U$12,K77),1))+(IF(K77=0,0,(Upgrades!$M$12+K77*Upgrades!$N$12)*POWER(Upgrades!$O$12,K77)))*(IF(Upgrades!$T$6="First Photons",POWER(Upgrades!$U$6,E77),1)*IF(Upgrades!$T$7="First Photons",POWER(Upgrades!$U$7,F77),1)*IF(Upgrades!$T$8="First Photons",POWER(Upgrades!$U$8,G77),1)*IF(Upgrades!$T$9="First Photons",POWER(Upgrades!$U$9,H77),1)*IF(Upgrades!$T$10="First Photons",POWER(Upgrades!$U$10,I77),1)*IF(Upgrades!$T$11="First Photons",POWER(Upgrades!$U$11,J77),1)))*POWER(Upgrades!$R$6,E77)*POWER(Upgrades!$R$7,F77)*POWER(Upgrades!$R$8,G77)*POWER(Upgrades!$R$9,H77)*POWER(Upgrades!$R$10,I77)*POWER(Upgrades!$R$11,J77)*POWER(Upgrades!$R$12,K77)</f>
        <v/>
      </c>
      <c r="P77" s="27">
        <f>IF(L77=1,0,M77*Parameters!$B$10/60*Parameters!$B$11*10)</f>
        <v/>
      </c>
      <c r="Q77" s="27">
        <f>IF(L77=1,0,O77*M77*10)</f>
        <v/>
      </c>
      <c r="R77" s="27">
        <f>IF(L77=1,0,N77*10)</f>
        <v/>
      </c>
      <c r="S77" s="27">
        <f>P77+Q77+R77</f>
        <v/>
      </c>
      <c r="T77" s="22">
        <f>C77+S77</f>
        <v/>
      </c>
      <c r="U77" s="33">
        <f>AX77</f>
        <v/>
      </c>
      <c r="V77" s="22">
        <f>IF(U77="",0,IF(U77="transition",0,IF(U77="SW",AG77,IF(U77="AB",AH77,IF(U77="SC",AI77,IF(U77="Mag",AJ77,IF(U77="OR",AK77,IF(U77="HP",AL77,IF(U77="FP",AM77,0)))))))))</f>
        <v/>
      </c>
      <c r="W77" s="27">
        <f>IF(U77="OR",Upgrades!$F$10,IF(U77="HP",Upgrades!$F$11,IF(U77="transition",-Parameters!$B$18,0)))</f>
        <v/>
      </c>
      <c r="X77" s="22">
        <f>T77-V77</f>
        <v/>
      </c>
      <c r="Y77" s="30">
        <f>M77*Parameters!$B$10/60*Parameters!$B$11+O77*M77+N77</f>
        <v/>
      </c>
      <c r="Z77" s="34">
        <f>IF(U77="transition","→ Tier 2 (Stellar Neighborhood)",IF(U77="FP","First Photons — light begins, system quickens",IF(U77="HP","Heliopause acquired",IF(U77="OR","Orbital Resonance — passive multiplier active",IF(AND(AO77=1,L77=0,AN77&lt;&gt;1),"Cohesion ready (waiting on completionist upgrades)","")))))</f>
        <v/>
      </c>
      <c r="AA77" s="27">
        <f>(IF(E77=0,0,(Upgrades!$G$6+E77*Upgrades!$H$6)*POWER(Upgrades!$I$6,E77)))*(IF(Upgrades!$T$7="Solar Wind",POWER(Upgrades!$U$7,F77),1)*IF(Upgrades!$T$8="Solar Wind",POWER(Upgrades!$U$8,G77),1)*IF(Upgrades!$T$9="Solar Wind",POWER(Upgrades!$U$9,H77),1)*IF(Upgrades!$T$10="Solar Wind",POWER(Upgrades!$U$10,I77),1)*IF(Upgrades!$T$11="Solar Wind",POWER(Upgrades!$U$11,J77),1)*IF(Upgrades!$T$12="Solar Wind",POWER(Upgrades!$U$12,K77),1))*POWER(Upgrades!$P$6,E77)*POWER(Upgrades!$P$7,F77)*POWER(Upgrades!$P$8,G77)*POWER(Upgrades!$P$9,H77)*POWER(Upgrades!$P$10,I77)*POWER(Upgrades!$P$11,J77)*POWER(Upgrades!$P$12,K77)*60</f>
        <v/>
      </c>
      <c r="AB77" s="27">
        <f>(IF(F77=0,0,(Upgrades!$G$7+F77*Upgrades!$H$7)*POWER(Upgrades!$I$7,F77)))*(IF(Upgrades!$T$6="Asteroid Belt",POWER(Upgrades!$U$6,E77),1)*IF(Upgrades!$T$8="Asteroid Belt",POWER(Upgrades!$U$8,G77),1)*IF(Upgrades!$T$9="Asteroid Belt",POWER(Upgrades!$U$9,H77),1)*IF(Upgrades!$T$10="Asteroid Belt",POWER(Upgrades!$U$10,I77),1)*IF(Upgrades!$T$11="Asteroid Belt",POWER(Upgrades!$U$11,J77),1)*IF(Upgrades!$T$12="Asteroid Belt",POWER(Upgrades!$U$12,K77),1))*POWER(Upgrades!$P$6,E77)*POWER(Upgrades!$P$7,F77)*POWER(Upgrades!$P$8,G77)*POWER(Upgrades!$P$9,H77)*POWER(Upgrades!$P$10,I77)*POWER(Upgrades!$P$11,J77)*POWER(Upgrades!$P$12,K77)*60</f>
        <v/>
      </c>
      <c r="AC77" s="27">
        <f>(IF(G77=0,0,(Upgrades!$J$8+G77*Upgrades!$K$8)*POWER(Upgrades!$L$8,G77)))*(IF(Upgrades!$T$6="Stellar Coupling",POWER(Upgrades!$U$6,E77),1)*IF(Upgrades!$T$7="Stellar Coupling",POWER(Upgrades!$U$7,F77),1)*IF(Upgrades!$T$9="Stellar Coupling",POWER(Upgrades!$U$9,H77),1)*IF(Upgrades!$T$10="Stellar Coupling",POWER(Upgrades!$U$10,I77),1)*IF(Upgrades!$T$11="Stellar Coupling",POWER(Upgrades!$U$11,J77),1)*IF(Upgrades!$T$12="Stellar Coupling",POWER(Upgrades!$U$12,K77),1))*POWER(Upgrades!$Q$6,E77)*POWER(Upgrades!$Q$7,F77)*POWER(Upgrades!$Q$8,G77)*POWER(Upgrades!$Q$9,H77)*POWER(Upgrades!$Q$10,I77)*POWER(Upgrades!$Q$11,J77)*POWER(Upgrades!$Q$12,K77)*Parameters!$B$10*Parameters!$B$11</f>
        <v/>
      </c>
      <c r="AD77" s="27">
        <f>(IF(H77=0,0,(Upgrades!$G$9+H77*Upgrades!$H$9)*POWER(Upgrades!$I$9,H77)))*(IF(Upgrades!$T$6="Magnetosphere",POWER(Upgrades!$U$6,E77),1)*IF(Upgrades!$T$7="Magnetosphere",POWER(Upgrades!$U$7,F77),1)*IF(Upgrades!$T$8="Magnetosphere",POWER(Upgrades!$U$8,G77),1)*IF(Upgrades!$T$10="Magnetosphere",POWER(Upgrades!$U$10,I77),1)*IF(Upgrades!$T$11="Magnetosphere",POWER(Upgrades!$U$11,J77),1)*IF(Upgrades!$T$12="Magnetosphere",POWER(Upgrades!$U$12,K77),1))*POWER(Upgrades!$P$6,E77)*POWER(Upgrades!$P$7,F77)*POWER(Upgrades!$P$8,G77)*POWER(Upgrades!$P$9,H77)*POWER(Upgrades!$P$10,I77)*POWER(Upgrades!$P$11,J77)*POWER(Upgrades!$P$12,K77)*60</f>
        <v/>
      </c>
      <c r="AE77" s="27">
        <f>(IF(K77=0,0,(Upgrades!$G$12+K77*Upgrades!$H$12)*POWER(Upgrades!$I$12,K77)))*(IF(Upgrades!$T$6="First Photons",POWER(Upgrades!$U$6,E77),1)*IF(Upgrades!$T$7="First Photons",POWER(Upgrades!$U$7,F77),1)*IF(Upgrades!$T$8="First Photons",POWER(Upgrades!$U$8,G77),1)*IF(Upgrades!$T$9="First Photons",POWER(Upgrades!$U$9,H77),1)*IF(Upgrades!$T$10="First Photons",POWER(Upgrades!$U$10,I77),1)*IF(Upgrades!$T$11="First Photons",POWER(Upgrades!$U$11,J77),1))*POWER(Upgrades!$P$6,E77)*POWER(Upgrades!$P$7,F77)*POWER(Upgrades!$P$8,G77)*POWER(Upgrades!$P$9,H77)*POWER(Upgrades!$P$10,I77)*POWER(Upgrades!$P$11,J77)*POWER(Upgrades!$P$12,K77)*60</f>
        <v/>
      </c>
      <c r="AF77" s="27">
        <f>Parameters!$B$9*POWER(Upgrades!$Q$6,E77)*POWER(Upgrades!$Q$7,F77)*POWER(Upgrades!$Q$8,G77)*POWER(Upgrades!$Q$9,H77)*POWER(Upgrades!$Q$10,I77)*POWER(Upgrades!$Q$11,J77)*POWER(Upgrades!$Q$12,K77)*(Parameters!$B$10*Parameters!$B$11+O77*60)</f>
        <v/>
      </c>
      <c r="AG77" s="22">
        <f>IF(E77&gt;=Upgrades!$E$6,"",Upgrades!$C$6*POWER(Upgrades!$D$6,E77))</f>
        <v/>
      </c>
      <c r="AH77" s="22">
        <f>IF(F77&gt;=Upgrades!$E$7,"",Upgrades!$C$7*POWER(Upgrades!$D$7,F77))</f>
        <v/>
      </c>
      <c r="AI77" s="22">
        <f>IF(G77&gt;=Upgrades!$E$8,"",Upgrades!$C$8*POWER(Upgrades!$D$8,G77))</f>
        <v/>
      </c>
      <c r="AJ77" s="22">
        <f>IF(H77&gt;=Upgrades!$E$9,"",Upgrades!$C$9*POWER(Upgrades!$D$9,H77))</f>
        <v/>
      </c>
      <c r="AK77" s="22">
        <f>IF(I77&gt;=Upgrades!$E$10,"",Upgrades!$C$10*POWER(Upgrades!$D$10,I77))</f>
        <v/>
      </c>
      <c r="AL77" s="22">
        <f>IF(J77&gt;=Upgrades!$E$11,"",Upgrades!$C$11*POWER(Upgrades!$D$11,J77))</f>
        <v/>
      </c>
      <c r="AM77" s="22">
        <f>IF(K77&gt;=Upgrades!$E$12,"",Upgrades!$C$12*POWER(Upgrades!$D$12,K77))</f>
        <v/>
      </c>
      <c r="AN77" s="26">
        <f>IF(AND(D77&gt;=Parameters!$B$18,(H77&gt;=Upgrades!$E$9)*(K77&gt;=Upgrades!$E$12)=1,L77=0),1,"")</f>
        <v/>
      </c>
      <c r="AO77" s="26">
        <f>IF(AND(D77&gt;=Parameters!$B$18,L77=0),1,"")</f>
        <v/>
      </c>
      <c r="AP77" s="22">
        <f>MIN(IF(ISNUMBER(AK77),AK77,9E15),IF(ISNUMBER(AL77),AL77,9E15),IF(ISNUMBER(AM77),AM77,9E15))</f>
        <v/>
      </c>
      <c r="AQ77" s="22">
        <f>MIN(IF(ISNUMBER(AG77),AG77,9E15),IF(ISNUMBER(AH77),AH77,9E15),IF(ISNUMBER(AI77),AI77,9E15),IF(ISNUMBER(AJ77),AJ77,9E15))</f>
        <v/>
      </c>
      <c r="AR77" s="29">
        <f>IF(AW77&gt;Parameters!$B$21*(MAX(IF(AND(NOT(AND(AO77=1,AN77&lt;&gt;1)),ISNUMBER(AG77),AG77&lt;=T77),AS77,0),IF(AND(NOT(AND(AO77=1,AN77&lt;&gt;1)),ISNUMBER(AH77),AH77&lt;=T77),AT77,0),IF(AND(NOT(AND(AO77=1,AN77&lt;&gt;1)),ISNUMBER(AI77),AI77&lt;=T77),AU77,0),IF(AND(ISNUMBER(AJ77),AJ77&lt;=T77),AV77,0))),TRUE,FALSE)</f>
        <v/>
      </c>
      <c r="AS77" s="32">
        <f>IFERROR(Upgrades!$H$6*(POWER(Upgrades!$P$6,E77)*POWER(Upgrades!$P$7,F77)*POWER(Upgrades!$P$8,G77)*POWER(Upgrades!$P$9,H77)*POWER(Upgrades!$P$10,I77)*POWER(Upgrades!$P$11,J77)*POWER(Upgrades!$P$12,K77))*(IF(Upgrades!$T$7="Solar Wind",POWER(Upgrades!$U$7,F77),1)*IF(Upgrades!$T$8="Solar Wind",POWER(Upgrades!$U$8,G77),1)*IF(Upgrades!$T$9="Solar Wind",POWER(Upgrades!$U$9,H77),1)*IF(Upgrades!$T$10="Solar Wind",POWER(Upgrades!$U$10,I77),1)*IF(Upgrades!$T$11="Solar Wind",POWER(Upgrades!$U$11,J77),1)*IF(Upgrades!$T$12="Solar Wind",POWER(Upgrades!$U$12,K77),1))/AG77,0)</f>
        <v/>
      </c>
      <c r="AT77" s="32">
        <f>IFERROR(Upgrades!$H$7*(POWER(Upgrades!$P$6,E77)*POWER(Upgrades!$P$7,F77)*POWER(Upgrades!$P$8,G77)*POWER(Upgrades!$P$9,H77)*POWER(Upgrades!$P$10,I77)*POWER(Upgrades!$P$11,J77)*POWER(Upgrades!$P$12,K77))*(IF(Upgrades!$T$6="Asteroid Belt",POWER(Upgrades!$U$6,E77),1)*IF(Upgrades!$T$8="Asteroid Belt",POWER(Upgrades!$U$8,G77),1)*IF(Upgrades!$T$9="Asteroid Belt",POWER(Upgrades!$U$9,H77),1)*IF(Upgrades!$T$10="Asteroid Belt",POWER(Upgrades!$U$10,I77),1)*IF(Upgrades!$T$11="Asteroid Belt",POWER(Upgrades!$U$11,J77),1)*IF(Upgrades!$T$12="Asteroid Belt",POWER(Upgrades!$U$12,K77),1))/AH77,0)</f>
        <v/>
      </c>
      <c r="AU77" s="32">
        <f>IFERROR(Upgrades!$K$8*(POWER(Upgrades!$Q$6,E77)*POWER(Upgrades!$Q$7,F77)*POWER(Upgrades!$Q$8,G77)*POWER(Upgrades!$Q$9,H77)*POWER(Upgrades!$Q$10,I77)*POWER(Upgrades!$Q$11,J77)*POWER(Upgrades!$Q$12,K77))*(IF(Upgrades!$T$6="Stellar Coupling",POWER(Upgrades!$U$6,E77),1)*IF(Upgrades!$T$7="Stellar Coupling",POWER(Upgrades!$U$7,F77),1)*IF(Upgrades!$T$9="Stellar Coupling",POWER(Upgrades!$U$9,H77),1)*IF(Upgrades!$T$10="Stellar Coupling",POWER(Upgrades!$U$10,I77),1)*IF(Upgrades!$T$11="Stellar Coupling",POWER(Upgrades!$U$11,J77),1)*IF(Upgrades!$T$12="Stellar Coupling",POWER(Upgrades!$U$12,K77),1))*Parameters!$B$10*Parameters!$B$11/60/AI77,0)</f>
        <v/>
      </c>
      <c r="AV77" s="32">
        <f>IFERROR(Upgrades!$H$9*(POWER(Upgrades!$P$6,E77)*POWER(Upgrades!$P$7,F77)*POWER(Upgrades!$P$8,G77)*POWER(Upgrades!$P$9,H77)*POWER(Upgrades!$P$10,I77)*POWER(Upgrades!$P$11,J77)*POWER(Upgrades!$P$12,K77))*(IF(Upgrades!$T$6="Magnetosphere",POWER(Upgrades!$U$6,E77),1)*IF(Upgrades!$T$7="Magnetosphere",POWER(Upgrades!$U$7,F77),1)*IF(Upgrades!$T$8="Magnetosphere",POWER(Upgrades!$U$8,G77),1)*IF(Upgrades!$T$10="Magnetosphere",POWER(Upgrades!$U$10,I77),1)*IF(Upgrades!$T$11="Magnetosphere",POWER(Upgrades!$U$11,J77),1)*IF(Upgrades!$T$12="Magnetosphere",POWER(Upgrades!$U$12,K77),1))/AJ77,0)</f>
        <v/>
      </c>
      <c r="AW77" s="32">
        <f>MAX(IF(I77&gt;0,0,IFERROR(0.25*N77/Upgrades!$C$10,0)),IF(J77&gt;0,0,IFERROR(0.5*((IF(G77=0,0,(Upgrades!$J$8+G77*Upgrades!$K$8)*POWER(Upgrades!$L$8,G77)))*(IF(Upgrades!$T$6="Stellar Coupling",POWER(Upgrades!$U$6,E77),1)*IF(Upgrades!$T$7="Stellar Coupling",POWER(Upgrades!$U$7,F77),1)*IF(Upgrades!$T$9="Stellar Coupling",POWER(Upgrades!$U$9,H77),1)*IF(Upgrades!$T$10="Stellar Coupling",POWER(Upgrades!$U$10,I77),1)*IF(Upgrades!$T$11="Stellar Coupling",POWER(Upgrades!$U$11,J77),1)*IF(Upgrades!$T$12="Stellar Coupling",POWER(Upgrades!$U$12,K77),1))*(POWER(Upgrades!$Q$6,E77)*POWER(Upgrades!$Q$7,F77)*POWER(Upgrades!$Q$8,G77)*POWER(Upgrades!$Q$9,H77)*POWER(Upgrades!$Q$10,I77)*POWER(Upgrades!$Q$11,J77)*POWER(Upgrades!$Q$12,K77))*Parameters!$B$10*Parameters!$B$11/60)/Upgrades!$C$11,0)),IF(K77&gt;0,0,IFERROR((1.0*(POWER(Upgrades!$P$6,E77)*POWER(Upgrades!$P$7,F77)*POWER(Upgrades!$P$8,G77)*POWER(Upgrades!$P$9,H77)*POWER(Upgrades!$P$10,I77)*POWER(Upgrades!$P$11,J77)*POWER(Upgrades!$P$12,K77))+0.20*M77*Parameters!$B$10*Parameters!$B$11/60)/Upgrades!$C$12,0)),IF(AND(ISNUMBER(AG77),AG77&gt;T77),AS77,0),IF(AND(ISNUMBER(AH77),AH77&gt;T77),AT77,0),IF(AND(ISNUMBER(AI77),AI77&gt;T77),AU77,0),IF(AND(ISNUMBER(AJ77),AJ77&gt;T77),AV77,0))</f>
        <v/>
      </c>
      <c r="AX77" s="29">
        <f>IF(AN77=1,"transition",IF(MIN(IF(AND(I77=0,ISNUMBER(AK77),AK77&lt;=T77),AK77,9E15),IF(AND(J77=0,ISNUMBER(AL77),AL77&lt;=T77),AL77,9E15),IF(AND(K77=0,ISNUMBER(AM77),AM77&lt;=T77),AM77,9E15))&lt;9E15,IF(AND(AND(I77=0,ISNUMBER(AK77),AK77&lt;=T77),AK77=MIN(IF(AND(I77=0,ISNUMBER(AK77),AK77&lt;=T77),AK77,9E15),IF(AND(J77=0,ISNUMBER(AL77),AL77&lt;=T77),AL77,9E15),IF(AND(K77=0,ISNUMBER(AM77),AM77&lt;=T77),AM77,9E15))),"OR",IF(AND(AND(J77=0,ISNUMBER(AL77),AL77&lt;=T77),AL77=MIN(IF(AND(I77=0,ISNUMBER(AK77),AK77&lt;=T77),AK77,9E15),IF(AND(J77=0,ISNUMBER(AL77),AL77&lt;=T77),AL77,9E15),IF(AND(K77=0,ISNUMBER(AM77),AM77&lt;=T77),AM77,9E15))),"HP","FP")),IF(AR77=TRUE,"",IF(MAX(IF(AND(NOT(AND(AO77=1,AN77&lt;&gt;1)),ISNUMBER(AG77),AG77&lt;=T77),AS77,0),IF(AND(NOT(AND(AO77=1,AN77&lt;&gt;1)),ISNUMBER(AH77),AH77&lt;=T77),AT77,0),IF(AND(NOT(AND(AO77=1,AN77&lt;&gt;1)),ISNUMBER(AI77),AI77&lt;=T77),AU77,0),IF(AND(ISNUMBER(AJ77),AJ77&lt;=T77),AV77,0))&lt;=0,"",IF(AND(IF(AND(NOT(AND(AO77=1,AN77&lt;&gt;1)),ISNUMBER(AG77),AG77&lt;=T77),AS77,0)&gt;0,IF(AND(NOT(AND(AO77=1,AN77&lt;&gt;1)),ISNUMBER(AG77),AG77&lt;=T77),AS77,0)=MAX(IF(AND(NOT(AND(AO77=1,AN77&lt;&gt;1)),ISNUMBER(AG77),AG77&lt;=T77),AS77,0),IF(AND(NOT(AND(AO77=1,AN77&lt;&gt;1)),ISNUMBER(AH77),AH77&lt;=T77),AT77,0),IF(AND(NOT(AND(AO77=1,AN77&lt;&gt;1)),ISNUMBER(AI77),AI77&lt;=T77),AU77,0),IF(AND(ISNUMBER(AJ77),AJ77&lt;=T77),AV77,0))),"SW",IF(AND(IF(AND(NOT(AND(AO77=1,AN77&lt;&gt;1)),ISNUMBER(AH77),AH77&lt;=T77),AT77,0)&gt;0,IF(AND(NOT(AND(AO77=1,AN77&lt;&gt;1)),ISNUMBER(AH77),AH77&lt;=T77),AT77,0)=MAX(IF(AND(NOT(AND(AO77=1,AN77&lt;&gt;1)),ISNUMBER(AG77),AG77&lt;=T77),AS77,0),IF(AND(NOT(AND(AO77=1,AN77&lt;&gt;1)),ISNUMBER(AH77),AH77&lt;=T77),AT77,0),IF(AND(NOT(AND(AO77=1,AN77&lt;&gt;1)),ISNUMBER(AI77),AI77&lt;=T77),AU77,0),IF(AND(ISNUMBER(AJ77),AJ77&lt;=T77),AV77,0))),"AB",IF(AND(IF(AND(NOT(AND(AO77=1,AN77&lt;&gt;1)),ISNUMBER(AI77),AI77&lt;=T77),AU77,0)&gt;0,IF(AND(NOT(AND(AO77=1,AN77&lt;&gt;1)),ISNUMBER(AI77),AI77&lt;=T77),AU77,0)=MAX(IF(AND(NOT(AND(AO77=1,AN77&lt;&gt;1)),ISNUMBER(AG77),AG77&lt;=T77),AS77,0),IF(AND(NOT(AND(AO77=1,AN77&lt;&gt;1)),ISNUMBER(AH77),AH77&lt;=T77),AT77,0),IF(AND(NOT(AND(AO77=1,AN77&lt;&gt;1)),ISNUMBER(AI77),AI77&lt;=T77),AU77,0),IF(AND(ISNUMBER(AJ77),AJ77&lt;=T77),AV77,0))),"SC","Mag")))))))</f>
        <v/>
      </c>
    </row>
    <row r="78">
      <c r="A78" s="26" t="n">
        <v>73</v>
      </c>
      <c r="B78" s="27">
        <f>A78*10/60</f>
        <v/>
      </c>
      <c r="C78" s="22">
        <f>X77</f>
        <v/>
      </c>
      <c r="D78" s="27">
        <f>D77+W77</f>
        <v/>
      </c>
      <c r="E78" s="26">
        <f>E77+IF(U77="SW",1,0)</f>
        <v/>
      </c>
      <c r="F78" s="26">
        <f>F77+IF(U77="AB",1,0)</f>
        <v/>
      </c>
      <c r="G78" s="26">
        <f>G77+IF(U77="SC",1,0)</f>
        <v/>
      </c>
      <c r="H78" s="26">
        <f>H77+IF(U77="Mag",1,0)</f>
        <v/>
      </c>
      <c r="I78" s="26">
        <f>MAX(I77,IF(U77="OR",1,0))</f>
        <v/>
      </c>
      <c r="J78" s="26">
        <f>MAX(J77,IF(U77="HP",1,0))</f>
        <v/>
      </c>
      <c r="K78" s="26">
        <f>MAX(K77,IF(U77="FP",1,0))</f>
        <v/>
      </c>
      <c r="L78" s="26">
        <f>MAX(L77,IF(U77="transition",1,0))</f>
        <v/>
      </c>
      <c r="M78" s="28">
        <f>(Parameters!$B$9+(IF(E78=0,0,(Upgrades!$J$6+E78*Upgrades!$K$6)*POWER(Upgrades!$L$6,E78)))*(IF(Upgrades!$T$7="Solar Wind",POWER(Upgrades!$U$7,F78),1)*IF(Upgrades!$T$8="Solar Wind",POWER(Upgrades!$U$8,G78),1)*IF(Upgrades!$T$9="Solar Wind",POWER(Upgrades!$U$9,H78),1)*IF(Upgrades!$T$10="Solar Wind",POWER(Upgrades!$U$10,I78),1)*IF(Upgrades!$T$11="Solar Wind",POWER(Upgrades!$U$11,J78),1)*IF(Upgrades!$T$12="Solar Wind",POWER(Upgrades!$U$12,K78),1))+(IF(F78=0,0,(Upgrades!$J$7+F78*Upgrades!$K$7)*POWER(Upgrades!$L$7,F78)))*(IF(Upgrades!$T$6="Asteroid Belt",POWER(Upgrades!$U$6,E78),1)*IF(Upgrades!$T$8="Asteroid Belt",POWER(Upgrades!$U$8,G78),1)*IF(Upgrades!$T$9="Asteroid Belt",POWER(Upgrades!$U$9,H78),1)*IF(Upgrades!$T$10="Asteroid Belt",POWER(Upgrades!$U$10,I78),1)*IF(Upgrades!$T$11="Asteroid Belt",POWER(Upgrades!$U$11,J78),1)*IF(Upgrades!$T$12="Asteroid Belt",POWER(Upgrades!$U$12,K78),1))+(IF(G78=0,0,(Upgrades!$J$8+G78*Upgrades!$K$8)*POWER(Upgrades!$L$8,G78)))*(IF(Upgrades!$T$6="Stellar Coupling",POWER(Upgrades!$U$6,E78),1)*IF(Upgrades!$T$7="Stellar Coupling",POWER(Upgrades!$U$7,F78),1)*IF(Upgrades!$T$9="Stellar Coupling",POWER(Upgrades!$U$9,H78),1)*IF(Upgrades!$T$10="Stellar Coupling",POWER(Upgrades!$U$10,I78),1)*IF(Upgrades!$T$11="Stellar Coupling",POWER(Upgrades!$U$11,J78),1)*IF(Upgrades!$T$12="Stellar Coupling",POWER(Upgrades!$U$12,K78),1))+(IF(H78=0,0,(Upgrades!$J$9+H78*Upgrades!$K$9)*POWER(Upgrades!$L$9,H78)))*(IF(Upgrades!$T$6="Magnetosphere",POWER(Upgrades!$U$6,E78),1)*IF(Upgrades!$T$7="Magnetosphere",POWER(Upgrades!$U$7,F78),1)*IF(Upgrades!$T$8="Magnetosphere",POWER(Upgrades!$U$8,G78),1)*IF(Upgrades!$T$10="Magnetosphere",POWER(Upgrades!$U$10,I78),1)*IF(Upgrades!$T$11="Magnetosphere",POWER(Upgrades!$U$11,J78),1)*IF(Upgrades!$T$12="Magnetosphere",POWER(Upgrades!$U$12,K78),1))+(IF(I78=0,0,(Upgrades!$J$10+I78*Upgrades!$K$10)*POWER(Upgrades!$L$10,I78)))*(IF(Upgrades!$T$6="Orbital Resonance",POWER(Upgrades!$U$6,E78),1)*IF(Upgrades!$T$7="Orbital Resonance",POWER(Upgrades!$U$7,F78),1)*IF(Upgrades!$T$8="Orbital Resonance",POWER(Upgrades!$U$8,G78),1)*IF(Upgrades!$T$9="Orbital Resonance",POWER(Upgrades!$U$9,H78),1)*IF(Upgrades!$T$11="Orbital Resonance",POWER(Upgrades!$U$11,J78),1)*IF(Upgrades!$T$12="Orbital Resonance",POWER(Upgrades!$U$12,K78),1))+(IF(J78=0,0,(Upgrades!$J$11+J78*Upgrades!$K$11)*POWER(Upgrades!$L$11,J78)))*(IF(Upgrades!$T$6="Heliopause",POWER(Upgrades!$U$6,E78),1)*IF(Upgrades!$T$7="Heliopause",POWER(Upgrades!$U$7,F78),1)*IF(Upgrades!$T$8="Heliopause",POWER(Upgrades!$U$8,G78),1)*IF(Upgrades!$T$9="Heliopause",POWER(Upgrades!$U$9,H78),1)*IF(Upgrades!$T$10="Heliopause",POWER(Upgrades!$U$10,I78),1)*IF(Upgrades!$T$12="Heliopause",POWER(Upgrades!$U$12,K78),1))+(IF(K78=0,0,(Upgrades!$J$12+K78*Upgrades!$K$12)*POWER(Upgrades!$L$12,K78)))*(IF(Upgrades!$T$6="First Photons",POWER(Upgrades!$U$6,E78),1)*IF(Upgrades!$T$7="First Photons",POWER(Upgrades!$U$7,F78),1)*IF(Upgrades!$T$8="First Photons",POWER(Upgrades!$U$8,G78),1)*IF(Upgrades!$T$9="First Photons",POWER(Upgrades!$U$9,H78),1)*IF(Upgrades!$T$10="First Photons",POWER(Upgrades!$U$10,I78),1)*IF(Upgrades!$T$11="First Photons",POWER(Upgrades!$U$11,J78),1)))*POWER(Upgrades!$Q$6,E78)*POWER(Upgrades!$Q$7,F78)*POWER(Upgrades!$Q$8,G78)*POWER(Upgrades!$Q$9,H78)*POWER(Upgrades!$Q$10,I78)*POWER(Upgrades!$Q$11,J78)*POWER(Upgrades!$Q$12,K78)</f>
        <v/>
      </c>
      <c r="N78" s="28">
        <f>((IF(E78=0,0,(Upgrades!$G$6+E78*Upgrades!$H$6)*POWER(Upgrades!$I$6,E78)))*(IF(Upgrades!$T$7="Solar Wind",POWER(Upgrades!$U$7,F78),1)*IF(Upgrades!$T$8="Solar Wind",POWER(Upgrades!$U$8,G78),1)*IF(Upgrades!$T$9="Solar Wind",POWER(Upgrades!$U$9,H78),1)*IF(Upgrades!$T$10="Solar Wind",POWER(Upgrades!$U$10,I78),1)*IF(Upgrades!$T$11="Solar Wind",POWER(Upgrades!$U$11,J78),1)*IF(Upgrades!$T$12="Solar Wind",POWER(Upgrades!$U$12,K78),1))+(IF(F78=0,0,(Upgrades!$G$7+F78*Upgrades!$H$7)*POWER(Upgrades!$I$7,F78)))*(IF(Upgrades!$T$6="Asteroid Belt",POWER(Upgrades!$U$6,E78),1)*IF(Upgrades!$T$8="Asteroid Belt",POWER(Upgrades!$U$8,G78),1)*IF(Upgrades!$T$9="Asteroid Belt",POWER(Upgrades!$U$9,H78),1)*IF(Upgrades!$T$10="Asteroid Belt",POWER(Upgrades!$U$10,I78),1)*IF(Upgrades!$T$11="Asteroid Belt",POWER(Upgrades!$U$11,J78),1)*IF(Upgrades!$T$12="Asteroid Belt",POWER(Upgrades!$U$12,K78),1))+(IF(G78=0,0,(Upgrades!$G$8+G78*Upgrades!$H$8)*POWER(Upgrades!$I$8,G78)))*(IF(Upgrades!$T$6="Stellar Coupling",POWER(Upgrades!$U$6,E78),1)*IF(Upgrades!$T$7="Stellar Coupling",POWER(Upgrades!$U$7,F78),1)*IF(Upgrades!$T$9="Stellar Coupling",POWER(Upgrades!$U$9,H78),1)*IF(Upgrades!$T$10="Stellar Coupling",POWER(Upgrades!$U$10,I78),1)*IF(Upgrades!$T$11="Stellar Coupling",POWER(Upgrades!$U$11,J78),1)*IF(Upgrades!$T$12="Stellar Coupling",POWER(Upgrades!$U$12,K78),1))+(IF(H78=0,0,(Upgrades!$G$9+H78*Upgrades!$H$9)*POWER(Upgrades!$I$9,H78)))*(IF(Upgrades!$T$6="Magnetosphere",POWER(Upgrades!$U$6,E78),1)*IF(Upgrades!$T$7="Magnetosphere",POWER(Upgrades!$U$7,F78),1)*IF(Upgrades!$T$8="Magnetosphere",POWER(Upgrades!$U$8,G78),1)*IF(Upgrades!$T$10="Magnetosphere",POWER(Upgrades!$U$10,I78),1)*IF(Upgrades!$T$11="Magnetosphere",POWER(Upgrades!$U$11,J78),1)*IF(Upgrades!$T$12="Magnetosphere",POWER(Upgrades!$U$12,K78),1))+(IF(I78=0,0,(Upgrades!$G$10+I78*Upgrades!$H$10)*POWER(Upgrades!$I$10,I78)))*(IF(Upgrades!$T$6="Orbital Resonance",POWER(Upgrades!$U$6,E78),1)*IF(Upgrades!$T$7="Orbital Resonance",POWER(Upgrades!$U$7,F78),1)*IF(Upgrades!$T$8="Orbital Resonance",POWER(Upgrades!$U$8,G78),1)*IF(Upgrades!$T$9="Orbital Resonance",POWER(Upgrades!$U$9,H78),1)*IF(Upgrades!$T$11="Orbital Resonance",POWER(Upgrades!$U$11,J78),1)*IF(Upgrades!$T$12="Orbital Resonance",POWER(Upgrades!$U$12,K78),1))+(IF(J78=0,0,(Upgrades!$G$11+J78*Upgrades!$H$11)*POWER(Upgrades!$I$11,J78)))*(IF(Upgrades!$T$6="Heliopause",POWER(Upgrades!$U$6,E78),1)*IF(Upgrades!$T$7="Heliopause",POWER(Upgrades!$U$7,F78),1)*IF(Upgrades!$T$8="Heliopause",POWER(Upgrades!$U$8,G78),1)*IF(Upgrades!$T$9="Heliopause",POWER(Upgrades!$U$9,H78),1)*IF(Upgrades!$T$10="Heliopause",POWER(Upgrades!$U$10,I78),1)*IF(Upgrades!$T$12="Heliopause",POWER(Upgrades!$U$12,K78),1))+(IF(K78=0,0,(Upgrades!$G$12+K78*Upgrades!$H$12)*POWER(Upgrades!$I$12,K78)))*(IF(Upgrades!$T$6="First Photons",POWER(Upgrades!$U$6,E78),1)*IF(Upgrades!$T$7="First Photons",POWER(Upgrades!$U$7,F78),1)*IF(Upgrades!$T$8="First Photons",POWER(Upgrades!$U$8,G78),1)*IF(Upgrades!$T$9="First Photons",POWER(Upgrades!$U$9,H78),1)*IF(Upgrades!$T$10="First Photons",POWER(Upgrades!$U$10,I78),1)*IF(Upgrades!$T$11="First Photons",POWER(Upgrades!$U$11,J78),1)))*POWER(Upgrades!$P$6,E78)*POWER(Upgrades!$P$7,F78)*POWER(Upgrades!$P$8,G78)*POWER(Upgrades!$P$9,H78)*POWER(Upgrades!$P$10,I78)*POWER(Upgrades!$P$11,J78)*POWER(Upgrades!$P$12,K78)</f>
        <v/>
      </c>
      <c r="O78" s="28">
        <f>((IF(E78=0,0,(Upgrades!$M$6+E78*Upgrades!$N$6)*POWER(Upgrades!$O$6,E78)))*(IF(Upgrades!$T$7="Solar Wind",POWER(Upgrades!$U$7,F78),1)*IF(Upgrades!$T$8="Solar Wind",POWER(Upgrades!$U$8,G78),1)*IF(Upgrades!$T$9="Solar Wind",POWER(Upgrades!$U$9,H78),1)*IF(Upgrades!$T$10="Solar Wind",POWER(Upgrades!$U$10,I78),1)*IF(Upgrades!$T$11="Solar Wind",POWER(Upgrades!$U$11,J78),1)*IF(Upgrades!$T$12="Solar Wind",POWER(Upgrades!$U$12,K78),1))+(IF(F78=0,0,(Upgrades!$M$7+F78*Upgrades!$N$7)*POWER(Upgrades!$O$7,F78)))*(IF(Upgrades!$T$6="Asteroid Belt",POWER(Upgrades!$U$6,E78),1)*IF(Upgrades!$T$8="Asteroid Belt",POWER(Upgrades!$U$8,G78),1)*IF(Upgrades!$T$9="Asteroid Belt",POWER(Upgrades!$U$9,H78),1)*IF(Upgrades!$T$10="Asteroid Belt",POWER(Upgrades!$U$10,I78),1)*IF(Upgrades!$T$11="Asteroid Belt",POWER(Upgrades!$U$11,J78),1)*IF(Upgrades!$T$12="Asteroid Belt",POWER(Upgrades!$U$12,K78),1))+(IF(G78=0,0,(Upgrades!$M$8+G78*Upgrades!$N$8)*POWER(Upgrades!$O$8,G78)))*(IF(Upgrades!$T$6="Stellar Coupling",POWER(Upgrades!$U$6,E78),1)*IF(Upgrades!$T$7="Stellar Coupling",POWER(Upgrades!$U$7,F78),1)*IF(Upgrades!$T$9="Stellar Coupling",POWER(Upgrades!$U$9,H78),1)*IF(Upgrades!$T$10="Stellar Coupling",POWER(Upgrades!$U$10,I78),1)*IF(Upgrades!$T$11="Stellar Coupling",POWER(Upgrades!$U$11,J78),1)*IF(Upgrades!$T$12="Stellar Coupling",POWER(Upgrades!$U$12,K78),1))+(IF(H78=0,0,(Upgrades!$M$9+H78*Upgrades!$N$9)*POWER(Upgrades!$O$9,H78)))*(IF(Upgrades!$T$6="Magnetosphere",POWER(Upgrades!$U$6,E78),1)*IF(Upgrades!$T$7="Magnetosphere",POWER(Upgrades!$U$7,F78),1)*IF(Upgrades!$T$8="Magnetosphere",POWER(Upgrades!$U$8,G78),1)*IF(Upgrades!$T$10="Magnetosphere",POWER(Upgrades!$U$10,I78),1)*IF(Upgrades!$T$11="Magnetosphere",POWER(Upgrades!$U$11,J78),1)*IF(Upgrades!$T$12="Magnetosphere",POWER(Upgrades!$U$12,K78),1))+(IF(I78=0,0,(Upgrades!$M$10+I78*Upgrades!$N$10)*POWER(Upgrades!$O$10,I78)))*(IF(Upgrades!$T$6="Orbital Resonance",POWER(Upgrades!$U$6,E78),1)*IF(Upgrades!$T$7="Orbital Resonance",POWER(Upgrades!$U$7,F78),1)*IF(Upgrades!$T$8="Orbital Resonance",POWER(Upgrades!$U$8,G78),1)*IF(Upgrades!$T$9="Orbital Resonance",POWER(Upgrades!$U$9,H78),1)*IF(Upgrades!$T$11="Orbital Resonance",POWER(Upgrades!$U$11,J78),1)*IF(Upgrades!$T$12="Orbital Resonance",POWER(Upgrades!$U$12,K78),1))+(IF(J78=0,0,(Upgrades!$M$11+J78*Upgrades!$N$11)*POWER(Upgrades!$O$11,J78)))*(IF(Upgrades!$T$6="Heliopause",POWER(Upgrades!$U$6,E78),1)*IF(Upgrades!$T$7="Heliopause",POWER(Upgrades!$U$7,F78),1)*IF(Upgrades!$T$8="Heliopause",POWER(Upgrades!$U$8,G78),1)*IF(Upgrades!$T$9="Heliopause",POWER(Upgrades!$U$9,H78),1)*IF(Upgrades!$T$10="Heliopause",POWER(Upgrades!$U$10,I78),1)*IF(Upgrades!$T$12="Heliopause",POWER(Upgrades!$U$12,K78),1))+(IF(K78=0,0,(Upgrades!$M$12+K78*Upgrades!$N$12)*POWER(Upgrades!$O$12,K78)))*(IF(Upgrades!$T$6="First Photons",POWER(Upgrades!$U$6,E78),1)*IF(Upgrades!$T$7="First Photons",POWER(Upgrades!$U$7,F78),1)*IF(Upgrades!$T$8="First Photons",POWER(Upgrades!$U$8,G78),1)*IF(Upgrades!$T$9="First Photons",POWER(Upgrades!$U$9,H78),1)*IF(Upgrades!$T$10="First Photons",POWER(Upgrades!$U$10,I78),1)*IF(Upgrades!$T$11="First Photons",POWER(Upgrades!$U$11,J78),1)))*POWER(Upgrades!$R$6,E78)*POWER(Upgrades!$R$7,F78)*POWER(Upgrades!$R$8,G78)*POWER(Upgrades!$R$9,H78)*POWER(Upgrades!$R$10,I78)*POWER(Upgrades!$R$11,J78)*POWER(Upgrades!$R$12,K78)</f>
        <v/>
      </c>
      <c r="P78" s="27">
        <f>IF(L78=1,0,M78*Parameters!$B$10/60*Parameters!$B$11*10)</f>
        <v/>
      </c>
      <c r="Q78" s="27">
        <f>IF(L78=1,0,O78*M78*10)</f>
        <v/>
      </c>
      <c r="R78" s="27">
        <f>IF(L78=1,0,N78*10)</f>
        <v/>
      </c>
      <c r="S78" s="27">
        <f>P78+Q78+R78</f>
        <v/>
      </c>
      <c r="T78" s="22">
        <f>C78+S78</f>
        <v/>
      </c>
      <c r="U78" s="33">
        <f>AX78</f>
        <v/>
      </c>
      <c r="V78" s="22">
        <f>IF(U78="",0,IF(U78="transition",0,IF(U78="SW",AG78,IF(U78="AB",AH78,IF(U78="SC",AI78,IF(U78="Mag",AJ78,IF(U78="OR",AK78,IF(U78="HP",AL78,IF(U78="FP",AM78,0)))))))))</f>
        <v/>
      </c>
      <c r="W78" s="27">
        <f>IF(U78="OR",Upgrades!$F$10,IF(U78="HP",Upgrades!$F$11,IF(U78="transition",-Parameters!$B$18,0)))</f>
        <v/>
      </c>
      <c r="X78" s="22">
        <f>T78-V78</f>
        <v/>
      </c>
      <c r="Y78" s="30">
        <f>M78*Parameters!$B$10/60*Parameters!$B$11+O78*M78+N78</f>
        <v/>
      </c>
      <c r="Z78" s="34">
        <f>IF(U78="transition","→ Tier 2 (Stellar Neighborhood)",IF(U78="FP","First Photons — light begins, system quickens",IF(U78="HP","Heliopause acquired",IF(U78="OR","Orbital Resonance — passive multiplier active",IF(AND(AO78=1,L78=0,AN78&lt;&gt;1),"Cohesion ready (waiting on completionist upgrades)","")))))</f>
        <v/>
      </c>
      <c r="AA78" s="27">
        <f>(IF(E78=0,0,(Upgrades!$G$6+E78*Upgrades!$H$6)*POWER(Upgrades!$I$6,E78)))*(IF(Upgrades!$T$7="Solar Wind",POWER(Upgrades!$U$7,F78),1)*IF(Upgrades!$T$8="Solar Wind",POWER(Upgrades!$U$8,G78),1)*IF(Upgrades!$T$9="Solar Wind",POWER(Upgrades!$U$9,H78),1)*IF(Upgrades!$T$10="Solar Wind",POWER(Upgrades!$U$10,I78),1)*IF(Upgrades!$T$11="Solar Wind",POWER(Upgrades!$U$11,J78),1)*IF(Upgrades!$T$12="Solar Wind",POWER(Upgrades!$U$12,K78),1))*POWER(Upgrades!$P$6,E78)*POWER(Upgrades!$P$7,F78)*POWER(Upgrades!$P$8,G78)*POWER(Upgrades!$P$9,H78)*POWER(Upgrades!$P$10,I78)*POWER(Upgrades!$P$11,J78)*POWER(Upgrades!$P$12,K78)*60</f>
        <v/>
      </c>
      <c r="AB78" s="27">
        <f>(IF(F78=0,0,(Upgrades!$G$7+F78*Upgrades!$H$7)*POWER(Upgrades!$I$7,F78)))*(IF(Upgrades!$T$6="Asteroid Belt",POWER(Upgrades!$U$6,E78),1)*IF(Upgrades!$T$8="Asteroid Belt",POWER(Upgrades!$U$8,G78),1)*IF(Upgrades!$T$9="Asteroid Belt",POWER(Upgrades!$U$9,H78),1)*IF(Upgrades!$T$10="Asteroid Belt",POWER(Upgrades!$U$10,I78),1)*IF(Upgrades!$T$11="Asteroid Belt",POWER(Upgrades!$U$11,J78),1)*IF(Upgrades!$T$12="Asteroid Belt",POWER(Upgrades!$U$12,K78),1))*POWER(Upgrades!$P$6,E78)*POWER(Upgrades!$P$7,F78)*POWER(Upgrades!$P$8,G78)*POWER(Upgrades!$P$9,H78)*POWER(Upgrades!$P$10,I78)*POWER(Upgrades!$P$11,J78)*POWER(Upgrades!$P$12,K78)*60</f>
        <v/>
      </c>
      <c r="AC78" s="27">
        <f>(IF(G78=0,0,(Upgrades!$J$8+G78*Upgrades!$K$8)*POWER(Upgrades!$L$8,G78)))*(IF(Upgrades!$T$6="Stellar Coupling",POWER(Upgrades!$U$6,E78),1)*IF(Upgrades!$T$7="Stellar Coupling",POWER(Upgrades!$U$7,F78),1)*IF(Upgrades!$T$9="Stellar Coupling",POWER(Upgrades!$U$9,H78),1)*IF(Upgrades!$T$10="Stellar Coupling",POWER(Upgrades!$U$10,I78),1)*IF(Upgrades!$T$11="Stellar Coupling",POWER(Upgrades!$U$11,J78),1)*IF(Upgrades!$T$12="Stellar Coupling",POWER(Upgrades!$U$12,K78),1))*POWER(Upgrades!$Q$6,E78)*POWER(Upgrades!$Q$7,F78)*POWER(Upgrades!$Q$8,G78)*POWER(Upgrades!$Q$9,H78)*POWER(Upgrades!$Q$10,I78)*POWER(Upgrades!$Q$11,J78)*POWER(Upgrades!$Q$12,K78)*Parameters!$B$10*Parameters!$B$11</f>
        <v/>
      </c>
      <c r="AD78" s="27">
        <f>(IF(H78=0,0,(Upgrades!$G$9+H78*Upgrades!$H$9)*POWER(Upgrades!$I$9,H78)))*(IF(Upgrades!$T$6="Magnetosphere",POWER(Upgrades!$U$6,E78),1)*IF(Upgrades!$T$7="Magnetosphere",POWER(Upgrades!$U$7,F78),1)*IF(Upgrades!$T$8="Magnetosphere",POWER(Upgrades!$U$8,G78),1)*IF(Upgrades!$T$10="Magnetosphere",POWER(Upgrades!$U$10,I78),1)*IF(Upgrades!$T$11="Magnetosphere",POWER(Upgrades!$U$11,J78),1)*IF(Upgrades!$T$12="Magnetosphere",POWER(Upgrades!$U$12,K78),1))*POWER(Upgrades!$P$6,E78)*POWER(Upgrades!$P$7,F78)*POWER(Upgrades!$P$8,G78)*POWER(Upgrades!$P$9,H78)*POWER(Upgrades!$P$10,I78)*POWER(Upgrades!$P$11,J78)*POWER(Upgrades!$P$12,K78)*60</f>
        <v/>
      </c>
      <c r="AE78" s="27">
        <f>(IF(K78=0,0,(Upgrades!$G$12+K78*Upgrades!$H$12)*POWER(Upgrades!$I$12,K78)))*(IF(Upgrades!$T$6="First Photons",POWER(Upgrades!$U$6,E78),1)*IF(Upgrades!$T$7="First Photons",POWER(Upgrades!$U$7,F78),1)*IF(Upgrades!$T$8="First Photons",POWER(Upgrades!$U$8,G78),1)*IF(Upgrades!$T$9="First Photons",POWER(Upgrades!$U$9,H78),1)*IF(Upgrades!$T$10="First Photons",POWER(Upgrades!$U$10,I78),1)*IF(Upgrades!$T$11="First Photons",POWER(Upgrades!$U$11,J78),1))*POWER(Upgrades!$P$6,E78)*POWER(Upgrades!$P$7,F78)*POWER(Upgrades!$P$8,G78)*POWER(Upgrades!$P$9,H78)*POWER(Upgrades!$P$10,I78)*POWER(Upgrades!$P$11,J78)*POWER(Upgrades!$P$12,K78)*60</f>
        <v/>
      </c>
      <c r="AF78" s="27">
        <f>Parameters!$B$9*POWER(Upgrades!$Q$6,E78)*POWER(Upgrades!$Q$7,F78)*POWER(Upgrades!$Q$8,G78)*POWER(Upgrades!$Q$9,H78)*POWER(Upgrades!$Q$10,I78)*POWER(Upgrades!$Q$11,J78)*POWER(Upgrades!$Q$12,K78)*(Parameters!$B$10*Parameters!$B$11+O78*60)</f>
        <v/>
      </c>
      <c r="AG78" s="22">
        <f>IF(E78&gt;=Upgrades!$E$6,"",Upgrades!$C$6*POWER(Upgrades!$D$6,E78))</f>
        <v/>
      </c>
      <c r="AH78" s="22">
        <f>IF(F78&gt;=Upgrades!$E$7,"",Upgrades!$C$7*POWER(Upgrades!$D$7,F78))</f>
        <v/>
      </c>
      <c r="AI78" s="22">
        <f>IF(G78&gt;=Upgrades!$E$8,"",Upgrades!$C$8*POWER(Upgrades!$D$8,G78))</f>
        <v/>
      </c>
      <c r="AJ78" s="22">
        <f>IF(H78&gt;=Upgrades!$E$9,"",Upgrades!$C$9*POWER(Upgrades!$D$9,H78))</f>
        <v/>
      </c>
      <c r="AK78" s="22">
        <f>IF(I78&gt;=Upgrades!$E$10,"",Upgrades!$C$10*POWER(Upgrades!$D$10,I78))</f>
        <v/>
      </c>
      <c r="AL78" s="22">
        <f>IF(J78&gt;=Upgrades!$E$11,"",Upgrades!$C$11*POWER(Upgrades!$D$11,J78))</f>
        <v/>
      </c>
      <c r="AM78" s="22">
        <f>IF(K78&gt;=Upgrades!$E$12,"",Upgrades!$C$12*POWER(Upgrades!$D$12,K78))</f>
        <v/>
      </c>
      <c r="AN78" s="26">
        <f>IF(AND(D78&gt;=Parameters!$B$18,(H78&gt;=Upgrades!$E$9)*(K78&gt;=Upgrades!$E$12)=1,L78=0),1,"")</f>
        <v/>
      </c>
      <c r="AO78" s="26">
        <f>IF(AND(D78&gt;=Parameters!$B$18,L78=0),1,"")</f>
        <v/>
      </c>
      <c r="AP78" s="22">
        <f>MIN(IF(ISNUMBER(AK78),AK78,9E15),IF(ISNUMBER(AL78),AL78,9E15),IF(ISNUMBER(AM78),AM78,9E15))</f>
        <v/>
      </c>
      <c r="AQ78" s="22">
        <f>MIN(IF(ISNUMBER(AG78),AG78,9E15),IF(ISNUMBER(AH78),AH78,9E15),IF(ISNUMBER(AI78),AI78,9E15),IF(ISNUMBER(AJ78),AJ78,9E15))</f>
        <v/>
      </c>
      <c r="AR78" s="29">
        <f>IF(AW78&gt;Parameters!$B$21*(MAX(IF(AND(NOT(AND(AO78=1,AN78&lt;&gt;1)),ISNUMBER(AG78),AG78&lt;=T78),AS78,0),IF(AND(NOT(AND(AO78=1,AN78&lt;&gt;1)),ISNUMBER(AH78),AH78&lt;=T78),AT78,0),IF(AND(NOT(AND(AO78=1,AN78&lt;&gt;1)),ISNUMBER(AI78),AI78&lt;=T78),AU78,0),IF(AND(ISNUMBER(AJ78),AJ78&lt;=T78),AV78,0))),TRUE,FALSE)</f>
        <v/>
      </c>
      <c r="AS78" s="32">
        <f>IFERROR(Upgrades!$H$6*(POWER(Upgrades!$P$6,E78)*POWER(Upgrades!$P$7,F78)*POWER(Upgrades!$P$8,G78)*POWER(Upgrades!$P$9,H78)*POWER(Upgrades!$P$10,I78)*POWER(Upgrades!$P$11,J78)*POWER(Upgrades!$P$12,K78))*(IF(Upgrades!$T$7="Solar Wind",POWER(Upgrades!$U$7,F78),1)*IF(Upgrades!$T$8="Solar Wind",POWER(Upgrades!$U$8,G78),1)*IF(Upgrades!$T$9="Solar Wind",POWER(Upgrades!$U$9,H78),1)*IF(Upgrades!$T$10="Solar Wind",POWER(Upgrades!$U$10,I78),1)*IF(Upgrades!$T$11="Solar Wind",POWER(Upgrades!$U$11,J78),1)*IF(Upgrades!$T$12="Solar Wind",POWER(Upgrades!$U$12,K78),1))/AG78,0)</f>
        <v/>
      </c>
      <c r="AT78" s="32">
        <f>IFERROR(Upgrades!$H$7*(POWER(Upgrades!$P$6,E78)*POWER(Upgrades!$P$7,F78)*POWER(Upgrades!$P$8,G78)*POWER(Upgrades!$P$9,H78)*POWER(Upgrades!$P$10,I78)*POWER(Upgrades!$P$11,J78)*POWER(Upgrades!$P$12,K78))*(IF(Upgrades!$T$6="Asteroid Belt",POWER(Upgrades!$U$6,E78),1)*IF(Upgrades!$T$8="Asteroid Belt",POWER(Upgrades!$U$8,G78),1)*IF(Upgrades!$T$9="Asteroid Belt",POWER(Upgrades!$U$9,H78),1)*IF(Upgrades!$T$10="Asteroid Belt",POWER(Upgrades!$U$10,I78),1)*IF(Upgrades!$T$11="Asteroid Belt",POWER(Upgrades!$U$11,J78),1)*IF(Upgrades!$T$12="Asteroid Belt",POWER(Upgrades!$U$12,K78),1))/AH78,0)</f>
        <v/>
      </c>
      <c r="AU78" s="32">
        <f>IFERROR(Upgrades!$K$8*(POWER(Upgrades!$Q$6,E78)*POWER(Upgrades!$Q$7,F78)*POWER(Upgrades!$Q$8,G78)*POWER(Upgrades!$Q$9,H78)*POWER(Upgrades!$Q$10,I78)*POWER(Upgrades!$Q$11,J78)*POWER(Upgrades!$Q$12,K78))*(IF(Upgrades!$T$6="Stellar Coupling",POWER(Upgrades!$U$6,E78),1)*IF(Upgrades!$T$7="Stellar Coupling",POWER(Upgrades!$U$7,F78),1)*IF(Upgrades!$T$9="Stellar Coupling",POWER(Upgrades!$U$9,H78),1)*IF(Upgrades!$T$10="Stellar Coupling",POWER(Upgrades!$U$10,I78),1)*IF(Upgrades!$T$11="Stellar Coupling",POWER(Upgrades!$U$11,J78),1)*IF(Upgrades!$T$12="Stellar Coupling",POWER(Upgrades!$U$12,K78),1))*Parameters!$B$10*Parameters!$B$11/60/AI78,0)</f>
        <v/>
      </c>
      <c r="AV78" s="32">
        <f>IFERROR(Upgrades!$H$9*(POWER(Upgrades!$P$6,E78)*POWER(Upgrades!$P$7,F78)*POWER(Upgrades!$P$8,G78)*POWER(Upgrades!$P$9,H78)*POWER(Upgrades!$P$10,I78)*POWER(Upgrades!$P$11,J78)*POWER(Upgrades!$P$12,K78))*(IF(Upgrades!$T$6="Magnetosphere",POWER(Upgrades!$U$6,E78),1)*IF(Upgrades!$T$7="Magnetosphere",POWER(Upgrades!$U$7,F78),1)*IF(Upgrades!$T$8="Magnetosphere",POWER(Upgrades!$U$8,G78),1)*IF(Upgrades!$T$10="Magnetosphere",POWER(Upgrades!$U$10,I78),1)*IF(Upgrades!$T$11="Magnetosphere",POWER(Upgrades!$U$11,J78),1)*IF(Upgrades!$T$12="Magnetosphere",POWER(Upgrades!$U$12,K78),1))/AJ78,0)</f>
        <v/>
      </c>
      <c r="AW78" s="32">
        <f>MAX(IF(I78&gt;0,0,IFERROR(0.25*N78/Upgrades!$C$10,0)),IF(J78&gt;0,0,IFERROR(0.5*((IF(G78=0,0,(Upgrades!$J$8+G78*Upgrades!$K$8)*POWER(Upgrades!$L$8,G78)))*(IF(Upgrades!$T$6="Stellar Coupling",POWER(Upgrades!$U$6,E78),1)*IF(Upgrades!$T$7="Stellar Coupling",POWER(Upgrades!$U$7,F78),1)*IF(Upgrades!$T$9="Stellar Coupling",POWER(Upgrades!$U$9,H78),1)*IF(Upgrades!$T$10="Stellar Coupling",POWER(Upgrades!$U$10,I78),1)*IF(Upgrades!$T$11="Stellar Coupling",POWER(Upgrades!$U$11,J78),1)*IF(Upgrades!$T$12="Stellar Coupling",POWER(Upgrades!$U$12,K78),1))*(POWER(Upgrades!$Q$6,E78)*POWER(Upgrades!$Q$7,F78)*POWER(Upgrades!$Q$8,G78)*POWER(Upgrades!$Q$9,H78)*POWER(Upgrades!$Q$10,I78)*POWER(Upgrades!$Q$11,J78)*POWER(Upgrades!$Q$12,K78))*Parameters!$B$10*Parameters!$B$11/60)/Upgrades!$C$11,0)),IF(K78&gt;0,0,IFERROR((1.0*(POWER(Upgrades!$P$6,E78)*POWER(Upgrades!$P$7,F78)*POWER(Upgrades!$P$8,G78)*POWER(Upgrades!$P$9,H78)*POWER(Upgrades!$P$10,I78)*POWER(Upgrades!$P$11,J78)*POWER(Upgrades!$P$12,K78))+0.20*M78*Parameters!$B$10*Parameters!$B$11/60)/Upgrades!$C$12,0)),IF(AND(ISNUMBER(AG78),AG78&gt;T78),AS78,0),IF(AND(ISNUMBER(AH78),AH78&gt;T78),AT78,0),IF(AND(ISNUMBER(AI78),AI78&gt;T78),AU78,0),IF(AND(ISNUMBER(AJ78),AJ78&gt;T78),AV78,0))</f>
        <v/>
      </c>
      <c r="AX78" s="29">
        <f>IF(AN78=1,"transition",IF(MIN(IF(AND(I78=0,ISNUMBER(AK78),AK78&lt;=T78),AK78,9E15),IF(AND(J78=0,ISNUMBER(AL78),AL78&lt;=T78),AL78,9E15),IF(AND(K78=0,ISNUMBER(AM78),AM78&lt;=T78),AM78,9E15))&lt;9E15,IF(AND(AND(I78=0,ISNUMBER(AK78),AK78&lt;=T78),AK78=MIN(IF(AND(I78=0,ISNUMBER(AK78),AK78&lt;=T78),AK78,9E15),IF(AND(J78=0,ISNUMBER(AL78),AL78&lt;=T78),AL78,9E15),IF(AND(K78=0,ISNUMBER(AM78),AM78&lt;=T78),AM78,9E15))),"OR",IF(AND(AND(J78=0,ISNUMBER(AL78),AL78&lt;=T78),AL78=MIN(IF(AND(I78=0,ISNUMBER(AK78),AK78&lt;=T78),AK78,9E15),IF(AND(J78=0,ISNUMBER(AL78),AL78&lt;=T78),AL78,9E15),IF(AND(K78=0,ISNUMBER(AM78),AM78&lt;=T78),AM78,9E15))),"HP","FP")),IF(AR78=TRUE,"",IF(MAX(IF(AND(NOT(AND(AO78=1,AN78&lt;&gt;1)),ISNUMBER(AG78),AG78&lt;=T78),AS78,0),IF(AND(NOT(AND(AO78=1,AN78&lt;&gt;1)),ISNUMBER(AH78),AH78&lt;=T78),AT78,0),IF(AND(NOT(AND(AO78=1,AN78&lt;&gt;1)),ISNUMBER(AI78),AI78&lt;=T78),AU78,0),IF(AND(ISNUMBER(AJ78),AJ78&lt;=T78),AV78,0))&lt;=0,"",IF(AND(IF(AND(NOT(AND(AO78=1,AN78&lt;&gt;1)),ISNUMBER(AG78),AG78&lt;=T78),AS78,0)&gt;0,IF(AND(NOT(AND(AO78=1,AN78&lt;&gt;1)),ISNUMBER(AG78),AG78&lt;=T78),AS78,0)=MAX(IF(AND(NOT(AND(AO78=1,AN78&lt;&gt;1)),ISNUMBER(AG78),AG78&lt;=T78),AS78,0),IF(AND(NOT(AND(AO78=1,AN78&lt;&gt;1)),ISNUMBER(AH78),AH78&lt;=T78),AT78,0),IF(AND(NOT(AND(AO78=1,AN78&lt;&gt;1)),ISNUMBER(AI78),AI78&lt;=T78),AU78,0),IF(AND(ISNUMBER(AJ78),AJ78&lt;=T78),AV78,0))),"SW",IF(AND(IF(AND(NOT(AND(AO78=1,AN78&lt;&gt;1)),ISNUMBER(AH78),AH78&lt;=T78),AT78,0)&gt;0,IF(AND(NOT(AND(AO78=1,AN78&lt;&gt;1)),ISNUMBER(AH78),AH78&lt;=T78),AT78,0)=MAX(IF(AND(NOT(AND(AO78=1,AN78&lt;&gt;1)),ISNUMBER(AG78),AG78&lt;=T78),AS78,0),IF(AND(NOT(AND(AO78=1,AN78&lt;&gt;1)),ISNUMBER(AH78),AH78&lt;=T78),AT78,0),IF(AND(NOT(AND(AO78=1,AN78&lt;&gt;1)),ISNUMBER(AI78),AI78&lt;=T78),AU78,0),IF(AND(ISNUMBER(AJ78),AJ78&lt;=T78),AV78,0))),"AB",IF(AND(IF(AND(NOT(AND(AO78=1,AN78&lt;&gt;1)),ISNUMBER(AI78),AI78&lt;=T78),AU78,0)&gt;0,IF(AND(NOT(AND(AO78=1,AN78&lt;&gt;1)),ISNUMBER(AI78),AI78&lt;=T78),AU78,0)=MAX(IF(AND(NOT(AND(AO78=1,AN78&lt;&gt;1)),ISNUMBER(AG78),AG78&lt;=T78),AS78,0),IF(AND(NOT(AND(AO78=1,AN78&lt;&gt;1)),ISNUMBER(AH78),AH78&lt;=T78),AT78,0),IF(AND(NOT(AND(AO78=1,AN78&lt;&gt;1)),ISNUMBER(AI78),AI78&lt;=T78),AU78,0),IF(AND(ISNUMBER(AJ78),AJ78&lt;=T78),AV78,0))),"SC","Mag")))))))</f>
        <v/>
      </c>
    </row>
    <row r="79">
      <c r="A79" s="26" t="n">
        <v>74</v>
      </c>
      <c r="B79" s="27">
        <f>A79*10/60</f>
        <v/>
      </c>
      <c r="C79" s="22">
        <f>X78</f>
        <v/>
      </c>
      <c r="D79" s="27">
        <f>D78+W78</f>
        <v/>
      </c>
      <c r="E79" s="26">
        <f>E78+IF(U78="SW",1,0)</f>
        <v/>
      </c>
      <c r="F79" s="26">
        <f>F78+IF(U78="AB",1,0)</f>
        <v/>
      </c>
      <c r="G79" s="26">
        <f>G78+IF(U78="SC",1,0)</f>
        <v/>
      </c>
      <c r="H79" s="26">
        <f>H78+IF(U78="Mag",1,0)</f>
        <v/>
      </c>
      <c r="I79" s="26">
        <f>MAX(I78,IF(U78="OR",1,0))</f>
        <v/>
      </c>
      <c r="J79" s="26">
        <f>MAX(J78,IF(U78="HP",1,0))</f>
        <v/>
      </c>
      <c r="K79" s="26">
        <f>MAX(K78,IF(U78="FP",1,0))</f>
        <v/>
      </c>
      <c r="L79" s="26">
        <f>MAX(L78,IF(U78="transition",1,0))</f>
        <v/>
      </c>
      <c r="M79" s="28">
        <f>(Parameters!$B$9+(IF(E79=0,0,(Upgrades!$J$6+E79*Upgrades!$K$6)*POWER(Upgrades!$L$6,E79)))*(IF(Upgrades!$T$7="Solar Wind",POWER(Upgrades!$U$7,F79),1)*IF(Upgrades!$T$8="Solar Wind",POWER(Upgrades!$U$8,G79),1)*IF(Upgrades!$T$9="Solar Wind",POWER(Upgrades!$U$9,H79),1)*IF(Upgrades!$T$10="Solar Wind",POWER(Upgrades!$U$10,I79),1)*IF(Upgrades!$T$11="Solar Wind",POWER(Upgrades!$U$11,J79),1)*IF(Upgrades!$T$12="Solar Wind",POWER(Upgrades!$U$12,K79),1))+(IF(F79=0,0,(Upgrades!$J$7+F79*Upgrades!$K$7)*POWER(Upgrades!$L$7,F79)))*(IF(Upgrades!$T$6="Asteroid Belt",POWER(Upgrades!$U$6,E79),1)*IF(Upgrades!$T$8="Asteroid Belt",POWER(Upgrades!$U$8,G79),1)*IF(Upgrades!$T$9="Asteroid Belt",POWER(Upgrades!$U$9,H79),1)*IF(Upgrades!$T$10="Asteroid Belt",POWER(Upgrades!$U$10,I79),1)*IF(Upgrades!$T$11="Asteroid Belt",POWER(Upgrades!$U$11,J79),1)*IF(Upgrades!$T$12="Asteroid Belt",POWER(Upgrades!$U$12,K79),1))+(IF(G79=0,0,(Upgrades!$J$8+G79*Upgrades!$K$8)*POWER(Upgrades!$L$8,G79)))*(IF(Upgrades!$T$6="Stellar Coupling",POWER(Upgrades!$U$6,E79),1)*IF(Upgrades!$T$7="Stellar Coupling",POWER(Upgrades!$U$7,F79),1)*IF(Upgrades!$T$9="Stellar Coupling",POWER(Upgrades!$U$9,H79),1)*IF(Upgrades!$T$10="Stellar Coupling",POWER(Upgrades!$U$10,I79),1)*IF(Upgrades!$T$11="Stellar Coupling",POWER(Upgrades!$U$11,J79),1)*IF(Upgrades!$T$12="Stellar Coupling",POWER(Upgrades!$U$12,K79),1))+(IF(H79=0,0,(Upgrades!$J$9+H79*Upgrades!$K$9)*POWER(Upgrades!$L$9,H79)))*(IF(Upgrades!$T$6="Magnetosphere",POWER(Upgrades!$U$6,E79),1)*IF(Upgrades!$T$7="Magnetosphere",POWER(Upgrades!$U$7,F79),1)*IF(Upgrades!$T$8="Magnetosphere",POWER(Upgrades!$U$8,G79),1)*IF(Upgrades!$T$10="Magnetosphere",POWER(Upgrades!$U$10,I79),1)*IF(Upgrades!$T$11="Magnetosphere",POWER(Upgrades!$U$11,J79),1)*IF(Upgrades!$T$12="Magnetosphere",POWER(Upgrades!$U$12,K79),1))+(IF(I79=0,0,(Upgrades!$J$10+I79*Upgrades!$K$10)*POWER(Upgrades!$L$10,I79)))*(IF(Upgrades!$T$6="Orbital Resonance",POWER(Upgrades!$U$6,E79),1)*IF(Upgrades!$T$7="Orbital Resonance",POWER(Upgrades!$U$7,F79),1)*IF(Upgrades!$T$8="Orbital Resonance",POWER(Upgrades!$U$8,G79),1)*IF(Upgrades!$T$9="Orbital Resonance",POWER(Upgrades!$U$9,H79),1)*IF(Upgrades!$T$11="Orbital Resonance",POWER(Upgrades!$U$11,J79),1)*IF(Upgrades!$T$12="Orbital Resonance",POWER(Upgrades!$U$12,K79),1))+(IF(J79=0,0,(Upgrades!$J$11+J79*Upgrades!$K$11)*POWER(Upgrades!$L$11,J79)))*(IF(Upgrades!$T$6="Heliopause",POWER(Upgrades!$U$6,E79),1)*IF(Upgrades!$T$7="Heliopause",POWER(Upgrades!$U$7,F79),1)*IF(Upgrades!$T$8="Heliopause",POWER(Upgrades!$U$8,G79),1)*IF(Upgrades!$T$9="Heliopause",POWER(Upgrades!$U$9,H79),1)*IF(Upgrades!$T$10="Heliopause",POWER(Upgrades!$U$10,I79),1)*IF(Upgrades!$T$12="Heliopause",POWER(Upgrades!$U$12,K79),1))+(IF(K79=0,0,(Upgrades!$J$12+K79*Upgrades!$K$12)*POWER(Upgrades!$L$12,K79)))*(IF(Upgrades!$T$6="First Photons",POWER(Upgrades!$U$6,E79),1)*IF(Upgrades!$T$7="First Photons",POWER(Upgrades!$U$7,F79),1)*IF(Upgrades!$T$8="First Photons",POWER(Upgrades!$U$8,G79),1)*IF(Upgrades!$T$9="First Photons",POWER(Upgrades!$U$9,H79),1)*IF(Upgrades!$T$10="First Photons",POWER(Upgrades!$U$10,I79),1)*IF(Upgrades!$T$11="First Photons",POWER(Upgrades!$U$11,J79),1)))*POWER(Upgrades!$Q$6,E79)*POWER(Upgrades!$Q$7,F79)*POWER(Upgrades!$Q$8,G79)*POWER(Upgrades!$Q$9,H79)*POWER(Upgrades!$Q$10,I79)*POWER(Upgrades!$Q$11,J79)*POWER(Upgrades!$Q$12,K79)</f>
        <v/>
      </c>
      <c r="N79" s="28">
        <f>((IF(E79=0,0,(Upgrades!$G$6+E79*Upgrades!$H$6)*POWER(Upgrades!$I$6,E79)))*(IF(Upgrades!$T$7="Solar Wind",POWER(Upgrades!$U$7,F79),1)*IF(Upgrades!$T$8="Solar Wind",POWER(Upgrades!$U$8,G79),1)*IF(Upgrades!$T$9="Solar Wind",POWER(Upgrades!$U$9,H79),1)*IF(Upgrades!$T$10="Solar Wind",POWER(Upgrades!$U$10,I79),1)*IF(Upgrades!$T$11="Solar Wind",POWER(Upgrades!$U$11,J79),1)*IF(Upgrades!$T$12="Solar Wind",POWER(Upgrades!$U$12,K79),1))+(IF(F79=0,0,(Upgrades!$G$7+F79*Upgrades!$H$7)*POWER(Upgrades!$I$7,F79)))*(IF(Upgrades!$T$6="Asteroid Belt",POWER(Upgrades!$U$6,E79),1)*IF(Upgrades!$T$8="Asteroid Belt",POWER(Upgrades!$U$8,G79),1)*IF(Upgrades!$T$9="Asteroid Belt",POWER(Upgrades!$U$9,H79),1)*IF(Upgrades!$T$10="Asteroid Belt",POWER(Upgrades!$U$10,I79),1)*IF(Upgrades!$T$11="Asteroid Belt",POWER(Upgrades!$U$11,J79),1)*IF(Upgrades!$T$12="Asteroid Belt",POWER(Upgrades!$U$12,K79),1))+(IF(G79=0,0,(Upgrades!$G$8+G79*Upgrades!$H$8)*POWER(Upgrades!$I$8,G79)))*(IF(Upgrades!$T$6="Stellar Coupling",POWER(Upgrades!$U$6,E79),1)*IF(Upgrades!$T$7="Stellar Coupling",POWER(Upgrades!$U$7,F79),1)*IF(Upgrades!$T$9="Stellar Coupling",POWER(Upgrades!$U$9,H79),1)*IF(Upgrades!$T$10="Stellar Coupling",POWER(Upgrades!$U$10,I79),1)*IF(Upgrades!$T$11="Stellar Coupling",POWER(Upgrades!$U$11,J79),1)*IF(Upgrades!$T$12="Stellar Coupling",POWER(Upgrades!$U$12,K79),1))+(IF(H79=0,0,(Upgrades!$G$9+H79*Upgrades!$H$9)*POWER(Upgrades!$I$9,H79)))*(IF(Upgrades!$T$6="Magnetosphere",POWER(Upgrades!$U$6,E79),1)*IF(Upgrades!$T$7="Magnetosphere",POWER(Upgrades!$U$7,F79),1)*IF(Upgrades!$T$8="Magnetosphere",POWER(Upgrades!$U$8,G79),1)*IF(Upgrades!$T$10="Magnetosphere",POWER(Upgrades!$U$10,I79),1)*IF(Upgrades!$T$11="Magnetosphere",POWER(Upgrades!$U$11,J79),1)*IF(Upgrades!$T$12="Magnetosphere",POWER(Upgrades!$U$12,K79),1))+(IF(I79=0,0,(Upgrades!$G$10+I79*Upgrades!$H$10)*POWER(Upgrades!$I$10,I79)))*(IF(Upgrades!$T$6="Orbital Resonance",POWER(Upgrades!$U$6,E79),1)*IF(Upgrades!$T$7="Orbital Resonance",POWER(Upgrades!$U$7,F79),1)*IF(Upgrades!$T$8="Orbital Resonance",POWER(Upgrades!$U$8,G79),1)*IF(Upgrades!$T$9="Orbital Resonance",POWER(Upgrades!$U$9,H79),1)*IF(Upgrades!$T$11="Orbital Resonance",POWER(Upgrades!$U$11,J79),1)*IF(Upgrades!$T$12="Orbital Resonance",POWER(Upgrades!$U$12,K79),1))+(IF(J79=0,0,(Upgrades!$G$11+J79*Upgrades!$H$11)*POWER(Upgrades!$I$11,J79)))*(IF(Upgrades!$T$6="Heliopause",POWER(Upgrades!$U$6,E79),1)*IF(Upgrades!$T$7="Heliopause",POWER(Upgrades!$U$7,F79),1)*IF(Upgrades!$T$8="Heliopause",POWER(Upgrades!$U$8,G79),1)*IF(Upgrades!$T$9="Heliopause",POWER(Upgrades!$U$9,H79),1)*IF(Upgrades!$T$10="Heliopause",POWER(Upgrades!$U$10,I79),1)*IF(Upgrades!$T$12="Heliopause",POWER(Upgrades!$U$12,K79),1))+(IF(K79=0,0,(Upgrades!$G$12+K79*Upgrades!$H$12)*POWER(Upgrades!$I$12,K79)))*(IF(Upgrades!$T$6="First Photons",POWER(Upgrades!$U$6,E79),1)*IF(Upgrades!$T$7="First Photons",POWER(Upgrades!$U$7,F79),1)*IF(Upgrades!$T$8="First Photons",POWER(Upgrades!$U$8,G79),1)*IF(Upgrades!$T$9="First Photons",POWER(Upgrades!$U$9,H79),1)*IF(Upgrades!$T$10="First Photons",POWER(Upgrades!$U$10,I79),1)*IF(Upgrades!$T$11="First Photons",POWER(Upgrades!$U$11,J79),1)))*POWER(Upgrades!$P$6,E79)*POWER(Upgrades!$P$7,F79)*POWER(Upgrades!$P$8,G79)*POWER(Upgrades!$P$9,H79)*POWER(Upgrades!$P$10,I79)*POWER(Upgrades!$P$11,J79)*POWER(Upgrades!$P$12,K79)</f>
        <v/>
      </c>
      <c r="O79" s="28">
        <f>((IF(E79=0,0,(Upgrades!$M$6+E79*Upgrades!$N$6)*POWER(Upgrades!$O$6,E79)))*(IF(Upgrades!$T$7="Solar Wind",POWER(Upgrades!$U$7,F79),1)*IF(Upgrades!$T$8="Solar Wind",POWER(Upgrades!$U$8,G79),1)*IF(Upgrades!$T$9="Solar Wind",POWER(Upgrades!$U$9,H79),1)*IF(Upgrades!$T$10="Solar Wind",POWER(Upgrades!$U$10,I79),1)*IF(Upgrades!$T$11="Solar Wind",POWER(Upgrades!$U$11,J79),1)*IF(Upgrades!$T$12="Solar Wind",POWER(Upgrades!$U$12,K79),1))+(IF(F79=0,0,(Upgrades!$M$7+F79*Upgrades!$N$7)*POWER(Upgrades!$O$7,F79)))*(IF(Upgrades!$T$6="Asteroid Belt",POWER(Upgrades!$U$6,E79),1)*IF(Upgrades!$T$8="Asteroid Belt",POWER(Upgrades!$U$8,G79),1)*IF(Upgrades!$T$9="Asteroid Belt",POWER(Upgrades!$U$9,H79),1)*IF(Upgrades!$T$10="Asteroid Belt",POWER(Upgrades!$U$10,I79),1)*IF(Upgrades!$T$11="Asteroid Belt",POWER(Upgrades!$U$11,J79),1)*IF(Upgrades!$T$12="Asteroid Belt",POWER(Upgrades!$U$12,K79),1))+(IF(G79=0,0,(Upgrades!$M$8+G79*Upgrades!$N$8)*POWER(Upgrades!$O$8,G79)))*(IF(Upgrades!$T$6="Stellar Coupling",POWER(Upgrades!$U$6,E79),1)*IF(Upgrades!$T$7="Stellar Coupling",POWER(Upgrades!$U$7,F79),1)*IF(Upgrades!$T$9="Stellar Coupling",POWER(Upgrades!$U$9,H79),1)*IF(Upgrades!$T$10="Stellar Coupling",POWER(Upgrades!$U$10,I79),1)*IF(Upgrades!$T$11="Stellar Coupling",POWER(Upgrades!$U$11,J79),1)*IF(Upgrades!$T$12="Stellar Coupling",POWER(Upgrades!$U$12,K79),1))+(IF(H79=0,0,(Upgrades!$M$9+H79*Upgrades!$N$9)*POWER(Upgrades!$O$9,H79)))*(IF(Upgrades!$T$6="Magnetosphere",POWER(Upgrades!$U$6,E79),1)*IF(Upgrades!$T$7="Magnetosphere",POWER(Upgrades!$U$7,F79),1)*IF(Upgrades!$T$8="Magnetosphere",POWER(Upgrades!$U$8,G79),1)*IF(Upgrades!$T$10="Magnetosphere",POWER(Upgrades!$U$10,I79),1)*IF(Upgrades!$T$11="Magnetosphere",POWER(Upgrades!$U$11,J79),1)*IF(Upgrades!$T$12="Magnetosphere",POWER(Upgrades!$U$12,K79),1))+(IF(I79=0,0,(Upgrades!$M$10+I79*Upgrades!$N$10)*POWER(Upgrades!$O$10,I79)))*(IF(Upgrades!$T$6="Orbital Resonance",POWER(Upgrades!$U$6,E79),1)*IF(Upgrades!$T$7="Orbital Resonance",POWER(Upgrades!$U$7,F79),1)*IF(Upgrades!$T$8="Orbital Resonance",POWER(Upgrades!$U$8,G79),1)*IF(Upgrades!$T$9="Orbital Resonance",POWER(Upgrades!$U$9,H79),1)*IF(Upgrades!$T$11="Orbital Resonance",POWER(Upgrades!$U$11,J79),1)*IF(Upgrades!$T$12="Orbital Resonance",POWER(Upgrades!$U$12,K79),1))+(IF(J79=0,0,(Upgrades!$M$11+J79*Upgrades!$N$11)*POWER(Upgrades!$O$11,J79)))*(IF(Upgrades!$T$6="Heliopause",POWER(Upgrades!$U$6,E79),1)*IF(Upgrades!$T$7="Heliopause",POWER(Upgrades!$U$7,F79),1)*IF(Upgrades!$T$8="Heliopause",POWER(Upgrades!$U$8,G79),1)*IF(Upgrades!$T$9="Heliopause",POWER(Upgrades!$U$9,H79),1)*IF(Upgrades!$T$10="Heliopause",POWER(Upgrades!$U$10,I79),1)*IF(Upgrades!$T$12="Heliopause",POWER(Upgrades!$U$12,K79),1))+(IF(K79=0,0,(Upgrades!$M$12+K79*Upgrades!$N$12)*POWER(Upgrades!$O$12,K79)))*(IF(Upgrades!$T$6="First Photons",POWER(Upgrades!$U$6,E79),1)*IF(Upgrades!$T$7="First Photons",POWER(Upgrades!$U$7,F79),1)*IF(Upgrades!$T$8="First Photons",POWER(Upgrades!$U$8,G79),1)*IF(Upgrades!$T$9="First Photons",POWER(Upgrades!$U$9,H79),1)*IF(Upgrades!$T$10="First Photons",POWER(Upgrades!$U$10,I79),1)*IF(Upgrades!$T$11="First Photons",POWER(Upgrades!$U$11,J79),1)))*POWER(Upgrades!$R$6,E79)*POWER(Upgrades!$R$7,F79)*POWER(Upgrades!$R$8,G79)*POWER(Upgrades!$R$9,H79)*POWER(Upgrades!$R$10,I79)*POWER(Upgrades!$R$11,J79)*POWER(Upgrades!$R$12,K79)</f>
        <v/>
      </c>
      <c r="P79" s="27">
        <f>IF(L79=1,0,M79*Parameters!$B$10/60*Parameters!$B$11*10)</f>
        <v/>
      </c>
      <c r="Q79" s="27">
        <f>IF(L79=1,0,O79*M79*10)</f>
        <v/>
      </c>
      <c r="R79" s="27">
        <f>IF(L79=1,0,N79*10)</f>
        <v/>
      </c>
      <c r="S79" s="27">
        <f>P79+Q79+R79</f>
        <v/>
      </c>
      <c r="T79" s="22">
        <f>C79+S79</f>
        <v/>
      </c>
      <c r="U79" s="33">
        <f>AX79</f>
        <v/>
      </c>
      <c r="V79" s="22">
        <f>IF(U79="",0,IF(U79="transition",0,IF(U79="SW",AG79,IF(U79="AB",AH79,IF(U79="SC",AI79,IF(U79="Mag",AJ79,IF(U79="OR",AK79,IF(U79="HP",AL79,IF(U79="FP",AM79,0)))))))))</f>
        <v/>
      </c>
      <c r="W79" s="27">
        <f>IF(U79="OR",Upgrades!$F$10,IF(U79="HP",Upgrades!$F$11,IF(U79="transition",-Parameters!$B$18,0)))</f>
        <v/>
      </c>
      <c r="X79" s="22">
        <f>T79-V79</f>
        <v/>
      </c>
      <c r="Y79" s="30">
        <f>M79*Parameters!$B$10/60*Parameters!$B$11+O79*M79+N79</f>
        <v/>
      </c>
      <c r="Z79" s="34">
        <f>IF(U79="transition","→ Tier 2 (Stellar Neighborhood)",IF(U79="FP","First Photons — light begins, system quickens",IF(U79="HP","Heliopause acquired",IF(U79="OR","Orbital Resonance — passive multiplier active",IF(AND(AO79=1,L79=0,AN79&lt;&gt;1),"Cohesion ready (waiting on completionist upgrades)","")))))</f>
        <v/>
      </c>
      <c r="AA79" s="27">
        <f>(IF(E79=0,0,(Upgrades!$G$6+E79*Upgrades!$H$6)*POWER(Upgrades!$I$6,E79)))*(IF(Upgrades!$T$7="Solar Wind",POWER(Upgrades!$U$7,F79),1)*IF(Upgrades!$T$8="Solar Wind",POWER(Upgrades!$U$8,G79),1)*IF(Upgrades!$T$9="Solar Wind",POWER(Upgrades!$U$9,H79),1)*IF(Upgrades!$T$10="Solar Wind",POWER(Upgrades!$U$10,I79),1)*IF(Upgrades!$T$11="Solar Wind",POWER(Upgrades!$U$11,J79),1)*IF(Upgrades!$T$12="Solar Wind",POWER(Upgrades!$U$12,K79),1))*POWER(Upgrades!$P$6,E79)*POWER(Upgrades!$P$7,F79)*POWER(Upgrades!$P$8,G79)*POWER(Upgrades!$P$9,H79)*POWER(Upgrades!$P$10,I79)*POWER(Upgrades!$P$11,J79)*POWER(Upgrades!$P$12,K79)*60</f>
        <v/>
      </c>
      <c r="AB79" s="27">
        <f>(IF(F79=0,0,(Upgrades!$G$7+F79*Upgrades!$H$7)*POWER(Upgrades!$I$7,F79)))*(IF(Upgrades!$T$6="Asteroid Belt",POWER(Upgrades!$U$6,E79),1)*IF(Upgrades!$T$8="Asteroid Belt",POWER(Upgrades!$U$8,G79),1)*IF(Upgrades!$T$9="Asteroid Belt",POWER(Upgrades!$U$9,H79),1)*IF(Upgrades!$T$10="Asteroid Belt",POWER(Upgrades!$U$10,I79),1)*IF(Upgrades!$T$11="Asteroid Belt",POWER(Upgrades!$U$11,J79),1)*IF(Upgrades!$T$12="Asteroid Belt",POWER(Upgrades!$U$12,K79),1))*POWER(Upgrades!$P$6,E79)*POWER(Upgrades!$P$7,F79)*POWER(Upgrades!$P$8,G79)*POWER(Upgrades!$P$9,H79)*POWER(Upgrades!$P$10,I79)*POWER(Upgrades!$P$11,J79)*POWER(Upgrades!$P$12,K79)*60</f>
        <v/>
      </c>
      <c r="AC79" s="27">
        <f>(IF(G79=0,0,(Upgrades!$J$8+G79*Upgrades!$K$8)*POWER(Upgrades!$L$8,G79)))*(IF(Upgrades!$T$6="Stellar Coupling",POWER(Upgrades!$U$6,E79),1)*IF(Upgrades!$T$7="Stellar Coupling",POWER(Upgrades!$U$7,F79),1)*IF(Upgrades!$T$9="Stellar Coupling",POWER(Upgrades!$U$9,H79),1)*IF(Upgrades!$T$10="Stellar Coupling",POWER(Upgrades!$U$10,I79),1)*IF(Upgrades!$T$11="Stellar Coupling",POWER(Upgrades!$U$11,J79),1)*IF(Upgrades!$T$12="Stellar Coupling",POWER(Upgrades!$U$12,K79),1))*POWER(Upgrades!$Q$6,E79)*POWER(Upgrades!$Q$7,F79)*POWER(Upgrades!$Q$8,G79)*POWER(Upgrades!$Q$9,H79)*POWER(Upgrades!$Q$10,I79)*POWER(Upgrades!$Q$11,J79)*POWER(Upgrades!$Q$12,K79)*Parameters!$B$10*Parameters!$B$11</f>
        <v/>
      </c>
      <c r="AD79" s="27">
        <f>(IF(H79=0,0,(Upgrades!$G$9+H79*Upgrades!$H$9)*POWER(Upgrades!$I$9,H79)))*(IF(Upgrades!$T$6="Magnetosphere",POWER(Upgrades!$U$6,E79),1)*IF(Upgrades!$T$7="Magnetosphere",POWER(Upgrades!$U$7,F79),1)*IF(Upgrades!$T$8="Magnetosphere",POWER(Upgrades!$U$8,G79),1)*IF(Upgrades!$T$10="Magnetosphere",POWER(Upgrades!$U$10,I79),1)*IF(Upgrades!$T$11="Magnetosphere",POWER(Upgrades!$U$11,J79),1)*IF(Upgrades!$T$12="Magnetosphere",POWER(Upgrades!$U$12,K79),1))*POWER(Upgrades!$P$6,E79)*POWER(Upgrades!$P$7,F79)*POWER(Upgrades!$P$8,G79)*POWER(Upgrades!$P$9,H79)*POWER(Upgrades!$P$10,I79)*POWER(Upgrades!$P$11,J79)*POWER(Upgrades!$P$12,K79)*60</f>
        <v/>
      </c>
      <c r="AE79" s="27">
        <f>(IF(K79=0,0,(Upgrades!$G$12+K79*Upgrades!$H$12)*POWER(Upgrades!$I$12,K79)))*(IF(Upgrades!$T$6="First Photons",POWER(Upgrades!$U$6,E79),1)*IF(Upgrades!$T$7="First Photons",POWER(Upgrades!$U$7,F79),1)*IF(Upgrades!$T$8="First Photons",POWER(Upgrades!$U$8,G79),1)*IF(Upgrades!$T$9="First Photons",POWER(Upgrades!$U$9,H79),1)*IF(Upgrades!$T$10="First Photons",POWER(Upgrades!$U$10,I79),1)*IF(Upgrades!$T$11="First Photons",POWER(Upgrades!$U$11,J79),1))*POWER(Upgrades!$P$6,E79)*POWER(Upgrades!$P$7,F79)*POWER(Upgrades!$P$8,G79)*POWER(Upgrades!$P$9,H79)*POWER(Upgrades!$P$10,I79)*POWER(Upgrades!$P$11,J79)*POWER(Upgrades!$P$12,K79)*60</f>
        <v/>
      </c>
      <c r="AF79" s="27">
        <f>Parameters!$B$9*POWER(Upgrades!$Q$6,E79)*POWER(Upgrades!$Q$7,F79)*POWER(Upgrades!$Q$8,G79)*POWER(Upgrades!$Q$9,H79)*POWER(Upgrades!$Q$10,I79)*POWER(Upgrades!$Q$11,J79)*POWER(Upgrades!$Q$12,K79)*(Parameters!$B$10*Parameters!$B$11+O79*60)</f>
        <v/>
      </c>
      <c r="AG79" s="22">
        <f>IF(E79&gt;=Upgrades!$E$6,"",Upgrades!$C$6*POWER(Upgrades!$D$6,E79))</f>
        <v/>
      </c>
      <c r="AH79" s="22">
        <f>IF(F79&gt;=Upgrades!$E$7,"",Upgrades!$C$7*POWER(Upgrades!$D$7,F79))</f>
        <v/>
      </c>
      <c r="AI79" s="22">
        <f>IF(G79&gt;=Upgrades!$E$8,"",Upgrades!$C$8*POWER(Upgrades!$D$8,G79))</f>
        <v/>
      </c>
      <c r="AJ79" s="22">
        <f>IF(H79&gt;=Upgrades!$E$9,"",Upgrades!$C$9*POWER(Upgrades!$D$9,H79))</f>
        <v/>
      </c>
      <c r="AK79" s="22">
        <f>IF(I79&gt;=Upgrades!$E$10,"",Upgrades!$C$10*POWER(Upgrades!$D$10,I79))</f>
        <v/>
      </c>
      <c r="AL79" s="22">
        <f>IF(J79&gt;=Upgrades!$E$11,"",Upgrades!$C$11*POWER(Upgrades!$D$11,J79))</f>
        <v/>
      </c>
      <c r="AM79" s="22">
        <f>IF(K79&gt;=Upgrades!$E$12,"",Upgrades!$C$12*POWER(Upgrades!$D$12,K79))</f>
        <v/>
      </c>
      <c r="AN79" s="26">
        <f>IF(AND(D79&gt;=Parameters!$B$18,(H79&gt;=Upgrades!$E$9)*(K79&gt;=Upgrades!$E$12)=1,L79=0),1,"")</f>
        <v/>
      </c>
      <c r="AO79" s="26">
        <f>IF(AND(D79&gt;=Parameters!$B$18,L79=0),1,"")</f>
        <v/>
      </c>
      <c r="AP79" s="22">
        <f>MIN(IF(ISNUMBER(AK79),AK79,9E15),IF(ISNUMBER(AL79),AL79,9E15),IF(ISNUMBER(AM79),AM79,9E15))</f>
        <v/>
      </c>
      <c r="AQ79" s="22">
        <f>MIN(IF(ISNUMBER(AG79),AG79,9E15),IF(ISNUMBER(AH79),AH79,9E15),IF(ISNUMBER(AI79),AI79,9E15),IF(ISNUMBER(AJ79),AJ79,9E15))</f>
        <v/>
      </c>
      <c r="AR79" s="29">
        <f>IF(AW79&gt;Parameters!$B$21*(MAX(IF(AND(NOT(AND(AO79=1,AN79&lt;&gt;1)),ISNUMBER(AG79),AG79&lt;=T79),AS79,0),IF(AND(NOT(AND(AO79=1,AN79&lt;&gt;1)),ISNUMBER(AH79),AH79&lt;=T79),AT79,0),IF(AND(NOT(AND(AO79=1,AN79&lt;&gt;1)),ISNUMBER(AI79),AI79&lt;=T79),AU79,0),IF(AND(ISNUMBER(AJ79),AJ79&lt;=T79),AV79,0))),TRUE,FALSE)</f>
        <v/>
      </c>
      <c r="AS79" s="32">
        <f>IFERROR(Upgrades!$H$6*(POWER(Upgrades!$P$6,E79)*POWER(Upgrades!$P$7,F79)*POWER(Upgrades!$P$8,G79)*POWER(Upgrades!$P$9,H79)*POWER(Upgrades!$P$10,I79)*POWER(Upgrades!$P$11,J79)*POWER(Upgrades!$P$12,K79))*(IF(Upgrades!$T$7="Solar Wind",POWER(Upgrades!$U$7,F79),1)*IF(Upgrades!$T$8="Solar Wind",POWER(Upgrades!$U$8,G79),1)*IF(Upgrades!$T$9="Solar Wind",POWER(Upgrades!$U$9,H79),1)*IF(Upgrades!$T$10="Solar Wind",POWER(Upgrades!$U$10,I79),1)*IF(Upgrades!$T$11="Solar Wind",POWER(Upgrades!$U$11,J79),1)*IF(Upgrades!$T$12="Solar Wind",POWER(Upgrades!$U$12,K79),1))/AG79,0)</f>
        <v/>
      </c>
      <c r="AT79" s="32">
        <f>IFERROR(Upgrades!$H$7*(POWER(Upgrades!$P$6,E79)*POWER(Upgrades!$P$7,F79)*POWER(Upgrades!$P$8,G79)*POWER(Upgrades!$P$9,H79)*POWER(Upgrades!$P$10,I79)*POWER(Upgrades!$P$11,J79)*POWER(Upgrades!$P$12,K79))*(IF(Upgrades!$T$6="Asteroid Belt",POWER(Upgrades!$U$6,E79),1)*IF(Upgrades!$T$8="Asteroid Belt",POWER(Upgrades!$U$8,G79),1)*IF(Upgrades!$T$9="Asteroid Belt",POWER(Upgrades!$U$9,H79),1)*IF(Upgrades!$T$10="Asteroid Belt",POWER(Upgrades!$U$10,I79),1)*IF(Upgrades!$T$11="Asteroid Belt",POWER(Upgrades!$U$11,J79),1)*IF(Upgrades!$T$12="Asteroid Belt",POWER(Upgrades!$U$12,K79),1))/AH79,0)</f>
        <v/>
      </c>
      <c r="AU79" s="32">
        <f>IFERROR(Upgrades!$K$8*(POWER(Upgrades!$Q$6,E79)*POWER(Upgrades!$Q$7,F79)*POWER(Upgrades!$Q$8,G79)*POWER(Upgrades!$Q$9,H79)*POWER(Upgrades!$Q$10,I79)*POWER(Upgrades!$Q$11,J79)*POWER(Upgrades!$Q$12,K79))*(IF(Upgrades!$T$6="Stellar Coupling",POWER(Upgrades!$U$6,E79),1)*IF(Upgrades!$T$7="Stellar Coupling",POWER(Upgrades!$U$7,F79),1)*IF(Upgrades!$T$9="Stellar Coupling",POWER(Upgrades!$U$9,H79),1)*IF(Upgrades!$T$10="Stellar Coupling",POWER(Upgrades!$U$10,I79),1)*IF(Upgrades!$T$11="Stellar Coupling",POWER(Upgrades!$U$11,J79),1)*IF(Upgrades!$T$12="Stellar Coupling",POWER(Upgrades!$U$12,K79),1))*Parameters!$B$10*Parameters!$B$11/60/AI79,0)</f>
        <v/>
      </c>
      <c r="AV79" s="32">
        <f>IFERROR(Upgrades!$H$9*(POWER(Upgrades!$P$6,E79)*POWER(Upgrades!$P$7,F79)*POWER(Upgrades!$P$8,G79)*POWER(Upgrades!$P$9,H79)*POWER(Upgrades!$P$10,I79)*POWER(Upgrades!$P$11,J79)*POWER(Upgrades!$P$12,K79))*(IF(Upgrades!$T$6="Magnetosphere",POWER(Upgrades!$U$6,E79),1)*IF(Upgrades!$T$7="Magnetosphere",POWER(Upgrades!$U$7,F79),1)*IF(Upgrades!$T$8="Magnetosphere",POWER(Upgrades!$U$8,G79),1)*IF(Upgrades!$T$10="Magnetosphere",POWER(Upgrades!$U$10,I79),1)*IF(Upgrades!$T$11="Magnetosphere",POWER(Upgrades!$U$11,J79),1)*IF(Upgrades!$T$12="Magnetosphere",POWER(Upgrades!$U$12,K79),1))/AJ79,0)</f>
        <v/>
      </c>
      <c r="AW79" s="32">
        <f>MAX(IF(I79&gt;0,0,IFERROR(0.25*N79/Upgrades!$C$10,0)),IF(J79&gt;0,0,IFERROR(0.5*((IF(G79=0,0,(Upgrades!$J$8+G79*Upgrades!$K$8)*POWER(Upgrades!$L$8,G79)))*(IF(Upgrades!$T$6="Stellar Coupling",POWER(Upgrades!$U$6,E79),1)*IF(Upgrades!$T$7="Stellar Coupling",POWER(Upgrades!$U$7,F79),1)*IF(Upgrades!$T$9="Stellar Coupling",POWER(Upgrades!$U$9,H79),1)*IF(Upgrades!$T$10="Stellar Coupling",POWER(Upgrades!$U$10,I79),1)*IF(Upgrades!$T$11="Stellar Coupling",POWER(Upgrades!$U$11,J79),1)*IF(Upgrades!$T$12="Stellar Coupling",POWER(Upgrades!$U$12,K79),1))*(POWER(Upgrades!$Q$6,E79)*POWER(Upgrades!$Q$7,F79)*POWER(Upgrades!$Q$8,G79)*POWER(Upgrades!$Q$9,H79)*POWER(Upgrades!$Q$10,I79)*POWER(Upgrades!$Q$11,J79)*POWER(Upgrades!$Q$12,K79))*Parameters!$B$10*Parameters!$B$11/60)/Upgrades!$C$11,0)),IF(K79&gt;0,0,IFERROR((1.0*(POWER(Upgrades!$P$6,E79)*POWER(Upgrades!$P$7,F79)*POWER(Upgrades!$P$8,G79)*POWER(Upgrades!$P$9,H79)*POWER(Upgrades!$P$10,I79)*POWER(Upgrades!$P$11,J79)*POWER(Upgrades!$P$12,K79))+0.20*M79*Parameters!$B$10*Parameters!$B$11/60)/Upgrades!$C$12,0)),IF(AND(ISNUMBER(AG79),AG79&gt;T79),AS79,0),IF(AND(ISNUMBER(AH79),AH79&gt;T79),AT79,0),IF(AND(ISNUMBER(AI79),AI79&gt;T79),AU79,0),IF(AND(ISNUMBER(AJ79),AJ79&gt;T79),AV79,0))</f>
        <v/>
      </c>
      <c r="AX79" s="29">
        <f>IF(AN79=1,"transition",IF(MIN(IF(AND(I79=0,ISNUMBER(AK79),AK79&lt;=T79),AK79,9E15),IF(AND(J79=0,ISNUMBER(AL79),AL79&lt;=T79),AL79,9E15),IF(AND(K79=0,ISNUMBER(AM79),AM79&lt;=T79),AM79,9E15))&lt;9E15,IF(AND(AND(I79=0,ISNUMBER(AK79),AK79&lt;=T79),AK79=MIN(IF(AND(I79=0,ISNUMBER(AK79),AK79&lt;=T79),AK79,9E15),IF(AND(J79=0,ISNUMBER(AL79),AL79&lt;=T79),AL79,9E15),IF(AND(K79=0,ISNUMBER(AM79),AM79&lt;=T79),AM79,9E15))),"OR",IF(AND(AND(J79=0,ISNUMBER(AL79),AL79&lt;=T79),AL79=MIN(IF(AND(I79=0,ISNUMBER(AK79),AK79&lt;=T79),AK79,9E15),IF(AND(J79=0,ISNUMBER(AL79),AL79&lt;=T79),AL79,9E15),IF(AND(K79=0,ISNUMBER(AM79),AM79&lt;=T79),AM79,9E15))),"HP","FP")),IF(AR79=TRUE,"",IF(MAX(IF(AND(NOT(AND(AO79=1,AN79&lt;&gt;1)),ISNUMBER(AG79),AG79&lt;=T79),AS79,0),IF(AND(NOT(AND(AO79=1,AN79&lt;&gt;1)),ISNUMBER(AH79),AH79&lt;=T79),AT79,0),IF(AND(NOT(AND(AO79=1,AN79&lt;&gt;1)),ISNUMBER(AI79),AI79&lt;=T79),AU79,0),IF(AND(ISNUMBER(AJ79),AJ79&lt;=T79),AV79,0))&lt;=0,"",IF(AND(IF(AND(NOT(AND(AO79=1,AN79&lt;&gt;1)),ISNUMBER(AG79),AG79&lt;=T79),AS79,0)&gt;0,IF(AND(NOT(AND(AO79=1,AN79&lt;&gt;1)),ISNUMBER(AG79),AG79&lt;=T79),AS79,0)=MAX(IF(AND(NOT(AND(AO79=1,AN79&lt;&gt;1)),ISNUMBER(AG79),AG79&lt;=T79),AS79,0),IF(AND(NOT(AND(AO79=1,AN79&lt;&gt;1)),ISNUMBER(AH79),AH79&lt;=T79),AT79,0),IF(AND(NOT(AND(AO79=1,AN79&lt;&gt;1)),ISNUMBER(AI79),AI79&lt;=T79),AU79,0),IF(AND(ISNUMBER(AJ79),AJ79&lt;=T79),AV79,0))),"SW",IF(AND(IF(AND(NOT(AND(AO79=1,AN79&lt;&gt;1)),ISNUMBER(AH79),AH79&lt;=T79),AT79,0)&gt;0,IF(AND(NOT(AND(AO79=1,AN79&lt;&gt;1)),ISNUMBER(AH79),AH79&lt;=T79),AT79,0)=MAX(IF(AND(NOT(AND(AO79=1,AN79&lt;&gt;1)),ISNUMBER(AG79),AG79&lt;=T79),AS79,0),IF(AND(NOT(AND(AO79=1,AN79&lt;&gt;1)),ISNUMBER(AH79),AH79&lt;=T79),AT79,0),IF(AND(NOT(AND(AO79=1,AN79&lt;&gt;1)),ISNUMBER(AI79),AI79&lt;=T79),AU79,0),IF(AND(ISNUMBER(AJ79),AJ79&lt;=T79),AV79,0))),"AB",IF(AND(IF(AND(NOT(AND(AO79=1,AN79&lt;&gt;1)),ISNUMBER(AI79),AI79&lt;=T79),AU79,0)&gt;0,IF(AND(NOT(AND(AO79=1,AN79&lt;&gt;1)),ISNUMBER(AI79),AI79&lt;=T79),AU79,0)=MAX(IF(AND(NOT(AND(AO79=1,AN79&lt;&gt;1)),ISNUMBER(AG79),AG79&lt;=T79),AS79,0),IF(AND(NOT(AND(AO79=1,AN79&lt;&gt;1)),ISNUMBER(AH79),AH79&lt;=T79),AT79,0),IF(AND(NOT(AND(AO79=1,AN79&lt;&gt;1)),ISNUMBER(AI79),AI79&lt;=T79),AU79,0),IF(AND(ISNUMBER(AJ79),AJ79&lt;=T79),AV79,0))),"SC","Mag")))))))</f>
        <v/>
      </c>
    </row>
    <row r="80">
      <c r="A80" s="26" t="n">
        <v>75</v>
      </c>
      <c r="B80" s="27">
        <f>A80*10/60</f>
        <v/>
      </c>
      <c r="C80" s="22">
        <f>X79</f>
        <v/>
      </c>
      <c r="D80" s="27">
        <f>D79+W79</f>
        <v/>
      </c>
      <c r="E80" s="26">
        <f>E79+IF(U79="SW",1,0)</f>
        <v/>
      </c>
      <c r="F80" s="26">
        <f>F79+IF(U79="AB",1,0)</f>
        <v/>
      </c>
      <c r="G80" s="26">
        <f>G79+IF(U79="SC",1,0)</f>
        <v/>
      </c>
      <c r="H80" s="26">
        <f>H79+IF(U79="Mag",1,0)</f>
        <v/>
      </c>
      <c r="I80" s="26">
        <f>MAX(I79,IF(U79="OR",1,0))</f>
        <v/>
      </c>
      <c r="J80" s="26">
        <f>MAX(J79,IF(U79="HP",1,0))</f>
        <v/>
      </c>
      <c r="K80" s="26">
        <f>MAX(K79,IF(U79="FP",1,0))</f>
        <v/>
      </c>
      <c r="L80" s="26">
        <f>MAX(L79,IF(U79="transition",1,0))</f>
        <v/>
      </c>
      <c r="M80" s="28">
        <f>(Parameters!$B$9+(IF(E80=0,0,(Upgrades!$J$6+E80*Upgrades!$K$6)*POWER(Upgrades!$L$6,E80)))*(IF(Upgrades!$T$7="Solar Wind",POWER(Upgrades!$U$7,F80),1)*IF(Upgrades!$T$8="Solar Wind",POWER(Upgrades!$U$8,G80),1)*IF(Upgrades!$T$9="Solar Wind",POWER(Upgrades!$U$9,H80),1)*IF(Upgrades!$T$10="Solar Wind",POWER(Upgrades!$U$10,I80),1)*IF(Upgrades!$T$11="Solar Wind",POWER(Upgrades!$U$11,J80),1)*IF(Upgrades!$T$12="Solar Wind",POWER(Upgrades!$U$12,K80),1))+(IF(F80=0,0,(Upgrades!$J$7+F80*Upgrades!$K$7)*POWER(Upgrades!$L$7,F80)))*(IF(Upgrades!$T$6="Asteroid Belt",POWER(Upgrades!$U$6,E80),1)*IF(Upgrades!$T$8="Asteroid Belt",POWER(Upgrades!$U$8,G80),1)*IF(Upgrades!$T$9="Asteroid Belt",POWER(Upgrades!$U$9,H80),1)*IF(Upgrades!$T$10="Asteroid Belt",POWER(Upgrades!$U$10,I80),1)*IF(Upgrades!$T$11="Asteroid Belt",POWER(Upgrades!$U$11,J80),1)*IF(Upgrades!$T$12="Asteroid Belt",POWER(Upgrades!$U$12,K80),1))+(IF(G80=0,0,(Upgrades!$J$8+G80*Upgrades!$K$8)*POWER(Upgrades!$L$8,G80)))*(IF(Upgrades!$T$6="Stellar Coupling",POWER(Upgrades!$U$6,E80),1)*IF(Upgrades!$T$7="Stellar Coupling",POWER(Upgrades!$U$7,F80),1)*IF(Upgrades!$T$9="Stellar Coupling",POWER(Upgrades!$U$9,H80),1)*IF(Upgrades!$T$10="Stellar Coupling",POWER(Upgrades!$U$10,I80),1)*IF(Upgrades!$T$11="Stellar Coupling",POWER(Upgrades!$U$11,J80),1)*IF(Upgrades!$T$12="Stellar Coupling",POWER(Upgrades!$U$12,K80),1))+(IF(H80=0,0,(Upgrades!$J$9+H80*Upgrades!$K$9)*POWER(Upgrades!$L$9,H80)))*(IF(Upgrades!$T$6="Magnetosphere",POWER(Upgrades!$U$6,E80),1)*IF(Upgrades!$T$7="Magnetosphere",POWER(Upgrades!$U$7,F80),1)*IF(Upgrades!$T$8="Magnetosphere",POWER(Upgrades!$U$8,G80),1)*IF(Upgrades!$T$10="Magnetosphere",POWER(Upgrades!$U$10,I80),1)*IF(Upgrades!$T$11="Magnetosphere",POWER(Upgrades!$U$11,J80),1)*IF(Upgrades!$T$12="Magnetosphere",POWER(Upgrades!$U$12,K80),1))+(IF(I80=0,0,(Upgrades!$J$10+I80*Upgrades!$K$10)*POWER(Upgrades!$L$10,I80)))*(IF(Upgrades!$T$6="Orbital Resonance",POWER(Upgrades!$U$6,E80),1)*IF(Upgrades!$T$7="Orbital Resonance",POWER(Upgrades!$U$7,F80),1)*IF(Upgrades!$T$8="Orbital Resonance",POWER(Upgrades!$U$8,G80),1)*IF(Upgrades!$T$9="Orbital Resonance",POWER(Upgrades!$U$9,H80),1)*IF(Upgrades!$T$11="Orbital Resonance",POWER(Upgrades!$U$11,J80),1)*IF(Upgrades!$T$12="Orbital Resonance",POWER(Upgrades!$U$12,K80),1))+(IF(J80=0,0,(Upgrades!$J$11+J80*Upgrades!$K$11)*POWER(Upgrades!$L$11,J80)))*(IF(Upgrades!$T$6="Heliopause",POWER(Upgrades!$U$6,E80),1)*IF(Upgrades!$T$7="Heliopause",POWER(Upgrades!$U$7,F80),1)*IF(Upgrades!$T$8="Heliopause",POWER(Upgrades!$U$8,G80),1)*IF(Upgrades!$T$9="Heliopause",POWER(Upgrades!$U$9,H80),1)*IF(Upgrades!$T$10="Heliopause",POWER(Upgrades!$U$10,I80),1)*IF(Upgrades!$T$12="Heliopause",POWER(Upgrades!$U$12,K80),1))+(IF(K80=0,0,(Upgrades!$J$12+K80*Upgrades!$K$12)*POWER(Upgrades!$L$12,K80)))*(IF(Upgrades!$T$6="First Photons",POWER(Upgrades!$U$6,E80),1)*IF(Upgrades!$T$7="First Photons",POWER(Upgrades!$U$7,F80),1)*IF(Upgrades!$T$8="First Photons",POWER(Upgrades!$U$8,G80),1)*IF(Upgrades!$T$9="First Photons",POWER(Upgrades!$U$9,H80),1)*IF(Upgrades!$T$10="First Photons",POWER(Upgrades!$U$10,I80),1)*IF(Upgrades!$T$11="First Photons",POWER(Upgrades!$U$11,J80),1)))*POWER(Upgrades!$Q$6,E80)*POWER(Upgrades!$Q$7,F80)*POWER(Upgrades!$Q$8,G80)*POWER(Upgrades!$Q$9,H80)*POWER(Upgrades!$Q$10,I80)*POWER(Upgrades!$Q$11,J80)*POWER(Upgrades!$Q$12,K80)</f>
        <v/>
      </c>
      <c r="N80" s="28">
        <f>((IF(E80=0,0,(Upgrades!$G$6+E80*Upgrades!$H$6)*POWER(Upgrades!$I$6,E80)))*(IF(Upgrades!$T$7="Solar Wind",POWER(Upgrades!$U$7,F80),1)*IF(Upgrades!$T$8="Solar Wind",POWER(Upgrades!$U$8,G80),1)*IF(Upgrades!$T$9="Solar Wind",POWER(Upgrades!$U$9,H80),1)*IF(Upgrades!$T$10="Solar Wind",POWER(Upgrades!$U$10,I80),1)*IF(Upgrades!$T$11="Solar Wind",POWER(Upgrades!$U$11,J80),1)*IF(Upgrades!$T$12="Solar Wind",POWER(Upgrades!$U$12,K80),1))+(IF(F80=0,0,(Upgrades!$G$7+F80*Upgrades!$H$7)*POWER(Upgrades!$I$7,F80)))*(IF(Upgrades!$T$6="Asteroid Belt",POWER(Upgrades!$U$6,E80),1)*IF(Upgrades!$T$8="Asteroid Belt",POWER(Upgrades!$U$8,G80),1)*IF(Upgrades!$T$9="Asteroid Belt",POWER(Upgrades!$U$9,H80),1)*IF(Upgrades!$T$10="Asteroid Belt",POWER(Upgrades!$U$10,I80),1)*IF(Upgrades!$T$11="Asteroid Belt",POWER(Upgrades!$U$11,J80),1)*IF(Upgrades!$T$12="Asteroid Belt",POWER(Upgrades!$U$12,K80),1))+(IF(G80=0,0,(Upgrades!$G$8+G80*Upgrades!$H$8)*POWER(Upgrades!$I$8,G80)))*(IF(Upgrades!$T$6="Stellar Coupling",POWER(Upgrades!$U$6,E80),1)*IF(Upgrades!$T$7="Stellar Coupling",POWER(Upgrades!$U$7,F80),1)*IF(Upgrades!$T$9="Stellar Coupling",POWER(Upgrades!$U$9,H80),1)*IF(Upgrades!$T$10="Stellar Coupling",POWER(Upgrades!$U$10,I80),1)*IF(Upgrades!$T$11="Stellar Coupling",POWER(Upgrades!$U$11,J80),1)*IF(Upgrades!$T$12="Stellar Coupling",POWER(Upgrades!$U$12,K80),1))+(IF(H80=0,0,(Upgrades!$G$9+H80*Upgrades!$H$9)*POWER(Upgrades!$I$9,H80)))*(IF(Upgrades!$T$6="Magnetosphere",POWER(Upgrades!$U$6,E80),1)*IF(Upgrades!$T$7="Magnetosphere",POWER(Upgrades!$U$7,F80),1)*IF(Upgrades!$T$8="Magnetosphere",POWER(Upgrades!$U$8,G80),1)*IF(Upgrades!$T$10="Magnetosphere",POWER(Upgrades!$U$10,I80),1)*IF(Upgrades!$T$11="Magnetosphere",POWER(Upgrades!$U$11,J80),1)*IF(Upgrades!$T$12="Magnetosphere",POWER(Upgrades!$U$12,K80),1))+(IF(I80=0,0,(Upgrades!$G$10+I80*Upgrades!$H$10)*POWER(Upgrades!$I$10,I80)))*(IF(Upgrades!$T$6="Orbital Resonance",POWER(Upgrades!$U$6,E80),1)*IF(Upgrades!$T$7="Orbital Resonance",POWER(Upgrades!$U$7,F80),1)*IF(Upgrades!$T$8="Orbital Resonance",POWER(Upgrades!$U$8,G80),1)*IF(Upgrades!$T$9="Orbital Resonance",POWER(Upgrades!$U$9,H80),1)*IF(Upgrades!$T$11="Orbital Resonance",POWER(Upgrades!$U$11,J80),1)*IF(Upgrades!$T$12="Orbital Resonance",POWER(Upgrades!$U$12,K80),1))+(IF(J80=0,0,(Upgrades!$G$11+J80*Upgrades!$H$11)*POWER(Upgrades!$I$11,J80)))*(IF(Upgrades!$T$6="Heliopause",POWER(Upgrades!$U$6,E80),1)*IF(Upgrades!$T$7="Heliopause",POWER(Upgrades!$U$7,F80),1)*IF(Upgrades!$T$8="Heliopause",POWER(Upgrades!$U$8,G80),1)*IF(Upgrades!$T$9="Heliopause",POWER(Upgrades!$U$9,H80),1)*IF(Upgrades!$T$10="Heliopause",POWER(Upgrades!$U$10,I80),1)*IF(Upgrades!$T$12="Heliopause",POWER(Upgrades!$U$12,K80),1))+(IF(K80=0,0,(Upgrades!$G$12+K80*Upgrades!$H$12)*POWER(Upgrades!$I$12,K80)))*(IF(Upgrades!$T$6="First Photons",POWER(Upgrades!$U$6,E80),1)*IF(Upgrades!$T$7="First Photons",POWER(Upgrades!$U$7,F80),1)*IF(Upgrades!$T$8="First Photons",POWER(Upgrades!$U$8,G80),1)*IF(Upgrades!$T$9="First Photons",POWER(Upgrades!$U$9,H80),1)*IF(Upgrades!$T$10="First Photons",POWER(Upgrades!$U$10,I80),1)*IF(Upgrades!$T$11="First Photons",POWER(Upgrades!$U$11,J80),1)))*POWER(Upgrades!$P$6,E80)*POWER(Upgrades!$P$7,F80)*POWER(Upgrades!$P$8,G80)*POWER(Upgrades!$P$9,H80)*POWER(Upgrades!$P$10,I80)*POWER(Upgrades!$P$11,J80)*POWER(Upgrades!$P$12,K80)</f>
        <v/>
      </c>
      <c r="O80" s="28">
        <f>((IF(E80=0,0,(Upgrades!$M$6+E80*Upgrades!$N$6)*POWER(Upgrades!$O$6,E80)))*(IF(Upgrades!$T$7="Solar Wind",POWER(Upgrades!$U$7,F80),1)*IF(Upgrades!$T$8="Solar Wind",POWER(Upgrades!$U$8,G80),1)*IF(Upgrades!$T$9="Solar Wind",POWER(Upgrades!$U$9,H80),1)*IF(Upgrades!$T$10="Solar Wind",POWER(Upgrades!$U$10,I80),1)*IF(Upgrades!$T$11="Solar Wind",POWER(Upgrades!$U$11,J80),1)*IF(Upgrades!$T$12="Solar Wind",POWER(Upgrades!$U$12,K80),1))+(IF(F80=0,0,(Upgrades!$M$7+F80*Upgrades!$N$7)*POWER(Upgrades!$O$7,F80)))*(IF(Upgrades!$T$6="Asteroid Belt",POWER(Upgrades!$U$6,E80),1)*IF(Upgrades!$T$8="Asteroid Belt",POWER(Upgrades!$U$8,G80),1)*IF(Upgrades!$T$9="Asteroid Belt",POWER(Upgrades!$U$9,H80),1)*IF(Upgrades!$T$10="Asteroid Belt",POWER(Upgrades!$U$10,I80),1)*IF(Upgrades!$T$11="Asteroid Belt",POWER(Upgrades!$U$11,J80),1)*IF(Upgrades!$T$12="Asteroid Belt",POWER(Upgrades!$U$12,K80),1))+(IF(G80=0,0,(Upgrades!$M$8+G80*Upgrades!$N$8)*POWER(Upgrades!$O$8,G80)))*(IF(Upgrades!$T$6="Stellar Coupling",POWER(Upgrades!$U$6,E80),1)*IF(Upgrades!$T$7="Stellar Coupling",POWER(Upgrades!$U$7,F80),1)*IF(Upgrades!$T$9="Stellar Coupling",POWER(Upgrades!$U$9,H80),1)*IF(Upgrades!$T$10="Stellar Coupling",POWER(Upgrades!$U$10,I80),1)*IF(Upgrades!$T$11="Stellar Coupling",POWER(Upgrades!$U$11,J80),1)*IF(Upgrades!$T$12="Stellar Coupling",POWER(Upgrades!$U$12,K80),1))+(IF(H80=0,0,(Upgrades!$M$9+H80*Upgrades!$N$9)*POWER(Upgrades!$O$9,H80)))*(IF(Upgrades!$T$6="Magnetosphere",POWER(Upgrades!$U$6,E80),1)*IF(Upgrades!$T$7="Magnetosphere",POWER(Upgrades!$U$7,F80),1)*IF(Upgrades!$T$8="Magnetosphere",POWER(Upgrades!$U$8,G80),1)*IF(Upgrades!$T$10="Magnetosphere",POWER(Upgrades!$U$10,I80),1)*IF(Upgrades!$T$11="Magnetosphere",POWER(Upgrades!$U$11,J80),1)*IF(Upgrades!$T$12="Magnetosphere",POWER(Upgrades!$U$12,K80),1))+(IF(I80=0,0,(Upgrades!$M$10+I80*Upgrades!$N$10)*POWER(Upgrades!$O$10,I80)))*(IF(Upgrades!$T$6="Orbital Resonance",POWER(Upgrades!$U$6,E80),1)*IF(Upgrades!$T$7="Orbital Resonance",POWER(Upgrades!$U$7,F80),1)*IF(Upgrades!$T$8="Orbital Resonance",POWER(Upgrades!$U$8,G80),1)*IF(Upgrades!$T$9="Orbital Resonance",POWER(Upgrades!$U$9,H80),1)*IF(Upgrades!$T$11="Orbital Resonance",POWER(Upgrades!$U$11,J80),1)*IF(Upgrades!$T$12="Orbital Resonance",POWER(Upgrades!$U$12,K80),1))+(IF(J80=0,0,(Upgrades!$M$11+J80*Upgrades!$N$11)*POWER(Upgrades!$O$11,J80)))*(IF(Upgrades!$T$6="Heliopause",POWER(Upgrades!$U$6,E80),1)*IF(Upgrades!$T$7="Heliopause",POWER(Upgrades!$U$7,F80),1)*IF(Upgrades!$T$8="Heliopause",POWER(Upgrades!$U$8,G80),1)*IF(Upgrades!$T$9="Heliopause",POWER(Upgrades!$U$9,H80),1)*IF(Upgrades!$T$10="Heliopause",POWER(Upgrades!$U$10,I80),1)*IF(Upgrades!$T$12="Heliopause",POWER(Upgrades!$U$12,K80),1))+(IF(K80=0,0,(Upgrades!$M$12+K80*Upgrades!$N$12)*POWER(Upgrades!$O$12,K80)))*(IF(Upgrades!$T$6="First Photons",POWER(Upgrades!$U$6,E80),1)*IF(Upgrades!$T$7="First Photons",POWER(Upgrades!$U$7,F80),1)*IF(Upgrades!$T$8="First Photons",POWER(Upgrades!$U$8,G80),1)*IF(Upgrades!$T$9="First Photons",POWER(Upgrades!$U$9,H80),1)*IF(Upgrades!$T$10="First Photons",POWER(Upgrades!$U$10,I80),1)*IF(Upgrades!$T$11="First Photons",POWER(Upgrades!$U$11,J80),1)))*POWER(Upgrades!$R$6,E80)*POWER(Upgrades!$R$7,F80)*POWER(Upgrades!$R$8,G80)*POWER(Upgrades!$R$9,H80)*POWER(Upgrades!$R$10,I80)*POWER(Upgrades!$R$11,J80)*POWER(Upgrades!$R$12,K80)</f>
        <v/>
      </c>
      <c r="P80" s="27">
        <f>IF(L80=1,0,M80*Parameters!$B$10/60*Parameters!$B$11*10)</f>
        <v/>
      </c>
      <c r="Q80" s="27">
        <f>IF(L80=1,0,O80*M80*10)</f>
        <v/>
      </c>
      <c r="R80" s="27">
        <f>IF(L80=1,0,N80*10)</f>
        <v/>
      </c>
      <c r="S80" s="27">
        <f>P80+Q80+R80</f>
        <v/>
      </c>
      <c r="T80" s="22">
        <f>C80+S80</f>
        <v/>
      </c>
      <c r="U80" s="33">
        <f>AX80</f>
        <v/>
      </c>
      <c r="V80" s="22">
        <f>IF(U80="",0,IF(U80="transition",0,IF(U80="SW",AG80,IF(U80="AB",AH80,IF(U80="SC",AI80,IF(U80="Mag",AJ80,IF(U80="OR",AK80,IF(U80="HP",AL80,IF(U80="FP",AM80,0)))))))))</f>
        <v/>
      </c>
      <c r="W80" s="27">
        <f>IF(U80="OR",Upgrades!$F$10,IF(U80="HP",Upgrades!$F$11,IF(U80="transition",-Parameters!$B$18,0)))</f>
        <v/>
      </c>
      <c r="X80" s="22">
        <f>T80-V80</f>
        <v/>
      </c>
      <c r="Y80" s="30">
        <f>M80*Parameters!$B$10/60*Parameters!$B$11+O80*M80+N80</f>
        <v/>
      </c>
      <c r="Z80" s="34">
        <f>IF(U80="transition","→ Tier 2 (Stellar Neighborhood)",IF(U80="FP","First Photons — light begins, system quickens",IF(U80="HP","Heliopause acquired",IF(U80="OR","Orbital Resonance — passive multiplier active",IF(AND(AO80=1,L80=0,AN80&lt;&gt;1),"Cohesion ready (waiting on completionist upgrades)","")))))</f>
        <v/>
      </c>
      <c r="AA80" s="27">
        <f>(IF(E80=0,0,(Upgrades!$G$6+E80*Upgrades!$H$6)*POWER(Upgrades!$I$6,E80)))*(IF(Upgrades!$T$7="Solar Wind",POWER(Upgrades!$U$7,F80),1)*IF(Upgrades!$T$8="Solar Wind",POWER(Upgrades!$U$8,G80),1)*IF(Upgrades!$T$9="Solar Wind",POWER(Upgrades!$U$9,H80),1)*IF(Upgrades!$T$10="Solar Wind",POWER(Upgrades!$U$10,I80),1)*IF(Upgrades!$T$11="Solar Wind",POWER(Upgrades!$U$11,J80),1)*IF(Upgrades!$T$12="Solar Wind",POWER(Upgrades!$U$12,K80),1))*POWER(Upgrades!$P$6,E80)*POWER(Upgrades!$P$7,F80)*POWER(Upgrades!$P$8,G80)*POWER(Upgrades!$P$9,H80)*POWER(Upgrades!$P$10,I80)*POWER(Upgrades!$P$11,J80)*POWER(Upgrades!$P$12,K80)*60</f>
        <v/>
      </c>
      <c r="AB80" s="27">
        <f>(IF(F80=0,0,(Upgrades!$G$7+F80*Upgrades!$H$7)*POWER(Upgrades!$I$7,F80)))*(IF(Upgrades!$T$6="Asteroid Belt",POWER(Upgrades!$U$6,E80),1)*IF(Upgrades!$T$8="Asteroid Belt",POWER(Upgrades!$U$8,G80),1)*IF(Upgrades!$T$9="Asteroid Belt",POWER(Upgrades!$U$9,H80),1)*IF(Upgrades!$T$10="Asteroid Belt",POWER(Upgrades!$U$10,I80),1)*IF(Upgrades!$T$11="Asteroid Belt",POWER(Upgrades!$U$11,J80),1)*IF(Upgrades!$T$12="Asteroid Belt",POWER(Upgrades!$U$12,K80),1))*POWER(Upgrades!$P$6,E80)*POWER(Upgrades!$P$7,F80)*POWER(Upgrades!$P$8,G80)*POWER(Upgrades!$P$9,H80)*POWER(Upgrades!$P$10,I80)*POWER(Upgrades!$P$11,J80)*POWER(Upgrades!$P$12,K80)*60</f>
        <v/>
      </c>
      <c r="AC80" s="27">
        <f>(IF(G80=0,0,(Upgrades!$J$8+G80*Upgrades!$K$8)*POWER(Upgrades!$L$8,G80)))*(IF(Upgrades!$T$6="Stellar Coupling",POWER(Upgrades!$U$6,E80),1)*IF(Upgrades!$T$7="Stellar Coupling",POWER(Upgrades!$U$7,F80),1)*IF(Upgrades!$T$9="Stellar Coupling",POWER(Upgrades!$U$9,H80),1)*IF(Upgrades!$T$10="Stellar Coupling",POWER(Upgrades!$U$10,I80),1)*IF(Upgrades!$T$11="Stellar Coupling",POWER(Upgrades!$U$11,J80),1)*IF(Upgrades!$T$12="Stellar Coupling",POWER(Upgrades!$U$12,K80),1))*POWER(Upgrades!$Q$6,E80)*POWER(Upgrades!$Q$7,F80)*POWER(Upgrades!$Q$8,G80)*POWER(Upgrades!$Q$9,H80)*POWER(Upgrades!$Q$10,I80)*POWER(Upgrades!$Q$11,J80)*POWER(Upgrades!$Q$12,K80)*Parameters!$B$10*Parameters!$B$11</f>
        <v/>
      </c>
      <c r="AD80" s="27">
        <f>(IF(H80=0,0,(Upgrades!$G$9+H80*Upgrades!$H$9)*POWER(Upgrades!$I$9,H80)))*(IF(Upgrades!$T$6="Magnetosphere",POWER(Upgrades!$U$6,E80),1)*IF(Upgrades!$T$7="Magnetosphere",POWER(Upgrades!$U$7,F80),1)*IF(Upgrades!$T$8="Magnetosphere",POWER(Upgrades!$U$8,G80),1)*IF(Upgrades!$T$10="Magnetosphere",POWER(Upgrades!$U$10,I80),1)*IF(Upgrades!$T$11="Magnetosphere",POWER(Upgrades!$U$11,J80),1)*IF(Upgrades!$T$12="Magnetosphere",POWER(Upgrades!$U$12,K80),1))*POWER(Upgrades!$P$6,E80)*POWER(Upgrades!$P$7,F80)*POWER(Upgrades!$P$8,G80)*POWER(Upgrades!$P$9,H80)*POWER(Upgrades!$P$10,I80)*POWER(Upgrades!$P$11,J80)*POWER(Upgrades!$P$12,K80)*60</f>
        <v/>
      </c>
      <c r="AE80" s="27">
        <f>(IF(K80=0,0,(Upgrades!$G$12+K80*Upgrades!$H$12)*POWER(Upgrades!$I$12,K80)))*(IF(Upgrades!$T$6="First Photons",POWER(Upgrades!$U$6,E80),1)*IF(Upgrades!$T$7="First Photons",POWER(Upgrades!$U$7,F80),1)*IF(Upgrades!$T$8="First Photons",POWER(Upgrades!$U$8,G80),1)*IF(Upgrades!$T$9="First Photons",POWER(Upgrades!$U$9,H80),1)*IF(Upgrades!$T$10="First Photons",POWER(Upgrades!$U$10,I80),1)*IF(Upgrades!$T$11="First Photons",POWER(Upgrades!$U$11,J80),1))*POWER(Upgrades!$P$6,E80)*POWER(Upgrades!$P$7,F80)*POWER(Upgrades!$P$8,G80)*POWER(Upgrades!$P$9,H80)*POWER(Upgrades!$P$10,I80)*POWER(Upgrades!$P$11,J80)*POWER(Upgrades!$P$12,K80)*60</f>
        <v/>
      </c>
      <c r="AF80" s="27">
        <f>Parameters!$B$9*POWER(Upgrades!$Q$6,E80)*POWER(Upgrades!$Q$7,F80)*POWER(Upgrades!$Q$8,G80)*POWER(Upgrades!$Q$9,H80)*POWER(Upgrades!$Q$10,I80)*POWER(Upgrades!$Q$11,J80)*POWER(Upgrades!$Q$12,K80)*(Parameters!$B$10*Parameters!$B$11+O80*60)</f>
        <v/>
      </c>
      <c r="AG80" s="22">
        <f>IF(E80&gt;=Upgrades!$E$6,"",Upgrades!$C$6*POWER(Upgrades!$D$6,E80))</f>
        <v/>
      </c>
      <c r="AH80" s="22">
        <f>IF(F80&gt;=Upgrades!$E$7,"",Upgrades!$C$7*POWER(Upgrades!$D$7,F80))</f>
        <v/>
      </c>
      <c r="AI80" s="22">
        <f>IF(G80&gt;=Upgrades!$E$8,"",Upgrades!$C$8*POWER(Upgrades!$D$8,G80))</f>
        <v/>
      </c>
      <c r="AJ80" s="22">
        <f>IF(H80&gt;=Upgrades!$E$9,"",Upgrades!$C$9*POWER(Upgrades!$D$9,H80))</f>
        <v/>
      </c>
      <c r="AK80" s="22">
        <f>IF(I80&gt;=Upgrades!$E$10,"",Upgrades!$C$10*POWER(Upgrades!$D$10,I80))</f>
        <v/>
      </c>
      <c r="AL80" s="22">
        <f>IF(J80&gt;=Upgrades!$E$11,"",Upgrades!$C$11*POWER(Upgrades!$D$11,J80))</f>
        <v/>
      </c>
      <c r="AM80" s="22">
        <f>IF(K80&gt;=Upgrades!$E$12,"",Upgrades!$C$12*POWER(Upgrades!$D$12,K80))</f>
        <v/>
      </c>
      <c r="AN80" s="26">
        <f>IF(AND(D80&gt;=Parameters!$B$18,(H80&gt;=Upgrades!$E$9)*(K80&gt;=Upgrades!$E$12)=1,L80=0),1,"")</f>
        <v/>
      </c>
      <c r="AO80" s="26">
        <f>IF(AND(D80&gt;=Parameters!$B$18,L80=0),1,"")</f>
        <v/>
      </c>
      <c r="AP80" s="22">
        <f>MIN(IF(ISNUMBER(AK80),AK80,9E15),IF(ISNUMBER(AL80),AL80,9E15),IF(ISNUMBER(AM80),AM80,9E15))</f>
        <v/>
      </c>
      <c r="AQ80" s="22">
        <f>MIN(IF(ISNUMBER(AG80),AG80,9E15),IF(ISNUMBER(AH80),AH80,9E15),IF(ISNUMBER(AI80),AI80,9E15),IF(ISNUMBER(AJ80),AJ80,9E15))</f>
        <v/>
      </c>
      <c r="AR80" s="29">
        <f>IF(AW80&gt;Parameters!$B$21*(MAX(IF(AND(NOT(AND(AO80=1,AN80&lt;&gt;1)),ISNUMBER(AG80),AG80&lt;=T80),AS80,0),IF(AND(NOT(AND(AO80=1,AN80&lt;&gt;1)),ISNUMBER(AH80),AH80&lt;=T80),AT80,0),IF(AND(NOT(AND(AO80=1,AN80&lt;&gt;1)),ISNUMBER(AI80),AI80&lt;=T80),AU80,0),IF(AND(ISNUMBER(AJ80),AJ80&lt;=T80),AV80,0))),TRUE,FALSE)</f>
        <v/>
      </c>
      <c r="AS80" s="32">
        <f>IFERROR(Upgrades!$H$6*(POWER(Upgrades!$P$6,E80)*POWER(Upgrades!$P$7,F80)*POWER(Upgrades!$P$8,G80)*POWER(Upgrades!$P$9,H80)*POWER(Upgrades!$P$10,I80)*POWER(Upgrades!$P$11,J80)*POWER(Upgrades!$P$12,K80))*(IF(Upgrades!$T$7="Solar Wind",POWER(Upgrades!$U$7,F80),1)*IF(Upgrades!$T$8="Solar Wind",POWER(Upgrades!$U$8,G80),1)*IF(Upgrades!$T$9="Solar Wind",POWER(Upgrades!$U$9,H80),1)*IF(Upgrades!$T$10="Solar Wind",POWER(Upgrades!$U$10,I80),1)*IF(Upgrades!$T$11="Solar Wind",POWER(Upgrades!$U$11,J80),1)*IF(Upgrades!$T$12="Solar Wind",POWER(Upgrades!$U$12,K80),1))/AG80,0)</f>
        <v/>
      </c>
      <c r="AT80" s="32">
        <f>IFERROR(Upgrades!$H$7*(POWER(Upgrades!$P$6,E80)*POWER(Upgrades!$P$7,F80)*POWER(Upgrades!$P$8,G80)*POWER(Upgrades!$P$9,H80)*POWER(Upgrades!$P$10,I80)*POWER(Upgrades!$P$11,J80)*POWER(Upgrades!$P$12,K80))*(IF(Upgrades!$T$6="Asteroid Belt",POWER(Upgrades!$U$6,E80),1)*IF(Upgrades!$T$8="Asteroid Belt",POWER(Upgrades!$U$8,G80),1)*IF(Upgrades!$T$9="Asteroid Belt",POWER(Upgrades!$U$9,H80),1)*IF(Upgrades!$T$10="Asteroid Belt",POWER(Upgrades!$U$10,I80),1)*IF(Upgrades!$T$11="Asteroid Belt",POWER(Upgrades!$U$11,J80),1)*IF(Upgrades!$T$12="Asteroid Belt",POWER(Upgrades!$U$12,K80),1))/AH80,0)</f>
        <v/>
      </c>
      <c r="AU80" s="32">
        <f>IFERROR(Upgrades!$K$8*(POWER(Upgrades!$Q$6,E80)*POWER(Upgrades!$Q$7,F80)*POWER(Upgrades!$Q$8,G80)*POWER(Upgrades!$Q$9,H80)*POWER(Upgrades!$Q$10,I80)*POWER(Upgrades!$Q$11,J80)*POWER(Upgrades!$Q$12,K80))*(IF(Upgrades!$T$6="Stellar Coupling",POWER(Upgrades!$U$6,E80),1)*IF(Upgrades!$T$7="Stellar Coupling",POWER(Upgrades!$U$7,F80),1)*IF(Upgrades!$T$9="Stellar Coupling",POWER(Upgrades!$U$9,H80),1)*IF(Upgrades!$T$10="Stellar Coupling",POWER(Upgrades!$U$10,I80),1)*IF(Upgrades!$T$11="Stellar Coupling",POWER(Upgrades!$U$11,J80),1)*IF(Upgrades!$T$12="Stellar Coupling",POWER(Upgrades!$U$12,K80),1))*Parameters!$B$10*Parameters!$B$11/60/AI80,0)</f>
        <v/>
      </c>
      <c r="AV80" s="32">
        <f>IFERROR(Upgrades!$H$9*(POWER(Upgrades!$P$6,E80)*POWER(Upgrades!$P$7,F80)*POWER(Upgrades!$P$8,G80)*POWER(Upgrades!$P$9,H80)*POWER(Upgrades!$P$10,I80)*POWER(Upgrades!$P$11,J80)*POWER(Upgrades!$P$12,K80))*(IF(Upgrades!$T$6="Magnetosphere",POWER(Upgrades!$U$6,E80),1)*IF(Upgrades!$T$7="Magnetosphere",POWER(Upgrades!$U$7,F80),1)*IF(Upgrades!$T$8="Magnetosphere",POWER(Upgrades!$U$8,G80),1)*IF(Upgrades!$T$10="Magnetosphere",POWER(Upgrades!$U$10,I80),1)*IF(Upgrades!$T$11="Magnetosphere",POWER(Upgrades!$U$11,J80),1)*IF(Upgrades!$T$12="Magnetosphere",POWER(Upgrades!$U$12,K80),1))/AJ80,0)</f>
        <v/>
      </c>
      <c r="AW80" s="32">
        <f>MAX(IF(I80&gt;0,0,IFERROR(0.25*N80/Upgrades!$C$10,0)),IF(J80&gt;0,0,IFERROR(0.5*((IF(G80=0,0,(Upgrades!$J$8+G80*Upgrades!$K$8)*POWER(Upgrades!$L$8,G80)))*(IF(Upgrades!$T$6="Stellar Coupling",POWER(Upgrades!$U$6,E80),1)*IF(Upgrades!$T$7="Stellar Coupling",POWER(Upgrades!$U$7,F80),1)*IF(Upgrades!$T$9="Stellar Coupling",POWER(Upgrades!$U$9,H80),1)*IF(Upgrades!$T$10="Stellar Coupling",POWER(Upgrades!$U$10,I80),1)*IF(Upgrades!$T$11="Stellar Coupling",POWER(Upgrades!$U$11,J80),1)*IF(Upgrades!$T$12="Stellar Coupling",POWER(Upgrades!$U$12,K80),1))*(POWER(Upgrades!$Q$6,E80)*POWER(Upgrades!$Q$7,F80)*POWER(Upgrades!$Q$8,G80)*POWER(Upgrades!$Q$9,H80)*POWER(Upgrades!$Q$10,I80)*POWER(Upgrades!$Q$11,J80)*POWER(Upgrades!$Q$12,K80))*Parameters!$B$10*Parameters!$B$11/60)/Upgrades!$C$11,0)),IF(K80&gt;0,0,IFERROR((1.0*(POWER(Upgrades!$P$6,E80)*POWER(Upgrades!$P$7,F80)*POWER(Upgrades!$P$8,G80)*POWER(Upgrades!$P$9,H80)*POWER(Upgrades!$P$10,I80)*POWER(Upgrades!$P$11,J80)*POWER(Upgrades!$P$12,K80))+0.20*M80*Parameters!$B$10*Parameters!$B$11/60)/Upgrades!$C$12,0)),IF(AND(ISNUMBER(AG80),AG80&gt;T80),AS80,0),IF(AND(ISNUMBER(AH80),AH80&gt;T80),AT80,0),IF(AND(ISNUMBER(AI80),AI80&gt;T80),AU80,0),IF(AND(ISNUMBER(AJ80),AJ80&gt;T80),AV80,0))</f>
        <v/>
      </c>
      <c r="AX80" s="29">
        <f>IF(AN80=1,"transition",IF(MIN(IF(AND(I80=0,ISNUMBER(AK80),AK80&lt;=T80),AK80,9E15),IF(AND(J80=0,ISNUMBER(AL80),AL80&lt;=T80),AL80,9E15),IF(AND(K80=0,ISNUMBER(AM80),AM80&lt;=T80),AM80,9E15))&lt;9E15,IF(AND(AND(I80=0,ISNUMBER(AK80),AK80&lt;=T80),AK80=MIN(IF(AND(I80=0,ISNUMBER(AK80),AK80&lt;=T80),AK80,9E15),IF(AND(J80=0,ISNUMBER(AL80),AL80&lt;=T80),AL80,9E15),IF(AND(K80=0,ISNUMBER(AM80),AM80&lt;=T80),AM80,9E15))),"OR",IF(AND(AND(J80=0,ISNUMBER(AL80),AL80&lt;=T80),AL80=MIN(IF(AND(I80=0,ISNUMBER(AK80),AK80&lt;=T80),AK80,9E15),IF(AND(J80=0,ISNUMBER(AL80),AL80&lt;=T80),AL80,9E15),IF(AND(K80=0,ISNUMBER(AM80),AM80&lt;=T80),AM80,9E15))),"HP","FP")),IF(AR80=TRUE,"",IF(MAX(IF(AND(NOT(AND(AO80=1,AN80&lt;&gt;1)),ISNUMBER(AG80),AG80&lt;=T80),AS80,0),IF(AND(NOT(AND(AO80=1,AN80&lt;&gt;1)),ISNUMBER(AH80),AH80&lt;=T80),AT80,0),IF(AND(NOT(AND(AO80=1,AN80&lt;&gt;1)),ISNUMBER(AI80),AI80&lt;=T80),AU80,0),IF(AND(ISNUMBER(AJ80),AJ80&lt;=T80),AV80,0))&lt;=0,"",IF(AND(IF(AND(NOT(AND(AO80=1,AN80&lt;&gt;1)),ISNUMBER(AG80),AG80&lt;=T80),AS80,0)&gt;0,IF(AND(NOT(AND(AO80=1,AN80&lt;&gt;1)),ISNUMBER(AG80),AG80&lt;=T80),AS80,0)=MAX(IF(AND(NOT(AND(AO80=1,AN80&lt;&gt;1)),ISNUMBER(AG80),AG80&lt;=T80),AS80,0),IF(AND(NOT(AND(AO80=1,AN80&lt;&gt;1)),ISNUMBER(AH80),AH80&lt;=T80),AT80,0),IF(AND(NOT(AND(AO80=1,AN80&lt;&gt;1)),ISNUMBER(AI80),AI80&lt;=T80),AU80,0),IF(AND(ISNUMBER(AJ80),AJ80&lt;=T80),AV80,0))),"SW",IF(AND(IF(AND(NOT(AND(AO80=1,AN80&lt;&gt;1)),ISNUMBER(AH80),AH80&lt;=T80),AT80,0)&gt;0,IF(AND(NOT(AND(AO80=1,AN80&lt;&gt;1)),ISNUMBER(AH80),AH80&lt;=T80),AT80,0)=MAX(IF(AND(NOT(AND(AO80=1,AN80&lt;&gt;1)),ISNUMBER(AG80),AG80&lt;=T80),AS80,0),IF(AND(NOT(AND(AO80=1,AN80&lt;&gt;1)),ISNUMBER(AH80),AH80&lt;=T80),AT80,0),IF(AND(NOT(AND(AO80=1,AN80&lt;&gt;1)),ISNUMBER(AI80),AI80&lt;=T80),AU80,0),IF(AND(ISNUMBER(AJ80),AJ80&lt;=T80),AV80,0))),"AB",IF(AND(IF(AND(NOT(AND(AO80=1,AN80&lt;&gt;1)),ISNUMBER(AI80),AI80&lt;=T80),AU80,0)&gt;0,IF(AND(NOT(AND(AO80=1,AN80&lt;&gt;1)),ISNUMBER(AI80),AI80&lt;=T80),AU80,0)=MAX(IF(AND(NOT(AND(AO80=1,AN80&lt;&gt;1)),ISNUMBER(AG80),AG80&lt;=T80),AS80,0),IF(AND(NOT(AND(AO80=1,AN80&lt;&gt;1)),ISNUMBER(AH80),AH80&lt;=T80),AT80,0),IF(AND(NOT(AND(AO80=1,AN80&lt;&gt;1)),ISNUMBER(AI80),AI80&lt;=T80),AU80,0),IF(AND(ISNUMBER(AJ80),AJ80&lt;=T80),AV80,0))),"SC","Mag")))))))</f>
        <v/>
      </c>
    </row>
    <row r="81">
      <c r="A81" s="26" t="n">
        <v>76</v>
      </c>
      <c r="B81" s="27">
        <f>A81*10/60</f>
        <v/>
      </c>
      <c r="C81" s="22">
        <f>X80</f>
        <v/>
      </c>
      <c r="D81" s="27">
        <f>D80+W80</f>
        <v/>
      </c>
      <c r="E81" s="26">
        <f>E80+IF(U80="SW",1,0)</f>
        <v/>
      </c>
      <c r="F81" s="26">
        <f>F80+IF(U80="AB",1,0)</f>
        <v/>
      </c>
      <c r="G81" s="26">
        <f>G80+IF(U80="SC",1,0)</f>
        <v/>
      </c>
      <c r="H81" s="26">
        <f>H80+IF(U80="Mag",1,0)</f>
        <v/>
      </c>
      <c r="I81" s="26">
        <f>MAX(I80,IF(U80="OR",1,0))</f>
        <v/>
      </c>
      <c r="J81" s="26">
        <f>MAX(J80,IF(U80="HP",1,0))</f>
        <v/>
      </c>
      <c r="K81" s="26">
        <f>MAX(K80,IF(U80="FP",1,0))</f>
        <v/>
      </c>
      <c r="L81" s="26">
        <f>MAX(L80,IF(U80="transition",1,0))</f>
        <v/>
      </c>
      <c r="M81" s="28">
        <f>(Parameters!$B$9+(IF(E81=0,0,(Upgrades!$J$6+E81*Upgrades!$K$6)*POWER(Upgrades!$L$6,E81)))*(IF(Upgrades!$T$7="Solar Wind",POWER(Upgrades!$U$7,F81),1)*IF(Upgrades!$T$8="Solar Wind",POWER(Upgrades!$U$8,G81),1)*IF(Upgrades!$T$9="Solar Wind",POWER(Upgrades!$U$9,H81),1)*IF(Upgrades!$T$10="Solar Wind",POWER(Upgrades!$U$10,I81),1)*IF(Upgrades!$T$11="Solar Wind",POWER(Upgrades!$U$11,J81),1)*IF(Upgrades!$T$12="Solar Wind",POWER(Upgrades!$U$12,K81),1))+(IF(F81=0,0,(Upgrades!$J$7+F81*Upgrades!$K$7)*POWER(Upgrades!$L$7,F81)))*(IF(Upgrades!$T$6="Asteroid Belt",POWER(Upgrades!$U$6,E81),1)*IF(Upgrades!$T$8="Asteroid Belt",POWER(Upgrades!$U$8,G81),1)*IF(Upgrades!$T$9="Asteroid Belt",POWER(Upgrades!$U$9,H81),1)*IF(Upgrades!$T$10="Asteroid Belt",POWER(Upgrades!$U$10,I81),1)*IF(Upgrades!$T$11="Asteroid Belt",POWER(Upgrades!$U$11,J81),1)*IF(Upgrades!$T$12="Asteroid Belt",POWER(Upgrades!$U$12,K81),1))+(IF(G81=0,0,(Upgrades!$J$8+G81*Upgrades!$K$8)*POWER(Upgrades!$L$8,G81)))*(IF(Upgrades!$T$6="Stellar Coupling",POWER(Upgrades!$U$6,E81),1)*IF(Upgrades!$T$7="Stellar Coupling",POWER(Upgrades!$U$7,F81),1)*IF(Upgrades!$T$9="Stellar Coupling",POWER(Upgrades!$U$9,H81),1)*IF(Upgrades!$T$10="Stellar Coupling",POWER(Upgrades!$U$10,I81),1)*IF(Upgrades!$T$11="Stellar Coupling",POWER(Upgrades!$U$11,J81),1)*IF(Upgrades!$T$12="Stellar Coupling",POWER(Upgrades!$U$12,K81),1))+(IF(H81=0,0,(Upgrades!$J$9+H81*Upgrades!$K$9)*POWER(Upgrades!$L$9,H81)))*(IF(Upgrades!$T$6="Magnetosphere",POWER(Upgrades!$U$6,E81),1)*IF(Upgrades!$T$7="Magnetosphere",POWER(Upgrades!$U$7,F81),1)*IF(Upgrades!$T$8="Magnetosphere",POWER(Upgrades!$U$8,G81),1)*IF(Upgrades!$T$10="Magnetosphere",POWER(Upgrades!$U$10,I81),1)*IF(Upgrades!$T$11="Magnetosphere",POWER(Upgrades!$U$11,J81),1)*IF(Upgrades!$T$12="Magnetosphere",POWER(Upgrades!$U$12,K81),1))+(IF(I81=0,0,(Upgrades!$J$10+I81*Upgrades!$K$10)*POWER(Upgrades!$L$10,I81)))*(IF(Upgrades!$T$6="Orbital Resonance",POWER(Upgrades!$U$6,E81),1)*IF(Upgrades!$T$7="Orbital Resonance",POWER(Upgrades!$U$7,F81),1)*IF(Upgrades!$T$8="Orbital Resonance",POWER(Upgrades!$U$8,G81),1)*IF(Upgrades!$T$9="Orbital Resonance",POWER(Upgrades!$U$9,H81),1)*IF(Upgrades!$T$11="Orbital Resonance",POWER(Upgrades!$U$11,J81),1)*IF(Upgrades!$T$12="Orbital Resonance",POWER(Upgrades!$U$12,K81),1))+(IF(J81=0,0,(Upgrades!$J$11+J81*Upgrades!$K$11)*POWER(Upgrades!$L$11,J81)))*(IF(Upgrades!$T$6="Heliopause",POWER(Upgrades!$U$6,E81),1)*IF(Upgrades!$T$7="Heliopause",POWER(Upgrades!$U$7,F81),1)*IF(Upgrades!$T$8="Heliopause",POWER(Upgrades!$U$8,G81),1)*IF(Upgrades!$T$9="Heliopause",POWER(Upgrades!$U$9,H81),1)*IF(Upgrades!$T$10="Heliopause",POWER(Upgrades!$U$10,I81),1)*IF(Upgrades!$T$12="Heliopause",POWER(Upgrades!$U$12,K81),1))+(IF(K81=0,0,(Upgrades!$J$12+K81*Upgrades!$K$12)*POWER(Upgrades!$L$12,K81)))*(IF(Upgrades!$T$6="First Photons",POWER(Upgrades!$U$6,E81),1)*IF(Upgrades!$T$7="First Photons",POWER(Upgrades!$U$7,F81),1)*IF(Upgrades!$T$8="First Photons",POWER(Upgrades!$U$8,G81),1)*IF(Upgrades!$T$9="First Photons",POWER(Upgrades!$U$9,H81),1)*IF(Upgrades!$T$10="First Photons",POWER(Upgrades!$U$10,I81),1)*IF(Upgrades!$T$11="First Photons",POWER(Upgrades!$U$11,J81),1)))*POWER(Upgrades!$Q$6,E81)*POWER(Upgrades!$Q$7,F81)*POWER(Upgrades!$Q$8,G81)*POWER(Upgrades!$Q$9,H81)*POWER(Upgrades!$Q$10,I81)*POWER(Upgrades!$Q$11,J81)*POWER(Upgrades!$Q$12,K81)</f>
        <v/>
      </c>
      <c r="N81" s="28">
        <f>((IF(E81=0,0,(Upgrades!$G$6+E81*Upgrades!$H$6)*POWER(Upgrades!$I$6,E81)))*(IF(Upgrades!$T$7="Solar Wind",POWER(Upgrades!$U$7,F81),1)*IF(Upgrades!$T$8="Solar Wind",POWER(Upgrades!$U$8,G81),1)*IF(Upgrades!$T$9="Solar Wind",POWER(Upgrades!$U$9,H81),1)*IF(Upgrades!$T$10="Solar Wind",POWER(Upgrades!$U$10,I81),1)*IF(Upgrades!$T$11="Solar Wind",POWER(Upgrades!$U$11,J81),1)*IF(Upgrades!$T$12="Solar Wind",POWER(Upgrades!$U$12,K81),1))+(IF(F81=0,0,(Upgrades!$G$7+F81*Upgrades!$H$7)*POWER(Upgrades!$I$7,F81)))*(IF(Upgrades!$T$6="Asteroid Belt",POWER(Upgrades!$U$6,E81),1)*IF(Upgrades!$T$8="Asteroid Belt",POWER(Upgrades!$U$8,G81),1)*IF(Upgrades!$T$9="Asteroid Belt",POWER(Upgrades!$U$9,H81),1)*IF(Upgrades!$T$10="Asteroid Belt",POWER(Upgrades!$U$10,I81),1)*IF(Upgrades!$T$11="Asteroid Belt",POWER(Upgrades!$U$11,J81),1)*IF(Upgrades!$T$12="Asteroid Belt",POWER(Upgrades!$U$12,K81),1))+(IF(G81=0,0,(Upgrades!$G$8+G81*Upgrades!$H$8)*POWER(Upgrades!$I$8,G81)))*(IF(Upgrades!$T$6="Stellar Coupling",POWER(Upgrades!$U$6,E81),1)*IF(Upgrades!$T$7="Stellar Coupling",POWER(Upgrades!$U$7,F81),1)*IF(Upgrades!$T$9="Stellar Coupling",POWER(Upgrades!$U$9,H81),1)*IF(Upgrades!$T$10="Stellar Coupling",POWER(Upgrades!$U$10,I81),1)*IF(Upgrades!$T$11="Stellar Coupling",POWER(Upgrades!$U$11,J81),1)*IF(Upgrades!$T$12="Stellar Coupling",POWER(Upgrades!$U$12,K81),1))+(IF(H81=0,0,(Upgrades!$G$9+H81*Upgrades!$H$9)*POWER(Upgrades!$I$9,H81)))*(IF(Upgrades!$T$6="Magnetosphere",POWER(Upgrades!$U$6,E81),1)*IF(Upgrades!$T$7="Magnetosphere",POWER(Upgrades!$U$7,F81),1)*IF(Upgrades!$T$8="Magnetosphere",POWER(Upgrades!$U$8,G81),1)*IF(Upgrades!$T$10="Magnetosphere",POWER(Upgrades!$U$10,I81),1)*IF(Upgrades!$T$11="Magnetosphere",POWER(Upgrades!$U$11,J81),1)*IF(Upgrades!$T$12="Magnetosphere",POWER(Upgrades!$U$12,K81),1))+(IF(I81=0,0,(Upgrades!$G$10+I81*Upgrades!$H$10)*POWER(Upgrades!$I$10,I81)))*(IF(Upgrades!$T$6="Orbital Resonance",POWER(Upgrades!$U$6,E81),1)*IF(Upgrades!$T$7="Orbital Resonance",POWER(Upgrades!$U$7,F81),1)*IF(Upgrades!$T$8="Orbital Resonance",POWER(Upgrades!$U$8,G81),1)*IF(Upgrades!$T$9="Orbital Resonance",POWER(Upgrades!$U$9,H81),1)*IF(Upgrades!$T$11="Orbital Resonance",POWER(Upgrades!$U$11,J81),1)*IF(Upgrades!$T$12="Orbital Resonance",POWER(Upgrades!$U$12,K81),1))+(IF(J81=0,0,(Upgrades!$G$11+J81*Upgrades!$H$11)*POWER(Upgrades!$I$11,J81)))*(IF(Upgrades!$T$6="Heliopause",POWER(Upgrades!$U$6,E81),1)*IF(Upgrades!$T$7="Heliopause",POWER(Upgrades!$U$7,F81),1)*IF(Upgrades!$T$8="Heliopause",POWER(Upgrades!$U$8,G81),1)*IF(Upgrades!$T$9="Heliopause",POWER(Upgrades!$U$9,H81),1)*IF(Upgrades!$T$10="Heliopause",POWER(Upgrades!$U$10,I81),1)*IF(Upgrades!$T$12="Heliopause",POWER(Upgrades!$U$12,K81),1))+(IF(K81=0,0,(Upgrades!$G$12+K81*Upgrades!$H$12)*POWER(Upgrades!$I$12,K81)))*(IF(Upgrades!$T$6="First Photons",POWER(Upgrades!$U$6,E81),1)*IF(Upgrades!$T$7="First Photons",POWER(Upgrades!$U$7,F81),1)*IF(Upgrades!$T$8="First Photons",POWER(Upgrades!$U$8,G81),1)*IF(Upgrades!$T$9="First Photons",POWER(Upgrades!$U$9,H81),1)*IF(Upgrades!$T$10="First Photons",POWER(Upgrades!$U$10,I81),1)*IF(Upgrades!$T$11="First Photons",POWER(Upgrades!$U$11,J81),1)))*POWER(Upgrades!$P$6,E81)*POWER(Upgrades!$P$7,F81)*POWER(Upgrades!$P$8,G81)*POWER(Upgrades!$P$9,H81)*POWER(Upgrades!$P$10,I81)*POWER(Upgrades!$P$11,J81)*POWER(Upgrades!$P$12,K81)</f>
        <v/>
      </c>
      <c r="O81" s="28">
        <f>((IF(E81=0,0,(Upgrades!$M$6+E81*Upgrades!$N$6)*POWER(Upgrades!$O$6,E81)))*(IF(Upgrades!$T$7="Solar Wind",POWER(Upgrades!$U$7,F81),1)*IF(Upgrades!$T$8="Solar Wind",POWER(Upgrades!$U$8,G81),1)*IF(Upgrades!$T$9="Solar Wind",POWER(Upgrades!$U$9,H81),1)*IF(Upgrades!$T$10="Solar Wind",POWER(Upgrades!$U$10,I81),1)*IF(Upgrades!$T$11="Solar Wind",POWER(Upgrades!$U$11,J81),1)*IF(Upgrades!$T$12="Solar Wind",POWER(Upgrades!$U$12,K81),1))+(IF(F81=0,0,(Upgrades!$M$7+F81*Upgrades!$N$7)*POWER(Upgrades!$O$7,F81)))*(IF(Upgrades!$T$6="Asteroid Belt",POWER(Upgrades!$U$6,E81),1)*IF(Upgrades!$T$8="Asteroid Belt",POWER(Upgrades!$U$8,G81),1)*IF(Upgrades!$T$9="Asteroid Belt",POWER(Upgrades!$U$9,H81),1)*IF(Upgrades!$T$10="Asteroid Belt",POWER(Upgrades!$U$10,I81),1)*IF(Upgrades!$T$11="Asteroid Belt",POWER(Upgrades!$U$11,J81),1)*IF(Upgrades!$T$12="Asteroid Belt",POWER(Upgrades!$U$12,K81),1))+(IF(G81=0,0,(Upgrades!$M$8+G81*Upgrades!$N$8)*POWER(Upgrades!$O$8,G81)))*(IF(Upgrades!$T$6="Stellar Coupling",POWER(Upgrades!$U$6,E81),1)*IF(Upgrades!$T$7="Stellar Coupling",POWER(Upgrades!$U$7,F81),1)*IF(Upgrades!$T$9="Stellar Coupling",POWER(Upgrades!$U$9,H81),1)*IF(Upgrades!$T$10="Stellar Coupling",POWER(Upgrades!$U$10,I81),1)*IF(Upgrades!$T$11="Stellar Coupling",POWER(Upgrades!$U$11,J81),1)*IF(Upgrades!$T$12="Stellar Coupling",POWER(Upgrades!$U$12,K81),1))+(IF(H81=0,0,(Upgrades!$M$9+H81*Upgrades!$N$9)*POWER(Upgrades!$O$9,H81)))*(IF(Upgrades!$T$6="Magnetosphere",POWER(Upgrades!$U$6,E81),1)*IF(Upgrades!$T$7="Magnetosphere",POWER(Upgrades!$U$7,F81),1)*IF(Upgrades!$T$8="Magnetosphere",POWER(Upgrades!$U$8,G81),1)*IF(Upgrades!$T$10="Magnetosphere",POWER(Upgrades!$U$10,I81),1)*IF(Upgrades!$T$11="Magnetosphere",POWER(Upgrades!$U$11,J81),1)*IF(Upgrades!$T$12="Magnetosphere",POWER(Upgrades!$U$12,K81),1))+(IF(I81=0,0,(Upgrades!$M$10+I81*Upgrades!$N$10)*POWER(Upgrades!$O$10,I81)))*(IF(Upgrades!$T$6="Orbital Resonance",POWER(Upgrades!$U$6,E81),1)*IF(Upgrades!$T$7="Orbital Resonance",POWER(Upgrades!$U$7,F81),1)*IF(Upgrades!$T$8="Orbital Resonance",POWER(Upgrades!$U$8,G81),1)*IF(Upgrades!$T$9="Orbital Resonance",POWER(Upgrades!$U$9,H81),1)*IF(Upgrades!$T$11="Orbital Resonance",POWER(Upgrades!$U$11,J81),1)*IF(Upgrades!$T$12="Orbital Resonance",POWER(Upgrades!$U$12,K81),1))+(IF(J81=0,0,(Upgrades!$M$11+J81*Upgrades!$N$11)*POWER(Upgrades!$O$11,J81)))*(IF(Upgrades!$T$6="Heliopause",POWER(Upgrades!$U$6,E81),1)*IF(Upgrades!$T$7="Heliopause",POWER(Upgrades!$U$7,F81),1)*IF(Upgrades!$T$8="Heliopause",POWER(Upgrades!$U$8,G81),1)*IF(Upgrades!$T$9="Heliopause",POWER(Upgrades!$U$9,H81),1)*IF(Upgrades!$T$10="Heliopause",POWER(Upgrades!$U$10,I81),1)*IF(Upgrades!$T$12="Heliopause",POWER(Upgrades!$U$12,K81),1))+(IF(K81=0,0,(Upgrades!$M$12+K81*Upgrades!$N$12)*POWER(Upgrades!$O$12,K81)))*(IF(Upgrades!$T$6="First Photons",POWER(Upgrades!$U$6,E81),1)*IF(Upgrades!$T$7="First Photons",POWER(Upgrades!$U$7,F81),1)*IF(Upgrades!$T$8="First Photons",POWER(Upgrades!$U$8,G81),1)*IF(Upgrades!$T$9="First Photons",POWER(Upgrades!$U$9,H81),1)*IF(Upgrades!$T$10="First Photons",POWER(Upgrades!$U$10,I81),1)*IF(Upgrades!$T$11="First Photons",POWER(Upgrades!$U$11,J81),1)))*POWER(Upgrades!$R$6,E81)*POWER(Upgrades!$R$7,F81)*POWER(Upgrades!$R$8,G81)*POWER(Upgrades!$R$9,H81)*POWER(Upgrades!$R$10,I81)*POWER(Upgrades!$R$11,J81)*POWER(Upgrades!$R$12,K81)</f>
        <v/>
      </c>
      <c r="P81" s="27">
        <f>IF(L81=1,0,M81*Parameters!$B$10/60*Parameters!$B$11*10)</f>
        <v/>
      </c>
      <c r="Q81" s="27">
        <f>IF(L81=1,0,O81*M81*10)</f>
        <v/>
      </c>
      <c r="R81" s="27">
        <f>IF(L81=1,0,N81*10)</f>
        <v/>
      </c>
      <c r="S81" s="27">
        <f>P81+Q81+R81</f>
        <v/>
      </c>
      <c r="T81" s="22">
        <f>C81+S81</f>
        <v/>
      </c>
      <c r="U81" s="33">
        <f>AX81</f>
        <v/>
      </c>
      <c r="V81" s="22">
        <f>IF(U81="",0,IF(U81="transition",0,IF(U81="SW",AG81,IF(U81="AB",AH81,IF(U81="SC",AI81,IF(U81="Mag",AJ81,IF(U81="OR",AK81,IF(U81="HP",AL81,IF(U81="FP",AM81,0)))))))))</f>
        <v/>
      </c>
      <c r="W81" s="27">
        <f>IF(U81="OR",Upgrades!$F$10,IF(U81="HP",Upgrades!$F$11,IF(U81="transition",-Parameters!$B$18,0)))</f>
        <v/>
      </c>
      <c r="X81" s="22">
        <f>T81-V81</f>
        <v/>
      </c>
      <c r="Y81" s="30">
        <f>M81*Parameters!$B$10/60*Parameters!$B$11+O81*M81+N81</f>
        <v/>
      </c>
      <c r="Z81" s="34">
        <f>IF(U81="transition","→ Tier 2 (Stellar Neighborhood)",IF(U81="FP","First Photons — light begins, system quickens",IF(U81="HP","Heliopause acquired",IF(U81="OR","Orbital Resonance — passive multiplier active",IF(AND(AO81=1,L81=0,AN81&lt;&gt;1),"Cohesion ready (waiting on completionist upgrades)","")))))</f>
        <v/>
      </c>
      <c r="AA81" s="27">
        <f>(IF(E81=0,0,(Upgrades!$G$6+E81*Upgrades!$H$6)*POWER(Upgrades!$I$6,E81)))*(IF(Upgrades!$T$7="Solar Wind",POWER(Upgrades!$U$7,F81),1)*IF(Upgrades!$T$8="Solar Wind",POWER(Upgrades!$U$8,G81),1)*IF(Upgrades!$T$9="Solar Wind",POWER(Upgrades!$U$9,H81),1)*IF(Upgrades!$T$10="Solar Wind",POWER(Upgrades!$U$10,I81),1)*IF(Upgrades!$T$11="Solar Wind",POWER(Upgrades!$U$11,J81),1)*IF(Upgrades!$T$12="Solar Wind",POWER(Upgrades!$U$12,K81),1))*POWER(Upgrades!$P$6,E81)*POWER(Upgrades!$P$7,F81)*POWER(Upgrades!$P$8,G81)*POWER(Upgrades!$P$9,H81)*POWER(Upgrades!$P$10,I81)*POWER(Upgrades!$P$11,J81)*POWER(Upgrades!$P$12,K81)*60</f>
        <v/>
      </c>
      <c r="AB81" s="27">
        <f>(IF(F81=0,0,(Upgrades!$G$7+F81*Upgrades!$H$7)*POWER(Upgrades!$I$7,F81)))*(IF(Upgrades!$T$6="Asteroid Belt",POWER(Upgrades!$U$6,E81),1)*IF(Upgrades!$T$8="Asteroid Belt",POWER(Upgrades!$U$8,G81),1)*IF(Upgrades!$T$9="Asteroid Belt",POWER(Upgrades!$U$9,H81),1)*IF(Upgrades!$T$10="Asteroid Belt",POWER(Upgrades!$U$10,I81),1)*IF(Upgrades!$T$11="Asteroid Belt",POWER(Upgrades!$U$11,J81),1)*IF(Upgrades!$T$12="Asteroid Belt",POWER(Upgrades!$U$12,K81),1))*POWER(Upgrades!$P$6,E81)*POWER(Upgrades!$P$7,F81)*POWER(Upgrades!$P$8,G81)*POWER(Upgrades!$P$9,H81)*POWER(Upgrades!$P$10,I81)*POWER(Upgrades!$P$11,J81)*POWER(Upgrades!$P$12,K81)*60</f>
        <v/>
      </c>
      <c r="AC81" s="27">
        <f>(IF(G81=0,0,(Upgrades!$J$8+G81*Upgrades!$K$8)*POWER(Upgrades!$L$8,G81)))*(IF(Upgrades!$T$6="Stellar Coupling",POWER(Upgrades!$U$6,E81),1)*IF(Upgrades!$T$7="Stellar Coupling",POWER(Upgrades!$U$7,F81),1)*IF(Upgrades!$T$9="Stellar Coupling",POWER(Upgrades!$U$9,H81),1)*IF(Upgrades!$T$10="Stellar Coupling",POWER(Upgrades!$U$10,I81),1)*IF(Upgrades!$T$11="Stellar Coupling",POWER(Upgrades!$U$11,J81),1)*IF(Upgrades!$T$12="Stellar Coupling",POWER(Upgrades!$U$12,K81),1))*POWER(Upgrades!$Q$6,E81)*POWER(Upgrades!$Q$7,F81)*POWER(Upgrades!$Q$8,G81)*POWER(Upgrades!$Q$9,H81)*POWER(Upgrades!$Q$10,I81)*POWER(Upgrades!$Q$11,J81)*POWER(Upgrades!$Q$12,K81)*Parameters!$B$10*Parameters!$B$11</f>
        <v/>
      </c>
      <c r="AD81" s="27">
        <f>(IF(H81=0,0,(Upgrades!$G$9+H81*Upgrades!$H$9)*POWER(Upgrades!$I$9,H81)))*(IF(Upgrades!$T$6="Magnetosphere",POWER(Upgrades!$U$6,E81),1)*IF(Upgrades!$T$7="Magnetosphere",POWER(Upgrades!$U$7,F81),1)*IF(Upgrades!$T$8="Magnetosphere",POWER(Upgrades!$U$8,G81),1)*IF(Upgrades!$T$10="Magnetosphere",POWER(Upgrades!$U$10,I81),1)*IF(Upgrades!$T$11="Magnetosphere",POWER(Upgrades!$U$11,J81),1)*IF(Upgrades!$T$12="Magnetosphere",POWER(Upgrades!$U$12,K81),1))*POWER(Upgrades!$P$6,E81)*POWER(Upgrades!$P$7,F81)*POWER(Upgrades!$P$8,G81)*POWER(Upgrades!$P$9,H81)*POWER(Upgrades!$P$10,I81)*POWER(Upgrades!$P$11,J81)*POWER(Upgrades!$P$12,K81)*60</f>
        <v/>
      </c>
      <c r="AE81" s="27">
        <f>(IF(K81=0,0,(Upgrades!$G$12+K81*Upgrades!$H$12)*POWER(Upgrades!$I$12,K81)))*(IF(Upgrades!$T$6="First Photons",POWER(Upgrades!$U$6,E81),1)*IF(Upgrades!$T$7="First Photons",POWER(Upgrades!$U$7,F81),1)*IF(Upgrades!$T$8="First Photons",POWER(Upgrades!$U$8,G81),1)*IF(Upgrades!$T$9="First Photons",POWER(Upgrades!$U$9,H81),1)*IF(Upgrades!$T$10="First Photons",POWER(Upgrades!$U$10,I81),1)*IF(Upgrades!$T$11="First Photons",POWER(Upgrades!$U$11,J81),1))*POWER(Upgrades!$P$6,E81)*POWER(Upgrades!$P$7,F81)*POWER(Upgrades!$P$8,G81)*POWER(Upgrades!$P$9,H81)*POWER(Upgrades!$P$10,I81)*POWER(Upgrades!$P$11,J81)*POWER(Upgrades!$P$12,K81)*60</f>
        <v/>
      </c>
      <c r="AF81" s="27">
        <f>Parameters!$B$9*POWER(Upgrades!$Q$6,E81)*POWER(Upgrades!$Q$7,F81)*POWER(Upgrades!$Q$8,G81)*POWER(Upgrades!$Q$9,H81)*POWER(Upgrades!$Q$10,I81)*POWER(Upgrades!$Q$11,J81)*POWER(Upgrades!$Q$12,K81)*(Parameters!$B$10*Parameters!$B$11+O81*60)</f>
        <v/>
      </c>
      <c r="AG81" s="22">
        <f>IF(E81&gt;=Upgrades!$E$6,"",Upgrades!$C$6*POWER(Upgrades!$D$6,E81))</f>
        <v/>
      </c>
      <c r="AH81" s="22">
        <f>IF(F81&gt;=Upgrades!$E$7,"",Upgrades!$C$7*POWER(Upgrades!$D$7,F81))</f>
        <v/>
      </c>
      <c r="AI81" s="22">
        <f>IF(G81&gt;=Upgrades!$E$8,"",Upgrades!$C$8*POWER(Upgrades!$D$8,G81))</f>
        <v/>
      </c>
      <c r="AJ81" s="22">
        <f>IF(H81&gt;=Upgrades!$E$9,"",Upgrades!$C$9*POWER(Upgrades!$D$9,H81))</f>
        <v/>
      </c>
      <c r="AK81" s="22">
        <f>IF(I81&gt;=Upgrades!$E$10,"",Upgrades!$C$10*POWER(Upgrades!$D$10,I81))</f>
        <v/>
      </c>
      <c r="AL81" s="22">
        <f>IF(J81&gt;=Upgrades!$E$11,"",Upgrades!$C$11*POWER(Upgrades!$D$11,J81))</f>
        <v/>
      </c>
      <c r="AM81" s="22">
        <f>IF(K81&gt;=Upgrades!$E$12,"",Upgrades!$C$12*POWER(Upgrades!$D$12,K81))</f>
        <v/>
      </c>
      <c r="AN81" s="26">
        <f>IF(AND(D81&gt;=Parameters!$B$18,(H81&gt;=Upgrades!$E$9)*(K81&gt;=Upgrades!$E$12)=1,L81=0),1,"")</f>
        <v/>
      </c>
      <c r="AO81" s="26">
        <f>IF(AND(D81&gt;=Parameters!$B$18,L81=0),1,"")</f>
        <v/>
      </c>
      <c r="AP81" s="22">
        <f>MIN(IF(ISNUMBER(AK81),AK81,9E15),IF(ISNUMBER(AL81),AL81,9E15),IF(ISNUMBER(AM81),AM81,9E15))</f>
        <v/>
      </c>
      <c r="AQ81" s="22">
        <f>MIN(IF(ISNUMBER(AG81),AG81,9E15),IF(ISNUMBER(AH81),AH81,9E15),IF(ISNUMBER(AI81),AI81,9E15),IF(ISNUMBER(AJ81),AJ81,9E15))</f>
        <v/>
      </c>
      <c r="AR81" s="29">
        <f>IF(AW81&gt;Parameters!$B$21*(MAX(IF(AND(NOT(AND(AO81=1,AN81&lt;&gt;1)),ISNUMBER(AG81),AG81&lt;=T81),AS81,0),IF(AND(NOT(AND(AO81=1,AN81&lt;&gt;1)),ISNUMBER(AH81),AH81&lt;=T81),AT81,0),IF(AND(NOT(AND(AO81=1,AN81&lt;&gt;1)),ISNUMBER(AI81),AI81&lt;=T81),AU81,0),IF(AND(ISNUMBER(AJ81),AJ81&lt;=T81),AV81,0))),TRUE,FALSE)</f>
        <v/>
      </c>
      <c r="AS81" s="32">
        <f>IFERROR(Upgrades!$H$6*(POWER(Upgrades!$P$6,E81)*POWER(Upgrades!$P$7,F81)*POWER(Upgrades!$P$8,G81)*POWER(Upgrades!$P$9,H81)*POWER(Upgrades!$P$10,I81)*POWER(Upgrades!$P$11,J81)*POWER(Upgrades!$P$12,K81))*(IF(Upgrades!$T$7="Solar Wind",POWER(Upgrades!$U$7,F81),1)*IF(Upgrades!$T$8="Solar Wind",POWER(Upgrades!$U$8,G81),1)*IF(Upgrades!$T$9="Solar Wind",POWER(Upgrades!$U$9,H81),1)*IF(Upgrades!$T$10="Solar Wind",POWER(Upgrades!$U$10,I81),1)*IF(Upgrades!$T$11="Solar Wind",POWER(Upgrades!$U$11,J81),1)*IF(Upgrades!$T$12="Solar Wind",POWER(Upgrades!$U$12,K81),1))/AG81,0)</f>
        <v/>
      </c>
      <c r="AT81" s="32">
        <f>IFERROR(Upgrades!$H$7*(POWER(Upgrades!$P$6,E81)*POWER(Upgrades!$P$7,F81)*POWER(Upgrades!$P$8,G81)*POWER(Upgrades!$P$9,H81)*POWER(Upgrades!$P$10,I81)*POWER(Upgrades!$P$11,J81)*POWER(Upgrades!$P$12,K81))*(IF(Upgrades!$T$6="Asteroid Belt",POWER(Upgrades!$U$6,E81),1)*IF(Upgrades!$T$8="Asteroid Belt",POWER(Upgrades!$U$8,G81),1)*IF(Upgrades!$T$9="Asteroid Belt",POWER(Upgrades!$U$9,H81),1)*IF(Upgrades!$T$10="Asteroid Belt",POWER(Upgrades!$U$10,I81),1)*IF(Upgrades!$T$11="Asteroid Belt",POWER(Upgrades!$U$11,J81),1)*IF(Upgrades!$T$12="Asteroid Belt",POWER(Upgrades!$U$12,K81),1))/AH81,0)</f>
        <v/>
      </c>
      <c r="AU81" s="32">
        <f>IFERROR(Upgrades!$K$8*(POWER(Upgrades!$Q$6,E81)*POWER(Upgrades!$Q$7,F81)*POWER(Upgrades!$Q$8,G81)*POWER(Upgrades!$Q$9,H81)*POWER(Upgrades!$Q$10,I81)*POWER(Upgrades!$Q$11,J81)*POWER(Upgrades!$Q$12,K81))*(IF(Upgrades!$T$6="Stellar Coupling",POWER(Upgrades!$U$6,E81),1)*IF(Upgrades!$T$7="Stellar Coupling",POWER(Upgrades!$U$7,F81),1)*IF(Upgrades!$T$9="Stellar Coupling",POWER(Upgrades!$U$9,H81),1)*IF(Upgrades!$T$10="Stellar Coupling",POWER(Upgrades!$U$10,I81),1)*IF(Upgrades!$T$11="Stellar Coupling",POWER(Upgrades!$U$11,J81),1)*IF(Upgrades!$T$12="Stellar Coupling",POWER(Upgrades!$U$12,K81),1))*Parameters!$B$10*Parameters!$B$11/60/AI81,0)</f>
        <v/>
      </c>
      <c r="AV81" s="32">
        <f>IFERROR(Upgrades!$H$9*(POWER(Upgrades!$P$6,E81)*POWER(Upgrades!$P$7,F81)*POWER(Upgrades!$P$8,G81)*POWER(Upgrades!$P$9,H81)*POWER(Upgrades!$P$10,I81)*POWER(Upgrades!$P$11,J81)*POWER(Upgrades!$P$12,K81))*(IF(Upgrades!$T$6="Magnetosphere",POWER(Upgrades!$U$6,E81),1)*IF(Upgrades!$T$7="Magnetosphere",POWER(Upgrades!$U$7,F81),1)*IF(Upgrades!$T$8="Magnetosphere",POWER(Upgrades!$U$8,G81),1)*IF(Upgrades!$T$10="Magnetosphere",POWER(Upgrades!$U$10,I81),1)*IF(Upgrades!$T$11="Magnetosphere",POWER(Upgrades!$U$11,J81),1)*IF(Upgrades!$T$12="Magnetosphere",POWER(Upgrades!$U$12,K81),1))/AJ81,0)</f>
        <v/>
      </c>
      <c r="AW81" s="32">
        <f>MAX(IF(I81&gt;0,0,IFERROR(0.25*N81/Upgrades!$C$10,0)),IF(J81&gt;0,0,IFERROR(0.5*((IF(G81=0,0,(Upgrades!$J$8+G81*Upgrades!$K$8)*POWER(Upgrades!$L$8,G81)))*(IF(Upgrades!$T$6="Stellar Coupling",POWER(Upgrades!$U$6,E81),1)*IF(Upgrades!$T$7="Stellar Coupling",POWER(Upgrades!$U$7,F81),1)*IF(Upgrades!$T$9="Stellar Coupling",POWER(Upgrades!$U$9,H81),1)*IF(Upgrades!$T$10="Stellar Coupling",POWER(Upgrades!$U$10,I81),1)*IF(Upgrades!$T$11="Stellar Coupling",POWER(Upgrades!$U$11,J81),1)*IF(Upgrades!$T$12="Stellar Coupling",POWER(Upgrades!$U$12,K81),1))*(POWER(Upgrades!$Q$6,E81)*POWER(Upgrades!$Q$7,F81)*POWER(Upgrades!$Q$8,G81)*POWER(Upgrades!$Q$9,H81)*POWER(Upgrades!$Q$10,I81)*POWER(Upgrades!$Q$11,J81)*POWER(Upgrades!$Q$12,K81))*Parameters!$B$10*Parameters!$B$11/60)/Upgrades!$C$11,0)),IF(K81&gt;0,0,IFERROR((1.0*(POWER(Upgrades!$P$6,E81)*POWER(Upgrades!$P$7,F81)*POWER(Upgrades!$P$8,G81)*POWER(Upgrades!$P$9,H81)*POWER(Upgrades!$P$10,I81)*POWER(Upgrades!$P$11,J81)*POWER(Upgrades!$P$12,K81))+0.20*M81*Parameters!$B$10*Parameters!$B$11/60)/Upgrades!$C$12,0)),IF(AND(ISNUMBER(AG81),AG81&gt;T81),AS81,0),IF(AND(ISNUMBER(AH81),AH81&gt;T81),AT81,0),IF(AND(ISNUMBER(AI81),AI81&gt;T81),AU81,0),IF(AND(ISNUMBER(AJ81),AJ81&gt;T81),AV81,0))</f>
        <v/>
      </c>
      <c r="AX81" s="29">
        <f>IF(AN81=1,"transition",IF(MIN(IF(AND(I81=0,ISNUMBER(AK81),AK81&lt;=T81),AK81,9E15),IF(AND(J81=0,ISNUMBER(AL81),AL81&lt;=T81),AL81,9E15),IF(AND(K81=0,ISNUMBER(AM81),AM81&lt;=T81),AM81,9E15))&lt;9E15,IF(AND(AND(I81=0,ISNUMBER(AK81),AK81&lt;=T81),AK81=MIN(IF(AND(I81=0,ISNUMBER(AK81),AK81&lt;=T81),AK81,9E15),IF(AND(J81=0,ISNUMBER(AL81),AL81&lt;=T81),AL81,9E15),IF(AND(K81=0,ISNUMBER(AM81),AM81&lt;=T81),AM81,9E15))),"OR",IF(AND(AND(J81=0,ISNUMBER(AL81),AL81&lt;=T81),AL81=MIN(IF(AND(I81=0,ISNUMBER(AK81),AK81&lt;=T81),AK81,9E15),IF(AND(J81=0,ISNUMBER(AL81),AL81&lt;=T81),AL81,9E15),IF(AND(K81=0,ISNUMBER(AM81),AM81&lt;=T81),AM81,9E15))),"HP","FP")),IF(AR81=TRUE,"",IF(MAX(IF(AND(NOT(AND(AO81=1,AN81&lt;&gt;1)),ISNUMBER(AG81),AG81&lt;=T81),AS81,0),IF(AND(NOT(AND(AO81=1,AN81&lt;&gt;1)),ISNUMBER(AH81),AH81&lt;=T81),AT81,0),IF(AND(NOT(AND(AO81=1,AN81&lt;&gt;1)),ISNUMBER(AI81),AI81&lt;=T81),AU81,0),IF(AND(ISNUMBER(AJ81),AJ81&lt;=T81),AV81,0))&lt;=0,"",IF(AND(IF(AND(NOT(AND(AO81=1,AN81&lt;&gt;1)),ISNUMBER(AG81),AG81&lt;=T81),AS81,0)&gt;0,IF(AND(NOT(AND(AO81=1,AN81&lt;&gt;1)),ISNUMBER(AG81),AG81&lt;=T81),AS81,0)=MAX(IF(AND(NOT(AND(AO81=1,AN81&lt;&gt;1)),ISNUMBER(AG81),AG81&lt;=T81),AS81,0),IF(AND(NOT(AND(AO81=1,AN81&lt;&gt;1)),ISNUMBER(AH81),AH81&lt;=T81),AT81,0),IF(AND(NOT(AND(AO81=1,AN81&lt;&gt;1)),ISNUMBER(AI81),AI81&lt;=T81),AU81,0),IF(AND(ISNUMBER(AJ81),AJ81&lt;=T81),AV81,0))),"SW",IF(AND(IF(AND(NOT(AND(AO81=1,AN81&lt;&gt;1)),ISNUMBER(AH81),AH81&lt;=T81),AT81,0)&gt;0,IF(AND(NOT(AND(AO81=1,AN81&lt;&gt;1)),ISNUMBER(AH81),AH81&lt;=T81),AT81,0)=MAX(IF(AND(NOT(AND(AO81=1,AN81&lt;&gt;1)),ISNUMBER(AG81),AG81&lt;=T81),AS81,0),IF(AND(NOT(AND(AO81=1,AN81&lt;&gt;1)),ISNUMBER(AH81),AH81&lt;=T81),AT81,0),IF(AND(NOT(AND(AO81=1,AN81&lt;&gt;1)),ISNUMBER(AI81),AI81&lt;=T81),AU81,0),IF(AND(ISNUMBER(AJ81),AJ81&lt;=T81),AV81,0))),"AB",IF(AND(IF(AND(NOT(AND(AO81=1,AN81&lt;&gt;1)),ISNUMBER(AI81),AI81&lt;=T81),AU81,0)&gt;0,IF(AND(NOT(AND(AO81=1,AN81&lt;&gt;1)),ISNUMBER(AI81),AI81&lt;=T81),AU81,0)=MAX(IF(AND(NOT(AND(AO81=1,AN81&lt;&gt;1)),ISNUMBER(AG81),AG81&lt;=T81),AS81,0),IF(AND(NOT(AND(AO81=1,AN81&lt;&gt;1)),ISNUMBER(AH81),AH81&lt;=T81),AT81,0),IF(AND(NOT(AND(AO81=1,AN81&lt;&gt;1)),ISNUMBER(AI81),AI81&lt;=T81),AU81,0),IF(AND(ISNUMBER(AJ81),AJ81&lt;=T81),AV81,0))),"SC","Mag")))))))</f>
        <v/>
      </c>
    </row>
    <row r="82">
      <c r="A82" s="26" t="n">
        <v>77</v>
      </c>
      <c r="B82" s="27">
        <f>A82*10/60</f>
        <v/>
      </c>
      <c r="C82" s="22">
        <f>X81</f>
        <v/>
      </c>
      <c r="D82" s="27">
        <f>D81+W81</f>
        <v/>
      </c>
      <c r="E82" s="26">
        <f>E81+IF(U81="SW",1,0)</f>
        <v/>
      </c>
      <c r="F82" s="26">
        <f>F81+IF(U81="AB",1,0)</f>
        <v/>
      </c>
      <c r="G82" s="26">
        <f>G81+IF(U81="SC",1,0)</f>
        <v/>
      </c>
      <c r="H82" s="26">
        <f>H81+IF(U81="Mag",1,0)</f>
        <v/>
      </c>
      <c r="I82" s="26">
        <f>MAX(I81,IF(U81="OR",1,0))</f>
        <v/>
      </c>
      <c r="J82" s="26">
        <f>MAX(J81,IF(U81="HP",1,0))</f>
        <v/>
      </c>
      <c r="K82" s="26">
        <f>MAX(K81,IF(U81="FP",1,0))</f>
        <v/>
      </c>
      <c r="L82" s="26">
        <f>MAX(L81,IF(U81="transition",1,0))</f>
        <v/>
      </c>
      <c r="M82" s="28">
        <f>(Parameters!$B$9+(IF(E82=0,0,(Upgrades!$J$6+E82*Upgrades!$K$6)*POWER(Upgrades!$L$6,E82)))*(IF(Upgrades!$T$7="Solar Wind",POWER(Upgrades!$U$7,F82),1)*IF(Upgrades!$T$8="Solar Wind",POWER(Upgrades!$U$8,G82),1)*IF(Upgrades!$T$9="Solar Wind",POWER(Upgrades!$U$9,H82),1)*IF(Upgrades!$T$10="Solar Wind",POWER(Upgrades!$U$10,I82),1)*IF(Upgrades!$T$11="Solar Wind",POWER(Upgrades!$U$11,J82),1)*IF(Upgrades!$T$12="Solar Wind",POWER(Upgrades!$U$12,K82),1))+(IF(F82=0,0,(Upgrades!$J$7+F82*Upgrades!$K$7)*POWER(Upgrades!$L$7,F82)))*(IF(Upgrades!$T$6="Asteroid Belt",POWER(Upgrades!$U$6,E82),1)*IF(Upgrades!$T$8="Asteroid Belt",POWER(Upgrades!$U$8,G82),1)*IF(Upgrades!$T$9="Asteroid Belt",POWER(Upgrades!$U$9,H82),1)*IF(Upgrades!$T$10="Asteroid Belt",POWER(Upgrades!$U$10,I82),1)*IF(Upgrades!$T$11="Asteroid Belt",POWER(Upgrades!$U$11,J82),1)*IF(Upgrades!$T$12="Asteroid Belt",POWER(Upgrades!$U$12,K82),1))+(IF(G82=0,0,(Upgrades!$J$8+G82*Upgrades!$K$8)*POWER(Upgrades!$L$8,G82)))*(IF(Upgrades!$T$6="Stellar Coupling",POWER(Upgrades!$U$6,E82),1)*IF(Upgrades!$T$7="Stellar Coupling",POWER(Upgrades!$U$7,F82),1)*IF(Upgrades!$T$9="Stellar Coupling",POWER(Upgrades!$U$9,H82),1)*IF(Upgrades!$T$10="Stellar Coupling",POWER(Upgrades!$U$10,I82),1)*IF(Upgrades!$T$11="Stellar Coupling",POWER(Upgrades!$U$11,J82),1)*IF(Upgrades!$T$12="Stellar Coupling",POWER(Upgrades!$U$12,K82),1))+(IF(H82=0,0,(Upgrades!$J$9+H82*Upgrades!$K$9)*POWER(Upgrades!$L$9,H82)))*(IF(Upgrades!$T$6="Magnetosphere",POWER(Upgrades!$U$6,E82),1)*IF(Upgrades!$T$7="Magnetosphere",POWER(Upgrades!$U$7,F82),1)*IF(Upgrades!$T$8="Magnetosphere",POWER(Upgrades!$U$8,G82),1)*IF(Upgrades!$T$10="Magnetosphere",POWER(Upgrades!$U$10,I82),1)*IF(Upgrades!$T$11="Magnetosphere",POWER(Upgrades!$U$11,J82),1)*IF(Upgrades!$T$12="Magnetosphere",POWER(Upgrades!$U$12,K82),1))+(IF(I82=0,0,(Upgrades!$J$10+I82*Upgrades!$K$10)*POWER(Upgrades!$L$10,I82)))*(IF(Upgrades!$T$6="Orbital Resonance",POWER(Upgrades!$U$6,E82),1)*IF(Upgrades!$T$7="Orbital Resonance",POWER(Upgrades!$U$7,F82),1)*IF(Upgrades!$T$8="Orbital Resonance",POWER(Upgrades!$U$8,G82),1)*IF(Upgrades!$T$9="Orbital Resonance",POWER(Upgrades!$U$9,H82),1)*IF(Upgrades!$T$11="Orbital Resonance",POWER(Upgrades!$U$11,J82),1)*IF(Upgrades!$T$12="Orbital Resonance",POWER(Upgrades!$U$12,K82),1))+(IF(J82=0,0,(Upgrades!$J$11+J82*Upgrades!$K$11)*POWER(Upgrades!$L$11,J82)))*(IF(Upgrades!$T$6="Heliopause",POWER(Upgrades!$U$6,E82),1)*IF(Upgrades!$T$7="Heliopause",POWER(Upgrades!$U$7,F82),1)*IF(Upgrades!$T$8="Heliopause",POWER(Upgrades!$U$8,G82),1)*IF(Upgrades!$T$9="Heliopause",POWER(Upgrades!$U$9,H82),1)*IF(Upgrades!$T$10="Heliopause",POWER(Upgrades!$U$10,I82),1)*IF(Upgrades!$T$12="Heliopause",POWER(Upgrades!$U$12,K82),1))+(IF(K82=0,0,(Upgrades!$J$12+K82*Upgrades!$K$12)*POWER(Upgrades!$L$12,K82)))*(IF(Upgrades!$T$6="First Photons",POWER(Upgrades!$U$6,E82),1)*IF(Upgrades!$T$7="First Photons",POWER(Upgrades!$U$7,F82),1)*IF(Upgrades!$T$8="First Photons",POWER(Upgrades!$U$8,G82),1)*IF(Upgrades!$T$9="First Photons",POWER(Upgrades!$U$9,H82),1)*IF(Upgrades!$T$10="First Photons",POWER(Upgrades!$U$10,I82),1)*IF(Upgrades!$T$11="First Photons",POWER(Upgrades!$U$11,J82),1)))*POWER(Upgrades!$Q$6,E82)*POWER(Upgrades!$Q$7,F82)*POWER(Upgrades!$Q$8,G82)*POWER(Upgrades!$Q$9,H82)*POWER(Upgrades!$Q$10,I82)*POWER(Upgrades!$Q$11,J82)*POWER(Upgrades!$Q$12,K82)</f>
        <v/>
      </c>
      <c r="N82" s="28">
        <f>((IF(E82=0,0,(Upgrades!$G$6+E82*Upgrades!$H$6)*POWER(Upgrades!$I$6,E82)))*(IF(Upgrades!$T$7="Solar Wind",POWER(Upgrades!$U$7,F82),1)*IF(Upgrades!$T$8="Solar Wind",POWER(Upgrades!$U$8,G82),1)*IF(Upgrades!$T$9="Solar Wind",POWER(Upgrades!$U$9,H82),1)*IF(Upgrades!$T$10="Solar Wind",POWER(Upgrades!$U$10,I82),1)*IF(Upgrades!$T$11="Solar Wind",POWER(Upgrades!$U$11,J82),1)*IF(Upgrades!$T$12="Solar Wind",POWER(Upgrades!$U$12,K82),1))+(IF(F82=0,0,(Upgrades!$G$7+F82*Upgrades!$H$7)*POWER(Upgrades!$I$7,F82)))*(IF(Upgrades!$T$6="Asteroid Belt",POWER(Upgrades!$U$6,E82),1)*IF(Upgrades!$T$8="Asteroid Belt",POWER(Upgrades!$U$8,G82),1)*IF(Upgrades!$T$9="Asteroid Belt",POWER(Upgrades!$U$9,H82),1)*IF(Upgrades!$T$10="Asteroid Belt",POWER(Upgrades!$U$10,I82),1)*IF(Upgrades!$T$11="Asteroid Belt",POWER(Upgrades!$U$11,J82),1)*IF(Upgrades!$T$12="Asteroid Belt",POWER(Upgrades!$U$12,K82),1))+(IF(G82=0,0,(Upgrades!$G$8+G82*Upgrades!$H$8)*POWER(Upgrades!$I$8,G82)))*(IF(Upgrades!$T$6="Stellar Coupling",POWER(Upgrades!$U$6,E82),1)*IF(Upgrades!$T$7="Stellar Coupling",POWER(Upgrades!$U$7,F82),1)*IF(Upgrades!$T$9="Stellar Coupling",POWER(Upgrades!$U$9,H82),1)*IF(Upgrades!$T$10="Stellar Coupling",POWER(Upgrades!$U$10,I82),1)*IF(Upgrades!$T$11="Stellar Coupling",POWER(Upgrades!$U$11,J82),1)*IF(Upgrades!$T$12="Stellar Coupling",POWER(Upgrades!$U$12,K82),1))+(IF(H82=0,0,(Upgrades!$G$9+H82*Upgrades!$H$9)*POWER(Upgrades!$I$9,H82)))*(IF(Upgrades!$T$6="Magnetosphere",POWER(Upgrades!$U$6,E82),1)*IF(Upgrades!$T$7="Magnetosphere",POWER(Upgrades!$U$7,F82),1)*IF(Upgrades!$T$8="Magnetosphere",POWER(Upgrades!$U$8,G82),1)*IF(Upgrades!$T$10="Magnetosphere",POWER(Upgrades!$U$10,I82),1)*IF(Upgrades!$T$11="Magnetosphere",POWER(Upgrades!$U$11,J82),1)*IF(Upgrades!$T$12="Magnetosphere",POWER(Upgrades!$U$12,K82),1))+(IF(I82=0,0,(Upgrades!$G$10+I82*Upgrades!$H$10)*POWER(Upgrades!$I$10,I82)))*(IF(Upgrades!$T$6="Orbital Resonance",POWER(Upgrades!$U$6,E82),1)*IF(Upgrades!$T$7="Orbital Resonance",POWER(Upgrades!$U$7,F82),1)*IF(Upgrades!$T$8="Orbital Resonance",POWER(Upgrades!$U$8,G82),1)*IF(Upgrades!$T$9="Orbital Resonance",POWER(Upgrades!$U$9,H82),1)*IF(Upgrades!$T$11="Orbital Resonance",POWER(Upgrades!$U$11,J82),1)*IF(Upgrades!$T$12="Orbital Resonance",POWER(Upgrades!$U$12,K82),1))+(IF(J82=0,0,(Upgrades!$G$11+J82*Upgrades!$H$11)*POWER(Upgrades!$I$11,J82)))*(IF(Upgrades!$T$6="Heliopause",POWER(Upgrades!$U$6,E82),1)*IF(Upgrades!$T$7="Heliopause",POWER(Upgrades!$U$7,F82),1)*IF(Upgrades!$T$8="Heliopause",POWER(Upgrades!$U$8,G82),1)*IF(Upgrades!$T$9="Heliopause",POWER(Upgrades!$U$9,H82),1)*IF(Upgrades!$T$10="Heliopause",POWER(Upgrades!$U$10,I82),1)*IF(Upgrades!$T$12="Heliopause",POWER(Upgrades!$U$12,K82),1))+(IF(K82=0,0,(Upgrades!$G$12+K82*Upgrades!$H$12)*POWER(Upgrades!$I$12,K82)))*(IF(Upgrades!$T$6="First Photons",POWER(Upgrades!$U$6,E82),1)*IF(Upgrades!$T$7="First Photons",POWER(Upgrades!$U$7,F82),1)*IF(Upgrades!$T$8="First Photons",POWER(Upgrades!$U$8,G82),1)*IF(Upgrades!$T$9="First Photons",POWER(Upgrades!$U$9,H82),1)*IF(Upgrades!$T$10="First Photons",POWER(Upgrades!$U$10,I82),1)*IF(Upgrades!$T$11="First Photons",POWER(Upgrades!$U$11,J82),1)))*POWER(Upgrades!$P$6,E82)*POWER(Upgrades!$P$7,F82)*POWER(Upgrades!$P$8,G82)*POWER(Upgrades!$P$9,H82)*POWER(Upgrades!$P$10,I82)*POWER(Upgrades!$P$11,J82)*POWER(Upgrades!$P$12,K82)</f>
        <v/>
      </c>
      <c r="O82" s="28">
        <f>((IF(E82=0,0,(Upgrades!$M$6+E82*Upgrades!$N$6)*POWER(Upgrades!$O$6,E82)))*(IF(Upgrades!$T$7="Solar Wind",POWER(Upgrades!$U$7,F82),1)*IF(Upgrades!$T$8="Solar Wind",POWER(Upgrades!$U$8,G82),1)*IF(Upgrades!$T$9="Solar Wind",POWER(Upgrades!$U$9,H82),1)*IF(Upgrades!$T$10="Solar Wind",POWER(Upgrades!$U$10,I82),1)*IF(Upgrades!$T$11="Solar Wind",POWER(Upgrades!$U$11,J82),1)*IF(Upgrades!$T$12="Solar Wind",POWER(Upgrades!$U$12,K82),1))+(IF(F82=0,0,(Upgrades!$M$7+F82*Upgrades!$N$7)*POWER(Upgrades!$O$7,F82)))*(IF(Upgrades!$T$6="Asteroid Belt",POWER(Upgrades!$U$6,E82),1)*IF(Upgrades!$T$8="Asteroid Belt",POWER(Upgrades!$U$8,G82),1)*IF(Upgrades!$T$9="Asteroid Belt",POWER(Upgrades!$U$9,H82),1)*IF(Upgrades!$T$10="Asteroid Belt",POWER(Upgrades!$U$10,I82),1)*IF(Upgrades!$T$11="Asteroid Belt",POWER(Upgrades!$U$11,J82),1)*IF(Upgrades!$T$12="Asteroid Belt",POWER(Upgrades!$U$12,K82),1))+(IF(G82=0,0,(Upgrades!$M$8+G82*Upgrades!$N$8)*POWER(Upgrades!$O$8,G82)))*(IF(Upgrades!$T$6="Stellar Coupling",POWER(Upgrades!$U$6,E82),1)*IF(Upgrades!$T$7="Stellar Coupling",POWER(Upgrades!$U$7,F82),1)*IF(Upgrades!$T$9="Stellar Coupling",POWER(Upgrades!$U$9,H82),1)*IF(Upgrades!$T$10="Stellar Coupling",POWER(Upgrades!$U$10,I82),1)*IF(Upgrades!$T$11="Stellar Coupling",POWER(Upgrades!$U$11,J82),1)*IF(Upgrades!$T$12="Stellar Coupling",POWER(Upgrades!$U$12,K82),1))+(IF(H82=0,0,(Upgrades!$M$9+H82*Upgrades!$N$9)*POWER(Upgrades!$O$9,H82)))*(IF(Upgrades!$T$6="Magnetosphere",POWER(Upgrades!$U$6,E82),1)*IF(Upgrades!$T$7="Magnetosphere",POWER(Upgrades!$U$7,F82),1)*IF(Upgrades!$T$8="Magnetosphere",POWER(Upgrades!$U$8,G82),1)*IF(Upgrades!$T$10="Magnetosphere",POWER(Upgrades!$U$10,I82),1)*IF(Upgrades!$T$11="Magnetosphere",POWER(Upgrades!$U$11,J82),1)*IF(Upgrades!$T$12="Magnetosphere",POWER(Upgrades!$U$12,K82),1))+(IF(I82=0,0,(Upgrades!$M$10+I82*Upgrades!$N$10)*POWER(Upgrades!$O$10,I82)))*(IF(Upgrades!$T$6="Orbital Resonance",POWER(Upgrades!$U$6,E82),1)*IF(Upgrades!$T$7="Orbital Resonance",POWER(Upgrades!$U$7,F82),1)*IF(Upgrades!$T$8="Orbital Resonance",POWER(Upgrades!$U$8,G82),1)*IF(Upgrades!$T$9="Orbital Resonance",POWER(Upgrades!$U$9,H82),1)*IF(Upgrades!$T$11="Orbital Resonance",POWER(Upgrades!$U$11,J82),1)*IF(Upgrades!$T$12="Orbital Resonance",POWER(Upgrades!$U$12,K82),1))+(IF(J82=0,0,(Upgrades!$M$11+J82*Upgrades!$N$11)*POWER(Upgrades!$O$11,J82)))*(IF(Upgrades!$T$6="Heliopause",POWER(Upgrades!$U$6,E82),1)*IF(Upgrades!$T$7="Heliopause",POWER(Upgrades!$U$7,F82),1)*IF(Upgrades!$T$8="Heliopause",POWER(Upgrades!$U$8,G82),1)*IF(Upgrades!$T$9="Heliopause",POWER(Upgrades!$U$9,H82),1)*IF(Upgrades!$T$10="Heliopause",POWER(Upgrades!$U$10,I82),1)*IF(Upgrades!$T$12="Heliopause",POWER(Upgrades!$U$12,K82),1))+(IF(K82=0,0,(Upgrades!$M$12+K82*Upgrades!$N$12)*POWER(Upgrades!$O$12,K82)))*(IF(Upgrades!$T$6="First Photons",POWER(Upgrades!$U$6,E82),1)*IF(Upgrades!$T$7="First Photons",POWER(Upgrades!$U$7,F82),1)*IF(Upgrades!$T$8="First Photons",POWER(Upgrades!$U$8,G82),1)*IF(Upgrades!$T$9="First Photons",POWER(Upgrades!$U$9,H82),1)*IF(Upgrades!$T$10="First Photons",POWER(Upgrades!$U$10,I82),1)*IF(Upgrades!$T$11="First Photons",POWER(Upgrades!$U$11,J82),1)))*POWER(Upgrades!$R$6,E82)*POWER(Upgrades!$R$7,F82)*POWER(Upgrades!$R$8,G82)*POWER(Upgrades!$R$9,H82)*POWER(Upgrades!$R$10,I82)*POWER(Upgrades!$R$11,J82)*POWER(Upgrades!$R$12,K82)</f>
        <v/>
      </c>
      <c r="P82" s="27">
        <f>IF(L82=1,0,M82*Parameters!$B$10/60*Parameters!$B$11*10)</f>
        <v/>
      </c>
      <c r="Q82" s="27">
        <f>IF(L82=1,0,O82*M82*10)</f>
        <v/>
      </c>
      <c r="R82" s="27">
        <f>IF(L82=1,0,N82*10)</f>
        <v/>
      </c>
      <c r="S82" s="27">
        <f>P82+Q82+R82</f>
        <v/>
      </c>
      <c r="T82" s="22">
        <f>C82+S82</f>
        <v/>
      </c>
      <c r="U82" s="33">
        <f>AX82</f>
        <v/>
      </c>
      <c r="V82" s="22">
        <f>IF(U82="",0,IF(U82="transition",0,IF(U82="SW",AG82,IF(U82="AB",AH82,IF(U82="SC",AI82,IF(U82="Mag",AJ82,IF(U82="OR",AK82,IF(U82="HP",AL82,IF(U82="FP",AM82,0)))))))))</f>
        <v/>
      </c>
      <c r="W82" s="27">
        <f>IF(U82="OR",Upgrades!$F$10,IF(U82="HP",Upgrades!$F$11,IF(U82="transition",-Parameters!$B$18,0)))</f>
        <v/>
      </c>
      <c r="X82" s="22">
        <f>T82-V82</f>
        <v/>
      </c>
      <c r="Y82" s="30">
        <f>M82*Parameters!$B$10/60*Parameters!$B$11+O82*M82+N82</f>
        <v/>
      </c>
      <c r="Z82" s="34">
        <f>IF(U82="transition","→ Tier 2 (Stellar Neighborhood)",IF(U82="FP","First Photons — light begins, system quickens",IF(U82="HP","Heliopause acquired",IF(U82="OR","Orbital Resonance — passive multiplier active",IF(AND(AO82=1,L82=0,AN82&lt;&gt;1),"Cohesion ready (waiting on completionist upgrades)","")))))</f>
        <v/>
      </c>
      <c r="AA82" s="27">
        <f>(IF(E82=0,0,(Upgrades!$G$6+E82*Upgrades!$H$6)*POWER(Upgrades!$I$6,E82)))*(IF(Upgrades!$T$7="Solar Wind",POWER(Upgrades!$U$7,F82),1)*IF(Upgrades!$T$8="Solar Wind",POWER(Upgrades!$U$8,G82),1)*IF(Upgrades!$T$9="Solar Wind",POWER(Upgrades!$U$9,H82),1)*IF(Upgrades!$T$10="Solar Wind",POWER(Upgrades!$U$10,I82),1)*IF(Upgrades!$T$11="Solar Wind",POWER(Upgrades!$U$11,J82),1)*IF(Upgrades!$T$12="Solar Wind",POWER(Upgrades!$U$12,K82),1))*POWER(Upgrades!$P$6,E82)*POWER(Upgrades!$P$7,F82)*POWER(Upgrades!$P$8,G82)*POWER(Upgrades!$P$9,H82)*POWER(Upgrades!$P$10,I82)*POWER(Upgrades!$P$11,J82)*POWER(Upgrades!$P$12,K82)*60</f>
        <v/>
      </c>
      <c r="AB82" s="27">
        <f>(IF(F82=0,0,(Upgrades!$G$7+F82*Upgrades!$H$7)*POWER(Upgrades!$I$7,F82)))*(IF(Upgrades!$T$6="Asteroid Belt",POWER(Upgrades!$U$6,E82),1)*IF(Upgrades!$T$8="Asteroid Belt",POWER(Upgrades!$U$8,G82),1)*IF(Upgrades!$T$9="Asteroid Belt",POWER(Upgrades!$U$9,H82),1)*IF(Upgrades!$T$10="Asteroid Belt",POWER(Upgrades!$U$10,I82),1)*IF(Upgrades!$T$11="Asteroid Belt",POWER(Upgrades!$U$11,J82),1)*IF(Upgrades!$T$12="Asteroid Belt",POWER(Upgrades!$U$12,K82),1))*POWER(Upgrades!$P$6,E82)*POWER(Upgrades!$P$7,F82)*POWER(Upgrades!$P$8,G82)*POWER(Upgrades!$P$9,H82)*POWER(Upgrades!$P$10,I82)*POWER(Upgrades!$P$11,J82)*POWER(Upgrades!$P$12,K82)*60</f>
        <v/>
      </c>
      <c r="AC82" s="27">
        <f>(IF(G82=0,0,(Upgrades!$J$8+G82*Upgrades!$K$8)*POWER(Upgrades!$L$8,G82)))*(IF(Upgrades!$T$6="Stellar Coupling",POWER(Upgrades!$U$6,E82),1)*IF(Upgrades!$T$7="Stellar Coupling",POWER(Upgrades!$U$7,F82),1)*IF(Upgrades!$T$9="Stellar Coupling",POWER(Upgrades!$U$9,H82),1)*IF(Upgrades!$T$10="Stellar Coupling",POWER(Upgrades!$U$10,I82),1)*IF(Upgrades!$T$11="Stellar Coupling",POWER(Upgrades!$U$11,J82),1)*IF(Upgrades!$T$12="Stellar Coupling",POWER(Upgrades!$U$12,K82),1))*POWER(Upgrades!$Q$6,E82)*POWER(Upgrades!$Q$7,F82)*POWER(Upgrades!$Q$8,G82)*POWER(Upgrades!$Q$9,H82)*POWER(Upgrades!$Q$10,I82)*POWER(Upgrades!$Q$11,J82)*POWER(Upgrades!$Q$12,K82)*Parameters!$B$10*Parameters!$B$11</f>
        <v/>
      </c>
      <c r="AD82" s="27">
        <f>(IF(H82=0,0,(Upgrades!$G$9+H82*Upgrades!$H$9)*POWER(Upgrades!$I$9,H82)))*(IF(Upgrades!$T$6="Magnetosphere",POWER(Upgrades!$U$6,E82),1)*IF(Upgrades!$T$7="Magnetosphere",POWER(Upgrades!$U$7,F82),1)*IF(Upgrades!$T$8="Magnetosphere",POWER(Upgrades!$U$8,G82),1)*IF(Upgrades!$T$10="Magnetosphere",POWER(Upgrades!$U$10,I82),1)*IF(Upgrades!$T$11="Magnetosphere",POWER(Upgrades!$U$11,J82),1)*IF(Upgrades!$T$12="Magnetosphere",POWER(Upgrades!$U$12,K82),1))*POWER(Upgrades!$P$6,E82)*POWER(Upgrades!$P$7,F82)*POWER(Upgrades!$P$8,G82)*POWER(Upgrades!$P$9,H82)*POWER(Upgrades!$P$10,I82)*POWER(Upgrades!$P$11,J82)*POWER(Upgrades!$P$12,K82)*60</f>
        <v/>
      </c>
      <c r="AE82" s="27">
        <f>(IF(K82=0,0,(Upgrades!$G$12+K82*Upgrades!$H$12)*POWER(Upgrades!$I$12,K82)))*(IF(Upgrades!$T$6="First Photons",POWER(Upgrades!$U$6,E82),1)*IF(Upgrades!$T$7="First Photons",POWER(Upgrades!$U$7,F82),1)*IF(Upgrades!$T$8="First Photons",POWER(Upgrades!$U$8,G82),1)*IF(Upgrades!$T$9="First Photons",POWER(Upgrades!$U$9,H82),1)*IF(Upgrades!$T$10="First Photons",POWER(Upgrades!$U$10,I82),1)*IF(Upgrades!$T$11="First Photons",POWER(Upgrades!$U$11,J82),1))*POWER(Upgrades!$P$6,E82)*POWER(Upgrades!$P$7,F82)*POWER(Upgrades!$P$8,G82)*POWER(Upgrades!$P$9,H82)*POWER(Upgrades!$P$10,I82)*POWER(Upgrades!$P$11,J82)*POWER(Upgrades!$P$12,K82)*60</f>
        <v/>
      </c>
      <c r="AF82" s="27">
        <f>Parameters!$B$9*POWER(Upgrades!$Q$6,E82)*POWER(Upgrades!$Q$7,F82)*POWER(Upgrades!$Q$8,G82)*POWER(Upgrades!$Q$9,H82)*POWER(Upgrades!$Q$10,I82)*POWER(Upgrades!$Q$11,J82)*POWER(Upgrades!$Q$12,K82)*(Parameters!$B$10*Parameters!$B$11+O82*60)</f>
        <v/>
      </c>
      <c r="AG82" s="22">
        <f>IF(E82&gt;=Upgrades!$E$6,"",Upgrades!$C$6*POWER(Upgrades!$D$6,E82))</f>
        <v/>
      </c>
      <c r="AH82" s="22">
        <f>IF(F82&gt;=Upgrades!$E$7,"",Upgrades!$C$7*POWER(Upgrades!$D$7,F82))</f>
        <v/>
      </c>
      <c r="AI82" s="22">
        <f>IF(G82&gt;=Upgrades!$E$8,"",Upgrades!$C$8*POWER(Upgrades!$D$8,G82))</f>
        <v/>
      </c>
      <c r="AJ82" s="22">
        <f>IF(H82&gt;=Upgrades!$E$9,"",Upgrades!$C$9*POWER(Upgrades!$D$9,H82))</f>
        <v/>
      </c>
      <c r="AK82" s="22">
        <f>IF(I82&gt;=Upgrades!$E$10,"",Upgrades!$C$10*POWER(Upgrades!$D$10,I82))</f>
        <v/>
      </c>
      <c r="AL82" s="22">
        <f>IF(J82&gt;=Upgrades!$E$11,"",Upgrades!$C$11*POWER(Upgrades!$D$11,J82))</f>
        <v/>
      </c>
      <c r="AM82" s="22">
        <f>IF(K82&gt;=Upgrades!$E$12,"",Upgrades!$C$12*POWER(Upgrades!$D$12,K82))</f>
        <v/>
      </c>
      <c r="AN82" s="26">
        <f>IF(AND(D82&gt;=Parameters!$B$18,(H82&gt;=Upgrades!$E$9)*(K82&gt;=Upgrades!$E$12)=1,L82=0),1,"")</f>
        <v/>
      </c>
      <c r="AO82" s="26">
        <f>IF(AND(D82&gt;=Parameters!$B$18,L82=0),1,"")</f>
        <v/>
      </c>
      <c r="AP82" s="22">
        <f>MIN(IF(ISNUMBER(AK82),AK82,9E15),IF(ISNUMBER(AL82),AL82,9E15),IF(ISNUMBER(AM82),AM82,9E15))</f>
        <v/>
      </c>
      <c r="AQ82" s="22">
        <f>MIN(IF(ISNUMBER(AG82),AG82,9E15),IF(ISNUMBER(AH82),AH82,9E15),IF(ISNUMBER(AI82),AI82,9E15),IF(ISNUMBER(AJ82),AJ82,9E15))</f>
        <v/>
      </c>
      <c r="AR82" s="29">
        <f>IF(AW82&gt;Parameters!$B$21*(MAX(IF(AND(NOT(AND(AO82=1,AN82&lt;&gt;1)),ISNUMBER(AG82),AG82&lt;=T82),AS82,0),IF(AND(NOT(AND(AO82=1,AN82&lt;&gt;1)),ISNUMBER(AH82),AH82&lt;=T82),AT82,0),IF(AND(NOT(AND(AO82=1,AN82&lt;&gt;1)),ISNUMBER(AI82),AI82&lt;=T82),AU82,0),IF(AND(ISNUMBER(AJ82),AJ82&lt;=T82),AV82,0))),TRUE,FALSE)</f>
        <v/>
      </c>
      <c r="AS82" s="32">
        <f>IFERROR(Upgrades!$H$6*(POWER(Upgrades!$P$6,E82)*POWER(Upgrades!$P$7,F82)*POWER(Upgrades!$P$8,G82)*POWER(Upgrades!$P$9,H82)*POWER(Upgrades!$P$10,I82)*POWER(Upgrades!$P$11,J82)*POWER(Upgrades!$P$12,K82))*(IF(Upgrades!$T$7="Solar Wind",POWER(Upgrades!$U$7,F82),1)*IF(Upgrades!$T$8="Solar Wind",POWER(Upgrades!$U$8,G82),1)*IF(Upgrades!$T$9="Solar Wind",POWER(Upgrades!$U$9,H82),1)*IF(Upgrades!$T$10="Solar Wind",POWER(Upgrades!$U$10,I82),1)*IF(Upgrades!$T$11="Solar Wind",POWER(Upgrades!$U$11,J82),1)*IF(Upgrades!$T$12="Solar Wind",POWER(Upgrades!$U$12,K82),1))/AG82,0)</f>
        <v/>
      </c>
      <c r="AT82" s="32">
        <f>IFERROR(Upgrades!$H$7*(POWER(Upgrades!$P$6,E82)*POWER(Upgrades!$P$7,F82)*POWER(Upgrades!$P$8,G82)*POWER(Upgrades!$P$9,H82)*POWER(Upgrades!$P$10,I82)*POWER(Upgrades!$P$11,J82)*POWER(Upgrades!$P$12,K82))*(IF(Upgrades!$T$6="Asteroid Belt",POWER(Upgrades!$U$6,E82),1)*IF(Upgrades!$T$8="Asteroid Belt",POWER(Upgrades!$U$8,G82),1)*IF(Upgrades!$T$9="Asteroid Belt",POWER(Upgrades!$U$9,H82),1)*IF(Upgrades!$T$10="Asteroid Belt",POWER(Upgrades!$U$10,I82),1)*IF(Upgrades!$T$11="Asteroid Belt",POWER(Upgrades!$U$11,J82),1)*IF(Upgrades!$T$12="Asteroid Belt",POWER(Upgrades!$U$12,K82),1))/AH82,0)</f>
        <v/>
      </c>
      <c r="AU82" s="32">
        <f>IFERROR(Upgrades!$K$8*(POWER(Upgrades!$Q$6,E82)*POWER(Upgrades!$Q$7,F82)*POWER(Upgrades!$Q$8,G82)*POWER(Upgrades!$Q$9,H82)*POWER(Upgrades!$Q$10,I82)*POWER(Upgrades!$Q$11,J82)*POWER(Upgrades!$Q$12,K82))*(IF(Upgrades!$T$6="Stellar Coupling",POWER(Upgrades!$U$6,E82),1)*IF(Upgrades!$T$7="Stellar Coupling",POWER(Upgrades!$U$7,F82),1)*IF(Upgrades!$T$9="Stellar Coupling",POWER(Upgrades!$U$9,H82),1)*IF(Upgrades!$T$10="Stellar Coupling",POWER(Upgrades!$U$10,I82),1)*IF(Upgrades!$T$11="Stellar Coupling",POWER(Upgrades!$U$11,J82),1)*IF(Upgrades!$T$12="Stellar Coupling",POWER(Upgrades!$U$12,K82),1))*Parameters!$B$10*Parameters!$B$11/60/AI82,0)</f>
        <v/>
      </c>
      <c r="AV82" s="32">
        <f>IFERROR(Upgrades!$H$9*(POWER(Upgrades!$P$6,E82)*POWER(Upgrades!$P$7,F82)*POWER(Upgrades!$P$8,G82)*POWER(Upgrades!$P$9,H82)*POWER(Upgrades!$P$10,I82)*POWER(Upgrades!$P$11,J82)*POWER(Upgrades!$P$12,K82))*(IF(Upgrades!$T$6="Magnetosphere",POWER(Upgrades!$U$6,E82),1)*IF(Upgrades!$T$7="Magnetosphere",POWER(Upgrades!$U$7,F82),1)*IF(Upgrades!$T$8="Magnetosphere",POWER(Upgrades!$U$8,G82),1)*IF(Upgrades!$T$10="Magnetosphere",POWER(Upgrades!$U$10,I82),1)*IF(Upgrades!$T$11="Magnetosphere",POWER(Upgrades!$U$11,J82),1)*IF(Upgrades!$T$12="Magnetosphere",POWER(Upgrades!$U$12,K82),1))/AJ82,0)</f>
        <v/>
      </c>
      <c r="AW82" s="32">
        <f>MAX(IF(I82&gt;0,0,IFERROR(0.25*N82/Upgrades!$C$10,0)),IF(J82&gt;0,0,IFERROR(0.5*((IF(G82=0,0,(Upgrades!$J$8+G82*Upgrades!$K$8)*POWER(Upgrades!$L$8,G82)))*(IF(Upgrades!$T$6="Stellar Coupling",POWER(Upgrades!$U$6,E82),1)*IF(Upgrades!$T$7="Stellar Coupling",POWER(Upgrades!$U$7,F82),1)*IF(Upgrades!$T$9="Stellar Coupling",POWER(Upgrades!$U$9,H82),1)*IF(Upgrades!$T$10="Stellar Coupling",POWER(Upgrades!$U$10,I82),1)*IF(Upgrades!$T$11="Stellar Coupling",POWER(Upgrades!$U$11,J82),1)*IF(Upgrades!$T$12="Stellar Coupling",POWER(Upgrades!$U$12,K82),1))*(POWER(Upgrades!$Q$6,E82)*POWER(Upgrades!$Q$7,F82)*POWER(Upgrades!$Q$8,G82)*POWER(Upgrades!$Q$9,H82)*POWER(Upgrades!$Q$10,I82)*POWER(Upgrades!$Q$11,J82)*POWER(Upgrades!$Q$12,K82))*Parameters!$B$10*Parameters!$B$11/60)/Upgrades!$C$11,0)),IF(K82&gt;0,0,IFERROR((1.0*(POWER(Upgrades!$P$6,E82)*POWER(Upgrades!$P$7,F82)*POWER(Upgrades!$P$8,G82)*POWER(Upgrades!$P$9,H82)*POWER(Upgrades!$P$10,I82)*POWER(Upgrades!$P$11,J82)*POWER(Upgrades!$P$12,K82))+0.20*M82*Parameters!$B$10*Parameters!$B$11/60)/Upgrades!$C$12,0)),IF(AND(ISNUMBER(AG82),AG82&gt;T82),AS82,0),IF(AND(ISNUMBER(AH82),AH82&gt;T82),AT82,0),IF(AND(ISNUMBER(AI82),AI82&gt;T82),AU82,0),IF(AND(ISNUMBER(AJ82),AJ82&gt;T82),AV82,0))</f>
        <v/>
      </c>
      <c r="AX82" s="29">
        <f>IF(AN82=1,"transition",IF(MIN(IF(AND(I82=0,ISNUMBER(AK82),AK82&lt;=T82),AK82,9E15),IF(AND(J82=0,ISNUMBER(AL82),AL82&lt;=T82),AL82,9E15),IF(AND(K82=0,ISNUMBER(AM82),AM82&lt;=T82),AM82,9E15))&lt;9E15,IF(AND(AND(I82=0,ISNUMBER(AK82),AK82&lt;=T82),AK82=MIN(IF(AND(I82=0,ISNUMBER(AK82),AK82&lt;=T82),AK82,9E15),IF(AND(J82=0,ISNUMBER(AL82),AL82&lt;=T82),AL82,9E15),IF(AND(K82=0,ISNUMBER(AM82),AM82&lt;=T82),AM82,9E15))),"OR",IF(AND(AND(J82=0,ISNUMBER(AL82),AL82&lt;=T82),AL82=MIN(IF(AND(I82=0,ISNUMBER(AK82),AK82&lt;=T82),AK82,9E15),IF(AND(J82=0,ISNUMBER(AL82),AL82&lt;=T82),AL82,9E15),IF(AND(K82=0,ISNUMBER(AM82),AM82&lt;=T82),AM82,9E15))),"HP","FP")),IF(AR82=TRUE,"",IF(MAX(IF(AND(NOT(AND(AO82=1,AN82&lt;&gt;1)),ISNUMBER(AG82),AG82&lt;=T82),AS82,0),IF(AND(NOT(AND(AO82=1,AN82&lt;&gt;1)),ISNUMBER(AH82),AH82&lt;=T82),AT82,0),IF(AND(NOT(AND(AO82=1,AN82&lt;&gt;1)),ISNUMBER(AI82),AI82&lt;=T82),AU82,0),IF(AND(ISNUMBER(AJ82),AJ82&lt;=T82),AV82,0))&lt;=0,"",IF(AND(IF(AND(NOT(AND(AO82=1,AN82&lt;&gt;1)),ISNUMBER(AG82),AG82&lt;=T82),AS82,0)&gt;0,IF(AND(NOT(AND(AO82=1,AN82&lt;&gt;1)),ISNUMBER(AG82),AG82&lt;=T82),AS82,0)=MAX(IF(AND(NOT(AND(AO82=1,AN82&lt;&gt;1)),ISNUMBER(AG82),AG82&lt;=T82),AS82,0),IF(AND(NOT(AND(AO82=1,AN82&lt;&gt;1)),ISNUMBER(AH82),AH82&lt;=T82),AT82,0),IF(AND(NOT(AND(AO82=1,AN82&lt;&gt;1)),ISNUMBER(AI82),AI82&lt;=T82),AU82,0),IF(AND(ISNUMBER(AJ82),AJ82&lt;=T82),AV82,0))),"SW",IF(AND(IF(AND(NOT(AND(AO82=1,AN82&lt;&gt;1)),ISNUMBER(AH82),AH82&lt;=T82),AT82,0)&gt;0,IF(AND(NOT(AND(AO82=1,AN82&lt;&gt;1)),ISNUMBER(AH82),AH82&lt;=T82),AT82,0)=MAX(IF(AND(NOT(AND(AO82=1,AN82&lt;&gt;1)),ISNUMBER(AG82),AG82&lt;=T82),AS82,0),IF(AND(NOT(AND(AO82=1,AN82&lt;&gt;1)),ISNUMBER(AH82),AH82&lt;=T82),AT82,0),IF(AND(NOT(AND(AO82=1,AN82&lt;&gt;1)),ISNUMBER(AI82),AI82&lt;=T82),AU82,0),IF(AND(ISNUMBER(AJ82),AJ82&lt;=T82),AV82,0))),"AB",IF(AND(IF(AND(NOT(AND(AO82=1,AN82&lt;&gt;1)),ISNUMBER(AI82),AI82&lt;=T82),AU82,0)&gt;0,IF(AND(NOT(AND(AO82=1,AN82&lt;&gt;1)),ISNUMBER(AI82),AI82&lt;=T82),AU82,0)=MAX(IF(AND(NOT(AND(AO82=1,AN82&lt;&gt;1)),ISNUMBER(AG82),AG82&lt;=T82),AS82,0),IF(AND(NOT(AND(AO82=1,AN82&lt;&gt;1)),ISNUMBER(AH82),AH82&lt;=T82),AT82,0),IF(AND(NOT(AND(AO82=1,AN82&lt;&gt;1)),ISNUMBER(AI82),AI82&lt;=T82),AU82,0),IF(AND(ISNUMBER(AJ82),AJ82&lt;=T82),AV82,0))),"SC","Mag")))))))</f>
        <v/>
      </c>
    </row>
    <row r="83">
      <c r="A83" s="26" t="n">
        <v>78</v>
      </c>
      <c r="B83" s="27">
        <f>A83*10/60</f>
        <v/>
      </c>
      <c r="C83" s="22">
        <f>X82</f>
        <v/>
      </c>
      <c r="D83" s="27">
        <f>D82+W82</f>
        <v/>
      </c>
      <c r="E83" s="26">
        <f>E82+IF(U82="SW",1,0)</f>
        <v/>
      </c>
      <c r="F83" s="26">
        <f>F82+IF(U82="AB",1,0)</f>
        <v/>
      </c>
      <c r="G83" s="26">
        <f>G82+IF(U82="SC",1,0)</f>
        <v/>
      </c>
      <c r="H83" s="26">
        <f>H82+IF(U82="Mag",1,0)</f>
        <v/>
      </c>
      <c r="I83" s="26">
        <f>MAX(I82,IF(U82="OR",1,0))</f>
        <v/>
      </c>
      <c r="J83" s="26">
        <f>MAX(J82,IF(U82="HP",1,0))</f>
        <v/>
      </c>
      <c r="K83" s="26">
        <f>MAX(K82,IF(U82="FP",1,0))</f>
        <v/>
      </c>
      <c r="L83" s="26">
        <f>MAX(L82,IF(U82="transition",1,0))</f>
        <v/>
      </c>
      <c r="M83" s="28">
        <f>(Parameters!$B$9+(IF(E83=0,0,(Upgrades!$J$6+E83*Upgrades!$K$6)*POWER(Upgrades!$L$6,E83)))*(IF(Upgrades!$T$7="Solar Wind",POWER(Upgrades!$U$7,F83),1)*IF(Upgrades!$T$8="Solar Wind",POWER(Upgrades!$U$8,G83),1)*IF(Upgrades!$T$9="Solar Wind",POWER(Upgrades!$U$9,H83),1)*IF(Upgrades!$T$10="Solar Wind",POWER(Upgrades!$U$10,I83),1)*IF(Upgrades!$T$11="Solar Wind",POWER(Upgrades!$U$11,J83),1)*IF(Upgrades!$T$12="Solar Wind",POWER(Upgrades!$U$12,K83),1))+(IF(F83=0,0,(Upgrades!$J$7+F83*Upgrades!$K$7)*POWER(Upgrades!$L$7,F83)))*(IF(Upgrades!$T$6="Asteroid Belt",POWER(Upgrades!$U$6,E83),1)*IF(Upgrades!$T$8="Asteroid Belt",POWER(Upgrades!$U$8,G83),1)*IF(Upgrades!$T$9="Asteroid Belt",POWER(Upgrades!$U$9,H83),1)*IF(Upgrades!$T$10="Asteroid Belt",POWER(Upgrades!$U$10,I83),1)*IF(Upgrades!$T$11="Asteroid Belt",POWER(Upgrades!$U$11,J83),1)*IF(Upgrades!$T$12="Asteroid Belt",POWER(Upgrades!$U$12,K83),1))+(IF(G83=0,0,(Upgrades!$J$8+G83*Upgrades!$K$8)*POWER(Upgrades!$L$8,G83)))*(IF(Upgrades!$T$6="Stellar Coupling",POWER(Upgrades!$U$6,E83),1)*IF(Upgrades!$T$7="Stellar Coupling",POWER(Upgrades!$U$7,F83),1)*IF(Upgrades!$T$9="Stellar Coupling",POWER(Upgrades!$U$9,H83),1)*IF(Upgrades!$T$10="Stellar Coupling",POWER(Upgrades!$U$10,I83),1)*IF(Upgrades!$T$11="Stellar Coupling",POWER(Upgrades!$U$11,J83),1)*IF(Upgrades!$T$12="Stellar Coupling",POWER(Upgrades!$U$12,K83),1))+(IF(H83=0,0,(Upgrades!$J$9+H83*Upgrades!$K$9)*POWER(Upgrades!$L$9,H83)))*(IF(Upgrades!$T$6="Magnetosphere",POWER(Upgrades!$U$6,E83),1)*IF(Upgrades!$T$7="Magnetosphere",POWER(Upgrades!$U$7,F83),1)*IF(Upgrades!$T$8="Magnetosphere",POWER(Upgrades!$U$8,G83),1)*IF(Upgrades!$T$10="Magnetosphere",POWER(Upgrades!$U$10,I83),1)*IF(Upgrades!$T$11="Magnetosphere",POWER(Upgrades!$U$11,J83),1)*IF(Upgrades!$T$12="Magnetosphere",POWER(Upgrades!$U$12,K83),1))+(IF(I83=0,0,(Upgrades!$J$10+I83*Upgrades!$K$10)*POWER(Upgrades!$L$10,I83)))*(IF(Upgrades!$T$6="Orbital Resonance",POWER(Upgrades!$U$6,E83),1)*IF(Upgrades!$T$7="Orbital Resonance",POWER(Upgrades!$U$7,F83),1)*IF(Upgrades!$T$8="Orbital Resonance",POWER(Upgrades!$U$8,G83),1)*IF(Upgrades!$T$9="Orbital Resonance",POWER(Upgrades!$U$9,H83),1)*IF(Upgrades!$T$11="Orbital Resonance",POWER(Upgrades!$U$11,J83),1)*IF(Upgrades!$T$12="Orbital Resonance",POWER(Upgrades!$U$12,K83),1))+(IF(J83=0,0,(Upgrades!$J$11+J83*Upgrades!$K$11)*POWER(Upgrades!$L$11,J83)))*(IF(Upgrades!$T$6="Heliopause",POWER(Upgrades!$U$6,E83),1)*IF(Upgrades!$T$7="Heliopause",POWER(Upgrades!$U$7,F83),1)*IF(Upgrades!$T$8="Heliopause",POWER(Upgrades!$U$8,G83),1)*IF(Upgrades!$T$9="Heliopause",POWER(Upgrades!$U$9,H83),1)*IF(Upgrades!$T$10="Heliopause",POWER(Upgrades!$U$10,I83),1)*IF(Upgrades!$T$12="Heliopause",POWER(Upgrades!$U$12,K83),1))+(IF(K83=0,0,(Upgrades!$J$12+K83*Upgrades!$K$12)*POWER(Upgrades!$L$12,K83)))*(IF(Upgrades!$T$6="First Photons",POWER(Upgrades!$U$6,E83),1)*IF(Upgrades!$T$7="First Photons",POWER(Upgrades!$U$7,F83),1)*IF(Upgrades!$T$8="First Photons",POWER(Upgrades!$U$8,G83),1)*IF(Upgrades!$T$9="First Photons",POWER(Upgrades!$U$9,H83),1)*IF(Upgrades!$T$10="First Photons",POWER(Upgrades!$U$10,I83),1)*IF(Upgrades!$T$11="First Photons",POWER(Upgrades!$U$11,J83),1)))*POWER(Upgrades!$Q$6,E83)*POWER(Upgrades!$Q$7,F83)*POWER(Upgrades!$Q$8,G83)*POWER(Upgrades!$Q$9,H83)*POWER(Upgrades!$Q$10,I83)*POWER(Upgrades!$Q$11,J83)*POWER(Upgrades!$Q$12,K83)</f>
        <v/>
      </c>
      <c r="N83" s="28">
        <f>((IF(E83=0,0,(Upgrades!$G$6+E83*Upgrades!$H$6)*POWER(Upgrades!$I$6,E83)))*(IF(Upgrades!$T$7="Solar Wind",POWER(Upgrades!$U$7,F83),1)*IF(Upgrades!$T$8="Solar Wind",POWER(Upgrades!$U$8,G83),1)*IF(Upgrades!$T$9="Solar Wind",POWER(Upgrades!$U$9,H83),1)*IF(Upgrades!$T$10="Solar Wind",POWER(Upgrades!$U$10,I83),1)*IF(Upgrades!$T$11="Solar Wind",POWER(Upgrades!$U$11,J83),1)*IF(Upgrades!$T$12="Solar Wind",POWER(Upgrades!$U$12,K83),1))+(IF(F83=0,0,(Upgrades!$G$7+F83*Upgrades!$H$7)*POWER(Upgrades!$I$7,F83)))*(IF(Upgrades!$T$6="Asteroid Belt",POWER(Upgrades!$U$6,E83),1)*IF(Upgrades!$T$8="Asteroid Belt",POWER(Upgrades!$U$8,G83),1)*IF(Upgrades!$T$9="Asteroid Belt",POWER(Upgrades!$U$9,H83),1)*IF(Upgrades!$T$10="Asteroid Belt",POWER(Upgrades!$U$10,I83),1)*IF(Upgrades!$T$11="Asteroid Belt",POWER(Upgrades!$U$11,J83),1)*IF(Upgrades!$T$12="Asteroid Belt",POWER(Upgrades!$U$12,K83),1))+(IF(G83=0,0,(Upgrades!$G$8+G83*Upgrades!$H$8)*POWER(Upgrades!$I$8,G83)))*(IF(Upgrades!$T$6="Stellar Coupling",POWER(Upgrades!$U$6,E83),1)*IF(Upgrades!$T$7="Stellar Coupling",POWER(Upgrades!$U$7,F83),1)*IF(Upgrades!$T$9="Stellar Coupling",POWER(Upgrades!$U$9,H83),1)*IF(Upgrades!$T$10="Stellar Coupling",POWER(Upgrades!$U$10,I83),1)*IF(Upgrades!$T$11="Stellar Coupling",POWER(Upgrades!$U$11,J83),1)*IF(Upgrades!$T$12="Stellar Coupling",POWER(Upgrades!$U$12,K83),1))+(IF(H83=0,0,(Upgrades!$G$9+H83*Upgrades!$H$9)*POWER(Upgrades!$I$9,H83)))*(IF(Upgrades!$T$6="Magnetosphere",POWER(Upgrades!$U$6,E83),1)*IF(Upgrades!$T$7="Magnetosphere",POWER(Upgrades!$U$7,F83),1)*IF(Upgrades!$T$8="Magnetosphere",POWER(Upgrades!$U$8,G83),1)*IF(Upgrades!$T$10="Magnetosphere",POWER(Upgrades!$U$10,I83),1)*IF(Upgrades!$T$11="Magnetosphere",POWER(Upgrades!$U$11,J83),1)*IF(Upgrades!$T$12="Magnetosphere",POWER(Upgrades!$U$12,K83),1))+(IF(I83=0,0,(Upgrades!$G$10+I83*Upgrades!$H$10)*POWER(Upgrades!$I$10,I83)))*(IF(Upgrades!$T$6="Orbital Resonance",POWER(Upgrades!$U$6,E83),1)*IF(Upgrades!$T$7="Orbital Resonance",POWER(Upgrades!$U$7,F83),1)*IF(Upgrades!$T$8="Orbital Resonance",POWER(Upgrades!$U$8,G83),1)*IF(Upgrades!$T$9="Orbital Resonance",POWER(Upgrades!$U$9,H83),1)*IF(Upgrades!$T$11="Orbital Resonance",POWER(Upgrades!$U$11,J83),1)*IF(Upgrades!$T$12="Orbital Resonance",POWER(Upgrades!$U$12,K83),1))+(IF(J83=0,0,(Upgrades!$G$11+J83*Upgrades!$H$11)*POWER(Upgrades!$I$11,J83)))*(IF(Upgrades!$T$6="Heliopause",POWER(Upgrades!$U$6,E83),1)*IF(Upgrades!$T$7="Heliopause",POWER(Upgrades!$U$7,F83),1)*IF(Upgrades!$T$8="Heliopause",POWER(Upgrades!$U$8,G83),1)*IF(Upgrades!$T$9="Heliopause",POWER(Upgrades!$U$9,H83),1)*IF(Upgrades!$T$10="Heliopause",POWER(Upgrades!$U$10,I83),1)*IF(Upgrades!$T$12="Heliopause",POWER(Upgrades!$U$12,K83),1))+(IF(K83=0,0,(Upgrades!$G$12+K83*Upgrades!$H$12)*POWER(Upgrades!$I$12,K83)))*(IF(Upgrades!$T$6="First Photons",POWER(Upgrades!$U$6,E83),1)*IF(Upgrades!$T$7="First Photons",POWER(Upgrades!$U$7,F83),1)*IF(Upgrades!$T$8="First Photons",POWER(Upgrades!$U$8,G83),1)*IF(Upgrades!$T$9="First Photons",POWER(Upgrades!$U$9,H83),1)*IF(Upgrades!$T$10="First Photons",POWER(Upgrades!$U$10,I83),1)*IF(Upgrades!$T$11="First Photons",POWER(Upgrades!$U$11,J83),1)))*POWER(Upgrades!$P$6,E83)*POWER(Upgrades!$P$7,F83)*POWER(Upgrades!$P$8,G83)*POWER(Upgrades!$P$9,H83)*POWER(Upgrades!$P$10,I83)*POWER(Upgrades!$P$11,J83)*POWER(Upgrades!$P$12,K83)</f>
        <v/>
      </c>
      <c r="O83" s="28">
        <f>((IF(E83=0,0,(Upgrades!$M$6+E83*Upgrades!$N$6)*POWER(Upgrades!$O$6,E83)))*(IF(Upgrades!$T$7="Solar Wind",POWER(Upgrades!$U$7,F83),1)*IF(Upgrades!$T$8="Solar Wind",POWER(Upgrades!$U$8,G83),1)*IF(Upgrades!$T$9="Solar Wind",POWER(Upgrades!$U$9,H83),1)*IF(Upgrades!$T$10="Solar Wind",POWER(Upgrades!$U$10,I83),1)*IF(Upgrades!$T$11="Solar Wind",POWER(Upgrades!$U$11,J83),1)*IF(Upgrades!$T$12="Solar Wind",POWER(Upgrades!$U$12,K83),1))+(IF(F83=0,0,(Upgrades!$M$7+F83*Upgrades!$N$7)*POWER(Upgrades!$O$7,F83)))*(IF(Upgrades!$T$6="Asteroid Belt",POWER(Upgrades!$U$6,E83),1)*IF(Upgrades!$T$8="Asteroid Belt",POWER(Upgrades!$U$8,G83),1)*IF(Upgrades!$T$9="Asteroid Belt",POWER(Upgrades!$U$9,H83),1)*IF(Upgrades!$T$10="Asteroid Belt",POWER(Upgrades!$U$10,I83),1)*IF(Upgrades!$T$11="Asteroid Belt",POWER(Upgrades!$U$11,J83),1)*IF(Upgrades!$T$12="Asteroid Belt",POWER(Upgrades!$U$12,K83),1))+(IF(G83=0,0,(Upgrades!$M$8+G83*Upgrades!$N$8)*POWER(Upgrades!$O$8,G83)))*(IF(Upgrades!$T$6="Stellar Coupling",POWER(Upgrades!$U$6,E83),1)*IF(Upgrades!$T$7="Stellar Coupling",POWER(Upgrades!$U$7,F83),1)*IF(Upgrades!$T$9="Stellar Coupling",POWER(Upgrades!$U$9,H83),1)*IF(Upgrades!$T$10="Stellar Coupling",POWER(Upgrades!$U$10,I83),1)*IF(Upgrades!$T$11="Stellar Coupling",POWER(Upgrades!$U$11,J83),1)*IF(Upgrades!$T$12="Stellar Coupling",POWER(Upgrades!$U$12,K83),1))+(IF(H83=0,0,(Upgrades!$M$9+H83*Upgrades!$N$9)*POWER(Upgrades!$O$9,H83)))*(IF(Upgrades!$T$6="Magnetosphere",POWER(Upgrades!$U$6,E83),1)*IF(Upgrades!$T$7="Magnetosphere",POWER(Upgrades!$U$7,F83),1)*IF(Upgrades!$T$8="Magnetosphere",POWER(Upgrades!$U$8,G83),1)*IF(Upgrades!$T$10="Magnetosphere",POWER(Upgrades!$U$10,I83),1)*IF(Upgrades!$T$11="Magnetosphere",POWER(Upgrades!$U$11,J83),1)*IF(Upgrades!$T$12="Magnetosphere",POWER(Upgrades!$U$12,K83),1))+(IF(I83=0,0,(Upgrades!$M$10+I83*Upgrades!$N$10)*POWER(Upgrades!$O$10,I83)))*(IF(Upgrades!$T$6="Orbital Resonance",POWER(Upgrades!$U$6,E83),1)*IF(Upgrades!$T$7="Orbital Resonance",POWER(Upgrades!$U$7,F83),1)*IF(Upgrades!$T$8="Orbital Resonance",POWER(Upgrades!$U$8,G83),1)*IF(Upgrades!$T$9="Orbital Resonance",POWER(Upgrades!$U$9,H83),1)*IF(Upgrades!$T$11="Orbital Resonance",POWER(Upgrades!$U$11,J83),1)*IF(Upgrades!$T$12="Orbital Resonance",POWER(Upgrades!$U$12,K83),1))+(IF(J83=0,0,(Upgrades!$M$11+J83*Upgrades!$N$11)*POWER(Upgrades!$O$11,J83)))*(IF(Upgrades!$T$6="Heliopause",POWER(Upgrades!$U$6,E83),1)*IF(Upgrades!$T$7="Heliopause",POWER(Upgrades!$U$7,F83),1)*IF(Upgrades!$T$8="Heliopause",POWER(Upgrades!$U$8,G83),1)*IF(Upgrades!$T$9="Heliopause",POWER(Upgrades!$U$9,H83),1)*IF(Upgrades!$T$10="Heliopause",POWER(Upgrades!$U$10,I83),1)*IF(Upgrades!$T$12="Heliopause",POWER(Upgrades!$U$12,K83),1))+(IF(K83=0,0,(Upgrades!$M$12+K83*Upgrades!$N$12)*POWER(Upgrades!$O$12,K83)))*(IF(Upgrades!$T$6="First Photons",POWER(Upgrades!$U$6,E83),1)*IF(Upgrades!$T$7="First Photons",POWER(Upgrades!$U$7,F83),1)*IF(Upgrades!$T$8="First Photons",POWER(Upgrades!$U$8,G83),1)*IF(Upgrades!$T$9="First Photons",POWER(Upgrades!$U$9,H83),1)*IF(Upgrades!$T$10="First Photons",POWER(Upgrades!$U$10,I83),1)*IF(Upgrades!$T$11="First Photons",POWER(Upgrades!$U$11,J83),1)))*POWER(Upgrades!$R$6,E83)*POWER(Upgrades!$R$7,F83)*POWER(Upgrades!$R$8,G83)*POWER(Upgrades!$R$9,H83)*POWER(Upgrades!$R$10,I83)*POWER(Upgrades!$R$11,J83)*POWER(Upgrades!$R$12,K83)</f>
        <v/>
      </c>
      <c r="P83" s="27">
        <f>IF(L83=1,0,M83*Parameters!$B$10/60*Parameters!$B$11*10)</f>
        <v/>
      </c>
      <c r="Q83" s="27">
        <f>IF(L83=1,0,O83*M83*10)</f>
        <v/>
      </c>
      <c r="R83" s="27">
        <f>IF(L83=1,0,N83*10)</f>
        <v/>
      </c>
      <c r="S83" s="27">
        <f>P83+Q83+R83</f>
        <v/>
      </c>
      <c r="T83" s="22">
        <f>C83+S83</f>
        <v/>
      </c>
      <c r="U83" s="33">
        <f>AX83</f>
        <v/>
      </c>
      <c r="V83" s="22">
        <f>IF(U83="",0,IF(U83="transition",0,IF(U83="SW",AG83,IF(U83="AB",AH83,IF(U83="SC",AI83,IF(U83="Mag",AJ83,IF(U83="OR",AK83,IF(U83="HP",AL83,IF(U83="FP",AM83,0)))))))))</f>
        <v/>
      </c>
      <c r="W83" s="27">
        <f>IF(U83="OR",Upgrades!$F$10,IF(U83="HP",Upgrades!$F$11,IF(U83="transition",-Parameters!$B$18,0)))</f>
        <v/>
      </c>
      <c r="X83" s="22">
        <f>T83-V83</f>
        <v/>
      </c>
      <c r="Y83" s="30">
        <f>M83*Parameters!$B$10/60*Parameters!$B$11+O83*M83+N83</f>
        <v/>
      </c>
      <c r="Z83" s="34">
        <f>IF(U83="transition","→ Tier 2 (Stellar Neighborhood)",IF(U83="FP","First Photons — light begins, system quickens",IF(U83="HP","Heliopause acquired",IF(U83="OR","Orbital Resonance — passive multiplier active",IF(AND(AO83=1,L83=0,AN83&lt;&gt;1),"Cohesion ready (waiting on completionist upgrades)","")))))</f>
        <v/>
      </c>
      <c r="AA83" s="27">
        <f>(IF(E83=0,0,(Upgrades!$G$6+E83*Upgrades!$H$6)*POWER(Upgrades!$I$6,E83)))*(IF(Upgrades!$T$7="Solar Wind",POWER(Upgrades!$U$7,F83),1)*IF(Upgrades!$T$8="Solar Wind",POWER(Upgrades!$U$8,G83),1)*IF(Upgrades!$T$9="Solar Wind",POWER(Upgrades!$U$9,H83),1)*IF(Upgrades!$T$10="Solar Wind",POWER(Upgrades!$U$10,I83),1)*IF(Upgrades!$T$11="Solar Wind",POWER(Upgrades!$U$11,J83),1)*IF(Upgrades!$T$12="Solar Wind",POWER(Upgrades!$U$12,K83),1))*POWER(Upgrades!$P$6,E83)*POWER(Upgrades!$P$7,F83)*POWER(Upgrades!$P$8,G83)*POWER(Upgrades!$P$9,H83)*POWER(Upgrades!$P$10,I83)*POWER(Upgrades!$P$11,J83)*POWER(Upgrades!$P$12,K83)*60</f>
        <v/>
      </c>
      <c r="AB83" s="27">
        <f>(IF(F83=0,0,(Upgrades!$G$7+F83*Upgrades!$H$7)*POWER(Upgrades!$I$7,F83)))*(IF(Upgrades!$T$6="Asteroid Belt",POWER(Upgrades!$U$6,E83),1)*IF(Upgrades!$T$8="Asteroid Belt",POWER(Upgrades!$U$8,G83),1)*IF(Upgrades!$T$9="Asteroid Belt",POWER(Upgrades!$U$9,H83),1)*IF(Upgrades!$T$10="Asteroid Belt",POWER(Upgrades!$U$10,I83),1)*IF(Upgrades!$T$11="Asteroid Belt",POWER(Upgrades!$U$11,J83),1)*IF(Upgrades!$T$12="Asteroid Belt",POWER(Upgrades!$U$12,K83),1))*POWER(Upgrades!$P$6,E83)*POWER(Upgrades!$P$7,F83)*POWER(Upgrades!$P$8,G83)*POWER(Upgrades!$P$9,H83)*POWER(Upgrades!$P$10,I83)*POWER(Upgrades!$P$11,J83)*POWER(Upgrades!$P$12,K83)*60</f>
        <v/>
      </c>
      <c r="AC83" s="27">
        <f>(IF(G83=0,0,(Upgrades!$J$8+G83*Upgrades!$K$8)*POWER(Upgrades!$L$8,G83)))*(IF(Upgrades!$T$6="Stellar Coupling",POWER(Upgrades!$U$6,E83),1)*IF(Upgrades!$T$7="Stellar Coupling",POWER(Upgrades!$U$7,F83),1)*IF(Upgrades!$T$9="Stellar Coupling",POWER(Upgrades!$U$9,H83),1)*IF(Upgrades!$T$10="Stellar Coupling",POWER(Upgrades!$U$10,I83),1)*IF(Upgrades!$T$11="Stellar Coupling",POWER(Upgrades!$U$11,J83),1)*IF(Upgrades!$T$12="Stellar Coupling",POWER(Upgrades!$U$12,K83),1))*POWER(Upgrades!$Q$6,E83)*POWER(Upgrades!$Q$7,F83)*POWER(Upgrades!$Q$8,G83)*POWER(Upgrades!$Q$9,H83)*POWER(Upgrades!$Q$10,I83)*POWER(Upgrades!$Q$11,J83)*POWER(Upgrades!$Q$12,K83)*Parameters!$B$10*Parameters!$B$11</f>
        <v/>
      </c>
      <c r="AD83" s="27">
        <f>(IF(H83=0,0,(Upgrades!$G$9+H83*Upgrades!$H$9)*POWER(Upgrades!$I$9,H83)))*(IF(Upgrades!$T$6="Magnetosphere",POWER(Upgrades!$U$6,E83),1)*IF(Upgrades!$T$7="Magnetosphere",POWER(Upgrades!$U$7,F83),1)*IF(Upgrades!$T$8="Magnetosphere",POWER(Upgrades!$U$8,G83),1)*IF(Upgrades!$T$10="Magnetosphere",POWER(Upgrades!$U$10,I83),1)*IF(Upgrades!$T$11="Magnetosphere",POWER(Upgrades!$U$11,J83),1)*IF(Upgrades!$T$12="Magnetosphere",POWER(Upgrades!$U$12,K83),1))*POWER(Upgrades!$P$6,E83)*POWER(Upgrades!$P$7,F83)*POWER(Upgrades!$P$8,G83)*POWER(Upgrades!$P$9,H83)*POWER(Upgrades!$P$10,I83)*POWER(Upgrades!$P$11,J83)*POWER(Upgrades!$P$12,K83)*60</f>
        <v/>
      </c>
      <c r="AE83" s="27">
        <f>(IF(K83=0,0,(Upgrades!$G$12+K83*Upgrades!$H$12)*POWER(Upgrades!$I$12,K83)))*(IF(Upgrades!$T$6="First Photons",POWER(Upgrades!$U$6,E83),1)*IF(Upgrades!$T$7="First Photons",POWER(Upgrades!$U$7,F83),1)*IF(Upgrades!$T$8="First Photons",POWER(Upgrades!$U$8,G83),1)*IF(Upgrades!$T$9="First Photons",POWER(Upgrades!$U$9,H83),1)*IF(Upgrades!$T$10="First Photons",POWER(Upgrades!$U$10,I83),1)*IF(Upgrades!$T$11="First Photons",POWER(Upgrades!$U$11,J83),1))*POWER(Upgrades!$P$6,E83)*POWER(Upgrades!$P$7,F83)*POWER(Upgrades!$P$8,G83)*POWER(Upgrades!$P$9,H83)*POWER(Upgrades!$P$10,I83)*POWER(Upgrades!$P$11,J83)*POWER(Upgrades!$P$12,K83)*60</f>
        <v/>
      </c>
      <c r="AF83" s="27">
        <f>Parameters!$B$9*POWER(Upgrades!$Q$6,E83)*POWER(Upgrades!$Q$7,F83)*POWER(Upgrades!$Q$8,G83)*POWER(Upgrades!$Q$9,H83)*POWER(Upgrades!$Q$10,I83)*POWER(Upgrades!$Q$11,J83)*POWER(Upgrades!$Q$12,K83)*(Parameters!$B$10*Parameters!$B$11+O83*60)</f>
        <v/>
      </c>
      <c r="AG83" s="22">
        <f>IF(E83&gt;=Upgrades!$E$6,"",Upgrades!$C$6*POWER(Upgrades!$D$6,E83))</f>
        <v/>
      </c>
      <c r="AH83" s="22">
        <f>IF(F83&gt;=Upgrades!$E$7,"",Upgrades!$C$7*POWER(Upgrades!$D$7,F83))</f>
        <v/>
      </c>
      <c r="AI83" s="22">
        <f>IF(G83&gt;=Upgrades!$E$8,"",Upgrades!$C$8*POWER(Upgrades!$D$8,G83))</f>
        <v/>
      </c>
      <c r="AJ83" s="22">
        <f>IF(H83&gt;=Upgrades!$E$9,"",Upgrades!$C$9*POWER(Upgrades!$D$9,H83))</f>
        <v/>
      </c>
      <c r="AK83" s="22">
        <f>IF(I83&gt;=Upgrades!$E$10,"",Upgrades!$C$10*POWER(Upgrades!$D$10,I83))</f>
        <v/>
      </c>
      <c r="AL83" s="22">
        <f>IF(J83&gt;=Upgrades!$E$11,"",Upgrades!$C$11*POWER(Upgrades!$D$11,J83))</f>
        <v/>
      </c>
      <c r="AM83" s="22">
        <f>IF(K83&gt;=Upgrades!$E$12,"",Upgrades!$C$12*POWER(Upgrades!$D$12,K83))</f>
        <v/>
      </c>
      <c r="AN83" s="26">
        <f>IF(AND(D83&gt;=Parameters!$B$18,(H83&gt;=Upgrades!$E$9)*(K83&gt;=Upgrades!$E$12)=1,L83=0),1,"")</f>
        <v/>
      </c>
      <c r="AO83" s="26">
        <f>IF(AND(D83&gt;=Parameters!$B$18,L83=0),1,"")</f>
        <v/>
      </c>
      <c r="AP83" s="22">
        <f>MIN(IF(ISNUMBER(AK83),AK83,9E15),IF(ISNUMBER(AL83),AL83,9E15),IF(ISNUMBER(AM83),AM83,9E15))</f>
        <v/>
      </c>
      <c r="AQ83" s="22">
        <f>MIN(IF(ISNUMBER(AG83),AG83,9E15),IF(ISNUMBER(AH83),AH83,9E15),IF(ISNUMBER(AI83),AI83,9E15),IF(ISNUMBER(AJ83),AJ83,9E15))</f>
        <v/>
      </c>
      <c r="AR83" s="29">
        <f>IF(AW83&gt;Parameters!$B$21*(MAX(IF(AND(NOT(AND(AO83=1,AN83&lt;&gt;1)),ISNUMBER(AG83),AG83&lt;=T83),AS83,0),IF(AND(NOT(AND(AO83=1,AN83&lt;&gt;1)),ISNUMBER(AH83),AH83&lt;=T83),AT83,0),IF(AND(NOT(AND(AO83=1,AN83&lt;&gt;1)),ISNUMBER(AI83),AI83&lt;=T83),AU83,0),IF(AND(ISNUMBER(AJ83),AJ83&lt;=T83),AV83,0))),TRUE,FALSE)</f>
        <v/>
      </c>
      <c r="AS83" s="32">
        <f>IFERROR(Upgrades!$H$6*(POWER(Upgrades!$P$6,E83)*POWER(Upgrades!$P$7,F83)*POWER(Upgrades!$P$8,G83)*POWER(Upgrades!$P$9,H83)*POWER(Upgrades!$P$10,I83)*POWER(Upgrades!$P$11,J83)*POWER(Upgrades!$P$12,K83))*(IF(Upgrades!$T$7="Solar Wind",POWER(Upgrades!$U$7,F83),1)*IF(Upgrades!$T$8="Solar Wind",POWER(Upgrades!$U$8,G83),1)*IF(Upgrades!$T$9="Solar Wind",POWER(Upgrades!$U$9,H83),1)*IF(Upgrades!$T$10="Solar Wind",POWER(Upgrades!$U$10,I83),1)*IF(Upgrades!$T$11="Solar Wind",POWER(Upgrades!$U$11,J83),1)*IF(Upgrades!$T$12="Solar Wind",POWER(Upgrades!$U$12,K83),1))/AG83,0)</f>
        <v/>
      </c>
      <c r="AT83" s="32">
        <f>IFERROR(Upgrades!$H$7*(POWER(Upgrades!$P$6,E83)*POWER(Upgrades!$P$7,F83)*POWER(Upgrades!$P$8,G83)*POWER(Upgrades!$P$9,H83)*POWER(Upgrades!$P$10,I83)*POWER(Upgrades!$P$11,J83)*POWER(Upgrades!$P$12,K83))*(IF(Upgrades!$T$6="Asteroid Belt",POWER(Upgrades!$U$6,E83),1)*IF(Upgrades!$T$8="Asteroid Belt",POWER(Upgrades!$U$8,G83),1)*IF(Upgrades!$T$9="Asteroid Belt",POWER(Upgrades!$U$9,H83),1)*IF(Upgrades!$T$10="Asteroid Belt",POWER(Upgrades!$U$10,I83),1)*IF(Upgrades!$T$11="Asteroid Belt",POWER(Upgrades!$U$11,J83),1)*IF(Upgrades!$T$12="Asteroid Belt",POWER(Upgrades!$U$12,K83),1))/AH83,0)</f>
        <v/>
      </c>
      <c r="AU83" s="32">
        <f>IFERROR(Upgrades!$K$8*(POWER(Upgrades!$Q$6,E83)*POWER(Upgrades!$Q$7,F83)*POWER(Upgrades!$Q$8,G83)*POWER(Upgrades!$Q$9,H83)*POWER(Upgrades!$Q$10,I83)*POWER(Upgrades!$Q$11,J83)*POWER(Upgrades!$Q$12,K83))*(IF(Upgrades!$T$6="Stellar Coupling",POWER(Upgrades!$U$6,E83),1)*IF(Upgrades!$T$7="Stellar Coupling",POWER(Upgrades!$U$7,F83),1)*IF(Upgrades!$T$9="Stellar Coupling",POWER(Upgrades!$U$9,H83),1)*IF(Upgrades!$T$10="Stellar Coupling",POWER(Upgrades!$U$10,I83),1)*IF(Upgrades!$T$11="Stellar Coupling",POWER(Upgrades!$U$11,J83),1)*IF(Upgrades!$T$12="Stellar Coupling",POWER(Upgrades!$U$12,K83),1))*Parameters!$B$10*Parameters!$B$11/60/AI83,0)</f>
        <v/>
      </c>
      <c r="AV83" s="32">
        <f>IFERROR(Upgrades!$H$9*(POWER(Upgrades!$P$6,E83)*POWER(Upgrades!$P$7,F83)*POWER(Upgrades!$P$8,G83)*POWER(Upgrades!$P$9,H83)*POWER(Upgrades!$P$10,I83)*POWER(Upgrades!$P$11,J83)*POWER(Upgrades!$P$12,K83))*(IF(Upgrades!$T$6="Magnetosphere",POWER(Upgrades!$U$6,E83),1)*IF(Upgrades!$T$7="Magnetosphere",POWER(Upgrades!$U$7,F83),1)*IF(Upgrades!$T$8="Magnetosphere",POWER(Upgrades!$U$8,G83),1)*IF(Upgrades!$T$10="Magnetosphere",POWER(Upgrades!$U$10,I83),1)*IF(Upgrades!$T$11="Magnetosphere",POWER(Upgrades!$U$11,J83),1)*IF(Upgrades!$T$12="Magnetosphere",POWER(Upgrades!$U$12,K83),1))/AJ83,0)</f>
        <v/>
      </c>
      <c r="AW83" s="32">
        <f>MAX(IF(I83&gt;0,0,IFERROR(0.25*N83/Upgrades!$C$10,0)),IF(J83&gt;0,0,IFERROR(0.5*((IF(G83=0,0,(Upgrades!$J$8+G83*Upgrades!$K$8)*POWER(Upgrades!$L$8,G83)))*(IF(Upgrades!$T$6="Stellar Coupling",POWER(Upgrades!$U$6,E83),1)*IF(Upgrades!$T$7="Stellar Coupling",POWER(Upgrades!$U$7,F83),1)*IF(Upgrades!$T$9="Stellar Coupling",POWER(Upgrades!$U$9,H83),1)*IF(Upgrades!$T$10="Stellar Coupling",POWER(Upgrades!$U$10,I83),1)*IF(Upgrades!$T$11="Stellar Coupling",POWER(Upgrades!$U$11,J83),1)*IF(Upgrades!$T$12="Stellar Coupling",POWER(Upgrades!$U$12,K83),1))*(POWER(Upgrades!$Q$6,E83)*POWER(Upgrades!$Q$7,F83)*POWER(Upgrades!$Q$8,G83)*POWER(Upgrades!$Q$9,H83)*POWER(Upgrades!$Q$10,I83)*POWER(Upgrades!$Q$11,J83)*POWER(Upgrades!$Q$12,K83))*Parameters!$B$10*Parameters!$B$11/60)/Upgrades!$C$11,0)),IF(K83&gt;0,0,IFERROR((1.0*(POWER(Upgrades!$P$6,E83)*POWER(Upgrades!$P$7,F83)*POWER(Upgrades!$P$8,G83)*POWER(Upgrades!$P$9,H83)*POWER(Upgrades!$P$10,I83)*POWER(Upgrades!$P$11,J83)*POWER(Upgrades!$P$12,K83))+0.20*M83*Parameters!$B$10*Parameters!$B$11/60)/Upgrades!$C$12,0)),IF(AND(ISNUMBER(AG83),AG83&gt;T83),AS83,0),IF(AND(ISNUMBER(AH83),AH83&gt;T83),AT83,0),IF(AND(ISNUMBER(AI83),AI83&gt;T83),AU83,0),IF(AND(ISNUMBER(AJ83),AJ83&gt;T83),AV83,0))</f>
        <v/>
      </c>
      <c r="AX83" s="29">
        <f>IF(AN83=1,"transition",IF(MIN(IF(AND(I83=0,ISNUMBER(AK83),AK83&lt;=T83),AK83,9E15),IF(AND(J83=0,ISNUMBER(AL83),AL83&lt;=T83),AL83,9E15),IF(AND(K83=0,ISNUMBER(AM83),AM83&lt;=T83),AM83,9E15))&lt;9E15,IF(AND(AND(I83=0,ISNUMBER(AK83),AK83&lt;=T83),AK83=MIN(IF(AND(I83=0,ISNUMBER(AK83),AK83&lt;=T83),AK83,9E15),IF(AND(J83=0,ISNUMBER(AL83),AL83&lt;=T83),AL83,9E15),IF(AND(K83=0,ISNUMBER(AM83),AM83&lt;=T83),AM83,9E15))),"OR",IF(AND(AND(J83=0,ISNUMBER(AL83),AL83&lt;=T83),AL83=MIN(IF(AND(I83=0,ISNUMBER(AK83),AK83&lt;=T83),AK83,9E15),IF(AND(J83=0,ISNUMBER(AL83),AL83&lt;=T83),AL83,9E15),IF(AND(K83=0,ISNUMBER(AM83),AM83&lt;=T83),AM83,9E15))),"HP","FP")),IF(AR83=TRUE,"",IF(MAX(IF(AND(NOT(AND(AO83=1,AN83&lt;&gt;1)),ISNUMBER(AG83),AG83&lt;=T83),AS83,0),IF(AND(NOT(AND(AO83=1,AN83&lt;&gt;1)),ISNUMBER(AH83),AH83&lt;=T83),AT83,0),IF(AND(NOT(AND(AO83=1,AN83&lt;&gt;1)),ISNUMBER(AI83),AI83&lt;=T83),AU83,0),IF(AND(ISNUMBER(AJ83),AJ83&lt;=T83),AV83,0))&lt;=0,"",IF(AND(IF(AND(NOT(AND(AO83=1,AN83&lt;&gt;1)),ISNUMBER(AG83),AG83&lt;=T83),AS83,0)&gt;0,IF(AND(NOT(AND(AO83=1,AN83&lt;&gt;1)),ISNUMBER(AG83),AG83&lt;=T83),AS83,0)=MAX(IF(AND(NOT(AND(AO83=1,AN83&lt;&gt;1)),ISNUMBER(AG83),AG83&lt;=T83),AS83,0),IF(AND(NOT(AND(AO83=1,AN83&lt;&gt;1)),ISNUMBER(AH83),AH83&lt;=T83),AT83,0),IF(AND(NOT(AND(AO83=1,AN83&lt;&gt;1)),ISNUMBER(AI83),AI83&lt;=T83),AU83,0),IF(AND(ISNUMBER(AJ83),AJ83&lt;=T83),AV83,0))),"SW",IF(AND(IF(AND(NOT(AND(AO83=1,AN83&lt;&gt;1)),ISNUMBER(AH83),AH83&lt;=T83),AT83,0)&gt;0,IF(AND(NOT(AND(AO83=1,AN83&lt;&gt;1)),ISNUMBER(AH83),AH83&lt;=T83),AT83,0)=MAX(IF(AND(NOT(AND(AO83=1,AN83&lt;&gt;1)),ISNUMBER(AG83),AG83&lt;=T83),AS83,0),IF(AND(NOT(AND(AO83=1,AN83&lt;&gt;1)),ISNUMBER(AH83),AH83&lt;=T83),AT83,0),IF(AND(NOT(AND(AO83=1,AN83&lt;&gt;1)),ISNUMBER(AI83),AI83&lt;=T83),AU83,0),IF(AND(ISNUMBER(AJ83),AJ83&lt;=T83),AV83,0))),"AB",IF(AND(IF(AND(NOT(AND(AO83=1,AN83&lt;&gt;1)),ISNUMBER(AI83),AI83&lt;=T83),AU83,0)&gt;0,IF(AND(NOT(AND(AO83=1,AN83&lt;&gt;1)),ISNUMBER(AI83),AI83&lt;=T83),AU83,0)=MAX(IF(AND(NOT(AND(AO83=1,AN83&lt;&gt;1)),ISNUMBER(AG83),AG83&lt;=T83),AS83,0),IF(AND(NOT(AND(AO83=1,AN83&lt;&gt;1)),ISNUMBER(AH83),AH83&lt;=T83),AT83,0),IF(AND(NOT(AND(AO83=1,AN83&lt;&gt;1)),ISNUMBER(AI83),AI83&lt;=T83),AU83,0),IF(AND(ISNUMBER(AJ83),AJ83&lt;=T83),AV83,0))),"SC","Mag")))))))</f>
        <v/>
      </c>
    </row>
    <row r="84">
      <c r="A84" s="26" t="n">
        <v>79</v>
      </c>
      <c r="B84" s="27">
        <f>A84*10/60</f>
        <v/>
      </c>
      <c r="C84" s="22">
        <f>X83</f>
        <v/>
      </c>
      <c r="D84" s="27">
        <f>D83+W83</f>
        <v/>
      </c>
      <c r="E84" s="26">
        <f>E83+IF(U83="SW",1,0)</f>
        <v/>
      </c>
      <c r="F84" s="26">
        <f>F83+IF(U83="AB",1,0)</f>
        <v/>
      </c>
      <c r="G84" s="26">
        <f>G83+IF(U83="SC",1,0)</f>
        <v/>
      </c>
      <c r="H84" s="26">
        <f>H83+IF(U83="Mag",1,0)</f>
        <v/>
      </c>
      <c r="I84" s="26">
        <f>MAX(I83,IF(U83="OR",1,0))</f>
        <v/>
      </c>
      <c r="J84" s="26">
        <f>MAX(J83,IF(U83="HP",1,0))</f>
        <v/>
      </c>
      <c r="K84" s="26">
        <f>MAX(K83,IF(U83="FP",1,0))</f>
        <v/>
      </c>
      <c r="L84" s="26">
        <f>MAX(L83,IF(U83="transition",1,0))</f>
        <v/>
      </c>
      <c r="M84" s="28">
        <f>(Parameters!$B$9+(IF(E84=0,0,(Upgrades!$J$6+E84*Upgrades!$K$6)*POWER(Upgrades!$L$6,E84)))*(IF(Upgrades!$T$7="Solar Wind",POWER(Upgrades!$U$7,F84),1)*IF(Upgrades!$T$8="Solar Wind",POWER(Upgrades!$U$8,G84),1)*IF(Upgrades!$T$9="Solar Wind",POWER(Upgrades!$U$9,H84),1)*IF(Upgrades!$T$10="Solar Wind",POWER(Upgrades!$U$10,I84),1)*IF(Upgrades!$T$11="Solar Wind",POWER(Upgrades!$U$11,J84),1)*IF(Upgrades!$T$12="Solar Wind",POWER(Upgrades!$U$12,K84),1))+(IF(F84=0,0,(Upgrades!$J$7+F84*Upgrades!$K$7)*POWER(Upgrades!$L$7,F84)))*(IF(Upgrades!$T$6="Asteroid Belt",POWER(Upgrades!$U$6,E84),1)*IF(Upgrades!$T$8="Asteroid Belt",POWER(Upgrades!$U$8,G84),1)*IF(Upgrades!$T$9="Asteroid Belt",POWER(Upgrades!$U$9,H84),1)*IF(Upgrades!$T$10="Asteroid Belt",POWER(Upgrades!$U$10,I84),1)*IF(Upgrades!$T$11="Asteroid Belt",POWER(Upgrades!$U$11,J84),1)*IF(Upgrades!$T$12="Asteroid Belt",POWER(Upgrades!$U$12,K84),1))+(IF(G84=0,0,(Upgrades!$J$8+G84*Upgrades!$K$8)*POWER(Upgrades!$L$8,G84)))*(IF(Upgrades!$T$6="Stellar Coupling",POWER(Upgrades!$U$6,E84),1)*IF(Upgrades!$T$7="Stellar Coupling",POWER(Upgrades!$U$7,F84),1)*IF(Upgrades!$T$9="Stellar Coupling",POWER(Upgrades!$U$9,H84),1)*IF(Upgrades!$T$10="Stellar Coupling",POWER(Upgrades!$U$10,I84),1)*IF(Upgrades!$T$11="Stellar Coupling",POWER(Upgrades!$U$11,J84),1)*IF(Upgrades!$T$12="Stellar Coupling",POWER(Upgrades!$U$12,K84),1))+(IF(H84=0,0,(Upgrades!$J$9+H84*Upgrades!$K$9)*POWER(Upgrades!$L$9,H84)))*(IF(Upgrades!$T$6="Magnetosphere",POWER(Upgrades!$U$6,E84),1)*IF(Upgrades!$T$7="Magnetosphere",POWER(Upgrades!$U$7,F84),1)*IF(Upgrades!$T$8="Magnetosphere",POWER(Upgrades!$U$8,G84),1)*IF(Upgrades!$T$10="Magnetosphere",POWER(Upgrades!$U$10,I84),1)*IF(Upgrades!$T$11="Magnetosphere",POWER(Upgrades!$U$11,J84),1)*IF(Upgrades!$T$12="Magnetosphere",POWER(Upgrades!$U$12,K84),1))+(IF(I84=0,0,(Upgrades!$J$10+I84*Upgrades!$K$10)*POWER(Upgrades!$L$10,I84)))*(IF(Upgrades!$T$6="Orbital Resonance",POWER(Upgrades!$U$6,E84),1)*IF(Upgrades!$T$7="Orbital Resonance",POWER(Upgrades!$U$7,F84),1)*IF(Upgrades!$T$8="Orbital Resonance",POWER(Upgrades!$U$8,G84),1)*IF(Upgrades!$T$9="Orbital Resonance",POWER(Upgrades!$U$9,H84),1)*IF(Upgrades!$T$11="Orbital Resonance",POWER(Upgrades!$U$11,J84),1)*IF(Upgrades!$T$12="Orbital Resonance",POWER(Upgrades!$U$12,K84),1))+(IF(J84=0,0,(Upgrades!$J$11+J84*Upgrades!$K$11)*POWER(Upgrades!$L$11,J84)))*(IF(Upgrades!$T$6="Heliopause",POWER(Upgrades!$U$6,E84),1)*IF(Upgrades!$T$7="Heliopause",POWER(Upgrades!$U$7,F84),1)*IF(Upgrades!$T$8="Heliopause",POWER(Upgrades!$U$8,G84),1)*IF(Upgrades!$T$9="Heliopause",POWER(Upgrades!$U$9,H84),1)*IF(Upgrades!$T$10="Heliopause",POWER(Upgrades!$U$10,I84),1)*IF(Upgrades!$T$12="Heliopause",POWER(Upgrades!$U$12,K84),1))+(IF(K84=0,0,(Upgrades!$J$12+K84*Upgrades!$K$12)*POWER(Upgrades!$L$12,K84)))*(IF(Upgrades!$T$6="First Photons",POWER(Upgrades!$U$6,E84),1)*IF(Upgrades!$T$7="First Photons",POWER(Upgrades!$U$7,F84),1)*IF(Upgrades!$T$8="First Photons",POWER(Upgrades!$U$8,G84),1)*IF(Upgrades!$T$9="First Photons",POWER(Upgrades!$U$9,H84),1)*IF(Upgrades!$T$10="First Photons",POWER(Upgrades!$U$10,I84),1)*IF(Upgrades!$T$11="First Photons",POWER(Upgrades!$U$11,J84),1)))*POWER(Upgrades!$Q$6,E84)*POWER(Upgrades!$Q$7,F84)*POWER(Upgrades!$Q$8,G84)*POWER(Upgrades!$Q$9,H84)*POWER(Upgrades!$Q$10,I84)*POWER(Upgrades!$Q$11,J84)*POWER(Upgrades!$Q$12,K84)</f>
        <v/>
      </c>
      <c r="N84" s="28">
        <f>((IF(E84=0,0,(Upgrades!$G$6+E84*Upgrades!$H$6)*POWER(Upgrades!$I$6,E84)))*(IF(Upgrades!$T$7="Solar Wind",POWER(Upgrades!$U$7,F84),1)*IF(Upgrades!$T$8="Solar Wind",POWER(Upgrades!$U$8,G84),1)*IF(Upgrades!$T$9="Solar Wind",POWER(Upgrades!$U$9,H84),1)*IF(Upgrades!$T$10="Solar Wind",POWER(Upgrades!$U$10,I84),1)*IF(Upgrades!$T$11="Solar Wind",POWER(Upgrades!$U$11,J84),1)*IF(Upgrades!$T$12="Solar Wind",POWER(Upgrades!$U$12,K84),1))+(IF(F84=0,0,(Upgrades!$G$7+F84*Upgrades!$H$7)*POWER(Upgrades!$I$7,F84)))*(IF(Upgrades!$T$6="Asteroid Belt",POWER(Upgrades!$U$6,E84),1)*IF(Upgrades!$T$8="Asteroid Belt",POWER(Upgrades!$U$8,G84),1)*IF(Upgrades!$T$9="Asteroid Belt",POWER(Upgrades!$U$9,H84),1)*IF(Upgrades!$T$10="Asteroid Belt",POWER(Upgrades!$U$10,I84),1)*IF(Upgrades!$T$11="Asteroid Belt",POWER(Upgrades!$U$11,J84),1)*IF(Upgrades!$T$12="Asteroid Belt",POWER(Upgrades!$U$12,K84),1))+(IF(G84=0,0,(Upgrades!$G$8+G84*Upgrades!$H$8)*POWER(Upgrades!$I$8,G84)))*(IF(Upgrades!$T$6="Stellar Coupling",POWER(Upgrades!$U$6,E84),1)*IF(Upgrades!$T$7="Stellar Coupling",POWER(Upgrades!$U$7,F84),1)*IF(Upgrades!$T$9="Stellar Coupling",POWER(Upgrades!$U$9,H84),1)*IF(Upgrades!$T$10="Stellar Coupling",POWER(Upgrades!$U$10,I84),1)*IF(Upgrades!$T$11="Stellar Coupling",POWER(Upgrades!$U$11,J84),1)*IF(Upgrades!$T$12="Stellar Coupling",POWER(Upgrades!$U$12,K84),1))+(IF(H84=0,0,(Upgrades!$G$9+H84*Upgrades!$H$9)*POWER(Upgrades!$I$9,H84)))*(IF(Upgrades!$T$6="Magnetosphere",POWER(Upgrades!$U$6,E84),1)*IF(Upgrades!$T$7="Magnetosphere",POWER(Upgrades!$U$7,F84),1)*IF(Upgrades!$T$8="Magnetosphere",POWER(Upgrades!$U$8,G84),1)*IF(Upgrades!$T$10="Magnetosphere",POWER(Upgrades!$U$10,I84),1)*IF(Upgrades!$T$11="Magnetosphere",POWER(Upgrades!$U$11,J84),1)*IF(Upgrades!$T$12="Magnetosphere",POWER(Upgrades!$U$12,K84),1))+(IF(I84=0,0,(Upgrades!$G$10+I84*Upgrades!$H$10)*POWER(Upgrades!$I$10,I84)))*(IF(Upgrades!$T$6="Orbital Resonance",POWER(Upgrades!$U$6,E84),1)*IF(Upgrades!$T$7="Orbital Resonance",POWER(Upgrades!$U$7,F84),1)*IF(Upgrades!$T$8="Orbital Resonance",POWER(Upgrades!$U$8,G84),1)*IF(Upgrades!$T$9="Orbital Resonance",POWER(Upgrades!$U$9,H84),1)*IF(Upgrades!$T$11="Orbital Resonance",POWER(Upgrades!$U$11,J84),1)*IF(Upgrades!$T$12="Orbital Resonance",POWER(Upgrades!$U$12,K84),1))+(IF(J84=0,0,(Upgrades!$G$11+J84*Upgrades!$H$11)*POWER(Upgrades!$I$11,J84)))*(IF(Upgrades!$T$6="Heliopause",POWER(Upgrades!$U$6,E84),1)*IF(Upgrades!$T$7="Heliopause",POWER(Upgrades!$U$7,F84),1)*IF(Upgrades!$T$8="Heliopause",POWER(Upgrades!$U$8,G84),1)*IF(Upgrades!$T$9="Heliopause",POWER(Upgrades!$U$9,H84),1)*IF(Upgrades!$T$10="Heliopause",POWER(Upgrades!$U$10,I84),1)*IF(Upgrades!$T$12="Heliopause",POWER(Upgrades!$U$12,K84),1))+(IF(K84=0,0,(Upgrades!$G$12+K84*Upgrades!$H$12)*POWER(Upgrades!$I$12,K84)))*(IF(Upgrades!$T$6="First Photons",POWER(Upgrades!$U$6,E84),1)*IF(Upgrades!$T$7="First Photons",POWER(Upgrades!$U$7,F84),1)*IF(Upgrades!$T$8="First Photons",POWER(Upgrades!$U$8,G84),1)*IF(Upgrades!$T$9="First Photons",POWER(Upgrades!$U$9,H84),1)*IF(Upgrades!$T$10="First Photons",POWER(Upgrades!$U$10,I84),1)*IF(Upgrades!$T$11="First Photons",POWER(Upgrades!$U$11,J84),1)))*POWER(Upgrades!$P$6,E84)*POWER(Upgrades!$P$7,F84)*POWER(Upgrades!$P$8,G84)*POWER(Upgrades!$P$9,H84)*POWER(Upgrades!$P$10,I84)*POWER(Upgrades!$P$11,J84)*POWER(Upgrades!$P$12,K84)</f>
        <v/>
      </c>
      <c r="O84" s="28">
        <f>((IF(E84=0,0,(Upgrades!$M$6+E84*Upgrades!$N$6)*POWER(Upgrades!$O$6,E84)))*(IF(Upgrades!$T$7="Solar Wind",POWER(Upgrades!$U$7,F84),1)*IF(Upgrades!$T$8="Solar Wind",POWER(Upgrades!$U$8,G84),1)*IF(Upgrades!$T$9="Solar Wind",POWER(Upgrades!$U$9,H84),1)*IF(Upgrades!$T$10="Solar Wind",POWER(Upgrades!$U$10,I84),1)*IF(Upgrades!$T$11="Solar Wind",POWER(Upgrades!$U$11,J84),1)*IF(Upgrades!$T$12="Solar Wind",POWER(Upgrades!$U$12,K84),1))+(IF(F84=0,0,(Upgrades!$M$7+F84*Upgrades!$N$7)*POWER(Upgrades!$O$7,F84)))*(IF(Upgrades!$T$6="Asteroid Belt",POWER(Upgrades!$U$6,E84),1)*IF(Upgrades!$T$8="Asteroid Belt",POWER(Upgrades!$U$8,G84),1)*IF(Upgrades!$T$9="Asteroid Belt",POWER(Upgrades!$U$9,H84),1)*IF(Upgrades!$T$10="Asteroid Belt",POWER(Upgrades!$U$10,I84),1)*IF(Upgrades!$T$11="Asteroid Belt",POWER(Upgrades!$U$11,J84),1)*IF(Upgrades!$T$12="Asteroid Belt",POWER(Upgrades!$U$12,K84),1))+(IF(G84=0,0,(Upgrades!$M$8+G84*Upgrades!$N$8)*POWER(Upgrades!$O$8,G84)))*(IF(Upgrades!$T$6="Stellar Coupling",POWER(Upgrades!$U$6,E84),1)*IF(Upgrades!$T$7="Stellar Coupling",POWER(Upgrades!$U$7,F84),1)*IF(Upgrades!$T$9="Stellar Coupling",POWER(Upgrades!$U$9,H84),1)*IF(Upgrades!$T$10="Stellar Coupling",POWER(Upgrades!$U$10,I84),1)*IF(Upgrades!$T$11="Stellar Coupling",POWER(Upgrades!$U$11,J84),1)*IF(Upgrades!$T$12="Stellar Coupling",POWER(Upgrades!$U$12,K84),1))+(IF(H84=0,0,(Upgrades!$M$9+H84*Upgrades!$N$9)*POWER(Upgrades!$O$9,H84)))*(IF(Upgrades!$T$6="Magnetosphere",POWER(Upgrades!$U$6,E84),1)*IF(Upgrades!$T$7="Magnetosphere",POWER(Upgrades!$U$7,F84),1)*IF(Upgrades!$T$8="Magnetosphere",POWER(Upgrades!$U$8,G84),1)*IF(Upgrades!$T$10="Magnetosphere",POWER(Upgrades!$U$10,I84),1)*IF(Upgrades!$T$11="Magnetosphere",POWER(Upgrades!$U$11,J84),1)*IF(Upgrades!$T$12="Magnetosphere",POWER(Upgrades!$U$12,K84),1))+(IF(I84=0,0,(Upgrades!$M$10+I84*Upgrades!$N$10)*POWER(Upgrades!$O$10,I84)))*(IF(Upgrades!$T$6="Orbital Resonance",POWER(Upgrades!$U$6,E84),1)*IF(Upgrades!$T$7="Orbital Resonance",POWER(Upgrades!$U$7,F84),1)*IF(Upgrades!$T$8="Orbital Resonance",POWER(Upgrades!$U$8,G84),1)*IF(Upgrades!$T$9="Orbital Resonance",POWER(Upgrades!$U$9,H84),1)*IF(Upgrades!$T$11="Orbital Resonance",POWER(Upgrades!$U$11,J84),1)*IF(Upgrades!$T$12="Orbital Resonance",POWER(Upgrades!$U$12,K84),1))+(IF(J84=0,0,(Upgrades!$M$11+J84*Upgrades!$N$11)*POWER(Upgrades!$O$11,J84)))*(IF(Upgrades!$T$6="Heliopause",POWER(Upgrades!$U$6,E84),1)*IF(Upgrades!$T$7="Heliopause",POWER(Upgrades!$U$7,F84),1)*IF(Upgrades!$T$8="Heliopause",POWER(Upgrades!$U$8,G84),1)*IF(Upgrades!$T$9="Heliopause",POWER(Upgrades!$U$9,H84),1)*IF(Upgrades!$T$10="Heliopause",POWER(Upgrades!$U$10,I84),1)*IF(Upgrades!$T$12="Heliopause",POWER(Upgrades!$U$12,K84),1))+(IF(K84=0,0,(Upgrades!$M$12+K84*Upgrades!$N$12)*POWER(Upgrades!$O$12,K84)))*(IF(Upgrades!$T$6="First Photons",POWER(Upgrades!$U$6,E84),1)*IF(Upgrades!$T$7="First Photons",POWER(Upgrades!$U$7,F84),1)*IF(Upgrades!$T$8="First Photons",POWER(Upgrades!$U$8,G84),1)*IF(Upgrades!$T$9="First Photons",POWER(Upgrades!$U$9,H84),1)*IF(Upgrades!$T$10="First Photons",POWER(Upgrades!$U$10,I84),1)*IF(Upgrades!$T$11="First Photons",POWER(Upgrades!$U$11,J84),1)))*POWER(Upgrades!$R$6,E84)*POWER(Upgrades!$R$7,F84)*POWER(Upgrades!$R$8,G84)*POWER(Upgrades!$R$9,H84)*POWER(Upgrades!$R$10,I84)*POWER(Upgrades!$R$11,J84)*POWER(Upgrades!$R$12,K84)</f>
        <v/>
      </c>
      <c r="P84" s="27">
        <f>IF(L84=1,0,M84*Parameters!$B$10/60*Parameters!$B$11*10)</f>
        <v/>
      </c>
      <c r="Q84" s="27">
        <f>IF(L84=1,0,O84*M84*10)</f>
        <v/>
      </c>
      <c r="R84" s="27">
        <f>IF(L84=1,0,N84*10)</f>
        <v/>
      </c>
      <c r="S84" s="27">
        <f>P84+Q84+R84</f>
        <v/>
      </c>
      <c r="T84" s="22">
        <f>C84+S84</f>
        <v/>
      </c>
      <c r="U84" s="33">
        <f>AX84</f>
        <v/>
      </c>
      <c r="V84" s="22">
        <f>IF(U84="",0,IF(U84="transition",0,IF(U84="SW",AG84,IF(U84="AB",AH84,IF(U84="SC",AI84,IF(U84="Mag",AJ84,IF(U84="OR",AK84,IF(U84="HP",AL84,IF(U84="FP",AM84,0)))))))))</f>
        <v/>
      </c>
      <c r="W84" s="27">
        <f>IF(U84="OR",Upgrades!$F$10,IF(U84="HP",Upgrades!$F$11,IF(U84="transition",-Parameters!$B$18,0)))</f>
        <v/>
      </c>
      <c r="X84" s="22">
        <f>T84-V84</f>
        <v/>
      </c>
      <c r="Y84" s="30">
        <f>M84*Parameters!$B$10/60*Parameters!$B$11+O84*M84+N84</f>
        <v/>
      </c>
      <c r="Z84" s="34">
        <f>IF(U84="transition","→ Tier 2 (Stellar Neighborhood)",IF(U84="FP","First Photons — light begins, system quickens",IF(U84="HP","Heliopause acquired",IF(U84="OR","Orbital Resonance — passive multiplier active",IF(AND(AO84=1,L84=0,AN84&lt;&gt;1),"Cohesion ready (waiting on completionist upgrades)","")))))</f>
        <v/>
      </c>
      <c r="AA84" s="27">
        <f>(IF(E84=0,0,(Upgrades!$G$6+E84*Upgrades!$H$6)*POWER(Upgrades!$I$6,E84)))*(IF(Upgrades!$T$7="Solar Wind",POWER(Upgrades!$U$7,F84),1)*IF(Upgrades!$T$8="Solar Wind",POWER(Upgrades!$U$8,G84),1)*IF(Upgrades!$T$9="Solar Wind",POWER(Upgrades!$U$9,H84),1)*IF(Upgrades!$T$10="Solar Wind",POWER(Upgrades!$U$10,I84),1)*IF(Upgrades!$T$11="Solar Wind",POWER(Upgrades!$U$11,J84),1)*IF(Upgrades!$T$12="Solar Wind",POWER(Upgrades!$U$12,K84),1))*POWER(Upgrades!$P$6,E84)*POWER(Upgrades!$P$7,F84)*POWER(Upgrades!$P$8,G84)*POWER(Upgrades!$P$9,H84)*POWER(Upgrades!$P$10,I84)*POWER(Upgrades!$P$11,J84)*POWER(Upgrades!$P$12,K84)*60</f>
        <v/>
      </c>
      <c r="AB84" s="27">
        <f>(IF(F84=0,0,(Upgrades!$G$7+F84*Upgrades!$H$7)*POWER(Upgrades!$I$7,F84)))*(IF(Upgrades!$T$6="Asteroid Belt",POWER(Upgrades!$U$6,E84),1)*IF(Upgrades!$T$8="Asteroid Belt",POWER(Upgrades!$U$8,G84),1)*IF(Upgrades!$T$9="Asteroid Belt",POWER(Upgrades!$U$9,H84),1)*IF(Upgrades!$T$10="Asteroid Belt",POWER(Upgrades!$U$10,I84),1)*IF(Upgrades!$T$11="Asteroid Belt",POWER(Upgrades!$U$11,J84),1)*IF(Upgrades!$T$12="Asteroid Belt",POWER(Upgrades!$U$12,K84),1))*POWER(Upgrades!$P$6,E84)*POWER(Upgrades!$P$7,F84)*POWER(Upgrades!$P$8,G84)*POWER(Upgrades!$P$9,H84)*POWER(Upgrades!$P$10,I84)*POWER(Upgrades!$P$11,J84)*POWER(Upgrades!$P$12,K84)*60</f>
        <v/>
      </c>
      <c r="AC84" s="27">
        <f>(IF(G84=0,0,(Upgrades!$J$8+G84*Upgrades!$K$8)*POWER(Upgrades!$L$8,G84)))*(IF(Upgrades!$T$6="Stellar Coupling",POWER(Upgrades!$U$6,E84),1)*IF(Upgrades!$T$7="Stellar Coupling",POWER(Upgrades!$U$7,F84),1)*IF(Upgrades!$T$9="Stellar Coupling",POWER(Upgrades!$U$9,H84),1)*IF(Upgrades!$T$10="Stellar Coupling",POWER(Upgrades!$U$10,I84),1)*IF(Upgrades!$T$11="Stellar Coupling",POWER(Upgrades!$U$11,J84),1)*IF(Upgrades!$T$12="Stellar Coupling",POWER(Upgrades!$U$12,K84),1))*POWER(Upgrades!$Q$6,E84)*POWER(Upgrades!$Q$7,F84)*POWER(Upgrades!$Q$8,G84)*POWER(Upgrades!$Q$9,H84)*POWER(Upgrades!$Q$10,I84)*POWER(Upgrades!$Q$11,J84)*POWER(Upgrades!$Q$12,K84)*Parameters!$B$10*Parameters!$B$11</f>
        <v/>
      </c>
      <c r="AD84" s="27">
        <f>(IF(H84=0,0,(Upgrades!$G$9+H84*Upgrades!$H$9)*POWER(Upgrades!$I$9,H84)))*(IF(Upgrades!$T$6="Magnetosphere",POWER(Upgrades!$U$6,E84),1)*IF(Upgrades!$T$7="Magnetosphere",POWER(Upgrades!$U$7,F84),1)*IF(Upgrades!$T$8="Magnetosphere",POWER(Upgrades!$U$8,G84),1)*IF(Upgrades!$T$10="Magnetosphere",POWER(Upgrades!$U$10,I84),1)*IF(Upgrades!$T$11="Magnetosphere",POWER(Upgrades!$U$11,J84),1)*IF(Upgrades!$T$12="Magnetosphere",POWER(Upgrades!$U$12,K84),1))*POWER(Upgrades!$P$6,E84)*POWER(Upgrades!$P$7,F84)*POWER(Upgrades!$P$8,G84)*POWER(Upgrades!$P$9,H84)*POWER(Upgrades!$P$10,I84)*POWER(Upgrades!$P$11,J84)*POWER(Upgrades!$P$12,K84)*60</f>
        <v/>
      </c>
      <c r="AE84" s="27">
        <f>(IF(K84=0,0,(Upgrades!$G$12+K84*Upgrades!$H$12)*POWER(Upgrades!$I$12,K84)))*(IF(Upgrades!$T$6="First Photons",POWER(Upgrades!$U$6,E84),1)*IF(Upgrades!$T$7="First Photons",POWER(Upgrades!$U$7,F84),1)*IF(Upgrades!$T$8="First Photons",POWER(Upgrades!$U$8,G84),1)*IF(Upgrades!$T$9="First Photons",POWER(Upgrades!$U$9,H84),1)*IF(Upgrades!$T$10="First Photons",POWER(Upgrades!$U$10,I84),1)*IF(Upgrades!$T$11="First Photons",POWER(Upgrades!$U$11,J84),1))*POWER(Upgrades!$P$6,E84)*POWER(Upgrades!$P$7,F84)*POWER(Upgrades!$P$8,G84)*POWER(Upgrades!$P$9,H84)*POWER(Upgrades!$P$10,I84)*POWER(Upgrades!$P$11,J84)*POWER(Upgrades!$P$12,K84)*60</f>
        <v/>
      </c>
      <c r="AF84" s="27">
        <f>Parameters!$B$9*POWER(Upgrades!$Q$6,E84)*POWER(Upgrades!$Q$7,F84)*POWER(Upgrades!$Q$8,G84)*POWER(Upgrades!$Q$9,H84)*POWER(Upgrades!$Q$10,I84)*POWER(Upgrades!$Q$11,J84)*POWER(Upgrades!$Q$12,K84)*(Parameters!$B$10*Parameters!$B$11+O84*60)</f>
        <v/>
      </c>
      <c r="AG84" s="22">
        <f>IF(E84&gt;=Upgrades!$E$6,"",Upgrades!$C$6*POWER(Upgrades!$D$6,E84))</f>
        <v/>
      </c>
      <c r="AH84" s="22">
        <f>IF(F84&gt;=Upgrades!$E$7,"",Upgrades!$C$7*POWER(Upgrades!$D$7,F84))</f>
        <v/>
      </c>
      <c r="AI84" s="22">
        <f>IF(G84&gt;=Upgrades!$E$8,"",Upgrades!$C$8*POWER(Upgrades!$D$8,G84))</f>
        <v/>
      </c>
      <c r="AJ84" s="22">
        <f>IF(H84&gt;=Upgrades!$E$9,"",Upgrades!$C$9*POWER(Upgrades!$D$9,H84))</f>
        <v/>
      </c>
      <c r="AK84" s="22">
        <f>IF(I84&gt;=Upgrades!$E$10,"",Upgrades!$C$10*POWER(Upgrades!$D$10,I84))</f>
        <v/>
      </c>
      <c r="AL84" s="22">
        <f>IF(J84&gt;=Upgrades!$E$11,"",Upgrades!$C$11*POWER(Upgrades!$D$11,J84))</f>
        <v/>
      </c>
      <c r="AM84" s="22">
        <f>IF(K84&gt;=Upgrades!$E$12,"",Upgrades!$C$12*POWER(Upgrades!$D$12,K84))</f>
        <v/>
      </c>
      <c r="AN84" s="26">
        <f>IF(AND(D84&gt;=Parameters!$B$18,(H84&gt;=Upgrades!$E$9)*(K84&gt;=Upgrades!$E$12)=1,L84=0),1,"")</f>
        <v/>
      </c>
      <c r="AO84" s="26">
        <f>IF(AND(D84&gt;=Parameters!$B$18,L84=0),1,"")</f>
        <v/>
      </c>
      <c r="AP84" s="22">
        <f>MIN(IF(ISNUMBER(AK84),AK84,9E15),IF(ISNUMBER(AL84),AL84,9E15),IF(ISNUMBER(AM84),AM84,9E15))</f>
        <v/>
      </c>
      <c r="AQ84" s="22">
        <f>MIN(IF(ISNUMBER(AG84),AG84,9E15),IF(ISNUMBER(AH84),AH84,9E15),IF(ISNUMBER(AI84),AI84,9E15),IF(ISNUMBER(AJ84),AJ84,9E15))</f>
        <v/>
      </c>
      <c r="AR84" s="29">
        <f>IF(AW84&gt;Parameters!$B$21*(MAX(IF(AND(NOT(AND(AO84=1,AN84&lt;&gt;1)),ISNUMBER(AG84),AG84&lt;=T84),AS84,0),IF(AND(NOT(AND(AO84=1,AN84&lt;&gt;1)),ISNUMBER(AH84),AH84&lt;=T84),AT84,0),IF(AND(NOT(AND(AO84=1,AN84&lt;&gt;1)),ISNUMBER(AI84),AI84&lt;=T84),AU84,0),IF(AND(ISNUMBER(AJ84),AJ84&lt;=T84),AV84,0))),TRUE,FALSE)</f>
        <v/>
      </c>
      <c r="AS84" s="32">
        <f>IFERROR(Upgrades!$H$6*(POWER(Upgrades!$P$6,E84)*POWER(Upgrades!$P$7,F84)*POWER(Upgrades!$P$8,G84)*POWER(Upgrades!$P$9,H84)*POWER(Upgrades!$P$10,I84)*POWER(Upgrades!$P$11,J84)*POWER(Upgrades!$P$12,K84))*(IF(Upgrades!$T$7="Solar Wind",POWER(Upgrades!$U$7,F84),1)*IF(Upgrades!$T$8="Solar Wind",POWER(Upgrades!$U$8,G84),1)*IF(Upgrades!$T$9="Solar Wind",POWER(Upgrades!$U$9,H84),1)*IF(Upgrades!$T$10="Solar Wind",POWER(Upgrades!$U$10,I84),1)*IF(Upgrades!$T$11="Solar Wind",POWER(Upgrades!$U$11,J84),1)*IF(Upgrades!$T$12="Solar Wind",POWER(Upgrades!$U$12,K84),1))/AG84,0)</f>
        <v/>
      </c>
      <c r="AT84" s="32">
        <f>IFERROR(Upgrades!$H$7*(POWER(Upgrades!$P$6,E84)*POWER(Upgrades!$P$7,F84)*POWER(Upgrades!$P$8,G84)*POWER(Upgrades!$P$9,H84)*POWER(Upgrades!$P$10,I84)*POWER(Upgrades!$P$11,J84)*POWER(Upgrades!$P$12,K84))*(IF(Upgrades!$T$6="Asteroid Belt",POWER(Upgrades!$U$6,E84),1)*IF(Upgrades!$T$8="Asteroid Belt",POWER(Upgrades!$U$8,G84),1)*IF(Upgrades!$T$9="Asteroid Belt",POWER(Upgrades!$U$9,H84),1)*IF(Upgrades!$T$10="Asteroid Belt",POWER(Upgrades!$U$10,I84),1)*IF(Upgrades!$T$11="Asteroid Belt",POWER(Upgrades!$U$11,J84),1)*IF(Upgrades!$T$12="Asteroid Belt",POWER(Upgrades!$U$12,K84),1))/AH84,0)</f>
        <v/>
      </c>
      <c r="AU84" s="32">
        <f>IFERROR(Upgrades!$K$8*(POWER(Upgrades!$Q$6,E84)*POWER(Upgrades!$Q$7,F84)*POWER(Upgrades!$Q$8,G84)*POWER(Upgrades!$Q$9,H84)*POWER(Upgrades!$Q$10,I84)*POWER(Upgrades!$Q$11,J84)*POWER(Upgrades!$Q$12,K84))*(IF(Upgrades!$T$6="Stellar Coupling",POWER(Upgrades!$U$6,E84),1)*IF(Upgrades!$T$7="Stellar Coupling",POWER(Upgrades!$U$7,F84),1)*IF(Upgrades!$T$9="Stellar Coupling",POWER(Upgrades!$U$9,H84),1)*IF(Upgrades!$T$10="Stellar Coupling",POWER(Upgrades!$U$10,I84),1)*IF(Upgrades!$T$11="Stellar Coupling",POWER(Upgrades!$U$11,J84),1)*IF(Upgrades!$T$12="Stellar Coupling",POWER(Upgrades!$U$12,K84),1))*Parameters!$B$10*Parameters!$B$11/60/AI84,0)</f>
        <v/>
      </c>
      <c r="AV84" s="32">
        <f>IFERROR(Upgrades!$H$9*(POWER(Upgrades!$P$6,E84)*POWER(Upgrades!$P$7,F84)*POWER(Upgrades!$P$8,G84)*POWER(Upgrades!$P$9,H84)*POWER(Upgrades!$P$10,I84)*POWER(Upgrades!$P$11,J84)*POWER(Upgrades!$P$12,K84))*(IF(Upgrades!$T$6="Magnetosphere",POWER(Upgrades!$U$6,E84),1)*IF(Upgrades!$T$7="Magnetosphere",POWER(Upgrades!$U$7,F84),1)*IF(Upgrades!$T$8="Magnetosphere",POWER(Upgrades!$U$8,G84),1)*IF(Upgrades!$T$10="Magnetosphere",POWER(Upgrades!$U$10,I84),1)*IF(Upgrades!$T$11="Magnetosphere",POWER(Upgrades!$U$11,J84),1)*IF(Upgrades!$T$12="Magnetosphere",POWER(Upgrades!$U$12,K84),1))/AJ84,0)</f>
        <v/>
      </c>
      <c r="AW84" s="32">
        <f>MAX(IF(I84&gt;0,0,IFERROR(0.25*N84/Upgrades!$C$10,0)),IF(J84&gt;0,0,IFERROR(0.5*((IF(G84=0,0,(Upgrades!$J$8+G84*Upgrades!$K$8)*POWER(Upgrades!$L$8,G84)))*(IF(Upgrades!$T$6="Stellar Coupling",POWER(Upgrades!$U$6,E84),1)*IF(Upgrades!$T$7="Stellar Coupling",POWER(Upgrades!$U$7,F84),1)*IF(Upgrades!$T$9="Stellar Coupling",POWER(Upgrades!$U$9,H84),1)*IF(Upgrades!$T$10="Stellar Coupling",POWER(Upgrades!$U$10,I84),1)*IF(Upgrades!$T$11="Stellar Coupling",POWER(Upgrades!$U$11,J84),1)*IF(Upgrades!$T$12="Stellar Coupling",POWER(Upgrades!$U$12,K84),1))*(POWER(Upgrades!$Q$6,E84)*POWER(Upgrades!$Q$7,F84)*POWER(Upgrades!$Q$8,G84)*POWER(Upgrades!$Q$9,H84)*POWER(Upgrades!$Q$10,I84)*POWER(Upgrades!$Q$11,J84)*POWER(Upgrades!$Q$12,K84))*Parameters!$B$10*Parameters!$B$11/60)/Upgrades!$C$11,0)),IF(K84&gt;0,0,IFERROR((1.0*(POWER(Upgrades!$P$6,E84)*POWER(Upgrades!$P$7,F84)*POWER(Upgrades!$P$8,G84)*POWER(Upgrades!$P$9,H84)*POWER(Upgrades!$P$10,I84)*POWER(Upgrades!$P$11,J84)*POWER(Upgrades!$P$12,K84))+0.20*M84*Parameters!$B$10*Parameters!$B$11/60)/Upgrades!$C$12,0)),IF(AND(ISNUMBER(AG84),AG84&gt;T84),AS84,0),IF(AND(ISNUMBER(AH84),AH84&gt;T84),AT84,0),IF(AND(ISNUMBER(AI84),AI84&gt;T84),AU84,0),IF(AND(ISNUMBER(AJ84),AJ84&gt;T84),AV84,0))</f>
        <v/>
      </c>
      <c r="AX84" s="29">
        <f>IF(AN84=1,"transition",IF(MIN(IF(AND(I84=0,ISNUMBER(AK84),AK84&lt;=T84),AK84,9E15),IF(AND(J84=0,ISNUMBER(AL84),AL84&lt;=T84),AL84,9E15),IF(AND(K84=0,ISNUMBER(AM84),AM84&lt;=T84),AM84,9E15))&lt;9E15,IF(AND(AND(I84=0,ISNUMBER(AK84),AK84&lt;=T84),AK84=MIN(IF(AND(I84=0,ISNUMBER(AK84),AK84&lt;=T84),AK84,9E15),IF(AND(J84=0,ISNUMBER(AL84),AL84&lt;=T84),AL84,9E15),IF(AND(K84=0,ISNUMBER(AM84),AM84&lt;=T84),AM84,9E15))),"OR",IF(AND(AND(J84=0,ISNUMBER(AL84),AL84&lt;=T84),AL84=MIN(IF(AND(I84=0,ISNUMBER(AK84),AK84&lt;=T84),AK84,9E15),IF(AND(J84=0,ISNUMBER(AL84),AL84&lt;=T84),AL84,9E15),IF(AND(K84=0,ISNUMBER(AM84),AM84&lt;=T84),AM84,9E15))),"HP","FP")),IF(AR84=TRUE,"",IF(MAX(IF(AND(NOT(AND(AO84=1,AN84&lt;&gt;1)),ISNUMBER(AG84),AG84&lt;=T84),AS84,0),IF(AND(NOT(AND(AO84=1,AN84&lt;&gt;1)),ISNUMBER(AH84),AH84&lt;=T84),AT84,0),IF(AND(NOT(AND(AO84=1,AN84&lt;&gt;1)),ISNUMBER(AI84),AI84&lt;=T84),AU84,0),IF(AND(ISNUMBER(AJ84),AJ84&lt;=T84),AV84,0))&lt;=0,"",IF(AND(IF(AND(NOT(AND(AO84=1,AN84&lt;&gt;1)),ISNUMBER(AG84),AG84&lt;=T84),AS84,0)&gt;0,IF(AND(NOT(AND(AO84=1,AN84&lt;&gt;1)),ISNUMBER(AG84),AG84&lt;=T84),AS84,0)=MAX(IF(AND(NOT(AND(AO84=1,AN84&lt;&gt;1)),ISNUMBER(AG84),AG84&lt;=T84),AS84,0),IF(AND(NOT(AND(AO84=1,AN84&lt;&gt;1)),ISNUMBER(AH84),AH84&lt;=T84),AT84,0),IF(AND(NOT(AND(AO84=1,AN84&lt;&gt;1)),ISNUMBER(AI84),AI84&lt;=T84),AU84,0),IF(AND(ISNUMBER(AJ84),AJ84&lt;=T84),AV84,0))),"SW",IF(AND(IF(AND(NOT(AND(AO84=1,AN84&lt;&gt;1)),ISNUMBER(AH84),AH84&lt;=T84),AT84,0)&gt;0,IF(AND(NOT(AND(AO84=1,AN84&lt;&gt;1)),ISNUMBER(AH84),AH84&lt;=T84),AT84,0)=MAX(IF(AND(NOT(AND(AO84=1,AN84&lt;&gt;1)),ISNUMBER(AG84),AG84&lt;=T84),AS84,0),IF(AND(NOT(AND(AO84=1,AN84&lt;&gt;1)),ISNUMBER(AH84),AH84&lt;=T84),AT84,0),IF(AND(NOT(AND(AO84=1,AN84&lt;&gt;1)),ISNUMBER(AI84),AI84&lt;=T84),AU84,0),IF(AND(ISNUMBER(AJ84),AJ84&lt;=T84),AV84,0))),"AB",IF(AND(IF(AND(NOT(AND(AO84=1,AN84&lt;&gt;1)),ISNUMBER(AI84),AI84&lt;=T84),AU84,0)&gt;0,IF(AND(NOT(AND(AO84=1,AN84&lt;&gt;1)),ISNUMBER(AI84),AI84&lt;=T84),AU84,0)=MAX(IF(AND(NOT(AND(AO84=1,AN84&lt;&gt;1)),ISNUMBER(AG84),AG84&lt;=T84),AS84,0),IF(AND(NOT(AND(AO84=1,AN84&lt;&gt;1)),ISNUMBER(AH84),AH84&lt;=T84),AT84,0),IF(AND(NOT(AND(AO84=1,AN84&lt;&gt;1)),ISNUMBER(AI84),AI84&lt;=T84),AU84,0),IF(AND(ISNUMBER(AJ84),AJ84&lt;=T84),AV84,0))),"SC","Mag")))))))</f>
        <v/>
      </c>
    </row>
    <row r="85">
      <c r="A85" s="26" t="n">
        <v>80</v>
      </c>
      <c r="B85" s="27">
        <f>A85*10/60</f>
        <v/>
      </c>
      <c r="C85" s="22">
        <f>X84</f>
        <v/>
      </c>
      <c r="D85" s="27">
        <f>D84+W84</f>
        <v/>
      </c>
      <c r="E85" s="26">
        <f>E84+IF(U84="SW",1,0)</f>
        <v/>
      </c>
      <c r="F85" s="26">
        <f>F84+IF(U84="AB",1,0)</f>
        <v/>
      </c>
      <c r="G85" s="26">
        <f>G84+IF(U84="SC",1,0)</f>
        <v/>
      </c>
      <c r="H85" s="26">
        <f>H84+IF(U84="Mag",1,0)</f>
        <v/>
      </c>
      <c r="I85" s="26">
        <f>MAX(I84,IF(U84="OR",1,0))</f>
        <v/>
      </c>
      <c r="J85" s="26">
        <f>MAX(J84,IF(U84="HP",1,0))</f>
        <v/>
      </c>
      <c r="K85" s="26">
        <f>MAX(K84,IF(U84="FP",1,0))</f>
        <v/>
      </c>
      <c r="L85" s="26">
        <f>MAX(L84,IF(U84="transition",1,0))</f>
        <v/>
      </c>
      <c r="M85" s="28">
        <f>(Parameters!$B$9+(IF(E85=0,0,(Upgrades!$J$6+E85*Upgrades!$K$6)*POWER(Upgrades!$L$6,E85)))*(IF(Upgrades!$T$7="Solar Wind",POWER(Upgrades!$U$7,F85),1)*IF(Upgrades!$T$8="Solar Wind",POWER(Upgrades!$U$8,G85),1)*IF(Upgrades!$T$9="Solar Wind",POWER(Upgrades!$U$9,H85),1)*IF(Upgrades!$T$10="Solar Wind",POWER(Upgrades!$U$10,I85),1)*IF(Upgrades!$T$11="Solar Wind",POWER(Upgrades!$U$11,J85),1)*IF(Upgrades!$T$12="Solar Wind",POWER(Upgrades!$U$12,K85),1))+(IF(F85=0,0,(Upgrades!$J$7+F85*Upgrades!$K$7)*POWER(Upgrades!$L$7,F85)))*(IF(Upgrades!$T$6="Asteroid Belt",POWER(Upgrades!$U$6,E85),1)*IF(Upgrades!$T$8="Asteroid Belt",POWER(Upgrades!$U$8,G85),1)*IF(Upgrades!$T$9="Asteroid Belt",POWER(Upgrades!$U$9,H85),1)*IF(Upgrades!$T$10="Asteroid Belt",POWER(Upgrades!$U$10,I85),1)*IF(Upgrades!$T$11="Asteroid Belt",POWER(Upgrades!$U$11,J85),1)*IF(Upgrades!$T$12="Asteroid Belt",POWER(Upgrades!$U$12,K85),1))+(IF(G85=0,0,(Upgrades!$J$8+G85*Upgrades!$K$8)*POWER(Upgrades!$L$8,G85)))*(IF(Upgrades!$T$6="Stellar Coupling",POWER(Upgrades!$U$6,E85),1)*IF(Upgrades!$T$7="Stellar Coupling",POWER(Upgrades!$U$7,F85),1)*IF(Upgrades!$T$9="Stellar Coupling",POWER(Upgrades!$U$9,H85),1)*IF(Upgrades!$T$10="Stellar Coupling",POWER(Upgrades!$U$10,I85),1)*IF(Upgrades!$T$11="Stellar Coupling",POWER(Upgrades!$U$11,J85),1)*IF(Upgrades!$T$12="Stellar Coupling",POWER(Upgrades!$U$12,K85),1))+(IF(H85=0,0,(Upgrades!$J$9+H85*Upgrades!$K$9)*POWER(Upgrades!$L$9,H85)))*(IF(Upgrades!$T$6="Magnetosphere",POWER(Upgrades!$U$6,E85),1)*IF(Upgrades!$T$7="Magnetosphere",POWER(Upgrades!$U$7,F85),1)*IF(Upgrades!$T$8="Magnetosphere",POWER(Upgrades!$U$8,G85),1)*IF(Upgrades!$T$10="Magnetosphere",POWER(Upgrades!$U$10,I85),1)*IF(Upgrades!$T$11="Magnetosphere",POWER(Upgrades!$U$11,J85),1)*IF(Upgrades!$T$12="Magnetosphere",POWER(Upgrades!$U$12,K85),1))+(IF(I85=0,0,(Upgrades!$J$10+I85*Upgrades!$K$10)*POWER(Upgrades!$L$10,I85)))*(IF(Upgrades!$T$6="Orbital Resonance",POWER(Upgrades!$U$6,E85),1)*IF(Upgrades!$T$7="Orbital Resonance",POWER(Upgrades!$U$7,F85),1)*IF(Upgrades!$T$8="Orbital Resonance",POWER(Upgrades!$U$8,G85),1)*IF(Upgrades!$T$9="Orbital Resonance",POWER(Upgrades!$U$9,H85),1)*IF(Upgrades!$T$11="Orbital Resonance",POWER(Upgrades!$U$11,J85),1)*IF(Upgrades!$T$12="Orbital Resonance",POWER(Upgrades!$U$12,K85),1))+(IF(J85=0,0,(Upgrades!$J$11+J85*Upgrades!$K$11)*POWER(Upgrades!$L$11,J85)))*(IF(Upgrades!$T$6="Heliopause",POWER(Upgrades!$U$6,E85),1)*IF(Upgrades!$T$7="Heliopause",POWER(Upgrades!$U$7,F85),1)*IF(Upgrades!$T$8="Heliopause",POWER(Upgrades!$U$8,G85),1)*IF(Upgrades!$T$9="Heliopause",POWER(Upgrades!$U$9,H85),1)*IF(Upgrades!$T$10="Heliopause",POWER(Upgrades!$U$10,I85),1)*IF(Upgrades!$T$12="Heliopause",POWER(Upgrades!$U$12,K85),1))+(IF(K85=0,0,(Upgrades!$J$12+K85*Upgrades!$K$12)*POWER(Upgrades!$L$12,K85)))*(IF(Upgrades!$T$6="First Photons",POWER(Upgrades!$U$6,E85),1)*IF(Upgrades!$T$7="First Photons",POWER(Upgrades!$U$7,F85),1)*IF(Upgrades!$T$8="First Photons",POWER(Upgrades!$U$8,G85),1)*IF(Upgrades!$T$9="First Photons",POWER(Upgrades!$U$9,H85),1)*IF(Upgrades!$T$10="First Photons",POWER(Upgrades!$U$10,I85),1)*IF(Upgrades!$T$11="First Photons",POWER(Upgrades!$U$11,J85),1)))*POWER(Upgrades!$Q$6,E85)*POWER(Upgrades!$Q$7,F85)*POWER(Upgrades!$Q$8,G85)*POWER(Upgrades!$Q$9,H85)*POWER(Upgrades!$Q$10,I85)*POWER(Upgrades!$Q$11,J85)*POWER(Upgrades!$Q$12,K85)</f>
        <v/>
      </c>
      <c r="N85" s="28">
        <f>((IF(E85=0,0,(Upgrades!$G$6+E85*Upgrades!$H$6)*POWER(Upgrades!$I$6,E85)))*(IF(Upgrades!$T$7="Solar Wind",POWER(Upgrades!$U$7,F85),1)*IF(Upgrades!$T$8="Solar Wind",POWER(Upgrades!$U$8,G85),1)*IF(Upgrades!$T$9="Solar Wind",POWER(Upgrades!$U$9,H85),1)*IF(Upgrades!$T$10="Solar Wind",POWER(Upgrades!$U$10,I85),1)*IF(Upgrades!$T$11="Solar Wind",POWER(Upgrades!$U$11,J85),1)*IF(Upgrades!$T$12="Solar Wind",POWER(Upgrades!$U$12,K85),1))+(IF(F85=0,0,(Upgrades!$G$7+F85*Upgrades!$H$7)*POWER(Upgrades!$I$7,F85)))*(IF(Upgrades!$T$6="Asteroid Belt",POWER(Upgrades!$U$6,E85),1)*IF(Upgrades!$T$8="Asteroid Belt",POWER(Upgrades!$U$8,G85),1)*IF(Upgrades!$T$9="Asteroid Belt",POWER(Upgrades!$U$9,H85),1)*IF(Upgrades!$T$10="Asteroid Belt",POWER(Upgrades!$U$10,I85),1)*IF(Upgrades!$T$11="Asteroid Belt",POWER(Upgrades!$U$11,J85),1)*IF(Upgrades!$T$12="Asteroid Belt",POWER(Upgrades!$U$12,K85),1))+(IF(G85=0,0,(Upgrades!$G$8+G85*Upgrades!$H$8)*POWER(Upgrades!$I$8,G85)))*(IF(Upgrades!$T$6="Stellar Coupling",POWER(Upgrades!$U$6,E85),1)*IF(Upgrades!$T$7="Stellar Coupling",POWER(Upgrades!$U$7,F85),1)*IF(Upgrades!$T$9="Stellar Coupling",POWER(Upgrades!$U$9,H85),1)*IF(Upgrades!$T$10="Stellar Coupling",POWER(Upgrades!$U$10,I85),1)*IF(Upgrades!$T$11="Stellar Coupling",POWER(Upgrades!$U$11,J85),1)*IF(Upgrades!$T$12="Stellar Coupling",POWER(Upgrades!$U$12,K85),1))+(IF(H85=0,0,(Upgrades!$G$9+H85*Upgrades!$H$9)*POWER(Upgrades!$I$9,H85)))*(IF(Upgrades!$T$6="Magnetosphere",POWER(Upgrades!$U$6,E85),1)*IF(Upgrades!$T$7="Magnetosphere",POWER(Upgrades!$U$7,F85),1)*IF(Upgrades!$T$8="Magnetosphere",POWER(Upgrades!$U$8,G85),1)*IF(Upgrades!$T$10="Magnetosphere",POWER(Upgrades!$U$10,I85),1)*IF(Upgrades!$T$11="Magnetosphere",POWER(Upgrades!$U$11,J85),1)*IF(Upgrades!$T$12="Magnetosphere",POWER(Upgrades!$U$12,K85),1))+(IF(I85=0,0,(Upgrades!$G$10+I85*Upgrades!$H$10)*POWER(Upgrades!$I$10,I85)))*(IF(Upgrades!$T$6="Orbital Resonance",POWER(Upgrades!$U$6,E85),1)*IF(Upgrades!$T$7="Orbital Resonance",POWER(Upgrades!$U$7,F85),1)*IF(Upgrades!$T$8="Orbital Resonance",POWER(Upgrades!$U$8,G85),1)*IF(Upgrades!$T$9="Orbital Resonance",POWER(Upgrades!$U$9,H85),1)*IF(Upgrades!$T$11="Orbital Resonance",POWER(Upgrades!$U$11,J85),1)*IF(Upgrades!$T$12="Orbital Resonance",POWER(Upgrades!$U$12,K85),1))+(IF(J85=0,0,(Upgrades!$G$11+J85*Upgrades!$H$11)*POWER(Upgrades!$I$11,J85)))*(IF(Upgrades!$T$6="Heliopause",POWER(Upgrades!$U$6,E85),1)*IF(Upgrades!$T$7="Heliopause",POWER(Upgrades!$U$7,F85),1)*IF(Upgrades!$T$8="Heliopause",POWER(Upgrades!$U$8,G85),1)*IF(Upgrades!$T$9="Heliopause",POWER(Upgrades!$U$9,H85),1)*IF(Upgrades!$T$10="Heliopause",POWER(Upgrades!$U$10,I85),1)*IF(Upgrades!$T$12="Heliopause",POWER(Upgrades!$U$12,K85),1))+(IF(K85=0,0,(Upgrades!$G$12+K85*Upgrades!$H$12)*POWER(Upgrades!$I$12,K85)))*(IF(Upgrades!$T$6="First Photons",POWER(Upgrades!$U$6,E85),1)*IF(Upgrades!$T$7="First Photons",POWER(Upgrades!$U$7,F85),1)*IF(Upgrades!$T$8="First Photons",POWER(Upgrades!$U$8,G85),1)*IF(Upgrades!$T$9="First Photons",POWER(Upgrades!$U$9,H85),1)*IF(Upgrades!$T$10="First Photons",POWER(Upgrades!$U$10,I85),1)*IF(Upgrades!$T$11="First Photons",POWER(Upgrades!$U$11,J85),1)))*POWER(Upgrades!$P$6,E85)*POWER(Upgrades!$P$7,F85)*POWER(Upgrades!$P$8,G85)*POWER(Upgrades!$P$9,H85)*POWER(Upgrades!$P$10,I85)*POWER(Upgrades!$P$11,J85)*POWER(Upgrades!$P$12,K85)</f>
        <v/>
      </c>
      <c r="O85" s="28">
        <f>((IF(E85=0,0,(Upgrades!$M$6+E85*Upgrades!$N$6)*POWER(Upgrades!$O$6,E85)))*(IF(Upgrades!$T$7="Solar Wind",POWER(Upgrades!$U$7,F85),1)*IF(Upgrades!$T$8="Solar Wind",POWER(Upgrades!$U$8,G85),1)*IF(Upgrades!$T$9="Solar Wind",POWER(Upgrades!$U$9,H85),1)*IF(Upgrades!$T$10="Solar Wind",POWER(Upgrades!$U$10,I85),1)*IF(Upgrades!$T$11="Solar Wind",POWER(Upgrades!$U$11,J85),1)*IF(Upgrades!$T$12="Solar Wind",POWER(Upgrades!$U$12,K85),1))+(IF(F85=0,0,(Upgrades!$M$7+F85*Upgrades!$N$7)*POWER(Upgrades!$O$7,F85)))*(IF(Upgrades!$T$6="Asteroid Belt",POWER(Upgrades!$U$6,E85),1)*IF(Upgrades!$T$8="Asteroid Belt",POWER(Upgrades!$U$8,G85),1)*IF(Upgrades!$T$9="Asteroid Belt",POWER(Upgrades!$U$9,H85),1)*IF(Upgrades!$T$10="Asteroid Belt",POWER(Upgrades!$U$10,I85),1)*IF(Upgrades!$T$11="Asteroid Belt",POWER(Upgrades!$U$11,J85),1)*IF(Upgrades!$T$12="Asteroid Belt",POWER(Upgrades!$U$12,K85),1))+(IF(G85=0,0,(Upgrades!$M$8+G85*Upgrades!$N$8)*POWER(Upgrades!$O$8,G85)))*(IF(Upgrades!$T$6="Stellar Coupling",POWER(Upgrades!$U$6,E85),1)*IF(Upgrades!$T$7="Stellar Coupling",POWER(Upgrades!$U$7,F85),1)*IF(Upgrades!$T$9="Stellar Coupling",POWER(Upgrades!$U$9,H85),1)*IF(Upgrades!$T$10="Stellar Coupling",POWER(Upgrades!$U$10,I85),1)*IF(Upgrades!$T$11="Stellar Coupling",POWER(Upgrades!$U$11,J85),1)*IF(Upgrades!$T$12="Stellar Coupling",POWER(Upgrades!$U$12,K85),1))+(IF(H85=0,0,(Upgrades!$M$9+H85*Upgrades!$N$9)*POWER(Upgrades!$O$9,H85)))*(IF(Upgrades!$T$6="Magnetosphere",POWER(Upgrades!$U$6,E85),1)*IF(Upgrades!$T$7="Magnetosphere",POWER(Upgrades!$U$7,F85),1)*IF(Upgrades!$T$8="Magnetosphere",POWER(Upgrades!$U$8,G85),1)*IF(Upgrades!$T$10="Magnetosphere",POWER(Upgrades!$U$10,I85),1)*IF(Upgrades!$T$11="Magnetosphere",POWER(Upgrades!$U$11,J85),1)*IF(Upgrades!$T$12="Magnetosphere",POWER(Upgrades!$U$12,K85),1))+(IF(I85=0,0,(Upgrades!$M$10+I85*Upgrades!$N$10)*POWER(Upgrades!$O$10,I85)))*(IF(Upgrades!$T$6="Orbital Resonance",POWER(Upgrades!$U$6,E85),1)*IF(Upgrades!$T$7="Orbital Resonance",POWER(Upgrades!$U$7,F85),1)*IF(Upgrades!$T$8="Orbital Resonance",POWER(Upgrades!$U$8,G85),1)*IF(Upgrades!$T$9="Orbital Resonance",POWER(Upgrades!$U$9,H85),1)*IF(Upgrades!$T$11="Orbital Resonance",POWER(Upgrades!$U$11,J85),1)*IF(Upgrades!$T$12="Orbital Resonance",POWER(Upgrades!$U$12,K85),1))+(IF(J85=0,0,(Upgrades!$M$11+J85*Upgrades!$N$11)*POWER(Upgrades!$O$11,J85)))*(IF(Upgrades!$T$6="Heliopause",POWER(Upgrades!$U$6,E85),1)*IF(Upgrades!$T$7="Heliopause",POWER(Upgrades!$U$7,F85),1)*IF(Upgrades!$T$8="Heliopause",POWER(Upgrades!$U$8,G85),1)*IF(Upgrades!$T$9="Heliopause",POWER(Upgrades!$U$9,H85),1)*IF(Upgrades!$T$10="Heliopause",POWER(Upgrades!$U$10,I85),1)*IF(Upgrades!$T$12="Heliopause",POWER(Upgrades!$U$12,K85),1))+(IF(K85=0,0,(Upgrades!$M$12+K85*Upgrades!$N$12)*POWER(Upgrades!$O$12,K85)))*(IF(Upgrades!$T$6="First Photons",POWER(Upgrades!$U$6,E85),1)*IF(Upgrades!$T$7="First Photons",POWER(Upgrades!$U$7,F85),1)*IF(Upgrades!$T$8="First Photons",POWER(Upgrades!$U$8,G85),1)*IF(Upgrades!$T$9="First Photons",POWER(Upgrades!$U$9,H85),1)*IF(Upgrades!$T$10="First Photons",POWER(Upgrades!$U$10,I85),1)*IF(Upgrades!$T$11="First Photons",POWER(Upgrades!$U$11,J85),1)))*POWER(Upgrades!$R$6,E85)*POWER(Upgrades!$R$7,F85)*POWER(Upgrades!$R$8,G85)*POWER(Upgrades!$R$9,H85)*POWER(Upgrades!$R$10,I85)*POWER(Upgrades!$R$11,J85)*POWER(Upgrades!$R$12,K85)</f>
        <v/>
      </c>
      <c r="P85" s="27">
        <f>IF(L85=1,0,M85*Parameters!$B$10/60*Parameters!$B$11*10)</f>
        <v/>
      </c>
      <c r="Q85" s="27">
        <f>IF(L85=1,0,O85*M85*10)</f>
        <v/>
      </c>
      <c r="R85" s="27">
        <f>IF(L85=1,0,N85*10)</f>
        <v/>
      </c>
      <c r="S85" s="27">
        <f>P85+Q85+R85</f>
        <v/>
      </c>
      <c r="T85" s="22">
        <f>C85+S85</f>
        <v/>
      </c>
      <c r="U85" s="33">
        <f>AX85</f>
        <v/>
      </c>
      <c r="V85" s="22">
        <f>IF(U85="",0,IF(U85="transition",0,IF(U85="SW",AG85,IF(U85="AB",AH85,IF(U85="SC",AI85,IF(U85="Mag",AJ85,IF(U85="OR",AK85,IF(U85="HP",AL85,IF(U85="FP",AM85,0)))))))))</f>
        <v/>
      </c>
      <c r="W85" s="27">
        <f>IF(U85="OR",Upgrades!$F$10,IF(U85="HP",Upgrades!$F$11,IF(U85="transition",-Parameters!$B$18,0)))</f>
        <v/>
      </c>
      <c r="X85" s="22">
        <f>T85-V85</f>
        <v/>
      </c>
      <c r="Y85" s="30">
        <f>M85*Parameters!$B$10/60*Parameters!$B$11+O85*M85+N85</f>
        <v/>
      </c>
      <c r="Z85" s="34">
        <f>IF(U85="transition","→ Tier 2 (Stellar Neighborhood)",IF(U85="FP","First Photons — light begins, system quickens",IF(U85="HP","Heliopause acquired",IF(U85="OR","Orbital Resonance — passive multiplier active",IF(AND(AO85=1,L85=0,AN85&lt;&gt;1),"Cohesion ready (waiting on completionist upgrades)","")))))</f>
        <v/>
      </c>
      <c r="AA85" s="27">
        <f>(IF(E85=0,0,(Upgrades!$G$6+E85*Upgrades!$H$6)*POWER(Upgrades!$I$6,E85)))*(IF(Upgrades!$T$7="Solar Wind",POWER(Upgrades!$U$7,F85),1)*IF(Upgrades!$T$8="Solar Wind",POWER(Upgrades!$U$8,G85),1)*IF(Upgrades!$T$9="Solar Wind",POWER(Upgrades!$U$9,H85),1)*IF(Upgrades!$T$10="Solar Wind",POWER(Upgrades!$U$10,I85),1)*IF(Upgrades!$T$11="Solar Wind",POWER(Upgrades!$U$11,J85),1)*IF(Upgrades!$T$12="Solar Wind",POWER(Upgrades!$U$12,K85),1))*POWER(Upgrades!$P$6,E85)*POWER(Upgrades!$P$7,F85)*POWER(Upgrades!$P$8,G85)*POWER(Upgrades!$P$9,H85)*POWER(Upgrades!$P$10,I85)*POWER(Upgrades!$P$11,J85)*POWER(Upgrades!$P$12,K85)*60</f>
        <v/>
      </c>
      <c r="AB85" s="27">
        <f>(IF(F85=0,0,(Upgrades!$G$7+F85*Upgrades!$H$7)*POWER(Upgrades!$I$7,F85)))*(IF(Upgrades!$T$6="Asteroid Belt",POWER(Upgrades!$U$6,E85),1)*IF(Upgrades!$T$8="Asteroid Belt",POWER(Upgrades!$U$8,G85),1)*IF(Upgrades!$T$9="Asteroid Belt",POWER(Upgrades!$U$9,H85),1)*IF(Upgrades!$T$10="Asteroid Belt",POWER(Upgrades!$U$10,I85),1)*IF(Upgrades!$T$11="Asteroid Belt",POWER(Upgrades!$U$11,J85),1)*IF(Upgrades!$T$12="Asteroid Belt",POWER(Upgrades!$U$12,K85),1))*POWER(Upgrades!$P$6,E85)*POWER(Upgrades!$P$7,F85)*POWER(Upgrades!$P$8,G85)*POWER(Upgrades!$P$9,H85)*POWER(Upgrades!$P$10,I85)*POWER(Upgrades!$P$11,J85)*POWER(Upgrades!$P$12,K85)*60</f>
        <v/>
      </c>
      <c r="AC85" s="27">
        <f>(IF(G85=0,0,(Upgrades!$J$8+G85*Upgrades!$K$8)*POWER(Upgrades!$L$8,G85)))*(IF(Upgrades!$T$6="Stellar Coupling",POWER(Upgrades!$U$6,E85),1)*IF(Upgrades!$T$7="Stellar Coupling",POWER(Upgrades!$U$7,F85),1)*IF(Upgrades!$T$9="Stellar Coupling",POWER(Upgrades!$U$9,H85),1)*IF(Upgrades!$T$10="Stellar Coupling",POWER(Upgrades!$U$10,I85),1)*IF(Upgrades!$T$11="Stellar Coupling",POWER(Upgrades!$U$11,J85),1)*IF(Upgrades!$T$12="Stellar Coupling",POWER(Upgrades!$U$12,K85),1))*POWER(Upgrades!$Q$6,E85)*POWER(Upgrades!$Q$7,F85)*POWER(Upgrades!$Q$8,G85)*POWER(Upgrades!$Q$9,H85)*POWER(Upgrades!$Q$10,I85)*POWER(Upgrades!$Q$11,J85)*POWER(Upgrades!$Q$12,K85)*Parameters!$B$10*Parameters!$B$11</f>
        <v/>
      </c>
      <c r="AD85" s="27">
        <f>(IF(H85=0,0,(Upgrades!$G$9+H85*Upgrades!$H$9)*POWER(Upgrades!$I$9,H85)))*(IF(Upgrades!$T$6="Magnetosphere",POWER(Upgrades!$U$6,E85),1)*IF(Upgrades!$T$7="Magnetosphere",POWER(Upgrades!$U$7,F85),1)*IF(Upgrades!$T$8="Magnetosphere",POWER(Upgrades!$U$8,G85),1)*IF(Upgrades!$T$10="Magnetosphere",POWER(Upgrades!$U$10,I85),1)*IF(Upgrades!$T$11="Magnetosphere",POWER(Upgrades!$U$11,J85),1)*IF(Upgrades!$T$12="Magnetosphere",POWER(Upgrades!$U$12,K85),1))*POWER(Upgrades!$P$6,E85)*POWER(Upgrades!$P$7,F85)*POWER(Upgrades!$P$8,G85)*POWER(Upgrades!$P$9,H85)*POWER(Upgrades!$P$10,I85)*POWER(Upgrades!$P$11,J85)*POWER(Upgrades!$P$12,K85)*60</f>
        <v/>
      </c>
      <c r="AE85" s="27">
        <f>(IF(K85=0,0,(Upgrades!$G$12+K85*Upgrades!$H$12)*POWER(Upgrades!$I$12,K85)))*(IF(Upgrades!$T$6="First Photons",POWER(Upgrades!$U$6,E85),1)*IF(Upgrades!$T$7="First Photons",POWER(Upgrades!$U$7,F85),1)*IF(Upgrades!$T$8="First Photons",POWER(Upgrades!$U$8,G85),1)*IF(Upgrades!$T$9="First Photons",POWER(Upgrades!$U$9,H85),1)*IF(Upgrades!$T$10="First Photons",POWER(Upgrades!$U$10,I85),1)*IF(Upgrades!$T$11="First Photons",POWER(Upgrades!$U$11,J85),1))*POWER(Upgrades!$P$6,E85)*POWER(Upgrades!$P$7,F85)*POWER(Upgrades!$P$8,G85)*POWER(Upgrades!$P$9,H85)*POWER(Upgrades!$P$10,I85)*POWER(Upgrades!$P$11,J85)*POWER(Upgrades!$P$12,K85)*60</f>
        <v/>
      </c>
      <c r="AF85" s="27">
        <f>Parameters!$B$9*POWER(Upgrades!$Q$6,E85)*POWER(Upgrades!$Q$7,F85)*POWER(Upgrades!$Q$8,G85)*POWER(Upgrades!$Q$9,H85)*POWER(Upgrades!$Q$10,I85)*POWER(Upgrades!$Q$11,J85)*POWER(Upgrades!$Q$12,K85)*(Parameters!$B$10*Parameters!$B$11+O85*60)</f>
        <v/>
      </c>
      <c r="AG85" s="22">
        <f>IF(E85&gt;=Upgrades!$E$6,"",Upgrades!$C$6*POWER(Upgrades!$D$6,E85))</f>
        <v/>
      </c>
      <c r="AH85" s="22">
        <f>IF(F85&gt;=Upgrades!$E$7,"",Upgrades!$C$7*POWER(Upgrades!$D$7,F85))</f>
        <v/>
      </c>
      <c r="AI85" s="22">
        <f>IF(G85&gt;=Upgrades!$E$8,"",Upgrades!$C$8*POWER(Upgrades!$D$8,G85))</f>
        <v/>
      </c>
      <c r="AJ85" s="22">
        <f>IF(H85&gt;=Upgrades!$E$9,"",Upgrades!$C$9*POWER(Upgrades!$D$9,H85))</f>
        <v/>
      </c>
      <c r="AK85" s="22">
        <f>IF(I85&gt;=Upgrades!$E$10,"",Upgrades!$C$10*POWER(Upgrades!$D$10,I85))</f>
        <v/>
      </c>
      <c r="AL85" s="22">
        <f>IF(J85&gt;=Upgrades!$E$11,"",Upgrades!$C$11*POWER(Upgrades!$D$11,J85))</f>
        <v/>
      </c>
      <c r="AM85" s="22">
        <f>IF(K85&gt;=Upgrades!$E$12,"",Upgrades!$C$12*POWER(Upgrades!$D$12,K85))</f>
        <v/>
      </c>
      <c r="AN85" s="26">
        <f>IF(AND(D85&gt;=Parameters!$B$18,(H85&gt;=Upgrades!$E$9)*(K85&gt;=Upgrades!$E$12)=1,L85=0),1,"")</f>
        <v/>
      </c>
      <c r="AO85" s="26">
        <f>IF(AND(D85&gt;=Parameters!$B$18,L85=0),1,"")</f>
        <v/>
      </c>
      <c r="AP85" s="22">
        <f>MIN(IF(ISNUMBER(AK85),AK85,9E15),IF(ISNUMBER(AL85),AL85,9E15),IF(ISNUMBER(AM85),AM85,9E15))</f>
        <v/>
      </c>
      <c r="AQ85" s="22">
        <f>MIN(IF(ISNUMBER(AG85),AG85,9E15),IF(ISNUMBER(AH85),AH85,9E15),IF(ISNUMBER(AI85),AI85,9E15),IF(ISNUMBER(AJ85),AJ85,9E15))</f>
        <v/>
      </c>
      <c r="AR85" s="29">
        <f>IF(AW85&gt;Parameters!$B$21*(MAX(IF(AND(NOT(AND(AO85=1,AN85&lt;&gt;1)),ISNUMBER(AG85),AG85&lt;=T85),AS85,0),IF(AND(NOT(AND(AO85=1,AN85&lt;&gt;1)),ISNUMBER(AH85),AH85&lt;=T85),AT85,0),IF(AND(NOT(AND(AO85=1,AN85&lt;&gt;1)),ISNUMBER(AI85),AI85&lt;=T85),AU85,0),IF(AND(ISNUMBER(AJ85),AJ85&lt;=T85),AV85,0))),TRUE,FALSE)</f>
        <v/>
      </c>
      <c r="AS85" s="32">
        <f>IFERROR(Upgrades!$H$6*(POWER(Upgrades!$P$6,E85)*POWER(Upgrades!$P$7,F85)*POWER(Upgrades!$P$8,G85)*POWER(Upgrades!$P$9,H85)*POWER(Upgrades!$P$10,I85)*POWER(Upgrades!$P$11,J85)*POWER(Upgrades!$P$12,K85))*(IF(Upgrades!$T$7="Solar Wind",POWER(Upgrades!$U$7,F85),1)*IF(Upgrades!$T$8="Solar Wind",POWER(Upgrades!$U$8,G85),1)*IF(Upgrades!$T$9="Solar Wind",POWER(Upgrades!$U$9,H85),1)*IF(Upgrades!$T$10="Solar Wind",POWER(Upgrades!$U$10,I85),1)*IF(Upgrades!$T$11="Solar Wind",POWER(Upgrades!$U$11,J85),1)*IF(Upgrades!$T$12="Solar Wind",POWER(Upgrades!$U$12,K85),1))/AG85,0)</f>
        <v/>
      </c>
      <c r="AT85" s="32">
        <f>IFERROR(Upgrades!$H$7*(POWER(Upgrades!$P$6,E85)*POWER(Upgrades!$P$7,F85)*POWER(Upgrades!$P$8,G85)*POWER(Upgrades!$P$9,H85)*POWER(Upgrades!$P$10,I85)*POWER(Upgrades!$P$11,J85)*POWER(Upgrades!$P$12,K85))*(IF(Upgrades!$T$6="Asteroid Belt",POWER(Upgrades!$U$6,E85),1)*IF(Upgrades!$T$8="Asteroid Belt",POWER(Upgrades!$U$8,G85),1)*IF(Upgrades!$T$9="Asteroid Belt",POWER(Upgrades!$U$9,H85),1)*IF(Upgrades!$T$10="Asteroid Belt",POWER(Upgrades!$U$10,I85),1)*IF(Upgrades!$T$11="Asteroid Belt",POWER(Upgrades!$U$11,J85),1)*IF(Upgrades!$T$12="Asteroid Belt",POWER(Upgrades!$U$12,K85),1))/AH85,0)</f>
        <v/>
      </c>
      <c r="AU85" s="32">
        <f>IFERROR(Upgrades!$K$8*(POWER(Upgrades!$Q$6,E85)*POWER(Upgrades!$Q$7,F85)*POWER(Upgrades!$Q$8,G85)*POWER(Upgrades!$Q$9,H85)*POWER(Upgrades!$Q$10,I85)*POWER(Upgrades!$Q$11,J85)*POWER(Upgrades!$Q$12,K85))*(IF(Upgrades!$T$6="Stellar Coupling",POWER(Upgrades!$U$6,E85),1)*IF(Upgrades!$T$7="Stellar Coupling",POWER(Upgrades!$U$7,F85),1)*IF(Upgrades!$T$9="Stellar Coupling",POWER(Upgrades!$U$9,H85),1)*IF(Upgrades!$T$10="Stellar Coupling",POWER(Upgrades!$U$10,I85),1)*IF(Upgrades!$T$11="Stellar Coupling",POWER(Upgrades!$U$11,J85),1)*IF(Upgrades!$T$12="Stellar Coupling",POWER(Upgrades!$U$12,K85),1))*Parameters!$B$10*Parameters!$B$11/60/AI85,0)</f>
        <v/>
      </c>
      <c r="AV85" s="32">
        <f>IFERROR(Upgrades!$H$9*(POWER(Upgrades!$P$6,E85)*POWER(Upgrades!$P$7,F85)*POWER(Upgrades!$P$8,G85)*POWER(Upgrades!$P$9,H85)*POWER(Upgrades!$P$10,I85)*POWER(Upgrades!$P$11,J85)*POWER(Upgrades!$P$12,K85))*(IF(Upgrades!$T$6="Magnetosphere",POWER(Upgrades!$U$6,E85),1)*IF(Upgrades!$T$7="Magnetosphere",POWER(Upgrades!$U$7,F85),1)*IF(Upgrades!$T$8="Magnetosphere",POWER(Upgrades!$U$8,G85),1)*IF(Upgrades!$T$10="Magnetosphere",POWER(Upgrades!$U$10,I85),1)*IF(Upgrades!$T$11="Magnetosphere",POWER(Upgrades!$U$11,J85),1)*IF(Upgrades!$T$12="Magnetosphere",POWER(Upgrades!$U$12,K85),1))/AJ85,0)</f>
        <v/>
      </c>
      <c r="AW85" s="32">
        <f>MAX(IF(I85&gt;0,0,IFERROR(0.25*N85/Upgrades!$C$10,0)),IF(J85&gt;0,0,IFERROR(0.5*((IF(G85=0,0,(Upgrades!$J$8+G85*Upgrades!$K$8)*POWER(Upgrades!$L$8,G85)))*(IF(Upgrades!$T$6="Stellar Coupling",POWER(Upgrades!$U$6,E85),1)*IF(Upgrades!$T$7="Stellar Coupling",POWER(Upgrades!$U$7,F85),1)*IF(Upgrades!$T$9="Stellar Coupling",POWER(Upgrades!$U$9,H85),1)*IF(Upgrades!$T$10="Stellar Coupling",POWER(Upgrades!$U$10,I85),1)*IF(Upgrades!$T$11="Stellar Coupling",POWER(Upgrades!$U$11,J85),1)*IF(Upgrades!$T$12="Stellar Coupling",POWER(Upgrades!$U$12,K85),1))*(POWER(Upgrades!$Q$6,E85)*POWER(Upgrades!$Q$7,F85)*POWER(Upgrades!$Q$8,G85)*POWER(Upgrades!$Q$9,H85)*POWER(Upgrades!$Q$10,I85)*POWER(Upgrades!$Q$11,J85)*POWER(Upgrades!$Q$12,K85))*Parameters!$B$10*Parameters!$B$11/60)/Upgrades!$C$11,0)),IF(K85&gt;0,0,IFERROR((1.0*(POWER(Upgrades!$P$6,E85)*POWER(Upgrades!$P$7,F85)*POWER(Upgrades!$P$8,G85)*POWER(Upgrades!$P$9,H85)*POWER(Upgrades!$P$10,I85)*POWER(Upgrades!$P$11,J85)*POWER(Upgrades!$P$12,K85))+0.20*M85*Parameters!$B$10*Parameters!$B$11/60)/Upgrades!$C$12,0)),IF(AND(ISNUMBER(AG85),AG85&gt;T85),AS85,0),IF(AND(ISNUMBER(AH85),AH85&gt;T85),AT85,0),IF(AND(ISNUMBER(AI85),AI85&gt;T85),AU85,0),IF(AND(ISNUMBER(AJ85),AJ85&gt;T85),AV85,0))</f>
        <v/>
      </c>
      <c r="AX85" s="29">
        <f>IF(AN85=1,"transition",IF(MIN(IF(AND(I85=0,ISNUMBER(AK85),AK85&lt;=T85),AK85,9E15),IF(AND(J85=0,ISNUMBER(AL85),AL85&lt;=T85),AL85,9E15),IF(AND(K85=0,ISNUMBER(AM85),AM85&lt;=T85),AM85,9E15))&lt;9E15,IF(AND(AND(I85=0,ISNUMBER(AK85),AK85&lt;=T85),AK85=MIN(IF(AND(I85=0,ISNUMBER(AK85),AK85&lt;=T85),AK85,9E15),IF(AND(J85=0,ISNUMBER(AL85),AL85&lt;=T85),AL85,9E15),IF(AND(K85=0,ISNUMBER(AM85),AM85&lt;=T85),AM85,9E15))),"OR",IF(AND(AND(J85=0,ISNUMBER(AL85),AL85&lt;=T85),AL85=MIN(IF(AND(I85=0,ISNUMBER(AK85),AK85&lt;=T85),AK85,9E15),IF(AND(J85=0,ISNUMBER(AL85),AL85&lt;=T85),AL85,9E15),IF(AND(K85=0,ISNUMBER(AM85),AM85&lt;=T85),AM85,9E15))),"HP","FP")),IF(AR85=TRUE,"",IF(MAX(IF(AND(NOT(AND(AO85=1,AN85&lt;&gt;1)),ISNUMBER(AG85),AG85&lt;=T85),AS85,0),IF(AND(NOT(AND(AO85=1,AN85&lt;&gt;1)),ISNUMBER(AH85),AH85&lt;=T85),AT85,0),IF(AND(NOT(AND(AO85=1,AN85&lt;&gt;1)),ISNUMBER(AI85),AI85&lt;=T85),AU85,0),IF(AND(ISNUMBER(AJ85),AJ85&lt;=T85),AV85,0))&lt;=0,"",IF(AND(IF(AND(NOT(AND(AO85=1,AN85&lt;&gt;1)),ISNUMBER(AG85),AG85&lt;=T85),AS85,0)&gt;0,IF(AND(NOT(AND(AO85=1,AN85&lt;&gt;1)),ISNUMBER(AG85),AG85&lt;=T85),AS85,0)=MAX(IF(AND(NOT(AND(AO85=1,AN85&lt;&gt;1)),ISNUMBER(AG85),AG85&lt;=T85),AS85,0),IF(AND(NOT(AND(AO85=1,AN85&lt;&gt;1)),ISNUMBER(AH85),AH85&lt;=T85),AT85,0),IF(AND(NOT(AND(AO85=1,AN85&lt;&gt;1)),ISNUMBER(AI85),AI85&lt;=T85),AU85,0),IF(AND(ISNUMBER(AJ85),AJ85&lt;=T85),AV85,0))),"SW",IF(AND(IF(AND(NOT(AND(AO85=1,AN85&lt;&gt;1)),ISNUMBER(AH85),AH85&lt;=T85),AT85,0)&gt;0,IF(AND(NOT(AND(AO85=1,AN85&lt;&gt;1)),ISNUMBER(AH85),AH85&lt;=T85),AT85,0)=MAX(IF(AND(NOT(AND(AO85=1,AN85&lt;&gt;1)),ISNUMBER(AG85),AG85&lt;=T85),AS85,0),IF(AND(NOT(AND(AO85=1,AN85&lt;&gt;1)),ISNUMBER(AH85),AH85&lt;=T85),AT85,0),IF(AND(NOT(AND(AO85=1,AN85&lt;&gt;1)),ISNUMBER(AI85),AI85&lt;=T85),AU85,0),IF(AND(ISNUMBER(AJ85),AJ85&lt;=T85),AV85,0))),"AB",IF(AND(IF(AND(NOT(AND(AO85=1,AN85&lt;&gt;1)),ISNUMBER(AI85),AI85&lt;=T85),AU85,0)&gt;0,IF(AND(NOT(AND(AO85=1,AN85&lt;&gt;1)),ISNUMBER(AI85),AI85&lt;=T85),AU85,0)=MAX(IF(AND(NOT(AND(AO85=1,AN85&lt;&gt;1)),ISNUMBER(AG85),AG85&lt;=T85),AS85,0),IF(AND(NOT(AND(AO85=1,AN85&lt;&gt;1)),ISNUMBER(AH85),AH85&lt;=T85),AT85,0),IF(AND(NOT(AND(AO85=1,AN85&lt;&gt;1)),ISNUMBER(AI85),AI85&lt;=T85),AU85,0),IF(AND(ISNUMBER(AJ85),AJ85&lt;=T85),AV85,0))),"SC","Mag")))))))</f>
        <v/>
      </c>
    </row>
    <row r="86">
      <c r="A86" s="26" t="n">
        <v>81</v>
      </c>
      <c r="B86" s="27">
        <f>A86*10/60</f>
        <v/>
      </c>
      <c r="C86" s="22">
        <f>X85</f>
        <v/>
      </c>
      <c r="D86" s="27">
        <f>D85+W85</f>
        <v/>
      </c>
      <c r="E86" s="26">
        <f>E85+IF(U85="SW",1,0)</f>
        <v/>
      </c>
      <c r="F86" s="26">
        <f>F85+IF(U85="AB",1,0)</f>
        <v/>
      </c>
      <c r="G86" s="26">
        <f>G85+IF(U85="SC",1,0)</f>
        <v/>
      </c>
      <c r="H86" s="26">
        <f>H85+IF(U85="Mag",1,0)</f>
        <v/>
      </c>
      <c r="I86" s="26">
        <f>MAX(I85,IF(U85="OR",1,0))</f>
        <v/>
      </c>
      <c r="J86" s="26">
        <f>MAX(J85,IF(U85="HP",1,0))</f>
        <v/>
      </c>
      <c r="K86" s="26">
        <f>MAX(K85,IF(U85="FP",1,0))</f>
        <v/>
      </c>
      <c r="L86" s="26">
        <f>MAX(L85,IF(U85="transition",1,0))</f>
        <v/>
      </c>
      <c r="M86" s="28">
        <f>(Parameters!$B$9+(IF(E86=0,0,(Upgrades!$J$6+E86*Upgrades!$K$6)*POWER(Upgrades!$L$6,E86)))*(IF(Upgrades!$T$7="Solar Wind",POWER(Upgrades!$U$7,F86),1)*IF(Upgrades!$T$8="Solar Wind",POWER(Upgrades!$U$8,G86),1)*IF(Upgrades!$T$9="Solar Wind",POWER(Upgrades!$U$9,H86),1)*IF(Upgrades!$T$10="Solar Wind",POWER(Upgrades!$U$10,I86),1)*IF(Upgrades!$T$11="Solar Wind",POWER(Upgrades!$U$11,J86),1)*IF(Upgrades!$T$12="Solar Wind",POWER(Upgrades!$U$12,K86),1))+(IF(F86=0,0,(Upgrades!$J$7+F86*Upgrades!$K$7)*POWER(Upgrades!$L$7,F86)))*(IF(Upgrades!$T$6="Asteroid Belt",POWER(Upgrades!$U$6,E86),1)*IF(Upgrades!$T$8="Asteroid Belt",POWER(Upgrades!$U$8,G86),1)*IF(Upgrades!$T$9="Asteroid Belt",POWER(Upgrades!$U$9,H86),1)*IF(Upgrades!$T$10="Asteroid Belt",POWER(Upgrades!$U$10,I86),1)*IF(Upgrades!$T$11="Asteroid Belt",POWER(Upgrades!$U$11,J86),1)*IF(Upgrades!$T$12="Asteroid Belt",POWER(Upgrades!$U$12,K86),1))+(IF(G86=0,0,(Upgrades!$J$8+G86*Upgrades!$K$8)*POWER(Upgrades!$L$8,G86)))*(IF(Upgrades!$T$6="Stellar Coupling",POWER(Upgrades!$U$6,E86),1)*IF(Upgrades!$T$7="Stellar Coupling",POWER(Upgrades!$U$7,F86),1)*IF(Upgrades!$T$9="Stellar Coupling",POWER(Upgrades!$U$9,H86),1)*IF(Upgrades!$T$10="Stellar Coupling",POWER(Upgrades!$U$10,I86),1)*IF(Upgrades!$T$11="Stellar Coupling",POWER(Upgrades!$U$11,J86),1)*IF(Upgrades!$T$12="Stellar Coupling",POWER(Upgrades!$U$12,K86),1))+(IF(H86=0,0,(Upgrades!$J$9+H86*Upgrades!$K$9)*POWER(Upgrades!$L$9,H86)))*(IF(Upgrades!$T$6="Magnetosphere",POWER(Upgrades!$U$6,E86),1)*IF(Upgrades!$T$7="Magnetosphere",POWER(Upgrades!$U$7,F86),1)*IF(Upgrades!$T$8="Magnetosphere",POWER(Upgrades!$U$8,G86),1)*IF(Upgrades!$T$10="Magnetosphere",POWER(Upgrades!$U$10,I86),1)*IF(Upgrades!$T$11="Magnetosphere",POWER(Upgrades!$U$11,J86),1)*IF(Upgrades!$T$12="Magnetosphere",POWER(Upgrades!$U$12,K86),1))+(IF(I86=0,0,(Upgrades!$J$10+I86*Upgrades!$K$10)*POWER(Upgrades!$L$10,I86)))*(IF(Upgrades!$T$6="Orbital Resonance",POWER(Upgrades!$U$6,E86),1)*IF(Upgrades!$T$7="Orbital Resonance",POWER(Upgrades!$U$7,F86),1)*IF(Upgrades!$T$8="Orbital Resonance",POWER(Upgrades!$U$8,G86),1)*IF(Upgrades!$T$9="Orbital Resonance",POWER(Upgrades!$U$9,H86),1)*IF(Upgrades!$T$11="Orbital Resonance",POWER(Upgrades!$U$11,J86),1)*IF(Upgrades!$T$12="Orbital Resonance",POWER(Upgrades!$U$12,K86),1))+(IF(J86=0,0,(Upgrades!$J$11+J86*Upgrades!$K$11)*POWER(Upgrades!$L$11,J86)))*(IF(Upgrades!$T$6="Heliopause",POWER(Upgrades!$U$6,E86),1)*IF(Upgrades!$T$7="Heliopause",POWER(Upgrades!$U$7,F86),1)*IF(Upgrades!$T$8="Heliopause",POWER(Upgrades!$U$8,G86),1)*IF(Upgrades!$T$9="Heliopause",POWER(Upgrades!$U$9,H86),1)*IF(Upgrades!$T$10="Heliopause",POWER(Upgrades!$U$10,I86),1)*IF(Upgrades!$T$12="Heliopause",POWER(Upgrades!$U$12,K86),1))+(IF(K86=0,0,(Upgrades!$J$12+K86*Upgrades!$K$12)*POWER(Upgrades!$L$12,K86)))*(IF(Upgrades!$T$6="First Photons",POWER(Upgrades!$U$6,E86),1)*IF(Upgrades!$T$7="First Photons",POWER(Upgrades!$U$7,F86),1)*IF(Upgrades!$T$8="First Photons",POWER(Upgrades!$U$8,G86),1)*IF(Upgrades!$T$9="First Photons",POWER(Upgrades!$U$9,H86),1)*IF(Upgrades!$T$10="First Photons",POWER(Upgrades!$U$10,I86),1)*IF(Upgrades!$T$11="First Photons",POWER(Upgrades!$U$11,J86),1)))*POWER(Upgrades!$Q$6,E86)*POWER(Upgrades!$Q$7,F86)*POWER(Upgrades!$Q$8,G86)*POWER(Upgrades!$Q$9,H86)*POWER(Upgrades!$Q$10,I86)*POWER(Upgrades!$Q$11,J86)*POWER(Upgrades!$Q$12,K86)</f>
        <v/>
      </c>
      <c r="N86" s="28">
        <f>((IF(E86=0,0,(Upgrades!$G$6+E86*Upgrades!$H$6)*POWER(Upgrades!$I$6,E86)))*(IF(Upgrades!$T$7="Solar Wind",POWER(Upgrades!$U$7,F86),1)*IF(Upgrades!$T$8="Solar Wind",POWER(Upgrades!$U$8,G86),1)*IF(Upgrades!$T$9="Solar Wind",POWER(Upgrades!$U$9,H86),1)*IF(Upgrades!$T$10="Solar Wind",POWER(Upgrades!$U$10,I86),1)*IF(Upgrades!$T$11="Solar Wind",POWER(Upgrades!$U$11,J86),1)*IF(Upgrades!$T$12="Solar Wind",POWER(Upgrades!$U$12,K86),1))+(IF(F86=0,0,(Upgrades!$G$7+F86*Upgrades!$H$7)*POWER(Upgrades!$I$7,F86)))*(IF(Upgrades!$T$6="Asteroid Belt",POWER(Upgrades!$U$6,E86),1)*IF(Upgrades!$T$8="Asteroid Belt",POWER(Upgrades!$U$8,G86),1)*IF(Upgrades!$T$9="Asteroid Belt",POWER(Upgrades!$U$9,H86),1)*IF(Upgrades!$T$10="Asteroid Belt",POWER(Upgrades!$U$10,I86),1)*IF(Upgrades!$T$11="Asteroid Belt",POWER(Upgrades!$U$11,J86),1)*IF(Upgrades!$T$12="Asteroid Belt",POWER(Upgrades!$U$12,K86),1))+(IF(G86=0,0,(Upgrades!$G$8+G86*Upgrades!$H$8)*POWER(Upgrades!$I$8,G86)))*(IF(Upgrades!$T$6="Stellar Coupling",POWER(Upgrades!$U$6,E86),1)*IF(Upgrades!$T$7="Stellar Coupling",POWER(Upgrades!$U$7,F86),1)*IF(Upgrades!$T$9="Stellar Coupling",POWER(Upgrades!$U$9,H86),1)*IF(Upgrades!$T$10="Stellar Coupling",POWER(Upgrades!$U$10,I86),1)*IF(Upgrades!$T$11="Stellar Coupling",POWER(Upgrades!$U$11,J86),1)*IF(Upgrades!$T$12="Stellar Coupling",POWER(Upgrades!$U$12,K86),1))+(IF(H86=0,0,(Upgrades!$G$9+H86*Upgrades!$H$9)*POWER(Upgrades!$I$9,H86)))*(IF(Upgrades!$T$6="Magnetosphere",POWER(Upgrades!$U$6,E86),1)*IF(Upgrades!$T$7="Magnetosphere",POWER(Upgrades!$U$7,F86),1)*IF(Upgrades!$T$8="Magnetosphere",POWER(Upgrades!$U$8,G86),1)*IF(Upgrades!$T$10="Magnetosphere",POWER(Upgrades!$U$10,I86),1)*IF(Upgrades!$T$11="Magnetosphere",POWER(Upgrades!$U$11,J86),1)*IF(Upgrades!$T$12="Magnetosphere",POWER(Upgrades!$U$12,K86),1))+(IF(I86=0,0,(Upgrades!$G$10+I86*Upgrades!$H$10)*POWER(Upgrades!$I$10,I86)))*(IF(Upgrades!$T$6="Orbital Resonance",POWER(Upgrades!$U$6,E86),1)*IF(Upgrades!$T$7="Orbital Resonance",POWER(Upgrades!$U$7,F86),1)*IF(Upgrades!$T$8="Orbital Resonance",POWER(Upgrades!$U$8,G86),1)*IF(Upgrades!$T$9="Orbital Resonance",POWER(Upgrades!$U$9,H86),1)*IF(Upgrades!$T$11="Orbital Resonance",POWER(Upgrades!$U$11,J86),1)*IF(Upgrades!$T$12="Orbital Resonance",POWER(Upgrades!$U$12,K86),1))+(IF(J86=0,0,(Upgrades!$G$11+J86*Upgrades!$H$11)*POWER(Upgrades!$I$11,J86)))*(IF(Upgrades!$T$6="Heliopause",POWER(Upgrades!$U$6,E86),1)*IF(Upgrades!$T$7="Heliopause",POWER(Upgrades!$U$7,F86),1)*IF(Upgrades!$T$8="Heliopause",POWER(Upgrades!$U$8,G86),1)*IF(Upgrades!$T$9="Heliopause",POWER(Upgrades!$U$9,H86),1)*IF(Upgrades!$T$10="Heliopause",POWER(Upgrades!$U$10,I86),1)*IF(Upgrades!$T$12="Heliopause",POWER(Upgrades!$U$12,K86),1))+(IF(K86=0,0,(Upgrades!$G$12+K86*Upgrades!$H$12)*POWER(Upgrades!$I$12,K86)))*(IF(Upgrades!$T$6="First Photons",POWER(Upgrades!$U$6,E86),1)*IF(Upgrades!$T$7="First Photons",POWER(Upgrades!$U$7,F86),1)*IF(Upgrades!$T$8="First Photons",POWER(Upgrades!$U$8,G86),1)*IF(Upgrades!$T$9="First Photons",POWER(Upgrades!$U$9,H86),1)*IF(Upgrades!$T$10="First Photons",POWER(Upgrades!$U$10,I86),1)*IF(Upgrades!$T$11="First Photons",POWER(Upgrades!$U$11,J86),1)))*POWER(Upgrades!$P$6,E86)*POWER(Upgrades!$P$7,F86)*POWER(Upgrades!$P$8,G86)*POWER(Upgrades!$P$9,H86)*POWER(Upgrades!$P$10,I86)*POWER(Upgrades!$P$11,J86)*POWER(Upgrades!$P$12,K86)</f>
        <v/>
      </c>
      <c r="O86" s="28">
        <f>((IF(E86=0,0,(Upgrades!$M$6+E86*Upgrades!$N$6)*POWER(Upgrades!$O$6,E86)))*(IF(Upgrades!$T$7="Solar Wind",POWER(Upgrades!$U$7,F86),1)*IF(Upgrades!$T$8="Solar Wind",POWER(Upgrades!$U$8,G86),1)*IF(Upgrades!$T$9="Solar Wind",POWER(Upgrades!$U$9,H86),1)*IF(Upgrades!$T$10="Solar Wind",POWER(Upgrades!$U$10,I86),1)*IF(Upgrades!$T$11="Solar Wind",POWER(Upgrades!$U$11,J86),1)*IF(Upgrades!$T$12="Solar Wind",POWER(Upgrades!$U$12,K86),1))+(IF(F86=0,0,(Upgrades!$M$7+F86*Upgrades!$N$7)*POWER(Upgrades!$O$7,F86)))*(IF(Upgrades!$T$6="Asteroid Belt",POWER(Upgrades!$U$6,E86),1)*IF(Upgrades!$T$8="Asteroid Belt",POWER(Upgrades!$U$8,G86),1)*IF(Upgrades!$T$9="Asteroid Belt",POWER(Upgrades!$U$9,H86),1)*IF(Upgrades!$T$10="Asteroid Belt",POWER(Upgrades!$U$10,I86),1)*IF(Upgrades!$T$11="Asteroid Belt",POWER(Upgrades!$U$11,J86),1)*IF(Upgrades!$T$12="Asteroid Belt",POWER(Upgrades!$U$12,K86),1))+(IF(G86=0,0,(Upgrades!$M$8+G86*Upgrades!$N$8)*POWER(Upgrades!$O$8,G86)))*(IF(Upgrades!$T$6="Stellar Coupling",POWER(Upgrades!$U$6,E86),1)*IF(Upgrades!$T$7="Stellar Coupling",POWER(Upgrades!$U$7,F86),1)*IF(Upgrades!$T$9="Stellar Coupling",POWER(Upgrades!$U$9,H86),1)*IF(Upgrades!$T$10="Stellar Coupling",POWER(Upgrades!$U$10,I86),1)*IF(Upgrades!$T$11="Stellar Coupling",POWER(Upgrades!$U$11,J86),1)*IF(Upgrades!$T$12="Stellar Coupling",POWER(Upgrades!$U$12,K86),1))+(IF(H86=0,0,(Upgrades!$M$9+H86*Upgrades!$N$9)*POWER(Upgrades!$O$9,H86)))*(IF(Upgrades!$T$6="Magnetosphere",POWER(Upgrades!$U$6,E86),1)*IF(Upgrades!$T$7="Magnetosphere",POWER(Upgrades!$U$7,F86),1)*IF(Upgrades!$T$8="Magnetosphere",POWER(Upgrades!$U$8,G86),1)*IF(Upgrades!$T$10="Magnetosphere",POWER(Upgrades!$U$10,I86),1)*IF(Upgrades!$T$11="Magnetosphere",POWER(Upgrades!$U$11,J86),1)*IF(Upgrades!$T$12="Magnetosphere",POWER(Upgrades!$U$12,K86),1))+(IF(I86=0,0,(Upgrades!$M$10+I86*Upgrades!$N$10)*POWER(Upgrades!$O$10,I86)))*(IF(Upgrades!$T$6="Orbital Resonance",POWER(Upgrades!$U$6,E86),1)*IF(Upgrades!$T$7="Orbital Resonance",POWER(Upgrades!$U$7,F86),1)*IF(Upgrades!$T$8="Orbital Resonance",POWER(Upgrades!$U$8,G86),1)*IF(Upgrades!$T$9="Orbital Resonance",POWER(Upgrades!$U$9,H86),1)*IF(Upgrades!$T$11="Orbital Resonance",POWER(Upgrades!$U$11,J86),1)*IF(Upgrades!$T$12="Orbital Resonance",POWER(Upgrades!$U$12,K86),1))+(IF(J86=0,0,(Upgrades!$M$11+J86*Upgrades!$N$11)*POWER(Upgrades!$O$11,J86)))*(IF(Upgrades!$T$6="Heliopause",POWER(Upgrades!$U$6,E86),1)*IF(Upgrades!$T$7="Heliopause",POWER(Upgrades!$U$7,F86),1)*IF(Upgrades!$T$8="Heliopause",POWER(Upgrades!$U$8,G86),1)*IF(Upgrades!$T$9="Heliopause",POWER(Upgrades!$U$9,H86),1)*IF(Upgrades!$T$10="Heliopause",POWER(Upgrades!$U$10,I86),1)*IF(Upgrades!$T$12="Heliopause",POWER(Upgrades!$U$12,K86),1))+(IF(K86=0,0,(Upgrades!$M$12+K86*Upgrades!$N$12)*POWER(Upgrades!$O$12,K86)))*(IF(Upgrades!$T$6="First Photons",POWER(Upgrades!$U$6,E86),1)*IF(Upgrades!$T$7="First Photons",POWER(Upgrades!$U$7,F86),1)*IF(Upgrades!$T$8="First Photons",POWER(Upgrades!$U$8,G86),1)*IF(Upgrades!$T$9="First Photons",POWER(Upgrades!$U$9,H86),1)*IF(Upgrades!$T$10="First Photons",POWER(Upgrades!$U$10,I86),1)*IF(Upgrades!$T$11="First Photons",POWER(Upgrades!$U$11,J86),1)))*POWER(Upgrades!$R$6,E86)*POWER(Upgrades!$R$7,F86)*POWER(Upgrades!$R$8,G86)*POWER(Upgrades!$R$9,H86)*POWER(Upgrades!$R$10,I86)*POWER(Upgrades!$R$11,J86)*POWER(Upgrades!$R$12,K86)</f>
        <v/>
      </c>
      <c r="P86" s="27">
        <f>IF(L86=1,0,M86*Parameters!$B$10/60*Parameters!$B$11*10)</f>
        <v/>
      </c>
      <c r="Q86" s="27">
        <f>IF(L86=1,0,O86*M86*10)</f>
        <v/>
      </c>
      <c r="R86" s="27">
        <f>IF(L86=1,0,N86*10)</f>
        <v/>
      </c>
      <c r="S86" s="27">
        <f>P86+Q86+R86</f>
        <v/>
      </c>
      <c r="T86" s="22">
        <f>C86+S86</f>
        <v/>
      </c>
      <c r="U86" s="33">
        <f>AX86</f>
        <v/>
      </c>
      <c r="V86" s="22">
        <f>IF(U86="",0,IF(U86="transition",0,IF(U86="SW",AG86,IF(U86="AB",AH86,IF(U86="SC",AI86,IF(U86="Mag",AJ86,IF(U86="OR",AK86,IF(U86="HP",AL86,IF(U86="FP",AM86,0)))))))))</f>
        <v/>
      </c>
      <c r="W86" s="27">
        <f>IF(U86="OR",Upgrades!$F$10,IF(U86="HP",Upgrades!$F$11,IF(U86="transition",-Parameters!$B$18,0)))</f>
        <v/>
      </c>
      <c r="X86" s="22">
        <f>T86-V86</f>
        <v/>
      </c>
      <c r="Y86" s="30">
        <f>M86*Parameters!$B$10/60*Parameters!$B$11+O86*M86+N86</f>
        <v/>
      </c>
      <c r="Z86" s="34">
        <f>IF(U86="transition","→ Tier 2 (Stellar Neighborhood)",IF(U86="FP","First Photons — light begins, system quickens",IF(U86="HP","Heliopause acquired",IF(U86="OR","Orbital Resonance — passive multiplier active",IF(AND(AO86=1,L86=0,AN86&lt;&gt;1),"Cohesion ready (waiting on completionist upgrades)","")))))</f>
        <v/>
      </c>
      <c r="AA86" s="27">
        <f>(IF(E86=0,0,(Upgrades!$G$6+E86*Upgrades!$H$6)*POWER(Upgrades!$I$6,E86)))*(IF(Upgrades!$T$7="Solar Wind",POWER(Upgrades!$U$7,F86),1)*IF(Upgrades!$T$8="Solar Wind",POWER(Upgrades!$U$8,G86),1)*IF(Upgrades!$T$9="Solar Wind",POWER(Upgrades!$U$9,H86),1)*IF(Upgrades!$T$10="Solar Wind",POWER(Upgrades!$U$10,I86),1)*IF(Upgrades!$T$11="Solar Wind",POWER(Upgrades!$U$11,J86),1)*IF(Upgrades!$T$12="Solar Wind",POWER(Upgrades!$U$12,K86),1))*POWER(Upgrades!$P$6,E86)*POWER(Upgrades!$P$7,F86)*POWER(Upgrades!$P$8,G86)*POWER(Upgrades!$P$9,H86)*POWER(Upgrades!$P$10,I86)*POWER(Upgrades!$P$11,J86)*POWER(Upgrades!$P$12,K86)*60</f>
        <v/>
      </c>
      <c r="AB86" s="27">
        <f>(IF(F86=0,0,(Upgrades!$G$7+F86*Upgrades!$H$7)*POWER(Upgrades!$I$7,F86)))*(IF(Upgrades!$T$6="Asteroid Belt",POWER(Upgrades!$U$6,E86),1)*IF(Upgrades!$T$8="Asteroid Belt",POWER(Upgrades!$U$8,G86),1)*IF(Upgrades!$T$9="Asteroid Belt",POWER(Upgrades!$U$9,H86),1)*IF(Upgrades!$T$10="Asteroid Belt",POWER(Upgrades!$U$10,I86),1)*IF(Upgrades!$T$11="Asteroid Belt",POWER(Upgrades!$U$11,J86),1)*IF(Upgrades!$T$12="Asteroid Belt",POWER(Upgrades!$U$12,K86),1))*POWER(Upgrades!$P$6,E86)*POWER(Upgrades!$P$7,F86)*POWER(Upgrades!$P$8,G86)*POWER(Upgrades!$P$9,H86)*POWER(Upgrades!$P$10,I86)*POWER(Upgrades!$P$11,J86)*POWER(Upgrades!$P$12,K86)*60</f>
        <v/>
      </c>
      <c r="AC86" s="27">
        <f>(IF(G86=0,0,(Upgrades!$J$8+G86*Upgrades!$K$8)*POWER(Upgrades!$L$8,G86)))*(IF(Upgrades!$T$6="Stellar Coupling",POWER(Upgrades!$U$6,E86),1)*IF(Upgrades!$T$7="Stellar Coupling",POWER(Upgrades!$U$7,F86),1)*IF(Upgrades!$T$9="Stellar Coupling",POWER(Upgrades!$U$9,H86),1)*IF(Upgrades!$T$10="Stellar Coupling",POWER(Upgrades!$U$10,I86),1)*IF(Upgrades!$T$11="Stellar Coupling",POWER(Upgrades!$U$11,J86),1)*IF(Upgrades!$T$12="Stellar Coupling",POWER(Upgrades!$U$12,K86),1))*POWER(Upgrades!$Q$6,E86)*POWER(Upgrades!$Q$7,F86)*POWER(Upgrades!$Q$8,G86)*POWER(Upgrades!$Q$9,H86)*POWER(Upgrades!$Q$10,I86)*POWER(Upgrades!$Q$11,J86)*POWER(Upgrades!$Q$12,K86)*Parameters!$B$10*Parameters!$B$11</f>
        <v/>
      </c>
      <c r="AD86" s="27">
        <f>(IF(H86=0,0,(Upgrades!$G$9+H86*Upgrades!$H$9)*POWER(Upgrades!$I$9,H86)))*(IF(Upgrades!$T$6="Magnetosphere",POWER(Upgrades!$U$6,E86),1)*IF(Upgrades!$T$7="Magnetosphere",POWER(Upgrades!$U$7,F86),1)*IF(Upgrades!$T$8="Magnetosphere",POWER(Upgrades!$U$8,G86),1)*IF(Upgrades!$T$10="Magnetosphere",POWER(Upgrades!$U$10,I86),1)*IF(Upgrades!$T$11="Magnetosphere",POWER(Upgrades!$U$11,J86),1)*IF(Upgrades!$T$12="Magnetosphere",POWER(Upgrades!$U$12,K86),1))*POWER(Upgrades!$P$6,E86)*POWER(Upgrades!$P$7,F86)*POWER(Upgrades!$P$8,G86)*POWER(Upgrades!$P$9,H86)*POWER(Upgrades!$P$10,I86)*POWER(Upgrades!$P$11,J86)*POWER(Upgrades!$P$12,K86)*60</f>
        <v/>
      </c>
      <c r="AE86" s="27">
        <f>(IF(K86=0,0,(Upgrades!$G$12+K86*Upgrades!$H$12)*POWER(Upgrades!$I$12,K86)))*(IF(Upgrades!$T$6="First Photons",POWER(Upgrades!$U$6,E86),1)*IF(Upgrades!$T$7="First Photons",POWER(Upgrades!$U$7,F86),1)*IF(Upgrades!$T$8="First Photons",POWER(Upgrades!$U$8,G86),1)*IF(Upgrades!$T$9="First Photons",POWER(Upgrades!$U$9,H86),1)*IF(Upgrades!$T$10="First Photons",POWER(Upgrades!$U$10,I86),1)*IF(Upgrades!$T$11="First Photons",POWER(Upgrades!$U$11,J86),1))*POWER(Upgrades!$P$6,E86)*POWER(Upgrades!$P$7,F86)*POWER(Upgrades!$P$8,G86)*POWER(Upgrades!$P$9,H86)*POWER(Upgrades!$P$10,I86)*POWER(Upgrades!$P$11,J86)*POWER(Upgrades!$P$12,K86)*60</f>
        <v/>
      </c>
      <c r="AF86" s="27">
        <f>Parameters!$B$9*POWER(Upgrades!$Q$6,E86)*POWER(Upgrades!$Q$7,F86)*POWER(Upgrades!$Q$8,G86)*POWER(Upgrades!$Q$9,H86)*POWER(Upgrades!$Q$10,I86)*POWER(Upgrades!$Q$11,J86)*POWER(Upgrades!$Q$12,K86)*(Parameters!$B$10*Parameters!$B$11+O86*60)</f>
        <v/>
      </c>
      <c r="AG86" s="22">
        <f>IF(E86&gt;=Upgrades!$E$6,"",Upgrades!$C$6*POWER(Upgrades!$D$6,E86))</f>
        <v/>
      </c>
      <c r="AH86" s="22">
        <f>IF(F86&gt;=Upgrades!$E$7,"",Upgrades!$C$7*POWER(Upgrades!$D$7,F86))</f>
        <v/>
      </c>
      <c r="AI86" s="22">
        <f>IF(G86&gt;=Upgrades!$E$8,"",Upgrades!$C$8*POWER(Upgrades!$D$8,G86))</f>
        <v/>
      </c>
      <c r="AJ86" s="22">
        <f>IF(H86&gt;=Upgrades!$E$9,"",Upgrades!$C$9*POWER(Upgrades!$D$9,H86))</f>
        <v/>
      </c>
      <c r="AK86" s="22">
        <f>IF(I86&gt;=Upgrades!$E$10,"",Upgrades!$C$10*POWER(Upgrades!$D$10,I86))</f>
        <v/>
      </c>
      <c r="AL86" s="22">
        <f>IF(J86&gt;=Upgrades!$E$11,"",Upgrades!$C$11*POWER(Upgrades!$D$11,J86))</f>
        <v/>
      </c>
      <c r="AM86" s="22">
        <f>IF(K86&gt;=Upgrades!$E$12,"",Upgrades!$C$12*POWER(Upgrades!$D$12,K86))</f>
        <v/>
      </c>
      <c r="AN86" s="26">
        <f>IF(AND(D86&gt;=Parameters!$B$18,(H86&gt;=Upgrades!$E$9)*(K86&gt;=Upgrades!$E$12)=1,L86=0),1,"")</f>
        <v/>
      </c>
      <c r="AO86" s="26">
        <f>IF(AND(D86&gt;=Parameters!$B$18,L86=0),1,"")</f>
        <v/>
      </c>
      <c r="AP86" s="22">
        <f>MIN(IF(ISNUMBER(AK86),AK86,9E15),IF(ISNUMBER(AL86),AL86,9E15),IF(ISNUMBER(AM86),AM86,9E15))</f>
        <v/>
      </c>
      <c r="AQ86" s="22">
        <f>MIN(IF(ISNUMBER(AG86),AG86,9E15),IF(ISNUMBER(AH86),AH86,9E15),IF(ISNUMBER(AI86),AI86,9E15),IF(ISNUMBER(AJ86),AJ86,9E15))</f>
        <v/>
      </c>
      <c r="AR86" s="29">
        <f>IF(AW86&gt;Parameters!$B$21*(MAX(IF(AND(NOT(AND(AO86=1,AN86&lt;&gt;1)),ISNUMBER(AG86),AG86&lt;=T86),AS86,0),IF(AND(NOT(AND(AO86=1,AN86&lt;&gt;1)),ISNUMBER(AH86),AH86&lt;=T86),AT86,0),IF(AND(NOT(AND(AO86=1,AN86&lt;&gt;1)),ISNUMBER(AI86),AI86&lt;=T86),AU86,0),IF(AND(ISNUMBER(AJ86),AJ86&lt;=T86),AV86,0))),TRUE,FALSE)</f>
        <v/>
      </c>
      <c r="AS86" s="32">
        <f>IFERROR(Upgrades!$H$6*(POWER(Upgrades!$P$6,E86)*POWER(Upgrades!$P$7,F86)*POWER(Upgrades!$P$8,G86)*POWER(Upgrades!$P$9,H86)*POWER(Upgrades!$P$10,I86)*POWER(Upgrades!$P$11,J86)*POWER(Upgrades!$P$12,K86))*(IF(Upgrades!$T$7="Solar Wind",POWER(Upgrades!$U$7,F86),1)*IF(Upgrades!$T$8="Solar Wind",POWER(Upgrades!$U$8,G86),1)*IF(Upgrades!$T$9="Solar Wind",POWER(Upgrades!$U$9,H86),1)*IF(Upgrades!$T$10="Solar Wind",POWER(Upgrades!$U$10,I86),1)*IF(Upgrades!$T$11="Solar Wind",POWER(Upgrades!$U$11,J86),1)*IF(Upgrades!$T$12="Solar Wind",POWER(Upgrades!$U$12,K86),1))/AG86,0)</f>
        <v/>
      </c>
      <c r="AT86" s="32">
        <f>IFERROR(Upgrades!$H$7*(POWER(Upgrades!$P$6,E86)*POWER(Upgrades!$P$7,F86)*POWER(Upgrades!$P$8,G86)*POWER(Upgrades!$P$9,H86)*POWER(Upgrades!$P$10,I86)*POWER(Upgrades!$P$11,J86)*POWER(Upgrades!$P$12,K86))*(IF(Upgrades!$T$6="Asteroid Belt",POWER(Upgrades!$U$6,E86),1)*IF(Upgrades!$T$8="Asteroid Belt",POWER(Upgrades!$U$8,G86),1)*IF(Upgrades!$T$9="Asteroid Belt",POWER(Upgrades!$U$9,H86),1)*IF(Upgrades!$T$10="Asteroid Belt",POWER(Upgrades!$U$10,I86),1)*IF(Upgrades!$T$11="Asteroid Belt",POWER(Upgrades!$U$11,J86),1)*IF(Upgrades!$T$12="Asteroid Belt",POWER(Upgrades!$U$12,K86),1))/AH86,0)</f>
        <v/>
      </c>
      <c r="AU86" s="32">
        <f>IFERROR(Upgrades!$K$8*(POWER(Upgrades!$Q$6,E86)*POWER(Upgrades!$Q$7,F86)*POWER(Upgrades!$Q$8,G86)*POWER(Upgrades!$Q$9,H86)*POWER(Upgrades!$Q$10,I86)*POWER(Upgrades!$Q$11,J86)*POWER(Upgrades!$Q$12,K86))*(IF(Upgrades!$T$6="Stellar Coupling",POWER(Upgrades!$U$6,E86),1)*IF(Upgrades!$T$7="Stellar Coupling",POWER(Upgrades!$U$7,F86),1)*IF(Upgrades!$T$9="Stellar Coupling",POWER(Upgrades!$U$9,H86),1)*IF(Upgrades!$T$10="Stellar Coupling",POWER(Upgrades!$U$10,I86),1)*IF(Upgrades!$T$11="Stellar Coupling",POWER(Upgrades!$U$11,J86),1)*IF(Upgrades!$T$12="Stellar Coupling",POWER(Upgrades!$U$12,K86),1))*Parameters!$B$10*Parameters!$B$11/60/AI86,0)</f>
        <v/>
      </c>
      <c r="AV86" s="32">
        <f>IFERROR(Upgrades!$H$9*(POWER(Upgrades!$P$6,E86)*POWER(Upgrades!$P$7,F86)*POWER(Upgrades!$P$8,G86)*POWER(Upgrades!$P$9,H86)*POWER(Upgrades!$P$10,I86)*POWER(Upgrades!$P$11,J86)*POWER(Upgrades!$P$12,K86))*(IF(Upgrades!$T$6="Magnetosphere",POWER(Upgrades!$U$6,E86),1)*IF(Upgrades!$T$7="Magnetosphere",POWER(Upgrades!$U$7,F86),1)*IF(Upgrades!$T$8="Magnetosphere",POWER(Upgrades!$U$8,G86),1)*IF(Upgrades!$T$10="Magnetosphere",POWER(Upgrades!$U$10,I86),1)*IF(Upgrades!$T$11="Magnetosphere",POWER(Upgrades!$U$11,J86),1)*IF(Upgrades!$T$12="Magnetosphere",POWER(Upgrades!$U$12,K86),1))/AJ86,0)</f>
        <v/>
      </c>
      <c r="AW86" s="32">
        <f>MAX(IF(I86&gt;0,0,IFERROR(0.25*N86/Upgrades!$C$10,0)),IF(J86&gt;0,0,IFERROR(0.5*((IF(G86=0,0,(Upgrades!$J$8+G86*Upgrades!$K$8)*POWER(Upgrades!$L$8,G86)))*(IF(Upgrades!$T$6="Stellar Coupling",POWER(Upgrades!$U$6,E86),1)*IF(Upgrades!$T$7="Stellar Coupling",POWER(Upgrades!$U$7,F86),1)*IF(Upgrades!$T$9="Stellar Coupling",POWER(Upgrades!$U$9,H86),1)*IF(Upgrades!$T$10="Stellar Coupling",POWER(Upgrades!$U$10,I86),1)*IF(Upgrades!$T$11="Stellar Coupling",POWER(Upgrades!$U$11,J86),1)*IF(Upgrades!$T$12="Stellar Coupling",POWER(Upgrades!$U$12,K86),1))*(POWER(Upgrades!$Q$6,E86)*POWER(Upgrades!$Q$7,F86)*POWER(Upgrades!$Q$8,G86)*POWER(Upgrades!$Q$9,H86)*POWER(Upgrades!$Q$10,I86)*POWER(Upgrades!$Q$11,J86)*POWER(Upgrades!$Q$12,K86))*Parameters!$B$10*Parameters!$B$11/60)/Upgrades!$C$11,0)),IF(K86&gt;0,0,IFERROR((1.0*(POWER(Upgrades!$P$6,E86)*POWER(Upgrades!$P$7,F86)*POWER(Upgrades!$P$8,G86)*POWER(Upgrades!$P$9,H86)*POWER(Upgrades!$P$10,I86)*POWER(Upgrades!$P$11,J86)*POWER(Upgrades!$P$12,K86))+0.20*M86*Parameters!$B$10*Parameters!$B$11/60)/Upgrades!$C$12,0)),IF(AND(ISNUMBER(AG86),AG86&gt;T86),AS86,0),IF(AND(ISNUMBER(AH86),AH86&gt;T86),AT86,0),IF(AND(ISNUMBER(AI86),AI86&gt;T86),AU86,0),IF(AND(ISNUMBER(AJ86),AJ86&gt;T86),AV86,0))</f>
        <v/>
      </c>
      <c r="AX86" s="29">
        <f>IF(AN86=1,"transition",IF(MIN(IF(AND(I86=0,ISNUMBER(AK86),AK86&lt;=T86),AK86,9E15),IF(AND(J86=0,ISNUMBER(AL86),AL86&lt;=T86),AL86,9E15),IF(AND(K86=0,ISNUMBER(AM86),AM86&lt;=T86),AM86,9E15))&lt;9E15,IF(AND(AND(I86=0,ISNUMBER(AK86),AK86&lt;=T86),AK86=MIN(IF(AND(I86=0,ISNUMBER(AK86),AK86&lt;=T86),AK86,9E15),IF(AND(J86=0,ISNUMBER(AL86),AL86&lt;=T86),AL86,9E15),IF(AND(K86=0,ISNUMBER(AM86),AM86&lt;=T86),AM86,9E15))),"OR",IF(AND(AND(J86=0,ISNUMBER(AL86),AL86&lt;=T86),AL86=MIN(IF(AND(I86=0,ISNUMBER(AK86),AK86&lt;=T86),AK86,9E15),IF(AND(J86=0,ISNUMBER(AL86),AL86&lt;=T86),AL86,9E15),IF(AND(K86=0,ISNUMBER(AM86),AM86&lt;=T86),AM86,9E15))),"HP","FP")),IF(AR86=TRUE,"",IF(MAX(IF(AND(NOT(AND(AO86=1,AN86&lt;&gt;1)),ISNUMBER(AG86),AG86&lt;=T86),AS86,0),IF(AND(NOT(AND(AO86=1,AN86&lt;&gt;1)),ISNUMBER(AH86),AH86&lt;=T86),AT86,0),IF(AND(NOT(AND(AO86=1,AN86&lt;&gt;1)),ISNUMBER(AI86),AI86&lt;=T86),AU86,0),IF(AND(ISNUMBER(AJ86),AJ86&lt;=T86),AV86,0))&lt;=0,"",IF(AND(IF(AND(NOT(AND(AO86=1,AN86&lt;&gt;1)),ISNUMBER(AG86),AG86&lt;=T86),AS86,0)&gt;0,IF(AND(NOT(AND(AO86=1,AN86&lt;&gt;1)),ISNUMBER(AG86),AG86&lt;=T86),AS86,0)=MAX(IF(AND(NOT(AND(AO86=1,AN86&lt;&gt;1)),ISNUMBER(AG86),AG86&lt;=T86),AS86,0),IF(AND(NOT(AND(AO86=1,AN86&lt;&gt;1)),ISNUMBER(AH86),AH86&lt;=T86),AT86,0),IF(AND(NOT(AND(AO86=1,AN86&lt;&gt;1)),ISNUMBER(AI86),AI86&lt;=T86),AU86,0),IF(AND(ISNUMBER(AJ86),AJ86&lt;=T86),AV86,0))),"SW",IF(AND(IF(AND(NOT(AND(AO86=1,AN86&lt;&gt;1)),ISNUMBER(AH86),AH86&lt;=T86),AT86,0)&gt;0,IF(AND(NOT(AND(AO86=1,AN86&lt;&gt;1)),ISNUMBER(AH86),AH86&lt;=T86),AT86,0)=MAX(IF(AND(NOT(AND(AO86=1,AN86&lt;&gt;1)),ISNUMBER(AG86),AG86&lt;=T86),AS86,0),IF(AND(NOT(AND(AO86=1,AN86&lt;&gt;1)),ISNUMBER(AH86),AH86&lt;=T86),AT86,0),IF(AND(NOT(AND(AO86=1,AN86&lt;&gt;1)),ISNUMBER(AI86),AI86&lt;=T86),AU86,0),IF(AND(ISNUMBER(AJ86),AJ86&lt;=T86),AV86,0))),"AB",IF(AND(IF(AND(NOT(AND(AO86=1,AN86&lt;&gt;1)),ISNUMBER(AI86),AI86&lt;=T86),AU86,0)&gt;0,IF(AND(NOT(AND(AO86=1,AN86&lt;&gt;1)),ISNUMBER(AI86),AI86&lt;=T86),AU86,0)=MAX(IF(AND(NOT(AND(AO86=1,AN86&lt;&gt;1)),ISNUMBER(AG86),AG86&lt;=T86),AS86,0),IF(AND(NOT(AND(AO86=1,AN86&lt;&gt;1)),ISNUMBER(AH86),AH86&lt;=T86),AT86,0),IF(AND(NOT(AND(AO86=1,AN86&lt;&gt;1)),ISNUMBER(AI86),AI86&lt;=T86),AU86,0),IF(AND(ISNUMBER(AJ86),AJ86&lt;=T86),AV86,0))),"SC","Mag")))))))</f>
        <v/>
      </c>
    </row>
    <row r="87">
      <c r="A87" s="26" t="n">
        <v>82</v>
      </c>
      <c r="B87" s="27">
        <f>A87*10/60</f>
        <v/>
      </c>
      <c r="C87" s="22">
        <f>X86</f>
        <v/>
      </c>
      <c r="D87" s="27">
        <f>D86+W86</f>
        <v/>
      </c>
      <c r="E87" s="26">
        <f>E86+IF(U86="SW",1,0)</f>
        <v/>
      </c>
      <c r="F87" s="26">
        <f>F86+IF(U86="AB",1,0)</f>
        <v/>
      </c>
      <c r="G87" s="26">
        <f>G86+IF(U86="SC",1,0)</f>
        <v/>
      </c>
      <c r="H87" s="26">
        <f>H86+IF(U86="Mag",1,0)</f>
        <v/>
      </c>
      <c r="I87" s="26">
        <f>MAX(I86,IF(U86="OR",1,0))</f>
        <v/>
      </c>
      <c r="J87" s="26">
        <f>MAX(J86,IF(U86="HP",1,0))</f>
        <v/>
      </c>
      <c r="K87" s="26">
        <f>MAX(K86,IF(U86="FP",1,0))</f>
        <v/>
      </c>
      <c r="L87" s="26">
        <f>MAX(L86,IF(U86="transition",1,0))</f>
        <v/>
      </c>
      <c r="M87" s="28">
        <f>(Parameters!$B$9+(IF(E87=0,0,(Upgrades!$J$6+E87*Upgrades!$K$6)*POWER(Upgrades!$L$6,E87)))*(IF(Upgrades!$T$7="Solar Wind",POWER(Upgrades!$U$7,F87),1)*IF(Upgrades!$T$8="Solar Wind",POWER(Upgrades!$U$8,G87),1)*IF(Upgrades!$T$9="Solar Wind",POWER(Upgrades!$U$9,H87),1)*IF(Upgrades!$T$10="Solar Wind",POWER(Upgrades!$U$10,I87),1)*IF(Upgrades!$T$11="Solar Wind",POWER(Upgrades!$U$11,J87),1)*IF(Upgrades!$T$12="Solar Wind",POWER(Upgrades!$U$12,K87),1))+(IF(F87=0,0,(Upgrades!$J$7+F87*Upgrades!$K$7)*POWER(Upgrades!$L$7,F87)))*(IF(Upgrades!$T$6="Asteroid Belt",POWER(Upgrades!$U$6,E87),1)*IF(Upgrades!$T$8="Asteroid Belt",POWER(Upgrades!$U$8,G87),1)*IF(Upgrades!$T$9="Asteroid Belt",POWER(Upgrades!$U$9,H87),1)*IF(Upgrades!$T$10="Asteroid Belt",POWER(Upgrades!$U$10,I87),1)*IF(Upgrades!$T$11="Asteroid Belt",POWER(Upgrades!$U$11,J87),1)*IF(Upgrades!$T$12="Asteroid Belt",POWER(Upgrades!$U$12,K87),1))+(IF(G87=0,0,(Upgrades!$J$8+G87*Upgrades!$K$8)*POWER(Upgrades!$L$8,G87)))*(IF(Upgrades!$T$6="Stellar Coupling",POWER(Upgrades!$U$6,E87),1)*IF(Upgrades!$T$7="Stellar Coupling",POWER(Upgrades!$U$7,F87),1)*IF(Upgrades!$T$9="Stellar Coupling",POWER(Upgrades!$U$9,H87),1)*IF(Upgrades!$T$10="Stellar Coupling",POWER(Upgrades!$U$10,I87),1)*IF(Upgrades!$T$11="Stellar Coupling",POWER(Upgrades!$U$11,J87),1)*IF(Upgrades!$T$12="Stellar Coupling",POWER(Upgrades!$U$12,K87),1))+(IF(H87=0,0,(Upgrades!$J$9+H87*Upgrades!$K$9)*POWER(Upgrades!$L$9,H87)))*(IF(Upgrades!$T$6="Magnetosphere",POWER(Upgrades!$U$6,E87),1)*IF(Upgrades!$T$7="Magnetosphere",POWER(Upgrades!$U$7,F87),1)*IF(Upgrades!$T$8="Magnetosphere",POWER(Upgrades!$U$8,G87),1)*IF(Upgrades!$T$10="Magnetosphere",POWER(Upgrades!$U$10,I87),1)*IF(Upgrades!$T$11="Magnetosphere",POWER(Upgrades!$U$11,J87),1)*IF(Upgrades!$T$12="Magnetosphere",POWER(Upgrades!$U$12,K87),1))+(IF(I87=0,0,(Upgrades!$J$10+I87*Upgrades!$K$10)*POWER(Upgrades!$L$10,I87)))*(IF(Upgrades!$T$6="Orbital Resonance",POWER(Upgrades!$U$6,E87),1)*IF(Upgrades!$T$7="Orbital Resonance",POWER(Upgrades!$U$7,F87),1)*IF(Upgrades!$T$8="Orbital Resonance",POWER(Upgrades!$U$8,G87),1)*IF(Upgrades!$T$9="Orbital Resonance",POWER(Upgrades!$U$9,H87),1)*IF(Upgrades!$T$11="Orbital Resonance",POWER(Upgrades!$U$11,J87),1)*IF(Upgrades!$T$12="Orbital Resonance",POWER(Upgrades!$U$12,K87),1))+(IF(J87=0,0,(Upgrades!$J$11+J87*Upgrades!$K$11)*POWER(Upgrades!$L$11,J87)))*(IF(Upgrades!$T$6="Heliopause",POWER(Upgrades!$U$6,E87),1)*IF(Upgrades!$T$7="Heliopause",POWER(Upgrades!$U$7,F87),1)*IF(Upgrades!$T$8="Heliopause",POWER(Upgrades!$U$8,G87),1)*IF(Upgrades!$T$9="Heliopause",POWER(Upgrades!$U$9,H87),1)*IF(Upgrades!$T$10="Heliopause",POWER(Upgrades!$U$10,I87),1)*IF(Upgrades!$T$12="Heliopause",POWER(Upgrades!$U$12,K87),1))+(IF(K87=0,0,(Upgrades!$J$12+K87*Upgrades!$K$12)*POWER(Upgrades!$L$12,K87)))*(IF(Upgrades!$T$6="First Photons",POWER(Upgrades!$U$6,E87),1)*IF(Upgrades!$T$7="First Photons",POWER(Upgrades!$U$7,F87),1)*IF(Upgrades!$T$8="First Photons",POWER(Upgrades!$U$8,G87),1)*IF(Upgrades!$T$9="First Photons",POWER(Upgrades!$U$9,H87),1)*IF(Upgrades!$T$10="First Photons",POWER(Upgrades!$U$10,I87),1)*IF(Upgrades!$T$11="First Photons",POWER(Upgrades!$U$11,J87),1)))*POWER(Upgrades!$Q$6,E87)*POWER(Upgrades!$Q$7,F87)*POWER(Upgrades!$Q$8,G87)*POWER(Upgrades!$Q$9,H87)*POWER(Upgrades!$Q$10,I87)*POWER(Upgrades!$Q$11,J87)*POWER(Upgrades!$Q$12,K87)</f>
        <v/>
      </c>
      <c r="N87" s="28">
        <f>((IF(E87=0,0,(Upgrades!$G$6+E87*Upgrades!$H$6)*POWER(Upgrades!$I$6,E87)))*(IF(Upgrades!$T$7="Solar Wind",POWER(Upgrades!$U$7,F87),1)*IF(Upgrades!$T$8="Solar Wind",POWER(Upgrades!$U$8,G87),1)*IF(Upgrades!$T$9="Solar Wind",POWER(Upgrades!$U$9,H87),1)*IF(Upgrades!$T$10="Solar Wind",POWER(Upgrades!$U$10,I87),1)*IF(Upgrades!$T$11="Solar Wind",POWER(Upgrades!$U$11,J87),1)*IF(Upgrades!$T$12="Solar Wind",POWER(Upgrades!$U$12,K87),1))+(IF(F87=0,0,(Upgrades!$G$7+F87*Upgrades!$H$7)*POWER(Upgrades!$I$7,F87)))*(IF(Upgrades!$T$6="Asteroid Belt",POWER(Upgrades!$U$6,E87),1)*IF(Upgrades!$T$8="Asteroid Belt",POWER(Upgrades!$U$8,G87),1)*IF(Upgrades!$T$9="Asteroid Belt",POWER(Upgrades!$U$9,H87),1)*IF(Upgrades!$T$10="Asteroid Belt",POWER(Upgrades!$U$10,I87),1)*IF(Upgrades!$T$11="Asteroid Belt",POWER(Upgrades!$U$11,J87),1)*IF(Upgrades!$T$12="Asteroid Belt",POWER(Upgrades!$U$12,K87),1))+(IF(G87=0,0,(Upgrades!$G$8+G87*Upgrades!$H$8)*POWER(Upgrades!$I$8,G87)))*(IF(Upgrades!$T$6="Stellar Coupling",POWER(Upgrades!$U$6,E87),1)*IF(Upgrades!$T$7="Stellar Coupling",POWER(Upgrades!$U$7,F87),1)*IF(Upgrades!$T$9="Stellar Coupling",POWER(Upgrades!$U$9,H87),1)*IF(Upgrades!$T$10="Stellar Coupling",POWER(Upgrades!$U$10,I87),1)*IF(Upgrades!$T$11="Stellar Coupling",POWER(Upgrades!$U$11,J87),1)*IF(Upgrades!$T$12="Stellar Coupling",POWER(Upgrades!$U$12,K87),1))+(IF(H87=0,0,(Upgrades!$G$9+H87*Upgrades!$H$9)*POWER(Upgrades!$I$9,H87)))*(IF(Upgrades!$T$6="Magnetosphere",POWER(Upgrades!$U$6,E87),1)*IF(Upgrades!$T$7="Magnetosphere",POWER(Upgrades!$U$7,F87),1)*IF(Upgrades!$T$8="Magnetosphere",POWER(Upgrades!$U$8,G87),1)*IF(Upgrades!$T$10="Magnetosphere",POWER(Upgrades!$U$10,I87),1)*IF(Upgrades!$T$11="Magnetosphere",POWER(Upgrades!$U$11,J87),1)*IF(Upgrades!$T$12="Magnetosphere",POWER(Upgrades!$U$12,K87),1))+(IF(I87=0,0,(Upgrades!$G$10+I87*Upgrades!$H$10)*POWER(Upgrades!$I$10,I87)))*(IF(Upgrades!$T$6="Orbital Resonance",POWER(Upgrades!$U$6,E87),1)*IF(Upgrades!$T$7="Orbital Resonance",POWER(Upgrades!$U$7,F87),1)*IF(Upgrades!$T$8="Orbital Resonance",POWER(Upgrades!$U$8,G87),1)*IF(Upgrades!$T$9="Orbital Resonance",POWER(Upgrades!$U$9,H87),1)*IF(Upgrades!$T$11="Orbital Resonance",POWER(Upgrades!$U$11,J87),1)*IF(Upgrades!$T$12="Orbital Resonance",POWER(Upgrades!$U$12,K87),1))+(IF(J87=0,0,(Upgrades!$G$11+J87*Upgrades!$H$11)*POWER(Upgrades!$I$11,J87)))*(IF(Upgrades!$T$6="Heliopause",POWER(Upgrades!$U$6,E87),1)*IF(Upgrades!$T$7="Heliopause",POWER(Upgrades!$U$7,F87),1)*IF(Upgrades!$T$8="Heliopause",POWER(Upgrades!$U$8,G87),1)*IF(Upgrades!$T$9="Heliopause",POWER(Upgrades!$U$9,H87),1)*IF(Upgrades!$T$10="Heliopause",POWER(Upgrades!$U$10,I87),1)*IF(Upgrades!$T$12="Heliopause",POWER(Upgrades!$U$12,K87),1))+(IF(K87=0,0,(Upgrades!$G$12+K87*Upgrades!$H$12)*POWER(Upgrades!$I$12,K87)))*(IF(Upgrades!$T$6="First Photons",POWER(Upgrades!$U$6,E87),1)*IF(Upgrades!$T$7="First Photons",POWER(Upgrades!$U$7,F87),1)*IF(Upgrades!$T$8="First Photons",POWER(Upgrades!$U$8,G87),1)*IF(Upgrades!$T$9="First Photons",POWER(Upgrades!$U$9,H87),1)*IF(Upgrades!$T$10="First Photons",POWER(Upgrades!$U$10,I87),1)*IF(Upgrades!$T$11="First Photons",POWER(Upgrades!$U$11,J87),1)))*POWER(Upgrades!$P$6,E87)*POWER(Upgrades!$P$7,F87)*POWER(Upgrades!$P$8,G87)*POWER(Upgrades!$P$9,H87)*POWER(Upgrades!$P$10,I87)*POWER(Upgrades!$P$11,J87)*POWER(Upgrades!$P$12,K87)</f>
        <v/>
      </c>
      <c r="O87" s="28">
        <f>((IF(E87=0,0,(Upgrades!$M$6+E87*Upgrades!$N$6)*POWER(Upgrades!$O$6,E87)))*(IF(Upgrades!$T$7="Solar Wind",POWER(Upgrades!$U$7,F87),1)*IF(Upgrades!$T$8="Solar Wind",POWER(Upgrades!$U$8,G87),1)*IF(Upgrades!$T$9="Solar Wind",POWER(Upgrades!$U$9,H87),1)*IF(Upgrades!$T$10="Solar Wind",POWER(Upgrades!$U$10,I87),1)*IF(Upgrades!$T$11="Solar Wind",POWER(Upgrades!$U$11,J87),1)*IF(Upgrades!$T$12="Solar Wind",POWER(Upgrades!$U$12,K87),1))+(IF(F87=0,0,(Upgrades!$M$7+F87*Upgrades!$N$7)*POWER(Upgrades!$O$7,F87)))*(IF(Upgrades!$T$6="Asteroid Belt",POWER(Upgrades!$U$6,E87),1)*IF(Upgrades!$T$8="Asteroid Belt",POWER(Upgrades!$U$8,G87),1)*IF(Upgrades!$T$9="Asteroid Belt",POWER(Upgrades!$U$9,H87),1)*IF(Upgrades!$T$10="Asteroid Belt",POWER(Upgrades!$U$10,I87),1)*IF(Upgrades!$T$11="Asteroid Belt",POWER(Upgrades!$U$11,J87),1)*IF(Upgrades!$T$12="Asteroid Belt",POWER(Upgrades!$U$12,K87),1))+(IF(G87=0,0,(Upgrades!$M$8+G87*Upgrades!$N$8)*POWER(Upgrades!$O$8,G87)))*(IF(Upgrades!$T$6="Stellar Coupling",POWER(Upgrades!$U$6,E87),1)*IF(Upgrades!$T$7="Stellar Coupling",POWER(Upgrades!$U$7,F87),1)*IF(Upgrades!$T$9="Stellar Coupling",POWER(Upgrades!$U$9,H87),1)*IF(Upgrades!$T$10="Stellar Coupling",POWER(Upgrades!$U$10,I87),1)*IF(Upgrades!$T$11="Stellar Coupling",POWER(Upgrades!$U$11,J87),1)*IF(Upgrades!$T$12="Stellar Coupling",POWER(Upgrades!$U$12,K87),1))+(IF(H87=0,0,(Upgrades!$M$9+H87*Upgrades!$N$9)*POWER(Upgrades!$O$9,H87)))*(IF(Upgrades!$T$6="Magnetosphere",POWER(Upgrades!$U$6,E87),1)*IF(Upgrades!$T$7="Magnetosphere",POWER(Upgrades!$U$7,F87),1)*IF(Upgrades!$T$8="Magnetosphere",POWER(Upgrades!$U$8,G87),1)*IF(Upgrades!$T$10="Magnetosphere",POWER(Upgrades!$U$10,I87),1)*IF(Upgrades!$T$11="Magnetosphere",POWER(Upgrades!$U$11,J87),1)*IF(Upgrades!$T$12="Magnetosphere",POWER(Upgrades!$U$12,K87),1))+(IF(I87=0,0,(Upgrades!$M$10+I87*Upgrades!$N$10)*POWER(Upgrades!$O$10,I87)))*(IF(Upgrades!$T$6="Orbital Resonance",POWER(Upgrades!$U$6,E87),1)*IF(Upgrades!$T$7="Orbital Resonance",POWER(Upgrades!$U$7,F87),1)*IF(Upgrades!$T$8="Orbital Resonance",POWER(Upgrades!$U$8,G87),1)*IF(Upgrades!$T$9="Orbital Resonance",POWER(Upgrades!$U$9,H87),1)*IF(Upgrades!$T$11="Orbital Resonance",POWER(Upgrades!$U$11,J87),1)*IF(Upgrades!$T$12="Orbital Resonance",POWER(Upgrades!$U$12,K87),1))+(IF(J87=0,0,(Upgrades!$M$11+J87*Upgrades!$N$11)*POWER(Upgrades!$O$11,J87)))*(IF(Upgrades!$T$6="Heliopause",POWER(Upgrades!$U$6,E87),1)*IF(Upgrades!$T$7="Heliopause",POWER(Upgrades!$U$7,F87),1)*IF(Upgrades!$T$8="Heliopause",POWER(Upgrades!$U$8,G87),1)*IF(Upgrades!$T$9="Heliopause",POWER(Upgrades!$U$9,H87),1)*IF(Upgrades!$T$10="Heliopause",POWER(Upgrades!$U$10,I87),1)*IF(Upgrades!$T$12="Heliopause",POWER(Upgrades!$U$12,K87),1))+(IF(K87=0,0,(Upgrades!$M$12+K87*Upgrades!$N$12)*POWER(Upgrades!$O$12,K87)))*(IF(Upgrades!$T$6="First Photons",POWER(Upgrades!$U$6,E87),1)*IF(Upgrades!$T$7="First Photons",POWER(Upgrades!$U$7,F87),1)*IF(Upgrades!$T$8="First Photons",POWER(Upgrades!$U$8,G87),1)*IF(Upgrades!$T$9="First Photons",POWER(Upgrades!$U$9,H87),1)*IF(Upgrades!$T$10="First Photons",POWER(Upgrades!$U$10,I87),1)*IF(Upgrades!$T$11="First Photons",POWER(Upgrades!$U$11,J87),1)))*POWER(Upgrades!$R$6,E87)*POWER(Upgrades!$R$7,F87)*POWER(Upgrades!$R$8,G87)*POWER(Upgrades!$R$9,H87)*POWER(Upgrades!$R$10,I87)*POWER(Upgrades!$R$11,J87)*POWER(Upgrades!$R$12,K87)</f>
        <v/>
      </c>
      <c r="P87" s="27">
        <f>IF(L87=1,0,M87*Parameters!$B$10/60*Parameters!$B$11*10)</f>
        <v/>
      </c>
      <c r="Q87" s="27">
        <f>IF(L87=1,0,O87*M87*10)</f>
        <v/>
      </c>
      <c r="R87" s="27">
        <f>IF(L87=1,0,N87*10)</f>
        <v/>
      </c>
      <c r="S87" s="27">
        <f>P87+Q87+R87</f>
        <v/>
      </c>
      <c r="T87" s="22">
        <f>C87+S87</f>
        <v/>
      </c>
      <c r="U87" s="33">
        <f>AX87</f>
        <v/>
      </c>
      <c r="V87" s="22">
        <f>IF(U87="",0,IF(U87="transition",0,IF(U87="SW",AG87,IF(U87="AB",AH87,IF(U87="SC",AI87,IF(U87="Mag",AJ87,IF(U87="OR",AK87,IF(U87="HP",AL87,IF(U87="FP",AM87,0)))))))))</f>
        <v/>
      </c>
      <c r="W87" s="27">
        <f>IF(U87="OR",Upgrades!$F$10,IF(U87="HP",Upgrades!$F$11,IF(U87="transition",-Parameters!$B$18,0)))</f>
        <v/>
      </c>
      <c r="X87" s="22">
        <f>T87-V87</f>
        <v/>
      </c>
      <c r="Y87" s="30">
        <f>M87*Parameters!$B$10/60*Parameters!$B$11+O87*M87+N87</f>
        <v/>
      </c>
      <c r="Z87" s="34">
        <f>IF(U87="transition","→ Tier 2 (Stellar Neighborhood)",IF(U87="FP","First Photons — light begins, system quickens",IF(U87="HP","Heliopause acquired",IF(U87="OR","Orbital Resonance — passive multiplier active",IF(AND(AO87=1,L87=0,AN87&lt;&gt;1),"Cohesion ready (waiting on completionist upgrades)","")))))</f>
        <v/>
      </c>
      <c r="AA87" s="27">
        <f>(IF(E87=0,0,(Upgrades!$G$6+E87*Upgrades!$H$6)*POWER(Upgrades!$I$6,E87)))*(IF(Upgrades!$T$7="Solar Wind",POWER(Upgrades!$U$7,F87),1)*IF(Upgrades!$T$8="Solar Wind",POWER(Upgrades!$U$8,G87),1)*IF(Upgrades!$T$9="Solar Wind",POWER(Upgrades!$U$9,H87),1)*IF(Upgrades!$T$10="Solar Wind",POWER(Upgrades!$U$10,I87),1)*IF(Upgrades!$T$11="Solar Wind",POWER(Upgrades!$U$11,J87),1)*IF(Upgrades!$T$12="Solar Wind",POWER(Upgrades!$U$12,K87),1))*POWER(Upgrades!$P$6,E87)*POWER(Upgrades!$P$7,F87)*POWER(Upgrades!$P$8,G87)*POWER(Upgrades!$P$9,H87)*POWER(Upgrades!$P$10,I87)*POWER(Upgrades!$P$11,J87)*POWER(Upgrades!$P$12,K87)*60</f>
        <v/>
      </c>
      <c r="AB87" s="27">
        <f>(IF(F87=0,0,(Upgrades!$G$7+F87*Upgrades!$H$7)*POWER(Upgrades!$I$7,F87)))*(IF(Upgrades!$T$6="Asteroid Belt",POWER(Upgrades!$U$6,E87),1)*IF(Upgrades!$T$8="Asteroid Belt",POWER(Upgrades!$U$8,G87),1)*IF(Upgrades!$T$9="Asteroid Belt",POWER(Upgrades!$U$9,H87),1)*IF(Upgrades!$T$10="Asteroid Belt",POWER(Upgrades!$U$10,I87),1)*IF(Upgrades!$T$11="Asteroid Belt",POWER(Upgrades!$U$11,J87),1)*IF(Upgrades!$T$12="Asteroid Belt",POWER(Upgrades!$U$12,K87),1))*POWER(Upgrades!$P$6,E87)*POWER(Upgrades!$P$7,F87)*POWER(Upgrades!$P$8,G87)*POWER(Upgrades!$P$9,H87)*POWER(Upgrades!$P$10,I87)*POWER(Upgrades!$P$11,J87)*POWER(Upgrades!$P$12,K87)*60</f>
        <v/>
      </c>
      <c r="AC87" s="27">
        <f>(IF(G87=0,0,(Upgrades!$J$8+G87*Upgrades!$K$8)*POWER(Upgrades!$L$8,G87)))*(IF(Upgrades!$T$6="Stellar Coupling",POWER(Upgrades!$U$6,E87),1)*IF(Upgrades!$T$7="Stellar Coupling",POWER(Upgrades!$U$7,F87),1)*IF(Upgrades!$T$9="Stellar Coupling",POWER(Upgrades!$U$9,H87),1)*IF(Upgrades!$T$10="Stellar Coupling",POWER(Upgrades!$U$10,I87),1)*IF(Upgrades!$T$11="Stellar Coupling",POWER(Upgrades!$U$11,J87),1)*IF(Upgrades!$T$12="Stellar Coupling",POWER(Upgrades!$U$12,K87),1))*POWER(Upgrades!$Q$6,E87)*POWER(Upgrades!$Q$7,F87)*POWER(Upgrades!$Q$8,G87)*POWER(Upgrades!$Q$9,H87)*POWER(Upgrades!$Q$10,I87)*POWER(Upgrades!$Q$11,J87)*POWER(Upgrades!$Q$12,K87)*Parameters!$B$10*Parameters!$B$11</f>
        <v/>
      </c>
      <c r="AD87" s="27">
        <f>(IF(H87=0,0,(Upgrades!$G$9+H87*Upgrades!$H$9)*POWER(Upgrades!$I$9,H87)))*(IF(Upgrades!$T$6="Magnetosphere",POWER(Upgrades!$U$6,E87),1)*IF(Upgrades!$T$7="Magnetosphere",POWER(Upgrades!$U$7,F87),1)*IF(Upgrades!$T$8="Magnetosphere",POWER(Upgrades!$U$8,G87),1)*IF(Upgrades!$T$10="Magnetosphere",POWER(Upgrades!$U$10,I87),1)*IF(Upgrades!$T$11="Magnetosphere",POWER(Upgrades!$U$11,J87),1)*IF(Upgrades!$T$12="Magnetosphere",POWER(Upgrades!$U$12,K87),1))*POWER(Upgrades!$P$6,E87)*POWER(Upgrades!$P$7,F87)*POWER(Upgrades!$P$8,G87)*POWER(Upgrades!$P$9,H87)*POWER(Upgrades!$P$10,I87)*POWER(Upgrades!$P$11,J87)*POWER(Upgrades!$P$12,K87)*60</f>
        <v/>
      </c>
      <c r="AE87" s="27">
        <f>(IF(K87=0,0,(Upgrades!$G$12+K87*Upgrades!$H$12)*POWER(Upgrades!$I$12,K87)))*(IF(Upgrades!$T$6="First Photons",POWER(Upgrades!$U$6,E87),1)*IF(Upgrades!$T$7="First Photons",POWER(Upgrades!$U$7,F87),1)*IF(Upgrades!$T$8="First Photons",POWER(Upgrades!$U$8,G87),1)*IF(Upgrades!$T$9="First Photons",POWER(Upgrades!$U$9,H87),1)*IF(Upgrades!$T$10="First Photons",POWER(Upgrades!$U$10,I87),1)*IF(Upgrades!$T$11="First Photons",POWER(Upgrades!$U$11,J87),1))*POWER(Upgrades!$P$6,E87)*POWER(Upgrades!$P$7,F87)*POWER(Upgrades!$P$8,G87)*POWER(Upgrades!$P$9,H87)*POWER(Upgrades!$P$10,I87)*POWER(Upgrades!$P$11,J87)*POWER(Upgrades!$P$12,K87)*60</f>
        <v/>
      </c>
      <c r="AF87" s="27">
        <f>Parameters!$B$9*POWER(Upgrades!$Q$6,E87)*POWER(Upgrades!$Q$7,F87)*POWER(Upgrades!$Q$8,G87)*POWER(Upgrades!$Q$9,H87)*POWER(Upgrades!$Q$10,I87)*POWER(Upgrades!$Q$11,J87)*POWER(Upgrades!$Q$12,K87)*(Parameters!$B$10*Parameters!$B$11+O87*60)</f>
        <v/>
      </c>
      <c r="AG87" s="22">
        <f>IF(E87&gt;=Upgrades!$E$6,"",Upgrades!$C$6*POWER(Upgrades!$D$6,E87))</f>
        <v/>
      </c>
      <c r="AH87" s="22">
        <f>IF(F87&gt;=Upgrades!$E$7,"",Upgrades!$C$7*POWER(Upgrades!$D$7,F87))</f>
        <v/>
      </c>
      <c r="AI87" s="22">
        <f>IF(G87&gt;=Upgrades!$E$8,"",Upgrades!$C$8*POWER(Upgrades!$D$8,G87))</f>
        <v/>
      </c>
      <c r="AJ87" s="22">
        <f>IF(H87&gt;=Upgrades!$E$9,"",Upgrades!$C$9*POWER(Upgrades!$D$9,H87))</f>
        <v/>
      </c>
      <c r="AK87" s="22">
        <f>IF(I87&gt;=Upgrades!$E$10,"",Upgrades!$C$10*POWER(Upgrades!$D$10,I87))</f>
        <v/>
      </c>
      <c r="AL87" s="22">
        <f>IF(J87&gt;=Upgrades!$E$11,"",Upgrades!$C$11*POWER(Upgrades!$D$11,J87))</f>
        <v/>
      </c>
      <c r="AM87" s="22">
        <f>IF(K87&gt;=Upgrades!$E$12,"",Upgrades!$C$12*POWER(Upgrades!$D$12,K87))</f>
        <v/>
      </c>
      <c r="AN87" s="26">
        <f>IF(AND(D87&gt;=Parameters!$B$18,(H87&gt;=Upgrades!$E$9)*(K87&gt;=Upgrades!$E$12)=1,L87=0),1,"")</f>
        <v/>
      </c>
      <c r="AO87" s="26">
        <f>IF(AND(D87&gt;=Parameters!$B$18,L87=0),1,"")</f>
        <v/>
      </c>
      <c r="AP87" s="22">
        <f>MIN(IF(ISNUMBER(AK87),AK87,9E15),IF(ISNUMBER(AL87),AL87,9E15),IF(ISNUMBER(AM87),AM87,9E15))</f>
        <v/>
      </c>
      <c r="AQ87" s="22">
        <f>MIN(IF(ISNUMBER(AG87),AG87,9E15),IF(ISNUMBER(AH87),AH87,9E15),IF(ISNUMBER(AI87),AI87,9E15),IF(ISNUMBER(AJ87),AJ87,9E15))</f>
        <v/>
      </c>
      <c r="AR87" s="29">
        <f>IF(AW87&gt;Parameters!$B$21*(MAX(IF(AND(NOT(AND(AO87=1,AN87&lt;&gt;1)),ISNUMBER(AG87),AG87&lt;=T87),AS87,0),IF(AND(NOT(AND(AO87=1,AN87&lt;&gt;1)),ISNUMBER(AH87),AH87&lt;=T87),AT87,0),IF(AND(NOT(AND(AO87=1,AN87&lt;&gt;1)),ISNUMBER(AI87),AI87&lt;=T87),AU87,0),IF(AND(ISNUMBER(AJ87),AJ87&lt;=T87),AV87,0))),TRUE,FALSE)</f>
        <v/>
      </c>
      <c r="AS87" s="32">
        <f>IFERROR(Upgrades!$H$6*(POWER(Upgrades!$P$6,E87)*POWER(Upgrades!$P$7,F87)*POWER(Upgrades!$P$8,G87)*POWER(Upgrades!$P$9,H87)*POWER(Upgrades!$P$10,I87)*POWER(Upgrades!$P$11,J87)*POWER(Upgrades!$P$12,K87))*(IF(Upgrades!$T$7="Solar Wind",POWER(Upgrades!$U$7,F87),1)*IF(Upgrades!$T$8="Solar Wind",POWER(Upgrades!$U$8,G87),1)*IF(Upgrades!$T$9="Solar Wind",POWER(Upgrades!$U$9,H87),1)*IF(Upgrades!$T$10="Solar Wind",POWER(Upgrades!$U$10,I87),1)*IF(Upgrades!$T$11="Solar Wind",POWER(Upgrades!$U$11,J87),1)*IF(Upgrades!$T$12="Solar Wind",POWER(Upgrades!$U$12,K87),1))/AG87,0)</f>
        <v/>
      </c>
      <c r="AT87" s="32">
        <f>IFERROR(Upgrades!$H$7*(POWER(Upgrades!$P$6,E87)*POWER(Upgrades!$P$7,F87)*POWER(Upgrades!$P$8,G87)*POWER(Upgrades!$P$9,H87)*POWER(Upgrades!$P$10,I87)*POWER(Upgrades!$P$11,J87)*POWER(Upgrades!$P$12,K87))*(IF(Upgrades!$T$6="Asteroid Belt",POWER(Upgrades!$U$6,E87),1)*IF(Upgrades!$T$8="Asteroid Belt",POWER(Upgrades!$U$8,G87),1)*IF(Upgrades!$T$9="Asteroid Belt",POWER(Upgrades!$U$9,H87),1)*IF(Upgrades!$T$10="Asteroid Belt",POWER(Upgrades!$U$10,I87),1)*IF(Upgrades!$T$11="Asteroid Belt",POWER(Upgrades!$U$11,J87),1)*IF(Upgrades!$T$12="Asteroid Belt",POWER(Upgrades!$U$12,K87),1))/AH87,0)</f>
        <v/>
      </c>
      <c r="AU87" s="32">
        <f>IFERROR(Upgrades!$K$8*(POWER(Upgrades!$Q$6,E87)*POWER(Upgrades!$Q$7,F87)*POWER(Upgrades!$Q$8,G87)*POWER(Upgrades!$Q$9,H87)*POWER(Upgrades!$Q$10,I87)*POWER(Upgrades!$Q$11,J87)*POWER(Upgrades!$Q$12,K87))*(IF(Upgrades!$T$6="Stellar Coupling",POWER(Upgrades!$U$6,E87),1)*IF(Upgrades!$T$7="Stellar Coupling",POWER(Upgrades!$U$7,F87),1)*IF(Upgrades!$T$9="Stellar Coupling",POWER(Upgrades!$U$9,H87),1)*IF(Upgrades!$T$10="Stellar Coupling",POWER(Upgrades!$U$10,I87),1)*IF(Upgrades!$T$11="Stellar Coupling",POWER(Upgrades!$U$11,J87),1)*IF(Upgrades!$T$12="Stellar Coupling",POWER(Upgrades!$U$12,K87),1))*Parameters!$B$10*Parameters!$B$11/60/AI87,0)</f>
        <v/>
      </c>
      <c r="AV87" s="32">
        <f>IFERROR(Upgrades!$H$9*(POWER(Upgrades!$P$6,E87)*POWER(Upgrades!$P$7,F87)*POWER(Upgrades!$P$8,G87)*POWER(Upgrades!$P$9,H87)*POWER(Upgrades!$P$10,I87)*POWER(Upgrades!$P$11,J87)*POWER(Upgrades!$P$12,K87))*(IF(Upgrades!$T$6="Magnetosphere",POWER(Upgrades!$U$6,E87),1)*IF(Upgrades!$T$7="Magnetosphere",POWER(Upgrades!$U$7,F87),1)*IF(Upgrades!$T$8="Magnetosphere",POWER(Upgrades!$U$8,G87),1)*IF(Upgrades!$T$10="Magnetosphere",POWER(Upgrades!$U$10,I87),1)*IF(Upgrades!$T$11="Magnetosphere",POWER(Upgrades!$U$11,J87),1)*IF(Upgrades!$T$12="Magnetosphere",POWER(Upgrades!$U$12,K87),1))/AJ87,0)</f>
        <v/>
      </c>
      <c r="AW87" s="32">
        <f>MAX(IF(I87&gt;0,0,IFERROR(0.25*N87/Upgrades!$C$10,0)),IF(J87&gt;0,0,IFERROR(0.5*((IF(G87=0,0,(Upgrades!$J$8+G87*Upgrades!$K$8)*POWER(Upgrades!$L$8,G87)))*(IF(Upgrades!$T$6="Stellar Coupling",POWER(Upgrades!$U$6,E87),1)*IF(Upgrades!$T$7="Stellar Coupling",POWER(Upgrades!$U$7,F87),1)*IF(Upgrades!$T$9="Stellar Coupling",POWER(Upgrades!$U$9,H87),1)*IF(Upgrades!$T$10="Stellar Coupling",POWER(Upgrades!$U$10,I87),1)*IF(Upgrades!$T$11="Stellar Coupling",POWER(Upgrades!$U$11,J87),1)*IF(Upgrades!$T$12="Stellar Coupling",POWER(Upgrades!$U$12,K87),1))*(POWER(Upgrades!$Q$6,E87)*POWER(Upgrades!$Q$7,F87)*POWER(Upgrades!$Q$8,G87)*POWER(Upgrades!$Q$9,H87)*POWER(Upgrades!$Q$10,I87)*POWER(Upgrades!$Q$11,J87)*POWER(Upgrades!$Q$12,K87))*Parameters!$B$10*Parameters!$B$11/60)/Upgrades!$C$11,0)),IF(K87&gt;0,0,IFERROR((1.0*(POWER(Upgrades!$P$6,E87)*POWER(Upgrades!$P$7,F87)*POWER(Upgrades!$P$8,G87)*POWER(Upgrades!$P$9,H87)*POWER(Upgrades!$P$10,I87)*POWER(Upgrades!$P$11,J87)*POWER(Upgrades!$P$12,K87))+0.20*M87*Parameters!$B$10*Parameters!$B$11/60)/Upgrades!$C$12,0)),IF(AND(ISNUMBER(AG87),AG87&gt;T87),AS87,0),IF(AND(ISNUMBER(AH87),AH87&gt;T87),AT87,0),IF(AND(ISNUMBER(AI87),AI87&gt;T87),AU87,0),IF(AND(ISNUMBER(AJ87),AJ87&gt;T87),AV87,0))</f>
        <v/>
      </c>
      <c r="AX87" s="29">
        <f>IF(AN87=1,"transition",IF(MIN(IF(AND(I87=0,ISNUMBER(AK87),AK87&lt;=T87),AK87,9E15),IF(AND(J87=0,ISNUMBER(AL87),AL87&lt;=T87),AL87,9E15),IF(AND(K87=0,ISNUMBER(AM87),AM87&lt;=T87),AM87,9E15))&lt;9E15,IF(AND(AND(I87=0,ISNUMBER(AK87),AK87&lt;=T87),AK87=MIN(IF(AND(I87=0,ISNUMBER(AK87),AK87&lt;=T87),AK87,9E15),IF(AND(J87=0,ISNUMBER(AL87),AL87&lt;=T87),AL87,9E15),IF(AND(K87=0,ISNUMBER(AM87),AM87&lt;=T87),AM87,9E15))),"OR",IF(AND(AND(J87=0,ISNUMBER(AL87),AL87&lt;=T87),AL87=MIN(IF(AND(I87=0,ISNUMBER(AK87),AK87&lt;=T87),AK87,9E15),IF(AND(J87=0,ISNUMBER(AL87),AL87&lt;=T87),AL87,9E15),IF(AND(K87=0,ISNUMBER(AM87),AM87&lt;=T87),AM87,9E15))),"HP","FP")),IF(AR87=TRUE,"",IF(MAX(IF(AND(NOT(AND(AO87=1,AN87&lt;&gt;1)),ISNUMBER(AG87),AG87&lt;=T87),AS87,0),IF(AND(NOT(AND(AO87=1,AN87&lt;&gt;1)),ISNUMBER(AH87),AH87&lt;=T87),AT87,0),IF(AND(NOT(AND(AO87=1,AN87&lt;&gt;1)),ISNUMBER(AI87),AI87&lt;=T87),AU87,0),IF(AND(ISNUMBER(AJ87),AJ87&lt;=T87),AV87,0))&lt;=0,"",IF(AND(IF(AND(NOT(AND(AO87=1,AN87&lt;&gt;1)),ISNUMBER(AG87),AG87&lt;=T87),AS87,0)&gt;0,IF(AND(NOT(AND(AO87=1,AN87&lt;&gt;1)),ISNUMBER(AG87),AG87&lt;=T87),AS87,0)=MAX(IF(AND(NOT(AND(AO87=1,AN87&lt;&gt;1)),ISNUMBER(AG87),AG87&lt;=T87),AS87,0),IF(AND(NOT(AND(AO87=1,AN87&lt;&gt;1)),ISNUMBER(AH87),AH87&lt;=T87),AT87,0),IF(AND(NOT(AND(AO87=1,AN87&lt;&gt;1)),ISNUMBER(AI87),AI87&lt;=T87),AU87,0),IF(AND(ISNUMBER(AJ87),AJ87&lt;=T87),AV87,0))),"SW",IF(AND(IF(AND(NOT(AND(AO87=1,AN87&lt;&gt;1)),ISNUMBER(AH87),AH87&lt;=T87),AT87,0)&gt;0,IF(AND(NOT(AND(AO87=1,AN87&lt;&gt;1)),ISNUMBER(AH87),AH87&lt;=T87),AT87,0)=MAX(IF(AND(NOT(AND(AO87=1,AN87&lt;&gt;1)),ISNUMBER(AG87),AG87&lt;=T87),AS87,0),IF(AND(NOT(AND(AO87=1,AN87&lt;&gt;1)),ISNUMBER(AH87),AH87&lt;=T87),AT87,0),IF(AND(NOT(AND(AO87=1,AN87&lt;&gt;1)),ISNUMBER(AI87),AI87&lt;=T87),AU87,0),IF(AND(ISNUMBER(AJ87),AJ87&lt;=T87),AV87,0))),"AB",IF(AND(IF(AND(NOT(AND(AO87=1,AN87&lt;&gt;1)),ISNUMBER(AI87),AI87&lt;=T87),AU87,0)&gt;0,IF(AND(NOT(AND(AO87=1,AN87&lt;&gt;1)),ISNUMBER(AI87),AI87&lt;=T87),AU87,0)=MAX(IF(AND(NOT(AND(AO87=1,AN87&lt;&gt;1)),ISNUMBER(AG87),AG87&lt;=T87),AS87,0),IF(AND(NOT(AND(AO87=1,AN87&lt;&gt;1)),ISNUMBER(AH87),AH87&lt;=T87),AT87,0),IF(AND(NOT(AND(AO87=1,AN87&lt;&gt;1)),ISNUMBER(AI87),AI87&lt;=T87),AU87,0),IF(AND(ISNUMBER(AJ87),AJ87&lt;=T87),AV87,0))),"SC","Mag")))))))</f>
        <v/>
      </c>
    </row>
    <row r="88">
      <c r="A88" s="26" t="n">
        <v>83</v>
      </c>
      <c r="B88" s="27">
        <f>A88*10/60</f>
        <v/>
      </c>
      <c r="C88" s="22">
        <f>X87</f>
        <v/>
      </c>
      <c r="D88" s="27">
        <f>D87+W87</f>
        <v/>
      </c>
      <c r="E88" s="26">
        <f>E87+IF(U87="SW",1,0)</f>
        <v/>
      </c>
      <c r="F88" s="26">
        <f>F87+IF(U87="AB",1,0)</f>
        <v/>
      </c>
      <c r="G88" s="26">
        <f>G87+IF(U87="SC",1,0)</f>
        <v/>
      </c>
      <c r="H88" s="26">
        <f>H87+IF(U87="Mag",1,0)</f>
        <v/>
      </c>
      <c r="I88" s="26">
        <f>MAX(I87,IF(U87="OR",1,0))</f>
        <v/>
      </c>
      <c r="J88" s="26">
        <f>MAX(J87,IF(U87="HP",1,0))</f>
        <v/>
      </c>
      <c r="K88" s="26">
        <f>MAX(K87,IF(U87="FP",1,0))</f>
        <v/>
      </c>
      <c r="L88" s="26">
        <f>MAX(L87,IF(U87="transition",1,0))</f>
        <v/>
      </c>
      <c r="M88" s="28">
        <f>(Parameters!$B$9+(IF(E88=0,0,(Upgrades!$J$6+E88*Upgrades!$K$6)*POWER(Upgrades!$L$6,E88)))*(IF(Upgrades!$T$7="Solar Wind",POWER(Upgrades!$U$7,F88),1)*IF(Upgrades!$T$8="Solar Wind",POWER(Upgrades!$U$8,G88),1)*IF(Upgrades!$T$9="Solar Wind",POWER(Upgrades!$U$9,H88),1)*IF(Upgrades!$T$10="Solar Wind",POWER(Upgrades!$U$10,I88),1)*IF(Upgrades!$T$11="Solar Wind",POWER(Upgrades!$U$11,J88),1)*IF(Upgrades!$T$12="Solar Wind",POWER(Upgrades!$U$12,K88),1))+(IF(F88=0,0,(Upgrades!$J$7+F88*Upgrades!$K$7)*POWER(Upgrades!$L$7,F88)))*(IF(Upgrades!$T$6="Asteroid Belt",POWER(Upgrades!$U$6,E88),1)*IF(Upgrades!$T$8="Asteroid Belt",POWER(Upgrades!$U$8,G88),1)*IF(Upgrades!$T$9="Asteroid Belt",POWER(Upgrades!$U$9,H88),1)*IF(Upgrades!$T$10="Asteroid Belt",POWER(Upgrades!$U$10,I88),1)*IF(Upgrades!$T$11="Asteroid Belt",POWER(Upgrades!$U$11,J88),1)*IF(Upgrades!$T$12="Asteroid Belt",POWER(Upgrades!$U$12,K88),1))+(IF(G88=0,0,(Upgrades!$J$8+G88*Upgrades!$K$8)*POWER(Upgrades!$L$8,G88)))*(IF(Upgrades!$T$6="Stellar Coupling",POWER(Upgrades!$U$6,E88),1)*IF(Upgrades!$T$7="Stellar Coupling",POWER(Upgrades!$U$7,F88),1)*IF(Upgrades!$T$9="Stellar Coupling",POWER(Upgrades!$U$9,H88),1)*IF(Upgrades!$T$10="Stellar Coupling",POWER(Upgrades!$U$10,I88),1)*IF(Upgrades!$T$11="Stellar Coupling",POWER(Upgrades!$U$11,J88),1)*IF(Upgrades!$T$12="Stellar Coupling",POWER(Upgrades!$U$12,K88),1))+(IF(H88=0,0,(Upgrades!$J$9+H88*Upgrades!$K$9)*POWER(Upgrades!$L$9,H88)))*(IF(Upgrades!$T$6="Magnetosphere",POWER(Upgrades!$U$6,E88),1)*IF(Upgrades!$T$7="Magnetosphere",POWER(Upgrades!$U$7,F88),1)*IF(Upgrades!$T$8="Magnetosphere",POWER(Upgrades!$U$8,G88),1)*IF(Upgrades!$T$10="Magnetosphere",POWER(Upgrades!$U$10,I88),1)*IF(Upgrades!$T$11="Magnetosphere",POWER(Upgrades!$U$11,J88),1)*IF(Upgrades!$T$12="Magnetosphere",POWER(Upgrades!$U$12,K88),1))+(IF(I88=0,0,(Upgrades!$J$10+I88*Upgrades!$K$10)*POWER(Upgrades!$L$10,I88)))*(IF(Upgrades!$T$6="Orbital Resonance",POWER(Upgrades!$U$6,E88),1)*IF(Upgrades!$T$7="Orbital Resonance",POWER(Upgrades!$U$7,F88),1)*IF(Upgrades!$T$8="Orbital Resonance",POWER(Upgrades!$U$8,G88),1)*IF(Upgrades!$T$9="Orbital Resonance",POWER(Upgrades!$U$9,H88),1)*IF(Upgrades!$T$11="Orbital Resonance",POWER(Upgrades!$U$11,J88),1)*IF(Upgrades!$T$12="Orbital Resonance",POWER(Upgrades!$U$12,K88),1))+(IF(J88=0,0,(Upgrades!$J$11+J88*Upgrades!$K$11)*POWER(Upgrades!$L$11,J88)))*(IF(Upgrades!$T$6="Heliopause",POWER(Upgrades!$U$6,E88),1)*IF(Upgrades!$T$7="Heliopause",POWER(Upgrades!$U$7,F88),1)*IF(Upgrades!$T$8="Heliopause",POWER(Upgrades!$U$8,G88),1)*IF(Upgrades!$T$9="Heliopause",POWER(Upgrades!$U$9,H88),1)*IF(Upgrades!$T$10="Heliopause",POWER(Upgrades!$U$10,I88),1)*IF(Upgrades!$T$12="Heliopause",POWER(Upgrades!$U$12,K88),1))+(IF(K88=0,0,(Upgrades!$J$12+K88*Upgrades!$K$12)*POWER(Upgrades!$L$12,K88)))*(IF(Upgrades!$T$6="First Photons",POWER(Upgrades!$U$6,E88),1)*IF(Upgrades!$T$7="First Photons",POWER(Upgrades!$U$7,F88),1)*IF(Upgrades!$T$8="First Photons",POWER(Upgrades!$U$8,G88),1)*IF(Upgrades!$T$9="First Photons",POWER(Upgrades!$U$9,H88),1)*IF(Upgrades!$T$10="First Photons",POWER(Upgrades!$U$10,I88),1)*IF(Upgrades!$T$11="First Photons",POWER(Upgrades!$U$11,J88),1)))*POWER(Upgrades!$Q$6,E88)*POWER(Upgrades!$Q$7,F88)*POWER(Upgrades!$Q$8,G88)*POWER(Upgrades!$Q$9,H88)*POWER(Upgrades!$Q$10,I88)*POWER(Upgrades!$Q$11,J88)*POWER(Upgrades!$Q$12,K88)</f>
        <v/>
      </c>
      <c r="N88" s="28">
        <f>((IF(E88=0,0,(Upgrades!$G$6+E88*Upgrades!$H$6)*POWER(Upgrades!$I$6,E88)))*(IF(Upgrades!$T$7="Solar Wind",POWER(Upgrades!$U$7,F88),1)*IF(Upgrades!$T$8="Solar Wind",POWER(Upgrades!$U$8,G88),1)*IF(Upgrades!$T$9="Solar Wind",POWER(Upgrades!$U$9,H88),1)*IF(Upgrades!$T$10="Solar Wind",POWER(Upgrades!$U$10,I88),1)*IF(Upgrades!$T$11="Solar Wind",POWER(Upgrades!$U$11,J88),1)*IF(Upgrades!$T$12="Solar Wind",POWER(Upgrades!$U$12,K88),1))+(IF(F88=0,0,(Upgrades!$G$7+F88*Upgrades!$H$7)*POWER(Upgrades!$I$7,F88)))*(IF(Upgrades!$T$6="Asteroid Belt",POWER(Upgrades!$U$6,E88),1)*IF(Upgrades!$T$8="Asteroid Belt",POWER(Upgrades!$U$8,G88),1)*IF(Upgrades!$T$9="Asteroid Belt",POWER(Upgrades!$U$9,H88),1)*IF(Upgrades!$T$10="Asteroid Belt",POWER(Upgrades!$U$10,I88),1)*IF(Upgrades!$T$11="Asteroid Belt",POWER(Upgrades!$U$11,J88),1)*IF(Upgrades!$T$12="Asteroid Belt",POWER(Upgrades!$U$12,K88),1))+(IF(G88=0,0,(Upgrades!$G$8+G88*Upgrades!$H$8)*POWER(Upgrades!$I$8,G88)))*(IF(Upgrades!$T$6="Stellar Coupling",POWER(Upgrades!$U$6,E88),1)*IF(Upgrades!$T$7="Stellar Coupling",POWER(Upgrades!$U$7,F88),1)*IF(Upgrades!$T$9="Stellar Coupling",POWER(Upgrades!$U$9,H88),1)*IF(Upgrades!$T$10="Stellar Coupling",POWER(Upgrades!$U$10,I88),1)*IF(Upgrades!$T$11="Stellar Coupling",POWER(Upgrades!$U$11,J88),1)*IF(Upgrades!$T$12="Stellar Coupling",POWER(Upgrades!$U$12,K88),1))+(IF(H88=0,0,(Upgrades!$G$9+H88*Upgrades!$H$9)*POWER(Upgrades!$I$9,H88)))*(IF(Upgrades!$T$6="Magnetosphere",POWER(Upgrades!$U$6,E88),1)*IF(Upgrades!$T$7="Magnetosphere",POWER(Upgrades!$U$7,F88),1)*IF(Upgrades!$T$8="Magnetosphere",POWER(Upgrades!$U$8,G88),1)*IF(Upgrades!$T$10="Magnetosphere",POWER(Upgrades!$U$10,I88),1)*IF(Upgrades!$T$11="Magnetosphere",POWER(Upgrades!$U$11,J88),1)*IF(Upgrades!$T$12="Magnetosphere",POWER(Upgrades!$U$12,K88),1))+(IF(I88=0,0,(Upgrades!$G$10+I88*Upgrades!$H$10)*POWER(Upgrades!$I$10,I88)))*(IF(Upgrades!$T$6="Orbital Resonance",POWER(Upgrades!$U$6,E88),1)*IF(Upgrades!$T$7="Orbital Resonance",POWER(Upgrades!$U$7,F88),1)*IF(Upgrades!$T$8="Orbital Resonance",POWER(Upgrades!$U$8,G88),1)*IF(Upgrades!$T$9="Orbital Resonance",POWER(Upgrades!$U$9,H88),1)*IF(Upgrades!$T$11="Orbital Resonance",POWER(Upgrades!$U$11,J88),1)*IF(Upgrades!$T$12="Orbital Resonance",POWER(Upgrades!$U$12,K88),1))+(IF(J88=0,0,(Upgrades!$G$11+J88*Upgrades!$H$11)*POWER(Upgrades!$I$11,J88)))*(IF(Upgrades!$T$6="Heliopause",POWER(Upgrades!$U$6,E88),1)*IF(Upgrades!$T$7="Heliopause",POWER(Upgrades!$U$7,F88),1)*IF(Upgrades!$T$8="Heliopause",POWER(Upgrades!$U$8,G88),1)*IF(Upgrades!$T$9="Heliopause",POWER(Upgrades!$U$9,H88),1)*IF(Upgrades!$T$10="Heliopause",POWER(Upgrades!$U$10,I88),1)*IF(Upgrades!$T$12="Heliopause",POWER(Upgrades!$U$12,K88),1))+(IF(K88=0,0,(Upgrades!$G$12+K88*Upgrades!$H$12)*POWER(Upgrades!$I$12,K88)))*(IF(Upgrades!$T$6="First Photons",POWER(Upgrades!$U$6,E88),1)*IF(Upgrades!$T$7="First Photons",POWER(Upgrades!$U$7,F88),1)*IF(Upgrades!$T$8="First Photons",POWER(Upgrades!$U$8,G88),1)*IF(Upgrades!$T$9="First Photons",POWER(Upgrades!$U$9,H88),1)*IF(Upgrades!$T$10="First Photons",POWER(Upgrades!$U$10,I88),1)*IF(Upgrades!$T$11="First Photons",POWER(Upgrades!$U$11,J88),1)))*POWER(Upgrades!$P$6,E88)*POWER(Upgrades!$P$7,F88)*POWER(Upgrades!$P$8,G88)*POWER(Upgrades!$P$9,H88)*POWER(Upgrades!$P$10,I88)*POWER(Upgrades!$P$11,J88)*POWER(Upgrades!$P$12,K88)</f>
        <v/>
      </c>
      <c r="O88" s="28">
        <f>((IF(E88=0,0,(Upgrades!$M$6+E88*Upgrades!$N$6)*POWER(Upgrades!$O$6,E88)))*(IF(Upgrades!$T$7="Solar Wind",POWER(Upgrades!$U$7,F88),1)*IF(Upgrades!$T$8="Solar Wind",POWER(Upgrades!$U$8,G88),1)*IF(Upgrades!$T$9="Solar Wind",POWER(Upgrades!$U$9,H88),1)*IF(Upgrades!$T$10="Solar Wind",POWER(Upgrades!$U$10,I88),1)*IF(Upgrades!$T$11="Solar Wind",POWER(Upgrades!$U$11,J88),1)*IF(Upgrades!$T$12="Solar Wind",POWER(Upgrades!$U$12,K88),1))+(IF(F88=0,0,(Upgrades!$M$7+F88*Upgrades!$N$7)*POWER(Upgrades!$O$7,F88)))*(IF(Upgrades!$T$6="Asteroid Belt",POWER(Upgrades!$U$6,E88),1)*IF(Upgrades!$T$8="Asteroid Belt",POWER(Upgrades!$U$8,G88),1)*IF(Upgrades!$T$9="Asteroid Belt",POWER(Upgrades!$U$9,H88),1)*IF(Upgrades!$T$10="Asteroid Belt",POWER(Upgrades!$U$10,I88),1)*IF(Upgrades!$T$11="Asteroid Belt",POWER(Upgrades!$U$11,J88),1)*IF(Upgrades!$T$12="Asteroid Belt",POWER(Upgrades!$U$12,K88),1))+(IF(G88=0,0,(Upgrades!$M$8+G88*Upgrades!$N$8)*POWER(Upgrades!$O$8,G88)))*(IF(Upgrades!$T$6="Stellar Coupling",POWER(Upgrades!$U$6,E88),1)*IF(Upgrades!$T$7="Stellar Coupling",POWER(Upgrades!$U$7,F88),1)*IF(Upgrades!$T$9="Stellar Coupling",POWER(Upgrades!$U$9,H88),1)*IF(Upgrades!$T$10="Stellar Coupling",POWER(Upgrades!$U$10,I88),1)*IF(Upgrades!$T$11="Stellar Coupling",POWER(Upgrades!$U$11,J88),1)*IF(Upgrades!$T$12="Stellar Coupling",POWER(Upgrades!$U$12,K88),1))+(IF(H88=0,0,(Upgrades!$M$9+H88*Upgrades!$N$9)*POWER(Upgrades!$O$9,H88)))*(IF(Upgrades!$T$6="Magnetosphere",POWER(Upgrades!$U$6,E88),1)*IF(Upgrades!$T$7="Magnetosphere",POWER(Upgrades!$U$7,F88),1)*IF(Upgrades!$T$8="Magnetosphere",POWER(Upgrades!$U$8,G88),1)*IF(Upgrades!$T$10="Magnetosphere",POWER(Upgrades!$U$10,I88),1)*IF(Upgrades!$T$11="Magnetosphere",POWER(Upgrades!$U$11,J88),1)*IF(Upgrades!$T$12="Magnetosphere",POWER(Upgrades!$U$12,K88),1))+(IF(I88=0,0,(Upgrades!$M$10+I88*Upgrades!$N$10)*POWER(Upgrades!$O$10,I88)))*(IF(Upgrades!$T$6="Orbital Resonance",POWER(Upgrades!$U$6,E88),1)*IF(Upgrades!$T$7="Orbital Resonance",POWER(Upgrades!$U$7,F88),1)*IF(Upgrades!$T$8="Orbital Resonance",POWER(Upgrades!$U$8,G88),1)*IF(Upgrades!$T$9="Orbital Resonance",POWER(Upgrades!$U$9,H88),1)*IF(Upgrades!$T$11="Orbital Resonance",POWER(Upgrades!$U$11,J88),1)*IF(Upgrades!$T$12="Orbital Resonance",POWER(Upgrades!$U$12,K88),1))+(IF(J88=0,0,(Upgrades!$M$11+J88*Upgrades!$N$11)*POWER(Upgrades!$O$11,J88)))*(IF(Upgrades!$T$6="Heliopause",POWER(Upgrades!$U$6,E88),1)*IF(Upgrades!$T$7="Heliopause",POWER(Upgrades!$U$7,F88),1)*IF(Upgrades!$T$8="Heliopause",POWER(Upgrades!$U$8,G88),1)*IF(Upgrades!$T$9="Heliopause",POWER(Upgrades!$U$9,H88),1)*IF(Upgrades!$T$10="Heliopause",POWER(Upgrades!$U$10,I88),1)*IF(Upgrades!$T$12="Heliopause",POWER(Upgrades!$U$12,K88),1))+(IF(K88=0,0,(Upgrades!$M$12+K88*Upgrades!$N$12)*POWER(Upgrades!$O$12,K88)))*(IF(Upgrades!$T$6="First Photons",POWER(Upgrades!$U$6,E88),1)*IF(Upgrades!$T$7="First Photons",POWER(Upgrades!$U$7,F88),1)*IF(Upgrades!$T$8="First Photons",POWER(Upgrades!$U$8,G88),1)*IF(Upgrades!$T$9="First Photons",POWER(Upgrades!$U$9,H88),1)*IF(Upgrades!$T$10="First Photons",POWER(Upgrades!$U$10,I88),1)*IF(Upgrades!$T$11="First Photons",POWER(Upgrades!$U$11,J88),1)))*POWER(Upgrades!$R$6,E88)*POWER(Upgrades!$R$7,F88)*POWER(Upgrades!$R$8,G88)*POWER(Upgrades!$R$9,H88)*POWER(Upgrades!$R$10,I88)*POWER(Upgrades!$R$11,J88)*POWER(Upgrades!$R$12,K88)</f>
        <v/>
      </c>
      <c r="P88" s="27">
        <f>IF(L88=1,0,M88*Parameters!$B$10/60*Parameters!$B$11*10)</f>
        <v/>
      </c>
      <c r="Q88" s="27">
        <f>IF(L88=1,0,O88*M88*10)</f>
        <v/>
      </c>
      <c r="R88" s="27">
        <f>IF(L88=1,0,N88*10)</f>
        <v/>
      </c>
      <c r="S88" s="27">
        <f>P88+Q88+R88</f>
        <v/>
      </c>
      <c r="T88" s="22">
        <f>C88+S88</f>
        <v/>
      </c>
      <c r="U88" s="33">
        <f>AX88</f>
        <v/>
      </c>
      <c r="V88" s="22">
        <f>IF(U88="",0,IF(U88="transition",0,IF(U88="SW",AG88,IF(U88="AB",AH88,IF(U88="SC",AI88,IF(U88="Mag",AJ88,IF(U88="OR",AK88,IF(U88="HP",AL88,IF(U88="FP",AM88,0)))))))))</f>
        <v/>
      </c>
      <c r="W88" s="27">
        <f>IF(U88="OR",Upgrades!$F$10,IF(U88="HP",Upgrades!$F$11,IF(U88="transition",-Parameters!$B$18,0)))</f>
        <v/>
      </c>
      <c r="X88" s="22">
        <f>T88-V88</f>
        <v/>
      </c>
      <c r="Y88" s="30">
        <f>M88*Parameters!$B$10/60*Parameters!$B$11+O88*M88+N88</f>
        <v/>
      </c>
      <c r="Z88" s="34">
        <f>IF(U88="transition","→ Tier 2 (Stellar Neighborhood)",IF(U88="FP","First Photons — light begins, system quickens",IF(U88="HP","Heliopause acquired",IF(U88="OR","Orbital Resonance — passive multiplier active",IF(AND(AO88=1,L88=0,AN88&lt;&gt;1),"Cohesion ready (waiting on completionist upgrades)","")))))</f>
        <v/>
      </c>
      <c r="AA88" s="27">
        <f>(IF(E88=0,0,(Upgrades!$G$6+E88*Upgrades!$H$6)*POWER(Upgrades!$I$6,E88)))*(IF(Upgrades!$T$7="Solar Wind",POWER(Upgrades!$U$7,F88),1)*IF(Upgrades!$T$8="Solar Wind",POWER(Upgrades!$U$8,G88),1)*IF(Upgrades!$T$9="Solar Wind",POWER(Upgrades!$U$9,H88),1)*IF(Upgrades!$T$10="Solar Wind",POWER(Upgrades!$U$10,I88),1)*IF(Upgrades!$T$11="Solar Wind",POWER(Upgrades!$U$11,J88),1)*IF(Upgrades!$T$12="Solar Wind",POWER(Upgrades!$U$12,K88),1))*POWER(Upgrades!$P$6,E88)*POWER(Upgrades!$P$7,F88)*POWER(Upgrades!$P$8,G88)*POWER(Upgrades!$P$9,H88)*POWER(Upgrades!$P$10,I88)*POWER(Upgrades!$P$11,J88)*POWER(Upgrades!$P$12,K88)*60</f>
        <v/>
      </c>
      <c r="AB88" s="27">
        <f>(IF(F88=0,0,(Upgrades!$G$7+F88*Upgrades!$H$7)*POWER(Upgrades!$I$7,F88)))*(IF(Upgrades!$T$6="Asteroid Belt",POWER(Upgrades!$U$6,E88),1)*IF(Upgrades!$T$8="Asteroid Belt",POWER(Upgrades!$U$8,G88),1)*IF(Upgrades!$T$9="Asteroid Belt",POWER(Upgrades!$U$9,H88),1)*IF(Upgrades!$T$10="Asteroid Belt",POWER(Upgrades!$U$10,I88),1)*IF(Upgrades!$T$11="Asteroid Belt",POWER(Upgrades!$U$11,J88),1)*IF(Upgrades!$T$12="Asteroid Belt",POWER(Upgrades!$U$12,K88),1))*POWER(Upgrades!$P$6,E88)*POWER(Upgrades!$P$7,F88)*POWER(Upgrades!$P$8,G88)*POWER(Upgrades!$P$9,H88)*POWER(Upgrades!$P$10,I88)*POWER(Upgrades!$P$11,J88)*POWER(Upgrades!$P$12,K88)*60</f>
        <v/>
      </c>
      <c r="AC88" s="27">
        <f>(IF(G88=0,0,(Upgrades!$J$8+G88*Upgrades!$K$8)*POWER(Upgrades!$L$8,G88)))*(IF(Upgrades!$T$6="Stellar Coupling",POWER(Upgrades!$U$6,E88),1)*IF(Upgrades!$T$7="Stellar Coupling",POWER(Upgrades!$U$7,F88),1)*IF(Upgrades!$T$9="Stellar Coupling",POWER(Upgrades!$U$9,H88),1)*IF(Upgrades!$T$10="Stellar Coupling",POWER(Upgrades!$U$10,I88),1)*IF(Upgrades!$T$11="Stellar Coupling",POWER(Upgrades!$U$11,J88),1)*IF(Upgrades!$T$12="Stellar Coupling",POWER(Upgrades!$U$12,K88),1))*POWER(Upgrades!$Q$6,E88)*POWER(Upgrades!$Q$7,F88)*POWER(Upgrades!$Q$8,G88)*POWER(Upgrades!$Q$9,H88)*POWER(Upgrades!$Q$10,I88)*POWER(Upgrades!$Q$11,J88)*POWER(Upgrades!$Q$12,K88)*Parameters!$B$10*Parameters!$B$11</f>
        <v/>
      </c>
      <c r="AD88" s="27">
        <f>(IF(H88=0,0,(Upgrades!$G$9+H88*Upgrades!$H$9)*POWER(Upgrades!$I$9,H88)))*(IF(Upgrades!$T$6="Magnetosphere",POWER(Upgrades!$U$6,E88),1)*IF(Upgrades!$T$7="Magnetosphere",POWER(Upgrades!$U$7,F88),1)*IF(Upgrades!$T$8="Magnetosphere",POWER(Upgrades!$U$8,G88),1)*IF(Upgrades!$T$10="Magnetosphere",POWER(Upgrades!$U$10,I88),1)*IF(Upgrades!$T$11="Magnetosphere",POWER(Upgrades!$U$11,J88),1)*IF(Upgrades!$T$12="Magnetosphere",POWER(Upgrades!$U$12,K88),1))*POWER(Upgrades!$P$6,E88)*POWER(Upgrades!$P$7,F88)*POWER(Upgrades!$P$8,G88)*POWER(Upgrades!$P$9,H88)*POWER(Upgrades!$P$10,I88)*POWER(Upgrades!$P$11,J88)*POWER(Upgrades!$P$12,K88)*60</f>
        <v/>
      </c>
      <c r="AE88" s="27">
        <f>(IF(K88=0,0,(Upgrades!$G$12+K88*Upgrades!$H$12)*POWER(Upgrades!$I$12,K88)))*(IF(Upgrades!$T$6="First Photons",POWER(Upgrades!$U$6,E88),1)*IF(Upgrades!$T$7="First Photons",POWER(Upgrades!$U$7,F88),1)*IF(Upgrades!$T$8="First Photons",POWER(Upgrades!$U$8,G88),1)*IF(Upgrades!$T$9="First Photons",POWER(Upgrades!$U$9,H88),1)*IF(Upgrades!$T$10="First Photons",POWER(Upgrades!$U$10,I88),1)*IF(Upgrades!$T$11="First Photons",POWER(Upgrades!$U$11,J88),1))*POWER(Upgrades!$P$6,E88)*POWER(Upgrades!$P$7,F88)*POWER(Upgrades!$P$8,G88)*POWER(Upgrades!$P$9,H88)*POWER(Upgrades!$P$10,I88)*POWER(Upgrades!$P$11,J88)*POWER(Upgrades!$P$12,K88)*60</f>
        <v/>
      </c>
      <c r="AF88" s="27">
        <f>Parameters!$B$9*POWER(Upgrades!$Q$6,E88)*POWER(Upgrades!$Q$7,F88)*POWER(Upgrades!$Q$8,G88)*POWER(Upgrades!$Q$9,H88)*POWER(Upgrades!$Q$10,I88)*POWER(Upgrades!$Q$11,J88)*POWER(Upgrades!$Q$12,K88)*(Parameters!$B$10*Parameters!$B$11+O88*60)</f>
        <v/>
      </c>
      <c r="AG88" s="22">
        <f>IF(E88&gt;=Upgrades!$E$6,"",Upgrades!$C$6*POWER(Upgrades!$D$6,E88))</f>
        <v/>
      </c>
      <c r="AH88" s="22">
        <f>IF(F88&gt;=Upgrades!$E$7,"",Upgrades!$C$7*POWER(Upgrades!$D$7,F88))</f>
        <v/>
      </c>
      <c r="AI88" s="22">
        <f>IF(G88&gt;=Upgrades!$E$8,"",Upgrades!$C$8*POWER(Upgrades!$D$8,G88))</f>
        <v/>
      </c>
      <c r="AJ88" s="22">
        <f>IF(H88&gt;=Upgrades!$E$9,"",Upgrades!$C$9*POWER(Upgrades!$D$9,H88))</f>
        <v/>
      </c>
      <c r="AK88" s="22">
        <f>IF(I88&gt;=Upgrades!$E$10,"",Upgrades!$C$10*POWER(Upgrades!$D$10,I88))</f>
        <v/>
      </c>
      <c r="AL88" s="22">
        <f>IF(J88&gt;=Upgrades!$E$11,"",Upgrades!$C$11*POWER(Upgrades!$D$11,J88))</f>
        <v/>
      </c>
      <c r="AM88" s="22">
        <f>IF(K88&gt;=Upgrades!$E$12,"",Upgrades!$C$12*POWER(Upgrades!$D$12,K88))</f>
        <v/>
      </c>
      <c r="AN88" s="26">
        <f>IF(AND(D88&gt;=Parameters!$B$18,(H88&gt;=Upgrades!$E$9)*(K88&gt;=Upgrades!$E$12)=1,L88=0),1,"")</f>
        <v/>
      </c>
      <c r="AO88" s="26">
        <f>IF(AND(D88&gt;=Parameters!$B$18,L88=0),1,"")</f>
        <v/>
      </c>
      <c r="AP88" s="22">
        <f>MIN(IF(ISNUMBER(AK88),AK88,9E15),IF(ISNUMBER(AL88),AL88,9E15),IF(ISNUMBER(AM88),AM88,9E15))</f>
        <v/>
      </c>
      <c r="AQ88" s="22">
        <f>MIN(IF(ISNUMBER(AG88),AG88,9E15),IF(ISNUMBER(AH88),AH88,9E15),IF(ISNUMBER(AI88),AI88,9E15),IF(ISNUMBER(AJ88),AJ88,9E15))</f>
        <v/>
      </c>
      <c r="AR88" s="29">
        <f>IF(AW88&gt;Parameters!$B$21*(MAX(IF(AND(NOT(AND(AO88=1,AN88&lt;&gt;1)),ISNUMBER(AG88),AG88&lt;=T88),AS88,0),IF(AND(NOT(AND(AO88=1,AN88&lt;&gt;1)),ISNUMBER(AH88),AH88&lt;=T88),AT88,0),IF(AND(NOT(AND(AO88=1,AN88&lt;&gt;1)),ISNUMBER(AI88),AI88&lt;=T88),AU88,0),IF(AND(ISNUMBER(AJ88),AJ88&lt;=T88),AV88,0))),TRUE,FALSE)</f>
        <v/>
      </c>
      <c r="AS88" s="32">
        <f>IFERROR(Upgrades!$H$6*(POWER(Upgrades!$P$6,E88)*POWER(Upgrades!$P$7,F88)*POWER(Upgrades!$P$8,G88)*POWER(Upgrades!$P$9,H88)*POWER(Upgrades!$P$10,I88)*POWER(Upgrades!$P$11,J88)*POWER(Upgrades!$P$12,K88))*(IF(Upgrades!$T$7="Solar Wind",POWER(Upgrades!$U$7,F88),1)*IF(Upgrades!$T$8="Solar Wind",POWER(Upgrades!$U$8,G88),1)*IF(Upgrades!$T$9="Solar Wind",POWER(Upgrades!$U$9,H88),1)*IF(Upgrades!$T$10="Solar Wind",POWER(Upgrades!$U$10,I88),1)*IF(Upgrades!$T$11="Solar Wind",POWER(Upgrades!$U$11,J88),1)*IF(Upgrades!$T$12="Solar Wind",POWER(Upgrades!$U$12,K88),1))/AG88,0)</f>
        <v/>
      </c>
      <c r="AT88" s="32">
        <f>IFERROR(Upgrades!$H$7*(POWER(Upgrades!$P$6,E88)*POWER(Upgrades!$P$7,F88)*POWER(Upgrades!$P$8,G88)*POWER(Upgrades!$P$9,H88)*POWER(Upgrades!$P$10,I88)*POWER(Upgrades!$P$11,J88)*POWER(Upgrades!$P$12,K88))*(IF(Upgrades!$T$6="Asteroid Belt",POWER(Upgrades!$U$6,E88),1)*IF(Upgrades!$T$8="Asteroid Belt",POWER(Upgrades!$U$8,G88),1)*IF(Upgrades!$T$9="Asteroid Belt",POWER(Upgrades!$U$9,H88),1)*IF(Upgrades!$T$10="Asteroid Belt",POWER(Upgrades!$U$10,I88),1)*IF(Upgrades!$T$11="Asteroid Belt",POWER(Upgrades!$U$11,J88),1)*IF(Upgrades!$T$12="Asteroid Belt",POWER(Upgrades!$U$12,K88),1))/AH88,0)</f>
        <v/>
      </c>
      <c r="AU88" s="32">
        <f>IFERROR(Upgrades!$K$8*(POWER(Upgrades!$Q$6,E88)*POWER(Upgrades!$Q$7,F88)*POWER(Upgrades!$Q$8,G88)*POWER(Upgrades!$Q$9,H88)*POWER(Upgrades!$Q$10,I88)*POWER(Upgrades!$Q$11,J88)*POWER(Upgrades!$Q$12,K88))*(IF(Upgrades!$T$6="Stellar Coupling",POWER(Upgrades!$U$6,E88),1)*IF(Upgrades!$T$7="Stellar Coupling",POWER(Upgrades!$U$7,F88),1)*IF(Upgrades!$T$9="Stellar Coupling",POWER(Upgrades!$U$9,H88),1)*IF(Upgrades!$T$10="Stellar Coupling",POWER(Upgrades!$U$10,I88),1)*IF(Upgrades!$T$11="Stellar Coupling",POWER(Upgrades!$U$11,J88),1)*IF(Upgrades!$T$12="Stellar Coupling",POWER(Upgrades!$U$12,K88),1))*Parameters!$B$10*Parameters!$B$11/60/AI88,0)</f>
        <v/>
      </c>
      <c r="AV88" s="32">
        <f>IFERROR(Upgrades!$H$9*(POWER(Upgrades!$P$6,E88)*POWER(Upgrades!$P$7,F88)*POWER(Upgrades!$P$8,G88)*POWER(Upgrades!$P$9,H88)*POWER(Upgrades!$P$10,I88)*POWER(Upgrades!$P$11,J88)*POWER(Upgrades!$P$12,K88))*(IF(Upgrades!$T$6="Magnetosphere",POWER(Upgrades!$U$6,E88),1)*IF(Upgrades!$T$7="Magnetosphere",POWER(Upgrades!$U$7,F88),1)*IF(Upgrades!$T$8="Magnetosphere",POWER(Upgrades!$U$8,G88),1)*IF(Upgrades!$T$10="Magnetosphere",POWER(Upgrades!$U$10,I88),1)*IF(Upgrades!$T$11="Magnetosphere",POWER(Upgrades!$U$11,J88),1)*IF(Upgrades!$T$12="Magnetosphere",POWER(Upgrades!$U$12,K88),1))/AJ88,0)</f>
        <v/>
      </c>
      <c r="AW88" s="32">
        <f>MAX(IF(I88&gt;0,0,IFERROR(0.25*N88/Upgrades!$C$10,0)),IF(J88&gt;0,0,IFERROR(0.5*((IF(G88=0,0,(Upgrades!$J$8+G88*Upgrades!$K$8)*POWER(Upgrades!$L$8,G88)))*(IF(Upgrades!$T$6="Stellar Coupling",POWER(Upgrades!$U$6,E88),1)*IF(Upgrades!$T$7="Stellar Coupling",POWER(Upgrades!$U$7,F88),1)*IF(Upgrades!$T$9="Stellar Coupling",POWER(Upgrades!$U$9,H88),1)*IF(Upgrades!$T$10="Stellar Coupling",POWER(Upgrades!$U$10,I88),1)*IF(Upgrades!$T$11="Stellar Coupling",POWER(Upgrades!$U$11,J88),1)*IF(Upgrades!$T$12="Stellar Coupling",POWER(Upgrades!$U$12,K88),1))*(POWER(Upgrades!$Q$6,E88)*POWER(Upgrades!$Q$7,F88)*POWER(Upgrades!$Q$8,G88)*POWER(Upgrades!$Q$9,H88)*POWER(Upgrades!$Q$10,I88)*POWER(Upgrades!$Q$11,J88)*POWER(Upgrades!$Q$12,K88))*Parameters!$B$10*Parameters!$B$11/60)/Upgrades!$C$11,0)),IF(K88&gt;0,0,IFERROR((1.0*(POWER(Upgrades!$P$6,E88)*POWER(Upgrades!$P$7,F88)*POWER(Upgrades!$P$8,G88)*POWER(Upgrades!$P$9,H88)*POWER(Upgrades!$P$10,I88)*POWER(Upgrades!$P$11,J88)*POWER(Upgrades!$P$12,K88))+0.20*M88*Parameters!$B$10*Parameters!$B$11/60)/Upgrades!$C$12,0)),IF(AND(ISNUMBER(AG88),AG88&gt;T88),AS88,0),IF(AND(ISNUMBER(AH88),AH88&gt;T88),AT88,0),IF(AND(ISNUMBER(AI88),AI88&gt;T88),AU88,0),IF(AND(ISNUMBER(AJ88),AJ88&gt;T88),AV88,0))</f>
        <v/>
      </c>
      <c r="AX88" s="29">
        <f>IF(AN88=1,"transition",IF(MIN(IF(AND(I88=0,ISNUMBER(AK88),AK88&lt;=T88),AK88,9E15),IF(AND(J88=0,ISNUMBER(AL88),AL88&lt;=T88),AL88,9E15),IF(AND(K88=0,ISNUMBER(AM88),AM88&lt;=T88),AM88,9E15))&lt;9E15,IF(AND(AND(I88=0,ISNUMBER(AK88),AK88&lt;=T88),AK88=MIN(IF(AND(I88=0,ISNUMBER(AK88),AK88&lt;=T88),AK88,9E15),IF(AND(J88=0,ISNUMBER(AL88),AL88&lt;=T88),AL88,9E15),IF(AND(K88=0,ISNUMBER(AM88),AM88&lt;=T88),AM88,9E15))),"OR",IF(AND(AND(J88=0,ISNUMBER(AL88),AL88&lt;=T88),AL88=MIN(IF(AND(I88=0,ISNUMBER(AK88),AK88&lt;=T88),AK88,9E15),IF(AND(J88=0,ISNUMBER(AL88),AL88&lt;=T88),AL88,9E15),IF(AND(K88=0,ISNUMBER(AM88),AM88&lt;=T88),AM88,9E15))),"HP","FP")),IF(AR88=TRUE,"",IF(MAX(IF(AND(NOT(AND(AO88=1,AN88&lt;&gt;1)),ISNUMBER(AG88),AG88&lt;=T88),AS88,0),IF(AND(NOT(AND(AO88=1,AN88&lt;&gt;1)),ISNUMBER(AH88),AH88&lt;=T88),AT88,0),IF(AND(NOT(AND(AO88=1,AN88&lt;&gt;1)),ISNUMBER(AI88),AI88&lt;=T88),AU88,0),IF(AND(ISNUMBER(AJ88),AJ88&lt;=T88),AV88,0))&lt;=0,"",IF(AND(IF(AND(NOT(AND(AO88=1,AN88&lt;&gt;1)),ISNUMBER(AG88),AG88&lt;=T88),AS88,0)&gt;0,IF(AND(NOT(AND(AO88=1,AN88&lt;&gt;1)),ISNUMBER(AG88),AG88&lt;=T88),AS88,0)=MAX(IF(AND(NOT(AND(AO88=1,AN88&lt;&gt;1)),ISNUMBER(AG88),AG88&lt;=T88),AS88,0),IF(AND(NOT(AND(AO88=1,AN88&lt;&gt;1)),ISNUMBER(AH88),AH88&lt;=T88),AT88,0),IF(AND(NOT(AND(AO88=1,AN88&lt;&gt;1)),ISNUMBER(AI88),AI88&lt;=T88),AU88,0),IF(AND(ISNUMBER(AJ88),AJ88&lt;=T88),AV88,0))),"SW",IF(AND(IF(AND(NOT(AND(AO88=1,AN88&lt;&gt;1)),ISNUMBER(AH88),AH88&lt;=T88),AT88,0)&gt;0,IF(AND(NOT(AND(AO88=1,AN88&lt;&gt;1)),ISNUMBER(AH88),AH88&lt;=T88),AT88,0)=MAX(IF(AND(NOT(AND(AO88=1,AN88&lt;&gt;1)),ISNUMBER(AG88),AG88&lt;=T88),AS88,0),IF(AND(NOT(AND(AO88=1,AN88&lt;&gt;1)),ISNUMBER(AH88),AH88&lt;=T88),AT88,0),IF(AND(NOT(AND(AO88=1,AN88&lt;&gt;1)),ISNUMBER(AI88),AI88&lt;=T88),AU88,0),IF(AND(ISNUMBER(AJ88),AJ88&lt;=T88),AV88,0))),"AB",IF(AND(IF(AND(NOT(AND(AO88=1,AN88&lt;&gt;1)),ISNUMBER(AI88),AI88&lt;=T88),AU88,0)&gt;0,IF(AND(NOT(AND(AO88=1,AN88&lt;&gt;1)),ISNUMBER(AI88),AI88&lt;=T88),AU88,0)=MAX(IF(AND(NOT(AND(AO88=1,AN88&lt;&gt;1)),ISNUMBER(AG88),AG88&lt;=T88),AS88,0),IF(AND(NOT(AND(AO88=1,AN88&lt;&gt;1)),ISNUMBER(AH88),AH88&lt;=T88),AT88,0),IF(AND(NOT(AND(AO88=1,AN88&lt;&gt;1)),ISNUMBER(AI88),AI88&lt;=T88),AU88,0),IF(AND(ISNUMBER(AJ88),AJ88&lt;=T88),AV88,0))),"SC","Mag")))))))</f>
        <v/>
      </c>
    </row>
    <row r="89">
      <c r="A89" s="26" t="n">
        <v>84</v>
      </c>
      <c r="B89" s="27">
        <f>A89*10/60</f>
        <v/>
      </c>
      <c r="C89" s="22">
        <f>X88</f>
        <v/>
      </c>
      <c r="D89" s="27">
        <f>D88+W88</f>
        <v/>
      </c>
      <c r="E89" s="26">
        <f>E88+IF(U88="SW",1,0)</f>
        <v/>
      </c>
      <c r="F89" s="26">
        <f>F88+IF(U88="AB",1,0)</f>
        <v/>
      </c>
      <c r="G89" s="26">
        <f>G88+IF(U88="SC",1,0)</f>
        <v/>
      </c>
      <c r="H89" s="26">
        <f>H88+IF(U88="Mag",1,0)</f>
        <v/>
      </c>
      <c r="I89" s="26">
        <f>MAX(I88,IF(U88="OR",1,0))</f>
        <v/>
      </c>
      <c r="J89" s="26">
        <f>MAX(J88,IF(U88="HP",1,0))</f>
        <v/>
      </c>
      <c r="K89" s="26">
        <f>MAX(K88,IF(U88="FP",1,0))</f>
        <v/>
      </c>
      <c r="L89" s="26">
        <f>MAX(L88,IF(U88="transition",1,0))</f>
        <v/>
      </c>
      <c r="M89" s="28">
        <f>(Parameters!$B$9+(IF(E89=0,0,(Upgrades!$J$6+E89*Upgrades!$K$6)*POWER(Upgrades!$L$6,E89)))*(IF(Upgrades!$T$7="Solar Wind",POWER(Upgrades!$U$7,F89),1)*IF(Upgrades!$T$8="Solar Wind",POWER(Upgrades!$U$8,G89),1)*IF(Upgrades!$T$9="Solar Wind",POWER(Upgrades!$U$9,H89),1)*IF(Upgrades!$T$10="Solar Wind",POWER(Upgrades!$U$10,I89),1)*IF(Upgrades!$T$11="Solar Wind",POWER(Upgrades!$U$11,J89),1)*IF(Upgrades!$T$12="Solar Wind",POWER(Upgrades!$U$12,K89),1))+(IF(F89=0,0,(Upgrades!$J$7+F89*Upgrades!$K$7)*POWER(Upgrades!$L$7,F89)))*(IF(Upgrades!$T$6="Asteroid Belt",POWER(Upgrades!$U$6,E89),1)*IF(Upgrades!$T$8="Asteroid Belt",POWER(Upgrades!$U$8,G89),1)*IF(Upgrades!$T$9="Asteroid Belt",POWER(Upgrades!$U$9,H89),1)*IF(Upgrades!$T$10="Asteroid Belt",POWER(Upgrades!$U$10,I89),1)*IF(Upgrades!$T$11="Asteroid Belt",POWER(Upgrades!$U$11,J89),1)*IF(Upgrades!$T$12="Asteroid Belt",POWER(Upgrades!$U$12,K89),1))+(IF(G89=0,0,(Upgrades!$J$8+G89*Upgrades!$K$8)*POWER(Upgrades!$L$8,G89)))*(IF(Upgrades!$T$6="Stellar Coupling",POWER(Upgrades!$U$6,E89),1)*IF(Upgrades!$T$7="Stellar Coupling",POWER(Upgrades!$U$7,F89),1)*IF(Upgrades!$T$9="Stellar Coupling",POWER(Upgrades!$U$9,H89),1)*IF(Upgrades!$T$10="Stellar Coupling",POWER(Upgrades!$U$10,I89),1)*IF(Upgrades!$T$11="Stellar Coupling",POWER(Upgrades!$U$11,J89),1)*IF(Upgrades!$T$12="Stellar Coupling",POWER(Upgrades!$U$12,K89),1))+(IF(H89=0,0,(Upgrades!$J$9+H89*Upgrades!$K$9)*POWER(Upgrades!$L$9,H89)))*(IF(Upgrades!$T$6="Magnetosphere",POWER(Upgrades!$U$6,E89),1)*IF(Upgrades!$T$7="Magnetosphere",POWER(Upgrades!$U$7,F89),1)*IF(Upgrades!$T$8="Magnetosphere",POWER(Upgrades!$U$8,G89),1)*IF(Upgrades!$T$10="Magnetosphere",POWER(Upgrades!$U$10,I89),1)*IF(Upgrades!$T$11="Magnetosphere",POWER(Upgrades!$U$11,J89),1)*IF(Upgrades!$T$12="Magnetosphere",POWER(Upgrades!$U$12,K89),1))+(IF(I89=0,0,(Upgrades!$J$10+I89*Upgrades!$K$10)*POWER(Upgrades!$L$10,I89)))*(IF(Upgrades!$T$6="Orbital Resonance",POWER(Upgrades!$U$6,E89),1)*IF(Upgrades!$T$7="Orbital Resonance",POWER(Upgrades!$U$7,F89),1)*IF(Upgrades!$T$8="Orbital Resonance",POWER(Upgrades!$U$8,G89),1)*IF(Upgrades!$T$9="Orbital Resonance",POWER(Upgrades!$U$9,H89),1)*IF(Upgrades!$T$11="Orbital Resonance",POWER(Upgrades!$U$11,J89),1)*IF(Upgrades!$T$12="Orbital Resonance",POWER(Upgrades!$U$12,K89),1))+(IF(J89=0,0,(Upgrades!$J$11+J89*Upgrades!$K$11)*POWER(Upgrades!$L$11,J89)))*(IF(Upgrades!$T$6="Heliopause",POWER(Upgrades!$U$6,E89),1)*IF(Upgrades!$T$7="Heliopause",POWER(Upgrades!$U$7,F89),1)*IF(Upgrades!$T$8="Heliopause",POWER(Upgrades!$U$8,G89),1)*IF(Upgrades!$T$9="Heliopause",POWER(Upgrades!$U$9,H89),1)*IF(Upgrades!$T$10="Heliopause",POWER(Upgrades!$U$10,I89),1)*IF(Upgrades!$T$12="Heliopause",POWER(Upgrades!$U$12,K89),1))+(IF(K89=0,0,(Upgrades!$J$12+K89*Upgrades!$K$12)*POWER(Upgrades!$L$12,K89)))*(IF(Upgrades!$T$6="First Photons",POWER(Upgrades!$U$6,E89),1)*IF(Upgrades!$T$7="First Photons",POWER(Upgrades!$U$7,F89),1)*IF(Upgrades!$T$8="First Photons",POWER(Upgrades!$U$8,G89),1)*IF(Upgrades!$T$9="First Photons",POWER(Upgrades!$U$9,H89),1)*IF(Upgrades!$T$10="First Photons",POWER(Upgrades!$U$10,I89),1)*IF(Upgrades!$T$11="First Photons",POWER(Upgrades!$U$11,J89),1)))*POWER(Upgrades!$Q$6,E89)*POWER(Upgrades!$Q$7,F89)*POWER(Upgrades!$Q$8,G89)*POWER(Upgrades!$Q$9,H89)*POWER(Upgrades!$Q$10,I89)*POWER(Upgrades!$Q$11,J89)*POWER(Upgrades!$Q$12,K89)</f>
        <v/>
      </c>
      <c r="N89" s="28">
        <f>((IF(E89=0,0,(Upgrades!$G$6+E89*Upgrades!$H$6)*POWER(Upgrades!$I$6,E89)))*(IF(Upgrades!$T$7="Solar Wind",POWER(Upgrades!$U$7,F89),1)*IF(Upgrades!$T$8="Solar Wind",POWER(Upgrades!$U$8,G89),1)*IF(Upgrades!$T$9="Solar Wind",POWER(Upgrades!$U$9,H89),1)*IF(Upgrades!$T$10="Solar Wind",POWER(Upgrades!$U$10,I89),1)*IF(Upgrades!$T$11="Solar Wind",POWER(Upgrades!$U$11,J89),1)*IF(Upgrades!$T$12="Solar Wind",POWER(Upgrades!$U$12,K89),1))+(IF(F89=0,0,(Upgrades!$G$7+F89*Upgrades!$H$7)*POWER(Upgrades!$I$7,F89)))*(IF(Upgrades!$T$6="Asteroid Belt",POWER(Upgrades!$U$6,E89),1)*IF(Upgrades!$T$8="Asteroid Belt",POWER(Upgrades!$U$8,G89),1)*IF(Upgrades!$T$9="Asteroid Belt",POWER(Upgrades!$U$9,H89),1)*IF(Upgrades!$T$10="Asteroid Belt",POWER(Upgrades!$U$10,I89),1)*IF(Upgrades!$T$11="Asteroid Belt",POWER(Upgrades!$U$11,J89),1)*IF(Upgrades!$T$12="Asteroid Belt",POWER(Upgrades!$U$12,K89),1))+(IF(G89=0,0,(Upgrades!$G$8+G89*Upgrades!$H$8)*POWER(Upgrades!$I$8,G89)))*(IF(Upgrades!$T$6="Stellar Coupling",POWER(Upgrades!$U$6,E89),1)*IF(Upgrades!$T$7="Stellar Coupling",POWER(Upgrades!$U$7,F89),1)*IF(Upgrades!$T$9="Stellar Coupling",POWER(Upgrades!$U$9,H89),1)*IF(Upgrades!$T$10="Stellar Coupling",POWER(Upgrades!$U$10,I89),1)*IF(Upgrades!$T$11="Stellar Coupling",POWER(Upgrades!$U$11,J89),1)*IF(Upgrades!$T$12="Stellar Coupling",POWER(Upgrades!$U$12,K89),1))+(IF(H89=0,0,(Upgrades!$G$9+H89*Upgrades!$H$9)*POWER(Upgrades!$I$9,H89)))*(IF(Upgrades!$T$6="Magnetosphere",POWER(Upgrades!$U$6,E89),1)*IF(Upgrades!$T$7="Magnetosphere",POWER(Upgrades!$U$7,F89),1)*IF(Upgrades!$T$8="Magnetosphere",POWER(Upgrades!$U$8,G89),1)*IF(Upgrades!$T$10="Magnetosphere",POWER(Upgrades!$U$10,I89),1)*IF(Upgrades!$T$11="Magnetosphere",POWER(Upgrades!$U$11,J89),1)*IF(Upgrades!$T$12="Magnetosphere",POWER(Upgrades!$U$12,K89),1))+(IF(I89=0,0,(Upgrades!$G$10+I89*Upgrades!$H$10)*POWER(Upgrades!$I$10,I89)))*(IF(Upgrades!$T$6="Orbital Resonance",POWER(Upgrades!$U$6,E89),1)*IF(Upgrades!$T$7="Orbital Resonance",POWER(Upgrades!$U$7,F89),1)*IF(Upgrades!$T$8="Orbital Resonance",POWER(Upgrades!$U$8,G89),1)*IF(Upgrades!$T$9="Orbital Resonance",POWER(Upgrades!$U$9,H89),1)*IF(Upgrades!$T$11="Orbital Resonance",POWER(Upgrades!$U$11,J89),1)*IF(Upgrades!$T$12="Orbital Resonance",POWER(Upgrades!$U$12,K89),1))+(IF(J89=0,0,(Upgrades!$G$11+J89*Upgrades!$H$11)*POWER(Upgrades!$I$11,J89)))*(IF(Upgrades!$T$6="Heliopause",POWER(Upgrades!$U$6,E89),1)*IF(Upgrades!$T$7="Heliopause",POWER(Upgrades!$U$7,F89),1)*IF(Upgrades!$T$8="Heliopause",POWER(Upgrades!$U$8,G89),1)*IF(Upgrades!$T$9="Heliopause",POWER(Upgrades!$U$9,H89),1)*IF(Upgrades!$T$10="Heliopause",POWER(Upgrades!$U$10,I89),1)*IF(Upgrades!$T$12="Heliopause",POWER(Upgrades!$U$12,K89),1))+(IF(K89=0,0,(Upgrades!$G$12+K89*Upgrades!$H$12)*POWER(Upgrades!$I$12,K89)))*(IF(Upgrades!$T$6="First Photons",POWER(Upgrades!$U$6,E89),1)*IF(Upgrades!$T$7="First Photons",POWER(Upgrades!$U$7,F89),1)*IF(Upgrades!$T$8="First Photons",POWER(Upgrades!$U$8,G89),1)*IF(Upgrades!$T$9="First Photons",POWER(Upgrades!$U$9,H89),1)*IF(Upgrades!$T$10="First Photons",POWER(Upgrades!$U$10,I89),1)*IF(Upgrades!$T$11="First Photons",POWER(Upgrades!$U$11,J89),1)))*POWER(Upgrades!$P$6,E89)*POWER(Upgrades!$P$7,F89)*POWER(Upgrades!$P$8,G89)*POWER(Upgrades!$P$9,H89)*POWER(Upgrades!$P$10,I89)*POWER(Upgrades!$P$11,J89)*POWER(Upgrades!$P$12,K89)</f>
        <v/>
      </c>
      <c r="O89" s="28">
        <f>((IF(E89=0,0,(Upgrades!$M$6+E89*Upgrades!$N$6)*POWER(Upgrades!$O$6,E89)))*(IF(Upgrades!$T$7="Solar Wind",POWER(Upgrades!$U$7,F89),1)*IF(Upgrades!$T$8="Solar Wind",POWER(Upgrades!$U$8,G89),1)*IF(Upgrades!$T$9="Solar Wind",POWER(Upgrades!$U$9,H89),1)*IF(Upgrades!$T$10="Solar Wind",POWER(Upgrades!$U$10,I89),1)*IF(Upgrades!$T$11="Solar Wind",POWER(Upgrades!$U$11,J89),1)*IF(Upgrades!$T$12="Solar Wind",POWER(Upgrades!$U$12,K89),1))+(IF(F89=0,0,(Upgrades!$M$7+F89*Upgrades!$N$7)*POWER(Upgrades!$O$7,F89)))*(IF(Upgrades!$T$6="Asteroid Belt",POWER(Upgrades!$U$6,E89),1)*IF(Upgrades!$T$8="Asteroid Belt",POWER(Upgrades!$U$8,G89),1)*IF(Upgrades!$T$9="Asteroid Belt",POWER(Upgrades!$U$9,H89),1)*IF(Upgrades!$T$10="Asteroid Belt",POWER(Upgrades!$U$10,I89),1)*IF(Upgrades!$T$11="Asteroid Belt",POWER(Upgrades!$U$11,J89),1)*IF(Upgrades!$T$12="Asteroid Belt",POWER(Upgrades!$U$12,K89),1))+(IF(G89=0,0,(Upgrades!$M$8+G89*Upgrades!$N$8)*POWER(Upgrades!$O$8,G89)))*(IF(Upgrades!$T$6="Stellar Coupling",POWER(Upgrades!$U$6,E89),1)*IF(Upgrades!$T$7="Stellar Coupling",POWER(Upgrades!$U$7,F89),1)*IF(Upgrades!$T$9="Stellar Coupling",POWER(Upgrades!$U$9,H89),1)*IF(Upgrades!$T$10="Stellar Coupling",POWER(Upgrades!$U$10,I89),1)*IF(Upgrades!$T$11="Stellar Coupling",POWER(Upgrades!$U$11,J89),1)*IF(Upgrades!$T$12="Stellar Coupling",POWER(Upgrades!$U$12,K89),1))+(IF(H89=0,0,(Upgrades!$M$9+H89*Upgrades!$N$9)*POWER(Upgrades!$O$9,H89)))*(IF(Upgrades!$T$6="Magnetosphere",POWER(Upgrades!$U$6,E89),1)*IF(Upgrades!$T$7="Magnetosphere",POWER(Upgrades!$U$7,F89),1)*IF(Upgrades!$T$8="Magnetosphere",POWER(Upgrades!$U$8,G89),1)*IF(Upgrades!$T$10="Magnetosphere",POWER(Upgrades!$U$10,I89),1)*IF(Upgrades!$T$11="Magnetosphere",POWER(Upgrades!$U$11,J89),1)*IF(Upgrades!$T$12="Magnetosphere",POWER(Upgrades!$U$12,K89),1))+(IF(I89=0,0,(Upgrades!$M$10+I89*Upgrades!$N$10)*POWER(Upgrades!$O$10,I89)))*(IF(Upgrades!$T$6="Orbital Resonance",POWER(Upgrades!$U$6,E89),1)*IF(Upgrades!$T$7="Orbital Resonance",POWER(Upgrades!$U$7,F89),1)*IF(Upgrades!$T$8="Orbital Resonance",POWER(Upgrades!$U$8,G89),1)*IF(Upgrades!$T$9="Orbital Resonance",POWER(Upgrades!$U$9,H89),1)*IF(Upgrades!$T$11="Orbital Resonance",POWER(Upgrades!$U$11,J89),1)*IF(Upgrades!$T$12="Orbital Resonance",POWER(Upgrades!$U$12,K89),1))+(IF(J89=0,0,(Upgrades!$M$11+J89*Upgrades!$N$11)*POWER(Upgrades!$O$11,J89)))*(IF(Upgrades!$T$6="Heliopause",POWER(Upgrades!$U$6,E89),1)*IF(Upgrades!$T$7="Heliopause",POWER(Upgrades!$U$7,F89),1)*IF(Upgrades!$T$8="Heliopause",POWER(Upgrades!$U$8,G89),1)*IF(Upgrades!$T$9="Heliopause",POWER(Upgrades!$U$9,H89),1)*IF(Upgrades!$T$10="Heliopause",POWER(Upgrades!$U$10,I89),1)*IF(Upgrades!$T$12="Heliopause",POWER(Upgrades!$U$12,K89),1))+(IF(K89=0,0,(Upgrades!$M$12+K89*Upgrades!$N$12)*POWER(Upgrades!$O$12,K89)))*(IF(Upgrades!$T$6="First Photons",POWER(Upgrades!$U$6,E89),1)*IF(Upgrades!$T$7="First Photons",POWER(Upgrades!$U$7,F89),1)*IF(Upgrades!$T$8="First Photons",POWER(Upgrades!$U$8,G89),1)*IF(Upgrades!$T$9="First Photons",POWER(Upgrades!$U$9,H89),1)*IF(Upgrades!$T$10="First Photons",POWER(Upgrades!$U$10,I89),1)*IF(Upgrades!$T$11="First Photons",POWER(Upgrades!$U$11,J89),1)))*POWER(Upgrades!$R$6,E89)*POWER(Upgrades!$R$7,F89)*POWER(Upgrades!$R$8,G89)*POWER(Upgrades!$R$9,H89)*POWER(Upgrades!$R$10,I89)*POWER(Upgrades!$R$11,J89)*POWER(Upgrades!$R$12,K89)</f>
        <v/>
      </c>
      <c r="P89" s="27">
        <f>IF(L89=1,0,M89*Parameters!$B$10/60*Parameters!$B$11*10)</f>
        <v/>
      </c>
      <c r="Q89" s="27">
        <f>IF(L89=1,0,O89*M89*10)</f>
        <v/>
      </c>
      <c r="R89" s="27">
        <f>IF(L89=1,0,N89*10)</f>
        <v/>
      </c>
      <c r="S89" s="27">
        <f>P89+Q89+R89</f>
        <v/>
      </c>
      <c r="T89" s="22">
        <f>C89+S89</f>
        <v/>
      </c>
      <c r="U89" s="33">
        <f>AX89</f>
        <v/>
      </c>
      <c r="V89" s="22">
        <f>IF(U89="",0,IF(U89="transition",0,IF(U89="SW",AG89,IF(U89="AB",AH89,IF(U89="SC",AI89,IF(U89="Mag",AJ89,IF(U89="OR",AK89,IF(U89="HP",AL89,IF(U89="FP",AM89,0)))))))))</f>
        <v/>
      </c>
      <c r="W89" s="27">
        <f>IF(U89="OR",Upgrades!$F$10,IF(U89="HP",Upgrades!$F$11,IF(U89="transition",-Parameters!$B$18,0)))</f>
        <v/>
      </c>
      <c r="X89" s="22">
        <f>T89-V89</f>
        <v/>
      </c>
      <c r="Y89" s="30">
        <f>M89*Parameters!$B$10/60*Parameters!$B$11+O89*M89+N89</f>
        <v/>
      </c>
      <c r="Z89" s="34">
        <f>IF(U89="transition","→ Tier 2 (Stellar Neighborhood)",IF(U89="FP","First Photons — light begins, system quickens",IF(U89="HP","Heliopause acquired",IF(U89="OR","Orbital Resonance — passive multiplier active",IF(AND(AO89=1,L89=0,AN89&lt;&gt;1),"Cohesion ready (waiting on completionist upgrades)","")))))</f>
        <v/>
      </c>
      <c r="AA89" s="27">
        <f>(IF(E89=0,0,(Upgrades!$G$6+E89*Upgrades!$H$6)*POWER(Upgrades!$I$6,E89)))*(IF(Upgrades!$T$7="Solar Wind",POWER(Upgrades!$U$7,F89),1)*IF(Upgrades!$T$8="Solar Wind",POWER(Upgrades!$U$8,G89),1)*IF(Upgrades!$T$9="Solar Wind",POWER(Upgrades!$U$9,H89),1)*IF(Upgrades!$T$10="Solar Wind",POWER(Upgrades!$U$10,I89),1)*IF(Upgrades!$T$11="Solar Wind",POWER(Upgrades!$U$11,J89),1)*IF(Upgrades!$T$12="Solar Wind",POWER(Upgrades!$U$12,K89),1))*POWER(Upgrades!$P$6,E89)*POWER(Upgrades!$P$7,F89)*POWER(Upgrades!$P$8,G89)*POWER(Upgrades!$P$9,H89)*POWER(Upgrades!$P$10,I89)*POWER(Upgrades!$P$11,J89)*POWER(Upgrades!$P$12,K89)*60</f>
        <v/>
      </c>
      <c r="AB89" s="27">
        <f>(IF(F89=0,0,(Upgrades!$G$7+F89*Upgrades!$H$7)*POWER(Upgrades!$I$7,F89)))*(IF(Upgrades!$T$6="Asteroid Belt",POWER(Upgrades!$U$6,E89),1)*IF(Upgrades!$T$8="Asteroid Belt",POWER(Upgrades!$U$8,G89),1)*IF(Upgrades!$T$9="Asteroid Belt",POWER(Upgrades!$U$9,H89),1)*IF(Upgrades!$T$10="Asteroid Belt",POWER(Upgrades!$U$10,I89),1)*IF(Upgrades!$T$11="Asteroid Belt",POWER(Upgrades!$U$11,J89),1)*IF(Upgrades!$T$12="Asteroid Belt",POWER(Upgrades!$U$12,K89),1))*POWER(Upgrades!$P$6,E89)*POWER(Upgrades!$P$7,F89)*POWER(Upgrades!$P$8,G89)*POWER(Upgrades!$P$9,H89)*POWER(Upgrades!$P$10,I89)*POWER(Upgrades!$P$11,J89)*POWER(Upgrades!$P$12,K89)*60</f>
        <v/>
      </c>
      <c r="AC89" s="27">
        <f>(IF(G89=0,0,(Upgrades!$J$8+G89*Upgrades!$K$8)*POWER(Upgrades!$L$8,G89)))*(IF(Upgrades!$T$6="Stellar Coupling",POWER(Upgrades!$U$6,E89),1)*IF(Upgrades!$T$7="Stellar Coupling",POWER(Upgrades!$U$7,F89),1)*IF(Upgrades!$T$9="Stellar Coupling",POWER(Upgrades!$U$9,H89),1)*IF(Upgrades!$T$10="Stellar Coupling",POWER(Upgrades!$U$10,I89),1)*IF(Upgrades!$T$11="Stellar Coupling",POWER(Upgrades!$U$11,J89),1)*IF(Upgrades!$T$12="Stellar Coupling",POWER(Upgrades!$U$12,K89),1))*POWER(Upgrades!$Q$6,E89)*POWER(Upgrades!$Q$7,F89)*POWER(Upgrades!$Q$8,G89)*POWER(Upgrades!$Q$9,H89)*POWER(Upgrades!$Q$10,I89)*POWER(Upgrades!$Q$11,J89)*POWER(Upgrades!$Q$12,K89)*Parameters!$B$10*Parameters!$B$11</f>
        <v/>
      </c>
      <c r="AD89" s="27">
        <f>(IF(H89=0,0,(Upgrades!$G$9+H89*Upgrades!$H$9)*POWER(Upgrades!$I$9,H89)))*(IF(Upgrades!$T$6="Magnetosphere",POWER(Upgrades!$U$6,E89),1)*IF(Upgrades!$T$7="Magnetosphere",POWER(Upgrades!$U$7,F89),1)*IF(Upgrades!$T$8="Magnetosphere",POWER(Upgrades!$U$8,G89),1)*IF(Upgrades!$T$10="Magnetosphere",POWER(Upgrades!$U$10,I89),1)*IF(Upgrades!$T$11="Magnetosphere",POWER(Upgrades!$U$11,J89),1)*IF(Upgrades!$T$12="Magnetosphere",POWER(Upgrades!$U$12,K89),1))*POWER(Upgrades!$P$6,E89)*POWER(Upgrades!$P$7,F89)*POWER(Upgrades!$P$8,G89)*POWER(Upgrades!$P$9,H89)*POWER(Upgrades!$P$10,I89)*POWER(Upgrades!$P$11,J89)*POWER(Upgrades!$P$12,K89)*60</f>
        <v/>
      </c>
      <c r="AE89" s="27">
        <f>(IF(K89=0,0,(Upgrades!$G$12+K89*Upgrades!$H$12)*POWER(Upgrades!$I$12,K89)))*(IF(Upgrades!$T$6="First Photons",POWER(Upgrades!$U$6,E89),1)*IF(Upgrades!$T$7="First Photons",POWER(Upgrades!$U$7,F89),1)*IF(Upgrades!$T$8="First Photons",POWER(Upgrades!$U$8,G89),1)*IF(Upgrades!$T$9="First Photons",POWER(Upgrades!$U$9,H89),1)*IF(Upgrades!$T$10="First Photons",POWER(Upgrades!$U$10,I89),1)*IF(Upgrades!$T$11="First Photons",POWER(Upgrades!$U$11,J89),1))*POWER(Upgrades!$P$6,E89)*POWER(Upgrades!$P$7,F89)*POWER(Upgrades!$P$8,G89)*POWER(Upgrades!$P$9,H89)*POWER(Upgrades!$P$10,I89)*POWER(Upgrades!$P$11,J89)*POWER(Upgrades!$P$12,K89)*60</f>
        <v/>
      </c>
      <c r="AF89" s="27">
        <f>Parameters!$B$9*POWER(Upgrades!$Q$6,E89)*POWER(Upgrades!$Q$7,F89)*POWER(Upgrades!$Q$8,G89)*POWER(Upgrades!$Q$9,H89)*POWER(Upgrades!$Q$10,I89)*POWER(Upgrades!$Q$11,J89)*POWER(Upgrades!$Q$12,K89)*(Parameters!$B$10*Parameters!$B$11+O89*60)</f>
        <v/>
      </c>
      <c r="AG89" s="22">
        <f>IF(E89&gt;=Upgrades!$E$6,"",Upgrades!$C$6*POWER(Upgrades!$D$6,E89))</f>
        <v/>
      </c>
      <c r="AH89" s="22">
        <f>IF(F89&gt;=Upgrades!$E$7,"",Upgrades!$C$7*POWER(Upgrades!$D$7,F89))</f>
        <v/>
      </c>
      <c r="AI89" s="22">
        <f>IF(G89&gt;=Upgrades!$E$8,"",Upgrades!$C$8*POWER(Upgrades!$D$8,G89))</f>
        <v/>
      </c>
      <c r="AJ89" s="22">
        <f>IF(H89&gt;=Upgrades!$E$9,"",Upgrades!$C$9*POWER(Upgrades!$D$9,H89))</f>
        <v/>
      </c>
      <c r="AK89" s="22">
        <f>IF(I89&gt;=Upgrades!$E$10,"",Upgrades!$C$10*POWER(Upgrades!$D$10,I89))</f>
        <v/>
      </c>
      <c r="AL89" s="22">
        <f>IF(J89&gt;=Upgrades!$E$11,"",Upgrades!$C$11*POWER(Upgrades!$D$11,J89))</f>
        <v/>
      </c>
      <c r="AM89" s="22">
        <f>IF(K89&gt;=Upgrades!$E$12,"",Upgrades!$C$12*POWER(Upgrades!$D$12,K89))</f>
        <v/>
      </c>
      <c r="AN89" s="26">
        <f>IF(AND(D89&gt;=Parameters!$B$18,(H89&gt;=Upgrades!$E$9)*(K89&gt;=Upgrades!$E$12)=1,L89=0),1,"")</f>
        <v/>
      </c>
      <c r="AO89" s="26">
        <f>IF(AND(D89&gt;=Parameters!$B$18,L89=0),1,"")</f>
        <v/>
      </c>
      <c r="AP89" s="22">
        <f>MIN(IF(ISNUMBER(AK89),AK89,9E15),IF(ISNUMBER(AL89),AL89,9E15),IF(ISNUMBER(AM89),AM89,9E15))</f>
        <v/>
      </c>
      <c r="AQ89" s="22">
        <f>MIN(IF(ISNUMBER(AG89),AG89,9E15),IF(ISNUMBER(AH89),AH89,9E15),IF(ISNUMBER(AI89),AI89,9E15),IF(ISNUMBER(AJ89),AJ89,9E15))</f>
        <v/>
      </c>
      <c r="AR89" s="29">
        <f>IF(AW89&gt;Parameters!$B$21*(MAX(IF(AND(NOT(AND(AO89=1,AN89&lt;&gt;1)),ISNUMBER(AG89),AG89&lt;=T89),AS89,0),IF(AND(NOT(AND(AO89=1,AN89&lt;&gt;1)),ISNUMBER(AH89),AH89&lt;=T89),AT89,0),IF(AND(NOT(AND(AO89=1,AN89&lt;&gt;1)),ISNUMBER(AI89),AI89&lt;=T89),AU89,0),IF(AND(ISNUMBER(AJ89),AJ89&lt;=T89),AV89,0))),TRUE,FALSE)</f>
        <v/>
      </c>
      <c r="AS89" s="32">
        <f>IFERROR(Upgrades!$H$6*(POWER(Upgrades!$P$6,E89)*POWER(Upgrades!$P$7,F89)*POWER(Upgrades!$P$8,G89)*POWER(Upgrades!$P$9,H89)*POWER(Upgrades!$P$10,I89)*POWER(Upgrades!$P$11,J89)*POWER(Upgrades!$P$12,K89))*(IF(Upgrades!$T$7="Solar Wind",POWER(Upgrades!$U$7,F89),1)*IF(Upgrades!$T$8="Solar Wind",POWER(Upgrades!$U$8,G89),1)*IF(Upgrades!$T$9="Solar Wind",POWER(Upgrades!$U$9,H89),1)*IF(Upgrades!$T$10="Solar Wind",POWER(Upgrades!$U$10,I89),1)*IF(Upgrades!$T$11="Solar Wind",POWER(Upgrades!$U$11,J89),1)*IF(Upgrades!$T$12="Solar Wind",POWER(Upgrades!$U$12,K89),1))/AG89,0)</f>
        <v/>
      </c>
      <c r="AT89" s="32">
        <f>IFERROR(Upgrades!$H$7*(POWER(Upgrades!$P$6,E89)*POWER(Upgrades!$P$7,F89)*POWER(Upgrades!$P$8,G89)*POWER(Upgrades!$P$9,H89)*POWER(Upgrades!$P$10,I89)*POWER(Upgrades!$P$11,J89)*POWER(Upgrades!$P$12,K89))*(IF(Upgrades!$T$6="Asteroid Belt",POWER(Upgrades!$U$6,E89),1)*IF(Upgrades!$T$8="Asteroid Belt",POWER(Upgrades!$U$8,G89),1)*IF(Upgrades!$T$9="Asteroid Belt",POWER(Upgrades!$U$9,H89),1)*IF(Upgrades!$T$10="Asteroid Belt",POWER(Upgrades!$U$10,I89),1)*IF(Upgrades!$T$11="Asteroid Belt",POWER(Upgrades!$U$11,J89),1)*IF(Upgrades!$T$12="Asteroid Belt",POWER(Upgrades!$U$12,K89),1))/AH89,0)</f>
        <v/>
      </c>
      <c r="AU89" s="32">
        <f>IFERROR(Upgrades!$K$8*(POWER(Upgrades!$Q$6,E89)*POWER(Upgrades!$Q$7,F89)*POWER(Upgrades!$Q$8,G89)*POWER(Upgrades!$Q$9,H89)*POWER(Upgrades!$Q$10,I89)*POWER(Upgrades!$Q$11,J89)*POWER(Upgrades!$Q$12,K89))*(IF(Upgrades!$T$6="Stellar Coupling",POWER(Upgrades!$U$6,E89),1)*IF(Upgrades!$T$7="Stellar Coupling",POWER(Upgrades!$U$7,F89),1)*IF(Upgrades!$T$9="Stellar Coupling",POWER(Upgrades!$U$9,H89),1)*IF(Upgrades!$T$10="Stellar Coupling",POWER(Upgrades!$U$10,I89),1)*IF(Upgrades!$T$11="Stellar Coupling",POWER(Upgrades!$U$11,J89),1)*IF(Upgrades!$T$12="Stellar Coupling",POWER(Upgrades!$U$12,K89),1))*Parameters!$B$10*Parameters!$B$11/60/AI89,0)</f>
        <v/>
      </c>
      <c r="AV89" s="32">
        <f>IFERROR(Upgrades!$H$9*(POWER(Upgrades!$P$6,E89)*POWER(Upgrades!$P$7,F89)*POWER(Upgrades!$P$8,G89)*POWER(Upgrades!$P$9,H89)*POWER(Upgrades!$P$10,I89)*POWER(Upgrades!$P$11,J89)*POWER(Upgrades!$P$12,K89))*(IF(Upgrades!$T$6="Magnetosphere",POWER(Upgrades!$U$6,E89),1)*IF(Upgrades!$T$7="Magnetosphere",POWER(Upgrades!$U$7,F89),1)*IF(Upgrades!$T$8="Magnetosphere",POWER(Upgrades!$U$8,G89),1)*IF(Upgrades!$T$10="Magnetosphere",POWER(Upgrades!$U$10,I89),1)*IF(Upgrades!$T$11="Magnetosphere",POWER(Upgrades!$U$11,J89),1)*IF(Upgrades!$T$12="Magnetosphere",POWER(Upgrades!$U$12,K89),1))/AJ89,0)</f>
        <v/>
      </c>
      <c r="AW89" s="32">
        <f>MAX(IF(I89&gt;0,0,IFERROR(0.25*N89/Upgrades!$C$10,0)),IF(J89&gt;0,0,IFERROR(0.5*((IF(G89=0,0,(Upgrades!$J$8+G89*Upgrades!$K$8)*POWER(Upgrades!$L$8,G89)))*(IF(Upgrades!$T$6="Stellar Coupling",POWER(Upgrades!$U$6,E89),1)*IF(Upgrades!$T$7="Stellar Coupling",POWER(Upgrades!$U$7,F89),1)*IF(Upgrades!$T$9="Stellar Coupling",POWER(Upgrades!$U$9,H89),1)*IF(Upgrades!$T$10="Stellar Coupling",POWER(Upgrades!$U$10,I89),1)*IF(Upgrades!$T$11="Stellar Coupling",POWER(Upgrades!$U$11,J89),1)*IF(Upgrades!$T$12="Stellar Coupling",POWER(Upgrades!$U$12,K89),1))*(POWER(Upgrades!$Q$6,E89)*POWER(Upgrades!$Q$7,F89)*POWER(Upgrades!$Q$8,G89)*POWER(Upgrades!$Q$9,H89)*POWER(Upgrades!$Q$10,I89)*POWER(Upgrades!$Q$11,J89)*POWER(Upgrades!$Q$12,K89))*Parameters!$B$10*Parameters!$B$11/60)/Upgrades!$C$11,0)),IF(K89&gt;0,0,IFERROR((1.0*(POWER(Upgrades!$P$6,E89)*POWER(Upgrades!$P$7,F89)*POWER(Upgrades!$P$8,G89)*POWER(Upgrades!$P$9,H89)*POWER(Upgrades!$P$10,I89)*POWER(Upgrades!$P$11,J89)*POWER(Upgrades!$P$12,K89))+0.20*M89*Parameters!$B$10*Parameters!$B$11/60)/Upgrades!$C$12,0)),IF(AND(ISNUMBER(AG89),AG89&gt;T89),AS89,0),IF(AND(ISNUMBER(AH89),AH89&gt;T89),AT89,0),IF(AND(ISNUMBER(AI89),AI89&gt;T89),AU89,0),IF(AND(ISNUMBER(AJ89),AJ89&gt;T89),AV89,0))</f>
        <v/>
      </c>
      <c r="AX89" s="29">
        <f>IF(AN89=1,"transition",IF(MIN(IF(AND(I89=0,ISNUMBER(AK89),AK89&lt;=T89),AK89,9E15),IF(AND(J89=0,ISNUMBER(AL89),AL89&lt;=T89),AL89,9E15),IF(AND(K89=0,ISNUMBER(AM89),AM89&lt;=T89),AM89,9E15))&lt;9E15,IF(AND(AND(I89=0,ISNUMBER(AK89),AK89&lt;=T89),AK89=MIN(IF(AND(I89=0,ISNUMBER(AK89),AK89&lt;=T89),AK89,9E15),IF(AND(J89=0,ISNUMBER(AL89),AL89&lt;=T89),AL89,9E15),IF(AND(K89=0,ISNUMBER(AM89),AM89&lt;=T89),AM89,9E15))),"OR",IF(AND(AND(J89=0,ISNUMBER(AL89),AL89&lt;=T89),AL89=MIN(IF(AND(I89=0,ISNUMBER(AK89),AK89&lt;=T89),AK89,9E15),IF(AND(J89=0,ISNUMBER(AL89),AL89&lt;=T89),AL89,9E15),IF(AND(K89=0,ISNUMBER(AM89),AM89&lt;=T89),AM89,9E15))),"HP","FP")),IF(AR89=TRUE,"",IF(MAX(IF(AND(NOT(AND(AO89=1,AN89&lt;&gt;1)),ISNUMBER(AG89),AG89&lt;=T89),AS89,0),IF(AND(NOT(AND(AO89=1,AN89&lt;&gt;1)),ISNUMBER(AH89),AH89&lt;=T89),AT89,0),IF(AND(NOT(AND(AO89=1,AN89&lt;&gt;1)),ISNUMBER(AI89),AI89&lt;=T89),AU89,0),IF(AND(ISNUMBER(AJ89),AJ89&lt;=T89),AV89,0))&lt;=0,"",IF(AND(IF(AND(NOT(AND(AO89=1,AN89&lt;&gt;1)),ISNUMBER(AG89),AG89&lt;=T89),AS89,0)&gt;0,IF(AND(NOT(AND(AO89=1,AN89&lt;&gt;1)),ISNUMBER(AG89),AG89&lt;=T89),AS89,0)=MAX(IF(AND(NOT(AND(AO89=1,AN89&lt;&gt;1)),ISNUMBER(AG89),AG89&lt;=T89),AS89,0),IF(AND(NOT(AND(AO89=1,AN89&lt;&gt;1)),ISNUMBER(AH89),AH89&lt;=T89),AT89,0),IF(AND(NOT(AND(AO89=1,AN89&lt;&gt;1)),ISNUMBER(AI89),AI89&lt;=T89),AU89,0),IF(AND(ISNUMBER(AJ89),AJ89&lt;=T89),AV89,0))),"SW",IF(AND(IF(AND(NOT(AND(AO89=1,AN89&lt;&gt;1)),ISNUMBER(AH89),AH89&lt;=T89),AT89,0)&gt;0,IF(AND(NOT(AND(AO89=1,AN89&lt;&gt;1)),ISNUMBER(AH89),AH89&lt;=T89),AT89,0)=MAX(IF(AND(NOT(AND(AO89=1,AN89&lt;&gt;1)),ISNUMBER(AG89),AG89&lt;=T89),AS89,0),IF(AND(NOT(AND(AO89=1,AN89&lt;&gt;1)),ISNUMBER(AH89),AH89&lt;=T89),AT89,0),IF(AND(NOT(AND(AO89=1,AN89&lt;&gt;1)),ISNUMBER(AI89),AI89&lt;=T89),AU89,0),IF(AND(ISNUMBER(AJ89),AJ89&lt;=T89),AV89,0))),"AB",IF(AND(IF(AND(NOT(AND(AO89=1,AN89&lt;&gt;1)),ISNUMBER(AI89),AI89&lt;=T89),AU89,0)&gt;0,IF(AND(NOT(AND(AO89=1,AN89&lt;&gt;1)),ISNUMBER(AI89),AI89&lt;=T89),AU89,0)=MAX(IF(AND(NOT(AND(AO89=1,AN89&lt;&gt;1)),ISNUMBER(AG89),AG89&lt;=T89),AS89,0),IF(AND(NOT(AND(AO89=1,AN89&lt;&gt;1)),ISNUMBER(AH89),AH89&lt;=T89),AT89,0),IF(AND(NOT(AND(AO89=1,AN89&lt;&gt;1)),ISNUMBER(AI89),AI89&lt;=T89),AU89,0),IF(AND(ISNUMBER(AJ89),AJ89&lt;=T89),AV89,0))),"SC","Mag")))))))</f>
        <v/>
      </c>
    </row>
    <row r="90">
      <c r="A90" s="26" t="n">
        <v>85</v>
      </c>
      <c r="B90" s="27">
        <f>A90*10/60</f>
        <v/>
      </c>
      <c r="C90" s="22">
        <f>X89</f>
        <v/>
      </c>
      <c r="D90" s="27">
        <f>D89+W89</f>
        <v/>
      </c>
      <c r="E90" s="26">
        <f>E89+IF(U89="SW",1,0)</f>
        <v/>
      </c>
      <c r="F90" s="26">
        <f>F89+IF(U89="AB",1,0)</f>
        <v/>
      </c>
      <c r="G90" s="26">
        <f>G89+IF(U89="SC",1,0)</f>
        <v/>
      </c>
      <c r="H90" s="26">
        <f>H89+IF(U89="Mag",1,0)</f>
        <v/>
      </c>
      <c r="I90" s="26">
        <f>MAX(I89,IF(U89="OR",1,0))</f>
        <v/>
      </c>
      <c r="J90" s="26">
        <f>MAX(J89,IF(U89="HP",1,0))</f>
        <v/>
      </c>
      <c r="K90" s="26">
        <f>MAX(K89,IF(U89="FP",1,0))</f>
        <v/>
      </c>
      <c r="L90" s="26">
        <f>MAX(L89,IF(U89="transition",1,0))</f>
        <v/>
      </c>
      <c r="M90" s="28">
        <f>(Parameters!$B$9+(IF(E90=0,0,(Upgrades!$J$6+E90*Upgrades!$K$6)*POWER(Upgrades!$L$6,E90)))*(IF(Upgrades!$T$7="Solar Wind",POWER(Upgrades!$U$7,F90),1)*IF(Upgrades!$T$8="Solar Wind",POWER(Upgrades!$U$8,G90),1)*IF(Upgrades!$T$9="Solar Wind",POWER(Upgrades!$U$9,H90),1)*IF(Upgrades!$T$10="Solar Wind",POWER(Upgrades!$U$10,I90),1)*IF(Upgrades!$T$11="Solar Wind",POWER(Upgrades!$U$11,J90),1)*IF(Upgrades!$T$12="Solar Wind",POWER(Upgrades!$U$12,K90),1))+(IF(F90=0,0,(Upgrades!$J$7+F90*Upgrades!$K$7)*POWER(Upgrades!$L$7,F90)))*(IF(Upgrades!$T$6="Asteroid Belt",POWER(Upgrades!$U$6,E90),1)*IF(Upgrades!$T$8="Asteroid Belt",POWER(Upgrades!$U$8,G90),1)*IF(Upgrades!$T$9="Asteroid Belt",POWER(Upgrades!$U$9,H90),1)*IF(Upgrades!$T$10="Asteroid Belt",POWER(Upgrades!$U$10,I90),1)*IF(Upgrades!$T$11="Asteroid Belt",POWER(Upgrades!$U$11,J90),1)*IF(Upgrades!$T$12="Asteroid Belt",POWER(Upgrades!$U$12,K90),1))+(IF(G90=0,0,(Upgrades!$J$8+G90*Upgrades!$K$8)*POWER(Upgrades!$L$8,G90)))*(IF(Upgrades!$T$6="Stellar Coupling",POWER(Upgrades!$U$6,E90),1)*IF(Upgrades!$T$7="Stellar Coupling",POWER(Upgrades!$U$7,F90),1)*IF(Upgrades!$T$9="Stellar Coupling",POWER(Upgrades!$U$9,H90),1)*IF(Upgrades!$T$10="Stellar Coupling",POWER(Upgrades!$U$10,I90),1)*IF(Upgrades!$T$11="Stellar Coupling",POWER(Upgrades!$U$11,J90),1)*IF(Upgrades!$T$12="Stellar Coupling",POWER(Upgrades!$U$12,K90),1))+(IF(H90=0,0,(Upgrades!$J$9+H90*Upgrades!$K$9)*POWER(Upgrades!$L$9,H90)))*(IF(Upgrades!$T$6="Magnetosphere",POWER(Upgrades!$U$6,E90),1)*IF(Upgrades!$T$7="Magnetosphere",POWER(Upgrades!$U$7,F90),1)*IF(Upgrades!$T$8="Magnetosphere",POWER(Upgrades!$U$8,G90),1)*IF(Upgrades!$T$10="Magnetosphere",POWER(Upgrades!$U$10,I90),1)*IF(Upgrades!$T$11="Magnetosphere",POWER(Upgrades!$U$11,J90),1)*IF(Upgrades!$T$12="Magnetosphere",POWER(Upgrades!$U$12,K90),1))+(IF(I90=0,0,(Upgrades!$J$10+I90*Upgrades!$K$10)*POWER(Upgrades!$L$10,I90)))*(IF(Upgrades!$T$6="Orbital Resonance",POWER(Upgrades!$U$6,E90),1)*IF(Upgrades!$T$7="Orbital Resonance",POWER(Upgrades!$U$7,F90),1)*IF(Upgrades!$T$8="Orbital Resonance",POWER(Upgrades!$U$8,G90),1)*IF(Upgrades!$T$9="Orbital Resonance",POWER(Upgrades!$U$9,H90),1)*IF(Upgrades!$T$11="Orbital Resonance",POWER(Upgrades!$U$11,J90),1)*IF(Upgrades!$T$12="Orbital Resonance",POWER(Upgrades!$U$12,K90),1))+(IF(J90=0,0,(Upgrades!$J$11+J90*Upgrades!$K$11)*POWER(Upgrades!$L$11,J90)))*(IF(Upgrades!$T$6="Heliopause",POWER(Upgrades!$U$6,E90),1)*IF(Upgrades!$T$7="Heliopause",POWER(Upgrades!$U$7,F90),1)*IF(Upgrades!$T$8="Heliopause",POWER(Upgrades!$U$8,G90),1)*IF(Upgrades!$T$9="Heliopause",POWER(Upgrades!$U$9,H90),1)*IF(Upgrades!$T$10="Heliopause",POWER(Upgrades!$U$10,I90),1)*IF(Upgrades!$T$12="Heliopause",POWER(Upgrades!$U$12,K90),1))+(IF(K90=0,0,(Upgrades!$J$12+K90*Upgrades!$K$12)*POWER(Upgrades!$L$12,K90)))*(IF(Upgrades!$T$6="First Photons",POWER(Upgrades!$U$6,E90),1)*IF(Upgrades!$T$7="First Photons",POWER(Upgrades!$U$7,F90),1)*IF(Upgrades!$T$8="First Photons",POWER(Upgrades!$U$8,G90),1)*IF(Upgrades!$T$9="First Photons",POWER(Upgrades!$U$9,H90),1)*IF(Upgrades!$T$10="First Photons",POWER(Upgrades!$U$10,I90),1)*IF(Upgrades!$T$11="First Photons",POWER(Upgrades!$U$11,J90),1)))*POWER(Upgrades!$Q$6,E90)*POWER(Upgrades!$Q$7,F90)*POWER(Upgrades!$Q$8,G90)*POWER(Upgrades!$Q$9,H90)*POWER(Upgrades!$Q$10,I90)*POWER(Upgrades!$Q$11,J90)*POWER(Upgrades!$Q$12,K90)</f>
        <v/>
      </c>
      <c r="N90" s="28">
        <f>((IF(E90=0,0,(Upgrades!$G$6+E90*Upgrades!$H$6)*POWER(Upgrades!$I$6,E90)))*(IF(Upgrades!$T$7="Solar Wind",POWER(Upgrades!$U$7,F90),1)*IF(Upgrades!$T$8="Solar Wind",POWER(Upgrades!$U$8,G90),1)*IF(Upgrades!$T$9="Solar Wind",POWER(Upgrades!$U$9,H90),1)*IF(Upgrades!$T$10="Solar Wind",POWER(Upgrades!$U$10,I90),1)*IF(Upgrades!$T$11="Solar Wind",POWER(Upgrades!$U$11,J90),1)*IF(Upgrades!$T$12="Solar Wind",POWER(Upgrades!$U$12,K90),1))+(IF(F90=0,0,(Upgrades!$G$7+F90*Upgrades!$H$7)*POWER(Upgrades!$I$7,F90)))*(IF(Upgrades!$T$6="Asteroid Belt",POWER(Upgrades!$U$6,E90),1)*IF(Upgrades!$T$8="Asteroid Belt",POWER(Upgrades!$U$8,G90),1)*IF(Upgrades!$T$9="Asteroid Belt",POWER(Upgrades!$U$9,H90),1)*IF(Upgrades!$T$10="Asteroid Belt",POWER(Upgrades!$U$10,I90),1)*IF(Upgrades!$T$11="Asteroid Belt",POWER(Upgrades!$U$11,J90),1)*IF(Upgrades!$T$12="Asteroid Belt",POWER(Upgrades!$U$12,K90),1))+(IF(G90=0,0,(Upgrades!$G$8+G90*Upgrades!$H$8)*POWER(Upgrades!$I$8,G90)))*(IF(Upgrades!$T$6="Stellar Coupling",POWER(Upgrades!$U$6,E90),1)*IF(Upgrades!$T$7="Stellar Coupling",POWER(Upgrades!$U$7,F90),1)*IF(Upgrades!$T$9="Stellar Coupling",POWER(Upgrades!$U$9,H90),1)*IF(Upgrades!$T$10="Stellar Coupling",POWER(Upgrades!$U$10,I90),1)*IF(Upgrades!$T$11="Stellar Coupling",POWER(Upgrades!$U$11,J90),1)*IF(Upgrades!$T$12="Stellar Coupling",POWER(Upgrades!$U$12,K90),1))+(IF(H90=0,0,(Upgrades!$G$9+H90*Upgrades!$H$9)*POWER(Upgrades!$I$9,H90)))*(IF(Upgrades!$T$6="Magnetosphere",POWER(Upgrades!$U$6,E90),1)*IF(Upgrades!$T$7="Magnetosphere",POWER(Upgrades!$U$7,F90),1)*IF(Upgrades!$T$8="Magnetosphere",POWER(Upgrades!$U$8,G90),1)*IF(Upgrades!$T$10="Magnetosphere",POWER(Upgrades!$U$10,I90),1)*IF(Upgrades!$T$11="Magnetosphere",POWER(Upgrades!$U$11,J90),1)*IF(Upgrades!$T$12="Magnetosphere",POWER(Upgrades!$U$12,K90),1))+(IF(I90=0,0,(Upgrades!$G$10+I90*Upgrades!$H$10)*POWER(Upgrades!$I$10,I90)))*(IF(Upgrades!$T$6="Orbital Resonance",POWER(Upgrades!$U$6,E90),1)*IF(Upgrades!$T$7="Orbital Resonance",POWER(Upgrades!$U$7,F90),1)*IF(Upgrades!$T$8="Orbital Resonance",POWER(Upgrades!$U$8,G90),1)*IF(Upgrades!$T$9="Orbital Resonance",POWER(Upgrades!$U$9,H90),1)*IF(Upgrades!$T$11="Orbital Resonance",POWER(Upgrades!$U$11,J90),1)*IF(Upgrades!$T$12="Orbital Resonance",POWER(Upgrades!$U$12,K90),1))+(IF(J90=0,0,(Upgrades!$G$11+J90*Upgrades!$H$11)*POWER(Upgrades!$I$11,J90)))*(IF(Upgrades!$T$6="Heliopause",POWER(Upgrades!$U$6,E90),1)*IF(Upgrades!$T$7="Heliopause",POWER(Upgrades!$U$7,F90),1)*IF(Upgrades!$T$8="Heliopause",POWER(Upgrades!$U$8,G90),1)*IF(Upgrades!$T$9="Heliopause",POWER(Upgrades!$U$9,H90),1)*IF(Upgrades!$T$10="Heliopause",POWER(Upgrades!$U$10,I90),1)*IF(Upgrades!$T$12="Heliopause",POWER(Upgrades!$U$12,K90),1))+(IF(K90=0,0,(Upgrades!$G$12+K90*Upgrades!$H$12)*POWER(Upgrades!$I$12,K90)))*(IF(Upgrades!$T$6="First Photons",POWER(Upgrades!$U$6,E90),1)*IF(Upgrades!$T$7="First Photons",POWER(Upgrades!$U$7,F90),1)*IF(Upgrades!$T$8="First Photons",POWER(Upgrades!$U$8,G90),1)*IF(Upgrades!$T$9="First Photons",POWER(Upgrades!$U$9,H90),1)*IF(Upgrades!$T$10="First Photons",POWER(Upgrades!$U$10,I90),1)*IF(Upgrades!$T$11="First Photons",POWER(Upgrades!$U$11,J90),1)))*POWER(Upgrades!$P$6,E90)*POWER(Upgrades!$P$7,F90)*POWER(Upgrades!$P$8,G90)*POWER(Upgrades!$P$9,H90)*POWER(Upgrades!$P$10,I90)*POWER(Upgrades!$P$11,J90)*POWER(Upgrades!$P$12,K90)</f>
        <v/>
      </c>
      <c r="O90" s="28">
        <f>((IF(E90=0,0,(Upgrades!$M$6+E90*Upgrades!$N$6)*POWER(Upgrades!$O$6,E90)))*(IF(Upgrades!$T$7="Solar Wind",POWER(Upgrades!$U$7,F90),1)*IF(Upgrades!$T$8="Solar Wind",POWER(Upgrades!$U$8,G90),1)*IF(Upgrades!$T$9="Solar Wind",POWER(Upgrades!$U$9,H90),1)*IF(Upgrades!$T$10="Solar Wind",POWER(Upgrades!$U$10,I90),1)*IF(Upgrades!$T$11="Solar Wind",POWER(Upgrades!$U$11,J90),1)*IF(Upgrades!$T$12="Solar Wind",POWER(Upgrades!$U$12,K90),1))+(IF(F90=0,0,(Upgrades!$M$7+F90*Upgrades!$N$7)*POWER(Upgrades!$O$7,F90)))*(IF(Upgrades!$T$6="Asteroid Belt",POWER(Upgrades!$U$6,E90),1)*IF(Upgrades!$T$8="Asteroid Belt",POWER(Upgrades!$U$8,G90),1)*IF(Upgrades!$T$9="Asteroid Belt",POWER(Upgrades!$U$9,H90),1)*IF(Upgrades!$T$10="Asteroid Belt",POWER(Upgrades!$U$10,I90),1)*IF(Upgrades!$T$11="Asteroid Belt",POWER(Upgrades!$U$11,J90),1)*IF(Upgrades!$T$12="Asteroid Belt",POWER(Upgrades!$U$12,K90),1))+(IF(G90=0,0,(Upgrades!$M$8+G90*Upgrades!$N$8)*POWER(Upgrades!$O$8,G90)))*(IF(Upgrades!$T$6="Stellar Coupling",POWER(Upgrades!$U$6,E90),1)*IF(Upgrades!$T$7="Stellar Coupling",POWER(Upgrades!$U$7,F90),1)*IF(Upgrades!$T$9="Stellar Coupling",POWER(Upgrades!$U$9,H90),1)*IF(Upgrades!$T$10="Stellar Coupling",POWER(Upgrades!$U$10,I90),1)*IF(Upgrades!$T$11="Stellar Coupling",POWER(Upgrades!$U$11,J90),1)*IF(Upgrades!$T$12="Stellar Coupling",POWER(Upgrades!$U$12,K90),1))+(IF(H90=0,0,(Upgrades!$M$9+H90*Upgrades!$N$9)*POWER(Upgrades!$O$9,H90)))*(IF(Upgrades!$T$6="Magnetosphere",POWER(Upgrades!$U$6,E90),1)*IF(Upgrades!$T$7="Magnetosphere",POWER(Upgrades!$U$7,F90),1)*IF(Upgrades!$T$8="Magnetosphere",POWER(Upgrades!$U$8,G90),1)*IF(Upgrades!$T$10="Magnetosphere",POWER(Upgrades!$U$10,I90),1)*IF(Upgrades!$T$11="Magnetosphere",POWER(Upgrades!$U$11,J90),1)*IF(Upgrades!$T$12="Magnetosphere",POWER(Upgrades!$U$12,K90),1))+(IF(I90=0,0,(Upgrades!$M$10+I90*Upgrades!$N$10)*POWER(Upgrades!$O$10,I90)))*(IF(Upgrades!$T$6="Orbital Resonance",POWER(Upgrades!$U$6,E90),1)*IF(Upgrades!$T$7="Orbital Resonance",POWER(Upgrades!$U$7,F90),1)*IF(Upgrades!$T$8="Orbital Resonance",POWER(Upgrades!$U$8,G90),1)*IF(Upgrades!$T$9="Orbital Resonance",POWER(Upgrades!$U$9,H90),1)*IF(Upgrades!$T$11="Orbital Resonance",POWER(Upgrades!$U$11,J90),1)*IF(Upgrades!$T$12="Orbital Resonance",POWER(Upgrades!$U$12,K90),1))+(IF(J90=0,0,(Upgrades!$M$11+J90*Upgrades!$N$11)*POWER(Upgrades!$O$11,J90)))*(IF(Upgrades!$T$6="Heliopause",POWER(Upgrades!$U$6,E90),1)*IF(Upgrades!$T$7="Heliopause",POWER(Upgrades!$U$7,F90),1)*IF(Upgrades!$T$8="Heliopause",POWER(Upgrades!$U$8,G90),1)*IF(Upgrades!$T$9="Heliopause",POWER(Upgrades!$U$9,H90),1)*IF(Upgrades!$T$10="Heliopause",POWER(Upgrades!$U$10,I90),1)*IF(Upgrades!$T$12="Heliopause",POWER(Upgrades!$U$12,K90),1))+(IF(K90=0,0,(Upgrades!$M$12+K90*Upgrades!$N$12)*POWER(Upgrades!$O$12,K90)))*(IF(Upgrades!$T$6="First Photons",POWER(Upgrades!$U$6,E90),1)*IF(Upgrades!$T$7="First Photons",POWER(Upgrades!$U$7,F90),1)*IF(Upgrades!$T$8="First Photons",POWER(Upgrades!$U$8,G90),1)*IF(Upgrades!$T$9="First Photons",POWER(Upgrades!$U$9,H90),1)*IF(Upgrades!$T$10="First Photons",POWER(Upgrades!$U$10,I90),1)*IF(Upgrades!$T$11="First Photons",POWER(Upgrades!$U$11,J90),1)))*POWER(Upgrades!$R$6,E90)*POWER(Upgrades!$R$7,F90)*POWER(Upgrades!$R$8,G90)*POWER(Upgrades!$R$9,H90)*POWER(Upgrades!$R$10,I90)*POWER(Upgrades!$R$11,J90)*POWER(Upgrades!$R$12,K90)</f>
        <v/>
      </c>
      <c r="P90" s="27">
        <f>IF(L90=1,0,M90*Parameters!$B$10/60*Parameters!$B$11*10)</f>
        <v/>
      </c>
      <c r="Q90" s="27">
        <f>IF(L90=1,0,O90*M90*10)</f>
        <v/>
      </c>
      <c r="R90" s="27">
        <f>IF(L90=1,0,N90*10)</f>
        <v/>
      </c>
      <c r="S90" s="27">
        <f>P90+Q90+R90</f>
        <v/>
      </c>
      <c r="T90" s="22">
        <f>C90+S90</f>
        <v/>
      </c>
      <c r="U90" s="33">
        <f>AX90</f>
        <v/>
      </c>
      <c r="V90" s="22">
        <f>IF(U90="",0,IF(U90="transition",0,IF(U90="SW",AG90,IF(U90="AB",AH90,IF(U90="SC",AI90,IF(U90="Mag",AJ90,IF(U90="OR",AK90,IF(U90="HP",AL90,IF(U90="FP",AM90,0)))))))))</f>
        <v/>
      </c>
      <c r="W90" s="27">
        <f>IF(U90="OR",Upgrades!$F$10,IF(U90="HP",Upgrades!$F$11,IF(U90="transition",-Parameters!$B$18,0)))</f>
        <v/>
      </c>
      <c r="X90" s="22">
        <f>T90-V90</f>
        <v/>
      </c>
      <c r="Y90" s="30">
        <f>M90*Parameters!$B$10/60*Parameters!$B$11+O90*M90+N90</f>
        <v/>
      </c>
      <c r="Z90" s="34">
        <f>IF(U90="transition","→ Tier 2 (Stellar Neighborhood)",IF(U90="FP","First Photons — light begins, system quickens",IF(U90="HP","Heliopause acquired",IF(U90="OR","Orbital Resonance — passive multiplier active",IF(AND(AO90=1,L90=0,AN90&lt;&gt;1),"Cohesion ready (waiting on completionist upgrades)","")))))</f>
        <v/>
      </c>
      <c r="AA90" s="27">
        <f>(IF(E90=0,0,(Upgrades!$G$6+E90*Upgrades!$H$6)*POWER(Upgrades!$I$6,E90)))*(IF(Upgrades!$T$7="Solar Wind",POWER(Upgrades!$U$7,F90),1)*IF(Upgrades!$T$8="Solar Wind",POWER(Upgrades!$U$8,G90),1)*IF(Upgrades!$T$9="Solar Wind",POWER(Upgrades!$U$9,H90),1)*IF(Upgrades!$T$10="Solar Wind",POWER(Upgrades!$U$10,I90),1)*IF(Upgrades!$T$11="Solar Wind",POWER(Upgrades!$U$11,J90),1)*IF(Upgrades!$T$12="Solar Wind",POWER(Upgrades!$U$12,K90),1))*POWER(Upgrades!$P$6,E90)*POWER(Upgrades!$P$7,F90)*POWER(Upgrades!$P$8,G90)*POWER(Upgrades!$P$9,H90)*POWER(Upgrades!$P$10,I90)*POWER(Upgrades!$P$11,J90)*POWER(Upgrades!$P$12,K90)*60</f>
        <v/>
      </c>
      <c r="AB90" s="27">
        <f>(IF(F90=0,0,(Upgrades!$G$7+F90*Upgrades!$H$7)*POWER(Upgrades!$I$7,F90)))*(IF(Upgrades!$T$6="Asteroid Belt",POWER(Upgrades!$U$6,E90),1)*IF(Upgrades!$T$8="Asteroid Belt",POWER(Upgrades!$U$8,G90),1)*IF(Upgrades!$T$9="Asteroid Belt",POWER(Upgrades!$U$9,H90),1)*IF(Upgrades!$T$10="Asteroid Belt",POWER(Upgrades!$U$10,I90),1)*IF(Upgrades!$T$11="Asteroid Belt",POWER(Upgrades!$U$11,J90),1)*IF(Upgrades!$T$12="Asteroid Belt",POWER(Upgrades!$U$12,K90),1))*POWER(Upgrades!$P$6,E90)*POWER(Upgrades!$P$7,F90)*POWER(Upgrades!$P$8,G90)*POWER(Upgrades!$P$9,H90)*POWER(Upgrades!$P$10,I90)*POWER(Upgrades!$P$11,J90)*POWER(Upgrades!$P$12,K90)*60</f>
        <v/>
      </c>
      <c r="AC90" s="27">
        <f>(IF(G90=0,0,(Upgrades!$J$8+G90*Upgrades!$K$8)*POWER(Upgrades!$L$8,G90)))*(IF(Upgrades!$T$6="Stellar Coupling",POWER(Upgrades!$U$6,E90),1)*IF(Upgrades!$T$7="Stellar Coupling",POWER(Upgrades!$U$7,F90),1)*IF(Upgrades!$T$9="Stellar Coupling",POWER(Upgrades!$U$9,H90),1)*IF(Upgrades!$T$10="Stellar Coupling",POWER(Upgrades!$U$10,I90),1)*IF(Upgrades!$T$11="Stellar Coupling",POWER(Upgrades!$U$11,J90),1)*IF(Upgrades!$T$12="Stellar Coupling",POWER(Upgrades!$U$12,K90),1))*POWER(Upgrades!$Q$6,E90)*POWER(Upgrades!$Q$7,F90)*POWER(Upgrades!$Q$8,G90)*POWER(Upgrades!$Q$9,H90)*POWER(Upgrades!$Q$10,I90)*POWER(Upgrades!$Q$11,J90)*POWER(Upgrades!$Q$12,K90)*Parameters!$B$10*Parameters!$B$11</f>
        <v/>
      </c>
      <c r="AD90" s="27">
        <f>(IF(H90=0,0,(Upgrades!$G$9+H90*Upgrades!$H$9)*POWER(Upgrades!$I$9,H90)))*(IF(Upgrades!$T$6="Magnetosphere",POWER(Upgrades!$U$6,E90),1)*IF(Upgrades!$T$7="Magnetosphere",POWER(Upgrades!$U$7,F90),1)*IF(Upgrades!$T$8="Magnetosphere",POWER(Upgrades!$U$8,G90),1)*IF(Upgrades!$T$10="Magnetosphere",POWER(Upgrades!$U$10,I90),1)*IF(Upgrades!$T$11="Magnetosphere",POWER(Upgrades!$U$11,J90),1)*IF(Upgrades!$T$12="Magnetosphere",POWER(Upgrades!$U$12,K90),1))*POWER(Upgrades!$P$6,E90)*POWER(Upgrades!$P$7,F90)*POWER(Upgrades!$P$8,G90)*POWER(Upgrades!$P$9,H90)*POWER(Upgrades!$P$10,I90)*POWER(Upgrades!$P$11,J90)*POWER(Upgrades!$P$12,K90)*60</f>
        <v/>
      </c>
      <c r="AE90" s="27">
        <f>(IF(K90=0,0,(Upgrades!$G$12+K90*Upgrades!$H$12)*POWER(Upgrades!$I$12,K90)))*(IF(Upgrades!$T$6="First Photons",POWER(Upgrades!$U$6,E90),1)*IF(Upgrades!$T$7="First Photons",POWER(Upgrades!$U$7,F90),1)*IF(Upgrades!$T$8="First Photons",POWER(Upgrades!$U$8,G90),1)*IF(Upgrades!$T$9="First Photons",POWER(Upgrades!$U$9,H90),1)*IF(Upgrades!$T$10="First Photons",POWER(Upgrades!$U$10,I90),1)*IF(Upgrades!$T$11="First Photons",POWER(Upgrades!$U$11,J90),1))*POWER(Upgrades!$P$6,E90)*POWER(Upgrades!$P$7,F90)*POWER(Upgrades!$P$8,G90)*POWER(Upgrades!$P$9,H90)*POWER(Upgrades!$P$10,I90)*POWER(Upgrades!$P$11,J90)*POWER(Upgrades!$P$12,K90)*60</f>
        <v/>
      </c>
      <c r="AF90" s="27">
        <f>Parameters!$B$9*POWER(Upgrades!$Q$6,E90)*POWER(Upgrades!$Q$7,F90)*POWER(Upgrades!$Q$8,G90)*POWER(Upgrades!$Q$9,H90)*POWER(Upgrades!$Q$10,I90)*POWER(Upgrades!$Q$11,J90)*POWER(Upgrades!$Q$12,K90)*(Parameters!$B$10*Parameters!$B$11+O90*60)</f>
        <v/>
      </c>
      <c r="AG90" s="22">
        <f>IF(E90&gt;=Upgrades!$E$6,"",Upgrades!$C$6*POWER(Upgrades!$D$6,E90))</f>
        <v/>
      </c>
      <c r="AH90" s="22">
        <f>IF(F90&gt;=Upgrades!$E$7,"",Upgrades!$C$7*POWER(Upgrades!$D$7,F90))</f>
        <v/>
      </c>
      <c r="AI90" s="22">
        <f>IF(G90&gt;=Upgrades!$E$8,"",Upgrades!$C$8*POWER(Upgrades!$D$8,G90))</f>
        <v/>
      </c>
      <c r="AJ90" s="22">
        <f>IF(H90&gt;=Upgrades!$E$9,"",Upgrades!$C$9*POWER(Upgrades!$D$9,H90))</f>
        <v/>
      </c>
      <c r="AK90" s="22">
        <f>IF(I90&gt;=Upgrades!$E$10,"",Upgrades!$C$10*POWER(Upgrades!$D$10,I90))</f>
        <v/>
      </c>
      <c r="AL90" s="22">
        <f>IF(J90&gt;=Upgrades!$E$11,"",Upgrades!$C$11*POWER(Upgrades!$D$11,J90))</f>
        <v/>
      </c>
      <c r="AM90" s="22">
        <f>IF(K90&gt;=Upgrades!$E$12,"",Upgrades!$C$12*POWER(Upgrades!$D$12,K90))</f>
        <v/>
      </c>
      <c r="AN90" s="26">
        <f>IF(AND(D90&gt;=Parameters!$B$18,(H90&gt;=Upgrades!$E$9)*(K90&gt;=Upgrades!$E$12)=1,L90=0),1,"")</f>
        <v/>
      </c>
      <c r="AO90" s="26">
        <f>IF(AND(D90&gt;=Parameters!$B$18,L90=0),1,"")</f>
        <v/>
      </c>
      <c r="AP90" s="22">
        <f>MIN(IF(ISNUMBER(AK90),AK90,9E15),IF(ISNUMBER(AL90),AL90,9E15),IF(ISNUMBER(AM90),AM90,9E15))</f>
        <v/>
      </c>
      <c r="AQ90" s="22">
        <f>MIN(IF(ISNUMBER(AG90),AG90,9E15),IF(ISNUMBER(AH90),AH90,9E15),IF(ISNUMBER(AI90),AI90,9E15),IF(ISNUMBER(AJ90),AJ90,9E15))</f>
        <v/>
      </c>
      <c r="AR90" s="29">
        <f>IF(AW90&gt;Parameters!$B$21*(MAX(IF(AND(NOT(AND(AO90=1,AN90&lt;&gt;1)),ISNUMBER(AG90),AG90&lt;=T90),AS90,0),IF(AND(NOT(AND(AO90=1,AN90&lt;&gt;1)),ISNUMBER(AH90),AH90&lt;=T90),AT90,0),IF(AND(NOT(AND(AO90=1,AN90&lt;&gt;1)),ISNUMBER(AI90),AI90&lt;=T90),AU90,0),IF(AND(ISNUMBER(AJ90),AJ90&lt;=T90),AV90,0))),TRUE,FALSE)</f>
        <v/>
      </c>
      <c r="AS90" s="32">
        <f>IFERROR(Upgrades!$H$6*(POWER(Upgrades!$P$6,E90)*POWER(Upgrades!$P$7,F90)*POWER(Upgrades!$P$8,G90)*POWER(Upgrades!$P$9,H90)*POWER(Upgrades!$P$10,I90)*POWER(Upgrades!$P$11,J90)*POWER(Upgrades!$P$12,K90))*(IF(Upgrades!$T$7="Solar Wind",POWER(Upgrades!$U$7,F90),1)*IF(Upgrades!$T$8="Solar Wind",POWER(Upgrades!$U$8,G90),1)*IF(Upgrades!$T$9="Solar Wind",POWER(Upgrades!$U$9,H90),1)*IF(Upgrades!$T$10="Solar Wind",POWER(Upgrades!$U$10,I90),1)*IF(Upgrades!$T$11="Solar Wind",POWER(Upgrades!$U$11,J90),1)*IF(Upgrades!$T$12="Solar Wind",POWER(Upgrades!$U$12,K90),1))/AG90,0)</f>
        <v/>
      </c>
      <c r="AT90" s="32">
        <f>IFERROR(Upgrades!$H$7*(POWER(Upgrades!$P$6,E90)*POWER(Upgrades!$P$7,F90)*POWER(Upgrades!$P$8,G90)*POWER(Upgrades!$P$9,H90)*POWER(Upgrades!$P$10,I90)*POWER(Upgrades!$P$11,J90)*POWER(Upgrades!$P$12,K90))*(IF(Upgrades!$T$6="Asteroid Belt",POWER(Upgrades!$U$6,E90),1)*IF(Upgrades!$T$8="Asteroid Belt",POWER(Upgrades!$U$8,G90),1)*IF(Upgrades!$T$9="Asteroid Belt",POWER(Upgrades!$U$9,H90),1)*IF(Upgrades!$T$10="Asteroid Belt",POWER(Upgrades!$U$10,I90),1)*IF(Upgrades!$T$11="Asteroid Belt",POWER(Upgrades!$U$11,J90),1)*IF(Upgrades!$T$12="Asteroid Belt",POWER(Upgrades!$U$12,K90),1))/AH90,0)</f>
        <v/>
      </c>
      <c r="AU90" s="32">
        <f>IFERROR(Upgrades!$K$8*(POWER(Upgrades!$Q$6,E90)*POWER(Upgrades!$Q$7,F90)*POWER(Upgrades!$Q$8,G90)*POWER(Upgrades!$Q$9,H90)*POWER(Upgrades!$Q$10,I90)*POWER(Upgrades!$Q$11,J90)*POWER(Upgrades!$Q$12,K90))*(IF(Upgrades!$T$6="Stellar Coupling",POWER(Upgrades!$U$6,E90),1)*IF(Upgrades!$T$7="Stellar Coupling",POWER(Upgrades!$U$7,F90),1)*IF(Upgrades!$T$9="Stellar Coupling",POWER(Upgrades!$U$9,H90),1)*IF(Upgrades!$T$10="Stellar Coupling",POWER(Upgrades!$U$10,I90),1)*IF(Upgrades!$T$11="Stellar Coupling",POWER(Upgrades!$U$11,J90),1)*IF(Upgrades!$T$12="Stellar Coupling",POWER(Upgrades!$U$12,K90),1))*Parameters!$B$10*Parameters!$B$11/60/AI90,0)</f>
        <v/>
      </c>
      <c r="AV90" s="32">
        <f>IFERROR(Upgrades!$H$9*(POWER(Upgrades!$P$6,E90)*POWER(Upgrades!$P$7,F90)*POWER(Upgrades!$P$8,G90)*POWER(Upgrades!$P$9,H90)*POWER(Upgrades!$P$10,I90)*POWER(Upgrades!$P$11,J90)*POWER(Upgrades!$P$12,K90))*(IF(Upgrades!$T$6="Magnetosphere",POWER(Upgrades!$U$6,E90),1)*IF(Upgrades!$T$7="Magnetosphere",POWER(Upgrades!$U$7,F90),1)*IF(Upgrades!$T$8="Magnetosphere",POWER(Upgrades!$U$8,G90),1)*IF(Upgrades!$T$10="Magnetosphere",POWER(Upgrades!$U$10,I90),1)*IF(Upgrades!$T$11="Magnetosphere",POWER(Upgrades!$U$11,J90),1)*IF(Upgrades!$T$12="Magnetosphere",POWER(Upgrades!$U$12,K90),1))/AJ90,0)</f>
        <v/>
      </c>
      <c r="AW90" s="32">
        <f>MAX(IF(I90&gt;0,0,IFERROR(0.25*N90/Upgrades!$C$10,0)),IF(J90&gt;0,0,IFERROR(0.5*((IF(G90=0,0,(Upgrades!$J$8+G90*Upgrades!$K$8)*POWER(Upgrades!$L$8,G90)))*(IF(Upgrades!$T$6="Stellar Coupling",POWER(Upgrades!$U$6,E90),1)*IF(Upgrades!$T$7="Stellar Coupling",POWER(Upgrades!$U$7,F90),1)*IF(Upgrades!$T$9="Stellar Coupling",POWER(Upgrades!$U$9,H90),1)*IF(Upgrades!$T$10="Stellar Coupling",POWER(Upgrades!$U$10,I90),1)*IF(Upgrades!$T$11="Stellar Coupling",POWER(Upgrades!$U$11,J90),1)*IF(Upgrades!$T$12="Stellar Coupling",POWER(Upgrades!$U$12,K90),1))*(POWER(Upgrades!$Q$6,E90)*POWER(Upgrades!$Q$7,F90)*POWER(Upgrades!$Q$8,G90)*POWER(Upgrades!$Q$9,H90)*POWER(Upgrades!$Q$10,I90)*POWER(Upgrades!$Q$11,J90)*POWER(Upgrades!$Q$12,K90))*Parameters!$B$10*Parameters!$B$11/60)/Upgrades!$C$11,0)),IF(K90&gt;0,0,IFERROR((1.0*(POWER(Upgrades!$P$6,E90)*POWER(Upgrades!$P$7,F90)*POWER(Upgrades!$P$8,G90)*POWER(Upgrades!$P$9,H90)*POWER(Upgrades!$P$10,I90)*POWER(Upgrades!$P$11,J90)*POWER(Upgrades!$P$12,K90))+0.20*M90*Parameters!$B$10*Parameters!$B$11/60)/Upgrades!$C$12,0)),IF(AND(ISNUMBER(AG90),AG90&gt;T90),AS90,0),IF(AND(ISNUMBER(AH90),AH90&gt;T90),AT90,0),IF(AND(ISNUMBER(AI90),AI90&gt;T90),AU90,0),IF(AND(ISNUMBER(AJ90),AJ90&gt;T90),AV90,0))</f>
        <v/>
      </c>
      <c r="AX90" s="29">
        <f>IF(AN90=1,"transition",IF(MIN(IF(AND(I90=0,ISNUMBER(AK90),AK90&lt;=T90),AK90,9E15),IF(AND(J90=0,ISNUMBER(AL90),AL90&lt;=T90),AL90,9E15),IF(AND(K90=0,ISNUMBER(AM90),AM90&lt;=T90),AM90,9E15))&lt;9E15,IF(AND(AND(I90=0,ISNUMBER(AK90),AK90&lt;=T90),AK90=MIN(IF(AND(I90=0,ISNUMBER(AK90),AK90&lt;=T90),AK90,9E15),IF(AND(J90=0,ISNUMBER(AL90),AL90&lt;=T90),AL90,9E15),IF(AND(K90=0,ISNUMBER(AM90),AM90&lt;=T90),AM90,9E15))),"OR",IF(AND(AND(J90=0,ISNUMBER(AL90),AL90&lt;=T90),AL90=MIN(IF(AND(I90=0,ISNUMBER(AK90),AK90&lt;=T90),AK90,9E15),IF(AND(J90=0,ISNUMBER(AL90),AL90&lt;=T90),AL90,9E15),IF(AND(K90=0,ISNUMBER(AM90),AM90&lt;=T90),AM90,9E15))),"HP","FP")),IF(AR90=TRUE,"",IF(MAX(IF(AND(NOT(AND(AO90=1,AN90&lt;&gt;1)),ISNUMBER(AG90),AG90&lt;=T90),AS90,0),IF(AND(NOT(AND(AO90=1,AN90&lt;&gt;1)),ISNUMBER(AH90),AH90&lt;=T90),AT90,0),IF(AND(NOT(AND(AO90=1,AN90&lt;&gt;1)),ISNUMBER(AI90),AI90&lt;=T90),AU90,0),IF(AND(ISNUMBER(AJ90),AJ90&lt;=T90),AV90,0))&lt;=0,"",IF(AND(IF(AND(NOT(AND(AO90=1,AN90&lt;&gt;1)),ISNUMBER(AG90),AG90&lt;=T90),AS90,0)&gt;0,IF(AND(NOT(AND(AO90=1,AN90&lt;&gt;1)),ISNUMBER(AG90),AG90&lt;=T90),AS90,0)=MAX(IF(AND(NOT(AND(AO90=1,AN90&lt;&gt;1)),ISNUMBER(AG90),AG90&lt;=T90),AS90,0),IF(AND(NOT(AND(AO90=1,AN90&lt;&gt;1)),ISNUMBER(AH90),AH90&lt;=T90),AT90,0),IF(AND(NOT(AND(AO90=1,AN90&lt;&gt;1)),ISNUMBER(AI90),AI90&lt;=T90),AU90,0),IF(AND(ISNUMBER(AJ90),AJ90&lt;=T90),AV90,0))),"SW",IF(AND(IF(AND(NOT(AND(AO90=1,AN90&lt;&gt;1)),ISNUMBER(AH90),AH90&lt;=T90),AT90,0)&gt;0,IF(AND(NOT(AND(AO90=1,AN90&lt;&gt;1)),ISNUMBER(AH90),AH90&lt;=T90),AT90,0)=MAX(IF(AND(NOT(AND(AO90=1,AN90&lt;&gt;1)),ISNUMBER(AG90),AG90&lt;=T90),AS90,0),IF(AND(NOT(AND(AO90=1,AN90&lt;&gt;1)),ISNUMBER(AH90),AH90&lt;=T90),AT90,0),IF(AND(NOT(AND(AO90=1,AN90&lt;&gt;1)),ISNUMBER(AI90),AI90&lt;=T90),AU90,0),IF(AND(ISNUMBER(AJ90),AJ90&lt;=T90),AV90,0))),"AB",IF(AND(IF(AND(NOT(AND(AO90=1,AN90&lt;&gt;1)),ISNUMBER(AI90),AI90&lt;=T90),AU90,0)&gt;0,IF(AND(NOT(AND(AO90=1,AN90&lt;&gt;1)),ISNUMBER(AI90),AI90&lt;=T90),AU90,0)=MAX(IF(AND(NOT(AND(AO90=1,AN90&lt;&gt;1)),ISNUMBER(AG90),AG90&lt;=T90),AS90,0),IF(AND(NOT(AND(AO90=1,AN90&lt;&gt;1)),ISNUMBER(AH90),AH90&lt;=T90),AT90,0),IF(AND(NOT(AND(AO90=1,AN90&lt;&gt;1)),ISNUMBER(AI90),AI90&lt;=T90),AU90,0),IF(AND(ISNUMBER(AJ90),AJ90&lt;=T90),AV90,0))),"SC","Mag")))))))</f>
        <v/>
      </c>
    </row>
    <row r="91">
      <c r="A91" s="26" t="n">
        <v>86</v>
      </c>
      <c r="B91" s="27">
        <f>A91*10/60</f>
        <v/>
      </c>
      <c r="C91" s="22">
        <f>X90</f>
        <v/>
      </c>
      <c r="D91" s="27">
        <f>D90+W90</f>
        <v/>
      </c>
      <c r="E91" s="26">
        <f>E90+IF(U90="SW",1,0)</f>
        <v/>
      </c>
      <c r="F91" s="26">
        <f>F90+IF(U90="AB",1,0)</f>
        <v/>
      </c>
      <c r="G91" s="26">
        <f>G90+IF(U90="SC",1,0)</f>
        <v/>
      </c>
      <c r="H91" s="26">
        <f>H90+IF(U90="Mag",1,0)</f>
        <v/>
      </c>
      <c r="I91" s="26">
        <f>MAX(I90,IF(U90="OR",1,0))</f>
        <v/>
      </c>
      <c r="J91" s="26">
        <f>MAX(J90,IF(U90="HP",1,0))</f>
        <v/>
      </c>
      <c r="K91" s="26">
        <f>MAX(K90,IF(U90="FP",1,0))</f>
        <v/>
      </c>
      <c r="L91" s="26">
        <f>MAX(L90,IF(U90="transition",1,0))</f>
        <v/>
      </c>
      <c r="M91" s="28">
        <f>(Parameters!$B$9+(IF(E91=0,0,(Upgrades!$J$6+E91*Upgrades!$K$6)*POWER(Upgrades!$L$6,E91)))*(IF(Upgrades!$T$7="Solar Wind",POWER(Upgrades!$U$7,F91),1)*IF(Upgrades!$T$8="Solar Wind",POWER(Upgrades!$U$8,G91),1)*IF(Upgrades!$T$9="Solar Wind",POWER(Upgrades!$U$9,H91),1)*IF(Upgrades!$T$10="Solar Wind",POWER(Upgrades!$U$10,I91),1)*IF(Upgrades!$T$11="Solar Wind",POWER(Upgrades!$U$11,J91),1)*IF(Upgrades!$T$12="Solar Wind",POWER(Upgrades!$U$12,K91),1))+(IF(F91=0,0,(Upgrades!$J$7+F91*Upgrades!$K$7)*POWER(Upgrades!$L$7,F91)))*(IF(Upgrades!$T$6="Asteroid Belt",POWER(Upgrades!$U$6,E91),1)*IF(Upgrades!$T$8="Asteroid Belt",POWER(Upgrades!$U$8,G91),1)*IF(Upgrades!$T$9="Asteroid Belt",POWER(Upgrades!$U$9,H91),1)*IF(Upgrades!$T$10="Asteroid Belt",POWER(Upgrades!$U$10,I91),1)*IF(Upgrades!$T$11="Asteroid Belt",POWER(Upgrades!$U$11,J91),1)*IF(Upgrades!$T$12="Asteroid Belt",POWER(Upgrades!$U$12,K91),1))+(IF(G91=0,0,(Upgrades!$J$8+G91*Upgrades!$K$8)*POWER(Upgrades!$L$8,G91)))*(IF(Upgrades!$T$6="Stellar Coupling",POWER(Upgrades!$U$6,E91),1)*IF(Upgrades!$T$7="Stellar Coupling",POWER(Upgrades!$U$7,F91),1)*IF(Upgrades!$T$9="Stellar Coupling",POWER(Upgrades!$U$9,H91),1)*IF(Upgrades!$T$10="Stellar Coupling",POWER(Upgrades!$U$10,I91),1)*IF(Upgrades!$T$11="Stellar Coupling",POWER(Upgrades!$U$11,J91),1)*IF(Upgrades!$T$12="Stellar Coupling",POWER(Upgrades!$U$12,K91),1))+(IF(H91=0,0,(Upgrades!$J$9+H91*Upgrades!$K$9)*POWER(Upgrades!$L$9,H91)))*(IF(Upgrades!$T$6="Magnetosphere",POWER(Upgrades!$U$6,E91),1)*IF(Upgrades!$T$7="Magnetosphere",POWER(Upgrades!$U$7,F91),1)*IF(Upgrades!$T$8="Magnetosphere",POWER(Upgrades!$U$8,G91),1)*IF(Upgrades!$T$10="Magnetosphere",POWER(Upgrades!$U$10,I91),1)*IF(Upgrades!$T$11="Magnetosphere",POWER(Upgrades!$U$11,J91),1)*IF(Upgrades!$T$12="Magnetosphere",POWER(Upgrades!$U$12,K91),1))+(IF(I91=0,0,(Upgrades!$J$10+I91*Upgrades!$K$10)*POWER(Upgrades!$L$10,I91)))*(IF(Upgrades!$T$6="Orbital Resonance",POWER(Upgrades!$U$6,E91),1)*IF(Upgrades!$T$7="Orbital Resonance",POWER(Upgrades!$U$7,F91),1)*IF(Upgrades!$T$8="Orbital Resonance",POWER(Upgrades!$U$8,G91),1)*IF(Upgrades!$T$9="Orbital Resonance",POWER(Upgrades!$U$9,H91),1)*IF(Upgrades!$T$11="Orbital Resonance",POWER(Upgrades!$U$11,J91),1)*IF(Upgrades!$T$12="Orbital Resonance",POWER(Upgrades!$U$12,K91),1))+(IF(J91=0,0,(Upgrades!$J$11+J91*Upgrades!$K$11)*POWER(Upgrades!$L$11,J91)))*(IF(Upgrades!$T$6="Heliopause",POWER(Upgrades!$U$6,E91),1)*IF(Upgrades!$T$7="Heliopause",POWER(Upgrades!$U$7,F91),1)*IF(Upgrades!$T$8="Heliopause",POWER(Upgrades!$U$8,G91),1)*IF(Upgrades!$T$9="Heliopause",POWER(Upgrades!$U$9,H91),1)*IF(Upgrades!$T$10="Heliopause",POWER(Upgrades!$U$10,I91),1)*IF(Upgrades!$T$12="Heliopause",POWER(Upgrades!$U$12,K91),1))+(IF(K91=0,0,(Upgrades!$J$12+K91*Upgrades!$K$12)*POWER(Upgrades!$L$12,K91)))*(IF(Upgrades!$T$6="First Photons",POWER(Upgrades!$U$6,E91),1)*IF(Upgrades!$T$7="First Photons",POWER(Upgrades!$U$7,F91),1)*IF(Upgrades!$T$8="First Photons",POWER(Upgrades!$U$8,G91),1)*IF(Upgrades!$T$9="First Photons",POWER(Upgrades!$U$9,H91),1)*IF(Upgrades!$T$10="First Photons",POWER(Upgrades!$U$10,I91),1)*IF(Upgrades!$T$11="First Photons",POWER(Upgrades!$U$11,J91),1)))*POWER(Upgrades!$Q$6,E91)*POWER(Upgrades!$Q$7,F91)*POWER(Upgrades!$Q$8,G91)*POWER(Upgrades!$Q$9,H91)*POWER(Upgrades!$Q$10,I91)*POWER(Upgrades!$Q$11,J91)*POWER(Upgrades!$Q$12,K91)</f>
        <v/>
      </c>
      <c r="N91" s="28">
        <f>((IF(E91=0,0,(Upgrades!$G$6+E91*Upgrades!$H$6)*POWER(Upgrades!$I$6,E91)))*(IF(Upgrades!$T$7="Solar Wind",POWER(Upgrades!$U$7,F91),1)*IF(Upgrades!$T$8="Solar Wind",POWER(Upgrades!$U$8,G91),1)*IF(Upgrades!$T$9="Solar Wind",POWER(Upgrades!$U$9,H91),1)*IF(Upgrades!$T$10="Solar Wind",POWER(Upgrades!$U$10,I91),1)*IF(Upgrades!$T$11="Solar Wind",POWER(Upgrades!$U$11,J91),1)*IF(Upgrades!$T$12="Solar Wind",POWER(Upgrades!$U$12,K91),1))+(IF(F91=0,0,(Upgrades!$G$7+F91*Upgrades!$H$7)*POWER(Upgrades!$I$7,F91)))*(IF(Upgrades!$T$6="Asteroid Belt",POWER(Upgrades!$U$6,E91),1)*IF(Upgrades!$T$8="Asteroid Belt",POWER(Upgrades!$U$8,G91),1)*IF(Upgrades!$T$9="Asteroid Belt",POWER(Upgrades!$U$9,H91),1)*IF(Upgrades!$T$10="Asteroid Belt",POWER(Upgrades!$U$10,I91),1)*IF(Upgrades!$T$11="Asteroid Belt",POWER(Upgrades!$U$11,J91),1)*IF(Upgrades!$T$12="Asteroid Belt",POWER(Upgrades!$U$12,K91),1))+(IF(G91=0,0,(Upgrades!$G$8+G91*Upgrades!$H$8)*POWER(Upgrades!$I$8,G91)))*(IF(Upgrades!$T$6="Stellar Coupling",POWER(Upgrades!$U$6,E91),1)*IF(Upgrades!$T$7="Stellar Coupling",POWER(Upgrades!$U$7,F91),1)*IF(Upgrades!$T$9="Stellar Coupling",POWER(Upgrades!$U$9,H91),1)*IF(Upgrades!$T$10="Stellar Coupling",POWER(Upgrades!$U$10,I91),1)*IF(Upgrades!$T$11="Stellar Coupling",POWER(Upgrades!$U$11,J91),1)*IF(Upgrades!$T$12="Stellar Coupling",POWER(Upgrades!$U$12,K91),1))+(IF(H91=0,0,(Upgrades!$G$9+H91*Upgrades!$H$9)*POWER(Upgrades!$I$9,H91)))*(IF(Upgrades!$T$6="Magnetosphere",POWER(Upgrades!$U$6,E91),1)*IF(Upgrades!$T$7="Magnetosphere",POWER(Upgrades!$U$7,F91),1)*IF(Upgrades!$T$8="Magnetosphere",POWER(Upgrades!$U$8,G91),1)*IF(Upgrades!$T$10="Magnetosphere",POWER(Upgrades!$U$10,I91),1)*IF(Upgrades!$T$11="Magnetosphere",POWER(Upgrades!$U$11,J91),1)*IF(Upgrades!$T$12="Magnetosphere",POWER(Upgrades!$U$12,K91),1))+(IF(I91=0,0,(Upgrades!$G$10+I91*Upgrades!$H$10)*POWER(Upgrades!$I$10,I91)))*(IF(Upgrades!$T$6="Orbital Resonance",POWER(Upgrades!$U$6,E91),1)*IF(Upgrades!$T$7="Orbital Resonance",POWER(Upgrades!$U$7,F91),1)*IF(Upgrades!$T$8="Orbital Resonance",POWER(Upgrades!$U$8,G91),1)*IF(Upgrades!$T$9="Orbital Resonance",POWER(Upgrades!$U$9,H91),1)*IF(Upgrades!$T$11="Orbital Resonance",POWER(Upgrades!$U$11,J91),1)*IF(Upgrades!$T$12="Orbital Resonance",POWER(Upgrades!$U$12,K91),1))+(IF(J91=0,0,(Upgrades!$G$11+J91*Upgrades!$H$11)*POWER(Upgrades!$I$11,J91)))*(IF(Upgrades!$T$6="Heliopause",POWER(Upgrades!$U$6,E91),1)*IF(Upgrades!$T$7="Heliopause",POWER(Upgrades!$U$7,F91),1)*IF(Upgrades!$T$8="Heliopause",POWER(Upgrades!$U$8,G91),1)*IF(Upgrades!$T$9="Heliopause",POWER(Upgrades!$U$9,H91),1)*IF(Upgrades!$T$10="Heliopause",POWER(Upgrades!$U$10,I91),1)*IF(Upgrades!$T$12="Heliopause",POWER(Upgrades!$U$12,K91),1))+(IF(K91=0,0,(Upgrades!$G$12+K91*Upgrades!$H$12)*POWER(Upgrades!$I$12,K91)))*(IF(Upgrades!$T$6="First Photons",POWER(Upgrades!$U$6,E91),1)*IF(Upgrades!$T$7="First Photons",POWER(Upgrades!$U$7,F91),1)*IF(Upgrades!$T$8="First Photons",POWER(Upgrades!$U$8,G91),1)*IF(Upgrades!$T$9="First Photons",POWER(Upgrades!$U$9,H91),1)*IF(Upgrades!$T$10="First Photons",POWER(Upgrades!$U$10,I91),1)*IF(Upgrades!$T$11="First Photons",POWER(Upgrades!$U$11,J91),1)))*POWER(Upgrades!$P$6,E91)*POWER(Upgrades!$P$7,F91)*POWER(Upgrades!$P$8,G91)*POWER(Upgrades!$P$9,H91)*POWER(Upgrades!$P$10,I91)*POWER(Upgrades!$P$11,J91)*POWER(Upgrades!$P$12,K91)</f>
        <v/>
      </c>
      <c r="O91" s="28">
        <f>((IF(E91=0,0,(Upgrades!$M$6+E91*Upgrades!$N$6)*POWER(Upgrades!$O$6,E91)))*(IF(Upgrades!$T$7="Solar Wind",POWER(Upgrades!$U$7,F91),1)*IF(Upgrades!$T$8="Solar Wind",POWER(Upgrades!$U$8,G91),1)*IF(Upgrades!$T$9="Solar Wind",POWER(Upgrades!$U$9,H91),1)*IF(Upgrades!$T$10="Solar Wind",POWER(Upgrades!$U$10,I91),1)*IF(Upgrades!$T$11="Solar Wind",POWER(Upgrades!$U$11,J91),1)*IF(Upgrades!$T$12="Solar Wind",POWER(Upgrades!$U$12,K91),1))+(IF(F91=0,0,(Upgrades!$M$7+F91*Upgrades!$N$7)*POWER(Upgrades!$O$7,F91)))*(IF(Upgrades!$T$6="Asteroid Belt",POWER(Upgrades!$U$6,E91),1)*IF(Upgrades!$T$8="Asteroid Belt",POWER(Upgrades!$U$8,G91),1)*IF(Upgrades!$T$9="Asteroid Belt",POWER(Upgrades!$U$9,H91),1)*IF(Upgrades!$T$10="Asteroid Belt",POWER(Upgrades!$U$10,I91),1)*IF(Upgrades!$T$11="Asteroid Belt",POWER(Upgrades!$U$11,J91),1)*IF(Upgrades!$T$12="Asteroid Belt",POWER(Upgrades!$U$12,K91),1))+(IF(G91=0,0,(Upgrades!$M$8+G91*Upgrades!$N$8)*POWER(Upgrades!$O$8,G91)))*(IF(Upgrades!$T$6="Stellar Coupling",POWER(Upgrades!$U$6,E91),1)*IF(Upgrades!$T$7="Stellar Coupling",POWER(Upgrades!$U$7,F91),1)*IF(Upgrades!$T$9="Stellar Coupling",POWER(Upgrades!$U$9,H91),1)*IF(Upgrades!$T$10="Stellar Coupling",POWER(Upgrades!$U$10,I91),1)*IF(Upgrades!$T$11="Stellar Coupling",POWER(Upgrades!$U$11,J91),1)*IF(Upgrades!$T$12="Stellar Coupling",POWER(Upgrades!$U$12,K91),1))+(IF(H91=0,0,(Upgrades!$M$9+H91*Upgrades!$N$9)*POWER(Upgrades!$O$9,H91)))*(IF(Upgrades!$T$6="Magnetosphere",POWER(Upgrades!$U$6,E91),1)*IF(Upgrades!$T$7="Magnetosphere",POWER(Upgrades!$U$7,F91),1)*IF(Upgrades!$T$8="Magnetosphere",POWER(Upgrades!$U$8,G91),1)*IF(Upgrades!$T$10="Magnetosphere",POWER(Upgrades!$U$10,I91),1)*IF(Upgrades!$T$11="Magnetosphere",POWER(Upgrades!$U$11,J91),1)*IF(Upgrades!$T$12="Magnetosphere",POWER(Upgrades!$U$12,K91),1))+(IF(I91=0,0,(Upgrades!$M$10+I91*Upgrades!$N$10)*POWER(Upgrades!$O$10,I91)))*(IF(Upgrades!$T$6="Orbital Resonance",POWER(Upgrades!$U$6,E91),1)*IF(Upgrades!$T$7="Orbital Resonance",POWER(Upgrades!$U$7,F91),1)*IF(Upgrades!$T$8="Orbital Resonance",POWER(Upgrades!$U$8,G91),1)*IF(Upgrades!$T$9="Orbital Resonance",POWER(Upgrades!$U$9,H91),1)*IF(Upgrades!$T$11="Orbital Resonance",POWER(Upgrades!$U$11,J91),1)*IF(Upgrades!$T$12="Orbital Resonance",POWER(Upgrades!$U$12,K91),1))+(IF(J91=0,0,(Upgrades!$M$11+J91*Upgrades!$N$11)*POWER(Upgrades!$O$11,J91)))*(IF(Upgrades!$T$6="Heliopause",POWER(Upgrades!$U$6,E91),1)*IF(Upgrades!$T$7="Heliopause",POWER(Upgrades!$U$7,F91),1)*IF(Upgrades!$T$8="Heliopause",POWER(Upgrades!$U$8,G91),1)*IF(Upgrades!$T$9="Heliopause",POWER(Upgrades!$U$9,H91),1)*IF(Upgrades!$T$10="Heliopause",POWER(Upgrades!$U$10,I91),1)*IF(Upgrades!$T$12="Heliopause",POWER(Upgrades!$U$12,K91),1))+(IF(K91=0,0,(Upgrades!$M$12+K91*Upgrades!$N$12)*POWER(Upgrades!$O$12,K91)))*(IF(Upgrades!$T$6="First Photons",POWER(Upgrades!$U$6,E91),1)*IF(Upgrades!$T$7="First Photons",POWER(Upgrades!$U$7,F91),1)*IF(Upgrades!$T$8="First Photons",POWER(Upgrades!$U$8,G91),1)*IF(Upgrades!$T$9="First Photons",POWER(Upgrades!$U$9,H91),1)*IF(Upgrades!$T$10="First Photons",POWER(Upgrades!$U$10,I91),1)*IF(Upgrades!$T$11="First Photons",POWER(Upgrades!$U$11,J91),1)))*POWER(Upgrades!$R$6,E91)*POWER(Upgrades!$R$7,F91)*POWER(Upgrades!$R$8,G91)*POWER(Upgrades!$R$9,H91)*POWER(Upgrades!$R$10,I91)*POWER(Upgrades!$R$11,J91)*POWER(Upgrades!$R$12,K91)</f>
        <v/>
      </c>
      <c r="P91" s="27">
        <f>IF(L91=1,0,M91*Parameters!$B$10/60*Parameters!$B$11*10)</f>
        <v/>
      </c>
      <c r="Q91" s="27">
        <f>IF(L91=1,0,O91*M91*10)</f>
        <v/>
      </c>
      <c r="R91" s="27">
        <f>IF(L91=1,0,N91*10)</f>
        <v/>
      </c>
      <c r="S91" s="27">
        <f>P91+Q91+R91</f>
        <v/>
      </c>
      <c r="T91" s="22">
        <f>C91+S91</f>
        <v/>
      </c>
      <c r="U91" s="33">
        <f>AX91</f>
        <v/>
      </c>
      <c r="V91" s="22">
        <f>IF(U91="",0,IF(U91="transition",0,IF(U91="SW",AG91,IF(U91="AB",AH91,IF(U91="SC",AI91,IF(U91="Mag",AJ91,IF(U91="OR",AK91,IF(U91="HP",AL91,IF(U91="FP",AM91,0)))))))))</f>
        <v/>
      </c>
      <c r="W91" s="27">
        <f>IF(U91="OR",Upgrades!$F$10,IF(U91="HP",Upgrades!$F$11,IF(U91="transition",-Parameters!$B$18,0)))</f>
        <v/>
      </c>
      <c r="X91" s="22">
        <f>T91-V91</f>
        <v/>
      </c>
      <c r="Y91" s="30">
        <f>M91*Parameters!$B$10/60*Parameters!$B$11+O91*M91+N91</f>
        <v/>
      </c>
      <c r="Z91" s="34">
        <f>IF(U91="transition","→ Tier 2 (Stellar Neighborhood)",IF(U91="FP","First Photons — light begins, system quickens",IF(U91="HP","Heliopause acquired",IF(U91="OR","Orbital Resonance — passive multiplier active",IF(AND(AO91=1,L91=0,AN91&lt;&gt;1),"Cohesion ready (waiting on completionist upgrades)","")))))</f>
        <v/>
      </c>
      <c r="AA91" s="27">
        <f>(IF(E91=0,0,(Upgrades!$G$6+E91*Upgrades!$H$6)*POWER(Upgrades!$I$6,E91)))*(IF(Upgrades!$T$7="Solar Wind",POWER(Upgrades!$U$7,F91),1)*IF(Upgrades!$T$8="Solar Wind",POWER(Upgrades!$U$8,G91),1)*IF(Upgrades!$T$9="Solar Wind",POWER(Upgrades!$U$9,H91),1)*IF(Upgrades!$T$10="Solar Wind",POWER(Upgrades!$U$10,I91),1)*IF(Upgrades!$T$11="Solar Wind",POWER(Upgrades!$U$11,J91),1)*IF(Upgrades!$T$12="Solar Wind",POWER(Upgrades!$U$12,K91),1))*POWER(Upgrades!$P$6,E91)*POWER(Upgrades!$P$7,F91)*POWER(Upgrades!$P$8,G91)*POWER(Upgrades!$P$9,H91)*POWER(Upgrades!$P$10,I91)*POWER(Upgrades!$P$11,J91)*POWER(Upgrades!$P$12,K91)*60</f>
        <v/>
      </c>
      <c r="AB91" s="27">
        <f>(IF(F91=0,0,(Upgrades!$G$7+F91*Upgrades!$H$7)*POWER(Upgrades!$I$7,F91)))*(IF(Upgrades!$T$6="Asteroid Belt",POWER(Upgrades!$U$6,E91),1)*IF(Upgrades!$T$8="Asteroid Belt",POWER(Upgrades!$U$8,G91),1)*IF(Upgrades!$T$9="Asteroid Belt",POWER(Upgrades!$U$9,H91),1)*IF(Upgrades!$T$10="Asteroid Belt",POWER(Upgrades!$U$10,I91),1)*IF(Upgrades!$T$11="Asteroid Belt",POWER(Upgrades!$U$11,J91),1)*IF(Upgrades!$T$12="Asteroid Belt",POWER(Upgrades!$U$12,K91),1))*POWER(Upgrades!$P$6,E91)*POWER(Upgrades!$P$7,F91)*POWER(Upgrades!$P$8,G91)*POWER(Upgrades!$P$9,H91)*POWER(Upgrades!$P$10,I91)*POWER(Upgrades!$P$11,J91)*POWER(Upgrades!$P$12,K91)*60</f>
        <v/>
      </c>
      <c r="AC91" s="27">
        <f>(IF(G91=0,0,(Upgrades!$J$8+G91*Upgrades!$K$8)*POWER(Upgrades!$L$8,G91)))*(IF(Upgrades!$T$6="Stellar Coupling",POWER(Upgrades!$U$6,E91),1)*IF(Upgrades!$T$7="Stellar Coupling",POWER(Upgrades!$U$7,F91),1)*IF(Upgrades!$T$9="Stellar Coupling",POWER(Upgrades!$U$9,H91),1)*IF(Upgrades!$T$10="Stellar Coupling",POWER(Upgrades!$U$10,I91),1)*IF(Upgrades!$T$11="Stellar Coupling",POWER(Upgrades!$U$11,J91),1)*IF(Upgrades!$T$12="Stellar Coupling",POWER(Upgrades!$U$12,K91),1))*POWER(Upgrades!$Q$6,E91)*POWER(Upgrades!$Q$7,F91)*POWER(Upgrades!$Q$8,G91)*POWER(Upgrades!$Q$9,H91)*POWER(Upgrades!$Q$10,I91)*POWER(Upgrades!$Q$11,J91)*POWER(Upgrades!$Q$12,K91)*Parameters!$B$10*Parameters!$B$11</f>
        <v/>
      </c>
      <c r="AD91" s="27">
        <f>(IF(H91=0,0,(Upgrades!$G$9+H91*Upgrades!$H$9)*POWER(Upgrades!$I$9,H91)))*(IF(Upgrades!$T$6="Magnetosphere",POWER(Upgrades!$U$6,E91),1)*IF(Upgrades!$T$7="Magnetosphere",POWER(Upgrades!$U$7,F91),1)*IF(Upgrades!$T$8="Magnetosphere",POWER(Upgrades!$U$8,G91),1)*IF(Upgrades!$T$10="Magnetosphere",POWER(Upgrades!$U$10,I91),1)*IF(Upgrades!$T$11="Magnetosphere",POWER(Upgrades!$U$11,J91),1)*IF(Upgrades!$T$12="Magnetosphere",POWER(Upgrades!$U$12,K91),1))*POWER(Upgrades!$P$6,E91)*POWER(Upgrades!$P$7,F91)*POWER(Upgrades!$P$8,G91)*POWER(Upgrades!$P$9,H91)*POWER(Upgrades!$P$10,I91)*POWER(Upgrades!$P$11,J91)*POWER(Upgrades!$P$12,K91)*60</f>
        <v/>
      </c>
      <c r="AE91" s="27">
        <f>(IF(K91=0,0,(Upgrades!$G$12+K91*Upgrades!$H$12)*POWER(Upgrades!$I$12,K91)))*(IF(Upgrades!$T$6="First Photons",POWER(Upgrades!$U$6,E91),1)*IF(Upgrades!$T$7="First Photons",POWER(Upgrades!$U$7,F91),1)*IF(Upgrades!$T$8="First Photons",POWER(Upgrades!$U$8,G91),1)*IF(Upgrades!$T$9="First Photons",POWER(Upgrades!$U$9,H91),1)*IF(Upgrades!$T$10="First Photons",POWER(Upgrades!$U$10,I91),1)*IF(Upgrades!$T$11="First Photons",POWER(Upgrades!$U$11,J91),1))*POWER(Upgrades!$P$6,E91)*POWER(Upgrades!$P$7,F91)*POWER(Upgrades!$P$8,G91)*POWER(Upgrades!$P$9,H91)*POWER(Upgrades!$P$10,I91)*POWER(Upgrades!$P$11,J91)*POWER(Upgrades!$P$12,K91)*60</f>
        <v/>
      </c>
      <c r="AF91" s="27">
        <f>Parameters!$B$9*POWER(Upgrades!$Q$6,E91)*POWER(Upgrades!$Q$7,F91)*POWER(Upgrades!$Q$8,G91)*POWER(Upgrades!$Q$9,H91)*POWER(Upgrades!$Q$10,I91)*POWER(Upgrades!$Q$11,J91)*POWER(Upgrades!$Q$12,K91)*(Parameters!$B$10*Parameters!$B$11+O91*60)</f>
        <v/>
      </c>
      <c r="AG91" s="22">
        <f>IF(E91&gt;=Upgrades!$E$6,"",Upgrades!$C$6*POWER(Upgrades!$D$6,E91))</f>
        <v/>
      </c>
      <c r="AH91" s="22">
        <f>IF(F91&gt;=Upgrades!$E$7,"",Upgrades!$C$7*POWER(Upgrades!$D$7,F91))</f>
        <v/>
      </c>
      <c r="AI91" s="22">
        <f>IF(G91&gt;=Upgrades!$E$8,"",Upgrades!$C$8*POWER(Upgrades!$D$8,G91))</f>
        <v/>
      </c>
      <c r="AJ91" s="22">
        <f>IF(H91&gt;=Upgrades!$E$9,"",Upgrades!$C$9*POWER(Upgrades!$D$9,H91))</f>
        <v/>
      </c>
      <c r="AK91" s="22">
        <f>IF(I91&gt;=Upgrades!$E$10,"",Upgrades!$C$10*POWER(Upgrades!$D$10,I91))</f>
        <v/>
      </c>
      <c r="AL91" s="22">
        <f>IF(J91&gt;=Upgrades!$E$11,"",Upgrades!$C$11*POWER(Upgrades!$D$11,J91))</f>
        <v/>
      </c>
      <c r="AM91" s="22">
        <f>IF(K91&gt;=Upgrades!$E$12,"",Upgrades!$C$12*POWER(Upgrades!$D$12,K91))</f>
        <v/>
      </c>
      <c r="AN91" s="26">
        <f>IF(AND(D91&gt;=Parameters!$B$18,(H91&gt;=Upgrades!$E$9)*(K91&gt;=Upgrades!$E$12)=1,L91=0),1,"")</f>
        <v/>
      </c>
      <c r="AO91" s="26">
        <f>IF(AND(D91&gt;=Parameters!$B$18,L91=0),1,"")</f>
        <v/>
      </c>
      <c r="AP91" s="22">
        <f>MIN(IF(ISNUMBER(AK91),AK91,9E15),IF(ISNUMBER(AL91),AL91,9E15),IF(ISNUMBER(AM91),AM91,9E15))</f>
        <v/>
      </c>
      <c r="AQ91" s="22">
        <f>MIN(IF(ISNUMBER(AG91),AG91,9E15),IF(ISNUMBER(AH91),AH91,9E15),IF(ISNUMBER(AI91),AI91,9E15),IF(ISNUMBER(AJ91),AJ91,9E15))</f>
        <v/>
      </c>
      <c r="AR91" s="29">
        <f>IF(AW91&gt;Parameters!$B$21*(MAX(IF(AND(NOT(AND(AO91=1,AN91&lt;&gt;1)),ISNUMBER(AG91),AG91&lt;=T91),AS91,0),IF(AND(NOT(AND(AO91=1,AN91&lt;&gt;1)),ISNUMBER(AH91),AH91&lt;=T91),AT91,0),IF(AND(NOT(AND(AO91=1,AN91&lt;&gt;1)),ISNUMBER(AI91),AI91&lt;=T91),AU91,0),IF(AND(ISNUMBER(AJ91),AJ91&lt;=T91),AV91,0))),TRUE,FALSE)</f>
        <v/>
      </c>
      <c r="AS91" s="32">
        <f>IFERROR(Upgrades!$H$6*(POWER(Upgrades!$P$6,E91)*POWER(Upgrades!$P$7,F91)*POWER(Upgrades!$P$8,G91)*POWER(Upgrades!$P$9,H91)*POWER(Upgrades!$P$10,I91)*POWER(Upgrades!$P$11,J91)*POWER(Upgrades!$P$12,K91))*(IF(Upgrades!$T$7="Solar Wind",POWER(Upgrades!$U$7,F91),1)*IF(Upgrades!$T$8="Solar Wind",POWER(Upgrades!$U$8,G91),1)*IF(Upgrades!$T$9="Solar Wind",POWER(Upgrades!$U$9,H91),1)*IF(Upgrades!$T$10="Solar Wind",POWER(Upgrades!$U$10,I91),1)*IF(Upgrades!$T$11="Solar Wind",POWER(Upgrades!$U$11,J91),1)*IF(Upgrades!$T$12="Solar Wind",POWER(Upgrades!$U$12,K91),1))/AG91,0)</f>
        <v/>
      </c>
      <c r="AT91" s="32">
        <f>IFERROR(Upgrades!$H$7*(POWER(Upgrades!$P$6,E91)*POWER(Upgrades!$P$7,F91)*POWER(Upgrades!$P$8,G91)*POWER(Upgrades!$P$9,H91)*POWER(Upgrades!$P$10,I91)*POWER(Upgrades!$P$11,J91)*POWER(Upgrades!$P$12,K91))*(IF(Upgrades!$T$6="Asteroid Belt",POWER(Upgrades!$U$6,E91),1)*IF(Upgrades!$T$8="Asteroid Belt",POWER(Upgrades!$U$8,G91),1)*IF(Upgrades!$T$9="Asteroid Belt",POWER(Upgrades!$U$9,H91),1)*IF(Upgrades!$T$10="Asteroid Belt",POWER(Upgrades!$U$10,I91),1)*IF(Upgrades!$T$11="Asteroid Belt",POWER(Upgrades!$U$11,J91),1)*IF(Upgrades!$T$12="Asteroid Belt",POWER(Upgrades!$U$12,K91),1))/AH91,0)</f>
        <v/>
      </c>
      <c r="AU91" s="32">
        <f>IFERROR(Upgrades!$K$8*(POWER(Upgrades!$Q$6,E91)*POWER(Upgrades!$Q$7,F91)*POWER(Upgrades!$Q$8,G91)*POWER(Upgrades!$Q$9,H91)*POWER(Upgrades!$Q$10,I91)*POWER(Upgrades!$Q$11,J91)*POWER(Upgrades!$Q$12,K91))*(IF(Upgrades!$T$6="Stellar Coupling",POWER(Upgrades!$U$6,E91),1)*IF(Upgrades!$T$7="Stellar Coupling",POWER(Upgrades!$U$7,F91),1)*IF(Upgrades!$T$9="Stellar Coupling",POWER(Upgrades!$U$9,H91),1)*IF(Upgrades!$T$10="Stellar Coupling",POWER(Upgrades!$U$10,I91),1)*IF(Upgrades!$T$11="Stellar Coupling",POWER(Upgrades!$U$11,J91),1)*IF(Upgrades!$T$12="Stellar Coupling",POWER(Upgrades!$U$12,K91),1))*Parameters!$B$10*Parameters!$B$11/60/AI91,0)</f>
        <v/>
      </c>
      <c r="AV91" s="32">
        <f>IFERROR(Upgrades!$H$9*(POWER(Upgrades!$P$6,E91)*POWER(Upgrades!$P$7,F91)*POWER(Upgrades!$P$8,G91)*POWER(Upgrades!$P$9,H91)*POWER(Upgrades!$P$10,I91)*POWER(Upgrades!$P$11,J91)*POWER(Upgrades!$P$12,K91))*(IF(Upgrades!$T$6="Magnetosphere",POWER(Upgrades!$U$6,E91),1)*IF(Upgrades!$T$7="Magnetosphere",POWER(Upgrades!$U$7,F91),1)*IF(Upgrades!$T$8="Magnetosphere",POWER(Upgrades!$U$8,G91),1)*IF(Upgrades!$T$10="Magnetosphere",POWER(Upgrades!$U$10,I91),1)*IF(Upgrades!$T$11="Magnetosphere",POWER(Upgrades!$U$11,J91),1)*IF(Upgrades!$T$12="Magnetosphere",POWER(Upgrades!$U$12,K91),1))/AJ91,0)</f>
        <v/>
      </c>
      <c r="AW91" s="32">
        <f>MAX(IF(I91&gt;0,0,IFERROR(0.25*N91/Upgrades!$C$10,0)),IF(J91&gt;0,0,IFERROR(0.5*((IF(G91=0,0,(Upgrades!$J$8+G91*Upgrades!$K$8)*POWER(Upgrades!$L$8,G91)))*(IF(Upgrades!$T$6="Stellar Coupling",POWER(Upgrades!$U$6,E91),1)*IF(Upgrades!$T$7="Stellar Coupling",POWER(Upgrades!$U$7,F91),1)*IF(Upgrades!$T$9="Stellar Coupling",POWER(Upgrades!$U$9,H91),1)*IF(Upgrades!$T$10="Stellar Coupling",POWER(Upgrades!$U$10,I91),1)*IF(Upgrades!$T$11="Stellar Coupling",POWER(Upgrades!$U$11,J91),1)*IF(Upgrades!$T$12="Stellar Coupling",POWER(Upgrades!$U$12,K91),1))*(POWER(Upgrades!$Q$6,E91)*POWER(Upgrades!$Q$7,F91)*POWER(Upgrades!$Q$8,G91)*POWER(Upgrades!$Q$9,H91)*POWER(Upgrades!$Q$10,I91)*POWER(Upgrades!$Q$11,J91)*POWER(Upgrades!$Q$12,K91))*Parameters!$B$10*Parameters!$B$11/60)/Upgrades!$C$11,0)),IF(K91&gt;0,0,IFERROR((1.0*(POWER(Upgrades!$P$6,E91)*POWER(Upgrades!$P$7,F91)*POWER(Upgrades!$P$8,G91)*POWER(Upgrades!$P$9,H91)*POWER(Upgrades!$P$10,I91)*POWER(Upgrades!$P$11,J91)*POWER(Upgrades!$P$12,K91))+0.20*M91*Parameters!$B$10*Parameters!$B$11/60)/Upgrades!$C$12,0)),IF(AND(ISNUMBER(AG91),AG91&gt;T91),AS91,0),IF(AND(ISNUMBER(AH91),AH91&gt;T91),AT91,0),IF(AND(ISNUMBER(AI91),AI91&gt;T91),AU91,0),IF(AND(ISNUMBER(AJ91),AJ91&gt;T91),AV91,0))</f>
        <v/>
      </c>
      <c r="AX91" s="29">
        <f>IF(AN91=1,"transition",IF(MIN(IF(AND(I91=0,ISNUMBER(AK91),AK91&lt;=T91),AK91,9E15),IF(AND(J91=0,ISNUMBER(AL91),AL91&lt;=T91),AL91,9E15),IF(AND(K91=0,ISNUMBER(AM91),AM91&lt;=T91),AM91,9E15))&lt;9E15,IF(AND(AND(I91=0,ISNUMBER(AK91),AK91&lt;=T91),AK91=MIN(IF(AND(I91=0,ISNUMBER(AK91),AK91&lt;=T91),AK91,9E15),IF(AND(J91=0,ISNUMBER(AL91),AL91&lt;=T91),AL91,9E15),IF(AND(K91=0,ISNUMBER(AM91),AM91&lt;=T91),AM91,9E15))),"OR",IF(AND(AND(J91=0,ISNUMBER(AL91),AL91&lt;=T91),AL91=MIN(IF(AND(I91=0,ISNUMBER(AK91),AK91&lt;=T91),AK91,9E15),IF(AND(J91=0,ISNUMBER(AL91),AL91&lt;=T91),AL91,9E15),IF(AND(K91=0,ISNUMBER(AM91),AM91&lt;=T91),AM91,9E15))),"HP","FP")),IF(AR91=TRUE,"",IF(MAX(IF(AND(NOT(AND(AO91=1,AN91&lt;&gt;1)),ISNUMBER(AG91),AG91&lt;=T91),AS91,0),IF(AND(NOT(AND(AO91=1,AN91&lt;&gt;1)),ISNUMBER(AH91),AH91&lt;=T91),AT91,0),IF(AND(NOT(AND(AO91=1,AN91&lt;&gt;1)),ISNUMBER(AI91),AI91&lt;=T91),AU91,0),IF(AND(ISNUMBER(AJ91),AJ91&lt;=T91),AV91,0))&lt;=0,"",IF(AND(IF(AND(NOT(AND(AO91=1,AN91&lt;&gt;1)),ISNUMBER(AG91),AG91&lt;=T91),AS91,0)&gt;0,IF(AND(NOT(AND(AO91=1,AN91&lt;&gt;1)),ISNUMBER(AG91),AG91&lt;=T91),AS91,0)=MAX(IF(AND(NOT(AND(AO91=1,AN91&lt;&gt;1)),ISNUMBER(AG91),AG91&lt;=T91),AS91,0),IF(AND(NOT(AND(AO91=1,AN91&lt;&gt;1)),ISNUMBER(AH91),AH91&lt;=T91),AT91,0),IF(AND(NOT(AND(AO91=1,AN91&lt;&gt;1)),ISNUMBER(AI91),AI91&lt;=T91),AU91,0),IF(AND(ISNUMBER(AJ91),AJ91&lt;=T91),AV91,0))),"SW",IF(AND(IF(AND(NOT(AND(AO91=1,AN91&lt;&gt;1)),ISNUMBER(AH91),AH91&lt;=T91),AT91,0)&gt;0,IF(AND(NOT(AND(AO91=1,AN91&lt;&gt;1)),ISNUMBER(AH91),AH91&lt;=T91),AT91,0)=MAX(IF(AND(NOT(AND(AO91=1,AN91&lt;&gt;1)),ISNUMBER(AG91),AG91&lt;=T91),AS91,0),IF(AND(NOT(AND(AO91=1,AN91&lt;&gt;1)),ISNUMBER(AH91),AH91&lt;=T91),AT91,0),IF(AND(NOT(AND(AO91=1,AN91&lt;&gt;1)),ISNUMBER(AI91),AI91&lt;=T91),AU91,0),IF(AND(ISNUMBER(AJ91),AJ91&lt;=T91),AV91,0))),"AB",IF(AND(IF(AND(NOT(AND(AO91=1,AN91&lt;&gt;1)),ISNUMBER(AI91),AI91&lt;=T91),AU91,0)&gt;0,IF(AND(NOT(AND(AO91=1,AN91&lt;&gt;1)),ISNUMBER(AI91),AI91&lt;=T91),AU91,0)=MAX(IF(AND(NOT(AND(AO91=1,AN91&lt;&gt;1)),ISNUMBER(AG91),AG91&lt;=T91),AS91,0),IF(AND(NOT(AND(AO91=1,AN91&lt;&gt;1)),ISNUMBER(AH91),AH91&lt;=T91),AT91,0),IF(AND(NOT(AND(AO91=1,AN91&lt;&gt;1)),ISNUMBER(AI91),AI91&lt;=T91),AU91,0),IF(AND(ISNUMBER(AJ91),AJ91&lt;=T91),AV91,0))),"SC","Mag")))))))</f>
        <v/>
      </c>
    </row>
    <row r="92">
      <c r="A92" s="26" t="n">
        <v>87</v>
      </c>
      <c r="B92" s="27">
        <f>A92*10/60</f>
        <v/>
      </c>
      <c r="C92" s="22">
        <f>X91</f>
        <v/>
      </c>
      <c r="D92" s="27">
        <f>D91+W91</f>
        <v/>
      </c>
      <c r="E92" s="26">
        <f>E91+IF(U91="SW",1,0)</f>
        <v/>
      </c>
      <c r="F92" s="26">
        <f>F91+IF(U91="AB",1,0)</f>
        <v/>
      </c>
      <c r="G92" s="26">
        <f>G91+IF(U91="SC",1,0)</f>
        <v/>
      </c>
      <c r="H92" s="26">
        <f>H91+IF(U91="Mag",1,0)</f>
        <v/>
      </c>
      <c r="I92" s="26">
        <f>MAX(I91,IF(U91="OR",1,0))</f>
        <v/>
      </c>
      <c r="J92" s="26">
        <f>MAX(J91,IF(U91="HP",1,0))</f>
        <v/>
      </c>
      <c r="K92" s="26">
        <f>MAX(K91,IF(U91="FP",1,0))</f>
        <v/>
      </c>
      <c r="L92" s="26">
        <f>MAX(L91,IF(U91="transition",1,0))</f>
        <v/>
      </c>
      <c r="M92" s="28">
        <f>(Parameters!$B$9+(IF(E92=0,0,(Upgrades!$J$6+E92*Upgrades!$K$6)*POWER(Upgrades!$L$6,E92)))*(IF(Upgrades!$T$7="Solar Wind",POWER(Upgrades!$U$7,F92),1)*IF(Upgrades!$T$8="Solar Wind",POWER(Upgrades!$U$8,G92),1)*IF(Upgrades!$T$9="Solar Wind",POWER(Upgrades!$U$9,H92),1)*IF(Upgrades!$T$10="Solar Wind",POWER(Upgrades!$U$10,I92),1)*IF(Upgrades!$T$11="Solar Wind",POWER(Upgrades!$U$11,J92),1)*IF(Upgrades!$T$12="Solar Wind",POWER(Upgrades!$U$12,K92),1))+(IF(F92=0,0,(Upgrades!$J$7+F92*Upgrades!$K$7)*POWER(Upgrades!$L$7,F92)))*(IF(Upgrades!$T$6="Asteroid Belt",POWER(Upgrades!$U$6,E92),1)*IF(Upgrades!$T$8="Asteroid Belt",POWER(Upgrades!$U$8,G92),1)*IF(Upgrades!$T$9="Asteroid Belt",POWER(Upgrades!$U$9,H92),1)*IF(Upgrades!$T$10="Asteroid Belt",POWER(Upgrades!$U$10,I92),1)*IF(Upgrades!$T$11="Asteroid Belt",POWER(Upgrades!$U$11,J92),1)*IF(Upgrades!$T$12="Asteroid Belt",POWER(Upgrades!$U$12,K92),1))+(IF(G92=0,0,(Upgrades!$J$8+G92*Upgrades!$K$8)*POWER(Upgrades!$L$8,G92)))*(IF(Upgrades!$T$6="Stellar Coupling",POWER(Upgrades!$U$6,E92),1)*IF(Upgrades!$T$7="Stellar Coupling",POWER(Upgrades!$U$7,F92),1)*IF(Upgrades!$T$9="Stellar Coupling",POWER(Upgrades!$U$9,H92),1)*IF(Upgrades!$T$10="Stellar Coupling",POWER(Upgrades!$U$10,I92),1)*IF(Upgrades!$T$11="Stellar Coupling",POWER(Upgrades!$U$11,J92),1)*IF(Upgrades!$T$12="Stellar Coupling",POWER(Upgrades!$U$12,K92),1))+(IF(H92=0,0,(Upgrades!$J$9+H92*Upgrades!$K$9)*POWER(Upgrades!$L$9,H92)))*(IF(Upgrades!$T$6="Magnetosphere",POWER(Upgrades!$U$6,E92),1)*IF(Upgrades!$T$7="Magnetosphere",POWER(Upgrades!$U$7,F92),1)*IF(Upgrades!$T$8="Magnetosphere",POWER(Upgrades!$U$8,G92),1)*IF(Upgrades!$T$10="Magnetosphere",POWER(Upgrades!$U$10,I92),1)*IF(Upgrades!$T$11="Magnetosphere",POWER(Upgrades!$U$11,J92),1)*IF(Upgrades!$T$12="Magnetosphere",POWER(Upgrades!$U$12,K92),1))+(IF(I92=0,0,(Upgrades!$J$10+I92*Upgrades!$K$10)*POWER(Upgrades!$L$10,I92)))*(IF(Upgrades!$T$6="Orbital Resonance",POWER(Upgrades!$U$6,E92),1)*IF(Upgrades!$T$7="Orbital Resonance",POWER(Upgrades!$U$7,F92),1)*IF(Upgrades!$T$8="Orbital Resonance",POWER(Upgrades!$U$8,G92),1)*IF(Upgrades!$T$9="Orbital Resonance",POWER(Upgrades!$U$9,H92),1)*IF(Upgrades!$T$11="Orbital Resonance",POWER(Upgrades!$U$11,J92),1)*IF(Upgrades!$T$12="Orbital Resonance",POWER(Upgrades!$U$12,K92),1))+(IF(J92=0,0,(Upgrades!$J$11+J92*Upgrades!$K$11)*POWER(Upgrades!$L$11,J92)))*(IF(Upgrades!$T$6="Heliopause",POWER(Upgrades!$U$6,E92),1)*IF(Upgrades!$T$7="Heliopause",POWER(Upgrades!$U$7,F92),1)*IF(Upgrades!$T$8="Heliopause",POWER(Upgrades!$U$8,G92),1)*IF(Upgrades!$T$9="Heliopause",POWER(Upgrades!$U$9,H92),1)*IF(Upgrades!$T$10="Heliopause",POWER(Upgrades!$U$10,I92),1)*IF(Upgrades!$T$12="Heliopause",POWER(Upgrades!$U$12,K92),1))+(IF(K92=0,0,(Upgrades!$J$12+K92*Upgrades!$K$12)*POWER(Upgrades!$L$12,K92)))*(IF(Upgrades!$T$6="First Photons",POWER(Upgrades!$U$6,E92),1)*IF(Upgrades!$T$7="First Photons",POWER(Upgrades!$U$7,F92),1)*IF(Upgrades!$T$8="First Photons",POWER(Upgrades!$U$8,G92),1)*IF(Upgrades!$T$9="First Photons",POWER(Upgrades!$U$9,H92),1)*IF(Upgrades!$T$10="First Photons",POWER(Upgrades!$U$10,I92),1)*IF(Upgrades!$T$11="First Photons",POWER(Upgrades!$U$11,J92),1)))*POWER(Upgrades!$Q$6,E92)*POWER(Upgrades!$Q$7,F92)*POWER(Upgrades!$Q$8,G92)*POWER(Upgrades!$Q$9,H92)*POWER(Upgrades!$Q$10,I92)*POWER(Upgrades!$Q$11,J92)*POWER(Upgrades!$Q$12,K92)</f>
        <v/>
      </c>
      <c r="N92" s="28">
        <f>((IF(E92=0,0,(Upgrades!$G$6+E92*Upgrades!$H$6)*POWER(Upgrades!$I$6,E92)))*(IF(Upgrades!$T$7="Solar Wind",POWER(Upgrades!$U$7,F92),1)*IF(Upgrades!$T$8="Solar Wind",POWER(Upgrades!$U$8,G92),1)*IF(Upgrades!$T$9="Solar Wind",POWER(Upgrades!$U$9,H92),1)*IF(Upgrades!$T$10="Solar Wind",POWER(Upgrades!$U$10,I92),1)*IF(Upgrades!$T$11="Solar Wind",POWER(Upgrades!$U$11,J92),1)*IF(Upgrades!$T$12="Solar Wind",POWER(Upgrades!$U$12,K92),1))+(IF(F92=0,0,(Upgrades!$G$7+F92*Upgrades!$H$7)*POWER(Upgrades!$I$7,F92)))*(IF(Upgrades!$T$6="Asteroid Belt",POWER(Upgrades!$U$6,E92),1)*IF(Upgrades!$T$8="Asteroid Belt",POWER(Upgrades!$U$8,G92),1)*IF(Upgrades!$T$9="Asteroid Belt",POWER(Upgrades!$U$9,H92),1)*IF(Upgrades!$T$10="Asteroid Belt",POWER(Upgrades!$U$10,I92),1)*IF(Upgrades!$T$11="Asteroid Belt",POWER(Upgrades!$U$11,J92),1)*IF(Upgrades!$T$12="Asteroid Belt",POWER(Upgrades!$U$12,K92),1))+(IF(G92=0,0,(Upgrades!$G$8+G92*Upgrades!$H$8)*POWER(Upgrades!$I$8,G92)))*(IF(Upgrades!$T$6="Stellar Coupling",POWER(Upgrades!$U$6,E92),1)*IF(Upgrades!$T$7="Stellar Coupling",POWER(Upgrades!$U$7,F92),1)*IF(Upgrades!$T$9="Stellar Coupling",POWER(Upgrades!$U$9,H92),1)*IF(Upgrades!$T$10="Stellar Coupling",POWER(Upgrades!$U$10,I92),1)*IF(Upgrades!$T$11="Stellar Coupling",POWER(Upgrades!$U$11,J92),1)*IF(Upgrades!$T$12="Stellar Coupling",POWER(Upgrades!$U$12,K92),1))+(IF(H92=0,0,(Upgrades!$G$9+H92*Upgrades!$H$9)*POWER(Upgrades!$I$9,H92)))*(IF(Upgrades!$T$6="Magnetosphere",POWER(Upgrades!$U$6,E92),1)*IF(Upgrades!$T$7="Magnetosphere",POWER(Upgrades!$U$7,F92),1)*IF(Upgrades!$T$8="Magnetosphere",POWER(Upgrades!$U$8,G92),1)*IF(Upgrades!$T$10="Magnetosphere",POWER(Upgrades!$U$10,I92),1)*IF(Upgrades!$T$11="Magnetosphere",POWER(Upgrades!$U$11,J92),1)*IF(Upgrades!$T$12="Magnetosphere",POWER(Upgrades!$U$12,K92),1))+(IF(I92=0,0,(Upgrades!$G$10+I92*Upgrades!$H$10)*POWER(Upgrades!$I$10,I92)))*(IF(Upgrades!$T$6="Orbital Resonance",POWER(Upgrades!$U$6,E92),1)*IF(Upgrades!$T$7="Orbital Resonance",POWER(Upgrades!$U$7,F92),1)*IF(Upgrades!$T$8="Orbital Resonance",POWER(Upgrades!$U$8,G92),1)*IF(Upgrades!$T$9="Orbital Resonance",POWER(Upgrades!$U$9,H92),1)*IF(Upgrades!$T$11="Orbital Resonance",POWER(Upgrades!$U$11,J92),1)*IF(Upgrades!$T$12="Orbital Resonance",POWER(Upgrades!$U$12,K92),1))+(IF(J92=0,0,(Upgrades!$G$11+J92*Upgrades!$H$11)*POWER(Upgrades!$I$11,J92)))*(IF(Upgrades!$T$6="Heliopause",POWER(Upgrades!$U$6,E92),1)*IF(Upgrades!$T$7="Heliopause",POWER(Upgrades!$U$7,F92),1)*IF(Upgrades!$T$8="Heliopause",POWER(Upgrades!$U$8,G92),1)*IF(Upgrades!$T$9="Heliopause",POWER(Upgrades!$U$9,H92),1)*IF(Upgrades!$T$10="Heliopause",POWER(Upgrades!$U$10,I92),1)*IF(Upgrades!$T$12="Heliopause",POWER(Upgrades!$U$12,K92),1))+(IF(K92=0,0,(Upgrades!$G$12+K92*Upgrades!$H$12)*POWER(Upgrades!$I$12,K92)))*(IF(Upgrades!$T$6="First Photons",POWER(Upgrades!$U$6,E92),1)*IF(Upgrades!$T$7="First Photons",POWER(Upgrades!$U$7,F92),1)*IF(Upgrades!$T$8="First Photons",POWER(Upgrades!$U$8,G92),1)*IF(Upgrades!$T$9="First Photons",POWER(Upgrades!$U$9,H92),1)*IF(Upgrades!$T$10="First Photons",POWER(Upgrades!$U$10,I92),1)*IF(Upgrades!$T$11="First Photons",POWER(Upgrades!$U$11,J92),1)))*POWER(Upgrades!$P$6,E92)*POWER(Upgrades!$P$7,F92)*POWER(Upgrades!$P$8,G92)*POWER(Upgrades!$P$9,H92)*POWER(Upgrades!$P$10,I92)*POWER(Upgrades!$P$11,J92)*POWER(Upgrades!$P$12,K92)</f>
        <v/>
      </c>
      <c r="O92" s="28">
        <f>((IF(E92=0,0,(Upgrades!$M$6+E92*Upgrades!$N$6)*POWER(Upgrades!$O$6,E92)))*(IF(Upgrades!$T$7="Solar Wind",POWER(Upgrades!$U$7,F92),1)*IF(Upgrades!$T$8="Solar Wind",POWER(Upgrades!$U$8,G92),1)*IF(Upgrades!$T$9="Solar Wind",POWER(Upgrades!$U$9,H92),1)*IF(Upgrades!$T$10="Solar Wind",POWER(Upgrades!$U$10,I92),1)*IF(Upgrades!$T$11="Solar Wind",POWER(Upgrades!$U$11,J92),1)*IF(Upgrades!$T$12="Solar Wind",POWER(Upgrades!$U$12,K92),1))+(IF(F92=0,0,(Upgrades!$M$7+F92*Upgrades!$N$7)*POWER(Upgrades!$O$7,F92)))*(IF(Upgrades!$T$6="Asteroid Belt",POWER(Upgrades!$U$6,E92),1)*IF(Upgrades!$T$8="Asteroid Belt",POWER(Upgrades!$U$8,G92),1)*IF(Upgrades!$T$9="Asteroid Belt",POWER(Upgrades!$U$9,H92),1)*IF(Upgrades!$T$10="Asteroid Belt",POWER(Upgrades!$U$10,I92),1)*IF(Upgrades!$T$11="Asteroid Belt",POWER(Upgrades!$U$11,J92),1)*IF(Upgrades!$T$12="Asteroid Belt",POWER(Upgrades!$U$12,K92),1))+(IF(G92=0,0,(Upgrades!$M$8+G92*Upgrades!$N$8)*POWER(Upgrades!$O$8,G92)))*(IF(Upgrades!$T$6="Stellar Coupling",POWER(Upgrades!$U$6,E92),1)*IF(Upgrades!$T$7="Stellar Coupling",POWER(Upgrades!$U$7,F92),1)*IF(Upgrades!$T$9="Stellar Coupling",POWER(Upgrades!$U$9,H92),1)*IF(Upgrades!$T$10="Stellar Coupling",POWER(Upgrades!$U$10,I92),1)*IF(Upgrades!$T$11="Stellar Coupling",POWER(Upgrades!$U$11,J92),1)*IF(Upgrades!$T$12="Stellar Coupling",POWER(Upgrades!$U$12,K92),1))+(IF(H92=0,0,(Upgrades!$M$9+H92*Upgrades!$N$9)*POWER(Upgrades!$O$9,H92)))*(IF(Upgrades!$T$6="Magnetosphere",POWER(Upgrades!$U$6,E92),1)*IF(Upgrades!$T$7="Magnetosphere",POWER(Upgrades!$U$7,F92),1)*IF(Upgrades!$T$8="Magnetosphere",POWER(Upgrades!$U$8,G92),1)*IF(Upgrades!$T$10="Magnetosphere",POWER(Upgrades!$U$10,I92),1)*IF(Upgrades!$T$11="Magnetosphere",POWER(Upgrades!$U$11,J92),1)*IF(Upgrades!$T$12="Magnetosphere",POWER(Upgrades!$U$12,K92),1))+(IF(I92=0,0,(Upgrades!$M$10+I92*Upgrades!$N$10)*POWER(Upgrades!$O$10,I92)))*(IF(Upgrades!$T$6="Orbital Resonance",POWER(Upgrades!$U$6,E92),1)*IF(Upgrades!$T$7="Orbital Resonance",POWER(Upgrades!$U$7,F92),1)*IF(Upgrades!$T$8="Orbital Resonance",POWER(Upgrades!$U$8,G92),1)*IF(Upgrades!$T$9="Orbital Resonance",POWER(Upgrades!$U$9,H92),1)*IF(Upgrades!$T$11="Orbital Resonance",POWER(Upgrades!$U$11,J92),1)*IF(Upgrades!$T$12="Orbital Resonance",POWER(Upgrades!$U$12,K92),1))+(IF(J92=0,0,(Upgrades!$M$11+J92*Upgrades!$N$11)*POWER(Upgrades!$O$11,J92)))*(IF(Upgrades!$T$6="Heliopause",POWER(Upgrades!$U$6,E92),1)*IF(Upgrades!$T$7="Heliopause",POWER(Upgrades!$U$7,F92),1)*IF(Upgrades!$T$8="Heliopause",POWER(Upgrades!$U$8,G92),1)*IF(Upgrades!$T$9="Heliopause",POWER(Upgrades!$U$9,H92),1)*IF(Upgrades!$T$10="Heliopause",POWER(Upgrades!$U$10,I92),1)*IF(Upgrades!$T$12="Heliopause",POWER(Upgrades!$U$12,K92),1))+(IF(K92=0,0,(Upgrades!$M$12+K92*Upgrades!$N$12)*POWER(Upgrades!$O$12,K92)))*(IF(Upgrades!$T$6="First Photons",POWER(Upgrades!$U$6,E92),1)*IF(Upgrades!$T$7="First Photons",POWER(Upgrades!$U$7,F92),1)*IF(Upgrades!$T$8="First Photons",POWER(Upgrades!$U$8,G92),1)*IF(Upgrades!$T$9="First Photons",POWER(Upgrades!$U$9,H92),1)*IF(Upgrades!$T$10="First Photons",POWER(Upgrades!$U$10,I92),1)*IF(Upgrades!$T$11="First Photons",POWER(Upgrades!$U$11,J92),1)))*POWER(Upgrades!$R$6,E92)*POWER(Upgrades!$R$7,F92)*POWER(Upgrades!$R$8,G92)*POWER(Upgrades!$R$9,H92)*POWER(Upgrades!$R$10,I92)*POWER(Upgrades!$R$11,J92)*POWER(Upgrades!$R$12,K92)</f>
        <v/>
      </c>
      <c r="P92" s="27">
        <f>IF(L92=1,0,M92*Parameters!$B$10/60*Parameters!$B$11*10)</f>
        <v/>
      </c>
      <c r="Q92" s="27">
        <f>IF(L92=1,0,O92*M92*10)</f>
        <v/>
      </c>
      <c r="R92" s="27">
        <f>IF(L92=1,0,N92*10)</f>
        <v/>
      </c>
      <c r="S92" s="27">
        <f>P92+Q92+R92</f>
        <v/>
      </c>
      <c r="T92" s="22">
        <f>C92+S92</f>
        <v/>
      </c>
      <c r="U92" s="33">
        <f>AX92</f>
        <v/>
      </c>
      <c r="V92" s="22">
        <f>IF(U92="",0,IF(U92="transition",0,IF(U92="SW",AG92,IF(U92="AB",AH92,IF(U92="SC",AI92,IF(U92="Mag",AJ92,IF(U92="OR",AK92,IF(U92="HP",AL92,IF(U92="FP",AM92,0)))))))))</f>
        <v/>
      </c>
      <c r="W92" s="27">
        <f>IF(U92="OR",Upgrades!$F$10,IF(U92="HP",Upgrades!$F$11,IF(U92="transition",-Parameters!$B$18,0)))</f>
        <v/>
      </c>
      <c r="X92" s="22">
        <f>T92-V92</f>
        <v/>
      </c>
      <c r="Y92" s="30">
        <f>M92*Parameters!$B$10/60*Parameters!$B$11+O92*M92+N92</f>
        <v/>
      </c>
      <c r="Z92" s="34">
        <f>IF(U92="transition","→ Tier 2 (Stellar Neighborhood)",IF(U92="FP","First Photons — light begins, system quickens",IF(U92="HP","Heliopause acquired",IF(U92="OR","Orbital Resonance — passive multiplier active",IF(AND(AO92=1,L92=0,AN92&lt;&gt;1),"Cohesion ready (waiting on completionist upgrades)","")))))</f>
        <v/>
      </c>
      <c r="AA92" s="27">
        <f>(IF(E92=0,0,(Upgrades!$G$6+E92*Upgrades!$H$6)*POWER(Upgrades!$I$6,E92)))*(IF(Upgrades!$T$7="Solar Wind",POWER(Upgrades!$U$7,F92),1)*IF(Upgrades!$T$8="Solar Wind",POWER(Upgrades!$U$8,G92),1)*IF(Upgrades!$T$9="Solar Wind",POWER(Upgrades!$U$9,H92),1)*IF(Upgrades!$T$10="Solar Wind",POWER(Upgrades!$U$10,I92),1)*IF(Upgrades!$T$11="Solar Wind",POWER(Upgrades!$U$11,J92),1)*IF(Upgrades!$T$12="Solar Wind",POWER(Upgrades!$U$12,K92),1))*POWER(Upgrades!$P$6,E92)*POWER(Upgrades!$P$7,F92)*POWER(Upgrades!$P$8,G92)*POWER(Upgrades!$P$9,H92)*POWER(Upgrades!$P$10,I92)*POWER(Upgrades!$P$11,J92)*POWER(Upgrades!$P$12,K92)*60</f>
        <v/>
      </c>
      <c r="AB92" s="27">
        <f>(IF(F92=0,0,(Upgrades!$G$7+F92*Upgrades!$H$7)*POWER(Upgrades!$I$7,F92)))*(IF(Upgrades!$T$6="Asteroid Belt",POWER(Upgrades!$U$6,E92),1)*IF(Upgrades!$T$8="Asteroid Belt",POWER(Upgrades!$U$8,G92),1)*IF(Upgrades!$T$9="Asteroid Belt",POWER(Upgrades!$U$9,H92),1)*IF(Upgrades!$T$10="Asteroid Belt",POWER(Upgrades!$U$10,I92),1)*IF(Upgrades!$T$11="Asteroid Belt",POWER(Upgrades!$U$11,J92),1)*IF(Upgrades!$T$12="Asteroid Belt",POWER(Upgrades!$U$12,K92),1))*POWER(Upgrades!$P$6,E92)*POWER(Upgrades!$P$7,F92)*POWER(Upgrades!$P$8,G92)*POWER(Upgrades!$P$9,H92)*POWER(Upgrades!$P$10,I92)*POWER(Upgrades!$P$11,J92)*POWER(Upgrades!$P$12,K92)*60</f>
        <v/>
      </c>
      <c r="AC92" s="27">
        <f>(IF(G92=0,0,(Upgrades!$J$8+G92*Upgrades!$K$8)*POWER(Upgrades!$L$8,G92)))*(IF(Upgrades!$T$6="Stellar Coupling",POWER(Upgrades!$U$6,E92),1)*IF(Upgrades!$T$7="Stellar Coupling",POWER(Upgrades!$U$7,F92),1)*IF(Upgrades!$T$9="Stellar Coupling",POWER(Upgrades!$U$9,H92),1)*IF(Upgrades!$T$10="Stellar Coupling",POWER(Upgrades!$U$10,I92),1)*IF(Upgrades!$T$11="Stellar Coupling",POWER(Upgrades!$U$11,J92),1)*IF(Upgrades!$T$12="Stellar Coupling",POWER(Upgrades!$U$12,K92),1))*POWER(Upgrades!$Q$6,E92)*POWER(Upgrades!$Q$7,F92)*POWER(Upgrades!$Q$8,G92)*POWER(Upgrades!$Q$9,H92)*POWER(Upgrades!$Q$10,I92)*POWER(Upgrades!$Q$11,J92)*POWER(Upgrades!$Q$12,K92)*Parameters!$B$10*Parameters!$B$11</f>
        <v/>
      </c>
      <c r="AD92" s="27">
        <f>(IF(H92=0,0,(Upgrades!$G$9+H92*Upgrades!$H$9)*POWER(Upgrades!$I$9,H92)))*(IF(Upgrades!$T$6="Magnetosphere",POWER(Upgrades!$U$6,E92),1)*IF(Upgrades!$T$7="Magnetosphere",POWER(Upgrades!$U$7,F92),1)*IF(Upgrades!$T$8="Magnetosphere",POWER(Upgrades!$U$8,G92),1)*IF(Upgrades!$T$10="Magnetosphere",POWER(Upgrades!$U$10,I92),1)*IF(Upgrades!$T$11="Magnetosphere",POWER(Upgrades!$U$11,J92),1)*IF(Upgrades!$T$12="Magnetosphere",POWER(Upgrades!$U$12,K92),1))*POWER(Upgrades!$P$6,E92)*POWER(Upgrades!$P$7,F92)*POWER(Upgrades!$P$8,G92)*POWER(Upgrades!$P$9,H92)*POWER(Upgrades!$P$10,I92)*POWER(Upgrades!$P$11,J92)*POWER(Upgrades!$P$12,K92)*60</f>
        <v/>
      </c>
      <c r="AE92" s="27">
        <f>(IF(K92=0,0,(Upgrades!$G$12+K92*Upgrades!$H$12)*POWER(Upgrades!$I$12,K92)))*(IF(Upgrades!$T$6="First Photons",POWER(Upgrades!$U$6,E92),1)*IF(Upgrades!$T$7="First Photons",POWER(Upgrades!$U$7,F92),1)*IF(Upgrades!$T$8="First Photons",POWER(Upgrades!$U$8,G92),1)*IF(Upgrades!$T$9="First Photons",POWER(Upgrades!$U$9,H92),1)*IF(Upgrades!$T$10="First Photons",POWER(Upgrades!$U$10,I92),1)*IF(Upgrades!$T$11="First Photons",POWER(Upgrades!$U$11,J92),1))*POWER(Upgrades!$P$6,E92)*POWER(Upgrades!$P$7,F92)*POWER(Upgrades!$P$8,G92)*POWER(Upgrades!$P$9,H92)*POWER(Upgrades!$P$10,I92)*POWER(Upgrades!$P$11,J92)*POWER(Upgrades!$P$12,K92)*60</f>
        <v/>
      </c>
      <c r="AF92" s="27">
        <f>Parameters!$B$9*POWER(Upgrades!$Q$6,E92)*POWER(Upgrades!$Q$7,F92)*POWER(Upgrades!$Q$8,G92)*POWER(Upgrades!$Q$9,H92)*POWER(Upgrades!$Q$10,I92)*POWER(Upgrades!$Q$11,J92)*POWER(Upgrades!$Q$12,K92)*(Parameters!$B$10*Parameters!$B$11+O92*60)</f>
        <v/>
      </c>
      <c r="AG92" s="22">
        <f>IF(E92&gt;=Upgrades!$E$6,"",Upgrades!$C$6*POWER(Upgrades!$D$6,E92))</f>
        <v/>
      </c>
      <c r="AH92" s="22">
        <f>IF(F92&gt;=Upgrades!$E$7,"",Upgrades!$C$7*POWER(Upgrades!$D$7,F92))</f>
        <v/>
      </c>
      <c r="AI92" s="22">
        <f>IF(G92&gt;=Upgrades!$E$8,"",Upgrades!$C$8*POWER(Upgrades!$D$8,G92))</f>
        <v/>
      </c>
      <c r="AJ92" s="22">
        <f>IF(H92&gt;=Upgrades!$E$9,"",Upgrades!$C$9*POWER(Upgrades!$D$9,H92))</f>
        <v/>
      </c>
      <c r="AK92" s="22">
        <f>IF(I92&gt;=Upgrades!$E$10,"",Upgrades!$C$10*POWER(Upgrades!$D$10,I92))</f>
        <v/>
      </c>
      <c r="AL92" s="22">
        <f>IF(J92&gt;=Upgrades!$E$11,"",Upgrades!$C$11*POWER(Upgrades!$D$11,J92))</f>
        <v/>
      </c>
      <c r="AM92" s="22">
        <f>IF(K92&gt;=Upgrades!$E$12,"",Upgrades!$C$12*POWER(Upgrades!$D$12,K92))</f>
        <v/>
      </c>
      <c r="AN92" s="26">
        <f>IF(AND(D92&gt;=Parameters!$B$18,(H92&gt;=Upgrades!$E$9)*(K92&gt;=Upgrades!$E$12)=1,L92=0),1,"")</f>
        <v/>
      </c>
      <c r="AO92" s="26">
        <f>IF(AND(D92&gt;=Parameters!$B$18,L92=0),1,"")</f>
        <v/>
      </c>
      <c r="AP92" s="22">
        <f>MIN(IF(ISNUMBER(AK92),AK92,9E15),IF(ISNUMBER(AL92),AL92,9E15),IF(ISNUMBER(AM92),AM92,9E15))</f>
        <v/>
      </c>
      <c r="AQ92" s="22">
        <f>MIN(IF(ISNUMBER(AG92),AG92,9E15),IF(ISNUMBER(AH92),AH92,9E15),IF(ISNUMBER(AI92),AI92,9E15),IF(ISNUMBER(AJ92),AJ92,9E15))</f>
        <v/>
      </c>
      <c r="AR92" s="29">
        <f>IF(AW92&gt;Parameters!$B$21*(MAX(IF(AND(NOT(AND(AO92=1,AN92&lt;&gt;1)),ISNUMBER(AG92),AG92&lt;=T92),AS92,0),IF(AND(NOT(AND(AO92=1,AN92&lt;&gt;1)),ISNUMBER(AH92),AH92&lt;=T92),AT92,0),IF(AND(NOT(AND(AO92=1,AN92&lt;&gt;1)),ISNUMBER(AI92),AI92&lt;=T92),AU92,0),IF(AND(ISNUMBER(AJ92),AJ92&lt;=T92),AV92,0))),TRUE,FALSE)</f>
        <v/>
      </c>
      <c r="AS92" s="32">
        <f>IFERROR(Upgrades!$H$6*(POWER(Upgrades!$P$6,E92)*POWER(Upgrades!$P$7,F92)*POWER(Upgrades!$P$8,G92)*POWER(Upgrades!$P$9,H92)*POWER(Upgrades!$P$10,I92)*POWER(Upgrades!$P$11,J92)*POWER(Upgrades!$P$12,K92))*(IF(Upgrades!$T$7="Solar Wind",POWER(Upgrades!$U$7,F92),1)*IF(Upgrades!$T$8="Solar Wind",POWER(Upgrades!$U$8,G92),1)*IF(Upgrades!$T$9="Solar Wind",POWER(Upgrades!$U$9,H92),1)*IF(Upgrades!$T$10="Solar Wind",POWER(Upgrades!$U$10,I92),1)*IF(Upgrades!$T$11="Solar Wind",POWER(Upgrades!$U$11,J92),1)*IF(Upgrades!$T$12="Solar Wind",POWER(Upgrades!$U$12,K92),1))/AG92,0)</f>
        <v/>
      </c>
      <c r="AT92" s="32">
        <f>IFERROR(Upgrades!$H$7*(POWER(Upgrades!$P$6,E92)*POWER(Upgrades!$P$7,F92)*POWER(Upgrades!$P$8,G92)*POWER(Upgrades!$P$9,H92)*POWER(Upgrades!$P$10,I92)*POWER(Upgrades!$P$11,J92)*POWER(Upgrades!$P$12,K92))*(IF(Upgrades!$T$6="Asteroid Belt",POWER(Upgrades!$U$6,E92),1)*IF(Upgrades!$T$8="Asteroid Belt",POWER(Upgrades!$U$8,G92),1)*IF(Upgrades!$T$9="Asteroid Belt",POWER(Upgrades!$U$9,H92),1)*IF(Upgrades!$T$10="Asteroid Belt",POWER(Upgrades!$U$10,I92),1)*IF(Upgrades!$T$11="Asteroid Belt",POWER(Upgrades!$U$11,J92),1)*IF(Upgrades!$T$12="Asteroid Belt",POWER(Upgrades!$U$12,K92),1))/AH92,0)</f>
        <v/>
      </c>
      <c r="AU92" s="32">
        <f>IFERROR(Upgrades!$K$8*(POWER(Upgrades!$Q$6,E92)*POWER(Upgrades!$Q$7,F92)*POWER(Upgrades!$Q$8,G92)*POWER(Upgrades!$Q$9,H92)*POWER(Upgrades!$Q$10,I92)*POWER(Upgrades!$Q$11,J92)*POWER(Upgrades!$Q$12,K92))*(IF(Upgrades!$T$6="Stellar Coupling",POWER(Upgrades!$U$6,E92),1)*IF(Upgrades!$T$7="Stellar Coupling",POWER(Upgrades!$U$7,F92),1)*IF(Upgrades!$T$9="Stellar Coupling",POWER(Upgrades!$U$9,H92),1)*IF(Upgrades!$T$10="Stellar Coupling",POWER(Upgrades!$U$10,I92),1)*IF(Upgrades!$T$11="Stellar Coupling",POWER(Upgrades!$U$11,J92),1)*IF(Upgrades!$T$12="Stellar Coupling",POWER(Upgrades!$U$12,K92),1))*Parameters!$B$10*Parameters!$B$11/60/AI92,0)</f>
        <v/>
      </c>
      <c r="AV92" s="32">
        <f>IFERROR(Upgrades!$H$9*(POWER(Upgrades!$P$6,E92)*POWER(Upgrades!$P$7,F92)*POWER(Upgrades!$P$8,G92)*POWER(Upgrades!$P$9,H92)*POWER(Upgrades!$P$10,I92)*POWER(Upgrades!$P$11,J92)*POWER(Upgrades!$P$12,K92))*(IF(Upgrades!$T$6="Magnetosphere",POWER(Upgrades!$U$6,E92),1)*IF(Upgrades!$T$7="Magnetosphere",POWER(Upgrades!$U$7,F92),1)*IF(Upgrades!$T$8="Magnetosphere",POWER(Upgrades!$U$8,G92),1)*IF(Upgrades!$T$10="Magnetosphere",POWER(Upgrades!$U$10,I92),1)*IF(Upgrades!$T$11="Magnetosphere",POWER(Upgrades!$U$11,J92),1)*IF(Upgrades!$T$12="Magnetosphere",POWER(Upgrades!$U$12,K92),1))/AJ92,0)</f>
        <v/>
      </c>
      <c r="AW92" s="32">
        <f>MAX(IF(I92&gt;0,0,IFERROR(0.25*N92/Upgrades!$C$10,0)),IF(J92&gt;0,0,IFERROR(0.5*((IF(G92=0,0,(Upgrades!$J$8+G92*Upgrades!$K$8)*POWER(Upgrades!$L$8,G92)))*(IF(Upgrades!$T$6="Stellar Coupling",POWER(Upgrades!$U$6,E92),1)*IF(Upgrades!$T$7="Stellar Coupling",POWER(Upgrades!$U$7,F92),1)*IF(Upgrades!$T$9="Stellar Coupling",POWER(Upgrades!$U$9,H92),1)*IF(Upgrades!$T$10="Stellar Coupling",POWER(Upgrades!$U$10,I92),1)*IF(Upgrades!$T$11="Stellar Coupling",POWER(Upgrades!$U$11,J92),1)*IF(Upgrades!$T$12="Stellar Coupling",POWER(Upgrades!$U$12,K92),1))*(POWER(Upgrades!$Q$6,E92)*POWER(Upgrades!$Q$7,F92)*POWER(Upgrades!$Q$8,G92)*POWER(Upgrades!$Q$9,H92)*POWER(Upgrades!$Q$10,I92)*POWER(Upgrades!$Q$11,J92)*POWER(Upgrades!$Q$12,K92))*Parameters!$B$10*Parameters!$B$11/60)/Upgrades!$C$11,0)),IF(K92&gt;0,0,IFERROR((1.0*(POWER(Upgrades!$P$6,E92)*POWER(Upgrades!$P$7,F92)*POWER(Upgrades!$P$8,G92)*POWER(Upgrades!$P$9,H92)*POWER(Upgrades!$P$10,I92)*POWER(Upgrades!$P$11,J92)*POWER(Upgrades!$P$12,K92))+0.20*M92*Parameters!$B$10*Parameters!$B$11/60)/Upgrades!$C$12,0)),IF(AND(ISNUMBER(AG92),AG92&gt;T92),AS92,0),IF(AND(ISNUMBER(AH92),AH92&gt;T92),AT92,0),IF(AND(ISNUMBER(AI92),AI92&gt;T92),AU92,0),IF(AND(ISNUMBER(AJ92),AJ92&gt;T92),AV92,0))</f>
        <v/>
      </c>
      <c r="AX92" s="29">
        <f>IF(AN92=1,"transition",IF(MIN(IF(AND(I92=0,ISNUMBER(AK92),AK92&lt;=T92),AK92,9E15),IF(AND(J92=0,ISNUMBER(AL92),AL92&lt;=T92),AL92,9E15),IF(AND(K92=0,ISNUMBER(AM92),AM92&lt;=T92),AM92,9E15))&lt;9E15,IF(AND(AND(I92=0,ISNUMBER(AK92),AK92&lt;=T92),AK92=MIN(IF(AND(I92=0,ISNUMBER(AK92),AK92&lt;=T92),AK92,9E15),IF(AND(J92=0,ISNUMBER(AL92),AL92&lt;=T92),AL92,9E15),IF(AND(K92=0,ISNUMBER(AM92),AM92&lt;=T92),AM92,9E15))),"OR",IF(AND(AND(J92=0,ISNUMBER(AL92),AL92&lt;=T92),AL92=MIN(IF(AND(I92=0,ISNUMBER(AK92),AK92&lt;=T92),AK92,9E15),IF(AND(J92=0,ISNUMBER(AL92),AL92&lt;=T92),AL92,9E15),IF(AND(K92=0,ISNUMBER(AM92),AM92&lt;=T92),AM92,9E15))),"HP","FP")),IF(AR92=TRUE,"",IF(MAX(IF(AND(NOT(AND(AO92=1,AN92&lt;&gt;1)),ISNUMBER(AG92),AG92&lt;=T92),AS92,0),IF(AND(NOT(AND(AO92=1,AN92&lt;&gt;1)),ISNUMBER(AH92),AH92&lt;=T92),AT92,0),IF(AND(NOT(AND(AO92=1,AN92&lt;&gt;1)),ISNUMBER(AI92),AI92&lt;=T92),AU92,0),IF(AND(ISNUMBER(AJ92),AJ92&lt;=T92),AV92,0))&lt;=0,"",IF(AND(IF(AND(NOT(AND(AO92=1,AN92&lt;&gt;1)),ISNUMBER(AG92),AG92&lt;=T92),AS92,0)&gt;0,IF(AND(NOT(AND(AO92=1,AN92&lt;&gt;1)),ISNUMBER(AG92),AG92&lt;=T92),AS92,0)=MAX(IF(AND(NOT(AND(AO92=1,AN92&lt;&gt;1)),ISNUMBER(AG92),AG92&lt;=T92),AS92,0),IF(AND(NOT(AND(AO92=1,AN92&lt;&gt;1)),ISNUMBER(AH92),AH92&lt;=T92),AT92,0),IF(AND(NOT(AND(AO92=1,AN92&lt;&gt;1)),ISNUMBER(AI92),AI92&lt;=T92),AU92,0),IF(AND(ISNUMBER(AJ92),AJ92&lt;=T92),AV92,0))),"SW",IF(AND(IF(AND(NOT(AND(AO92=1,AN92&lt;&gt;1)),ISNUMBER(AH92),AH92&lt;=T92),AT92,0)&gt;0,IF(AND(NOT(AND(AO92=1,AN92&lt;&gt;1)),ISNUMBER(AH92),AH92&lt;=T92),AT92,0)=MAX(IF(AND(NOT(AND(AO92=1,AN92&lt;&gt;1)),ISNUMBER(AG92),AG92&lt;=T92),AS92,0),IF(AND(NOT(AND(AO92=1,AN92&lt;&gt;1)),ISNUMBER(AH92),AH92&lt;=T92),AT92,0),IF(AND(NOT(AND(AO92=1,AN92&lt;&gt;1)),ISNUMBER(AI92),AI92&lt;=T92),AU92,0),IF(AND(ISNUMBER(AJ92),AJ92&lt;=T92),AV92,0))),"AB",IF(AND(IF(AND(NOT(AND(AO92=1,AN92&lt;&gt;1)),ISNUMBER(AI92),AI92&lt;=T92),AU92,0)&gt;0,IF(AND(NOT(AND(AO92=1,AN92&lt;&gt;1)),ISNUMBER(AI92),AI92&lt;=T92),AU92,0)=MAX(IF(AND(NOT(AND(AO92=1,AN92&lt;&gt;1)),ISNUMBER(AG92),AG92&lt;=T92),AS92,0),IF(AND(NOT(AND(AO92=1,AN92&lt;&gt;1)),ISNUMBER(AH92),AH92&lt;=T92),AT92,0),IF(AND(NOT(AND(AO92=1,AN92&lt;&gt;1)),ISNUMBER(AI92),AI92&lt;=T92),AU92,0),IF(AND(ISNUMBER(AJ92),AJ92&lt;=T92),AV92,0))),"SC","Mag")))))))</f>
        <v/>
      </c>
    </row>
    <row r="93">
      <c r="A93" s="26" t="n">
        <v>88</v>
      </c>
      <c r="B93" s="27">
        <f>A93*10/60</f>
        <v/>
      </c>
      <c r="C93" s="22">
        <f>X92</f>
        <v/>
      </c>
      <c r="D93" s="27">
        <f>D92+W92</f>
        <v/>
      </c>
      <c r="E93" s="26">
        <f>E92+IF(U92="SW",1,0)</f>
        <v/>
      </c>
      <c r="F93" s="26">
        <f>F92+IF(U92="AB",1,0)</f>
        <v/>
      </c>
      <c r="G93" s="26">
        <f>G92+IF(U92="SC",1,0)</f>
        <v/>
      </c>
      <c r="H93" s="26">
        <f>H92+IF(U92="Mag",1,0)</f>
        <v/>
      </c>
      <c r="I93" s="26">
        <f>MAX(I92,IF(U92="OR",1,0))</f>
        <v/>
      </c>
      <c r="J93" s="26">
        <f>MAX(J92,IF(U92="HP",1,0))</f>
        <v/>
      </c>
      <c r="K93" s="26">
        <f>MAX(K92,IF(U92="FP",1,0))</f>
        <v/>
      </c>
      <c r="L93" s="26">
        <f>MAX(L92,IF(U92="transition",1,0))</f>
        <v/>
      </c>
      <c r="M93" s="28">
        <f>(Parameters!$B$9+(IF(E93=0,0,(Upgrades!$J$6+E93*Upgrades!$K$6)*POWER(Upgrades!$L$6,E93)))*(IF(Upgrades!$T$7="Solar Wind",POWER(Upgrades!$U$7,F93),1)*IF(Upgrades!$T$8="Solar Wind",POWER(Upgrades!$U$8,G93),1)*IF(Upgrades!$T$9="Solar Wind",POWER(Upgrades!$U$9,H93),1)*IF(Upgrades!$T$10="Solar Wind",POWER(Upgrades!$U$10,I93),1)*IF(Upgrades!$T$11="Solar Wind",POWER(Upgrades!$U$11,J93),1)*IF(Upgrades!$T$12="Solar Wind",POWER(Upgrades!$U$12,K93),1))+(IF(F93=0,0,(Upgrades!$J$7+F93*Upgrades!$K$7)*POWER(Upgrades!$L$7,F93)))*(IF(Upgrades!$T$6="Asteroid Belt",POWER(Upgrades!$U$6,E93),1)*IF(Upgrades!$T$8="Asteroid Belt",POWER(Upgrades!$U$8,G93),1)*IF(Upgrades!$T$9="Asteroid Belt",POWER(Upgrades!$U$9,H93),1)*IF(Upgrades!$T$10="Asteroid Belt",POWER(Upgrades!$U$10,I93),1)*IF(Upgrades!$T$11="Asteroid Belt",POWER(Upgrades!$U$11,J93),1)*IF(Upgrades!$T$12="Asteroid Belt",POWER(Upgrades!$U$12,K93),1))+(IF(G93=0,0,(Upgrades!$J$8+G93*Upgrades!$K$8)*POWER(Upgrades!$L$8,G93)))*(IF(Upgrades!$T$6="Stellar Coupling",POWER(Upgrades!$U$6,E93),1)*IF(Upgrades!$T$7="Stellar Coupling",POWER(Upgrades!$U$7,F93),1)*IF(Upgrades!$T$9="Stellar Coupling",POWER(Upgrades!$U$9,H93),1)*IF(Upgrades!$T$10="Stellar Coupling",POWER(Upgrades!$U$10,I93),1)*IF(Upgrades!$T$11="Stellar Coupling",POWER(Upgrades!$U$11,J93),1)*IF(Upgrades!$T$12="Stellar Coupling",POWER(Upgrades!$U$12,K93),1))+(IF(H93=0,0,(Upgrades!$J$9+H93*Upgrades!$K$9)*POWER(Upgrades!$L$9,H93)))*(IF(Upgrades!$T$6="Magnetosphere",POWER(Upgrades!$U$6,E93),1)*IF(Upgrades!$T$7="Magnetosphere",POWER(Upgrades!$U$7,F93),1)*IF(Upgrades!$T$8="Magnetosphere",POWER(Upgrades!$U$8,G93),1)*IF(Upgrades!$T$10="Magnetosphere",POWER(Upgrades!$U$10,I93),1)*IF(Upgrades!$T$11="Magnetosphere",POWER(Upgrades!$U$11,J93),1)*IF(Upgrades!$T$12="Magnetosphere",POWER(Upgrades!$U$12,K93),1))+(IF(I93=0,0,(Upgrades!$J$10+I93*Upgrades!$K$10)*POWER(Upgrades!$L$10,I93)))*(IF(Upgrades!$T$6="Orbital Resonance",POWER(Upgrades!$U$6,E93),1)*IF(Upgrades!$T$7="Orbital Resonance",POWER(Upgrades!$U$7,F93),1)*IF(Upgrades!$T$8="Orbital Resonance",POWER(Upgrades!$U$8,G93),1)*IF(Upgrades!$T$9="Orbital Resonance",POWER(Upgrades!$U$9,H93),1)*IF(Upgrades!$T$11="Orbital Resonance",POWER(Upgrades!$U$11,J93),1)*IF(Upgrades!$T$12="Orbital Resonance",POWER(Upgrades!$U$12,K93),1))+(IF(J93=0,0,(Upgrades!$J$11+J93*Upgrades!$K$11)*POWER(Upgrades!$L$11,J93)))*(IF(Upgrades!$T$6="Heliopause",POWER(Upgrades!$U$6,E93),1)*IF(Upgrades!$T$7="Heliopause",POWER(Upgrades!$U$7,F93),1)*IF(Upgrades!$T$8="Heliopause",POWER(Upgrades!$U$8,G93),1)*IF(Upgrades!$T$9="Heliopause",POWER(Upgrades!$U$9,H93),1)*IF(Upgrades!$T$10="Heliopause",POWER(Upgrades!$U$10,I93),1)*IF(Upgrades!$T$12="Heliopause",POWER(Upgrades!$U$12,K93),1))+(IF(K93=0,0,(Upgrades!$J$12+K93*Upgrades!$K$12)*POWER(Upgrades!$L$12,K93)))*(IF(Upgrades!$T$6="First Photons",POWER(Upgrades!$U$6,E93),1)*IF(Upgrades!$T$7="First Photons",POWER(Upgrades!$U$7,F93),1)*IF(Upgrades!$T$8="First Photons",POWER(Upgrades!$U$8,G93),1)*IF(Upgrades!$T$9="First Photons",POWER(Upgrades!$U$9,H93),1)*IF(Upgrades!$T$10="First Photons",POWER(Upgrades!$U$10,I93),1)*IF(Upgrades!$T$11="First Photons",POWER(Upgrades!$U$11,J93),1)))*POWER(Upgrades!$Q$6,E93)*POWER(Upgrades!$Q$7,F93)*POWER(Upgrades!$Q$8,G93)*POWER(Upgrades!$Q$9,H93)*POWER(Upgrades!$Q$10,I93)*POWER(Upgrades!$Q$11,J93)*POWER(Upgrades!$Q$12,K93)</f>
        <v/>
      </c>
      <c r="N93" s="28">
        <f>((IF(E93=0,0,(Upgrades!$G$6+E93*Upgrades!$H$6)*POWER(Upgrades!$I$6,E93)))*(IF(Upgrades!$T$7="Solar Wind",POWER(Upgrades!$U$7,F93),1)*IF(Upgrades!$T$8="Solar Wind",POWER(Upgrades!$U$8,G93),1)*IF(Upgrades!$T$9="Solar Wind",POWER(Upgrades!$U$9,H93),1)*IF(Upgrades!$T$10="Solar Wind",POWER(Upgrades!$U$10,I93),1)*IF(Upgrades!$T$11="Solar Wind",POWER(Upgrades!$U$11,J93),1)*IF(Upgrades!$T$12="Solar Wind",POWER(Upgrades!$U$12,K93),1))+(IF(F93=0,0,(Upgrades!$G$7+F93*Upgrades!$H$7)*POWER(Upgrades!$I$7,F93)))*(IF(Upgrades!$T$6="Asteroid Belt",POWER(Upgrades!$U$6,E93),1)*IF(Upgrades!$T$8="Asteroid Belt",POWER(Upgrades!$U$8,G93),1)*IF(Upgrades!$T$9="Asteroid Belt",POWER(Upgrades!$U$9,H93),1)*IF(Upgrades!$T$10="Asteroid Belt",POWER(Upgrades!$U$10,I93),1)*IF(Upgrades!$T$11="Asteroid Belt",POWER(Upgrades!$U$11,J93),1)*IF(Upgrades!$T$12="Asteroid Belt",POWER(Upgrades!$U$12,K93),1))+(IF(G93=0,0,(Upgrades!$G$8+G93*Upgrades!$H$8)*POWER(Upgrades!$I$8,G93)))*(IF(Upgrades!$T$6="Stellar Coupling",POWER(Upgrades!$U$6,E93),1)*IF(Upgrades!$T$7="Stellar Coupling",POWER(Upgrades!$U$7,F93),1)*IF(Upgrades!$T$9="Stellar Coupling",POWER(Upgrades!$U$9,H93),1)*IF(Upgrades!$T$10="Stellar Coupling",POWER(Upgrades!$U$10,I93),1)*IF(Upgrades!$T$11="Stellar Coupling",POWER(Upgrades!$U$11,J93),1)*IF(Upgrades!$T$12="Stellar Coupling",POWER(Upgrades!$U$12,K93),1))+(IF(H93=0,0,(Upgrades!$G$9+H93*Upgrades!$H$9)*POWER(Upgrades!$I$9,H93)))*(IF(Upgrades!$T$6="Magnetosphere",POWER(Upgrades!$U$6,E93),1)*IF(Upgrades!$T$7="Magnetosphere",POWER(Upgrades!$U$7,F93),1)*IF(Upgrades!$T$8="Magnetosphere",POWER(Upgrades!$U$8,G93),1)*IF(Upgrades!$T$10="Magnetosphere",POWER(Upgrades!$U$10,I93),1)*IF(Upgrades!$T$11="Magnetosphere",POWER(Upgrades!$U$11,J93),1)*IF(Upgrades!$T$12="Magnetosphere",POWER(Upgrades!$U$12,K93),1))+(IF(I93=0,0,(Upgrades!$G$10+I93*Upgrades!$H$10)*POWER(Upgrades!$I$10,I93)))*(IF(Upgrades!$T$6="Orbital Resonance",POWER(Upgrades!$U$6,E93),1)*IF(Upgrades!$T$7="Orbital Resonance",POWER(Upgrades!$U$7,F93),1)*IF(Upgrades!$T$8="Orbital Resonance",POWER(Upgrades!$U$8,G93),1)*IF(Upgrades!$T$9="Orbital Resonance",POWER(Upgrades!$U$9,H93),1)*IF(Upgrades!$T$11="Orbital Resonance",POWER(Upgrades!$U$11,J93),1)*IF(Upgrades!$T$12="Orbital Resonance",POWER(Upgrades!$U$12,K93),1))+(IF(J93=0,0,(Upgrades!$G$11+J93*Upgrades!$H$11)*POWER(Upgrades!$I$11,J93)))*(IF(Upgrades!$T$6="Heliopause",POWER(Upgrades!$U$6,E93),1)*IF(Upgrades!$T$7="Heliopause",POWER(Upgrades!$U$7,F93),1)*IF(Upgrades!$T$8="Heliopause",POWER(Upgrades!$U$8,G93),1)*IF(Upgrades!$T$9="Heliopause",POWER(Upgrades!$U$9,H93),1)*IF(Upgrades!$T$10="Heliopause",POWER(Upgrades!$U$10,I93),1)*IF(Upgrades!$T$12="Heliopause",POWER(Upgrades!$U$12,K93),1))+(IF(K93=0,0,(Upgrades!$G$12+K93*Upgrades!$H$12)*POWER(Upgrades!$I$12,K93)))*(IF(Upgrades!$T$6="First Photons",POWER(Upgrades!$U$6,E93),1)*IF(Upgrades!$T$7="First Photons",POWER(Upgrades!$U$7,F93),1)*IF(Upgrades!$T$8="First Photons",POWER(Upgrades!$U$8,G93),1)*IF(Upgrades!$T$9="First Photons",POWER(Upgrades!$U$9,H93),1)*IF(Upgrades!$T$10="First Photons",POWER(Upgrades!$U$10,I93),1)*IF(Upgrades!$T$11="First Photons",POWER(Upgrades!$U$11,J93),1)))*POWER(Upgrades!$P$6,E93)*POWER(Upgrades!$P$7,F93)*POWER(Upgrades!$P$8,G93)*POWER(Upgrades!$P$9,H93)*POWER(Upgrades!$P$10,I93)*POWER(Upgrades!$P$11,J93)*POWER(Upgrades!$P$12,K93)</f>
        <v/>
      </c>
      <c r="O93" s="28">
        <f>((IF(E93=0,0,(Upgrades!$M$6+E93*Upgrades!$N$6)*POWER(Upgrades!$O$6,E93)))*(IF(Upgrades!$T$7="Solar Wind",POWER(Upgrades!$U$7,F93),1)*IF(Upgrades!$T$8="Solar Wind",POWER(Upgrades!$U$8,G93),1)*IF(Upgrades!$T$9="Solar Wind",POWER(Upgrades!$U$9,H93),1)*IF(Upgrades!$T$10="Solar Wind",POWER(Upgrades!$U$10,I93),1)*IF(Upgrades!$T$11="Solar Wind",POWER(Upgrades!$U$11,J93),1)*IF(Upgrades!$T$12="Solar Wind",POWER(Upgrades!$U$12,K93),1))+(IF(F93=0,0,(Upgrades!$M$7+F93*Upgrades!$N$7)*POWER(Upgrades!$O$7,F93)))*(IF(Upgrades!$T$6="Asteroid Belt",POWER(Upgrades!$U$6,E93),1)*IF(Upgrades!$T$8="Asteroid Belt",POWER(Upgrades!$U$8,G93),1)*IF(Upgrades!$T$9="Asteroid Belt",POWER(Upgrades!$U$9,H93),1)*IF(Upgrades!$T$10="Asteroid Belt",POWER(Upgrades!$U$10,I93),1)*IF(Upgrades!$T$11="Asteroid Belt",POWER(Upgrades!$U$11,J93),1)*IF(Upgrades!$T$12="Asteroid Belt",POWER(Upgrades!$U$12,K93),1))+(IF(G93=0,0,(Upgrades!$M$8+G93*Upgrades!$N$8)*POWER(Upgrades!$O$8,G93)))*(IF(Upgrades!$T$6="Stellar Coupling",POWER(Upgrades!$U$6,E93),1)*IF(Upgrades!$T$7="Stellar Coupling",POWER(Upgrades!$U$7,F93),1)*IF(Upgrades!$T$9="Stellar Coupling",POWER(Upgrades!$U$9,H93),1)*IF(Upgrades!$T$10="Stellar Coupling",POWER(Upgrades!$U$10,I93),1)*IF(Upgrades!$T$11="Stellar Coupling",POWER(Upgrades!$U$11,J93),1)*IF(Upgrades!$T$12="Stellar Coupling",POWER(Upgrades!$U$12,K93),1))+(IF(H93=0,0,(Upgrades!$M$9+H93*Upgrades!$N$9)*POWER(Upgrades!$O$9,H93)))*(IF(Upgrades!$T$6="Magnetosphere",POWER(Upgrades!$U$6,E93),1)*IF(Upgrades!$T$7="Magnetosphere",POWER(Upgrades!$U$7,F93),1)*IF(Upgrades!$T$8="Magnetosphere",POWER(Upgrades!$U$8,G93),1)*IF(Upgrades!$T$10="Magnetosphere",POWER(Upgrades!$U$10,I93),1)*IF(Upgrades!$T$11="Magnetosphere",POWER(Upgrades!$U$11,J93),1)*IF(Upgrades!$T$12="Magnetosphere",POWER(Upgrades!$U$12,K93),1))+(IF(I93=0,0,(Upgrades!$M$10+I93*Upgrades!$N$10)*POWER(Upgrades!$O$10,I93)))*(IF(Upgrades!$T$6="Orbital Resonance",POWER(Upgrades!$U$6,E93),1)*IF(Upgrades!$T$7="Orbital Resonance",POWER(Upgrades!$U$7,F93),1)*IF(Upgrades!$T$8="Orbital Resonance",POWER(Upgrades!$U$8,G93),1)*IF(Upgrades!$T$9="Orbital Resonance",POWER(Upgrades!$U$9,H93),1)*IF(Upgrades!$T$11="Orbital Resonance",POWER(Upgrades!$U$11,J93),1)*IF(Upgrades!$T$12="Orbital Resonance",POWER(Upgrades!$U$12,K93),1))+(IF(J93=0,0,(Upgrades!$M$11+J93*Upgrades!$N$11)*POWER(Upgrades!$O$11,J93)))*(IF(Upgrades!$T$6="Heliopause",POWER(Upgrades!$U$6,E93),1)*IF(Upgrades!$T$7="Heliopause",POWER(Upgrades!$U$7,F93),1)*IF(Upgrades!$T$8="Heliopause",POWER(Upgrades!$U$8,G93),1)*IF(Upgrades!$T$9="Heliopause",POWER(Upgrades!$U$9,H93),1)*IF(Upgrades!$T$10="Heliopause",POWER(Upgrades!$U$10,I93),1)*IF(Upgrades!$T$12="Heliopause",POWER(Upgrades!$U$12,K93),1))+(IF(K93=0,0,(Upgrades!$M$12+K93*Upgrades!$N$12)*POWER(Upgrades!$O$12,K93)))*(IF(Upgrades!$T$6="First Photons",POWER(Upgrades!$U$6,E93),1)*IF(Upgrades!$T$7="First Photons",POWER(Upgrades!$U$7,F93),1)*IF(Upgrades!$T$8="First Photons",POWER(Upgrades!$U$8,G93),1)*IF(Upgrades!$T$9="First Photons",POWER(Upgrades!$U$9,H93),1)*IF(Upgrades!$T$10="First Photons",POWER(Upgrades!$U$10,I93),1)*IF(Upgrades!$T$11="First Photons",POWER(Upgrades!$U$11,J93),1)))*POWER(Upgrades!$R$6,E93)*POWER(Upgrades!$R$7,F93)*POWER(Upgrades!$R$8,G93)*POWER(Upgrades!$R$9,H93)*POWER(Upgrades!$R$10,I93)*POWER(Upgrades!$R$11,J93)*POWER(Upgrades!$R$12,K93)</f>
        <v/>
      </c>
      <c r="P93" s="27">
        <f>IF(L93=1,0,M93*Parameters!$B$10/60*Parameters!$B$11*10)</f>
        <v/>
      </c>
      <c r="Q93" s="27">
        <f>IF(L93=1,0,O93*M93*10)</f>
        <v/>
      </c>
      <c r="R93" s="27">
        <f>IF(L93=1,0,N93*10)</f>
        <v/>
      </c>
      <c r="S93" s="27">
        <f>P93+Q93+R93</f>
        <v/>
      </c>
      <c r="T93" s="22">
        <f>C93+S93</f>
        <v/>
      </c>
      <c r="U93" s="33">
        <f>AX93</f>
        <v/>
      </c>
      <c r="V93" s="22">
        <f>IF(U93="",0,IF(U93="transition",0,IF(U93="SW",AG93,IF(U93="AB",AH93,IF(U93="SC",AI93,IF(U93="Mag",AJ93,IF(U93="OR",AK93,IF(U93="HP",AL93,IF(U93="FP",AM93,0)))))))))</f>
        <v/>
      </c>
      <c r="W93" s="27">
        <f>IF(U93="OR",Upgrades!$F$10,IF(U93="HP",Upgrades!$F$11,IF(U93="transition",-Parameters!$B$18,0)))</f>
        <v/>
      </c>
      <c r="X93" s="22">
        <f>T93-V93</f>
        <v/>
      </c>
      <c r="Y93" s="30">
        <f>M93*Parameters!$B$10/60*Parameters!$B$11+O93*M93+N93</f>
        <v/>
      </c>
      <c r="Z93" s="34">
        <f>IF(U93="transition","→ Tier 2 (Stellar Neighborhood)",IF(U93="FP","First Photons — light begins, system quickens",IF(U93="HP","Heliopause acquired",IF(U93="OR","Orbital Resonance — passive multiplier active",IF(AND(AO93=1,L93=0,AN93&lt;&gt;1),"Cohesion ready (waiting on completionist upgrades)","")))))</f>
        <v/>
      </c>
      <c r="AA93" s="27">
        <f>(IF(E93=0,0,(Upgrades!$G$6+E93*Upgrades!$H$6)*POWER(Upgrades!$I$6,E93)))*(IF(Upgrades!$T$7="Solar Wind",POWER(Upgrades!$U$7,F93),1)*IF(Upgrades!$T$8="Solar Wind",POWER(Upgrades!$U$8,G93),1)*IF(Upgrades!$T$9="Solar Wind",POWER(Upgrades!$U$9,H93),1)*IF(Upgrades!$T$10="Solar Wind",POWER(Upgrades!$U$10,I93),1)*IF(Upgrades!$T$11="Solar Wind",POWER(Upgrades!$U$11,J93),1)*IF(Upgrades!$T$12="Solar Wind",POWER(Upgrades!$U$12,K93),1))*POWER(Upgrades!$P$6,E93)*POWER(Upgrades!$P$7,F93)*POWER(Upgrades!$P$8,G93)*POWER(Upgrades!$P$9,H93)*POWER(Upgrades!$P$10,I93)*POWER(Upgrades!$P$11,J93)*POWER(Upgrades!$P$12,K93)*60</f>
        <v/>
      </c>
      <c r="AB93" s="27">
        <f>(IF(F93=0,0,(Upgrades!$G$7+F93*Upgrades!$H$7)*POWER(Upgrades!$I$7,F93)))*(IF(Upgrades!$T$6="Asteroid Belt",POWER(Upgrades!$U$6,E93),1)*IF(Upgrades!$T$8="Asteroid Belt",POWER(Upgrades!$U$8,G93),1)*IF(Upgrades!$T$9="Asteroid Belt",POWER(Upgrades!$U$9,H93),1)*IF(Upgrades!$T$10="Asteroid Belt",POWER(Upgrades!$U$10,I93),1)*IF(Upgrades!$T$11="Asteroid Belt",POWER(Upgrades!$U$11,J93),1)*IF(Upgrades!$T$12="Asteroid Belt",POWER(Upgrades!$U$12,K93),1))*POWER(Upgrades!$P$6,E93)*POWER(Upgrades!$P$7,F93)*POWER(Upgrades!$P$8,G93)*POWER(Upgrades!$P$9,H93)*POWER(Upgrades!$P$10,I93)*POWER(Upgrades!$P$11,J93)*POWER(Upgrades!$P$12,K93)*60</f>
        <v/>
      </c>
      <c r="AC93" s="27">
        <f>(IF(G93=0,0,(Upgrades!$J$8+G93*Upgrades!$K$8)*POWER(Upgrades!$L$8,G93)))*(IF(Upgrades!$T$6="Stellar Coupling",POWER(Upgrades!$U$6,E93),1)*IF(Upgrades!$T$7="Stellar Coupling",POWER(Upgrades!$U$7,F93),1)*IF(Upgrades!$T$9="Stellar Coupling",POWER(Upgrades!$U$9,H93),1)*IF(Upgrades!$T$10="Stellar Coupling",POWER(Upgrades!$U$10,I93),1)*IF(Upgrades!$T$11="Stellar Coupling",POWER(Upgrades!$U$11,J93),1)*IF(Upgrades!$T$12="Stellar Coupling",POWER(Upgrades!$U$12,K93),1))*POWER(Upgrades!$Q$6,E93)*POWER(Upgrades!$Q$7,F93)*POWER(Upgrades!$Q$8,G93)*POWER(Upgrades!$Q$9,H93)*POWER(Upgrades!$Q$10,I93)*POWER(Upgrades!$Q$11,J93)*POWER(Upgrades!$Q$12,K93)*Parameters!$B$10*Parameters!$B$11</f>
        <v/>
      </c>
      <c r="AD93" s="27">
        <f>(IF(H93=0,0,(Upgrades!$G$9+H93*Upgrades!$H$9)*POWER(Upgrades!$I$9,H93)))*(IF(Upgrades!$T$6="Magnetosphere",POWER(Upgrades!$U$6,E93),1)*IF(Upgrades!$T$7="Magnetosphere",POWER(Upgrades!$U$7,F93),1)*IF(Upgrades!$T$8="Magnetosphere",POWER(Upgrades!$U$8,G93),1)*IF(Upgrades!$T$10="Magnetosphere",POWER(Upgrades!$U$10,I93),1)*IF(Upgrades!$T$11="Magnetosphere",POWER(Upgrades!$U$11,J93),1)*IF(Upgrades!$T$12="Magnetosphere",POWER(Upgrades!$U$12,K93),1))*POWER(Upgrades!$P$6,E93)*POWER(Upgrades!$P$7,F93)*POWER(Upgrades!$P$8,G93)*POWER(Upgrades!$P$9,H93)*POWER(Upgrades!$P$10,I93)*POWER(Upgrades!$P$11,J93)*POWER(Upgrades!$P$12,K93)*60</f>
        <v/>
      </c>
      <c r="AE93" s="27">
        <f>(IF(K93=0,0,(Upgrades!$G$12+K93*Upgrades!$H$12)*POWER(Upgrades!$I$12,K93)))*(IF(Upgrades!$T$6="First Photons",POWER(Upgrades!$U$6,E93),1)*IF(Upgrades!$T$7="First Photons",POWER(Upgrades!$U$7,F93),1)*IF(Upgrades!$T$8="First Photons",POWER(Upgrades!$U$8,G93),1)*IF(Upgrades!$T$9="First Photons",POWER(Upgrades!$U$9,H93),1)*IF(Upgrades!$T$10="First Photons",POWER(Upgrades!$U$10,I93),1)*IF(Upgrades!$T$11="First Photons",POWER(Upgrades!$U$11,J93),1))*POWER(Upgrades!$P$6,E93)*POWER(Upgrades!$P$7,F93)*POWER(Upgrades!$P$8,G93)*POWER(Upgrades!$P$9,H93)*POWER(Upgrades!$P$10,I93)*POWER(Upgrades!$P$11,J93)*POWER(Upgrades!$P$12,K93)*60</f>
        <v/>
      </c>
      <c r="AF93" s="27">
        <f>Parameters!$B$9*POWER(Upgrades!$Q$6,E93)*POWER(Upgrades!$Q$7,F93)*POWER(Upgrades!$Q$8,G93)*POWER(Upgrades!$Q$9,H93)*POWER(Upgrades!$Q$10,I93)*POWER(Upgrades!$Q$11,J93)*POWER(Upgrades!$Q$12,K93)*(Parameters!$B$10*Parameters!$B$11+O93*60)</f>
        <v/>
      </c>
      <c r="AG93" s="22">
        <f>IF(E93&gt;=Upgrades!$E$6,"",Upgrades!$C$6*POWER(Upgrades!$D$6,E93))</f>
        <v/>
      </c>
      <c r="AH93" s="22">
        <f>IF(F93&gt;=Upgrades!$E$7,"",Upgrades!$C$7*POWER(Upgrades!$D$7,F93))</f>
        <v/>
      </c>
      <c r="AI93" s="22">
        <f>IF(G93&gt;=Upgrades!$E$8,"",Upgrades!$C$8*POWER(Upgrades!$D$8,G93))</f>
        <v/>
      </c>
      <c r="AJ93" s="22">
        <f>IF(H93&gt;=Upgrades!$E$9,"",Upgrades!$C$9*POWER(Upgrades!$D$9,H93))</f>
        <v/>
      </c>
      <c r="AK93" s="22">
        <f>IF(I93&gt;=Upgrades!$E$10,"",Upgrades!$C$10*POWER(Upgrades!$D$10,I93))</f>
        <v/>
      </c>
      <c r="AL93" s="22">
        <f>IF(J93&gt;=Upgrades!$E$11,"",Upgrades!$C$11*POWER(Upgrades!$D$11,J93))</f>
        <v/>
      </c>
      <c r="AM93" s="22">
        <f>IF(K93&gt;=Upgrades!$E$12,"",Upgrades!$C$12*POWER(Upgrades!$D$12,K93))</f>
        <v/>
      </c>
      <c r="AN93" s="26">
        <f>IF(AND(D93&gt;=Parameters!$B$18,(H93&gt;=Upgrades!$E$9)*(K93&gt;=Upgrades!$E$12)=1,L93=0),1,"")</f>
        <v/>
      </c>
      <c r="AO93" s="26">
        <f>IF(AND(D93&gt;=Parameters!$B$18,L93=0),1,"")</f>
        <v/>
      </c>
      <c r="AP93" s="22">
        <f>MIN(IF(ISNUMBER(AK93),AK93,9E15),IF(ISNUMBER(AL93),AL93,9E15),IF(ISNUMBER(AM93),AM93,9E15))</f>
        <v/>
      </c>
      <c r="AQ93" s="22">
        <f>MIN(IF(ISNUMBER(AG93),AG93,9E15),IF(ISNUMBER(AH93),AH93,9E15),IF(ISNUMBER(AI93),AI93,9E15),IF(ISNUMBER(AJ93),AJ93,9E15))</f>
        <v/>
      </c>
      <c r="AR93" s="29">
        <f>IF(AW93&gt;Parameters!$B$21*(MAX(IF(AND(NOT(AND(AO93=1,AN93&lt;&gt;1)),ISNUMBER(AG93),AG93&lt;=T93),AS93,0),IF(AND(NOT(AND(AO93=1,AN93&lt;&gt;1)),ISNUMBER(AH93),AH93&lt;=T93),AT93,0),IF(AND(NOT(AND(AO93=1,AN93&lt;&gt;1)),ISNUMBER(AI93),AI93&lt;=T93),AU93,0),IF(AND(ISNUMBER(AJ93),AJ93&lt;=T93),AV93,0))),TRUE,FALSE)</f>
        <v/>
      </c>
      <c r="AS93" s="32">
        <f>IFERROR(Upgrades!$H$6*(POWER(Upgrades!$P$6,E93)*POWER(Upgrades!$P$7,F93)*POWER(Upgrades!$P$8,G93)*POWER(Upgrades!$P$9,H93)*POWER(Upgrades!$P$10,I93)*POWER(Upgrades!$P$11,J93)*POWER(Upgrades!$P$12,K93))*(IF(Upgrades!$T$7="Solar Wind",POWER(Upgrades!$U$7,F93),1)*IF(Upgrades!$T$8="Solar Wind",POWER(Upgrades!$U$8,G93),1)*IF(Upgrades!$T$9="Solar Wind",POWER(Upgrades!$U$9,H93),1)*IF(Upgrades!$T$10="Solar Wind",POWER(Upgrades!$U$10,I93),1)*IF(Upgrades!$T$11="Solar Wind",POWER(Upgrades!$U$11,J93),1)*IF(Upgrades!$T$12="Solar Wind",POWER(Upgrades!$U$12,K93),1))/AG93,0)</f>
        <v/>
      </c>
      <c r="AT93" s="32">
        <f>IFERROR(Upgrades!$H$7*(POWER(Upgrades!$P$6,E93)*POWER(Upgrades!$P$7,F93)*POWER(Upgrades!$P$8,G93)*POWER(Upgrades!$P$9,H93)*POWER(Upgrades!$P$10,I93)*POWER(Upgrades!$P$11,J93)*POWER(Upgrades!$P$12,K93))*(IF(Upgrades!$T$6="Asteroid Belt",POWER(Upgrades!$U$6,E93),1)*IF(Upgrades!$T$8="Asteroid Belt",POWER(Upgrades!$U$8,G93),1)*IF(Upgrades!$T$9="Asteroid Belt",POWER(Upgrades!$U$9,H93),1)*IF(Upgrades!$T$10="Asteroid Belt",POWER(Upgrades!$U$10,I93),1)*IF(Upgrades!$T$11="Asteroid Belt",POWER(Upgrades!$U$11,J93),1)*IF(Upgrades!$T$12="Asteroid Belt",POWER(Upgrades!$U$12,K93),1))/AH93,0)</f>
        <v/>
      </c>
      <c r="AU93" s="32">
        <f>IFERROR(Upgrades!$K$8*(POWER(Upgrades!$Q$6,E93)*POWER(Upgrades!$Q$7,F93)*POWER(Upgrades!$Q$8,G93)*POWER(Upgrades!$Q$9,H93)*POWER(Upgrades!$Q$10,I93)*POWER(Upgrades!$Q$11,J93)*POWER(Upgrades!$Q$12,K93))*(IF(Upgrades!$T$6="Stellar Coupling",POWER(Upgrades!$U$6,E93),1)*IF(Upgrades!$T$7="Stellar Coupling",POWER(Upgrades!$U$7,F93),1)*IF(Upgrades!$T$9="Stellar Coupling",POWER(Upgrades!$U$9,H93),1)*IF(Upgrades!$T$10="Stellar Coupling",POWER(Upgrades!$U$10,I93),1)*IF(Upgrades!$T$11="Stellar Coupling",POWER(Upgrades!$U$11,J93),1)*IF(Upgrades!$T$12="Stellar Coupling",POWER(Upgrades!$U$12,K93),1))*Parameters!$B$10*Parameters!$B$11/60/AI93,0)</f>
        <v/>
      </c>
      <c r="AV93" s="32">
        <f>IFERROR(Upgrades!$H$9*(POWER(Upgrades!$P$6,E93)*POWER(Upgrades!$P$7,F93)*POWER(Upgrades!$P$8,G93)*POWER(Upgrades!$P$9,H93)*POWER(Upgrades!$P$10,I93)*POWER(Upgrades!$P$11,J93)*POWER(Upgrades!$P$12,K93))*(IF(Upgrades!$T$6="Magnetosphere",POWER(Upgrades!$U$6,E93),1)*IF(Upgrades!$T$7="Magnetosphere",POWER(Upgrades!$U$7,F93),1)*IF(Upgrades!$T$8="Magnetosphere",POWER(Upgrades!$U$8,G93),1)*IF(Upgrades!$T$10="Magnetosphere",POWER(Upgrades!$U$10,I93),1)*IF(Upgrades!$T$11="Magnetosphere",POWER(Upgrades!$U$11,J93),1)*IF(Upgrades!$T$12="Magnetosphere",POWER(Upgrades!$U$12,K93),1))/AJ93,0)</f>
        <v/>
      </c>
      <c r="AW93" s="32">
        <f>MAX(IF(I93&gt;0,0,IFERROR(0.25*N93/Upgrades!$C$10,0)),IF(J93&gt;0,0,IFERROR(0.5*((IF(G93=0,0,(Upgrades!$J$8+G93*Upgrades!$K$8)*POWER(Upgrades!$L$8,G93)))*(IF(Upgrades!$T$6="Stellar Coupling",POWER(Upgrades!$U$6,E93),1)*IF(Upgrades!$T$7="Stellar Coupling",POWER(Upgrades!$U$7,F93),1)*IF(Upgrades!$T$9="Stellar Coupling",POWER(Upgrades!$U$9,H93),1)*IF(Upgrades!$T$10="Stellar Coupling",POWER(Upgrades!$U$10,I93),1)*IF(Upgrades!$T$11="Stellar Coupling",POWER(Upgrades!$U$11,J93),1)*IF(Upgrades!$T$12="Stellar Coupling",POWER(Upgrades!$U$12,K93),1))*(POWER(Upgrades!$Q$6,E93)*POWER(Upgrades!$Q$7,F93)*POWER(Upgrades!$Q$8,G93)*POWER(Upgrades!$Q$9,H93)*POWER(Upgrades!$Q$10,I93)*POWER(Upgrades!$Q$11,J93)*POWER(Upgrades!$Q$12,K93))*Parameters!$B$10*Parameters!$B$11/60)/Upgrades!$C$11,0)),IF(K93&gt;0,0,IFERROR((1.0*(POWER(Upgrades!$P$6,E93)*POWER(Upgrades!$P$7,F93)*POWER(Upgrades!$P$8,G93)*POWER(Upgrades!$P$9,H93)*POWER(Upgrades!$P$10,I93)*POWER(Upgrades!$P$11,J93)*POWER(Upgrades!$P$12,K93))+0.20*M93*Parameters!$B$10*Parameters!$B$11/60)/Upgrades!$C$12,0)),IF(AND(ISNUMBER(AG93),AG93&gt;T93),AS93,0),IF(AND(ISNUMBER(AH93),AH93&gt;T93),AT93,0),IF(AND(ISNUMBER(AI93),AI93&gt;T93),AU93,0),IF(AND(ISNUMBER(AJ93),AJ93&gt;T93),AV93,0))</f>
        <v/>
      </c>
      <c r="AX93" s="29">
        <f>IF(AN93=1,"transition",IF(MIN(IF(AND(I93=0,ISNUMBER(AK93),AK93&lt;=T93),AK93,9E15),IF(AND(J93=0,ISNUMBER(AL93),AL93&lt;=T93),AL93,9E15),IF(AND(K93=0,ISNUMBER(AM93),AM93&lt;=T93),AM93,9E15))&lt;9E15,IF(AND(AND(I93=0,ISNUMBER(AK93),AK93&lt;=T93),AK93=MIN(IF(AND(I93=0,ISNUMBER(AK93),AK93&lt;=T93),AK93,9E15),IF(AND(J93=0,ISNUMBER(AL93),AL93&lt;=T93),AL93,9E15),IF(AND(K93=0,ISNUMBER(AM93),AM93&lt;=T93),AM93,9E15))),"OR",IF(AND(AND(J93=0,ISNUMBER(AL93),AL93&lt;=T93),AL93=MIN(IF(AND(I93=0,ISNUMBER(AK93),AK93&lt;=T93),AK93,9E15),IF(AND(J93=0,ISNUMBER(AL93),AL93&lt;=T93),AL93,9E15),IF(AND(K93=0,ISNUMBER(AM93),AM93&lt;=T93),AM93,9E15))),"HP","FP")),IF(AR93=TRUE,"",IF(MAX(IF(AND(NOT(AND(AO93=1,AN93&lt;&gt;1)),ISNUMBER(AG93),AG93&lt;=T93),AS93,0),IF(AND(NOT(AND(AO93=1,AN93&lt;&gt;1)),ISNUMBER(AH93),AH93&lt;=T93),AT93,0),IF(AND(NOT(AND(AO93=1,AN93&lt;&gt;1)),ISNUMBER(AI93),AI93&lt;=T93),AU93,0),IF(AND(ISNUMBER(AJ93),AJ93&lt;=T93),AV93,0))&lt;=0,"",IF(AND(IF(AND(NOT(AND(AO93=1,AN93&lt;&gt;1)),ISNUMBER(AG93),AG93&lt;=T93),AS93,0)&gt;0,IF(AND(NOT(AND(AO93=1,AN93&lt;&gt;1)),ISNUMBER(AG93),AG93&lt;=T93),AS93,0)=MAX(IF(AND(NOT(AND(AO93=1,AN93&lt;&gt;1)),ISNUMBER(AG93),AG93&lt;=T93),AS93,0),IF(AND(NOT(AND(AO93=1,AN93&lt;&gt;1)),ISNUMBER(AH93),AH93&lt;=T93),AT93,0),IF(AND(NOT(AND(AO93=1,AN93&lt;&gt;1)),ISNUMBER(AI93),AI93&lt;=T93),AU93,0),IF(AND(ISNUMBER(AJ93),AJ93&lt;=T93),AV93,0))),"SW",IF(AND(IF(AND(NOT(AND(AO93=1,AN93&lt;&gt;1)),ISNUMBER(AH93),AH93&lt;=T93),AT93,0)&gt;0,IF(AND(NOT(AND(AO93=1,AN93&lt;&gt;1)),ISNUMBER(AH93),AH93&lt;=T93),AT93,0)=MAX(IF(AND(NOT(AND(AO93=1,AN93&lt;&gt;1)),ISNUMBER(AG93),AG93&lt;=T93),AS93,0),IF(AND(NOT(AND(AO93=1,AN93&lt;&gt;1)),ISNUMBER(AH93),AH93&lt;=T93),AT93,0),IF(AND(NOT(AND(AO93=1,AN93&lt;&gt;1)),ISNUMBER(AI93),AI93&lt;=T93),AU93,0),IF(AND(ISNUMBER(AJ93),AJ93&lt;=T93),AV93,0))),"AB",IF(AND(IF(AND(NOT(AND(AO93=1,AN93&lt;&gt;1)),ISNUMBER(AI93),AI93&lt;=T93),AU93,0)&gt;0,IF(AND(NOT(AND(AO93=1,AN93&lt;&gt;1)),ISNUMBER(AI93),AI93&lt;=T93),AU93,0)=MAX(IF(AND(NOT(AND(AO93=1,AN93&lt;&gt;1)),ISNUMBER(AG93),AG93&lt;=T93),AS93,0),IF(AND(NOT(AND(AO93=1,AN93&lt;&gt;1)),ISNUMBER(AH93),AH93&lt;=T93),AT93,0),IF(AND(NOT(AND(AO93=1,AN93&lt;&gt;1)),ISNUMBER(AI93),AI93&lt;=T93),AU93,0),IF(AND(ISNUMBER(AJ93),AJ93&lt;=T93),AV93,0))),"SC","Mag")))))))</f>
        <v/>
      </c>
    </row>
    <row r="94">
      <c r="A94" s="26" t="n">
        <v>89</v>
      </c>
      <c r="B94" s="27">
        <f>A94*10/60</f>
        <v/>
      </c>
      <c r="C94" s="22">
        <f>X93</f>
        <v/>
      </c>
      <c r="D94" s="27">
        <f>D93+W93</f>
        <v/>
      </c>
      <c r="E94" s="26">
        <f>E93+IF(U93="SW",1,0)</f>
        <v/>
      </c>
      <c r="F94" s="26">
        <f>F93+IF(U93="AB",1,0)</f>
        <v/>
      </c>
      <c r="G94" s="26">
        <f>G93+IF(U93="SC",1,0)</f>
        <v/>
      </c>
      <c r="H94" s="26">
        <f>H93+IF(U93="Mag",1,0)</f>
        <v/>
      </c>
      <c r="I94" s="26">
        <f>MAX(I93,IF(U93="OR",1,0))</f>
        <v/>
      </c>
      <c r="J94" s="26">
        <f>MAX(J93,IF(U93="HP",1,0))</f>
        <v/>
      </c>
      <c r="K94" s="26">
        <f>MAX(K93,IF(U93="FP",1,0))</f>
        <v/>
      </c>
      <c r="L94" s="26">
        <f>MAX(L93,IF(U93="transition",1,0))</f>
        <v/>
      </c>
      <c r="M94" s="28">
        <f>(Parameters!$B$9+(IF(E94=0,0,(Upgrades!$J$6+E94*Upgrades!$K$6)*POWER(Upgrades!$L$6,E94)))*(IF(Upgrades!$T$7="Solar Wind",POWER(Upgrades!$U$7,F94),1)*IF(Upgrades!$T$8="Solar Wind",POWER(Upgrades!$U$8,G94),1)*IF(Upgrades!$T$9="Solar Wind",POWER(Upgrades!$U$9,H94),1)*IF(Upgrades!$T$10="Solar Wind",POWER(Upgrades!$U$10,I94),1)*IF(Upgrades!$T$11="Solar Wind",POWER(Upgrades!$U$11,J94),1)*IF(Upgrades!$T$12="Solar Wind",POWER(Upgrades!$U$12,K94),1))+(IF(F94=0,0,(Upgrades!$J$7+F94*Upgrades!$K$7)*POWER(Upgrades!$L$7,F94)))*(IF(Upgrades!$T$6="Asteroid Belt",POWER(Upgrades!$U$6,E94),1)*IF(Upgrades!$T$8="Asteroid Belt",POWER(Upgrades!$U$8,G94),1)*IF(Upgrades!$T$9="Asteroid Belt",POWER(Upgrades!$U$9,H94),1)*IF(Upgrades!$T$10="Asteroid Belt",POWER(Upgrades!$U$10,I94),1)*IF(Upgrades!$T$11="Asteroid Belt",POWER(Upgrades!$U$11,J94),1)*IF(Upgrades!$T$12="Asteroid Belt",POWER(Upgrades!$U$12,K94),1))+(IF(G94=0,0,(Upgrades!$J$8+G94*Upgrades!$K$8)*POWER(Upgrades!$L$8,G94)))*(IF(Upgrades!$T$6="Stellar Coupling",POWER(Upgrades!$U$6,E94),1)*IF(Upgrades!$T$7="Stellar Coupling",POWER(Upgrades!$U$7,F94),1)*IF(Upgrades!$T$9="Stellar Coupling",POWER(Upgrades!$U$9,H94),1)*IF(Upgrades!$T$10="Stellar Coupling",POWER(Upgrades!$U$10,I94),1)*IF(Upgrades!$T$11="Stellar Coupling",POWER(Upgrades!$U$11,J94),1)*IF(Upgrades!$T$12="Stellar Coupling",POWER(Upgrades!$U$12,K94),1))+(IF(H94=0,0,(Upgrades!$J$9+H94*Upgrades!$K$9)*POWER(Upgrades!$L$9,H94)))*(IF(Upgrades!$T$6="Magnetosphere",POWER(Upgrades!$U$6,E94),1)*IF(Upgrades!$T$7="Magnetosphere",POWER(Upgrades!$U$7,F94),1)*IF(Upgrades!$T$8="Magnetosphere",POWER(Upgrades!$U$8,G94),1)*IF(Upgrades!$T$10="Magnetosphere",POWER(Upgrades!$U$10,I94),1)*IF(Upgrades!$T$11="Magnetosphere",POWER(Upgrades!$U$11,J94),1)*IF(Upgrades!$T$12="Magnetosphere",POWER(Upgrades!$U$12,K94),1))+(IF(I94=0,0,(Upgrades!$J$10+I94*Upgrades!$K$10)*POWER(Upgrades!$L$10,I94)))*(IF(Upgrades!$T$6="Orbital Resonance",POWER(Upgrades!$U$6,E94),1)*IF(Upgrades!$T$7="Orbital Resonance",POWER(Upgrades!$U$7,F94),1)*IF(Upgrades!$T$8="Orbital Resonance",POWER(Upgrades!$U$8,G94),1)*IF(Upgrades!$T$9="Orbital Resonance",POWER(Upgrades!$U$9,H94),1)*IF(Upgrades!$T$11="Orbital Resonance",POWER(Upgrades!$U$11,J94),1)*IF(Upgrades!$T$12="Orbital Resonance",POWER(Upgrades!$U$12,K94),1))+(IF(J94=0,0,(Upgrades!$J$11+J94*Upgrades!$K$11)*POWER(Upgrades!$L$11,J94)))*(IF(Upgrades!$T$6="Heliopause",POWER(Upgrades!$U$6,E94),1)*IF(Upgrades!$T$7="Heliopause",POWER(Upgrades!$U$7,F94),1)*IF(Upgrades!$T$8="Heliopause",POWER(Upgrades!$U$8,G94),1)*IF(Upgrades!$T$9="Heliopause",POWER(Upgrades!$U$9,H94),1)*IF(Upgrades!$T$10="Heliopause",POWER(Upgrades!$U$10,I94),1)*IF(Upgrades!$T$12="Heliopause",POWER(Upgrades!$U$12,K94),1))+(IF(K94=0,0,(Upgrades!$J$12+K94*Upgrades!$K$12)*POWER(Upgrades!$L$12,K94)))*(IF(Upgrades!$T$6="First Photons",POWER(Upgrades!$U$6,E94),1)*IF(Upgrades!$T$7="First Photons",POWER(Upgrades!$U$7,F94),1)*IF(Upgrades!$T$8="First Photons",POWER(Upgrades!$U$8,G94),1)*IF(Upgrades!$T$9="First Photons",POWER(Upgrades!$U$9,H94),1)*IF(Upgrades!$T$10="First Photons",POWER(Upgrades!$U$10,I94),1)*IF(Upgrades!$T$11="First Photons",POWER(Upgrades!$U$11,J94),1)))*POWER(Upgrades!$Q$6,E94)*POWER(Upgrades!$Q$7,F94)*POWER(Upgrades!$Q$8,G94)*POWER(Upgrades!$Q$9,H94)*POWER(Upgrades!$Q$10,I94)*POWER(Upgrades!$Q$11,J94)*POWER(Upgrades!$Q$12,K94)</f>
        <v/>
      </c>
      <c r="N94" s="28">
        <f>((IF(E94=0,0,(Upgrades!$G$6+E94*Upgrades!$H$6)*POWER(Upgrades!$I$6,E94)))*(IF(Upgrades!$T$7="Solar Wind",POWER(Upgrades!$U$7,F94),1)*IF(Upgrades!$T$8="Solar Wind",POWER(Upgrades!$U$8,G94),1)*IF(Upgrades!$T$9="Solar Wind",POWER(Upgrades!$U$9,H94),1)*IF(Upgrades!$T$10="Solar Wind",POWER(Upgrades!$U$10,I94),1)*IF(Upgrades!$T$11="Solar Wind",POWER(Upgrades!$U$11,J94),1)*IF(Upgrades!$T$12="Solar Wind",POWER(Upgrades!$U$12,K94),1))+(IF(F94=0,0,(Upgrades!$G$7+F94*Upgrades!$H$7)*POWER(Upgrades!$I$7,F94)))*(IF(Upgrades!$T$6="Asteroid Belt",POWER(Upgrades!$U$6,E94),1)*IF(Upgrades!$T$8="Asteroid Belt",POWER(Upgrades!$U$8,G94),1)*IF(Upgrades!$T$9="Asteroid Belt",POWER(Upgrades!$U$9,H94),1)*IF(Upgrades!$T$10="Asteroid Belt",POWER(Upgrades!$U$10,I94),1)*IF(Upgrades!$T$11="Asteroid Belt",POWER(Upgrades!$U$11,J94),1)*IF(Upgrades!$T$12="Asteroid Belt",POWER(Upgrades!$U$12,K94),1))+(IF(G94=0,0,(Upgrades!$G$8+G94*Upgrades!$H$8)*POWER(Upgrades!$I$8,G94)))*(IF(Upgrades!$T$6="Stellar Coupling",POWER(Upgrades!$U$6,E94),1)*IF(Upgrades!$T$7="Stellar Coupling",POWER(Upgrades!$U$7,F94),1)*IF(Upgrades!$T$9="Stellar Coupling",POWER(Upgrades!$U$9,H94),1)*IF(Upgrades!$T$10="Stellar Coupling",POWER(Upgrades!$U$10,I94),1)*IF(Upgrades!$T$11="Stellar Coupling",POWER(Upgrades!$U$11,J94),1)*IF(Upgrades!$T$12="Stellar Coupling",POWER(Upgrades!$U$12,K94),1))+(IF(H94=0,0,(Upgrades!$G$9+H94*Upgrades!$H$9)*POWER(Upgrades!$I$9,H94)))*(IF(Upgrades!$T$6="Magnetosphere",POWER(Upgrades!$U$6,E94),1)*IF(Upgrades!$T$7="Magnetosphere",POWER(Upgrades!$U$7,F94),1)*IF(Upgrades!$T$8="Magnetosphere",POWER(Upgrades!$U$8,G94),1)*IF(Upgrades!$T$10="Magnetosphere",POWER(Upgrades!$U$10,I94),1)*IF(Upgrades!$T$11="Magnetosphere",POWER(Upgrades!$U$11,J94),1)*IF(Upgrades!$T$12="Magnetosphere",POWER(Upgrades!$U$12,K94),1))+(IF(I94=0,0,(Upgrades!$G$10+I94*Upgrades!$H$10)*POWER(Upgrades!$I$10,I94)))*(IF(Upgrades!$T$6="Orbital Resonance",POWER(Upgrades!$U$6,E94),1)*IF(Upgrades!$T$7="Orbital Resonance",POWER(Upgrades!$U$7,F94),1)*IF(Upgrades!$T$8="Orbital Resonance",POWER(Upgrades!$U$8,G94),1)*IF(Upgrades!$T$9="Orbital Resonance",POWER(Upgrades!$U$9,H94),1)*IF(Upgrades!$T$11="Orbital Resonance",POWER(Upgrades!$U$11,J94),1)*IF(Upgrades!$T$12="Orbital Resonance",POWER(Upgrades!$U$12,K94),1))+(IF(J94=0,0,(Upgrades!$G$11+J94*Upgrades!$H$11)*POWER(Upgrades!$I$11,J94)))*(IF(Upgrades!$T$6="Heliopause",POWER(Upgrades!$U$6,E94),1)*IF(Upgrades!$T$7="Heliopause",POWER(Upgrades!$U$7,F94),1)*IF(Upgrades!$T$8="Heliopause",POWER(Upgrades!$U$8,G94),1)*IF(Upgrades!$T$9="Heliopause",POWER(Upgrades!$U$9,H94),1)*IF(Upgrades!$T$10="Heliopause",POWER(Upgrades!$U$10,I94),1)*IF(Upgrades!$T$12="Heliopause",POWER(Upgrades!$U$12,K94),1))+(IF(K94=0,0,(Upgrades!$G$12+K94*Upgrades!$H$12)*POWER(Upgrades!$I$12,K94)))*(IF(Upgrades!$T$6="First Photons",POWER(Upgrades!$U$6,E94),1)*IF(Upgrades!$T$7="First Photons",POWER(Upgrades!$U$7,F94),1)*IF(Upgrades!$T$8="First Photons",POWER(Upgrades!$U$8,G94),1)*IF(Upgrades!$T$9="First Photons",POWER(Upgrades!$U$9,H94),1)*IF(Upgrades!$T$10="First Photons",POWER(Upgrades!$U$10,I94),1)*IF(Upgrades!$T$11="First Photons",POWER(Upgrades!$U$11,J94),1)))*POWER(Upgrades!$P$6,E94)*POWER(Upgrades!$P$7,F94)*POWER(Upgrades!$P$8,G94)*POWER(Upgrades!$P$9,H94)*POWER(Upgrades!$P$10,I94)*POWER(Upgrades!$P$11,J94)*POWER(Upgrades!$P$12,K94)</f>
        <v/>
      </c>
      <c r="O94" s="28">
        <f>((IF(E94=0,0,(Upgrades!$M$6+E94*Upgrades!$N$6)*POWER(Upgrades!$O$6,E94)))*(IF(Upgrades!$T$7="Solar Wind",POWER(Upgrades!$U$7,F94),1)*IF(Upgrades!$T$8="Solar Wind",POWER(Upgrades!$U$8,G94),1)*IF(Upgrades!$T$9="Solar Wind",POWER(Upgrades!$U$9,H94),1)*IF(Upgrades!$T$10="Solar Wind",POWER(Upgrades!$U$10,I94),1)*IF(Upgrades!$T$11="Solar Wind",POWER(Upgrades!$U$11,J94),1)*IF(Upgrades!$T$12="Solar Wind",POWER(Upgrades!$U$12,K94),1))+(IF(F94=0,0,(Upgrades!$M$7+F94*Upgrades!$N$7)*POWER(Upgrades!$O$7,F94)))*(IF(Upgrades!$T$6="Asteroid Belt",POWER(Upgrades!$U$6,E94),1)*IF(Upgrades!$T$8="Asteroid Belt",POWER(Upgrades!$U$8,G94),1)*IF(Upgrades!$T$9="Asteroid Belt",POWER(Upgrades!$U$9,H94),1)*IF(Upgrades!$T$10="Asteroid Belt",POWER(Upgrades!$U$10,I94),1)*IF(Upgrades!$T$11="Asteroid Belt",POWER(Upgrades!$U$11,J94),1)*IF(Upgrades!$T$12="Asteroid Belt",POWER(Upgrades!$U$12,K94),1))+(IF(G94=0,0,(Upgrades!$M$8+G94*Upgrades!$N$8)*POWER(Upgrades!$O$8,G94)))*(IF(Upgrades!$T$6="Stellar Coupling",POWER(Upgrades!$U$6,E94),1)*IF(Upgrades!$T$7="Stellar Coupling",POWER(Upgrades!$U$7,F94),1)*IF(Upgrades!$T$9="Stellar Coupling",POWER(Upgrades!$U$9,H94),1)*IF(Upgrades!$T$10="Stellar Coupling",POWER(Upgrades!$U$10,I94),1)*IF(Upgrades!$T$11="Stellar Coupling",POWER(Upgrades!$U$11,J94),1)*IF(Upgrades!$T$12="Stellar Coupling",POWER(Upgrades!$U$12,K94),1))+(IF(H94=0,0,(Upgrades!$M$9+H94*Upgrades!$N$9)*POWER(Upgrades!$O$9,H94)))*(IF(Upgrades!$T$6="Magnetosphere",POWER(Upgrades!$U$6,E94),1)*IF(Upgrades!$T$7="Magnetosphere",POWER(Upgrades!$U$7,F94),1)*IF(Upgrades!$T$8="Magnetosphere",POWER(Upgrades!$U$8,G94),1)*IF(Upgrades!$T$10="Magnetosphere",POWER(Upgrades!$U$10,I94),1)*IF(Upgrades!$T$11="Magnetosphere",POWER(Upgrades!$U$11,J94),1)*IF(Upgrades!$T$12="Magnetosphere",POWER(Upgrades!$U$12,K94),1))+(IF(I94=0,0,(Upgrades!$M$10+I94*Upgrades!$N$10)*POWER(Upgrades!$O$10,I94)))*(IF(Upgrades!$T$6="Orbital Resonance",POWER(Upgrades!$U$6,E94),1)*IF(Upgrades!$T$7="Orbital Resonance",POWER(Upgrades!$U$7,F94),1)*IF(Upgrades!$T$8="Orbital Resonance",POWER(Upgrades!$U$8,G94),1)*IF(Upgrades!$T$9="Orbital Resonance",POWER(Upgrades!$U$9,H94),1)*IF(Upgrades!$T$11="Orbital Resonance",POWER(Upgrades!$U$11,J94),1)*IF(Upgrades!$T$12="Orbital Resonance",POWER(Upgrades!$U$12,K94),1))+(IF(J94=0,0,(Upgrades!$M$11+J94*Upgrades!$N$11)*POWER(Upgrades!$O$11,J94)))*(IF(Upgrades!$T$6="Heliopause",POWER(Upgrades!$U$6,E94),1)*IF(Upgrades!$T$7="Heliopause",POWER(Upgrades!$U$7,F94),1)*IF(Upgrades!$T$8="Heliopause",POWER(Upgrades!$U$8,G94),1)*IF(Upgrades!$T$9="Heliopause",POWER(Upgrades!$U$9,H94),1)*IF(Upgrades!$T$10="Heliopause",POWER(Upgrades!$U$10,I94),1)*IF(Upgrades!$T$12="Heliopause",POWER(Upgrades!$U$12,K94),1))+(IF(K94=0,0,(Upgrades!$M$12+K94*Upgrades!$N$12)*POWER(Upgrades!$O$12,K94)))*(IF(Upgrades!$T$6="First Photons",POWER(Upgrades!$U$6,E94),1)*IF(Upgrades!$T$7="First Photons",POWER(Upgrades!$U$7,F94),1)*IF(Upgrades!$T$8="First Photons",POWER(Upgrades!$U$8,G94),1)*IF(Upgrades!$T$9="First Photons",POWER(Upgrades!$U$9,H94),1)*IF(Upgrades!$T$10="First Photons",POWER(Upgrades!$U$10,I94),1)*IF(Upgrades!$T$11="First Photons",POWER(Upgrades!$U$11,J94),1)))*POWER(Upgrades!$R$6,E94)*POWER(Upgrades!$R$7,F94)*POWER(Upgrades!$R$8,G94)*POWER(Upgrades!$R$9,H94)*POWER(Upgrades!$R$10,I94)*POWER(Upgrades!$R$11,J94)*POWER(Upgrades!$R$12,K94)</f>
        <v/>
      </c>
      <c r="P94" s="27">
        <f>IF(L94=1,0,M94*Parameters!$B$10/60*Parameters!$B$11*10)</f>
        <v/>
      </c>
      <c r="Q94" s="27">
        <f>IF(L94=1,0,O94*M94*10)</f>
        <v/>
      </c>
      <c r="R94" s="27">
        <f>IF(L94=1,0,N94*10)</f>
        <v/>
      </c>
      <c r="S94" s="27">
        <f>P94+Q94+R94</f>
        <v/>
      </c>
      <c r="T94" s="22">
        <f>C94+S94</f>
        <v/>
      </c>
      <c r="U94" s="33">
        <f>AX94</f>
        <v/>
      </c>
      <c r="V94" s="22">
        <f>IF(U94="",0,IF(U94="transition",0,IF(U94="SW",AG94,IF(U94="AB",AH94,IF(U94="SC",AI94,IF(U94="Mag",AJ94,IF(U94="OR",AK94,IF(U94="HP",AL94,IF(U94="FP",AM94,0)))))))))</f>
        <v/>
      </c>
      <c r="W94" s="27">
        <f>IF(U94="OR",Upgrades!$F$10,IF(U94="HP",Upgrades!$F$11,IF(U94="transition",-Parameters!$B$18,0)))</f>
        <v/>
      </c>
      <c r="X94" s="22">
        <f>T94-V94</f>
        <v/>
      </c>
      <c r="Y94" s="30">
        <f>M94*Parameters!$B$10/60*Parameters!$B$11+O94*M94+N94</f>
        <v/>
      </c>
      <c r="Z94" s="34">
        <f>IF(U94="transition","→ Tier 2 (Stellar Neighborhood)",IF(U94="FP","First Photons — light begins, system quickens",IF(U94="HP","Heliopause acquired",IF(U94="OR","Orbital Resonance — passive multiplier active",IF(AND(AO94=1,L94=0,AN94&lt;&gt;1),"Cohesion ready (waiting on completionist upgrades)","")))))</f>
        <v/>
      </c>
      <c r="AA94" s="27">
        <f>(IF(E94=0,0,(Upgrades!$G$6+E94*Upgrades!$H$6)*POWER(Upgrades!$I$6,E94)))*(IF(Upgrades!$T$7="Solar Wind",POWER(Upgrades!$U$7,F94),1)*IF(Upgrades!$T$8="Solar Wind",POWER(Upgrades!$U$8,G94),1)*IF(Upgrades!$T$9="Solar Wind",POWER(Upgrades!$U$9,H94),1)*IF(Upgrades!$T$10="Solar Wind",POWER(Upgrades!$U$10,I94),1)*IF(Upgrades!$T$11="Solar Wind",POWER(Upgrades!$U$11,J94),1)*IF(Upgrades!$T$12="Solar Wind",POWER(Upgrades!$U$12,K94),1))*POWER(Upgrades!$P$6,E94)*POWER(Upgrades!$P$7,F94)*POWER(Upgrades!$P$8,G94)*POWER(Upgrades!$P$9,H94)*POWER(Upgrades!$P$10,I94)*POWER(Upgrades!$P$11,J94)*POWER(Upgrades!$P$12,K94)*60</f>
        <v/>
      </c>
      <c r="AB94" s="27">
        <f>(IF(F94=0,0,(Upgrades!$G$7+F94*Upgrades!$H$7)*POWER(Upgrades!$I$7,F94)))*(IF(Upgrades!$T$6="Asteroid Belt",POWER(Upgrades!$U$6,E94),1)*IF(Upgrades!$T$8="Asteroid Belt",POWER(Upgrades!$U$8,G94),1)*IF(Upgrades!$T$9="Asteroid Belt",POWER(Upgrades!$U$9,H94),1)*IF(Upgrades!$T$10="Asteroid Belt",POWER(Upgrades!$U$10,I94),1)*IF(Upgrades!$T$11="Asteroid Belt",POWER(Upgrades!$U$11,J94),1)*IF(Upgrades!$T$12="Asteroid Belt",POWER(Upgrades!$U$12,K94),1))*POWER(Upgrades!$P$6,E94)*POWER(Upgrades!$P$7,F94)*POWER(Upgrades!$P$8,G94)*POWER(Upgrades!$P$9,H94)*POWER(Upgrades!$P$10,I94)*POWER(Upgrades!$P$11,J94)*POWER(Upgrades!$P$12,K94)*60</f>
        <v/>
      </c>
      <c r="AC94" s="27">
        <f>(IF(G94=0,0,(Upgrades!$J$8+G94*Upgrades!$K$8)*POWER(Upgrades!$L$8,G94)))*(IF(Upgrades!$T$6="Stellar Coupling",POWER(Upgrades!$U$6,E94),1)*IF(Upgrades!$T$7="Stellar Coupling",POWER(Upgrades!$U$7,F94),1)*IF(Upgrades!$T$9="Stellar Coupling",POWER(Upgrades!$U$9,H94),1)*IF(Upgrades!$T$10="Stellar Coupling",POWER(Upgrades!$U$10,I94),1)*IF(Upgrades!$T$11="Stellar Coupling",POWER(Upgrades!$U$11,J94),1)*IF(Upgrades!$T$12="Stellar Coupling",POWER(Upgrades!$U$12,K94),1))*POWER(Upgrades!$Q$6,E94)*POWER(Upgrades!$Q$7,F94)*POWER(Upgrades!$Q$8,G94)*POWER(Upgrades!$Q$9,H94)*POWER(Upgrades!$Q$10,I94)*POWER(Upgrades!$Q$11,J94)*POWER(Upgrades!$Q$12,K94)*Parameters!$B$10*Parameters!$B$11</f>
        <v/>
      </c>
      <c r="AD94" s="27">
        <f>(IF(H94=0,0,(Upgrades!$G$9+H94*Upgrades!$H$9)*POWER(Upgrades!$I$9,H94)))*(IF(Upgrades!$T$6="Magnetosphere",POWER(Upgrades!$U$6,E94),1)*IF(Upgrades!$T$7="Magnetosphere",POWER(Upgrades!$U$7,F94),1)*IF(Upgrades!$T$8="Magnetosphere",POWER(Upgrades!$U$8,G94),1)*IF(Upgrades!$T$10="Magnetosphere",POWER(Upgrades!$U$10,I94),1)*IF(Upgrades!$T$11="Magnetosphere",POWER(Upgrades!$U$11,J94),1)*IF(Upgrades!$T$12="Magnetosphere",POWER(Upgrades!$U$12,K94),1))*POWER(Upgrades!$P$6,E94)*POWER(Upgrades!$P$7,F94)*POWER(Upgrades!$P$8,G94)*POWER(Upgrades!$P$9,H94)*POWER(Upgrades!$P$10,I94)*POWER(Upgrades!$P$11,J94)*POWER(Upgrades!$P$12,K94)*60</f>
        <v/>
      </c>
      <c r="AE94" s="27">
        <f>(IF(K94=0,0,(Upgrades!$G$12+K94*Upgrades!$H$12)*POWER(Upgrades!$I$12,K94)))*(IF(Upgrades!$T$6="First Photons",POWER(Upgrades!$U$6,E94),1)*IF(Upgrades!$T$7="First Photons",POWER(Upgrades!$U$7,F94),1)*IF(Upgrades!$T$8="First Photons",POWER(Upgrades!$U$8,G94),1)*IF(Upgrades!$T$9="First Photons",POWER(Upgrades!$U$9,H94),1)*IF(Upgrades!$T$10="First Photons",POWER(Upgrades!$U$10,I94),1)*IF(Upgrades!$T$11="First Photons",POWER(Upgrades!$U$11,J94),1))*POWER(Upgrades!$P$6,E94)*POWER(Upgrades!$P$7,F94)*POWER(Upgrades!$P$8,G94)*POWER(Upgrades!$P$9,H94)*POWER(Upgrades!$P$10,I94)*POWER(Upgrades!$P$11,J94)*POWER(Upgrades!$P$12,K94)*60</f>
        <v/>
      </c>
      <c r="AF94" s="27">
        <f>Parameters!$B$9*POWER(Upgrades!$Q$6,E94)*POWER(Upgrades!$Q$7,F94)*POWER(Upgrades!$Q$8,G94)*POWER(Upgrades!$Q$9,H94)*POWER(Upgrades!$Q$10,I94)*POWER(Upgrades!$Q$11,J94)*POWER(Upgrades!$Q$12,K94)*(Parameters!$B$10*Parameters!$B$11+O94*60)</f>
        <v/>
      </c>
      <c r="AG94" s="22">
        <f>IF(E94&gt;=Upgrades!$E$6,"",Upgrades!$C$6*POWER(Upgrades!$D$6,E94))</f>
        <v/>
      </c>
      <c r="AH94" s="22">
        <f>IF(F94&gt;=Upgrades!$E$7,"",Upgrades!$C$7*POWER(Upgrades!$D$7,F94))</f>
        <v/>
      </c>
      <c r="AI94" s="22">
        <f>IF(G94&gt;=Upgrades!$E$8,"",Upgrades!$C$8*POWER(Upgrades!$D$8,G94))</f>
        <v/>
      </c>
      <c r="AJ94" s="22">
        <f>IF(H94&gt;=Upgrades!$E$9,"",Upgrades!$C$9*POWER(Upgrades!$D$9,H94))</f>
        <v/>
      </c>
      <c r="AK94" s="22">
        <f>IF(I94&gt;=Upgrades!$E$10,"",Upgrades!$C$10*POWER(Upgrades!$D$10,I94))</f>
        <v/>
      </c>
      <c r="AL94" s="22">
        <f>IF(J94&gt;=Upgrades!$E$11,"",Upgrades!$C$11*POWER(Upgrades!$D$11,J94))</f>
        <v/>
      </c>
      <c r="AM94" s="22">
        <f>IF(K94&gt;=Upgrades!$E$12,"",Upgrades!$C$12*POWER(Upgrades!$D$12,K94))</f>
        <v/>
      </c>
      <c r="AN94" s="26">
        <f>IF(AND(D94&gt;=Parameters!$B$18,(H94&gt;=Upgrades!$E$9)*(K94&gt;=Upgrades!$E$12)=1,L94=0),1,"")</f>
        <v/>
      </c>
      <c r="AO94" s="26">
        <f>IF(AND(D94&gt;=Parameters!$B$18,L94=0),1,"")</f>
        <v/>
      </c>
      <c r="AP94" s="22">
        <f>MIN(IF(ISNUMBER(AK94),AK94,9E15),IF(ISNUMBER(AL94),AL94,9E15),IF(ISNUMBER(AM94),AM94,9E15))</f>
        <v/>
      </c>
      <c r="AQ94" s="22">
        <f>MIN(IF(ISNUMBER(AG94),AG94,9E15),IF(ISNUMBER(AH94),AH94,9E15),IF(ISNUMBER(AI94),AI94,9E15),IF(ISNUMBER(AJ94),AJ94,9E15))</f>
        <v/>
      </c>
      <c r="AR94" s="29">
        <f>IF(AW94&gt;Parameters!$B$21*(MAX(IF(AND(NOT(AND(AO94=1,AN94&lt;&gt;1)),ISNUMBER(AG94),AG94&lt;=T94),AS94,0),IF(AND(NOT(AND(AO94=1,AN94&lt;&gt;1)),ISNUMBER(AH94),AH94&lt;=T94),AT94,0),IF(AND(NOT(AND(AO94=1,AN94&lt;&gt;1)),ISNUMBER(AI94),AI94&lt;=T94),AU94,0),IF(AND(ISNUMBER(AJ94),AJ94&lt;=T94),AV94,0))),TRUE,FALSE)</f>
        <v/>
      </c>
      <c r="AS94" s="32">
        <f>IFERROR(Upgrades!$H$6*(POWER(Upgrades!$P$6,E94)*POWER(Upgrades!$P$7,F94)*POWER(Upgrades!$P$8,G94)*POWER(Upgrades!$P$9,H94)*POWER(Upgrades!$P$10,I94)*POWER(Upgrades!$P$11,J94)*POWER(Upgrades!$P$12,K94))*(IF(Upgrades!$T$7="Solar Wind",POWER(Upgrades!$U$7,F94),1)*IF(Upgrades!$T$8="Solar Wind",POWER(Upgrades!$U$8,G94),1)*IF(Upgrades!$T$9="Solar Wind",POWER(Upgrades!$U$9,H94),1)*IF(Upgrades!$T$10="Solar Wind",POWER(Upgrades!$U$10,I94),1)*IF(Upgrades!$T$11="Solar Wind",POWER(Upgrades!$U$11,J94),1)*IF(Upgrades!$T$12="Solar Wind",POWER(Upgrades!$U$12,K94),1))/AG94,0)</f>
        <v/>
      </c>
      <c r="AT94" s="32">
        <f>IFERROR(Upgrades!$H$7*(POWER(Upgrades!$P$6,E94)*POWER(Upgrades!$P$7,F94)*POWER(Upgrades!$P$8,G94)*POWER(Upgrades!$P$9,H94)*POWER(Upgrades!$P$10,I94)*POWER(Upgrades!$P$11,J94)*POWER(Upgrades!$P$12,K94))*(IF(Upgrades!$T$6="Asteroid Belt",POWER(Upgrades!$U$6,E94),1)*IF(Upgrades!$T$8="Asteroid Belt",POWER(Upgrades!$U$8,G94),1)*IF(Upgrades!$T$9="Asteroid Belt",POWER(Upgrades!$U$9,H94),1)*IF(Upgrades!$T$10="Asteroid Belt",POWER(Upgrades!$U$10,I94),1)*IF(Upgrades!$T$11="Asteroid Belt",POWER(Upgrades!$U$11,J94),1)*IF(Upgrades!$T$12="Asteroid Belt",POWER(Upgrades!$U$12,K94),1))/AH94,0)</f>
        <v/>
      </c>
      <c r="AU94" s="32">
        <f>IFERROR(Upgrades!$K$8*(POWER(Upgrades!$Q$6,E94)*POWER(Upgrades!$Q$7,F94)*POWER(Upgrades!$Q$8,G94)*POWER(Upgrades!$Q$9,H94)*POWER(Upgrades!$Q$10,I94)*POWER(Upgrades!$Q$11,J94)*POWER(Upgrades!$Q$12,K94))*(IF(Upgrades!$T$6="Stellar Coupling",POWER(Upgrades!$U$6,E94),1)*IF(Upgrades!$T$7="Stellar Coupling",POWER(Upgrades!$U$7,F94),1)*IF(Upgrades!$T$9="Stellar Coupling",POWER(Upgrades!$U$9,H94),1)*IF(Upgrades!$T$10="Stellar Coupling",POWER(Upgrades!$U$10,I94),1)*IF(Upgrades!$T$11="Stellar Coupling",POWER(Upgrades!$U$11,J94),1)*IF(Upgrades!$T$12="Stellar Coupling",POWER(Upgrades!$U$12,K94),1))*Parameters!$B$10*Parameters!$B$11/60/AI94,0)</f>
        <v/>
      </c>
      <c r="AV94" s="32">
        <f>IFERROR(Upgrades!$H$9*(POWER(Upgrades!$P$6,E94)*POWER(Upgrades!$P$7,F94)*POWER(Upgrades!$P$8,G94)*POWER(Upgrades!$P$9,H94)*POWER(Upgrades!$P$10,I94)*POWER(Upgrades!$P$11,J94)*POWER(Upgrades!$P$12,K94))*(IF(Upgrades!$T$6="Magnetosphere",POWER(Upgrades!$U$6,E94),1)*IF(Upgrades!$T$7="Magnetosphere",POWER(Upgrades!$U$7,F94),1)*IF(Upgrades!$T$8="Magnetosphere",POWER(Upgrades!$U$8,G94),1)*IF(Upgrades!$T$10="Magnetosphere",POWER(Upgrades!$U$10,I94),1)*IF(Upgrades!$T$11="Magnetosphere",POWER(Upgrades!$U$11,J94),1)*IF(Upgrades!$T$12="Magnetosphere",POWER(Upgrades!$U$12,K94),1))/AJ94,0)</f>
        <v/>
      </c>
      <c r="AW94" s="32">
        <f>MAX(IF(I94&gt;0,0,IFERROR(0.25*N94/Upgrades!$C$10,0)),IF(J94&gt;0,0,IFERROR(0.5*((IF(G94=0,0,(Upgrades!$J$8+G94*Upgrades!$K$8)*POWER(Upgrades!$L$8,G94)))*(IF(Upgrades!$T$6="Stellar Coupling",POWER(Upgrades!$U$6,E94),1)*IF(Upgrades!$T$7="Stellar Coupling",POWER(Upgrades!$U$7,F94),1)*IF(Upgrades!$T$9="Stellar Coupling",POWER(Upgrades!$U$9,H94),1)*IF(Upgrades!$T$10="Stellar Coupling",POWER(Upgrades!$U$10,I94),1)*IF(Upgrades!$T$11="Stellar Coupling",POWER(Upgrades!$U$11,J94),1)*IF(Upgrades!$T$12="Stellar Coupling",POWER(Upgrades!$U$12,K94),1))*(POWER(Upgrades!$Q$6,E94)*POWER(Upgrades!$Q$7,F94)*POWER(Upgrades!$Q$8,G94)*POWER(Upgrades!$Q$9,H94)*POWER(Upgrades!$Q$10,I94)*POWER(Upgrades!$Q$11,J94)*POWER(Upgrades!$Q$12,K94))*Parameters!$B$10*Parameters!$B$11/60)/Upgrades!$C$11,0)),IF(K94&gt;0,0,IFERROR((1.0*(POWER(Upgrades!$P$6,E94)*POWER(Upgrades!$P$7,F94)*POWER(Upgrades!$P$8,G94)*POWER(Upgrades!$P$9,H94)*POWER(Upgrades!$P$10,I94)*POWER(Upgrades!$P$11,J94)*POWER(Upgrades!$P$12,K94))+0.20*M94*Parameters!$B$10*Parameters!$B$11/60)/Upgrades!$C$12,0)),IF(AND(ISNUMBER(AG94),AG94&gt;T94),AS94,0),IF(AND(ISNUMBER(AH94),AH94&gt;T94),AT94,0),IF(AND(ISNUMBER(AI94),AI94&gt;T94),AU94,0),IF(AND(ISNUMBER(AJ94),AJ94&gt;T94),AV94,0))</f>
        <v/>
      </c>
      <c r="AX94" s="29">
        <f>IF(AN94=1,"transition",IF(MIN(IF(AND(I94=0,ISNUMBER(AK94),AK94&lt;=T94),AK94,9E15),IF(AND(J94=0,ISNUMBER(AL94),AL94&lt;=T94),AL94,9E15),IF(AND(K94=0,ISNUMBER(AM94),AM94&lt;=T94),AM94,9E15))&lt;9E15,IF(AND(AND(I94=0,ISNUMBER(AK94),AK94&lt;=T94),AK94=MIN(IF(AND(I94=0,ISNUMBER(AK94),AK94&lt;=T94),AK94,9E15),IF(AND(J94=0,ISNUMBER(AL94),AL94&lt;=T94),AL94,9E15),IF(AND(K94=0,ISNUMBER(AM94),AM94&lt;=T94),AM94,9E15))),"OR",IF(AND(AND(J94=0,ISNUMBER(AL94),AL94&lt;=T94),AL94=MIN(IF(AND(I94=0,ISNUMBER(AK94),AK94&lt;=T94),AK94,9E15),IF(AND(J94=0,ISNUMBER(AL94),AL94&lt;=T94),AL94,9E15),IF(AND(K94=0,ISNUMBER(AM94),AM94&lt;=T94),AM94,9E15))),"HP","FP")),IF(AR94=TRUE,"",IF(MAX(IF(AND(NOT(AND(AO94=1,AN94&lt;&gt;1)),ISNUMBER(AG94),AG94&lt;=T94),AS94,0),IF(AND(NOT(AND(AO94=1,AN94&lt;&gt;1)),ISNUMBER(AH94),AH94&lt;=T94),AT94,0),IF(AND(NOT(AND(AO94=1,AN94&lt;&gt;1)),ISNUMBER(AI94),AI94&lt;=T94),AU94,0),IF(AND(ISNUMBER(AJ94),AJ94&lt;=T94),AV94,0))&lt;=0,"",IF(AND(IF(AND(NOT(AND(AO94=1,AN94&lt;&gt;1)),ISNUMBER(AG94),AG94&lt;=T94),AS94,0)&gt;0,IF(AND(NOT(AND(AO94=1,AN94&lt;&gt;1)),ISNUMBER(AG94),AG94&lt;=T94),AS94,0)=MAX(IF(AND(NOT(AND(AO94=1,AN94&lt;&gt;1)),ISNUMBER(AG94),AG94&lt;=T94),AS94,0),IF(AND(NOT(AND(AO94=1,AN94&lt;&gt;1)),ISNUMBER(AH94),AH94&lt;=T94),AT94,0),IF(AND(NOT(AND(AO94=1,AN94&lt;&gt;1)),ISNUMBER(AI94),AI94&lt;=T94),AU94,0),IF(AND(ISNUMBER(AJ94),AJ94&lt;=T94),AV94,0))),"SW",IF(AND(IF(AND(NOT(AND(AO94=1,AN94&lt;&gt;1)),ISNUMBER(AH94),AH94&lt;=T94),AT94,0)&gt;0,IF(AND(NOT(AND(AO94=1,AN94&lt;&gt;1)),ISNUMBER(AH94),AH94&lt;=T94),AT94,0)=MAX(IF(AND(NOT(AND(AO94=1,AN94&lt;&gt;1)),ISNUMBER(AG94),AG94&lt;=T94),AS94,0),IF(AND(NOT(AND(AO94=1,AN94&lt;&gt;1)),ISNUMBER(AH94),AH94&lt;=T94),AT94,0),IF(AND(NOT(AND(AO94=1,AN94&lt;&gt;1)),ISNUMBER(AI94),AI94&lt;=T94),AU94,0),IF(AND(ISNUMBER(AJ94),AJ94&lt;=T94),AV94,0))),"AB",IF(AND(IF(AND(NOT(AND(AO94=1,AN94&lt;&gt;1)),ISNUMBER(AI94),AI94&lt;=T94),AU94,0)&gt;0,IF(AND(NOT(AND(AO94=1,AN94&lt;&gt;1)),ISNUMBER(AI94),AI94&lt;=T94),AU94,0)=MAX(IF(AND(NOT(AND(AO94=1,AN94&lt;&gt;1)),ISNUMBER(AG94),AG94&lt;=T94),AS94,0),IF(AND(NOT(AND(AO94=1,AN94&lt;&gt;1)),ISNUMBER(AH94),AH94&lt;=T94),AT94,0),IF(AND(NOT(AND(AO94=1,AN94&lt;&gt;1)),ISNUMBER(AI94),AI94&lt;=T94),AU94,0),IF(AND(ISNUMBER(AJ94),AJ94&lt;=T94),AV94,0))),"SC","Mag")))))))</f>
        <v/>
      </c>
    </row>
    <row r="95">
      <c r="A95" s="26" t="n">
        <v>90</v>
      </c>
      <c r="B95" s="27">
        <f>A95*10/60</f>
        <v/>
      </c>
      <c r="C95" s="22">
        <f>X94</f>
        <v/>
      </c>
      <c r="D95" s="27">
        <f>D94+W94</f>
        <v/>
      </c>
      <c r="E95" s="26">
        <f>E94+IF(U94="SW",1,0)</f>
        <v/>
      </c>
      <c r="F95" s="26">
        <f>F94+IF(U94="AB",1,0)</f>
        <v/>
      </c>
      <c r="G95" s="26">
        <f>G94+IF(U94="SC",1,0)</f>
        <v/>
      </c>
      <c r="H95" s="26">
        <f>H94+IF(U94="Mag",1,0)</f>
        <v/>
      </c>
      <c r="I95" s="26">
        <f>MAX(I94,IF(U94="OR",1,0))</f>
        <v/>
      </c>
      <c r="J95" s="26">
        <f>MAX(J94,IF(U94="HP",1,0))</f>
        <v/>
      </c>
      <c r="K95" s="26">
        <f>MAX(K94,IF(U94="FP",1,0))</f>
        <v/>
      </c>
      <c r="L95" s="26">
        <f>MAX(L94,IF(U94="transition",1,0))</f>
        <v/>
      </c>
      <c r="M95" s="28">
        <f>(Parameters!$B$9+(IF(E95=0,0,(Upgrades!$J$6+E95*Upgrades!$K$6)*POWER(Upgrades!$L$6,E95)))*(IF(Upgrades!$T$7="Solar Wind",POWER(Upgrades!$U$7,F95),1)*IF(Upgrades!$T$8="Solar Wind",POWER(Upgrades!$U$8,G95),1)*IF(Upgrades!$T$9="Solar Wind",POWER(Upgrades!$U$9,H95),1)*IF(Upgrades!$T$10="Solar Wind",POWER(Upgrades!$U$10,I95),1)*IF(Upgrades!$T$11="Solar Wind",POWER(Upgrades!$U$11,J95),1)*IF(Upgrades!$T$12="Solar Wind",POWER(Upgrades!$U$12,K95),1))+(IF(F95=0,0,(Upgrades!$J$7+F95*Upgrades!$K$7)*POWER(Upgrades!$L$7,F95)))*(IF(Upgrades!$T$6="Asteroid Belt",POWER(Upgrades!$U$6,E95),1)*IF(Upgrades!$T$8="Asteroid Belt",POWER(Upgrades!$U$8,G95),1)*IF(Upgrades!$T$9="Asteroid Belt",POWER(Upgrades!$U$9,H95),1)*IF(Upgrades!$T$10="Asteroid Belt",POWER(Upgrades!$U$10,I95),1)*IF(Upgrades!$T$11="Asteroid Belt",POWER(Upgrades!$U$11,J95),1)*IF(Upgrades!$T$12="Asteroid Belt",POWER(Upgrades!$U$12,K95),1))+(IF(G95=0,0,(Upgrades!$J$8+G95*Upgrades!$K$8)*POWER(Upgrades!$L$8,G95)))*(IF(Upgrades!$T$6="Stellar Coupling",POWER(Upgrades!$U$6,E95),1)*IF(Upgrades!$T$7="Stellar Coupling",POWER(Upgrades!$U$7,F95),1)*IF(Upgrades!$T$9="Stellar Coupling",POWER(Upgrades!$U$9,H95),1)*IF(Upgrades!$T$10="Stellar Coupling",POWER(Upgrades!$U$10,I95),1)*IF(Upgrades!$T$11="Stellar Coupling",POWER(Upgrades!$U$11,J95),1)*IF(Upgrades!$T$12="Stellar Coupling",POWER(Upgrades!$U$12,K95),1))+(IF(H95=0,0,(Upgrades!$J$9+H95*Upgrades!$K$9)*POWER(Upgrades!$L$9,H95)))*(IF(Upgrades!$T$6="Magnetosphere",POWER(Upgrades!$U$6,E95),1)*IF(Upgrades!$T$7="Magnetosphere",POWER(Upgrades!$U$7,F95),1)*IF(Upgrades!$T$8="Magnetosphere",POWER(Upgrades!$U$8,G95),1)*IF(Upgrades!$T$10="Magnetosphere",POWER(Upgrades!$U$10,I95),1)*IF(Upgrades!$T$11="Magnetosphere",POWER(Upgrades!$U$11,J95),1)*IF(Upgrades!$T$12="Magnetosphere",POWER(Upgrades!$U$12,K95),1))+(IF(I95=0,0,(Upgrades!$J$10+I95*Upgrades!$K$10)*POWER(Upgrades!$L$10,I95)))*(IF(Upgrades!$T$6="Orbital Resonance",POWER(Upgrades!$U$6,E95),1)*IF(Upgrades!$T$7="Orbital Resonance",POWER(Upgrades!$U$7,F95),1)*IF(Upgrades!$T$8="Orbital Resonance",POWER(Upgrades!$U$8,G95),1)*IF(Upgrades!$T$9="Orbital Resonance",POWER(Upgrades!$U$9,H95),1)*IF(Upgrades!$T$11="Orbital Resonance",POWER(Upgrades!$U$11,J95),1)*IF(Upgrades!$T$12="Orbital Resonance",POWER(Upgrades!$U$12,K95),1))+(IF(J95=0,0,(Upgrades!$J$11+J95*Upgrades!$K$11)*POWER(Upgrades!$L$11,J95)))*(IF(Upgrades!$T$6="Heliopause",POWER(Upgrades!$U$6,E95),1)*IF(Upgrades!$T$7="Heliopause",POWER(Upgrades!$U$7,F95),1)*IF(Upgrades!$T$8="Heliopause",POWER(Upgrades!$U$8,G95),1)*IF(Upgrades!$T$9="Heliopause",POWER(Upgrades!$U$9,H95),1)*IF(Upgrades!$T$10="Heliopause",POWER(Upgrades!$U$10,I95),1)*IF(Upgrades!$T$12="Heliopause",POWER(Upgrades!$U$12,K95),1))+(IF(K95=0,0,(Upgrades!$J$12+K95*Upgrades!$K$12)*POWER(Upgrades!$L$12,K95)))*(IF(Upgrades!$T$6="First Photons",POWER(Upgrades!$U$6,E95),1)*IF(Upgrades!$T$7="First Photons",POWER(Upgrades!$U$7,F95),1)*IF(Upgrades!$T$8="First Photons",POWER(Upgrades!$U$8,G95),1)*IF(Upgrades!$T$9="First Photons",POWER(Upgrades!$U$9,H95),1)*IF(Upgrades!$T$10="First Photons",POWER(Upgrades!$U$10,I95),1)*IF(Upgrades!$T$11="First Photons",POWER(Upgrades!$U$11,J95),1)))*POWER(Upgrades!$Q$6,E95)*POWER(Upgrades!$Q$7,F95)*POWER(Upgrades!$Q$8,G95)*POWER(Upgrades!$Q$9,H95)*POWER(Upgrades!$Q$10,I95)*POWER(Upgrades!$Q$11,J95)*POWER(Upgrades!$Q$12,K95)</f>
        <v/>
      </c>
      <c r="N95" s="28">
        <f>((IF(E95=0,0,(Upgrades!$G$6+E95*Upgrades!$H$6)*POWER(Upgrades!$I$6,E95)))*(IF(Upgrades!$T$7="Solar Wind",POWER(Upgrades!$U$7,F95),1)*IF(Upgrades!$T$8="Solar Wind",POWER(Upgrades!$U$8,G95),1)*IF(Upgrades!$T$9="Solar Wind",POWER(Upgrades!$U$9,H95),1)*IF(Upgrades!$T$10="Solar Wind",POWER(Upgrades!$U$10,I95),1)*IF(Upgrades!$T$11="Solar Wind",POWER(Upgrades!$U$11,J95),1)*IF(Upgrades!$T$12="Solar Wind",POWER(Upgrades!$U$12,K95),1))+(IF(F95=0,0,(Upgrades!$G$7+F95*Upgrades!$H$7)*POWER(Upgrades!$I$7,F95)))*(IF(Upgrades!$T$6="Asteroid Belt",POWER(Upgrades!$U$6,E95),1)*IF(Upgrades!$T$8="Asteroid Belt",POWER(Upgrades!$U$8,G95),1)*IF(Upgrades!$T$9="Asteroid Belt",POWER(Upgrades!$U$9,H95),1)*IF(Upgrades!$T$10="Asteroid Belt",POWER(Upgrades!$U$10,I95),1)*IF(Upgrades!$T$11="Asteroid Belt",POWER(Upgrades!$U$11,J95),1)*IF(Upgrades!$T$12="Asteroid Belt",POWER(Upgrades!$U$12,K95),1))+(IF(G95=0,0,(Upgrades!$G$8+G95*Upgrades!$H$8)*POWER(Upgrades!$I$8,G95)))*(IF(Upgrades!$T$6="Stellar Coupling",POWER(Upgrades!$U$6,E95),1)*IF(Upgrades!$T$7="Stellar Coupling",POWER(Upgrades!$U$7,F95),1)*IF(Upgrades!$T$9="Stellar Coupling",POWER(Upgrades!$U$9,H95),1)*IF(Upgrades!$T$10="Stellar Coupling",POWER(Upgrades!$U$10,I95),1)*IF(Upgrades!$T$11="Stellar Coupling",POWER(Upgrades!$U$11,J95),1)*IF(Upgrades!$T$12="Stellar Coupling",POWER(Upgrades!$U$12,K95),1))+(IF(H95=0,0,(Upgrades!$G$9+H95*Upgrades!$H$9)*POWER(Upgrades!$I$9,H95)))*(IF(Upgrades!$T$6="Magnetosphere",POWER(Upgrades!$U$6,E95),1)*IF(Upgrades!$T$7="Magnetosphere",POWER(Upgrades!$U$7,F95),1)*IF(Upgrades!$T$8="Magnetosphere",POWER(Upgrades!$U$8,G95),1)*IF(Upgrades!$T$10="Magnetosphere",POWER(Upgrades!$U$10,I95),1)*IF(Upgrades!$T$11="Magnetosphere",POWER(Upgrades!$U$11,J95),1)*IF(Upgrades!$T$12="Magnetosphere",POWER(Upgrades!$U$12,K95),1))+(IF(I95=0,0,(Upgrades!$G$10+I95*Upgrades!$H$10)*POWER(Upgrades!$I$10,I95)))*(IF(Upgrades!$T$6="Orbital Resonance",POWER(Upgrades!$U$6,E95),1)*IF(Upgrades!$T$7="Orbital Resonance",POWER(Upgrades!$U$7,F95),1)*IF(Upgrades!$T$8="Orbital Resonance",POWER(Upgrades!$U$8,G95),1)*IF(Upgrades!$T$9="Orbital Resonance",POWER(Upgrades!$U$9,H95),1)*IF(Upgrades!$T$11="Orbital Resonance",POWER(Upgrades!$U$11,J95),1)*IF(Upgrades!$T$12="Orbital Resonance",POWER(Upgrades!$U$12,K95),1))+(IF(J95=0,0,(Upgrades!$G$11+J95*Upgrades!$H$11)*POWER(Upgrades!$I$11,J95)))*(IF(Upgrades!$T$6="Heliopause",POWER(Upgrades!$U$6,E95),1)*IF(Upgrades!$T$7="Heliopause",POWER(Upgrades!$U$7,F95),1)*IF(Upgrades!$T$8="Heliopause",POWER(Upgrades!$U$8,G95),1)*IF(Upgrades!$T$9="Heliopause",POWER(Upgrades!$U$9,H95),1)*IF(Upgrades!$T$10="Heliopause",POWER(Upgrades!$U$10,I95),1)*IF(Upgrades!$T$12="Heliopause",POWER(Upgrades!$U$12,K95),1))+(IF(K95=0,0,(Upgrades!$G$12+K95*Upgrades!$H$12)*POWER(Upgrades!$I$12,K95)))*(IF(Upgrades!$T$6="First Photons",POWER(Upgrades!$U$6,E95),1)*IF(Upgrades!$T$7="First Photons",POWER(Upgrades!$U$7,F95),1)*IF(Upgrades!$T$8="First Photons",POWER(Upgrades!$U$8,G95),1)*IF(Upgrades!$T$9="First Photons",POWER(Upgrades!$U$9,H95),1)*IF(Upgrades!$T$10="First Photons",POWER(Upgrades!$U$10,I95),1)*IF(Upgrades!$T$11="First Photons",POWER(Upgrades!$U$11,J95),1)))*POWER(Upgrades!$P$6,E95)*POWER(Upgrades!$P$7,F95)*POWER(Upgrades!$P$8,G95)*POWER(Upgrades!$P$9,H95)*POWER(Upgrades!$P$10,I95)*POWER(Upgrades!$P$11,J95)*POWER(Upgrades!$P$12,K95)</f>
        <v/>
      </c>
      <c r="O95" s="28">
        <f>((IF(E95=0,0,(Upgrades!$M$6+E95*Upgrades!$N$6)*POWER(Upgrades!$O$6,E95)))*(IF(Upgrades!$T$7="Solar Wind",POWER(Upgrades!$U$7,F95),1)*IF(Upgrades!$T$8="Solar Wind",POWER(Upgrades!$U$8,G95),1)*IF(Upgrades!$T$9="Solar Wind",POWER(Upgrades!$U$9,H95),1)*IF(Upgrades!$T$10="Solar Wind",POWER(Upgrades!$U$10,I95),1)*IF(Upgrades!$T$11="Solar Wind",POWER(Upgrades!$U$11,J95),1)*IF(Upgrades!$T$12="Solar Wind",POWER(Upgrades!$U$12,K95),1))+(IF(F95=0,0,(Upgrades!$M$7+F95*Upgrades!$N$7)*POWER(Upgrades!$O$7,F95)))*(IF(Upgrades!$T$6="Asteroid Belt",POWER(Upgrades!$U$6,E95),1)*IF(Upgrades!$T$8="Asteroid Belt",POWER(Upgrades!$U$8,G95),1)*IF(Upgrades!$T$9="Asteroid Belt",POWER(Upgrades!$U$9,H95),1)*IF(Upgrades!$T$10="Asteroid Belt",POWER(Upgrades!$U$10,I95),1)*IF(Upgrades!$T$11="Asteroid Belt",POWER(Upgrades!$U$11,J95),1)*IF(Upgrades!$T$12="Asteroid Belt",POWER(Upgrades!$U$12,K95),1))+(IF(G95=0,0,(Upgrades!$M$8+G95*Upgrades!$N$8)*POWER(Upgrades!$O$8,G95)))*(IF(Upgrades!$T$6="Stellar Coupling",POWER(Upgrades!$U$6,E95),1)*IF(Upgrades!$T$7="Stellar Coupling",POWER(Upgrades!$U$7,F95),1)*IF(Upgrades!$T$9="Stellar Coupling",POWER(Upgrades!$U$9,H95),1)*IF(Upgrades!$T$10="Stellar Coupling",POWER(Upgrades!$U$10,I95),1)*IF(Upgrades!$T$11="Stellar Coupling",POWER(Upgrades!$U$11,J95),1)*IF(Upgrades!$T$12="Stellar Coupling",POWER(Upgrades!$U$12,K95),1))+(IF(H95=0,0,(Upgrades!$M$9+H95*Upgrades!$N$9)*POWER(Upgrades!$O$9,H95)))*(IF(Upgrades!$T$6="Magnetosphere",POWER(Upgrades!$U$6,E95),1)*IF(Upgrades!$T$7="Magnetosphere",POWER(Upgrades!$U$7,F95),1)*IF(Upgrades!$T$8="Magnetosphere",POWER(Upgrades!$U$8,G95),1)*IF(Upgrades!$T$10="Magnetosphere",POWER(Upgrades!$U$10,I95),1)*IF(Upgrades!$T$11="Magnetosphere",POWER(Upgrades!$U$11,J95),1)*IF(Upgrades!$T$12="Magnetosphere",POWER(Upgrades!$U$12,K95),1))+(IF(I95=0,0,(Upgrades!$M$10+I95*Upgrades!$N$10)*POWER(Upgrades!$O$10,I95)))*(IF(Upgrades!$T$6="Orbital Resonance",POWER(Upgrades!$U$6,E95),1)*IF(Upgrades!$T$7="Orbital Resonance",POWER(Upgrades!$U$7,F95),1)*IF(Upgrades!$T$8="Orbital Resonance",POWER(Upgrades!$U$8,G95),1)*IF(Upgrades!$T$9="Orbital Resonance",POWER(Upgrades!$U$9,H95),1)*IF(Upgrades!$T$11="Orbital Resonance",POWER(Upgrades!$U$11,J95),1)*IF(Upgrades!$T$12="Orbital Resonance",POWER(Upgrades!$U$12,K95),1))+(IF(J95=0,0,(Upgrades!$M$11+J95*Upgrades!$N$11)*POWER(Upgrades!$O$11,J95)))*(IF(Upgrades!$T$6="Heliopause",POWER(Upgrades!$U$6,E95),1)*IF(Upgrades!$T$7="Heliopause",POWER(Upgrades!$U$7,F95),1)*IF(Upgrades!$T$8="Heliopause",POWER(Upgrades!$U$8,G95),1)*IF(Upgrades!$T$9="Heliopause",POWER(Upgrades!$U$9,H95),1)*IF(Upgrades!$T$10="Heliopause",POWER(Upgrades!$U$10,I95),1)*IF(Upgrades!$T$12="Heliopause",POWER(Upgrades!$U$12,K95),1))+(IF(K95=0,0,(Upgrades!$M$12+K95*Upgrades!$N$12)*POWER(Upgrades!$O$12,K95)))*(IF(Upgrades!$T$6="First Photons",POWER(Upgrades!$U$6,E95),1)*IF(Upgrades!$T$7="First Photons",POWER(Upgrades!$U$7,F95),1)*IF(Upgrades!$T$8="First Photons",POWER(Upgrades!$U$8,G95),1)*IF(Upgrades!$T$9="First Photons",POWER(Upgrades!$U$9,H95),1)*IF(Upgrades!$T$10="First Photons",POWER(Upgrades!$U$10,I95),1)*IF(Upgrades!$T$11="First Photons",POWER(Upgrades!$U$11,J95),1)))*POWER(Upgrades!$R$6,E95)*POWER(Upgrades!$R$7,F95)*POWER(Upgrades!$R$8,G95)*POWER(Upgrades!$R$9,H95)*POWER(Upgrades!$R$10,I95)*POWER(Upgrades!$R$11,J95)*POWER(Upgrades!$R$12,K95)</f>
        <v/>
      </c>
      <c r="P95" s="27">
        <f>IF(L95=1,0,M95*Parameters!$B$10/60*Parameters!$B$11*10)</f>
        <v/>
      </c>
      <c r="Q95" s="27">
        <f>IF(L95=1,0,O95*M95*10)</f>
        <v/>
      </c>
      <c r="R95" s="27">
        <f>IF(L95=1,0,N95*10)</f>
        <v/>
      </c>
      <c r="S95" s="27">
        <f>P95+Q95+R95</f>
        <v/>
      </c>
      <c r="T95" s="22">
        <f>C95+S95</f>
        <v/>
      </c>
      <c r="U95" s="33">
        <f>AX95</f>
        <v/>
      </c>
      <c r="V95" s="22">
        <f>IF(U95="",0,IF(U95="transition",0,IF(U95="SW",AG95,IF(U95="AB",AH95,IF(U95="SC",AI95,IF(U95="Mag",AJ95,IF(U95="OR",AK95,IF(U95="HP",AL95,IF(U95="FP",AM95,0)))))))))</f>
        <v/>
      </c>
      <c r="W95" s="27">
        <f>IF(U95="OR",Upgrades!$F$10,IF(U95="HP",Upgrades!$F$11,IF(U95="transition",-Parameters!$B$18,0)))</f>
        <v/>
      </c>
      <c r="X95" s="22">
        <f>T95-V95</f>
        <v/>
      </c>
      <c r="Y95" s="30">
        <f>M95*Parameters!$B$10/60*Parameters!$B$11+O95*M95+N95</f>
        <v/>
      </c>
      <c r="Z95" s="34">
        <f>IF(U95="transition","→ Tier 2 (Stellar Neighborhood)",IF(U95="FP","First Photons — light begins, system quickens",IF(U95="HP","Heliopause acquired",IF(U95="OR","Orbital Resonance — passive multiplier active",IF(AND(AO95=1,L95=0,AN95&lt;&gt;1),"Cohesion ready (waiting on completionist upgrades)","")))))</f>
        <v/>
      </c>
      <c r="AA95" s="27">
        <f>(IF(E95=0,0,(Upgrades!$G$6+E95*Upgrades!$H$6)*POWER(Upgrades!$I$6,E95)))*(IF(Upgrades!$T$7="Solar Wind",POWER(Upgrades!$U$7,F95),1)*IF(Upgrades!$T$8="Solar Wind",POWER(Upgrades!$U$8,G95),1)*IF(Upgrades!$T$9="Solar Wind",POWER(Upgrades!$U$9,H95),1)*IF(Upgrades!$T$10="Solar Wind",POWER(Upgrades!$U$10,I95),1)*IF(Upgrades!$T$11="Solar Wind",POWER(Upgrades!$U$11,J95),1)*IF(Upgrades!$T$12="Solar Wind",POWER(Upgrades!$U$12,K95),1))*POWER(Upgrades!$P$6,E95)*POWER(Upgrades!$P$7,F95)*POWER(Upgrades!$P$8,G95)*POWER(Upgrades!$P$9,H95)*POWER(Upgrades!$P$10,I95)*POWER(Upgrades!$P$11,J95)*POWER(Upgrades!$P$12,K95)*60</f>
        <v/>
      </c>
      <c r="AB95" s="27">
        <f>(IF(F95=0,0,(Upgrades!$G$7+F95*Upgrades!$H$7)*POWER(Upgrades!$I$7,F95)))*(IF(Upgrades!$T$6="Asteroid Belt",POWER(Upgrades!$U$6,E95),1)*IF(Upgrades!$T$8="Asteroid Belt",POWER(Upgrades!$U$8,G95),1)*IF(Upgrades!$T$9="Asteroid Belt",POWER(Upgrades!$U$9,H95),1)*IF(Upgrades!$T$10="Asteroid Belt",POWER(Upgrades!$U$10,I95),1)*IF(Upgrades!$T$11="Asteroid Belt",POWER(Upgrades!$U$11,J95),1)*IF(Upgrades!$T$12="Asteroid Belt",POWER(Upgrades!$U$12,K95),1))*POWER(Upgrades!$P$6,E95)*POWER(Upgrades!$P$7,F95)*POWER(Upgrades!$P$8,G95)*POWER(Upgrades!$P$9,H95)*POWER(Upgrades!$P$10,I95)*POWER(Upgrades!$P$11,J95)*POWER(Upgrades!$P$12,K95)*60</f>
        <v/>
      </c>
      <c r="AC95" s="27">
        <f>(IF(G95=0,0,(Upgrades!$J$8+G95*Upgrades!$K$8)*POWER(Upgrades!$L$8,G95)))*(IF(Upgrades!$T$6="Stellar Coupling",POWER(Upgrades!$U$6,E95),1)*IF(Upgrades!$T$7="Stellar Coupling",POWER(Upgrades!$U$7,F95),1)*IF(Upgrades!$T$9="Stellar Coupling",POWER(Upgrades!$U$9,H95),1)*IF(Upgrades!$T$10="Stellar Coupling",POWER(Upgrades!$U$10,I95),1)*IF(Upgrades!$T$11="Stellar Coupling",POWER(Upgrades!$U$11,J95),1)*IF(Upgrades!$T$12="Stellar Coupling",POWER(Upgrades!$U$12,K95),1))*POWER(Upgrades!$Q$6,E95)*POWER(Upgrades!$Q$7,F95)*POWER(Upgrades!$Q$8,G95)*POWER(Upgrades!$Q$9,H95)*POWER(Upgrades!$Q$10,I95)*POWER(Upgrades!$Q$11,J95)*POWER(Upgrades!$Q$12,K95)*Parameters!$B$10*Parameters!$B$11</f>
        <v/>
      </c>
      <c r="AD95" s="27">
        <f>(IF(H95=0,0,(Upgrades!$G$9+H95*Upgrades!$H$9)*POWER(Upgrades!$I$9,H95)))*(IF(Upgrades!$T$6="Magnetosphere",POWER(Upgrades!$U$6,E95),1)*IF(Upgrades!$T$7="Magnetosphere",POWER(Upgrades!$U$7,F95),1)*IF(Upgrades!$T$8="Magnetosphere",POWER(Upgrades!$U$8,G95),1)*IF(Upgrades!$T$10="Magnetosphere",POWER(Upgrades!$U$10,I95),1)*IF(Upgrades!$T$11="Magnetosphere",POWER(Upgrades!$U$11,J95),1)*IF(Upgrades!$T$12="Magnetosphere",POWER(Upgrades!$U$12,K95),1))*POWER(Upgrades!$P$6,E95)*POWER(Upgrades!$P$7,F95)*POWER(Upgrades!$P$8,G95)*POWER(Upgrades!$P$9,H95)*POWER(Upgrades!$P$10,I95)*POWER(Upgrades!$P$11,J95)*POWER(Upgrades!$P$12,K95)*60</f>
        <v/>
      </c>
      <c r="AE95" s="27">
        <f>(IF(K95=0,0,(Upgrades!$G$12+K95*Upgrades!$H$12)*POWER(Upgrades!$I$12,K95)))*(IF(Upgrades!$T$6="First Photons",POWER(Upgrades!$U$6,E95),1)*IF(Upgrades!$T$7="First Photons",POWER(Upgrades!$U$7,F95),1)*IF(Upgrades!$T$8="First Photons",POWER(Upgrades!$U$8,G95),1)*IF(Upgrades!$T$9="First Photons",POWER(Upgrades!$U$9,H95),1)*IF(Upgrades!$T$10="First Photons",POWER(Upgrades!$U$10,I95),1)*IF(Upgrades!$T$11="First Photons",POWER(Upgrades!$U$11,J95),1))*POWER(Upgrades!$P$6,E95)*POWER(Upgrades!$P$7,F95)*POWER(Upgrades!$P$8,G95)*POWER(Upgrades!$P$9,H95)*POWER(Upgrades!$P$10,I95)*POWER(Upgrades!$P$11,J95)*POWER(Upgrades!$P$12,K95)*60</f>
        <v/>
      </c>
      <c r="AF95" s="27">
        <f>Parameters!$B$9*POWER(Upgrades!$Q$6,E95)*POWER(Upgrades!$Q$7,F95)*POWER(Upgrades!$Q$8,G95)*POWER(Upgrades!$Q$9,H95)*POWER(Upgrades!$Q$10,I95)*POWER(Upgrades!$Q$11,J95)*POWER(Upgrades!$Q$12,K95)*(Parameters!$B$10*Parameters!$B$11+O95*60)</f>
        <v/>
      </c>
      <c r="AG95" s="22">
        <f>IF(E95&gt;=Upgrades!$E$6,"",Upgrades!$C$6*POWER(Upgrades!$D$6,E95))</f>
        <v/>
      </c>
      <c r="AH95" s="22">
        <f>IF(F95&gt;=Upgrades!$E$7,"",Upgrades!$C$7*POWER(Upgrades!$D$7,F95))</f>
        <v/>
      </c>
      <c r="AI95" s="22">
        <f>IF(G95&gt;=Upgrades!$E$8,"",Upgrades!$C$8*POWER(Upgrades!$D$8,G95))</f>
        <v/>
      </c>
      <c r="AJ95" s="22">
        <f>IF(H95&gt;=Upgrades!$E$9,"",Upgrades!$C$9*POWER(Upgrades!$D$9,H95))</f>
        <v/>
      </c>
      <c r="AK95" s="22">
        <f>IF(I95&gt;=Upgrades!$E$10,"",Upgrades!$C$10*POWER(Upgrades!$D$10,I95))</f>
        <v/>
      </c>
      <c r="AL95" s="22">
        <f>IF(J95&gt;=Upgrades!$E$11,"",Upgrades!$C$11*POWER(Upgrades!$D$11,J95))</f>
        <v/>
      </c>
      <c r="AM95" s="22">
        <f>IF(K95&gt;=Upgrades!$E$12,"",Upgrades!$C$12*POWER(Upgrades!$D$12,K95))</f>
        <v/>
      </c>
      <c r="AN95" s="26">
        <f>IF(AND(D95&gt;=Parameters!$B$18,(H95&gt;=Upgrades!$E$9)*(K95&gt;=Upgrades!$E$12)=1,L95=0),1,"")</f>
        <v/>
      </c>
      <c r="AO95" s="26">
        <f>IF(AND(D95&gt;=Parameters!$B$18,L95=0),1,"")</f>
        <v/>
      </c>
      <c r="AP95" s="22">
        <f>MIN(IF(ISNUMBER(AK95),AK95,9E15),IF(ISNUMBER(AL95),AL95,9E15),IF(ISNUMBER(AM95),AM95,9E15))</f>
        <v/>
      </c>
      <c r="AQ95" s="22">
        <f>MIN(IF(ISNUMBER(AG95),AG95,9E15),IF(ISNUMBER(AH95),AH95,9E15),IF(ISNUMBER(AI95),AI95,9E15),IF(ISNUMBER(AJ95),AJ95,9E15))</f>
        <v/>
      </c>
      <c r="AR95" s="29">
        <f>IF(AW95&gt;Parameters!$B$21*(MAX(IF(AND(NOT(AND(AO95=1,AN95&lt;&gt;1)),ISNUMBER(AG95),AG95&lt;=T95),AS95,0),IF(AND(NOT(AND(AO95=1,AN95&lt;&gt;1)),ISNUMBER(AH95),AH95&lt;=T95),AT95,0),IF(AND(NOT(AND(AO95=1,AN95&lt;&gt;1)),ISNUMBER(AI95),AI95&lt;=T95),AU95,0),IF(AND(ISNUMBER(AJ95),AJ95&lt;=T95),AV95,0))),TRUE,FALSE)</f>
        <v/>
      </c>
      <c r="AS95" s="32">
        <f>IFERROR(Upgrades!$H$6*(POWER(Upgrades!$P$6,E95)*POWER(Upgrades!$P$7,F95)*POWER(Upgrades!$P$8,G95)*POWER(Upgrades!$P$9,H95)*POWER(Upgrades!$P$10,I95)*POWER(Upgrades!$P$11,J95)*POWER(Upgrades!$P$12,K95))*(IF(Upgrades!$T$7="Solar Wind",POWER(Upgrades!$U$7,F95),1)*IF(Upgrades!$T$8="Solar Wind",POWER(Upgrades!$U$8,G95),1)*IF(Upgrades!$T$9="Solar Wind",POWER(Upgrades!$U$9,H95),1)*IF(Upgrades!$T$10="Solar Wind",POWER(Upgrades!$U$10,I95),1)*IF(Upgrades!$T$11="Solar Wind",POWER(Upgrades!$U$11,J95),1)*IF(Upgrades!$T$12="Solar Wind",POWER(Upgrades!$U$12,K95),1))/AG95,0)</f>
        <v/>
      </c>
      <c r="AT95" s="32">
        <f>IFERROR(Upgrades!$H$7*(POWER(Upgrades!$P$6,E95)*POWER(Upgrades!$P$7,F95)*POWER(Upgrades!$P$8,G95)*POWER(Upgrades!$P$9,H95)*POWER(Upgrades!$P$10,I95)*POWER(Upgrades!$P$11,J95)*POWER(Upgrades!$P$12,K95))*(IF(Upgrades!$T$6="Asteroid Belt",POWER(Upgrades!$U$6,E95),1)*IF(Upgrades!$T$8="Asteroid Belt",POWER(Upgrades!$U$8,G95),1)*IF(Upgrades!$T$9="Asteroid Belt",POWER(Upgrades!$U$9,H95),1)*IF(Upgrades!$T$10="Asteroid Belt",POWER(Upgrades!$U$10,I95),1)*IF(Upgrades!$T$11="Asteroid Belt",POWER(Upgrades!$U$11,J95),1)*IF(Upgrades!$T$12="Asteroid Belt",POWER(Upgrades!$U$12,K95),1))/AH95,0)</f>
        <v/>
      </c>
      <c r="AU95" s="32">
        <f>IFERROR(Upgrades!$K$8*(POWER(Upgrades!$Q$6,E95)*POWER(Upgrades!$Q$7,F95)*POWER(Upgrades!$Q$8,G95)*POWER(Upgrades!$Q$9,H95)*POWER(Upgrades!$Q$10,I95)*POWER(Upgrades!$Q$11,J95)*POWER(Upgrades!$Q$12,K95))*(IF(Upgrades!$T$6="Stellar Coupling",POWER(Upgrades!$U$6,E95),1)*IF(Upgrades!$T$7="Stellar Coupling",POWER(Upgrades!$U$7,F95),1)*IF(Upgrades!$T$9="Stellar Coupling",POWER(Upgrades!$U$9,H95),1)*IF(Upgrades!$T$10="Stellar Coupling",POWER(Upgrades!$U$10,I95),1)*IF(Upgrades!$T$11="Stellar Coupling",POWER(Upgrades!$U$11,J95),1)*IF(Upgrades!$T$12="Stellar Coupling",POWER(Upgrades!$U$12,K95),1))*Parameters!$B$10*Parameters!$B$11/60/AI95,0)</f>
        <v/>
      </c>
      <c r="AV95" s="32">
        <f>IFERROR(Upgrades!$H$9*(POWER(Upgrades!$P$6,E95)*POWER(Upgrades!$P$7,F95)*POWER(Upgrades!$P$8,G95)*POWER(Upgrades!$P$9,H95)*POWER(Upgrades!$P$10,I95)*POWER(Upgrades!$P$11,J95)*POWER(Upgrades!$P$12,K95))*(IF(Upgrades!$T$6="Magnetosphere",POWER(Upgrades!$U$6,E95),1)*IF(Upgrades!$T$7="Magnetosphere",POWER(Upgrades!$U$7,F95),1)*IF(Upgrades!$T$8="Magnetosphere",POWER(Upgrades!$U$8,G95),1)*IF(Upgrades!$T$10="Magnetosphere",POWER(Upgrades!$U$10,I95),1)*IF(Upgrades!$T$11="Magnetosphere",POWER(Upgrades!$U$11,J95),1)*IF(Upgrades!$T$12="Magnetosphere",POWER(Upgrades!$U$12,K95),1))/AJ95,0)</f>
        <v/>
      </c>
      <c r="AW95" s="32">
        <f>MAX(IF(I95&gt;0,0,IFERROR(0.25*N95/Upgrades!$C$10,0)),IF(J95&gt;0,0,IFERROR(0.5*((IF(G95=0,0,(Upgrades!$J$8+G95*Upgrades!$K$8)*POWER(Upgrades!$L$8,G95)))*(IF(Upgrades!$T$6="Stellar Coupling",POWER(Upgrades!$U$6,E95),1)*IF(Upgrades!$T$7="Stellar Coupling",POWER(Upgrades!$U$7,F95),1)*IF(Upgrades!$T$9="Stellar Coupling",POWER(Upgrades!$U$9,H95),1)*IF(Upgrades!$T$10="Stellar Coupling",POWER(Upgrades!$U$10,I95),1)*IF(Upgrades!$T$11="Stellar Coupling",POWER(Upgrades!$U$11,J95),1)*IF(Upgrades!$T$12="Stellar Coupling",POWER(Upgrades!$U$12,K95),1))*(POWER(Upgrades!$Q$6,E95)*POWER(Upgrades!$Q$7,F95)*POWER(Upgrades!$Q$8,G95)*POWER(Upgrades!$Q$9,H95)*POWER(Upgrades!$Q$10,I95)*POWER(Upgrades!$Q$11,J95)*POWER(Upgrades!$Q$12,K95))*Parameters!$B$10*Parameters!$B$11/60)/Upgrades!$C$11,0)),IF(K95&gt;0,0,IFERROR((1.0*(POWER(Upgrades!$P$6,E95)*POWER(Upgrades!$P$7,F95)*POWER(Upgrades!$P$8,G95)*POWER(Upgrades!$P$9,H95)*POWER(Upgrades!$P$10,I95)*POWER(Upgrades!$P$11,J95)*POWER(Upgrades!$P$12,K95))+0.20*M95*Parameters!$B$10*Parameters!$B$11/60)/Upgrades!$C$12,0)),IF(AND(ISNUMBER(AG95),AG95&gt;T95),AS95,0),IF(AND(ISNUMBER(AH95),AH95&gt;T95),AT95,0),IF(AND(ISNUMBER(AI95),AI95&gt;T95),AU95,0),IF(AND(ISNUMBER(AJ95),AJ95&gt;T95),AV95,0))</f>
        <v/>
      </c>
      <c r="AX95" s="29">
        <f>IF(AN95=1,"transition",IF(MIN(IF(AND(I95=0,ISNUMBER(AK95),AK95&lt;=T95),AK95,9E15),IF(AND(J95=0,ISNUMBER(AL95),AL95&lt;=T95),AL95,9E15),IF(AND(K95=0,ISNUMBER(AM95),AM95&lt;=T95),AM95,9E15))&lt;9E15,IF(AND(AND(I95=0,ISNUMBER(AK95),AK95&lt;=T95),AK95=MIN(IF(AND(I95=0,ISNUMBER(AK95),AK95&lt;=T95),AK95,9E15),IF(AND(J95=0,ISNUMBER(AL95),AL95&lt;=T95),AL95,9E15),IF(AND(K95=0,ISNUMBER(AM95),AM95&lt;=T95),AM95,9E15))),"OR",IF(AND(AND(J95=0,ISNUMBER(AL95),AL95&lt;=T95),AL95=MIN(IF(AND(I95=0,ISNUMBER(AK95),AK95&lt;=T95),AK95,9E15),IF(AND(J95=0,ISNUMBER(AL95),AL95&lt;=T95),AL95,9E15),IF(AND(K95=0,ISNUMBER(AM95),AM95&lt;=T95),AM95,9E15))),"HP","FP")),IF(AR95=TRUE,"",IF(MAX(IF(AND(NOT(AND(AO95=1,AN95&lt;&gt;1)),ISNUMBER(AG95),AG95&lt;=T95),AS95,0),IF(AND(NOT(AND(AO95=1,AN95&lt;&gt;1)),ISNUMBER(AH95),AH95&lt;=T95),AT95,0),IF(AND(NOT(AND(AO95=1,AN95&lt;&gt;1)),ISNUMBER(AI95),AI95&lt;=T95),AU95,0),IF(AND(ISNUMBER(AJ95),AJ95&lt;=T95),AV95,0))&lt;=0,"",IF(AND(IF(AND(NOT(AND(AO95=1,AN95&lt;&gt;1)),ISNUMBER(AG95),AG95&lt;=T95),AS95,0)&gt;0,IF(AND(NOT(AND(AO95=1,AN95&lt;&gt;1)),ISNUMBER(AG95),AG95&lt;=T95),AS95,0)=MAX(IF(AND(NOT(AND(AO95=1,AN95&lt;&gt;1)),ISNUMBER(AG95),AG95&lt;=T95),AS95,0),IF(AND(NOT(AND(AO95=1,AN95&lt;&gt;1)),ISNUMBER(AH95),AH95&lt;=T95),AT95,0),IF(AND(NOT(AND(AO95=1,AN95&lt;&gt;1)),ISNUMBER(AI95),AI95&lt;=T95),AU95,0),IF(AND(ISNUMBER(AJ95),AJ95&lt;=T95),AV95,0))),"SW",IF(AND(IF(AND(NOT(AND(AO95=1,AN95&lt;&gt;1)),ISNUMBER(AH95),AH95&lt;=T95),AT95,0)&gt;0,IF(AND(NOT(AND(AO95=1,AN95&lt;&gt;1)),ISNUMBER(AH95),AH95&lt;=T95),AT95,0)=MAX(IF(AND(NOT(AND(AO95=1,AN95&lt;&gt;1)),ISNUMBER(AG95),AG95&lt;=T95),AS95,0),IF(AND(NOT(AND(AO95=1,AN95&lt;&gt;1)),ISNUMBER(AH95),AH95&lt;=T95),AT95,0),IF(AND(NOT(AND(AO95=1,AN95&lt;&gt;1)),ISNUMBER(AI95),AI95&lt;=T95),AU95,0),IF(AND(ISNUMBER(AJ95),AJ95&lt;=T95),AV95,0))),"AB",IF(AND(IF(AND(NOT(AND(AO95=1,AN95&lt;&gt;1)),ISNUMBER(AI95),AI95&lt;=T95),AU95,0)&gt;0,IF(AND(NOT(AND(AO95=1,AN95&lt;&gt;1)),ISNUMBER(AI95),AI95&lt;=T95),AU95,0)=MAX(IF(AND(NOT(AND(AO95=1,AN95&lt;&gt;1)),ISNUMBER(AG95),AG95&lt;=T95),AS95,0),IF(AND(NOT(AND(AO95=1,AN95&lt;&gt;1)),ISNUMBER(AH95),AH95&lt;=T95),AT95,0),IF(AND(NOT(AND(AO95=1,AN95&lt;&gt;1)),ISNUMBER(AI95),AI95&lt;=T95),AU95,0),IF(AND(ISNUMBER(AJ95),AJ95&lt;=T95),AV95,0))),"SC","Mag")))))))</f>
        <v/>
      </c>
    </row>
    <row r="96">
      <c r="A96" s="26" t="n">
        <v>91</v>
      </c>
      <c r="B96" s="27">
        <f>A96*10/60</f>
        <v/>
      </c>
      <c r="C96" s="22">
        <f>X95</f>
        <v/>
      </c>
      <c r="D96" s="27">
        <f>D95+W95</f>
        <v/>
      </c>
      <c r="E96" s="26">
        <f>E95+IF(U95="SW",1,0)</f>
        <v/>
      </c>
      <c r="F96" s="26">
        <f>F95+IF(U95="AB",1,0)</f>
        <v/>
      </c>
      <c r="G96" s="26">
        <f>G95+IF(U95="SC",1,0)</f>
        <v/>
      </c>
      <c r="H96" s="26">
        <f>H95+IF(U95="Mag",1,0)</f>
        <v/>
      </c>
      <c r="I96" s="26">
        <f>MAX(I95,IF(U95="OR",1,0))</f>
        <v/>
      </c>
      <c r="J96" s="26">
        <f>MAX(J95,IF(U95="HP",1,0))</f>
        <v/>
      </c>
      <c r="K96" s="26">
        <f>MAX(K95,IF(U95="FP",1,0))</f>
        <v/>
      </c>
      <c r="L96" s="26">
        <f>MAX(L95,IF(U95="transition",1,0))</f>
        <v/>
      </c>
      <c r="M96" s="28">
        <f>(Parameters!$B$9+(IF(E96=0,0,(Upgrades!$J$6+E96*Upgrades!$K$6)*POWER(Upgrades!$L$6,E96)))*(IF(Upgrades!$T$7="Solar Wind",POWER(Upgrades!$U$7,F96),1)*IF(Upgrades!$T$8="Solar Wind",POWER(Upgrades!$U$8,G96),1)*IF(Upgrades!$T$9="Solar Wind",POWER(Upgrades!$U$9,H96),1)*IF(Upgrades!$T$10="Solar Wind",POWER(Upgrades!$U$10,I96),1)*IF(Upgrades!$T$11="Solar Wind",POWER(Upgrades!$U$11,J96),1)*IF(Upgrades!$T$12="Solar Wind",POWER(Upgrades!$U$12,K96),1))+(IF(F96=0,0,(Upgrades!$J$7+F96*Upgrades!$K$7)*POWER(Upgrades!$L$7,F96)))*(IF(Upgrades!$T$6="Asteroid Belt",POWER(Upgrades!$U$6,E96),1)*IF(Upgrades!$T$8="Asteroid Belt",POWER(Upgrades!$U$8,G96),1)*IF(Upgrades!$T$9="Asteroid Belt",POWER(Upgrades!$U$9,H96),1)*IF(Upgrades!$T$10="Asteroid Belt",POWER(Upgrades!$U$10,I96),1)*IF(Upgrades!$T$11="Asteroid Belt",POWER(Upgrades!$U$11,J96),1)*IF(Upgrades!$T$12="Asteroid Belt",POWER(Upgrades!$U$12,K96),1))+(IF(G96=0,0,(Upgrades!$J$8+G96*Upgrades!$K$8)*POWER(Upgrades!$L$8,G96)))*(IF(Upgrades!$T$6="Stellar Coupling",POWER(Upgrades!$U$6,E96),1)*IF(Upgrades!$T$7="Stellar Coupling",POWER(Upgrades!$U$7,F96),1)*IF(Upgrades!$T$9="Stellar Coupling",POWER(Upgrades!$U$9,H96),1)*IF(Upgrades!$T$10="Stellar Coupling",POWER(Upgrades!$U$10,I96),1)*IF(Upgrades!$T$11="Stellar Coupling",POWER(Upgrades!$U$11,J96),1)*IF(Upgrades!$T$12="Stellar Coupling",POWER(Upgrades!$U$12,K96),1))+(IF(H96=0,0,(Upgrades!$J$9+H96*Upgrades!$K$9)*POWER(Upgrades!$L$9,H96)))*(IF(Upgrades!$T$6="Magnetosphere",POWER(Upgrades!$U$6,E96),1)*IF(Upgrades!$T$7="Magnetosphere",POWER(Upgrades!$U$7,F96),1)*IF(Upgrades!$T$8="Magnetosphere",POWER(Upgrades!$U$8,G96),1)*IF(Upgrades!$T$10="Magnetosphere",POWER(Upgrades!$U$10,I96),1)*IF(Upgrades!$T$11="Magnetosphere",POWER(Upgrades!$U$11,J96),1)*IF(Upgrades!$T$12="Magnetosphere",POWER(Upgrades!$U$12,K96),1))+(IF(I96=0,0,(Upgrades!$J$10+I96*Upgrades!$K$10)*POWER(Upgrades!$L$10,I96)))*(IF(Upgrades!$T$6="Orbital Resonance",POWER(Upgrades!$U$6,E96),1)*IF(Upgrades!$T$7="Orbital Resonance",POWER(Upgrades!$U$7,F96),1)*IF(Upgrades!$T$8="Orbital Resonance",POWER(Upgrades!$U$8,G96),1)*IF(Upgrades!$T$9="Orbital Resonance",POWER(Upgrades!$U$9,H96),1)*IF(Upgrades!$T$11="Orbital Resonance",POWER(Upgrades!$U$11,J96),1)*IF(Upgrades!$T$12="Orbital Resonance",POWER(Upgrades!$U$12,K96),1))+(IF(J96=0,0,(Upgrades!$J$11+J96*Upgrades!$K$11)*POWER(Upgrades!$L$11,J96)))*(IF(Upgrades!$T$6="Heliopause",POWER(Upgrades!$U$6,E96),1)*IF(Upgrades!$T$7="Heliopause",POWER(Upgrades!$U$7,F96),1)*IF(Upgrades!$T$8="Heliopause",POWER(Upgrades!$U$8,G96),1)*IF(Upgrades!$T$9="Heliopause",POWER(Upgrades!$U$9,H96),1)*IF(Upgrades!$T$10="Heliopause",POWER(Upgrades!$U$10,I96),1)*IF(Upgrades!$T$12="Heliopause",POWER(Upgrades!$U$12,K96),1))+(IF(K96=0,0,(Upgrades!$J$12+K96*Upgrades!$K$12)*POWER(Upgrades!$L$12,K96)))*(IF(Upgrades!$T$6="First Photons",POWER(Upgrades!$U$6,E96),1)*IF(Upgrades!$T$7="First Photons",POWER(Upgrades!$U$7,F96),1)*IF(Upgrades!$T$8="First Photons",POWER(Upgrades!$U$8,G96),1)*IF(Upgrades!$T$9="First Photons",POWER(Upgrades!$U$9,H96),1)*IF(Upgrades!$T$10="First Photons",POWER(Upgrades!$U$10,I96),1)*IF(Upgrades!$T$11="First Photons",POWER(Upgrades!$U$11,J96),1)))*POWER(Upgrades!$Q$6,E96)*POWER(Upgrades!$Q$7,F96)*POWER(Upgrades!$Q$8,G96)*POWER(Upgrades!$Q$9,H96)*POWER(Upgrades!$Q$10,I96)*POWER(Upgrades!$Q$11,J96)*POWER(Upgrades!$Q$12,K96)</f>
        <v/>
      </c>
      <c r="N96" s="28">
        <f>((IF(E96=0,0,(Upgrades!$G$6+E96*Upgrades!$H$6)*POWER(Upgrades!$I$6,E96)))*(IF(Upgrades!$T$7="Solar Wind",POWER(Upgrades!$U$7,F96),1)*IF(Upgrades!$T$8="Solar Wind",POWER(Upgrades!$U$8,G96),1)*IF(Upgrades!$T$9="Solar Wind",POWER(Upgrades!$U$9,H96),1)*IF(Upgrades!$T$10="Solar Wind",POWER(Upgrades!$U$10,I96),1)*IF(Upgrades!$T$11="Solar Wind",POWER(Upgrades!$U$11,J96),1)*IF(Upgrades!$T$12="Solar Wind",POWER(Upgrades!$U$12,K96),1))+(IF(F96=0,0,(Upgrades!$G$7+F96*Upgrades!$H$7)*POWER(Upgrades!$I$7,F96)))*(IF(Upgrades!$T$6="Asteroid Belt",POWER(Upgrades!$U$6,E96),1)*IF(Upgrades!$T$8="Asteroid Belt",POWER(Upgrades!$U$8,G96),1)*IF(Upgrades!$T$9="Asteroid Belt",POWER(Upgrades!$U$9,H96),1)*IF(Upgrades!$T$10="Asteroid Belt",POWER(Upgrades!$U$10,I96),1)*IF(Upgrades!$T$11="Asteroid Belt",POWER(Upgrades!$U$11,J96),1)*IF(Upgrades!$T$12="Asteroid Belt",POWER(Upgrades!$U$12,K96),1))+(IF(G96=0,0,(Upgrades!$G$8+G96*Upgrades!$H$8)*POWER(Upgrades!$I$8,G96)))*(IF(Upgrades!$T$6="Stellar Coupling",POWER(Upgrades!$U$6,E96),1)*IF(Upgrades!$T$7="Stellar Coupling",POWER(Upgrades!$U$7,F96),1)*IF(Upgrades!$T$9="Stellar Coupling",POWER(Upgrades!$U$9,H96),1)*IF(Upgrades!$T$10="Stellar Coupling",POWER(Upgrades!$U$10,I96),1)*IF(Upgrades!$T$11="Stellar Coupling",POWER(Upgrades!$U$11,J96),1)*IF(Upgrades!$T$12="Stellar Coupling",POWER(Upgrades!$U$12,K96),1))+(IF(H96=0,0,(Upgrades!$G$9+H96*Upgrades!$H$9)*POWER(Upgrades!$I$9,H96)))*(IF(Upgrades!$T$6="Magnetosphere",POWER(Upgrades!$U$6,E96),1)*IF(Upgrades!$T$7="Magnetosphere",POWER(Upgrades!$U$7,F96),1)*IF(Upgrades!$T$8="Magnetosphere",POWER(Upgrades!$U$8,G96),1)*IF(Upgrades!$T$10="Magnetosphere",POWER(Upgrades!$U$10,I96),1)*IF(Upgrades!$T$11="Magnetosphere",POWER(Upgrades!$U$11,J96),1)*IF(Upgrades!$T$12="Magnetosphere",POWER(Upgrades!$U$12,K96),1))+(IF(I96=0,0,(Upgrades!$G$10+I96*Upgrades!$H$10)*POWER(Upgrades!$I$10,I96)))*(IF(Upgrades!$T$6="Orbital Resonance",POWER(Upgrades!$U$6,E96),1)*IF(Upgrades!$T$7="Orbital Resonance",POWER(Upgrades!$U$7,F96),1)*IF(Upgrades!$T$8="Orbital Resonance",POWER(Upgrades!$U$8,G96),1)*IF(Upgrades!$T$9="Orbital Resonance",POWER(Upgrades!$U$9,H96),1)*IF(Upgrades!$T$11="Orbital Resonance",POWER(Upgrades!$U$11,J96),1)*IF(Upgrades!$T$12="Orbital Resonance",POWER(Upgrades!$U$12,K96),1))+(IF(J96=0,0,(Upgrades!$G$11+J96*Upgrades!$H$11)*POWER(Upgrades!$I$11,J96)))*(IF(Upgrades!$T$6="Heliopause",POWER(Upgrades!$U$6,E96),1)*IF(Upgrades!$T$7="Heliopause",POWER(Upgrades!$U$7,F96),1)*IF(Upgrades!$T$8="Heliopause",POWER(Upgrades!$U$8,G96),1)*IF(Upgrades!$T$9="Heliopause",POWER(Upgrades!$U$9,H96),1)*IF(Upgrades!$T$10="Heliopause",POWER(Upgrades!$U$10,I96),1)*IF(Upgrades!$T$12="Heliopause",POWER(Upgrades!$U$12,K96),1))+(IF(K96=0,0,(Upgrades!$G$12+K96*Upgrades!$H$12)*POWER(Upgrades!$I$12,K96)))*(IF(Upgrades!$T$6="First Photons",POWER(Upgrades!$U$6,E96),1)*IF(Upgrades!$T$7="First Photons",POWER(Upgrades!$U$7,F96),1)*IF(Upgrades!$T$8="First Photons",POWER(Upgrades!$U$8,G96),1)*IF(Upgrades!$T$9="First Photons",POWER(Upgrades!$U$9,H96),1)*IF(Upgrades!$T$10="First Photons",POWER(Upgrades!$U$10,I96),1)*IF(Upgrades!$T$11="First Photons",POWER(Upgrades!$U$11,J96),1)))*POWER(Upgrades!$P$6,E96)*POWER(Upgrades!$P$7,F96)*POWER(Upgrades!$P$8,G96)*POWER(Upgrades!$P$9,H96)*POWER(Upgrades!$P$10,I96)*POWER(Upgrades!$P$11,J96)*POWER(Upgrades!$P$12,K96)</f>
        <v/>
      </c>
      <c r="O96" s="28">
        <f>((IF(E96=0,0,(Upgrades!$M$6+E96*Upgrades!$N$6)*POWER(Upgrades!$O$6,E96)))*(IF(Upgrades!$T$7="Solar Wind",POWER(Upgrades!$U$7,F96),1)*IF(Upgrades!$T$8="Solar Wind",POWER(Upgrades!$U$8,G96),1)*IF(Upgrades!$T$9="Solar Wind",POWER(Upgrades!$U$9,H96),1)*IF(Upgrades!$T$10="Solar Wind",POWER(Upgrades!$U$10,I96),1)*IF(Upgrades!$T$11="Solar Wind",POWER(Upgrades!$U$11,J96),1)*IF(Upgrades!$T$12="Solar Wind",POWER(Upgrades!$U$12,K96),1))+(IF(F96=0,0,(Upgrades!$M$7+F96*Upgrades!$N$7)*POWER(Upgrades!$O$7,F96)))*(IF(Upgrades!$T$6="Asteroid Belt",POWER(Upgrades!$U$6,E96),1)*IF(Upgrades!$T$8="Asteroid Belt",POWER(Upgrades!$U$8,G96),1)*IF(Upgrades!$T$9="Asteroid Belt",POWER(Upgrades!$U$9,H96),1)*IF(Upgrades!$T$10="Asteroid Belt",POWER(Upgrades!$U$10,I96),1)*IF(Upgrades!$T$11="Asteroid Belt",POWER(Upgrades!$U$11,J96),1)*IF(Upgrades!$T$12="Asteroid Belt",POWER(Upgrades!$U$12,K96),1))+(IF(G96=0,0,(Upgrades!$M$8+G96*Upgrades!$N$8)*POWER(Upgrades!$O$8,G96)))*(IF(Upgrades!$T$6="Stellar Coupling",POWER(Upgrades!$U$6,E96),1)*IF(Upgrades!$T$7="Stellar Coupling",POWER(Upgrades!$U$7,F96),1)*IF(Upgrades!$T$9="Stellar Coupling",POWER(Upgrades!$U$9,H96),1)*IF(Upgrades!$T$10="Stellar Coupling",POWER(Upgrades!$U$10,I96),1)*IF(Upgrades!$T$11="Stellar Coupling",POWER(Upgrades!$U$11,J96),1)*IF(Upgrades!$T$12="Stellar Coupling",POWER(Upgrades!$U$12,K96),1))+(IF(H96=0,0,(Upgrades!$M$9+H96*Upgrades!$N$9)*POWER(Upgrades!$O$9,H96)))*(IF(Upgrades!$T$6="Magnetosphere",POWER(Upgrades!$U$6,E96),1)*IF(Upgrades!$T$7="Magnetosphere",POWER(Upgrades!$U$7,F96),1)*IF(Upgrades!$T$8="Magnetosphere",POWER(Upgrades!$U$8,G96),1)*IF(Upgrades!$T$10="Magnetosphere",POWER(Upgrades!$U$10,I96),1)*IF(Upgrades!$T$11="Magnetosphere",POWER(Upgrades!$U$11,J96),1)*IF(Upgrades!$T$12="Magnetosphere",POWER(Upgrades!$U$12,K96),1))+(IF(I96=0,0,(Upgrades!$M$10+I96*Upgrades!$N$10)*POWER(Upgrades!$O$10,I96)))*(IF(Upgrades!$T$6="Orbital Resonance",POWER(Upgrades!$U$6,E96),1)*IF(Upgrades!$T$7="Orbital Resonance",POWER(Upgrades!$U$7,F96),1)*IF(Upgrades!$T$8="Orbital Resonance",POWER(Upgrades!$U$8,G96),1)*IF(Upgrades!$T$9="Orbital Resonance",POWER(Upgrades!$U$9,H96),1)*IF(Upgrades!$T$11="Orbital Resonance",POWER(Upgrades!$U$11,J96),1)*IF(Upgrades!$T$12="Orbital Resonance",POWER(Upgrades!$U$12,K96),1))+(IF(J96=0,0,(Upgrades!$M$11+J96*Upgrades!$N$11)*POWER(Upgrades!$O$11,J96)))*(IF(Upgrades!$T$6="Heliopause",POWER(Upgrades!$U$6,E96),1)*IF(Upgrades!$T$7="Heliopause",POWER(Upgrades!$U$7,F96),1)*IF(Upgrades!$T$8="Heliopause",POWER(Upgrades!$U$8,G96),1)*IF(Upgrades!$T$9="Heliopause",POWER(Upgrades!$U$9,H96),1)*IF(Upgrades!$T$10="Heliopause",POWER(Upgrades!$U$10,I96),1)*IF(Upgrades!$T$12="Heliopause",POWER(Upgrades!$U$12,K96),1))+(IF(K96=0,0,(Upgrades!$M$12+K96*Upgrades!$N$12)*POWER(Upgrades!$O$12,K96)))*(IF(Upgrades!$T$6="First Photons",POWER(Upgrades!$U$6,E96),1)*IF(Upgrades!$T$7="First Photons",POWER(Upgrades!$U$7,F96),1)*IF(Upgrades!$T$8="First Photons",POWER(Upgrades!$U$8,G96),1)*IF(Upgrades!$T$9="First Photons",POWER(Upgrades!$U$9,H96),1)*IF(Upgrades!$T$10="First Photons",POWER(Upgrades!$U$10,I96),1)*IF(Upgrades!$T$11="First Photons",POWER(Upgrades!$U$11,J96),1)))*POWER(Upgrades!$R$6,E96)*POWER(Upgrades!$R$7,F96)*POWER(Upgrades!$R$8,G96)*POWER(Upgrades!$R$9,H96)*POWER(Upgrades!$R$10,I96)*POWER(Upgrades!$R$11,J96)*POWER(Upgrades!$R$12,K96)</f>
        <v/>
      </c>
      <c r="P96" s="27">
        <f>IF(L96=1,0,M96*Parameters!$B$10/60*Parameters!$B$11*10)</f>
        <v/>
      </c>
      <c r="Q96" s="27">
        <f>IF(L96=1,0,O96*M96*10)</f>
        <v/>
      </c>
      <c r="R96" s="27">
        <f>IF(L96=1,0,N96*10)</f>
        <v/>
      </c>
      <c r="S96" s="27">
        <f>P96+Q96+R96</f>
        <v/>
      </c>
      <c r="T96" s="22">
        <f>C96+S96</f>
        <v/>
      </c>
      <c r="U96" s="33">
        <f>AX96</f>
        <v/>
      </c>
      <c r="V96" s="22">
        <f>IF(U96="",0,IF(U96="transition",0,IF(U96="SW",AG96,IF(U96="AB",AH96,IF(U96="SC",AI96,IF(U96="Mag",AJ96,IF(U96="OR",AK96,IF(U96="HP",AL96,IF(U96="FP",AM96,0)))))))))</f>
        <v/>
      </c>
      <c r="W96" s="27">
        <f>IF(U96="OR",Upgrades!$F$10,IF(U96="HP",Upgrades!$F$11,IF(U96="transition",-Parameters!$B$18,0)))</f>
        <v/>
      </c>
      <c r="X96" s="22">
        <f>T96-V96</f>
        <v/>
      </c>
      <c r="Y96" s="30">
        <f>M96*Parameters!$B$10/60*Parameters!$B$11+O96*M96+N96</f>
        <v/>
      </c>
      <c r="Z96" s="34">
        <f>IF(U96="transition","→ Tier 2 (Stellar Neighborhood)",IF(U96="FP","First Photons — light begins, system quickens",IF(U96="HP","Heliopause acquired",IF(U96="OR","Orbital Resonance — passive multiplier active",IF(AND(AO96=1,L96=0,AN96&lt;&gt;1),"Cohesion ready (waiting on completionist upgrades)","")))))</f>
        <v/>
      </c>
      <c r="AA96" s="27">
        <f>(IF(E96=0,0,(Upgrades!$G$6+E96*Upgrades!$H$6)*POWER(Upgrades!$I$6,E96)))*(IF(Upgrades!$T$7="Solar Wind",POWER(Upgrades!$U$7,F96),1)*IF(Upgrades!$T$8="Solar Wind",POWER(Upgrades!$U$8,G96),1)*IF(Upgrades!$T$9="Solar Wind",POWER(Upgrades!$U$9,H96),1)*IF(Upgrades!$T$10="Solar Wind",POWER(Upgrades!$U$10,I96),1)*IF(Upgrades!$T$11="Solar Wind",POWER(Upgrades!$U$11,J96),1)*IF(Upgrades!$T$12="Solar Wind",POWER(Upgrades!$U$12,K96),1))*POWER(Upgrades!$P$6,E96)*POWER(Upgrades!$P$7,F96)*POWER(Upgrades!$P$8,G96)*POWER(Upgrades!$P$9,H96)*POWER(Upgrades!$P$10,I96)*POWER(Upgrades!$P$11,J96)*POWER(Upgrades!$P$12,K96)*60</f>
        <v/>
      </c>
      <c r="AB96" s="27">
        <f>(IF(F96=0,0,(Upgrades!$G$7+F96*Upgrades!$H$7)*POWER(Upgrades!$I$7,F96)))*(IF(Upgrades!$T$6="Asteroid Belt",POWER(Upgrades!$U$6,E96),1)*IF(Upgrades!$T$8="Asteroid Belt",POWER(Upgrades!$U$8,G96),1)*IF(Upgrades!$T$9="Asteroid Belt",POWER(Upgrades!$U$9,H96),1)*IF(Upgrades!$T$10="Asteroid Belt",POWER(Upgrades!$U$10,I96),1)*IF(Upgrades!$T$11="Asteroid Belt",POWER(Upgrades!$U$11,J96),1)*IF(Upgrades!$T$12="Asteroid Belt",POWER(Upgrades!$U$12,K96),1))*POWER(Upgrades!$P$6,E96)*POWER(Upgrades!$P$7,F96)*POWER(Upgrades!$P$8,G96)*POWER(Upgrades!$P$9,H96)*POWER(Upgrades!$P$10,I96)*POWER(Upgrades!$P$11,J96)*POWER(Upgrades!$P$12,K96)*60</f>
        <v/>
      </c>
      <c r="AC96" s="27">
        <f>(IF(G96=0,0,(Upgrades!$J$8+G96*Upgrades!$K$8)*POWER(Upgrades!$L$8,G96)))*(IF(Upgrades!$T$6="Stellar Coupling",POWER(Upgrades!$U$6,E96),1)*IF(Upgrades!$T$7="Stellar Coupling",POWER(Upgrades!$U$7,F96),1)*IF(Upgrades!$T$9="Stellar Coupling",POWER(Upgrades!$U$9,H96),1)*IF(Upgrades!$T$10="Stellar Coupling",POWER(Upgrades!$U$10,I96),1)*IF(Upgrades!$T$11="Stellar Coupling",POWER(Upgrades!$U$11,J96),1)*IF(Upgrades!$T$12="Stellar Coupling",POWER(Upgrades!$U$12,K96),1))*POWER(Upgrades!$Q$6,E96)*POWER(Upgrades!$Q$7,F96)*POWER(Upgrades!$Q$8,G96)*POWER(Upgrades!$Q$9,H96)*POWER(Upgrades!$Q$10,I96)*POWER(Upgrades!$Q$11,J96)*POWER(Upgrades!$Q$12,K96)*Parameters!$B$10*Parameters!$B$11</f>
        <v/>
      </c>
      <c r="AD96" s="27">
        <f>(IF(H96=0,0,(Upgrades!$G$9+H96*Upgrades!$H$9)*POWER(Upgrades!$I$9,H96)))*(IF(Upgrades!$T$6="Magnetosphere",POWER(Upgrades!$U$6,E96),1)*IF(Upgrades!$T$7="Magnetosphere",POWER(Upgrades!$U$7,F96),1)*IF(Upgrades!$T$8="Magnetosphere",POWER(Upgrades!$U$8,G96),1)*IF(Upgrades!$T$10="Magnetosphere",POWER(Upgrades!$U$10,I96),1)*IF(Upgrades!$T$11="Magnetosphere",POWER(Upgrades!$U$11,J96),1)*IF(Upgrades!$T$12="Magnetosphere",POWER(Upgrades!$U$12,K96),1))*POWER(Upgrades!$P$6,E96)*POWER(Upgrades!$P$7,F96)*POWER(Upgrades!$P$8,G96)*POWER(Upgrades!$P$9,H96)*POWER(Upgrades!$P$10,I96)*POWER(Upgrades!$P$11,J96)*POWER(Upgrades!$P$12,K96)*60</f>
        <v/>
      </c>
      <c r="AE96" s="27">
        <f>(IF(K96=0,0,(Upgrades!$G$12+K96*Upgrades!$H$12)*POWER(Upgrades!$I$12,K96)))*(IF(Upgrades!$T$6="First Photons",POWER(Upgrades!$U$6,E96),1)*IF(Upgrades!$T$7="First Photons",POWER(Upgrades!$U$7,F96),1)*IF(Upgrades!$T$8="First Photons",POWER(Upgrades!$U$8,G96),1)*IF(Upgrades!$T$9="First Photons",POWER(Upgrades!$U$9,H96),1)*IF(Upgrades!$T$10="First Photons",POWER(Upgrades!$U$10,I96),1)*IF(Upgrades!$T$11="First Photons",POWER(Upgrades!$U$11,J96),1))*POWER(Upgrades!$P$6,E96)*POWER(Upgrades!$P$7,F96)*POWER(Upgrades!$P$8,G96)*POWER(Upgrades!$P$9,H96)*POWER(Upgrades!$P$10,I96)*POWER(Upgrades!$P$11,J96)*POWER(Upgrades!$P$12,K96)*60</f>
        <v/>
      </c>
      <c r="AF96" s="27">
        <f>Parameters!$B$9*POWER(Upgrades!$Q$6,E96)*POWER(Upgrades!$Q$7,F96)*POWER(Upgrades!$Q$8,G96)*POWER(Upgrades!$Q$9,H96)*POWER(Upgrades!$Q$10,I96)*POWER(Upgrades!$Q$11,J96)*POWER(Upgrades!$Q$12,K96)*(Parameters!$B$10*Parameters!$B$11+O96*60)</f>
        <v/>
      </c>
      <c r="AG96" s="22">
        <f>IF(E96&gt;=Upgrades!$E$6,"",Upgrades!$C$6*POWER(Upgrades!$D$6,E96))</f>
        <v/>
      </c>
      <c r="AH96" s="22">
        <f>IF(F96&gt;=Upgrades!$E$7,"",Upgrades!$C$7*POWER(Upgrades!$D$7,F96))</f>
        <v/>
      </c>
      <c r="AI96" s="22">
        <f>IF(G96&gt;=Upgrades!$E$8,"",Upgrades!$C$8*POWER(Upgrades!$D$8,G96))</f>
        <v/>
      </c>
      <c r="AJ96" s="22">
        <f>IF(H96&gt;=Upgrades!$E$9,"",Upgrades!$C$9*POWER(Upgrades!$D$9,H96))</f>
        <v/>
      </c>
      <c r="AK96" s="22">
        <f>IF(I96&gt;=Upgrades!$E$10,"",Upgrades!$C$10*POWER(Upgrades!$D$10,I96))</f>
        <v/>
      </c>
      <c r="AL96" s="22">
        <f>IF(J96&gt;=Upgrades!$E$11,"",Upgrades!$C$11*POWER(Upgrades!$D$11,J96))</f>
        <v/>
      </c>
      <c r="AM96" s="22">
        <f>IF(K96&gt;=Upgrades!$E$12,"",Upgrades!$C$12*POWER(Upgrades!$D$12,K96))</f>
        <v/>
      </c>
      <c r="AN96" s="26">
        <f>IF(AND(D96&gt;=Parameters!$B$18,(H96&gt;=Upgrades!$E$9)*(K96&gt;=Upgrades!$E$12)=1,L96=0),1,"")</f>
        <v/>
      </c>
      <c r="AO96" s="26">
        <f>IF(AND(D96&gt;=Parameters!$B$18,L96=0),1,"")</f>
        <v/>
      </c>
      <c r="AP96" s="22">
        <f>MIN(IF(ISNUMBER(AK96),AK96,9E15),IF(ISNUMBER(AL96),AL96,9E15),IF(ISNUMBER(AM96),AM96,9E15))</f>
        <v/>
      </c>
      <c r="AQ96" s="22">
        <f>MIN(IF(ISNUMBER(AG96),AG96,9E15),IF(ISNUMBER(AH96),AH96,9E15),IF(ISNUMBER(AI96),AI96,9E15),IF(ISNUMBER(AJ96),AJ96,9E15))</f>
        <v/>
      </c>
      <c r="AR96" s="29">
        <f>IF(AW96&gt;Parameters!$B$21*(MAX(IF(AND(NOT(AND(AO96=1,AN96&lt;&gt;1)),ISNUMBER(AG96),AG96&lt;=T96),AS96,0),IF(AND(NOT(AND(AO96=1,AN96&lt;&gt;1)),ISNUMBER(AH96),AH96&lt;=T96),AT96,0),IF(AND(NOT(AND(AO96=1,AN96&lt;&gt;1)),ISNUMBER(AI96),AI96&lt;=T96),AU96,0),IF(AND(ISNUMBER(AJ96),AJ96&lt;=T96),AV96,0))),TRUE,FALSE)</f>
        <v/>
      </c>
      <c r="AS96" s="32">
        <f>IFERROR(Upgrades!$H$6*(POWER(Upgrades!$P$6,E96)*POWER(Upgrades!$P$7,F96)*POWER(Upgrades!$P$8,G96)*POWER(Upgrades!$P$9,H96)*POWER(Upgrades!$P$10,I96)*POWER(Upgrades!$P$11,J96)*POWER(Upgrades!$P$12,K96))*(IF(Upgrades!$T$7="Solar Wind",POWER(Upgrades!$U$7,F96),1)*IF(Upgrades!$T$8="Solar Wind",POWER(Upgrades!$U$8,G96),1)*IF(Upgrades!$T$9="Solar Wind",POWER(Upgrades!$U$9,H96),1)*IF(Upgrades!$T$10="Solar Wind",POWER(Upgrades!$U$10,I96),1)*IF(Upgrades!$T$11="Solar Wind",POWER(Upgrades!$U$11,J96),1)*IF(Upgrades!$T$12="Solar Wind",POWER(Upgrades!$U$12,K96),1))/AG96,0)</f>
        <v/>
      </c>
      <c r="AT96" s="32">
        <f>IFERROR(Upgrades!$H$7*(POWER(Upgrades!$P$6,E96)*POWER(Upgrades!$P$7,F96)*POWER(Upgrades!$P$8,G96)*POWER(Upgrades!$P$9,H96)*POWER(Upgrades!$P$10,I96)*POWER(Upgrades!$P$11,J96)*POWER(Upgrades!$P$12,K96))*(IF(Upgrades!$T$6="Asteroid Belt",POWER(Upgrades!$U$6,E96),1)*IF(Upgrades!$T$8="Asteroid Belt",POWER(Upgrades!$U$8,G96),1)*IF(Upgrades!$T$9="Asteroid Belt",POWER(Upgrades!$U$9,H96),1)*IF(Upgrades!$T$10="Asteroid Belt",POWER(Upgrades!$U$10,I96),1)*IF(Upgrades!$T$11="Asteroid Belt",POWER(Upgrades!$U$11,J96),1)*IF(Upgrades!$T$12="Asteroid Belt",POWER(Upgrades!$U$12,K96),1))/AH96,0)</f>
        <v/>
      </c>
      <c r="AU96" s="32">
        <f>IFERROR(Upgrades!$K$8*(POWER(Upgrades!$Q$6,E96)*POWER(Upgrades!$Q$7,F96)*POWER(Upgrades!$Q$8,G96)*POWER(Upgrades!$Q$9,H96)*POWER(Upgrades!$Q$10,I96)*POWER(Upgrades!$Q$11,J96)*POWER(Upgrades!$Q$12,K96))*(IF(Upgrades!$T$6="Stellar Coupling",POWER(Upgrades!$U$6,E96),1)*IF(Upgrades!$T$7="Stellar Coupling",POWER(Upgrades!$U$7,F96),1)*IF(Upgrades!$T$9="Stellar Coupling",POWER(Upgrades!$U$9,H96),1)*IF(Upgrades!$T$10="Stellar Coupling",POWER(Upgrades!$U$10,I96),1)*IF(Upgrades!$T$11="Stellar Coupling",POWER(Upgrades!$U$11,J96),1)*IF(Upgrades!$T$12="Stellar Coupling",POWER(Upgrades!$U$12,K96),1))*Parameters!$B$10*Parameters!$B$11/60/AI96,0)</f>
        <v/>
      </c>
      <c r="AV96" s="32">
        <f>IFERROR(Upgrades!$H$9*(POWER(Upgrades!$P$6,E96)*POWER(Upgrades!$P$7,F96)*POWER(Upgrades!$P$8,G96)*POWER(Upgrades!$P$9,H96)*POWER(Upgrades!$P$10,I96)*POWER(Upgrades!$P$11,J96)*POWER(Upgrades!$P$12,K96))*(IF(Upgrades!$T$6="Magnetosphere",POWER(Upgrades!$U$6,E96),1)*IF(Upgrades!$T$7="Magnetosphere",POWER(Upgrades!$U$7,F96),1)*IF(Upgrades!$T$8="Magnetosphere",POWER(Upgrades!$U$8,G96),1)*IF(Upgrades!$T$10="Magnetosphere",POWER(Upgrades!$U$10,I96),1)*IF(Upgrades!$T$11="Magnetosphere",POWER(Upgrades!$U$11,J96),1)*IF(Upgrades!$T$12="Magnetosphere",POWER(Upgrades!$U$12,K96),1))/AJ96,0)</f>
        <v/>
      </c>
      <c r="AW96" s="32">
        <f>MAX(IF(I96&gt;0,0,IFERROR(0.25*N96/Upgrades!$C$10,0)),IF(J96&gt;0,0,IFERROR(0.5*((IF(G96=0,0,(Upgrades!$J$8+G96*Upgrades!$K$8)*POWER(Upgrades!$L$8,G96)))*(IF(Upgrades!$T$6="Stellar Coupling",POWER(Upgrades!$U$6,E96),1)*IF(Upgrades!$T$7="Stellar Coupling",POWER(Upgrades!$U$7,F96),1)*IF(Upgrades!$T$9="Stellar Coupling",POWER(Upgrades!$U$9,H96),1)*IF(Upgrades!$T$10="Stellar Coupling",POWER(Upgrades!$U$10,I96),1)*IF(Upgrades!$T$11="Stellar Coupling",POWER(Upgrades!$U$11,J96),1)*IF(Upgrades!$T$12="Stellar Coupling",POWER(Upgrades!$U$12,K96),1))*(POWER(Upgrades!$Q$6,E96)*POWER(Upgrades!$Q$7,F96)*POWER(Upgrades!$Q$8,G96)*POWER(Upgrades!$Q$9,H96)*POWER(Upgrades!$Q$10,I96)*POWER(Upgrades!$Q$11,J96)*POWER(Upgrades!$Q$12,K96))*Parameters!$B$10*Parameters!$B$11/60)/Upgrades!$C$11,0)),IF(K96&gt;0,0,IFERROR((1.0*(POWER(Upgrades!$P$6,E96)*POWER(Upgrades!$P$7,F96)*POWER(Upgrades!$P$8,G96)*POWER(Upgrades!$P$9,H96)*POWER(Upgrades!$P$10,I96)*POWER(Upgrades!$P$11,J96)*POWER(Upgrades!$P$12,K96))+0.20*M96*Parameters!$B$10*Parameters!$B$11/60)/Upgrades!$C$12,0)),IF(AND(ISNUMBER(AG96),AG96&gt;T96),AS96,0),IF(AND(ISNUMBER(AH96),AH96&gt;T96),AT96,0),IF(AND(ISNUMBER(AI96),AI96&gt;T96),AU96,0),IF(AND(ISNUMBER(AJ96),AJ96&gt;T96),AV96,0))</f>
        <v/>
      </c>
      <c r="AX96" s="29">
        <f>IF(AN96=1,"transition",IF(MIN(IF(AND(I96=0,ISNUMBER(AK96),AK96&lt;=T96),AK96,9E15),IF(AND(J96=0,ISNUMBER(AL96),AL96&lt;=T96),AL96,9E15),IF(AND(K96=0,ISNUMBER(AM96),AM96&lt;=T96),AM96,9E15))&lt;9E15,IF(AND(AND(I96=0,ISNUMBER(AK96),AK96&lt;=T96),AK96=MIN(IF(AND(I96=0,ISNUMBER(AK96),AK96&lt;=T96),AK96,9E15),IF(AND(J96=0,ISNUMBER(AL96),AL96&lt;=T96),AL96,9E15),IF(AND(K96=0,ISNUMBER(AM96),AM96&lt;=T96),AM96,9E15))),"OR",IF(AND(AND(J96=0,ISNUMBER(AL96),AL96&lt;=T96),AL96=MIN(IF(AND(I96=0,ISNUMBER(AK96),AK96&lt;=T96),AK96,9E15),IF(AND(J96=0,ISNUMBER(AL96),AL96&lt;=T96),AL96,9E15),IF(AND(K96=0,ISNUMBER(AM96),AM96&lt;=T96),AM96,9E15))),"HP","FP")),IF(AR96=TRUE,"",IF(MAX(IF(AND(NOT(AND(AO96=1,AN96&lt;&gt;1)),ISNUMBER(AG96),AG96&lt;=T96),AS96,0),IF(AND(NOT(AND(AO96=1,AN96&lt;&gt;1)),ISNUMBER(AH96),AH96&lt;=T96),AT96,0),IF(AND(NOT(AND(AO96=1,AN96&lt;&gt;1)),ISNUMBER(AI96),AI96&lt;=T96),AU96,0),IF(AND(ISNUMBER(AJ96),AJ96&lt;=T96),AV96,0))&lt;=0,"",IF(AND(IF(AND(NOT(AND(AO96=1,AN96&lt;&gt;1)),ISNUMBER(AG96),AG96&lt;=T96),AS96,0)&gt;0,IF(AND(NOT(AND(AO96=1,AN96&lt;&gt;1)),ISNUMBER(AG96),AG96&lt;=T96),AS96,0)=MAX(IF(AND(NOT(AND(AO96=1,AN96&lt;&gt;1)),ISNUMBER(AG96),AG96&lt;=T96),AS96,0),IF(AND(NOT(AND(AO96=1,AN96&lt;&gt;1)),ISNUMBER(AH96),AH96&lt;=T96),AT96,0),IF(AND(NOT(AND(AO96=1,AN96&lt;&gt;1)),ISNUMBER(AI96),AI96&lt;=T96),AU96,0),IF(AND(ISNUMBER(AJ96),AJ96&lt;=T96),AV96,0))),"SW",IF(AND(IF(AND(NOT(AND(AO96=1,AN96&lt;&gt;1)),ISNUMBER(AH96),AH96&lt;=T96),AT96,0)&gt;0,IF(AND(NOT(AND(AO96=1,AN96&lt;&gt;1)),ISNUMBER(AH96),AH96&lt;=T96),AT96,0)=MAX(IF(AND(NOT(AND(AO96=1,AN96&lt;&gt;1)),ISNUMBER(AG96),AG96&lt;=T96),AS96,0),IF(AND(NOT(AND(AO96=1,AN96&lt;&gt;1)),ISNUMBER(AH96),AH96&lt;=T96),AT96,0),IF(AND(NOT(AND(AO96=1,AN96&lt;&gt;1)),ISNUMBER(AI96),AI96&lt;=T96),AU96,0),IF(AND(ISNUMBER(AJ96),AJ96&lt;=T96),AV96,0))),"AB",IF(AND(IF(AND(NOT(AND(AO96=1,AN96&lt;&gt;1)),ISNUMBER(AI96),AI96&lt;=T96),AU96,0)&gt;0,IF(AND(NOT(AND(AO96=1,AN96&lt;&gt;1)),ISNUMBER(AI96),AI96&lt;=T96),AU96,0)=MAX(IF(AND(NOT(AND(AO96=1,AN96&lt;&gt;1)),ISNUMBER(AG96),AG96&lt;=T96),AS96,0),IF(AND(NOT(AND(AO96=1,AN96&lt;&gt;1)),ISNUMBER(AH96),AH96&lt;=T96),AT96,0),IF(AND(NOT(AND(AO96=1,AN96&lt;&gt;1)),ISNUMBER(AI96),AI96&lt;=T96),AU96,0),IF(AND(ISNUMBER(AJ96),AJ96&lt;=T96),AV96,0))),"SC","Mag")))))))</f>
        <v/>
      </c>
    </row>
    <row r="97">
      <c r="A97" s="26" t="n">
        <v>92</v>
      </c>
      <c r="B97" s="27">
        <f>A97*10/60</f>
        <v/>
      </c>
      <c r="C97" s="22">
        <f>X96</f>
        <v/>
      </c>
      <c r="D97" s="27">
        <f>D96+W96</f>
        <v/>
      </c>
      <c r="E97" s="26">
        <f>E96+IF(U96="SW",1,0)</f>
        <v/>
      </c>
      <c r="F97" s="26">
        <f>F96+IF(U96="AB",1,0)</f>
        <v/>
      </c>
      <c r="G97" s="26">
        <f>G96+IF(U96="SC",1,0)</f>
        <v/>
      </c>
      <c r="H97" s="26">
        <f>H96+IF(U96="Mag",1,0)</f>
        <v/>
      </c>
      <c r="I97" s="26">
        <f>MAX(I96,IF(U96="OR",1,0))</f>
        <v/>
      </c>
      <c r="J97" s="26">
        <f>MAX(J96,IF(U96="HP",1,0))</f>
        <v/>
      </c>
      <c r="K97" s="26">
        <f>MAX(K96,IF(U96="FP",1,0))</f>
        <v/>
      </c>
      <c r="L97" s="26">
        <f>MAX(L96,IF(U96="transition",1,0))</f>
        <v/>
      </c>
      <c r="M97" s="28">
        <f>(Parameters!$B$9+(IF(E97=0,0,(Upgrades!$J$6+E97*Upgrades!$K$6)*POWER(Upgrades!$L$6,E97)))*(IF(Upgrades!$T$7="Solar Wind",POWER(Upgrades!$U$7,F97),1)*IF(Upgrades!$T$8="Solar Wind",POWER(Upgrades!$U$8,G97),1)*IF(Upgrades!$T$9="Solar Wind",POWER(Upgrades!$U$9,H97),1)*IF(Upgrades!$T$10="Solar Wind",POWER(Upgrades!$U$10,I97),1)*IF(Upgrades!$T$11="Solar Wind",POWER(Upgrades!$U$11,J97),1)*IF(Upgrades!$T$12="Solar Wind",POWER(Upgrades!$U$12,K97),1))+(IF(F97=0,0,(Upgrades!$J$7+F97*Upgrades!$K$7)*POWER(Upgrades!$L$7,F97)))*(IF(Upgrades!$T$6="Asteroid Belt",POWER(Upgrades!$U$6,E97),1)*IF(Upgrades!$T$8="Asteroid Belt",POWER(Upgrades!$U$8,G97),1)*IF(Upgrades!$T$9="Asteroid Belt",POWER(Upgrades!$U$9,H97),1)*IF(Upgrades!$T$10="Asteroid Belt",POWER(Upgrades!$U$10,I97),1)*IF(Upgrades!$T$11="Asteroid Belt",POWER(Upgrades!$U$11,J97),1)*IF(Upgrades!$T$12="Asteroid Belt",POWER(Upgrades!$U$12,K97),1))+(IF(G97=0,0,(Upgrades!$J$8+G97*Upgrades!$K$8)*POWER(Upgrades!$L$8,G97)))*(IF(Upgrades!$T$6="Stellar Coupling",POWER(Upgrades!$U$6,E97),1)*IF(Upgrades!$T$7="Stellar Coupling",POWER(Upgrades!$U$7,F97),1)*IF(Upgrades!$T$9="Stellar Coupling",POWER(Upgrades!$U$9,H97),1)*IF(Upgrades!$T$10="Stellar Coupling",POWER(Upgrades!$U$10,I97),1)*IF(Upgrades!$T$11="Stellar Coupling",POWER(Upgrades!$U$11,J97),1)*IF(Upgrades!$T$12="Stellar Coupling",POWER(Upgrades!$U$12,K97),1))+(IF(H97=0,0,(Upgrades!$J$9+H97*Upgrades!$K$9)*POWER(Upgrades!$L$9,H97)))*(IF(Upgrades!$T$6="Magnetosphere",POWER(Upgrades!$U$6,E97),1)*IF(Upgrades!$T$7="Magnetosphere",POWER(Upgrades!$U$7,F97),1)*IF(Upgrades!$T$8="Magnetosphere",POWER(Upgrades!$U$8,G97),1)*IF(Upgrades!$T$10="Magnetosphere",POWER(Upgrades!$U$10,I97),1)*IF(Upgrades!$T$11="Magnetosphere",POWER(Upgrades!$U$11,J97),1)*IF(Upgrades!$T$12="Magnetosphere",POWER(Upgrades!$U$12,K97),1))+(IF(I97=0,0,(Upgrades!$J$10+I97*Upgrades!$K$10)*POWER(Upgrades!$L$10,I97)))*(IF(Upgrades!$T$6="Orbital Resonance",POWER(Upgrades!$U$6,E97),1)*IF(Upgrades!$T$7="Orbital Resonance",POWER(Upgrades!$U$7,F97),1)*IF(Upgrades!$T$8="Orbital Resonance",POWER(Upgrades!$U$8,G97),1)*IF(Upgrades!$T$9="Orbital Resonance",POWER(Upgrades!$U$9,H97),1)*IF(Upgrades!$T$11="Orbital Resonance",POWER(Upgrades!$U$11,J97),1)*IF(Upgrades!$T$12="Orbital Resonance",POWER(Upgrades!$U$12,K97),1))+(IF(J97=0,0,(Upgrades!$J$11+J97*Upgrades!$K$11)*POWER(Upgrades!$L$11,J97)))*(IF(Upgrades!$T$6="Heliopause",POWER(Upgrades!$U$6,E97),1)*IF(Upgrades!$T$7="Heliopause",POWER(Upgrades!$U$7,F97),1)*IF(Upgrades!$T$8="Heliopause",POWER(Upgrades!$U$8,G97),1)*IF(Upgrades!$T$9="Heliopause",POWER(Upgrades!$U$9,H97),1)*IF(Upgrades!$T$10="Heliopause",POWER(Upgrades!$U$10,I97),1)*IF(Upgrades!$T$12="Heliopause",POWER(Upgrades!$U$12,K97),1))+(IF(K97=0,0,(Upgrades!$J$12+K97*Upgrades!$K$12)*POWER(Upgrades!$L$12,K97)))*(IF(Upgrades!$T$6="First Photons",POWER(Upgrades!$U$6,E97),1)*IF(Upgrades!$T$7="First Photons",POWER(Upgrades!$U$7,F97),1)*IF(Upgrades!$T$8="First Photons",POWER(Upgrades!$U$8,G97),1)*IF(Upgrades!$T$9="First Photons",POWER(Upgrades!$U$9,H97),1)*IF(Upgrades!$T$10="First Photons",POWER(Upgrades!$U$10,I97),1)*IF(Upgrades!$T$11="First Photons",POWER(Upgrades!$U$11,J97),1)))*POWER(Upgrades!$Q$6,E97)*POWER(Upgrades!$Q$7,F97)*POWER(Upgrades!$Q$8,G97)*POWER(Upgrades!$Q$9,H97)*POWER(Upgrades!$Q$10,I97)*POWER(Upgrades!$Q$11,J97)*POWER(Upgrades!$Q$12,K97)</f>
        <v/>
      </c>
      <c r="N97" s="28">
        <f>((IF(E97=0,0,(Upgrades!$G$6+E97*Upgrades!$H$6)*POWER(Upgrades!$I$6,E97)))*(IF(Upgrades!$T$7="Solar Wind",POWER(Upgrades!$U$7,F97),1)*IF(Upgrades!$T$8="Solar Wind",POWER(Upgrades!$U$8,G97),1)*IF(Upgrades!$T$9="Solar Wind",POWER(Upgrades!$U$9,H97),1)*IF(Upgrades!$T$10="Solar Wind",POWER(Upgrades!$U$10,I97),1)*IF(Upgrades!$T$11="Solar Wind",POWER(Upgrades!$U$11,J97),1)*IF(Upgrades!$T$12="Solar Wind",POWER(Upgrades!$U$12,K97),1))+(IF(F97=0,0,(Upgrades!$G$7+F97*Upgrades!$H$7)*POWER(Upgrades!$I$7,F97)))*(IF(Upgrades!$T$6="Asteroid Belt",POWER(Upgrades!$U$6,E97),1)*IF(Upgrades!$T$8="Asteroid Belt",POWER(Upgrades!$U$8,G97),1)*IF(Upgrades!$T$9="Asteroid Belt",POWER(Upgrades!$U$9,H97),1)*IF(Upgrades!$T$10="Asteroid Belt",POWER(Upgrades!$U$10,I97),1)*IF(Upgrades!$T$11="Asteroid Belt",POWER(Upgrades!$U$11,J97),1)*IF(Upgrades!$T$12="Asteroid Belt",POWER(Upgrades!$U$12,K97),1))+(IF(G97=0,0,(Upgrades!$G$8+G97*Upgrades!$H$8)*POWER(Upgrades!$I$8,G97)))*(IF(Upgrades!$T$6="Stellar Coupling",POWER(Upgrades!$U$6,E97),1)*IF(Upgrades!$T$7="Stellar Coupling",POWER(Upgrades!$U$7,F97),1)*IF(Upgrades!$T$9="Stellar Coupling",POWER(Upgrades!$U$9,H97),1)*IF(Upgrades!$T$10="Stellar Coupling",POWER(Upgrades!$U$10,I97),1)*IF(Upgrades!$T$11="Stellar Coupling",POWER(Upgrades!$U$11,J97),1)*IF(Upgrades!$T$12="Stellar Coupling",POWER(Upgrades!$U$12,K97),1))+(IF(H97=0,0,(Upgrades!$G$9+H97*Upgrades!$H$9)*POWER(Upgrades!$I$9,H97)))*(IF(Upgrades!$T$6="Magnetosphere",POWER(Upgrades!$U$6,E97),1)*IF(Upgrades!$T$7="Magnetosphere",POWER(Upgrades!$U$7,F97),1)*IF(Upgrades!$T$8="Magnetosphere",POWER(Upgrades!$U$8,G97),1)*IF(Upgrades!$T$10="Magnetosphere",POWER(Upgrades!$U$10,I97),1)*IF(Upgrades!$T$11="Magnetosphere",POWER(Upgrades!$U$11,J97),1)*IF(Upgrades!$T$12="Magnetosphere",POWER(Upgrades!$U$12,K97),1))+(IF(I97=0,0,(Upgrades!$G$10+I97*Upgrades!$H$10)*POWER(Upgrades!$I$10,I97)))*(IF(Upgrades!$T$6="Orbital Resonance",POWER(Upgrades!$U$6,E97),1)*IF(Upgrades!$T$7="Orbital Resonance",POWER(Upgrades!$U$7,F97),1)*IF(Upgrades!$T$8="Orbital Resonance",POWER(Upgrades!$U$8,G97),1)*IF(Upgrades!$T$9="Orbital Resonance",POWER(Upgrades!$U$9,H97),1)*IF(Upgrades!$T$11="Orbital Resonance",POWER(Upgrades!$U$11,J97),1)*IF(Upgrades!$T$12="Orbital Resonance",POWER(Upgrades!$U$12,K97),1))+(IF(J97=0,0,(Upgrades!$G$11+J97*Upgrades!$H$11)*POWER(Upgrades!$I$11,J97)))*(IF(Upgrades!$T$6="Heliopause",POWER(Upgrades!$U$6,E97),1)*IF(Upgrades!$T$7="Heliopause",POWER(Upgrades!$U$7,F97),1)*IF(Upgrades!$T$8="Heliopause",POWER(Upgrades!$U$8,G97),1)*IF(Upgrades!$T$9="Heliopause",POWER(Upgrades!$U$9,H97),1)*IF(Upgrades!$T$10="Heliopause",POWER(Upgrades!$U$10,I97),1)*IF(Upgrades!$T$12="Heliopause",POWER(Upgrades!$U$12,K97),1))+(IF(K97=0,0,(Upgrades!$G$12+K97*Upgrades!$H$12)*POWER(Upgrades!$I$12,K97)))*(IF(Upgrades!$T$6="First Photons",POWER(Upgrades!$U$6,E97),1)*IF(Upgrades!$T$7="First Photons",POWER(Upgrades!$U$7,F97),1)*IF(Upgrades!$T$8="First Photons",POWER(Upgrades!$U$8,G97),1)*IF(Upgrades!$T$9="First Photons",POWER(Upgrades!$U$9,H97),1)*IF(Upgrades!$T$10="First Photons",POWER(Upgrades!$U$10,I97),1)*IF(Upgrades!$T$11="First Photons",POWER(Upgrades!$U$11,J97),1)))*POWER(Upgrades!$P$6,E97)*POWER(Upgrades!$P$7,F97)*POWER(Upgrades!$P$8,G97)*POWER(Upgrades!$P$9,H97)*POWER(Upgrades!$P$10,I97)*POWER(Upgrades!$P$11,J97)*POWER(Upgrades!$P$12,K97)</f>
        <v/>
      </c>
      <c r="O97" s="28">
        <f>((IF(E97=0,0,(Upgrades!$M$6+E97*Upgrades!$N$6)*POWER(Upgrades!$O$6,E97)))*(IF(Upgrades!$T$7="Solar Wind",POWER(Upgrades!$U$7,F97),1)*IF(Upgrades!$T$8="Solar Wind",POWER(Upgrades!$U$8,G97),1)*IF(Upgrades!$T$9="Solar Wind",POWER(Upgrades!$U$9,H97),1)*IF(Upgrades!$T$10="Solar Wind",POWER(Upgrades!$U$10,I97),1)*IF(Upgrades!$T$11="Solar Wind",POWER(Upgrades!$U$11,J97),1)*IF(Upgrades!$T$12="Solar Wind",POWER(Upgrades!$U$12,K97),1))+(IF(F97=0,0,(Upgrades!$M$7+F97*Upgrades!$N$7)*POWER(Upgrades!$O$7,F97)))*(IF(Upgrades!$T$6="Asteroid Belt",POWER(Upgrades!$U$6,E97),1)*IF(Upgrades!$T$8="Asteroid Belt",POWER(Upgrades!$U$8,G97),1)*IF(Upgrades!$T$9="Asteroid Belt",POWER(Upgrades!$U$9,H97),1)*IF(Upgrades!$T$10="Asteroid Belt",POWER(Upgrades!$U$10,I97),1)*IF(Upgrades!$T$11="Asteroid Belt",POWER(Upgrades!$U$11,J97),1)*IF(Upgrades!$T$12="Asteroid Belt",POWER(Upgrades!$U$12,K97),1))+(IF(G97=0,0,(Upgrades!$M$8+G97*Upgrades!$N$8)*POWER(Upgrades!$O$8,G97)))*(IF(Upgrades!$T$6="Stellar Coupling",POWER(Upgrades!$U$6,E97),1)*IF(Upgrades!$T$7="Stellar Coupling",POWER(Upgrades!$U$7,F97),1)*IF(Upgrades!$T$9="Stellar Coupling",POWER(Upgrades!$U$9,H97),1)*IF(Upgrades!$T$10="Stellar Coupling",POWER(Upgrades!$U$10,I97),1)*IF(Upgrades!$T$11="Stellar Coupling",POWER(Upgrades!$U$11,J97),1)*IF(Upgrades!$T$12="Stellar Coupling",POWER(Upgrades!$U$12,K97),1))+(IF(H97=0,0,(Upgrades!$M$9+H97*Upgrades!$N$9)*POWER(Upgrades!$O$9,H97)))*(IF(Upgrades!$T$6="Magnetosphere",POWER(Upgrades!$U$6,E97),1)*IF(Upgrades!$T$7="Magnetosphere",POWER(Upgrades!$U$7,F97),1)*IF(Upgrades!$T$8="Magnetosphere",POWER(Upgrades!$U$8,G97),1)*IF(Upgrades!$T$10="Magnetosphere",POWER(Upgrades!$U$10,I97),1)*IF(Upgrades!$T$11="Magnetosphere",POWER(Upgrades!$U$11,J97),1)*IF(Upgrades!$T$12="Magnetosphere",POWER(Upgrades!$U$12,K97),1))+(IF(I97=0,0,(Upgrades!$M$10+I97*Upgrades!$N$10)*POWER(Upgrades!$O$10,I97)))*(IF(Upgrades!$T$6="Orbital Resonance",POWER(Upgrades!$U$6,E97),1)*IF(Upgrades!$T$7="Orbital Resonance",POWER(Upgrades!$U$7,F97),1)*IF(Upgrades!$T$8="Orbital Resonance",POWER(Upgrades!$U$8,G97),1)*IF(Upgrades!$T$9="Orbital Resonance",POWER(Upgrades!$U$9,H97),1)*IF(Upgrades!$T$11="Orbital Resonance",POWER(Upgrades!$U$11,J97),1)*IF(Upgrades!$T$12="Orbital Resonance",POWER(Upgrades!$U$12,K97),1))+(IF(J97=0,0,(Upgrades!$M$11+J97*Upgrades!$N$11)*POWER(Upgrades!$O$11,J97)))*(IF(Upgrades!$T$6="Heliopause",POWER(Upgrades!$U$6,E97),1)*IF(Upgrades!$T$7="Heliopause",POWER(Upgrades!$U$7,F97),1)*IF(Upgrades!$T$8="Heliopause",POWER(Upgrades!$U$8,G97),1)*IF(Upgrades!$T$9="Heliopause",POWER(Upgrades!$U$9,H97),1)*IF(Upgrades!$T$10="Heliopause",POWER(Upgrades!$U$10,I97),1)*IF(Upgrades!$T$12="Heliopause",POWER(Upgrades!$U$12,K97),1))+(IF(K97=0,0,(Upgrades!$M$12+K97*Upgrades!$N$12)*POWER(Upgrades!$O$12,K97)))*(IF(Upgrades!$T$6="First Photons",POWER(Upgrades!$U$6,E97),1)*IF(Upgrades!$T$7="First Photons",POWER(Upgrades!$U$7,F97),1)*IF(Upgrades!$T$8="First Photons",POWER(Upgrades!$U$8,G97),1)*IF(Upgrades!$T$9="First Photons",POWER(Upgrades!$U$9,H97),1)*IF(Upgrades!$T$10="First Photons",POWER(Upgrades!$U$10,I97),1)*IF(Upgrades!$T$11="First Photons",POWER(Upgrades!$U$11,J97),1)))*POWER(Upgrades!$R$6,E97)*POWER(Upgrades!$R$7,F97)*POWER(Upgrades!$R$8,G97)*POWER(Upgrades!$R$9,H97)*POWER(Upgrades!$R$10,I97)*POWER(Upgrades!$R$11,J97)*POWER(Upgrades!$R$12,K97)</f>
        <v/>
      </c>
      <c r="P97" s="27">
        <f>IF(L97=1,0,M97*Parameters!$B$10/60*Parameters!$B$11*10)</f>
        <v/>
      </c>
      <c r="Q97" s="27">
        <f>IF(L97=1,0,O97*M97*10)</f>
        <v/>
      </c>
      <c r="R97" s="27">
        <f>IF(L97=1,0,N97*10)</f>
        <v/>
      </c>
      <c r="S97" s="27">
        <f>P97+Q97+R97</f>
        <v/>
      </c>
      <c r="T97" s="22">
        <f>C97+S97</f>
        <v/>
      </c>
      <c r="U97" s="33">
        <f>AX97</f>
        <v/>
      </c>
      <c r="V97" s="22">
        <f>IF(U97="",0,IF(U97="transition",0,IF(U97="SW",AG97,IF(U97="AB",AH97,IF(U97="SC",AI97,IF(U97="Mag",AJ97,IF(U97="OR",AK97,IF(U97="HP",AL97,IF(U97="FP",AM97,0)))))))))</f>
        <v/>
      </c>
      <c r="W97" s="27">
        <f>IF(U97="OR",Upgrades!$F$10,IF(U97="HP",Upgrades!$F$11,IF(U97="transition",-Parameters!$B$18,0)))</f>
        <v/>
      </c>
      <c r="X97" s="22">
        <f>T97-V97</f>
        <v/>
      </c>
      <c r="Y97" s="30">
        <f>M97*Parameters!$B$10/60*Parameters!$B$11+O97*M97+N97</f>
        <v/>
      </c>
      <c r="Z97" s="34">
        <f>IF(U97="transition","→ Tier 2 (Stellar Neighborhood)",IF(U97="FP","First Photons — light begins, system quickens",IF(U97="HP","Heliopause acquired",IF(U97="OR","Orbital Resonance — passive multiplier active",IF(AND(AO97=1,L97=0,AN97&lt;&gt;1),"Cohesion ready (waiting on completionist upgrades)","")))))</f>
        <v/>
      </c>
      <c r="AA97" s="27">
        <f>(IF(E97=0,0,(Upgrades!$G$6+E97*Upgrades!$H$6)*POWER(Upgrades!$I$6,E97)))*(IF(Upgrades!$T$7="Solar Wind",POWER(Upgrades!$U$7,F97),1)*IF(Upgrades!$T$8="Solar Wind",POWER(Upgrades!$U$8,G97),1)*IF(Upgrades!$T$9="Solar Wind",POWER(Upgrades!$U$9,H97),1)*IF(Upgrades!$T$10="Solar Wind",POWER(Upgrades!$U$10,I97),1)*IF(Upgrades!$T$11="Solar Wind",POWER(Upgrades!$U$11,J97),1)*IF(Upgrades!$T$12="Solar Wind",POWER(Upgrades!$U$12,K97),1))*POWER(Upgrades!$P$6,E97)*POWER(Upgrades!$P$7,F97)*POWER(Upgrades!$P$8,G97)*POWER(Upgrades!$P$9,H97)*POWER(Upgrades!$P$10,I97)*POWER(Upgrades!$P$11,J97)*POWER(Upgrades!$P$12,K97)*60</f>
        <v/>
      </c>
      <c r="AB97" s="27">
        <f>(IF(F97=0,0,(Upgrades!$G$7+F97*Upgrades!$H$7)*POWER(Upgrades!$I$7,F97)))*(IF(Upgrades!$T$6="Asteroid Belt",POWER(Upgrades!$U$6,E97),1)*IF(Upgrades!$T$8="Asteroid Belt",POWER(Upgrades!$U$8,G97),1)*IF(Upgrades!$T$9="Asteroid Belt",POWER(Upgrades!$U$9,H97),1)*IF(Upgrades!$T$10="Asteroid Belt",POWER(Upgrades!$U$10,I97),1)*IF(Upgrades!$T$11="Asteroid Belt",POWER(Upgrades!$U$11,J97),1)*IF(Upgrades!$T$12="Asteroid Belt",POWER(Upgrades!$U$12,K97),1))*POWER(Upgrades!$P$6,E97)*POWER(Upgrades!$P$7,F97)*POWER(Upgrades!$P$8,G97)*POWER(Upgrades!$P$9,H97)*POWER(Upgrades!$P$10,I97)*POWER(Upgrades!$P$11,J97)*POWER(Upgrades!$P$12,K97)*60</f>
        <v/>
      </c>
      <c r="AC97" s="27">
        <f>(IF(G97=0,0,(Upgrades!$J$8+G97*Upgrades!$K$8)*POWER(Upgrades!$L$8,G97)))*(IF(Upgrades!$T$6="Stellar Coupling",POWER(Upgrades!$U$6,E97),1)*IF(Upgrades!$T$7="Stellar Coupling",POWER(Upgrades!$U$7,F97),1)*IF(Upgrades!$T$9="Stellar Coupling",POWER(Upgrades!$U$9,H97),1)*IF(Upgrades!$T$10="Stellar Coupling",POWER(Upgrades!$U$10,I97),1)*IF(Upgrades!$T$11="Stellar Coupling",POWER(Upgrades!$U$11,J97),1)*IF(Upgrades!$T$12="Stellar Coupling",POWER(Upgrades!$U$12,K97),1))*POWER(Upgrades!$Q$6,E97)*POWER(Upgrades!$Q$7,F97)*POWER(Upgrades!$Q$8,G97)*POWER(Upgrades!$Q$9,H97)*POWER(Upgrades!$Q$10,I97)*POWER(Upgrades!$Q$11,J97)*POWER(Upgrades!$Q$12,K97)*Parameters!$B$10*Parameters!$B$11</f>
        <v/>
      </c>
      <c r="AD97" s="27">
        <f>(IF(H97=0,0,(Upgrades!$G$9+H97*Upgrades!$H$9)*POWER(Upgrades!$I$9,H97)))*(IF(Upgrades!$T$6="Magnetosphere",POWER(Upgrades!$U$6,E97),1)*IF(Upgrades!$T$7="Magnetosphere",POWER(Upgrades!$U$7,F97),1)*IF(Upgrades!$T$8="Magnetosphere",POWER(Upgrades!$U$8,G97),1)*IF(Upgrades!$T$10="Magnetosphere",POWER(Upgrades!$U$10,I97),1)*IF(Upgrades!$T$11="Magnetosphere",POWER(Upgrades!$U$11,J97),1)*IF(Upgrades!$T$12="Magnetosphere",POWER(Upgrades!$U$12,K97),1))*POWER(Upgrades!$P$6,E97)*POWER(Upgrades!$P$7,F97)*POWER(Upgrades!$P$8,G97)*POWER(Upgrades!$P$9,H97)*POWER(Upgrades!$P$10,I97)*POWER(Upgrades!$P$11,J97)*POWER(Upgrades!$P$12,K97)*60</f>
        <v/>
      </c>
      <c r="AE97" s="27">
        <f>(IF(K97=0,0,(Upgrades!$G$12+K97*Upgrades!$H$12)*POWER(Upgrades!$I$12,K97)))*(IF(Upgrades!$T$6="First Photons",POWER(Upgrades!$U$6,E97),1)*IF(Upgrades!$T$7="First Photons",POWER(Upgrades!$U$7,F97),1)*IF(Upgrades!$T$8="First Photons",POWER(Upgrades!$U$8,G97),1)*IF(Upgrades!$T$9="First Photons",POWER(Upgrades!$U$9,H97),1)*IF(Upgrades!$T$10="First Photons",POWER(Upgrades!$U$10,I97),1)*IF(Upgrades!$T$11="First Photons",POWER(Upgrades!$U$11,J97),1))*POWER(Upgrades!$P$6,E97)*POWER(Upgrades!$P$7,F97)*POWER(Upgrades!$P$8,G97)*POWER(Upgrades!$P$9,H97)*POWER(Upgrades!$P$10,I97)*POWER(Upgrades!$P$11,J97)*POWER(Upgrades!$P$12,K97)*60</f>
        <v/>
      </c>
      <c r="AF97" s="27">
        <f>Parameters!$B$9*POWER(Upgrades!$Q$6,E97)*POWER(Upgrades!$Q$7,F97)*POWER(Upgrades!$Q$8,G97)*POWER(Upgrades!$Q$9,H97)*POWER(Upgrades!$Q$10,I97)*POWER(Upgrades!$Q$11,J97)*POWER(Upgrades!$Q$12,K97)*(Parameters!$B$10*Parameters!$B$11+O97*60)</f>
        <v/>
      </c>
      <c r="AG97" s="22">
        <f>IF(E97&gt;=Upgrades!$E$6,"",Upgrades!$C$6*POWER(Upgrades!$D$6,E97))</f>
        <v/>
      </c>
      <c r="AH97" s="22">
        <f>IF(F97&gt;=Upgrades!$E$7,"",Upgrades!$C$7*POWER(Upgrades!$D$7,F97))</f>
        <v/>
      </c>
      <c r="AI97" s="22">
        <f>IF(G97&gt;=Upgrades!$E$8,"",Upgrades!$C$8*POWER(Upgrades!$D$8,G97))</f>
        <v/>
      </c>
      <c r="AJ97" s="22">
        <f>IF(H97&gt;=Upgrades!$E$9,"",Upgrades!$C$9*POWER(Upgrades!$D$9,H97))</f>
        <v/>
      </c>
      <c r="AK97" s="22">
        <f>IF(I97&gt;=Upgrades!$E$10,"",Upgrades!$C$10*POWER(Upgrades!$D$10,I97))</f>
        <v/>
      </c>
      <c r="AL97" s="22">
        <f>IF(J97&gt;=Upgrades!$E$11,"",Upgrades!$C$11*POWER(Upgrades!$D$11,J97))</f>
        <v/>
      </c>
      <c r="AM97" s="22">
        <f>IF(K97&gt;=Upgrades!$E$12,"",Upgrades!$C$12*POWER(Upgrades!$D$12,K97))</f>
        <v/>
      </c>
      <c r="AN97" s="26">
        <f>IF(AND(D97&gt;=Parameters!$B$18,(H97&gt;=Upgrades!$E$9)*(K97&gt;=Upgrades!$E$12)=1,L97=0),1,"")</f>
        <v/>
      </c>
      <c r="AO97" s="26">
        <f>IF(AND(D97&gt;=Parameters!$B$18,L97=0),1,"")</f>
        <v/>
      </c>
      <c r="AP97" s="22">
        <f>MIN(IF(ISNUMBER(AK97),AK97,9E15),IF(ISNUMBER(AL97),AL97,9E15),IF(ISNUMBER(AM97),AM97,9E15))</f>
        <v/>
      </c>
      <c r="AQ97" s="22">
        <f>MIN(IF(ISNUMBER(AG97),AG97,9E15),IF(ISNUMBER(AH97),AH97,9E15),IF(ISNUMBER(AI97),AI97,9E15),IF(ISNUMBER(AJ97),AJ97,9E15))</f>
        <v/>
      </c>
      <c r="AR97" s="29">
        <f>IF(AW97&gt;Parameters!$B$21*(MAX(IF(AND(NOT(AND(AO97=1,AN97&lt;&gt;1)),ISNUMBER(AG97),AG97&lt;=T97),AS97,0),IF(AND(NOT(AND(AO97=1,AN97&lt;&gt;1)),ISNUMBER(AH97),AH97&lt;=T97),AT97,0),IF(AND(NOT(AND(AO97=1,AN97&lt;&gt;1)),ISNUMBER(AI97),AI97&lt;=T97),AU97,0),IF(AND(ISNUMBER(AJ97),AJ97&lt;=T97),AV97,0))),TRUE,FALSE)</f>
        <v/>
      </c>
      <c r="AS97" s="32">
        <f>IFERROR(Upgrades!$H$6*(POWER(Upgrades!$P$6,E97)*POWER(Upgrades!$P$7,F97)*POWER(Upgrades!$P$8,G97)*POWER(Upgrades!$P$9,H97)*POWER(Upgrades!$P$10,I97)*POWER(Upgrades!$P$11,J97)*POWER(Upgrades!$P$12,K97))*(IF(Upgrades!$T$7="Solar Wind",POWER(Upgrades!$U$7,F97),1)*IF(Upgrades!$T$8="Solar Wind",POWER(Upgrades!$U$8,G97),1)*IF(Upgrades!$T$9="Solar Wind",POWER(Upgrades!$U$9,H97),1)*IF(Upgrades!$T$10="Solar Wind",POWER(Upgrades!$U$10,I97),1)*IF(Upgrades!$T$11="Solar Wind",POWER(Upgrades!$U$11,J97),1)*IF(Upgrades!$T$12="Solar Wind",POWER(Upgrades!$U$12,K97),1))/AG97,0)</f>
        <v/>
      </c>
      <c r="AT97" s="32">
        <f>IFERROR(Upgrades!$H$7*(POWER(Upgrades!$P$6,E97)*POWER(Upgrades!$P$7,F97)*POWER(Upgrades!$P$8,G97)*POWER(Upgrades!$P$9,H97)*POWER(Upgrades!$P$10,I97)*POWER(Upgrades!$P$11,J97)*POWER(Upgrades!$P$12,K97))*(IF(Upgrades!$T$6="Asteroid Belt",POWER(Upgrades!$U$6,E97),1)*IF(Upgrades!$T$8="Asteroid Belt",POWER(Upgrades!$U$8,G97),1)*IF(Upgrades!$T$9="Asteroid Belt",POWER(Upgrades!$U$9,H97),1)*IF(Upgrades!$T$10="Asteroid Belt",POWER(Upgrades!$U$10,I97),1)*IF(Upgrades!$T$11="Asteroid Belt",POWER(Upgrades!$U$11,J97),1)*IF(Upgrades!$T$12="Asteroid Belt",POWER(Upgrades!$U$12,K97),1))/AH97,0)</f>
        <v/>
      </c>
      <c r="AU97" s="32">
        <f>IFERROR(Upgrades!$K$8*(POWER(Upgrades!$Q$6,E97)*POWER(Upgrades!$Q$7,F97)*POWER(Upgrades!$Q$8,G97)*POWER(Upgrades!$Q$9,H97)*POWER(Upgrades!$Q$10,I97)*POWER(Upgrades!$Q$11,J97)*POWER(Upgrades!$Q$12,K97))*(IF(Upgrades!$T$6="Stellar Coupling",POWER(Upgrades!$U$6,E97),1)*IF(Upgrades!$T$7="Stellar Coupling",POWER(Upgrades!$U$7,F97),1)*IF(Upgrades!$T$9="Stellar Coupling",POWER(Upgrades!$U$9,H97),1)*IF(Upgrades!$T$10="Stellar Coupling",POWER(Upgrades!$U$10,I97),1)*IF(Upgrades!$T$11="Stellar Coupling",POWER(Upgrades!$U$11,J97),1)*IF(Upgrades!$T$12="Stellar Coupling",POWER(Upgrades!$U$12,K97),1))*Parameters!$B$10*Parameters!$B$11/60/AI97,0)</f>
        <v/>
      </c>
      <c r="AV97" s="32">
        <f>IFERROR(Upgrades!$H$9*(POWER(Upgrades!$P$6,E97)*POWER(Upgrades!$P$7,F97)*POWER(Upgrades!$P$8,G97)*POWER(Upgrades!$P$9,H97)*POWER(Upgrades!$P$10,I97)*POWER(Upgrades!$P$11,J97)*POWER(Upgrades!$P$12,K97))*(IF(Upgrades!$T$6="Magnetosphere",POWER(Upgrades!$U$6,E97),1)*IF(Upgrades!$T$7="Magnetosphere",POWER(Upgrades!$U$7,F97),1)*IF(Upgrades!$T$8="Magnetosphere",POWER(Upgrades!$U$8,G97),1)*IF(Upgrades!$T$10="Magnetosphere",POWER(Upgrades!$U$10,I97),1)*IF(Upgrades!$T$11="Magnetosphere",POWER(Upgrades!$U$11,J97),1)*IF(Upgrades!$T$12="Magnetosphere",POWER(Upgrades!$U$12,K97),1))/AJ97,0)</f>
        <v/>
      </c>
      <c r="AW97" s="32">
        <f>MAX(IF(I97&gt;0,0,IFERROR(0.25*N97/Upgrades!$C$10,0)),IF(J97&gt;0,0,IFERROR(0.5*((IF(G97=0,0,(Upgrades!$J$8+G97*Upgrades!$K$8)*POWER(Upgrades!$L$8,G97)))*(IF(Upgrades!$T$6="Stellar Coupling",POWER(Upgrades!$U$6,E97),1)*IF(Upgrades!$T$7="Stellar Coupling",POWER(Upgrades!$U$7,F97),1)*IF(Upgrades!$T$9="Stellar Coupling",POWER(Upgrades!$U$9,H97),1)*IF(Upgrades!$T$10="Stellar Coupling",POWER(Upgrades!$U$10,I97),1)*IF(Upgrades!$T$11="Stellar Coupling",POWER(Upgrades!$U$11,J97),1)*IF(Upgrades!$T$12="Stellar Coupling",POWER(Upgrades!$U$12,K97),1))*(POWER(Upgrades!$Q$6,E97)*POWER(Upgrades!$Q$7,F97)*POWER(Upgrades!$Q$8,G97)*POWER(Upgrades!$Q$9,H97)*POWER(Upgrades!$Q$10,I97)*POWER(Upgrades!$Q$11,J97)*POWER(Upgrades!$Q$12,K97))*Parameters!$B$10*Parameters!$B$11/60)/Upgrades!$C$11,0)),IF(K97&gt;0,0,IFERROR((1.0*(POWER(Upgrades!$P$6,E97)*POWER(Upgrades!$P$7,F97)*POWER(Upgrades!$P$8,G97)*POWER(Upgrades!$P$9,H97)*POWER(Upgrades!$P$10,I97)*POWER(Upgrades!$P$11,J97)*POWER(Upgrades!$P$12,K97))+0.20*M97*Parameters!$B$10*Parameters!$B$11/60)/Upgrades!$C$12,0)),IF(AND(ISNUMBER(AG97),AG97&gt;T97),AS97,0),IF(AND(ISNUMBER(AH97),AH97&gt;T97),AT97,0),IF(AND(ISNUMBER(AI97),AI97&gt;T97),AU97,0),IF(AND(ISNUMBER(AJ97),AJ97&gt;T97),AV97,0))</f>
        <v/>
      </c>
      <c r="AX97" s="29">
        <f>IF(AN97=1,"transition",IF(MIN(IF(AND(I97=0,ISNUMBER(AK97),AK97&lt;=T97),AK97,9E15),IF(AND(J97=0,ISNUMBER(AL97),AL97&lt;=T97),AL97,9E15),IF(AND(K97=0,ISNUMBER(AM97),AM97&lt;=T97),AM97,9E15))&lt;9E15,IF(AND(AND(I97=0,ISNUMBER(AK97),AK97&lt;=T97),AK97=MIN(IF(AND(I97=0,ISNUMBER(AK97),AK97&lt;=T97),AK97,9E15),IF(AND(J97=0,ISNUMBER(AL97),AL97&lt;=T97),AL97,9E15),IF(AND(K97=0,ISNUMBER(AM97),AM97&lt;=T97),AM97,9E15))),"OR",IF(AND(AND(J97=0,ISNUMBER(AL97),AL97&lt;=T97),AL97=MIN(IF(AND(I97=0,ISNUMBER(AK97),AK97&lt;=T97),AK97,9E15),IF(AND(J97=0,ISNUMBER(AL97),AL97&lt;=T97),AL97,9E15),IF(AND(K97=0,ISNUMBER(AM97),AM97&lt;=T97),AM97,9E15))),"HP","FP")),IF(AR97=TRUE,"",IF(MAX(IF(AND(NOT(AND(AO97=1,AN97&lt;&gt;1)),ISNUMBER(AG97),AG97&lt;=T97),AS97,0),IF(AND(NOT(AND(AO97=1,AN97&lt;&gt;1)),ISNUMBER(AH97),AH97&lt;=T97),AT97,0),IF(AND(NOT(AND(AO97=1,AN97&lt;&gt;1)),ISNUMBER(AI97),AI97&lt;=T97),AU97,0),IF(AND(ISNUMBER(AJ97),AJ97&lt;=T97),AV97,0))&lt;=0,"",IF(AND(IF(AND(NOT(AND(AO97=1,AN97&lt;&gt;1)),ISNUMBER(AG97),AG97&lt;=T97),AS97,0)&gt;0,IF(AND(NOT(AND(AO97=1,AN97&lt;&gt;1)),ISNUMBER(AG97),AG97&lt;=T97),AS97,0)=MAX(IF(AND(NOT(AND(AO97=1,AN97&lt;&gt;1)),ISNUMBER(AG97),AG97&lt;=T97),AS97,0),IF(AND(NOT(AND(AO97=1,AN97&lt;&gt;1)),ISNUMBER(AH97),AH97&lt;=T97),AT97,0),IF(AND(NOT(AND(AO97=1,AN97&lt;&gt;1)),ISNUMBER(AI97),AI97&lt;=T97),AU97,0),IF(AND(ISNUMBER(AJ97),AJ97&lt;=T97),AV97,0))),"SW",IF(AND(IF(AND(NOT(AND(AO97=1,AN97&lt;&gt;1)),ISNUMBER(AH97),AH97&lt;=T97),AT97,0)&gt;0,IF(AND(NOT(AND(AO97=1,AN97&lt;&gt;1)),ISNUMBER(AH97),AH97&lt;=T97),AT97,0)=MAX(IF(AND(NOT(AND(AO97=1,AN97&lt;&gt;1)),ISNUMBER(AG97),AG97&lt;=T97),AS97,0),IF(AND(NOT(AND(AO97=1,AN97&lt;&gt;1)),ISNUMBER(AH97),AH97&lt;=T97),AT97,0),IF(AND(NOT(AND(AO97=1,AN97&lt;&gt;1)),ISNUMBER(AI97),AI97&lt;=T97),AU97,0),IF(AND(ISNUMBER(AJ97),AJ97&lt;=T97),AV97,0))),"AB",IF(AND(IF(AND(NOT(AND(AO97=1,AN97&lt;&gt;1)),ISNUMBER(AI97),AI97&lt;=T97),AU97,0)&gt;0,IF(AND(NOT(AND(AO97=1,AN97&lt;&gt;1)),ISNUMBER(AI97),AI97&lt;=T97),AU97,0)=MAX(IF(AND(NOT(AND(AO97=1,AN97&lt;&gt;1)),ISNUMBER(AG97),AG97&lt;=T97),AS97,0),IF(AND(NOT(AND(AO97=1,AN97&lt;&gt;1)),ISNUMBER(AH97),AH97&lt;=T97),AT97,0),IF(AND(NOT(AND(AO97=1,AN97&lt;&gt;1)),ISNUMBER(AI97),AI97&lt;=T97),AU97,0),IF(AND(ISNUMBER(AJ97),AJ97&lt;=T97),AV97,0))),"SC","Mag")))))))</f>
        <v/>
      </c>
    </row>
    <row r="98">
      <c r="A98" s="26" t="n">
        <v>93</v>
      </c>
      <c r="B98" s="27">
        <f>A98*10/60</f>
        <v/>
      </c>
      <c r="C98" s="22">
        <f>X97</f>
        <v/>
      </c>
      <c r="D98" s="27">
        <f>D97+W97</f>
        <v/>
      </c>
      <c r="E98" s="26">
        <f>E97+IF(U97="SW",1,0)</f>
        <v/>
      </c>
      <c r="F98" s="26">
        <f>F97+IF(U97="AB",1,0)</f>
        <v/>
      </c>
      <c r="G98" s="26">
        <f>G97+IF(U97="SC",1,0)</f>
        <v/>
      </c>
      <c r="H98" s="26">
        <f>H97+IF(U97="Mag",1,0)</f>
        <v/>
      </c>
      <c r="I98" s="26">
        <f>MAX(I97,IF(U97="OR",1,0))</f>
        <v/>
      </c>
      <c r="J98" s="26">
        <f>MAX(J97,IF(U97="HP",1,0))</f>
        <v/>
      </c>
      <c r="K98" s="26">
        <f>MAX(K97,IF(U97="FP",1,0))</f>
        <v/>
      </c>
      <c r="L98" s="26">
        <f>MAX(L97,IF(U97="transition",1,0))</f>
        <v/>
      </c>
      <c r="M98" s="28">
        <f>(Parameters!$B$9+(IF(E98=0,0,(Upgrades!$J$6+E98*Upgrades!$K$6)*POWER(Upgrades!$L$6,E98)))*(IF(Upgrades!$T$7="Solar Wind",POWER(Upgrades!$U$7,F98),1)*IF(Upgrades!$T$8="Solar Wind",POWER(Upgrades!$U$8,G98),1)*IF(Upgrades!$T$9="Solar Wind",POWER(Upgrades!$U$9,H98),1)*IF(Upgrades!$T$10="Solar Wind",POWER(Upgrades!$U$10,I98),1)*IF(Upgrades!$T$11="Solar Wind",POWER(Upgrades!$U$11,J98),1)*IF(Upgrades!$T$12="Solar Wind",POWER(Upgrades!$U$12,K98),1))+(IF(F98=0,0,(Upgrades!$J$7+F98*Upgrades!$K$7)*POWER(Upgrades!$L$7,F98)))*(IF(Upgrades!$T$6="Asteroid Belt",POWER(Upgrades!$U$6,E98),1)*IF(Upgrades!$T$8="Asteroid Belt",POWER(Upgrades!$U$8,G98),1)*IF(Upgrades!$T$9="Asteroid Belt",POWER(Upgrades!$U$9,H98),1)*IF(Upgrades!$T$10="Asteroid Belt",POWER(Upgrades!$U$10,I98),1)*IF(Upgrades!$T$11="Asteroid Belt",POWER(Upgrades!$U$11,J98),1)*IF(Upgrades!$T$12="Asteroid Belt",POWER(Upgrades!$U$12,K98),1))+(IF(G98=0,0,(Upgrades!$J$8+G98*Upgrades!$K$8)*POWER(Upgrades!$L$8,G98)))*(IF(Upgrades!$T$6="Stellar Coupling",POWER(Upgrades!$U$6,E98),1)*IF(Upgrades!$T$7="Stellar Coupling",POWER(Upgrades!$U$7,F98),1)*IF(Upgrades!$T$9="Stellar Coupling",POWER(Upgrades!$U$9,H98),1)*IF(Upgrades!$T$10="Stellar Coupling",POWER(Upgrades!$U$10,I98),1)*IF(Upgrades!$T$11="Stellar Coupling",POWER(Upgrades!$U$11,J98),1)*IF(Upgrades!$T$12="Stellar Coupling",POWER(Upgrades!$U$12,K98),1))+(IF(H98=0,0,(Upgrades!$J$9+H98*Upgrades!$K$9)*POWER(Upgrades!$L$9,H98)))*(IF(Upgrades!$T$6="Magnetosphere",POWER(Upgrades!$U$6,E98),1)*IF(Upgrades!$T$7="Magnetosphere",POWER(Upgrades!$U$7,F98),1)*IF(Upgrades!$T$8="Magnetosphere",POWER(Upgrades!$U$8,G98),1)*IF(Upgrades!$T$10="Magnetosphere",POWER(Upgrades!$U$10,I98),1)*IF(Upgrades!$T$11="Magnetosphere",POWER(Upgrades!$U$11,J98),1)*IF(Upgrades!$T$12="Magnetosphere",POWER(Upgrades!$U$12,K98),1))+(IF(I98=0,0,(Upgrades!$J$10+I98*Upgrades!$K$10)*POWER(Upgrades!$L$10,I98)))*(IF(Upgrades!$T$6="Orbital Resonance",POWER(Upgrades!$U$6,E98),1)*IF(Upgrades!$T$7="Orbital Resonance",POWER(Upgrades!$U$7,F98),1)*IF(Upgrades!$T$8="Orbital Resonance",POWER(Upgrades!$U$8,G98),1)*IF(Upgrades!$T$9="Orbital Resonance",POWER(Upgrades!$U$9,H98),1)*IF(Upgrades!$T$11="Orbital Resonance",POWER(Upgrades!$U$11,J98),1)*IF(Upgrades!$T$12="Orbital Resonance",POWER(Upgrades!$U$12,K98),1))+(IF(J98=0,0,(Upgrades!$J$11+J98*Upgrades!$K$11)*POWER(Upgrades!$L$11,J98)))*(IF(Upgrades!$T$6="Heliopause",POWER(Upgrades!$U$6,E98),1)*IF(Upgrades!$T$7="Heliopause",POWER(Upgrades!$U$7,F98),1)*IF(Upgrades!$T$8="Heliopause",POWER(Upgrades!$U$8,G98),1)*IF(Upgrades!$T$9="Heliopause",POWER(Upgrades!$U$9,H98),1)*IF(Upgrades!$T$10="Heliopause",POWER(Upgrades!$U$10,I98),1)*IF(Upgrades!$T$12="Heliopause",POWER(Upgrades!$U$12,K98),1))+(IF(K98=0,0,(Upgrades!$J$12+K98*Upgrades!$K$12)*POWER(Upgrades!$L$12,K98)))*(IF(Upgrades!$T$6="First Photons",POWER(Upgrades!$U$6,E98),1)*IF(Upgrades!$T$7="First Photons",POWER(Upgrades!$U$7,F98),1)*IF(Upgrades!$T$8="First Photons",POWER(Upgrades!$U$8,G98),1)*IF(Upgrades!$T$9="First Photons",POWER(Upgrades!$U$9,H98),1)*IF(Upgrades!$T$10="First Photons",POWER(Upgrades!$U$10,I98),1)*IF(Upgrades!$T$11="First Photons",POWER(Upgrades!$U$11,J98),1)))*POWER(Upgrades!$Q$6,E98)*POWER(Upgrades!$Q$7,F98)*POWER(Upgrades!$Q$8,G98)*POWER(Upgrades!$Q$9,H98)*POWER(Upgrades!$Q$10,I98)*POWER(Upgrades!$Q$11,J98)*POWER(Upgrades!$Q$12,K98)</f>
        <v/>
      </c>
      <c r="N98" s="28">
        <f>((IF(E98=0,0,(Upgrades!$G$6+E98*Upgrades!$H$6)*POWER(Upgrades!$I$6,E98)))*(IF(Upgrades!$T$7="Solar Wind",POWER(Upgrades!$U$7,F98),1)*IF(Upgrades!$T$8="Solar Wind",POWER(Upgrades!$U$8,G98),1)*IF(Upgrades!$T$9="Solar Wind",POWER(Upgrades!$U$9,H98),1)*IF(Upgrades!$T$10="Solar Wind",POWER(Upgrades!$U$10,I98),1)*IF(Upgrades!$T$11="Solar Wind",POWER(Upgrades!$U$11,J98),1)*IF(Upgrades!$T$12="Solar Wind",POWER(Upgrades!$U$12,K98),1))+(IF(F98=0,0,(Upgrades!$G$7+F98*Upgrades!$H$7)*POWER(Upgrades!$I$7,F98)))*(IF(Upgrades!$T$6="Asteroid Belt",POWER(Upgrades!$U$6,E98),1)*IF(Upgrades!$T$8="Asteroid Belt",POWER(Upgrades!$U$8,G98),1)*IF(Upgrades!$T$9="Asteroid Belt",POWER(Upgrades!$U$9,H98),1)*IF(Upgrades!$T$10="Asteroid Belt",POWER(Upgrades!$U$10,I98),1)*IF(Upgrades!$T$11="Asteroid Belt",POWER(Upgrades!$U$11,J98),1)*IF(Upgrades!$T$12="Asteroid Belt",POWER(Upgrades!$U$12,K98),1))+(IF(G98=0,0,(Upgrades!$G$8+G98*Upgrades!$H$8)*POWER(Upgrades!$I$8,G98)))*(IF(Upgrades!$T$6="Stellar Coupling",POWER(Upgrades!$U$6,E98),1)*IF(Upgrades!$T$7="Stellar Coupling",POWER(Upgrades!$U$7,F98),1)*IF(Upgrades!$T$9="Stellar Coupling",POWER(Upgrades!$U$9,H98),1)*IF(Upgrades!$T$10="Stellar Coupling",POWER(Upgrades!$U$10,I98),1)*IF(Upgrades!$T$11="Stellar Coupling",POWER(Upgrades!$U$11,J98),1)*IF(Upgrades!$T$12="Stellar Coupling",POWER(Upgrades!$U$12,K98),1))+(IF(H98=0,0,(Upgrades!$G$9+H98*Upgrades!$H$9)*POWER(Upgrades!$I$9,H98)))*(IF(Upgrades!$T$6="Magnetosphere",POWER(Upgrades!$U$6,E98),1)*IF(Upgrades!$T$7="Magnetosphere",POWER(Upgrades!$U$7,F98),1)*IF(Upgrades!$T$8="Magnetosphere",POWER(Upgrades!$U$8,G98),1)*IF(Upgrades!$T$10="Magnetosphere",POWER(Upgrades!$U$10,I98),1)*IF(Upgrades!$T$11="Magnetosphere",POWER(Upgrades!$U$11,J98),1)*IF(Upgrades!$T$12="Magnetosphere",POWER(Upgrades!$U$12,K98),1))+(IF(I98=0,0,(Upgrades!$G$10+I98*Upgrades!$H$10)*POWER(Upgrades!$I$10,I98)))*(IF(Upgrades!$T$6="Orbital Resonance",POWER(Upgrades!$U$6,E98),1)*IF(Upgrades!$T$7="Orbital Resonance",POWER(Upgrades!$U$7,F98),1)*IF(Upgrades!$T$8="Orbital Resonance",POWER(Upgrades!$U$8,G98),1)*IF(Upgrades!$T$9="Orbital Resonance",POWER(Upgrades!$U$9,H98),1)*IF(Upgrades!$T$11="Orbital Resonance",POWER(Upgrades!$U$11,J98),1)*IF(Upgrades!$T$12="Orbital Resonance",POWER(Upgrades!$U$12,K98),1))+(IF(J98=0,0,(Upgrades!$G$11+J98*Upgrades!$H$11)*POWER(Upgrades!$I$11,J98)))*(IF(Upgrades!$T$6="Heliopause",POWER(Upgrades!$U$6,E98),1)*IF(Upgrades!$T$7="Heliopause",POWER(Upgrades!$U$7,F98),1)*IF(Upgrades!$T$8="Heliopause",POWER(Upgrades!$U$8,G98),1)*IF(Upgrades!$T$9="Heliopause",POWER(Upgrades!$U$9,H98),1)*IF(Upgrades!$T$10="Heliopause",POWER(Upgrades!$U$10,I98),1)*IF(Upgrades!$T$12="Heliopause",POWER(Upgrades!$U$12,K98),1))+(IF(K98=0,0,(Upgrades!$G$12+K98*Upgrades!$H$12)*POWER(Upgrades!$I$12,K98)))*(IF(Upgrades!$T$6="First Photons",POWER(Upgrades!$U$6,E98),1)*IF(Upgrades!$T$7="First Photons",POWER(Upgrades!$U$7,F98),1)*IF(Upgrades!$T$8="First Photons",POWER(Upgrades!$U$8,G98),1)*IF(Upgrades!$T$9="First Photons",POWER(Upgrades!$U$9,H98),1)*IF(Upgrades!$T$10="First Photons",POWER(Upgrades!$U$10,I98),1)*IF(Upgrades!$T$11="First Photons",POWER(Upgrades!$U$11,J98),1)))*POWER(Upgrades!$P$6,E98)*POWER(Upgrades!$P$7,F98)*POWER(Upgrades!$P$8,G98)*POWER(Upgrades!$P$9,H98)*POWER(Upgrades!$P$10,I98)*POWER(Upgrades!$P$11,J98)*POWER(Upgrades!$P$12,K98)</f>
        <v/>
      </c>
      <c r="O98" s="28">
        <f>((IF(E98=0,0,(Upgrades!$M$6+E98*Upgrades!$N$6)*POWER(Upgrades!$O$6,E98)))*(IF(Upgrades!$T$7="Solar Wind",POWER(Upgrades!$U$7,F98),1)*IF(Upgrades!$T$8="Solar Wind",POWER(Upgrades!$U$8,G98),1)*IF(Upgrades!$T$9="Solar Wind",POWER(Upgrades!$U$9,H98),1)*IF(Upgrades!$T$10="Solar Wind",POWER(Upgrades!$U$10,I98),1)*IF(Upgrades!$T$11="Solar Wind",POWER(Upgrades!$U$11,J98),1)*IF(Upgrades!$T$12="Solar Wind",POWER(Upgrades!$U$12,K98),1))+(IF(F98=0,0,(Upgrades!$M$7+F98*Upgrades!$N$7)*POWER(Upgrades!$O$7,F98)))*(IF(Upgrades!$T$6="Asteroid Belt",POWER(Upgrades!$U$6,E98),1)*IF(Upgrades!$T$8="Asteroid Belt",POWER(Upgrades!$U$8,G98),1)*IF(Upgrades!$T$9="Asteroid Belt",POWER(Upgrades!$U$9,H98),1)*IF(Upgrades!$T$10="Asteroid Belt",POWER(Upgrades!$U$10,I98),1)*IF(Upgrades!$T$11="Asteroid Belt",POWER(Upgrades!$U$11,J98),1)*IF(Upgrades!$T$12="Asteroid Belt",POWER(Upgrades!$U$12,K98),1))+(IF(G98=0,0,(Upgrades!$M$8+G98*Upgrades!$N$8)*POWER(Upgrades!$O$8,G98)))*(IF(Upgrades!$T$6="Stellar Coupling",POWER(Upgrades!$U$6,E98),1)*IF(Upgrades!$T$7="Stellar Coupling",POWER(Upgrades!$U$7,F98),1)*IF(Upgrades!$T$9="Stellar Coupling",POWER(Upgrades!$U$9,H98),1)*IF(Upgrades!$T$10="Stellar Coupling",POWER(Upgrades!$U$10,I98),1)*IF(Upgrades!$T$11="Stellar Coupling",POWER(Upgrades!$U$11,J98),1)*IF(Upgrades!$T$12="Stellar Coupling",POWER(Upgrades!$U$12,K98),1))+(IF(H98=0,0,(Upgrades!$M$9+H98*Upgrades!$N$9)*POWER(Upgrades!$O$9,H98)))*(IF(Upgrades!$T$6="Magnetosphere",POWER(Upgrades!$U$6,E98),1)*IF(Upgrades!$T$7="Magnetosphere",POWER(Upgrades!$U$7,F98),1)*IF(Upgrades!$T$8="Magnetosphere",POWER(Upgrades!$U$8,G98),1)*IF(Upgrades!$T$10="Magnetosphere",POWER(Upgrades!$U$10,I98),1)*IF(Upgrades!$T$11="Magnetosphere",POWER(Upgrades!$U$11,J98),1)*IF(Upgrades!$T$12="Magnetosphere",POWER(Upgrades!$U$12,K98),1))+(IF(I98=0,0,(Upgrades!$M$10+I98*Upgrades!$N$10)*POWER(Upgrades!$O$10,I98)))*(IF(Upgrades!$T$6="Orbital Resonance",POWER(Upgrades!$U$6,E98),1)*IF(Upgrades!$T$7="Orbital Resonance",POWER(Upgrades!$U$7,F98),1)*IF(Upgrades!$T$8="Orbital Resonance",POWER(Upgrades!$U$8,G98),1)*IF(Upgrades!$T$9="Orbital Resonance",POWER(Upgrades!$U$9,H98),1)*IF(Upgrades!$T$11="Orbital Resonance",POWER(Upgrades!$U$11,J98),1)*IF(Upgrades!$T$12="Orbital Resonance",POWER(Upgrades!$U$12,K98),1))+(IF(J98=0,0,(Upgrades!$M$11+J98*Upgrades!$N$11)*POWER(Upgrades!$O$11,J98)))*(IF(Upgrades!$T$6="Heliopause",POWER(Upgrades!$U$6,E98),1)*IF(Upgrades!$T$7="Heliopause",POWER(Upgrades!$U$7,F98),1)*IF(Upgrades!$T$8="Heliopause",POWER(Upgrades!$U$8,G98),1)*IF(Upgrades!$T$9="Heliopause",POWER(Upgrades!$U$9,H98),1)*IF(Upgrades!$T$10="Heliopause",POWER(Upgrades!$U$10,I98),1)*IF(Upgrades!$T$12="Heliopause",POWER(Upgrades!$U$12,K98),1))+(IF(K98=0,0,(Upgrades!$M$12+K98*Upgrades!$N$12)*POWER(Upgrades!$O$12,K98)))*(IF(Upgrades!$T$6="First Photons",POWER(Upgrades!$U$6,E98),1)*IF(Upgrades!$T$7="First Photons",POWER(Upgrades!$U$7,F98),1)*IF(Upgrades!$T$8="First Photons",POWER(Upgrades!$U$8,G98),1)*IF(Upgrades!$T$9="First Photons",POWER(Upgrades!$U$9,H98),1)*IF(Upgrades!$T$10="First Photons",POWER(Upgrades!$U$10,I98),1)*IF(Upgrades!$T$11="First Photons",POWER(Upgrades!$U$11,J98),1)))*POWER(Upgrades!$R$6,E98)*POWER(Upgrades!$R$7,F98)*POWER(Upgrades!$R$8,G98)*POWER(Upgrades!$R$9,H98)*POWER(Upgrades!$R$10,I98)*POWER(Upgrades!$R$11,J98)*POWER(Upgrades!$R$12,K98)</f>
        <v/>
      </c>
      <c r="P98" s="27">
        <f>IF(L98=1,0,M98*Parameters!$B$10/60*Parameters!$B$11*10)</f>
        <v/>
      </c>
      <c r="Q98" s="27">
        <f>IF(L98=1,0,O98*M98*10)</f>
        <v/>
      </c>
      <c r="R98" s="27">
        <f>IF(L98=1,0,N98*10)</f>
        <v/>
      </c>
      <c r="S98" s="27">
        <f>P98+Q98+R98</f>
        <v/>
      </c>
      <c r="T98" s="22">
        <f>C98+S98</f>
        <v/>
      </c>
      <c r="U98" s="33">
        <f>AX98</f>
        <v/>
      </c>
      <c r="V98" s="22">
        <f>IF(U98="",0,IF(U98="transition",0,IF(U98="SW",AG98,IF(U98="AB",AH98,IF(U98="SC",AI98,IF(U98="Mag",AJ98,IF(U98="OR",AK98,IF(U98="HP",AL98,IF(U98="FP",AM98,0)))))))))</f>
        <v/>
      </c>
      <c r="W98" s="27">
        <f>IF(U98="OR",Upgrades!$F$10,IF(U98="HP",Upgrades!$F$11,IF(U98="transition",-Parameters!$B$18,0)))</f>
        <v/>
      </c>
      <c r="X98" s="22">
        <f>T98-V98</f>
        <v/>
      </c>
      <c r="Y98" s="30">
        <f>M98*Parameters!$B$10/60*Parameters!$B$11+O98*M98+N98</f>
        <v/>
      </c>
      <c r="Z98" s="34">
        <f>IF(U98="transition","→ Tier 2 (Stellar Neighborhood)",IF(U98="FP","First Photons — light begins, system quickens",IF(U98="HP","Heliopause acquired",IF(U98="OR","Orbital Resonance — passive multiplier active",IF(AND(AO98=1,L98=0,AN98&lt;&gt;1),"Cohesion ready (waiting on completionist upgrades)","")))))</f>
        <v/>
      </c>
      <c r="AA98" s="27">
        <f>(IF(E98=0,0,(Upgrades!$G$6+E98*Upgrades!$H$6)*POWER(Upgrades!$I$6,E98)))*(IF(Upgrades!$T$7="Solar Wind",POWER(Upgrades!$U$7,F98),1)*IF(Upgrades!$T$8="Solar Wind",POWER(Upgrades!$U$8,G98),1)*IF(Upgrades!$T$9="Solar Wind",POWER(Upgrades!$U$9,H98),1)*IF(Upgrades!$T$10="Solar Wind",POWER(Upgrades!$U$10,I98),1)*IF(Upgrades!$T$11="Solar Wind",POWER(Upgrades!$U$11,J98),1)*IF(Upgrades!$T$12="Solar Wind",POWER(Upgrades!$U$12,K98),1))*POWER(Upgrades!$P$6,E98)*POWER(Upgrades!$P$7,F98)*POWER(Upgrades!$P$8,G98)*POWER(Upgrades!$P$9,H98)*POWER(Upgrades!$P$10,I98)*POWER(Upgrades!$P$11,J98)*POWER(Upgrades!$P$12,K98)*60</f>
        <v/>
      </c>
      <c r="AB98" s="27">
        <f>(IF(F98=0,0,(Upgrades!$G$7+F98*Upgrades!$H$7)*POWER(Upgrades!$I$7,F98)))*(IF(Upgrades!$T$6="Asteroid Belt",POWER(Upgrades!$U$6,E98),1)*IF(Upgrades!$T$8="Asteroid Belt",POWER(Upgrades!$U$8,G98),1)*IF(Upgrades!$T$9="Asteroid Belt",POWER(Upgrades!$U$9,H98),1)*IF(Upgrades!$T$10="Asteroid Belt",POWER(Upgrades!$U$10,I98),1)*IF(Upgrades!$T$11="Asteroid Belt",POWER(Upgrades!$U$11,J98),1)*IF(Upgrades!$T$12="Asteroid Belt",POWER(Upgrades!$U$12,K98),1))*POWER(Upgrades!$P$6,E98)*POWER(Upgrades!$P$7,F98)*POWER(Upgrades!$P$8,G98)*POWER(Upgrades!$P$9,H98)*POWER(Upgrades!$P$10,I98)*POWER(Upgrades!$P$11,J98)*POWER(Upgrades!$P$12,K98)*60</f>
        <v/>
      </c>
      <c r="AC98" s="27">
        <f>(IF(G98=0,0,(Upgrades!$J$8+G98*Upgrades!$K$8)*POWER(Upgrades!$L$8,G98)))*(IF(Upgrades!$T$6="Stellar Coupling",POWER(Upgrades!$U$6,E98),1)*IF(Upgrades!$T$7="Stellar Coupling",POWER(Upgrades!$U$7,F98),1)*IF(Upgrades!$T$9="Stellar Coupling",POWER(Upgrades!$U$9,H98),1)*IF(Upgrades!$T$10="Stellar Coupling",POWER(Upgrades!$U$10,I98),1)*IF(Upgrades!$T$11="Stellar Coupling",POWER(Upgrades!$U$11,J98),1)*IF(Upgrades!$T$12="Stellar Coupling",POWER(Upgrades!$U$12,K98),1))*POWER(Upgrades!$Q$6,E98)*POWER(Upgrades!$Q$7,F98)*POWER(Upgrades!$Q$8,G98)*POWER(Upgrades!$Q$9,H98)*POWER(Upgrades!$Q$10,I98)*POWER(Upgrades!$Q$11,J98)*POWER(Upgrades!$Q$12,K98)*Parameters!$B$10*Parameters!$B$11</f>
        <v/>
      </c>
      <c r="AD98" s="27">
        <f>(IF(H98=0,0,(Upgrades!$G$9+H98*Upgrades!$H$9)*POWER(Upgrades!$I$9,H98)))*(IF(Upgrades!$T$6="Magnetosphere",POWER(Upgrades!$U$6,E98),1)*IF(Upgrades!$T$7="Magnetosphere",POWER(Upgrades!$U$7,F98),1)*IF(Upgrades!$T$8="Magnetosphere",POWER(Upgrades!$U$8,G98),1)*IF(Upgrades!$T$10="Magnetosphere",POWER(Upgrades!$U$10,I98),1)*IF(Upgrades!$T$11="Magnetosphere",POWER(Upgrades!$U$11,J98),1)*IF(Upgrades!$T$12="Magnetosphere",POWER(Upgrades!$U$12,K98),1))*POWER(Upgrades!$P$6,E98)*POWER(Upgrades!$P$7,F98)*POWER(Upgrades!$P$8,G98)*POWER(Upgrades!$P$9,H98)*POWER(Upgrades!$P$10,I98)*POWER(Upgrades!$P$11,J98)*POWER(Upgrades!$P$12,K98)*60</f>
        <v/>
      </c>
      <c r="AE98" s="27">
        <f>(IF(K98=0,0,(Upgrades!$G$12+K98*Upgrades!$H$12)*POWER(Upgrades!$I$12,K98)))*(IF(Upgrades!$T$6="First Photons",POWER(Upgrades!$U$6,E98),1)*IF(Upgrades!$T$7="First Photons",POWER(Upgrades!$U$7,F98),1)*IF(Upgrades!$T$8="First Photons",POWER(Upgrades!$U$8,G98),1)*IF(Upgrades!$T$9="First Photons",POWER(Upgrades!$U$9,H98),1)*IF(Upgrades!$T$10="First Photons",POWER(Upgrades!$U$10,I98),1)*IF(Upgrades!$T$11="First Photons",POWER(Upgrades!$U$11,J98),1))*POWER(Upgrades!$P$6,E98)*POWER(Upgrades!$P$7,F98)*POWER(Upgrades!$P$8,G98)*POWER(Upgrades!$P$9,H98)*POWER(Upgrades!$P$10,I98)*POWER(Upgrades!$P$11,J98)*POWER(Upgrades!$P$12,K98)*60</f>
        <v/>
      </c>
      <c r="AF98" s="27">
        <f>Parameters!$B$9*POWER(Upgrades!$Q$6,E98)*POWER(Upgrades!$Q$7,F98)*POWER(Upgrades!$Q$8,G98)*POWER(Upgrades!$Q$9,H98)*POWER(Upgrades!$Q$10,I98)*POWER(Upgrades!$Q$11,J98)*POWER(Upgrades!$Q$12,K98)*(Parameters!$B$10*Parameters!$B$11+O98*60)</f>
        <v/>
      </c>
      <c r="AG98" s="22">
        <f>IF(E98&gt;=Upgrades!$E$6,"",Upgrades!$C$6*POWER(Upgrades!$D$6,E98))</f>
        <v/>
      </c>
      <c r="AH98" s="22">
        <f>IF(F98&gt;=Upgrades!$E$7,"",Upgrades!$C$7*POWER(Upgrades!$D$7,F98))</f>
        <v/>
      </c>
      <c r="AI98" s="22">
        <f>IF(G98&gt;=Upgrades!$E$8,"",Upgrades!$C$8*POWER(Upgrades!$D$8,G98))</f>
        <v/>
      </c>
      <c r="AJ98" s="22">
        <f>IF(H98&gt;=Upgrades!$E$9,"",Upgrades!$C$9*POWER(Upgrades!$D$9,H98))</f>
        <v/>
      </c>
      <c r="AK98" s="22">
        <f>IF(I98&gt;=Upgrades!$E$10,"",Upgrades!$C$10*POWER(Upgrades!$D$10,I98))</f>
        <v/>
      </c>
      <c r="AL98" s="22">
        <f>IF(J98&gt;=Upgrades!$E$11,"",Upgrades!$C$11*POWER(Upgrades!$D$11,J98))</f>
        <v/>
      </c>
      <c r="AM98" s="22">
        <f>IF(K98&gt;=Upgrades!$E$12,"",Upgrades!$C$12*POWER(Upgrades!$D$12,K98))</f>
        <v/>
      </c>
      <c r="AN98" s="26">
        <f>IF(AND(D98&gt;=Parameters!$B$18,(H98&gt;=Upgrades!$E$9)*(K98&gt;=Upgrades!$E$12)=1,L98=0),1,"")</f>
        <v/>
      </c>
      <c r="AO98" s="26">
        <f>IF(AND(D98&gt;=Parameters!$B$18,L98=0),1,"")</f>
        <v/>
      </c>
      <c r="AP98" s="22">
        <f>MIN(IF(ISNUMBER(AK98),AK98,9E15),IF(ISNUMBER(AL98),AL98,9E15),IF(ISNUMBER(AM98),AM98,9E15))</f>
        <v/>
      </c>
      <c r="AQ98" s="22">
        <f>MIN(IF(ISNUMBER(AG98),AG98,9E15),IF(ISNUMBER(AH98),AH98,9E15),IF(ISNUMBER(AI98),AI98,9E15),IF(ISNUMBER(AJ98),AJ98,9E15))</f>
        <v/>
      </c>
      <c r="AR98" s="29">
        <f>IF(AW98&gt;Parameters!$B$21*(MAX(IF(AND(NOT(AND(AO98=1,AN98&lt;&gt;1)),ISNUMBER(AG98),AG98&lt;=T98),AS98,0),IF(AND(NOT(AND(AO98=1,AN98&lt;&gt;1)),ISNUMBER(AH98),AH98&lt;=T98),AT98,0),IF(AND(NOT(AND(AO98=1,AN98&lt;&gt;1)),ISNUMBER(AI98),AI98&lt;=T98),AU98,0),IF(AND(ISNUMBER(AJ98),AJ98&lt;=T98),AV98,0))),TRUE,FALSE)</f>
        <v/>
      </c>
      <c r="AS98" s="32">
        <f>IFERROR(Upgrades!$H$6*(POWER(Upgrades!$P$6,E98)*POWER(Upgrades!$P$7,F98)*POWER(Upgrades!$P$8,G98)*POWER(Upgrades!$P$9,H98)*POWER(Upgrades!$P$10,I98)*POWER(Upgrades!$P$11,J98)*POWER(Upgrades!$P$12,K98))*(IF(Upgrades!$T$7="Solar Wind",POWER(Upgrades!$U$7,F98),1)*IF(Upgrades!$T$8="Solar Wind",POWER(Upgrades!$U$8,G98),1)*IF(Upgrades!$T$9="Solar Wind",POWER(Upgrades!$U$9,H98),1)*IF(Upgrades!$T$10="Solar Wind",POWER(Upgrades!$U$10,I98),1)*IF(Upgrades!$T$11="Solar Wind",POWER(Upgrades!$U$11,J98),1)*IF(Upgrades!$T$12="Solar Wind",POWER(Upgrades!$U$12,K98),1))/AG98,0)</f>
        <v/>
      </c>
      <c r="AT98" s="32">
        <f>IFERROR(Upgrades!$H$7*(POWER(Upgrades!$P$6,E98)*POWER(Upgrades!$P$7,F98)*POWER(Upgrades!$P$8,G98)*POWER(Upgrades!$P$9,H98)*POWER(Upgrades!$P$10,I98)*POWER(Upgrades!$P$11,J98)*POWER(Upgrades!$P$12,K98))*(IF(Upgrades!$T$6="Asteroid Belt",POWER(Upgrades!$U$6,E98),1)*IF(Upgrades!$T$8="Asteroid Belt",POWER(Upgrades!$U$8,G98),1)*IF(Upgrades!$T$9="Asteroid Belt",POWER(Upgrades!$U$9,H98),1)*IF(Upgrades!$T$10="Asteroid Belt",POWER(Upgrades!$U$10,I98),1)*IF(Upgrades!$T$11="Asteroid Belt",POWER(Upgrades!$U$11,J98),1)*IF(Upgrades!$T$12="Asteroid Belt",POWER(Upgrades!$U$12,K98),1))/AH98,0)</f>
        <v/>
      </c>
      <c r="AU98" s="32">
        <f>IFERROR(Upgrades!$K$8*(POWER(Upgrades!$Q$6,E98)*POWER(Upgrades!$Q$7,F98)*POWER(Upgrades!$Q$8,G98)*POWER(Upgrades!$Q$9,H98)*POWER(Upgrades!$Q$10,I98)*POWER(Upgrades!$Q$11,J98)*POWER(Upgrades!$Q$12,K98))*(IF(Upgrades!$T$6="Stellar Coupling",POWER(Upgrades!$U$6,E98),1)*IF(Upgrades!$T$7="Stellar Coupling",POWER(Upgrades!$U$7,F98),1)*IF(Upgrades!$T$9="Stellar Coupling",POWER(Upgrades!$U$9,H98),1)*IF(Upgrades!$T$10="Stellar Coupling",POWER(Upgrades!$U$10,I98),1)*IF(Upgrades!$T$11="Stellar Coupling",POWER(Upgrades!$U$11,J98),1)*IF(Upgrades!$T$12="Stellar Coupling",POWER(Upgrades!$U$12,K98),1))*Parameters!$B$10*Parameters!$B$11/60/AI98,0)</f>
        <v/>
      </c>
      <c r="AV98" s="32">
        <f>IFERROR(Upgrades!$H$9*(POWER(Upgrades!$P$6,E98)*POWER(Upgrades!$P$7,F98)*POWER(Upgrades!$P$8,G98)*POWER(Upgrades!$P$9,H98)*POWER(Upgrades!$P$10,I98)*POWER(Upgrades!$P$11,J98)*POWER(Upgrades!$P$12,K98))*(IF(Upgrades!$T$6="Magnetosphere",POWER(Upgrades!$U$6,E98),1)*IF(Upgrades!$T$7="Magnetosphere",POWER(Upgrades!$U$7,F98),1)*IF(Upgrades!$T$8="Magnetosphere",POWER(Upgrades!$U$8,G98),1)*IF(Upgrades!$T$10="Magnetosphere",POWER(Upgrades!$U$10,I98),1)*IF(Upgrades!$T$11="Magnetosphere",POWER(Upgrades!$U$11,J98),1)*IF(Upgrades!$T$12="Magnetosphere",POWER(Upgrades!$U$12,K98),1))/AJ98,0)</f>
        <v/>
      </c>
      <c r="AW98" s="32">
        <f>MAX(IF(I98&gt;0,0,IFERROR(0.25*N98/Upgrades!$C$10,0)),IF(J98&gt;0,0,IFERROR(0.5*((IF(G98=0,0,(Upgrades!$J$8+G98*Upgrades!$K$8)*POWER(Upgrades!$L$8,G98)))*(IF(Upgrades!$T$6="Stellar Coupling",POWER(Upgrades!$U$6,E98),1)*IF(Upgrades!$T$7="Stellar Coupling",POWER(Upgrades!$U$7,F98),1)*IF(Upgrades!$T$9="Stellar Coupling",POWER(Upgrades!$U$9,H98),1)*IF(Upgrades!$T$10="Stellar Coupling",POWER(Upgrades!$U$10,I98),1)*IF(Upgrades!$T$11="Stellar Coupling",POWER(Upgrades!$U$11,J98),1)*IF(Upgrades!$T$12="Stellar Coupling",POWER(Upgrades!$U$12,K98),1))*(POWER(Upgrades!$Q$6,E98)*POWER(Upgrades!$Q$7,F98)*POWER(Upgrades!$Q$8,G98)*POWER(Upgrades!$Q$9,H98)*POWER(Upgrades!$Q$10,I98)*POWER(Upgrades!$Q$11,J98)*POWER(Upgrades!$Q$12,K98))*Parameters!$B$10*Parameters!$B$11/60)/Upgrades!$C$11,0)),IF(K98&gt;0,0,IFERROR((1.0*(POWER(Upgrades!$P$6,E98)*POWER(Upgrades!$P$7,F98)*POWER(Upgrades!$P$8,G98)*POWER(Upgrades!$P$9,H98)*POWER(Upgrades!$P$10,I98)*POWER(Upgrades!$P$11,J98)*POWER(Upgrades!$P$12,K98))+0.20*M98*Parameters!$B$10*Parameters!$B$11/60)/Upgrades!$C$12,0)),IF(AND(ISNUMBER(AG98),AG98&gt;T98),AS98,0),IF(AND(ISNUMBER(AH98),AH98&gt;T98),AT98,0),IF(AND(ISNUMBER(AI98),AI98&gt;T98),AU98,0),IF(AND(ISNUMBER(AJ98),AJ98&gt;T98),AV98,0))</f>
        <v/>
      </c>
      <c r="AX98" s="29">
        <f>IF(AN98=1,"transition",IF(MIN(IF(AND(I98=0,ISNUMBER(AK98),AK98&lt;=T98),AK98,9E15),IF(AND(J98=0,ISNUMBER(AL98),AL98&lt;=T98),AL98,9E15),IF(AND(K98=0,ISNUMBER(AM98),AM98&lt;=T98),AM98,9E15))&lt;9E15,IF(AND(AND(I98=0,ISNUMBER(AK98),AK98&lt;=T98),AK98=MIN(IF(AND(I98=0,ISNUMBER(AK98),AK98&lt;=T98),AK98,9E15),IF(AND(J98=0,ISNUMBER(AL98),AL98&lt;=T98),AL98,9E15),IF(AND(K98=0,ISNUMBER(AM98),AM98&lt;=T98),AM98,9E15))),"OR",IF(AND(AND(J98=0,ISNUMBER(AL98),AL98&lt;=T98),AL98=MIN(IF(AND(I98=0,ISNUMBER(AK98),AK98&lt;=T98),AK98,9E15),IF(AND(J98=0,ISNUMBER(AL98),AL98&lt;=T98),AL98,9E15),IF(AND(K98=0,ISNUMBER(AM98),AM98&lt;=T98),AM98,9E15))),"HP","FP")),IF(AR98=TRUE,"",IF(MAX(IF(AND(NOT(AND(AO98=1,AN98&lt;&gt;1)),ISNUMBER(AG98),AG98&lt;=T98),AS98,0),IF(AND(NOT(AND(AO98=1,AN98&lt;&gt;1)),ISNUMBER(AH98),AH98&lt;=T98),AT98,0),IF(AND(NOT(AND(AO98=1,AN98&lt;&gt;1)),ISNUMBER(AI98),AI98&lt;=T98),AU98,0),IF(AND(ISNUMBER(AJ98),AJ98&lt;=T98),AV98,0))&lt;=0,"",IF(AND(IF(AND(NOT(AND(AO98=1,AN98&lt;&gt;1)),ISNUMBER(AG98),AG98&lt;=T98),AS98,0)&gt;0,IF(AND(NOT(AND(AO98=1,AN98&lt;&gt;1)),ISNUMBER(AG98),AG98&lt;=T98),AS98,0)=MAX(IF(AND(NOT(AND(AO98=1,AN98&lt;&gt;1)),ISNUMBER(AG98),AG98&lt;=T98),AS98,0),IF(AND(NOT(AND(AO98=1,AN98&lt;&gt;1)),ISNUMBER(AH98),AH98&lt;=T98),AT98,0),IF(AND(NOT(AND(AO98=1,AN98&lt;&gt;1)),ISNUMBER(AI98),AI98&lt;=T98),AU98,0),IF(AND(ISNUMBER(AJ98),AJ98&lt;=T98),AV98,0))),"SW",IF(AND(IF(AND(NOT(AND(AO98=1,AN98&lt;&gt;1)),ISNUMBER(AH98),AH98&lt;=T98),AT98,0)&gt;0,IF(AND(NOT(AND(AO98=1,AN98&lt;&gt;1)),ISNUMBER(AH98),AH98&lt;=T98),AT98,0)=MAX(IF(AND(NOT(AND(AO98=1,AN98&lt;&gt;1)),ISNUMBER(AG98),AG98&lt;=T98),AS98,0),IF(AND(NOT(AND(AO98=1,AN98&lt;&gt;1)),ISNUMBER(AH98),AH98&lt;=T98),AT98,0),IF(AND(NOT(AND(AO98=1,AN98&lt;&gt;1)),ISNUMBER(AI98),AI98&lt;=T98),AU98,0),IF(AND(ISNUMBER(AJ98),AJ98&lt;=T98),AV98,0))),"AB",IF(AND(IF(AND(NOT(AND(AO98=1,AN98&lt;&gt;1)),ISNUMBER(AI98),AI98&lt;=T98),AU98,0)&gt;0,IF(AND(NOT(AND(AO98=1,AN98&lt;&gt;1)),ISNUMBER(AI98),AI98&lt;=T98),AU98,0)=MAX(IF(AND(NOT(AND(AO98=1,AN98&lt;&gt;1)),ISNUMBER(AG98),AG98&lt;=T98),AS98,0),IF(AND(NOT(AND(AO98=1,AN98&lt;&gt;1)),ISNUMBER(AH98),AH98&lt;=T98),AT98,0),IF(AND(NOT(AND(AO98=1,AN98&lt;&gt;1)),ISNUMBER(AI98),AI98&lt;=T98),AU98,0),IF(AND(ISNUMBER(AJ98),AJ98&lt;=T98),AV98,0))),"SC","Mag")))))))</f>
        <v/>
      </c>
    </row>
    <row r="99">
      <c r="A99" s="26" t="n">
        <v>94</v>
      </c>
      <c r="B99" s="27">
        <f>A99*10/60</f>
        <v/>
      </c>
      <c r="C99" s="22">
        <f>X98</f>
        <v/>
      </c>
      <c r="D99" s="27">
        <f>D98+W98</f>
        <v/>
      </c>
      <c r="E99" s="26">
        <f>E98+IF(U98="SW",1,0)</f>
        <v/>
      </c>
      <c r="F99" s="26">
        <f>F98+IF(U98="AB",1,0)</f>
        <v/>
      </c>
      <c r="G99" s="26">
        <f>G98+IF(U98="SC",1,0)</f>
        <v/>
      </c>
      <c r="H99" s="26">
        <f>H98+IF(U98="Mag",1,0)</f>
        <v/>
      </c>
      <c r="I99" s="26">
        <f>MAX(I98,IF(U98="OR",1,0))</f>
        <v/>
      </c>
      <c r="J99" s="26">
        <f>MAX(J98,IF(U98="HP",1,0))</f>
        <v/>
      </c>
      <c r="K99" s="26">
        <f>MAX(K98,IF(U98="FP",1,0))</f>
        <v/>
      </c>
      <c r="L99" s="26">
        <f>MAX(L98,IF(U98="transition",1,0))</f>
        <v/>
      </c>
      <c r="M99" s="28">
        <f>(Parameters!$B$9+(IF(E99=0,0,(Upgrades!$J$6+E99*Upgrades!$K$6)*POWER(Upgrades!$L$6,E99)))*(IF(Upgrades!$T$7="Solar Wind",POWER(Upgrades!$U$7,F99),1)*IF(Upgrades!$T$8="Solar Wind",POWER(Upgrades!$U$8,G99),1)*IF(Upgrades!$T$9="Solar Wind",POWER(Upgrades!$U$9,H99),1)*IF(Upgrades!$T$10="Solar Wind",POWER(Upgrades!$U$10,I99),1)*IF(Upgrades!$T$11="Solar Wind",POWER(Upgrades!$U$11,J99),1)*IF(Upgrades!$T$12="Solar Wind",POWER(Upgrades!$U$12,K99),1))+(IF(F99=0,0,(Upgrades!$J$7+F99*Upgrades!$K$7)*POWER(Upgrades!$L$7,F99)))*(IF(Upgrades!$T$6="Asteroid Belt",POWER(Upgrades!$U$6,E99),1)*IF(Upgrades!$T$8="Asteroid Belt",POWER(Upgrades!$U$8,G99),1)*IF(Upgrades!$T$9="Asteroid Belt",POWER(Upgrades!$U$9,H99),1)*IF(Upgrades!$T$10="Asteroid Belt",POWER(Upgrades!$U$10,I99),1)*IF(Upgrades!$T$11="Asteroid Belt",POWER(Upgrades!$U$11,J99),1)*IF(Upgrades!$T$12="Asteroid Belt",POWER(Upgrades!$U$12,K99),1))+(IF(G99=0,0,(Upgrades!$J$8+G99*Upgrades!$K$8)*POWER(Upgrades!$L$8,G99)))*(IF(Upgrades!$T$6="Stellar Coupling",POWER(Upgrades!$U$6,E99),1)*IF(Upgrades!$T$7="Stellar Coupling",POWER(Upgrades!$U$7,F99),1)*IF(Upgrades!$T$9="Stellar Coupling",POWER(Upgrades!$U$9,H99),1)*IF(Upgrades!$T$10="Stellar Coupling",POWER(Upgrades!$U$10,I99),1)*IF(Upgrades!$T$11="Stellar Coupling",POWER(Upgrades!$U$11,J99),1)*IF(Upgrades!$T$12="Stellar Coupling",POWER(Upgrades!$U$12,K99),1))+(IF(H99=0,0,(Upgrades!$J$9+H99*Upgrades!$K$9)*POWER(Upgrades!$L$9,H99)))*(IF(Upgrades!$T$6="Magnetosphere",POWER(Upgrades!$U$6,E99),1)*IF(Upgrades!$T$7="Magnetosphere",POWER(Upgrades!$U$7,F99),1)*IF(Upgrades!$T$8="Magnetosphere",POWER(Upgrades!$U$8,G99),1)*IF(Upgrades!$T$10="Magnetosphere",POWER(Upgrades!$U$10,I99),1)*IF(Upgrades!$T$11="Magnetosphere",POWER(Upgrades!$U$11,J99),1)*IF(Upgrades!$T$12="Magnetosphere",POWER(Upgrades!$U$12,K99),1))+(IF(I99=0,0,(Upgrades!$J$10+I99*Upgrades!$K$10)*POWER(Upgrades!$L$10,I99)))*(IF(Upgrades!$T$6="Orbital Resonance",POWER(Upgrades!$U$6,E99),1)*IF(Upgrades!$T$7="Orbital Resonance",POWER(Upgrades!$U$7,F99),1)*IF(Upgrades!$T$8="Orbital Resonance",POWER(Upgrades!$U$8,G99),1)*IF(Upgrades!$T$9="Orbital Resonance",POWER(Upgrades!$U$9,H99),1)*IF(Upgrades!$T$11="Orbital Resonance",POWER(Upgrades!$U$11,J99),1)*IF(Upgrades!$T$12="Orbital Resonance",POWER(Upgrades!$U$12,K99),1))+(IF(J99=0,0,(Upgrades!$J$11+J99*Upgrades!$K$11)*POWER(Upgrades!$L$11,J99)))*(IF(Upgrades!$T$6="Heliopause",POWER(Upgrades!$U$6,E99),1)*IF(Upgrades!$T$7="Heliopause",POWER(Upgrades!$U$7,F99),1)*IF(Upgrades!$T$8="Heliopause",POWER(Upgrades!$U$8,G99),1)*IF(Upgrades!$T$9="Heliopause",POWER(Upgrades!$U$9,H99),1)*IF(Upgrades!$T$10="Heliopause",POWER(Upgrades!$U$10,I99),1)*IF(Upgrades!$T$12="Heliopause",POWER(Upgrades!$U$12,K99),1))+(IF(K99=0,0,(Upgrades!$J$12+K99*Upgrades!$K$12)*POWER(Upgrades!$L$12,K99)))*(IF(Upgrades!$T$6="First Photons",POWER(Upgrades!$U$6,E99),1)*IF(Upgrades!$T$7="First Photons",POWER(Upgrades!$U$7,F99),1)*IF(Upgrades!$T$8="First Photons",POWER(Upgrades!$U$8,G99),1)*IF(Upgrades!$T$9="First Photons",POWER(Upgrades!$U$9,H99),1)*IF(Upgrades!$T$10="First Photons",POWER(Upgrades!$U$10,I99),1)*IF(Upgrades!$T$11="First Photons",POWER(Upgrades!$U$11,J99),1)))*POWER(Upgrades!$Q$6,E99)*POWER(Upgrades!$Q$7,F99)*POWER(Upgrades!$Q$8,G99)*POWER(Upgrades!$Q$9,H99)*POWER(Upgrades!$Q$10,I99)*POWER(Upgrades!$Q$11,J99)*POWER(Upgrades!$Q$12,K99)</f>
        <v/>
      </c>
      <c r="N99" s="28">
        <f>((IF(E99=0,0,(Upgrades!$G$6+E99*Upgrades!$H$6)*POWER(Upgrades!$I$6,E99)))*(IF(Upgrades!$T$7="Solar Wind",POWER(Upgrades!$U$7,F99),1)*IF(Upgrades!$T$8="Solar Wind",POWER(Upgrades!$U$8,G99),1)*IF(Upgrades!$T$9="Solar Wind",POWER(Upgrades!$U$9,H99),1)*IF(Upgrades!$T$10="Solar Wind",POWER(Upgrades!$U$10,I99),1)*IF(Upgrades!$T$11="Solar Wind",POWER(Upgrades!$U$11,J99),1)*IF(Upgrades!$T$12="Solar Wind",POWER(Upgrades!$U$12,K99),1))+(IF(F99=0,0,(Upgrades!$G$7+F99*Upgrades!$H$7)*POWER(Upgrades!$I$7,F99)))*(IF(Upgrades!$T$6="Asteroid Belt",POWER(Upgrades!$U$6,E99),1)*IF(Upgrades!$T$8="Asteroid Belt",POWER(Upgrades!$U$8,G99),1)*IF(Upgrades!$T$9="Asteroid Belt",POWER(Upgrades!$U$9,H99),1)*IF(Upgrades!$T$10="Asteroid Belt",POWER(Upgrades!$U$10,I99),1)*IF(Upgrades!$T$11="Asteroid Belt",POWER(Upgrades!$U$11,J99),1)*IF(Upgrades!$T$12="Asteroid Belt",POWER(Upgrades!$U$12,K99),1))+(IF(G99=0,0,(Upgrades!$G$8+G99*Upgrades!$H$8)*POWER(Upgrades!$I$8,G99)))*(IF(Upgrades!$T$6="Stellar Coupling",POWER(Upgrades!$U$6,E99),1)*IF(Upgrades!$T$7="Stellar Coupling",POWER(Upgrades!$U$7,F99),1)*IF(Upgrades!$T$9="Stellar Coupling",POWER(Upgrades!$U$9,H99),1)*IF(Upgrades!$T$10="Stellar Coupling",POWER(Upgrades!$U$10,I99),1)*IF(Upgrades!$T$11="Stellar Coupling",POWER(Upgrades!$U$11,J99),1)*IF(Upgrades!$T$12="Stellar Coupling",POWER(Upgrades!$U$12,K99),1))+(IF(H99=0,0,(Upgrades!$G$9+H99*Upgrades!$H$9)*POWER(Upgrades!$I$9,H99)))*(IF(Upgrades!$T$6="Magnetosphere",POWER(Upgrades!$U$6,E99),1)*IF(Upgrades!$T$7="Magnetosphere",POWER(Upgrades!$U$7,F99),1)*IF(Upgrades!$T$8="Magnetosphere",POWER(Upgrades!$U$8,G99),1)*IF(Upgrades!$T$10="Magnetosphere",POWER(Upgrades!$U$10,I99),1)*IF(Upgrades!$T$11="Magnetosphere",POWER(Upgrades!$U$11,J99),1)*IF(Upgrades!$T$12="Magnetosphere",POWER(Upgrades!$U$12,K99),1))+(IF(I99=0,0,(Upgrades!$G$10+I99*Upgrades!$H$10)*POWER(Upgrades!$I$10,I99)))*(IF(Upgrades!$T$6="Orbital Resonance",POWER(Upgrades!$U$6,E99),1)*IF(Upgrades!$T$7="Orbital Resonance",POWER(Upgrades!$U$7,F99),1)*IF(Upgrades!$T$8="Orbital Resonance",POWER(Upgrades!$U$8,G99),1)*IF(Upgrades!$T$9="Orbital Resonance",POWER(Upgrades!$U$9,H99),1)*IF(Upgrades!$T$11="Orbital Resonance",POWER(Upgrades!$U$11,J99),1)*IF(Upgrades!$T$12="Orbital Resonance",POWER(Upgrades!$U$12,K99),1))+(IF(J99=0,0,(Upgrades!$G$11+J99*Upgrades!$H$11)*POWER(Upgrades!$I$11,J99)))*(IF(Upgrades!$T$6="Heliopause",POWER(Upgrades!$U$6,E99),1)*IF(Upgrades!$T$7="Heliopause",POWER(Upgrades!$U$7,F99),1)*IF(Upgrades!$T$8="Heliopause",POWER(Upgrades!$U$8,G99),1)*IF(Upgrades!$T$9="Heliopause",POWER(Upgrades!$U$9,H99),1)*IF(Upgrades!$T$10="Heliopause",POWER(Upgrades!$U$10,I99),1)*IF(Upgrades!$T$12="Heliopause",POWER(Upgrades!$U$12,K99),1))+(IF(K99=0,0,(Upgrades!$G$12+K99*Upgrades!$H$12)*POWER(Upgrades!$I$12,K99)))*(IF(Upgrades!$T$6="First Photons",POWER(Upgrades!$U$6,E99),1)*IF(Upgrades!$T$7="First Photons",POWER(Upgrades!$U$7,F99),1)*IF(Upgrades!$T$8="First Photons",POWER(Upgrades!$U$8,G99),1)*IF(Upgrades!$T$9="First Photons",POWER(Upgrades!$U$9,H99),1)*IF(Upgrades!$T$10="First Photons",POWER(Upgrades!$U$10,I99),1)*IF(Upgrades!$T$11="First Photons",POWER(Upgrades!$U$11,J99),1)))*POWER(Upgrades!$P$6,E99)*POWER(Upgrades!$P$7,F99)*POWER(Upgrades!$P$8,G99)*POWER(Upgrades!$P$9,H99)*POWER(Upgrades!$P$10,I99)*POWER(Upgrades!$P$11,J99)*POWER(Upgrades!$P$12,K99)</f>
        <v/>
      </c>
      <c r="O99" s="28">
        <f>((IF(E99=0,0,(Upgrades!$M$6+E99*Upgrades!$N$6)*POWER(Upgrades!$O$6,E99)))*(IF(Upgrades!$T$7="Solar Wind",POWER(Upgrades!$U$7,F99),1)*IF(Upgrades!$T$8="Solar Wind",POWER(Upgrades!$U$8,G99),1)*IF(Upgrades!$T$9="Solar Wind",POWER(Upgrades!$U$9,H99),1)*IF(Upgrades!$T$10="Solar Wind",POWER(Upgrades!$U$10,I99),1)*IF(Upgrades!$T$11="Solar Wind",POWER(Upgrades!$U$11,J99),1)*IF(Upgrades!$T$12="Solar Wind",POWER(Upgrades!$U$12,K99),1))+(IF(F99=0,0,(Upgrades!$M$7+F99*Upgrades!$N$7)*POWER(Upgrades!$O$7,F99)))*(IF(Upgrades!$T$6="Asteroid Belt",POWER(Upgrades!$U$6,E99),1)*IF(Upgrades!$T$8="Asteroid Belt",POWER(Upgrades!$U$8,G99),1)*IF(Upgrades!$T$9="Asteroid Belt",POWER(Upgrades!$U$9,H99),1)*IF(Upgrades!$T$10="Asteroid Belt",POWER(Upgrades!$U$10,I99),1)*IF(Upgrades!$T$11="Asteroid Belt",POWER(Upgrades!$U$11,J99),1)*IF(Upgrades!$T$12="Asteroid Belt",POWER(Upgrades!$U$12,K99),1))+(IF(G99=0,0,(Upgrades!$M$8+G99*Upgrades!$N$8)*POWER(Upgrades!$O$8,G99)))*(IF(Upgrades!$T$6="Stellar Coupling",POWER(Upgrades!$U$6,E99),1)*IF(Upgrades!$T$7="Stellar Coupling",POWER(Upgrades!$U$7,F99),1)*IF(Upgrades!$T$9="Stellar Coupling",POWER(Upgrades!$U$9,H99),1)*IF(Upgrades!$T$10="Stellar Coupling",POWER(Upgrades!$U$10,I99),1)*IF(Upgrades!$T$11="Stellar Coupling",POWER(Upgrades!$U$11,J99),1)*IF(Upgrades!$T$12="Stellar Coupling",POWER(Upgrades!$U$12,K99),1))+(IF(H99=0,0,(Upgrades!$M$9+H99*Upgrades!$N$9)*POWER(Upgrades!$O$9,H99)))*(IF(Upgrades!$T$6="Magnetosphere",POWER(Upgrades!$U$6,E99),1)*IF(Upgrades!$T$7="Magnetosphere",POWER(Upgrades!$U$7,F99),1)*IF(Upgrades!$T$8="Magnetosphere",POWER(Upgrades!$U$8,G99),1)*IF(Upgrades!$T$10="Magnetosphere",POWER(Upgrades!$U$10,I99),1)*IF(Upgrades!$T$11="Magnetosphere",POWER(Upgrades!$U$11,J99),1)*IF(Upgrades!$T$12="Magnetosphere",POWER(Upgrades!$U$12,K99),1))+(IF(I99=0,0,(Upgrades!$M$10+I99*Upgrades!$N$10)*POWER(Upgrades!$O$10,I99)))*(IF(Upgrades!$T$6="Orbital Resonance",POWER(Upgrades!$U$6,E99),1)*IF(Upgrades!$T$7="Orbital Resonance",POWER(Upgrades!$U$7,F99),1)*IF(Upgrades!$T$8="Orbital Resonance",POWER(Upgrades!$U$8,G99),1)*IF(Upgrades!$T$9="Orbital Resonance",POWER(Upgrades!$U$9,H99),1)*IF(Upgrades!$T$11="Orbital Resonance",POWER(Upgrades!$U$11,J99),1)*IF(Upgrades!$T$12="Orbital Resonance",POWER(Upgrades!$U$12,K99),1))+(IF(J99=0,0,(Upgrades!$M$11+J99*Upgrades!$N$11)*POWER(Upgrades!$O$11,J99)))*(IF(Upgrades!$T$6="Heliopause",POWER(Upgrades!$U$6,E99),1)*IF(Upgrades!$T$7="Heliopause",POWER(Upgrades!$U$7,F99),1)*IF(Upgrades!$T$8="Heliopause",POWER(Upgrades!$U$8,G99),1)*IF(Upgrades!$T$9="Heliopause",POWER(Upgrades!$U$9,H99),1)*IF(Upgrades!$T$10="Heliopause",POWER(Upgrades!$U$10,I99),1)*IF(Upgrades!$T$12="Heliopause",POWER(Upgrades!$U$12,K99),1))+(IF(K99=0,0,(Upgrades!$M$12+K99*Upgrades!$N$12)*POWER(Upgrades!$O$12,K99)))*(IF(Upgrades!$T$6="First Photons",POWER(Upgrades!$U$6,E99),1)*IF(Upgrades!$T$7="First Photons",POWER(Upgrades!$U$7,F99),1)*IF(Upgrades!$T$8="First Photons",POWER(Upgrades!$U$8,G99),1)*IF(Upgrades!$T$9="First Photons",POWER(Upgrades!$U$9,H99),1)*IF(Upgrades!$T$10="First Photons",POWER(Upgrades!$U$10,I99),1)*IF(Upgrades!$T$11="First Photons",POWER(Upgrades!$U$11,J99),1)))*POWER(Upgrades!$R$6,E99)*POWER(Upgrades!$R$7,F99)*POWER(Upgrades!$R$8,G99)*POWER(Upgrades!$R$9,H99)*POWER(Upgrades!$R$10,I99)*POWER(Upgrades!$R$11,J99)*POWER(Upgrades!$R$12,K99)</f>
        <v/>
      </c>
      <c r="P99" s="27">
        <f>IF(L99=1,0,M99*Parameters!$B$10/60*Parameters!$B$11*10)</f>
        <v/>
      </c>
      <c r="Q99" s="27">
        <f>IF(L99=1,0,O99*M99*10)</f>
        <v/>
      </c>
      <c r="R99" s="27">
        <f>IF(L99=1,0,N99*10)</f>
        <v/>
      </c>
      <c r="S99" s="27">
        <f>P99+Q99+R99</f>
        <v/>
      </c>
      <c r="T99" s="22">
        <f>C99+S99</f>
        <v/>
      </c>
      <c r="U99" s="33">
        <f>AX99</f>
        <v/>
      </c>
      <c r="V99" s="22">
        <f>IF(U99="",0,IF(U99="transition",0,IF(U99="SW",AG99,IF(U99="AB",AH99,IF(U99="SC",AI99,IF(U99="Mag",AJ99,IF(U99="OR",AK99,IF(U99="HP",AL99,IF(U99="FP",AM99,0)))))))))</f>
        <v/>
      </c>
      <c r="W99" s="27">
        <f>IF(U99="OR",Upgrades!$F$10,IF(U99="HP",Upgrades!$F$11,IF(U99="transition",-Parameters!$B$18,0)))</f>
        <v/>
      </c>
      <c r="X99" s="22">
        <f>T99-V99</f>
        <v/>
      </c>
      <c r="Y99" s="30">
        <f>M99*Parameters!$B$10/60*Parameters!$B$11+O99*M99+N99</f>
        <v/>
      </c>
      <c r="Z99" s="34">
        <f>IF(U99="transition","→ Tier 2 (Stellar Neighborhood)",IF(U99="FP","First Photons — light begins, system quickens",IF(U99="HP","Heliopause acquired",IF(U99="OR","Orbital Resonance — passive multiplier active",IF(AND(AO99=1,L99=0,AN99&lt;&gt;1),"Cohesion ready (waiting on completionist upgrades)","")))))</f>
        <v/>
      </c>
      <c r="AA99" s="27">
        <f>(IF(E99=0,0,(Upgrades!$G$6+E99*Upgrades!$H$6)*POWER(Upgrades!$I$6,E99)))*(IF(Upgrades!$T$7="Solar Wind",POWER(Upgrades!$U$7,F99),1)*IF(Upgrades!$T$8="Solar Wind",POWER(Upgrades!$U$8,G99),1)*IF(Upgrades!$T$9="Solar Wind",POWER(Upgrades!$U$9,H99),1)*IF(Upgrades!$T$10="Solar Wind",POWER(Upgrades!$U$10,I99),1)*IF(Upgrades!$T$11="Solar Wind",POWER(Upgrades!$U$11,J99),1)*IF(Upgrades!$T$12="Solar Wind",POWER(Upgrades!$U$12,K99),1))*POWER(Upgrades!$P$6,E99)*POWER(Upgrades!$P$7,F99)*POWER(Upgrades!$P$8,G99)*POWER(Upgrades!$P$9,H99)*POWER(Upgrades!$P$10,I99)*POWER(Upgrades!$P$11,J99)*POWER(Upgrades!$P$12,K99)*60</f>
        <v/>
      </c>
      <c r="AB99" s="27">
        <f>(IF(F99=0,0,(Upgrades!$G$7+F99*Upgrades!$H$7)*POWER(Upgrades!$I$7,F99)))*(IF(Upgrades!$T$6="Asteroid Belt",POWER(Upgrades!$U$6,E99),1)*IF(Upgrades!$T$8="Asteroid Belt",POWER(Upgrades!$U$8,G99),1)*IF(Upgrades!$T$9="Asteroid Belt",POWER(Upgrades!$U$9,H99),1)*IF(Upgrades!$T$10="Asteroid Belt",POWER(Upgrades!$U$10,I99),1)*IF(Upgrades!$T$11="Asteroid Belt",POWER(Upgrades!$U$11,J99),1)*IF(Upgrades!$T$12="Asteroid Belt",POWER(Upgrades!$U$12,K99),1))*POWER(Upgrades!$P$6,E99)*POWER(Upgrades!$P$7,F99)*POWER(Upgrades!$P$8,G99)*POWER(Upgrades!$P$9,H99)*POWER(Upgrades!$P$10,I99)*POWER(Upgrades!$P$11,J99)*POWER(Upgrades!$P$12,K99)*60</f>
        <v/>
      </c>
      <c r="AC99" s="27">
        <f>(IF(G99=0,0,(Upgrades!$J$8+G99*Upgrades!$K$8)*POWER(Upgrades!$L$8,G99)))*(IF(Upgrades!$T$6="Stellar Coupling",POWER(Upgrades!$U$6,E99),1)*IF(Upgrades!$T$7="Stellar Coupling",POWER(Upgrades!$U$7,F99),1)*IF(Upgrades!$T$9="Stellar Coupling",POWER(Upgrades!$U$9,H99),1)*IF(Upgrades!$T$10="Stellar Coupling",POWER(Upgrades!$U$10,I99),1)*IF(Upgrades!$T$11="Stellar Coupling",POWER(Upgrades!$U$11,J99),1)*IF(Upgrades!$T$12="Stellar Coupling",POWER(Upgrades!$U$12,K99),1))*POWER(Upgrades!$Q$6,E99)*POWER(Upgrades!$Q$7,F99)*POWER(Upgrades!$Q$8,G99)*POWER(Upgrades!$Q$9,H99)*POWER(Upgrades!$Q$10,I99)*POWER(Upgrades!$Q$11,J99)*POWER(Upgrades!$Q$12,K99)*Parameters!$B$10*Parameters!$B$11</f>
        <v/>
      </c>
      <c r="AD99" s="27">
        <f>(IF(H99=0,0,(Upgrades!$G$9+H99*Upgrades!$H$9)*POWER(Upgrades!$I$9,H99)))*(IF(Upgrades!$T$6="Magnetosphere",POWER(Upgrades!$U$6,E99),1)*IF(Upgrades!$T$7="Magnetosphere",POWER(Upgrades!$U$7,F99),1)*IF(Upgrades!$T$8="Magnetosphere",POWER(Upgrades!$U$8,G99),1)*IF(Upgrades!$T$10="Magnetosphere",POWER(Upgrades!$U$10,I99),1)*IF(Upgrades!$T$11="Magnetosphere",POWER(Upgrades!$U$11,J99),1)*IF(Upgrades!$T$12="Magnetosphere",POWER(Upgrades!$U$12,K99),1))*POWER(Upgrades!$P$6,E99)*POWER(Upgrades!$P$7,F99)*POWER(Upgrades!$P$8,G99)*POWER(Upgrades!$P$9,H99)*POWER(Upgrades!$P$10,I99)*POWER(Upgrades!$P$11,J99)*POWER(Upgrades!$P$12,K99)*60</f>
        <v/>
      </c>
      <c r="AE99" s="27">
        <f>(IF(K99=0,0,(Upgrades!$G$12+K99*Upgrades!$H$12)*POWER(Upgrades!$I$12,K99)))*(IF(Upgrades!$T$6="First Photons",POWER(Upgrades!$U$6,E99),1)*IF(Upgrades!$T$7="First Photons",POWER(Upgrades!$U$7,F99),1)*IF(Upgrades!$T$8="First Photons",POWER(Upgrades!$U$8,G99),1)*IF(Upgrades!$T$9="First Photons",POWER(Upgrades!$U$9,H99),1)*IF(Upgrades!$T$10="First Photons",POWER(Upgrades!$U$10,I99),1)*IF(Upgrades!$T$11="First Photons",POWER(Upgrades!$U$11,J99),1))*POWER(Upgrades!$P$6,E99)*POWER(Upgrades!$P$7,F99)*POWER(Upgrades!$P$8,G99)*POWER(Upgrades!$P$9,H99)*POWER(Upgrades!$P$10,I99)*POWER(Upgrades!$P$11,J99)*POWER(Upgrades!$P$12,K99)*60</f>
        <v/>
      </c>
      <c r="AF99" s="27">
        <f>Parameters!$B$9*POWER(Upgrades!$Q$6,E99)*POWER(Upgrades!$Q$7,F99)*POWER(Upgrades!$Q$8,G99)*POWER(Upgrades!$Q$9,H99)*POWER(Upgrades!$Q$10,I99)*POWER(Upgrades!$Q$11,J99)*POWER(Upgrades!$Q$12,K99)*(Parameters!$B$10*Parameters!$B$11+O99*60)</f>
        <v/>
      </c>
      <c r="AG99" s="22">
        <f>IF(E99&gt;=Upgrades!$E$6,"",Upgrades!$C$6*POWER(Upgrades!$D$6,E99))</f>
        <v/>
      </c>
      <c r="AH99" s="22">
        <f>IF(F99&gt;=Upgrades!$E$7,"",Upgrades!$C$7*POWER(Upgrades!$D$7,F99))</f>
        <v/>
      </c>
      <c r="AI99" s="22">
        <f>IF(G99&gt;=Upgrades!$E$8,"",Upgrades!$C$8*POWER(Upgrades!$D$8,G99))</f>
        <v/>
      </c>
      <c r="AJ99" s="22">
        <f>IF(H99&gt;=Upgrades!$E$9,"",Upgrades!$C$9*POWER(Upgrades!$D$9,H99))</f>
        <v/>
      </c>
      <c r="AK99" s="22">
        <f>IF(I99&gt;=Upgrades!$E$10,"",Upgrades!$C$10*POWER(Upgrades!$D$10,I99))</f>
        <v/>
      </c>
      <c r="AL99" s="22">
        <f>IF(J99&gt;=Upgrades!$E$11,"",Upgrades!$C$11*POWER(Upgrades!$D$11,J99))</f>
        <v/>
      </c>
      <c r="AM99" s="22">
        <f>IF(K99&gt;=Upgrades!$E$12,"",Upgrades!$C$12*POWER(Upgrades!$D$12,K99))</f>
        <v/>
      </c>
      <c r="AN99" s="26">
        <f>IF(AND(D99&gt;=Parameters!$B$18,(H99&gt;=Upgrades!$E$9)*(K99&gt;=Upgrades!$E$12)=1,L99=0),1,"")</f>
        <v/>
      </c>
      <c r="AO99" s="26">
        <f>IF(AND(D99&gt;=Parameters!$B$18,L99=0),1,"")</f>
        <v/>
      </c>
      <c r="AP99" s="22">
        <f>MIN(IF(ISNUMBER(AK99),AK99,9E15),IF(ISNUMBER(AL99),AL99,9E15),IF(ISNUMBER(AM99),AM99,9E15))</f>
        <v/>
      </c>
      <c r="AQ99" s="22">
        <f>MIN(IF(ISNUMBER(AG99),AG99,9E15),IF(ISNUMBER(AH99),AH99,9E15),IF(ISNUMBER(AI99),AI99,9E15),IF(ISNUMBER(AJ99),AJ99,9E15))</f>
        <v/>
      </c>
      <c r="AR99" s="29">
        <f>IF(AW99&gt;Parameters!$B$21*(MAX(IF(AND(NOT(AND(AO99=1,AN99&lt;&gt;1)),ISNUMBER(AG99),AG99&lt;=T99),AS99,0),IF(AND(NOT(AND(AO99=1,AN99&lt;&gt;1)),ISNUMBER(AH99),AH99&lt;=T99),AT99,0),IF(AND(NOT(AND(AO99=1,AN99&lt;&gt;1)),ISNUMBER(AI99),AI99&lt;=T99),AU99,0),IF(AND(ISNUMBER(AJ99),AJ99&lt;=T99),AV99,0))),TRUE,FALSE)</f>
        <v/>
      </c>
      <c r="AS99" s="32">
        <f>IFERROR(Upgrades!$H$6*(POWER(Upgrades!$P$6,E99)*POWER(Upgrades!$P$7,F99)*POWER(Upgrades!$P$8,G99)*POWER(Upgrades!$P$9,H99)*POWER(Upgrades!$P$10,I99)*POWER(Upgrades!$P$11,J99)*POWER(Upgrades!$P$12,K99))*(IF(Upgrades!$T$7="Solar Wind",POWER(Upgrades!$U$7,F99),1)*IF(Upgrades!$T$8="Solar Wind",POWER(Upgrades!$U$8,G99),1)*IF(Upgrades!$T$9="Solar Wind",POWER(Upgrades!$U$9,H99),1)*IF(Upgrades!$T$10="Solar Wind",POWER(Upgrades!$U$10,I99),1)*IF(Upgrades!$T$11="Solar Wind",POWER(Upgrades!$U$11,J99),1)*IF(Upgrades!$T$12="Solar Wind",POWER(Upgrades!$U$12,K99),1))/AG99,0)</f>
        <v/>
      </c>
      <c r="AT99" s="32">
        <f>IFERROR(Upgrades!$H$7*(POWER(Upgrades!$P$6,E99)*POWER(Upgrades!$P$7,F99)*POWER(Upgrades!$P$8,G99)*POWER(Upgrades!$P$9,H99)*POWER(Upgrades!$P$10,I99)*POWER(Upgrades!$P$11,J99)*POWER(Upgrades!$P$12,K99))*(IF(Upgrades!$T$6="Asteroid Belt",POWER(Upgrades!$U$6,E99),1)*IF(Upgrades!$T$8="Asteroid Belt",POWER(Upgrades!$U$8,G99),1)*IF(Upgrades!$T$9="Asteroid Belt",POWER(Upgrades!$U$9,H99),1)*IF(Upgrades!$T$10="Asteroid Belt",POWER(Upgrades!$U$10,I99),1)*IF(Upgrades!$T$11="Asteroid Belt",POWER(Upgrades!$U$11,J99),1)*IF(Upgrades!$T$12="Asteroid Belt",POWER(Upgrades!$U$12,K99),1))/AH99,0)</f>
        <v/>
      </c>
      <c r="AU99" s="32">
        <f>IFERROR(Upgrades!$K$8*(POWER(Upgrades!$Q$6,E99)*POWER(Upgrades!$Q$7,F99)*POWER(Upgrades!$Q$8,G99)*POWER(Upgrades!$Q$9,H99)*POWER(Upgrades!$Q$10,I99)*POWER(Upgrades!$Q$11,J99)*POWER(Upgrades!$Q$12,K99))*(IF(Upgrades!$T$6="Stellar Coupling",POWER(Upgrades!$U$6,E99),1)*IF(Upgrades!$T$7="Stellar Coupling",POWER(Upgrades!$U$7,F99),1)*IF(Upgrades!$T$9="Stellar Coupling",POWER(Upgrades!$U$9,H99),1)*IF(Upgrades!$T$10="Stellar Coupling",POWER(Upgrades!$U$10,I99),1)*IF(Upgrades!$T$11="Stellar Coupling",POWER(Upgrades!$U$11,J99),1)*IF(Upgrades!$T$12="Stellar Coupling",POWER(Upgrades!$U$12,K99),1))*Parameters!$B$10*Parameters!$B$11/60/AI99,0)</f>
        <v/>
      </c>
      <c r="AV99" s="32">
        <f>IFERROR(Upgrades!$H$9*(POWER(Upgrades!$P$6,E99)*POWER(Upgrades!$P$7,F99)*POWER(Upgrades!$P$8,G99)*POWER(Upgrades!$P$9,H99)*POWER(Upgrades!$P$10,I99)*POWER(Upgrades!$P$11,J99)*POWER(Upgrades!$P$12,K99))*(IF(Upgrades!$T$6="Magnetosphere",POWER(Upgrades!$U$6,E99),1)*IF(Upgrades!$T$7="Magnetosphere",POWER(Upgrades!$U$7,F99),1)*IF(Upgrades!$T$8="Magnetosphere",POWER(Upgrades!$U$8,G99),1)*IF(Upgrades!$T$10="Magnetosphere",POWER(Upgrades!$U$10,I99),1)*IF(Upgrades!$T$11="Magnetosphere",POWER(Upgrades!$U$11,J99),1)*IF(Upgrades!$T$12="Magnetosphere",POWER(Upgrades!$U$12,K99),1))/AJ99,0)</f>
        <v/>
      </c>
      <c r="AW99" s="32">
        <f>MAX(IF(I99&gt;0,0,IFERROR(0.25*N99/Upgrades!$C$10,0)),IF(J99&gt;0,0,IFERROR(0.5*((IF(G99=0,0,(Upgrades!$J$8+G99*Upgrades!$K$8)*POWER(Upgrades!$L$8,G99)))*(IF(Upgrades!$T$6="Stellar Coupling",POWER(Upgrades!$U$6,E99),1)*IF(Upgrades!$T$7="Stellar Coupling",POWER(Upgrades!$U$7,F99),1)*IF(Upgrades!$T$9="Stellar Coupling",POWER(Upgrades!$U$9,H99),1)*IF(Upgrades!$T$10="Stellar Coupling",POWER(Upgrades!$U$10,I99),1)*IF(Upgrades!$T$11="Stellar Coupling",POWER(Upgrades!$U$11,J99),1)*IF(Upgrades!$T$12="Stellar Coupling",POWER(Upgrades!$U$12,K99),1))*(POWER(Upgrades!$Q$6,E99)*POWER(Upgrades!$Q$7,F99)*POWER(Upgrades!$Q$8,G99)*POWER(Upgrades!$Q$9,H99)*POWER(Upgrades!$Q$10,I99)*POWER(Upgrades!$Q$11,J99)*POWER(Upgrades!$Q$12,K99))*Parameters!$B$10*Parameters!$B$11/60)/Upgrades!$C$11,0)),IF(K99&gt;0,0,IFERROR((1.0*(POWER(Upgrades!$P$6,E99)*POWER(Upgrades!$P$7,F99)*POWER(Upgrades!$P$8,G99)*POWER(Upgrades!$P$9,H99)*POWER(Upgrades!$P$10,I99)*POWER(Upgrades!$P$11,J99)*POWER(Upgrades!$P$12,K99))+0.20*M99*Parameters!$B$10*Parameters!$B$11/60)/Upgrades!$C$12,0)),IF(AND(ISNUMBER(AG99),AG99&gt;T99),AS99,0),IF(AND(ISNUMBER(AH99),AH99&gt;T99),AT99,0),IF(AND(ISNUMBER(AI99),AI99&gt;T99),AU99,0),IF(AND(ISNUMBER(AJ99),AJ99&gt;T99),AV99,0))</f>
        <v/>
      </c>
      <c r="AX99" s="29">
        <f>IF(AN99=1,"transition",IF(MIN(IF(AND(I99=0,ISNUMBER(AK99),AK99&lt;=T99),AK99,9E15),IF(AND(J99=0,ISNUMBER(AL99),AL99&lt;=T99),AL99,9E15),IF(AND(K99=0,ISNUMBER(AM99),AM99&lt;=T99),AM99,9E15))&lt;9E15,IF(AND(AND(I99=0,ISNUMBER(AK99),AK99&lt;=T99),AK99=MIN(IF(AND(I99=0,ISNUMBER(AK99),AK99&lt;=T99),AK99,9E15),IF(AND(J99=0,ISNUMBER(AL99),AL99&lt;=T99),AL99,9E15),IF(AND(K99=0,ISNUMBER(AM99),AM99&lt;=T99),AM99,9E15))),"OR",IF(AND(AND(J99=0,ISNUMBER(AL99),AL99&lt;=T99),AL99=MIN(IF(AND(I99=0,ISNUMBER(AK99),AK99&lt;=T99),AK99,9E15),IF(AND(J99=0,ISNUMBER(AL99),AL99&lt;=T99),AL99,9E15),IF(AND(K99=0,ISNUMBER(AM99),AM99&lt;=T99),AM99,9E15))),"HP","FP")),IF(AR99=TRUE,"",IF(MAX(IF(AND(NOT(AND(AO99=1,AN99&lt;&gt;1)),ISNUMBER(AG99),AG99&lt;=T99),AS99,0),IF(AND(NOT(AND(AO99=1,AN99&lt;&gt;1)),ISNUMBER(AH99),AH99&lt;=T99),AT99,0),IF(AND(NOT(AND(AO99=1,AN99&lt;&gt;1)),ISNUMBER(AI99),AI99&lt;=T99),AU99,0),IF(AND(ISNUMBER(AJ99),AJ99&lt;=T99),AV99,0))&lt;=0,"",IF(AND(IF(AND(NOT(AND(AO99=1,AN99&lt;&gt;1)),ISNUMBER(AG99),AG99&lt;=T99),AS99,0)&gt;0,IF(AND(NOT(AND(AO99=1,AN99&lt;&gt;1)),ISNUMBER(AG99),AG99&lt;=T99),AS99,0)=MAX(IF(AND(NOT(AND(AO99=1,AN99&lt;&gt;1)),ISNUMBER(AG99),AG99&lt;=T99),AS99,0),IF(AND(NOT(AND(AO99=1,AN99&lt;&gt;1)),ISNUMBER(AH99),AH99&lt;=T99),AT99,0),IF(AND(NOT(AND(AO99=1,AN99&lt;&gt;1)),ISNUMBER(AI99),AI99&lt;=T99),AU99,0),IF(AND(ISNUMBER(AJ99),AJ99&lt;=T99),AV99,0))),"SW",IF(AND(IF(AND(NOT(AND(AO99=1,AN99&lt;&gt;1)),ISNUMBER(AH99),AH99&lt;=T99),AT99,0)&gt;0,IF(AND(NOT(AND(AO99=1,AN99&lt;&gt;1)),ISNUMBER(AH99),AH99&lt;=T99),AT99,0)=MAX(IF(AND(NOT(AND(AO99=1,AN99&lt;&gt;1)),ISNUMBER(AG99),AG99&lt;=T99),AS99,0),IF(AND(NOT(AND(AO99=1,AN99&lt;&gt;1)),ISNUMBER(AH99),AH99&lt;=T99),AT99,0),IF(AND(NOT(AND(AO99=1,AN99&lt;&gt;1)),ISNUMBER(AI99),AI99&lt;=T99),AU99,0),IF(AND(ISNUMBER(AJ99),AJ99&lt;=T99),AV99,0))),"AB",IF(AND(IF(AND(NOT(AND(AO99=1,AN99&lt;&gt;1)),ISNUMBER(AI99),AI99&lt;=T99),AU99,0)&gt;0,IF(AND(NOT(AND(AO99=1,AN99&lt;&gt;1)),ISNUMBER(AI99),AI99&lt;=T99),AU99,0)=MAX(IF(AND(NOT(AND(AO99=1,AN99&lt;&gt;1)),ISNUMBER(AG99),AG99&lt;=T99),AS99,0),IF(AND(NOT(AND(AO99=1,AN99&lt;&gt;1)),ISNUMBER(AH99),AH99&lt;=T99),AT99,0),IF(AND(NOT(AND(AO99=1,AN99&lt;&gt;1)),ISNUMBER(AI99),AI99&lt;=T99),AU99,0),IF(AND(ISNUMBER(AJ99),AJ99&lt;=T99),AV99,0))),"SC","Mag")))))))</f>
        <v/>
      </c>
    </row>
    <row r="100">
      <c r="A100" s="26" t="n">
        <v>95</v>
      </c>
      <c r="B100" s="27">
        <f>A100*10/60</f>
        <v/>
      </c>
      <c r="C100" s="22">
        <f>X99</f>
        <v/>
      </c>
      <c r="D100" s="27">
        <f>D99+W99</f>
        <v/>
      </c>
      <c r="E100" s="26">
        <f>E99+IF(U99="SW",1,0)</f>
        <v/>
      </c>
      <c r="F100" s="26">
        <f>F99+IF(U99="AB",1,0)</f>
        <v/>
      </c>
      <c r="G100" s="26">
        <f>G99+IF(U99="SC",1,0)</f>
        <v/>
      </c>
      <c r="H100" s="26">
        <f>H99+IF(U99="Mag",1,0)</f>
        <v/>
      </c>
      <c r="I100" s="26">
        <f>MAX(I99,IF(U99="OR",1,0))</f>
        <v/>
      </c>
      <c r="J100" s="26">
        <f>MAX(J99,IF(U99="HP",1,0))</f>
        <v/>
      </c>
      <c r="K100" s="26">
        <f>MAX(K99,IF(U99="FP",1,0))</f>
        <v/>
      </c>
      <c r="L100" s="26">
        <f>MAX(L99,IF(U99="transition",1,0))</f>
        <v/>
      </c>
      <c r="M100" s="28">
        <f>(Parameters!$B$9+(IF(E100=0,0,(Upgrades!$J$6+E100*Upgrades!$K$6)*POWER(Upgrades!$L$6,E100)))*(IF(Upgrades!$T$7="Solar Wind",POWER(Upgrades!$U$7,F100),1)*IF(Upgrades!$T$8="Solar Wind",POWER(Upgrades!$U$8,G100),1)*IF(Upgrades!$T$9="Solar Wind",POWER(Upgrades!$U$9,H100),1)*IF(Upgrades!$T$10="Solar Wind",POWER(Upgrades!$U$10,I100),1)*IF(Upgrades!$T$11="Solar Wind",POWER(Upgrades!$U$11,J100),1)*IF(Upgrades!$T$12="Solar Wind",POWER(Upgrades!$U$12,K100),1))+(IF(F100=0,0,(Upgrades!$J$7+F100*Upgrades!$K$7)*POWER(Upgrades!$L$7,F100)))*(IF(Upgrades!$T$6="Asteroid Belt",POWER(Upgrades!$U$6,E100),1)*IF(Upgrades!$T$8="Asteroid Belt",POWER(Upgrades!$U$8,G100),1)*IF(Upgrades!$T$9="Asteroid Belt",POWER(Upgrades!$U$9,H100),1)*IF(Upgrades!$T$10="Asteroid Belt",POWER(Upgrades!$U$10,I100),1)*IF(Upgrades!$T$11="Asteroid Belt",POWER(Upgrades!$U$11,J100),1)*IF(Upgrades!$T$12="Asteroid Belt",POWER(Upgrades!$U$12,K100),1))+(IF(G100=0,0,(Upgrades!$J$8+G100*Upgrades!$K$8)*POWER(Upgrades!$L$8,G100)))*(IF(Upgrades!$T$6="Stellar Coupling",POWER(Upgrades!$U$6,E100),1)*IF(Upgrades!$T$7="Stellar Coupling",POWER(Upgrades!$U$7,F100),1)*IF(Upgrades!$T$9="Stellar Coupling",POWER(Upgrades!$U$9,H100),1)*IF(Upgrades!$T$10="Stellar Coupling",POWER(Upgrades!$U$10,I100),1)*IF(Upgrades!$T$11="Stellar Coupling",POWER(Upgrades!$U$11,J100),1)*IF(Upgrades!$T$12="Stellar Coupling",POWER(Upgrades!$U$12,K100),1))+(IF(H100=0,0,(Upgrades!$J$9+H100*Upgrades!$K$9)*POWER(Upgrades!$L$9,H100)))*(IF(Upgrades!$T$6="Magnetosphere",POWER(Upgrades!$U$6,E100),1)*IF(Upgrades!$T$7="Magnetosphere",POWER(Upgrades!$U$7,F100),1)*IF(Upgrades!$T$8="Magnetosphere",POWER(Upgrades!$U$8,G100),1)*IF(Upgrades!$T$10="Magnetosphere",POWER(Upgrades!$U$10,I100),1)*IF(Upgrades!$T$11="Magnetosphere",POWER(Upgrades!$U$11,J100),1)*IF(Upgrades!$T$12="Magnetosphere",POWER(Upgrades!$U$12,K100),1))+(IF(I100=0,0,(Upgrades!$J$10+I100*Upgrades!$K$10)*POWER(Upgrades!$L$10,I100)))*(IF(Upgrades!$T$6="Orbital Resonance",POWER(Upgrades!$U$6,E100),1)*IF(Upgrades!$T$7="Orbital Resonance",POWER(Upgrades!$U$7,F100),1)*IF(Upgrades!$T$8="Orbital Resonance",POWER(Upgrades!$U$8,G100),1)*IF(Upgrades!$T$9="Orbital Resonance",POWER(Upgrades!$U$9,H100),1)*IF(Upgrades!$T$11="Orbital Resonance",POWER(Upgrades!$U$11,J100),1)*IF(Upgrades!$T$12="Orbital Resonance",POWER(Upgrades!$U$12,K100),1))+(IF(J100=0,0,(Upgrades!$J$11+J100*Upgrades!$K$11)*POWER(Upgrades!$L$11,J100)))*(IF(Upgrades!$T$6="Heliopause",POWER(Upgrades!$U$6,E100),1)*IF(Upgrades!$T$7="Heliopause",POWER(Upgrades!$U$7,F100),1)*IF(Upgrades!$T$8="Heliopause",POWER(Upgrades!$U$8,G100),1)*IF(Upgrades!$T$9="Heliopause",POWER(Upgrades!$U$9,H100),1)*IF(Upgrades!$T$10="Heliopause",POWER(Upgrades!$U$10,I100),1)*IF(Upgrades!$T$12="Heliopause",POWER(Upgrades!$U$12,K100),1))+(IF(K100=0,0,(Upgrades!$J$12+K100*Upgrades!$K$12)*POWER(Upgrades!$L$12,K100)))*(IF(Upgrades!$T$6="First Photons",POWER(Upgrades!$U$6,E100),1)*IF(Upgrades!$T$7="First Photons",POWER(Upgrades!$U$7,F100),1)*IF(Upgrades!$T$8="First Photons",POWER(Upgrades!$U$8,G100),1)*IF(Upgrades!$T$9="First Photons",POWER(Upgrades!$U$9,H100),1)*IF(Upgrades!$T$10="First Photons",POWER(Upgrades!$U$10,I100),1)*IF(Upgrades!$T$11="First Photons",POWER(Upgrades!$U$11,J100),1)))*POWER(Upgrades!$Q$6,E100)*POWER(Upgrades!$Q$7,F100)*POWER(Upgrades!$Q$8,G100)*POWER(Upgrades!$Q$9,H100)*POWER(Upgrades!$Q$10,I100)*POWER(Upgrades!$Q$11,J100)*POWER(Upgrades!$Q$12,K100)</f>
        <v/>
      </c>
      <c r="N100" s="28">
        <f>((IF(E100=0,0,(Upgrades!$G$6+E100*Upgrades!$H$6)*POWER(Upgrades!$I$6,E100)))*(IF(Upgrades!$T$7="Solar Wind",POWER(Upgrades!$U$7,F100),1)*IF(Upgrades!$T$8="Solar Wind",POWER(Upgrades!$U$8,G100),1)*IF(Upgrades!$T$9="Solar Wind",POWER(Upgrades!$U$9,H100),1)*IF(Upgrades!$T$10="Solar Wind",POWER(Upgrades!$U$10,I100),1)*IF(Upgrades!$T$11="Solar Wind",POWER(Upgrades!$U$11,J100),1)*IF(Upgrades!$T$12="Solar Wind",POWER(Upgrades!$U$12,K100),1))+(IF(F100=0,0,(Upgrades!$G$7+F100*Upgrades!$H$7)*POWER(Upgrades!$I$7,F100)))*(IF(Upgrades!$T$6="Asteroid Belt",POWER(Upgrades!$U$6,E100),1)*IF(Upgrades!$T$8="Asteroid Belt",POWER(Upgrades!$U$8,G100),1)*IF(Upgrades!$T$9="Asteroid Belt",POWER(Upgrades!$U$9,H100),1)*IF(Upgrades!$T$10="Asteroid Belt",POWER(Upgrades!$U$10,I100),1)*IF(Upgrades!$T$11="Asteroid Belt",POWER(Upgrades!$U$11,J100),1)*IF(Upgrades!$T$12="Asteroid Belt",POWER(Upgrades!$U$12,K100),1))+(IF(G100=0,0,(Upgrades!$G$8+G100*Upgrades!$H$8)*POWER(Upgrades!$I$8,G100)))*(IF(Upgrades!$T$6="Stellar Coupling",POWER(Upgrades!$U$6,E100),1)*IF(Upgrades!$T$7="Stellar Coupling",POWER(Upgrades!$U$7,F100),1)*IF(Upgrades!$T$9="Stellar Coupling",POWER(Upgrades!$U$9,H100),1)*IF(Upgrades!$T$10="Stellar Coupling",POWER(Upgrades!$U$10,I100),1)*IF(Upgrades!$T$11="Stellar Coupling",POWER(Upgrades!$U$11,J100),1)*IF(Upgrades!$T$12="Stellar Coupling",POWER(Upgrades!$U$12,K100),1))+(IF(H100=0,0,(Upgrades!$G$9+H100*Upgrades!$H$9)*POWER(Upgrades!$I$9,H100)))*(IF(Upgrades!$T$6="Magnetosphere",POWER(Upgrades!$U$6,E100),1)*IF(Upgrades!$T$7="Magnetosphere",POWER(Upgrades!$U$7,F100),1)*IF(Upgrades!$T$8="Magnetosphere",POWER(Upgrades!$U$8,G100),1)*IF(Upgrades!$T$10="Magnetosphere",POWER(Upgrades!$U$10,I100),1)*IF(Upgrades!$T$11="Magnetosphere",POWER(Upgrades!$U$11,J100),1)*IF(Upgrades!$T$12="Magnetosphere",POWER(Upgrades!$U$12,K100),1))+(IF(I100=0,0,(Upgrades!$G$10+I100*Upgrades!$H$10)*POWER(Upgrades!$I$10,I100)))*(IF(Upgrades!$T$6="Orbital Resonance",POWER(Upgrades!$U$6,E100),1)*IF(Upgrades!$T$7="Orbital Resonance",POWER(Upgrades!$U$7,F100),1)*IF(Upgrades!$T$8="Orbital Resonance",POWER(Upgrades!$U$8,G100),1)*IF(Upgrades!$T$9="Orbital Resonance",POWER(Upgrades!$U$9,H100),1)*IF(Upgrades!$T$11="Orbital Resonance",POWER(Upgrades!$U$11,J100),1)*IF(Upgrades!$T$12="Orbital Resonance",POWER(Upgrades!$U$12,K100),1))+(IF(J100=0,0,(Upgrades!$G$11+J100*Upgrades!$H$11)*POWER(Upgrades!$I$11,J100)))*(IF(Upgrades!$T$6="Heliopause",POWER(Upgrades!$U$6,E100),1)*IF(Upgrades!$T$7="Heliopause",POWER(Upgrades!$U$7,F100),1)*IF(Upgrades!$T$8="Heliopause",POWER(Upgrades!$U$8,G100),1)*IF(Upgrades!$T$9="Heliopause",POWER(Upgrades!$U$9,H100),1)*IF(Upgrades!$T$10="Heliopause",POWER(Upgrades!$U$10,I100),1)*IF(Upgrades!$T$12="Heliopause",POWER(Upgrades!$U$12,K100),1))+(IF(K100=0,0,(Upgrades!$G$12+K100*Upgrades!$H$12)*POWER(Upgrades!$I$12,K100)))*(IF(Upgrades!$T$6="First Photons",POWER(Upgrades!$U$6,E100),1)*IF(Upgrades!$T$7="First Photons",POWER(Upgrades!$U$7,F100),1)*IF(Upgrades!$T$8="First Photons",POWER(Upgrades!$U$8,G100),1)*IF(Upgrades!$T$9="First Photons",POWER(Upgrades!$U$9,H100),1)*IF(Upgrades!$T$10="First Photons",POWER(Upgrades!$U$10,I100),1)*IF(Upgrades!$T$11="First Photons",POWER(Upgrades!$U$11,J100),1)))*POWER(Upgrades!$P$6,E100)*POWER(Upgrades!$P$7,F100)*POWER(Upgrades!$P$8,G100)*POWER(Upgrades!$P$9,H100)*POWER(Upgrades!$P$10,I100)*POWER(Upgrades!$P$11,J100)*POWER(Upgrades!$P$12,K100)</f>
        <v/>
      </c>
      <c r="O100" s="28">
        <f>((IF(E100=0,0,(Upgrades!$M$6+E100*Upgrades!$N$6)*POWER(Upgrades!$O$6,E100)))*(IF(Upgrades!$T$7="Solar Wind",POWER(Upgrades!$U$7,F100),1)*IF(Upgrades!$T$8="Solar Wind",POWER(Upgrades!$U$8,G100),1)*IF(Upgrades!$T$9="Solar Wind",POWER(Upgrades!$U$9,H100),1)*IF(Upgrades!$T$10="Solar Wind",POWER(Upgrades!$U$10,I100),1)*IF(Upgrades!$T$11="Solar Wind",POWER(Upgrades!$U$11,J100),1)*IF(Upgrades!$T$12="Solar Wind",POWER(Upgrades!$U$12,K100),1))+(IF(F100=0,0,(Upgrades!$M$7+F100*Upgrades!$N$7)*POWER(Upgrades!$O$7,F100)))*(IF(Upgrades!$T$6="Asteroid Belt",POWER(Upgrades!$U$6,E100),1)*IF(Upgrades!$T$8="Asteroid Belt",POWER(Upgrades!$U$8,G100),1)*IF(Upgrades!$T$9="Asteroid Belt",POWER(Upgrades!$U$9,H100),1)*IF(Upgrades!$T$10="Asteroid Belt",POWER(Upgrades!$U$10,I100),1)*IF(Upgrades!$T$11="Asteroid Belt",POWER(Upgrades!$U$11,J100),1)*IF(Upgrades!$T$12="Asteroid Belt",POWER(Upgrades!$U$12,K100),1))+(IF(G100=0,0,(Upgrades!$M$8+G100*Upgrades!$N$8)*POWER(Upgrades!$O$8,G100)))*(IF(Upgrades!$T$6="Stellar Coupling",POWER(Upgrades!$U$6,E100),1)*IF(Upgrades!$T$7="Stellar Coupling",POWER(Upgrades!$U$7,F100),1)*IF(Upgrades!$T$9="Stellar Coupling",POWER(Upgrades!$U$9,H100),1)*IF(Upgrades!$T$10="Stellar Coupling",POWER(Upgrades!$U$10,I100),1)*IF(Upgrades!$T$11="Stellar Coupling",POWER(Upgrades!$U$11,J100),1)*IF(Upgrades!$T$12="Stellar Coupling",POWER(Upgrades!$U$12,K100),1))+(IF(H100=0,0,(Upgrades!$M$9+H100*Upgrades!$N$9)*POWER(Upgrades!$O$9,H100)))*(IF(Upgrades!$T$6="Magnetosphere",POWER(Upgrades!$U$6,E100),1)*IF(Upgrades!$T$7="Magnetosphere",POWER(Upgrades!$U$7,F100),1)*IF(Upgrades!$T$8="Magnetosphere",POWER(Upgrades!$U$8,G100),1)*IF(Upgrades!$T$10="Magnetosphere",POWER(Upgrades!$U$10,I100),1)*IF(Upgrades!$T$11="Magnetosphere",POWER(Upgrades!$U$11,J100),1)*IF(Upgrades!$T$12="Magnetosphere",POWER(Upgrades!$U$12,K100),1))+(IF(I100=0,0,(Upgrades!$M$10+I100*Upgrades!$N$10)*POWER(Upgrades!$O$10,I100)))*(IF(Upgrades!$T$6="Orbital Resonance",POWER(Upgrades!$U$6,E100),1)*IF(Upgrades!$T$7="Orbital Resonance",POWER(Upgrades!$U$7,F100),1)*IF(Upgrades!$T$8="Orbital Resonance",POWER(Upgrades!$U$8,G100),1)*IF(Upgrades!$T$9="Orbital Resonance",POWER(Upgrades!$U$9,H100),1)*IF(Upgrades!$T$11="Orbital Resonance",POWER(Upgrades!$U$11,J100),1)*IF(Upgrades!$T$12="Orbital Resonance",POWER(Upgrades!$U$12,K100),1))+(IF(J100=0,0,(Upgrades!$M$11+J100*Upgrades!$N$11)*POWER(Upgrades!$O$11,J100)))*(IF(Upgrades!$T$6="Heliopause",POWER(Upgrades!$U$6,E100),1)*IF(Upgrades!$T$7="Heliopause",POWER(Upgrades!$U$7,F100),1)*IF(Upgrades!$T$8="Heliopause",POWER(Upgrades!$U$8,G100),1)*IF(Upgrades!$T$9="Heliopause",POWER(Upgrades!$U$9,H100),1)*IF(Upgrades!$T$10="Heliopause",POWER(Upgrades!$U$10,I100),1)*IF(Upgrades!$T$12="Heliopause",POWER(Upgrades!$U$12,K100),1))+(IF(K100=0,0,(Upgrades!$M$12+K100*Upgrades!$N$12)*POWER(Upgrades!$O$12,K100)))*(IF(Upgrades!$T$6="First Photons",POWER(Upgrades!$U$6,E100),1)*IF(Upgrades!$T$7="First Photons",POWER(Upgrades!$U$7,F100),1)*IF(Upgrades!$T$8="First Photons",POWER(Upgrades!$U$8,G100),1)*IF(Upgrades!$T$9="First Photons",POWER(Upgrades!$U$9,H100),1)*IF(Upgrades!$T$10="First Photons",POWER(Upgrades!$U$10,I100),1)*IF(Upgrades!$T$11="First Photons",POWER(Upgrades!$U$11,J100),1)))*POWER(Upgrades!$R$6,E100)*POWER(Upgrades!$R$7,F100)*POWER(Upgrades!$R$8,G100)*POWER(Upgrades!$R$9,H100)*POWER(Upgrades!$R$10,I100)*POWER(Upgrades!$R$11,J100)*POWER(Upgrades!$R$12,K100)</f>
        <v/>
      </c>
      <c r="P100" s="27">
        <f>IF(L100=1,0,M100*Parameters!$B$10/60*Parameters!$B$11*10)</f>
        <v/>
      </c>
      <c r="Q100" s="27">
        <f>IF(L100=1,0,O100*M100*10)</f>
        <v/>
      </c>
      <c r="R100" s="27">
        <f>IF(L100=1,0,N100*10)</f>
        <v/>
      </c>
      <c r="S100" s="27">
        <f>P100+Q100+R100</f>
        <v/>
      </c>
      <c r="T100" s="22">
        <f>C100+S100</f>
        <v/>
      </c>
      <c r="U100" s="33">
        <f>AX100</f>
        <v/>
      </c>
      <c r="V100" s="22">
        <f>IF(U100="",0,IF(U100="transition",0,IF(U100="SW",AG100,IF(U100="AB",AH100,IF(U100="SC",AI100,IF(U100="Mag",AJ100,IF(U100="OR",AK100,IF(U100="HP",AL100,IF(U100="FP",AM100,0)))))))))</f>
        <v/>
      </c>
      <c r="W100" s="27">
        <f>IF(U100="OR",Upgrades!$F$10,IF(U100="HP",Upgrades!$F$11,IF(U100="transition",-Parameters!$B$18,0)))</f>
        <v/>
      </c>
      <c r="X100" s="22">
        <f>T100-V100</f>
        <v/>
      </c>
      <c r="Y100" s="30">
        <f>M100*Parameters!$B$10/60*Parameters!$B$11+O100*M100+N100</f>
        <v/>
      </c>
      <c r="Z100" s="34">
        <f>IF(U100="transition","→ Tier 2 (Stellar Neighborhood)",IF(U100="FP","First Photons — light begins, system quickens",IF(U100="HP","Heliopause acquired",IF(U100="OR","Orbital Resonance — passive multiplier active",IF(AND(AO100=1,L100=0,AN100&lt;&gt;1),"Cohesion ready (waiting on completionist upgrades)","")))))</f>
        <v/>
      </c>
      <c r="AA100" s="27">
        <f>(IF(E100=0,0,(Upgrades!$G$6+E100*Upgrades!$H$6)*POWER(Upgrades!$I$6,E100)))*(IF(Upgrades!$T$7="Solar Wind",POWER(Upgrades!$U$7,F100),1)*IF(Upgrades!$T$8="Solar Wind",POWER(Upgrades!$U$8,G100),1)*IF(Upgrades!$T$9="Solar Wind",POWER(Upgrades!$U$9,H100),1)*IF(Upgrades!$T$10="Solar Wind",POWER(Upgrades!$U$10,I100),1)*IF(Upgrades!$T$11="Solar Wind",POWER(Upgrades!$U$11,J100),1)*IF(Upgrades!$T$12="Solar Wind",POWER(Upgrades!$U$12,K100),1))*POWER(Upgrades!$P$6,E100)*POWER(Upgrades!$P$7,F100)*POWER(Upgrades!$P$8,G100)*POWER(Upgrades!$P$9,H100)*POWER(Upgrades!$P$10,I100)*POWER(Upgrades!$P$11,J100)*POWER(Upgrades!$P$12,K100)*60</f>
        <v/>
      </c>
      <c r="AB100" s="27">
        <f>(IF(F100=0,0,(Upgrades!$G$7+F100*Upgrades!$H$7)*POWER(Upgrades!$I$7,F100)))*(IF(Upgrades!$T$6="Asteroid Belt",POWER(Upgrades!$U$6,E100),1)*IF(Upgrades!$T$8="Asteroid Belt",POWER(Upgrades!$U$8,G100),1)*IF(Upgrades!$T$9="Asteroid Belt",POWER(Upgrades!$U$9,H100),1)*IF(Upgrades!$T$10="Asteroid Belt",POWER(Upgrades!$U$10,I100),1)*IF(Upgrades!$T$11="Asteroid Belt",POWER(Upgrades!$U$11,J100),1)*IF(Upgrades!$T$12="Asteroid Belt",POWER(Upgrades!$U$12,K100),1))*POWER(Upgrades!$P$6,E100)*POWER(Upgrades!$P$7,F100)*POWER(Upgrades!$P$8,G100)*POWER(Upgrades!$P$9,H100)*POWER(Upgrades!$P$10,I100)*POWER(Upgrades!$P$11,J100)*POWER(Upgrades!$P$12,K100)*60</f>
        <v/>
      </c>
      <c r="AC100" s="27">
        <f>(IF(G100=0,0,(Upgrades!$J$8+G100*Upgrades!$K$8)*POWER(Upgrades!$L$8,G100)))*(IF(Upgrades!$T$6="Stellar Coupling",POWER(Upgrades!$U$6,E100),1)*IF(Upgrades!$T$7="Stellar Coupling",POWER(Upgrades!$U$7,F100),1)*IF(Upgrades!$T$9="Stellar Coupling",POWER(Upgrades!$U$9,H100),1)*IF(Upgrades!$T$10="Stellar Coupling",POWER(Upgrades!$U$10,I100),1)*IF(Upgrades!$T$11="Stellar Coupling",POWER(Upgrades!$U$11,J100),1)*IF(Upgrades!$T$12="Stellar Coupling",POWER(Upgrades!$U$12,K100),1))*POWER(Upgrades!$Q$6,E100)*POWER(Upgrades!$Q$7,F100)*POWER(Upgrades!$Q$8,G100)*POWER(Upgrades!$Q$9,H100)*POWER(Upgrades!$Q$10,I100)*POWER(Upgrades!$Q$11,J100)*POWER(Upgrades!$Q$12,K100)*Parameters!$B$10*Parameters!$B$11</f>
        <v/>
      </c>
      <c r="AD100" s="27">
        <f>(IF(H100=0,0,(Upgrades!$G$9+H100*Upgrades!$H$9)*POWER(Upgrades!$I$9,H100)))*(IF(Upgrades!$T$6="Magnetosphere",POWER(Upgrades!$U$6,E100),1)*IF(Upgrades!$T$7="Magnetosphere",POWER(Upgrades!$U$7,F100),1)*IF(Upgrades!$T$8="Magnetosphere",POWER(Upgrades!$U$8,G100),1)*IF(Upgrades!$T$10="Magnetosphere",POWER(Upgrades!$U$10,I100),1)*IF(Upgrades!$T$11="Magnetosphere",POWER(Upgrades!$U$11,J100),1)*IF(Upgrades!$T$12="Magnetosphere",POWER(Upgrades!$U$12,K100),1))*POWER(Upgrades!$P$6,E100)*POWER(Upgrades!$P$7,F100)*POWER(Upgrades!$P$8,G100)*POWER(Upgrades!$P$9,H100)*POWER(Upgrades!$P$10,I100)*POWER(Upgrades!$P$11,J100)*POWER(Upgrades!$P$12,K100)*60</f>
        <v/>
      </c>
      <c r="AE100" s="27">
        <f>(IF(K100=0,0,(Upgrades!$G$12+K100*Upgrades!$H$12)*POWER(Upgrades!$I$12,K100)))*(IF(Upgrades!$T$6="First Photons",POWER(Upgrades!$U$6,E100),1)*IF(Upgrades!$T$7="First Photons",POWER(Upgrades!$U$7,F100),1)*IF(Upgrades!$T$8="First Photons",POWER(Upgrades!$U$8,G100),1)*IF(Upgrades!$T$9="First Photons",POWER(Upgrades!$U$9,H100),1)*IF(Upgrades!$T$10="First Photons",POWER(Upgrades!$U$10,I100),1)*IF(Upgrades!$T$11="First Photons",POWER(Upgrades!$U$11,J100),1))*POWER(Upgrades!$P$6,E100)*POWER(Upgrades!$P$7,F100)*POWER(Upgrades!$P$8,G100)*POWER(Upgrades!$P$9,H100)*POWER(Upgrades!$P$10,I100)*POWER(Upgrades!$P$11,J100)*POWER(Upgrades!$P$12,K100)*60</f>
        <v/>
      </c>
      <c r="AF100" s="27">
        <f>Parameters!$B$9*POWER(Upgrades!$Q$6,E100)*POWER(Upgrades!$Q$7,F100)*POWER(Upgrades!$Q$8,G100)*POWER(Upgrades!$Q$9,H100)*POWER(Upgrades!$Q$10,I100)*POWER(Upgrades!$Q$11,J100)*POWER(Upgrades!$Q$12,K100)*(Parameters!$B$10*Parameters!$B$11+O100*60)</f>
        <v/>
      </c>
      <c r="AG100" s="22">
        <f>IF(E100&gt;=Upgrades!$E$6,"",Upgrades!$C$6*POWER(Upgrades!$D$6,E100))</f>
        <v/>
      </c>
      <c r="AH100" s="22">
        <f>IF(F100&gt;=Upgrades!$E$7,"",Upgrades!$C$7*POWER(Upgrades!$D$7,F100))</f>
        <v/>
      </c>
      <c r="AI100" s="22">
        <f>IF(G100&gt;=Upgrades!$E$8,"",Upgrades!$C$8*POWER(Upgrades!$D$8,G100))</f>
        <v/>
      </c>
      <c r="AJ100" s="22">
        <f>IF(H100&gt;=Upgrades!$E$9,"",Upgrades!$C$9*POWER(Upgrades!$D$9,H100))</f>
        <v/>
      </c>
      <c r="AK100" s="22">
        <f>IF(I100&gt;=Upgrades!$E$10,"",Upgrades!$C$10*POWER(Upgrades!$D$10,I100))</f>
        <v/>
      </c>
      <c r="AL100" s="22">
        <f>IF(J100&gt;=Upgrades!$E$11,"",Upgrades!$C$11*POWER(Upgrades!$D$11,J100))</f>
        <v/>
      </c>
      <c r="AM100" s="22">
        <f>IF(K100&gt;=Upgrades!$E$12,"",Upgrades!$C$12*POWER(Upgrades!$D$12,K100))</f>
        <v/>
      </c>
      <c r="AN100" s="26">
        <f>IF(AND(D100&gt;=Parameters!$B$18,(H100&gt;=Upgrades!$E$9)*(K100&gt;=Upgrades!$E$12)=1,L100=0),1,"")</f>
        <v/>
      </c>
      <c r="AO100" s="26">
        <f>IF(AND(D100&gt;=Parameters!$B$18,L100=0),1,"")</f>
        <v/>
      </c>
      <c r="AP100" s="22">
        <f>MIN(IF(ISNUMBER(AK100),AK100,9E15),IF(ISNUMBER(AL100),AL100,9E15),IF(ISNUMBER(AM100),AM100,9E15))</f>
        <v/>
      </c>
      <c r="AQ100" s="22">
        <f>MIN(IF(ISNUMBER(AG100),AG100,9E15),IF(ISNUMBER(AH100),AH100,9E15),IF(ISNUMBER(AI100),AI100,9E15),IF(ISNUMBER(AJ100),AJ100,9E15))</f>
        <v/>
      </c>
      <c r="AR100" s="29">
        <f>IF(AW100&gt;Parameters!$B$21*(MAX(IF(AND(NOT(AND(AO100=1,AN100&lt;&gt;1)),ISNUMBER(AG100),AG100&lt;=T100),AS100,0),IF(AND(NOT(AND(AO100=1,AN100&lt;&gt;1)),ISNUMBER(AH100),AH100&lt;=T100),AT100,0),IF(AND(NOT(AND(AO100=1,AN100&lt;&gt;1)),ISNUMBER(AI100),AI100&lt;=T100),AU100,0),IF(AND(ISNUMBER(AJ100),AJ100&lt;=T100),AV100,0))),TRUE,FALSE)</f>
        <v/>
      </c>
      <c r="AS100" s="32">
        <f>IFERROR(Upgrades!$H$6*(POWER(Upgrades!$P$6,E100)*POWER(Upgrades!$P$7,F100)*POWER(Upgrades!$P$8,G100)*POWER(Upgrades!$P$9,H100)*POWER(Upgrades!$P$10,I100)*POWER(Upgrades!$P$11,J100)*POWER(Upgrades!$P$12,K100))*(IF(Upgrades!$T$7="Solar Wind",POWER(Upgrades!$U$7,F100),1)*IF(Upgrades!$T$8="Solar Wind",POWER(Upgrades!$U$8,G100),1)*IF(Upgrades!$T$9="Solar Wind",POWER(Upgrades!$U$9,H100),1)*IF(Upgrades!$T$10="Solar Wind",POWER(Upgrades!$U$10,I100),1)*IF(Upgrades!$T$11="Solar Wind",POWER(Upgrades!$U$11,J100),1)*IF(Upgrades!$T$12="Solar Wind",POWER(Upgrades!$U$12,K100),1))/AG100,0)</f>
        <v/>
      </c>
      <c r="AT100" s="32">
        <f>IFERROR(Upgrades!$H$7*(POWER(Upgrades!$P$6,E100)*POWER(Upgrades!$P$7,F100)*POWER(Upgrades!$P$8,G100)*POWER(Upgrades!$P$9,H100)*POWER(Upgrades!$P$10,I100)*POWER(Upgrades!$P$11,J100)*POWER(Upgrades!$P$12,K100))*(IF(Upgrades!$T$6="Asteroid Belt",POWER(Upgrades!$U$6,E100),1)*IF(Upgrades!$T$8="Asteroid Belt",POWER(Upgrades!$U$8,G100),1)*IF(Upgrades!$T$9="Asteroid Belt",POWER(Upgrades!$U$9,H100),1)*IF(Upgrades!$T$10="Asteroid Belt",POWER(Upgrades!$U$10,I100),1)*IF(Upgrades!$T$11="Asteroid Belt",POWER(Upgrades!$U$11,J100),1)*IF(Upgrades!$T$12="Asteroid Belt",POWER(Upgrades!$U$12,K100),1))/AH100,0)</f>
        <v/>
      </c>
      <c r="AU100" s="32">
        <f>IFERROR(Upgrades!$K$8*(POWER(Upgrades!$Q$6,E100)*POWER(Upgrades!$Q$7,F100)*POWER(Upgrades!$Q$8,G100)*POWER(Upgrades!$Q$9,H100)*POWER(Upgrades!$Q$10,I100)*POWER(Upgrades!$Q$11,J100)*POWER(Upgrades!$Q$12,K100))*(IF(Upgrades!$T$6="Stellar Coupling",POWER(Upgrades!$U$6,E100),1)*IF(Upgrades!$T$7="Stellar Coupling",POWER(Upgrades!$U$7,F100),1)*IF(Upgrades!$T$9="Stellar Coupling",POWER(Upgrades!$U$9,H100),1)*IF(Upgrades!$T$10="Stellar Coupling",POWER(Upgrades!$U$10,I100),1)*IF(Upgrades!$T$11="Stellar Coupling",POWER(Upgrades!$U$11,J100),1)*IF(Upgrades!$T$12="Stellar Coupling",POWER(Upgrades!$U$12,K100),1))*Parameters!$B$10*Parameters!$B$11/60/AI100,0)</f>
        <v/>
      </c>
      <c r="AV100" s="32">
        <f>IFERROR(Upgrades!$H$9*(POWER(Upgrades!$P$6,E100)*POWER(Upgrades!$P$7,F100)*POWER(Upgrades!$P$8,G100)*POWER(Upgrades!$P$9,H100)*POWER(Upgrades!$P$10,I100)*POWER(Upgrades!$P$11,J100)*POWER(Upgrades!$P$12,K100))*(IF(Upgrades!$T$6="Magnetosphere",POWER(Upgrades!$U$6,E100),1)*IF(Upgrades!$T$7="Magnetosphere",POWER(Upgrades!$U$7,F100),1)*IF(Upgrades!$T$8="Magnetosphere",POWER(Upgrades!$U$8,G100),1)*IF(Upgrades!$T$10="Magnetosphere",POWER(Upgrades!$U$10,I100),1)*IF(Upgrades!$T$11="Magnetosphere",POWER(Upgrades!$U$11,J100),1)*IF(Upgrades!$T$12="Magnetosphere",POWER(Upgrades!$U$12,K100),1))/AJ100,0)</f>
        <v/>
      </c>
      <c r="AW100" s="32">
        <f>MAX(IF(I100&gt;0,0,IFERROR(0.25*N100/Upgrades!$C$10,0)),IF(J100&gt;0,0,IFERROR(0.5*((IF(G100=0,0,(Upgrades!$J$8+G100*Upgrades!$K$8)*POWER(Upgrades!$L$8,G100)))*(IF(Upgrades!$T$6="Stellar Coupling",POWER(Upgrades!$U$6,E100),1)*IF(Upgrades!$T$7="Stellar Coupling",POWER(Upgrades!$U$7,F100),1)*IF(Upgrades!$T$9="Stellar Coupling",POWER(Upgrades!$U$9,H100),1)*IF(Upgrades!$T$10="Stellar Coupling",POWER(Upgrades!$U$10,I100),1)*IF(Upgrades!$T$11="Stellar Coupling",POWER(Upgrades!$U$11,J100),1)*IF(Upgrades!$T$12="Stellar Coupling",POWER(Upgrades!$U$12,K100),1))*(POWER(Upgrades!$Q$6,E100)*POWER(Upgrades!$Q$7,F100)*POWER(Upgrades!$Q$8,G100)*POWER(Upgrades!$Q$9,H100)*POWER(Upgrades!$Q$10,I100)*POWER(Upgrades!$Q$11,J100)*POWER(Upgrades!$Q$12,K100))*Parameters!$B$10*Parameters!$B$11/60)/Upgrades!$C$11,0)),IF(K100&gt;0,0,IFERROR((1.0*(POWER(Upgrades!$P$6,E100)*POWER(Upgrades!$P$7,F100)*POWER(Upgrades!$P$8,G100)*POWER(Upgrades!$P$9,H100)*POWER(Upgrades!$P$10,I100)*POWER(Upgrades!$P$11,J100)*POWER(Upgrades!$P$12,K100))+0.20*M100*Parameters!$B$10*Parameters!$B$11/60)/Upgrades!$C$12,0)),IF(AND(ISNUMBER(AG100),AG100&gt;T100),AS100,0),IF(AND(ISNUMBER(AH100),AH100&gt;T100),AT100,0),IF(AND(ISNUMBER(AI100),AI100&gt;T100),AU100,0),IF(AND(ISNUMBER(AJ100),AJ100&gt;T100),AV100,0))</f>
        <v/>
      </c>
      <c r="AX100" s="29">
        <f>IF(AN100=1,"transition",IF(MIN(IF(AND(I100=0,ISNUMBER(AK100),AK100&lt;=T100),AK100,9E15),IF(AND(J100=0,ISNUMBER(AL100),AL100&lt;=T100),AL100,9E15),IF(AND(K100=0,ISNUMBER(AM100),AM100&lt;=T100),AM100,9E15))&lt;9E15,IF(AND(AND(I100=0,ISNUMBER(AK100),AK100&lt;=T100),AK100=MIN(IF(AND(I100=0,ISNUMBER(AK100),AK100&lt;=T100),AK100,9E15),IF(AND(J100=0,ISNUMBER(AL100),AL100&lt;=T100),AL100,9E15),IF(AND(K100=0,ISNUMBER(AM100),AM100&lt;=T100),AM100,9E15))),"OR",IF(AND(AND(J100=0,ISNUMBER(AL100),AL100&lt;=T100),AL100=MIN(IF(AND(I100=0,ISNUMBER(AK100),AK100&lt;=T100),AK100,9E15),IF(AND(J100=0,ISNUMBER(AL100),AL100&lt;=T100),AL100,9E15),IF(AND(K100=0,ISNUMBER(AM100),AM100&lt;=T100),AM100,9E15))),"HP","FP")),IF(AR100=TRUE,"",IF(MAX(IF(AND(NOT(AND(AO100=1,AN100&lt;&gt;1)),ISNUMBER(AG100),AG100&lt;=T100),AS100,0),IF(AND(NOT(AND(AO100=1,AN100&lt;&gt;1)),ISNUMBER(AH100),AH100&lt;=T100),AT100,0),IF(AND(NOT(AND(AO100=1,AN100&lt;&gt;1)),ISNUMBER(AI100),AI100&lt;=T100),AU100,0),IF(AND(ISNUMBER(AJ100),AJ100&lt;=T100),AV100,0))&lt;=0,"",IF(AND(IF(AND(NOT(AND(AO100=1,AN100&lt;&gt;1)),ISNUMBER(AG100),AG100&lt;=T100),AS100,0)&gt;0,IF(AND(NOT(AND(AO100=1,AN100&lt;&gt;1)),ISNUMBER(AG100),AG100&lt;=T100),AS100,0)=MAX(IF(AND(NOT(AND(AO100=1,AN100&lt;&gt;1)),ISNUMBER(AG100),AG100&lt;=T100),AS100,0),IF(AND(NOT(AND(AO100=1,AN100&lt;&gt;1)),ISNUMBER(AH100),AH100&lt;=T100),AT100,0),IF(AND(NOT(AND(AO100=1,AN100&lt;&gt;1)),ISNUMBER(AI100),AI100&lt;=T100),AU100,0),IF(AND(ISNUMBER(AJ100),AJ100&lt;=T100),AV100,0))),"SW",IF(AND(IF(AND(NOT(AND(AO100=1,AN100&lt;&gt;1)),ISNUMBER(AH100),AH100&lt;=T100),AT100,0)&gt;0,IF(AND(NOT(AND(AO100=1,AN100&lt;&gt;1)),ISNUMBER(AH100),AH100&lt;=T100),AT100,0)=MAX(IF(AND(NOT(AND(AO100=1,AN100&lt;&gt;1)),ISNUMBER(AG100),AG100&lt;=T100),AS100,0),IF(AND(NOT(AND(AO100=1,AN100&lt;&gt;1)),ISNUMBER(AH100),AH100&lt;=T100),AT100,0),IF(AND(NOT(AND(AO100=1,AN100&lt;&gt;1)),ISNUMBER(AI100),AI100&lt;=T100),AU100,0),IF(AND(ISNUMBER(AJ100),AJ100&lt;=T100),AV100,0))),"AB",IF(AND(IF(AND(NOT(AND(AO100=1,AN100&lt;&gt;1)),ISNUMBER(AI100),AI100&lt;=T100),AU100,0)&gt;0,IF(AND(NOT(AND(AO100=1,AN100&lt;&gt;1)),ISNUMBER(AI100),AI100&lt;=T100),AU100,0)=MAX(IF(AND(NOT(AND(AO100=1,AN100&lt;&gt;1)),ISNUMBER(AG100),AG100&lt;=T100),AS100,0),IF(AND(NOT(AND(AO100=1,AN100&lt;&gt;1)),ISNUMBER(AH100),AH100&lt;=T100),AT100,0),IF(AND(NOT(AND(AO100=1,AN100&lt;&gt;1)),ISNUMBER(AI100),AI100&lt;=T100),AU100,0),IF(AND(ISNUMBER(AJ100),AJ100&lt;=T100),AV100,0))),"SC","Mag")))))))</f>
        <v/>
      </c>
    </row>
    <row r="101">
      <c r="A101" s="26" t="n">
        <v>96</v>
      </c>
      <c r="B101" s="27">
        <f>A101*10/60</f>
        <v/>
      </c>
      <c r="C101" s="22">
        <f>X100</f>
        <v/>
      </c>
      <c r="D101" s="27">
        <f>D100+W100</f>
        <v/>
      </c>
      <c r="E101" s="26">
        <f>E100+IF(U100="SW",1,0)</f>
        <v/>
      </c>
      <c r="F101" s="26">
        <f>F100+IF(U100="AB",1,0)</f>
        <v/>
      </c>
      <c r="G101" s="26">
        <f>G100+IF(U100="SC",1,0)</f>
        <v/>
      </c>
      <c r="H101" s="26">
        <f>H100+IF(U100="Mag",1,0)</f>
        <v/>
      </c>
      <c r="I101" s="26">
        <f>MAX(I100,IF(U100="OR",1,0))</f>
        <v/>
      </c>
      <c r="J101" s="26">
        <f>MAX(J100,IF(U100="HP",1,0))</f>
        <v/>
      </c>
      <c r="K101" s="26">
        <f>MAX(K100,IF(U100="FP",1,0))</f>
        <v/>
      </c>
      <c r="L101" s="26">
        <f>MAX(L100,IF(U100="transition",1,0))</f>
        <v/>
      </c>
      <c r="M101" s="28">
        <f>(Parameters!$B$9+(IF(E101=0,0,(Upgrades!$J$6+E101*Upgrades!$K$6)*POWER(Upgrades!$L$6,E101)))*(IF(Upgrades!$T$7="Solar Wind",POWER(Upgrades!$U$7,F101),1)*IF(Upgrades!$T$8="Solar Wind",POWER(Upgrades!$U$8,G101),1)*IF(Upgrades!$T$9="Solar Wind",POWER(Upgrades!$U$9,H101),1)*IF(Upgrades!$T$10="Solar Wind",POWER(Upgrades!$U$10,I101),1)*IF(Upgrades!$T$11="Solar Wind",POWER(Upgrades!$U$11,J101),1)*IF(Upgrades!$T$12="Solar Wind",POWER(Upgrades!$U$12,K101),1))+(IF(F101=0,0,(Upgrades!$J$7+F101*Upgrades!$K$7)*POWER(Upgrades!$L$7,F101)))*(IF(Upgrades!$T$6="Asteroid Belt",POWER(Upgrades!$U$6,E101),1)*IF(Upgrades!$T$8="Asteroid Belt",POWER(Upgrades!$U$8,G101),1)*IF(Upgrades!$T$9="Asteroid Belt",POWER(Upgrades!$U$9,H101),1)*IF(Upgrades!$T$10="Asteroid Belt",POWER(Upgrades!$U$10,I101),1)*IF(Upgrades!$T$11="Asteroid Belt",POWER(Upgrades!$U$11,J101),1)*IF(Upgrades!$T$12="Asteroid Belt",POWER(Upgrades!$U$12,K101),1))+(IF(G101=0,0,(Upgrades!$J$8+G101*Upgrades!$K$8)*POWER(Upgrades!$L$8,G101)))*(IF(Upgrades!$T$6="Stellar Coupling",POWER(Upgrades!$U$6,E101),1)*IF(Upgrades!$T$7="Stellar Coupling",POWER(Upgrades!$U$7,F101),1)*IF(Upgrades!$T$9="Stellar Coupling",POWER(Upgrades!$U$9,H101),1)*IF(Upgrades!$T$10="Stellar Coupling",POWER(Upgrades!$U$10,I101),1)*IF(Upgrades!$T$11="Stellar Coupling",POWER(Upgrades!$U$11,J101),1)*IF(Upgrades!$T$12="Stellar Coupling",POWER(Upgrades!$U$12,K101),1))+(IF(H101=0,0,(Upgrades!$J$9+H101*Upgrades!$K$9)*POWER(Upgrades!$L$9,H101)))*(IF(Upgrades!$T$6="Magnetosphere",POWER(Upgrades!$U$6,E101),1)*IF(Upgrades!$T$7="Magnetosphere",POWER(Upgrades!$U$7,F101),1)*IF(Upgrades!$T$8="Magnetosphere",POWER(Upgrades!$U$8,G101),1)*IF(Upgrades!$T$10="Magnetosphere",POWER(Upgrades!$U$10,I101),1)*IF(Upgrades!$T$11="Magnetosphere",POWER(Upgrades!$U$11,J101),1)*IF(Upgrades!$T$12="Magnetosphere",POWER(Upgrades!$U$12,K101),1))+(IF(I101=0,0,(Upgrades!$J$10+I101*Upgrades!$K$10)*POWER(Upgrades!$L$10,I101)))*(IF(Upgrades!$T$6="Orbital Resonance",POWER(Upgrades!$U$6,E101),1)*IF(Upgrades!$T$7="Orbital Resonance",POWER(Upgrades!$U$7,F101),1)*IF(Upgrades!$T$8="Orbital Resonance",POWER(Upgrades!$U$8,G101),1)*IF(Upgrades!$T$9="Orbital Resonance",POWER(Upgrades!$U$9,H101),1)*IF(Upgrades!$T$11="Orbital Resonance",POWER(Upgrades!$U$11,J101),1)*IF(Upgrades!$T$12="Orbital Resonance",POWER(Upgrades!$U$12,K101),1))+(IF(J101=0,0,(Upgrades!$J$11+J101*Upgrades!$K$11)*POWER(Upgrades!$L$11,J101)))*(IF(Upgrades!$T$6="Heliopause",POWER(Upgrades!$U$6,E101),1)*IF(Upgrades!$T$7="Heliopause",POWER(Upgrades!$U$7,F101),1)*IF(Upgrades!$T$8="Heliopause",POWER(Upgrades!$U$8,G101),1)*IF(Upgrades!$T$9="Heliopause",POWER(Upgrades!$U$9,H101),1)*IF(Upgrades!$T$10="Heliopause",POWER(Upgrades!$U$10,I101),1)*IF(Upgrades!$T$12="Heliopause",POWER(Upgrades!$U$12,K101),1))+(IF(K101=0,0,(Upgrades!$J$12+K101*Upgrades!$K$12)*POWER(Upgrades!$L$12,K101)))*(IF(Upgrades!$T$6="First Photons",POWER(Upgrades!$U$6,E101),1)*IF(Upgrades!$T$7="First Photons",POWER(Upgrades!$U$7,F101),1)*IF(Upgrades!$T$8="First Photons",POWER(Upgrades!$U$8,G101),1)*IF(Upgrades!$T$9="First Photons",POWER(Upgrades!$U$9,H101),1)*IF(Upgrades!$T$10="First Photons",POWER(Upgrades!$U$10,I101),1)*IF(Upgrades!$T$11="First Photons",POWER(Upgrades!$U$11,J101),1)))*POWER(Upgrades!$Q$6,E101)*POWER(Upgrades!$Q$7,F101)*POWER(Upgrades!$Q$8,G101)*POWER(Upgrades!$Q$9,H101)*POWER(Upgrades!$Q$10,I101)*POWER(Upgrades!$Q$11,J101)*POWER(Upgrades!$Q$12,K101)</f>
        <v/>
      </c>
      <c r="N101" s="28">
        <f>((IF(E101=0,0,(Upgrades!$G$6+E101*Upgrades!$H$6)*POWER(Upgrades!$I$6,E101)))*(IF(Upgrades!$T$7="Solar Wind",POWER(Upgrades!$U$7,F101),1)*IF(Upgrades!$T$8="Solar Wind",POWER(Upgrades!$U$8,G101),1)*IF(Upgrades!$T$9="Solar Wind",POWER(Upgrades!$U$9,H101),1)*IF(Upgrades!$T$10="Solar Wind",POWER(Upgrades!$U$10,I101),1)*IF(Upgrades!$T$11="Solar Wind",POWER(Upgrades!$U$11,J101),1)*IF(Upgrades!$T$12="Solar Wind",POWER(Upgrades!$U$12,K101),1))+(IF(F101=0,0,(Upgrades!$G$7+F101*Upgrades!$H$7)*POWER(Upgrades!$I$7,F101)))*(IF(Upgrades!$T$6="Asteroid Belt",POWER(Upgrades!$U$6,E101),1)*IF(Upgrades!$T$8="Asteroid Belt",POWER(Upgrades!$U$8,G101),1)*IF(Upgrades!$T$9="Asteroid Belt",POWER(Upgrades!$U$9,H101),1)*IF(Upgrades!$T$10="Asteroid Belt",POWER(Upgrades!$U$10,I101),1)*IF(Upgrades!$T$11="Asteroid Belt",POWER(Upgrades!$U$11,J101),1)*IF(Upgrades!$T$12="Asteroid Belt",POWER(Upgrades!$U$12,K101),1))+(IF(G101=0,0,(Upgrades!$G$8+G101*Upgrades!$H$8)*POWER(Upgrades!$I$8,G101)))*(IF(Upgrades!$T$6="Stellar Coupling",POWER(Upgrades!$U$6,E101),1)*IF(Upgrades!$T$7="Stellar Coupling",POWER(Upgrades!$U$7,F101),1)*IF(Upgrades!$T$9="Stellar Coupling",POWER(Upgrades!$U$9,H101),1)*IF(Upgrades!$T$10="Stellar Coupling",POWER(Upgrades!$U$10,I101),1)*IF(Upgrades!$T$11="Stellar Coupling",POWER(Upgrades!$U$11,J101),1)*IF(Upgrades!$T$12="Stellar Coupling",POWER(Upgrades!$U$12,K101),1))+(IF(H101=0,0,(Upgrades!$G$9+H101*Upgrades!$H$9)*POWER(Upgrades!$I$9,H101)))*(IF(Upgrades!$T$6="Magnetosphere",POWER(Upgrades!$U$6,E101),1)*IF(Upgrades!$T$7="Magnetosphere",POWER(Upgrades!$U$7,F101),1)*IF(Upgrades!$T$8="Magnetosphere",POWER(Upgrades!$U$8,G101),1)*IF(Upgrades!$T$10="Magnetosphere",POWER(Upgrades!$U$10,I101),1)*IF(Upgrades!$T$11="Magnetosphere",POWER(Upgrades!$U$11,J101),1)*IF(Upgrades!$T$12="Magnetosphere",POWER(Upgrades!$U$12,K101),1))+(IF(I101=0,0,(Upgrades!$G$10+I101*Upgrades!$H$10)*POWER(Upgrades!$I$10,I101)))*(IF(Upgrades!$T$6="Orbital Resonance",POWER(Upgrades!$U$6,E101),1)*IF(Upgrades!$T$7="Orbital Resonance",POWER(Upgrades!$U$7,F101),1)*IF(Upgrades!$T$8="Orbital Resonance",POWER(Upgrades!$U$8,G101),1)*IF(Upgrades!$T$9="Orbital Resonance",POWER(Upgrades!$U$9,H101),1)*IF(Upgrades!$T$11="Orbital Resonance",POWER(Upgrades!$U$11,J101),1)*IF(Upgrades!$T$12="Orbital Resonance",POWER(Upgrades!$U$12,K101),1))+(IF(J101=0,0,(Upgrades!$G$11+J101*Upgrades!$H$11)*POWER(Upgrades!$I$11,J101)))*(IF(Upgrades!$T$6="Heliopause",POWER(Upgrades!$U$6,E101),1)*IF(Upgrades!$T$7="Heliopause",POWER(Upgrades!$U$7,F101),1)*IF(Upgrades!$T$8="Heliopause",POWER(Upgrades!$U$8,G101),1)*IF(Upgrades!$T$9="Heliopause",POWER(Upgrades!$U$9,H101),1)*IF(Upgrades!$T$10="Heliopause",POWER(Upgrades!$U$10,I101),1)*IF(Upgrades!$T$12="Heliopause",POWER(Upgrades!$U$12,K101),1))+(IF(K101=0,0,(Upgrades!$G$12+K101*Upgrades!$H$12)*POWER(Upgrades!$I$12,K101)))*(IF(Upgrades!$T$6="First Photons",POWER(Upgrades!$U$6,E101),1)*IF(Upgrades!$T$7="First Photons",POWER(Upgrades!$U$7,F101),1)*IF(Upgrades!$T$8="First Photons",POWER(Upgrades!$U$8,G101),1)*IF(Upgrades!$T$9="First Photons",POWER(Upgrades!$U$9,H101),1)*IF(Upgrades!$T$10="First Photons",POWER(Upgrades!$U$10,I101),1)*IF(Upgrades!$T$11="First Photons",POWER(Upgrades!$U$11,J101),1)))*POWER(Upgrades!$P$6,E101)*POWER(Upgrades!$P$7,F101)*POWER(Upgrades!$P$8,G101)*POWER(Upgrades!$P$9,H101)*POWER(Upgrades!$P$10,I101)*POWER(Upgrades!$P$11,J101)*POWER(Upgrades!$P$12,K101)</f>
        <v/>
      </c>
      <c r="O101" s="28">
        <f>((IF(E101=0,0,(Upgrades!$M$6+E101*Upgrades!$N$6)*POWER(Upgrades!$O$6,E101)))*(IF(Upgrades!$T$7="Solar Wind",POWER(Upgrades!$U$7,F101),1)*IF(Upgrades!$T$8="Solar Wind",POWER(Upgrades!$U$8,G101),1)*IF(Upgrades!$T$9="Solar Wind",POWER(Upgrades!$U$9,H101),1)*IF(Upgrades!$T$10="Solar Wind",POWER(Upgrades!$U$10,I101),1)*IF(Upgrades!$T$11="Solar Wind",POWER(Upgrades!$U$11,J101),1)*IF(Upgrades!$T$12="Solar Wind",POWER(Upgrades!$U$12,K101),1))+(IF(F101=0,0,(Upgrades!$M$7+F101*Upgrades!$N$7)*POWER(Upgrades!$O$7,F101)))*(IF(Upgrades!$T$6="Asteroid Belt",POWER(Upgrades!$U$6,E101),1)*IF(Upgrades!$T$8="Asteroid Belt",POWER(Upgrades!$U$8,G101),1)*IF(Upgrades!$T$9="Asteroid Belt",POWER(Upgrades!$U$9,H101),1)*IF(Upgrades!$T$10="Asteroid Belt",POWER(Upgrades!$U$10,I101),1)*IF(Upgrades!$T$11="Asteroid Belt",POWER(Upgrades!$U$11,J101),1)*IF(Upgrades!$T$12="Asteroid Belt",POWER(Upgrades!$U$12,K101),1))+(IF(G101=0,0,(Upgrades!$M$8+G101*Upgrades!$N$8)*POWER(Upgrades!$O$8,G101)))*(IF(Upgrades!$T$6="Stellar Coupling",POWER(Upgrades!$U$6,E101),1)*IF(Upgrades!$T$7="Stellar Coupling",POWER(Upgrades!$U$7,F101),1)*IF(Upgrades!$T$9="Stellar Coupling",POWER(Upgrades!$U$9,H101),1)*IF(Upgrades!$T$10="Stellar Coupling",POWER(Upgrades!$U$10,I101),1)*IF(Upgrades!$T$11="Stellar Coupling",POWER(Upgrades!$U$11,J101),1)*IF(Upgrades!$T$12="Stellar Coupling",POWER(Upgrades!$U$12,K101),1))+(IF(H101=0,0,(Upgrades!$M$9+H101*Upgrades!$N$9)*POWER(Upgrades!$O$9,H101)))*(IF(Upgrades!$T$6="Magnetosphere",POWER(Upgrades!$U$6,E101),1)*IF(Upgrades!$T$7="Magnetosphere",POWER(Upgrades!$U$7,F101),1)*IF(Upgrades!$T$8="Magnetosphere",POWER(Upgrades!$U$8,G101),1)*IF(Upgrades!$T$10="Magnetosphere",POWER(Upgrades!$U$10,I101),1)*IF(Upgrades!$T$11="Magnetosphere",POWER(Upgrades!$U$11,J101),1)*IF(Upgrades!$T$12="Magnetosphere",POWER(Upgrades!$U$12,K101),1))+(IF(I101=0,0,(Upgrades!$M$10+I101*Upgrades!$N$10)*POWER(Upgrades!$O$10,I101)))*(IF(Upgrades!$T$6="Orbital Resonance",POWER(Upgrades!$U$6,E101),1)*IF(Upgrades!$T$7="Orbital Resonance",POWER(Upgrades!$U$7,F101),1)*IF(Upgrades!$T$8="Orbital Resonance",POWER(Upgrades!$U$8,G101),1)*IF(Upgrades!$T$9="Orbital Resonance",POWER(Upgrades!$U$9,H101),1)*IF(Upgrades!$T$11="Orbital Resonance",POWER(Upgrades!$U$11,J101),1)*IF(Upgrades!$T$12="Orbital Resonance",POWER(Upgrades!$U$12,K101),1))+(IF(J101=0,0,(Upgrades!$M$11+J101*Upgrades!$N$11)*POWER(Upgrades!$O$11,J101)))*(IF(Upgrades!$T$6="Heliopause",POWER(Upgrades!$U$6,E101),1)*IF(Upgrades!$T$7="Heliopause",POWER(Upgrades!$U$7,F101),1)*IF(Upgrades!$T$8="Heliopause",POWER(Upgrades!$U$8,G101),1)*IF(Upgrades!$T$9="Heliopause",POWER(Upgrades!$U$9,H101),1)*IF(Upgrades!$T$10="Heliopause",POWER(Upgrades!$U$10,I101),1)*IF(Upgrades!$T$12="Heliopause",POWER(Upgrades!$U$12,K101),1))+(IF(K101=0,0,(Upgrades!$M$12+K101*Upgrades!$N$12)*POWER(Upgrades!$O$12,K101)))*(IF(Upgrades!$T$6="First Photons",POWER(Upgrades!$U$6,E101),1)*IF(Upgrades!$T$7="First Photons",POWER(Upgrades!$U$7,F101),1)*IF(Upgrades!$T$8="First Photons",POWER(Upgrades!$U$8,G101),1)*IF(Upgrades!$T$9="First Photons",POWER(Upgrades!$U$9,H101),1)*IF(Upgrades!$T$10="First Photons",POWER(Upgrades!$U$10,I101),1)*IF(Upgrades!$T$11="First Photons",POWER(Upgrades!$U$11,J101),1)))*POWER(Upgrades!$R$6,E101)*POWER(Upgrades!$R$7,F101)*POWER(Upgrades!$R$8,G101)*POWER(Upgrades!$R$9,H101)*POWER(Upgrades!$R$10,I101)*POWER(Upgrades!$R$11,J101)*POWER(Upgrades!$R$12,K101)</f>
        <v/>
      </c>
      <c r="P101" s="27">
        <f>IF(L101=1,0,M101*Parameters!$B$10/60*Parameters!$B$11*10)</f>
        <v/>
      </c>
      <c r="Q101" s="27">
        <f>IF(L101=1,0,O101*M101*10)</f>
        <v/>
      </c>
      <c r="R101" s="27">
        <f>IF(L101=1,0,N101*10)</f>
        <v/>
      </c>
      <c r="S101" s="27">
        <f>P101+Q101+R101</f>
        <v/>
      </c>
      <c r="T101" s="22">
        <f>C101+S101</f>
        <v/>
      </c>
      <c r="U101" s="33">
        <f>AX101</f>
        <v/>
      </c>
      <c r="V101" s="22">
        <f>IF(U101="",0,IF(U101="transition",0,IF(U101="SW",AG101,IF(U101="AB",AH101,IF(U101="SC",AI101,IF(U101="Mag",AJ101,IF(U101="OR",AK101,IF(U101="HP",AL101,IF(U101="FP",AM101,0)))))))))</f>
        <v/>
      </c>
      <c r="W101" s="27">
        <f>IF(U101="OR",Upgrades!$F$10,IF(U101="HP",Upgrades!$F$11,IF(U101="transition",-Parameters!$B$18,0)))</f>
        <v/>
      </c>
      <c r="X101" s="22">
        <f>T101-V101</f>
        <v/>
      </c>
      <c r="Y101" s="30">
        <f>M101*Parameters!$B$10/60*Parameters!$B$11+O101*M101+N101</f>
        <v/>
      </c>
      <c r="Z101" s="34">
        <f>IF(U101="transition","→ Tier 2 (Stellar Neighborhood)",IF(U101="FP","First Photons — light begins, system quickens",IF(U101="HP","Heliopause acquired",IF(U101="OR","Orbital Resonance — passive multiplier active",IF(AND(AO101=1,L101=0,AN101&lt;&gt;1),"Cohesion ready (waiting on completionist upgrades)","")))))</f>
        <v/>
      </c>
      <c r="AA101" s="27">
        <f>(IF(E101=0,0,(Upgrades!$G$6+E101*Upgrades!$H$6)*POWER(Upgrades!$I$6,E101)))*(IF(Upgrades!$T$7="Solar Wind",POWER(Upgrades!$U$7,F101),1)*IF(Upgrades!$T$8="Solar Wind",POWER(Upgrades!$U$8,G101),1)*IF(Upgrades!$T$9="Solar Wind",POWER(Upgrades!$U$9,H101),1)*IF(Upgrades!$T$10="Solar Wind",POWER(Upgrades!$U$10,I101),1)*IF(Upgrades!$T$11="Solar Wind",POWER(Upgrades!$U$11,J101),1)*IF(Upgrades!$T$12="Solar Wind",POWER(Upgrades!$U$12,K101),1))*POWER(Upgrades!$P$6,E101)*POWER(Upgrades!$P$7,F101)*POWER(Upgrades!$P$8,G101)*POWER(Upgrades!$P$9,H101)*POWER(Upgrades!$P$10,I101)*POWER(Upgrades!$P$11,J101)*POWER(Upgrades!$P$12,K101)*60</f>
        <v/>
      </c>
      <c r="AB101" s="27">
        <f>(IF(F101=0,0,(Upgrades!$G$7+F101*Upgrades!$H$7)*POWER(Upgrades!$I$7,F101)))*(IF(Upgrades!$T$6="Asteroid Belt",POWER(Upgrades!$U$6,E101),1)*IF(Upgrades!$T$8="Asteroid Belt",POWER(Upgrades!$U$8,G101),1)*IF(Upgrades!$T$9="Asteroid Belt",POWER(Upgrades!$U$9,H101),1)*IF(Upgrades!$T$10="Asteroid Belt",POWER(Upgrades!$U$10,I101),1)*IF(Upgrades!$T$11="Asteroid Belt",POWER(Upgrades!$U$11,J101),1)*IF(Upgrades!$T$12="Asteroid Belt",POWER(Upgrades!$U$12,K101),1))*POWER(Upgrades!$P$6,E101)*POWER(Upgrades!$P$7,F101)*POWER(Upgrades!$P$8,G101)*POWER(Upgrades!$P$9,H101)*POWER(Upgrades!$P$10,I101)*POWER(Upgrades!$P$11,J101)*POWER(Upgrades!$P$12,K101)*60</f>
        <v/>
      </c>
      <c r="AC101" s="27">
        <f>(IF(G101=0,0,(Upgrades!$J$8+G101*Upgrades!$K$8)*POWER(Upgrades!$L$8,G101)))*(IF(Upgrades!$T$6="Stellar Coupling",POWER(Upgrades!$U$6,E101),1)*IF(Upgrades!$T$7="Stellar Coupling",POWER(Upgrades!$U$7,F101),1)*IF(Upgrades!$T$9="Stellar Coupling",POWER(Upgrades!$U$9,H101),1)*IF(Upgrades!$T$10="Stellar Coupling",POWER(Upgrades!$U$10,I101),1)*IF(Upgrades!$T$11="Stellar Coupling",POWER(Upgrades!$U$11,J101),1)*IF(Upgrades!$T$12="Stellar Coupling",POWER(Upgrades!$U$12,K101),1))*POWER(Upgrades!$Q$6,E101)*POWER(Upgrades!$Q$7,F101)*POWER(Upgrades!$Q$8,G101)*POWER(Upgrades!$Q$9,H101)*POWER(Upgrades!$Q$10,I101)*POWER(Upgrades!$Q$11,J101)*POWER(Upgrades!$Q$12,K101)*Parameters!$B$10*Parameters!$B$11</f>
        <v/>
      </c>
      <c r="AD101" s="27">
        <f>(IF(H101=0,0,(Upgrades!$G$9+H101*Upgrades!$H$9)*POWER(Upgrades!$I$9,H101)))*(IF(Upgrades!$T$6="Magnetosphere",POWER(Upgrades!$U$6,E101),1)*IF(Upgrades!$T$7="Magnetosphere",POWER(Upgrades!$U$7,F101),1)*IF(Upgrades!$T$8="Magnetosphere",POWER(Upgrades!$U$8,G101),1)*IF(Upgrades!$T$10="Magnetosphere",POWER(Upgrades!$U$10,I101),1)*IF(Upgrades!$T$11="Magnetosphere",POWER(Upgrades!$U$11,J101),1)*IF(Upgrades!$T$12="Magnetosphere",POWER(Upgrades!$U$12,K101),1))*POWER(Upgrades!$P$6,E101)*POWER(Upgrades!$P$7,F101)*POWER(Upgrades!$P$8,G101)*POWER(Upgrades!$P$9,H101)*POWER(Upgrades!$P$10,I101)*POWER(Upgrades!$P$11,J101)*POWER(Upgrades!$P$12,K101)*60</f>
        <v/>
      </c>
      <c r="AE101" s="27">
        <f>(IF(K101=0,0,(Upgrades!$G$12+K101*Upgrades!$H$12)*POWER(Upgrades!$I$12,K101)))*(IF(Upgrades!$T$6="First Photons",POWER(Upgrades!$U$6,E101),1)*IF(Upgrades!$T$7="First Photons",POWER(Upgrades!$U$7,F101),1)*IF(Upgrades!$T$8="First Photons",POWER(Upgrades!$U$8,G101),1)*IF(Upgrades!$T$9="First Photons",POWER(Upgrades!$U$9,H101),1)*IF(Upgrades!$T$10="First Photons",POWER(Upgrades!$U$10,I101),1)*IF(Upgrades!$T$11="First Photons",POWER(Upgrades!$U$11,J101),1))*POWER(Upgrades!$P$6,E101)*POWER(Upgrades!$P$7,F101)*POWER(Upgrades!$P$8,G101)*POWER(Upgrades!$P$9,H101)*POWER(Upgrades!$P$10,I101)*POWER(Upgrades!$P$11,J101)*POWER(Upgrades!$P$12,K101)*60</f>
        <v/>
      </c>
      <c r="AF101" s="27">
        <f>Parameters!$B$9*POWER(Upgrades!$Q$6,E101)*POWER(Upgrades!$Q$7,F101)*POWER(Upgrades!$Q$8,G101)*POWER(Upgrades!$Q$9,H101)*POWER(Upgrades!$Q$10,I101)*POWER(Upgrades!$Q$11,J101)*POWER(Upgrades!$Q$12,K101)*(Parameters!$B$10*Parameters!$B$11+O101*60)</f>
        <v/>
      </c>
      <c r="AG101" s="22">
        <f>IF(E101&gt;=Upgrades!$E$6,"",Upgrades!$C$6*POWER(Upgrades!$D$6,E101))</f>
        <v/>
      </c>
      <c r="AH101" s="22">
        <f>IF(F101&gt;=Upgrades!$E$7,"",Upgrades!$C$7*POWER(Upgrades!$D$7,F101))</f>
        <v/>
      </c>
      <c r="AI101" s="22">
        <f>IF(G101&gt;=Upgrades!$E$8,"",Upgrades!$C$8*POWER(Upgrades!$D$8,G101))</f>
        <v/>
      </c>
      <c r="AJ101" s="22">
        <f>IF(H101&gt;=Upgrades!$E$9,"",Upgrades!$C$9*POWER(Upgrades!$D$9,H101))</f>
        <v/>
      </c>
      <c r="AK101" s="22">
        <f>IF(I101&gt;=Upgrades!$E$10,"",Upgrades!$C$10*POWER(Upgrades!$D$10,I101))</f>
        <v/>
      </c>
      <c r="AL101" s="22">
        <f>IF(J101&gt;=Upgrades!$E$11,"",Upgrades!$C$11*POWER(Upgrades!$D$11,J101))</f>
        <v/>
      </c>
      <c r="AM101" s="22">
        <f>IF(K101&gt;=Upgrades!$E$12,"",Upgrades!$C$12*POWER(Upgrades!$D$12,K101))</f>
        <v/>
      </c>
      <c r="AN101" s="26">
        <f>IF(AND(D101&gt;=Parameters!$B$18,(H101&gt;=Upgrades!$E$9)*(K101&gt;=Upgrades!$E$12)=1,L101=0),1,"")</f>
        <v/>
      </c>
      <c r="AO101" s="26">
        <f>IF(AND(D101&gt;=Parameters!$B$18,L101=0),1,"")</f>
        <v/>
      </c>
      <c r="AP101" s="22">
        <f>MIN(IF(ISNUMBER(AK101),AK101,9E15),IF(ISNUMBER(AL101),AL101,9E15),IF(ISNUMBER(AM101),AM101,9E15))</f>
        <v/>
      </c>
      <c r="AQ101" s="22">
        <f>MIN(IF(ISNUMBER(AG101),AG101,9E15),IF(ISNUMBER(AH101),AH101,9E15),IF(ISNUMBER(AI101),AI101,9E15),IF(ISNUMBER(AJ101),AJ101,9E15))</f>
        <v/>
      </c>
      <c r="AR101" s="29">
        <f>IF(AW101&gt;Parameters!$B$21*(MAX(IF(AND(NOT(AND(AO101=1,AN101&lt;&gt;1)),ISNUMBER(AG101),AG101&lt;=T101),AS101,0),IF(AND(NOT(AND(AO101=1,AN101&lt;&gt;1)),ISNUMBER(AH101),AH101&lt;=T101),AT101,0),IF(AND(NOT(AND(AO101=1,AN101&lt;&gt;1)),ISNUMBER(AI101),AI101&lt;=T101),AU101,0),IF(AND(ISNUMBER(AJ101),AJ101&lt;=T101),AV101,0))),TRUE,FALSE)</f>
        <v/>
      </c>
      <c r="AS101" s="32">
        <f>IFERROR(Upgrades!$H$6*(POWER(Upgrades!$P$6,E101)*POWER(Upgrades!$P$7,F101)*POWER(Upgrades!$P$8,G101)*POWER(Upgrades!$P$9,H101)*POWER(Upgrades!$P$10,I101)*POWER(Upgrades!$P$11,J101)*POWER(Upgrades!$P$12,K101))*(IF(Upgrades!$T$7="Solar Wind",POWER(Upgrades!$U$7,F101),1)*IF(Upgrades!$T$8="Solar Wind",POWER(Upgrades!$U$8,G101),1)*IF(Upgrades!$T$9="Solar Wind",POWER(Upgrades!$U$9,H101),1)*IF(Upgrades!$T$10="Solar Wind",POWER(Upgrades!$U$10,I101),1)*IF(Upgrades!$T$11="Solar Wind",POWER(Upgrades!$U$11,J101),1)*IF(Upgrades!$T$12="Solar Wind",POWER(Upgrades!$U$12,K101),1))/AG101,0)</f>
        <v/>
      </c>
      <c r="AT101" s="32">
        <f>IFERROR(Upgrades!$H$7*(POWER(Upgrades!$P$6,E101)*POWER(Upgrades!$P$7,F101)*POWER(Upgrades!$P$8,G101)*POWER(Upgrades!$P$9,H101)*POWER(Upgrades!$P$10,I101)*POWER(Upgrades!$P$11,J101)*POWER(Upgrades!$P$12,K101))*(IF(Upgrades!$T$6="Asteroid Belt",POWER(Upgrades!$U$6,E101),1)*IF(Upgrades!$T$8="Asteroid Belt",POWER(Upgrades!$U$8,G101),1)*IF(Upgrades!$T$9="Asteroid Belt",POWER(Upgrades!$U$9,H101),1)*IF(Upgrades!$T$10="Asteroid Belt",POWER(Upgrades!$U$10,I101),1)*IF(Upgrades!$T$11="Asteroid Belt",POWER(Upgrades!$U$11,J101),1)*IF(Upgrades!$T$12="Asteroid Belt",POWER(Upgrades!$U$12,K101),1))/AH101,0)</f>
        <v/>
      </c>
      <c r="AU101" s="32">
        <f>IFERROR(Upgrades!$K$8*(POWER(Upgrades!$Q$6,E101)*POWER(Upgrades!$Q$7,F101)*POWER(Upgrades!$Q$8,G101)*POWER(Upgrades!$Q$9,H101)*POWER(Upgrades!$Q$10,I101)*POWER(Upgrades!$Q$11,J101)*POWER(Upgrades!$Q$12,K101))*(IF(Upgrades!$T$6="Stellar Coupling",POWER(Upgrades!$U$6,E101),1)*IF(Upgrades!$T$7="Stellar Coupling",POWER(Upgrades!$U$7,F101),1)*IF(Upgrades!$T$9="Stellar Coupling",POWER(Upgrades!$U$9,H101),1)*IF(Upgrades!$T$10="Stellar Coupling",POWER(Upgrades!$U$10,I101),1)*IF(Upgrades!$T$11="Stellar Coupling",POWER(Upgrades!$U$11,J101),1)*IF(Upgrades!$T$12="Stellar Coupling",POWER(Upgrades!$U$12,K101),1))*Parameters!$B$10*Parameters!$B$11/60/AI101,0)</f>
        <v/>
      </c>
      <c r="AV101" s="32">
        <f>IFERROR(Upgrades!$H$9*(POWER(Upgrades!$P$6,E101)*POWER(Upgrades!$P$7,F101)*POWER(Upgrades!$P$8,G101)*POWER(Upgrades!$P$9,H101)*POWER(Upgrades!$P$10,I101)*POWER(Upgrades!$P$11,J101)*POWER(Upgrades!$P$12,K101))*(IF(Upgrades!$T$6="Magnetosphere",POWER(Upgrades!$U$6,E101),1)*IF(Upgrades!$T$7="Magnetosphere",POWER(Upgrades!$U$7,F101),1)*IF(Upgrades!$T$8="Magnetosphere",POWER(Upgrades!$U$8,G101),1)*IF(Upgrades!$T$10="Magnetosphere",POWER(Upgrades!$U$10,I101),1)*IF(Upgrades!$T$11="Magnetosphere",POWER(Upgrades!$U$11,J101),1)*IF(Upgrades!$T$12="Magnetosphere",POWER(Upgrades!$U$12,K101),1))/AJ101,0)</f>
        <v/>
      </c>
      <c r="AW101" s="32">
        <f>MAX(IF(I101&gt;0,0,IFERROR(0.25*N101/Upgrades!$C$10,0)),IF(J101&gt;0,0,IFERROR(0.5*((IF(G101=0,0,(Upgrades!$J$8+G101*Upgrades!$K$8)*POWER(Upgrades!$L$8,G101)))*(IF(Upgrades!$T$6="Stellar Coupling",POWER(Upgrades!$U$6,E101),1)*IF(Upgrades!$T$7="Stellar Coupling",POWER(Upgrades!$U$7,F101),1)*IF(Upgrades!$T$9="Stellar Coupling",POWER(Upgrades!$U$9,H101),1)*IF(Upgrades!$T$10="Stellar Coupling",POWER(Upgrades!$U$10,I101),1)*IF(Upgrades!$T$11="Stellar Coupling",POWER(Upgrades!$U$11,J101),1)*IF(Upgrades!$T$12="Stellar Coupling",POWER(Upgrades!$U$12,K101),1))*(POWER(Upgrades!$Q$6,E101)*POWER(Upgrades!$Q$7,F101)*POWER(Upgrades!$Q$8,G101)*POWER(Upgrades!$Q$9,H101)*POWER(Upgrades!$Q$10,I101)*POWER(Upgrades!$Q$11,J101)*POWER(Upgrades!$Q$12,K101))*Parameters!$B$10*Parameters!$B$11/60)/Upgrades!$C$11,0)),IF(K101&gt;0,0,IFERROR((1.0*(POWER(Upgrades!$P$6,E101)*POWER(Upgrades!$P$7,F101)*POWER(Upgrades!$P$8,G101)*POWER(Upgrades!$P$9,H101)*POWER(Upgrades!$P$10,I101)*POWER(Upgrades!$P$11,J101)*POWER(Upgrades!$P$12,K101))+0.20*M101*Parameters!$B$10*Parameters!$B$11/60)/Upgrades!$C$12,0)),IF(AND(ISNUMBER(AG101),AG101&gt;T101),AS101,0),IF(AND(ISNUMBER(AH101),AH101&gt;T101),AT101,0),IF(AND(ISNUMBER(AI101),AI101&gt;T101),AU101,0),IF(AND(ISNUMBER(AJ101),AJ101&gt;T101),AV101,0))</f>
        <v/>
      </c>
      <c r="AX101" s="29">
        <f>IF(AN101=1,"transition",IF(MIN(IF(AND(I101=0,ISNUMBER(AK101),AK101&lt;=T101),AK101,9E15),IF(AND(J101=0,ISNUMBER(AL101),AL101&lt;=T101),AL101,9E15),IF(AND(K101=0,ISNUMBER(AM101),AM101&lt;=T101),AM101,9E15))&lt;9E15,IF(AND(AND(I101=0,ISNUMBER(AK101),AK101&lt;=T101),AK101=MIN(IF(AND(I101=0,ISNUMBER(AK101),AK101&lt;=T101),AK101,9E15),IF(AND(J101=0,ISNUMBER(AL101),AL101&lt;=T101),AL101,9E15),IF(AND(K101=0,ISNUMBER(AM101),AM101&lt;=T101),AM101,9E15))),"OR",IF(AND(AND(J101=0,ISNUMBER(AL101),AL101&lt;=T101),AL101=MIN(IF(AND(I101=0,ISNUMBER(AK101),AK101&lt;=T101),AK101,9E15),IF(AND(J101=0,ISNUMBER(AL101),AL101&lt;=T101),AL101,9E15),IF(AND(K101=0,ISNUMBER(AM101),AM101&lt;=T101),AM101,9E15))),"HP","FP")),IF(AR101=TRUE,"",IF(MAX(IF(AND(NOT(AND(AO101=1,AN101&lt;&gt;1)),ISNUMBER(AG101),AG101&lt;=T101),AS101,0),IF(AND(NOT(AND(AO101=1,AN101&lt;&gt;1)),ISNUMBER(AH101),AH101&lt;=T101),AT101,0),IF(AND(NOT(AND(AO101=1,AN101&lt;&gt;1)),ISNUMBER(AI101),AI101&lt;=T101),AU101,0),IF(AND(ISNUMBER(AJ101),AJ101&lt;=T101),AV101,0))&lt;=0,"",IF(AND(IF(AND(NOT(AND(AO101=1,AN101&lt;&gt;1)),ISNUMBER(AG101),AG101&lt;=T101),AS101,0)&gt;0,IF(AND(NOT(AND(AO101=1,AN101&lt;&gt;1)),ISNUMBER(AG101),AG101&lt;=T101),AS101,0)=MAX(IF(AND(NOT(AND(AO101=1,AN101&lt;&gt;1)),ISNUMBER(AG101),AG101&lt;=T101),AS101,0),IF(AND(NOT(AND(AO101=1,AN101&lt;&gt;1)),ISNUMBER(AH101),AH101&lt;=T101),AT101,0),IF(AND(NOT(AND(AO101=1,AN101&lt;&gt;1)),ISNUMBER(AI101),AI101&lt;=T101),AU101,0),IF(AND(ISNUMBER(AJ101),AJ101&lt;=T101),AV101,0))),"SW",IF(AND(IF(AND(NOT(AND(AO101=1,AN101&lt;&gt;1)),ISNUMBER(AH101),AH101&lt;=T101),AT101,0)&gt;0,IF(AND(NOT(AND(AO101=1,AN101&lt;&gt;1)),ISNUMBER(AH101),AH101&lt;=T101),AT101,0)=MAX(IF(AND(NOT(AND(AO101=1,AN101&lt;&gt;1)),ISNUMBER(AG101),AG101&lt;=T101),AS101,0),IF(AND(NOT(AND(AO101=1,AN101&lt;&gt;1)),ISNUMBER(AH101),AH101&lt;=T101),AT101,0),IF(AND(NOT(AND(AO101=1,AN101&lt;&gt;1)),ISNUMBER(AI101),AI101&lt;=T101),AU101,0),IF(AND(ISNUMBER(AJ101),AJ101&lt;=T101),AV101,0))),"AB",IF(AND(IF(AND(NOT(AND(AO101=1,AN101&lt;&gt;1)),ISNUMBER(AI101),AI101&lt;=T101),AU101,0)&gt;0,IF(AND(NOT(AND(AO101=1,AN101&lt;&gt;1)),ISNUMBER(AI101),AI101&lt;=T101),AU101,0)=MAX(IF(AND(NOT(AND(AO101=1,AN101&lt;&gt;1)),ISNUMBER(AG101),AG101&lt;=T101),AS101,0),IF(AND(NOT(AND(AO101=1,AN101&lt;&gt;1)),ISNUMBER(AH101),AH101&lt;=T101),AT101,0),IF(AND(NOT(AND(AO101=1,AN101&lt;&gt;1)),ISNUMBER(AI101),AI101&lt;=T101),AU101,0),IF(AND(ISNUMBER(AJ101),AJ101&lt;=T101),AV101,0))),"SC","Mag")))))))</f>
        <v/>
      </c>
    </row>
    <row r="102">
      <c r="A102" s="26" t="n">
        <v>97</v>
      </c>
      <c r="B102" s="27">
        <f>A102*10/60</f>
        <v/>
      </c>
      <c r="C102" s="22">
        <f>X101</f>
        <v/>
      </c>
      <c r="D102" s="27">
        <f>D101+W101</f>
        <v/>
      </c>
      <c r="E102" s="26">
        <f>E101+IF(U101="SW",1,0)</f>
        <v/>
      </c>
      <c r="F102" s="26">
        <f>F101+IF(U101="AB",1,0)</f>
        <v/>
      </c>
      <c r="G102" s="26">
        <f>G101+IF(U101="SC",1,0)</f>
        <v/>
      </c>
      <c r="H102" s="26">
        <f>H101+IF(U101="Mag",1,0)</f>
        <v/>
      </c>
      <c r="I102" s="26">
        <f>MAX(I101,IF(U101="OR",1,0))</f>
        <v/>
      </c>
      <c r="J102" s="26">
        <f>MAX(J101,IF(U101="HP",1,0))</f>
        <v/>
      </c>
      <c r="K102" s="26">
        <f>MAX(K101,IF(U101="FP",1,0))</f>
        <v/>
      </c>
      <c r="L102" s="26">
        <f>MAX(L101,IF(U101="transition",1,0))</f>
        <v/>
      </c>
      <c r="M102" s="28">
        <f>(Parameters!$B$9+(IF(E102=0,0,(Upgrades!$J$6+E102*Upgrades!$K$6)*POWER(Upgrades!$L$6,E102)))*(IF(Upgrades!$T$7="Solar Wind",POWER(Upgrades!$U$7,F102),1)*IF(Upgrades!$T$8="Solar Wind",POWER(Upgrades!$U$8,G102),1)*IF(Upgrades!$T$9="Solar Wind",POWER(Upgrades!$U$9,H102),1)*IF(Upgrades!$T$10="Solar Wind",POWER(Upgrades!$U$10,I102),1)*IF(Upgrades!$T$11="Solar Wind",POWER(Upgrades!$U$11,J102),1)*IF(Upgrades!$T$12="Solar Wind",POWER(Upgrades!$U$12,K102),1))+(IF(F102=0,0,(Upgrades!$J$7+F102*Upgrades!$K$7)*POWER(Upgrades!$L$7,F102)))*(IF(Upgrades!$T$6="Asteroid Belt",POWER(Upgrades!$U$6,E102),1)*IF(Upgrades!$T$8="Asteroid Belt",POWER(Upgrades!$U$8,G102),1)*IF(Upgrades!$T$9="Asteroid Belt",POWER(Upgrades!$U$9,H102),1)*IF(Upgrades!$T$10="Asteroid Belt",POWER(Upgrades!$U$10,I102),1)*IF(Upgrades!$T$11="Asteroid Belt",POWER(Upgrades!$U$11,J102),1)*IF(Upgrades!$T$12="Asteroid Belt",POWER(Upgrades!$U$12,K102),1))+(IF(G102=0,0,(Upgrades!$J$8+G102*Upgrades!$K$8)*POWER(Upgrades!$L$8,G102)))*(IF(Upgrades!$T$6="Stellar Coupling",POWER(Upgrades!$U$6,E102),1)*IF(Upgrades!$T$7="Stellar Coupling",POWER(Upgrades!$U$7,F102),1)*IF(Upgrades!$T$9="Stellar Coupling",POWER(Upgrades!$U$9,H102),1)*IF(Upgrades!$T$10="Stellar Coupling",POWER(Upgrades!$U$10,I102),1)*IF(Upgrades!$T$11="Stellar Coupling",POWER(Upgrades!$U$11,J102),1)*IF(Upgrades!$T$12="Stellar Coupling",POWER(Upgrades!$U$12,K102),1))+(IF(H102=0,0,(Upgrades!$J$9+H102*Upgrades!$K$9)*POWER(Upgrades!$L$9,H102)))*(IF(Upgrades!$T$6="Magnetosphere",POWER(Upgrades!$U$6,E102),1)*IF(Upgrades!$T$7="Magnetosphere",POWER(Upgrades!$U$7,F102),1)*IF(Upgrades!$T$8="Magnetosphere",POWER(Upgrades!$U$8,G102),1)*IF(Upgrades!$T$10="Magnetosphere",POWER(Upgrades!$U$10,I102),1)*IF(Upgrades!$T$11="Magnetosphere",POWER(Upgrades!$U$11,J102),1)*IF(Upgrades!$T$12="Magnetosphere",POWER(Upgrades!$U$12,K102),1))+(IF(I102=0,0,(Upgrades!$J$10+I102*Upgrades!$K$10)*POWER(Upgrades!$L$10,I102)))*(IF(Upgrades!$T$6="Orbital Resonance",POWER(Upgrades!$U$6,E102),1)*IF(Upgrades!$T$7="Orbital Resonance",POWER(Upgrades!$U$7,F102),1)*IF(Upgrades!$T$8="Orbital Resonance",POWER(Upgrades!$U$8,G102),1)*IF(Upgrades!$T$9="Orbital Resonance",POWER(Upgrades!$U$9,H102),1)*IF(Upgrades!$T$11="Orbital Resonance",POWER(Upgrades!$U$11,J102),1)*IF(Upgrades!$T$12="Orbital Resonance",POWER(Upgrades!$U$12,K102),1))+(IF(J102=0,0,(Upgrades!$J$11+J102*Upgrades!$K$11)*POWER(Upgrades!$L$11,J102)))*(IF(Upgrades!$T$6="Heliopause",POWER(Upgrades!$U$6,E102),1)*IF(Upgrades!$T$7="Heliopause",POWER(Upgrades!$U$7,F102),1)*IF(Upgrades!$T$8="Heliopause",POWER(Upgrades!$U$8,G102),1)*IF(Upgrades!$T$9="Heliopause",POWER(Upgrades!$U$9,H102),1)*IF(Upgrades!$T$10="Heliopause",POWER(Upgrades!$U$10,I102),1)*IF(Upgrades!$T$12="Heliopause",POWER(Upgrades!$U$12,K102),1))+(IF(K102=0,0,(Upgrades!$J$12+K102*Upgrades!$K$12)*POWER(Upgrades!$L$12,K102)))*(IF(Upgrades!$T$6="First Photons",POWER(Upgrades!$U$6,E102),1)*IF(Upgrades!$T$7="First Photons",POWER(Upgrades!$U$7,F102),1)*IF(Upgrades!$T$8="First Photons",POWER(Upgrades!$U$8,G102),1)*IF(Upgrades!$T$9="First Photons",POWER(Upgrades!$U$9,H102),1)*IF(Upgrades!$T$10="First Photons",POWER(Upgrades!$U$10,I102),1)*IF(Upgrades!$T$11="First Photons",POWER(Upgrades!$U$11,J102),1)))*POWER(Upgrades!$Q$6,E102)*POWER(Upgrades!$Q$7,F102)*POWER(Upgrades!$Q$8,G102)*POWER(Upgrades!$Q$9,H102)*POWER(Upgrades!$Q$10,I102)*POWER(Upgrades!$Q$11,J102)*POWER(Upgrades!$Q$12,K102)</f>
        <v/>
      </c>
      <c r="N102" s="28">
        <f>((IF(E102=0,0,(Upgrades!$G$6+E102*Upgrades!$H$6)*POWER(Upgrades!$I$6,E102)))*(IF(Upgrades!$T$7="Solar Wind",POWER(Upgrades!$U$7,F102),1)*IF(Upgrades!$T$8="Solar Wind",POWER(Upgrades!$U$8,G102),1)*IF(Upgrades!$T$9="Solar Wind",POWER(Upgrades!$U$9,H102),1)*IF(Upgrades!$T$10="Solar Wind",POWER(Upgrades!$U$10,I102),1)*IF(Upgrades!$T$11="Solar Wind",POWER(Upgrades!$U$11,J102),1)*IF(Upgrades!$T$12="Solar Wind",POWER(Upgrades!$U$12,K102),1))+(IF(F102=0,0,(Upgrades!$G$7+F102*Upgrades!$H$7)*POWER(Upgrades!$I$7,F102)))*(IF(Upgrades!$T$6="Asteroid Belt",POWER(Upgrades!$U$6,E102),1)*IF(Upgrades!$T$8="Asteroid Belt",POWER(Upgrades!$U$8,G102),1)*IF(Upgrades!$T$9="Asteroid Belt",POWER(Upgrades!$U$9,H102),1)*IF(Upgrades!$T$10="Asteroid Belt",POWER(Upgrades!$U$10,I102),1)*IF(Upgrades!$T$11="Asteroid Belt",POWER(Upgrades!$U$11,J102),1)*IF(Upgrades!$T$12="Asteroid Belt",POWER(Upgrades!$U$12,K102),1))+(IF(G102=0,0,(Upgrades!$G$8+G102*Upgrades!$H$8)*POWER(Upgrades!$I$8,G102)))*(IF(Upgrades!$T$6="Stellar Coupling",POWER(Upgrades!$U$6,E102),1)*IF(Upgrades!$T$7="Stellar Coupling",POWER(Upgrades!$U$7,F102),1)*IF(Upgrades!$T$9="Stellar Coupling",POWER(Upgrades!$U$9,H102),1)*IF(Upgrades!$T$10="Stellar Coupling",POWER(Upgrades!$U$10,I102),1)*IF(Upgrades!$T$11="Stellar Coupling",POWER(Upgrades!$U$11,J102),1)*IF(Upgrades!$T$12="Stellar Coupling",POWER(Upgrades!$U$12,K102),1))+(IF(H102=0,0,(Upgrades!$G$9+H102*Upgrades!$H$9)*POWER(Upgrades!$I$9,H102)))*(IF(Upgrades!$T$6="Magnetosphere",POWER(Upgrades!$U$6,E102),1)*IF(Upgrades!$T$7="Magnetosphere",POWER(Upgrades!$U$7,F102),1)*IF(Upgrades!$T$8="Magnetosphere",POWER(Upgrades!$U$8,G102),1)*IF(Upgrades!$T$10="Magnetosphere",POWER(Upgrades!$U$10,I102),1)*IF(Upgrades!$T$11="Magnetosphere",POWER(Upgrades!$U$11,J102),1)*IF(Upgrades!$T$12="Magnetosphere",POWER(Upgrades!$U$12,K102),1))+(IF(I102=0,0,(Upgrades!$G$10+I102*Upgrades!$H$10)*POWER(Upgrades!$I$10,I102)))*(IF(Upgrades!$T$6="Orbital Resonance",POWER(Upgrades!$U$6,E102),1)*IF(Upgrades!$T$7="Orbital Resonance",POWER(Upgrades!$U$7,F102),1)*IF(Upgrades!$T$8="Orbital Resonance",POWER(Upgrades!$U$8,G102),1)*IF(Upgrades!$T$9="Orbital Resonance",POWER(Upgrades!$U$9,H102),1)*IF(Upgrades!$T$11="Orbital Resonance",POWER(Upgrades!$U$11,J102),1)*IF(Upgrades!$T$12="Orbital Resonance",POWER(Upgrades!$U$12,K102),1))+(IF(J102=0,0,(Upgrades!$G$11+J102*Upgrades!$H$11)*POWER(Upgrades!$I$11,J102)))*(IF(Upgrades!$T$6="Heliopause",POWER(Upgrades!$U$6,E102),1)*IF(Upgrades!$T$7="Heliopause",POWER(Upgrades!$U$7,F102),1)*IF(Upgrades!$T$8="Heliopause",POWER(Upgrades!$U$8,G102),1)*IF(Upgrades!$T$9="Heliopause",POWER(Upgrades!$U$9,H102),1)*IF(Upgrades!$T$10="Heliopause",POWER(Upgrades!$U$10,I102),1)*IF(Upgrades!$T$12="Heliopause",POWER(Upgrades!$U$12,K102),1))+(IF(K102=0,0,(Upgrades!$G$12+K102*Upgrades!$H$12)*POWER(Upgrades!$I$12,K102)))*(IF(Upgrades!$T$6="First Photons",POWER(Upgrades!$U$6,E102),1)*IF(Upgrades!$T$7="First Photons",POWER(Upgrades!$U$7,F102),1)*IF(Upgrades!$T$8="First Photons",POWER(Upgrades!$U$8,G102),1)*IF(Upgrades!$T$9="First Photons",POWER(Upgrades!$U$9,H102),1)*IF(Upgrades!$T$10="First Photons",POWER(Upgrades!$U$10,I102),1)*IF(Upgrades!$T$11="First Photons",POWER(Upgrades!$U$11,J102),1)))*POWER(Upgrades!$P$6,E102)*POWER(Upgrades!$P$7,F102)*POWER(Upgrades!$P$8,G102)*POWER(Upgrades!$P$9,H102)*POWER(Upgrades!$P$10,I102)*POWER(Upgrades!$P$11,J102)*POWER(Upgrades!$P$12,K102)</f>
        <v/>
      </c>
      <c r="O102" s="28">
        <f>((IF(E102=0,0,(Upgrades!$M$6+E102*Upgrades!$N$6)*POWER(Upgrades!$O$6,E102)))*(IF(Upgrades!$T$7="Solar Wind",POWER(Upgrades!$U$7,F102),1)*IF(Upgrades!$T$8="Solar Wind",POWER(Upgrades!$U$8,G102),1)*IF(Upgrades!$T$9="Solar Wind",POWER(Upgrades!$U$9,H102),1)*IF(Upgrades!$T$10="Solar Wind",POWER(Upgrades!$U$10,I102),1)*IF(Upgrades!$T$11="Solar Wind",POWER(Upgrades!$U$11,J102),1)*IF(Upgrades!$T$12="Solar Wind",POWER(Upgrades!$U$12,K102),1))+(IF(F102=0,0,(Upgrades!$M$7+F102*Upgrades!$N$7)*POWER(Upgrades!$O$7,F102)))*(IF(Upgrades!$T$6="Asteroid Belt",POWER(Upgrades!$U$6,E102),1)*IF(Upgrades!$T$8="Asteroid Belt",POWER(Upgrades!$U$8,G102),1)*IF(Upgrades!$T$9="Asteroid Belt",POWER(Upgrades!$U$9,H102),1)*IF(Upgrades!$T$10="Asteroid Belt",POWER(Upgrades!$U$10,I102),1)*IF(Upgrades!$T$11="Asteroid Belt",POWER(Upgrades!$U$11,J102),1)*IF(Upgrades!$T$12="Asteroid Belt",POWER(Upgrades!$U$12,K102),1))+(IF(G102=0,0,(Upgrades!$M$8+G102*Upgrades!$N$8)*POWER(Upgrades!$O$8,G102)))*(IF(Upgrades!$T$6="Stellar Coupling",POWER(Upgrades!$U$6,E102),1)*IF(Upgrades!$T$7="Stellar Coupling",POWER(Upgrades!$U$7,F102),1)*IF(Upgrades!$T$9="Stellar Coupling",POWER(Upgrades!$U$9,H102),1)*IF(Upgrades!$T$10="Stellar Coupling",POWER(Upgrades!$U$10,I102),1)*IF(Upgrades!$T$11="Stellar Coupling",POWER(Upgrades!$U$11,J102),1)*IF(Upgrades!$T$12="Stellar Coupling",POWER(Upgrades!$U$12,K102),1))+(IF(H102=0,0,(Upgrades!$M$9+H102*Upgrades!$N$9)*POWER(Upgrades!$O$9,H102)))*(IF(Upgrades!$T$6="Magnetosphere",POWER(Upgrades!$U$6,E102),1)*IF(Upgrades!$T$7="Magnetosphere",POWER(Upgrades!$U$7,F102),1)*IF(Upgrades!$T$8="Magnetosphere",POWER(Upgrades!$U$8,G102),1)*IF(Upgrades!$T$10="Magnetosphere",POWER(Upgrades!$U$10,I102),1)*IF(Upgrades!$T$11="Magnetosphere",POWER(Upgrades!$U$11,J102),1)*IF(Upgrades!$T$12="Magnetosphere",POWER(Upgrades!$U$12,K102),1))+(IF(I102=0,0,(Upgrades!$M$10+I102*Upgrades!$N$10)*POWER(Upgrades!$O$10,I102)))*(IF(Upgrades!$T$6="Orbital Resonance",POWER(Upgrades!$U$6,E102),1)*IF(Upgrades!$T$7="Orbital Resonance",POWER(Upgrades!$U$7,F102),1)*IF(Upgrades!$T$8="Orbital Resonance",POWER(Upgrades!$U$8,G102),1)*IF(Upgrades!$T$9="Orbital Resonance",POWER(Upgrades!$U$9,H102),1)*IF(Upgrades!$T$11="Orbital Resonance",POWER(Upgrades!$U$11,J102),1)*IF(Upgrades!$T$12="Orbital Resonance",POWER(Upgrades!$U$12,K102),1))+(IF(J102=0,0,(Upgrades!$M$11+J102*Upgrades!$N$11)*POWER(Upgrades!$O$11,J102)))*(IF(Upgrades!$T$6="Heliopause",POWER(Upgrades!$U$6,E102),1)*IF(Upgrades!$T$7="Heliopause",POWER(Upgrades!$U$7,F102),1)*IF(Upgrades!$T$8="Heliopause",POWER(Upgrades!$U$8,G102),1)*IF(Upgrades!$T$9="Heliopause",POWER(Upgrades!$U$9,H102),1)*IF(Upgrades!$T$10="Heliopause",POWER(Upgrades!$U$10,I102),1)*IF(Upgrades!$T$12="Heliopause",POWER(Upgrades!$U$12,K102),1))+(IF(K102=0,0,(Upgrades!$M$12+K102*Upgrades!$N$12)*POWER(Upgrades!$O$12,K102)))*(IF(Upgrades!$T$6="First Photons",POWER(Upgrades!$U$6,E102),1)*IF(Upgrades!$T$7="First Photons",POWER(Upgrades!$U$7,F102),1)*IF(Upgrades!$T$8="First Photons",POWER(Upgrades!$U$8,G102),1)*IF(Upgrades!$T$9="First Photons",POWER(Upgrades!$U$9,H102),1)*IF(Upgrades!$T$10="First Photons",POWER(Upgrades!$U$10,I102),1)*IF(Upgrades!$T$11="First Photons",POWER(Upgrades!$U$11,J102),1)))*POWER(Upgrades!$R$6,E102)*POWER(Upgrades!$R$7,F102)*POWER(Upgrades!$R$8,G102)*POWER(Upgrades!$R$9,H102)*POWER(Upgrades!$R$10,I102)*POWER(Upgrades!$R$11,J102)*POWER(Upgrades!$R$12,K102)</f>
        <v/>
      </c>
      <c r="P102" s="27">
        <f>IF(L102=1,0,M102*Parameters!$B$10/60*Parameters!$B$11*10)</f>
        <v/>
      </c>
      <c r="Q102" s="27">
        <f>IF(L102=1,0,O102*M102*10)</f>
        <v/>
      </c>
      <c r="R102" s="27">
        <f>IF(L102=1,0,N102*10)</f>
        <v/>
      </c>
      <c r="S102" s="27">
        <f>P102+Q102+R102</f>
        <v/>
      </c>
      <c r="T102" s="22">
        <f>C102+S102</f>
        <v/>
      </c>
      <c r="U102" s="33">
        <f>AX102</f>
        <v/>
      </c>
      <c r="V102" s="22">
        <f>IF(U102="",0,IF(U102="transition",0,IF(U102="SW",AG102,IF(U102="AB",AH102,IF(U102="SC",AI102,IF(U102="Mag",AJ102,IF(U102="OR",AK102,IF(U102="HP",AL102,IF(U102="FP",AM102,0)))))))))</f>
        <v/>
      </c>
      <c r="W102" s="27">
        <f>IF(U102="OR",Upgrades!$F$10,IF(U102="HP",Upgrades!$F$11,IF(U102="transition",-Parameters!$B$18,0)))</f>
        <v/>
      </c>
      <c r="X102" s="22">
        <f>T102-V102</f>
        <v/>
      </c>
      <c r="Y102" s="30">
        <f>M102*Parameters!$B$10/60*Parameters!$B$11+O102*M102+N102</f>
        <v/>
      </c>
      <c r="Z102" s="34">
        <f>IF(U102="transition","→ Tier 2 (Stellar Neighborhood)",IF(U102="FP","First Photons — light begins, system quickens",IF(U102="HP","Heliopause acquired",IF(U102="OR","Orbital Resonance — passive multiplier active",IF(AND(AO102=1,L102=0,AN102&lt;&gt;1),"Cohesion ready (waiting on completionist upgrades)","")))))</f>
        <v/>
      </c>
      <c r="AA102" s="27">
        <f>(IF(E102=0,0,(Upgrades!$G$6+E102*Upgrades!$H$6)*POWER(Upgrades!$I$6,E102)))*(IF(Upgrades!$T$7="Solar Wind",POWER(Upgrades!$U$7,F102),1)*IF(Upgrades!$T$8="Solar Wind",POWER(Upgrades!$U$8,G102),1)*IF(Upgrades!$T$9="Solar Wind",POWER(Upgrades!$U$9,H102),1)*IF(Upgrades!$T$10="Solar Wind",POWER(Upgrades!$U$10,I102),1)*IF(Upgrades!$T$11="Solar Wind",POWER(Upgrades!$U$11,J102),1)*IF(Upgrades!$T$12="Solar Wind",POWER(Upgrades!$U$12,K102),1))*POWER(Upgrades!$P$6,E102)*POWER(Upgrades!$P$7,F102)*POWER(Upgrades!$P$8,G102)*POWER(Upgrades!$P$9,H102)*POWER(Upgrades!$P$10,I102)*POWER(Upgrades!$P$11,J102)*POWER(Upgrades!$P$12,K102)*60</f>
        <v/>
      </c>
      <c r="AB102" s="27">
        <f>(IF(F102=0,0,(Upgrades!$G$7+F102*Upgrades!$H$7)*POWER(Upgrades!$I$7,F102)))*(IF(Upgrades!$T$6="Asteroid Belt",POWER(Upgrades!$U$6,E102),1)*IF(Upgrades!$T$8="Asteroid Belt",POWER(Upgrades!$U$8,G102),1)*IF(Upgrades!$T$9="Asteroid Belt",POWER(Upgrades!$U$9,H102),1)*IF(Upgrades!$T$10="Asteroid Belt",POWER(Upgrades!$U$10,I102),1)*IF(Upgrades!$T$11="Asteroid Belt",POWER(Upgrades!$U$11,J102),1)*IF(Upgrades!$T$12="Asteroid Belt",POWER(Upgrades!$U$12,K102),1))*POWER(Upgrades!$P$6,E102)*POWER(Upgrades!$P$7,F102)*POWER(Upgrades!$P$8,G102)*POWER(Upgrades!$P$9,H102)*POWER(Upgrades!$P$10,I102)*POWER(Upgrades!$P$11,J102)*POWER(Upgrades!$P$12,K102)*60</f>
        <v/>
      </c>
      <c r="AC102" s="27">
        <f>(IF(G102=0,0,(Upgrades!$J$8+G102*Upgrades!$K$8)*POWER(Upgrades!$L$8,G102)))*(IF(Upgrades!$T$6="Stellar Coupling",POWER(Upgrades!$U$6,E102),1)*IF(Upgrades!$T$7="Stellar Coupling",POWER(Upgrades!$U$7,F102),1)*IF(Upgrades!$T$9="Stellar Coupling",POWER(Upgrades!$U$9,H102),1)*IF(Upgrades!$T$10="Stellar Coupling",POWER(Upgrades!$U$10,I102),1)*IF(Upgrades!$T$11="Stellar Coupling",POWER(Upgrades!$U$11,J102),1)*IF(Upgrades!$T$12="Stellar Coupling",POWER(Upgrades!$U$12,K102),1))*POWER(Upgrades!$Q$6,E102)*POWER(Upgrades!$Q$7,F102)*POWER(Upgrades!$Q$8,G102)*POWER(Upgrades!$Q$9,H102)*POWER(Upgrades!$Q$10,I102)*POWER(Upgrades!$Q$11,J102)*POWER(Upgrades!$Q$12,K102)*Parameters!$B$10*Parameters!$B$11</f>
        <v/>
      </c>
      <c r="AD102" s="27">
        <f>(IF(H102=0,0,(Upgrades!$G$9+H102*Upgrades!$H$9)*POWER(Upgrades!$I$9,H102)))*(IF(Upgrades!$T$6="Magnetosphere",POWER(Upgrades!$U$6,E102),1)*IF(Upgrades!$T$7="Magnetosphere",POWER(Upgrades!$U$7,F102),1)*IF(Upgrades!$T$8="Magnetosphere",POWER(Upgrades!$U$8,G102),1)*IF(Upgrades!$T$10="Magnetosphere",POWER(Upgrades!$U$10,I102),1)*IF(Upgrades!$T$11="Magnetosphere",POWER(Upgrades!$U$11,J102),1)*IF(Upgrades!$T$12="Magnetosphere",POWER(Upgrades!$U$12,K102),1))*POWER(Upgrades!$P$6,E102)*POWER(Upgrades!$P$7,F102)*POWER(Upgrades!$P$8,G102)*POWER(Upgrades!$P$9,H102)*POWER(Upgrades!$P$10,I102)*POWER(Upgrades!$P$11,J102)*POWER(Upgrades!$P$12,K102)*60</f>
        <v/>
      </c>
      <c r="AE102" s="27">
        <f>(IF(K102=0,0,(Upgrades!$G$12+K102*Upgrades!$H$12)*POWER(Upgrades!$I$12,K102)))*(IF(Upgrades!$T$6="First Photons",POWER(Upgrades!$U$6,E102),1)*IF(Upgrades!$T$7="First Photons",POWER(Upgrades!$U$7,F102),1)*IF(Upgrades!$T$8="First Photons",POWER(Upgrades!$U$8,G102),1)*IF(Upgrades!$T$9="First Photons",POWER(Upgrades!$U$9,H102),1)*IF(Upgrades!$T$10="First Photons",POWER(Upgrades!$U$10,I102),1)*IF(Upgrades!$T$11="First Photons",POWER(Upgrades!$U$11,J102),1))*POWER(Upgrades!$P$6,E102)*POWER(Upgrades!$P$7,F102)*POWER(Upgrades!$P$8,G102)*POWER(Upgrades!$P$9,H102)*POWER(Upgrades!$P$10,I102)*POWER(Upgrades!$P$11,J102)*POWER(Upgrades!$P$12,K102)*60</f>
        <v/>
      </c>
      <c r="AF102" s="27">
        <f>Parameters!$B$9*POWER(Upgrades!$Q$6,E102)*POWER(Upgrades!$Q$7,F102)*POWER(Upgrades!$Q$8,G102)*POWER(Upgrades!$Q$9,H102)*POWER(Upgrades!$Q$10,I102)*POWER(Upgrades!$Q$11,J102)*POWER(Upgrades!$Q$12,K102)*(Parameters!$B$10*Parameters!$B$11+O102*60)</f>
        <v/>
      </c>
      <c r="AG102" s="22">
        <f>IF(E102&gt;=Upgrades!$E$6,"",Upgrades!$C$6*POWER(Upgrades!$D$6,E102))</f>
        <v/>
      </c>
      <c r="AH102" s="22">
        <f>IF(F102&gt;=Upgrades!$E$7,"",Upgrades!$C$7*POWER(Upgrades!$D$7,F102))</f>
        <v/>
      </c>
      <c r="AI102" s="22">
        <f>IF(G102&gt;=Upgrades!$E$8,"",Upgrades!$C$8*POWER(Upgrades!$D$8,G102))</f>
        <v/>
      </c>
      <c r="AJ102" s="22">
        <f>IF(H102&gt;=Upgrades!$E$9,"",Upgrades!$C$9*POWER(Upgrades!$D$9,H102))</f>
        <v/>
      </c>
      <c r="AK102" s="22">
        <f>IF(I102&gt;=Upgrades!$E$10,"",Upgrades!$C$10*POWER(Upgrades!$D$10,I102))</f>
        <v/>
      </c>
      <c r="AL102" s="22">
        <f>IF(J102&gt;=Upgrades!$E$11,"",Upgrades!$C$11*POWER(Upgrades!$D$11,J102))</f>
        <v/>
      </c>
      <c r="AM102" s="22">
        <f>IF(K102&gt;=Upgrades!$E$12,"",Upgrades!$C$12*POWER(Upgrades!$D$12,K102))</f>
        <v/>
      </c>
      <c r="AN102" s="26">
        <f>IF(AND(D102&gt;=Parameters!$B$18,(H102&gt;=Upgrades!$E$9)*(K102&gt;=Upgrades!$E$12)=1,L102=0),1,"")</f>
        <v/>
      </c>
      <c r="AO102" s="26">
        <f>IF(AND(D102&gt;=Parameters!$B$18,L102=0),1,"")</f>
        <v/>
      </c>
      <c r="AP102" s="22">
        <f>MIN(IF(ISNUMBER(AK102),AK102,9E15),IF(ISNUMBER(AL102),AL102,9E15),IF(ISNUMBER(AM102),AM102,9E15))</f>
        <v/>
      </c>
      <c r="AQ102" s="22">
        <f>MIN(IF(ISNUMBER(AG102),AG102,9E15),IF(ISNUMBER(AH102),AH102,9E15),IF(ISNUMBER(AI102),AI102,9E15),IF(ISNUMBER(AJ102),AJ102,9E15))</f>
        <v/>
      </c>
      <c r="AR102" s="29">
        <f>IF(AW102&gt;Parameters!$B$21*(MAX(IF(AND(NOT(AND(AO102=1,AN102&lt;&gt;1)),ISNUMBER(AG102),AG102&lt;=T102),AS102,0),IF(AND(NOT(AND(AO102=1,AN102&lt;&gt;1)),ISNUMBER(AH102),AH102&lt;=T102),AT102,0),IF(AND(NOT(AND(AO102=1,AN102&lt;&gt;1)),ISNUMBER(AI102),AI102&lt;=T102),AU102,0),IF(AND(ISNUMBER(AJ102),AJ102&lt;=T102),AV102,0))),TRUE,FALSE)</f>
        <v/>
      </c>
      <c r="AS102" s="32">
        <f>IFERROR(Upgrades!$H$6*(POWER(Upgrades!$P$6,E102)*POWER(Upgrades!$P$7,F102)*POWER(Upgrades!$P$8,G102)*POWER(Upgrades!$P$9,H102)*POWER(Upgrades!$P$10,I102)*POWER(Upgrades!$P$11,J102)*POWER(Upgrades!$P$12,K102))*(IF(Upgrades!$T$7="Solar Wind",POWER(Upgrades!$U$7,F102),1)*IF(Upgrades!$T$8="Solar Wind",POWER(Upgrades!$U$8,G102),1)*IF(Upgrades!$T$9="Solar Wind",POWER(Upgrades!$U$9,H102),1)*IF(Upgrades!$T$10="Solar Wind",POWER(Upgrades!$U$10,I102),1)*IF(Upgrades!$T$11="Solar Wind",POWER(Upgrades!$U$11,J102),1)*IF(Upgrades!$T$12="Solar Wind",POWER(Upgrades!$U$12,K102),1))/AG102,0)</f>
        <v/>
      </c>
      <c r="AT102" s="32">
        <f>IFERROR(Upgrades!$H$7*(POWER(Upgrades!$P$6,E102)*POWER(Upgrades!$P$7,F102)*POWER(Upgrades!$P$8,G102)*POWER(Upgrades!$P$9,H102)*POWER(Upgrades!$P$10,I102)*POWER(Upgrades!$P$11,J102)*POWER(Upgrades!$P$12,K102))*(IF(Upgrades!$T$6="Asteroid Belt",POWER(Upgrades!$U$6,E102),1)*IF(Upgrades!$T$8="Asteroid Belt",POWER(Upgrades!$U$8,G102),1)*IF(Upgrades!$T$9="Asteroid Belt",POWER(Upgrades!$U$9,H102),1)*IF(Upgrades!$T$10="Asteroid Belt",POWER(Upgrades!$U$10,I102),1)*IF(Upgrades!$T$11="Asteroid Belt",POWER(Upgrades!$U$11,J102),1)*IF(Upgrades!$T$12="Asteroid Belt",POWER(Upgrades!$U$12,K102),1))/AH102,0)</f>
        <v/>
      </c>
      <c r="AU102" s="32">
        <f>IFERROR(Upgrades!$K$8*(POWER(Upgrades!$Q$6,E102)*POWER(Upgrades!$Q$7,F102)*POWER(Upgrades!$Q$8,G102)*POWER(Upgrades!$Q$9,H102)*POWER(Upgrades!$Q$10,I102)*POWER(Upgrades!$Q$11,J102)*POWER(Upgrades!$Q$12,K102))*(IF(Upgrades!$T$6="Stellar Coupling",POWER(Upgrades!$U$6,E102),1)*IF(Upgrades!$T$7="Stellar Coupling",POWER(Upgrades!$U$7,F102),1)*IF(Upgrades!$T$9="Stellar Coupling",POWER(Upgrades!$U$9,H102),1)*IF(Upgrades!$T$10="Stellar Coupling",POWER(Upgrades!$U$10,I102),1)*IF(Upgrades!$T$11="Stellar Coupling",POWER(Upgrades!$U$11,J102),1)*IF(Upgrades!$T$12="Stellar Coupling",POWER(Upgrades!$U$12,K102),1))*Parameters!$B$10*Parameters!$B$11/60/AI102,0)</f>
        <v/>
      </c>
      <c r="AV102" s="32">
        <f>IFERROR(Upgrades!$H$9*(POWER(Upgrades!$P$6,E102)*POWER(Upgrades!$P$7,F102)*POWER(Upgrades!$P$8,G102)*POWER(Upgrades!$P$9,H102)*POWER(Upgrades!$P$10,I102)*POWER(Upgrades!$P$11,J102)*POWER(Upgrades!$P$12,K102))*(IF(Upgrades!$T$6="Magnetosphere",POWER(Upgrades!$U$6,E102),1)*IF(Upgrades!$T$7="Magnetosphere",POWER(Upgrades!$U$7,F102),1)*IF(Upgrades!$T$8="Magnetosphere",POWER(Upgrades!$U$8,G102),1)*IF(Upgrades!$T$10="Magnetosphere",POWER(Upgrades!$U$10,I102),1)*IF(Upgrades!$T$11="Magnetosphere",POWER(Upgrades!$U$11,J102),1)*IF(Upgrades!$T$12="Magnetosphere",POWER(Upgrades!$U$12,K102),1))/AJ102,0)</f>
        <v/>
      </c>
      <c r="AW102" s="32">
        <f>MAX(IF(I102&gt;0,0,IFERROR(0.25*N102/Upgrades!$C$10,0)),IF(J102&gt;0,0,IFERROR(0.5*((IF(G102=0,0,(Upgrades!$J$8+G102*Upgrades!$K$8)*POWER(Upgrades!$L$8,G102)))*(IF(Upgrades!$T$6="Stellar Coupling",POWER(Upgrades!$U$6,E102),1)*IF(Upgrades!$T$7="Stellar Coupling",POWER(Upgrades!$U$7,F102),1)*IF(Upgrades!$T$9="Stellar Coupling",POWER(Upgrades!$U$9,H102),1)*IF(Upgrades!$T$10="Stellar Coupling",POWER(Upgrades!$U$10,I102),1)*IF(Upgrades!$T$11="Stellar Coupling",POWER(Upgrades!$U$11,J102),1)*IF(Upgrades!$T$12="Stellar Coupling",POWER(Upgrades!$U$12,K102),1))*(POWER(Upgrades!$Q$6,E102)*POWER(Upgrades!$Q$7,F102)*POWER(Upgrades!$Q$8,G102)*POWER(Upgrades!$Q$9,H102)*POWER(Upgrades!$Q$10,I102)*POWER(Upgrades!$Q$11,J102)*POWER(Upgrades!$Q$12,K102))*Parameters!$B$10*Parameters!$B$11/60)/Upgrades!$C$11,0)),IF(K102&gt;0,0,IFERROR((1.0*(POWER(Upgrades!$P$6,E102)*POWER(Upgrades!$P$7,F102)*POWER(Upgrades!$P$8,G102)*POWER(Upgrades!$P$9,H102)*POWER(Upgrades!$P$10,I102)*POWER(Upgrades!$P$11,J102)*POWER(Upgrades!$P$12,K102))+0.20*M102*Parameters!$B$10*Parameters!$B$11/60)/Upgrades!$C$12,0)),IF(AND(ISNUMBER(AG102),AG102&gt;T102),AS102,0),IF(AND(ISNUMBER(AH102),AH102&gt;T102),AT102,0),IF(AND(ISNUMBER(AI102),AI102&gt;T102),AU102,0),IF(AND(ISNUMBER(AJ102),AJ102&gt;T102),AV102,0))</f>
        <v/>
      </c>
      <c r="AX102" s="29">
        <f>IF(AN102=1,"transition",IF(MIN(IF(AND(I102=0,ISNUMBER(AK102),AK102&lt;=T102),AK102,9E15),IF(AND(J102=0,ISNUMBER(AL102),AL102&lt;=T102),AL102,9E15),IF(AND(K102=0,ISNUMBER(AM102),AM102&lt;=T102),AM102,9E15))&lt;9E15,IF(AND(AND(I102=0,ISNUMBER(AK102),AK102&lt;=T102),AK102=MIN(IF(AND(I102=0,ISNUMBER(AK102),AK102&lt;=T102),AK102,9E15),IF(AND(J102=0,ISNUMBER(AL102),AL102&lt;=T102),AL102,9E15),IF(AND(K102=0,ISNUMBER(AM102),AM102&lt;=T102),AM102,9E15))),"OR",IF(AND(AND(J102=0,ISNUMBER(AL102),AL102&lt;=T102),AL102=MIN(IF(AND(I102=0,ISNUMBER(AK102),AK102&lt;=T102),AK102,9E15),IF(AND(J102=0,ISNUMBER(AL102),AL102&lt;=T102),AL102,9E15),IF(AND(K102=0,ISNUMBER(AM102),AM102&lt;=T102),AM102,9E15))),"HP","FP")),IF(AR102=TRUE,"",IF(MAX(IF(AND(NOT(AND(AO102=1,AN102&lt;&gt;1)),ISNUMBER(AG102),AG102&lt;=T102),AS102,0),IF(AND(NOT(AND(AO102=1,AN102&lt;&gt;1)),ISNUMBER(AH102),AH102&lt;=T102),AT102,0),IF(AND(NOT(AND(AO102=1,AN102&lt;&gt;1)),ISNUMBER(AI102),AI102&lt;=T102),AU102,0),IF(AND(ISNUMBER(AJ102),AJ102&lt;=T102),AV102,0))&lt;=0,"",IF(AND(IF(AND(NOT(AND(AO102=1,AN102&lt;&gt;1)),ISNUMBER(AG102),AG102&lt;=T102),AS102,0)&gt;0,IF(AND(NOT(AND(AO102=1,AN102&lt;&gt;1)),ISNUMBER(AG102),AG102&lt;=T102),AS102,0)=MAX(IF(AND(NOT(AND(AO102=1,AN102&lt;&gt;1)),ISNUMBER(AG102),AG102&lt;=T102),AS102,0),IF(AND(NOT(AND(AO102=1,AN102&lt;&gt;1)),ISNUMBER(AH102),AH102&lt;=T102),AT102,0),IF(AND(NOT(AND(AO102=1,AN102&lt;&gt;1)),ISNUMBER(AI102),AI102&lt;=T102),AU102,0),IF(AND(ISNUMBER(AJ102),AJ102&lt;=T102),AV102,0))),"SW",IF(AND(IF(AND(NOT(AND(AO102=1,AN102&lt;&gt;1)),ISNUMBER(AH102),AH102&lt;=T102),AT102,0)&gt;0,IF(AND(NOT(AND(AO102=1,AN102&lt;&gt;1)),ISNUMBER(AH102),AH102&lt;=T102),AT102,0)=MAX(IF(AND(NOT(AND(AO102=1,AN102&lt;&gt;1)),ISNUMBER(AG102),AG102&lt;=T102),AS102,0),IF(AND(NOT(AND(AO102=1,AN102&lt;&gt;1)),ISNUMBER(AH102),AH102&lt;=T102),AT102,0),IF(AND(NOT(AND(AO102=1,AN102&lt;&gt;1)),ISNUMBER(AI102),AI102&lt;=T102),AU102,0),IF(AND(ISNUMBER(AJ102),AJ102&lt;=T102),AV102,0))),"AB",IF(AND(IF(AND(NOT(AND(AO102=1,AN102&lt;&gt;1)),ISNUMBER(AI102),AI102&lt;=T102),AU102,0)&gt;0,IF(AND(NOT(AND(AO102=1,AN102&lt;&gt;1)),ISNUMBER(AI102),AI102&lt;=T102),AU102,0)=MAX(IF(AND(NOT(AND(AO102=1,AN102&lt;&gt;1)),ISNUMBER(AG102),AG102&lt;=T102),AS102,0),IF(AND(NOT(AND(AO102=1,AN102&lt;&gt;1)),ISNUMBER(AH102),AH102&lt;=T102),AT102,0),IF(AND(NOT(AND(AO102=1,AN102&lt;&gt;1)),ISNUMBER(AI102),AI102&lt;=T102),AU102,0),IF(AND(ISNUMBER(AJ102),AJ102&lt;=T102),AV102,0))),"SC","Mag")))))))</f>
        <v/>
      </c>
    </row>
    <row r="103">
      <c r="A103" s="26" t="n">
        <v>98</v>
      </c>
      <c r="B103" s="27">
        <f>A103*10/60</f>
        <v/>
      </c>
      <c r="C103" s="22">
        <f>X102</f>
        <v/>
      </c>
      <c r="D103" s="27">
        <f>D102+W102</f>
        <v/>
      </c>
      <c r="E103" s="26">
        <f>E102+IF(U102="SW",1,0)</f>
        <v/>
      </c>
      <c r="F103" s="26">
        <f>F102+IF(U102="AB",1,0)</f>
        <v/>
      </c>
      <c r="G103" s="26">
        <f>G102+IF(U102="SC",1,0)</f>
        <v/>
      </c>
      <c r="H103" s="26">
        <f>H102+IF(U102="Mag",1,0)</f>
        <v/>
      </c>
      <c r="I103" s="26">
        <f>MAX(I102,IF(U102="OR",1,0))</f>
        <v/>
      </c>
      <c r="J103" s="26">
        <f>MAX(J102,IF(U102="HP",1,0))</f>
        <v/>
      </c>
      <c r="K103" s="26">
        <f>MAX(K102,IF(U102="FP",1,0))</f>
        <v/>
      </c>
      <c r="L103" s="26">
        <f>MAX(L102,IF(U102="transition",1,0))</f>
        <v/>
      </c>
      <c r="M103" s="28">
        <f>(Parameters!$B$9+(IF(E103=0,0,(Upgrades!$J$6+E103*Upgrades!$K$6)*POWER(Upgrades!$L$6,E103)))*(IF(Upgrades!$T$7="Solar Wind",POWER(Upgrades!$U$7,F103),1)*IF(Upgrades!$T$8="Solar Wind",POWER(Upgrades!$U$8,G103),1)*IF(Upgrades!$T$9="Solar Wind",POWER(Upgrades!$U$9,H103),1)*IF(Upgrades!$T$10="Solar Wind",POWER(Upgrades!$U$10,I103),1)*IF(Upgrades!$T$11="Solar Wind",POWER(Upgrades!$U$11,J103),1)*IF(Upgrades!$T$12="Solar Wind",POWER(Upgrades!$U$12,K103),1))+(IF(F103=0,0,(Upgrades!$J$7+F103*Upgrades!$K$7)*POWER(Upgrades!$L$7,F103)))*(IF(Upgrades!$T$6="Asteroid Belt",POWER(Upgrades!$U$6,E103),1)*IF(Upgrades!$T$8="Asteroid Belt",POWER(Upgrades!$U$8,G103),1)*IF(Upgrades!$T$9="Asteroid Belt",POWER(Upgrades!$U$9,H103),1)*IF(Upgrades!$T$10="Asteroid Belt",POWER(Upgrades!$U$10,I103),1)*IF(Upgrades!$T$11="Asteroid Belt",POWER(Upgrades!$U$11,J103),1)*IF(Upgrades!$T$12="Asteroid Belt",POWER(Upgrades!$U$12,K103),1))+(IF(G103=0,0,(Upgrades!$J$8+G103*Upgrades!$K$8)*POWER(Upgrades!$L$8,G103)))*(IF(Upgrades!$T$6="Stellar Coupling",POWER(Upgrades!$U$6,E103),1)*IF(Upgrades!$T$7="Stellar Coupling",POWER(Upgrades!$U$7,F103),1)*IF(Upgrades!$T$9="Stellar Coupling",POWER(Upgrades!$U$9,H103),1)*IF(Upgrades!$T$10="Stellar Coupling",POWER(Upgrades!$U$10,I103),1)*IF(Upgrades!$T$11="Stellar Coupling",POWER(Upgrades!$U$11,J103),1)*IF(Upgrades!$T$12="Stellar Coupling",POWER(Upgrades!$U$12,K103),1))+(IF(H103=0,0,(Upgrades!$J$9+H103*Upgrades!$K$9)*POWER(Upgrades!$L$9,H103)))*(IF(Upgrades!$T$6="Magnetosphere",POWER(Upgrades!$U$6,E103),1)*IF(Upgrades!$T$7="Magnetosphere",POWER(Upgrades!$U$7,F103),1)*IF(Upgrades!$T$8="Magnetosphere",POWER(Upgrades!$U$8,G103),1)*IF(Upgrades!$T$10="Magnetosphere",POWER(Upgrades!$U$10,I103),1)*IF(Upgrades!$T$11="Magnetosphere",POWER(Upgrades!$U$11,J103),1)*IF(Upgrades!$T$12="Magnetosphere",POWER(Upgrades!$U$12,K103),1))+(IF(I103=0,0,(Upgrades!$J$10+I103*Upgrades!$K$10)*POWER(Upgrades!$L$10,I103)))*(IF(Upgrades!$T$6="Orbital Resonance",POWER(Upgrades!$U$6,E103),1)*IF(Upgrades!$T$7="Orbital Resonance",POWER(Upgrades!$U$7,F103),1)*IF(Upgrades!$T$8="Orbital Resonance",POWER(Upgrades!$U$8,G103),1)*IF(Upgrades!$T$9="Orbital Resonance",POWER(Upgrades!$U$9,H103),1)*IF(Upgrades!$T$11="Orbital Resonance",POWER(Upgrades!$U$11,J103),1)*IF(Upgrades!$T$12="Orbital Resonance",POWER(Upgrades!$U$12,K103),1))+(IF(J103=0,0,(Upgrades!$J$11+J103*Upgrades!$K$11)*POWER(Upgrades!$L$11,J103)))*(IF(Upgrades!$T$6="Heliopause",POWER(Upgrades!$U$6,E103),1)*IF(Upgrades!$T$7="Heliopause",POWER(Upgrades!$U$7,F103),1)*IF(Upgrades!$T$8="Heliopause",POWER(Upgrades!$U$8,G103),1)*IF(Upgrades!$T$9="Heliopause",POWER(Upgrades!$U$9,H103),1)*IF(Upgrades!$T$10="Heliopause",POWER(Upgrades!$U$10,I103),1)*IF(Upgrades!$T$12="Heliopause",POWER(Upgrades!$U$12,K103),1))+(IF(K103=0,0,(Upgrades!$J$12+K103*Upgrades!$K$12)*POWER(Upgrades!$L$12,K103)))*(IF(Upgrades!$T$6="First Photons",POWER(Upgrades!$U$6,E103),1)*IF(Upgrades!$T$7="First Photons",POWER(Upgrades!$U$7,F103),1)*IF(Upgrades!$T$8="First Photons",POWER(Upgrades!$U$8,G103),1)*IF(Upgrades!$T$9="First Photons",POWER(Upgrades!$U$9,H103),1)*IF(Upgrades!$T$10="First Photons",POWER(Upgrades!$U$10,I103),1)*IF(Upgrades!$T$11="First Photons",POWER(Upgrades!$U$11,J103),1)))*POWER(Upgrades!$Q$6,E103)*POWER(Upgrades!$Q$7,F103)*POWER(Upgrades!$Q$8,G103)*POWER(Upgrades!$Q$9,H103)*POWER(Upgrades!$Q$10,I103)*POWER(Upgrades!$Q$11,J103)*POWER(Upgrades!$Q$12,K103)</f>
        <v/>
      </c>
      <c r="N103" s="28">
        <f>((IF(E103=0,0,(Upgrades!$G$6+E103*Upgrades!$H$6)*POWER(Upgrades!$I$6,E103)))*(IF(Upgrades!$T$7="Solar Wind",POWER(Upgrades!$U$7,F103),1)*IF(Upgrades!$T$8="Solar Wind",POWER(Upgrades!$U$8,G103),1)*IF(Upgrades!$T$9="Solar Wind",POWER(Upgrades!$U$9,H103),1)*IF(Upgrades!$T$10="Solar Wind",POWER(Upgrades!$U$10,I103),1)*IF(Upgrades!$T$11="Solar Wind",POWER(Upgrades!$U$11,J103),1)*IF(Upgrades!$T$12="Solar Wind",POWER(Upgrades!$U$12,K103),1))+(IF(F103=0,0,(Upgrades!$G$7+F103*Upgrades!$H$7)*POWER(Upgrades!$I$7,F103)))*(IF(Upgrades!$T$6="Asteroid Belt",POWER(Upgrades!$U$6,E103),1)*IF(Upgrades!$T$8="Asteroid Belt",POWER(Upgrades!$U$8,G103),1)*IF(Upgrades!$T$9="Asteroid Belt",POWER(Upgrades!$U$9,H103),1)*IF(Upgrades!$T$10="Asteroid Belt",POWER(Upgrades!$U$10,I103),1)*IF(Upgrades!$T$11="Asteroid Belt",POWER(Upgrades!$U$11,J103),1)*IF(Upgrades!$T$12="Asteroid Belt",POWER(Upgrades!$U$12,K103),1))+(IF(G103=0,0,(Upgrades!$G$8+G103*Upgrades!$H$8)*POWER(Upgrades!$I$8,G103)))*(IF(Upgrades!$T$6="Stellar Coupling",POWER(Upgrades!$U$6,E103),1)*IF(Upgrades!$T$7="Stellar Coupling",POWER(Upgrades!$U$7,F103),1)*IF(Upgrades!$T$9="Stellar Coupling",POWER(Upgrades!$U$9,H103),1)*IF(Upgrades!$T$10="Stellar Coupling",POWER(Upgrades!$U$10,I103),1)*IF(Upgrades!$T$11="Stellar Coupling",POWER(Upgrades!$U$11,J103),1)*IF(Upgrades!$T$12="Stellar Coupling",POWER(Upgrades!$U$12,K103),1))+(IF(H103=0,0,(Upgrades!$G$9+H103*Upgrades!$H$9)*POWER(Upgrades!$I$9,H103)))*(IF(Upgrades!$T$6="Magnetosphere",POWER(Upgrades!$U$6,E103),1)*IF(Upgrades!$T$7="Magnetosphere",POWER(Upgrades!$U$7,F103),1)*IF(Upgrades!$T$8="Magnetosphere",POWER(Upgrades!$U$8,G103),1)*IF(Upgrades!$T$10="Magnetosphere",POWER(Upgrades!$U$10,I103),1)*IF(Upgrades!$T$11="Magnetosphere",POWER(Upgrades!$U$11,J103),1)*IF(Upgrades!$T$12="Magnetosphere",POWER(Upgrades!$U$12,K103),1))+(IF(I103=0,0,(Upgrades!$G$10+I103*Upgrades!$H$10)*POWER(Upgrades!$I$10,I103)))*(IF(Upgrades!$T$6="Orbital Resonance",POWER(Upgrades!$U$6,E103),1)*IF(Upgrades!$T$7="Orbital Resonance",POWER(Upgrades!$U$7,F103),1)*IF(Upgrades!$T$8="Orbital Resonance",POWER(Upgrades!$U$8,G103),1)*IF(Upgrades!$T$9="Orbital Resonance",POWER(Upgrades!$U$9,H103),1)*IF(Upgrades!$T$11="Orbital Resonance",POWER(Upgrades!$U$11,J103),1)*IF(Upgrades!$T$12="Orbital Resonance",POWER(Upgrades!$U$12,K103),1))+(IF(J103=0,0,(Upgrades!$G$11+J103*Upgrades!$H$11)*POWER(Upgrades!$I$11,J103)))*(IF(Upgrades!$T$6="Heliopause",POWER(Upgrades!$U$6,E103),1)*IF(Upgrades!$T$7="Heliopause",POWER(Upgrades!$U$7,F103),1)*IF(Upgrades!$T$8="Heliopause",POWER(Upgrades!$U$8,G103),1)*IF(Upgrades!$T$9="Heliopause",POWER(Upgrades!$U$9,H103),1)*IF(Upgrades!$T$10="Heliopause",POWER(Upgrades!$U$10,I103),1)*IF(Upgrades!$T$12="Heliopause",POWER(Upgrades!$U$12,K103),1))+(IF(K103=0,0,(Upgrades!$G$12+K103*Upgrades!$H$12)*POWER(Upgrades!$I$12,K103)))*(IF(Upgrades!$T$6="First Photons",POWER(Upgrades!$U$6,E103),1)*IF(Upgrades!$T$7="First Photons",POWER(Upgrades!$U$7,F103),1)*IF(Upgrades!$T$8="First Photons",POWER(Upgrades!$U$8,G103),1)*IF(Upgrades!$T$9="First Photons",POWER(Upgrades!$U$9,H103),1)*IF(Upgrades!$T$10="First Photons",POWER(Upgrades!$U$10,I103),1)*IF(Upgrades!$T$11="First Photons",POWER(Upgrades!$U$11,J103),1)))*POWER(Upgrades!$P$6,E103)*POWER(Upgrades!$P$7,F103)*POWER(Upgrades!$P$8,G103)*POWER(Upgrades!$P$9,H103)*POWER(Upgrades!$P$10,I103)*POWER(Upgrades!$P$11,J103)*POWER(Upgrades!$P$12,K103)</f>
        <v/>
      </c>
      <c r="O103" s="28">
        <f>((IF(E103=0,0,(Upgrades!$M$6+E103*Upgrades!$N$6)*POWER(Upgrades!$O$6,E103)))*(IF(Upgrades!$T$7="Solar Wind",POWER(Upgrades!$U$7,F103),1)*IF(Upgrades!$T$8="Solar Wind",POWER(Upgrades!$U$8,G103),1)*IF(Upgrades!$T$9="Solar Wind",POWER(Upgrades!$U$9,H103),1)*IF(Upgrades!$T$10="Solar Wind",POWER(Upgrades!$U$10,I103),1)*IF(Upgrades!$T$11="Solar Wind",POWER(Upgrades!$U$11,J103),1)*IF(Upgrades!$T$12="Solar Wind",POWER(Upgrades!$U$12,K103),1))+(IF(F103=0,0,(Upgrades!$M$7+F103*Upgrades!$N$7)*POWER(Upgrades!$O$7,F103)))*(IF(Upgrades!$T$6="Asteroid Belt",POWER(Upgrades!$U$6,E103),1)*IF(Upgrades!$T$8="Asteroid Belt",POWER(Upgrades!$U$8,G103),1)*IF(Upgrades!$T$9="Asteroid Belt",POWER(Upgrades!$U$9,H103),1)*IF(Upgrades!$T$10="Asteroid Belt",POWER(Upgrades!$U$10,I103),1)*IF(Upgrades!$T$11="Asteroid Belt",POWER(Upgrades!$U$11,J103),1)*IF(Upgrades!$T$12="Asteroid Belt",POWER(Upgrades!$U$12,K103),1))+(IF(G103=0,0,(Upgrades!$M$8+G103*Upgrades!$N$8)*POWER(Upgrades!$O$8,G103)))*(IF(Upgrades!$T$6="Stellar Coupling",POWER(Upgrades!$U$6,E103),1)*IF(Upgrades!$T$7="Stellar Coupling",POWER(Upgrades!$U$7,F103),1)*IF(Upgrades!$T$9="Stellar Coupling",POWER(Upgrades!$U$9,H103),1)*IF(Upgrades!$T$10="Stellar Coupling",POWER(Upgrades!$U$10,I103),1)*IF(Upgrades!$T$11="Stellar Coupling",POWER(Upgrades!$U$11,J103),1)*IF(Upgrades!$T$12="Stellar Coupling",POWER(Upgrades!$U$12,K103),1))+(IF(H103=0,0,(Upgrades!$M$9+H103*Upgrades!$N$9)*POWER(Upgrades!$O$9,H103)))*(IF(Upgrades!$T$6="Magnetosphere",POWER(Upgrades!$U$6,E103),1)*IF(Upgrades!$T$7="Magnetosphere",POWER(Upgrades!$U$7,F103),1)*IF(Upgrades!$T$8="Magnetosphere",POWER(Upgrades!$U$8,G103),1)*IF(Upgrades!$T$10="Magnetosphere",POWER(Upgrades!$U$10,I103),1)*IF(Upgrades!$T$11="Magnetosphere",POWER(Upgrades!$U$11,J103),1)*IF(Upgrades!$T$12="Magnetosphere",POWER(Upgrades!$U$12,K103),1))+(IF(I103=0,0,(Upgrades!$M$10+I103*Upgrades!$N$10)*POWER(Upgrades!$O$10,I103)))*(IF(Upgrades!$T$6="Orbital Resonance",POWER(Upgrades!$U$6,E103),1)*IF(Upgrades!$T$7="Orbital Resonance",POWER(Upgrades!$U$7,F103),1)*IF(Upgrades!$T$8="Orbital Resonance",POWER(Upgrades!$U$8,G103),1)*IF(Upgrades!$T$9="Orbital Resonance",POWER(Upgrades!$U$9,H103),1)*IF(Upgrades!$T$11="Orbital Resonance",POWER(Upgrades!$U$11,J103),1)*IF(Upgrades!$T$12="Orbital Resonance",POWER(Upgrades!$U$12,K103),1))+(IF(J103=0,0,(Upgrades!$M$11+J103*Upgrades!$N$11)*POWER(Upgrades!$O$11,J103)))*(IF(Upgrades!$T$6="Heliopause",POWER(Upgrades!$U$6,E103),1)*IF(Upgrades!$T$7="Heliopause",POWER(Upgrades!$U$7,F103),1)*IF(Upgrades!$T$8="Heliopause",POWER(Upgrades!$U$8,G103),1)*IF(Upgrades!$T$9="Heliopause",POWER(Upgrades!$U$9,H103),1)*IF(Upgrades!$T$10="Heliopause",POWER(Upgrades!$U$10,I103),1)*IF(Upgrades!$T$12="Heliopause",POWER(Upgrades!$U$12,K103),1))+(IF(K103=0,0,(Upgrades!$M$12+K103*Upgrades!$N$12)*POWER(Upgrades!$O$12,K103)))*(IF(Upgrades!$T$6="First Photons",POWER(Upgrades!$U$6,E103),1)*IF(Upgrades!$T$7="First Photons",POWER(Upgrades!$U$7,F103),1)*IF(Upgrades!$T$8="First Photons",POWER(Upgrades!$U$8,G103),1)*IF(Upgrades!$T$9="First Photons",POWER(Upgrades!$U$9,H103),1)*IF(Upgrades!$T$10="First Photons",POWER(Upgrades!$U$10,I103),1)*IF(Upgrades!$T$11="First Photons",POWER(Upgrades!$U$11,J103),1)))*POWER(Upgrades!$R$6,E103)*POWER(Upgrades!$R$7,F103)*POWER(Upgrades!$R$8,G103)*POWER(Upgrades!$R$9,H103)*POWER(Upgrades!$R$10,I103)*POWER(Upgrades!$R$11,J103)*POWER(Upgrades!$R$12,K103)</f>
        <v/>
      </c>
      <c r="P103" s="27">
        <f>IF(L103=1,0,M103*Parameters!$B$10/60*Parameters!$B$11*10)</f>
        <v/>
      </c>
      <c r="Q103" s="27">
        <f>IF(L103=1,0,O103*M103*10)</f>
        <v/>
      </c>
      <c r="R103" s="27">
        <f>IF(L103=1,0,N103*10)</f>
        <v/>
      </c>
      <c r="S103" s="27">
        <f>P103+Q103+R103</f>
        <v/>
      </c>
      <c r="T103" s="22">
        <f>C103+S103</f>
        <v/>
      </c>
      <c r="U103" s="33">
        <f>AX103</f>
        <v/>
      </c>
      <c r="V103" s="22">
        <f>IF(U103="",0,IF(U103="transition",0,IF(U103="SW",AG103,IF(U103="AB",AH103,IF(U103="SC",AI103,IF(U103="Mag",AJ103,IF(U103="OR",AK103,IF(U103="HP",AL103,IF(U103="FP",AM103,0)))))))))</f>
        <v/>
      </c>
      <c r="W103" s="27">
        <f>IF(U103="OR",Upgrades!$F$10,IF(U103="HP",Upgrades!$F$11,IF(U103="transition",-Parameters!$B$18,0)))</f>
        <v/>
      </c>
      <c r="X103" s="22">
        <f>T103-V103</f>
        <v/>
      </c>
      <c r="Y103" s="30">
        <f>M103*Parameters!$B$10/60*Parameters!$B$11+O103*M103+N103</f>
        <v/>
      </c>
      <c r="Z103" s="34">
        <f>IF(U103="transition","→ Tier 2 (Stellar Neighborhood)",IF(U103="FP","First Photons — light begins, system quickens",IF(U103="HP","Heliopause acquired",IF(U103="OR","Orbital Resonance — passive multiplier active",IF(AND(AO103=1,L103=0,AN103&lt;&gt;1),"Cohesion ready (waiting on completionist upgrades)","")))))</f>
        <v/>
      </c>
      <c r="AA103" s="27">
        <f>(IF(E103=0,0,(Upgrades!$G$6+E103*Upgrades!$H$6)*POWER(Upgrades!$I$6,E103)))*(IF(Upgrades!$T$7="Solar Wind",POWER(Upgrades!$U$7,F103),1)*IF(Upgrades!$T$8="Solar Wind",POWER(Upgrades!$U$8,G103),1)*IF(Upgrades!$T$9="Solar Wind",POWER(Upgrades!$U$9,H103),1)*IF(Upgrades!$T$10="Solar Wind",POWER(Upgrades!$U$10,I103),1)*IF(Upgrades!$T$11="Solar Wind",POWER(Upgrades!$U$11,J103),1)*IF(Upgrades!$T$12="Solar Wind",POWER(Upgrades!$U$12,K103),1))*POWER(Upgrades!$P$6,E103)*POWER(Upgrades!$P$7,F103)*POWER(Upgrades!$P$8,G103)*POWER(Upgrades!$P$9,H103)*POWER(Upgrades!$P$10,I103)*POWER(Upgrades!$P$11,J103)*POWER(Upgrades!$P$12,K103)*60</f>
        <v/>
      </c>
      <c r="AB103" s="27">
        <f>(IF(F103=0,0,(Upgrades!$G$7+F103*Upgrades!$H$7)*POWER(Upgrades!$I$7,F103)))*(IF(Upgrades!$T$6="Asteroid Belt",POWER(Upgrades!$U$6,E103),1)*IF(Upgrades!$T$8="Asteroid Belt",POWER(Upgrades!$U$8,G103),1)*IF(Upgrades!$T$9="Asteroid Belt",POWER(Upgrades!$U$9,H103),1)*IF(Upgrades!$T$10="Asteroid Belt",POWER(Upgrades!$U$10,I103),1)*IF(Upgrades!$T$11="Asteroid Belt",POWER(Upgrades!$U$11,J103),1)*IF(Upgrades!$T$12="Asteroid Belt",POWER(Upgrades!$U$12,K103),1))*POWER(Upgrades!$P$6,E103)*POWER(Upgrades!$P$7,F103)*POWER(Upgrades!$P$8,G103)*POWER(Upgrades!$P$9,H103)*POWER(Upgrades!$P$10,I103)*POWER(Upgrades!$P$11,J103)*POWER(Upgrades!$P$12,K103)*60</f>
        <v/>
      </c>
      <c r="AC103" s="27">
        <f>(IF(G103=0,0,(Upgrades!$J$8+G103*Upgrades!$K$8)*POWER(Upgrades!$L$8,G103)))*(IF(Upgrades!$T$6="Stellar Coupling",POWER(Upgrades!$U$6,E103),1)*IF(Upgrades!$T$7="Stellar Coupling",POWER(Upgrades!$U$7,F103),1)*IF(Upgrades!$T$9="Stellar Coupling",POWER(Upgrades!$U$9,H103),1)*IF(Upgrades!$T$10="Stellar Coupling",POWER(Upgrades!$U$10,I103),1)*IF(Upgrades!$T$11="Stellar Coupling",POWER(Upgrades!$U$11,J103),1)*IF(Upgrades!$T$12="Stellar Coupling",POWER(Upgrades!$U$12,K103),1))*POWER(Upgrades!$Q$6,E103)*POWER(Upgrades!$Q$7,F103)*POWER(Upgrades!$Q$8,G103)*POWER(Upgrades!$Q$9,H103)*POWER(Upgrades!$Q$10,I103)*POWER(Upgrades!$Q$11,J103)*POWER(Upgrades!$Q$12,K103)*Parameters!$B$10*Parameters!$B$11</f>
        <v/>
      </c>
      <c r="AD103" s="27">
        <f>(IF(H103=0,0,(Upgrades!$G$9+H103*Upgrades!$H$9)*POWER(Upgrades!$I$9,H103)))*(IF(Upgrades!$T$6="Magnetosphere",POWER(Upgrades!$U$6,E103),1)*IF(Upgrades!$T$7="Magnetosphere",POWER(Upgrades!$U$7,F103),1)*IF(Upgrades!$T$8="Magnetosphere",POWER(Upgrades!$U$8,G103),1)*IF(Upgrades!$T$10="Magnetosphere",POWER(Upgrades!$U$10,I103),1)*IF(Upgrades!$T$11="Magnetosphere",POWER(Upgrades!$U$11,J103),1)*IF(Upgrades!$T$12="Magnetosphere",POWER(Upgrades!$U$12,K103),1))*POWER(Upgrades!$P$6,E103)*POWER(Upgrades!$P$7,F103)*POWER(Upgrades!$P$8,G103)*POWER(Upgrades!$P$9,H103)*POWER(Upgrades!$P$10,I103)*POWER(Upgrades!$P$11,J103)*POWER(Upgrades!$P$12,K103)*60</f>
        <v/>
      </c>
      <c r="AE103" s="27">
        <f>(IF(K103=0,0,(Upgrades!$G$12+K103*Upgrades!$H$12)*POWER(Upgrades!$I$12,K103)))*(IF(Upgrades!$T$6="First Photons",POWER(Upgrades!$U$6,E103),1)*IF(Upgrades!$T$7="First Photons",POWER(Upgrades!$U$7,F103),1)*IF(Upgrades!$T$8="First Photons",POWER(Upgrades!$U$8,G103),1)*IF(Upgrades!$T$9="First Photons",POWER(Upgrades!$U$9,H103),1)*IF(Upgrades!$T$10="First Photons",POWER(Upgrades!$U$10,I103),1)*IF(Upgrades!$T$11="First Photons",POWER(Upgrades!$U$11,J103),1))*POWER(Upgrades!$P$6,E103)*POWER(Upgrades!$P$7,F103)*POWER(Upgrades!$P$8,G103)*POWER(Upgrades!$P$9,H103)*POWER(Upgrades!$P$10,I103)*POWER(Upgrades!$P$11,J103)*POWER(Upgrades!$P$12,K103)*60</f>
        <v/>
      </c>
      <c r="AF103" s="27">
        <f>Parameters!$B$9*POWER(Upgrades!$Q$6,E103)*POWER(Upgrades!$Q$7,F103)*POWER(Upgrades!$Q$8,G103)*POWER(Upgrades!$Q$9,H103)*POWER(Upgrades!$Q$10,I103)*POWER(Upgrades!$Q$11,J103)*POWER(Upgrades!$Q$12,K103)*(Parameters!$B$10*Parameters!$B$11+O103*60)</f>
        <v/>
      </c>
      <c r="AG103" s="22">
        <f>IF(E103&gt;=Upgrades!$E$6,"",Upgrades!$C$6*POWER(Upgrades!$D$6,E103))</f>
        <v/>
      </c>
      <c r="AH103" s="22">
        <f>IF(F103&gt;=Upgrades!$E$7,"",Upgrades!$C$7*POWER(Upgrades!$D$7,F103))</f>
        <v/>
      </c>
      <c r="AI103" s="22">
        <f>IF(G103&gt;=Upgrades!$E$8,"",Upgrades!$C$8*POWER(Upgrades!$D$8,G103))</f>
        <v/>
      </c>
      <c r="AJ103" s="22">
        <f>IF(H103&gt;=Upgrades!$E$9,"",Upgrades!$C$9*POWER(Upgrades!$D$9,H103))</f>
        <v/>
      </c>
      <c r="AK103" s="22">
        <f>IF(I103&gt;=Upgrades!$E$10,"",Upgrades!$C$10*POWER(Upgrades!$D$10,I103))</f>
        <v/>
      </c>
      <c r="AL103" s="22">
        <f>IF(J103&gt;=Upgrades!$E$11,"",Upgrades!$C$11*POWER(Upgrades!$D$11,J103))</f>
        <v/>
      </c>
      <c r="AM103" s="22">
        <f>IF(K103&gt;=Upgrades!$E$12,"",Upgrades!$C$12*POWER(Upgrades!$D$12,K103))</f>
        <v/>
      </c>
      <c r="AN103" s="26">
        <f>IF(AND(D103&gt;=Parameters!$B$18,(H103&gt;=Upgrades!$E$9)*(K103&gt;=Upgrades!$E$12)=1,L103=0),1,"")</f>
        <v/>
      </c>
      <c r="AO103" s="26">
        <f>IF(AND(D103&gt;=Parameters!$B$18,L103=0),1,"")</f>
        <v/>
      </c>
      <c r="AP103" s="22">
        <f>MIN(IF(ISNUMBER(AK103),AK103,9E15),IF(ISNUMBER(AL103),AL103,9E15),IF(ISNUMBER(AM103),AM103,9E15))</f>
        <v/>
      </c>
      <c r="AQ103" s="22">
        <f>MIN(IF(ISNUMBER(AG103),AG103,9E15),IF(ISNUMBER(AH103),AH103,9E15),IF(ISNUMBER(AI103),AI103,9E15),IF(ISNUMBER(AJ103),AJ103,9E15))</f>
        <v/>
      </c>
      <c r="AR103" s="29">
        <f>IF(AW103&gt;Parameters!$B$21*(MAX(IF(AND(NOT(AND(AO103=1,AN103&lt;&gt;1)),ISNUMBER(AG103),AG103&lt;=T103),AS103,0),IF(AND(NOT(AND(AO103=1,AN103&lt;&gt;1)),ISNUMBER(AH103),AH103&lt;=T103),AT103,0),IF(AND(NOT(AND(AO103=1,AN103&lt;&gt;1)),ISNUMBER(AI103),AI103&lt;=T103),AU103,0),IF(AND(ISNUMBER(AJ103),AJ103&lt;=T103),AV103,0))),TRUE,FALSE)</f>
        <v/>
      </c>
      <c r="AS103" s="32">
        <f>IFERROR(Upgrades!$H$6*(POWER(Upgrades!$P$6,E103)*POWER(Upgrades!$P$7,F103)*POWER(Upgrades!$P$8,G103)*POWER(Upgrades!$P$9,H103)*POWER(Upgrades!$P$10,I103)*POWER(Upgrades!$P$11,J103)*POWER(Upgrades!$P$12,K103))*(IF(Upgrades!$T$7="Solar Wind",POWER(Upgrades!$U$7,F103),1)*IF(Upgrades!$T$8="Solar Wind",POWER(Upgrades!$U$8,G103),1)*IF(Upgrades!$T$9="Solar Wind",POWER(Upgrades!$U$9,H103),1)*IF(Upgrades!$T$10="Solar Wind",POWER(Upgrades!$U$10,I103),1)*IF(Upgrades!$T$11="Solar Wind",POWER(Upgrades!$U$11,J103),1)*IF(Upgrades!$T$12="Solar Wind",POWER(Upgrades!$U$12,K103),1))/AG103,0)</f>
        <v/>
      </c>
      <c r="AT103" s="32">
        <f>IFERROR(Upgrades!$H$7*(POWER(Upgrades!$P$6,E103)*POWER(Upgrades!$P$7,F103)*POWER(Upgrades!$P$8,G103)*POWER(Upgrades!$P$9,H103)*POWER(Upgrades!$P$10,I103)*POWER(Upgrades!$P$11,J103)*POWER(Upgrades!$P$12,K103))*(IF(Upgrades!$T$6="Asteroid Belt",POWER(Upgrades!$U$6,E103),1)*IF(Upgrades!$T$8="Asteroid Belt",POWER(Upgrades!$U$8,G103),1)*IF(Upgrades!$T$9="Asteroid Belt",POWER(Upgrades!$U$9,H103),1)*IF(Upgrades!$T$10="Asteroid Belt",POWER(Upgrades!$U$10,I103),1)*IF(Upgrades!$T$11="Asteroid Belt",POWER(Upgrades!$U$11,J103),1)*IF(Upgrades!$T$12="Asteroid Belt",POWER(Upgrades!$U$12,K103),1))/AH103,0)</f>
        <v/>
      </c>
      <c r="AU103" s="32">
        <f>IFERROR(Upgrades!$K$8*(POWER(Upgrades!$Q$6,E103)*POWER(Upgrades!$Q$7,F103)*POWER(Upgrades!$Q$8,G103)*POWER(Upgrades!$Q$9,H103)*POWER(Upgrades!$Q$10,I103)*POWER(Upgrades!$Q$11,J103)*POWER(Upgrades!$Q$12,K103))*(IF(Upgrades!$T$6="Stellar Coupling",POWER(Upgrades!$U$6,E103),1)*IF(Upgrades!$T$7="Stellar Coupling",POWER(Upgrades!$U$7,F103),1)*IF(Upgrades!$T$9="Stellar Coupling",POWER(Upgrades!$U$9,H103),1)*IF(Upgrades!$T$10="Stellar Coupling",POWER(Upgrades!$U$10,I103),1)*IF(Upgrades!$T$11="Stellar Coupling",POWER(Upgrades!$U$11,J103),1)*IF(Upgrades!$T$12="Stellar Coupling",POWER(Upgrades!$U$12,K103),1))*Parameters!$B$10*Parameters!$B$11/60/AI103,0)</f>
        <v/>
      </c>
      <c r="AV103" s="32">
        <f>IFERROR(Upgrades!$H$9*(POWER(Upgrades!$P$6,E103)*POWER(Upgrades!$P$7,F103)*POWER(Upgrades!$P$8,G103)*POWER(Upgrades!$P$9,H103)*POWER(Upgrades!$P$10,I103)*POWER(Upgrades!$P$11,J103)*POWER(Upgrades!$P$12,K103))*(IF(Upgrades!$T$6="Magnetosphere",POWER(Upgrades!$U$6,E103),1)*IF(Upgrades!$T$7="Magnetosphere",POWER(Upgrades!$U$7,F103),1)*IF(Upgrades!$T$8="Magnetosphere",POWER(Upgrades!$U$8,G103),1)*IF(Upgrades!$T$10="Magnetosphere",POWER(Upgrades!$U$10,I103),1)*IF(Upgrades!$T$11="Magnetosphere",POWER(Upgrades!$U$11,J103),1)*IF(Upgrades!$T$12="Magnetosphere",POWER(Upgrades!$U$12,K103),1))/AJ103,0)</f>
        <v/>
      </c>
      <c r="AW103" s="32">
        <f>MAX(IF(I103&gt;0,0,IFERROR(0.25*N103/Upgrades!$C$10,0)),IF(J103&gt;0,0,IFERROR(0.5*((IF(G103=0,0,(Upgrades!$J$8+G103*Upgrades!$K$8)*POWER(Upgrades!$L$8,G103)))*(IF(Upgrades!$T$6="Stellar Coupling",POWER(Upgrades!$U$6,E103),1)*IF(Upgrades!$T$7="Stellar Coupling",POWER(Upgrades!$U$7,F103),1)*IF(Upgrades!$T$9="Stellar Coupling",POWER(Upgrades!$U$9,H103),1)*IF(Upgrades!$T$10="Stellar Coupling",POWER(Upgrades!$U$10,I103),1)*IF(Upgrades!$T$11="Stellar Coupling",POWER(Upgrades!$U$11,J103),1)*IF(Upgrades!$T$12="Stellar Coupling",POWER(Upgrades!$U$12,K103),1))*(POWER(Upgrades!$Q$6,E103)*POWER(Upgrades!$Q$7,F103)*POWER(Upgrades!$Q$8,G103)*POWER(Upgrades!$Q$9,H103)*POWER(Upgrades!$Q$10,I103)*POWER(Upgrades!$Q$11,J103)*POWER(Upgrades!$Q$12,K103))*Parameters!$B$10*Parameters!$B$11/60)/Upgrades!$C$11,0)),IF(K103&gt;0,0,IFERROR((1.0*(POWER(Upgrades!$P$6,E103)*POWER(Upgrades!$P$7,F103)*POWER(Upgrades!$P$8,G103)*POWER(Upgrades!$P$9,H103)*POWER(Upgrades!$P$10,I103)*POWER(Upgrades!$P$11,J103)*POWER(Upgrades!$P$12,K103))+0.20*M103*Parameters!$B$10*Parameters!$B$11/60)/Upgrades!$C$12,0)),IF(AND(ISNUMBER(AG103),AG103&gt;T103),AS103,0),IF(AND(ISNUMBER(AH103),AH103&gt;T103),AT103,0),IF(AND(ISNUMBER(AI103),AI103&gt;T103),AU103,0),IF(AND(ISNUMBER(AJ103),AJ103&gt;T103),AV103,0))</f>
        <v/>
      </c>
      <c r="AX103" s="29">
        <f>IF(AN103=1,"transition",IF(MIN(IF(AND(I103=0,ISNUMBER(AK103),AK103&lt;=T103),AK103,9E15),IF(AND(J103=0,ISNUMBER(AL103),AL103&lt;=T103),AL103,9E15),IF(AND(K103=0,ISNUMBER(AM103),AM103&lt;=T103),AM103,9E15))&lt;9E15,IF(AND(AND(I103=0,ISNUMBER(AK103),AK103&lt;=T103),AK103=MIN(IF(AND(I103=0,ISNUMBER(AK103),AK103&lt;=T103),AK103,9E15),IF(AND(J103=0,ISNUMBER(AL103),AL103&lt;=T103),AL103,9E15),IF(AND(K103=0,ISNUMBER(AM103),AM103&lt;=T103),AM103,9E15))),"OR",IF(AND(AND(J103=0,ISNUMBER(AL103),AL103&lt;=T103),AL103=MIN(IF(AND(I103=0,ISNUMBER(AK103),AK103&lt;=T103),AK103,9E15),IF(AND(J103=0,ISNUMBER(AL103),AL103&lt;=T103),AL103,9E15),IF(AND(K103=0,ISNUMBER(AM103),AM103&lt;=T103),AM103,9E15))),"HP","FP")),IF(AR103=TRUE,"",IF(MAX(IF(AND(NOT(AND(AO103=1,AN103&lt;&gt;1)),ISNUMBER(AG103),AG103&lt;=T103),AS103,0),IF(AND(NOT(AND(AO103=1,AN103&lt;&gt;1)),ISNUMBER(AH103),AH103&lt;=T103),AT103,0),IF(AND(NOT(AND(AO103=1,AN103&lt;&gt;1)),ISNUMBER(AI103),AI103&lt;=T103),AU103,0),IF(AND(ISNUMBER(AJ103),AJ103&lt;=T103),AV103,0))&lt;=0,"",IF(AND(IF(AND(NOT(AND(AO103=1,AN103&lt;&gt;1)),ISNUMBER(AG103),AG103&lt;=T103),AS103,0)&gt;0,IF(AND(NOT(AND(AO103=1,AN103&lt;&gt;1)),ISNUMBER(AG103),AG103&lt;=T103),AS103,0)=MAX(IF(AND(NOT(AND(AO103=1,AN103&lt;&gt;1)),ISNUMBER(AG103),AG103&lt;=T103),AS103,0),IF(AND(NOT(AND(AO103=1,AN103&lt;&gt;1)),ISNUMBER(AH103),AH103&lt;=T103),AT103,0),IF(AND(NOT(AND(AO103=1,AN103&lt;&gt;1)),ISNUMBER(AI103),AI103&lt;=T103),AU103,0),IF(AND(ISNUMBER(AJ103),AJ103&lt;=T103),AV103,0))),"SW",IF(AND(IF(AND(NOT(AND(AO103=1,AN103&lt;&gt;1)),ISNUMBER(AH103),AH103&lt;=T103),AT103,0)&gt;0,IF(AND(NOT(AND(AO103=1,AN103&lt;&gt;1)),ISNUMBER(AH103),AH103&lt;=T103),AT103,0)=MAX(IF(AND(NOT(AND(AO103=1,AN103&lt;&gt;1)),ISNUMBER(AG103),AG103&lt;=T103),AS103,0),IF(AND(NOT(AND(AO103=1,AN103&lt;&gt;1)),ISNUMBER(AH103),AH103&lt;=T103),AT103,0),IF(AND(NOT(AND(AO103=1,AN103&lt;&gt;1)),ISNUMBER(AI103),AI103&lt;=T103),AU103,0),IF(AND(ISNUMBER(AJ103),AJ103&lt;=T103),AV103,0))),"AB",IF(AND(IF(AND(NOT(AND(AO103=1,AN103&lt;&gt;1)),ISNUMBER(AI103),AI103&lt;=T103),AU103,0)&gt;0,IF(AND(NOT(AND(AO103=1,AN103&lt;&gt;1)),ISNUMBER(AI103),AI103&lt;=T103),AU103,0)=MAX(IF(AND(NOT(AND(AO103=1,AN103&lt;&gt;1)),ISNUMBER(AG103),AG103&lt;=T103),AS103,0),IF(AND(NOT(AND(AO103=1,AN103&lt;&gt;1)),ISNUMBER(AH103),AH103&lt;=T103),AT103,0),IF(AND(NOT(AND(AO103=1,AN103&lt;&gt;1)),ISNUMBER(AI103),AI103&lt;=T103),AU103,0),IF(AND(ISNUMBER(AJ103),AJ103&lt;=T103),AV103,0))),"SC","Mag")))))))</f>
        <v/>
      </c>
    </row>
    <row r="104">
      <c r="A104" s="26" t="n">
        <v>99</v>
      </c>
      <c r="B104" s="27">
        <f>A104*10/60</f>
        <v/>
      </c>
      <c r="C104" s="22">
        <f>X103</f>
        <v/>
      </c>
      <c r="D104" s="27">
        <f>D103+W103</f>
        <v/>
      </c>
      <c r="E104" s="26">
        <f>E103+IF(U103="SW",1,0)</f>
        <v/>
      </c>
      <c r="F104" s="26">
        <f>F103+IF(U103="AB",1,0)</f>
        <v/>
      </c>
      <c r="G104" s="26">
        <f>G103+IF(U103="SC",1,0)</f>
        <v/>
      </c>
      <c r="H104" s="26">
        <f>H103+IF(U103="Mag",1,0)</f>
        <v/>
      </c>
      <c r="I104" s="26">
        <f>MAX(I103,IF(U103="OR",1,0))</f>
        <v/>
      </c>
      <c r="J104" s="26">
        <f>MAX(J103,IF(U103="HP",1,0))</f>
        <v/>
      </c>
      <c r="K104" s="26">
        <f>MAX(K103,IF(U103="FP",1,0))</f>
        <v/>
      </c>
      <c r="L104" s="26">
        <f>MAX(L103,IF(U103="transition",1,0))</f>
        <v/>
      </c>
      <c r="M104" s="28">
        <f>(Parameters!$B$9+(IF(E104=0,0,(Upgrades!$J$6+E104*Upgrades!$K$6)*POWER(Upgrades!$L$6,E104)))*(IF(Upgrades!$T$7="Solar Wind",POWER(Upgrades!$U$7,F104),1)*IF(Upgrades!$T$8="Solar Wind",POWER(Upgrades!$U$8,G104),1)*IF(Upgrades!$T$9="Solar Wind",POWER(Upgrades!$U$9,H104),1)*IF(Upgrades!$T$10="Solar Wind",POWER(Upgrades!$U$10,I104),1)*IF(Upgrades!$T$11="Solar Wind",POWER(Upgrades!$U$11,J104),1)*IF(Upgrades!$T$12="Solar Wind",POWER(Upgrades!$U$12,K104),1))+(IF(F104=0,0,(Upgrades!$J$7+F104*Upgrades!$K$7)*POWER(Upgrades!$L$7,F104)))*(IF(Upgrades!$T$6="Asteroid Belt",POWER(Upgrades!$U$6,E104),1)*IF(Upgrades!$T$8="Asteroid Belt",POWER(Upgrades!$U$8,G104),1)*IF(Upgrades!$T$9="Asteroid Belt",POWER(Upgrades!$U$9,H104),1)*IF(Upgrades!$T$10="Asteroid Belt",POWER(Upgrades!$U$10,I104),1)*IF(Upgrades!$T$11="Asteroid Belt",POWER(Upgrades!$U$11,J104),1)*IF(Upgrades!$T$12="Asteroid Belt",POWER(Upgrades!$U$12,K104),1))+(IF(G104=0,0,(Upgrades!$J$8+G104*Upgrades!$K$8)*POWER(Upgrades!$L$8,G104)))*(IF(Upgrades!$T$6="Stellar Coupling",POWER(Upgrades!$U$6,E104),1)*IF(Upgrades!$T$7="Stellar Coupling",POWER(Upgrades!$U$7,F104),1)*IF(Upgrades!$T$9="Stellar Coupling",POWER(Upgrades!$U$9,H104),1)*IF(Upgrades!$T$10="Stellar Coupling",POWER(Upgrades!$U$10,I104),1)*IF(Upgrades!$T$11="Stellar Coupling",POWER(Upgrades!$U$11,J104),1)*IF(Upgrades!$T$12="Stellar Coupling",POWER(Upgrades!$U$12,K104),1))+(IF(H104=0,0,(Upgrades!$J$9+H104*Upgrades!$K$9)*POWER(Upgrades!$L$9,H104)))*(IF(Upgrades!$T$6="Magnetosphere",POWER(Upgrades!$U$6,E104),1)*IF(Upgrades!$T$7="Magnetosphere",POWER(Upgrades!$U$7,F104),1)*IF(Upgrades!$T$8="Magnetosphere",POWER(Upgrades!$U$8,G104),1)*IF(Upgrades!$T$10="Magnetosphere",POWER(Upgrades!$U$10,I104),1)*IF(Upgrades!$T$11="Magnetosphere",POWER(Upgrades!$U$11,J104),1)*IF(Upgrades!$T$12="Magnetosphere",POWER(Upgrades!$U$12,K104),1))+(IF(I104=0,0,(Upgrades!$J$10+I104*Upgrades!$K$10)*POWER(Upgrades!$L$10,I104)))*(IF(Upgrades!$T$6="Orbital Resonance",POWER(Upgrades!$U$6,E104),1)*IF(Upgrades!$T$7="Orbital Resonance",POWER(Upgrades!$U$7,F104),1)*IF(Upgrades!$T$8="Orbital Resonance",POWER(Upgrades!$U$8,G104),1)*IF(Upgrades!$T$9="Orbital Resonance",POWER(Upgrades!$U$9,H104),1)*IF(Upgrades!$T$11="Orbital Resonance",POWER(Upgrades!$U$11,J104),1)*IF(Upgrades!$T$12="Orbital Resonance",POWER(Upgrades!$U$12,K104),1))+(IF(J104=0,0,(Upgrades!$J$11+J104*Upgrades!$K$11)*POWER(Upgrades!$L$11,J104)))*(IF(Upgrades!$T$6="Heliopause",POWER(Upgrades!$U$6,E104),1)*IF(Upgrades!$T$7="Heliopause",POWER(Upgrades!$U$7,F104),1)*IF(Upgrades!$T$8="Heliopause",POWER(Upgrades!$U$8,G104),1)*IF(Upgrades!$T$9="Heliopause",POWER(Upgrades!$U$9,H104),1)*IF(Upgrades!$T$10="Heliopause",POWER(Upgrades!$U$10,I104),1)*IF(Upgrades!$T$12="Heliopause",POWER(Upgrades!$U$12,K104),1))+(IF(K104=0,0,(Upgrades!$J$12+K104*Upgrades!$K$12)*POWER(Upgrades!$L$12,K104)))*(IF(Upgrades!$T$6="First Photons",POWER(Upgrades!$U$6,E104),1)*IF(Upgrades!$T$7="First Photons",POWER(Upgrades!$U$7,F104),1)*IF(Upgrades!$T$8="First Photons",POWER(Upgrades!$U$8,G104),1)*IF(Upgrades!$T$9="First Photons",POWER(Upgrades!$U$9,H104),1)*IF(Upgrades!$T$10="First Photons",POWER(Upgrades!$U$10,I104),1)*IF(Upgrades!$T$11="First Photons",POWER(Upgrades!$U$11,J104),1)))*POWER(Upgrades!$Q$6,E104)*POWER(Upgrades!$Q$7,F104)*POWER(Upgrades!$Q$8,G104)*POWER(Upgrades!$Q$9,H104)*POWER(Upgrades!$Q$10,I104)*POWER(Upgrades!$Q$11,J104)*POWER(Upgrades!$Q$12,K104)</f>
        <v/>
      </c>
      <c r="N104" s="28">
        <f>((IF(E104=0,0,(Upgrades!$G$6+E104*Upgrades!$H$6)*POWER(Upgrades!$I$6,E104)))*(IF(Upgrades!$T$7="Solar Wind",POWER(Upgrades!$U$7,F104),1)*IF(Upgrades!$T$8="Solar Wind",POWER(Upgrades!$U$8,G104),1)*IF(Upgrades!$T$9="Solar Wind",POWER(Upgrades!$U$9,H104),1)*IF(Upgrades!$T$10="Solar Wind",POWER(Upgrades!$U$10,I104),1)*IF(Upgrades!$T$11="Solar Wind",POWER(Upgrades!$U$11,J104),1)*IF(Upgrades!$T$12="Solar Wind",POWER(Upgrades!$U$12,K104),1))+(IF(F104=0,0,(Upgrades!$G$7+F104*Upgrades!$H$7)*POWER(Upgrades!$I$7,F104)))*(IF(Upgrades!$T$6="Asteroid Belt",POWER(Upgrades!$U$6,E104),1)*IF(Upgrades!$T$8="Asteroid Belt",POWER(Upgrades!$U$8,G104),1)*IF(Upgrades!$T$9="Asteroid Belt",POWER(Upgrades!$U$9,H104),1)*IF(Upgrades!$T$10="Asteroid Belt",POWER(Upgrades!$U$10,I104),1)*IF(Upgrades!$T$11="Asteroid Belt",POWER(Upgrades!$U$11,J104),1)*IF(Upgrades!$T$12="Asteroid Belt",POWER(Upgrades!$U$12,K104),1))+(IF(G104=0,0,(Upgrades!$G$8+G104*Upgrades!$H$8)*POWER(Upgrades!$I$8,G104)))*(IF(Upgrades!$T$6="Stellar Coupling",POWER(Upgrades!$U$6,E104),1)*IF(Upgrades!$T$7="Stellar Coupling",POWER(Upgrades!$U$7,F104),1)*IF(Upgrades!$T$9="Stellar Coupling",POWER(Upgrades!$U$9,H104),1)*IF(Upgrades!$T$10="Stellar Coupling",POWER(Upgrades!$U$10,I104),1)*IF(Upgrades!$T$11="Stellar Coupling",POWER(Upgrades!$U$11,J104),1)*IF(Upgrades!$T$12="Stellar Coupling",POWER(Upgrades!$U$12,K104),1))+(IF(H104=0,0,(Upgrades!$G$9+H104*Upgrades!$H$9)*POWER(Upgrades!$I$9,H104)))*(IF(Upgrades!$T$6="Magnetosphere",POWER(Upgrades!$U$6,E104),1)*IF(Upgrades!$T$7="Magnetosphere",POWER(Upgrades!$U$7,F104),1)*IF(Upgrades!$T$8="Magnetosphere",POWER(Upgrades!$U$8,G104),1)*IF(Upgrades!$T$10="Magnetosphere",POWER(Upgrades!$U$10,I104),1)*IF(Upgrades!$T$11="Magnetosphere",POWER(Upgrades!$U$11,J104),1)*IF(Upgrades!$T$12="Magnetosphere",POWER(Upgrades!$U$12,K104),1))+(IF(I104=0,0,(Upgrades!$G$10+I104*Upgrades!$H$10)*POWER(Upgrades!$I$10,I104)))*(IF(Upgrades!$T$6="Orbital Resonance",POWER(Upgrades!$U$6,E104),1)*IF(Upgrades!$T$7="Orbital Resonance",POWER(Upgrades!$U$7,F104),1)*IF(Upgrades!$T$8="Orbital Resonance",POWER(Upgrades!$U$8,G104),1)*IF(Upgrades!$T$9="Orbital Resonance",POWER(Upgrades!$U$9,H104),1)*IF(Upgrades!$T$11="Orbital Resonance",POWER(Upgrades!$U$11,J104),1)*IF(Upgrades!$T$12="Orbital Resonance",POWER(Upgrades!$U$12,K104),1))+(IF(J104=0,0,(Upgrades!$G$11+J104*Upgrades!$H$11)*POWER(Upgrades!$I$11,J104)))*(IF(Upgrades!$T$6="Heliopause",POWER(Upgrades!$U$6,E104),1)*IF(Upgrades!$T$7="Heliopause",POWER(Upgrades!$U$7,F104),1)*IF(Upgrades!$T$8="Heliopause",POWER(Upgrades!$U$8,G104),1)*IF(Upgrades!$T$9="Heliopause",POWER(Upgrades!$U$9,H104),1)*IF(Upgrades!$T$10="Heliopause",POWER(Upgrades!$U$10,I104),1)*IF(Upgrades!$T$12="Heliopause",POWER(Upgrades!$U$12,K104),1))+(IF(K104=0,0,(Upgrades!$G$12+K104*Upgrades!$H$12)*POWER(Upgrades!$I$12,K104)))*(IF(Upgrades!$T$6="First Photons",POWER(Upgrades!$U$6,E104),1)*IF(Upgrades!$T$7="First Photons",POWER(Upgrades!$U$7,F104),1)*IF(Upgrades!$T$8="First Photons",POWER(Upgrades!$U$8,G104),1)*IF(Upgrades!$T$9="First Photons",POWER(Upgrades!$U$9,H104),1)*IF(Upgrades!$T$10="First Photons",POWER(Upgrades!$U$10,I104),1)*IF(Upgrades!$T$11="First Photons",POWER(Upgrades!$U$11,J104),1)))*POWER(Upgrades!$P$6,E104)*POWER(Upgrades!$P$7,F104)*POWER(Upgrades!$P$8,G104)*POWER(Upgrades!$P$9,H104)*POWER(Upgrades!$P$10,I104)*POWER(Upgrades!$P$11,J104)*POWER(Upgrades!$P$12,K104)</f>
        <v/>
      </c>
      <c r="O104" s="28">
        <f>((IF(E104=0,0,(Upgrades!$M$6+E104*Upgrades!$N$6)*POWER(Upgrades!$O$6,E104)))*(IF(Upgrades!$T$7="Solar Wind",POWER(Upgrades!$U$7,F104),1)*IF(Upgrades!$T$8="Solar Wind",POWER(Upgrades!$U$8,G104),1)*IF(Upgrades!$T$9="Solar Wind",POWER(Upgrades!$U$9,H104),1)*IF(Upgrades!$T$10="Solar Wind",POWER(Upgrades!$U$10,I104),1)*IF(Upgrades!$T$11="Solar Wind",POWER(Upgrades!$U$11,J104),1)*IF(Upgrades!$T$12="Solar Wind",POWER(Upgrades!$U$12,K104),1))+(IF(F104=0,0,(Upgrades!$M$7+F104*Upgrades!$N$7)*POWER(Upgrades!$O$7,F104)))*(IF(Upgrades!$T$6="Asteroid Belt",POWER(Upgrades!$U$6,E104),1)*IF(Upgrades!$T$8="Asteroid Belt",POWER(Upgrades!$U$8,G104),1)*IF(Upgrades!$T$9="Asteroid Belt",POWER(Upgrades!$U$9,H104),1)*IF(Upgrades!$T$10="Asteroid Belt",POWER(Upgrades!$U$10,I104),1)*IF(Upgrades!$T$11="Asteroid Belt",POWER(Upgrades!$U$11,J104),1)*IF(Upgrades!$T$12="Asteroid Belt",POWER(Upgrades!$U$12,K104),1))+(IF(G104=0,0,(Upgrades!$M$8+G104*Upgrades!$N$8)*POWER(Upgrades!$O$8,G104)))*(IF(Upgrades!$T$6="Stellar Coupling",POWER(Upgrades!$U$6,E104),1)*IF(Upgrades!$T$7="Stellar Coupling",POWER(Upgrades!$U$7,F104),1)*IF(Upgrades!$T$9="Stellar Coupling",POWER(Upgrades!$U$9,H104),1)*IF(Upgrades!$T$10="Stellar Coupling",POWER(Upgrades!$U$10,I104),1)*IF(Upgrades!$T$11="Stellar Coupling",POWER(Upgrades!$U$11,J104),1)*IF(Upgrades!$T$12="Stellar Coupling",POWER(Upgrades!$U$12,K104),1))+(IF(H104=0,0,(Upgrades!$M$9+H104*Upgrades!$N$9)*POWER(Upgrades!$O$9,H104)))*(IF(Upgrades!$T$6="Magnetosphere",POWER(Upgrades!$U$6,E104),1)*IF(Upgrades!$T$7="Magnetosphere",POWER(Upgrades!$U$7,F104),1)*IF(Upgrades!$T$8="Magnetosphere",POWER(Upgrades!$U$8,G104),1)*IF(Upgrades!$T$10="Magnetosphere",POWER(Upgrades!$U$10,I104),1)*IF(Upgrades!$T$11="Magnetosphere",POWER(Upgrades!$U$11,J104),1)*IF(Upgrades!$T$12="Magnetosphere",POWER(Upgrades!$U$12,K104),1))+(IF(I104=0,0,(Upgrades!$M$10+I104*Upgrades!$N$10)*POWER(Upgrades!$O$10,I104)))*(IF(Upgrades!$T$6="Orbital Resonance",POWER(Upgrades!$U$6,E104),1)*IF(Upgrades!$T$7="Orbital Resonance",POWER(Upgrades!$U$7,F104),1)*IF(Upgrades!$T$8="Orbital Resonance",POWER(Upgrades!$U$8,G104),1)*IF(Upgrades!$T$9="Orbital Resonance",POWER(Upgrades!$U$9,H104),1)*IF(Upgrades!$T$11="Orbital Resonance",POWER(Upgrades!$U$11,J104),1)*IF(Upgrades!$T$12="Orbital Resonance",POWER(Upgrades!$U$12,K104),1))+(IF(J104=0,0,(Upgrades!$M$11+J104*Upgrades!$N$11)*POWER(Upgrades!$O$11,J104)))*(IF(Upgrades!$T$6="Heliopause",POWER(Upgrades!$U$6,E104),1)*IF(Upgrades!$T$7="Heliopause",POWER(Upgrades!$U$7,F104),1)*IF(Upgrades!$T$8="Heliopause",POWER(Upgrades!$U$8,G104),1)*IF(Upgrades!$T$9="Heliopause",POWER(Upgrades!$U$9,H104),1)*IF(Upgrades!$T$10="Heliopause",POWER(Upgrades!$U$10,I104),1)*IF(Upgrades!$T$12="Heliopause",POWER(Upgrades!$U$12,K104),1))+(IF(K104=0,0,(Upgrades!$M$12+K104*Upgrades!$N$12)*POWER(Upgrades!$O$12,K104)))*(IF(Upgrades!$T$6="First Photons",POWER(Upgrades!$U$6,E104),1)*IF(Upgrades!$T$7="First Photons",POWER(Upgrades!$U$7,F104),1)*IF(Upgrades!$T$8="First Photons",POWER(Upgrades!$U$8,G104),1)*IF(Upgrades!$T$9="First Photons",POWER(Upgrades!$U$9,H104),1)*IF(Upgrades!$T$10="First Photons",POWER(Upgrades!$U$10,I104),1)*IF(Upgrades!$T$11="First Photons",POWER(Upgrades!$U$11,J104),1)))*POWER(Upgrades!$R$6,E104)*POWER(Upgrades!$R$7,F104)*POWER(Upgrades!$R$8,G104)*POWER(Upgrades!$R$9,H104)*POWER(Upgrades!$R$10,I104)*POWER(Upgrades!$R$11,J104)*POWER(Upgrades!$R$12,K104)</f>
        <v/>
      </c>
      <c r="P104" s="27">
        <f>IF(L104=1,0,M104*Parameters!$B$10/60*Parameters!$B$11*10)</f>
        <v/>
      </c>
      <c r="Q104" s="27">
        <f>IF(L104=1,0,O104*M104*10)</f>
        <v/>
      </c>
      <c r="R104" s="27">
        <f>IF(L104=1,0,N104*10)</f>
        <v/>
      </c>
      <c r="S104" s="27">
        <f>P104+Q104+R104</f>
        <v/>
      </c>
      <c r="T104" s="22">
        <f>C104+S104</f>
        <v/>
      </c>
      <c r="U104" s="33">
        <f>AX104</f>
        <v/>
      </c>
      <c r="V104" s="22">
        <f>IF(U104="",0,IF(U104="transition",0,IF(U104="SW",AG104,IF(U104="AB",AH104,IF(U104="SC",AI104,IF(U104="Mag",AJ104,IF(U104="OR",AK104,IF(U104="HP",AL104,IF(U104="FP",AM104,0)))))))))</f>
        <v/>
      </c>
      <c r="W104" s="27">
        <f>IF(U104="OR",Upgrades!$F$10,IF(U104="HP",Upgrades!$F$11,IF(U104="transition",-Parameters!$B$18,0)))</f>
        <v/>
      </c>
      <c r="X104" s="22">
        <f>T104-V104</f>
        <v/>
      </c>
      <c r="Y104" s="30">
        <f>M104*Parameters!$B$10/60*Parameters!$B$11+O104*M104+N104</f>
        <v/>
      </c>
      <c r="Z104" s="34">
        <f>IF(U104="transition","→ Tier 2 (Stellar Neighborhood)",IF(U104="FP","First Photons — light begins, system quickens",IF(U104="HP","Heliopause acquired",IF(U104="OR","Orbital Resonance — passive multiplier active",IF(AND(AO104=1,L104=0,AN104&lt;&gt;1),"Cohesion ready (waiting on completionist upgrades)","")))))</f>
        <v/>
      </c>
      <c r="AA104" s="27">
        <f>(IF(E104=0,0,(Upgrades!$G$6+E104*Upgrades!$H$6)*POWER(Upgrades!$I$6,E104)))*(IF(Upgrades!$T$7="Solar Wind",POWER(Upgrades!$U$7,F104),1)*IF(Upgrades!$T$8="Solar Wind",POWER(Upgrades!$U$8,G104),1)*IF(Upgrades!$T$9="Solar Wind",POWER(Upgrades!$U$9,H104),1)*IF(Upgrades!$T$10="Solar Wind",POWER(Upgrades!$U$10,I104),1)*IF(Upgrades!$T$11="Solar Wind",POWER(Upgrades!$U$11,J104),1)*IF(Upgrades!$T$12="Solar Wind",POWER(Upgrades!$U$12,K104),1))*POWER(Upgrades!$P$6,E104)*POWER(Upgrades!$P$7,F104)*POWER(Upgrades!$P$8,G104)*POWER(Upgrades!$P$9,H104)*POWER(Upgrades!$P$10,I104)*POWER(Upgrades!$P$11,J104)*POWER(Upgrades!$P$12,K104)*60</f>
        <v/>
      </c>
      <c r="AB104" s="27">
        <f>(IF(F104=0,0,(Upgrades!$G$7+F104*Upgrades!$H$7)*POWER(Upgrades!$I$7,F104)))*(IF(Upgrades!$T$6="Asteroid Belt",POWER(Upgrades!$U$6,E104),1)*IF(Upgrades!$T$8="Asteroid Belt",POWER(Upgrades!$U$8,G104),1)*IF(Upgrades!$T$9="Asteroid Belt",POWER(Upgrades!$U$9,H104),1)*IF(Upgrades!$T$10="Asteroid Belt",POWER(Upgrades!$U$10,I104),1)*IF(Upgrades!$T$11="Asteroid Belt",POWER(Upgrades!$U$11,J104),1)*IF(Upgrades!$T$12="Asteroid Belt",POWER(Upgrades!$U$12,K104),1))*POWER(Upgrades!$P$6,E104)*POWER(Upgrades!$P$7,F104)*POWER(Upgrades!$P$8,G104)*POWER(Upgrades!$P$9,H104)*POWER(Upgrades!$P$10,I104)*POWER(Upgrades!$P$11,J104)*POWER(Upgrades!$P$12,K104)*60</f>
        <v/>
      </c>
      <c r="AC104" s="27">
        <f>(IF(G104=0,0,(Upgrades!$J$8+G104*Upgrades!$K$8)*POWER(Upgrades!$L$8,G104)))*(IF(Upgrades!$T$6="Stellar Coupling",POWER(Upgrades!$U$6,E104),1)*IF(Upgrades!$T$7="Stellar Coupling",POWER(Upgrades!$U$7,F104),1)*IF(Upgrades!$T$9="Stellar Coupling",POWER(Upgrades!$U$9,H104),1)*IF(Upgrades!$T$10="Stellar Coupling",POWER(Upgrades!$U$10,I104),1)*IF(Upgrades!$T$11="Stellar Coupling",POWER(Upgrades!$U$11,J104),1)*IF(Upgrades!$T$12="Stellar Coupling",POWER(Upgrades!$U$12,K104),1))*POWER(Upgrades!$Q$6,E104)*POWER(Upgrades!$Q$7,F104)*POWER(Upgrades!$Q$8,G104)*POWER(Upgrades!$Q$9,H104)*POWER(Upgrades!$Q$10,I104)*POWER(Upgrades!$Q$11,J104)*POWER(Upgrades!$Q$12,K104)*Parameters!$B$10*Parameters!$B$11</f>
        <v/>
      </c>
      <c r="AD104" s="27">
        <f>(IF(H104=0,0,(Upgrades!$G$9+H104*Upgrades!$H$9)*POWER(Upgrades!$I$9,H104)))*(IF(Upgrades!$T$6="Magnetosphere",POWER(Upgrades!$U$6,E104),1)*IF(Upgrades!$T$7="Magnetosphere",POWER(Upgrades!$U$7,F104),1)*IF(Upgrades!$T$8="Magnetosphere",POWER(Upgrades!$U$8,G104),1)*IF(Upgrades!$T$10="Magnetosphere",POWER(Upgrades!$U$10,I104),1)*IF(Upgrades!$T$11="Magnetosphere",POWER(Upgrades!$U$11,J104),1)*IF(Upgrades!$T$12="Magnetosphere",POWER(Upgrades!$U$12,K104),1))*POWER(Upgrades!$P$6,E104)*POWER(Upgrades!$P$7,F104)*POWER(Upgrades!$P$8,G104)*POWER(Upgrades!$P$9,H104)*POWER(Upgrades!$P$10,I104)*POWER(Upgrades!$P$11,J104)*POWER(Upgrades!$P$12,K104)*60</f>
        <v/>
      </c>
      <c r="AE104" s="27">
        <f>(IF(K104=0,0,(Upgrades!$G$12+K104*Upgrades!$H$12)*POWER(Upgrades!$I$12,K104)))*(IF(Upgrades!$T$6="First Photons",POWER(Upgrades!$U$6,E104),1)*IF(Upgrades!$T$7="First Photons",POWER(Upgrades!$U$7,F104),1)*IF(Upgrades!$T$8="First Photons",POWER(Upgrades!$U$8,G104),1)*IF(Upgrades!$T$9="First Photons",POWER(Upgrades!$U$9,H104),1)*IF(Upgrades!$T$10="First Photons",POWER(Upgrades!$U$10,I104),1)*IF(Upgrades!$T$11="First Photons",POWER(Upgrades!$U$11,J104),1))*POWER(Upgrades!$P$6,E104)*POWER(Upgrades!$P$7,F104)*POWER(Upgrades!$P$8,G104)*POWER(Upgrades!$P$9,H104)*POWER(Upgrades!$P$10,I104)*POWER(Upgrades!$P$11,J104)*POWER(Upgrades!$P$12,K104)*60</f>
        <v/>
      </c>
      <c r="AF104" s="27">
        <f>Parameters!$B$9*POWER(Upgrades!$Q$6,E104)*POWER(Upgrades!$Q$7,F104)*POWER(Upgrades!$Q$8,G104)*POWER(Upgrades!$Q$9,H104)*POWER(Upgrades!$Q$10,I104)*POWER(Upgrades!$Q$11,J104)*POWER(Upgrades!$Q$12,K104)*(Parameters!$B$10*Parameters!$B$11+O104*60)</f>
        <v/>
      </c>
      <c r="AG104" s="22">
        <f>IF(E104&gt;=Upgrades!$E$6,"",Upgrades!$C$6*POWER(Upgrades!$D$6,E104))</f>
        <v/>
      </c>
      <c r="AH104" s="22">
        <f>IF(F104&gt;=Upgrades!$E$7,"",Upgrades!$C$7*POWER(Upgrades!$D$7,F104))</f>
        <v/>
      </c>
      <c r="AI104" s="22">
        <f>IF(G104&gt;=Upgrades!$E$8,"",Upgrades!$C$8*POWER(Upgrades!$D$8,G104))</f>
        <v/>
      </c>
      <c r="AJ104" s="22">
        <f>IF(H104&gt;=Upgrades!$E$9,"",Upgrades!$C$9*POWER(Upgrades!$D$9,H104))</f>
        <v/>
      </c>
      <c r="AK104" s="22">
        <f>IF(I104&gt;=Upgrades!$E$10,"",Upgrades!$C$10*POWER(Upgrades!$D$10,I104))</f>
        <v/>
      </c>
      <c r="AL104" s="22">
        <f>IF(J104&gt;=Upgrades!$E$11,"",Upgrades!$C$11*POWER(Upgrades!$D$11,J104))</f>
        <v/>
      </c>
      <c r="AM104" s="22">
        <f>IF(K104&gt;=Upgrades!$E$12,"",Upgrades!$C$12*POWER(Upgrades!$D$12,K104))</f>
        <v/>
      </c>
      <c r="AN104" s="26">
        <f>IF(AND(D104&gt;=Parameters!$B$18,(H104&gt;=Upgrades!$E$9)*(K104&gt;=Upgrades!$E$12)=1,L104=0),1,"")</f>
        <v/>
      </c>
      <c r="AO104" s="26">
        <f>IF(AND(D104&gt;=Parameters!$B$18,L104=0),1,"")</f>
        <v/>
      </c>
      <c r="AP104" s="22">
        <f>MIN(IF(ISNUMBER(AK104),AK104,9E15),IF(ISNUMBER(AL104),AL104,9E15),IF(ISNUMBER(AM104),AM104,9E15))</f>
        <v/>
      </c>
      <c r="AQ104" s="22">
        <f>MIN(IF(ISNUMBER(AG104),AG104,9E15),IF(ISNUMBER(AH104),AH104,9E15),IF(ISNUMBER(AI104),AI104,9E15),IF(ISNUMBER(AJ104),AJ104,9E15))</f>
        <v/>
      </c>
      <c r="AR104" s="29">
        <f>IF(AW104&gt;Parameters!$B$21*(MAX(IF(AND(NOT(AND(AO104=1,AN104&lt;&gt;1)),ISNUMBER(AG104),AG104&lt;=T104),AS104,0),IF(AND(NOT(AND(AO104=1,AN104&lt;&gt;1)),ISNUMBER(AH104),AH104&lt;=T104),AT104,0),IF(AND(NOT(AND(AO104=1,AN104&lt;&gt;1)),ISNUMBER(AI104),AI104&lt;=T104),AU104,0),IF(AND(ISNUMBER(AJ104),AJ104&lt;=T104),AV104,0))),TRUE,FALSE)</f>
        <v/>
      </c>
      <c r="AS104" s="32">
        <f>IFERROR(Upgrades!$H$6*(POWER(Upgrades!$P$6,E104)*POWER(Upgrades!$P$7,F104)*POWER(Upgrades!$P$8,G104)*POWER(Upgrades!$P$9,H104)*POWER(Upgrades!$P$10,I104)*POWER(Upgrades!$P$11,J104)*POWER(Upgrades!$P$12,K104))*(IF(Upgrades!$T$7="Solar Wind",POWER(Upgrades!$U$7,F104),1)*IF(Upgrades!$T$8="Solar Wind",POWER(Upgrades!$U$8,G104),1)*IF(Upgrades!$T$9="Solar Wind",POWER(Upgrades!$U$9,H104),1)*IF(Upgrades!$T$10="Solar Wind",POWER(Upgrades!$U$10,I104),1)*IF(Upgrades!$T$11="Solar Wind",POWER(Upgrades!$U$11,J104),1)*IF(Upgrades!$T$12="Solar Wind",POWER(Upgrades!$U$12,K104),1))/AG104,0)</f>
        <v/>
      </c>
      <c r="AT104" s="32">
        <f>IFERROR(Upgrades!$H$7*(POWER(Upgrades!$P$6,E104)*POWER(Upgrades!$P$7,F104)*POWER(Upgrades!$P$8,G104)*POWER(Upgrades!$P$9,H104)*POWER(Upgrades!$P$10,I104)*POWER(Upgrades!$P$11,J104)*POWER(Upgrades!$P$12,K104))*(IF(Upgrades!$T$6="Asteroid Belt",POWER(Upgrades!$U$6,E104),1)*IF(Upgrades!$T$8="Asteroid Belt",POWER(Upgrades!$U$8,G104),1)*IF(Upgrades!$T$9="Asteroid Belt",POWER(Upgrades!$U$9,H104),1)*IF(Upgrades!$T$10="Asteroid Belt",POWER(Upgrades!$U$10,I104),1)*IF(Upgrades!$T$11="Asteroid Belt",POWER(Upgrades!$U$11,J104),1)*IF(Upgrades!$T$12="Asteroid Belt",POWER(Upgrades!$U$12,K104),1))/AH104,0)</f>
        <v/>
      </c>
      <c r="AU104" s="32">
        <f>IFERROR(Upgrades!$K$8*(POWER(Upgrades!$Q$6,E104)*POWER(Upgrades!$Q$7,F104)*POWER(Upgrades!$Q$8,G104)*POWER(Upgrades!$Q$9,H104)*POWER(Upgrades!$Q$10,I104)*POWER(Upgrades!$Q$11,J104)*POWER(Upgrades!$Q$12,K104))*(IF(Upgrades!$T$6="Stellar Coupling",POWER(Upgrades!$U$6,E104),1)*IF(Upgrades!$T$7="Stellar Coupling",POWER(Upgrades!$U$7,F104),1)*IF(Upgrades!$T$9="Stellar Coupling",POWER(Upgrades!$U$9,H104),1)*IF(Upgrades!$T$10="Stellar Coupling",POWER(Upgrades!$U$10,I104),1)*IF(Upgrades!$T$11="Stellar Coupling",POWER(Upgrades!$U$11,J104),1)*IF(Upgrades!$T$12="Stellar Coupling",POWER(Upgrades!$U$12,K104),1))*Parameters!$B$10*Parameters!$B$11/60/AI104,0)</f>
        <v/>
      </c>
      <c r="AV104" s="32">
        <f>IFERROR(Upgrades!$H$9*(POWER(Upgrades!$P$6,E104)*POWER(Upgrades!$P$7,F104)*POWER(Upgrades!$P$8,G104)*POWER(Upgrades!$P$9,H104)*POWER(Upgrades!$P$10,I104)*POWER(Upgrades!$P$11,J104)*POWER(Upgrades!$P$12,K104))*(IF(Upgrades!$T$6="Magnetosphere",POWER(Upgrades!$U$6,E104),1)*IF(Upgrades!$T$7="Magnetosphere",POWER(Upgrades!$U$7,F104),1)*IF(Upgrades!$T$8="Magnetosphere",POWER(Upgrades!$U$8,G104),1)*IF(Upgrades!$T$10="Magnetosphere",POWER(Upgrades!$U$10,I104),1)*IF(Upgrades!$T$11="Magnetosphere",POWER(Upgrades!$U$11,J104),1)*IF(Upgrades!$T$12="Magnetosphere",POWER(Upgrades!$U$12,K104),1))/AJ104,0)</f>
        <v/>
      </c>
      <c r="AW104" s="32">
        <f>MAX(IF(I104&gt;0,0,IFERROR(0.25*N104/Upgrades!$C$10,0)),IF(J104&gt;0,0,IFERROR(0.5*((IF(G104=0,0,(Upgrades!$J$8+G104*Upgrades!$K$8)*POWER(Upgrades!$L$8,G104)))*(IF(Upgrades!$T$6="Stellar Coupling",POWER(Upgrades!$U$6,E104),1)*IF(Upgrades!$T$7="Stellar Coupling",POWER(Upgrades!$U$7,F104),1)*IF(Upgrades!$T$9="Stellar Coupling",POWER(Upgrades!$U$9,H104),1)*IF(Upgrades!$T$10="Stellar Coupling",POWER(Upgrades!$U$10,I104),1)*IF(Upgrades!$T$11="Stellar Coupling",POWER(Upgrades!$U$11,J104),1)*IF(Upgrades!$T$12="Stellar Coupling",POWER(Upgrades!$U$12,K104),1))*(POWER(Upgrades!$Q$6,E104)*POWER(Upgrades!$Q$7,F104)*POWER(Upgrades!$Q$8,G104)*POWER(Upgrades!$Q$9,H104)*POWER(Upgrades!$Q$10,I104)*POWER(Upgrades!$Q$11,J104)*POWER(Upgrades!$Q$12,K104))*Parameters!$B$10*Parameters!$B$11/60)/Upgrades!$C$11,0)),IF(K104&gt;0,0,IFERROR((1.0*(POWER(Upgrades!$P$6,E104)*POWER(Upgrades!$P$7,F104)*POWER(Upgrades!$P$8,G104)*POWER(Upgrades!$P$9,H104)*POWER(Upgrades!$P$10,I104)*POWER(Upgrades!$P$11,J104)*POWER(Upgrades!$P$12,K104))+0.20*M104*Parameters!$B$10*Parameters!$B$11/60)/Upgrades!$C$12,0)),IF(AND(ISNUMBER(AG104),AG104&gt;T104),AS104,0),IF(AND(ISNUMBER(AH104),AH104&gt;T104),AT104,0),IF(AND(ISNUMBER(AI104),AI104&gt;T104),AU104,0),IF(AND(ISNUMBER(AJ104),AJ104&gt;T104),AV104,0))</f>
        <v/>
      </c>
      <c r="AX104" s="29">
        <f>IF(AN104=1,"transition",IF(MIN(IF(AND(I104=0,ISNUMBER(AK104),AK104&lt;=T104),AK104,9E15),IF(AND(J104=0,ISNUMBER(AL104),AL104&lt;=T104),AL104,9E15),IF(AND(K104=0,ISNUMBER(AM104),AM104&lt;=T104),AM104,9E15))&lt;9E15,IF(AND(AND(I104=0,ISNUMBER(AK104),AK104&lt;=T104),AK104=MIN(IF(AND(I104=0,ISNUMBER(AK104),AK104&lt;=T104),AK104,9E15),IF(AND(J104=0,ISNUMBER(AL104),AL104&lt;=T104),AL104,9E15),IF(AND(K104=0,ISNUMBER(AM104),AM104&lt;=T104),AM104,9E15))),"OR",IF(AND(AND(J104=0,ISNUMBER(AL104),AL104&lt;=T104),AL104=MIN(IF(AND(I104=0,ISNUMBER(AK104),AK104&lt;=T104),AK104,9E15),IF(AND(J104=0,ISNUMBER(AL104),AL104&lt;=T104),AL104,9E15),IF(AND(K104=0,ISNUMBER(AM104),AM104&lt;=T104),AM104,9E15))),"HP","FP")),IF(AR104=TRUE,"",IF(MAX(IF(AND(NOT(AND(AO104=1,AN104&lt;&gt;1)),ISNUMBER(AG104),AG104&lt;=T104),AS104,0),IF(AND(NOT(AND(AO104=1,AN104&lt;&gt;1)),ISNUMBER(AH104),AH104&lt;=T104),AT104,0),IF(AND(NOT(AND(AO104=1,AN104&lt;&gt;1)),ISNUMBER(AI104),AI104&lt;=T104),AU104,0),IF(AND(ISNUMBER(AJ104),AJ104&lt;=T104),AV104,0))&lt;=0,"",IF(AND(IF(AND(NOT(AND(AO104=1,AN104&lt;&gt;1)),ISNUMBER(AG104),AG104&lt;=T104),AS104,0)&gt;0,IF(AND(NOT(AND(AO104=1,AN104&lt;&gt;1)),ISNUMBER(AG104),AG104&lt;=T104),AS104,0)=MAX(IF(AND(NOT(AND(AO104=1,AN104&lt;&gt;1)),ISNUMBER(AG104),AG104&lt;=T104),AS104,0),IF(AND(NOT(AND(AO104=1,AN104&lt;&gt;1)),ISNUMBER(AH104),AH104&lt;=T104),AT104,0),IF(AND(NOT(AND(AO104=1,AN104&lt;&gt;1)),ISNUMBER(AI104),AI104&lt;=T104),AU104,0),IF(AND(ISNUMBER(AJ104),AJ104&lt;=T104),AV104,0))),"SW",IF(AND(IF(AND(NOT(AND(AO104=1,AN104&lt;&gt;1)),ISNUMBER(AH104),AH104&lt;=T104),AT104,0)&gt;0,IF(AND(NOT(AND(AO104=1,AN104&lt;&gt;1)),ISNUMBER(AH104),AH104&lt;=T104),AT104,0)=MAX(IF(AND(NOT(AND(AO104=1,AN104&lt;&gt;1)),ISNUMBER(AG104),AG104&lt;=T104),AS104,0),IF(AND(NOT(AND(AO104=1,AN104&lt;&gt;1)),ISNUMBER(AH104),AH104&lt;=T104),AT104,0),IF(AND(NOT(AND(AO104=1,AN104&lt;&gt;1)),ISNUMBER(AI104),AI104&lt;=T104),AU104,0),IF(AND(ISNUMBER(AJ104),AJ104&lt;=T104),AV104,0))),"AB",IF(AND(IF(AND(NOT(AND(AO104=1,AN104&lt;&gt;1)),ISNUMBER(AI104),AI104&lt;=T104),AU104,0)&gt;0,IF(AND(NOT(AND(AO104=1,AN104&lt;&gt;1)),ISNUMBER(AI104),AI104&lt;=T104),AU104,0)=MAX(IF(AND(NOT(AND(AO104=1,AN104&lt;&gt;1)),ISNUMBER(AG104),AG104&lt;=T104),AS104,0),IF(AND(NOT(AND(AO104=1,AN104&lt;&gt;1)),ISNUMBER(AH104),AH104&lt;=T104),AT104,0),IF(AND(NOT(AND(AO104=1,AN104&lt;&gt;1)),ISNUMBER(AI104),AI104&lt;=T104),AU104,0),IF(AND(ISNUMBER(AJ104),AJ104&lt;=T104),AV104,0))),"SC","Mag")))))))</f>
        <v/>
      </c>
    </row>
    <row r="105">
      <c r="A105" s="26" t="n">
        <v>100</v>
      </c>
      <c r="B105" s="27">
        <f>A105*10/60</f>
        <v/>
      </c>
      <c r="C105" s="22">
        <f>X104</f>
        <v/>
      </c>
      <c r="D105" s="27">
        <f>D104+W104</f>
        <v/>
      </c>
      <c r="E105" s="26">
        <f>E104+IF(U104="SW",1,0)</f>
        <v/>
      </c>
      <c r="F105" s="26">
        <f>F104+IF(U104="AB",1,0)</f>
        <v/>
      </c>
      <c r="G105" s="26">
        <f>G104+IF(U104="SC",1,0)</f>
        <v/>
      </c>
      <c r="H105" s="26">
        <f>H104+IF(U104="Mag",1,0)</f>
        <v/>
      </c>
      <c r="I105" s="26">
        <f>MAX(I104,IF(U104="OR",1,0))</f>
        <v/>
      </c>
      <c r="J105" s="26">
        <f>MAX(J104,IF(U104="HP",1,0))</f>
        <v/>
      </c>
      <c r="K105" s="26">
        <f>MAX(K104,IF(U104="FP",1,0))</f>
        <v/>
      </c>
      <c r="L105" s="26">
        <f>MAX(L104,IF(U104="transition",1,0))</f>
        <v/>
      </c>
      <c r="M105" s="28">
        <f>(Parameters!$B$9+(IF(E105=0,0,(Upgrades!$J$6+E105*Upgrades!$K$6)*POWER(Upgrades!$L$6,E105)))*(IF(Upgrades!$T$7="Solar Wind",POWER(Upgrades!$U$7,F105),1)*IF(Upgrades!$T$8="Solar Wind",POWER(Upgrades!$U$8,G105),1)*IF(Upgrades!$T$9="Solar Wind",POWER(Upgrades!$U$9,H105),1)*IF(Upgrades!$T$10="Solar Wind",POWER(Upgrades!$U$10,I105),1)*IF(Upgrades!$T$11="Solar Wind",POWER(Upgrades!$U$11,J105),1)*IF(Upgrades!$T$12="Solar Wind",POWER(Upgrades!$U$12,K105),1))+(IF(F105=0,0,(Upgrades!$J$7+F105*Upgrades!$K$7)*POWER(Upgrades!$L$7,F105)))*(IF(Upgrades!$T$6="Asteroid Belt",POWER(Upgrades!$U$6,E105),1)*IF(Upgrades!$T$8="Asteroid Belt",POWER(Upgrades!$U$8,G105),1)*IF(Upgrades!$T$9="Asteroid Belt",POWER(Upgrades!$U$9,H105),1)*IF(Upgrades!$T$10="Asteroid Belt",POWER(Upgrades!$U$10,I105),1)*IF(Upgrades!$T$11="Asteroid Belt",POWER(Upgrades!$U$11,J105),1)*IF(Upgrades!$T$12="Asteroid Belt",POWER(Upgrades!$U$12,K105),1))+(IF(G105=0,0,(Upgrades!$J$8+G105*Upgrades!$K$8)*POWER(Upgrades!$L$8,G105)))*(IF(Upgrades!$T$6="Stellar Coupling",POWER(Upgrades!$U$6,E105),1)*IF(Upgrades!$T$7="Stellar Coupling",POWER(Upgrades!$U$7,F105),1)*IF(Upgrades!$T$9="Stellar Coupling",POWER(Upgrades!$U$9,H105),1)*IF(Upgrades!$T$10="Stellar Coupling",POWER(Upgrades!$U$10,I105),1)*IF(Upgrades!$T$11="Stellar Coupling",POWER(Upgrades!$U$11,J105),1)*IF(Upgrades!$T$12="Stellar Coupling",POWER(Upgrades!$U$12,K105),1))+(IF(H105=0,0,(Upgrades!$J$9+H105*Upgrades!$K$9)*POWER(Upgrades!$L$9,H105)))*(IF(Upgrades!$T$6="Magnetosphere",POWER(Upgrades!$U$6,E105),1)*IF(Upgrades!$T$7="Magnetosphere",POWER(Upgrades!$U$7,F105),1)*IF(Upgrades!$T$8="Magnetosphere",POWER(Upgrades!$U$8,G105),1)*IF(Upgrades!$T$10="Magnetosphere",POWER(Upgrades!$U$10,I105),1)*IF(Upgrades!$T$11="Magnetosphere",POWER(Upgrades!$U$11,J105),1)*IF(Upgrades!$T$12="Magnetosphere",POWER(Upgrades!$U$12,K105),1))+(IF(I105=0,0,(Upgrades!$J$10+I105*Upgrades!$K$10)*POWER(Upgrades!$L$10,I105)))*(IF(Upgrades!$T$6="Orbital Resonance",POWER(Upgrades!$U$6,E105),1)*IF(Upgrades!$T$7="Orbital Resonance",POWER(Upgrades!$U$7,F105),1)*IF(Upgrades!$T$8="Orbital Resonance",POWER(Upgrades!$U$8,G105),1)*IF(Upgrades!$T$9="Orbital Resonance",POWER(Upgrades!$U$9,H105),1)*IF(Upgrades!$T$11="Orbital Resonance",POWER(Upgrades!$U$11,J105),1)*IF(Upgrades!$T$12="Orbital Resonance",POWER(Upgrades!$U$12,K105),1))+(IF(J105=0,0,(Upgrades!$J$11+J105*Upgrades!$K$11)*POWER(Upgrades!$L$11,J105)))*(IF(Upgrades!$T$6="Heliopause",POWER(Upgrades!$U$6,E105),1)*IF(Upgrades!$T$7="Heliopause",POWER(Upgrades!$U$7,F105),1)*IF(Upgrades!$T$8="Heliopause",POWER(Upgrades!$U$8,G105),1)*IF(Upgrades!$T$9="Heliopause",POWER(Upgrades!$U$9,H105),1)*IF(Upgrades!$T$10="Heliopause",POWER(Upgrades!$U$10,I105),1)*IF(Upgrades!$T$12="Heliopause",POWER(Upgrades!$U$12,K105),1))+(IF(K105=0,0,(Upgrades!$J$12+K105*Upgrades!$K$12)*POWER(Upgrades!$L$12,K105)))*(IF(Upgrades!$T$6="First Photons",POWER(Upgrades!$U$6,E105),1)*IF(Upgrades!$T$7="First Photons",POWER(Upgrades!$U$7,F105),1)*IF(Upgrades!$T$8="First Photons",POWER(Upgrades!$U$8,G105),1)*IF(Upgrades!$T$9="First Photons",POWER(Upgrades!$U$9,H105),1)*IF(Upgrades!$T$10="First Photons",POWER(Upgrades!$U$10,I105),1)*IF(Upgrades!$T$11="First Photons",POWER(Upgrades!$U$11,J105),1)))*POWER(Upgrades!$Q$6,E105)*POWER(Upgrades!$Q$7,F105)*POWER(Upgrades!$Q$8,G105)*POWER(Upgrades!$Q$9,H105)*POWER(Upgrades!$Q$10,I105)*POWER(Upgrades!$Q$11,J105)*POWER(Upgrades!$Q$12,K105)</f>
        <v/>
      </c>
      <c r="N105" s="28">
        <f>((IF(E105=0,0,(Upgrades!$G$6+E105*Upgrades!$H$6)*POWER(Upgrades!$I$6,E105)))*(IF(Upgrades!$T$7="Solar Wind",POWER(Upgrades!$U$7,F105),1)*IF(Upgrades!$T$8="Solar Wind",POWER(Upgrades!$U$8,G105),1)*IF(Upgrades!$T$9="Solar Wind",POWER(Upgrades!$U$9,H105),1)*IF(Upgrades!$T$10="Solar Wind",POWER(Upgrades!$U$10,I105),1)*IF(Upgrades!$T$11="Solar Wind",POWER(Upgrades!$U$11,J105),1)*IF(Upgrades!$T$12="Solar Wind",POWER(Upgrades!$U$12,K105),1))+(IF(F105=0,0,(Upgrades!$G$7+F105*Upgrades!$H$7)*POWER(Upgrades!$I$7,F105)))*(IF(Upgrades!$T$6="Asteroid Belt",POWER(Upgrades!$U$6,E105),1)*IF(Upgrades!$T$8="Asteroid Belt",POWER(Upgrades!$U$8,G105),1)*IF(Upgrades!$T$9="Asteroid Belt",POWER(Upgrades!$U$9,H105),1)*IF(Upgrades!$T$10="Asteroid Belt",POWER(Upgrades!$U$10,I105),1)*IF(Upgrades!$T$11="Asteroid Belt",POWER(Upgrades!$U$11,J105),1)*IF(Upgrades!$T$12="Asteroid Belt",POWER(Upgrades!$U$12,K105),1))+(IF(G105=0,0,(Upgrades!$G$8+G105*Upgrades!$H$8)*POWER(Upgrades!$I$8,G105)))*(IF(Upgrades!$T$6="Stellar Coupling",POWER(Upgrades!$U$6,E105),1)*IF(Upgrades!$T$7="Stellar Coupling",POWER(Upgrades!$U$7,F105),1)*IF(Upgrades!$T$9="Stellar Coupling",POWER(Upgrades!$U$9,H105),1)*IF(Upgrades!$T$10="Stellar Coupling",POWER(Upgrades!$U$10,I105),1)*IF(Upgrades!$T$11="Stellar Coupling",POWER(Upgrades!$U$11,J105),1)*IF(Upgrades!$T$12="Stellar Coupling",POWER(Upgrades!$U$12,K105),1))+(IF(H105=0,0,(Upgrades!$G$9+H105*Upgrades!$H$9)*POWER(Upgrades!$I$9,H105)))*(IF(Upgrades!$T$6="Magnetosphere",POWER(Upgrades!$U$6,E105),1)*IF(Upgrades!$T$7="Magnetosphere",POWER(Upgrades!$U$7,F105),1)*IF(Upgrades!$T$8="Magnetosphere",POWER(Upgrades!$U$8,G105),1)*IF(Upgrades!$T$10="Magnetosphere",POWER(Upgrades!$U$10,I105),1)*IF(Upgrades!$T$11="Magnetosphere",POWER(Upgrades!$U$11,J105),1)*IF(Upgrades!$T$12="Magnetosphere",POWER(Upgrades!$U$12,K105),1))+(IF(I105=0,0,(Upgrades!$G$10+I105*Upgrades!$H$10)*POWER(Upgrades!$I$10,I105)))*(IF(Upgrades!$T$6="Orbital Resonance",POWER(Upgrades!$U$6,E105),1)*IF(Upgrades!$T$7="Orbital Resonance",POWER(Upgrades!$U$7,F105),1)*IF(Upgrades!$T$8="Orbital Resonance",POWER(Upgrades!$U$8,G105),1)*IF(Upgrades!$T$9="Orbital Resonance",POWER(Upgrades!$U$9,H105),1)*IF(Upgrades!$T$11="Orbital Resonance",POWER(Upgrades!$U$11,J105),1)*IF(Upgrades!$T$12="Orbital Resonance",POWER(Upgrades!$U$12,K105),1))+(IF(J105=0,0,(Upgrades!$G$11+J105*Upgrades!$H$11)*POWER(Upgrades!$I$11,J105)))*(IF(Upgrades!$T$6="Heliopause",POWER(Upgrades!$U$6,E105),1)*IF(Upgrades!$T$7="Heliopause",POWER(Upgrades!$U$7,F105),1)*IF(Upgrades!$T$8="Heliopause",POWER(Upgrades!$U$8,G105),1)*IF(Upgrades!$T$9="Heliopause",POWER(Upgrades!$U$9,H105),1)*IF(Upgrades!$T$10="Heliopause",POWER(Upgrades!$U$10,I105),1)*IF(Upgrades!$T$12="Heliopause",POWER(Upgrades!$U$12,K105),1))+(IF(K105=0,0,(Upgrades!$G$12+K105*Upgrades!$H$12)*POWER(Upgrades!$I$12,K105)))*(IF(Upgrades!$T$6="First Photons",POWER(Upgrades!$U$6,E105),1)*IF(Upgrades!$T$7="First Photons",POWER(Upgrades!$U$7,F105),1)*IF(Upgrades!$T$8="First Photons",POWER(Upgrades!$U$8,G105),1)*IF(Upgrades!$T$9="First Photons",POWER(Upgrades!$U$9,H105),1)*IF(Upgrades!$T$10="First Photons",POWER(Upgrades!$U$10,I105),1)*IF(Upgrades!$T$11="First Photons",POWER(Upgrades!$U$11,J105),1)))*POWER(Upgrades!$P$6,E105)*POWER(Upgrades!$P$7,F105)*POWER(Upgrades!$P$8,G105)*POWER(Upgrades!$P$9,H105)*POWER(Upgrades!$P$10,I105)*POWER(Upgrades!$P$11,J105)*POWER(Upgrades!$P$12,K105)</f>
        <v/>
      </c>
      <c r="O105" s="28">
        <f>((IF(E105=0,0,(Upgrades!$M$6+E105*Upgrades!$N$6)*POWER(Upgrades!$O$6,E105)))*(IF(Upgrades!$T$7="Solar Wind",POWER(Upgrades!$U$7,F105),1)*IF(Upgrades!$T$8="Solar Wind",POWER(Upgrades!$U$8,G105),1)*IF(Upgrades!$T$9="Solar Wind",POWER(Upgrades!$U$9,H105),1)*IF(Upgrades!$T$10="Solar Wind",POWER(Upgrades!$U$10,I105),1)*IF(Upgrades!$T$11="Solar Wind",POWER(Upgrades!$U$11,J105),1)*IF(Upgrades!$T$12="Solar Wind",POWER(Upgrades!$U$12,K105),1))+(IF(F105=0,0,(Upgrades!$M$7+F105*Upgrades!$N$7)*POWER(Upgrades!$O$7,F105)))*(IF(Upgrades!$T$6="Asteroid Belt",POWER(Upgrades!$U$6,E105),1)*IF(Upgrades!$T$8="Asteroid Belt",POWER(Upgrades!$U$8,G105),1)*IF(Upgrades!$T$9="Asteroid Belt",POWER(Upgrades!$U$9,H105),1)*IF(Upgrades!$T$10="Asteroid Belt",POWER(Upgrades!$U$10,I105),1)*IF(Upgrades!$T$11="Asteroid Belt",POWER(Upgrades!$U$11,J105),1)*IF(Upgrades!$T$12="Asteroid Belt",POWER(Upgrades!$U$12,K105),1))+(IF(G105=0,0,(Upgrades!$M$8+G105*Upgrades!$N$8)*POWER(Upgrades!$O$8,G105)))*(IF(Upgrades!$T$6="Stellar Coupling",POWER(Upgrades!$U$6,E105),1)*IF(Upgrades!$T$7="Stellar Coupling",POWER(Upgrades!$U$7,F105),1)*IF(Upgrades!$T$9="Stellar Coupling",POWER(Upgrades!$U$9,H105),1)*IF(Upgrades!$T$10="Stellar Coupling",POWER(Upgrades!$U$10,I105),1)*IF(Upgrades!$T$11="Stellar Coupling",POWER(Upgrades!$U$11,J105),1)*IF(Upgrades!$T$12="Stellar Coupling",POWER(Upgrades!$U$12,K105),1))+(IF(H105=0,0,(Upgrades!$M$9+H105*Upgrades!$N$9)*POWER(Upgrades!$O$9,H105)))*(IF(Upgrades!$T$6="Magnetosphere",POWER(Upgrades!$U$6,E105),1)*IF(Upgrades!$T$7="Magnetosphere",POWER(Upgrades!$U$7,F105),1)*IF(Upgrades!$T$8="Magnetosphere",POWER(Upgrades!$U$8,G105),1)*IF(Upgrades!$T$10="Magnetosphere",POWER(Upgrades!$U$10,I105),1)*IF(Upgrades!$T$11="Magnetosphere",POWER(Upgrades!$U$11,J105),1)*IF(Upgrades!$T$12="Magnetosphere",POWER(Upgrades!$U$12,K105),1))+(IF(I105=0,0,(Upgrades!$M$10+I105*Upgrades!$N$10)*POWER(Upgrades!$O$10,I105)))*(IF(Upgrades!$T$6="Orbital Resonance",POWER(Upgrades!$U$6,E105),1)*IF(Upgrades!$T$7="Orbital Resonance",POWER(Upgrades!$U$7,F105),1)*IF(Upgrades!$T$8="Orbital Resonance",POWER(Upgrades!$U$8,G105),1)*IF(Upgrades!$T$9="Orbital Resonance",POWER(Upgrades!$U$9,H105),1)*IF(Upgrades!$T$11="Orbital Resonance",POWER(Upgrades!$U$11,J105),1)*IF(Upgrades!$T$12="Orbital Resonance",POWER(Upgrades!$U$12,K105),1))+(IF(J105=0,0,(Upgrades!$M$11+J105*Upgrades!$N$11)*POWER(Upgrades!$O$11,J105)))*(IF(Upgrades!$T$6="Heliopause",POWER(Upgrades!$U$6,E105),1)*IF(Upgrades!$T$7="Heliopause",POWER(Upgrades!$U$7,F105),1)*IF(Upgrades!$T$8="Heliopause",POWER(Upgrades!$U$8,G105),1)*IF(Upgrades!$T$9="Heliopause",POWER(Upgrades!$U$9,H105),1)*IF(Upgrades!$T$10="Heliopause",POWER(Upgrades!$U$10,I105),1)*IF(Upgrades!$T$12="Heliopause",POWER(Upgrades!$U$12,K105),1))+(IF(K105=0,0,(Upgrades!$M$12+K105*Upgrades!$N$12)*POWER(Upgrades!$O$12,K105)))*(IF(Upgrades!$T$6="First Photons",POWER(Upgrades!$U$6,E105),1)*IF(Upgrades!$T$7="First Photons",POWER(Upgrades!$U$7,F105),1)*IF(Upgrades!$T$8="First Photons",POWER(Upgrades!$U$8,G105),1)*IF(Upgrades!$T$9="First Photons",POWER(Upgrades!$U$9,H105),1)*IF(Upgrades!$T$10="First Photons",POWER(Upgrades!$U$10,I105),1)*IF(Upgrades!$T$11="First Photons",POWER(Upgrades!$U$11,J105),1)))*POWER(Upgrades!$R$6,E105)*POWER(Upgrades!$R$7,F105)*POWER(Upgrades!$R$8,G105)*POWER(Upgrades!$R$9,H105)*POWER(Upgrades!$R$10,I105)*POWER(Upgrades!$R$11,J105)*POWER(Upgrades!$R$12,K105)</f>
        <v/>
      </c>
      <c r="P105" s="27">
        <f>IF(L105=1,0,M105*Parameters!$B$10/60*Parameters!$B$11*10)</f>
        <v/>
      </c>
      <c r="Q105" s="27">
        <f>IF(L105=1,0,O105*M105*10)</f>
        <v/>
      </c>
      <c r="R105" s="27">
        <f>IF(L105=1,0,N105*10)</f>
        <v/>
      </c>
      <c r="S105" s="27">
        <f>P105+Q105+R105</f>
        <v/>
      </c>
      <c r="T105" s="22">
        <f>C105+S105</f>
        <v/>
      </c>
      <c r="U105" s="33">
        <f>AX105</f>
        <v/>
      </c>
      <c r="V105" s="22">
        <f>IF(U105="",0,IF(U105="transition",0,IF(U105="SW",AG105,IF(U105="AB",AH105,IF(U105="SC",AI105,IF(U105="Mag",AJ105,IF(U105="OR",AK105,IF(U105="HP",AL105,IF(U105="FP",AM105,0)))))))))</f>
        <v/>
      </c>
      <c r="W105" s="27">
        <f>IF(U105="OR",Upgrades!$F$10,IF(U105="HP",Upgrades!$F$11,IF(U105="transition",-Parameters!$B$18,0)))</f>
        <v/>
      </c>
      <c r="X105" s="22">
        <f>T105-V105</f>
        <v/>
      </c>
      <c r="Y105" s="30">
        <f>M105*Parameters!$B$10/60*Parameters!$B$11+O105*M105+N105</f>
        <v/>
      </c>
      <c r="Z105" s="34">
        <f>IF(U105="transition","→ Tier 2 (Stellar Neighborhood)",IF(U105="FP","First Photons — light begins, system quickens",IF(U105="HP","Heliopause acquired",IF(U105="OR","Orbital Resonance — passive multiplier active",IF(AND(AO105=1,L105=0,AN105&lt;&gt;1),"Cohesion ready (waiting on completionist upgrades)","")))))</f>
        <v/>
      </c>
      <c r="AA105" s="27">
        <f>(IF(E105=0,0,(Upgrades!$G$6+E105*Upgrades!$H$6)*POWER(Upgrades!$I$6,E105)))*(IF(Upgrades!$T$7="Solar Wind",POWER(Upgrades!$U$7,F105),1)*IF(Upgrades!$T$8="Solar Wind",POWER(Upgrades!$U$8,G105),1)*IF(Upgrades!$T$9="Solar Wind",POWER(Upgrades!$U$9,H105),1)*IF(Upgrades!$T$10="Solar Wind",POWER(Upgrades!$U$10,I105),1)*IF(Upgrades!$T$11="Solar Wind",POWER(Upgrades!$U$11,J105),1)*IF(Upgrades!$T$12="Solar Wind",POWER(Upgrades!$U$12,K105),1))*POWER(Upgrades!$P$6,E105)*POWER(Upgrades!$P$7,F105)*POWER(Upgrades!$P$8,G105)*POWER(Upgrades!$P$9,H105)*POWER(Upgrades!$P$10,I105)*POWER(Upgrades!$P$11,J105)*POWER(Upgrades!$P$12,K105)*60</f>
        <v/>
      </c>
      <c r="AB105" s="27">
        <f>(IF(F105=0,0,(Upgrades!$G$7+F105*Upgrades!$H$7)*POWER(Upgrades!$I$7,F105)))*(IF(Upgrades!$T$6="Asteroid Belt",POWER(Upgrades!$U$6,E105),1)*IF(Upgrades!$T$8="Asteroid Belt",POWER(Upgrades!$U$8,G105),1)*IF(Upgrades!$T$9="Asteroid Belt",POWER(Upgrades!$U$9,H105),1)*IF(Upgrades!$T$10="Asteroid Belt",POWER(Upgrades!$U$10,I105),1)*IF(Upgrades!$T$11="Asteroid Belt",POWER(Upgrades!$U$11,J105),1)*IF(Upgrades!$T$12="Asteroid Belt",POWER(Upgrades!$U$12,K105),1))*POWER(Upgrades!$P$6,E105)*POWER(Upgrades!$P$7,F105)*POWER(Upgrades!$P$8,G105)*POWER(Upgrades!$P$9,H105)*POWER(Upgrades!$P$10,I105)*POWER(Upgrades!$P$11,J105)*POWER(Upgrades!$P$12,K105)*60</f>
        <v/>
      </c>
      <c r="AC105" s="27">
        <f>(IF(G105=0,0,(Upgrades!$J$8+G105*Upgrades!$K$8)*POWER(Upgrades!$L$8,G105)))*(IF(Upgrades!$T$6="Stellar Coupling",POWER(Upgrades!$U$6,E105),1)*IF(Upgrades!$T$7="Stellar Coupling",POWER(Upgrades!$U$7,F105),1)*IF(Upgrades!$T$9="Stellar Coupling",POWER(Upgrades!$U$9,H105),1)*IF(Upgrades!$T$10="Stellar Coupling",POWER(Upgrades!$U$10,I105),1)*IF(Upgrades!$T$11="Stellar Coupling",POWER(Upgrades!$U$11,J105),1)*IF(Upgrades!$T$12="Stellar Coupling",POWER(Upgrades!$U$12,K105),1))*POWER(Upgrades!$Q$6,E105)*POWER(Upgrades!$Q$7,F105)*POWER(Upgrades!$Q$8,G105)*POWER(Upgrades!$Q$9,H105)*POWER(Upgrades!$Q$10,I105)*POWER(Upgrades!$Q$11,J105)*POWER(Upgrades!$Q$12,K105)*Parameters!$B$10*Parameters!$B$11</f>
        <v/>
      </c>
      <c r="AD105" s="27">
        <f>(IF(H105=0,0,(Upgrades!$G$9+H105*Upgrades!$H$9)*POWER(Upgrades!$I$9,H105)))*(IF(Upgrades!$T$6="Magnetosphere",POWER(Upgrades!$U$6,E105),1)*IF(Upgrades!$T$7="Magnetosphere",POWER(Upgrades!$U$7,F105),1)*IF(Upgrades!$T$8="Magnetosphere",POWER(Upgrades!$U$8,G105),1)*IF(Upgrades!$T$10="Magnetosphere",POWER(Upgrades!$U$10,I105),1)*IF(Upgrades!$T$11="Magnetosphere",POWER(Upgrades!$U$11,J105),1)*IF(Upgrades!$T$12="Magnetosphere",POWER(Upgrades!$U$12,K105),1))*POWER(Upgrades!$P$6,E105)*POWER(Upgrades!$P$7,F105)*POWER(Upgrades!$P$8,G105)*POWER(Upgrades!$P$9,H105)*POWER(Upgrades!$P$10,I105)*POWER(Upgrades!$P$11,J105)*POWER(Upgrades!$P$12,K105)*60</f>
        <v/>
      </c>
      <c r="AE105" s="27">
        <f>(IF(K105=0,0,(Upgrades!$G$12+K105*Upgrades!$H$12)*POWER(Upgrades!$I$12,K105)))*(IF(Upgrades!$T$6="First Photons",POWER(Upgrades!$U$6,E105),1)*IF(Upgrades!$T$7="First Photons",POWER(Upgrades!$U$7,F105),1)*IF(Upgrades!$T$8="First Photons",POWER(Upgrades!$U$8,G105),1)*IF(Upgrades!$T$9="First Photons",POWER(Upgrades!$U$9,H105),1)*IF(Upgrades!$T$10="First Photons",POWER(Upgrades!$U$10,I105),1)*IF(Upgrades!$T$11="First Photons",POWER(Upgrades!$U$11,J105),1))*POWER(Upgrades!$P$6,E105)*POWER(Upgrades!$P$7,F105)*POWER(Upgrades!$P$8,G105)*POWER(Upgrades!$P$9,H105)*POWER(Upgrades!$P$10,I105)*POWER(Upgrades!$P$11,J105)*POWER(Upgrades!$P$12,K105)*60</f>
        <v/>
      </c>
      <c r="AF105" s="27">
        <f>Parameters!$B$9*POWER(Upgrades!$Q$6,E105)*POWER(Upgrades!$Q$7,F105)*POWER(Upgrades!$Q$8,G105)*POWER(Upgrades!$Q$9,H105)*POWER(Upgrades!$Q$10,I105)*POWER(Upgrades!$Q$11,J105)*POWER(Upgrades!$Q$12,K105)*(Parameters!$B$10*Parameters!$B$11+O105*60)</f>
        <v/>
      </c>
      <c r="AG105" s="22">
        <f>IF(E105&gt;=Upgrades!$E$6,"",Upgrades!$C$6*POWER(Upgrades!$D$6,E105))</f>
        <v/>
      </c>
      <c r="AH105" s="22">
        <f>IF(F105&gt;=Upgrades!$E$7,"",Upgrades!$C$7*POWER(Upgrades!$D$7,F105))</f>
        <v/>
      </c>
      <c r="AI105" s="22">
        <f>IF(G105&gt;=Upgrades!$E$8,"",Upgrades!$C$8*POWER(Upgrades!$D$8,G105))</f>
        <v/>
      </c>
      <c r="AJ105" s="22">
        <f>IF(H105&gt;=Upgrades!$E$9,"",Upgrades!$C$9*POWER(Upgrades!$D$9,H105))</f>
        <v/>
      </c>
      <c r="AK105" s="22">
        <f>IF(I105&gt;=Upgrades!$E$10,"",Upgrades!$C$10*POWER(Upgrades!$D$10,I105))</f>
        <v/>
      </c>
      <c r="AL105" s="22">
        <f>IF(J105&gt;=Upgrades!$E$11,"",Upgrades!$C$11*POWER(Upgrades!$D$11,J105))</f>
        <v/>
      </c>
      <c r="AM105" s="22">
        <f>IF(K105&gt;=Upgrades!$E$12,"",Upgrades!$C$12*POWER(Upgrades!$D$12,K105))</f>
        <v/>
      </c>
      <c r="AN105" s="26">
        <f>IF(AND(D105&gt;=Parameters!$B$18,(H105&gt;=Upgrades!$E$9)*(K105&gt;=Upgrades!$E$12)=1,L105=0),1,"")</f>
        <v/>
      </c>
      <c r="AO105" s="26">
        <f>IF(AND(D105&gt;=Parameters!$B$18,L105=0),1,"")</f>
        <v/>
      </c>
      <c r="AP105" s="22">
        <f>MIN(IF(ISNUMBER(AK105),AK105,9E15),IF(ISNUMBER(AL105),AL105,9E15),IF(ISNUMBER(AM105),AM105,9E15))</f>
        <v/>
      </c>
      <c r="AQ105" s="22">
        <f>MIN(IF(ISNUMBER(AG105),AG105,9E15),IF(ISNUMBER(AH105),AH105,9E15),IF(ISNUMBER(AI105),AI105,9E15),IF(ISNUMBER(AJ105),AJ105,9E15))</f>
        <v/>
      </c>
      <c r="AR105" s="29">
        <f>IF(AW105&gt;Parameters!$B$21*(MAX(IF(AND(NOT(AND(AO105=1,AN105&lt;&gt;1)),ISNUMBER(AG105),AG105&lt;=T105),AS105,0),IF(AND(NOT(AND(AO105=1,AN105&lt;&gt;1)),ISNUMBER(AH105),AH105&lt;=T105),AT105,0),IF(AND(NOT(AND(AO105=1,AN105&lt;&gt;1)),ISNUMBER(AI105),AI105&lt;=T105),AU105,0),IF(AND(ISNUMBER(AJ105),AJ105&lt;=T105),AV105,0))),TRUE,FALSE)</f>
        <v/>
      </c>
      <c r="AS105" s="32">
        <f>IFERROR(Upgrades!$H$6*(POWER(Upgrades!$P$6,E105)*POWER(Upgrades!$P$7,F105)*POWER(Upgrades!$P$8,G105)*POWER(Upgrades!$P$9,H105)*POWER(Upgrades!$P$10,I105)*POWER(Upgrades!$P$11,J105)*POWER(Upgrades!$P$12,K105))*(IF(Upgrades!$T$7="Solar Wind",POWER(Upgrades!$U$7,F105),1)*IF(Upgrades!$T$8="Solar Wind",POWER(Upgrades!$U$8,G105),1)*IF(Upgrades!$T$9="Solar Wind",POWER(Upgrades!$U$9,H105),1)*IF(Upgrades!$T$10="Solar Wind",POWER(Upgrades!$U$10,I105),1)*IF(Upgrades!$T$11="Solar Wind",POWER(Upgrades!$U$11,J105),1)*IF(Upgrades!$T$12="Solar Wind",POWER(Upgrades!$U$12,K105),1))/AG105,0)</f>
        <v/>
      </c>
      <c r="AT105" s="32">
        <f>IFERROR(Upgrades!$H$7*(POWER(Upgrades!$P$6,E105)*POWER(Upgrades!$P$7,F105)*POWER(Upgrades!$P$8,G105)*POWER(Upgrades!$P$9,H105)*POWER(Upgrades!$P$10,I105)*POWER(Upgrades!$P$11,J105)*POWER(Upgrades!$P$12,K105))*(IF(Upgrades!$T$6="Asteroid Belt",POWER(Upgrades!$U$6,E105),1)*IF(Upgrades!$T$8="Asteroid Belt",POWER(Upgrades!$U$8,G105),1)*IF(Upgrades!$T$9="Asteroid Belt",POWER(Upgrades!$U$9,H105),1)*IF(Upgrades!$T$10="Asteroid Belt",POWER(Upgrades!$U$10,I105),1)*IF(Upgrades!$T$11="Asteroid Belt",POWER(Upgrades!$U$11,J105),1)*IF(Upgrades!$T$12="Asteroid Belt",POWER(Upgrades!$U$12,K105),1))/AH105,0)</f>
        <v/>
      </c>
      <c r="AU105" s="32">
        <f>IFERROR(Upgrades!$K$8*(POWER(Upgrades!$Q$6,E105)*POWER(Upgrades!$Q$7,F105)*POWER(Upgrades!$Q$8,G105)*POWER(Upgrades!$Q$9,H105)*POWER(Upgrades!$Q$10,I105)*POWER(Upgrades!$Q$11,J105)*POWER(Upgrades!$Q$12,K105))*(IF(Upgrades!$T$6="Stellar Coupling",POWER(Upgrades!$U$6,E105),1)*IF(Upgrades!$T$7="Stellar Coupling",POWER(Upgrades!$U$7,F105),1)*IF(Upgrades!$T$9="Stellar Coupling",POWER(Upgrades!$U$9,H105),1)*IF(Upgrades!$T$10="Stellar Coupling",POWER(Upgrades!$U$10,I105),1)*IF(Upgrades!$T$11="Stellar Coupling",POWER(Upgrades!$U$11,J105),1)*IF(Upgrades!$T$12="Stellar Coupling",POWER(Upgrades!$U$12,K105),1))*Parameters!$B$10*Parameters!$B$11/60/AI105,0)</f>
        <v/>
      </c>
      <c r="AV105" s="32">
        <f>IFERROR(Upgrades!$H$9*(POWER(Upgrades!$P$6,E105)*POWER(Upgrades!$P$7,F105)*POWER(Upgrades!$P$8,G105)*POWER(Upgrades!$P$9,H105)*POWER(Upgrades!$P$10,I105)*POWER(Upgrades!$P$11,J105)*POWER(Upgrades!$P$12,K105))*(IF(Upgrades!$T$6="Magnetosphere",POWER(Upgrades!$U$6,E105),1)*IF(Upgrades!$T$7="Magnetosphere",POWER(Upgrades!$U$7,F105),1)*IF(Upgrades!$T$8="Magnetosphere",POWER(Upgrades!$U$8,G105),1)*IF(Upgrades!$T$10="Magnetosphere",POWER(Upgrades!$U$10,I105),1)*IF(Upgrades!$T$11="Magnetosphere",POWER(Upgrades!$U$11,J105),1)*IF(Upgrades!$T$12="Magnetosphere",POWER(Upgrades!$U$12,K105),1))/AJ105,0)</f>
        <v/>
      </c>
      <c r="AW105" s="32">
        <f>MAX(IF(I105&gt;0,0,IFERROR(0.25*N105/Upgrades!$C$10,0)),IF(J105&gt;0,0,IFERROR(0.5*((IF(G105=0,0,(Upgrades!$J$8+G105*Upgrades!$K$8)*POWER(Upgrades!$L$8,G105)))*(IF(Upgrades!$T$6="Stellar Coupling",POWER(Upgrades!$U$6,E105),1)*IF(Upgrades!$T$7="Stellar Coupling",POWER(Upgrades!$U$7,F105),1)*IF(Upgrades!$T$9="Stellar Coupling",POWER(Upgrades!$U$9,H105),1)*IF(Upgrades!$T$10="Stellar Coupling",POWER(Upgrades!$U$10,I105),1)*IF(Upgrades!$T$11="Stellar Coupling",POWER(Upgrades!$U$11,J105),1)*IF(Upgrades!$T$12="Stellar Coupling",POWER(Upgrades!$U$12,K105),1))*(POWER(Upgrades!$Q$6,E105)*POWER(Upgrades!$Q$7,F105)*POWER(Upgrades!$Q$8,G105)*POWER(Upgrades!$Q$9,H105)*POWER(Upgrades!$Q$10,I105)*POWER(Upgrades!$Q$11,J105)*POWER(Upgrades!$Q$12,K105))*Parameters!$B$10*Parameters!$B$11/60)/Upgrades!$C$11,0)),IF(K105&gt;0,0,IFERROR((1.0*(POWER(Upgrades!$P$6,E105)*POWER(Upgrades!$P$7,F105)*POWER(Upgrades!$P$8,G105)*POWER(Upgrades!$P$9,H105)*POWER(Upgrades!$P$10,I105)*POWER(Upgrades!$P$11,J105)*POWER(Upgrades!$P$12,K105))+0.20*M105*Parameters!$B$10*Parameters!$B$11/60)/Upgrades!$C$12,0)),IF(AND(ISNUMBER(AG105),AG105&gt;T105),AS105,0),IF(AND(ISNUMBER(AH105),AH105&gt;T105),AT105,0),IF(AND(ISNUMBER(AI105),AI105&gt;T105),AU105,0),IF(AND(ISNUMBER(AJ105),AJ105&gt;T105),AV105,0))</f>
        <v/>
      </c>
      <c r="AX105" s="29">
        <f>IF(AN105=1,"transition",IF(MIN(IF(AND(I105=0,ISNUMBER(AK105),AK105&lt;=T105),AK105,9E15),IF(AND(J105=0,ISNUMBER(AL105),AL105&lt;=T105),AL105,9E15),IF(AND(K105=0,ISNUMBER(AM105),AM105&lt;=T105),AM105,9E15))&lt;9E15,IF(AND(AND(I105=0,ISNUMBER(AK105),AK105&lt;=T105),AK105=MIN(IF(AND(I105=0,ISNUMBER(AK105),AK105&lt;=T105),AK105,9E15),IF(AND(J105=0,ISNUMBER(AL105),AL105&lt;=T105),AL105,9E15),IF(AND(K105=0,ISNUMBER(AM105),AM105&lt;=T105),AM105,9E15))),"OR",IF(AND(AND(J105=0,ISNUMBER(AL105),AL105&lt;=T105),AL105=MIN(IF(AND(I105=0,ISNUMBER(AK105),AK105&lt;=T105),AK105,9E15),IF(AND(J105=0,ISNUMBER(AL105),AL105&lt;=T105),AL105,9E15),IF(AND(K105=0,ISNUMBER(AM105),AM105&lt;=T105),AM105,9E15))),"HP","FP")),IF(AR105=TRUE,"",IF(MAX(IF(AND(NOT(AND(AO105=1,AN105&lt;&gt;1)),ISNUMBER(AG105),AG105&lt;=T105),AS105,0),IF(AND(NOT(AND(AO105=1,AN105&lt;&gt;1)),ISNUMBER(AH105),AH105&lt;=T105),AT105,0),IF(AND(NOT(AND(AO105=1,AN105&lt;&gt;1)),ISNUMBER(AI105),AI105&lt;=T105),AU105,0),IF(AND(ISNUMBER(AJ105),AJ105&lt;=T105),AV105,0))&lt;=0,"",IF(AND(IF(AND(NOT(AND(AO105=1,AN105&lt;&gt;1)),ISNUMBER(AG105),AG105&lt;=T105),AS105,0)&gt;0,IF(AND(NOT(AND(AO105=1,AN105&lt;&gt;1)),ISNUMBER(AG105),AG105&lt;=T105),AS105,0)=MAX(IF(AND(NOT(AND(AO105=1,AN105&lt;&gt;1)),ISNUMBER(AG105),AG105&lt;=T105),AS105,0),IF(AND(NOT(AND(AO105=1,AN105&lt;&gt;1)),ISNUMBER(AH105),AH105&lt;=T105),AT105,0),IF(AND(NOT(AND(AO105=1,AN105&lt;&gt;1)),ISNUMBER(AI105),AI105&lt;=T105),AU105,0),IF(AND(ISNUMBER(AJ105),AJ105&lt;=T105),AV105,0))),"SW",IF(AND(IF(AND(NOT(AND(AO105=1,AN105&lt;&gt;1)),ISNUMBER(AH105),AH105&lt;=T105),AT105,0)&gt;0,IF(AND(NOT(AND(AO105=1,AN105&lt;&gt;1)),ISNUMBER(AH105),AH105&lt;=T105),AT105,0)=MAX(IF(AND(NOT(AND(AO105=1,AN105&lt;&gt;1)),ISNUMBER(AG105),AG105&lt;=T105),AS105,0),IF(AND(NOT(AND(AO105=1,AN105&lt;&gt;1)),ISNUMBER(AH105),AH105&lt;=T105),AT105,0),IF(AND(NOT(AND(AO105=1,AN105&lt;&gt;1)),ISNUMBER(AI105),AI105&lt;=T105),AU105,0),IF(AND(ISNUMBER(AJ105),AJ105&lt;=T105),AV105,0))),"AB",IF(AND(IF(AND(NOT(AND(AO105=1,AN105&lt;&gt;1)),ISNUMBER(AI105),AI105&lt;=T105),AU105,0)&gt;0,IF(AND(NOT(AND(AO105=1,AN105&lt;&gt;1)),ISNUMBER(AI105),AI105&lt;=T105),AU105,0)=MAX(IF(AND(NOT(AND(AO105=1,AN105&lt;&gt;1)),ISNUMBER(AG105),AG105&lt;=T105),AS105,0),IF(AND(NOT(AND(AO105=1,AN105&lt;&gt;1)),ISNUMBER(AH105),AH105&lt;=T105),AT105,0),IF(AND(NOT(AND(AO105=1,AN105&lt;&gt;1)),ISNUMBER(AI105),AI105&lt;=T105),AU105,0),IF(AND(ISNUMBER(AJ105),AJ105&lt;=T105),AV105,0))),"SC","Mag")))))))</f>
        <v/>
      </c>
    </row>
    <row r="106">
      <c r="A106" s="26" t="n">
        <v>101</v>
      </c>
      <c r="B106" s="27">
        <f>A106*10/60</f>
        <v/>
      </c>
      <c r="C106" s="22">
        <f>X105</f>
        <v/>
      </c>
      <c r="D106" s="27">
        <f>D105+W105</f>
        <v/>
      </c>
      <c r="E106" s="26">
        <f>E105+IF(U105="SW",1,0)</f>
        <v/>
      </c>
      <c r="F106" s="26">
        <f>F105+IF(U105="AB",1,0)</f>
        <v/>
      </c>
      <c r="G106" s="26">
        <f>G105+IF(U105="SC",1,0)</f>
        <v/>
      </c>
      <c r="H106" s="26">
        <f>H105+IF(U105="Mag",1,0)</f>
        <v/>
      </c>
      <c r="I106" s="26">
        <f>MAX(I105,IF(U105="OR",1,0))</f>
        <v/>
      </c>
      <c r="J106" s="26">
        <f>MAX(J105,IF(U105="HP",1,0))</f>
        <v/>
      </c>
      <c r="K106" s="26">
        <f>MAX(K105,IF(U105="FP",1,0))</f>
        <v/>
      </c>
      <c r="L106" s="26">
        <f>MAX(L105,IF(U105="transition",1,0))</f>
        <v/>
      </c>
      <c r="M106" s="28">
        <f>(Parameters!$B$9+(IF(E106=0,0,(Upgrades!$J$6+E106*Upgrades!$K$6)*POWER(Upgrades!$L$6,E106)))*(IF(Upgrades!$T$7="Solar Wind",POWER(Upgrades!$U$7,F106),1)*IF(Upgrades!$T$8="Solar Wind",POWER(Upgrades!$U$8,G106),1)*IF(Upgrades!$T$9="Solar Wind",POWER(Upgrades!$U$9,H106),1)*IF(Upgrades!$T$10="Solar Wind",POWER(Upgrades!$U$10,I106),1)*IF(Upgrades!$T$11="Solar Wind",POWER(Upgrades!$U$11,J106),1)*IF(Upgrades!$T$12="Solar Wind",POWER(Upgrades!$U$12,K106),1))+(IF(F106=0,0,(Upgrades!$J$7+F106*Upgrades!$K$7)*POWER(Upgrades!$L$7,F106)))*(IF(Upgrades!$T$6="Asteroid Belt",POWER(Upgrades!$U$6,E106),1)*IF(Upgrades!$T$8="Asteroid Belt",POWER(Upgrades!$U$8,G106),1)*IF(Upgrades!$T$9="Asteroid Belt",POWER(Upgrades!$U$9,H106),1)*IF(Upgrades!$T$10="Asteroid Belt",POWER(Upgrades!$U$10,I106),1)*IF(Upgrades!$T$11="Asteroid Belt",POWER(Upgrades!$U$11,J106),1)*IF(Upgrades!$T$12="Asteroid Belt",POWER(Upgrades!$U$12,K106),1))+(IF(G106=0,0,(Upgrades!$J$8+G106*Upgrades!$K$8)*POWER(Upgrades!$L$8,G106)))*(IF(Upgrades!$T$6="Stellar Coupling",POWER(Upgrades!$U$6,E106),1)*IF(Upgrades!$T$7="Stellar Coupling",POWER(Upgrades!$U$7,F106),1)*IF(Upgrades!$T$9="Stellar Coupling",POWER(Upgrades!$U$9,H106),1)*IF(Upgrades!$T$10="Stellar Coupling",POWER(Upgrades!$U$10,I106),1)*IF(Upgrades!$T$11="Stellar Coupling",POWER(Upgrades!$U$11,J106),1)*IF(Upgrades!$T$12="Stellar Coupling",POWER(Upgrades!$U$12,K106),1))+(IF(H106=0,0,(Upgrades!$J$9+H106*Upgrades!$K$9)*POWER(Upgrades!$L$9,H106)))*(IF(Upgrades!$T$6="Magnetosphere",POWER(Upgrades!$U$6,E106),1)*IF(Upgrades!$T$7="Magnetosphere",POWER(Upgrades!$U$7,F106),1)*IF(Upgrades!$T$8="Magnetosphere",POWER(Upgrades!$U$8,G106),1)*IF(Upgrades!$T$10="Magnetosphere",POWER(Upgrades!$U$10,I106),1)*IF(Upgrades!$T$11="Magnetosphere",POWER(Upgrades!$U$11,J106),1)*IF(Upgrades!$T$12="Magnetosphere",POWER(Upgrades!$U$12,K106),1))+(IF(I106=0,0,(Upgrades!$J$10+I106*Upgrades!$K$10)*POWER(Upgrades!$L$10,I106)))*(IF(Upgrades!$T$6="Orbital Resonance",POWER(Upgrades!$U$6,E106),1)*IF(Upgrades!$T$7="Orbital Resonance",POWER(Upgrades!$U$7,F106),1)*IF(Upgrades!$T$8="Orbital Resonance",POWER(Upgrades!$U$8,G106),1)*IF(Upgrades!$T$9="Orbital Resonance",POWER(Upgrades!$U$9,H106),1)*IF(Upgrades!$T$11="Orbital Resonance",POWER(Upgrades!$U$11,J106),1)*IF(Upgrades!$T$12="Orbital Resonance",POWER(Upgrades!$U$12,K106),1))+(IF(J106=0,0,(Upgrades!$J$11+J106*Upgrades!$K$11)*POWER(Upgrades!$L$11,J106)))*(IF(Upgrades!$T$6="Heliopause",POWER(Upgrades!$U$6,E106),1)*IF(Upgrades!$T$7="Heliopause",POWER(Upgrades!$U$7,F106),1)*IF(Upgrades!$T$8="Heliopause",POWER(Upgrades!$U$8,G106),1)*IF(Upgrades!$T$9="Heliopause",POWER(Upgrades!$U$9,H106),1)*IF(Upgrades!$T$10="Heliopause",POWER(Upgrades!$U$10,I106),1)*IF(Upgrades!$T$12="Heliopause",POWER(Upgrades!$U$12,K106),1))+(IF(K106=0,0,(Upgrades!$J$12+K106*Upgrades!$K$12)*POWER(Upgrades!$L$12,K106)))*(IF(Upgrades!$T$6="First Photons",POWER(Upgrades!$U$6,E106),1)*IF(Upgrades!$T$7="First Photons",POWER(Upgrades!$U$7,F106),1)*IF(Upgrades!$T$8="First Photons",POWER(Upgrades!$U$8,G106),1)*IF(Upgrades!$T$9="First Photons",POWER(Upgrades!$U$9,H106),1)*IF(Upgrades!$T$10="First Photons",POWER(Upgrades!$U$10,I106),1)*IF(Upgrades!$T$11="First Photons",POWER(Upgrades!$U$11,J106),1)))*POWER(Upgrades!$Q$6,E106)*POWER(Upgrades!$Q$7,F106)*POWER(Upgrades!$Q$8,G106)*POWER(Upgrades!$Q$9,H106)*POWER(Upgrades!$Q$10,I106)*POWER(Upgrades!$Q$11,J106)*POWER(Upgrades!$Q$12,K106)</f>
        <v/>
      </c>
      <c r="N106" s="28">
        <f>((IF(E106=0,0,(Upgrades!$G$6+E106*Upgrades!$H$6)*POWER(Upgrades!$I$6,E106)))*(IF(Upgrades!$T$7="Solar Wind",POWER(Upgrades!$U$7,F106),1)*IF(Upgrades!$T$8="Solar Wind",POWER(Upgrades!$U$8,G106),1)*IF(Upgrades!$T$9="Solar Wind",POWER(Upgrades!$U$9,H106),1)*IF(Upgrades!$T$10="Solar Wind",POWER(Upgrades!$U$10,I106),1)*IF(Upgrades!$T$11="Solar Wind",POWER(Upgrades!$U$11,J106),1)*IF(Upgrades!$T$12="Solar Wind",POWER(Upgrades!$U$12,K106),1))+(IF(F106=0,0,(Upgrades!$G$7+F106*Upgrades!$H$7)*POWER(Upgrades!$I$7,F106)))*(IF(Upgrades!$T$6="Asteroid Belt",POWER(Upgrades!$U$6,E106),1)*IF(Upgrades!$T$8="Asteroid Belt",POWER(Upgrades!$U$8,G106),1)*IF(Upgrades!$T$9="Asteroid Belt",POWER(Upgrades!$U$9,H106),1)*IF(Upgrades!$T$10="Asteroid Belt",POWER(Upgrades!$U$10,I106),1)*IF(Upgrades!$T$11="Asteroid Belt",POWER(Upgrades!$U$11,J106),1)*IF(Upgrades!$T$12="Asteroid Belt",POWER(Upgrades!$U$12,K106),1))+(IF(G106=0,0,(Upgrades!$G$8+G106*Upgrades!$H$8)*POWER(Upgrades!$I$8,G106)))*(IF(Upgrades!$T$6="Stellar Coupling",POWER(Upgrades!$U$6,E106),1)*IF(Upgrades!$T$7="Stellar Coupling",POWER(Upgrades!$U$7,F106),1)*IF(Upgrades!$T$9="Stellar Coupling",POWER(Upgrades!$U$9,H106),1)*IF(Upgrades!$T$10="Stellar Coupling",POWER(Upgrades!$U$10,I106),1)*IF(Upgrades!$T$11="Stellar Coupling",POWER(Upgrades!$U$11,J106),1)*IF(Upgrades!$T$12="Stellar Coupling",POWER(Upgrades!$U$12,K106),1))+(IF(H106=0,0,(Upgrades!$G$9+H106*Upgrades!$H$9)*POWER(Upgrades!$I$9,H106)))*(IF(Upgrades!$T$6="Magnetosphere",POWER(Upgrades!$U$6,E106),1)*IF(Upgrades!$T$7="Magnetosphere",POWER(Upgrades!$U$7,F106),1)*IF(Upgrades!$T$8="Magnetosphere",POWER(Upgrades!$U$8,G106),1)*IF(Upgrades!$T$10="Magnetosphere",POWER(Upgrades!$U$10,I106),1)*IF(Upgrades!$T$11="Magnetosphere",POWER(Upgrades!$U$11,J106),1)*IF(Upgrades!$T$12="Magnetosphere",POWER(Upgrades!$U$12,K106),1))+(IF(I106=0,0,(Upgrades!$G$10+I106*Upgrades!$H$10)*POWER(Upgrades!$I$10,I106)))*(IF(Upgrades!$T$6="Orbital Resonance",POWER(Upgrades!$U$6,E106),1)*IF(Upgrades!$T$7="Orbital Resonance",POWER(Upgrades!$U$7,F106),1)*IF(Upgrades!$T$8="Orbital Resonance",POWER(Upgrades!$U$8,G106),1)*IF(Upgrades!$T$9="Orbital Resonance",POWER(Upgrades!$U$9,H106),1)*IF(Upgrades!$T$11="Orbital Resonance",POWER(Upgrades!$U$11,J106),1)*IF(Upgrades!$T$12="Orbital Resonance",POWER(Upgrades!$U$12,K106),1))+(IF(J106=0,0,(Upgrades!$G$11+J106*Upgrades!$H$11)*POWER(Upgrades!$I$11,J106)))*(IF(Upgrades!$T$6="Heliopause",POWER(Upgrades!$U$6,E106),1)*IF(Upgrades!$T$7="Heliopause",POWER(Upgrades!$U$7,F106),1)*IF(Upgrades!$T$8="Heliopause",POWER(Upgrades!$U$8,G106),1)*IF(Upgrades!$T$9="Heliopause",POWER(Upgrades!$U$9,H106),1)*IF(Upgrades!$T$10="Heliopause",POWER(Upgrades!$U$10,I106),1)*IF(Upgrades!$T$12="Heliopause",POWER(Upgrades!$U$12,K106),1))+(IF(K106=0,0,(Upgrades!$G$12+K106*Upgrades!$H$12)*POWER(Upgrades!$I$12,K106)))*(IF(Upgrades!$T$6="First Photons",POWER(Upgrades!$U$6,E106),1)*IF(Upgrades!$T$7="First Photons",POWER(Upgrades!$U$7,F106),1)*IF(Upgrades!$T$8="First Photons",POWER(Upgrades!$U$8,G106),1)*IF(Upgrades!$T$9="First Photons",POWER(Upgrades!$U$9,H106),1)*IF(Upgrades!$T$10="First Photons",POWER(Upgrades!$U$10,I106),1)*IF(Upgrades!$T$11="First Photons",POWER(Upgrades!$U$11,J106),1)))*POWER(Upgrades!$P$6,E106)*POWER(Upgrades!$P$7,F106)*POWER(Upgrades!$P$8,G106)*POWER(Upgrades!$P$9,H106)*POWER(Upgrades!$P$10,I106)*POWER(Upgrades!$P$11,J106)*POWER(Upgrades!$P$12,K106)</f>
        <v/>
      </c>
      <c r="O106" s="28">
        <f>((IF(E106=0,0,(Upgrades!$M$6+E106*Upgrades!$N$6)*POWER(Upgrades!$O$6,E106)))*(IF(Upgrades!$T$7="Solar Wind",POWER(Upgrades!$U$7,F106),1)*IF(Upgrades!$T$8="Solar Wind",POWER(Upgrades!$U$8,G106),1)*IF(Upgrades!$T$9="Solar Wind",POWER(Upgrades!$U$9,H106),1)*IF(Upgrades!$T$10="Solar Wind",POWER(Upgrades!$U$10,I106),1)*IF(Upgrades!$T$11="Solar Wind",POWER(Upgrades!$U$11,J106),1)*IF(Upgrades!$T$12="Solar Wind",POWER(Upgrades!$U$12,K106),1))+(IF(F106=0,0,(Upgrades!$M$7+F106*Upgrades!$N$7)*POWER(Upgrades!$O$7,F106)))*(IF(Upgrades!$T$6="Asteroid Belt",POWER(Upgrades!$U$6,E106),1)*IF(Upgrades!$T$8="Asteroid Belt",POWER(Upgrades!$U$8,G106),1)*IF(Upgrades!$T$9="Asteroid Belt",POWER(Upgrades!$U$9,H106),1)*IF(Upgrades!$T$10="Asteroid Belt",POWER(Upgrades!$U$10,I106),1)*IF(Upgrades!$T$11="Asteroid Belt",POWER(Upgrades!$U$11,J106),1)*IF(Upgrades!$T$12="Asteroid Belt",POWER(Upgrades!$U$12,K106),1))+(IF(G106=0,0,(Upgrades!$M$8+G106*Upgrades!$N$8)*POWER(Upgrades!$O$8,G106)))*(IF(Upgrades!$T$6="Stellar Coupling",POWER(Upgrades!$U$6,E106),1)*IF(Upgrades!$T$7="Stellar Coupling",POWER(Upgrades!$U$7,F106),1)*IF(Upgrades!$T$9="Stellar Coupling",POWER(Upgrades!$U$9,H106),1)*IF(Upgrades!$T$10="Stellar Coupling",POWER(Upgrades!$U$10,I106),1)*IF(Upgrades!$T$11="Stellar Coupling",POWER(Upgrades!$U$11,J106),1)*IF(Upgrades!$T$12="Stellar Coupling",POWER(Upgrades!$U$12,K106),1))+(IF(H106=0,0,(Upgrades!$M$9+H106*Upgrades!$N$9)*POWER(Upgrades!$O$9,H106)))*(IF(Upgrades!$T$6="Magnetosphere",POWER(Upgrades!$U$6,E106),1)*IF(Upgrades!$T$7="Magnetosphere",POWER(Upgrades!$U$7,F106),1)*IF(Upgrades!$T$8="Magnetosphere",POWER(Upgrades!$U$8,G106),1)*IF(Upgrades!$T$10="Magnetosphere",POWER(Upgrades!$U$10,I106),1)*IF(Upgrades!$T$11="Magnetosphere",POWER(Upgrades!$U$11,J106),1)*IF(Upgrades!$T$12="Magnetosphere",POWER(Upgrades!$U$12,K106),1))+(IF(I106=0,0,(Upgrades!$M$10+I106*Upgrades!$N$10)*POWER(Upgrades!$O$10,I106)))*(IF(Upgrades!$T$6="Orbital Resonance",POWER(Upgrades!$U$6,E106),1)*IF(Upgrades!$T$7="Orbital Resonance",POWER(Upgrades!$U$7,F106),1)*IF(Upgrades!$T$8="Orbital Resonance",POWER(Upgrades!$U$8,G106),1)*IF(Upgrades!$T$9="Orbital Resonance",POWER(Upgrades!$U$9,H106),1)*IF(Upgrades!$T$11="Orbital Resonance",POWER(Upgrades!$U$11,J106),1)*IF(Upgrades!$T$12="Orbital Resonance",POWER(Upgrades!$U$12,K106),1))+(IF(J106=0,0,(Upgrades!$M$11+J106*Upgrades!$N$11)*POWER(Upgrades!$O$11,J106)))*(IF(Upgrades!$T$6="Heliopause",POWER(Upgrades!$U$6,E106),1)*IF(Upgrades!$T$7="Heliopause",POWER(Upgrades!$U$7,F106),1)*IF(Upgrades!$T$8="Heliopause",POWER(Upgrades!$U$8,G106),1)*IF(Upgrades!$T$9="Heliopause",POWER(Upgrades!$U$9,H106),1)*IF(Upgrades!$T$10="Heliopause",POWER(Upgrades!$U$10,I106),1)*IF(Upgrades!$T$12="Heliopause",POWER(Upgrades!$U$12,K106),1))+(IF(K106=0,0,(Upgrades!$M$12+K106*Upgrades!$N$12)*POWER(Upgrades!$O$12,K106)))*(IF(Upgrades!$T$6="First Photons",POWER(Upgrades!$U$6,E106),1)*IF(Upgrades!$T$7="First Photons",POWER(Upgrades!$U$7,F106),1)*IF(Upgrades!$T$8="First Photons",POWER(Upgrades!$U$8,G106),1)*IF(Upgrades!$T$9="First Photons",POWER(Upgrades!$U$9,H106),1)*IF(Upgrades!$T$10="First Photons",POWER(Upgrades!$U$10,I106),1)*IF(Upgrades!$T$11="First Photons",POWER(Upgrades!$U$11,J106),1)))*POWER(Upgrades!$R$6,E106)*POWER(Upgrades!$R$7,F106)*POWER(Upgrades!$R$8,G106)*POWER(Upgrades!$R$9,H106)*POWER(Upgrades!$R$10,I106)*POWER(Upgrades!$R$11,J106)*POWER(Upgrades!$R$12,K106)</f>
        <v/>
      </c>
      <c r="P106" s="27">
        <f>IF(L106=1,0,M106*Parameters!$B$10/60*Parameters!$B$11*10)</f>
        <v/>
      </c>
      <c r="Q106" s="27">
        <f>IF(L106=1,0,O106*M106*10)</f>
        <v/>
      </c>
      <c r="R106" s="27">
        <f>IF(L106=1,0,N106*10)</f>
        <v/>
      </c>
      <c r="S106" s="27">
        <f>P106+Q106+R106</f>
        <v/>
      </c>
      <c r="T106" s="22">
        <f>C106+S106</f>
        <v/>
      </c>
      <c r="U106" s="33">
        <f>AX106</f>
        <v/>
      </c>
      <c r="V106" s="22">
        <f>IF(U106="",0,IF(U106="transition",0,IF(U106="SW",AG106,IF(U106="AB",AH106,IF(U106="SC",AI106,IF(U106="Mag",AJ106,IF(U106="OR",AK106,IF(U106="HP",AL106,IF(U106="FP",AM106,0)))))))))</f>
        <v/>
      </c>
      <c r="W106" s="27">
        <f>IF(U106="OR",Upgrades!$F$10,IF(U106="HP",Upgrades!$F$11,IF(U106="transition",-Parameters!$B$18,0)))</f>
        <v/>
      </c>
      <c r="X106" s="22">
        <f>T106-V106</f>
        <v/>
      </c>
      <c r="Y106" s="30">
        <f>M106*Parameters!$B$10/60*Parameters!$B$11+O106*M106+N106</f>
        <v/>
      </c>
      <c r="Z106" s="34">
        <f>IF(U106="transition","→ Tier 2 (Stellar Neighborhood)",IF(U106="FP","First Photons — light begins, system quickens",IF(U106="HP","Heliopause acquired",IF(U106="OR","Orbital Resonance — passive multiplier active",IF(AND(AO106=1,L106=0,AN106&lt;&gt;1),"Cohesion ready (waiting on completionist upgrades)","")))))</f>
        <v/>
      </c>
      <c r="AA106" s="27">
        <f>(IF(E106=0,0,(Upgrades!$G$6+E106*Upgrades!$H$6)*POWER(Upgrades!$I$6,E106)))*(IF(Upgrades!$T$7="Solar Wind",POWER(Upgrades!$U$7,F106),1)*IF(Upgrades!$T$8="Solar Wind",POWER(Upgrades!$U$8,G106),1)*IF(Upgrades!$T$9="Solar Wind",POWER(Upgrades!$U$9,H106),1)*IF(Upgrades!$T$10="Solar Wind",POWER(Upgrades!$U$10,I106),1)*IF(Upgrades!$T$11="Solar Wind",POWER(Upgrades!$U$11,J106),1)*IF(Upgrades!$T$12="Solar Wind",POWER(Upgrades!$U$12,K106),1))*POWER(Upgrades!$P$6,E106)*POWER(Upgrades!$P$7,F106)*POWER(Upgrades!$P$8,G106)*POWER(Upgrades!$P$9,H106)*POWER(Upgrades!$P$10,I106)*POWER(Upgrades!$P$11,J106)*POWER(Upgrades!$P$12,K106)*60</f>
        <v/>
      </c>
      <c r="AB106" s="27">
        <f>(IF(F106=0,0,(Upgrades!$G$7+F106*Upgrades!$H$7)*POWER(Upgrades!$I$7,F106)))*(IF(Upgrades!$T$6="Asteroid Belt",POWER(Upgrades!$U$6,E106),1)*IF(Upgrades!$T$8="Asteroid Belt",POWER(Upgrades!$U$8,G106),1)*IF(Upgrades!$T$9="Asteroid Belt",POWER(Upgrades!$U$9,H106),1)*IF(Upgrades!$T$10="Asteroid Belt",POWER(Upgrades!$U$10,I106),1)*IF(Upgrades!$T$11="Asteroid Belt",POWER(Upgrades!$U$11,J106),1)*IF(Upgrades!$T$12="Asteroid Belt",POWER(Upgrades!$U$12,K106),1))*POWER(Upgrades!$P$6,E106)*POWER(Upgrades!$P$7,F106)*POWER(Upgrades!$P$8,G106)*POWER(Upgrades!$P$9,H106)*POWER(Upgrades!$P$10,I106)*POWER(Upgrades!$P$11,J106)*POWER(Upgrades!$P$12,K106)*60</f>
        <v/>
      </c>
      <c r="AC106" s="27">
        <f>(IF(G106=0,0,(Upgrades!$J$8+G106*Upgrades!$K$8)*POWER(Upgrades!$L$8,G106)))*(IF(Upgrades!$T$6="Stellar Coupling",POWER(Upgrades!$U$6,E106),1)*IF(Upgrades!$T$7="Stellar Coupling",POWER(Upgrades!$U$7,F106),1)*IF(Upgrades!$T$9="Stellar Coupling",POWER(Upgrades!$U$9,H106),1)*IF(Upgrades!$T$10="Stellar Coupling",POWER(Upgrades!$U$10,I106),1)*IF(Upgrades!$T$11="Stellar Coupling",POWER(Upgrades!$U$11,J106),1)*IF(Upgrades!$T$12="Stellar Coupling",POWER(Upgrades!$U$12,K106),1))*POWER(Upgrades!$Q$6,E106)*POWER(Upgrades!$Q$7,F106)*POWER(Upgrades!$Q$8,G106)*POWER(Upgrades!$Q$9,H106)*POWER(Upgrades!$Q$10,I106)*POWER(Upgrades!$Q$11,J106)*POWER(Upgrades!$Q$12,K106)*Parameters!$B$10*Parameters!$B$11</f>
        <v/>
      </c>
      <c r="AD106" s="27">
        <f>(IF(H106=0,0,(Upgrades!$G$9+H106*Upgrades!$H$9)*POWER(Upgrades!$I$9,H106)))*(IF(Upgrades!$T$6="Magnetosphere",POWER(Upgrades!$U$6,E106),1)*IF(Upgrades!$T$7="Magnetosphere",POWER(Upgrades!$U$7,F106),1)*IF(Upgrades!$T$8="Magnetosphere",POWER(Upgrades!$U$8,G106),1)*IF(Upgrades!$T$10="Magnetosphere",POWER(Upgrades!$U$10,I106),1)*IF(Upgrades!$T$11="Magnetosphere",POWER(Upgrades!$U$11,J106),1)*IF(Upgrades!$T$12="Magnetosphere",POWER(Upgrades!$U$12,K106),1))*POWER(Upgrades!$P$6,E106)*POWER(Upgrades!$P$7,F106)*POWER(Upgrades!$P$8,G106)*POWER(Upgrades!$P$9,H106)*POWER(Upgrades!$P$10,I106)*POWER(Upgrades!$P$11,J106)*POWER(Upgrades!$P$12,K106)*60</f>
        <v/>
      </c>
      <c r="AE106" s="27">
        <f>(IF(K106=0,0,(Upgrades!$G$12+K106*Upgrades!$H$12)*POWER(Upgrades!$I$12,K106)))*(IF(Upgrades!$T$6="First Photons",POWER(Upgrades!$U$6,E106),1)*IF(Upgrades!$T$7="First Photons",POWER(Upgrades!$U$7,F106),1)*IF(Upgrades!$T$8="First Photons",POWER(Upgrades!$U$8,G106),1)*IF(Upgrades!$T$9="First Photons",POWER(Upgrades!$U$9,H106),1)*IF(Upgrades!$T$10="First Photons",POWER(Upgrades!$U$10,I106),1)*IF(Upgrades!$T$11="First Photons",POWER(Upgrades!$U$11,J106),1))*POWER(Upgrades!$P$6,E106)*POWER(Upgrades!$P$7,F106)*POWER(Upgrades!$P$8,G106)*POWER(Upgrades!$P$9,H106)*POWER(Upgrades!$P$10,I106)*POWER(Upgrades!$P$11,J106)*POWER(Upgrades!$P$12,K106)*60</f>
        <v/>
      </c>
      <c r="AF106" s="27">
        <f>Parameters!$B$9*POWER(Upgrades!$Q$6,E106)*POWER(Upgrades!$Q$7,F106)*POWER(Upgrades!$Q$8,G106)*POWER(Upgrades!$Q$9,H106)*POWER(Upgrades!$Q$10,I106)*POWER(Upgrades!$Q$11,J106)*POWER(Upgrades!$Q$12,K106)*(Parameters!$B$10*Parameters!$B$11+O106*60)</f>
        <v/>
      </c>
      <c r="AG106" s="22">
        <f>IF(E106&gt;=Upgrades!$E$6,"",Upgrades!$C$6*POWER(Upgrades!$D$6,E106))</f>
        <v/>
      </c>
      <c r="AH106" s="22">
        <f>IF(F106&gt;=Upgrades!$E$7,"",Upgrades!$C$7*POWER(Upgrades!$D$7,F106))</f>
        <v/>
      </c>
      <c r="AI106" s="22">
        <f>IF(G106&gt;=Upgrades!$E$8,"",Upgrades!$C$8*POWER(Upgrades!$D$8,G106))</f>
        <v/>
      </c>
      <c r="AJ106" s="22">
        <f>IF(H106&gt;=Upgrades!$E$9,"",Upgrades!$C$9*POWER(Upgrades!$D$9,H106))</f>
        <v/>
      </c>
      <c r="AK106" s="22">
        <f>IF(I106&gt;=Upgrades!$E$10,"",Upgrades!$C$10*POWER(Upgrades!$D$10,I106))</f>
        <v/>
      </c>
      <c r="AL106" s="22">
        <f>IF(J106&gt;=Upgrades!$E$11,"",Upgrades!$C$11*POWER(Upgrades!$D$11,J106))</f>
        <v/>
      </c>
      <c r="AM106" s="22">
        <f>IF(K106&gt;=Upgrades!$E$12,"",Upgrades!$C$12*POWER(Upgrades!$D$12,K106))</f>
        <v/>
      </c>
      <c r="AN106" s="26">
        <f>IF(AND(D106&gt;=Parameters!$B$18,(H106&gt;=Upgrades!$E$9)*(K106&gt;=Upgrades!$E$12)=1,L106=0),1,"")</f>
        <v/>
      </c>
      <c r="AO106" s="26">
        <f>IF(AND(D106&gt;=Parameters!$B$18,L106=0),1,"")</f>
        <v/>
      </c>
      <c r="AP106" s="22">
        <f>MIN(IF(ISNUMBER(AK106),AK106,9E15),IF(ISNUMBER(AL106),AL106,9E15),IF(ISNUMBER(AM106),AM106,9E15))</f>
        <v/>
      </c>
      <c r="AQ106" s="22">
        <f>MIN(IF(ISNUMBER(AG106),AG106,9E15),IF(ISNUMBER(AH106),AH106,9E15),IF(ISNUMBER(AI106),AI106,9E15),IF(ISNUMBER(AJ106),AJ106,9E15))</f>
        <v/>
      </c>
      <c r="AR106" s="29">
        <f>IF(AW106&gt;Parameters!$B$21*(MAX(IF(AND(NOT(AND(AO106=1,AN106&lt;&gt;1)),ISNUMBER(AG106),AG106&lt;=T106),AS106,0),IF(AND(NOT(AND(AO106=1,AN106&lt;&gt;1)),ISNUMBER(AH106),AH106&lt;=T106),AT106,0),IF(AND(NOT(AND(AO106=1,AN106&lt;&gt;1)),ISNUMBER(AI106),AI106&lt;=T106),AU106,0),IF(AND(ISNUMBER(AJ106),AJ106&lt;=T106),AV106,0))),TRUE,FALSE)</f>
        <v/>
      </c>
      <c r="AS106" s="32">
        <f>IFERROR(Upgrades!$H$6*(POWER(Upgrades!$P$6,E106)*POWER(Upgrades!$P$7,F106)*POWER(Upgrades!$P$8,G106)*POWER(Upgrades!$P$9,H106)*POWER(Upgrades!$P$10,I106)*POWER(Upgrades!$P$11,J106)*POWER(Upgrades!$P$12,K106))*(IF(Upgrades!$T$7="Solar Wind",POWER(Upgrades!$U$7,F106),1)*IF(Upgrades!$T$8="Solar Wind",POWER(Upgrades!$U$8,G106),1)*IF(Upgrades!$T$9="Solar Wind",POWER(Upgrades!$U$9,H106),1)*IF(Upgrades!$T$10="Solar Wind",POWER(Upgrades!$U$10,I106),1)*IF(Upgrades!$T$11="Solar Wind",POWER(Upgrades!$U$11,J106),1)*IF(Upgrades!$T$12="Solar Wind",POWER(Upgrades!$U$12,K106),1))/AG106,0)</f>
        <v/>
      </c>
      <c r="AT106" s="32">
        <f>IFERROR(Upgrades!$H$7*(POWER(Upgrades!$P$6,E106)*POWER(Upgrades!$P$7,F106)*POWER(Upgrades!$P$8,G106)*POWER(Upgrades!$P$9,H106)*POWER(Upgrades!$P$10,I106)*POWER(Upgrades!$P$11,J106)*POWER(Upgrades!$P$12,K106))*(IF(Upgrades!$T$6="Asteroid Belt",POWER(Upgrades!$U$6,E106),1)*IF(Upgrades!$T$8="Asteroid Belt",POWER(Upgrades!$U$8,G106),1)*IF(Upgrades!$T$9="Asteroid Belt",POWER(Upgrades!$U$9,H106),1)*IF(Upgrades!$T$10="Asteroid Belt",POWER(Upgrades!$U$10,I106),1)*IF(Upgrades!$T$11="Asteroid Belt",POWER(Upgrades!$U$11,J106),1)*IF(Upgrades!$T$12="Asteroid Belt",POWER(Upgrades!$U$12,K106),1))/AH106,0)</f>
        <v/>
      </c>
      <c r="AU106" s="32">
        <f>IFERROR(Upgrades!$K$8*(POWER(Upgrades!$Q$6,E106)*POWER(Upgrades!$Q$7,F106)*POWER(Upgrades!$Q$8,G106)*POWER(Upgrades!$Q$9,H106)*POWER(Upgrades!$Q$10,I106)*POWER(Upgrades!$Q$11,J106)*POWER(Upgrades!$Q$12,K106))*(IF(Upgrades!$T$6="Stellar Coupling",POWER(Upgrades!$U$6,E106),1)*IF(Upgrades!$T$7="Stellar Coupling",POWER(Upgrades!$U$7,F106),1)*IF(Upgrades!$T$9="Stellar Coupling",POWER(Upgrades!$U$9,H106),1)*IF(Upgrades!$T$10="Stellar Coupling",POWER(Upgrades!$U$10,I106),1)*IF(Upgrades!$T$11="Stellar Coupling",POWER(Upgrades!$U$11,J106),1)*IF(Upgrades!$T$12="Stellar Coupling",POWER(Upgrades!$U$12,K106),1))*Parameters!$B$10*Parameters!$B$11/60/AI106,0)</f>
        <v/>
      </c>
      <c r="AV106" s="32">
        <f>IFERROR(Upgrades!$H$9*(POWER(Upgrades!$P$6,E106)*POWER(Upgrades!$P$7,F106)*POWER(Upgrades!$P$8,G106)*POWER(Upgrades!$P$9,H106)*POWER(Upgrades!$P$10,I106)*POWER(Upgrades!$P$11,J106)*POWER(Upgrades!$P$12,K106))*(IF(Upgrades!$T$6="Magnetosphere",POWER(Upgrades!$U$6,E106),1)*IF(Upgrades!$T$7="Magnetosphere",POWER(Upgrades!$U$7,F106),1)*IF(Upgrades!$T$8="Magnetosphere",POWER(Upgrades!$U$8,G106),1)*IF(Upgrades!$T$10="Magnetosphere",POWER(Upgrades!$U$10,I106),1)*IF(Upgrades!$T$11="Magnetosphere",POWER(Upgrades!$U$11,J106),1)*IF(Upgrades!$T$12="Magnetosphere",POWER(Upgrades!$U$12,K106),1))/AJ106,0)</f>
        <v/>
      </c>
      <c r="AW106" s="32">
        <f>MAX(IF(I106&gt;0,0,IFERROR(0.25*N106/Upgrades!$C$10,0)),IF(J106&gt;0,0,IFERROR(0.5*((IF(G106=0,0,(Upgrades!$J$8+G106*Upgrades!$K$8)*POWER(Upgrades!$L$8,G106)))*(IF(Upgrades!$T$6="Stellar Coupling",POWER(Upgrades!$U$6,E106),1)*IF(Upgrades!$T$7="Stellar Coupling",POWER(Upgrades!$U$7,F106),1)*IF(Upgrades!$T$9="Stellar Coupling",POWER(Upgrades!$U$9,H106),1)*IF(Upgrades!$T$10="Stellar Coupling",POWER(Upgrades!$U$10,I106),1)*IF(Upgrades!$T$11="Stellar Coupling",POWER(Upgrades!$U$11,J106),1)*IF(Upgrades!$T$12="Stellar Coupling",POWER(Upgrades!$U$12,K106),1))*(POWER(Upgrades!$Q$6,E106)*POWER(Upgrades!$Q$7,F106)*POWER(Upgrades!$Q$8,G106)*POWER(Upgrades!$Q$9,H106)*POWER(Upgrades!$Q$10,I106)*POWER(Upgrades!$Q$11,J106)*POWER(Upgrades!$Q$12,K106))*Parameters!$B$10*Parameters!$B$11/60)/Upgrades!$C$11,0)),IF(K106&gt;0,0,IFERROR((1.0*(POWER(Upgrades!$P$6,E106)*POWER(Upgrades!$P$7,F106)*POWER(Upgrades!$P$8,G106)*POWER(Upgrades!$P$9,H106)*POWER(Upgrades!$P$10,I106)*POWER(Upgrades!$P$11,J106)*POWER(Upgrades!$P$12,K106))+0.20*M106*Parameters!$B$10*Parameters!$B$11/60)/Upgrades!$C$12,0)),IF(AND(ISNUMBER(AG106),AG106&gt;T106),AS106,0),IF(AND(ISNUMBER(AH106),AH106&gt;T106),AT106,0),IF(AND(ISNUMBER(AI106),AI106&gt;T106),AU106,0),IF(AND(ISNUMBER(AJ106),AJ106&gt;T106),AV106,0))</f>
        <v/>
      </c>
      <c r="AX106" s="29">
        <f>IF(AN106=1,"transition",IF(MIN(IF(AND(I106=0,ISNUMBER(AK106),AK106&lt;=T106),AK106,9E15),IF(AND(J106=0,ISNUMBER(AL106),AL106&lt;=T106),AL106,9E15),IF(AND(K106=0,ISNUMBER(AM106),AM106&lt;=T106),AM106,9E15))&lt;9E15,IF(AND(AND(I106=0,ISNUMBER(AK106),AK106&lt;=T106),AK106=MIN(IF(AND(I106=0,ISNUMBER(AK106),AK106&lt;=T106),AK106,9E15),IF(AND(J106=0,ISNUMBER(AL106),AL106&lt;=T106),AL106,9E15),IF(AND(K106=0,ISNUMBER(AM106),AM106&lt;=T106),AM106,9E15))),"OR",IF(AND(AND(J106=0,ISNUMBER(AL106),AL106&lt;=T106),AL106=MIN(IF(AND(I106=0,ISNUMBER(AK106),AK106&lt;=T106),AK106,9E15),IF(AND(J106=0,ISNUMBER(AL106),AL106&lt;=T106),AL106,9E15),IF(AND(K106=0,ISNUMBER(AM106),AM106&lt;=T106),AM106,9E15))),"HP","FP")),IF(AR106=TRUE,"",IF(MAX(IF(AND(NOT(AND(AO106=1,AN106&lt;&gt;1)),ISNUMBER(AG106),AG106&lt;=T106),AS106,0),IF(AND(NOT(AND(AO106=1,AN106&lt;&gt;1)),ISNUMBER(AH106),AH106&lt;=T106),AT106,0),IF(AND(NOT(AND(AO106=1,AN106&lt;&gt;1)),ISNUMBER(AI106),AI106&lt;=T106),AU106,0),IF(AND(ISNUMBER(AJ106),AJ106&lt;=T106),AV106,0))&lt;=0,"",IF(AND(IF(AND(NOT(AND(AO106=1,AN106&lt;&gt;1)),ISNUMBER(AG106),AG106&lt;=T106),AS106,0)&gt;0,IF(AND(NOT(AND(AO106=1,AN106&lt;&gt;1)),ISNUMBER(AG106),AG106&lt;=T106),AS106,0)=MAX(IF(AND(NOT(AND(AO106=1,AN106&lt;&gt;1)),ISNUMBER(AG106),AG106&lt;=T106),AS106,0),IF(AND(NOT(AND(AO106=1,AN106&lt;&gt;1)),ISNUMBER(AH106),AH106&lt;=T106),AT106,0),IF(AND(NOT(AND(AO106=1,AN106&lt;&gt;1)),ISNUMBER(AI106),AI106&lt;=T106),AU106,0),IF(AND(ISNUMBER(AJ106),AJ106&lt;=T106),AV106,0))),"SW",IF(AND(IF(AND(NOT(AND(AO106=1,AN106&lt;&gt;1)),ISNUMBER(AH106),AH106&lt;=T106),AT106,0)&gt;0,IF(AND(NOT(AND(AO106=1,AN106&lt;&gt;1)),ISNUMBER(AH106),AH106&lt;=T106),AT106,0)=MAX(IF(AND(NOT(AND(AO106=1,AN106&lt;&gt;1)),ISNUMBER(AG106),AG106&lt;=T106),AS106,0),IF(AND(NOT(AND(AO106=1,AN106&lt;&gt;1)),ISNUMBER(AH106),AH106&lt;=T106),AT106,0),IF(AND(NOT(AND(AO106=1,AN106&lt;&gt;1)),ISNUMBER(AI106),AI106&lt;=T106),AU106,0),IF(AND(ISNUMBER(AJ106),AJ106&lt;=T106),AV106,0))),"AB",IF(AND(IF(AND(NOT(AND(AO106=1,AN106&lt;&gt;1)),ISNUMBER(AI106),AI106&lt;=T106),AU106,0)&gt;0,IF(AND(NOT(AND(AO106=1,AN106&lt;&gt;1)),ISNUMBER(AI106),AI106&lt;=T106),AU106,0)=MAX(IF(AND(NOT(AND(AO106=1,AN106&lt;&gt;1)),ISNUMBER(AG106),AG106&lt;=T106),AS106,0),IF(AND(NOT(AND(AO106=1,AN106&lt;&gt;1)),ISNUMBER(AH106),AH106&lt;=T106),AT106,0),IF(AND(NOT(AND(AO106=1,AN106&lt;&gt;1)),ISNUMBER(AI106),AI106&lt;=T106),AU106,0),IF(AND(ISNUMBER(AJ106),AJ106&lt;=T106),AV106,0))),"SC","Mag")))))))</f>
        <v/>
      </c>
    </row>
    <row r="107">
      <c r="A107" s="26" t="n">
        <v>102</v>
      </c>
      <c r="B107" s="27">
        <f>A107*10/60</f>
        <v/>
      </c>
      <c r="C107" s="22">
        <f>X106</f>
        <v/>
      </c>
      <c r="D107" s="27">
        <f>D106+W106</f>
        <v/>
      </c>
      <c r="E107" s="26">
        <f>E106+IF(U106="SW",1,0)</f>
        <v/>
      </c>
      <c r="F107" s="26">
        <f>F106+IF(U106="AB",1,0)</f>
        <v/>
      </c>
      <c r="G107" s="26">
        <f>G106+IF(U106="SC",1,0)</f>
        <v/>
      </c>
      <c r="H107" s="26">
        <f>H106+IF(U106="Mag",1,0)</f>
        <v/>
      </c>
      <c r="I107" s="26">
        <f>MAX(I106,IF(U106="OR",1,0))</f>
        <v/>
      </c>
      <c r="J107" s="26">
        <f>MAX(J106,IF(U106="HP",1,0))</f>
        <v/>
      </c>
      <c r="K107" s="26">
        <f>MAX(K106,IF(U106="FP",1,0))</f>
        <v/>
      </c>
      <c r="L107" s="26">
        <f>MAX(L106,IF(U106="transition",1,0))</f>
        <v/>
      </c>
      <c r="M107" s="28">
        <f>(Parameters!$B$9+(IF(E107=0,0,(Upgrades!$J$6+E107*Upgrades!$K$6)*POWER(Upgrades!$L$6,E107)))*(IF(Upgrades!$T$7="Solar Wind",POWER(Upgrades!$U$7,F107),1)*IF(Upgrades!$T$8="Solar Wind",POWER(Upgrades!$U$8,G107),1)*IF(Upgrades!$T$9="Solar Wind",POWER(Upgrades!$U$9,H107),1)*IF(Upgrades!$T$10="Solar Wind",POWER(Upgrades!$U$10,I107),1)*IF(Upgrades!$T$11="Solar Wind",POWER(Upgrades!$U$11,J107),1)*IF(Upgrades!$T$12="Solar Wind",POWER(Upgrades!$U$12,K107),1))+(IF(F107=0,0,(Upgrades!$J$7+F107*Upgrades!$K$7)*POWER(Upgrades!$L$7,F107)))*(IF(Upgrades!$T$6="Asteroid Belt",POWER(Upgrades!$U$6,E107),1)*IF(Upgrades!$T$8="Asteroid Belt",POWER(Upgrades!$U$8,G107),1)*IF(Upgrades!$T$9="Asteroid Belt",POWER(Upgrades!$U$9,H107),1)*IF(Upgrades!$T$10="Asteroid Belt",POWER(Upgrades!$U$10,I107),1)*IF(Upgrades!$T$11="Asteroid Belt",POWER(Upgrades!$U$11,J107),1)*IF(Upgrades!$T$12="Asteroid Belt",POWER(Upgrades!$U$12,K107),1))+(IF(G107=0,0,(Upgrades!$J$8+G107*Upgrades!$K$8)*POWER(Upgrades!$L$8,G107)))*(IF(Upgrades!$T$6="Stellar Coupling",POWER(Upgrades!$U$6,E107),1)*IF(Upgrades!$T$7="Stellar Coupling",POWER(Upgrades!$U$7,F107),1)*IF(Upgrades!$T$9="Stellar Coupling",POWER(Upgrades!$U$9,H107),1)*IF(Upgrades!$T$10="Stellar Coupling",POWER(Upgrades!$U$10,I107),1)*IF(Upgrades!$T$11="Stellar Coupling",POWER(Upgrades!$U$11,J107),1)*IF(Upgrades!$T$12="Stellar Coupling",POWER(Upgrades!$U$12,K107),1))+(IF(H107=0,0,(Upgrades!$J$9+H107*Upgrades!$K$9)*POWER(Upgrades!$L$9,H107)))*(IF(Upgrades!$T$6="Magnetosphere",POWER(Upgrades!$U$6,E107),1)*IF(Upgrades!$T$7="Magnetosphere",POWER(Upgrades!$U$7,F107),1)*IF(Upgrades!$T$8="Magnetosphere",POWER(Upgrades!$U$8,G107),1)*IF(Upgrades!$T$10="Magnetosphere",POWER(Upgrades!$U$10,I107),1)*IF(Upgrades!$T$11="Magnetosphere",POWER(Upgrades!$U$11,J107),1)*IF(Upgrades!$T$12="Magnetosphere",POWER(Upgrades!$U$12,K107),1))+(IF(I107=0,0,(Upgrades!$J$10+I107*Upgrades!$K$10)*POWER(Upgrades!$L$10,I107)))*(IF(Upgrades!$T$6="Orbital Resonance",POWER(Upgrades!$U$6,E107),1)*IF(Upgrades!$T$7="Orbital Resonance",POWER(Upgrades!$U$7,F107),1)*IF(Upgrades!$T$8="Orbital Resonance",POWER(Upgrades!$U$8,G107),1)*IF(Upgrades!$T$9="Orbital Resonance",POWER(Upgrades!$U$9,H107),1)*IF(Upgrades!$T$11="Orbital Resonance",POWER(Upgrades!$U$11,J107),1)*IF(Upgrades!$T$12="Orbital Resonance",POWER(Upgrades!$U$12,K107),1))+(IF(J107=0,0,(Upgrades!$J$11+J107*Upgrades!$K$11)*POWER(Upgrades!$L$11,J107)))*(IF(Upgrades!$T$6="Heliopause",POWER(Upgrades!$U$6,E107),1)*IF(Upgrades!$T$7="Heliopause",POWER(Upgrades!$U$7,F107),1)*IF(Upgrades!$T$8="Heliopause",POWER(Upgrades!$U$8,G107),1)*IF(Upgrades!$T$9="Heliopause",POWER(Upgrades!$U$9,H107),1)*IF(Upgrades!$T$10="Heliopause",POWER(Upgrades!$U$10,I107),1)*IF(Upgrades!$T$12="Heliopause",POWER(Upgrades!$U$12,K107),1))+(IF(K107=0,0,(Upgrades!$J$12+K107*Upgrades!$K$12)*POWER(Upgrades!$L$12,K107)))*(IF(Upgrades!$T$6="First Photons",POWER(Upgrades!$U$6,E107),1)*IF(Upgrades!$T$7="First Photons",POWER(Upgrades!$U$7,F107),1)*IF(Upgrades!$T$8="First Photons",POWER(Upgrades!$U$8,G107),1)*IF(Upgrades!$T$9="First Photons",POWER(Upgrades!$U$9,H107),1)*IF(Upgrades!$T$10="First Photons",POWER(Upgrades!$U$10,I107),1)*IF(Upgrades!$T$11="First Photons",POWER(Upgrades!$U$11,J107),1)))*POWER(Upgrades!$Q$6,E107)*POWER(Upgrades!$Q$7,F107)*POWER(Upgrades!$Q$8,G107)*POWER(Upgrades!$Q$9,H107)*POWER(Upgrades!$Q$10,I107)*POWER(Upgrades!$Q$11,J107)*POWER(Upgrades!$Q$12,K107)</f>
        <v/>
      </c>
      <c r="N107" s="28">
        <f>((IF(E107=0,0,(Upgrades!$G$6+E107*Upgrades!$H$6)*POWER(Upgrades!$I$6,E107)))*(IF(Upgrades!$T$7="Solar Wind",POWER(Upgrades!$U$7,F107),1)*IF(Upgrades!$T$8="Solar Wind",POWER(Upgrades!$U$8,G107),1)*IF(Upgrades!$T$9="Solar Wind",POWER(Upgrades!$U$9,H107),1)*IF(Upgrades!$T$10="Solar Wind",POWER(Upgrades!$U$10,I107),1)*IF(Upgrades!$T$11="Solar Wind",POWER(Upgrades!$U$11,J107),1)*IF(Upgrades!$T$12="Solar Wind",POWER(Upgrades!$U$12,K107),1))+(IF(F107=0,0,(Upgrades!$G$7+F107*Upgrades!$H$7)*POWER(Upgrades!$I$7,F107)))*(IF(Upgrades!$T$6="Asteroid Belt",POWER(Upgrades!$U$6,E107),1)*IF(Upgrades!$T$8="Asteroid Belt",POWER(Upgrades!$U$8,G107),1)*IF(Upgrades!$T$9="Asteroid Belt",POWER(Upgrades!$U$9,H107),1)*IF(Upgrades!$T$10="Asteroid Belt",POWER(Upgrades!$U$10,I107),1)*IF(Upgrades!$T$11="Asteroid Belt",POWER(Upgrades!$U$11,J107),1)*IF(Upgrades!$T$12="Asteroid Belt",POWER(Upgrades!$U$12,K107),1))+(IF(G107=0,0,(Upgrades!$G$8+G107*Upgrades!$H$8)*POWER(Upgrades!$I$8,G107)))*(IF(Upgrades!$T$6="Stellar Coupling",POWER(Upgrades!$U$6,E107),1)*IF(Upgrades!$T$7="Stellar Coupling",POWER(Upgrades!$U$7,F107),1)*IF(Upgrades!$T$9="Stellar Coupling",POWER(Upgrades!$U$9,H107),1)*IF(Upgrades!$T$10="Stellar Coupling",POWER(Upgrades!$U$10,I107),1)*IF(Upgrades!$T$11="Stellar Coupling",POWER(Upgrades!$U$11,J107),1)*IF(Upgrades!$T$12="Stellar Coupling",POWER(Upgrades!$U$12,K107),1))+(IF(H107=0,0,(Upgrades!$G$9+H107*Upgrades!$H$9)*POWER(Upgrades!$I$9,H107)))*(IF(Upgrades!$T$6="Magnetosphere",POWER(Upgrades!$U$6,E107),1)*IF(Upgrades!$T$7="Magnetosphere",POWER(Upgrades!$U$7,F107),1)*IF(Upgrades!$T$8="Magnetosphere",POWER(Upgrades!$U$8,G107),1)*IF(Upgrades!$T$10="Magnetosphere",POWER(Upgrades!$U$10,I107),1)*IF(Upgrades!$T$11="Magnetosphere",POWER(Upgrades!$U$11,J107),1)*IF(Upgrades!$T$12="Magnetosphere",POWER(Upgrades!$U$12,K107),1))+(IF(I107=0,0,(Upgrades!$G$10+I107*Upgrades!$H$10)*POWER(Upgrades!$I$10,I107)))*(IF(Upgrades!$T$6="Orbital Resonance",POWER(Upgrades!$U$6,E107),1)*IF(Upgrades!$T$7="Orbital Resonance",POWER(Upgrades!$U$7,F107),1)*IF(Upgrades!$T$8="Orbital Resonance",POWER(Upgrades!$U$8,G107),1)*IF(Upgrades!$T$9="Orbital Resonance",POWER(Upgrades!$U$9,H107),1)*IF(Upgrades!$T$11="Orbital Resonance",POWER(Upgrades!$U$11,J107),1)*IF(Upgrades!$T$12="Orbital Resonance",POWER(Upgrades!$U$12,K107),1))+(IF(J107=0,0,(Upgrades!$G$11+J107*Upgrades!$H$11)*POWER(Upgrades!$I$11,J107)))*(IF(Upgrades!$T$6="Heliopause",POWER(Upgrades!$U$6,E107),1)*IF(Upgrades!$T$7="Heliopause",POWER(Upgrades!$U$7,F107),1)*IF(Upgrades!$T$8="Heliopause",POWER(Upgrades!$U$8,G107),1)*IF(Upgrades!$T$9="Heliopause",POWER(Upgrades!$U$9,H107),1)*IF(Upgrades!$T$10="Heliopause",POWER(Upgrades!$U$10,I107),1)*IF(Upgrades!$T$12="Heliopause",POWER(Upgrades!$U$12,K107),1))+(IF(K107=0,0,(Upgrades!$G$12+K107*Upgrades!$H$12)*POWER(Upgrades!$I$12,K107)))*(IF(Upgrades!$T$6="First Photons",POWER(Upgrades!$U$6,E107),1)*IF(Upgrades!$T$7="First Photons",POWER(Upgrades!$U$7,F107),1)*IF(Upgrades!$T$8="First Photons",POWER(Upgrades!$U$8,G107),1)*IF(Upgrades!$T$9="First Photons",POWER(Upgrades!$U$9,H107),1)*IF(Upgrades!$T$10="First Photons",POWER(Upgrades!$U$10,I107),1)*IF(Upgrades!$T$11="First Photons",POWER(Upgrades!$U$11,J107),1)))*POWER(Upgrades!$P$6,E107)*POWER(Upgrades!$P$7,F107)*POWER(Upgrades!$P$8,G107)*POWER(Upgrades!$P$9,H107)*POWER(Upgrades!$P$10,I107)*POWER(Upgrades!$P$11,J107)*POWER(Upgrades!$P$12,K107)</f>
        <v/>
      </c>
      <c r="O107" s="28">
        <f>((IF(E107=0,0,(Upgrades!$M$6+E107*Upgrades!$N$6)*POWER(Upgrades!$O$6,E107)))*(IF(Upgrades!$T$7="Solar Wind",POWER(Upgrades!$U$7,F107),1)*IF(Upgrades!$T$8="Solar Wind",POWER(Upgrades!$U$8,G107),1)*IF(Upgrades!$T$9="Solar Wind",POWER(Upgrades!$U$9,H107),1)*IF(Upgrades!$T$10="Solar Wind",POWER(Upgrades!$U$10,I107),1)*IF(Upgrades!$T$11="Solar Wind",POWER(Upgrades!$U$11,J107),1)*IF(Upgrades!$T$12="Solar Wind",POWER(Upgrades!$U$12,K107),1))+(IF(F107=0,0,(Upgrades!$M$7+F107*Upgrades!$N$7)*POWER(Upgrades!$O$7,F107)))*(IF(Upgrades!$T$6="Asteroid Belt",POWER(Upgrades!$U$6,E107),1)*IF(Upgrades!$T$8="Asteroid Belt",POWER(Upgrades!$U$8,G107),1)*IF(Upgrades!$T$9="Asteroid Belt",POWER(Upgrades!$U$9,H107),1)*IF(Upgrades!$T$10="Asteroid Belt",POWER(Upgrades!$U$10,I107),1)*IF(Upgrades!$T$11="Asteroid Belt",POWER(Upgrades!$U$11,J107),1)*IF(Upgrades!$T$12="Asteroid Belt",POWER(Upgrades!$U$12,K107),1))+(IF(G107=0,0,(Upgrades!$M$8+G107*Upgrades!$N$8)*POWER(Upgrades!$O$8,G107)))*(IF(Upgrades!$T$6="Stellar Coupling",POWER(Upgrades!$U$6,E107),1)*IF(Upgrades!$T$7="Stellar Coupling",POWER(Upgrades!$U$7,F107),1)*IF(Upgrades!$T$9="Stellar Coupling",POWER(Upgrades!$U$9,H107),1)*IF(Upgrades!$T$10="Stellar Coupling",POWER(Upgrades!$U$10,I107),1)*IF(Upgrades!$T$11="Stellar Coupling",POWER(Upgrades!$U$11,J107),1)*IF(Upgrades!$T$12="Stellar Coupling",POWER(Upgrades!$U$12,K107),1))+(IF(H107=0,0,(Upgrades!$M$9+H107*Upgrades!$N$9)*POWER(Upgrades!$O$9,H107)))*(IF(Upgrades!$T$6="Magnetosphere",POWER(Upgrades!$U$6,E107),1)*IF(Upgrades!$T$7="Magnetosphere",POWER(Upgrades!$U$7,F107),1)*IF(Upgrades!$T$8="Magnetosphere",POWER(Upgrades!$U$8,G107),1)*IF(Upgrades!$T$10="Magnetosphere",POWER(Upgrades!$U$10,I107),1)*IF(Upgrades!$T$11="Magnetosphere",POWER(Upgrades!$U$11,J107),1)*IF(Upgrades!$T$12="Magnetosphere",POWER(Upgrades!$U$12,K107),1))+(IF(I107=0,0,(Upgrades!$M$10+I107*Upgrades!$N$10)*POWER(Upgrades!$O$10,I107)))*(IF(Upgrades!$T$6="Orbital Resonance",POWER(Upgrades!$U$6,E107),1)*IF(Upgrades!$T$7="Orbital Resonance",POWER(Upgrades!$U$7,F107),1)*IF(Upgrades!$T$8="Orbital Resonance",POWER(Upgrades!$U$8,G107),1)*IF(Upgrades!$T$9="Orbital Resonance",POWER(Upgrades!$U$9,H107),1)*IF(Upgrades!$T$11="Orbital Resonance",POWER(Upgrades!$U$11,J107),1)*IF(Upgrades!$T$12="Orbital Resonance",POWER(Upgrades!$U$12,K107),1))+(IF(J107=0,0,(Upgrades!$M$11+J107*Upgrades!$N$11)*POWER(Upgrades!$O$11,J107)))*(IF(Upgrades!$T$6="Heliopause",POWER(Upgrades!$U$6,E107),1)*IF(Upgrades!$T$7="Heliopause",POWER(Upgrades!$U$7,F107),1)*IF(Upgrades!$T$8="Heliopause",POWER(Upgrades!$U$8,G107),1)*IF(Upgrades!$T$9="Heliopause",POWER(Upgrades!$U$9,H107),1)*IF(Upgrades!$T$10="Heliopause",POWER(Upgrades!$U$10,I107),1)*IF(Upgrades!$T$12="Heliopause",POWER(Upgrades!$U$12,K107),1))+(IF(K107=0,0,(Upgrades!$M$12+K107*Upgrades!$N$12)*POWER(Upgrades!$O$12,K107)))*(IF(Upgrades!$T$6="First Photons",POWER(Upgrades!$U$6,E107),1)*IF(Upgrades!$T$7="First Photons",POWER(Upgrades!$U$7,F107),1)*IF(Upgrades!$T$8="First Photons",POWER(Upgrades!$U$8,G107),1)*IF(Upgrades!$T$9="First Photons",POWER(Upgrades!$U$9,H107),1)*IF(Upgrades!$T$10="First Photons",POWER(Upgrades!$U$10,I107),1)*IF(Upgrades!$T$11="First Photons",POWER(Upgrades!$U$11,J107),1)))*POWER(Upgrades!$R$6,E107)*POWER(Upgrades!$R$7,F107)*POWER(Upgrades!$R$8,G107)*POWER(Upgrades!$R$9,H107)*POWER(Upgrades!$R$10,I107)*POWER(Upgrades!$R$11,J107)*POWER(Upgrades!$R$12,K107)</f>
        <v/>
      </c>
      <c r="P107" s="27">
        <f>IF(L107=1,0,M107*Parameters!$B$10/60*Parameters!$B$11*10)</f>
        <v/>
      </c>
      <c r="Q107" s="27">
        <f>IF(L107=1,0,O107*M107*10)</f>
        <v/>
      </c>
      <c r="R107" s="27">
        <f>IF(L107=1,0,N107*10)</f>
        <v/>
      </c>
      <c r="S107" s="27">
        <f>P107+Q107+R107</f>
        <v/>
      </c>
      <c r="T107" s="22">
        <f>C107+S107</f>
        <v/>
      </c>
      <c r="U107" s="33">
        <f>AX107</f>
        <v/>
      </c>
      <c r="V107" s="22">
        <f>IF(U107="",0,IF(U107="transition",0,IF(U107="SW",AG107,IF(U107="AB",AH107,IF(U107="SC",AI107,IF(U107="Mag",AJ107,IF(U107="OR",AK107,IF(U107="HP",AL107,IF(U107="FP",AM107,0)))))))))</f>
        <v/>
      </c>
      <c r="W107" s="27">
        <f>IF(U107="OR",Upgrades!$F$10,IF(U107="HP",Upgrades!$F$11,IF(U107="transition",-Parameters!$B$18,0)))</f>
        <v/>
      </c>
      <c r="X107" s="22">
        <f>T107-V107</f>
        <v/>
      </c>
      <c r="Y107" s="30">
        <f>M107*Parameters!$B$10/60*Parameters!$B$11+O107*M107+N107</f>
        <v/>
      </c>
      <c r="Z107" s="34">
        <f>IF(U107="transition","→ Tier 2 (Stellar Neighborhood)",IF(U107="FP","First Photons — light begins, system quickens",IF(U107="HP","Heliopause acquired",IF(U107="OR","Orbital Resonance — passive multiplier active",IF(AND(AO107=1,L107=0,AN107&lt;&gt;1),"Cohesion ready (waiting on completionist upgrades)","")))))</f>
        <v/>
      </c>
      <c r="AA107" s="27">
        <f>(IF(E107=0,0,(Upgrades!$G$6+E107*Upgrades!$H$6)*POWER(Upgrades!$I$6,E107)))*(IF(Upgrades!$T$7="Solar Wind",POWER(Upgrades!$U$7,F107),1)*IF(Upgrades!$T$8="Solar Wind",POWER(Upgrades!$U$8,G107),1)*IF(Upgrades!$T$9="Solar Wind",POWER(Upgrades!$U$9,H107),1)*IF(Upgrades!$T$10="Solar Wind",POWER(Upgrades!$U$10,I107),1)*IF(Upgrades!$T$11="Solar Wind",POWER(Upgrades!$U$11,J107),1)*IF(Upgrades!$T$12="Solar Wind",POWER(Upgrades!$U$12,K107),1))*POWER(Upgrades!$P$6,E107)*POWER(Upgrades!$P$7,F107)*POWER(Upgrades!$P$8,G107)*POWER(Upgrades!$P$9,H107)*POWER(Upgrades!$P$10,I107)*POWER(Upgrades!$P$11,J107)*POWER(Upgrades!$P$12,K107)*60</f>
        <v/>
      </c>
      <c r="AB107" s="27">
        <f>(IF(F107=0,0,(Upgrades!$G$7+F107*Upgrades!$H$7)*POWER(Upgrades!$I$7,F107)))*(IF(Upgrades!$T$6="Asteroid Belt",POWER(Upgrades!$U$6,E107),1)*IF(Upgrades!$T$8="Asteroid Belt",POWER(Upgrades!$U$8,G107),1)*IF(Upgrades!$T$9="Asteroid Belt",POWER(Upgrades!$U$9,H107),1)*IF(Upgrades!$T$10="Asteroid Belt",POWER(Upgrades!$U$10,I107),1)*IF(Upgrades!$T$11="Asteroid Belt",POWER(Upgrades!$U$11,J107),1)*IF(Upgrades!$T$12="Asteroid Belt",POWER(Upgrades!$U$12,K107),1))*POWER(Upgrades!$P$6,E107)*POWER(Upgrades!$P$7,F107)*POWER(Upgrades!$P$8,G107)*POWER(Upgrades!$P$9,H107)*POWER(Upgrades!$P$10,I107)*POWER(Upgrades!$P$11,J107)*POWER(Upgrades!$P$12,K107)*60</f>
        <v/>
      </c>
      <c r="AC107" s="27">
        <f>(IF(G107=0,0,(Upgrades!$J$8+G107*Upgrades!$K$8)*POWER(Upgrades!$L$8,G107)))*(IF(Upgrades!$T$6="Stellar Coupling",POWER(Upgrades!$U$6,E107),1)*IF(Upgrades!$T$7="Stellar Coupling",POWER(Upgrades!$U$7,F107),1)*IF(Upgrades!$T$9="Stellar Coupling",POWER(Upgrades!$U$9,H107),1)*IF(Upgrades!$T$10="Stellar Coupling",POWER(Upgrades!$U$10,I107),1)*IF(Upgrades!$T$11="Stellar Coupling",POWER(Upgrades!$U$11,J107),1)*IF(Upgrades!$T$12="Stellar Coupling",POWER(Upgrades!$U$12,K107),1))*POWER(Upgrades!$Q$6,E107)*POWER(Upgrades!$Q$7,F107)*POWER(Upgrades!$Q$8,G107)*POWER(Upgrades!$Q$9,H107)*POWER(Upgrades!$Q$10,I107)*POWER(Upgrades!$Q$11,J107)*POWER(Upgrades!$Q$12,K107)*Parameters!$B$10*Parameters!$B$11</f>
        <v/>
      </c>
      <c r="AD107" s="27">
        <f>(IF(H107=0,0,(Upgrades!$G$9+H107*Upgrades!$H$9)*POWER(Upgrades!$I$9,H107)))*(IF(Upgrades!$T$6="Magnetosphere",POWER(Upgrades!$U$6,E107),1)*IF(Upgrades!$T$7="Magnetosphere",POWER(Upgrades!$U$7,F107),1)*IF(Upgrades!$T$8="Magnetosphere",POWER(Upgrades!$U$8,G107),1)*IF(Upgrades!$T$10="Magnetosphere",POWER(Upgrades!$U$10,I107),1)*IF(Upgrades!$T$11="Magnetosphere",POWER(Upgrades!$U$11,J107),1)*IF(Upgrades!$T$12="Magnetosphere",POWER(Upgrades!$U$12,K107),1))*POWER(Upgrades!$P$6,E107)*POWER(Upgrades!$P$7,F107)*POWER(Upgrades!$P$8,G107)*POWER(Upgrades!$P$9,H107)*POWER(Upgrades!$P$10,I107)*POWER(Upgrades!$P$11,J107)*POWER(Upgrades!$P$12,K107)*60</f>
        <v/>
      </c>
      <c r="AE107" s="27">
        <f>(IF(K107=0,0,(Upgrades!$G$12+K107*Upgrades!$H$12)*POWER(Upgrades!$I$12,K107)))*(IF(Upgrades!$T$6="First Photons",POWER(Upgrades!$U$6,E107),1)*IF(Upgrades!$T$7="First Photons",POWER(Upgrades!$U$7,F107),1)*IF(Upgrades!$T$8="First Photons",POWER(Upgrades!$U$8,G107),1)*IF(Upgrades!$T$9="First Photons",POWER(Upgrades!$U$9,H107),1)*IF(Upgrades!$T$10="First Photons",POWER(Upgrades!$U$10,I107),1)*IF(Upgrades!$T$11="First Photons",POWER(Upgrades!$U$11,J107),1))*POWER(Upgrades!$P$6,E107)*POWER(Upgrades!$P$7,F107)*POWER(Upgrades!$P$8,G107)*POWER(Upgrades!$P$9,H107)*POWER(Upgrades!$P$10,I107)*POWER(Upgrades!$P$11,J107)*POWER(Upgrades!$P$12,K107)*60</f>
        <v/>
      </c>
      <c r="AF107" s="27">
        <f>Parameters!$B$9*POWER(Upgrades!$Q$6,E107)*POWER(Upgrades!$Q$7,F107)*POWER(Upgrades!$Q$8,G107)*POWER(Upgrades!$Q$9,H107)*POWER(Upgrades!$Q$10,I107)*POWER(Upgrades!$Q$11,J107)*POWER(Upgrades!$Q$12,K107)*(Parameters!$B$10*Parameters!$B$11+O107*60)</f>
        <v/>
      </c>
      <c r="AG107" s="22">
        <f>IF(E107&gt;=Upgrades!$E$6,"",Upgrades!$C$6*POWER(Upgrades!$D$6,E107))</f>
        <v/>
      </c>
      <c r="AH107" s="22">
        <f>IF(F107&gt;=Upgrades!$E$7,"",Upgrades!$C$7*POWER(Upgrades!$D$7,F107))</f>
        <v/>
      </c>
      <c r="AI107" s="22">
        <f>IF(G107&gt;=Upgrades!$E$8,"",Upgrades!$C$8*POWER(Upgrades!$D$8,G107))</f>
        <v/>
      </c>
      <c r="AJ107" s="22">
        <f>IF(H107&gt;=Upgrades!$E$9,"",Upgrades!$C$9*POWER(Upgrades!$D$9,H107))</f>
        <v/>
      </c>
      <c r="AK107" s="22">
        <f>IF(I107&gt;=Upgrades!$E$10,"",Upgrades!$C$10*POWER(Upgrades!$D$10,I107))</f>
        <v/>
      </c>
      <c r="AL107" s="22">
        <f>IF(J107&gt;=Upgrades!$E$11,"",Upgrades!$C$11*POWER(Upgrades!$D$11,J107))</f>
        <v/>
      </c>
      <c r="AM107" s="22">
        <f>IF(K107&gt;=Upgrades!$E$12,"",Upgrades!$C$12*POWER(Upgrades!$D$12,K107))</f>
        <v/>
      </c>
      <c r="AN107" s="26">
        <f>IF(AND(D107&gt;=Parameters!$B$18,(H107&gt;=Upgrades!$E$9)*(K107&gt;=Upgrades!$E$12)=1,L107=0),1,"")</f>
        <v/>
      </c>
      <c r="AO107" s="26">
        <f>IF(AND(D107&gt;=Parameters!$B$18,L107=0),1,"")</f>
        <v/>
      </c>
      <c r="AP107" s="22">
        <f>MIN(IF(ISNUMBER(AK107),AK107,9E15),IF(ISNUMBER(AL107),AL107,9E15),IF(ISNUMBER(AM107),AM107,9E15))</f>
        <v/>
      </c>
      <c r="AQ107" s="22">
        <f>MIN(IF(ISNUMBER(AG107),AG107,9E15),IF(ISNUMBER(AH107),AH107,9E15),IF(ISNUMBER(AI107),AI107,9E15),IF(ISNUMBER(AJ107),AJ107,9E15))</f>
        <v/>
      </c>
      <c r="AR107" s="29">
        <f>IF(AW107&gt;Parameters!$B$21*(MAX(IF(AND(NOT(AND(AO107=1,AN107&lt;&gt;1)),ISNUMBER(AG107),AG107&lt;=T107),AS107,0),IF(AND(NOT(AND(AO107=1,AN107&lt;&gt;1)),ISNUMBER(AH107),AH107&lt;=T107),AT107,0),IF(AND(NOT(AND(AO107=1,AN107&lt;&gt;1)),ISNUMBER(AI107),AI107&lt;=T107),AU107,0),IF(AND(ISNUMBER(AJ107),AJ107&lt;=T107),AV107,0))),TRUE,FALSE)</f>
        <v/>
      </c>
      <c r="AS107" s="32">
        <f>IFERROR(Upgrades!$H$6*(POWER(Upgrades!$P$6,E107)*POWER(Upgrades!$P$7,F107)*POWER(Upgrades!$P$8,G107)*POWER(Upgrades!$P$9,H107)*POWER(Upgrades!$P$10,I107)*POWER(Upgrades!$P$11,J107)*POWER(Upgrades!$P$12,K107))*(IF(Upgrades!$T$7="Solar Wind",POWER(Upgrades!$U$7,F107),1)*IF(Upgrades!$T$8="Solar Wind",POWER(Upgrades!$U$8,G107),1)*IF(Upgrades!$T$9="Solar Wind",POWER(Upgrades!$U$9,H107),1)*IF(Upgrades!$T$10="Solar Wind",POWER(Upgrades!$U$10,I107),1)*IF(Upgrades!$T$11="Solar Wind",POWER(Upgrades!$U$11,J107),1)*IF(Upgrades!$T$12="Solar Wind",POWER(Upgrades!$U$12,K107),1))/AG107,0)</f>
        <v/>
      </c>
      <c r="AT107" s="32">
        <f>IFERROR(Upgrades!$H$7*(POWER(Upgrades!$P$6,E107)*POWER(Upgrades!$P$7,F107)*POWER(Upgrades!$P$8,G107)*POWER(Upgrades!$P$9,H107)*POWER(Upgrades!$P$10,I107)*POWER(Upgrades!$P$11,J107)*POWER(Upgrades!$P$12,K107))*(IF(Upgrades!$T$6="Asteroid Belt",POWER(Upgrades!$U$6,E107),1)*IF(Upgrades!$T$8="Asteroid Belt",POWER(Upgrades!$U$8,G107),1)*IF(Upgrades!$T$9="Asteroid Belt",POWER(Upgrades!$U$9,H107),1)*IF(Upgrades!$T$10="Asteroid Belt",POWER(Upgrades!$U$10,I107),1)*IF(Upgrades!$T$11="Asteroid Belt",POWER(Upgrades!$U$11,J107),1)*IF(Upgrades!$T$12="Asteroid Belt",POWER(Upgrades!$U$12,K107),1))/AH107,0)</f>
        <v/>
      </c>
      <c r="AU107" s="32">
        <f>IFERROR(Upgrades!$K$8*(POWER(Upgrades!$Q$6,E107)*POWER(Upgrades!$Q$7,F107)*POWER(Upgrades!$Q$8,G107)*POWER(Upgrades!$Q$9,H107)*POWER(Upgrades!$Q$10,I107)*POWER(Upgrades!$Q$11,J107)*POWER(Upgrades!$Q$12,K107))*(IF(Upgrades!$T$6="Stellar Coupling",POWER(Upgrades!$U$6,E107),1)*IF(Upgrades!$T$7="Stellar Coupling",POWER(Upgrades!$U$7,F107),1)*IF(Upgrades!$T$9="Stellar Coupling",POWER(Upgrades!$U$9,H107),1)*IF(Upgrades!$T$10="Stellar Coupling",POWER(Upgrades!$U$10,I107),1)*IF(Upgrades!$T$11="Stellar Coupling",POWER(Upgrades!$U$11,J107),1)*IF(Upgrades!$T$12="Stellar Coupling",POWER(Upgrades!$U$12,K107),1))*Parameters!$B$10*Parameters!$B$11/60/AI107,0)</f>
        <v/>
      </c>
      <c r="AV107" s="32">
        <f>IFERROR(Upgrades!$H$9*(POWER(Upgrades!$P$6,E107)*POWER(Upgrades!$P$7,F107)*POWER(Upgrades!$P$8,G107)*POWER(Upgrades!$P$9,H107)*POWER(Upgrades!$P$10,I107)*POWER(Upgrades!$P$11,J107)*POWER(Upgrades!$P$12,K107))*(IF(Upgrades!$T$6="Magnetosphere",POWER(Upgrades!$U$6,E107),1)*IF(Upgrades!$T$7="Magnetosphere",POWER(Upgrades!$U$7,F107),1)*IF(Upgrades!$T$8="Magnetosphere",POWER(Upgrades!$U$8,G107),1)*IF(Upgrades!$T$10="Magnetosphere",POWER(Upgrades!$U$10,I107),1)*IF(Upgrades!$T$11="Magnetosphere",POWER(Upgrades!$U$11,J107),1)*IF(Upgrades!$T$12="Magnetosphere",POWER(Upgrades!$U$12,K107),1))/AJ107,0)</f>
        <v/>
      </c>
      <c r="AW107" s="32">
        <f>MAX(IF(I107&gt;0,0,IFERROR(0.25*N107/Upgrades!$C$10,0)),IF(J107&gt;0,0,IFERROR(0.5*((IF(G107=0,0,(Upgrades!$J$8+G107*Upgrades!$K$8)*POWER(Upgrades!$L$8,G107)))*(IF(Upgrades!$T$6="Stellar Coupling",POWER(Upgrades!$U$6,E107),1)*IF(Upgrades!$T$7="Stellar Coupling",POWER(Upgrades!$U$7,F107),1)*IF(Upgrades!$T$9="Stellar Coupling",POWER(Upgrades!$U$9,H107),1)*IF(Upgrades!$T$10="Stellar Coupling",POWER(Upgrades!$U$10,I107),1)*IF(Upgrades!$T$11="Stellar Coupling",POWER(Upgrades!$U$11,J107),1)*IF(Upgrades!$T$12="Stellar Coupling",POWER(Upgrades!$U$12,K107),1))*(POWER(Upgrades!$Q$6,E107)*POWER(Upgrades!$Q$7,F107)*POWER(Upgrades!$Q$8,G107)*POWER(Upgrades!$Q$9,H107)*POWER(Upgrades!$Q$10,I107)*POWER(Upgrades!$Q$11,J107)*POWER(Upgrades!$Q$12,K107))*Parameters!$B$10*Parameters!$B$11/60)/Upgrades!$C$11,0)),IF(K107&gt;0,0,IFERROR((1.0*(POWER(Upgrades!$P$6,E107)*POWER(Upgrades!$P$7,F107)*POWER(Upgrades!$P$8,G107)*POWER(Upgrades!$P$9,H107)*POWER(Upgrades!$P$10,I107)*POWER(Upgrades!$P$11,J107)*POWER(Upgrades!$P$12,K107))+0.20*M107*Parameters!$B$10*Parameters!$B$11/60)/Upgrades!$C$12,0)),IF(AND(ISNUMBER(AG107),AG107&gt;T107),AS107,0),IF(AND(ISNUMBER(AH107),AH107&gt;T107),AT107,0),IF(AND(ISNUMBER(AI107),AI107&gt;T107),AU107,0),IF(AND(ISNUMBER(AJ107),AJ107&gt;T107),AV107,0))</f>
        <v/>
      </c>
      <c r="AX107" s="29">
        <f>IF(AN107=1,"transition",IF(MIN(IF(AND(I107=0,ISNUMBER(AK107),AK107&lt;=T107),AK107,9E15),IF(AND(J107=0,ISNUMBER(AL107),AL107&lt;=T107),AL107,9E15),IF(AND(K107=0,ISNUMBER(AM107),AM107&lt;=T107),AM107,9E15))&lt;9E15,IF(AND(AND(I107=0,ISNUMBER(AK107),AK107&lt;=T107),AK107=MIN(IF(AND(I107=0,ISNUMBER(AK107),AK107&lt;=T107),AK107,9E15),IF(AND(J107=0,ISNUMBER(AL107),AL107&lt;=T107),AL107,9E15),IF(AND(K107=0,ISNUMBER(AM107),AM107&lt;=T107),AM107,9E15))),"OR",IF(AND(AND(J107=0,ISNUMBER(AL107),AL107&lt;=T107),AL107=MIN(IF(AND(I107=0,ISNUMBER(AK107),AK107&lt;=T107),AK107,9E15),IF(AND(J107=0,ISNUMBER(AL107),AL107&lt;=T107),AL107,9E15),IF(AND(K107=0,ISNUMBER(AM107),AM107&lt;=T107),AM107,9E15))),"HP","FP")),IF(AR107=TRUE,"",IF(MAX(IF(AND(NOT(AND(AO107=1,AN107&lt;&gt;1)),ISNUMBER(AG107),AG107&lt;=T107),AS107,0),IF(AND(NOT(AND(AO107=1,AN107&lt;&gt;1)),ISNUMBER(AH107),AH107&lt;=T107),AT107,0),IF(AND(NOT(AND(AO107=1,AN107&lt;&gt;1)),ISNUMBER(AI107),AI107&lt;=T107),AU107,0),IF(AND(ISNUMBER(AJ107),AJ107&lt;=T107),AV107,0))&lt;=0,"",IF(AND(IF(AND(NOT(AND(AO107=1,AN107&lt;&gt;1)),ISNUMBER(AG107),AG107&lt;=T107),AS107,0)&gt;0,IF(AND(NOT(AND(AO107=1,AN107&lt;&gt;1)),ISNUMBER(AG107),AG107&lt;=T107),AS107,0)=MAX(IF(AND(NOT(AND(AO107=1,AN107&lt;&gt;1)),ISNUMBER(AG107),AG107&lt;=T107),AS107,0),IF(AND(NOT(AND(AO107=1,AN107&lt;&gt;1)),ISNUMBER(AH107),AH107&lt;=T107),AT107,0),IF(AND(NOT(AND(AO107=1,AN107&lt;&gt;1)),ISNUMBER(AI107),AI107&lt;=T107),AU107,0),IF(AND(ISNUMBER(AJ107),AJ107&lt;=T107),AV107,0))),"SW",IF(AND(IF(AND(NOT(AND(AO107=1,AN107&lt;&gt;1)),ISNUMBER(AH107),AH107&lt;=T107),AT107,0)&gt;0,IF(AND(NOT(AND(AO107=1,AN107&lt;&gt;1)),ISNUMBER(AH107),AH107&lt;=T107),AT107,0)=MAX(IF(AND(NOT(AND(AO107=1,AN107&lt;&gt;1)),ISNUMBER(AG107),AG107&lt;=T107),AS107,0),IF(AND(NOT(AND(AO107=1,AN107&lt;&gt;1)),ISNUMBER(AH107),AH107&lt;=T107),AT107,0),IF(AND(NOT(AND(AO107=1,AN107&lt;&gt;1)),ISNUMBER(AI107),AI107&lt;=T107),AU107,0),IF(AND(ISNUMBER(AJ107),AJ107&lt;=T107),AV107,0))),"AB",IF(AND(IF(AND(NOT(AND(AO107=1,AN107&lt;&gt;1)),ISNUMBER(AI107),AI107&lt;=T107),AU107,0)&gt;0,IF(AND(NOT(AND(AO107=1,AN107&lt;&gt;1)),ISNUMBER(AI107),AI107&lt;=T107),AU107,0)=MAX(IF(AND(NOT(AND(AO107=1,AN107&lt;&gt;1)),ISNUMBER(AG107),AG107&lt;=T107),AS107,0),IF(AND(NOT(AND(AO107=1,AN107&lt;&gt;1)),ISNUMBER(AH107),AH107&lt;=T107),AT107,0),IF(AND(NOT(AND(AO107=1,AN107&lt;&gt;1)),ISNUMBER(AI107),AI107&lt;=T107),AU107,0),IF(AND(ISNUMBER(AJ107),AJ107&lt;=T107),AV107,0))),"SC","Mag")))))))</f>
        <v/>
      </c>
    </row>
    <row r="108">
      <c r="A108" s="26" t="n">
        <v>103</v>
      </c>
      <c r="B108" s="27">
        <f>A108*10/60</f>
        <v/>
      </c>
      <c r="C108" s="22">
        <f>X107</f>
        <v/>
      </c>
      <c r="D108" s="27">
        <f>D107+W107</f>
        <v/>
      </c>
      <c r="E108" s="26">
        <f>E107+IF(U107="SW",1,0)</f>
        <v/>
      </c>
      <c r="F108" s="26">
        <f>F107+IF(U107="AB",1,0)</f>
        <v/>
      </c>
      <c r="G108" s="26">
        <f>G107+IF(U107="SC",1,0)</f>
        <v/>
      </c>
      <c r="H108" s="26">
        <f>H107+IF(U107="Mag",1,0)</f>
        <v/>
      </c>
      <c r="I108" s="26">
        <f>MAX(I107,IF(U107="OR",1,0))</f>
        <v/>
      </c>
      <c r="J108" s="26">
        <f>MAX(J107,IF(U107="HP",1,0))</f>
        <v/>
      </c>
      <c r="K108" s="26">
        <f>MAX(K107,IF(U107="FP",1,0))</f>
        <v/>
      </c>
      <c r="L108" s="26">
        <f>MAX(L107,IF(U107="transition",1,0))</f>
        <v/>
      </c>
      <c r="M108" s="28">
        <f>(Parameters!$B$9+(IF(E108=0,0,(Upgrades!$J$6+E108*Upgrades!$K$6)*POWER(Upgrades!$L$6,E108)))*(IF(Upgrades!$T$7="Solar Wind",POWER(Upgrades!$U$7,F108),1)*IF(Upgrades!$T$8="Solar Wind",POWER(Upgrades!$U$8,G108),1)*IF(Upgrades!$T$9="Solar Wind",POWER(Upgrades!$U$9,H108),1)*IF(Upgrades!$T$10="Solar Wind",POWER(Upgrades!$U$10,I108),1)*IF(Upgrades!$T$11="Solar Wind",POWER(Upgrades!$U$11,J108),1)*IF(Upgrades!$T$12="Solar Wind",POWER(Upgrades!$U$12,K108),1))+(IF(F108=0,0,(Upgrades!$J$7+F108*Upgrades!$K$7)*POWER(Upgrades!$L$7,F108)))*(IF(Upgrades!$T$6="Asteroid Belt",POWER(Upgrades!$U$6,E108),1)*IF(Upgrades!$T$8="Asteroid Belt",POWER(Upgrades!$U$8,G108),1)*IF(Upgrades!$T$9="Asteroid Belt",POWER(Upgrades!$U$9,H108),1)*IF(Upgrades!$T$10="Asteroid Belt",POWER(Upgrades!$U$10,I108),1)*IF(Upgrades!$T$11="Asteroid Belt",POWER(Upgrades!$U$11,J108),1)*IF(Upgrades!$T$12="Asteroid Belt",POWER(Upgrades!$U$12,K108),1))+(IF(G108=0,0,(Upgrades!$J$8+G108*Upgrades!$K$8)*POWER(Upgrades!$L$8,G108)))*(IF(Upgrades!$T$6="Stellar Coupling",POWER(Upgrades!$U$6,E108),1)*IF(Upgrades!$T$7="Stellar Coupling",POWER(Upgrades!$U$7,F108),1)*IF(Upgrades!$T$9="Stellar Coupling",POWER(Upgrades!$U$9,H108),1)*IF(Upgrades!$T$10="Stellar Coupling",POWER(Upgrades!$U$10,I108),1)*IF(Upgrades!$T$11="Stellar Coupling",POWER(Upgrades!$U$11,J108),1)*IF(Upgrades!$T$12="Stellar Coupling",POWER(Upgrades!$U$12,K108),1))+(IF(H108=0,0,(Upgrades!$J$9+H108*Upgrades!$K$9)*POWER(Upgrades!$L$9,H108)))*(IF(Upgrades!$T$6="Magnetosphere",POWER(Upgrades!$U$6,E108),1)*IF(Upgrades!$T$7="Magnetosphere",POWER(Upgrades!$U$7,F108),1)*IF(Upgrades!$T$8="Magnetosphere",POWER(Upgrades!$U$8,G108),1)*IF(Upgrades!$T$10="Magnetosphere",POWER(Upgrades!$U$10,I108),1)*IF(Upgrades!$T$11="Magnetosphere",POWER(Upgrades!$U$11,J108),1)*IF(Upgrades!$T$12="Magnetosphere",POWER(Upgrades!$U$12,K108),1))+(IF(I108=0,0,(Upgrades!$J$10+I108*Upgrades!$K$10)*POWER(Upgrades!$L$10,I108)))*(IF(Upgrades!$T$6="Orbital Resonance",POWER(Upgrades!$U$6,E108),1)*IF(Upgrades!$T$7="Orbital Resonance",POWER(Upgrades!$U$7,F108),1)*IF(Upgrades!$T$8="Orbital Resonance",POWER(Upgrades!$U$8,G108),1)*IF(Upgrades!$T$9="Orbital Resonance",POWER(Upgrades!$U$9,H108),1)*IF(Upgrades!$T$11="Orbital Resonance",POWER(Upgrades!$U$11,J108),1)*IF(Upgrades!$T$12="Orbital Resonance",POWER(Upgrades!$U$12,K108),1))+(IF(J108=0,0,(Upgrades!$J$11+J108*Upgrades!$K$11)*POWER(Upgrades!$L$11,J108)))*(IF(Upgrades!$T$6="Heliopause",POWER(Upgrades!$U$6,E108),1)*IF(Upgrades!$T$7="Heliopause",POWER(Upgrades!$U$7,F108),1)*IF(Upgrades!$T$8="Heliopause",POWER(Upgrades!$U$8,G108),1)*IF(Upgrades!$T$9="Heliopause",POWER(Upgrades!$U$9,H108),1)*IF(Upgrades!$T$10="Heliopause",POWER(Upgrades!$U$10,I108),1)*IF(Upgrades!$T$12="Heliopause",POWER(Upgrades!$U$12,K108),1))+(IF(K108=0,0,(Upgrades!$J$12+K108*Upgrades!$K$12)*POWER(Upgrades!$L$12,K108)))*(IF(Upgrades!$T$6="First Photons",POWER(Upgrades!$U$6,E108),1)*IF(Upgrades!$T$7="First Photons",POWER(Upgrades!$U$7,F108),1)*IF(Upgrades!$T$8="First Photons",POWER(Upgrades!$U$8,G108),1)*IF(Upgrades!$T$9="First Photons",POWER(Upgrades!$U$9,H108),1)*IF(Upgrades!$T$10="First Photons",POWER(Upgrades!$U$10,I108),1)*IF(Upgrades!$T$11="First Photons",POWER(Upgrades!$U$11,J108),1)))*POWER(Upgrades!$Q$6,E108)*POWER(Upgrades!$Q$7,F108)*POWER(Upgrades!$Q$8,G108)*POWER(Upgrades!$Q$9,H108)*POWER(Upgrades!$Q$10,I108)*POWER(Upgrades!$Q$11,J108)*POWER(Upgrades!$Q$12,K108)</f>
        <v/>
      </c>
      <c r="N108" s="28">
        <f>((IF(E108=0,0,(Upgrades!$G$6+E108*Upgrades!$H$6)*POWER(Upgrades!$I$6,E108)))*(IF(Upgrades!$T$7="Solar Wind",POWER(Upgrades!$U$7,F108),1)*IF(Upgrades!$T$8="Solar Wind",POWER(Upgrades!$U$8,G108),1)*IF(Upgrades!$T$9="Solar Wind",POWER(Upgrades!$U$9,H108),1)*IF(Upgrades!$T$10="Solar Wind",POWER(Upgrades!$U$10,I108),1)*IF(Upgrades!$T$11="Solar Wind",POWER(Upgrades!$U$11,J108),1)*IF(Upgrades!$T$12="Solar Wind",POWER(Upgrades!$U$12,K108),1))+(IF(F108=0,0,(Upgrades!$G$7+F108*Upgrades!$H$7)*POWER(Upgrades!$I$7,F108)))*(IF(Upgrades!$T$6="Asteroid Belt",POWER(Upgrades!$U$6,E108),1)*IF(Upgrades!$T$8="Asteroid Belt",POWER(Upgrades!$U$8,G108),1)*IF(Upgrades!$T$9="Asteroid Belt",POWER(Upgrades!$U$9,H108),1)*IF(Upgrades!$T$10="Asteroid Belt",POWER(Upgrades!$U$10,I108),1)*IF(Upgrades!$T$11="Asteroid Belt",POWER(Upgrades!$U$11,J108),1)*IF(Upgrades!$T$12="Asteroid Belt",POWER(Upgrades!$U$12,K108),1))+(IF(G108=0,0,(Upgrades!$G$8+G108*Upgrades!$H$8)*POWER(Upgrades!$I$8,G108)))*(IF(Upgrades!$T$6="Stellar Coupling",POWER(Upgrades!$U$6,E108),1)*IF(Upgrades!$T$7="Stellar Coupling",POWER(Upgrades!$U$7,F108),1)*IF(Upgrades!$T$9="Stellar Coupling",POWER(Upgrades!$U$9,H108),1)*IF(Upgrades!$T$10="Stellar Coupling",POWER(Upgrades!$U$10,I108),1)*IF(Upgrades!$T$11="Stellar Coupling",POWER(Upgrades!$U$11,J108),1)*IF(Upgrades!$T$12="Stellar Coupling",POWER(Upgrades!$U$12,K108),1))+(IF(H108=0,0,(Upgrades!$G$9+H108*Upgrades!$H$9)*POWER(Upgrades!$I$9,H108)))*(IF(Upgrades!$T$6="Magnetosphere",POWER(Upgrades!$U$6,E108),1)*IF(Upgrades!$T$7="Magnetosphere",POWER(Upgrades!$U$7,F108),1)*IF(Upgrades!$T$8="Magnetosphere",POWER(Upgrades!$U$8,G108),1)*IF(Upgrades!$T$10="Magnetosphere",POWER(Upgrades!$U$10,I108),1)*IF(Upgrades!$T$11="Magnetosphere",POWER(Upgrades!$U$11,J108),1)*IF(Upgrades!$T$12="Magnetosphere",POWER(Upgrades!$U$12,K108),1))+(IF(I108=0,0,(Upgrades!$G$10+I108*Upgrades!$H$10)*POWER(Upgrades!$I$10,I108)))*(IF(Upgrades!$T$6="Orbital Resonance",POWER(Upgrades!$U$6,E108),1)*IF(Upgrades!$T$7="Orbital Resonance",POWER(Upgrades!$U$7,F108),1)*IF(Upgrades!$T$8="Orbital Resonance",POWER(Upgrades!$U$8,G108),1)*IF(Upgrades!$T$9="Orbital Resonance",POWER(Upgrades!$U$9,H108),1)*IF(Upgrades!$T$11="Orbital Resonance",POWER(Upgrades!$U$11,J108),1)*IF(Upgrades!$T$12="Orbital Resonance",POWER(Upgrades!$U$12,K108),1))+(IF(J108=0,0,(Upgrades!$G$11+J108*Upgrades!$H$11)*POWER(Upgrades!$I$11,J108)))*(IF(Upgrades!$T$6="Heliopause",POWER(Upgrades!$U$6,E108),1)*IF(Upgrades!$T$7="Heliopause",POWER(Upgrades!$U$7,F108),1)*IF(Upgrades!$T$8="Heliopause",POWER(Upgrades!$U$8,G108),1)*IF(Upgrades!$T$9="Heliopause",POWER(Upgrades!$U$9,H108),1)*IF(Upgrades!$T$10="Heliopause",POWER(Upgrades!$U$10,I108),1)*IF(Upgrades!$T$12="Heliopause",POWER(Upgrades!$U$12,K108),1))+(IF(K108=0,0,(Upgrades!$G$12+K108*Upgrades!$H$12)*POWER(Upgrades!$I$12,K108)))*(IF(Upgrades!$T$6="First Photons",POWER(Upgrades!$U$6,E108),1)*IF(Upgrades!$T$7="First Photons",POWER(Upgrades!$U$7,F108),1)*IF(Upgrades!$T$8="First Photons",POWER(Upgrades!$U$8,G108),1)*IF(Upgrades!$T$9="First Photons",POWER(Upgrades!$U$9,H108),1)*IF(Upgrades!$T$10="First Photons",POWER(Upgrades!$U$10,I108),1)*IF(Upgrades!$T$11="First Photons",POWER(Upgrades!$U$11,J108),1)))*POWER(Upgrades!$P$6,E108)*POWER(Upgrades!$P$7,F108)*POWER(Upgrades!$P$8,G108)*POWER(Upgrades!$P$9,H108)*POWER(Upgrades!$P$10,I108)*POWER(Upgrades!$P$11,J108)*POWER(Upgrades!$P$12,K108)</f>
        <v/>
      </c>
      <c r="O108" s="28">
        <f>((IF(E108=0,0,(Upgrades!$M$6+E108*Upgrades!$N$6)*POWER(Upgrades!$O$6,E108)))*(IF(Upgrades!$T$7="Solar Wind",POWER(Upgrades!$U$7,F108),1)*IF(Upgrades!$T$8="Solar Wind",POWER(Upgrades!$U$8,G108),1)*IF(Upgrades!$T$9="Solar Wind",POWER(Upgrades!$U$9,H108),1)*IF(Upgrades!$T$10="Solar Wind",POWER(Upgrades!$U$10,I108),1)*IF(Upgrades!$T$11="Solar Wind",POWER(Upgrades!$U$11,J108),1)*IF(Upgrades!$T$12="Solar Wind",POWER(Upgrades!$U$12,K108),1))+(IF(F108=0,0,(Upgrades!$M$7+F108*Upgrades!$N$7)*POWER(Upgrades!$O$7,F108)))*(IF(Upgrades!$T$6="Asteroid Belt",POWER(Upgrades!$U$6,E108),1)*IF(Upgrades!$T$8="Asteroid Belt",POWER(Upgrades!$U$8,G108),1)*IF(Upgrades!$T$9="Asteroid Belt",POWER(Upgrades!$U$9,H108),1)*IF(Upgrades!$T$10="Asteroid Belt",POWER(Upgrades!$U$10,I108),1)*IF(Upgrades!$T$11="Asteroid Belt",POWER(Upgrades!$U$11,J108),1)*IF(Upgrades!$T$12="Asteroid Belt",POWER(Upgrades!$U$12,K108),1))+(IF(G108=0,0,(Upgrades!$M$8+G108*Upgrades!$N$8)*POWER(Upgrades!$O$8,G108)))*(IF(Upgrades!$T$6="Stellar Coupling",POWER(Upgrades!$U$6,E108),1)*IF(Upgrades!$T$7="Stellar Coupling",POWER(Upgrades!$U$7,F108),1)*IF(Upgrades!$T$9="Stellar Coupling",POWER(Upgrades!$U$9,H108),1)*IF(Upgrades!$T$10="Stellar Coupling",POWER(Upgrades!$U$10,I108),1)*IF(Upgrades!$T$11="Stellar Coupling",POWER(Upgrades!$U$11,J108),1)*IF(Upgrades!$T$12="Stellar Coupling",POWER(Upgrades!$U$12,K108),1))+(IF(H108=0,0,(Upgrades!$M$9+H108*Upgrades!$N$9)*POWER(Upgrades!$O$9,H108)))*(IF(Upgrades!$T$6="Magnetosphere",POWER(Upgrades!$U$6,E108),1)*IF(Upgrades!$T$7="Magnetosphere",POWER(Upgrades!$U$7,F108),1)*IF(Upgrades!$T$8="Magnetosphere",POWER(Upgrades!$U$8,G108),1)*IF(Upgrades!$T$10="Magnetosphere",POWER(Upgrades!$U$10,I108),1)*IF(Upgrades!$T$11="Magnetosphere",POWER(Upgrades!$U$11,J108),1)*IF(Upgrades!$T$12="Magnetosphere",POWER(Upgrades!$U$12,K108),1))+(IF(I108=0,0,(Upgrades!$M$10+I108*Upgrades!$N$10)*POWER(Upgrades!$O$10,I108)))*(IF(Upgrades!$T$6="Orbital Resonance",POWER(Upgrades!$U$6,E108),1)*IF(Upgrades!$T$7="Orbital Resonance",POWER(Upgrades!$U$7,F108),1)*IF(Upgrades!$T$8="Orbital Resonance",POWER(Upgrades!$U$8,G108),1)*IF(Upgrades!$T$9="Orbital Resonance",POWER(Upgrades!$U$9,H108),1)*IF(Upgrades!$T$11="Orbital Resonance",POWER(Upgrades!$U$11,J108),1)*IF(Upgrades!$T$12="Orbital Resonance",POWER(Upgrades!$U$12,K108),1))+(IF(J108=0,0,(Upgrades!$M$11+J108*Upgrades!$N$11)*POWER(Upgrades!$O$11,J108)))*(IF(Upgrades!$T$6="Heliopause",POWER(Upgrades!$U$6,E108),1)*IF(Upgrades!$T$7="Heliopause",POWER(Upgrades!$U$7,F108),1)*IF(Upgrades!$T$8="Heliopause",POWER(Upgrades!$U$8,G108),1)*IF(Upgrades!$T$9="Heliopause",POWER(Upgrades!$U$9,H108),1)*IF(Upgrades!$T$10="Heliopause",POWER(Upgrades!$U$10,I108),1)*IF(Upgrades!$T$12="Heliopause",POWER(Upgrades!$U$12,K108),1))+(IF(K108=0,0,(Upgrades!$M$12+K108*Upgrades!$N$12)*POWER(Upgrades!$O$12,K108)))*(IF(Upgrades!$T$6="First Photons",POWER(Upgrades!$U$6,E108),1)*IF(Upgrades!$T$7="First Photons",POWER(Upgrades!$U$7,F108),1)*IF(Upgrades!$T$8="First Photons",POWER(Upgrades!$U$8,G108),1)*IF(Upgrades!$T$9="First Photons",POWER(Upgrades!$U$9,H108),1)*IF(Upgrades!$T$10="First Photons",POWER(Upgrades!$U$10,I108),1)*IF(Upgrades!$T$11="First Photons",POWER(Upgrades!$U$11,J108),1)))*POWER(Upgrades!$R$6,E108)*POWER(Upgrades!$R$7,F108)*POWER(Upgrades!$R$8,G108)*POWER(Upgrades!$R$9,H108)*POWER(Upgrades!$R$10,I108)*POWER(Upgrades!$R$11,J108)*POWER(Upgrades!$R$12,K108)</f>
        <v/>
      </c>
      <c r="P108" s="27">
        <f>IF(L108=1,0,M108*Parameters!$B$10/60*Parameters!$B$11*10)</f>
        <v/>
      </c>
      <c r="Q108" s="27">
        <f>IF(L108=1,0,O108*M108*10)</f>
        <v/>
      </c>
      <c r="R108" s="27">
        <f>IF(L108=1,0,N108*10)</f>
        <v/>
      </c>
      <c r="S108" s="27">
        <f>P108+Q108+R108</f>
        <v/>
      </c>
      <c r="T108" s="22">
        <f>C108+S108</f>
        <v/>
      </c>
      <c r="U108" s="33">
        <f>AX108</f>
        <v/>
      </c>
      <c r="V108" s="22">
        <f>IF(U108="",0,IF(U108="transition",0,IF(U108="SW",AG108,IF(U108="AB",AH108,IF(U108="SC",AI108,IF(U108="Mag",AJ108,IF(U108="OR",AK108,IF(U108="HP",AL108,IF(U108="FP",AM108,0)))))))))</f>
        <v/>
      </c>
      <c r="W108" s="27">
        <f>IF(U108="OR",Upgrades!$F$10,IF(U108="HP",Upgrades!$F$11,IF(U108="transition",-Parameters!$B$18,0)))</f>
        <v/>
      </c>
      <c r="X108" s="22">
        <f>T108-V108</f>
        <v/>
      </c>
      <c r="Y108" s="30">
        <f>M108*Parameters!$B$10/60*Parameters!$B$11+O108*M108+N108</f>
        <v/>
      </c>
      <c r="Z108" s="34">
        <f>IF(U108="transition","→ Tier 2 (Stellar Neighborhood)",IF(U108="FP","First Photons — light begins, system quickens",IF(U108="HP","Heliopause acquired",IF(U108="OR","Orbital Resonance — passive multiplier active",IF(AND(AO108=1,L108=0,AN108&lt;&gt;1),"Cohesion ready (waiting on completionist upgrades)","")))))</f>
        <v/>
      </c>
      <c r="AA108" s="27">
        <f>(IF(E108=0,0,(Upgrades!$G$6+E108*Upgrades!$H$6)*POWER(Upgrades!$I$6,E108)))*(IF(Upgrades!$T$7="Solar Wind",POWER(Upgrades!$U$7,F108),1)*IF(Upgrades!$T$8="Solar Wind",POWER(Upgrades!$U$8,G108),1)*IF(Upgrades!$T$9="Solar Wind",POWER(Upgrades!$U$9,H108),1)*IF(Upgrades!$T$10="Solar Wind",POWER(Upgrades!$U$10,I108),1)*IF(Upgrades!$T$11="Solar Wind",POWER(Upgrades!$U$11,J108),1)*IF(Upgrades!$T$12="Solar Wind",POWER(Upgrades!$U$12,K108),1))*POWER(Upgrades!$P$6,E108)*POWER(Upgrades!$P$7,F108)*POWER(Upgrades!$P$8,G108)*POWER(Upgrades!$P$9,H108)*POWER(Upgrades!$P$10,I108)*POWER(Upgrades!$P$11,J108)*POWER(Upgrades!$P$12,K108)*60</f>
        <v/>
      </c>
      <c r="AB108" s="27">
        <f>(IF(F108=0,0,(Upgrades!$G$7+F108*Upgrades!$H$7)*POWER(Upgrades!$I$7,F108)))*(IF(Upgrades!$T$6="Asteroid Belt",POWER(Upgrades!$U$6,E108),1)*IF(Upgrades!$T$8="Asteroid Belt",POWER(Upgrades!$U$8,G108),1)*IF(Upgrades!$T$9="Asteroid Belt",POWER(Upgrades!$U$9,H108),1)*IF(Upgrades!$T$10="Asteroid Belt",POWER(Upgrades!$U$10,I108),1)*IF(Upgrades!$T$11="Asteroid Belt",POWER(Upgrades!$U$11,J108),1)*IF(Upgrades!$T$12="Asteroid Belt",POWER(Upgrades!$U$12,K108),1))*POWER(Upgrades!$P$6,E108)*POWER(Upgrades!$P$7,F108)*POWER(Upgrades!$P$8,G108)*POWER(Upgrades!$P$9,H108)*POWER(Upgrades!$P$10,I108)*POWER(Upgrades!$P$11,J108)*POWER(Upgrades!$P$12,K108)*60</f>
        <v/>
      </c>
      <c r="AC108" s="27">
        <f>(IF(G108=0,0,(Upgrades!$J$8+G108*Upgrades!$K$8)*POWER(Upgrades!$L$8,G108)))*(IF(Upgrades!$T$6="Stellar Coupling",POWER(Upgrades!$U$6,E108),1)*IF(Upgrades!$T$7="Stellar Coupling",POWER(Upgrades!$U$7,F108),1)*IF(Upgrades!$T$9="Stellar Coupling",POWER(Upgrades!$U$9,H108),1)*IF(Upgrades!$T$10="Stellar Coupling",POWER(Upgrades!$U$10,I108),1)*IF(Upgrades!$T$11="Stellar Coupling",POWER(Upgrades!$U$11,J108),1)*IF(Upgrades!$T$12="Stellar Coupling",POWER(Upgrades!$U$12,K108),1))*POWER(Upgrades!$Q$6,E108)*POWER(Upgrades!$Q$7,F108)*POWER(Upgrades!$Q$8,G108)*POWER(Upgrades!$Q$9,H108)*POWER(Upgrades!$Q$10,I108)*POWER(Upgrades!$Q$11,J108)*POWER(Upgrades!$Q$12,K108)*Parameters!$B$10*Parameters!$B$11</f>
        <v/>
      </c>
      <c r="AD108" s="27">
        <f>(IF(H108=0,0,(Upgrades!$G$9+H108*Upgrades!$H$9)*POWER(Upgrades!$I$9,H108)))*(IF(Upgrades!$T$6="Magnetosphere",POWER(Upgrades!$U$6,E108),1)*IF(Upgrades!$T$7="Magnetosphere",POWER(Upgrades!$U$7,F108),1)*IF(Upgrades!$T$8="Magnetosphere",POWER(Upgrades!$U$8,G108),1)*IF(Upgrades!$T$10="Magnetosphere",POWER(Upgrades!$U$10,I108),1)*IF(Upgrades!$T$11="Magnetosphere",POWER(Upgrades!$U$11,J108),1)*IF(Upgrades!$T$12="Magnetosphere",POWER(Upgrades!$U$12,K108),1))*POWER(Upgrades!$P$6,E108)*POWER(Upgrades!$P$7,F108)*POWER(Upgrades!$P$8,G108)*POWER(Upgrades!$P$9,H108)*POWER(Upgrades!$P$10,I108)*POWER(Upgrades!$P$11,J108)*POWER(Upgrades!$P$12,K108)*60</f>
        <v/>
      </c>
      <c r="AE108" s="27">
        <f>(IF(K108=0,0,(Upgrades!$G$12+K108*Upgrades!$H$12)*POWER(Upgrades!$I$12,K108)))*(IF(Upgrades!$T$6="First Photons",POWER(Upgrades!$U$6,E108),1)*IF(Upgrades!$T$7="First Photons",POWER(Upgrades!$U$7,F108),1)*IF(Upgrades!$T$8="First Photons",POWER(Upgrades!$U$8,G108),1)*IF(Upgrades!$T$9="First Photons",POWER(Upgrades!$U$9,H108),1)*IF(Upgrades!$T$10="First Photons",POWER(Upgrades!$U$10,I108),1)*IF(Upgrades!$T$11="First Photons",POWER(Upgrades!$U$11,J108),1))*POWER(Upgrades!$P$6,E108)*POWER(Upgrades!$P$7,F108)*POWER(Upgrades!$P$8,G108)*POWER(Upgrades!$P$9,H108)*POWER(Upgrades!$P$10,I108)*POWER(Upgrades!$P$11,J108)*POWER(Upgrades!$P$12,K108)*60</f>
        <v/>
      </c>
      <c r="AF108" s="27">
        <f>Parameters!$B$9*POWER(Upgrades!$Q$6,E108)*POWER(Upgrades!$Q$7,F108)*POWER(Upgrades!$Q$8,G108)*POWER(Upgrades!$Q$9,H108)*POWER(Upgrades!$Q$10,I108)*POWER(Upgrades!$Q$11,J108)*POWER(Upgrades!$Q$12,K108)*(Parameters!$B$10*Parameters!$B$11+O108*60)</f>
        <v/>
      </c>
      <c r="AG108" s="22">
        <f>IF(E108&gt;=Upgrades!$E$6,"",Upgrades!$C$6*POWER(Upgrades!$D$6,E108))</f>
        <v/>
      </c>
      <c r="AH108" s="22">
        <f>IF(F108&gt;=Upgrades!$E$7,"",Upgrades!$C$7*POWER(Upgrades!$D$7,F108))</f>
        <v/>
      </c>
      <c r="AI108" s="22">
        <f>IF(G108&gt;=Upgrades!$E$8,"",Upgrades!$C$8*POWER(Upgrades!$D$8,G108))</f>
        <v/>
      </c>
      <c r="AJ108" s="22">
        <f>IF(H108&gt;=Upgrades!$E$9,"",Upgrades!$C$9*POWER(Upgrades!$D$9,H108))</f>
        <v/>
      </c>
      <c r="AK108" s="22">
        <f>IF(I108&gt;=Upgrades!$E$10,"",Upgrades!$C$10*POWER(Upgrades!$D$10,I108))</f>
        <v/>
      </c>
      <c r="AL108" s="22">
        <f>IF(J108&gt;=Upgrades!$E$11,"",Upgrades!$C$11*POWER(Upgrades!$D$11,J108))</f>
        <v/>
      </c>
      <c r="AM108" s="22">
        <f>IF(K108&gt;=Upgrades!$E$12,"",Upgrades!$C$12*POWER(Upgrades!$D$12,K108))</f>
        <v/>
      </c>
      <c r="AN108" s="26">
        <f>IF(AND(D108&gt;=Parameters!$B$18,(H108&gt;=Upgrades!$E$9)*(K108&gt;=Upgrades!$E$12)=1,L108=0),1,"")</f>
        <v/>
      </c>
      <c r="AO108" s="26">
        <f>IF(AND(D108&gt;=Parameters!$B$18,L108=0),1,"")</f>
        <v/>
      </c>
      <c r="AP108" s="22">
        <f>MIN(IF(ISNUMBER(AK108),AK108,9E15),IF(ISNUMBER(AL108),AL108,9E15),IF(ISNUMBER(AM108),AM108,9E15))</f>
        <v/>
      </c>
      <c r="AQ108" s="22">
        <f>MIN(IF(ISNUMBER(AG108),AG108,9E15),IF(ISNUMBER(AH108),AH108,9E15),IF(ISNUMBER(AI108),AI108,9E15),IF(ISNUMBER(AJ108),AJ108,9E15))</f>
        <v/>
      </c>
      <c r="AR108" s="29">
        <f>IF(AW108&gt;Parameters!$B$21*(MAX(IF(AND(NOT(AND(AO108=1,AN108&lt;&gt;1)),ISNUMBER(AG108),AG108&lt;=T108),AS108,0),IF(AND(NOT(AND(AO108=1,AN108&lt;&gt;1)),ISNUMBER(AH108),AH108&lt;=T108),AT108,0),IF(AND(NOT(AND(AO108=1,AN108&lt;&gt;1)),ISNUMBER(AI108),AI108&lt;=T108),AU108,0),IF(AND(ISNUMBER(AJ108),AJ108&lt;=T108),AV108,0))),TRUE,FALSE)</f>
        <v/>
      </c>
      <c r="AS108" s="32">
        <f>IFERROR(Upgrades!$H$6*(POWER(Upgrades!$P$6,E108)*POWER(Upgrades!$P$7,F108)*POWER(Upgrades!$P$8,G108)*POWER(Upgrades!$P$9,H108)*POWER(Upgrades!$P$10,I108)*POWER(Upgrades!$P$11,J108)*POWER(Upgrades!$P$12,K108))*(IF(Upgrades!$T$7="Solar Wind",POWER(Upgrades!$U$7,F108),1)*IF(Upgrades!$T$8="Solar Wind",POWER(Upgrades!$U$8,G108),1)*IF(Upgrades!$T$9="Solar Wind",POWER(Upgrades!$U$9,H108),1)*IF(Upgrades!$T$10="Solar Wind",POWER(Upgrades!$U$10,I108),1)*IF(Upgrades!$T$11="Solar Wind",POWER(Upgrades!$U$11,J108),1)*IF(Upgrades!$T$12="Solar Wind",POWER(Upgrades!$U$12,K108),1))/AG108,0)</f>
        <v/>
      </c>
      <c r="AT108" s="32">
        <f>IFERROR(Upgrades!$H$7*(POWER(Upgrades!$P$6,E108)*POWER(Upgrades!$P$7,F108)*POWER(Upgrades!$P$8,G108)*POWER(Upgrades!$P$9,H108)*POWER(Upgrades!$P$10,I108)*POWER(Upgrades!$P$11,J108)*POWER(Upgrades!$P$12,K108))*(IF(Upgrades!$T$6="Asteroid Belt",POWER(Upgrades!$U$6,E108),1)*IF(Upgrades!$T$8="Asteroid Belt",POWER(Upgrades!$U$8,G108),1)*IF(Upgrades!$T$9="Asteroid Belt",POWER(Upgrades!$U$9,H108),1)*IF(Upgrades!$T$10="Asteroid Belt",POWER(Upgrades!$U$10,I108),1)*IF(Upgrades!$T$11="Asteroid Belt",POWER(Upgrades!$U$11,J108),1)*IF(Upgrades!$T$12="Asteroid Belt",POWER(Upgrades!$U$12,K108),1))/AH108,0)</f>
        <v/>
      </c>
      <c r="AU108" s="32">
        <f>IFERROR(Upgrades!$K$8*(POWER(Upgrades!$Q$6,E108)*POWER(Upgrades!$Q$7,F108)*POWER(Upgrades!$Q$8,G108)*POWER(Upgrades!$Q$9,H108)*POWER(Upgrades!$Q$10,I108)*POWER(Upgrades!$Q$11,J108)*POWER(Upgrades!$Q$12,K108))*(IF(Upgrades!$T$6="Stellar Coupling",POWER(Upgrades!$U$6,E108),1)*IF(Upgrades!$T$7="Stellar Coupling",POWER(Upgrades!$U$7,F108),1)*IF(Upgrades!$T$9="Stellar Coupling",POWER(Upgrades!$U$9,H108),1)*IF(Upgrades!$T$10="Stellar Coupling",POWER(Upgrades!$U$10,I108),1)*IF(Upgrades!$T$11="Stellar Coupling",POWER(Upgrades!$U$11,J108),1)*IF(Upgrades!$T$12="Stellar Coupling",POWER(Upgrades!$U$12,K108),1))*Parameters!$B$10*Parameters!$B$11/60/AI108,0)</f>
        <v/>
      </c>
      <c r="AV108" s="32">
        <f>IFERROR(Upgrades!$H$9*(POWER(Upgrades!$P$6,E108)*POWER(Upgrades!$P$7,F108)*POWER(Upgrades!$P$8,G108)*POWER(Upgrades!$P$9,H108)*POWER(Upgrades!$P$10,I108)*POWER(Upgrades!$P$11,J108)*POWER(Upgrades!$P$12,K108))*(IF(Upgrades!$T$6="Magnetosphere",POWER(Upgrades!$U$6,E108),1)*IF(Upgrades!$T$7="Magnetosphere",POWER(Upgrades!$U$7,F108),1)*IF(Upgrades!$T$8="Magnetosphere",POWER(Upgrades!$U$8,G108),1)*IF(Upgrades!$T$10="Magnetosphere",POWER(Upgrades!$U$10,I108),1)*IF(Upgrades!$T$11="Magnetosphere",POWER(Upgrades!$U$11,J108),1)*IF(Upgrades!$T$12="Magnetosphere",POWER(Upgrades!$U$12,K108),1))/AJ108,0)</f>
        <v/>
      </c>
      <c r="AW108" s="32">
        <f>MAX(IF(I108&gt;0,0,IFERROR(0.25*N108/Upgrades!$C$10,0)),IF(J108&gt;0,0,IFERROR(0.5*((IF(G108=0,0,(Upgrades!$J$8+G108*Upgrades!$K$8)*POWER(Upgrades!$L$8,G108)))*(IF(Upgrades!$T$6="Stellar Coupling",POWER(Upgrades!$U$6,E108),1)*IF(Upgrades!$T$7="Stellar Coupling",POWER(Upgrades!$U$7,F108),1)*IF(Upgrades!$T$9="Stellar Coupling",POWER(Upgrades!$U$9,H108),1)*IF(Upgrades!$T$10="Stellar Coupling",POWER(Upgrades!$U$10,I108),1)*IF(Upgrades!$T$11="Stellar Coupling",POWER(Upgrades!$U$11,J108),1)*IF(Upgrades!$T$12="Stellar Coupling",POWER(Upgrades!$U$12,K108),1))*(POWER(Upgrades!$Q$6,E108)*POWER(Upgrades!$Q$7,F108)*POWER(Upgrades!$Q$8,G108)*POWER(Upgrades!$Q$9,H108)*POWER(Upgrades!$Q$10,I108)*POWER(Upgrades!$Q$11,J108)*POWER(Upgrades!$Q$12,K108))*Parameters!$B$10*Parameters!$B$11/60)/Upgrades!$C$11,0)),IF(K108&gt;0,0,IFERROR((1.0*(POWER(Upgrades!$P$6,E108)*POWER(Upgrades!$P$7,F108)*POWER(Upgrades!$P$8,G108)*POWER(Upgrades!$P$9,H108)*POWER(Upgrades!$P$10,I108)*POWER(Upgrades!$P$11,J108)*POWER(Upgrades!$P$12,K108))+0.20*M108*Parameters!$B$10*Parameters!$B$11/60)/Upgrades!$C$12,0)),IF(AND(ISNUMBER(AG108),AG108&gt;T108),AS108,0),IF(AND(ISNUMBER(AH108),AH108&gt;T108),AT108,0),IF(AND(ISNUMBER(AI108),AI108&gt;T108),AU108,0),IF(AND(ISNUMBER(AJ108),AJ108&gt;T108),AV108,0))</f>
        <v/>
      </c>
      <c r="AX108" s="29">
        <f>IF(AN108=1,"transition",IF(MIN(IF(AND(I108=0,ISNUMBER(AK108),AK108&lt;=T108),AK108,9E15),IF(AND(J108=0,ISNUMBER(AL108),AL108&lt;=T108),AL108,9E15),IF(AND(K108=0,ISNUMBER(AM108),AM108&lt;=T108),AM108,9E15))&lt;9E15,IF(AND(AND(I108=0,ISNUMBER(AK108),AK108&lt;=T108),AK108=MIN(IF(AND(I108=0,ISNUMBER(AK108),AK108&lt;=T108),AK108,9E15),IF(AND(J108=0,ISNUMBER(AL108),AL108&lt;=T108),AL108,9E15),IF(AND(K108=0,ISNUMBER(AM108),AM108&lt;=T108),AM108,9E15))),"OR",IF(AND(AND(J108=0,ISNUMBER(AL108),AL108&lt;=T108),AL108=MIN(IF(AND(I108=0,ISNUMBER(AK108),AK108&lt;=T108),AK108,9E15),IF(AND(J108=0,ISNUMBER(AL108),AL108&lt;=T108),AL108,9E15),IF(AND(K108=0,ISNUMBER(AM108),AM108&lt;=T108),AM108,9E15))),"HP","FP")),IF(AR108=TRUE,"",IF(MAX(IF(AND(NOT(AND(AO108=1,AN108&lt;&gt;1)),ISNUMBER(AG108),AG108&lt;=T108),AS108,0),IF(AND(NOT(AND(AO108=1,AN108&lt;&gt;1)),ISNUMBER(AH108),AH108&lt;=T108),AT108,0),IF(AND(NOT(AND(AO108=1,AN108&lt;&gt;1)),ISNUMBER(AI108),AI108&lt;=T108),AU108,0),IF(AND(ISNUMBER(AJ108),AJ108&lt;=T108),AV108,0))&lt;=0,"",IF(AND(IF(AND(NOT(AND(AO108=1,AN108&lt;&gt;1)),ISNUMBER(AG108),AG108&lt;=T108),AS108,0)&gt;0,IF(AND(NOT(AND(AO108=1,AN108&lt;&gt;1)),ISNUMBER(AG108),AG108&lt;=T108),AS108,0)=MAX(IF(AND(NOT(AND(AO108=1,AN108&lt;&gt;1)),ISNUMBER(AG108),AG108&lt;=T108),AS108,0),IF(AND(NOT(AND(AO108=1,AN108&lt;&gt;1)),ISNUMBER(AH108),AH108&lt;=T108),AT108,0),IF(AND(NOT(AND(AO108=1,AN108&lt;&gt;1)),ISNUMBER(AI108),AI108&lt;=T108),AU108,0),IF(AND(ISNUMBER(AJ108),AJ108&lt;=T108),AV108,0))),"SW",IF(AND(IF(AND(NOT(AND(AO108=1,AN108&lt;&gt;1)),ISNUMBER(AH108),AH108&lt;=T108),AT108,0)&gt;0,IF(AND(NOT(AND(AO108=1,AN108&lt;&gt;1)),ISNUMBER(AH108),AH108&lt;=T108),AT108,0)=MAX(IF(AND(NOT(AND(AO108=1,AN108&lt;&gt;1)),ISNUMBER(AG108),AG108&lt;=T108),AS108,0),IF(AND(NOT(AND(AO108=1,AN108&lt;&gt;1)),ISNUMBER(AH108),AH108&lt;=T108),AT108,0),IF(AND(NOT(AND(AO108=1,AN108&lt;&gt;1)),ISNUMBER(AI108),AI108&lt;=T108),AU108,0),IF(AND(ISNUMBER(AJ108),AJ108&lt;=T108),AV108,0))),"AB",IF(AND(IF(AND(NOT(AND(AO108=1,AN108&lt;&gt;1)),ISNUMBER(AI108),AI108&lt;=T108),AU108,0)&gt;0,IF(AND(NOT(AND(AO108=1,AN108&lt;&gt;1)),ISNUMBER(AI108),AI108&lt;=T108),AU108,0)=MAX(IF(AND(NOT(AND(AO108=1,AN108&lt;&gt;1)),ISNUMBER(AG108),AG108&lt;=T108),AS108,0),IF(AND(NOT(AND(AO108=1,AN108&lt;&gt;1)),ISNUMBER(AH108),AH108&lt;=T108),AT108,0),IF(AND(NOT(AND(AO108=1,AN108&lt;&gt;1)),ISNUMBER(AI108),AI108&lt;=T108),AU108,0),IF(AND(ISNUMBER(AJ108),AJ108&lt;=T108),AV108,0))),"SC","Mag")))))))</f>
        <v/>
      </c>
    </row>
    <row r="109">
      <c r="A109" s="26" t="n">
        <v>104</v>
      </c>
      <c r="B109" s="27">
        <f>A109*10/60</f>
        <v/>
      </c>
      <c r="C109" s="22">
        <f>X108</f>
        <v/>
      </c>
      <c r="D109" s="27">
        <f>D108+W108</f>
        <v/>
      </c>
      <c r="E109" s="26">
        <f>E108+IF(U108="SW",1,0)</f>
        <v/>
      </c>
      <c r="F109" s="26">
        <f>F108+IF(U108="AB",1,0)</f>
        <v/>
      </c>
      <c r="G109" s="26">
        <f>G108+IF(U108="SC",1,0)</f>
        <v/>
      </c>
      <c r="H109" s="26">
        <f>H108+IF(U108="Mag",1,0)</f>
        <v/>
      </c>
      <c r="I109" s="26">
        <f>MAX(I108,IF(U108="OR",1,0))</f>
        <v/>
      </c>
      <c r="J109" s="26">
        <f>MAX(J108,IF(U108="HP",1,0))</f>
        <v/>
      </c>
      <c r="K109" s="26">
        <f>MAX(K108,IF(U108="FP",1,0))</f>
        <v/>
      </c>
      <c r="L109" s="26">
        <f>MAX(L108,IF(U108="transition",1,0))</f>
        <v/>
      </c>
      <c r="M109" s="28">
        <f>(Parameters!$B$9+(IF(E109=0,0,(Upgrades!$J$6+E109*Upgrades!$K$6)*POWER(Upgrades!$L$6,E109)))*(IF(Upgrades!$T$7="Solar Wind",POWER(Upgrades!$U$7,F109),1)*IF(Upgrades!$T$8="Solar Wind",POWER(Upgrades!$U$8,G109),1)*IF(Upgrades!$T$9="Solar Wind",POWER(Upgrades!$U$9,H109),1)*IF(Upgrades!$T$10="Solar Wind",POWER(Upgrades!$U$10,I109),1)*IF(Upgrades!$T$11="Solar Wind",POWER(Upgrades!$U$11,J109),1)*IF(Upgrades!$T$12="Solar Wind",POWER(Upgrades!$U$12,K109),1))+(IF(F109=0,0,(Upgrades!$J$7+F109*Upgrades!$K$7)*POWER(Upgrades!$L$7,F109)))*(IF(Upgrades!$T$6="Asteroid Belt",POWER(Upgrades!$U$6,E109),1)*IF(Upgrades!$T$8="Asteroid Belt",POWER(Upgrades!$U$8,G109),1)*IF(Upgrades!$T$9="Asteroid Belt",POWER(Upgrades!$U$9,H109),1)*IF(Upgrades!$T$10="Asteroid Belt",POWER(Upgrades!$U$10,I109),1)*IF(Upgrades!$T$11="Asteroid Belt",POWER(Upgrades!$U$11,J109),1)*IF(Upgrades!$T$12="Asteroid Belt",POWER(Upgrades!$U$12,K109),1))+(IF(G109=0,0,(Upgrades!$J$8+G109*Upgrades!$K$8)*POWER(Upgrades!$L$8,G109)))*(IF(Upgrades!$T$6="Stellar Coupling",POWER(Upgrades!$U$6,E109),1)*IF(Upgrades!$T$7="Stellar Coupling",POWER(Upgrades!$U$7,F109),1)*IF(Upgrades!$T$9="Stellar Coupling",POWER(Upgrades!$U$9,H109),1)*IF(Upgrades!$T$10="Stellar Coupling",POWER(Upgrades!$U$10,I109),1)*IF(Upgrades!$T$11="Stellar Coupling",POWER(Upgrades!$U$11,J109),1)*IF(Upgrades!$T$12="Stellar Coupling",POWER(Upgrades!$U$12,K109),1))+(IF(H109=0,0,(Upgrades!$J$9+H109*Upgrades!$K$9)*POWER(Upgrades!$L$9,H109)))*(IF(Upgrades!$T$6="Magnetosphere",POWER(Upgrades!$U$6,E109),1)*IF(Upgrades!$T$7="Magnetosphere",POWER(Upgrades!$U$7,F109),1)*IF(Upgrades!$T$8="Magnetosphere",POWER(Upgrades!$U$8,G109),1)*IF(Upgrades!$T$10="Magnetosphere",POWER(Upgrades!$U$10,I109),1)*IF(Upgrades!$T$11="Magnetosphere",POWER(Upgrades!$U$11,J109),1)*IF(Upgrades!$T$12="Magnetosphere",POWER(Upgrades!$U$12,K109),1))+(IF(I109=0,0,(Upgrades!$J$10+I109*Upgrades!$K$10)*POWER(Upgrades!$L$10,I109)))*(IF(Upgrades!$T$6="Orbital Resonance",POWER(Upgrades!$U$6,E109),1)*IF(Upgrades!$T$7="Orbital Resonance",POWER(Upgrades!$U$7,F109),1)*IF(Upgrades!$T$8="Orbital Resonance",POWER(Upgrades!$U$8,G109),1)*IF(Upgrades!$T$9="Orbital Resonance",POWER(Upgrades!$U$9,H109),1)*IF(Upgrades!$T$11="Orbital Resonance",POWER(Upgrades!$U$11,J109),1)*IF(Upgrades!$T$12="Orbital Resonance",POWER(Upgrades!$U$12,K109),1))+(IF(J109=0,0,(Upgrades!$J$11+J109*Upgrades!$K$11)*POWER(Upgrades!$L$11,J109)))*(IF(Upgrades!$T$6="Heliopause",POWER(Upgrades!$U$6,E109),1)*IF(Upgrades!$T$7="Heliopause",POWER(Upgrades!$U$7,F109),1)*IF(Upgrades!$T$8="Heliopause",POWER(Upgrades!$U$8,G109),1)*IF(Upgrades!$T$9="Heliopause",POWER(Upgrades!$U$9,H109),1)*IF(Upgrades!$T$10="Heliopause",POWER(Upgrades!$U$10,I109),1)*IF(Upgrades!$T$12="Heliopause",POWER(Upgrades!$U$12,K109),1))+(IF(K109=0,0,(Upgrades!$J$12+K109*Upgrades!$K$12)*POWER(Upgrades!$L$12,K109)))*(IF(Upgrades!$T$6="First Photons",POWER(Upgrades!$U$6,E109),1)*IF(Upgrades!$T$7="First Photons",POWER(Upgrades!$U$7,F109),1)*IF(Upgrades!$T$8="First Photons",POWER(Upgrades!$U$8,G109),1)*IF(Upgrades!$T$9="First Photons",POWER(Upgrades!$U$9,H109),1)*IF(Upgrades!$T$10="First Photons",POWER(Upgrades!$U$10,I109),1)*IF(Upgrades!$T$11="First Photons",POWER(Upgrades!$U$11,J109),1)))*POWER(Upgrades!$Q$6,E109)*POWER(Upgrades!$Q$7,F109)*POWER(Upgrades!$Q$8,G109)*POWER(Upgrades!$Q$9,H109)*POWER(Upgrades!$Q$10,I109)*POWER(Upgrades!$Q$11,J109)*POWER(Upgrades!$Q$12,K109)</f>
        <v/>
      </c>
      <c r="N109" s="28">
        <f>((IF(E109=0,0,(Upgrades!$G$6+E109*Upgrades!$H$6)*POWER(Upgrades!$I$6,E109)))*(IF(Upgrades!$T$7="Solar Wind",POWER(Upgrades!$U$7,F109),1)*IF(Upgrades!$T$8="Solar Wind",POWER(Upgrades!$U$8,G109),1)*IF(Upgrades!$T$9="Solar Wind",POWER(Upgrades!$U$9,H109),1)*IF(Upgrades!$T$10="Solar Wind",POWER(Upgrades!$U$10,I109),1)*IF(Upgrades!$T$11="Solar Wind",POWER(Upgrades!$U$11,J109),1)*IF(Upgrades!$T$12="Solar Wind",POWER(Upgrades!$U$12,K109),1))+(IF(F109=0,0,(Upgrades!$G$7+F109*Upgrades!$H$7)*POWER(Upgrades!$I$7,F109)))*(IF(Upgrades!$T$6="Asteroid Belt",POWER(Upgrades!$U$6,E109),1)*IF(Upgrades!$T$8="Asteroid Belt",POWER(Upgrades!$U$8,G109),1)*IF(Upgrades!$T$9="Asteroid Belt",POWER(Upgrades!$U$9,H109),1)*IF(Upgrades!$T$10="Asteroid Belt",POWER(Upgrades!$U$10,I109),1)*IF(Upgrades!$T$11="Asteroid Belt",POWER(Upgrades!$U$11,J109),1)*IF(Upgrades!$T$12="Asteroid Belt",POWER(Upgrades!$U$12,K109),1))+(IF(G109=0,0,(Upgrades!$G$8+G109*Upgrades!$H$8)*POWER(Upgrades!$I$8,G109)))*(IF(Upgrades!$T$6="Stellar Coupling",POWER(Upgrades!$U$6,E109),1)*IF(Upgrades!$T$7="Stellar Coupling",POWER(Upgrades!$U$7,F109),1)*IF(Upgrades!$T$9="Stellar Coupling",POWER(Upgrades!$U$9,H109),1)*IF(Upgrades!$T$10="Stellar Coupling",POWER(Upgrades!$U$10,I109),1)*IF(Upgrades!$T$11="Stellar Coupling",POWER(Upgrades!$U$11,J109),1)*IF(Upgrades!$T$12="Stellar Coupling",POWER(Upgrades!$U$12,K109),1))+(IF(H109=0,0,(Upgrades!$G$9+H109*Upgrades!$H$9)*POWER(Upgrades!$I$9,H109)))*(IF(Upgrades!$T$6="Magnetosphere",POWER(Upgrades!$U$6,E109),1)*IF(Upgrades!$T$7="Magnetosphere",POWER(Upgrades!$U$7,F109),1)*IF(Upgrades!$T$8="Magnetosphere",POWER(Upgrades!$U$8,G109),1)*IF(Upgrades!$T$10="Magnetosphere",POWER(Upgrades!$U$10,I109),1)*IF(Upgrades!$T$11="Magnetosphere",POWER(Upgrades!$U$11,J109),1)*IF(Upgrades!$T$12="Magnetosphere",POWER(Upgrades!$U$12,K109),1))+(IF(I109=0,0,(Upgrades!$G$10+I109*Upgrades!$H$10)*POWER(Upgrades!$I$10,I109)))*(IF(Upgrades!$T$6="Orbital Resonance",POWER(Upgrades!$U$6,E109),1)*IF(Upgrades!$T$7="Orbital Resonance",POWER(Upgrades!$U$7,F109),1)*IF(Upgrades!$T$8="Orbital Resonance",POWER(Upgrades!$U$8,G109),1)*IF(Upgrades!$T$9="Orbital Resonance",POWER(Upgrades!$U$9,H109),1)*IF(Upgrades!$T$11="Orbital Resonance",POWER(Upgrades!$U$11,J109),1)*IF(Upgrades!$T$12="Orbital Resonance",POWER(Upgrades!$U$12,K109),1))+(IF(J109=0,0,(Upgrades!$G$11+J109*Upgrades!$H$11)*POWER(Upgrades!$I$11,J109)))*(IF(Upgrades!$T$6="Heliopause",POWER(Upgrades!$U$6,E109),1)*IF(Upgrades!$T$7="Heliopause",POWER(Upgrades!$U$7,F109),1)*IF(Upgrades!$T$8="Heliopause",POWER(Upgrades!$U$8,G109),1)*IF(Upgrades!$T$9="Heliopause",POWER(Upgrades!$U$9,H109),1)*IF(Upgrades!$T$10="Heliopause",POWER(Upgrades!$U$10,I109),1)*IF(Upgrades!$T$12="Heliopause",POWER(Upgrades!$U$12,K109),1))+(IF(K109=0,0,(Upgrades!$G$12+K109*Upgrades!$H$12)*POWER(Upgrades!$I$12,K109)))*(IF(Upgrades!$T$6="First Photons",POWER(Upgrades!$U$6,E109),1)*IF(Upgrades!$T$7="First Photons",POWER(Upgrades!$U$7,F109),1)*IF(Upgrades!$T$8="First Photons",POWER(Upgrades!$U$8,G109),1)*IF(Upgrades!$T$9="First Photons",POWER(Upgrades!$U$9,H109),1)*IF(Upgrades!$T$10="First Photons",POWER(Upgrades!$U$10,I109),1)*IF(Upgrades!$T$11="First Photons",POWER(Upgrades!$U$11,J109),1)))*POWER(Upgrades!$P$6,E109)*POWER(Upgrades!$P$7,F109)*POWER(Upgrades!$P$8,G109)*POWER(Upgrades!$P$9,H109)*POWER(Upgrades!$P$10,I109)*POWER(Upgrades!$P$11,J109)*POWER(Upgrades!$P$12,K109)</f>
        <v/>
      </c>
      <c r="O109" s="28">
        <f>((IF(E109=0,0,(Upgrades!$M$6+E109*Upgrades!$N$6)*POWER(Upgrades!$O$6,E109)))*(IF(Upgrades!$T$7="Solar Wind",POWER(Upgrades!$U$7,F109),1)*IF(Upgrades!$T$8="Solar Wind",POWER(Upgrades!$U$8,G109),1)*IF(Upgrades!$T$9="Solar Wind",POWER(Upgrades!$U$9,H109),1)*IF(Upgrades!$T$10="Solar Wind",POWER(Upgrades!$U$10,I109),1)*IF(Upgrades!$T$11="Solar Wind",POWER(Upgrades!$U$11,J109),1)*IF(Upgrades!$T$12="Solar Wind",POWER(Upgrades!$U$12,K109),1))+(IF(F109=0,0,(Upgrades!$M$7+F109*Upgrades!$N$7)*POWER(Upgrades!$O$7,F109)))*(IF(Upgrades!$T$6="Asteroid Belt",POWER(Upgrades!$U$6,E109),1)*IF(Upgrades!$T$8="Asteroid Belt",POWER(Upgrades!$U$8,G109),1)*IF(Upgrades!$T$9="Asteroid Belt",POWER(Upgrades!$U$9,H109),1)*IF(Upgrades!$T$10="Asteroid Belt",POWER(Upgrades!$U$10,I109),1)*IF(Upgrades!$T$11="Asteroid Belt",POWER(Upgrades!$U$11,J109),1)*IF(Upgrades!$T$12="Asteroid Belt",POWER(Upgrades!$U$12,K109),1))+(IF(G109=0,0,(Upgrades!$M$8+G109*Upgrades!$N$8)*POWER(Upgrades!$O$8,G109)))*(IF(Upgrades!$T$6="Stellar Coupling",POWER(Upgrades!$U$6,E109),1)*IF(Upgrades!$T$7="Stellar Coupling",POWER(Upgrades!$U$7,F109),1)*IF(Upgrades!$T$9="Stellar Coupling",POWER(Upgrades!$U$9,H109),1)*IF(Upgrades!$T$10="Stellar Coupling",POWER(Upgrades!$U$10,I109),1)*IF(Upgrades!$T$11="Stellar Coupling",POWER(Upgrades!$U$11,J109),1)*IF(Upgrades!$T$12="Stellar Coupling",POWER(Upgrades!$U$12,K109),1))+(IF(H109=0,0,(Upgrades!$M$9+H109*Upgrades!$N$9)*POWER(Upgrades!$O$9,H109)))*(IF(Upgrades!$T$6="Magnetosphere",POWER(Upgrades!$U$6,E109),1)*IF(Upgrades!$T$7="Magnetosphere",POWER(Upgrades!$U$7,F109),1)*IF(Upgrades!$T$8="Magnetosphere",POWER(Upgrades!$U$8,G109),1)*IF(Upgrades!$T$10="Magnetosphere",POWER(Upgrades!$U$10,I109),1)*IF(Upgrades!$T$11="Magnetosphere",POWER(Upgrades!$U$11,J109),1)*IF(Upgrades!$T$12="Magnetosphere",POWER(Upgrades!$U$12,K109),1))+(IF(I109=0,0,(Upgrades!$M$10+I109*Upgrades!$N$10)*POWER(Upgrades!$O$10,I109)))*(IF(Upgrades!$T$6="Orbital Resonance",POWER(Upgrades!$U$6,E109),1)*IF(Upgrades!$T$7="Orbital Resonance",POWER(Upgrades!$U$7,F109),1)*IF(Upgrades!$T$8="Orbital Resonance",POWER(Upgrades!$U$8,G109),1)*IF(Upgrades!$T$9="Orbital Resonance",POWER(Upgrades!$U$9,H109),1)*IF(Upgrades!$T$11="Orbital Resonance",POWER(Upgrades!$U$11,J109),1)*IF(Upgrades!$T$12="Orbital Resonance",POWER(Upgrades!$U$12,K109),1))+(IF(J109=0,0,(Upgrades!$M$11+J109*Upgrades!$N$11)*POWER(Upgrades!$O$11,J109)))*(IF(Upgrades!$T$6="Heliopause",POWER(Upgrades!$U$6,E109),1)*IF(Upgrades!$T$7="Heliopause",POWER(Upgrades!$U$7,F109),1)*IF(Upgrades!$T$8="Heliopause",POWER(Upgrades!$U$8,G109),1)*IF(Upgrades!$T$9="Heliopause",POWER(Upgrades!$U$9,H109),1)*IF(Upgrades!$T$10="Heliopause",POWER(Upgrades!$U$10,I109),1)*IF(Upgrades!$T$12="Heliopause",POWER(Upgrades!$U$12,K109),1))+(IF(K109=0,0,(Upgrades!$M$12+K109*Upgrades!$N$12)*POWER(Upgrades!$O$12,K109)))*(IF(Upgrades!$T$6="First Photons",POWER(Upgrades!$U$6,E109),1)*IF(Upgrades!$T$7="First Photons",POWER(Upgrades!$U$7,F109),1)*IF(Upgrades!$T$8="First Photons",POWER(Upgrades!$U$8,G109),1)*IF(Upgrades!$T$9="First Photons",POWER(Upgrades!$U$9,H109),1)*IF(Upgrades!$T$10="First Photons",POWER(Upgrades!$U$10,I109),1)*IF(Upgrades!$T$11="First Photons",POWER(Upgrades!$U$11,J109),1)))*POWER(Upgrades!$R$6,E109)*POWER(Upgrades!$R$7,F109)*POWER(Upgrades!$R$8,G109)*POWER(Upgrades!$R$9,H109)*POWER(Upgrades!$R$10,I109)*POWER(Upgrades!$R$11,J109)*POWER(Upgrades!$R$12,K109)</f>
        <v/>
      </c>
      <c r="P109" s="27">
        <f>IF(L109=1,0,M109*Parameters!$B$10/60*Parameters!$B$11*10)</f>
        <v/>
      </c>
      <c r="Q109" s="27">
        <f>IF(L109=1,0,O109*M109*10)</f>
        <v/>
      </c>
      <c r="R109" s="27">
        <f>IF(L109=1,0,N109*10)</f>
        <v/>
      </c>
      <c r="S109" s="27">
        <f>P109+Q109+R109</f>
        <v/>
      </c>
      <c r="T109" s="22">
        <f>C109+S109</f>
        <v/>
      </c>
      <c r="U109" s="33">
        <f>AX109</f>
        <v/>
      </c>
      <c r="V109" s="22">
        <f>IF(U109="",0,IF(U109="transition",0,IF(U109="SW",AG109,IF(U109="AB",AH109,IF(U109="SC",AI109,IF(U109="Mag",AJ109,IF(U109="OR",AK109,IF(U109="HP",AL109,IF(U109="FP",AM109,0)))))))))</f>
        <v/>
      </c>
      <c r="W109" s="27">
        <f>IF(U109="OR",Upgrades!$F$10,IF(U109="HP",Upgrades!$F$11,IF(U109="transition",-Parameters!$B$18,0)))</f>
        <v/>
      </c>
      <c r="X109" s="22">
        <f>T109-V109</f>
        <v/>
      </c>
      <c r="Y109" s="30">
        <f>M109*Parameters!$B$10/60*Parameters!$B$11+O109*M109+N109</f>
        <v/>
      </c>
      <c r="Z109" s="34">
        <f>IF(U109="transition","→ Tier 2 (Stellar Neighborhood)",IF(U109="FP","First Photons — light begins, system quickens",IF(U109="HP","Heliopause acquired",IF(U109="OR","Orbital Resonance — passive multiplier active",IF(AND(AO109=1,L109=0,AN109&lt;&gt;1),"Cohesion ready (waiting on completionist upgrades)","")))))</f>
        <v/>
      </c>
      <c r="AA109" s="27">
        <f>(IF(E109=0,0,(Upgrades!$G$6+E109*Upgrades!$H$6)*POWER(Upgrades!$I$6,E109)))*(IF(Upgrades!$T$7="Solar Wind",POWER(Upgrades!$U$7,F109),1)*IF(Upgrades!$T$8="Solar Wind",POWER(Upgrades!$U$8,G109),1)*IF(Upgrades!$T$9="Solar Wind",POWER(Upgrades!$U$9,H109),1)*IF(Upgrades!$T$10="Solar Wind",POWER(Upgrades!$U$10,I109),1)*IF(Upgrades!$T$11="Solar Wind",POWER(Upgrades!$U$11,J109),1)*IF(Upgrades!$T$12="Solar Wind",POWER(Upgrades!$U$12,K109),1))*POWER(Upgrades!$P$6,E109)*POWER(Upgrades!$P$7,F109)*POWER(Upgrades!$P$8,G109)*POWER(Upgrades!$P$9,H109)*POWER(Upgrades!$P$10,I109)*POWER(Upgrades!$P$11,J109)*POWER(Upgrades!$P$12,K109)*60</f>
        <v/>
      </c>
      <c r="AB109" s="27">
        <f>(IF(F109=0,0,(Upgrades!$G$7+F109*Upgrades!$H$7)*POWER(Upgrades!$I$7,F109)))*(IF(Upgrades!$T$6="Asteroid Belt",POWER(Upgrades!$U$6,E109),1)*IF(Upgrades!$T$8="Asteroid Belt",POWER(Upgrades!$U$8,G109),1)*IF(Upgrades!$T$9="Asteroid Belt",POWER(Upgrades!$U$9,H109),1)*IF(Upgrades!$T$10="Asteroid Belt",POWER(Upgrades!$U$10,I109),1)*IF(Upgrades!$T$11="Asteroid Belt",POWER(Upgrades!$U$11,J109),1)*IF(Upgrades!$T$12="Asteroid Belt",POWER(Upgrades!$U$12,K109),1))*POWER(Upgrades!$P$6,E109)*POWER(Upgrades!$P$7,F109)*POWER(Upgrades!$P$8,G109)*POWER(Upgrades!$P$9,H109)*POWER(Upgrades!$P$10,I109)*POWER(Upgrades!$P$11,J109)*POWER(Upgrades!$P$12,K109)*60</f>
        <v/>
      </c>
      <c r="AC109" s="27">
        <f>(IF(G109=0,0,(Upgrades!$J$8+G109*Upgrades!$K$8)*POWER(Upgrades!$L$8,G109)))*(IF(Upgrades!$T$6="Stellar Coupling",POWER(Upgrades!$U$6,E109),1)*IF(Upgrades!$T$7="Stellar Coupling",POWER(Upgrades!$U$7,F109),1)*IF(Upgrades!$T$9="Stellar Coupling",POWER(Upgrades!$U$9,H109),1)*IF(Upgrades!$T$10="Stellar Coupling",POWER(Upgrades!$U$10,I109),1)*IF(Upgrades!$T$11="Stellar Coupling",POWER(Upgrades!$U$11,J109),1)*IF(Upgrades!$T$12="Stellar Coupling",POWER(Upgrades!$U$12,K109),1))*POWER(Upgrades!$Q$6,E109)*POWER(Upgrades!$Q$7,F109)*POWER(Upgrades!$Q$8,G109)*POWER(Upgrades!$Q$9,H109)*POWER(Upgrades!$Q$10,I109)*POWER(Upgrades!$Q$11,J109)*POWER(Upgrades!$Q$12,K109)*Parameters!$B$10*Parameters!$B$11</f>
        <v/>
      </c>
      <c r="AD109" s="27">
        <f>(IF(H109=0,0,(Upgrades!$G$9+H109*Upgrades!$H$9)*POWER(Upgrades!$I$9,H109)))*(IF(Upgrades!$T$6="Magnetosphere",POWER(Upgrades!$U$6,E109),1)*IF(Upgrades!$T$7="Magnetosphere",POWER(Upgrades!$U$7,F109),1)*IF(Upgrades!$T$8="Magnetosphere",POWER(Upgrades!$U$8,G109),1)*IF(Upgrades!$T$10="Magnetosphere",POWER(Upgrades!$U$10,I109),1)*IF(Upgrades!$T$11="Magnetosphere",POWER(Upgrades!$U$11,J109),1)*IF(Upgrades!$T$12="Magnetosphere",POWER(Upgrades!$U$12,K109),1))*POWER(Upgrades!$P$6,E109)*POWER(Upgrades!$P$7,F109)*POWER(Upgrades!$P$8,G109)*POWER(Upgrades!$P$9,H109)*POWER(Upgrades!$P$10,I109)*POWER(Upgrades!$P$11,J109)*POWER(Upgrades!$P$12,K109)*60</f>
        <v/>
      </c>
      <c r="AE109" s="27">
        <f>(IF(K109=0,0,(Upgrades!$G$12+K109*Upgrades!$H$12)*POWER(Upgrades!$I$12,K109)))*(IF(Upgrades!$T$6="First Photons",POWER(Upgrades!$U$6,E109),1)*IF(Upgrades!$T$7="First Photons",POWER(Upgrades!$U$7,F109),1)*IF(Upgrades!$T$8="First Photons",POWER(Upgrades!$U$8,G109),1)*IF(Upgrades!$T$9="First Photons",POWER(Upgrades!$U$9,H109),1)*IF(Upgrades!$T$10="First Photons",POWER(Upgrades!$U$10,I109),1)*IF(Upgrades!$T$11="First Photons",POWER(Upgrades!$U$11,J109),1))*POWER(Upgrades!$P$6,E109)*POWER(Upgrades!$P$7,F109)*POWER(Upgrades!$P$8,G109)*POWER(Upgrades!$P$9,H109)*POWER(Upgrades!$P$10,I109)*POWER(Upgrades!$P$11,J109)*POWER(Upgrades!$P$12,K109)*60</f>
        <v/>
      </c>
      <c r="AF109" s="27">
        <f>Parameters!$B$9*POWER(Upgrades!$Q$6,E109)*POWER(Upgrades!$Q$7,F109)*POWER(Upgrades!$Q$8,G109)*POWER(Upgrades!$Q$9,H109)*POWER(Upgrades!$Q$10,I109)*POWER(Upgrades!$Q$11,J109)*POWER(Upgrades!$Q$12,K109)*(Parameters!$B$10*Parameters!$B$11+O109*60)</f>
        <v/>
      </c>
      <c r="AG109" s="22">
        <f>IF(E109&gt;=Upgrades!$E$6,"",Upgrades!$C$6*POWER(Upgrades!$D$6,E109))</f>
        <v/>
      </c>
      <c r="AH109" s="22">
        <f>IF(F109&gt;=Upgrades!$E$7,"",Upgrades!$C$7*POWER(Upgrades!$D$7,F109))</f>
        <v/>
      </c>
      <c r="AI109" s="22">
        <f>IF(G109&gt;=Upgrades!$E$8,"",Upgrades!$C$8*POWER(Upgrades!$D$8,G109))</f>
        <v/>
      </c>
      <c r="AJ109" s="22">
        <f>IF(H109&gt;=Upgrades!$E$9,"",Upgrades!$C$9*POWER(Upgrades!$D$9,H109))</f>
        <v/>
      </c>
      <c r="AK109" s="22">
        <f>IF(I109&gt;=Upgrades!$E$10,"",Upgrades!$C$10*POWER(Upgrades!$D$10,I109))</f>
        <v/>
      </c>
      <c r="AL109" s="22">
        <f>IF(J109&gt;=Upgrades!$E$11,"",Upgrades!$C$11*POWER(Upgrades!$D$11,J109))</f>
        <v/>
      </c>
      <c r="AM109" s="22">
        <f>IF(K109&gt;=Upgrades!$E$12,"",Upgrades!$C$12*POWER(Upgrades!$D$12,K109))</f>
        <v/>
      </c>
      <c r="AN109" s="26">
        <f>IF(AND(D109&gt;=Parameters!$B$18,(H109&gt;=Upgrades!$E$9)*(K109&gt;=Upgrades!$E$12)=1,L109=0),1,"")</f>
        <v/>
      </c>
      <c r="AO109" s="26">
        <f>IF(AND(D109&gt;=Parameters!$B$18,L109=0),1,"")</f>
        <v/>
      </c>
      <c r="AP109" s="22">
        <f>MIN(IF(ISNUMBER(AK109),AK109,9E15),IF(ISNUMBER(AL109),AL109,9E15),IF(ISNUMBER(AM109),AM109,9E15))</f>
        <v/>
      </c>
      <c r="AQ109" s="22">
        <f>MIN(IF(ISNUMBER(AG109),AG109,9E15),IF(ISNUMBER(AH109),AH109,9E15),IF(ISNUMBER(AI109),AI109,9E15),IF(ISNUMBER(AJ109),AJ109,9E15))</f>
        <v/>
      </c>
      <c r="AR109" s="29">
        <f>IF(AW109&gt;Parameters!$B$21*(MAX(IF(AND(NOT(AND(AO109=1,AN109&lt;&gt;1)),ISNUMBER(AG109),AG109&lt;=T109),AS109,0),IF(AND(NOT(AND(AO109=1,AN109&lt;&gt;1)),ISNUMBER(AH109),AH109&lt;=T109),AT109,0),IF(AND(NOT(AND(AO109=1,AN109&lt;&gt;1)),ISNUMBER(AI109),AI109&lt;=T109),AU109,0),IF(AND(ISNUMBER(AJ109),AJ109&lt;=T109),AV109,0))),TRUE,FALSE)</f>
        <v/>
      </c>
      <c r="AS109" s="32">
        <f>IFERROR(Upgrades!$H$6*(POWER(Upgrades!$P$6,E109)*POWER(Upgrades!$P$7,F109)*POWER(Upgrades!$P$8,G109)*POWER(Upgrades!$P$9,H109)*POWER(Upgrades!$P$10,I109)*POWER(Upgrades!$P$11,J109)*POWER(Upgrades!$P$12,K109))*(IF(Upgrades!$T$7="Solar Wind",POWER(Upgrades!$U$7,F109),1)*IF(Upgrades!$T$8="Solar Wind",POWER(Upgrades!$U$8,G109),1)*IF(Upgrades!$T$9="Solar Wind",POWER(Upgrades!$U$9,H109),1)*IF(Upgrades!$T$10="Solar Wind",POWER(Upgrades!$U$10,I109),1)*IF(Upgrades!$T$11="Solar Wind",POWER(Upgrades!$U$11,J109),1)*IF(Upgrades!$T$12="Solar Wind",POWER(Upgrades!$U$12,K109),1))/AG109,0)</f>
        <v/>
      </c>
      <c r="AT109" s="32">
        <f>IFERROR(Upgrades!$H$7*(POWER(Upgrades!$P$6,E109)*POWER(Upgrades!$P$7,F109)*POWER(Upgrades!$P$8,G109)*POWER(Upgrades!$P$9,H109)*POWER(Upgrades!$P$10,I109)*POWER(Upgrades!$P$11,J109)*POWER(Upgrades!$P$12,K109))*(IF(Upgrades!$T$6="Asteroid Belt",POWER(Upgrades!$U$6,E109),1)*IF(Upgrades!$T$8="Asteroid Belt",POWER(Upgrades!$U$8,G109),1)*IF(Upgrades!$T$9="Asteroid Belt",POWER(Upgrades!$U$9,H109),1)*IF(Upgrades!$T$10="Asteroid Belt",POWER(Upgrades!$U$10,I109),1)*IF(Upgrades!$T$11="Asteroid Belt",POWER(Upgrades!$U$11,J109),1)*IF(Upgrades!$T$12="Asteroid Belt",POWER(Upgrades!$U$12,K109),1))/AH109,0)</f>
        <v/>
      </c>
      <c r="AU109" s="32">
        <f>IFERROR(Upgrades!$K$8*(POWER(Upgrades!$Q$6,E109)*POWER(Upgrades!$Q$7,F109)*POWER(Upgrades!$Q$8,G109)*POWER(Upgrades!$Q$9,H109)*POWER(Upgrades!$Q$10,I109)*POWER(Upgrades!$Q$11,J109)*POWER(Upgrades!$Q$12,K109))*(IF(Upgrades!$T$6="Stellar Coupling",POWER(Upgrades!$U$6,E109),1)*IF(Upgrades!$T$7="Stellar Coupling",POWER(Upgrades!$U$7,F109),1)*IF(Upgrades!$T$9="Stellar Coupling",POWER(Upgrades!$U$9,H109),1)*IF(Upgrades!$T$10="Stellar Coupling",POWER(Upgrades!$U$10,I109),1)*IF(Upgrades!$T$11="Stellar Coupling",POWER(Upgrades!$U$11,J109),1)*IF(Upgrades!$T$12="Stellar Coupling",POWER(Upgrades!$U$12,K109),1))*Parameters!$B$10*Parameters!$B$11/60/AI109,0)</f>
        <v/>
      </c>
      <c r="AV109" s="32">
        <f>IFERROR(Upgrades!$H$9*(POWER(Upgrades!$P$6,E109)*POWER(Upgrades!$P$7,F109)*POWER(Upgrades!$P$8,G109)*POWER(Upgrades!$P$9,H109)*POWER(Upgrades!$P$10,I109)*POWER(Upgrades!$P$11,J109)*POWER(Upgrades!$P$12,K109))*(IF(Upgrades!$T$6="Magnetosphere",POWER(Upgrades!$U$6,E109),1)*IF(Upgrades!$T$7="Magnetosphere",POWER(Upgrades!$U$7,F109),1)*IF(Upgrades!$T$8="Magnetosphere",POWER(Upgrades!$U$8,G109),1)*IF(Upgrades!$T$10="Magnetosphere",POWER(Upgrades!$U$10,I109),1)*IF(Upgrades!$T$11="Magnetosphere",POWER(Upgrades!$U$11,J109),1)*IF(Upgrades!$T$12="Magnetosphere",POWER(Upgrades!$U$12,K109),1))/AJ109,0)</f>
        <v/>
      </c>
      <c r="AW109" s="32">
        <f>MAX(IF(I109&gt;0,0,IFERROR(0.25*N109/Upgrades!$C$10,0)),IF(J109&gt;0,0,IFERROR(0.5*((IF(G109=0,0,(Upgrades!$J$8+G109*Upgrades!$K$8)*POWER(Upgrades!$L$8,G109)))*(IF(Upgrades!$T$6="Stellar Coupling",POWER(Upgrades!$U$6,E109),1)*IF(Upgrades!$T$7="Stellar Coupling",POWER(Upgrades!$U$7,F109),1)*IF(Upgrades!$T$9="Stellar Coupling",POWER(Upgrades!$U$9,H109),1)*IF(Upgrades!$T$10="Stellar Coupling",POWER(Upgrades!$U$10,I109),1)*IF(Upgrades!$T$11="Stellar Coupling",POWER(Upgrades!$U$11,J109),1)*IF(Upgrades!$T$12="Stellar Coupling",POWER(Upgrades!$U$12,K109),1))*(POWER(Upgrades!$Q$6,E109)*POWER(Upgrades!$Q$7,F109)*POWER(Upgrades!$Q$8,G109)*POWER(Upgrades!$Q$9,H109)*POWER(Upgrades!$Q$10,I109)*POWER(Upgrades!$Q$11,J109)*POWER(Upgrades!$Q$12,K109))*Parameters!$B$10*Parameters!$B$11/60)/Upgrades!$C$11,0)),IF(K109&gt;0,0,IFERROR((1.0*(POWER(Upgrades!$P$6,E109)*POWER(Upgrades!$P$7,F109)*POWER(Upgrades!$P$8,G109)*POWER(Upgrades!$P$9,H109)*POWER(Upgrades!$P$10,I109)*POWER(Upgrades!$P$11,J109)*POWER(Upgrades!$P$12,K109))+0.20*M109*Parameters!$B$10*Parameters!$B$11/60)/Upgrades!$C$12,0)),IF(AND(ISNUMBER(AG109),AG109&gt;T109),AS109,0),IF(AND(ISNUMBER(AH109),AH109&gt;T109),AT109,0),IF(AND(ISNUMBER(AI109),AI109&gt;T109),AU109,0),IF(AND(ISNUMBER(AJ109),AJ109&gt;T109),AV109,0))</f>
        <v/>
      </c>
      <c r="AX109" s="29">
        <f>IF(AN109=1,"transition",IF(MIN(IF(AND(I109=0,ISNUMBER(AK109),AK109&lt;=T109),AK109,9E15),IF(AND(J109=0,ISNUMBER(AL109),AL109&lt;=T109),AL109,9E15),IF(AND(K109=0,ISNUMBER(AM109),AM109&lt;=T109),AM109,9E15))&lt;9E15,IF(AND(AND(I109=0,ISNUMBER(AK109),AK109&lt;=T109),AK109=MIN(IF(AND(I109=0,ISNUMBER(AK109),AK109&lt;=T109),AK109,9E15),IF(AND(J109=0,ISNUMBER(AL109),AL109&lt;=T109),AL109,9E15),IF(AND(K109=0,ISNUMBER(AM109),AM109&lt;=T109),AM109,9E15))),"OR",IF(AND(AND(J109=0,ISNUMBER(AL109),AL109&lt;=T109),AL109=MIN(IF(AND(I109=0,ISNUMBER(AK109),AK109&lt;=T109),AK109,9E15),IF(AND(J109=0,ISNUMBER(AL109),AL109&lt;=T109),AL109,9E15),IF(AND(K109=0,ISNUMBER(AM109),AM109&lt;=T109),AM109,9E15))),"HP","FP")),IF(AR109=TRUE,"",IF(MAX(IF(AND(NOT(AND(AO109=1,AN109&lt;&gt;1)),ISNUMBER(AG109),AG109&lt;=T109),AS109,0),IF(AND(NOT(AND(AO109=1,AN109&lt;&gt;1)),ISNUMBER(AH109),AH109&lt;=T109),AT109,0),IF(AND(NOT(AND(AO109=1,AN109&lt;&gt;1)),ISNUMBER(AI109),AI109&lt;=T109),AU109,0),IF(AND(ISNUMBER(AJ109),AJ109&lt;=T109),AV109,0))&lt;=0,"",IF(AND(IF(AND(NOT(AND(AO109=1,AN109&lt;&gt;1)),ISNUMBER(AG109),AG109&lt;=T109),AS109,0)&gt;0,IF(AND(NOT(AND(AO109=1,AN109&lt;&gt;1)),ISNUMBER(AG109),AG109&lt;=T109),AS109,0)=MAX(IF(AND(NOT(AND(AO109=1,AN109&lt;&gt;1)),ISNUMBER(AG109),AG109&lt;=T109),AS109,0),IF(AND(NOT(AND(AO109=1,AN109&lt;&gt;1)),ISNUMBER(AH109),AH109&lt;=T109),AT109,0),IF(AND(NOT(AND(AO109=1,AN109&lt;&gt;1)),ISNUMBER(AI109),AI109&lt;=T109),AU109,0),IF(AND(ISNUMBER(AJ109),AJ109&lt;=T109),AV109,0))),"SW",IF(AND(IF(AND(NOT(AND(AO109=1,AN109&lt;&gt;1)),ISNUMBER(AH109),AH109&lt;=T109),AT109,0)&gt;0,IF(AND(NOT(AND(AO109=1,AN109&lt;&gt;1)),ISNUMBER(AH109),AH109&lt;=T109),AT109,0)=MAX(IF(AND(NOT(AND(AO109=1,AN109&lt;&gt;1)),ISNUMBER(AG109),AG109&lt;=T109),AS109,0),IF(AND(NOT(AND(AO109=1,AN109&lt;&gt;1)),ISNUMBER(AH109),AH109&lt;=T109),AT109,0),IF(AND(NOT(AND(AO109=1,AN109&lt;&gt;1)),ISNUMBER(AI109),AI109&lt;=T109),AU109,0),IF(AND(ISNUMBER(AJ109),AJ109&lt;=T109),AV109,0))),"AB",IF(AND(IF(AND(NOT(AND(AO109=1,AN109&lt;&gt;1)),ISNUMBER(AI109),AI109&lt;=T109),AU109,0)&gt;0,IF(AND(NOT(AND(AO109=1,AN109&lt;&gt;1)),ISNUMBER(AI109),AI109&lt;=T109),AU109,0)=MAX(IF(AND(NOT(AND(AO109=1,AN109&lt;&gt;1)),ISNUMBER(AG109),AG109&lt;=T109),AS109,0),IF(AND(NOT(AND(AO109=1,AN109&lt;&gt;1)),ISNUMBER(AH109),AH109&lt;=T109),AT109,0),IF(AND(NOT(AND(AO109=1,AN109&lt;&gt;1)),ISNUMBER(AI109),AI109&lt;=T109),AU109,0),IF(AND(ISNUMBER(AJ109),AJ109&lt;=T109),AV109,0))),"SC","Mag")))))))</f>
        <v/>
      </c>
    </row>
    <row r="110">
      <c r="A110" s="26" t="n">
        <v>105</v>
      </c>
      <c r="B110" s="27">
        <f>A110*10/60</f>
        <v/>
      </c>
      <c r="C110" s="22">
        <f>X109</f>
        <v/>
      </c>
      <c r="D110" s="27">
        <f>D109+W109</f>
        <v/>
      </c>
      <c r="E110" s="26">
        <f>E109+IF(U109="SW",1,0)</f>
        <v/>
      </c>
      <c r="F110" s="26">
        <f>F109+IF(U109="AB",1,0)</f>
        <v/>
      </c>
      <c r="G110" s="26">
        <f>G109+IF(U109="SC",1,0)</f>
        <v/>
      </c>
      <c r="H110" s="26">
        <f>H109+IF(U109="Mag",1,0)</f>
        <v/>
      </c>
      <c r="I110" s="26">
        <f>MAX(I109,IF(U109="OR",1,0))</f>
        <v/>
      </c>
      <c r="J110" s="26">
        <f>MAX(J109,IF(U109="HP",1,0))</f>
        <v/>
      </c>
      <c r="K110" s="26">
        <f>MAX(K109,IF(U109="FP",1,0))</f>
        <v/>
      </c>
      <c r="L110" s="26">
        <f>MAX(L109,IF(U109="transition",1,0))</f>
        <v/>
      </c>
      <c r="M110" s="28">
        <f>(Parameters!$B$9+(IF(E110=0,0,(Upgrades!$J$6+E110*Upgrades!$K$6)*POWER(Upgrades!$L$6,E110)))*(IF(Upgrades!$T$7="Solar Wind",POWER(Upgrades!$U$7,F110),1)*IF(Upgrades!$T$8="Solar Wind",POWER(Upgrades!$U$8,G110),1)*IF(Upgrades!$T$9="Solar Wind",POWER(Upgrades!$U$9,H110),1)*IF(Upgrades!$T$10="Solar Wind",POWER(Upgrades!$U$10,I110),1)*IF(Upgrades!$T$11="Solar Wind",POWER(Upgrades!$U$11,J110),1)*IF(Upgrades!$T$12="Solar Wind",POWER(Upgrades!$U$12,K110),1))+(IF(F110=0,0,(Upgrades!$J$7+F110*Upgrades!$K$7)*POWER(Upgrades!$L$7,F110)))*(IF(Upgrades!$T$6="Asteroid Belt",POWER(Upgrades!$U$6,E110),1)*IF(Upgrades!$T$8="Asteroid Belt",POWER(Upgrades!$U$8,G110),1)*IF(Upgrades!$T$9="Asteroid Belt",POWER(Upgrades!$U$9,H110),1)*IF(Upgrades!$T$10="Asteroid Belt",POWER(Upgrades!$U$10,I110),1)*IF(Upgrades!$T$11="Asteroid Belt",POWER(Upgrades!$U$11,J110),1)*IF(Upgrades!$T$12="Asteroid Belt",POWER(Upgrades!$U$12,K110),1))+(IF(G110=0,0,(Upgrades!$J$8+G110*Upgrades!$K$8)*POWER(Upgrades!$L$8,G110)))*(IF(Upgrades!$T$6="Stellar Coupling",POWER(Upgrades!$U$6,E110),1)*IF(Upgrades!$T$7="Stellar Coupling",POWER(Upgrades!$U$7,F110),1)*IF(Upgrades!$T$9="Stellar Coupling",POWER(Upgrades!$U$9,H110),1)*IF(Upgrades!$T$10="Stellar Coupling",POWER(Upgrades!$U$10,I110),1)*IF(Upgrades!$T$11="Stellar Coupling",POWER(Upgrades!$U$11,J110),1)*IF(Upgrades!$T$12="Stellar Coupling",POWER(Upgrades!$U$12,K110),1))+(IF(H110=0,0,(Upgrades!$J$9+H110*Upgrades!$K$9)*POWER(Upgrades!$L$9,H110)))*(IF(Upgrades!$T$6="Magnetosphere",POWER(Upgrades!$U$6,E110),1)*IF(Upgrades!$T$7="Magnetosphere",POWER(Upgrades!$U$7,F110),1)*IF(Upgrades!$T$8="Magnetosphere",POWER(Upgrades!$U$8,G110),1)*IF(Upgrades!$T$10="Magnetosphere",POWER(Upgrades!$U$10,I110),1)*IF(Upgrades!$T$11="Magnetosphere",POWER(Upgrades!$U$11,J110),1)*IF(Upgrades!$T$12="Magnetosphere",POWER(Upgrades!$U$12,K110),1))+(IF(I110=0,0,(Upgrades!$J$10+I110*Upgrades!$K$10)*POWER(Upgrades!$L$10,I110)))*(IF(Upgrades!$T$6="Orbital Resonance",POWER(Upgrades!$U$6,E110),1)*IF(Upgrades!$T$7="Orbital Resonance",POWER(Upgrades!$U$7,F110),1)*IF(Upgrades!$T$8="Orbital Resonance",POWER(Upgrades!$U$8,G110),1)*IF(Upgrades!$T$9="Orbital Resonance",POWER(Upgrades!$U$9,H110),1)*IF(Upgrades!$T$11="Orbital Resonance",POWER(Upgrades!$U$11,J110),1)*IF(Upgrades!$T$12="Orbital Resonance",POWER(Upgrades!$U$12,K110),1))+(IF(J110=0,0,(Upgrades!$J$11+J110*Upgrades!$K$11)*POWER(Upgrades!$L$11,J110)))*(IF(Upgrades!$T$6="Heliopause",POWER(Upgrades!$U$6,E110),1)*IF(Upgrades!$T$7="Heliopause",POWER(Upgrades!$U$7,F110),1)*IF(Upgrades!$T$8="Heliopause",POWER(Upgrades!$U$8,G110),1)*IF(Upgrades!$T$9="Heliopause",POWER(Upgrades!$U$9,H110),1)*IF(Upgrades!$T$10="Heliopause",POWER(Upgrades!$U$10,I110),1)*IF(Upgrades!$T$12="Heliopause",POWER(Upgrades!$U$12,K110),1))+(IF(K110=0,0,(Upgrades!$J$12+K110*Upgrades!$K$12)*POWER(Upgrades!$L$12,K110)))*(IF(Upgrades!$T$6="First Photons",POWER(Upgrades!$U$6,E110),1)*IF(Upgrades!$T$7="First Photons",POWER(Upgrades!$U$7,F110),1)*IF(Upgrades!$T$8="First Photons",POWER(Upgrades!$U$8,G110),1)*IF(Upgrades!$T$9="First Photons",POWER(Upgrades!$U$9,H110),1)*IF(Upgrades!$T$10="First Photons",POWER(Upgrades!$U$10,I110),1)*IF(Upgrades!$T$11="First Photons",POWER(Upgrades!$U$11,J110),1)))*POWER(Upgrades!$Q$6,E110)*POWER(Upgrades!$Q$7,F110)*POWER(Upgrades!$Q$8,G110)*POWER(Upgrades!$Q$9,H110)*POWER(Upgrades!$Q$10,I110)*POWER(Upgrades!$Q$11,J110)*POWER(Upgrades!$Q$12,K110)</f>
        <v/>
      </c>
      <c r="N110" s="28">
        <f>((IF(E110=0,0,(Upgrades!$G$6+E110*Upgrades!$H$6)*POWER(Upgrades!$I$6,E110)))*(IF(Upgrades!$T$7="Solar Wind",POWER(Upgrades!$U$7,F110),1)*IF(Upgrades!$T$8="Solar Wind",POWER(Upgrades!$U$8,G110),1)*IF(Upgrades!$T$9="Solar Wind",POWER(Upgrades!$U$9,H110),1)*IF(Upgrades!$T$10="Solar Wind",POWER(Upgrades!$U$10,I110),1)*IF(Upgrades!$T$11="Solar Wind",POWER(Upgrades!$U$11,J110),1)*IF(Upgrades!$T$12="Solar Wind",POWER(Upgrades!$U$12,K110),1))+(IF(F110=0,0,(Upgrades!$G$7+F110*Upgrades!$H$7)*POWER(Upgrades!$I$7,F110)))*(IF(Upgrades!$T$6="Asteroid Belt",POWER(Upgrades!$U$6,E110),1)*IF(Upgrades!$T$8="Asteroid Belt",POWER(Upgrades!$U$8,G110),1)*IF(Upgrades!$T$9="Asteroid Belt",POWER(Upgrades!$U$9,H110),1)*IF(Upgrades!$T$10="Asteroid Belt",POWER(Upgrades!$U$10,I110),1)*IF(Upgrades!$T$11="Asteroid Belt",POWER(Upgrades!$U$11,J110),1)*IF(Upgrades!$T$12="Asteroid Belt",POWER(Upgrades!$U$12,K110),1))+(IF(G110=0,0,(Upgrades!$G$8+G110*Upgrades!$H$8)*POWER(Upgrades!$I$8,G110)))*(IF(Upgrades!$T$6="Stellar Coupling",POWER(Upgrades!$U$6,E110),1)*IF(Upgrades!$T$7="Stellar Coupling",POWER(Upgrades!$U$7,F110),1)*IF(Upgrades!$T$9="Stellar Coupling",POWER(Upgrades!$U$9,H110),1)*IF(Upgrades!$T$10="Stellar Coupling",POWER(Upgrades!$U$10,I110),1)*IF(Upgrades!$T$11="Stellar Coupling",POWER(Upgrades!$U$11,J110),1)*IF(Upgrades!$T$12="Stellar Coupling",POWER(Upgrades!$U$12,K110),1))+(IF(H110=0,0,(Upgrades!$G$9+H110*Upgrades!$H$9)*POWER(Upgrades!$I$9,H110)))*(IF(Upgrades!$T$6="Magnetosphere",POWER(Upgrades!$U$6,E110),1)*IF(Upgrades!$T$7="Magnetosphere",POWER(Upgrades!$U$7,F110),1)*IF(Upgrades!$T$8="Magnetosphere",POWER(Upgrades!$U$8,G110),1)*IF(Upgrades!$T$10="Magnetosphere",POWER(Upgrades!$U$10,I110),1)*IF(Upgrades!$T$11="Magnetosphere",POWER(Upgrades!$U$11,J110),1)*IF(Upgrades!$T$12="Magnetosphere",POWER(Upgrades!$U$12,K110),1))+(IF(I110=0,0,(Upgrades!$G$10+I110*Upgrades!$H$10)*POWER(Upgrades!$I$10,I110)))*(IF(Upgrades!$T$6="Orbital Resonance",POWER(Upgrades!$U$6,E110),1)*IF(Upgrades!$T$7="Orbital Resonance",POWER(Upgrades!$U$7,F110),1)*IF(Upgrades!$T$8="Orbital Resonance",POWER(Upgrades!$U$8,G110),1)*IF(Upgrades!$T$9="Orbital Resonance",POWER(Upgrades!$U$9,H110),1)*IF(Upgrades!$T$11="Orbital Resonance",POWER(Upgrades!$U$11,J110),1)*IF(Upgrades!$T$12="Orbital Resonance",POWER(Upgrades!$U$12,K110),1))+(IF(J110=0,0,(Upgrades!$G$11+J110*Upgrades!$H$11)*POWER(Upgrades!$I$11,J110)))*(IF(Upgrades!$T$6="Heliopause",POWER(Upgrades!$U$6,E110),1)*IF(Upgrades!$T$7="Heliopause",POWER(Upgrades!$U$7,F110),1)*IF(Upgrades!$T$8="Heliopause",POWER(Upgrades!$U$8,G110),1)*IF(Upgrades!$T$9="Heliopause",POWER(Upgrades!$U$9,H110),1)*IF(Upgrades!$T$10="Heliopause",POWER(Upgrades!$U$10,I110),1)*IF(Upgrades!$T$12="Heliopause",POWER(Upgrades!$U$12,K110),1))+(IF(K110=0,0,(Upgrades!$G$12+K110*Upgrades!$H$12)*POWER(Upgrades!$I$12,K110)))*(IF(Upgrades!$T$6="First Photons",POWER(Upgrades!$U$6,E110),1)*IF(Upgrades!$T$7="First Photons",POWER(Upgrades!$U$7,F110),1)*IF(Upgrades!$T$8="First Photons",POWER(Upgrades!$U$8,G110),1)*IF(Upgrades!$T$9="First Photons",POWER(Upgrades!$U$9,H110),1)*IF(Upgrades!$T$10="First Photons",POWER(Upgrades!$U$10,I110),1)*IF(Upgrades!$T$11="First Photons",POWER(Upgrades!$U$11,J110),1)))*POWER(Upgrades!$P$6,E110)*POWER(Upgrades!$P$7,F110)*POWER(Upgrades!$P$8,G110)*POWER(Upgrades!$P$9,H110)*POWER(Upgrades!$P$10,I110)*POWER(Upgrades!$P$11,J110)*POWER(Upgrades!$P$12,K110)</f>
        <v/>
      </c>
      <c r="O110" s="28">
        <f>((IF(E110=0,0,(Upgrades!$M$6+E110*Upgrades!$N$6)*POWER(Upgrades!$O$6,E110)))*(IF(Upgrades!$T$7="Solar Wind",POWER(Upgrades!$U$7,F110),1)*IF(Upgrades!$T$8="Solar Wind",POWER(Upgrades!$U$8,G110),1)*IF(Upgrades!$T$9="Solar Wind",POWER(Upgrades!$U$9,H110),1)*IF(Upgrades!$T$10="Solar Wind",POWER(Upgrades!$U$10,I110),1)*IF(Upgrades!$T$11="Solar Wind",POWER(Upgrades!$U$11,J110),1)*IF(Upgrades!$T$12="Solar Wind",POWER(Upgrades!$U$12,K110),1))+(IF(F110=0,0,(Upgrades!$M$7+F110*Upgrades!$N$7)*POWER(Upgrades!$O$7,F110)))*(IF(Upgrades!$T$6="Asteroid Belt",POWER(Upgrades!$U$6,E110),1)*IF(Upgrades!$T$8="Asteroid Belt",POWER(Upgrades!$U$8,G110),1)*IF(Upgrades!$T$9="Asteroid Belt",POWER(Upgrades!$U$9,H110),1)*IF(Upgrades!$T$10="Asteroid Belt",POWER(Upgrades!$U$10,I110),1)*IF(Upgrades!$T$11="Asteroid Belt",POWER(Upgrades!$U$11,J110),1)*IF(Upgrades!$T$12="Asteroid Belt",POWER(Upgrades!$U$12,K110),1))+(IF(G110=0,0,(Upgrades!$M$8+G110*Upgrades!$N$8)*POWER(Upgrades!$O$8,G110)))*(IF(Upgrades!$T$6="Stellar Coupling",POWER(Upgrades!$U$6,E110),1)*IF(Upgrades!$T$7="Stellar Coupling",POWER(Upgrades!$U$7,F110),1)*IF(Upgrades!$T$9="Stellar Coupling",POWER(Upgrades!$U$9,H110),1)*IF(Upgrades!$T$10="Stellar Coupling",POWER(Upgrades!$U$10,I110),1)*IF(Upgrades!$T$11="Stellar Coupling",POWER(Upgrades!$U$11,J110),1)*IF(Upgrades!$T$12="Stellar Coupling",POWER(Upgrades!$U$12,K110),1))+(IF(H110=0,0,(Upgrades!$M$9+H110*Upgrades!$N$9)*POWER(Upgrades!$O$9,H110)))*(IF(Upgrades!$T$6="Magnetosphere",POWER(Upgrades!$U$6,E110),1)*IF(Upgrades!$T$7="Magnetosphere",POWER(Upgrades!$U$7,F110),1)*IF(Upgrades!$T$8="Magnetosphere",POWER(Upgrades!$U$8,G110),1)*IF(Upgrades!$T$10="Magnetosphere",POWER(Upgrades!$U$10,I110),1)*IF(Upgrades!$T$11="Magnetosphere",POWER(Upgrades!$U$11,J110),1)*IF(Upgrades!$T$12="Magnetosphere",POWER(Upgrades!$U$12,K110),1))+(IF(I110=0,0,(Upgrades!$M$10+I110*Upgrades!$N$10)*POWER(Upgrades!$O$10,I110)))*(IF(Upgrades!$T$6="Orbital Resonance",POWER(Upgrades!$U$6,E110),1)*IF(Upgrades!$T$7="Orbital Resonance",POWER(Upgrades!$U$7,F110),1)*IF(Upgrades!$T$8="Orbital Resonance",POWER(Upgrades!$U$8,G110),1)*IF(Upgrades!$T$9="Orbital Resonance",POWER(Upgrades!$U$9,H110),1)*IF(Upgrades!$T$11="Orbital Resonance",POWER(Upgrades!$U$11,J110),1)*IF(Upgrades!$T$12="Orbital Resonance",POWER(Upgrades!$U$12,K110),1))+(IF(J110=0,0,(Upgrades!$M$11+J110*Upgrades!$N$11)*POWER(Upgrades!$O$11,J110)))*(IF(Upgrades!$T$6="Heliopause",POWER(Upgrades!$U$6,E110),1)*IF(Upgrades!$T$7="Heliopause",POWER(Upgrades!$U$7,F110),1)*IF(Upgrades!$T$8="Heliopause",POWER(Upgrades!$U$8,G110),1)*IF(Upgrades!$T$9="Heliopause",POWER(Upgrades!$U$9,H110),1)*IF(Upgrades!$T$10="Heliopause",POWER(Upgrades!$U$10,I110),1)*IF(Upgrades!$T$12="Heliopause",POWER(Upgrades!$U$12,K110),1))+(IF(K110=0,0,(Upgrades!$M$12+K110*Upgrades!$N$12)*POWER(Upgrades!$O$12,K110)))*(IF(Upgrades!$T$6="First Photons",POWER(Upgrades!$U$6,E110),1)*IF(Upgrades!$T$7="First Photons",POWER(Upgrades!$U$7,F110),1)*IF(Upgrades!$T$8="First Photons",POWER(Upgrades!$U$8,G110),1)*IF(Upgrades!$T$9="First Photons",POWER(Upgrades!$U$9,H110),1)*IF(Upgrades!$T$10="First Photons",POWER(Upgrades!$U$10,I110),1)*IF(Upgrades!$T$11="First Photons",POWER(Upgrades!$U$11,J110),1)))*POWER(Upgrades!$R$6,E110)*POWER(Upgrades!$R$7,F110)*POWER(Upgrades!$R$8,G110)*POWER(Upgrades!$R$9,H110)*POWER(Upgrades!$R$10,I110)*POWER(Upgrades!$R$11,J110)*POWER(Upgrades!$R$12,K110)</f>
        <v/>
      </c>
      <c r="P110" s="27">
        <f>IF(L110=1,0,M110*Parameters!$B$10/60*Parameters!$B$11*10)</f>
        <v/>
      </c>
      <c r="Q110" s="27">
        <f>IF(L110=1,0,O110*M110*10)</f>
        <v/>
      </c>
      <c r="R110" s="27">
        <f>IF(L110=1,0,N110*10)</f>
        <v/>
      </c>
      <c r="S110" s="27">
        <f>P110+Q110+R110</f>
        <v/>
      </c>
      <c r="T110" s="22">
        <f>C110+S110</f>
        <v/>
      </c>
      <c r="U110" s="33">
        <f>AX110</f>
        <v/>
      </c>
      <c r="V110" s="22">
        <f>IF(U110="",0,IF(U110="transition",0,IF(U110="SW",AG110,IF(U110="AB",AH110,IF(U110="SC",AI110,IF(U110="Mag",AJ110,IF(U110="OR",AK110,IF(U110="HP",AL110,IF(U110="FP",AM110,0)))))))))</f>
        <v/>
      </c>
      <c r="W110" s="27">
        <f>IF(U110="OR",Upgrades!$F$10,IF(U110="HP",Upgrades!$F$11,IF(U110="transition",-Parameters!$B$18,0)))</f>
        <v/>
      </c>
      <c r="X110" s="22">
        <f>T110-V110</f>
        <v/>
      </c>
      <c r="Y110" s="30">
        <f>M110*Parameters!$B$10/60*Parameters!$B$11+O110*M110+N110</f>
        <v/>
      </c>
      <c r="Z110" s="34">
        <f>IF(U110="transition","→ Tier 2 (Stellar Neighborhood)",IF(U110="FP","First Photons — light begins, system quickens",IF(U110="HP","Heliopause acquired",IF(U110="OR","Orbital Resonance — passive multiplier active",IF(AND(AO110=1,L110=0,AN110&lt;&gt;1),"Cohesion ready (waiting on completionist upgrades)","")))))</f>
        <v/>
      </c>
      <c r="AA110" s="27">
        <f>(IF(E110=0,0,(Upgrades!$G$6+E110*Upgrades!$H$6)*POWER(Upgrades!$I$6,E110)))*(IF(Upgrades!$T$7="Solar Wind",POWER(Upgrades!$U$7,F110),1)*IF(Upgrades!$T$8="Solar Wind",POWER(Upgrades!$U$8,G110),1)*IF(Upgrades!$T$9="Solar Wind",POWER(Upgrades!$U$9,H110),1)*IF(Upgrades!$T$10="Solar Wind",POWER(Upgrades!$U$10,I110),1)*IF(Upgrades!$T$11="Solar Wind",POWER(Upgrades!$U$11,J110),1)*IF(Upgrades!$T$12="Solar Wind",POWER(Upgrades!$U$12,K110),1))*POWER(Upgrades!$P$6,E110)*POWER(Upgrades!$P$7,F110)*POWER(Upgrades!$P$8,G110)*POWER(Upgrades!$P$9,H110)*POWER(Upgrades!$P$10,I110)*POWER(Upgrades!$P$11,J110)*POWER(Upgrades!$P$12,K110)*60</f>
        <v/>
      </c>
      <c r="AB110" s="27">
        <f>(IF(F110=0,0,(Upgrades!$G$7+F110*Upgrades!$H$7)*POWER(Upgrades!$I$7,F110)))*(IF(Upgrades!$T$6="Asteroid Belt",POWER(Upgrades!$U$6,E110),1)*IF(Upgrades!$T$8="Asteroid Belt",POWER(Upgrades!$U$8,G110),1)*IF(Upgrades!$T$9="Asteroid Belt",POWER(Upgrades!$U$9,H110),1)*IF(Upgrades!$T$10="Asteroid Belt",POWER(Upgrades!$U$10,I110),1)*IF(Upgrades!$T$11="Asteroid Belt",POWER(Upgrades!$U$11,J110),1)*IF(Upgrades!$T$12="Asteroid Belt",POWER(Upgrades!$U$12,K110),1))*POWER(Upgrades!$P$6,E110)*POWER(Upgrades!$P$7,F110)*POWER(Upgrades!$P$8,G110)*POWER(Upgrades!$P$9,H110)*POWER(Upgrades!$P$10,I110)*POWER(Upgrades!$P$11,J110)*POWER(Upgrades!$P$12,K110)*60</f>
        <v/>
      </c>
      <c r="AC110" s="27">
        <f>(IF(G110=0,0,(Upgrades!$J$8+G110*Upgrades!$K$8)*POWER(Upgrades!$L$8,G110)))*(IF(Upgrades!$T$6="Stellar Coupling",POWER(Upgrades!$U$6,E110),1)*IF(Upgrades!$T$7="Stellar Coupling",POWER(Upgrades!$U$7,F110),1)*IF(Upgrades!$T$9="Stellar Coupling",POWER(Upgrades!$U$9,H110),1)*IF(Upgrades!$T$10="Stellar Coupling",POWER(Upgrades!$U$10,I110),1)*IF(Upgrades!$T$11="Stellar Coupling",POWER(Upgrades!$U$11,J110),1)*IF(Upgrades!$T$12="Stellar Coupling",POWER(Upgrades!$U$12,K110),1))*POWER(Upgrades!$Q$6,E110)*POWER(Upgrades!$Q$7,F110)*POWER(Upgrades!$Q$8,G110)*POWER(Upgrades!$Q$9,H110)*POWER(Upgrades!$Q$10,I110)*POWER(Upgrades!$Q$11,J110)*POWER(Upgrades!$Q$12,K110)*Parameters!$B$10*Parameters!$B$11</f>
        <v/>
      </c>
      <c r="AD110" s="27">
        <f>(IF(H110=0,0,(Upgrades!$G$9+H110*Upgrades!$H$9)*POWER(Upgrades!$I$9,H110)))*(IF(Upgrades!$T$6="Magnetosphere",POWER(Upgrades!$U$6,E110),1)*IF(Upgrades!$T$7="Magnetosphere",POWER(Upgrades!$U$7,F110),1)*IF(Upgrades!$T$8="Magnetosphere",POWER(Upgrades!$U$8,G110),1)*IF(Upgrades!$T$10="Magnetosphere",POWER(Upgrades!$U$10,I110),1)*IF(Upgrades!$T$11="Magnetosphere",POWER(Upgrades!$U$11,J110),1)*IF(Upgrades!$T$12="Magnetosphere",POWER(Upgrades!$U$12,K110),1))*POWER(Upgrades!$P$6,E110)*POWER(Upgrades!$P$7,F110)*POWER(Upgrades!$P$8,G110)*POWER(Upgrades!$P$9,H110)*POWER(Upgrades!$P$10,I110)*POWER(Upgrades!$P$11,J110)*POWER(Upgrades!$P$12,K110)*60</f>
        <v/>
      </c>
      <c r="AE110" s="27">
        <f>(IF(K110=0,0,(Upgrades!$G$12+K110*Upgrades!$H$12)*POWER(Upgrades!$I$12,K110)))*(IF(Upgrades!$T$6="First Photons",POWER(Upgrades!$U$6,E110),1)*IF(Upgrades!$T$7="First Photons",POWER(Upgrades!$U$7,F110),1)*IF(Upgrades!$T$8="First Photons",POWER(Upgrades!$U$8,G110),1)*IF(Upgrades!$T$9="First Photons",POWER(Upgrades!$U$9,H110),1)*IF(Upgrades!$T$10="First Photons",POWER(Upgrades!$U$10,I110),1)*IF(Upgrades!$T$11="First Photons",POWER(Upgrades!$U$11,J110),1))*POWER(Upgrades!$P$6,E110)*POWER(Upgrades!$P$7,F110)*POWER(Upgrades!$P$8,G110)*POWER(Upgrades!$P$9,H110)*POWER(Upgrades!$P$10,I110)*POWER(Upgrades!$P$11,J110)*POWER(Upgrades!$P$12,K110)*60</f>
        <v/>
      </c>
      <c r="AF110" s="27">
        <f>Parameters!$B$9*POWER(Upgrades!$Q$6,E110)*POWER(Upgrades!$Q$7,F110)*POWER(Upgrades!$Q$8,G110)*POWER(Upgrades!$Q$9,H110)*POWER(Upgrades!$Q$10,I110)*POWER(Upgrades!$Q$11,J110)*POWER(Upgrades!$Q$12,K110)*(Parameters!$B$10*Parameters!$B$11+O110*60)</f>
        <v/>
      </c>
      <c r="AG110" s="22">
        <f>IF(E110&gt;=Upgrades!$E$6,"",Upgrades!$C$6*POWER(Upgrades!$D$6,E110))</f>
        <v/>
      </c>
      <c r="AH110" s="22">
        <f>IF(F110&gt;=Upgrades!$E$7,"",Upgrades!$C$7*POWER(Upgrades!$D$7,F110))</f>
        <v/>
      </c>
      <c r="AI110" s="22">
        <f>IF(G110&gt;=Upgrades!$E$8,"",Upgrades!$C$8*POWER(Upgrades!$D$8,G110))</f>
        <v/>
      </c>
      <c r="AJ110" s="22">
        <f>IF(H110&gt;=Upgrades!$E$9,"",Upgrades!$C$9*POWER(Upgrades!$D$9,H110))</f>
        <v/>
      </c>
      <c r="AK110" s="22">
        <f>IF(I110&gt;=Upgrades!$E$10,"",Upgrades!$C$10*POWER(Upgrades!$D$10,I110))</f>
        <v/>
      </c>
      <c r="AL110" s="22">
        <f>IF(J110&gt;=Upgrades!$E$11,"",Upgrades!$C$11*POWER(Upgrades!$D$11,J110))</f>
        <v/>
      </c>
      <c r="AM110" s="22">
        <f>IF(K110&gt;=Upgrades!$E$12,"",Upgrades!$C$12*POWER(Upgrades!$D$12,K110))</f>
        <v/>
      </c>
      <c r="AN110" s="26">
        <f>IF(AND(D110&gt;=Parameters!$B$18,(H110&gt;=Upgrades!$E$9)*(K110&gt;=Upgrades!$E$12)=1,L110=0),1,"")</f>
        <v/>
      </c>
      <c r="AO110" s="26">
        <f>IF(AND(D110&gt;=Parameters!$B$18,L110=0),1,"")</f>
        <v/>
      </c>
      <c r="AP110" s="22">
        <f>MIN(IF(ISNUMBER(AK110),AK110,9E15),IF(ISNUMBER(AL110),AL110,9E15),IF(ISNUMBER(AM110),AM110,9E15))</f>
        <v/>
      </c>
      <c r="AQ110" s="22">
        <f>MIN(IF(ISNUMBER(AG110),AG110,9E15),IF(ISNUMBER(AH110),AH110,9E15),IF(ISNUMBER(AI110),AI110,9E15),IF(ISNUMBER(AJ110),AJ110,9E15))</f>
        <v/>
      </c>
      <c r="AR110" s="29">
        <f>IF(AW110&gt;Parameters!$B$21*(MAX(IF(AND(NOT(AND(AO110=1,AN110&lt;&gt;1)),ISNUMBER(AG110),AG110&lt;=T110),AS110,0),IF(AND(NOT(AND(AO110=1,AN110&lt;&gt;1)),ISNUMBER(AH110),AH110&lt;=T110),AT110,0),IF(AND(NOT(AND(AO110=1,AN110&lt;&gt;1)),ISNUMBER(AI110),AI110&lt;=T110),AU110,0),IF(AND(ISNUMBER(AJ110),AJ110&lt;=T110),AV110,0))),TRUE,FALSE)</f>
        <v/>
      </c>
      <c r="AS110" s="32">
        <f>IFERROR(Upgrades!$H$6*(POWER(Upgrades!$P$6,E110)*POWER(Upgrades!$P$7,F110)*POWER(Upgrades!$P$8,G110)*POWER(Upgrades!$P$9,H110)*POWER(Upgrades!$P$10,I110)*POWER(Upgrades!$P$11,J110)*POWER(Upgrades!$P$12,K110))*(IF(Upgrades!$T$7="Solar Wind",POWER(Upgrades!$U$7,F110),1)*IF(Upgrades!$T$8="Solar Wind",POWER(Upgrades!$U$8,G110),1)*IF(Upgrades!$T$9="Solar Wind",POWER(Upgrades!$U$9,H110),1)*IF(Upgrades!$T$10="Solar Wind",POWER(Upgrades!$U$10,I110),1)*IF(Upgrades!$T$11="Solar Wind",POWER(Upgrades!$U$11,J110),1)*IF(Upgrades!$T$12="Solar Wind",POWER(Upgrades!$U$12,K110),1))/AG110,0)</f>
        <v/>
      </c>
      <c r="AT110" s="32">
        <f>IFERROR(Upgrades!$H$7*(POWER(Upgrades!$P$6,E110)*POWER(Upgrades!$P$7,F110)*POWER(Upgrades!$P$8,G110)*POWER(Upgrades!$P$9,H110)*POWER(Upgrades!$P$10,I110)*POWER(Upgrades!$P$11,J110)*POWER(Upgrades!$P$12,K110))*(IF(Upgrades!$T$6="Asteroid Belt",POWER(Upgrades!$U$6,E110),1)*IF(Upgrades!$T$8="Asteroid Belt",POWER(Upgrades!$U$8,G110),1)*IF(Upgrades!$T$9="Asteroid Belt",POWER(Upgrades!$U$9,H110),1)*IF(Upgrades!$T$10="Asteroid Belt",POWER(Upgrades!$U$10,I110),1)*IF(Upgrades!$T$11="Asteroid Belt",POWER(Upgrades!$U$11,J110),1)*IF(Upgrades!$T$12="Asteroid Belt",POWER(Upgrades!$U$12,K110),1))/AH110,0)</f>
        <v/>
      </c>
      <c r="AU110" s="32">
        <f>IFERROR(Upgrades!$K$8*(POWER(Upgrades!$Q$6,E110)*POWER(Upgrades!$Q$7,F110)*POWER(Upgrades!$Q$8,G110)*POWER(Upgrades!$Q$9,H110)*POWER(Upgrades!$Q$10,I110)*POWER(Upgrades!$Q$11,J110)*POWER(Upgrades!$Q$12,K110))*(IF(Upgrades!$T$6="Stellar Coupling",POWER(Upgrades!$U$6,E110),1)*IF(Upgrades!$T$7="Stellar Coupling",POWER(Upgrades!$U$7,F110),1)*IF(Upgrades!$T$9="Stellar Coupling",POWER(Upgrades!$U$9,H110),1)*IF(Upgrades!$T$10="Stellar Coupling",POWER(Upgrades!$U$10,I110),1)*IF(Upgrades!$T$11="Stellar Coupling",POWER(Upgrades!$U$11,J110),1)*IF(Upgrades!$T$12="Stellar Coupling",POWER(Upgrades!$U$12,K110),1))*Parameters!$B$10*Parameters!$B$11/60/AI110,0)</f>
        <v/>
      </c>
      <c r="AV110" s="32">
        <f>IFERROR(Upgrades!$H$9*(POWER(Upgrades!$P$6,E110)*POWER(Upgrades!$P$7,F110)*POWER(Upgrades!$P$8,G110)*POWER(Upgrades!$P$9,H110)*POWER(Upgrades!$P$10,I110)*POWER(Upgrades!$P$11,J110)*POWER(Upgrades!$P$12,K110))*(IF(Upgrades!$T$6="Magnetosphere",POWER(Upgrades!$U$6,E110),1)*IF(Upgrades!$T$7="Magnetosphere",POWER(Upgrades!$U$7,F110),1)*IF(Upgrades!$T$8="Magnetosphere",POWER(Upgrades!$U$8,G110),1)*IF(Upgrades!$T$10="Magnetosphere",POWER(Upgrades!$U$10,I110),1)*IF(Upgrades!$T$11="Magnetosphere",POWER(Upgrades!$U$11,J110),1)*IF(Upgrades!$T$12="Magnetosphere",POWER(Upgrades!$U$12,K110),1))/AJ110,0)</f>
        <v/>
      </c>
      <c r="AW110" s="32">
        <f>MAX(IF(I110&gt;0,0,IFERROR(0.25*N110/Upgrades!$C$10,0)),IF(J110&gt;0,0,IFERROR(0.5*((IF(G110=0,0,(Upgrades!$J$8+G110*Upgrades!$K$8)*POWER(Upgrades!$L$8,G110)))*(IF(Upgrades!$T$6="Stellar Coupling",POWER(Upgrades!$U$6,E110),1)*IF(Upgrades!$T$7="Stellar Coupling",POWER(Upgrades!$U$7,F110),1)*IF(Upgrades!$T$9="Stellar Coupling",POWER(Upgrades!$U$9,H110),1)*IF(Upgrades!$T$10="Stellar Coupling",POWER(Upgrades!$U$10,I110),1)*IF(Upgrades!$T$11="Stellar Coupling",POWER(Upgrades!$U$11,J110),1)*IF(Upgrades!$T$12="Stellar Coupling",POWER(Upgrades!$U$12,K110),1))*(POWER(Upgrades!$Q$6,E110)*POWER(Upgrades!$Q$7,F110)*POWER(Upgrades!$Q$8,G110)*POWER(Upgrades!$Q$9,H110)*POWER(Upgrades!$Q$10,I110)*POWER(Upgrades!$Q$11,J110)*POWER(Upgrades!$Q$12,K110))*Parameters!$B$10*Parameters!$B$11/60)/Upgrades!$C$11,0)),IF(K110&gt;0,0,IFERROR((1.0*(POWER(Upgrades!$P$6,E110)*POWER(Upgrades!$P$7,F110)*POWER(Upgrades!$P$8,G110)*POWER(Upgrades!$P$9,H110)*POWER(Upgrades!$P$10,I110)*POWER(Upgrades!$P$11,J110)*POWER(Upgrades!$P$12,K110))+0.20*M110*Parameters!$B$10*Parameters!$B$11/60)/Upgrades!$C$12,0)),IF(AND(ISNUMBER(AG110),AG110&gt;T110),AS110,0),IF(AND(ISNUMBER(AH110),AH110&gt;T110),AT110,0),IF(AND(ISNUMBER(AI110),AI110&gt;T110),AU110,0),IF(AND(ISNUMBER(AJ110),AJ110&gt;T110),AV110,0))</f>
        <v/>
      </c>
      <c r="AX110" s="29">
        <f>IF(AN110=1,"transition",IF(MIN(IF(AND(I110=0,ISNUMBER(AK110),AK110&lt;=T110),AK110,9E15),IF(AND(J110=0,ISNUMBER(AL110),AL110&lt;=T110),AL110,9E15),IF(AND(K110=0,ISNUMBER(AM110),AM110&lt;=T110),AM110,9E15))&lt;9E15,IF(AND(AND(I110=0,ISNUMBER(AK110),AK110&lt;=T110),AK110=MIN(IF(AND(I110=0,ISNUMBER(AK110),AK110&lt;=T110),AK110,9E15),IF(AND(J110=0,ISNUMBER(AL110),AL110&lt;=T110),AL110,9E15),IF(AND(K110=0,ISNUMBER(AM110),AM110&lt;=T110),AM110,9E15))),"OR",IF(AND(AND(J110=0,ISNUMBER(AL110),AL110&lt;=T110),AL110=MIN(IF(AND(I110=0,ISNUMBER(AK110),AK110&lt;=T110),AK110,9E15),IF(AND(J110=0,ISNUMBER(AL110),AL110&lt;=T110),AL110,9E15),IF(AND(K110=0,ISNUMBER(AM110),AM110&lt;=T110),AM110,9E15))),"HP","FP")),IF(AR110=TRUE,"",IF(MAX(IF(AND(NOT(AND(AO110=1,AN110&lt;&gt;1)),ISNUMBER(AG110),AG110&lt;=T110),AS110,0),IF(AND(NOT(AND(AO110=1,AN110&lt;&gt;1)),ISNUMBER(AH110),AH110&lt;=T110),AT110,0),IF(AND(NOT(AND(AO110=1,AN110&lt;&gt;1)),ISNUMBER(AI110),AI110&lt;=T110),AU110,0),IF(AND(ISNUMBER(AJ110),AJ110&lt;=T110),AV110,0))&lt;=0,"",IF(AND(IF(AND(NOT(AND(AO110=1,AN110&lt;&gt;1)),ISNUMBER(AG110),AG110&lt;=T110),AS110,0)&gt;0,IF(AND(NOT(AND(AO110=1,AN110&lt;&gt;1)),ISNUMBER(AG110),AG110&lt;=T110),AS110,0)=MAX(IF(AND(NOT(AND(AO110=1,AN110&lt;&gt;1)),ISNUMBER(AG110),AG110&lt;=T110),AS110,0),IF(AND(NOT(AND(AO110=1,AN110&lt;&gt;1)),ISNUMBER(AH110),AH110&lt;=T110),AT110,0),IF(AND(NOT(AND(AO110=1,AN110&lt;&gt;1)),ISNUMBER(AI110),AI110&lt;=T110),AU110,0),IF(AND(ISNUMBER(AJ110),AJ110&lt;=T110),AV110,0))),"SW",IF(AND(IF(AND(NOT(AND(AO110=1,AN110&lt;&gt;1)),ISNUMBER(AH110),AH110&lt;=T110),AT110,0)&gt;0,IF(AND(NOT(AND(AO110=1,AN110&lt;&gt;1)),ISNUMBER(AH110),AH110&lt;=T110),AT110,0)=MAX(IF(AND(NOT(AND(AO110=1,AN110&lt;&gt;1)),ISNUMBER(AG110),AG110&lt;=T110),AS110,0),IF(AND(NOT(AND(AO110=1,AN110&lt;&gt;1)),ISNUMBER(AH110),AH110&lt;=T110),AT110,0),IF(AND(NOT(AND(AO110=1,AN110&lt;&gt;1)),ISNUMBER(AI110),AI110&lt;=T110),AU110,0),IF(AND(ISNUMBER(AJ110),AJ110&lt;=T110),AV110,0))),"AB",IF(AND(IF(AND(NOT(AND(AO110=1,AN110&lt;&gt;1)),ISNUMBER(AI110),AI110&lt;=T110),AU110,0)&gt;0,IF(AND(NOT(AND(AO110=1,AN110&lt;&gt;1)),ISNUMBER(AI110),AI110&lt;=T110),AU110,0)=MAX(IF(AND(NOT(AND(AO110=1,AN110&lt;&gt;1)),ISNUMBER(AG110),AG110&lt;=T110),AS110,0),IF(AND(NOT(AND(AO110=1,AN110&lt;&gt;1)),ISNUMBER(AH110),AH110&lt;=T110),AT110,0),IF(AND(NOT(AND(AO110=1,AN110&lt;&gt;1)),ISNUMBER(AI110),AI110&lt;=T110),AU110,0),IF(AND(ISNUMBER(AJ110),AJ110&lt;=T110),AV110,0))),"SC","Mag")))))))</f>
        <v/>
      </c>
    </row>
    <row r="111">
      <c r="A111" s="26" t="n">
        <v>106</v>
      </c>
      <c r="B111" s="27">
        <f>A111*10/60</f>
        <v/>
      </c>
      <c r="C111" s="22">
        <f>X110</f>
        <v/>
      </c>
      <c r="D111" s="27">
        <f>D110+W110</f>
        <v/>
      </c>
      <c r="E111" s="26">
        <f>E110+IF(U110="SW",1,0)</f>
        <v/>
      </c>
      <c r="F111" s="26">
        <f>F110+IF(U110="AB",1,0)</f>
        <v/>
      </c>
      <c r="G111" s="26">
        <f>G110+IF(U110="SC",1,0)</f>
        <v/>
      </c>
      <c r="H111" s="26">
        <f>H110+IF(U110="Mag",1,0)</f>
        <v/>
      </c>
      <c r="I111" s="26">
        <f>MAX(I110,IF(U110="OR",1,0))</f>
        <v/>
      </c>
      <c r="J111" s="26">
        <f>MAX(J110,IF(U110="HP",1,0))</f>
        <v/>
      </c>
      <c r="K111" s="26">
        <f>MAX(K110,IF(U110="FP",1,0))</f>
        <v/>
      </c>
      <c r="L111" s="26">
        <f>MAX(L110,IF(U110="transition",1,0))</f>
        <v/>
      </c>
      <c r="M111" s="28">
        <f>(Parameters!$B$9+(IF(E111=0,0,(Upgrades!$J$6+E111*Upgrades!$K$6)*POWER(Upgrades!$L$6,E111)))*(IF(Upgrades!$T$7="Solar Wind",POWER(Upgrades!$U$7,F111),1)*IF(Upgrades!$T$8="Solar Wind",POWER(Upgrades!$U$8,G111),1)*IF(Upgrades!$T$9="Solar Wind",POWER(Upgrades!$U$9,H111),1)*IF(Upgrades!$T$10="Solar Wind",POWER(Upgrades!$U$10,I111),1)*IF(Upgrades!$T$11="Solar Wind",POWER(Upgrades!$U$11,J111),1)*IF(Upgrades!$T$12="Solar Wind",POWER(Upgrades!$U$12,K111),1))+(IF(F111=0,0,(Upgrades!$J$7+F111*Upgrades!$K$7)*POWER(Upgrades!$L$7,F111)))*(IF(Upgrades!$T$6="Asteroid Belt",POWER(Upgrades!$U$6,E111),1)*IF(Upgrades!$T$8="Asteroid Belt",POWER(Upgrades!$U$8,G111),1)*IF(Upgrades!$T$9="Asteroid Belt",POWER(Upgrades!$U$9,H111),1)*IF(Upgrades!$T$10="Asteroid Belt",POWER(Upgrades!$U$10,I111),1)*IF(Upgrades!$T$11="Asteroid Belt",POWER(Upgrades!$U$11,J111),1)*IF(Upgrades!$T$12="Asteroid Belt",POWER(Upgrades!$U$12,K111),1))+(IF(G111=0,0,(Upgrades!$J$8+G111*Upgrades!$K$8)*POWER(Upgrades!$L$8,G111)))*(IF(Upgrades!$T$6="Stellar Coupling",POWER(Upgrades!$U$6,E111),1)*IF(Upgrades!$T$7="Stellar Coupling",POWER(Upgrades!$U$7,F111),1)*IF(Upgrades!$T$9="Stellar Coupling",POWER(Upgrades!$U$9,H111),1)*IF(Upgrades!$T$10="Stellar Coupling",POWER(Upgrades!$U$10,I111),1)*IF(Upgrades!$T$11="Stellar Coupling",POWER(Upgrades!$U$11,J111),1)*IF(Upgrades!$T$12="Stellar Coupling",POWER(Upgrades!$U$12,K111),1))+(IF(H111=0,0,(Upgrades!$J$9+H111*Upgrades!$K$9)*POWER(Upgrades!$L$9,H111)))*(IF(Upgrades!$T$6="Magnetosphere",POWER(Upgrades!$U$6,E111),1)*IF(Upgrades!$T$7="Magnetosphere",POWER(Upgrades!$U$7,F111),1)*IF(Upgrades!$T$8="Magnetosphere",POWER(Upgrades!$U$8,G111),1)*IF(Upgrades!$T$10="Magnetosphere",POWER(Upgrades!$U$10,I111),1)*IF(Upgrades!$T$11="Magnetosphere",POWER(Upgrades!$U$11,J111),1)*IF(Upgrades!$T$12="Magnetosphere",POWER(Upgrades!$U$12,K111),1))+(IF(I111=0,0,(Upgrades!$J$10+I111*Upgrades!$K$10)*POWER(Upgrades!$L$10,I111)))*(IF(Upgrades!$T$6="Orbital Resonance",POWER(Upgrades!$U$6,E111),1)*IF(Upgrades!$T$7="Orbital Resonance",POWER(Upgrades!$U$7,F111),1)*IF(Upgrades!$T$8="Orbital Resonance",POWER(Upgrades!$U$8,G111),1)*IF(Upgrades!$T$9="Orbital Resonance",POWER(Upgrades!$U$9,H111),1)*IF(Upgrades!$T$11="Orbital Resonance",POWER(Upgrades!$U$11,J111),1)*IF(Upgrades!$T$12="Orbital Resonance",POWER(Upgrades!$U$12,K111),1))+(IF(J111=0,0,(Upgrades!$J$11+J111*Upgrades!$K$11)*POWER(Upgrades!$L$11,J111)))*(IF(Upgrades!$T$6="Heliopause",POWER(Upgrades!$U$6,E111),1)*IF(Upgrades!$T$7="Heliopause",POWER(Upgrades!$U$7,F111),1)*IF(Upgrades!$T$8="Heliopause",POWER(Upgrades!$U$8,G111),1)*IF(Upgrades!$T$9="Heliopause",POWER(Upgrades!$U$9,H111),1)*IF(Upgrades!$T$10="Heliopause",POWER(Upgrades!$U$10,I111),1)*IF(Upgrades!$T$12="Heliopause",POWER(Upgrades!$U$12,K111),1))+(IF(K111=0,0,(Upgrades!$J$12+K111*Upgrades!$K$12)*POWER(Upgrades!$L$12,K111)))*(IF(Upgrades!$T$6="First Photons",POWER(Upgrades!$U$6,E111),1)*IF(Upgrades!$T$7="First Photons",POWER(Upgrades!$U$7,F111),1)*IF(Upgrades!$T$8="First Photons",POWER(Upgrades!$U$8,G111),1)*IF(Upgrades!$T$9="First Photons",POWER(Upgrades!$U$9,H111),1)*IF(Upgrades!$T$10="First Photons",POWER(Upgrades!$U$10,I111),1)*IF(Upgrades!$T$11="First Photons",POWER(Upgrades!$U$11,J111),1)))*POWER(Upgrades!$Q$6,E111)*POWER(Upgrades!$Q$7,F111)*POWER(Upgrades!$Q$8,G111)*POWER(Upgrades!$Q$9,H111)*POWER(Upgrades!$Q$10,I111)*POWER(Upgrades!$Q$11,J111)*POWER(Upgrades!$Q$12,K111)</f>
        <v/>
      </c>
      <c r="N111" s="28">
        <f>((IF(E111=0,0,(Upgrades!$G$6+E111*Upgrades!$H$6)*POWER(Upgrades!$I$6,E111)))*(IF(Upgrades!$T$7="Solar Wind",POWER(Upgrades!$U$7,F111),1)*IF(Upgrades!$T$8="Solar Wind",POWER(Upgrades!$U$8,G111),1)*IF(Upgrades!$T$9="Solar Wind",POWER(Upgrades!$U$9,H111),1)*IF(Upgrades!$T$10="Solar Wind",POWER(Upgrades!$U$10,I111),1)*IF(Upgrades!$T$11="Solar Wind",POWER(Upgrades!$U$11,J111),1)*IF(Upgrades!$T$12="Solar Wind",POWER(Upgrades!$U$12,K111),1))+(IF(F111=0,0,(Upgrades!$G$7+F111*Upgrades!$H$7)*POWER(Upgrades!$I$7,F111)))*(IF(Upgrades!$T$6="Asteroid Belt",POWER(Upgrades!$U$6,E111),1)*IF(Upgrades!$T$8="Asteroid Belt",POWER(Upgrades!$U$8,G111),1)*IF(Upgrades!$T$9="Asteroid Belt",POWER(Upgrades!$U$9,H111),1)*IF(Upgrades!$T$10="Asteroid Belt",POWER(Upgrades!$U$10,I111),1)*IF(Upgrades!$T$11="Asteroid Belt",POWER(Upgrades!$U$11,J111),1)*IF(Upgrades!$T$12="Asteroid Belt",POWER(Upgrades!$U$12,K111),1))+(IF(G111=0,0,(Upgrades!$G$8+G111*Upgrades!$H$8)*POWER(Upgrades!$I$8,G111)))*(IF(Upgrades!$T$6="Stellar Coupling",POWER(Upgrades!$U$6,E111),1)*IF(Upgrades!$T$7="Stellar Coupling",POWER(Upgrades!$U$7,F111),1)*IF(Upgrades!$T$9="Stellar Coupling",POWER(Upgrades!$U$9,H111),1)*IF(Upgrades!$T$10="Stellar Coupling",POWER(Upgrades!$U$10,I111),1)*IF(Upgrades!$T$11="Stellar Coupling",POWER(Upgrades!$U$11,J111),1)*IF(Upgrades!$T$12="Stellar Coupling",POWER(Upgrades!$U$12,K111),1))+(IF(H111=0,0,(Upgrades!$G$9+H111*Upgrades!$H$9)*POWER(Upgrades!$I$9,H111)))*(IF(Upgrades!$T$6="Magnetosphere",POWER(Upgrades!$U$6,E111),1)*IF(Upgrades!$T$7="Magnetosphere",POWER(Upgrades!$U$7,F111),1)*IF(Upgrades!$T$8="Magnetosphere",POWER(Upgrades!$U$8,G111),1)*IF(Upgrades!$T$10="Magnetosphere",POWER(Upgrades!$U$10,I111),1)*IF(Upgrades!$T$11="Magnetosphere",POWER(Upgrades!$U$11,J111),1)*IF(Upgrades!$T$12="Magnetosphere",POWER(Upgrades!$U$12,K111),1))+(IF(I111=0,0,(Upgrades!$G$10+I111*Upgrades!$H$10)*POWER(Upgrades!$I$10,I111)))*(IF(Upgrades!$T$6="Orbital Resonance",POWER(Upgrades!$U$6,E111),1)*IF(Upgrades!$T$7="Orbital Resonance",POWER(Upgrades!$U$7,F111),1)*IF(Upgrades!$T$8="Orbital Resonance",POWER(Upgrades!$U$8,G111),1)*IF(Upgrades!$T$9="Orbital Resonance",POWER(Upgrades!$U$9,H111),1)*IF(Upgrades!$T$11="Orbital Resonance",POWER(Upgrades!$U$11,J111),1)*IF(Upgrades!$T$12="Orbital Resonance",POWER(Upgrades!$U$12,K111),1))+(IF(J111=0,0,(Upgrades!$G$11+J111*Upgrades!$H$11)*POWER(Upgrades!$I$11,J111)))*(IF(Upgrades!$T$6="Heliopause",POWER(Upgrades!$U$6,E111),1)*IF(Upgrades!$T$7="Heliopause",POWER(Upgrades!$U$7,F111),1)*IF(Upgrades!$T$8="Heliopause",POWER(Upgrades!$U$8,G111),1)*IF(Upgrades!$T$9="Heliopause",POWER(Upgrades!$U$9,H111),1)*IF(Upgrades!$T$10="Heliopause",POWER(Upgrades!$U$10,I111),1)*IF(Upgrades!$T$12="Heliopause",POWER(Upgrades!$U$12,K111),1))+(IF(K111=0,0,(Upgrades!$G$12+K111*Upgrades!$H$12)*POWER(Upgrades!$I$12,K111)))*(IF(Upgrades!$T$6="First Photons",POWER(Upgrades!$U$6,E111),1)*IF(Upgrades!$T$7="First Photons",POWER(Upgrades!$U$7,F111),1)*IF(Upgrades!$T$8="First Photons",POWER(Upgrades!$U$8,G111),1)*IF(Upgrades!$T$9="First Photons",POWER(Upgrades!$U$9,H111),1)*IF(Upgrades!$T$10="First Photons",POWER(Upgrades!$U$10,I111),1)*IF(Upgrades!$T$11="First Photons",POWER(Upgrades!$U$11,J111),1)))*POWER(Upgrades!$P$6,E111)*POWER(Upgrades!$P$7,F111)*POWER(Upgrades!$P$8,G111)*POWER(Upgrades!$P$9,H111)*POWER(Upgrades!$P$10,I111)*POWER(Upgrades!$P$11,J111)*POWER(Upgrades!$P$12,K111)</f>
        <v/>
      </c>
      <c r="O111" s="28">
        <f>((IF(E111=0,0,(Upgrades!$M$6+E111*Upgrades!$N$6)*POWER(Upgrades!$O$6,E111)))*(IF(Upgrades!$T$7="Solar Wind",POWER(Upgrades!$U$7,F111),1)*IF(Upgrades!$T$8="Solar Wind",POWER(Upgrades!$U$8,G111),1)*IF(Upgrades!$T$9="Solar Wind",POWER(Upgrades!$U$9,H111),1)*IF(Upgrades!$T$10="Solar Wind",POWER(Upgrades!$U$10,I111),1)*IF(Upgrades!$T$11="Solar Wind",POWER(Upgrades!$U$11,J111),1)*IF(Upgrades!$T$12="Solar Wind",POWER(Upgrades!$U$12,K111),1))+(IF(F111=0,0,(Upgrades!$M$7+F111*Upgrades!$N$7)*POWER(Upgrades!$O$7,F111)))*(IF(Upgrades!$T$6="Asteroid Belt",POWER(Upgrades!$U$6,E111),1)*IF(Upgrades!$T$8="Asteroid Belt",POWER(Upgrades!$U$8,G111),1)*IF(Upgrades!$T$9="Asteroid Belt",POWER(Upgrades!$U$9,H111),1)*IF(Upgrades!$T$10="Asteroid Belt",POWER(Upgrades!$U$10,I111),1)*IF(Upgrades!$T$11="Asteroid Belt",POWER(Upgrades!$U$11,J111),1)*IF(Upgrades!$T$12="Asteroid Belt",POWER(Upgrades!$U$12,K111),1))+(IF(G111=0,0,(Upgrades!$M$8+G111*Upgrades!$N$8)*POWER(Upgrades!$O$8,G111)))*(IF(Upgrades!$T$6="Stellar Coupling",POWER(Upgrades!$U$6,E111),1)*IF(Upgrades!$T$7="Stellar Coupling",POWER(Upgrades!$U$7,F111),1)*IF(Upgrades!$T$9="Stellar Coupling",POWER(Upgrades!$U$9,H111),1)*IF(Upgrades!$T$10="Stellar Coupling",POWER(Upgrades!$U$10,I111),1)*IF(Upgrades!$T$11="Stellar Coupling",POWER(Upgrades!$U$11,J111),1)*IF(Upgrades!$T$12="Stellar Coupling",POWER(Upgrades!$U$12,K111),1))+(IF(H111=0,0,(Upgrades!$M$9+H111*Upgrades!$N$9)*POWER(Upgrades!$O$9,H111)))*(IF(Upgrades!$T$6="Magnetosphere",POWER(Upgrades!$U$6,E111),1)*IF(Upgrades!$T$7="Magnetosphere",POWER(Upgrades!$U$7,F111),1)*IF(Upgrades!$T$8="Magnetosphere",POWER(Upgrades!$U$8,G111),1)*IF(Upgrades!$T$10="Magnetosphere",POWER(Upgrades!$U$10,I111),1)*IF(Upgrades!$T$11="Magnetosphere",POWER(Upgrades!$U$11,J111),1)*IF(Upgrades!$T$12="Magnetosphere",POWER(Upgrades!$U$12,K111),1))+(IF(I111=0,0,(Upgrades!$M$10+I111*Upgrades!$N$10)*POWER(Upgrades!$O$10,I111)))*(IF(Upgrades!$T$6="Orbital Resonance",POWER(Upgrades!$U$6,E111),1)*IF(Upgrades!$T$7="Orbital Resonance",POWER(Upgrades!$U$7,F111),1)*IF(Upgrades!$T$8="Orbital Resonance",POWER(Upgrades!$U$8,G111),1)*IF(Upgrades!$T$9="Orbital Resonance",POWER(Upgrades!$U$9,H111),1)*IF(Upgrades!$T$11="Orbital Resonance",POWER(Upgrades!$U$11,J111),1)*IF(Upgrades!$T$12="Orbital Resonance",POWER(Upgrades!$U$12,K111),1))+(IF(J111=0,0,(Upgrades!$M$11+J111*Upgrades!$N$11)*POWER(Upgrades!$O$11,J111)))*(IF(Upgrades!$T$6="Heliopause",POWER(Upgrades!$U$6,E111),1)*IF(Upgrades!$T$7="Heliopause",POWER(Upgrades!$U$7,F111),1)*IF(Upgrades!$T$8="Heliopause",POWER(Upgrades!$U$8,G111),1)*IF(Upgrades!$T$9="Heliopause",POWER(Upgrades!$U$9,H111),1)*IF(Upgrades!$T$10="Heliopause",POWER(Upgrades!$U$10,I111),1)*IF(Upgrades!$T$12="Heliopause",POWER(Upgrades!$U$12,K111),1))+(IF(K111=0,0,(Upgrades!$M$12+K111*Upgrades!$N$12)*POWER(Upgrades!$O$12,K111)))*(IF(Upgrades!$T$6="First Photons",POWER(Upgrades!$U$6,E111),1)*IF(Upgrades!$T$7="First Photons",POWER(Upgrades!$U$7,F111),1)*IF(Upgrades!$T$8="First Photons",POWER(Upgrades!$U$8,G111),1)*IF(Upgrades!$T$9="First Photons",POWER(Upgrades!$U$9,H111),1)*IF(Upgrades!$T$10="First Photons",POWER(Upgrades!$U$10,I111),1)*IF(Upgrades!$T$11="First Photons",POWER(Upgrades!$U$11,J111),1)))*POWER(Upgrades!$R$6,E111)*POWER(Upgrades!$R$7,F111)*POWER(Upgrades!$R$8,G111)*POWER(Upgrades!$R$9,H111)*POWER(Upgrades!$R$10,I111)*POWER(Upgrades!$R$11,J111)*POWER(Upgrades!$R$12,K111)</f>
        <v/>
      </c>
      <c r="P111" s="27">
        <f>IF(L111=1,0,M111*Parameters!$B$10/60*Parameters!$B$11*10)</f>
        <v/>
      </c>
      <c r="Q111" s="27">
        <f>IF(L111=1,0,O111*M111*10)</f>
        <v/>
      </c>
      <c r="R111" s="27">
        <f>IF(L111=1,0,N111*10)</f>
        <v/>
      </c>
      <c r="S111" s="27">
        <f>P111+Q111+R111</f>
        <v/>
      </c>
      <c r="T111" s="22">
        <f>C111+S111</f>
        <v/>
      </c>
      <c r="U111" s="33">
        <f>AX111</f>
        <v/>
      </c>
      <c r="V111" s="22">
        <f>IF(U111="",0,IF(U111="transition",0,IF(U111="SW",AG111,IF(U111="AB",AH111,IF(U111="SC",AI111,IF(U111="Mag",AJ111,IF(U111="OR",AK111,IF(U111="HP",AL111,IF(U111="FP",AM111,0)))))))))</f>
        <v/>
      </c>
      <c r="W111" s="27">
        <f>IF(U111="OR",Upgrades!$F$10,IF(U111="HP",Upgrades!$F$11,IF(U111="transition",-Parameters!$B$18,0)))</f>
        <v/>
      </c>
      <c r="X111" s="22">
        <f>T111-V111</f>
        <v/>
      </c>
      <c r="Y111" s="30">
        <f>M111*Parameters!$B$10/60*Parameters!$B$11+O111*M111+N111</f>
        <v/>
      </c>
      <c r="Z111" s="34">
        <f>IF(U111="transition","→ Tier 2 (Stellar Neighborhood)",IF(U111="FP","First Photons — light begins, system quickens",IF(U111="HP","Heliopause acquired",IF(U111="OR","Orbital Resonance — passive multiplier active",IF(AND(AO111=1,L111=0,AN111&lt;&gt;1),"Cohesion ready (waiting on completionist upgrades)","")))))</f>
        <v/>
      </c>
      <c r="AA111" s="27">
        <f>(IF(E111=0,0,(Upgrades!$G$6+E111*Upgrades!$H$6)*POWER(Upgrades!$I$6,E111)))*(IF(Upgrades!$T$7="Solar Wind",POWER(Upgrades!$U$7,F111),1)*IF(Upgrades!$T$8="Solar Wind",POWER(Upgrades!$U$8,G111),1)*IF(Upgrades!$T$9="Solar Wind",POWER(Upgrades!$U$9,H111),1)*IF(Upgrades!$T$10="Solar Wind",POWER(Upgrades!$U$10,I111),1)*IF(Upgrades!$T$11="Solar Wind",POWER(Upgrades!$U$11,J111),1)*IF(Upgrades!$T$12="Solar Wind",POWER(Upgrades!$U$12,K111),1))*POWER(Upgrades!$P$6,E111)*POWER(Upgrades!$P$7,F111)*POWER(Upgrades!$P$8,G111)*POWER(Upgrades!$P$9,H111)*POWER(Upgrades!$P$10,I111)*POWER(Upgrades!$P$11,J111)*POWER(Upgrades!$P$12,K111)*60</f>
        <v/>
      </c>
      <c r="AB111" s="27">
        <f>(IF(F111=0,0,(Upgrades!$G$7+F111*Upgrades!$H$7)*POWER(Upgrades!$I$7,F111)))*(IF(Upgrades!$T$6="Asteroid Belt",POWER(Upgrades!$U$6,E111),1)*IF(Upgrades!$T$8="Asteroid Belt",POWER(Upgrades!$U$8,G111),1)*IF(Upgrades!$T$9="Asteroid Belt",POWER(Upgrades!$U$9,H111),1)*IF(Upgrades!$T$10="Asteroid Belt",POWER(Upgrades!$U$10,I111),1)*IF(Upgrades!$T$11="Asteroid Belt",POWER(Upgrades!$U$11,J111),1)*IF(Upgrades!$T$12="Asteroid Belt",POWER(Upgrades!$U$12,K111),1))*POWER(Upgrades!$P$6,E111)*POWER(Upgrades!$P$7,F111)*POWER(Upgrades!$P$8,G111)*POWER(Upgrades!$P$9,H111)*POWER(Upgrades!$P$10,I111)*POWER(Upgrades!$P$11,J111)*POWER(Upgrades!$P$12,K111)*60</f>
        <v/>
      </c>
      <c r="AC111" s="27">
        <f>(IF(G111=0,0,(Upgrades!$J$8+G111*Upgrades!$K$8)*POWER(Upgrades!$L$8,G111)))*(IF(Upgrades!$T$6="Stellar Coupling",POWER(Upgrades!$U$6,E111),1)*IF(Upgrades!$T$7="Stellar Coupling",POWER(Upgrades!$U$7,F111),1)*IF(Upgrades!$T$9="Stellar Coupling",POWER(Upgrades!$U$9,H111),1)*IF(Upgrades!$T$10="Stellar Coupling",POWER(Upgrades!$U$10,I111),1)*IF(Upgrades!$T$11="Stellar Coupling",POWER(Upgrades!$U$11,J111),1)*IF(Upgrades!$T$12="Stellar Coupling",POWER(Upgrades!$U$12,K111),1))*POWER(Upgrades!$Q$6,E111)*POWER(Upgrades!$Q$7,F111)*POWER(Upgrades!$Q$8,G111)*POWER(Upgrades!$Q$9,H111)*POWER(Upgrades!$Q$10,I111)*POWER(Upgrades!$Q$11,J111)*POWER(Upgrades!$Q$12,K111)*Parameters!$B$10*Parameters!$B$11</f>
        <v/>
      </c>
      <c r="AD111" s="27">
        <f>(IF(H111=0,0,(Upgrades!$G$9+H111*Upgrades!$H$9)*POWER(Upgrades!$I$9,H111)))*(IF(Upgrades!$T$6="Magnetosphere",POWER(Upgrades!$U$6,E111),1)*IF(Upgrades!$T$7="Magnetosphere",POWER(Upgrades!$U$7,F111),1)*IF(Upgrades!$T$8="Magnetosphere",POWER(Upgrades!$U$8,G111),1)*IF(Upgrades!$T$10="Magnetosphere",POWER(Upgrades!$U$10,I111),1)*IF(Upgrades!$T$11="Magnetosphere",POWER(Upgrades!$U$11,J111),1)*IF(Upgrades!$T$12="Magnetosphere",POWER(Upgrades!$U$12,K111),1))*POWER(Upgrades!$P$6,E111)*POWER(Upgrades!$P$7,F111)*POWER(Upgrades!$P$8,G111)*POWER(Upgrades!$P$9,H111)*POWER(Upgrades!$P$10,I111)*POWER(Upgrades!$P$11,J111)*POWER(Upgrades!$P$12,K111)*60</f>
        <v/>
      </c>
      <c r="AE111" s="27">
        <f>(IF(K111=0,0,(Upgrades!$G$12+K111*Upgrades!$H$12)*POWER(Upgrades!$I$12,K111)))*(IF(Upgrades!$T$6="First Photons",POWER(Upgrades!$U$6,E111),1)*IF(Upgrades!$T$7="First Photons",POWER(Upgrades!$U$7,F111),1)*IF(Upgrades!$T$8="First Photons",POWER(Upgrades!$U$8,G111),1)*IF(Upgrades!$T$9="First Photons",POWER(Upgrades!$U$9,H111),1)*IF(Upgrades!$T$10="First Photons",POWER(Upgrades!$U$10,I111),1)*IF(Upgrades!$T$11="First Photons",POWER(Upgrades!$U$11,J111),1))*POWER(Upgrades!$P$6,E111)*POWER(Upgrades!$P$7,F111)*POWER(Upgrades!$P$8,G111)*POWER(Upgrades!$P$9,H111)*POWER(Upgrades!$P$10,I111)*POWER(Upgrades!$P$11,J111)*POWER(Upgrades!$P$12,K111)*60</f>
        <v/>
      </c>
      <c r="AF111" s="27">
        <f>Parameters!$B$9*POWER(Upgrades!$Q$6,E111)*POWER(Upgrades!$Q$7,F111)*POWER(Upgrades!$Q$8,G111)*POWER(Upgrades!$Q$9,H111)*POWER(Upgrades!$Q$10,I111)*POWER(Upgrades!$Q$11,J111)*POWER(Upgrades!$Q$12,K111)*(Parameters!$B$10*Parameters!$B$11+O111*60)</f>
        <v/>
      </c>
      <c r="AG111" s="22">
        <f>IF(E111&gt;=Upgrades!$E$6,"",Upgrades!$C$6*POWER(Upgrades!$D$6,E111))</f>
        <v/>
      </c>
      <c r="AH111" s="22">
        <f>IF(F111&gt;=Upgrades!$E$7,"",Upgrades!$C$7*POWER(Upgrades!$D$7,F111))</f>
        <v/>
      </c>
      <c r="AI111" s="22">
        <f>IF(G111&gt;=Upgrades!$E$8,"",Upgrades!$C$8*POWER(Upgrades!$D$8,G111))</f>
        <v/>
      </c>
      <c r="AJ111" s="22">
        <f>IF(H111&gt;=Upgrades!$E$9,"",Upgrades!$C$9*POWER(Upgrades!$D$9,H111))</f>
        <v/>
      </c>
      <c r="AK111" s="22">
        <f>IF(I111&gt;=Upgrades!$E$10,"",Upgrades!$C$10*POWER(Upgrades!$D$10,I111))</f>
        <v/>
      </c>
      <c r="AL111" s="22">
        <f>IF(J111&gt;=Upgrades!$E$11,"",Upgrades!$C$11*POWER(Upgrades!$D$11,J111))</f>
        <v/>
      </c>
      <c r="AM111" s="22">
        <f>IF(K111&gt;=Upgrades!$E$12,"",Upgrades!$C$12*POWER(Upgrades!$D$12,K111))</f>
        <v/>
      </c>
      <c r="AN111" s="26">
        <f>IF(AND(D111&gt;=Parameters!$B$18,(H111&gt;=Upgrades!$E$9)*(K111&gt;=Upgrades!$E$12)=1,L111=0),1,"")</f>
        <v/>
      </c>
      <c r="AO111" s="26">
        <f>IF(AND(D111&gt;=Parameters!$B$18,L111=0),1,"")</f>
        <v/>
      </c>
      <c r="AP111" s="22">
        <f>MIN(IF(ISNUMBER(AK111),AK111,9E15),IF(ISNUMBER(AL111),AL111,9E15),IF(ISNUMBER(AM111),AM111,9E15))</f>
        <v/>
      </c>
      <c r="AQ111" s="22">
        <f>MIN(IF(ISNUMBER(AG111),AG111,9E15),IF(ISNUMBER(AH111),AH111,9E15),IF(ISNUMBER(AI111),AI111,9E15),IF(ISNUMBER(AJ111),AJ111,9E15))</f>
        <v/>
      </c>
      <c r="AR111" s="29">
        <f>IF(AW111&gt;Parameters!$B$21*(MAX(IF(AND(NOT(AND(AO111=1,AN111&lt;&gt;1)),ISNUMBER(AG111),AG111&lt;=T111),AS111,0),IF(AND(NOT(AND(AO111=1,AN111&lt;&gt;1)),ISNUMBER(AH111),AH111&lt;=T111),AT111,0),IF(AND(NOT(AND(AO111=1,AN111&lt;&gt;1)),ISNUMBER(AI111),AI111&lt;=T111),AU111,0),IF(AND(ISNUMBER(AJ111),AJ111&lt;=T111),AV111,0))),TRUE,FALSE)</f>
        <v/>
      </c>
      <c r="AS111" s="32">
        <f>IFERROR(Upgrades!$H$6*(POWER(Upgrades!$P$6,E111)*POWER(Upgrades!$P$7,F111)*POWER(Upgrades!$P$8,G111)*POWER(Upgrades!$P$9,H111)*POWER(Upgrades!$P$10,I111)*POWER(Upgrades!$P$11,J111)*POWER(Upgrades!$P$12,K111))*(IF(Upgrades!$T$7="Solar Wind",POWER(Upgrades!$U$7,F111),1)*IF(Upgrades!$T$8="Solar Wind",POWER(Upgrades!$U$8,G111),1)*IF(Upgrades!$T$9="Solar Wind",POWER(Upgrades!$U$9,H111),1)*IF(Upgrades!$T$10="Solar Wind",POWER(Upgrades!$U$10,I111),1)*IF(Upgrades!$T$11="Solar Wind",POWER(Upgrades!$U$11,J111),1)*IF(Upgrades!$T$12="Solar Wind",POWER(Upgrades!$U$12,K111),1))/AG111,0)</f>
        <v/>
      </c>
      <c r="AT111" s="32">
        <f>IFERROR(Upgrades!$H$7*(POWER(Upgrades!$P$6,E111)*POWER(Upgrades!$P$7,F111)*POWER(Upgrades!$P$8,G111)*POWER(Upgrades!$P$9,H111)*POWER(Upgrades!$P$10,I111)*POWER(Upgrades!$P$11,J111)*POWER(Upgrades!$P$12,K111))*(IF(Upgrades!$T$6="Asteroid Belt",POWER(Upgrades!$U$6,E111),1)*IF(Upgrades!$T$8="Asteroid Belt",POWER(Upgrades!$U$8,G111),1)*IF(Upgrades!$T$9="Asteroid Belt",POWER(Upgrades!$U$9,H111),1)*IF(Upgrades!$T$10="Asteroid Belt",POWER(Upgrades!$U$10,I111),1)*IF(Upgrades!$T$11="Asteroid Belt",POWER(Upgrades!$U$11,J111),1)*IF(Upgrades!$T$12="Asteroid Belt",POWER(Upgrades!$U$12,K111),1))/AH111,0)</f>
        <v/>
      </c>
      <c r="AU111" s="32">
        <f>IFERROR(Upgrades!$K$8*(POWER(Upgrades!$Q$6,E111)*POWER(Upgrades!$Q$7,F111)*POWER(Upgrades!$Q$8,G111)*POWER(Upgrades!$Q$9,H111)*POWER(Upgrades!$Q$10,I111)*POWER(Upgrades!$Q$11,J111)*POWER(Upgrades!$Q$12,K111))*(IF(Upgrades!$T$6="Stellar Coupling",POWER(Upgrades!$U$6,E111),1)*IF(Upgrades!$T$7="Stellar Coupling",POWER(Upgrades!$U$7,F111),1)*IF(Upgrades!$T$9="Stellar Coupling",POWER(Upgrades!$U$9,H111),1)*IF(Upgrades!$T$10="Stellar Coupling",POWER(Upgrades!$U$10,I111),1)*IF(Upgrades!$T$11="Stellar Coupling",POWER(Upgrades!$U$11,J111),1)*IF(Upgrades!$T$12="Stellar Coupling",POWER(Upgrades!$U$12,K111),1))*Parameters!$B$10*Parameters!$B$11/60/AI111,0)</f>
        <v/>
      </c>
      <c r="AV111" s="32">
        <f>IFERROR(Upgrades!$H$9*(POWER(Upgrades!$P$6,E111)*POWER(Upgrades!$P$7,F111)*POWER(Upgrades!$P$8,G111)*POWER(Upgrades!$P$9,H111)*POWER(Upgrades!$P$10,I111)*POWER(Upgrades!$P$11,J111)*POWER(Upgrades!$P$12,K111))*(IF(Upgrades!$T$6="Magnetosphere",POWER(Upgrades!$U$6,E111),1)*IF(Upgrades!$T$7="Magnetosphere",POWER(Upgrades!$U$7,F111),1)*IF(Upgrades!$T$8="Magnetosphere",POWER(Upgrades!$U$8,G111),1)*IF(Upgrades!$T$10="Magnetosphere",POWER(Upgrades!$U$10,I111),1)*IF(Upgrades!$T$11="Magnetosphere",POWER(Upgrades!$U$11,J111),1)*IF(Upgrades!$T$12="Magnetosphere",POWER(Upgrades!$U$12,K111),1))/AJ111,0)</f>
        <v/>
      </c>
      <c r="AW111" s="32">
        <f>MAX(IF(I111&gt;0,0,IFERROR(0.25*N111/Upgrades!$C$10,0)),IF(J111&gt;0,0,IFERROR(0.5*((IF(G111=0,0,(Upgrades!$J$8+G111*Upgrades!$K$8)*POWER(Upgrades!$L$8,G111)))*(IF(Upgrades!$T$6="Stellar Coupling",POWER(Upgrades!$U$6,E111),1)*IF(Upgrades!$T$7="Stellar Coupling",POWER(Upgrades!$U$7,F111),1)*IF(Upgrades!$T$9="Stellar Coupling",POWER(Upgrades!$U$9,H111),1)*IF(Upgrades!$T$10="Stellar Coupling",POWER(Upgrades!$U$10,I111),1)*IF(Upgrades!$T$11="Stellar Coupling",POWER(Upgrades!$U$11,J111),1)*IF(Upgrades!$T$12="Stellar Coupling",POWER(Upgrades!$U$12,K111),1))*(POWER(Upgrades!$Q$6,E111)*POWER(Upgrades!$Q$7,F111)*POWER(Upgrades!$Q$8,G111)*POWER(Upgrades!$Q$9,H111)*POWER(Upgrades!$Q$10,I111)*POWER(Upgrades!$Q$11,J111)*POWER(Upgrades!$Q$12,K111))*Parameters!$B$10*Parameters!$B$11/60)/Upgrades!$C$11,0)),IF(K111&gt;0,0,IFERROR((1.0*(POWER(Upgrades!$P$6,E111)*POWER(Upgrades!$P$7,F111)*POWER(Upgrades!$P$8,G111)*POWER(Upgrades!$P$9,H111)*POWER(Upgrades!$P$10,I111)*POWER(Upgrades!$P$11,J111)*POWER(Upgrades!$P$12,K111))+0.20*M111*Parameters!$B$10*Parameters!$B$11/60)/Upgrades!$C$12,0)),IF(AND(ISNUMBER(AG111),AG111&gt;T111),AS111,0),IF(AND(ISNUMBER(AH111),AH111&gt;T111),AT111,0),IF(AND(ISNUMBER(AI111),AI111&gt;T111),AU111,0),IF(AND(ISNUMBER(AJ111),AJ111&gt;T111),AV111,0))</f>
        <v/>
      </c>
      <c r="AX111" s="29">
        <f>IF(AN111=1,"transition",IF(MIN(IF(AND(I111=0,ISNUMBER(AK111),AK111&lt;=T111),AK111,9E15),IF(AND(J111=0,ISNUMBER(AL111),AL111&lt;=T111),AL111,9E15),IF(AND(K111=0,ISNUMBER(AM111),AM111&lt;=T111),AM111,9E15))&lt;9E15,IF(AND(AND(I111=0,ISNUMBER(AK111),AK111&lt;=T111),AK111=MIN(IF(AND(I111=0,ISNUMBER(AK111),AK111&lt;=T111),AK111,9E15),IF(AND(J111=0,ISNUMBER(AL111),AL111&lt;=T111),AL111,9E15),IF(AND(K111=0,ISNUMBER(AM111),AM111&lt;=T111),AM111,9E15))),"OR",IF(AND(AND(J111=0,ISNUMBER(AL111),AL111&lt;=T111),AL111=MIN(IF(AND(I111=0,ISNUMBER(AK111),AK111&lt;=T111),AK111,9E15),IF(AND(J111=0,ISNUMBER(AL111),AL111&lt;=T111),AL111,9E15),IF(AND(K111=0,ISNUMBER(AM111),AM111&lt;=T111),AM111,9E15))),"HP","FP")),IF(AR111=TRUE,"",IF(MAX(IF(AND(NOT(AND(AO111=1,AN111&lt;&gt;1)),ISNUMBER(AG111),AG111&lt;=T111),AS111,0),IF(AND(NOT(AND(AO111=1,AN111&lt;&gt;1)),ISNUMBER(AH111),AH111&lt;=T111),AT111,0),IF(AND(NOT(AND(AO111=1,AN111&lt;&gt;1)),ISNUMBER(AI111),AI111&lt;=T111),AU111,0),IF(AND(ISNUMBER(AJ111),AJ111&lt;=T111),AV111,0))&lt;=0,"",IF(AND(IF(AND(NOT(AND(AO111=1,AN111&lt;&gt;1)),ISNUMBER(AG111),AG111&lt;=T111),AS111,0)&gt;0,IF(AND(NOT(AND(AO111=1,AN111&lt;&gt;1)),ISNUMBER(AG111),AG111&lt;=T111),AS111,0)=MAX(IF(AND(NOT(AND(AO111=1,AN111&lt;&gt;1)),ISNUMBER(AG111),AG111&lt;=T111),AS111,0),IF(AND(NOT(AND(AO111=1,AN111&lt;&gt;1)),ISNUMBER(AH111),AH111&lt;=T111),AT111,0),IF(AND(NOT(AND(AO111=1,AN111&lt;&gt;1)),ISNUMBER(AI111),AI111&lt;=T111),AU111,0),IF(AND(ISNUMBER(AJ111),AJ111&lt;=T111),AV111,0))),"SW",IF(AND(IF(AND(NOT(AND(AO111=1,AN111&lt;&gt;1)),ISNUMBER(AH111),AH111&lt;=T111),AT111,0)&gt;0,IF(AND(NOT(AND(AO111=1,AN111&lt;&gt;1)),ISNUMBER(AH111),AH111&lt;=T111),AT111,0)=MAX(IF(AND(NOT(AND(AO111=1,AN111&lt;&gt;1)),ISNUMBER(AG111),AG111&lt;=T111),AS111,0),IF(AND(NOT(AND(AO111=1,AN111&lt;&gt;1)),ISNUMBER(AH111),AH111&lt;=T111),AT111,0),IF(AND(NOT(AND(AO111=1,AN111&lt;&gt;1)),ISNUMBER(AI111),AI111&lt;=T111),AU111,0),IF(AND(ISNUMBER(AJ111),AJ111&lt;=T111),AV111,0))),"AB",IF(AND(IF(AND(NOT(AND(AO111=1,AN111&lt;&gt;1)),ISNUMBER(AI111),AI111&lt;=T111),AU111,0)&gt;0,IF(AND(NOT(AND(AO111=1,AN111&lt;&gt;1)),ISNUMBER(AI111),AI111&lt;=T111),AU111,0)=MAX(IF(AND(NOT(AND(AO111=1,AN111&lt;&gt;1)),ISNUMBER(AG111),AG111&lt;=T111),AS111,0),IF(AND(NOT(AND(AO111=1,AN111&lt;&gt;1)),ISNUMBER(AH111),AH111&lt;=T111),AT111,0),IF(AND(NOT(AND(AO111=1,AN111&lt;&gt;1)),ISNUMBER(AI111),AI111&lt;=T111),AU111,0),IF(AND(ISNUMBER(AJ111),AJ111&lt;=T111),AV111,0))),"SC","Mag")))))))</f>
        <v/>
      </c>
    </row>
    <row r="112">
      <c r="A112" s="26" t="n">
        <v>107</v>
      </c>
      <c r="B112" s="27">
        <f>A112*10/60</f>
        <v/>
      </c>
      <c r="C112" s="22">
        <f>X111</f>
        <v/>
      </c>
      <c r="D112" s="27">
        <f>D111+W111</f>
        <v/>
      </c>
      <c r="E112" s="26">
        <f>E111+IF(U111="SW",1,0)</f>
        <v/>
      </c>
      <c r="F112" s="26">
        <f>F111+IF(U111="AB",1,0)</f>
        <v/>
      </c>
      <c r="G112" s="26">
        <f>G111+IF(U111="SC",1,0)</f>
        <v/>
      </c>
      <c r="H112" s="26">
        <f>H111+IF(U111="Mag",1,0)</f>
        <v/>
      </c>
      <c r="I112" s="26">
        <f>MAX(I111,IF(U111="OR",1,0))</f>
        <v/>
      </c>
      <c r="J112" s="26">
        <f>MAX(J111,IF(U111="HP",1,0))</f>
        <v/>
      </c>
      <c r="K112" s="26">
        <f>MAX(K111,IF(U111="FP",1,0))</f>
        <v/>
      </c>
      <c r="L112" s="26">
        <f>MAX(L111,IF(U111="transition",1,0))</f>
        <v/>
      </c>
      <c r="M112" s="28">
        <f>(Parameters!$B$9+(IF(E112=0,0,(Upgrades!$J$6+E112*Upgrades!$K$6)*POWER(Upgrades!$L$6,E112)))*(IF(Upgrades!$T$7="Solar Wind",POWER(Upgrades!$U$7,F112),1)*IF(Upgrades!$T$8="Solar Wind",POWER(Upgrades!$U$8,G112),1)*IF(Upgrades!$T$9="Solar Wind",POWER(Upgrades!$U$9,H112),1)*IF(Upgrades!$T$10="Solar Wind",POWER(Upgrades!$U$10,I112),1)*IF(Upgrades!$T$11="Solar Wind",POWER(Upgrades!$U$11,J112),1)*IF(Upgrades!$T$12="Solar Wind",POWER(Upgrades!$U$12,K112),1))+(IF(F112=0,0,(Upgrades!$J$7+F112*Upgrades!$K$7)*POWER(Upgrades!$L$7,F112)))*(IF(Upgrades!$T$6="Asteroid Belt",POWER(Upgrades!$U$6,E112),1)*IF(Upgrades!$T$8="Asteroid Belt",POWER(Upgrades!$U$8,G112),1)*IF(Upgrades!$T$9="Asteroid Belt",POWER(Upgrades!$U$9,H112),1)*IF(Upgrades!$T$10="Asteroid Belt",POWER(Upgrades!$U$10,I112),1)*IF(Upgrades!$T$11="Asteroid Belt",POWER(Upgrades!$U$11,J112),1)*IF(Upgrades!$T$12="Asteroid Belt",POWER(Upgrades!$U$12,K112),1))+(IF(G112=0,0,(Upgrades!$J$8+G112*Upgrades!$K$8)*POWER(Upgrades!$L$8,G112)))*(IF(Upgrades!$T$6="Stellar Coupling",POWER(Upgrades!$U$6,E112),1)*IF(Upgrades!$T$7="Stellar Coupling",POWER(Upgrades!$U$7,F112),1)*IF(Upgrades!$T$9="Stellar Coupling",POWER(Upgrades!$U$9,H112),1)*IF(Upgrades!$T$10="Stellar Coupling",POWER(Upgrades!$U$10,I112),1)*IF(Upgrades!$T$11="Stellar Coupling",POWER(Upgrades!$U$11,J112),1)*IF(Upgrades!$T$12="Stellar Coupling",POWER(Upgrades!$U$12,K112),1))+(IF(H112=0,0,(Upgrades!$J$9+H112*Upgrades!$K$9)*POWER(Upgrades!$L$9,H112)))*(IF(Upgrades!$T$6="Magnetosphere",POWER(Upgrades!$U$6,E112),1)*IF(Upgrades!$T$7="Magnetosphere",POWER(Upgrades!$U$7,F112),1)*IF(Upgrades!$T$8="Magnetosphere",POWER(Upgrades!$U$8,G112),1)*IF(Upgrades!$T$10="Magnetosphere",POWER(Upgrades!$U$10,I112),1)*IF(Upgrades!$T$11="Magnetosphere",POWER(Upgrades!$U$11,J112),1)*IF(Upgrades!$T$12="Magnetosphere",POWER(Upgrades!$U$12,K112),1))+(IF(I112=0,0,(Upgrades!$J$10+I112*Upgrades!$K$10)*POWER(Upgrades!$L$10,I112)))*(IF(Upgrades!$T$6="Orbital Resonance",POWER(Upgrades!$U$6,E112),1)*IF(Upgrades!$T$7="Orbital Resonance",POWER(Upgrades!$U$7,F112),1)*IF(Upgrades!$T$8="Orbital Resonance",POWER(Upgrades!$U$8,G112),1)*IF(Upgrades!$T$9="Orbital Resonance",POWER(Upgrades!$U$9,H112),1)*IF(Upgrades!$T$11="Orbital Resonance",POWER(Upgrades!$U$11,J112),1)*IF(Upgrades!$T$12="Orbital Resonance",POWER(Upgrades!$U$12,K112),1))+(IF(J112=0,0,(Upgrades!$J$11+J112*Upgrades!$K$11)*POWER(Upgrades!$L$11,J112)))*(IF(Upgrades!$T$6="Heliopause",POWER(Upgrades!$U$6,E112),1)*IF(Upgrades!$T$7="Heliopause",POWER(Upgrades!$U$7,F112),1)*IF(Upgrades!$T$8="Heliopause",POWER(Upgrades!$U$8,G112),1)*IF(Upgrades!$T$9="Heliopause",POWER(Upgrades!$U$9,H112),1)*IF(Upgrades!$T$10="Heliopause",POWER(Upgrades!$U$10,I112),1)*IF(Upgrades!$T$12="Heliopause",POWER(Upgrades!$U$12,K112),1))+(IF(K112=0,0,(Upgrades!$J$12+K112*Upgrades!$K$12)*POWER(Upgrades!$L$12,K112)))*(IF(Upgrades!$T$6="First Photons",POWER(Upgrades!$U$6,E112),1)*IF(Upgrades!$T$7="First Photons",POWER(Upgrades!$U$7,F112),1)*IF(Upgrades!$T$8="First Photons",POWER(Upgrades!$U$8,G112),1)*IF(Upgrades!$T$9="First Photons",POWER(Upgrades!$U$9,H112),1)*IF(Upgrades!$T$10="First Photons",POWER(Upgrades!$U$10,I112),1)*IF(Upgrades!$T$11="First Photons",POWER(Upgrades!$U$11,J112),1)))*POWER(Upgrades!$Q$6,E112)*POWER(Upgrades!$Q$7,F112)*POWER(Upgrades!$Q$8,G112)*POWER(Upgrades!$Q$9,H112)*POWER(Upgrades!$Q$10,I112)*POWER(Upgrades!$Q$11,J112)*POWER(Upgrades!$Q$12,K112)</f>
        <v/>
      </c>
      <c r="N112" s="28">
        <f>((IF(E112=0,0,(Upgrades!$G$6+E112*Upgrades!$H$6)*POWER(Upgrades!$I$6,E112)))*(IF(Upgrades!$T$7="Solar Wind",POWER(Upgrades!$U$7,F112),1)*IF(Upgrades!$T$8="Solar Wind",POWER(Upgrades!$U$8,G112),1)*IF(Upgrades!$T$9="Solar Wind",POWER(Upgrades!$U$9,H112),1)*IF(Upgrades!$T$10="Solar Wind",POWER(Upgrades!$U$10,I112),1)*IF(Upgrades!$T$11="Solar Wind",POWER(Upgrades!$U$11,J112),1)*IF(Upgrades!$T$12="Solar Wind",POWER(Upgrades!$U$12,K112),1))+(IF(F112=0,0,(Upgrades!$G$7+F112*Upgrades!$H$7)*POWER(Upgrades!$I$7,F112)))*(IF(Upgrades!$T$6="Asteroid Belt",POWER(Upgrades!$U$6,E112),1)*IF(Upgrades!$T$8="Asteroid Belt",POWER(Upgrades!$U$8,G112),1)*IF(Upgrades!$T$9="Asteroid Belt",POWER(Upgrades!$U$9,H112),1)*IF(Upgrades!$T$10="Asteroid Belt",POWER(Upgrades!$U$10,I112),1)*IF(Upgrades!$T$11="Asteroid Belt",POWER(Upgrades!$U$11,J112),1)*IF(Upgrades!$T$12="Asteroid Belt",POWER(Upgrades!$U$12,K112),1))+(IF(G112=0,0,(Upgrades!$G$8+G112*Upgrades!$H$8)*POWER(Upgrades!$I$8,G112)))*(IF(Upgrades!$T$6="Stellar Coupling",POWER(Upgrades!$U$6,E112),1)*IF(Upgrades!$T$7="Stellar Coupling",POWER(Upgrades!$U$7,F112),1)*IF(Upgrades!$T$9="Stellar Coupling",POWER(Upgrades!$U$9,H112),1)*IF(Upgrades!$T$10="Stellar Coupling",POWER(Upgrades!$U$10,I112),1)*IF(Upgrades!$T$11="Stellar Coupling",POWER(Upgrades!$U$11,J112),1)*IF(Upgrades!$T$12="Stellar Coupling",POWER(Upgrades!$U$12,K112),1))+(IF(H112=0,0,(Upgrades!$G$9+H112*Upgrades!$H$9)*POWER(Upgrades!$I$9,H112)))*(IF(Upgrades!$T$6="Magnetosphere",POWER(Upgrades!$U$6,E112),1)*IF(Upgrades!$T$7="Magnetosphere",POWER(Upgrades!$U$7,F112),1)*IF(Upgrades!$T$8="Magnetosphere",POWER(Upgrades!$U$8,G112),1)*IF(Upgrades!$T$10="Magnetosphere",POWER(Upgrades!$U$10,I112),1)*IF(Upgrades!$T$11="Magnetosphere",POWER(Upgrades!$U$11,J112),1)*IF(Upgrades!$T$12="Magnetosphere",POWER(Upgrades!$U$12,K112),1))+(IF(I112=0,0,(Upgrades!$G$10+I112*Upgrades!$H$10)*POWER(Upgrades!$I$10,I112)))*(IF(Upgrades!$T$6="Orbital Resonance",POWER(Upgrades!$U$6,E112),1)*IF(Upgrades!$T$7="Orbital Resonance",POWER(Upgrades!$U$7,F112),1)*IF(Upgrades!$T$8="Orbital Resonance",POWER(Upgrades!$U$8,G112),1)*IF(Upgrades!$T$9="Orbital Resonance",POWER(Upgrades!$U$9,H112),1)*IF(Upgrades!$T$11="Orbital Resonance",POWER(Upgrades!$U$11,J112),1)*IF(Upgrades!$T$12="Orbital Resonance",POWER(Upgrades!$U$12,K112),1))+(IF(J112=0,0,(Upgrades!$G$11+J112*Upgrades!$H$11)*POWER(Upgrades!$I$11,J112)))*(IF(Upgrades!$T$6="Heliopause",POWER(Upgrades!$U$6,E112),1)*IF(Upgrades!$T$7="Heliopause",POWER(Upgrades!$U$7,F112),1)*IF(Upgrades!$T$8="Heliopause",POWER(Upgrades!$U$8,G112),1)*IF(Upgrades!$T$9="Heliopause",POWER(Upgrades!$U$9,H112),1)*IF(Upgrades!$T$10="Heliopause",POWER(Upgrades!$U$10,I112),1)*IF(Upgrades!$T$12="Heliopause",POWER(Upgrades!$U$12,K112),1))+(IF(K112=0,0,(Upgrades!$G$12+K112*Upgrades!$H$12)*POWER(Upgrades!$I$12,K112)))*(IF(Upgrades!$T$6="First Photons",POWER(Upgrades!$U$6,E112),1)*IF(Upgrades!$T$7="First Photons",POWER(Upgrades!$U$7,F112),1)*IF(Upgrades!$T$8="First Photons",POWER(Upgrades!$U$8,G112),1)*IF(Upgrades!$T$9="First Photons",POWER(Upgrades!$U$9,H112),1)*IF(Upgrades!$T$10="First Photons",POWER(Upgrades!$U$10,I112),1)*IF(Upgrades!$T$11="First Photons",POWER(Upgrades!$U$11,J112),1)))*POWER(Upgrades!$P$6,E112)*POWER(Upgrades!$P$7,F112)*POWER(Upgrades!$P$8,G112)*POWER(Upgrades!$P$9,H112)*POWER(Upgrades!$P$10,I112)*POWER(Upgrades!$P$11,J112)*POWER(Upgrades!$P$12,K112)</f>
        <v/>
      </c>
      <c r="O112" s="28">
        <f>((IF(E112=0,0,(Upgrades!$M$6+E112*Upgrades!$N$6)*POWER(Upgrades!$O$6,E112)))*(IF(Upgrades!$T$7="Solar Wind",POWER(Upgrades!$U$7,F112),1)*IF(Upgrades!$T$8="Solar Wind",POWER(Upgrades!$U$8,G112),1)*IF(Upgrades!$T$9="Solar Wind",POWER(Upgrades!$U$9,H112),1)*IF(Upgrades!$T$10="Solar Wind",POWER(Upgrades!$U$10,I112),1)*IF(Upgrades!$T$11="Solar Wind",POWER(Upgrades!$U$11,J112),1)*IF(Upgrades!$T$12="Solar Wind",POWER(Upgrades!$U$12,K112),1))+(IF(F112=0,0,(Upgrades!$M$7+F112*Upgrades!$N$7)*POWER(Upgrades!$O$7,F112)))*(IF(Upgrades!$T$6="Asteroid Belt",POWER(Upgrades!$U$6,E112),1)*IF(Upgrades!$T$8="Asteroid Belt",POWER(Upgrades!$U$8,G112),1)*IF(Upgrades!$T$9="Asteroid Belt",POWER(Upgrades!$U$9,H112),1)*IF(Upgrades!$T$10="Asteroid Belt",POWER(Upgrades!$U$10,I112),1)*IF(Upgrades!$T$11="Asteroid Belt",POWER(Upgrades!$U$11,J112),1)*IF(Upgrades!$T$12="Asteroid Belt",POWER(Upgrades!$U$12,K112),1))+(IF(G112=0,0,(Upgrades!$M$8+G112*Upgrades!$N$8)*POWER(Upgrades!$O$8,G112)))*(IF(Upgrades!$T$6="Stellar Coupling",POWER(Upgrades!$U$6,E112),1)*IF(Upgrades!$T$7="Stellar Coupling",POWER(Upgrades!$U$7,F112),1)*IF(Upgrades!$T$9="Stellar Coupling",POWER(Upgrades!$U$9,H112),1)*IF(Upgrades!$T$10="Stellar Coupling",POWER(Upgrades!$U$10,I112),1)*IF(Upgrades!$T$11="Stellar Coupling",POWER(Upgrades!$U$11,J112),1)*IF(Upgrades!$T$12="Stellar Coupling",POWER(Upgrades!$U$12,K112),1))+(IF(H112=0,0,(Upgrades!$M$9+H112*Upgrades!$N$9)*POWER(Upgrades!$O$9,H112)))*(IF(Upgrades!$T$6="Magnetosphere",POWER(Upgrades!$U$6,E112),1)*IF(Upgrades!$T$7="Magnetosphere",POWER(Upgrades!$U$7,F112),1)*IF(Upgrades!$T$8="Magnetosphere",POWER(Upgrades!$U$8,G112),1)*IF(Upgrades!$T$10="Magnetosphere",POWER(Upgrades!$U$10,I112),1)*IF(Upgrades!$T$11="Magnetosphere",POWER(Upgrades!$U$11,J112),1)*IF(Upgrades!$T$12="Magnetosphere",POWER(Upgrades!$U$12,K112),1))+(IF(I112=0,0,(Upgrades!$M$10+I112*Upgrades!$N$10)*POWER(Upgrades!$O$10,I112)))*(IF(Upgrades!$T$6="Orbital Resonance",POWER(Upgrades!$U$6,E112),1)*IF(Upgrades!$T$7="Orbital Resonance",POWER(Upgrades!$U$7,F112),1)*IF(Upgrades!$T$8="Orbital Resonance",POWER(Upgrades!$U$8,G112),1)*IF(Upgrades!$T$9="Orbital Resonance",POWER(Upgrades!$U$9,H112),1)*IF(Upgrades!$T$11="Orbital Resonance",POWER(Upgrades!$U$11,J112),1)*IF(Upgrades!$T$12="Orbital Resonance",POWER(Upgrades!$U$12,K112),1))+(IF(J112=0,0,(Upgrades!$M$11+J112*Upgrades!$N$11)*POWER(Upgrades!$O$11,J112)))*(IF(Upgrades!$T$6="Heliopause",POWER(Upgrades!$U$6,E112),1)*IF(Upgrades!$T$7="Heliopause",POWER(Upgrades!$U$7,F112),1)*IF(Upgrades!$T$8="Heliopause",POWER(Upgrades!$U$8,G112),1)*IF(Upgrades!$T$9="Heliopause",POWER(Upgrades!$U$9,H112),1)*IF(Upgrades!$T$10="Heliopause",POWER(Upgrades!$U$10,I112),1)*IF(Upgrades!$T$12="Heliopause",POWER(Upgrades!$U$12,K112),1))+(IF(K112=0,0,(Upgrades!$M$12+K112*Upgrades!$N$12)*POWER(Upgrades!$O$12,K112)))*(IF(Upgrades!$T$6="First Photons",POWER(Upgrades!$U$6,E112),1)*IF(Upgrades!$T$7="First Photons",POWER(Upgrades!$U$7,F112),1)*IF(Upgrades!$T$8="First Photons",POWER(Upgrades!$U$8,G112),1)*IF(Upgrades!$T$9="First Photons",POWER(Upgrades!$U$9,H112),1)*IF(Upgrades!$T$10="First Photons",POWER(Upgrades!$U$10,I112),1)*IF(Upgrades!$T$11="First Photons",POWER(Upgrades!$U$11,J112),1)))*POWER(Upgrades!$R$6,E112)*POWER(Upgrades!$R$7,F112)*POWER(Upgrades!$R$8,G112)*POWER(Upgrades!$R$9,H112)*POWER(Upgrades!$R$10,I112)*POWER(Upgrades!$R$11,J112)*POWER(Upgrades!$R$12,K112)</f>
        <v/>
      </c>
      <c r="P112" s="27">
        <f>IF(L112=1,0,M112*Parameters!$B$10/60*Parameters!$B$11*10)</f>
        <v/>
      </c>
      <c r="Q112" s="27">
        <f>IF(L112=1,0,O112*M112*10)</f>
        <v/>
      </c>
      <c r="R112" s="27">
        <f>IF(L112=1,0,N112*10)</f>
        <v/>
      </c>
      <c r="S112" s="27">
        <f>P112+Q112+R112</f>
        <v/>
      </c>
      <c r="T112" s="22">
        <f>C112+S112</f>
        <v/>
      </c>
      <c r="U112" s="33">
        <f>AX112</f>
        <v/>
      </c>
      <c r="V112" s="22">
        <f>IF(U112="",0,IF(U112="transition",0,IF(U112="SW",AG112,IF(U112="AB",AH112,IF(U112="SC",AI112,IF(U112="Mag",AJ112,IF(U112="OR",AK112,IF(U112="HP",AL112,IF(U112="FP",AM112,0)))))))))</f>
        <v/>
      </c>
      <c r="W112" s="27">
        <f>IF(U112="OR",Upgrades!$F$10,IF(U112="HP",Upgrades!$F$11,IF(U112="transition",-Parameters!$B$18,0)))</f>
        <v/>
      </c>
      <c r="X112" s="22">
        <f>T112-V112</f>
        <v/>
      </c>
      <c r="Y112" s="30">
        <f>M112*Parameters!$B$10/60*Parameters!$B$11+O112*M112+N112</f>
        <v/>
      </c>
      <c r="Z112" s="34">
        <f>IF(U112="transition","→ Tier 2 (Stellar Neighborhood)",IF(U112="FP","First Photons — light begins, system quickens",IF(U112="HP","Heliopause acquired",IF(U112="OR","Orbital Resonance — passive multiplier active",IF(AND(AO112=1,L112=0,AN112&lt;&gt;1),"Cohesion ready (waiting on completionist upgrades)","")))))</f>
        <v/>
      </c>
      <c r="AA112" s="27">
        <f>(IF(E112=0,0,(Upgrades!$G$6+E112*Upgrades!$H$6)*POWER(Upgrades!$I$6,E112)))*(IF(Upgrades!$T$7="Solar Wind",POWER(Upgrades!$U$7,F112),1)*IF(Upgrades!$T$8="Solar Wind",POWER(Upgrades!$U$8,G112),1)*IF(Upgrades!$T$9="Solar Wind",POWER(Upgrades!$U$9,H112),1)*IF(Upgrades!$T$10="Solar Wind",POWER(Upgrades!$U$10,I112),1)*IF(Upgrades!$T$11="Solar Wind",POWER(Upgrades!$U$11,J112),1)*IF(Upgrades!$T$12="Solar Wind",POWER(Upgrades!$U$12,K112),1))*POWER(Upgrades!$P$6,E112)*POWER(Upgrades!$P$7,F112)*POWER(Upgrades!$P$8,G112)*POWER(Upgrades!$P$9,H112)*POWER(Upgrades!$P$10,I112)*POWER(Upgrades!$P$11,J112)*POWER(Upgrades!$P$12,K112)*60</f>
        <v/>
      </c>
      <c r="AB112" s="27">
        <f>(IF(F112=0,0,(Upgrades!$G$7+F112*Upgrades!$H$7)*POWER(Upgrades!$I$7,F112)))*(IF(Upgrades!$T$6="Asteroid Belt",POWER(Upgrades!$U$6,E112),1)*IF(Upgrades!$T$8="Asteroid Belt",POWER(Upgrades!$U$8,G112),1)*IF(Upgrades!$T$9="Asteroid Belt",POWER(Upgrades!$U$9,H112),1)*IF(Upgrades!$T$10="Asteroid Belt",POWER(Upgrades!$U$10,I112),1)*IF(Upgrades!$T$11="Asteroid Belt",POWER(Upgrades!$U$11,J112),1)*IF(Upgrades!$T$12="Asteroid Belt",POWER(Upgrades!$U$12,K112),1))*POWER(Upgrades!$P$6,E112)*POWER(Upgrades!$P$7,F112)*POWER(Upgrades!$P$8,G112)*POWER(Upgrades!$P$9,H112)*POWER(Upgrades!$P$10,I112)*POWER(Upgrades!$P$11,J112)*POWER(Upgrades!$P$12,K112)*60</f>
        <v/>
      </c>
      <c r="AC112" s="27">
        <f>(IF(G112=0,0,(Upgrades!$J$8+G112*Upgrades!$K$8)*POWER(Upgrades!$L$8,G112)))*(IF(Upgrades!$T$6="Stellar Coupling",POWER(Upgrades!$U$6,E112),1)*IF(Upgrades!$T$7="Stellar Coupling",POWER(Upgrades!$U$7,F112),1)*IF(Upgrades!$T$9="Stellar Coupling",POWER(Upgrades!$U$9,H112),1)*IF(Upgrades!$T$10="Stellar Coupling",POWER(Upgrades!$U$10,I112),1)*IF(Upgrades!$T$11="Stellar Coupling",POWER(Upgrades!$U$11,J112),1)*IF(Upgrades!$T$12="Stellar Coupling",POWER(Upgrades!$U$12,K112),1))*POWER(Upgrades!$Q$6,E112)*POWER(Upgrades!$Q$7,F112)*POWER(Upgrades!$Q$8,G112)*POWER(Upgrades!$Q$9,H112)*POWER(Upgrades!$Q$10,I112)*POWER(Upgrades!$Q$11,J112)*POWER(Upgrades!$Q$12,K112)*Parameters!$B$10*Parameters!$B$11</f>
        <v/>
      </c>
      <c r="AD112" s="27">
        <f>(IF(H112=0,0,(Upgrades!$G$9+H112*Upgrades!$H$9)*POWER(Upgrades!$I$9,H112)))*(IF(Upgrades!$T$6="Magnetosphere",POWER(Upgrades!$U$6,E112),1)*IF(Upgrades!$T$7="Magnetosphere",POWER(Upgrades!$U$7,F112),1)*IF(Upgrades!$T$8="Magnetosphere",POWER(Upgrades!$U$8,G112),1)*IF(Upgrades!$T$10="Magnetosphere",POWER(Upgrades!$U$10,I112),1)*IF(Upgrades!$T$11="Magnetosphere",POWER(Upgrades!$U$11,J112),1)*IF(Upgrades!$T$12="Magnetosphere",POWER(Upgrades!$U$12,K112),1))*POWER(Upgrades!$P$6,E112)*POWER(Upgrades!$P$7,F112)*POWER(Upgrades!$P$8,G112)*POWER(Upgrades!$P$9,H112)*POWER(Upgrades!$P$10,I112)*POWER(Upgrades!$P$11,J112)*POWER(Upgrades!$P$12,K112)*60</f>
        <v/>
      </c>
      <c r="AE112" s="27">
        <f>(IF(K112=0,0,(Upgrades!$G$12+K112*Upgrades!$H$12)*POWER(Upgrades!$I$12,K112)))*(IF(Upgrades!$T$6="First Photons",POWER(Upgrades!$U$6,E112),1)*IF(Upgrades!$T$7="First Photons",POWER(Upgrades!$U$7,F112),1)*IF(Upgrades!$T$8="First Photons",POWER(Upgrades!$U$8,G112),1)*IF(Upgrades!$T$9="First Photons",POWER(Upgrades!$U$9,H112),1)*IF(Upgrades!$T$10="First Photons",POWER(Upgrades!$U$10,I112),1)*IF(Upgrades!$T$11="First Photons",POWER(Upgrades!$U$11,J112),1))*POWER(Upgrades!$P$6,E112)*POWER(Upgrades!$P$7,F112)*POWER(Upgrades!$P$8,G112)*POWER(Upgrades!$P$9,H112)*POWER(Upgrades!$P$10,I112)*POWER(Upgrades!$P$11,J112)*POWER(Upgrades!$P$12,K112)*60</f>
        <v/>
      </c>
      <c r="AF112" s="27">
        <f>Parameters!$B$9*POWER(Upgrades!$Q$6,E112)*POWER(Upgrades!$Q$7,F112)*POWER(Upgrades!$Q$8,G112)*POWER(Upgrades!$Q$9,H112)*POWER(Upgrades!$Q$10,I112)*POWER(Upgrades!$Q$11,J112)*POWER(Upgrades!$Q$12,K112)*(Parameters!$B$10*Parameters!$B$11+O112*60)</f>
        <v/>
      </c>
      <c r="AG112" s="22">
        <f>IF(E112&gt;=Upgrades!$E$6,"",Upgrades!$C$6*POWER(Upgrades!$D$6,E112))</f>
        <v/>
      </c>
      <c r="AH112" s="22">
        <f>IF(F112&gt;=Upgrades!$E$7,"",Upgrades!$C$7*POWER(Upgrades!$D$7,F112))</f>
        <v/>
      </c>
      <c r="AI112" s="22">
        <f>IF(G112&gt;=Upgrades!$E$8,"",Upgrades!$C$8*POWER(Upgrades!$D$8,G112))</f>
        <v/>
      </c>
      <c r="AJ112" s="22">
        <f>IF(H112&gt;=Upgrades!$E$9,"",Upgrades!$C$9*POWER(Upgrades!$D$9,H112))</f>
        <v/>
      </c>
      <c r="AK112" s="22">
        <f>IF(I112&gt;=Upgrades!$E$10,"",Upgrades!$C$10*POWER(Upgrades!$D$10,I112))</f>
        <v/>
      </c>
      <c r="AL112" s="22">
        <f>IF(J112&gt;=Upgrades!$E$11,"",Upgrades!$C$11*POWER(Upgrades!$D$11,J112))</f>
        <v/>
      </c>
      <c r="AM112" s="22">
        <f>IF(K112&gt;=Upgrades!$E$12,"",Upgrades!$C$12*POWER(Upgrades!$D$12,K112))</f>
        <v/>
      </c>
      <c r="AN112" s="26">
        <f>IF(AND(D112&gt;=Parameters!$B$18,(H112&gt;=Upgrades!$E$9)*(K112&gt;=Upgrades!$E$12)=1,L112=0),1,"")</f>
        <v/>
      </c>
      <c r="AO112" s="26">
        <f>IF(AND(D112&gt;=Parameters!$B$18,L112=0),1,"")</f>
        <v/>
      </c>
      <c r="AP112" s="22">
        <f>MIN(IF(ISNUMBER(AK112),AK112,9E15),IF(ISNUMBER(AL112),AL112,9E15),IF(ISNUMBER(AM112),AM112,9E15))</f>
        <v/>
      </c>
      <c r="AQ112" s="22">
        <f>MIN(IF(ISNUMBER(AG112),AG112,9E15),IF(ISNUMBER(AH112),AH112,9E15),IF(ISNUMBER(AI112),AI112,9E15),IF(ISNUMBER(AJ112),AJ112,9E15))</f>
        <v/>
      </c>
      <c r="AR112" s="29">
        <f>IF(AW112&gt;Parameters!$B$21*(MAX(IF(AND(NOT(AND(AO112=1,AN112&lt;&gt;1)),ISNUMBER(AG112),AG112&lt;=T112),AS112,0),IF(AND(NOT(AND(AO112=1,AN112&lt;&gt;1)),ISNUMBER(AH112),AH112&lt;=T112),AT112,0),IF(AND(NOT(AND(AO112=1,AN112&lt;&gt;1)),ISNUMBER(AI112),AI112&lt;=T112),AU112,0),IF(AND(ISNUMBER(AJ112),AJ112&lt;=T112),AV112,0))),TRUE,FALSE)</f>
        <v/>
      </c>
      <c r="AS112" s="32">
        <f>IFERROR(Upgrades!$H$6*(POWER(Upgrades!$P$6,E112)*POWER(Upgrades!$P$7,F112)*POWER(Upgrades!$P$8,G112)*POWER(Upgrades!$P$9,H112)*POWER(Upgrades!$P$10,I112)*POWER(Upgrades!$P$11,J112)*POWER(Upgrades!$P$12,K112))*(IF(Upgrades!$T$7="Solar Wind",POWER(Upgrades!$U$7,F112),1)*IF(Upgrades!$T$8="Solar Wind",POWER(Upgrades!$U$8,G112),1)*IF(Upgrades!$T$9="Solar Wind",POWER(Upgrades!$U$9,H112),1)*IF(Upgrades!$T$10="Solar Wind",POWER(Upgrades!$U$10,I112),1)*IF(Upgrades!$T$11="Solar Wind",POWER(Upgrades!$U$11,J112),1)*IF(Upgrades!$T$12="Solar Wind",POWER(Upgrades!$U$12,K112),1))/AG112,0)</f>
        <v/>
      </c>
      <c r="AT112" s="32">
        <f>IFERROR(Upgrades!$H$7*(POWER(Upgrades!$P$6,E112)*POWER(Upgrades!$P$7,F112)*POWER(Upgrades!$P$8,G112)*POWER(Upgrades!$P$9,H112)*POWER(Upgrades!$P$10,I112)*POWER(Upgrades!$P$11,J112)*POWER(Upgrades!$P$12,K112))*(IF(Upgrades!$T$6="Asteroid Belt",POWER(Upgrades!$U$6,E112),1)*IF(Upgrades!$T$8="Asteroid Belt",POWER(Upgrades!$U$8,G112),1)*IF(Upgrades!$T$9="Asteroid Belt",POWER(Upgrades!$U$9,H112),1)*IF(Upgrades!$T$10="Asteroid Belt",POWER(Upgrades!$U$10,I112),1)*IF(Upgrades!$T$11="Asteroid Belt",POWER(Upgrades!$U$11,J112),1)*IF(Upgrades!$T$12="Asteroid Belt",POWER(Upgrades!$U$12,K112),1))/AH112,0)</f>
        <v/>
      </c>
      <c r="AU112" s="32">
        <f>IFERROR(Upgrades!$K$8*(POWER(Upgrades!$Q$6,E112)*POWER(Upgrades!$Q$7,F112)*POWER(Upgrades!$Q$8,G112)*POWER(Upgrades!$Q$9,H112)*POWER(Upgrades!$Q$10,I112)*POWER(Upgrades!$Q$11,J112)*POWER(Upgrades!$Q$12,K112))*(IF(Upgrades!$T$6="Stellar Coupling",POWER(Upgrades!$U$6,E112),1)*IF(Upgrades!$T$7="Stellar Coupling",POWER(Upgrades!$U$7,F112),1)*IF(Upgrades!$T$9="Stellar Coupling",POWER(Upgrades!$U$9,H112),1)*IF(Upgrades!$T$10="Stellar Coupling",POWER(Upgrades!$U$10,I112),1)*IF(Upgrades!$T$11="Stellar Coupling",POWER(Upgrades!$U$11,J112),1)*IF(Upgrades!$T$12="Stellar Coupling",POWER(Upgrades!$U$12,K112),1))*Parameters!$B$10*Parameters!$B$11/60/AI112,0)</f>
        <v/>
      </c>
      <c r="AV112" s="32">
        <f>IFERROR(Upgrades!$H$9*(POWER(Upgrades!$P$6,E112)*POWER(Upgrades!$P$7,F112)*POWER(Upgrades!$P$8,G112)*POWER(Upgrades!$P$9,H112)*POWER(Upgrades!$P$10,I112)*POWER(Upgrades!$P$11,J112)*POWER(Upgrades!$P$12,K112))*(IF(Upgrades!$T$6="Magnetosphere",POWER(Upgrades!$U$6,E112),1)*IF(Upgrades!$T$7="Magnetosphere",POWER(Upgrades!$U$7,F112),1)*IF(Upgrades!$T$8="Magnetosphere",POWER(Upgrades!$U$8,G112),1)*IF(Upgrades!$T$10="Magnetosphere",POWER(Upgrades!$U$10,I112),1)*IF(Upgrades!$T$11="Magnetosphere",POWER(Upgrades!$U$11,J112),1)*IF(Upgrades!$T$12="Magnetosphere",POWER(Upgrades!$U$12,K112),1))/AJ112,0)</f>
        <v/>
      </c>
      <c r="AW112" s="32">
        <f>MAX(IF(I112&gt;0,0,IFERROR(0.25*N112/Upgrades!$C$10,0)),IF(J112&gt;0,0,IFERROR(0.5*((IF(G112=0,0,(Upgrades!$J$8+G112*Upgrades!$K$8)*POWER(Upgrades!$L$8,G112)))*(IF(Upgrades!$T$6="Stellar Coupling",POWER(Upgrades!$U$6,E112),1)*IF(Upgrades!$T$7="Stellar Coupling",POWER(Upgrades!$U$7,F112),1)*IF(Upgrades!$T$9="Stellar Coupling",POWER(Upgrades!$U$9,H112),1)*IF(Upgrades!$T$10="Stellar Coupling",POWER(Upgrades!$U$10,I112),1)*IF(Upgrades!$T$11="Stellar Coupling",POWER(Upgrades!$U$11,J112),1)*IF(Upgrades!$T$12="Stellar Coupling",POWER(Upgrades!$U$12,K112),1))*(POWER(Upgrades!$Q$6,E112)*POWER(Upgrades!$Q$7,F112)*POWER(Upgrades!$Q$8,G112)*POWER(Upgrades!$Q$9,H112)*POWER(Upgrades!$Q$10,I112)*POWER(Upgrades!$Q$11,J112)*POWER(Upgrades!$Q$12,K112))*Parameters!$B$10*Parameters!$B$11/60)/Upgrades!$C$11,0)),IF(K112&gt;0,0,IFERROR((1.0*(POWER(Upgrades!$P$6,E112)*POWER(Upgrades!$P$7,F112)*POWER(Upgrades!$P$8,G112)*POWER(Upgrades!$P$9,H112)*POWER(Upgrades!$P$10,I112)*POWER(Upgrades!$P$11,J112)*POWER(Upgrades!$P$12,K112))+0.20*M112*Parameters!$B$10*Parameters!$B$11/60)/Upgrades!$C$12,0)),IF(AND(ISNUMBER(AG112),AG112&gt;T112),AS112,0),IF(AND(ISNUMBER(AH112),AH112&gt;T112),AT112,0),IF(AND(ISNUMBER(AI112),AI112&gt;T112),AU112,0),IF(AND(ISNUMBER(AJ112),AJ112&gt;T112),AV112,0))</f>
        <v/>
      </c>
      <c r="AX112" s="29">
        <f>IF(AN112=1,"transition",IF(MIN(IF(AND(I112=0,ISNUMBER(AK112),AK112&lt;=T112),AK112,9E15),IF(AND(J112=0,ISNUMBER(AL112),AL112&lt;=T112),AL112,9E15),IF(AND(K112=0,ISNUMBER(AM112),AM112&lt;=T112),AM112,9E15))&lt;9E15,IF(AND(AND(I112=0,ISNUMBER(AK112),AK112&lt;=T112),AK112=MIN(IF(AND(I112=0,ISNUMBER(AK112),AK112&lt;=T112),AK112,9E15),IF(AND(J112=0,ISNUMBER(AL112),AL112&lt;=T112),AL112,9E15),IF(AND(K112=0,ISNUMBER(AM112),AM112&lt;=T112),AM112,9E15))),"OR",IF(AND(AND(J112=0,ISNUMBER(AL112),AL112&lt;=T112),AL112=MIN(IF(AND(I112=0,ISNUMBER(AK112),AK112&lt;=T112),AK112,9E15),IF(AND(J112=0,ISNUMBER(AL112),AL112&lt;=T112),AL112,9E15),IF(AND(K112=0,ISNUMBER(AM112),AM112&lt;=T112),AM112,9E15))),"HP","FP")),IF(AR112=TRUE,"",IF(MAX(IF(AND(NOT(AND(AO112=1,AN112&lt;&gt;1)),ISNUMBER(AG112),AG112&lt;=T112),AS112,0),IF(AND(NOT(AND(AO112=1,AN112&lt;&gt;1)),ISNUMBER(AH112),AH112&lt;=T112),AT112,0),IF(AND(NOT(AND(AO112=1,AN112&lt;&gt;1)),ISNUMBER(AI112),AI112&lt;=T112),AU112,0),IF(AND(ISNUMBER(AJ112),AJ112&lt;=T112),AV112,0))&lt;=0,"",IF(AND(IF(AND(NOT(AND(AO112=1,AN112&lt;&gt;1)),ISNUMBER(AG112),AG112&lt;=T112),AS112,0)&gt;0,IF(AND(NOT(AND(AO112=1,AN112&lt;&gt;1)),ISNUMBER(AG112),AG112&lt;=T112),AS112,0)=MAX(IF(AND(NOT(AND(AO112=1,AN112&lt;&gt;1)),ISNUMBER(AG112),AG112&lt;=T112),AS112,0),IF(AND(NOT(AND(AO112=1,AN112&lt;&gt;1)),ISNUMBER(AH112),AH112&lt;=T112),AT112,0),IF(AND(NOT(AND(AO112=1,AN112&lt;&gt;1)),ISNUMBER(AI112),AI112&lt;=T112),AU112,0),IF(AND(ISNUMBER(AJ112),AJ112&lt;=T112),AV112,0))),"SW",IF(AND(IF(AND(NOT(AND(AO112=1,AN112&lt;&gt;1)),ISNUMBER(AH112),AH112&lt;=T112),AT112,0)&gt;0,IF(AND(NOT(AND(AO112=1,AN112&lt;&gt;1)),ISNUMBER(AH112),AH112&lt;=T112),AT112,0)=MAX(IF(AND(NOT(AND(AO112=1,AN112&lt;&gt;1)),ISNUMBER(AG112),AG112&lt;=T112),AS112,0),IF(AND(NOT(AND(AO112=1,AN112&lt;&gt;1)),ISNUMBER(AH112),AH112&lt;=T112),AT112,0),IF(AND(NOT(AND(AO112=1,AN112&lt;&gt;1)),ISNUMBER(AI112),AI112&lt;=T112),AU112,0),IF(AND(ISNUMBER(AJ112),AJ112&lt;=T112),AV112,0))),"AB",IF(AND(IF(AND(NOT(AND(AO112=1,AN112&lt;&gt;1)),ISNUMBER(AI112),AI112&lt;=T112),AU112,0)&gt;0,IF(AND(NOT(AND(AO112=1,AN112&lt;&gt;1)),ISNUMBER(AI112),AI112&lt;=T112),AU112,0)=MAX(IF(AND(NOT(AND(AO112=1,AN112&lt;&gt;1)),ISNUMBER(AG112),AG112&lt;=T112),AS112,0),IF(AND(NOT(AND(AO112=1,AN112&lt;&gt;1)),ISNUMBER(AH112),AH112&lt;=T112),AT112,0),IF(AND(NOT(AND(AO112=1,AN112&lt;&gt;1)),ISNUMBER(AI112),AI112&lt;=T112),AU112,0),IF(AND(ISNUMBER(AJ112),AJ112&lt;=T112),AV112,0))),"SC","Mag")))))))</f>
        <v/>
      </c>
    </row>
    <row r="113">
      <c r="A113" s="26" t="n">
        <v>108</v>
      </c>
      <c r="B113" s="27">
        <f>A113*10/60</f>
        <v/>
      </c>
      <c r="C113" s="22">
        <f>X112</f>
        <v/>
      </c>
      <c r="D113" s="27">
        <f>D112+W112</f>
        <v/>
      </c>
      <c r="E113" s="26">
        <f>E112+IF(U112="SW",1,0)</f>
        <v/>
      </c>
      <c r="F113" s="26">
        <f>F112+IF(U112="AB",1,0)</f>
        <v/>
      </c>
      <c r="G113" s="26">
        <f>G112+IF(U112="SC",1,0)</f>
        <v/>
      </c>
      <c r="H113" s="26">
        <f>H112+IF(U112="Mag",1,0)</f>
        <v/>
      </c>
      <c r="I113" s="26">
        <f>MAX(I112,IF(U112="OR",1,0))</f>
        <v/>
      </c>
      <c r="J113" s="26">
        <f>MAX(J112,IF(U112="HP",1,0))</f>
        <v/>
      </c>
      <c r="K113" s="26">
        <f>MAX(K112,IF(U112="FP",1,0))</f>
        <v/>
      </c>
      <c r="L113" s="26">
        <f>MAX(L112,IF(U112="transition",1,0))</f>
        <v/>
      </c>
      <c r="M113" s="28">
        <f>(Parameters!$B$9+(IF(E113=0,0,(Upgrades!$J$6+E113*Upgrades!$K$6)*POWER(Upgrades!$L$6,E113)))*(IF(Upgrades!$T$7="Solar Wind",POWER(Upgrades!$U$7,F113),1)*IF(Upgrades!$T$8="Solar Wind",POWER(Upgrades!$U$8,G113),1)*IF(Upgrades!$T$9="Solar Wind",POWER(Upgrades!$U$9,H113),1)*IF(Upgrades!$T$10="Solar Wind",POWER(Upgrades!$U$10,I113),1)*IF(Upgrades!$T$11="Solar Wind",POWER(Upgrades!$U$11,J113),1)*IF(Upgrades!$T$12="Solar Wind",POWER(Upgrades!$U$12,K113),1))+(IF(F113=0,0,(Upgrades!$J$7+F113*Upgrades!$K$7)*POWER(Upgrades!$L$7,F113)))*(IF(Upgrades!$T$6="Asteroid Belt",POWER(Upgrades!$U$6,E113),1)*IF(Upgrades!$T$8="Asteroid Belt",POWER(Upgrades!$U$8,G113),1)*IF(Upgrades!$T$9="Asteroid Belt",POWER(Upgrades!$U$9,H113),1)*IF(Upgrades!$T$10="Asteroid Belt",POWER(Upgrades!$U$10,I113),1)*IF(Upgrades!$T$11="Asteroid Belt",POWER(Upgrades!$U$11,J113),1)*IF(Upgrades!$T$12="Asteroid Belt",POWER(Upgrades!$U$12,K113),1))+(IF(G113=0,0,(Upgrades!$J$8+G113*Upgrades!$K$8)*POWER(Upgrades!$L$8,G113)))*(IF(Upgrades!$T$6="Stellar Coupling",POWER(Upgrades!$U$6,E113),1)*IF(Upgrades!$T$7="Stellar Coupling",POWER(Upgrades!$U$7,F113),1)*IF(Upgrades!$T$9="Stellar Coupling",POWER(Upgrades!$U$9,H113),1)*IF(Upgrades!$T$10="Stellar Coupling",POWER(Upgrades!$U$10,I113),1)*IF(Upgrades!$T$11="Stellar Coupling",POWER(Upgrades!$U$11,J113),1)*IF(Upgrades!$T$12="Stellar Coupling",POWER(Upgrades!$U$12,K113),1))+(IF(H113=0,0,(Upgrades!$J$9+H113*Upgrades!$K$9)*POWER(Upgrades!$L$9,H113)))*(IF(Upgrades!$T$6="Magnetosphere",POWER(Upgrades!$U$6,E113),1)*IF(Upgrades!$T$7="Magnetosphere",POWER(Upgrades!$U$7,F113),1)*IF(Upgrades!$T$8="Magnetosphere",POWER(Upgrades!$U$8,G113),1)*IF(Upgrades!$T$10="Magnetosphere",POWER(Upgrades!$U$10,I113),1)*IF(Upgrades!$T$11="Magnetosphere",POWER(Upgrades!$U$11,J113),1)*IF(Upgrades!$T$12="Magnetosphere",POWER(Upgrades!$U$12,K113),1))+(IF(I113=0,0,(Upgrades!$J$10+I113*Upgrades!$K$10)*POWER(Upgrades!$L$10,I113)))*(IF(Upgrades!$T$6="Orbital Resonance",POWER(Upgrades!$U$6,E113),1)*IF(Upgrades!$T$7="Orbital Resonance",POWER(Upgrades!$U$7,F113),1)*IF(Upgrades!$T$8="Orbital Resonance",POWER(Upgrades!$U$8,G113),1)*IF(Upgrades!$T$9="Orbital Resonance",POWER(Upgrades!$U$9,H113),1)*IF(Upgrades!$T$11="Orbital Resonance",POWER(Upgrades!$U$11,J113),1)*IF(Upgrades!$T$12="Orbital Resonance",POWER(Upgrades!$U$12,K113),1))+(IF(J113=0,0,(Upgrades!$J$11+J113*Upgrades!$K$11)*POWER(Upgrades!$L$11,J113)))*(IF(Upgrades!$T$6="Heliopause",POWER(Upgrades!$U$6,E113),1)*IF(Upgrades!$T$7="Heliopause",POWER(Upgrades!$U$7,F113),1)*IF(Upgrades!$T$8="Heliopause",POWER(Upgrades!$U$8,G113),1)*IF(Upgrades!$T$9="Heliopause",POWER(Upgrades!$U$9,H113),1)*IF(Upgrades!$T$10="Heliopause",POWER(Upgrades!$U$10,I113),1)*IF(Upgrades!$T$12="Heliopause",POWER(Upgrades!$U$12,K113),1))+(IF(K113=0,0,(Upgrades!$J$12+K113*Upgrades!$K$12)*POWER(Upgrades!$L$12,K113)))*(IF(Upgrades!$T$6="First Photons",POWER(Upgrades!$U$6,E113),1)*IF(Upgrades!$T$7="First Photons",POWER(Upgrades!$U$7,F113),1)*IF(Upgrades!$T$8="First Photons",POWER(Upgrades!$U$8,G113),1)*IF(Upgrades!$T$9="First Photons",POWER(Upgrades!$U$9,H113),1)*IF(Upgrades!$T$10="First Photons",POWER(Upgrades!$U$10,I113),1)*IF(Upgrades!$T$11="First Photons",POWER(Upgrades!$U$11,J113),1)))*POWER(Upgrades!$Q$6,E113)*POWER(Upgrades!$Q$7,F113)*POWER(Upgrades!$Q$8,G113)*POWER(Upgrades!$Q$9,H113)*POWER(Upgrades!$Q$10,I113)*POWER(Upgrades!$Q$11,J113)*POWER(Upgrades!$Q$12,K113)</f>
        <v/>
      </c>
      <c r="N113" s="28">
        <f>((IF(E113=0,0,(Upgrades!$G$6+E113*Upgrades!$H$6)*POWER(Upgrades!$I$6,E113)))*(IF(Upgrades!$T$7="Solar Wind",POWER(Upgrades!$U$7,F113),1)*IF(Upgrades!$T$8="Solar Wind",POWER(Upgrades!$U$8,G113),1)*IF(Upgrades!$T$9="Solar Wind",POWER(Upgrades!$U$9,H113),1)*IF(Upgrades!$T$10="Solar Wind",POWER(Upgrades!$U$10,I113),1)*IF(Upgrades!$T$11="Solar Wind",POWER(Upgrades!$U$11,J113),1)*IF(Upgrades!$T$12="Solar Wind",POWER(Upgrades!$U$12,K113),1))+(IF(F113=0,0,(Upgrades!$G$7+F113*Upgrades!$H$7)*POWER(Upgrades!$I$7,F113)))*(IF(Upgrades!$T$6="Asteroid Belt",POWER(Upgrades!$U$6,E113),1)*IF(Upgrades!$T$8="Asteroid Belt",POWER(Upgrades!$U$8,G113),1)*IF(Upgrades!$T$9="Asteroid Belt",POWER(Upgrades!$U$9,H113),1)*IF(Upgrades!$T$10="Asteroid Belt",POWER(Upgrades!$U$10,I113),1)*IF(Upgrades!$T$11="Asteroid Belt",POWER(Upgrades!$U$11,J113),1)*IF(Upgrades!$T$12="Asteroid Belt",POWER(Upgrades!$U$12,K113),1))+(IF(G113=0,0,(Upgrades!$G$8+G113*Upgrades!$H$8)*POWER(Upgrades!$I$8,G113)))*(IF(Upgrades!$T$6="Stellar Coupling",POWER(Upgrades!$U$6,E113),1)*IF(Upgrades!$T$7="Stellar Coupling",POWER(Upgrades!$U$7,F113),1)*IF(Upgrades!$T$9="Stellar Coupling",POWER(Upgrades!$U$9,H113),1)*IF(Upgrades!$T$10="Stellar Coupling",POWER(Upgrades!$U$10,I113),1)*IF(Upgrades!$T$11="Stellar Coupling",POWER(Upgrades!$U$11,J113),1)*IF(Upgrades!$T$12="Stellar Coupling",POWER(Upgrades!$U$12,K113),1))+(IF(H113=0,0,(Upgrades!$G$9+H113*Upgrades!$H$9)*POWER(Upgrades!$I$9,H113)))*(IF(Upgrades!$T$6="Magnetosphere",POWER(Upgrades!$U$6,E113),1)*IF(Upgrades!$T$7="Magnetosphere",POWER(Upgrades!$U$7,F113),1)*IF(Upgrades!$T$8="Magnetosphere",POWER(Upgrades!$U$8,G113),1)*IF(Upgrades!$T$10="Magnetosphere",POWER(Upgrades!$U$10,I113),1)*IF(Upgrades!$T$11="Magnetosphere",POWER(Upgrades!$U$11,J113),1)*IF(Upgrades!$T$12="Magnetosphere",POWER(Upgrades!$U$12,K113),1))+(IF(I113=0,0,(Upgrades!$G$10+I113*Upgrades!$H$10)*POWER(Upgrades!$I$10,I113)))*(IF(Upgrades!$T$6="Orbital Resonance",POWER(Upgrades!$U$6,E113),1)*IF(Upgrades!$T$7="Orbital Resonance",POWER(Upgrades!$U$7,F113),1)*IF(Upgrades!$T$8="Orbital Resonance",POWER(Upgrades!$U$8,G113),1)*IF(Upgrades!$T$9="Orbital Resonance",POWER(Upgrades!$U$9,H113),1)*IF(Upgrades!$T$11="Orbital Resonance",POWER(Upgrades!$U$11,J113),1)*IF(Upgrades!$T$12="Orbital Resonance",POWER(Upgrades!$U$12,K113),1))+(IF(J113=0,0,(Upgrades!$G$11+J113*Upgrades!$H$11)*POWER(Upgrades!$I$11,J113)))*(IF(Upgrades!$T$6="Heliopause",POWER(Upgrades!$U$6,E113),1)*IF(Upgrades!$T$7="Heliopause",POWER(Upgrades!$U$7,F113),1)*IF(Upgrades!$T$8="Heliopause",POWER(Upgrades!$U$8,G113),1)*IF(Upgrades!$T$9="Heliopause",POWER(Upgrades!$U$9,H113),1)*IF(Upgrades!$T$10="Heliopause",POWER(Upgrades!$U$10,I113),1)*IF(Upgrades!$T$12="Heliopause",POWER(Upgrades!$U$12,K113),1))+(IF(K113=0,0,(Upgrades!$G$12+K113*Upgrades!$H$12)*POWER(Upgrades!$I$12,K113)))*(IF(Upgrades!$T$6="First Photons",POWER(Upgrades!$U$6,E113),1)*IF(Upgrades!$T$7="First Photons",POWER(Upgrades!$U$7,F113),1)*IF(Upgrades!$T$8="First Photons",POWER(Upgrades!$U$8,G113),1)*IF(Upgrades!$T$9="First Photons",POWER(Upgrades!$U$9,H113),1)*IF(Upgrades!$T$10="First Photons",POWER(Upgrades!$U$10,I113),1)*IF(Upgrades!$T$11="First Photons",POWER(Upgrades!$U$11,J113),1)))*POWER(Upgrades!$P$6,E113)*POWER(Upgrades!$P$7,F113)*POWER(Upgrades!$P$8,G113)*POWER(Upgrades!$P$9,H113)*POWER(Upgrades!$P$10,I113)*POWER(Upgrades!$P$11,J113)*POWER(Upgrades!$P$12,K113)</f>
        <v/>
      </c>
      <c r="O113" s="28">
        <f>((IF(E113=0,0,(Upgrades!$M$6+E113*Upgrades!$N$6)*POWER(Upgrades!$O$6,E113)))*(IF(Upgrades!$T$7="Solar Wind",POWER(Upgrades!$U$7,F113),1)*IF(Upgrades!$T$8="Solar Wind",POWER(Upgrades!$U$8,G113),1)*IF(Upgrades!$T$9="Solar Wind",POWER(Upgrades!$U$9,H113),1)*IF(Upgrades!$T$10="Solar Wind",POWER(Upgrades!$U$10,I113),1)*IF(Upgrades!$T$11="Solar Wind",POWER(Upgrades!$U$11,J113),1)*IF(Upgrades!$T$12="Solar Wind",POWER(Upgrades!$U$12,K113),1))+(IF(F113=0,0,(Upgrades!$M$7+F113*Upgrades!$N$7)*POWER(Upgrades!$O$7,F113)))*(IF(Upgrades!$T$6="Asteroid Belt",POWER(Upgrades!$U$6,E113),1)*IF(Upgrades!$T$8="Asteroid Belt",POWER(Upgrades!$U$8,G113),1)*IF(Upgrades!$T$9="Asteroid Belt",POWER(Upgrades!$U$9,H113),1)*IF(Upgrades!$T$10="Asteroid Belt",POWER(Upgrades!$U$10,I113),1)*IF(Upgrades!$T$11="Asteroid Belt",POWER(Upgrades!$U$11,J113),1)*IF(Upgrades!$T$12="Asteroid Belt",POWER(Upgrades!$U$12,K113),1))+(IF(G113=0,0,(Upgrades!$M$8+G113*Upgrades!$N$8)*POWER(Upgrades!$O$8,G113)))*(IF(Upgrades!$T$6="Stellar Coupling",POWER(Upgrades!$U$6,E113),1)*IF(Upgrades!$T$7="Stellar Coupling",POWER(Upgrades!$U$7,F113),1)*IF(Upgrades!$T$9="Stellar Coupling",POWER(Upgrades!$U$9,H113),1)*IF(Upgrades!$T$10="Stellar Coupling",POWER(Upgrades!$U$10,I113),1)*IF(Upgrades!$T$11="Stellar Coupling",POWER(Upgrades!$U$11,J113),1)*IF(Upgrades!$T$12="Stellar Coupling",POWER(Upgrades!$U$12,K113),1))+(IF(H113=0,0,(Upgrades!$M$9+H113*Upgrades!$N$9)*POWER(Upgrades!$O$9,H113)))*(IF(Upgrades!$T$6="Magnetosphere",POWER(Upgrades!$U$6,E113),1)*IF(Upgrades!$T$7="Magnetosphere",POWER(Upgrades!$U$7,F113),1)*IF(Upgrades!$T$8="Magnetosphere",POWER(Upgrades!$U$8,G113),1)*IF(Upgrades!$T$10="Magnetosphere",POWER(Upgrades!$U$10,I113),1)*IF(Upgrades!$T$11="Magnetosphere",POWER(Upgrades!$U$11,J113),1)*IF(Upgrades!$T$12="Magnetosphere",POWER(Upgrades!$U$12,K113),1))+(IF(I113=0,0,(Upgrades!$M$10+I113*Upgrades!$N$10)*POWER(Upgrades!$O$10,I113)))*(IF(Upgrades!$T$6="Orbital Resonance",POWER(Upgrades!$U$6,E113),1)*IF(Upgrades!$T$7="Orbital Resonance",POWER(Upgrades!$U$7,F113),1)*IF(Upgrades!$T$8="Orbital Resonance",POWER(Upgrades!$U$8,G113),1)*IF(Upgrades!$T$9="Orbital Resonance",POWER(Upgrades!$U$9,H113),1)*IF(Upgrades!$T$11="Orbital Resonance",POWER(Upgrades!$U$11,J113),1)*IF(Upgrades!$T$12="Orbital Resonance",POWER(Upgrades!$U$12,K113),1))+(IF(J113=0,0,(Upgrades!$M$11+J113*Upgrades!$N$11)*POWER(Upgrades!$O$11,J113)))*(IF(Upgrades!$T$6="Heliopause",POWER(Upgrades!$U$6,E113),1)*IF(Upgrades!$T$7="Heliopause",POWER(Upgrades!$U$7,F113),1)*IF(Upgrades!$T$8="Heliopause",POWER(Upgrades!$U$8,G113),1)*IF(Upgrades!$T$9="Heliopause",POWER(Upgrades!$U$9,H113),1)*IF(Upgrades!$T$10="Heliopause",POWER(Upgrades!$U$10,I113),1)*IF(Upgrades!$T$12="Heliopause",POWER(Upgrades!$U$12,K113),1))+(IF(K113=0,0,(Upgrades!$M$12+K113*Upgrades!$N$12)*POWER(Upgrades!$O$12,K113)))*(IF(Upgrades!$T$6="First Photons",POWER(Upgrades!$U$6,E113),1)*IF(Upgrades!$T$7="First Photons",POWER(Upgrades!$U$7,F113),1)*IF(Upgrades!$T$8="First Photons",POWER(Upgrades!$U$8,G113),1)*IF(Upgrades!$T$9="First Photons",POWER(Upgrades!$U$9,H113),1)*IF(Upgrades!$T$10="First Photons",POWER(Upgrades!$U$10,I113),1)*IF(Upgrades!$T$11="First Photons",POWER(Upgrades!$U$11,J113),1)))*POWER(Upgrades!$R$6,E113)*POWER(Upgrades!$R$7,F113)*POWER(Upgrades!$R$8,G113)*POWER(Upgrades!$R$9,H113)*POWER(Upgrades!$R$10,I113)*POWER(Upgrades!$R$11,J113)*POWER(Upgrades!$R$12,K113)</f>
        <v/>
      </c>
      <c r="P113" s="27">
        <f>IF(L113=1,0,M113*Parameters!$B$10/60*Parameters!$B$11*10)</f>
        <v/>
      </c>
      <c r="Q113" s="27">
        <f>IF(L113=1,0,O113*M113*10)</f>
        <v/>
      </c>
      <c r="R113" s="27">
        <f>IF(L113=1,0,N113*10)</f>
        <v/>
      </c>
      <c r="S113" s="27">
        <f>P113+Q113+R113</f>
        <v/>
      </c>
      <c r="T113" s="22">
        <f>C113+S113</f>
        <v/>
      </c>
      <c r="U113" s="33">
        <f>AX113</f>
        <v/>
      </c>
      <c r="V113" s="22">
        <f>IF(U113="",0,IF(U113="transition",0,IF(U113="SW",AG113,IF(U113="AB",AH113,IF(U113="SC",AI113,IF(U113="Mag",AJ113,IF(U113="OR",AK113,IF(U113="HP",AL113,IF(U113="FP",AM113,0)))))))))</f>
        <v/>
      </c>
      <c r="W113" s="27">
        <f>IF(U113="OR",Upgrades!$F$10,IF(U113="HP",Upgrades!$F$11,IF(U113="transition",-Parameters!$B$18,0)))</f>
        <v/>
      </c>
      <c r="X113" s="22">
        <f>T113-V113</f>
        <v/>
      </c>
      <c r="Y113" s="30">
        <f>M113*Parameters!$B$10/60*Parameters!$B$11+O113*M113+N113</f>
        <v/>
      </c>
      <c r="Z113" s="34">
        <f>IF(U113="transition","→ Tier 2 (Stellar Neighborhood)",IF(U113="FP","First Photons — light begins, system quickens",IF(U113="HP","Heliopause acquired",IF(U113="OR","Orbital Resonance — passive multiplier active",IF(AND(AO113=1,L113=0,AN113&lt;&gt;1),"Cohesion ready (waiting on completionist upgrades)","")))))</f>
        <v/>
      </c>
      <c r="AA113" s="27">
        <f>(IF(E113=0,0,(Upgrades!$G$6+E113*Upgrades!$H$6)*POWER(Upgrades!$I$6,E113)))*(IF(Upgrades!$T$7="Solar Wind",POWER(Upgrades!$U$7,F113),1)*IF(Upgrades!$T$8="Solar Wind",POWER(Upgrades!$U$8,G113),1)*IF(Upgrades!$T$9="Solar Wind",POWER(Upgrades!$U$9,H113),1)*IF(Upgrades!$T$10="Solar Wind",POWER(Upgrades!$U$10,I113),1)*IF(Upgrades!$T$11="Solar Wind",POWER(Upgrades!$U$11,J113),1)*IF(Upgrades!$T$12="Solar Wind",POWER(Upgrades!$U$12,K113),1))*POWER(Upgrades!$P$6,E113)*POWER(Upgrades!$P$7,F113)*POWER(Upgrades!$P$8,G113)*POWER(Upgrades!$P$9,H113)*POWER(Upgrades!$P$10,I113)*POWER(Upgrades!$P$11,J113)*POWER(Upgrades!$P$12,K113)*60</f>
        <v/>
      </c>
      <c r="AB113" s="27">
        <f>(IF(F113=0,0,(Upgrades!$G$7+F113*Upgrades!$H$7)*POWER(Upgrades!$I$7,F113)))*(IF(Upgrades!$T$6="Asteroid Belt",POWER(Upgrades!$U$6,E113),1)*IF(Upgrades!$T$8="Asteroid Belt",POWER(Upgrades!$U$8,G113),1)*IF(Upgrades!$T$9="Asteroid Belt",POWER(Upgrades!$U$9,H113),1)*IF(Upgrades!$T$10="Asteroid Belt",POWER(Upgrades!$U$10,I113),1)*IF(Upgrades!$T$11="Asteroid Belt",POWER(Upgrades!$U$11,J113),1)*IF(Upgrades!$T$12="Asteroid Belt",POWER(Upgrades!$U$12,K113),1))*POWER(Upgrades!$P$6,E113)*POWER(Upgrades!$P$7,F113)*POWER(Upgrades!$P$8,G113)*POWER(Upgrades!$P$9,H113)*POWER(Upgrades!$P$10,I113)*POWER(Upgrades!$P$11,J113)*POWER(Upgrades!$P$12,K113)*60</f>
        <v/>
      </c>
      <c r="AC113" s="27">
        <f>(IF(G113=0,0,(Upgrades!$J$8+G113*Upgrades!$K$8)*POWER(Upgrades!$L$8,G113)))*(IF(Upgrades!$T$6="Stellar Coupling",POWER(Upgrades!$U$6,E113),1)*IF(Upgrades!$T$7="Stellar Coupling",POWER(Upgrades!$U$7,F113),1)*IF(Upgrades!$T$9="Stellar Coupling",POWER(Upgrades!$U$9,H113),1)*IF(Upgrades!$T$10="Stellar Coupling",POWER(Upgrades!$U$10,I113),1)*IF(Upgrades!$T$11="Stellar Coupling",POWER(Upgrades!$U$11,J113),1)*IF(Upgrades!$T$12="Stellar Coupling",POWER(Upgrades!$U$12,K113),1))*POWER(Upgrades!$Q$6,E113)*POWER(Upgrades!$Q$7,F113)*POWER(Upgrades!$Q$8,G113)*POWER(Upgrades!$Q$9,H113)*POWER(Upgrades!$Q$10,I113)*POWER(Upgrades!$Q$11,J113)*POWER(Upgrades!$Q$12,K113)*Parameters!$B$10*Parameters!$B$11</f>
        <v/>
      </c>
      <c r="AD113" s="27">
        <f>(IF(H113=0,0,(Upgrades!$G$9+H113*Upgrades!$H$9)*POWER(Upgrades!$I$9,H113)))*(IF(Upgrades!$T$6="Magnetosphere",POWER(Upgrades!$U$6,E113),1)*IF(Upgrades!$T$7="Magnetosphere",POWER(Upgrades!$U$7,F113),1)*IF(Upgrades!$T$8="Magnetosphere",POWER(Upgrades!$U$8,G113),1)*IF(Upgrades!$T$10="Magnetosphere",POWER(Upgrades!$U$10,I113),1)*IF(Upgrades!$T$11="Magnetosphere",POWER(Upgrades!$U$11,J113),1)*IF(Upgrades!$T$12="Magnetosphere",POWER(Upgrades!$U$12,K113),1))*POWER(Upgrades!$P$6,E113)*POWER(Upgrades!$P$7,F113)*POWER(Upgrades!$P$8,G113)*POWER(Upgrades!$P$9,H113)*POWER(Upgrades!$P$10,I113)*POWER(Upgrades!$P$11,J113)*POWER(Upgrades!$P$12,K113)*60</f>
        <v/>
      </c>
      <c r="AE113" s="27">
        <f>(IF(K113=0,0,(Upgrades!$G$12+K113*Upgrades!$H$12)*POWER(Upgrades!$I$12,K113)))*(IF(Upgrades!$T$6="First Photons",POWER(Upgrades!$U$6,E113),1)*IF(Upgrades!$T$7="First Photons",POWER(Upgrades!$U$7,F113),1)*IF(Upgrades!$T$8="First Photons",POWER(Upgrades!$U$8,G113),1)*IF(Upgrades!$T$9="First Photons",POWER(Upgrades!$U$9,H113),1)*IF(Upgrades!$T$10="First Photons",POWER(Upgrades!$U$10,I113),1)*IF(Upgrades!$T$11="First Photons",POWER(Upgrades!$U$11,J113),1))*POWER(Upgrades!$P$6,E113)*POWER(Upgrades!$P$7,F113)*POWER(Upgrades!$P$8,G113)*POWER(Upgrades!$P$9,H113)*POWER(Upgrades!$P$10,I113)*POWER(Upgrades!$P$11,J113)*POWER(Upgrades!$P$12,K113)*60</f>
        <v/>
      </c>
      <c r="AF113" s="27">
        <f>Parameters!$B$9*POWER(Upgrades!$Q$6,E113)*POWER(Upgrades!$Q$7,F113)*POWER(Upgrades!$Q$8,G113)*POWER(Upgrades!$Q$9,H113)*POWER(Upgrades!$Q$10,I113)*POWER(Upgrades!$Q$11,J113)*POWER(Upgrades!$Q$12,K113)*(Parameters!$B$10*Parameters!$B$11+O113*60)</f>
        <v/>
      </c>
      <c r="AG113" s="22">
        <f>IF(E113&gt;=Upgrades!$E$6,"",Upgrades!$C$6*POWER(Upgrades!$D$6,E113))</f>
        <v/>
      </c>
      <c r="AH113" s="22">
        <f>IF(F113&gt;=Upgrades!$E$7,"",Upgrades!$C$7*POWER(Upgrades!$D$7,F113))</f>
        <v/>
      </c>
      <c r="AI113" s="22">
        <f>IF(G113&gt;=Upgrades!$E$8,"",Upgrades!$C$8*POWER(Upgrades!$D$8,G113))</f>
        <v/>
      </c>
      <c r="AJ113" s="22">
        <f>IF(H113&gt;=Upgrades!$E$9,"",Upgrades!$C$9*POWER(Upgrades!$D$9,H113))</f>
        <v/>
      </c>
      <c r="AK113" s="22">
        <f>IF(I113&gt;=Upgrades!$E$10,"",Upgrades!$C$10*POWER(Upgrades!$D$10,I113))</f>
        <v/>
      </c>
      <c r="AL113" s="22">
        <f>IF(J113&gt;=Upgrades!$E$11,"",Upgrades!$C$11*POWER(Upgrades!$D$11,J113))</f>
        <v/>
      </c>
      <c r="AM113" s="22">
        <f>IF(K113&gt;=Upgrades!$E$12,"",Upgrades!$C$12*POWER(Upgrades!$D$12,K113))</f>
        <v/>
      </c>
      <c r="AN113" s="26">
        <f>IF(AND(D113&gt;=Parameters!$B$18,(H113&gt;=Upgrades!$E$9)*(K113&gt;=Upgrades!$E$12)=1,L113=0),1,"")</f>
        <v/>
      </c>
      <c r="AO113" s="26">
        <f>IF(AND(D113&gt;=Parameters!$B$18,L113=0),1,"")</f>
        <v/>
      </c>
      <c r="AP113" s="22">
        <f>MIN(IF(ISNUMBER(AK113),AK113,9E15),IF(ISNUMBER(AL113),AL113,9E15),IF(ISNUMBER(AM113),AM113,9E15))</f>
        <v/>
      </c>
      <c r="AQ113" s="22">
        <f>MIN(IF(ISNUMBER(AG113),AG113,9E15),IF(ISNUMBER(AH113),AH113,9E15),IF(ISNUMBER(AI113),AI113,9E15),IF(ISNUMBER(AJ113),AJ113,9E15))</f>
        <v/>
      </c>
      <c r="AR113" s="29">
        <f>IF(AW113&gt;Parameters!$B$21*(MAX(IF(AND(NOT(AND(AO113=1,AN113&lt;&gt;1)),ISNUMBER(AG113),AG113&lt;=T113),AS113,0),IF(AND(NOT(AND(AO113=1,AN113&lt;&gt;1)),ISNUMBER(AH113),AH113&lt;=T113),AT113,0),IF(AND(NOT(AND(AO113=1,AN113&lt;&gt;1)),ISNUMBER(AI113),AI113&lt;=T113),AU113,0),IF(AND(ISNUMBER(AJ113),AJ113&lt;=T113),AV113,0))),TRUE,FALSE)</f>
        <v/>
      </c>
      <c r="AS113" s="32">
        <f>IFERROR(Upgrades!$H$6*(POWER(Upgrades!$P$6,E113)*POWER(Upgrades!$P$7,F113)*POWER(Upgrades!$P$8,G113)*POWER(Upgrades!$P$9,H113)*POWER(Upgrades!$P$10,I113)*POWER(Upgrades!$P$11,J113)*POWER(Upgrades!$P$12,K113))*(IF(Upgrades!$T$7="Solar Wind",POWER(Upgrades!$U$7,F113),1)*IF(Upgrades!$T$8="Solar Wind",POWER(Upgrades!$U$8,G113),1)*IF(Upgrades!$T$9="Solar Wind",POWER(Upgrades!$U$9,H113),1)*IF(Upgrades!$T$10="Solar Wind",POWER(Upgrades!$U$10,I113),1)*IF(Upgrades!$T$11="Solar Wind",POWER(Upgrades!$U$11,J113),1)*IF(Upgrades!$T$12="Solar Wind",POWER(Upgrades!$U$12,K113),1))/AG113,0)</f>
        <v/>
      </c>
      <c r="AT113" s="32">
        <f>IFERROR(Upgrades!$H$7*(POWER(Upgrades!$P$6,E113)*POWER(Upgrades!$P$7,F113)*POWER(Upgrades!$P$8,G113)*POWER(Upgrades!$P$9,H113)*POWER(Upgrades!$P$10,I113)*POWER(Upgrades!$P$11,J113)*POWER(Upgrades!$P$12,K113))*(IF(Upgrades!$T$6="Asteroid Belt",POWER(Upgrades!$U$6,E113),1)*IF(Upgrades!$T$8="Asteroid Belt",POWER(Upgrades!$U$8,G113),1)*IF(Upgrades!$T$9="Asteroid Belt",POWER(Upgrades!$U$9,H113),1)*IF(Upgrades!$T$10="Asteroid Belt",POWER(Upgrades!$U$10,I113),1)*IF(Upgrades!$T$11="Asteroid Belt",POWER(Upgrades!$U$11,J113),1)*IF(Upgrades!$T$12="Asteroid Belt",POWER(Upgrades!$U$12,K113),1))/AH113,0)</f>
        <v/>
      </c>
      <c r="AU113" s="32">
        <f>IFERROR(Upgrades!$K$8*(POWER(Upgrades!$Q$6,E113)*POWER(Upgrades!$Q$7,F113)*POWER(Upgrades!$Q$8,G113)*POWER(Upgrades!$Q$9,H113)*POWER(Upgrades!$Q$10,I113)*POWER(Upgrades!$Q$11,J113)*POWER(Upgrades!$Q$12,K113))*(IF(Upgrades!$T$6="Stellar Coupling",POWER(Upgrades!$U$6,E113),1)*IF(Upgrades!$T$7="Stellar Coupling",POWER(Upgrades!$U$7,F113),1)*IF(Upgrades!$T$9="Stellar Coupling",POWER(Upgrades!$U$9,H113),1)*IF(Upgrades!$T$10="Stellar Coupling",POWER(Upgrades!$U$10,I113),1)*IF(Upgrades!$T$11="Stellar Coupling",POWER(Upgrades!$U$11,J113),1)*IF(Upgrades!$T$12="Stellar Coupling",POWER(Upgrades!$U$12,K113),1))*Parameters!$B$10*Parameters!$B$11/60/AI113,0)</f>
        <v/>
      </c>
      <c r="AV113" s="32">
        <f>IFERROR(Upgrades!$H$9*(POWER(Upgrades!$P$6,E113)*POWER(Upgrades!$P$7,F113)*POWER(Upgrades!$P$8,G113)*POWER(Upgrades!$P$9,H113)*POWER(Upgrades!$P$10,I113)*POWER(Upgrades!$P$11,J113)*POWER(Upgrades!$P$12,K113))*(IF(Upgrades!$T$6="Magnetosphere",POWER(Upgrades!$U$6,E113),1)*IF(Upgrades!$T$7="Magnetosphere",POWER(Upgrades!$U$7,F113),1)*IF(Upgrades!$T$8="Magnetosphere",POWER(Upgrades!$U$8,G113),1)*IF(Upgrades!$T$10="Magnetosphere",POWER(Upgrades!$U$10,I113),1)*IF(Upgrades!$T$11="Magnetosphere",POWER(Upgrades!$U$11,J113),1)*IF(Upgrades!$T$12="Magnetosphere",POWER(Upgrades!$U$12,K113),1))/AJ113,0)</f>
        <v/>
      </c>
      <c r="AW113" s="32">
        <f>MAX(IF(I113&gt;0,0,IFERROR(0.25*N113/Upgrades!$C$10,0)),IF(J113&gt;0,0,IFERROR(0.5*((IF(G113=0,0,(Upgrades!$J$8+G113*Upgrades!$K$8)*POWER(Upgrades!$L$8,G113)))*(IF(Upgrades!$T$6="Stellar Coupling",POWER(Upgrades!$U$6,E113),1)*IF(Upgrades!$T$7="Stellar Coupling",POWER(Upgrades!$U$7,F113),1)*IF(Upgrades!$T$9="Stellar Coupling",POWER(Upgrades!$U$9,H113),1)*IF(Upgrades!$T$10="Stellar Coupling",POWER(Upgrades!$U$10,I113),1)*IF(Upgrades!$T$11="Stellar Coupling",POWER(Upgrades!$U$11,J113),1)*IF(Upgrades!$T$12="Stellar Coupling",POWER(Upgrades!$U$12,K113),1))*(POWER(Upgrades!$Q$6,E113)*POWER(Upgrades!$Q$7,F113)*POWER(Upgrades!$Q$8,G113)*POWER(Upgrades!$Q$9,H113)*POWER(Upgrades!$Q$10,I113)*POWER(Upgrades!$Q$11,J113)*POWER(Upgrades!$Q$12,K113))*Parameters!$B$10*Parameters!$B$11/60)/Upgrades!$C$11,0)),IF(K113&gt;0,0,IFERROR((1.0*(POWER(Upgrades!$P$6,E113)*POWER(Upgrades!$P$7,F113)*POWER(Upgrades!$P$8,G113)*POWER(Upgrades!$P$9,H113)*POWER(Upgrades!$P$10,I113)*POWER(Upgrades!$P$11,J113)*POWER(Upgrades!$P$12,K113))+0.20*M113*Parameters!$B$10*Parameters!$B$11/60)/Upgrades!$C$12,0)),IF(AND(ISNUMBER(AG113),AG113&gt;T113),AS113,0),IF(AND(ISNUMBER(AH113),AH113&gt;T113),AT113,0),IF(AND(ISNUMBER(AI113),AI113&gt;T113),AU113,0),IF(AND(ISNUMBER(AJ113),AJ113&gt;T113),AV113,0))</f>
        <v/>
      </c>
      <c r="AX113" s="29">
        <f>IF(AN113=1,"transition",IF(MIN(IF(AND(I113=0,ISNUMBER(AK113),AK113&lt;=T113),AK113,9E15),IF(AND(J113=0,ISNUMBER(AL113),AL113&lt;=T113),AL113,9E15),IF(AND(K113=0,ISNUMBER(AM113),AM113&lt;=T113),AM113,9E15))&lt;9E15,IF(AND(AND(I113=0,ISNUMBER(AK113),AK113&lt;=T113),AK113=MIN(IF(AND(I113=0,ISNUMBER(AK113),AK113&lt;=T113),AK113,9E15),IF(AND(J113=0,ISNUMBER(AL113),AL113&lt;=T113),AL113,9E15),IF(AND(K113=0,ISNUMBER(AM113),AM113&lt;=T113),AM113,9E15))),"OR",IF(AND(AND(J113=0,ISNUMBER(AL113),AL113&lt;=T113),AL113=MIN(IF(AND(I113=0,ISNUMBER(AK113),AK113&lt;=T113),AK113,9E15),IF(AND(J113=0,ISNUMBER(AL113),AL113&lt;=T113),AL113,9E15),IF(AND(K113=0,ISNUMBER(AM113),AM113&lt;=T113),AM113,9E15))),"HP","FP")),IF(AR113=TRUE,"",IF(MAX(IF(AND(NOT(AND(AO113=1,AN113&lt;&gt;1)),ISNUMBER(AG113),AG113&lt;=T113),AS113,0),IF(AND(NOT(AND(AO113=1,AN113&lt;&gt;1)),ISNUMBER(AH113),AH113&lt;=T113),AT113,0),IF(AND(NOT(AND(AO113=1,AN113&lt;&gt;1)),ISNUMBER(AI113),AI113&lt;=T113),AU113,0),IF(AND(ISNUMBER(AJ113),AJ113&lt;=T113),AV113,0))&lt;=0,"",IF(AND(IF(AND(NOT(AND(AO113=1,AN113&lt;&gt;1)),ISNUMBER(AG113),AG113&lt;=T113),AS113,0)&gt;0,IF(AND(NOT(AND(AO113=1,AN113&lt;&gt;1)),ISNUMBER(AG113),AG113&lt;=T113),AS113,0)=MAX(IF(AND(NOT(AND(AO113=1,AN113&lt;&gt;1)),ISNUMBER(AG113),AG113&lt;=T113),AS113,0),IF(AND(NOT(AND(AO113=1,AN113&lt;&gt;1)),ISNUMBER(AH113),AH113&lt;=T113),AT113,0),IF(AND(NOT(AND(AO113=1,AN113&lt;&gt;1)),ISNUMBER(AI113),AI113&lt;=T113),AU113,0),IF(AND(ISNUMBER(AJ113),AJ113&lt;=T113),AV113,0))),"SW",IF(AND(IF(AND(NOT(AND(AO113=1,AN113&lt;&gt;1)),ISNUMBER(AH113),AH113&lt;=T113),AT113,0)&gt;0,IF(AND(NOT(AND(AO113=1,AN113&lt;&gt;1)),ISNUMBER(AH113),AH113&lt;=T113),AT113,0)=MAX(IF(AND(NOT(AND(AO113=1,AN113&lt;&gt;1)),ISNUMBER(AG113),AG113&lt;=T113),AS113,0),IF(AND(NOT(AND(AO113=1,AN113&lt;&gt;1)),ISNUMBER(AH113),AH113&lt;=T113),AT113,0),IF(AND(NOT(AND(AO113=1,AN113&lt;&gt;1)),ISNUMBER(AI113),AI113&lt;=T113),AU113,0),IF(AND(ISNUMBER(AJ113),AJ113&lt;=T113),AV113,0))),"AB",IF(AND(IF(AND(NOT(AND(AO113=1,AN113&lt;&gt;1)),ISNUMBER(AI113),AI113&lt;=T113),AU113,0)&gt;0,IF(AND(NOT(AND(AO113=1,AN113&lt;&gt;1)),ISNUMBER(AI113),AI113&lt;=T113),AU113,0)=MAX(IF(AND(NOT(AND(AO113=1,AN113&lt;&gt;1)),ISNUMBER(AG113),AG113&lt;=T113),AS113,0),IF(AND(NOT(AND(AO113=1,AN113&lt;&gt;1)),ISNUMBER(AH113),AH113&lt;=T113),AT113,0),IF(AND(NOT(AND(AO113=1,AN113&lt;&gt;1)),ISNUMBER(AI113),AI113&lt;=T113),AU113,0),IF(AND(ISNUMBER(AJ113),AJ113&lt;=T113),AV113,0))),"SC","Mag")))))))</f>
        <v/>
      </c>
    </row>
    <row r="114">
      <c r="A114" s="26" t="n">
        <v>109</v>
      </c>
      <c r="B114" s="27">
        <f>A114*10/60</f>
        <v/>
      </c>
      <c r="C114" s="22">
        <f>X113</f>
        <v/>
      </c>
      <c r="D114" s="27">
        <f>D113+W113</f>
        <v/>
      </c>
      <c r="E114" s="26">
        <f>E113+IF(U113="SW",1,0)</f>
        <v/>
      </c>
      <c r="F114" s="26">
        <f>F113+IF(U113="AB",1,0)</f>
        <v/>
      </c>
      <c r="G114" s="26">
        <f>G113+IF(U113="SC",1,0)</f>
        <v/>
      </c>
      <c r="H114" s="26">
        <f>H113+IF(U113="Mag",1,0)</f>
        <v/>
      </c>
      <c r="I114" s="26">
        <f>MAX(I113,IF(U113="OR",1,0))</f>
        <v/>
      </c>
      <c r="J114" s="26">
        <f>MAX(J113,IF(U113="HP",1,0))</f>
        <v/>
      </c>
      <c r="K114" s="26">
        <f>MAX(K113,IF(U113="FP",1,0))</f>
        <v/>
      </c>
      <c r="L114" s="26">
        <f>MAX(L113,IF(U113="transition",1,0))</f>
        <v/>
      </c>
      <c r="M114" s="28">
        <f>(Parameters!$B$9+(IF(E114=0,0,(Upgrades!$J$6+E114*Upgrades!$K$6)*POWER(Upgrades!$L$6,E114)))*(IF(Upgrades!$T$7="Solar Wind",POWER(Upgrades!$U$7,F114),1)*IF(Upgrades!$T$8="Solar Wind",POWER(Upgrades!$U$8,G114),1)*IF(Upgrades!$T$9="Solar Wind",POWER(Upgrades!$U$9,H114),1)*IF(Upgrades!$T$10="Solar Wind",POWER(Upgrades!$U$10,I114),1)*IF(Upgrades!$T$11="Solar Wind",POWER(Upgrades!$U$11,J114),1)*IF(Upgrades!$T$12="Solar Wind",POWER(Upgrades!$U$12,K114),1))+(IF(F114=0,0,(Upgrades!$J$7+F114*Upgrades!$K$7)*POWER(Upgrades!$L$7,F114)))*(IF(Upgrades!$T$6="Asteroid Belt",POWER(Upgrades!$U$6,E114),1)*IF(Upgrades!$T$8="Asteroid Belt",POWER(Upgrades!$U$8,G114),1)*IF(Upgrades!$T$9="Asteroid Belt",POWER(Upgrades!$U$9,H114),1)*IF(Upgrades!$T$10="Asteroid Belt",POWER(Upgrades!$U$10,I114),1)*IF(Upgrades!$T$11="Asteroid Belt",POWER(Upgrades!$U$11,J114),1)*IF(Upgrades!$T$12="Asteroid Belt",POWER(Upgrades!$U$12,K114),1))+(IF(G114=0,0,(Upgrades!$J$8+G114*Upgrades!$K$8)*POWER(Upgrades!$L$8,G114)))*(IF(Upgrades!$T$6="Stellar Coupling",POWER(Upgrades!$U$6,E114),1)*IF(Upgrades!$T$7="Stellar Coupling",POWER(Upgrades!$U$7,F114),1)*IF(Upgrades!$T$9="Stellar Coupling",POWER(Upgrades!$U$9,H114),1)*IF(Upgrades!$T$10="Stellar Coupling",POWER(Upgrades!$U$10,I114),1)*IF(Upgrades!$T$11="Stellar Coupling",POWER(Upgrades!$U$11,J114),1)*IF(Upgrades!$T$12="Stellar Coupling",POWER(Upgrades!$U$12,K114),1))+(IF(H114=0,0,(Upgrades!$J$9+H114*Upgrades!$K$9)*POWER(Upgrades!$L$9,H114)))*(IF(Upgrades!$T$6="Magnetosphere",POWER(Upgrades!$U$6,E114),1)*IF(Upgrades!$T$7="Magnetosphere",POWER(Upgrades!$U$7,F114),1)*IF(Upgrades!$T$8="Magnetosphere",POWER(Upgrades!$U$8,G114),1)*IF(Upgrades!$T$10="Magnetosphere",POWER(Upgrades!$U$10,I114),1)*IF(Upgrades!$T$11="Magnetosphere",POWER(Upgrades!$U$11,J114),1)*IF(Upgrades!$T$12="Magnetosphere",POWER(Upgrades!$U$12,K114),1))+(IF(I114=0,0,(Upgrades!$J$10+I114*Upgrades!$K$10)*POWER(Upgrades!$L$10,I114)))*(IF(Upgrades!$T$6="Orbital Resonance",POWER(Upgrades!$U$6,E114),1)*IF(Upgrades!$T$7="Orbital Resonance",POWER(Upgrades!$U$7,F114),1)*IF(Upgrades!$T$8="Orbital Resonance",POWER(Upgrades!$U$8,G114),1)*IF(Upgrades!$T$9="Orbital Resonance",POWER(Upgrades!$U$9,H114),1)*IF(Upgrades!$T$11="Orbital Resonance",POWER(Upgrades!$U$11,J114),1)*IF(Upgrades!$T$12="Orbital Resonance",POWER(Upgrades!$U$12,K114),1))+(IF(J114=0,0,(Upgrades!$J$11+J114*Upgrades!$K$11)*POWER(Upgrades!$L$11,J114)))*(IF(Upgrades!$T$6="Heliopause",POWER(Upgrades!$U$6,E114),1)*IF(Upgrades!$T$7="Heliopause",POWER(Upgrades!$U$7,F114),1)*IF(Upgrades!$T$8="Heliopause",POWER(Upgrades!$U$8,G114),1)*IF(Upgrades!$T$9="Heliopause",POWER(Upgrades!$U$9,H114),1)*IF(Upgrades!$T$10="Heliopause",POWER(Upgrades!$U$10,I114),1)*IF(Upgrades!$T$12="Heliopause",POWER(Upgrades!$U$12,K114),1))+(IF(K114=0,0,(Upgrades!$J$12+K114*Upgrades!$K$12)*POWER(Upgrades!$L$12,K114)))*(IF(Upgrades!$T$6="First Photons",POWER(Upgrades!$U$6,E114),1)*IF(Upgrades!$T$7="First Photons",POWER(Upgrades!$U$7,F114),1)*IF(Upgrades!$T$8="First Photons",POWER(Upgrades!$U$8,G114),1)*IF(Upgrades!$T$9="First Photons",POWER(Upgrades!$U$9,H114),1)*IF(Upgrades!$T$10="First Photons",POWER(Upgrades!$U$10,I114),1)*IF(Upgrades!$T$11="First Photons",POWER(Upgrades!$U$11,J114),1)))*POWER(Upgrades!$Q$6,E114)*POWER(Upgrades!$Q$7,F114)*POWER(Upgrades!$Q$8,G114)*POWER(Upgrades!$Q$9,H114)*POWER(Upgrades!$Q$10,I114)*POWER(Upgrades!$Q$11,J114)*POWER(Upgrades!$Q$12,K114)</f>
        <v/>
      </c>
      <c r="N114" s="28">
        <f>((IF(E114=0,0,(Upgrades!$G$6+E114*Upgrades!$H$6)*POWER(Upgrades!$I$6,E114)))*(IF(Upgrades!$T$7="Solar Wind",POWER(Upgrades!$U$7,F114),1)*IF(Upgrades!$T$8="Solar Wind",POWER(Upgrades!$U$8,G114),1)*IF(Upgrades!$T$9="Solar Wind",POWER(Upgrades!$U$9,H114),1)*IF(Upgrades!$T$10="Solar Wind",POWER(Upgrades!$U$10,I114),1)*IF(Upgrades!$T$11="Solar Wind",POWER(Upgrades!$U$11,J114),1)*IF(Upgrades!$T$12="Solar Wind",POWER(Upgrades!$U$12,K114),1))+(IF(F114=0,0,(Upgrades!$G$7+F114*Upgrades!$H$7)*POWER(Upgrades!$I$7,F114)))*(IF(Upgrades!$T$6="Asteroid Belt",POWER(Upgrades!$U$6,E114),1)*IF(Upgrades!$T$8="Asteroid Belt",POWER(Upgrades!$U$8,G114),1)*IF(Upgrades!$T$9="Asteroid Belt",POWER(Upgrades!$U$9,H114),1)*IF(Upgrades!$T$10="Asteroid Belt",POWER(Upgrades!$U$10,I114),1)*IF(Upgrades!$T$11="Asteroid Belt",POWER(Upgrades!$U$11,J114),1)*IF(Upgrades!$T$12="Asteroid Belt",POWER(Upgrades!$U$12,K114),1))+(IF(G114=0,0,(Upgrades!$G$8+G114*Upgrades!$H$8)*POWER(Upgrades!$I$8,G114)))*(IF(Upgrades!$T$6="Stellar Coupling",POWER(Upgrades!$U$6,E114),1)*IF(Upgrades!$T$7="Stellar Coupling",POWER(Upgrades!$U$7,F114),1)*IF(Upgrades!$T$9="Stellar Coupling",POWER(Upgrades!$U$9,H114),1)*IF(Upgrades!$T$10="Stellar Coupling",POWER(Upgrades!$U$10,I114),1)*IF(Upgrades!$T$11="Stellar Coupling",POWER(Upgrades!$U$11,J114),1)*IF(Upgrades!$T$12="Stellar Coupling",POWER(Upgrades!$U$12,K114),1))+(IF(H114=0,0,(Upgrades!$G$9+H114*Upgrades!$H$9)*POWER(Upgrades!$I$9,H114)))*(IF(Upgrades!$T$6="Magnetosphere",POWER(Upgrades!$U$6,E114),1)*IF(Upgrades!$T$7="Magnetosphere",POWER(Upgrades!$U$7,F114),1)*IF(Upgrades!$T$8="Magnetosphere",POWER(Upgrades!$U$8,G114),1)*IF(Upgrades!$T$10="Magnetosphere",POWER(Upgrades!$U$10,I114),1)*IF(Upgrades!$T$11="Magnetosphere",POWER(Upgrades!$U$11,J114),1)*IF(Upgrades!$T$12="Magnetosphere",POWER(Upgrades!$U$12,K114),1))+(IF(I114=0,0,(Upgrades!$G$10+I114*Upgrades!$H$10)*POWER(Upgrades!$I$10,I114)))*(IF(Upgrades!$T$6="Orbital Resonance",POWER(Upgrades!$U$6,E114),1)*IF(Upgrades!$T$7="Orbital Resonance",POWER(Upgrades!$U$7,F114),1)*IF(Upgrades!$T$8="Orbital Resonance",POWER(Upgrades!$U$8,G114),1)*IF(Upgrades!$T$9="Orbital Resonance",POWER(Upgrades!$U$9,H114),1)*IF(Upgrades!$T$11="Orbital Resonance",POWER(Upgrades!$U$11,J114),1)*IF(Upgrades!$T$12="Orbital Resonance",POWER(Upgrades!$U$12,K114),1))+(IF(J114=0,0,(Upgrades!$G$11+J114*Upgrades!$H$11)*POWER(Upgrades!$I$11,J114)))*(IF(Upgrades!$T$6="Heliopause",POWER(Upgrades!$U$6,E114),1)*IF(Upgrades!$T$7="Heliopause",POWER(Upgrades!$U$7,F114),1)*IF(Upgrades!$T$8="Heliopause",POWER(Upgrades!$U$8,G114),1)*IF(Upgrades!$T$9="Heliopause",POWER(Upgrades!$U$9,H114),1)*IF(Upgrades!$T$10="Heliopause",POWER(Upgrades!$U$10,I114),1)*IF(Upgrades!$T$12="Heliopause",POWER(Upgrades!$U$12,K114),1))+(IF(K114=0,0,(Upgrades!$G$12+K114*Upgrades!$H$12)*POWER(Upgrades!$I$12,K114)))*(IF(Upgrades!$T$6="First Photons",POWER(Upgrades!$U$6,E114),1)*IF(Upgrades!$T$7="First Photons",POWER(Upgrades!$U$7,F114),1)*IF(Upgrades!$T$8="First Photons",POWER(Upgrades!$U$8,G114),1)*IF(Upgrades!$T$9="First Photons",POWER(Upgrades!$U$9,H114),1)*IF(Upgrades!$T$10="First Photons",POWER(Upgrades!$U$10,I114),1)*IF(Upgrades!$T$11="First Photons",POWER(Upgrades!$U$11,J114),1)))*POWER(Upgrades!$P$6,E114)*POWER(Upgrades!$P$7,F114)*POWER(Upgrades!$P$8,G114)*POWER(Upgrades!$P$9,H114)*POWER(Upgrades!$P$10,I114)*POWER(Upgrades!$P$11,J114)*POWER(Upgrades!$P$12,K114)</f>
        <v/>
      </c>
      <c r="O114" s="28">
        <f>((IF(E114=0,0,(Upgrades!$M$6+E114*Upgrades!$N$6)*POWER(Upgrades!$O$6,E114)))*(IF(Upgrades!$T$7="Solar Wind",POWER(Upgrades!$U$7,F114),1)*IF(Upgrades!$T$8="Solar Wind",POWER(Upgrades!$U$8,G114),1)*IF(Upgrades!$T$9="Solar Wind",POWER(Upgrades!$U$9,H114),1)*IF(Upgrades!$T$10="Solar Wind",POWER(Upgrades!$U$10,I114),1)*IF(Upgrades!$T$11="Solar Wind",POWER(Upgrades!$U$11,J114),1)*IF(Upgrades!$T$12="Solar Wind",POWER(Upgrades!$U$12,K114),1))+(IF(F114=0,0,(Upgrades!$M$7+F114*Upgrades!$N$7)*POWER(Upgrades!$O$7,F114)))*(IF(Upgrades!$T$6="Asteroid Belt",POWER(Upgrades!$U$6,E114),1)*IF(Upgrades!$T$8="Asteroid Belt",POWER(Upgrades!$U$8,G114),1)*IF(Upgrades!$T$9="Asteroid Belt",POWER(Upgrades!$U$9,H114),1)*IF(Upgrades!$T$10="Asteroid Belt",POWER(Upgrades!$U$10,I114),1)*IF(Upgrades!$T$11="Asteroid Belt",POWER(Upgrades!$U$11,J114),1)*IF(Upgrades!$T$12="Asteroid Belt",POWER(Upgrades!$U$12,K114),1))+(IF(G114=0,0,(Upgrades!$M$8+G114*Upgrades!$N$8)*POWER(Upgrades!$O$8,G114)))*(IF(Upgrades!$T$6="Stellar Coupling",POWER(Upgrades!$U$6,E114),1)*IF(Upgrades!$T$7="Stellar Coupling",POWER(Upgrades!$U$7,F114),1)*IF(Upgrades!$T$9="Stellar Coupling",POWER(Upgrades!$U$9,H114),1)*IF(Upgrades!$T$10="Stellar Coupling",POWER(Upgrades!$U$10,I114),1)*IF(Upgrades!$T$11="Stellar Coupling",POWER(Upgrades!$U$11,J114),1)*IF(Upgrades!$T$12="Stellar Coupling",POWER(Upgrades!$U$12,K114),1))+(IF(H114=0,0,(Upgrades!$M$9+H114*Upgrades!$N$9)*POWER(Upgrades!$O$9,H114)))*(IF(Upgrades!$T$6="Magnetosphere",POWER(Upgrades!$U$6,E114),1)*IF(Upgrades!$T$7="Magnetosphere",POWER(Upgrades!$U$7,F114),1)*IF(Upgrades!$T$8="Magnetosphere",POWER(Upgrades!$U$8,G114),1)*IF(Upgrades!$T$10="Magnetosphere",POWER(Upgrades!$U$10,I114),1)*IF(Upgrades!$T$11="Magnetosphere",POWER(Upgrades!$U$11,J114),1)*IF(Upgrades!$T$12="Magnetosphere",POWER(Upgrades!$U$12,K114),1))+(IF(I114=0,0,(Upgrades!$M$10+I114*Upgrades!$N$10)*POWER(Upgrades!$O$10,I114)))*(IF(Upgrades!$T$6="Orbital Resonance",POWER(Upgrades!$U$6,E114),1)*IF(Upgrades!$T$7="Orbital Resonance",POWER(Upgrades!$U$7,F114),1)*IF(Upgrades!$T$8="Orbital Resonance",POWER(Upgrades!$U$8,G114),1)*IF(Upgrades!$T$9="Orbital Resonance",POWER(Upgrades!$U$9,H114),1)*IF(Upgrades!$T$11="Orbital Resonance",POWER(Upgrades!$U$11,J114),1)*IF(Upgrades!$T$12="Orbital Resonance",POWER(Upgrades!$U$12,K114),1))+(IF(J114=0,0,(Upgrades!$M$11+J114*Upgrades!$N$11)*POWER(Upgrades!$O$11,J114)))*(IF(Upgrades!$T$6="Heliopause",POWER(Upgrades!$U$6,E114),1)*IF(Upgrades!$T$7="Heliopause",POWER(Upgrades!$U$7,F114),1)*IF(Upgrades!$T$8="Heliopause",POWER(Upgrades!$U$8,G114),1)*IF(Upgrades!$T$9="Heliopause",POWER(Upgrades!$U$9,H114),1)*IF(Upgrades!$T$10="Heliopause",POWER(Upgrades!$U$10,I114),1)*IF(Upgrades!$T$12="Heliopause",POWER(Upgrades!$U$12,K114),1))+(IF(K114=0,0,(Upgrades!$M$12+K114*Upgrades!$N$12)*POWER(Upgrades!$O$12,K114)))*(IF(Upgrades!$T$6="First Photons",POWER(Upgrades!$U$6,E114),1)*IF(Upgrades!$T$7="First Photons",POWER(Upgrades!$U$7,F114),1)*IF(Upgrades!$T$8="First Photons",POWER(Upgrades!$U$8,G114),1)*IF(Upgrades!$T$9="First Photons",POWER(Upgrades!$U$9,H114),1)*IF(Upgrades!$T$10="First Photons",POWER(Upgrades!$U$10,I114),1)*IF(Upgrades!$T$11="First Photons",POWER(Upgrades!$U$11,J114),1)))*POWER(Upgrades!$R$6,E114)*POWER(Upgrades!$R$7,F114)*POWER(Upgrades!$R$8,G114)*POWER(Upgrades!$R$9,H114)*POWER(Upgrades!$R$10,I114)*POWER(Upgrades!$R$11,J114)*POWER(Upgrades!$R$12,K114)</f>
        <v/>
      </c>
      <c r="P114" s="27">
        <f>IF(L114=1,0,M114*Parameters!$B$10/60*Parameters!$B$11*10)</f>
        <v/>
      </c>
      <c r="Q114" s="27">
        <f>IF(L114=1,0,O114*M114*10)</f>
        <v/>
      </c>
      <c r="R114" s="27">
        <f>IF(L114=1,0,N114*10)</f>
        <v/>
      </c>
      <c r="S114" s="27">
        <f>P114+Q114+R114</f>
        <v/>
      </c>
      <c r="T114" s="22">
        <f>C114+S114</f>
        <v/>
      </c>
      <c r="U114" s="33">
        <f>AX114</f>
        <v/>
      </c>
      <c r="V114" s="22">
        <f>IF(U114="",0,IF(U114="transition",0,IF(U114="SW",AG114,IF(U114="AB",AH114,IF(U114="SC",AI114,IF(U114="Mag",AJ114,IF(U114="OR",AK114,IF(U114="HP",AL114,IF(U114="FP",AM114,0)))))))))</f>
        <v/>
      </c>
      <c r="W114" s="27">
        <f>IF(U114="OR",Upgrades!$F$10,IF(U114="HP",Upgrades!$F$11,IF(U114="transition",-Parameters!$B$18,0)))</f>
        <v/>
      </c>
      <c r="X114" s="22">
        <f>T114-V114</f>
        <v/>
      </c>
      <c r="Y114" s="30">
        <f>M114*Parameters!$B$10/60*Parameters!$B$11+O114*M114+N114</f>
        <v/>
      </c>
      <c r="Z114" s="34">
        <f>IF(U114="transition","→ Tier 2 (Stellar Neighborhood)",IF(U114="FP","First Photons — light begins, system quickens",IF(U114="HP","Heliopause acquired",IF(U114="OR","Orbital Resonance — passive multiplier active",IF(AND(AO114=1,L114=0,AN114&lt;&gt;1),"Cohesion ready (waiting on completionist upgrades)","")))))</f>
        <v/>
      </c>
      <c r="AA114" s="27">
        <f>(IF(E114=0,0,(Upgrades!$G$6+E114*Upgrades!$H$6)*POWER(Upgrades!$I$6,E114)))*(IF(Upgrades!$T$7="Solar Wind",POWER(Upgrades!$U$7,F114),1)*IF(Upgrades!$T$8="Solar Wind",POWER(Upgrades!$U$8,G114),1)*IF(Upgrades!$T$9="Solar Wind",POWER(Upgrades!$U$9,H114),1)*IF(Upgrades!$T$10="Solar Wind",POWER(Upgrades!$U$10,I114),1)*IF(Upgrades!$T$11="Solar Wind",POWER(Upgrades!$U$11,J114),1)*IF(Upgrades!$T$12="Solar Wind",POWER(Upgrades!$U$12,K114),1))*POWER(Upgrades!$P$6,E114)*POWER(Upgrades!$P$7,F114)*POWER(Upgrades!$P$8,G114)*POWER(Upgrades!$P$9,H114)*POWER(Upgrades!$P$10,I114)*POWER(Upgrades!$P$11,J114)*POWER(Upgrades!$P$12,K114)*60</f>
        <v/>
      </c>
      <c r="AB114" s="27">
        <f>(IF(F114=0,0,(Upgrades!$G$7+F114*Upgrades!$H$7)*POWER(Upgrades!$I$7,F114)))*(IF(Upgrades!$T$6="Asteroid Belt",POWER(Upgrades!$U$6,E114),1)*IF(Upgrades!$T$8="Asteroid Belt",POWER(Upgrades!$U$8,G114),1)*IF(Upgrades!$T$9="Asteroid Belt",POWER(Upgrades!$U$9,H114),1)*IF(Upgrades!$T$10="Asteroid Belt",POWER(Upgrades!$U$10,I114),1)*IF(Upgrades!$T$11="Asteroid Belt",POWER(Upgrades!$U$11,J114),1)*IF(Upgrades!$T$12="Asteroid Belt",POWER(Upgrades!$U$12,K114),1))*POWER(Upgrades!$P$6,E114)*POWER(Upgrades!$P$7,F114)*POWER(Upgrades!$P$8,G114)*POWER(Upgrades!$P$9,H114)*POWER(Upgrades!$P$10,I114)*POWER(Upgrades!$P$11,J114)*POWER(Upgrades!$P$12,K114)*60</f>
        <v/>
      </c>
      <c r="AC114" s="27">
        <f>(IF(G114=0,0,(Upgrades!$J$8+G114*Upgrades!$K$8)*POWER(Upgrades!$L$8,G114)))*(IF(Upgrades!$T$6="Stellar Coupling",POWER(Upgrades!$U$6,E114),1)*IF(Upgrades!$T$7="Stellar Coupling",POWER(Upgrades!$U$7,F114),1)*IF(Upgrades!$T$9="Stellar Coupling",POWER(Upgrades!$U$9,H114),1)*IF(Upgrades!$T$10="Stellar Coupling",POWER(Upgrades!$U$10,I114),1)*IF(Upgrades!$T$11="Stellar Coupling",POWER(Upgrades!$U$11,J114),1)*IF(Upgrades!$T$12="Stellar Coupling",POWER(Upgrades!$U$12,K114),1))*POWER(Upgrades!$Q$6,E114)*POWER(Upgrades!$Q$7,F114)*POWER(Upgrades!$Q$8,G114)*POWER(Upgrades!$Q$9,H114)*POWER(Upgrades!$Q$10,I114)*POWER(Upgrades!$Q$11,J114)*POWER(Upgrades!$Q$12,K114)*Parameters!$B$10*Parameters!$B$11</f>
        <v/>
      </c>
      <c r="AD114" s="27">
        <f>(IF(H114=0,0,(Upgrades!$G$9+H114*Upgrades!$H$9)*POWER(Upgrades!$I$9,H114)))*(IF(Upgrades!$T$6="Magnetosphere",POWER(Upgrades!$U$6,E114),1)*IF(Upgrades!$T$7="Magnetosphere",POWER(Upgrades!$U$7,F114),1)*IF(Upgrades!$T$8="Magnetosphere",POWER(Upgrades!$U$8,G114),1)*IF(Upgrades!$T$10="Magnetosphere",POWER(Upgrades!$U$10,I114),1)*IF(Upgrades!$T$11="Magnetosphere",POWER(Upgrades!$U$11,J114),1)*IF(Upgrades!$T$12="Magnetosphere",POWER(Upgrades!$U$12,K114),1))*POWER(Upgrades!$P$6,E114)*POWER(Upgrades!$P$7,F114)*POWER(Upgrades!$P$8,G114)*POWER(Upgrades!$P$9,H114)*POWER(Upgrades!$P$10,I114)*POWER(Upgrades!$P$11,J114)*POWER(Upgrades!$P$12,K114)*60</f>
        <v/>
      </c>
      <c r="AE114" s="27">
        <f>(IF(K114=0,0,(Upgrades!$G$12+K114*Upgrades!$H$12)*POWER(Upgrades!$I$12,K114)))*(IF(Upgrades!$T$6="First Photons",POWER(Upgrades!$U$6,E114),1)*IF(Upgrades!$T$7="First Photons",POWER(Upgrades!$U$7,F114),1)*IF(Upgrades!$T$8="First Photons",POWER(Upgrades!$U$8,G114),1)*IF(Upgrades!$T$9="First Photons",POWER(Upgrades!$U$9,H114),1)*IF(Upgrades!$T$10="First Photons",POWER(Upgrades!$U$10,I114),1)*IF(Upgrades!$T$11="First Photons",POWER(Upgrades!$U$11,J114),1))*POWER(Upgrades!$P$6,E114)*POWER(Upgrades!$P$7,F114)*POWER(Upgrades!$P$8,G114)*POWER(Upgrades!$P$9,H114)*POWER(Upgrades!$P$10,I114)*POWER(Upgrades!$P$11,J114)*POWER(Upgrades!$P$12,K114)*60</f>
        <v/>
      </c>
      <c r="AF114" s="27">
        <f>Parameters!$B$9*POWER(Upgrades!$Q$6,E114)*POWER(Upgrades!$Q$7,F114)*POWER(Upgrades!$Q$8,G114)*POWER(Upgrades!$Q$9,H114)*POWER(Upgrades!$Q$10,I114)*POWER(Upgrades!$Q$11,J114)*POWER(Upgrades!$Q$12,K114)*(Parameters!$B$10*Parameters!$B$11+O114*60)</f>
        <v/>
      </c>
      <c r="AG114" s="22">
        <f>IF(E114&gt;=Upgrades!$E$6,"",Upgrades!$C$6*POWER(Upgrades!$D$6,E114))</f>
        <v/>
      </c>
      <c r="AH114" s="22">
        <f>IF(F114&gt;=Upgrades!$E$7,"",Upgrades!$C$7*POWER(Upgrades!$D$7,F114))</f>
        <v/>
      </c>
      <c r="AI114" s="22">
        <f>IF(G114&gt;=Upgrades!$E$8,"",Upgrades!$C$8*POWER(Upgrades!$D$8,G114))</f>
        <v/>
      </c>
      <c r="AJ114" s="22">
        <f>IF(H114&gt;=Upgrades!$E$9,"",Upgrades!$C$9*POWER(Upgrades!$D$9,H114))</f>
        <v/>
      </c>
      <c r="AK114" s="22">
        <f>IF(I114&gt;=Upgrades!$E$10,"",Upgrades!$C$10*POWER(Upgrades!$D$10,I114))</f>
        <v/>
      </c>
      <c r="AL114" s="22">
        <f>IF(J114&gt;=Upgrades!$E$11,"",Upgrades!$C$11*POWER(Upgrades!$D$11,J114))</f>
        <v/>
      </c>
      <c r="AM114" s="22">
        <f>IF(K114&gt;=Upgrades!$E$12,"",Upgrades!$C$12*POWER(Upgrades!$D$12,K114))</f>
        <v/>
      </c>
      <c r="AN114" s="26">
        <f>IF(AND(D114&gt;=Parameters!$B$18,(H114&gt;=Upgrades!$E$9)*(K114&gt;=Upgrades!$E$12)=1,L114=0),1,"")</f>
        <v/>
      </c>
      <c r="AO114" s="26">
        <f>IF(AND(D114&gt;=Parameters!$B$18,L114=0),1,"")</f>
        <v/>
      </c>
      <c r="AP114" s="22">
        <f>MIN(IF(ISNUMBER(AK114),AK114,9E15),IF(ISNUMBER(AL114),AL114,9E15),IF(ISNUMBER(AM114),AM114,9E15))</f>
        <v/>
      </c>
      <c r="AQ114" s="22">
        <f>MIN(IF(ISNUMBER(AG114),AG114,9E15),IF(ISNUMBER(AH114),AH114,9E15),IF(ISNUMBER(AI114),AI114,9E15),IF(ISNUMBER(AJ114),AJ114,9E15))</f>
        <v/>
      </c>
      <c r="AR114" s="29">
        <f>IF(AW114&gt;Parameters!$B$21*(MAX(IF(AND(NOT(AND(AO114=1,AN114&lt;&gt;1)),ISNUMBER(AG114),AG114&lt;=T114),AS114,0),IF(AND(NOT(AND(AO114=1,AN114&lt;&gt;1)),ISNUMBER(AH114),AH114&lt;=T114),AT114,0),IF(AND(NOT(AND(AO114=1,AN114&lt;&gt;1)),ISNUMBER(AI114),AI114&lt;=T114),AU114,0),IF(AND(ISNUMBER(AJ114),AJ114&lt;=T114),AV114,0))),TRUE,FALSE)</f>
        <v/>
      </c>
      <c r="AS114" s="32">
        <f>IFERROR(Upgrades!$H$6*(POWER(Upgrades!$P$6,E114)*POWER(Upgrades!$P$7,F114)*POWER(Upgrades!$P$8,G114)*POWER(Upgrades!$P$9,H114)*POWER(Upgrades!$P$10,I114)*POWER(Upgrades!$P$11,J114)*POWER(Upgrades!$P$12,K114))*(IF(Upgrades!$T$7="Solar Wind",POWER(Upgrades!$U$7,F114),1)*IF(Upgrades!$T$8="Solar Wind",POWER(Upgrades!$U$8,G114),1)*IF(Upgrades!$T$9="Solar Wind",POWER(Upgrades!$U$9,H114),1)*IF(Upgrades!$T$10="Solar Wind",POWER(Upgrades!$U$10,I114),1)*IF(Upgrades!$T$11="Solar Wind",POWER(Upgrades!$U$11,J114),1)*IF(Upgrades!$T$12="Solar Wind",POWER(Upgrades!$U$12,K114),1))/AG114,0)</f>
        <v/>
      </c>
      <c r="AT114" s="32">
        <f>IFERROR(Upgrades!$H$7*(POWER(Upgrades!$P$6,E114)*POWER(Upgrades!$P$7,F114)*POWER(Upgrades!$P$8,G114)*POWER(Upgrades!$P$9,H114)*POWER(Upgrades!$P$10,I114)*POWER(Upgrades!$P$11,J114)*POWER(Upgrades!$P$12,K114))*(IF(Upgrades!$T$6="Asteroid Belt",POWER(Upgrades!$U$6,E114),1)*IF(Upgrades!$T$8="Asteroid Belt",POWER(Upgrades!$U$8,G114),1)*IF(Upgrades!$T$9="Asteroid Belt",POWER(Upgrades!$U$9,H114),1)*IF(Upgrades!$T$10="Asteroid Belt",POWER(Upgrades!$U$10,I114),1)*IF(Upgrades!$T$11="Asteroid Belt",POWER(Upgrades!$U$11,J114),1)*IF(Upgrades!$T$12="Asteroid Belt",POWER(Upgrades!$U$12,K114),1))/AH114,0)</f>
        <v/>
      </c>
      <c r="AU114" s="32">
        <f>IFERROR(Upgrades!$K$8*(POWER(Upgrades!$Q$6,E114)*POWER(Upgrades!$Q$7,F114)*POWER(Upgrades!$Q$8,G114)*POWER(Upgrades!$Q$9,H114)*POWER(Upgrades!$Q$10,I114)*POWER(Upgrades!$Q$11,J114)*POWER(Upgrades!$Q$12,K114))*(IF(Upgrades!$T$6="Stellar Coupling",POWER(Upgrades!$U$6,E114),1)*IF(Upgrades!$T$7="Stellar Coupling",POWER(Upgrades!$U$7,F114),1)*IF(Upgrades!$T$9="Stellar Coupling",POWER(Upgrades!$U$9,H114),1)*IF(Upgrades!$T$10="Stellar Coupling",POWER(Upgrades!$U$10,I114),1)*IF(Upgrades!$T$11="Stellar Coupling",POWER(Upgrades!$U$11,J114),1)*IF(Upgrades!$T$12="Stellar Coupling",POWER(Upgrades!$U$12,K114),1))*Parameters!$B$10*Parameters!$B$11/60/AI114,0)</f>
        <v/>
      </c>
      <c r="AV114" s="32">
        <f>IFERROR(Upgrades!$H$9*(POWER(Upgrades!$P$6,E114)*POWER(Upgrades!$P$7,F114)*POWER(Upgrades!$P$8,G114)*POWER(Upgrades!$P$9,H114)*POWER(Upgrades!$P$10,I114)*POWER(Upgrades!$P$11,J114)*POWER(Upgrades!$P$12,K114))*(IF(Upgrades!$T$6="Magnetosphere",POWER(Upgrades!$U$6,E114),1)*IF(Upgrades!$T$7="Magnetosphere",POWER(Upgrades!$U$7,F114),1)*IF(Upgrades!$T$8="Magnetosphere",POWER(Upgrades!$U$8,G114),1)*IF(Upgrades!$T$10="Magnetosphere",POWER(Upgrades!$U$10,I114),1)*IF(Upgrades!$T$11="Magnetosphere",POWER(Upgrades!$U$11,J114),1)*IF(Upgrades!$T$12="Magnetosphere",POWER(Upgrades!$U$12,K114),1))/AJ114,0)</f>
        <v/>
      </c>
      <c r="AW114" s="32">
        <f>MAX(IF(I114&gt;0,0,IFERROR(0.25*N114/Upgrades!$C$10,0)),IF(J114&gt;0,0,IFERROR(0.5*((IF(G114=0,0,(Upgrades!$J$8+G114*Upgrades!$K$8)*POWER(Upgrades!$L$8,G114)))*(IF(Upgrades!$T$6="Stellar Coupling",POWER(Upgrades!$U$6,E114),1)*IF(Upgrades!$T$7="Stellar Coupling",POWER(Upgrades!$U$7,F114),1)*IF(Upgrades!$T$9="Stellar Coupling",POWER(Upgrades!$U$9,H114),1)*IF(Upgrades!$T$10="Stellar Coupling",POWER(Upgrades!$U$10,I114),1)*IF(Upgrades!$T$11="Stellar Coupling",POWER(Upgrades!$U$11,J114),1)*IF(Upgrades!$T$12="Stellar Coupling",POWER(Upgrades!$U$12,K114),1))*(POWER(Upgrades!$Q$6,E114)*POWER(Upgrades!$Q$7,F114)*POWER(Upgrades!$Q$8,G114)*POWER(Upgrades!$Q$9,H114)*POWER(Upgrades!$Q$10,I114)*POWER(Upgrades!$Q$11,J114)*POWER(Upgrades!$Q$12,K114))*Parameters!$B$10*Parameters!$B$11/60)/Upgrades!$C$11,0)),IF(K114&gt;0,0,IFERROR((1.0*(POWER(Upgrades!$P$6,E114)*POWER(Upgrades!$P$7,F114)*POWER(Upgrades!$P$8,G114)*POWER(Upgrades!$P$9,H114)*POWER(Upgrades!$P$10,I114)*POWER(Upgrades!$P$11,J114)*POWER(Upgrades!$P$12,K114))+0.20*M114*Parameters!$B$10*Parameters!$B$11/60)/Upgrades!$C$12,0)),IF(AND(ISNUMBER(AG114),AG114&gt;T114),AS114,0),IF(AND(ISNUMBER(AH114),AH114&gt;T114),AT114,0),IF(AND(ISNUMBER(AI114),AI114&gt;T114),AU114,0),IF(AND(ISNUMBER(AJ114),AJ114&gt;T114),AV114,0))</f>
        <v/>
      </c>
      <c r="AX114" s="29">
        <f>IF(AN114=1,"transition",IF(MIN(IF(AND(I114=0,ISNUMBER(AK114),AK114&lt;=T114),AK114,9E15),IF(AND(J114=0,ISNUMBER(AL114),AL114&lt;=T114),AL114,9E15),IF(AND(K114=0,ISNUMBER(AM114),AM114&lt;=T114),AM114,9E15))&lt;9E15,IF(AND(AND(I114=0,ISNUMBER(AK114),AK114&lt;=T114),AK114=MIN(IF(AND(I114=0,ISNUMBER(AK114),AK114&lt;=T114),AK114,9E15),IF(AND(J114=0,ISNUMBER(AL114),AL114&lt;=T114),AL114,9E15),IF(AND(K114=0,ISNUMBER(AM114),AM114&lt;=T114),AM114,9E15))),"OR",IF(AND(AND(J114=0,ISNUMBER(AL114),AL114&lt;=T114),AL114=MIN(IF(AND(I114=0,ISNUMBER(AK114),AK114&lt;=T114),AK114,9E15),IF(AND(J114=0,ISNUMBER(AL114),AL114&lt;=T114),AL114,9E15),IF(AND(K114=0,ISNUMBER(AM114),AM114&lt;=T114),AM114,9E15))),"HP","FP")),IF(AR114=TRUE,"",IF(MAX(IF(AND(NOT(AND(AO114=1,AN114&lt;&gt;1)),ISNUMBER(AG114),AG114&lt;=T114),AS114,0),IF(AND(NOT(AND(AO114=1,AN114&lt;&gt;1)),ISNUMBER(AH114),AH114&lt;=T114),AT114,0),IF(AND(NOT(AND(AO114=1,AN114&lt;&gt;1)),ISNUMBER(AI114),AI114&lt;=T114),AU114,0),IF(AND(ISNUMBER(AJ114),AJ114&lt;=T114),AV114,0))&lt;=0,"",IF(AND(IF(AND(NOT(AND(AO114=1,AN114&lt;&gt;1)),ISNUMBER(AG114),AG114&lt;=T114),AS114,0)&gt;0,IF(AND(NOT(AND(AO114=1,AN114&lt;&gt;1)),ISNUMBER(AG114),AG114&lt;=T114),AS114,0)=MAX(IF(AND(NOT(AND(AO114=1,AN114&lt;&gt;1)),ISNUMBER(AG114),AG114&lt;=T114),AS114,0),IF(AND(NOT(AND(AO114=1,AN114&lt;&gt;1)),ISNUMBER(AH114),AH114&lt;=T114),AT114,0),IF(AND(NOT(AND(AO114=1,AN114&lt;&gt;1)),ISNUMBER(AI114),AI114&lt;=T114),AU114,0),IF(AND(ISNUMBER(AJ114),AJ114&lt;=T114),AV114,0))),"SW",IF(AND(IF(AND(NOT(AND(AO114=1,AN114&lt;&gt;1)),ISNUMBER(AH114),AH114&lt;=T114),AT114,0)&gt;0,IF(AND(NOT(AND(AO114=1,AN114&lt;&gt;1)),ISNUMBER(AH114),AH114&lt;=T114),AT114,0)=MAX(IF(AND(NOT(AND(AO114=1,AN114&lt;&gt;1)),ISNUMBER(AG114),AG114&lt;=T114),AS114,0),IF(AND(NOT(AND(AO114=1,AN114&lt;&gt;1)),ISNUMBER(AH114),AH114&lt;=T114),AT114,0),IF(AND(NOT(AND(AO114=1,AN114&lt;&gt;1)),ISNUMBER(AI114),AI114&lt;=T114),AU114,0),IF(AND(ISNUMBER(AJ114),AJ114&lt;=T114),AV114,0))),"AB",IF(AND(IF(AND(NOT(AND(AO114=1,AN114&lt;&gt;1)),ISNUMBER(AI114),AI114&lt;=T114),AU114,0)&gt;0,IF(AND(NOT(AND(AO114=1,AN114&lt;&gt;1)),ISNUMBER(AI114),AI114&lt;=T114),AU114,0)=MAX(IF(AND(NOT(AND(AO114=1,AN114&lt;&gt;1)),ISNUMBER(AG114),AG114&lt;=T114),AS114,0),IF(AND(NOT(AND(AO114=1,AN114&lt;&gt;1)),ISNUMBER(AH114),AH114&lt;=T114),AT114,0),IF(AND(NOT(AND(AO114=1,AN114&lt;&gt;1)),ISNUMBER(AI114),AI114&lt;=T114),AU114,0),IF(AND(ISNUMBER(AJ114),AJ114&lt;=T114),AV114,0))),"SC","Mag")))))))</f>
        <v/>
      </c>
    </row>
    <row r="115">
      <c r="A115" s="26" t="n">
        <v>110</v>
      </c>
      <c r="B115" s="27">
        <f>A115*10/60</f>
        <v/>
      </c>
      <c r="C115" s="22">
        <f>X114</f>
        <v/>
      </c>
      <c r="D115" s="27">
        <f>D114+W114</f>
        <v/>
      </c>
      <c r="E115" s="26">
        <f>E114+IF(U114="SW",1,0)</f>
        <v/>
      </c>
      <c r="F115" s="26">
        <f>F114+IF(U114="AB",1,0)</f>
        <v/>
      </c>
      <c r="G115" s="26">
        <f>G114+IF(U114="SC",1,0)</f>
        <v/>
      </c>
      <c r="H115" s="26">
        <f>H114+IF(U114="Mag",1,0)</f>
        <v/>
      </c>
      <c r="I115" s="26">
        <f>MAX(I114,IF(U114="OR",1,0))</f>
        <v/>
      </c>
      <c r="J115" s="26">
        <f>MAX(J114,IF(U114="HP",1,0))</f>
        <v/>
      </c>
      <c r="K115" s="26">
        <f>MAX(K114,IF(U114="FP",1,0))</f>
        <v/>
      </c>
      <c r="L115" s="26">
        <f>MAX(L114,IF(U114="transition",1,0))</f>
        <v/>
      </c>
      <c r="M115" s="28">
        <f>(Parameters!$B$9+(IF(E115=0,0,(Upgrades!$J$6+E115*Upgrades!$K$6)*POWER(Upgrades!$L$6,E115)))*(IF(Upgrades!$T$7="Solar Wind",POWER(Upgrades!$U$7,F115),1)*IF(Upgrades!$T$8="Solar Wind",POWER(Upgrades!$U$8,G115),1)*IF(Upgrades!$T$9="Solar Wind",POWER(Upgrades!$U$9,H115),1)*IF(Upgrades!$T$10="Solar Wind",POWER(Upgrades!$U$10,I115),1)*IF(Upgrades!$T$11="Solar Wind",POWER(Upgrades!$U$11,J115),1)*IF(Upgrades!$T$12="Solar Wind",POWER(Upgrades!$U$12,K115),1))+(IF(F115=0,0,(Upgrades!$J$7+F115*Upgrades!$K$7)*POWER(Upgrades!$L$7,F115)))*(IF(Upgrades!$T$6="Asteroid Belt",POWER(Upgrades!$U$6,E115),1)*IF(Upgrades!$T$8="Asteroid Belt",POWER(Upgrades!$U$8,G115),1)*IF(Upgrades!$T$9="Asteroid Belt",POWER(Upgrades!$U$9,H115),1)*IF(Upgrades!$T$10="Asteroid Belt",POWER(Upgrades!$U$10,I115),1)*IF(Upgrades!$T$11="Asteroid Belt",POWER(Upgrades!$U$11,J115),1)*IF(Upgrades!$T$12="Asteroid Belt",POWER(Upgrades!$U$12,K115),1))+(IF(G115=0,0,(Upgrades!$J$8+G115*Upgrades!$K$8)*POWER(Upgrades!$L$8,G115)))*(IF(Upgrades!$T$6="Stellar Coupling",POWER(Upgrades!$U$6,E115),1)*IF(Upgrades!$T$7="Stellar Coupling",POWER(Upgrades!$U$7,F115),1)*IF(Upgrades!$T$9="Stellar Coupling",POWER(Upgrades!$U$9,H115),1)*IF(Upgrades!$T$10="Stellar Coupling",POWER(Upgrades!$U$10,I115),1)*IF(Upgrades!$T$11="Stellar Coupling",POWER(Upgrades!$U$11,J115),1)*IF(Upgrades!$T$12="Stellar Coupling",POWER(Upgrades!$U$12,K115),1))+(IF(H115=0,0,(Upgrades!$J$9+H115*Upgrades!$K$9)*POWER(Upgrades!$L$9,H115)))*(IF(Upgrades!$T$6="Magnetosphere",POWER(Upgrades!$U$6,E115),1)*IF(Upgrades!$T$7="Magnetosphere",POWER(Upgrades!$U$7,F115),1)*IF(Upgrades!$T$8="Magnetosphere",POWER(Upgrades!$U$8,G115),1)*IF(Upgrades!$T$10="Magnetosphere",POWER(Upgrades!$U$10,I115),1)*IF(Upgrades!$T$11="Magnetosphere",POWER(Upgrades!$U$11,J115),1)*IF(Upgrades!$T$12="Magnetosphere",POWER(Upgrades!$U$12,K115),1))+(IF(I115=0,0,(Upgrades!$J$10+I115*Upgrades!$K$10)*POWER(Upgrades!$L$10,I115)))*(IF(Upgrades!$T$6="Orbital Resonance",POWER(Upgrades!$U$6,E115),1)*IF(Upgrades!$T$7="Orbital Resonance",POWER(Upgrades!$U$7,F115),1)*IF(Upgrades!$T$8="Orbital Resonance",POWER(Upgrades!$U$8,G115),1)*IF(Upgrades!$T$9="Orbital Resonance",POWER(Upgrades!$U$9,H115),1)*IF(Upgrades!$T$11="Orbital Resonance",POWER(Upgrades!$U$11,J115),1)*IF(Upgrades!$T$12="Orbital Resonance",POWER(Upgrades!$U$12,K115),1))+(IF(J115=0,0,(Upgrades!$J$11+J115*Upgrades!$K$11)*POWER(Upgrades!$L$11,J115)))*(IF(Upgrades!$T$6="Heliopause",POWER(Upgrades!$U$6,E115),1)*IF(Upgrades!$T$7="Heliopause",POWER(Upgrades!$U$7,F115),1)*IF(Upgrades!$T$8="Heliopause",POWER(Upgrades!$U$8,G115),1)*IF(Upgrades!$T$9="Heliopause",POWER(Upgrades!$U$9,H115),1)*IF(Upgrades!$T$10="Heliopause",POWER(Upgrades!$U$10,I115),1)*IF(Upgrades!$T$12="Heliopause",POWER(Upgrades!$U$12,K115),1))+(IF(K115=0,0,(Upgrades!$J$12+K115*Upgrades!$K$12)*POWER(Upgrades!$L$12,K115)))*(IF(Upgrades!$T$6="First Photons",POWER(Upgrades!$U$6,E115),1)*IF(Upgrades!$T$7="First Photons",POWER(Upgrades!$U$7,F115),1)*IF(Upgrades!$T$8="First Photons",POWER(Upgrades!$U$8,G115),1)*IF(Upgrades!$T$9="First Photons",POWER(Upgrades!$U$9,H115),1)*IF(Upgrades!$T$10="First Photons",POWER(Upgrades!$U$10,I115),1)*IF(Upgrades!$T$11="First Photons",POWER(Upgrades!$U$11,J115),1)))*POWER(Upgrades!$Q$6,E115)*POWER(Upgrades!$Q$7,F115)*POWER(Upgrades!$Q$8,G115)*POWER(Upgrades!$Q$9,H115)*POWER(Upgrades!$Q$10,I115)*POWER(Upgrades!$Q$11,J115)*POWER(Upgrades!$Q$12,K115)</f>
        <v/>
      </c>
      <c r="N115" s="28">
        <f>((IF(E115=0,0,(Upgrades!$G$6+E115*Upgrades!$H$6)*POWER(Upgrades!$I$6,E115)))*(IF(Upgrades!$T$7="Solar Wind",POWER(Upgrades!$U$7,F115),1)*IF(Upgrades!$T$8="Solar Wind",POWER(Upgrades!$U$8,G115),1)*IF(Upgrades!$T$9="Solar Wind",POWER(Upgrades!$U$9,H115),1)*IF(Upgrades!$T$10="Solar Wind",POWER(Upgrades!$U$10,I115),1)*IF(Upgrades!$T$11="Solar Wind",POWER(Upgrades!$U$11,J115),1)*IF(Upgrades!$T$12="Solar Wind",POWER(Upgrades!$U$12,K115),1))+(IF(F115=0,0,(Upgrades!$G$7+F115*Upgrades!$H$7)*POWER(Upgrades!$I$7,F115)))*(IF(Upgrades!$T$6="Asteroid Belt",POWER(Upgrades!$U$6,E115),1)*IF(Upgrades!$T$8="Asteroid Belt",POWER(Upgrades!$U$8,G115),1)*IF(Upgrades!$T$9="Asteroid Belt",POWER(Upgrades!$U$9,H115),1)*IF(Upgrades!$T$10="Asteroid Belt",POWER(Upgrades!$U$10,I115),1)*IF(Upgrades!$T$11="Asteroid Belt",POWER(Upgrades!$U$11,J115),1)*IF(Upgrades!$T$12="Asteroid Belt",POWER(Upgrades!$U$12,K115),1))+(IF(G115=0,0,(Upgrades!$G$8+G115*Upgrades!$H$8)*POWER(Upgrades!$I$8,G115)))*(IF(Upgrades!$T$6="Stellar Coupling",POWER(Upgrades!$U$6,E115),1)*IF(Upgrades!$T$7="Stellar Coupling",POWER(Upgrades!$U$7,F115),1)*IF(Upgrades!$T$9="Stellar Coupling",POWER(Upgrades!$U$9,H115),1)*IF(Upgrades!$T$10="Stellar Coupling",POWER(Upgrades!$U$10,I115),1)*IF(Upgrades!$T$11="Stellar Coupling",POWER(Upgrades!$U$11,J115),1)*IF(Upgrades!$T$12="Stellar Coupling",POWER(Upgrades!$U$12,K115),1))+(IF(H115=0,0,(Upgrades!$G$9+H115*Upgrades!$H$9)*POWER(Upgrades!$I$9,H115)))*(IF(Upgrades!$T$6="Magnetosphere",POWER(Upgrades!$U$6,E115),1)*IF(Upgrades!$T$7="Magnetosphere",POWER(Upgrades!$U$7,F115),1)*IF(Upgrades!$T$8="Magnetosphere",POWER(Upgrades!$U$8,G115),1)*IF(Upgrades!$T$10="Magnetosphere",POWER(Upgrades!$U$10,I115),1)*IF(Upgrades!$T$11="Magnetosphere",POWER(Upgrades!$U$11,J115),1)*IF(Upgrades!$T$12="Magnetosphere",POWER(Upgrades!$U$12,K115),1))+(IF(I115=0,0,(Upgrades!$G$10+I115*Upgrades!$H$10)*POWER(Upgrades!$I$10,I115)))*(IF(Upgrades!$T$6="Orbital Resonance",POWER(Upgrades!$U$6,E115),1)*IF(Upgrades!$T$7="Orbital Resonance",POWER(Upgrades!$U$7,F115),1)*IF(Upgrades!$T$8="Orbital Resonance",POWER(Upgrades!$U$8,G115),1)*IF(Upgrades!$T$9="Orbital Resonance",POWER(Upgrades!$U$9,H115),1)*IF(Upgrades!$T$11="Orbital Resonance",POWER(Upgrades!$U$11,J115),1)*IF(Upgrades!$T$12="Orbital Resonance",POWER(Upgrades!$U$12,K115),1))+(IF(J115=0,0,(Upgrades!$G$11+J115*Upgrades!$H$11)*POWER(Upgrades!$I$11,J115)))*(IF(Upgrades!$T$6="Heliopause",POWER(Upgrades!$U$6,E115),1)*IF(Upgrades!$T$7="Heliopause",POWER(Upgrades!$U$7,F115),1)*IF(Upgrades!$T$8="Heliopause",POWER(Upgrades!$U$8,G115),1)*IF(Upgrades!$T$9="Heliopause",POWER(Upgrades!$U$9,H115),1)*IF(Upgrades!$T$10="Heliopause",POWER(Upgrades!$U$10,I115),1)*IF(Upgrades!$T$12="Heliopause",POWER(Upgrades!$U$12,K115),1))+(IF(K115=0,0,(Upgrades!$G$12+K115*Upgrades!$H$12)*POWER(Upgrades!$I$12,K115)))*(IF(Upgrades!$T$6="First Photons",POWER(Upgrades!$U$6,E115),1)*IF(Upgrades!$T$7="First Photons",POWER(Upgrades!$U$7,F115),1)*IF(Upgrades!$T$8="First Photons",POWER(Upgrades!$U$8,G115),1)*IF(Upgrades!$T$9="First Photons",POWER(Upgrades!$U$9,H115),1)*IF(Upgrades!$T$10="First Photons",POWER(Upgrades!$U$10,I115),1)*IF(Upgrades!$T$11="First Photons",POWER(Upgrades!$U$11,J115),1)))*POWER(Upgrades!$P$6,E115)*POWER(Upgrades!$P$7,F115)*POWER(Upgrades!$P$8,G115)*POWER(Upgrades!$P$9,H115)*POWER(Upgrades!$P$10,I115)*POWER(Upgrades!$P$11,J115)*POWER(Upgrades!$P$12,K115)</f>
        <v/>
      </c>
      <c r="O115" s="28">
        <f>((IF(E115=0,0,(Upgrades!$M$6+E115*Upgrades!$N$6)*POWER(Upgrades!$O$6,E115)))*(IF(Upgrades!$T$7="Solar Wind",POWER(Upgrades!$U$7,F115),1)*IF(Upgrades!$T$8="Solar Wind",POWER(Upgrades!$U$8,G115),1)*IF(Upgrades!$T$9="Solar Wind",POWER(Upgrades!$U$9,H115),1)*IF(Upgrades!$T$10="Solar Wind",POWER(Upgrades!$U$10,I115),1)*IF(Upgrades!$T$11="Solar Wind",POWER(Upgrades!$U$11,J115),1)*IF(Upgrades!$T$12="Solar Wind",POWER(Upgrades!$U$12,K115),1))+(IF(F115=0,0,(Upgrades!$M$7+F115*Upgrades!$N$7)*POWER(Upgrades!$O$7,F115)))*(IF(Upgrades!$T$6="Asteroid Belt",POWER(Upgrades!$U$6,E115),1)*IF(Upgrades!$T$8="Asteroid Belt",POWER(Upgrades!$U$8,G115),1)*IF(Upgrades!$T$9="Asteroid Belt",POWER(Upgrades!$U$9,H115),1)*IF(Upgrades!$T$10="Asteroid Belt",POWER(Upgrades!$U$10,I115),1)*IF(Upgrades!$T$11="Asteroid Belt",POWER(Upgrades!$U$11,J115),1)*IF(Upgrades!$T$12="Asteroid Belt",POWER(Upgrades!$U$12,K115),1))+(IF(G115=0,0,(Upgrades!$M$8+G115*Upgrades!$N$8)*POWER(Upgrades!$O$8,G115)))*(IF(Upgrades!$T$6="Stellar Coupling",POWER(Upgrades!$U$6,E115),1)*IF(Upgrades!$T$7="Stellar Coupling",POWER(Upgrades!$U$7,F115),1)*IF(Upgrades!$T$9="Stellar Coupling",POWER(Upgrades!$U$9,H115),1)*IF(Upgrades!$T$10="Stellar Coupling",POWER(Upgrades!$U$10,I115),1)*IF(Upgrades!$T$11="Stellar Coupling",POWER(Upgrades!$U$11,J115),1)*IF(Upgrades!$T$12="Stellar Coupling",POWER(Upgrades!$U$12,K115),1))+(IF(H115=0,0,(Upgrades!$M$9+H115*Upgrades!$N$9)*POWER(Upgrades!$O$9,H115)))*(IF(Upgrades!$T$6="Magnetosphere",POWER(Upgrades!$U$6,E115),1)*IF(Upgrades!$T$7="Magnetosphere",POWER(Upgrades!$U$7,F115),1)*IF(Upgrades!$T$8="Magnetosphere",POWER(Upgrades!$U$8,G115),1)*IF(Upgrades!$T$10="Magnetosphere",POWER(Upgrades!$U$10,I115),1)*IF(Upgrades!$T$11="Magnetosphere",POWER(Upgrades!$U$11,J115),1)*IF(Upgrades!$T$12="Magnetosphere",POWER(Upgrades!$U$12,K115),1))+(IF(I115=0,0,(Upgrades!$M$10+I115*Upgrades!$N$10)*POWER(Upgrades!$O$10,I115)))*(IF(Upgrades!$T$6="Orbital Resonance",POWER(Upgrades!$U$6,E115),1)*IF(Upgrades!$T$7="Orbital Resonance",POWER(Upgrades!$U$7,F115),1)*IF(Upgrades!$T$8="Orbital Resonance",POWER(Upgrades!$U$8,G115),1)*IF(Upgrades!$T$9="Orbital Resonance",POWER(Upgrades!$U$9,H115),1)*IF(Upgrades!$T$11="Orbital Resonance",POWER(Upgrades!$U$11,J115),1)*IF(Upgrades!$T$12="Orbital Resonance",POWER(Upgrades!$U$12,K115),1))+(IF(J115=0,0,(Upgrades!$M$11+J115*Upgrades!$N$11)*POWER(Upgrades!$O$11,J115)))*(IF(Upgrades!$T$6="Heliopause",POWER(Upgrades!$U$6,E115),1)*IF(Upgrades!$T$7="Heliopause",POWER(Upgrades!$U$7,F115),1)*IF(Upgrades!$T$8="Heliopause",POWER(Upgrades!$U$8,G115),1)*IF(Upgrades!$T$9="Heliopause",POWER(Upgrades!$U$9,H115),1)*IF(Upgrades!$T$10="Heliopause",POWER(Upgrades!$U$10,I115),1)*IF(Upgrades!$T$12="Heliopause",POWER(Upgrades!$U$12,K115),1))+(IF(K115=0,0,(Upgrades!$M$12+K115*Upgrades!$N$12)*POWER(Upgrades!$O$12,K115)))*(IF(Upgrades!$T$6="First Photons",POWER(Upgrades!$U$6,E115),1)*IF(Upgrades!$T$7="First Photons",POWER(Upgrades!$U$7,F115),1)*IF(Upgrades!$T$8="First Photons",POWER(Upgrades!$U$8,G115),1)*IF(Upgrades!$T$9="First Photons",POWER(Upgrades!$U$9,H115),1)*IF(Upgrades!$T$10="First Photons",POWER(Upgrades!$U$10,I115),1)*IF(Upgrades!$T$11="First Photons",POWER(Upgrades!$U$11,J115),1)))*POWER(Upgrades!$R$6,E115)*POWER(Upgrades!$R$7,F115)*POWER(Upgrades!$R$8,G115)*POWER(Upgrades!$R$9,H115)*POWER(Upgrades!$R$10,I115)*POWER(Upgrades!$R$11,J115)*POWER(Upgrades!$R$12,K115)</f>
        <v/>
      </c>
      <c r="P115" s="27">
        <f>IF(L115=1,0,M115*Parameters!$B$10/60*Parameters!$B$11*10)</f>
        <v/>
      </c>
      <c r="Q115" s="27">
        <f>IF(L115=1,0,O115*M115*10)</f>
        <v/>
      </c>
      <c r="R115" s="27">
        <f>IF(L115=1,0,N115*10)</f>
        <v/>
      </c>
      <c r="S115" s="27">
        <f>P115+Q115+R115</f>
        <v/>
      </c>
      <c r="T115" s="22">
        <f>C115+S115</f>
        <v/>
      </c>
      <c r="U115" s="33">
        <f>AX115</f>
        <v/>
      </c>
      <c r="V115" s="22">
        <f>IF(U115="",0,IF(U115="transition",0,IF(U115="SW",AG115,IF(U115="AB",AH115,IF(U115="SC",AI115,IF(U115="Mag",AJ115,IF(U115="OR",AK115,IF(U115="HP",AL115,IF(U115="FP",AM115,0)))))))))</f>
        <v/>
      </c>
      <c r="W115" s="27">
        <f>IF(U115="OR",Upgrades!$F$10,IF(U115="HP",Upgrades!$F$11,IF(U115="transition",-Parameters!$B$18,0)))</f>
        <v/>
      </c>
      <c r="X115" s="22">
        <f>T115-V115</f>
        <v/>
      </c>
      <c r="Y115" s="30">
        <f>M115*Parameters!$B$10/60*Parameters!$B$11+O115*M115+N115</f>
        <v/>
      </c>
      <c r="Z115" s="34">
        <f>IF(U115="transition","→ Tier 2 (Stellar Neighborhood)",IF(U115="FP","First Photons — light begins, system quickens",IF(U115="HP","Heliopause acquired",IF(U115="OR","Orbital Resonance — passive multiplier active",IF(AND(AO115=1,L115=0,AN115&lt;&gt;1),"Cohesion ready (waiting on completionist upgrades)","")))))</f>
        <v/>
      </c>
      <c r="AA115" s="27">
        <f>(IF(E115=0,0,(Upgrades!$G$6+E115*Upgrades!$H$6)*POWER(Upgrades!$I$6,E115)))*(IF(Upgrades!$T$7="Solar Wind",POWER(Upgrades!$U$7,F115),1)*IF(Upgrades!$T$8="Solar Wind",POWER(Upgrades!$U$8,G115),1)*IF(Upgrades!$T$9="Solar Wind",POWER(Upgrades!$U$9,H115),1)*IF(Upgrades!$T$10="Solar Wind",POWER(Upgrades!$U$10,I115),1)*IF(Upgrades!$T$11="Solar Wind",POWER(Upgrades!$U$11,J115),1)*IF(Upgrades!$T$12="Solar Wind",POWER(Upgrades!$U$12,K115),1))*POWER(Upgrades!$P$6,E115)*POWER(Upgrades!$P$7,F115)*POWER(Upgrades!$P$8,G115)*POWER(Upgrades!$P$9,H115)*POWER(Upgrades!$P$10,I115)*POWER(Upgrades!$P$11,J115)*POWER(Upgrades!$P$12,K115)*60</f>
        <v/>
      </c>
      <c r="AB115" s="27">
        <f>(IF(F115=0,0,(Upgrades!$G$7+F115*Upgrades!$H$7)*POWER(Upgrades!$I$7,F115)))*(IF(Upgrades!$T$6="Asteroid Belt",POWER(Upgrades!$U$6,E115),1)*IF(Upgrades!$T$8="Asteroid Belt",POWER(Upgrades!$U$8,G115),1)*IF(Upgrades!$T$9="Asteroid Belt",POWER(Upgrades!$U$9,H115),1)*IF(Upgrades!$T$10="Asteroid Belt",POWER(Upgrades!$U$10,I115),1)*IF(Upgrades!$T$11="Asteroid Belt",POWER(Upgrades!$U$11,J115),1)*IF(Upgrades!$T$12="Asteroid Belt",POWER(Upgrades!$U$12,K115),1))*POWER(Upgrades!$P$6,E115)*POWER(Upgrades!$P$7,F115)*POWER(Upgrades!$P$8,G115)*POWER(Upgrades!$P$9,H115)*POWER(Upgrades!$P$10,I115)*POWER(Upgrades!$P$11,J115)*POWER(Upgrades!$P$12,K115)*60</f>
        <v/>
      </c>
      <c r="AC115" s="27">
        <f>(IF(G115=0,0,(Upgrades!$J$8+G115*Upgrades!$K$8)*POWER(Upgrades!$L$8,G115)))*(IF(Upgrades!$T$6="Stellar Coupling",POWER(Upgrades!$U$6,E115),1)*IF(Upgrades!$T$7="Stellar Coupling",POWER(Upgrades!$U$7,F115),1)*IF(Upgrades!$T$9="Stellar Coupling",POWER(Upgrades!$U$9,H115),1)*IF(Upgrades!$T$10="Stellar Coupling",POWER(Upgrades!$U$10,I115),1)*IF(Upgrades!$T$11="Stellar Coupling",POWER(Upgrades!$U$11,J115),1)*IF(Upgrades!$T$12="Stellar Coupling",POWER(Upgrades!$U$12,K115),1))*POWER(Upgrades!$Q$6,E115)*POWER(Upgrades!$Q$7,F115)*POWER(Upgrades!$Q$8,G115)*POWER(Upgrades!$Q$9,H115)*POWER(Upgrades!$Q$10,I115)*POWER(Upgrades!$Q$11,J115)*POWER(Upgrades!$Q$12,K115)*Parameters!$B$10*Parameters!$B$11</f>
        <v/>
      </c>
      <c r="AD115" s="27">
        <f>(IF(H115=0,0,(Upgrades!$G$9+H115*Upgrades!$H$9)*POWER(Upgrades!$I$9,H115)))*(IF(Upgrades!$T$6="Magnetosphere",POWER(Upgrades!$U$6,E115),1)*IF(Upgrades!$T$7="Magnetosphere",POWER(Upgrades!$U$7,F115),1)*IF(Upgrades!$T$8="Magnetosphere",POWER(Upgrades!$U$8,G115),1)*IF(Upgrades!$T$10="Magnetosphere",POWER(Upgrades!$U$10,I115),1)*IF(Upgrades!$T$11="Magnetosphere",POWER(Upgrades!$U$11,J115),1)*IF(Upgrades!$T$12="Magnetosphere",POWER(Upgrades!$U$12,K115),1))*POWER(Upgrades!$P$6,E115)*POWER(Upgrades!$P$7,F115)*POWER(Upgrades!$P$8,G115)*POWER(Upgrades!$P$9,H115)*POWER(Upgrades!$P$10,I115)*POWER(Upgrades!$P$11,J115)*POWER(Upgrades!$P$12,K115)*60</f>
        <v/>
      </c>
      <c r="AE115" s="27">
        <f>(IF(K115=0,0,(Upgrades!$G$12+K115*Upgrades!$H$12)*POWER(Upgrades!$I$12,K115)))*(IF(Upgrades!$T$6="First Photons",POWER(Upgrades!$U$6,E115),1)*IF(Upgrades!$T$7="First Photons",POWER(Upgrades!$U$7,F115),1)*IF(Upgrades!$T$8="First Photons",POWER(Upgrades!$U$8,G115),1)*IF(Upgrades!$T$9="First Photons",POWER(Upgrades!$U$9,H115),1)*IF(Upgrades!$T$10="First Photons",POWER(Upgrades!$U$10,I115),1)*IF(Upgrades!$T$11="First Photons",POWER(Upgrades!$U$11,J115),1))*POWER(Upgrades!$P$6,E115)*POWER(Upgrades!$P$7,F115)*POWER(Upgrades!$P$8,G115)*POWER(Upgrades!$P$9,H115)*POWER(Upgrades!$P$10,I115)*POWER(Upgrades!$P$11,J115)*POWER(Upgrades!$P$12,K115)*60</f>
        <v/>
      </c>
      <c r="AF115" s="27">
        <f>Parameters!$B$9*POWER(Upgrades!$Q$6,E115)*POWER(Upgrades!$Q$7,F115)*POWER(Upgrades!$Q$8,G115)*POWER(Upgrades!$Q$9,H115)*POWER(Upgrades!$Q$10,I115)*POWER(Upgrades!$Q$11,J115)*POWER(Upgrades!$Q$12,K115)*(Parameters!$B$10*Parameters!$B$11+O115*60)</f>
        <v/>
      </c>
      <c r="AG115" s="22">
        <f>IF(E115&gt;=Upgrades!$E$6,"",Upgrades!$C$6*POWER(Upgrades!$D$6,E115))</f>
        <v/>
      </c>
      <c r="AH115" s="22">
        <f>IF(F115&gt;=Upgrades!$E$7,"",Upgrades!$C$7*POWER(Upgrades!$D$7,F115))</f>
        <v/>
      </c>
      <c r="AI115" s="22">
        <f>IF(G115&gt;=Upgrades!$E$8,"",Upgrades!$C$8*POWER(Upgrades!$D$8,G115))</f>
        <v/>
      </c>
      <c r="AJ115" s="22">
        <f>IF(H115&gt;=Upgrades!$E$9,"",Upgrades!$C$9*POWER(Upgrades!$D$9,H115))</f>
        <v/>
      </c>
      <c r="AK115" s="22">
        <f>IF(I115&gt;=Upgrades!$E$10,"",Upgrades!$C$10*POWER(Upgrades!$D$10,I115))</f>
        <v/>
      </c>
      <c r="AL115" s="22">
        <f>IF(J115&gt;=Upgrades!$E$11,"",Upgrades!$C$11*POWER(Upgrades!$D$11,J115))</f>
        <v/>
      </c>
      <c r="AM115" s="22">
        <f>IF(K115&gt;=Upgrades!$E$12,"",Upgrades!$C$12*POWER(Upgrades!$D$12,K115))</f>
        <v/>
      </c>
      <c r="AN115" s="26">
        <f>IF(AND(D115&gt;=Parameters!$B$18,(H115&gt;=Upgrades!$E$9)*(K115&gt;=Upgrades!$E$12)=1,L115=0),1,"")</f>
        <v/>
      </c>
      <c r="AO115" s="26">
        <f>IF(AND(D115&gt;=Parameters!$B$18,L115=0),1,"")</f>
        <v/>
      </c>
      <c r="AP115" s="22">
        <f>MIN(IF(ISNUMBER(AK115),AK115,9E15),IF(ISNUMBER(AL115),AL115,9E15),IF(ISNUMBER(AM115),AM115,9E15))</f>
        <v/>
      </c>
      <c r="AQ115" s="22">
        <f>MIN(IF(ISNUMBER(AG115),AG115,9E15),IF(ISNUMBER(AH115),AH115,9E15),IF(ISNUMBER(AI115),AI115,9E15),IF(ISNUMBER(AJ115),AJ115,9E15))</f>
        <v/>
      </c>
      <c r="AR115" s="29">
        <f>IF(AW115&gt;Parameters!$B$21*(MAX(IF(AND(NOT(AND(AO115=1,AN115&lt;&gt;1)),ISNUMBER(AG115),AG115&lt;=T115),AS115,0),IF(AND(NOT(AND(AO115=1,AN115&lt;&gt;1)),ISNUMBER(AH115),AH115&lt;=T115),AT115,0),IF(AND(NOT(AND(AO115=1,AN115&lt;&gt;1)),ISNUMBER(AI115),AI115&lt;=T115),AU115,0),IF(AND(ISNUMBER(AJ115),AJ115&lt;=T115),AV115,0))),TRUE,FALSE)</f>
        <v/>
      </c>
      <c r="AS115" s="32">
        <f>IFERROR(Upgrades!$H$6*(POWER(Upgrades!$P$6,E115)*POWER(Upgrades!$P$7,F115)*POWER(Upgrades!$P$8,G115)*POWER(Upgrades!$P$9,H115)*POWER(Upgrades!$P$10,I115)*POWER(Upgrades!$P$11,J115)*POWER(Upgrades!$P$12,K115))*(IF(Upgrades!$T$7="Solar Wind",POWER(Upgrades!$U$7,F115),1)*IF(Upgrades!$T$8="Solar Wind",POWER(Upgrades!$U$8,G115),1)*IF(Upgrades!$T$9="Solar Wind",POWER(Upgrades!$U$9,H115),1)*IF(Upgrades!$T$10="Solar Wind",POWER(Upgrades!$U$10,I115),1)*IF(Upgrades!$T$11="Solar Wind",POWER(Upgrades!$U$11,J115),1)*IF(Upgrades!$T$12="Solar Wind",POWER(Upgrades!$U$12,K115),1))/AG115,0)</f>
        <v/>
      </c>
      <c r="AT115" s="32">
        <f>IFERROR(Upgrades!$H$7*(POWER(Upgrades!$P$6,E115)*POWER(Upgrades!$P$7,F115)*POWER(Upgrades!$P$8,G115)*POWER(Upgrades!$P$9,H115)*POWER(Upgrades!$P$10,I115)*POWER(Upgrades!$P$11,J115)*POWER(Upgrades!$P$12,K115))*(IF(Upgrades!$T$6="Asteroid Belt",POWER(Upgrades!$U$6,E115),1)*IF(Upgrades!$T$8="Asteroid Belt",POWER(Upgrades!$U$8,G115),1)*IF(Upgrades!$T$9="Asteroid Belt",POWER(Upgrades!$U$9,H115),1)*IF(Upgrades!$T$10="Asteroid Belt",POWER(Upgrades!$U$10,I115),1)*IF(Upgrades!$T$11="Asteroid Belt",POWER(Upgrades!$U$11,J115),1)*IF(Upgrades!$T$12="Asteroid Belt",POWER(Upgrades!$U$12,K115),1))/AH115,0)</f>
        <v/>
      </c>
      <c r="AU115" s="32">
        <f>IFERROR(Upgrades!$K$8*(POWER(Upgrades!$Q$6,E115)*POWER(Upgrades!$Q$7,F115)*POWER(Upgrades!$Q$8,G115)*POWER(Upgrades!$Q$9,H115)*POWER(Upgrades!$Q$10,I115)*POWER(Upgrades!$Q$11,J115)*POWER(Upgrades!$Q$12,K115))*(IF(Upgrades!$T$6="Stellar Coupling",POWER(Upgrades!$U$6,E115),1)*IF(Upgrades!$T$7="Stellar Coupling",POWER(Upgrades!$U$7,F115),1)*IF(Upgrades!$T$9="Stellar Coupling",POWER(Upgrades!$U$9,H115),1)*IF(Upgrades!$T$10="Stellar Coupling",POWER(Upgrades!$U$10,I115),1)*IF(Upgrades!$T$11="Stellar Coupling",POWER(Upgrades!$U$11,J115),1)*IF(Upgrades!$T$12="Stellar Coupling",POWER(Upgrades!$U$12,K115),1))*Parameters!$B$10*Parameters!$B$11/60/AI115,0)</f>
        <v/>
      </c>
      <c r="AV115" s="32">
        <f>IFERROR(Upgrades!$H$9*(POWER(Upgrades!$P$6,E115)*POWER(Upgrades!$P$7,F115)*POWER(Upgrades!$P$8,G115)*POWER(Upgrades!$P$9,H115)*POWER(Upgrades!$P$10,I115)*POWER(Upgrades!$P$11,J115)*POWER(Upgrades!$P$12,K115))*(IF(Upgrades!$T$6="Magnetosphere",POWER(Upgrades!$U$6,E115),1)*IF(Upgrades!$T$7="Magnetosphere",POWER(Upgrades!$U$7,F115),1)*IF(Upgrades!$T$8="Magnetosphere",POWER(Upgrades!$U$8,G115),1)*IF(Upgrades!$T$10="Magnetosphere",POWER(Upgrades!$U$10,I115),1)*IF(Upgrades!$T$11="Magnetosphere",POWER(Upgrades!$U$11,J115),1)*IF(Upgrades!$T$12="Magnetosphere",POWER(Upgrades!$U$12,K115),1))/AJ115,0)</f>
        <v/>
      </c>
      <c r="AW115" s="32">
        <f>MAX(IF(I115&gt;0,0,IFERROR(0.25*N115/Upgrades!$C$10,0)),IF(J115&gt;0,0,IFERROR(0.5*((IF(G115=0,0,(Upgrades!$J$8+G115*Upgrades!$K$8)*POWER(Upgrades!$L$8,G115)))*(IF(Upgrades!$T$6="Stellar Coupling",POWER(Upgrades!$U$6,E115),1)*IF(Upgrades!$T$7="Stellar Coupling",POWER(Upgrades!$U$7,F115),1)*IF(Upgrades!$T$9="Stellar Coupling",POWER(Upgrades!$U$9,H115),1)*IF(Upgrades!$T$10="Stellar Coupling",POWER(Upgrades!$U$10,I115),1)*IF(Upgrades!$T$11="Stellar Coupling",POWER(Upgrades!$U$11,J115),1)*IF(Upgrades!$T$12="Stellar Coupling",POWER(Upgrades!$U$12,K115),1))*(POWER(Upgrades!$Q$6,E115)*POWER(Upgrades!$Q$7,F115)*POWER(Upgrades!$Q$8,G115)*POWER(Upgrades!$Q$9,H115)*POWER(Upgrades!$Q$10,I115)*POWER(Upgrades!$Q$11,J115)*POWER(Upgrades!$Q$12,K115))*Parameters!$B$10*Parameters!$B$11/60)/Upgrades!$C$11,0)),IF(K115&gt;0,0,IFERROR((1.0*(POWER(Upgrades!$P$6,E115)*POWER(Upgrades!$P$7,F115)*POWER(Upgrades!$P$8,G115)*POWER(Upgrades!$P$9,H115)*POWER(Upgrades!$P$10,I115)*POWER(Upgrades!$P$11,J115)*POWER(Upgrades!$P$12,K115))+0.20*M115*Parameters!$B$10*Parameters!$B$11/60)/Upgrades!$C$12,0)),IF(AND(ISNUMBER(AG115),AG115&gt;T115),AS115,0),IF(AND(ISNUMBER(AH115),AH115&gt;T115),AT115,0),IF(AND(ISNUMBER(AI115),AI115&gt;T115),AU115,0),IF(AND(ISNUMBER(AJ115),AJ115&gt;T115),AV115,0))</f>
        <v/>
      </c>
      <c r="AX115" s="29">
        <f>IF(AN115=1,"transition",IF(MIN(IF(AND(I115=0,ISNUMBER(AK115),AK115&lt;=T115),AK115,9E15),IF(AND(J115=0,ISNUMBER(AL115),AL115&lt;=T115),AL115,9E15),IF(AND(K115=0,ISNUMBER(AM115),AM115&lt;=T115),AM115,9E15))&lt;9E15,IF(AND(AND(I115=0,ISNUMBER(AK115),AK115&lt;=T115),AK115=MIN(IF(AND(I115=0,ISNUMBER(AK115),AK115&lt;=T115),AK115,9E15),IF(AND(J115=0,ISNUMBER(AL115),AL115&lt;=T115),AL115,9E15),IF(AND(K115=0,ISNUMBER(AM115),AM115&lt;=T115),AM115,9E15))),"OR",IF(AND(AND(J115=0,ISNUMBER(AL115),AL115&lt;=T115),AL115=MIN(IF(AND(I115=0,ISNUMBER(AK115),AK115&lt;=T115),AK115,9E15),IF(AND(J115=0,ISNUMBER(AL115),AL115&lt;=T115),AL115,9E15),IF(AND(K115=0,ISNUMBER(AM115),AM115&lt;=T115),AM115,9E15))),"HP","FP")),IF(AR115=TRUE,"",IF(MAX(IF(AND(NOT(AND(AO115=1,AN115&lt;&gt;1)),ISNUMBER(AG115),AG115&lt;=T115),AS115,0),IF(AND(NOT(AND(AO115=1,AN115&lt;&gt;1)),ISNUMBER(AH115),AH115&lt;=T115),AT115,0),IF(AND(NOT(AND(AO115=1,AN115&lt;&gt;1)),ISNUMBER(AI115),AI115&lt;=T115),AU115,0),IF(AND(ISNUMBER(AJ115),AJ115&lt;=T115),AV115,0))&lt;=0,"",IF(AND(IF(AND(NOT(AND(AO115=1,AN115&lt;&gt;1)),ISNUMBER(AG115),AG115&lt;=T115),AS115,0)&gt;0,IF(AND(NOT(AND(AO115=1,AN115&lt;&gt;1)),ISNUMBER(AG115),AG115&lt;=T115),AS115,0)=MAX(IF(AND(NOT(AND(AO115=1,AN115&lt;&gt;1)),ISNUMBER(AG115),AG115&lt;=T115),AS115,0),IF(AND(NOT(AND(AO115=1,AN115&lt;&gt;1)),ISNUMBER(AH115),AH115&lt;=T115),AT115,0),IF(AND(NOT(AND(AO115=1,AN115&lt;&gt;1)),ISNUMBER(AI115),AI115&lt;=T115),AU115,0),IF(AND(ISNUMBER(AJ115),AJ115&lt;=T115),AV115,0))),"SW",IF(AND(IF(AND(NOT(AND(AO115=1,AN115&lt;&gt;1)),ISNUMBER(AH115),AH115&lt;=T115),AT115,0)&gt;0,IF(AND(NOT(AND(AO115=1,AN115&lt;&gt;1)),ISNUMBER(AH115),AH115&lt;=T115),AT115,0)=MAX(IF(AND(NOT(AND(AO115=1,AN115&lt;&gt;1)),ISNUMBER(AG115),AG115&lt;=T115),AS115,0),IF(AND(NOT(AND(AO115=1,AN115&lt;&gt;1)),ISNUMBER(AH115),AH115&lt;=T115),AT115,0),IF(AND(NOT(AND(AO115=1,AN115&lt;&gt;1)),ISNUMBER(AI115),AI115&lt;=T115),AU115,0),IF(AND(ISNUMBER(AJ115),AJ115&lt;=T115),AV115,0))),"AB",IF(AND(IF(AND(NOT(AND(AO115=1,AN115&lt;&gt;1)),ISNUMBER(AI115),AI115&lt;=T115),AU115,0)&gt;0,IF(AND(NOT(AND(AO115=1,AN115&lt;&gt;1)),ISNUMBER(AI115),AI115&lt;=T115),AU115,0)=MAX(IF(AND(NOT(AND(AO115=1,AN115&lt;&gt;1)),ISNUMBER(AG115),AG115&lt;=T115),AS115,0),IF(AND(NOT(AND(AO115=1,AN115&lt;&gt;1)),ISNUMBER(AH115),AH115&lt;=T115),AT115,0),IF(AND(NOT(AND(AO115=1,AN115&lt;&gt;1)),ISNUMBER(AI115),AI115&lt;=T115),AU115,0),IF(AND(ISNUMBER(AJ115),AJ115&lt;=T115),AV115,0))),"SC","Mag")))))))</f>
        <v/>
      </c>
    </row>
    <row r="116">
      <c r="A116" s="26" t="n">
        <v>111</v>
      </c>
      <c r="B116" s="27">
        <f>A116*10/60</f>
        <v/>
      </c>
      <c r="C116" s="22">
        <f>X115</f>
        <v/>
      </c>
      <c r="D116" s="27">
        <f>D115+W115</f>
        <v/>
      </c>
      <c r="E116" s="26">
        <f>E115+IF(U115="SW",1,0)</f>
        <v/>
      </c>
      <c r="F116" s="26">
        <f>F115+IF(U115="AB",1,0)</f>
        <v/>
      </c>
      <c r="G116" s="26">
        <f>G115+IF(U115="SC",1,0)</f>
        <v/>
      </c>
      <c r="H116" s="26">
        <f>H115+IF(U115="Mag",1,0)</f>
        <v/>
      </c>
      <c r="I116" s="26">
        <f>MAX(I115,IF(U115="OR",1,0))</f>
        <v/>
      </c>
      <c r="J116" s="26">
        <f>MAX(J115,IF(U115="HP",1,0))</f>
        <v/>
      </c>
      <c r="K116" s="26">
        <f>MAX(K115,IF(U115="FP",1,0))</f>
        <v/>
      </c>
      <c r="L116" s="26">
        <f>MAX(L115,IF(U115="transition",1,0))</f>
        <v/>
      </c>
      <c r="M116" s="28">
        <f>(Parameters!$B$9+(IF(E116=0,0,(Upgrades!$J$6+E116*Upgrades!$K$6)*POWER(Upgrades!$L$6,E116)))*(IF(Upgrades!$T$7="Solar Wind",POWER(Upgrades!$U$7,F116),1)*IF(Upgrades!$T$8="Solar Wind",POWER(Upgrades!$U$8,G116),1)*IF(Upgrades!$T$9="Solar Wind",POWER(Upgrades!$U$9,H116),1)*IF(Upgrades!$T$10="Solar Wind",POWER(Upgrades!$U$10,I116),1)*IF(Upgrades!$T$11="Solar Wind",POWER(Upgrades!$U$11,J116),1)*IF(Upgrades!$T$12="Solar Wind",POWER(Upgrades!$U$12,K116),1))+(IF(F116=0,0,(Upgrades!$J$7+F116*Upgrades!$K$7)*POWER(Upgrades!$L$7,F116)))*(IF(Upgrades!$T$6="Asteroid Belt",POWER(Upgrades!$U$6,E116),1)*IF(Upgrades!$T$8="Asteroid Belt",POWER(Upgrades!$U$8,G116),1)*IF(Upgrades!$T$9="Asteroid Belt",POWER(Upgrades!$U$9,H116),1)*IF(Upgrades!$T$10="Asteroid Belt",POWER(Upgrades!$U$10,I116),1)*IF(Upgrades!$T$11="Asteroid Belt",POWER(Upgrades!$U$11,J116),1)*IF(Upgrades!$T$12="Asteroid Belt",POWER(Upgrades!$U$12,K116),1))+(IF(G116=0,0,(Upgrades!$J$8+G116*Upgrades!$K$8)*POWER(Upgrades!$L$8,G116)))*(IF(Upgrades!$T$6="Stellar Coupling",POWER(Upgrades!$U$6,E116),1)*IF(Upgrades!$T$7="Stellar Coupling",POWER(Upgrades!$U$7,F116),1)*IF(Upgrades!$T$9="Stellar Coupling",POWER(Upgrades!$U$9,H116),1)*IF(Upgrades!$T$10="Stellar Coupling",POWER(Upgrades!$U$10,I116),1)*IF(Upgrades!$T$11="Stellar Coupling",POWER(Upgrades!$U$11,J116),1)*IF(Upgrades!$T$12="Stellar Coupling",POWER(Upgrades!$U$12,K116),1))+(IF(H116=0,0,(Upgrades!$J$9+H116*Upgrades!$K$9)*POWER(Upgrades!$L$9,H116)))*(IF(Upgrades!$T$6="Magnetosphere",POWER(Upgrades!$U$6,E116),1)*IF(Upgrades!$T$7="Magnetosphere",POWER(Upgrades!$U$7,F116),1)*IF(Upgrades!$T$8="Magnetosphere",POWER(Upgrades!$U$8,G116),1)*IF(Upgrades!$T$10="Magnetosphere",POWER(Upgrades!$U$10,I116),1)*IF(Upgrades!$T$11="Magnetosphere",POWER(Upgrades!$U$11,J116),1)*IF(Upgrades!$T$12="Magnetosphere",POWER(Upgrades!$U$12,K116),1))+(IF(I116=0,0,(Upgrades!$J$10+I116*Upgrades!$K$10)*POWER(Upgrades!$L$10,I116)))*(IF(Upgrades!$T$6="Orbital Resonance",POWER(Upgrades!$U$6,E116),1)*IF(Upgrades!$T$7="Orbital Resonance",POWER(Upgrades!$U$7,F116),1)*IF(Upgrades!$T$8="Orbital Resonance",POWER(Upgrades!$U$8,G116),1)*IF(Upgrades!$T$9="Orbital Resonance",POWER(Upgrades!$U$9,H116),1)*IF(Upgrades!$T$11="Orbital Resonance",POWER(Upgrades!$U$11,J116),1)*IF(Upgrades!$T$12="Orbital Resonance",POWER(Upgrades!$U$12,K116),1))+(IF(J116=0,0,(Upgrades!$J$11+J116*Upgrades!$K$11)*POWER(Upgrades!$L$11,J116)))*(IF(Upgrades!$T$6="Heliopause",POWER(Upgrades!$U$6,E116),1)*IF(Upgrades!$T$7="Heliopause",POWER(Upgrades!$U$7,F116),1)*IF(Upgrades!$T$8="Heliopause",POWER(Upgrades!$U$8,G116),1)*IF(Upgrades!$T$9="Heliopause",POWER(Upgrades!$U$9,H116),1)*IF(Upgrades!$T$10="Heliopause",POWER(Upgrades!$U$10,I116),1)*IF(Upgrades!$T$12="Heliopause",POWER(Upgrades!$U$12,K116),1))+(IF(K116=0,0,(Upgrades!$J$12+K116*Upgrades!$K$12)*POWER(Upgrades!$L$12,K116)))*(IF(Upgrades!$T$6="First Photons",POWER(Upgrades!$U$6,E116),1)*IF(Upgrades!$T$7="First Photons",POWER(Upgrades!$U$7,F116),1)*IF(Upgrades!$T$8="First Photons",POWER(Upgrades!$U$8,G116),1)*IF(Upgrades!$T$9="First Photons",POWER(Upgrades!$U$9,H116),1)*IF(Upgrades!$T$10="First Photons",POWER(Upgrades!$U$10,I116),1)*IF(Upgrades!$T$11="First Photons",POWER(Upgrades!$U$11,J116),1)))*POWER(Upgrades!$Q$6,E116)*POWER(Upgrades!$Q$7,F116)*POWER(Upgrades!$Q$8,G116)*POWER(Upgrades!$Q$9,H116)*POWER(Upgrades!$Q$10,I116)*POWER(Upgrades!$Q$11,J116)*POWER(Upgrades!$Q$12,K116)</f>
        <v/>
      </c>
      <c r="N116" s="28">
        <f>((IF(E116=0,0,(Upgrades!$G$6+E116*Upgrades!$H$6)*POWER(Upgrades!$I$6,E116)))*(IF(Upgrades!$T$7="Solar Wind",POWER(Upgrades!$U$7,F116),1)*IF(Upgrades!$T$8="Solar Wind",POWER(Upgrades!$U$8,G116),1)*IF(Upgrades!$T$9="Solar Wind",POWER(Upgrades!$U$9,H116),1)*IF(Upgrades!$T$10="Solar Wind",POWER(Upgrades!$U$10,I116),1)*IF(Upgrades!$T$11="Solar Wind",POWER(Upgrades!$U$11,J116),1)*IF(Upgrades!$T$12="Solar Wind",POWER(Upgrades!$U$12,K116),1))+(IF(F116=0,0,(Upgrades!$G$7+F116*Upgrades!$H$7)*POWER(Upgrades!$I$7,F116)))*(IF(Upgrades!$T$6="Asteroid Belt",POWER(Upgrades!$U$6,E116),1)*IF(Upgrades!$T$8="Asteroid Belt",POWER(Upgrades!$U$8,G116),1)*IF(Upgrades!$T$9="Asteroid Belt",POWER(Upgrades!$U$9,H116),1)*IF(Upgrades!$T$10="Asteroid Belt",POWER(Upgrades!$U$10,I116),1)*IF(Upgrades!$T$11="Asteroid Belt",POWER(Upgrades!$U$11,J116),1)*IF(Upgrades!$T$12="Asteroid Belt",POWER(Upgrades!$U$12,K116),1))+(IF(G116=0,0,(Upgrades!$G$8+G116*Upgrades!$H$8)*POWER(Upgrades!$I$8,G116)))*(IF(Upgrades!$T$6="Stellar Coupling",POWER(Upgrades!$U$6,E116),1)*IF(Upgrades!$T$7="Stellar Coupling",POWER(Upgrades!$U$7,F116),1)*IF(Upgrades!$T$9="Stellar Coupling",POWER(Upgrades!$U$9,H116),1)*IF(Upgrades!$T$10="Stellar Coupling",POWER(Upgrades!$U$10,I116),1)*IF(Upgrades!$T$11="Stellar Coupling",POWER(Upgrades!$U$11,J116),1)*IF(Upgrades!$T$12="Stellar Coupling",POWER(Upgrades!$U$12,K116),1))+(IF(H116=0,0,(Upgrades!$G$9+H116*Upgrades!$H$9)*POWER(Upgrades!$I$9,H116)))*(IF(Upgrades!$T$6="Magnetosphere",POWER(Upgrades!$U$6,E116),1)*IF(Upgrades!$T$7="Magnetosphere",POWER(Upgrades!$U$7,F116),1)*IF(Upgrades!$T$8="Magnetosphere",POWER(Upgrades!$U$8,G116),1)*IF(Upgrades!$T$10="Magnetosphere",POWER(Upgrades!$U$10,I116),1)*IF(Upgrades!$T$11="Magnetosphere",POWER(Upgrades!$U$11,J116),1)*IF(Upgrades!$T$12="Magnetosphere",POWER(Upgrades!$U$12,K116),1))+(IF(I116=0,0,(Upgrades!$G$10+I116*Upgrades!$H$10)*POWER(Upgrades!$I$10,I116)))*(IF(Upgrades!$T$6="Orbital Resonance",POWER(Upgrades!$U$6,E116),1)*IF(Upgrades!$T$7="Orbital Resonance",POWER(Upgrades!$U$7,F116),1)*IF(Upgrades!$T$8="Orbital Resonance",POWER(Upgrades!$U$8,G116),1)*IF(Upgrades!$T$9="Orbital Resonance",POWER(Upgrades!$U$9,H116),1)*IF(Upgrades!$T$11="Orbital Resonance",POWER(Upgrades!$U$11,J116),1)*IF(Upgrades!$T$12="Orbital Resonance",POWER(Upgrades!$U$12,K116),1))+(IF(J116=0,0,(Upgrades!$G$11+J116*Upgrades!$H$11)*POWER(Upgrades!$I$11,J116)))*(IF(Upgrades!$T$6="Heliopause",POWER(Upgrades!$U$6,E116),1)*IF(Upgrades!$T$7="Heliopause",POWER(Upgrades!$U$7,F116),1)*IF(Upgrades!$T$8="Heliopause",POWER(Upgrades!$U$8,G116),1)*IF(Upgrades!$T$9="Heliopause",POWER(Upgrades!$U$9,H116),1)*IF(Upgrades!$T$10="Heliopause",POWER(Upgrades!$U$10,I116),1)*IF(Upgrades!$T$12="Heliopause",POWER(Upgrades!$U$12,K116),1))+(IF(K116=0,0,(Upgrades!$G$12+K116*Upgrades!$H$12)*POWER(Upgrades!$I$12,K116)))*(IF(Upgrades!$T$6="First Photons",POWER(Upgrades!$U$6,E116),1)*IF(Upgrades!$T$7="First Photons",POWER(Upgrades!$U$7,F116),1)*IF(Upgrades!$T$8="First Photons",POWER(Upgrades!$U$8,G116),1)*IF(Upgrades!$T$9="First Photons",POWER(Upgrades!$U$9,H116),1)*IF(Upgrades!$T$10="First Photons",POWER(Upgrades!$U$10,I116),1)*IF(Upgrades!$T$11="First Photons",POWER(Upgrades!$U$11,J116),1)))*POWER(Upgrades!$P$6,E116)*POWER(Upgrades!$P$7,F116)*POWER(Upgrades!$P$8,G116)*POWER(Upgrades!$P$9,H116)*POWER(Upgrades!$P$10,I116)*POWER(Upgrades!$P$11,J116)*POWER(Upgrades!$P$12,K116)</f>
        <v/>
      </c>
      <c r="O116" s="28">
        <f>((IF(E116=0,0,(Upgrades!$M$6+E116*Upgrades!$N$6)*POWER(Upgrades!$O$6,E116)))*(IF(Upgrades!$T$7="Solar Wind",POWER(Upgrades!$U$7,F116),1)*IF(Upgrades!$T$8="Solar Wind",POWER(Upgrades!$U$8,G116),1)*IF(Upgrades!$T$9="Solar Wind",POWER(Upgrades!$U$9,H116),1)*IF(Upgrades!$T$10="Solar Wind",POWER(Upgrades!$U$10,I116),1)*IF(Upgrades!$T$11="Solar Wind",POWER(Upgrades!$U$11,J116),1)*IF(Upgrades!$T$12="Solar Wind",POWER(Upgrades!$U$12,K116),1))+(IF(F116=0,0,(Upgrades!$M$7+F116*Upgrades!$N$7)*POWER(Upgrades!$O$7,F116)))*(IF(Upgrades!$T$6="Asteroid Belt",POWER(Upgrades!$U$6,E116),1)*IF(Upgrades!$T$8="Asteroid Belt",POWER(Upgrades!$U$8,G116),1)*IF(Upgrades!$T$9="Asteroid Belt",POWER(Upgrades!$U$9,H116),1)*IF(Upgrades!$T$10="Asteroid Belt",POWER(Upgrades!$U$10,I116),1)*IF(Upgrades!$T$11="Asteroid Belt",POWER(Upgrades!$U$11,J116),1)*IF(Upgrades!$T$12="Asteroid Belt",POWER(Upgrades!$U$12,K116),1))+(IF(G116=0,0,(Upgrades!$M$8+G116*Upgrades!$N$8)*POWER(Upgrades!$O$8,G116)))*(IF(Upgrades!$T$6="Stellar Coupling",POWER(Upgrades!$U$6,E116),1)*IF(Upgrades!$T$7="Stellar Coupling",POWER(Upgrades!$U$7,F116),1)*IF(Upgrades!$T$9="Stellar Coupling",POWER(Upgrades!$U$9,H116),1)*IF(Upgrades!$T$10="Stellar Coupling",POWER(Upgrades!$U$10,I116),1)*IF(Upgrades!$T$11="Stellar Coupling",POWER(Upgrades!$U$11,J116),1)*IF(Upgrades!$T$12="Stellar Coupling",POWER(Upgrades!$U$12,K116),1))+(IF(H116=0,0,(Upgrades!$M$9+H116*Upgrades!$N$9)*POWER(Upgrades!$O$9,H116)))*(IF(Upgrades!$T$6="Magnetosphere",POWER(Upgrades!$U$6,E116),1)*IF(Upgrades!$T$7="Magnetosphere",POWER(Upgrades!$U$7,F116),1)*IF(Upgrades!$T$8="Magnetosphere",POWER(Upgrades!$U$8,G116),1)*IF(Upgrades!$T$10="Magnetosphere",POWER(Upgrades!$U$10,I116),1)*IF(Upgrades!$T$11="Magnetosphere",POWER(Upgrades!$U$11,J116),1)*IF(Upgrades!$T$12="Magnetosphere",POWER(Upgrades!$U$12,K116),1))+(IF(I116=0,0,(Upgrades!$M$10+I116*Upgrades!$N$10)*POWER(Upgrades!$O$10,I116)))*(IF(Upgrades!$T$6="Orbital Resonance",POWER(Upgrades!$U$6,E116),1)*IF(Upgrades!$T$7="Orbital Resonance",POWER(Upgrades!$U$7,F116),1)*IF(Upgrades!$T$8="Orbital Resonance",POWER(Upgrades!$U$8,G116),1)*IF(Upgrades!$T$9="Orbital Resonance",POWER(Upgrades!$U$9,H116),1)*IF(Upgrades!$T$11="Orbital Resonance",POWER(Upgrades!$U$11,J116),1)*IF(Upgrades!$T$12="Orbital Resonance",POWER(Upgrades!$U$12,K116),1))+(IF(J116=0,0,(Upgrades!$M$11+J116*Upgrades!$N$11)*POWER(Upgrades!$O$11,J116)))*(IF(Upgrades!$T$6="Heliopause",POWER(Upgrades!$U$6,E116),1)*IF(Upgrades!$T$7="Heliopause",POWER(Upgrades!$U$7,F116),1)*IF(Upgrades!$T$8="Heliopause",POWER(Upgrades!$U$8,G116),1)*IF(Upgrades!$T$9="Heliopause",POWER(Upgrades!$U$9,H116),1)*IF(Upgrades!$T$10="Heliopause",POWER(Upgrades!$U$10,I116),1)*IF(Upgrades!$T$12="Heliopause",POWER(Upgrades!$U$12,K116),1))+(IF(K116=0,0,(Upgrades!$M$12+K116*Upgrades!$N$12)*POWER(Upgrades!$O$12,K116)))*(IF(Upgrades!$T$6="First Photons",POWER(Upgrades!$U$6,E116),1)*IF(Upgrades!$T$7="First Photons",POWER(Upgrades!$U$7,F116),1)*IF(Upgrades!$T$8="First Photons",POWER(Upgrades!$U$8,G116),1)*IF(Upgrades!$T$9="First Photons",POWER(Upgrades!$U$9,H116),1)*IF(Upgrades!$T$10="First Photons",POWER(Upgrades!$U$10,I116),1)*IF(Upgrades!$T$11="First Photons",POWER(Upgrades!$U$11,J116),1)))*POWER(Upgrades!$R$6,E116)*POWER(Upgrades!$R$7,F116)*POWER(Upgrades!$R$8,G116)*POWER(Upgrades!$R$9,H116)*POWER(Upgrades!$R$10,I116)*POWER(Upgrades!$R$11,J116)*POWER(Upgrades!$R$12,K116)</f>
        <v/>
      </c>
      <c r="P116" s="27">
        <f>IF(L116=1,0,M116*Parameters!$B$10/60*Parameters!$B$11*10)</f>
        <v/>
      </c>
      <c r="Q116" s="27">
        <f>IF(L116=1,0,O116*M116*10)</f>
        <v/>
      </c>
      <c r="R116" s="27">
        <f>IF(L116=1,0,N116*10)</f>
        <v/>
      </c>
      <c r="S116" s="27">
        <f>P116+Q116+R116</f>
        <v/>
      </c>
      <c r="T116" s="22">
        <f>C116+S116</f>
        <v/>
      </c>
      <c r="U116" s="33">
        <f>AX116</f>
        <v/>
      </c>
      <c r="V116" s="22">
        <f>IF(U116="",0,IF(U116="transition",0,IF(U116="SW",AG116,IF(U116="AB",AH116,IF(U116="SC",AI116,IF(U116="Mag",AJ116,IF(U116="OR",AK116,IF(U116="HP",AL116,IF(U116="FP",AM116,0)))))))))</f>
        <v/>
      </c>
      <c r="W116" s="27">
        <f>IF(U116="OR",Upgrades!$F$10,IF(U116="HP",Upgrades!$F$11,IF(U116="transition",-Parameters!$B$18,0)))</f>
        <v/>
      </c>
      <c r="X116" s="22">
        <f>T116-V116</f>
        <v/>
      </c>
      <c r="Y116" s="30">
        <f>M116*Parameters!$B$10/60*Parameters!$B$11+O116*M116+N116</f>
        <v/>
      </c>
      <c r="Z116" s="34">
        <f>IF(U116="transition","→ Tier 2 (Stellar Neighborhood)",IF(U116="FP","First Photons — light begins, system quickens",IF(U116="HP","Heliopause acquired",IF(U116="OR","Orbital Resonance — passive multiplier active",IF(AND(AO116=1,L116=0,AN116&lt;&gt;1),"Cohesion ready (waiting on completionist upgrades)","")))))</f>
        <v/>
      </c>
      <c r="AA116" s="27">
        <f>(IF(E116=0,0,(Upgrades!$G$6+E116*Upgrades!$H$6)*POWER(Upgrades!$I$6,E116)))*(IF(Upgrades!$T$7="Solar Wind",POWER(Upgrades!$U$7,F116),1)*IF(Upgrades!$T$8="Solar Wind",POWER(Upgrades!$U$8,G116),1)*IF(Upgrades!$T$9="Solar Wind",POWER(Upgrades!$U$9,H116),1)*IF(Upgrades!$T$10="Solar Wind",POWER(Upgrades!$U$10,I116),1)*IF(Upgrades!$T$11="Solar Wind",POWER(Upgrades!$U$11,J116),1)*IF(Upgrades!$T$12="Solar Wind",POWER(Upgrades!$U$12,K116),1))*POWER(Upgrades!$P$6,E116)*POWER(Upgrades!$P$7,F116)*POWER(Upgrades!$P$8,G116)*POWER(Upgrades!$P$9,H116)*POWER(Upgrades!$P$10,I116)*POWER(Upgrades!$P$11,J116)*POWER(Upgrades!$P$12,K116)*60</f>
        <v/>
      </c>
      <c r="AB116" s="27">
        <f>(IF(F116=0,0,(Upgrades!$G$7+F116*Upgrades!$H$7)*POWER(Upgrades!$I$7,F116)))*(IF(Upgrades!$T$6="Asteroid Belt",POWER(Upgrades!$U$6,E116),1)*IF(Upgrades!$T$8="Asteroid Belt",POWER(Upgrades!$U$8,G116),1)*IF(Upgrades!$T$9="Asteroid Belt",POWER(Upgrades!$U$9,H116),1)*IF(Upgrades!$T$10="Asteroid Belt",POWER(Upgrades!$U$10,I116),1)*IF(Upgrades!$T$11="Asteroid Belt",POWER(Upgrades!$U$11,J116),1)*IF(Upgrades!$T$12="Asteroid Belt",POWER(Upgrades!$U$12,K116),1))*POWER(Upgrades!$P$6,E116)*POWER(Upgrades!$P$7,F116)*POWER(Upgrades!$P$8,G116)*POWER(Upgrades!$P$9,H116)*POWER(Upgrades!$P$10,I116)*POWER(Upgrades!$P$11,J116)*POWER(Upgrades!$P$12,K116)*60</f>
        <v/>
      </c>
      <c r="AC116" s="27">
        <f>(IF(G116=0,0,(Upgrades!$J$8+G116*Upgrades!$K$8)*POWER(Upgrades!$L$8,G116)))*(IF(Upgrades!$T$6="Stellar Coupling",POWER(Upgrades!$U$6,E116),1)*IF(Upgrades!$T$7="Stellar Coupling",POWER(Upgrades!$U$7,F116),1)*IF(Upgrades!$T$9="Stellar Coupling",POWER(Upgrades!$U$9,H116),1)*IF(Upgrades!$T$10="Stellar Coupling",POWER(Upgrades!$U$10,I116),1)*IF(Upgrades!$T$11="Stellar Coupling",POWER(Upgrades!$U$11,J116),1)*IF(Upgrades!$T$12="Stellar Coupling",POWER(Upgrades!$U$12,K116),1))*POWER(Upgrades!$Q$6,E116)*POWER(Upgrades!$Q$7,F116)*POWER(Upgrades!$Q$8,G116)*POWER(Upgrades!$Q$9,H116)*POWER(Upgrades!$Q$10,I116)*POWER(Upgrades!$Q$11,J116)*POWER(Upgrades!$Q$12,K116)*Parameters!$B$10*Parameters!$B$11</f>
        <v/>
      </c>
      <c r="AD116" s="27">
        <f>(IF(H116=0,0,(Upgrades!$G$9+H116*Upgrades!$H$9)*POWER(Upgrades!$I$9,H116)))*(IF(Upgrades!$T$6="Magnetosphere",POWER(Upgrades!$U$6,E116),1)*IF(Upgrades!$T$7="Magnetosphere",POWER(Upgrades!$U$7,F116),1)*IF(Upgrades!$T$8="Magnetosphere",POWER(Upgrades!$U$8,G116),1)*IF(Upgrades!$T$10="Magnetosphere",POWER(Upgrades!$U$10,I116),1)*IF(Upgrades!$T$11="Magnetosphere",POWER(Upgrades!$U$11,J116),1)*IF(Upgrades!$T$12="Magnetosphere",POWER(Upgrades!$U$12,K116),1))*POWER(Upgrades!$P$6,E116)*POWER(Upgrades!$P$7,F116)*POWER(Upgrades!$P$8,G116)*POWER(Upgrades!$P$9,H116)*POWER(Upgrades!$P$10,I116)*POWER(Upgrades!$P$11,J116)*POWER(Upgrades!$P$12,K116)*60</f>
        <v/>
      </c>
      <c r="AE116" s="27">
        <f>(IF(K116=0,0,(Upgrades!$G$12+K116*Upgrades!$H$12)*POWER(Upgrades!$I$12,K116)))*(IF(Upgrades!$T$6="First Photons",POWER(Upgrades!$U$6,E116),1)*IF(Upgrades!$T$7="First Photons",POWER(Upgrades!$U$7,F116),1)*IF(Upgrades!$T$8="First Photons",POWER(Upgrades!$U$8,G116),1)*IF(Upgrades!$T$9="First Photons",POWER(Upgrades!$U$9,H116),1)*IF(Upgrades!$T$10="First Photons",POWER(Upgrades!$U$10,I116),1)*IF(Upgrades!$T$11="First Photons",POWER(Upgrades!$U$11,J116),1))*POWER(Upgrades!$P$6,E116)*POWER(Upgrades!$P$7,F116)*POWER(Upgrades!$P$8,G116)*POWER(Upgrades!$P$9,H116)*POWER(Upgrades!$P$10,I116)*POWER(Upgrades!$P$11,J116)*POWER(Upgrades!$P$12,K116)*60</f>
        <v/>
      </c>
      <c r="AF116" s="27">
        <f>Parameters!$B$9*POWER(Upgrades!$Q$6,E116)*POWER(Upgrades!$Q$7,F116)*POWER(Upgrades!$Q$8,G116)*POWER(Upgrades!$Q$9,H116)*POWER(Upgrades!$Q$10,I116)*POWER(Upgrades!$Q$11,J116)*POWER(Upgrades!$Q$12,K116)*(Parameters!$B$10*Parameters!$B$11+O116*60)</f>
        <v/>
      </c>
      <c r="AG116" s="22">
        <f>IF(E116&gt;=Upgrades!$E$6,"",Upgrades!$C$6*POWER(Upgrades!$D$6,E116))</f>
        <v/>
      </c>
      <c r="AH116" s="22">
        <f>IF(F116&gt;=Upgrades!$E$7,"",Upgrades!$C$7*POWER(Upgrades!$D$7,F116))</f>
        <v/>
      </c>
      <c r="AI116" s="22">
        <f>IF(G116&gt;=Upgrades!$E$8,"",Upgrades!$C$8*POWER(Upgrades!$D$8,G116))</f>
        <v/>
      </c>
      <c r="AJ116" s="22">
        <f>IF(H116&gt;=Upgrades!$E$9,"",Upgrades!$C$9*POWER(Upgrades!$D$9,H116))</f>
        <v/>
      </c>
      <c r="AK116" s="22">
        <f>IF(I116&gt;=Upgrades!$E$10,"",Upgrades!$C$10*POWER(Upgrades!$D$10,I116))</f>
        <v/>
      </c>
      <c r="AL116" s="22">
        <f>IF(J116&gt;=Upgrades!$E$11,"",Upgrades!$C$11*POWER(Upgrades!$D$11,J116))</f>
        <v/>
      </c>
      <c r="AM116" s="22">
        <f>IF(K116&gt;=Upgrades!$E$12,"",Upgrades!$C$12*POWER(Upgrades!$D$12,K116))</f>
        <v/>
      </c>
      <c r="AN116" s="26">
        <f>IF(AND(D116&gt;=Parameters!$B$18,(H116&gt;=Upgrades!$E$9)*(K116&gt;=Upgrades!$E$12)=1,L116=0),1,"")</f>
        <v/>
      </c>
      <c r="AO116" s="26">
        <f>IF(AND(D116&gt;=Parameters!$B$18,L116=0),1,"")</f>
        <v/>
      </c>
      <c r="AP116" s="22">
        <f>MIN(IF(ISNUMBER(AK116),AK116,9E15),IF(ISNUMBER(AL116),AL116,9E15),IF(ISNUMBER(AM116),AM116,9E15))</f>
        <v/>
      </c>
      <c r="AQ116" s="22">
        <f>MIN(IF(ISNUMBER(AG116),AG116,9E15),IF(ISNUMBER(AH116),AH116,9E15),IF(ISNUMBER(AI116),AI116,9E15),IF(ISNUMBER(AJ116),AJ116,9E15))</f>
        <v/>
      </c>
      <c r="AR116" s="29">
        <f>IF(AW116&gt;Parameters!$B$21*(MAX(IF(AND(NOT(AND(AO116=1,AN116&lt;&gt;1)),ISNUMBER(AG116),AG116&lt;=T116),AS116,0),IF(AND(NOT(AND(AO116=1,AN116&lt;&gt;1)),ISNUMBER(AH116),AH116&lt;=T116),AT116,0),IF(AND(NOT(AND(AO116=1,AN116&lt;&gt;1)),ISNUMBER(AI116),AI116&lt;=T116),AU116,0),IF(AND(ISNUMBER(AJ116),AJ116&lt;=T116),AV116,0))),TRUE,FALSE)</f>
        <v/>
      </c>
      <c r="AS116" s="32">
        <f>IFERROR(Upgrades!$H$6*(POWER(Upgrades!$P$6,E116)*POWER(Upgrades!$P$7,F116)*POWER(Upgrades!$P$8,G116)*POWER(Upgrades!$P$9,H116)*POWER(Upgrades!$P$10,I116)*POWER(Upgrades!$P$11,J116)*POWER(Upgrades!$P$12,K116))*(IF(Upgrades!$T$7="Solar Wind",POWER(Upgrades!$U$7,F116),1)*IF(Upgrades!$T$8="Solar Wind",POWER(Upgrades!$U$8,G116),1)*IF(Upgrades!$T$9="Solar Wind",POWER(Upgrades!$U$9,H116),1)*IF(Upgrades!$T$10="Solar Wind",POWER(Upgrades!$U$10,I116),1)*IF(Upgrades!$T$11="Solar Wind",POWER(Upgrades!$U$11,J116),1)*IF(Upgrades!$T$12="Solar Wind",POWER(Upgrades!$U$12,K116),1))/AG116,0)</f>
        <v/>
      </c>
      <c r="AT116" s="32">
        <f>IFERROR(Upgrades!$H$7*(POWER(Upgrades!$P$6,E116)*POWER(Upgrades!$P$7,F116)*POWER(Upgrades!$P$8,G116)*POWER(Upgrades!$P$9,H116)*POWER(Upgrades!$P$10,I116)*POWER(Upgrades!$P$11,J116)*POWER(Upgrades!$P$12,K116))*(IF(Upgrades!$T$6="Asteroid Belt",POWER(Upgrades!$U$6,E116),1)*IF(Upgrades!$T$8="Asteroid Belt",POWER(Upgrades!$U$8,G116),1)*IF(Upgrades!$T$9="Asteroid Belt",POWER(Upgrades!$U$9,H116),1)*IF(Upgrades!$T$10="Asteroid Belt",POWER(Upgrades!$U$10,I116),1)*IF(Upgrades!$T$11="Asteroid Belt",POWER(Upgrades!$U$11,J116),1)*IF(Upgrades!$T$12="Asteroid Belt",POWER(Upgrades!$U$12,K116),1))/AH116,0)</f>
        <v/>
      </c>
      <c r="AU116" s="32">
        <f>IFERROR(Upgrades!$K$8*(POWER(Upgrades!$Q$6,E116)*POWER(Upgrades!$Q$7,F116)*POWER(Upgrades!$Q$8,G116)*POWER(Upgrades!$Q$9,H116)*POWER(Upgrades!$Q$10,I116)*POWER(Upgrades!$Q$11,J116)*POWER(Upgrades!$Q$12,K116))*(IF(Upgrades!$T$6="Stellar Coupling",POWER(Upgrades!$U$6,E116),1)*IF(Upgrades!$T$7="Stellar Coupling",POWER(Upgrades!$U$7,F116),1)*IF(Upgrades!$T$9="Stellar Coupling",POWER(Upgrades!$U$9,H116),1)*IF(Upgrades!$T$10="Stellar Coupling",POWER(Upgrades!$U$10,I116),1)*IF(Upgrades!$T$11="Stellar Coupling",POWER(Upgrades!$U$11,J116),1)*IF(Upgrades!$T$12="Stellar Coupling",POWER(Upgrades!$U$12,K116),1))*Parameters!$B$10*Parameters!$B$11/60/AI116,0)</f>
        <v/>
      </c>
      <c r="AV116" s="32">
        <f>IFERROR(Upgrades!$H$9*(POWER(Upgrades!$P$6,E116)*POWER(Upgrades!$P$7,F116)*POWER(Upgrades!$P$8,G116)*POWER(Upgrades!$P$9,H116)*POWER(Upgrades!$P$10,I116)*POWER(Upgrades!$P$11,J116)*POWER(Upgrades!$P$12,K116))*(IF(Upgrades!$T$6="Magnetosphere",POWER(Upgrades!$U$6,E116),1)*IF(Upgrades!$T$7="Magnetosphere",POWER(Upgrades!$U$7,F116),1)*IF(Upgrades!$T$8="Magnetosphere",POWER(Upgrades!$U$8,G116),1)*IF(Upgrades!$T$10="Magnetosphere",POWER(Upgrades!$U$10,I116),1)*IF(Upgrades!$T$11="Magnetosphere",POWER(Upgrades!$U$11,J116),1)*IF(Upgrades!$T$12="Magnetosphere",POWER(Upgrades!$U$12,K116),1))/AJ116,0)</f>
        <v/>
      </c>
      <c r="AW116" s="32">
        <f>MAX(IF(I116&gt;0,0,IFERROR(0.25*N116/Upgrades!$C$10,0)),IF(J116&gt;0,0,IFERROR(0.5*((IF(G116=0,0,(Upgrades!$J$8+G116*Upgrades!$K$8)*POWER(Upgrades!$L$8,G116)))*(IF(Upgrades!$T$6="Stellar Coupling",POWER(Upgrades!$U$6,E116),1)*IF(Upgrades!$T$7="Stellar Coupling",POWER(Upgrades!$U$7,F116),1)*IF(Upgrades!$T$9="Stellar Coupling",POWER(Upgrades!$U$9,H116),1)*IF(Upgrades!$T$10="Stellar Coupling",POWER(Upgrades!$U$10,I116),1)*IF(Upgrades!$T$11="Stellar Coupling",POWER(Upgrades!$U$11,J116),1)*IF(Upgrades!$T$12="Stellar Coupling",POWER(Upgrades!$U$12,K116),1))*(POWER(Upgrades!$Q$6,E116)*POWER(Upgrades!$Q$7,F116)*POWER(Upgrades!$Q$8,G116)*POWER(Upgrades!$Q$9,H116)*POWER(Upgrades!$Q$10,I116)*POWER(Upgrades!$Q$11,J116)*POWER(Upgrades!$Q$12,K116))*Parameters!$B$10*Parameters!$B$11/60)/Upgrades!$C$11,0)),IF(K116&gt;0,0,IFERROR((1.0*(POWER(Upgrades!$P$6,E116)*POWER(Upgrades!$P$7,F116)*POWER(Upgrades!$P$8,G116)*POWER(Upgrades!$P$9,H116)*POWER(Upgrades!$P$10,I116)*POWER(Upgrades!$P$11,J116)*POWER(Upgrades!$P$12,K116))+0.20*M116*Parameters!$B$10*Parameters!$B$11/60)/Upgrades!$C$12,0)),IF(AND(ISNUMBER(AG116),AG116&gt;T116),AS116,0),IF(AND(ISNUMBER(AH116),AH116&gt;T116),AT116,0),IF(AND(ISNUMBER(AI116),AI116&gt;T116),AU116,0),IF(AND(ISNUMBER(AJ116),AJ116&gt;T116),AV116,0))</f>
        <v/>
      </c>
      <c r="AX116" s="29">
        <f>IF(AN116=1,"transition",IF(MIN(IF(AND(I116=0,ISNUMBER(AK116),AK116&lt;=T116),AK116,9E15),IF(AND(J116=0,ISNUMBER(AL116),AL116&lt;=T116),AL116,9E15),IF(AND(K116=0,ISNUMBER(AM116),AM116&lt;=T116),AM116,9E15))&lt;9E15,IF(AND(AND(I116=0,ISNUMBER(AK116),AK116&lt;=T116),AK116=MIN(IF(AND(I116=0,ISNUMBER(AK116),AK116&lt;=T116),AK116,9E15),IF(AND(J116=0,ISNUMBER(AL116),AL116&lt;=T116),AL116,9E15),IF(AND(K116=0,ISNUMBER(AM116),AM116&lt;=T116),AM116,9E15))),"OR",IF(AND(AND(J116=0,ISNUMBER(AL116),AL116&lt;=T116),AL116=MIN(IF(AND(I116=0,ISNUMBER(AK116),AK116&lt;=T116),AK116,9E15),IF(AND(J116=0,ISNUMBER(AL116),AL116&lt;=T116),AL116,9E15),IF(AND(K116=0,ISNUMBER(AM116),AM116&lt;=T116),AM116,9E15))),"HP","FP")),IF(AR116=TRUE,"",IF(MAX(IF(AND(NOT(AND(AO116=1,AN116&lt;&gt;1)),ISNUMBER(AG116),AG116&lt;=T116),AS116,0),IF(AND(NOT(AND(AO116=1,AN116&lt;&gt;1)),ISNUMBER(AH116),AH116&lt;=T116),AT116,0),IF(AND(NOT(AND(AO116=1,AN116&lt;&gt;1)),ISNUMBER(AI116),AI116&lt;=T116),AU116,0),IF(AND(ISNUMBER(AJ116),AJ116&lt;=T116),AV116,0))&lt;=0,"",IF(AND(IF(AND(NOT(AND(AO116=1,AN116&lt;&gt;1)),ISNUMBER(AG116),AG116&lt;=T116),AS116,0)&gt;0,IF(AND(NOT(AND(AO116=1,AN116&lt;&gt;1)),ISNUMBER(AG116),AG116&lt;=T116),AS116,0)=MAX(IF(AND(NOT(AND(AO116=1,AN116&lt;&gt;1)),ISNUMBER(AG116),AG116&lt;=T116),AS116,0),IF(AND(NOT(AND(AO116=1,AN116&lt;&gt;1)),ISNUMBER(AH116),AH116&lt;=T116),AT116,0),IF(AND(NOT(AND(AO116=1,AN116&lt;&gt;1)),ISNUMBER(AI116),AI116&lt;=T116),AU116,0),IF(AND(ISNUMBER(AJ116),AJ116&lt;=T116),AV116,0))),"SW",IF(AND(IF(AND(NOT(AND(AO116=1,AN116&lt;&gt;1)),ISNUMBER(AH116),AH116&lt;=T116),AT116,0)&gt;0,IF(AND(NOT(AND(AO116=1,AN116&lt;&gt;1)),ISNUMBER(AH116),AH116&lt;=T116),AT116,0)=MAX(IF(AND(NOT(AND(AO116=1,AN116&lt;&gt;1)),ISNUMBER(AG116),AG116&lt;=T116),AS116,0),IF(AND(NOT(AND(AO116=1,AN116&lt;&gt;1)),ISNUMBER(AH116),AH116&lt;=T116),AT116,0),IF(AND(NOT(AND(AO116=1,AN116&lt;&gt;1)),ISNUMBER(AI116),AI116&lt;=T116),AU116,0),IF(AND(ISNUMBER(AJ116),AJ116&lt;=T116),AV116,0))),"AB",IF(AND(IF(AND(NOT(AND(AO116=1,AN116&lt;&gt;1)),ISNUMBER(AI116),AI116&lt;=T116),AU116,0)&gt;0,IF(AND(NOT(AND(AO116=1,AN116&lt;&gt;1)),ISNUMBER(AI116),AI116&lt;=T116),AU116,0)=MAX(IF(AND(NOT(AND(AO116=1,AN116&lt;&gt;1)),ISNUMBER(AG116),AG116&lt;=T116),AS116,0),IF(AND(NOT(AND(AO116=1,AN116&lt;&gt;1)),ISNUMBER(AH116),AH116&lt;=T116),AT116,0),IF(AND(NOT(AND(AO116=1,AN116&lt;&gt;1)),ISNUMBER(AI116),AI116&lt;=T116),AU116,0),IF(AND(ISNUMBER(AJ116),AJ116&lt;=T116),AV116,0))),"SC","Mag")))))))</f>
        <v/>
      </c>
    </row>
    <row r="117">
      <c r="A117" s="26" t="n">
        <v>112</v>
      </c>
      <c r="B117" s="27">
        <f>A117*10/60</f>
        <v/>
      </c>
      <c r="C117" s="22">
        <f>X116</f>
        <v/>
      </c>
      <c r="D117" s="27">
        <f>D116+W116</f>
        <v/>
      </c>
      <c r="E117" s="26">
        <f>E116+IF(U116="SW",1,0)</f>
        <v/>
      </c>
      <c r="F117" s="26">
        <f>F116+IF(U116="AB",1,0)</f>
        <v/>
      </c>
      <c r="G117" s="26">
        <f>G116+IF(U116="SC",1,0)</f>
        <v/>
      </c>
      <c r="H117" s="26">
        <f>H116+IF(U116="Mag",1,0)</f>
        <v/>
      </c>
      <c r="I117" s="26">
        <f>MAX(I116,IF(U116="OR",1,0))</f>
        <v/>
      </c>
      <c r="J117" s="26">
        <f>MAX(J116,IF(U116="HP",1,0))</f>
        <v/>
      </c>
      <c r="K117" s="26">
        <f>MAX(K116,IF(U116="FP",1,0))</f>
        <v/>
      </c>
      <c r="L117" s="26">
        <f>MAX(L116,IF(U116="transition",1,0))</f>
        <v/>
      </c>
      <c r="M117" s="28">
        <f>(Parameters!$B$9+(IF(E117=0,0,(Upgrades!$J$6+E117*Upgrades!$K$6)*POWER(Upgrades!$L$6,E117)))*(IF(Upgrades!$T$7="Solar Wind",POWER(Upgrades!$U$7,F117),1)*IF(Upgrades!$T$8="Solar Wind",POWER(Upgrades!$U$8,G117),1)*IF(Upgrades!$T$9="Solar Wind",POWER(Upgrades!$U$9,H117),1)*IF(Upgrades!$T$10="Solar Wind",POWER(Upgrades!$U$10,I117),1)*IF(Upgrades!$T$11="Solar Wind",POWER(Upgrades!$U$11,J117),1)*IF(Upgrades!$T$12="Solar Wind",POWER(Upgrades!$U$12,K117),1))+(IF(F117=0,0,(Upgrades!$J$7+F117*Upgrades!$K$7)*POWER(Upgrades!$L$7,F117)))*(IF(Upgrades!$T$6="Asteroid Belt",POWER(Upgrades!$U$6,E117),1)*IF(Upgrades!$T$8="Asteroid Belt",POWER(Upgrades!$U$8,G117),1)*IF(Upgrades!$T$9="Asteroid Belt",POWER(Upgrades!$U$9,H117),1)*IF(Upgrades!$T$10="Asteroid Belt",POWER(Upgrades!$U$10,I117),1)*IF(Upgrades!$T$11="Asteroid Belt",POWER(Upgrades!$U$11,J117),1)*IF(Upgrades!$T$12="Asteroid Belt",POWER(Upgrades!$U$12,K117),1))+(IF(G117=0,0,(Upgrades!$J$8+G117*Upgrades!$K$8)*POWER(Upgrades!$L$8,G117)))*(IF(Upgrades!$T$6="Stellar Coupling",POWER(Upgrades!$U$6,E117),1)*IF(Upgrades!$T$7="Stellar Coupling",POWER(Upgrades!$U$7,F117),1)*IF(Upgrades!$T$9="Stellar Coupling",POWER(Upgrades!$U$9,H117),1)*IF(Upgrades!$T$10="Stellar Coupling",POWER(Upgrades!$U$10,I117),1)*IF(Upgrades!$T$11="Stellar Coupling",POWER(Upgrades!$U$11,J117),1)*IF(Upgrades!$T$12="Stellar Coupling",POWER(Upgrades!$U$12,K117),1))+(IF(H117=0,0,(Upgrades!$J$9+H117*Upgrades!$K$9)*POWER(Upgrades!$L$9,H117)))*(IF(Upgrades!$T$6="Magnetosphere",POWER(Upgrades!$U$6,E117),1)*IF(Upgrades!$T$7="Magnetosphere",POWER(Upgrades!$U$7,F117),1)*IF(Upgrades!$T$8="Magnetosphere",POWER(Upgrades!$U$8,G117),1)*IF(Upgrades!$T$10="Magnetosphere",POWER(Upgrades!$U$10,I117),1)*IF(Upgrades!$T$11="Magnetosphere",POWER(Upgrades!$U$11,J117),1)*IF(Upgrades!$T$12="Magnetosphere",POWER(Upgrades!$U$12,K117),1))+(IF(I117=0,0,(Upgrades!$J$10+I117*Upgrades!$K$10)*POWER(Upgrades!$L$10,I117)))*(IF(Upgrades!$T$6="Orbital Resonance",POWER(Upgrades!$U$6,E117),1)*IF(Upgrades!$T$7="Orbital Resonance",POWER(Upgrades!$U$7,F117),1)*IF(Upgrades!$T$8="Orbital Resonance",POWER(Upgrades!$U$8,G117),1)*IF(Upgrades!$T$9="Orbital Resonance",POWER(Upgrades!$U$9,H117),1)*IF(Upgrades!$T$11="Orbital Resonance",POWER(Upgrades!$U$11,J117),1)*IF(Upgrades!$T$12="Orbital Resonance",POWER(Upgrades!$U$12,K117),1))+(IF(J117=0,0,(Upgrades!$J$11+J117*Upgrades!$K$11)*POWER(Upgrades!$L$11,J117)))*(IF(Upgrades!$T$6="Heliopause",POWER(Upgrades!$U$6,E117),1)*IF(Upgrades!$T$7="Heliopause",POWER(Upgrades!$U$7,F117),1)*IF(Upgrades!$T$8="Heliopause",POWER(Upgrades!$U$8,G117),1)*IF(Upgrades!$T$9="Heliopause",POWER(Upgrades!$U$9,H117),1)*IF(Upgrades!$T$10="Heliopause",POWER(Upgrades!$U$10,I117),1)*IF(Upgrades!$T$12="Heliopause",POWER(Upgrades!$U$12,K117),1))+(IF(K117=0,0,(Upgrades!$J$12+K117*Upgrades!$K$12)*POWER(Upgrades!$L$12,K117)))*(IF(Upgrades!$T$6="First Photons",POWER(Upgrades!$U$6,E117),1)*IF(Upgrades!$T$7="First Photons",POWER(Upgrades!$U$7,F117),1)*IF(Upgrades!$T$8="First Photons",POWER(Upgrades!$U$8,G117),1)*IF(Upgrades!$T$9="First Photons",POWER(Upgrades!$U$9,H117),1)*IF(Upgrades!$T$10="First Photons",POWER(Upgrades!$U$10,I117),1)*IF(Upgrades!$T$11="First Photons",POWER(Upgrades!$U$11,J117),1)))*POWER(Upgrades!$Q$6,E117)*POWER(Upgrades!$Q$7,F117)*POWER(Upgrades!$Q$8,G117)*POWER(Upgrades!$Q$9,H117)*POWER(Upgrades!$Q$10,I117)*POWER(Upgrades!$Q$11,J117)*POWER(Upgrades!$Q$12,K117)</f>
        <v/>
      </c>
      <c r="N117" s="28">
        <f>((IF(E117=0,0,(Upgrades!$G$6+E117*Upgrades!$H$6)*POWER(Upgrades!$I$6,E117)))*(IF(Upgrades!$T$7="Solar Wind",POWER(Upgrades!$U$7,F117),1)*IF(Upgrades!$T$8="Solar Wind",POWER(Upgrades!$U$8,G117),1)*IF(Upgrades!$T$9="Solar Wind",POWER(Upgrades!$U$9,H117),1)*IF(Upgrades!$T$10="Solar Wind",POWER(Upgrades!$U$10,I117),1)*IF(Upgrades!$T$11="Solar Wind",POWER(Upgrades!$U$11,J117),1)*IF(Upgrades!$T$12="Solar Wind",POWER(Upgrades!$U$12,K117),1))+(IF(F117=0,0,(Upgrades!$G$7+F117*Upgrades!$H$7)*POWER(Upgrades!$I$7,F117)))*(IF(Upgrades!$T$6="Asteroid Belt",POWER(Upgrades!$U$6,E117),1)*IF(Upgrades!$T$8="Asteroid Belt",POWER(Upgrades!$U$8,G117),1)*IF(Upgrades!$T$9="Asteroid Belt",POWER(Upgrades!$U$9,H117),1)*IF(Upgrades!$T$10="Asteroid Belt",POWER(Upgrades!$U$10,I117),1)*IF(Upgrades!$T$11="Asteroid Belt",POWER(Upgrades!$U$11,J117),1)*IF(Upgrades!$T$12="Asteroid Belt",POWER(Upgrades!$U$12,K117),1))+(IF(G117=0,0,(Upgrades!$G$8+G117*Upgrades!$H$8)*POWER(Upgrades!$I$8,G117)))*(IF(Upgrades!$T$6="Stellar Coupling",POWER(Upgrades!$U$6,E117),1)*IF(Upgrades!$T$7="Stellar Coupling",POWER(Upgrades!$U$7,F117),1)*IF(Upgrades!$T$9="Stellar Coupling",POWER(Upgrades!$U$9,H117),1)*IF(Upgrades!$T$10="Stellar Coupling",POWER(Upgrades!$U$10,I117),1)*IF(Upgrades!$T$11="Stellar Coupling",POWER(Upgrades!$U$11,J117),1)*IF(Upgrades!$T$12="Stellar Coupling",POWER(Upgrades!$U$12,K117),1))+(IF(H117=0,0,(Upgrades!$G$9+H117*Upgrades!$H$9)*POWER(Upgrades!$I$9,H117)))*(IF(Upgrades!$T$6="Magnetosphere",POWER(Upgrades!$U$6,E117),1)*IF(Upgrades!$T$7="Magnetosphere",POWER(Upgrades!$U$7,F117),1)*IF(Upgrades!$T$8="Magnetosphere",POWER(Upgrades!$U$8,G117),1)*IF(Upgrades!$T$10="Magnetosphere",POWER(Upgrades!$U$10,I117),1)*IF(Upgrades!$T$11="Magnetosphere",POWER(Upgrades!$U$11,J117),1)*IF(Upgrades!$T$12="Magnetosphere",POWER(Upgrades!$U$12,K117),1))+(IF(I117=0,0,(Upgrades!$G$10+I117*Upgrades!$H$10)*POWER(Upgrades!$I$10,I117)))*(IF(Upgrades!$T$6="Orbital Resonance",POWER(Upgrades!$U$6,E117),1)*IF(Upgrades!$T$7="Orbital Resonance",POWER(Upgrades!$U$7,F117),1)*IF(Upgrades!$T$8="Orbital Resonance",POWER(Upgrades!$U$8,G117),1)*IF(Upgrades!$T$9="Orbital Resonance",POWER(Upgrades!$U$9,H117),1)*IF(Upgrades!$T$11="Orbital Resonance",POWER(Upgrades!$U$11,J117),1)*IF(Upgrades!$T$12="Orbital Resonance",POWER(Upgrades!$U$12,K117),1))+(IF(J117=0,0,(Upgrades!$G$11+J117*Upgrades!$H$11)*POWER(Upgrades!$I$11,J117)))*(IF(Upgrades!$T$6="Heliopause",POWER(Upgrades!$U$6,E117),1)*IF(Upgrades!$T$7="Heliopause",POWER(Upgrades!$U$7,F117),1)*IF(Upgrades!$T$8="Heliopause",POWER(Upgrades!$U$8,G117),1)*IF(Upgrades!$T$9="Heliopause",POWER(Upgrades!$U$9,H117),1)*IF(Upgrades!$T$10="Heliopause",POWER(Upgrades!$U$10,I117),1)*IF(Upgrades!$T$12="Heliopause",POWER(Upgrades!$U$12,K117),1))+(IF(K117=0,0,(Upgrades!$G$12+K117*Upgrades!$H$12)*POWER(Upgrades!$I$12,K117)))*(IF(Upgrades!$T$6="First Photons",POWER(Upgrades!$U$6,E117),1)*IF(Upgrades!$T$7="First Photons",POWER(Upgrades!$U$7,F117),1)*IF(Upgrades!$T$8="First Photons",POWER(Upgrades!$U$8,G117),1)*IF(Upgrades!$T$9="First Photons",POWER(Upgrades!$U$9,H117),1)*IF(Upgrades!$T$10="First Photons",POWER(Upgrades!$U$10,I117),1)*IF(Upgrades!$T$11="First Photons",POWER(Upgrades!$U$11,J117),1)))*POWER(Upgrades!$P$6,E117)*POWER(Upgrades!$P$7,F117)*POWER(Upgrades!$P$8,G117)*POWER(Upgrades!$P$9,H117)*POWER(Upgrades!$P$10,I117)*POWER(Upgrades!$P$11,J117)*POWER(Upgrades!$P$12,K117)</f>
        <v/>
      </c>
      <c r="O117" s="28">
        <f>((IF(E117=0,0,(Upgrades!$M$6+E117*Upgrades!$N$6)*POWER(Upgrades!$O$6,E117)))*(IF(Upgrades!$T$7="Solar Wind",POWER(Upgrades!$U$7,F117),1)*IF(Upgrades!$T$8="Solar Wind",POWER(Upgrades!$U$8,G117),1)*IF(Upgrades!$T$9="Solar Wind",POWER(Upgrades!$U$9,H117),1)*IF(Upgrades!$T$10="Solar Wind",POWER(Upgrades!$U$10,I117),1)*IF(Upgrades!$T$11="Solar Wind",POWER(Upgrades!$U$11,J117),1)*IF(Upgrades!$T$12="Solar Wind",POWER(Upgrades!$U$12,K117),1))+(IF(F117=0,0,(Upgrades!$M$7+F117*Upgrades!$N$7)*POWER(Upgrades!$O$7,F117)))*(IF(Upgrades!$T$6="Asteroid Belt",POWER(Upgrades!$U$6,E117),1)*IF(Upgrades!$T$8="Asteroid Belt",POWER(Upgrades!$U$8,G117),1)*IF(Upgrades!$T$9="Asteroid Belt",POWER(Upgrades!$U$9,H117),1)*IF(Upgrades!$T$10="Asteroid Belt",POWER(Upgrades!$U$10,I117),1)*IF(Upgrades!$T$11="Asteroid Belt",POWER(Upgrades!$U$11,J117),1)*IF(Upgrades!$T$12="Asteroid Belt",POWER(Upgrades!$U$12,K117),1))+(IF(G117=0,0,(Upgrades!$M$8+G117*Upgrades!$N$8)*POWER(Upgrades!$O$8,G117)))*(IF(Upgrades!$T$6="Stellar Coupling",POWER(Upgrades!$U$6,E117),1)*IF(Upgrades!$T$7="Stellar Coupling",POWER(Upgrades!$U$7,F117),1)*IF(Upgrades!$T$9="Stellar Coupling",POWER(Upgrades!$U$9,H117),1)*IF(Upgrades!$T$10="Stellar Coupling",POWER(Upgrades!$U$10,I117),1)*IF(Upgrades!$T$11="Stellar Coupling",POWER(Upgrades!$U$11,J117),1)*IF(Upgrades!$T$12="Stellar Coupling",POWER(Upgrades!$U$12,K117),1))+(IF(H117=0,0,(Upgrades!$M$9+H117*Upgrades!$N$9)*POWER(Upgrades!$O$9,H117)))*(IF(Upgrades!$T$6="Magnetosphere",POWER(Upgrades!$U$6,E117),1)*IF(Upgrades!$T$7="Magnetosphere",POWER(Upgrades!$U$7,F117),1)*IF(Upgrades!$T$8="Magnetosphere",POWER(Upgrades!$U$8,G117),1)*IF(Upgrades!$T$10="Magnetosphere",POWER(Upgrades!$U$10,I117),1)*IF(Upgrades!$T$11="Magnetosphere",POWER(Upgrades!$U$11,J117),1)*IF(Upgrades!$T$12="Magnetosphere",POWER(Upgrades!$U$12,K117),1))+(IF(I117=0,0,(Upgrades!$M$10+I117*Upgrades!$N$10)*POWER(Upgrades!$O$10,I117)))*(IF(Upgrades!$T$6="Orbital Resonance",POWER(Upgrades!$U$6,E117),1)*IF(Upgrades!$T$7="Orbital Resonance",POWER(Upgrades!$U$7,F117),1)*IF(Upgrades!$T$8="Orbital Resonance",POWER(Upgrades!$U$8,G117),1)*IF(Upgrades!$T$9="Orbital Resonance",POWER(Upgrades!$U$9,H117),1)*IF(Upgrades!$T$11="Orbital Resonance",POWER(Upgrades!$U$11,J117),1)*IF(Upgrades!$T$12="Orbital Resonance",POWER(Upgrades!$U$12,K117),1))+(IF(J117=0,0,(Upgrades!$M$11+J117*Upgrades!$N$11)*POWER(Upgrades!$O$11,J117)))*(IF(Upgrades!$T$6="Heliopause",POWER(Upgrades!$U$6,E117),1)*IF(Upgrades!$T$7="Heliopause",POWER(Upgrades!$U$7,F117),1)*IF(Upgrades!$T$8="Heliopause",POWER(Upgrades!$U$8,G117),1)*IF(Upgrades!$T$9="Heliopause",POWER(Upgrades!$U$9,H117),1)*IF(Upgrades!$T$10="Heliopause",POWER(Upgrades!$U$10,I117),1)*IF(Upgrades!$T$12="Heliopause",POWER(Upgrades!$U$12,K117),1))+(IF(K117=0,0,(Upgrades!$M$12+K117*Upgrades!$N$12)*POWER(Upgrades!$O$12,K117)))*(IF(Upgrades!$T$6="First Photons",POWER(Upgrades!$U$6,E117),1)*IF(Upgrades!$T$7="First Photons",POWER(Upgrades!$U$7,F117),1)*IF(Upgrades!$T$8="First Photons",POWER(Upgrades!$U$8,G117),1)*IF(Upgrades!$T$9="First Photons",POWER(Upgrades!$U$9,H117),1)*IF(Upgrades!$T$10="First Photons",POWER(Upgrades!$U$10,I117),1)*IF(Upgrades!$T$11="First Photons",POWER(Upgrades!$U$11,J117),1)))*POWER(Upgrades!$R$6,E117)*POWER(Upgrades!$R$7,F117)*POWER(Upgrades!$R$8,G117)*POWER(Upgrades!$R$9,H117)*POWER(Upgrades!$R$10,I117)*POWER(Upgrades!$R$11,J117)*POWER(Upgrades!$R$12,K117)</f>
        <v/>
      </c>
      <c r="P117" s="27">
        <f>IF(L117=1,0,M117*Parameters!$B$10/60*Parameters!$B$11*10)</f>
        <v/>
      </c>
      <c r="Q117" s="27">
        <f>IF(L117=1,0,O117*M117*10)</f>
        <v/>
      </c>
      <c r="R117" s="27">
        <f>IF(L117=1,0,N117*10)</f>
        <v/>
      </c>
      <c r="S117" s="27">
        <f>P117+Q117+R117</f>
        <v/>
      </c>
      <c r="T117" s="22">
        <f>C117+S117</f>
        <v/>
      </c>
      <c r="U117" s="33">
        <f>AX117</f>
        <v/>
      </c>
      <c r="V117" s="22">
        <f>IF(U117="",0,IF(U117="transition",0,IF(U117="SW",AG117,IF(U117="AB",AH117,IF(U117="SC",AI117,IF(U117="Mag",AJ117,IF(U117="OR",AK117,IF(U117="HP",AL117,IF(U117="FP",AM117,0)))))))))</f>
        <v/>
      </c>
      <c r="W117" s="27">
        <f>IF(U117="OR",Upgrades!$F$10,IF(U117="HP",Upgrades!$F$11,IF(U117="transition",-Parameters!$B$18,0)))</f>
        <v/>
      </c>
      <c r="X117" s="22">
        <f>T117-V117</f>
        <v/>
      </c>
      <c r="Y117" s="30">
        <f>M117*Parameters!$B$10/60*Parameters!$B$11+O117*M117+N117</f>
        <v/>
      </c>
      <c r="Z117" s="34">
        <f>IF(U117="transition","→ Tier 2 (Stellar Neighborhood)",IF(U117="FP","First Photons — light begins, system quickens",IF(U117="HP","Heliopause acquired",IF(U117="OR","Orbital Resonance — passive multiplier active",IF(AND(AO117=1,L117=0,AN117&lt;&gt;1),"Cohesion ready (waiting on completionist upgrades)","")))))</f>
        <v/>
      </c>
      <c r="AA117" s="27">
        <f>(IF(E117=0,0,(Upgrades!$G$6+E117*Upgrades!$H$6)*POWER(Upgrades!$I$6,E117)))*(IF(Upgrades!$T$7="Solar Wind",POWER(Upgrades!$U$7,F117),1)*IF(Upgrades!$T$8="Solar Wind",POWER(Upgrades!$U$8,G117),1)*IF(Upgrades!$T$9="Solar Wind",POWER(Upgrades!$U$9,H117),1)*IF(Upgrades!$T$10="Solar Wind",POWER(Upgrades!$U$10,I117),1)*IF(Upgrades!$T$11="Solar Wind",POWER(Upgrades!$U$11,J117),1)*IF(Upgrades!$T$12="Solar Wind",POWER(Upgrades!$U$12,K117),1))*POWER(Upgrades!$P$6,E117)*POWER(Upgrades!$P$7,F117)*POWER(Upgrades!$P$8,G117)*POWER(Upgrades!$P$9,H117)*POWER(Upgrades!$P$10,I117)*POWER(Upgrades!$P$11,J117)*POWER(Upgrades!$P$12,K117)*60</f>
        <v/>
      </c>
      <c r="AB117" s="27">
        <f>(IF(F117=0,0,(Upgrades!$G$7+F117*Upgrades!$H$7)*POWER(Upgrades!$I$7,F117)))*(IF(Upgrades!$T$6="Asteroid Belt",POWER(Upgrades!$U$6,E117),1)*IF(Upgrades!$T$8="Asteroid Belt",POWER(Upgrades!$U$8,G117),1)*IF(Upgrades!$T$9="Asteroid Belt",POWER(Upgrades!$U$9,H117),1)*IF(Upgrades!$T$10="Asteroid Belt",POWER(Upgrades!$U$10,I117),1)*IF(Upgrades!$T$11="Asteroid Belt",POWER(Upgrades!$U$11,J117),1)*IF(Upgrades!$T$12="Asteroid Belt",POWER(Upgrades!$U$12,K117),1))*POWER(Upgrades!$P$6,E117)*POWER(Upgrades!$P$7,F117)*POWER(Upgrades!$P$8,G117)*POWER(Upgrades!$P$9,H117)*POWER(Upgrades!$P$10,I117)*POWER(Upgrades!$P$11,J117)*POWER(Upgrades!$P$12,K117)*60</f>
        <v/>
      </c>
      <c r="AC117" s="27">
        <f>(IF(G117=0,0,(Upgrades!$J$8+G117*Upgrades!$K$8)*POWER(Upgrades!$L$8,G117)))*(IF(Upgrades!$T$6="Stellar Coupling",POWER(Upgrades!$U$6,E117),1)*IF(Upgrades!$T$7="Stellar Coupling",POWER(Upgrades!$U$7,F117),1)*IF(Upgrades!$T$9="Stellar Coupling",POWER(Upgrades!$U$9,H117),1)*IF(Upgrades!$T$10="Stellar Coupling",POWER(Upgrades!$U$10,I117),1)*IF(Upgrades!$T$11="Stellar Coupling",POWER(Upgrades!$U$11,J117),1)*IF(Upgrades!$T$12="Stellar Coupling",POWER(Upgrades!$U$12,K117),1))*POWER(Upgrades!$Q$6,E117)*POWER(Upgrades!$Q$7,F117)*POWER(Upgrades!$Q$8,G117)*POWER(Upgrades!$Q$9,H117)*POWER(Upgrades!$Q$10,I117)*POWER(Upgrades!$Q$11,J117)*POWER(Upgrades!$Q$12,K117)*Parameters!$B$10*Parameters!$B$11</f>
        <v/>
      </c>
      <c r="AD117" s="27">
        <f>(IF(H117=0,0,(Upgrades!$G$9+H117*Upgrades!$H$9)*POWER(Upgrades!$I$9,H117)))*(IF(Upgrades!$T$6="Magnetosphere",POWER(Upgrades!$U$6,E117),1)*IF(Upgrades!$T$7="Magnetosphere",POWER(Upgrades!$U$7,F117),1)*IF(Upgrades!$T$8="Magnetosphere",POWER(Upgrades!$U$8,G117),1)*IF(Upgrades!$T$10="Magnetosphere",POWER(Upgrades!$U$10,I117),1)*IF(Upgrades!$T$11="Magnetosphere",POWER(Upgrades!$U$11,J117),1)*IF(Upgrades!$T$12="Magnetosphere",POWER(Upgrades!$U$12,K117),1))*POWER(Upgrades!$P$6,E117)*POWER(Upgrades!$P$7,F117)*POWER(Upgrades!$P$8,G117)*POWER(Upgrades!$P$9,H117)*POWER(Upgrades!$P$10,I117)*POWER(Upgrades!$P$11,J117)*POWER(Upgrades!$P$12,K117)*60</f>
        <v/>
      </c>
      <c r="AE117" s="27">
        <f>(IF(K117=0,0,(Upgrades!$G$12+K117*Upgrades!$H$12)*POWER(Upgrades!$I$12,K117)))*(IF(Upgrades!$T$6="First Photons",POWER(Upgrades!$U$6,E117),1)*IF(Upgrades!$T$7="First Photons",POWER(Upgrades!$U$7,F117),1)*IF(Upgrades!$T$8="First Photons",POWER(Upgrades!$U$8,G117),1)*IF(Upgrades!$T$9="First Photons",POWER(Upgrades!$U$9,H117),1)*IF(Upgrades!$T$10="First Photons",POWER(Upgrades!$U$10,I117),1)*IF(Upgrades!$T$11="First Photons",POWER(Upgrades!$U$11,J117),1))*POWER(Upgrades!$P$6,E117)*POWER(Upgrades!$P$7,F117)*POWER(Upgrades!$P$8,G117)*POWER(Upgrades!$P$9,H117)*POWER(Upgrades!$P$10,I117)*POWER(Upgrades!$P$11,J117)*POWER(Upgrades!$P$12,K117)*60</f>
        <v/>
      </c>
      <c r="AF117" s="27">
        <f>Parameters!$B$9*POWER(Upgrades!$Q$6,E117)*POWER(Upgrades!$Q$7,F117)*POWER(Upgrades!$Q$8,G117)*POWER(Upgrades!$Q$9,H117)*POWER(Upgrades!$Q$10,I117)*POWER(Upgrades!$Q$11,J117)*POWER(Upgrades!$Q$12,K117)*(Parameters!$B$10*Parameters!$B$11+O117*60)</f>
        <v/>
      </c>
      <c r="AG117" s="22">
        <f>IF(E117&gt;=Upgrades!$E$6,"",Upgrades!$C$6*POWER(Upgrades!$D$6,E117))</f>
        <v/>
      </c>
      <c r="AH117" s="22">
        <f>IF(F117&gt;=Upgrades!$E$7,"",Upgrades!$C$7*POWER(Upgrades!$D$7,F117))</f>
        <v/>
      </c>
      <c r="AI117" s="22">
        <f>IF(G117&gt;=Upgrades!$E$8,"",Upgrades!$C$8*POWER(Upgrades!$D$8,G117))</f>
        <v/>
      </c>
      <c r="AJ117" s="22">
        <f>IF(H117&gt;=Upgrades!$E$9,"",Upgrades!$C$9*POWER(Upgrades!$D$9,H117))</f>
        <v/>
      </c>
      <c r="AK117" s="22">
        <f>IF(I117&gt;=Upgrades!$E$10,"",Upgrades!$C$10*POWER(Upgrades!$D$10,I117))</f>
        <v/>
      </c>
      <c r="AL117" s="22">
        <f>IF(J117&gt;=Upgrades!$E$11,"",Upgrades!$C$11*POWER(Upgrades!$D$11,J117))</f>
        <v/>
      </c>
      <c r="AM117" s="22">
        <f>IF(K117&gt;=Upgrades!$E$12,"",Upgrades!$C$12*POWER(Upgrades!$D$12,K117))</f>
        <v/>
      </c>
      <c r="AN117" s="26">
        <f>IF(AND(D117&gt;=Parameters!$B$18,(H117&gt;=Upgrades!$E$9)*(K117&gt;=Upgrades!$E$12)=1,L117=0),1,"")</f>
        <v/>
      </c>
      <c r="AO117" s="26">
        <f>IF(AND(D117&gt;=Parameters!$B$18,L117=0),1,"")</f>
        <v/>
      </c>
      <c r="AP117" s="22">
        <f>MIN(IF(ISNUMBER(AK117),AK117,9E15),IF(ISNUMBER(AL117),AL117,9E15),IF(ISNUMBER(AM117),AM117,9E15))</f>
        <v/>
      </c>
      <c r="AQ117" s="22">
        <f>MIN(IF(ISNUMBER(AG117),AG117,9E15),IF(ISNUMBER(AH117),AH117,9E15),IF(ISNUMBER(AI117),AI117,9E15),IF(ISNUMBER(AJ117),AJ117,9E15))</f>
        <v/>
      </c>
      <c r="AR117" s="29">
        <f>IF(AW117&gt;Parameters!$B$21*(MAX(IF(AND(NOT(AND(AO117=1,AN117&lt;&gt;1)),ISNUMBER(AG117),AG117&lt;=T117),AS117,0),IF(AND(NOT(AND(AO117=1,AN117&lt;&gt;1)),ISNUMBER(AH117),AH117&lt;=T117),AT117,0),IF(AND(NOT(AND(AO117=1,AN117&lt;&gt;1)),ISNUMBER(AI117),AI117&lt;=T117),AU117,0),IF(AND(ISNUMBER(AJ117),AJ117&lt;=T117),AV117,0))),TRUE,FALSE)</f>
        <v/>
      </c>
      <c r="AS117" s="32">
        <f>IFERROR(Upgrades!$H$6*(POWER(Upgrades!$P$6,E117)*POWER(Upgrades!$P$7,F117)*POWER(Upgrades!$P$8,G117)*POWER(Upgrades!$P$9,H117)*POWER(Upgrades!$P$10,I117)*POWER(Upgrades!$P$11,J117)*POWER(Upgrades!$P$12,K117))*(IF(Upgrades!$T$7="Solar Wind",POWER(Upgrades!$U$7,F117),1)*IF(Upgrades!$T$8="Solar Wind",POWER(Upgrades!$U$8,G117),1)*IF(Upgrades!$T$9="Solar Wind",POWER(Upgrades!$U$9,H117),1)*IF(Upgrades!$T$10="Solar Wind",POWER(Upgrades!$U$10,I117),1)*IF(Upgrades!$T$11="Solar Wind",POWER(Upgrades!$U$11,J117),1)*IF(Upgrades!$T$12="Solar Wind",POWER(Upgrades!$U$12,K117),1))/AG117,0)</f>
        <v/>
      </c>
      <c r="AT117" s="32">
        <f>IFERROR(Upgrades!$H$7*(POWER(Upgrades!$P$6,E117)*POWER(Upgrades!$P$7,F117)*POWER(Upgrades!$P$8,G117)*POWER(Upgrades!$P$9,H117)*POWER(Upgrades!$P$10,I117)*POWER(Upgrades!$P$11,J117)*POWER(Upgrades!$P$12,K117))*(IF(Upgrades!$T$6="Asteroid Belt",POWER(Upgrades!$U$6,E117),1)*IF(Upgrades!$T$8="Asteroid Belt",POWER(Upgrades!$U$8,G117),1)*IF(Upgrades!$T$9="Asteroid Belt",POWER(Upgrades!$U$9,H117),1)*IF(Upgrades!$T$10="Asteroid Belt",POWER(Upgrades!$U$10,I117),1)*IF(Upgrades!$T$11="Asteroid Belt",POWER(Upgrades!$U$11,J117),1)*IF(Upgrades!$T$12="Asteroid Belt",POWER(Upgrades!$U$12,K117),1))/AH117,0)</f>
        <v/>
      </c>
      <c r="AU117" s="32">
        <f>IFERROR(Upgrades!$K$8*(POWER(Upgrades!$Q$6,E117)*POWER(Upgrades!$Q$7,F117)*POWER(Upgrades!$Q$8,G117)*POWER(Upgrades!$Q$9,H117)*POWER(Upgrades!$Q$10,I117)*POWER(Upgrades!$Q$11,J117)*POWER(Upgrades!$Q$12,K117))*(IF(Upgrades!$T$6="Stellar Coupling",POWER(Upgrades!$U$6,E117),1)*IF(Upgrades!$T$7="Stellar Coupling",POWER(Upgrades!$U$7,F117),1)*IF(Upgrades!$T$9="Stellar Coupling",POWER(Upgrades!$U$9,H117),1)*IF(Upgrades!$T$10="Stellar Coupling",POWER(Upgrades!$U$10,I117),1)*IF(Upgrades!$T$11="Stellar Coupling",POWER(Upgrades!$U$11,J117),1)*IF(Upgrades!$T$12="Stellar Coupling",POWER(Upgrades!$U$12,K117),1))*Parameters!$B$10*Parameters!$B$11/60/AI117,0)</f>
        <v/>
      </c>
      <c r="AV117" s="32">
        <f>IFERROR(Upgrades!$H$9*(POWER(Upgrades!$P$6,E117)*POWER(Upgrades!$P$7,F117)*POWER(Upgrades!$P$8,G117)*POWER(Upgrades!$P$9,H117)*POWER(Upgrades!$P$10,I117)*POWER(Upgrades!$P$11,J117)*POWER(Upgrades!$P$12,K117))*(IF(Upgrades!$T$6="Magnetosphere",POWER(Upgrades!$U$6,E117),1)*IF(Upgrades!$T$7="Magnetosphere",POWER(Upgrades!$U$7,F117),1)*IF(Upgrades!$T$8="Magnetosphere",POWER(Upgrades!$U$8,G117),1)*IF(Upgrades!$T$10="Magnetosphere",POWER(Upgrades!$U$10,I117),1)*IF(Upgrades!$T$11="Magnetosphere",POWER(Upgrades!$U$11,J117),1)*IF(Upgrades!$T$12="Magnetosphere",POWER(Upgrades!$U$12,K117),1))/AJ117,0)</f>
        <v/>
      </c>
      <c r="AW117" s="32">
        <f>MAX(IF(I117&gt;0,0,IFERROR(0.25*N117/Upgrades!$C$10,0)),IF(J117&gt;0,0,IFERROR(0.5*((IF(G117=0,0,(Upgrades!$J$8+G117*Upgrades!$K$8)*POWER(Upgrades!$L$8,G117)))*(IF(Upgrades!$T$6="Stellar Coupling",POWER(Upgrades!$U$6,E117),1)*IF(Upgrades!$T$7="Stellar Coupling",POWER(Upgrades!$U$7,F117),1)*IF(Upgrades!$T$9="Stellar Coupling",POWER(Upgrades!$U$9,H117),1)*IF(Upgrades!$T$10="Stellar Coupling",POWER(Upgrades!$U$10,I117),1)*IF(Upgrades!$T$11="Stellar Coupling",POWER(Upgrades!$U$11,J117),1)*IF(Upgrades!$T$12="Stellar Coupling",POWER(Upgrades!$U$12,K117),1))*(POWER(Upgrades!$Q$6,E117)*POWER(Upgrades!$Q$7,F117)*POWER(Upgrades!$Q$8,G117)*POWER(Upgrades!$Q$9,H117)*POWER(Upgrades!$Q$10,I117)*POWER(Upgrades!$Q$11,J117)*POWER(Upgrades!$Q$12,K117))*Parameters!$B$10*Parameters!$B$11/60)/Upgrades!$C$11,0)),IF(K117&gt;0,0,IFERROR((1.0*(POWER(Upgrades!$P$6,E117)*POWER(Upgrades!$P$7,F117)*POWER(Upgrades!$P$8,G117)*POWER(Upgrades!$P$9,H117)*POWER(Upgrades!$P$10,I117)*POWER(Upgrades!$P$11,J117)*POWER(Upgrades!$P$12,K117))+0.20*M117*Parameters!$B$10*Parameters!$B$11/60)/Upgrades!$C$12,0)),IF(AND(ISNUMBER(AG117),AG117&gt;T117),AS117,0),IF(AND(ISNUMBER(AH117),AH117&gt;T117),AT117,0),IF(AND(ISNUMBER(AI117),AI117&gt;T117),AU117,0),IF(AND(ISNUMBER(AJ117),AJ117&gt;T117),AV117,0))</f>
        <v/>
      </c>
      <c r="AX117" s="29">
        <f>IF(AN117=1,"transition",IF(MIN(IF(AND(I117=0,ISNUMBER(AK117),AK117&lt;=T117),AK117,9E15),IF(AND(J117=0,ISNUMBER(AL117),AL117&lt;=T117),AL117,9E15),IF(AND(K117=0,ISNUMBER(AM117),AM117&lt;=T117),AM117,9E15))&lt;9E15,IF(AND(AND(I117=0,ISNUMBER(AK117),AK117&lt;=T117),AK117=MIN(IF(AND(I117=0,ISNUMBER(AK117),AK117&lt;=T117),AK117,9E15),IF(AND(J117=0,ISNUMBER(AL117),AL117&lt;=T117),AL117,9E15),IF(AND(K117=0,ISNUMBER(AM117),AM117&lt;=T117),AM117,9E15))),"OR",IF(AND(AND(J117=0,ISNUMBER(AL117),AL117&lt;=T117),AL117=MIN(IF(AND(I117=0,ISNUMBER(AK117),AK117&lt;=T117),AK117,9E15),IF(AND(J117=0,ISNUMBER(AL117),AL117&lt;=T117),AL117,9E15),IF(AND(K117=0,ISNUMBER(AM117),AM117&lt;=T117),AM117,9E15))),"HP","FP")),IF(AR117=TRUE,"",IF(MAX(IF(AND(NOT(AND(AO117=1,AN117&lt;&gt;1)),ISNUMBER(AG117),AG117&lt;=T117),AS117,0),IF(AND(NOT(AND(AO117=1,AN117&lt;&gt;1)),ISNUMBER(AH117),AH117&lt;=T117),AT117,0),IF(AND(NOT(AND(AO117=1,AN117&lt;&gt;1)),ISNUMBER(AI117),AI117&lt;=T117),AU117,0),IF(AND(ISNUMBER(AJ117),AJ117&lt;=T117),AV117,0))&lt;=0,"",IF(AND(IF(AND(NOT(AND(AO117=1,AN117&lt;&gt;1)),ISNUMBER(AG117),AG117&lt;=T117),AS117,0)&gt;0,IF(AND(NOT(AND(AO117=1,AN117&lt;&gt;1)),ISNUMBER(AG117),AG117&lt;=T117),AS117,0)=MAX(IF(AND(NOT(AND(AO117=1,AN117&lt;&gt;1)),ISNUMBER(AG117),AG117&lt;=T117),AS117,0),IF(AND(NOT(AND(AO117=1,AN117&lt;&gt;1)),ISNUMBER(AH117),AH117&lt;=T117),AT117,0),IF(AND(NOT(AND(AO117=1,AN117&lt;&gt;1)),ISNUMBER(AI117),AI117&lt;=T117),AU117,0),IF(AND(ISNUMBER(AJ117),AJ117&lt;=T117),AV117,0))),"SW",IF(AND(IF(AND(NOT(AND(AO117=1,AN117&lt;&gt;1)),ISNUMBER(AH117),AH117&lt;=T117),AT117,0)&gt;0,IF(AND(NOT(AND(AO117=1,AN117&lt;&gt;1)),ISNUMBER(AH117),AH117&lt;=T117),AT117,0)=MAX(IF(AND(NOT(AND(AO117=1,AN117&lt;&gt;1)),ISNUMBER(AG117),AG117&lt;=T117),AS117,0),IF(AND(NOT(AND(AO117=1,AN117&lt;&gt;1)),ISNUMBER(AH117),AH117&lt;=T117),AT117,0),IF(AND(NOT(AND(AO117=1,AN117&lt;&gt;1)),ISNUMBER(AI117),AI117&lt;=T117),AU117,0),IF(AND(ISNUMBER(AJ117),AJ117&lt;=T117),AV117,0))),"AB",IF(AND(IF(AND(NOT(AND(AO117=1,AN117&lt;&gt;1)),ISNUMBER(AI117),AI117&lt;=T117),AU117,0)&gt;0,IF(AND(NOT(AND(AO117=1,AN117&lt;&gt;1)),ISNUMBER(AI117),AI117&lt;=T117),AU117,0)=MAX(IF(AND(NOT(AND(AO117=1,AN117&lt;&gt;1)),ISNUMBER(AG117),AG117&lt;=T117),AS117,0),IF(AND(NOT(AND(AO117=1,AN117&lt;&gt;1)),ISNUMBER(AH117),AH117&lt;=T117),AT117,0),IF(AND(NOT(AND(AO117=1,AN117&lt;&gt;1)),ISNUMBER(AI117),AI117&lt;=T117),AU117,0),IF(AND(ISNUMBER(AJ117),AJ117&lt;=T117),AV117,0))),"SC","Mag")))))))</f>
        <v/>
      </c>
    </row>
    <row r="118">
      <c r="A118" s="26" t="n">
        <v>113</v>
      </c>
      <c r="B118" s="27">
        <f>A118*10/60</f>
        <v/>
      </c>
      <c r="C118" s="22">
        <f>X117</f>
        <v/>
      </c>
      <c r="D118" s="27">
        <f>D117+W117</f>
        <v/>
      </c>
      <c r="E118" s="26">
        <f>E117+IF(U117="SW",1,0)</f>
        <v/>
      </c>
      <c r="F118" s="26">
        <f>F117+IF(U117="AB",1,0)</f>
        <v/>
      </c>
      <c r="G118" s="26">
        <f>G117+IF(U117="SC",1,0)</f>
        <v/>
      </c>
      <c r="H118" s="26">
        <f>H117+IF(U117="Mag",1,0)</f>
        <v/>
      </c>
      <c r="I118" s="26">
        <f>MAX(I117,IF(U117="OR",1,0))</f>
        <v/>
      </c>
      <c r="J118" s="26">
        <f>MAX(J117,IF(U117="HP",1,0))</f>
        <v/>
      </c>
      <c r="K118" s="26">
        <f>MAX(K117,IF(U117="FP",1,0))</f>
        <v/>
      </c>
      <c r="L118" s="26">
        <f>MAX(L117,IF(U117="transition",1,0))</f>
        <v/>
      </c>
      <c r="M118" s="28">
        <f>(Parameters!$B$9+(IF(E118=0,0,(Upgrades!$J$6+E118*Upgrades!$K$6)*POWER(Upgrades!$L$6,E118)))*(IF(Upgrades!$T$7="Solar Wind",POWER(Upgrades!$U$7,F118),1)*IF(Upgrades!$T$8="Solar Wind",POWER(Upgrades!$U$8,G118),1)*IF(Upgrades!$T$9="Solar Wind",POWER(Upgrades!$U$9,H118),1)*IF(Upgrades!$T$10="Solar Wind",POWER(Upgrades!$U$10,I118),1)*IF(Upgrades!$T$11="Solar Wind",POWER(Upgrades!$U$11,J118),1)*IF(Upgrades!$T$12="Solar Wind",POWER(Upgrades!$U$12,K118),1))+(IF(F118=0,0,(Upgrades!$J$7+F118*Upgrades!$K$7)*POWER(Upgrades!$L$7,F118)))*(IF(Upgrades!$T$6="Asteroid Belt",POWER(Upgrades!$U$6,E118),1)*IF(Upgrades!$T$8="Asteroid Belt",POWER(Upgrades!$U$8,G118),1)*IF(Upgrades!$T$9="Asteroid Belt",POWER(Upgrades!$U$9,H118),1)*IF(Upgrades!$T$10="Asteroid Belt",POWER(Upgrades!$U$10,I118),1)*IF(Upgrades!$T$11="Asteroid Belt",POWER(Upgrades!$U$11,J118),1)*IF(Upgrades!$T$12="Asteroid Belt",POWER(Upgrades!$U$12,K118),1))+(IF(G118=0,0,(Upgrades!$J$8+G118*Upgrades!$K$8)*POWER(Upgrades!$L$8,G118)))*(IF(Upgrades!$T$6="Stellar Coupling",POWER(Upgrades!$U$6,E118),1)*IF(Upgrades!$T$7="Stellar Coupling",POWER(Upgrades!$U$7,F118),1)*IF(Upgrades!$T$9="Stellar Coupling",POWER(Upgrades!$U$9,H118),1)*IF(Upgrades!$T$10="Stellar Coupling",POWER(Upgrades!$U$10,I118),1)*IF(Upgrades!$T$11="Stellar Coupling",POWER(Upgrades!$U$11,J118),1)*IF(Upgrades!$T$12="Stellar Coupling",POWER(Upgrades!$U$12,K118),1))+(IF(H118=0,0,(Upgrades!$J$9+H118*Upgrades!$K$9)*POWER(Upgrades!$L$9,H118)))*(IF(Upgrades!$T$6="Magnetosphere",POWER(Upgrades!$U$6,E118),1)*IF(Upgrades!$T$7="Magnetosphere",POWER(Upgrades!$U$7,F118),1)*IF(Upgrades!$T$8="Magnetosphere",POWER(Upgrades!$U$8,G118),1)*IF(Upgrades!$T$10="Magnetosphere",POWER(Upgrades!$U$10,I118),1)*IF(Upgrades!$T$11="Magnetosphere",POWER(Upgrades!$U$11,J118),1)*IF(Upgrades!$T$12="Magnetosphere",POWER(Upgrades!$U$12,K118),1))+(IF(I118=0,0,(Upgrades!$J$10+I118*Upgrades!$K$10)*POWER(Upgrades!$L$10,I118)))*(IF(Upgrades!$T$6="Orbital Resonance",POWER(Upgrades!$U$6,E118),1)*IF(Upgrades!$T$7="Orbital Resonance",POWER(Upgrades!$U$7,F118),1)*IF(Upgrades!$T$8="Orbital Resonance",POWER(Upgrades!$U$8,G118),1)*IF(Upgrades!$T$9="Orbital Resonance",POWER(Upgrades!$U$9,H118),1)*IF(Upgrades!$T$11="Orbital Resonance",POWER(Upgrades!$U$11,J118),1)*IF(Upgrades!$T$12="Orbital Resonance",POWER(Upgrades!$U$12,K118),1))+(IF(J118=0,0,(Upgrades!$J$11+J118*Upgrades!$K$11)*POWER(Upgrades!$L$11,J118)))*(IF(Upgrades!$T$6="Heliopause",POWER(Upgrades!$U$6,E118),1)*IF(Upgrades!$T$7="Heliopause",POWER(Upgrades!$U$7,F118),1)*IF(Upgrades!$T$8="Heliopause",POWER(Upgrades!$U$8,G118),1)*IF(Upgrades!$T$9="Heliopause",POWER(Upgrades!$U$9,H118),1)*IF(Upgrades!$T$10="Heliopause",POWER(Upgrades!$U$10,I118),1)*IF(Upgrades!$T$12="Heliopause",POWER(Upgrades!$U$12,K118),1))+(IF(K118=0,0,(Upgrades!$J$12+K118*Upgrades!$K$12)*POWER(Upgrades!$L$12,K118)))*(IF(Upgrades!$T$6="First Photons",POWER(Upgrades!$U$6,E118),1)*IF(Upgrades!$T$7="First Photons",POWER(Upgrades!$U$7,F118),1)*IF(Upgrades!$T$8="First Photons",POWER(Upgrades!$U$8,G118),1)*IF(Upgrades!$T$9="First Photons",POWER(Upgrades!$U$9,H118),1)*IF(Upgrades!$T$10="First Photons",POWER(Upgrades!$U$10,I118),1)*IF(Upgrades!$T$11="First Photons",POWER(Upgrades!$U$11,J118),1)))*POWER(Upgrades!$Q$6,E118)*POWER(Upgrades!$Q$7,F118)*POWER(Upgrades!$Q$8,G118)*POWER(Upgrades!$Q$9,H118)*POWER(Upgrades!$Q$10,I118)*POWER(Upgrades!$Q$11,J118)*POWER(Upgrades!$Q$12,K118)</f>
        <v/>
      </c>
      <c r="N118" s="28">
        <f>((IF(E118=0,0,(Upgrades!$G$6+E118*Upgrades!$H$6)*POWER(Upgrades!$I$6,E118)))*(IF(Upgrades!$T$7="Solar Wind",POWER(Upgrades!$U$7,F118),1)*IF(Upgrades!$T$8="Solar Wind",POWER(Upgrades!$U$8,G118),1)*IF(Upgrades!$T$9="Solar Wind",POWER(Upgrades!$U$9,H118),1)*IF(Upgrades!$T$10="Solar Wind",POWER(Upgrades!$U$10,I118),1)*IF(Upgrades!$T$11="Solar Wind",POWER(Upgrades!$U$11,J118),1)*IF(Upgrades!$T$12="Solar Wind",POWER(Upgrades!$U$12,K118),1))+(IF(F118=0,0,(Upgrades!$G$7+F118*Upgrades!$H$7)*POWER(Upgrades!$I$7,F118)))*(IF(Upgrades!$T$6="Asteroid Belt",POWER(Upgrades!$U$6,E118),1)*IF(Upgrades!$T$8="Asteroid Belt",POWER(Upgrades!$U$8,G118),1)*IF(Upgrades!$T$9="Asteroid Belt",POWER(Upgrades!$U$9,H118),1)*IF(Upgrades!$T$10="Asteroid Belt",POWER(Upgrades!$U$10,I118),1)*IF(Upgrades!$T$11="Asteroid Belt",POWER(Upgrades!$U$11,J118),1)*IF(Upgrades!$T$12="Asteroid Belt",POWER(Upgrades!$U$12,K118),1))+(IF(G118=0,0,(Upgrades!$G$8+G118*Upgrades!$H$8)*POWER(Upgrades!$I$8,G118)))*(IF(Upgrades!$T$6="Stellar Coupling",POWER(Upgrades!$U$6,E118),1)*IF(Upgrades!$T$7="Stellar Coupling",POWER(Upgrades!$U$7,F118),1)*IF(Upgrades!$T$9="Stellar Coupling",POWER(Upgrades!$U$9,H118),1)*IF(Upgrades!$T$10="Stellar Coupling",POWER(Upgrades!$U$10,I118),1)*IF(Upgrades!$T$11="Stellar Coupling",POWER(Upgrades!$U$11,J118),1)*IF(Upgrades!$T$12="Stellar Coupling",POWER(Upgrades!$U$12,K118),1))+(IF(H118=0,0,(Upgrades!$G$9+H118*Upgrades!$H$9)*POWER(Upgrades!$I$9,H118)))*(IF(Upgrades!$T$6="Magnetosphere",POWER(Upgrades!$U$6,E118),1)*IF(Upgrades!$T$7="Magnetosphere",POWER(Upgrades!$U$7,F118),1)*IF(Upgrades!$T$8="Magnetosphere",POWER(Upgrades!$U$8,G118),1)*IF(Upgrades!$T$10="Magnetosphere",POWER(Upgrades!$U$10,I118),1)*IF(Upgrades!$T$11="Magnetosphere",POWER(Upgrades!$U$11,J118),1)*IF(Upgrades!$T$12="Magnetosphere",POWER(Upgrades!$U$12,K118),1))+(IF(I118=0,0,(Upgrades!$G$10+I118*Upgrades!$H$10)*POWER(Upgrades!$I$10,I118)))*(IF(Upgrades!$T$6="Orbital Resonance",POWER(Upgrades!$U$6,E118),1)*IF(Upgrades!$T$7="Orbital Resonance",POWER(Upgrades!$U$7,F118),1)*IF(Upgrades!$T$8="Orbital Resonance",POWER(Upgrades!$U$8,G118),1)*IF(Upgrades!$T$9="Orbital Resonance",POWER(Upgrades!$U$9,H118),1)*IF(Upgrades!$T$11="Orbital Resonance",POWER(Upgrades!$U$11,J118),1)*IF(Upgrades!$T$12="Orbital Resonance",POWER(Upgrades!$U$12,K118),1))+(IF(J118=0,0,(Upgrades!$G$11+J118*Upgrades!$H$11)*POWER(Upgrades!$I$11,J118)))*(IF(Upgrades!$T$6="Heliopause",POWER(Upgrades!$U$6,E118),1)*IF(Upgrades!$T$7="Heliopause",POWER(Upgrades!$U$7,F118),1)*IF(Upgrades!$T$8="Heliopause",POWER(Upgrades!$U$8,G118),1)*IF(Upgrades!$T$9="Heliopause",POWER(Upgrades!$U$9,H118),1)*IF(Upgrades!$T$10="Heliopause",POWER(Upgrades!$U$10,I118),1)*IF(Upgrades!$T$12="Heliopause",POWER(Upgrades!$U$12,K118),1))+(IF(K118=0,0,(Upgrades!$G$12+K118*Upgrades!$H$12)*POWER(Upgrades!$I$12,K118)))*(IF(Upgrades!$T$6="First Photons",POWER(Upgrades!$U$6,E118),1)*IF(Upgrades!$T$7="First Photons",POWER(Upgrades!$U$7,F118),1)*IF(Upgrades!$T$8="First Photons",POWER(Upgrades!$U$8,G118),1)*IF(Upgrades!$T$9="First Photons",POWER(Upgrades!$U$9,H118),1)*IF(Upgrades!$T$10="First Photons",POWER(Upgrades!$U$10,I118),1)*IF(Upgrades!$T$11="First Photons",POWER(Upgrades!$U$11,J118),1)))*POWER(Upgrades!$P$6,E118)*POWER(Upgrades!$P$7,F118)*POWER(Upgrades!$P$8,G118)*POWER(Upgrades!$P$9,H118)*POWER(Upgrades!$P$10,I118)*POWER(Upgrades!$P$11,J118)*POWER(Upgrades!$P$12,K118)</f>
        <v/>
      </c>
      <c r="O118" s="28">
        <f>((IF(E118=0,0,(Upgrades!$M$6+E118*Upgrades!$N$6)*POWER(Upgrades!$O$6,E118)))*(IF(Upgrades!$T$7="Solar Wind",POWER(Upgrades!$U$7,F118),1)*IF(Upgrades!$T$8="Solar Wind",POWER(Upgrades!$U$8,G118),1)*IF(Upgrades!$T$9="Solar Wind",POWER(Upgrades!$U$9,H118),1)*IF(Upgrades!$T$10="Solar Wind",POWER(Upgrades!$U$10,I118),1)*IF(Upgrades!$T$11="Solar Wind",POWER(Upgrades!$U$11,J118),1)*IF(Upgrades!$T$12="Solar Wind",POWER(Upgrades!$U$12,K118),1))+(IF(F118=0,0,(Upgrades!$M$7+F118*Upgrades!$N$7)*POWER(Upgrades!$O$7,F118)))*(IF(Upgrades!$T$6="Asteroid Belt",POWER(Upgrades!$U$6,E118),1)*IF(Upgrades!$T$8="Asteroid Belt",POWER(Upgrades!$U$8,G118),1)*IF(Upgrades!$T$9="Asteroid Belt",POWER(Upgrades!$U$9,H118),1)*IF(Upgrades!$T$10="Asteroid Belt",POWER(Upgrades!$U$10,I118),1)*IF(Upgrades!$T$11="Asteroid Belt",POWER(Upgrades!$U$11,J118),1)*IF(Upgrades!$T$12="Asteroid Belt",POWER(Upgrades!$U$12,K118),1))+(IF(G118=0,0,(Upgrades!$M$8+G118*Upgrades!$N$8)*POWER(Upgrades!$O$8,G118)))*(IF(Upgrades!$T$6="Stellar Coupling",POWER(Upgrades!$U$6,E118),1)*IF(Upgrades!$T$7="Stellar Coupling",POWER(Upgrades!$U$7,F118),1)*IF(Upgrades!$T$9="Stellar Coupling",POWER(Upgrades!$U$9,H118),1)*IF(Upgrades!$T$10="Stellar Coupling",POWER(Upgrades!$U$10,I118),1)*IF(Upgrades!$T$11="Stellar Coupling",POWER(Upgrades!$U$11,J118),1)*IF(Upgrades!$T$12="Stellar Coupling",POWER(Upgrades!$U$12,K118),1))+(IF(H118=0,0,(Upgrades!$M$9+H118*Upgrades!$N$9)*POWER(Upgrades!$O$9,H118)))*(IF(Upgrades!$T$6="Magnetosphere",POWER(Upgrades!$U$6,E118),1)*IF(Upgrades!$T$7="Magnetosphere",POWER(Upgrades!$U$7,F118),1)*IF(Upgrades!$T$8="Magnetosphere",POWER(Upgrades!$U$8,G118),1)*IF(Upgrades!$T$10="Magnetosphere",POWER(Upgrades!$U$10,I118),1)*IF(Upgrades!$T$11="Magnetosphere",POWER(Upgrades!$U$11,J118),1)*IF(Upgrades!$T$12="Magnetosphere",POWER(Upgrades!$U$12,K118),1))+(IF(I118=0,0,(Upgrades!$M$10+I118*Upgrades!$N$10)*POWER(Upgrades!$O$10,I118)))*(IF(Upgrades!$T$6="Orbital Resonance",POWER(Upgrades!$U$6,E118),1)*IF(Upgrades!$T$7="Orbital Resonance",POWER(Upgrades!$U$7,F118),1)*IF(Upgrades!$T$8="Orbital Resonance",POWER(Upgrades!$U$8,G118),1)*IF(Upgrades!$T$9="Orbital Resonance",POWER(Upgrades!$U$9,H118),1)*IF(Upgrades!$T$11="Orbital Resonance",POWER(Upgrades!$U$11,J118),1)*IF(Upgrades!$T$12="Orbital Resonance",POWER(Upgrades!$U$12,K118),1))+(IF(J118=0,0,(Upgrades!$M$11+J118*Upgrades!$N$11)*POWER(Upgrades!$O$11,J118)))*(IF(Upgrades!$T$6="Heliopause",POWER(Upgrades!$U$6,E118),1)*IF(Upgrades!$T$7="Heliopause",POWER(Upgrades!$U$7,F118),1)*IF(Upgrades!$T$8="Heliopause",POWER(Upgrades!$U$8,G118),1)*IF(Upgrades!$T$9="Heliopause",POWER(Upgrades!$U$9,H118),1)*IF(Upgrades!$T$10="Heliopause",POWER(Upgrades!$U$10,I118),1)*IF(Upgrades!$T$12="Heliopause",POWER(Upgrades!$U$12,K118),1))+(IF(K118=0,0,(Upgrades!$M$12+K118*Upgrades!$N$12)*POWER(Upgrades!$O$12,K118)))*(IF(Upgrades!$T$6="First Photons",POWER(Upgrades!$U$6,E118),1)*IF(Upgrades!$T$7="First Photons",POWER(Upgrades!$U$7,F118),1)*IF(Upgrades!$T$8="First Photons",POWER(Upgrades!$U$8,G118),1)*IF(Upgrades!$T$9="First Photons",POWER(Upgrades!$U$9,H118),1)*IF(Upgrades!$T$10="First Photons",POWER(Upgrades!$U$10,I118),1)*IF(Upgrades!$T$11="First Photons",POWER(Upgrades!$U$11,J118),1)))*POWER(Upgrades!$R$6,E118)*POWER(Upgrades!$R$7,F118)*POWER(Upgrades!$R$8,G118)*POWER(Upgrades!$R$9,H118)*POWER(Upgrades!$R$10,I118)*POWER(Upgrades!$R$11,J118)*POWER(Upgrades!$R$12,K118)</f>
        <v/>
      </c>
      <c r="P118" s="27">
        <f>IF(L118=1,0,M118*Parameters!$B$10/60*Parameters!$B$11*10)</f>
        <v/>
      </c>
      <c r="Q118" s="27">
        <f>IF(L118=1,0,O118*M118*10)</f>
        <v/>
      </c>
      <c r="R118" s="27">
        <f>IF(L118=1,0,N118*10)</f>
        <v/>
      </c>
      <c r="S118" s="27">
        <f>P118+Q118+R118</f>
        <v/>
      </c>
      <c r="T118" s="22">
        <f>C118+S118</f>
        <v/>
      </c>
      <c r="U118" s="33">
        <f>AX118</f>
        <v/>
      </c>
      <c r="V118" s="22">
        <f>IF(U118="",0,IF(U118="transition",0,IF(U118="SW",AG118,IF(U118="AB",AH118,IF(U118="SC",AI118,IF(U118="Mag",AJ118,IF(U118="OR",AK118,IF(U118="HP",AL118,IF(U118="FP",AM118,0)))))))))</f>
        <v/>
      </c>
      <c r="W118" s="27">
        <f>IF(U118="OR",Upgrades!$F$10,IF(U118="HP",Upgrades!$F$11,IF(U118="transition",-Parameters!$B$18,0)))</f>
        <v/>
      </c>
      <c r="X118" s="22">
        <f>T118-V118</f>
        <v/>
      </c>
      <c r="Y118" s="30">
        <f>M118*Parameters!$B$10/60*Parameters!$B$11+O118*M118+N118</f>
        <v/>
      </c>
      <c r="Z118" s="34">
        <f>IF(U118="transition","→ Tier 2 (Stellar Neighborhood)",IF(U118="FP","First Photons — light begins, system quickens",IF(U118="HP","Heliopause acquired",IF(U118="OR","Orbital Resonance — passive multiplier active",IF(AND(AO118=1,L118=0,AN118&lt;&gt;1),"Cohesion ready (waiting on completionist upgrades)","")))))</f>
        <v/>
      </c>
      <c r="AA118" s="27">
        <f>(IF(E118=0,0,(Upgrades!$G$6+E118*Upgrades!$H$6)*POWER(Upgrades!$I$6,E118)))*(IF(Upgrades!$T$7="Solar Wind",POWER(Upgrades!$U$7,F118),1)*IF(Upgrades!$T$8="Solar Wind",POWER(Upgrades!$U$8,G118),1)*IF(Upgrades!$T$9="Solar Wind",POWER(Upgrades!$U$9,H118),1)*IF(Upgrades!$T$10="Solar Wind",POWER(Upgrades!$U$10,I118),1)*IF(Upgrades!$T$11="Solar Wind",POWER(Upgrades!$U$11,J118),1)*IF(Upgrades!$T$12="Solar Wind",POWER(Upgrades!$U$12,K118),1))*POWER(Upgrades!$P$6,E118)*POWER(Upgrades!$P$7,F118)*POWER(Upgrades!$P$8,G118)*POWER(Upgrades!$P$9,H118)*POWER(Upgrades!$P$10,I118)*POWER(Upgrades!$P$11,J118)*POWER(Upgrades!$P$12,K118)*60</f>
        <v/>
      </c>
      <c r="AB118" s="27">
        <f>(IF(F118=0,0,(Upgrades!$G$7+F118*Upgrades!$H$7)*POWER(Upgrades!$I$7,F118)))*(IF(Upgrades!$T$6="Asteroid Belt",POWER(Upgrades!$U$6,E118),1)*IF(Upgrades!$T$8="Asteroid Belt",POWER(Upgrades!$U$8,G118),1)*IF(Upgrades!$T$9="Asteroid Belt",POWER(Upgrades!$U$9,H118),1)*IF(Upgrades!$T$10="Asteroid Belt",POWER(Upgrades!$U$10,I118),1)*IF(Upgrades!$T$11="Asteroid Belt",POWER(Upgrades!$U$11,J118),1)*IF(Upgrades!$T$12="Asteroid Belt",POWER(Upgrades!$U$12,K118),1))*POWER(Upgrades!$P$6,E118)*POWER(Upgrades!$P$7,F118)*POWER(Upgrades!$P$8,G118)*POWER(Upgrades!$P$9,H118)*POWER(Upgrades!$P$10,I118)*POWER(Upgrades!$P$11,J118)*POWER(Upgrades!$P$12,K118)*60</f>
        <v/>
      </c>
      <c r="AC118" s="27">
        <f>(IF(G118=0,0,(Upgrades!$J$8+G118*Upgrades!$K$8)*POWER(Upgrades!$L$8,G118)))*(IF(Upgrades!$T$6="Stellar Coupling",POWER(Upgrades!$U$6,E118),1)*IF(Upgrades!$T$7="Stellar Coupling",POWER(Upgrades!$U$7,F118),1)*IF(Upgrades!$T$9="Stellar Coupling",POWER(Upgrades!$U$9,H118),1)*IF(Upgrades!$T$10="Stellar Coupling",POWER(Upgrades!$U$10,I118),1)*IF(Upgrades!$T$11="Stellar Coupling",POWER(Upgrades!$U$11,J118),1)*IF(Upgrades!$T$12="Stellar Coupling",POWER(Upgrades!$U$12,K118),1))*POWER(Upgrades!$Q$6,E118)*POWER(Upgrades!$Q$7,F118)*POWER(Upgrades!$Q$8,G118)*POWER(Upgrades!$Q$9,H118)*POWER(Upgrades!$Q$10,I118)*POWER(Upgrades!$Q$11,J118)*POWER(Upgrades!$Q$12,K118)*Parameters!$B$10*Parameters!$B$11</f>
        <v/>
      </c>
      <c r="AD118" s="27">
        <f>(IF(H118=0,0,(Upgrades!$G$9+H118*Upgrades!$H$9)*POWER(Upgrades!$I$9,H118)))*(IF(Upgrades!$T$6="Magnetosphere",POWER(Upgrades!$U$6,E118),1)*IF(Upgrades!$T$7="Magnetosphere",POWER(Upgrades!$U$7,F118),1)*IF(Upgrades!$T$8="Magnetosphere",POWER(Upgrades!$U$8,G118),1)*IF(Upgrades!$T$10="Magnetosphere",POWER(Upgrades!$U$10,I118),1)*IF(Upgrades!$T$11="Magnetosphere",POWER(Upgrades!$U$11,J118),1)*IF(Upgrades!$T$12="Magnetosphere",POWER(Upgrades!$U$12,K118),1))*POWER(Upgrades!$P$6,E118)*POWER(Upgrades!$P$7,F118)*POWER(Upgrades!$P$8,G118)*POWER(Upgrades!$P$9,H118)*POWER(Upgrades!$P$10,I118)*POWER(Upgrades!$P$11,J118)*POWER(Upgrades!$P$12,K118)*60</f>
        <v/>
      </c>
      <c r="AE118" s="27">
        <f>(IF(K118=0,0,(Upgrades!$G$12+K118*Upgrades!$H$12)*POWER(Upgrades!$I$12,K118)))*(IF(Upgrades!$T$6="First Photons",POWER(Upgrades!$U$6,E118),1)*IF(Upgrades!$T$7="First Photons",POWER(Upgrades!$U$7,F118),1)*IF(Upgrades!$T$8="First Photons",POWER(Upgrades!$U$8,G118),1)*IF(Upgrades!$T$9="First Photons",POWER(Upgrades!$U$9,H118),1)*IF(Upgrades!$T$10="First Photons",POWER(Upgrades!$U$10,I118),1)*IF(Upgrades!$T$11="First Photons",POWER(Upgrades!$U$11,J118),1))*POWER(Upgrades!$P$6,E118)*POWER(Upgrades!$P$7,F118)*POWER(Upgrades!$P$8,G118)*POWER(Upgrades!$P$9,H118)*POWER(Upgrades!$P$10,I118)*POWER(Upgrades!$P$11,J118)*POWER(Upgrades!$P$12,K118)*60</f>
        <v/>
      </c>
      <c r="AF118" s="27">
        <f>Parameters!$B$9*POWER(Upgrades!$Q$6,E118)*POWER(Upgrades!$Q$7,F118)*POWER(Upgrades!$Q$8,G118)*POWER(Upgrades!$Q$9,H118)*POWER(Upgrades!$Q$10,I118)*POWER(Upgrades!$Q$11,J118)*POWER(Upgrades!$Q$12,K118)*(Parameters!$B$10*Parameters!$B$11+O118*60)</f>
        <v/>
      </c>
      <c r="AG118" s="22">
        <f>IF(E118&gt;=Upgrades!$E$6,"",Upgrades!$C$6*POWER(Upgrades!$D$6,E118))</f>
        <v/>
      </c>
      <c r="AH118" s="22">
        <f>IF(F118&gt;=Upgrades!$E$7,"",Upgrades!$C$7*POWER(Upgrades!$D$7,F118))</f>
        <v/>
      </c>
      <c r="AI118" s="22">
        <f>IF(G118&gt;=Upgrades!$E$8,"",Upgrades!$C$8*POWER(Upgrades!$D$8,G118))</f>
        <v/>
      </c>
      <c r="AJ118" s="22">
        <f>IF(H118&gt;=Upgrades!$E$9,"",Upgrades!$C$9*POWER(Upgrades!$D$9,H118))</f>
        <v/>
      </c>
      <c r="AK118" s="22">
        <f>IF(I118&gt;=Upgrades!$E$10,"",Upgrades!$C$10*POWER(Upgrades!$D$10,I118))</f>
        <v/>
      </c>
      <c r="AL118" s="22">
        <f>IF(J118&gt;=Upgrades!$E$11,"",Upgrades!$C$11*POWER(Upgrades!$D$11,J118))</f>
        <v/>
      </c>
      <c r="AM118" s="22">
        <f>IF(K118&gt;=Upgrades!$E$12,"",Upgrades!$C$12*POWER(Upgrades!$D$12,K118))</f>
        <v/>
      </c>
      <c r="AN118" s="26">
        <f>IF(AND(D118&gt;=Parameters!$B$18,(H118&gt;=Upgrades!$E$9)*(K118&gt;=Upgrades!$E$12)=1,L118=0),1,"")</f>
        <v/>
      </c>
      <c r="AO118" s="26">
        <f>IF(AND(D118&gt;=Parameters!$B$18,L118=0),1,"")</f>
        <v/>
      </c>
      <c r="AP118" s="22">
        <f>MIN(IF(ISNUMBER(AK118),AK118,9E15),IF(ISNUMBER(AL118),AL118,9E15),IF(ISNUMBER(AM118),AM118,9E15))</f>
        <v/>
      </c>
      <c r="AQ118" s="22">
        <f>MIN(IF(ISNUMBER(AG118),AG118,9E15),IF(ISNUMBER(AH118),AH118,9E15),IF(ISNUMBER(AI118),AI118,9E15),IF(ISNUMBER(AJ118),AJ118,9E15))</f>
        <v/>
      </c>
      <c r="AR118" s="29">
        <f>IF(AW118&gt;Parameters!$B$21*(MAX(IF(AND(NOT(AND(AO118=1,AN118&lt;&gt;1)),ISNUMBER(AG118),AG118&lt;=T118),AS118,0),IF(AND(NOT(AND(AO118=1,AN118&lt;&gt;1)),ISNUMBER(AH118),AH118&lt;=T118),AT118,0),IF(AND(NOT(AND(AO118=1,AN118&lt;&gt;1)),ISNUMBER(AI118),AI118&lt;=T118),AU118,0),IF(AND(ISNUMBER(AJ118),AJ118&lt;=T118),AV118,0))),TRUE,FALSE)</f>
        <v/>
      </c>
      <c r="AS118" s="32">
        <f>IFERROR(Upgrades!$H$6*(POWER(Upgrades!$P$6,E118)*POWER(Upgrades!$P$7,F118)*POWER(Upgrades!$P$8,G118)*POWER(Upgrades!$P$9,H118)*POWER(Upgrades!$P$10,I118)*POWER(Upgrades!$P$11,J118)*POWER(Upgrades!$P$12,K118))*(IF(Upgrades!$T$7="Solar Wind",POWER(Upgrades!$U$7,F118),1)*IF(Upgrades!$T$8="Solar Wind",POWER(Upgrades!$U$8,G118),1)*IF(Upgrades!$T$9="Solar Wind",POWER(Upgrades!$U$9,H118),1)*IF(Upgrades!$T$10="Solar Wind",POWER(Upgrades!$U$10,I118),1)*IF(Upgrades!$T$11="Solar Wind",POWER(Upgrades!$U$11,J118),1)*IF(Upgrades!$T$12="Solar Wind",POWER(Upgrades!$U$12,K118),1))/AG118,0)</f>
        <v/>
      </c>
      <c r="AT118" s="32">
        <f>IFERROR(Upgrades!$H$7*(POWER(Upgrades!$P$6,E118)*POWER(Upgrades!$P$7,F118)*POWER(Upgrades!$P$8,G118)*POWER(Upgrades!$P$9,H118)*POWER(Upgrades!$P$10,I118)*POWER(Upgrades!$P$11,J118)*POWER(Upgrades!$P$12,K118))*(IF(Upgrades!$T$6="Asteroid Belt",POWER(Upgrades!$U$6,E118),1)*IF(Upgrades!$T$8="Asteroid Belt",POWER(Upgrades!$U$8,G118),1)*IF(Upgrades!$T$9="Asteroid Belt",POWER(Upgrades!$U$9,H118),1)*IF(Upgrades!$T$10="Asteroid Belt",POWER(Upgrades!$U$10,I118),1)*IF(Upgrades!$T$11="Asteroid Belt",POWER(Upgrades!$U$11,J118),1)*IF(Upgrades!$T$12="Asteroid Belt",POWER(Upgrades!$U$12,K118),1))/AH118,0)</f>
        <v/>
      </c>
      <c r="AU118" s="32">
        <f>IFERROR(Upgrades!$K$8*(POWER(Upgrades!$Q$6,E118)*POWER(Upgrades!$Q$7,F118)*POWER(Upgrades!$Q$8,G118)*POWER(Upgrades!$Q$9,H118)*POWER(Upgrades!$Q$10,I118)*POWER(Upgrades!$Q$11,J118)*POWER(Upgrades!$Q$12,K118))*(IF(Upgrades!$T$6="Stellar Coupling",POWER(Upgrades!$U$6,E118),1)*IF(Upgrades!$T$7="Stellar Coupling",POWER(Upgrades!$U$7,F118),1)*IF(Upgrades!$T$9="Stellar Coupling",POWER(Upgrades!$U$9,H118),1)*IF(Upgrades!$T$10="Stellar Coupling",POWER(Upgrades!$U$10,I118),1)*IF(Upgrades!$T$11="Stellar Coupling",POWER(Upgrades!$U$11,J118),1)*IF(Upgrades!$T$12="Stellar Coupling",POWER(Upgrades!$U$12,K118),1))*Parameters!$B$10*Parameters!$B$11/60/AI118,0)</f>
        <v/>
      </c>
      <c r="AV118" s="32">
        <f>IFERROR(Upgrades!$H$9*(POWER(Upgrades!$P$6,E118)*POWER(Upgrades!$P$7,F118)*POWER(Upgrades!$P$8,G118)*POWER(Upgrades!$P$9,H118)*POWER(Upgrades!$P$10,I118)*POWER(Upgrades!$P$11,J118)*POWER(Upgrades!$P$12,K118))*(IF(Upgrades!$T$6="Magnetosphere",POWER(Upgrades!$U$6,E118),1)*IF(Upgrades!$T$7="Magnetosphere",POWER(Upgrades!$U$7,F118),1)*IF(Upgrades!$T$8="Magnetosphere",POWER(Upgrades!$U$8,G118),1)*IF(Upgrades!$T$10="Magnetosphere",POWER(Upgrades!$U$10,I118),1)*IF(Upgrades!$T$11="Magnetosphere",POWER(Upgrades!$U$11,J118),1)*IF(Upgrades!$T$12="Magnetosphere",POWER(Upgrades!$U$12,K118),1))/AJ118,0)</f>
        <v/>
      </c>
      <c r="AW118" s="32">
        <f>MAX(IF(I118&gt;0,0,IFERROR(0.25*N118/Upgrades!$C$10,0)),IF(J118&gt;0,0,IFERROR(0.5*((IF(G118=0,0,(Upgrades!$J$8+G118*Upgrades!$K$8)*POWER(Upgrades!$L$8,G118)))*(IF(Upgrades!$T$6="Stellar Coupling",POWER(Upgrades!$U$6,E118),1)*IF(Upgrades!$T$7="Stellar Coupling",POWER(Upgrades!$U$7,F118),1)*IF(Upgrades!$T$9="Stellar Coupling",POWER(Upgrades!$U$9,H118),1)*IF(Upgrades!$T$10="Stellar Coupling",POWER(Upgrades!$U$10,I118),1)*IF(Upgrades!$T$11="Stellar Coupling",POWER(Upgrades!$U$11,J118),1)*IF(Upgrades!$T$12="Stellar Coupling",POWER(Upgrades!$U$12,K118),1))*(POWER(Upgrades!$Q$6,E118)*POWER(Upgrades!$Q$7,F118)*POWER(Upgrades!$Q$8,G118)*POWER(Upgrades!$Q$9,H118)*POWER(Upgrades!$Q$10,I118)*POWER(Upgrades!$Q$11,J118)*POWER(Upgrades!$Q$12,K118))*Parameters!$B$10*Parameters!$B$11/60)/Upgrades!$C$11,0)),IF(K118&gt;0,0,IFERROR((1.0*(POWER(Upgrades!$P$6,E118)*POWER(Upgrades!$P$7,F118)*POWER(Upgrades!$P$8,G118)*POWER(Upgrades!$P$9,H118)*POWER(Upgrades!$P$10,I118)*POWER(Upgrades!$P$11,J118)*POWER(Upgrades!$P$12,K118))+0.20*M118*Parameters!$B$10*Parameters!$B$11/60)/Upgrades!$C$12,0)),IF(AND(ISNUMBER(AG118),AG118&gt;T118),AS118,0),IF(AND(ISNUMBER(AH118),AH118&gt;T118),AT118,0),IF(AND(ISNUMBER(AI118),AI118&gt;T118),AU118,0),IF(AND(ISNUMBER(AJ118),AJ118&gt;T118),AV118,0))</f>
        <v/>
      </c>
      <c r="AX118" s="29">
        <f>IF(AN118=1,"transition",IF(MIN(IF(AND(I118=0,ISNUMBER(AK118),AK118&lt;=T118),AK118,9E15),IF(AND(J118=0,ISNUMBER(AL118),AL118&lt;=T118),AL118,9E15),IF(AND(K118=0,ISNUMBER(AM118),AM118&lt;=T118),AM118,9E15))&lt;9E15,IF(AND(AND(I118=0,ISNUMBER(AK118),AK118&lt;=T118),AK118=MIN(IF(AND(I118=0,ISNUMBER(AK118),AK118&lt;=T118),AK118,9E15),IF(AND(J118=0,ISNUMBER(AL118),AL118&lt;=T118),AL118,9E15),IF(AND(K118=0,ISNUMBER(AM118),AM118&lt;=T118),AM118,9E15))),"OR",IF(AND(AND(J118=0,ISNUMBER(AL118),AL118&lt;=T118),AL118=MIN(IF(AND(I118=0,ISNUMBER(AK118),AK118&lt;=T118),AK118,9E15),IF(AND(J118=0,ISNUMBER(AL118),AL118&lt;=T118),AL118,9E15),IF(AND(K118=0,ISNUMBER(AM118),AM118&lt;=T118),AM118,9E15))),"HP","FP")),IF(AR118=TRUE,"",IF(MAX(IF(AND(NOT(AND(AO118=1,AN118&lt;&gt;1)),ISNUMBER(AG118),AG118&lt;=T118),AS118,0),IF(AND(NOT(AND(AO118=1,AN118&lt;&gt;1)),ISNUMBER(AH118),AH118&lt;=T118),AT118,0),IF(AND(NOT(AND(AO118=1,AN118&lt;&gt;1)),ISNUMBER(AI118),AI118&lt;=T118),AU118,0),IF(AND(ISNUMBER(AJ118),AJ118&lt;=T118),AV118,0))&lt;=0,"",IF(AND(IF(AND(NOT(AND(AO118=1,AN118&lt;&gt;1)),ISNUMBER(AG118),AG118&lt;=T118),AS118,0)&gt;0,IF(AND(NOT(AND(AO118=1,AN118&lt;&gt;1)),ISNUMBER(AG118),AG118&lt;=T118),AS118,0)=MAX(IF(AND(NOT(AND(AO118=1,AN118&lt;&gt;1)),ISNUMBER(AG118),AG118&lt;=T118),AS118,0),IF(AND(NOT(AND(AO118=1,AN118&lt;&gt;1)),ISNUMBER(AH118),AH118&lt;=T118),AT118,0),IF(AND(NOT(AND(AO118=1,AN118&lt;&gt;1)),ISNUMBER(AI118),AI118&lt;=T118),AU118,0),IF(AND(ISNUMBER(AJ118),AJ118&lt;=T118),AV118,0))),"SW",IF(AND(IF(AND(NOT(AND(AO118=1,AN118&lt;&gt;1)),ISNUMBER(AH118),AH118&lt;=T118),AT118,0)&gt;0,IF(AND(NOT(AND(AO118=1,AN118&lt;&gt;1)),ISNUMBER(AH118),AH118&lt;=T118),AT118,0)=MAX(IF(AND(NOT(AND(AO118=1,AN118&lt;&gt;1)),ISNUMBER(AG118),AG118&lt;=T118),AS118,0),IF(AND(NOT(AND(AO118=1,AN118&lt;&gt;1)),ISNUMBER(AH118),AH118&lt;=T118),AT118,0),IF(AND(NOT(AND(AO118=1,AN118&lt;&gt;1)),ISNUMBER(AI118),AI118&lt;=T118),AU118,0),IF(AND(ISNUMBER(AJ118),AJ118&lt;=T118),AV118,0))),"AB",IF(AND(IF(AND(NOT(AND(AO118=1,AN118&lt;&gt;1)),ISNUMBER(AI118),AI118&lt;=T118),AU118,0)&gt;0,IF(AND(NOT(AND(AO118=1,AN118&lt;&gt;1)),ISNUMBER(AI118),AI118&lt;=T118),AU118,0)=MAX(IF(AND(NOT(AND(AO118=1,AN118&lt;&gt;1)),ISNUMBER(AG118),AG118&lt;=T118),AS118,0),IF(AND(NOT(AND(AO118=1,AN118&lt;&gt;1)),ISNUMBER(AH118),AH118&lt;=T118),AT118,0),IF(AND(NOT(AND(AO118=1,AN118&lt;&gt;1)),ISNUMBER(AI118),AI118&lt;=T118),AU118,0),IF(AND(ISNUMBER(AJ118),AJ118&lt;=T118),AV118,0))),"SC","Mag")))))))</f>
        <v/>
      </c>
    </row>
    <row r="119">
      <c r="A119" s="26" t="n">
        <v>114</v>
      </c>
      <c r="B119" s="27">
        <f>A119*10/60</f>
        <v/>
      </c>
      <c r="C119" s="22">
        <f>X118</f>
        <v/>
      </c>
      <c r="D119" s="27">
        <f>D118+W118</f>
        <v/>
      </c>
      <c r="E119" s="26">
        <f>E118+IF(U118="SW",1,0)</f>
        <v/>
      </c>
      <c r="F119" s="26">
        <f>F118+IF(U118="AB",1,0)</f>
        <v/>
      </c>
      <c r="G119" s="26">
        <f>G118+IF(U118="SC",1,0)</f>
        <v/>
      </c>
      <c r="H119" s="26">
        <f>H118+IF(U118="Mag",1,0)</f>
        <v/>
      </c>
      <c r="I119" s="26">
        <f>MAX(I118,IF(U118="OR",1,0))</f>
        <v/>
      </c>
      <c r="J119" s="26">
        <f>MAX(J118,IF(U118="HP",1,0))</f>
        <v/>
      </c>
      <c r="K119" s="26">
        <f>MAX(K118,IF(U118="FP",1,0))</f>
        <v/>
      </c>
      <c r="L119" s="26">
        <f>MAX(L118,IF(U118="transition",1,0))</f>
        <v/>
      </c>
      <c r="M119" s="28">
        <f>(Parameters!$B$9+(IF(E119=0,0,(Upgrades!$J$6+E119*Upgrades!$K$6)*POWER(Upgrades!$L$6,E119)))*(IF(Upgrades!$T$7="Solar Wind",POWER(Upgrades!$U$7,F119),1)*IF(Upgrades!$T$8="Solar Wind",POWER(Upgrades!$U$8,G119),1)*IF(Upgrades!$T$9="Solar Wind",POWER(Upgrades!$U$9,H119),1)*IF(Upgrades!$T$10="Solar Wind",POWER(Upgrades!$U$10,I119),1)*IF(Upgrades!$T$11="Solar Wind",POWER(Upgrades!$U$11,J119),1)*IF(Upgrades!$T$12="Solar Wind",POWER(Upgrades!$U$12,K119),1))+(IF(F119=0,0,(Upgrades!$J$7+F119*Upgrades!$K$7)*POWER(Upgrades!$L$7,F119)))*(IF(Upgrades!$T$6="Asteroid Belt",POWER(Upgrades!$U$6,E119),1)*IF(Upgrades!$T$8="Asteroid Belt",POWER(Upgrades!$U$8,G119),1)*IF(Upgrades!$T$9="Asteroid Belt",POWER(Upgrades!$U$9,H119),1)*IF(Upgrades!$T$10="Asteroid Belt",POWER(Upgrades!$U$10,I119),1)*IF(Upgrades!$T$11="Asteroid Belt",POWER(Upgrades!$U$11,J119),1)*IF(Upgrades!$T$12="Asteroid Belt",POWER(Upgrades!$U$12,K119),1))+(IF(G119=0,0,(Upgrades!$J$8+G119*Upgrades!$K$8)*POWER(Upgrades!$L$8,G119)))*(IF(Upgrades!$T$6="Stellar Coupling",POWER(Upgrades!$U$6,E119),1)*IF(Upgrades!$T$7="Stellar Coupling",POWER(Upgrades!$U$7,F119),1)*IF(Upgrades!$T$9="Stellar Coupling",POWER(Upgrades!$U$9,H119),1)*IF(Upgrades!$T$10="Stellar Coupling",POWER(Upgrades!$U$10,I119),1)*IF(Upgrades!$T$11="Stellar Coupling",POWER(Upgrades!$U$11,J119),1)*IF(Upgrades!$T$12="Stellar Coupling",POWER(Upgrades!$U$12,K119),1))+(IF(H119=0,0,(Upgrades!$J$9+H119*Upgrades!$K$9)*POWER(Upgrades!$L$9,H119)))*(IF(Upgrades!$T$6="Magnetosphere",POWER(Upgrades!$U$6,E119),1)*IF(Upgrades!$T$7="Magnetosphere",POWER(Upgrades!$U$7,F119),1)*IF(Upgrades!$T$8="Magnetosphere",POWER(Upgrades!$U$8,G119),1)*IF(Upgrades!$T$10="Magnetosphere",POWER(Upgrades!$U$10,I119),1)*IF(Upgrades!$T$11="Magnetosphere",POWER(Upgrades!$U$11,J119),1)*IF(Upgrades!$T$12="Magnetosphere",POWER(Upgrades!$U$12,K119),1))+(IF(I119=0,0,(Upgrades!$J$10+I119*Upgrades!$K$10)*POWER(Upgrades!$L$10,I119)))*(IF(Upgrades!$T$6="Orbital Resonance",POWER(Upgrades!$U$6,E119),1)*IF(Upgrades!$T$7="Orbital Resonance",POWER(Upgrades!$U$7,F119),1)*IF(Upgrades!$T$8="Orbital Resonance",POWER(Upgrades!$U$8,G119),1)*IF(Upgrades!$T$9="Orbital Resonance",POWER(Upgrades!$U$9,H119),1)*IF(Upgrades!$T$11="Orbital Resonance",POWER(Upgrades!$U$11,J119),1)*IF(Upgrades!$T$12="Orbital Resonance",POWER(Upgrades!$U$12,K119),1))+(IF(J119=0,0,(Upgrades!$J$11+J119*Upgrades!$K$11)*POWER(Upgrades!$L$11,J119)))*(IF(Upgrades!$T$6="Heliopause",POWER(Upgrades!$U$6,E119),1)*IF(Upgrades!$T$7="Heliopause",POWER(Upgrades!$U$7,F119),1)*IF(Upgrades!$T$8="Heliopause",POWER(Upgrades!$U$8,G119),1)*IF(Upgrades!$T$9="Heliopause",POWER(Upgrades!$U$9,H119),1)*IF(Upgrades!$T$10="Heliopause",POWER(Upgrades!$U$10,I119),1)*IF(Upgrades!$T$12="Heliopause",POWER(Upgrades!$U$12,K119),1))+(IF(K119=0,0,(Upgrades!$J$12+K119*Upgrades!$K$12)*POWER(Upgrades!$L$12,K119)))*(IF(Upgrades!$T$6="First Photons",POWER(Upgrades!$U$6,E119),1)*IF(Upgrades!$T$7="First Photons",POWER(Upgrades!$U$7,F119),1)*IF(Upgrades!$T$8="First Photons",POWER(Upgrades!$U$8,G119),1)*IF(Upgrades!$T$9="First Photons",POWER(Upgrades!$U$9,H119),1)*IF(Upgrades!$T$10="First Photons",POWER(Upgrades!$U$10,I119),1)*IF(Upgrades!$T$11="First Photons",POWER(Upgrades!$U$11,J119),1)))*POWER(Upgrades!$Q$6,E119)*POWER(Upgrades!$Q$7,F119)*POWER(Upgrades!$Q$8,G119)*POWER(Upgrades!$Q$9,H119)*POWER(Upgrades!$Q$10,I119)*POWER(Upgrades!$Q$11,J119)*POWER(Upgrades!$Q$12,K119)</f>
        <v/>
      </c>
      <c r="N119" s="28">
        <f>((IF(E119=0,0,(Upgrades!$G$6+E119*Upgrades!$H$6)*POWER(Upgrades!$I$6,E119)))*(IF(Upgrades!$T$7="Solar Wind",POWER(Upgrades!$U$7,F119),1)*IF(Upgrades!$T$8="Solar Wind",POWER(Upgrades!$U$8,G119),1)*IF(Upgrades!$T$9="Solar Wind",POWER(Upgrades!$U$9,H119),1)*IF(Upgrades!$T$10="Solar Wind",POWER(Upgrades!$U$10,I119),1)*IF(Upgrades!$T$11="Solar Wind",POWER(Upgrades!$U$11,J119),1)*IF(Upgrades!$T$12="Solar Wind",POWER(Upgrades!$U$12,K119),1))+(IF(F119=0,0,(Upgrades!$G$7+F119*Upgrades!$H$7)*POWER(Upgrades!$I$7,F119)))*(IF(Upgrades!$T$6="Asteroid Belt",POWER(Upgrades!$U$6,E119),1)*IF(Upgrades!$T$8="Asteroid Belt",POWER(Upgrades!$U$8,G119),1)*IF(Upgrades!$T$9="Asteroid Belt",POWER(Upgrades!$U$9,H119),1)*IF(Upgrades!$T$10="Asteroid Belt",POWER(Upgrades!$U$10,I119),1)*IF(Upgrades!$T$11="Asteroid Belt",POWER(Upgrades!$U$11,J119),1)*IF(Upgrades!$T$12="Asteroid Belt",POWER(Upgrades!$U$12,K119),1))+(IF(G119=0,0,(Upgrades!$G$8+G119*Upgrades!$H$8)*POWER(Upgrades!$I$8,G119)))*(IF(Upgrades!$T$6="Stellar Coupling",POWER(Upgrades!$U$6,E119),1)*IF(Upgrades!$T$7="Stellar Coupling",POWER(Upgrades!$U$7,F119),1)*IF(Upgrades!$T$9="Stellar Coupling",POWER(Upgrades!$U$9,H119),1)*IF(Upgrades!$T$10="Stellar Coupling",POWER(Upgrades!$U$10,I119),1)*IF(Upgrades!$T$11="Stellar Coupling",POWER(Upgrades!$U$11,J119),1)*IF(Upgrades!$T$12="Stellar Coupling",POWER(Upgrades!$U$12,K119),1))+(IF(H119=0,0,(Upgrades!$G$9+H119*Upgrades!$H$9)*POWER(Upgrades!$I$9,H119)))*(IF(Upgrades!$T$6="Magnetosphere",POWER(Upgrades!$U$6,E119),1)*IF(Upgrades!$T$7="Magnetosphere",POWER(Upgrades!$U$7,F119),1)*IF(Upgrades!$T$8="Magnetosphere",POWER(Upgrades!$U$8,G119),1)*IF(Upgrades!$T$10="Magnetosphere",POWER(Upgrades!$U$10,I119),1)*IF(Upgrades!$T$11="Magnetosphere",POWER(Upgrades!$U$11,J119),1)*IF(Upgrades!$T$12="Magnetosphere",POWER(Upgrades!$U$12,K119),1))+(IF(I119=0,0,(Upgrades!$G$10+I119*Upgrades!$H$10)*POWER(Upgrades!$I$10,I119)))*(IF(Upgrades!$T$6="Orbital Resonance",POWER(Upgrades!$U$6,E119),1)*IF(Upgrades!$T$7="Orbital Resonance",POWER(Upgrades!$U$7,F119),1)*IF(Upgrades!$T$8="Orbital Resonance",POWER(Upgrades!$U$8,G119),1)*IF(Upgrades!$T$9="Orbital Resonance",POWER(Upgrades!$U$9,H119),1)*IF(Upgrades!$T$11="Orbital Resonance",POWER(Upgrades!$U$11,J119),1)*IF(Upgrades!$T$12="Orbital Resonance",POWER(Upgrades!$U$12,K119),1))+(IF(J119=0,0,(Upgrades!$G$11+J119*Upgrades!$H$11)*POWER(Upgrades!$I$11,J119)))*(IF(Upgrades!$T$6="Heliopause",POWER(Upgrades!$U$6,E119),1)*IF(Upgrades!$T$7="Heliopause",POWER(Upgrades!$U$7,F119),1)*IF(Upgrades!$T$8="Heliopause",POWER(Upgrades!$U$8,G119),1)*IF(Upgrades!$T$9="Heliopause",POWER(Upgrades!$U$9,H119),1)*IF(Upgrades!$T$10="Heliopause",POWER(Upgrades!$U$10,I119),1)*IF(Upgrades!$T$12="Heliopause",POWER(Upgrades!$U$12,K119),1))+(IF(K119=0,0,(Upgrades!$G$12+K119*Upgrades!$H$12)*POWER(Upgrades!$I$12,K119)))*(IF(Upgrades!$T$6="First Photons",POWER(Upgrades!$U$6,E119),1)*IF(Upgrades!$T$7="First Photons",POWER(Upgrades!$U$7,F119),1)*IF(Upgrades!$T$8="First Photons",POWER(Upgrades!$U$8,G119),1)*IF(Upgrades!$T$9="First Photons",POWER(Upgrades!$U$9,H119),1)*IF(Upgrades!$T$10="First Photons",POWER(Upgrades!$U$10,I119),1)*IF(Upgrades!$T$11="First Photons",POWER(Upgrades!$U$11,J119),1)))*POWER(Upgrades!$P$6,E119)*POWER(Upgrades!$P$7,F119)*POWER(Upgrades!$P$8,G119)*POWER(Upgrades!$P$9,H119)*POWER(Upgrades!$P$10,I119)*POWER(Upgrades!$P$11,J119)*POWER(Upgrades!$P$12,K119)</f>
        <v/>
      </c>
      <c r="O119" s="28">
        <f>((IF(E119=0,0,(Upgrades!$M$6+E119*Upgrades!$N$6)*POWER(Upgrades!$O$6,E119)))*(IF(Upgrades!$T$7="Solar Wind",POWER(Upgrades!$U$7,F119),1)*IF(Upgrades!$T$8="Solar Wind",POWER(Upgrades!$U$8,G119),1)*IF(Upgrades!$T$9="Solar Wind",POWER(Upgrades!$U$9,H119),1)*IF(Upgrades!$T$10="Solar Wind",POWER(Upgrades!$U$10,I119),1)*IF(Upgrades!$T$11="Solar Wind",POWER(Upgrades!$U$11,J119),1)*IF(Upgrades!$T$12="Solar Wind",POWER(Upgrades!$U$12,K119),1))+(IF(F119=0,0,(Upgrades!$M$7+F119*Upgrades!$N$7)*POWER(Upgrades!$O$7,F119)))*(IF(Upgrades!$T$6="Asteroid Belt",POWER(Upgrades!$U$6,E119),1)*IF(Upgrades!$T$8="Asteroid Belt",POWER(Upgrades!$U$8,G119),1)*IF(Upgrades!$T$9="Asteroid Belt",POWER(Upgrades!$U$9,H119),1)*IF(Upgrades!$T$10="Asteroid Belt",POWER(Upgrades!$U$10,I119),1)*IF(Upgrades!$T$11="Asteroid Belt",POWER(Upgrades!$U$11,J119),1)*IF(Upgrades!$T$12="Asteroid Belt",POWER(Upgrades!$U$12,K119),1))+(IF(G119=0,0,(Upgrades!$M$8+G119*Upgrades!$N$8)*POWER(Upgrades!$O$8,G119)))*(IF(Upgrades!$T$6="Stellar Coupling",POWER(Upgrades!$U$6,E119),1)*IF(Upgrades!$T$7="Stellar Coupling",POWER(Upgrades!$U$7,F119),1)*IF(Upgrades!$T$9="Stellar Coupling",POWER(Upgrades!$U$9,H119),1)*IF(Upgrades!$T$10="Stellar Coupling",POWER(Upgrades!$U$10,I119),1)*IF(Upgrades!$T$11="Stellar Coupling",POWER(Upgrades!$U$11,J119),1)*IF(Upgrades!$T$12="Stellar Coupling",POWER(Upgrades!$U$12,K119),1))+(IF(H119=0,0,(Upgrades!$M$9+H119*Upgrades!$N$9)*POWER(Upgrades!$O$9,H119)))*(IF(Upgrades!$T$6="Magnetosphere",POWER(Upgrades!$U$6,E119),1)*IF(Upgrades!$T$7="Magnetosphere",POWER(Upgrades!$U$7,F119),1)*IF(Upgrades!$T$8="Magnetosphere",POWER(Upgrades!$U$8,G119),1)*IF(Upgrades!$T$10="Magnetosphere",POWER(Upgrades!$U$10,I119),1)*IF(Upgrades!$T$11="Magnetosphere",POWER(Upgrades!$U$11,J119),1)*IF(Upgrades!$T$12="Magnetosphere",POWER(Upgrades!$U$12,K119),1))+(IF(I119=0,0,(Upgrades!$M$10+I119*Upgrades!$N$10)*POWER(Upgrades!$O$10,I119)))*(IF(Upgrades!$T$6="Orbital Resonance",POWER(Upgrades!$U$6,E119),1)*IF(Upgrades!$T$7="Orbital Resonance",POWER(Upgrades!$U$7,F119),1)*IF(Upgrades!$T$8="Orbital Resonance",POWER(Upgrades!$U$8,G119),1)*IF(Upgrades!$T$9="Orbital Resonance",POWER(Upgrades!$U$9,H119),1)*IF(Upgrades!$T$11="Orbital Resonance",POWER(Upgrades!$U$11,J119),1)*IF(Upgrades!$T$12="Orbital Resonance",POWER(Upgrades!$U$12,K119),1))+(IF(J119=0,0,(Upgrades!$M$11+J119*Upgrades!$N$11)*POWER(Upgrades!$O$11,J119)))*(IF(Upgrades!$T$6="Heliopause",POWER(Upgrades!$U$6,E119),1)*IF(Upgrades!$T$7="Heliopause",POWER(Upgrades!$U$7,F119),1)*IF(Upgrades!$T$8="Heliopause",POWER(Upgrades!$U$8,G119),1)*IF(Upgrades!$T$9="Heliopause",POWER(Upgrades!$U$9,H119),1)*IF(Upgrades!$T$10="Heliopause",POWER(Upgrades!$U$10,I119),1)*IF(Upgrades!$T$12="Heliopause",POWER(Upgrades!$U$12,K119),1))+(IF(K119=0,0,(Upgrades!$M$12+K119*Upgrades!$N$12)*POWER(Upgrades!$O$12,K119)))*(IF(Upgrades!$T$6="First Photons",POWER(Upgrades!$U$6,E119),1)*IF(Upgrades!$T$7="First Photons",POWER(Upgrades!$U$7,F119),1)*IF(Upgrades!$T$8="First Photons",POWER(Upgrades!$U$8,G119),1)*IF(Upgrades!$T$9="First Photons",POWER(Upgrades!$U$9,H119),1)*IF(Upgrades!$T$10="First Photons",POWER(Upgrades!$U$10,I119),1)*IF(Upgrades!$T$11="First Photons",POWER(Upgrades!$U$11,J119),1)))*POWER(Upgrades!$R$6,E119)*POWER(Upgrades!$R$7,F119)*POWER(Upgrades!$R$8,G119)*POWER(Upgrades!$R$9,H119)*POWER(Upgrades!$R$10,I119)*POWER(Upgrades!$R$11,J119)*POWER(Upgrades!$R$12,K119)</f>
        <v/>
      </c>
      <c r="P119" s="27">
        <f>IF(L119=1,0,M119*Parameters!$B$10/60*Parameters!$B$11*10)</f>
        <v/>
      </c>
      <c r="Q119" s="27">
        <f>IF(L119=1,0,O119*M119*10)</f>
        <v/>
      </c>
      <c r="R119" s="27">
        <f>IF(L119=1,0,N119*10)</f>
        <v/>
      </c>
      <c r="S119" s="27">
        <f>P119+Q119+R119</f>
        <v/>
      </c>
      <c r="T119" s="22">
        <f>C119+S119</f>
        <v/>
      </c>
      <c r="U119" s="33">
        <f>AX119</f>
        <v/>
      </c>
      <c r="V119" s="22">
        <f>IF(U119="",0,IF(U119="transition",0,IF(U119="SW",AG119,IF(U119="AB",AH119,IF(U119="SC",AI119,IF(U119="Mag",AJ119,IF(U119="OR",AK119,IF(U119="HP",AL119,IF(U119="FP",AM119,0)))))))))</f>
        <v/>
      </c>
      <c r="W119" s="27">
        <f>IF(U119="OR",Upgrades!$F$10,IF(U119="HP",Upgrades!$F$11,IF(U119="transition",-Parameters!$B$18,0)))</f>
        <v/>
      </c>
      <c r="X119" s="22">
        <f>T119-V119</f>
        <v/>
      </c>
      <c r="Y119" s="30">
        <f>M119*Parameters!$B$10/60*Parameters!$B$11+O119*M119+N119</f>
        <v/>
      </c>
      <c r="Z119" s="34">
        <f>IF(U119="transition","→ Tier 2 (Stellar Neighborhood)",IF(U119="FP","First Photons — light begins, system quickens",IF(U119="HP","Heliopause acquired",IF(U119="OR","Orbital Resonance — passive multiplier active",IF(AND(AO119=1,L119=0,AN119&lt;&gt;1),"Cohesion ready (waiting on completionist upgrades)","")))))</f>
        <v/>
      </c>
      <c r="AA119" s="27">
        <f>(IF(E119=0,0,(Upgrades!$G$6+E119*Upgrades!$H$6)*POWER(Upgrades!$I$6,E119)))*(IF(Upgrades!$T$7="Solar Wind",POWER(Upgrades!$U$7,F119),1)*IF(Upgrades!$T$8="Solar Wind",POWER(Upgrades!$U$8,G119),1)*IF(Upgrades!$T$9="Solar Wind",POWER(Upgrades!$U$9,H119),1)*IF(Upgrades!$T$10="Solar Wind",POWER(Upgrades!$U$10,I119),1)*IF(Upgrades!$T$11="Solar Wind",POWER(Upgrades!$U$11,J119),1)*IF(Upgrades!$T$12="Solar Wind",POWER(Upgrades!$U$12,K119),1))*POWER(Upgrades!$P$6,E119)*POWER(Upgrades!$P$7,F119)*POWER(Upgrades!$P$8,G119)*POWER(Upgrades!$P$9,H119)*POWER(Upgrades!$P$10,I119)*POWER(Upgrades!$P$11,J119)*POWER(Upgrades!$P$12,K119)*60</f>
        <v/>
      </c>
      <c r="AB119" s="27">
        <f>(IF(F119=0,0,(Upgrades!$G$7+F119*Upgrades!$H$7)*POWER(Upgrades!$I$7,F119)))*(IF(Upgrades!$T$6="Asteroid Belt",POWER(Upgrades!$U$6,E119),1)*IF(Upgrades!$T$8="Asteroid Belt",POWER(Upgrades!$U$8,G119),1)*IF(Upgrades!$T$9="Asteroid Belt",POWER(Upgrades!$U$9,H119),1)*IF(Upgrades!$T$10="Asteroid Belt",POWER(Upgrades!$U$10,I119),1)*IF(Upgrades!$T$11="Asteroid Belt",POWER(Upgrades!$U$11,J119),1)*IF(Upgrades!$T$12="Asteroid Belt",POWER(Upgrades!$U$12,K119),1))*POWER(Upgrades!$P$6,E119)*POWER(Upgrades!$P$7,F119)*POWER(Upgrades!$P$8,G119)*POWER(Upgrades!$P$9,H119)*POWER(Upgrades!$P$10,I119)*POWER(Upgrades!$P$11,J119)*POWER(Upgrades!$P$12,K119)*60</f>
        <v/>
      </c>
      <c r="AC119" s="27">
        <f>(IF(G119=0,0,(Upgrades!$J$8+G119*Upgrades!$K$8)*POWER(Upgrades!$L$8,G119)))*(IF(Upgrades!$T$6="Stellar Coupling",POWER(Upgrades!$U$6,E119),1)*IF(Upgrades!$T$7="Stellar Coupling",POWER(Upgrades!$U$7,F119),1)*IF(Upgrades!$T$9="Stellar Coupling",POWER(Upgrades!$U$9,H119),1)*IF(Upgrades!$T$10="Stellar Coupling",POWER(Upgrades!$U$10,I119),1)*IF(Upgrades!$T$11="Stellar Coupling",POWER(Upgrades!$U$11,J119),1)*IF(Upgrades!$T$12="Stellar Coupling",POWER(Upgrades!$U$12,K119),1))*POWER(Upgrades!$Q$6,E119)*POWER(Upgrades!$Q$7,F119)*POWER(Upgrades!$Q$8,G119)*POWER(Upgrades!$Q$9,H119)*POWER(Upgrades!$Q$10,I119)*POWER(Upgrades!$Q$11,J119)*POWER(Upgrades!$Q$12,K119)*Parameters!$B$10*Parameters!$B$11</f>
        <v/>
      </c>
      <c r="AD119" s="27">
        <f>(IF(H119=0,0,(Upgrades!$G$9+H119*Upgrades!$H$9)*POWER(Upgrades!$I$9,H119)))*(IF(Upgrades!$T$6="Magnetosphere",POWER(Upgrades!$U$6,E119),1)*IF(Upgrades!$T$7="Magnetosphere",POWER(Upgrades!$U$7,F119),1)*IF(Upgrades!$T$8="Magnetosphere",POWER(Upgrades!$U$8,G119),1)*IF(Upgrades!$T$10="Magnetosphere",POWER(Upgrades!$U$10,I119),1)*IF(Upgrades!$T$11="Magnetosphere",POWER(Upgrades!$U$11,J119),1)*IF(Upgrades!$T$12="Magnetosphere",POWER(Upgrades!$U$12,K119),1))*POWER(Upgrades!$P$6,E119)*POWER(Upgrades!$P$7,F119)*POWER(Upgrades!$P$8,G119)*POWER(Upgrades!$P$9,H119)*POWER(Upgrades!$P$10,I119)*POWER(Upgrades!$P$11,J119)*POWER(Upgrades!$P$12,K119)*60</f>
        <v/>
      </c>
      <c r="AE119" s="27">
        <f>(IF(K119=0,0,(Upgrades!$G$12+K119*Upgrades!$H$12)*POWER(Upgrades!$I$12,K119)))*(IF(Upgrades!$T$6="First Photons",POWER(Upgrades!$U$6,E119),1)*IF(Upgrades!$T$7="First Photons",POWER(Upgrades!$U$7,F119),1)*IF(Upgrades!$T$8="First Photons",POWER(Upgrades!$U$8,G119),1)*IF(Upgrades!$T$9="First Photons",POWER(Upgrades!$U$9,H119),1)*IF(Upgrades!$T$10="First Photons",POWER(Upgrades!$U$10,I119),1)*IF(Upgrades!$T$11="First Photons",POWER(Upgrades!$U$11,J119),1))*POWER(Upgrades!$P$6,E119)*POWER(Upgrades!$P$7,F119)*POWER(Upgrades!$P$8,G119)*POWER(Upgrades!$P$9,H119)*POWER(Upgrades!$P$10,I119)*POWER(Upgrades!$P$11,J119)*POWER(Upgrades!$P$12,K119)*60</f>
        <v/>
      </c>
      <c r="AF119" s="27">
        <f>Parameters!$B$9*POWER(Upgrades!$Q$6,E119)*POWER(Upgrades!$Q$7,F119)*POWER(Upgrades!$Q$8,G119)*POWER(Upgrades!$Q$9,H119)*POWER(Upgrades!$Q$10,I119)*POWER(Upgrades!$Q$11,J119)*POWER(Upgrades!$Q$12,K119)*(Parameters!$B$10*Parameters!$B$11+O119*60)</f>
        <v/>
      </c>
      <c r="AG119" s="22">
        <f>IF(E119&gt;=Upgrades!$E$6,"",Upgrades!$C$6*POWER(Upgrades!$D$6,E119))</f>
        <v/>
      </c>
      <c r="AH119" s="22">
        <f>IF(F119&gt;=Upgrades!$E$7,"",Upgrades!$C$7*POWER(Upgrades!$D$7,F119))</f>
        <v/>
      </c>
      <c r="AI119" s="22">
        <f>IF(G119&gt;=Upgrades!$E$8,"",Upgrades!$C$8*POWER(Upgrades!$D$8,G119))</f>
        <v/>
      </c>
      <c r="AJ119" s="22">
        <f>IF(H119&gt;=Upgrades!$E$9,"",Upgrades!$C$9*POWER(Upgrades!$D$9,H119))</f>
        <v/>
      </c>
      <c r="AK119" s="22">
        <f>IF(I119&gt;=Upgrades!$E$10,"",Upgrades!$C$10*POWER(Upgrades!$D$10,I119))</f>
        <v/>
      </c>
      <c r="AL119" s="22">
        <f>IF(J119&gt;=Upgrades!$E$11,"",Upgrades!$C$11*POWER(Upgrades!$D$11,J119))</f>
        <v/>
      </c>
      <c r="AM119" s="22">
        <f>IF(K119&gt;=Upgrades!$E$12,"",Upgrades!$C$12*POWER(Upgrades!$D$12,K119))</f>
        <v/>
      </c>
      <c r="AN119" s="26">
        <f>IF(AND(D119&gt;=Parameters!$B$18,(H119&gt;=Upgrades!$E$9)*(K119&gt;=Upgrades!$E$12)=1,L119=0),1,"")</f>
        <v/>
      </c>
      <c r="AO119" s="26">
        <f>IF(AND(D119&gt;=Parameters!$B$18,L119=0),1,"")</f>
        <v/>
      </c>
      <c r="AP119" s="22">
        <f>MIN(IF(ISNUMBER(AK119),AK119,9E15),IF(ISNUMBER(AL119),AL119,9E15),IF(ISNUMBER(AM119),AM119,9E15))</f>
        <v/>
      </c>
      <c r="AQ119" s="22">
        <f>MIN(IF(ISNUMBER(AG119),AG119,9E15),IF(ISNUMBER(AH119),AH119,9E15),IF(ISNUMBER(AI119),AI119,9E15),IF(ISNUMBER(AJ119),AJ119,9E15))</f>
        <v/>
      </c>
      <c r="AR119" s="29">
        <f>IF(AW119&gt;Parameters!$B$21*(MAX(IF(AND(NOT(AND(AO119=1,AN119&lt;&gt;1)),ISNUMBER(AG119),AG119&lt;=T119),AS119,0),IF(AND(NOT(AND(AO119=1,AN119&lt;&gt;1)),ISNUMBER(AH119),AH119&lt;=T119),AT119,0),IF(AND(NOT(AND(AO119=1,AN119&lt;&gt;1)),ISNUMBER(AI119),AI119&lt;=T119),AU119,0),IF(AND(ISNUMBER(AJ119),AJ119&lt;=T119),AV119,0))),TRUE,FALSE)</f>
        <v/>
      </c>
      <c r="AS119" s="32">
        <f>IFERROR(Upgrades!$H$6*(POWER(Upgrades!$P$6,E119)*POWER(Upgrades!$P$7,F119)*POWER(Upgrades!$P$8,G119)*POWER(Upgrades!$P$9,H119)*POWER(Upgrades!$P$10,I119)*POWER(Upgrades!$P$11,J119)*POWER(Upgrades!$P$12,K119))*(IF(Upgrades!$T$7="Solar Wind",POWER(Upgrades!$U$7,F119),1)*IF(Upgrades!$T$8="Solar Wind",POWER(Upgrades!$U$8,G119),1)*IF(Upgrades!$T$9="Solar Wind",POWER(Upgrades!$U$9,H119),1)*IF(Upgrades!$T$10="Solar Wind",POWER(Upgrades!$U$10,I119),1)*IF(Upgrades!$T$11="Solar Wind",POWER(Upgrades!$U$11,J119),1)*IF(Upgrades!$T$12="Solar Wind",POWER(Upgrades!$U$12,K119),1))/AG119,0)</f>
        <v/>
      </c>
      <c r="AT119" s="32">
        <f>IFERROR(Upgrades!$H$7*(POWER(Upgrades!$P$6,E119)*POWER(Upgrades!$P$7,F119)*POWER(Upgrades!$P$8,G119)*POWER(Upgrades!$P$9,H119)*POWER(Upgrades!$P$10,I119)*POWER(Upgrades!$P$11,J119)*POWER(Upgrades!$P$12,K119))*(IF(Upgrades!$T$6="Asteroid Belt",POWER(Upgrades!$U$6,E119),1)*IF(Upgrades!$T$8="Asteroid Belt",POWER(Upgrades!$U$8,G119),1)*IF(Upgrades!$T$9="Asteroid Belt",POWER(Upgrades!$U$9,H119),1)*IF(Upgrades!$T$10="Asteroid Belt",POWER(Upgrades!$U$10,I119),1)*IF(Upgrades!$T$11="Asteroid Belt",POWER(Upgrades!$U$11,J119),1)*IF(Upgrades!$T$12="Asteroid Belt",POWER(Upgrades!$U$12,K119),1))/AH119,0)</f>
        <v/>
      </c>
      <c r="AU119" s="32">
        <f>IFERROR(Upgrades!$K$8*(POWER(Upgrades!$Q$6,E119)*POWER(Upgrades!$Q$7,F119)*POWER(Upgrades!$Q$8,G119)*POWER(Upgrades!$Q$9,H119)*POWER(Upgrades!$Q$10,I119)*POWER(Upgrades!$Q$11,J119)*POWER(Upgrades!$Q$12,K119))*(IF(Upgrades!$T$6="Stellar Coupling",POWER(Upgrades!$U$6,E119),1)*IF(Upgrades!$T$7="Stellar Coupling",POWER(Upgrades!$U$7,F119),1)*IF(Upgrades!$T$9="Stellar Coupling",POWER(Upgrades!$U$9,H119),1)*IF(Upgrades!$T$10="Stellar Coupling",POWER(Upgrades!$U$10,I119),1)*IF(Upgrades!$T$11="Stellar Coupling",POWER(Upgrades!$U$11,J119),1)*IF(Upgrades!$T$12="Stellar Coupling",POWER(Upgrades!$U$12,K119),1))*Parameters!$B$10*Parameters!$B$11/60/AI119,0)</f>
        <v/>
      </c>
      <c r="AV119" s="32">
        <f>IFERROR(Upgrades!$H$9*(POWER(Upgrades!$P$6,E119)*POWER(Upgrades!$P$7,F119)*POWER(Upgrades!$P$8,G119)*POWER(Upgrades!$P$9,H119)*POWER(Upgrades!$P$10,I119)*POWER(Upgrades!$P$11,J119)*POWER(Upgrades!$P$12,K119))*(IF(Upgrades!$T$6="Magnetosphere",POWER(Upgrades!$U$6,E119),1)*IF(Upgrades!$T$7="Magnetosphere",POWER(Upgrades!$U$7,F119),1)*IF(Upgrades!$T$8="Magnetosphere",POWER(Upgrades!$U$8,G119),1)*IF(Upgrades!$T$10="Magnetosphere",POWER(Upgrades!$U$10,I119),1)*IF(Upgrades!$T$11="Magnetosphere",POWER(Upgrades!$U$11,J119),1)*IF(Upgrades!$T$12="Magnetosphere",POWER(Upgrades!$U$12,K119),1))/AJ119,0)</f>
        <v/>
      </c>
      <c r="AW119" s="32">
        <f>MAX(IF(I119&gt;0,0,IFERROR(0.25*N119/Upgrades!$C$10,0)),IF(J119&gt;0,0,IFERROR(0.5*((IF(G119=0,0,(Upgrades!$J$8+G119*Upgrades!$K$8)*POWER(Upgrades!$L$8,G119)))*(IF(Upgrades!$T$6="Stellar Coupling",POWER(Upgrades!$U$6,E119),1)*IF(Upgrades!$T$7="Stellar Coupling",POWER(Upgrades!$U$7,F119),1)*IF(Upgrades!$T$9="Stellar Coupling",POWER(Upgrades!$U$9,H119),1)*IF(Upgrades!$T$10="Stellar Coupling",POWER(Upgrades!$U$10,I119),1)*IF(Upgrades!$T$11="Stellar Coupling",POWER(Upgrades!$U$11,J119),1)*IF(Upgrades!$T$12="Stellar Coupling",POWER(Upgrades!$U$12,K119),1))*(POWER(Upgrades!$Q$6,E119)*POWER(Upgrades!$Q$7,F119)*POWER(Upgrades!$Q$8,G119)*POWER(Upgrades!$Q$9,H119)*POWER(Upgrades!$Q$10,I119)*POWER(Upgrades!$Q$11,J119)*POWER(Upgrades!$Q$12,K119))*Parameters!$B$10*Parameters!$B$11/60)/Upgrades!$C$11,0)),IF(K119&gt;0,0,IFERROR((1.0*(POWER(Upgrades!$P$6,E119)*POWER(Upgrades!$P$7,F119)*POWER(Upgrades!$P$8,G119)*POWER(Upgrades!$P$9,H119)*POWER(Upgrades!$P$10,I119)*POWER(Upgrades!$P$11,J119)*POWER(Upgrades!$P$12,K119))+0.20*M119*Parameters!$B$10*Parameters!$B$11/60)/Upgrades!$C$12,0)),IF(AND(ISNUMBER(AG119),AG119&gt;T119),AS119,0),IF(AND(ISNUMBER(AH119),AH119&gt;T119),AT119,0),IF(AND(ISNUMBER(AI119),AI119&gt;T119),AU119,0),IF(AND(ISNUMBER(AJ119),AJ119&gt;T119),AV119,0))</f>
        <v/>
      </c>
      <c r="AX119" s="29">
        <f>IF(AN119=1,"transition",IF(MIN(IF(AND(I119=0,ISNUMBER(AK119),AK119&lt;=T119),AK119,9E15),IF(AND(J119=0,ISNUMBER(AL119),AL119&lt;=T119),AL119,9E15),IF(AND(K119=0,ISNUMBER(AM119),AM119&lt;=T119),AM119,9E15))&lt;9E15,IF(AND(AND(I119=0,ISNUMBER(AK119),AK119&lt;=T119),AK119=MIN(IF(AND(I119=0,ISNUMBER(AK119),AK119&lt;=T119),AK119,9E15),IF(AND(J119=0,ISNUMBER(AL119),AL119&lt;=T119),AL119,9E15),IF(AND(K119=0,ISNUMBER(AM119),AM119&lt;=T119),AM119,9E15))),"OR",IF(AND(AND(J119=0,ISNUMBER(AL119),AL119&lt;=T119),AL119=MIN(IF(AND(I119=0,ISNUMBER(AK119),AK119&lt;=T119),AK119,9E15),IF(AND(J119=0,ISNUMBER(AL119),AL119&lt;=T119),AL119,9E15),IF(AND(K119=0,ISNUMBER(AM119),AM119&lt;=T119),AM119,9E15))),"HP","FP")),IF(AR119=TRUE,"",IF(MAX(IF(AND(NOT(AND(AO119=1,AN119&lt;&gt;1)),ISNUMBER(AG119),AG119&lt;=T119),AS119,0),IF(AND(NOT(AND(AO119=1,AN119&lt;&gt;1)),ISNUMBER(AH119),AH119&lt;=T119),AT119,0),IF(AND(NOT(AND(AO119=1,AN119&lt;&gt;1)),ISNUMBER(AI119),AI119&lt;=T119),AU119,0),IF(AND(ISNUMBER(AJ119),AJ119&lt;=T119),AV119,0))&lt;=0,"",IF(AND(IF(AND(NOT(AND(AO119=1,AN119&lt;&gt;1)),ISNUMBER(AG119),AG119&lt;=T119),AS119,0)&gt;0,IF(AND(NOT(AND(AO119=1,AN119&lt;&gt;1)),ISNUMBER(AG119),AG119&lt;=T119),AS119,0)=MAX(IF(AND(NOT(AND(AO119=1,AN119&lt;&gt;1)),ISNUMBER(AG119),AG119&lt;=T119),AS119,0),IF(AND(NOT(AND(AO119=1,AN119&lt;&gt;1)),ISNUMBER(AH119),AH119&lt;=T119),AT119,0),IF(AND(NOT(AND(AO119=1,AN119&lt;&gt;1)),ISNUMBER(AI119),AI119&lt;=T119),AU119,0),IF(AND(ISNUMBER(AJ119),AJ119&lt;=T119),AV119,0))),"SW",IF(AND(IF(AND(NOT(AND(AO119=1,AN119&lt;&gt;1)),ISNUMBER(AH119),AH119&lt;=T119),AT119,0)&gt;0,IF(AND(NOT(AND(AO119=1,AN119&lt;&gt;1)),ISNUMBER(AH119),AH119&lt;=T119),AT119,0)=MAX(IF(AND(NOT(AND(AO119=1,AN119&lt;&gt;1)),ISNUMBER(AG119),AG119&lt;=T119),AS119,0),IF(AND(NOT(AND(AO119=1,AN119&lt;&gt;1)),ISNUMBER(AH119),AH119&lt;=T119),AT119,0),IF(AND(NOT(AND(AO119=1,AN119&lt;&gt;1)),ISNUMBER(AI119),AI119&lt;=T119),AU119,0),IF(AND(ISNUMBER(AJ119),AJ119&lt;=T119),AV119,0))),"AB",IF(AND(IF(AND(NOT(AND(AO119=1,AN119&lt;&gt;1)),ISNUMBER(AI119),AI119&lt;=T119),AU119,0)&gt;0,IF(AND(NOT(AND(AO119=1,AN119&lt;&gt;1)),ISNUMBER(AI119),AI119&lt;=T119),AU119,0)=MAX(IF(AND(NOT(AND(AO119=1,AN119&lt;&gt;1)),ISNUMBER(AG119),AG119&lt;=T119),AS119,0),IF(AND(NOT(AND(AO119=1,AN119&lt;&gt;1)),ISNUMBER(AH119),AH119&lt;=T119),AT119,0),IF(AND(NOT(AND(AO119=1,AN119&lt;&gt;1)),ISNUMBER(AI119),AI119&lt;=T119),AU119,0),IF(AND(ISNUMBER(AJ119),AJ119&lt;=T119),AV119,0))),"SC","Mag")))))))</f>
        <v/>
      </c>
    </row>
    <row r="120">
      <c r="A120" s="26" t="n">
        <v>115</v>
      </c>
      <c r="B120" s="27">
        <f>A120*10/60</f>
        <v/>
      </c>
      <c r="C120" s="22">
        <f>X119</f>
        <v/>
      </c>
      <c r="D120" s="27">
        <f>D119+W119</f>
        <v/>
      </c>
      <c r="E120" s="26">
        <f>E119+IF(U119="SW",1,0)</f>
        <v/>
      </c>
      <c r="F120" s="26">
        <f>F119+IF(U119="AB",1,0)</f>
        <v/>
      </c>
      <c r="G120" s="26">
        <f>G119+IF(U119="SC",1,0)</f>
        <v/>
      </c>
      <c r="H120" s="26">
        <f>H119+IF(U119="Mag",1,0)</f>
        <v/>
      </c>
      <c r="I120" s="26">
        <f>MAX(I119,IF(U119="OR",1,0))</f>
        <v/>
      </c>
      <c r="J120" s="26">
        <f>MAX(J119,IF(U119="HP",1,0))</f>
        <v/>
      </c>
      <c r="K120" s="26">
        <f>MAX(K119,IF(U119="FP",1,0))</f>
        <v/>
      </c>
      <c r="L120" s="26">
        <f>MAX(L119,IF(U119="transition",1,0))</f>
        <v/>
      </c>
      <c r="M120" s="28">
        <f>(Parameters!$B$9+(IF(E120=0,0,(Upgrades!$J$6+E120*Upgrades!$K$6)*POWER(Upgrades!$L$6,E120)))*(IF(Upgrades!$T$7="Solar Wind",POWER(Upgrades!$U$7,F120),1)*IF(Upgrades!$T$8="Solar Wind",POWER(Upgrades!$U$8,G120),1)*IF(Upgrades!$T$9="Solar Wind",POWER(Upgrades!$U$9,H120),1)*IF(Upgrades!$T$10="Solar Wind",POWER(Upgrades!$U$10,I120),1)*IF(Upgrades!$T$11="Solar Wind",POWER(Upgrades!$U$11,J120),1)*IF(Upgrades!$T$12="Solar Wind",POWER(Upgrades!$U$12,K120),1))+(IF(F120=0,0,(Upgrades!$J$7+F120*Upgrades!$K$7)*POWER(Upgrades!$L$7,F120)))*(IF(Upgrades!$T$6="Asteroid Belt",POWER(Upgrades!$U$6,E120),1)*IF(Upgrades!$T$8="Asteroid Belt",POWER(Upgrades!$U$8,G120),1)*IF(Upgrades!$T$9="Asteroid Belt",POWER(Upgrades!$U$9,H120),1)*IF(Upgrades!$T$10="Asteroid Belt",POWER(Upgrades!$U$10,I120),1)*IF(Upgrades!$T$11="Asteroid Belt",POWER(Upgrades!$U$11,J120),1)*IF(Upgrades!$T$12="Asteroid Belt",POWER(Upgrades!$U$12,K120),1))+(IF(G120=0,0,(Upgrades!$J$8+G120*Upgrades!$K$8)*POWER(Upgrades!$L$8,G120)))*(IF(Upgrades!$T$6="Stellar Coupling",POWER(Upgrades!$U$6,E120),1)*IF(Upgrades!$T$7="Stellar Coupling",POWER(Upgrades!$U$7,F120),1)*IF(Upgrades!$T$9="Stellar Coupling",POWER(Upgrades!$U$9,H120),1)*IF(Upgrades!$T$10="Stellar Coupling",POWER(Upgrades!$U$10,I120),1)*IF(Upgrades!$T$11="Stellar Coupling",POWER(Upgrades!$U$11,J120),1)*IF(Upgrades!$T$12="Stellar Coupling",POWER(Upgrades!$U$12,K120),1))+(IF(H120=0,0,(Upgrades!$J$9+H120*Upgrades!$K$9)*POWER(Upgrades!$L$9,H120)))*(IF(Upgrades!$T$6="Magnetosphere",POWER(Upgrades!$U$6,E120),1)*IF(Upgrades!$T$7="Magnetosphere",POWER(Upgrades!$U$7,F120),1)*IF(Upgrades!$T$8="Magnetosphere",POWER(Upgrades!$U$8,G120),1)*IF(Upgrades!$T$10="Magnetosphere",POWER(Upgrades!$U$10,I120),1)*IF(Upgrades!$T$11="Magnetosphere",POWER(Upgrades!$U$11,J120),1)*IF(Upgrades!$T$12="Magnetosphere",POWER(Upgrades!$U$12,K120),1))+(IF(I120=0,0,(Upgrades!$J$10+I120*Upgrades!$K$10)*POWER(Upgrades!$L$10,I120)))*(IF(Upgrades!$T$6="Orbital Resonance",POWER(Upgrades!$U$6,E120),1)*IF(Upgrades!$T$7="Orbital Resonance",POWER(Upgrades!$U$7,F120),1)*IF(Upgrades!$T$8="Orbital Resonance",POWER(Upgrades!$U$8,G120),1)*IF(Upgrades!$T$9="Orbital Resonance",POWER(Upgrades!$U$9,H120),1)*IF(Upgrades!$T$11="Orbital Resonance",POWER(Upgrades!$U$11,J120),1)*IF(Upgrades!$T$12="Orbital Resonance",POWER(Upgrades!$U$12,K120),1))+(IF(J120=0,0,(Upgrades!$J$11+J120*Upgrades!$K$11)*POWER(Upgrades!$L$11,J120)))*(IF(Upgrades!$T$6="Heliopause",POWER(Upgrades!$U$6,E120),1)*IF(Upgrades!$T$7="Heliopause",POWER(Upgrades!$U$7,F120),1)*IF(Upgrades!$T$8="Heliopause",POWER(Upgrades!$U$8,G120),1)*IF(Upgrades!$T$9="Heliopause",POWER(Upgrades!$U$9,H120),1)*IF(Upgrades!$T$10="Heliopause",POWER(Upgrades!$U$10,I120),1)*IF(Upgrades!$T$12="Heliopause",POWER(Upgrades!$U$12,K120),1))+(IF(K120=0,0,(Upgrades!$J$12+K120*Upgrades!$K$12)*POWER(Upgrades!$L$12,K120)))*(IF(Upgrades!$T$6="First Photons",POWER(Upgrades!$U$6,E120),1)*IF(Upgrades!$T$7="First Photons",POWER(Upgrades!$U$7,F120),1)*IF(Upgrades!$T$8="First Photons",POWER(Upgrades!$U$8,G120),1)*IF(Upgrades!$T$9="First Photons",POWER(Upgrades!$U$9,H120),1)*IF(Upgrades!$T$10="First Photons",POWER(Upgrades!$U$10,I120),1)*IF(Upgrades!$T$11="First Photons",POWER(Upgrades!$U$11,J120),1)))*POWER(Upgrades!$Q$6,E120)*POWER(Upgrades!$Q$7,F120)*POWER(Upgrades!$Q$8,G120)*POWER(Upgrades!$Q$9,H120)*POWER(Upgrades!$Q$10,I120)*POWER(Upgrades!$Q$11,J120)*POWER(Upgrades!$Q$12,K120)</f>
        <v/>
      </c>
      <c r="N120" s="28">
        <f>((IF(E120=0,0,(Upgrades!$G$6+E120*Upgrades!$H$6)*POWER(Upgrades!$I$6,E120)))*(IF(Upgrades!$T$7="Solar Wind",POWER(Upgrades!$U$7,F120),1)*IF(Upgrades!$T$8="Solar Wind",POWER(Upgrades!$U$8,G120),1)*IF(Upgrades!$T$9="Solar Wind",POWER(Upgrades!$U$9,H120),1)*IF(Upgrades!$T$10="Solar Wind",POWER(Upgrades!$U$10,I120),1)*IF(Upgrades!$T$11="Solar Wind",POWER(Upgrades!$U$11,J120),1)*IF(Upgrades!$T$12="Solar Wind",POWER(Upgrades!$U$12,K120),1))+(IF(F120=0,0,(Upgrades!$G$7+F120*Upgrades!$H$7)*POWER(Upgrades!$I$7,F120)))*(IF(Upgrades!$T$6="Asteroid Belt",POWER(Upgrades!$U$6,E120),1)*IF(Upgrades!$T$8="Asteroid Belt",POWER(Upgrades!$U$8,G120),1)*IF(Upgrades!$T$9="Asteroid Belt",POWER(Upgrades!$U$9,H120),1)*IF(Upgrades!$T$10="Asteroid Belt",POWER(Upgrades!$U$10,I120),1)*IF(Upgrades!$T$11="Asteroid Belt",POWER(Upgrades!$U$11,J120),1)*IF(Upgrades!$T$12="Asteroid Belt",POWER(Upgrades!$U$12,K120),1))+(IF(G120=0,0,(Upgrades!$G$8+G120*Upgrades!$H$8)*POWER(Upgrades!$I$8,G120)))*(IF(Upgrades!$T$6="Stellar Coupling",POWER(Upgrades!$U$6,E120),1)*IF(Upgrades!$T$7="Stellar Coupling",POWER(Upgrades!$U$7,F120),1)*IF(Upgrades!$T$9="Stellar Coupling",POWER(Upgrades!$U$9,H120),1)*IF(Upgrades!$T$10="Stellar Coupling",POWER(Upgrades!$U$10,I120),1)*IF(Upgrades!$T$11="Stellar Coupling",POWER(Upgrades!$U$11,J120),1)*IF(Upgrades!$T$12="Stellar Coupling",POWER(Upgrades!$U$12,K120),1))+(IF(H120=0,0,(Upgrades!$G$9+H120*Upgrades!$H$9)*POWER(Upgrades!$I$9,H120)))*(IF(Upgrades!$T$6="Magnetosphere",POWER(Upgrades!$U$6,E120),1)*IF(Upgrades!$T$7="Magnetosphere",POWER(Upgrades!$U$7,F120),1)*IF(Upgrades!$T$8="Magnetosphere",POWER(Upgrades!$U$8,G120),1)*IF(Upgrades!$T$10="Magnetosphere",POWER(Upgrades!$U$10,I120),1)*IF(Upgrades!$T$11="Magnetosphere",POWER(Upgrades!$U$11,J120),1)*IF(Upgrades!$T$12="Magnetosphere",POWER(Upgrades!$U$12,K120),1))+(IF(I120=0,0,(Upgrades!$G$10+I120*Upgrades!$H$10)*POWER(Upgrades!$I$10,I120)))*(IF(Upgrades!$T$6="Orbital Resonance",POWER(Upgrades!$U$6,E120),1)*IF(Upgrades!$T$7="Orbital Resonance",POWER(Upgrades!$U$7,F120),1)*IF(Upgrades!$T$8="Orbital Resonance",POWER(Upgrades!$U$8,G120),1)*IF(Upgrades!$T$9="Orbital Resonance",POWER(Upgrades!$U$9,H120),1)*IF(Upgrades!$T$11="Orbital Resonance",POWER(Upgrades!$U$11,J120),1)*IF(Upgrades!$T$12="Orbital Resonance",POWER(Upgrades!$U$12,K120),1))+(IF(J120=0,0,(Upgrades!$G$11+J120*Upgrades!$H$11)*POWER(Upgrades!$I$11,J120)))*(IF(Upgrades!$T$6="Heliopause",POWER(Upgrades!$U$6,E120),1)*IF(Upgrades!$T$7="Heliopause",POWER(Upgrades!$U$7,F120),1)*IF(Upgrades!$T$8="Heliopause",POWER(Upgrades!$U$8,G120),1)*IF(Upgrades!$T$9="Heliopause",POWER(Upgrades!$U$9,H120),1)*IF(Upgrades!$T$10="Heliopause",POWER(Upgrades!$U$10,I120),1)*IF(Upgrades!$T$12="Heliopause",POWER(Upgrades!$U$12,K120),1))+(IF(K120=0,0,(Upgrades!$G$12+K120*Upgrades!$H$12)*POWER(Upgrades!$I$12,K120)))*(IF(Upgrades!$T$6="First Photons",POWER(Upgrades!$U$6,E120),1)*IF(Upgrades!$T$7="First Photons",POWER(Upgrades!$U$7,F120),1)*IF(Upgrades!$T$8="First Photons",POWER(Upgrades!$U$8,G120),1)*IF(Upgrades!$T$9="First Photons",POWER(Upgrades!$U$9,H120),1)*IF(Upgrades!$T$10="First Photons",POWER(Upgrades!$U$10,I120),1)*IF(Upgrades!$T$11="First Photons",POWER(Upgrades!$U$11,J120),1)))*POWER(Upgrades!$P$6,E120)*POWER(Upgrades!$P$7,F120)*POWER(Upgrades!$P$8,G120)*POWER(Upgrades!$P$9,H120)*POWER(Upgrades!$P$10,I120)*POWER(Upgrades!$P$11,J120)*POWER(Upgrades!$P$12,K120)</f>
        <v/>
      </c>
      <c r="O120" s="28">
        <f>((IF(E120=0,0,(Upgrades!$M$6+E120*Upgrades!$N$6)*POWER(Upgrades!$O$6,E120)))*(IF(Upgrades!$T$7="Solar Wind",POWER(Upgrades!$U$7,F120),1)*IF(Upgrades!$T$8="Solar Wind",POWER(Upgrades!$U$8,G120),1)*IF(Upgrades!$T$9="Solar Wind",POWER(Upgrades!$U$9,H120),1)*IF(Upgrades!$T$10="Solar Wind",POWER(Upgrades!$U$10,I120),1)*IF(Upgrades!$T$11="Solar Wind",POWER(Upgrades!$U$11,J120),1)*IF(Upgrades!$T$12="Solar Wind",POWER(Upgrades!$U$12,K120),1))+(IF(F120=0,0,(Upgrades!$M$7+F120*Upgrades!$N$7)*POWER(Upgrades!$O$7,F120)))*(IF(Upgrades!$T$6="Asteroid Belt",POWER(Upgrades!$U$6,E120),1)*IF(Upgrades!$T$8="Asteroid Belt",POWER(Upgrades!$U$8,G120),1)*IF(Upgrades!$T$9="Asteroid Belt",POWER(Upgrades!$U$9,H120),1)*IF(Upgrades!$T$10="Asteroid Belt",POWER(Upgrades!$U$10,I120),1)*IF(Upgrades!$T$11="Asteroid Belt",POWER(Upgrades!$U$11,J120),1)*IF(Upgrades!$T$12="Asteroid Belt",POWER(Upgrades!$U$12,K120),1))+(IF(G120=0,0,(Upgrades!$M$8+G120*Upgrades!$N$8)*POWER(Upgrades!$O$8,G120)))*(IF(Upgrades!$T$6="Stellar Coupling",POWER(Upgrades!$U$6,E120),1)*IF(Upgrades!$T$7="Stellar Coupling",POWER(Upgrades!$U$7,F120),1)*IF(Upgrades!$T$9="Stellar Coupling",POWER(Upgrades!$U$9,H120),1)*IF(Upgrades!$T$10="Stellar Coupling",POWER(Upgrades!$U$10,I120),1)*IF(Upgrades!$T$11="Stellar Coupling",POWER(Upgrades!$U$11,J120),1)*IF(Upgrades!$T$12="Stellar Coupling",POWER(Upgrades!$U$12,K120),1))+(IF(H120=0,0,(Upgrades!$M$9+H120*Upgrades!$N$9)*POWER(Upgrades!$O$9,H120)))*(IF(Upgrades!$T$6="Magnetosphere",POWER(Upgrades!$U$6,E120),1)*IF(Upgrades!$T$7="Magnetosphere",POWER(Upgrades!$U$7,F120),1)*IF(Upgrades!$T$8="Magnetosphere",POWER(Upgrades!$U$8,G120),1)*IF(Upgrades!$T$10="Magnetosphere",POWER(Upgrades!$U$10,I120),1)*IF(Upgrades!$T$11="Magnetosphere",POWER(Upgrades!$U$11,J120),1)*IF(Upgrades!$T$12="Magnetosphere",POWER(Upgrades!$U$12,K120),1))+(IF(I120=0,0,(Upgrades!$M$10+I120*Upgrades!$N$10)*POWER(Upgrades!$O$10,I120)))*(IF(Upgrades!$T$6="Orbital Resonance",POWER(Upgrades!$U$6,E120),1)*IF(Upgrades!$T$7="Orbital Resonance",POWER(Upgrades!$U$7,F120),1)*IF(Upgrades!$T$8="Orbital Resonance",POWER(Upgrades!$U$8,G120),1)*IF(Upgrades!$T$9="Orbital Resonance",POWER(Upgrades!$U$9,H120),1)*IF(Upgrades!$T$11="Orbital Resonance",POWER(Upgrades!$U$11,J120),1)*IF(Upgrades!$T$12="Orbital Resonance",POWER(Upgrades!$U$12,K120),1))+(IF(J120=0,0,(Upgrades!$M$11+J120*Upgrades!$N$11)*POWER(Upgrades!$O$11,J120)))*(IF(Upgrades!$T$6="Heliopause",POWER(Upgrades!$U$6,E120),1)*IF(Upgrades!$T$7="Heliopause",POWER(Upgrades!$U$7,F120),1)*IF(Upgrades!$T$8="Heliopause",POWER(Upgrades!$U$8,G120),1)*IF(Upgrades!$T$9="Heliopause",POWER(Upgrades!$U$9,H120),1)*IF(Upgrades!$T$10="Heliopause",POWER(Upgrades!$U$10,I120),1)*IF(Upgrades!$T$12="Heliopause",POWER(Upgrades!$U$12,K120),1))+(IF(K120=0,0,(Upgrades!$M$12+K120*Upgrades!$N$12)*POWER(Upgrades!$O$12,K120)))*(IF(Upgrades!$T$6="First Photons",POWER(Upgrades!$U$6,E120),1)*IF(Upgrades!$T$7="First Photons",POWER(Upgrades!$U$7,F120),1)*IF(Upgrades!$T$8="First Photons",POWER(Upgrades!$U$8,G120),1)*IF(Upgrades!$T$9="First Photons",POWER(Upgrades!$U$9,H120),1)*IF(Upgrades!$T$10="First Photons",POWER(Upgrades!$U$10,I120),1)*IF(Upgrades!$T$11="First Photons",POWER(Upgrades!$U$11,J120),1)))*POWER(Upgrades!$R$6,E120)*POWER(Upgrades!$R$7,F120)*POWER(Upgrades!$R$8,G120)*POWER(Upgrades!$R$9,H120)*POWER(Upgrades!$R$10,I120)*POWER(Upgrades!$R$11,J120)*POWER(Upgrades!$R$12,K120)</f>
        <v/>
      </c>
      <c r="P120" s="27">
        <f>IF(L120=1,0,M120*Parameters!$B$10/60*Parameters!$B$11*10)</f>
        <v/>
      </c>
      <c r="Q120" s="27">
        <f>IF(L120=1,0,O120*M120*10)</f>
        <v/>
      </c>
      <c r="R120" s="27">
        <f>IF(L120=1,0,N120*10)</f>
        <v/>
      </c>
      <c r="S120" s="27">
        <f>P120+Q120+R120</f>
        <v/>
      </c>
      <c r="T120" s="22">
        <f>C120+S120</f>
        <v/>
      </c>
      <c r="U120" s="33">
        <f>AX120</f>
        <v/>
      </c>
      <c r="V120" s="22">
        <f>IF(U120="",0,IF(U120="transition",0,IF(U120="SW",AG120,IF(U120="AB",AH120,IF(U120="SC",AI120,IF(U120="Mag",AJ120,IF(U120="OR",AK120,IF(U120="HP",AL120,IF(U120="FP",AM120,0)))))))))</f>
        <v/>
      </c>
      <c r="W120" s="27">
        <f>IF(U120="OR",Upgrades!$F$10,IF(U120="HP",Upgrades!$F$11,IF(U120="transition",-Parameters!$B$18,0)))</f>
        <v/>
      </c>
      <c r="X120" s="22">
        <f>T120-V120</f>
        <v/>
      </c>
      <c r="Y120" s="30">
        <f>M120*Parameters!$B$10/60*Parameters!$B$11+O120*M120+N120</f>
        <v/>
      </c>
      <c r="Z120" s="34">
        <f>IF(U120="transition","→ Tier 2 (Stellar Neighborhood)",IF(U120="FP","First Photons — light begins, system quickens",IF(U120="HP","Heliopause acquired",IF(U120="OR","Orbital Resonance — passive multiplier active",IF(AND(AO120=1,L120=0,AN120&lt;&gt;1),"Cohesion ready (waiting on completionist upgrades)","")))))</f>
        <v/>
      </c>
      <c r="AA120" s="27">
        <f>(IF(E120=0,0,(Upgrades!$G$6+E120*Upgrades!$H$6)*POWER(Upgrades!$I$6,E120)))*(IF(Upgrades!$T$7="Solar Wind",POWER(Upgrades!$U$7,F120),1)*IF(Upgrades!$T$8="Solar Wind",POWER(Upgrades!$U$8,G120),1)*IF(Upgrades!$T$9="Solar Wind",POWER(Upgrades!$U$9,H120),1)*IF(Upgrades!$T$10="Solar Wind",POWER(Upgrades!$U$10,I120),1)*IF(Upgrades!$T$11="Solar Wind",POWER(Upgrades!$U$11,J120),1)*IF(Upgrades!$T$12="Solar Wind",POWER(Upgrades!$U$12,K120),1))*POWER(Upgrades!$P$6,E120)*POWER(Upgrades!$P$7,F120)*POWER(Upgrades!$P$8,G120)*POWER(Upgrades!$P$9,H120)*POWER(Upgrades!$P$10,I120)*POWER(Upgrades!$P$11,J120)*POWER(Upgrades!$P$12,K120)*60</f>
        <v/>
      </c>
      <c r="AB120" s="27">
        <f>(IF(F120=0,0,(Upgrades!$G$7+F120*Upgrades!$H$7)*POWER(Upgrades!$I$7,F120)))*(IF(Upgrades!$T$6="Asteroid Belt",POWER(Upgrades!$U$6,E120),1)*IF(Upgrades!$T$8="Asteroid Belt",POWER(Upgrades!$U$8,G120),1)*IF(Upgrades!$T$9="Asteroid Belt",POWER(Upgrades!$U$9,H120),1)*IF(Upgrades!$T$10="Asteroid Belt",POWER(Upgrades!$U$10,I120),1)*IF(Upgrades!$T$11="Asteroid Belt",POWER(Upgrades!$U$11,J120),1)*IF(Upgrades!$T$12="Asteroid Belt",POWER(Upgrades!$U$12,K120),1))*POWER(Upgrades!$P$6,E120)*POWER(Upgrades!$P$7,F120)*POWER(Upgrades!$P$8,G120)*POWER(Upgrades!$P$9,H120)*POWER(Upgrades!$P$10,I120)*POWER(Upgrades!$P$11,J120)*POWER(Upgrades!$P$12,K120)*60</f>
        <v/>
      </c>
      <c r="AC120" s="27">
        <f>(IF(G120=0,0,(Upgrades!$J$8+G120*Upgrades!$K$8)*POWER(Upgrades!$L$8,G120)))*(IF(Upgrades!$T$6="Stellar Coupling",POWER(Upgrades!$U$6,E120),1)*IF(Upgrades!$T$7="Stellar Coupling",POWER(Upgrades!$U$7,F120),1)*IF(Upgrades!$T$9="Stellar Coupling",POWER(Upgrades!$U$9,H120),1)*IF(Upgrades!$T$10="Stellar Coupling",POWER(Upgrades!$U$10,I120),1)*IF(Upgrades!$T$11="Stellar Coupling",POWER(Upgrades!$U$11,J120),1)*IF(Upgrades!$T$12="Stellar Coupling",POWER(Upgrades!$U$12,K120),1))*POWER(Upgrades!$Q$6,E120)*POWER(Upgrades!$Q$7,F120)*POWER(Upgrades!$Q$8,G120)*POWER(Upgrades!$Q$9,H120)*POWER(Upgrades!$Q$10,I120)*POWER(Upgrades!$Q$11,J120)*POWER(Upgrades!$Q$12,K120)*Parameters!$B$10*Parameters!$B$11</f>
        <v/>
      </c>
      <c r="AD120" s="27">
        <f>(IF(H120=0,0,(Upgrades!$G$9+H120*Upgrades!$H$9)*POWER(Upgrades!$I$9,H120)))*(IF(Upgrades!$T$6="Magnetosphere",POWER(Upgrades!$U$6,E120),1)*IF(Upgrades!$T$7="Magnetosphere",POWER(Upgrades!$U$7,F120),1)*IF(Upgrades!$T$8="Magnetosphere",POWER(Upgrades!$U$8,G120),1)*IF(Upgrades!$T$10="Magnetosphere",POWER(Upgrades!$U$10,I120),1)*IF(Upgrades!$T$11="Magnetosphere",POWER(Upgrades!$U$11,J120),1)*IF(Upgrades!$T$12="Magnetosphere",POWER(Upgrades!$U$12,K120),1))*POWER(Upgrades!$P$6,E120)*POWER(Upgrades!$P$7,F120)*POWER(Upgrades!$P$8,G120)*POWER(Upgrades!$P$9,H120)*POWER(Upgrades!$P$10,I120)*POWER(Upgrades!$P$11,J120)*POWER(Upgrades!$P$12,K120)*60</f>
        <v/>
      </c>
      <c r="AE120" s="27">
        <f>(IF(K120=0,0,(Upgrades!$G$12+K120*Upgrades!$H$12)*POWER(Upgrades!$I$12,K120)))*(IF(Upgrades!$T$6="First Photons",POWER(Upgrades!$U$6,E120),1)*IF(Upgrades!$T$7="First Photons",POWER(Upgrades!$U$7,F120),1)*IF(Upgrades!$T$8="First Photons",POWER(Upgrades!$U$8,G120),1)*IF(Upgrades!$T$9="First Photons",POWER(Upgrades!$U$9,H120),1)*IF(Upgrades!$T$10="First Photons",POWER(Upgrades!$U$10,I120),1)*IF(Upgrades!$T$11="First Photons",POWER(Upgrades!$U$11,J120),1))*POWER(Upgrades!$P$6,E120)*POWER(Upgrades!$P$7,F120)*POWER(Upgrades!$P$8,G120)*POWER(Upgrades!$P$9,H120)*POWER(Upgrades!$P$10,I120)*POWER(Upgrades!$P$11,J120)*POWER(Upgrades!$P$12,K120)*60</f>
        <v/>
      </c>
      <c r="AF120" s="27">
        <f>Parameters!$B$9*POWER(Upgrades!$Q$6,E120)*POWER(Upgrades!$Q$7,F120)*POWER(Upgrades!$Q$8,G120)*POWER(Upgrades!$Q$9,H120)*POWER(Upgrades!$Q$10,I120)*POWER(Upgrades!$Q$11,J120)*POWER(Upgrades!$Q$12,K120)*(Parameters!$B$10*Parameters!$B$11+O120*60)</f>
        <v/>
      </c>
      <c r="AG120" s="22">
        <f>IF(E120&gt;=Upgrades!$E$6,"",Upgrades!$C$6*POWER(Upgrades!$D$6,E120))</f>
        <v/>
      </c>
      <c r="AH120" s="22">
        <f>IF(F120&gt;=Upgrades!$E$7,"",Upgrades!$C$7*POWER(Upgrades!$D$7,F120))</f>
        <v/>
      </c>
      <c r="AI120" s="22">
        <f>IF(G120&gt;=Upgrades!$E$8,"",Upgrades!$C$8*POWER(Upgrades!$D$8,G120))</f>
        <v/>
      </c>
      <c r="AJ120" s="22">
        <f>IF(H120&gt;=Upgrades!$E$9,"",Upgrades!$C$9*POWER(Upgrades!$D$9,H120))</f>
        <v/>
      </c>
      <c r="AK120" s="22">
        <f>IF(I120&gt;=Upgrades!$E$10,"",Upgrades!$C$10*POWER(Upgrades!$D$10,I120))</f>
        <v/>
      </c>
      <c r="AL120" s="22">
        <f>IF(J120&gt;=Upgrades!$E$11,"",Upgrades!$C$11*POWER(Upgrades!$D$11,J120))</f>
        <v/>
      </c>
      <c r="AM120" s="22">
        <f>IF(K120&gt;=Upgrades!$E$12,"",Upgrades!$C$12*POWER(Upgrades!$D$12,K120))</f>
        <v/>
      </c>
      <c r="AN120" s="26">
        <f>IF(AND(D120&gt;=Parameters!$B$18,(H120&gt;=Upgrades!$E$9)*(K120&gt;=Upgrades!$E$12)=1,L120=0),1,"")</f>
        <v/>
      </c>
      <c r="AO120" s="26">
        <f>IF(AND(D120&gt;=Parameters!$B$18,L120=0),1,"")</f>
        <v/>
      </c>
      <c r="AP120" s="22">
        <f>MIN(IF(ISNUMBER(AK120),AK120,9E15),IF(ISNUMBER(AL120),AL120,9E15),IF(ISNUMBER(AM120),AM120,9E15))</f>
        <v/>
      </c>
      <c r="AQ120" s="22">
        <f>MIN(IF(ISNUMBER(AG120),AG120,9E15),IF(ISNUMBER(AH120),AH120,9E15),IF(ISNUMBER(AI120),AI120,9E15),IF(ISNUMBER(AJ120),AJ120,9E15))</f>
        <v/>
      </c>
      <c r="AR120" s="29">
        <f>IF(AW120&gt;Parameters!$B$21*(MAX(IF(AND(NOT(AND(AO120=1,AN120&lt;&gt;1)),ISNUMBER(AG120),AG120&lt;=T120),AS120,0),IF(AND(NOT(AND(AO120=1,AN120&lt;&gt;1)),ISNUMBER(AH120),AH120&lt;=T120),AT120,0),IF(AND(NOT(AND(AO120=1,AN120&lt;&gt;1)),ISNUMBER(AI120),AI120&lt;=T120),AU120,0),IF(AND(ISNUMBER(AJ120),AJ120&lt;=T120),AV120,0))),TRUE,FALSE)</f>
        <v/>
      </c>
      <c r="AS120" s="32">
        <f>IFERROR(Upgrades!$H$6*(POWER(Upgrades!$P$6,E120)*POWER(Upgrades!$P$7,F120)*POWER(Upgrades!$P$8,G120)*POWER(Upgrades!$P$9,H120)*POWER(Upgrades!$P$10,I120)*POWER(Upgrades!$P$11,J120)*POWER(Upgrades!$P$12,K120))*(IF(Upgrades!$T$7="Solar Wind",POWER(Upgrades!$U$7,F120),1)*IF(Upgrades!$T$8="Solar Wind",POWER(Upgrades!$U$8,G120),1)*IF(Upgrades!$T$9="Solar Wind",POWER(Upgrades!$U$9,H120),1)*IF(Upgrades!$T$10="Solar Wind",POWER(Upgrades!$U$10,I120),1)*IF(Upgrades!$T$11="Solar Wind",POWER(Upgrades!$U$11,J120),1)*IF(Upgrades!$T$12="Solar Wind",POWER(Upgrades!$U$12,K120),1))/AG120,0)</f>
        <v/>
      </c>
      <c r="AT120" s="32">
        <f>IFERROR(Upgrades!$H$7*(POWER(Upgrades!$P$6,E120)*POWER(Upgrades!$P$7,F120)*POWER(Upgrades!$P$8,G120)*POWER(Upgrades!$P$9,H120)*POWER(Upgrades!$P$10,I120)*POWER(Upgrades!$P$11,J120)*POWER(Upgrades!$P$12,K120))*(IF(Upgrades!$T$6="Asteroid Belt",POWER(Upgrades!$U$6,E120),1)*IF(Upgrades!$T$8="Asteroid Belt",POWER(Upgrades!$U$8,G120),1)*IF(Upgrades!$T$9="Asteroid Belt",POWER(Upgrades!$U$9,H120),1)*IF(Upgrades!$T$10="Asteroid Belt",POWER(Upgrades!$U$10,I120),1)*IF(Upgrades!$T$11="Asteroid Belt",POWER(Upgrades!$U$11,J120),1)*IF(Upgrades!$T$12="Asteroid Belt",POWER(Upgrades!$U$12,K120),1))/AH120,0)</f>
        <v/>
      </c>
      <c r="AU120" s="32">
        <f>IFERROR(Upgrades!$K$8*(POWER(Upgrades!$Q$6,E120)*POWER(Upgrades!$Q$7,F120)*POWER(Upgrades!$Q$8,G120)*POWER(Upgrades!$Q$9,H120)*POWER(Upgrades!$Q$10,I120)*POWER(Upgrades!$Q$11,J120)*POWER(Upgrades!$Q$12,K120))*(IF(Upgrades!$T$6="Stellar Coupling",POWER(Upgrades!$U$6,E120),1)*IF(Upgrades!$T$7="Stellar Coupling",POWER(Upgrades!$U$7,F120),1)*IF(Upgrades!$T$9="Stellar Coupling",POWER(Upgrades!$U$9,H120),1)*IF(Upgrades!$T$10="Stellar Coupling",POWER(Upgrades!$U$10,I120),1)*IF(Upgrades!$T$11="Stellar Coupling",POWER(Upgrades!$U$11,J120),1)*IF(Upgrades!$T$12="Stellar Coupling",POWER(Upgrades!$U$12,K120),1))*Parameters!$B$10*Parameters!$B$11/60/AI120,0)</f>
        <v/>
      </c>
      <c r="AV120" s="32">
        <f>IFERROR(Upgrades!$H$9*(POWER(Upgrades!$P$6,E120)*POWER(Upgrades!$P$7,F120)*POWER(Upgrades!$P$8,G120)*POWER(Upgrades!$P$9,H120)*POWER(Upgrades!$P$10,I120)*POWER(Upgrades!$P$11,J120)*POWER(Upgrades!$P$12,K120))*(IF(Upgrades!$T$6="Magnetosphere",POWER(Upgrades!$U$6,E120),1)*IF(Upgrades!$T$7="Magnetosphere",POWER(Upgrades!$U$7,F120),1)*IF(Upgrades!$T$8="Magnetosphere",POWER(Upgrades!$U$8,G120),1)*IF(Upgrades!$T$10="Magnetosphere",POWER(Upgrades!$U$10,I120),1)*IF(Upgrades!$T$11="Magnetosphere",POWER(Upgrades!$U$11,J120),1)*IF(Upgrades!$T$12="Magnetosphere",POWER(Upgrades!$U$12,K120),1))/AJ120,0)</f>
        <v/>
      </c>
      <c r="AW120" s="32">
        <f>MAX(IF(I120&gt;0,0,IFERROR(0.25*N120/Upgrades!$C$10,0)),IF(J120&gt;0,0,IFERROR(0.5*((IF(G120=0,0,(Upgrades!$J$8+G120*Upgrades!$K$8)*POWER(Upgrades!$L$8,G120)))*(IF(Upgrades!$T$6="Stellar Coupling",POWER(Upgrades!$U$6,E120),1)*IF(Upgrades!$T$7="Stellar Coupling",POWER(Upgrades!$U$7,F120),1)*IF(Upgrades!$T$9="Stellar Coupling",POWER(Upgrades!$U$9,H120),1)*IF(Upgrades!$T$10="Stellar Coupling",POWER(Upgrades!$U$10,I120),1)*IF(Upgrades!$T$11="Stellar Coupling",POWER(Upgrades!$U$11,J120),1)*IF(Upgrades!$T$12="Stellar Coupling",POWER(Upgrades!$U$12,K120),1))*(POWER(Upgrades!$Q$6,E120)*POWER(Upgrades!$Q$7,F120)*POWER(Upgrades!$Q$8,G120)*POWER(Upgrades!$Q$9,H120)*POWER(Upgrades!$Q$10,I120)*POWER(Upgrades!$Q$11,J120)*POWER(Upgrades!$Q$12,K120))*Parameters!$B$10*Parameters!$B$11/60)/Upgrades!$C$11,0)),IF(K120&gt;0,0,IFERROR((1.0*(POWER(Upgrades!$P$6,E120)*POWER(Upgrades!$P$7,F120)*POWER(Upgrades!$P$8,G120)*POWER(Upgrades!$P$9,H120)*POWER(Upgrades!$P$10,I120)*POWER(Upgrades!$P$11,J120)*POWER(Upgrades!$P$12,K120))+0.20*M120*Parameters!$B$10*Parameters!$B$11/60)/Upgrades!$C$12,0)),IF(AND(ISNUMBER(AG120),AG120&gt;T120),AS120,0),IF(AND(ISNUMBER(AH120),AH120&gt;T120),AT120,0),IF(AND(ISNUMBER(AI120),AI120&gt;T120),AU120,0),IF(AND(ISNUMBER(AJ120),AJ120&gt;T120),AV120,0))</f>
        <v/>
      </c>
      <c r="AX120" s="29">
        <f>IF(AN120=1,"transition",IF(MIN(IF(AND(I120=0,ISNUMBER(AK120),AK120&lt;=T120),AK120,9E15),IF(AND(J120=0,ISNUMBER(AL120),AL120&lt;=T120),AL120,9E15),IF(AND(K120=0,ISNUMBER(AM120),AM120&lt;=T120),AM120,9E15))&lt;9E15,IF(AND(AND(I120=0,ISNUMBER(AK120),AK120&lt;=T120),AK120=MIN(IF(AND(I120=0,ISNUMBER(AK120),AK120&lt;=T120),AK120,9E15),IF(AND(J120=0,ISNUMBER(AL120),AL120&lt;=T120),AL120,9E15),IF(AND(K120=0,ISNUMBER(AM120),AM120&lt;=T120),AM120,9E15))),"OR",IF(AND(AND(J120=0,ISNUMBER(AL120),AL120&lt;=T120),AL120=MIN(IF(AND(I120=0,ISNUMBER(AK120),AK120&lt;=T120),AK120,9E15),IF(AND(J120=0,ISNUMBER(AL120),AL120&lt;=T120),AL120,9E15),IF(AND(K120=0,ISNUMBER(AM120),AM120&lt;=T120),AM120,9E15))),"HP","FP")),IF(AR120=TRUE,"",IF(MAX(IF(AND(NOT(AND(AO120=1,AN120&lt;&gt;1)),ISNUMBER(AG120),AG120&lt;=T120),AS120,0),IF(AND(NOT(AND(AO120=1,AN120&lt;&gt;1)),ISNUMBER(AH120),AH120&lt;=T120),AT120,0),IF(AND(NOT(AND(AO120=1,AN120&lt;&gt;1)),ISNUMBER(AI120),AI120&lt;=T120),AU120,0),IF(AND(ISNUMBER(AJ120),AJ120&lt;=T120),AV120,0))&lt;=0,"",IF(AND(IF(AND(NOT(AND(AO120=1,AN120&lt;&gt;1)),ISNUMBER(AG120),AG120&lt;=T120),AS120,0)&gt;0,IF(AND(NOT(AND(AO120=1,AN120&lt;&gt;1)),ISNUMBER(AG120),AG120&lt;=T120),AS120,0)=MAX(IF(AND(NOT(AND(AO120=1,AN120&lt;&gt;1)),ISNUMBER(AG120),AG120&lt;=T120),AS120,0),IF(AND(NOT(AND(AO120=1,AN120&lt;&gt;1)),ISNUMBER(AH120),AH120&lt;=T120),AT120,0),IF(AND(NOT(AND(AO120=1,AN120&lt;&gt;1)),ISNUMBER(AI120),AI120&lt;=T120),AU120,0),IF(AND(ISNUMBER(AJ120),AJ120&lt;=T120),AV120,0))),"SW",IF(AND(IF(AND(NOT(AND(AO120=1,AN120&lt;&gt;1)),ISNUMBER(AH120),AH120&lt;=T120),AT120,0)&gt;0,IF(AND(NOT(AND(AO120=1,AN120&lt;&gt;1)),ISNUMBER(AH120),AH120&lt;=T120),AT120,0)=MAX(IF(AND(NOT(AND(AO120=1,AN120&lt;&gt;1)),ISNUMBER(AG120),AG120&lt;=T120),AS120,0),IF(AND(NOT(AND(AO120=1,AN120&lt;&gt;1)),ISNUMBER(AH120),AH120&lt;=T120),AT120,0),IF(AND(NOT(AND(AO120=1,AN120&lt;&gt;1)),ISNUMBER(AI120),AI120&lt;=T120),AU120,0),IF(AND(ISNUMBER(AJ120),AJ120&lt;=T120),AV120,0))),"AB",IF(AND(IF(AND(NOT(AND(AO120=1,AN120&lt;&gt;1)),ISNUMBER(AI120),AI120&lt;=T120),AU120,0)&gt;0,IF(AND(NOT(AND(AO120=1,AN120&lt;&gt;1)),ISNUMBER(AI120),AI120&lt;=T120),AU120,0)=MAX(IF(AND(NOT(AND(AO120=1,AN120&lt;&gt;1)),ISNUMBER(AG120),AG120&lt;=T120),AS120,0),IF(AND(NOT(AND(AO120=1,AN120&lt;&gt;1)),ISNUMBER(AH120),AH120&lt;=T120),AT120,0),IF(AND(NOT(AND(AO120=1,AN120&lt;&gt;1)),ISNUMBER(AI120),AI120&lt;=T120),AU120,0),IF(AND(ISNUMBER(AJ120),AJ120&lt;=T120),AV120,0))),"SC","Mag")))))))</f>
        <v/>
      </c>
    </row>
    <row r="121">
      <c r="A121" s="26" t="n">
        <v>116</v>
      </c>
      <c r="B121" s="27">
        <f>A121*10/60</f>
        <v/>
      </c>
      <c r="C121" s="22">
        <f>X120</f>
        <v/>
      </c>
      <c r="D121" s="27">
        <f>D120+W120</f>
        <v/>
      </c>
      <c r="E121" s="26">
        <f>E120+IF(U120="SW",1,0)</f>
        <v/>
      </c>
      <c r="F121" s="26">
        <f>F120+IF(U120="AB",1,0)</f>
        <v/>
      </c>
      <c r="G121" s="26">
        <f>G120+IF(U120="SC",1,0)</f>
        <v/>
      </c>
      <c r="H121" s="26">
        <f>H120+IF(U120="Mag",1,0)</f>
        <v/>
      </c>
      <c r="I121" s="26">
        <f>MAX(I120,IF(U120="OR",1,0))</f>
        <v/>
      </c>
      <c r="J121" s="26">
        <f>MAX(J120,IF(U120="HP",1,0))</f>
        <v/>
      </c>
      <c r="K121" s="26">
        <f>MAX(K120,IF(U120="FP",1,0))</f>
        <v/>
      </c>
      <c r="L121" s="26">
        <f>MAX(L120,IF(U120="transition",1,0))</f>
        <v/>
      </c>
      <c r="M121" s="28">
        <f>(Parameters!$B$9+(IF(E121=0,0,(Upgrades!$J$6+E121*Upgrades!$K$6)*POWER(Upgrades!$L$6,E121)))*(IF(Upgrades!$T$7="Solar Wind",POWER(Upgrades!$U$7,F121),1)*IF(Upgrades!$T$8="Solar Wind",POWER(Upgrades!$U$8,G121),1)*IF(Upgrades!$T$9="Solar Wind",POWER(Upgrades!$U$9,H121),1)*IF(Upgrades!$T$10="Solar Wind",POWER(Upgrades!$U$10,I121),1)*IF(Upgrades!$T$11="Solar Wind",POWER(Upgrades!$U$11,J121),1)*IF(Upgrades!$T$12="Solar Wind",POWER(Upgrades!$U$12,K121),1))+(IF(F121=0,0,(Upgrades!$J$7+F121*Upgrades!$K$7)*POWER(Upgrades!$L$7,F121)))*(IF(Upgrades!$T$6="Asteroid Belt",POWER(Upgrades!$U$6,E121),1)*IF(Upgrades!$T$8="Asteroid Belt",POWER(Upgrades!$U$8,G121),1)*IF(Upgrades!$T$9="Asteroid Belt",POWER(Upgrades!$U$9,H121),1)*IF(Upgrades!$T$10="Asteroid Belt",POWER(Upgrades!$U$10,I121),1)*IF(Upgrades!$T$11="Asteroid Belt",POWER(Upgrades!$U$11,J121),1)*IF(Upgrades!$T$12="Asteroid Belt",POWER(Upgrades!$U$12,K121),1))+(IF(G121=0,0,(Upgrades!$J$8+G121*Upgrades!$K$8)*POWER(Upgrades!$L$8,G121)))*(IF(Upgrades!$T$6="Stellar Coupling",POWER(Upgrades!$U$6,E121),1)*IF(Upgrades!$T$7="Stellar Coupling",POWER(Upgrades!$U$7,F121),1)*IF(Upgrades!$T$9="Stellar Coupling",POWER(Upgrades!$U$9,H121),1)*IF(Upgrades!$T$10="Stellar Coupling",POWER(Upgrades!$U$10,I121),1)*IF(Upgrades!$T$11="Stellar Coupling",POWER(Upgrades!$U$11,J121),1)*IF(Upgrades!$T$12="Stellar Coupling",POWER(Upgrades!$U$12,K121),1))+(IF(H121=0,0,(Upgrades!$J$9+H121*Upgrades!$K$9)*POWER(Upgrades!$L$9,H121)))*(IF(Upgrades!$T$6="Magnetosphere",POWER(Upgrades!$U$6,E121),1)*IF(Upgrades!$T$7="Magnetosphere",POWER(Upgrades!$U$7,F121),1)*IF(Upgrades!$T$8="Magnetosphere",POWER(Upgrades!$U$8,G121),1)*IF(Upgrades!$T$10="Magnetosphere",POWER(Upgrades!$U$10,I121),1)*IF(Upgrades!$T$11="Magnetosphere",POWER(Upgrades!$U$11,J121),1)*IF(Upgrades!$T$12="Magnetosphere",POWER(Upgrades!$U$12,K121),1))+(IF(I121=0,0,(Upgrades!$J$10+I121*Upgrades!$K$10)*POWER(Upgrades!$L$10,I121)))*(IF(Upgrades!$T$6="Orbital Resonance",POWER(Upgrades!$U$6,E121),1)*IF(Upgrades!$T$7="Orbital Resonance",POWER(Upgrades!$U$7,F121),1)*IF(Upgrades!$T$8="Orbital Resonance",POWER(Upgrades!$U$8,G121),1)*IF(Upgrades!$T$9="Orbital Resonance",POWER(Upgrades!$U$9,H121),1)*IF(Upgrades!$T$11="Orbital Resonance",POWER(Upgrades!$U$11,J121),1)*IF(Upgrades!$T$12="Orbital Resonance",POWER(Upgrades!$U$12,K121),1))+(IF(J121=0,0,(Upgrades!$J$11+J121*Upgrades!$K$11)*POWER(Upgrades!$L$11,J121)))*(IF(Upgrades!$T$6="Heliopause",POWER(Upgrades!$U$6,E121),1)*IF(Upgrades!$T$7="Heliopause",POWER(Upgrades!$U$7,F121),1)*IF(Upgrades!$T$8="Heliopause",POWER(Upgrades!$U$8,G121),1)*IF(Upgrades!$T$9="Heliopause",POWER(Upgrades!$U$9,H121),1)*IF(Upgrades!$T$10="Heliopause",POWER(Upgrades!$U$10,I121),1)*IF(Upgrades!$T$12="Heliopause",POWER(Upgrades!$U$12,K121),1))+(IF(K121=0,0,(Upgrades!$J$12+K121*Upgrades!$K$12)*POWER(Upgrades!$L$12,K121)))*(IF(Upgrades!$T$6="First Photons",POWER(Upgrades!$U$6,E121),1)*IF(Upgrades!$T$7="First Photons",POWER(Upgrades!$U$7,F121),1)*IF(Upgrades!$T$8="First Photons",POWER(Upgrades!$U$8,G121),1)*IF(Upgrades!$T$9="First Photons",POWER(Upgrades!$U$9,H121),1)*IF(Upgrades!$T$10="First Photons",POWER(Upgrades!$U$10,I121),1)*IF(Upgrades!$T$11="First Photons",POWER(Upgrades!$U$11,J121),1)))*POWER(Upgrades!$Q$6,E121)*POWER(Upgrades!$Q$7,F121)*POWER(Upgrades!$Q$8,G121)*POWER(Upgrades!$Q$9,H121)*POWER(Upgrades!$Q$10,I121)*POWER(Upgrades!$Q$11,J121)*POWER(Upgrades!$Q$12,K121)</f>
        <v/>
      </c>
      <c r="N121" s="28">
        <f>((IF(E121=0,0,(Upgrades!$G$6+E121*Upgrades!$H$6)*POWER(Upgrades!$I$6,E121)))*(IF(Upgrades!$T$7="Solar Wind",POWER(Upgrades!$U$7,F121),1)*IF(Upgrades!$T$8="Solar Wind",POWER(Upgrades!$U$8,G121),1)*IF(Upgrades!$T$9="Solar Wind",POWER(Upgrades!$U$9,H121),1)*IF(Upgrades!$T$10="Solar Wind",POWER(Upgrades!$U$10,I121),1)*IF(Upgrades!$T$11="Solar Wind",POWER(Upgrades!$U$11,J121),1)*IF(Upgrades!$T$12="Solar Wind",POWER(Upgrades!$U$12,K121),1))+(IF(F121=0,0,(Upgrades!$G$7+F121*Upgrades!$H$7)*POWER(Upgrades!$I$7,F121)))*(IF(Upgrades!$T$6="Asteroid Belt",POWER(Upgrades!$U$6,E121),1)*IF(Upgrades!$T$8="Asteroid Belt",POWER(Upgrades!$U$8,G121),1)*IF(Upgrades!$T$9="Asteroid Belt",POWER(Upgrades!$U$9,H121),1)*IF(Upgrades!$T$10="Asteroid Belt",POWER(Upgrades!$U$10,I121),1)*IF(Upgrades!$T$11="Asteroid Belt",POWER(Upgrades!$U$11,J121),1)*IF(Upgrades!$T$12="Asteroid Belt",POWER(Upgrades!$U$12,K121),1))+(IF(G121=0,0,(Upgrades!$G$8+G121*Upgrades!$H$8)*POWER(Upgrades!$I$8,G121)))*(IF(Upgrades!$T$6="Stellar Coupling",POWER(Upgrades!$U$6,E121),1)*IF(Upgrades!$T$7="Stellar Coupling",POWER(Upgrades!$U$7,F121),1)*IF(Upgrades!$T$9="Stellar Coupling",POWER(Upgrades!$U$9,H121),1)*IF(Upgrades!$T$10="Stellar Coupling",POWER(Upgrades!$U$10,I121),1)*IF(Upgrades!$T$11="Stellar Coupling",POWER(Upgrades!$U$11,J121),1)*IF(Upgrades!$T$12="Stellar Coupling",POWER(Upgrades!$U$12,K121),1))+(IF(H121=0,0,(Upgrades!$G$9+H121*Upgrades!$H$9)*POWER(Upgrades!$I$9,H121)))*(IF(Upgrades!$T$6="Magnetosphere",POWER(Upgrades!$U$6,E121),1)*IF(Upgrades!$T$7="Magnetosphere",POWER(Upgrades!$U$7,F121),1)*IF(Upgrades!$T$8="Magnetosphere",POWER(Upgrades!$U$8,G121),1)*IF(Upgrades!$T$10="Magnetosphere",POWER(Upgrades!$U$10,I121),1)*IF(Upgrades!$T$11="Magnetosphere",POWER(Upgrades!$U$11,J121),1)*IF(Upgrades!$T$12="Magnetosphere",POWER(Upgrades!$U$12,K121),1))+(IF(I121=0,0,(Upgrades!$G$10+I121*Upgrades!$H$10)*POWER(Upgrades!$I$10,I121)))*(IF(Upgrades!$T$6="Orbital Resonance",POWER(Upgrades!$U$6,E121),1)*IF(Upgrades!$T$7="Orbital Resonance",POWER(Upgrades!$U$7,F121),1)*IF(Upgrades!$T$8="Orbital Resonance",POWER(Upgrades!$U$8,G121),1)*IF(Upgrades!$T$9="Orbital Resonance",POWER(Upgrades!$U$9,H121),1)*IF(Upgrades!$T$11="Orbital Resonance",POWER(Upgrades!$U$11,J121),1)*IF(Upgrades!$T$12="Orbital Resonance",POWER(Upgrades!$U$12,K121),1))+(IF(J121=0,0,(Upgrades!$G$11+J121*Upgrades!$H$11)*POWER(Upgrades!$I$11,J121)))*(IF(Upgrades!$T$6="Heliopause",POWER(Upgrades!$U$6,E121),1)*IF(Upgrades!$T$7="Heliopause",POWER(Upgrades!$U$7,F121),1)*IF(Upgrades!$T$8="Heliopause",POWER(Upgrades!$U$8,G121),1)*IF(Upgrades!$T$9="Heliopause",POWER(Upgrades!$U$9,H121),1)*IF(Upgrades!$T$10="Heliopause",POWER(Upgrades!$U$10,I121),1)*IF(Upgrades!$T$12="Heliopause",POWER(Upgrades!$U$12,K121),1))+(IF(K121=0,0,(Upgrades!$G$12+K121*Upgrades!$H$12)*POWER(Upgrades!$I$12,K121)))*(IF(Upgrades!$T$6="First Photons",POWER(Upgrades!$U$6,E121),1)*IF(Upgrades!$T$7="First Photons",POWER(Upgrades!$U$7,F121),1)*IF(Upgrades!$T$8="First Photons",POWER(Upgrades!$U$8,G121),1)*IF(Upgrades!$T$9="First Photons",POWER(Upgrades!$U$9,H121),1)*IF(Upgrades!$T$10="First Photons",POWER(Upgrades!$U$10,I121),1)*IF(Upgrades!$T$11="First Photons",POWER(Upgrades!$U$11,J121),1)))*POWER(Upgrades!$P$6,E121)*POWER(Upgrades!$P$7,F121)*POWER(Upgrades!$P$8,G121)*POWER(Upgrades!$P$9,H121)*POWER(Upgrades!$P$10,I121)*POWER(Upgrades!$P$11,J121)*POWER(Upgrades!$P$12,K121)</f>
        <v/>
      </c>
      <c r="O121" s="28">
        <f>((IF(E121=0,0,(Upgrades!$M$6+E121*Upgrades!$N$6)*POWER(Upgrades!$O$6,E121)))*(IF(Upgrades!$T$7="Solar Wind",POWER(Upgrades!$U$7,F121),1)*IF(Upgrades!$T$8="Solar Wind",POWER(Upgrades!$U$8,G121),1)*IF(Upgrades!$T$9="Solar Wind",POWER(Upgrades!$U$9,H121),1)*IF(Upgrades!$T$10="Solar Wind",POWER(Upgrades!$U$10,I121),1)*IF(Upgrades!$T$11="Solar Wind",POWER(Upgrades!$U$11,J121),1)*IF(Upgrades!$T$12="Solar Wind",POWER(Upgrades!$U$12,K121),1))+(IF(F121=0,0,(Upgrades!$M$7+F121*Upgrades!$N$7)*POWER(Upgrades!$O$7,F121)))*(IF(Upgrades!$T$6="Asteroid Belt",POWER(Upgrades!$U$6,E121),1)*IF(Upgrades!$T$8="Asteroid Belt",POWER(Upgrades!$U$8,G121),1)*IF(Upgrades!$T$9="Asteroid Belt",POWER(Upgrades!$U$9,H121),1)*IF(Upgrades!$T$10="Asteroid Belt",POWER(Upgrades!$U$10,I121),1)*IF(Upgrades!$T$11="Asteroid Belt",POWER(Upgrades!$U$11,J121),1)*IF(Upgrades!$T$12="Asteroid Belt",POWER(Upgrades!$U$12,K121),1))+(IF(G121=0,0,(Upgrades!$M$8+G121*Upgrades!$N$8)*POWER(Upgrades!$O$8,G121)))*(IF(Upgrades!$T$6="Stellar Coupling",POWER(Upgrades!$U$6,E121),1)*IF(Upgrades!$T$7="Stellar Coupling",POWER(Upgrades!$U$7,F121),1)*IF(Upgrades!$T$9="Stellar Coupling",POWER(Upgrades!$U$9,H121),1)*IF(Upgrades!$T$10="Stellar Coupling",POWER(Upgrades!$U$10,I121),1)*IF(Upgrades!$T$11="Stellar Coupling",POWER(Upgrades!$U$11,J121),1)*IF(Upgrades!$T$12="Stellar Coupling",POWER(Upgrades!$U$12,K121),1))+(IF(H121=0,0,(Upgrades!$M$9+H121*Upgrades!$N$9)*POWER(Upgrades!$O$9,H121)))*(IF(Upgrades!$T$6="Magnetosphere",POWER(Upgrades!$U$6,E121),1)*IF(Upgrades!$T$7="Magnetosphere",POWER(Upgrades!$U$7,F121),1)*IF(Upgrades!$T$8="Magnetosphere",POWER(Upgrades!$U$8,G121),1)*IF(Upgrades!$T$10="Magnetosphere",POWER(Upgrades!$U$10,I121),1)*IF(Upgrades!$T$11="Magnetosphere",POWER(Upgrades!$U$11,J121),1)*IF(Upgrades!$T$12="Magnetosphere",POWER(Upgrades!$U$12,K121),1))+(IF(I121=0,0,(Upgrades!$M$10+I121*Upgrades!$N$10)*POWER(Upgrades!$O$10,I121)))*(IF(Upgrades!$T$6="Orbital Resonance",POWER(Upgrades!$U$6,E121),1)*IF(Upgrades!$T$7="Orbital Resonance",POWER(Upgrades!$U$7,F121),1)*IF(Upgrades!$T$8="Orbital Resonance",POWER(Upgrades!$U$8,G121),1)*IF(Upgrades!$T$9="Orbital Resonance",POWER(Upgrades!$U$9,H121),1)*IF(Upgrades!$T$11="Orbital Resonance",POWER(Upgrades!$U$11,J121),1)*IF(Upgrades!$T$12="Orbital Resonance",POWER(Upgrades!$U$12,K121),1))+(IF(J121=0,0,(Upgrades!$M$11+J121*Upgrades!$N$11)*POWER(Upgrades!$O$11,J121)))*(IF(Upgrades!$T$6="Heliopause",POWER(Upgrades!$U$6,E121),1)*IF(Upgrades!$T$7="Heliopause",POWER(Upgrades!$U$7,F121),1)*IF(Upgrades!$T$8="Heliopause",POWER(Upgrades!$U$8,G121),1)*IF(Upgrades!$T$9="Heliopause",POWER(Upgrades!$U$9,H121),1)*IF(Upgrades!$T$10="Heliopause",POWER(Upgrades!$U$10,I121),1)*IF(Upgrades!$T$12="Heliopause",POWER(Upgrades!$U$12,K121),1))+(IF(K121=0,0,(Upgrades!$M$12+K121*Upgrades!$N$12)*POWER(Upgrades!$O$12,K121)))*(IF(Upgrades!$T$6="First Photons",POWER(Upgrades!$U$6,E121),1)*IF(Upgrades!$T$7="First Photons",POWER(Upgrades!$U$7,F121),1)*IF(Upgrades!$T$8="First Photons",POWER(Upgrades!$U$8,G121),1)*IF(Upgrades!$T$9="First Photons",POWER(Upgrades!$U$9,H121),1)*IF(Upgrades!$T$10="First Photons",POWER(Upgrades!$U$10,I121),1)*IF(Upgrades!$T$11="First Photons",POWER(Upgrades!$U$11,J121),1)))*POWER(Upgrades!$R$6,E121)*POWER(Upgrades!$R$7,F121)*POWER(Upgrades!$R$8,G121)*POWER(Upgrades!$R$9,H121)*POWER(Upgrades!$R$10,I121)*POWER(Upgrades!$R$11,J121)*POWER(Upgrades!$R$12,K121)</f>
        <v/>
      </c>
      <c r="P121" s="27">
        <f>IF(L121=1,0,M121*Parameters!$B$10/60*Parameters!$B$11*10)</f>
        <v/>
      </c>
      <c r="Q121" s="27">
        <f>IF(L121=1,0,O121*M121*10)</f>
        <v/>
      </c>
      <c r="R121" s="27">
        <f>IF(L121=1,0,N121*10)</f>
        <v/>
      </c>
      <c r="S121" s="27">
        <f>P121+Q121+R121</f>
        <v/>
      </c>
      <c r="T121" s="22">
        <f>C121+S121</f>
        <v/>
      </c>
      <c r="U121" s="33">
        <f>AX121</f>
        <v/>
      </c>
      <c r="V121" s="22">
        <f>IF(U121="",0,IF(U121="transition",0,IF(U121="SW",AG121,IF(U121="AB",AH121,IF(U121="SC",AI121,IF(U121="Mag",AJ121,IF(U121="OR",AK121,IF(U121="HP",AL121,IF(U121="FP",AM121,0)))))))))</f>
        <v/>
      </c>
      <c r="W121" s="27">
        <f>IF(U121="OR",Upgrades!$F$10,IF(U121="HP",Upgrades!$F$11,IF(U121="transition",-Parameters!$B$18,0)))</f>
        <v/>
      </c>
      <c r="X121" s="22">
        <f>T121-V121</f>
        <v/>
      </c>
      <c r="Y121" s="30">
        <f>M121*Parameters!$B$10/60*Parameters!$B$11+O121*M121+N121</f>
        <v/>
      </c>
      <c r="Z121" s="34">
        <f>IF(U121="transition","→ Tier 2 (Stellar Neighborhood)",IF(U121="FP","First Photons — light begins, system quickens",IF(U121="HP","Heliopause acquired",IF(U121="OR","Orbital Resonance — passive multiplier active",IF(AND(AO121=1,L121=0,AN121&lt;&gt;1),"Cohesion ready (waiting on completionist upgrades)","")))))</f>
        <v/>
      </c>
      <c r="AA121" s="27">
        <f>(IF(E121=0,0,(Upgrades!$G$6+E121*Upgrades!$H$6)*POWER(Upgrades!$I$6,E121)))*(IF(Upgrades!$T$7="Solar Wind",POWER(Upgrades!$U$7,F121),1)*IF(Upgrades!$T$8="Solar Wind",POWER(Upgrades!$U$8,G121),1)*IF(Upgrades!$T$9="Solar Wind",POWER(Upgrades!$U$9,H121),1)*IF(Upgrades!$T$10="Solar Wind",POWER(Upgrades!$U$10,I121),1)*IF(Upgrades!$T$11="Solar Wind",POWER(Upgrades!$U$11,J121),1)*IF(Upgrades!$T$12="Solar Wind",POWER(Upgrades!$U$12,K121),1))*POWER(Upgrades!$P$6,E121)*POWER(Upgrades!$P$7,F121)*POWER(Upgrades!$P$8,G121)*POWER(Upgrades!$P$9,H121)*POWER(Upgrades!$P$10,I121)*POWER(Upgrades!$P$11,J121)*POWER(Upgrades!$P$12,K121)*60</f>
        <v/>
      </c>
      <c r="AB121" s="27">
        <f>(IF(F121=0,0,(Upgrades!$G$7+F121*Upgrades!$H$7)*POWER(Upgrades!$I$7,F121)))*(IF(Upgrades!$T$6="Asteroid Belt",POWER(Upgrades!$U$6,E121),1)*IF(Upgrades!$T$8="Asteroid Belt",POWER(Upgrades!$U$8,G121),1)*IF(Upgrades!$T$9="Asteroid Belt",POWER(Upgrades!$U$9,H121),1)*IF(Upgrades!$T$10="Asteroid Belt",POWER(Upgrades!$U$10,I121),1)*IF(Upgrades!$T$11="Asteroid Belt",POWER(Upgrades!$U$11,J121),1)*IF(Upgrades!$T$12="Asteroid Belt",POWER(Upgrades!$U$12,K121),1))*POWER(Upgrades!$P$6,E121)*POWER(Upgrades!$P$7,F121)*POWER(Upgrades!$P$8,G121)*POWER(Upgrades!$P$9,H121)*POWER(Upgrades!$P$10,I121)*POWER(Upgrades!$P$11,J121)*POWER(Upgrades!$P$12,K121)*60</f>
        <v/>
      </c>
      <c r="AC121" s="27">
        <f>(IF(G121=0,0,(Upgrades!$J$8+G121*Upgrades!$K$8)*POWER(Upgrades!$L$8,G121)))*(IF(Upgrades!$T$6="Stellar Coupling",POWER(Upgrades!$U$6,E121),1)*IF(Upgrades!$T$7="Stellar Coupling",POWER(Upgrades!$U$7,F121),1)*IF(Upgrades!$T$9="Stellar Coupling",POWER(Upgrades!$U$9,H121),1)*IF(Upgrades!$T$10="Stellar Coupling",POWER(Upgrades!$U$10,I121),1)*IF(Upgrades!$T$11="Stellar Coupling",POWER(Upgrades!$U$11,J121),1)*IF(Upgrades!$T$12="Stellar Coupling",POWER(Upgrades!$U$12,K121),1))*POWER(Upgrades!$Q$6,E121)*POWER(Upgrades!$Q$7,F121)*POWER(Upgrades!$Q$8,G121)*POWER(Upgrades!$Q$9,H121)*POWER(Upgrades!$Q$10,I121)*POWER(Upgrades!$Q$11,J121)*POWER(Upgrades!$Q$12,K121)*Parameters!$B$10*Parameters!$B$11</f>
        <v/>
      </c>
      <c r="AD121" s="27">
        <f>(IF(H121=0,0,(Upgrades!$G$9+H121*Upgrades!$H$9)*POWER(Upgrades!$I$9,H121)))*(IF(Upgrades!$T$6="Magnetosphere",POWER(Upgrades!$U$6,E121),1)*IF(Upgrades!$T$7="Magnetosphere",POWER(Upgrades!$U$7,F121),1)*IF(Upgrades!$T$8="Magnetosphere",POWER(Upgrades!$U$8,G121),1)*IF(Upgrades!$T$10="Magnetosphere",POWER(Upgrades!$U$10,I121),1)*IF(Upgrades!$T$11="Magnetosphere",POWER(Upgrades!$U$11,J121),1)*IF(Upgrades!$T$12="Magnetosphere",POWER(Upgrades!$U$12,K121),1))*POWER(Upgrades!$P$6,E121)*POWER(Upgrades!$P$7,F121)*POWER(Upgrades!$P$8,G121)*POWER(Upgrades!$P$9,H121)*POWER(Upgrades!$P$10,I121)*POWER(Upgrades!$P$11,J121)*POWER(Upgrades!$P$12,K121)*60</f>
        <v/>
      </c>
      <c r="AE121" s="27">
        <f>(IF(K121=0,0,(Upgrades!$G$12+K121*Upgrades!$H$12)*POWER(Upgrades!$I$12,K121)))*(IF(Upgrades!$T$6="First Photons",POWER(Upgrades!$U$6,E121),1)*IF(Upgrades!$T$7="First Photons",POWER(Upgrades!$U$7,F121),1)*IF(Upgrades!$T$8="First Photons",POWER(Upgrades!$U$8,G121),1)*IF(Upgrades!$T$9="First Photons",POWER(Upgrades!$U$9,H121),1)*IF(Upgrades!$T$10="First Photons",POWER(Upgrades!$U$10,I121),1)*IF(Upgrades!$T$11="First Photons",POWER(Upgrades!$U$11,J121),1))*POWER(Upgrades!$P$6,E121)*POWER(Upgrades!$P$7,F121)*POWER(Upgrades!$P$8,G121)*POWER(Upgrades!$P$9,H121)*POWER(Upgrades!$P$10,I121)*POWER(Upgrades!$P$11,J121)*POWER(Upgrades!$P$12,K121)*60</f>
        <v/>
      </c>
      <c r="AF121" s="27">
        <f>Parameters!$B$9*POWER(Upgrades!$Q$6,E121)*POWER(Upgrades!$Q$7,F121)*POWER(Upgrades!$Q$8,G121)*POWER(Upgrades!$Q$9,H121)*POWER(Upgrades!$Q$10,I121)*POWER(Upgrades!$Q$11,J121)*POWER(Upgrades!$Q$12,K121)*(Parameters!$B$10*Parameters!$B$11+O121*60)</f>
        <v/>
      </c>
      <c r="AG121" s="22">
        <f>IF(E121&gt;=Upgrades!$E$6,"",Upgrades!$C$6*POWER(Upgrades!$D$6,E121))</f>
        <v/>
      </c>
      <c r="AH121" s="22">
        <f>IF(F121&gt;=Upgrades!$E$7,"",Upgrades!$C$7*POWER(Upgrades!$D$7,F121))</f>
        <v/>
      </c>
      <c r="AI121" s="22">
        <f>IF(G121&gt;=Upgrades!$E$8,"",Upgrades!$C$8*POWER(Upgrades!$D$8,G121))</f>
        <v/>
      </c>
      <c r="AJ121" s="22">
        <f>IF(H121&gt;=Upgrades!$E$9,"",Upgrades!$C$9*POWER(Upgrades!$D$9,H121))</f>
        <v/>
      </c>
      <c r="AK121" s="22">
        <f>IF(I121&gt;=Upgrades!$E$10,"",Upgrades!$C$10*POWER(Upgrades!$D$10,I121))</f>
        <v/>
      </c>
      <c r="AL121" s="22">
        <f>IF(J121&gt;=Upgrades!$E$11,"",Upgrades!$C$11*POWER(Upgrades!$D$11,J121))</f>
        <v/>
      </c>
      <c r="AM121" s="22">
        <f>IF(K121&gt;=Upgrades!$E$12,"",Upgrades!$C$12*POWER(Upgrades!$D$12,K121))</f>
        <v/>
      </c>
      <c r="AN121" s="26">
        <f>IF(AND(D121&gt;=Parameters!$B$18,(H121&gt;=Upgrades!$E$9)*(K121&gt;=Upgrades!$E$12)=1,L121=0),1,"")</f>
        <v/>
      </c>
      <c r="AO121" s="26">
        <f>IF(AND(D121&gt;=Parameters!$B$18,L121=0),1,"")</f>
        <v/>
      </c>
      <c r="AP121" s="22">
        <f>MIN(IF(ISNUMBER(AK121),AK121,9E15),IF(ISNUMBER(AL121),AL121,9E15),IF(ISNUMBER(AM121),AM121,9E15))</f>
        <v/>
      </c>
      <c r="AQ121" s="22">
        <f>MIN(IF(ISNUMBER(AG121),AG121,9E15),IF(ISNUMBER(AH121),AH121,9E15),IF(ISNUMBER(AI121),AI121,9E15),IF(ISNUMBER(AJ121),AJ121,9E15))</f>
        <v/>
      </c>
      <c r="AR121" s="29">
        <f>IF(AW121&gt;Parameters!$B$21*(MAX(IF(AND(NOT(AND(AO121=1,AN121&lt;&gt;1)),ISNUMBER(AG121),AG121&lt;=T121),AS121,0),IF(AND(NOT(AND(AO121=1,AN121&lt;&gt;1)),ISNUMBER(AH121),AH121&lt;=T121),AT121,0),IF(AND(NOT(AND(AO121=1,AN121&lt;&gt;1)),ISNUMBER(AI121),AI121&lt;=T121),AU121,0),IF(AND(ISNUMBER(AJ121),AJ121&lt;=T121),AV121,0))),TRUE,FALSE)</f>
        <v/>
      </c>
      <c r="AS121" s="32">
        <f>IFERROR(Upgrades!$H$6*(POWER(Upgrades!$P$6,E121)*POWER(Upgrades!$P$7,F121)*POWER(Upgrades!$P$8,G121)*POWER(Upgrades!$P$9,H121)*POWER(Upgrades!$P$10,I121)*POWER(Upgrades!$P$11,J121)*POWER(Upgrades!$P$12,K121))*(IF(Upgrades!$T$7="Solar Wind",POWER(Upgrades!$U$7,F121),1)*IF(Upgrades!$T$8="Solar Wind",POWER(Upgrades!$U$8,G121),1)*IF(Upgrades!$T$9="Solar Wind",POWER(Upgrades!$U$9,H121),1)*IF(Upgrades!$T$10="Solar Wind",POWER(Upgrades!$U$10,I121),1)*IF(Upgrades!$T$11="Solar Wind",POWER(Upgrades!$U$11,J121),1)*IF(Upgrades!$T$12="Solar Wind",POWER(Upgrades!$U$12,K121),1))/AG121,0)</f>
        <v/>
      </c>
      <c r="AT121" s="32">
        <f>IFERROR(Upgrades!$H$7*(POWER(Upgrades!$P$6,E121)*POWER(Upgrades!$P$7,F121)*POWER(Upgrades!$P$8,G121)*POWER(Upgrades!$P$9,H121)*POWER(Upgrades!$P$10,I121)*POWER(Upgrades!$P$11,J121)*POWER(Upgrades!$P$12,K121))*(IF(Upgrades!$T$6="Asteroid Belt",POWER(Upgrades!$U$6,E121),1)*IF(Upgrades!$T$8="Asteroid Belt",POWER(Upgrades!$U$8,G121),1)*IF(Upgrades!$T$9="Asteroid Belt",POWER(Upgrades!$U$9,H121),1)*IF(Upgrades!$T$10="Asteroid Belt",POWER(Upgrades!$U$10,I121),1)*IF(Upgrades!$T$11="Asteroid Belt",POWER(Upgrades!$U$11,J121),1)*IF(Upgrades!$T$12="Asteroid Belt",POWER(Upgrades!$U$12,K121),1))/AH121,0)</f>
        <v/>
      </c>
      <c r="AU121" s="32">
        <f>IFERROR(Upgrades!$K$8*(POWER(Upgrades!$Q$6,E121)*POWER(Upgrades!$Q$7,F121)*POWER(Upgrades!$Q$8,G121)*POWER(Upgrades!$Q$9,H121)*POWER(Upgrades!$Q$10,I121)*POWER(Upgrades!$Q$11,J121)*POWER(Upgrades!$Q$12,K121))*(IF(Upgrades!$T$6="Stellar Coupling",POWER(Upgrades!$U$6,E121),1)*IF(Upgrades!$T$7="Stellar Coupling",POWER(Upgrades!$U$7,F121),1)*IF(Upgrades!$T$9="Stellar Coupling",POWER(Upgrades!$U$9,H121),1)*IF(Upgrades!$T$10="Stellar Coupling",POWER(Upgrades!$U$10,I121),1)*IF(Upgrades!$T$11="Stellar Coupling",POWER(Upgrades!$U$11,J121),1)*IF(Upgrades!$T$12="Stellar Coupling",POWER(Upgrades!$U$12,K121),1))*Parameters!$B$10*Parameters!$B$11/60/AI121,0)</f>
        <v/>
      </c>
      <c r="AV121" s="32">
        <f>IFERROR(Upgrades!$H$9*(POWER(Upgrades!$P$6,E121)*POWER(Upgrades!$P$7,F121)*POWER(Upgrades!$P$8,G121)*POWER(Upgrades!$P$9,H121)*POWER(Upgrades!$P$10,I121)*POWER(Upgrades!$P$11,J121)*POWER(Upgrades!$P$12,K121))*(IF(Upgrades!$T$6="Magnetosphere",POWER(Upgrades!$U$6,E121),1)*IF(Upgrades!$T$7="Magnetosphere",POWER(Upgrades!$U$7,F121),1)*IF(Upgrades!$T$8="Magnetosphere",POWER(Upgrades!$U$8,G121),1)*IF(Upgrades!$T$10="Magnetosphere",POWER(Upgrades!$U$10,I121),1)*IF(Upgrades!$T$11="Magnetosphere",POWER(Upgrades!$U$11,J121),1)*IF(Upgrades!$T$12="Magnetosphere",POWER(Upgrades!$U$12,K121),1))/AJ121,0)</f>
        <v/>
      </c>
      <c r="AW121" s="32">
        <f>MAX(IF(I121&gt;0,0,IFERROR(0.25*N121/Upgrades!$C$10,0)),IF(J121&gt;0,0,IFERROR(0.5*((IF(G121=0,0,(Upgrades!$J$8+G121*Upgrades!$K$8)*POWER(Upgrades!$L$8,G121)))*(IF(Upgrades!$T$6="Stellar Coupling",POWER(Upgrades!$U$6,E121),1)*IF(Upgrades!$T$7="Stellar Coupling",POWER(Upgrades!$U$7,F121),1)*IF(Upgrades!$T$9="Stellar Coupling",POWER(Upgrades!$U$9,H121),1)*IF(Upgrades!$T$10="Stellar Coupling",POWER(Upgrades!$U$10,I121),1)*IF(Upgrades!$T$11="Stellar Coupling",POWER(Upgrades!$U$11,J121),1)*IF(Upgrades!$T$12="Stellar Coupling",POWER(Upgrades!$U$12,K121),1))*(POWER(Upgrades!$Q$6,E121)*POWER(Upgrades!$Q$7,F121)*POWER(Upgrades!$Q$8,G121)*POWER(Upgrades!$Q$9,H121)*POWER(Upgrades!$Q$10,I121)*POWER(Upgrades!$Q$11,J121)*POWER(Upgrades!$Q$12,K121))*Parameters!$B$10*Parameters!$B$11/60)/Upgrades!$C$11,0)),IF(K121&gt;0,0,IFERROR((1.0*(POWER(Upgrades!$P$6,E121)*POWER(Upgrades!$P$7,F121)*POWER(Upgrades!$P$8,G121)*POWER(Upgrades!$P$9,H121)*POWER(Upgrades!$P$10,I121)*POWER(Upgrades!$P$11,J121)*POWER(Upgrades!$P$12,K121))+0.20*M121*Parameters!$B$10*Parameters!$B$11/60)/Upgrades!$C$12,0)),IF(AND(ISNUMBER(AG121),AG121&gt;T121),AS121,0),IF(AND(ISNUMBER(AH121),AH121&gt;T121),AT121,0),IF(AND(ISNUMBER(AI121),AI121&gt;T121),AU121,0),IF(AND(ISNUMBER(AJ121),AJ121&gt;T121),AV121,0))</f>
        <v/>
      </c>
      <c r="AX121" s="29">
        <f>IF(AN121=1,"transition",IF(MIN(IF(AND(I121=0,ISNUMBER(AK121),AK121&lt;=T121),AK121,9E15),IF(AND(J121=0,ISNUMBER(AL121),AL121&lt;=T121),AL121,9E15),IF(AND(K121=0,ISNUMBER(AM121),AM121&lt;=T121),AM121,9E15))&lt;9E15,IF(AND(AND(I121=0,ISNUMBER(AK121),AK121&lt;=T121),AK121=MIN(IF(AND(I121=0,ISNUMBER(AK121),AK121&lt;=T121),AK121,9E15),IF(AND(J121=0,ISNUMBER(AL121),AL121&lt;=T121),AL121,9E15),IF(AND(K121=0,ISNUMBER(AM121),AM121&lt;=T121),AM121,9E15))),"OR",IF(AND(AND(J121=0,ISNUMBER(AL121),AL121&lt;=T121),AL121=MIN(IF(AND(I121=0,ISNUMBER(AK121),AK121&lt;=T121),AK121,9E15),IF(AND(J121=0,ISNUMBER(AL121),AL121&lt;=T121),AL121,9E15),IF(AND(K121=0,ISNUMBER(AM121),AM121&lt;=T121),AM121,9E15))),"HP","FP")),IF(AR121=TRUE,"",IF(MAX(IF(AND(NOT(AND(AO121=1,AN121&lt;&gt;1)),ISNUMBER(AG121),AG121&lt;=T121),AS121,0),IF(AND(NOT(AND(AO121=1,AN121&lt;&gt;1)),ISNUMBER(AH121),AH121&lt;=T121),AT121,0),IF(AND(NOT(AND(AO121=1,AN121&lt;&gt;1)),ISNUMBER(AI121),AI121&lt;=T121),AU121,0),IF(AND(ISNUMBER(AJ121),AJ121&lt;=T121),AV121,0))&lt;=0,"",IF(AND(IF(AND(NOT(AND(AO121=1,AN121&lt;&gt;1)),ISNUMBER(AG121),AG121&lt;=T121),AS121,0)&gt;0,IF(AND(NOT(AND(AO121=1,AN121&lt;&gt;1)),ISNUMBER(AG121),AG121&lt;=T121),AS121,0)=MAX(IF(AND(NOT(AND(AO121=1,AN121&lt;&gt;1)),ISNUMBER(AG121),AG121&lt;=T121),AS121,0),IF(AND(NOT(AND(AO121=1,AN121&lt;&gt;1)),ISNUMBER(AH121),AH121&lt;=T121),AT121,0),IF(AND(NOT(AND(AO121=1,AN121&lt;&gt;1)),ISNUMBER(AI121),AI121&lt;=T121),AU121,0),IF(AND(ISNUMBER(AJ121),AJ121&lt;=T121),AV121,0))),"SW",IF(AND(IF(AND(NOT(AND(AO121=1,AN121&lt;&gt;1)),ISNUMBER(AH121),AH121&lt;=T121),AT121,0)&gt;0,IF(AND(NOT(AND(AO121=1,AN121&lt;&gt;1)),ISNUMBER(AH121),AH121&lt;=T121),AT121,0)=MAX(IF(AND(NOT(AND(AO121=1,AN121&lt;&gt;1)),ISNUMBER(AG121),AG121&lt;=T121),AS121,0),IF(AND(NOT(AND(AO121=1,AN121&lt;&gt;1)),ISNUMBER(AH121),AH121&lt;=T121),AT121,0),IF(AND(NOT(AND(AO121=1,AN121&lt;&gt;1)),ISNUMBER(AI121),AI121&lt;=T121),AU121,0),IF(AND(ISNUMBER(AJ121),AJ121&lt;=T121),AV121,0))),"AB",IF(AND(IF(AND(NOT(AND(AO121=1,AN121&lt;&gt;1)),ISNUMBER(AI121),AI121&lt;=T121),AU121,0)&gt;0,IF(AND(NOT(AND(AO121=1,AN121&lt;&gt;1)),ISNUMBER(AI121),AI121&lt;=T121),AU121,0)=MAX(IF(AND(NOT(AND(AO121=1,AN121&lt;&gt;1)),ISNUMBER(AG121),AG121&lt;=T121),AS121,0),IF(AND(NOT(AND(AO121=1,AN121&lt;&gt;1)),ISNUMBER(AH121),AH121&lt;=T121),AT121,0),IF(AND(NOT(AND(AO121=1,AN121&lt;&gt;1)),ISNUMBER(AI121),AI121&lt;=T121),AU121,0),IF(AND(ISNUMBER(AJ121),AJ121&lt;=T121),AV121,0))),"SC","Mag")))))))</f>
        <v/>
      </c>
    </row>
    <row r="122">
      <c r="A122" s="26" t="n">
        <v>117</v>
      </c>
      <c r="B122" s="27">
        <f>A122*10/60</f>
        <v/>
      </c>
      <c r="C122" s="22">
        <f>X121</f>
        <v/>
      </c>
      <c r="D122" s="27">
        <f>D121+W121</f>
        <v/>
      </c>
      <c r="E122" s="26">
        <f>E121+IF(U121="SW",1,0)</f>
        <v/>
      </c>
      <c r="F122" s="26">
        <f>F121+IF(U121="AB",1,0)</f>
        <v/>
      </c>
      <c r="G122" s="26">
        <f>G121+IF(U121="SC",1,0)</f>
        <v/>
      </c>
      <c r="H122" s="26">
        <f>H121+IF(U121="Mag",1,0)</f>
        <v/>
      </c>
      <c r="I122" s="26">
        <f>MAX(I121,IF(U121="OR",1,0))</f>
        <v/>
      </c>
      <c r="J122" s="26">
        <f>MAX(J121,IF(U121="HP",1,0))</f>
        <v/>
      </c>
      <c r="K122" s="26">
        <f>MAX(K121,IF(U121="FP",1,0))</f>
        <v/>
      </c>
      <c r="L122" s="26">
        <f>MAX(L121,IF(U121="transition",1,0))</f>
        <v/>
      </c>
      <c r="M122" s="28">
        <f>(Parameters!$B$9+(IF(E122=0,0,(Upgrades!$J$6+E122*Upgrades!$K$6)*POWER(Upgrades!$L$6,E122)))*(IF(Upgrades!$T$7="Solar Wind",POWER(Upgrades!$U$7,F122),1)*IF(Upgrades!$T$8="Solar Wind",POWER(Upgrades!$U$8,G122),1)*IF(Upgrades!$T$9="Solar Wind",POWER(Upgrades!$U$9,H122),1)*IF(Upgrades!$T$10="Solar Wind",POWER(Upgrades!$U$10,I122),1)*IF(Upgrades!$T$11="Solar Wind",POWER(Upgrades!$U$11,J122),1)*IF(Upgrades!$T$12="Solar Wind",POWER(Upgrades!$U$12,K122),1))+(IF(F122=0,0,(Upgrades!$J$7+F122*Upgrades!$K$7)*POWER(Upgrades!$L$7,F122)))*(IF(Upgrades!$T$6="Asteroid Belt",POWER(Upgrades!$U$6,E122),1)*IF(Upgrades!$T$8="Asteroid Belt",POWER(Upgrades!$U$8,G122),1)*IF(Upgrades!$T$9="Asteroid Belt",POWER(Upgrades!$U$9,H122),1)*IF(Upgrades!$T$10="Asteroid Belt",POWER(Upgrades!$U$10,I122),1)*IF(Upgrades!$T$11="Asteroid Belt",POWER(Upgrades!$U$11,J122),1)*IF(Upgrades!$T$12="Asteroid Belt",POWER(Upgrades!$U$12,K122),1))+(IF(G122=0,0,(Upgrades!$J$8+G122*Upgrades!$K$8)*POWER(Upgrades!$L$8,G122)))*(IF(Upgrades!$T$6="Stellar Coupling",POWER(Upgrades!$U$6,E122),1)*IF(Upgrades!$T$7="Stellar Coupling",POWER(Upgrades!$U$7,F122),1)*IF(Upgrades!$T$9="Stellar Coupling",POWER(Upgrades!$U$9,H122),1)*IF(Upgrades!$T$10="Stellar Coupling",POWER(Upgrades!$U$10,I122),1)*IF(Upgrades!$T$11="Stellar Coupling",POWER(Upgrades!$U$11,J122),1)*IF(Upgrades!$T$12="Stellar Coupling",POWER(Upgrades!$U$12,K122),1))+(IF(H122=0,0,(Upgrades!$J$9+H122*Upgrades!$K$9)*POWER(Upgrades!$L$9,H122)))*(IF(Upgrades!$T$6="Magnetosphere",POWER(Upgrades!$U$6,E122),1)*IF(Upgrades!$T$7="Magnetosphere",POWER(Upgrades!$U$7,F122),1)*IF(Upgrades!$T$8="Magnetosphere",POWER(Upgrades!$U$8,G122),1)*IF(Upgrades!$T$10="Magnetosphere",POWER(Upgrades!$U$10,I122),1)*IF(Upgrades!$T$11="Magnetosphere",POWER(Upgrades!$U$11,J122),1)*IF(Upgrades!$T$12="Magnetosphere",POWER(Upgrades!$U$12,K122),1))+(IF(I122=0,0,(Upgrades!$J$10+I122*Upgrades!$K$10)*POWER(Upgrades!$L$10,I122)))*(IF(Upgrades!$T$6="Orbital Resonance",POWER(Upgrades!$U$6,E122),1)*IF(Upgrades!$T$7="Orbital Resonance",POWER(Upgrades!$U$7,F122),1)*IF(Upgrades!$T$8="Orbital Resonance",POWER(Upgrades!$U$8,G122),1)*IF(Upgrades!$T$9="Orbital Resonance",POWER(Upgrades!$U$9,H122),1)*IF(Upgrades!$T$11="Orbital Resonance",POWER(Upgrades!$U$11,J122),1)*IF(Upgrades!$T$12="Orbital Resonance",POWER(Upgrades!$U$12,K122),1))+(IF(J122=0,0,(Upgrades!$J$11+J122*Upgrades!$K$11)*POWER(Upgrades!$L$11,J122)))*(IF(Upgrades!$T$6="Heliopause",POWER(Upgrades!$U$6,E122),1)*IF(Upgrades!$T$7="Heliopause",POWER(Upgrades!$U$7,F122),1)*IF(Upgrades!$T$8="Heliopause",POWER(Upgrades!$U$8,G122),1)*IF(Upgrades!$T$9="Heliopause",POWER(Upgrades!$U$9,H122),1)*IF(Upgrades!$T$10="Heliopause",POWER(Upgrades!$U$10,I122),1)*IF(Upgrades!$T$12="Heliopause",POWER(Upgrades!$U$12,K122),1))+(IF(K122=0,0,(Upgrades!$J$12+K122*Upgrades!$K$12)*POWER(Upgrades!$L$12,K122)))*(IF(Upgrades!$T$6="First Photons",POWER(Upgrades!$U$6,E122),1)*IF(Upgrades!$T$7="First Photons",POWER(Upgrades!$U$7,F122),1)*IF(Upgrades!$T$8="First Photons",POWER(Upgrades!$U$8,G122),1)*IF(Upgrades!$T$9="First Photons",POWER(Upgrades!$U$9,H122),1)*IF(Upgrades!$T$10="First Photons",POWER(Upgrades!$U$10,I122),1)*IF(Upgrades!$T$11="First Photons",POWER(Upgrades!$U$11,J122),1)))*POWER(Upgrades!$Q$6,E122)*POWER(Upgrades!$Q$7,F122)*POWER(Upgrades!$Q$8,G122)*POWER(Upgrades!$Q$9,H122)*POWER(Upgrades!$Q$10,I122)*POWER(Upgrades!$Q$11,J122)*POWER(Upgrades!$Q$12,K122)</f>
        <v/>
      </c>
      <c r="N122" s="28">
        <f>((IF(E122=0,0,(Upgrades!$G$6+E122*Upgrades!$H$6)*POWER(Upgrades!$I$6,E122)))*(IF(Upgrades!$T$7="Solar Wind",POWER(Upgrades!$U$7,F122),1)*IF(Upgrades!$T$8="Solar Wind",POWER(Upgrades!$U$8,G122),1)*IF(Upgrades!$T$9="Solar Wind",POWER(Upgrades!$U$9,H122),1)*IF(Upgrades!$T$10="Solar Wind",POWER(Upgrades!$U$10,I122),1)*IF(Upgrades!$T$11="Solar Wind",POWER(Upgrades!$U$11,J122),1)*IF(Upgrades!$T$12="Solar Wind",POWER(Upgrades!$U$12,K122),1))+(IF(F122=0,0,(Upgrades!$G$7+F122*Upgrades!$H$7)*POWER(Upgrades!$I$7,F122)))*(IF(Upgrades!$T$6="Asteroid Belt",POWER(Upgrades!$U$6,E122),1)*IF(Upgrades!$T$8="Asteroid Belt",POWER(Upgrades!$U$8,G122),1)*IF(Upgrades!$T$9="Asteroid Belt",POWER(Upgrades!$U$9,H122),1)*IF(Upgrades!$T$10="Asteroid Belt",POWER(Upgrades!$U$10,I122),1)*IF(Upgrades!$T$11="Asteroid Belt",POWER(Upgrades!$U$11,J122),1)*IF(Upgrades!$T$12="Asteroid Belt",POWER(Upgrades!$U$12,K122),1))+(IF(G122=0,0,(Upgrades!$G$8+G122*Upgrades!$H$8)*POWER(Upgrades!$I$8,G122)))*(IF(Upgrades!$T$6="Stellar Coupling",POWER(Upgrades!$U$6,E122),1)*IF(Upgrades!$T$7="Stellar Coupling",POWER(Upgrades!$U$7,F122),1)*IF(Upgrades!$T$9="Stellar Coupling",POWER(Upgrades!$U$9,H122),1)*IF(Upgrades!$T$10="Stellar Coupling",POWER(Upgrades!$U$10,I122),1)*IF(Upgrades!$T$11="Stellar Coupling",POWER(Upgrades!$U$11,J122),1)*IF(Upgrades!$T$12="Stellar Coupling",POWER(Upgrades!$U$12,K122),1))+(IF(H122=0,0,(Upgrades!$G$9+H122*Upgrades!$H$9)*POWER(Upgrades!$I$9,H122)))*(IF(Upgrades!$T$6="Magnetosphere",POWER(Upgrades!$U$6,E122),1)*IF(Upgrades!$T$7="Magnetosphere",POWER(Upgrades!$U$7,F122),1)*IF(Upgrades!$T$8="Magnetosphere",POWER(Upgrades!$U$8,G122),1)*IF(Upgrades!$T$10="Magnetosphere",POWER(Upgrades!$U$10,I122),1)*IF(Upgrades!$T$11="Magnetosphere",POWER(Upgrades!$U$11,J122),1)*IF(Upgrades!$T$12="Magnetosphere",POWER(Upgrades!$U$12,K122),1))+(IF(I122=0,0,(Upgrades!$G$10+I122*Upgrades!$H$10)*POWER(Upgrades!$I$10,I122)))*(IF(Upgrades!$T$6="Orbital Resonance",POWER(Upgrades!$U$6,E122),1)*IF(Upgrades!$T$7="Orbital Resonance",POWER(Upgrades!$U$7,F122),1)*IF(Upgrades!$T$8="Orbital Resonance",POWER(Upgrades!$U$8,G122),1)*IF(Upgrades!$T$9="Orbital Resonance",POWER(Upgrades!$U$9,H122),1)*IF(Upgrades!$T$11="Orbital Resonance",POWER(Upgrades!$U$11,J122),1)*IF(Upgrades!$T$12="Orbital Resonance",POWER(Upgrades!$U$12,K122),1))+(IF(J122=0,0,(Upgrades!$G$11+J122*Upgrades!$H$11)*POWER(Upgrades!$I$11,J122)))*(IF(Upgrades!$T$6="Heliopause",POWER(Upgrades!$U$6,E122),1)*IF(Upgrades!$T$7="Heliopause",POWER(Upgrades!$U$7,F122),1)*IF(Upgrades!$T$8="Heliopause",POWER(Upgrades!$U$8,G122),1)*IF(Upgrades!$T$9="Heliopause",POWER(Upgrades!$U$9,H122),1)*IF(Upgrades!$T$10="Heliopause",POWER(Upgrades!$U$10,I122),1)*IF(Upgrades!$T$12="Heliopause",POWER(Upgrades!$U$12,K122),1))+(IF(K122=0,0,(Upgrades!$G$12+K122*Upgrades!$H$12)*POWER(Upgrades!$I$12,K122)))*(IF(Upgrades!$T$6="First Photons",POWER(Upgrades!$U$6,E122),1)*IF(Upgrades!$T$7="First Photons",POWER(Upgrades!$U$7,F122),1)*IF(Upgrades!$T$8="First Photons",POWER(Upgrades!$U$8,G122),1)*IF(Upgrades!$T$9="First Photons",POWER(Upgrades!$U$9,H122),1)*IF(Upgrades!$T$10="First Photons",POWER(Upgrades!$U$10,I122),1)*IF(Upgrades!$T$11="First Photons",POWER(Upgrades!$U$11,J122),1)))*POWER(Upgrades!$P$6,E122)*POWER(Upgrades!$P$7,F122)*POWER(Upgrades!$P$8,G122)*POWER(Upgrades!$P$9,H122)*POWER(Upgrades!$P$10,I122)*POWER(Upgrades!$P$11,J122)*POWER(Upgrades!$P$12,K122)</f>
        <v/>
      </c>
      <c r="O122" s="28">
        <f>((IF(E122=0,0,(Upgrades!$M$6+E122*Upgrades!$N$6)*POWER(Upgrades!$O$6,E122)))*(IF(Upgrades!$T$7="Solar Wind",POWER(Upgrades!$U$7,F122),1)*IF(Upgrades!$T$8="Solar Wind",POWER(Upgrades!$U$8,G122),1)*IF(Upgrades!$T$9="Solar Wind",POWER(Upgrades!$U$9,H122),1)*IF(Upgrades!$T$10="Solar Wind",POWER(Upgrades!$U$10,I122),1)*IF(Upgrades!$T$11="Solar Wind",POWER(Upgrades!$U$11,J122),1)*IF(Upgrades!$T$12="Solar Wind",POWER(Upgrades!$U$12,K122),1))+(IF(F122=0,0,(Upgrades!$M$7+F122*Upgrades!$N$7)*POWER(Upgrades!$O$7,F122)))*(IF(Upgrades!$T$6="Asteroid Belt",POWER(Upgrades!$U$6,E122),1)*IF(Upgrades!$T$8="Asteroid Belt",POWER(Upgrades!$U$8,G122),1)*IF(Upgrades!$T$9="Asteroid Belt",POWER(Upgrades!$U$9,H122),1)*IF(Upgrades!$T$10="Asteroid Belt",POWER(Upgrades!$U$10,I122),1)*IF(Upgrades!$T$11="Asteroid Belt",POWER(Upgrades!$U$11,J122),1)*IF(Upgrades!$T$12="Asteroid Belt",POWER(Upgrades!$U$12,K122),1))+(IF(G122=0,0,(Upgrades!$M$8+G122*Upgrades!$N$8)*POWER(Upgrades!$O$8,G122)))*(IF(Upgrades!$T$6="Stellar Coupling",POWER(Upgrades!$U$6,E122),1)*IF(Upgrades!$T$7="Stellar Coupling",POWER(Upgrades!$U$7,F122),1)*IF(Upgrades!$T$9="Stellar Coupling",POWER(Upgrades!$U$9,H122),1)*IF(Upgrades!$T$10="Stellar Coupling",POWER(Upgrades!$U$10,I122),1)*IF(Upgrades!$T$11="Stellar Coupling",POWER(Upgrades!$U$11,J122),1)*IF(Upgrades!$T$12="Stellar Coupling",POWER(Upgrades!$U$12,K122),1))+(IF(H122=0,0,(Upgrades!$M$9+H122*Upgrades!$N$9)*POWER(Upgrades!$O$9,H122)))*(IF(Upgrades!$T$6="Magnetosphere",POWER(Upgrades!$U$6,E122),1)*IF(Upgrades!$T$7="Magnetosphere",POWER(Upgrades!$U$7,F122),1)*IF(Upgrades!$T$8="Magnetosphere",POWER(Upgrades!$U$8,G122),1)*IF(Upgrades!$T$10="Magnetosphere",POWER(Upgrades!$U$10,I122),1)*IF(Upgrades!$T$11="Magnetosphere",POWER(Upgrades!$U$11,J122),1)*IF(Upgrades!$T$12="Magnetosphere",POWER(Upgrades!$U$12,K122),1))+(IF(I122=0,0,(Upgrades!$M$10+I122*Upgrades!$N$10)*POWER(Upgrades!$O$10,I122)))*(IF(Upgrades!$T$6="Orbital Resonance",POWER(Upgrades!$U$6,E122),1)*IF(Upgrades!$T$7="Orbital Resonance",POWER(Upgrades!$U$7,F122),1)*IF(Upgrades!$T$8="Orbital Resonance",POWER(Upgrades!$U$8,G122),1)*IF(Upgrades!$T$9="Orbital Resonance",POWER(Upgrades!$U$9,H122),1)*IF(Upgrades!$T$11="Orbital Resonance",POWER(Upgrades!$U$11,J122),1)*IF(Upgrades!$T$12="Orbital Resonance",POWER(Upgrades!$U$12,K122),1))+(IF(J122=0,0,(Upgrades!$M$11+J122*Upgrades!$N$11)*POWER(Upgrades!$O$11,J122)))*(IF(Upgrades!$T$6="Heliopause",POWER(Upgrades!$U$6,E122),1)*IF(Upgrades!$T$7="Heliopause",POWER(Upgrades!$U$7,F122),1)*IF(Upgrades!$T$8="Heliopause",POWER(Upgrades!$U$8,G122),1)*IF(Upgrades!$T$9="Heliopause",POWER(Upgrades!$U$9,H122),1)*IF(Upgrades!$T$10="Heliopause",POWER(Upgrades!$U$10,I122),1)*IF(Upgrades!$T$12="Heliopause",POWER(Upgrades!$U$12,K122),1))+(IF(K122=0,0,(Upgrades!$M$12+K122*Upgrades!$N$12)*POWER(Upgrades!$O$12,K122)))*(IF(Upgrades!$T$6="First Photons",POWER(Upgrades!$U$6,E122),1)*IF(Upgrades!$T$7="First Photons",POWER(Upgrades!$U$7,F122),1)*IF(Upgrades!$T$8="First Photons",POWER(Upgrades!$U$8,G122),1)*IF(Upgrades!$T$9="First Photons",POWER(Upgrades!$U$9,H122),1)*IF(Upgrades!$T$10="First Photons",POWER(Upgrades!$U$10,I122),1)*IF(Upgrades!$T$11="First Photons",POWER(Upgrades!$U$11,J122),1)))*POWER(Upgrades!$R$6,E122)*POWER(Upgrades!$R$7,F122)*POWER(Upgrades!$R$8,G122)*POWER(Upgrades!$R$9,H122)*POWER(Upgrades!$R$10,I122)*POWER(Upgrades!$R$11,J122)*POWER(Upgrades!$R$12,K122)</f>
        <v/>
      </c>
      <c r="P122" s="27">
        <f>IF(L122=1,0,M122*Parameters!$B$10/60*Parameters!$B$11*10)</f>
        <v/>
      </c>
      <c r="Q122" s="27">
        <f>IF(L122=1,0,O122*M122*10)</f>
        <v/>
      </c>
      <c r="R122" s="27">
        <f>IF(L122=1,0,N122*10)</f>
        <v/>
      </c>
      <c r="S122" s="27">
        <f>P122+Q122+R122</f>
        <v/>
      </c>
      <c r="T122" s="22">
        <f>C122+S122</f>
        <v/>
      </c>
      <c r="U122" s="33">
        <f>AX122</f>
        <v/>
      </c>
      <c r="V122" s="22">
        <f>IF(U122="",0,IF(U122="transition",0,IF(U122="SW",AG122,IF(U122="AB",AH122,IF(U122="SC",AI122,IF(U122="Mag",AJ122,IF(U122="OR",AK122,IF(U122="HP",AL122,IF(U122="FP",AM122,0)))))))))</f>
        <v/>
      </c>
      <c r="W122" s="27">
        <f>IF(U122="OR",Upgrades!$F$10,IF(U122="HP",Upgrades!$F$11,IF(U122="transition",-Parameters!$B$18,0)))</f>
        <v/>
      </c>
      <c r="X122" s="22">
        <f>T122-V122</f>
        <v/>
      </c>
      <c r="Y122" s="30">
        <f>M122*Parameters!$B$10/60*Parameters!$B$11+O122*M122+N122</f>
        <v/>
      </c>
      <c r="Z122" s="34">
        <f>IF(U122="transition","→ Tier 2 (Stellar Neighborhood)",IF(U122="FP","First Photons — light begins, system quickens",IF(U122="HP","Heliopause acquired",IF(U122="OR","Orbital Resonance — passive multiplier active",IF(AND(AO122=1,L122=0,AN122&lt;&gt;1),"Cohesion ready (waiting on completionist upgrades)","")))))</f>
        <v/>
      </c>
      <c r="AA122" s="27">
        <f>(IF(E122=0,0,(Upgrades!$G$6+E122*Upgrades!$H$6)*POWER(Upgrades!$I$6,E122)))*(IF(Upgrades!$T$7="Solar Wind",POWER(Upgrades!$U$7,F122),1)*IF(Upgrades!$T$8="Solar Wind",POWER(Upgrades!$U$8,G122),1)*IF(Upgrades!$T$9="Solar Wind",POWER(Upgrades!$U$9,H122),1)*IF(Upgrades!$T$10="Solar Wind",POWER(Upgrades!$U$10,I122),1)*IF(Upgrades!$T$11="Solar Wind",POWER(Upgrades!$U$11,J122),1)*IF(Upgrades!$T$12="Solar Wind",POWER(Upgrades!$U$12,K122),1))*POWER(Upgrades!$P$6,E122)*POWER(Upgrades!$P$7,F122)*POWER(Upgrades!$P$8,G122)*POWER(Upgrades!$P$9,H122)*POWER(Upgrades!$P$10,I122)*POWER(Upgrades!$P$11,J122)*POWER(Upgrades!$P$12,K122)*60</f>
        <v/>
      </c>
      <c r="AB122" s="27">
        <f>(IF(F122=0,0,(Upgrades!$G$7+F122*Upgrades!$H$7)*POWER(Upgrades!$I$7,F122)))*(IF(Upgrades!$T$6="Asteroid Belt",POWER(Upgrades!$U$6,E122),1)*IF(Upgrades!$T$8="Asteroid Belt",POWER(Upgrades!$U$8,G122),1)*IF(Upgrades!$T$9="Asteroid Belt",POWER(Upgrades!$U$9,H122),1)*IF(Upgrades!$T$10="Asteroid Belt",POWER(Upgrades!$U$10,I122),1)*IF(Upgrades!$T$11="Asteroid Belt",POWER(Upgrades!$U$11,J122),1)*IF(Upgrades!$T$12="Asteroid Belt",POWER(Upgrades!$U$12,K122),1))*POWER(Upgrades!$P$6,E122)*POWER(Upgrades!$P$7,F122)*POWER(Upgrades!$P$8,G122)*POWER(Upgrades!$P$9,H122)*POWER(Upgrades!$P$10,I122)*POWER(Upgrades!$P$11,J122)*POWER(Upgrades!$P$12,K122)*60</f>
        <v/>
      </c>
      <c r="AC122" s="27">
        <f>(IF(G122=0,0,(Upgrades!$J$8+G122*Upgrades!$K$8)*POWER(Upgrades!$L$8,G122)))*(IF(Upgrades!$T$6="Stellar Coupling",POWER(Upgrades!$U$6,E122),1)*IF(Upgrades!$T$7="Stellar Coupling",POWER(Upgrades!$U$7,F122),1)*IF(Upgrades!$T$9="Stellar Coupling",POWER(Upgrades!$U$9,H122),1)*IF(Upgrades!$T$10="Stellar Coupling",POWER(Upgrades!$U$10,I122),1)*IF(Upgrades!$T$11="Stellar Coupling",POWER(Upgrades!$U$11,J122),1)*IF(Upgrades!$T$12="Stellar Coupling",POWER(Upgrades!$U$12,K122),1))*POWER(Upgrades!$Q$6,E122)*POWER(Upgrades!$Q$7,F122)*POWER(Upgrades!$Q$8,G122)*POWER(Upgrades!$Q$9,H122)*POWER(Upgrades!$Q$10,I122)*POWER(Upgrades!$Q$11,J122)*POWER(Upgrades!$Q$12,K122)*Parameters!$B$10*Parameters!$B$11</f>
        <v/>
      </c>
      <c r="AD122" s="27">
        <f>(IF(H122=0,0,(Upgrades!$G$9+H122*Upgrades!$H$9)*POWER(Upgrades!$I$9,H122)))*(IF(Upgrades!$T$6="Magnetosphere",POWER(Upgrades!$U$6,E122),1)*IF(Upgrades!$T$7="Magnetosphere",POWER(Upgrades!$U$7,F122),1)*IF(Upgrades!$T$8="Magnetosphere",POWER(Upgrades!$U$8,G122),1)*IF(Upgrades!$T$10="Magnetosphere",POWER(Upgrades!$U$10,I122),1)*IF(Upgrades!$T$11="Magnetosphere",POWER(Upgrades!$U$11,J122),1)*IF(Upgrades!$T$12="Magnetosphere",POWER(Upgrades!$U$12,K122),1))*POWER(Upgrades!$P$6,E122)*POWER(Upgrades!$P$7,F122)*POWER(Upgrades!$P$8,G122)*POWER(Upgrades!$P$9,H122)*POWER(Upgrades!$P$10,I122)*POWER(Upgrades!$P$11,J122)*POWER(Upgrades!$P$12,K122)*60</f>
        <v/>
      </c>
      <c r="AE122" s="27">
        <f>(IF(K122=0,0,(Upgrades!$G$12+K122*Upgrades!$H$12)*POWER(Upgrades!$I$12,K122)))*(IF(Upgrades!$T$6="First Photons",POWER(Upgrades!$U$6,E122),1)*IF(Upgrades!$T$7="First Photons",POWER(Upgrades!$U$7,F122),1)*IF(Upgrades!$T$8="First Photons",POWER(Upgrades!$U$8,G122),1)*IF(Upgrades!$T$9="First Photons",POWER(Upgrades!$U$9,H122),1)*IF(Upgrades!$T$10="First Photons",POWER(Upgrades!$U$10,I122),1)*IF(Upgrades!$T$11="First Photons",POWER(Upgrades!$U$11,J122),1))*POWER(Upgrades!$P$6,E122)*POWER(Upgrades!$P$7,F122)*POWER(Upgrades!$P$8,G122)*POWER(Upgrades!$P$9,H122)*POWER(Upgrades!$P$10,I122)*POWER(Upgrades!$P$11,J122)*POWER(Upgrades!$P$12,K122)*60</f>
        <v/>
      </c>
      <c r="AF122" s="27">
        <f>Parameters!$B$9*POWER(Upgrades!$Q$6,E122)*POWER(Upgrades!$Q$7,F122)*POWER(Upgrades!$Q$8,G122)*POWER(Upgrades!$Q$9,H122)*POWER(Upgrades!$Q$10,I122)*POWER(Upgrades!$Q$11,J122)*POWER(Upgrades!$Q$12,K122)*(Parameters!$B$10*Parameters!$B$11+O122*60)</f>
        <v/>
      </c>
      <c r="AG122" s="22">
        <f>IF(E122&gt;=Upgrades!$E$6,"",Upgrades!$C$6*POWER(Upgrades!$D$6,E122))</f>
        <v/>
      </c>
      <c r="AH122" s="22">
        <f>IF(F122&gt;=Upgrades!$E$7,"",Upgrades!$C$7*POWER(Upgrades!$D$7,F122))</f>
        <v/>
      </c>
      <c r="AI122" s="22">
        <f>IF(G122&gt;=Upgrades!$E$8,"",Upgrades!$C$8*POWER(Upgrades!$D$8,G122))</f>
        <v/>
      </c>
      <c r="AJ122" s="22">
        <f>IF(H122&gt;=Upgrades!$E$9,"",Upgrades!$C$9*POWER(Upgrades!$D$9,H122))</f>
        <v/>
      </c>
      <c r="AK122" s="22">
        <f>IF(I122&gt;=Upgrades!$E$10,"",Upgrades!$C$10*POWER(Upgrades!$D$10,I122))</f>
        <v/>
      </c>
      <c r="AL122" s="22">
        <f>IF(J122&gt;=Upgrades!$E$11,"",Upgrades!$C$11*POWER(Upgrades!$D$11,J122))</f>
        <v/>
      </c>
      <c r="AM122" s="22">
        <f>IF(K122&gt;=Upgrades!$E$12,"",Upgrades!$C$12*POWER(Upgrades!$D$12,K122))</f>
        <v/>
      </c>
      <c r="AN122" s="26">
        <f>IF(AND(D122&gt;=Parameters!$B$18,(H122&gt;=Upgrades!$E$9)*(K122&gt;=Upgrades!$E$12)=1,L122=0),1,"")</f>
        <v/>
      </c>
      <c r="AO122" s="26">
        <f>IF(AND(D122&gt;=Parameters!$B$18,L122=0),1,"")</f>
        <v/>
      </c>
      <c r="AP122" s="22">
        <f>MIN(IF(ISNUMBER(AK122),AK122,9E15),IF(ISNUMBER(AL122),AL122,9E15),IF(ISNUMBER(AM122),AM122,9E15))</f>
        <v/>
      </c>
      <c r="AQ122" s="22">
        <f>MIN(IF(ISNUMBER(AG122),AG122,9E15),IF(ISNUMBER(AH122),AH122,9E15),IF(ISNUMBER(AI122),AI122,9E15),IF(ISNUMBER(AJ122),AJ122,9E15))</f>
        <v/>
      </c>
      <c r="AR122" s="29">
        <f>IF(AW122&gt;Parameters!$B$21*(MAX(IF(AND(NOT(AND(AO122=1,AN122&lt;&gt;1)),ISNUMBER(AG122),AG122&lt;=T122),AS122,0),IF(AND(NOT(AND(AO122=1,AN122&lt;&gt;1)),ISNUMBER(AH122),AH122&lt;=T122),AT122,0),IF(AND(NOT(AND(AO122=1,AN122&lt;&gt;1)),ISNUMBER(AI122),AI122&lt;=T122),AU122,0),IF(AND(ISNUMBER(AJ122),AJ122&lt;=T122),AV122,0))),TRUE,FALSE)</f>
        <v/>
      </c>
      <c r="AS122" s="32">
        <f>IFERROR(Upgrades!$H$6*(POWER(Upgrades!$P$6,E122)*POWER(Upgrades!$P$7,F122)*POWER(Upgrades!$P$8,G122)*POWER(Upgrades!$P$9,H122)*POWER(Upgrades!$P$10,I122)*POWER(Upgrades!$P$11,J122)*POWER(Upgrades!$P$12,K122))*(IF(Upgrades!$T$7="Solar Wind",POWER(Upgrades!$U$7,F122),1)*IF(Upgrades!$T$8="Solar Wind",POWER(Upgrades!$U$8,G122),1)*IF(Upgrades!$T$9="Solar Wind",POWER(Upgrades!$U$9,H122),1)*IF(Upgrades!$T$10="Solar Wind",POWER(Upgrades!$U$10,I122),1)*IF(Upgrades!$T$11="Solar Wind",POWER(Upgrades!$U$11,J122),1)*IF(Upgrades!$T$12="Solar Wind",POWER(Upgrades!$U$12,K122),1))/AG122,0)</f>
        <v/>
      </c>
      <c r="AT122" s="32">
        <f>IFERROR(Upgrades!$H$7*(POWER(Upgrades!$P$6,E122)*POWER(Upgrades!$P$7,F122)*POWER(Upgrades!$P$8,G122)*POWER(Upgrades!$P$9,H122)*POWER(Upgrades!$P$10,I122)*POWER(Upgrades!$P$11,J122)*POWER(Upgrades!$P$12,K122))*(IF(Upgrades!$T$6="Asteroid Belt",POWER(Upgrades!$U$6,E122),1)*IF(Upgrades!$T$8="Asteroid Belt",POWER(Upgrades!$U$8,G122),1)*IF(Upgrades!$T$9="Asteroid Belt",POWER(Upgrades!$U$9,H122),1)*IF(Upgrades!$T$10="Asteroid Belt",POWER(Upgrades!$U$10,I122),1)*IF(Upgrades!$T$11="Asteroid Belt",POWER(Upgrades!$U$11,J122),1)*IF(Upgrades!$T$12="Asteroid Belt",POWER(Upgrades!$U$12,K122),1))/AH122,0)</f>
        <v/>
      </c>
      <c r="AU122" s="32">
        <f>IFERROR(Upgrades!$K$8*(POWER(Upgrades!$Q$6,E122)*POWER(Upgrades!$Q$7,F122)*POWER(Upgrades!$Q$8,G122)*POWER(Upgrades!$Q$9,H122)*POWER(Upgrades!$Q$10,I122)*POWER(Upgrades!$Q$11,J122)*POWER(Upgrades!$Q$12,K122))*(IF(Upgrades!$T$6="Stellar Coupling",POWER(Upgrades!$U$6,E122),1)*IF(Upgrades!$T$7="Stellar Coupling",POWER(Upgrades!$U$7,F122),1)*IF(Upgrades!$T$9="Stellar Coupling",POWER(Upgrades!$U$9,H122),1)*IF(Upgrades!$T$10="Stellar Coupling",POWER(Upgrades!$U$10,I122),1)*IF(Upgrades!$T$11="Stellar Coupling",POWER(Upgrades!$U$11,J122),1)*IF(Upgrades!$T$12="Stellar Coupling",POWER(Upgrades!$U$12,K122),1))*Parameters!$B$10*Parameters!$B$11/60/AI122,0)</f>
        <v/>
      </c>
      <c r="AV122" s="32">
        <f>IFERROR(Upgrades!$H$9*(POWER(Upgrades!$P$6,E122)*POWER(Upgrades!$P$7,F122)*POWER(Upgrades!$P$8,G122)*POWER(Upgrades!$P$9,H122)*POWER(Upgrades!$P$10,I122)*POWER(Upgrades!$P$11,J122)*POWER(Upgrades!$P$12,K122))*(IF(Upgrades!$T$6="Magnetosphere",POWER(Upgrades!$U$6,E122),1)*IF(Upgrades!$T$7="Magnetosphere",POWER(Upgrades!$U$7,F122),1)*IF(Upgrades!$T$8="Magnetosphere",POWER(Upgrades!$U$8,G122),1)*IF(Upgrades!$T$10="Magnetosphere",POWER(Upgrades!$U$10,I122),1)*IF(Upgrades!$T$11="Magnetosphere",POWER(Upgrades!$U$11,J122),1)*IF(Upgrades!$T$12="Magnetosphere",POWER(Upgrades!$U$12,K122),1))/AJ122,0)</f>
        <v/>
      </c>
      <c r="AW122" s="32">
        <f>MAX(IF(I122&gt;0,0,IFERROR(0.25*N122/Upgrades!$C$10,0)),IF(J122&gt;0,0,IFERROR(0.5*((IF(G122=0,0,(Upgrades!$J$8+G122*Upgrades!$K$8)*POWER(Upgrades!$L$8,G122)))*(IF(Upgrades!$T$6="Stellar Coupling",POWER(Upgrades!$U$6,E122),1)*IF(Upgrades!$T$7="Stellar Coupling",POWER(Upgrades!$U$7,F122),1)*IF(Upgrades!$T$9="Stellar Coupling",POWER(Upgrades!$U$9,H122),1)*IF(Upgrades!$T$10="Stellar Coupling",POWER(Upgrades!$U$10,I122),1)*IF(Upgrades!$T$11="Stellar Coupling",POWER(Upgrades!$U$11,J122),1)*IF(Upgrades!$T$12="Stellar Coupling",POWER(Upgrades!$U$12,K122),1))*(POWER(Upgrades!$Q$6,E122)*POWER(Upgrades!$Q$7,F122)*POWER(Upgrades!$Q$8,G122)*POWER(Upgrades!$Q$9,H122)*POWER(Upgrades!$Q$10,I122)*POWER(Upgrades!$Q$11,J122)*POWER(Upgrades!$Q$12,K122))*Parameters!$B$10*Parameters!$B$11/60)/Upgrades!$C$11,0)),IF(K122&gt;0,0,IFERROR((1.0*(POWER(Upgrades!$P$6,E122)*POWER(Upgrades!$P$7,F122)*POWER(Upgrades!$P$8,G122)*POWER(Upgrades!$P$9,H122)*POWER(Upgrades!$P$10,I122)*POWER(Upgrades!$P$11,J122)*POWER(Upgrades!$P$12,K122))+0.20*M122*Parameters!$B$10*Parameters!$B$11/60)/Upgrades!$C$12,0)),IF(AND(ISNUMBER(AG122),AG122&gt;T122),AS122,0),IF(AND(ISNUMBER(AH122),AH122&gt;T122),AT122,0),IF(AND(ISNUMBER(AI122),AI122&gt;T122),AU122,0),IF(AND(ISNUMBER(AJ122),AJ122&gt;T122),AV122,0))</f>
        <v/>
      </c>
      <c r="AX122" s="29">
        <f>IF(AN122=1,"transition",IF(MIN(IF(AND(I122=0,ISNUMBER(AK122),AK122&lt;=T122),AK122,9E15),IF(AND(J122=0,ISNUMBER(AL122),AL122&lt;=T122),AL122,9E15),IF(AND(K122=0,ISNUMBER(AM122),AM122&lt;=T122),AM122,9E15))&lt;9E15,IF(AND(AND(I122=0,ISNUMBER(AK122),AK122&lt;=T122),AK122=MIN(IF(AND(I122=0,ISNUMBER(AK122),AK122&lt;=T122),AK122,9E15),IF(AND(J122=0,ISNUMBER(AL122),AL122&lt;=T122),AL122,9E15),IF(AND(K122=0,ISNUMBER(AM122),AM122&lt;=T122),AM122,9E15))),"OR",IF(AND(AND(J122=0,ISNUMBER(AL122),AL122&lt;=T122),AL122=MIN(IF(AND(I122=0,ISNUMBER(AK122),AK122&lt;=T122),AK122,9E15),IF(AND(J122=0,ISNUMBER(AL122),AL122&lt;=T122),AL122,9E15),IF(AND(K122=0,ISNUMBER(AM122),AM122&lt;=T122),AM122,9E15))),"HP","FP")),IF(AR122=TRUE,"",IF(MAX(IF(AND(NOT(AND(AO122=1,AN122&lt;&gt;1)),ISNUMBER(AG122),AG122&lt;=T122),AS122,0),IF(AND(NOT(AND(AO122=1,AN122&lt;&gt;1)),ISNUMBER(AH122),AH122&lt;=T122),AT122,0),IF(AND(NOT(AND(AO122=1,AN122&lt;&gt;1)),ISNUMBER(AI122),AI122&lt;=T122),AU122,0),IF(AND(ISNUMBER(AJ122),AJ122&lt;=T122),AV122,0))&lt;=0,"",IF(AND(IF(AND(NOT(AND(AO122=1,AN122&lt;&gt;1)),ISNUMBER(AG122),AG122&lt;=T122),AS122,0)&gt;0,IF(AND(NOT(AND(AO122=1,AN122&lt;&gt;1)),ISNUMBER(AG122),AG122&lt;=T122),AS122,0)=MAX(IF(AND(NOT(AND(AO122=1,AN122&lt;&gt;1)),ISNUMBER(AG122),AG122&lt;=T122),AS122,0),IF(AND(NOT(AND(AO122=1,AN122&lt;&gt;1)),ISNUMBER(AH122),AH122&lt;=T122),AT122,0),IF(AND(NOT(AND(AO122=1,AN122&lt;&gt;1)),ISNUMBER(AI122),AI122&lt;=T122),AU122,0),IF(AND(ISNUMBER(AJ122),AJ122&lt;=T122),AV122,0))),"SW",IF(AND(IF(AND(NOT(AND(AO122=1,AN122&lt;&gt;1)),ISNUMBER(AH122),AH122&lt;=T122),AT122,0)&gt;0,IF(AND(NOT(AND(AO122=1,AN122&lt;&gt;1)),ISNUMBER(AH122),AH122&lt;=T122),AT122,0)=MAX(IF(AND(NOT(AND(AO122=1,AN122&lt;&gt;1)),ISNUMBER(AG122),AG122&lt;=T122),AS122,0),IF(AND(NOT(AND(AO122=1,AN122&lt;&gt;1)),ISNUMBER(AH122),AH122&lt;=T122),AT122,0),IF(AND(NOT(AND(AO122=1,AN122&lt;&gt;1)),ISNUMBER(AI122),AI122&lt;=T122),AU122,0),IF(AND(ISNUMBER(AJ122),AJ122&lt;=T122),AV122,0))),"AB",IF(AND(IF(AND(NOT(AND(AO122=1,AN122&lt;&gt;1)),ISNUMBER(AI122),AI122&lt;=T122),AU122,0)&gt;0,IF(AND(NOT(AND(AO122=1,AN122&lt;&gt;1)),ISNUMBER(AI122),AI122&lt;=T122),AU122,0)=MAX(IF(AND(NOT(AND(AO122=1,AN122&lt;&gt;1)),ISNUMBER(AG122),AG122&lt;=T122),AS122,0),IF(AND(NOT(AND(AO122=1,AN122&lt;&gt;1)),ISNUMBER(AH122),AH122&lt;=T122),AT122,0),IF(AND(NOT(AND(AO122=1,AN122&lt;&gt;1)),ISNUMBER(AI122),AI122&lt;=T122),AU122,0),IF(AND(ISNUMBER(AJ122),AJ122&lt;=T122),AV122,0))),"SC","Mag")))))))</f>
        <v/>
      </c>
    </row>
    <row r="123">
      <c r="A123" s="26" t="n">
        <v>118</v>
      </c>
      <c r="B123" s="27">
        <f>A123*10/60</f>
        <v/>
      </c>
      <c r="C123" s="22">
        <f>X122</f>
        <v/>
      </c>
      <c r="D123" s="27">
        <f>D122+W122</f>
        <v/>
      </c>
      <c r="E123" s="26">
        <f>E122+IF(U122="SW",1,0)</f>
        <v/>
      </c>
      <c r="F123" s="26">
        <f>F122+IF(U122="AB",1,0)</f>
        <v/>
      </c>
      <c r="G123" s="26">
        <f>G122+IF(U122="SC",1,0)</f>
        <v/>
      </c>
      <c r="H123" s="26">
        <f>H122+IF(U122="Mag",1,0)</f>
        <v/>
      </c>
      <c r="I123" s="26">
        <f>MAX(I122,IF(U122="OR",1,0))</f>
        <v/>
      </c>
      <c r="J123" s="26">
        <f>MAX(J122,IF(U122="HP",1,0))</f>
        <v/>
      </c>
      <c r="K123" s="26">
        <f>MAX(K122,IF(U122="FP",1,0))</f>
        <v/>
      </c>
      <c r="L123" s="26">
        <f>MAX(L122,IF(U122="transition",1,0))</f>
        <v/>
      </c>
      <c r="M123" s="28">
        <f>(Parameters!$B$9+(IF(E123=0,0,(Upgrades!$J$6+E123*Upgrades!$K$6)*POWER(Upgrades!$L$6,E123)))*(IF(Upgrades!$T$7="Solar Wind",POWER(Upgrades!$U$7,F123),1)*IF(Upgrades!$T$8="Solar Wind",POWER(Upgrades!$U$8,G123),1)*IF(Upgrades!$T$9="Solar Wind",POWER(Upgrades!$U$9,H123),1)*IF(Upgrades!$T$10="Solar Wind",POWER(Upgrades!$U$10,I123),1)*IF(Upgrades!$T$11="Solar Wind",POWER(Upgrades!$U$11,J123),1)*IF(Upgrades!$T$12="Solar Wind",POWER(Upgrades!$U$12,K123),1))+(IF(F123=0,0,(Upgrades!$J$7+F123*Upgrades!$K$7)*POWER(Upgrades!$L$7,F123)))*(IF(Upgrades!$T$6="Asteroid Belt",POWER(Upgrades!$U$6,E123),1)*IF(Upgrades!$T$8="Asteroid Belt",POWER(Upgrades!$U$8,G123),1)*IF(Upgrades!$T$9="Asteroid Belt",POWER(Upgrades!$U$9,H123),1)*IF(Upgrades!$T$10="Asteroid Belt",POWER(Upgrades!$U$10,I123),1)*IF(Upgrades!$T$11="Asteroid Belt",POWER(Upgrades!$U$11,J123),1)*IF(Upgrades!$T$12="Asteroid Belt",POWER(Upgrades!$U$12,K123),1))+(IF(G123=0,0,(Upgrades!$J$8+G123*Upgrades!$K$8)*POWER(Upgrades!$L$8,G123)))*(IF(Upgrades!$T$6="Stellar Coupling",POWER(Upgrades!$U$6,E123),1)*IF(Upgrades!$T$7="Stellar Coupling",POWER(Upgrades!$U$7,F123),1)*IF(Upgrades!$T$9="Stellar Coupling",POWER(Upgrades!$U$9,H123),1)*IF(Upgrades!$T$10="Stellar Coupling",POWER(Upgrades!$U$10,I123),1)*IF(Upgrades!$T$11="Stellar Coupling",POWER(Upgrades!$U$11,J123),1)*IF(Upgrades!$T$12="Stellar Coupling",POWER(Upgrades!$U$12,K123),1))+(IF(H123=0,0,(Upgrades!$J$9+H123*Upgrades!$K$9)*POWER(Upgrades!$L$9,H123)))*(IF(Upgrades!$T$6="Magnetosphere",POWER(Upgrades!$U$6,E123),1)*IF(Upgrades!$T$7="Magnetosphere",POWER(Upgrades!$U$7,F123),1)*IF(Upgrades!$T$8="Magnetosphere",POWER(Upgrades!$U$8,G123),1)*IF(Upgrades!$T$10="Magnetosphere",POWER(Upgrades!$U$10,I123),1)*IF(Upgrades!$T$11="Magnetosphere",POWER(Upgrades!$U$11,J123),1)*IF(Upgrades!$T$12="Magnetosphere",POWER(Upgrades!$U$12,K123),1))+(IF(I123=0,0,(Upgrades!$J$10+I123*Upgrades!$K$10)*POWER(Upgrades!$L$10,I123)))*(IF(Upgrades!$T$6="Orbital Resonance",POWER(Upgrades!$U$6,E123),1)*IF(Upgrades!$T$7="Orbital Resonance",POWER(Upgrades!$U$7,F123),1)*IF(Upgrades!$T$8="Orbital Resonance",POWER(Upgrades!$U$8,G123),1)*IF(Upgrades!$T$9="Orbital Resonance",POWER(Upgrades!$U$9,H123),1)*IF(Upgrades!$T$11="Orbital Resonance",POWER(Upgrades!$U$11,J123),1)*IF(Upgrades!$T$12="Orbital Resonance",POWER(Upgrades!$U$12,K123),1))+(IF(J123=0,0,(Upgrades!$J$11+J123*Upgrades!$K$11)*POWER(Upgrades!$L$11,J123)))*(IF(Upgrades!$T$6="Heliopause",POWER(Upgrades!$U$6,E123),1)*IF(Upgrades!$T$7="Heliopause",POWER(Upgrades!$U$7,F123),1)*IF(Upgrades!$T$8="Heliopause",POWER(Upgrades!$U$8,G123),1)*IF(Upgrades!$T$9="Heliopause",POWER(Upgrades!$U$9,H123),1)*IF(Upgrades!$T$10="Heliopause",POWER(Upgrades!$U$10,I123),1)*IF(Upgrades!$T$12="Heliopause",POWER(Upgrades!$U$12,K123),1))+(IF(K123=0,0,(Upgrades!$J$12+K123*Upgrades!$K$12)*POWER(Upgrades!$L$12,K123)))*(IF(Upgrades!$T$6="First Photons",POWER(Upgrades!$U$6,E123),1)*IF(Upgrades!$T$7="First Photons",POWER(Upgrades!$U$7,F123),1)*IF(Upgrades!$T$8="First Photons",POWER(Upgrades!$U$8,G123),1)*IF(Upgrades!$T$9="First Photons",POWER(Upgrades!$U$9,H123),1)*IF(Upgrades!$T$10="First Photons",POWER(Upgrades!$U$10,I123),1)*IF(Upgrades!$T$11="First Photons",POWER(Upgrades!$U$11,J123),1)))*POWER(Upgrades!$Q$6,E123)*POWER(Upgrades!$Q$7,F123)*POWER(Upgrades!$Q$8,G123)*POWER(Upgrades!$Q$9,H123)*POWER(Upgrades!$Q$10,I123)*POWER(Upgrades!$Q$11,J123)*POWER(Upgrades!$Q$12,K123)</f>
        <v/>
      </c>
      <c r="N123" s="28">
        <f>((IF(E123=0,0,(Upgrades!$G$6+E123*Upgrades!$H$6)*POWER(Upgrades!$I$6,E123)))*(IF(Upgrades!$T$7="Solar Wind",POWER(Upgrades!$U$7,F123),1)*IF(Upgrades!$T$8="Solar Wind",POWER(Upgrades!$U$8,G123),1)*IF(Upgrades!$T$9="Solar Wind",POWER(Upgrades!$U$9,H123),1)*IF(Upgrades!$T$10="Solar Wind",POWER(Upgrades!$U$10,I123),1)*IF(Upgrades!$T$11="Solar Wind",POWER(Upgrades!$U$11,J123),1)*IF(Upgrades!$T$12="Solar Wind",POWER(Upgrades!$U$12,K123),1))+(IF(F123=0,0,(Upgrades!$G$7+F123*Upgrades!$H$7)*POWER(Upgrades!$I$7,F123)))*(IF(Upgrades!$T$6="Asteroid Belt",POWER(Upgrades!$U$6,E123),1)*IF(Upgrades!$T$8="Asteroid Belt",POWER(Upgrades!$U$8,G123),1)*IF(Upgrades!$T$9="Asteroid Belt",POWER(Upgrades!$U$9,H123),1)*IF(Upgrades!$T$10="Asteroid Belt",POWER(Upgrades!$U$10,I123),1)*IF(Upgrades!$T$11="Asteroid Belt",POWER(Upgrades!$U$11,J123),1)*IF(Upgrades!$T$12="Asteroid Belt",POWER(Upgrades!$U$12,K123),1))+(IF(G123=0,0,(Upgrades!$G$8+G123*Upgrades!$H$8)*POWER(Upgrades!$I$8,G123)))*(IF(Upgrades!$T$6="Stellar Coupling",POWER(Upgrades!$U$6,E123),1)*IF(Upgrades!$T$7="Stellar Coupling",POWER(Upgrades!$U$7,F123),1)*IF(Upgrades!$T$9="Stellar Coupling",POWER(Upgrades!$U$9,H123),1)*IF(Upgrades!$T$10="Stellar Coupling",POWER(Upgrades!$U$10,I123),1)*IF(Upgrades!$T$11="Stellar Coupling",POWER(Upgrades!$U$11,J123),1)*IF(Upgrades!$T$12="Stellar Coupling",POWER(Upgrades!$U$12,K123),1))+(IF(H123=0,0,(Upgrades!$G$9+H123*Upgrades!$H$9)*POWER(Upgrades!$I$9,H123)))*(IF(Upgrades!$T$6="Magnetosphere",POWER(Upgrades!$U$6,E123),1)*IF(Upgrades!$T$7="Magnetosphere",POWER(Upgrades!$U$7,F123),1)*IF(Upgrades!$T$8="Magnetosphere",POWER(Upgrades!$U$8,G123),1)*IF(Upgrades!$T$10="Magnetosphere",POWER(Upgrades!$U$10,I123),1)*IF(Upgrades!$T$11="Magnetosphere",POWER(Upgrades!$U$11,J123),1)*IF(Upgrades!$T$12="Magnetosphere",POWER(Upgrades!$U$12,K123),1))+(IF(I123=0,0,(Upgrades!$G$10+I123*Upgrades!$H$10)*POWER(Upgrades!$I$10,I123)))*(IF(Upgrades!$T$6="Orbital Resonance",POWER(Upgrades!$U$6,E123),1)*IF(Upgrades!$T$7="Orbital Resonance",POWER(Upgrades!$U$7,F123),1)*IF(Upgrades!$T$8="Orbital Resonance",POWER(Upgrades!$U$8,G123),1)*IF(Upgrades!$T$9="Orbital Resonance",POWER(Upgrades!$U$9,H123),1)*IF(Upgrades!$T$11="Orbital Resonance",POWER(Upgrades!$U$11,J123),1)*IF(Upgrades!$T$12="Orbital Resonance",POWER(Upgrades!$U$12,K123),1))+(IF(J123=0,0,(Upgrades!$G$11+J123*Upgrades!$H$11)*POWER(Upgrades!$I$11,J123)))*(IF(Upgrades!$T$6="Heliopause",POWER(Upgrades!$U$6,E123),1)*IF(Upgrades!$T$7="Heliopause",POWER(Upgrades!$U$7,F123),1)*IF(Upgrades!$T$8="Heliopause",POWER(Upgrades!$U$8,G123),1)*IF(Upgrades!$T$9="Heliopause",POWER(Upgrades!$U$9,H123),1)*IF(Upgrades!$T$10="Heliopause",POWER(Upgrades!$U$10,I123),1)*IF(Upgrades!$T$12="Heliopause",POWER(Upgrades!$U$12,K123),1))+(IF(K123=0,0,(Upgrades!$G$12+K123*Upgrades!$H$12)*POWER(Upgrades!$I$12,K123)))*(IF(Upgrades!$T$6="First Photons",POWER(Upgrades!$U$6,E123),1)*IF(Upgrades!$T$7="First Photons",POWER(Upgrades!$U$7,F123),1)*IF(Upgrades!$T$8="First Photons",POWER(Upgrades!$U$8,G123),1)*IF(Upgrades!$T$9="First Photons",POWER(Upgrades!$U$9,H123),1)*IF(Upgrades!$T$10="First Photons",POWER(Upgrades!$U$10,I123),1)*IF(Upgrades!$T$11="First Photons",POWER(Upgrades!$U$11,J123),1)))*POWER(Upgrades!$P$6,E123)*POWER(Upgrades!$P$7,F123)*POWER(Upgrades!$P$8,G123)*POWER(Upgrades!$P$9,H123)*POWER(Upgrades!$P$10,I123)*POWER(Upgrades!$P$11,J123)*POWER(Upgrades!$P$12,K123)</f>
        <v/>
      </c>
      <c r="O123" s="28">
        <f>((IF(E123=0,0,(Upgrades!$M$6+E123*Upgrades!$N$6)*POWER(Upgrades!$O$6,E123)))*(IF(Upgrades!$T$7="Solar Wind",POWER(Upgrades!$U$7,F123),1)*IF(Upgrades!$T$8="Solar Wind",POWER(Upgrades!$U$8,G123),1)*IF(Upgrades!$T$9="Solar Wind",POWER(Upgrades!$U$9,H123),1)*IF(Upgrades!$T$10="Solar Wind",POWER(Upgrades!$U$10,I123),1)*IF(Upgrades!$T$11="Solar Wind",POWER(Upgrades!$U$11,J123),1)*IF(Upgrades!$T$12="Solar Wind",POWER(Upgrades!$U$12,K123),1))+(IF(F123=0,0,(Upgrades!$M$7+F123*Upgrades!$N$7)*POWER(Upgrades!$O$7,F123)))*(IF(Upgrades!$T$6="Asteroid Belt",POWER(Upgrades!$U$6,E123),1)*IF(Upgrades!$T$8="Asteroid Belt",POWER(Upgrades!$U$8,G123),1)*IF(Upgrades!$T$9="Asteroid Belt",POWER(Upgrades!$U$9,H123),1)*IF(Upgrades!$T$10="Asteroid Belt",POWER(Upgrades!$U$10,I123),1)*IF(Upgrades!$T$11="Asteroid Belt",POWER(Upgrades!$U$11,J123),1)*IF(Upgrades!$T$12="Asteroid Belt",POWER(Upgrades!$U$12,K123),1))+(IF(G123=0,0,(Upgrades!$M$8+G123*Upgrades!$N$8)*POWER(Upgrades!$O$8,G123)))*(IF(Upgrades!$T$6="Stellar Coupling",POWER(Upgrades!$U$6,E123),1)*IF(Upgrades!$T$7="Stellar Coupling",POWER(Upgrades!$U$7,F123),1)*IF(Upgrades!$T$9="Stellar Coupling",POWER(Upgrades!$U$9,H123),1)*IF(Upgrades!$T$10="Stellar Coupling",POWER(Upgrades!$U$10,I123),1)*IF(Upgrades!$T$11="Stellar Coupling",POWER(Upgrades!$U$11,J123),1)*IF(Upgrades!$T$12="Stellar Coupling",POWER(Upgrades!$U$12,K123),1))+(IF(H123=0,0,(Upgrades!$M$9+H123*Upgrades!$N$9)*POWER(Upgrades!$O$9,H123)))*(IF(Upgrades!$T$6="Magnetosphere",POWER(Upgrades!$U$6,E123),1)*IF(Upgrades!$T$7="Magnetosphere",POWER(Upgrades!$U$7,F123),1)*IF(Upgrades!$T$8="Magnetosphere",POWER(Upgrades!$U$8,G123),1)*IF(Upgrades!$T$10="Magnetosphere",POWER(Upgrades!$U$10,I123),1)*IF(Upgrades!$T$11="Magnetosphere",POWER(Upgrades!$U$11,J123),1)*IF(Upgrades!$T$12="Magnetosphere",POWER(Upgrades!$U$12,K123),1))+(IF(I123=0,0,(Upgrades!$M$10+I123*Upgrades!$N$10)*POWER(Upgrades!$O$10,I123)))*(IF(Upgrades!$T$6="Orbital Resonance",POWER(Upgrades!$U$6,E123),1)*IF(Upgrades!$T$7="Orbital Resonance",POWER(Upgrades!$U$7,F123),1)*IF(Upgrades!$T$8="Orbital Resonance",POWER(Upgrades!$U$8,G123),1)*IF(Upgrades!$T$9="Orbital Resonance",POWER(Upgrades!$U$9,H123),1)*IF(Upgrades!$T$11="Orbital Resonance",POWER(Upgrades!$U$11,J123),1)*IF(Upgrades!$T$12="Orbital Resonance",POWER(Upgrades!$U$12,K123),1))+(IF(J123=0,0,(Upgrades!$M$11+J123*Upgrades!$N$11)*POWER(Upgrades!$O$11,J123)))*(IF(Upgrades!$T$6="Heliopause",POWER(Upgrades!$U$6,E123),1)*IF(Upgrades!$T$7="Heliopause",POWER(Upgrades!$U$7,F123),1)*IF(Upgrades!$T$8="Heliopause",POWER(Upgrades!$U$8,G123),1)*IF(Upgrades!$T$9="Heliopause",POWER(Upgrades!$U$9,H123),1)*IF(Upgrades!$T$10="Heliopause",POWER(Upgrades!$U$10,I123),1)*IF(Upgrades!$T$12="Heliopause",POWER(Upgrades!$U$12,K123),1))+(IF(K123=0,0,(Upgrades!$M$12+K123*Upgrades!$N$12)*POWER(Upgrades!$O$12,K123)))*(IF(Upgrades!$T$6="First Photons",POWER(Upgrades!$U$6,E123),1)*IF(Upgrades!$T$7="First Photons",POWER(Upgrades!$U$7,F123),1)*IF(Upgrades!$T$8="First Photons",POWER(Upgrades!$U$8,G123),1)*IF(Upgrades!$T$9="First Photons",POWER(Upgrades!$U$9,H123),1)*IF(Upgrades!$T$10="First Photons",POWER(Upgrades!$U$10,I123),1)*IF(Upgrades!$T$11="First Photons",POWER(Upgrades!$U$11,J123),1)))*POWER(Upgrades!$R$6,E123)*POWER(Upgrades!$R$7,F123)*POWER(Upgrades!$R$8,G123)*POWER(Upgrades!$R$9,H123)*POWER(Upgrades!$R$10,I123)*POWER(Upgrades!$R$11,J123)*POWER(Upgrades!$R$12,K123)</f>
        <v/>
      </c>
      <c r="P123" s="27">
        <f>IF(L123=1,0,M123*Parameters!$B$10/60*Parameters!$B$11*10)</f>
        <v/>
      </c>
      <c r="Q123" s="27">
        <f>IF(L123=1,0,O123*M123*10)</f>
        <v/>
      </c>
      <c r="R123" s="27">
        <f>IF(L123=1,0,N123*10)</f>
        <v/>
      </c>
      <c r="S123" s="27">
        <f>P123+Q123+R123</f>
        <v/>
      </c>
      <c r="T123" s="22">
        <f>C123+S123</f>
        <v/>
      </c>
      <c r="U123" s="33">
        <f>AX123</f>
        <v/>
      </c>
      <c r="V123" s="22">
        <f>IF(U123="",0,IF(U123="transition",0,IF(U123="SW",AG123,IF(U123="AB",AH123,IF(U123="SC",AI123,IF(U123="Mag",AJ123,IF(U123="OR",AK123,IF(U123="HP",AL123,IF(U123="FP",AM123,0)))))))))</f>
        <v/>
      </c>
      <c r="W123" s="27">
        <f>IF(U123="OR",Upgrades!$F$10,IF(U123="HP",Upgrades!$F$11,IF(U123="transition",-Parameters!$B$18,0)))</f>
        <v/>
      </c>
      <c r="X123" s="22">
        <f>T123-V123</f>
        <v/>
      </c>
      <c r="Y123" s="30">
        <f>M123*Parameters!$B$10/60*Parameters!$B$11+O123*M123+N123</f>
        <v/>
      </c>
      <c r="Z123" s="34">
        <f>IF(U123="transition","→ Tier 2 (Stellar Neighborhood)",IF(U123="FP","First Photons — light begins, system quickens",IF(U123="HP","Heliopause acquired",IF(U123="OR","Orbital Resonance — passive multiplier active",IF(AND(AO123=1,L123=0,AN123&lt;&gt;1),"Cohesion ready (waiting on completionist upgrades)","")))))</f>
        <v/>
      </c>
      <c r="AA123" s="27">
        <f>(IF(E123=0,0,(Upgrades!$G$6+E123*Upgrades!$H$6)*POWER(Upgrades!$I$6,E123)))*(IF(Upgrades!$T$7="Solar Wind",POWER(Upgrades!$U$7,F123),1)*IF(Upgrades!$T$8="Solar Wind",POWER(Upgrades!$U$8,G123),1)*IF(Upgrades!$T$9="Solar Wind",POWER(Upgrades!$U$9,H123),1)*IF(Upgrades!$T$10="Solar Wind",POWER(Upgrades!$U$10,I123),1)*IF(Upgrades!$T$11="Solar Wind",POWER(Upgrades!$U$11,J123),1)*IF(Upgrades!$T$12="Solar Wind",POWER(Upgrades!$U$12,K123),1))*POWER(Upgrades!$P$6,E123)*POWER(Upgrades!$P$7,F123)*POWER(Upgrades!$P$8,G123)*POWER(Upgrades!$P$9,H123)*POWER(Upgrades!$P$10,I123)*POWER(Upgrades!$P$11,J123)*POWER(Upgrades!$P$12,K123)*60</f>
        <v/>
      </c>
      <c r="AB123" s="27">
        <f>(IF(F123=0,0,(Upgrades!$G$7+F123*Upgrades!$H$7)*POWER(Upgrades!$I$7,F123)))*(IF(Upgrades!$T$6="Asteroid Belt",POWER(Upgrades!$U$6,E123),1)*IF(Upgrades!$T$8="Asteroid Belt",POWER(Upgrades!$U$8,G123),1)*IF(Upgrades!$T$9="Asteroid Belt",POWER(Upgrades!$U$9,H123),1)*IF(Upgrades!$T$10="Asteroid Belt",POWER(Upgrades!$U$10,I123),1)*IF(Upgrades!$T$11="Asteroid Belt",POWER(Upgrades!$U$11,J123),1)*IF(Upgrades!$T$12="Asteroid Belt",POWER(Upgrades!$U$12,K123),1))*POWER(Upgrades!$P$6,E123)*POWER(Upgrades!$P$7,F123)*POWER(Upgrades!$P$8,G123)*POWER(Upgrades!$P$9,H123)*POWER(Upgrades!$P$10,I123)*POWER(Upgrades!$P$11,J123)*POWER(Upgrades!$P$12,K123)*60</f>
        <v/>
      </c>
      <c r="AC123" s="27">
        <f>(IF(G123=0,0,(Upgrades!$J$8+G123*Upgrades!$K$8)*POWER(Upgrades!$L$8,G123)))*(IF(Upgrades!$T$6="Stellar Coupling",POWER(Upgrades!$U$6,E123),1)*IF(Upgrades!$T$7="Stellar Coupling",POWER(Upgrades!$U$7,F123),1)*IF(Upgrades!$T$9="Stellar Coupling",POWER(Upgrades!$U$9,H123),1)*IF(Upgrades!$T$10="Stellar Coupling",POWER(Upgrades!$U$10,I123),1)*IF(Upgrades!$T$11="Stellar Coupling",POWER(Upgrades!$U$11,J123),1)*IF(Upgrades!$T$12="Stellar Coupling",POWER(Upgrades!$U$12,K123),1))*POWER(Upgrades!$Q$6,E123)*POWER(Upgrades!$Q$7,F123)*POWER(Upgrades!$Q$8,G123)*POWER(Upgrades!$Q$9,H123)*POWER(Upgrades!$Q$10,I123)*POWER(Upgrades!$Q$11,J123)*POWER(Upgrades!$Q$12,K123)*Parameters!$B$10*Parameters!$B$11</f>
        <v/>
      </c>
      <c r="AD123" s="27">
        <f>(IF(H123=0,0,(Upgrades!$G$9+H123*Upgrades!$H$9)*POWER(Upgrades!$I$9,H123)))*(IF(Upgrades!$T$6="Magnetosphere",POWER(Upgrades!$U$6,E123),1)*IF(Upgrades!$T$7="Magnetosphere",POWER(Upgrades!$U$7,F123),1)*IF(Upgrades!$T$8="Magnetosphere",POWER(Upgrades!$U$8,G123),1)*IF(Upgrades!$T$10="Magnetosphere",POWER(Upgrades!$U$10,I123),1)*IF(Upgrades!$T$11="Magnetosphere",POWER(Upgrades!$U$11,J123),1)*IF(Upgrades!$T$12="Magnetosphere",POWER(Upgrades!$U$12,K123),1))*POWER(Upgrades!$P$6,E123)*POWER(Upgrades!$P$7,F123)*POWER(Upgrades!$P$8,G123)*POWER(Upgrades!$P$9,H123)*POWER(Upgrades!$P$10,I123)*POWER(Upgrades!$P$11,J123)*POWER(Upgrades!$P$12,K123)*60</f>
        <v/>
      </c>
      <c r="AE123" s="27">
        <f>(IF(K123=0,0,(Upgrades!$G$12+K123*Upgrades!$H$12)*POWER(Upgrades!$I$12,K123)))*(IF(Upgrades!$T$6="First Photons",POWER(Upgrades!$U$6,E123),1)*IF(Upgrades!$T$7="First Photons",POWER(Upgrades!$U$7,F123),1)*IF(Upgrades!$T$8="First Photons",POWER(Upgrades!$U$8,G123),1)*IF(Upgrades!$T$9="First Photons",POWER(Upgrades!$U$9,H123),1)*IF(Upgrades!$T$10="First Photons",POWER(Upgrades!$U$10,I123),1)*IF(Upgrades!$T$11="First Photons",POWER(Upgrades!$U$11,J123),1))*POWER(Upgrades!$P$6,E123)*POWER(Upgrades!$P$7,F123)*POWER(Upgrades!$P$8,G123)*POWER(Upgrades!$P$9,H123)*POWER(Upgrades!$P$10,I123)*POWER(Upgrades!$P$11,J123)*POWER(Upgrades!$P$12,K123)*60</f>
        <v/>
      </c>
      <c r="AF123" s="27">
        <f>Parameters!$B$9*POWER(Upgrades!$Q$6,E123)*POWER(Upgrades!$Q$7,F123)*POWER(Upgrades!$Q$8,G123)*POWER(Upgrades!$Q$9,H123)*POWER(Upgrades!$Q$10,I123)*POWER(Upgrades!$Q$11,J123)*POWER(Upgrades!$Q$12,K123)*(Parameters!$B$10*Parameters!$B$11+O123*60)</f>
        <v/>
      </c>
      <c r="AG123" s="22">
        <f>IF(E123&gt;=Upgrades!$E$6,"",Upgrades!$C$6*POWER(Upgrades!$D$6,E123))</f>
        <v/>
      </c>
      <c r="AH123" s="22">
        <f>IF(F123&gt;=Upgrades!$E$7,"",Upgrades!$C$7*POWER(Upgrades!$D$7,F123))</f>
        <v/>
      </c>
      <c r="AI123" s="22">
        <f>IF(G123&gt;=Upgrades!$E$8,"",Upgrades!$C$8*POWER(Upgrades!$D$8,G123))</f>
        <v/>
      </c>
      <c r="AJ123" s="22">
        <f>IF(H123&gt;=Upgrades!$E$9,"",Upgrades!$C$9*POWER(Upgrades!$D$9,H123))</f>
        <v/>
      </c>
      <c r="AK123" s="22">
        <f>IF(I123&gt;=Upgrades!$E$10,"",Upgrades!$C$10*POWER(Upgrades!$D$10,I123))</f>
        <v/>
      </c>
      <c r="AL123" s="22">
        <f>IF(J123&gt;=Upgrades!$E$11,"",Upgrades!$C$11*POWER(Upgrades!$D$11,J123))</f>
        <v/>
      </c>
      <c r="AM123" s="22">
        <f>IF(K123&gt;=Upgrades!$E$12,"",Upgrades!$C$12*POWER(Upgrades!$D$12,K123))</f>
        <v/>
      </c>
      <c r="AN123" s="26">
        <f>IF(AND(D123&gt;=Parameters!$B$18,(H123&gt;=Upgrades!$E$9)*(K123&gt;=Upgrades!$E$12)=1,L123=0),1,"")</f>
        <v/>
      </c>
      <c r="AO123" s="26">
        <f>IF(AND(D123&gt;=Parameters!$B$18,L123=0),1,"")</f>
        <v/>
      </c>
      <c r="AP123" s="22">
        <f>MIN(IF(ISNUMBER(AK123),AK123,9E15),IF(ISNUMBER(AL123),AL123,9E15),IF(ISNUMBER(AM123),AM123,9E15))</f>
        <v/>
      </c>
      <c r="AQ123" s="22">
        <f>MIN(IF(ISNUMBER(AG123),AG123,9E15),IF(ISNUMBER(AH123),AH123,9E15),IF(ISNUMBER(AI123),AI123,9E15),IF(ISNUMBER(AJ123),AJ123,9E15))</f>
        <v/>
      </c>
      <c r="AR123" s="29">
        <f>IF(AW123&gt;Parameters!$B$21*(MAX(IF(AND(NOT(AND(AO123=1,AN123&lt;&gt;1)),ISNUMBER(AG123),AG123&lt;=T123),AS123,0),IF(AND(NOT(AND(AO123=1,AN123&lt;&gt;1)),ISNUMBER(AH123),AH123&lt;=T123),AT123,0),IF(AND(NOT(AND(AO123=1,AN123&lt;&gt;1)),ISNUMBER(AI123),AI123&lt;=T123),AU123,0),IF(AND(ISNUMBER(AJ123),AJ123&lt;=T123),AV123,0))),TRUE,FALSE)</f>
        <v/>
      </c>
      <c r="AS123" s="32">
        <f>IFERROR(Upgrades!$H$6*(POWER(Upgrades!$P$6,E123)*POWER(Upgrades!$P$7,F123)*POWER(Upgrades!$P$8,G123)*POWER(Upgrades!$P$9,H123)*POWER(Upgrades!$P$10,I123)*POWER(Upgrades!$P$11,J123)*POWER(Upgrades!$P$12,K123))*(IF(Upgrades!$T$7="Solar Wind",POWER(Upgrades!$U$7,F123),1)*IF(Upgrades!$T$8="Solar Wind",POWER(Upgrades!$U$8,G123),1)*IF(Upgrades!$T$9="Solar Wind",POWER(Upgrades!$U$9,H123),1)*IF(Upgrades!$T$10="Solar Wind",POWER(Upgrades!$U$10,I123),1)*IF(Upgrades!$T$11="Solar Wind",POWER(Upgrades!$U$11,J123),1)*IF(Upgrades!$T$12="Solar Wind",POWER(Upgrades!$U$12,K123),1))/AG123,0)</f>
        <v/>
      </c>
      <c r="AT123" s="32">
        <f>IFERROR(Upgrades!$H$7*(POWER(Upgrades!$P$6,E123)*POWER(Upgrades!$P$7,F123)*POWER(Upgrades!$P$8,G123)*POWER(Upgrades!$P$9,H123)*POWER(Upgrades!$P$10,I123)*POWER(Upgrades!$P$11,J123)*POWER(Upgrades!$P$12,K123))*(IF(Upgrades!$T$6="Asteroid Belt",POWER(Upgrades!$U$6,E123),1)*IF(Upgrades!$T$8="Asteroid Belt",POWER(Upgrades!$U$8,G123),1)*IF(Upgrades!$T$9="Asteroid Belt",POWER(Upgrades!$U$9,H123),1)*IF(Upgrades!$T$10="Asteroid Belt",POWER(Upgrades!$U$10,I123),1)*IF(Upgrades!$T$11="Asteroid Belt",POWER(Upgrades!$U$11,J123),1)*IF(Upgrades!$T$12="Asteroid Belt",POWER(Upgrades!$U$12,K123),1))/AH123,0)</f>
        <v/>
      </c>
      <c r="AU123" s="32">
        <f>IFERROR(Upgrades!$K$8*(POWER(Upgrades!$Q$6,E123)*POWER(Upgrades!$Q$7,F123)*POWER(Upgrades!$Q$8,G123)*POWER(Upgrades!$Q$9,H123)*POWER(Upgrades!$Q$10,I123)*POWER(Upgrades!$Q$11,J123)*POWER(Upgrades!$Q$12,K123))*(IF(Upgrades!$T$6="Stellar Coupling",POWER(Upgrades!$U$6,E123),1)*IF(Upgrades!$T$7="Stellar Coupling",POWER(Upgrades!$U$7,F123),1)*IF(Upgrades!$T$9="Stellar Coupling",POWER(Upgrades!$U$9,H123),1)*IF(Upgrades!$T$10="Stellar Coupling",POWER(Upgrades!$U$10,I123),1)*IF(Upgrades!$T$11="Stellar Coupling",POWER(Upgrades!$U$11,J123),1)*IF(Upgrades!$T$12="Stellar Coupling",POWER(Upgrades!$U$12,K123),1))*Parameters!$B$10*Parameters!$B$11/60/AI123,0)</f>
        <v/>
      </c>
      <c r="AV123" s="32">
        <f>IFERROR(Upgrades!$H$9*(POWER(Upgrades!$P$6,E123)*POWER(Upgrades!$P$7,F123)*POWER(Upgrades!$P$8,G123)*POWER(Upgrades!$P$9,H123)*POWER(Upgrades!$P$10,I123)*POWER(Upgrades!$P$11,J123)*POWER(Upgrades!$P$12,K123))*(IF(Upgrades!$T$6="Magnetosphere",POWER(Upgrades!$U$6,E123),1)*IF(Upgrades!$T$7="Magnetosphere",POWER(Upgrades!$U$7,F123),1)*IF(Upgrades!$T$8="Magnetosphere",POWER(Upgrades!$U$8,G123),1)*IF(Upgrades!$T$10="Magnetosphere",POWER(Upgrades!$U$10,I123),1)*IF(Upgrades!$T$11="Magnetosphere",POWER(Upgrades!$U$11,J123),1)*IF(Upgrades!$T$12="Magnetosphere",POWER(Upgrades!$U$12,K123),1))/AJ123,0)</f>
        <v/>
      </c>
      <c r="AW123" s="32">
        <f>MAX(IF(I123&gt;0,0,IFERROR(0.25*N123/Upgrades!$C$10,0)),IF(J123&gt;0,0,IFERROR(0.5*((IF(G123=0,0,(Upgrades!$J$8+G123*Upgrades!$K$8)*POWER(Upgrades!$L$8,G123)))*(IF(Upgrades!$T$6="Stellar Coupling",POWER(Upgrades!$U$6,E123),1)*IF(Upgrades!$T$7="Stellar Coupling",POWER(Upgrades!$U$7,F123),1)*IF(Upgrades!$T$9="Stellar Coupling",POWER(Upgrades!$U$9,H123),1)*IF(Upgrades!$T$10="Stellar Coupling",POWER(Upgrades!$U$10,I123),1)*IF(Upgrades!$T$11="Stellar Coupling",POWER(Upgrades!$U$11,J123),1)*IF(Upgrades!$T$12="Stellar Coupling",POWER(Upgrades!$U$12,K123),1))*(POWER(Upgrades!$Q$6,E123)*POWER(Upgrades!$Q$7,F123)*POWER(Upgrades!$Q$8,G123)*POWER(Upgrades!$Q$9,H123)*POWER(Upgrades!$Q$10,I123)*POWER(Upgrades!$Q$11,J123)*POWER(Upgrades!$Q$12,K123))*Parameters!$B$10*Parameters!$B$11/60)/Upgrades!$C$11,0)),IF(K123&gt;0,0,IFERROR((1.0*(POWER(Upgrades!$P$6,E123)*POWER(Upgrades!$P$7,F123)*POWER(Upgrades!$P$8,G123)*POWER(Upgrades!$P$9,H123)*POWER(Upgrades!$P$10,I123)*POWER(Upgrades!$P$11,J123)*POWER(Upgrades!$P$12,K123))+0.20*M123*Parameters!$B$10*Parameters!$B$11/60)/Upgrades!$C$12,0)),IF(AND(ISNUMBER(AG123),AG123&gt;T123),AS123,0),IF(AND(ISNUMBER(AH123),AH123&gt;T123),AT123,0),IF(AND(ISNUMBER(AI123),AI123&gt;T123),AU123,0),IF(AND(ISNUMBER(AJ123),AJ123&gt;T123),AV123,0))</f>
        <v/>
      </c>
      <c r="AX123" s="29">
        <f>IF(AN123=1,"transition",IF(MIN(IF(AND(I123=0,ISNUMBER(AK123),AK123&lt;=T123),AK123,9E15),IF(AND(J123=0,ISNUMBER(AL123),AL123&lt;=T123),AL123,9E15),IF(AND(K123=0,ISNUMBER(AM123),AM123&lt;=T123),AM123,9E15))&lt;9E15,IF(AND(AND(I123=0,ISNUMBER(AK123),AK123&lt;=T123),AK123=MIN(IF(AND(I123=0,ISNUMBER(AK123),AK123&lt;=T123),AK123,9E15),IF(AND(J123=0,ISNUMBER(AL123),AL123&lt;=T123),AL123,9E15),IF(AND(K123=0,ISNUMBER(AM123),AM123&lt;=T123),AM123,9E15))),"OR",IF(AND(AND(J123=0,ISNUMBER(AL123),AL123&lt;=T123),AL123=MIN(IF(AND(I123=0,ISNUMBER(AK123),AK123&lt;=T123),AK123,9E15),IF(AND(J123=0,ISNUMBER(AL123),AL123&lt;=T123),AL123,9E15),IF(AND(K123=0,ISNUMBER(AM123),AM123&lt;=T123),AM123,9E15))),"HP","FP")),IF(AR123=TRUE,"",IF(MAX(IF(AND(NOT(AND(AO123=1,AN123&lt;&gt;1)),ISNUMBER(AG123),AG123&lt;=T123),AS123,0),IF(AND(NOT(AND(AO123=1,AN123&lt;&gt;1)),ISNUMBER(AH123),AH123&lt;=T123),AT123,0),IF(AND(NOT(AND(AO123=1,AN123&lt;&gt;1)),ISNUMBER(AI123),AI123&lt;=T123),AU123,0),IF(AND(ISNUMBER(AJ123),AJ123&lt;=T123),AV123,0))&lt;=0,"",IF(AND(IF(AND(NOT(AND(AO123=1,AN123&lt;&gt;1)),ISNUMBER(AG123),AG123&lt;=T123),AS123,0)&gt;0,IF(AND(NOT(AND(AO123=1,AN123&lt;&gt;1)),ISNUMBER(AG123),AG123&lt;=T123),AS123,0)=MAX(IF(AND(NOT(AND(AO123=1,AN123&lt;&gt;1)),ISNUMBER(AG123),AG123&lt;=T123),AS123,0),IF(AND(NOT(AND(AO123=1,AN123&lt;&gt;1)),ISNUMBER(AH123),AH123&lt;=T123),AT123,0),IF(AND(NOT(AND(AO123=1,AN123&lt;&gt;1)),ISNUMBER(AI123),AI123&lt;=T123),AU123,0),IF(AND(ISNUMBER(AJ123),AJ123&lt;=T123),AV123,0))),"SW",IF(AND(IF(AND(NOT(AND(AO123=1,AN123&lt;&gt;1)),ISNUMBER(AH123),AH123&lt;=T123),AT123,0)&gt;0,IF(AND(NOT(AND(AO123=1,AN123&lt;&gt;1)),ISNUMBER(AH123),AH123&lt;=T123),AT123,0)=MAX(IF(AND(NOT(AND(AO123=1,AN123&lt;&gt;1)),ISNUMBER(AG123),AG123&lt;=T123),AS123,0),IF(AND(NOT(AND(AO123=1,AN123&lt;&gt;1)),ISNUMBER(AH123),AH123&lt;=T123),AT123,0),IF(AND(NOT(AND(AO123=1,AN123&lt;&gt;1)),ISNUMBER(AI123),AI123&lt;=T123),AU123,0),IF(AND(ISNUMBER(AJ123),AJ123&lt;=T123),AV123,0))),"AB",IF(AND(IF(AND(NOT(AND(AO123=1,AN123&lt;&gt;1)),ISNUMBER(AI123),AI123&lt;=T123),AU123,0)&gt;0,IF(AND(NOT(AND(AO123=1,AN123&lt;&gt;1)),ISNUMBER(AI123),AI123&lt;=T123),AU123,0)=MAX(IF(AND(NOT(AND(AO123=1,AN123&lt;&gt;1)),ISNUMBER(AG123),AG123&lt;=T123),AS123,0),IF(AND(NOT(AND(AO123=1,AN123&lt;&gt;1)),ISNUMBER(AH123),AH123&lt;=T123),AT123,0),IF(AND(NOT(AND(AO123=1,AN123&lt;&gt;1)),ISNUMBER(AI123),AI123&lt;=T123),AU123,0),IF(AND(ISNUMBER(AJ123),AJ123&lt;=T123),AV123,0))),"SC","Mag")))))))</f>
        <v/>
      </c>
    </row>
    <row r="124">
      <c r="A124" s="26" t="n">
        <v>119</v>
      </c>
      <c r="B124" s="27">
        <f>A124*10/60</f>
        <v/>
      </c>
      <c r="C124" s="22">
        <f>X123</f>
        <v/>
      </c>
      <c r="D124" s="27">
        <f>D123+W123</f>
        <v/>
      </c>
      <c r="E124" s="26">
        <f>E123+IF(U123="SW",1,0)</f>
        <v/>
      </c>
      <c r="F124" s="26">
        <f>F123+IF(U123="AB",1,0)</f>
        <v/>
      </c>
      <c r="G124" s="26">
        <f>G123+IF(U123="SC",1,0)</f>
        <v/>
      </c>
      <c r="H124" s="26">
        <f>H123+IF(U123="Mag",1,0)</f>
        <v/>
      </c>
      <c r="I124" s="26">
        <f>MAX(I123,IF(U123="OR",1,0))</f>
        <v/>
      </c>
      <c r="J124" s="26">
        <f>MAX(J123,IF(U123="HP",1,0))</f>
        <v/>
      </c>
      <c r="K124" s="26">
        <f>MAX(K123,IF(U123="FP",1,0))</f>
        <v/>
      </c>
      <c r="L124" s="26">
        <f>MAX(L123,IF(U123="transition",1,0))</f>
        <v/>
      </c>
      <c r="M124" s="28">
        <f>(Parameters!$B$9+(IF(E124=0,0,(Upgrades!$J$6+E124*Upgrades!$K$6)*POWER(Upgrades!$L$6,E124)))*(IF(Upgrades!$T$7="Solar Wind",POWER(Upgrades!$U$7,F124),1)*IF(Upgrades!$T$8="Solar Wind",POWER(Upgrades!$U$8,G124),1)*IF(Upgrades!$T$9="Solar Wind",POWER(Upgrades!$U$9,H124),1)*IF(Upgrades!$T$10="Solar Wind",POWER(Upgrades!$U$10,I124),1)*IF(Upgrades!$T$11="Solar Wind",POWER(Upgrades!$U$11,J124),1)*IF(Upgrades!$T$12="Solar Wind",POWER(Upgrades!$U$12,K124),1))+(IF(F124=0,0,(Upgrades!$J$7+F124*Upgrades!$K$7)*POWER(Upgrades!$L$7,F124)))*(IF(Upgrades!$T$6="Asteroid Belt",POWER(Upgrades!$U$6,E124),1)*IF(Upgrades!$T$8="Asteroid Belt",POWER(Upgrades!$U$8,G124),1)*IF(Upgrades!$T$9="Asteroid Belt",POWER(Upgrades!$U$9,H124),1)*IF(Upgrades!$T$10="Asteroid Belt",POWER(Upgrades!$U$10,I124),1)*IF(Upgrades!$T$11="Asteroid Belt",POWER(Upgrades!$U$11,J124),1)*IF(Upgrades!$T$12="Asteroid Belt",POWER(Upgrades!$U$12,K124),1))+(IF(G124=0,0,(Upgrades!$J$8+G124*Upgrades!$K$8)*POWER(Upgrades!$L$8,G124)))*(IF(Upgrades!$T$6="Stellar Coupling",POWER(Upgrades!$U$6,E124),1)*IF(Upgrades!$T$7="Stellar Coupling",POWER(Upgrades!$U$7,F124),1)*IF(Upgrades!$T$9="Stellar Coupling",POWER(Upgrades!$U$9,H124),1)*IF(Upgrades!$T$10="Stellar Coupling",POWER(Upgrades!$U$10,I124),1)*IF(Upgrades!$T$11="Stellar Coupling",POWER(Upgrades!$U$11,J124),1)*IF(Upgrades!$T$12="Stellar Coupling",POWER(Upgrades!$U$12,K124),1))+(IF(H124=0,0,(Upgrades!$J$9+H124*Upgrades!$K$9)*POWER(Upgrades!$L$9,H124)))*(IF(Upgrades!$T$6="Magnetosphere",POWER(Upgrades!$U$6,E124),1)*IF(Upgrades!$T$7="Magnetosphere",POWER(Upgrades!$U$7,F124),1)*IF(Upgrades!$T$8="Magnetosphere",POWER(Upgrades!$U$8,G124),1)*IF(Upgrades!$T$10="Magnetosphere",POWER(Upgrades!$U$10,I124),1)*IF(Upgrades!$T$11="Magnetosphere",POWER(Upgrades!$U$11,J124),1)*IF(Upgrades!$T$12="Magnetosphere",POWER(Upgrades!$U$12,K124),1))+(IF(I124=0,0,(Upgrades!$J$10+I124*Upgrades!$K$10)*POWER(Upgrades!$L$10,I124)))*(IF(Upgrades!$T$6="Orbital Resonance",POWER(Upgrades!$U$6,E124),1)*IF(Upgrades!$T$7="Orbital Resonance",POWER(Upgrades!$U$7,F124),1)*IF(Upgrades!$T$8="Orbital Resonance",POWER(Upgrades!$U$8,G124),1)*IF(Upgrades!$T$9="Orbital Resonance",POWER(Upgrades!$U$9,H124),1)*IF(Upgrades!$T$11="Orbital Resonance",POWER(Upgrades!$U$11,J124),1)*IF(Upgrades!$T$12="Orbital Resonance",POWER(Upgrades!$U$12,K124),1))+(IF(J124=0,0,(Upgrades!$J$11+J124*Upgrades!$K$11)*POWER(Upgrades!$L$11,J124)))*(IF(Upgrades!$T$6="Heliopause",POWER(Upgrades!$U$6,E124),1)*IF(Upgrades!$T$7="Heliopause",POWER(Upgrades!$U$7,F124),1)*IF(Upgrades!$T$8="Heliopause",POWER(Upgrades!$U$8,G124),1)*IF(Upgrades!$T$9="Heliopause",POWER(Upgrades!$U$9,H124),1)*IF(Upgrades!$T$10="Heliopause",POWER(Upgrades!$U$10,I124),1)*IF(Upgrades!$T$12="Heliopause",POWER(Upgrades!$U$12,K124),1))+(IF(K124=0,0,(Upgrades!$J$12+K124*Upgrades!$K$12)*POWER(Upgrades!$L$12,K124)))*(IF(Upgrades!$T$6="First Photons",POWER(Upgrades!$U$6,E124),1)*IF(Upgrades!$T$7="First Photons",POWER(Upgrades!$U$7,F124),1)*IF(Upgrades!$T$8="First Photons",POWER(Upgrades!$U$8,G124),1)*IF(Upgrades!$T$9="First Photons",POWER(Upgrades!$U$9,H124),1)*IF(Upgrades!$T$10="First Photons",POWER(Upgrades!$U$10,I124),1)*IF(Upgrades!$T$11="First Photons",POWER(Upgrades!$U$11,J124),1)))*POWER(Upgrades!$Q$6,E124)*POWER(Upgrades!$Q$7,F124)*POWER(Upgrades!$Q$8,G124)*POWER(Upgrades!$Q$9,H124)*POWER(Upgrades!$Q$10,I124)*POWER(Upgrades!$Q$11,J124)*POWER(Upgrades!$Q$12,K124)</f>
        <v/>
      </c>
      <c r="N124" s="28">
        <f>((IF(E124=0,0,(Upgrades!$G$6+E124*Upgrades!$H$6)*POWER(Upgrades!$I$6,E124)))*(IF(Upgrades!$T$7="Solar Wind",POWER(Upgrades!$U$7,F124),1)*IF(Upgrades!$T$8="Solar Wind",POWER(Upgrades!$U$8,G124),1)*IF(Upgrades!$T$9="Solar Wind",POWER(Upgrades!$U$9,H124),1)*IF(Upgrades!$T$10="Solar Wind",POWER(Upgrades!$U$10,I124),1)*IF(Upgrades!$T$11="Solar Wind",POWER(Upgrades!$U$11,J124),1)*IF(Upgrades!$T$12="Solar Wind",POWER(Upgrades!$U$12,K124),1))+(IF(F124=0,0,(Upgrades!$G$7+F124*Upgrades!$H$7)*POWER(Upgrades!$I$7,F124)))*(IF(Upgrades!$T$6="Asteroid Belt",POWER(Upgrades!$U$6,E124),1)*IF(Upgrades!$T$8="Asteroid Belt",POWER(Upgrades!$U$8,G124),1)*IF(Upgrades!$T$9="Asteroid Belt",POWER(Upgrades!$U$9,H124),1)*IF(Upgrades!$T$10="Asteroid Belt",POWER(Upgrades!$U$10,I124),1)*IF(Upgrades!$T$11="Asteroid Belt",POWER(Upgrades!$U$11,J124),1)*IF(Upgrades!$T$12="Asteroid Belt",POWER(Upgrades!$U$12,K124),1))+(IF(G124=0,0,(Upgrades!$G$8+G124*Upgrades!$H$8)*POWER(Upgrades!$I$8,G124)))*(IF(Upgrades!$T$6="Stellar Coupling",POWER(Upgrades!$U$6,E124),1)*IF(Upgrades!$T$7="Stellar Coupling",POWER(Upgrades!$U$7,F124),1)*IF(Upgrades!$T$9="Stellar Coupling",POWER(Upgrades!$U$9,H124),1)*IF(Upgrades!$T$10="Stellar Coupling",POWER(Upgrades!$U$10,I124),1)*IF(Upgrades!$T$11="Stellar Coupling",POWER(Upgrades!$U$11,J124),1)*IF(Upgrades!$T$12="Stellar Coupling",POWER(Upgrades!$U$12,K124),1))+(IF(H124=0,0,(Upgrades!$G$9+H124*Upgrades!$H$9)*POWER(Upgrades!$I$9,H124)))*(IF(Upgrades!$T$6="Magnetosphere",POWER(Upgrades!$U$6,E124),1)*IF(Upgrades!$T$7="Magnetosphere",POWER(Upgrades!$U$7,F124),1)*IF(Upgrades!$T$8="Magnetosphere",POWER(Upgrades!$U$8,G124),1)*IF(Upgrades!$T$10="Magnetosphere",POWER(Upgrades!$U$10,I124),1)*IF(Upgrades!$T$11="Magnetosphere",POWER(Upgrades!$U$11,J124),1)*IF(Upgrades!$T$12="Magnetosphere",POWER(Upgrades!$U$12,K124),1))+(IF(I124=0,0,(Upgrades!$G$10+I124*Upgrades!$H$10)*POWER(Upgrades!$I$10,I124)))*(IF(Upgrades!$T$6="Orbital Resonance",POWER(Upgrades!$U$6,E124),1)*IF(Upgrades!$T$7="Orbital Resonance",POWER(Upgrades!$U$7,F124),1)*IF(Upgrades!$T$8="Orbital Resonance",POWER(Upgrades!$U$8,G124),1)*IF(Upgrades!$T$9="Orbital Resonance",POWER(Upgrades!$U$9,H124),1)*IF(Upgrades!$T$11="Orbital Resonance",POWER(Upgrades!$U$11,J124),1)*IF(Upgrades!$T$12="Orbital Resonance",POWER(Upgrades!$U$12,K124),1))+(IF(J124=0,0,(Upgrades!$G$11+J124*Upgrades!$H$11)*POWER(Upgrades!$I$11,J124)))*(IF(Upgrades!$T$6="Heliopause",POWER(Upgrades!$U$6,E124),1)*IF(Upgrades!$T$7="Heliopause",POWER(Upgrades!$U$7,F124),1)*IF(Upgrades!$T$8="Heliopause",POWER(Upgrades!$U$8,G124),1)*IF(Upgrades!$T$9="Heliopause",POWER(Upgrades!$U$9,H124),1)*IF(Upgrades!$T$10="Heliopause",POWER(Upgrades!$U$10,I124),1)*IF(Upgrades!$T$12="Heliopause",POWER(Upgrades!$U$12,K124),1))+(IF(K124=0,0,(Upgrades!$G$12+K124*Upgrades!$H$12)*POWER(Upgrades!$I$12,K124)))*(IF(Upgrades!$T$6="First Photons",POWER(Upgrades!$U$6,E124),1)*IF(Upgrades!$T$7="First Photons",POWER(Upgrades!$U$7,F124),1)*IF(Upgrades!$T$8="First Photons",POWER(Upgrades!$U$8,G124),1)*IF(Upgrades!$T$9="First Photons",POWER(Upgrades!$U$9,H124),1)*IF(Upgrades!$T$10="First Photons",POWER(Upgrades!$U$10,I124),1)*IF(Upgrades!$T$11="First Photons",POWER(Upgrades!$U$11,J124),1)))*POWER(Upgrades!$P$6,E124)*POWER(Upgrades!$P$7,F124)*POWER(Upgrades!$P$8,G124)*POWER(Upgrades!$P$9,H124)*POWER(Upgrades!$P$10,I124)*POWER(Upgrades!$P$11,J124)*POWER(Upgrades!$P$12,K124)</f>
        <v/>
      </c>
      <c r="O124" s="28">
        <f>((IF(E124=0,0,(Upgrades!$M$6+E124*Upgrades!$N$6)*POWER(Upgrades!$O$6,E124)))*(IF(Upgrades!$T$7="Solar Wind",POWER(Upgrades!$U$7,F124),1)*IF(Upgrades!$T$8="Solar Wind",POWER(Upgrades!$U$8,G124),1)*IF(Upgrades!$T$9="Solar Wind",POWER(Upgrades!$U$9,H124),1)*IF(Upgrades!$T$10="Solar Wind",POWER(Upgrades!$U$10,I124),1)*IF(Upgrades!$T$11="Solar Wind",POWER(Upgrades!$U$11,J124),1)*IF(Upgrades!$T$12="Solar Wind",POWER(Upgrades!$U$12,K124),1))+(IF(F124=0,0,(Upgrades!$M$7+F124*Upgrades!$N$7)*POWER(Upgrades!$O$7,F124)))*(IF(Upgrades!$T$6="Asteroid Belt",POWER(Upgrades!$U$6,E124),1)*IF(Upgrades!$T$8="Asteroid Belt",POWER(Upgrades!$U$8,G124),1)*IF(Upgrades!$T$9="Asteroid Belt",POWER(Upgrades!$U$9,H124),1)*IF(Upgrades!$T$10="Asteroid Belt",POWER(Upgrades!$U$10,I124),1)*IF(Upgrades!$T$11="Asteroid Belt",POWER(Upgrades!$U$11,J124),1)*IF(Upgrades!$T$12="Asteroid Belt",POWER(Upgrades!$U$12,K124),1))+(IF(G124=0,0,(Upgrades!$M$8+G124*Upgrades!$N$8)*POWER(Upgrades!$O$8,G124)))*(IF(Upgrades!$T$6="Stellar Coupling",POWER(Upgrades!$U$6,E124),1)*IF(Upgrades!$T$7="Stellar Coupling",POWER(Upgrades!$U$7,F124),1)*IF(Upgrades!$T$9="Stellar Coupling",POWER(Upgrades!$U$9,H124),1)*IF(Upgrades!$T$10="Stellar Coupling",POWER(Upgrades!$U$10,I124),1)*IF(Upgrades!$T$11="Stellar Coupling",POWER(Upgrades!$U$11,J124),1)*IF(Upgrades!$T$12="Stellar Coupling",POWER(Upgrades!$U$12,K124),1))+(IF(H124=0,0,(Upgrades!$M$9+H124*Upgrades!$N$9)*POWER(Upgrades!$O$9,H124)))*(IF(Upgrades!$T$6="Magnetosphere",POWER(Upgrades!$U$6,E124),1)*IF(Upgrades!$T$7="Magnetosphere",POWER(Upgrades!$U$7,F124),1)*IF(Upgrades!$T$8="Magnetosphere",POWER(Upgrades!$U$8,G124),1)*IF(Upgrades!$T$10="Magnetosphere",POWER(Upgrades!$U$10,I124),1)*IF(Upgrades!$T$11="Magnetosphere",POWER(Upgrades!$U$11,J124),1)*IF(Upgrades!$T$12="Magnetosphere",POWER(Upgrades!$U$12,K124),1))+(IF(I124=0,0,(Upgrades!$M$10+I124*Upgrades!$N$10)*POWER(Upgrades!$O$10,I124)))*(IF(Upgrades!$T$6="Orbital Resonance",POWER(Upgrades!$U$6,E124),1)*IF(Upgrades!$T$7="Orbital Resonance",POWER(Upgrades!$U$7,F124),1)*IF(Upgrades!$T$8="Orbital Resonance",POWER(Upgrades!$U$8,G124),1)*IF(Upgrades!$T$9="Orbital Resonance",POWER(Upgrades!$U$9,H124),1)*IF(Upgrades!$T$11="Orbital Resonance",POWER(Upgrades!$U$11,J124),1)*IF(Upgrades!$T$12="Orbital Resonance",POWER(Upgrades!$U$12,K124),1))+(IF(J124=0,0,(Upgrades!$M$11+J124*Upgrades!$N$11)*POWER(Upgrades!$O$11,J124)))*(IF(Upgrades!$T$6="Heliopause",POWER(Upgrades!$U$6,E124),1)*IF(Upgrades!$T$7="Heliopause",POWER(Upgrades!$U$7,F124),1)*IF(Upgrades!$T$8="Heliopause",POWER(Upgrades!$U$8,G124),1)*IF(Upgrades!$T$9="Heliopause",POWER(Upgrades!$U$9,H124),1)*IF(Upgrades!$T$10="Heliopause",POWER(Upgrades!$U$10,I124),1)*IF(Upgrades!$T$12="Heliopause",POWER(Upgrades!$U$12,K124),1))+(IF(K124=0,0,(Upgrades!$M$12+K124*Upgrades!$N$12)*POWER(Upgrades!$O$12,K124)))*(IF(Upgrades!$T$6="First Photons",POWER(Upgrades!$U$6,E124),1)*IF(Upgrades!$T$7="First Photons",POWER(Upgrades!$U$7,F124),1)*IF(Upgrades!$T$8="First Photons",POWER(Upgrades!$U$8,G124),1)*IF(Upgrades!$T$9="First Photons",POWER(Upgrades!$U$9,H124),1)*IF(Upgrades!$T$10="First Photons",POWER(Upgrades!$U$10,I124),1)*IF(Upgrades!$T$11="First Photons",POWER(Upgrades!$U$11,J124),1)))*POWER(Upgrades!$R$6,E124)*POWER(Upgrades!$R$7,F124)*POWER(Upgrades!$R$8,G124)*POWER(Upgrades!$R$9,H124)*POWER(Upgrades!$R$10,I124)*POWER(Upgrades!$R$11,J124)*POWER(Upgrades!$R$12,K124)</f>
        <v/>
      </c>
      <c r="P124" s="27">
        <f>IF(L124=1,0,M124*Parameters!$B$10/60*Parameters!$B$11*10)</f>
        <v/>
      </c>
      <c r="Q124" s="27">
        <f>IF(L124=1,0,O124*M124*10)</f>
        <v/>
      </c>
      <c r="R124" s="27">
        <f>IF(L124=1,0,N124*10)</f>
        <v/>
      </c>
      <c r="S124" s="27">
        <f>P124+Q124+R124</f>
        <v/>
      </c>
      <c r="T124" s="22">
        <f>C124+S124</f>
        <v/>
      </c>
      <c r="U124" s="33">
        <f>AX124</f>
        <v/>
      </c>
      <c r="V124" s="22">
        <f>IF(U124="",0,IF(U124="transition",0,IF(U124="SW",AG124,IF(U124="AB",AH124,IF(U124="SC",AI124,IF(U124="Mag",AJ124,IF(U124="OR",AK124,IF(U124="HP",AL124,IF(U124="FP",AM124,0)))))))))</f>
        <v/>
      </c>
      <c r="W124" s="27">
        <f>IF(U124="OR",Upgrades!$F$10,IF(U124="HP",Upgrades!$F$11,IF(U124="transition",-Parameters!$B$18,0)))</f>
        <v/>
      </c>
      <c r="X124" s="22">
        <f>T124-V124</f>
        <v/>
      </c>
      <c r="Y124" s="30">
        <f>M124*Parameters!$B$10/60*Parameters!$B$11+O124*M124+N124</f>
        <v/>
      </c>
      <c r="Z124" s="34">
        <f>IF(U124="transition","→ Tier 2 (Stellar Neighborhood)",IF(U124="FP","First Photons — light begins, system quickens",IF(U124="HP","Heliopause acquired",IF(U124="OR","Orbital Resonance — passive multiplier active",IF(AND(AO124=1,L124=0,AN124&lt;&gt;1),"Cohesion ready (waiting on completionist upgrades)","")))))</f>
        <v/>
      </c>
      <c r="AA124" s="27">
        <f>(IF(E124=0,0,(Upgrades!$G$6+E124*Upgrades!$H$6)*POWER(Upgrades!$I$6,E124)))*(IF(Upgrades!$T$7="Solar Wind",POWER(Upgrades!$U$7,F124),1)*IF(Upgrades!$T$8="Solar Wind",POWER(Upgrades!$U$8,G124),1)*IF(Upgrades!$T$9="Solar Wind",POWER(Upgrades!$U$9,H124),1)*IF(Upgrades!$T$10="Solar Wind",POWER(Upgrades!$U$10,I124),1)*IF(Upgrades!$T$11="Solar Wind",POWER(Upgrades!$U$11,J124),1)*IF(Upgrades!$T$12="Solar Wind",POWER(Upgrades!$U$12,K124),1))*POWER(Upgrades!$P$6,E124)*POWER(Upgrades!$P$7,F124)*POWER(Upgrades!$P$8,G124)*POWER(Upgrades!$P$9,H124)*POWER(Upgrades!$P$10,I124)*POWER(Upgrades!$P$11,J124)*POWER(Upgrades!$P$12,K124)*60</f>
        <v/>
      </c>
      <c r="AB124" s="27">
        <f>(IF(F124=0,0,(Upgrades!$G$7+F124*Upgrades!$H$7)*POWER(Upgrades!$I$7,F124)))*(IF(Upgrades!$T$6="Asteroid Belt",POWER(Upgrades!$U$6,E124),1)*IF(Upgrades!$T$8="Asteroid Belt",POWER(Upgrades!$U$8,G124),1)*IF(Upgrades!$T$9="Asteroid Belt",POWER(Upgrades!$U$9,H124),1)*IF(Upgrades!$T$10="Asteroid Belt",POWER(Upgrades!$U$10,I124),1)*IF(Upgrades!$T$11="Asteroid Belt",POWER(Upgrades!$U$11,J124),1)*IF(Upgrades!$T$12="Asteroid Belt",POWER(Upgrades!$U$12,K124),1))*POWER(Upgrades!$P$6,E124)*POWER(Upgrades!$P$7,F124)*POWER(Upgrades!$P$8,G124)*POWER(Upgrades!$P$9,H124)*POWER(Upgrades!$P$10,I124)*POWER(Upgrades!$P$11,J124)*POWER(Upgrades!$P$12,K124)*60</f>
        <v/>
      </c>
      <c r="AC124" s="27">
        <f>(IF(G124=0,0,(Upgrades!$J$8+G124*Upgrades!$K$8)*POWER(Upgrades!$L$8,G124)))*(IF(Upgrades!$T$6="Stellar Coupling",POWER(Upgrades!$U$6,E124),1)*IF(Upgrades!$T$7="Stellar Coupling",POWER(Upgrades!$U$7,F124),1)*IF(Upgrades!$T$9="Stellar Coupling",POWER(Upgrades!$U$9,H124),1)*IF(Upgrades!$T$10="Stellar Coupling",POWER(Upgrades!$U$10,I124),1)*IF(Upgrades!$T$11="Stellar Coupling",POWER(Upgrades!$U$11,J124),1)*IF(Upgrades!$T$12="Stellar Coupling",POWER(Upgrades!$U$12,K124),1))*POWER(Upgrades!$Q$6,E124)*POWER(Upgrades!$Q$7,F124)*POWER(Upgrades!$Q$8,G124)*POWER(Upgrades!$Q$9,H124)*POWER(Upgrades!$Q$10,I124)*POWER(Upgrades!$Q$11,J124)*POWER(Upgrades!$Q$12,K124)*Parameters!$B$10*Parameters!$B$11</f>
        <v/>
      </c>
      <c r="AD124" s="27">
        <f>(IF(H124=0,0,(Upgrades!$G$9+H124*Upgrades!$H$9)*POWER(Upgrades!$I$9,H124)))*(IF(Upgrades!$T$6="Magnetosphere",POWER(Upgrades!$U$6,E124),1)*IF(Upgrades!$T$7="Magnetosphere",POWER(Upgrades!$U$7,F124),1)*IF(Upgrades!$T$8="Magnetosphere",POWER(Upgrades!$U$8,G124),1)*IF(Upgrades!$T$10="Magnetosphere",POWER(Upgrades!$U$10,I124),1)*IF(Upgrades!$T$11="Magnetosphere",POWER(Upgrades!$U$11,J124),1)*IF(Upgrades!$T$12="Magnetosphere",POWER(Upgrades!$U$12,K124),1))*POWER(Upgrades!$P$6,E124)*POWER(Upgrades!$P$7,F124)*POWER(Upgrades!$P$8,G124)*POWER(Upgrades!$P$9,H124)*POWER(Upgrades!$P$10,I124)*POWER(Upgrades!$P$11,J124)*POWER(Upgrades!$P$12,K124)*60</f>
        <v/>
      </c>
      <c r="AE124" s="27">
        <f>(IF(K124=0,0,(Upgrades!$G$12+K124*Upgrades!$H$12)*POWER(Upgrades!$I$12,K124)))*(IF(Upgrades!$T$6="First Photons",POWER(Upgrades!$U$6,E124),1)*IF(Upgrades!$T$7="First Photons",POWER(Upgrades!$U$7,F124),1)*IF(Upgrades!$T$8="First Photons",POWER(Upgrades!$U$8,G124),1)*IF(Upgrades!$T$9="First Photons",POWER(Upgrades!$U$9,H124),1)*IF(Upgrades!$T$10="First Photons",POWER(Upgrades!$U$10,I124),1)*IF(Upgrades!$T$11="First Photons",POWER(Upgrades!$U$11,J124),1))*POWER(Upgrades!$P$6,E124)*POWER(Upgrades!$P$7,F124)*POWER(Upgrades!$P$8,G124)*POWER(Upgrades!$P$9,H124)*POWER(Upgrades!$P$10,I124)*POWER(Upgrades!$P$11,J124)*POWER(Upgrades!$P$12,K124)*60</f>
        <v/>
      </c>
      <c r="AF124" s="27">
        <f>Parameters!$B$9*POWER(Upgrades!$Q$6,E124)*POWER(Upgrades!$Q$7,F124)*POWER(Upgrades!$Q$8,G124)*POWER(Upgrades!$Q$9,H124)*POWER(Upgrades!$Q$10,I124)*POWER(Upgrades!$Q$11,J124)*POWER(Upgrades!$Q$12,K124)*(Parameters!$B$10*Parameters!$B$11+O124*60)</f>
        <v/>
      </c>
      <c r="AG124" s="22">
        <f>IF(E124&gt;=Upgrades!$E$6,"",Upgrades!$C$6*POWER(Upgrades!$D$6,E124))</f>
        <v/>
      </c>
      <c r="AH124" s="22">
        <f>IF(F124&gt;=Upgrades!$E$7,"",Upgrades!$C$7*POWER(Upgrades!$D$7,F124))</f>
        <v/>
      </c>
      <c r="AI124" s="22">
        <f>IF(G124&gt;=Upgrades!$E$8,"",Upgrades!$C$8*POWER(Upgrades!$D$8,G124))</f>
        <v/>
      </c>
      <c r="AJ124" s="22">
        <f>IF(H124&gt;=Upgrades!$E$9,"",Upgrades!$C$9*POWER(Upgrades!$D$9,H124))</f>
        <v/>
      </c>
      <c r="AK124" s="22">
        <f>IF(I124&gt;=Upgrades!$E$10,"",Upgrades!$C$10*POWER(Upgrades!$D$10,I124))</f>
        <v/>
      </c>
      <c r="AL124" s="22">
        <f>IF(J124&gt;=Upgrades!$E$11,"",Upgrades!$C$11*POWER(Upgrades!$D$11,J124))</f>
        <v/>
      </c>
      <c r="AM124" s="22">
        <f>IF(K124&gt;=Upgrades!$E$12,"",Upgrades!$C$12*POWER(Upgrades!$D$12,K124))</f>
        <v/>
      </c>
      <c r="AN124" s="26">
        <f>IF(AND(D124&gt;=Parameters!$B$18,(H124&gt;=Upgrades!$E$9)*(K124&gt;=Upgrades!$E$12)=1,L124=0),1,"")</f>
        <v/>
      </c>
      <c r="AO124" s="26">
        <f>IF(AND(D124&gt;=Parameters!$B$18,L124=0),1,"")</f>
        <v/>
      </c>
      <c r="AP124" s="22">
        <f>MIN(IF(ISNUMBER(AK124),AK124,9E15),IF(ISNUMBER(AL124),AL124,9E15),IF(ISNUMBER(AM124),AM124,9E15))</f>
        <v/>
      </c>
      <c r="AQ124" s="22">
        <f>MIN(IF(ISNUMBER(AG124),AG124,9E15),IF(ISNUMBER(AH124),AH124,9E15),IF(ISNUMBER(AI124),AI124,9E15),IF(ISNUMBER(AJ124),AJ124,9E15))</f>
        <v/>
      </c>
      <c r="AR124" s="29">
        <f>IF(AW124&gt;Parameters!$B$21*(MAX(IF(AND(NOT(AND(AO124=1,AN124&lt;&gt;1)),ISNUMBER(AG124),AG124&lt;=T124),AS124,0),IF(AND(NOT(AND(AO124=1,AN124&lt;&gt;1)),ISNUMBER(AH124),AH124&lt;=T124),AT124,0),IF(AND(NOT(AND(AO124=1,AN124&lt;&gt;1)),ISNUMBER(AI124),AI124&lt;=T124),AU124,0),IF(AND(ISNUMBER(AJ124),AJ124&lt;=T124),AV124,0))),TRUE,FALSE)</f>
        <v/>
      </c>
      <c r="AS124" s="32">
        <f>IFERROR(Upgrades!$H$6*(POWER(Upgrades!$P$6,E124)*POWER(Upgrades!$P$7,F124)*POWER(Upgrades!$P$8,G124)*POWER(Upgrades!$P$9,H124)*POWER(Upgrades!$P$10,I124)*POWER(Upgrades!$P$11,J124)*POWER(Upgrades!$P$12,K124))*(IF(Upgrades!$T$7="Solar Wind",POWER(Upgrades!$U$7,F124),1)*IF(Upgrades!$T$8="Solar Wind",POWER(Upgrades!$U$8,G124),1)*IF(Upgrades!$T$9="Solar Wind",POWER(Upgrades!$U$9,H124),1)*IF(Upgrades!$T$10="Solar Wind",POWER(Upgrades!$U$10,I124),1)*IF(Upgrades!$T$11="Solar Wind",POWER(Upgrades!$U$11,J124),1)*IF(Upgrades!$T$12="Solar Wind",POWER(Upgrades!$U$12,K124),1))/AG124,0)</f>
        <v/>
      </c>
      <c r="AT124" s="32">
        <f>IFERROR(Upgrades!$H$7*(POWER(Upgrades!$P$6,E124)*POWER(Upgrades!$P$7,F124)*POWER(Upgrades!$P$8,G124)*POWER(Upgrades!$P$9,H124)*POWER(Upgrades!$P$10,I124)*POWER(Upgrades!$P$11,J124)*POWER(Upgrades!$P$12,K124))*(IF(Upgrades!$T$6="Asteroid Belt",POWER(Upgrades!$U$6,E124),1)*IF(Upgrades!$T$8="Asteroid Belt",POWER(Upgrades!$U$8,G124),1)*IF(Upgrades!$T$9="Asteroid Belt",POWER(Upgrades!$U$9,H124),1)*IF(Upgrades!$T$10="Asteroid Belt",POWER(Upgrades!$U$10,I124),1)*IF(Upgrades!$T$11="Asteroid Belt",POWER(Upgrades!$U$11,J124),1)*IF(Upgrades!$T$12="Asteroid Belt",POWER(Upgrades!$U$12,K124),1))/AH124,0)</f>
        <v/>
      </c>
      <c r="AU124" s="32">
        <f>IFERROR(Upgrades!$K$8*(POWER(Upgrades!$Q$6,E124)*POWER(Upgrades!$Q$7,F124)*POWER(Upgrades!$Q$8,G124)*POWER(Upgrades!$Q$9,H124)*POWER(Upgrades!$Q$10,I124)*POWER(Upgrades!$Q$11,J124)*POWER(Upgrades!$Q$12,K124))*(IF(Upgrades!$T$6="Stellar Coupling",POWER(Upgrades!$U$6,E124),1)*IF(Upgrades!$T$7="Stellar Coupling",POWER(Upgrades!$U$7,F124),1)*IF(Upgrades!$T$9="Stellar Coupling",POWER(Upgrades!$U$9,H124),1)*IF(Upgrades!$T$10="Stellar Coupling",POWER(Upgrades!$U$10,I124),1)*IF(Upgrades!$T$11="Stellar Coupling",POWER(Upgrades!$U$11,J124),1)*IF(Upgrades!$T$12="Stellar Coupling",POWER(Upgrades!$U$12,K124),1))*Parameters!$B$10*Parameters!$B$11/60/AI124,0)</f>
        <v/>
      </c>
      <c r="AV124" s="32">
        <f>IFERROR(Upgrades!$H$9*(POWER(Upgrades!$P$6,E124)*POWER(Upgrades!$P$7,F124)*POWER(Upgrades!$P$8,G124)*POWER(Upgrades!$P$9,H124)*POWER(Upgrades!$P$10,I124)*POWER(Upgrades!$P$11,J124)*POWER(Upgrades!$P$12,K124))*(IF(Upgrades!$T$6="Magnetosphere",POWER(Upgrades!$U$6,E124),1)*IF(Upgrades!$T$7="Magnetosphere",POWER(Upgrades!$U$7,F124),1)*IF(Upgrades!$T$8="Magnetosphere",POWER(Upgrades!$U$8,G124),1)*IF(Upgrades!$T$10="Magnetosphere",POWER(Upgrades!$U$10,I124),1)*IF(Upgrades!$T$11="Magnetosphere",POWER(Upgrades!$U$11,J124),1)*IF(Upgrades!$T$12="Magnetosphere",POWER(Upgrades!$U$12,K124),1))/AJ124,0)</f>
        <v/>
      </c>
      <c r="AW124" s="32">
        <f>MAX(IF(I124&gt;0,0,IFERROR(0.25*N124/Upgrades!$C$10,0)),IF(J124&gt;0,0,IFERROR(0.5*((IF(G124=0,0,(Upgrades!$J$8+G124*Upgrades!$K$8)*POWER(Upgrades!$L$8,G124)))*(IF(Upgrades!$T$6="Stellar Coupling",POWER(Upgrades!$U$6,E124),1)*IF(Upgrades!$T$7="Stellar Coupling",POWER(Upgrades!$U$7,F124),1)*IF(Upgrades!$T$9="Stellar Coupling",POWER(Upgrades!$U$9,H124),1)*IF(Upgrades!$T$10="Stellar Coupling",POWER(Upgrades!$U$10,I124),1)*IF(Upgrades!$T$11="Stellar Coupling",POWER(Upgrades!$U$11,J124),1)*IF(Upgrades!$T$12="Stellar Coupling",POWER(Upgrades!$U$12,K124),1))*(POWER(Upgrades!$Q$6,E124)*POWER(Upgrades!$Q$7,F124)*POWER(Upgrades!$Q$8,G124)*POWER(Upgrades!$Q$9,H124)*POWER(Upgrades!$Q$10,I124)*POWER(Upgrades!$Q$11,J124)*POWER(Upgrades!$Q$12,K124))*Parameters!$B$10*Parameters!$B$11/60)/Upgrades!$C$11,0)),IF(K124&gt;0,0,IFERROR((1.0*(POWER(Upgrades!$P$6,E124)*POWER(Upgrades!$P$7,F124)*POWER(Upgrades!$P$8,G124)*POWER(Upgrades!$P$9,H124)*POWER(Upgrades!$P$10,I124)*POWER(Upgrades!$P$11,J124)*POWER(Upgrades!$P$12,K124))+0.20*M124*Parameters!$B$10*Parameters!$B$11/60)/Upgrades!$C$12,0)),IF(AND(ISNUMBER(AG124),AG124&gt;T124),AS124,0),IF(AND(ISNUMBER(AH124),AH124&gt;T124),AT124,0),IF(AND(ISNUMBER(AI124),AI124&gt;T124),AU124,0),IF(AND(ISNUMBER(AJ124),AJ124&gt;T124),AV124,0))</f>
        <v/>
      </c>
      <c r="AX124" s="29">
        <f>IF(AN124=1,"transition",IF(MIN(IF(AND(I124=0,ISNUMBER(AK124),AK124&lt;=T124),AK124,9E15),IF(AND(J124=0,ISNUMBER(AL124),AL124&lt;=T124),AL124,9E15),IF(AND(K124=0,ISNUMBER(AM124),AM124&lt;=T124),AM124,9E15))&lt;9E15,IF(AND(AND(I124=0,ISNUMBER(AK124),AK124&lt;=T124),AK124=MIN(IF(AND(I124=0,ISNUMBER(AK124),AK124&lt;=T124),AK124,9E15),IF(AND(J124=0,ISNUMBER(AL124),AL124&lt;=T124),AL124,9E15),IF(AND(K124=0,ISNUMBER(AM124),AM124&lt;=T124),AM124,9E15))),"OR",IF(AND(AND(J124=0,ISNUMBER(AL124),AL124&lt;=T124),AL124=MIN(IF(AND(I124=0,ISNUMBER(AK124),AK124&lt;=T124),AK124,9E15),IF(AND(J124=0,ISNUMBER(AL124),AL124&lt;=T124),AL124,9E15),IF(AND(K124=0,ISNUMBER(AM124),AM124&lt;=T124),AM124,9E15))),"HP","FP")),IF(AR124=TRUE,"",IF(MAX(IF(AND(NOT(AND(AO124=1,AN124&lt;&gt;1)),ISNUMBER(AG124),AG124&lt;=T124),AS124,0),IF(AND(NOT(AND(AO124=1,AN124&lt;&gt;1)),ISNUMBER(AH124),AH124&lt;=T124),AT124,0),IF(AND(NOT(AND(AO124=1,AN124&lt;&gt;1)),ISNUMBER(AI124),AI124&lt;=T124),AU124,0),IF(AND(ISNUMBER(AJ124),AJ124&lt;=T124),AV124,0))&lt;=0,"",IF(AND(IF(AND(NOT(AND(AO124=1,AN124&lt;&gt;1)),ISNUMBER(AG124),AG124&lt;=T124),AS124,0)&gt;0,IF(AND(NOT(AND(AO124=1,AN124&lt;&gt;1)),ISNUMBER(AG124),AG124&lt;=T124),AS124,0)=MAX(IF(AND(NOT(AND(AO124=1,AN124&lt;&gt;1)),ISNUMBER(AG124),AG124&lt;=T124),AS124,0),IF(AND(NOT(AND(AO124=1,AN124&lt;&gt;1)),ISNUMBER(AH124),AH124&lt;=T124),AT124,0),IF(AND(NOT(AND(AO124=1,AN124&lt;&gt;1)),ISNUMBER(AI124),AI124&lt;=T124),AU124,0),IF(AND(ISNUMBER(AJ124),AJ124&lt;=T124),AV124,0))),"SW",IF(AND(IF(AND(NOT(AND(AO124=1,AN124&lt;&gt;1)),ISNUMBER(AH124),AH124&lt;=T124),AT124,0)&gt;0,IF(AND(NOT(AND(AO124=1,AN124&lt;&gt;1)),ISNUMBER(AH124),AH124&lt;=T124),AT124,0)=MAX(IF(AND(NOT(AND(AO124=1,AN124&lt;&gt;1)),ISNUMBER(AG124),AG124&lt;=T124),AS124,0),IF(AND(NOT(AND(AO124=1,AN124&lt;&gt;1)),ISNUMBER(AH124),AH124&lt;=T124),AT124,0),IF(AND(NOT(AND(AO124=1,AN124&lt;&gt;1)),ISNUMBER(AI124),AI124&lt;=T124),AU124,0),IF(AND(ISNUMBER(AJ124),AJ124&lt;=T124),AV124,0))),"AB",IF(AND(IF(AND(NOT(AND(AO124=1,AN124&lt;&gt;1)),ISNUMBER(AI124),AI124&lt;=T124),AU124,0)&gt;0,IF(AND(NOT(AND(AO124=1,AN124&lt;&gt;1)),ISNUMBER(AI124),AI124&lt;=T124),AU124,0)=MAX(IF(AND(NOT(AND(AO124=1,AN124&lt;&gt;1)),ISNUMBER(AG124),AG124&lt;=T124),AS124,0),IF(AND(NOT(AND(AO124=1,AN124&lt;&gt;1)),ISNUMBER(AH124),AH124&lt;=T124),AT124,0),IF(AND(NOT(AND(AO124=1,AN124&lt;&gt;1)),ISNUMBER(AI124),AI124&lt;=T124),AU124,0),IF(AND(ISNUMBER(AJ124),AJ124&lt;=T124),AV124,0))),"SC","Mag")))))))</f>
        <v/>
      </c>
    </row>
    <row r="125">
      <c r="A125" s="26" t="n">
        <v>120</v>
      </c>
      <c r="B125" s="27">
        <f>A125*10/60</f>
        <v/>
      </c>
      <c r="C125" s="22">
        <f>X124</f>
        <v/>
      </c>
      <c r="D125" s="27">
        <f>D124+W124</f>
        <v/>
      </c>
      <c r="E125" s="26">
        <f>E124+IF(U124="SW",1,0)</f>
        <v/>
      </c>
      <c r="F125" s="26">
        <f>F124+IF(U124="AB",1,0)</f>
        <v/>
      </c>
      <c r="G125" s="26">
        <f>G124+IF(U124="SC",1,0)</f>
        <v/>
      </c>
      <c r="H125" s="26">
        <f>H124+IF(U124="Mag",1,0)</f>
        <v/>
      </c>
      <c r="I125" s="26">
        <f>MAX(I124,IF(U124="OR",1,0))</f>
        <v/>
      </c>
      <c r="J125" s="26">
        <f>MAX(J124,IF(U124="HP",1,0))</f>
        <v/>
      </c>
      <c r="K125" s="26">
        <f>MAX(K124,IF(U124="FP",1,0))</f>
        <v/>
      </c>
      <c r="L125" s="26">
        <f>MAX(L124,IF(U124="transition",1,0))</f>
        <v/>
      </c>
      <c r="M125" s="28">
        <f>(Parameters!$B$9+(IF(E125=0,0,(Upgrades!$J$6+E125*Upgrades!$K$6)*POWER(Upgrades!$L$6,E125)))*(IF(Upgrades!$T$7="Solar Wind",POWER(Upgrades!$U$7,F125),1)*IF(Upgrades!$T$8="Solar Wind",POWER(Upgrades!$U$8,G125),1)*IF(Upgrades!$T$9="Solar Wind",POWER(Upgrades!$U$9,H125),1)*IF(Upgrades!$T$10="Solar Wind",POWER(Upgrades!$U$10,I125),1)*IF(Upgrades!$T$11="Solar Wind",POWER(Upgrades!$U$11,J125),1)*IF(Upgrades!$T$12="Solar Wind",POWER(Upgrades!$U$12,K125),1))+(IF(F125=0,0,(Upgrades!$J$7+F125*Upgrades!$K$7)*POWER(Upgrades!$L$7,F125)))*(IF(Upgrades!$T$6="Asteroid Belt",POWER(Upgrades!$U$6,E125),1)*IF(Upgrades!$T$8="Asteroid Belt",POWER(Upgrades!$U$8,G125),1)*IF(Upgrades!$T$9="Asteroid Belt",POWER(Upgrades!$U$9,H125),1)*IF(Upgrades!$T$10="Asteroid Belt",POWER(Upgrades!$U$10,I125),1)*IF(Upgrades!$T$11="Asteroid Belt",POWER(Upgrades!$U$11,J125),1)*IF(Upgrades!$T$12="Asteroid Belt",POWER(Upgrades!$U$12,K125),1))+(IF(G125=0,0,(Upgrades!$J$8+G125*Upgrades!$K$8)*POWER(Upgrades!$L$8,G125)))*(IF(Upgrades!$T$6="Stellar Coupling",POWER(Upgrades!$U$6,E125),1)*IF(Upgrades!$T$7="Stellar Coupling",POWER(Upgrades!$U$7,F125),1)*IF(Upgrades!$T$9="Stellar Coupling",POWER(Upgrades!$U$9,H125),1)*IF(Upgrades!$T$10="Stellar Coupling",POWER(Upgrades!$U$10,I125),1)*IF(Upgrades!$T$11="Stellar Coupling",POWER(Upgrades!$U$11,J125),1)*IF(Upgrades!$T$12="Stellar Coupling",POWER(Upgrades!$U$12,K125),1))+(IF(H125=0,0,(Upgrades!$J$9+H125*Upgrades!$K$9)*POWER(Upgrades!$L$9,H125)))*(IF(Upgrades!$T$6="Magnetosphere",POWER(Upgrades!$U$6,E125),1)*IF(Upgrades!$T$7="Magnetosphere",POWER(Upgrades!$U$7,F125),1)*IF(Upgrades!$T$8="Magnetosphere",POWER(Upgrades!$U$8,G125),1)*IF(Upgrades!$T$10="Magnetosphere",POWER(Upgrades!$U$10,I125),1)*IF(Upgrades!$T$11="Magnetosphere",POWER(Upgrades!$U$11,J125),1)*IF(Upgrades!$T$12="Magnetosphere",POWER(Upgrades!$U$12,K125),1))+(IF(I125=0,0,(Upgrades!$J$10+I125*Upgrades!$K$10)*POWER(Upgrades!$L$10,I125)))*(IF(Upgrades!$T$6="Orbital Resonance",POWER(Upgrades!$U$6,E125),1)*IF(Upgrades!$T$7="Orbital Resonance",POWER(Upgrades!$U$7,F125),1)*IF(Upgrades!$T$8="Orbital Resonance",POWER(Upgrades!$U$8,G125),1)*IF(Upgrades!$T$9="Orbital Resonance",POWER(Upgrades!$U$9,H125),1)*IF(Upgrades!$T$11="Orbital Resonance",POWER(Upgrades!$U$11,J125),1)*IF(Upgrades!$T$12="Orbital Resonance",POWER(Upgrades!$U$12,K125),1))+(IF(J125=0,0,(Upgrades!$J$11+J125*Upgrades!$K$11)*POWER(Upgrades!$L$11,J125)))*(IF(Upgrades!$T$6="Heliopause",POWER(Upgrades!$U$6,E125),1)*IF(Upgrades!$T$7="Heliopause",POWER(Upgrades!$U$7,F125),1)*IF(Upgrades!$T$8="Heliopause",POWER(Upgrades!$U$8,G125),1)*IF(Upgrades!$T$9="Heliopause",POWER(Upgrades!$U$9,H125),1)*IF(Upgrades!$T$10="Heliopause",POWER(Upgrades!$U$10,I125),1)*IF(Upgrades!$T$12="Heliopause",POWER(Upgrades!$U$12,K125),1))+(IF(K125=0,0,(Upgrades!$J$12+K125*Upgrades!$K$12)*POWER(Upgrades!$L$12,K125)))*(IF(Upgrades!$T$6="First Photons",POWER(Upgrades!$U$6,E125),1)*IF(Upgrades!$T$7="First Photons",POWER(Upgrades!$U$7,F125),1)*IF(Upgrades!$T$8="First Photons",POWER(Upgrades!$U$8,G125),1)*IF(Upgrades!$T$9="First Photons",POWER(Upgrades!$U$9,H125),1)*IF(Upgrades!$T$10="First Photons",POWER(Upgrades!$U$10,I125),1)*IF(Upgrades!$T$11="First Photons",POWER(Upgrades!$U$11,J125),1)))*POWER(Upgrades!$Q$6,E125)*POWER(Upgrades!$Q$7,F125)*POWER(Upgrades!$Q$8,G125)*POWER(Upgrades!$Q$9,H125)*POWER(Upgrades!$Q$10,I125)*POWER(Upgrades!$Q$11,J125)*POWER(Upgrades!$Q$12,K125)</f>
        <v/>
      </c>
      <c r="N125" s="28">
        <f>((IF(E125=0,0,(Upgrades!$G$6+E125*Upgrades!$H$6)*POWER(Upgrades!$I$6,E125)))*(IF(Upgrades!$T$7="Solar Wind",POWER(Upgrades!$U$7,F125),1)*IF(Upgrades!$T$8="Solar Wind",POWER(Upgrades!$U$8,G125),1)*IF(Upgrades!$T$9="Solar Wind",POWER(Upgrades!$U$9,H125),1)*IF(Upgrades!$T$10="Solar Wind",POWER(Upgrades!$U$10,I125),1)*IF(Upgrades!$T$11="Solar Wind",POWER(Upgrades!$U$11,J125),1)*IF(Upgrades!$T$12="Solar Wind",POWER(Upgrades!$U$12,K125),1))+(IF(F125=0,0,(Upgrades!$G$7+F125*Upgrades!$H$7)*POWER(Upgrades!$I$7,F125)))*(IF(Upgrades!$T$6="Asteroid Belt",POWER(Upgrades!$U$6,E125),1)*IF(Upgrades!$T$8="Asteroid Belt",POWER(Upgrades!$U$8,G125),1)*IF(Upgrades!$T$9="Asteroid Belt",POWER(Upgrades!$U$9,H125),1)*IF(Upgrades!$T$10="Asteroid Belt",POWER(Upgrades!$U$10,I125),1)*IF(Upgrades!$T$11="Asteroid Belt",POWER(Upgrades!$U$11,J125),1)*IF(Upgrades!$T$12="Asteroid Belt",POWER(Upgrades!$U$12,K125),1))+(IF(G125=0,0,(Upgrades!$G$8+G125*Upgrades!$H$8)*POWER(Upgrades!$I$8,G125)))*(IF(Upgrades!$T$6="Stellar Coupling",POWER(Upgrades!$U$6,E125),1)*IF(Upgrades!$T$7="Stellar Coupling",POWER(Upgrades!$U$7,F125),1)*IF(Upgrades!$T$9="Stellar Coupling",POWER(Upgrades!$U$9,H125),1)*IF(Upgrades!$T$10="Stellar Coupling",POWER(Upgrades!$U$10,I125),1)*IF(Upgrades!$T$11="Stellar Coupling",POWER(Upgrades!$U$11,J125),1)*IF(Upgrades!$T$12="Stellar Coupling",POWER(Upgrades!$U$12,K125),1))+(IF(H125=0,0,(Upgrades!$G$9+H125*Upgrades!$H$9)*POWER(Upgrades!$I$9,H125)))*(IF(Upgrades!$T$6="Magnetosphere",POWER(Upgrades!$U$6,E125),1)*IF(Upgrades!$T$7="Magnetosphere",POWER(Upgrades!$U$7,F125),1)*IF(Upgrades!$T$8="Magnetosphere",POWER(Upgrades!$U$8,G125),1)*IF(Upgrades!$T$10="Magnetosphere",POWER(Upgrades!$U$10,I125),1)*IF(Upgrades!$T$11="Magnetosphere",POWER(Upgrades!$U$11,J125),1)*IF(Upgrades!$T$12="Magnetosphere",POWER(Upgrades!$U$12,K125),1))+(IF(I125=0,0,(Upgrades!$G$10+I125*Upgrades!$H$10)*POWER(Upgrades!$I$10,I125)))*(IF(Upgrades!$T$6="Orbital Resonance",POWER(Upgrades!$U$6,E125),1)*IF(Upgrades!$T$7="Orbital Resonance",POWER(Upgrades!$U$7,F125),1)*IF(Upgrades!$T$8="Orbital Resonance",POWER(Upgrades!$U$8,G125),1)*IF(Upgrades!$T$9="Orbital Resonance",POWER(Upgrades!$U$9,H125),1)*IF(Upgrades!$T$11="Orbital Resonance",POWER(Upgrades!$U$11,J125),1)*IF(Upgrades!$T$12="Orbital Resonance",POWER(Upgrades!$U$12,K125),1))+(IF(J125=0,0,(Upgrades!$G$11+J125*Upgrades!$H$11)*POWER(Upgrades!$I$11,J125)))*(IF(Upgrades!$T$6="Heliopause",POWER(Upgrades!$U$6,E125),1)*IF(Upgrades!$T$7="Heliopause",POWER(Upgrades!$U$7,F125),1)*IF(Upgrades!$T$8="Heliopause",POWER(Upgrades!$U$8,G125),1)*IF(Upgrades!$T$9="Heliopause",POWER(Upgrades!$U$9,H125),1)*IF(Upgrades!$T$10="Heliopause",POWER(Upgrades!$U$10,I125),1)*IF(Upgrades!$T$12="Heliopause",POWER(Upgrades!$U$12,K125),1))+(IF(K125=0,0,(Upgrades!$G$12+K125*Upgrades!$H$12)*POWER(Upgrades!$I$12,K125)))*(IF(Upgrades!$T$6="First Photons",POWER(Upgrades!$U$6,E125),1)*IF(Upgrades!$T$7="First Photons",POWER(Upgrades!$U$7,F125),1)*IF(Upgrades!$T$8="First Photons",POWER(Upgrades!$U$8,G125),1)*IF(Upgrades!$T$9="First Photons",POWER(Upgrades!$U$9,H125),1)*IF(Upgrades!$T$10="First Photons",POWER(Upgrades!$U$10,I125),1)*IF(Upgrades!$T$11="First Photons",POWER(Upgrades!$U$11,J125),1)))*POWER(Upgrades!$P$6,E125)*POWER(Upgrades!$P$7,F125)*POWER(Upgrades!$P$8,G125)*POWER(Upgrades!$P$9,H125)*POWER(Upgrades!$P$10,I125)*POWER(Upgrades!$P$11,J125)*POWER(Upgrades!$P$12,K125)</f>
        <v/>
      </c>
      <c r="O125" s="28">
        <f>((IF(E125=0,0,(Upgrades!$M$6+E125*Upgrades!$N$6)*POWER(Upgrades!$O$6,E125)))*(IF(Upgrades!$T$7="Solar Wind",POWER(Upgrades!$U$7,F125),1)*IF(Upgrades!$T$8="Solar Wind",POWER(Upgrades!$U$8,G125),1)*IF(Upgrades!$T$9="Solar Wind",POWER(Upgrades!$U$9,H125),1)*IF(Upgrades!$T$10="Solar Wind",POWER(Upgrades!$U$10,I125),1)*IF(Upgrades!$T$11="Solar Wind",POWER(Upgrades!$U$11,J125),1)*IF(Upgrades!$T$12="Solar Wind",POWER(Upgrades!$U$12,K125),1))+(IF(F125=0,0,(Upgrades!$M$7+F125*Upgrades!$N$7)*POWER(Upgrades!$O$7,F125)))*(IF(Upgrades!$T$6="Asteroid Belt",POWER(Upgrades!$U$6,E125),1)*IF(Upgrades!$T$8="Asteroid Belt",POWER(Upgrades!$U$8,G125),1)*IF(Upgrades!$T$9="Asteroid Belt",POWER(Upgrades!$U$9,H125),1)*IF(Upgrades!$T$10="Asteroid Belt",POWER(Upgrades!$U$10,I125),1)*IF(Upgrades!$T$11="Asteroid Belt",POWER(Upgrades!$U$11,J125),1)*IF(Upgrades!$T$12="Asteroid Belt",POWER(Upgrades!$U$12,K125),1))+(IF(G125=0,0,(Upgrades!$M$8+G125*Upgrades!$N$8)*POWER(Upgrades!$O$8,G125)))*(IF(Upgrades!$T$6="Stellar Coupling",POWER(Upgrades!$U$6,E125),1)*IF(Upgrades!$T$7="Stellar Coupling",POWER(Upgrades!$U$7,F125),1)*IF(Upgrades!$T$9="Stellar Coupling",POWER(Upgrades!$U$9,H125),1)*IF(Upgrades!$T$10="Stellar Coupling",POWER(Upgrades!$U$10,I125),1)*IF(Upgrades!$T$11="Stellar Coupling",POWER(Upgrades!$U$11,J125),1)*IF(Upgrades!$T$12="Stellar Coupling",POWER(Upgrades!$U$12,K125),1))+(IF(H125=0,0,(Upgrades!$M$9+H125*Upgrades!$N$9)*POWER(Upgrades!$O$9,H125)))*(IF(Upgrades!$T$6="Magnetosphere",POWER(Upgrades!$U$6,E125),1)*IF(Upgrades!$T$7="Magnetosphere",POWER(Upgrades!$U$7,F125),1)*IF(Upgrades!$T$8="Magnetosphere",POWER(Upgrades!$U$8,G125),1)*IF(Upgrades!$T$10="Magnetosphere",POWER(Upgrades!$U$10,I125),1)*IF(Upgrades!$T$11="Magnetosphere",POWER(Upgrades!$U$11,J125),1)*IF(Upgrades!$T$12="Magnetosphere",POWER(Upgrades!$U$12,K125),1))+(IF(I125=0,0,(Upgrades!$M$10+I125*Upgrades!$N$10)*POWER(Upgrades!$O$10,I125)))*(IF(Upgrades!$T$6="Orbital Resonance",POWER(Upgrades!$U$6,E125),1)*IF(Upgrades!$T$7="Orbital Resonance",POWER(Upgrades!$U$7,F125),1)*IF(Upgrades!$T$8="Orbital Resonance",POWER(Upgrades!$U$8,G125),1)*IF(Upgrades!$T$9="Orbital Resonance",POWER(Upgrades!$U$9,H125),1)*IF(Upgrades!$T$11="Orbital Resonance",POWER(Upgrades!$U$11,J125),1)*IF(Upgrades!$T$12="Orbital Resonance",POWER(Upgrades!$U$12,K125),1))+(IF(J125=0,0,(Upgrades!$M$11+J125*Upgrades!$N$11)*POWER(Upgrades!$O$11,J125)))*(IF(Upgrades!$T$6="Heliopause",POWER(Upgrades!$U$6,E125),1)*IF(Upgrades!$T$7="Heliopause",POWER(Upgrades!$U$7,F125),1)*IF(Upgrades!$T$8="Heliopause",POWER(Upgrades!$U$8,G125),1)*IF(Upgrades!$T$9="Heliopause",POWER(Upgrades!$U$9,H125),1)*IF(Upgrades!$T$10="Heliopause",POWER(Upgrades!$U$10,I125),1)*IF(Upgrades!$T$12="Heliopause",POWER(Upgrades!$U$12,K125),1))+(IF(K125=0,0,(Upgrades!$M$12+K125*Upgrades!$N$12)*POWER(Upgrades!$O$12,K125)))*(IF(Upgrades!$T$6="First Photons",POWER(Upgrades!$U$6,E125),1)*IF(Upgrades!$T$7="First Photons",POWER(Upgrades!$U$7,F125),1)*IF(Upgrades!$T$8="First Photons",POWER(Upgrades!$U$8,G125),1)*IF(Upgrades!$T$9="First Photons",POWER(Upgrades!$U$9,H125),1)*IF(Upgrades!$T$10="First Photons",POWER(Upgrades!$U$10,I125),1)*IF(Upgrades!$T$11="First Photons",POWER(Upgrades!$U$11,J125),1)))*POWER(Upgrades!$R$6,E125)*POWER(Upgrades!$R$7,F125)*POWER(Upgrades!$R$8,G125)*POWER(Upgrades!$R$9,H125)*POWER(Upgrades!$R$10,I125)*POWER(Upgrades!$R$11,J125)*POWER(Upgrades!$R$12,K125)</f>
        <v/>
      </c>
      <c r="P125" s="27">
        <f>IF(L125=1,0,M125*Parameters!$B$10/60*Parameters!$B$11*10)</f>
        <v/>
      </c>
      <c r="Q125" s="27">
        <f>IF(L125=1,0,O125*M125*10)</f>
        <v/>
      </c>
      <c r="R125" s="27">
        <f>IF(L125=1,0,N125*10)</f>
        <v/>
      </c>
      <c r="S125" s="27">
        <f>P125+Q125+R125</f>
        <v/>
      </c>
      <c r="T125" s="22">
        <f>C125+S125</f>
        <v/>
      </c>
      <c r="U125" s="33">
        <f>AX125</f>
        <v/>
      </c>
      <c r="V125" s="22">
        <f>IF(U125="",0,IF(U125="transition",0,IF(U125="SW",AG125,IF(U125="AB",AH125,IF(U125="SC",AI125,IF(U125="Mag",AJ125,IF(U125="OR",AK125,IF(U125="HP",AL125,IF(U125="FP",AM125,0)))))))))</f>
        <v/>
      </c>
      <c r="W125" s="27">
        <f>IF(U125="OR",Upgrades!$F$10,IF(U125="HP",Upgrades!$F$11,IF(U125="transition",-Parameters!$B$18,0)))</f>
        <v/>
      </c>
      <c r="X125" s="22">
        <f>T125-V125</f>
        <v/>
      </c>
      <c r="Y125" s="30">
        <f>M125*Parameters!$B$10/60*Parameters!$B$11+O125*M125+N125</f>
        <v/>
      </c>
      <c r="Z125" s="34">
        <f>IF(U125="transition","→ Tier 2 (Stellar Neighborhood)",IF(U125="FP","First Photons — light begins, system quickens",IF(U125="HP","Heliopause acquired",IF(U125="OR","Orbital Resonance — passive multiplier active",IF(AND(AO125=1,L125=0,AN125&lt;&gt;1),"Cohesion ready (waiting on completionist upgrades)","")))))</f>
        <v/>
      </c>
      <c r="AA125" s="27">
        <f>(IF(E125=0,0,(Upgrades!$G$6+E125*Upgrades!$H$6)*POWER(Upgrades!$I$6,E125)))*(IF(Upgrades!$T$7="Solar Wind",POWER(Upgrades!$U$7,F125),1)*IF(Upgrades!$T$8="Solar Wind",POWER(Upgrades!$U$8,G125),1)*IF(Upgrades!$T$9="Solar Wind",POWER(Upgrades!$U$9,H125),1)*IF(Upgrades!$T$10="Solar Wind",POWER(Upgrades!$U$10,I125),1)*IF(Upgrades!$T$11="Solar Wind",POWER(Upgrades!$U$11,J125),1)*IF(Upgrades!$T$12="Solar Wind",POWER(Upgrades!$U$12,K125),1))*POWER(Upgrades!$P$6,E125)*POWER(Upgrades!$P$7,F125)*POWER(Upgrades!$P$8,G125)*POWER(Upgrades!$P$9,H125)*POWER(Upgrades!$P$10,I125)*POWER(Upgrades!$P$11,J125)*POWER(Upgrades!$P$12,K125)*60</f>
        <v/>
      </c>
      <c r="AB125" s="27">
        <f>(IF(F125=0,0,(Upgrades!$G$7+F125*Upgrades!$H$7)*POWER(Upgrades!$I$7,F125)))*(IF(Upgrades!$T$6="Asteroid Belt",POWER(Upgrades!$U$6,E125),1)*IF(Upgrades!$T$8="Asteroid Belt",POWER(Upgrades!$U$8,G125),1)*IF(Upgrades!$T$9="Asteroid Belt",POWER(Upgrades!$U$9,H125),1)*IF(Upgrades!$T$10="Asteroid Belt",POWER(Upgrades!$U$10,I125),1)*IF(Upgrades!$T$11="Asteroid Belt",POWER(Upgrades!$U$11,J125),1)*IF(Upgrades!$T$12="Asteroid Belt",POWER(Upgrades!$U$12,K125),1))*POWER(Upgrades!$P$6,E125)*POWER(Upgrades!$P$7,F125)*POWER(Upgrades!$P$8,G125)*POWER(Upgrades!$P$9,H125)*POWER(Upgrades!$P$10,I125)*POWER(Upgrades!$P$11,J125)*POWER(Upgrades!$P$12,K125)*60</f>
        <v/>
      </c>
      <c r="AC125" s="27">
        <f>(IF(G125=0,0,(Upgrades!$J$8+G125*Upgrades!$K$8)*POWER(Upgrades!$L$8,G125)))*(IF(Upgrades!$T$6="Stellar Coupling",POWER(Upgrades!$U$6,E125),1)*IF(Upgrades!$T$7="Stellar Coupling",POWER(Upgrades!$U$7,F125),1)*IF(Upgrades!$T$9="Stellar Coupling",POWER(Upgrades!$U$9,H125),1)*IF(Upgrades!$T$10="Stellar Coupling",POWER(Upgrades!$U$10,I125),1)*IF(Upgrades!$T$11="Stellar Coupling",POWER(Upgrades!$U$11,J125),1)*IF(Upgrades!$T$12="Stellar Coupling",POWER(Upgrades!$U$12,K125),1))*POWER(Upgrades!$Q$6,E125)*POWER(Upgrades!$Q$7,F125)*POWER(Upgrades!$Q$8,G125)*POWER(Upgrades!$Q$9,H125)*POWER(Upgrades!$Q$10,I125)*POWER(Upgrades!$Q$11,J125)*POWER(Upgrades!$Q$12,K125)*Parameters!$B$10*Parameters!$B$11</f>
        <v/>
      </c>
      <c r="AD125" s="27">
        <f>(IF(H125=0,0,(Upgrades!$G$9+H125*Upgrades!$H$9)*POWER(Upgrades!$I$9,H125)))*(IF(Upgrades!$T$6="Magnetosphere",POWER(Upgrades!$U$6,E125),1)*IF(Upgrades!$T$7="Magnetosphere",POWER(Upgrades!$U$7,F125),1)*IF(Upgrades!$T$8="Magnetosphere",POWER(Upgrades!$U$8,G125),1)*IF(Upgrades!$T$10="Magnetosphere",POWER(Upgrades!$U$10,I125),1)*IF(Upgrades!$T$11="Magnetosphere",POWER(Upgrades!$U$11,J125),1)*IF(Upgrades!$T$12="Magnetosphere",POWER(Upgrades!$U$12,K125),1))*POWER(Upgrades!$P$6,E125)*POWER(Upgrades!$P$7,F125)*POWER(Upgrades!$P$8,G125)*POWER(Upgrades!$P$9,H125)*POWER(Upgrades!$P$10,I125)*POWER(Upgrades!$P$11,J125)*POWER(Upgrades!$P$12,K125)*60</f>
        <v/>
      </c>
      <c r="AE125" s="27">
        <f>(IF(K125=0,0,(Upgrades!$G$12+K125*Upgrades!$H$12)*POWER(Upgrades!$I$12,K125)))*(IF(Upgrades!$T$6="First Photons",POWER(Upgrades!$U$6,E125),1)*IF(Upgrades!$T$7="First Photons",POWER(Upgrades!$U$7,F125),1)*IF(Upgrades!$T$8="First Photons",POWER(Upgrades!$U$8,G125),1)*IF(Upgrades!$T$9="First Photons",POWER(Upgrades!$U$9,H125),1)*IF(Upgrades!$T$10="First Photons",POWER(Upgrades!$U$10,I125),1)*IF(Upgrades!$T$11="First Photons",POWER(Upgrades!$U$11,J125),1))*POWER(Upgrades!$P$6,E125)*POWER(Upgrades!$P$7,F125)*POWER(Upgrades!$P$8,G125)*POWER(Upgrades!$P$9,H125)*POWER(Upgrades!$P$10,I125)*POWER(Upgrades!$P$11,J125)*POWER(Upgrades!$P$12,K125)*60</f>
        <v/>
      </c>
      <c r="AF125" s="27">
        <f>Parameters!$B$9*POWER(Upgrades!$Q$6,E125)*POWER(Upgrades!$Q$7,F125)*POWER(Upgrades!$Q$8,G125)*POWER(Upgrades!$Q$9,H125)*POWER(Upgrades!$Q$10,I125)*POWER(Upgrades!$Q$11,J125)*POWER(Upgrades!$Q$12,K125)*(Parameters!$B$10*Parameters!$B$11+O125*60)</f>
        <v/>
      </c>
      <c r="AG125" s="22">
        <f>IF(E125&gt;=Upgrades!$E$6,"",Upgrades!$C$6*POWER(Upgrades!$D$6,E125))</f>
        <v/>
      </c>
      <c r="AH125" s="22">
        <f>IF(F125&gt;=Upgrades!$E$7,"",Upgrades!$C$7*POWER(Upgrades!$D$7,F125))</f>
        <v/>
      </c>
      <c r="AI125" s="22">
        <f>IF(G125&gt;=Upgrades!$E$8,"",Upgrades!$C$8*POWER(Upgrades!$D$8,G125))</f>
        <v/>
      </c>
      <c r="AJ125" s="22">
        <f>IF(H125&gt;=Upgrades!$E$9,"",Upgrades!$C$9*POWER(Upgrades!$D$9,H125))</f>
        <v/>
      </c>
      <c r="AK125" s="22">
        <f>IF(I125&gt;=Upgrades!$E$10,"",Upgrades!$C$10*POWER(Upgrades!$D$10,I125))</f>
        <v/>
      </c>
      <c r="AL125" s="22">
        <f>IF(J125&gt;=Upgrades!$E$11,"",Upgrades!$C$11*POWER(Upgrades!$D$11,J125))</f>
        <v/>
      </c>
      <c r="AM125" s="22">
        <f>IF(K125&gt;=Upgrades!$E$12,"",Upgrades!$C$12*POWER(Upgrades!$D$12,K125))</f>
        <v/>
      </c>
      <c r="AN125" s="26">
        <f>IF(AND(D125&gt;=Parameters!$B$18,(H125&gt;=Upgrades!$E$9)*(K125&gt;=Upgrades!$E$12)=1,L125=0),1,"")</f>
        <v/>
      </c>
      <c r="AO125" s="26">
        <f>IF(AND(D125&gt;=Parameters!$B$18,L125=0),1,"")</f>
        <v/>
      </c>
      <c r="AP125" s="22">
        <f>MIN(IF(ISNUMBER(AK125),AK125,9E15),IF(ISNUMBER(AL125),AL125,9E15),IF(ISNUMBER(AM125),AM125,9E15))</f>
        <v/>
      </c>
      <c r="AQ125" s="22">
        <f>MIN(IF(ISNUMBER(AG125),AG125,9E15),IF(ISNUMBER(AH125),AH125,9E15),IF(ISNUMBER(AI125),AI125,9E15),IF(ISNUMBER(AJ125),AJ125,9E15))</f>
        <v/>
      </c>
      <c r="AR125" s="29">
        <f>IF(AW125&gt;Parameters!$B$21*(MAX(IF(AND(NOT(AND(AO125=1,AN125&lt;&gt;1)),ISNUMBER(AG125),AG125&lt;=T125),AS125,0),IF(AND(NOT(AND(AO125=1,AN125&lt;&gt;1)),ISNUMBER(AH125),AH125&lt;=T125),AT125,0),IF(AND(NOT(AND(AO125=1,AN125&lt;&gt;1)),ISNUMBER(AI125),AI125&lt;=T125),AU125,0),IF(AND(ISNUMBER(AJ125),AJ125&lt;=T125),AV125,0))),TRUE,FALSE)</f>
        <v/>
      </c>
      <c r="AS125" s="32">
        <f>IFERROR(Upgrades!$H$6*(POWER(Upgrades!$P$6,E125)*POWER(Upgrades!$P$7,F125)*POWER(Upgrades!$P$8,G125)*POWER(Upgrades!$P$9,H125)*POWER(Upgrades!$P$10,I125)*POWER(Upgrades!$P$11,J125)*POWER(Upgrades!$P$12,K125))*(IF(Upgrades!$T$7="Solar Wind",POWER(Upgrades!$U$7,F125),1)*IF(Upgrades!$T$8="Solar Wind",POWER(Upgrades!$U$8,G125),1)*IF(Upgrades!$T$9="Solar Wind",POWER(Upgrades!$U$9,H125),1)*IF(Upgrades!$T$10="Solar Wind",POWER(Upgrades!$U$10,I125),1)*IF(Upgrades!$T$11="Solar Wind",POWER(Upgrades!$U$11,J125),1)*IF(Upgrades!$T$12="Solar Wind",POWER(Upgrades!$U$12,K125),1))/AG125,0)</f>
        <v/>
      </c>
      <c r="AT125" s="32">
        <f>IFERROR(Upgrades!$H$7*(POWER(Upgrades!$P$6,E125)*POWER(Upgrades!$P$7,F125)*POWER(Upgrades!$P$8,G125)*POWER(Upgrades!$P$9,H125)*POWER(Upgrades!$P$10,I125)*POWER(Upgrades!$P$11,J125)*POWER(Upgrades!$P$12,K125))*(IF(Upgrades!$T$6="Asteroid Belt",POWER(Upgrades!$U$6,E125),1)*IF(Upgrades!$T$8="Asteroid Belt",POWER(Upgrades!$U$8,G125),1)*IF(Upgrades!$T$9="Asteroid Belt",POWER(Upgrades!$U$9,H125),1)*IF(Upgrades!$T$10="Asteroid Belt",POWER(Upgrades!$U$10,I125),1)*IF(Upgrades!$T$11="Asteroid Belt",POWER(Upgrades!$U$11,J125),1)*IF(Upgrades!$T$12="Asteroid Belt",POWER(Upgrades!$U$12,K125),1))/AH125,0)</f>
        <v/>
      </c>
      <c r="AU125" s="32">
        <f>IFERROR(Upgrades!$K$8*(POWER(Upgrades!$Q$6,E125)*POWER(Upgrades!$Q$7,F125)*POWER(Upgrades!$Q$8,G125)*POWER(Upgrades!$Q$9,H125)*POWER(Upgrades!$Q$10,I125)*POWER(Upgrades!$Q$11,J125)*POWER(Upgrades!$Q$12,K125))*(IF(Upgrades!$T$6="Stellar Coupling",POWER(Upgrades!$U$6,E125),1)*IF(Upgrades!$T$7="Stellar Coupling",POWER(Upgrades!$U$7,F125),1)*IF(Upgrades!$T$9="Stellar Coupling",POWER(Upgrades!$U$9,H125),1)*IF(Upgrades!$T$10="Stellar Coupling",POWER(Upgrades!$U$10,I125),1)*IF(Upgrades!$T$11="Stellar Coupling",POWER(Upgrades!$U$11,J125),1)*IF(Upgrades!$T$12="Stellar Coupling",POWER(Upgrades!$U$12,K125),1))*Parameters!$B$10*Parameters!$B$11/60/AI125,0)</f>
        <v/>
      </c>
      <c r="AV125" s="32">
        <f>IFERROR(Upgrades!$H$9*(POWER(Upgrades!$P$6,E125)*POWER(Upgrades!$P$7,F125)*POWER(Upgrades!$P$8,G125)*POWER(Upgrades!$P$9,H125)*POWER(Upgrades!$P$10,I125)*POWER(Upgrades!$P$11,J125)*POWER(Upgrades!$P$12,K125))*(IF(Upgrades!$T$6="Magnetosphere",POWER(Upgrades!$U$6,E125),1)*IF(Upgrades!$T$7="Magnetosphere",POWER(Upgrades!$U$7,F125),1)*IF(Upgrades!$T$8="Magnetosphere",POWER(Upgrades!$U$8,G125),1)*IF(Upgrades!$T$10="Magnetosphere",POWER(Upgrades!$U$10,I125),1)*IF(Upgrades!$T$11="Magnetosphere",POWER(Upgrades!$U$11,J125),1)*IF(Upgrades!$T$12="Magnetosphere",POWER(Upgrades!$U$12,K125),1))/AJ125,0)</f>
        <v/>
      </c>
      <c r="AW125" s="32">
        <f>MAX(IF(I125&gt;0,0,IFERROR(0.25*N125/Upgrades!$C$10,0)),IF(J125&gt;0,0,IFERROR(0.5*((IF(G125=0,0,(Upgrades!$J$8+G125*Upgrades!$K$8)*POWER(Upgrades!$L$8,G125)))*(IF(Upgrades!$T$6="Stellar Coupling",POWER(Upgrades!$U$6,E125),1)*IF(Upgrades!$T$7="Stellar Coupling",POWER(Upgrades!$U$7,F125),1)*IF(Upgrades!$T$9="Stellar Coupling",POWER(Upgrades!$U$9,H125),1)*IF(Upgrades!$T$10="Stellar Coupling",POWER(Upgrades!$U$10,I125),1)*IF(Upgrades!$T$11="Stellar Coupling",POWER(Upgrades!$U$11,J125),1)*IF(Upgrades!$T$12="Stellar Coupling",POWER(Upgrades!$U$12,K125),1))*(POWER(Upgrades!$Q$6,E125)*POWER(Upgrades!$Q$7,F125)*POWER(Upgrades!$Q$8,G125)*POWER(Upgrades!$Q$9,H125)*POWER(Upgrades!$Q$10,I125)*POWER(Upgrades!$Q$11,J125)*POWER(Upgrades!$Q$12,K125))*Parameters!$B$10*Parameters!$B$11/60)/Upgrades!$C$11,0)),IF(K125&gt;0,0,IFERROR((1.0*(POWER(Upgrades!$P$6,E125)*POWER(Upgrades!$P$7,F125)*POWER(Upgrades!$P$8,G125)*POWER(Upgrades!$P$9,H125)*POWER(Upgrades!$P$10,I125)*POWER(Upgrades!$P$11,J125)*POWER(Upgrades!$P$12,K125))+0.20*M125*Parameters!$B$10*Parameters!$B$11/60)/Upgrades!$C$12,0)),IF(AND(ISNUMBER(AG125),AG125&gt;T125),AS125,0),IF(AND(ISNUMBER(AH125),AH125&gt;T125),AT125,0),IF(AND(ISNUMBER(AI125),AI125&gt;T125),AU125,0),IF(AND(ISNUMBER(AJ125),AJ125&gt;T125),AV125,0))</f>
        <v/>
      </c>
      <c r="AX125" s="29">
        <f>IF(AN125=1,"transition",IF(MIN(IF(AND(I125=0,ISNUMBER(AK125),AK125&lt;=T125),AK125,9E15),IF(AND(J125=0,ISNUMBER(AL125),AL125&lt;=T125),AL125,9E15),IF(AND(K125=0,ISNUMBER(AM125),AM125&lt;=T125),AM125,9E15))&lt;9E15,IF(AND(AND(I125=0,ISNUMBER(AK125),AK125&lt;=T125),AK125=MIN(IF(AND(I125=0,ISNUMBER(AK125),AK125&lt;=T125),AK125,9E15),IF(AND(J125=0,ISNUMBER(AL125),AL125&lt;=T125),AL125,9E15),IF(AND(K125=0,ISNUMBER(AM125),AM125&lt;=T125),AM125,9E15))),"OR",IF(AND(AND(J125=0,ISNUMBER(AL125),AL125&lt;=T125),AL125=MIN(IF(AND(I125=0,ISNUMBER(AK125),AK125&lt;=T125),AK125,9E15),IF(AND(J125=0,ISNUMBER(AL125),AL125&lt;=T125),AL125,9E15),IF(AND(K125=0,ISNUMBER(AM125),AM125&lt;=T125),AM125,9E15))),"HP","FP")),IF(AR125=TRUE,"",IF(MAX(IF(AND(NOT(AND(AO125=1,AN125&lt;&gt;1)),ISNUMBER(AG125),AG125&lt;=T125),AS125,0),IF(AND(NOT(AND(AO125=1,AN125&lt;&gt;1)),ISNUMBER(AH125),AH125&lt;=T125),AT125,0),IF(AND(NOT(AND(AO125=1,AN125&lt;&gt;1)),ISNUMBER(AI125),AI125&lt;=T125),AU125,0),IF(AND(ISNUMBER(AJ125),AJ125&lt;=T125),AV125,0))&lt;=0,"",IF(AND(IF(AND(NOT(AND(AO125=1,AN125&lt;&gt;1)),ISNUMBER(AG125),AG125&lt;=T125),AS125,0)&gt;0,IF(AND(NOT(AND(AO125=1,AN125&lt;&gt;1)),ISNUMBER(AG125),AG125&lt;=T125),AS125,0)=MAX(IF(AND(NOT(AND(AO125=1,AN125&lt;&gt;1)),ISNUMBER(AG125),AG125&lt;=T125),AS125,0),IF(AND(NOT(AND(AO125=1,AN125&lt;&gt;1)),ISNUMBER(AH125),AH125&lt;=T125),AT125,0),IF(AND(NOT(AND(AO125=1,AN125&lt;&gt;1)),ISNUMBER(AI125),AI125&lt;=T125),AU125,0),IF(AND(ISNUMBER(AJ125),AJ125&lt;=T125),AV125,0))),"SW",IF(AND(IF(AND(NOT(AND(AO125=1,AN125&lt;&gt;1)),ISNUMBER(AH125),AH125&lt;=T125),AT125,0)&gt;0,IF(AND(NOT(AND(AO125=1,AN125&lt;&gt;1)),ISNUMBER(AH125),AH125&lt;=T125),AT125,0)=MAX(IF(AND(NOT(AND(AO125=1,AN125&lt;&gt;1)),ISNUMBER(AG125),AG125&lt;=T125),AS125,0),IF(AND(NOT(AND(AO125=1,AN125&lt;&gt;1)),ISNUMBER(AH125),AH125&lt;=T125),AT125,0),IF(AND(NOT(AND(AO125=1,AN125&lt;&gt;1)),ISNUMBER(AI125),AI125&lt;=T125),AU125,0),IF(AND(ISNUMBER(AJ125),AJ125&lt;=T125),AV125,0))),"AB",IF(AND(IF(AND(NOT(AND(AO125=1,AN125&lt;&gt;1)),ISNUMBER(AI125),AI125&lt;=T125),AU125,0)&gt;0,IF(AND(NOT(AND(AO125=1,AN125&lt;&gt;1)),ISNUMBER(AI125),AI125&lt;=T125),AU125,0)=MAX(IF(AND(NOT(AND(AO125=1,AN125&lt;&gt;1)),ISNUMBER(AG125),AG125&lt;=T125),AS125,0),IF(AND(NOT(AND(AO125=1,AN125&lt;&gt;1)),ISNUMBER(AH125),AH125&lt;=T125),AT125,0),IF(AND(NOT(AND(AO125=1,AN125&lt;&gt;1)),ISNUMBER(AI125),AI125&lt;=T125),AU125,0),IF(AND(ISNUMBER(AJ125),AJ125&lt;=T125),AV125,0))),"SC","Mag")))))))</f>
        <v/>
      </c>
    </row>
    <row r="126">
      <c r="A126" s="26" t="n">
        <v>121</v>
      </c>
      <c r="B126" s="27">
        <f>A126*10/60</f>
        <v/>
      </c>
      <c r="C126" s="22">
        <f>X125</f>
        <v/>
      </c>
      <c r="D126" s="27">
        <f>D125+W125</f>
        <v/>
      </c>
      <c r="E126" s="26">
        <f>E125+IF(U125="SW",1,0)</f>
        <v/>
      </c>
      <c r="F126" s="26">
        <f>F125+IF(U125="AB",1,0)</f>
        <v/>
      </c>
      <c r="G126" s="26">
        <f>G125+IF(U125="SC",1,0)</f>
        <v/>
      </c>
      <c r="H126" s="26">
        <f>H125+IF(U125="Mag",1,0)</f>
        <v/>
      </c>
      <c r="I126" s="26">
        <f>MAX(I125,IF(U125="OR",1,0))</f>
        <v/>
      </c>
      <c r="J126" s="26">
        <f>MAX(J125,IF(U125="HP",1,0))</f>
        <v/>
      </c>
      <c r="K126" s="26">
        <f>MAX(K125,IF(U125="FP",1,0))</f>
        <v/>
      </c>
      <c r="L126" s="26">
        <f>MAX(L125,IF(U125="transition",1,0))</f>
        <v/>
      </c>
      <c r="M126" s="28">
        <f>(Parameters!$B$9+(IF(E126=0,0,(Upgrades!$J$6+E126*Upgrades!$K$6)*POWER(Upgrades!$L$6,E126)))*(IF(Upgrades!$T$7="Solar Wind",POWER(Upgrades!$U$7,F126),1)*IF(Upgrades!$T$8="Solar Wind",POWER(Upgrades!$U$8,G126),1)*IF(Upgrades!$T$9="Solar Wind",POWER(Upgrades!$U$9,H126),1)*IF(Upgrades!$T$10="Solar Wind",POWER(Upgrades!$U$10,I126),1)*IF(Upgrades!$T$11="Solar Wind",POWER(Upgrades!$U$11,J126),1)*IF(Upgrades!$T$12="Solar Wind",POWER(Upgrades!$U$12,K126),1))+(IF(F126=0,0,(Upgrades!$J$7+F126*Upgrades!$K$7)*POWER(Upgrades!$L$7,F126)))*(IF(Upgrades!$T$6="Asteroid Belt",POWER(Upgrades!$U$6,E126),1)*IF(Upgrades!$T$8="Asteroid Belt",POWER(Upgrades!$U$8,G126),1)*IF(Upgrades!$T$9="Asteroid Belt",POWER(Upgrades!$U$9,H126),1)*IF(Upgrades!$T$10="Asteroid Belt",POWER(Upgrades!$U$10,I126),1)*IF(Upgrades!$T$11="Asteroid Belt",POWER(Upgrades!$U$11,J126),1)*IF(Upgrades!$T$12="Asteroid Belt",POWER(Upgrades!$U$12,K126),1))+(IF(G126=0,0,(Upgrades!$J$8+G126*Upgrades!$K$8)*POWER(Upgrades!$L$8,G126)))*(IF(Upgrades!$T$6="Stellar Coupling",POWER(Upgrades!$U$6,E126),1)*IF(Upgrades!$T$7="Stellar Coupling",POWER(Upgrades!$U$7,F126),1)*IF(Upgrades!$T$9="Stellar Coupling",POWER(Upgrades!$U$9,H126),1)*IF(Upgrades!$T$10="Stellar Coupling",POWER(Upgrades!$U$10,I126),1)*IF(Upgrades!$T$11="Stellar Coupling",POWER(Upgrades!$U$11,J126),1)*IF(Upgrades!$T$12="Stellar Coupling",POWER(Upgrades!$U$12,K126),1))+(IF(H126=0,0,(Upgrades!$J$9+H126*Upgrades!$K$9)*POWER(Upgrades!$L$9,H126)))*(IF(Upgrades!$T$6="Magnetosphere",POWER(Upgrades!$U$6,E126),1)*IF(Upgrades!$T$7="Magnetosphere",POWER(Upgrades!$U$7,F126),1)*IF(Upgrades!$T$8="Magnetosphere",POWER(Upgrades!$U$8,G126),1)*IF(Upgrades!$T$10="Magnetosphere",POWER(Upgrades!$U$10,I126),1)*IF(Upgrades!$T$11="Magnetosphere",POWER(Upgrades!$U$11,J126),1)*IF(Upgrades!$T$12="Magnetosphere",POWER(Upgrades!$U$12,K126),1))+(IF(I126=0,0,(Upgrades!$J$10+I126*Upgrades!$K$10)*POWER(Upgrades!$L$10,I126)))*(IF(Upgrades!$T$6="Orbital Resonance",POWER(Upgrades!$U$6,E126),1)*IF(Upgrades!$T$7="Orbital Resonance",POWER(Upgrades!$U$7,F126),1)*IF(Upgrades!$T$8="Orbital Resonance",POWER(Upgrades!$U$8,G126),1)*IF(Upgrades!$T$9="Orbital Resonance",POWER(Upgrades!$U$9,H126),1)*IF(Upgrades!$T$11="Orbital Resonance",POWER(Upgrades!$U$11,J126),1)*IF(Upgrades!$T$12="Orbital Resonance",POWER(Upgrades!$U$12,K126),1))+(IF(J126=0,0,(Upgrades!$J$11+J126*Upgrades!$K$11)*POWER(Upgrades!$L$11,J126)))*(IF(Upgrades!$T$6="Heliopause",POWER(Upgrades!$U$6,E126),1)*IF(Upgrades!$T$7="Heliopause",POWER(Upgrades!$U$7,F126),1)*IF(Upgrades!$T$8="Heliopause",POWER(Upgrades!$U$8,G126),1)*IF(Upgrades!$T$9="Heliopause",POWER(Upgrades!$U$9,H126),1)*IF(Upgrades!$T$10="Heliopause",POWER(Upgrades!$U$10,I126),1)*IF(Upgrades!$T$12="Heliopause",POWER(Upgrades!$U$12,K126),1))+(IF(K126=0,0,(Upgrades!$J$12+K126*Upgrades!$K$12)*POWER(Upgrades!$L$12,K126)))*(IF(Upgrades!$T$6="First Photons",POWER(Upgrades!$U$6,E126),1)*IF(Upgrades!$T$7="First Photons",POWER(Upgrades!$U$7,F126),1)*IF(Upgrades!$T$8="First Photons",POWER(Upgrades!$U$8,G126),1)*IF(Upgrades!$T$9="First Photons",POWER(Upgrades!$U$9,H126),1)*IF(Upgrades!$T$10="First Photons",POWER(Upgrades!$U$10,I126),1)*IF(Upgrades!$T$11="First Photons",POWER(Upgrades!$U$11,J126),1)))*POWER(Upgrades!$Q$6,E126)*POWER(Upgrades!$Q$7,F126)*POWER(Upgrades!$Q$8,G126)*POWER(Upgrades!$Q$9,H126)*POWER(Upgrades!$Q$10,I126)*POWER(Upgrades!$Q$11,J126)*POWER(Upgrades!$Q$12,K126)</f>
        <v/>
      </c>
      <c r="N126" s="28">
        <f>((IF(E126=0,0,(Upgrades!$G$6+E126*Upgrades!$H$6)*POWER(Upgrades!$I$6,E126)))*(IF(Upgrades!$T$7="Solar Wind",POWER(Upgrades!$U$7,F126),1)*IF(Upgrades!$T$8="Solar Wind",POWER(Upgrades!$U$8,G126),1)*IF(Upgrades!$T$9="Solar Wind",POWER(Upgrades!$U$9,H126),1)*IF(Upgrades!$T$10="Solar Wind",POWER(Upgrades!$U$10,I126),1)*IF(Upgrades!$T$11="Solar Wind",POWER(Upgrades!$U$11,J126),1)*IF(Upgrades!$T$12="Solar Wind",POWER(Upgrades!$U$12,K126),1))+(IF(F126=0,0,(Upgrades!$G$7+F126*Upgrades!$H$7)*POWER(Upgrades!$I$7,F126)))*(IF(Upgrades!$T$6="Asteroid Belt",POWER(Upgrades!$U$6,E126),1)*IF(Upgrades!$T$8="Asteroid Belt",POWER(Upgrades!$U$8,G126),1)*IF(Upgrades!$T$9="Asteroid Belt",POWER(Upgrades!$U$9,H126),1)*IF(Upgrades!$T$10="Asteroid Belt",POWER(Upgrades!$U$10,I126),1)*IF(Upgrades!$T$11="Asteroid Belt",POWER(Upgrades!$U$11,J126),1)*IF(Upgrades!$T$12="Asteroid Belt",POWER(Upgrades!$U$12,K126),1))+(IF(G126=0,0,(Upgrades!$G$8+G126*Upgrades!$H$8)*POWER(Upgrades!$I$8,G126)))*(IF(Upgrades!$T$6="Stellar Coupling",POWER(Upgrades!$U$6,E126),1)*IF(Upgrades!$T$7="Stellar Coupling",POWER(Upgrades!$U$7,F126),1)*IF(Upgrades!$T$9="Stellar Coupling",POWER(Upgrades!$U$9,H126),1)*IF(Upgrades!$T$10="Stellar Coupling",POWER(Upgrades!$U$10,I126),1)*IF(Upgrades!$T$11="Stellar Coupling",POWER(Upgrades!$U$11,J126),1)*IF(Upgrades!$T$12="Stellar Coupling",POWER(Upgrades!$U$12,K126),1))+(IF(H126=0,0,(Upgrades!$G$9+H126*Upgrades!$H$9)*POWER(Upgrades!$I$9,H126)))*(IF(Upgrades!$T$6="Magnetosphere",POWER(Upgrades!$U$6,E126),1)*IF(Upgrades!$T$7="Magnetosphere",POWER(Upgrades!$U$7,F126),1)*IF(Upgrades!$T$8="Magnetosphere",POWER(Upgrades!$U$8,G126),1)*IF(Upgrades!$T$10="Magnetosphere",POWER(Upgrades!$U$10,I126),1)*IF(Upgrades!$T$11="Magnetosphere",POWER(Upgrades!$U$11,J126),1)*IF(Upgrades!$T$12="Magnetosphere",POWER(Upgrades!$U$12,K126),1))+(IF(I126=0,0,(Upgrades!$G$10+I126*Upgrades!$H$10)*POWER(Upgrades!$I$10,I126)))*(IF(Upgrades!$T$6="Orbital Resonance",POWER(Upgrades!$U$6,E126),1)*IF(Upgrades!$T$7="Orbital Resonance",POWER(Upgrades!$U$7,F126),1)*IF(Upgrades!$T$8="Orbital Resonance",POWER(Upgrades!$U$8,G126),1)*IF(Upgrades!$T$9="Orbital Resonance",POWER(Upgrades!$U$9,H126),1)*IF(Upgrades!$T$11="Orbital Resonance",POWER(Upgrades!$U$11,J126),1)*IF(Upgrades!$T$12="Orbital Resonance",POWER(Upgrades!$U$12,K126),1))+(IF(J126=0,0,(Upgrades!$G$11+J126*Upgrades!$H$11)*POWER(Upgrades!$I$11,J126)))*(IF(Upgrades!$T$6="Heliopause",POWER(Upgrades!$U$6,E126),1)*IF(Upgrades!$T$7="Heliopause",POWER(Upgrades!$U$7,F126),1)*IF(Upgrades!$T$8="Heliopause",POWER(Upgrades!$U$8,G126),1)*IF(Upgrades!$T$9="Heliopause",POWER(Upgrades!$U$9,H126),1)*IF(Upgrades!$T$10="Heliopause",POWER(Upgrades!$U$10,I126),1)*IF(Upgrades!$T$12="Heliopause",POWER(Upgrades!$U$12,K126),1))+(IF(K126=0,0,(Upgrades!$G$12+K126*Upgrades!$H$12)*POWER(Upgrades!$I$12,K126)))*(IF(Upgrades!$T$6="First Photons",POWER(Upgrades!$U$6,E126),1)*IF(Upgrades!$T$7="First Photons",POWER(Upgrades!$U$7,F126),1)*IF(Upgrades!$T$8="First Photons",POWER(Upgrades!$U$8,G126),1)*IF(Upgrades!$T$9="First Photons",POWER(Upgrades!$U$9,H126),1)*IF(Upgrades!$T$10="First Photons",POWER(Upgrades!$U$10,I126),1)*IF(Upgrades!$T$11="First Photons",POWER(Upgrades!$U$11,J126),1)))*POWER(Upgrades!$P$6,E126)*POWER(Upgrades!$P$7,F126)*POWER(Upgrades!$P$8,G126)*POWER(Upgrades!$P$9,H126)*POWER(Upgrades!$P$10,I126)*POWER(Upgrades!$P$11,J126)*POWER(Upgrades!$P$12,K126)</f>
        <v/>
      </c>
      <c r="O126" s="28">
        <f>((IF(E126=0,0,(Upgrades!$M$6+E126*Upgrades!$N$6)*POWER(Upgrades!$O$6,E126)))*(IF(Upgrades!$T$7="Solar Wind",POWER(Upgrades!$U$7,F126),1)*IF(Upgrades!$T$8="Solar Wind",POWER(Upgrades!$U$8,G126),1)*IF(Upgrades!$T$9="Solar Wind",POWER(Upgrades!$U$9,H126),1)*IF(Upgrades!$T$10="Solar Wind",POWER(Upgrades!$U$10,I126),1)*IF(Upgrades!$T$11="Solar Wind",POWER(Upgrades!$U$11,J126),1)*IF(Upgrades!$T$12="Solar Wind",POWER(Upgrades!$U$12,K126),1))+(IF(F126=0,0,(Upgrades!$M$7+F126*Upgrades!$N$7)*POWER(Upgrades!$O$7,F126)))*(IF(Upgrades!$T$6="Asteroid Belt",POWER(Upgrades!$U$6,E126),1)*IF(Upgrades!$T$8="Asteroid Belt",POWER(Upgrades!$U$8,G126),1)*IF(Upgrades!$T$9="Asteroid Belt",POWER(Upgrades!$U$9,H126),1)*IF(Upgrades!$T$10="Asteroid Belt",POWER(Upgrades!$U$10,I126),1)*IF(Upgrades!$T$11="Asteroid Belt",POWER(Upgrades!$U$11,J126),1)*IF(Upgrades!$T$12="Asteroid Belt",POWER(Upgrades!$U$12,K126),1))+(IF(G126=0,0,(Upgrades!$M$8+G126*Upgrades!$N$8)*POWER(Upgrades!$O$8,G126)))*(IF(Upgrades!$T$6="Stellar Coupling",POWER(Upgrades!$U$6,E126),1)*IF(Upgrades!$T$7="Stellar Coupling",POWER(Upgrades!$U$7,F126),1)*IF(Upgrades!$T$9="Stellar Coupling",POWER(Upgrades!$U$9,H126),1)*IF(Upgrades!$T$10="Stellar Coupling",POWER(Upgrades!$U$10,I126),1)*IF(Upgrades!$T$11="Stellar Coupling",POWER(Upgrades!$U$11,J126),1)*IF(Upgrades!$T$12="Stellar Coupling",POWER(Upgrades!$U$12,K126),1))+(IF(H126=0,0,(Upgrades!$M$9+H126*Upgrades!$N$9)*POWER(Upgrades!$O$9,H126)))*(IF(Upgrades!$T$6="Magnetosphere",POWER(Upgrades!$U$6,E126),1)*IF(Upgrades!$T$7="Magnetosphere",POWER(Upgrades!$U$7,F126),1)*IF(Upgrades!$T$8="Magnetosphere",POWER(Upgrades!$U$8,G126),1)*IF(Upgrades!$T$10="Magnetosphere",POWER(Upgrades!$U$10,I126),1)*IF(Upgrades!$T$11="Magnetosphere",POWER(Upgrades!$U$11,J126),1)*IF(Upgrades!$T$12="Magnetosphere",POWER(Upgrades!$U$12,K126),1))+(IF(I126=0,0,(Upgrades!$M$10+I126*Upgrades!$N$10)*POWER(Upgrades!$O$10,I126)))*(IF(Upgrades!$T$6="Orbital Resonance",POWER(Upgrades!$U$6,E126),1)*IF(Upgrades!$T$7="Orbital Resonance",POWER(Upgrades!$U$7,F126),1)*IF(Upgrades!$T$8="Orbital Resonance",POWER(Upgrades!$U$8,G126),1)*IF(Upgrades!$T$9="Orbital Resonance",POWER(Upgrades!$U$9,H126),1)*IF(Upgrades!$T$11="Orbital Resonance",POWER(Upgrades!$U$11,J126),1)*IF(Upgrades!$T$12="Orbital Resonance",POWER(Upgrades!$U$12,K126),1))+(IF(J126=0,0,(Upgrades!$M$11+J126*Upgrades!$N$11)*POWER(Upgrades!$O$11,J126)))*(IF(Upgrades!$T$6="Heliopause",POWER(Upgrades!$U$6,E126),1)*IF(Upgrades!$T$7="Heliopause",POWER(Upgrades!$U$7,F126),1)*IF(Upgrades!$T$8="Heliopause",POWER(Upgrades!$U$8,G126),1)*IF(Upgrades!$T$9="Heliopause",POWER(Upgrades!$U$9,H126),1)*IF(Upgrades!$T$10="Heliopause",POWER(Upgrades!$U$10,I126),1)*IF(Upgrades!$T$12="Heliopause",POWER(Upgrades!$U$12,K126),1))+(IF(K126=0,0,(Upgrades!$M$12+K126*Upgrades!$N$12)*POWER(Upgrades!$O$12,K126)))*(IF(Upgrades!$T$6="First Photons",POWER(Upgrades!$U$6,E126),1)*IF(Upgrades!$T$7="First Photons",POWER(Upgrades!$U$7,F126),1)*IF(Upgrades!$T$8="First Photons",POWER(Upgrades!$U$8,G126),1)*IF(Upgrades!$T$9="First Photons",POWER(Upgrades!$U$9,H126),1)*IF(Upgrades!$T$10="First Photons",POWER(Upgrades!$U$10,I126),1)*IF(Upgrades!$T$11="First Photons",POWER(Upgrades!$U$11,J126),1)))*POWER(Upgrades!$R$6,E126)*POWER(Upgrades!$R$7,F126)*POWER(Upgrades!$R$8,G126)*POWER(Upgrades!$R$9,H126)*POWER(Upgrades!$R$10,I126)*POWER(Upgrades!$R$11,J126)*POWER(Upgrades!$R$12,K126)</f>
        <v/>
      </c>
      <c r="P126" s="27">
        <f>IF(L126=1,0,M126*Parameters!$B$10/60*Parameters!$B$11*10)</f>
        <v/>
      </c>
      <c r="Q126" s="27">
        <f>IF(L126=1,0,O126*M126*10)</f>
        <v/>
      </c>
      <c r="R126" s="27">
        <f>IF(L126=1,0,N126*10)</f>
        <v/>
      </c>
      <c r="S126" s="27">
        <f>P126+Q126+R126</f>
        <v/>
      </c>
      <c r="T126" s="22">
        <f>C126+S126</f>
        <v/>
      </c>
      <c r="U126" s="33">
        <f>AX126</f>
        <v/>
      </c>
      <c r="V126" s="22">
        <f>IF(U126="",0,IF(U126="transition",0,IF(U126="SW",AG126,IF(U126="AB",AH126,IF(U126="SC",AI126,IF(U126="Mag",AJ126,IF(U126="OR",AK126,IF(U126="HP",AL126,IF(U126="FP",AM126,0)))))))))</f>
        <v/>
      </c>
      <c r="W126" s="27">
        <f>IF(U126="OR",Upgrades!$F$10,IF(U126="HP",Upgrades!$F$11,IF(U126="transition",-Parameters!$B$18,0)))</f>
        <v/>
      </c>
      <c r="X126" s="22">
        <f>T126-V126</f>
        <v/>
      </c>
      <c r="Y126" s="30">
        <f>M126*Parameters!$B$10/60*Parameters!$B$11+O126*M126+N126</f>
        <v/>
      </c>
      <c r="Z126" s="34">
        <f>IF(U126="transition","→ Tier 2 (Stellar Neighborhood)",IF(U126="FP","First Photons — light begins, system quickens",IF(U126="HP","Heliopause acquired",IF(U126="OR","Orbital Resonance — passive multiplier active",IF(AND(AO126=1,L126=0,AN126&lt;&gt;1),"Cohesion ready (waiting on completionist upgrades)","")))))</f>
        <v/>
      </c>
      <c r="AA126" s="27">
        <f>(IF(E126=0,0,(Upgrades!$G$6+E126*Upgrades!$H$6)*POWER(Upgrades!$I$6,E126)))*(IF(Upgrades!$T$7="Solar Wind",POWER(Upgrades!$U$7,F126),1)*IF(Upgrades!$T$8="Solar Wind",POWER(Upgrades!$U$8,G126),1)*IF(Upgrades!$T$9="Solar Wind",POWER(Upgrades!$U$9,H126),1)*IF(Upgrades!$T$10="Solar Wind",POWER(Upgrades!$U$10,I126),1)*IF(Upgrades!$T$11="Solar Wind",POWER(Upgrades!$U$11,J126),1)*IF(Upgrades!$T$12="Solar Wind",POWER(Upgrades!$U$12,K126),1))*POWER(Upgrades!$P$6,E126)*POWER(Upgrades!$P$7,F126)*POWER(Upgrades!$P$8,G126)*POWER(Upgrades!$P$9,H126)*POWER(Upgrades!$P$10,I126)*POWER(Upgrades!$P$11,J126)*POWER(Upgrades!$P$12,K126)*60</f>
        <v/>
      </c>
      <c r="AB126" s="27">
        <f>(IF(F126=0,0,(Upgrades!$G$7+F126*Upgrades!$H$7)*POWER(Upgrades!$I$7,F126)))*(IF(Upgrades!$T$6="Asteroid Belt",POWER(Upgrades!$U$6,E126),1)*IF(Upgrades!$T$8="Asteroid Belt",POWER(Upgrades!$U$8,G126),1)*IF(Upgrades!$T$9="Asteroid Belt",POWER(Upgrades!$U$9,H126),1)*IF(Upgrades!$T$10="Asteroid Belt",POWER(Upgrades!$U$10,I126),1)*IF(Upgrades!$T$11="Asteroid Belt",POWER(Upgrades!$U$11,J126),1)*IF(Upgrades!$T$12="Asteroid Belt",POWER(Upgrades!$U$12,K126),1))*POWER(Upgrades!$P$6,E126)*POWER(Upgrades!$P$7,F126)*POWER(Upgrades!$P$8,G126)*POWER(Upgrades!$P$9,H126)*POWER(Upgrades!$P$10,I126)*POWER(Upgrades!$P$11,J126)*POWER(Upgrades!$P$12,K126)*60</f>
        <v/>
      </c>
      <c r="AC126" s="27">
        <f>(IF(G126=0,0,(Upgrades!$J$8+G126*Upgrades!$K$8)*POWER(Upgrades!$L$8,G126)))*(IF(Upgrades!$T$6="Stellar Coupling",POWER(Upgrades!$U$6,E126),1)*IF(Upgrades!$T$7="Stellar Coupling",POWER(Upgrades!$U$7,F126),1)*IF(Upgrades!$T$9="Stellar Coupling",POWER(Upgrades!$U$9,H126),1)*IF(Upgrades!$T$10="Stellar Coupling",POWER(Upgrades!$U$10,I126),1)*IF(Upgrades!$T$11="Stellar Coupling",POWER(Upgrades!$U$11,J126),1)*IF(Upgrades!$T$12="Stellar Coupling",POWER(Upgrades!$U$12,K126),1))*POWER(Upgrades!$Q$6,E126)*POWER(Upgrades!$Q$7,F126)*POWER(Upgrades!$Q$8,G126)*POWER(Upgrades!$Q$9,H126)*POWER(Upgrades!$Q$10,I126)*POWER(Upgrades!$Q$11,J126)*POWER(Upgrades!$Q$12,K126)*Parameters!$B$10*Parameters!$B$11</f>
        <v/>
      </c>
      <c r="AD126" s="27">
        <f>(IF(H126=0,0,(Upgrades!$G$9+H126*Upgrades!$H$9)*POWER(Upgrades!$I$9,H126)))*(IF(Upgrades!$T$6="Magnetosphere",POWER(Upgrades!$U$6,E126),1)*IF(Upgrades!$T$7="Magnetosphere",POWER(Upgrades!$U$7,F126),1)*IF(Upgrades!$T$8="Magnetosphere",POWER(Upgrades!$U$8,G126),1)*IF(Upgrades!$T$10="Magnetosphere",POWER(Upgrades!$U$10,I126),1)*IF(Upgrades!$T$11="Magnetosphere",POWER(Upgrades!$U$11,J126),1)*IF(Upgrades!$T$12="Magnetosphere",POWER(Upgrades!$U$12,K126),1))*POWER(Upgrades!$P$6,E126)*POWER(Upgrades!$P$7,F126)*POWER(Upgrades!$P$8,G126)*POWER(Upgrades!$P$9,H126)*POWER(Upgrades!$P$10,I126)*POWER(Upgrades!$P$11,J126)*POWER(Upgrades!$P$12,K126)*60</f>
        <v/>
      </c>
      <c r="AE126" s="27">
        <f>(IF(K126=0,0,(Upgrades!$G$12+K126*Upgrades!$H$12)*POWER(Upgrades!$I$12,K126)))*(IF(Upgrades!$T$6="First Photons",POWER(Upgrades!$U$6,E126),1)*IF(Upgrades!$T$7="First Photons",POWER(Upgrades!$U$7,F126),1)*IF(Upgrades!$T$8="First Photons",POWER(Upgrades!$U$8,G126),1)*IF(Upgrades!$T$9="First Photons",POWER(Upgrades!$U$9,H126),1)*IF(Upgrades!$T$10="First Photons",POWER(Upgrades!$U$10,I126),1)*IF(Upgrades!$T$11="First Photons",POWER(Upgrades!$U$11,J126),1))*POWER(Upgrades!$P$6,E126)*POWER(Upgrades!$P$7,F126)*POWER(Upgrades!$P$8,G126)*POWER(Upgrades!$P$9,H126)*POWER(Upgrades!$P$10,I126)*POWER(Upgrades!$P$11,J126)*POWER(Upgrades!$P$12,K126)*60</f>
        <v/>
      </c>
      <c r="AF126" s="27">
        <f>Parameters!$B$9*POWER(Upgrades!$Q$6,E126)*POWER(Upgrades!$Q$7,F126)*POWER(Upgrades!$Q$8,G126)*POWER(Upgrades!$Q$9,H126)*POWER(Upgrades!$Q$10,I126)*POWER(Upgrades!$Q$11,J126)*POWER(Upgrades!$Q$12,K126)*(Parameters!$B$10*Parameters!$B$11+O126*60)</f>
        <v/>
      </c>
      <c r="AG126" s="22">
        <f>IF(E126&gt;=Upgrades!$E$6,"",Upgrades!$C$6*POWER(Upgrades!$D$6,E126))</f>
        <v/>
      </c>
      <c r="AH126" s="22">
        <f>IF(F126&gt;=Upgrades!$E$7,"",Upgrades!$C$7*POWER(Upgrades!$D$7,F126))</f>
        <v/>
      </c>
      <c r="AI126" s="22">
        <f>IF(G126&gt;=Upgrades!$E$8,"",Upgrades!$C$8*POWER(Upgrades!$D$8,G126))</f>
        <v/>
      </c>
      <c r="AJ126" s="22">
        <f>IF(H126&gt;=Upgrades!$E$9,"",Upgrades!$C$9*POWER(Upgrades!$D$9,H126))</f>
        <v/>
      </c>
      <c r="AK126" s="22">
        <f>IF(I126&gt;=Upgrades!$E$10,"",Upgrades!$C$10*POWER(Upgrades!$D$10,I126))</f>
        <v/>
      </c>
      <c r="AL126" s="22">
        <f>IF(J126&gt;=Upgrades!$E$11,"",Upgrades!$C$11*POWER(Upgrades!$D$11,J126))</f>
        <v/>
      </c>
      <c r="AM126" s="22">
        <f>IF(K126&gt;=Upgrades!$E$12,"",Upgrades!$C$12*POWER(Upgrades!$D$12,K126))</f>
        <v/>
      </c>
      <c r="AN126" s="26">
        <f>IF(AND(D126&gt;=Parameters!$B$18,(H126&gt;=Upgrades!$E$9)*(K126&gt;=Upgrades!$E$12)=1,L126=0),1,"")</f>
        <v/>
      </c>
      <c r="AO126" s="26">
        <f>IF(AND(D126&gt;=Parameters!$B$18,L126=0),1,"")</f>
        <v/>
      </c>
      <c r="AP126" s="22">
        <f>MIN(IF(ISNUMBER(AK126),AK126,9E15),IF(ISNUMBER(AL126),AL126,9E15),IF(ISNUMBER(AM126),AM126,9E15))</f>
        <v/>
      </c>
      <c r="AQ126" s="22">
        <f>MIN(IF(ISNUMBER(AG126),AG126,9E15),IF(ISNUMBER(AH126),AH126,9E15),IF(ISNUMBER(AI126),AI126,9E15),IF(ISNUMBER(AJ126),AJ126,9E15))</f>
        <v/>
      </c>
      <c r="AR126" s="29">
        <f>IF(AW126&gt;Parameters!$B$21*(MAX(IF(AND(NOT(AND(AO126=1,AN126&lt;&gt;1)),ISNUMBER(AG126),AG126&lt;=T126),AS126,0),IF(AND(NOT(AND(AO126=1,AN126&lt;&gt;1)),ISNUMBER(AH126),AH126&lt;=T126),AT126,0),IF(AND(NOT(AND(AO126=1,AN126&lt;&gt;1)),ISNUMBER(AI126),AI126&lt;=T126),AU126,0),IF(AND(ISNUMBER(AJ126),AJ126&lt;=T126),AV126,0))),TRUE,FALSE)</f>
        <v/>
      </c>
      <c r="AS126" s="32">
        <f>IFERROR(Upgrades!$H$6*(POWER(Upgrades!$P$6,E126)*POWER(Upgrades!$P$7,F126)*POWER(Upgrades!$P$8,G126)*POWER(Upgrades!$P$9,H126)*POWER(Upgrades!$P$10,I126)*POWER(Upgrades!$P$11,J126)*POWER(Upgrades!$P$12,K126))*(IF(Upgrades!$T$7="Solar Wind",POWER(Upgrades!$U$7,F126),1)*IF(Upgrades!$T$8="Solar Wind",POWER(Upgrades!$U$8,G126),1)*IF(Upgrades!$T$9="Solar Wind",POWER(Upgrades!$U$9,H126),1)*IF(Upgrades!$T$10="Solar Wind",POWER(Upgrades!$U$10,I126),1)*IF(Upgrades!$T$11="Solar Wind",POWER(Upgrades!$U$11,J126),1)*IF(Upgrades!$T$12="Solar Wind",POWER(Upgrades!$U$12,K126),1))/AG126,0)</f>
        <v/>
      </c>
      <c r="AT126" s="32">
        <f>IFERROR(Upgrades!$H$7*(POWER(Upgrades!$P$6,E126)*POWER(Upgrades!$P$7,F126)*POWER(Upgrades!$P$8,G126)*POWER(Upgrades!$P$9,H126)*POWER(Upgrades!$P$10,I126)*POWER(Upgrades!$P$11,J126)*POWER(Upgrades!$P$12,K126))*(IF(Upgrades!$T$6="Asteroid Belt",POWER(Upgrades!$U$6,E126),1)*IF(Upgrades!$T$8="Asteroid Belt",POWER(Upgrades!$U$8,G126),1)*IF(Upgrades!$T$9="Asteroid Belt",POWER(Upgrades!$U$9,H126),1)*IF(Upgrades!$T$10="Asteroid Belt",POWER(Upgrades!$U$10,I126),1)*IF(Upgrades!$T$11="Asteroid Belt",POWER(Upgrades!$U$11,J126),1)*IF(Upgrades!$T$12="Asteroid Belt",POWER(Upgrades!$U$12,K126),1))/AH126,0)</f>
        <v/>
      </c>
      <c r="AU126" s="32">
        <f>IFERROR(Upgrades!$K$8*(POWER(Upgrades!$Q$6,E126)*POWER(Upgrades!$Q$7,F126)*POWER(Upgrades!$Q$8,G126)*POWER(Upgrades!$Q$9,H126)*POWER(Upgrades!$Q$10,I126)*POWER(Upgrades!$Q$11,J126)*POWER(Upgrades!$Q$12,K126))*(IF(Upgrades!$T$6="Stellar Coupling",POWER(Upgrades!$U$6,E126),1)*IF(Upgrades!$T$7="Stellar Coupling",POWER(Upgrades!$U$7,F126),1)*IF(Upgrades!$T$9="Stellar Coupling",POWER(Upgrades!$U$9,H126),1)*IF(Upgrades!$T$10="Stellar Coupling",POWER(Upgrades!$U$10,I126),1)*IF(Upgrades!$T$11="Stellar Coupling",POWER(Upgrades!$U$11,J126),1)*IF(Upgrades!$T$12="Stellar Coupling",POWER(Upgrades!$U$12,K126),1))*Parameters!$B$10*Parameters!$B$11/60/AI126,0)</f>
        <v/>
      </c>
      <c r="AV126" s="32">
        <f>IFERROR(Upgrades!$H$9*(POWER(Upgrades!$P$6,E126)*POWER(Upgrades!$P$7,F126)*POWER(Upgrades!$P$8,G126)*POWER(Upgrades!$P$9,H126)*POWER(Upgrades!$P$10,I126)*POWER(Upgrades!$P$11,J126)*POWER(Upgrades!$P$12,K126))*(IF(Upgrades!$T$6="Magnetosphere",POWER(Upgrades!$U$6,E126),1)*IF(Upgrades!$T$7="Magnetosphere",POWER(Upgrades!$U$7,F126),1)*IF(Upgrades!$T$8="Magnetosphere",POWER(Upgrades!$U$8,G126),1)*IF(Upgrades!$T$10="Magnetosphere",POWER(Upgrades!$U$10,I126),1)*IF(Upgrades!$T$11="Magnetosphere",POWER(Upgrades!$U$11,J126),1)*IF(Upgrades!$T$12="Magnetosphere",POWER(Upgrades!$U$12,K126),1))/AJ126,0)</f>
        <v/>
      </c>
      <c r="AW126" s="32">
        <f>MAX(IF(I126&gt;0,0,IFERROR(0.25*N126/Upgrades!$C$10,0)),IF(J126&gt;0,0,IFERROR(0.5*((IF(G126=0,0,(Upgrades!$J$8+G126*Upgrades!$K$8)*POWER(Upgrades!$L$8,G126)))*(IF(Upgrades!$T$6="Stellar Coupling",POWER(Upgrades!$U$6,E126),1)*IF(Upgrades!$T$7="Stellar Coupling",POWER(Upgrades!$U$7,F126),1)*IF(Upgrades!$T$9="Stellar Coupling",POWER(Upgrades!$U$9,H126),1)*IF(Upgrades!$T$10="Stellar Coupling",POWER(Upgrades!$U$10,I126),1)*IF(Upgrades!$T$11="Stellar Coupling",POWER(Upgrades!$U$11,J126),1)*IF(Upgrades!$T$12="Stellar Coupling",POWER(Upgrades!$U$12,K126),1))*(POWER(Upgrades!$Q$6,E126)*POWER(Upgrades!$Q$7,F126)*POWER(Upgrades!$Q$8,G126)*POWER(Upgrades!$Q$9,H126)*POWER(Upgrades!$Q$10,I126)*POWER(Upgrades!$Q$11,J126)*POWER(Upgrades!$Q$12,K126))*Parameters!$B$10*Parameters!$B$11/60)/Upgrades!$C$11,0)),IF(K126&gt;0,0,IFERROR((1.0*(POWER(Upgrades!$P$6,E126)*POWER(Upgrades!$P$7,F126)*POWER(Upgrades!$P$8,G126)*POWER(Upgrades!$P$9,H126)*POWER(Upgrades!$P$10,I126)*POWER(Upgrades!$P$11,J126)*POWER(Upgrades!$P$12,K126))+0.20*M126*Parameters!$B$10*Parameters!$B$11/60)/Upgrades!$C$12,0)),IF(AND(ISNUMBER(AG126),AG126&gt;T126),AS126,0),IF(AND(ISNUMBER(AH126),AH126&gt;T126),AT126,0),IF(AND(ISNUMBER(AI126),AI126&gt;T126),AU126,0),IF(AND(ISNUMBER(AJ126),AJ126&gt;T126),AV126,0))</f>
        <v/>
      </c>
      <c r="AX126" s="29">
        <f>IF(AN126=1,"transition",IF(MIN(IF(AND(I126=0,ISNUMBER(AK126),AK126&lt;=T126),AK126,9E15),IF(AND(J126=0,ISNUMBER(AL126),AL126&lt;=T126),AL126,9E15),IF(AND(K126=0,ISNUMBER(AM126),AM126&lt;=T126),AM126,9E15))&lt;9E15,IF(AND(AND(I126=0,ISNUMBER(AK126),AK126&lt;=T126),AK126=MIN(IF(AND(I126=0,ISNUMBER(AK126),AK126&lt;=T126),AK126,9E15),IF(AND(J126=0,ISNUMBER(AL126),AL126&lt;=T126),AL126,9E15),IF(AND(K126=0,ISNUMBER(AM126),AM126&lt;=T126),AM126,9E15))),"OR",IF(AND(AND(J126=0,ISNUMBER(AL126),AL126&lt;=T126),AL126=MIN(IF(AND(I126=0,ISNUMBER(AK126),AK126&lt;=T126),AK126,9E15),IF(AND(J126=0,ISNUMBER(AL126),AL126&lt;=T126),AL126,9E15),IF(AND(K126=0,ISNUMBER(AM126),AM126&lt;=T126),AM126,9E15))),"HP","FP")),IF(AR126=TRUE,"",IF(MAX(IF(AND(NOT(AND(AO126=1,AN126&lt;&gt;1)),ISNUMBER(AG126),AG126&lt;=T126),AS126,0),IF(AND(NOT(AND(AO126=1,AN126&lt;&gt;1)),ISNUMBER(AH126),AH126&lt;=T126),AT126,0),IF(AND(NOT(AND(AO126=1,AN126&lt;&gt;1)),ISNUMBER(AI126),AI126&lt;=T126),AU126,0),IF(AND(ISNUMBER(AJ126),AJ126&lt;=T126),AV126,0))&lt;=0,"",IF(AND(IF(AND(NOT(AND(AO126=1,AN126&lt;&gt;1)),ISNUMBER(AG126),AG126&lt;=T126),AS126,0)&gt;0,IF(AND(NOT(AND(AO126=1,AN126&lt;&gt;1)),ISNUMBER(AG126),AG126&lt;=T126),AS126,0)=MAX(IF(AND(NOT(AND(AO126=1,AN126&lt;&gt;1)),ISNUMBER(AG126),AG126&lt;=T126),AS126,0),IF(AND(NOT(AND(AO126=1,AN126&lt;&gt;1)),ISNUMBER(AH126),AH126&lt;=T126),AT126,0),IF(AND(NOT(AND(AO126=1,AN126&lt;&gt;1)),ISNUMBER(AI126),AI126&lt;=T126),AU126,0),IF(AND(ISNUMBER(AJ126),AJ126&lt;=T126),AV126,0))),"SW",IF(AND(IF(AND(NOT(AND(AO126=1,AN126&lt;&gt;1)),ISNUMBER(AH126),AH126&lt;=T126),AT126,0)&gt;0,IF(AND(NOT(AND(AO126=1,AN126&lt;&gt;1)),ISNUMBER(AH126),AH126&lt;=T126),AT126,0)=MAX(IF(AND(NOT(AND(AO126=1,AN126&lt;&gt;1)),ISNUMBER(AG126),AG126&lt;=T126),AS126,0),IF(AND(NOT(AND(AO126=1,AN126&lt;&gt;1)),ISNUMBER(AH126),AH126&lt;=T126),AT126,0),IF(AND(NOT(AND(AO126=1,AN126&lt;&gt;1)),ISNUMBER(AI126),AI126&lt;=T126),AU126,0),IF(AND(ISNUMBER(AJ126),AJ126&lt;=T126),AV126,0))),"AB",IF(AND(IF(AND(NOT(AND(AO126=1,AN126&lt;&gt;1)),ISNUMBER(AI126),AI126&lt;=T126),AU126,0)&gt;0,IF(AND(NOT(AND(AO126=1,AN126&lt;&gt;1)),ISNUMBER(AI126),AI126&lt;=T126),AU126,0)=MAX(IF(AND(NOT(AND(AO126=1,AN126&lt;&gt;1)),ISNUMBER(AG126),AG126&lt;=T126),AS126,0),IF(AND(NOT(AND(AO126=1,AN126&lt;&gt;1)),ISNUMBER(AH126),AH126&lt;=T126),AT126,0),IF(AND(NOT(AND(AO126=1,AN126&lt;&gt;1)),ISNUMBER(AI126),AI126&lt;=T126),AU126,0),IF(AND(ISNUMBER(AJ126),AJ126&lt;=T126),AV126,0))),"SC","Mag")))))))</f>
        <v/>
      </c>
    </row>
    <row r="127">
      <c r="A127" s="26" t="n">
        <v>122</v>
      </c>
      <c r="B127" s="27">
        <f>A127*10/60</f>
        <v/>
      </c>
      <c r="C127" s="22">
        <f>X126</f>
        <v/>
      </c>
      <c r="D127" s="27">
        <f>D126+W126</f>
        <v/>
      </c>
      <c r="E127" s="26">
        <f>E126+IF(U126="SW",1,0)</f>
        <v/>
      </c>
      <c r="F127" s="26">
        <f>F126+IF(U126="AB",1,0)</f>
        <v/>
      </c>
      <c r="G127" s="26">
        <f>G126+IF(U126="SC",1,0)</f>
        <v/>
      </c>
      <c r="H127" s="26">
        <f>H126+IF(U126="Mag",1,0)</f>
        <v/>
      </c>
      <c r="I127" s="26">
        <f>MAX(I126,IF(U126="OR",1,0))</f>
        <v/>
      </c>
      <c r="J127" s="26">
        <f>MAX(J126,IF(U126="HP",1,0))</f>
        <v/>
      </c>
      <c r="K127" s="26">
        <f>MAX(K126,IF(U126="FP",1,0))</f>
        <v/>
      </c>
      <c r="L127" s="26">
        <f>MAX(L126,IF(U126="transition",1,0))</f>
        <v/>
      </c>
      <c r="M127" s="28">
        <f>(Parameters!$B$9+(IF(E127=0,0,(Upgrades!$J$6+E127*Upgrades!$K$6)*POWER(Upgrades!$L$6,E127)))*(IF(Upgrades!$T$7="Solar Wind",POWER(Upgrades!$U$7,F127),1)*IF(Upgrades!$T$8="Solar Wind",POWER(Upgrades!$U$8,G127),1)*IF(Upgrades!$T$9="Solar Wind",POWER(Upgrades!$U$9,H127),1)*IF(Upgrades!$T$10="Solar Wind",POWER(Upgrades!$U$10,I127),1)*IF(Upgrades!$T$11="Solar Wind",POWER(Upgrades!$U$11,J127),1)*IF(Upgrades!$T$12="Solar Wind",POWER(Upgrades!$U$12,K127),1))+(IF(F127=0,0,(Upgrades!$J$7+F127*Upgrades!$K$7)*POWER(Upgrades!$L$7,F127)))*(IF(Upgrades!$T$6="Asteroid Belt",POWER(Upgrades!$U$6,E127),1)*IF(Upgrades!$T$8="Asteroid Belt",POWER(Upgrades!$U$8,G127),1)*IF(Upgrades!$T$9="Asteroid Belt",POWER(Upgrades!$U$9,H127),1)*IF(Upgrades!$T$10="Asteroid Belt",POWER(Upgrades!$U$10,I127),1)*IF(Upgrades!$T$11="Asteroid Belt",POWER(Upgrades!$U$11,J127),1)*IF(Upgrades!$T$12="Asteroid Belt",POWER(Upgrades!$U$12,K127),1))+(IF(G127=0,0,(Upgrades!$J$8+G127*Upgrades!$K$8)*POWER(Upgrades!$L$8,G127)))*(IF(Upgrades!$T$6="Stellar Coupling",POWER(Upgrades!$U$6,E127),1)*IF(Upgrades!$T$7="Stellar Coupling",POWER(Upgrades!$U$7,F127),1)*IF(Upgrades!$T$9="Stellar Coupling",POWER(Upgrades!$U$9,H127),1)*IF(Upgrades!$T$10="Stellar Coupling",POWER(Upgrades!$U$10,I127),1)*IF(Upgrades!$T$11="Stellar Coupling",POWER(Upgrades!$U$11,J127),1)*IF(Upgrades!$T$12="Stellar Coupling",POWER(Upgrades!$U$12,K127),1))+(IF(H127=0,0,(Upgrades!$J$9+H127*Upgrades!$K$9)*POWER(Upgrades!$L$9,H127)))*(IF(Upgrades!$T$6="Magnetosphere",POWER(Upgrades!$U$6,E127),1)*IF(Upgrades!$T$7="Magnetosphere",POWER(Upgrades!$U$7,F127),1)*IF(Upgrades!$T$8="Magnetosphere",POWER(Upgrades!$U$8,G127),1)*IF(Upgrades!$T$10="Magnetosphere",POWER(Upgrades!$U$10,I127),1)*IF(Upgrades!$T$11="Magnetosphere",POWER(Upgrades!$U$11,J127),1)*IF(Upgrades!$T$12="Magnetosphere",POWER(Upgrades!$U$12,K127),1))+(IF(I127=0,0,(Upgrades!$J$10+I127*Upgrades!$K$10)*POWER(Upgrades!$L$10,I127)))*(IF(Upgrades!$T$6="Orbital Resonance",POWER(Upgrades!$U$6,E127),1)*IF(Upgrades!$T$7="Orbital Resonance",POWER(Upgrades!$U$7,F127),1)*IF(Upgrades!$T$8="Orbital Resonance",POWER(Upgrades!$U$8,G127),1)*IF(Upgrades!$T$9="Orbital Resonance",POWER(Upgrades!$U$9,H127),1)*IF(Upgrades!$T$11="Orbital Resonance",POWER(Upgrades!$U$11,J127),1)*IF(Upgrades!$T$12="Orbital Resonance",POWER(Upgrades!$U$12,K127),1))+(IF(J127=0,0,(Upgrades!$J$11+J127*Upgrades!$K$11)*POWER(Upgrades!$L$11,J127)))*(IF(Upgrades!$T$6="Heliopause",POWER(Upgrades!$U$6,E127),1)*IF(Upgrades!$T$7="Heliopause",POWER(Upgrades!$U$7,F127),1)*IF(Upgrades!$T$8="Heliopause",POWER(Upgrades!$U$8,G127),1)*IF(Upgrades!$T$9="Heliopause",POWER(Upgrades!$U$9,H127),1)*IF(Upgrades!$T$10="Heliopause",POWER(Upgrades!$U$10,I127),1)*IF(Upgrades!$T$12="Heliopause",POWER(Upgrades!$U$12,K127),1))+(IF(K127=0,0,(Upgrades!$J$12+K127*Upgrades!$K$12)*POWER(Upgrades!$L$12,K127)))*(IF(Upgrades!$T$6="First Photons",POWER(Upgrades!$U$6,E127),1)*IF(Upgrades!$T$7="First Photons",POWER(Upgrades!$U$7,F127),1)*IF(Upgrades!$T$8="First Photons",POWER(Upgrades!$U$8,G127),1)*IF(Upgrades!$T$9="First Photons",POWER(Upgrades!$U$9,H127),1)*IF(Upgrades!$T$10="First Photons",POWER(Upgrades!$U$10,I127),1)*IF(Upgrades!$T$11="First Photons",POWER(Upgrades!$U$11,J127),1)))*POWER(Upgrades!$Q$6,E127)*POWER(Upgrades!$Q$7,F127)*POWER(Upgrades!$Q$8,G127)*POWER(Upgrades!$Q$9,H127)*POWER(Upgrades!$Q$10,I127)*POWER(Upgrades!$Q$11,J127)*POWER(Upgrades!$Q$12,K127)</f>
        <v/>
      </c>
      <c r="N127" s="28">
        <f>((IF(E127=0,0,(Upgrades!$G$6+E127*Upgrades!$H$6)*POWER(Upgrades!$I$6,E127)))*(IF(Upgrades!$T$7="Solar Wind",POWER(Upgrades!$U$7,F127),1)*IF(Upgrades!$T$8="Solar Wind",POWER(Upgrades!$U$8,G127),1)*IF(Upgrades!$T$9="Solar Wind",POWER(Upgrades!$U$9,H127),1)*IF(Upgrades!$T$10="Solar Wind",POWER(Upgrades!$U$10,I127),1)*IF(Upgrades!$T$11="Solar Wind",POWER(Upgrades!$U$11,J127),1)*IF(Upgrades!$T$12="Solar Wind",POWER(Upgrades!$U$12,K127),1))+(IF(F127=0,0,(Upgrades!$G$7+F127*Upgrades!$H$7)*POWER(Upgrades!$I$7,F127)))*(IF(Upgrades!$T$6="Asteroid Belt",POWER(Upgrades!$U$6,E127),1)*IF(Upgrades!$T$8="Asteroid Belt",POWER(Upgrades!$U$8,G127),1)*IF(Upgrades!$T$9="Asteroid Belt",POWER(Upgrades!$U$9,H127),1)*IF(Upgrades!$T$10="Asteroid Belt",POWER(Upgrades!$U$10,I127),1)*IF(Upgrades!$T$11="Asteroid Belt",POWER(Upgrades!$U$11,J127),1)*IF(Upgrades!$T$12="Asteroid Belt",POWER(Upgrades!$U$12,K127),1))+(IF(G127=0,0,(Upgrades!$G$8+G127*Upgrades!$H$8)*POWER(Upgrades!$I$8,G127)))*(IF(Upgrades!$T$6="Stellar Coupling",POWER(Upgrades!$U$6,E127),1)*IF(Upgrades!$T$7="Stellar Coupling",POWER(Upgrades!$U$7,F127),1)*IF(Upgrades!$T$9="Stellar Coupling",POWER(Upgrades!$U$9,H127),1)*IF(Upgrades!$T$10="Stellar Coupling",POWER(Upgrades!$U$10,I127),1)*IF(Upgrades!$T$11="Stellar Coupling",POWER(Upgrades!$U$11,J127),1)*IF(Upgrades!$T$12="Stellar Coupling",POWER(Upgrades!$U$12,K127),1))+(IF(H127=0,0,(Upgrades!$G$9+H127*Upgrades!$H$9)*POWER(Upgrades!$I$9,H127)))*(IF(Upgrades!$T$6="Magnetosphere",POWER(Upgrades!$U$6,E127),1)*IF(Upgrades!$T$7="Magnetosphere",POWER(Upgrades!$U$7,F127),1)*IF(Upgrades!$T$8="Magnetosphere",POWER(Upgrades!$U$8,G127),1)*IF(Upgrades!$T$10="Magnetosphere",POWER(Upgrades!$U$10,I127),1)*IF(Upgrades!$T$11="Magnetosphere",POWER(Upgrades!$U$11,J127),1)*IF(Upgrades!$T$12="Magnetosphere",POWER(Upgrades!$U$12,K127),1))+(IF(I127=0,0,(Upgrades!$G$10+I127*Upgrades!$H$10)*POWER(Upgrades!$I$10,I127)))*(IF(Upgrades!$T$6="Orbital Resonance",POWER(Upgrades!$U$6,E127),1)*IF(Upgrades!$T$7="Orbital Resonance",POWER(Upgrades!$U$7,F127),1)*IF(Upgrades!$T$8="Orbital Resonance",POWER(Upgrades!$U$8,G127),1)*IF(Upgrades!$T$9="Orbital Resonance",POWER(Upgrades!$U$9,H127),1)*IF(Upgrades!$T$11="Orbital Resonance",POWER(Upgrades!$U$11,J127),1)*IF(Upgrades!$T$12="Orbital Resonance",POWER(Upgrades!$U$12,K127),1))+(IF(J127=0,0,(Upgrades!$G$11+J127*Upgrades!$H$11)*POWER(Upgrades!$I$11,J127)))*(IF(Upgrades!$T$6="Heliopause",POWER(Upgrades!$U$6,E127),1)*IF(Upgrades!$T$7="Heliopause",POWER(Upgrades!$U$7,F127),1)*IF(Upgrades!$T$8="Heliopause",POWER(Upgrades!$U$8,G127),1)*IF(Upgrades!$T$9="Heliopause",POWER(Upgrades!$U$9,H127),1)*IF(Upgrades!$T$10="Heliopause",POWER(Upgrades!$U$10,I127),1)*IF(Upgrades!$T$12="Heliopause",POWER(Upgrades!$U$12,K127),1))+(IF(K127=0,0,(Upgrades!$G$12+K127*Upgrades!$H$12)*POWER(Upgrades!$I$12,K127)))*(IF(Upgrades!$T$6="First Photons",POWER(Upgrades!$U$6,E127),1)*IF(Upgrades!$T$7="First Photons",POWER(Upgrades!$U$7,F127),1)*IF(Upgrades!$T$8="First Photons",POWER(Upgrades!$U$8,G127),1)*IF(Upgrades!$T$9="First Photons",POWER(Upgrades!$U$9,H127),1)*IF(Upgrades!$T$10="First Photons",POWER(Upgrades!$U$10,I127),1)*IF(Upgrades!$T$11="First Photons",POWER(Upgrades!$U$11,J127),1)))*POWER(Upgrades!$P$6,E127)*POWER(Upgrades!$P$7,F127)*POWER(Upgrades!$P$8,G127)*POWER(Upgrades!$P$9,H127)*POWER(Upgrades!$P$10,I127)*POWER(Upgrades!$P$11,J127)*POWER(Upgrades!$P$12,K127)</f>
        <v/>
      </c>
      <c r="O127" s="28">
        <f>((IF(E127=0,0,(Upgrades!$M$6+E127*Upgrades!$N$6)*POWER(Upgrades!$O$6,E127)))*(IF(Upgrades!$T$7="Solar Wind",POWER(Upgrades!$U$7,F127),1)*IF(Upgrades!$T$8="Solar Wind",POWER(Upgrades!$U$8,G127),1)*IF(Upgrades!$T$9="Solar Wind",POWER(Upgrades!$U$9,H127),1)*IF(Upgrades!$T$10="Solar Wind",POWER(Upgrades!$U$10,I127),1)*IF(Upgrades!$T$11="Solar Wind",POWER(Upgrades!$U$11,J127),1)*IF(Upgrades!$T$12="Solar Wind",POWER(Upgrades!$U$12,K127),1))+(IF(F127=0,0,(Upgrades!$M$7+F127*Upgrades!$N$7)*POWER(Upgrades!$O$7,F127)))*(IF(Upgrades!$T$6="Asteroid Belt",POWER(Upgrades!$U$6,E127),1)*IF(Upgrades!$T$8="Asteroid Belt",POWER(Upgrades!$U$8,G127),1)*IF(Upgrades!$T$9="Asteroid Belt",POWER(Upgrades!$U$9,H127),1)*IF(Upgrades!$T$10="Asteroid Belt",POWER(Upgrades!$U$10,I127),1)*IF(Upgrades!$T$11="Asteroid Belt",POWER(Upgrades!$U$11,J127),1)*IF(Upgrades!$T$12="Asteroid Belt",POWER(Upgrades!$U$12,K127),1))+(IF(G127=0,0,(Upgrades!$M$8+G127*Upgrades!$N$8)*POWER(Upgrades!$O$8,G127)))*(IF(Upgrades!$T$6="Stellar Coupling",POWER(Upgrades!$U$6,E127),1)*IF(Upgrades!$T$7="Stellar Coupling",POWER(Upgrades!$U$7,F127),1)*IF(Upgrades!$T$9="Stellar Coupling",POWER(Upgrades!$U$9,H127),1)*IF(Upgrades!$T$10="Stellar Coupling",POWER(Upgrades!$U$10,I127),1)*IF(Upgrades!$T$11="Stellar Coupling",POWER(Upgrades!$U$11,J127),1)*IF(Upgrades!$T$12="Stellar Coupling",POWER(Upgrades!$U$12,K127),1))+(IF(H127=0,0,(Upgrades!$M$9+H127*Upgrades!$N$9)*POWER(Upgrades!$O$9,H127)))*(IF(Upgrades!$T$6="Magnetosphere",POWER(Upgrades!$U$6,E127),1)*IF(Upgrades!$T$7="Magnetosphere",POWER(Upgrades!$U$7,F127),1)*IF(Upgrades!$T$8="Magnetosphere",POWER(Upgrades!$U$8,G127),1)*IF(Upgrades!$T$10="Magnetosphere",POWER(Upgrades!$U$10,I127),1)*IF(Upgrades!$T$11="Magnetosphere",POWER(Upgrades!$U$11,J127),1)*IF(Upgrades!$T$12="Magnetosphere",POWER(Upgrades!$U$12,K127),1))+(IF(I127=0,0,(Upgrades!$M$10+I127*Upgrades!$N$10)*POWER(Upgrades!$O$10,I127)))*(IF(Upgrades!$T$6="Orbital Resonance",POWER(Upgrades!$U$6,E127),1)*IF(Upgrades!$T$7="Orbital Resonance",POWER(Upgrades!$U$7,F127),1)*IF(Upgrades!$T$8="Orbital Resonance",POWER(Upgrades!$U$8,G127),1)*IF(Upgrades!$T$9="Orbital Resonance",POWER(Upgrades!$U$9,H127),1)*IF(Upgrades!$T$11="Orbital Resonance",POWER(Upgrades!$U$11,J127),1)*IF(Upgrades!$T$12="Orbital Resonance",POWER(Upgrades!$U$12,K127),1))+(IF(J127=0,0,(Upgrades!$M$11+J127*Upgrades!$N$11)*POWER(Upgrades!$O$11,J127)))*(IF(Upgrades!$T$6="Heliopause",POWER(Upgrades!$U$6,E127),1)*IF(Upgrades!$T$7="Heliopause",POWER(Upgrades!$U$7,F127),1)*IF(Upgrades!$T$8="Heliopause",POWER(Upgrades!$U$8,G127),1)*IF(Upgrades!$T$9="Heliopause",POWER(Upgrades!$U$9,H127),1)*IF(Upgrades!$T$10="Heliopause",POWER(Upgrades!$U$10,I127),1)*IF(Upgrades!$T$12="Heliopause",POWER(Upgrades!$U$12,K127),1))+(IF(K127=0,0,(Upgrades!$M$12+K127*Upgrades!$N$12)*POWER(Upgrades!$O$12,K127)))*(IF(Upgrades!$T$6="First Photons",POWER(Upgrades!$U$6,E127),1)*IF(Upgrades!$T$7="First Photons",POWER(Upgrades!$U$7,F127),1)*IF(Upgrades!$T$8="First Photons",POWER(Upgrades!$U$8,G127),1)*IF(Upgrades!$T$9="First Photons",POWER(Upgrades!$U$9,H127),1)*IF(Upgrades!$T$10="First Photons",POWER(Upgrades!$U$10,I127),1)*IF(Upgrades!$T$11="First Photons",POWER(Upgrades!$U$11,J127),1)))*POWER(Upgrades!$R$6,E127)*POWER(Upgrades!$R$7,F127)*POWER(Upgrades!$R$8,G127)*POWER(Upgrades!$R$9,H127)*POWER(Upgrades!$R$10,I127)*POWER(Upgrades!$R$11,J127)*POWER(Upgrades!$R$12,K127)</f>
        <v/>
      </c>
      <c r="P127" s="27">
        <f>IF(L127=1,0,M127*Parameters!$B$10/60*Parameters!$B$11*10)</f>
        <v/>
      </c>
      <c r="Q127" s="27">
        <f>IF(L127=1,0,O127*M127*10)</f>
        <v/>
      </c>
      <c r="R127" s="27">
        <f>IF(L127=1,0,N127*10)</f>
        <v/>
      </c>
      <c r="S127" s="27">
        <f>P127+Q127+R127</f>
        <v/>
      </c>
      <c r="T127" s="22">
        <f>C127+S127</f>
        <v/>
      </c>
      <c r="U127" s="33">
        <f>AX127</f>
        <v/>
      </c>
      <c r="V127" s="22">
        <f>IF(U127="",0,IF(U127="transition",0,IF(U127="SW",AG127,IF(U127="AB",AH127,IF(U127="SC",AI127,IF(U127="Mag",AJ127,IF(U127="OR",AK127,IF(U127="HP",AL127,IF(U127="FP",AM127,0)))))))))</f>
        <v/>
      </c>
      <c r="W127" s="27">
        <f>IF(U127="OR",Upgrades!$F$10,IF(U127="HP",Upgrades!$F$11,IF(U127="transition",-Parameters!$B$18,0)))</f>
        <v/>
      </c>
      <c r="X127" s="22">
        <f>T127-V127</f>
        <v/>
      </c>
      <c r="Y127" s="30">
        <f>M127*Parameters!$B$10/60*Parameters!$B$11+O127*M127+N127</f>
        <v/>
      </c>
      <c r="Z127" s="34">
        <f>IF(U127="transition","→ Tier 2 (Stellar Neighborhood)",IF(U127="FP","First Photons — light begins, system quickens",IF(U127="HP","Heliopause acquired",IF(U127="OR","Orbital Resonance — passive multiplier active",IF(AND(AO127=1,L127=0,AN127&lt;&gt;1),"Cohesion ready (waiting on completionist upgrades)","")))))</f>
        <v/>
      </c>
      <c r="AA127" s="27">
        <f>(IF(E127=0,0,(Upgrades!$G$6+E127*Upgrades!$H$6)*POWER(Upgrades!$I$6,E127)))*(IF(Upgrades!$T$7="Solar Wind",POWER(Upgrades!$U$7,F127),1)*IF(Upgrades!$T$8="Solar Wind",POWER(Upgrades!$U$8,G127),1)*IF(Upgrades!$T$9="Solar Wind",POWER(Upgrades!$U$9,H127),1)*IF(Upgrades!$T$10="Solar Wind",POWER(Upgrades!$U$10,I127),1)*IF(Upgrades!$T$11="Solar Wind",POWER(Upgrades!$U$11,J127),1)*IF(Upgrades!$T$12="Solar Wind",POWER(Upgrades!$U$12,K127),1))*POWER(Upgrades!$P$6,E127)*POWER(Upgrades!$P$7,F127)*POWER(Upgrades!$P$8,G127)*POWER(Upgrades!$P$9,H127)*POWER(Upgrades!$P$10,I127)*POWER(Upgrades!$P$11,J127)*POWER(Upgrades!$P$12,K127)*60</f>
        <v/>
      </c>
      <c r="AB127" s="27">
        <f>(IF(F127=0,0,(Upgrades!$G$7+F127*Upgrades!$H$7)*POWER(Upgrades!$I$7,F127)))*(IF(Upgrades!$T$6="Asteroid Belt",POWER(Upgrades!$U$6,E127),1)*IF(Upgrades!$T$8="Asteroid Belt",POWER(Upgrades!$U$8,G127),1)*IF(Upgrades!$T$9="Asteroid Belt",POWER(Upgrades!$U$9,H127),1)*IF(Upgrades!$T$10="Asteroid Belt",POWER(Upgrades!$U$10,I127),1)*IF(Upgrades!$T$11="Asteroid Belt",POWER(Upgrades!$U$11,J127),1)*IF(Upgrades!$T$12="Asteroid Belt",POWER(Upgrades!$U$12,K127),1))*POWER(Upgrades!$P$6,E127)*POWER(Upgrades!$P$7,F127)*POWER(Upgrades!$P$8,G127)*POWER(Upgrades!$P$9,H127)*POWER(Upgrades!$P$10,I127)*POWER(Upgrades!$P$11,J127)*POWER(Upgrades!$P$12,K127)*60</f>
        <v/>
      </c>
      <c r="AC127" s="27">
        <f>(IF(G127=0,0,(Upgrades!$J$8+G127*Upgrades!$K$8)*POWER(Upgrades!$L$8,G127)))*(IF(Upgrades!$T$6="Stellar Coupling",POWER(Upgrades!$U$6,E127),1)*IF(Upgrades!$T$7="Stellar Coupling",POWER(Upgrades!$U$7,F127),1)*IF(Upgrades!$T$9="Stellar Coupling",POWER(Upgrades!$U$9,H127),1)*IF(Upgrades!$T$10="Stellar Coupling",POWER(Upgrades!$U$10,I127),1)*IF(Upgrades!$T$11="Stellar Coupling",POWER(Upgrades!$U$11,J127),1)*IF(Upgrades!$T$12="Stellar Coupling",POWER(Upgrades!$U$12,K127),1))*POWER(Upgrades!$Q$6,E127)*POWER(Upgrades!$Q$7,F127)*POWER(Upgrades!$Q$8,G127)*POWER(Upgrades!$Q$9,H127)*POWER(Upgrades!$Q$10,I127)*POWER(Upgrades!$Q$11,J127)*POWER(Upgrades!$Q$12,K127)*Parameters!$B$10*Parameters!$B$11</f>
        <v/>
      </c>
      <c r="AD127" s="27">
        <f>(IF(H127=0,0,(Upgrades!$G$9+H127*Upgrades!$H$9)*POWER(Upgrades!$I$9,H127)))*(IF(Upgrades!$T$6="Magnetosphere",POWER(Upgrades!$U$6,E127),1)*IF(Upgrades!$T$7="Magnetosphere",POWER(Upgrades!$U$7,F127),1)*IF(Upgrades!$T$8="Magnetosphere",POWER(Upgrades!$U$8,G127),1)*IF(Upgrades!$T$10="Magnetosphere",POWER(Upgrades!$U$10,I127),1)*IF(Upgrades!$T$11="Magnetosphere",POWER(Upgrades!$U$11,J127),1)*IF(Upgrades!$T$12="Magnetosphere",POWER(Upgrades!$U$12,K127),1))*POWER(Upgrades!$P$6,E127)*POWER(Upgrades!$P$7,F127)*POWER(Upgrades!$P$8,G127)*POWER(Upgrades!$P$9,H127)*POWER(Upgrades!$P$10,I127)*POWER(Upgrades!$P$11,J127)*POWER(Upgrades!$P$12,K127)*60</f>
        <v/>
      </c>
      <c r="AE127" s="27">
        <f>(IF(K127=0,0,(Upgrades!$G$12+K127*Upgrades!$H$12)*POWER(Upgrades!$I$12,K127)))*(IF(Upgrades!$T$6="First Photons",POWER(Upgrades!$U$6,E127),1)*IF(Upgrades!$T$7="First Photons",POWER(Upgrades!$U$7,F127),1)*IF(Upgrades!$T$8="First Photons",POWER(Upgrades!$U$8,G127),1)*IF(Upgrades!$T$9="First Photons",POWER(Upgrades!$U$9,H127),1)*IF(Upgrades!$T$10="First Photons",POWER(Upgrades!$U$10,I127),1)*IF(Upgrades!$T$11="First Photons",POWER(Upgrades!$U$11,J127),1))*POWER(Upgrades!$P$6,E127)*POWER(Upgrades!$P$7,F127)*POWER(Upgrades!$P$8,G127)*POWER(Upgrades!$P$9,H127)*POWER(Upgrades!$P$10,I127)*POWER(Upgrades!$P$11,J127)*POWER(Upgrades!$P$12,K127)*60</f>
        <v/>
      </c>
      <c r="AF127" s="27">
        <f>Parameters!$B$9*POWER(Upgrades!$Q$6,E127)*POWER(Upgrades!$Q$7,F127)*POWER(Upgrades!$Q$8,G127)*POWER(Upgrades!$Q$9,H127)*POWER(Upgrades!$Q$10,I127)*POWER(Upgrades!$Q$11,J127)*POWER(Upgrades!$Q$12,K127)*(Parameters!$B$10*Parameters!$B$11+O127*60)</f>
        <v/>
      </c>
      <c r="AG127" s="22">
        <f>IF(E127&gt;=Upgrades!$E$6,"",Upgrades!$C$6*POWER(Upgrades!$D$6,E127))</f>
        <v/>
      </c>
      <c r="AH127" s="22">
        <f>IF(F127&gt;=Upgrades!$E$7,"",Upgrades!$C$7*POWER(Upgrades!$D$7,F127))</f>
        <v/>
      </c>
      <c r="AI127" s="22">
        <f>IF(G127&gt;=Upgrades!$E$8,"",Upgrades!$C$8*POWER(Upgrades!$D$8,G127))</f>
        <v/>
      </c>
      <c r="AJ127" s="22">
        <f>IF(H127&gt;=Upgrades!$E$9,"",Upgrades!$C$9*POWER(Upgrades!$D$9,H127))</f>
        <v/>
      </c>
      <c r="AK127" s="22">
        <f>IF(I127&gt;=Upgrades!$E$10,"",Upgrades!$C$10*POWER(Upgrades!$D$10,I127))</f>
        <v/>
      </c>
      <c r="AL127" s="22">
        <f>IF(J127&gt;=Upgrades!$E$11,"",Upgrades!$C$11*POWER(Upgrades!$D$11,J127))</f>
        <v/>
      </c>
      <c r="AM127" s="22">
        <f>IF(K127&gt;=Upgrades!$E$12,"",Upgrades!$C$12*POWER(Upgrades!$D$12,K127))</f>
        <v/>
      </c>
      <c r="AN127" s="26">
        <f>IF(AND(D127&gt;=Parameters!$B$18,(H127&gt;=Upgrades!$E$9)*(K127&gt;=Upgrades!$E$12)=1,L127=0),1,"")</f>
        <v/>
      </c>
      <c r="AO127" s="26">
        <f>IF(AND(D127&gt;=Parameters!$B$18,L127=0),1,"")</f>
        <v/>
      </c>
      <c r="AP127" s="22">
        <f>MIN(IF(ISNUMBER(AK127),AK127,9E15),IF(ISNUMBER(AL127),AL127,9E15),IF(ISNUMBER(AM127),AM127,9E15))</f>
        <v/>
      </c>
      <c r="AQ127" s="22">
        <f>MIN(IF(ISNUMBER(AG127),AG127,9E15),IF(ISNUMBER(AH127),AH127,9E15),IF(ISNUMBER(AI127),AI127,9E15),IF(ISNUMBER(AJ127),AJ127,9E15))</f>
        <v/>
      </c>
      <c r="AR127" s="29">
        <f>IF(AW127&gt;Parameters!$B$21*(MAX(IF(AND(NOT(AND(AO127=1,AN127&lt;&gt;1)),ISNUMBER(AG127),AG127&lt;=T127),AS127,0),IF(AND(NOT(AND(AO127=1,AN127&lt;&gt;1)),ISNUMBER(AH127),AH127&lt;=T127),AT127,0),IF(AND(NOT(AND(AO127=1,AN127&lt;&gt;1)),ISNUMBER(AI127),AI127&lt;=T127),AU127,0),IF(AND(ISNUMBER(AJ127),AJ127&lt;=T127),AV127,0))),TRUE,FALSE)</f>
        <v/>
      </c>
      <c r="AS127" s="32">
        <f>IFERROR(Upgrades!$H$6*(POWER(Upgrades!$P$6,E127)*POWER(Upgrades!$P$7,F127)*POWER(Upgrades!$P$8,G127)*POWER(Upgrades!$P$9,H127)*POWER(Upgrades!$P$10,I127)*POWER(Upgrades!$P$11,J127)*POWER(Upgrades!$P$12,K127))*(IF(Upgrades!$T$7="Solar Wind",POWER(Upgrades!$U$7,F127),1)*IF(Upgrades!$T$8="Solar Wind",POWER(Upgrades!$U$8,G127),1)*IF(Upgrades!$T$9="Solar Wind",POWER(Upgrades!$U$9,H127),1)*IF(Upgrades!$T$10="Solar Wind",POWER(Upgrades!$U$10,I127),1)*IF(Upgrades!$T$11="Solar Wind",POWER(Upgrades!$U$11,J127),1)*IF(Upgrades!$T$12="Solar Wind",POWER(Upgrades!$U$12,K127),1))/AG127,0)</f>
        <v/>
      </c>
      <c r="AT127" s="32">
        <f>IFERROR(Upgrades!$H$7*(POWER(Upgrades!$P$6,E127)*POWER(Upgrades!$P$7,F127)*POWER(Upgrades!$P$8,G127)*POWER(Upgrades!$P$9,H127)*POWER(Upgrades!$P$10,I127)*POWER(Upgrades!$P$11,J127)*POWER(Upgrades!$P$12,K127))*(IF(Upgrades!$T$6="Asteroid Belt",POWER(Upgrades!$U$6,E127),1)*IF(Upgrades!$T$8="Asteroid Belt",POWER(Upgrades!$U$8,G127),1)*IF(Upgrades!$T$9="Asteroid Belt",POWER(Upgrades!$U$9,H127),1)*IF(Upgrades!$T$10="Asteroid Belt",POWER(Upgrades!$U$10,I127),1)*IF(Upgrades!$T$11="Asteroid Belt",POWER(Upgrades!$U$11,J127),1)*IF(Upgrades!$T$12="Asteroid Belt",POWER(Upgrades!$U$12,K127),1))/AH127,0)</f>
        <v/>
      </c>
      <c r="AU127" s="32">
        <f>IFERROR(Upgrades!$K$8*(POWER(Upgrades!$Q$6,E127)*POWER(Upgrades!$Q$7,F127)*POWER(Upgrades!$Q$8,G127)*POWER(Upgrades!$Q$9,H127)*POWER(Upgrades!$Q$10,I127)*POWER(Upgrades!$Q$11,J127)*POWER(Upgrades!$Q$12,K127))*(IF(Upgrades!$T$6="Stellar Coupling",POWER(Upgrades!$U$6,E127),1)*IF(Upgrades!$T$7="Stellar Coupling",POWER(Upgrades!$U$7,F127),1)*IF(Upgrades!$T$9="Stellar Coupling",POWER(Upgrades!$U$9,H127),1)*IF(Upgrades!$T$10="Stellar Coupling",POWER(Upgrades!$U$10,I127),1)*IF(Upgrades!$T$11="Stellar Coupling",POWER(Upgrades!$U$11,J127),1)*IF(Upgrades!$T$12="Stellar Coupling",POWER(Upgrades!$U$12,K127),1))*Parameters!$B$10*Parameters!$B$11/60/AI127,0)</f>
        <v/>
      </c>
      <c r="AV127" s="32">
        <f>IFERROR(Upgrades!$H$9*(POWER(Upgrades!$P$6,E127)*POWER(Upgrades!$P$7,F127)*POWER(Upgrades!$P$8,G127)*POWER(Upgrades!$P$9,H127)*POWER(Upgrades!$P$10,I127)*POWER(Upgrades!$P$11,J127)*POWER(Upgrades!$P$12,K127))*(IF(Upgrades!$T$6="Magnetosphere",POWER(Upgrades!$U$6,E127),1)*IF(Upgrades!$T$7="Magnetosphere",POWER(Upgrades!$U$7,F127),1)*IF(Upgrades!$T$8="Magnetosphere",POWER(Upgrades!$U$8,G127),1)*IF(Upgrades!$T$10="Magnetosphere",POWER(Upgrades!$U$10,I127),1)*IF(Upgrades!$T$11="Magnetosphere",POWER(Upgrades!$U$11,J127),1)*IF(Upgrades!$T$12="Magnetosphere",POWER(Upgrades!$U$12,K127),1))/AJ127,0)</f>
        <v/>
      </c>
      <c r="AW127" s="32">
        <f>MAX(IF(I127&gt;0,0,IFERROR(0.25*N127/Upgrades!$C$10,0)),IF(J127&gt;0,0,IFERROR(0.5*((IF(G127=0,0,(Upgrades!$J$8+G127*Upgrades!$K$8)*POWER(Upgrades!$L$8,G127)))*(IF(Upgrades!$T$6="Stellar Coupling",POWER(Upgrades!$U$6,E127),1)*IF(Upgrades!$T$7="Stellar Coupling",POWER(Upgrades!$U$7,F127),1)*IF(Upgrades!$T$9="Stellar Coupling",POWER(Upgrades!$U$9,H127),1)*IF(Upgrades!$T$10="Stellar Coupling",POWER(Upgrades!$U$10,I127),1)*IF(Upgrades!$T$11="Stellar Coupling",POWER(Upgrades!$U$11,J127),1)*IF(Upgrades!$T$12="Stellar Coupling",POWER(Upgrades!$U$12,K127),1))*(POWER(Upgrades!$Q$6,E127)*POWER(Upgrades!$Q$7,F127)*POWER(Upgrades!$Q$8,G127)*POWER(Upgrades!$Q$9,H127)*POWER(Upgrades!$Q$10,I127)*POWER(Upgrades!$Q$11,J127)*POWER(Upgrades!$Q$12,K127))*Parameters!$B$10*Parameters!$B$11/60)/Upgrades!$C$11,0)),IF(K127&gt;0,0,IFERROR((1.0*(POWER(Upgrades!$P$6,E127)*POWER(Upgrades!$P$7,F127)*POWER(Upgrades!$P$8,G127)*POWER(Upgrades!$P$9,H127)*POWER(Upgrades!$P$10,I127)*POWER(Upgrades!$P$11,J127)*POWER(Upgrades!$P$12,K127))+0.20*M127*Parameters!$B$10*Parameters!$B$11/60)/Upgrades!$C$12,0)),IF(AND(ISNUMBER(AG127),AG127&gt;T127),AS127,0),IF(AND(ISNUMBER(AH127),AH127&gt;T127),AT127,0),IF(AND(ISNUMBER(AI127),AI127&gt;T127),AU127,0),IF(AND(ISNUMBER(AJ127),AJ127&gt;T127),AV127,0))</f>
        <v/>
      </c>
      <c r="AX127" s="29">
        <f>IF(AN127=1,"transition",IF(MIN(IF(AND(I127=0,ISNUMBER(AK127),AK127&lt;=T127),AK127,9E15),IF(AND(J127=0,ISNUMBER(AL127),AL127&lt;=T127),AL127,9E15),IF(AND(K127=0,ISNUMBER(AM127),AM127&lt;=T127),AM127,9E15))&lt;9E15,IF(AND(AND(I127=0,ISNUMBER(AK127),AK127&lt;=T127),AK127=MIN(IF(AND(I127=0,ISNUMBER(AK127),AK127&lt;=T127),AK127,9E15),IF(AND(J127=0,ISNUMBER(AL127),AL127&lt;=T127),AL127,9E15),IF(AND(K127=0,ISNUMBER(AM127),AM127&lt;=T127),AM127,9E15))),"OR",IF(AND(AND(J127=0,ISNUMBER(AL127),AL127&lt;=T127),AL127=MIN(IF(AND(I127=0,ISNUMBER(AK127),AK127&lt;=T127),AK127,9E15),IF(AND(J127=0,ISNUMBER(AL127),AL127&lt;=T127),AL127,9E15),IF(AND(K127=0,ISNUMBER(AM127),AM127&lt;=T127),AM127,9E15))),"HP","FP")),IF(AR127=TRUE,"",IF(MAX(IF(AND(NOT(AND(AO127=1,AN127&lt;&gt;1)),ISNUMBER(AG127),AG127&lt;=T127),AS127,0),IF(AND(NOT(AND(AO127=1,AN127&lt;&gt;1)),ISNUMBER(AH127),AH127&lt;=T127),AT127,0),IF(AND(NOT(AND(AO127=1,AN127&lt;&gt;1)),ISNUMBER(AI127),AI127&lt;=T127),AU127,0),IF(AND(ISNUMBER(AJ127),AJ127&lt;=T127),AV127,0))&lt;=0,"",IF(AND(IF(AND(NOT(AND(AO127=1,AN127&lt;&gt;1)),ISNUMBER(AG127),AG127&lt;=T127),AS127,0)&gt;0,IF(AND(NOT(AND(AO127=1,AN127&lt;&gt;1)),ISNUMBER(AG127),AG127&lt;=T127),AS127,0)=MAX(IF(AND(NOT(AND(AO127=1,AN127&lt;&gt;1)),ISNUMBER(AG127),AG127&lt;=T127),AS127,0),IF(AND(NOT(AND(AO127=1,AN127&lt;&gt;1)),ISNUMBER(AH127),AH127&lt;=T127),AT127,0),IF(AND(NOT(AND(AO127=1,AN127&lt;&gt;1)),ISNUMBER(AI127),AI127&lt;=T127),AU127,0),IF(AND(ISNUMBER(AJ127),AJ127&lt;=T127),AV127,0))),"SW",IF(AND(IF(AND(NOT(AND(AO127=1,AN127&lt;&gt;1)),ISNUMBER(AH127),AH127&lt;=T127),AT127,0)&gt;0,IF(AND(NOT(AND(AO127=1,AN127&lt;&gt;1)),ISNUMBER(AH127),AH127&lt;=T127),AT127,0)=MAX(IF(AND(NOT(AND(AO127=1,AN127&lt;&gt;1)),ISNUMBER(AG127),AG127&lt;=T127),AS127,0),IF(AND(NOT(AND(AO127=1,AN127&lt;&gt;1)),ISNUMBER(AH127),AH127&lt;=T127),AT127,0),IF(AND(NOT(AND(AO127=1,AN127&lt;&gt;1)),ISNUMBER(AI127),AI127&lt;=T127),AU127,0),IF(AND(ISNUMBER(AJ127),AJ127&lt;=T127),AV127,0))),"AB",IF(AND(IF(AND(NOT(AND(AO127=1,AN127&lt;&gt;1)),ISNUMBER(AI127),AI127&lt;=T127),AU127,0)&gt;0,IF(AND(NOT(AND(AO127=1,AN127&lt;&gt;1)),ISNUMBER(AI127),AI127&lt;=T127),AU127,0)=MAX(IF(AND(NOT(AND(AO127=1,AN127&lt;&gt;1)),ISNUMBER(AG127),AG127&lt;=T127),AS127,0),IF(AND(NOT(AND(AO127=1,AN127&lt;&gt;1)),ISNUMBER(AH127),AH127&lt;=T127),AT127,0),IF(AND(NOT(AND(AO127=1,AN127&lt;&gt;1)),ISNUMBER(AI127),AI127&lt;=T127),AU127,0),IF(AND(ISNUMBER(AJ127),AJ127&lt;=T127),AV127,0))),"SC","Mag")))))))</f>
        <v/>
      </c>
    </row>
    <row r="128">
      <c r="A128" s="26" t="n">
        <v>123</v>
      </c>
      <c r="B128" s="27">
        <f>A128*10/60</f>
        <v/>
      </c>
      <c r="C128" s="22">
        <f>X127</f>
        <v/>
      </c>
      <c r="D128" s="27">
        <f>D127+W127</f>
        <v/>
      </c>
      <c r="E128" s="26">
        <f>E127+IF(U127="SW",1,0)</f>
        <v/>
      </c>
      <c r="F128" s="26">
        <f>F127+IF(U127="AB",1,0)</f>
        <v/>
      </c>
      <c r="G128" s="26">
        <f>G127+IF(U127="SC",1,0)</f>
        <v/>
      </c>
      <c r="H128" s="26">
        <f>H127+IF(U127="Mag",1,0)</f>
        <v/>
      </c>
      <c r="I128" s="26">
        <f>MAX(I127,IF(U127="OR",1,0))</f>
        <v/>
      </c>
      <c r="J128" s="26">
        <f>MAX(J127,IF(U127="HP",1,0))</f>
        <v/>
      </c>
      <c r="K128" s="26">
        <f>MAX(K127,IF(U127="FP",1,0))</f>
        <v/>
      </c>
      <c r="L128" s="26">
        <f>MAX(L127,IF(U127="transition",1,0))</f>
        <v/>
      </c>
      <c r="M128" s="28">
        <f>(Parameters!$B$9+(IF(E128=0,0,(Upgrades!$J$6+E128*Upgrades!$K$6)*POWER(Upgrades!$L$6,E128)))*(IF(Upgrades!$T$7="Solar Wind",POWER(Upgrades!$U$7,F128),1)*IF(Upgrades!$T$8="Solar Wind",POWER(Upgrades!$U$8,G128),1)*IF(Upgrades!$T$9="Solar Wind",POWER(Upgrades!$U$9,H128),1)*IF(Upgrades!$T$10="Solar Wind",POWER(Upgrades!$U$10,I128),1)*IF(Upgrades!$T$11="Solar Wind",POWER(Upgrades!$U$11,J128),1)*IF(Upgrades!$T$12="Solar Wind",POWER(Upgrades!$U$12,K128),1))+(IF(F128=0,0,(Upgrades!$J$7+F128*Upgrades!$K$7)*POWER(Upgrades!$L$7,F128)))*(IF(Upgrades!$T$6="Asteroid Belt",POWER(Upgrades!$U$6,E128),1)*IF(Upgrades!$T$8="Asteroid Belt",POWER(Upgrades!$U$8,G128),1)*IF(Upgrades!$T$9="Asteroid Belt",POWER(Upgrades!$U$9,H128),1)*IF(Upgrades!$T$10="Asteroid Belt",POWER(Upgrades!$U$10,I128),1)*IF(Upgrades!$T$11="Asteroid Belt",POWER(Upgrades!$U$11,J128),1)*IF(Upgrades!$T$12="Asteroid Belt",POWER(Upgrades!$U$12,K128),1))+(IF(G128=0,0,(Upgrades!$J$8+G128*Upgrades!$K$8)*POWER(Upgrades!$L$8,G128)))*(IF(Upgrades!$T$6="Stellar Coupling",POWER(Upgrades!$U$6,E128),1)*IF(Upgrades!$T$7="Stellar Coupling",POWER(Upgrades!$U$7,F128),1)*IF(Upgrades!$T$9="Stellar Coupling",POWER(Upgrades!$U$9,H128),1)*IF(Upgrades!$T$10="Stellar Coupling",POWER(Upgrades!$U$10,I128),1)*IF(Upgrades!$T$11="Stellar Coupling",POWER(Upgrades!$U$11,J128),1)*IF(Upgrades!$T$12="Stellar Coupling",POWER(Upgrades!$U$12,K128),1))+(IF(H128=0,0,(Upgrades!$J$9+H128*Upgrades!$K$9)*POWER(Upgrades!$L$9,H128)))*(IF(Upgrades!$T$6="Magnetosphere",POWER(Upgrades!$U$6,E128),1)*IF(Upgrades!$T$7="Magnetosphere",POWER(Upgrades!$U$7,F128),1)*IF(Upgrades!$T$8="Magnetosphere",POWER(Upgrades!$U$8,G128),1)*IF(Upgrades!$T$10="Magnetosphere",POWER(Upgrades!$U$10,I128),1)*IF(Upgrades!$T$11="Magnetosphere",POWER(Upgrades!$U$11,J128),1)*IF(Upgrades!$T$12="Magnetosphere",POWER(Upgrades!$U$12,K128),1))+(IF(I128=0,0,(Upgrades!$J$10+I128*Upgrades!$K$10)*POWER(Upgrades!$L$10,I128)))*(IF(Upgrades!$T$6="Orbital Resonance",POWER(Upgrades!$U$6,E128),1)*IF(Upgrades!$T$7="Orbital Resonance",POWER(Upgrades!$U$7,F128),1)*IF(Upgrades!$T$8="Orbital Resonance",POWER(Upgrades!$U$8,G128),1)*IF(Upgrades!$T$9="Orbital Resonance",POWER(Upgrades!$U$9,H128),1)*IF(Upgrades!$T$11="Orbital Resonance",POWER(Upgrades!$U$11,J128),1)*IF(Upgrades!$T$12="Orbital Resonance",POWER(Upgrades!$U$12,K128),1))+(IF(J128=0,0,(Upgrades!$J$11+J128*Upgrades!$K$11)*POWER(Upgrades!$L$11,J128)))*(IF(Upgrades!$T$6="Heliopause",POWER(Upgrades!$U$6,E128),1)*IF(Upgrades!$T$7="Heliopause",POWER(Upgrades!$U$7,F128),1)*IF(Upgrades!$T$8="Heliopause",POWER(Upgrades!$U$8,G128),1)*IF(Upgrades!$T$9="Heliopause",POWER(Upgrades!$U$9,H128),1)*IF(Upgrades!$T$10="Heliopause",POWER(Upgrades!$U$10,I128),1)*IF(Upgrades!$T$12="Heliopause",POWER(Upgrades!$U$12,K128),1))+(IF(K128=0,0,(Upgrades!$J$12+K128*Upgrades!$K$12)*POWER(Upgrades!$L$12,K128)))*(IF(Upgrades!$T$6="First Photons",POWER(Upgrades!$U$6,E128),1)*IF(Upgrades!$T$7="First Photons",POWER(Upgrades!$U$7,F128),1)*IF(Upgrades!$T$8="First Photons",POWER(Upgrades!$U$8,G128),1)*IF(Upgrades!$T$9="First Photons",POWER(Upgrades!$U$9,H128),1)*IF(Upgrades!$T$10="First Photons",POWER(Upgrades!$U$10,I128),1)*IF(Upgrades!$T$11="First Photons",POWER(Upgrades!$U$11,J128),1)))*POWER(Upgrades!$Q$6,E128)*POWER(Upgrades!$Q$7,F128)*POWER(Upgrades!$Q$8,G128)*POWER(Upgrades!$Q$9,H128)*POWER(Upgrades!$Q$10,I128)*POWER(Upgrades!$Q$11,J128)*POWER(Upgrades!$Q$12,K128)</f>
        <v/>
      </c>
      <c r="N128" s="28">
        <f>((IF(E128=0,0,(Upgrades!$G$6+E128*Upgrades!$H$6)*POWER(Upgrades!$I$6,E128)))*(IF(Upgrades!$T$7="Solar Wind",POWER(Upgrades!$U$7,F128),1)*IF(Upgrades!$T$8="Solar Wind",POWER(Upgrades!$U$8,G128),1)*IF(Upgrades!$T$9="Solar Wind",POWER(Upgrades!$U$9,H128),1)*IF(Upgrades!$T$10="Solar Wind",POWER(Upgrades!$U$10,I128),1)*IF(Upgrades!$T$11="Solar Wind",POWER(Upgrades!$U$11,J128),1)*IF(Upgrades!$T$12="Solar Wind",POWER(Upgrades!$U$12,K128),1))+(IF(F128=0,0,(Upgrades!$G$7+F128*Upgrades!$H$7)*POWER(Upgrades!$I$7,F128)))*(IF(Upgrades!$T$6="Asteroid Belt",POWER(Upgrades!$U$6,E128),1)*IF(Upgrades!$T$8="Asteroid Belt",POWER(Upgrades!$U$8,G128),1)*IF(Upgrades!$T$9="Asteroid Belt",POWER(Upgrades!$U$9,H128),1)*IF(Upgrades!$T$10="Asteroid Belt",POWER(Upgrades!$U$10,I128),1)*IF(Upgrades!$T$11="Asteroid Belt",POWER(Upgrades!$U$11,J128),1)*IF(Upgrades!$T$12="Asteroid Belt",POWER(Upgrades!$U$12,K128),1))+(IF(G128=0,0,(Upgrades!$G$8+G128*Upgrades!$H$8)*POWER(Upgrades!$I$8,G128)))*(IF(Upgrades!$T$6="Stellar Coupling",POWER(Upgrades!$U$6,E128),1)*IF(Upgrades!$T$7="Stellar Coupling",POWER(Upgrades!$U$7,F128),1)*IF(Upgrades!$T$9="Stellar Coupling",POWER(Upgrades!$U$9,H128),1)*IF(Upgrades!$T$10="Stellar Coupling",POWER(Upgrades!$U$10,I128),1)*IF(Upgrades!$T$11="Stellar Coupling",POWER(Upgrades!$U$11,J128),1)*IF(Upgrades!$T$12="Stellar Coupling",POWER(Upgrades!$U$12,K128),1))+(IF(H128=0,0,(Upgrades!$G$9+H128*Upgrades!$H$9)*POWER(Upgrades!$I$9,H128)))*(IF(Upgrades!$T$6="Magnetosphere",POWER(Upgrades!$U$6,E128),1)*IF(Upgrades!$T$7="Magnetosphere",POWER(Upgrades!$U$7,F128),1)*IF(Upgrades!$T$8="Magnetosphere",POWER(Upgrades!$U$8,G128),1)*IF(Upgrades!$T$10="Magnetosphere",POWER(Upgrades!$U$10,I128),1)*IF(Upgrades!$T$11="Magnetosphere",POWER(Upgrades!$U$11,J128),1)*IF(Upgrades!$T$12="Magnetosphere",POWER(Upgrades!$U$12,K128),1))+(IF(I128=0,0,(Upgrades!$G$10+I128*Upgrades!$H$10)*POWER(Upgrades!$I$10,I128)))*(IF(Upgrades!$T$6="Orbital Resonance",POWER(Upgrades!$U$6,E128),1)*IF(Upgrades!$T$7="Orbital Resonance",POWER(Upgrades!$U$7,F128),1)*IF(Upgrades!$T$8="Orbital Resonance",POWER(Upgrades!$U$8,G128),1)*IF(Upgrades!$T$9="Orbital Resonance",POWER(Upgrades!$U$9,H128),1)*IF(Upgrades!$T$11="Orbital Resonance",POWER(Upgrades!$U$11,J128),1)*IF(Upgrades!$T$12="Orbital Resonance",POWER(Upgrades!$U$12,K128),1))+(IF(J128=0,0,(Upgrades!$G$11+J128*Upgrades!$H$11)*POWER(Upgrades!$I$11,J128)))*(IF(Upgrades!$T$6="Heliopause",POWER(Upgrades!$U$6,E128),1)*IF(Upgrades!$T$7="Heliopause",POWER(Upgrades!$U$7,F128),1)*IF(Upgrades!$T$8="Heliopause",POWER(Upgrades!$U$8,G128),1)*IF(Upgrades!$T$9="Heliopause",POWER(Upgrades!$U$9,H128),1)*IF(Upgrades!$T$10="Heliopause",POWER(Upgrades!$U$10,I128),1)*IF(Upgrades!$T$12="Heliopause",POWER(Upgrades!$U$12,K128),1))+(IF(K128=0,0,(Upgrades!$G$12+K128*Upgrades!$H$12)*POWER(Upgrades!$I$12,K128)))*(IF(Upgrades!$T$6="First Photons",POWER(Upgrades!$U$6,E128),1)*IF(Upgrades!$T$7="First Photons",POWER(Upgrades!$U$7,F128),1)*IF(Upgrades!$T$8="First Photons",POWER(Upgrades!$U$8,G128),1)*IF(Upgrades!$T$9="First Photons",POWER(Upgrades!$U$9,H128),1)*IF(Upgrades!$T$10="First Photons",POWER(Upgrades!$U$10,I128),1)*IF(Upgrades!$T$11="First Photons",POWER(Upgrades!$U$11,J128),1)))*POWER(Upgrades!$P$6,E128)*POWER(Upgrades!$P$7,F128)*POWER(Upgrades!$P$8,G128)*POWER(Upgrades!$P$9,H128)*POWER(Upgrades!$P$10,I128)*POWER(Upgrades!$P$11,J128)*POWER(Upgrades!$P$12,K128)</f>
        <v/>
      </c>
      <c r="O128" s="28">
        <f>((IF(E128=0,0,(Upgrades!$M$6+E128*Upgrades!$N$6)*POWER(Upgrades!$O$6,E128)))*(IF(Upgrades!$T$7="Solar Wind",POWER(Upgrades!$U$7,F128),1)*IF(Upgrades!$T$8="Solar Wind",POWER(Upgrades!$U$8,G128),1)*IF(Upgrades!$T$9="Solar Wind",POWER(Upgrades!$U$9,H128),1)*IF(Upgrades!$T$10="Solar Wind",POWER(Upgrades!$U$10,I128),1)*IF(Upgrades!$T$11="Solar Wind",POWER(Upgrades!$U$11,J128),1)*IF(Upgrades!$T$12="Solar Wind",POWER(Upgrades!$U$12,K128),1))+(IF(F128=0,0,(Upgrades!$M$7+F128*Upgrades!$N$7)*POWER(Upgrades!$O$7,F128)))*(IF(Upgrades!$T$6="Asteroid Belt",POWER(Upgrades!$U$6,E128),1)*IF(Upgrades!$T$8="Asteroid Belt",POWER(Upgrades!$U$8,G128),1)*IF(Upgrades!$T$9="Asteroid Belt",POWER(Upgrades!$U$9,H128),1)*IF(Upgrades!$T$10="Asteroid Belt",POWER(Upgrades!$U$10,I128),1)*IF(Upgrades!$T$11="Asteroid Belt",POWER(Upgrades!$U$11,J128),1)*IF(Upgrades!$T$12="Asteroid Belt",POWER(Upgrades!$U$12,K128),1))+(IF(G128=0,0,(Upgrades!$M$8+G128*Upgrades!$N$8)*POWER(Upgrades!$O$8,G128)))*(IF(Upgrades!$T$6="Stellar Coupling",POWER(Upgrades!$U$6,E128),1)*IF(Upgrades!$T$7="Stellar Coupling",POWER(Upgrades!$U$7,F128),1)*IF(Upgrades!$T$9="Stellar Coupling",POWER(Upgrades!$U$9,H128),1)*IF(Upgrades!$T$10="Stellar Coupling",POWER(Upgrades!$U$10,I128),1)*IF(Upgrades!$T$11="Stellar Coupling",POWER(Upgrades!$U$11,J128),1)*IF(Upgrades!$T$12="Stellar Coupling",POWER(Upgrades!$U$12,K128),1))+(IF(H128=0,0,(Upgrades!$M$9+H128*Upgrades!$N$9)*POWER(Upgrades!$O$9,H128)))*(IF(Upgrades!$T$6="Magnetosphere",POWER(Upgrades!$U$6,E128),1)*IF(Upgrades!$T$7="Magnetosphere",POWER(Upgrades!$U$7,F128),1)*IF(Upgrades!$T$8="Magnetosphere",POWER(Upgrades!$U$8,G128),1)*IF(Upgrades!$T$10="Magnetosphere",POWER(Upgrades!$U$10,I128),1)*IF(Upgrades!$T$11="Magnetosphere",POWER(Upgrades!$U$11,J128),1)*IF(Upgrades!$T$12="Magnetosphere",POWER(Upgrades!$U$12,K128),1))+(IF(I128=0,0,(Upgrades!$M$10+I128*Upgrades!$N$10)*POWER(Upgrades!$O$10,I128)))*(IF(Upgrades!$T$6="Orbital Resonance",POWER(Upgrades!$U$6,E128),1)*IF(Upgrades!$T$7="Orbital Resonance",POWER(Upgrades!$U$7,F128),1)*IF(Upgrades!$T$8="Orbital Resonance",POWER(Upgrades!$U$8,G128),1)*IF(Upgrades!$T$9="Orbital Resonance",POWER(Upgrades!$U$9,H128),1)*IF(Upgrades!$T$11="Orbital Resonance",POWER(Upgrades!$U$11,J128),1)*IF(Upgrades!$T$12="Orbital Resonance",POWER(Upgrades!$U$12,K128),1))+(IF(J128=0,0,(Upgrades!$M$11+J128*Upgrades!$N$11)*POWER(Upgrades!$O$11,J128)))*(IF(Upgrades!$T$6="Heliopause",POWER(Upgrades!$U$6,E128),1)*IF(Upgrades!$T$7="Heliopause",POWER(Upgrades!$U$7,F128),1)*IF(Upgrades!$T$8="Heliopause",POWER(Upgrades!$U$8,G128),1)*IF(Upgrades!$T$9="Heliopause",POWER(Upgrades!$U$9,H128),1)*IF(Upgrades!$T$10="Heliopause",POWER(Upgrades!$U$10,I128),1)*IF(Upgrades!$T$12="Heliopause",POWER(Upgrades!$U$12,K128),1))+(IF(K128=0,0,(Upgrades!$M$12+K128*Upgrades!$N$12)*POWER(Upgrades!$O$12,K128)))*(IF(Upgrades!$T$6="First Photons",POWER(Upgrades!$U$6,E128),1)*IF(Upgrades!$T$7="First Photons",POWER(Upgrades!$U$7,F128),1)*IF(Upgrades!$T$8="First Photons",POWER(Upgrades!$U$8,G128),1)*IF(Upgrades!$T$9="First Photons",POWER(Upgrades!$U$9,H128),1)*IF(Upgrades!$T$10="First Photons",POWER(Upgrades!$U$10,I128),1)*IF(Upgrades!$T$11="First Photons",POWER(Upgrades!$U$11,J128),1)))*POWER(Upgrades!$R$6,E128)*POWER(Upgrades!$R$7,F128)*POWER(Upgrades!$R$8,G128)*POWER(Upgrades!$R$9,H128)*POWER(Upgrades!$R$10,I128)*POWER(Upgrades!$R$11,J128)*POWER(Upgrades!$R$12,K128)</f>
        <v/>
      </c>
      <c r="P128" s="27">
        <f>IF(L128=1,0,M128*Parameters!$B$10/60*Parameters!$B$11*10)</f>
        <v/>
      </c>
      <c r="Q128" s="27">
        <f>IF(L128=1,0,O128*M128*10)</f>
        <v/>
      </c>
      <c r="R128" s="27">
        <f>IF(L128=1,0,N128*10)</f>
        <v/>
      </c>
      <c r="S128" s="27">
        <f>P128+Q128+R128</f>
        <v/>
      </c>
      <c r="T128" s="22">
        <f>C128+S128</f>
        <v/>
      </c>
      <c r="U128" s="33">
        <f>AX128</f>
        <v/>
      </c>
      <c r="V128" s="22">
        <f>IF(U128="",0,IF(U128="transition",0,IF(U128="SW",AG128,IF(U128="AB",AH128,IF(U128="SC",AI128,IF(U128="Mag",AJ128,IF(U128="OR",AK128,IF(U128="HP",AL128,IF(U128="FP",AM128,0)))))))))</f>
        <v/>
      </c>
      <c r="W128" s="27">
        <f>IF(U128="OR",Upgrades!$F$10,IF(U128="HP",Upgrades!$F$11,IF(U128="transition",-Parameters!$B$18,0)))</f>
        <v/>
      </c>
      <c r="X128" s="22">
        <f>T128-V128</f>
        <v/>
      </c>
      <c r="Y128" s="30">
        <f>M128*Parameters!$B$10/60*Parameters!$B$11+O128*M128+N128</f>
        <v/>
      </c>
      <c r="Z128" s="34">
        <f>IF(U128="transition","→ Tier 2 (Stellar Neighborhood)",IF(U128="FP","First Photons — light begins, system quickens",IF(U128="HP","Heliopause acquired",IF(U128="OR","Orbital Resonance — passive multiplier active",IF(AND(AO128=1,L128=0,AN128&lt;&gt;1),"Cohesion ready (waiting on completionist upgrades)","")))))</f>
        <v/>
      </c>
      <c r="AA128" s="27">
        <f>(IF(E128=0,0,(Upgrades!$G$6+E128*Upgrades!$H$6)*POWER(Upgrades!$I$6,E128)))*(IF(Upgrades!$T$7="Solar Wind",POWER(Upgrades!$U$7,F128),1)*IF(Upgrades!$T$8="Solar Wind",POWER(Upgrades!$U$8,G128),1)*IF(Upgrades!$T$9="Solar Wind",POWER(Upgrades!$U$9,H128),1)*IF(Upgrades!$T$10="Solar Wind",POWER(Upgrades!$U$10,I128),1)*IF(Upgrades!$T$11="Solar Wind",POWER(Upgrades!$U$11,J128),1)*IF(Upgrades!$T$12="Solar Wind",POWER(Upgrades!$U$12,K128),1))*POWER(Upgrades!$P$6,E128)*POWER(Upgrades!$P$7,F128)*POWER(Upgrades!$P$8,G128)*POWER(Upgrades!$P$9,H128)*POWER(Upgrades!$P$10,I128)*POWER(Upgrades!$P$11,J128)*POWER(Upgrades!$P$12,K128)*60</f>
        <v/>
      </c>
      <c r="AB128" s="27">
        <f>(IF(F128=0,0,(Upgrades!$G$7+F128*Upgrades!$H$7)*POWER(Upgrades!$I$7,F128)))*(IF(Upgrades!$T$6="Asteroid Belt",POWER(Upgrades!$U$6,E128),1)*IF(Upgrades!$T$8="Asteroid Belt",POWER(Upgrades!$U$8,G128),1)*IF(Upgrades!$T$9="Asteroid Belt",POWER(Upgrades!$U$9,H128),1)*IF(Upgrades!$T$10="Asteroid Belt",POWER(Upgrades!$U$10,I128),1)*IF(Upgrades!$T$11="Asteroid Belt",POWER(Upgrades!$U$11,J128),1)*IF(Upgrades!$T$12="Asteroid Belt",POWER(Upgrades!$U$12,K128),1))*POWER(Upgrades!$P$6,E128)*POWER(Upgrades!$P$7,F128)*POWER(Upgrades!$P$8,G128)*POWER(Upgrades!$P$9,H128)*POWER(Upgrades!$P$10,I128)*POWER(Upgrades!$P$11,J128)*POWER(Upgrades!$P$12,K128)*60</f>
        <v/>
      </c>
      <c r="AC128" s="27">
        <f>(IF(G128=0,0,(Upgrades!$J$8+G128*Upgrades!$K$8)*POWER(Upgrades!$L$8,G128)))*(IF(Upgrades!$T$6="Stellar Coupling",POWER(Upgrades!$U$6,E128),1)*IF(Upgrades!$T$7="Stellar Coupling",POWER(Upgrades!$U$7,F128),1)*IF(Upgrades!$T$9="Stellar Coupling",POWER(Upgrades!$U$9,H128),1)*IF(Upgrades!$T$10="Stellar Coupling",POWER(Upgrades!$U$10,I128),1)*IF(Upgrades!$T$11="Stellar Coupling",POWER(Upgrades!$U$11,J128),1)*IF(Upgrades!$T$12="Stellar Coupling",POWER(Upgrades!$U$12,K128),1))*POWER(Upgrades!$Q$6,E128)*POWER(Upgrades!$Q$7,F128)*POWER(Upgrades!$Q$8,G128)*POWER(Upgrades!$Q$9,H128)*POWER(Upgrades!$Q$10,I128)*POWER(Upgrades!$Q$11,J128)*POWER(Upgrades!$Q$12,K128)*Parameters!$B$10*Parameters!$B$11</f>
        <v/>
      </c>
      <c r="AD128" s="27">
        <f>(IF(H128=0,0,(Upgrades!$G$9+H128*Upgrades!$H$9)*POWER(Upgrades!$I$9,H128)))*(IF(Upgrades!$T$6="Magnetosphere",POWER(Upgrades!$U$6,E128),1)*IF(Upgrades!$T$7="Magnetosphere",POWER(Upgrades!$U$7,F128),1)*IF(Upgrades!$T$8="Magnetosphere",POWER(Upgrades!$U$8,G128),1)*IF(Upgrades!$T$10="Magnetosphere",POWER(Upgrades!$U$10,I128),1)*IF(Upgrades!$T$11="Magnetosphere",POWER(Upgrades!$U$11,J128),1)*IF(Upgrades!$T$12="Magnetosphere",POWER(Upgrades!$U$12,K128),1))*POWER(Upgrades!$P$6,E128)*POWER(Upgrades!$P$7,F128)*POWER(Upgrades!$P$8,G128)*POWER(Upgrades!$P$9,H128)*POWER(Upgrades!$P$10,I128)*POWER(Upgrades!$P$11,J128)*POWER(Upgrades!$P$12,K128)*60</f>
        <v/>
      </c>
      <c r="AE128" s="27">
        <f>(IF(K128=0,0,(Upgrades!$G$12+K128*Upgrades!$H$12)*POWER(Upgrades!$I$12,K128)))*(IF(Upgrades!$T$6="First Photons",POWER(Upgrades!$U$6,E128),1)*IF(Upgrades!$T$7="First Photons",POWER(Upgrades!$U$7,F128),1)*IF(Upgrades!$T$8="First Photons",POWER(Upgrades!$U$8,G128),1)*IF(Upgrades!$T$9="First Photons",POWER(Upgrades!$U$9,H128),1)*IF(Upgrades!$T$10="First Photons",POWER(Upgrades!$U$10,I128),1)*IF(Upgrades!$T$11="First Photons",POWER(Upgrades!$U$11,J128),1))*POWER(Upgrades!$P$6,E128)*POWER(Upgrades!$P$7,F128)*POWER(Upgrades!$P$8,G128)*POWER(Upgrades!$P$9,H128)*POWER(Upgrades!$P$10,I128)*POWER(Upgrades!$P$11,J128)*POWER(Upgrades!$P$12,K128)*60</f>
        <v/>
      </c>
      <c r="AF128" s="27">
        <f>Parameters!$B$9*POWER(Upgrades!$Q$6,E128)*POWER(Upgrades!$Q$7,F128)*POWER(Upgrades!$Q$8,G128)*POWER(Upgrades!$Q$9,H128)*POWER(Upgrades!$Q$10,I128)*POWER(Upgrades!$Q$11,J128)*POWER(Upgrades!$Q$12,K128)*(Parameters!$B$10*Parameters!$B$11+O128*60)</f>
        <v/>
      </c>
      <c r="AG128" s="22">
        <f>IF(E128&gt;=Upgrades!$E$6,"",Upgrades!$C$6*POWER(Upgrades!$D$6,E128))</f>
        <v/>
      </c>
      <c r="AH128" s="22">
        <f>IF(F128&gt;=Upgrades!$E$7,"",Upgrades!$C$7*POWER(Upgrades!$D$7,F128))</f>
        <v/>
      </c>
      <c r="AI128" s="22">
        <f>IF(G128&gt;=Upgrades!$E$8,"",Upgrades!$C$8*POWER(Upgrades!$D$8,G128))</f>
        <v/>
      </c>
      <c r="AJ128" s="22">
        <f>IF(H128&gt;=Upgrades!$E$9,"",Upgrades!$C$9*POWER(Upgrades!$D$9,H128))</f>
        <v/>
      </c>
      <c r="AK128" s="22">
        <f>IF(I128&gt;=Upgrades!$E$10,"",Upgrades!$C$10*POWER(Upgrades!$D$10,I128))</f>
        <v/>
      </c>
      <c r="AL128" s="22">
        <f>IF(J128&gt;=Upgrades!$E$11,"",Upgrades!$C$11*POWER(Upgrades!$D$11,J128))</f>
        <v/>
      </c>
      <c r="AM128" s="22">
        <f>IF(K128&gt;=Upgrades!$E$12,"",Upgrades!$C$12*POWER(Upgrades!$D$12,K128))</f>
        <v/>
      </c>
      <c r="AN128" s="26">
        <f>IF(AND(D128&gt;=Parameters!$B$18,(H128&gt;=Upgrades!$E$9)*(K128&gt;=Upgrades!$E$12)=1,L128=0),1,"")</f>
        <v/>
      </c>
      <c r="AO128" s="26">
        <f>IF(AND(D128&gt;=Parameters!$B$18,L128=0),1,"")</f>
        <v/>
      </c>
      <c r="AP128" s="22">
        <f>MIN(IF(ISNUMBER(AK128),AK128,9E15),IF(ISNUMBER(AL128),AL128,9E15),IF(ISNUMBER(AM128),AM128,9E15))</f>
        <v/>
      </c>
      <c r="AQ128" s="22">
        <f>MIN(IF(ISNUMBER(AG128),AG128,9E15),IF(ISNUMBER(AH128),AH128,9E15),IF(ISNUMBER(AI128),AI128,9E15),IF(ISNUMBER(AJ128),AJ128,9E15))</f>
        <v/>
      </c>
      <c r="AR128" s="29">
        <f>IF(AW128&gt;Parameters!$B$21*(MAX(IF(AND(NOT(AND(AO128=1,AN128&lt;&gt;1)),ISNUMBER(AG128),AG128&lt;=T128),AS128,0),IF(AND(NOT(AND(AO128=1,AN128&lt;&gt;1)),ISNUMBER(AH128),AH128&lt;=T128),AT128,0),IF(AND(NOT(AND(AO128=1,AN128&lt;&gt;1)),ISNUMBER(AI128),AI128&lt;=T128),AU128,0),IF(AND(ISNUMBER(AJ128),AJ128&lt;=T128),AV128,0))),TRUE,FALSE)</f>
        <v/>
      </c>
      <c r="AS128" s="32">
        <f>IFERROR(Upgrades!$H$6*(POWER(Upgrades!$P$6,E128)*POWER(Upgrades!$P$7,F128)*POWER(Upgrades!$P$8,G128)*POWER(Upgrades!$P$9,H128)*POWER(Upgrades!$P$10,I128)*POWER(Upgrades!$P$11,J128)*POWER(Upgrades!$P$12,K128))*(IF(Upgrades!$T$7="Solar Wind",POWER(Upgrades!$U$7,F128),1)*IF(Upgrades!$T$8="Solar Wind",POWER(Upgrades!$U$8,G128),1)*IF(Upgrades!$T$9="Solar Wind",POWER(Upgrades!$U$9,H128),1)*IF(Upgrades!$T$10="Solar Wind",POWER(Upgrades!$U$10,I128),1)*IF(Upgrades!$T$11="Solar Wind",POWER(Upgrades!$U$11,J128),1)*IF(Upgrades!$T$12="Solar Wind",POWER(Upgrades!$U$12,K128),1))/AG128,0)</f>
        <v/>
      </c>
      <c r="AT128" s="32">
        <f>IFERROR(Upgrades!$H$7*(POWER(Upgrades!$P$6,E128)*POWER(Upgrades!$P$7,F128)*POWER(Upgrades!$P$8,G128)*POWER(Upgrades!$P$9,H128)*POWER(Upgrades!$P$10,I128)*POWER(Upgrades!$P$11,J128)*POWER(Upgrades!$P$12,K128))*(IF(Upgrades!$T$6="Asteroid Belt",POWER(Upgrades!$U$6,E128),1)*IF(Upgrades!$T$8="Asteroid Belt",POWER(Upgrades!$U$8,G128),1)*IF(Upgrades!$T$9="Asteroid Belt",POWER(Upgrades!$U$9,H128),1)*IF(Upgrades!$T$10="Asteroid Belt",POWER(Upgrades!$U$10,I128),1)*IF(Upgrades!$T$11="Asteroid Belt",POWER(Upgrades!$U$11,J128),1)*IF(Upgrades!$T$12="Asteroid Belt",POWER(Upgrades!$U$12,K128),1))/AH128,0)</f>
        <v/>
      </c>
      <c r="AU128" s="32">
        <f>IFERROR(Upgrades!$K$8*(POWER(Upgrades!$Q$6,E128)*POWER(Upgrades!$Q$7,F128)*POWER(Upgrades!$Q$8,G128)*POWER(Upgrades!$Q$9,H128)*POWER(Upgrades!$Q$10,I128)*POWER(Upgrades!$Q$11,J128)*POWER(Upgrades!$Q$12,K128))*(IF(Upgrades!$T$6="Stellar Coupling",POWER(Upgrades!$U$6,E128),1)*IF(Upgrades!$T$7="Stellar Coupling",POWER(Upgrades!$U$7,F128),1)*IF(Upgrades!$T$9="Stellar Coupling",POWER(Upgrades!$U$9,H128),1)*IF(Upgrades!$T$10="Stellar Coupling",POWER(Upgrades!$U$10,I128),1)*IF(Upgrades!$T$11="Stellar Coupling",POWER(Upgrades!$U$11,J128),1)*IF(Upgrades!$T$12="Stellar Coupling",POWER(Upgrades!$U$12,K128),1))*Parameters!$B$10*Parameters!$B$11/60/AI128,0)</f>
        <v/>
      </c>
      <c r="AV128" s="32">
        <f>IFERROR(Upgrades!$H$9*(POWER(Upgrades!$P$6,E128)*POWER(Upgrades!$P$7,F128)*POWER(Upgrades!$P$8,G128)*POWER(Upgrades!$P$9,H128)*POWER(Upgrades!$P$10,I128)*POWER(Upgrades!$P$11,J128)*POWER(Upgrades!$P$12,K128))*(IF(Upgrades!$T$6="Magnetosphere",POWER(Upgrades!$U$6,E128),1)*IF(Upgrades!$T$7="Magnetosphere",POWER(Upgrades!$U$7,F128),1)*IF(Upgrades!$T$8="Magnetosphere",POWER(Upgrades!$U$8,G128),1)*IF(Upgrades!$T$10="Magnetosphere",POWER(Upgrades!$U$10,I128),1)*IF(Upgrades!$T$11="Magnetosphere",POWER(Upgrades!$U$11,J128),1)*IF(Upgrades!$T$12="Magnetosphere",POWER(Upgrades!$U$12,K128),1))/AJ128,0)</f>
        <v/>
      </c>
      <c r="AW128" s="32">
        <f>MAX(IF(I128&gt;0,0,IFERROR(0.25*N128/Upgrades!$C$10,0)),IF(J128&gt;0,0,IFERROR(0.5*((IF(G128=0,0,(Upgrades!$J$8+G128*Upgrades!$K$8)*POWER(Upgrades!$L$8,G128)))*(IF(Upgrades!$T$6="Stellar Coupling",POWER(Upgrades!$U$6,E128),1)*IF(Upgrades!$T$7="Stellar Coupling",POWER(Upgrades!$U$7,F128),1)*IF(Upgrades!$T$9="Stellar Coupling",POWER(Upgrades!$U$9,H128),1)*IF(Upgrades!$T$10="Stellar Coupling",POWER(Upgrades!$U$10,I128),1)*IF(Upgrades!$T$11="Stellar Coupling",POWER(Upgrades!$U$11,J128),1)*IF(Upgrades!$T$12="Stellar Coupling",POWER(Upgrades!$U$12,K128),1))*(POWER(Upgrades!$Q$6,E128)*POWER(Upgrades!$Q$7,F128)*POWER(Upgrades!$Q$8,G128)*POWER(Upgrades!$Q$9,H128)*POWER(Upgrades!$Q$10,I128)*POWER(Upgrades!$Q$11,J128)*POWER(Upgrades!$Q$12,K128))*Parameters!$B$10*Parameters!$B$11/60)/Upgrades!$C$11,0)),IF(K128&gt;0,0,IFERROR((1.0*(POWER(Upgrades!$P$6,E128)*POWER(Upgrades!$P$7,F128)*POWER(Upgrades!$P$8,G128)*POWER(Upgrades!$P$9,H128)*POWER(Upgrades!$P$10,I128)*POWER(Upgrades!$P$11,J128)*POWER(Upgrades!$P$12,K128))+0.20*M128*Parameters!$B$10*Parameters!$B$11/60)/Upgrades!$C$12,0)),IF(AND(ISNUMBER(AG128),AG128&gt;T128),AS128,0),IF(AND(ISNUMBER(AH128),AH128&gt;T128),AT128,0),IF(AND(ISNUMBER(AI128),AI128&gt;T128),AU128,0),IF(AND(ISNUMBER(AJ128),AJ128&gt;T128),AV128,0))</f>
        <v/>
      </c>
      <c r="AX128" s="29">
        <f>IF(AN128=1,"transition",IF(MIN(IF(AND(I128=0,ISNUMBER(AK128),AK128&lt;=T128),AK128,9E15),IF(AND(J128=0,ISNUMBER(AL128),AL128&lt;=T128),AL128,9E15),IF(AND(K128=0,ISNUMBER(AM128),AM128&lt;=T128),AM128,9E15))&lt;9E15,IF(AND(AND(I128=0,ISNUMBER(AK128),AK128&lt;=T128),AK128=MIN(IF(AND(I128=0,ISNUMBER(AK128),AK128&lt;=T128),AK128,9E15),IF(AND(J128=0,ISNUMBER(AL128),AL128&lt;=T128),AL128,9E15),IF(AND(K128=0,ISNUMBER(AM128),AM128&lt;=T128),AM128,9E15))),"OR",IF(AND(AND(J128=0,ISNUMBER(AL128),AL128&lt;=T128),AL128=MIN(IF(AND(I128=0,ISNUMBER(AK128),AK128&lt;=T128),AK128,9E15),IF(AND(J128=0,ISNUMBER(AL128),AL128&lt;=T128),AL128,9E15),IF(AND(K128=0,ISNUMBER(AM128),AM128&lt;=T128),AM128,9E15))),"HP","FP")),IF(AR128=TRUE,"",IF(MAX(IF(AND(NOT(AND(AO128=1,AN128&lt;&gt;1)),ISNUMBER(AG128),AG128&lt;=T128),AS128,0),IF(AND(NOT(AND(AO128=1,AN128&lt;&gt;1)),ISNUMBER(AH128),AH128&lt;=T128),AT128,0),IF(AND(NOT(AND(AO128=1,AN128&lt;&gt;1)),ISNUMBER(AI128),AI128&lt;=T128),AU128,0),IF(AND(ISNUMBER(AJ128),AJ128&lt;=T128),AV128,0))&lt;=0,"",IF(AND(IF(AND(NOT(AND(AO128=1,AN128&lt;&gt;1)),ISNUMBER(AG128),AG128&lt;=T128),AS128,0)&gt;0,IF(AND(NOT(AND(AO128=1,AN128&lt;&gt;1)),ISNUMBER(AG128),AG128&lt;=T128),AS128,0)=MAX(IF(AND(NOT(AND(AO128=1,AN128&lt;&gt;1)),ISNUMBER(AG128),AG128&lt;=T128),AS128,0),IF(AND(NOT(AND(AO128=1,AN128&lt;&gt;1)),ISNUMBER(AH128),AH128&lt;=T128),AT128,0),IF(AND(NOT(AND(AO128=1,AN128&lt;&gt;1)),ISNUMBER(AI128),AI128&lt;=T128),AU128,0),IF(AND(ISNUMBER(AJ128),AJ128&lt;=T128),AV128,0))),"SW",IF(AND(IF(AND(NOT(AND(AO128=1,AN128&lt;&gt;1)),ISNUMBER(AH128),AH128&lt;=T128),AT128,0)&gt;0,IF(AND(NOT(AND(AO128=1,AN128&lt;&gt;1)),ISNUMBER(AH128),AH128&lt;=T128),AT128,0)=MAX(IF(AND(NOT(AND(AO128=1,AN128&lt;&gt;1)),ISNUMBER(AG128),AG128&lt;=T128),AS128,0),IF(AND(NOT(AND(AO128=1,AN128&lt;&gt;1)),ISNUMBER(AH128),AH128&lt;=T128),AT128,0),IF(AND(NOT(AND(AO128=1,AN128&lt;&gt;1)),ISNUMBER(AI128),AI128&lt;=T128),AU128,0),IF(AND(ISNUMBER(AJ128),AJ128&lt;=T128),AV128,0))),"AB",IF(AND(IF(AND(NOT(AND(AO128=1,AN128&lt;&gt;1)),ISNUMBER(AI128),AI128&lt;=T128),AU128,0)&gt;0,IF(AND(NOT(AND(AO128=1,AN128&lt;&gt;1)),ISNUMBER(AI128),AI128&lt;=T128),AU128,0)=MAX(IF(AND(NOT(AND(AO128=1,AN128&lt;&gt;1)),ISNUMBER(AG128),AG128&lt;=T128),AS128,0),IF(AND(NOT(AND(AO128=1,AN128&lt;&gt;1)),ISNUMBER(AH128),AH128&lt;=T128),AT128,0),IF(AND(NOT(AND(AO128=1,AN128&lt;&gt;1)),ISNUMBER(AI128),AI128&lt;=T128),AU128,0),IF(AND(ISNUMBER(AJ128),AJ128&lt;=T128),AV128,0))),"SC","Mag")))))))</f>
        <v/>
      </c>
    </row>
    <row r="129">
      <c r="A129" s="26" t="n">
        <v>124</v>
      </c>
      <c r="B129" s="27">
        <f>A129*10/60</f>
        <v/>
      </c>
      <c r="C129" s="22">
        <f>X128</f>
        <v/>
      </c>
      <c r="D129" s="27">
        <f>D128+W128</f>
        <v/>
      </c>
      <c r="E129" s="26">
        <f>E128+IF(U128="SW",1,0)</f>
        <v/>
      </c>
      <c r="F129" s="26">
        <f>F128+IF(U128="AB",1,0)</f>
        <v/>
      </c>
      <c r="G129" s="26">
        <f>G128+IF(U128="SC",1,0)</f>
        <v/>
      </c>
      <c r="H129" s="26">
        <f>H128+IF(U128="Mag",1,0)</f>
        <v/>
      </c>
      <c r="I129" s="26">
        <f>MAX(I128,IF(U128="OR",1,0))</f>
        <v/>
      </c>
      <c r="J129" s="26">
        <f>MAX(J128,IF(U128="HP",1,0))</f>
        <v/>
      </c>
      <c r="K129" s="26">
        <f>MAX(K128,IF(U128="FP",1,0))</f>
        <v/>
      </c>
      <c r="L129" s="26">
        <f>MAX(L128,IF(U128="transition",1,0))</f>
        <v/>
      </c>
      <c r="M129" s="28">
        <f>(Parameters!$B$9+(IF(E129=0,0,(Upgrades!$J$6+E129*Upgrades!$K$6)*POWER(Upgrades!$L$6,E129)))*(IF(Upgrades!$T$7="Solar Wind",POWER(Upgrades!$U$7,F129),1)*IF(Upgrades!$T$8="Solar Wind",POWER(Upgrades!$U$8,G129),1)*IF(Upgrades!$T$9="Solar Wind",POWER(Upgrades!$U$9,H129),1)*IF(Upgrades!$T$10="Solar Wind",POWER(Upgrades!$U$10,I129),1)*IF(Upgrades!$T$11="Solar Wind",POWER(Upgrades!$U$11,J129),1)*IF(Upgrades!$T$12="Solar Wind",POWER(Upgrades!$U$12,K129),1))+(IF(F129=0,0,(Upgrades!$J$7+F129*Upgrades!$K$7)*POWER(Upgrades!$L$7,F129)))*(IF(Upgrades!$T$6="Asteroid Belt",POWER(Upgrades!$U$6,E129),1)*IF(Upgrades!$T$8="Asteroid Belt",POWER(Upgrades!$U$8,G129),1)*IF(Upgrades!$T$9="Asteroid Belt",POWER(Upgrades!$U$9,H129),1)*IF(Upgrades!$T$10="Asteroid Belt",POWER(Upgrades!$U$10,I129),1)*IF(Upgrades!$T$11="Asteroid Belt",POWER(Upgrades!$U$11,J129),1)*IF(Upgrades!$T$12="Asteroid Belt",POWER(Upgrades!$U$12,K129),1))+(IF(G129=0,0,(Upgrades!$J$8+G129*Upgrades!$K$8)*POWER(Upgrades!$L$8,G129)))*(IF(Upgrades!$T$6="Stellar Coupling",POWER(Upgrades!$U$6,E129),1)*IF(Upgrades!$T$7="Stellar Coupling",POWER(Upgrades!$U$7,F129),1)*IF(Upgrades!$T$9="Stellar Coupling",POWER(Upgrades!$U$9,H129),1)*IF(Upgrades!$T$10="Stellar Coupling",POWER(Upgrades!$U$10,I129),1)*IF(Upgrades!$T$11="Stellar Coupling",POWER(Upgrades!$U$11,J129),1)*IF(Upgrades!$T$12="Stellar Coupling",POWER(Upgrades!$U$12,K129),1))+(IF(H129=0,0,(Upgrades!$J$9+H129*Upgrades!$K$9)*POWER(Upgrades!$L$9,H129)))*(IF(Upgrades!$T$6="Magnetosphere",POWER(Upgrades!$U$6,E129),1)*IF(Upgrades!$T$7="Magnetosphere",POWER(Upgrades!$U$7,F129),1)*IF(Upgrades!$T$8="Magnetosphere",POWER(Upgrades!$U$8,G129),1)*IF(Upgrades!$T$10="Magnetosphere",POWER(Upgrades!$U$10,I129),1)*IF(Upgrades!$T$11="Magnetosphere",POWER(Upgrades!$U$11,J129),1)*IF(Upgrades!$T$12="Magnetosphere",POWER(Upgrades!$U$12,K129),1))+(IF(I129=0,0,(Upgrades!$J$10+I129*Upgrades!$K$10)*POWER(Upgrades!$L$10,I129)))*(IF(Upgrades!$T$6="Orbital Resonance",POWER(Upgrades!$U$6,E129),1)*IF(Upgrades!$T$7="Orbital Resonance",POWER(Upgrades!$U$7,F129),1)*IF(Upgrades!$T$8="Orbital Resonance",POWER(Upgrades!$U$8,G129),1)*IF(Upgrades!$T$9="Orbital Resonance",POWER(Upgrades!$U$9,H129),1)*IF(Upgrades!$T$11="Orbital Resonance",POWER(Upgrades!$U$11,J129),1)*IF(Upgrades!$T$12="Orbital Resonance",POWER(Upgrades!$U$12,K129),1))+(IF(J129=0,0,(Upgrades!$J$11+J129*Upgrades!$K$11)*POWER(Upgrades!$L$11,J129)))*(IF(Upgrades!$T$6="Heliopause",POWER(Upgrades!$U$6,E129),1)*IF(Upgrades!$T$7="Heliopause",POWER(Upgrades!$U$7,F129),1)*IF(Upgrades!$T$8="Heliopause",POWER(Upgrades!$U$8,G129),1)*IF(Upgrades!$T$9="Heliopause",POWER(Upgrades!$U$9,H129),1)*IF(Upgrades!$T$10="Heliopause",POWER(Upgrades!$U$10,I129),1)*IF(Upgrades!$T$12="Heliopause",POWER(Upgrades!$U$12,K129),1))+(IF(K129=0,0,(Upgrades!$J$12+K129*Upgrades!$K$12)*POWER(Upgrades!$L$12,K129)))*(IF(Upgrades!$T$6="First Photons",POWER(Upgrades!$U$6,E129),1)*IF(Upgrades!$T$7="First Photons",POWER(Upgrades!$U$7,F129),1)*IF(Upgrades!$T$8="First Photons",POWER(Upgrades!$U$8,G129),1)*IF(Upgrades!$T$9="First Photons",POWER(Upgrades!$U$9,H129),1)*IF(Upgrades!$T$10="First Photons",POWER(Upgrades!$U$10,I129),1)*IF(Upgrades!$T$11="First Photons",POWER(Upgrades!$U$11,J129),1)))*POWER(Upgrades!$Q$6,E129)*POWER(Upgrades!$Q$7,F129)*POWER(Upgrades!$Q$8,G129)*POWER(Upgrades!$Q$9,H129)*POWER(Upgrades!$Q$10,I129)*POWER(Upgrades!$Q$11,J129)*POWER(Upgrades!$Q$12,K129)</f>
        <v/>
      </c>
      <c r="N129" s="28">
        <f>((IF(E129=0,0,(Upgrades!$G$6+E129*Upgrades!$H$6)*POWER(Upgrades!$I$6,E129)))*(IF(Upgrades!$T$7="Solar Wind",POWER(Upgrades!$U$7,F129),1)*IF(Upgrades!$T$8="Solar Wind",POWER(Upgrades!$U$8,G129),1)*IF(Upgrades!$T$9="Solar Wind",POWER(Upgrades!$U$9,H129),1)*IF(Upgrades!$T$10="Solar Wind",POWER(Upgrades!$U$10,I129),1)*IF(Upgrades!$T$11="Solar Wind",POWER(Upgrades!$U$11,J129),1)*IF(Upgrades!$T$12="Solar Wind",POWER(Upgrades!$U$12,K129),1))+(IF(F129=0,0,(Upgrades!$G$7+F129*Upgrades!$H$7)*POWER(Upgrades!$I$7,F129)))*(IF(Upgrades!$T$6="Asteroid Belt",POWER(Upgrades!$U$6,E129),1)*IF(Upgrades!$T$8="Asteroid Belt",POWER(Upgrades!$U$8,G129),1)*IF(Upgrades!$T$9="Asteroid Belt",POWER(Upgrades!$U$9,H129),1)*IF(Upgrades!$T$10="Asteroid Belt",POWER(Upgrades!$U$10,I129),1)*IF(Upgrades!$T$11="Asteroid Belt",POWER(Upgrades!$U$11,J129),1)*IF(Upgrades!$T$12="Asteroid Belt",POWER(Upgrades!$U$12,K129),1))+(IF(G129=0,0,(Upgrades!$G$8+G129*Upgrades!$H$8)*POWER(Upgrades!$I$8,G129)))*(IF(Upgrades!$T$6="Stellar Coupling",POWER(Upgrades!$U$6,E129),1)*IF(Upgrades!$T$7="Stellar Coupling",POWER(Upgrades!$U$7,F129),1)*IF(Upgrades!$T$9="Stellar Coupling",POWER(Upgrades!$U$9,H129),1)*IF(Upgrades!$T$10="Stellar Coupling",POWER(Upgrades!$U$10,I129),1)*IF(Upgrades!$T$11="Stellar Coupling",POWER(Upgrades!$U$11,J129),1)*IF(Upgrades!$T$12="Stellar Coupling",POWER(Upgrades!$U$12,K129),1))+(IF(H129=0,0,(Upgrades!$G$9+H129*Upgrades!$H$9)*POWER(Upgrades!$I$9,H129)))*(IF(Upgrades!$T$6="Magnetosphere",POWER(Upgrades!$U$6,E129),1)*IF(Upgrades!$T$7="Magnetosphere",POWER(Upgrades!$U$7,F129),1)*IF(Upgrades!$T$8="Magnetosphere",POWER(Upgrades!$U$8,G129),1)*IF(Upgrades!$T$10="Magnetosphere",POWER(Upgrades!$U$10,I129),1)*IF(Upgrades!$T$11="Magnetosphere",POWER(Upgrades!$U$11,J129),1)*IF(Upgrades!$T$12="Magnetosphere",POWER(Upgrades!$U$12,K129),1))+(IF(I129=0,0,(Upgrades!$G$10+I129*Upgrades!$H$10)*POWER(Upgrades!$I$10,I129)))*(IF(Upgrades!$T$6="Orbital Resonance",POWER(Upgrades!$U$6,E129),1)*IF(Upgrades!$T$7="Orbital Resonance",POWER(Upgrades!$U$7,F129),1)*IF(Upgrades!$T$8="Orbital Resonance",POWER(Upgrades!$U$8,G129),1)*IF(Upgrades!$T$9="Orbital Resonance",POWER(Upgrades!$U$9,H129),1)*IF(Upgrades!$T$11="Orbital Resonance",POWER(Upgrades!$U$11,J129),1)*IF(Upgrades!$T$12="Orbital Resonance",POWER(Upgrades!$U$12,K129),1))+(IF(J129=0,0,(Upgrades!$G$11+J129*Upgrades!$H$11)*POWER(Upgrades!$I$11,J129)))*(IF(Upgrades!$T$6="Heliopause",POWER(Upgrades!$U$6,E129),1)*IF(Upgrades!$T$7="Heliopause",POWER(Upgrades!$U$7,F129),1)*IF(Upgrades!$T$8="Heliopause",POWER(Upgrades!$U$8,G129),1)*IF(Upgrades!$T$9="Heliopause",POWER(Upgrades!$U$9,H129),1)*IF(Upgrades!$T$10="Heliopause",POWER(Upgrades!$U$10,I129),1)*IF(Upgrades!$T$12="Heliopause",POWER(Upgrades!$U$12,K129),1))+(IF(K129=0,0,(Upgrades!$G$12+K129*Upgrades!$H$12)*POWER(Upgrades!$I$12,K129)))*(IF(Upgrades!$T$6="First Photons",POWER(Upgrades!$U$6,E129),1)*IF(Upgrades!$T$7="First Photons",POWER(Upgrades!$U$7,F129),1)*IF(Upgrades!$T$8="First Photons",POWER(Upgrades!$U$8,G129),1)*IF(Upgrades!$T$9="First Photons",POWER(Upgrades!$U$9,H129),1)*IF(Upgrades!$T$10="First Photons",POWER(Upgrades!$U$10,I129),1)*IF(Upgrades!$T$11="First Photons",POWER(Upgrades!$U$11,J129),1)))*POWER(Upgrades!$P$6,E129)*POWER(Upgrades!$P$7,F129)*POWER(Upgrades!$P$8,G129)*POWER(Upgrades!$P$9,H129)*POWER(Upgrades!$P$10,I129)*POWER(Upgrades!$P$11,J129)*POWER(Upgrades!$P$12,K129)</f>
        <v/>
      </c>
      <c r="O129" s="28">
        <f>((IF(E129=0,0,(Upgrades!$M$6+E129*Upgrades!$N$6)*POWER(Upgrades!$O$6,E129)))*(IF(Upgrades!$T$7="Solar Wind",POWER(Upgrades!$U$7,F129),1)*IF(Upgrades!$T$8="Solar Wind",POWER(Upgrades!$U$8,G129),1)*IF(Upgrades!$T$9="Solar Wind",POWER(Upgrades!$U$9,H129),1)*IF(Upgrades!$T$10="Solar Wind",POWER(Upgrades!$U$10,I129),1)*IF(Upgrades!$T$11="Solar Wind",POWER(Upgrades!$U$11,J129),1)*IF(Upgrades!$T$12="Solar Wind",POWER(Upgrades!$U$12,K129),1))+(IF(F129=0,0,(Upgrades!$M$7+F129*Upgrades!$N$7)*POWER(Upgrades!$O$7,F129)))*(IF(Upgrades!$T$6="Asteroid Belt",POWER(Upgrades!$U$6,E129),1)*IF(Upgrades!$T$8="Asteroid Belt",POWER(Upgrades!$U$8,G129),1)*IF(Upgrades!$T$9="Asteroid Belt",POWER(Upgrades!$U$9,H129),1)*IF(Upgrades!$T$10="Asteroid Belt",POWER(Upgrades!$U$10,I129),1)*IF(Upgrades!$T$11="Asteroid Belt",POWER(Upgrades!$U$11,J129),1)*IF(Upgrades!$T$12="Asteroid Belt",POWER(Upgrades!$U$12,K129),1))+(IF(G129=0,0,(Upgrades!$M$8+G129*Upgrades!$N$8)*POWER(Upgrades!$O$8,G129)))*(IF(Upgrades!$T$6="Stellar Coupling",POWER(Upgrades!$U$6,E129),1)*IF(Upgrades!$T$7="Stellar Coupling",POWER(Upgrades!$U$7,F129),1)*IF(Upgrades!$T$9="Stellar Coupling",POWER(Upgrades!$U$9,H129),1)*IF(Upgrades!$T$10="Stellar Coupling",POWER(Upgrades!$U$10,I129),1)*IF(Upgrades!$T$11="Stellar Coupling",POWER(Upgrades!$U$11,J129),1)*IF(Upgrades!$T$12="Stellar Coupling",POWER(Upgrades!$U$12,K129),1))+(IF(H129=0,0,(Upgrades!$M$9+H129*Upgrades!$N$9)*POWER(Upgrades!$O$9,H129)))*(IF(Upgrades!$T$6="Magnetosphere",POWER(Upgrades!$U$6,E129),1)*IF(Upgrades!$T$7="Magnetosphere",POWER(Upgrades!$U$7,F129),1)*IF(Upgrades!$T$8="Magnetosphere",POWER(Upgrades!$U$8,G129),1)*IF(Upgrades!$T$10="Magnetosphere",POWER(Upgrades!$U$10,I129),1)*IF(Upgrades!$T$11="Magnetosphere",POWER(Upgrades!$U$11,J129),1)*IF(Upgrades!$T$12="Magnetosphere",POWER(Upgrades!$U$12,K129),1))+(IF(I129=0,0,(Upgrades!$M$10+I129*Upgrades!$N$10)*POWER(Upgrades!$O$10,I129)))*(IF(Upgrades!$T$6="Orbital Resonance",POWER(Upgrades!$U$6,E129),1)*IF(Upgrades!$T$7="Orbital Resonance",POWER(Upgrades!$U$7,F129),1)*IF(Upgrades!$T$8="Orbital Resonance",POWER(Upgrades!$U$8,G129),1)*IF(Upgrades!$T$9="Orbital Resonance",POWER(Upgrades!$U$9,H129),1)*IF(Upgrades!$T$11="Orbital Resonance",POWER(Upgrades!$U$11,J129),1)*IF(Upgrades!$T$12="Orbital Resonance",POWER(Upgrades!$U$12,K129),1))+(IF(J129=0,0,(Upgrades!$M$11+J129*Upgrades!$N$11)*POWER(Upgrades!$O$11,J129)))*(IF(Upgrades!$T$6="Heliopause",POWER(Upgrades!$U$6,E129),1)*IF(Upgrades!$T$7="Heliopause",POWER(Upgrades!$U$7,F129),1)*IF(Upgrades!$T$8="Heliopause",POWER(Upgrades!$U$8,G129),1)*IF(Upgrades!$T$9="Heliopause",POWER(Upgrades!$U$9,H129),1)*IF(Upgrades!$T$10="Heliopause",POWER(Upgrades!$U$10,I129),1)*IF(Upgrades!$T$12="Heliopause",POWER(Upgrades!$U$12,K129),1))+(IF(K129=0,0,(Upgrades!$M$12+K129*Upgrades!$N$12)*POWER(Upgrades!$O$12,K129)))*(IF(Upgrades!$T$6="First Photons",POWER(Upgrades!$U$6,E129),1)*IF(Upgrades!$T$7="First Photons",POWER(Upgrades!$U$7,F129),1)*IF(Upgrades!$T$8="First Photons",POWER(Upgrades!$U$8,G129),1)*IF(Upgrades!$T$9="First Photons",POWER(Upgrades!$U$9,H129),1)*IF(Upgrades!$T$10="First Photons",POWER(Upgrades!$U$10,I129),1)*IF(Upgrades!$T$11="First Photons",POWER(Upgrades!$U$11,J129),1)))*POWER(Upgrades!$R$6,E129)*POWER(Upgrades!$R$7,F129)*POWER(Upgrades!$R$8,G129)*POWER(Upgrades!$R$9,H129)*POWER(Upgrades!$R$10,I129)*POWER(Upgrades!$R$11,J129)*POWER(Upgrades!$R$12,K129)</f>
        <v/>
      </c>
      <c r="P129" s="27">
        <f>IF(L129=1,0,M129*Parameters!$B$10/60*Parameters!$B$11*10)</f>
        <v/>
      </c>
      <c r="Q129" s="27">
        <f>IF(L129=1,0,O129*M129*10)</f>
        <v/>
      </c>
      <c r="R129" s="27">
        <f>IF(L129=1,0,N129*10)</f>
        <v/>
      </c>
      <c r="S129" s="27">
        <f>P129+Q129+R129</f>
        <v/>
      </c>
      <c r="T129" s="22">
        <f>C129+S129</f>
        <v/>
      </c>
      <c r="U129" s="33">
        <f>AX129</f>
        <v/>
      </c>
      <c r="V129" s="22">
        <f>IF(U129="",0,IF(U129="transition",0,IF(U129="SW",AG129,IF(U129="AB",AH129,IF(U129="SC",AI129,IF(U129="Mag",AJ129,IF(U129="OR",AK129,IF(U129="HP",AL129,IF(U129="FP",AM129,0)))))))))</f>
        <v/>
      </c>
      <c r="W129" s="27">
        <f>IF(U129="OR",Upgrades!$F$10,IF(U129="HP",Upgrades!$F$11,IF(U129="transition",-Parameters!$B$18,0)))</f>
        <v/>
      </c>
      <c r="X129" s="22">
        <f>T129-V129</f>
        <v/>
      </c>
      <c r="Y129" s="30">
        <f>M129*Parameters!$B$10/60*Parameters!$B$11+O129*M129+N129</f>
        <v/>
      </c>
      <c r="Z129" s="34">
        <f>IF(U129="transition","→ Tier 2 (Stellar Neighborhood)",IF(U129="FP","First Photons — light begins, system quickens",IF(U129="HP","Heliopause acquired",IF(U129="OR","Orbital Resonance — passive multiplier active",IF(AND(AO129=1,L129=0,AN129&lt;&gt;1),"Cohesion ready (waiting on completionist upgrades)","")))))</f>
        <v/>
      </c>
      <c r="AA129" s="27">
        <f>(IF(E129=0,0,(Upgrades!$G$6+E129*Upgrades!$H$6)*POWER(Upgrades!$I$6,E129)))*(IF(Upgrades!$T$7="Solar Wind",POWER(Upgrades!$U$7,F129),1)*IF(Upgrades!$T$8="Solar Wind",POWER(Upgrades!$U$8,G129),1)*IF(Upgrades!$T$9="Solar Wind",POWER(Upgrades!$U$9,H129),1)*IF(Upgrades!$T$10="Solar Wind",POWER(Upgrades!$U$10,I129),1)*IF(Upgrades!$T$11="Solar Wind",POWER(Upgrades!$U$11,J129),1)*IF(Upgrades!$T$12="Solar Wind",POWER(Upgrades!$U$12,K129),1))*POWER(Upgrades!$P$6,E129)*POWER(Upgrades!$P$7,F129)*POWER(Upgrades!$P$8,G129)*POWER(Upgrades!$P$9,H129)*POWER(Upgrades!$P$10,I129)*POWER(Upgrades!$P$11,J129)*POWER(Upgrades!$P$12,K129)*60</f>
        <v/>
      </c>
      <c r="AB129" s="27">
        <f>(IF(F129=0,0,(Upgrades!$G$7+F129*Upgrades!$H$7)*POWER(Upgrades!$I$7,F129)))*(IF(Upgrades!$T$6="Asteroid Belt",POWER(Upgrades!$U$6,E129),1)*IF(Upgrades!$T$8="Asteroid Belt",POWER(Upgrades!$U$8,G129),1)*IF(Upgrades!$T$9="Asteroid Belt",POWER(Upgrades!$U$9,H129),1)*IF(Upgrades!$T$10="Asteroid Belt",POWER(Upgrades!$U$10,I129),1)*IF(Upgrades!$T$11="Asteroid Belt",POWER(Upgrades!$U$11,J129),1)*IF(Upgrades!$T$12="Asteroid Belt",POWER(Upgrades!$U$12,K129),1))*POWER(Upgrades!$P$6,E129)*POWER(Upgrades!$P$7,F129)*POWER(Upgrades!$P$8,G129)*POWER(Upgrades!$P$9,H129)*POWER(Upgrades!$P$10,I129)*POWER(Upgrades!$P$11,J129)*POWER(Upgrades!$P$12,K129)*60</f>
        <v/>
      </c>
      <c r="AC129" s="27">
        <f>(IF(G129=0,0,(Upgrades!$J$8+G129*Upgrades!$K$8)*POWER(Upgrades!$L$8,G129)))*(IF(Upgrades!$T$6="Stellar Coupling",POWER(Upgrades!$U$6,E129),1)*IF(Upgrades!$T$7="Stellar Coupling",POWER(Upgrades!$U$7,F129),1)*IF(Upgrades!$T$9="Stellar Coupling",POWER(Upgrades!$U$9,H129),1)*IF(Upgrades!$T$10="Stellar Coupling",POWER(Upgrades!$U$10,I129),1)*IF(Upgrades!$T$11="Stellar Coupling",POWER(Upgrades!$U$11,J129),1)*IF(Upgrades!$T$12="Stellar Coupling",POWER(Upgrades!$U$12,K129),1))*POWER(Upgrades!$Q$6,E129)*POWER(Upgrades!$Q$7,F129)*POWER(Upgrades!$Q$8,G129)*POWER(Upgrades!$Q$9,H129)*POWER(Upgrades!$Q$10,I129)*POWER(Upgrades!$Q$11,J129)*POWER(Upgrades!$Q$12,K129)*Parameters!$B$10*Parameters!$B$11</f>
        <v/>
      </c>
      <c r="AD129" s="27">
        <f>(IF(H129=0,0,(Upgrades!$G$9+H129*Upgrades!$H$9)*POWER(Upgrades!$I$9,H129)))*(IF(Upgrades!$T$6="Magnetosphere",POWER(Upgrades!$U$6,E129),1)*IF(Upgrades!$T$7="Magnetosphere",POWER(Upgrades!$U$7,F129),1)*IF(Upgrades!$T$8="Magnetosphere",POWER(Upgrades!$U$8,G129),1)*IF(Upgrades!$T$10="Magnetosphere",POWER(Upgrades!$U$10,I129),1)*IF(Upgrades!$T$11="Magnetosphere",POWER(Upgrades!$U$11,J129),1)*IF(Upgrades!$T$12="Magnetosphere",POWER(Upgrades!$U$12,K129),1))*POWER(Upgrades!$P$6,E129)*POWER(Upgrades!$P$7,F129)*POWER(Upgrades!$P$8,G129)*POWER(Upgrades!$P$9,H129)*POWER(Upgrades!$P$10,I129)*POWER(Upgrades!$P$11,J129)*POWER(Upgrades!$P$12,K129)*60</f>
        <v/>
      </c>
      <c r="AE129" s="27">
        <f>(IF(K129=0,0,(Upgrades!$G$12+K129*Upgrades!$H$12)*POWER(Upgrades!$I$12,K129)))*(IF(Upgrades!$T$6="First Photons",POWER(Upgrades!$U$6,E129),1)*IF(Upgrades!$T$7="First Photons",POWER(Upgrades!$U$7,F129),1)*IF(Upgrades!$T$8="First Photons",POWER(Upgrades!$U$8,G129),1)*IF(Upgrades!$T$9="First Photons",POWER(Upgrades!$U$9,H129),1)*IF(Upgrades!$T$10="First Photons",POWER(Upgrades!$U$10,I129),1)*IF(Upgrades!$T$11="First Photons",POWER(Upgrades!$U$11,J129),1))*POWER(Upgrades!$P$6,E129)*POWER(Upgrades!$P$7,F129)*POWER(Upgrades!$P$8,G129)*POWER(Upgrades!$P$9,H129)*POWER(Upgrades!$P$10,I129)*POWER(Upgrades!$P$11,J129)*POWER(Upgrades!$P$12,K129)*60</f>
        <v/>
      </c>
      <c r="AF129" s="27">
        <f>Parameters!$B$9*POWER(Upgrades!$Q$6,E129)*POWER(Upgrades!$Q$7,F129)*POWER(Upgrades!$Q$8,G129)*POWER(Upgrades!$Q$9,H129)*POWER(Upgrades!$Q$10,I129)*POWER(Upgrades!$Q$11,J129)*POWER(Upgrades!$Q$12,K129)*(Parameters!$B$10*Parameters!$B$11+O129*60)</f>
        <v/>
      </c>
      <c r="AG129" s="22">
        <f>IF(E129&gt;=Upgrades!$E$6,"",Upgrades!$C$6*POWER(Upgrades!$D$6,E129))</f>
        <v/>
      </c>
      <c r="AH129" s="22">
        <f>IF(F129&gt;=Upgrades!$E$7,"",Upgrades!$C$7*POWER(Upgrades!$D$7,F129))</f>
        <v/>
      </c>
      <c r="AI129" s="22">
        <f>IF(G129&gt;=Upgrades!$E$8,"",Upgrades!$C$8*POWER(Upgrades!$D$8,G129))</f>
        <v/>
      </c>
      <c r="AJ129" s="22">
        <f>IF(H129&gt;=Upgrades!$E$9,"",Upgrades!$C$9*POWER(Upgrades!$D$9,H129))</f>
        <v/>
      </c>
      <c r="AK129" s="22">
        <f>IF(I129&gt;=Upgrades!$E$10,"",Upgrades!$C$10*POWER(Upgrades!$D$10,I129))</f>
        <v/>
      </c>
      <c r="AL129" s="22">
        <f>IF(J129&gt;=Upgrades!$E$11,"",Upgrades!$C$11*POWER(Upgrades!$D$11,J129))</f>
        <v/>
      </c>
      <c r="AM129" s="22">
        <f>IF(K129&gt;=Upgrades!$E$12,"",Upgrades!$C$12*POWER(Upgrades!$D$12,K129))</f>
        <v/>
      </c>
      <c r="AN129" s="26">
        <f>IF(AND(D129&gt;=Parameters!$B$18,(H129&gt;=Upgrades!$E$9)*(K129&gt;=Upgrades!$E$12)=1,L129=0),1,"")</f>
        <v/>
      </c>
      <c r="AO129" s="26">
        <f>IF(AND(D129&gt;=Parameters!$B$18,L129=0),1,"")</f>
        <v/>
      </c>
      <c r="AP129" s="22">
        <f>MIN(IF(ISNUMBER(AK129),AK129,9E15),IF(ISNUMBER(AL129),AL129,9E15),IF(ISNUMBER(AM129),AM129,9E15))</f>
        <v/>
      </c>
      <c r="AQ129" s="22">
        <f>MIN(IF(ISNUMBER(AG129),AG129,9E15),IF(ISNUMBER(AH129),AH129,9E15),IF(ISNUMBER(AI129),AI129,9E15),IF(ISNUMBER(AJ129),AJ129,9E15))</f>
        <v/>
      </c>
      <c r="AR129" s="29">
        <f>IF(AW129&gt;Parameters!$B$21*(MAX(IF(AND(NOT(AND(AO129=1,AN129&lt;&gt;1)),ISNUMBER(AG129),AG129&lt;=T129),AS129,0),IF(AND(NOT(AND(AO129=1,AN129&lt;&gt;1)),ISNUMBER(AH129),AH129&lt;=T129),AT129,0),IF(AND(NOT(AND(AO129=1,AN129&lt;&gt;1)),ISNUMBER(AI129),AI129&lt;=T129),AU129,0),IF(AND(ISNUMBER(AJ129),AJ129&lt;=T129),AV129,0))),TRUE,FALSE)</f>
        <v/>
      </c>
      <c r="AS129" s="32">
        <f>IFERROR(Upgrades!$H$6*(POWER(Upgrades!$P$6,E129)*POWER(Upgrades!$P$7,F129)*POWER(Upgrades!$P$8,G129)*POWER(Upgrades!$P$9,H129)*POWER(Upgrades!$P$10,I129)*POWER(Upgrades!$P$11,J129)*POWER(Upgrades!$P$12,K129))*(IF(Upgrades!$T$7="Solar Wind",POWER(Upgrades!$U$7,F129),1)*IF(Upgrades!$T$8="Solar Wind",POWER(Upgrades!$U$8,G129),1)*IF(Upgrades!$T$9="Solar Wind",POWER(Upgrades!$U$9,H129),1)*IF(Upgrades!$T$10="Solar Wind",POWER(Upgrades!$U$10,I129),1)*IF(Upgrades!$T$11="Solar Wind",POWER(Upgrades!$U$11,J129),1)*IF(Upgrades!$T$12="Solar Wind",POWER(Upgrades!$U$12,K129),1))/AG129,0)</f>
        <v/>
      </c>
      <c r="AT129" s="32">
        <f>IFERROR(Upgrades!$H$7*(POWER(Upgrades!$P$6,E129)*POWER(Upgrades!$P$7,F129)*POWER(Upgrades!$P$8,G129)*POWER(Upgrades!$P$9,H129)*POWER(Upgrades!$P$10,I129)*POWER(Upgrades!$P$11,J129)*POWER(Upgrades!$P$12,K129))*(IF(Upgrades!$T$6="Asteroid Belt",POWER(Upgrades!$U$6,E129),1)*IF(Upgrades!$T$8="Asteroid Belt",POWER(Upgrades!$U$8,G129),1)*IF(Upgrades!$T$9="Asteroid Belt",POWER(Upgrades!$U$9,H129),1)*IF(Upgrades!$T$10="Asteroid Belt",POWER(Upgrades!$U$10,I129),1)*IF(Upgrades!$T$11="Asteroid Belt",POWER(Upgrades!$U$11,J129),1)*IF(Upgrades!$T$12="Asteroid Belt",POWER(Upgrades!$U$12,K129),1))/AH129,0)</f>
        <v/>
      </c>
      <c r="AU129" s="32">
        <f>IFERROR(Upgrades!$K$8*(POWER(Upgrades!$Q$6,E129)*POWER(Upgrades!$Q$7,F129)*POWER(Upgrades!$Q$8,G129)*POWER(Upgrades!$Q$9,H129)*POWER(Upgrades!$Q$10,I129)*POWER(Upgrades!$Q$11,J129)*POWER(Upgrades!$Q$12,K129))*(IF(Upgrades!$T$6="Stellar Coupling",POWER(Upgrades!$U$6,E129),1)*IF(Upgrades!$T$7="Stellar Coupling",POWER(Upgrades!$U$7,F129),1)*IF(Upgrades!$T$9="Stellar Coupling",POWER(Upgrades!$U$9,H129),1)*IF(Upgrades!$T$10="Stellar Coupling",POWER(Upgrades!$U$10,I129),1)*IF(Upgrades!$T$11="Stellar Coupling",POWER(Upgrades!$U$11,J129),1)*IF(Upgrades!$T$12="Stellar Coupling",POWER(Upgrades!$U$12,K129),1))*Parameters!$B$10*Parameters!$B$11/60/AI129,0)</f>
        <v/>
      </c>
      <c r="AV129" s="32">
        <f>IFERROR(Upgrades!$H$9*(POWER(Upgrades!$P$6,E129)*POWER(Upgrades!$P$7,F129)*POWER(Upgrades!$P$8,G129)*POWER(Upgrades!$P$9,H129)*POWER(Upgrades!$P$10,I129)*POWER(Upgrades!$P$11,J129)*POWER(Upgrades!$P$12,K129))*(IF(Upgrades!$T$6="Magnetosphere",POWER(Upgrades!$U$6,E129),1)*IF(Upgrades!$T$7="Magnetosphere",POWER(Upgrades!$U$7,F129),1)*IF(Upgrades!$T$8="Magnetosphere",POWER(Upgrades!$U$8,G129),1)*IF(Upgrades!$T$10="Magnetosphere",POWER(Upgrades!$U$10,I129),1)*IF(Upgrades!$T$11="Magnetosphere",POWER(Upgrades!$U$11,J129),1)*IF(Upgrades!$T$12="Magnetosphere",POWER(Upgrades!$U$12,K129),1))/AJ129,0)</f>
        <v/>
      </c>
      <c r="AW129" s="32">
        <f>MAX(IF(I129&gt;0,0,IFERROR(0.25*N129/Upgrades!$C$10,0)),IF(J129&gt;0,0,IFERROR(0.5*((IF(G129=0,0,(Upgrades!$J$8+G129*Upgrades!$K$8)*POWER(Upgrades!$L$8,G129)))*(IF(Upgrades!$T$6="Stellar Coupling",POWER(Upgrades!$U$6,E129),1)*IF(Upgrades!$T$7="Stellar Coupling",POWER(Upgrades!$U$7,F129),1)*IF(Upgrades!$T$9="Stellar Coupling",POWER(Upgrades!$U$9,H129),1)*IF(Upgrades!$T$10="Stellar Coupling",POWER(Upgrades!$U$10,I129),1)*IF(Upgrades!$T$11="Stellar Coupling",POWER(Upgrades!$U$11,J129),1)*IF(Upgrades!$T$12="Stellar Coupling",POWER(Upgrades!$U$12,K129),1))*(POWER(Upgrades!$Q$6,E129)*POWER(Upgrades!$Q$7,F129)*POWER(Upgrades!$Q$8,G129)*POWER(Upgrades!$Q$9,H129)*POWER(Upgrades!$Q$10,I129)*POWER(Upgrades!$Q$11,J129)*POWER(Upgrades!$Q$12,K129))*Parameters!$B$10*Parameters!$B$11/60)/Upgrades!$C$11,0)),IF(K129&gt;0,0,IFERROR((1.0*(POWER(Upgrades!$P$6,E129)*POWER(Upgrades!$P$7,F129)*POWER(Upgrades!$P$8,G129)*POWER(Upgrades!$P$9,H129)*POWER(Upgrades!$P$10,I129)*POWER(Upgrades!$P$11,J129)*POWER(Upgrades!$P$12,K129))+0.20*M129*Parameters!$B$10*Parameters!$B$11/60)/Upgrades!$C$12,0)),IF(AND(ISNUMBER(AG129),AG129&gt;T129),AS129,0),IF(AND(ISNUMBER(AH129),AH129&gt;T129),AT129,0),IF(AND(ISNUMBER(AI129),AI129&gt;T129),AU129,0),IF(AND(ISNUMBER(AJ129),AJ129&gt;T129),AV129,0))</f>
        <v/>
      </c>
      <c r="AX129" s="29">
        <f>IF(AN129=1,"transition",IF(MIN(IF(AND(I129=0,ISNUMBER(AK129),AK129&lt;=T129),AK129,9E15),IF(AND(J129=0,ISNUMBER(AL129),AL129&lt;=T129),AL129,9E15),IF(AND(K129=0,ISNUMBER(AM129),AM129&lt;=T129),AM129,9E15))&lt;9E15,IF(AND(AND(I129=0,ISNUMBER(AK129),AK129&lt;=T129),AK129=MIN(IF(AND(I129=0,ISNUMBER(AK129),AK129&lt;=T129),AK129,9E15),IF(AND(J129=0,ISNUMBER(AL129),AL129&lt;=T129),AL129,9E15),IF(AND(K129=0,ISNUMBER(AM129),AM129&lt;=T129),AM129,9E15))),"OR",IF(AND(AND(J129=0,ISNUMBER(AL129),AL129&lt;=T129),AL129=MIN(IF(AND(I129=0,ISNUMBER(AK129),AK129&lt;=T129),AK129,9E15),IF(AND(J129=0,ISNUMBER(AL129),AL129&lt;=T129),AL129,9E15),IF(AND(K129=0,ISNUMBER(AM129),AM129&lt;=T129),AM129,9E15))),"HP","FP")),IF(AR129=TRUE,"",IF(MAX(IF(AND(NOT(AND(AO129=1,AN129&lt;&gt;1)),ISNUMBER(AG129),AG129&lt;=T129),AS129,0),IF(AND(NOT(AND(AO129=1,AN129&lt;&gt;1)),ISNUMBER(AH129),AH129&lt;=T129),AT129,0),IF(AND(NOT(AND(AO129=1,AN129&lt;&gt;1)),ISNUMBER(AI129),AI129&lt;=T129),AU129,0),IF(AND(ISNUMBER(AJ129),AJ129&lt;=T129),AV129,0))&lt;=0,"",IF(AND(IF(AND(NOT(AND(AO129=1,AN129&lt;&gt;1)),ISNUMBER(AG129),AG129&lt;=T129),AS129,0)&gt;0,IF(AND(NOT(AND(AO129=1,AN129&lt;&gt;1)),ISNUMBER(AG129),AG129&lt;=T129),AS129,0)=MAX(IF(AND(NOT(AND(AO129=1,AN129&lt;&gt;1)),ISNUMBER(AG129),AG129&lt;=T129),AS129,0),IF(AND(NOT(AND(AO129=1,AN129&lt;&gt;1)),ISNUMBER(AH129),AH129&lt;=T129),AT129,0),IF(AND(NOT(AND(AO129=1,AN129&lt;&gt;1)),ISNUMBER(AI129),AI129&lt;=T129),AU129,0),IF(AND(ISNUMBER(AJ129),AJ129&lt;=T129),AV129,0))),"SW",IF(AND(IF(AND(NOT(AND(AO129=1,AN129&lt;&gt;1)),ISNUMBER(AH129),AH129&lt;=T129),AT129,0)&gt;0,IF(AND(NOT(AND(AO129=1,AN129&lt;&gt;1)),ISNUMBER(AH129),AH129&lt;=T129),AT129,0)=MAX(IF(AND(NOT(AND(AO129=1,AN129&lt;&gt;1)),ISNUMBER(AG129),AG129&lt;=T129),AS129,0),IF(AND(NOT(AND(AO129=1,AN129&lt;&gt;1)),ISNUMBER(AH129),AH129&lt;=T129),AT129,0),IF(AND(NOT(AND(AO129=1,AN129&lt;&gt;1)),ISNUMBER(AI129),AI129&lt;=T129),AU129,0),IF(AND(ISNUMBER(AJ129),AJ129&lt;=T129),AV129,0))),"AB",IF(AND(IF(AND(NOT(AND(AO129=1,AN129&lt;&gt;1)),ISNUMBER(AI129),AI129&lt;=T129),AU129,0)&gt;0,IF(AND(NOT(AND(AO129=1,AN129&lt;&gt;1)),ISNUMBER(AI129),AI129&lt;=T129),AU129,0)=MAX(IF(AND(NOT(AND(AO129=1,AN129&lt;&gt;1)),ISNUMBER(AG129),AG129&lt;=T129),AS129,0),IF(AND(NOT(AND(AO129=1,AN129&lt;&gt;1)),ISNUMBER(AH129),AH129&lt;=T129),AT129,0),IF(AND(NOT(AND(AO129=1,AN129&lt;&gt;1)),ISNUMBER(AI129),AI129&lt;=T129),AU129,0),IF(AND(ISNUMBER(AJ129),AJ129&lt;=T129),AV129,0))),"SC","Mag")))))))</f>
        <v/>
      </c>
    </row>
    <row r="130">
      <c r="A130" s="26" t="n">
        <v>125</v>
      </c>
      <c r="B130" s="27">
        <f>A130*10/60</f>
        <v/>
      </c>
      <c r="C130" s="22">
        <f>X129</f>
        <v/>
      </c>
      <c r="D130" s="27">
        <f>D129+W129</f>
        <v/>
      </c>
      <c r="E130" s="26">
        <f>E129+IF(U129="SW",1,0)</f>
        <v/>
      </c>
      <c r="F130" s="26">
        <f>F129+IF(U129="AB",1,0)</f>
        <v/>
      </c>
      <c r="G130" s="26">
        <f>G129+IF(U129="SC",1,0)</f>
        <v/>
      </c>
      <c r="H130" s="26">
        <f>H129+IF(U129="Mag",1,0)</f>
        <v/>
      </c>
      <c r="I130" s="26">
        <f>MAX(I129,IF(U129="OR",1,0))</f>
        <v/>
      </c>
      <c r="J130" s="26">
        <f>MAX(J129,IF(U129="HP",1,0))</f>
        <v/>
      </c>
      <c r="K130" s="26">
        <f>MAX(K129,IF(U129="FP",1,0))</f>
        <v/>
      </c>
      <c r="L130" s="26">
        <f>MAX(L129,IF(U129="transition",1,0))</f>
        <v/>
      </c>
      <c r="M130" s="28">
        <f>(Parameters!$B$9+(IF(E130=0,0,(Upgrades!$J$6+E130*Upgrades!$K$6)*POWER(Upgrades!$L$6,E130)))*(IF(Upgrades!$T$7="Solar Wind",POWER(Upgrades!$U$7,F130),1)*IF(Upgrades!$T$8="Solar Wind",POWER(Upgrades!$U$8,G130),1)*IF(Upgrades!$T$9="Solar Wind",POWER(Upgrades!$U$9,H130),1)*IF(Upgrades!$T$10="Solar Wind",POWER(Upgrades!$U$10,I130),1)*IF(Upgrades!$T$11="Solar Wind",POWER(Upgrades!$U$11,J130),1)*IF(Upgrades!$T$12="Solar Wind",POWER(Upgrades!$U$12,K130),1))+(IF(F130=0,0,(Upgrades!$J$7+F130*Upgrades!$K$7)*POWER(Upgrades!$L$7,F130)))*(IF(Upgrades!$T$6="Asteroid Belt",POWER(Upgrades!$U$6,E130),1)*IF(Upgrades!$T$8="Asteroid Belt",POWER(Upgrades!$U$8,G130),1)*IF(Upgrades!$T$9="Asteroid Belt",POWER(Upgrades!$U$9,H130),1)*IF(Upgrades!$T$10="Asteroid Belt",POWER(Upgrades!$U$10,I130),1)*IF(Upgrades!$T$11="Asteroid Belt",POWER(Upgrades!$U$11,J130),1)*IF(Upgrades!$T$12="Asteroid Belt",POWER(Upgrades!$U$12,K130),1))+(IF(G130=0,0,(Upgrades!$J$8+G130*Upgrades!$K$8)*POWER(Upgrades!$L$8,G130)))*(IF(Upgrades!$T$6="Stellar Coupling",POWER(Upgrades!$U$6,E130),1)*IF(Upgrades!$T$7="Stellar Coupling",POWER(Upgrades!$U$7,F130),1)*IF(Upgrades!$T$9="Stellar Coupling",POWER(Upgrades!$U$9,H130),1)*IF(Upgrades!$T$10="Stellar Coupling",POWER(Upgrades!$U$10,I130),1)*IF(Upgrades!$T$11="Stellar Coupling",POWER(Upgrades!$U$11,J130),1)*IF(Upgrades!$T$12="Stellar Coupling",POWER(Upgrades!$U$12,K130),1))+(IF(H130=0,0,(Upgrades!$J$9+H130*Upgrades!$K$9)*POWER(Upgrades!$L$9,H130)))*(IF(Upgrades!$T$6="Magnetosphere",POWER(Upgrades!$U$6,E130),1)*IF(Upgrades!$T$7="Magnetosphere",POWER(Upgrades!$U$7,F130),1)*IF(Upgrades!$T$8="Magnetosphere",POWER(Upgrades!$U$8,G130),1)*IF(Upgrades!$T$10="Magnetosphere",POWER(Upgrades!$U$10,I130),1)*IF(Upgrades!$T$11="Magnetosphere",POWER(Upgrades!$U$11,J130),1)*IF(Upgrades!$T$12="Magnetosphere",POWER(Upgrades!$U$12,K130),1))+(IF(I130=0,0,(Upgrades!$J$10+I130*Upgrades!$K$10)*POWER(Upgrades!$L$10,I130)))*(IF(Upgrades!$T$6="Orbital Resonance",POWER(Upgrades!$U$6,E130),1)*IF(Upgrades!$T$7="Orbital Resonance",POWER(Upgrades!$U$7,F130),1)*IF(Upgrades!$T$8="Orbital Resonance",POWER(Upgrades!$U$8,G130),1)*IF(Upgrades!$T$9="Orbital Resonance",POWER(Upgrades!$U$9,H130),1)*IF(Upgrades!$T$11="Orbital Resonance",POWER(Upgrades!$U$11,J130),1)*IF(Upgrades!$T$12="Orbital Resonance",POWER(Upgrades!$U$12,K130),1))+(IF(J130=0,0,(Upgrades!$J$11+J130*Upgrades!$K$11)*POWER(Upgrades!$L$11,J130)))*(IF(Upgrades!$T$6="Heliopause",POWER(Upgrades!$U$6,E130),1)*IF(Upgrades!$T$7="Heliopause",POWER(Upgrades!$U$7,F130),1)*IF(Upgrades!$T$8="Heliopause",POWER(Upgrades!$U$8,G130),1)*IF(Upgrades!$T$9="Heliopause",POWER(Upgrades!$U$9,H130),1)*IF(Upgrades!$T$10="Heliopause",POWER(Upgrades!$U$10,I130),1)*IF(Upgrades!$T$12="Heliopause",POWER(Upgrades!$U$12,K130),1))+(IF(K130=0,0,(Upgrades!$J$12+K130*Upgrades!$K$12)*POWER(Upgrades!$L$12,K130)))*(IF(Upgrades!$T$6="First Photons",POWER(Upgrades!$U$6,E130),1)*IF(Upgrades!$T$7="First Photons",POWER(Upgrades!$U$7,F130),1)*IF(Upgrades!$T$8="First Photons",POWER(Upgrades!$U$8,G130),1)*IF(Upgrades!$T$9="First Photons",POWER(Upgrades!$U$9,H130),1)*IF(Upgrades!$T$10="First Photons",POWER(Upgrades!$U$10,I130),1)*IF(Upgrades!$T$11="First Photons",POWER(Upgrades!$U$11,J130),1)))*POWER(Upgrades!$Q$6,E130)*POWER(Upgrades!$Q$7,F130)*POWER(Upgrades!$Q$8,G130)*POWER(Upgrades!$Q$9,H130)*POWER(Upgrades!$Q$10,I130)*POWER(Upgrades!$Q$11,J130)*POWER(Upgrades!$Q$12,K130)</f>
        <v/>
      </c>
      <c r="N130" s="28">
        <f>((IF(E130=0,0,(Upgrades!$G$6+E130*Upgrades!$H$6)*POWER(Upgrades!$I$6,E130)))*(IF(Upgrades!$T$7="Solar Wind",POWER(Upgrades!$U$7,F130),1)*IF(Upgrades!$T$8="Solar Wind",POWER(Upgrades!$U$8,G130),1)*IF(Upgrades!$T$9="Solar Wind",POWER(Upgrades!$U$9,H130),1)*IF(Upgrades!$T$10="Solar Wind",POWER(Upgrades!$U$10,I130),1)*IF(Upgrades!$T$11="Solar Wind",POWER(Upgrades!$U$11,J130),1)*IF(Upgrades!$T$12="Solar Wind",POWER(Upgrades!$U$12,K130),1))+(IF(F130=0,0,(Upgrades!$G$7+F130*Upgrades!$H$7)*POWER(Upgrades!$I$7,F130)))*(IF(Upgrades!$T$6="Asteroid Belt",POWER(Upgrades!$U$6,E130),1)*IF(Upgrades!$T$8="Asteroid Belt",POWER(Upgrades!$U$8,G130),1)*IF(Upgrades!$T$9="Asteroid Belt",POWER(Upgrades!$U$9,H130),1)*IF(Upgrades!$T$10="Asteroid Belt",POWER(Upgrades!$U$10,I130),1)*IF(Upgrades!$T$11="Asteroid Belt",POWER(Upgrades!$U$11,J130),1)*IF(Upgrades!$T$12="Asteroid Belt",POWER(Upgrades!$U$12,K130),1))+(IF(G130=0,0,(Upgrades!$G$8+G130*Upgrades!$H$8)*POWER(Upgrades!$I$8,G130)))*(IF(Upgrades!$T$6="Stellar Coupling",POWER(Upgrades!$U$6,E130),1)*IF(Upgrades!$T$7="Stellar Coupling",POWER(Upgrades!$U$7,F130),1)*IF(Upgrades!$T$9="Stellar Coupling",POWER(Upgrades!$U$9,H130),1)*IF(Upgrades!$T$10="Stellar Coupling",POWER(Upgrades!$U$10,I130),1)*IF(Upgrades!$T$11="Stellar Coupling",POWER(Upgrades!$U$11,J130),1)*IF(Upgrades!$T$12="Stellar Coupling",POWER(Upgrades!$U$12,K130),1))+(IF(H130=0,0,(Upgrades!$G$9+H130*Upgrades!$H$9)*POWER(Upgrades!$I$9,H130)))*(IF(Upgrades!$T$6="Magnetosphere",POWER(Upgrades!$U$6,E130),1)*IF(Upgrades!$T$7="Magnetosphere",POWER(Upgrades!$U$7,F130),1)*IF(Upgrades!$T$8="Magnetosphere",POWER(Upgrades!$U$8,G130),1)*IF(Upgrades!$T$10="Magnetosphere",POWER(Upgrades!$U$10,I130),1)*IF(Upgrades!$T$11="Magnetosphere",POWER(Upgrades!$U$11,J130),1)*IF(Upgrades!$T$12="Magnetosphere",POWER(Upgrades!$U$12,K130),1))+(IF(I130=0,0,(Upgrades!$G$10+I130*Upgrades!$H$10)*POWER(Upgrades!$I$10,I130)))*(IF(Upgrades!$T$6="Orbital Resonance",POWER(Upgrades!$U$6,E130),1)*IF(Upgrades!$T$7="Orbital Resonance",POWER(Upgrades!$U$7,F130),1)*IF(Upgrades!$T$8="Orbital Resonance",POWER(Upgrades!$U$8,G130),1)*IF(Upgrades!$T$9="Orbital Resonance",POWER(Upgrades!$U$9,H130),1)*IF(Upgrades!$T$11="Orbital Resonance",POWER(Upgrades!$U$11,J130),1)*IF(Upgrades!$T$12="Orbital Resonance",POWER(Upgrades!$U$12,K130),1))+(IF(J130=0,0,(Upgrades!$G$11+J130*Upgrades!$H$11)*POWER(Upgrades!$I$11,J130)))*(IF(Upgrades!$T$6="Heliopause",POWER(Upgrades!$U$6,E130),1)*IF(Upgrades!$T$7="Heliopause",POWER(Upgrades!$U$7,F130),1)*IF(Upgrades!$T$8="Heliopause",POWER(Upgrades!$U$8,G130),1)*IF(Upgrades!$T$9="Heliopause",POWER(Upgrades!$U$9,H130),1)*IF(Upgrades!$T$10="Heliopause",POWER(Upgrades!$U$10,I130),1)*IF(Upgrades!$T$12="Heliopause",POWER(Upgrades!$U$12,K130),1))+(IF(K130=0,0,(Upgrades!$G$12+K130*Upgrades!$H$12)*POWER(Upgrades!$I$12,K130)))*(IF(Upgrades!$T$6="First Photons",POWER(Upgrades!$U$6,E130),1)*IF(Upgrades!$T$7="First Photons",POWER(Upgrades!$U$7,F130),1)*IF(Upgrades!$T$8="First Photons",POWER(Upgrades!$U$8,G130),1)*IF(Upgrades!$T$9="First Photons",POWER(Upgrades!$U$9,H130),1)*IF(Upgrades!$T$10="First Photons",POWER(Upgrades!$U$10,I130),1)*IF(Upgrades!$T$11="First Photons",POWER(Upgrades!$U$11,J130),1)))*POWER(Upgrades!$P$6,E130)*POWER(Upgrades!$P$7,F130)*POWER(Upgrades!$P$8,G130)*POWER(Upgrades!$P$9,H130)*POWER(Upgrades!$P$10,I130)*POWER(Upgrades!$P$11,J130)*POWER(Upgrades!$P$12,K130)</f>
        <v/>
      </c>
      <c r="O130" s="28">
        <f>((IF(E130=0,0,(Upgrades!$M$6+E130*Upgrades!$N$6)*POWER(Upgrades!$O$6,E130)))*(IF(Upgrades!$T$7="Solar Wind",POWER(Upgrades!$U$7,F130),1)*IF(Upgrades!$T$8="Solar Wind",POWER(Upgrades!$U$8,G130),1)*IF(Upgrades!$T$9="Solar Wind",POWER(Upgrades!$U$9,H130),1)*IF(Upgrades!$T$10="Solar Wind",POWER(Upgrades!$U$10,I130),1)*IF(Upgrades!$T$11="Solar Wind",POWER(Upgrades!$U$11,J130),1)*IF(Upgrades!$T$12="Solar Wind",POWER(Upgrades!$U$12,K130),1))+(IF(F130=0,0,(Upgrades!$M$7+F130*Upgrades!$N$7)*POWER(Upgrades!$O$7,F130)))*(IF(Upgrades!$T$6="Asteroid Belt",POWER(Upgrades!$U$6,E130),1)*IF(Upgrades!$T$8="Asteroid Belt",POWER(Upgrades!$U$8,G130),1)*IF(Upgrades!$T$9="Asteroid Belt",POWER(Upgrades!$U$9,H130),1)*IF(Upgrades!$T$10="Asteroid Belt",POWER(Upgrades!$U$10,I130),1)*IF(Upgrades!$T$11="Asteroid Belt",POWER(Upgrades!$U$11,J130),1)*IF(Upgrades!$T$12="Asteroid Belt",POWER(Upgrades!$U$12,K130),1))+(IF(G130=0,0,(Upgrades!$M$8+G130*Upgrades!$N$8)*POWER(Upgrades!$O$8,G130)))*(IF(Upgrades!$T$6="Stellar Coupling",POWER(Upgrades!$U$6,E130),1)*IF(Upgrades!$T$7="Stellar Coupling",POWER(Upgrades!$U$7,F130),1)*IF(Upgrades!$T$9="Stellar Coupling",POWER(Upgrades!$U$9,H130),1)*IF(Upgrades!$T$10="Stellar Coupling",POWER(Upgrades!$U$10,I130),1)*IF(Upgrades!$T$11="Stellar Coupling",POWER(Upgrades!$U$11,J130),1)*IF(Upgrades!$T$12="Stellar Coupling",POWER(Upgrades!$U$12,K130),1))+(IF(H130=0,0,(Upgrades!$M$9+H130*Upgrades!$N$9)*POWER(Upgrades!$O$9,H130)))*(IF(Upgrades!$T$6="Magnetosphere",POWER(Upgrades!$U$6,E130),1)*IF(Upgrades!$T$7="Magnetosphere",POWER(Upgrades!$U$7,F130),1)*IF(Upgrades!$T$8="Magnetosphere",POWER(Upgrades!$U$8,G130),1)*IF(Upgrades!$T$10="Magnetosphere",POWER(Upgrades!$U$10,I130),1)*IF(Upgrades!$T$11="Magnetosphere",POWER(Upgrades!$U$11,J130),1)*IF(Upgrades!$T$12="Magnetosphere",POWER(Upgrades!$U$12,K130),1))+(IF(I130=0,0,(Upgrades!$M$10+I130*Upgrades!$N$10)*POWER(Upgrades!$O$10,I130)))*(IF(Upgrades!$T$6="Orbital Resonance",POWER(Upgrades!$U$6,E130),1)*IF(Upgrades!$T$7="Orbital Resonance",POWER(Upgrades!$U$7,F130),1)*IF(Upgrades!$T$8="Orbital Resonance",POWER(Upgrades!$U$8,G130),1)*IF(Upgrades!$T$9="Orbital Resonance",POWER(Upgrades!$U$9,H130),1)*IF(Upgrades!$T$11="Orbital Resonance",POWER(Upgrades!$U$11,J130),1)*IF(Upgrades!$T$12="Orbital Resonance",POWER(Upgrades!$U$12,K130),1))+(IF(J130=0,0,(Upgrades!$M$11+J130*Upgrades!$N$11)*POWER(Upgrades!$O$11,J130)))*(IF(Upgrades!$T$6="Heliopause",POWER(Upgrades!$U$6,E130),1)*IF(Upgrades!$T$7="Heliopause",POWER(Upgrades!$U$7,F130),1)*IF(Upgrades!$T$8="Heliopause",POWER(Upgrades!$U$8,G130),1)*IF(Upgrades!$T$9="Heliopause",POWER(Upgrades!$U$9,H130),1)*IF(Upgrades!$T$10="Heliopause",POWER(Upgrades!$U$10,I130),1)*IF(Upgrades!$T$12="Heliopause",POWER(Upgrades!$U$12,K130),1))+(IF(K130=0,0,(Upgrades!$M$12+K130*Upgrades!$N$12)*POWER(Upgrades!$O$12,K130)))*(IF(Upgrades!$T$6="First Photons",POWER(Upgrades!$U$6,E130),1)*IF(Upgrades!$T$7="First Photons",POWER(Upgrades!$U$7,F130),1)*IF(Upgrades!$T$8="First Photons",POWER(Upgrades!$U$8,G130),1)*IF(Upgrades!$T$9="First Photons",POWER(Upgrades!$U$9,H130),1)*IF(Upgrades!$T$10="First Photons",POWER(Upgrades!$U$10,I130),1)*IF(Upgrades!$T$11="First Photons",POWER(Upgrades!$U$11,J130),1)))*POWER(Upgrades!$R$6,E130)*POWER(Upgrades!$R$7,F130)*POWER(Upgrades!$R$8,G130)*POWER(Upgrades!$R$9,H130)*POWER(Upgrades!$R$10,I130)*POWER(Upgrades!$R$11,J130)*POWER(Upgrades!$R$12,K130)</f>
        <v/>
      </c>
      <c r="P130" s="27">
        <f>IF(L130=1,0,M130*Parameters!$B$10/60*Parameters!$B$11*10)</f>
        <v/>
      </c>
      <c r="Q130" s="27">
        <f>IF(L130=1,0,O130*M130*10)</f>
        <v/>
      </c>
      <c r="R130" s="27">
        <f>IF(L130=1,0,N130*10)</f>
        <v/>
      </c>
      <c r="S130" s="27">
        <f>P130+Q130+R130</f>
        <v/>
      </c>
      <c r="T130" s="22">
        <f>C130+S130</f>
        <v/>
      </c>
      <c r="U130" s="33">
        <f>AX130</f>
        <v/>
      </c>
      <c r="V130" s="22">
        <f>IF(U130="",0,IF(U130="transition",0,IF(U130="SW",AG130,IF(U130="AB",AH130,IF(U130="SC",AI130,IF(U130="Mag",AJ130,IF(U130="OR",AK130,IF(U130="HP",AL130,IF(U130="FP",AM130,0)))))))))</f>
        <v/>
      </c>
      <c r="W130" s="27">
        <f>IF(U130="OR",Upgrades!$F$10,IF(U130="HP",Upgrades!$F$11,IF(U130="transition",-Parameters!$B$18,0)))</f>
        <v/>
      </c>
      <c r="X130" s="22">
        <f>T130-V130</f>
        <v/>
      </c>
      <c r="Y130" s="30">
        <f>M130*Parameters!$B$10/60*Parameters!$B$11+O130*M130+N130</f>
        <v/>
      </c>
      <c r="Z130" s="34">
        <f>IF(U130="transition","→ Tier 2 (Stellar Neighborhood)",IF(U130="FP","First Photons — light begins, system quickens",IF(U130="HP","Heliopause acquired",IF(U130="OR","Orbital Resonance — passive multiplier active",IF(AND(AO130=1,L130=0,AN130&lt;&gt;1),"Cohesion ready (waiting on completionist upgrades)","")))))</f>
        <v/>
      </c>
      <c r="AA130" s="27">
        <f>(IF(E130=0,0,(Upgrades!$G$6+E130*Upgrades!$H$6)*POWER(Upgrades!$I$6,E130)))*(IF(Upgrades!$T$7="Solar Wind",POWER(Upgrades!$U$7,F130),1)*IF(Upgrades!$T$8="Solar Wind",POWER(Upgrades!$U$8,G130),1)*IF(Upgrades!$T$9="Solar Wind",POWER(Upgrades!$U$9,H130),1)*IF(Upgrades!$T$10="Solar Wind",POWER(Upgrades!$U$10,I130),1)*IF(Upgrades!$T$11="Solar Wind",POWER(Upgrades!$U$11,J130),1)*IF(Upgrades!$T$12="Solar Wind",POWER(Upgrades!$U$12,K130),1))*POWER(Upgrades!$P$6,E130)*POWER(Upgrades!$P$7,F130)*POWER(Upgrades!$P$8,G130)*POWER(Upgrades!$P$9,H130)*POWER(Upgrades!$P$10,I130)*POWER(Upgrades!$P$11,J130)*POWER(Upgrades!$P$12,K130)*60</f>
        <v/>
      </c>
      <c r="AB130" s="27">
        <f>(IF(F130=0,0,(Upgrades!$G$7+F130*Upgrades!$H$7)*POWER(Upgrades!$I$7,F130)))*(IF(Upgrades!$T$6="Asteroid Belt",POWER(Upgrades!$U$6,E130),1)*IF(Upgrades!$T$8="Asteroid Belt",POWER(Upgrades!$U$8,G130),1)*IF(Upgrades!$T$9="Asteroid Belt",POWER(Upgrades!$U$9,H130),1)*IF(Upgrades!$T$10="Asteroid Belt",POWER(Upgrades!$U$10,I130),1)*IF(Upgrades!$T$11="Asteroid Belt",POWER(Upgrades!$U$11,J130),1)*IF(Upgrades!$T$12="Asteroid Belt",POWER(Upgrades!$U$12,K130),1))*POWER(Upgrades!$P$6,E130)*POWER(Upgrades!$P$7,F130)*POWER(Upgrades!$P$8,G130)*POWER(Upgrades!$P$9,H130)*POWER(Upgrades!$P$10,I130)*POWER(Upgrades!$P$11,J130)*POWER(Upgrades!$P$12,K130)*60</f>
        <v/>
      </c>
      <c r="AC130" s="27">
        <f>(IF(G130=0,0,(Upgrades!$J$8+G130*Upgrades!$K$8)*POWER(Upgrades!$L$8,G130)))*(IF(Upgrades!$T$6="Stellar Coupling",POWER(Upgrades!$U$6,E130),1)*IF(Upgrades!$T$7="Stellar Coupling",POWER(Upgrades!$U$7,F130),1)*IF(Upgrades!$T$9="Stellar Coupling",POWER(Upgrades!$U$9,H130),1)*IF(Upgrades!$T$10="Stellar Coupling",POWER(Upgrades!$U$10,I130),1)*IF(Upgrades!$T$11="Stellar Coupling",POWER(Upgrades!$U$11,J130),1)*IF(Upgrades!$T$12="Stellar Coupling",POWER(Upgrades!$U$12,K130),1))*POWER(Upgrades!$Q$6,E130)*POWER(Upgrades!$Q$7,F130)*POWER(Upgrades!$Q$8,G130)*POWER(Upgrades!$Q$9,H130)*POWER(Upgrades!$Q$10,I130)*POWER(Upgrades!$Q$11,J130)*POWER(Upgrades!$Q$12,K130)*Parameters!$B$10*Parameters!$B$11</f>
        <v/>
      </c>
      <c r="AD130" s="27">
        <f>(IF(H130=0,0,(Upgrades!$G$9+H130*Upgrades!$H$9)*POWER(Upgrades!$I$9,H130)))*(IF(Upgrades!$T$6="Magnetosphere",POWER(Upgrades!$U$6,E130),1)*IF(Upgrades!$T$7="Magnetosphere",POWER(Upgrades!$U$7,F130),1)*IF(Upgrades!$T$8="Magnetosphere",POWER(Upgrades!$U$8,G130),1)*IF(Upgrades!$T$10="Magnetosphere",POWER(Upgrades!$U$10,I130),1)*IF(Upgrades!$T$11="Magnetosphere",POWER(Upgrades!$U$11,J130),1)*IF(Upgrades!$T$12="Magnetosphere",POWER(Upgrades!$U$12,K130),1))*POWER(Upgrades!$P$6,E130)*POWER(Upgrades!$P$7,F130)*POWER(Upgrades!$P$8,G130)*POWER(Upgrades!$P$9,H130)*POWER(Upgrades!$P$10,I130)*POWER(Upgrades!$P$11,J130)*POWER(Upgrades!$P$12,K130)*60</f>
        <v/>
      </c>
      <c r="AE130" s="27">
        <f>(IF(K130=0,0,(Upgrades!$G$12+K130*Upgrades!$H$12)*POWER(Upgrades!$I$12,K130)))*(IF(Upgrades!$T$6="First Photons",POWER(Upgrades!$U$6,E130),1)*IF(Upgrades!$T$7="First Photons",POWER(Upgrades!$U$7,F130),1)*IF(Upgrades!$T$8="First Photons",POWER(Upgrades!$U$8,G130),1)*IF(Upgrades!$T$9="First Photons",POWER(Upgrades!$U$9,H130),1)*IF(Upgrades!$T$10="First Photons",POWER(Upgrades!$U$10,I130),1)*IF(Upgrades!$T$11="First Photons",POWER(Upgrades!$U$11,J130),1))*POWER(Upgrades!$P$6,E130)*POWER(Upgrades!$P$7,F130)*POWER(Upgrades!$P$8,G130)*POWER(Upgrades!$P$9,H130)*POWER(Upgrades!$P$10,I130)*POWER(Upgrades!$P$11,J130)*POWER(Upgrades!$P$12,K130)*60</f>
        <v/>
      </c>
      <c r="AF130" s="27">
        <f>Parameters!$B$9*POWER(Upgrades!$Q$6,E130)*POWER(Upgrades!$Q$7,F130)*POWER(Upgrades!$Q$8,G130)*POWER(Upgrades!$Q$9,H130)*POWER(Upgrades!$Q$10,I130)*POWER(Upgrades!$Q$11,J130)*POWER(Upgrades!$Q$12,K130)*(Parameters!$B$10*Parameters!$B$11+O130*60)</f>
        <v/>
      </c>
      <c r="AG130" s="22">
        <f>IF(E130&gt;=Upgrades!$E$6,"",Upgrades!$C$6*POWER(Upgrades!$D$6,E130))</f>
        <v/>
      </c>
      <c r="AH130" s="22">
        <f>IF(F130&gt;=Upgrades!$E$7,"",Upgrades!$C$7*POWER(Upgrades!$D$7,F130))</f>
        <v/>
      </c>
      <c r="AI130" s="22">
        <f>IF(G130&gt;=Upgrades!$E$8,"",Upgrades!$C$8*POWER(Upgrades!$D$8,G130))</f>
        <v/>
      </c>
      <c r="AJ130" s="22">
        <f>IF(H130&gt;=Upgrades!$E$9,"",Upgrades!$C$9*POWER(Upgrades!$D$9,H130))</f>
        <v/>
      </c>
      <c r="AK130" s="22">
        <f>IF(I130&gt;=Upgrades!$E$10,"",Upgrades!$C$10*POWER(Upgrades!$D$10,I130))</f>
        <v/>
      </c>
      <c r="AL130" s="22">
        <f>IF(J130&gt;=Upgrades!$E$11,"",Upgrades!$C$11*POWER(Upgrades!$D$11,J130))</f>
        <v/>
      </c>
      <c r="AM130" s="22">
        <f>IF(K130&gt;=Upgrades!$E$12,"",Upgrades!$C$12*POWER(Upgrades!$D$12,K130))</f>
        <v/>
      </c>
      <c r="AN130" s="26">
        <f>IF(AND(D130&gt;=Parameters!$B$18,(H130&gt;=Upgrades!$E$9)*(K130&gt;=Upgrades!$E$12)=1,L130=0),1,"")</f>
        <v/>
      </c>
      <c r="AO130" s="26">
        <f>IF(AND(D130&gt;=Parameters!$B$18,L130=0),1,"")</f>
        <v/>
      </c>
      <c r="AP130" s="22">
        <f>MIN(IF(ISNUMBER(AK130),AK130,9E15),IF(ISNUMBER(AL130),AL130,9E15),IF(ISNUMBER(AM130),AM130,9E15))</f>
        <v/>
      </c>
      <c r="AQ130" s="22">
        <f>MIN(IF(ISNUMBER(AG130),AG130,9E15),IF(ISNUMBER(AH130),AH130,9E15),IF(ISNUMBER(AI130),AI130,9E15),IF(ISNUMBER(AJ130),AJ130,9E15))</f>
        <v/>
      </c>
      <c r="AR130" s="29">
        <f>IF(AW130&gt;Parameters!$B$21*(MAX(IF(AND(NOT(AND(AO130=1,AN130&lt;&gt;1)),ISNUMBER(AG130),AG130&lt;=T130),AS130,0),IF(AND(NOT(AND(AO130=1,AN130&lt;&gt;1)),ISNUMBER(AH130),AH130&lt;=T130),AT130,0),IF(AND(NOT(AND(AO130=1,AN130&lt;&gt;1)),ISNUMBER(AI130),AI130&lt;=T130),AU130,0),IF(AND(ISNUMBER(AJ130),AJ130&lt;=T130),AV130,0))),TRUE,FALSE)</f>
        <v/>
      </c>
      <c r="AS130" s="32">
        <f>IFERROR(Upgrades!$H$6*(POWER(Upgrades!$P$6,E130)*POWER(Upgrades!$P$7,F130)*POWER(Upgrades!$P$8,G130)*POWER(Upgrades!$P$9,H130)*POWER(Upgrades!$P$10,I130)*POWER(Upgrades!$P$11,J130)*POWER(Upgrades!$P$12,K130))*(IF(Upgrades!$T$7="Solar Wind",POWER(Upgrades!$U$7,F130),1)*IF(Upgrades!$T$8="Solar Wind",POWER(Upgrades!$U$8,G130),1)*IF(Upgrades!$T$9="Solar Wind",POWER(Upgrades!$U$9,H130),1)*IF(Upgrades!$T$10="Solar Wind",POWER(Upgrades!$U$10,I130),1)*IF(Upgrades!$T$11="Solar Wind",POWER(Upgrades!$U$11,J130),1)*IF(Upgrades!$T$12="Solar Wind",POWER(Upgrades!$U$12,K130),1))/AG130,0)</f>
        <v/>
      </c>
      <c r="AT130" s="32">
        <f>IFERROR(Upgrades!$H$7*(POWER(Upgrades!$P$6,E130)*POWER(Upgrades!$P$7,F130)*POWER(Upgrades!$P$8,G130)*POWER(Upgrades!$P$9,H130)*POWER(Upgrades!$P$10,I130)*POWER(Upgrades!$P$11,J130)*POWER(Upgrades!$P$12,K130))*(IF(Upgrades!$T$6="Asteroid Belt",POWER(Upgrades!$U$6,E130),1)*IF(Upgrades!$T$8="Asteroid Belt",POWER(Upgrades!$U$8,G130),1)*IF(Upgrades!$T$9="Asteroid Belt",POWER(Upgrades!$U$9,H130),1)*IF(Upgrades!$T$10="Asteroid Belt",POWER(Upgrades!$U$10,I130),1)*IF(Upgrades!$T$11="Asteroid Belt",POWER(Upgrades!$U$11,J130),1)*IF(Upgrades!$T$12="Asteroid Belt",POWER(Upgrades!$U$12,K130),1))/AH130,0)</f>
        <v/>
      </c>
      <c r="AU130" s="32">
        <f>IFERROR(Upgrades!$K$8*(POWER(Upgrades!$Q$6,E130)*POWER(Upgrades!$Q$7,F130)*POWER(Upgrades!$Q$8,G130)*POWER(Upgrades!$Q$9,H130)*POWER(Upgrades!$Q$10,I130)*POWER(Upgrades!$Q$11,J130)*POWER(Upgrades!$Q$12,K130))*(IF(Upgrades!$T$6="Stellar Coupling",POWER(Upgrades!$U$6,E130),1)*IF(Upgrades!$T$7="Stellar Coupling",POWER(Upgrades!$U$7,F130),1)*IF(Upgrades!$T$9="Stellar Coupling",POWER(Upgrades!$U$9,H130),1)*IF(Upgrades!$T$10="Stellar Coupling",POWER(Upgrades!$U$10,I130),1)*IF(Upgrades!$T$11="Stellar Coupling",POWER(Upgrades!$U$11,J130),1)*IF(Upgrades!$T$12="Stellar Coupling",POWER(Upgrades!$U$12,K130),1))*Parameters!$B$10*Parameters!$B$11/60/AI130,0)</f>
        <v/>
      </c>
      <c r="AV130" s="32">
        <f>IFERROR(Upgrades!$H$9*(POWER(Upgrades!$P$6,E130)*POWER(Upgrades!$P$7,F130)*POWER(Upgrades!$P$8,G130)*POWER(Upgrades!$P$9,H130)*POWER(Upgrades!$P$10,I130)*POWER(Upgrades!$P$11,J130)*POWER(Upgrades!$P$12,K130))*(IF(Upgrades!$T$6="Magnetosphere",POWER(Upgrades!$U$6,E130),1)*IF(Upgrades!$T$7="Magnetosphere",POWER(Upgrades!$U$7,F130),1)*IF(Upgrades!$T$8="Magnetosphere",POWER(Upgrades!$U$8,G130),1)*IF(Upgrades!$T$10="Magnetosphere",POWER(Upgrades!$U$10,I130),1)*IF(Upgrades!$T$11="Magnetosphere",POWER(Upgrades!$U$11,J130),1)*IF(Upgrades!$T$12="Magnetosphere",POWER(Upgrades!$U$12,K130),1))/AJ130,0)</f>
        <v/>
      </c>
      <c r="AW130" s="32">
        <f>MAX(IF(I130&gt;0,0,IFERROR(0.25*N130/Upgrades!$C$10,0)),IF(J130&gt;0,0,IFERROR(0.5*((IF(G130=0,0,(Upgrades!$J$8+G130*Upgrades!$K$8)*POWER(Upgrades!$L$8,G130)))*(IF(Upgrades!$T$6="Stellar Coupling",POWER(Upgrades!$U$6,E130),1)*IF(Upgrades!$T$7="Stellar Coupling",POWER(Upgrades!$U$7,F130),1)*IF(Upgrades!$T$9="Stellar Coupling",POWER(Upgrades!$U$9,H130),1)*IF(Upgrades!$T$10="Stellar Coupling",POWER(Upgrades!$U$10,I130),1)*IF(Upgrades!$T$11="Stellar Coupling",POWER(Upgrades!$U$11,J130),1)*IF(Upgrades!$T$12="Stellar Coupling",POWER(Upgrades!$U$12,K130),1))*(POWER(Upgrades!$Q$6,E130)*POWER(Upgrades!$Q$7,F130)*POWER(Upgrades!$Q$8,G130)*POWER(Upgrades!$Q$9,H130)*POWER(Upgrades!$Q$10,I130)*POWER(Upgrades!$Q$11,J130)*POWER(Upgrades!$Q$12,K130))*Parameters!$B$10*Parameters!$B$11/60)/Upgrades!$C$11,0)),IF(K130&gt;0,0,IFERROR((1.0*(POWER(Upgrades!$P$6,E130)*POWER(Upgrades!$P$7,F130)*POWER(Upgrades!$P$8,G130)*POWER(Upgrades!$P$9,H130)*POWER(Upgrades!$P$10,I130)*POWER(Upgrades!$P$11,J130)*POWER(Upgrades!$P$12,K130))+0.20*M130*Parameters!$B$10*Parameters!$B$11/60)/Upgrades!$C$12,0)),IF(AND(ISNUMBER(AG130),AG130&gt;T130),AS130,0),IF(AND(ISNUMBER(AH130),AH130&gt;T130),AT130,0),IF(AND(ISNUMBER(AI130),AI130&gt;T130),AU130,0),IF(AND(ISNUMBER(AJ130),AJ130&gt;T130),AV130,0))</f>
        <v/>
      </c>
      <c r="AX130" s="29">
        <f>IF(AN130=1,"transition",IF(MIN(IF(AND(I130=0,ISNUMBER(AK130),AK130&lt;=T130),AK130,9E15),IF(AND(J130=0,ISNUMBER(AL130),AL130&lt;=T130),AL130,9E15),IF(AND(K130=0,ISNUMBER(AM130),AM130&lt;=T130),AM130,9E15))&lt;9E15,IF(AND(AND(I130=0,ISNUMBER(AK130),AK130&lt;=T130),AK130=MIN(IF(AND(I130=0,ISNUMBER(AK130),AK130&lt;=T130),AK130,9E15),IF(AND(J130=0,ISNUMBER(AL130),AL130&lt;=T130),AL130,9E15),IF(AND(K130=0,ISNUMBER(AM130),AM130&lt;=T130),AM130,9E15))),"OR",IF(AND(AND(J130=0,ISNUMBER(AL130),AL130&lt;=T130),AL130=MIN(IF(AND(I130=0,ISNUMBER(AK130),AK130&lt;=T130),AK130,9E15),IF(AND(J130=0,ISNUMBER(AL130),AL130&lt;=T130),AL130,9E15),IF(AND(K130=0,ISNUMBER(AM130),AM130&lt;=T130),AM130,9E15))),"HP","FP")),IF(AR130=TRUE,"",IF(MAX(IF(AND(NOT(AND(AO130=1,AN130&lt;&gt;1)),ISNUMBER(AG130),AG130&lt;=T130),AS130,0),IF(AND(NOT(AND(AO130=1,AN130&lt;&gt;1)),ISNUMBER(AH130),AH130&lt;=T130),AT130,0),IF(AND(NOT(AND(AO130=1,AN130&lt;&gt;1)),ISNUMBER(AI130),AI130&lt;=T130),AU130,0),IF(AND(ISNUMBER(AJ130),AJ130&lt;=T130),AV130,0))&lt;=0,"",IF(AND(IF(AND(NOT(AND(AO130=1,AN130&lt;&gt;1)),ISNUMBER(AG130),AG130&lt;=T130),AS130,0)&gt;0,IF(AND(NOT(AND(AO130=1,AN130&lt;&gt;1)),ISNUMBER(AG130),AG130&lt;=T130),AS130,0)=MAX(IF(AND(NOT(AND(AO130=1,AN130&lt;&gt;1)),ISNUMBER(AG130),AG130&lt;=T130),AS130,0),IF(AND(NOT(AND(AO130=1,AN130&lt;&gt;1)),ISNUMBER(AH130),AH130&lt;=T130),AT130,0),IF(AND(NOT(AND(AO130=1,AN130&lt;&gt;1)),ISNUMBER(AI130),AI130&lt;=T130),AU130,0),IF(AND(ISNUMBER(AJ130),AJ130&lt;=T130),AV130,0))),"SW",IF(AND(IF(AND(NOT(AND(AO130=1,AN130&lt;&gt;1)),ISNUMBER(AH130),AH130&lt;=T130),AT130,0)&gt;0,IF(AND(NOT(AND(AO130=1,AN130&lt;&gt;1)),ISNUMBER(AH130),AH130&lt;=T130),AT130,0)=MAX(IF(AND(NOT(AND(AO130=1,AN130&lt;&gt;1)),ISNUMBER(AG130),AG130&lt;=T130),AS130,0),IF(AND(NOT(AND(AO130=1,AN130&lt;&gt;1)),ISNUMBER(AH130),AH130&lt;=T130),AT130,0),IF(AND(NOT(AND(AO130=1,AN130&lt;&gt;1)),ISNUMBER(AI130),AI130&lt;=T130),AU130,0),IF(AND(ISNUMBER(AJ130),AJ130&lt;=T130),AV130,0))),"AB",IF(AND(IF(AND(NOT(AND(AO130=1,AN130&lt;&gt;1)),ISNUMBER(AI130),AI130&lt;=T130),AU130,0)&gt;0,IF(AND(NOT(AND(AO130=1,AN130&lt;&gt;1)),ISNUMBER(AI130),AI130&lt;=T130),AU130,0)=MAX(IF(AND(NOT(AND(AO130=1,AN130&lt;&gt;1)),ISNUMBER(AG130),AG130&lt;=T130),AS130,0),IF(AND(NOT(AND(AO130=1,AN130&lt;&gt;1)),ISNUMBER(AH130),AH130&lt;=T130),AT130,0),IF(AND(NOT(AND(AO130=1,AN130&lt;&gt;1)),ISNUMBER(AI130),AI130&lt;=T130),AU130,0),IF(AND(ISNUMBER(AJ130),AJ130&lt;=T130),AV130,0))),"SC","Mag")))))))</f>
        <v/>
      </c>
    </row>
    <row r="131">
      <c r="A131" s="26" t="n">
        <v>126</v>
      </c>
      <c r="B131" s="27">
        <f>A131*10/60</f>
        <v/>
      </c>
      <c r="C131" s="22">
        <f>X130</f>
        <v/>
      </c>
      <c r="D131" s="27">
        <f>D130+W130</f>
        <v/>
      </c>
      <c r="E131" s="26">
        <f>E130+IF(U130="SW",1,0)</f>
        <v/>
      </c>
      <c r="F131" s="26">
        <f>F130+IF(U130="AB",1,0)</f>
        <v/>
      </c>
      <c r="G131" s="26">
        <f>G130+IF(U130="SC",1,0)</f>
        <v/>
      </c>
      <c r="H131" s="26">
        <f>H130+IF(U130="Mag",1,0)</f>
        <v/>
      </c>
      <c r="I131" s="26">
        <f>MAX(I130,IF(U130="OR",1,0))</f>
        <v/>
      </c>
      <c r="J131" s="26">
        <f>MAX(J130,IF(U130="HP",1,0))</f>
        <v/>
      </c>
      <c r="K131" s="26">
        <f>MAX(K130,IF(U130="FP",1,0))</f>
        <v/>
      </c>
      <c r="L131" s="26">
        <f>MAX(L130,IF(U130="transition",1,0))</f>
        <v/>
      </c>
      <c r="M131" s="28">
        <f>(Parameters!$B$9+(IF(E131=0,0,(Upgrades!$J$6+E131*Upgrades!$K$6)*POWER(Upgrades!$L$6,E131)))*(IF(Upgrades!$T$7="Solar Wind",POWER(Upgrades!$U$7,F131),1)*IF(Upgrades!$T$8="Solar Wind",POWER(Upgrades!$U$8,G131),1)*IF(Upgrades!$T$9="Solar Wind",POWER(Upgrades!$U$9,H131),1)*IF(Upgrades!$T$10="Solar Wind",POWER(Upgrades!$U$10,I131),1)*IF(Upgrades!$T$11="Solar Wind",POWER(Upgrades!$U$11,J131),1)*IF(Upgrades!$T$12="Solar Wind",POWER(Upgrades!$U$12,K131),1))+(IF(F131=0,0,(Upgrades!$J$7+F131*Upgrades!$K$7)*POWER(Upgrades!$L$7,F131)))*(IF(Upgrades!$T$6="Asteroid Belt",POWER(Upgrades!$U$6,E131),1)*IF(Upgrades!$T$8="Asteroid Belt",POWER(Upgrades!$U$8,G131),1)*IF(Upgrades!$T$9="Asteroid Belt",POWER(Upgrades!$U$9,H131),1)*IF(Upgrades!$T$10="Asteroid Belt",POWER(Upgrades!$U$10,I131),1)*IF(Upgrades!$T$11="Asteroid Belt",POWER(Upgrades!$U$11,J131),1)*IF(Upgrades!$T$12="Asteroid Belt",POWER(Upgrades!$U$12,K131),1))+(IF(G131=0,0,(Upgrades!$J$8+G131*Upgrades!$K$8)*POWER(Upgrades!$L$8,G131)))*(IF(Upgrades!$T$6="Stellar Coupling",POWER(Upgrades!$U$6,E131),1)*IF(Upgrades!$T$7="Stellar Coupling",POWER(Upgrades!$U$7,F131),1)*IF(Upgrades!$T$9="Stellar Coupling",POWER(Upgrades!$U$9,H131),1)*IF(Upgrades!$T$10="Stellar Coupling",POWER(Upgrades!$U$10,I131),1)*IF(Upgrades!$T$11="Stellar Coupling",POWER(Upgrades!$U$11,J131),1)*IF(Upgrades!$T$12="Stellar Coupling",POWER(Upgrades!$U$12,K131),1))+(IF(H131=0,0,(Upgrades!$J$9+H131*Upgrades!$K$9)*POWER(Upgrades!$L$9,H131)))*(IF(Upgrades!$T$6="Magnetosphere",POWER(Upgrades!$U$6,E131),1)*IF(Upgrades!$T$7="Magnetosphere",POWER(Upgrades!$U$7,F131),1)*IF(Upgrades!$T$8="Magnetosphere",POWER(Upgrades!$U$8,G131),1)*IF(Upgrades!$T$10="Magnetosphere",POWER(Upgrades!$U$10,I131),1)*IF(Upgrades!$T$11="Magnetosphere",POWER(Upgrades!$U$11,J131),1)*IF(Upgrades!$T$12="Magnetosphere",POWER(Upgrades!$U$12,K131),1))+(IF(I131=0,0,(Upgrades!$J$10+I131*Upgrades!$K$10)*POWER(Upgrades!$L$10,I131)))*(IF(Upgrades!$T$6="Orbital Resonance",POWER(Upgrades!$U$6,E131),1)*IF(Upgrades!$T$7="Orbital Resonance",POWER(Upgrades!$U$7,F131),1)*IF(Upgrades!$T$8="Orbital Resonance",POWER(Upgrades!$U$8,G131),1)*IF(Upgrades!$T$9="Orbital Resonance",POWER(Upgrades!$U$9,H131),1)*IF(Upgrades!$T$11="Orbital Resonance",POWER(Upgrades!$U$11,J131),1)*IF(Upgrades!$T$12="Orbital Resonance",POWER(Upgrades!$U$12,K131),1))+(IF(J131=0,0,(Upgrades!$J$11+J131*Upgrades!$K$11)*POWER(Upgrades!$L$11,J131)))*(IF(Upgrades!$T$6="Heliopause",POWER(Upgrades!$U$6,E131),1)*IF(Upgrades!$T$7="Heliopause",POWER(Upgrades!$U$7,F131),1)*IF(Upgrades!$T$8="Heliopause",POWER(Upgrades!$U$8,G131),1)*IF(Upgrades!$T$9="Heliopause",POWER(Upgrades!$U$9,H131),1)*IF(Upgrades!$T$10="Heliopause",POWER(Upgrades!$U$10,I131),1)*IF(Upgrades!$T$12="Heliopause",POWER(Upgrades!$U$12,K131),1))+(IF(K131=0,0,(Upgrades!$J$12+K131*Upgrades!$K$12)*POWER(Upgrades!$L$12,K131)))*(IF(Upgrades!$T$6="First Photons",POWER(Upgrades!$U$6,E131),1)*IF(Upgrades!$T$7="First Photons",POWER(Upgrades!$U$7,F131),1)*IF(Upgrades!$T$8="First Photons",POWER(Upgrades!$U$8,G131),1)*IF(Upgrades!$T$9="First Photons",POWER(Upgrades!$U$9,H131),1)*IF(Upgrades!$T$10="First Photons",POWER(Upgrades!$U$10,I131),1)*IF(Upgrades!$T$11="First Photons",POWER(Upgrades!$U$11,J131),1)))*POWER(Upgrades!$Q$6,E131)*POWER(Upgrades!$Q$7,F131)*POWER(Upgrades!$Q$8,G131)*POWER(Upgrades!$Q$9,H131)*POWER(Upgrades!$Q$10,I131)*POWER(Upgrades!$Q$11,J131)*POWER(Upgrades!$Q$12,K131)</f>
        <v/>
      </c>
      <c r="N131" s="28">
        <f>((IF(E131=0,0,(Upgrades!$G$6+E131*Upgrades!$H$6)*POWER(Upgrades!$I$6,E131)))*(IF(Upgrades!$T$7="Solar Wind",POWER(Upgrades!$U$7,F131),1)*IF(Upgrades!$T$8="Solar Wind",POWER(Upgrades!$U$8,G131),1)*IF(Upgrades!$T$9="Solar Wind",POWER(Upgrades!$U$9,H131),1)*IF(Upgrades!$T$10="Solar Wind",POWER(Upgrades!$U$10,I131),1)*IF(Upgrades!$T$11="Solar Wind",POWER(Upgrades!$U$11,J131),1)*IF(Upgrades!$T$12="Solar Wind",POWER(Upgrades!$U$12,K131),1))+(IF(F131=0,0,(Upgrades!$G$7+F131*Upgrades!$H$7)*POWER(Upgrades!$I$7,F131)))*(IF(Upgrades!$T$6="Asteroid Belt",POWER(Upgrades!$U$6,E131),1)*IF(Upgrades!$T$8="Asteroid Belt",POWER(Upgrades!$U$8,G131),1)*IF(Upgrades!$T$9="Asteroid Belt",POWER(Upgrades!$U$9,H131),1)*IF(Upgrades!$T$10="Asteroid Belt",POWER(Upgrades!$U$10,I131),1)*IF(Upgrades!$T$11="Asteroid Belt",POWER(Upgrades!$U$11,J131),1)*IF(Upgrades!$T$12="Asteroid Belt",POWER(Upgrades!$U$12,K131),1))+(IF(G131=0,0,(Upgrades!$G$8+G131*Upgrades!$H$8)*POWER(Upgrades!$I$8,G131)))*(IF(Upgrades!$T$6="Stellar Coupling",POWER(Upgrades!$U$6,E131),1)*IF(Upgrades!$T$7="Stellar Coupling",POWER(Upgrades!$U$7,F131),1)*IF(Upgrades!$T$9="Stellar Coupling",POWER(Upgrades!$U$9,H131),1)*IF(Upgrades!$T$10="Stellar Coupling",POWER(Upgrades!$U$10,I131),1)*IF(Upgrades!$T$11="Stellar Coupling",POWER(Upgrades!$U$11,J131),1)*IF(Upgrades!$T$12="Stellar Coupling",POWER(Upgrades!$U$12,K131),1))+(IF(H131=0,0,(Upgrades!$G$9+H131*Upgrades!$H$9)*POWER(Upgrades!$I$9,H131)))*(IF(Upgrades!$T$6="Magnetosphere",POWER(Upgrades!$U$6,E131),1)*IF(Upgrades!$T$7="Magnetosphere",POWER(Upgrades!$U$7,F131),1)*IF(Upgrades!$T$8="Magnetosphere",POWER(Upgrades!$U$8,G131),1)*IF(Upgrades!$T$10="Magnetosphere",POWER(Upgrades!$U$10,I131),1)*IF(Upgrades!$T$11="Magnetosphere",POWER(Upgrades!$U$11,J131),1)*IF(Upgrades!$T$12="Magnetosphere",POWER(Upgrades!$U$12,K131),1))+(IF(I131=0,0,(Upgrades!$G$10+I131*Upgrades!$H$10)*POWER(Upgrades!$I$10,I131)))*(IF(Upgrades!$T$6="Orbital Resonance",POWER(Upgrades!$U$6,E131),1)*IF(Upgrades!$T$7="Orbital Resonance",POWER(Upgrades!$U$7,F131),1)*IF(Upgrades!$T$8="Orbital Resonance",POWER(Upgrades!$U$8,G131),1)*IF(Upgrades!$T$9="Orbital Resonance",POWER(Upgrades!$U$9,H131),1)*IF(Upgrades!$T$11="Orbital Resonance",POWER(Upgrades!$U$11,J131),1)*IF(Upgrades!$T$12="Orbital Resonance",POWER(Upgrades!$U$12,K131),1))+(IF(J131=0,0,(Upgrades!$G$11+J131*Upgrades!$H$11)*POWER(Upgrades!$I$11,J131)))*(IF(Upgrades!$T$6="Heliopause",POWER(Upgrades!$U$6,E131),1)*IF(Upgrades!$T$7="Heliopause",POWER(Upgrades!$U$7,F131),1)*IF(Upgrades!$T$8="Heliopause",POWER(Upgrades!$U$8,G131),1)*IF(Upgrades!$T$9="Heliopause",POWER(Upgrades!$U$9,H131),1)*IF(Upgrades!$T$10="Heliopause",POWER(Upgrades!$U$10,I131),1)*IF(Upgrades!$T$12="Heliopause",POWER(Upgrades!$U$12,K131),1))+(IF(K131=0,0,(Upgrades!$G$12+K131*Upgrades!$H$12)*POWER(Upgrades!$I$12,K131)))*(IF(Upgrades!$T$6="First Photons",POWER(Upgrades!$U$6,E131),1)*IF(Upgrades!$T$7="First Photons",POWER(Upgrades!$U$7,F131),1)*IF(Upgrades!$T$8="First Photons",POWER(Upgrades!$U$8,G131),1)*IF(Upgrades!$T$9="First Photons",POWER(Upgrades!$U$9,H131),1)*IF(Upgrades!$T$10="First Photons",POWER(Upgrades!$U$10,I131),1)*IF(Upgrades!$T$11="First Photons",POWER(Upgrades!$U$11,J131),1)))*POWER(Upgrades!$P$6,E131)*POWER(Upgrades!$P$7,F131)*POWER(Upgrades!$P$8,G131)*POWER(Upgrades!$P$9,H131)*POWER(Upgrades!$P$10,I131)*POWER(Upgrades!$P$11,J131)*POWER(Upgrades!$P$12,K131)</f>
        <v/>
      </c>
      <c r="O131" s="28">
        <f>((IF(E131=0,0,(Upgrades!$M$6+E131*Upgrades!$N$6)*POWER(Upgrades!$O$6,E131)))*(IF(Upgrades!$T$7="Solar Wind",POWER(Upgrades!$U$7,F131),1)*IF(Upgrades!$T$8="Solar Wind",POWER(Upgrades!$U$8,G131),1)*IF(Upgrades!$T$9="Solar Wind",POWER(Upgrades!$U$9,H131),1)*IF(Upgrades!$T$10="Solar Wind",POWER(Upgrades!$U$10,I131),1)*IF(Upgrades!$T$11="Solar Wind",POWER(Upgrades!$U$11,J131),1)*IF(Upgrades!$T$12="Solar Wind",POWER(Upgrades!$U$12,K131),1))+(IF(F131=0,0,(Upgrades!$M$7+F131*Upgrades!$N$7)*POWER(Upgrades!$O$7,F131)))*(IF(Upgrades!$T$6="Asteroid Belt",POWER(Upgrades!$U$6,E131),1)*IF(Upgrades!$T$8="Asteroid Belt",POWER(Upgrades!$U$8,G131),1)*IF(Upgrades!$T$9="Asteroid Belt",POWER(Upgrades!$U$9,H131),1)*IF(Upgrades!$T$10="Asteroid Belt",POWER(Upgrades!$U$10,I131),1)*IF(Upgrades!$T$11="Asteroid Belt",POWER(Upgrades!$U$11,J131),1)*IF(Upgrades!$T$12="Asteroid Belt",POWER(Upgrades!$U$12,K131),1))+(IF(G131=0,0,(Upgrades!$M$8+G131*Upgrades!$N$8)*POWER(Upgrades!$O$8,G131)))*(IF(Upgrades!$T$6="Stellar Coupling",POWER(Upgrades!$U$6,E131),1)*IF(Upgrades!$T$7="Stellar Coupling",POWER(Upgrades!$U$7,F131),1)*IF(Upgrades!$T$9="Stellar Coupling",POWER(Upgrades!$U$9,H131),1)*IF(Upgrades!$T$10="Stellar Coupling",POWER(Upgrades!$U$10,I131),1)*IF(Upgrades!$T$11="Stellar Coupling",POWER(Upgrades!$U$11,J131),1)*IF(Upgrades!$T$12="Stellar Coupling",POWER(Upgrades!$U$12,K131),1))+(IF(H131=0,0,(Upgrades!$M$9+H131*Upgrades!$N$9)*POWER(Upgrades!$O$9,H131)))*(IF(Upgrades!$T$6="Magnetosphere",POWER(Upgrades!$U$6,E131),1)*IF(Upgrades!$T$7="Magnetosphere",POWER(Upgrades!$U$7,F131),1)*IF(Upgrades!$T$8="Magnetosphere",POWER(Upgrades!$U$8,G131),1)*IF(Upgrades!$T$10="Magnetosphere",POWER(Upgrades!$U$10,I131),1)*IF(Upgrades!$T$11="Magnetosphere",POWER(Upgrades!$U$11,J131),1)*IF(Upgrades!$T$12="Magnetosphere",POWER(Upgrades!$U$12,K131),1))+(IF(I131=0,0,(Upgrades!$M$10+I131*Upgrades!$N$10)*POWER(Upgrades!$O$10,I131)))*(IF(Upgrades!$T$6="Orbital Resonance",POWER(Upgrades!$U$6,E131),1)*IF(Upgrades!$T$7="Orbital Resonance",POWER(Upgrades!$U$7,F131),1)*IF(Upgrades!$T$8="Orbital Resonance",POWER(Upgrades!$U$8,G131),1)*IF(Upgrades!$T$9="Orbital Resonance",POWER(Upgrades!$U$9,H131),1)*IF(Upgrades!$T$11="Orbital Resonance",POWER(Upgrades!$U$11,J131),1)*IF(Upgrades!$T$12="Orbital Resonance",POWER(Upgrades!$U$12,K131),1))+(IF(J131=0,0,(Upgrades!$M$11+J131*Upgrades!$N$11)*POWER(Upgrades!$O$11,J131)))*(IF(Upgrades!$T$6="Heliopause",POWER(Upgrades!$U$6,E131),1)*IF(Upgrades!$T$7="Heliopause",POWER(Upgrades!$U$7,F131),1)*IF(Upgrades!$T$8="Heliopause",POWER(Upgrades!$U$8,G131),1)*IF(Upgrades!$T$9="Heliopause",POWER(Upgrades!$U$9,H131),1)*IF(Upgrades!$T$10="Heliopause",POWER(Upgrades!$U$10,I131),1)*IF(Upgrades!$T$12="Heliopause",POWER(Upgrades!$U$12,K131),1))+(IF(K131=0,0,(Upgrades!$M$12+K131*Upgrades!$N$12)*POWER(Upgrades!$O$12,K131)))*(IF(Upgrades!$T$6="First Photons",POWER(Upgrades!$U$6,E131),1)*IF(Upgrades!$T$7="First Photons",POWER(Upgrades!$U$7,F131),1)*IF(Upgrades!$T$8="First Photons",POWER(Upgrades!$U$8,G131),1)*IF(Upgrades!$T$9="First Photons",POWER(Upgrades!$U$9,H131),1)*IF(Upgrades!$T$10="First Photons",POWER(Upgrades!$U$10,I131),1)*IF(Upgrades!$T$11="First Photons",POWER(Upgrades!$U$11,J131),1)))*POWER(Upgrades!$R$6,E131)*POWER(Upgrades!$R$7,F131)*POWER(Upgrades!$R$8,G131)*POWER(Upgrades!$R$9,H131)*POWER(Upgrades!$R$10,I131)*POWER(Upgrades!$R$11,J131)*POWER(Upgrades!$R$12,K131)</f>
        <v/>
      </c>
      <c r="P131" s="27">
        <f>IF(L131=1,0,M131*Parameters!$B$10/60*Parameters!$B$11*10)</f>
        <v/>
      </c>
      <c r="Q131" s="27">
        <f>IF(L131=1,0,O131*M131*10)</f>
        <v/>
      </c>
      <c r="R131" s="27">
        <f>IF(L131=1,0,N131*10)</f>
        <v/>
      </c>
      <c r="S131" s="27">
        <f>P131+Q131+R131</f>
        <v/>
      </c>
      <c r="T131" s="22">
        <f>C131+S131</f>
        <v/>
      </c>
      <c r="U131" s="33">
        <f>AX131</f>
        <v/>
      </c>
      <c r="V131" s="22">
        <f>IF(U131="",0,IF(U131="transition",0,IF(U131="SW",AG131,IF(U131="AB",AH131,IF(U131="SC",AI131,IF(U131="Mag",AJ131,IF(U131="OR",AK131,IF(U131="HP",AL131,IF(U131="FP",AM131,0)))))))))</f>
        <v/>
      </c>
      <c r="W131" s="27">
        <f>IF(U131="OR",Upgrades!$F$10,IF(U131="HP",Upgrades!$F$11,IF(U131="transition",-Parameters!$B$18,0)))</f>
        <v/>
      </c>
      <c r="X131" s="22">
        <f>T131-V131</f>
        <v/>
      </c>
      <c r="Y131" s="30">
        <f>M131*Parameters!$B$10/60*Parameters!$B$11+O131*M131+N131</f>
        <v/>
      </c>
      <c r="Z131" s="34">
        <f>IF(U131="transition","→ Tier 2 (Stellar Neighborhood)",IF(U131="FP","First Photons — light begins, system quickens",IF(U131="HP","Heliopause acquired",IF(U131="OR","Orbital Resonance — passive multiplier active",IF(AND(AO131=1,L131=0,AN131&lt;&gt;1),"Cohesion ready (waiting on completionist upgrades)","")))))</f>
        <v/>
      </c>
      <c r="AA131" s="27">
        <f>(IF(E131=0,0,(Upgrades!$G$6+E131*Upgrades!$H$6)*POWER(Upgrades!$I$6,E131)))*(IF(Upgrades!$T$7="Solar Wind",POWER(Upgrades!$U$7,F131),1)*IF(Upgrades!$T$8="Solar Wind",POWER(Upgrades!$U$8,G131),1)*IF(Upgrades!$T$9="Solar Wind",POWER(Upgrades!$U$9,H131),1)*IF(Upgrades!$T$10="Solar Wind",POWER(Upgrades!$U$10,I131),1)*IF(Upgrades!$T$11="Solar Wind",POWER(Upgrades!$U$11,J131),1)*IF(Upgrades!$T$12="Solar Wind",POWER(Upgrades!$U$12,K131),1))*POWER(Upgrades!$P$6,E131)*POWER(Upgrades!$P$7,F131)*POWER(Upgrades!$P$8,G131)*POWER(Upgrades!$P$9,H131)*POWER(Upgrades!$P$10,I131)*POWER(Upgrades!$P$11,J131)*POWER(Upgrades!$P$12,K131)*60</f>
        <v/>
      </c>
      <c r="AB131" s="27">
        <f>(IF(F131=0,0,(Upgrades!$G$7+F131*Upgrades!$H$7)*POWER(Upgrades!$I$7,F131)))*(IF(Upgrades!$T$6="Asteroid Belt",POWER(Upgrades!$U$6,E131),1)*IF(Upgrades!$T$8="Asteroid Belt",POWER(Upgrades!$U$8,G131),1)*IF(Upgrades!$T$9="Asteroid Belt",POWER(Upgrades!$U$9,H131),1)*IF(Upgrades!$T$10="Asteroid Belt",POWER(Upgrades!$U$10,I131),1)*IF(Upgrades!$T$11="Asteroid Belt",POWER(Upgrades!$U$11,J131),1)*IF(Upgrades!$T$12="Asteroid Belt",POWER(Upgrades!$U$12,K131),1))*POWER(Upgrades!$P$6,E131)*POWER(Upgrades!$P$7,F131)*POWER(Upgrades!$P$8,G131)*POWER(Upgrades!$P$9,H131)*POWER(Upgrades!$P$10,I131)*POWER(Upgrades!$P$11,J131)*POWER(Upgrades!$P$12,K131)*60</f>
        <v/>
      </c>
      <c r="AC131" s="27">
        <f>(IF(G131=0,0,(Upgrades!$J$8+G131*Upgrades!$K$8)*POWER(Upgrades!$L$8,G131)))*(IF(Upgrades!$T$6="Stellar Coupling",POWER(Upgrades!$U$6,E131),1)*IF(Upgrades!$T$7="Stellar Coupling",POWER(Upgrades!$U$7,F131),1)*IF(Upgrades!$T$9="Stellar Coupling",POWER(Upgrades!$U$9,H131),1)*IF(Upgrades!$T$10="Stellar Coupling",POWER(Upgrades!$U$10,I131),1)*IF(Upgrades!$T$11="Stellar Coupling",POWER(Upgrades!$U$11,J131),1)*IF(Upgrades!$T$12="Stellar Coupling",POWER(Upgrades!$U$12,K131),1))*POWER(Upgrades!$Q$6,E131)*POWER(Upgrades!$Q$7,F131)*POWER(Upgrades!$Q$8,G131)*POWER(Upgrades!$Q$9,H131)*POWER(Upgrades!$Q$10,I131)*POWER(Upgrades!$Q$11,J131)*POWER(Upgrades!$Q$12,K131)*Parameters!$B$10*Parameters!$B$11</f>
        <v/>
      </c>
      <c r="AD131" s="27">
        <f>(IF(H131=0,0,(Upgrades!$G$9+H131*Upgrades!$H$9)*POWER(Upgrades!$I$9,H131)))*(IF(Upgrades!$T$6="Magnetosphere",POWER(Upgrades!$U$6,E131),1)*IF(Upgrades!$T$7="Magnetosphere",POWER(Upgrades!$U$7,F131),1)*IF(Upgrades!$T$8="Magnetosphere",POWER(Upgrades!$U$8,G131),1)*IF(Upgrades!$T$10="Magnetosphere",POWER(Upgrades!$U$10,I131),1)*IF(Upgrades!$T$11="Magnetosphere",POWER(Upgrades!$U$11,J131),1)*IF(Upgrades!$T$12="Magnetosphere",POWER(Upgrades!$U$12,K131),1))*POWER(Upgrades!$P$6,E131)*POWER(Upgrades!$P$7,F131)*POWER(Upgrades!$P$8,G131)*POWER(Upgrades!$P$9,H131)*POWER(Upgrades!$P$10,I131)*POWER(Upgrades!$P$11,J131)*POWER(Upgrades!$P$12,K131)*60</f>
        <v/>
      </c>
      <c r="AE131" s="27">
        <f>(IF(K131=0,0,(Upgrades!$G$12+K131*Upgrades!$H$12)*POWER(Upgrades!$I$12,K131)))*(IF(Upgrades!$T$6="First Photons",POWER(Upgrades!$U$6,E131),1)*IF(Upgrades!$T$7="First Photons",POWER(Upgrades!$U$7,F131),1)*IF(Upgrades!$T$8="First Photons",POWER(Upgrades!$U$8,G131),1)*IF(Upgrades!$T$9="First Photons",POWER(Upgrades!$U$9,H131),1)*IF(Upgrades!$T$10="First Photons",POWER(Upgrades!$U$10,I131),1)*IF(Upgrades!$T$11="First Photons",POWER(Upgrades!$U$11,J131),1))*POWER(Upgrades!$P$6,E131)*POWER(Upgrades!$P$7,F131)*POWER(Upgrades!$P$8,G131)*POWER(Upgrades!$P$9,H131)*POWER(Upgrades!$P$10,I131)*POWER(Upgrades!$P$11,J131)*POWER(Upgrades!$P$12,K131)*60</f>
        <v/>
      </c>
      <c r="AF131" s="27">
        <f>Parameters!$B$9*POWER(Upgrades!$Q$6,E131)*POWER(Upgrades!$Q$7,F131)*POWER(Upgrades!$Q$8,G131)*POWER(Upgrades!$Q$9,H131)*POWER(Upgrades!$Q$10,I131)*POWER(Upgrades!$Q$11,J131)*POWER(Upgrades!$Q$12,K131)*(Parameters!$B$10*Parameters!$B$11+O131*60)</f>
        <v/>
      </c>
      <c r="AG131" s="22">
        <f>IF(E131&gt;=Upgrades!$E$6,"",Upgrades!$C$6*POWER(Upgrades!$D$6,E131))</f>
        <v/>
      </c>
      <c r="AH131" s="22">
        <f>IF(F131&gt;=Upgrades!$E$7,"",Upgrades!$C$7*POWER(Upgrades!$D$7,F131))</f>
        <v/>
      </c>
      <c r="AI131" s="22">
        <f>IF(G131&gt;=Upgrades!$E$8,"",Upgrades!$C$8*POWER(Upgrades!$D$8,G131))</f>
        <v/>
      </c>
      <c r="AJ131" s="22">
        <f>IF(H131&gt;=Upgrades!$E$9,"",Upgrades!$C$9*POWER(Upgrades!$D$9,H131))</f>
        <v/>
      </c>
      <c r="AK131" s="22">
        <f>IF(I131&gt;=Upgrades!$E$10,"",Upgrades!$C$10*POWER(Upgrades!$D$10,I131))</f>
        <v/>
      </c>
      <c r="AL131" s="22">
        <f>IF(J131&gt;=Upgrades!$E$11,"",Upgrades!$C$11*POWER(Upgrades!$D$11,J131))</f>
        <v/>
      </c>
      <c r="AM131" s="22">
        <f>IF(K131&gt;=Upgrades!$E$12,"",Upgrades!$C$12*POWER(Upgrades!$D$12,K131))</f>
        <v/>
      </c>
      <c r="AN131" s="26">
        <f>IF(AND(D131&gt;=Parameters!$B$18,(H131&gt;=Upgrades!$E$9)*(K131&gt;=Upgrades!$E$12)=1,L131=0),1,"")</f>
        <v/>
      </c>
      <c r="AO131" s="26">
        <f>IF(AND(D131&gt;=Parameters!$B$18,L131=0),1,"")</f>
        <v/>
      </c>
      <c r="AP131" s="22">
        <f>MIN(IF(ISNUMBER(AK131),AK131,9E15),IF(ISNUMBER(AL131),AL131,9E15),IF(ISNUMBER(AM131),AM131,9E15))</f>
        <v/>
      </c>
      <c r="AQ131" s="22">
        <f>MIN(IF(ISNUMBER(AG131),AG131,9E15),IF(ISNUMBER(AH131),AH131,9E15),IF(ISNUMBER(AI131),AI131,9E15),IF(ISNUMBER(AJ131),AJ131,9E15))</f>
        <v/>
      </c>
      <c r="AR131" s="29">
        <f>IF(AW131&gt;Parameters!$B$21*(MAX(IF(AND(NOT(AND(AO131=1,AN131&lt;&gt;1)),ISNUMBER(AG131),AG131&lt;=T131),AS131,0),IF(AND(NOT(AND(AO131=1,AN131&lt;&gt;1)),ISNUMBER(AH131),AH131&lt;=T131),AT131,0),IF(AND(NOT(AND(AO131=1,AN131&lt;&gt;1)),ISNUMBER(AI131),AI131&lt;=T131),AU131,0),IF(AND(ISNUMBER(AJ131),AJ131&lt;=T131),AV131,0))),TRUE,FALSE)</f>
        <v/>
      </c>
      <c r="AS131" s="32">
        <f>IFERROR(Upgrades!$H$6*(POWER(Upgrades!$P$6,E131)*POWER(Upgrades!$P$7,F131)*POWER(Upgrades!$P$8,G131)*POWER(Upgrades!$P$9,H131)*POWER(Upgrades!$P$10,I131)*POWER(Upgrades!$P$11,J131)*POWER(Upgrades!$P$12,K131))*(IF(Upgrades!$T$7="Solar Wind",POWER(Upgrades!$U$7,F131),1)*IF(Upgrades!$T$8="Solar Wind",POWER(Upgrades!$U$8,G131),1)*IF(Upgrades!$T$9="Solar Wind",POWER(Upgrades!$U$9,H131),1)*IF(Upgrades!$T$10="Solar Wind",POWER(Upgrades!$U$10,I131),1)*IF(Upgrades!$T$11="Solar Wind",POWER(Upgrades!$U$11,J131),1)*IF(Upgrades!$T$12="Solar Wind",POWER(Upgrades!$U$12,K131),1))/AG131,0)</f>
        <v/>
      </c>
      <c r="AT131" s="32">
        <f>IFERROR(Upgrades!$H$7*(POWER(Upgrades!$P$6,E131)*POWER(Upgrades!$P$7,F131)*POWER(Upgrades!$P$8,G131)*POWER(Upgrades!$P$9,H131)*POWER(Upgrades!$P$10,I131)*POWER(Upgrades!$P$11,J131)*POWER(Upgrades!$P$12,K131))*(IF(Upgrades!$T$6="Asteroid Belt",POWER(Upgrades!$U$6,E131),1)*IF(Upgrades!$T$8="Asteroid Belt",POWER(Upgrades!$U$8,G131),1)*IF(Upgrades!$T$9="Asteroid Belt",POWER(Upgrades!$U$9,H131),1)*IF(Upgrades!$T$10="Asteroid Belt",POWER(Upgrades!$U$10,I131),1)*IF(Upgrades!$T$11="Asteroid Belt",POWER(Upgrades!$U$11,J131),1)*IF(Upgrades!$T$12="Asteroid Belt",POWER(Upgrades!$U$12,K131),1))/AH131,0)</f>
        <v/>
      </c>
      <c r="AU131" s="32">
        <f>IFERROR(Upgrades!$K$8*(POWER(Upgrades!$Q$6,E131)*POWER(Upgrades!$Q$7,F131)*POWER(Upgrades!$Q$8,G131)*POWER(Upgrades!$Q$9,H131)*POWER(Upgrades!$Q$10,I131)*POWER(Upgrades!$Q$11,J131)*POWER(Upgrades!$Q$12,K131))*(IF(Upgrades!$T$6="Stellar Coupling",POWER(Upgrades!$U$6,E131),1)*IF(Upgrades!$T$7="Stellar Coupling",POWER(Upgrades!$U$7,F131),1)*IF(Upgrades!$T$9="Stellar Coupling",POWER(Upgrades!$U$9,H131),1)*IF(Upgrades!$T$10="Stellar Coupling",POWER(Upgrades!$U$10,I131),1)*IF(Upgrades!$T$11="Stellar Coupling",POWER(Upgrades!$U$11,J131),1)*IF(Upgrades!$T$12="Stellar Coupling",POWER(Upgrades!$U$12,K131),1))*Parameters!$B$10*Parameters!$B$11/60/AI131,0)</f>
        <v/>
      </c>
      <c r="AV131" s="32">
        <f>IFERROR(Upgrades!$H$9*(POWER(Upgrades!$P$6,E131)*POWER(Upgrades!$P$7,F131)*POWER(Upgrades!$P$8,G131)*POWER(Upgrades!$P$9,H131)*POWER(Upgrades!$P$10,I131)*POWER(Upgrades!$P$11,J131)*POWER(Upgrades!$P$12,K131))*(IF(Upgrades!$T$6="Magnetosphere",POWER(Upgrades!$U$6,E131),1)*IF(Upgrades!$T$7="Magnetosphere",POWER(Upgrades!$U$7,F131),1)*IF(Upgrades!$T$8="Magnetosphere",POWER(Upgrades!$U$8,G131),1)*IF(Upgrades!$T$10="Magnetosphere",POWER(Upgrades!$U$10,I131),1)*IF(Upgrades!$T$11="Magnetosphere",POWER(Upgrades!$U$11,J131),1)*IF(Upgrades!$T$12="Magnetosphere",POWER(Upgrades!$U$12,K131),1))/AJ131,0)</f>
        <v/>
      </c>
      <c r="AW131" s="32">
        <f>MAX(IF(I131&gt;0,0,IFERROR(0.25*N131/Upgrades!$C$10,0)),IF(J131&gt;0,0,IFERROR(0.5*((IF(G131=0,0,(Upgrades!$J$8+G131*Upgrades!$K$8)*POWER(Upgrades!$L$8,G131)))*(IF(Upgrades!$T$6="Stellar Coupling",POWER(Upgrades!$U$6,E131),1)*IF(Upgrades!$T$7="Stellar Coupling",POWER(Upgrades!$U$7,F131),1)*IF(Upgrades!$T$9="Stellar Coupling",POWER(Upgrades!$U$9,H131),1)*IF(Upgrades!$T$10="Stellar Coupling",POWER(Upgrades!$U$10,I131),1)*IF(Upgrades!$T$11="Stellar Coupling",POWER(Upgrades!$U$11,J131),1)*IF(Upgrades!$T$12="Stellar Coupling",POWER(Upgrades!$U$12,K131),1))*(POWER(Upgrades!$Q$6,E131)*POWER(Upgrades!$Q$7,F131)*POWER(Upgrades!$Q$8,G131)*POWER(Upgrades!$Q$9,H131)*POWER(Upgrades!$Q$10,I131)*POWER(Upgrades!$Q$11,J131)*POWER(Upgrades!$Q$12,K131))*Parameters!$B$10*Parameters!$B$11/60)/Upgrades!$C$11,0)),IF(K131&gt;0,0,IFERROR((1.0*(POWER(Upgrades!$P$6,E131)*POWER(Upgrades!$P$7,F131)*POWER(Upgrades!$P$8,G131)*POWER(Upgrades!$P$9,H131)*POWER(Upgrades!$P$10,I131)*POWER(Upgrades!$P$11,J131)*POWER(Upgrades!$P$12,K131))+0.20*M131*Parameters!$B$10*Parameters!$B$11/60)/Upgrades!$C$12,0)),IF(AND(ISNUMBER(AG131),AG131&gt;T131),AS131,0),IF(AND(ISNUMBER(AH131),AH131&gt;T131),AT131,0),IF(AND(ISNUMBER(AI131),AI131&gt;T131),AU131,0),IF(AND(ISNUMBER(AJ131),AJ131&gt;T131),AV131,0))</f>
        <v/>
      </c>
      <c r="AX131" s="29">
        <f>IF(AN131=1,"transition",IF(MIN(IF(AND(I131=0,ISNUMBER(AK131),AK131&lt;=T131),AK131,9E15),IF(AND(J131=0,ISNUMBER(AL131),AL131&lt;=T131),AL131,9E15),IF(AND(K131=0,ISNUMBER(AM131),AM131&lt;=T131),AM131,9E15))&lt;9E15,IF(AND(AND(I131=0,ISNUMBER(AK131),AK131&lt;=T131),AK131=MIN(IF(AND(I131=0,ISNUMBER(AK131),AK131&lt;=T131),AK131,9E15),IF(AND(J131=0,ISNUMBER(AL131),AL131&lt;=T131),AL131,9E15),IF(AND(K131=0,ISNUMBER(AM131),AM131&lt;=T131),AM131,9E15))),"OR",IF(AND(AND(J131=0,ISNUMBER(AL131),AL131&lt;=T131),AL131=MIN(IF(AND(I131=0,ISNUMBER(AK131),AK131&lt;=T131),AK131,9E15),IF(AND(J131=0,ISNUMBER(AL131),AL131&lt;=T131),AL131,9E15),IF(AND(K131=0,ISNUMBER(AM131),AM131&lt;=T131),AM131,9E15))),"HP","FP")),IF(AR131=TRUE,"",IF(MAX(IF(AND(NOT(AND(AO131=1,AN131&lt;&gt;1)),ISNUMBER(AG131),AG131&lt;=T131),AS131,0),IF(AND(NOT(AND(AO131=1,AN131&lt;&gt;1)),ISNUMBER(AH131),AH131&lt;=T131),AT131,0),IF(AND(NOT(AND(AO131=1,AN131&lt;&gt;1)),ISNUMBER(AI131),AI131&lt;=T131),AU131,0),IF(AND(ISNUMBER(AJ131),AJ131&lt;=T131),AV131,0))&lt;=0,"",IF(AND(IF(AND(NOT(AND(AO131=1,AN131&lt;&gt;1)),ISNUMBER(AG131),AG131&lt;=T131),AS131,0)&gt;0,IF(AND(NOT(AND(AO131=1,AN131&lt;&gt;1)),ISNUMBER(AG131),AG131&lt;=T131),AS131,0)=MAX(IF(AND(NOT(AND(AO131=1,AN131&lt;&gt;1)),ISNUMBER(AG131),AG131&lt;=T131),AS131,0),IF(AND(NOT(AND(AO131=1,AN131&lt;&gt;1)),ISNUMBER(AH131),AH131&lt;=T131),AT131,0),IF(AND(NOT(AND(AO131=1,AN131&lt;&gt;1)),ISNUMBER(AI131),AI131&lt;=T131),AU131,0),IF(AND(ISNUMBER(AJ131),AJ131&lt;=T131),AV131,0))),"SW",IF(AND(IF(AND(NOT(AND(AO131=1,AN131&lt;&gt;1)),ISNUMBER(AH131),AH131&lt;=T131),AT131,0)&gt;0,IF(AND(NOT(AND(AO131=1,AN131&lt;&gt;1)),ISNUMBER(AH131),AH131&lt;=T131),AT131,0)=MAX(IF(AND(NOT(AND(AO131=1,AN131&lt;&gt;1)),ISNUMBER(AG131),AG131&lt;=T131),AS131,0),IF(AND(NOT(AND(AO131=1,AN131&lt;&gt;1)),ISNUMBER(AH131),AH131&lt;=T131),AT131,0),IF(AND(NOT(AND(AO131=1,AN131&lt;&gt;1)),ISNUMBER(AI131),AI131&lt;=T131),AU131,0),IF(AND(ISNUMBER(AJ131),AJ131&lt;=T131),AV131,0))),"AB",IF(AND(IF(AND(NOT(AND(AO131=1,AN131&lt;&gt;1)),ISNUMBER(AI131),AI131&lt;=T131),AU131,0)&gt;0,IF(AND(NOT(AND(AO131=1,AN131&lt;&gt;1)),ISNUMBER(AI131),AI131&lt;=T131),AU131,0)=MAX(IF(AND(NOT(AND(AO131=1,AN131&lt;&gt;1)),ISNUMBER(AG131),AG131&lt;=T131),AS131,0),IF(AND(NOT(AND(AO131=1,AN131&lt;&gt;1)),ISNUMBER(AH131),AH131&lt;=T131),AT131,0),IF(AND(NOT(AND(AO131=1,AN131&lt;&gt;1)),ISNUMBER(AI131),AI131&lt;=T131),AU131,0),IF(AND(ISNUMBER(AJ131),AJ131&lt;=T131),AV131,0))),"SC","Mag")))))))</f>
        <v/>
      </c>
    </row>
    <row r="132">
      <c r="A132" s="26" t="n">
        <v>127</v>
      </c>
      <c r="B132" s="27">
        <f>A132*10/60</f>
        <v/>
      </c>
      <c r="C132" s="22">
        <f>X131</f>
        <v/>
      </c>
      <c r="D132" s="27">
        <f>D131+W131</f>
        <v/>
      </c>
      <c r="E132" s="26">
        <f>E131+IF(U131="SW",1,0)</f>
        <v/>
      </c>
      <c r="F132" s="26">
        <f>F131+IF(U131="AB",1,0)</f>
        <v/>
      </c>
      <c r="G132" s="26">
        <f>G131+IF(U131="SC",1,0)</f>
        <v/>
      </c>
      <c r="H132" s="26">
        <f>H131+IF(U131="Mag",1,0)</f>
        <v/>
      </c>
      <c r="I132" s="26">
        <f>MAX(I131,IF(U131="OR",1,0))</f>
        <v/>
      </c>
      <c r="J132" s="26">
        <f>MAX(J131,IF(U131="HP",1,0))</f>
        <v/>
      </c>
      <c r="K132" s="26">
        <f>MAX(K131,IF(U131="FP",1,0))</f>
        <v/>
      </c>
      <c r="L132" s="26">
        <f>MAX(L131,IF(U131="transition",1,0))</f>
        <v/>
      </c>
      <c r="M132" s="28">
        <f>(Parameters!$B$9+(IF(E132=0,0,(Upgrades!$J$6+E132*Upgrades!$K$6)*POWER(Upgrades!$L$6,E132)))*(IF(Upgrades!$T$7="Solar Wind",POWER(Upgrades!$U$7,F132),1)*IF(Upgrades!$T$8="Solar Wind",POWER(Upgrades!$U$8,G132),1)*IF(Upgrades!$T$9="Solar Wind",POWER(Upgrades!$U$9,H132),1)*IF(Upgrades!$T$10="Solar Wind",POWER(Upgrades!$U$10,I132),1)*IF(Upgrades!$T$11="Solar Wind",POWER(Upgrades!$U$11,J132),1)*IF(Upgrades!$T$12="Solar Wind",POWER(Upgrades!$U$12,K132),1))+(IF(F132=0,0,(Upgrades!$J$7+F132*Upgrades!$K$7)*POWER(Upgrades!$L$7,F132)))*(IF(Upgrades!$T$6="Asteroid Belt",POWER(Upgrades!$U$6,E132),1)*IF(Upgrades!$T$8="Asteroid Belt",POWER(Upgrades!$U$8,G132),1)*IF(Upgrades!$T$9="Asteroid Belt",POWER(Upgrades!$U$9,H132),1)*IF(Upgrades!$T$10="Asteroid Belt",POWER(Upgrades!$U$10,I132),1)*IF(Upgrades!$T$11="Asteroid Belt",POWER(Upgrades!$U$11,J132),1)*IF(Upgrades!$T$12="Asteroid Belt",POWER(Upgrades!$U$12,K132),1))+(IF(G132=0,0,(Upgrades!$J$8+G132*Upgrades!$K$8)*POWER(Upgrades!$L$8,G132)))*(IF(Upgrades!$T$6="Stellar Coupling",POWER(Upgrades!$U$6,E132),1)*IF(Upgrades!$T$7="Stellar Coupling",POWER(Upgrades!$U$7,F132),1)*IF(Upgrades!$T$9="Stellar Coupling",POWER(Upgrades!$U$9,H132),1)*IF(Upgrades!$T$10="Stellar Coupling",POWER(Upgrades!$U$10,I132),1)*IF(Upgrades!$T$11="Stellar Coupling",POWER(Upgrades!$U$11,J132),1)*IF(Upgrades!$T$12="Stellar Coupling",POWER(Upgrades!$U$12,K132),1))+(IF(H132=0,0,(Upgrades!$J$9+H132*Upgrades!$K$9)*POWER(Upgrades!$L$9,H132)))*(IF(Upgrades!$T$6="Magnetosphere",POWER(Upgrades!$U$6,E132),1)*IF(Upgrades!$T$7="Magnetosphere",POWER(Upgrades!$U$7,F132),1)*IF(Upgrades!$T$8="Magnetosphere",POWER(Upgrades!$U$8,G132),1)*IF(Upgrades!$T$10="Magnetosphere",POWER(Upgrades!$U$10,I132),1)*IF(Upgrades!$T$11="Magnetosphere",POWER(Upgrades!$U$11,J132),1)*IF(Upgrades!$T$12="Magnetosphere",POWER(Upgrades!$U$12,K132),1))+(IF(I132=0,0,(Upgrades!$J$10+I132*Upgrades!$K$10)*POWER(Upgrades!$L$10,I132)))*(IF(Upgrades!$T$6="Orbital Resonance",POWER(Upgrades!$U$6,E132),1)*IF(Upgrades!$T$7="Orbital Resonance",POWER(Upgrades!$U$7,F132),1)*IF(Upgrades!$T$8="Orbital Resonance",POWER(Upgrades!$U$8,G132),1)*IF(Upgrades!$T$9="Orbital Resonance",POWER(Upgrades!$U$9,H132),1)*IF(Upgrades!$T$11="Orbital Resonance",POWER(Upgrades!$U$11,J132),1)*IF(Upgrades!$T$12="Orbital Resonance",POWER(Upgrades!$U$12,K132),1))+(IF(J132=0,0,(Upgrades!$J$11+J132*Upgrades!$K$11)*POWER(Upgrades!$L$11,J132)))*(IF(Upgrades!$T$6="Heliopause",POWER(Upgrades!$U$6,E132),1)*IF(Upgrades!$T$7="Heliopause",POWER(Upgrades!$U$7,F132),1)*IF(Upgrades!$T$8="Heliopause",POWER(Upgrades!$U$8,G132),1)*IF(Upgrades!$T$9="Heliopause",POWER(Upgrades!$U$9,H132),1)*IF(Upgrades!$T$10="Heliopause",POWER(Upgrades!$U$10,I132),1)*IF(Upgrades!$T$12="Heliopause",POWER(Upgrades!$U$12,K132),1))+(IF(K132=0,0,(Upgrades!$J$12+K132*Upgrades!$K$12)*POWER(Upgrades!$L$12,K132)))*(IF(Upgrades!$T$6="First Photons",POWER(Upgrades!$U$6,E132),1)*IF(Upgrades!$T$7="First Photons",POWER(Upgrades!$U$7,F132),1)*IF(Upgrades!$T$8="First Photons",POWER(Upgrades!$U$8,G132),1)*IF(Upgrades!$T$9="First Photons",POWER(Upgrades!$U$9,H132),1)*IF(Upgrades!$T$10="First Photons",POWER(Upgrades!$U$10,I132),1)*IF(Upgrades!$T$11="First Photons",POWER(Upgrades!$U$11,J132),1)))*POWER(Upgrades!$Q$6,E132)*POWER(Upgrades!$Q$7,F132)*POWER(Upgrades!$Q$8,G132)*POWER(Upgrades!$Q$9,H132)*POWER(Upgrades!$Q$10,I132)*POWER(Upgrades!$Q$11,J132)*POWER(Upgrades!$Q$12,K132)</f>
        <v/>
      </c>
      <c r="N132" s="28">
        <f>((IF(E132=0,0,(Upgrades!$G$6+E132*Upgrades!$H$6)*POWER(Upgrades!$I$6,E132)))*(IF(Upgrades!$T$7="Solar Wind",POWER(Upgrades!$U$7,F132),1)*IF(Upgrades!$T$8="Solar Wind",POWER(Upgrades!$U$8,G132),1)*IF(Upgrades!$T$9="Solar Wind",POWER(Upgrades!$U$9,H132),1)*IF(Upgrades!$T$10="Solar Wind",POWER(Upgrades!$U$10,I132),1)*IF(Upgrades!$T$11="Solar Wind",POWER(Upgrades!$U$11,J132),1)*IF(Upgrades!$T$12="Solar Wind",POWER(Upgrades!$U$12,K132),1))+(IF(F132=0,0,(Upgrades!$G$7+F132*Upgrades!$H$7)*POWER(Upgrades!$I$7,F132)))*(IF(Upgrades!$T$6="Asteroid Belt",POWER(Upgrades!$U$6,E132),1)*IF(Upgrades!$T$8="Asteroid Belt",POWER(Upgrades!$U$8,G132),1)*IF(Upgrades!$T$9="Asteroid Belt",POWER(Upgrades!$U$9,H132),1)*IF(Upgrades!$T$10="Asteroid Belt",POWER(Upgrades!$U$10,I132),1)*IF(Upgrades!$T$11="Asteroid Belt",POWER(Upgrades!$U$11,J132),1)*IF(Upgrades!$T$12="Asteroid Belt",POWER(Upgrades!$U$12,K132),1))+(IF(G132=0,0,(Upgrades!$G$8+G132*Upgrades!$H$8)*POWER(Upgrades!$I$8,G132)))*(IF(Upgrades!$T$6="Stellar Coupling",POWER(Upgrades!$U$6,E132),1)*IF(Upgrades!$T$7="Stellar Coupling",POWER(Upgrades!$U$7,F132),1)*IF(Upgrades!$T$9="Stellar Coupling",POWER(Upgrades!$U$9,H132),1)*IF(Upgrades!$T$10="Stellar Coupling",POWER(Upgrades!$U$10,I132),1)*IF(Upgrades!$T$11="Stellar Coupling",POWER(Upgrades!$U$11,J132),1)*IF(Upgrades!$T$12="Stellar Coupling",POWER(Upgrades!$U$12,K132),1))+(IF(H132=0,0,(Upgrades!$G$9+H132*Upgrades!$H$9)*POWER(Upgrades!$I$9,H132)))*(IF(Upgrades!$T$6="Magnetosphere",POWER(Upgrades!$U$6,E132),1)*IF(Upgrades!$T$7="Magnetosphere",POWER(Upgrades!$U$7,F132),1)*IF(Upgrades!$T$8="Magnetosphere",POWER(Upgrades!$U$8,G132),1)*IF(Upgrades!$T$10="Magnetosphere",POWER(Upgrades!$U$10,I132),1)*IF(Upgrades!$T$11="Magnetosphere",POWER(Upgrades!$U$11,J132),1)*IF(Upgrades!$T$12="Magnetosphere",POWER(Upgrades!$U$12,K132),1))+(IF(I132=0,0,(Upgrades!$G$10+I132*Upgrades!$H$10)*POWER(Upgrades!$I$10,I132)))*(IF(Upgrades!$T$6="Orbital Resonance",POWER(Upgrades!$U$6,E132),1)*IF(Upgrades!$T$7="Orbital Resonance",POWER(Upgrades!$U$7,F132),1)*IF(Upgrades!$T$8="Orbital Resonance",POWER(Upgrades!$U$8,G132),1)*IF(Upgrades!$T$9="Orbital Resonance",POWER(Upgrades!$U$9,H132),1)*IF(Upgrades!$T$11="Orbital Resonance",POWER(Upgrades!$U$11,J132),1)*IF(Upgrades!$T$12="Orbital Resonance",POWER(Upgrades!$U$12,K132),1))+(IF(J132=0,0,(Upgrades!$G$11+J132*Upgrades!$H$11)*POWER(Upgrades!$I$11,J132)))*(IF(Upgrades!$T$6="Heliopause",POWER(Upgrades!$U$6,E132),1)*IF(Upgrades!$T$7="Heliopause",POWER(Upgrades!$U$7,F132),1)*IF(Upgrades!$T$8="Heliopause",POWER(Upgrades!$U$8,G132),1)*IF(Upgrades!$T$9="Heliopause",POWER(Upgrades!$U$9,H132),1)*IF(Upgrades!$T$10="Heliopause",POWER(Upgrades!$U$10,I132),1)*IF(Upgrades!$T$12="Heliopause",POWER(Upgrades!$U$12,K132),1))+(IF(K132=0,0,(Upgrades!$G$12+K132*Upgrades!$H$12)*POWER(Upgrades!$I$12,K132)))*(IF(Upgrades!$T$6="First Photons",POWER(Upgrades!$U$6,E132),1)*IF(Upgrades!$T$7="First Photons",POWER(Upgrades!$U$7,F132),1)*IF(Upgrades!$T$8="First Photons",POWER(Upgrades!$U$8,G132),1)*IF(Upgrades!$T$9="First Photons",POWER(Upgrades!$U$9,H132),1)*IF(Upgrades!$T$10="First Photons",POWER(Upgrades!$U$10,I132),1)*IF(Upgrades!$T$11="First Photons",POWER(Upgrades!$U$11,J132),1)))*POWER(Upgrades!$P$6,E132)*POWER(Upgrades!$P$7,F132)*POWER(Upgrades!$P$8,G132)*POWER(Upgrades!$P$9,H132)*POWER(Upgrades!$P$10,I132)*POWER(Upgrades!$P$11,J132)*POWER(Upgrades!$P$12,K132)</f>
        <v/>
      </c>
      <c r="O132" s="28">
        <f>((IF(E132=0,0,(Upgrades!$M$6+E132*Upgrades!$N$6)*POWER(Upgrades!$O$6,E132)))*(IF(Upgrades!$T$7="Solar Wind",POWER(Upgrades!$U$7,F132),1)*IF(Upgrades!$T$8="Solar Wind",POWER(Upgrades!$U$8,G132),1)*IF(Upgrades!$T$9="Solar Wind",POWER(Upgrades!$U$9,H132),1)*IF(Upgrades!$T$10="Solar Wind",POWER(Upgrades!$U$10,I132),1)*IF(Upgrades!$T$11="Solar Wind",POWER(Upgrades!$U$11,J132),1)*IF(Upgrades!$T$12="Solar Wind",POWER(Upgrades!$U$12,K132),1))+(IF(F132=0,0,(Upgrades!$M$7+F132*Upgrades!$N$7)*POWER(Upgrades!$O$7,F132)))*(IF(Upgrades!$T$6="Asteroid Belt",POWER(Upgrades!$U$6,E132),1)*IF(Upgrades!$T$8="Asteroid Belt",POWER(Upgrades!$U$8,G132),1)*IF(Upgrades!$T$9="Asteroid Belt",POWER(Upgrades!$U$9,H132),1)*IF(Upgrades!$T$10="Asteroid Belt",POWER(Upgrades!$U$10,I132),1)*IF(Upgrades!$T$11="Asteroid Belt",POWER(Upgrades!$U$11,J132),1)*IF(Upgrades!$T$12="Asteroid Belt",POWER(Upgrades!$U$12,K132),1))+(IF(G132=0,0,(Upgrades!$M$8+G132*Upgrades!$N$8)*POWER(Upgrades!$O$8,G132)))*(IF(Upgrades!$T$6="Stellar Coupling",POWER(Upgrades!$U$6,E132),1)*IF(Upgrades!$T$7="Stellar Coupling",POWER(Upgrades!$U$7,F132),1)*IF(Upgrades!$T$9="Stellar Coupling",POWER(Upgrades!$U$9,H132),1)*IF(Upgrades!$T$10="Stellar Coupling",POWER(Upgrades!$U$10,I132),1)*IF(Upgrades!$T$11="Stellar Coupling",POWER(Upgrades!$U$11,J132),1)*IF(Upgrades!$T$12="Stellar Coupling",POWER(Upgrades!$U$12,K132),1))+(IF(H132=0,0,(Upgrades!$M$9+H132*Upgrades!$N$9)*POWER(Upgrades!$O$9,H132)))*(IF(Upgrades!$T$6="Magnetosphere",POWER(Upgrades!$U$6,E132),1)*IF(Upgrades!$T$7="Magnetosphere",POWER(Upgrades!$U$7,F132),1)*IF(Upgrades!$T$8="Magnetosphere",POWER(Upgrades!$U$8,G132),1)*IF(Upgrades!$T$10="Magnetosphere",POWER(Upgrades!$U$10,I132),1)*IF(Upgrades!$T$11="Magnetosphere",POWER(Upgrades!$U$11,J132),1)*IF(Upgrades!$T$12="Magnetosphere",POWER(Upgrades!$U$12,K132),1))+(IF(I132=0,0,(Upgrades!$M$10+I132*Upgrades!$N$10)*POWER(Upgrades!$O$10,I132)))*(IF(Upgrades!$T$6="Orbital Resonance",POWER(Upgrades!$U$6,E132),1)*IF(Upgrades!$T$7="Orbital Resonance",POWER(Upgrades!$U$7,F132),1)*IF(Upgrades!$T$8="Orbital Resonance",POWER(Upgrades!$U$8,G132),1)*IF(Upgrades!$T$9="Orbital Resonance",POWER(Upgrades!$U$9,H132),1)*IF(Upgrades!$T$11="Orbital Resonance",POWER(Upgrades!$U$11,J132),1)*IF(Upgrades!$T$12="Orbital Resonance",POWER(Upgrades!$U$12,K132),1))+(IF(J132=0,0,(Upgrades!$M$11+J132*Upgrades!$N$11)*POWER(Upgrades!$O$11,J132)))*(IF(Upgrades!$T$6="Heliopause",POWER(Upgrades!$U$6,E132),1)*IF(Upgrades!$T$7="Heliopause",POWER(Upgrades!$U$7,F132),1)*IF(Upgrades!$T$8="Heliopause",POWER(Upgrades!$U$8,G132),1)*IF(Upgrades!$T$9="Heliopause",POWER(Upgrades!$U$9,H132),1)*IF(Upgrades!$T$10="Heliopause",POWER(Upgrades!$U$10,I132),1)*IF(Upgrades!$T$12="Heliopause",POWER(Upgrades!$U$12,K132),1))+(IF(K132=0,0,(Upgrades!$M$12+K132*Upgrades!$N$12)*POWER(Upgrades!$O$12,K132)))*(IF(Upgrades!$T$6="First Photons",POWER(Upgrades!$U$6,E132),1)*IF(Upgrades!$T$7="First Photons",POWER(Upgrades!$U$7,F132),1)*IF(Upgrades!$T$8="First Photons",POWER(Upgrades!$U$8,G132),1)*IF(Upgrades!$T$9="First Photons",POWER(Upgrades!$U$9,H132),1)*IF(Upgrades!$T$10="First Photons",POWER(Upgrades!$U$10,I132),1)*IF(Upgrades!$T$11="First Photons",POWER(Upgrades!$U$11,J132),1)))*POWER(Upgrades!$R$6,E132)*POWER(Upgrades!$R$7,F132)*POWER(Upgrades!$R$8,G132)*POWER(Upgrades!$R$9,H132)*POWER(Upgrades!$R$10,I132)*POWER(Upgrades!$R$11,J132)*POWER(Upgrades!$R$12,K132)</f>
        <v/>
      </c>
      <c r="P132" s="27">
        <f>IF(L132=1,0,M132*Parameters!$B$10/60*Parameters!$B$11*10)</f>
        <v/>
      </c>
      <c r="Q132" s="27">
        <f>IF(L132=1,0,O132*M132*10)</f>
        <v/>
      </c>
      <c r="R132" s="27">
        <f>IF(L132=1,0,N132*10)</f>
        <v/>
      </c>
      <c r="S132" s="27">
        <f>P132+Q132+R132</f>
        <v/>
      </c>
      <c r="T132" s="22">
        <f>C132+S132</f>
        <v/>
      </c>
      <c r="U132" s="33">
        <f>AX132</f>
        <v/>
      </c>
      <c r="V132" s="22">
        <f>IF(U132="",0,IF(U132="transition",0,IF(U132="SW",AG132,IF(U132="AB",AH132,IF(U132="SC",AI132,IF(U132="Mag",AJ132,IF(U132="OR",AK132,IF(U132="HP",AL132,IF(U132="FP",AM132,0)))))))))</f>
        <v/>
      </c>
      <c r="W132" s="27">
        <f>IF(U132="OR",Upgrades!$F$10,IF(U132="HP",Upgrades!$F$11,IF(U132="transition",-Parameters!$B$18,0)))</f>
        <v/>
      </c>
      <c r="X132" s="22">
        <f>T132-V132</f>
        <v/>
      </c>
      <c r="Y132" s="30">
        <f>M132*Parameters!$B$10/60*Parameters!$B$11+O132*M132+N132</f>
        <v/>
      </c>
      <c r="Z132" s="34">
        <f>IF(U132="transition","→ Tier 2 (Stellar Neighborhood)",IF(U132="FP","First Photons — light begins, system quickens",IF(U132="HP","Heliopause acquired",IF(U132="OR","Orbital Resonance — passive multiplier active",IF(AND(AO132=1,L132=0,AN132&lt;&gt;1),"Cohesion ready (waiting on completionist upgrades)","")))))</f>
        <v/>
      </c>
      <c r="AA132" s="27">
        <f>(IF(E132=0,0,(Upgrades!$G$6+E132*Upgrades!$H$6)*POWER(Upgrades!$I$6,E132)))*(IF(Upgrades!$T$7="Solar Wind",POWER(Upgrades!$U$7,F132),1)*IF(Upgrades!$T$8="Solar Wind",POWER(Upgrades!$U$8,G132),1)*IF(Upgrades!$T$9="Solar Wind",POWER(Upgrades!$U$9,H132),1)*IF(Upgrades!$T$10="Solar Wind",POWER(Upgrades!$U$10,I132),1)*IF(Upgrades!$T$11="Solar Wind",POWER(Upgrades!$U$11,J132),1)*IF(Upgrades!$T$12="Solar Wind",POWER(Upgrades!$U$12,K132),1))*POWER(Upgrades!$P$6,E132)*POWER(Upgrades!$P$7,F132)*POWER(Upgrades!$P$8,G132)*POWER(Upgrades!$P$9,H132)*POWER(Upgrades!$P$10,I132)*POWER(Upgrades!$P$11,J132)*POWER(Upgrades!$P$12,K132)*60</f>
        <v/>
      </c>
      <c r="AB132" s="27">
        <f>(IF(F132=0,0,(Upgrades!$G$7+F132*Upgrades!$H$7)*POWER(Upgrades!$I$7,F132)))*(IF(Upgrades!$T$6="Asteroid Belt",POWER(Upgrades!$U$6,E132),1)*IF(Upgrades!$T$8="Asteroid Belt",POWER(Upgrades!$U$8,G132),1)*IF(Upgrades!$T$9="Asteroid Belt",POWER(Upgrades!$U$9,H132),1)*IF(Upgrades!$T$10="Asteroid Belt",POWER(Upgrades!$U$10,I132),1)*IF(Upgrades!$T$11="Asteroid Belt",POWER(Upgrades!$U$11,J132),1)*IF(Upgrades!$T$12="Asteroid Belt",POWER(Upgrades!$U$12,K132),1))*POWER(Upgrades!$P$6,E132)*POWER(Upgrades!$P$7,F132)*POWER(Upgrades!$P$8,G132)*POWER(Upgrades!$P$9,H132)*POWER(Upgrades!$P$10,I132)*POWER(Upgrades!$P$11,J132)*POWER(Upgrades!$P$12,K132)*60</f>
        <v/>
      </c>
      <c r="AC132" s="27">
        <f>(IF(G132=0,0,(Upgrades!$J$8+G132*Upgrades!$K$8)*POWER(Upgrades!$L$8,G132)))*(IF(Upgrades!$T$6="Stellar Coupling",POWER(Upgrades!$U$6,E132),1)*IF(Upgrades!$T$7="Stellar Coupling",POWER(Upgrades!$U$7,F132),1)*IF(Upgrades!$T$9="Stellar Coupling",POWER(Upgrades!$U$9,H132),1)*IF(Upgrades!$T$10="Stellar Coupling",POWER(Upgrades!$U$10,I132),1)*IF(Upgrades!$T$11="Stellar Coupling",POWER(Upgrades!$U$11,J132),1)*IF(Upgrades!$T$12="Stellar Coupling",POWER(Upgrades!$U$12,K132),1))*POWER(Upgrades!$Q$6,E132)*POWER(Upgrades!$Q$7,F132)*POWER(Upgrades!$Q$8,G132)*POWER(Upgrades!$Q$9,H132)*POWER(Upgrades!$Q$10,I132)*POWER(Upgrades!$Q$11,J132)*POWER(Upgrades!$Q$12,K132)*Parameters!$B$10*Parameters!$B$11</f>
        <v/>
      </c>
      <c r="AD132" s="27">
        <f>(IF(H132=0,0,(Upgrades!$G$9+H132*Upgrades!$H$9)*POWER(Upgrades!$I$9,H132)))*(IF(Upgrades!$T$6="Magnetosphere",POWER(Upgrades!$U$6,E132),1)*IF(Upgrades!$T$7="Magnetosphere",POWER(Upgrades!$U$7,F132),1)*IF(Upgrades!$T$8="Magnetosphere",POWER(Upgrades!$U$8,G132),1)*IF(Upgrades!$T$10="Magnetosphere",POWER(Upgrades!$U$10,I132),1)*IF(Upgrades!$T$11="Magnetosphere",POWER(Upgrades!$U$11,J132),1)*IF(Upgrades!$T$12="Magnetosphere",POWER(Upgrades!$U$12,K132),1))*POWER(Upgrades!$P$6,E132)*POWER(Upgrades!$P$7,F132)*POWER(Upgrades!$P$8,G132)*POWER(Upgrades!$P$9,H132)*POWER(Upgrades!$P$10,I132)*POWER(Upgrades!$P$11,J132)*POWER(Upgrades!$P$12,K132)*60</f>
        <v/>
      </c>
      <c r="AE132" s="27">
        <f>(IF(K132=0,0,(Upgrades!$G$12+K132*Upgrades!$H$12)*POWER(Upgrades!$I$12,K132)))*(IF(Upgrades!$T$6="First Photons",POWER(Upgrades!$U$6,E132),1)*IF(Upgrades!$T$7="First Photons",POWER(Upgrades!$U$7,F132),1)*IF(Upgrades!$T$8="First Photons",POWER(Upgrades!$U$8,G132),1)*IF(Upgrades!$T$9="First Photons",POWER(Upgrades!$U$9,H132),1)*IF(Upgrades!$T$10="First Photons",POWER(Upgrades!$U$10,I132),1)*IF(Upgrades!$T$11="First Photons",POWER(Upgrades!$U$11,J132),1))*POWER(Upgrades!$P$6,E132)*POWER(Upgrades!$P$7,F132)*POWER(Upgrades!$P$8,G132)*POWER(Upgrades!$P$9,H132)*POWER(Upgrades!$P$10,I132)*POWER(Upgrades!$P$11,J132)*POWER(Upgrades!$P$12,K132)*60</f>
        <v/>
      </c>
      <c r="AF132" s="27">
        <f>Parameters!$B$9*POWER(Upgrades!$Q$6,E132)*POWER(Upgrades!$Q$7,F132)*POWER(Upgrades!$Q$8,G132)*POWER(Upgrades!$Q$9,H132)*POWER(Upgrades!$Q$10,I132)*POWER(Upgrades!$Q$11,J132)*POWER(Upgrades!$Q$12,K132)*(Parameters!$B$10*Parameters!$B$11+O132*60)</f>
        <v/>
      </c>
      <c r="AG132" s="22">
        <f>IF(E132&gt;=Upgrades!$E$6,"",Upgrades!$C$6*POWER(Upgrades!$D$6,E132))</f>
        <v/>
      </c>
      <c r="AH132" s="22">
        <f>IF(F132&gt;=Upgrades!$E$7,"",Upgrades!$C$7*POWER(Upgrades!$D$7,F132))</f>
        <v/>
      </c>
      <c r="AI132" s="22">
        <f>IF(G132&gt;=Upgrades!$E$8,"",Upgrades!$C$8*POWER(Upgrades!$D$8,G132))</f>
        <v/>
      </c>
      <c r="AJ132" s="22">
        <f>IF(H132&gt;=Upgrades!$E$9,"",Upgrades!$C$9*POWER(Upgrades!$D$9,H132))</f>
        <v/>
      </c>
      <c r="AK132" s="22">
        <f>IF(I132&gt;=Upgrades!$E$10,"",Upgrades!$C$10*POWER(Upgrades!$D$10,I132))</f>
        <v/>
      </c>
      <c r="AL132" s="22">
        <f>IF(J132&gt;=Upgrades!$E$11,"",Upgrades!$C$11*POWER(Upgrades!$D$11,J132))</f>
        <v/>
      </c>
      <c r="AM132" s="22">
        <f>IF(K132&gt;=Upgrades!$E$12,"",Upgrades!$C$12*POWER(Upgrades!$D$12,K132))</f>
        <v/>
      </c>
      <c r="AN132" s="26">
        <f>IF(AND(D132&gt;=Parameters!$B$18,(H132&gt;=Upgrades!$E$9)*(K132&gt;=Upgrades!$E$12)=1,L132=0),1,"")</f>
        <v/>
      </c>
      <c r="AO132" s="26">
        <f>IF(AND(D132&gt;=Parameters!$B$18,L132=0),1,"")</f>
        <v/>
      </c>
      <c r="AP132" s="22">
        <f>MIN(IF(ISNUMBER(AK132),AK132,9E15),IF(ISNUMBER(AL132),AL132,9E15),IF(ISNUMBER(AM132),AM132,9E15))</f>
        <v/>
      </c>
      <c r="AQ132" s="22">
        <f>MIN(IF(ISNUMBER(AG132),AG132,9E15),IF(ISNUMBER(AH132),AH132,9E15),IF(ISNUMBER(AI132),AI132,9E15),IF(ISNUMBER(AJ132),AJ132,9E15))</f>
        <v/>
      </c>
      <c r="AR132" s="29">
        <f>IF(AW132&gt;Parameters!$B$21*(MAX(IF(AND(NOT(AND(AO132=1,AN132&lt;&gt;1)),ISNUMBER(AG132),AG132&lt;=T132),AS132,0),IF(AND(NOT(AND(AO132=1,AN132&lt;&gt;1)),ISNUMBER(AH132),AH132&lt;=T132),AT132,0),IF(AND(NOT(AND(AO132=1,AN132&lt;&gt;1)),ISNUMBER(AI132),AI132&lt;=T132),AU132,0),IF(AND(ISNUMBER(AJ132),AJ132&lt;=T132),AV132,0))),TRUE,FALSE)</f>
        <v/>
      </c>
      <c r="AS132" s="32">
        <f>IFERROR(Upgrades!$H$6*(POWER(Upgrades!$P$6,E132)*POWER(Upgrades!$P$7,F132)*POWER(Upgrades!$P$8,G132)*POWER(Upgrades!$P$9,H132)*POWER(Upgrades!$P$10,I132)*POWER(Upgrades!$P$11,J132)*POWER(Upgrades!$P$12,K132))*(IF(Upgrades!$T$7="Solar Wind",POWER(Upgrades!$U$7,F132),1)*IF(Upgrades!$T$8="Solar Wind",POWER(Upgrades!$U$8,G132),1)*IF(Upgrades!$T$9="Solar Wind",POWER(Upgrades!$U$9,H132),1)*IF(Upgrades!$T$10="Solar Wind",POWER(Upgrades!$U$10,I132),1)*IF(Upgrades!$T$11="Solar Wind",POWER(Upgrades!$U$11,J132),1)*IF(Upgrades!$T$12="Solar Wind",POWER(Upgrades!$U$12,K132),1))/AG132,0)</f>
        <v/>
      </c>
      <c r="AT132" s="32">
        <f>IFERROR(Upgrades!$H$7*(POWER(Upgrades!$P$6,E132)*POWER(Upgrades!$P$7,F132)*POWER(Upgrades!$P$8,G132)*POWER(Upgrades!$P$9,H132)*POWER(Upgrades!$P$10,I132)*POWER(Upgrades!$P$11,J132)*POWER(Upgrades!$P$12,K132))*(IF(Upgrades!$T$6="Asteroid Belt",POWER(Upgrades!$U$6,E132),1)*IF(Upgrades!$T$8="Asteroid Belt",POWER(Upgrades!$U$8,G132),1)*IF(Upgrades!$T$9="Asteroid Belt",POWER(Upgrades!$U$9,H132),1)*IF(Upgrades!$T$10="Asteroid Belt",POWER(Upgrades!$U$10,I132),1)*IF(Upgrades!$T$11="Asteroid Belt",POWER(Upgrades!$U$11,J132),1)*IF(Upgrades!$T$12="Asteroid Belt",POWER(Upgrades!$U$12,K132),1))/AH132,0)</f>
        <v/>
      </c>
      <c r="AU132" s="32">
        <f>IFERROR(Upgrades!$K$8*(POWER(Upgrades!$Q$6,E132)*POWER(Upgrades!$Q$7,F132)*POWER(Upgrades!$Q$8,G132)*POWER(Upgrades!$Q$9,H132)*POWER(Upgrades!$Q$10,I132)*POWER(Upgrades!$Q$11,J132)*POWER(Upgrades!$Q$12,K132))*(IF(Upgrades!$T$6="Stellar Coupling",POWER(Upgrades!$U$6,E132),1)*IF(Upgrades!$T$7="Stellar Coupling",POWER(Upgrades!$U$7,F132),1)*IF(Upgrades!$T$9="Stellar Coupling",POWER(Upgrades!$U$9,H132),1)*IF(Upgrades!$T$10="Stellar Coupling",POWER(Upgrades!$U$10,I132),1)*IF(Upgrades!$T$11="Stellar Coupling",POWER(Upgrades!$U$11,J132),1)*IF(Upgrades!$T$12="Stellar Coupling",POWER(Upgrades!$U$12,K132),1))*Parameters!$B$10*Parameters!$B$11/60/AI132,0)</f>
        <v/>
      </c>
      <c r="AV132" s="32">
        <f>IFERROR(Upgrades!$H$9*(POWER(Upgrades!$P$6,E132)*POWER(Upgrades!$P$7,F132)*POWER(Upgrades!$P$8,G132)*POWER(Upgrades!$P$9,H132)*POWER(Upgrades!$P$10,I132)*POWER(Upgrades!$P$11,J132)*POWER(Upgrades!$P$12,K132))*(IF(Upgrades!$T$6="Magnetosphere",POWER(Upgrades!$U$6,E132),1)*IF(Upgrades!$T$7="Magnetosphere",POWER(Upgrades!$U$7,F132),1)*IF(Upgrades!$T$8="Magnetosphere",POWER(Upgrades!$U$8,G132),1)*IF(Upgrades!$T$10="Magnetosphere",POWER(Upgrades!$U$10,I132),1)*IF(Upgrades!$T$11="Magnetosphere",POWER(Upgrades!$U$11,J132),1)*IF(Upgrades!$T$12="Magnetosphere",POWER(Upgrades!$U$12,K132),1))/AJ132,0)</f>
        <v/>
      </c>
      <c r="AW132" s="32">
        <f>MAX(IF(I132&gt;0,0,IFERROR(0.25*N132/Upgrades!$C$10,0)),IF(J132&gt;0,0,IFERROR(0.5*((IF(G132=0,0,(Upgrades!$J$8+G132*Upgrades!$K$8)*POWER(Upgrades!$L$8,G132)))*(IF(Upgrades!$T$6="Stellar Coupling",POWER(Upgrades!$U$6,E132),1)*IF(Upgrades!$T$7="Stellar Coupling",POWER(Upgrades!$U$7,F132),1)*IF(Upgrades!$T$9="Stellar Coupling",POWER(Upgrades!$U$9,H132),1)*IF(Upgrades!$T$10="Stellar Coupling",POWER(Upgrades!$U$10,I132),1)*IF(Upgrades!$T$11="Stellar Coupling",POWER(Upgrades!$U$11,J132),1)*IF(Upgrades!$T$12="Stellar Coupling",POWER(Upgrades!$U$12,K132),1))*(POWER(Upgrades!$Q$6,E132)*POWER(Upgrades!$Q$7,F132)*POWER(Upgrades!$Q$8,G132)*POWER(Upgrades!$Q$9,H132)*POWER(Upgrades!$Q$10,I132)*POWER(Upgrades!$Q$11,J132)*POWER(Upgrades!$Q$12,K132))*Parameters!$B$10*Parameters!$B$11/60)/Upgrades!$C$11,0)),IF(K132&gt;0,0,IFERROR((1.0*(POWER(Upgrades!$P$6,E132)*POWER(Upgrades!$P$7,F132)*POWER(Upgrades!$P$8,G132)*POWER(Upgrades!$P$9,H132)*POWER(Upgrades!$P$10,I132)*POWER(Upgrades!$P$11,J132)*POWER(Upgrades!$P$12,K132))+0.20*M132*Parameters!$B$10*Parameters!$B$11/60)/Upgrades!$C$12,0)),IF(AND(ISNUMBER(AG132),AG132&gt;T132),AS132,0),IF(AND(ISNUMBER(AH132),AH132&gt;T132),AT132,0),IF(AND(ISNUMBER(AI132),AI132&gt;T132),AU132,0),IF(AND(ISNUMBER(AJ132),AJ132&gt;T132),AV132,0))</f>
        <v/>
      </c>
      <c r="AX132" s="29">
        <f>IF(AN132=1,"transition",IF(MIN(IF(AND(I132=0,ISNUMBER(AK132),AK132&lt;=T132),AK132,9E15),IF(AND(J132=0,ISNUMBER(AL132),AL132&lt;=T132),AL132,9E15),IF(AND(K132=0,ISNUMBER(AM132),AM132&lt;=T132),AM132,9E15))&lt;9E15,IF(AND(AND(I132=0,ISNUMBER(AK132),AK132&lt;=T132),AK132=MIN(IF(AND(I132=0,ISNUMBER(AK132),AK132&lt;=T132),AK132,9E15),IF(AND(J132=0,ISNUMBER(AL132),AL132&lt;=T132),AL132,9E15),IF(AND(K132=0,ISNUMBER(AM132),AM132&lt;=T132),AM132,9E15))),"OR",IF(AND(AND(J132=0,ISNUMBER(AL132),AL132&lt;=T132),AL132=MIN(IF(AND(I132=0,ISNUMBER(AK132),AK132&lt;=T132),AK132,9E15),IF(AND(J132=0,ISNUMBER(AL132),AL132&lt;=T132),AL132,9E15),IF(AND(K132=0,ISNUMBER(AM132),AM132&lt;=T132),AM132,9E15))),"HP","FP")),IF(AR132=TRUE,"",IF(MAX(IF(AND(NOT(AND(AO132=1,AN132&lt;&gt;1)),ISNUMBER(AG132),AG132&lt;=T132),AS132,0),IF(AND(NOT(AND(AO132=1,AN132&lt;&gt;1)),ISNUMBER(AH132),AH132&lt;=T132),AT132,0),IF(AND(NOT(AND(AO132=1,AN132&lt;&gt;1)),ISNUMBER(AI132),AI132&lt;=T132),AU132,0),IF(AND(ISNUMBER(AJ132),AJ132&lt;=T132),AV132,0))&lt;=0,"",IF(AND(IF(AND(NOT(AND(AO132=1,AN132&lt;&gt;1)),ISNUMBER(AG132),AG132&lt;=T132),AS132,0)&gt;0,IF(AND(NOT(AND(AO132=1,AN132&lt;&gt;1)),ISNUMBER(AG132),AG132&lt;=T132),AS132,0)=MAX(IF(AND(NOT(AND(AO132=1,AN132&lt;&gt;1)),ISNUMBER(AG132),AG132&lt;=T132),AS132,0),IF(AND(NOT(AND(AO132=1,AN132&lt;&gt;1)),ISNUMBER(AH132),AH132&lt;=T132),AT132,0),IF(AND(NOT(AND(AO132=1,AN132&lt;&gt;1)),ISNUMBER(AI132),AI132&lt;=T132),AU132,0),IF(AND(ISNUMBER(AJ132),AJ132&lt;=T132),AV132,0))),"SW",IF(AND(IF(AND(NOT(AND(AO132=1,AN132&lt;&gt;1)),ISNUMBER(AH132),AH132&lt;=T132),AT132,0)&gt;0,IF(AND(NOT(AND(AO132=1,AN132&lt;&gt;1)),ISNUMBER(AH132),AH132&lt;=T132),AT132,0)=MAX(IF(AND(NOT(AND(AO132=1,AN132&lt;&gt;1)),ISNUMBER(AG132),AG132&lt;=T132),AS132,0),IF(AND(NOT(AND(AO132=1,AN132&lt;&gt;1)),ISNUMBER(AH132),AH132&lt;=T132),AT132,0),IF(AND(NOT(AND(AO132=1,AN132&lt;&gt;1)),ISNUMBER(AI132),AI132&lt;=T132),AU132,0),IF(AND(ISNUMBER(AJ132),AJ132&lt;=T132),AV132,0))),"AB",IF(AND(IF(AND(NOT(AND(AO132=1,AN132&lt;&gt;1)),ISNUMBER(AI132),AI132&lt;=T132),AU132,0)&gt;0,IF(AND(NOT(AND(AO132=1,AN132&lt;&gt;1)),ISNUMBER(AI132),AI132&lt;=T132),AU132,0)=MAX(IF(AND(NOT(AND(AO132=1,AN132&lt;&gt;1)),ISNUMBER(AG132),AG132&lt;=T132),AS132,0),IF(AND(NOT(AND(AO132=1,AN132&lt;&gt;1)),ISNUMBER(AH132),AH132&lt;=T132),AT132,0),IF(AND(NOT(AND(AO132=1,AN132&lt;&gt;1)),ISNUMBER(AI132),AI132&lt;=T132),AU132,0),IF(AND(ISNUMBER(AJ132),AJ132&lt;=T132),AV132,0))),"SC","Mag")))))))</f>
        <v/>
      </c>
    </row>
    <row r="133">
      <c r="A133" s="26" t="n">
        <v>128</v>
      </c>
      <c r="B133" s="27">
        <f>A133*10/60</f>
        <v/>
      </c>
      <c r="C133" s="22">
        <f>X132</f>
        <v/>
      </c>
      <c r="D133" s="27">
        <f>D132+W132</f>
        <v/>
      </c>
      <c r="E133" s="26">
        <f>E132+IF(U132="SW",1,0)</f>
        <v/>
      </c>
      <c r="F133" s="26">
        <f>F132+IF(U132="AB",1,0)</f>
        <v/>
      </c>
      <c r="G133" s="26">
        <f>G132+IF(U132="SC",1,0)</f>
        <v/>
      </c>
      <c r="H133" s="26">
        <f>H132+IF(U132="Mag",1,0)</f>
        <v/>
      </c>
      <c r="I133" s="26">
        <f>MAX(I132,IF(U132="OR",1,0))</f>
        <v/>
      </c>
      <c r="J133" s="26">
        <f>MAX(J132,IF(U132="HP",1,0))</f>
        <v/>
      </c>
      <c r="K133" s="26">
        <f>MAX(K132,IF(U132="FP",1,0))</f>
        <v/>
      </c>
      <c r="L133" s="26">
        <f>MAX(L132,IF(U132="transition",1,0))</f>
        <v/>
      </c>
      <c r="M133" s="28">
        <f>(Parameters!$B$9+(IF(E133=0,0,(Upgrades!$J$6+E133*Upgrades!$K$6)*POWER(Upgrades!$L$6,E133)))*(IF(Upgrades!$T$7="Solar Wind",POWER(Upgrades!$U$7,F133),1)*IF(Upgrades!$T$8="Solar Wind",POWER(Upgrades!$U$8,G133),1)*IF(Upgrades!$T$9="Solar Wind",POWER(Upgrades!$U$9,H133),1)*IF(Upgrades!$T$10="Solar Wind",POWER(Upgrades!$U$10,I133),1)*IF(Upgrades!$T$11="Solar Wind",POWER(Upgrades!$U$11,J133),1)*IF(Upgrades!$T$12="Solar Wind",POWER(Upgrades!$U$12,K133),1))+(IF(F133=0,0,(Upgrades!$J$7+F133*Upgrades!$K$7)*POWER(Upgrades!$L$7,F133)))*(IF(Upgrades!$T$6="Asteroid Belt",POWER(Upgrades!$U$6,E133),1)*IF(Upgrades!$T$8="Asteroid Belt",POWER(Upgrades!$U$8,G133),1)*IF(Upgrades!$T$9="Asteroid Belt",POWER(Upgrades!$U$9,H133),1)*IF(Upgrades!$T$10="Asteroid Belt",POWER(Upgrades!$U$10,I133),1)*IF(Upgrades!$T$11="Asteroid Belt",POWER(Upgrades!$U$11,J133),1)*IF(Upgrades!$T$12="Asteroid Belt",POWER(Upgrades!$U$12,K133),1))+(IF(G133=0,0,(Upgrades!$J$8+G133*Upgrades!$K$8)*POWER(Upgrades!$L$8,G133)))*(IF(Upgrades!$T$6="Stellar Coupling",POWER(Upgrades!$U$6,E133),1)*IF(Upgrades!$T$7="Stellar Coupling",POWER(Upgrades!$U$7,F133),1)*IF(Upgrades!$T$9="Stellar Coupling",POWER(Upgrades!$U$9,H133),1)*IF(Upgrades!$T$10="Stellar Coupling",POWER(Upgrades!$U$10,I133),1)*IF(Upgrades!$T$11="Stellar Coupling",POWER(Upgrades!$U$11,J133),1)*IF(Upgrades!$T$12="Stellar Coupling",POWER(Upgrades!$U$12,K133),1))+(IF(H133=0,0,(Upgrades!$J$9+H133*Upgrades!$K$9)*POWER(Upgrades!$L$9,H133)))*(IF(Upgrades!$T$6="Magnetosphere",POWER(Upgrades!$U$6,E133),1)*IF(Upgrades!$T$7="Magnetosphere",POWER(Upgrades!$U$7,F133),1)*IF(Upgrades!$T$8="Magnetosphere",POWER(Upgrades!$U$8,G133),1)*IF(Upgrades!$T$10="Magnetosphere",POWER(Upgrades!$U$10,I133),1)*IF(Upgrades!$T$11="Magnetosphere",POWER(Upgrades!$U$11,J133),1)*IF(Upgrades!$T$12="Magnetosphere",POWER(Upgrades!$U$12,K133),1))+(IF(I133=0,0,(Upgrades!$J$10+I133*Upgrades!$K$10)*POWER(Upgrades!$L$10,I133)))*(IF(Upgrades!$T$6="Orbital Resonance",POWER(Upgrades!$U$6,E133),1)*IF(Upgrades!$T$7="Orbital Resonance",POWER(Upgrades!$U$7,F133),1)*IF(Upgrades!$T$8="Orbital Resonance",POWER(Upgrades!$U$8,G133),1)*IF(Upgrades!$T$9="Orbital Resonance",POWER(Upgrades!$U$9,H133),1)*IF(Upgrades!$T$11="Orbital Resonance",POWER(Upgrades!$U$11,J133),1)*IF(Upgrades!$T$12="Orbital Resonance",POWER(Upgrades!$U$12,K133),1))+(IF(J133=0,0,(Upgrades!$J$11+J133*Upgrades!$K$11)*POWER(Upgrades!$L$11,J133)))*(IF(Upgrades!$T$6="Heliopause",POWER(Upgrades!$U$6,E133),1)*IF(Upgrades!$T$7="Heliopause",POWER(Upgrades!$U$7,F133),1)*IF(Upgrades!$T$8="Heliopause",POWER(Upgrades!$U$8,G133),1)*IF(Upgrades!$T$9="Heliopause",POWER(Upgrades!$U$9,H133),1)*IF(Upgrades!$T$10="Heliopause",POWER(Upgrades!$U$10,I133),1)*IF(Upgrades!$T$12="Heliopause",POWER(Upgrades!$U$12,K133),1))+(IF(K133=0,0,(Upgrades!$J$12+K133*Upgrades!$K$12)*POWER(Upgrades!$L$12,K133)))*(IF(Upgrades!$T$6="First Photons",POWER(Upgrades!$U$6,E133),1)*IF(Upgrades!$T$7="First Photons",POWER(Upgrades!$U$7,F133),1)*IF(Upgrades!$T$8="First Photons",POWER(Upgrades!$U$8,G133),1)*IF(Upgrades!$T$9="First Photons",POWER(Upgrades!$U$9,H133),1)*IF(Upgrades!$T$10="First Photons",POWER(Upgrades!$U$10,I133),1)*IF(Upgrades!$T$11="First Photons",POWER(Upgrades!$U$11,J133),1)))*POWER(Upgrades!$Q$6,E133)*POWER(Upgrades!$Q$7,F133)*POWER(Upgrades!$Q$8,G133)*POWER(Upgrades!$Q$9,H133)*POWER(Upgrades!$Q$10,I133)*POWER(Upgrades!$Q$11,J133)*POWER(Upgrades!$Q$12,K133)</f>
        <v/>
      </c>
      <c r="N133" s="28">
        <f>((IF(E133=0,0,(Upgrades!$G$6+E133*Upgrades!$H$6)*POWER(Upgrades!$I$6,E133)))*(IF(Upgrades!$T$7="Solar Wind",POWER(Upgrades!$U$7,F133),1)*IF(Upgrades!$T$8="Solar Wind",POWER(Upgrades!$U$8,G133),1)*IF(Upgrades!$T$9="Solar Wind",POWER(Upgrades!$U$9,H133),1)*IF(Upgrades!$T$10="Solar Wind",POWER(Upgrades!$U$10,I133),1)*IF(Upgrades!$T$11="Solar Wind",POWER(Upgrades!$U$11,J133),1)*IF(Upgrades!$T$12="Solar Wind",POWER(Upgrades!$U$12,K133),1))+(IF(F133=0,0,(Upgrades!$G$7+F133*Upgrades!$H$7)*POWER(Upgrades!$I$7,F133)))*(IF(Upgrades!$T$6="Asteroid Belt",POWER(Upgrades!$U$6,E133),1)*IF(Upgrades!$T$8="Asteroid Belt",POWER(Upgrades!$U$8,G133),1)*IF(Upgrades!$T$9="Asteroid Belt",POWER(Upgrades!$U$9,H133),1)*IF(Upgrades!$T$10="Asteroid Belt",POWER(Upgrades!$U$10,I133),1)*IF(Upgrades!$T$11="Asteroid Belt",POWER(Upgrades!$U$11,J133),1)*IF(Upgrades!$T$12="Asteroid Belt",POWER(Upgrades!$U$12,K133),1))+(IF(G133=0,0,(Upgrades!$G$8+G133*Upgrades!$H$8)*POWER(Upgrades!$I$8,G133)))*(IF(Upgrades!$T$6="Stellar Coupling",POWER(Upgrades!$U$6,E133),1)*IF(Upgrades!$T$7="Stellar Coupling",POWER(Upgrades!$U$7,F133),1)*IF(Upgrades!$T$9="Stellar Coupling",POWER(Upgrades!$U$9,H133),1)*IF(Upgrades!$T$10="Stellar Coupling",POWER(Upgrades!$U$10,I133),1)*IF(Upgrades!$T$11="Stellar Coupling",POWER(Upgrades!$U$11,J133),1)*IF(Upgrades!$T$12="Stellar Coupling",POWER(Upgrades!$U$12,K133),1))+(IF(H133=0,0,(Upgrades!$G$9+H133*Upgrades!$H$9)*POWER(Upgrades!$I$9,H133)))*(IF(Upgrades!$T$6="Magnetosphere",POWER(Upgrades!$U$6,E133),1)*IF(Upgrades!$T$7="Magnetosphere",POWER(Upgrades!$U$7,F133),1)*IF(Upgrades!$T$8="Magnetosphere",POWER(Upgrades!$U$8,G133),1)*IF(Upgrades!$T$10="Magnetosphere",POWER(Upgrades!$U$10,I133),1)*IF(Upgrades!$T$11="Magnetosphere",POWER(Upgrades!$U$11,J133),1)*IF(Upgrades!$T$12="Magnetosphere",POWER(Upgrades!$U$12,K133),1))+(IF(I133=0,0,(Upgrades!$G$10+I133*Upgrades!$H$10)*POWER(Upgrades!$I$10,I133)))*(IF(Upgrades!$T$6="Orbital Resonance",POWER(Upgrades!$U$6,E133),1)*IF(Upgrades!$T$7="Orbital Resonance",POWER(Upgrades!$U$7,F133),1)*IF(Upgrades!$T$8="Orbital Resonance",POWER(Upgrades!$U$8,G133),1)*IF(Upgrades!$T$9="Orbital Resonance",POWER(Upgrades!$U$9,H133),1)*IF(Upgrades!$T$11="Orbital Resonance",POWER(Upgrades!$U$11,J133),1)*IF(Upgrades!$T$12="Orbital Resonance",POWER(Upgrades!$U$12,K133),1))+(IF(J133=0,0,(Upgrades!$G$11+J133*Upgrades!$H$11)*POWER(Upgrades!$I$11,J133)))*(IF(Upgrades!$T$6="Heliopause",POWER(Upgrades!$U$6,E133),1)*IF(Upgrades!$T$7="Heliopause",POWER(Upgrades!$U$7,F133),1)*IF(Upgrades!$T$8="Heliopause",POWER(Upgrades!$U$8,G133),1)*IF(Upgrades!$T$9="Heliopause",POWER(Upgrades!$U$9,H133),1)*IF(Upgrades!$T$10="Heliopause",POWER(Upgrades!$U$10,I133),1)*IF(Upgrades!$T$12="Heliopause",POWER(Upgrades!$U$12,K133),1))+(IF(K133=0,0,(Upgrades!$G$12+K133*Upgrades!$H$12)*POWER(Upgrades!$I$12,K133)))*(IF(Upgrades!$T$6="First Photons",POWER(Upgrades!$U$6,E133),1)*IF(Upgrades!$T$7="First Photons",POWER(Upgrades!$U$7,F133),1)*IF(Upgrades!$T$8="First Photons",POWER(Upgrades!$U$8,G133),1)*IF(Upgrades!$T$9="First Photons",POWER(Upgrades!$U$9,H133),1)*IF(Upgrades!$T$10="First Photons",POWER(Upgrades!$U$10,I133),1)*IF(Upgrades!$T$11="First Photons",POWER(Upgrades!$U$11,J133),1)))*POWER(Upgrades!$P$6,E133)*POWER(Upgrades!$P$7,F133)*POWER(Upgrades!$P$8,G133)*POWER(Upgrades!$P$9,H133)*POWER(Upgrades!$P$10,I133)*POWER(Upgrades!$P$11,J133)*POWER(Upgrades!$P$12,K133)</f>
        <v/>
      </c>
      <c r="O133" s="28">
        <f>((IF(E133=0,0,(Upgrades!$M$6+E133*Upgrades!$N$6)*POWER(Upgrades!$O$6,E133)))*(IF(Upgrades!$T$7="Solar Wind",POWER(Upgrades!$U$7,F133),1)*IF(Upgrades!$T$8="Solar Wind",POWER(Upgrades!$U$8,G133),1)*IF(Upgrades!$T$9="Solar Wind",POWER(Upgrades!$U$9,H133),1)*IF(Upgrades!$T$10="Solar Wind",POWER(Upgrades!$U$10,I133),1)*IF(Upgrades!$T$11="Solar Wind",POWER(Upgrades!$U$11,J133),1)*IF(Upgrades!$T$12="Solar Wind",POWER(Upgrades!$U$12,K133),1))+(IF(F133=0,0,(Upgrades!$M$7+F133*Upgrades!$N$7)*POWER(Upgrades!$O$7,F133)))*(IF(Upgrades!$T$6="Asteroid Belt",POWER(Upgrades!$U$6,E133),1)*IF(Upgrades!$T$8="Asteroid Belt",POWER(Upgrades!$U$8,G133),1)*IF(Upgrades!$T$9="Asteroid Belt",POWER(Upgrades!$U$9,H133),1)*IF(Upgrades!$T$10="Asteroid Belt",POWER(Upgrades!$U$10,I133),1)*IF(Upgrades!$T$11="Asteroid Belt",POWER(Upgrades!$U$11,J133),1)*IF(Upgrades!$T$12="Asteroid Belt",POWER(Upgrades!$U$12,K133),1))+(IF(G133=0,0,(Upgrades!$M$8+G133*Upgrades!$N$8)*POWER(Upgrades!$O$8,G133)))*(IF(Upgrades!$T$6="Stellar Coupling",POWER(Upgrades!$U$6,E133),1)*IF(Upgrades!$T$7="Stellar Coupling",POWER(Upgrades!$U$7,F133),1)*IF(Upgrades!$T$9="Stellar Coupling",POWER(Upgrades!$U$9,H133),1)*IF(Upgrades!$T$10="Stellar Coupling",POWER(Upgrades!$U$10,I133),1)*IF(Upgrades!$T$11="Stellar Coupling",POWER(Upgrades!$U$11,J133),1)*IF(Upgrades!$T$12="Stellar Coupling",POWER(Upgrades!$U$12,K133),1))+(IF(H133=0,0,(Upgrades!$M$9+H133*Upgrades!$N$9)*POWER(Upgrades!$O$9,H133)))*(IF(Upgrades!$T$6="Magnetosphere",POWER(Upgrades!$U$6,E133),1)*IF(Upgrades!$T$7="Magnetosphere",POWER(Upgrades!$U$7,F133),1)*IF(Upgrades!$T$8="Magnetosphere",POWER(Upgrades!$U$8,G133),1)*IF(Upgrades!$T$10="Magnetosphere",POWER(Upgrades!$U$10,I133),1)*IF(Upgrades!$T$11="Magnetosphere",POWER(Upgrades!$U$11,J133),1)*IF(Upgrades!$T$12="Magnetosphere",POWER(Upgrades!$U$12,K133),1))+(IF(I133=0,0,(Upgrades!$M$10+I133*Upgrades!$N$10)*POWER(Upgrades!$O$10,I133)))*(IF(Upgrades!$T$6="Orbital Resonance",POWER(Upgrades!$U$6,E133),1)*IF(Upgrades!$T$7="Orbital Resonance",POWER(Upgrades!$U$7,F133),1)*IF(Upgrades!$T$8="Orbital Resonance",POWER(Upgrades!$U$8,G133),1)*IF(Upgrades!$T$9="Orbital Resonance",POWER(Upgrades!$U$9,H133),1)*IF(Upgrades!$T$11="Orbital Resonance",POWER(Upgrades!$U$11,J133),1)*IF(Upgrades!$T$12="Orbital Resonance",POWER(Upgrades!$U$12,K133),1))+(IF(J133=0,0,(Upgrades!$M$11+J133*Upgrades!$N$11)*POWER(Upgrades!$O$11,J133)))*(IF(Upgrades!$T$6="Heliopause",POWER(Upgrades!$U$6,E133),1)*IF(Upgrades!$T$7="Heliopause",POWER(Upgrades!$U$7,F133),1)*IF(Upgrades!$T$8="Heliopause",POWER(Upgrades!$U$8,G133),1)*IF(Upgrades!$T$9="Heliopause",POWER(Upgrades!$U$9,H133),1)*IF(Upgrades!$T$10="Heliopause",POWER(Upgrades!$U$10,I133),1)*IF(Upgrades!$T$12="Heliopause",POWER(Upgrades!$U$12,K133),1))+(IF(K133=0,0,(Upgrades!$M$12+K133*Upgrades!$N$12)*POWER(Upgrades!$O$12,K133)))*(IF(Upgrades!$T$6="First Photons",POWER(Upgrades!$U$6,E133),1)*IF(Upgrades!$T$7="First Photons",POWER(Upgrades!$U$7,F133),1)*IF(Upgrades!$T$8="First Photons",POWER(Upgrades!$U$8,G133),1)*IF(Upgrades!$T$9="First Photons",POWER(Upgrades!$U$9,H133),1)*IF(Upgrades!$T$10="First Photons",POWER(Upgrades!$U$10,I133),1)*IF(Upgrades!$T$11="First Photons",POWER(Upgrades!$U$11,J133),1)))*POWER(Upgrades!$R$6,E133)*POWER(Upgrades!$R$7,F133)*POWER(Upgrades!$R$8,G133)*POWER(Upgrades!$R$9,H133)*POWER(Upgrades!$R$10,I133)*POWER(Upgrades!$R$11,J133)*POWER(Upgrades!$R$12,K133)</f>
        <v/>
      </c>
      <c r="P133" s="27">
        <f>IF(L133=1,0,M133*Parameters!$B$10/60*Parameters!$B$11*10)</f>
        <v/>
      </c>
      <c r="Q133" s="27">
        <f>IF(L133=1,0,O133*M133*10)</f>
        <v/>
      </c>
      <c r="R133" s="27">
        <f>IF(L133=1,0,N133*10)</f>
        <v/>
      </c>
      <c r="S133" s="27">
        <f>P133+Q133+R133</f>
        <v/>
      </c>
      <c r="T133" s="22">
        <f>C133+S133</f>
        <v/>
      </c>
      <c r="U133" s="33">
        <f>AX133</f>
        <v/>
      </c>
      <c r="V133" s="22">
        <f>IF(U133="",0,IF(U133="transition",0,IF(U133="SW",AG133,IF(U133="AB",AH133,IF(U133="SC",AI133,IF(U133="Mag",AJ133,IF(U133="OR",AK133,IF(U133="HP",AL133,IF(U133="FP",AM133,0)))))))))</f>
        <v/>
      </c>
      <c r="W133" s="27">
        <f>IF(U133="OR",Upgrades!$F$10,IF(U133="HP",Upgrades!$F$11,IF(U133="transition",-Parameters!$B$18,0)))</f>
        <v/>
      </c>
      <c r="X133" s="22">
        <f>T133-V133</f>
        <v/>
      </c>
      <c r="Y133" s="30">
        <f>M133*Parameters!$B$10/60*Parameters!$B$11+O133*M133+N133</f>
        <v/>
      </c>
      <c r="Z133" s="34">
        <f>IF(U133="transition","→ Tier 2 (Stellar Neighborhood)",IF(U133="FP","First Photons — light begins, system quickens",IF(U133="HP","Heliopause acquired",IF(U133="OR","Orbital Resonance — passive multiplier active",IF(AND(AO133=1,L133=0,AN133&lt;&gt;1),"Cohesion ready (waiting on completionist upgrades)","")))))</f>
        <v/>
      </c>
      <c r="AA133" s="27">
        <f>(IF(E133=0,0,(Upgrades!$G$6+E133*Upgrades!$H$6)*POWER(Upgrades!$I$6,E133)))*(IF(Upgrades!$T$7="Solar Wind",POWER(Upgrades!$U$7,F133),1)*IF(Upgrades!$T$8="Solar Wind",POWER(Upgrades!$U$8,G133),1)*IF(Upgrades!$T$9="Solar Wind",POWER(Upgrades!$U$9,H133),1)*IF(Upgrades!$T$10="Solar Wind",POWER(Upgrades!$U$10,I133),1)*IF(Upgrades!$T$11="Solar Wind",POWER(Upgrades!$U$11,J133),1)*IF(Upgrades!$T$12="Solar Wind",POWER(Upgrades!$U$12,K133),1))*POWER(Upgrades!$P$6,E133)*POWER(Upgrades!$P$7,F133)*POWER(Upgrades!$P$8,G133)*POWER(Upgrades!$P$9,H133)*POWER(Upgrades!$P$10,I133)*POWER(Upgrades!$P$11,J133)*POWER(Upgrades!$P$12,K133)*60</f>
        <v/>
      </c>
      <c r="AB133" s="27">
        <f>(IF(F133=0,0,(Upgrades!$G$7+F133*Upgrades!$H$7)*POWER(Upgrades!$I$7,F133)))*(IF(Upgrades!$T$6="Asteroid Belt",POWER(Upgrades!$U$6,E133),1)*IF(Upgrades!$T$8="Asteroid Belt",POWER(Upgrades!$U$8,G133),1)*IF(Upgrades!$T$9="Asteroid Belt",POWER(Upgrades!$U$9,H133),1)*IF(Upgrades!$T$10="Asteroid Belt",POWER(Upgrades!$U$10,I133),1)*IF(Upgrades!$T$11="Asteroid Belt",POWER(Upgrades!$U$11,J133),1)*IF(Upgrades!$T$12="Asteroid Belt",POWER(Upgrades!$U$12,K133),1))*POWER(Upgrades!$P$6,E133)*POWER(Upgrades!$P$7,F133)*POWER(Upgrades!$P$8,G133)*POWER(Upgrades!$P$9,H133)*POWER(Upgrades!$P$10,I133)*POWER(Upgrades!$P$11,J133)*POWER(Upgrades!$P$12,K133)*60</f>
        <v/>
      </c>
      <c r="AC133" s="27">
        <f>(IF(G133=0,0,(Upgrades!$J$8+G133*Upgrades!$K$8)*POWER(Upgrades!$L$8,G133)))*(IF(Upgrades!$T$6="Stellar Coupling",POWER(Upgrades!$U$6,E133),1)*IF(Upgrades!$T$7="Stellar Coupling",POWER(Upgrades!$U$7,F133),1)*IF(Upgrades!$T$9="Stellar Coupling",POWER(Upgrades!$U$9,H133),1)*IF(Upgrades!$T$10="Stellar Coupling",POWER(Upgrades!$U$10,I133),1)*IF(Upgrades!$T$11="Stellar Coupling",POWER(Upgrades!$U$11,J133),1)*IF(Upgrades!$T$12="Stellar Coupling",POWER(Upgrades!$U$12,K133),1))*POWER(Upgrades!$Q$6,E133)*POWER(Upgrades!$Q$7,F133)*POWER(Upgrades!$Q$8,G133)*POWER(Upgrades!$Q$9,H133)*POWER(Upgrades!$Q$10,I133)*POWER(Upgrades!$Q$11,J133)*POWER(Upgrades!$Q$12,K133)*Parameters!$B$10*Parameters!$B$11</f>
        <v/>
      </c>
      <c r="AD133" s="27">
        <f>(IF(H133=0,0,(Upgrades!$G$9+H133*Upgrades!$H$9)*POWER(Upgrades!$I$9,H133)))*(IF(Upgrades!$T$6="Magnetosphere",POWER(Upgrades!$U$6,E133),1)*IF(Upgrades!$T$7="Magnetosphere",POWER(Upgrades!$U$7,F133),1)*IF(Upgrades!$T$8="Magnetosphere",POWER(Upgrades!$U$8,G133),1)*IF(Upgrades!$T$10="Magnetosphere",POWER(Upgrades!$U$10,I133),1)*IF(Upgrades!$T$11="Magnetosphere",POWER(Upgrades!$U$11,J133),1)*IF(Upgrades!$T$12="Magnetosphere",POWER(Upgrades!$U$12,K133),1))*POWER(Upgrades!$P$6,E133)*POWER(Upgrades!$P$7,F133)*POWER(Upgrades!$P$8,G133)*POWER(Upgrades!$P$9,H133)*POWER(Upgrades!$P$10,I133)*POWER(Upgrades!$P$11,J133)*POWER(Upgrades!$P$12,K133)*60</f>
        <v/>
      </c>
      <c r="AE133" s="27">
        <f>(IF(K133=0,0,(Upgrades!$G$12+K133*Upgrades!$H$12)*POWER(Upgrades!$I$12,K133)))*(IF(Upgrades!$T$6="First Photons",POWER(Upgrades!$U$6,E133),1)*IF(Upgrades!$T$7="First Photons",POWER(Upgrades!$U$7,F133),1)*IF(Upgrades!$T$8="First Photons",POWER(Upgrades!$U$8,G133),1)*IF(Upgrades!$T$9="First Photons",POWER(Upgrades!$U$9,H133),1)*IF(Upgrades!$T$10="First Photons",POWER(Upgrades!$U$10,I133),1)*IF(Upgrades!$T$11="First Photons",POWER(Upgrades!$U$11,J133),1))*POWER(Upgrades!$P$6,E133)*POWER(Upgrades!$P$7,F133)*POWER(Upgrades!$P$8,G133)*POWER(Upgrades!$P$9,H133)*POWER(Upgrades!$P$10,I133)*POWER(Upgrades!$P$11,J133)*POWER(Upgrades!$P$12,K133)*60</f>
        <v/>
      </c>
      <c r="AF133" s="27">
        <f>Parameters!$B$9*POWER(Upgrades!$Q$6,E133)*POWER(Upgrades!$Q$7,F133)*POWER(Upgrades!$Q$8,G133)*POWER(Upgrades!$Q$9,H133)*POWER(Upgrades!$Q$10,I133)*POWER(Upgrades!$Q$11,J133)*POWER(Upgrades!$Q$12,K133)*(Parameters!$B$10*Parameters!$B$11+O133*60)</f>
        <v/>
      </c>
      <c r="AG133" s="22">
        <f>IF(E133&gt;=Upgrades!$E$6,"",Upgrades!$C$6*POWER(Upgrades!$D$6,E133))</f>
        <v/>
      </c>
      <c r="AH133" s="22">
        <f>IF(F133&gt;=Upgrades!$E$7,"",Upgrades!$C$7*POWER(Upgrades!$D$7,F133))</f>
        <v/>
      </c>
      <c r="AI133" s="22">
        <f>IF(G133&gt;=Upgrades!$E$8,"",Upgrades!$C$8*POWER(Upgrades!$D$8,G133))</f>
        <v/>
      </c>
      <c r="AJ133" s="22">
        <f>IF(H133&gt;=Upgrades!$E$9,"",Upgrades!$C$9*POWER(Upgrades!$D$9,H133))</f>
        <v/>
      </c>
      <c r="AK133" s="22">
        <f>IF(I133&gt;=Upgrades!$E$10,"",Upgrades!$C$10*POWER(Upgrades!$D$10,I133))</f>
        <v/>
      </c>
      <c r="AL133" s="22">
        <f>IF(J133&gt;=Upgrades!$E$11,"",Upgrades!$C$11*POWER(Upgrades!$D$11,J133))</f>
        <v/>
      </c>
      <c r="AM133" s="22">
        <f>IF(K133&gt;=Upgrades!$E$12,"",Upgrades!$C$12*POWER(Upgrades!$D$12,K133))</f>
        <v/>
      </c>
      <c r="AN133" s="26">
        <f>IF(AND(D133&gt;=Parameters!$B$18,(H133&gt;=Upgrades!$E$9)*(K133&gt;=Upgrades!$E$12)=1,L133=0),1,"")</f>
        <v/>
      </c>
      <c r="AO133" s="26">
        <f>IF(AND(D133&gt;=Parameters!$B$18,L133=0),1,"")</f>
        <v/>
      </c>
      <c r="AP133" s="22">
        <f>MIN(IF(ISNUMBER(AK133),AK133,9E15),IF(ISNUMBER(AL133),AL133,9E15),IF(ISNUMBER(AM133),AM133,9E15))</f>
        <v/>
      </c>
      <c r="AQ133" s="22">
        <f>MIN(IF(ISNUMBER(AG133),AG133,9E15),IF(ISNUMBER(AH133),AH133,9E15),IF(ISNUMBER(AI133),AI133,9E15),IF(ISNUMBER(AJ133),AJ133,9E15))</f>
        <v/>
      </c>
      <c r="AR133" s="29">
        <f>IF(AW133&gt;Parameters!$B$21*(MAX(IF(AND(NOT(AND(AO133=1,AN133&lt;&gt;1)),ISNUMBER(AG133),AG133&lt;=T133),AS133,0),IF(AND(NOT(AND(AO133=1,AN133&lt;&gt;1)),ISNUMBER(AH133),AH133&lt;=T133),AT133,0),IF(AND(NOT(AND(AO133=1,AN133&lt;&gt;1)),ISNUMBER(AI133),AI133&lt;=T133),AU133,0),IF(AND(ISNUMBER(AJ133),AJ133&lt;=T133),AV133,0))),TRUE,FALSE)</f>
        <v/>
      </c>
      <c r="AS133" s="32">
        <f>IFERROR(Upgrades!$H$6*(POWER(Upgrades!$P$6,E133)*POWER(Upgrades!$P$7,F133)*POWER(Upgrades!$P$8,G133)*POWER(Upgrades!$P$9,H133)*POWER(Upgrades!$P$10,I133)*POWER(Upgrades!$P$11,J133)*POWER(Upgrades!$P$12,K133))*(IF(Upgrades!$T$7="Solar Wind",POWER(Upgrades!$U$7,F133),1)*IF(Upgrades!$T$8="Solar Wind",POWER(Upgrades!$U$8,G133),1)*IF(Upgrades!$T$9="Solar Wind",POWER(Upgrades!$U$9,H133),1)*IF(Upgrades!$T$10="Solar Wind",POWER(Upgrades!$U$10,I133),1)*IF(Upgrades!$T$11="Solar Wind",POWER(Upgrades!$U$11,J133),1)*IF(Upgrades!$T$12="Solar Wind",POWER(Upgrades!$U$12,K133),1))/AG133,0)</f>
        <v/>
      </c>
      <c r="AT133" s="32">
        <f>IFERROR(Upgrades!$H$7*(POWER(Upgrades!$P$6,E133)*POWER(Upgrades!$P$7,F133)*POWER(Upgrades!$P$8,G133)*POWER(Upgrades!$P$9,H133)*POWER(Upgrades!$P$10,I133)*POWER(Upgrades!$P$11,J133)*POWER(Upgrades!$P$12,K133))*(IF(Upgrades!$T$6="Asteroid Belt",POWER(Upgrades!$U$6,E133),1)*IF(Upgrades!$T$8="Asteroid Belt",POWER(Upgrades!$U$8,G133),1)*IF(Upgrades!$T$9="Asteroid Belt",POWER(Upgrades!$U$9,H133),1)*IF(Upgrades!$T$10="Asteroid Belt",POWER(Upgrades!$U$10,I133),1)*IF(Upgrades!$T$11="Asteroid Belt",POWER(Upgrades!$U$11,J133),1)*IF(Upgrades!$T$12="Asteroid Belt",POWER(Upgrades!$U$12,K133),1))/AH133,0)</f>
        <v/>
      </c>
      <c r="AU133" s="32">
        <f>IFERROR(Upgrades!$K$8*(POWER(Upgrades!$Q$6,E133)*POWER(Upgrades!$Q$7,F133)*POWER(Upgrades!$Q$8,G133)*POWER(Upgrades!$Q$9,H133)*POWER(Upgrades!$Q$10,I133)*POWER(Upgrades!$Q$11,J133)*POWER(Upgrades!$Q$12,K133))*(IF(Upgrades!$T$6="Stellar Coupling",POWER(Upgrades!$U$6,E133),1)*IF(Upgrades!$T$7="Stellar Coupling",POWER(Upgrades!$U$7,F133),1)*IF(Upgrades!$T$9="Stellar Coupling",POWER(Upgrades!$U$9,H133),1)*IF(Upgrades!$T$10="Stellar Coupling",POWER(Upgrades!$U$10,I133),1)*IF(Upgrades!$T$11="Stellar Coupling",POWER(Upgrades!$U$11,J133),1)*IF(Upgrades!$T$12="Stellar Coupling",POWER(Upgrades!$U$12,K133),1))*Parameters!$B$10*Parameters!$B$11/60/AI133,0)</f>
        <v/>
      </c>
      <c r="AV133" s="32">
        <f>IFERROR(Upgrades!$H$9*(POWER(Upgrades!$P$6,E133)*POWER(Upgrades!$P$7,F133)*POWER(Upgrades!$P$8,G133)*POWER(Upgrades!$P$9,H133)*POWER(Upgrades!$P$10,I133)*POWER(Upgrades!$P$11,J133)*POWER(Upgrades!$P$12,K133))*(IF(Upgrades!$T$6="Magnetosphere",POWER(Upgrades!$U$6,E133),1)*IF(Upgrades!$T$7="Magnetosphere",POWER(Upgrades!$U$7,F133),1)*IF(Upgrades!$T$8="Magnetosphere",POWER(Upgrades!$U$8,G133),1)*IF(Upgrades!$T$10="Magnetosphere",POWER(Upgrades!$U$10,I133),1)*IF(Upgrades!$T$11="Magnetosphere",POWER(Upgrades!$U$11,J133),1)*IF(Upgrades!$T$12="Magnetosphere",POWER(Upgrades!$U$12,K133),1))/AJ133,0)</f>
        <v/>
      </c>
      <c r="AW133" s="32">
        <f>MAX(IF(I133&gt;0,0,IFERROR(0.25*N133/Upgrades!$C$10,0)),IF(J133&gt;0,0,IFERROR(0.5*((IF(G133=0,0,(Upgrades!$J$8+G133*Upgrades!$K$8)*POWER(Upgrades!$L$8,G133)))*(IF(Upgrades!$T$6="Stellar Coupling",POWER(Upgrades!$U$6,E133),1)*IF(Upgrades!$T$7="Stellar Coupling",POWER(Upgrades!$U$7,F133),1)*IF(Upgrades!$T$9="Stellar Coupling",POWER(Upgrades!$U$9,H133),1)*IF(Upgrades!$T$10="Stellar Coupling",POWER(Upgrades!$U$10,I133),1)*IF(Upgrades!$T$11="Stellar Coupling",POWER(Upgrades!$U$11,J133),1)*IF(Upgrades!$T$12="Stellar Coupling",POWER(Upgrades!$U$12,K133),1))*(POWER(Upgrades!$Q$6,E133)*POWER(Upgrades!$Q$7,F133)*POWER(Upgrades!$Q$8,G133)*POWER(Upgrades!$Q$9,H133)*POWER(Upgrades!$Q$10,I133)*POWER(Upgrades!$Q$11,J133)*POWER(Upgrades!$Q$12,K133))*Parameters!$B$10*Parameters!$B$11/60)/Upgrades!$C$11,0)),IF(K133&gt;0,0,IFERROR((1.0*(POWER(Upgrades!$P$6,E133)*POWER(Upgrades!$P$7,F133)*POWER(Upgrades!$P$8,G133)*POWER(Upgrades!$P$9,H133)*POWER(Upgrades!$P$10,I133)*POWER(Upgrades!$P$11,J133)*POWER(Upgrades!$P$12,K133))+0.20*M133*Parameters!$B$10*Parameters!$B$11/60)/Upgrades!$C$12,0)),IF(AND(ISNUMBER(AG133),AG133&gt;T133),AS133,0),IF(AND(ISNUMBER(AH133),AH133&gt;T133),AT133,0),IF(AND(ISNUMBER(AI133),AI133&gt;T133),AU133,0),IF(AND(ISNUMBER(AJ133),AJ133&gt;T133),AV133,0))</f>
        <v/>
      </c>
      <c r="AX133" s="29">
        <f>IF(AN133=1,"transition",IF(MIN(IF(AND(I133=0,ISNUMBER(AK133),AK133&lt;=T133),AK133,9E15),IF(AND(J133=0,ISNUMBER(AL133),AL133&lt;=T133),AL133,9E15),IF(AND(K133=0,ISNUMBER(AM133),AM133&lt;=T133),AM133,9E15))&lt;9E15,IF(AND(AND(I133=0,ISNUMBER(AK133),AK133&lt;=T133),AK133=MIN(IF(AND(I133=0,ISNUMBER(AK133),AK133&lt;=T133),AK133,9E15),IF(AND(J133=0,ISNUMBER(AL133),AL133&lt;=T133),AL133,9E15),IF(AND(K133=0,ISNUMBER(AM133),AM133&lt;=T133),AM133,9E15))),"OR",IF(AND(AND(J133=0,ISNUMBER(AL133),AL133&lt;=T133),AL133=MIN(IF(AND(I133=0,ISNUMBER(AK133),AK133&lt;=T133),AK133,9E15),IF(AND(J133=0,ISNUMBER(AL133),AL133&lt;=T133),AL133,9E15),IF(AND(K133=0,ISNUMBER(AM133),AM133&lt;=T133),AM133,9E15))),"HP","FP")),IF(AR133=TRUE,"",IF(MAX(IF(AND(NOT(AND(AO133=1,AN133&lt;&gt;1)),ISNUMBER(AG133),AG133&lt;=T133),AS133,0),IF(AND(NOT(AND(AO133=1,AN133&lt;&gt;1)),ISNUMBER(AH133),AH133&lt;=T133),AT133,0),IF(AND(NOT(AND(AO133=1,AN133&lt;&gt;1)),ISNUMBER(AI133),AI133&lt;=T133),AU133,0),IF(AND(ISNUMBER(AJ133),AJ133&lt;=T133),AV133,0))&lt;=0,"",IF(AND(IF(AND(NOT(AND(AO133=1,AN133&lt;&gt;1)),ISNUMBER(AG133),AG133&lt;=T133),AS133,0)&gt;0,IF(AND(NOT(AND(AO133=1,AN133&lt;&gt;1)),ISNUMBER(AG133),AG133&lt;=T133),AS133,0)=MAX(IF(AND(NOT(AND(AO133=1,AN133&lt;&gt;1)),ISNUMBER(AG133),AG133&lt;=T133),AS133,0),IF(AND(NOT(AND(AO133=1,AN133&lt;&gt;1)),ISNUMBER(AH133),AH133&lt;=T133),AT133,0),IF(AND(NOT(AND(AO133=1,AN133&lt;&gt;1)),ISNUMBER(AI133),AI133&lt;=T133),AU133,0),IF(AND(ISNUMBER(AJ133),AJ133&lt;=T133),AV133,0))),"SW",IF(AND(IF(AND(NOT(AND(AO133=1,AN133&lt;&gt;1)),ISNUMBER(AH133),AH133&lt;=T133),AT133,0)&gt;0,IF(AND(NOT(AND(AO133=1,AN133&lt;&gt;1)),ISNUMBER(AH133),AH133&lt;=T133),AT133,0)=MAX(IF(AND(NOT(AND(AO133=1,AN133&lt;&gt;1)),ISNUMBER(AG133),AG133&lt;=T133),AS133,0),IF(AND(NOT(AND(AO133=1,AN133&lt;&gt;1)),ISNUMBER(AH133),AH133&lt;=T133),AT133,0),IF(AND(NOT(AND(AO133=1,AN133&lt;&gt;1)),ISNUMBER(AI133),AI133&lt;=T133),AU133,0),IF(AND(ISNUMBER(AJ133),AJ133&lt;=T133),AV133,0))),"AB",IF(AND(IF(AND(NOT(AND(AO133=1,AN133&lt;&gt;1)),ISNUMBER(AI133),AI133&lt;=T133),AU133,0)&gt;0,IF(AND(NOT(AND(AO133=1,AN133&lt;&gt;1)),ISNUMBER(AI133),AI133&lt;=T133),AU133,0)=MAX(IF(AND(NOT(AND(AO133=1,AN133&lt;&gt;1)),ISNUMBER(AG133),AG133&lt;=T133),AS133,0),IF(AND(NOT(AND(AO133=1,AN133&lt;&gt;1)),ISNUMBER(AH133),AH133&lt;=T133),AT133,0),IF(AND(NOT(AND(AO133=1,AN133&lt;&gt;1)),ISNUMBER(AI133),AI133&lt;=T133),AU133,0),IF(AND(ISNUMBER(AJ133),AJ133&lt;=T133),AV133,0))),"SC","Mag")))))))</f>
        <v/>
      </c>
    </row>
    <row r="134">
      <c r="A134" s="26" t="n">
        <v>129</v>
      </c>
      <c r="B134" s="27">
        <f>A134*10/60</f>
        <v/>
      </c>
      <c r="C134" s="22">
        <f>X133</f>
        <v/>
      </c>
      <c r="D134" s="27">
        <f>D133+W133</f>
        <v/>
      </c>
      <c r="E134" s="26">
        <f>E133+IF(U133="SW",1,0)</f>
        <v/>
      </c>
      <c r="F134" s="26">
        <f>F133+IF(U133="AB",1,0)</f>
        <v/>
      </c>
      <c r="G134" s="26">
        <f>G133+IF(U133="SC",1,0)</f>
        <v/>
      </c>
      <c r="H134" s="26">
        <f>H133+IF(U133="Mag",1,0)</f>
        <v/>
      </c>
      <c r="I134" s="26">
        <f>MAX(I133,IF(U133="OR",1,0))</f>
        <v/>
      </c>
      <c r="J134" s="26">
        <f>MAX(J133,IF(U133="HP",1,0))</f>
        <v/>
      </c>
      <c r="K134" s="26">
        <f>MAX(K133,IF(U133="FP",1,0))</f>
        <v/>
      </c>
      <c r="L134" s="26">
        <f>MAX(L133,IF(U133="transition",1,0))</f>
        <v/>
      </c>
      <c r="M134" s="28">
        <f>(Parameters!$B$9+(IF(E134=0,0,(Upgrades!$J$6+E134*Upgrades!$K$6)*POWER(Upgrades!$L$6,E134)))*(IF(Upgrades!$T$7="Solar Wind",POWER(Upgrades!$U$7,F134),1)*IF(Upgrades!$T$8="Solar Wind",POWER(Upgrades!$U$8,G134),1)*IF(Upgrades!$T$9="Solar Wind",POWER(Upgrades!$U$9,H134),1)*IF(Upgrades!$T$10="Solar Wind",POWER(Upgrades!$U$10,I134),1)*IF(Upgrades!$T$11="Solar Wind",POWER(Upgrades!$U$11,J134),1)*IF(Upgrades!$T$12="Solar Wind",POWER(Upgrades!$U$12,K134),1))+(IF(F134=0,0,(Upgrades!$J$7+F134*Upgrades!$K$7)*POWER(Upgrades!$L$7,F134)))*(IF(Upgrades!$T$6="Asteroid Belt",POWER(Upgrades!$U$6,E134),1)*IF(Upgrades!$T$8="Asteroid Belt",POWER(Upgrades!$U$8,G134),1)*IF(Upgrades!$T$9="Asteroid Belt",POWER(Upgrades!$U$9,H134),1)*IF(Upgrades!$T$10="Asteroid Belt",POWER(Upgrades!$U$10,I134),1)*IF(Upgrades!$T$11="Asteroid Belt",POWER(Upgrades!$U$11,J134),1)*IF(Upgrades!$T$12="Asteroid Belt",POWER(Upgrades!$U$12,K134),1))+(IF(G134=0,0,(Upgrades!$J$8+G134*Upgrades!$K$8)*POWER(Upgrades!$L$8,G134)))*(IF(Upgrades!$T$6="Stellar Coupling",POWER(Upgrades!$U$6,E134),1)*IF(Upgrades!$T$7="Stellar Coupling",POWER(Upgrades!$U$7,F134),1)*IF(Upgrades!$T$9="Stellar Coupling",POWER(Upgrades!$U$9,H134),1)*IF(Upgrades!$T$10="Stellar Coupling",POWER(Upgrades!$U$10,I134),1)*IF(Upgrades!$T$11="Stellar Coupling",POWER(Upgrades!$U$11,J134),1)*IF(Upgrades!$T$12="Stellar Coupling",POWER(Upgrades!$U$12,K134),1))+(IF(H134=0,0,(Upgrades!$J$9+H134*Upgrades!$K$9)*POWER(Upgrades!$L$9,H134)))*(IF(Upgrades!$T$6="Magnetosphere",POWER(Upgrades!$U$6,E134),1)*IF(Upgrades!$T$7="Magnetosphere",POWER(Upgrades!$U$7,F134),1)*IF(Upgrades!$T$8="Magnetosphere",POWER(Upgrades!$U$8,G134),1)*IF(Upgrades!$T$10="Magnetosphere",POWER(Upgrades!$U$10,I134),1)*IF(Upgrades!$T$11="Magnetosphere",POWER(Upgrades!$U$11,J134),1)*IF(Upgrades!$T$12="Magnetosphere",POWER(Upgrades!$U$12,K134),1))+(IF(I134=0,0,(Upgrades!$J$10+I134*Upgrades!$K$10)*POWER(Upgrades!$L$10,I134)))*(IF(Upgrades!$T$6="Orbital Resonance",POWER(Upgrades!$U$6,E134),1)*IF(Upgrades!$T$7="Orbital Resonance",POWER(Upgrades!$U$7,F134),1)*IF(Upgrades!$T$8="Orbital Resonance",POWER(Upgrades!$U$8,G134),1)*IF(Upgrades!$T$9="Orbital Resonance",POWER(Upgrades!$U$9,H134),1)*IF(Upgrades!$T$11="Orbital Resonance",POWER(Upgrades!$U$11,J134),1)*IF(Upgrades!$T$12="Orbital Resonance",POWER(Upgrades!$U$12,K134),1))+(IF(J134=0,0,(Upgrades!$J$11+J134*Upgrades!$K$11)*POWER(Upgrades!$L$11,J134)))*(IF(Upgrades!$T$6="Heliopause",POWER(Upgrades!$U$6,E134),1)*IF(Upgrades!$T$7="Heliopause",POWER(Upgrades!$U$7,F134),1)*IF(Upgrades!$T$8="Heliopause",POWER(Upgrades!$U$8,G134),1)*IF(Upgrades!$T$9="Heliopause",POWER(Upgrades!$U$9,H134),1)*IF(Upgrades!$T$10="Heliopause",POWER(Upgrades!$U$10,I134),1)*IF(Upgrades!$T$12="Heliopause",POWER(Upgrades!$U$12,K134),1))+(IF(K134=0,0,(Upgrades!$J$12+K134*Upgrades!$K$12)*POWER(Upgrades!$L$12,K134)))*(IF(Upgrades!$T$6="First Photons",POWER(Upgrades!$U$6,E134),1)*IF(Upgrades!$T$7="First Photons",POWER(Upgrades!$U$7,F134),1)*IF(Upgrades!$T$8="First Photons",POWER(Upgrades!$U$8,G134),1)*IF(Upgrades!$T$9="First Photons",POWER(Upgrades!$U$9,H134),1)*IF(Upgrades!$T$10="First Photons",POWER(Upgrades!$U$10,I134),1)*IF(Upgrades!$T$11="First Photons",POWER(Upgrades!$U$11,J134),1)))*POWER(Upgrades!$Q$6,E134)*POWER(Upgrades!$Q$7,F134)*POWER(Upgrades!$Q$8,G134)*POWER(Upgrades!$Q$9,H134)*POWER(Upgrades!$Q$10,I134)*POWER(Upgrades!$Q$11,J134)*POWER(Upgrades!$Q$12,K134)</f>
        <v/>
      </c>
      <c r="N134" s="28">
        <f>((IF(E134=0,0,(Upgrades!$G$6+E134*Upgrades!$H$6)*POWER(Upgrades!$I$6,E134)))*(IF(Upgrades!$T$7="Solar Wind",POWER(Upgrades!$U$7,F134),1)*IF(Upgrades!$T$8="Solar Wind",POWER(Upgrades!$U$8,G134),1)*IF(Upgrades!$T$9="Solar Wind",POWER(Upgrades!$U$9,H134),1)*IF(Upgrades!$T$10="Solar Wind",POWER(Upgrades!$U$10,I134),1)*IF(Upgrades!$T$11="Solar Wind",POWER(Upgrades!$U$11,J134),1)*IF(Upgrades!$T$12="Solar Wind",POWER(Upgrades!$U$12,K134),1))+(IF(F134=0,0,(Upgrades!$G$7+F134*Upgrades!$H$7)*POWER(Upgrades!$I$7,F134)))*(IF(Upgrades!$T$6="Asteroid Belt",POWER(Upgrades!$U$6,E134),1)*IF(Upgrades!$T$8="Asteroid Belt",POWER(Upgrades!$U$8,G134),1)*IF(Upgrades!$T$9="Asteroid Belt",POWER(Upgrades!$U$9,H134),1)*IF(Upgrades!$T$10="Asteroid Belt",POWER(Upgrades!$U$10,I134),1)*IF(Upgrades!$T$11="Asteroid Belt",POWER(Upgrades!$U$11,J134),1)*IF(Upgrades!$T$12="Asteroid Belt",POWER(Upgrades!$U$12,K134),1))+(IF(G134=0,0,(Upgrades!$G$8+G134*Upgrades!$H$8)*POWER(Upgrades!$I$8,G134)))*(IF(Upgrades!$T$6="Stellar Coupling",POWER(Upgrades!$U$6,E134),1)*IF(Upgrades!$T$7="Stellar Coupling",POWER(Upgrades!$U$7,F134),1)*IF(Upgrades!$T$9="Stellar Coupling",POWER(Upgrades!$U$9,H134),1)*IF(Upgrades!$T$10="Stellar Coupling",POWER(Upgrades!$U$10,I134),1)*IF(Upgrades!$T$11="Stellar Coupling",POWER(Upgrades!$U$11,J134),1)*IF(Upgrades!$T$12="Stellar Coupling",POWER(Upgrades!$U$12,K134),1))+(IF(H134=0,0,(Upgrades!$G$9+H134*Upgrades!$H$9)*POWER(Upgrades!$I$9,H134)))*(IF(Upgrades!$T$6="Magnetosphere",POWER(Upgrades!$U$6,E134),1)*IF(Upgrades!$T$7="Magnetosphere",POWER(Upgrades!$U$7,F134),1)*IF(Upgrades!$T$8="Magnetosphere",POWER(Upgrades!$U$8,G134),1)*IF(Upgrades!$T$10="Magnetosphere",POWER(Upgrades!$U$10,I134),1)*IF(Upgrades!$T$11="Magnetosphere",POWER(Upgrades!$U$11,J134),1)*IF(Upgrades!$T$12="Magnetosphere",POWER(Upgrades!$U$12,K134),1))+(IF(I134=0,0,(Upgrades!$G$10+I134*Upgrades!$H$10)*POWER(Upgrades!$I$10,I134)))*(IF(Upgrades!$T$6="Orbital Resonance",POWER(Upgrades!$U$6,E134),1)*IF(Upgrades!$T$7="Orbital Resonance",POWER(Upgrades!$U$7,F134),1)*IF(Upgrades!$T$8="Orbital Resonance",POWER(Upgrades!$U$8,G134),1)*IF(Upgrades!$T$9="Orbital Resonance",POWER(Upgrades!$U$9,H134),1)*IF(Upgrades!$T$11="Orbital Resonance",POWER(Upgrades!$U$11,J134),1)*IF(Upgrades!$T$12="Orbital Resonance",POWER(Upgrades!$U$12,K134),1))+(IF(J134=0,0,(Upgrades!$G$11+J134*Upgrades!$H$11)*POWER(Upgrades!$I$11,J134)))*(IF(Upgrades!$T$6="Heliopause",POWER(Upgrades!$U$6,E134),1)*IF(Upgrades!$T$7="Heliopause",POWER(Upgrades!$U$7,F134),1)*IF(Upgrades!$T$8="Heliopause",POWER(Upgrades!$U$8,G134),1)*IF(Upgrades!$T$9="Heliopause",POWER(Upgrades!$U$9,H134),1)*IF(Upgrades!$T$10="Heliopause",POWER(Upgrades!$U$10,I134),1)*IF(Upgrades!$T$12="Heliopause",POWER(Upgrades!$U$12,K134),1))+(IF(K134=0,0,(Upgrades!$G$12+K134*Upgrades!$H$12)*POWER(Upgrades!$I$12,K134)))*(IF(Upgrades!$T$6="First Photons",POWER(Upgrades!$U$6,E134),1)*IF(Upgrades!$T$7="First Photons",POWER(Upgrades!$U$7,F134),1)*IF(Upgrades!$T$8="First Photons",POWER(Upgrades!$U$8,G134),1)*IF(Upgrades!$T$9="First Photons",POWER(Upgrades!$U$9,H134),1)*IF(Upgrades!$T$10="First Photons",POWER(Upgrades!$U$10,I134),1)*IF(Upgrades!$T$11="First Photons",POWER(Upgrades!$U$11,J134),1)))*POWER(Upgrades!$P$6,E134)*POWER(Upgrades!$P$7,F134)*POWER(Upgrades!$P$8,G134)*POWER(Upgrades!$P$9,H134)*POWER(Upgrades!$P$10,I134)*POWER(Upgrades!$P$11,J134)*POWER(Upgrades!$P$12,K134)</f>
        <v/>
      </c>
      <c r="O134" s="28">
        <f>((IF(E134=0,0,(Upgrades!$M$6+E134*Upgrades!$N$6)*POWER(Upgrades!$O$6,E134)))*(IF(Upgrades!$T$7="Solar Wind",POWER(Upgrades!$U$7,F134),1)*IF(Upgrades!$T$8="Solar Wind",POWER(Upgrades!$U$8,G134),1)*IF(Upgrades!$T$9="Solar Wind",POWER(Upgrades!$U$9,H134),1)*IF(Upgrades!$T$10="Solar Wind",POWER(Upgrades!$U$10,I134),1)*IF(Upgrades!$T$11="Solar Wind",POWER(Upgrades!$U$11,J134),1)*IF(Upgrades!$T$12="Solar Wind",POWER(Upgrades!$U$12,K134),1))+(IF(F134=0,0,(Upgrades!$M$7+F134*Upgrades!$N$7)*POWER(Upgrades!$O$7,F134)))*(IF(Upgrades!$T$6="Asteroid Belt",POWER(Upgrades!$U$6,E134),1)*IF(Upgrades!$T$8="Asteroid Belt",POWER(Upgrades!$U$8,G134),1)*IF(Upgrades!$T$9="Asteroid Belt",POWER(Upgrades!$U$9,H134),1)*IF(Upgrades!$T$10="Asteroid Belt",POWER(Upgrades!$U$10,I134),1)*IF(Upgrades!$T$11="Asteroid Belt",POWER(Upgrades!$U$11,J134),1)*IF(Upgrades!$T$12="Asteroid Belt",POWER(Upgrades!$U$12,K134),1))+(IF(G134=0,0,(Upgrades!$M$8+G134*Upgrades!$N$8)*POWER(Upgrades!$O$8,G134)))*(IF(Upgrades!$T$6="Stellar Coupling",POWER(Upgrades!$U$6,E134),1)*IF(Upgrades!$T$7="Stellar Coupling",POWER(Upgrades!$U$7,F134),1)*IF(Upgrades!$T$9="Stellar Coupling",POWER(Upgrades!$U$9,H134),1)*IF(Upgrades!$T$10="Stellar Coupling",POWER(Upgrades!$U$10,I134),1)*IF(Upgrades!$T$11="Stellar Coupling",POWER(Upgrades!$U$11,J134),1)*IF(Upgrades!$T$12="Stellar Coupling",POWER(Upgrades!$U$12,K134),1))+(IF(H134=0,0,(Upgrades!$M$9+H134*Upgrades!$N$9)*POWER(Upgrades!$O$9,H134)))*(IF(Upgrades!$T$6="Magnetosphere",POWER(Upgrades!$U$6,E134),1)*IF(Upgrades!$T$7="Magnetosphere",POWER(Upgrades!$U$7,F134),1)*IF(Upgrades!$T$8="Magnetosphere",POWER(Upgrades!$U$8,G134),1)*IF(Upgrades!$T$10="Magnetosphere",POWER(Upgrades!$U$10,I134),1)*IF(Upgrades!$T$11="Magnetosphere",POWER(Upgrades!$U$11,J134),1)*IF(Upgrades!$T$12="Magnetosphere",POWER(Upgrades!$U$12,K134),1))+(IF(I134=0,0,(Upgrades!$M$10+I134*Upgrades!$N$10)*POWER(Upgrades!$O$10,I134)))*(IF(Upgrades!$T$6="Orbital Resonance",POWER(Upgrades!$U$6,E134),1)*IF(Upgrades!$T$7="Orbital Resonance",POWER(Upgrades!$U$7,F134),1)*IF(Upgrades!$T$8="Orbital Resonance",POWER(Upgrades!$U$8,G134),1)*IF(Upgrades!$T$9="Orbital Resonance",POWER(Upgrades!$U$9,H134),1)*IF(Upgrades!$T$11="Orbital Resonance",POWER(Upgrades!$U$11,J134),1)*IF(Upgrades!$T$12="Orbital Resonance",POWER(Upgrades!$U$12,K134),1))+(IF(J134=0,0,(Upgrades!$M$11+J134*Upgrades!$N$11)*POWER(Upgrades!$O$11,J134)))*(IF(Upgrades!$T$6="Heliopause",POWER(Upgrades!$U$6,E134),1)*IF(Upgrades!$T$7="Heliopause",POWER(Upgrades!$U$7,F134),1)*IF(Upgrades!$T$8="Heliopause",POWER(Upgrades!$U$8,G134),1)*IF(Upgrades!$T$9="Heliopause",POWER(Upgrades!$U$9,H134),1)*IF(Upgrades!$T$10="Heliopause",POWER(Upgrades!$U$10,I134),1)*IF(Upgrades!$T$12="Heliopause",POWER(Upgrades!$U$12,K134),1))+(IF(K134=0,0,(Upgrades!$M$12+K134*Upgrades!$N$12)*POWER(Upgrades!$O$12,K134)))*(IF(Upgrades!$T$6="First Photons",POWER(Upgrades!$U$6,E134),1)*IF(Upgrades!$T$7="First Photons",POWER(Upgrades!$U$7,F134),1)*IF(Upgrades!$T$8="First Photons",POWER(Upgrades!$U$8,G134),1)*IF(Upgrades!$T$9="First Photons",POWER(Upgrades!$U$9,H134),1)*IF(Upgrades!$T$10="First Photons",POWER(Upgrades!$U$10,I134),1)*IF(Upgrades!$T$11="First Photons",POWER(Upgrades!$U$11,J134),1)))*POWER(Upgrades!$R$6,E134)*POWER(Upgrades!$R$7,F134)*POWER(Upgrades!$R$8,G134)*POWER(Upgrades!$R$9,H134)*POWER(Upgrades!$R$10,I134)*POWER(Upgrades!$R$11,J134)*POWER(Upgrades!$R$12,K134)</f>
        <v/>
      </c>
      <c r="P134" s="27">
        <f>IF(L134=1,0,M134*Parameters!$B$10/60*Parameters!$B$11*10)</f>
        <v/>
      </c>
      <c r="Q134" s="27">
        <f>IF(L134=1,0,O134*M134*10)</f>
        <v/>
      </c>
      <c r="R134" s="27">
        <f>IF(L134=1,0,N134*10)</f>
        <v/>
      </c>
      <c r="S134" s="27">
        <f>P134+Q134+R134</f>
        <v/>
      </c>
      <c r="T134" s="22">
        <f>C134+S134</f>
        <v/>
      </c>
      <c r="U134" s="33">
        <f>AX134</f>
        <v/>
      </c>
      <c r="V134" s="22">
        <f>IF(U134="",0,IF(U134="transition",0,IF(U134="SW",AG134,IF(U134="AB",AH134,IF(U134="SC",AI134,IF(U134="Mag",AJ134,IF(U134="OR",AK134,IF(U134="HP",AL134,IF(U134="FP",AM134,0)))))))))</f>
        <v/>
      </c>
      <c r="W134" s="27">
        <f>IF(U134="OR",Upgrades!$F$10,IF(U134="HP",Upgrades!$F$11,IF(U134="transition",-Parameters!$B$18,0)))</f>
        <v/>
      </c>
      <c r="X134" s="22">
        <f>T134-V134</f>
        <v/>
      </c>
      <c r="Y134" s="30">
        <f>M134*Parameters!$B$10/60*Parameters!$B$11+O134*M134+N134</f>
        <v/>
      </c>
      <c r="Z134" s="34">
        <f>IF(U134="transition","→ Tier 2 (Stellar Neighborhood)",IF(U134="FP","First Photons — light begins, system quickens",IF(U134="HP","Heliopause acquired",IF(U134="OR","Orbital Resonance — passive multiplier active",IF(AND(AO134=1,L134=0,AN134&lt;&gt;1),"Cohesion ready (waiting on completionist upgrades)","")))))</f>
        <v/>
      </c>
      <c r="AA134" s="27">
        <f>(IF(E134=0,0,(Upgrades!$G$6+E134*Upgrades!$H$6)*POWER(Upgrades!$I$6,E134)))*(IF(Upgrades!$T$7="Solar Wind",POWER(Upgrades!$U$7,F134),1)*IF(Upgrades!$T$8="Solar Wind",POWER(Upgrades!$U$8,G134),1)*IF(Upgrades!$T$9="Solar Wind",POWER(Upgrades!$U$9,H134),1)*IF(Upgrades!$T$10="Solar Wind",POWER(Upgrades!$U$10,I134),1)*IF(Upgrades!$T$11="Solar Wind",POWER(Upgrades!$U$11,J134),1)*IF(Upgrades!$T$12="Solar Wind",POWER(Upgrades!$U$12,K134),1))*POWER(Upgrades!$P$6,E134)*POWER(Upgrades!$P$7,F134)*POWER(Upgrades!$P$8,G134)*POWER(Upgrades!$P$9,H134)*POWER(Upgrades!$P$10,I134)*POWER(Upgrades!$P$11,J134)*POWER(Upgrades!$P$12,K134)*60</f>
        <v/>
      </c>
      <c r="AB134" s="27">
        <f>(IF(F134=0,0,(Upgrades!$G$7+F134*Upgrades!$H$7)*POWER(Upgrades!$I$7,F134)))*(IF(Upgrades!$T$6="Asteroid Belt",POWER(Upgrades!$U$6,E134),1)*IF(Upgrades!$T$8="Asteroid Belt",POWER(Upgrades!$U$8,G134),1)*IF(Upgrades!$T$9="Asteroid Belt",POWER(Upgrades!$U$9,H134),1)*IF(Upgrades!$T$10="Asteroid Belt",POWER(Upgrades!$U$10,I134),1)*IF(Upgrades!$T$11="Asteroid Belt",POWER(Upgrades!$U$11,J134),1)*IF(Upgrades!$T$12="Asteroid Belt",POWER(Upgrades!$U$12,K134),1))*POWER(Upgrades!$P$6,E134)*POWER(Upgrades!$P$7,F134)*POWER(Upgrades!$P$8,G134)*POWER(Upgrades!$P$9,H134)*POWER(Upgrades!$P$10,I134)*POWER(Upgrades!$P$11,J134)*POWER(Upgrades!$P$12,K134)*60</f>
        <v/>
      </c>
      <c r="AC134" s="27">
        <f>(IF(G134=0,0,(Upgrades!$J$8+G134*Upgrades!$K$8)*POWER(Upgrades!$L$8,G134)))*(IF(Upgrades!$T$6="Stellar Coupling",POWER(Upgrades!$U$6,E134),1)*IF(Upgrades!$T$7="Stellar Coupling",POWER(Upgrades!$U$7,F134),1)*IF(Upgrades!$T$9="Stellar Coupling",POWER(Upgrades!$U$9,H134),1)*IF(Upgrades!$T$10="Stellar Coupling",POWER(Upgrades!$U$10,I134),1)*IF(Upgrades!$T$11="Stellar Coupling",POWER(Upgrades!$U$11,J134),1)*IF(Upgrades!$T$12="Stellar Coupling",POWER(Upgrades!$U$12,K134),1))*POWER(Upgrades!$Q$6,E134)*POWER(Upgrades!$Q$7,F134)*POWER(Upgrades!$Q$8,G134)*POWER(Upgrades!$Q$9,H134)*POWER(Upgrades!$Q$10,I134)*POWER(Upgrades!$Q$11,J134)*POWER(Upgrades!$Q$12,K134)*Parameters!$B$10*Parameters!$B$11</f>
        <v/>
      </c>
      <c r="AD134" s="27">
        <f>(IF(H134=0,0,(Upgrades!$G$9+H134*Upgrades!$H$9)*POWER(Upgrades!$I$9,H134)))*(IF(Upgrades!$T$6="Magnetosphere",POWER(Upgrades!$U$6,E134),1)*IF(Upgrades!$T$7="Magnetosphere",POWER(Upgrades!$U$7,F134),1)*IF(Upgrades!$T$8="Magnetosphere",POWER(Upgrades!$U$8,G134),1)*IF(Upgrades!$T$10="Magnetosphere",POWER(Upgrades!$U$10,I134),1)*IF(Upgrades!$T$11="Magnetosphere",POWER(Upgrades!$U$11,J134),1)*IF(Upgrades!$T$12="Magnetosphere",POWER(Upgrades!$U$12,K134),1))*POWER(Upgrades!$P$6,E134)*POWER(Upgrades!$P$7,F134)*POWER(Upgrades!$P$8,G134)*POWER(Upgrades!$P$9,H134)*POWER(Upgrades!$P$10,I134)*POWER(Upgrades!$P$11,J134)*POWER(Upgrades!$P$12,K134)*60</f>
        <v/>
      </c>
      <c r="AE134" s="27">
        <f>(IF(K134=0,0,(Upgrades!$G$12+K134*Upgrades!$H$12)*POWER(Upgrades!$I$12,K134)))*(IF(Upgrades!$T$6="First Photons",POWER(Upgrades!$U$6,E134),1)*IF(Upgrades!$T$7="First Photons",POWER(Upgrades!$U$7,F134),1)*IF(Upgrades!$T$8="First Photons",POWER(Upgrades!$U$8,G134),1)*IF(Upgrades!$T$9="First Photons",POWER(Upgrades!$U$9,H134),1)*IF(Upgrades!$T$10="First Photons",POWER(Upgrades!$U$10,I134),1)*IF(Upgrades!$T$11="First Photons",POWER(Upgrades!$U$11,J134),1))*POWER(Upgrades!$P$6,E134)*POWER(Upgrades!$P$7,F134)*POWER(Upgrades!$P$8,G134)*POWER(Upgrades!$P$9,H134)*POWER(Upgrades!$P$10,I134)*POWER(Upgrades!$P$11,J134)*POWER(Upgrades!$P$12,K134)*60</f>
        <v/>
      </c>
      <c r="AF134" s="27">
        <f>Parameters!$B$9*POWER(Upgrades!$Q$6,E134)*POWER(Upgrades!$Q$7,F134)*POWER(Upgrades!$Q$8,G134)*POWER(Upgrades!$Q$9,H134)*POWER(Upgrades!$Q$10,I134)*POWER(Upgrades!$Q$11,J134)*POWER(Upgrades!$Q$12,K134)*(Parameters!$B$10*Parameters!$B$11+O134*60)</f>
        <v/>
      </c>
      <c r="AG134" s="22">
        <f>IF(E134&gt;=Upgrades!$E$6,"",Upgrades!$C$6*POWER(Upgrades!$D$6,E134))</f>
        <v/>
      </c>
      <c r="AH134" s="22">
        <f>IF(F134&gt;=Upgrades!$E$7,"",Upgrades!$C$7*POWER(Upgrades!$D$7,F134))</f>
        <v/>
      </c>
      <c r="AI134" s="22">
        <f>IF(G134&gt;=Upgrades!$E$8,"",Upgrades!$C$8*POWER(Upgrades!$D$8,G134))</f>
        <v/>
      </c>
      <c r="AJ134" s="22">
        <f>IF(H134&gt;=Upgrades!$E$9,"",Upgrades!$C$9*POWER(Upgrades!$D$9,H134))</f>
        <v/>
      </c>
      <c r="AK134" s="22">
        <f>IF(I134&gt;=Upgrades!$E$10,"",Upgrades!$C$10*POWER(Upgrades!$D$10,I134))</f>
        <v/>
      </c>
      <c r="AL134" s="22">
        <f>IF(J134&gt;=Upgrades!$E$11,"",Upgrades!$C$11*POWER(Upgrades!$D$11,J134))</f>
        <v/>
      </c>
      <c r="AM134" s="22">
        <f>IF(K134&gt;=Upgrades!$E$12,"",Upgrades!$C$12*POWER(Upgrades!$D$12,K134))</f>
        <v/>
      </c>
      <c r="AN134" s="26">
        <f>IF(AND(D134&gt;=Parameters!$B$18,(H134&gt;=Upgrades!$E$9)*(K134&gt;=Upgrades!$E$12)=1,L134=0),1,"")</f>
        <v/>
      </c>
      <c r="AO134" s="26">
        <f>IF(AND(D134&gt;=Parameters!$B$18,L134=0),1,"")</f>
        <v/>
      </c>
      <c r="AP134" s="22">
        <f>MIN(IF(ISNUMBER(AK134),AK134,9E15),IF(ISNUMBER(AL134),AL134,9E15),IF(ISNUMBER(AM134),AM134,9E15))</f>
        <v/>
      </c>
      <c r="AQ134" s="22">
        <f>MIN(IF(ISNUMBER(AG134),AG134,9E15),IF(ISNUMBER(AH134),AH134,9E15),IF(ISNUMBER(AI134),AI134,9E15),IF(ISNUMBER(AJ134),AJ134,9E15))</f>
        <v/>
      </c>
      <c r="AR134" s="29">
        <f>IF(AW134&gt;Parameters!$B$21*(MAX(IF(AND(NOT(AND(AO134=1,AN134&lt;&gt;1)),ISNUMBER(AG134),AG134&lt;=T134),AS134,0),IF(AND(NOT(AND(AO134=1,AN134&lt;&gt;1)),ISNUMBER(AH134),AH134&lt;=T134),AT134,0),IF(AND(NOT(AND(AO134=1,AN134&lt;&gt;1)),ISNUMBER(AI134),AI134&lt;=T134),AU134,0),IF(AND(ISNUMBER(AJ134),AJ134&lt;=T134),AV134,0))),TRUE,FALSE)</f>
        <v/>
      </c>
      <c r="AS134" s="32">
        <f>IFERROR(Upgrades!$H$6*(POWER(Upgrades!$P$6,E134)*POWER(Upgrades!$P$7,F134)*POWER(Upgrades!$P$8,G134)*POWER(Upgrades!$P$9,H134)*POWER(Upgrades!$P$10,I134)*POWER(Upgrades!$P$11,J134)*POWER(Upgrades!$P$12,K134))*(IF(Upgrades!$T$7="Solar Wind",POWER(Upgrades!$U$7,F134),1)*IF(Upgrades!$T$8="Solar Wind",POWER(Upgrades!$U$8,G134),1)*IF(Upgrades!$T$9="Solar Wind",POWER(Upgrades!$U$9,H134),1)*IF(Upgrades!$T$10="Solar Wind",POWER(Upgrades!$U$10,I134),1)*IF(Upgrades!$T$11="Solar Wind",POWER(Upgrades!$U$11,J134),1)*IF(Upgrades!$T$12="Solar Wind",POWER(Upgrades!$U$12,K134),1))/AG134,0)</f>
        <v/>
      </c>
      <c r="AT134" s="32">
        <f>IFERROR(Upgrades!$H$7*(POWER(Upgrades!$P$6,E134)*POWER(Upgrades!$P$7,F134)*POWER(Upgrades!$P$8,G134)*POWER(Upgrades!$P$9,H134)*POWER(Upgrades!$P$10,I134)*POWER(Upgrades!$P$11,J134)*POWER(Upgrades!$P$12,K134))*(IF(Upgrades!$T$6="Asteroid Belt",POWER(Upgrades!$U$6,E134),1)*IF(Upgrades!$T$8="Asteroid Belt",POWER(Upgrades!$U$8,G134),1)*IF(Upgrades!$T$9="Asteroid Belt",POWER(Upgrades!$U$9,H134),1)*IF(Upgrades!$T$10="Asteroid Belt",POWER(Upgrades!$U$10,I134),1)*IF(Upgrades!$T$11="Asteroid Belt",POWER(Upgrades!$U$11,J134),1)*IF(Upgrades!$T$12="Asteroid Belt",POWER(Upgrades!$U$12,K134),1))/AH134,0)</f>
        <v/>
      </c>
      <c r="AU134" s="32">
        <f>IFERROR(Upgrades!$K$8*(POWER(Upgrades!$Q$6,E134)*POWER(Upgrades!$Q$7,F134)*POWER(Upgrades!$Q$8,G134)*POWER(Upgrades!$Q$9,H134)*POWER(Upgrades!$Q$10,I134)*POWER(Upgrades!$Q$11,J134)*POWER(Upgrades!$Q$12,K134))*(IF(Upgrades!$T$6="Stellar Coupling",POWER(Upgrades!$U$6,E134),1)*IF(Upgrades!$T$7="Stellar Coupling",POWER(Upgrades!$U$7,F134),1)*IF(Upgrades!$T$9="Stellar Coupling",POWER(Upgrades!$U$9,H134),1)*IF(Upgrades!$T$10="Stellar Coupling",POWER(Upgrades!$U$10,I134),1)*IF(Upgrades!$T$11="Stellar Coupling",POWER(Upgrades!$U$11,J134),1)*IF(Upgrades!$T$12="Stellar Coupling",POWER(Upgrades!$U$12,K134),1))*Parameters!$B$10*Parameters!$B$11/60/AI134,0)</f>
        <v/>
      </c>
      <c r="AV134" s="32">
        <f>IFERROR(Upgrades!$H$9*(POWER(Upgrades!$P$6,E134)*POWER(Upgrades!$P$7,F134)*POWER(Upgrades!$P$8,G134)*POWER(Upgrades!$P$9,H134)*POWER(Upgrades!$P$10,I134)*POWER(Upgrades!$P$11,J134)*POWER(Upgrades!$P$12,K134))*(IF(Upgrades!$T$6="Magnetosphere",POWER(Upgrades!$U$6,E134),1)*IF(Upgrades!$T$7="Magnetosphere",POWER(Upgrades!$U$7,F134),1)*IF(Upgrades!$T$8="Magnetosphere",POWER(Upgrades!$U$8,G134),1)*IF(Upgrades!$T$10="Magnetosphere",POWER(Upgrades!$U$10,I134),1)*IF(Upgrades!$T$11="Magnetosphere",POWER(Upgrades!$U$11,J134),1)*IF(Upgrades!$T$12="Magnetosphere",POWER(Upgrades!$U$12,K134),1))/AJ134,0)</f>
        <v/>
      </c>
      <c r="AW134" s="32">
        <f>MAX(IF(I134&gt;0,0,IFERROR(0.25*N134/Upgrades!$C$10,0)),IF(J134&gt;0,0,IFERROR(0.5*((IF(G134=0,0,(Upgrades!$J$8+G134*Upgrades!$K$8)*POWER(Upgrades!$L$8,G134)))*(IF(Upgrades!$T$6="Stellar Coupling",POWER(Upgrades!$U$6,E134),1)*IF(Upgrades!$T$7="Stellar Coupling",POWER(Upgrades!$U$7,F134),1)*IF(Upgrades!$T$9="Stellar Coupling",POWER(Upgrades!$U$9,H134),1)*IF(Upgrades!$T$10="Stellar Coupling",POWER(Upgrades!$U$10,I134),1)*IF(Upgrades!$T$11="Stellar Coupling",POWER(Upgrades!$U$11,J134),1)*IF(Upgrades!$T$12="Stellar Coupling",POWER(Upgrades!$U$12,K134),1))*(POWER(Upgrades!$Q$6,E134)*POWER(Upgrades!$Q$7,F134)*POWER(Upgrades!$Q$8,G134)*POWER(Upgrades!$Q$9,H134)*POWER(Upgrades!$Q$10,I134)*POWER(Upgrades!$Q$11,J134)*POWER(Upgrades!$Q$12,K134))*Parameters!$B$10*Parameters!$B$11/60)/Upgrades!$C$11,0)),IF(K134&gt;0,0,IFERROR((1.0*(POWER(Upgrades!$P$6,E134)*POWER(Upgrades!$P$7,F134)*POWER(Upgrades!$P$8,G134)*POWER(Upgrades!$P$9,H134)*POWER(Upgrades!$P$10,I134)*POWER(Upgrades!$P$11,J134)*POWER(Upgrades!$P$12,K134))+0.20*M134*Parameters!$B$10*Parameters!$B$11/60)/Upgrades!$C$12,0)),IF(AND(ISNUMBER(AG134),AG134&gt;T134),AS134,0),IF(AND(ISNUMBER(AH134),AH134&gt;T134),AT134,0),IF(AND(ISNUMBER(AI134),AI134&gt;T134),AU134,0),IF(AND(ISNUMBER(AJ134),AJ134&gt;T134),AV134,0))</f>
        <v/>
      </c>
      <c r="AX134" s="29">
        <f>IF(AN134=1,"transition",IF(MIN(IF(AND(I134=0,ISNUMBER(AK134),AK134&lt;=T134),AK134,9E15),IF(AND(J134=0,ISNUMBER(AL134),AL134&lt;=T134),AL134,9E15),IF(AND(K134=0,ISNUMBER(AM134),AM134&lt;=T134),AM134,9E15))&lt;9E15,IF(AND(AND(I134=0,ISNUMBER(AK134),AK134&lt;=T134),AK134=MIN(IF(AND(I134=0,ISNUMBER(AK134),AK134&lt;=T134),AK134,9E15),IF(AND(J134=0,ISNUMBER(AL134),AL134&lt;=T134),AL134,9E15),IF(AND(K134=0,ISNUMBER(AM134),AM134&lt;=T134),AM134,9E15))),"OR",IF(AND(AND(J134=0,ISNUMBER(AL134),AL134&lt;=T134),AL134=MIN(IF(AND(I134=0,ISNUMBER(AK134),AK134&lt;=T134),AK134,9E15),IF(AND(J134=0,ISNUMBER(AL134),AL134&lt;=T134),AL134,9E15),IF(AND(K134=0,ISNUMBER(AM134),AM134&lt;=T134),AM134,9E15))),"HP","FP")),IF(AR134=TRUE,"",IF(MAX(IF(AND(NOT(AND(AO134=1,AN134&lt;&gt;1)),ISNUMBER(AG134),AG134&lt;=T134),AS134,0),IF(AND(NOT(AND(AO134=1,AN134&lt;&gt;1)),ISNUMBER(AH134),AH134&lt;=T134),AT134,0),IF(AND(NOT(AND(AO134=1,AN134&lt;&gt;1)),ISNUMBER(AI134),AI134&lt;=T134),AU134,0),IF(AND(ISNUMBER(AJ134),AJ134&lt;=T134),AV134,0))&lt;=0,"",IF(AND(IF(AND(NOT(AND(AO134=1,AN134&lt;&gt;1)),ISNUMBER(AG134),AG134&lt;=T134),AS134,0)&gt;0,IF(AND(NOT(AND(AO134=1,AN134&lt;&gt;1)),ISNUMBER(AG134),AG134&lt;=T134),AS134,0)=MAX(IF(AND(NOT(AND(AO134=1,AN134&lt;&gt;1)),ISNUMBER(AG134),AG134&lt;=T134),AS134,0),IF(AND(NOT(AND(AO134=1,AN134&lt;&gt;1)),ISNUMBER(AH134),AH134&lt;=T134),AT134,0),IF(AND(NOT(AND(AO134=1,AN134&lt;&gt;1)),ISNUMBER(AI134),AI134&lt;=T134),AU134,0),IF(AND(ISNUMBER(AJ134),AJ134&lt;=T134),AV134,0))),"SW",IF(AND(IF(AND(NOT(AND(AO134=1,AN134&lt;&gt;1)),ISNUMBER(AH134),AH134&lt;=T134),AT134,0)&gt;0,IF(AND(NOT(AND(AO134=1,AN134&lt;&gt;1)),ISNUMBER(AH134),AH134&lt;=T134),AT134,0)=MAX(IF(AND(NOT(AND(AO134=1,AN134&lt;&gt;1)),ISNUMBER(AG134),AG134&lt;=T134),AS134,0),IF(AND(NOT(AND(AO134=1,AN134&lt;&gt;1)),ISNUMBER(AH134),AH134&lt;=T134),AT134,0),IF(AND(NOT(AND(AO134=1,AN134&lt;&gt;1)),ISNUMBER(AI134),AI134&lt;=T134),AU134,0),IF(AND(ISNUMBER(AJ134),AJ134&lt;=T134),AV134,0))),"AB",IF(AND(IF(AND(NOT(AND(AO134=1,AN134&lt;&gt;1)),ISNUMBER(AI134),AI134&lt;=T134),AU134,0)&gt;0,IF(AND(NOT(AND(AO134=1,AN134&lt;&gt;1)),ISNUMBER(AI134),AI134&lt;=T134),AU134,0)=MAX(IF(AND(NOT(AND(AO134=1,AN134&lt;&gt;1)),ISNUMBER(AG134),AG134&lt;=T134),AS134,0),IF(AND(NOT(AND(AO134=1,AN134&lt;&gt;1)),ISNUMBER(AH134),AH134&lt;=T134),AT134,0),IF(AND(NOT(AND(AO134=1,AN134&lt;&gt;1)),ISNUMBER(AI134),AI134&lt;=T134),AU134,0),IF(AND(ISNUMBER(AJ134),AJ134&lt;=T134),AV134,0))),"SC","Mag")))))))</f>
        <v/>
      </c>
    </row>
    <row r="135">
      <c r="A135" s="26" t="n">
        <v>130</v>
      </c>
      <c r="B135" s="27">
        <f>A135*10/60</f>
        <v/>
      </c>
      <c r="C135" s="22">
        <f>X134</f>
        <v/>
      </c>
      <c r="D135" s="27">
        <f>D134+W134</f>
        <v/>
      </c>
      <c r="E135" s="26">
        <f>E134+IF(U134="SW",1,0)</f>
        <v/>
      </c>
      <c r="F135" s="26">
        <f>F134+IF(U134="AB",1,0)</f>
        <v/>
      </c>
      <c r="G135" s="26">
        <f>G134+IF(U134="SC",1,0)</f>
        <v/>
      </c>
      <c r="H135" s="26">
        <f>H134+IF(U134="Mag",1,0)</f>
        <v/>
      </c>
      <c r="I135" s="26">
        <f>MAX(I134,IF(U134="OR",1,0))</f>
        <v/>
      </c>
      <c r="J135" s="26">
        <f>MAX(J134,IF(U134="HP",1,0))</f>
        <v/>
      </c>
      <c r="K135" s="26">
        <f>MAX(K134,IF(U134="FP",1,0))</f>
        <v/>
      </c>
      <c r="L135" s="26">
        <f>MAX(L134,IF(U134="transition",1,0))</f>
        <v/>
      </c>
      <c r="M135" s="28">
        <f>(Parameters!$B$9+(IF(E135=0,0,(Upgrades!$J$6+E135*Upgrades!$K$6)*POWER(Upgrades!$L$6,E135)))*(IF(Upgrades!$T$7="Solar Wind",POWER(Upgrades!$U$7,F135),1)*IF(Upgrades!$T$8="Solar Wind",POWER(Upgrades!$U$8,G135),1)*IF(Upgrades!$T$9="Solar Wind",POWER(Upgrades!$U$9,H135),1)*IF(Upgrades!$T$10="Solar Wind",POWER(Upgrades!$U$10,I135),1)*IF(Upgrades!$T$11="Solar Wind",POWER(Upgrades!$U$11,J135),1)*IF(Upgrades!$T$12="Solar Wind",POWER(Upgrades!$U$12,K135),1))+(IF(F135=0,0,(Upgrades!$J$7+F135*Upgrades!$K$7)*POWER(Upgrades!$L$7,F135)))*(IF(Upgrades!$T$6="Asteroid Belt",POWER(Upgrades!$U$6,E135),1)*IF(Upgrades!$T$8="Asteroid Belt",POWER(Upgrades!$U$8,G135),1)*IF(Upgrades!$T$9="Asteroid Belt",POWER(Upgrades!$U$9,H135),1)*IF(Upgrades!$T$10="Asteroid Belt",POWER(Upgrades!$U$10,I135),1)*IF(Upgrades!$T$11="Asteroid Belt",POWER(Upgrades!$U$11,J135),1)*IF(Upgrades!$T$12="Asteroid Belt",POWER(Upgrades!$U$12,K135),1))+(IF(G135=0,0,(Upgrades!$J$8+G135*Upgrades!$K$8)*POWER(Upgrades!$L$8,G135)))*(IF(Upgrades!$T$6="Stellar Coupling",POWER(Upgrades!$U$6,E135),1)*IF(Upgrades!$T$7="Stellar Coupling",POWER(Upgrades!$U$7,F135),1)*IF(Upgrades!$T$9="Stellar Coupling",POWER(Upgrades!$U$9,H135),1)*IF(Upgrades!$T$10="Stellar Coupling",POWER(Upgrades!$U$10,I135),1)*IF(Upgrades!$T$11="Stellar Coupling",POWER(Upgrades!$U$11,J135),1)*IF(Upgrades!$T$12="Stellar Coupling",POWER(Upgrades!$U$12,K135),1))+(IF(H135=0,0,(Upgrades!$J$9+H135*Upgrades!$K$9)*POWER(Upgrades!$L$9,H135)))*(IF(Upgrades!$T$6="Magnetosphere",POWER(Upgrades!$U$6,E135),1)*IF(Upgrades!$T$7="Magnetosphere",POWER(Upgrades!$U$7,F135),1)*IF(Upgrades!$T$8="Magnetosphere",POWER(Upgrades!$U$8,G135),1)*IF(Upgrades!$T$10="Magnetosphere",POWER(Upgrades!$U$10,I135),1)*IF(Upgrades!$T$11="Magnetosphere",POWER(Upgrades!$U$11,J135),1)*IF(Upgrades!$T$12="Magnetosphere",POWER(Upgrades!$U$12,K135),1))+(IF(I135=0,0,(Upgrades!$J$10+I135*Upgrades!$K$10)*POWER(Upgrades!$L$10,I135)))*(IF(Upgrades!$T$6="Orbital Resonance",POWER(Upgrades!$U$6,E135),1)*IF(Upgrades!$T$7="Orbital Resonance",POWER(Upgrades!$U$7,F135),1)*IF(Upgrades!$T$8="Orbital Resonance",POWER(Upgrades!$U$8,G135),1)*IF(Upgrades!$T$9="Orbital Resonance",POWER(Upgrades!$U$9,H135),1)*IF(Upgrades!$T$11="Orbital Resonance",POWER(Upgrades!$U$11,J135),1)*IF(Upgrades!$T$12="Orbital Resonance",POWER(Upgrades!$U$12,K135),1))+(IF(J135=0,0,(Upgrades!$J$11+J135*Upgrades!$K$11)*POWER(Upgrades!$L$11,J135)))*(IF(Upgrades!$T$6="Heliopause",POWER(Upgrades!$U$6,E135),1)*IF(Upgrades!$T$7="Heliopause",POWER(Upgrades!$U$7,F135),1)*IF(Upgrades!$T$8="Heliopause",POWER(Upgrades!$U$8,G135),1)*IF(Upgrades!$T$9="Heliopause",POWER(Upgrades!$U$9,H135),1)*IF(Upgrades!$T$10="Heliopause",POWER(Upgrades!$U$10,I135),1)*IF(Upgrades!$T$12="Heliopause",POWER(Upgrades!$U$12,K135),1))+(IF(K135=0,0,(Upgrades!$J$12+K135*Upgrades!$K$12)*POWER(Upgrades!$L$12,K135)))*(IF(Upgrades!$T$6="First Photons",POWER(Upgrades!$U$6,E135),1)*IF(Upgrades!$T$7="First Photons",POWER(Upgrades!$U$7,F135),1)*IF(Upgrades!$T$8="First Photons",POWER(Upgrades!$U$8,G135),1)*IF(Upgrades!$T$9="First Photons",POWER(Upgrades!$U$9,H135),1)*IF(Upgrades!$T$10="First Photons",POWER(Upgrades!$U$10,I135),1)*IF(Upgrades!$T$11="First Photons",POWER(Upgrades!$U$11,J135),1)))*POWER(Upgrades!$Q$6,E135)*POWER(Upgrades!$Q$7,F135)*POWER(Upgrades!$Q$8,G135)*POWER(Upgrades!$Q$9,H135)*POWER(Upgrades!$Q$10,I135)*POWER(Upgrades!$Q$11,J135)*POWER(Upgrades!$Q$12,K135)</f>
        <v/>
      </c>
      <c r="N135" s="28">
        <f>((IF(E135=0,0,(Upgrades!$G$6+E135*Upgrades!$H$6)*POWER(Upgrades!$I$6,E135)))*(IF(Upgrades!$T$7="Solar Wind",POWER(Upgrades!$U$7,F135),1)*IF(Upgrades!$T$8="Solar Wind",POWER(Upgrades!$U$8,G135),1)*IF(Upgrades!$T$9="Solar Wind",POWER(Upgrades!$U$9,H135),1)*IF(Upgrades!$T$10="Solar Wind",POWER(Upgrades!$U$10,I135),1)*IF(Upgrades!$T$11="Solar Wind",POWER(Upgrades!$U$11,J135),1)*IF(Upgrades!$T$12="Solar Wind",POWER(Upgrades!$U$12,K135),1))+(IF(F135=0,0,(Upgrades!$G$7+F135*Upgrades!$H$7)*POWER(Upgrades!$I$7,F135)))*(IF(Upgrades!$T$6="Asteroid Belt",POWER(Upgrades!$U$6,E135),1)*IF(Upgrades!$T$8="Asteroid Belt",POWER(Upgrades!$U$8,G135),1)*IF(Upgrades!$T$9="Asteroid Belt",POWER(Upgrades!$U$9,H135),1)*IF(Upgrades!$T$10="Asteroid Belt",POWER(Upgrades!$U$10,I135),1)*IF(Upgrades!$T$11="Asteroid Belt",POWER(Upgrades!$U$11,J135),1)*IF(Upgrades!$T$12="Asteroid Belt",POWER(Upgrades!$U$12,K135),1))+(IF(G135=0,0,(Upgrades!$G$8+G135*Upgrades!$H$8)*POWER(Upgrades!$I$8,G135)))*(IF(Upgrades!$T$6="Stellar Coupling",POWER(Upgrades!$U$6,E135),1)*IF(Upgrades!$T$7="Stellar Coupling",POWER(Upgrades!$U$7,F135),1)*IF(Upgrades!$T$9="Stellar Coupling",POWER(Upgrades!$U$9,H135),1)*IF(Upgrades!$T$10="Stellar Coupling",POWER(Upgrades!$U$10,I135),1)*IF(Upgrades!$T$11="Stellar Coupling",POWER(Upgrades!$U$11,J135),1)*IF(Upgrades!$T$12="Stellar Coupling",POWER(Upgrades!$U$12,K135),1))+(IF(H135=0,0,(Upgrades!$G$9+H135*Upgrades!$H$9)*POWER(Upgrades!$I$9,H135)))*(IF(Upgrades!$T$6="Magnetosphere",POWER(Upgrades!$U$6,E135),1)*IF(Upgrades!$T$7="Magnetosphere",POWER(Upgrades!$U$7,F135),1)*IF(Upgrades!$T$8="Magnetosphere",POWER(Upgrades!$U$8,G135),1)*IF(Upgrades!$T$10="Magnetosphere",POWER(Upgrades!$U$10,I135),1)*IF(Upgrades!$T$11="Magnetosphere",POWER(Upgrades!$U$11,J135),1)*IF(Upgrades!$T$12="Magnetosphere",POWER(Upgrades!$U$12,K135),1))+(IF(I135=0,0,(Upgrades!$G$10+I135*Upgrades!$H$10)*POWER(Upgrades!$I$10,I135)))*(IF(Upgrades!$T$6="Orbital Resonance",POWER(Upgrades!$U$6,E135),1)*IF(Upgrades!$T$7="Orbital Resonance",POWER(Upgrades!$U$7,F135),1)*IF(Upgrades!$T$8="Orbital Resonance",POWER(Upgrades!$U$8,G135),1)*IF(Upgrades!$T$9="Orbital Resonance",POWER(Upgrades!$U$9,H135),1)*IF(Upgrades!$T$11="Orbital Resonance",POWER(Upgrades!$U$11,J135),1)*IF(Upgrades!$T$12="Orbital Resonance",POWER(Upgrades!$U$12,K135),1))+(IF(J135=0,0,(Upgrades!$G$11+J135*Upgrades!$H$11)*POWER(Upgrades!$I$11,J135)))*(IF(Upgrades!$T$6="Heliopause",POWER(Upgrades!$U$6,E135),1)*IF(Upgrades!$T$7="Heliopause",POWER(Upgrades!$U$7,F135),1)*IF(Upgrades!$T$8="Heliopause",POWER(Upgrades!$U$8,G135),1)*IF(Upgrades!$T$9="Heliopause",POWER(Upgrades!$U$9,H135),1)*IF(Upgrades!$T$10="Heliopause",POWER(Upgrades!$U$10,I135),1)*IF(Upgrades!$T$12="Heliopause",POWER(Upgrades!$U$12,K135),1))+(IF(K135=0,0,(Upgrades!$G$12+K135*Upgrades!$H$12)*POWER(Upgrades!$I$12,K135)))*(IF(Upgrades!$T$6="First Photons",POWER(Upgrades!$U$6,E135),1)*IF(Upgrades!$T$7="First Photons",POWER(Upgrades!$U$7,F135),1)*IF(Upgrades!$T$8="First Photons",POWER(Upgrades!$U$8,G135),1)*IF(Upgrades!$T$9="First Photons",POWER(Upgrades!$U$9,H135),1)*IF(Upgrades!$T$10="First Photons",POWER(Upgrades!$U$10,I135),1)*IF(Upgrades!$T$11="First Photons",POWER(Upgrades!$U$11,J135),1)))*POWER(Upgrades!$P$6,E135)*POWER(Upgrades!$P$7,F135)*POWER(Upgrades!$P$8,G135)*POWER(Upgrades!$P$9,H135)*POWER(Upgrades!$P$10,I135)*POWER(Upgrades!$P$11,J135)*POWER(Upgrades!$P$12,K135)</f>
        <v/>
      </c>
      <c r="O135" s="28">
        <f>((IF(E135=0,0,(Upgrades!$M$6+E135*Upgrades!$N$6)*POWER(Upgrades!$O$6,E135)))*(IF(Upgrades!$T$7="Solar Wind",POWER(Upgrades!$U$7,F135),1)*IF(Upgrades!$T$8="Solar Wind",POWER(Upgrades!$U$8,G135),1)*IF(Upgrades!$T$9="Solar Wind",POWER(Upgrades!$U$9,H135),1)*IF(Upgrades!$T$10="Solar Wind",POWER(Upgrades!$U$10,I135),1)*IF(Upgrades!$T$11="Solar Wind",POWER(Upgrades!$U$11,J135),1)*IF(Upgrades!$T$12="Solar Wind",POWER(Upgrades!$U$12,K135),1))+(IF(F135=0,0,(Upgrades!$M$7+F135*Upgrades!$N$7)*POWER(Upgrades!$O$7,F135)))*(IF(Upgrades!$T$6="Asteroid Belt",POWER(Upgrades!$U$6,E135),1)*IF(Upgrades!$T$8="Asteroid Belt",POWER(Upgrades!$U$8,G135),1)*IF(Upgrades!$T$9="Asteroid Belt",POWER(Upgrades!$U$9,H135),1)*IF(Upgrades!$T$10="Asteroid Belt",POWER(Upgrades!$U$10,I135),1)*IF(Upgrades!$T$11="Asteroid Belt",POWER(Upgrades!$U$11,J135),1)*IF(Upgrades!$T$12="Asteroid Belt",POWER(Upgrades!$U$12,K135),1))+(IF(G135=0,0,(Upgrades!$M$8+G135*Upgrades!$N$8)*POWER(Upgrades!$O$8,G135)))*(IF(Upgrades!$T$6="Stellar Coupling",POWER(Upgrades!$U$6,E135),1)*IF(Upgrades!$T$7="Stellar Coupling",POWER(Upgrades!$U$7,F135),1)*IF(Upgrades!$T$9="Stellar Coupling",POWER(Upgrades!$U$9,H135),1)*IF(Upgrades!$T$10="Stellar Coupling",POWER(Upgrades!$U$10,I135),1)*IF(Upgrades!$T$11="Stellar Coupling",POWER(Upgrades!$U$11,J135),1)*IF(Upgrades!$T$12="Stellar Coupling",POWER(Upgrades!$U$12,K135),1))+(IF(H135=0,0,(Upgrades!$M$9+H135*Upgrades!$N$9)*POWER(Upgrades!$O$9,H135)))*(IF(Upgrades!$T$6="Magnetosphere",POWER(Upgrades!$U$6,E135),1)*IF(Upgrades!$T$7="Magnetosphere",POWER(Upgrades!$U$7,F135),1)*IF(Upgrades!$T$8="Magnetosphere",POWER(Upgrades!$U$8,G135),1)*IF(Upgrades!$T$10="Magnetosphere",POWER(Upgrades!$U$10,I135),1)*IF(Upgrades!$T$11="Magnetosphere",POWER(Upgrades!$U$11,J135),1)*IF(Upgrades!$T$12="Magnetosphere",POWER(Upgrades!$U$12,K135),1))+(IF(I135=0,0,(Upgrades!$M$10+I135*Upgrades!$N$10)*POWER(Upgrades!$O$10,I135)))*(IF(Upgrades!$T$6="Orbital Resonance",POWER(Upgrades!$U$6,E135),1)*IF(Upgrades!$T$7="Orbital Resonance",POWER(Upgrades!$U$7,F135),1)*IF(Upgrades!$T$8="Orbital Resonance",POWER(Upgrades!$U$8,G135),1)*IF(Upgrades!$T$9="Orbital Resonance",POWER(Upgrades!$U$9,H135),1)*IF(Upgrades!$T$11="Orbital Resonance",POWER(Upgrades!$U$11,J135),1)*IF(Upgrades!$T$12="Orbital Resonance",POWER(Upgrades!$U$12,K135),1))+(IF(J135=0,0,(Upgrades!$M$11+J135*Upgrades!$N$11)*POWER(Upgrades!$O$11,J135)))*(IF(Upgrades!$T$6="Heliopause",POWER(Upgrades!$U$6,E135),1)*IF(Upgrades!$T$7="Heliopause",POWER(Upgrades!$U$7,F135),1)*IF(Upgrades!$T$8="Heliopause",POWER(Upgrades!$U$8,G135),1)*IF(Upgrades!$T$9="Heliopause",POWER(Upgrades!$U$9,H135),1)*IF(Upgrades!$T$10="Heliopause",POWER(Upgrades!$U$10,I135),1)*IF(Upgrades!$T$12="Heliopause",POWER(Upgrades!$U$12,K135),1))+(IF(K135=0,0,(Upgrades!$M$12+K135*Upgrades!$N$12)*POWER(Upgrades!$O$12,K135)))*(IF(Upgrades!$T$6="First Photons",POWER(Upgrades!$U$6,E135),1)*IF(Upgrades!$T$7="First Photons",POWER(Upgrades!$U$7,F135),1)*IF(Upgrades!$T$8="First Photons",POWER(Upgrades!$U$8,G135),1)*IF(Upgrades!$T$9="First Photons",POWER(Upgrades!$U$9,H135),1)*IF(Upgrades!$T$10="First Photons",POWER(Upgrades!$U$10,I135),1)*IF(Upgrades!$T$11="First Photons",POWER(Upgrades!$U$11,J135),1)))*POWER(Upgrades!$R$6,E135)*POWER(Upgrades!$R$7,F135)*POWER(Upgrades!$R$8,G135)*POWER(Upgrades!$R$9,H135)*POWER(Upgrades!$R$10,I135)*POWER(Upgrades!$R$11,J135)*POWER(Upgrades!$R$12,K135)</f>
        <v/>
      </c>
      <c r="P135" s="27">
        <f>IF(L135=1,0,M135*Parameters!$B$10/60*Parameters!$B$11*10)</f>
        <v/>
      </c>
      <c r="Q135" s="27">
        <f>IF(L135=1,0,O135*M135*10)</f>
        <v/>
      </c>
      <c r="R135" s="27">
        <f>IF(L135=1,0,N135*10)</f>
        <v/>
      </c>
      <c r="S135" s="27">
        <f>P135+Q135+R135</f>
        <v/>
      </c>
      <c r="T135" s="22">
        <f>C135+S135</f>
        <v/>
      </c>
      <c r="U135" s="33">
        <f>AX135</f>
        <v/>
      </c>
      <c r="V135" s="22">
        <f>IF(U135="",0,IF(U135="transition",0,IF(U135="SW",AG135,IF(U135="AB",AH135,IF(U135="SC",AI135,IF(U135="Mag",AJ135,IF(U135="OR",AK135,IF(U135="HP",AL135,IF(U135="FP",AM135,0)))))))))</f>
        <v/>
      </c>
      <c r="W135" s="27">
        <f>IF(U135="OR",Upgrades!$F$10,IF(U135="HP",Upgrades!$F$11,IF(U135="transition",-Parameters!$B$18,0)))</f>
        <v/>
      </c>
      <c r="X135" s="22">
        <f>T135-V135</f>
        <v/>
      </c>
      <c r="Y135" s="30">
        <f>M135*Parameters!$B$10/60*Parameters!$B$11+O135*M135+N135</f>
        <v/>
      </c>
      <c r="Z135" s="34">
        <f>IF(U135="transition","→ Tier 2 (Stellar Neighborhood)",IF(U135="FP","First Photons — light begins, system quickens",IF(U135="HP","Heliopause acquired",IF(U135="OR","Orbital Resonance — passive multiplier active",IF(AND(AO135=1,L135=0,AN135&lt;&gt;1),"Cohesion ready (waiting on completionist upgrades)","")))))</f>
        <v/>
      </c>
      <c r="AA135" s="27">
        <f>(IF(E135=0,0,(Upgrades!$G$6+E135*Upgrades!$H$6)*POWER(Upgrades!$I$6,E135)))*(IF(Upgrades!$T$7="Solar Wind",POWER(Upgrades!$U$7,F135),1)*IF(Upgrades!$T$8="Solar Wind",POWER(Upgrades!$U$8,G135),1)*IF(Upgrades!$T$9="Solar Wind",POWER(Upgrades!$U$9,H135),1)*IF(Upgrades!$T$10="Solar Wind",POWER(Upgrades!$U$10,I135),1)*IF(Upgrades!$T$11="Solar Wind",POWER(Upgrades!$U$11,J135),1)*IF(Upgrades!$T$12="Solar Wind",POWER(Upgrades!$U$12,K135),1))*POWER(Upgrades!$P$6,E135)*POWER(Upgrades!$P$7,F135)*POWER(Upgrades!$P$8,G135)*POWER(Upgrades!$P$9,H135)*POWER(Upgrades!$P$10,I135)*POWER(Upgrades!$P$11,J135)*POWER(Upgrades!$P$12,K135)*60</f>
        <v/>
      </c>
      <c r="AB135" s="27">
        <f>(IF(F135=0,0,(Upgrades!$G$7+F135*Upgrades!$H$7)*POWER(Upgrades!$I$7,F135)))*(IF(Upgrades!$T$6="Asteroid Belt",POWER(Upgrades!$U$6,E135),1)*IF(Upgrades!$T$8="Asteroid Belt",POWER(Upgrades!$U$8,G135),1)*IF(Upgrades!$T$9="Asteroid Belt",POWER(Upgrades!$U$9,H135),1)*IF(Upgrades!$T$10="Asteroid Belt",POWER(Upgrades!$U$10,I135),1)*IF(Upgrades!$T$11="Asteroid Belt",POWER(Upgrades!$U$11,J135),1)*IF(Upgrades!$T$12="Asteroid Belt",POWER(Upgrades!$U$12,K135),1))*POWER(Upgrades!$P$6,E135)*POWER(Upgrades!$P$7,F135)*POWER(Upgrades!$P$8,G135)*POWER(Upgrades!$P$9,H135)*POWER(Upgrades!$P$10,I135)*POWER(Upgrades!$P$11,J135)*POWER(Upgrades!$P$12,K135)*60</f>
        <v/>
      </c>
      <c r="AC135" s="27">
        <f>(IF(G135=0,0,(Upgrades!$J$8+G135*Upgrades!$K$8)*POWER(Upgrades!$L$8,G135)))*(IF(Upgrades!$T$6="Stellar Coupling",POWER(Upgrades!$U$6,E135),1)*IF(Upgrades!$T$7="Stellar Coupling",POWER(Upgrades!$U$7,F135),1)*IF(Upgrades!$T$9="Stellar Coupling",POWER(Upgrades!$U$9,H135),1)*IF(Upgrades!$T$10="Stellar Coupling",POWER(Upgrades!$U$10,I135),1)*IF(Upgrades!$T$11="Stellar Coupling",POWER(Upgrades!$U$11,J135),1)*IF(Upgrades!$T$12="Stellar Coupling",POWER(Upgrades!$U$12,K135),1))*POWER(Upgrades!$Q$6,E135)*POWER(Upgrades!$Q$7,F135)*POWER(Upgrades!$Q$8,G135)*POWER(Upgrades!$Q$9,H135)*POWER(Upgrades!$Q$10,I135)*POWER(Upgrades!$Q$11,J135)*POWER(Upgrades!$Q$12,K135)*Parameters!$B$10*Parameters!$B$11</f>
        <v/>
      </c>
      <c r="AD135" s="27">
        <f>(IF(H135=0,0,(Upgrades!$G$9+H135*Upgrades!$H$9)*POWER(Upgrades!$I$9,H135)))*(IF(Upgrades!$T$6="Magnetosphere",POWER(Upgrades!$U$6,E135),1)*IF(Upgrades!$T$7="Magnetosphere",POWER(Upgrades!$U$7,F135),1)*IF(Upgrades!$T$8="Magnetosphere",POWER(Upgrades!$U$8,G135),1)*IF(Upgrades!$T$10="Magnetosphere",POWER(Upgrades!$U$10,I135),1)*IF(Upgrades!$T$11="Magnetosphere",POWER(Upgrades!$U$11,J135),1)*IF(Upgrades!$T$12="Magnetosphere",POWER(Upgrades!$U$12,K135),1))*POWER(Upgrades!$P$6,E135)*POWER(Upgrades!$P$7,F135)*POWER(Upgrades!$P$8,G135)*POWER(Upgrades!$P$9,H135)*POWER(Upgrades!$P$10,I135)*POWER(Upgrades!$P$11,J135)*POWER(Upgrades!$P$12,K135)*60</f>
        <v/>
      </c>
      <c r="AE135" s="27">
        <f>(IF(K135=0,0,(Upgrades!$G$12+K135*Upgrades!$H$12)*POWER(Upgrades!$I$12,K135)))*(IF(Upgrades!$T$6="First Photons",POWER(Upgrades!$U$6,E135),1)*IF(Upgrades!$T$7="First Photons",POWER(Upgrades!$U$7,F135),1)*IF(Upgrades!$T$8="First Photons",POWER(Upgrades!$U$8,G135),1)*IF(Upgrades!$T$9="First Photons",POWER(Upgrades!$U$9,H135),1)*IF(Upgrades!$T$10="First Photons",POWER(Upgrades!$U$10,I135),1)*IF(Upgrades!$T$11="First Photons",POWER(Upgrades!$U$11,J135),1))*POWER(Upgrades!$P$6,E135)*POWER(Upgrades!$P$7,F135)*POWER(Upgrades!$P$8,G135)*POWER(Upgrades!$P$9,H135)*POWER(Upgrades!$P$10,I135)*POWER(Upgrades!$P$11,J135)*POWER(Upgrades!$P$12,K135)*60</f>
        <v/>
      </c>
      <c r="AF135" s="27">
        <f>Parameters!$B$9*POWER(Upgrades!$Q$6,E135)*POWER(Upgrades!$Q$7,F135)*POWER(Upgrades!$Q$8,G135)*POWER(Upgrades!$Q$9,H135)*POWER(Upgrades!$Q$10,I135)*POWER(Upgrades!$Q$11,J135)*POWER(Upgrades!$Q$12,K135)*(Parameters!$B$10*Parameters!$B$11+O135*60)</f>
        <v/>
      </c>
      <c r="AG135" s="22">
        <f>IF(E135&gt;=Upgrades!$E$6,"",Upgrades!$C$6*POWER(Upgrades!$D$6,E135))</f>
        <v/>
      </c>
      <c r="AH135" s="22">
        <f>IF(F135&gt;=Upgrades!$E$7,"",Upgrades!$C$7*POWER(Upgrades!$D$7,F135))</f>
        <v/>
      </c>
      <c r="AI135" s="22">
        <f>IF(G135&gt;=Upgrades!$E$8,"",Upgrades!$C$8*POWER(Upgrades!$D$8,G135))</f>
        <v/>
      </c>
      <c r="AJ135" s="22">
        <f>IF(H135&gt;=Upgrades!$E$9,"",Upgrades!$C$9*POWER(Upgrades!$D$9,H135))</f>
        <v/>
      </c>
      <c r="AK135" s="22">
        <f>IF(I135&gt;=Upgrades!$E$10,"",Upgrades!$C$10*POWER(Upgrades!$D$10,I135))</f>
        <v/>
      </c>
      <c r="AL135" s="22">
        <f>IF(J135&gt;=Upgrades!$E$11,"",Upgrades!$C$11*POWER(Upgrades!$D$11,J135))</f>
        <v/>
      </c>
      <c r="AM135" s="22">
        <f>IF(K135&gt;=Upgrades!$E$12,"",Upgrades!$C$12*POWER(Upgrades!$D$12,K135))</f>
        <v/>
      </c>
      <c r="AN135" s="26">
        <f>IF(AND(D135&gt;=Parameters!$B$18,(H135&gt;=Upgrades!$E$9)*(K135&gt;=Upgrades!$E$12)=1,L135=0),1,"")</f>
        <v/>
      </c>
      <c r="AO135" s="26">
        <f>IF(AND(D135&gt;=Parameters!$B$18,L135=0),1,"")</f>
        <v/>
      </c>
      <c r="AP135" s="22">
        <f>MIN(IF(ISNUMBER(AK135),AK135,9E15),IF(ISNUMBER(AL135),AL135,9E15),IF(ISNUMBER(AM135),AM135,9E15))</f>
        <v/>
      </c>
      <c r="AQ135" s="22">
        <f>MIN(IF(ISNUMBER(AG135),AG135,9E15),IF(ISNUMBER(AH135),AH135,9E15),IF(ISNUMBER(AI135),AI135,9E15),IF(ISNUMBER(AJ135),AJ135,9E15))</f>
        <v/>
      </c>
      <c r="AR135" s="29">
        <f>IF(AW135&gt;Parameters!$B$21*(MAX(IF(AND(NOT(AND(AO135=1,AN135&lt;&gt;1)),ISNUMBER(AG135),AG135&lt;=T135),AS135,0),IF(AND(NOT(AND(AO135=1,AN135&lt;&gt;1)),ISNUMBER(AH135),AH135&lt;=T135),AT135,0),IF(AND(NOT(AND(AO135=1,AN135&lt;&gt;1)),ISNUMBER(AI135),AI135&lt;=T135),AU135,0),IF(AND(ISNUMBER(AJ135),AJ135&lt;=T135),AV135,0))),TRUE,FALSE)</f>
        <v/>
      </c>
      <c r="AS135" s="32">
        <f>IFERROR(Upgrades!$H$6*(POWER(Upgrades!$P$6,E135)*POWER(Upgrades!$P$7,F135)*POWER(Upgrades!$P$8,G135)*POWER(Upgrades!$P$9,H135)*POWER(Upgrades!$P$10,I135)*POWER(Upgrades!$P$11,J135)*POWER(Upgrades!$P$12,K135))*(IF(Upgrades!$T$7="Solar Wind",POWER(Upgrades!$U$7,F135),1)*IF(Upgrades!$T$8="Solar Wind",POWER(Upgrades!$U$8,G135),1)*IF(Upgrades!$T$9="Solar Wind",POWER(Upgrades!$U$9,H135),1)*IF(Upgrades!$T$10="Solar Wind",POWER(Upgrades!$U$10,I135),1)*IF(Upgrades!$T$11="Solar Wind",POWER(Upgrades!$U$11,J135),1)*IF(Upgrades!$T$12="Solar Wind",POWER(Upgrades!$U$12,K135),1))/AG135,0)</f>
        <v/>
      </c>
      <c r="AT135" s="32">
        <f>IFERROR(Upgrades!$H$7*(POWER(Upgrades!$P$6,E135)*POWER(Upgrades!$P$7,F135)*POWER(Upgrades!$P$8,G135)*POWER(Upgrades!$P$9,H135)*POWER(Upgrades!$P$10,I135)*POWER(Upgrades!$P$11,J135)*POWER(Upgrades!$P$12,K135))*(IF(Upgrades!$T$6="Asteroid Belt",POWER(Upgrades!$U$6,E135),1)*IF(Upgrades!$T$8="Asteroid Belt",POWER(Upgrades!$U$8,G135),1)*IF(Upgrades!$T$9="Asteroid Belt",POWER(Upgrades!$U$9,H135),1)*IF(Upgrades!$T$10="Asteroid Belt",POWER(Upgrades!$U$10,I135),1)*IF(Upgrades!$T$11="Asteroid Belt",POWER(Upgrades!$U$11,J135),1)*IF(Upgrades!$T$12="Asteroid Belt",POWER(Upgrades!$U$12,K135),1))/AH135,0)</f>
        <v/>
      </c>
      <c r="AU135" s="32">
        <f>IFERROR(Upgrades!$K$8*(POWER(Upgrades!$Q$6,E135)*POWER(Upgrades!$Q$7,F135)*POWER(Upgrades!$Q$8,G135)*POWER(Upgrades!$Q$9,H135)*POWER(Upgrades!$Q$10,I135)*POWER(Upgrades!$Q$11,J135)*POWER(Upgrades!$Q$12,K135))*(IF(Upgrades!$T$6="Stellar Coupling",POWER(Upgrades!$U$6,E135),1)*IF(Upgrades!$T$7="Stellar Coupling",POWER(Upgrades!$U$7,F135),1)*IF(Upgrades!$T$9="Stellar Coupling",POWER(Upgrades!$U$9,H135),1)*IF(Upgrades!$T$10="Stellar Coupling",POWER(Upgrades!$U$10,I135),1)*IF(Upgrades!$T$11="Stellar Coupling",POWER(Upgrades!$U$11,J135),1)*IF(Upgrades!$T$12="Stellar Coupling",POWER(Upgrades!$U$12,K135),1))*Parameters!$B$10*Parameters!$B$11/60/AI135,0)</f>
        <v/>
      </c>
      <c r="AV135" s="32">
        <f>IFERROR(Upgrades!$H$9*(POWER(Upgrades!$P$6,E135)*POWER(Upgrades!$P$7,F135)*POWER(Upgrades!$P$8,G135)*POWER(Upgrades!$P$9,H135)*POWER(Upgrades!$P$10,I135)*POWER(Upgrades!$P$11,J135)*POWER(Upgrades!$P$12,K135))*(IF(Upgrades!$T$6="Magnetosphere",POWER(Upgrades!$U$6,E135),1)*IF(Upgrades!$T$7="Magnetosphere",POWER(Upgrades!$U$7,F135),1)*IF(Upgrades!$T$8="Magnetosphere",POWER(Upgrades!$U$8,G135),1)*IF(Upgrades!$T$10="Magnetosphere",POWER(Upgrades!$U$10,I135),1)*IF(Upgrades!$T$11="Magnetosphere",POWER(Upgrades!$U$11,J135),1)*IF(Upgrades!$T$12="Magnetosphere",POWER(Upgrades!$U$12,K135),1))/AJ135,0)</f>
        <v/>
      </c>
      <c r="AW135" s="32">
        <f>MAX(IF(I135&gt;0,0,IFERROR(0.25*N135/Upgrades!$C$10,0)),IF(J135&gt;0,0,IFERROR(0.5*((IF(G135=0,0,(Upgrades!$J$8+G135*Upgrades!$K$8)*POWER(Upgrades!$L$8,G135)))*(IF(Upgrades!$T$6="Stellar Coupling",POWER(Upgrades!$U$6,E135),1)*IF(Upgrades!$T$7="Stellar Coupling",POWER(Upgrades!$U$7,F135),1)*IF(Upgrades!$T$9="Stellar Coupling",POWER(Upgrades!$U$9,H135),1)*IF(Upgrades!$T$10="Stellar Coupling",POWER(Upgrades!$U$10,I135),1)*IF(Upgrades!$T$11="Stellar Coupling",POWER(Upgrades!$U$11,J135),1)*IF(Upgrades!$T$12="Stellar Coupling",POWER(Upgrades!$U$12,K135),1))*(POWER(Upgrades!$Q$6,E135)*POWER(Upgrades!$Q$7,F135)*POWER(Upgrades!$Q$8,G135)*POWER(Upgrades!$Q$9,H135)*POWER(Upgrades!$Q$10,I135)*POWER(Upgrades!$Q$11,J135)*POWER(Upgrades!$Q$12,K135))*Parameters!$B$10*Parameters!$B$11/60)/Upgrades!$C$11,0)),IF(K135&gt;0,0,IFERROR((1.0*(POWER(Upgrades!$P$6,E135)*POWER(Upgrades!$P$7,F135)*POWER(Upgrades!$P$8,G135)*POWER(Upgrades!$P$9,H135)*POWER(Upgrades!$P$10,I135)*POWER(Upgrades!$P$11,J135)*POWER(Upgrades!$P$12,K135))+0.20*M135*Parameters!$B$10*Parameters!$B$11/60)/Upgrades!$C$12,0)),IF(AND(ISNUMBER(AG135),AG135&gt;T135),AS135,0),IF(AND(ISNUMBER(AH135),AH135&gt;T135),AT135,0),IF(AND(ISNUMBER(AI135),AI135&gt;T135),AU135,0),IF(AND(ISNUMBER(AJ135),AJ135&gt;T135),AV135,0))</f>
        <v/>
      </c>
      <c r="AX135" s="29">
        <f>IF(AN135=1,"transition",IF(MIN(IF(AND(I135=0,ISNUMBER(AK135),AK135&lt;=T135),AK135,9E15),IF(AND(J135=0,ISNUMBER(AL135),AL135&lt;=T135),AL135,9E15),IF(AND(K135=0,ISNUMBER(AM135),AM135&lt;=T135),AM135,9E15))&lt;9E15,IF(AND(AND(I135=0,ISNUMBER(AK135),AK135&lt;=T135),AK135=MIN(IF(AND(I135=0,ISNUMBER(AK135),AK135&lt;=T135),AK135,9E15),IF(AND(J135=0,ISNUMBER(AL135),AL135&lt;=T135),AL135,9E15),IF(AND(K135=0,ISNUMBER(AM135),AM135&lt;=T135),AM135,9E15))),"OR",IF(AND(AND(J135=0,ISNUMBER(AL135),AL135&lt;=T135),AL135=MIN(IF(AND(I135=0,ISNUMBER(AK135),AK135&lt;=T135),AK135,9E15),IF(AND(J135=0,ISNUMBER(AL135),AL135&lt;=T135),AL135,9E15),IF(AND(K135=0,ISNUMBER(AM135),AM135&lt;=T135),AM135,9E15))),"HP","FP")),IF(AR135=TRUE,"",IF(MAX(IF(AND(NOT(AND(AO135=1,AN135&lt;&gt;1)),ISNUMBER(AG135),AG135&lt;=T135),AS135,0),IF(AND(NOT(AND(AO135=1,AN135&lt;&gt;1)),ISNUMBER(AH135),AH135&lt;=T135),AT135,0),IF(AND(NOT(AND(AO135=1,AN135&lt;&gt;1)),ISNUMBER(AI135),AI135&lt;=T135),AU135,0),IF(AND(ISNUMBER(AJ135),AJ135&lt;=T135),AV135,0))&lt;=0,"",IF(AND(IF(AND(NOT(AND(AO135=1,AN135&lt;&gt;1)),ISNUMBER(AG135),AG135&lt;=T135),AS135,0)&gt;0,IF(AND(NOT(AND(AO135=1,AN135&lt;&gt;1)),ISNUMBER(AG135),AG135&lt;=T135),AS135,0)=MAX(IF(AND(NOT(AND(AO135=1,AN135&lt;&gt;1)),ISNUMBER(AG135),AG135&lt;=T135),AS135,0),IF(AND(NOT(AND(AO135=1,AN135&lt;&gt;1)),ISNUMBER(AH135),AH135&lt;=T135),AT135,0),IF(AND(NOT(AND(AO135=1,AN135&lt;&gt;1)),ISNUMBER(AI135),AI135&lt;=T135),AU135,0),IF(AND(ISNUMBER(AJ135),AJ135&lt;=T135),AV135,0))),"SW",IF(AND(IF(AND(NOT(AND(AO135=1,AN135&lt;&gt;1)),ISNUMBER(AH135),AH135&lt;=T135),AT135,0)&gt;0,IF(AND(NOT(AND(AO135=1,AN135&lt;&gt;1)),ISNUMBER(AH135),AH135&lt;=T135),AT135,0)=MAX(IF(AND(NOT(AND(AO135=1,AN135&lt;&gt;1)),ISNUMBER(AG135),AG135&lt;=T135),AS135,0),IF(AND(NOT(AND(AO135=1,AN135&lt;&gt;1)),ISNUMBER(AH135),AH135&lt;=T135),AT135,0),IF(AND(NOT(AND(AO135=1,AN135&lt;&gt;1)),ISNUMBER(AI135),AI135&lt;=T135),AU135,0),IF(AND(ISNUMBER(AJ135),AJ135&lt;=T135),AV135,0))),"AB",IF(AND(IF(AND(NOT(AND(AO135=1,AN135&lt;&gt;1)),ISNUMBER(AI135),AI135&lt;=T135),AU135,0)&gt;0,IF(AND(NOT(AND(AO135=1,AN135&lt;&gt;1)),ISNUMBER(AI135),AI135&lt;=T135),AU135,0)=MAX(IF(AND(NOT(AND(AO135=1,AN135&lt;&gt;1)),ISNUMBER(AG135),AG135&lt;=T135),AS135,0),IF(AND(NOT(AND(AO135=1,AN135&lt;&gt;1)),ISNUMBER(AH135),AH135&lt;=T135),AT135,0),IF(AND(NOT(AND(AO135=1,AN135&lt;&gt;1)),ISNUMBER(AI135),AI135&lt;=T135),AU135,0),IF(AND(ISNUMBER(AJ135),AJ135&lt;=T135),AV135,0))),"SC","Mag")))))))</f>
        <v/>
      </c>
    </row>
    <row r="136">
      <c r="A136" s="26" t="n">
        <v>131</v>
      </c>
      <c r="B136" s="27">
        <f>A136*10/60</f>
        <v/>
      </c>
      <c r="C136" s="22">
        <f>X135</f>
        <v/>
      </c>
      <c r="D136" s="27">
        <f>D135+W135</f>
        <v/>
      </c>
      <c r="E136" s="26">
        <f>E135+IF(U135="SW",1,0)</f>
        <v/>
      </c>
      <c r="F136" s="26">
        <f>F135+IF(U135="AB",1,0)</f>
        <v/>
      </c>
      <c r="G136" s="26">
        <f>G135+IF(U135="SC",1,0)</f>
        <v/>
      </c>
      <c r="H136" s="26">
        <f>H135+IF(U135="Mag",1,0)</f>
        <v/>
      </c>
      <c r="I136" s="26">
        <f>MAX(I135,IF(U135="OR",1,0))</f>
        <v/>
      </c>
      <c r="J136" s="26">
        <f>MAX(J135,IF(U135="HP",1,0))</f>
        <v/>
      </c>
      <c r="K136" s="26">
        <f>MAX(K135,IF(U135="FP",1,0))</f>
        <v/>
      </c>
      <c r="L136" s="26">
        <f>MAX(L135,IF(U135="transition",1,0))</f>
        <v/>
      </c>
      <c r="M136" s="28">
        <f>(Parameters!$B$9+(IF(E136=0,0,(Upgrades!$J$6+E136*Upgrades!$K$6)*POWER(Upgrades!$L$6,E136)))*(IF(Upgrades!$T$7="Solar Wind",POWER(Upgrades!$U$7,F136),1)*IF(Upgrades!$T$8="Solar Wind",POWER(Upgrades!$U$8,G136),1)*IF(Upgrades!$T$9="Solar Wind",POWER(Upgrades!$U$9,H136),1)*IF(Upgrades!$T$10="Solar Wind",POWER(Upgrades!$U$10,I136),1)*IF(Upgrades!$T$11="Solar Wind",POWER(Upgrades!$U$11,J136),1)*IF(Upgrades!$T$12="Solar Wind",POWER(Upgrades!$U$12,K136),1))+(IF(F136=0,0,(Upgrades!$J$7+F136*Upgrades!$K$7)*POWER(Upgrades!$L$7,F136)))*(IF(Upgrades!$T$6="Asteroid Belt",POWER(Upgrades!$U$6,E136),1)*IF(Upgrades!$T$8="Asteroid Belt",POWER(Upgrades!$U$8,G136),1)*IF(Upgrades!$T$9="Asteroid Belt",POWER(Upgrades!$U$9,H136),1)*IF(Upgrades!$T$10="Asteroid Belt",POWER(Upgrades!$U$10,I136),1)*IF(Upgrades!$T$11="Asteroid Belt",POWER(Upgrades!$U$11,J136),1)*IF(Upgrades!$T$12="Asteroid Belt",POWER(Upgrades!$U$12,K136),1))+(IF(G136=0,0,(Upgrades!$J$8+G136*Upgrades!$K$8)*POWER(Upgrades!$L$8,G136)))*(IF(Upgrades!$T$6="Stellar Coupling",POWER(Upgrades!$U$6,E136),1)*IF(Upgrades!$T$7="Stellar Coupling",POWER(Upgrades!$U$7,F136),1)*IF(Upgrades!$T$9="Stellar Coupling",POWER(Upgrades!$U$9,H136),1)*IF(Upgrades!$T$10="Stellar Coupling",POWER(Upgrades!$U$10,I136),1)*IF(Upgrades!$T$11="Stellar Coupling",POWER(Upgrades!$U$11,J136),1)*IF(Upgrades!$T$12="Stellar Coupling",POWER(Upgrades!$U$12,K136),1))+(IF(H136=0,0,(Upgrades!$J$9+H136*Upgrades!$K$9)*POWER(Upgrades!$L$9,H136)))*(IF(Upgrades!$T$6="Magnetosphere",POWER(Upgrades!$U$6,E136),1)*IF(Upgrades!$T$7="Magnetosphere",POWER(Upgrades!$U$7,F136),1)*IF(Upgrades!$T$8="Magnetosphere",POWER(Upgrades!$U$8,G136),1)*IF(Upgrades!$T$10="Magnetosphere",POWER(Upgrades!$U$10,I136),1)*IF(Upgrades!$T$11="Magnetosphere",POWER(Upgrades!$U$11,J136),1)*IF(Upgrades!$T$12="Magnetosphere",POWER(Upgrades!$U$12,K136),1))+(IF(I136=0,0,(Upgrades!$J$10+I136*Upgrades!$K$10)*POWER(Upgrades!$L$10,I136)))*(IF(Upgrades!$T$6="Orbital Resonance",POWER(Upgrades!$U$6,E136),1)*IF(Upgrades!$T$7="Orbital Resonance",POWER(Upgrades!$U$7,F136),1)*IF(Upgrades!$T$8="Orbital Resonance",POWER(Upgrades!$U$8,G136),1)*IF(Upgrades!$T$9="Orbital Resonance",POWER(Upgrades!$U$9,H136),1)*IF(Upgrades!$T$11="Orbital Resonance",POWER(Upgrades!$U$11,J136),1)*IF(Upgrades!$T$12="Orbital Resonance",POWER(Upgrades!$U$12,K136),1))+(IF(J136=0,0,(Upgrades!$J$11+J136*Upgrades!$K$11)*POWER(Upgrades!$L$11,J136)))*(IF(Upgrades!$T$6="Heliopause",POWER(Upgrades!$U$6,E136),1)*IF(Upgrades!$T$7="Heliopause",POWER(Upgrades!$U$7,F136),1)*IF(Upgrades!$T$8="Heliopause",POWER(Upgrades!$U$8,G136),1)*IF(Upgrades!$T$9="Heliopause",POWER(Upgrades!$U$9,H136),1)*IF(Upgrades!$T$10="Heliopause",POWER(Upgrades!$U$10,I136),1)*IF(Upgrades!$T$12="Heliopause",POWER(Upgrades!$U$12,K136),1))+(IF(K136=0,0,(Upgrades!$J$12+K136*Upgrades!$K$12)*POWER(Upgrades!$L$12,K136)))*(IF(Upgrades!$T$6="First Photons",POWER(Upgrades!$U$6,E136),1)*IF(Upgrades!$T$7="First Photons",POWER(Upgrades!$U$7,F136),1)*IF(Upgrades!$T$8="First Photons",POWER(Upgrades!$U$8,G136),1)*IF(Upgrades!$T$9="First Photons",POWER(Upgrades!$U$9,H136),1)*IF(Upgrades!$T$10="First Photons",POWER(Upgrades!$U$10,I136),1)*IF(Upgrades!$T$11="First Photons",POWER(Upgrades!$U$11,J136),1)))*POWER(Upgrades!$Q$6,E136)*POWER(Upgrades!$Q$7,F136)*POWER(Upgrades!$Q$8,G136)*POWER(Upgrades!$Q$9,H136)*POWER(Upgrades!$Q$10,I136)*POWER(Upgrades!$Q$11,J136)*POWER(Upgrades!$Q$12,K136)</f>
        <v/>
      </c>
      <c r="N136" s="28">
        <f>((IF(E136=0,0,(Upgrades!$G$6+E136*Upgrades!$H$6)*POWER(Upgrades!$I$6,E136)))*(IF(Upgrades!$T$7="Solar Wind",POWER(Upgrades!$U$7,F136),1)*IF(Upgrades!$T$8="Solar Wind",POWER(Upgrades!$U$8,G136),1)*IF(Upgrades!$T$9="Solar Wind",POWER(Upgrades!$U$9,H136),1)*IF(Upgrades!$T$10="Solar Wind",POWER(Upgrades!$U$10,I136),1)*IF(Upgrades!$T$11="Solar Wind",POWER(Upgrades!$U$11,J136),1)*IF(Upgrades!$T$12="Solar Wind",POWER(Upgrades!$U$12,K136),1))+(IF(F136=0,0,(Upgrades!$G$7+F136*Upgrades!$H$7)*POWER(Upgrades!$I$7,F136)))*(IF(Upgrades!$T$6="Asteroid Belt",POWER(Upgrades!$U$6,E136),1)*IF(Upgrades!$T$8="Asteroid Belt",POWER(Upgrades!$U$8,G136),1)*IF(Upgrades!$T$9="Asteroid Belt",POWER(Upgrades!$U$9,H136),1)*IF(Upgrades!$T$10="Asteroid Belt",POWER(Upgrades!$U$10,I136),1)*IF(Upgrades!$T$11="Asteroid Belt",POWER(Upgrades!$U$11,J136),1)*IF(Upgrades!$T$12="Asteroid Belt",POWER(Upgrades!$U$12,K136),1))+(IF(G136=0,0,(Upgrades!$G$8+G136*Upgrades!$H$8)*POWER(Upgrades!$I$8,G136)))*(IF(Upgrades!$T$6="Stellar Coupling",POWER(Upgrades!$U$6,E136),1)*IF(Upgrades!$T$7="Stellar Coupling",POWER(Upgrades!$U$7,F136),1)*IF(Upgrades!$T$9="Stellar Coupling",POWER(Upgrades!$U$9,H136),1)*IF(Upgrades!$T$10="Stellar Coupling",POWER(Upgrades!$U$10,I136),1)*IF(Upgrades!$T$11="Stellar Coupling",POWER(Upgrades!$U$11,J136),1)*IF(Upgrades!$T$12="Stellar Coupling",POWER(Upgrades!$U$12,K136),1))+(IF(H136=0,0,(Upgrades!$G$9+H136*Upgrades!$H$9)*POWER(Upgrades!$I$9,H136)))*(IF(Upgrades!$T$6="Magnetosphere",POWER(Upgrades!$U$6,E136),1)*IF(Upgrades!$T$7="Magnetosphere",POWER(Upgrades!$U$7,F136),1)*IF(Upgrades!$T$8="Magnetosphere",POWER(Upgrades!$U$8,G136),1)*IF(Upgrades!$T$10="Magnetosphere",POWER(Upgrades!$U$10,I136),1)*IF(Upgrades!$T$11="Magnetosphere",POWER(Upgrades!$U$11,J136),1)*IF(Upgrades!$T$12="Magnetosphere",POWER(Upgrades!$U$12,K136),1))+(IF(I136=0,0,(Upgrades!$G$10+I136*Upgrades!$H$10)*POWER(Upgrades!$I$10,I136)))*(IF(Upgrades!$T$6="Orbital Resonance",POWER(Upgrades!$U$6,E136),1)*IF(Upgrades!$T$7="Orbital Resonance",POWER(Upgrades!$U$7,F136),1)*IF(Upgrades!$T$8="Orbital Resonance",POWER(Upgrades!$U$8,G136),1)*IF(Upgrades!$T$9="Orbital Resonance",POWER(Upgrades!$U$9,H136),1)*IF(Upgrades!$T$11="Orbital Resonance",POWER(Upgrades!$U$11,J136),1)*IF(Upgrades!$T$12="Orbital Resonance",POWER(Upgrades!$U$12,K136),1))+(IF(J136=0,0,(Upgrades!$G$11+J136*Upgrades!$H$11)*POWER(Upgrades!$I$11,J136)))*(IF(Upgrades!$T$6="Heliopause",POWER(Upgrades!$U$6,E136),1)*IF(Upgrades!$T$7="Heliopause",POWER(Upgrades!$U$7,F136),1)*IF(Upgrades!$T$8="Heliopause",POWER(Upgrades!$U$8,G136),1)*IF(Upgrades!$T$9="Heliopause",POWER(Upgrades!$U$9,H136),1)*IF(Upgrades!$T$10="Heliopause",POWER(Upgrades!$U$10,I136),1)*IF(Upgrades!$T$12="Heliopause",POWER(Upgrades!$U$12,K136),1))+(IF(K136=0,0,(Upgrades!$G$12+K136*Upgrades!$H$12)*POWER(Upgrades!$I$12,K136)))*(IF(Upgrades!$T$6="First Photons",POWER(Upgrades!$U$6,E136),1)*IF(Upgrades!$T$7="First Photons",POWER(Upgrades!$U$7,F136),1)*IF(Upgrades!$T$8="First Photons",POWER(Upgrades!$U$8,G136),1)*IF(Upgrades!$T$9="First Photons",POWER(Upgrades!$U$9,H136),1)*IF(Upgrades!$T$10="First Photons",POWER(Upgrades!$U$10,I136),1)*IF(Upgrades!$T$11="First Photons",POWER(Upgrades!$U$11,J136),1)))*POWER(Upgrades!$P$6,E136)*POWER(Upgrades!$P$7,F136)*POWER(Upgrades!$P$8,G136)*POWER(Upgrades!$P$9,H136)*POWER(Upgrades!$P$10,I136)*POWER(Upgrades!$P$11,J136)*POWER(Upgrades!$P$12,K136)</f>
        <v/>
      </c>
      <c r="O136" s="28">
        <f>((IF(E136=0,0,(Upgrades!$M$6+E136*Upgrades!$N$6)*POWER(Upgrades!$O$6,E136)))*(IF(Upgrades!$T$7="Solar Wind",POWER(Upgrades!$U$7,F136),1)*IF(Upgrades!$T$8="Solar Wind",POWER(Upgrades!$U$8,G136),1)*IF(Upgrades!$T$9="Solar Wind",POWER(Upgrades!$U$9,H136),1)*IF(Upgrades!$T$10="Solar Wind",POWER(Upgrades!$U$10,I136),1)*IF(Upgrades!$T$11="Solar Wind",POWER(Upgrades!$U$11,J136),1)*IF(Upgrades!$T$12="Solar Wind",POWER(Upgrades!$U$12,K136),1))+(IF(F136=0,0,(Upgrades!$M$7+F136*Upgrades!$N$7)*POWER(Upgrades!$O$7,F136)))*(IF(Upgrades!$T$6="Asteroid Belt",POWER(Upgrades!$U$6,E136),1)*IF(Upgrades!$T$8="Asteroid Belt",POWER(Upgrades!$U$8,G136),1)*IF(Upgrades!$T$9="Asteroid Belt",POWER(Upgrades!$U$9,H136),1)*IF(Upgrades!$T$10="Asteroid Belt",POWER(Upgrades!$U$10,I136),1)*IF(Upgrades!$T$11="Asteroid Belt",POWER(Upgrades!$U$11,J136),1)*IF(Upgrades!$T$12="Asteroid Belt",POWER(Upgrades!$U$12,K136),1))+(IF(G136=0,0,(Upgrades!$M$8+G136*Upgrades!$N$8)*POWER(Upgrades!$O$8,G136)))*(IF(Upgrades!$T$6="Stellar Coupling",POWER(Upgrades!$U$6,E136),1)*IF(Upgrades!$T$7="Stellar Coupling",POWER(Upgrades!$U$7,F136),1)*IF(Upgrades!$T$9="Stellar Coupling",POWER(Upgrades!$U$9,H136),1)*IF(Upgrades!$T$10="Stellar Coupling",POWER(Upgrades!$U$10,I136),1)*IF(Upgrades!$T$11="Stellar Coupling",POWER(Upgrades!$U$11,J136),1)*IF(Upgrades!$T$12="Stellar Coupling",POWER(Upgrades!$U$12,K136),1))+(IF(H136=0,0,(Upgrades!$M$9+H136*Upgrades!$N$9)*POWER(Upgrades!$O$9,H136)))*(IF(Upgrades!$T$6="Magnetosphere",POWER(Upgrades!$U$6,E136),1)*IF(Upgrades!$T$7="Magnetosphere",POWER(Upgrades!$U$7,F136),1)*IF(Upgrades!$T$8="Magnetosphere",POWER(Upgrades!$U$8,G136),1)*IF(Upgrades!$T$10="Magnetosphere",POWER(Upgrades!$U$10,I136),1)*IF(Upgrades!$T$11="Magnetosphere",POWER(Upgrades!$U$11,J136),1)*IF(Upgrades!$T$12="Magnetosphere",POWER(Upgrades!$U$12,K136),1))+(IF(I136=0,0,(Upgrades!$M$10+I136*Upgrades!$N$10)*POWER(Upgrades!$O$10,I136)))*(IF(Upgrades!$T$6="Orbital Resonance",POWER(Upgrades!$U$6,E136),1)*IF(Upgrades!$T$7="Orbital Resonance",POWER(Upgrades!$U$7,F136),1)*IF(Upgrades!$T$8="Orbital Resonance",POWER(Upgrades!$U$8,G136),1)*IF(Upgrades!$T$9="Orbital Resonance",POWER(Upgrades!$U$9,H136),1)*IF(Upgrades!$T$11="Orbital Resonance",POWER(Upgrades!$U$11,J136),1)*IF(Upgrades!$T$12="Orbital Resonance",POWER(Upgrades!$U$12,K136),1))+(IF(J136=0,0,(Upgrades!$M$11+J136*Upgrades!$N$11)*POWER(Upgrades!$O$11,J136)))*(IF(Upgrades!$T$6="Heliopause",POWER(Upgrades!$U$6,E136),1)*IF(Upgrades!$T$7="Heliopause",POWER(Upgrades!$U$7,F136),1)*IF(Upgrades!$T$8="Heliopause",POWER(Upgrades!$U$8,G136),1)*IF(Upgrades!$T$9="Heliopause",POWER(Upgrades!$U$9,H136),1)*IF(Upgrades!$T$10="Heliopause",POWER(Upgrades!$U$10,I136),1)*IF(Upgrades!$T$12="Heliopause",POWER(Upgrades!$U$12,K136),1))+(IF(K136=0,0,(Upgrades!$M$12+K136*Upgrades!$N$12)*POWER(Upgrades!$O$12,K136)))*(IF(Upgrades!$T$6="First Photons",POWER(Upgrades!$U$6,E136),1)*IF(Upgrades!$T$7="First Photons",POWER(Upgrades!$U$7,F136),1)*IF(Upgrades!$T$8="First Photons",POWER(Upgrades!$U$8,G136),1)*IF(Upgrades!$T$9="First Photons",POWER(Upgrades!$U$9,H136),1)*IF(Upgrades!$T$10="First Photons",POWER(Upgrades!$U$10,I136),1)*IF(Upgrades!$T$11="First Photons",POWER(Upgrades!$U$11,J136),1)))*POWER(Upgrades!$R$6,E136)*POWER(Upgrades!$R$7,F136)*POWER(Upgrades!$R$8,G136)*POWER(Upgrades!$R$9,H136)*POWER(Upgrades!$R$10,I136)*POWER(Upgrades!$R$11,J136)*POWER(Upgrades!$R$12,K136)</f>
        <v/>
      </c>
      <c r="P136" s="27">
        <f>IF(L136=1,0,M136*Parameters!$B$10/60*Parameters!$B$11*10)</f>
        <v/>
      </c>
      <c r="Q136" s="27">
        <f>IF(L136=1,0,O136*M136*10)</f>
        <v/>
      </c>
      <c r="R136" s="27">
        <f>IF(L136=1,0,N136*10)</f>
        <v/>
      </c>
      <c r="S136" s="27">
        <f>P136+Q136+R136</f>
        <v/>
      </c>
      <c r="T136" s="22">
        <f>C136+S136</f>
        <v/>
      </c>
      <c r="U136" s="33">
        <f>AX136</f>
        <v/>
      </c>
      <c r="V136" s="22">
        <f>IF(U136="",0,IF(U136="transition",0,IF(U136="SW",AG136,IF(U136="AB",AH136,IF(U136="SC",AI136,IF(U136="Mag",AJ136,IF(U136="OR",AK136,IF(U136="HP",AL136,IF(U136="FP",AM136,0)))))))))</f>
        <v/>
      </c>
      <c r="W136" s="27">
        <f>IF(U136="OR",Upgrades!$F$10,IF(U136="HP",Upgrades!$F$11,IF(U136="transition",-Parameters!$B$18,0)))</f>
        <v/>
      </c>
      <c r="X136" s="22">
        <f>T136-V136</f>
        <v/>
      </c>
      <c r="Y136" s="30">
        <f>M136*Parameters!$B$10/60*Parameters!$B$11+O136*M136+N136</f>
        <v/>
      </c>
      <c r="Z136" s="34">
        <f>IF(U136="transition","→ Tier 2 (Stellar Neighborhood)",IF(U136="FP","First Photons — light begins, system quickens",IF(U136="HP","Heliopause acquired",IF(U136="OR","Orbital Resonance — passive multiplier active",IF(AND(AO136=1,L136=0,AN136&lt;&gt;1),"Cohesion ready (waiting on completionist upgrades)","")))))</f>
        <v/>
      </c>
      <c r="AA136" s="27">
        <f>(IF(E136=0,0,(Upgrades!$G$6+E136*Upgrades!$H$6)*POWER(Upgrades!$I$6,E136)))*(IF(Upgrades!$T$7="Solar Wind",POWER(Upgrades!$U$7,F136),1)*IF(Upgrades!$T$8="Solar Wind",POWER(Upgrades!$U$8,G136),1)*IF(Upgrades!$T$9="Solar Wind",POWER(Upgrades!$U$9,H136),1)*IF(Upgrades!$T$10="Solar Wind",POWER(Upgrades!$U$10,I136),1)*IF(Upgrades!$T$11="Solar Wind",POWER(Upgrades!$U$11,J136),1)*IF(Upgrades!$T$12="Solar Wind",POWER(Upgrades!$U$12,K136),1))*POWER(Upgrades!$P$6,E136)*POWER(Upgrades!$P$7,F136)*POWER(Upgrades!$P$8,G136)*POWER(Upgrades!$P$9,H136)*POWER(Upgrades!$P$10,I136)*POWER(Upgrades!$P$11,J136)*POWER(Upgrades!$P$12,K136)*60</f>
        <v/>
      </c>
      <c r="AB136" s="27">
        <f>(IF(F136=0,0,(Upgrades!$G$7+F136*Upgrades!$H$7)*POWER(Upgrades!$I$7,F136)))*(IF(Upgrades!$T$6="Asteroid Belt",POWER(Upgrades!$U$6,E136),1)*IF(Upgrades!$T$8="Asteroid Belt",POWER(Upgrades!$U$8,G136),1)*IF(Upgrades!$T$9="Asteroid Belt",POWER(Upgrades!$U$9,H136),1)*IF(Upgrades!$T$10="Asteroid Belt",POWER(Upgrades!$U$10,I136),1)*IF(Upgrades!$T$11="Asteroid Belt",POWER(Upgrades!$U$11,J136),1)*IF(Upgrades!$T$12="Asteroid Belt",POWER(Upgrades!$U$12,K136),1))*POWER(Upgrades!$P$6,E136)*POWER(Upgrades!$P$7,F136)*POWER(Upgrades!$P$8,G136)*POWER(Upgrades!$P$9,H136)*POWER(Upgrades!$P$10,I136)*POWER(Upgrades!$P$11,J136)*POWER(Upgrades!$P$12,K136)*60</f>
        <v/>
      </c>
      <c r="AC136" s="27">
        <f>(IF(G136=0,0,(Upgrades!$J$8+G136*Upgrades!$K$8)*POWER(Upgrades!$L$8,G136)))*(IF(Upgrades!$T$6="Stellar Coupling",POWER(Upgrades!$U$6,E136),1)*IF(Upgrades!$T$7="Stellar Coupling",POWER(Upgrades!$U$7,F136),1)*IF(Upgrades!$T$9="Stellar Coupling",POWER(Upgrades!$U$9,H136),1)*IF(Upgrades!$T$10="Stellar Coupling",POWER(Upgrades!$U$10,I136),1)*IF(Upgrades!$T$11="Stellar Coupling",POWER(Upgrades!$U$11,J136),1)*IF(Upgrades!$T$12="Stellar Coupling",POWER(Upgrades!$U$12,K136),1))*POWER(Upgrades!$Q$6,E136)*POWER(Upgrades!$Q$7,F136)*POWER(Upgrades!$Q$8,G136)*POWER(Upgrades!$Q$9,H136)*POWER(Upgrades!$Q$10,I136)*POWER(Upgrades!$Q$11,J136)*POWER(Upgrades!$Q$12,K136)*Parameters!$B$10*Parameters!$B$11</f>
        <v/>
      </c>
      <c r="AD136" s="27">
        <f>(IF(H136=0,0,(Upgrades!$G$9+H136*Upgrades!$H$9)*POWER(Upgrades!$I$9,H136)))*(IF(Upgrades!$T$6="Magnetosphere",POWER(Upgrades!$U$6,E136),1)*IF(Upgrades!$T$7="Magnetosphere",POWER(Upgrades!$U$7,F136),1)*IF(Upgrades!$T$8="Magnetosphere",POWER(Upgrades!$U$8,G136),1)*IF(Upgrades!$T$10="Magnetosphere",POWER(Upgrades!$U$10,I136),1)*IF(Upgrades!$T$11="Magnetosphere",POWER(Upgrades!$U$11,J136),1)*IF(Upgrades!$T$12="Magnetosphere",POWER(Upgrades!$U$12,K136),1))*POWER(Upgrades!$P$6,E136)*POWER(Upgrades!$P$7,F136)*POWER(Upgrades!$P$8,G136)*POWER(Upgrades!$P$9,H136)*POWER(Upgrades!$P$10,I136)*POWER(Upgrades!$P$11,J136)*POWER(Upgrades!$P$12,K136)*60</f>
        <v/>
      </c>
      <c r="AE136" s="27">
        <f>(IF(K136=0,0,(Upgrades!$G$12+K136*Upgrades!$H$12)*POWER(Upgrades!$I$12,K136)))*(IF(Upgrades!$T$6="First Photons",POWER(Upgrades!$U$6,E136),1)*IF(Upgrades!$T$7="First Photons",POWER(Upgrades!$U$7,F136),1)*IF(Upgrades!$T$8="First Photons",POWER(Upgrades!$U$8,G136),1)*IF(Upgrades!$T$9="First Photons",POWER(Upgrades!$U$9,H136),1)*IF(Upgrades!$T$10="First Photons",POWER(Upgrades!$U$10,I136),1)*IF(Upgrades!$T$11="First Photons",POWER(Upgrades!$U$11,J136),1))*POWER(Upgrades!$P$6,E136)*POWER(Upgrades!$P$7,F136)*POWER(Upgrades!$P$8,G136)*POWER(Upgrades!$P$9,H136)*POWER(Upgrades!$P$10,I136)*POWER(Upgrades!$P$11,J136)*POWER(Upgrades!$P$12,K136)*60</f>
        <v/>
      </c>
      <c r="AF136" s="27">
        <f>Parameters!$B$9*POWER(Upgrades!$Q$6,E136)*POWER(Upgrades!$Q$7,F136)*POWER(Upgrades!$Q$8,G136)*POWER(Upgrades!$Q$9,H136)*POWER(Upgrades!$Q$10,I136)*POWER(Upgrades!$Q$11,J136)*POWER(Upgrades!$Q$12,K136)*(Parameters!$B$10*Parameters!$B$11+O136*60)</f>
        <v/>
      </c>
      <c r="AG136" s="22">
        <f>IF(E136&gt;=Upgrades!$E$6,"",Upgrades!$C$6*POWER(Upgrades!$D$6,E136))</f>
        <v/>
      </c>
      <c r="AH136" s="22">
        <f>IF(F136&gt;=Upgrades!$E$7,"",Upgrades!$C$7*POWER(Upgrades!$D$7,F136))</f>
        <v/>
      </c>
      <c r="AI136" s="22">
        <f>IF(G136&gt;=Upgrades!$E$8,"",Upgrades!$C$8*POWER(Upgrades!$D$8,G136))</f>
        <v/>
      </c>
      <c r="AJ136" s="22">
        <f>IF(H136&gt;=Upgrades!$E$9,"",Upgrades!$C$9*POWER(Upgrades!$D$9,H136))</f>
        <v/>
      </c>
      <c r="AK136" s="22">
        <f>IF(I136&gt;=Upgrades!$E$10,"",Upgrades!$C$10*POWER(Upgrades!$D$10,I136))</f>
        <v/>
      </c>
      <c r="AL136" s="22">
        <f>IF(J136&gt;=Upgrades!$E$11,"",Upgrades!$C$11*POWER(Upgrades!$D$11,J136))</f>
        <v/>
      </c>
      <c r="AM136" s="22">
        <f>IF(K136&gt;=Upgrades!$E$12,"",Upgrades!$C$12*POWER(Upgrades!$D$12,K136))</f>
        <v/>
      </c>
      <c r="AN136" s="26">
        <f>IF(AND(D136&gt;=Parameters!$B$18,(H136&gt;=Upgrades!$E$9)*(K136&gt;=Upgrades!$E$12)=1,L136=0),1,"")</f>
        <v/>
      </c>
      <c r="AO136" s="26">
        <f>IF(AND(D136&gt;=Parameters!$B$18,L136=0),1,"")</f>
        <v/>
      </c>
      <c r="AP136" s="22">
        <f>MIN(IF(ISNUMBER(AK136),AK136,9E15),IF(ISNUMBER(AL136),AL136,9E15),IF(ISNUMBER(AM136),AM136,9E15))</f>
        <v/>
      </c>
      <c r="AQ136" s="22">
        <f>MIN(IF(ISNUMBER(AG136),AG136,9E15),IF(ISNUMBER(AH136),AH136,9E15),IF(ISNUMBER(AI136),AI136,9E15),IF(ISNUMBER(AJ136),AJ136,9E15))</f>
        <v/>
      </c>
      <c r="AR136" s="29">
        <f>IF(AW136&gt;Parameters!$B$21*(MAX(IF(AND(NOT(AND(AO136=1,AN136&lt;&gt;1)),ISNUMBER(AG136),AG136&lt;=T136),AS136,0),IF(AND(NOT(AND(AO136=1,AN136&lt;&gt;1)),ISNUMBER(AH136),AH136&lt;=T136),AT136,0),IF(AND(NOT(AND(AO136=1,AN136&lt;&gt;1)),ISNUMBER(AI136),AI136&lt;=T136),AU136,0),IF(AND(ISNUMBER(AJ136),AJ136&lt;=T136),AV136,0))),TRUE,FALSE)</f>
        <v/>
      </c>
      <c r="AS136" s="32">
        <f>IFERROR(Upgrades!$H$6*(POWER(Upgrades!$P$6,E136)*POWER(Upgrades!$P$7,F136)*POWER(Upgrades!$P$8,G136)*POWER(Upgrades!$P$9,H136)*POWER(Upgrades!$P$10,I136)*POWER(Upgrades!$P$11,J136)*POWER(Upgrades!$P$12,K136))*(IF(Upgrades!$T$7="Solar Wind",POWER(Upgrades!$U$7,F136),1)*IF(Upgrades!$T$8="Solar Wind",POWER(Upgrades!$U$8,G136),1)*IF(Upgrades!$T$9="Solar Wind",POWER(Upgrades!$U$9,H136),1)*IF(Upgrades!$T$10="Solar Wind",POWER(Upgrades!$U$10,I136),1)*IF(Upgrades!$T$11="Solar Wind",POWER(Upgrades!$U$11,J136),1)*IF(Upgrades!$T$12="Solar Wind",POWER(Upgrades!$U$12,K136),1))/AG136,0)</f>
        <v/>
      </c>
      <c r="AT136" s="32">
        <f>IFERROR(Upgrades!$H$7*(POWER(Upgrades!$P$6,E136)*POWER(Upgrades!$P$7,F136)*POWER(Upgrades!$P$8,G136)*POWER(Upgrades!$P$9,H136)*POWER(Upgrades!$P$10,I136)*POWER(Upgrades!$P$11,J136)*POWER(Upgrades!$P$12,K136))*(IF(Upgrades!$T$6="Asteroid Belt",POWER(Upgrades!$U$6,E136),1)*IF(Upgrades!$T$8="Asteroid Belt",POWER(Upgrades!$U$8,G136),1)*IF(Upgrades!$T$9="Asteroid Belt",POWER(Upgrades!$U$9,H136),1)*IF(Upgrades!$T$10="Asteroid Belt",POWER(Upgrades!$U$10,I136),1)*IF(Upgrades!$T$11="Asteroid Belt",POWER(Upgrades!$U$11,J136),1)*IF(Upgrades!$T$12="Asteroid Belt",POWER(Upgrades!$U$12,K136),1))/AH136,0)</f>
        <v/>
      </c>
      <c r="AU136" s="32">
        <f>IFERROR(Upgrades!$K$8*(POWER(Upgrades!$Q$6,E136)*POWER(Upgrades!$Q$7,F136)*POWER(Upgrades!$Q$8,G136)*POWER(Upgrades!$Q$9,H136)*POWER(Upgrades!$Q$10,I136)*POWER(Upgrades!$Q$11,J136)*POWER(Upgrades!$Q$12,K136))*(IF(Upgrades!$T$6="Stellar Coupling",POWER(Upgrades!$U$6,E136),1)*IF(Upgrades!$T$7="Stellar Coupling",POWER(Upgrades!$U$7,F136),1)*IF(Upgrades!$T$9="Stellar Coupling",POWER(Upgrades!$U$9,H136),1)*IF(Upgrades!$T$10="Stellar Coupling",POWER(Upgrades!$U$10,I136),1)*IF(Upgrades!$T$11="Stellar Coupling",POWER(Upgrades!$U$11,J136),1)*IF(Upgrades!$T$12="Stellar Coupling",POWER(Upgrades!$U$12,K136),1))*Parameters!$B$10*Parameters!$B$11/60/AI136,0)</f>
        <v/>
      </c>
      <c r="AV136" s="32">
        <f>IFERROR(Upgrades!$H$9*(POWER(Upgrades!$P$6,E136)*POWER(Upgrades!$P$7,F136)*POWER(Upgrades!$P$8,G136)*POWER(Upgrades!$P$9,H136)*POWER(Upgrades!$P$10,I136)*POWER(Upgrades!$P$11,J136)*POWER(Upgrades!$P$12,K136))*(IF(Upgrades!$T$6="Magnetosphere",POWER(Upgrades!$U$6,E136),1)*IF(Upgrades!$T$7="Magnetosphere",POWER(Upgrades!$U$7,F136),1)*IF(Upgrades!$T$8="Magnetosphere",POWER(Upgrades!$U$8,G136),1)*IF(Upgrades!$T$10="Magnetosphere",POWER(Upgrades!$U$10,I136),1)*IF(Upgrades!$T$11="Magnetosphere",POWER(Upgrades!$U$11,J136),1)*IF(Upgrades!$T$12="Magnetosphere",POWER(Upgrades!$U$12,K136),1))/AJ136,0)</f>
        <v/>
      </c>
      <c r="AW136" s="32">
        <f>MAX(IF(I136&gt;0,0,IFERROR(0.25*N136/Upgrades!$C$10,0)),IF(J136&gt;0,0,IFERROR(0.5*((IF(G136=0,0,(Upgrades!$J$8+G136*Upgrades!$K$8)*POWER(Upgrades!$L$8,G136)))*(IF(Upgrades!$T$6="Stellar Coupling",POWER(Upgrades!$U$6,E136),1)*IF(Upgrades!$T$7="Stellar Coupling",POWER(Upgrades!$U$7,F136),1)*IF(Upgrades!$T$9="Stellar Coupling",POWER(Upgrades!$U$9,H136),1)*IF(Upgrades!$T$10="Stellar Coupling",POWER(Upgrades!$U$10,I136),1)*IF(Upgrades!$T$11="Stellar Coupling",POWER(Upgrades!$U$11,J136),1)*IF(Upgrades!$T$12="Stellar Coupling",POWER(Upgrades!$U$12,K136),1))*(POWER(Upgrades!$Q$6,E136)*POWER(Upgrades!$Q$7,F136)*POWER(Upgrades!$Q$8,G136)*POWER(Upgrades!$Q$9,H136)*POWER(Upgrades!$Q$10,I136)*POWER(Upgrades!$Q$11,J136)*POWER(Upgrades!$Q$12,K136))*Parameters!$B$10*Parameters!$B$11/60)/Upgrades!$C$11,0)),IF(K136&gt;0,0,IFERROR((1.0*(POWER(Upgrades!$P$6,E136)*POWER(Upgrades!$P$7,F136)*POWER(Upgrades!$P$8,G136)*POWER(Upgrades!$P$9,H136)*POWER(Upgrades!$P$10,I136)*POWER(Upgrades!$P$11,J136)*POWER(Upgrades!$P$12,K136))+0.20*M136*Parameters!$B$10*Parameters!$B$11/60)/Upgrades!$C$12,0)),IF(AND(ISNUMBER(AG136),AG136&gt;T136),AS136,0),IF(AND(ISNUMBER(AH136),AH136&gt;T136),AT136,0),IF(AND(ISNUMBER(AI136),AI136&gt;T136),AU136,0),IF(AND(ISNUMBER(AJ136),AJ136&gt;T136),AV136,0))</f>
        <v/>
      </c>
      <c r="AX136" s="29">
        <f>IF(AN136=1,"transition",IF(MIN(IF(AND(I136=0,ISNUMBER(AK136),AK136&lt;=T136),AK136,9E15),IF(AND(J136=0,ISNUMBER(AL136),AL136&lt;=T136),AL136,9E15),IF(AND(K136=0,ISNUMBER(AM136),AM136&lt;=T136),AM136,9E15))&lt;9E15,IF(AND(AND(I136=0,ISNUMBER(AK136),AK136&lt;=T136),AK136=MIN(IF(AND(I136=0,ISNUMBER(AK136),AK136&lt;=T136),AK136,9E15),IF(AND(J136=0,ISNUMBER(AL136),AL136&lt;=T136),AL136,9E15),IF(AND(K136=0,ISNUMBER(AM136),AM136&lt;=T136),AM136,9E15))),"OR",IF(AND(AND(J136=0,ISNUMBER(AL136),AL136&lt;=T136),AL136=MIN(IF(AND(I136=0,ISNUMBER(AK136),AK136&lt;=T136),AK136,9E15),IF(AND(J136=0,ISNUMBER(AL136),AL136&lt;=T136),AL136,9E15),IF(AND(K136=0,ISNUMBER(AM136),AM136&lt;=T136),AM136,9E15))),"HP","FP")),IF(AR136=TRUE,"",IF(MAX(IF(AND(NOT(AND(AO136=1,AN136&lt;&gt;1)),ISNUMBER(AG136),AG136&lt;=T136),AS136,0),IF(AND(NOT(AND(AO136=1,AN136&lt;&gt;1)),ISNUMBER(AH136),AH136&lt;=T136),AT136,0),IF(AND(NOT(AND(AO136=1,AN136&lt;&gt;1)),ISNUMBER(AI136),AI136&lt;=T136),AU136,0),IF(AND(ISNUMBER(AJ136),AJ136&lt;=T136),AV136,0))&lt;=0,"",IF(AND(IF(AND(NOT(AND(AO136=1,AN136&lt;&gt;1)),ISNUMBER(AG136),AG136&lt;=T136),AS136,0)&gt;0,IF(AND(NOT(AND(AO136=1,AN136&lt;&gt;1)),ISNUMBER(AG136),AG136&lt;=T136),AS136,0)=MAX(IF(AND(NOT(AND(AO136=1,AN136&lt;&gt;1)),ISNUMBER(AG136),AG136&lt;=T136),AS136,0),IF(AND(NOT(AND(AO136=1,AN136&lt;&gt;1)),ISNUMBER(AH136),AH136&lt;=T136),AT136,0),IF(AND(NOT(AND(AO136=1,AN136&lt;&gt;1)),ISNUMBER(AI136),AI136&lt;=T136),AU136,0),IF(AND(ISNUMBER(AJ136),AJ136&lt;=T136),AV136,0))),"SW",IF(AND(IF(AND(NOT(AND(AO136=1,AN136&lt;&gt;1)),ISNUMBER(AH136),AH136&lt;=T136),AT136,0)&gt;0,IF(AND(NOT(AND(AO136=1,AN136&lt;&gt;1)),ISNUMBER(AH136),AH136&lt;=T136),AT136,0)=MAX(IF(AND(NOT(AND(AO136=1,AN136&lt;&gt;1)),ISNUMBER(AG136),AG136&lt;=T136),AS136,0),IF(AND(NOT(AND(AO136=1,AN136&lt;&gt;1)),ISNUMBER(AH136),AH136&lt;=T136),AT136,0),IF(AND(NOT(AND(AO136=1,AN136&lt;&gt;1)),ISNUMBER(AI136),AI136&lt;=T136),AU136,0),IF(AND(ISNUMBER(AJ136),AJ136&lt;=T136),AV136,0))),"AB",IF(AND(IF(AND(NOT(AND(AO136=1,AN136&lt;&gt;1)),ISNUMBER(AI136),AI136&lt;=T136),AU136,0)&gt;0,IF(AND(NOT(AND(AO136=1,AN136&lt;&gt;1)),ISNUMBER(AI136),AI136&lt;=T136),AU136,0)=MAX(IF(AND(NOT(AND(AO136=1,AN136&lt;&gt;1)),ISNUMBER(AG136),AG136&lt;=T136),AS136,0),IF(AND(NOT(AND(AO136=1,AN136&lt;&gt;1)),ISNUMBER(AH136),AH136&lt;=T136),AT136,0),IF(AND(NOT(AND(AO136=1,AN136&lt;&gt;1)),ISNUMBER(AI136),AI136&lt;=T136),AU136,0),IF(AND(ISNUMBER(AJ136),AJ136&lt;=T136),AV136,0))),"SC","Mag")))))))</f>
        <v/>
      </c>
    </row>
    <row r="137">
      <c r="A137" s="26" t="n">
        <v>132</v>
      </c>
      <c r="B137" s="27">
        <f>A137*10/60</f>
        <v/>
      </c>
      <c r="C137" s="22">
        <f>X136</f>
        <v/>
      </c>
      <c r="D137" s="27">
        <f>D136+W136</f>
        <v/>
      </c>
      <c r="E137" s="26">
        <f>E136+IF(U136="SW",1,0)</f>
        <v/>
      </c>
      <c r="F137" s="26">
        <f>F136+IF(U136="AB",1,0)</f>
        <v/>
      </c>
      <c r="G137" s="26">
        <f>G136+IF(U136="SC",1,0)</f>
        <v/>
      </c>
      <c r="H137" s="26">
        <f>H136+IF(U136="Mag",1,0)</f>
        <v/>
      </c>
      <c r="I137" s="26">
        <f>MAX(I136,IF(U136="OR",1,0))</f>
        <v/>
      </c>
      <c r="J137" s="26">
        <f>MAX(J136,IF(U136="HP",1,0))</f>
        <v/>
      </c>
      <c r="K137" s="26">
        <f>MAX(K136,IF(U136="FP",1,0))</f>
        <v/>
      </c>
      <c r="L137" s="26">
        <f>MAX(L136,IF(U136="transition",1,0))</f>
        <v/>
      </c>
      <c r="M137" s="28">
        <f>(Parameters!$B$9+(IF(E137=0,0,(Upgrades!$J$6+E137*Upgrades!$K$6)*POWER(Upgrades!$L$6,E137)))*(IF(Upgrades!$T$7="Solar Wind",POWER(Upgrades!$U$7,F137),1)*IF(Upgrades!$T$8="Solar Wind",POWER(Upgrades!$U$8,G137),1)*IF(Upgrades!$T$9="Solar Wind",POWER(Upgrades!$U$9,H137),1)*IF(Upgrades!$T$10="Solar Wind",POWER(Upgrades!$U$10,I137),1)*IF(Upgrades!$T$11="Solar Wind",POWER(Upgrades!$U$11,J137),1)*IF(Upgrades!$T$12="Solar Wind",POWER(Upgrades!$U$12,K137),1))+(IF(F137=0,0,(Upgrades!$J$7+F137*Upgrades!$K$7)*POWER(Upgrades!$L$7,F137)))*(IF(Upgrades!$T$6="Asteroid Belt",POWER(Upgrades!$U$6,E137),1)*IF(Upgrades!$T$8="Asteroid Belt",POWER(Upgrades!$U$8,G137),1)*IF(Upgrades!$T$9="Asteroid Belt",POWER(Upgrades!$U$9,H137),1)*IF(Upgrades!$T$10="Asteroid Belt",POWER(Upgrades!$U$10,I137),1)*IF(Upgrades!$T$11="Asteroid Belt",POWER(Upgrades!$U$11,J137),1)*IF(Upgrades!$T$12="Asteroid Belt",POWER(Upgrades!$U$12,K137),1))+(IF(G137=0,0,(Upgrades!$J$8+G137*Upgrades!$K$8)*POWER(Upgrades!$L$8,G137)))*(IF(Upgrades!$T$6="Stellar Coupling",POWER(Upgrades!$U$6,E137),1)*IF(Upgrades!$T$7="Stellar Coupling",POWER(Upgrades!$U$7,F137),1)*IF(Upgrades!$T$9="Stellar Coupling",POWER(Upgrades!$U$9,H137),1)*IF(Upgrades!$T$10="Stellar Coupling",POWER(Upgrades!$U$10,I137),1)*IF(Upgrades!$T$11="Stellar Coupling",POWER(Upgrades!$U$11,J137),1)*IF(Upgrades!$T$12="Stellar Coupling",POWER(Upgrades!$U$12,K137),1))+(IF(H137=0,0,(Upgrades!$J$9+H137*Upgrades!$K$9)*POWER(Upgrades!$L$9,H137)))*(IF(Upgrades!$T$6="Magnetosphere",POWER(Upgrades!$U$6,E137),1)*IF(Upgrades!$T$7="Magnetosphere",POWER(Upgrades!$U$7,F137),1)*IF(Upgrades!$T$8="Magnetosphere",POWER(Upgrades!$U$8,G137),1)*IF(Upgrades!$T$10="Magnetosphere",POWER(Upgrades!$U$10,I137),1)*IF(Upgrades!$T$11="Magnetosphere",POWER(Upgrades!$U$11,J137),1)*IF(Upgrades!$T$12="Magnetosphere",POWER(Upgrades!$U$12,K137),1))+(IF(I137=0,0,(Upgrades!$J$10+I137*Upgrades!$K$10)*POWER(Upgrades!$L$10,I137)))*(IF(Upgrades!$T$6="Orbital Resonance",POWER(Upgrades!$U$6,E137),1)*IF(Upgrades!$T$7="Orbital Resonance",POWER(Upgrades!$U$7,F137),1)*IF(Upgrades!$T$8="Orbital Resonance",POWER(Upgrades!$U$8,G137),1)*IF(Upgrades!$T$9="Orbital Resonance",POWER(Upgrades!$U$9,H137),1)*IF(Upgrades!$T$11="Orbital Resonance",POWER(Upgrades!$U$11,J137),1)*IF(Upgrades!$T$12="Orbital Resonance",POWER(Upgrades!$U$12,K137),1))+(IF(J137=0,0,(Upgrades!$J$11+J137*Upgrades!$K$11)*POWER(Upgrades!$L$11,J137)))*(IF(Upgrades!$T$6="Heliopause",POWER(Upgrades!$U$6,E137),1)*IF(Upgrades!$T$7="Heliopause",POWER(Upgrades!$U$7,F137),1)*IF(Upgrades!$T$8="Heliopause",POWER(Upgrades!$U$8,G137),1)*IF(Upgrades!$T$9="Heliopause",POWER(Upgrades!$U$9,H137),1)*IF(Upgrades!$T$10="Heliopause",POWER(Upgrades!$U$10,I137),1)*IF(Upgrades!$T$12="Heliopause",POWER(Upgrades!$U$12,K137),1))+(IF(K137=0,0,(Upgrades!$J$12+K137*Upgrades!$K$12)*POWER(Upgrades!$L$12,K137)))*(IF(Upgrades!$T$6="First Photons",POWER(Upgrades!$U$6,E137),1)*IF(Upgrades!$T$7="First Photons",POWER(Upgrades!$U$7,F137),1)*IF(Upgrades!$T$8="First Photons",POWER(Upgrades!$U$8,G137),1)*IF(Upgrades!$T$9="First Photons",POWER(Upgrades!$U$9,H137),1)*IF(Upgrades!$T$10="First Photons",POWER(Upgrades!$U$10,I137),1)*IF(Upgrades!$T$11="First Photons",POWER(Upgrades!$U$11,J137),1)))*POWER(Upgrades!$Q$6,E137)*POWER(Upgrades!$Q$7,F137)*POWER(Upgrades!$Q$8,G137)*POWER(Upgrades!$Q$9,H137)*POWER(Upgrades!$Q$10,I137)*POWER(Upgrades!$Q$11,J137)*POWER(Upgrades!$Q$12,K137)</f>
        <v/>
      </c>
      <c r="N137" s="28">
        <f>((IF(E137=0,0,(Upgrades!$G$6+E137*Upgrades!$H$6)*POWER(Upgrades!$I$6,E137)))*(IF(Upgrades!$T$7="Solar Wind",POWER(Upgrades!$U$7,F137),1)*IF(Upgrades!$T$8="Solar Wind",POWER(Upgrades!$U$8,G137),1)*IF(Upgrades!$T$9="Solar Wind",POWER(Upgrades!$U$9,H137),1)*IF(Upgrades!$T$10="Solar Wind",POWER(Upgrades!$U$10,I137),1)*IF(Upgrades!$T$11="Solar Wind",POWER(Upgrades!$U$11,J137),1)*IF(Upgrades!$T$12="Solar Wind",POWER(Upgrades!$U$12,K137),1))+(IF(F137=0,0,(Upgrades!$G$7+F137*Upgrades!$H$7)*POWER(Upgrades!$I$7,F137)))*(IF(Upgrades!$T$6="Asteroid Belt",POWER(Upgrades!$U$6,E137),1)*IF(Upgrades!$T$8="Asteroid Belt",POWER(Upgrades!$U$8,G137),1)*IF(Upgrades!$T$9="Asteroid Belt",POWER(Upgrades!$U$9,H137),1)*IF(Upgrades!$T$10="Asteroid Belt",POWER(Upgrades!$U$10,I137),1)*IF(Upgrades!$T$11="Asteroid Belt",POWER(Upgrades!$U$11,J137),1)*IF(Upgrades!$T$12="Asteroid Belt",POWER(Upgrades!$U$12,K137),1))+(IF(G137=0,0,(Upgrades!$G$8+G137*Upgrades!$H$8)*POWER(Upgrades!$I$8,G137)))*(IF(Upgrades!$T$6="Stellar Coupling",POWER(Upgrades!$U$6,E137),1)*IF(Upgrades!$T$7="Stellar Coupling",POWER(Upgrades!$U$7,F137),1)*IF(Upgrades!$T$9="Stellar Coupling",POWER(Upgrades!$U$9,H137),1)*IF(Upgrades!$T$10="Stellar Coupling",POWER(Upgrades!$U$10,I137),1)*IF(Upgrades!$T$11="Stellar Coupling",POWER(Upgrades!$U$11,J137),1)*IF(Upgrades!$T$12="Stellar Coupling",POWER(Upgrades!$U$12,K137),1))+(IF(H137=0,0,(Upgrades!$G$9+H137*Upgrades!$H$9)*POWER(Upgrades!$I$9,H137)))*(IF(Upgrades!$T$6="Magnetosphere",POWER(Upgrades!$U$6,E137),1)*IF(Upgrades!$T$7="Magnetosphere",POWER(Upgrades!$U$7,F137),1)*IF(Upgrades!$T$8="Magnetosphere",POWER(Upgrades!$U$8,G137),1)*IF(Upgrades!$T$10="Magnetosphere",POWER(Upgrades!$U$10,I137),1)*IF(Upgrades!$T$11="Magnetosphere",POWER(Upgrades!$U$11,J137),1)*IF(Upgrades!$T$12="Magnetosphere",POWER(Upgrades!$U$12,K137),1))+(IF(I137=0,0,(Upgrades!$G$10+I137*Upgrades!$H$10)*POWER(Upgrades!$I$10,I137)))*(IF(Upgrades!$T$6="Orbital Resonance",POWER(Upgrades!$U$6,E137),1)*IF(Upgrades!$T$7="Orbital Resonance",POWER(Upgrades!$U$7,F137),1)*IF(Upgrades!$T$8="Orbital Resonance",POWER(Upgrades!$U$8,G137),1)*IF(Upgrades!$T$9="Orbital Resonance",POWER(Upgrades!$U$9,H137),1)*IF(Upgrades!$T$11="Orbital Resonance",POWER(Upgrades!$U$11,J137),1)*IF(Upgrades!$T$12="Orbital Resonance",POWER(Upgrades!$U$12,K137),1))+(IF(J137=0,0,(Upgrades!$G$11+J137*Upgrades!$H$11)*POWER(Upgrades!$I$11,J137)))*(IF(Upgrades!$T$6="Heliopause",POWER(Upgrades!$U$6,E137),1)*IF(Upgrades!$T$7="Heliopause",POWER(Upgrades!$U$7,F137),1)*IF(Upgrades!$T$8="Heliopause",POWER(Upgrades!$U$8,G137),1)*IF(Upgrades!$T$9="Heliopause",POWER(Upgrades!$U$9,H137),1)*IF(Upgrades!$T$10="Heliopause",POWER(Upgrades!$U$10,I137),1)*IF(Upgrades!$T$12="Heliopause",POWER(Upgrades!$U$12,K137),1))+(IF(K137=0,0,(Upgrades!$G$12+K137*Upgrades!$H$12)*POWER(Upgrades!$I$12,K137)))*(IF(Upgrades!$T$6="First Photons",POWER(Upgrades!$U$6,E137),1)*IF(Upgrades!$T$7="First Photons",POWER(Upgrades!$U$7,F137),1)*IF(Upgrades!$T$8="First Photons",POWER(Upgrades!$U$8,G137),1)*IF(Upgrades!$T$9="First Photons",POWER(Upgrades!$U$9,H137),1)*IF(Upgrades!$T$10="First Photons",POWER(Upgrades!$U$10,I137),1)*IF(Upgrades!$T$11="First Photons",POWER(Upgrades!$U$11,J137),1)))*POWER(Upgrades!$P$6,E137)*POWER(Upgrades!$P$7,F137)*POWER(Upgrades!$P$8,G137)*POWER(Upgrades!$P$9,H137)*POWER(Upgrades!$P$10,I137)*POWER(Upgrades!$P$11,J137)*POWER(Upgrades!$P$12,K137)</f>
        <v/>
      </c>
      <c r="O137" s="28">
        <f>((IF(E137=0,0,(Upgrades!$M$6+E137*Upgrades!$N$6)*POWER(Upgrades!$O$6,E137)))*(IF(Upgrades!$T$7="Solar Wind",POWER(Upgrades!$U$7,F137),1)*IF(Upgrades!$T$8="Solar Wind",POWER(Upgrades!$U$8,G137),1)*IF(Upgrades!$T$9="Solar Wind",POWER(Upgrades!$U$9,H137),1)*IF(Upgrades!$T$10="Solar Wind",POWER(Upgrades!$U$10,I137),1)*IF(Upgrades!$T$11="Solar Wind",POWER(Upgrades!$U$11,J137),1)*IF(Upgrades!$T$12="Solar Wind",POWER(Upgrades!$U$12,K137),1))+(IF(F137=0,0,(Upgrades!$M$7+F137*Upgrades!$N$7)*POWER(Upgrades!$O$7,F137)))*(IF(Upgrades!$T$6="Asteroid Belt",POWER(Upgrades!$U$6,E137),1)*IF(Upgrades!$T$8="Asteroid Belt",POWER(Upgrades!$U$8,G137),1)*IF(Upgrades!$T$9="Asteroid Belt",POWER(Upgrades!$U$9,H137),1)*IF(Upgrades!$T$10="Asteroid Belt",POWER(Upgrades!$U$10,I137),1)*IF(Upgrades!$T$11="Asteroid Belt",POWER(Upgrades!$U$11,J137),1)*IF(Upgrades!$T$12="Asteroid Belt",POWER(Upgrades!$U$12,K137),1))+(IF(G137=0,0,(Upgrades!$M$8+G137*Upgrades!$N$8)*POWER(Upgrades!$O$8,G137)))*(IF(Upgrades!$T$6="Stellar Coupling",POWER(Upgrades!$U$6,E137),1)*IF(Upgrades!$T$7="Stellar Coupling",POWER(Upgrades!$U$7,F137),1)*IF(Upgrades!$T$9="Stellar Coupling",POWER(Upgrades!$U$9,H137),1)*IF(Upgrades!$T$10="Stellar Coupling",POWER(Upgrades!$U$10,I137),1)*IF(Upgrades!$T$11="Stellar Coupling",POWER(Upgrades!$U$11,J137),1)*IF(Upgrades!$T$12="Stellar Coupling",POWER(Upgrades!$U$12,K137),1))+(IF(H137=0,0,(Upgrades!$M$9+H137*Upgrades!$N$9)*POWER(Upgrades!$O$9,H137)))*(IF(Upgrades!$T$6="Magnetosphere",POWER(Upgrades!$U$6,E137),1)*IF(Upgrades!$T$7="Magnetosphere",POWER(Upgrades!$U$7,F137),1)*IF(Upgrades!$T$8="Magnetosphere",POWER(Upgrades!$U$8,G137),1)*IF(Upgrades!$T$10="Magnetosphere",POWER(Upgrades!$U$10,I137),1)*IF(Upgrades!$T$11="Magnetosphere",POWER(Upgrades!$U$11,J137),1)*IF(Upgrades!$T$12="Magnetosphere",POWER(Upgrades!$U$12,K137),1))+(IF(I137=0,0,(Upgrades!$M$10+I137*Upgrades!$N$10)*POWER(Upgrades!$O$10,I137)))*(IF(Upgrades!$T$6="Orbital Resonance",POWER(Upgrades!$U$6,E137),1)*IF(Upgrades!$T$7="Orbital Resonance",POWER(Upgrades!$U$7,F137),1)*IF(Upgrades!$T$8="Orbital Resonance",POWER(Upgrades!$U$8,G137),1)*IF(Upgrades!$T$9="Orbital Resonance",POWER(Upgrades!$U$9,H137),1)*IF(Upgrades!$T$11="Orbital Resonance",POWER(Upgrades!$U$11,J137),1)*IF(Upgrades!$T$12="Orbital Resonance",POWER(Upgrades!$U$12,K137),1))+(IF(J137=0,0,(Upgrades!$M$11+J137*Upgrades!$N$11)*POWER(Upgrades!$O$11,J137)))*(IF(Upgrades!$T$6="Heliopause",POWER(Upgrades!$U$6,E137),1)*IF(Upgrades!$T$7="Heliopause",POWER(Upgrades!$U$7,F137),1)*IF(Upgrades!$T$8="Heliopause",POWER(Upgrades!$U$8,G137),1)*IF(Upgrades!$T$9="Heliopause",POWER(Upgrades!$U$9,H137),1)*IF(Upgrades!$T$10="Heliopause",POWER(Upgrades!$U$10,I137),1)*IF(Upgrades!$T$12="Heliopause",POWER(Upgrades!$U$12,K137),1))+(IF(K137=0,0,(Upgrades!$M$12+K137*Upgrades!$N$12)*POWER(Upgrades!$O$12,K137)))*(IF(Upgrades!$T$6="First Photons",POWER(Upgrades!$U$6,E137),1)*IF(Upgrades!$T$7="First Photons",POWER(Upgrades!$U$7,F137),1)*IF(Upgrades!$T$8="First Photons",POWER(Upgrades!$U$8,G137),1)*IF(Upgrades!$T$9="First Photons",POWER(Upgrades!$U$9,H137),1)*IF(Upgrades!$T$10="First Photons",POWER(Upgrades!$U$10,I137),1)*IF(Upgrades!$T$11="First Photons",POWER(Upgrades!$U$11,J137),1)))*POWER(Upgrades!$R$6,E137)*POWER(Upgrades!$R$7,F137)*POWER(Upgrades!$R$8,G137)*POWER(Upgrades!$R$9,H137)*POWER(Upgrades!$R$10,I137)*POWER(Upgrades!$R$11,J137)*POWER(Upgrades!$R$12,K137)</f>
        <v/>
      </c>
      <c r="P137" s="27">
        <f>IF(L137=1,0,M137*Parameters!$B$10/60*Parameters!$B$11*10)</f>
        <v/>
      </c>
      <c r="Q137" s="27">
        <f>IF(L137=1,0,O137*M137*10)</f>
        <v/>
      </c>
      <c r="R137" s="27">
        <f>IF(L137=1,0,N137*10)</f>
        <v/>
      </c>
      <c r="S137" s="27">
        <f>P137+Q137+R137</f>
        <v/>
      </c>
      <c r="T137" s="22">
        <f>C137+S137</f>
        <v/>
      </c>
      <c r="U137" s="33">
        <f>AX137</f>
        <v/>
      </c>
      <c r="V137" s="22">
        <f>IF(U137="",0,IF(U137="transition",0,IF(U137="SW",AG137,IF(U137="AB",AH137,IF(U137="SC",AI137,IF(U137="Mag",AJ137,IF(U137="OR",AK137,IF(U137="HP",AL137,IF(U137="FP",AM137,0)))))))))</f>
        <v/>
      </c>
      <c r="W137" s="27">
        <f>IF(U137="OR",Upgrades!$F$10,IF(U137="HP",Upgrades!$F$11,IF(U137="transition",-Parameters!$B$18,0)))</f>
        <v/>
      </c>
      <c r="X137" s="22">
        <f>T137-V137</f>
        <v/>
      </c>
      <c r="Y137" s="30">
        <f>M137*Parameters!$B$10/60*Parameters!$B$11+O137*M137+N137</f>
        <v/>
      </c>
      <c r="Z137" s="34">
        <f>IF(U137="transition","→ Tier 2 (Stellar Neighborhood)",IF(U137="FP","First Photons — light begins, system quickens",IF(U137="HP","Heliopause acquired",IF(U137="OR","Orbital Resonance — passive multiplier active",IF(AND(AO137=1,L137=0,AN137&lt;&gt;1),"Cohesion ready (waiting on completionist upgrades)","")))))</f>
        <v/>
      </c>
      <c r="AA137" s="27">
        <f>(IF(E137=0,0,(Upgrades!$G$6+E137*Upgrades!$H$6)*POWER(Upgrades!$I$6,E137)))*(IF(Upgrades!$T$7="Solar Wind",POWER(Upgrades!$U$7,F137),1)*IF(Upgrades!$T$8="Solar Wind",POWER(Upgrades!$U$8,G137),1)*IF(Upgrades!$T$9="Solar Wind",POWER(Upgrades!$U$9,H137),1)*IF(Upgrades!$T$10="Solar Wind",POWER(Upgrades!$U$10,I137),1)*IF(Upgrades!$T$11="Solar Wind",POWER(Upgrades!$U$11,J137),1)*IF(Upgrades!$T$12="Solar Wind",POWER(Upgrades!$U$12,K137),1))*POWER(Upgrades!$P$6,E137)*POWER(Upgrades!$P$7,F137)*POWER(Upgrades!$P$8,G137)*POWER(Upgrades!$P$9,H137)*POWER(Upgrades!$P$10,I137)*POWER(Upgrades!$P$11,J137)*POWER(Upgrades!$P$12,K137)*60</f>
        <v/>
      </c>
      <c r="AB137" s="27">
        <f>(IF(F137=0,0,(Upgrades!$G$7+F137*Upgrades!$H$7)*POWER(Upgrades!$I$7,F137)))*(IF(Upgrades!$T$6="Asteroid Belt",POWER(Upgrades!$U$6,E137),1)*IF(Upgrades!$T$8="Asteroid Belt",POWER(Upgrades!$U$8,G137),1)*IF(Upgrades!$T$9="Asteroid Belt",POWER(Upgrades!$U$9,H137),1)*IF(Upgrades!$T$10="Asteroid Belt",POWER(Upgrades!$U$10,I137),1)*IF(Upgrades!$T$11="Asteroid Belt",POWER(Upgrades!$U$11,J137),1)*IF(Upgrades!$T$12="Asteroid Belt",POWER(Upgrades!$U$12,K137),1))*POWER(Upgrades!$P$6,E137)*POWER(Upgrades!$P$7,F137)*POWER(Upgrades!$P$8,G137)*POWER(Upgrades!$P$9,H137)*POWER(Upgrades!$P$10,I137)*POWER(Upgrades!$P$11,J137)*POWER(Upgrades!$P$12,K137)*60</f>
        <v/>
      </c>
      <c r="AC137" s="27">
        <f>(IF(G137=0,0,(Upgrades!$J$8+G137*Upgrades!$K$8)*POWER(Upgrades!$L$8,G137)))*(IF(Upgrades!$T$6="Stellar Coupling",POWER(Upgrades!$U$6,E137),1)*IF(Upgrades!$T$7="Stellar Coupling",POWER(Upgrades!$U$7,F137),1)*IF(Upgrades!$T$9="Stellar Coupling",POWER(Upgrades!$U$9,H137),1)*IF(Upgrades!$T$10="Stellar Coupling",POWER(Upgrades!$U$10,I137),1)*IF(Upgrades!$T$11="Stellar Coupling",POWER(Upgrades!$U$11,J137),1)*IF(Upgrades!$T$12="Stellar Coupling",POWER(Upgrades!$U$12,K137),1))*POWER(Upgrades!$Q$6,E137)*POWER(Upgrades!$Q$7,F137)*POWER(Upgrades!$Q$8,G137)*POWER(Upgrades!$Q$9,H137)*POWER(Upgrades!$Q$10,I137)*POWER(Upgrades!$Q$11,J137)*POWER(Upgrades!$Q$12,K137)*Parameters!$B$10*Parameters!$B$11</f>
        <v/>
      </c>
      <c r="AD137" s="27">
        <f>(IF(H137=0,0,(Upgrades!$G$9+H137*Upgrades!$H$9)*POWER(Upgrades!$I$9,H137)))*(IF(Upgrades!$T$6="Magnetosphere",POWER(Upgrades!$U$6,E137),1)*IF(Upgrades!$T$7="Magnetosphere",POWER(Upgrades!$U$7,F137),1)*IF(Upgrades!$T$8="Magnetosphere",POWER(Upgrades!$U$8,G137),1)*IF(Upgrades!$T$10="Magnetosphere",POWER(Upgrades!$U$10,I137),1)*IF(Upgrades!$T$11="Magnetosphere",POWER(Upgrades!$U$11,J137),1)*IF(Upgrades!$T$12="Magnetosphere",POWER(Upgrades!$U$12,K137),1))*POWER(Upgrades!$P$6,E137)*POWER(Upgrades!$P$7,F137)*POWER(Upgrades!$P$8,G137)*POWER(Upgrades!$P$9,H137)*POWER(Upgrades!$P$10,I137)*POWER(Upgrades!$P$11,J137)*POWER(Upgrades!$P$12,K137)*60</f>
        <v/>
      </c>
      <c r="AE137" s="27">
        <f>(IF(K137=0,0,(Upgrades!$G$12+K137*Upgrades!$H$12)*POWER(Upgrades!$I$12,K137)))*(IF(Upgrades!$T$6="First Photons",POWER(Upgrades!$U$6,E137),1)*IF(Upgrades!$T$7="First Photons",POWER(Upgrades!$U$7,F137),1)*IF(Upgrades!$T$8="First Photons",POWER(Upgrades!$U$8,G137),1)*IF(Upgrades!$T$9="First Photons",POWER(Upgrades!$U$9,H137),1)*IF(Upgrades!$T$10="First Photons",POWER(Upgrades!$U$10,I137),1)*IF(Upgrades!$T$11="First Photons",POWER(Upgrades!$U$11,J137),1))*POWER(Upgrades!$P$6,E137)*POWER(Upgrades!$P$7,F137)*POWER(Upgrades!$P$8,G137)*POWER(Upgrades!$P$9,H137)*POWER(Upgrades!$P$10,I137)*POWER(Upgrades!$P$11,J137)*POWER(Upgrades!$P$12,K137)*60</f>
        <v/>
      </c>
      <c r="AF137" s="27">
        <f>Parameters!$B$9*POWER(Upgrades!$Q$6,E137)*POWER(Upgrades!$Q$7,F137)*POWER(Upgrades!$Q$8,G137)*POWER(Upgrades!$Q$9,H137)*POWER(Upgrades!$Q$10,I137)*POWER(Upgrades!$Q$11,J137)*POWER(Upgrades!$Q$12,K137)*(Parameters!$B$10*Parameters!$B$11+O137*60)</f>
        <v/>
      </c>
      <c r="AG137" s="22">
        <f>IF(E137&gt;=Upgrades!$E$6,"",Upgrades!$C$6*POWER(Upgrades!$D$6,E137))</f>
        <v/>
      </c>
      <c r="AH137" s="22">
        <f>IF(F137&gt;=Upgrades!$E$7,"",Upgrades!$C$7*POWER(Upgrades!$D$7,F137))</f>
        <v/>
      </c>
      <c r="AI137" s="22">
        <f>IF(G137&gt;=Upgrades!$E$8,"",Upgrades!$C$8*POWER(Upgrades!$D$8,G137))</f>
        <v/>
      </c>
      <c r="AJ137" s="22">
        <f>IF(H137&gt;=Upgrades!$E$9,"",Upgrades!$C$9*POWER(Upgrades!$D$9,H137))</f>
        <v/>
      </c>
      <c r="AK137" s="22">
        <f>IF(I137&gt;=Upgrades!$E$10,"",Upgrades!$C$10*POWER(Upgrades!$D$10,I137))</f>
        <v/>
      </c>
      <c r="AL137" s="22">
        <f>IF(J137&gt;=Upgrades!$E$11,"",Upgrades!$C$11*POWER(Upgrades!$D$11,J137))</f>
        <v/>
      </c>
      <c r="AM137" s="22">
        <f>IF(K137&gt;=Upgrades!$E$12,"",Upgrades!$C$12*POWER(Upgrades!$D$12,K137))</f>
        <v/>
      </c>
      <c r="AN137" s="26">
        <f>IF(AND(D137&gt;=Parameters!$B$18,(H137&gt;=Upgrades!$E$9)*(K137&gt;=Upgrades!$E$12)=1,L137=0),1,"")</f>
        <v/>
      </c>
      <c r="AO137" s="26">
        <f>IF(AND(D137&gt;=Parameters!$B$18,L137=0),1,"")</f>
        <v/>
      </c>
      <c r="AP137" s="22">
        <f>MIN(IF(ISNUMBER(AK137),AK137,9E15),IF(ISNUMBER(AL137),AL137,9E15),IF(ISNUMBER(AM137),AM137,9E15))</f>
        <v/>
      </c>
      <c r="AQ137" s="22">
        <f>MIN(IF(ISNUMBER(AG137),AG137,9E15),IF(ISNUMBER(AH137),AH137,9E15),IF(ISNUMBER(AI137),AI137,9E15),IF(ISNUMBER(AJ137),AJ137,9E15))</f>
        <v/>
      </c>
      <c r="AR137" s="29">
        <f>IF(AW137&gt;Parameters!$B$21*(MAX(IF(AND(NOT(AND(AO137=1,AN137&lt;&gt;1)),ISNUMBER(AG137),AG137&lt;=T137),AS137,0),IF(AND(NOT(AND(AO137=1,AN137&lt;&gt;1)),ISNUMBER(AH137),AH137&lt;=T137),AT137,0),IF(AND(NOT(AND(AO137=1,AN137&lt;&gt;1)),ISNUMBER(AI137),AI137&lt;=T137),AU137,0),IF(AND(ISNUMBER(AJ137),AJ137&lt;=T137),AV137,0))),TRUE,FALSE)</f>
        <v/>
      </c>
      <c r="AS137" s="32">
        <f>IFERROR(Upgrades!$H$6*(POWER(Upgrades!$P$6,E137)*POWER(Upgrades!$P$7,F137)*POWER(Upgrades!$P$8,G137)*POWER(Upgrades!$P$9,H137)*POWER(Upgrades!$P$10,I137)*POWER(Upgrades!$P$11,J137)*POWER(Upgrades!$P$12,K137))*(IF(Upgrades!$T$7="Solar Wind",POWER(Upgrades!$U$7,F137),1)*IF(Upgrades!$T$8="Solar Wind",POWER(Upgrades!$U$8,G137),1)*IF(Upgrades!$T$9="Solar Wind",POWER(Upgrades!$U$9,H137),1)*IF(Upgrades!$T$10="Solar Wind",POWER(Upgrades!$U$10,I137),1)*IF(Upgrades!$T$11="Solar Wind",POWER(Upgrades!$U$11,J137),1)*IF(Upgrades!$T$12="Solar Wind",POWER(Upgrades!$U$12,K137),1))/AG137,0)</f>
        <v/>
      </c>
      <c r="AT137" s="32">
        <f>IFERROR(Upgrades!$H$7*(POWER(Upgrades!$P$6,E137)*POWER(Upgrades!$P$7,F137)*POWER(Upgrades!$P$8,G137)*POWER(Upgrades!$P$9,H137)*POWER(Upgrades!$P$10,I137)*POWER(Upgrades!$P$11,J137)*POWER(Upgrades!$P$12,K137))*(IF(Upgrades!$T$6="Asteroid Belt",POWER(Upgrades!$U$6,E137),1)*IF(Upgrades!$T$8="Asteroid Belt",POWER(Upgrades!$U$8,G137),1)*IF(Upgrades!$T$9="Asteroid Belt",POWER(Upgrades!$U$9,H137),1)*IF(Upgrades!$T$10="Asteroid Belt",POWER(Upgrades!$U$10,I137),1)*IF(Upgrades!$T$11="Asteroid Belt",POWER(Upgrades!$U$11,J137),1)*IF(Upgrades!$T$12="Asteroid Belt",POWER(Upgrades!$U$12,K137),1))/AH137,0)</f>
        <v/>
      </c>
      <c r="AU137" s="32">
        <f>IFERROR(Upgrades!$K$8*(POWER(Upgrades!$Q$6,E137)*POWER(Upgrades!$Q$7,F137)*POWER(Upgrades!$Q$8,G137)*POWER(Upgrades!$Q$9,H137)*POWER(Upgrades!$Q$10,I137)*POWER(Upgrades!$Q$11,J137)*POWER(Upgrades!$Q$12,K137))*(IF(Upgrades!$T$6="Stellar Coupling",POWER(Upgrades!$U$6,E137),1)*IF(Upgrades!$T$7="Stellar Coupling",POWER(Upgrades!$U$7,F137),1)*IF(Upgrades!$T$9="Stellar Coupling",POWER(Upgrades!$U$9,H137),1)*IF(Upgrades!$T$10="Stellar Coupling",POWER(Upgrades!$U$10,I137),1)*IF(Upgrades!$T$11="Stellar Coupling",POWER(Upgrades!$U$11,J137),1)*IF(Upgrades!$T$12="Stellar Coupling",POWER(Upgrades!$U$12,K137),1))*Parameters!$B$10*Parameters!$B$11/60/AI137,0)</f>
        <v/>
      </c>
      <c r="AV137" s="32">
        <f>IFERROR(Upgrades!$H$9*(POWER(Upgrades!$P$6,E137)*POWER(Upgrades!$P$7,F137)*POWER(Upgrades!$P$8,G137)*POWER(Upgrades!$P$9,H137)*POWER(Upgrades!$P$10,I137)*POWER(Upgrades!$P$11,J137)*POWER(Upgrades!$P$12,K137))*(IF(Upgrades!$T$6="Magnetosphere",POWER(Upgrades!$U$6,E137),1)*IF(Upgrades!$T$7="Magnetosphere",POWER(Upgrades!$U$7,F137),1)*IF(Upgrades!$T$8="Magnetosphere",POWER(Upgrades!$U$8,G137),1)*IF(Upgrades!$T$10="Magnetosphere",POWER(Upgrades!$U$10,I137),1)*IF(Upgrades!$T$11="Magnetosphere",POWER(Upgrades!$U$11,J137),1)*IF(Upgrades!$T$12="Magnetosphere",POWER(Upgrades!$U$12,K137),1))/AJ137,0)</f>
        <v/>
      </c>
      <c r="AW137" s="32">
        <f>MAX(IF(I137&gt;0,0,IFERROR(0.25*N137/Upgrades!$C$10,0)),IF(J137&gt;0,0,IFERROR(0.5*((IF(G137=0,0,(Upgrades!$J$8+G137*Upgrades!$K$8)*POWER(Upgrades!$L$8,G137)))*(IF(Upgrades!$T$6="Stellar Coupling",POWER(Upgrades!$U$6,E137),1)*IF(Upgrades!$T$7="Stellar Coupling",POWER(Upgrades!$U$7,F137),1)*IF(Upgrades!$T$9="Stellar Coupling",POWER(Upgrades!$U$9,H137),1)*IF(Upgrades!$T$10="Stellar Coupling",POWER(Upgrades!$U$10,I137),1)*IF(Upgrades!$T$11="Stellar Coupling",POWER(Upgrades!$U$11,J137),1)*IF(Upgrades!$T$12="Stellar Coupling",POWER(Upgrades!$U$12,K137),1))*(POWER(Upgrades!$Q$6,E137)*POWER(Upgrades!$Q$7,F137)*POWER(Upgrades!$Q$8,G137)*POWER(Upgrades!$Q$9,H137)*POWER(Upgrades!$Q$10,I137)*POWER(Upgrades!$Q$11,J137)*POWER(Upgrades!$Q$12,K137))*Parameters!$B$10*Parameters!$B$11/60)/Upgrades!$C$11,0)),IF(K137&gt;0,0,IFERROR((1.0*(POWER(Upgrades!$P$6,E137)*POWER(Upgrades!$P$7,F137)*POWER(Upgrades!$P$8,G137)*POWER(Upgrades!$P$9,H137)*POWER(Upgrades!$P$10,I137)*POWER(Upgrades!$P$11,J137)*POWER(Upgrades!$P$12,K137))+0.20*M137*Parameters!$B$10*Parameters!$B$11/60)/Upgrades!$C$12,0)),IF(AND(ISNUMBER(AG137),AG137&gt;T137),AS137,0),IF(AND(ISNUMBER(AH137),AH137&gt;T137),AT137,0),IF(AND(ISNUMBER(AI137),AI137&gt;T137),AU137,0),IF(AND(ISNUMBER(AJ137),AJ137&gt;T137),AV137,0))</f>
        <v/>
      </c>
      <c r="AX137" s="29">
        <f>IF(AN137=1,"transition",IF(MIN(IF(AND(I137=0,ISNUMBER(AK137),AK137&lt;=T137),AK137,9E15),IF(AND(J137=0,ISNUMBER(AL137),AL137&lt;=T137),AL137,9E15),IF(AND(K137=0,ISNUMBER(AM137),AM137&lt;=T137),AM137,9E15))&lt;9E15,IF(AND(AND(I137=0,ISNUMBER(AK137),AK137&lt;=T137),AK137=MIN(IF(AND(I137=0,ISNUMBER(AK137),AK137&lt;=T137),AK137,9E15),IF(AND(J137=0,ISNUMBER(AL137),AL137&lt;=T137),AL137,9E15),IF(AND(K137=0,ISNUMBER(AM137),AM137&lt;=T137),AM137,9E15))),"OR",IF(AND(AND(J137=0,ISNUMBER(AL137),AL137&lt;=T137),AL137=MIN(IF(AND(I137=0,ISNUMBER(AK137),AK137&lt;=T137),AK137,9E15),IF(AND(J137=0,ISNUMBER(AL137),AL137&lt;=T137),AL137,9E15),IF(AND(K137=0,ISNUMBER(AM137),AM137&lt;=T137),AM137,9E15))),"HP","FP")),IF(AR137=TRUE,"",IF(MAX(IF(AND(NOT(AND(AO137=1,AN137&lt;&gt;1)),ISNUMBER(AG137),AG137&lt;=T137),AS137,0),IF(AND(NOT(AND(AO137=1,AN137&lt;&gt;1)),ISNUMBER(AH137),AH137&lt;=T137),AT137,0),IF(AND(NOT(AND(AO137=1,AN137&lt;&gt;1)),ISNUMBER(AI137),AI137&lt;=T137),AU137,0),IF(AND(ISNUMBER(AJ137),AJ137&lt;=T137),AV137,0))&lt;=0,"",IF(AND(IF(AND(NOT(AND(AO137=1,AN137&lt;&gt;1)),ISNUMBER(AG137),AG137&lt;=T137),AS137,0)&gt;0,IF(AND(NOT(AND(AO137=1,AN137&lt;&gt;1)),ISNUMBER(AG137),AG137&lt;=T137),AS137,0)=MAX(IF(AND(NOT(AND(AO137=1,AN137&lt;&gt;1)),ISNUMBER(AG137),AG137&lt;=T137),AS137,0),IF(AND(NOT(AND(AO137=1,AN137&lt;&gt;1)),ISNUMBER(AH137),AH137&lt;=T137),AT137,0),IF(AND(NOT(AND(AO137=1,AN137&lt;&gt;1)),ISNUMBER(AI137),AI137&lt;=T137),AU137,0),IF(AND(ISNUMBER(AJ137),AJ137&lt;=T137),AV137,0))),"SW",IF(AND(IF(AND(NOT(AND(AO137=1,AN137&lt;&gt;1)),ISNUMBER(AH137),AH137&lt;=T137),AT137,0)&gt;0,IF(AND(NOT(AND(AO137=1,AN137&lt;&gt;1)),ISNUMBER(AH137),AH137&lt;=T137),AT137,0)=MAX(IF(AND(NOT(AND(AO137=1,AN137&lt;&gt;1)),ISNUMBER(AG137),AG137&lt;=T137),AS137,0),IF(AND(NOT(AND(AO137=1,AN137&lt;&gt;1)),ISNUMBER(AH137),AH137&lt;=T137),AT137,0),IF(AND(NOT(AND(AO137=1,AN137&lt;&gt;1)),ISNUMBER(AI137),AI137&lt;=T137),AU137,0),IF(AND(ISNUMBER(AJ137),AJ137&lt;=T137),AV137,0))),"AB",IF(AND(IF(AND(NOT(AND(AO137=1,AN137&lt;&gt;1)),ISNUMBER(AI137),AI137&lt;=T137),AU137,0)&gt;0,IF(AND(NOT(AND(AO137=1,AN137&lt;&gt;1)),ISNUMBER(AI137),AI137&lt;=T137),AU137,0)=MAX(IF(AND(NOT(AND(AO137=1,AN137&lt;&gt;1)),ISNUMBER(AG137),AG137&lt;=T137),AS137,0),IF(AND(NOT(AND(AO137=1,AN137&lt;&gt;1)),ISNUMBER(AH137),AH137&lt;=T137),AT137,0),IF(AND(NOT(AND(AO137=1,AN137&lt;&gt;1)),ISNUMBER(AI137),AI137&lt;=T137),AU137,0),IF(AND(ISNUMBER(AJ137),AJ137&lt;=T137),AV137,0))),"SC","Mag")))))))</f>
        <v/>
      </c>
    </row>
    <row r="138">
      <c r="A138" s="26" t="n">
        <v>133</v>
      </c>
      <c r="B138" s="27">
        <f>A138*10/60</f>
        <v/>
      </c>
      <c r="C138" s="22">
        <f>X137</f>
        <v/>
      </c>
      <c r="D138" s="27">
        <f>D137+W137</f>
        <v/>
      </c>
      <c r="E138" s="26">
        <f>E137+IF(U137="SW",1,0)</f>
        <v/>
      </c>
      <c r="F138" s="26">
        <f>F137+IF(U137="AB",1,0)</f>
        <v/>
      </c>
      <c r="G138" s="26">
        <f>G137+IF(U137="SC",1,0)</f>
        <v/>
      </c>
      <c r="H138" s="26">
        <f>H137+IF(U137="Mag",1,0)</f>
        <v/>
      </c>
      <c r="I138" s="26">
        <f>MAX(I137,IF(U137="OR",1,0))</f>
        <v/>
      </c>
      <c r="J138" s="26">
        <f>MAX(J137,IF(U137="HP",1,0))</f>
        <v/>
      </c>
      <c r="K138" s="26">
        <f>MAX(K137,IF(U137="FP",1,0))</f>
        <v/>
      </c>
      <c r="L138" s="26">
        <f>MAX(L137,IF(U137="transition",1,0))</f>
        <v/>
      </c>
      <c r="M138" s="28">
        <f>(Parameters!$B$9+(IF(E138=0,0,(Upgrades!$J$6+E138*Upgrades!$K$6)*POWER(Upgrades!$L$6,E138)))*(IF(Upgrades!$T$7="Solar Wind",POWER(Upgrades!$U$7,F138),1)*IF(Upgrades!$T$8="Solar Wind",POWER(Upgrades!$U$8,G138),1)*IF(Upgrades!$T$9="Solar Wind",POWER(Upgrades!$U$9,H138),1)*IF(Upgrades!$T$10="Solar Wind",POWER(Upgrades!$U$10,I138),1)*IF(Upgrades!$T$11="Solar Wind",POWER(Upgrades!$U$11,J138),1)*IF(Upgrades!$T$12="Solar Wind",POWER(Upgrades!$U$12,K138),1))+(IF(F138=0,0,(Upgrades!$J$7+F138*Upgrades!$K$7)*POWER(Upgrades!$L$7,F138)))*(IF(Upgrades!$T$6="Asteroid Belt",POWER(Upgrades!$U$6,E138),1)*IF(Upgrades!$T$8="Asteroid Belt",POWER(Upgrades!$U$8,G138),1)*IF(Upgrades!$T$9="Asteroid Belt",POWER(Upgrades!$U$9,H138),1)*IF(Upgrades!$T$10="Asteroid Belt",POWER(Upgrades!$U$10,I138),1)*IF(Upgrades!$T$11="Asteroid Belt",POWER(Upgrades!$U$11,J138),1)*IF(Upgrades!$T$12="Asteroid Belt",POWER(Upgrades!$U$12,K138),1))+(IF(G138=0,0,(Upgrades!$J$8+G138*Upgrades!$K$8)*POWER(Upgrades!$L$8,G138)))*(IF(Upgrades!$T$6="Stellar Coupling",POWER(Upgrades!$U$6,E138),1)*IF(Upgrades!$T$7="Stellar Coupling",POWER(Upgrades!$U$7,F138),1)*IF(Upgrades!$T$9="Stellar Coupling",POWER(Upgrades!$U$9,H138),1)*IF(Upgrades!$T$10="Stellar Coupling",POWER(Upgrades!$U$10,I138),1)*IF(Upgrades!$T$11="Stellar Coupling",POWER(Upgrades!$U$11,J138),1)*IF(Upgrades!$T$12="Stellar Coupling",POWER(Upgrades!$U$12,K138),1))+(IF(H138=0,0,(Upgrades!$J$9+H138*Upgrades!$K$9)*POWER(Upgrades!$L$9,H138)))*(IF(Upgrades!$T$6="Magnetosphere",POWER(Upgrades!$U$6,E138),1)*IF(Upgrades!$T$7="Magnetosphere",POWER(Upgrades!$U$7,F138),1)*IF(Upgrades!$T$8="Magnetosphere",POWER(Upgrades!$U$8,G138),1)*IF(Upgrades!$T$10="Magnetosphere",POWER(Upgrades!$U$10,I138),1)*IF(Upgrades!$T$11="Magnetosphere",POWER(Upgrades!$U$11,J138),1)*IF(Upgrades!$T$12="Magnetosphere",POWER(Upgrades!$U$12,K138),1))+(IF(I138=0,0,(Upgrades!$J$10+I138*Upgrades!$K$10)*POWER(Upgrades!$L$10,I138)))*(IF(Upgrades!$T$6="Orbital Resonance",POWER(Upgrades!$U$6,E138),1)*IF(Upgrades!$T$7="Orbital Resonance",POWER(Upgrades!$U$7,F138),1)*IF(Upgrades!$T$8="Orbital Resonance",POWER(Upgrades!$U$8,G138),1)*IF(Upgrades!$T$9="Orbital Resonance",POWER(Upgrades!$U$9,H138),1)*IF(Upgrades!$T$11="Orbital Resonance",POWER(Upgrades!$U$11,J138),1)*IF(Upgrades!$T$12="Orbital Resonance",POWER(Upgrades!$U$12,K138),1))+(IF(J138=0,0,(Upgrades!$J$11+J138*Upgrades!$K$11)*POWER(Upgrades!$L$11,J138)))*(IF(Upgrades!$T$6="Heliopause",POWER(Upgrades!$U$6,E138),1)*IF(Upgrades!$T$7="Heliopause",POWER(Upgrades!$U$7,F138),1)*IF(Upgrades!$T$8="Heliopause",POWER(Upgrades!$U$8,G138),1)*IF(Upgrades!$T$9="Heliopause",POWER(Upgrades!$U$9,H138),1)*IF(Upgrades!$T$10="Heliopause",POWER(Upgrades!$U$10,I138),1)*IF(Upgrades!$T$12="Heliopause",POWER(Upgrades!$U$12,K138),1))+(IF(K138=0,0,(Upgrades!$J$12+K138*Upgrades!$K$12)*POWER(Upgrades!$L$12,K138)))*(IF(Upgrades!$T$6="First Photons",POWER(Upgrades!$U$6,E138),1)*IF(Upgrades!$T$7="First Photons",POWER(Upgrades!$U$7,F138),1)*IF(Upgrades!$T$8="First Photons",POWER(Upgrades!$U$8,G138),1)*IF(Upgrades!$T$9="First Photons",POWER(Upgrades!$U$9,H138),1)*IF(Upgrades!$T$10="First Photons",POWER(Upgrades!$U$10,I138),1)*IF(Upgrades!$T$11="First Photons",POWER(Upgrades!$U$11,J138),1)))*POWER(Upgrades!$Q$6,E138)*POWER(Upgrades!$Q$7,F138)*POWER(Upgrades!$Q$8,G138)*POWER(Upgrades!$Q$9,H138)*POWER(Upgrades!$Q$10,I138)*POWER(Upgrades!$Q$11,J138)*POWER(Upgrades!$Q$12,K138)</f>
        <v/>
      </c>
      <c r="N138" s="28">
        <f>((IF(E138=0,0,(Upgrades!$G$6+E138*Upgrades!$H$6)*POWER(Upgrades!$I$6,E138)))*(IF(Upgrades!$T$7="Solar Wind",POWER(Upgrades!$U$7,F138),1)*IF(Upgrades!$T$8="Solar Wind",POWER(Upgrades!$U$8,G138),1)*IF(Upgrades!$T$9="Solar Wind",POWER(Upgrades!$U$9,H138),1)*IF(Upgrades!$T$10="Solar Wind",POWER(Upgrades!$U$10,I138),1)*IF(Upgrades!$T$11="Solar Wind",POWER(Upgrades!$U$11,J138),1)*IF(Upgrades!$T$12="Solar Wind",POWER(Upgrades!$U$12,K138),1))+(IF(F138=0,0,(Upgrades!$G$7+F138*Upgrades!$H$7)*POWER(Upgrades!$I$7,F138)))*(IF(Upgrades!$T$6="Asteroid Belt",POWER(Upgrades!$U$6,E138),1)*IF(Upgrades!$T$8="Asteroid Belt",POWER(Upgrades!$U$8,G138),1)*IF(Upgrades!$T$9="Asteroid Belt",POWER(Upgrades!$U$9,H138),1)*IF(Upgrades!$T$10="Asteroid Belt",POWER(Upgrades!$U$10,I138),1)*IF(Upgrades!$T$11="Asteroid Belt",POWER(Upgrades!$U$11,J138),1)*IF(Upgrades!$T$12="Asteroid Belt",POWER(Upgrades!$U$12,K138),1))+(IF(G138=0,0,(Upgrades!$G$8+G138*Upgrades!$H$8)*POWER(Upgrades!$I$8,G138)))*(IF(Upgrades!$T$6="Stellar Coupling",POWER(Upgrades!$U$6,E138),1)*IF(Upgrades!$T$7="Stellar Coupling",POWER(Upgrades!$U$7,F138),1)*IF(Upgrades!$T$9="Stellar Coupling",POWER(Upgrades!$U$9,H138),1)*IF(Upgrades!$T$10="Stellar Coupling",POWER(Upgrades!$U$10,I138),1)*IF(Upgrades!$T$11="Stellar Coupling",POWER(Upgrades!$U$11,J138),1)*IF(Upgrades!$T$12="Stellar Coupling",POWER(Upgrades!$U$12,K138),1))+(IF(H138=0,0,(Upgrades!$G$9+H138*Upgrades!$H$9)*POWER(Upgrades!$I$9,H138)))*(IF(Upgrades!$T$6="Magnetosphere",POWER(Upgrades!$U$6,E138),1)*IF(Upgrades!$T$7="Magnetosphere",POWER(Upgrades!$U$7,F138),1)*IF(Upgrades!$T$8="Magnetosphere",POWER(Upgrades!$U$8,G138),1)*IF(Upgrades!$T$10="Magnetosphere",POWER(Upgrades!$U$10,I138),1)*IF(Upgrades!$T$11="Magnetosphere",POWER(Upgrades!$U$11,J138),1)*IF(Upgrades!$T$12="Magnetosphere",POWER(Upgrades!$U$12,K138),1))+(IF(I138=0,0,(Upgrades!$G$10+I138*Upgrades!$H$10)*POWER(Upgrades!$I$10,I138)))*(IF(Upgrades!$T$6="Orbital Resonance",POWER(Upgrades!$U$6,E138),1)*IF(Upgrades!$T$7="Orbital Resonance",POWER(Upgrades!$U$7,F138),1)*IF(Upgrades!$T$8="Orbital Resonance",POWER(Upgrades!$U$8,G138),1)*IF(Upgrades!$T$9="Orbital Resonance",POWER(Upgrades!$U$9,H138),1)*IF(Upgrades!$T$11="Orbital Resonance",POWER(Upgrades!$U$11,J138),1)*IF(Upgrades!$T$12="Orbital Resonance",POWER(Upgrades!$U$12,K138),1))+(IF(J138=0,0,(Upgrades!$G$11+J138*Upgrades!$H$11)*POWER(Upgrades!$I$11,J138)))*(IF(Upgrades!$T$6="Heliopause",POWER(Upgrades!$U$6,E138),1)*IF(Upgrades!$T$7="Heliopause",POWER(Upgrades!$U$7,F138),1)*IF(Upgrades!$T$8="Heliopause",POWER(Upgrades!$U$8,G138),1)*IF(Upgrades!$T$9="Heliopause",POWER(Upgrades!$U$9,H138),1)*IF(Upgrades!$T$10="Heliopause",POWER(Upgrades!$U$10,I138),1)*IF(Upgrades!$T$12="Heliopause",POWER(Upgrades!$U$12,K138),1))+(IF(K138=0,0,(Upgrades!$G$12+K138*Upgrades!$H$12)*POWER(Upgrades!$I$12,K138)))*(IF(Upgrades!$T$6="First Photons",POWER(Upgrades!$U$6,E138),1)*IF(Upgrades!$T$7="First Photons",POWER(Upgrades!$U$7,F138),1)*IF(Upgrades!$T$8="First Photons",POWER(Upgrades!$U$8,G138),1)*IF(Upgrades!$T$9="First Photons",POWER(Upgrades!$U$9,H138),1)*IF(Upgrades!$T$10="First Photons",POWER(Upgrades!$U$10,I138),1)*IF(Upgrades!$T$11="First Photons",POWER(Upgrades!$U$11,J138),1)))*POWER(Upgrades!$P$6,E138)*POWER(Upgrades!$P$7,F138)*POWER(Upgrades!$P$8,G138)*POWER(Upgrades!$P$9,H138)*POWER(Upgrades!$P$10,I138)*POWER(Upgrades!$P$11,J138)*POWER(Upgrades!$P$12,K138)</f>
        <v/>
      </c>
      <c r="O138" s="28">
        <f>((IF(E138=0,0,(Upgrades!$M$6+E138*Upgrades!$N$6)*POWER(Upgrades!$O$6,E138)))*(IF(Upgrades!$T$7="Solar Wind",POWER(Upgrades!$U$7,F138),1)*IF(Upgrades!$T$8="Solar Wind",POWER(Upgrades!$U$8,G138),1)*IF(Upgrades!$T$9="Solar Wind",POWER(Upgrades!$U$9,H138),1)*IF(Upgrades!$T$10="Solar Wind",POWER(Upgrades!$U$10,I138),1)*IF(Upgrades!$T$11="Solar Wind",POWER(Upgrades!$U$11,J138),1)*IF(Upgrades!$T$12="Solar Wind",POWER(Upgrades!$U$12,K138),1))+(IF(F138=0,0,(Upgrades!$M$7+F138*Upgrades!$N$7)*POWER(Upgrades!$O$7,F138)))*(IF(Upgrades!$T$6="Asteroid Belt",POWER(Upgrades!$U$6,E138),1)*IF(Upgrades!$T$8="Asteroid Belt",POWER(Upgrades!$U$8,G138),1)*IF(Upgrades!$T$9="Asteroid Belt",POWER(Upgrades!$U$9,H138),1)*IF(Upgrades!$T$10="Asteroid Belt",POWER(Upgrades!$U$10,I138),1)*IF(Upgrades!$T$11="Asteroid Belt",POWER(Upgrades!$U$11,J138),1)*IF(Upgrades!$T$12="Asteroid Belt",POWER(Upgrades!$U$12,K138),1))+(IF(G138=0,0,(Upgrades!$M$8+G138*Upgrades!$N$8)*POWER(Upgrades!$O$8,G138)))*(IF(Upgrades!$T$6="Stellar Coupling",POWER(Upgrades!$U$6,E138),1)*IF(Upgrades!$T$7="Stellar Coupling",POWER(Upgrades!$U$7,F138),1)*IF(Upgrades!$T$9="Stellar Coupling",POWER(Upgrades!$U$9,H138),1)*IF(Upgrades!$T$10="Stellar Coupling",POWER(Upgrades!$U$10,I138),1)*IF(Upgrades!$T$11="Stellar Coupling",POWER(Upgrades!$U$11,J138),1)*IF(Upgrades!$T$12="Stellar Coupling",POWER(Upgrades!$U$12,K138),1))+(IF(H138=0,0,(Upgrades!$M$9+H138*Upgrades!$N$9)*POWER(Upgrades!$O$9,H138)))*(IF(Upgrades!$T$6="Magnetosphere",POWER(Upgrades!$U$6,E138),1)*IF(Upgrades!$T$7="Magnetosphere",POWER(Upgrades!$U$7,F138),1)*IF(Upgrades!$T$8="Magnetosphere",POWER(Upgrades!$U$8,G138),1)*IF(Upgrades!$T$10="Magnetosphere",POWER(Upgrades!$U$10,I138),1)*IF(Upgrades!$T$11="Magnetosphere",POWER(Upgrades!$U$11,J138),1)*IF(Upgrades!$T$12="Magnetosphere",POWER(Upgrades!$U$12,K138),1))+(IF(I138=0,0,(Upgrades!$M$10+I138*Upgrades!$N$10)*POWER(Upgrades!$O$10,I138)))*(IF(Upgrades!$T$6="Orbital Resonance",POWER(Upgrades!$U$6,E138),1)*IF(Upgrades!$T$7="Orbital Resonance",POWER(Upgrades!$U$7,F138),1)*IF(Upgrades!$T$8="Orbital Resonance",POWER(Upgrades!$U$8,G138),1)*IF(Upgrades!$T$9="Orbital Resonance",POWER(Upgrades!$U$9,H138),1)*IF(Upgrades!$T$11="Orbital Resonance",POWER(Upgrades!$U$11,J138),1)*IF(Upgrades!$T$12="Orbital Resonance",POWER(Upgrades!$U$12,K138),1))+(IF(J138=0,0,(Upgrades!$M$11+J138*Upgrades!$N$11)*POWER(Upgrades!$O$11,J138)))*(IF(Upgrades!$T$6="Heliopause",POWER(Upgrades!$U$6,E138),1)*IF(Upgrades!$T$7="Heliopause",POWER(Upgrades!$U$7,F138),1)*IF(Upgrades!$T$8="Heliopause",POWER(Upgrades!$U$8,G138),1)*IF(Upgrades!$T$9="Heliopause",POWER(Upgrades!$U$9,H138),1)*IF(Upgrades!$T$10="Heliopause",POWER(Upgrades!$U$10,I138),1)*IF(Upgrades!$T$12="Heliopause",POWER(Upgrades!$U$12,K138),1))+(IF(K138=0,0,(Upgrades!$M$12+K138*Upgrades!$N$12)*POWER(Upgrades!$O$12,K138)))*(IF(Upgrades!$T$6="First Photons",POWER(Upgrades!$U$6,E138),1)*IF(Upgrades!$T$7="First Photons",POWER(Upgrades!$U$7,F138),1)*IF(Upgrades!$T$8="First Photons",POWER(Upgrades!$U$8,G138),1)*IF(Upgrades!$T$9="First Photons",POWER(Upgrades!$U$9,H138),1)*IF(Upgrades!$T$10="First Photons",POWER(Upgrades!$U$10,I138),1)*IF(Upgrades!$T$11="First Photons",POWER(Upgrades!$U$11,J138),1)))*POWER(Upgrades!$R$6,E138)*POWER(Upgrades!$R$7,F138)*POWER(Upgrades!$R$8,G138)*POWER(Upgrades!$R$9,H138)*POWER(Upgrades!$R$10,I138)*POWER(Upgrades!$R$11,J138)*POWER(Upgrades!$R$12,K138)</f>
        <v/>
      </c>
      <c r="P138" s="27">
        <f>IF(L138=1,0,M138*Parameters!$B$10/60*Parameters!$B$11*10)</f>
        <v/>
      </c>
      <c r="Q138" s="27">
        <f>IF(L138=1,0,O138*M138*10)</f>
        <v/>
      </c>
      <c r="R138" s="27">
        <f>IF(L138=1,0,N138*10)</f>
        <v/>
      </c>
      <c r="S138" s="27">
        <f>P138+Q138+R138</f>
        <v/>
      </c>
      <c r="T138" s="22">
        <f>C138+S138</f>
        <v/>
      </c>
      <c r="U138" s="33">
        <f>AX138</f>
        <v/>
      </c>
      <c r="V138" s="22">
        <f>IF(U138="",0,IF(U138="transition",0,IF(U138="SW",AG138,IF(U138="AB",AH138,IF(U138="SC",AI138,IF(U138="Mag",AJ138,IF(U138="OR",AK138,IF(U138="HP",AL138,IF(U138="FP",AM138,0)))))))))</f>
        <v/>
      </c>
      <c r="W138" s="27">
        <f>IF(U138="OR",Upgrades!$F$10,IF(U138="HP",Upgrades!$F$11,IF(U138="transition",-Parameters!$B$18,0)))</f>
        <v/>
      </c>
      <c r="X138" s="22">
        <f>T138-V138</f>
        <v/>
      </c>
      <c r="Y138" s="30">
        <f>M138*Parameters!$B$10/60*Parameters!$B$11+O138*M138+N138</f>
        <v/>
      </c>
      <c r="Z138" s="34">
        <f>IF(U138="transition","→ Tier 2 (Stellar Neighborhood)",IF(U138="FP","First Photons — light begins, system quickens",IF(U138="HP","Heliopause acquired",IF(U138="OR","Orbital Resonance — passive multiplier active",IF(AND(AO138=1,L138=0,AN138&lt;&gt;1),"Cohesion ready (waiting on completionist upgrades)","")))))</f>
        <v/>
      </c>
      <c r="AA138" s="27">
        <f>(IF(E138=0,0,(Upgrades!$G$6+E138*Upgrades!$H$6)*POWER(Upgrades!$I$6,E138)))*(IF(Upgrades!$T$7="Solar Wind",POWER(Upgrades!$U$7,F138),1)*IF(Upgrades!$T$8="Solar Wind",POWER(Upgrades!$U$8,G138),1)*IF(Upgrades!$T$9="Solar Wind",POWER(Upgrades!$U$9,H138),1)*IF(Upgrades!$T$10="Solar Wind",POWER(Upgrades!$U$10,I138),1)*IF(Upgrades!$T$11="Solar Wind",POWER(Upgrades!$U$11,J138),1)*IF(Upgrades!$T$12="Solar Wind",POWER(Upgrades!$U$12,K138),1))*POWER(Upgrades!$P$6,E138)*POWER(Upgrades!$P$7,F138)*POWER(Upgrades!$P$8,G138)*POWER(Upgrades!$P$9,H138)*POWER(Upgrades!$P$10,I138)*POWER(Upgrades!$P$11,J138)*POWER(Upgrades!$P$12,K138)*60</f>
        <v/>
      </c>
      <c r="AB138" s="27">
        <f>(IF(F138=0,0,(Upgrades!$G$7+F138*Upgrades!$H$7)*POWER(Upgrades!$I$7,F138)))*(IF(Upgrades!$T$6="Asteroid Belt",POWER(Upgrades!$U$6,E138),1)*IF(Upgrades!$T$8="Asteroid Belt",POWER(Upgrades!$U$8,G138),1)*IF(Upgrades!$T$9="Asteroid Belt",POWER(Upgrades!$U$9,H138),1)*IF(Upgrades!$T$10="Asteroid Belt",POWER(Upgrades!$U$10,I138),1)*IF(Upgrades!$T$11="Asteroid Belt",POWER(Upgrades!$U$11,J138),1)*IF(Upgrades!$T$12="Asteroid Belt",POWER(Upgrades!$U$12,K138),1))*POWER(Upgrades!$P$6,E138)*POWER(Upgrades!$P$7,F138)*POWER(Upgrades!$P$8,G138)*POWER(Upgrades!$P$9,H138)*POWER(Upgrades!$P$10,I138)*POWER(Upgrades!$P$11,J138)*POWER(Upgrades!$P$12,K138)*60</f>
        <v/>
      </c>
      <c r="AC138" s="27">
        <f>(IF(G138=0,0,(Upgrades!$J$8+G138*Upgrades!$K$8)*POWER(Upgrades!$L$8,G138)))*(IF(Upgrades!$T$6="Stellar Coupling",POWER(Upgrades!$U$6,E138),1)*IF(Upgrades!$T$7="Stellar Coupling",POWER(Upgrades!$U$7,F138),1)*IF(Upgrades!$T$9="Stellar Coupling",POWER(Upgrades!$U$9,H138),1)*IF(Upgrades!$T$10="Stellar Coupling",POWER(Upgrades!$U$10,I138),1)*IF(Upgrades!$T$11="Stellar Coupling",POWER(Upgrades!$U$11,J138),1)*IF(Upgrades!$T$12="Stellar Coupling",POWER(Upgrades!$U$12,K138),1))*POWER(Upgrades!$Q$6,E138)*POWER(Upgrades!$Q$7,F138)*POWER(Upgrades!$Q$8,G138)*POWER(Upgrades!$Q$9,H138)*POWER(Upgrades!$Q$10,I138)*POWER(Upgrades!$Q$11,J138)*POWER(Upgrades!$Q$12,K138)*Parameters!$B$10*Parameters!$B$11</f>
        <v/>
      </c>
      <c r="AD138" s="27">
        <f>(IF(H138=0,0,(Upgrades!$G$9+H138*Upgrades!$H$9)*POWER(Upgrades!$I$9,H138)))*(IF(Upgrades!$T$6="Magnetosphere",POWER(Upgrades!$U$6,E138),1)*IF(Upgrades!$T$7="Magnetosphere",POWER(Upgrades!$U$7,F138),1)*IF(Upgrades!$T$8="Magnetosphere",POWER(Upgrades!$U$8,G138),1)*IF(Upgrades!$T$10="Magnetosphere",POWER(Upgrades!$U$10,I138),1)*IF(Upgrades!$T$11="Magnetosphere",POWER(Upgrades!$U$11,J138),1)*IF(Upgrades!$T$12="Magnetosphere",POWER(Upgrades!$U$12,K138),1))*POWER(Upgrades!$P$6,E138)*POWER(Upgrades!$P$7,F138)*POWER(Upgrades!$P$8,G138)*POWER(Upgrades!$P$9,H138)*POWER(Upgrades!$P$10,I138)*POWER(Upgrades!$P$11,J138)*POWER(Upgrades!$P$12,K138)*60</f>
        <v/>
      </c>
      <c r="AE138" s="27">
        <f>(IF(K138=0,0,(Upgrades!$G$12+K138*Upgrades!$H$12)*POWER(Upgrades!$I$12,K138)))*(IF(Upgrades!$T$6="First Photons",POWER(Upgrades!$U$6,E138),1)*IF(Upgrades!$T$7="First Photons",POWER(Upgrades!$U$7,F138),1)*IF(Upgrades!$T$8="First Photons",POWER(Upgrades!$U$8,G138),1)*IF(Upgrades!$T$9="First Photons",POWER(Upgrades!$U$9,H138),1)*IF(Upgrades!$T$10="First Photons",POWER(Upgrades!$U$10,I138),1)*IF(Upgrades!$T$11="First Photons",POWER(Upgrades!$U$11,J138),1))*POWER(Upgrades!$P$6,E138)*POWER(Upgrades!$P$7,F138)*POWER(Upgrades!$P$8,G138)*POWER(Upgrades!$P$9,H138)*POWER(Upgrades!$P$10,I138)*POWER(Upgrades!$P$11,J138)*POWER(Upgrades!$P$12,K138)*60</f>
        <v/>
      </c>
      <c r="AF138" s="27">
        <f>Parameters!$B$9*POWER(Upgrades!$Q$6,E138)*POWER(Upgrades!$Q$7,F138)*POWER(Upgrades!$Q$8,G138)*POWER(Upgrades!$Q$9,H138)*POWER(Upgrades!$Q$10,I138)*POWER(Upgrades!$Q$11,J138)*POWER(Upgrades!$Q$12,K138)*(Parameters!$B$10*Parameters!$B$11+O138*60)</f>
        <v/>
      </c>
      <c r="AG138" s="22">
        <f>IF(E138&gt;=Upgrades!$E$6,"",Upgrades!$C$6*POWER(Upgrades!$D$6,E138))</f>
        <v/>
      </c>
      <c r="AH138" s="22">
        <f>IF(F138&gt;=Upgrades!$E$7,"",Upgrades!$C$7*POWER(Upgrades!$D$7,F138))</f>
        <v/>
      </c>
      <c r="AI138" s="22">
        <f>IF(G138&gt;=Upgrades!$E$8,"",Upgrades!$C$8*POWER(Upgrades!$D$8,G138))</f>
        <v/>
      </c>
      <c r="AJ138" s="22">
        <f>IF(H138&gt;=Upgrades!$E$9,"",Upgrades!$C$9*POWER(Upgrades!$D$9,H138))</f>
        <v/>
      </c>
      <c r="AK138" s="22">
        <f>IF(I138&gt;=Upgrades!$E$10,"",Upgrades!$C$10*POWER(Upgrades!$D$10,I138))</f>
        <v/>
      </c>
      <c r="AL138" s="22">
        <f>IF(J138&gt;=Upgrades!$E$11,"",Upgrades!$C$11*POWER(Upgrades!$D$11,J138))</f>
        <v/>
      </c>
      <c r="AM138" s="22">
        <f>IF(K138&gt;=Upgrades!$E$12,"",Upgrades!$C$12*POWER(Upgrades!$D$12,K138))</f>
        <v/>
      </c>
      <c r="AN138" s="26">
        <f>IF(AND(D138&gt;=Parameters!$B$18,(H138&gt;=Upgrades!$E$9)*(K138&gt;=Upgrades!$E$12)=1,L138=0),1,"")</f>
        <v/>
      </c>
      <c r="AO138" s="26">
        <f>IF(AND(D138&gt;=Parameters!$B$18,L138=0),1,"")</f>
        <v/>
      </c>
      <c r="AP138" s="22">
        <f>MIN(IF(ISNUMBER(AK138),AK138,9E15),IF(ISNUMBER(AL138),AL138,9E15),IF(ISNUMBER(AM138),AM138,9E15))</f>
        <v/>
      </c>
      <c r="AQ138" s="22">
        <f>MIN(IF(ISNUMBER(AG138),AG138,9E15),IF(ISNUMBER(AH138),AH138,9E15),IF(ISNUMBER(AI138),AI138,9E15),IF(ISNUMBER(AJ138),AJ138,9E15))</f>
        <v/>
      </c>
      <c r="AR138" s="29">
        <f>IF(AW138&gt;Parameters!$B$21*(MAX(IF(AND(NOT(AND(AO138=1,AN138&lt;&gt;1)),ISNUMBER(AG138),AG138&lt;=T138),AS138,0),IF(AND(NOT(AND(AO138=1,AN138&lt;&gt;1)),ISNUMBER(AH138),AH138&lt;=T138),AT138,0),IF(AND(NOT(AND(AO138=1,AN138&lt;&gt;1)),ISNUMBER(AI138),AI138&lt;=T138),AU138,0),IF(AND(ISNUMBER(AJ138),AJ138&lt;=T138),AV138,0))),TRUE,FALSE)</f>
        <v/>
      </c>
      <c r="AS138" s="32">
        <f>IFERROR(Upgrades!$H$6*(POWER(Upgrades!$P$6,E138)*POWER(Upgrades!$P$7,F138)*POWER(Upgrades!$P$8,G138)*POWER(Upgrades!$P$9,H138)*POWER(Upgrades!$P$10,I138)*POWER(Upgrades!$P$11,J138)*POWER(Upgrades!$P$12,K138))*(IF(Upgrades!$T$7="Solar Wind",POWER(Upgrades!$U$7,F138),1)*IF(Upgrades!$T$8="Solar Wind",POWER(Upgrades!$U$8,G138),1)*IF(Upgrades!$T$9="Solar Wind",POWER(Upgrades!$U$9,H138),1)*IF(Upgrades!$T$10="Solar Wind",POWER(Upgrades!$U$10,I138),1)*IF(Upgrades!$T$11="Solar Wind",POWER(Upgrades!$U$11,J138),1)*IF(Upgrades!$T$12="Solar Wind",POWER(Upgrades!$U$12,K138),1))/AG138,0)</f>
        <v/>
      </c>
      <c r="AT138" s="32">
        <f>IFERROR(Upgrades!$H$7*(POWER(Upgrades!$P$6,E138)*POWER(Upgrades!$P$7,F138)*POWER(Upgrades!$P$8,G138)*POWER(Upgrades!$P$9,H138)*POWER(Upgrades!$P$10,I138)*POWER(Upgrades!$P$11,J138)*POWER(Upgrades!$P$12,K138))*(IF(Upgrades!$T$6="Asteroid Belt",POWER(Upgrades!$U$6,E138),1)*IF(Upgrades!$T$8="Asteroid Belt",POWER(Upgrades!$U$8,G138),1)*IF(Upgrades!$T$9="Asteroid Belt",POWER(Upgrades!$U$9,H138),1)*IF(Upgrades!$T$10="Asteroid Belt",POWER(Upgrades!$U$10,I138),1)*IF(Upgrades!$T$11="Asteroid Belt",POWER(Upgrades!$U$11,J138),1)*IF(Upgrades!$T$12="Asteroid Belt",POWER(Upgrades!$U$12,K138),1))/AH138,0)</f>
        <v/>
      </c>
      <c r="AU138" s="32">
        <f>IFERROR(Upgrades!$K$8*(POWER(Upgrades!$Q$6,E138)*POWER(Upgrades!$Q$7,F138)*POWER(Upgrades!$Q$8,G138)*POWER(Upgrades!$Q$9,H138)*POWER(Upgrades!$Q$10,I138)*POWER(Upgrades!$Q$11,J138)*POWER(Upgrades!$Q$12,K138))*(IF(Upgrades!$T$6="Stellar Coupling",POWER(Upgrades!$U$6,E138),1)*IF(Upgrades!$T$7="Stellar Coupling",POWER(Upgrades!$U$7,F138),1)*IF(Upgrades!$T$9="Stellar Coupling",POWER(Upgrades!$U$9,H138),1)*IF(Upgrades!$T$10="Stellar Coupling",POWER(Upgrades!$U$10,I138),1)*IF(Upgrades!$T$11="Stellar Coupling",POWER(Upgrades!$U$11,J138),1)*IF(Upgrades!$T$12="Stellar Coupling",POWER(Upgrades!$U$12,K138),1))*Parameters!$B$10*Parameters!$B$11/60/AI138,0)</f>
        <v/>
      </c>
      <c r="AV138" s="32">
        <f>IFERROR(Upgrades!$H$9*(POWER(Upgrades!$P$6,E138)*POWER(Upgrades!$P$7,F138)*POWER(Upgrades!$P$8,G138)*POWER(Upgrades!$P$9,H138)*POWER(Upgrades!$P$10,I138)*POWER(Upgrades!$P$11,J138)*POWER(Upgrades!$P$12,K138))*(IF(Upgrades!$T$6="Magnetosphere",POWER(Upgrades!$U$6,E138),1)*IF(Upgrades!$T$7="Magnetosphere",POWER(Upgrades!$U$7,F138),1)*IF(Upgrades!$T$8="Magnetosphere",POWER(Upgrades!$U$8,G138),1)*IF(Upgrades!$T$10="Magnetosphere",POWER(Upgrades!$U$10,I138),1)*IF(Upgrades!$T$11="Magnetosphere",POWER(Upgrades!$U$11,J138),1)*IF(Upgrades!$T$12="Magnetosphere",POWER(Upgrades!$U$12,K138),1))/AJ138,0)</f>
        <v/>
      </c>
      <c r="AW138" s="32">
        <f>MAX(IF(I138&gt;0,0,IFERROR(0.25*N138/Upgrades!$C$10,0)),IF(J138&gt;0,0,IFERROR(0.5*((IF(G138=0,0,(Upgrades!$J$8+G138*Upgrades!$K$8)*POWER(Upgrades!$L$8,G138)))*(IF(Upgrades!$T$6="Stellar Coupling",POWER(Upgrades!$U$6,E138),1)*IF(Upgrades!$T$7="Stellar Coupling",POWER(Upgrades!$U$7,F138),1)*IF(Upgrades!$T$9="Stellar Coupling",POWER(Upgrades!$U$9,H138),1)*IF(Upgrades!$T$10="Stellar Coupling",POWER(Upgrades!$U$10,I138),1)*IF(Upgrades!$T$11="Stellar Coupling",POWER(Upgrades!$U$11,J138),1)*IF(Upgrades!$T$12="Stellar Coupling",POWER(Upgrades!$U$12,K138),1))*(POWER(Upgrades!$Q$6,E138)*POWER(Upgrades!$Q$7,F138)*POWER(Upgrades!$Q$8,G138)*POWER(Upgrades!$Q$9,H138)*POWER(Upgrades!$Q$10,I138)*POWER(Upgrades!$Q$11,J138)*POWER(Upgrades!$Q$12,K138))*Parameters!$B$10*Parameters!$B$11/60)/Upgrades!$C$11,0)),IF(K138&gt;0,0,IFERROR((1.0*(POWER(Upgrades!$P$6,E138)*POWER(Upgrades!$P$7,F138)*POWER(Upgrades!$P$8,G138)*POWER(Upgrades!$P$9,H138)*POWER(Upgrades!$P$10,I138)*POWER(Upgrades!$P$11,J138)*POWER(Upgrades!$P$12,K138))+0.20*M138*Parameters!$B$10*Parameters!$B$11/60)/Upgrades!$C$12,0)),IF(AND(ISNUMBER(AG138),AG138&gt;T138),AS138,0),IF(AND(ISNUMBER(AH138),AH138&gt;T138),AT138,0),IF(AND(ISNUMBER(AI138),AI138&gt;T138),AU138,0),IF(AND(ISNUMBER(AJ138),AJ138&gt;T138),AV138,0))</f>
        <v/>
      </c>
      <c r="AX138" s="29">
        <f>IF(AN138=1,"transition",IF(MIN(IF(AND(I138=0,ISNUMBER(AK138),AK138&lt;=T138),AK138,9E15),IF(AND(J138=0,ISNUMBER(AL138),AL138&lt;=T138),AL138,9E15),IF(AND(K138=0,ISNUMBER(AM138),AM138&lt;=T138),AM138,9E15))&lt;9E15,IF(AND(AND(I138=0,ISNUMBER(AK138),AK138&lt;=T138),AK138=MIN(IF(AND(I138=0,ISNUMBER(AK138),AK138&lt;=T138),AK138,9E15),IF(AND(J138=0,ISNUMBER(AL138),AL138&lt;=T138),AL138,9E15),IF(AND(K138=0,ISNUMBER(AM138),AM138&lt;=T138),AM138,9E15))),"OR",IF(AND(AND(J138=0,ISNUMBER(AL138),AL138&lt;=T138),AL138=MIN(IF(AND(I138=0,ISNUMBER(AK138),AK138&lt;=T138),AK138,9E15),IF(AND(J138=0,ISNUMBER(AL138),AL138&lt;=T138),AL138,9E15),IF(AND(K138=0,ISNUMBER(AM138),AM138&lt;=T138),AM138,9E15))),"HP","FP")),IF(AR138=TRUE,"",IF(MAX(IF(AND(NOT(AND(AO138=1,AN138&lt;&gt;1)),ISNUMBER(AG138),AG138&lt;=T138),AS138,0),IF(AND(NOT(AND(AO138=1,AN138&lt;&gt;1)),ISNUMBER(AH138),AH138&lt;=T138),AT138,0),IF(AND(NOT(AND(AO138=1,AN138&lt;&gt;1)),ISNUMBER(AI138),AI138&lt;=T138),AU138,0),IF(AND(ISNUMBER(AJ138),AJ138&lt;=T138),AV138,0))&lt;=0,"",IF(AND(IF(AND(NOT(AND(AO138=1,AN138&lt;&gt;1)),ISNUMBER(AG138),AG138&lt;=T138),AS138,0)&gt;0,IF(AND(NOT(AND(AO138=1,AN138&lt;&gt;1)),ISNUMBER(AG138),AG138&lt;=T138),AS138,0)=MAX(IF(AND(NOT(AND(AO138=1,AN138&lt;&gt;1)),ISNUMBER(AG138),AG138&lt;=T138),AS138,0),IF(AND(NOT(AND(AO138=1,AN138&lt;&gt;1)),ISNUMBER(AH138),AH138&lt;=T138),AT138,0),IF(AND(NOT(AND(AO138=1,AN138&lt;&gt;1)),ISNUMBER(AI138),AI138&lt;=T138),AU138,0),IF(AND(ISNUMBER(AJ138),AJ138&lt;=T138),AV138,0))),"SW",IF(AND(IF(AND(NOT(AND(AO138=1,AN138&lt;&gt;1)),ISNUMBER(AH138),AH138&lt;=T138),AT138,0)&gt;0,IF(AND(NOT(AND(AO138=1,AN138&lt;&gt;1)),ISNUMBER(AH138),AH138&lt;=T138),AT138,0)=MAX(IF(AND(NOT(AND(AO138=1,AN138&lt;&gt;1)),ISNUMBER(AG138),AG138&lt;=T138),AS138,0),IF(AND(NOT(AND(AO138=1,AN138&lt;&gt;1)),ISNUMBER(AH138),AH138&lt;=T138),AT138,0),IF(AND(NOT(AND(AO138=1,AN138&lt;&gt;1)),ISNUMBER(AI138),AI138&lt;=T138),AU138,0),IF(AND(ISNUMBER(AJ138),AJ138&lt;=T138),AV138,0))),"AB",IF(AND(IF(AND(NOT(AND(AO138=1,AN138&lt;&gt;1)),ISNUMBER(AI138),AI138&lt;=T138),AU138,0)&gt;0,IF(AND(NOT(AND(AO138=1,AN138&lt;&gt;1)),ISNUMBER(AI138),AI138&lt;=T138),AU138,0)=MAX(IF(AND(NOT(AND(AO138=1,AN138&lt;&gt;1)),ISNUMBER(AG138),AG138&lt;=T138),AS138,0),IF(AND(NOT(AND(AO138=1,AN138&lt;&gt;1)),ISNUMBER(AH138),AH138&lt;=T138),AT138,0),IF(AND(NOT(AND(AO138=1,AN138&lt;&gt;1)),ISNUMBER(AI138),AI138&lt;=T138),AU138,0),IF(AND(ISNUMBER(AJ138),AJ138&lt;=T138),AV138,0))),"SC","Mag")))))))</f>
        <v/>
      </c>
    </row>
    <row r="139">
      <c r="A139" s="26" t="n">
        <v>134</v>
      </c>
      <c r="B139" s="27">
        <f>A139*10/60</f>
        <v/>
      </c>
      <c r="C139" s="22">
        <f>X138</f>
        <v/>
      </c>
      <c r="D139" s="27">
        <f>D138+W138</f>
        <v/>
      </c>
      <c r="E139" s="26">
        <f>E138+IF(U138="SW",1,0)</f>
        <v/>
      </c>
      <c r="F139" s="26">
        <f>F138+IF(U138="AB",1,0)</f>
        <v/>
      </c>
      <c r="G139" s="26">
        <f>G138+IF(U138="SC",1,0)</f>
        <v/>
      </c>
      <c r="H139" s="26">
        <f>H138+IF(U138="Mag",1,0)</f>
        <v/>
      </c>
      <c r="I139" s="26">
        <f>MAX(I138,IF(U138="OR",1,0))</f>
        <v/>
      </c>
      <c r="J139" s="26">
        <f>MAX(J138,IF(U138="HP",1,0))</f>
        <v/>
      </c>
      <c r="K139" s="26">
        <f>MAX(K138,IF(U138="FP",1,0))</f>
        <v/>
      </c>
      <c r="L139" s="26">
        <f>MAX(L138,IF(U138="transition",1,0))</f>
        <v/>
      </c>
      <c r="M139" s="28">
        <f>(Parameters!$B$9+(IF(E139=0,0,(Upgrades!$J$6+E139*Upgrades!$K$6)*POWER(Upgrades!$L$6,E139)))*(IF(Upgrades!$T$7="Solar Wind",POWER(Upgrades!$U$7,F139),1)*IF(Upgrades!$T$8="Solar Wind",POWER(Upgrades!$U$8,G139),1)*IF(Upgrades!$T$9="Solar Wind",POWER(Upgrades!$U$9,H139),1)*IF(Upgrades!$T$10="Solar Wind",POWER(Upgrades!$U$10,I139),1)*IF(Upgrades!$T$11="Solar Wind",POWER(Upgrades!$U$11,J139),1)*IF(Upgrades!$T$12="Solar Wind",POWER(Upgrades!$U$12,K139),1))+(IF(F139=0,0,(Upgrades!$J$7+F139*Upgrades!$K$7)*POWER(Upgrades!$L$7,F139)))*(IF(Upgrades!$T$6="Asteroid Belt",POWER(Upgrades!$U$6,E139),1)*IF(Upgrades!$T$8="Asteroid Belt",POWER(Upgrades!$U$8,G139),1)*IF(Upgrades!$T$9="Asteroid Belt",POWER(Upgrades!$U$9,H139),1)*IF(Upgrades!$T$10="Asteroid Belt",POWER(Upgrades!$U$10,I139),1)*IF(Upgrades!$T$11="Asteroid Belt",POWER(Upgrades!$U$11,J139),1)*IF(Upgrades!$T$12="Asteroid Belt",POWER(Upgrades!$U$12,K139),1))+(IF(G139=0,0,(Upgrades!$J$8+G139*Upgrades!$K$8)*POWER(Upgrades!$L$8,G139)))*(IF(Upgrades!$T$6="Stellar Coupling",POWER(Upgrades!$U$6,E139),1)*IF(Upgrades!$T$7="Stellar Coupling",POWER(Upgrades!$U$7,F139),1)*IF(Upgrades!$T$9="Stellar Coupling",POWER(Upgrades!$U$9,H139),1)*IF(Upgrades!$T$10="Stellar Coupling",POWER(Upgrades!$U$10,I139),1)*IF(Upgrades!$T$11="Stellar Coupling",POWER(Upgrades!$U$11,J139),1)*IF(Upgrades!$T$12="Stellar Coupling",POWER(Upgrades!$U$12,K139),1))+(IF(H139=0,0,(Upgrades!$J$9+H139*Upgrades!$K$9)*POWER(Upgrades!$L$9,H139)))*(IF(Upgrades!$T$6="Magnetosphere",POWER(Upgrades!$U$6,E139),1)*IF(Upgrades!$T$7="Magnetosphere",POWER(Upgrades!$U$7,F139),1)*IF(Upgrades!$T$8="Magnetosphere",POWER(Upgrades!$U$8,G139),1)*IF(Upgrades!$T$10="Magnetosphere",POWER(Upgrades!$U$10,I139),1)*IF(Upgrades!$T$11="Magnetosphere",POWER(Upgrades!$U$11,J139),1)*IF(Upgrades!$T$12="Magnetosphere",POWER(Upgrades!$U$12,K139),1))+(IF(I139=0,0,(Upgrades!$J$10+I139*Upgrades!$K$10)*POWER(Upgrades!$L$10,I139)))*(IF(Upgrades!$T$6="Orbital Resonance",POWER(Upgrades!$U$6,E139),1)*IF(Upgrades!$T$7="Orbital Resonance",POWER(Upgrades!$U$7,F139),1)*IF(Upgrades!$T$8="Orbital Resonance",POWER(Upgrades!$U$8,G139),1)*IF(Upgrades!$T$9="Orbital Resonance",POWER(Upgrades!$U$9,H139),1)*IF(Upgrades!$T$11="Orbital Resonance",POWER(Upgrades!$U$11,J139),1)*IF(Upgrades!$T$12="Orbital Resonance",POWER(Upgrades!$U$12,K139),1))+(IF(J139=0,0,(Upgrades!$J$11+J139*Upgrades!$K$11)*POWER(Upgrades!$L$11,J139)))*(IF(Upgrades!$T$6="Heliopause",POWER(Upgrades!$U$6,E139),1)*IF(Upgrades!$T$7="Heliopause",POWER(Upgrades!$U$7,F139),1)*IF(Upgrades!$T$8="Heliopause",POWER(Upgrades!$U$8,G139),1)*IF(Upgrades!$T$9="Heliopause",POWER(Upgrades!$U$9,H139),1)*IF(Upgrades!$T$10="Heliopause",POWER(Upgrades!$U$10,I139),1)*IF(Upgrades!$T$12="Heliopause",POWER(Upgrades!$U$12,K139),1))+(IF(K139=0,0,(Upgrades!$J$12+K139*Upgrades!$K$12)*POWER(Upgrades!$L$12,K139)))*(IF(Upgrades!$T$6="First Photons",POWER(Upgrades!$U$6,E139),1)*IF(Upgrades!$T$7="First Photons",POWER(Upgrades!$U$7,F139),1)*IF(Upgrades!$T$8="First Photons",POWER(Upgrades!$U$8,G139),1)*IF(Upgrades!$T$9="First Photons",POWER(Upgrades!$U$9,H139),1)*IF(Upgrades!$T$10="First Photons",POWER(Upgrades!$U$10,I139),1)*IF(Upgrades!$T$11="First Photons",POWER(Upgrades!$U$11,J139),1)))*POWER(Upgrades!$Q$6,E139)*POWER(Upgrades!$Q$7,F139)*POWER(Upgrades!$Q$8,G139)*POWER(Upgrades!$Q$9,H139)*POWER(Upgrades!$Q$10,I139)*POWER(Upgrades!$Q$11,J139)*POWER(Upgrades!$Q$12,K139)</f>
        <v/>
      </c>
      <c r="N139" s="28">
        <f>((IF(E139=0,0,(Upgrades!$G$6+E139*Upgrades!$H$6)*POWER(Upgrades!$I$6,E139)))*(IF(Upgrades!$T$7="Solar Wind",POWER(Upgrades!$U$7,F139),1)*IF(Upgrades!$T$8="Solar Wind",POWER(Upgrades!$U$8,G139),1)*IF(Upgrades!$T$9="Solar Wind",POWER(Upgrades!$U$9,H139),1)*IF(Upgrades!$T$10="Solar Wind",POWER(Upgrades!$U$10,I139),1)*IF(Upgrades!$T$11="Solar Wind",POWER(Upgrades!$U$11,J139),1)*IF(Upgrades!$T$12="Solar Wind",POWER(Upgrades!$U$12,K139),1))+(IF(F139=0,0,(Upgrades!$G$7+F139*Upgrades!$H$7)*POWER(Upgrades!$I$7,F139)))*(IF(Upgrades!$T$6="Asteroid Belt",POWER(Upgrades!$U$6,E139),1)*IF(Upgrades!$T$8="Asteroid Belt",POWER(Upgrades!$U$8,G139),1)*IF(Upgrades!$T$9="Asteroid Belt",POWER(Upgrades!$U$9,H139),1)*IF(Upgrades!$T$10="Asteroid Belt",POWER(Upgrades!$U$10,I139),1)*IF(Upgrades!$T$11="Asteroid Belt",POWER(Upgrades!$U$11,J139),1)*IF(Upgrades!$T$12="Asteroid Belt",POWER(Upgrades!$U$12,K139),1))+(IF(G139=0,0,(Upgrades!$G$8+G139*Upgrades!$H$8)*POWER(Upgrades!$I$8,G139)))*(IF(Upgrades!$T$6="Stellar Coupling",POWER(Upgrades!$U$6,E139),1)*IF(Upgrades!$T$7="Stellar Coupling",POWER(Upgrades!$U$7,F139),1)*IF(Upgrades!$T$9="Stellar Coupling",POWER(Upgrades!$U$9,H139),1)*IF(Upgrades!$T$10="Stellar Coupling",POWER(Upgrades!$U$10,I139),1)*IF(Upgrades!$T$11="Stellar Coupling",POWER(Upgrades!$U$11,J139),1)*IF(Upgrades!$T$12="Stellar Coupling",POWER(Upgrades!$U$12,K139),1))+(IF(H139=0,0,(Upgrades!$G$9+H139*Upgrades!$H$9)*POWER(Upgrades!$I$9,H139)))*(IF(Upgrades!$T$6="Magnetosphere",POWER(Upgrades!$U$6,E139),1)*IF(Upgrades!$T$7="Magnetosphere",POWER(Upgrades!$U$7,F139),1)*IF(Upgrades!$T$8="Magnetosphere",POWER(Upgrades!$U$8,G139),1)*IF(Upgrades!$T$10="Magnetosphere",POWER(Upgrades!$U$10,I139),1)*IF(Upgrades!$T$11="Magnetosphere",POWER(Upgrades!$U$11,J139),1)*IF(Upgrades!$T$12="Magnetosphere",POWER(Upgrades!$U$12,K139),1))+(IF(I139=0,0,(Upgrades!$G$10+I139*Upgrades!$H$10)*POWER(Upgrades!$I$10,I139)))*(IF(Upgrades!$T$6="Orbital Resonance",POWER(Upgrades!$U$6,E139),1)*IF(Upgrades!$T$7="Orbital Resonance",POWER(Upgrades!$U$7,F139),1)*IF(Upgrades!$T$8="Orbital Resonance",POWER(Upgrades!$U$8,G139),1)*IF(Upgrades!$T$9="Orbital Resonance",POWER(Upgrades!$U$9,H139),1)*IF(Upgrades!$T$11="Orbital Resonance",POWER(Upgrades!$U$11,J139),1)*IF(Upgrades!$T$12="Orbital Resonance",POWER(Upgrades!$U$12,K139),1))+(IF(J139=0,0,(Upgrades!$G$11+J139*Upgrades!$H$11)*POWER(Upgrades!$I$11,J139)))*(IF(Upgrades!$T$6="Heliopause",POWER(Upgrades!$U$6,E139),1)*IF(Upgrades!$T$7="Heliopause",POWER(Upgrades!$U$7,F139),1)*IF(Upgrades!$T$8="Heliopause",POWER(Upgrades!$U$8,G139),1)*IF(Upgrades!$T$9="Heliopause",POWER(Upgrades!$U$9,H139),1)*IF(Upgrades!$T$10="Heliopause",POWER(Upgrades!$U$10,I139),1)*IF(Upgrades!$T$12="Heliopause",POWER(Upgrades!$U$12,K139),1))+(IF(K139=0,0,(Upgrades!$G$12+K139*Upgrades!$H$12)*POWER(Upgrades!$I$12,K139)))*(IF(Upgrades!$T$6="First Photons",POWER(Upgrades!$U$6,E139),1)*IF(Upgrades!$T$7="First Photons",POWER(Upgrades!$U$7,F139),1)*IF(Upgrades!$T$8="First Photons",POWER(Upgrades!$U$8,G139),1)*IF(Upgrades!$T$9="First Photons",POWER(Upgrades!$U$9,H139),1)*IF(Upgrades!$T$10="First Photons",POWER(Upgrades!$U$10,I139),1)*IF(Upgrades!$T$11="First Photons",POWER(Upgrades!$U$11,J139),1)))*POWER(Upgrades!$P$6,E139)*POWER(Upgrades!$P$7,F139)*POWER(Upgrades!$P$8,G139)*POWER(Upgrades!$P$9,H139)*POWER(Upgrades!$P$10,I139)*POWER(Upgrades!$P$11,J139)*POWER(Upgrades!$P$12,K139)</f>
        <v/>
      </c>
      <c r="O139" s="28">
        <f>((IF(E139=0,0,(Upgrades!$M$6+E139*Upgrades!$N$6)*POWER(Upgrades!$O$6,E139)))*(IF(Upgrades!$T$7="Solar Wind",POWER(Upgrades!$U$7,F139),1)*IF(Upgrades!$T$8="Solar Wind",POWER(Upgrades!$U$8,G139),1)*IF(Upgrades!$T$9="Solar Wind",POWER(Upgrades!$U$9,H139),1)*IF(Upgrades!$T$10="Solar Wind",POWER(Upgrades!$U$10,I139),1)*IF(Upgrades!$T$11="Solar Wind",POWER(Upgrades!$U$11,J139),1)*IF(Upgrades!$T$12="Solar Wind",POWER(Upgrades!$U$12,K139),1))+(IF(F139=0,0,(Upgrades!$M$7+F139*Upgrades!$N$7)*POWER(Upgrades!$O$7,F139)))*(IF(Upgrades!$T$6="Asteroid Belt",POWER(Upgrades!$U$6,E139),1)*IF(Upgrades!$T$8="Asteroid Belt",POWER(Upgrades!$U$8,G139),1)*IF(Upgrades!$T$9="Asteroid Belt",POWER(Upgrades!$U$9,H139),1)*IF(Upgrades!$T$10="Asteroid Belt",POWER(Upgrades!$U$10,I139),1)*IF(Upgrades!$T$11="Asteroid Belt",POWER(Upgrades!$U$11,J139),1)*IF(Upgrades!$T$12="Asteroid Belt",POWER(Upgrades!$U$12,K139),1))+(IF(G139=0,0,(Upgrades!$M$8+G139*Upgrades!$N$8)*POWER(Upgrades!$O$8,G139)))*(IF(Upgrades!$T$6="Stellar Coupling",POWER(Upgrades!$U$6,E139),1)*IF(Upgrades!$T$7="Stellar Coupling",POWER(Upgrades!$U$7,F139),1)*IF(Upgrades!$T$9="Stellar Coupling",POWER(Upgrades!$U$9,H139),1)*IF(Upgrades!$T$10="Stellar Coupling",POWER(Upgrades!$U$10,I139),1)*IF(Upgrades!$T$11="Stellar Coupling",POWER(Upgrades!$U$11,J139),1)*IF(Upgrades!$T$12="Stellar Coupling",POWER(Upgrades!$U$12,K139),1))+(IF(H139=0,0,(Upgrades!$M$9+H139*Upgrades!$N$9)*POWER(Upgrades!$O$9,H139)))*(IF(Upgrades!$T$6="Magnetosphere",POWER(Upgrades!$U$6,E139),1)*IF(Upgrades!$T$7="Magnetosphere",POWER(Upgrades!$U$7,F139),1)*IF(Upgrades!$T$8="Magnetosphere",POWER(Upgrades!$U$8,G139),1)*IF(Upgrades!$T$10="Magnetosphere",POWER(Upgrades!$U$10,I139),1)*IF(Upgrades!$T$11="Magnetosphere",POWER(Upgrades!$U$11,J139),1)*IF(Upgrades!$T$12="Magnetosphere",POWER(Upgrades!$U$12,K139),1))+(IF(I139=0,0,(Upgrades!$M$10+I139*Upgrades!$N$10)*POWER(Upgrades!$O$10,I139)))*(IF(Upgrades!$T$6="Orbital Resonance",POWER(Upgrades!$U$6,E139),1)*IF(Upgrades!$T$7="Orbital Resonance",POWER(Upgrades!$U$7,F139),1)*IF(Upgrades!$T$8="Orbital Resonance",POWER(Upgrades!$U$8,G139),1)*IF(Upgrades!$T$9="Orbital Resonance",POWER(Upgrades!$U$9,H139),1)*IF(Upgrades!$T$11="Orbital Resonance",POWER(Upgrades!$U$11,J139),1)*IF(Upgrades!$T$12="Orbital Resonance",POWER(Upgrades!$U$12,K139),1))+(IF(J139=0,0,(Upgrades!$M$11+J139*Upgrades!$N$11)*POWER(Upgrades!$O$11,J139)))*(IF(Upgrades!$T$6="Heliopause",POWER(Upgrades!$U$6,E139),1)*IF(Upgrades!$T$7="Heliopause",POWER(Upgrades!$U$7,F139),1)*IF(Upgrades!$T$8="Heliopause",POWER(Upgrades!$U$8,G139),1)*IF(Upgrades!$T$9="Heliopause",POWER(Upgrades!$U$9,H139),1)*IF(Upgrades!$T$10="Heliopause",POWER(Upgrades!$U$10,I139),1)*IF(Upgrades!$T$12="Heliopause",POWER(Upgrades!$U$12,K139),1))+(IF(K139=0,0,(Upgrades!$M$12+K139*Upgrades!$N$12)*POWER(Upgrades!$O$12,K139)))*(IF(Upgrades!$T$6="First Photons",POWER(Upgrades!$U$6,E139),1)*IF(Upgrades!$T$7="First Photons",POWER(Upgrades!$U$7,F139),1)*IF(Upgrades!$T$8="First Photons",POWER(Upgrades!$U$8,G139),1)*IF(Upgrades!$T$9="First Photons",POWER(Upgrades!$U$9,H139),1)*IF(Upgrades!$T$10="First Photons",POWER(Upgrades!$U$10,I139),1)*IF(Upgrades!$T$11="First Photons",POWER(Upgrades!$U$11,J139),1)))*POWER(Upgrades!$R$6,E139)*POWER(Upgrades!$R$7,F139)*POWER(Upgrades!$R$8,G139)*POWER(Upgrades!$R$9,H139)*POWER(Upgrades!$R$10,I139)*POWER(Upgrades!$R$11,J139)*POWER(Upgrades!$R$12,K139)</f>
        <v/>
      </c>
      <c r="P139" s="27">
        <f>IF(L139=1,0,M139*Parameters!$B$10/60*Parameters!$B$11*10)</f>
        <v/>
      </c>
      <c r="Q139" s="27">
        <f>IF(L139=1,0,O139*M139*10)</f>
        <v/>
      </c>
      <c r="R139" s="27">
        <f>IF(L139=1,0,N139*10)</f>
        <v/>
      </c>
      <c r="S139" s="27">
        <f>P139+Q139+R139</f>
        <v/>
      </c>
      <c r="T139" s="22">
        <f>C139+S139</f>
        <v/>
      </c>
      <c r="U139" s="33">
        <f>AX139</f>
        <v/>
      </c>
      <c r="V139" s="22">
        <f>IF(U139="",0,IF(U139="transition",0,IF(U139="SW",AG139,IF(U139="AB",AH139,IF(U139="SC",AI139,IF(U139="Mag",AJ139,IF(U139="OR",AK139,IF(U139="HP",AL139,IF(U139="FP",AM139,0)))))))))</f>
        <v/>
      </c>
      <c r="W139" s="27">
        <f>IF(U139="OR",Upgrades!$F$10,IF(U139="HP",Upgrades!$F$11,IF(U139="transition",-Parameters!$B$18,0)))</f>
        <v/>
      </c>
      <c r="X139" s="22">
        <f>T139-V139</f>
        <v/>
      </c>
      <c r="Y139" s="30">
        <f>M139*Parameters!$B$10/60*Parameters!$B$11+O139*M139+N139</f>
        <v/>
      </c>
      <c r="Z139" s="34">
        <f>IF(U139="transition","→ Tier 2 (Stellar Neighborhood)",IF(U139="FP","First Photons — light begins, system quickens",IF(U139="HP","Heliopause acquired",IF(U139="OR","Orbital Resonance — passive multiplier active",IF(AND(AO139=1,L139=0,AN139&lt;&gt;1),"Cohesion ready (waiting on completionist upgrades)","")))))</f>
        <v/>
      </c>
      <c r="AA139" s="27">
        <f>(IF(E139=0,0,(Upgrades!$G$6+E139*Upgrades!$H$6)*POWER(Upgrades!$I$6,E139)))*(IF(Upgrades!$T$7="Solar Wind",POWER(Upgrades!$U$7,F139),1)*IF(Upgrades!$T$8="Solar Wind",POWER(Upgrades!$U$8,G139),1)*IF(Upgrades!$T$9="Solar Wind",POWER(Upgrades!$U$9,H139),1)*IF(Upgrades!$T$10="Solar Wind",POWER(Upgrades!$U$10,I139),1)*IF(Upgrades!$T$11="Solar Wind",POWER(Upgrades!$U$11,J139),1)*IF(Upgrades!$T$12="Solar Wind",POWER(Upgrades!$U$12,K139),1))*POWER(Upgrades!$P$6,E139)*POWER(Upgrades!$P$7,F139)*POWER(Upgrades!$P$8,G139)*POWER(Upgrades!$P$9,H139)*POWER(Upgrades!$P$10,I139)*POWER(Upgrades!$P$11,J139)*POWER(Upgrades!$P$12,K139)*60</f>
        <v/>
      </c>
      <c r="AB139" s="27">
        <f>(IF(F139=0,0,(Upgrades!$G$7+F139*Upgrades!$H$7)*POWER(Upgrades!$I$7,F139)))*(IF(Upgrades!$T$6="Asteroid Belt",POWER(Upgrades!$U$6,E139),1)*IF(Upgrades!$T$8="Asteroid Belt",POWER(Upgrades!$U$8,G139),1)*IF(Upgrades!$T$9="Asteroid Belt",POWER(Upgrades!$U$9,H139),1)*IF(Upgrades!$T$10="Asteroid Belt",POWER(Upgrades!$U$10,I139),1)*IF(Upgrades!$T$11="Asteroid Belt",POWER(Upgrades!$U$11,J139),1)*IF(Upgrades!$T$12="Asteroid Belt",POWER(Upgrades!$U$12,K139),1))*POWER(Upgrades!$P$6,E139)*POWER(Upgrades!$P$7,F139)*POWER(Upgrades!$P$8,G139)*POWER(Upgrades!$P$9,H139)*POWER(Upgrades!$P$10,I139)*POWER(Upgrades!$P$11,J139)*POWER(Upgrades!$P$12,K139)*60</f>
        <v/>
      </c>
      <c r="AC139" s="27">
        <f>(IF(G139=0,0,(Upgrades!$J$8+G139*Upgrades!$K$8)*POWER(Upgrades!$L$8,G139)))*(IF(Upgrades!$T$6="Stellar Coupling",POWER(Upgrades!$U$6,E139),1)*IF(Upgrades!$T$7="Stellar Coupling",POWER(Upgrades!$U$7,F139),1)*IF(Upgrades!$T$9="Stellar Coupling",POWER(Upgrades!$U$9,H139),1)*IF(Upgrades!$T$10="Stellar Coupling",POWER(Upgrades!$U$10,I139),1)*IF(Upgrades!$T$11="Stellar Coupling",POWER(Upgrades!$U$11,J139),1)*IF(Upgrades!$T$12="Stellar Coupling",POWER(Upgrades!$U$12,K139),1))*POWER(Upgrades!$Q$6,E139)*POWER(Upgrades!$Q$7,F139)*POWER(Upgrades!$Q$8,G139)*POWER(Upgrades!$Q$9,H139)*POWER(Upgrades!$Q$10,I139)*POWER(Upgrades!$Q$11,J139)*POWER(Upgrades!$Q$12,K139)*Parameters!$B$10*Parameters!$B$11</f>
        <v/>
      </c>
      <c r="AD139" s="27">
        <f>(IF(H139=0,0,(Upgrades!$G$9+H139*Upgrades!$H$9)*POWER(Upgrades!$I$9,H139)))*(IF(Upgrades!$T$6="Magnetosphere",POWER(Upgrades!$U$6,E139),1)*IF(Upgrades!$T$7="Magnetosphere",POWER(Upgrades!$U$7,F139),1)*IF(Upgrades!$T$8="Magnetosphere",POWER(Upgrades!$U$8,G139),1)*IF(Upgrades!$T$10="Magnetosphere",POWER(Upgrades!$U$10,I139),1)*IF(Upgrades!$T$11="Magnetosphere",POWER(Upgrades!$U$11,J139),1)*IF(Upgrades!$T$12="Magnetosphere",POWER(Upgrades!$U$12,K139),1))*POWER(Upgrades!$P$6,E139)*POWER(Upgrades!$P$7,F139)*POWER(Upgrades!$P$8,G139)*POWER(Upgrades!$P$9,H139)*POWER(Upgrades!$P$10,I139)*POWER(Upgrades!$P$11,J139)*POWER(Upgrades!$P$12,K139)*60</f>
        <v/>
      </c>
      <c r="AE139" s="27">
        <f>(IF(K139=0,0,(Upgrades!$G$12+K139*Upgrades!$H$12)*POWER(Upgrades!$I$12,K139)))*(IF(Upgrades!$T$6="First Photons",POWER(Upgrades!$U$6,E139),1)*IF(Upgrades!$T$7="First Photons",POWER(Upgrades!$U$7,F139),1)*IF(Upgrades!$T$8="First Photons",POWER(Upgrades!$U$8,G139),1)*IF(Upgrades!$T$9="First Photons",POWER(Upgrades!$U$9,H139),1)*IF(Upgrades!$T$10="First Photons",POWER(Upgrades!$U$10,I139),1)*IF(Upgrades!$T$11="First Photons",POWER(Upgrades!$U$11,J139),1))*POWER(Upgrades!$P$6,E139)*POWER(Upgrades!$P$7,F139)*POWER(Upgrades!$P$8,G139)*POWER(Upgrades!$P$9,H139)*POWER(Upgrades!$P$10,I139)*POWER(Upgrades!$P$11,J139)*POWER(Upgrades!$P$12,K139)*60</f>
        <v/>
      </c>
      <c r="AF139" s="27">
        <f>Parameters!$B$9*POWER(Upgrades!$Q$6,E139)*POWER(Upgrades!$Q$7,F139)*POWER(Upgrades!$Q$8,G139)*POWER(Upgrades!$Q$9,H139)*POWER(Upgrades!$Q$10,I139)*POWER(Upgrades!$Q$11,J139)*POWER(Upgrades!$Q$12,K139)*(Parameters!$B$10*Parameters!$B$11+O139*60)</f>
        <v/>
      </c>
      <c r="AG139" s="22">
        <f>IF(E139&gt;=Upgrades!$E$6,"",Upgrades!$C$6*POWER(Upgrades!$D$6,E139))</f>
        <v/>
      </c>
      <c r="AH139" s="22">
        <f>IF(F139&gt;=Upgrades!$E$7,"",Upgrades!$C$7*POWER(Upgrades!$D$7,F139))</f>
        <v/>
      </c>
      <c r="AI139" s="22">
        <f>IF(G139&gt;=Upgrades!$E$8,"",Upgrades!$C$8*POWER(Upgrades!$D$8,G139))</f>
        <v/>
      </c>
      <c r="AJ139" s="22">
        <f>IF(H139&gt;=Upgrades!$E$9,"",Upgrades!$C$9*POWER(Upgrades!$D$9,H139))</f>
        <v/>
      </c>
      <c r="AK139" s="22">
        <f>IF(I139&gt;=Upgrades!$E$10,"",Upgrades!$C$10*POWER(Upgrades!$D$10,I139))</f>
        <v/>
      </c>
      <c r="AL139" s="22">
        <f>IF(J139&gt;=Upgrades!$E$11,"",Upgrades!$C$11*POWER(Upgrades!$D$11,J139))</f>
        <v/>
      </c>
      <c r="AM139" s="22">
        <f>IF(K139&gt;=Upgrades!$E$12,"",Upgrades!$C$12*POWER(Upgrades!$D$12,K139))</f>
        <v/>
      </c>
      <c r="AN139" s="26">
        <f>IF(AND(D139&gt;=Parameters!$B$18,(H139&gt;=Upgrades!$E$9)*(K139&gt;=Upgrades!$E$12)=1,L139=0),1,"")</f>
        <v/>
      </c>
      <c r="AO139" s="26">
        <f>IF(AND(D139&gt;=Parameters!$B$18,L139=0),1,"")</f>
        <v/>
      </c>
      <c r="AP139" s="22">
        <f>MIN(IF(ISNUMBER(AK139),AK139,9E15),IF(ISNUMBER(AL139),AL139,9E15),IF(ISNUMBER(AM139),AM139,9E15))</f>
        <v/>
      </c>
      <c r="AQ139" s="22">
        <f>MIN(IF(ISNUMBER(AG139),AG139,9E15),IF(ISNUMBER(AH139),AH139,9E15),IF(ISNUMBER(AI139),AI139,9E15),IF(ISNUMBER(AJ139),AJ139,9E15))</f>
        <v/>
      </c>
      <c r="AR139" s="29">
        <f>IF(AW139&gt;Parameters!$B$21*(MAX(IF(AND(NOT(AND(AO139=1,AN139&lt;&gt;1)),ISNUMBER(AG139),AG139&lt;=T139),AS139,0),IF(AND(NOT(AND(AO139=1,AN139&lt;&gt;1)),ISNUMBER(AH139),AH139&lt;=T139),AT139,0),IF(AND(NOT(AND(AO139=1,AN139&lt;&gt;1)),ISNUMBER(AI139),AI139&lt;=T139),AU139,0),IF(AND(ISNUMBER(AJ139),AJ139&lt;=T139),AV139,0))),TRUE,FALSE)</f>
        <v/>
      </c>
      <c r="AS139" s="32">
        <f>IFERROR(Upgrades!$H$6*(POWER(Upgrades!$P$6,E139)*POWER(Upgrades!$P$7,F139)*POWER(Upgrades!$P$8,G139)*POWER(Upgrades!$P$9,H139)*POWER(Upgrades!$P$10,I139)*POWER(Upgrades!$P$11,J139)*POWER(Upgrades!$P$12,K139))*(IF(Upgrades!$T$7="Solar Wind",POWER(Upgrades!$U$7,F139),1)*IF(Upgrades!$T$8="Solar Wind",POWER(Upgrades!$U$8,G139),1)*IF(Upgrades!$T$9="Solar Wind",POWER(Upgrades!$U$9,H139),1)*IF(Upgrades!$T$10="Solar Wind",POWER(Upgrades!$U$10,I139),1)*IF(Upgrades!$T$11="Solar Wind",POWER(Upgrades!$U$11,J139),1)*IF(Upgrades!$T$12="Solar Wind",POWER(Upgrades!$U$12,K139),1))/AG139,0)</f>
        <v/>
      </c>
      <c r="AT139" s="32">
        <f>IFERROR(Upgrades!$H$7*(POWER(Upgrades!$P$6,E139)*POWER(Upgrades!$P$7,F139)*POWER(Upgrades!$P$8,G139)*POWER(Upgrades!$P$9,H139)*POWER(Upgrades!$P$10,I139)*POWER(Upgrades!$P$11,J139)*POWER(Upgrades!$P$12,K139))*(IF(Upgrades!$T$6="Asteroid Belt",POWER(Upgrades!$U$6,E139),1)*IF(Upgrades!$T$8="Asteroid Belt",POWER(Upgrades!$U$8,G139),1)*IF(Upgrades!$T$9="Asteroid Belt",POWER(Upgrades!$U$9,H139),1)*IF(Upgrades!$T$10="Asteroid Belt",POWER(Upgrades!$U$10,I139),1)*IF(Upgrades!$T$11="Asteroid Belt",POWER(Upgrades!$U$11,J139),1)*IF(Upgrades!$T$12="Asteroid Belt",POWER(Upgrades!$U$12,K139),1))/AH139,0)</f>
        <v/>
      </c>
      <c r="AU139" s="32">
        <f>IFERROR(Upgrades!$K$8*(POWER(Upgrades!$Q$6,E139)*POWER(Upgrades!$Q$7,F139)*POWER(Upgrades!$Q$8,G139)*POWER(Upgrades!$Q$9,H139)*POWER(Upgrades!$Q$10,I139)*POWER(Upgrades!$Q$11,J139)*POWER(Upgrades!$Q$12,K139))*(IF(Upgrades!$T$6="Stellar Coupling",POWER(Upgrades!$U$6,E139),1)*IF(Upgrades!$T$7="Stellar Coupling",POWER(Upgrades!$U$7,F139),1)*IF(Upgrades!$T$9="Stellar Coupling",POWER(Upgrades!$U$9,H139),1)*IF(Upgrades!$T$10="Stellar Coupling",POWER(Upgrades!$U$10,I139),1)*IF(Upgrades!$T$11="Stellar Coupling",POWER(Upgrades!$U$11,J139),1)*IF(Upgrades!$T$12="Stellar Coupling",POWER(Upgrades!$U$12,K139),1))*Parameters!$B$10*Parameters!$B$11/60/AI139,0)</f>
        <v/>
      </c>
      <c r="AV139" s="32">
        <f>IFERROR(Upgrades!$H$9*(POWER(Upgrades!$P$6,E139)*POWER(Upgrades!$P$7,F139)*POWER(Upgrades!$P$8,G139)*POWER(Upgrades!$P$9,H139)*POWER(Upgrades!$P$10,I139)*POWER(Upgrades!$P$11,J139)*POWER(Upgrades!$P$12,K139))*(IF(Upgrades!$T$6="Magnetosphere",POWER(Upgrades!$U$6,E139),1)*IF(Upgrades!$T$7="Magnetosphere",POWER(Upgrades!$U$7,F139),1)*IF(Upgrades!$T$8="Magnetosphere",POWER(Upgrades!$U$8,G139),1)*IF(Upgrades!$T$10="Magnetosphere",POWER(Upgrades!$U$10,I139),1)*IF(Upgrades!$T$11="Magnetosphere",POWER(Upgrades!$U$11,J139),1)*IF(Upgrades!$T$12="Magnetosphere",POWER(Upgrades!$U$12,K139),1))/AJ139,0)</f>
        <v/>
      </c>
      <c r="AW139" s="32">
        <f>MAX(IF(I139&gt;0,0,IFERROR(0.25*N139/Upgrades!$C$10,0)),IF(J139&gt;0,0,IFERROR(0.5*((IF(G139=0,0,(Upgrades!$J$8+G139*Upgrades!$K$8)*POWER(Upgrades!$L$8,G139)))*(IF(Upgrades!$T$6="Stellar Coupling",POWER(Upgrades!$U$6,E139),1)*IF(Upgrades!$T$7="Stellar Coupling",POWER(Upgrades!$U$7,F139),1)*IF(Upgrades!$T$9="Stellar Coupling",POWER(Upgrades!$U$9,H139),1)*IF(Upgrades!$T$10="Stellar Coupling",POWER(Upgrades!$U$10,I139),1)*IF(Upgrades!$T$11="Stellar Coupling",POWER(Upgrades!$U$11,J139),1)*IF(Upgrades!$T$12="Stellar Coupling",POWER(Upgrades!$U$12,K139),1))*(POWER(Upgrades!$Q$6,E139)*POWER(Upgrades!$Q$7,F139)*POWER(Upgrades!$Q$8,G139)*POWER(Upgrades!$Q$9,H139)*POWER(Upgrades!$Q$10,I139)*POWER(Upgrades!$Q$11,J139)*POWER(Upgrades!$Q$12,K139))*Parameters!$B$10*Parameters!$B$11/60)/Upgrades!$C$11,0)),IF(K139&gt;0,0,IFERROR((1.0*(POWER(Upgrades!$P$6,E139)*POWER(Upgrades!$P$7,F139)*POWER(Upgrades!$P$8,G139)*POWER(Upgrades!$P$9,H139)*POWER(Upgrades!$P$10,I139)*POWER(Upgrades!$P$11,J139)*POWER(Upgrades!$P$12,K139))+0.20*M139*Parameters!$B$10*Parameters!$B$11/60)/Upgrades!$C$12,0)),IF(AND(ISNUMBER(AG139),AG139&gt;T139),AS139,0),IF(AND(ISNUMBER(AH139),AH139&gt;T139),AT139,0),IF(AND(ISNUMBER(AI139),AI139&gt;T139),AU139,0),IF(AND(ISNUMBER(AJ139),AJ139&gt;T139),AV139,0))</f>
        <v/>
      </c>
      <c r="AX139" s="29">
        <f>IF(AN139=1,"transition",IF(MIN(IF(AND(I139=0,ISNUMBER(AK139),AK139&lt;=T139),AK139,9E15),IF(AND(J139=0,ISNUMBER(AL139),AL139&lt;=T139),AL139,9E15),IF(AND(K139=0,ISNUMBER(AM139),AM139&lt;=T139),AM139,9E15))&lt;9E15,IF(AND(AND(I139=0,ISNUMBER(AK139),AK139&lt;=T139),AK139=MIN(IF(AND(I139=0,ISNUMBER(AK139),AK139&lt;=T139),AK139,9E15),IF(AND(J139=0,ISNUMBER(AL139),AL139&lt;=T139),AL139,9E15),IF(AND(K139=0,ISNUMBER(AM139),AM139&lt;=T139),AM139,9E15))),"OR",IF(AND(AND(J139=0,ISNUMBER(AL139),AL139&lt;=T139),AL139=MIN(IF(AND(I139=0,ISNUMBER(AK139),AK139&lt;=T139),AK139,9E15),IF(AND(J139=0,ISNUMBER(AL139),AL139&lt;=T139),AL139,9E15),IF(AND(K139=0,ISNUMBER(AM139),AM139&lt;=T139),AM139,9E15))),"HP","FP")),IF(AR139=TRUE,"",IF(MAX(IF(AND(NOT(AND(AO139=1,AN139&lt;&gt;1)),ISNUMBER(AG139),AG139&lt;=T139),AS139,0),IF(AND(NOT(AND(AO139=1,AN139&lt;&gt;1)),ISNUMBER(AH139),AH139&lt;=T139),AT139,0),IF(AND(NOT(AND(AO139=1,AN139&lt;&gt;1)),ISNUMBER(AI139),AI139&lt;=T139),AU139,0),IF(AND(ISNUMBER(AJ139),AJ139&lt;=T139),AV139,0))&lt;=0,"",IF(AND(IF(AND(NOT(AND(AO139=1,AN139&lt;&gt;1)),ISNUMBER(AG139),AG139&lt;=T139),AS139,0)&gt;0,IF(AND(NOT(AND(AO139=1,AN139&lt;&gt;1)),ISNUMBER(AG139),AG139&lt;=T139),AS139,0)=MAX(IF(AND(NOT(AND(AO139=1,AN139&lt;&gt;1)),ISNUMBER(AG139),AG139&lt;=T139),AS139,0),IF(AND(NOT(AND(AO139=1,AN139&lt;&gt;1)),ISNUMBER(AH139),AH139&lt;=T139),AT139,0),IF(AND(NOT(AND(AO139=1,AN139&lt;&gt;1)),ISNUMBER(AI139),AI139&lt;=T139),AU139,0),IF(AND(ISNUMBER(AJ139),AJ139&lt;=T139),AV139,0))),"SW",IF(AND(IF(AND(NOT(AND(AO139=1,AN139&lt;&gt;1)),ISNUMBER(AH139),AH139&lt;=T139),AT139,0)&gt;0,IF(AND(NOT(AND(AO139=1,AN139&lt;&gt;1)),ISNUMBER(AH139),AH139&lt;=T139),AT139,0)=MAX(IF(AND(NOT(AND(AO139=1,AN139&lt;&gt;1)),ISNUMBER(AG139),AG139&lt;=T139),AS139,0),IF(AND(NOT(AND(AO139=1,AN139&lt;&gt;1)),ISNUMBER(AH139),AH139&lt;=T139),AT139,0),IF(AND(NOT(AND(AO139=1,AN139&lt;&gt;1)),ISNUMBER(AI139),AI139&lt;=T139),AU139,0),IF(AND(ISNUMBER(AJ139),AJ139&lt;=T139),AV139,0))),"AB",IF(AND(IF(AND(NOT(AND(AO139=1,AN139&lt;&gt;1)),ISNUMBER(AI139),AI139&lt;=T139),AU139,0)&gt;0,IF(AND(NOT(AND(AO139=1,AN139&lt;&gt;1)),ISNUMBER(AI139),AI139&lt;=T139),AU139,0)=MAX(IF(AND(NOT(AND(AO139=1,AN139&lt;&gt;1)),ISNUMBER(AG139),AG139&lt;=T139),AS139,0),IF(AND(NOT(AND(AO139=1,AN139&lt;&gt;1)),ISNUMBER(AH139),AH139&lt;=T139),AT139,0),IF(AND(NOT(AND(AO139=1,AN139&lt;&gt;1)),ISNUMBER(AI139),AI139&lt;=T139),AU139,0),IF(AND(ISNUMBER(AJ139),AJ139&lt;=T139),AV139,0))),"SC","Mag")))))))</f>
        <v/>
      </c>
    </row>
    <row r="140">
      <c r="A140" s="26" t="n">
        <v>135</v>
      </c>
      <c r="B140" s="27">
        <f>A140*10/60</f>
        <v/>
      </c>
      <c r="C140" s="22">
        <f>X139</f>
        <v/>
      </c>
      <c r="D140" s="27">
        <f>D139+W139</f>
        <v/>
      </c>
      <c r="E140" s="26">
        <f>E139+IF(U139="SW",1,0)</f>
        <v/>
      </c>
      <c r="F140" s="26">
        <f>F139+IF(U139="AB",1,0)</f>
        <v/>
      </c>
      <c r="G140" s="26">
        <f>G139+IF(U139="SC",1,0)</f>
        <v/>
      </c>
      <c r="H140" s="26">
        <f>H139+IF(U139="Mag",1,0)</f>
        <v/>
      </c>
      <c r="I140" s="26">
        <f>MAX(I139,IF(U139="OR",1,0))</f>
        <v/>
      </c>
      <c r="J140" s="26">
        <f>MAX(J139,IF(U139="HP",1,0))</f>
        <v/>
      </c>
      <c r="K140" s="26">
        <f>MAX(K139,IF(U139="FP",1,0))</f>
        <v/>
      </c>
      <c r="L140" s="26">
        <f>MAX(L139,IF(U139="transition",1,0))</f>
        <v/>
      </c>
      <c r="M140" s="28">
        <f>(Parameters!$B$9+(IF(E140=0,0,(Upgrades!$J$6+E140*Upgrades!$K$6)*POWER(Upgrades!$L$6,E140)))*(IF(Upgrades!$T$7="Solar Wind",POWER(Upgrades!$U$7,F140),1)*IF(Upgrades!$T$8="Solar Wind",POWER(Upgrades!$U$8,G140),1)*IF(Upgrades!$T$9="Solar Wind",POWER(Upgrades!$U$9,H140),1)*IF(Upgrades!$T$10="Solar Wind",POWER(Upgrades!$U$10,I140),1)*IF(Upgrades!$T$11="Solar Wind",POWER(Upgrades!$U$11,J140),1)*IF(Upgrades!$T$12="Solar Wind",POWER(Upgrades!$U$12,K140),1))+(IF(F140=0,0,(Upgrades!$J$7+F140*Upgrades!$K$7)*POWER(Upgrades!$L$7,F140)))*(IF(Upgrades!$T$6="Asteroid Belt",POWER(Upgrades!$U$6,E140),1)*IF(Upgrades!$T$8="Asteroid Belt",POWER(Upgrades!$U$8,G140),1)*IF(Upgrades!$T$9="Asteroid Belt",POWER(Upgrades!$U$9,H140),1)*IF(Upgrades!$T$10="Asteroid Belt",POWER(Upgrades!$U$10,I140),1)*IF(Upgrades!$T$11="Asteroid Belt",POWER(Upgrades!$U$11,J140),1)*IF(Upgrades!$T$12="Asteroid Belt",POWER(Upgrades!$U$12,K140),1))+(IF(G140=0,0,(Upgrades!$J$8+G140*Upgrades!$K$8)*POWER(Upgrades!$L$8,G140)))*(IF(Upgrades!$T$6="Stellar Coupling",POWER(Upgrades!$U$6,E140),1)*IF(Upgrades!$T$7="Stellar Coupling",POWER(Upgrades!$U$7,F140),1)*IF(Upgrades!$T$9="Stellar Coupling",POWER(Upgrades!$U$9,H140),1)*IF(Upgrades!$T$10="Stellar Coupling",POWER(Upgrades!$U$10,I140),1)*IF(Upgrades!$T$11="Stellar Coupling",POWER(Upgrades!$U$11,J140),1)*IF(Upgrades!$T$12="Stellar Coupling",POWER(Upgrades!$U$12,K140),1))+(IF(H140=0,0,(Upgrades!$J$9+H140*Upgrades!$K$9)*POWER(Upgrades!$L$9,H140)))*(IF(Upgrades!$T$6="Magnetosphere",POWER(Upgrades!$U$6,E140),1)*IF(Upgrades!$T$7="Magnetosphere",POWER(Upgrades!$U$7,F140),1)*IF(Upgrades!$T$8="Magnetosphere",POWER(Upgrades!$U$8,G140),1)*IF(Upgrades!$T$10="Magnetosphere",POWER(Upgrades!$U$10,I140),1)*IF(Upgrades!$T$11="Magnetosphere",POWER(Upgrades!$U$11,J140),1)*IF(Upgrades!$T$12="Magnetosphere",POWER(Upgrades!$U$12,K140),1))+(IF(I140=0,0,(Upgrades!$J$10+I140*Upgrades!$K$10)*POWER(Upgrades!$L$10,I140)))*(IF(Upgrades!$T$6="Orbital Resonance",POWER(Upgrades!$U$6,E140),1)*IF(Upgrades!$T$7="Orbital Resonance",POWER(Upgrades!$U$7,F140),1)*IF(Upgrades!$T$8="Orbital Resonance",POWER(Upgrades!$U$8,G140),1)*IF(Upgrades!$T$9="Orbital Resonance",POWER(Upgrades!$U$9,H140),1)*IF(Upgrades!$T$11="Orbital Resonance",POWER(Upgrades!$U$11,J140),1)*IF(Upgrades!$T$12="Orbital Resonance",POWER(Upgrades!$U$12,K140),1))+(IF(J140=0,0,(Upgrades!$J$11+J140*Upgrades!$K$11)*POWER(Upgrades!$L$11,J140)))*(IF(Upgrades!$T$6="Heliopause",POWER(Upgrades!$U$6,E140),1)*IF(Upgrades!$T$7="Heliopause",POWER(Upgrades!$U$7,F140),1)*IF(Upgrades!$T$8="Heliopause",POWER(Upgrades!$U$8,G140),1)*IF(Upgrades!$T$9="Heliopause",POWER(Upgrades!$U$9,H140),1)*IF(Upgrades!$T$10="Heliopause",POWER(Upgrades!$U$10,I140),1)*IF(Upgrades!$T$12="Heliopause",POWER(Upgrades!$U$12,K140),1))+(IF(K140=0,0,(Upgrades!$J$12+K140*Upgrades!$K$12)*POWER(Upgrades!$L$12,K140)))*(IF(Upgrades!$T$6="First Photons",POWER(Upgrades!$U$6,E140),1)*IF(Upgrades!$T$7="First Photons",POWER(Upgrades!$U$7,F140),1)*IF(Upgrades!$T$8="First Photons",POWER(Upgrades!$U$8,G140),1)*IF(Upgrades!$T$9="First Photons",POWER(Upgrades!$U$9,H140),1)*IF(Upgrades!$T$10="First Photons",POWER(Upgrades!$U$10,I140),1)*IF(Upgrades!$T$11="First Photons",POWER(Upgrades!$U$11,J140),1)))*POWER(Upgrades!$Q$6,E140)*POWER(Upgrades!$Q$7,F140)*POWER(Upgrades!$Q$8,G140)*POWER(Upgrades!$Q$9,H140)*POWER(Upgrades!$Q$10,I140)*POWER(Upgrades!$Q$11,J140)*POWER(Upgrades!$Q$12,K140)</f>
        <v/>
      </c>
      <c r="N140" s="28">
        <f>((IF(E140=0,0,(Upgrades!$G$6+E140*Upgrades!$H$6)*POWER(Upgrades!$I$6,E140)))*(IF(Upgrades!$T$7="Solar Wind",POWER(Upgrades!$U$7,F140),1)*IF(Upgrades!$T$8="Solar Wind",POWER(Upgrades!$U$8,G140),1)*IF(Upgrades!$T$9="Solar Wind",POWER(Upgrades!$U$9,H140),1)*IF(Upgrades!$T$10="Solar Wind",POWER(Upgrades!$U$10,I140),1)*IF(Upgrades!$T$11="Solar Wind",POWER(Upgrades!$U$11,J140),1)*IF(Upgrades!$T$12="Solar Wind",POWER(Upgrades!$U$12,K140),1))+(IF(F140=0,0,(Upgrades!$G$7+F140*Upgrades!$H$7)*POWER(Upgrades!$I$7,F140)))*(IF(Upgrades!$T$6="Asteroid Belt",POWER(Upgrades!$U$6,E140),1)*IF(Upgrades!$T$8="Asteroid Belt",POWER(Upgrades!$U$8,G140),1)*IF(Upgrades!$T$9="Asteroid Belt",POWER(Upgrades!$U$9,H140),1)*IF(Upgrades!$T$10="Asteroid Belt",POWER(Upgrades!$U$10,I140),1)*IF(Upgrades!$T$11="Asteroid Belt",POWER(Upgrades!$U$11,J140),1)*IF(Upgrades!$T$12="Asteroid Belt",POWER(Upgrades!$U$12,K140),1))+(IF(G140=0,0,(Upgrades!$G$8+G140*Upgrades!$H$8)*POWER(Upgrades!$I$8,G140)))*(IF(Upgrades!$T$6="Stellar Coupling",POWER(Upgrades!$U$6,E140),1)*IF(Upgrades!$T$7="Stellar Coupling",POWER(Upgrades!$U$7,F140),1)*IF(Upgrades!$T$9="Stellar Coupling",POWER(Upgrades!$U$9,H140),1)*IF(Upgrades!$T$10="Stellar Coupling",POWER(Upgrades!$U$10,I140),1)*IF(Upgrades!$T$11="Stellar Coupling",POWER(Upgrades!$U$11,J140),1)*IF(Upgrades!$T$12="Stellar Coupling",POWER(Upgrades!$U$12,K140),1))+(IF(H140=0,0,(Upgrades!$G$9+H140*Upgrades!$H$9)*POWER(Upgrades!$I$9,H140)))*(IF(Upgrades!$T$6="Magnetosphere",POWER(Upgrades!$U$6,E140),1)*IF(Upgrades!$T$7="Magnetosphere",POWER(Upgrades!$U$7,F140),1)*IF(Upgrades!$T$8="Magnetosphere",POWER(Upgrades!$U$8,G140),1)*IF(Upgrades!$T$10="Magnetosphere",POWER(Upgrades!$U$10,I140),1)*IF(Upgrades!$T$11="Magnetosphere",POWER(Upgrades!$U$11,J140),1)*IF(Upgrades!$T$12="Magnetosphere",POWER(Upgrades!$U$12,K140),1))+(IF(I140=0,0,(Upgrades!$G$10+I140*Upgrades!$H$10)*POWER(Upgrades!$I$10,I140)))*(IF(Upgrades!$T$6="Orbital Resonance",POWER(Upgrades!$U$6,E140),1)*IF(Upgrades!$T$7="Orbital Resonance",POWER(Upgrades!$U$7,F140),1)*IF(Upgrades!$T$8="Orbital Resonance",POWER(Upgrades!$U$8,G140),1)*IF(Upgrades!$T$9="Orbital Resonance",POWER(Upgrades!$U$9,H140),1)*IF(Upgrades!$T$11="Orbital Resonance",POWER(Upgrades!$U$11,J140),1)*IF(Upgrades!$T$12="Orbital Resonance",POWER(Upgrades!$U$12,K140),1))+(IF(J140=0,0,(Upgrades!$G$11+J140*Upgrades!$H$11)*POWER(Upgrades!$I$11,J140)))*(IF(Upgrades!$T$6="Heliopause",POWER(Upgrades!$U$6,E140),1)*IF(Upgrades!$T$7="Heliopause",POWER(Upgrades!$U$7,F140),1)*IF(Upgrades!$T$8="Heliopause",POWER(Upgrades!$U$8,G140),1)*IF(Upgrades!$T$9="Heliopause",POWER(Upgrades!$U$9,H140),1)*IF(Upgrades!$T$10="Heliopause",POWER(Upgrades!$U$10,I140),1)*IF(Upgrades!$T$12="Heliopause",POWER(Upgrades!$U$12,K140),1))+(IF(K140=0,0,(Upgrades!$G$12+K140*Upgrades!$H$12)*POWER(Upgrades!$I$12,K140)))*(IF(Upgrades!$T$6="First Photons",POWER(Upgrades!$U$6,E140),1)*IF(Upgrades!$T$7="First Photons",POWER(Upgrades!$U$7,F140),1)*IF(Upgrades!$T$8="First Photons",POWER(Upgrades!$U$8,G140),1)*IF(Upgrades!$T$9="First Photons",POWER(Upgrades!$U$9,H140),1)*IF(Upgrades!$T$10="First Photons",POWER(Upgrades!$U$10,I140),1)*IF(Upgrades!$T$11="First Photons",POWER(Upgrades!$U$11,J140),1)))*POWER(Upgrades!$P$6,E140)*POWER(Upgrades!$P$7,F140)*POWER(Upgrades!$P$8,G140)*POWER(Upgrades!$P$9,H140)*POWER(Upgrades!$P$10,I140)*POWER(Upgrades!$P$11,J140)*POWER(Upgrades!$P$12,K140)</f>
        <v/>
      </c>
      <c r="O140" s="28">
        <f>((IF(E140=0,0,(Upgrades!$M$6+E140*Upgrades!$N$6)*POWER(Upgrades!$O$6,E140)))*(IF(Upgrades!$T$7="Solar Wind",POWER(Upgrades!$U$7,F140),1)*IF(Upgrades!$T$8="Solar Wind",POWER(Upgrades!$U$8,G140),1)*IF(Upgrades!$T$9="Solar Wind",POWER(Upgrades!$U$9,H140),1)*IF(Upgrades!$T$10="Solar Wind",POWER(Upgrades!$U$10,I140),1)*IF(Upgrades!$T$11="Solar Wind",POWER(Upgrades!$U$11,J140),1)*IF(Upgrades!$T$12="Solar Wind",POWER(Upgrades!$U$12,K140),1))+(IF(F140=0,0,(Upgrades!$M$7+F140*Upgrades!$N$7)*POWER(Upgrades!$O$7,F140)))*(IF(Upgrades!$T$6="Asteroid Belt",POWER(Upgrades!$U$6,E140),1)*IF(Upgrades!$T$8="Asteroid Belt",POWER(Upgrades!$U$8,G140),1)*IF(Upgrades!$T$9="Asteroid Belt",POWER(Upgrades!$U$9,H140),1)*IF(Upgrades!$T$10="Asteroid Belt",POWER(Upgrades!$U$10,I140),1)*IF(Upgrades!$T$11="Asteroid Belt",POWER(Upgrades!$U$11,J140),1)*IF(Upgrades!$T$12="Asteroid Belt",POWER(Upgrades!$U$12,K140),1))+(IF(G140=0,0,(Upgrades!$M$8+G140*Upgrades!$N$8)*POWER(Upgrades!$O$8,G140)))*(IF(Upgrades!$T$6="Stellar Coupling",POWER(Upgrades!$U$6,E140),1)*IF(Upgrades!$T$7="Stellar Coupling",POWER(Upgrades!$U$7,F140),1)*IF(Upgrades!$T$9="Stellar Coupling",POWER(Upgrades!$U$9,H140),1)*IF(Upgrades!$T$10="Stellar Coupling",POWER(Upgrades!$U$10,I140),1)*IF(Upgrades!$T$11="Stellar Coupling",POWER(Upgrades!$U$11,J140),1)*IF(Upgrades!$T$12="Stellar Coupling",POWER(Upgrades!$U$12,K140),1))+(IF(H140=0,0,(Upgrades!$M$9+H140*Upgrades!$N$9)*POWER(Upgrades!$O$9,H140)))*(IF(Upgrades!$T$6="Magnetosphere",POWER(Upgrades!$U$6,E140),1)*IF(Upgrades!$T$7="Magnetosphere",POWER(Upgrades!$U$7,F140),1)*IF(Upgrades!$T$8="Magnetosphere",POWER(Upgrades!$U$8,G140),1)*IF(Upgrades!$T$10="Magnetosphere",POWER(Upgrades!$U$10,I140),1)*IF(Upgrades!$T$11="Magnetosphere",POWER(Upgrades!$U$11,J140),1)*IF(Upgrades!$T$12="Magnetosphere",POWER(Upgrades!$U$12,K140),1))+(IF(I140=0,0,(Upgrades!$M$10+I140*Upgrades!$N$10)*POWER(Upgrades!$O$10,I140)))*(IF(Upgrades!$T$6="Orbital Resonance",POWER(Upgrades!$U$6,E140),1)*IF(Upgrades!$T$7="Orbital Resonance",POWER(Upgrades!$U$7,F140),1)*IF(Upgrades!$T$8="Orbital Resonance",POWER(Upgrades!$U$8,G140),1)*IF(Upgrades!$T$9="Orbital Resonance",POWER(Upgrades!$U$9,H140),1)*IF(Upgrades!$T$11="Orbital Resonance",POWER(Upgrades!$U$11,J140),1)*IF(Upgrades!$T$12="Orbital Resonance",POWER(Upgrades!$U$12,K140),1))+(IF(J140=0,0,(Upgrades!$M$11+J140*Upgrades!$N$11)*POWER(Upgrades!$O$11,J140)))*(IF(Upgrades!$T$6="Heliopause",POWER(Upgrades!$U$6,E140),1)*IF(Upgrades!$T$7="Heliopause",POWER(Upgrades!$U$7,F140),1)*IF(Upgrades!$T$8="Heliopause",POWER(Upgrades!$U$8,G140),1)*IF(Upgrades!$T$9="Heliopause",POWER(Upgrades!$U$9,H140),1)*IF(Upgrades!$T$10="Heliopause",POWER(Upgrades!$U$10,I140),1)*IF(Upgrades!$T$12="Heliopause",POWER(Upgrades!$U$12,K140),1))+(IF(K140=0,0,(Upgrades!$M$12+K140*Upgrades!$N$12)*POWER(Upgrades!$O$12,K140)))*(IF(Upgrades!$T$6="First Photons",POWER(Upgrades!$U$6,E140),1)*IF(Upgrades!$T$7="First Photons",POWER(Upgrades!$U$7,F140),1)*IF(Upgrades!$T$8="First Photons",POWER(Upgrades!$U$8,G140),1)*IF(Upgrades!$T$9="First Photons",POWER(Upgrades!$U$9,H140),1)*IF(Upgrades!$T$10="First Photons",POWER(Upgrades!$U$10,I140),1)*IF(Upgrades!$T$11="First Photons",POWER(Upgrades!$U$11,J140),1)))*POWER(Upgrades!$R$6,E140)*POWER(Upgrades!$R$7,F140)*POWER(Upgrades!$R$8,G140)*POWER(Upgrades!$R$9,H140)*POWER(Upgrades!$R$10,I140)*POWER(Upgrades!$R$11,J140)*POWER(Upgrades!$R$12,K140)</f>
        <v/>
      </c>
      <c r="P140" s="27">
        <f>IF(L140=1,0,M140*Parameters!$B$10/60*Parameters!$B$11*10)</f>
        <v/>
      </c>
      <c r="Q140" s="27">
        <f>IF(L140=1,0,O140*M140*10)</f>
        <v/>
      </c>
      <c r="R140" s="27">
        <f>IF(L140=1,0,N140*10)</f>
        <v/>
      </c>
      <c r="S140" s="27">
        <f>P140+Q140+R140</f>
        <v/>
      </c>
      <c r="T140" s="22">
        <f>C140+S140</f>
        <v/>
      </c>
      <c r="U140" s="33">
        <f>AX140</f>
        <v/>
      </c>
      <c r="V140" s="22">
        <f>IF(U140="",0,IF(U140="transition",0,IF(U140="SW",AG140,IF(U140="AB",AH140,IF(U140="SC",AI140,IF(U140="Mag",AJ140,IF(U140="OR",AK140,IF(U140="HP",AL140,IF(U140="FP",AM140,0)))))))))</f>
        <v/>
      </c>
      <c r="W140" s="27">
        <f>IF(U140="OR",Upgrades!$F$10,IF(U140="HP",Upgrades!$F$11,IF(U140="transition",-Parameters!$B$18,0)))</f>
        <v/>
      </c>
      <c r="X140" s="22">
        <f>T140-V140</f>
        <v/>
      </c>
      <c r="Y140" s="30">
        <f>M140*Parameters!$B$10/60*Parameters!$B$11+O140*M140+N140</f>
        <v/>
      </c>
      <c r="Z140" s="34">
        <f>IF(U140="transition","→ Tier 2 (Stellar Neighborhood)",IF(U140="FP","First Photons — light begins, system quickens",IF(U140="HP","Heliopause acquired",IF(U140="OR","Orbital Resonance — passive multiplier active",IF(AND(AO140=1,L140=0,AN140&lt;&gt;1),"Cohesion ready (waiting on completionist upgrades)","")))))</f>
        <v/>
      </c>
      <c r="AA140" s="27">
        <f>(IF(E140=0,0,(Upgrades!$G$6+E140*Upgrades!$H$6)*POWER(Upgrades!$I$6,E140)))*(IF(Upgrades!$T$7="Solar Wind",POWER(Upgrades!$U$7,F140),1)*IF(Upgrades!$T$8="Solar Wind",POWER(Upgrades!$U$8,G140),1)*IF(Upgrades!$T$9="Solar Wind",POWER(Upgrades!$U$9,H140),1)*IF(Upgrades!$T$10="Solar Wind",POWER(Upgrades!$U$10,I140),1)*IF(Upgrades!$T$11="Solar Wind",POWER(Upgrades!$U$11,J140),1)*IF(Upgrades!$T$12="Solar Wind",POWER(Upgrades!$U$12,K140),1))*POWER(Upgrades!$P$6,E140)*POWER(Upgrades!$P$7,F140)*POWER(Upgrades!$P$8,G140)*POWER(Upgrades!$P$9,H140)*POWER(Upgrades!$P$10,I140)*POWER(Upgrades!$P$11,J140)*POWER(Upgrades!$P$12,K140)*60</f>
        <v/>
      </c>
      <c r="AB140" s="27">
        <f>(IF(F140=0,0,(Upgrades!$G$7+F140*Upgrades!$H$7)*POWER(Upgrades!$I$7,F140)))*(IF(Upgrades!$T$6="Asteroid Belt",POWER(Upgrades!$U$6,E140),1)*IF(Upgrades!$T$8="Asteroid Belt",POWER(Upgrades!$U$8,G140),1)*IF(Upgrades!$T$9="Asteroid Belt",POWER(Upgrades!$U$9,H140),1)*IF(Upgrades!$T$10="Asteroid Belt",POWER(Upgrades!$U$10,I140),1)*IF(Upgrades!$T$11="Asteroid Belt",POWER(Upgrades!$U$11,J140),1)*IF(Upgrades!$T$12="Asteroid Belt",POWER(Upgrades!$U$12,K140),1))*POWER(Upgrades!$P$6,E140)*POWER(Upgrades!$P$7,F140)*POWER(Upgrades!$P$8,G140)*POWER(Upgrades!$P$9,H140)*POWER(Upgrades!$P$10,I140)*POWER(Upgrades!$P$11,J140)*POWER(Upgrades!$P$12,K140)*60</f>
        <v/>
      </c>
      <c r="AC140" s="27">
        <f>(IF(G140=0,0,(Upgrades!$J$8+G140*Upgrades!$K$8)*POWER(Upgrades!$L$8,G140)))*(IF(Upgrades!$T$6="Stellar Coupling",POWER(Upgrades!$U$6,E140),1)*IF(Upgrades!$T$7="Stellar Coupling",POWER(Upgrades!$U$7,F140),1)*IF(Upgrades!$T$9="Stellar Coupling",POWER(Upgrades!$U$9,H140),1)*IF(Upgrades!$T$10="Stellar Coupling",POWER(Upgrades!$U$10,I140),1)*IF(Upgrades!$T$11="Stellar Coupling",POWER(Upgrades!$U$11,J140),1)*IF(Upgrades!$T$12="Stellar Coupling",POWER(Upgrades!$U$12,K140),1))*POWER(Upgrades!$Q$6,E140)*POWER(Upgrades!$Q$7,F140)*POWER(Upgrades!$Q$8,G140)*POWER(Upgrades!$Q$9,H140)*POWER(Upgrades!$Q$10,I140)*POWER(Upgrades!$Q$11,J140)*POWER(Upgrades!$Q$12,K140)*Parameters!$B$10*Parameters!$B$11</f>
        <v/>
      </c>
      <c r="AD140" s="27">
        <f>(IF(H140=0,0,(Upgrades!$G$9+H140*Upgrades!$H$9)*POWER(Upgrades!$I$9,H140)))*(IF(Upgrades!$T$6="Magnetosphere",POWER(Upgrades!$U$6,E140),1)*IF(Upgrades!$T$7="Magnetosphere",POWER(Upgrades!$U$7,F140),1)*IF(Upgrades!$T$8="Magnetosphere",POWER(Upgrades!$U$8,G140),1)*IF(Upgrades!$T$10="Magnetosphere",POWER(Upgrades!$U$10,I140),1)*IF(Upgrades!$T$11="Magnetosphere",POWER(Upgrades!$U$11,J140),1)*IF(Upgrades!$T$12="Magnetosphere",POWER(Upgrades!$U$12,K140),1))*POWER(Upgrades!$P$6,E140)*POWER(Upgrades!$P$7,F140)*POWER(Upgrades!$P$8,G140)*POWER(Upgrades!$P$9,H140)*POWER(Upgrades!$P$10,I140)*POWER(Upgrades!$P$11,J140)*POWER(Upgrades!$P$12,K140)*60</f>
        <v/>
      </c>
      <c r="AE140" s="27">
        <f>(IF(K140=0,0,(Upgrades!$G$12+K140*Upgrades!$H$12)*POWER(Upgrades!$I$12,K140)))*(IF(Upgrades!$T$6="First Photons",POWER(Upgrades!$U$6,E140),1)*IF(Upgrades!$T$7="First Photons",POWER(Upgrades!$U$7,F140),1)*IF(Upgrades!$T$8="First Photons",POWER(Upgrades!$U$8,G140),1)*IF(Upgrades!$T$9="First Photons",POWER(Upgrades!$U$9,H140),1)*IF(Upgrades!$T$10="First Photons",POWER(Upgrades!$U$10,I140),1)*IF(Upgrades!$T$11="First Photons",POWER(Upgrades!$U$11,J140),1))*POWER(Upgrades!$P$6,E140)*POWER(Upgrades!$P$7,F140)*POWER(Upgrades!$P$8,G140)*POWER(Upgrades!$P$9,H140)*POWER(Upgrades!$P$10,I140)*POWER(Upgrades!$P$11,J140)*POWER(Upgrades!$P$12,K140)*60</f>
        <v/>
      </c>
      <c r="AF140" s="27">
        <f>Parameters!$B$9*POWER(Upgrades!$Q$6,E140)*POWER(Upgrades!$Q$7,F140)*POWER(Upgrades!$Q$8,G140)*POWER(Upgrades!$Q$9,H140)*POWER(Upgrades!$Q$10,I140)*POWER(Upgrades!$Q$11,J140)*POWER(Upgrades!$Q$12,K140)*(Parameters!$B$10*Parameters!$B$11+O140*60)</f>
        <v/>
      </c>
      <c r="AG140" s="22">
        <f>IF(E140&gt;=Upgrades!$E$6,"",Upgrades!$C$6*POWER(Upgrades!$D$6,E140))</f>
        <v/>
      </c>
      <c r="AH140" s="22">
        <f>IF(F140&gt;=Upgrades!$E$7,"",Upgrades!$C$7*POWER(Upgrades!$D$7,F140))</f>
        <v/>
      </c>
      <c r="AI140" s="22">
        <f>IF(G140&gt;=Upgrades!$E$8,"",Upgrades!$C$8*POWER(Upgrades!$D$8,G140))</f>
        <v/>
      </c>
      <c r="AJ140" s="22">
        <f>IF(H140&gt;=Upgrades!$E$9,"",Upgrades!$C$9*POWER(Upgrades!$D$9,H140))</f>
        <v/>
      </c>
      <c r="AK140" s="22">
        <f>IF(I140&gt;=Upgrades!$E$10,"",Upgrades!$C$10*POWER(Upgrades!$D$10,I140))</f>
        <v/>
      </c>
      <c r="AL140" s="22">
        <f>IF(J140&gt;=Upgrades!$E$11,"",Upgrades!$C$11*POWER(Upgrades!$D$11,J140))</f>
        <v/>
      </c>
      <c r="AM140" s="22">
        <f>IF(K140&gt;=Upgrades!$E$12,"",Upgrades!$C$12*POWER(Upgrades!$D$12,K140))</f>
        <v/>
      </c>
      <c r="AN140" s="26">
        <f>IF(AND(D140&gt;=Parameters!$B$18,(H140&gt;=Upgrades!$E$9)*(K140&gt;=Upgrades!$E$12)=1,L140=0),1,"")</f>
        <v/>
      </c>
      <c r="AO140" s="26">
        <f>IF(AND(D140&gt;=Parameters!$B$18,L140=0),1,"")</f>
        <v/>
      </c>
      <c r="AP140" s="22">
        <f>MIN(IF(ISNUMBER(AK140),AK140,9E15),IF(ISNUMBER(AL140),AL140,9E15),IF(ISNUMBER(AM140),AM140,9E15))</f>
        <v/>
      </c>
      <c r="AQ140" s="22">
        <f>MIN(IF(ISNUMBER(AG140),AG140,9E15),IF(ISNUMBER(AH140),AH140,9E15),IF(ISNUMBER(AI140),AI140,9E15),IF(ISNUMBER(AJ140),AJ140,9E15))</f>
        <v/>
      </c>
      <c r="AR140" s="29">
        <f>IF(AW140&gt;Parameters!$B$21*(MAX(IF(AND(NOT(AND(AO140=1,AN140&lt;&gt;1)),ISNUMBER(AG140),AG140&lt;=T140),AS140,0),IF(AND(NOT(AND(AO140=1,AN140&lt;&gt;1)),ISNUMBER(AH140),AH140&lt;=T140),AT140,0),IF(AND(NOT(AND(AO140=1,AN140&lt;&gt;1)),ISNUMBER(AI140),AI140&lt;=T140),AU140,0),IF(AND(ISNUMBER(AJ140),AJ140&lt;=T140),AV140,0))),TRUE,FALSE)</f>
        <v/>
      </c>
      <c r="AS140" s="32">
        <f>IFERROR(Upgrades!$H$6*(POWER(Upgrades!$P$6,E140)*POWER(Upgrades!$P$7,F140)*POWER(Upgrades!$P$8,G140)*POWER(Upgrades!$P$9,H140)*POWER(Upgrades!$P$10,I140)*POWER(Upgrades!$P$11,J140)*POWER(Upgrades!$P$12,K140))*(IF(Upgrades!$T$7="Solar Wind",POWER(Upgrades!$U$7,F140),1)*IF(Upgrades!$T$8="Solar Wind",POWER(Upgrades!$U$8,G140),1)*IF(Upgrades!$T$9="Solar Wind",POWER(Upgrades!$U$9,H140),1)*IF(Upgrades!$T$10="Solar Wind",POWER(Upgrades!$U$10,I140),1)*IF(Upgrades!$T$11="Solar Wind",POWER(Upgrades!$U$11,J140),1)*IF(Upgrades!$T$12="Solar Wind",POWER(Upgrades!$U$12,K140),1))/AG140,0)</f>
        <v/>
      </c>
      <c r="AT140" s="32">
        <f>IFERROR(Upgrades!$H$7*(POWER(Upgrades!$P$6,E140)*POWER(Upgrades!$P$7,F140)*POWER(Upgrades!$P$8,G140)*POWER(Upgrades!$P$9,H140)*POWER(Upgrades!$P$10,I140)*POWER(Upgrades!$P$11,J140)*POWER(Upgrades!$P$12,K140))*(IF(Upgrades!$T$6="Asteroid Belt",POWER(Upgrades!$U$6,E140),1)*IF(Upgrades!$T$8="Asteroid Belt",POWER(Upgrades!$U$8,G140),1)*IF(Upgrades!$T$9="Asteroid Belt",POWER(Upgrades!$U$9,H140),1)*IF(Upgrades!$T$10="Asteroid Belt",POWER(Upgrades!$U$10,I140),1)*IF(Upgrades!$T$11="Asteroid Belt",POWER(Upgrades!$U$11,J140),1)*IF(Upgrades!$T$12="Asteroid Belt",POWER(Upgrades!$U$12,K140),1))/AH140,0)</f>
        <v/>
      </c>
      <c r="AU140" s="32">
        <f>IFERROR(Upgrades!$K$8*(POWER(Upgrades!$Q$6,E140)*POWER(Upgrades!$Q$7,F140)*POWER(Upgrades!$Q$8,G140)*POWER(Upgrades!$Q$9,H140)*POWER(Upgrades!$Q$10,I140)*POWER(Upgrades!$Q$11,J140)*POWER(Upgrades!$Q$12,K140))*(IF(Upgrades!$T$6="Stellar Coupling",POWER(Upgrades!$U$6,E140),1)*IF(Upgrades!$T$7="Stellar Coupling",POWER(Upgrades!$U$7,F140),1)*IF(Upgrades!$T$9="Stellar Coupling",POWER(Upgrades!$U$9,H140),1)*IF(Upgrades!$T$10="Stellar Coupling",POWER(Upgrades!$U$10,I140),1)*IF(Upgrades!$T$11="Stellar Coupling",POWER(Upgrades!$U$11,J140),1)*IF(Upgrades!$T$12="Stellar Coupling",POWER(Upgrades!$U$12,K140),1))*Parameters!$B$10*Parameters!$B$11/60/AI140,0)</f>
        <v/>
      </c>
      <c r="AV140" s="32">
        <f>IFERROR(Upgrades!$H$9*(POWER(Upgrades!$P$6,E140)*POWER(Upgrades!$P$7,F140)*POWER(Upgrades!$P$8,G140)*POWER(Upgrades!$P$9,H140)*POWER(Upgrades!$P$10,I140)*POWER(Upgrades!$P$11,J140)*POWER(Upgrades!$P$12,K140))*(IF(Upgrades!$T$6="Magnetosphere",POWER(Upgrades!$U$6,E140),1)*IF(Upgrades!$T$7="Magnetosphere",POWER(Upgrades!$U$7,F140),1)*IF(Upgrades!$T$8="Magnetosphere",POWER(Upgrades!$U$8,G140),1)*IF(Upgrades!$T$10="Magnetosphere",POWER(Upgrades!$U$10,I140),1)*IF(Upgrades!$T$11="Magnetosphere",POWER(Upgrades!$U$11,J140),1)*IF(Upgrades!$T$12="Magnetosphere",POWER(Upgrades!$U$12,K140),1))/AJ140,0)</f>
        <v/>
      </c>
      <c r="AW140" s="32">
        <f>MAX(IF(I140&gt;0,0,IFERROR(0.25*N140/Upgrades!$C$10,0)),IF(J140&gt;0,0,IFERROR(0.5*((IF(G140=0,0,(Upgrades!$J$8+G140*Upgrades!$K$8)*POWER(Upgrades!$L$8,G140)))*(IF(Upgrades!$T$6="Stellar Coupling",POWER(Upgrades!$U$6,E140),1)*IF(Upgrades!$T$7="Stellar Coupling",POWER(Upgrades!$U$7,F140),1)*IF(Upgrades!$T$9="Stellar Coupling",POWER(Upgrades!$U$9,H140),1)*IF(Upgrades!$T$10="Stellar Coupling",POWER(Upgrades!$U$10,I140),1)*IF(Upgrades!$T$11="Stellar Coupling",POWER(Upgrades!$U$11,J140),1)*IF(Upgrades!$T$12="Stellar Coupling",POWER(Upgrades!$U$12,K140),1))*(POWER(Upgrades!$Q$6,E140)*POWER(Upgrades!$Q$7,F140)*POWER(Upgrades!$Q$8,G140)*POWER(Upgrades!$Q$9,H140)*POWER(Upgrades!$Q$10,I140)*POWER(Upgrades!$Q$11,J140)*POWER(Upgrades!$Q$12,K140))*Parameters!$B$10*Parameters!$B$11/60)/Upgrades!$C$11,0)),IF(K140&gt;0,0,IFERROR((1.0*(POWER(Upgrades!$P$6,E140)*POWER(Upgrades!$P$7,F140)*POWER(Upgrades!$P$8,G140)*POWER(Upgrades!$P$9,H140)*POWER(Upgrades!$P$10,I140)*POWER(Upgrades!$P$11,J140)*POWER(Upgrades!$P$12,K140))+0.20*M140*Parameters!$B$10*Parameters!$B$11/60)/Upgrades!$C$12,0)),IF(AND(ISNUMBER(AG140),AG140&gt;T140),AS140,0),IF(AND(ISNUMBER(AH140),AH140&gt;T140),AT140,0),IF(AND(ISNUMBER(AI140),AI140&gt;T140),AU140,0),IF(AND(ISNUMBER(AJ140),AJ140&gt;T140),AV140,0))</f>
        <v/>
      </c>
      <c r="AX140" s="29">
        <f>IF(AN140=1,"transition",IF(MIN(IF(AND(I140=0,ISNUMBER(AK140),AK140&lt;=T140),AK140,9E15),IF(AND(J140=0,ISNUMBER(AL140),AL140&lt;=T140),AL140,9E15),IF(AND(K140=0,ISNUMBER(AM140),AM140&lt;=T140),AM140,9E15))&lt;9E15,IF(AND(AND(I140=0,ISNUMBER(AK140),AK140&lt;=T140),AK140=MIN(IF(AND(I140=0,ISNUMBER(AK140),AK140&lt;=T140),AK140,9E15),IF(AND(J140=0,ISNUMBER(AL140),AL140&lt;=T140),AL140,9E15),IF(AND(K140=0,ISNUMBER(AM140),AM140&lt;=T140),AM140,9E15))),"OR",IF(AND(AND(J140=0,ISNUMBER(AL140),AL140&lt;=T140),AL140=MIN(IF(AND(I140=0,ISNUMBER(AK140),AK140&lt;=T140),AK140,9E15),IF(AND(J140=0,ISNUMBER(AL140),AL140&lt;=T140),AL140,9E15),IF(AND(K140=0,ISNUMBER(AM140),AM140&lt;=T140),AM140,9E15))),"HP","FP")),IF(AR140=TRUE,"",IF(MAX(IF(AND(NOT(AND(AO140=1,AN140&lt;&gt;1)),ISNUMBER(AG140),AG140&lt;=T140),AS140,0),IF(AND(NOT(AND(AO140=1,AN140&lt;&gt;1)),ISNUMBER(AH140),AH140&lt;=T140),AT140,0),IF(AND(NOT(AND(AO140=1,AN140&lt;&gt;1)),ISNUMBER(AI140),AI140&lt;=T140),AU140,0),IF(AND(ISNUMBER(AJ140),AJ140&lt;=T140),AV140,0))&lt;=0,"",IF(AND(IF(AND(NOT(AND(AO140=1,AN140&lt;&gt;1)),ISNUMBER(AG140),AG140&lt;=T140),AS140,0)&gt;0,IF(AND(NOT(AND(AO140=1,AN140&lt;&gt;1)),ISNUMBER(AG140),AG140&lt;=T140),AS140,0)=MAX(IF(AND(NOT(AND(AO140=1,AN140&lt;&gt;1)),ISNUMBER(AG140),AG140&lt;=T140),AS140,0),IF(AND(NOT(AND(AO140=1,AN140&lt;&gt;1)),ISNUMBER(AH140),AH140&lt;=T140),AT140,0),IF(AND(NOT(AND(AO140=1,AN140&lt;&gt;1)),ISNUMBER(AI140),AI140&lt;=T140),AU140,0),IF(AND(ISNUMBER(AJ140),AJ140&lt;=T140),AV140,0))),"SW",IF(AND(IF(AND(NOT(AND(AO140=1,AN140&lt;&gt;1)),ISNUMBER(AH140),AH140&lt;=T140),AT140,0)&gt;0,IF(AND(NOT(AND(AO140=1,AN140&lt;&gt;1)),ISNUMBER(AH140),AH140&lt;=T140),AT140,0)=MAX(IF(AND(NOT(AND(AO140=1,AN140&lt;&gt;1)),ISNUMBER(AG140),AG140&lt;=T140),AS140,0),IF(AND(NOT(AND(AO140=1,AN140&lt;&gt;1)),ISNUMBER(AH140),AH140&lt;=T140),AT140,0),IF(AND(NOT(AND(AO140=1,AN140&lt;&gt;1)),ISNUMBER(AI140),AI140&lt;=T140),AU140,0),IF(AND(ISNUMBER(AJ140),AJ140&lt;=T140),AV140,0))),"AB",IF(AND(IF(AND(NOT(AND(AO140=1,AN140&lt;&gt;1)),ISNUMBER(AI140),AI140&lt;=T140),AU140,0)&gt;0,IF(AND(NOT(AND(AO140=1,AN140&lt;&gt;1)),ISNUMBER(AI140),AI140&lt;=T140),AU140,0)=MAX(IF(AND(NOT(AND(AO140=1,AN140&lt;&gt;1)),ISNUMBER(AG140),AG140&lt;=T140),AS140,0),IF(AND(NOT(AND(AO140=1,AN140&lt;&gt;1)),ISNUMBER(AH140),AH140&lt;=T140),AT140,0),IF(AND(NOT(AND(AO140=1,AN140&lt;&gt;1)),ISNUMBER(AI140),AI140&lt;=T140),AU140,0),IF(AND(ISNUMBER(AJ140),AJ140&lt;=T140),AV140,0))),"SC","Mag")))))))</f>
        <v/>
      </c>
    </row>
    <row r="141">
      <c r="A141" s="26" t="n">
        <v>136</v>
      </c>
      <c r="B141" s="27">
        <f>A141*10/60</f>
        <v/>
      </c>
      <c r="C141" s="22">
        <f>X140</f>
        <v/>
      </c>
      <c r="D141" s="27">
        <f>D140+W140</f>
        <v/>
      </c>
      <c r="E141" s="26">
        <f>E140+IF(U140="SW",1,0)</f>
        <v/>
      </c>
      <c r="F141" s="26">
        <f>F140+IF(U140="AB",1,0)</f>
        <v/>
      </c>
      <c r="G141" s="26">
        <f>G140+IF(U140="SC",1,0)</f>
        <v/>
      </c>
      <c r="H141" s="26">
        <f>H140+IF(U140="Mag",1,0)</f>
        <v/>
      </c>
      <c r="I141" s="26">
        <f>MAX(I140,IF(U140="OR",1,0))</f>
        <v/>
      </c>
      <c r="J141" s="26">
        <f>MAX(J140,IF(U140="HP",1,0))</f>
        <v/>
      </c>
      <c r="K141" s="26">
        <f>MAX(K140,IF(U140="FP",1,0))</f>
        <v/>
      </c>
      <c r="L141" s="26">
        <f>MAX(L140,IF(U140="transition",1,0))</f>
        <v/>
      </c>
      <c r="M141" s="28">
        <f>(Parameters!$B$9+(IF(E141=0,0,(Upgrades!$J$6+E141*Upgrades!$K$6)*POWER(Upgrades!$L$6,E141)))*(IF(Upgrades!$T$7="Solar Wind",POWER(Upgrades!$U$7,F141),1)*IF(Upgrades!$T$8="Solar Wind",POWER(Upgrades!$U$8,G141),1)*IF(Upgrades!$T$9="Solar Wind",POWER(Upgrades!$U$9,H141),1)*IF(Upgrades!$T$10="Solar Wind",POWER(Upgrades!$U$10,I141),1)*IF(Upgrades!$T$11="Solar Wind",POWER(Upgrades!$U$11,J141),1)*IF(Upgrades!$T$12="Solar Wind",POWER(Upgrades!$U$12,K141),1))+(IF(F141=0,0,(Upgrades!$J$7+F141*Upgrades!$K$7)*POWER(Upgrades!$L$7,F141)))*(IF(Upgrades!$T$6="Asteroid Belt",POWER(Upgrades!$U$6,E141),1)*IF(Upgrades!$T$8="Asteroid Belt",POWER(Upgrades!$U$8,G141),1)*IF(Upgrades!$T$9="Asteroid Belt",POWER(Upgrades!$U$9,H141),1)*IF(Upgrades!$T$10="Asteroid Belt",POWER(Upgrades!$U$10,I141),1)*IF(Upgrades!$T$11="Asteroid Belt",POWER(Upgrades!$U$11,J141),1)*IF(Upgrades!$T$12="Asteroid Belt",POWER(Upgrades!$U$12,K141),1))+(IF(G141=0,0,(Upgrades!$J$8+G141*Upgrades!$K$8)*POWER(Upgrades!$L$8,G141)))*(IF(Upgrades!$T$6="Stellar Coupling",POWER(Upgrades!$U$6,E141),1)*IF(Upgrades!$T$7="Stellar Coupling",POWER(Upgrades!$U$7,F141),1)*IF(Upgrades!$T$9="Stellar Coupling",POWER(Upgrades!$U$9,H141),1)*IF(Upgrades!$T$10="Stellar Coupling",POWER(Upgrades!$U$10,I141),1)*IF(Upgrades!$T$11="Stellar Coupling",POWER(Upgrades!$U$11,J141),1)*IF(Upgrades!$T$12="Stellar Coupling",POWER(Upgrades!$U$12,K141),1))+(IF(H141=0,0,(Upgrades!$J$9+H141*Upgrades!$K$9)*POWER(Upgrades!$L$9,H141)))*(IF(Upgrades!$T$6="Magnetosphere",POWER(Upgrades!$U$6,E141),1)*IF(Upgrades!$T$7="Magnetosphere",POWER(Upgrades!$U$7,F141),1)*IF(Upgrades!$T$8="Magnetosphere",POWER(Upgrades!$U$8,G141),1)*IF(Upgrades!$T$10="Magnetosphere",POWER(Upgrades!$U$10,I141),1)*IF(Upgrades!$T$11="Magnetosphere",POWER(Upgrades!$U$11,J141),1)*IF(Upgrades!$T$12="Magnetosphere",POWER(Upgrades!$U$12,K141),1))+(IF(I141=0,0,(Upgrades!$J$10+I141*Upgrades!$K$10)*POWER(Upgrades!$L$10,I141)))*(IF(Upgrades!$T$6="Orbital Resonance",POWER(Upgrades!$U$6,E141),1)*IF(Upgrades!$T$7="Orbital Resonance",POWER(Upgrades!$U$7,F141),1)*IF(Upgrades!$T$8="Orbital Resonance",POWER(Upgrades!$U$8,G141),1)*IF(Upgrades!$T$9="Orbital Resonance",POWER(Upgrades!$U$9,H141),1)*IF(Upgrades!$T$11="Orbital Resonance",POWER(Upgrades!$U$11,J141),1)*IF(Upgrades!$T$12="Orbital Resonance",POWER(Upgrades!$U$12,K141),1))+(IF(J141=0,0,(Upgrades!$J$11+J141*Upgrades!$K$11)*POWER(Upgrades!$L$11,J141)))*(IF(Upgrades!$T$6="Heliopause",POWER(Upgrades!$U$6,E141),1)*IF(Upgrades!$T$7="Heliopause",POWER(Upgrades!$U$7,F141),1)*IF(Upgrades!$T$8="Heliopause",POWER(Upgrades!$U$8,G141),1)*IF(Upgrades!$T$9="Heliopause",POWER(Upgrades!$U$9,H141),1)*IF(Upgrades!$T$10="Heliopause",POWER(Upgrades!$U$10,I141),1)*IF(Upgrades!$T$12="Heliopause",POWER(Upgrades!$U$12,K141),1))+(IF(K141=0,0,(Upgrades!$J$12+K141*Upgrades!$K$12)*POWER(Upgrades!$L$12,K141)))*(IF(Upgrades!$T$6="First Photons",POWER(Upgrades!$U$6,E141),1)*IF(Upgrades!$T$7="First Photons",POWER(Upgrades!$U$7,F141),1)*IF(Upgrades!$T$8="First Photons",POWER(Upgrades!$U$8,G141),1)*IF(Upgrades!$T$9="First Photons",POWER(Upgrades!$U$9,H141),1)*IF(Upgrades!$T$10="First Photons",POWER(Upgrades!$U$10,I141),1)*IF(Upgrades!$T$11="First Photons",POWER(Upgrades!$U$11,J141),1)))*POWER(Upgrades!$Q$6,E141)*POWER(Upgrades!$Q$7,F141)*POWER(Upgrades!$Q$8,G141)*POWER(Upgrades!$Q$9,H141)*POWER(Upgrades!$Q$10,I141)*POWER(Upgrades!$Q$11,J141)*POWER(Upgrades!$Q$12,K141)</f>
        <v/>
      </c>
      <c r="N141" s="28">
        <f>((IF(E141=0,0,(Upgrades!$G$6+E141*Upgrades!$H$6)*POWER(Upgrades!$I$6,E141)))*(IF(Upgrades!$T$7="Solar Wind",POWER(Upgrades!$U$7,F141),1)*IF(Upgrades!$T$8="Solar Wind",POWER(Upgrades!$U$8,G141),1)*IF(Upgrades!$T$9="Solar Wind",POWER(Upgrades!$U$9,H141),1)*IF(Upgrades!$T$10="Solar Wind",POWER(Upgrades!$U$10,I141),1)*IF(Upgrades!$T$11="Solar Wind",POWER(Upgrades!$U$11,J141),1)*IF(Upgrades!$T$12="Solar Wind",POWER(Upgrades!$U$12,K141),1))+(IF(F141=0,0,(Upgrades!$G$7+F141*Upgrades!$H$7)*POWER(Upgrades!$I$7,F141)))*(IF(Upgrades!$T$6="Asteroid Belt",POWER(Upgrades!$U$6,E141),1)*IF(Upgrades!$T$8="Asteroid Belt",POWER(Upgrades!$U$8,G141),1)*IF(Upgrades!$T$9="Asteroid Belt",POWER(Upgrades!$U$9,H141),1)*IF(Upgrades!$T$10="Asteroid Belt",POWER(Upgrades!$U$10,I141),1)*IF(Upgrades!$T$11="Asteroid Belt",POWER(Upgrades!$U$11,J141),1)*IF(Upgrades!$T$12="Asteroid Belt",POWER(Upgrades!$U$12,K141),1))+(IF(G141=0,0,(Upgrades!$G$8+G141*Upgrades!$H$8)*POWER(Upgrades!$I$8,G141)))*(IF(Upgrades!$T$6="Stellar Coupling",POWER(Upgrades!$U$6,E141),1)*IF(Upgrades!$T$7="Stellar Coupling",POWER(Upgrades!$U$7,F141),1)*IF(Upgrades!$T$9="Stellar Coupling",POWER(Upgrades!$U$9,H141),1)*IF(Upgrades!$T$10="Stellar Coupling",POWER(Upgrades!$U$10,I141),1)*IF(Upgrades!$T$11="Stellar Coupling",POWER(Upgrades!$U$11,J141),1)*IF(Upgrades!$T$12="Stellar Coupling",POWER(Upgrades!$U$12,K141),1))+(IF(H141=0,0,(Upgrades!$G$9+H141*Upgrades!$H$9)*POWER(Upgrades!$I$9,H141)))*(IF(Upgrades!$T$6="Magnetosphere",POWER(Upgrades!$U$6,E141),1)*IF(Upgrades!$T$7="Magnetosphere",POWER(Upgrades!$U$7,F141),1)*IF(Upgrades!$T$8="Magnetosphere",POWER(Upgrades!$U$8,G141),1)*IF(Upgrades!$T$10="Magnetosphere",POWER(Upgrades!$U$10,I141),1)*IF(Upgrades!$T$11="Magnetosphere",POWER(Upgrades!$U$11,J141),1)*IF(Upgrades!$T$12="Magnetosphere",POWER(Upgrades!$U$12,K141),1))+(IF(I141=0,0,(Upgrades!$G$10+I141*Upgrades!$H$10)*POWER(Upgrades!$I$10,I141)))*(IF(Upgrades!$T$6="Orbital Resonance",POWER(Upgrades!$U$6,E141),1)*IF(Upgrades!$T$7="Orbital Resonance",POWER(Upgrades!$U$7,F141),1)*IF(Upgrades!$T$8="Orbital Resonance",POWER(Upgrades!$U$8,G141),1)*IF(Upgrades!$T$9="Orbital Resonance",POWER(Upgrades!$U$9,H141),1)*IF(Upgrades!$T$11="Orbital Resonance",POWER(Upgrades!$U$11,J141),1)*IF(Upgrades!$T$12="Orbital Resonance",POWER(Upgrades!$U$12,K141),1))+(IF(J141=0,0,(Upgrades!$G$11+J141*Upgrades!$H$11)*POWER(Upgrades!$I$11,J141)))*(IF(Upgrades!$T$6="Heliopause",POWER(Upgrades!$U$6,E141),1)*IF(Upgrades!$T$7="Heliopause",POWER(Upgrades!$U$7,F141),1)*IF(Upgrades!$T$8="Heliopause",POWER(Upgrades!$U$8,G141),1)*IF(Upgrades!$T$9="Heliopause",POWER(Upgrades!$U$9,H141),1)*IF(Upgrades!$T$10="Heliopause",POWER(Upgrades!$U$10,I141),1)*IF(Upgrades!$T$12="Heliopause",POWER(Upgrades!$U$12,K141),1))+(IF(K141=0,0,(Upgrades!$G$12+K141*Upgrades!$H$12)*POWER(Upgrades!$I$12,K141)))*(IF(Upgrades!$T$6="First Photons",POWER(Upgrades!$U$6,E141),1)*IF(Upgrades!$T$7="First Photons",POWER(Upgrades!$U$7,F141),1)*IF(Upgrades!$T$8="First Photons",POWER(Upgrades!$U$8,G141),1)*IF(Upgrades!$T$9="First Photons",POWER(Upgrades!$U$9,H141),1)*IF(Upgrades!$T$10="First Photons",POWER(Upgrades!$U$10,I141),1)*IF(Upgrades!$T$11="First Photons",POWER(Upgrades!$U$11,J141),1)))*POWER(Upgrades!$P$6,E141)*POWER(Upgrades!$P$7,F141)*POWER(Upgrades!$P$8,G141)*POWER(Upgrades!$P$9,H141)*POWER(Upgrades!$P$10,I141)*POWER(Upgrades!$P$11,J141)*POWER(Upgrades!$P$12,K141)</f>
        <v/>
      </c>
      <c r="O141" s="28">
        <f>((IF(E141=0,0,(Upgrades!$M$6+E141*Upgrades!$N$6)*POWER(Upgrades!$O$6,E141)))*(IF(Upgrades!$T$7="Solar Wind",POWER(Upgrades!$U$7,F141),1)*IF(Upgrades!$T$8="Solar Wind",POWER(Upgrades!$U$8,G141),1)*IF(Upgrades!$T$9="Solar Wind",POWER(Upgrades!$U$9,H141),1)*IF(Upgrades!$T$10="Solar Wind",POWER(Upgrades!$U$10,I141),1)*IF(Upgrades!$T$11="Solar Wind",POWER(Upgrades!$U$11,J141),1)*IF(Upgrades!$T$12="Solar Wind",POWER(Upgrades!$U$12,K141),1))+(IF(F141=0,0,(Upgrades!$M$7+F141*Upgrades!$N$7)*POWER(Upgrades!$O$7,F141)))*(IF(Upgrades!$T$6="Asteroid Belt",POWER(Upgrades!$U$6,E141),1)*IF(Upgrades!$T$8="Asteroid Belt",POWER(Upgrades!$U$8,G141),1)*IF(Upgrades!$T$9="Asteroid Belt",POWER(Upgrades!$U$9,H141),1)*IF(Upgrades!$T$10="Asteroid Belt",POWER(Upgrades!$U$10,I141),1)*IF(Upgrades!$T$11="Asteroid Belt",POWER(Upgrades!$U$11,J141),1)*IF(Upgrades!$T$12="Asteroid Belt",POWER(Upgrades!$U$12,K141),1))+(IF(G141=0,0,(Upgrades!$M$8+G141*Upgrades!$N$8)*POWER(Upgrades!$O$8,G141)))*(IF(Upgrades!$T$6="Stellar Coupling",POWER(Upgrades!$U$6,E141),1)*IF(Upgrades!$T$7="Stellar Coupling",POWER(Upgrades!$U$7,F141),1)*IF(Upgrades!$T$9="Stellar Coupling",POWER(Upgrades!$U$9,H141),1)*IF(Upgrades!$T$10="Stellar Coupling",POWER(Upgrades!$U$10,I141),1)*IF(Upgrades!$T$11="Stellar Coupling",POWER(Upgrades!$U$11,J141),1)*IF(Upgrades!$T$12="Stellar Coupling",POWER(Upgrades!$U$12,K141),1))+(IF(H141=0,0,(Upgrades!$M$9+H141*Upgrades!$N$9)*POWER(Upgrades!$O$9,H141)))*(IF(Upgrades!$T$6="Magnetosphere",POWER(Upgrades!$U$6,E141),1)*IF(Upgrades!$T$7="Magnetosphere",POWER(Upgrades!$U$7,F141),1)*IF(Upgrades!$T$8="Magnetosphere",POWER(Upgrades!$U$8,G141),1)*IF(Upgrades!$T$10="Magnetosphere",POWER(Upgrades!$U$10,I141),1)*IF(Upgrades!$T$11="Magnetosphere",POWER(Upgrades!$U$11,J141),1)*IF(Upgrades!$T$12="Magnetosphere",POWER(Upgrades!$U$12,K141),1))+(IF(I141=0,0,(Upgrades!$M$10+I141*Upgrades!$N$10)*POWER(Upgrades!$O$10,I141)))*(IF(Upgrades!$T$6="Orbital Resonance",POWER(Upgrades!$U$6,E141),1)*IF(Upgrades!$T$7="Orbital Resonance",POWER(Upgrades!$U$7,F141),1)*IF(Upgrades!$T$8="Orbital Resonance",POWER(Upgrades!$U$8,G141),1)*IF(Upgrades!$T$9="Orbital Resonance",POWER(Upgrades!$U$9,H141),1)*IF(Upgrades!$T$11="Orbital Resonance",POWER(Upgrades!$U$11,J141),1)*IF(Upgrades!$T$12="Orbital Resonance",POWER(Upgrades!$U$12,K141),1))+(IF(J141=0,0,(Upgrades!$M$11+J141*Upgrades!$N$11)*POWER(Upgrades!$O$11,J141)))*(IF(Upgrades!$T$6="Heliopause",POWER(Upgrades!$U$6,E141),1)*IF(Upgrades!$T$7="Heliopause",POWER(Upgrades!$U$7,F141),1)*IF(Upgrades!$T$8="Heliopause",POWER(Upgrades!$U$8,G141),1)*IF(Upgrades!$T$9="Heliopause",POWER(Upgrades!$U$9,H141),1)*IF(Upgrades!$T$10="Heliopause",POWER(Upgrades!$U$10,I141),1)*IF(Upgrades!$T$12="Heliopause",POWER(Upgrades!$U$12,K141),1))+(IF(K141=0,0,(Upgrades!$M$12+K141*Upgrades!$N$12)*POWER(Upgrades!$O$12,K141)))*(IF(Upgrades!$T$6="First Photons",POWER(Upgrades!$U$6,E141),1)*IF(Upgrades!$T$7="First Photons",POWER(Upgrades!$U$7,F141),1)*IF(Upgrades!$T$8="First Photons",POWER(Upgrades!$U$8,G141),1)*IF(Upgrades!$T$9="First Photons",POWER(Upgrades!$U$9,H141),1)*IF(Upgrades!$T$10="First Photons",POWER(Upgrades!$U$10,I141),1)*IF(Upgrades!$T$11="First Photons",POWER(Upgrades!$U$11,J141),1)))*POWER(Upgrades!$R$6,E141)*POWER(Upgrades!$R$7,F141)*POWER(Upgrades!$R$8,G141)*POWER(Upgrades!$R$9,H141)*POWER(Upgrades!$R$10,I141)*POWER(Upgrades!$R$11,J141)*POWER(Upgrades!$R$12,K141)</f>
        <v/>
      </c>
      <c r="P141" s="27">
        <f>IF(L141=1,0,M141*Parameters!$B$10/60*Parameters!$B$11*10)</f>
        <v/>
      </c>
      <c r="Q141" s="27">
        <f>IF(L141=1,0,O141*M141*10)</f>
        <v/>
      </c>
      <c r="R141" s="27">
        <f>IF(L141=1,0,N141*10)</f>
        <v/>
      </c>
      <c r="S141" s="27">
        <f>P141+Q141+R141</f>
        <v/>
      </c>
      <c r="T141" s="22">
        <f>C141+S141</f>
        <v/>
      </c>
      <c r="U141" s="33">
        <f>AX141</f>
        <v/>
      </c>
      <c r="V141" s="22">
        <f>IF(U141="",0,IF(U141="transition",0,IF(U141="SW",AG141,IF(U141="AB",AH141,IF(U141="SC",AI141,IF(U141="Mag",AJ141,IF(U141="OR",AK141,IF(U141="HP",AL141,IF(U141="FP",AM141,0)))))))))</f>
        <v/>
      </c>
      <c r="W141" s="27">
        <f>IF(U141="OR",Upgrades!$F$10,IF(U141="HP",Upgrades!$F$11,IF(U141="transition",-Parameters!$B$18,0)))</f>
        <v/>
      </c>
      <c r="X141" s="22">
        <f>T141-V141</f>
        <v/>
      </c>
      <c r="Y141" s="30">
        <f>M141*Parameters!$B$10/60*Parameters!$B$11+O141*M141+N141</f>
        <v/>
      </c>
      <c r="Z141" s="34">
        <f>IF(U141="transition","→ Tier 2 (Stellar Neighborhood)",IF(U141="FP","First Photons — light begins, system quickens",IF(U141="HP","Heliopause acquired",IF(U141="OR","Orbital Resonance — passive multiplier active",IF(AND(AO141=1,L141=0,AN141&lt;&gt;1),"Cohesion ready (waiting on completionist upgrades)","")))))</f>
        <v/>
      </c>
      <c r="AA141" s="27">
        <f>(IF(E141=0,0,(Upgrades!$G$6+E141*Upgrades!$H$6)*POWER(Upgrades!$I$6,E141)))*(IF(Upgrades!$T$7="Solar Wind",POWER(Upgrades!$U$7,F141),1)*IF(Upgrades!$T$8="Solar Wind",POWER(Upgrades!$U$8,G141),1)*IF(Upgrades!$T$9="Solar Wind",POWER(Upgrades!$U$9,H141),1)*IF(Upgrades!$T$10="Solar Wind",POWER(Upgrades!$U$10,I141),1)*IF(Upgrades!$T$11="Solar Wind",POWER(Upgrades!$U$11,J141),1)*IF(Upgrades!$T$12="Solar Wind",POWER(Upgrades!$U$12,K141),1))*POWER(Upgrades!$P$6,E141)*POWER(Upgrades!$P$7,F141)*POWER(Upgrades!$P$8,G141)*POWER(Upgrades!$P$9,H141)*POWER(Upgrades!$P$10,I141)*POWER(Upgrades!$P$11,J141)*POWER(Upgrades!$P$12,K141)*60</f>
        <v/>
      </c>
      <c r="AB141" s="27">
        <f>(IF(F141=0,0,(Upgrades!$G$7+F141*Upgrades!$H$7)*POWER(Upgrades!$I$7,F141)))*(IF(Upgrades!$T$6="Asteroid Belt",POWER(Upgrades!$U$6,E141),1)*IF(Upgrades!$T$8="Asteroid Belt",POWER(Upgrades!$U$8,G141),1)*IF(Upgrades!$T$9="Asteroid Belt",POWER(Upgrades!$U$9,H141),1)*IF(Upgrades!$T$10="Asteroid Belt",POWER(Upgrades!$U$10,I141),1)*IF(Upgrades!$T$11="Asteroid Belt",POWER(Upgrades!$U$11,J141),1)*IF(Upgrades!$T$12="Asteroid Belt",POWER(Upgrades!$U$12,K141),1))*POWER(Upgrades!$P$6,E141)*POWER(Upgrades!$P$7,F141)*POWER(Upgrades!$P$8,G141)*POWER(Upgrades!$P$9,H141)*POWER(Upgrades!$P$10,I141)*POWER(Upgrades!$P$11,J141)*POWER(Upgrades!$P$12,K141)*60</f>
        <v/>
      </c>
      <c r="AC141" s="27">
        <f>(IF(G141=0,0,(Upgrades!$J$8+G141*Upgrades!$K$8)*POWER(Upgrades!$L$8,G141)))*(IF(Upgrades!$T$6="Stellar Coupling",POWER(Upgrades!$U$6,E141),1)*IF(Upgrades!$T$7="Stellar Coupling",POWER(Upgrades!$U$7,F141),1)*IF(Upgrades!$T$9="Stellar Coupling",POWER(Upgrades!$U$9,H141),1)*IF(Upgrades!$T$10="Stellar Coupling",POWER(Upgrades!$U$10,I141),1)*IF(Upgrades!$T$11="Stellar Coupling",POWER(Upgrades!$U$11,J141),1)*IF(Upgrades!$T$12="Stellar Coupling",POWER(Upgrades!$U$12,K141),1))*POWER(Upgrades!$Q$6,E141)*POWER(Upgrades!$Q$7,F141)*POWER(Upgrades!$Q$8,G141)*POWER(Upgrades!$Q$9,H141)*POWER(Upgrades!$Q$10,I141)*POWER(Upgrades!$Q$11,J141)*POWER(Upgrades!$Q$12,K141)*Parameters!$B$10*Parameters!$B$11</f>
        <v/>
      </c>
      <c r="AD141" s="27">
        <f>(IF(H141=0,0,(Upgrades!$G$9+H141*Upgrades!$H$9)*POWER(Upgrades!$I$9,H141)))*(IF(Upgrades!$T$6="Magnetosphere",POWER(Upgrades!$U$6,E141),1)*IF(Upgrades!$T$7="Magnetosphere",POWER(Upgrades!$U$7,F141),1)*IF(Upgrades!$T$8="Magnetosphere",POWER(Upgrades!$U$8,G141),1)*IF(Upgrades!$T$10="Magnetosphere",POWER(Upgrades!$U$10,I141),1)*IF(Upgrades!$T$11="Magnetosphere",POWER(Upgrades!$U$11,J141),1)*IF(Upgrades!$T$12="Magnetosphere",POWER(Upgrades!$U$12,K141),1))*POWER(Upgrades!$P$6,E141)*POWER(Upgrades!$P$7,F141)*POWER(Upgrades!$P$8,G141)*POWER(Upgrades!$P$9,H141)*POWER(Upgrades!$P$10,I141)*POWER(Upgrades!$P$11,J141)*POWER(Upgrades!$P$12,K141)*60</f>
        <v/>
      </c>
      <c r="AE141" s="27">
        <f>(IF(K141=0,0,(Upgrades!$G$12+K141*Upgrades!$H$12)*POWER(Upgrades!$I$12,K141)))*(IF(Upgrades!$T$6="First Photons",POWER(Upgrades!$U$6,E141),1)*IF(Upgrades!$T$7="First Photons",POWER(Upgrades!$U$7,F141),1)*IF(Upgrades!$T$8="First Photons",POWER(Upgrades!$U$8,G141),1)*IF(Upgrades!$T$9="First Photons",POWER(Upgrades!$U$9,H141),1)*IF(Upgrades!$T$10="First Photons",POWER(Upgrades!$U$10,I141),1)*IF(Upgrades!$T$11="First Photons",POWER(Upgrades!$U$11,J141),1))*POWER(Upgrades!$P$6,E141)*POWER(Upgrades!$P$7,F141)*POWER(Upgrades!$P$8,G141)*POWER(Upgrades!$P$9,H141)*POWER(Upgrades!$P$10,I141)*POWER(Upgrades!$P$11,J141)*POWER(Upgrades!$P$12,K141)*60</f>
        <v/>
      </c>
      <c r="AF141" s="27">
        <f>Parameters!$B$9*POWER(Upgrades!$Q$6,E141)*POWER(Upgrades!$Q$7,F141)*POWER(Upgrades!$Q$8,G141)*POWER(Upgrades!$Q$9,H141)*POWER(Upgrades!$Q$10,I141)*POWER(Upgrades!$Q$11,J141)*POWER(Upgrades!$Q$12,K141)*(Parameters!$B$10*Parameters!$B$11+O141*60)</f>
        <v/>
      </c>
      <c r="AG141" s="22">
        <f>IF(E141&gt;=Upgrades!$E$6,"",Upgrades!$C$6*POWER(Upgrades!$D$6,E141))</f>
        <v/>
      </c>
      <c r="AH141" s="22">
        <f>IF(F141&gt;=Upgrades!$E$7,"",Upgrades!$C$7*POWER(Upgrades!$D$7,F141))</f>
        <v/>
      </c>
      <c r="AI141" s="22">
        <f>IF(G141&gt;=Upgrades!$E$8,"",Upgrades!$C$8*POWER(Upgrades!$D$8,G141))</f>
        <v/>
      </c>
      <c r="AJ141" s="22">
        <f>IF(H141&gt;=Upgrades!$E$9,"",Upgrades!$C$9*POWER(Upgrades!$D$9,H141))</f>
        <v/>
      </c>
      <c r="AK141" s="22">
        <f>IF(I141&gt;=Upgrades!$E$10,"",Upgrades!$C$10*POWER(Upgrades!$D$10,I141))</f>
        <v/>
      </c>
      <c r="AL141" s="22">
        <f>IF(J141&gt;=Upgrades!$E$11,"",Upgrades!$C$11*POWER(Upgrades!$D$11,J141))</f>
        <v/>
      </c>
      <c r="AM141" s="22">
        <f>IF(K141&gt;=Upgrades!$E$12,"",Upgrades!$C$12*POWER(Upgrades!$D$12,K141))</f>
        <v/>
      </c>
      <c r="AN141" s="26">
        <f>IF(AND(D141&gt;=Parameters!$B$18,(H141&gt;=Upgrades!$E$9)*(K141&gt;=Upgrades!$E$12)=1,L141=0),1,"")</f>
        <v/>
      </c>
      <c r="AO141" s="26">
        <f>IF(AND(D141&gt;=Parameters!$B$18,L141=0),1,"")</f>
        <v/>
      </c>
      <c r="AP141" s="22">
        <f>MIN(IF(ISNUMBER(AK141),AK141,9E15),IF(ISNUMBER(AL141),AL141,9E15),IF(ISNUMBER(AM141),AM141,9E15))</f>
        <v/>
      </c>
      <c r="AQ141" s="22">
        <f>MIN(IF(ISNUMBER(AG141),AG141,9E15),IF(ISNUMBER(AH141),AH141,9E15),IF(ISNUMBER(AI141),AI141,9E15),IF(ISNUMBER(AJ141),AJ141,9E15))</f>
        <v/>
      </c>
      <c r="AR141" s="29">
        <f>IF(AW141&gt;Parameters!$B$21*(MAX(IF(AND(NOT(AND(AO141=1,AN141&lt;&gt;1)),ISNUMBER(AG141),AG141&lt;=T141),AS141,0),IF(AND(NOT(AND(AO141=1,AN141&lt;&gt;1)),ISNUMBER(AH141),AH141&lt;=T141),AT141,0),IF(AND(NOT(AND(AO141=1,AN141&lt;&gt;1)),ISNUMBER(AI141),AI141&lt;=T141),AU141,0),IF(AND(ISNUMBER(AJ141),AJ141&lt;=T141),AV141,0))),TRUE,FALSE)</f>
        <v/>
      </c>
      <c r="AS141" s="32">
        <f>IFERROR(Upgrades!$H$6*(POWER(Upgrades!$P$6,E141)*POWER(Upgrades!$P$7,F141)*POWER(Upgrades!$P$8,G141)*POWER(Upgrades!$P$9,H141)*POWER(Upgrades!$P$10,I141)*POWER(Upgrades!$P$11,J141)*POWER(Upgrades!$P$12,K141))*(IF(Upgrades!$T$7="Solar Wind",POWER(Upgrades!$U$7,F141),1)*IF(Upgrades!$T$8="Solar Wind",POWER(Upgrades!$U$8,G141),1)*IF(Upgrades!$T$9="Solar Wind",POWER(Upgrades!$U$9,H141),1)*IF(Upgrades!$T$10="Solar Wind",POWER(Upgrades!$U$10,I141),1)*IF(Upgrades!$T$11="Solar Wind",POWER(Upgrades!$U$11,J141),1)*IF(Upgrades!$T$12="Solar Wind",POWER(Upgrades!$U$12,K141),1))/AG141,0)</f>
        <v/>
      </c>
      <c r="AT141" s="32">
        <f>IFERROR(Upgrades!$H$7*(POWER(Upgrades!$P$6,E141)*POWER(Upgrades!$P$7,F141)*POWER(Upgrades!$P$8,G141)*POWER(Upgrades!$P$9,H141)*POWER(Upgrades!$P$10,I141)*POWER(Upgrades!$P$11,J141)*POWER(Upgrades!$P$12,K141))*(IF(Upgrades!$T$6="Asteroid Belt",POWER(Upgrades!$U$6,E141),1)*IF(Upgrades!$T$8="Asteroid Belt",POWER(Upgrades!$U$8,G141),1)*IF(Upgrades!$T$9="Asteroid Belt",POWER(Upgrades!$U$9,H141),1)*IF(Upgrades!$T$10="Asteroid Belt",POWER(Upgrades!$U$10,I141),1)*IF(Upgrades!$T$11="Asteroid Belt",POWER(Upgrades!$U$11,J141),1)*IF(Upgrades!$T$12="Asteroid Belt",POWER(Upgrades!$U$12,K141),1))/AH141,0)</f>
        <v/>
      </c>
      <c r="AU141" s="32">
        <f>IFERROR(Upgrades!$K$8*(POWER(Upgrades!$Q$6,E141)*POWER(Upgrades!$Q$7,F141)*POWER(Upgrades!$Q$8,G141)*POWER(Upgrades!$Q$9,H141)*POWER(Upgrades!$Q$10,I141)*POWER(Upgrades!$Q$11,J141)*POWER(Upgrades!$Q$12,K141))*(IF(Upgrades!$T$6="Stellar Coupling",POWER(Upgrades!$U$6,E141),1)*IF(Upgrades!$T$7="Stellar Coupling",POWER(Upgrades!$U$7,F141),1)*IF(Upgrades!$T$9="Stellar Coupling",POWER(Upgrades!$U$9,H141),1)*IF(Upgrades!$T$10="Stellar Coupling",POWER(Upgrades!$U$10,I141),1)*IF(Upgrades!$T$11="Stellar Coupling",POWER(Upgrades!$U$11,J141),1)*IF(Upgrades!$T$12="Stellar Coupling",POWER(Upgrades!$U$12,K141),1))*Parameters!$B$10*Parameters!$B$11/60/AI141,0)</f>
        <v/>
      </c>
      <c r="AV141" s="32">
        <f>IFERROR(Upgrades!$H$9*(POWER(Upgrades!$P$6,E141)*POWER(Upgrades!$P$7,F141)*POWER(Upgrades!$P$8,G141)*POWER(Upgrades!$P$9,H141)*POWER(Upgrades!$P$10,I141)*POWER(Upgrades!$P$11,J141)*POWER(Upgrades!$P$12,K141))*(IF(Upgrades!$T$6="Magnetosphere",POWER(Upgrades!$U$6,E141),1)*IF(Upgrades!$T$7="Magnetosphere",POWER(Upgrades!$U$7,F141),1)*IF(Upgrades!$T$8="Magnetosphere",POWER(Upgrades!$U$8,G141),1)*IF(Upgrades!$T$10="Magnetosphere",POWER(Upgrades!$U$10,I141),1)*IF(Upgrades!$T$11="Magnetosphere",POWER(Upgrades!$U$11,J141),1)*IF(Upgrades!$T$12="Magnetosphere",POWER(Upgrades!$U$12,K141),1))/AJ141,0)</f>
        <v/>
      </c>
      <c r="AW141" s="32">
        <f>MAX(IF(I141&gt;0,0,IFERROR(0.25*N141/Upgrades!$C$10,0)),IF(J141&gt;0,0,IFERROR(0.5*((IF(G141=0,0,(Upgrades!$J$8+G141*Upgrades!$K$8)*POWER(Upgrades!$L$8,G141)))*(IF(Upgrades!$T$6="Stellar Coupling",POWER(Upgrades!$U$6,E141),1)*IF(Upgrades!$T$7="Stellar Coupling",POWER(Upgrades!$U$7,F141),1)*IF(Upgrades!$T$9="Stellar Coupling",POWER(Upgrades!$U$9,H141),1)*IF(Upgrades!$T$10="Stellar Coupling",POWER(Upgrades!$U$10,I141),1)*IF(Upgrades!$T$11="Stellar Coupling",POWER(Upgrades!$U$11,J141),1)*IF(Upgrades!$T$12="Stellar Coupling",POWER(Upgrades!$U$12,K141),1))*(POWER(Upgrades!$Q$6,E141)*POWER(Upgrades!$Q$7,F141)*POWER(Upgrades!$Q$8,G141)*POWER(Upgrades!$Q$9,H141)*POWER(Upgrades!$Q$10,I141)*POWER(Upgrades!$Q$11,J141)*POWER(Upgrades!$Q$12,K141))*Parameters!$B$10*Parameters!$B$11/60)/Upgrades!$C$11,0)),IF(K141&gt;0,0,IFERROR((1.0*(POWER(Upgrades!$P$6,E141)*POWER(Upgrades!$P$7,F141)*POWER(Upgrades!$P$8,G141)*POWER(Upgrades!$P$9,H141)*POWER(Upgrades!$P$10,I141)*POWER(Upgrades!$P$11,J141)*POWER(Upgrades!$P$12,K141))+0.20*M141*Parameters!$B$10*Parameters!$B$11/60)/Upgrades!$C$12,0)),IF(AND(ISNUMBER(AG141),AG141&gt;T141),AS141,0),IF(AND(ISNUMBER(AH141),AH141&gt;T141),AT141,0),IF(AND(ISNUMBER(AI141),AI141&gt;T141),AU141,0),IF(AND(ISNUMBER(AJ141),AJ141&gt;T141),AV141,0))</f>
        <v/>
      </c>
      <c r="AX141" s="29">
        <f>IF(AN141=1,"transition",IF(MIN(IF(AND(I141=0,ISNUMBER(AK141),AK141&lt;=T141),AK141,9E15),IF(AND(J141=0,ISNUMBER(AL141),AL141&lt;=T141),AL141,9E15),IF(AND(K141=0,ISNUMBER(AM141),AM141&lt;=T141),AM141,9E15))&lt;9E15,IF(AND(AND(I141=0,ISNUMBER(AK141),AK141&lt;=T141),AK141=MIN(IF(AND(I141=0,ISNUMBER(AK141),AK141&lt;=T141),AK141,9E15),IF(AND(J141=0,ISNUMBER(AL141),AL141&lt;=T141),AL141,9E15),IF(AND(K141=0,ISNUMBER(AM141),AM141&lt;=T141),AM141,9E15))),"OR",IF(AND(AND(J141=0,ISNUMBER(AL141),AL141&lt;=T141),AL141=MIN(IF(AND(I141=0,ISNUMBER(AK141),AK141&lt;=T141),AK141,9E15),IF(AND(J141=0,ISNUMBER(AL141),AL141&lt;=T141),AL141,9E15),IF(AND(K141=0,ISNUMBER(AM141),AM141&lt;=T141),AM141,9E15))),"HP","FP")),IF(AR141=TRUE,"",IF(MAX(IF(AND(NOT(AND(AO141=1,AN141&lt;&gt;1)),ISNUMBER(AG141),AG141&lt;=T141),AS141,0),IF(AND(NOT(AND(AO141=1,AN141&lt;&gt;1)),ISNUMBER(AH141),AH141&lt;=T141),AT141,0),IF(AND(NOT(AND(AO141=1,AN141&lt;&gt;1)),ISNUMBER(AI141),AI141&lt;=T141),AU141,0),IF(AND(ISNUMBER(AJ141),AJ141&lt;=T141),AV141,0))&lt;=0,"",IF(AND(IF(AND(NOT(AND(AO141=1,AN141&lt;&gt;1)),ISNUMBER(AG141),AG141&lt;=T141),AS141,0)&gt;0,IF(AND(NOT(AND(AO141=1,AN141&lt;&gt;1)),ISNUMBER(AG141),AG141&lt;=T141),AS141,0)=MAX(IF(AND(NOT(AND(AO141=1,AN141&lt;&gt;1)),ISNUMBER(AG141),AG141&lt;=T141),AS141,0),IF(AND(NOT(AND(AO141=1,AN141&lt;&gt;1)),ISNUMBER(AH141),AH141&lt;=T141),AT141,0),IF(AND(NOT(AND(AO141=1,AN141&lt;&gt;1)),ISNUMBER(AI141),AI141&lt;=T141),AU141,0),IF(AND(ISNUMBER(AJ141),AJ141&lt;=T141),AV141,0))),"SW",IF(AND(IF(AND(NOT(AND(AO141=1,AN141&lt;&gt;1)),ISNUMBER(AH141),AH141&lt;=T141),AT141,0)&gt;0,IF(AND(NOT(AND(AO141=1,AN141&lt;&gt;1)),ISNUMBER(AH141),AH141&lt;=T141),AT141,0)=MAX(IF(AND(NOT(AND(AO141=1,AN141&lt;&gt;1)),ISNUMBER(AG141),AG141&lt;=T141),AS141,0),IF(AND(NOT(AND(AO141=1,AN141&lt;&gt;1)),ISNUMBER(AH141),AH141&lt;=T141),AT141,0),IF(AND(NOT(AND(AO141=1,AN141&lt;&gt;1)),ISNUMBER(AI141),AI141&lt;=T141),AU141,0),IF(AND(ISNUMBER(AJ141),AJ141&lt;=T141),AV141,0))),"AB",IF(AND(IF(AND(NOT(AND(AO141=1,AN141&lt;&gt;1)),ISNUMBER(AI141),AI141&lt;=T141),AU141,0)&gt;0,IF(AND(NOT(AND(AO141=1,AN141&lt;&gt;1)),ISNUMBER(AI141),AI141&lt;=T141),AU141,0)=MAX(IF(AND(NOT(AND(AO141=1,AN141&lt;&gt;1)),ISNUMBER(AG141),AG141&lt;=T141),AS141,0),IF(AND(NOT(AND(AO141=1,AN141&lt;&gt;1)),ISNUMBER(AH141),AH141&lt;=T141),AT141,0),IF(AND(NOT(AND(AO141=1,AN141&lt;&gt;1)),ISNUMBER(AI141),AI141&lt;=T141),AU141,0),IF(AND(ISNUMBER(AJ141),AJ141&lt;=T141),AV141,0))),"SC","Mag")))))))</f>
        <v/>
      </c>
    </row>
    <row r="142">
      <c r="A142" s="26" t="n">
        <v>137</v>
      </c>
      <c r="B142" s="27">
        <f>A142*10/60</f>
        <v/>
      </c>
      <c r="C142" s="22">
        <f>X141</f>
        <v/>
      </c>
      <c r="D142" s="27">
        <f>D141+W141</f>
        <v/>
      </c>
      <c r="E142" s="26">
        <f>E141+IF(U141="SW",1,0)</f>
        <v/>
      </c>
      <c r="F142" s="26">
        <f>F141+IF(U141="AB",1,0)</f>
        <v/>
      </c>
      <c r="G142" s="26">
        <f>G141+IF(U141="SC",1,0)</f>
        <v/>
      </c>
      <c r="H142" s="26">
        <f>H141+IF(U141="Mag",1,0)</f>
        <v/>
      </c>
      <c r="I142" s="26">
        <f>MAX(I141,IF(U141="OR",1,0))</f>
        <v/>
      </c>
      <c r="J142" s="26">
        <f>MAX(J141,IF(U141="HP",1,0))</f>
        <v/>
      </c>
      <c r="K142" s="26">
        <f>MAX(K141,IF(U141="FP",1,0))</f>
        <v/>
      </c>
      <c r="L142" s="26">
        <f>MAX(L141,IF(U141="transition",1,0))</f>
        <v/>
      </c>
      <c r="M142" s="28">
        <f>(Parameters!$B$9+(IF(E142=0,0,(Upgrades!$J$6+E142*Upgrades!$K$6)*POWER(Upgrades!$L$6,E142)))*(IF(Upgrades!$T$7="Solar Wind",POWER(Upgrades!$U$7,F142),1)*IF(Upgrades!$T$8="Solar Wind",POWER(Upgrades!$U$8,G142),1)*IF(Upgrades!$T$9="Solar Wind",POWER(Upgrades!$U$9,H142),1)*IF(Upgrades!$T$10="Solar Wind",POWER(Upgrades!$U$10,I142),1)*IF(Upgrades!$T$11="Solar Wind",POWER(Upgrades!$U$11,J142),1)*IF(Upgrades!$T$12="Solar Wind",POWER(Upgrades!$U$12,K142),1))+(IF(F142=0,0,(Upgrades!$J$7+F142*Upgrades!$K$7)*POWER(Upgrades!$L$7,F142)))*(IF(Upgrades!$T$6="Asteroid Belt",POWER(Upgrades!$U$6,E142),1)*IF(Upgrades!$T$8="Asteroid Belt",POWER(Upgrades!$U$8,G142),1)*IF(Upgrades!$T$9="Asteroid Belt",POWER(Upgrades!$U$9,H142),1)*IF(Upgrades!$T$10="Asteroid Belt",POWER(Upgrades!$U$10,I142),1)*IF(Upgrades!$T$11="Asteroid Belt",POWER(Upgrades!$U$11,J142),1)*IF(Upgrades!$T$12="Asteroid Belt",POWER(Upgrades!$U$12,K142),1))+(IF(G142=0,0,(Upgrades!$J$8+G142*Upgrades!$K$8)*POWER(Upgrades!$L$8,G142)))*(IF(Upgrades!$T$6="Stellar Coupling",POWER(Upgrades!$U$6,E142),1)*IF(Upgrades!$T$7="Stellar Coupling",POWER(Upgrades!$U$7,F142),1)*IF(Upgrades!$T$9="Stellar Coupling",POWER(Upgrades!$U$9,H142),1)*IF(Upgrades!$T$10="Stellar Coupling",POWER(Upgrades!$U$10,I142),1)*IF(Upgrades!$T$11="Stellar Coupling",POWER(Upgrades!$U$11,J142),1)*IF(Upgrades!$T$12="Stellar Coupling",POWER(Upgrades!$U$12,K142),1))+(IF(H142=0,0,(Upgrades!$J$9+H142*Upgrades!$K$9)*POWER(Upgrades!$L$9,H142)))*(IF(Upgrades!$T$6="Magnetosphere",POWER(Upgrades!$U$6,E142),1)*IF(Upgrades!$T$7="Magnetosphere",POWER(Upgrades!$U$7,F142),1)*IF(Upgrades!$T$8="Magnetosphere",POWER(Upgrades!$U$8,G142),1)*IF(Upgrades!$T$10="Magnetosphere",POWER(Upgrades!$U$10,I142),1)*IF(Upgrades!$T$11="Magnetosphere",POWER(Upgrades!$U$11,J142),1)*IF(Upgrades!$T$12="Magnetosphere",POWER(Upgrades!$U$12,K142),1))+(IF(I142=0,0,(Upgrades!$J$10+I142*Upgrades!$K$10)*POWER(Upgrades!$L$10,I142)))*(IF(Upgrades!$T$6="Orbital Resonance",POWER(Upgrades!$U$6,E142),1)*IF(Upgrades!$T$7="Orbital Resonance",POWER(Upgrades!$U$7,F142),1)*IF(Upgrades!$T$8="Orbital Resonance",POWER(Upgrades!$U$8,G142),1)*IF(Upgrades!$T$9="Orbital Resonance",POWER(Upgrades!$U$9,H142),1)*IF(Upgrades!$T$11="Orbital Resonance",POWER(Upgrades!$U$11,J142),1)*IF(Upgrades!$T$12="Orbital Resonance",POWER(Upgrades!$U$12,K142),1))+(IF(J142=0,0,(Upgrades!$J$11+J142*Upgrades!$K$11)*POWER(Upgrades!$L$11,J142)))*(IF(Upgrades!$T$6="Heliopause",POWER(Upgrades!$U$6,E142),1)*IF(Upgrades!$T$7="Heliopause",POWER(Upgrades!$U$7,F142),1)*IF(Upgrades!$T$8="Heliopause",POWER(Upgrades!$U$8,G142),1)*IF(Upgrades!$T$9="Heliopause",POWER(Upgrades!$U$9,H142),1)*IF(Upgrades!$T$10="Heliopause",POWER(Upgrades!$U$10,I142),1)*IF(Upgrades!$T$12="Heliopause",POWER(Upgrades!$U$12,K142),1))+(IF(K142=0,0,(Upgrades!$J$12+K142*Upgrades!$K$12)*POWER(Upgrades!$L$12,K142)))*(IF(Upgrades!$T$6="First Photons",POWER(Upgrades!$U$6,E142),1)*IF(Upgrades!$T$7="First Photons",POWER(Upgrades!$U$7,F142),1)*IF(Upgrades!$T$8="First Photons",POWER(Upgrades!$U$8,G142),1)*IF(Upgrades!$T$9="First Photons",POWER(Upgrades!$U$9,H142),1)*IF(Upgrades!$T$10="First Photons",POWER(Upgrades!$U$10,I142),1)*IF(Upgrades!$T$11="First Photons",POWER(Upgrades!$U$11,J142),1)))*POWER(Upgrades!$Q$6,E142)*POWER(Upgrades!$Q$7,F142)*POWER(Upgrades!$Q$8,G142)*POWER(Upgrades!$Q$9,H142)*POWER(Upgrades!$Q$10,I142)*POWER(Upgrades!$Q$11,J142)*POWER(Upgrades!$Q$12,K142)</f>
        <v/>
      </c>
      <c r="N142" s="28">
        <f>((IF(E142=0,0,(Upgrades!$G$6+E142*Upgrades!$H$6)*POWER(Upgrades!$I$6,E142)))*(IF(Upgrades!$T$7="Solar Wind",POWER(Upgrades!$U$7,F142),1)*IF(Upgrades!$T$8="Solar Wind",POWER(Upgrades!$U$8,G142),1)*IF(Upgrades!$T$9="Solar Wind",POWER(Upgrades!$U$9,H142),1)*IF(Upgrades!$T$10="Solar Wind",POWER(Upgrades!$U$10,I142),1)*IF(Upgrades!$T$11="Solar Wind",POWER(Upgrades!$U$11,J142),1)*IF(Upgrades!$T$12="Solar Wind",POWER(Upgrades!$U$12,K142),1))+(IF(F142=0,0,(Upgrades!$G$7+F142*Upgrades!$H$7)*POWER(Upgrades!$I$7,F142)))*(IF(Upgrades!$T$6="Asteroid Belt",POWER(Upgrades!$U$6,E142),1)*IF(Upgrades!$T$8="Asteroid Belt",POWER(Upgrades!$U$8,G142),1)*IF(Upgrades!$T$9="Asteroid Belt",POWER(Upgrades!$U$9,H142),1)*IF(Upgrades!$T$10="Asteroid Belt",POWER(Upgrades!$U$10,I142),1)*IF(Upgrades!$T$11="Asteroid Belt",POWER(Upgrades!$U$11,J142),1)*IF(Upgrades!$T$12="Asteroid Belt",POWER(Upgrades!$U$12,K142),1))+(IF(G142=0,0,(Upgrades!$G$8+G142*Upgrades!$H$8)*POWER(Upgrades!$I$8,G142)))*(IF(Upgrades!$T$6="Stellar Coupling",POWER(Upgrades!$U$6,E142),1)*IF(Upgrades!$T$7="Stellar Coupling",POWER(Upgrades!$U$7,F142),1)*IF(Upgrades!$T$9="Stellar Coupling",POWER(Upgrades!$U$9,H142),1)*IF(Upgrades!$T$10="Stellar Coupling",POWER(Upgrades!$U$10,I142),1)*IF(Upgrades!$T$11="Stellar Coupling",POWER(Upgrades!$U$11,J142),1)*IF(Upgrades!$T$12="Stellar Coupling",POWER(Upgrades!$U$12,K142),1))+(IF(H142=0,0,(Upgrades!$G$9+H142*Upgrades!$H$9)*POWER(Upgrades!$I$9,H142)))*(IF(Upgrades!$T$6="Magnetosphere",POWER(Upgrades!$U$6,E142),1)*IF(Upgrades!$T$7="Magnetosphere",POWER(Upgrades!$U$7,F142),1)*IF(Upgrades!$T$8="Magnetosphere",POWER(Upgrades!$U$8,G142),1)*IF(Upgrades!$T$10="Magnetosphere",POWER(Upgrades!$U$10,I142),1)*IF(Upgrades!$T$11="Magnetosphere",POWER(Upgrades!$U$11,J142),1)*IF(Upgrades!$T$12="Magnetosphere",POWER(Upgrades!$U$12,K142),1))+(IF(I142=0,0,(Upgrades!$G$10+I142*Upgrades!$H$10)*POWER(Upgrades!$I$10,I142)))*(IF(Upgrades!$T$6="Orbital Resonance",POWER(Upgrades!$U$6,E142),1)*IF(Upgrades!$T$7="Orbital Resonance",POWER(Upgrades!$U$7,F142),1)*IF(Upgrades!$T$8="Orbital Resonance",POWER(Upgrades!$U$8,G142),1)*IF(Upgrades!$T$9="Orbital Resonance",POWER(Upgrades!$U$9,H142),1)*IF(Upgrades!$T$11="Orbital Resonance",POWER(Upgrades!$U$11,J142),1)*IF(Upgrades!$T$12="Orbital Resonance",POWER(Upgrades!$U$12,K142),1))+(IF(J142=0,0,(Upgrades!$G$11+J142*Upgrades!$H$11)*POWER(Upgrades!$I$11,J142)))*(IF(Upgrades!$T$6="Heliopause",POWER(Upgrades!$U$6,E142),1)*IF(Upgrades!$T$7="Heliopause",POWER(Upgrades!$U$7,F142),1)*IF(Upgrades!$T$8="Heliopause",POWER(Upgrades!$U$8,G142),1)*IF(Upgrades!$T$9="Heliopause",POWER(Upgrades!$U$9,H142),1)*IF(Upgrades!$T$10="Heliopause",POWER(Upgrades!$U$10,I142),1)*IF(Upgrades!$T$12="Heliopause",POWER(Upgrades!$U$12,K142),1))+(IF(K142=0,0,(Upgrades!$G$12+K142*Upgrades!$H$12)*POWER(Upgrades!$I$12,K142)))*(IF(Upgrades!$T$6="First Photons",POWER(Upgrades!$U$6,E142),1)*IF(Upgrades!$T$7="First Photons",POWER(Upgrades!$U$7,F142),1)*IF(Upgrades!$T$8="First Photons",POWER(Upgrades!$U$8,G142),1)*IF(Upgrades!$T$9="First Photons",POWER(Upgrades!$U$9,H142),1)*IF(Upgrades!$T$10="First Photons",POWER(Upgrades!$U$10,I142),1)*IF(Upgrades!$T$11="First Photons",POWER(Upgrades!$U$11,J142),1)))*POWER(Upgrades!$P$6,E142)*POWER(Upgrades!$P$7,F142)*POWER(Upgrades!$P$8,G142)*POWER(Upgrades!$P$9,H142)*POWER(Upgrades!$P$10,I142)*POWER(Upgrades!$P$11,J142)*POWER(Upgrades!$P$12,K142)</f>
        <v/>
      </c>
      <c r="O142" s="28">
        <f>((IF(E142=0,0,(Upgrades!$M$6+E142*Upgrades!$N$6)*POWER(Upgrades!$O$6,E142)))*(IF(Upgrades!$T$7="Solar Wind",POWER(Upgrades!$U$7,F142),1)*IF(Upgrades!$T$8="Solar Wind",POWER(Upgrades!$U$8,G142),1)*IF(Upgrades!$T$9="Solar Wind",POWER(Upgrades!$U$9,H142),1)*IF(Upgrades!$T$10="Solar Wind",POWER(Upgrades!$U$10,I142),1)*IF(Upgrades!$T$11="Solar Wind",POWER(Upgrades!$U$11,J142),1)*IF(Upgrades!$T$12="Solar Wind",POWER(Upgrades!$U$12,K142),1))+(IF(F142=0,0,(Upgrades!$M$7+F142*Upgrades!$N$7)*POWER(Upgrades!$O$7,F142)))*(IF(Upgrades!$T$6="Asteroid Belt",POWER(Upgrades!$U$6,E142),1)*IF(Upgrades!$T$8="Asteroid Belt",POWER(Upgrades!$U$8,G142),1)*IF(Upgrades!$T$9="Asteroid Belt",POWER(Upgrades!$U$9,H142),1)*IF(Upgrades!$T$10="Asteroid Belt",POWER(Upgrades!$U$10,I142),1)*IF(Upgrades!$T$11="Asteroid Belt",POWER(Upgrades!$U$11,J142),1)*IF(Upgrades!$T$12="Asteroid Belt",POWER(Upgrades!$U$12,K142),1))+(IF(G142=0,0,(Upgrades!$M$8+G142*Upgrades!$N$8)*POWER(Upgrades!$O$8,G142)))*(IF(Upgrades!$T$6="Stellar Coupling",POWER(Upgrades!$U$6,E142),1)*IF(Upgrades!$T$7="Stellar Coupling",POWER(Upgrades!$U$7,F142),1)*IF(Upgrades!$T$9="Stellar Coupling",POWER(Upgrades!$U$9,H142),1)*IF(Upgrades!$T$10="Stellar Coupling",POWER(Upgrades!$U$10,I142),1)*IF(Upgrades!$T$11="Stellar Coupling",POWER(Upgrades!$U$11,J142),1)*IF(Upgrades!$T$12="Stellar Coupling",POWER(Upgrades!$U$12,K142),1))+(IF(H142=0,0,(Upgrades!$M$9+H142*Upgrades!$N$9)*POWER(Upgrades!$O$9,H142)))*(IF(Upgrades!$T$6="Magnetosphere",POWER(Upgrades!$U$6,E142),1)*IF(Upgrades!$T$7="Magnetosphere",POWER(Upgrades!$U$7,F142),1)*IF(Upgrades!$T$8="Magnetosphere",POWER(Upgrades!$U$8,G142),1)*IF(Upgrades!$T$10="Magnetosphere",POWER(Upgrades!$U$10,I142),1)*IF(Upgrades!$T$11="Magnetosphere",POWER(Upgrades!$U$11,J142),1)*IF(Upgrades!$T$12="Magnetosphere",POWER(Upgrades!$U$12,K142),1))+(IF(I142=0,0,(Upgrades!$M$10+I142*Upgrades!$N$10)*POWER(Upgrades!$O$10,I142)))*(IF(Upgrades!$T$6="Orbital Resonance",POWER(Upgrades!$U$6,E142),1)*IF(Upgrades!$T$7="Orbital Resonance",POWER(Upgrades!$U$7,F142),1)*IF(Upgrades!$T$8="Orbital Resonance",POWER(Upgrades!$U$8,G142),1)*IF(Upgrades!$T$9="Orbital Resonance",POWER(Upgrades!$U$9,H142),1)*IF(Upgrades!$T$11="Orbital Resonance",POWER(Upgrades!$U$11,J142),1)*IF(Upgrades!$T$12="Orbital Resonance",POWER(Upgrades!$U$12,K142),1))+(IF(J142=0,0,(Upgrades!$M$11+J142*Upgrades!$N$11)*POWER(Upgrades!$O$11,J142)))*(IF(Upgrades!$T$6="Heliopause",POWER(Upgrades!$U$6,E142),1)*IF(Upgrades!$T$7="Heliopause",POWER(Upgrades!$U$7,F142),1)*IF(Upgrades!$T$8="Heliopause",POWER(Upgrades!$U$8,G142),1)*IF(Upgrades!$T$9="Heliopause",POWER(Upgrades!$U$9,H142),1)*IF(Upgrades!$T$10="Heliopause",POWER(Upgrades!$U$10,I142),1)*IF(Upgrades!$T$12="Heliopause",POWER(Upgrades!$U$12,K142),1))+(IF(K142=0,0,(Upgrades!$M$12+K142*Upgrades!$N$12)*POWER(Upgrades!$O$12,K142)))*(IF(Upgrades!$T$6="First Photons",POWER(Upgrades!$U$6,E142),1)*IF(Upgrades!$T$7="First Photons",POWER(Upgrades!$U$7,F142),1)*IF(Upgrades!$T$8="First Photons",POWER(Upgrades!$U$8,G142),1)*IF(Upgrades!$T$9="First Photons",POWER(Upgrades!$U$9,H142),1)*IF(Upgrades!$T$10="First Photons",POWER(Upgrades!$U$10,I142),1)*IF(Upgrades!$T$11="First Photons",POWER(Upgrades!$U$11,J142),1)))*POWER(Upgrades!$R$6,E142)*POWER(Upgrades!$R$7,F142)*POWER(Upgrades!$R$8,G142)*POWER(Upgrades!$R$9,H142)*POWER(Upgrades!$R$10,I142)*POWER(Upgrades!$R$11,J142)*POWER(Upgrades!$R$12,K142)</f>
        <v/>
      </c>
      <c r="P142" s="27">
        <f>IF(L142=1,0,M142*Parameters!$B$10/60*Parameters!$B$11*10)</f>
        <v/>
      </c>
      <c r="Q142" s="27">
        <f>IF(L142=1,0,O142*M142*10)</f>
        <v/>
      </c>
      <c r="R142" s="27">
        <f>IF(L142=1,0,N142*10)</f>
        <v/>
      </c>
      <c r="S142" s="27">
        <f>P142+Q142+R142</f>
        <v/>
      </c>
      <c r="T142" s="22">
        <f>C142+S142</f>
        <v/>
      </c>
      <c r="U142" s="33">
        <f>AX142</f>
        <v/>
      </c>
      <c r="V142" s="22">
        <f>IF(U142="",0,IF(U142="transition",0,IF(U142="SW",AG142,IF(U142="AB",AH142,IF(U142="SC",AI142,IF(U142="Mag",AJ142,IF(U142="OR",AK142,IF(U142="HP",AL142,IF(U142="FP",AM142,0)))))))))</f>
        <v/>
      </c>
      <c r="W142" s="27">
        <f>IF(U142="OR",Upgrades!$F$10,IF(U142="HP",Upgrades!$F$11,IF(U142="transition",-Parameters!$B$18,0)))</f>
        <v/>
      </c>
      <c r="X142" s="22">
        <f>T142-V142</f>
        <v/>
      </c>
      <c r="Y142" s="30">
        <f>M142*Parameters!$B$10/60*Parameters!$B$11+O142*M142+N142</f>
        <v/>
      </c>
      <c r="Z142" s="34">
        <f>IF(U142="transition","→ Tier 2 (Stellar Neighborhood)",IF(U142="FP","First Photons — light begins, system quickens",IF(U142="HP","Heliopause acquired",IF(U142="OR","Orbital Resonance — passive multiplier active",IF(AND(AO142=1,L142=0,AN142&lt;&gt;1),"Cohesion ready (waiting on completionist upgrades)","")))))</f>
        <v/>
      </c>
      <c r="AA142" s="27">
        <f>(IF(E142=0,0,(Upgrades!$G$6+E142*Upgrades!$H$6)*POWER(Upgrades!$I$6,E142)))*(IF(Upgrades!$T$7="Solar Wind",POWER(Upgrades!$U$7,F142),1)*IF(Upgrades!$T$8="Solar Wind",POWER(Upgrades!$U$8,G142),1)*IF(Upgrades!$T$9="Solar Wind",POWER(Upgrades!$U$9,H142),1)*IF(Upgrades!$T$10="Solar Wind",POWER(Upgrades!$U$10,I142),1)*IF(Upgrades!$T$11="Solar Wind",POWER(Upgrades!$U$11,J142),1)*IF(Upgrades!$T$12="Solar Wind",POWER(Upgrades!$U$12,K142),1))*POWER(Upgrades!$P$6,E142)*POWER(Upgrades!$P$7,F142)*POWER(Upgrades!$P$8,G142)*POWER(Upgrades!$P$9,H142)*POWER(Upgrades!$P$10,I142)*POWER(Upgrades!$P$11,J142)*POWER(Upgrades!$P$12,K142)*60</f>
        <v/>
      </c>
      <c r="AB142" s="27">
        <f>(IF(F142=0,0,(Upgrades!$G$7+F142*Upgrades!$H$7)*POWER(Upgrades!$I$7,F142)))*(IF(Upgrades!$T$6="Asteroid Belt",POWER(Upgrades!$U$6,E142),1)*IF(Upgrades!$T$8="Asteroid Belt",POWER(Upgrades!$U$8,G142),1)*IF(Upgrades!$T$9="Asteroid Belt",POWER(Upgrades!$U$9,H142),1)*IF(Upgrades!$T$10="Asteroid Belt",POWER(Upgrades!$U$10,I142),1)*IF(Upgrades!$T$11="Asteroid Belt",POWER(Upgrades!$U$11,J142),1)*IF(Upgrades!$T$12="Asteroid Belt",POWER(Upgrades!$U$12,K142),1))*POWER(Upgrades!$P$6,E142)*POWER(Upgrades!$P$7,F142)*POWER(Upgrades!$P$8,G142)*POWER(Upgrades!$P$9,H142)*POWER(Upgrades!$P$10,I142)*POWER(Upgrades!$P$11,J142)*POWER(Upgrades!$P$12,K142)*60</f>
        <v/>
      </c>
      <c r="AC142" s="27">
        <f>(IF(G142=0,0,(Upgrades!$J$8+G142*Upgrades!$K$8)*POWER(Upgrades!$L$8,G142)))*(IF(Upgrades!$T$6="Stellar Coupling",POWER(Upgrades!$U$6,E142),1)*IF(Upgrades!$T$7="Stellar Coupling",POWER(Upgrades!$U$7,F142),1)*IF(Upgrades!$T$9="Stellar Coupling",POWER(Upgrades!$U$9,H142),1)*IF(Upgrades!$T$10="Stellar Coupling",POWER(Upgrades!$U$10,I142),1)*IF(Upgrades!$T$11="Stellar Coupling",POWER(Upgrades!$U$11,J142),1)*IF(Upgrades!$T$12="Stellar Coupling",POWER(Upgrades!$U$12,K142),1))*POWER(Upgrades!$Q$6,E142)*POWER(Upgrades!$Q$7,F142)*POWER(Upgrades!$Q$8,G142)*POWER(Upgrades!$Q$9,H142)*POWER(Upgrades!$Q$10,I142)*POWER(Upgrades!$Q$11,J142)*POWER(Upgrades!$Q$12,K142)*Parameters!$B$10*Parameters!$B$11</f>
        <v/>
      </c>
      <c r="AD142" s="27">
        <f>(IF(H142=0,0,(Upgrades!$G$9+H142*Upgrades!$H$9)*POWER(Upgrades!$I$9,H142)))*(IF(Upgrades!$T$6="Magnetosphere",POWER(Upgrades!$U$6,E142),1)*IF(Upgrades!$T$7="Magnetosphere",POWER(Upgrades!$U$7,F142),1)*IF(Upgrades!$T$8="Magnetosphere",POWER(Upgrades!$U$8,G142),1)*IF(Upgrades!$T$10="Magnetosphere",POWER(Upgrades!$U$10,I142),1)*IF(Upgrades!$T$11="Magnetosphere",POWER(Upgrades!$U$11,J142),1)*IF(Upgrades!$T$12="Magnetosphere",POWER(Upgrades!$U$12,K142),1))*POWER(Upgrades!$P$6,E142)*POWER(Upgrades!$P$7,F142)*POWER(Upgrades!$P$8,G142)*POWER(Upgrades!$P$9,H142)*POWER(Upgrades!$P$10,I142)*POWER(Upgrades!$P$11,J142)*POWER(Upgrades!$P$12,K142)*60</f>
        <v/>
      </c>
      <c r="AE142" s="27">
        <f>(IF(K142=0,0,(Upgrades!$G$12+K142*Upgrades!$H$12)*POWER(Upgrades!$I$12,K142)))*(IF(Upgrades!$T$6="First Photons",POWER(Upgrades!$U$6,E142),1)*IF(Upgrades!$T$7="First Photons",POWER(Upgrades!$U$7,F142),1)*IF(Upgrades!$T$8="First Photons",POWER(Upgrades!$U$8,G142),1)*IF(Upgrades!$T$9="First Photons",POWER(Upgrades!$U$9,H142),1)*IF(Upgrades!$T$10="First Photons",POWER(Upgrades!$U$10,I142),1)*IF(Upgrades!$T$11="First Photons",POWER(Upgrades!$U$11,J142),1))*POWER(Upgrades!$P$6,E142)*POWER(Upgrades!$P$7,F142)*POWER(Upgrades!$P$8,G142)*POWER(Upgrades!$P$9,H142)*POWER(Upgrades!$P$10,I142)*POWER(Upgrades!$P$11,J142)*POWER(Upgrades!$P$12,K142)*60</f>
        <v/>
      </c>
      <c r="AF142" s="27">
        <f>Parameters!$B$9*POWER(Upgrades!$Q$6,E142)*POWER(Upgrades!$Q$7,F142)*POWER(Upgrades!$Q$8,G142)*POWER(Upgrades!$Q$9,H142)*POWER(Upgrades!$Q$10,I142)*POWER(Upgrades!$Q$11,J142)*POWER(Upgrades!$Q$12,K142)*(Parameters!$B$10*Parameters!$B$11+O142*60)</f>
        <v/>
      </c>
      <c r="AG142" s="22">
        <f>IF(E142&gt;=Upgrades!$E$6,"",Upgrades!$C$6*POWER(Upgrades!$D$6,E142))</f>
        <v/>
      </c>
      <c r="AH142" s="22">
        <f>IF(F142&gt;=Upgrades!$E$7,"",Upgrades!$C$7*POWER(Upgrades!$D$7,F142))</f>
        <v/>
      </c>
      <c r="AI142" s="22">
        <f>IF(G142&gt;=Upgrades!$E$8,"",Upgrades!$C$8*POWER(Upgrades!$D$8,G142))</f>
        <v/>
      </c>
      <c r="AJ142" s="22">
        <f>IF(H142&gt;=Upgrades!$E$9,"",Upgrades!$C$9*POWER(Upgrades!$D$9,H142))</f>
        <v/>
      </c>
      <c r="AK142" s="22">
        <f>IF(I142&gt;=Upgrades!$E$10,"",Upgrades!$C$10*POWER(Upgrades!$D$10,I142))</f>
        <v/>
      </c>
      <c r="AL142" s="22">
        <f>IF(J142&gt;=Upgrades!$E$11,"",Upgrades!$C$11*POWER(Upgrades!$D$11,J142))</f>
        <v/>
      </c>
      <c r="AM142" s="22">
        <f>IF(K142&gt;=Upgrades!$E$12,"",Upgrades!$C$12*POWER(Upgrades!$D$12,K142))</f>
        <v/>
      </c>
      <c r="AN142" s="26">
        <f>IF(AND(D142&gt;=Parameters!$B$18,(H142&gt;=Upgrades!$E$9)*(K142&gt;=Upgrades!$E$12)=1,L142=0),1,"")</f>
        <v/>
      </c>
      <c r="AO142" s="26">
        <f>IF(AND(D142&gt;=Parameters!$B$18,L142=0),1,"")</f>
        <v/>
      </c>
      <c r="AP142" s="22">
        <f>MIN(IF(ISNUMBER(AK142),AK142,9E15),IF(ISNUMBER(AL142),AL142,9E15),IF(ISNUMBER(AM142),AM142,9E15))</f>
        <v/>
      </c>
      <c r="AQ142" s="22">
        <f>MIN(IF(ISNUMBER(AG142),AG142,9E15),IF(ISNUMBER(AH142),AH142,9E15),IF(ISNUMBER(AI142),AI142,9E15),IF(ISNUMBER(AJ142),AJ142,9E15))</f>
        <v/>
      </c>
      <c r="AR142" s="29">
        <f>IF(AW142&gt;Parameters!$B$21*(MAX(IF(AND(NOT(AND(AO142=1,AN142&lt;&gt;1)),ISNUMBER(AG142),AG142&lt;=T142),AS142,0),IF(AND(NOT(AND(AO142=1,AN142&lt;&gt;1)),ISNUMBER(AH142),AH142&lt;=T142),AT142,0),IF(AND(NOT(AND(AO142=1,AN142&lt;&gt;1)),ISNUMBER(AI142),AI142&lt;=T142),AU142,0),IF(AND(ISNUMBER(AJ142),AJ142&lt;=T142),AV142,0))),TRUE,FALSE)</f>
        <v/>
      </c>
      <c r="AS142" s="32">
        <f>IFERROR(Upgrades!$H$6*(POWER(Upgrades!$P$6,E142)*POWER(Upgrades!$P$7,F142)*POWER(Upgrades!$P$8,G142)*POWER(Upgrades!$P$9,H142)*POWER(Upgrades!$P$10,I142)*POWER(Upgrades!$P$11,J142)*POWER(Upgrades!$P$12,K142))*(IF(Upgrades!$T$7="Solar Wind",POWER(Upgrades!$U$7,F142),1)*IF(Upgrades!$T$8="Solar Wind",POWER(Upgrades!$U$8,G142),1)*IF(Upgrades!$T$9="Solar Wind",POWER(Upgrades!$U$9,H142),1)*IF(Upgrades!$T$10="Solar Wind",POWER(Upgrades!$U$10,I142),1)*IF(Upgrades!$T$11="Solar Wind",POWER(Upgrades!$U$11,J142),1)*IF(Upgrades!$T$12="Solar Wind",POWER(Upgrades!$U$12,K142),1))/AG142,0)</f>
        <v/>
      </c>
      <c r="AT142" s="32">
        <f>IFERROR(Upgrades!$H$7*(POWER(Upgrades!$P$6,E142)*POWER(Upgrades!$P$7,F142)*POWER(Upgrades!$P$8,G142)*POWER(Upgrades!$P$9,H142)*POWER(Upgrades!$P$10,I142)*POWER(Upgrades!$P$11,J142)*POWER(Upgrades!$P$12,K142))*(IF(Upgrades!$T$6="Asteroid Belt",POWER(Upgrades!$U$6,E142),1)*IF(Upgrades!$T$8="Asteroid Belt",POWER(Upgrades!$U$8,G142),1)*IF(Upgrades!$T$9="Asteroid Belt",POWER(Upgrades!$U$9,H142),1)*IF(Upgrades!$T$10="Asteroid Belt",POWER(Upgrades!$U$10,I142),1)*IF(Upgrades!$T$11="Asteroid Belt",POWER(Upgrades!$U$11,J142),1)*IF(Upgrades!$T$12="Asteroid Belt",POWER(Upgrades!$U$12,K142),1))/AH142,0)</f>
        <v/>
      </c>
      <c r="AU142" s="32">
        <f>IFERROR(Upgrades!$K$8*(POWER(Upgrades!$Q$6,E142)*POWER(Upgrades!$Q$7,F142)*POWER(Upgrades!$Q$8,G142)*POWER(Upgrades!$Q$9,H142)*POWER(Upgrades!$Q$10,I142)*POWER(Upgrades!$Q$11,J142)*POWER(Upgrades!$Q$12,K142))*(IF(Upgrades!$T$6="Stellar Coupling",POWER(Upgrades!$U$6,E142),1)*IF(Upgrades!$T$7="Stellar Coupling",POWER(Upgrades!$U$7,F142),1)*IF(Upgrades!$T$9="Stellar Coupling",POWER(Upgrades!$U$9,H142),1)*IF(Upgrades!$T$10="Stellar Coupling",POWER(Upgrades!$U$10,I142),1)*IF(Upgrades!$T$11="Stellar Coupling",POWER(Upgrades!$U$11,J142),1)*IF(Upgrades!$T$12="Stellar Coupling",POWER(Upgrades!$U$12,K142),1))*Parameters!$B$10*Parameters!$B$11/60/AI142,0)</f>
        <v/>
      </c>
      <c r="AV142" s="32">
        <f>IFERROR(Upgrades!$H$9*(POWER(Upgrades!$P$6,E142)*POWER(Upgrades!$P$7,F142)*POWER(Upgrades!$P$8,G142)*POWER(Upgrades!$P$9,H142)*POWER(Upgrades!$P$10,I142)*POWER(Upgrades!$P$11,J142)*POWER(Upgrades!$P$12,K142))*(IF(Upgrades!$T$6="Magnetosphere",POWER(Upgrades!$U$6,E142),1)*IF(Upgrades!$T$7="Magnetosphere",POWER(Upgrades!$U$7,F142),1)*IF(Upgrades!$T$8="Magnetosphere",POWER(Upgrades!$U$8,G142),1)*IF(Upgrades!$T$10="Magnetosphere",POWER(Upgrades!$U$10,I142),1)*IF(Upgrades!$T$11="Magnetosphere",POWER(Upgrades!$U$11,J142),1)*IF(Upgrades!$T$12="Magnetosphere",POWER(Upgrades!$U$12,K142),1))/AJ142,0)</f>
        <v/>
      </c>
      <c r="AW142" s="32">
        <f>MAX(IF(I142&gt;0,0,IFERROR(0.25*N142/Upgrades!$C$10,0)),IF(J142&gt;0,0,IFERROR(0.5*((IF(G142=0,0,(Upgrades!$J$8+G142*Upgrades!$K$8)*POWER(Upgrades!$L$8,G142)))*(IF(Upgrades!$T$6="Stellar Coupling",POWER(Upgrades!$U$6,E142),1)*IF(Upgrades!$T$7="Stellar Coupling",POWER(Upgrades!$U$7,F142),1)*IF(Upgrades!$T$9="Stellar Coupling",POWER(Upgrades!$U$9,H142),1)*IF(Upgrades!$T$10="Stellar Coupling",POWER(Upgrades!$U$10,I142),1)*IF(Upgrades!$T$11="Stellar Coupling",POWER(Upgrades!$U$11,J142),1)*IF(Upgrades!$T$12="Stellar Coupling",POWER(Upgrades!$U$12,K142),1))*(POWER(Upgrades!$Q$6,E142)*POWER(Upgrades!$Q$7,F142)*POWER(Upgrades!$Q$8,G142)*POWER(Upgrades!$Q$9,H142)*POWER(Upgrades!$Q$10,I142)*POWER(Upgrades!$Q$11,J142)*POWER(Upgrades!$Q$12,K142))*Parameters!$B$10*Parameters!$B$11/60)/Upgrades!$C$11,0)),IF(K142&gt;0,0,IFERROR((1.0*(POWER(Upgrades!$P$6,E142)*POWER(Upgrades!$P$7,F142)*POWER(Upgrades!$P$8,G142)*POWER(Upgrades!$P$9,H142)*POWER(Upgrades!$P$10,I142)*POWER(Upgrades!$P$11,J142)*POWER(Upgrades!$P$12,K142))+0.20*M142*Parameters!$B$10*Parameters!$B$11/60)/Upgrades!$C$12,0)),IF(AND(ISNUMBER(AG142),AG142&gt;T142),AS142,0),IF(AND(ISNUMBER(AH142),AH142&gt;T142),AT142,0),IF(AND(ISNUMBER(AI142),AI142&gt;T142),AU142,0),IF(AND(ISNUMBER(AJ142),AJ142&gt;T142),AV142,0))</f>
        <v/>
      </c>
      <c r="AX142" s="29">
        <f>IF(AN142=1,"transition",IF(MIN(IF(AND(I142=0,ISNUMBER(AK142),AK142&lt;=T142),AK142,9E15),IF(AND(J142=0,ISNUMBER(AL142),AL142&lt;=T142),AL142,9E15),IF(AND(K142=0,ISNUMBER(AM142),AM142&lt;=T142),AM142,9E15))&lt;9E15,IF(AND(AND(I142=0,ISNUMBER(AK142),AK142&lt;=T142),AK142=MIN(IF(AND(I142=0,ISNUMBER(AK142),AK142&lt;=T142),AK142,9E15),IF(AND(J142=0,ISNUMBER(AL142),AL142&lt;=T142),AL142,9E15),IF(AND(K142=0,ISNUMBER(AM142),AM142&lt;=T142),AM142,9E15))),"OR",IF(AND(AND(J142=0,ISNUMBER(AL142),AL142&lt;=T142),AL142=MIN(IF(AND(I142=0,ISNUMBER(AK142),AK142&lt;=T142),AK142,9E15),IF(AND(J142=0,ISNUMBER(AL142),AL142&lt;=T142),AL142,9E15),IF(AND(K142=0,ISNUMBER(AM142),AM142&lt;=T142),AM142,9E15))),"HP","FP")),IF(AR142=TRUE,"",IF(MAX(IF(AND(NOT(AND(AO142=1,AN142&lt;&gt;1)),ISNUMBER(AG142),AG142&lt;=T142),AS142,0),IF(AND(NOT(AND(AO142=1,AN142&lt;&gt;1)),ISNUMBER(AH142),AH142&lt;=T142),AT142,0),IF(AND(NOT(AND(AO142=1,AN142&lt;&gt;1)),ISNUMBER(AI142),AI142&lt;=T142),AU142,0),IF(AND(ISNUMBER(AJ142),AJ142&lt;=T142),AV142,0))&lt;=0,"",IF(AND(IF(AND(NOT(AND(AO142=1,AN142&lt;&gt;1)),ISNUMBER(AG142),AG142&lt;=T142),AS142,0)&gt;0,IF(AND(NOT(AND(AO142=1,AN142&lt;&gt;1)),ISNUMBER(AG142),AG142&lt;=T142),AS142,0)=MAX(IF(AND(NOT(AND(AO142=1,AN142&lt;&gt;1)),ISNUMBER(AG142),AG142&lt;=T142),AS142,0),IF(AND(NOT(AND(AO142=1,AN142&lt;&gt;1)),ISNUMBER(AH142),AH142&lt;=T142),AT142,0),IF(AND(NOT(AND(AO142=1,AN142&lt;&gt;1)),ISNUMBER(AI142),AI142&lt;=T142),AU142,0),IF(AND(ISNUMBER(AJ142),AJ142&lt;=T142),AV142,0))),"SW",IF(AND(IF(AND(NOT(AND(AO142=1,AN142&lt;&gt;1)),ISNUMBER(AH142),AH142&lt;=T142),AT142,0)&gt;0,IF(AND(NOT(AND(AO142=1,AN142&lt;&gt;1)),ISNUMBER(AH142),AH142&lt;=T142),AT142,0)=MAX(IF(AND(NOT(AND(AO142=1,AN142&lt;&gt;1)),ISNUMBER(AG142),AG142&lt;=T142),AS142,0),IF(AND(NOT(AND(AO142=1,AN142&lt;&gt;1)),ISNUMBER(AH142),AH142&lt;=T142),AT142,0),IF(AND(NOT(AND(AO142=1,AN142&lt;&gt;1)),ISNUMBER(AI142),AI142&lt;=T142),AU142,0),IF(AND(ISNUMBER(AJ142),AJ142&lt;=T142),AV142,0))),"AB",IF(AND(IF(AND(NOT(AND(AO142=1,AN142&lt;&gt;1)),ISNUMBER(AI142),AI142&lt;=T142),AU142,0)&gt;0,IF(AND(NOT(AND(AO142=1,AN142&lt;&gt;1)),ISNUMBER(AI142),AI142&lt;=T142),AU142,0)=MAX(IF(AND(NOT(AND(AO142=1,AN142&lt;&gt;1)),ISNUMBER(AG142),AG142&lt;=T142),AS142,0),IF(AND(NOT(AND(AO142=1,AN142&lt;&gt;1)),ISNUMBER(AH142),AH142&lt;=T142),AT142,0),IF(AND(NOT(AND(AO142=1,AN142&lt;&gt;1)),ISNUMBER(AI142),AI142&lt;=T142),AU142,0),IF(AND(ISNUMBER(AJ142),AJ142&lt;=T142),AV142,0))),"SC","Mag")))))))</f>
        <v/>
      </c>
    </row>
    <row r="143">
      <c r="A143" s="26" t="n">
        <v>138</v>
      </c>
      <c r="B143" s="27">
        <f>A143*10/60</f>
        <v/>
      </c>
      <c r="C143" s="22">
        <f>X142</f>
        <v/>
      </c>
      <c r="D143" s="27">
        <f>D142+W142</f>
        <v/>
      </c>
      <c r="E143" s="26">
        <f>E142+IF(U142="SW",1,0)</f>
        <v/>
      </c>
      <c r="F143" s="26">
        <f>F142+IF(U142="AB",1,0)</f>
        <v/>
      </c>
      <c r="G143" s="26">
        <f>G142+IF(U142="SC",1,0)</f>
        <v/>
      </c>
      <c r="H143" s="26">
        <f>H142+IF(U142="Mag",1,0)</f>
        <v/>
      </c>
      <c r="I143" s="26">
        <f>MAX(I142,IF(U142="OR",1,0))</f>
        <v/>
      </c>
      <c r="J143" s="26">
        <f>MAX(J142,IF(U142="HP",1,0))</f>
        <v/>
      </c>
      <c r="K143" s="26">
        <f>MAX(K142,IF(U142="FP",1,0))</f>
        <v/>
      </c>
      <c r="L143" s="26">
        <f>MAX(L142,IF(U142="transition",1,0))</f>
        <v/>
      </c>
      <c r="M143" s="28">
        <f>(Parameters!$B$9+(IF(E143=0,0,(Upgrades!$J$6+E143*Upgrades!$K$6)*POWER(Upgrades!$L$6,E143)))*(IF(Upgrades!$T$7="Solar Wind",POWER(Upgrades!$U$7,F143),1)*IF(Upgrades!$T$8="Solar Wind",POWER(Upgrades!$U$8,G143),1)*IF(Upgrades!$T$9="Solar Wind",POWER(Upgrades!$U$9,H143),1)*IF(Upgrades!$T$10="Solar Wind",POWER(Upgrades!$U$10,I143),1)*IF(Upgrades!$T$11="Solar Wind",POWER(Upgrades!$U$11,J143),1)*IF(Upgrades!$T$12="Solar Wind",POWER(Upgrades!$U$12,K143),1))+(IF(F143=0,0,(Upgrades!$J$7+F143*Upgrades!$K$7)*POWER(Upgrades!$L$7,F143)))*(IF(Upgrades!$T$6="Asteroid Belt",POWER(Upgrades!$U$6,E143),1)*IF(Upgrades!$T$8="Asteroid Belt",POWER(Upgrades!$U$8,G143),1)*IF(Upgrades!$T$9="Asteroid Belt",POWER(Upgrades!$U$9,H143),1)*IF(Upgrades!$T$10="Asteroid Belt",POWER(Upgrades!$U$10,I143),1)*IF(Upgrades!$T$11="Asteroid Belt",POWER(Upgrades!$U$11,J143),1)*IF(Upgrades!$T$12="Asteroid Belt",POWER(Upgrades!$U$12,K143),1))+(IF(G143=0,0,(Upgrades!$J$8+G143*Upgrades!$K$8)*POWER(Upgrades!$L$8,G143)))*(IF(Upgrades!$T$6="Stellar Coupling",POWER(Upgrades!$U$6,E143),1)*IF(Upgrades!$T$7="Stellar Coupling",POWER(Upgrades!$U$7,F143),1)*IF(Upgrades!$T$9="Stellar Coupling",POWER(Upgrades!$U$9,H143),1)*IF(Upgrades!$T$10="Stellar Coupling",POWER(Upgrades!$U$10,I143),1)*IF(Upgrades!$T$11="Stellar Coupling",POWER(Upgrades!$U$11,J143),1)*IF(Upgrades!$T$12="Stellar Coupling",POWER(Upgrades!$U$12,K143),1))+(IF(H143=0,0,(Upgrades!$J$9+H143*Upgrades!$K$9)*POWER(Upgrades!$L$9,H143)))*(IF(Upgrades!$T$6="Magnetosphere",POWER(Upgrades!$U$6,E143),1)*IF(Upgrades!$T$7="Magnetosphere",POWER(Upgrades!$U$7,F143),1)*IF(Upgrades!$T$8="Magnetosphere",POWER(Upgrades!$U$8,G143),1)*IF(Upgrades!$T$10="Magnetosphere",POWER(Upgrades!$U$10,I143),1)*IF(Upgrades!$T$11="Magnetosphere",POWER(Upgrades!$U$11,J143),1)*IF(Upgrades!$T$12="Magnetosphere",POWER(Upgrades!$U$12,K143),1))+(IF(I143=0,0,(Upgrades!$J$10+I143*Upgrades!$K$10)*POWER(Upgrades!$L$10,I143)))*(IF(Upgrades!$T$6="Orbital Resonance",POWER(Upgrades!$U$6,E143),1)*IF(Upgrades!$T$7="Orbital Resonance",POWER(Upgrades!$U$7,F143),1)*IF(Upgrades!$T$8="Orbital Resonance",POWER(Upgrades!$U$8,G143),1)*IF(Upgrades!$T$9="Orbital Resonance",POWER(Upgrades!$U$9,H143),1)*IF(Upgrades!$T$11="Orbital Resonance",POWER(Upgrades!$U$11,J143),1)*IF(Upgrades!$T$12="Orbital Resonance",POWER(Upgrades!$U$12,K143),1))+(IF(J143=0,0,(Upgrades!$J$11+J143*Upgrades!$K$11)*POWER(Upgrades!$L$11,J143)))*(IF(Upgrades!$T$6="Heliopause",POWER(Upgrades!$U$6,E143),1)*IF(Upgrades!$T$7="Heliopause",POWER(Upgrades!$U$7,F143),1)*IF(Upgrades!$T$8="Heliopause",POWER(Upgrades!$U$8,G143),1)*IF(Upgrades!$T$9="Heliopause",POWER(Upgrades!$U$9,H143),1)*IF(Upgrades!$T$10="Heliopause",POWER(Upgrades!$U$10,I143),1)*IF(Upgrades!$T$12="Heliopause",POWER(Upgrades!$U$12,K143),1))+(IF(K143=0,0,(Upgrades!$J$12+K143*Upgrades!$K$12)*POWER(Upgrades!$L$12,K143)))*(IF(Upgrades!$T$6="First Photons",POWER(Upgrades!$U$6,E143),1)*IF(Upgrades!$T$7="First Photons",POWER(Upgrades!$U$7,F143),1)*IF(Upgrades!$T$8="First Photons",POWER(Upgrades!$U$8,G143),1)*IF(Upgrades!$T$9="First Photons",POWER(Upgrades!$U$9,H143),1)*IF(Upgrades!$T$10="First Photons",POWER(Upgrades!$U$10,I143),1)*IF(Upgrades!$T$11="First Photons",POWER(Upgrades!$U$11,J143),1)))*POWER(Upgrades!$Q$6,E143)*POWER(Upgrades!$Q$7,F143)*POWER(Upgrades!$Q$8,G143)*POWER(Upgrades!$Q$9,H143)*POWER(Upgrades!$Q$10,I143)*POWER(Upgrades!$Q$11,J143)*POWER(Upgrades!$Q$12,K143)</f>
        <v/>
      </c>
      <c r="N143" s="28">
        <f>((IF(E143=0,0,(Upgrades!$G$6+E143*Upgrades!$H$6)*POWER(Upgrades!$I$6,E143)))*(IF(Upgrades!$T$7="Solar Wind",POWER(Upgrades!$U$7,F143),1)*IF(Upgrades!$T$8="Solar Wind",POWER(Upgrades!$U$8,G143),1)*IF(Upgrades!$T$9="Solar Wind",POWER(Upgrades!$U$9,H143),1)*IF(Upgrades!$T$10="Solar Wind",POWER(Upgrades!$U$10,I143),1)*IF(Upgrades!$T$11="Solar Wind",POWER(Upgrades!$U$11,J143),1)*IF(Upgrades!$T$12="Solar Wind",POWER(Upgrades!$U$12,K143),1))+(IF(F143=0,0,(Upgrades!$G$7+F143*Upgrades!$H$7)*POWER(Upgrades!$I$7,F143)))*(IF(Upgrades!$T$6="Asteroid Belt",POWER(Upgrades!$U$6,E143),1)*IF(Upgrades!$T$8="Asteroid Belt",POWER(Upgrades!$U$8,G143),1)*IF(Upgrades!$T$9="Asteroid Belt",POWER(Upgrades!$U$9,H143),1)*IF(Upgrades!$T$10="Asteroid Belt",POWER(Upgrades!$U$10,I143),1)*IF(Upgrades!$T$11="Asteroid Belt",POWER(Upgrades!$U$11,J143),1)*IF(Upgrades!$T$12="Asteroid Belt",POWER(Upgrades!$U$12,K143),1))+(IF(G143=0,0,(Upgrades!$G$8+G143*Upgrades!$H$8)*POWER(Upgrades!$I$8,G143)))*(IF(Upgrades!$T$6="Stellar Coupling",POWER(Upgrades!$U$6,E143),1)*IF(Upgrades!$T$7="Stellar Coupling",POWER(Upgrades!$U$7,F143),1)*IF(Upgrades!$T$9="Stellar Coupling",POWER(Upgrades!$U$9,H143),1)*IF(Upgrades!$T$10="Stellar Coupling",POWER(Upgrades!$U$10,I143),1)*IF(Upgrades!$T$11="Stellar Coupling",POWER(Upgrades!$U$11,J143),1)*IF(Upgrades!$T$12="Stellar Coupling",POWER(Upgrades!$U$12,K143),1))+(IF(H143=0,0,(Upgrades!$G$9+H143*Upgrades!$H$9)*POWER(Upgrades!$I$9,H143)))*(IF(Upgrades!$T$6="Magnetosphere",POWER(Upgrades!$U$6,E143),1)*IF(Upgrades!$T$7="Magnetosphere",POWER(Upgrades!$U$7,F143),1)*IF(Upgrades!$T$8="Magnetosphere",POWER(Upgrades!$U$8,G143),1)*IF(Upgrades!$T$10="Magnetosphere",POWER(Upgrades!$U$10,I143),1)*IF(Upgrades!$T$11="Magnetosphere",POWER(Upgrades!$U$11,J143),1)*IF(Upgrades!$T$12="Magnetosphere",POWER(Upgrades!$U$12,K143),1))+(IF(I143=0,0,(Upgrades!$G$10+I143*Upgrades!$H$10)*POWER(Upgrades!$I$10,I143)))*(IF(Upgrades!$T$6="Orbital Resonance",POWER(Upgrades!$U$6,E143),1)*IF(Upgrades!$T$7="Orbital Resonance",POWER(Upgrades!$U$7,F143),1)*IF(Upgrades!$T$8="Orbital Resonance",POWER(Upgrades!$U$8,G143),1)*IF(Upgrades!$T$9="Orbital Resonance",POWER(Upgrades!$U$9,H143),1)*IF(Upgrades!$T$11="Orbital Resonance",POWER(Upgrades!$U$11,J143),1)*IF(Upgrades!$T$12="Orbital Resonance",POWER(Upgrades!$U$12,K143),1))+(IF(J143=0,0,(Upgrades!$G$11+J143*Upgrades!$H$11)*POWER(Upgrades!$I$11,J143)))*(IF(Upgrades!$T$6="Heliopause",POWER(Upgrades!$U$6,E143),1)*IF(Upgrades!$T$7="Heliopause",POWER(Upgrades!$U$7,F143),1)*IF(Upgrades!$T$8="Heliopause",POWER(Upgrades!$U$8,G143),1)*IF(Upgrades!$T$9="Heliopause",POWER(Upgrades!$U$9,H143),1)*IF(Upgrades!$T$10="Heliopause",POWER(Upgrades!$U$10,I143),1)*IF(Upgrades!$T$12="Heliopause",POWER(Upgrades!$U$12,K143),1))+(IF(K143=0,0,(Upgrades!$G$12+K143*Upgrades!$H$12)*POWER(Upgrades!$I$12,K143)))*(IF(Upgrades!$T$6="First Photons",POWER(Upgrades!$U$6,E143),1)*IF(Upgrades!$T$7="First Photons",POWER(Upgrades!$U$7,F143),1)*IF(Upgrades!$T$8="First Photons",POWER(Upgrades!$U$8,G143),1)*IF(Upgrades!$T$9="First Photons",POWER(Upgrades!$U$9,H143),1)*IF(Upgrades!$T$10="First Photons",POWER(Upgrades!$U$10,I143),1)*IF(Upgrades!$T$11="First Photons",POWER(Upgrades!$U$11,J143),1)))*POWER(Upgrades!$P$6,E143)*POWER(Upgrades!$P$7,F143)*POWER(Upgrades!$P$8,G143)*POWER(Upgrades!$P$9,H143)*POWER(Upgrades!$P$10,I143)*POWER(Upgrades!$P$11,J143)*POWER(Upgrades!$P$12,K143)</f>
        <v/>
      </c>
      <c r="O143" s="28">
        <f>((IF(E143=0,0,(Upgrades!$M$6+E143*Upgrades!$N$6)*POWER(Upgrades!$O$6,E143)))*(IF(Upgrades!$T$7="Solar Wind",POWER(Upgrades!$U$7,F143),1)*IF(Upgrades!$T$8="Solar Wind",POWER(Upgrades!$U$8,G143),1)*IF(Upgrades!$T$9="Solar Wind",POWER(Upgrades!$U$9,H143),1)*IF(Upgrades!$T$10="Solar Wind",POWER(Upgrades!$U$10,I143),1)*IF(Upgrades!$T$11="Solar Wind",POWER(Upgrades!$U$11,J143),1)*IF(Upgrades!$T$12="Solar Wind",POWER(Upgrades!$U$12,K143),1))+(IF(F143=0,0,(Upgrades!$M$7+F143*Upgrades!$N$7)*POWER(Upgrades!$O$7,F143)))*(IF(Upgrades!$T$6="Asteroid Belt",POWER(Upgrades!$U$6,E143),1)*IF(Upgrades!$T$8="Asteroid Belt",POWER(Upgrades!$U$8,G143),1)*IF(Upgrades!$T$9="Asteroid Belt",POWER(Upgrades!$U$9,H143),1)*IF(Upgrades!$T$10="Asteroid Belt",POWER(Upgrades!$U$10,I143),1)*IF(Upgrades!$T$11="Asteroid Belt",POWER(Upgrades!$U$11,J143),1)*IF(Upgrades!$T$12="Asteroid Belt",POWER(Upgrades!$U$12,K143),1))+(IF(G143=0,0,(Upgrades!$M$8+G143*Upgrades!$N$8)*POWER(Upgrades!$O$8,G143)))*(IF(Upgrades!$T$6="Stellar Coupling",POWER(Upgrades!$U$6,E143),1)*IF(Upgrades!$T$7="Stellar Coupling",POWER(Upgrades!$U$7,F143),1)*IF(Upgrades!$T$9="Stellar Coupling",POWER(Upgrades!$U$9,H143),1)*IF(Upgrades!$T$10="Stellar Coupling",POWER(Upgrades!$U$10,I143),1)*IF(Upgrades!$T$11="Stellar Coupling",POWER(Upgrades!$U$11,J143),1)*IF(Upgrades!$T$12="Stellar Coupling",POWER(Upgrades!$U$12,K143),1))+(IF(H143=0,0,(Upgrades!$M$9+H143*Upgrades!$N$9)*POWER(Upgrades!$O$9,H143)))*(IF(Upgrades!$T$6="Magnetosphere",POWER(Upgrades!$U$6,E143),1)*IF(Upgrades!$T$7="Magnetosphere",POWER(Upgrades!$U$7,F143),1)*IF(Upgrades!$T$8="Magnetosphere",POWER(Upgrades!$U$8,G143),1)*IF(Upgrades!$T$10="Magnetosphere",POWER(Upgrades!$U$10,I143),1)*IF(Upgrades!$T$11="Magnetosphere",POWER(Upgrades!$U$11,J143),1)*IF(Upgrades!$T$12="Magnetosphere",POWER(Upgrades!$U$12,K143),1))+(IF(I143=0,0,(Upgrades!$M$10+I143*Upgrades!$N$10)*POWER(Upgrades!$O$10,I143)))*(IF(Upgrades!$T$6="Orbital Resonance",POWER(Upgrades!$U$6,E143),1)*IF(Upgrades!$T$7="Orbital Resonance",POWER(Upgrades!$U$7,F143),1)*IF(Upgrades!$T$8="Orbital Resonance",POWER(Upgrades!$U$8,G143),1)*IF(Upgrades!$T$9="Orbital Resonance",POWER(Upgrades!$U$9,H143),1)*IF(Upgrades!$T$11="Orbital Resonance",POWER(Upgrades!$U$11,J143),1)*IF(Upgrades!$T$12="Orbital Resonance",POWER(Upgrades!$U$12,K143),1))+(IF(J143=0,0,(Upgrades!$M$11+J143*Upgrades!$N$11)*POWER(Upgrades!$O$11,J143)))*(IF(Upgrades!$T$6="Heliopause",POWER(Upgrades!$U$6,E143),1)*IF(Upgrades!$T$7="Heliopause",POWER(Upgrades!$U$7,F143),1)*IF(Upgrades!$T$8="Heliopause",POWER(Upgrades!$U$8,G143),1)*IF(Upgrades!$T$9="Heliopause",POWER(Upgrades!$U$9,H143),1)*IF(Upgrades!$T$10="Heliopause",POWER(Upgrades!$U$10,I143),1)*IF(Upgrades!$T$12="Heliopause",POWER(Upgrades!$U$12,K143),1))+(IF(K143=0,0,(Upgrades!$M$12+K143*Upgrades!$N$12)*POWER(Upgrades!$O$12,K143)))*(IF(Upgrades!$T$6="First Photons",POWER(Upgrades!$U$6,E143),1)*IF(Upgrades!$T$7="First Photons",POWER(Upgrades!$U$7,F143),1)*IF(Upgrades!$T$8="First Photons",POWER(Upgrades!$U$8,G143),1)*IF(Upgrades!$T$9="First Photons",POWER(Upgrades!$U$9,H143),1)*IF(Upgrades!$T$10="First Photons",POWER(Upgrades!$U$10,I143),1)*IF(Upgrades!$T$11="First Photons",POWER(Upgrades!$U$11,J143),1)))*POWER(Upgrades!$R$6,E143)*POWER(Upgrades!$R$7,F143)*POWER(Upgrades!$R$8,G143)*POWER(Upgrades!$R$9,H143)*POWER(Upgrades!$R$10,I143)*POWER(Upgrades!$R$11,J143)*POWER(Upgrades!$R$12,K143)</f>
        <v/>
      </c>
      <c r="P143" s="27">
        <f>IF(L143=1,0,M143*Parameters!$B$10/60*Parameters!$B$11*10)</f>
        <v/>
      </c>
      <c r="Q143" s="27">
        <f>IF(L143=1,0,O143*M143*10)</f>
        <v/>
      </c>
      <c r="R143" s="27">
        <f>IF(L143=1,0,N143*10)</f>
        <v/>
      </c>
      <c r="S143" s="27">
        <f>P143+Q143+R143</f>
        <v/>
      </c>
      <c r="T143" s="22">
        <f>C143+S143</f>
        <v/>
      </c>
      <c r="U143" s="33">
        <f>AX143</f>
        <v/>
      </c>
      <c r="V143" s="22">
        <f>IF(U143="",0,IF(U143="transition",0,IF(U143="SW",AG143,IF(U143="AB",AH143,IF(U143="SC",AI143,IF(U143="Mag",AJ143,IF(U143="OR",AK143,IF(U143="HP",AL143,IF(U143="FP",AM143,0)))))))))</f>
        <v/>
      </c>
      <c r="W143" s="27">
        <f>IF(U143="OR",Upgrades!$F$10,IF(U143="HP",Upgrades!$F$11,IF(U143="transition",-Parameters!$B$18,0)))</f>
        <v/>
      </c>
      <c r="X143" s="22">
        <f>T143-V143</f>
        <v/>
      </c>
      <c r="Y143" s="30">
        <f>M143*Parameters!$B$10/60*Parameters!$B$11+O143*M143+N143</f>
        <v/>
      </c>
      <c r="Z143" s="34">
        <f>IF(U143="transition","→ Tier 2 (Stellar Neighborhood)",IF(U143="FP","First Photons — light begins, system quickens",IF(U143="HP","Heliopause acquired",IF(U143="OR","Orbital Resonance — passive multiplier active",IF(AND(AO143=1,L143=0,AN143&lt;&gt;1),"Cohesion ready (waiting on completionist upgrades)","")))))</f>
        <v/>
      </c>
      <c r="AA143" s="27">
        <f>(IF(E143=0,0,(Upgrades!$G$6+E143*Upgrades!$H$6)*POWER(Upgrades!$I$6,E143)))*(IF(Upgrades!$T$7="Solar Wind",POWER(Upgrades!$U$7,F143),1)*IF(Upgrades!$T$8="Solar Wind",POWER(Upgrades!$U$8,G143),1)*IF(Upgrades!$T$9="Solar Wind",POWER(Upgrades!$U$9,H143),1)*IF(Upgrades!$T$10="Solar Wind",POWER(Upgrades!$U$10,I143),1)*IF(Upgrades!$T$11="Solar Wind",POWER(Upgrades!$U$11,J143),1)*IF(Upgrades!$T$12="Solar Wind",POWER(Upgrades!$U$12,K143),1))*POWER(Upgrades!$P$6,E143)*POWER(Upgrades!$P$7,F143)*POWER(Upgrades!$P$8,G143)*POWER(Upgrades!$P$9,H143)*POWER(Upgrades!$P$10,I143)*POWER(Upgrades!$P$11,J143)*POWER(Upgrades!$P$12,K143)*60</f>
        <v/>
      </c>
      <c r="AB143" s="27">
        <f>(IF(F143=0,0,(Upgrades!$G$7+F143*Upgrades!$H$7)*POWER(Upgrades!$I$7,F143)))*(IF(Upgrades!$T$6="Asteroid Belt",POWER(Upgrades!$U$6,E143),1)*IF(Upgrades!$T$8="Asteroid Belt",POWER(Upgrades!$U$8,G143),1)*IF(Upgrades!$T$9="Asteroid Belt",POWER(Upgrades!$U$9,H143),1)*IF(Upgrades!$T$10="Asteroid Belt",POWER(Upgrades!$U$10,I143),1)*IF(Upgrades!$T$11="Asteroid Belt",POWER(Upgrades!$U$11,J143),1)*IF(Upgrades!$T$12="Asteroid Belt",POWER(Upgrades!$U$12,K143),1))*POWER(Upgrades!$P$6,E143)*POWER(Upgrades!$P$7,F143)*POWER(Upgrades!$P$8,G143)*POWER(Upgrades!$P$9,H143)*POWER(Upgrades!$P$10,I143)*POWER(Upgrades!$P$11,J143)*POWER(Upgrades!$P$12,K143)*60</f>
        <v/>
      </c>
      <c r="AC143" s="27">
        <f>(IF(G143=0,0,(Upgrades!$J$8+G143*Upgrades!$K$8)*POWER(Upgrades!$L$8,G143)))*(IF(Upgrades!$T$6="Stellar Coupling",POWER(Upgrades!$U$6,E143),1)*IF(Upgrades!$T$7="Stellar Coupling",POWER(Upgrades!$U$7,F143),1)*IF(Upgrades!$T$9="Stellar Coupling",POWER(Upgrades!$U$9,H143),1)*IF(Upgrades!$T$10="Stellar Coupling",POWER(Upgrades!$U$10,I143),1)*IF(Upgrades!$T$11="Stellar Coupling",POWER(Upgrades!$U$11,J143),1)*IF(Upgrades!$T$12="Stellar Coupling",POWER(Upgrades!$U$12,K143),1))*POWER(Upgrades!$Q$6,E143)*POWER(Upgrades!$Q$7,F143)*POWER(Upgrades!$Q$8,G143)*POWER(Upgrades!$Q$9,H143)*POWER(Upgrades!$Q$10,I143)*POWER(Upgrades!$Q$11,J143)*POWER(Upgrades!$Q$12,K143)*Parameters!$B$10*Parameters!$B$11</f>
        <v/>
      </c>
      <c r="AD143" s="27">
        <f>(IF(H143=0,0,(Upgrades!$G$9+H143*Upgrades!$H$9)*POWER(Upgrades!$I$9,H143)))*(IF(Upgrades!$T$6="Magnetosphere",POWER(Upgrades!$U$6,E143),1)*IF(Upgrades!$T$7="Magnetosphere",POWER(Upgrades!$U$7,F143),1)*IF(Upgrades!$T$8="Magnetosphere",POWER(Upgrades!$U$8,G143),1)*IF(Upgrades!$T$10="Magnetosphere",POWER(Upgrades!$U$10,I143),1)*IF(Upgrades!$T$11="Magnetosphere",POWER(Upgrades!$U$11,J143),1)*IF(Upgrades!$T$12="Magnetosphere",POWER(Upgrades!$U$12,K143),1))*POWER(Upgrades!$P$6,E143)*POWER(Upgrades!$P$7,F143)*POWER(Upgrades!$P$8,G143)*POWER(Upgrades!$P$9,H143)*POWER(Upgrades!$P$10,I143)*POWER(Upgrades!$P$11,J143)*POWER(Upgrades!$P$12,K143)*60</f>
        <v/>
      </c>
      <c r="AE143" s="27">
        <f>(IF(K143=0,0,(Upgrades!$G$12+K143*Upgrades!$H$12)*POWER(Upgrades!$I$12,K143)))*(IF(Upgrades!$T$6="First Photons",POWER(Upgrades!$U$6,E143),1)*IF(Upgrades!$T$7="First Photons",POWER(Upgrades!$U$7,F143),1)*IF(Upgrades!$T$8="First Photons",POWER(Upgrades!$U$8,G143),1)*IF(Upgrades!$T$9="First Photons",POWER(Upgrades!$U$9,H143),1)*IF(Upgrades!$T$10="First Photons",POWER(Upgrades!$U$10,I143),1)*IF(Upgrades!$T$11="First Photons",POWER(Upgrades!$U$11,J143),1))*POWER(Upgrades!$P$6,E143)*POWER(Upgrades!$P$7,F143)*POWER(Upgrades!$P$8,G143)*POWER(Upgrades!$P$9,H143)*POWER(Upgrades!$P$10,I143)*POWER(Upgrades!$P$11,J143)*POWER(Upgrades!$P$12,K143)*60</f>
        <v/>
      </c>
      <c r="AF143" s="27">
        <f>Parameters!$B$9*POWER(Upgrades!$Q$6,E143)*POWER(Upgrades!$Q$7,F143)*POWER(Upgrades!$Q$8,G143)*POWER(Upgrades!$Q$9,H143)*POWER(Upgrades!$Q$10,I143)*POWER(Upgrades!$Q$11,J143)*POWER(Upgrades!$Q$12,K143)*(Parameters!$B$10*Parameters!$B$11+O143*60)</f>
        <v/>
      </c>
      <c r="AG143" s="22">
        <f>IF(E143&gt;=Upgrades!$E$6,"",Upgrades!$C$6*POWER(Upgrades!$D$6,E143))</f>
        <v/>
      </c>
      <c r="AH143" s="22">
        <f>IF(F143&gt;=Upgrades!$E$7,"",Upgrades!$C$7*POWER(Upgrades!$D$7,F143))</f>
        <v/>
      </c>
      <c r="AI143" s="22">
        <f>IF(G143&gt;=Upgrades!$E$8,"",Upgrades!$C$8*POWER(Upgrades!$D$8,G143))</f>
        <v/>
      </c>
      <c r="AJ143" s="22">
        <f>IF(H143&gt;=Upgrades!$E$9,"",Upgrades!$C$9*POWER(Upgrades!$D$9,H143))</f>
        <v/>
      </c>
      <c r="AK143" s="22">
        <f>IF(I143&gt;=Upgrades!$E$10,"",Upgrades!$C$10*POWER(Upgrades!$D$10,I143))</f>
        <v/>
      </c>
      <c r="AL143" s="22">
        <f>IF(J143&gt;=Upgrades!$E$11,"",Upgrades!$C$11*POWER(Upgrades!$D$11,J143))</f>
        <v/>
      </c>
      <c r="AM143" s="22">
        <f>IF(K143&gt;=Upgrades!$E$12,"",Upgrades!$C$12*POWER(Upgrades!$D$12,K143))</f>
        <v/>
      </c>
      <c r="AN143" s="26">
        <f>IF(AND(D143&gt;=Parameters!$B$18,(H143&gt;=Upgrades!$E$9)*(K143&gt;=Upgrades!$E$12)=1,L143=0),1,"")</f>
        <v/>
      </c>
      <c r="AO143" s="26">
        <f>IF(AND(D143&gt;=Parameters!$B$18,L143=0),1,"")</f>
        <v/>
      </c>
      <c r="AP143" s="22">
        <f>MIN(IF(ISNUMBER(AK143),AK143,9E15),IF(ISNUMBER(AL143),AL143,9E15),IF(ISNUMBER(AM143),AM143,9E15))</f>
        <v/>
      </c>
      <c r="AQ143" s="22">
        <f>MIN(IF(ISNUMBER(AG143),AG143,9E15),IF(ISNUMBER(AH143),AH143,9E15),IF(ISNUMBER(AI143),AI143,9E15),IF(ISNUMBER(AJ143),AJ143,9E15))</f>
        <v/>
      </c>
      <c r="AR143" s="29">
        <f>IF(AW143&gt;Parameters!$B$21*(MAX(IF(AND(NOT(AND(AO143=1,AN143&lt;&gt;1)),ISNUMBER(AG143),AG143&lt;=T143),AS143,0),IF(AND(NOT(AND(AO143=1,AN143&lt;&gt;1)),ISNUMBER(AH143),AH143&lt;=T143),AT143,0),IF(AND(NOT(AND(AO143=1,AN143&lt;&gt;1)),ISNUMBER(AI143),AI143&lt;=T143),AU143,0),IF(AND(ISNUMBER(AJ143),AJ143&lt;=T143),AV143,0))),TRUE,FALSE)</f>
        <v/>
      </c>
      <c r="AS143" s="32">
        <f>IFERROR(Upgrades!$H$6*(POWER(Upgrades!$P$6,E143)*POWER(Upgrades!$P$7,F143)*POWER(Upgrades!$P$8,G143)*POWER(Upgrades!$P$9,H143)*POWER(Upgrades!$P$10,I143)*POWER(Upgrades!$P$11,J143)*POWER(Upgrades!$P$12,K143))*(IF(Upgrades!$T$7="Solar Wind",POWER(Upgrades!$U$7,F143),1)*IF(Upgrades!$T$8="Solar Wind",POWER(Upgrades!$U$8,G143),1)*IF(Upgrades!$T$9="Solar Wind",POWER(Upgrades!$U$9,H143),1)*IF(Upgrades!$T$10="Solar Wind",POWER(Upgrades!$U$10,I143),1)*IF(Upgrades!$T$11="Solar Wind",POWER(Upgrades!$U$11,J143),1)*IF(Upgrades!$T$12="Solar Wind",POWER(Upgrades!$U$12,K143),1))/AG143,0)</f>
        <v/>
      </c>
      <c r="AT143" s="32">
        <f>IFERROR(Upgrades!$H$7*(POWER(Upgrades!$P$6,E143)*POWER(Upgrades!$P$7,F143)*POWER(Upgrades!$P$8,G143)*POWER(Upgrades!$P$9,H143)*POWER(Upgrades!$P$10,I143)*POWER(Upgrades!$P$11,J143)*POWER(Upgrades!$P$12,K143))*(IF(Upgrades!$T$6="Asteroid Belt",POWER(Upgrades!$U$6,E143),1)*IF(Upgrades!$T$8="Asteroid Belt",POWER(Upgrades!$U$8,G143),1)*IF(Upgrades!$T$9="Asteroid Belt",POWER(Upgrades!$U$9,H143),1)*IF(Upgrades!$T$10="Asteroid Belt",POWER(Upgrades!$U$10,I143),1)*IF(Upgrades!$T$11="Asteroid Belt",POWER(Upgrades!$U$11,J143),1)*IF(Upgrades!$T$12="Asteroid Belt",POWER(Upgrades!$U$12,K143),1))/AH143,0)</f>
        <v/>
      </c>
      <c r="AU143" s="32">
        <f>IFERROR(Upgrades!$K$8*(POWER(Upgrades!$Q$6,E143)*POWER(Upgrades!$Q$7,F143)*POWER(Upgrades!$Q$8,G143)*POWER(Upgrades!$Q$9,H143)*POWER(Upgrades!$Q$10,I143)*POWER(Upgrades!$Q$11,J143)*POWER(Upgrades!$Q$12,K143))*(IF(Upgrades!$T$6="Stellar Coupling",POWER(Upgrades!$U$6,E143),1)*IF(Upgrades!$T$7="Stellar Coupling",POWER(Upgrades!$U$7,F143),1)*IF(Upgrades!$T$9="Stellar Coupling",POWER(Upgrades!$U$9,H143),1)*IF(Upgrades!$T$10="Stellar Coupling",POWER(Upgrades!$U$10,I143),1)*IF(Upgrades!$T$11="Stellar Coupling",POWER(Upgrades!$U$11,J143),1)*IF(Upgrades!$T$12="Stellar Coupling",POWER(Upgrades!$U$12,K143),1))*Parameters!$B$10*Parameters!$B$11/60/AI143,0)</f>
        <v/>
      </c>
      <c r="AV143" s="32">
        <f>IFERROR(Upgrades!$H$9*(POWER(Upgrades!$P$6,E143)*POWER(Upgrades!$P$7,F143)*POWER(Upgrades!$P$8,G143)*POWER(Upgrades!$P$9,H143)*POWER(Upgrades!$P$10,I143)*POWER(Upgrades!$P$11,J143)*POWER(Upgrades!$P$12,K143))*(IF(Upgrades!$T$6="Magnetosphere",POWER(Upgrades!$U$6,E143),1)*IF(Upgrades!$T$7="Magnetosphere",POWER(Upgrades!$U$7,F143),1)*IF(Upgrades!$T$8="Magnetosphere",POWER(Upgrades!$U$8,G143),1)*IF(Upgrades!$T$10="Magnetosphere",POWER(Upgrades!$U$10,I143),1)*IF(Upgrades!$T$11="Magnetosphere",POWER(Upgrades!$U$11,J143),1)*IF(Upgrades!$T$12="Magnetosphere",POWER(Upgrades!$U$12,K143),1))/AJ143,0)</f>
        <v/>
      </c>
      <c r="AW143" s="32">
        <f>MAX(IF(I143&gt;0,0,IFERROR(0.25*N143/Upgrades!$C$10,0)),IF(J143&gt;0,0,IFERROR(0.5*((IF(G143=0,0,(Upgrades!$J$8+G143*Upgrades!$K$8)*POWER(Upgrades!$L$8,G143)))*(IF(Upgrades!$T$6="Stellar Coupling",POWER(Upgrades!$U$6,E143),1)*IF(Upgrades!$T$7="Stellar Coupling",POWER(Upgrades!$U$7,F143),1)*IF(Upgrades!$T$9="Stellar Coupling",POWER(Upgrades!$U$9,H143),1)*IF(Upgrades!$T$10="Stellar Coupling",POWER(Upgrades!$U$10,I143),1)*IF(Upgrades!$T$11="Stellar Coupling",POWER(Upgrades!$U$11,J143),1)*IF(Upgrades!$T$12="Stellar Coupling",POWER(Upgrades!$U$12,K143),1))*(POWER(Upgrades!$Q$6,E143)*POWER(Upgrades!$Q$7,F143)*POWER(Upgrades!$Q$8,G143)*POWER(Upgrades!$Q$9,H143)*POWER(Upgrades!$Q$10,I143)*POWER(Upgrades!$Q$11,J143)*POWER(Upgrades!$Q$12,K143))*Parameters!$B$10*Parameters!$B$11/60)/Upgrades!$C$11,0)),IF(K143&gt;0,0,IFERROR((1.0*(POWER(Upgrades!$P$6,E143)*POWER(Upgrades!$P$7,F143)*POWER(Upgrades!$P$8,G143)*POWER(Upgrades!$P$9,H143)*POWER(Upgrades!$P$10,I143)*POWER(Upgrades!$P$11,J143)*POWER(Upgrades!$P$12,K143))+0.20*M143*Parameters!$B$10*Parameters!$B$11/60)/Upgrades!$C$12,0)),IF(AND(ISNUMBER(AG143),AG143&gt;T143),AS143,0),IF(AND(ISNUMBER(AH143),AH143&gt;T143),AT143,0),IF(AND(ISNUMBER(AI143),AI143&gt;T143),AU143,0),IF(AND(ISNUMBER(AJ143),AJ143&gt;T143),AV143,0))</f>
        <v/>
      </c>
      <c r="AX143" s="29">
        <f>IF(AN143=1,"transition",IF(MIN(IF(AND(I143=0,ISNUMBER(AK143),AK143&lt;=T143),AK143,9E15),IF(AND(J143=0,ISNUMBER(AL143),AL143&lt;=T143),AL143,9E15),IF(AND(K143=0,ISNUMBER(AM143),AM143&lt;=T143),AM143,9E15))&lt;9E15,IF(AND(AND(I143=0,ISNUMBER(AK143),AK143&lt;=T143),AK143=MIN(IF(AND(I143=0,ISNUMBER(AK143),AK143&lt;=T143),AK143,9E15),IF(AND(J143=0,ISNUMBER(AL143),AL143&lt;=T143),AL143,9E15),IF(AND(K143=0,ISNUMBER(AM143),AM143&lt;=T143),AM143,9E15))),"OR",IF(AND(AND(J143=0,ISNUMBER(AL143),AL143&lt;=T143),AL143=MIN(IF(AND(I143=0,ISNUMBER(AK143),AK143&lt;=T143),AK143,9E15),IF(AND(J143=0,ISNUMBER(AL143),AL143&lt;=T143),AL143,9E15),IF(AND(K143=0,ISNUMBER(AM143),AM143&lt;=T143),AM143,9E15))),"HP","FP")),IF(AR143=TRUE,"",IF(MAX(IF(AND(NOT(AND(AO143=1,AN143&lt;&gt;1)),ISNUMBER(AG143),AG143&lt;=T143),AS143,0),IF(AND(NOT(AND(AO143=1,AN143&lt;&gt;1)),ISNUMBER(AH143),AH143&lt;=T143),AT143,0),IF(AND(NOT(AND(AO143=1,AN143&lt;&gt;1)),ISNUMBER(AI143),AI143&lt;=T143),AU143,0),IF(AND(ISNUMBER(AJ143),AJ143&lt;=T143),AV143,0))&lt;=0,"",IF(AND(IF(AND(NOT(AND(AO143=1,AN143&lt;&gt;1)),ISNUMBER(AG143),AG143&lt;=T143),AS143,0)&gt;0,IF(AND(NOT(AND(AO143=1,AN143&lt;&gt;1)),ISNUMBER(AG143),AG143&lt;=T143),AS143,0)=MAX(IF(AND(NOT(AND(AO143=1,AN143&lt;&gt;1)),ISNUMBER(AG143),AG143&lt;=T143),AS143,0),IF(AND(NOT(AND(AO143=1,AN143&lt;&gt;1)),ISNUMBER(AH143),AH143&lt;=T143),AT143,0),IF(AND(NOT(AND(AO143=1,AN143&lt;&gt;1)),ISNUMBER(AI143),AI143&lt;=T143),AU143,0),IF(AND(ISNUMBER(AJ143),AJ143&lt;=T143),AV143,0))),"SW",IF(AND(IF(AND(NOT(AND(AO143=1,AN143&lt;&gt;1)),ISNUMBER(AH143),AH143&lt;=T143),AT143,0)&gt;0,IF(AND(NOT(AND(AO143=1,AN143&lt;&gt;1)),ISNUMBER(AH143),AH143&lt;=T143),AT143,0)=MAX(IF(AND(NOT(AND(AO143=1,AN143&lt;&gt;1)),ISNUMBER(AG143),AG143&lt;=T143),AS143,0),IF(AND(NOT(AND(AO143=1,AN143&lt;&gt;1)),ISNUMBER(AH143),AH143&lt;=T143),AT143,0),IF(AND(NOT(AND(AO143=1,AN143&lt;&gt;1)),ISNUMBER(AI143),AI143&lt;=T143),AU143,0),IF(AND(ISNUMBER(AJ143),AJ143&lt;=T143),AV143,0))),"AB",IF(AND(IF(AND(NOT(AND(AO143=1,AN143&lt;&gt;1)),ISNUMBER(AI143),AI143&lt;=T143),AU143,0)&gt;0,IF(AND(NOT(AND(AO143=1,AN143&lt;&gt;1)),ISNUMBER(AI143),AI143&lt;=T143),AU143,0)=MAX(IF(AND(NOT(AND(AO143=1,AN143&lt;&gt;1)),ISNUMBER(AG143),AG143&lt;=T143),AS143,0),IF(AND(NOT(AND(AO143=1,AN143&lt;&gt;1)),ISNUMBER(AH143),AH143&lt;=T143),AT143,0),IF(AND(NOT(AND(AO143=1,AN143&lt;&gt;1)),ISNUMBER(AI143),AI143&lt;=T143),AU143,0),IF(AND(ISNUMBER(AJ143),AJ143&lt;=T143),AV143,0))),"SC","Mag")))))))</f>
        <v/>
      </c>
    </row>
    <row r="144">
      <c r="A144" s="26" t="n">
        <v>139</v>
      </c>
      <c r="B144" s="27">
        <f>A144*10/60</f>
        <v/>
      </c>
      <c r="C144" s="22">
        <f>X143</f>
        <v/>
      </c>
      <c r="D144" s="27">
        <f>D143+W143</f>
        <v/>
      </c>
      <c r="E144" s="26">
        <f>E143+IF(U143="SW",1,0)</f>
        <v/>
      </c>
      <c r="F144" s="26">
        <f>F143+IF(U143="AB",1,0)</f>
        <v/>
      </c>
      <c r="G144" s="26">
        <f>G143+IF(U143="SC",1,0)</f>
        <v/>
      </c>
      <c r="H144" s="26">
        <f>H143+IF(U143="Mag",1,0)</f>
        <v/>
      </c>
      <c r="I144" s="26">
        <f>MAX(I143,IF(U143="OR",1,0))</f>
        <v/>
      </c>
      <c r="J144" s="26">
        <f>MAX(J143,IF(U143="HP",1,0))</f>
        <v/>
      </c>
      <c r="K144" s="26">
        <f>MAX(K143,IF(U143="FP",1,0))</f>
        <v/>
      </c>
      <c r="L144" s="26">
        <f>MAX(L143,IF(U143="transition",1,0))</f>
        <v/>
      </c>
      <c r="M144" s="28">
        <f>(Parameters!$B$9+(IF(E144=0,0,(Upgrades!$J$6+E144*Upgrades!$K$6)*POWER(Upgrades!$L$6,E144)))*(IF(Upgrades!$T$7="Solar Wind",POWER(Upgrades!$U$7,F144),1)*IF(Upgrades!$T$8="Solar Wind",POWER(Upgrades!$U$8,G144),1)*IF(Upgrades!$T$9="Solar Wind",POWER(Upgrades!$U$9,H144),1)*IF(Upgrades!$T$10="Solar Wind",POWER(Upgrades!$U$10,I144),1)*IF(Upgrades!$T$11="Solar Wind",POWER(Upgrades!$U$11,J144),1)*IF(Upgrades!$T$12="Solar Wind",POWER(Upgrades!$U$12,K144),1))+(IF(F144=0,0,(Upgrades!$J$7+F144*Upgrades!$K$7)*POWER(Upgrades!$L$7,F144)))*(IF(Upgrades!$T$6="Asteroid Belt",POWER(Upgrades!$U$6,E144),1)*IF(Upgrades!$T$8="Asteroid Belt",POWER(Upgrades!$U$8,G144),1)*IF(Upgrades!$T$9="Asteroid Belt",POWER(Upgrades!$U$9,H144),1)*IF(Upgrades!$T$10="Asteroid Belt",POWER(Upgrades!$U$10,I144),1)*IF(Upgrades!$T$11="Asteroid Belt",POWER(Upgrades!$U$11,J144),1)*IF(Upgrades!$T$12="Asteroid Belt",POWER(Upgrades!$U$12,K144),1))+(IF(G144=0,0,(Upgrades!$J$8+G144*Upgrades!$K$8)*POWER(Upgrades!$L$8,G144)))*(IF(Upgrades!$T$6="Stellar Coupling",POWER(Upgrades!$U$6,E144),1)*IF(Upgrades!$T$7="Stellar Coupling",POWER(Upgrades!$U$7,F144),1)*IF(Upgrades!$T$9="Stellar Coupling",POWER(Upgrades!$U$9,H144),1)*IF(Upgrades!$T$10="Stellar Coupling",POWER(Upgrades!$U$10,I144),1)*IF(Upgrades!$T$11="Stellar Coupling",POWER(Upgrades!$U$11,J144),1)*IF(Upgrades!$T$12="Stellar Coupling",POWER(Upgrades!$U$12,K144),1))+(IF(H144=0,0,(Upgrades!$J$9+H144*Upgrades!$K$9)*POWER(Upgrades!$L$9,H144)))*(IF(Upgrades!$T$6="Magnetosphere",POWER(Upgrades!$U$6,E144),1)*IF(Upgrades!$T$7="Magnetosphere",POWER(Upgrades!$U$7,F144),1)*IF(Upgrades!$T$8="Magnetosphere",POWER(Upgrades!$U$8,G144),1)*IF(Upgrades!$T$10="Magnetosphere",POWER(Upgrades!$U$10,I144),1)*IF(Upgrades!$T$11="Magnetosphere",POWER(Upgrades!$U$11,J144),1)*IF(Upgrades!$T$12="Magnetosphere",POWER(Upgrades!$U$12,K144),1))+(IF(I144=0,0,(Upgrades!$J$10+I144*Upgrades!$K$10)*POWER(Upgrades!$L$10,I144)))*(IF(Upgrades!$T$6="Orbital Resonance",POWER(Upgrades!$U$6,E144),1)*IF(Upgrades!$T$7="Orbital Resonance",POWER(Upgrades!$U$7,F144),1)*IF(Upgrades!$T$8="Orbital Resonance",POWER(Upgrades!$U$8,G144),1)*IF(Upgrades!$T$9="Orbital Resonance",POWER(Upgrades!$U$9,H144),1)*IF(Upgrades!$T$11="Orbital Resonance",POWER(Upgrades!$U$11,J144),1)*IF(Upgrades!$T$12="Orbital Resonance",POWER(Upgrades!$U$12,K144),1))+(IF(J144=0,0,(Upgrades!$J$11+J144*Upgrades!$K$11)*POWER(Upgrades!$L$11,J144)))*(IF(Upgrades!$T$6="Heliopause",POWER(Upgrades!$U$6,E144),1)*IF(Upgrades!$T$7="Heliopause",POWER(Upgrades!$U$7,F144),1)*IF(Upgrades!$T$8="Heliopause",POWER(Upgrades!$U$8,G144),1)*IF(Upgrades!$T$9="Heliopause",POWER(Upgrades!$U$9,H144),1)*IF(Upgrades!$T$10="Heliopause",POWER(Upgrades!$U$10,I144),1)*IF(Upgrades!$T$12="Heliopause",POWER(Upgrades!$U$12,K144),1))+(IF(K144=0,0,(Upgrades!$J$12+K144*Upgrades!$K$12)*POWER(Upgrades!$L$12,K144)))*(IF(Upgrades!$T$6="First Photons",POWER(Upgrades!$U$6,E144),1)*IF(Upgrades!$T$7="First Photons",POWER(Upgrades!$U$7,F144),1)*IF(Upgrades!$T$8="First Photons",POWER(Upgrades!$U$8,G144),1)*IF(Upgrades!$T$9="First Photons",POWER(Upgrades!$U$9,H144),1)*IF(Upgrades!$T$10="First Photons",POWER(Upgrades!$U$10,I144),1)*IF(Upgrades!$T$11="First Photons",POWER(Upgrades!$U$11,J144),1)))*POWER(Upgrades!$Q$6,E144)*POWER(Upgrades!$Q$7,F144)*POWER(Upgrades!$Q$8,G144)*POWER(Upgrades!$Q$9,H144)*POWER(Upgrades!$Q$10,I144)*POWER(Upgrades!$Q$11,J144)*POWER(Upgrades!$Q$12,K144)</f>
        <v/>
      </c>
      <c r="N144" s="28">
        <f>((IF(E144=0,0,(Upgrades!$G$6+E144*Upgrades!$H$6)*POWER(Upgrades!$I$6,E144)))*(IF(Upgrades!$T$7="Solar Wind",POWER(Upgrades!$U$7,F144),1)*IF(Upgrades!$T$8="Solar Wind",POWER(Upgrades!$U$8,G144),1)*IF(Upgrades!$T$9="Solar Wind",POWER(Upgrades!$U$9,H144),1)*IF(Upgrades!$T$10="Solar Wind",POWER(Upgrades!$U$10,I144),1)*IF(Upgrades!$T$11="Solar Wind",POWER(Upgrades!$U$11,J144),1)*IF(Upgrades!$T$12="Solar Wind",POWER(Upgrades!$U$12,K144),1))+(IF(F144=0,0,(Upgrades!$G$7+F144*Upgrades!$H$7)*POWER(Upgrades!$I$7,F144)))*(IF(Upgrades!$T$6="Asteroid Belt",POWER(Upgrades!$U$6,E144),1)*IF(Upgrades!$T$8="Asteroid Belt",POWER(Upgrades!$U$8,G144),1)*IF(Upgrades!$T$9="Asteroid Belt",POWER(Upgrades!$U$9,H144),1)*IF(Upgrades!$T$10="Asteroid Belt",POWER(Upgrades!$U$10,I144),1)*IF(Upgrades!$T$11="Asteroid Belt",POWER(Upgrades!$U$11,J144),1)*IF(Upgrades!$T$12="Asteroid Belt",POWER(Upgrades!$U$12,K144),1))+(IF(G144=0,0,(Upgrades!$G$8+G144*Upgrades!$H$8)*POWER(Upgrades!$I$8,G144)))*(IF(Upgrades!$T$6="Stellar Coupling",POWER(Upgrades!$U$6,E144),1)*IF(Upgrades!$T$7="Stellar Coupling",POWER(Upgrades!$U$7,F144),1)*IF(Upgrades!$T$9="Stellar Coupling",POWER(Upgrades!$U$9,H144),1)*IF(Upgrades!$T$10="Stellar Coupling",POWER(Upgrades!$U$10,I144),1)*IF(Upgrades!$T$11="Stellar Coupling",POWER(Upgrades!$U$11,J144),1)*IF(Upgrades!$T$12="Stellar Coupling",POWER(Upgrades!$U$12,K144),1))+(IF(H144=0,0,(Upgrades!$G$9+H144*Upgrades!$H$9)*POWER(Upgrades!$I$9,H144)))*(IF(Upgrades!$T$6="Magnetosphere",POWER(Upgrades!$U$6,E144),1)*IF(Upgrades!$T$7="Magnetosphere",POWER(Upgrades!$U$7,F144),1)*IF(Upgrades!$T$8="Magnetosphere",POWER(Upgrades!$U$8,G144),1)*IF(Upgrades!$T$10="Magnetosphere",POWER(Upgrades!$U$10,I144),1)*IF(Upgrades!$T$11="Magnetosphere",POWER(Upgrades!$U$11,J144),1)*IF(Upgrades!$T$12="Magnetosphere",POWER(Upgrades!$U$12,K144),1))+(IF(I144=0,0,(Upgrades!$G$10+I144*Upgrades!$H$10)*POWER(Upgrades!$I$10,I144)))*(IF(Upgrades!$T$6="Orbital Resonance",POWER(Upgrades!$U$6,E144),1)*IF(Upgrades!$T$7="Orbital Resonance",POWER(Upgrades!$U$7,F144),1)*IF(Upgrades!$T$8="Orbital Resonance",POWER(Upgrades!$U$8,G144),1)*IF(Upgrades!$T$9="Orbital Resonance",POWER(Upgrades!$U$9,H144),1)*IF(Upgrades!$T$11="Orbital Resonance",POWER(Upgrades!$U$11,J144),1)*IF(Upgrades!$T$12="Orbital Resonance",POWER(Upgrades!$U$12,K144),1))+(IF(J144=0,0,(Upgrades!$G$11+J144*Upgrades!$H$11)*POWER(Upgrades!$I$11,J144)))*(IF(Upgrades!$T$6="Heliopause",POWER(Upgrades!$U$6,E144),1)*IF(Upgrades!$T$7="Heliopause",POWER(Upgrades!$U$7,F144),1)*IF(Upgrades!$T$8="Heliopause",POWER(Upgrades!$U$8,G144),1)*IF(Upgrades!$T$9="Heliopause",POWER(Upgrades!$U$9,H144),1)*IF(Upgrades!$T$10="Heliopause",POWER(Upgrades!$U$10,I144),1)*IF(Upgrades!$T$12="Heliopause",POWER(Upgrades!$U$12,K144),1))+(IF(K144=0,0,(Upgrades!$G$12+K144*Upgrades!$H$12)*POWER(Upgrades!$I$12,K144)))*(IF(Upgrades!$T$6="First Photons",POWER(Upgrades!$U$6,E144),1)*IF(Upgrades!$T$7="First Photons",POWER(Upgrades!$U$7,F144),1)*IF(Upgrades!$T$8="First Photons",POWER(Upgrades!$U$8,G144),1)*IF(Upgrades!$T$9="First Photons",POWER(Upgrades!$U$9,H144),1)*IF(Upgrades!$T$10="First Photons",POWER(Upgrades!$U$10,I144),1)*IF(Upgrades!$T$11="First Photons",POWER(Upgrades!$U$11,J144),1)))*POWER(Upgrades!$P$6,E144)*POWER(Upgrades!$P$7,F144)*POWER(Upgrades!$P$8,G144)*POWER(Upgrades!$P$9,H144)*POWER(Upgrades!$P$10,I144)*POWER(Upgrades!$P$11,J144)*POWER(Upgrades!$P$12,K144)</f>
        <v/>
      </c>
      <c r="O144" s="28">
        <f>((IF(E144=0,0,(Upgrades!$M$6+E144*Upgrades!$N$6)*POWER(Upgrades!$O$6,E144)))*(IF(Upgrades!$T$7="Solar Wind",POWER(Upgrades!$U$7,F144),1)*IF(Upgrades!$T$8="Solar Wind",POWER(Upgrades!$U$8,G144),1)*IF(Upgrades!$T$9="Solar Wind",POWER(Upgrades!$U$9,H144),1)*IF(Upgrades!$T$10="Solar Wind",POWER(Upgrades!$U$10,I144),1)*IF(Upgrades!$T$11="Solar Wind",POWER(Upgrades!$U$11,J144),1)*IF(Upgrades!$T$12="Solar Wind",POWER(Upgrades!$U$12,K144),1))+(IF(F144=0,0,(Upgrades!$M$7+F144*Upgrades!$N$7)*POWER(Upgrades!$O$7,F144)))*(IF(Upgrades!$T$6="Asteroid Belt",POWER(Upgrades!$U$6,E144),1)*IF(Upgrades!$T$8="Asteroid Belt",POWER(Upgrades!$U$8,G144),1)*IF(Upgrades!$T$9="Asteroid Belt",POWER(Upgrades!$U$9,H144),1)*IF(Upgrades!$T$10="Asteroid Belt",POWER(Upgrades!$U$10,I144),1)*IF(Upgrades!$T$11="Asteroid Belt",POWER(Upgrades!$U$11,J144),1)*IF(Upgrades!$T$12="Asteroid Belt",POWER(Upgrades!$U$12,K144),1))+(IF(G144=0,0,(Upgrades!$M$8+G144*Upgrades!$N$8)*POWER(Upgrades!$O$8,G144)))*(IF(Upgrades!$T$6="Stellar Coupling",POWER(Upgrades!$U$6,E144),1)*IF(Upgrades!$T$7="Stellar Coupling",POWER(Upgrades!$U$7,F144),1)*IF(Upgrades!$T$9="Stellar Coupling",POWER(Upgrades!$U$9,H144),1)*IF(Upgrades!$T$10="Stellar Coupling",POWER(Upgrades!$U$10,I144),1)*IF(Upgrades!$T$11="Stellar Coupling",POWER(Upgrades!$U$11,J144),1)*IF(Upgrades!$T$12="Stellar Coupling",POWER(Upgrades!$U$12,K144),1))+(IF(H144=0,0,(Upgrades!$M$9+H144*Upgrades!$N$9)*POWER(Upgrades!$O$9,H144)))*(IF(Upgrades!$T$6="Magnetosphere",POWER(Upgrades!$U$6,E144),1)*IF(Upgrades!$T$7="Magnetosphere",POWER(Upgrades!$U$7,F144),1)*IF(Upgrades!$T$8="Magnetosphere",POWER(Upgrades!$U$8,G144),1)*IF(Upgrades!$T$10="Magnetosphere",POWER(Upgrades!$U$10,I144),1)*IF(Upgrades!$T$11="Magnetosphere",POWER(Upgrades!$U$11,J144),1)*IF(Upgrades!$T$12="Magnetosphere",POWER(Upgrades!$U$12,K144),1))+(IF(I144=0,0,(Upgrades!$M$10+I144*Upgrades!$N$10)*POWER(Upgrades!$O$10,I144)))*(IF(Upgrades!$T$6="Orbital Resonance",POWER(Upgrades!$U$6,E144),1)*IF(Upgrades!$T$7="Orbital Resonance",POWER(Upgrades!$U$7,F144),1)*IF(Upgrades!$T$8="Orbital Resonance",POWER(Upgrades!$U$8,G144),1)*IF(Upgrades!$T$9="Orbital Resonance",POWER(Upgrades!$U$9,H144),1)*IF(Upgrades!$T$11="Orbital Resonance",POWER(Upgrades!$U$11,J144),1)*IF(Upgrades!$T$12="Orbital Resonance",POWER(Upgrades!$U$12,K144),1))+(IF(J144=0,0,(Upgrades!$M$11+J144*Upgrades!$N$11)*POWER(Upgrades!$O$11,J144)))*(IF(Upgrades!$T$6="Heliopause",POWER(Upgrades!$U$6,E144),1)*IF(Upgrades!$T$7="Heliopause",POWER(Upgrades!$U$7,F144),1)*IF(Upgrades!$T$8="Heliopause",POWER(Upgrades!$U$8,G144),1)*IF(Upgrades!$T$9="Heliopause",POWER(Upgrades!$U$9,H144),1)*IF(Upgrades!$T$10="Heliopause",POWER(Upgrades!$U$10,I144),1)*IF(Upgrades!$T$12="Heliopause",POWER(Upgrades!$U$12,K144),1))+(IF(K144=0,0,(Upgrades!$M$12+K144*Upgrades!$N$12)*POWER(Upgrades!$O$12,K144)))*(IF(Upgrades!$T$6="First Photons",POWER(Upgrades!$U$6,E144),1)*IF(Upgrades!$T$7="First Photons",POWER(Upgrades!$U$7,F144),1)*IF(Upgrades!$T$8="First Photons",POWER(Upgrades!$U$8,G144),1)*IF(Upgrades!$T$9="First Photons",POWER(Upgrades!$U$9,H144),1)*IF(Upgrades!$T$10="First Photons",POWER(Upgrades!$U$10,I144),1)*IF(Upgrades!$T$11="First Photons",POWER(Upgrades!$U$11,J144),1)))*POWER(Upgrades!$R$6,E144)*POWER(Upgrades!$R$7,F144)*POWER(Upgrades!$R$8,G144)*POWER(Upgrades!$R$9,H144)*POWER(Upgrades!$R$10,I144)*POWER(Upgrades!$R$11,J144)*POWER(Upgrades!$R$12,K144)</f>
        <v/>
      </c>
      <c r="P144" s="27">
        <f>IF(L144=1,0,M144*Parameters!$B$10/60*Parameters!$B$11*10)</f>
        <v/>
      </c>
      <c r="Q144" s="27">
        <f>IF(L144=1,0,O144*M144*10)</f>
        <v/>
      </c>
      <c r="R144" s="27">
        <f>IF(L144=1,0,N144*10)</f>
        <v/>
      </c>
      <c r="S144" s="27">
        <f>P144+Q144+R144</f>
        <v/>
      </c>
      <c r="T144" s="22">
        <f>C144+S144</f>
        <v/>
      </c>
      <c r="U144" s="33">
        <f>AX144</f>
        <v/>
      </c>
      <c r="V144" s="22">
        <f>IF(U144="",0,IF(U144="transition",0,IF(U144="SW",AG144,IF(U144="AB",AH144,IF(U144="SC",AI144,IF(U144="Mag",AJ144,IF(U144="OR",AK144,IF(U144="HP",AL144,IF(U144="FP",AM144,0)))))))))</f>
        <v/>
      </c>
      <c r="W144" s="27">
        <f>IF(U144="OR",Upgrades!$F$10,IF(U144="HP",Upgrades!$F$11,IF(U144="transition",-Parameters!$B$18,0)))</f>
        <v/>
      </c>
      <c r="X144" s="22">
        <f>T144-V144</f>
        <v/>
      </c>
      <c r="Y144" s="30">
        <f>M144*Parameters!$B$10/60*Parameters!$B$11+O144*M144+N144</f>
        <v/>
      </c>
      <c r="Z144" s="34">
        <f>IF(U144="transition","→ Tier 2 (Stellar Neighborhood)",IF(U144="FP","First Photons — light begins, system quickens",IF(U144="HP","Heliopause acquired",IF(U144="OR","Orbital Resonance — passive multiplier active",IF(AND(AO144=1,L144=0,AN144&lt;&gt;1),"Cohesion ready (waiting on completionist upgrades)","")))))</f>
        <v/>
      </c>
      <c r="AA144" s="27">
        <f>(IF(E144=0,0,(Upgrades!$G$6+E144*Upgrades!$H$6)*POWER(Upgrades!$I$6,E144)))*(IF(Upgrades!$T$7="Solar Wind",POWER(Upgrades!$U$7,F144),1)*IF(Upgrades!$T$8="Solar Wind",POWER(Upgrades!$U$8,G144),1)*IF(Upgrades!$T$9="Solar Wind",POWER(Upgrades!$U$9,H144),1)*IF(Upgrades!$T$10="Solar Wind",POWER(Upgrades!$U$10,I144),1)*IF(Upgrades!$T$11="Solar Wind",POWER(Upgrades!$U$11,J144),1)*IF(Upgrades!$T$12="Solar Wind",POWER(Upgrades!$U$12,K144),1))*POWER(Upgrades!$P$6,E144)*POWER(Upgrades!$P$7,F144)*POWER(Upgrades!$P$8,G144)*POWER(Upgrades!$P$9,H144)*POWER(Upgrades!$P$10,I144)*POWER(Upgrades!$P$11,J144)*POWER(Upgrades!$P$12,K144)*60</f>
        <v/>
      </c>
      <c r="AB144" s="27">
        <f>(IF(F144=0,0,(Upgrades!$G$7+F144*Upgrades!$H$7)*POWER(Upgrades!$I$7,F144)))*(IF(Upgrades!$T$6="Asteroid Belt",POWER(Upgrades!$U$6,E144),1)*IF(Upgrades!$T$8="Asteroid Belt",POWER(Upgrades!$U$8,G144),1)*IF(Upgrades!$T$9="Asteroid Belt",POWER(Upgrades!$U$9,H144),1)*IF(Upgrades!$T$10="Asteroid Belt",POWER(Upgrades!$U$10,I144),1)*IF(Upgrades!$T$11="Asteroid Belt",POWER(Upgrades!$U$11,J144),1)*IF(Upgrades!$T$12="Asteroid Belt",POWER(Upgrades!$U$12,K144),1))*POWER(Upgrades!$P$6,E144)*POWER(Upgrades!$P$7,F144)*POWER(Upgrades!$P$8,G144)*POWER(Upgrades!$P$9,H144)*POWER(Upgrades!$P$10,I144)*POWER(Upgrades!$P$11,J144)*POWER(Upgrades!$P$12,K144)*60</f>
        <v/>
      </c>
      <c r="AC144" s="27">
        <f>(IF(G144=0,0,(Upgrades!$J$8+G144*Upgrades!$K$8)*POWER(Upgrades!$L$8,G144)))*(IF(Upgrades!$T$6="Stellar Coupling",POWER(Upgrades!$U$6,E144),1)*IF(Upgrades!$T$7="Stellar Coupling",POWER(Upgrades!$U$7,F144),1)*IF(Upgrades!$T$9="Stellar Coupling",POWER(Upgrades!$U$9,H144),1)*IF(Upgrades!$T$10="Stellar Coupling",POWER(Upgrades!$U$10,I144),1)*IF(Upgrades!$T$11="Stellar Coupling",POWER(Upgrades!$U$11,J144),1)*IF(Upgrades!$T$12="Stellar Coupling",POWER(Upgrades!$U$12,K144),1))*POWER(Upgrades!$Q$6,E144)*POWER(Upgrades!$Q$7,F144)*POWER(Upgrades!$Q$8,G144)*POWER(Upgrades!$Q$9,H144)*POWER(Upgrades!$Q$10,I144)*POWER(Upgrades!$Q$11,J144)*POWER(Upgrades!$Q$12,K144)*Parameters!$B$10*Parameters!$B$11</f>
        <v/>
      </c>
      <c r="AD144" s="27">
        <f>(IF(H144=0,0,(Upgrades!$G$9+H144*Upgrades!$H$9)*POWER(Upgrades!$I$9,H144)))*(IF(Upgrades!$T$6="Magnetosphere",POWER(Upgrades!$U$6,E144),1)*IF(Upgrades!$T$7="Magnetosphere",POWER(Upgrades!$U$7,F144),1)*IF(Upgrades!$T$8="Magnetosphere",POWER(Upgrades!$U$8,G144),1)*IF(Upgrades!$T$10="Magnetosphere",POWER(Upgrades!$U$10,I144),1)*IF(Upgrades!$T$11="Magnetosphere",POWER(Upgrades!$U$11,J144),1)*IF(Upgrades!$T$12="Magnetosphere",POWER(Upgrades!$U$12,K144),1))*POWER(Upgrades!$P$6,E144)*POWER(Upgrades!$P$7,F144)*POWER(Upgrades!$P$8,G144)*POWER(Upgrades!$P$9,H144)*POWER(Upgrades!$P$10,I144)*POWER(Upgrades!$P$11,J144)*POWER(Upgrades!$P$12,K144)*60</f>
        <v/>
      </c>
      <c r="AE144" s="27">
        <f>(IF(K144=0,0,(Upgrades!$G$12+K144*Upgrades!$H$12)*POWER(Upgrades!$I$12,K144)))*(IF(Upgrades!$T$6="First Photons",POWER(Upgrades!$U$6,E144),1)*IF(Upgrades!$T$7="First Photons",POWER(Upgrades!$U$7,F144),1)*IF(Upgrades!$T$8="First Photons",POWER(Upgrades!$U$8,G144),1)*IF(Upgrades!$T$9="First Photons",POWER(Upgrades!$U$9,H144),1)*IF(Upgrades!$T$10="First Photons",POWER(Upgrades!$U$10,I144),1)*IF(Upgrades!$T$11="First Photons",POWER(Upgrades!$U$11,J144),1))*POWER(Upgrades!$P$6,E144)*POWER(Upgrades!$P$7,F144)*POWER(Upgrades!$P$8,G144)*POWER(Upgrades!$P$9,H144)*POWER(Upgrades!$P$10,I144)*POWER(Upgrades!$P$11,J144)*POWER(Upgrades!$P$12,K144)*60</f>
        <v/>
      </c>
      <c r="AF144" s="27">
        <f>Parameters!$B$9*POWER(Upgrades!$Q$6,E144)*POWER(Upgrades!$Q$7,F144)*POWER(Upgrades!$Q$8,G144)*POWER(Upgrades!$Q$9,H144)*POWER(Upgrades!$Q$10,I144)*POWER(Upgrades!$Q$11,J144)*POWER(Upgrades!$Q$12,K144)*(Parameters!$B$10*Parameters!$B$11+O144*60)</f>
        <v/>
      </c>
      <c r="AG144" s="22">
        <f>IF(E144&gt;=Upgrades!$E$6,"",Upgrades!$C$6*POWER(Upgrades!$D$6,E144))</f>
        <v/>
      </c>
      <c r="AH144" s="22">
        <f>IF(F144&gt;=Upgrades!$E$7,"",Upgrades!$C$7*POWER(Upgrades!$D$7,F144))</f>
        <v/>
      </c>
      <c r="AI144" s="22">
        <f>IF(G144&gt;=Upgrades!$E$8,"",Upgrades!$C$8*POWER(Upgrades!$D$8,G144))</f>
        <v/>
      </c>
      <c r="AJ144" s="22">
        <f>IF(H144&gt;=Upgrades!$E$9,"",Upgrades!$C$9*POWER(Upgrades!$D$9,H144))</f>
        <v/>
      </c>
      <c r="AK144" s="22">
        <f>IF(I144&gt;=Upgrades!$E$10,"",Upgrades!$C$10*POWER(Upgrades!$D$10,I144))</f>
        <v/>
      </c>
      <c r="AL144" s="22">
        <f>IF(J144&gt;=Upgrades!$E$11,"",Upgrades!$C$11*POWER(Upgrades!$D$11,J144))</f>
        <v/>
      </c>
      <c r="AM144" s="22">
        <f>IF(K144&gt;=Upgrades!$E$12,"",Upgrades!$C$12*POWER(Upgrades!$D$12,K144))</f>
        <v/>
      </c>
      <c r="AN144" s="26">
        <f>IF(AND(D144&gt;=Parameters!$B$18,(H144&gt;=Upgrades!$E$9)*(K144&gt;=Upgrades!$E$12)=1,L144=0),1,"")</f>
        <v/>
      </c>
      <c r="AO144" s="26">
        <f>IF(AND(D144&gt;=Parameters!$B$18,L144=0),1,"")</f>
        <v/>
      </c>
      <c r="AP144" s="22">
        <f>MIN(IF(ISNUMBER(AK144),AK144,9E15),IF(ISNUMBER(AL144),AL144,9E15),IF(ISNUMBER(AM144),AM144,9E15))</f>
        <v/>
      </c>
      <c r="AQ144" s="22">
        <f>MIN(IF(ISNUMBER(AG144),AG144,9E15),IF(ISNUMBER(AH144),AH144,9E15),IF(ISNUMBER(AI144),AI144,9E15),IF(ISNUMBER(AJ144),AJ144,9E15))</f>
        <v/>
      </c>
      <c r="AR144" s="29">
        <f>IF(AW144&gt;Parameters!$B$21*(MAX(IF(AND(NOT(AND(AO144=1,AN144&lt;&gt;1)),ISNUMBER(AG144),AG144&lt;=T144),AS144,0),IF(AND(NOT(AND(AO144=1,AN144&lt;&gt;1)),ISNUMBER(AH144),AH144&lt;=T144),AT144,0),IF(AND(NOT(AND(AO144=1,AN144&lt;&gt;1)),ISNUMBER(AI144),AI144&lt;=T144),AU144,0),IF(AND(ISNUMBER(AJ144),AJ144&lt;=T144),AV144,0))),TRUE,FALSE)</f>
        <v/>
      </c>
      <c r="AS144" s="32">
        <f>IFERROR(Upgrades!$H$6*(POWER(Upgrades!$P$6,E144)*POWER(Upgrades!$P$7,F144)*POWER(Upgrades!$P$8,G144)*POWER(Upgrades!$P$9,H144)*POWER(Upgrades!$P$10,I144)*POWER(Upgrades!$P$11,J144)*POWER(Upgrades!$P$12,K144))*(IF(Upgrades!$T$7="Solar Wind",POWER(Upgrades!$U$7,F144),1)*IF(Upgrades!$T$8="Solar Wind",POWER(Upgrades!$U$8,G144),1)*IF(Upgrades!$T$9="Solar Wind",POWER(Upgrades!$U$9,H144),1)*IF(Upgrades!$T$10="Solar Wind",POWER(Upgrades!$U$10,I144),1)*IF(Upgrades!$T$11="Solar Wind",POWER(Upgrades!$U$11,J144),1)*IF(Upgrades!$T$12="Solar Wind",POWER(Upgrades!$U$12,K144),1))/AG144,0)</f>
        <v/>
      </c>
      <c r="AT144" s="32">
        <f>IFERROR(Upgrades!$H$7*(POWER(Upgrades!$P$6,E144)*POWER(Upgrades!$P$7,F144)*POWER(Upgrades!$P$8,G144)*POWER(Upgrades!$P$9,H144)*POWER(Upgrades!$P$10,I144)*POWER(Upgrades!$P$11,J144)*POWER(Upgrades!$P$12,K144))*(IF(Upgrades!$T$6="Asteroid Belt",POWER(Upgrades!$U$6,E144),1)*IF(Upgrades!$T$8="Asteroid Belt",POWER(Upgrades!$U$8,G144),1)*IF(Upgrades!$T$9="Asteroid Belt",POWER(Upgrades!$U$9,H144),1)*IF(Upgrades!$T$10="Asteroid Belt",POWER(Upgrades!$U$10,I144),1)*IF(Upgrades!$T$11="Asteroid Belt",POWER(Upgrades!$U$11,J144),1)*IF(Upgrades!$T$12="Asteroid Belt",POWER(Upgrades!$U$12,K144),1))/AH144,0)</f>
        <v/>
      </c>
      <c r="AU144" s="32">
        <f>IFERROR(Upgrades!$K$8*(POWER(Upgrades!$Q$6,E144)*POWER(Upgrades!$Q$7,F144)*POWER(Upgrades!$Q$8,G144)*POWER(Upgrades!$Q$9,H144)*POWER(Upgrades!$Q$10,I144)*POWER(Upgrades!$Q$11,J144)*POWER(Upgrades!$Q$12,K144))*(IF(Upgrades!$T$6="Stellar Coupling",POWER(Upgrades!$U$6,E144),1)*IF(Upgrades!$T$7="Stellar Coupling",POWER(Upgrades!$U$7,F144),1)*IF(Upgrades!$T$9="Stellar Coupling",POWER(Upgrades!$U$9,H144),1)*IF(Upgrades!$T$10="Stellar Coupling",POWER(Upgrades!$U$10,I144),1)*IF(Upgrades!$T$11="Stellar Coupling",POWER(Upgrades!$U$11,J144),1)*IF(Upgrades!$T$12="Stellar Coupling",POWER(Upgrades!$U$12,K144),1))*Parameters!$B$10*Parameters!$B$11/60/AI144,0)</f>
        <v/>
      </c>
      <c r="AV144" s="32">
        <f>IFERROR(Upgrades!$H$9*(POWER(Upgrades!$P$6,E144)*POWER(Upgrades!$P$7,F144)*POWER(Upgrades!$P$8,G144)*POWER(Upgrades!$P$9,H144)*POWER(Upgrades!$P$10,I144)*POWER(Upgrades!$P$11,J144)*POWER(Upgrades!$P$12,K144))*(IF(Upgrades!$T$6="Magnetosphere",POWER(Upgrades!$U$6,E144),1)*IF(Upgrades!$T$7="Magnetosphere",POWER(Upgrades!$U$7,F144),1)*IF(Upgrades!$T$8="Magnetosphere",POWER(Upgrades!$U$8,G144),1)*IF(Upgrades!$T$10="Magnetosphere",POWER(Upgrades!$U$10,I144),1)*IF(Upgrades!$T$11="Magnetosphere",POWER(Upgrades!$U$11,J144),1)*IF(Upgrades!$T$12="Magnetosphere",POWER(Upgrades!$U$12,K144),1))/AJ144,0)</f>
        <v/>
      </c>
      <c r="AW144" s="32">
        <f>MAX(IF(I144&gt;0,0,IFERROR(0.25*N144/Upgrades!$C$10,0)),IF(J144&gt;0,0,IFERROR(0.5*((IF(G144=0,0,(Upgrades!$J$8+G144*Upgrades!$K$8)*POWER(Upgrades!$L$8,G144)))*(IF(Upgrades!$T$6="Stellar Coupling",POWER(Upgrades!$U$6,E144),1)*IF(Upgrades!$T$7="Stellar Coupling",POWER(Upgrades!$U$7,F144),1)*IF(Upgrades!$T$9="Stellar Coupling",POWER(Upgrades!$U$9,H144),1)*IF(Upgrades!$T$10="Stellar Coupling",POWER(Upgrades!$U$10,I144),1)*IF(Upgrades!$T$11="Stellar Coupling",POWER(Upgrades!$U$11,J144),1)*IF(Upgrades!$T$12="Stellar Coupling",POWER(Upgrades!$U$12,K144),1))*(POWER(Upgrades!$Q$6,E144)*POWER(Upgrades!$Q$7,F144)*POWER(Upgrades!$Q$8,G144)*POWER(Upgrades!$Q$9,H144)*POWER(Upgrades!$Q$10,I144)*POWER(Upgrades!$Q$11,J144)*POWER(Upgrades!$Q$12,K144))*Parameters!$B$10*Parameters!$B$11/60)/Upgrades!$C$11,0)),IF(K144&gt;0,0,IFERROR((1.0*(POWER(Upgrades!$P$6,E144)*POWER(Upgrades!$P$7,F144)*POWER(Upgrades!$P$8,G144)*POWER(Upgrades!$P$9,H144)*POWER(Upgrades!$P$10,I144)*POWER(Upgrades!$P$11,J144)*POWER(Upgrades!$P$12,K144))+0.20*M144*Parameters!$B$10*Parameters!$B$11/60)/Upgrades!$C$12,0)),IF(AND(ISNUMBER(AG144),AG144&gt;T144),AS144,0),IF(AND(ISNUMBER(AH144),AH144&gt;T144),AT144,0),IF(AND(ISNUMBER(AI144),AI144&gt;T144),AU144,0),IF(AND(ISNUMBER(AJ144),AJ144&gt;T144),AV144,0))</f>
        <v/>
      </c>
      <c r="AX144" s="29">
        <f>IF(AN144=1,"transition",IF(MIN(IF(AND(I144=0,ISNUMBER(AK144),AK144&lt;=T144),AK144,9E15),IF(AND(J144=0,ISNUMBER(AL144),AL144&lt;=T144),AL144,9E15),IF(AND(K144=0,ISNUMBER(AM144),AM144&lt;=T144),AM144,9E15))&lt;9E15,IF(AND(AND(I144=0,ISNUMBER(AK144),AK144&lt;=T144),AK144=MIN(IF(AND(I144=0,ISNUMBER(AK144),AK144&lt;=T144),AK144,9E15),IF(AND(J144=0,ISNUMBER(AL144),AL144&lt;=T144),AL144,9E15),IF(AND(K144=0,ISNUMBER(AM144),AM144&lt;=T144),AM144,9E15))),"OR",IF(AND(AND(J144=0,ISNUMBER(AL144),AL144&lt;=T144),AL144=MIN(IF(AND(I144=0,ISNUMBER(AK144),AK144&lt;=T144),AK144,9E15),IF(AND(J144=0,ISNUMBER(AL144),AL144&lt;=T144),AL144,9E15),IF(AND(K144=0,ISNUMBER(AM144),AM144&lt;=T144),AM144,9E15))),"HP","FP")),IF(AR144=TRUE,"",IF(MAX(IF(AND(NOT(AND(AO144=1,AN144&lt;&gt;1)),ISNUMBER(AG144),AG144&lt;=T144),AS144,0),IF(AND(NOT(AND(AO144=1,AN144&lt;&gt;1)),ISNUMBER(AH144),AH144&lt;=T144),AT144,0),IF(AND(NOT(AND(AO144=1,AN144&lt;&gt;1)),ISNUMBER(AI144),AI144&lt;=T144),AU144,0),IF(AND(ISNUMBER(AJ144),AJ144&lt;=T144),AV144,0))&lt;=0,"",IF(AND(IF(AND(NOT(AND(AO144=1,AN144&lt;&gt;1)),ISNUMBER(AG144),AG144&lt;=T144),AS144,0)&gt;0,IF(AND(NOT(AND(AO144=1,AN144&lt;&gt;1)),ISNUMBER(AG144),AG144&lt;=T144),AS144,0)=MAX(IF(AND(NOT(AND(AO144=1,AN144&lt;&gt;1)),ISNUMBER(AG144),AG144&lt;=T144),AS144,0),IF(AND(NOT(AND(AO144=1,AN144&lt;&gt;1)),ISNUMBER(AH144),AH144&lt;=T144),AT144,0),IF(AND(NOT(AND(AO144=1,AN144&lt;&gt;1)),ISNUMBER(AI144),AI144&lt;=T144),AU144,0),IF(AND(ISNUMBER(AJ144),AJ144&lt;=T144),AV144,0))),"SW",IF(AND(IF(AND(NOT(AND(AO144=1,AN144&lt;&gt;1)),ISNUMBER(AH144),AH144&lt;=T144),AT144,0)&gt;0,IF(AND(NOT(AND(AO144=1,AN144&lt;&gt;1)),ISNUMBER(AH144),AH144&lt;=T144),AT144,0)=MAX(IF(AND(NOT(AND(AO144=1,AN144&lt;&gt;1)),ISNUMBER(AG144),AG144&lt;=T144),AS144,0),IF(AND(NOT(AND(AO144=1,AN144&lt;&gt;1)),ISNUMBER(AH144),AH144&lt;=T144),AT144,0),IF(AND(NOT(AND(AO144=1,AN144&lt;&gt;1)),ISNUMBER(AI144),AI144&lt;=T144),AU144,0),IF(AND(ISNUMBER(AJ144),AJ144&lt;=T144),AV144,0))),"AB",IF(AND(IF(AND(NOT(AND(AO144=1,AN144&lt;&gt;1)),ISNUMBER(AI144),AI144&lt;=T144),AU144,0)&gt;0,IF(AND(NOT(AND(AO144=1,AN144&lt;&gt;1)),ISNUMBER(AI144),AI144&lt;=T144),AU144,0)=MAX(IF(AND(NOT(AND(AO144=1,AN144&lt;&gt;1)),ISNUMBER(AG144),AG144&lt;=T144),AS144,0),IF(AND(NOT(AND(AO144=1,AN144&lt;&gt;1)),ISNUMBER(AH144),AH144&lt;=T144),AT144,0),IF(AND(NOT(AND(AO144=1,AN144&lt;&gt;1)),ISNUMBER(AI144),AI144&lt;=T144),AU144,0),IF(AND(ISNUMBER(AJ144),AJ144&lt;=T144),AV144,0))),"SC","Mag")))))))</f>
        <v/>
      </c>
    </row>
    <row r="145">
      <c r="A145" s="26" t="n">
        <v>140</v>
      </c>
      <c r="B145" s="27">
        <f>A145*10/60</f>
        <v/>
      </c>
      <c r="C145" s="22">
        <f>X144</f>
        <v/>
      </c>
      <c r="D145" s="27">
        <f>D144+W144</f>
        <v/>
      </c>
      <c r="E145" s="26">
        <f>E144+IF(U144="SW",1,0)</f>
        <v/>
      </c>
      <c r="F145" s="26">
        <f>F144+IF(U144="AB",1,0)</f>
        <v/>
      </c>
      <c r="G145" s="26">
        <f>G144+IF(U144="SC",1,0)</f>
        <v/>
      </c>
      <c r="H145" s="26">
        <f>H144+IF(U144="Mag",1,0)</f>
        <v/>
      </c>
      <c r="I145" s="26">
        <f>MAX(I144,IF(U144="OR",1,0))</f>
        <v/>
      </c>
      <c r="J145" s="26">
        <f>MAX(J144,IF(U144="HP",1,0))</f>
        <v/>
      </c>
      <c r="K145" s="26">
        <f>MAX(K144,IF(U144="FP",1,0))</f>
        <v/>
      </c>
      <c r="L145" s="26">
        <f>MAX(L144,IF(U144="transition",1,0))</f>
        <v/>
      </c>
      <c r="M145" s="28">
        <f>(Parameters!$B$9+(IF(E145=0,0,(Upgrades!$J$6+E145*Upgrades!$K$6)*POWER(Upgrades!$L$6,E145)))*(IF(Upgrades!$T$7="Solar Wind",POWER(Upgrades!$U$7,F145),1)*IF(Upgrades!$T$8="Solar Wind",POWER(Upgrades!$U$8,G145),1)*IF(Upgrades!$T$9="Solar Wind",POWER(Upgrades!$U$9,H145),1)*IF(Upgrades!$T$10="Solar Wind",POWER(Upgrades!$U$10,I145),1)*IF(Upgrades!$T$11="Solar Wind",POWER(Upgrades!$U$11,J145),1)*IF(Upgrades!$T$12="Solar Wind",POWER(Upgrades!$U$12,K145),1))+(IF(F145=0,0,(Upgrades!$J$7+F145*Upgrades!$K$7)*POWER(Upgrades!$L$7,F145)))*(IF(Upgrades!$T$6="Asteroid Belt",POWER(Upgrades!$U$6,E145),1)*IF(Upgrades!$T$8="Asteroid Belt",POWER(Upgrades!$U$8,G145),1)*IF(Upgrades!$T$9="Asteroid Belt",POWER(Upgrades!$U$9,H145),1)*IF(Upgrades!$T$10="Asteroid Belt",POWER(Upgrades!$U$10,I145),1)*IF(Upgrades!$T$11="Asteroid Belt",POWER(Upgrades!$U$11,J145),1)*IF(Upgrades!$T$12="Asteroid Belt",POWER(Upgrades!$U$12,K145),1))+(IF(G145=0,0,(Upgrades!$J$8+G145*Upgrades!$K$8)*POWER(Upgrades!$L$8,G145)))*(IF(Upgrades!$T$6="Stellar Coupling",POWER(Upgrades!$U$6,E145),1)*IF(Upgrades!$T$7="Stellar Coupling",POWER(Upgrades!$U$7,F145),1)*IF(Upgrades!$T$9="Stellar Coupling",POWER(Upgrades!$U$9,H145),1)*IF(Upgrades!$T$10="Stellar Coupling",POWER(Upgrades!$U$10,I145),1)*IF(Upgrades!$T$11="Stellar Coupling",POWER(Upgrades!$U$11,J145),1)*IF(Upgrades!$T$12="Stellar Coupling",POWER(Upgrades!$U$12,K145),1))+(IF(H145=0,0,(Upgrades!$J$9+H145*Upgrades!$K$9)*POWER(Upgrades!$L$9,H145)))*(IF(Upgrades!$T$6="Magnetosphere",POWER(Upgrades!$U$6,E145),1)*IF(Upgrades!$T$7="Magnetosphere",POWER(Upgrades!$U$7,F145),1)*IF(Upgrades!$T$8="Magnetosphere",POWER(Upgrades!$U$8,G145),1)*IF(Upgrades!$T$10="Magnetosphere",POWER(Upgrades!$U$10,I145),1)*IF(Upgrades!$T$11="Magnetosphere",POWER(Upgrades!$U$11,J145),1)*IF(Upgrades!$T$12="Magnetosphere",POWER(Upgrades!$U$12,K145),1))+(IF(I145=0,0,(Upgrades!$J$10+I145*Upgrades!$K$10)*POWER(Upgrades!$L$10,I145)))*(IF(Upgrades!$T$6="Orbital Resonance",POWER(Upgrades!$U$6,E145),1)*IF(Upgrades!$T$7="Orbital Resonance",POWER(Upgrades!$U$7,F145),1)*IF(Upgrades!$T$8="Orbital Resonance",POWER(Upgrades!$U$8,G145),1)*IF(Upgrades!$T$9="Orbital Resonance",POWER(Upgrades!$U$9,H145),1)*IF(Upgrades!$T$11="Orbital Resonance",POWER(Upgrades!$U$11,J145),1)*IF(Upgrades!$T$12="Orbital Resonance",POWER(Upgrades!$U$12,K145),1))+(IF(J145=0,0,(Upgrades!$J$11+J145*Upgrades!$K$11)*POWER(Upgrades!$L$11,J145)))*(IF(Upgrades!$T$6="Heliopause",POWER(Upgrades!$U$6,E145),1)*IF(Upgrades!$T$7="Heliopause",POWER(Upgrades!$U$7,F145),1)*IF(Upgrades!$T$8="Heliopause",POWER(Upgrades!$U$8,G145),1)*IF(Upgrades!$T$9="Heliopause",POWER(Upgrades!$U$9,H145),1)*IF(Upgrades!$T$10="Heliopause",POWER(Upgrades!$U$10,I145),1)*IF(Upgrades!$T$12="Heliopause",POWER(Upgrades!$U$12,K145),1))+(IF(K145=0,0,(Upgrades!$J$12+K145*Upgrades!$K$12)*POWER(Upgrades!$L$12,K145)))*(IF(Upgrades!$T$6="First Photons",POWER(Upgrades!$U$6,E145),1)*IF(Upgrades!$T$7="First Photons",POWER(Upgrades!$U$7,F145),1)*IF(Upgrades!$T$8="First Photons",POWER(Upgrades!$U$8,G145),1)*IF(Upgrades!$T$9="First Photons",POWER(Upgrades!$U$9,H145),1)*IF(Upgrades!$T$10="First Photons",POWER(Upgrades!$U$10,I145),1)*IF(Upgrades!$T$11="First Photons",POWER(Upgrades!$U$11,J145),1)))*POWER(Upgrades!$Q$6,E145)*POWER(Upgrades!$Q$7,F145)*POWER(Upgrades!$Q$8,G145)*POWER(Upgrades!$Q$9,H145)*POWER(Upgrades!$Q$10,I145)*POWER(Upgrades!$Q$11,J145)*POWER(Upgrades!$Q$12,K145)</f>
        <v/>
      </c>
      <c r="N145" s="28">
        <f>((IF(E145=0,0,(Upgrades!$G$6+E145*Upgrades!$H$6)*POWER(Upgrades!$I$6,E145)))*(IF(Upgrades!$T$7="Solar Wind",POWER(Upgrades!$U$7,F145),1)*IF(Upgrades!$T$8="Solar Wind",POWER(Upgrades!$U$8,G145),1)*IF(Upgrades!$T$9="Solar Wind",POWER(Upgrades!$U$9,H145),1)*IF(Upgrades!$T$10="Solar Wind",POWER(Upgrades!$U$10,I145),1)*IF(Upgrades!$T$11="Solar Wind",POWER(Upgrades!$U$11,J145),1)*IF(Upgrades!$T$12="Solar Wind",POWER(Upgrades!$U$12,K145),1))+(IF(F145=0,0,(Upgrades!$G$7+F145*Upgrades!$H$7)*POWER(Upgrades!$I$7,F145)))*(IF(Upgrades!$T$6="Asteroid Belt",POWER(Upgrades!$U$6,E145),1)*IF(Upgrades!$T$8="Asteroid Belt",POWER(Upgrades!$U$8,G145),1)*IF(Upgrades!$T$9="Asteroid Belt",POWER(Upgrades!$U$9,H145),1)*IF(Upgrades!$T$10="Asteroid Belt",POWER(Upgrades!$U$10,I145),1)*IF(Upgrades!$T$11="Asteroid Belt",POWER(Upgrades!$U$11,J145),1)*IF(Upgrades!$T$12="Asteroid Belt",POWER(Upgrades!$U$12,K145),1))+(IF(G145=0,0,(Upgrades!$G$8+G145*Upgrades!$H$8)*POWER(Upgrades!$I$8,G145)))*(IF(Upgrades!$T$6="Stellar Coupling",POWER(Upgrades!$U$6,E145),1)*IF(Upgrades!$T$7="Stellar Coupling",POWER(Upgrades!$U$7,F145),1)*IF(Upgrades!$T$9="Stellar Coupling",POWER(Upgrades!$U$9,H145),1)*IF(Upgrades!$T$10="Stellar Coupling",POWER(Upgrades!$U$10,I145),1)*IF(Upgrades!$T$11="Stellar Coupling",POWER(Upgrades!$U$11,J145),1)*IF(Upgrades!$T$12="Stellar Coupling",POWER(Upgrades!$U$12,K145),1))+(IF(H145=0,0,(Upgrades!$G$9+H145*Upgrades!$H$9)*POWER(Upgrades!$I$9,H145)))*(IF(Upgrades!$T$6="Magnetosphere",POWER(Upgrades!$U$6,E145),1)*IF(Upgrades!$T$7="Magnetosphere",POWER(Upgrades!$U$7,F145),1)*IF(Upgrades!$T$8="Magnetosphere",POWER(Upgrades!$U$8,G145),1)*IF(Upgrades!$T$10="Magnetosphere",POWER(Upgrades!$U$10,I145),1)*IF(Upgrades!$T$11="Magnetosphere",POWER(Upgrades!$U$11,J145),1)*IF(Upgrades!$T$12="Magnetosphere",POWER(Upgrades!$U$12,K145),1))+(IF(I145=0,0,(Upgrades!$G$10+I145*Upgrades!$H$10)*POWER(Upgrades!$I$10,I145)))*(IF(Upgrades!$T$6="Orbital Resonance",POWER(Upgrades!$U$6,E145),1)*IF(Upgrades!$T$7="Orbital Resonance",POWER(Upgrades!$U$7,F145),1)*IF(Upgrades!$T$8="Orbital Resonance",POWER(Upgrades!$U$8,G145),1)*IF(Upgrades!$T$9="Orbital Resonance",POWER(Upgrades!$U$9,H145),1)*IF(Upgrades!$T$11="Orbital Resonance",POWER(Upgrades!$U$11,J145),1)*IF(Upgrades!$T$12="Orbital Resonance",POWER(Upgrades!$U$12,K145),1))+(IF(J145=0,0,(Upgrades!$G$11+J145*Upgrades!$H$11)*POWER(Upgrades!$I$11,J145)))*(IF(Upgrades!$T$6="Heliopause",POWER(Upgrades!$U$6,E145),1)*IF(Upgrades!$T$7="Heliopause",POWER(Upgrades!$U$7,F145),1)*IF(Upgrades!$T$8="Heliopause",POWER(Upgrades!$U$8,G145),1)*IF(Upgrades!$T$9="Heliopause",POWER(Upgrades!$U$9,H145),1)*IF(Upgrades!$T$10="Heliopause",POWER(Upgrades!$U$10,I145),1)*IF(Upgrades!$T$12="Heliopause",POWER(Upgrades!$U$12,K145),1))+(IF(K145=0,0,(Upgrades!$G$12+K145*Upgrades!$H$12)*POWER(Upgrades!$I$12,K145)))*(IF(Upgrades!$T$6="First Photons",POWER(Upgrades!$U$6,E145),1)*IF(Upgrades!$T$7="First Photons",POWER(Upgrades!$U$7,F145),1)*IF(Upgrades!$T$8="First Photons",POWER(Upgrades!$U$8,G145),1)*IF(Upgrades!$T$9="First Photons",POWER(Upgrades!$U$9,H145),1)*IF(Upgrades!$T$10="First Photons",POWER(Upgrades!$U$10,I145),1)*IF(Upgrades!$T$11="First Photons",POWER(Upgrades!$U$11,J145),1)))*POWER(Upgrades!$P$6,E145)*POWER(Upgrades!$P$7,F145)*POWER(Upgrades!$P$8,G145)*POWER(Upgrades!$P$9,H145)*POWER(Upgrades!$P$10,I145)*POWER(Upgrades!$P$11,J145)*POWER(Upgrades!$P$12,K145)</f>
        <v/>
      </c>
      <c r="O145" s="28">
        <f>((IF(E145=0,0,(Upgrades!$M$6+E145*Upgrades!$N$6)*POWER(Upgrades!$O$6,E145)))*(IF(Upgrades!$T$7="Solar Wind",POWER(Upgrades!$U$7,F145),1)*IF(Upgrades!$T$8="Solar Wind",POWER(Upgrades!$U$8,G145),1)*IF(Upgrades!$T$9="Solar Wind",POWER(Upgrades!$U$9,H145),1)*IF(Upgrades!$T$10="Solar Wind",POWER(Upgrades!$U$10,I145),1)*IF(Upgrades!$T$11="Solar Wind",POWER(Upgrades!$U$11,J145),1)*IF(Upgrades!$T$12="Solar Wind",POWER(Upgrades!$U$12,K145),1))+(IF(F145=0,0,(Upgrades!$M$7+F145*Upgrades!$N$7)*POWER(Upgrades!$O$7,F145)))*(IF(Upgrades!$T$6="Asteroid Belt",POWER(Upgrades!$U$6,E145),1)*IF(Upgrades!$T$8="Asteroid Belt",POWER(Upgrades!$U$8,G145),1)*IF(Upgrades!$T$9="Asteroid Belt",POWER(Upgrades!$U$9,H145),1)*IF(Upgrades!$T$10="Asteroid Belt",POWER(Upgrades!$U$10,I145),1)*IF(Upgrades!$T$11="Asteroid Belt",POWER(Upgrades!$U$11,J145),1)*IF(Upgrades!$T$12="Asteroid Belt",POWER(Upgrades!$U$12,K145),1))+(IF(G145=0,0,(Upgrades!$M$8+G145*Upgrades!$N$8)*POWER(Upgrades!$O$8,G145)))*(IF(Upgrades!$T$6="Stellar Coupling",POWER(Upgrades!$U$6,E145),1)*IF(Upgrades!$T$7="Stellar Coupling",POWER(Upgrades!$U$7,F145),1)*IF(Upgrades!$T$9="Stellar Coupling",POWER(Upgrades!$U$9,H145),1)*IF(Upgrades!$T$10="Stellar Coupling",POWER(Upgrades!$U$10,I145),1)*IF(Upgrades!$T$11="Stellar Coupling",POWER(Upgrades!$U$11,J145),1)*IF(Upgrades!$T$12="Stellar Coupling",POWER(Upgrades!$U$12,K145),1))+(IF(H145=0,0,(Upgrades!$M$9+H145*Upgrades!$N$9)*POWER(Upgrades!$O$9,H145)))*(IF(Upgrades!$T$6="Magnetosphere",POWER(Upgrades!$U$6,E145),1)*IF(Upgrades!$T$7="Magnetosphere",POWER(Upgrades!$U$7,F145),1)*IF(Upgrades!$T$8="Magnetosphere",POWER(Upgrades!$U$8,G145),1)*IF(Upgrades!$T$10="Magnetosphere",POWER(Upgrades!$U$10,I145),1)*IF(Upgrades!$T$11="Magnetosphere",POWER(Upgrades!$U$11,J145),1)*IF(Upgrades!$T$12="Magnetosphere",POWER(Upgrades!$U$12,K145),1))+(IF(I145=0,0,(Upgrades!$M$10+I145*Upgrades!$N$10)*POWER(Upgrades!$O$10,I145)))*(IF(Upgrades!$T$6="Orbital Resonance",POWER(Upgrades!$U$6,E145),1)*IF(Upgrades!$T$7="Orbital Resonance",POWER(Upgrades!$U$7,F145),1)*IF(Upgrades!$T$8="Orbital Resonance",POWER(Upgrades!$U$8,G145),1)*IF(Upgrades!$T$9="Orbital Resonance",POWER(Upgrades!$U$9,H145),1)*IF(Upgrades!$T$11="Orbital Resonance",POWER(Upgrades!$U$11,J145),1)*IF(Upgrades!$T$12="Orbital Resonance",POWER(Upgrades!$U$12,K145),1))+(IF(J145=0,0,(Upgrades!$M$11+J145*Upgrades!$N$11)*POWER(Upgrades!$O$11,J145)))*(IF(Upgrades!$T$6="Heliopause",POWER(Upgrades!$U$6,E145),1)*IF(Upgrades!$T$7="Heliopause",POWER(Upgrades!$U$7,F145),1)*IF(Upgrades!$T$8="Heliopause",POWER(Upgrades!$U$8,G145),1)*IF(Upgrades!$T$9="Heliopause",POWER(Upgrades!$U$9,H145),1)*IF(Upgrades!$T$10="Heliopause",POWER(Upgrades!$U$10,I145),1)*IF(Upgrades!$T$12="Heliopause",POWER(Upgrades!$U$12,K145),1))+(IF(K145=0,0,(Upgrades!$M$12+K145*Upgrades!$N$12)*POWER(Upgrades!$O$12,K145)))*(IF(Upgrades!$T$6="First Photons",POWER(Upgrades!$U$6,E145),1)*IF(Upgrades!$T$7="First Photons",POWER(Upgrades!$U$7,F145),1)*IF(Upgrades!$T$8="First Photons",POWER(Upgrades!$U$8,G145),1)*IF(Upgrades!$T$9="First Photons",POWER(Upgrades!$U$9,H145),1)*IF(Upgrades!$T$10="First Photons",POWER(Upgrades!$U$10,I145),1)*IF(Upgrades!$T$11="First Photons",POWER(Upgrades!$U$11,J145),1)))*POWER(Upgrades!$R$6,E145)*POWER(Upgrades!$R$7,F145)*POWER(Upgrades!$R$8,G145)*POWER(Upgrades!$R$9,H145)*POWER(Upgrades!$R$10,I145)*POWER(Upgrades!$R$11,J145)*POWER(Upgrades!$R$12,K145)</f>
        <v/>
      </c>
      <c r="P145" s="27">
        <f>IF(L145=1,0,M145*Parameters!$B$10/60*Parameters!$B$11*10)</f>
        <v/>
      </c>
      <c r="Q145" s="27">
        <f>IF(L145=1,0,O145*M145*10)</f>
        <v/>
      </c>
      <c r="R145" s="27">
        <f>IF(L145=1,0,N145*10)</f>
        <v/>
      </c>
      <c r="S145" s="27">
        <f>P145+Q145+R145</f>
        <v/>
      </c>
      <c r="T145" s="22">
        <f>C145+S145</f>
        <v/>
      </c>
      <c r="U145" s="33">
        <f>AX145</f>
        <v/>
      </c>
      <c r="V145" s="22">
        <f>IF(U145="",0,IF(U145="transition",0,IF(U145="SW",AG145,IF(U145="AB",AH145,IF(U145="SC",AI145,IF(U145="Mag",AJ145,IF(U145="OR",AK145,IF(U145="HP",AL145,IF(U145="FP",AM145,0)))))))))</f>
        <v/>
      </c>
      <c r="W145" s="27">
        <f>IF(U145="OR",Upgrades!$F$10,IF(U145="HP",Upgrades!$F$11,IF(U145="transition",-Parameters!$B$18,0)))</f>
        <v/>
      </c>
      <c r="X145" s="22">
        <f>T145-V145</f>
        <v/>
      </c>
      <c r="Y145" s="30">
        <f>M145*Parameters!$B$10/60*Parameters!$B$11+O145*M145+N145</f>
        <v/>
      </c>
      <c r="Z145" s="34">
        <f>IF(U145="transition","→ Tier 2 (Stellar Neighborhood)",IF(U145="FP","First Photons — light begins, system quickens",IF(U145="HP","Heliopause acquired",IF(U145="OR","Orbital Resonance — passive multiplier active",IF(AND(AO145=1,L145=0,AN145&lt;&gt;1),"Cohesion ready (waiting on completionist upgrades)","")))))</f>
        <v/>
      </c>
      <c r="AA145" s="27">
        <f>(IF(E145=0,0,(Upgrades!$G$6+E145*Upgrades!$H$6)*POWER(Upgrades!$I$6,E145)))*(IF(Upgrades!$T$7="Solar Wind",POWER(Upgrades!$U$7,F145),1)*IF(Upgrades!$T$8="Solar Wind",POWER(Upgrades!$U$8,G145),1)*IF(Upgrades!$T$9="Solar Wind",POWER(Upgrades!$U$9,H145),1)*IF(Upgrades!$T$10="Solar Wind",POWER(Upgrades!$U$10,I145),1)*IF(Upgrades!$T$11="Solar Wind",POWER(Upgrades!$U$11,J145),1)*IF(Upgrades!$T$12="Solar Wind",POWER(Upgrades!$U$12,K145),1))*POWER(Upgrades!$P$6,E145)*POWER(Upgrades!$P$7,F145)*POWER(Upgrades!$P$8,G145)*POWER(Upgrades!$P$9,H145)*POWER(Upgrades!$P$10,I145)*POWER(Upgrades!$P$11,J145)*POWER(Upgrades!$P$12,K145)*60</f>
        <v/>
      </c>
      <c r="AB145" s="27">
        <f>(IF(F145=0,0,(Upgrades!$G$7+F145*Upgrades!$H$7)*POWER(Upgrades!$I$7,F145)))*(IF(Upgrades!$T$6="Asteroid Belt",POWER(Upgrades!$U$6,E145),1)*IF(Upgrades!$T$8="Asteroid Belt",POWER(Upgrades!$U$8,G145),1)*IF(Upgrades!$T$9="Asteroid Belt",POWER(Upgrades!$U$9,H145),1)*IF(Upgrades!$T$10="Asteroid Belt",POWER(Upgrades!$U$10,I145),1)*IF(Upgrades!$T$11="Asteroid Belt",POWER(Upgrades!$U$11,J145),1)*IF(Upgrades!$T$12="Asteroid Belt",POWER(Upgrades!$U$12,K145),1))*POWER(Upgrades!$P$6,E145)*POWER(Upgrades!$P$7,F145)*POWER(Upgrades!$P$8,G145)*POWER(Upgrades!$P$9,H145)*POWER(Upgrades!$P$10,I145)*POWER(Upgrades!$P$11,J145)*POWER(Upgrades!$P$12,K145)*60</f>
        <v/>
      </c>
      <c r="AC145" s="27">
        <f>(IF(G145=0,0,(Upgrades!$J$8+G145*Upgrades!$K$8)*POWER(Upgrades!$L$8,G145)))*(IF(Upgrades!$T$6="Stellar Coupling",POWER(Upgrades!$U$6,E145),1)*IF(Upgrades!$T$7="Stellar Coupling",POWER(Upgrades!$U$7,F145),1)*IF(Upgrades!$T$9="Stellar Coupling",POWER(Upgrades!$U$9,H145),1)*IF(Upgrades!$T$10="Stellar Coupling",POWER(Upgrades!$U$10,I145),1)*IF(Upgrades!$T$11="Stellar Coupling",POWER(Upgrades!$U$11,J145),1)*IF(Upgrades!$T$12="Stellar Coupling",POWER(Upgrades!$U$12,K145),1))*POWER(Upgrades!$Q$6,E145)*POWER(Upgrades!$Q$7,F145)*POWER(Upgrades!$Q$8,G145)*POWER(Upgrades!$Q$9,H145)*POWER(Upgrades!$Q$10,I145)*POWER(Upgrades!$Q$11,J145)*POWER(Upgrades!$Q$12,K145)*Parameters!$B$10*Parameters!$B$11</f>
        <v/>
      </c>
      <c r="AD145" s="27">
        <f>(IF(H145=0,0,(Upgrades!$G$9+H145*Upgrades!$H$9)*POWER(Upgrades!$I$9,H145)))*(IF(Upgrades!$T$6="Magnetosphere",POWER(Upgrades!$U$6,E145),1)*IF(Upgrades!$T$7="Magnetosphere",POWER(Upgrades!$U$7,F145),1)*IF(Upgrades!$T$8="Magnetosphere",POWER(Upgrades!$U$8,G145),1)*IF(Upgrades!$T$10="Magnetosphere",POWER(Upgrades!$U$10,I145),1)*IF(Upgrades!$T$11="Magnetosphere",POWER(Upgrades!$U$11,J145),1)*IF(Upgrades!$T$12="Magnetosphere",POWER(Upgrades!$U$12,K145),1))*POWER(Upgrades!$P$6,E145)*POWER(Upgrades!$P$7,F145)*POWER(Upgrades!$P$8,G145)*POWER(Upgrades!$P$9,H145)*POWER(Upgrades!$P$10,I145)*POWER(Upgrades!$P$11,J145)*POWER(Upgrades!$P$12,K145)*60</f>
        <v/>
      </c>
      <c r="AE145" s="27">
        <f>(IF(K145=0,0,(Upgrades!$G$12+K145*Upgrades!$H$12)*POWER(Upgrades!$I$12,K145)))*(IF(Upgrades!$T$6="First Photons",POWER(Upgrades!$U$6,E145),1)*IF(Upgrades!$T$7="First Photons",POWER(Upgrades!$U$7,F145),1)*IF(Upgrades!$T$8="First Photons",POWER(Upgrades!$U$8,G145),1)*IF(Upgrades!$T$9="First Photons",POWER(Upgrades!$U$9,H145),1)*IF(Upgrades!$T$10="First Photons",POWER(Upgrades!$U$10,I145),1)*IF(Upgrades!$T$11="First Photons",POWER(Upgrades!$U$11,J145),1))*POWER(Upgrades!$P$6,E145)*POWER(Upgrades!$P$7,F145)*POWER(Upgrades!$P$8,G145)*POWER(Upgrades!$P$9,H145)*POWER(Upgrades!$P$10,I145)*POWER(Upgrades!$P$11,J145)*POWER(Upgrades!$P$12,K145)*60</f>
        <v/>
      </c>
      <c r="AF145" s="27">
        <f>Parameters!$B$9*POWER(Upgrades!$Q$6,E145)*POWER(Upgrades!$Q$7,F145)*POWER(Upgrades!$Q$8,G145)*POWER(Upgrades!$Q$9,H145)*POWER(Upgrades!$Q$10,I145)*POWER(Upgrades!$Q$11,J145)*POWER(Upgrades!$Q$12,K145)*(Parameters!$B$10*Parameters!$B$11+O145*60)</f>
        <v/>
      </c>
      <c r="AG145" s="22">
        <f>IF(E145&gt;=Upgrades!$E$6,"",Upgrades!$C$6*POWER(Upgrades!$D$6,E145))</f>
        <v/>
      </c>
      <c r="AH145" s="22">
        <f>IF(F145&gt;=Upgrades!$E$7,"",Upgrades!$C$7*POWER(Upgrades!$D$7,F145))</f>
        <v/>
      </c>
      <c r="AI145" s="22">
        <f>IF(G145&gt;=Upgrades!$E$8,"",Upgrades!$C$8*POWER(Upgrades!$D$8,G145))</f>
        <v/>
      </c>
      <c r="AJ145" s="22">
        <f>IF(H145&gt;=Upgrades!$E$9,"",Upgrades!$C$9*POWER(Upgrades!$D$9,H145))</f>
        <v/>
      </c>
      <c r="AK145" s="22">
        <f>IF(I145&gt;=Upgrades!$E$10,"",Upgrades!$C$10*POWER(Upgrades!$D$10,I145))</f>
        <v/>
      </c>
      <c r="AL145" s="22">
        <f>IF(J145&gt;=Upgrades!$E$11,"",Upgrades!$C$11*POWER(Upgrades!$D$11,J145))</f>
        <v/>
      </c>
      <c r="AM145" s="22">
        <f>IF(K145&gt;=Upgrades!$E$12,"",Upgrades!$C$12*POWER(Upgrades!$D$12,K145))</f>
        <v/>
      </c>
      <c r="AN145" s="26">
        <f>IF(AND(D145&gt;=Parameters!$B$18,(H145&gt;=Upgrades!$E$9)*(K145&gt;=Upgrades!$E$12)=1,L145=0),1,"")</f>
        <v/>
      </c>
      <c r="AO145" s="26">
        <f>IF(AND(D145&gt;=Parameters!$B$18,L145=0),1,"")</f>
        <v/>
      </c>
      <c r="AP145" s="22">
        <f>MIN(IF(ISNUMBER(AK145),AK145,9E15),IF(ISNUMBER(AL145),AL145,9E15),IF(ISNUMBER(AM145),AM145,9E15))</f>
        <v/>
      </c>
      <c r="AQ145" s="22">
        <f>MIN(IF(ISNUMBER(AG145),AG145,9E15),IF(ISNUMBER(AH145),AH145,9E15),IF(ISNUMBER(AI145),AI145,9E15),IF(ISNUMBER(AJ145),AJ145,9E15))</f>
        <v/>
      </c>
      <c r="AR145" s="29">
        <f>IF(AW145&gt;Parameters!$B$21*(MAX(IF(AND(NOT(AND(AO145=1,AN145&lt;&gt;1)),ISNUMBER(AG145),AG145&lt;=T145),AS145,0),IF(AND(NOT(AND(AO145=1,AN145&lt;&gt;1)),ISNUMBER(AH145),AH145&lt;=T145),AT145,0),IF(AND(NOT(AND(AO145=1,AN145&lt;&gt;1)),ISNUMBER(AI145),AI145&lt;=T145),AU145,0),IF(AND(ISNUMBER(AJ145),AJ145&lt;=T145),AV145,0))),TRUE,FALSE)</f>
        <v/>
      </c>
      <c r="AS145" s="32">
        <f>IFERROR(Upgrades!$H$6*(POWER(Upgrades!$P$6,E145)*POWER(Upgrades!$P$7,F145)*POWER(Upgrades!$P$8,G145)*POWER(Upgrades!$P$9,H145)*POWER(Upgrades!$P$10,I145)*POWER(Upgrades!$P$11,J145)*POWER(Upgrades!$P$12,K145))*(IF(Upgrades!$T$7="Solar Wind",POWER(Upgrades!$U$7,F145),1)*IF(Upgrades!$T$8="Solar Wind",POWER(Upgrades!$U$8,G145),1)*IF(Upgrades!$T$9="Solar Wind",POWER(Upgrades!$U$9,H145),1)*IF(Upgrades!$T$10="Solar Wind",POWER(Upgrades!$U$10,I145),1)*IF(Upgrades!$T$11="Solar Wind",POWER(Upgrades!$U$11,J145),1)*IF(Upgrades!$T$12="Solar Wind",POWER(Upgrades!$U$12,K145),1))/AG145,0)</f>
        <v/>
      </c>
      <c r="AT145" s="32">
        <f>IFERROR(Upgrades!$H$7*(POWER(Upgrades!$P$6,E145)*POWER(Upgrades!$P$7,F145)*POWER(Upgrades!$P$8,G145)*POWER(Upgrades!$P$9,H145)*POWER(Upgrades!$P$10,I145)*POWER(Upgrades!$P$11,J145)*POWER(Upgrades!$P$12,K145))*(IF(Upgrades!$T$6="Asteroid Belt",POWER(Upgrades!$U$6,E145),1)*IF(Upgrades!$T$8="Asteroid Belt",POWER(Upgrades!$U$8,G145),1)*IF(Upgrades!$T$9="Asteroid Belt",POWER(Upgrades!$U$9,H145),1)*IF(Upgrades!$T$10="Asteroid Belt",POWER(Upgrades!$U$10,I145),1)*IF(Upgrades!$T$11="Asteroid Belt",POWER(Upgrades!$U$11,J145),1)*IF(Upgrades!$T$12="Asteroid Belt",POWER(Upgrades!$U$12,K145),1))/AH145,0)</f>
        <v/>
      </c>
      <c r="AU145" s="32">
        <f>IFERROR(Upgrades!$K$8*(POWER(Upgrades!$Q$6,E145)*POWER(Upgrades!$Q$7,F145)*POWER(Upgrades!$Q$8,G145)*POWER(Upgrades!$Q$9,H145)*POWER(Upgrades!$Q$10,I145)*POWER(Upgrades!$Q$11,J145)*POWER(Upgrades!$Q$12,K145))*(IF(Upgrades!$T$6="Stellar Coupling",POWER(Upgrades!$U$6,E145),1)*IF(Upgrades!$T$7="Stellar Coupling",POWER(Upgrades!$U$7,F145),1)*IF(Upgrades!$T$9="Stellar Coupling",POWER(Upgrades!$U$9,H145),1)*IF(Upgrades!$T$10="Stellar Coupling",POWER(Upgrades!$U$10,I145),1)*IF(Upgrades!$T$11="Stellar Coupling",POWER(Upgrades!$U$11,J145),1)*IF(Upgrades!$T$12="Stellar Coupling",POWER(Upgrades!$U$12,K145),1))*Parameters!$B$10*Parameters!$B$11/60/AI145,0)</f>
        <v/>
      </c>
      <c r="AV145" s="32">
        <f>IFERROR(Upgrades!$H$9*(POWER(Upgrades!$P$6,E145)*POWER(Upgrades!$P$7,F145)*POWER(Upgrades!$P$8,G145)*POWER(Upgrades!$P$9,H145)*POWER(Upgrades!$P$10,I145)*POWER(Upgrades!$P$11,J145)*POWER(Upgrades!$P$12,K145))*(IF(Upgrades!$T$6="Magnetosphere",POWER(Upgrades!$U$6,E145),1)*IF(Upgrades!$T$7="Magnetosphere",POWER(Upgrades!$U$7,F145),1)*IF(Upgrades!$T$8="Magnetosphere",POWER(Upgrades!$U$8,G145),1)*IF(Upgrades!$T$10="Magnetosphere",POWER(Upgrades!$U$10,I145),1)*IF(Upgrades!$T$11="Magnetosphere",POWER(Upgrades!$U$11,J145),1)*IF(Upgrades!$T$12="Magnetosphere",POWER(Upgrades!$U$12,K145),1))/AJ145,0)</f>
        <v/>
      </c>
      <c r="AW145" s="32">
        <f>MAX(IF(I145&gt;0,0,IFERROR(0.25*N145/Upgrades!$C$10,0)),IF(J145&gt;0,0,IFERROR(0.5*((IF(G145=0,0,(Upgrades!$J$8+G145*Upgrades!$K$8)*POWER(Upgrades!$L$8,G145)))*(IF(Upgrades!$T$6="Stellar Coupling",POWER(Upgrades!$U$6,E145),1)*IF(Upgrades!$T$7="Stellar Coupling",POWER(Upgrades!$U$7,F145),1)*IF(Upgrades!$T$9="Stellar Coupling",POWER(Upgrades!$U$9,H145),1)*IF(Upgrades!$T$10="Stellar Coupling",POWER(Upgrades!$U$10,I145),1)*IF(Upgrades!$T$11="Stellar Coupling",POWER(Upgrades!$U$11,J145),1)*IF(Upgrades!$T$12="Stellar Coupling",POWER(Upgrades!$U$12,K145),1))*(POWER(Upgrades!$Q$6,E145)*POWER(Upgrades!$Q$7,F145)*POWER(Upgrades!$Q$8,G145)*POWER(Upgrades!$Q$9,H145)*POWER(Upgrades!$Q$10,I145)*POWER(Upgrades!$Q$11,J145)*POWER(Upgrades!$Q$12,K145))*Parameters!$B$10*Parameters!$B$11/60)/Upgrades!$C$11,0)),IF(K145&gt;0,0,IFERROR((1.0*(POWER(Upgrades!$P$6,E145)*POWER(Upgrades!$P$7,F145)*POWER(Upgrades!$P$8,G145)*POWER(Upgrades!$P$9,H145)*POWER(Upgrades!$P$10,I145)*POWER(Upgrades!$P$11,J145)*POWER(Upgrades!$P$12,K145))+0.20*M145*Parameters!$B$10*Parameters!$B$11/60)/Upgrades!$C$12,0)),IF(AND(ISNUMBER(AG145),AG145&gt;T145),AS145,0),IF(AND(ISNUMBER(AH145),AH145&gt;T145),AT145,0),IF(AND(ISNUMBER(AI145),AI145&gt;T145),AU145,0),IF(AND(ISNUMBER(AJ145),AJ145&gt;T145),AV145,0))</f>
        <v/>
      </c>
      <c r="AX145" s="29">
        <f>IF(AN145=1,"transition",IF(MIN(IF(AND(I145=0,ISNUMBER(AK145),AK145&lt;=T145),AK145,9E15),IF(AND(J145=0,ISNUMBER(AL145),AL145&lt;=T145),AL145,9E15),IF(AND(K145=0,ISNUMBER(AM145),AM145&lt;=T145),AM145,9E15))&lt;9E15,IF(AND(AND(I145=0,ISNUMBER(AK145),AK145&lt;=T145),AK145=MIN(IF(AND(I145=0,ISNUMBER(AK145),AK145&lt;=T145),AK145,9E15),IF(AND(J145=0,ISNUMBER(AL145),AL145&lt;=T145),AL145,9E15),IF(AND(K145=0,ISNUMBER(AM145),AM145&lt;=T145),AM145,9E15))),"OR",IF(AND(AND(J145=0,ISNUMBER(AL145),AL145&lt;=T145),AL145=MIN(IF(AND(I145=0,ISNUMBER(AK145),AK145&lt;=T145),AK145,9E15),IF(AND(J145=0,ISNUMBER(AL145),AL145&lt;=T145),AL145,9E15),IF(AND(K145=0,ISNUMBER(AM145),AM145&lt;=T145),AM145,9E15))),"HP","FP")),IF(AR145=TRUE,"",IF(MAX(IF(AND(NOT(AND(AO145=1,AN145&lt;&gt;1)),ISNUMBER(AG145),AG145&lt;=T145),AS145,0),IF(AND(NOT(AND(AO145=1,AN145&lt;&gt;1)),ISNUMBER(AH145),AH145&lt;=T145),AT145,0),IF(AND(NOT(AND(AO145=1,AN145&lt;&gt;1)),ISNUMBER(AI145),AI145&lt;=T145),AU145,0),IF(AND(ISNUMBER(AJ145),AJ145&lt;=T145),AV145,0))&lt;=0,"",IF(AND(IF(AND(NOT(AND(AO145=1,AN145&lt;&gt;1)),ISNUMBER(AG145),AG145&lt;=T145),AS145,0)&gt;0,IF(AND(NOT(AND(AO145=1,AN145&lt;&gt;1)),ISNUMBER(AG145),AG145&lt;=T145),AS145,0)=MAX(IF(AND(NOT(AND(AO145=1,AN145&lt;&gt;1)),ISNUMBER(AG145),AG145&lt;=T145),AS145,0),IF(AND(NOT(AND(AO145=1,AN145&lt;&gt;1)),ISNUMBER(AH145),AH145&lt;=T145),AT145,0),IF(AND(NOT(AND(AO145=1,AN145&lt;&gt;1)),ISNUMBER(AI145),AI145&lt;=T145),AU145,0),IF(AND(ISNUMBER(AJ145),AJ145&lt;=T145),AV145,0))),"SW",IF(AND(IF(AND(NOT(AND(AO145=1,AN145&lt;&gt;1)),ISNUMBER(AH145),AH145&lt;=T145),AT145,0)&gt;0,IF(AND(NOT(AND(AO145=1,AN145&lt;&gt;1)),ISNUMBER(AH145),AH145&lt;=T145),AT145,0)=MAX(IF(AND(NOT(AND(AO145=1,AN145&lt;&gt;1)),ISNUMBER(AG145),AG145&lt;=T145),AS145,0),IF(AND(NOT(AND(AO145=1,AN145&lt;&gt;1)),ISNUMBER(AH145),AH145&lt;=T145),AT145,0),IF(AND(NOT(AND(AO145=1,AN145&lt;&gt;1)),ISNUMBER(AI145),AI145&lt;=T145),AU145,0),IF(AND(ISNUMBER(AJ145),AJ145&lt;=T145),AV145,0))),"AB",IF(AND(IF(AND(NOT(AND(AO145=1,AN145&lt;&gt;1)),ISNUMBER(AI145),AI145&lt;=T145),AU145,0)&gt;0,IF(AND(NOT(AND(AO145=1,AN145&lt;&gt;1)),ISNUMBER(AI145),AI145&lt;=T145),AU145,0)=MAX(IF(AND(NOT(AND(AO145=1,AN145&lt;&gt;1)),ISNUMBER(AG145),AG145&lt;=T145),AS145,0),IF(AND(NOT(AND(AO145=1,AN145&lt;&gt;1)),ISNUMBER(AH145),AH145&lt;=T145),AT145,0),IF(AND(NOT(AND(AO145=1,AN145&lt;&gt;1)),ISNUMBER(AI145),AI145&lt;=T145),AU145,0),IF(AND(ISNUMBER(AJ145),AJ145&lt;=T145),AV145,0))),"SC","Mag")))))))</f>
        <v/>
      </c>
    </row>
    <row r="146">
      <c r="A146" s="26" t="n">
        <v>141</v>
      </c>
      <c r="B146" s="27">
        <f>A146*10/60</f>
        <v/>
      </c>
      <c r="C146" s="22">
        <f>X145</f>
        <v/>
      </c>
      <c r="D146" s="27">
        <f>D145+W145</f>
        <v/>
      </c>
      <c r="E146" s="26">
        <f>E145+IF(U145="SW",1,0)</f>
        <v/>
      </c>
      <c r="F146" s="26">
        <f>F145+IF(U145="AB",1,0)</f>
        <v/>
      </c>
      <c r="G146" s="26">
        <f>G145+IF(U145="SC",1,0)</f>
        <v/>
      </c>
      <c r="H146" s="26">
        <f>H145+IF(U145="Mag",1,0)</f>
        <v/>
      </c>
      <c r="I146" s="26">
        <f>MAX(I145,IF(U145="OR",1,0))</f>
        <v/>
      </c>
      <c r="J146" s="26">
        <f>MAX(J145,IF(U145="HP",1,0))</f>
        <v/>
      </c>
      <c r="K146" s="26">
        <f>MAX(K145,IF(U145="FP",1,0))</f>
        <v/>
      </c>
      <c r="L146" s="26">
        <f>MAX(L145,IF(U145="transition",1,0))</f>
        <v/>
      </c>
      <c r="M146" s="28">
        <f>(Parameters!$B$9+(IF(E146=0,0,(Upgrades!$J$6+E146*Upgrades!$K$6)*POWER(Upgrades!$L$6,E146)))*(IF(Upgrades!$T$7="Solar Wind",POWER(Upgrades!$U$7,F146),1)*IF(Upgrades!$T$8="Solar Wind",POWER(Upgrades!$U$8,G146),1)*IF(Upgrades!$T$9="Solar Wind",POWER(Upgrades!$U$9,H146),1)*IF(Upgrades!$T$10="Solar Wind",POWER(Upgrades!$U$10,I146),1)*IF(Upgrades!$T$11="Solar Wind",POWER(Upgrades!$U$11,J146),1)*IF(Upgrades!$T$12="Solar Wind",POWER(Upgrades!$U$12,K146),1))+(IF(F146=0,0,(Upgrades!$J$7+F146*Upgrades!$K$7)*POWER(Upgrades!$L$7,F146)))*(IF(Upgrades!$T$6="Asteroid Belt",POWER(Upgrades!$U$6,E146),1)*IF(Upgrades!$T$8="Asteroid Belt",POWER(Upgrades!$U$8,G146),1)*IF(Upgrades!$T$9="Asteroid Belt",POWER(Upgrades!$U$9,H146),1)*IF(Upgrades!$T$10="Asteroid Belt",POWER(Upgrades!$U$10,I146),1)*IF(Upgrades!$T$11="Asteroid Belt",POWER(Upgrades!$U$11,J146),1)*IF(Upgrades!$T$12="Asteroid Belt",POWER(Upgrades!$U$12,K146),1))+(IF(G146=0,0,(Upgrades!$J$8+G146*Upgrades!$K$8)*POWER(Upgrades!$L$8,G146)))*(IF(Upgrades!$T$6="Stellar Coupling",POWER(Upgrades!$U$6,E146),1)*IF(Upgrades!$T$7="Stellar Coupling",POWER(Upgrades!$U$7,F146),1)*IF(Upgrades!$T$9="Stellar Coupling",POWER(Upgrades!$U$9,H146),1)*IF(Upgrades!$T$10="Stellar Coupling",POWER(Upgrades!$U$10,I146),1)*IF(Upgrades!$T$11="Stellar Coupling",POWER(Upgrades!$U$11,J146),1)*IF(Upgrades!$T$12="Stellar Coupling",POWER(Upgrades!$U$12,K146),1))+(IF(H146=0,0,(Upgrades!$J$9+H146*Upgrades!$K$9)*POWER(Upgrades!$L$9,H146)))*(IF(Upgrades!$T$6="Magnetosphere",POWER(Upgrades!$U$6,E146),1)*IF(Upgrades!$T$7="Magnetosphere",POWER(Upgrades!$U$7,F146),1)*IF(Upgrades!$T$8="Magnetosphere",POWER(Upgrades!$U$8,G146),1)*IF(Upgrades!$T$10="Magnetosphere",POWER(Upgrades!$U$10,I146),1)*IF(Upgrades!$T$11="Magnetosphere",POWER(Upgrades!$U$11,J146),1)*IF(Upgrades!$T$12="Magnetosphere",POWER(Upgrades!$U$12,K146),1))+(IF(I146=0,0,(Upgrades!$J$10+I146*Upgrades!$K$10)*POWER(Upgrades!$L$10,I146)))*(IF(Upgrades!$T$6="Orbital Resonance",POWER(Upgrades!$U$6,E146),1)*IF(Upgrades!$T$7="Orbital Resonance",POWER(Upgrades!$U$7,F146),1)*IF(Upgrades!$T$8="Orbital Resonance",POWER(Upgrades!$U$8,G146),1)*IF(Upgrades!$T$9="Orbital Resonance",POWER(Upgrades!$U$9,H146),1)*IF(Upgrades!$T$11="Orbital Resonance",POWER(Upgrades!$U$11,J146),1)*IF(Upgrades!$T$12="Orbital Resonance",POWER(Upgrades!$U$12,K146),1))+(IF(J146=0,0,(Upgrades!$J$11+J146*Upgrades!$K$11)*POWER(Upgrades!$L$11,J146)))*(IF(Upgrades!$T$6="Heliopause",POWER(Upgrades!$U$6,E146),1)*IF(Upgrades!$T$7="Heliopause",POWER(Upgrades!$U$7,F146),1)*IF(Upgrades!$T$8="Heliopause",POWER(Upgrades!$U$8,G146),1)*IF(Upgrades!$T$9="Heliopause",POWER(Upgrades!$U$9,H146),1)*IF(Upgrades!$T$10="Heliopause",POWER(Upgrades!$U$10,I146),1)*IF(Upgrades!$T$12="Heliopause",POWER(Upgrades!$U$12,K146),1))+(IF(K146=0,0,(Upgrades!$J$12+K146*Upgrades!$K$12)*POWER(Upgrades!$L$12,K146)))*(IF(Upgrades!$T$6="First Photons",POWER(Upgrades!$U$6,E146),1)*IF(Upgrades!$T$7="First Photons",POWER(Upgrades!$U$7,F146),1)*IF(Upgrades!$T$8="First Photons",POWER(Upgrades!$U$8,G146),1)*IF(Upgrades!$T$9="First Photons",POWER(Upgrades!$U$9,H146),1)*IF(Upgrades!$T$10="First Photons",POWER(Upgrades!$U$10,I146),1)*IF(Upgrades!$T$11="First Photons",POWER(Upgrades!$U$11,J146),1)))*POWER(Upgrades!$Q$6,E146)*POWER(Upgrades!$Q$7,F146)*POWER(Upgrades!$Q$8,G146)*POWER(Upgrades!$Q$9,H146)*POWER(Upgrades!$Q$10,I146)*POWER(Upgrades!$Q$11,J146)*POWER(Upgrades!$Q$12,K146)</f>
        <v/>
      </c>
      <c r="N146" s="28">
        <f>((IF(E146=0,0,(Upgrades!$G$6+E146*Upgrades!$H$6)*POWER(Upgrades!$I$6,E146)))*(IF(Upgrades!$T$7="Solar Wind",POWER(Upgrades!$U$7,F146),1)*IF(Upgrades!$T$8="Solar Wind",POWER(Upgrades!$U$8,G146),1)*IF(Upgrades!$T$9="Solar Wind",POWER(Upgrades!$U$9,H146),1)*IF(Upgrades!$T$10="Solar Wind",POWER(Upgrades!$U$10,I146),1)*IF(Upgrades!$T$11="Solar Wind",POWER(Upgrades!$U$11,J146),1)*IF(Upgrades!$T$12="Solar Wind",POWER(Upgrades!$U$12,K146),1))+(IF(F146=0,0,(Upgrades!$G$7+F146*Upgrades!$H$7)*POWER(Upgrades!$I$7,F146)))*(IF(Upgrades!$T$6="Asteroid Belt",POWER(Upgrades!$U$6,E146),1)*IF(Upgrades!$T$8="Asteroid Belt",POWER(Upgrades!$U$8,G146),1)*IF(Upgrades!$T$9="Asteroid Belt",POWER(Upgrades!$U$9,H146),1)*IF(Upgrades!$T$10="Asteroid Belt",POWER(Upgrades!$U$10,I146),1)*IF(Upgrades!$T$11="Asteroid Belt",POWER(Upgrades!$U$11,J146),1)*IF(Upgrades!$T$12="Asteroid Belt",POWER(Upgrades!$U$12,K146),1))+(IF(G146=0,0,(Upgrades!$G$8+G146*Upgrades!$H$8)*POWER(Upgrades!$I$8,G146)))*(IF(Upgrades!$T$6="Stellar Coupling",POWER(Upgrades!$U$6,E146),1)*IF(Upgrades!$T$7="Stellar Coupling",POWER(Upgrades!$U$7,F146),1)*IF(Upgrades!$T$9="Stellar Coupling",POWER(Upgrades!$U$9,H146),1)*IF(Upgrades!$T$10="Stellar Coupling",POWER(Upgrades!$U$10,I146),1)*IF(Upgrades!$T$11="Stellar Coupling",POWER(Upgrades!$U$11,J146),1)*IF(Upgrades!$T$12="Stellar Coupling",POWER(Upgrades!$U$12,K146),1))+(IF(H146=0,0,(Upgrades!$G$9+H146*Upgrades!$H$9)*POWER(Upgrades!$I$9,H146)))*(IF(Upgrades!$T$6="Magnetosphere",POWER(Upgrades!$U$6,E146),1)*IF(Upgrades!$T$7="Magnetosphere",POWER(Upgrades!$U$7,F146),1)*IF(Upgrades!$T$8="Magnetosphere",POWER(Upgrades!$U$8,G146),1)*IF(Upgrades!$T$10="Magnetosphere",POWER(Upgrades!$U$10,I146),1)*IF(Upgrades!$T$11="Magnetosphere",POWER(Upgrades!$U$11,J146),1)*IF(Upgrades!$T$12="Magnetosphere",POWER(Upgrades!$U$12,K146),1))+(IF(I146=0,0,(Upgrades!$G$10+I146*Upgrades!$H$10)*POWER(Upgrades!$I$10,I146)))*(IF(Upgrades!$T$6="Orbital Resonance",POWER(Upgrades!$U$6,E146),1)*IF(Upgrades!$T$7="Orbital Resonance",POWER(Upgrades!$U$7,F146),1)*IF(Upgrades!$T$8="Orbital Resonance",POWER(Upgrades!$U$8,G146),1)*IF(Upgrades!$T$9="Orbital Resonance",POWER(Upgrades!$U$9,H146),1)*IF(Upgrades!$T$11="Orbital Resonance",POWER(Upgrades!$U$11,J146),1)*IF(Upgrades!$T$12="Orbital Resonance",POWER(Upgrades!$U$12,K146),1))+(IF(J146=0,0,(Upgrades!$G$11+J146*Upgrades!$H$11)*POWER(Upgrades!$I$11,J146)))*(IF(Upgrades!$T$6="Heliopause",POWER(Upgrades!$U$6,E146),1)*IF(Upgrades!$T$7="Heliopause",POWER(Upgrades!$U$7,F146),1)*IF(Upgrades!$T$8="Heliopause",POWER(Upgrades!$U$8,G146),1)*IF(Upgrades!$T$9="Heliopause",POWER(Upgrades!$U$9,H146),1)*IF(Upgrades!$T$10="Heliopause",POWER(Upgrades!$U$10,I146),1)*IF(Upgrades!$T$12="Heliopause",POWER(Upgrades!$U$12,K146),1))+(IF(K146=0,0,(Upgrades!$G$12+K146*Upgrades!$H$12)*POWER(Upgrades!$I$12,K146)))*(IF(Upgrades!$T$6="First Photons",POWER(Upgrades!$U$6,E146),1)*IF(Upgrades!$T$7="First Photons",POWER(Upgrades!$U$7,F146),1)*IF(Upgrades!$T$8="First Photons",POWER(Upgrades!$U$8,G146),1)*IF(Upgrades!$T$9="First Photons",POWER(Upgrades!$U$9,H146),1)*IF(Upgrades!$T$10="First Photons",POWER(Upgrades!$U$10,I146),1)*IF(Upgrades!$T$11="First Photons",POWER(Upgrades!$U$11,J146),1)))*POWER(Upgrades!$P$6,E146)*POWER(Upgrades!$P$7,F146)*POWER(Upgrades!$P$8,G146)*POWER(Upgrades!$P$9,H146)*POWER(Upgrades!$P$10,I146)*POWER(Upgrades!$P$11,J146)*POWER(Upgrades!$P$12,K146)</f>
        <v/>
      </c>
      <c r="O146" s="28">
        <f>((IF(E146=0,0,(Upgrades!$M$6+E146*Upgrades!$N$6)*POWER(Upgrades!$O$6,E146)))*(IF(Upgrades!$T$7="Solar Wind",POWER(Upgrades!$U$7,F146),1)*IF(Upgrades!$T$8="Solar Wind",POWER(Upgrades!$U$8,G146),1)*IF(Upgrades!$T$9="Solar Wind",POWER(Upgrades!$U$9,H146),1)*IF(Upgrades!$T$10="Solar Wind",POWER(Upgrades!$U$10,I146),1)*IF(Upgrades!$T$11="Solar Wind",POWER(Upgrades!$U$11,J146),1)*IF(Upgrades!$T$12="Solar Wind",POWER(Upgrades!$U$12,K146),1))+(IF(F146=0,0,(Upgrades!$M$7+F146*Upgrades!$N$7)*POWER(Upgrades!$O$7,F146)))*(IF(Upgrades!$T$6="Asteroid Belt",POWER(Upgrades!$U$6,E146),1)*IF(Upgrades!$T$8="Asteroid Belt",POWER(Upgrades!$U$8,G146),1)*IF(Upgrades!$T$9="Asteroid Belt",POWER(Upgrades!$U$9,H146),1)*IF(Upgrades!$T$10="Asteroid Belt",POWER(Upgrades!$U$10,I146),1)*IF(Upgrades!$T$11="Asteroid Belt",POWER(Upgrades!$U$11,J146),1)*IF(Upgrades!$T$12="Asteroid Belt",POWER(Upgrades!$U$12,K146),1))+(IF(G146=0,0,(Upgrades!$M$8+G146*Upgrades!$N$8)*POWER(Upgrades!$O$8,G146)))*(IF(Upgrades!$T$6="Stellar Coupling",POWER(Upgrades!$U$6,E146),1)*IF(Upgrades!$T$7="Stellar Coupling",POWER(Upgrades!$U$7,F146),1)*IF(Upgrades!$T$9="Stellar Coupling",POWER(Upgrades!$U$9,H146),1)*IF(Upgrades!$T$10="Stellar Coupling",POWER(Upgrades!$U$10,I146),1)*IF(Upgrades!$T$11="Stellar Coupling",POWER(Upgrades!$U$11,J146),1)*IF(Upgrades!$T$12="Stellar Coupling",POWER(Upgrades!$U$12,K146),1))+(IF(H146=0,0,(Upgrades!$M$9+H146*Upgrades!$N$9)*POWER(Upgrades!$O$9,H146)))*(IF(Upgrades!$T$6="Magnetosphere",POWER(Upgrades!$U$6,E146),1)*IF(Upgrades!$T$7="Magnetosphere",POWER(Upgrades!$U$7,F146),1)*IF(Upgrades!$T$8="Magnetosphere",POWER(Upgrades!$U$8,G146),1)*IF(Upgrades!$T$10="Magnetosphere",POWER(Upgrades!$U$10,I146),1)*IF(Upgrades!$T$11="Magnetosphere",POWER(Upgrades!$U$11,J146),1)*IF(Upgrades!$T$12="Magnetosphere",POWER(Upgrades!$U$12,K146),1))+(IF(I146=0,0,(Upgrades!$M$10+I146*Upgrades!$N$10)*POWER(Upgrades!$O$10,I146)))*(IF(Upgrades!$T$6="Orbital Resonance",POWER(Upgrades!$U$6,E146),1)*IF(Upgrades!$T$7="Orbital Resonance",POWER(Upgrades!$U$7,F146),1)*IF(Upgrades!$T$8="Orbital Resonance",POWER(Upgrades!$U$8,G146),1)*IF(Upgrades!$T$9="Orbital Resonance",POWER(Upgrades!$U$9,H146),1)*IF(Upgrades!$T$11="Orbital Resonance",POWER(Upgrades!$U$11,J146),1)*IF(Upgrades!$T$12="Orbital Resonance",POWER(Upgrades!$U$12,K146),1))+(IF(J146=0,0,(Upgrades!$M$11+J146*Upgrades!$N$11)*POWER(Upgrades!$O$11,J146)))*(IF(Upgrades!$T$6="Heliopause",POWER(Upgrades!$U$6,E146),1)*IF(Upgrades!$T$7="Heliopause",POWER(Upgrades!$U$7,F146),1)*IF(Upgrades!$T$8="Heliopause",POWER(Upgrades!$U$8,G146),1)*IF(Upgrades!$T$9="Heliopause",POWER(Upgrades!$U$9,H146),1)*IF(Upgrades!$T$10="Heliopause",POWER(Upgrades!$U$10,I146),1)*IF(Upgrades!$T$12="Heliopause",POWER(Upgrades!$U$12,K146),1))+(IF(K146=0,0,(Upgrades!$M$12+K146*Upgrades!$N$12)*POWER(Upgrades!$O$12,K146)))*(IF(Upgrades!$T$6="First Photons",POWER(Upgrades!$U$6,E146),1)*IF(Upgrades!$T$7="First Photons",POWER(Upgrades!$U$7,F146),1)*IF(Upgrades!$T$8="First Photons",POWER(Upgrades!$U$8,G146),1)*IF(Upgrades!$T$9="First Photons",POWER(Upgrades!$U$9,H146),1)*IF(Upgrades!$T$10="First Photons",POWER(Upgrades!$U$10,I146),1)*IF(Upgrades!$T$11="First Photons",POWER(Upgrades!$U$11,J146),1)))*POWER(Upgrades!$R$6,E146)*POWER(Upgrades!$R$7,F146)*POWER(Upgrades!$R$8,G146)*POWER(Upgrades!$R$9,H146)*POWER(Upgrades!$R$10,I146)*POWER(Upgrades!$R$11,J146)*POWER(Upgrades!$R$12,K146)</f>
        <v/>
      </c>
      <c r="P146" s="27">
        <f>IF(L146=1,0,M146*Parameters!$B$10/60*Parameters!$B$11*10)</f>
        <v/>
      </c>
      <c r="Q146" s="27">
        <f>IF(L146=1,0,O146*M146*10)</f>
        <v/>
      </c>
      <c r="R146" s="27">
        <f>IF(L146=1,0,N146*10)</f>
        <v/>
      </c>
      <c r="S146" s="27">
        <f>P146+Q146+R146</f>
        <v/>
      </c>
      <c r="T146" s="22">
        <f>C146+S146</f>
        <v/>
      </c>
      <c r="U146" s="33">
        <f>AX146</f>
        <v/>
      </c>
      <c r="V146" s="22">
        <f>IF(U146="",0,IF(U146="transition",0,IF(U146="SW",AG146,IF(U146="AB",AH146,IF(U146="SC",AI146,IF(U146="Mag",AJ146,IF(U146="OR",AK146,IF(U146="HP",AL146,IF(U146="FP",AM146,0)))))))))</f>
        <v/>
      </c>
      <c r="W146" s="27">
        <f>IF(U146="OR",Upgrades!$F$10,IF(U146="HP",Upgrades!$F$11,IF(U146="transition",-Parameters!$B$18,0)))</f>
        <v/>
      </c>
      <c r="X146" s="22">
        <f>T146-V146</f>
        <v/>
      </c>
      <c r="Y146" s="30">
        <f>M146*Parameters!$B$10/60*Parameters!$B$11+O146*M146+N146</f>
        <v/>
      </c>
      <c r="Z146" s="34">
        <f>IF(U146="transition","→ Tier 2 (Stellar Neighborhood)",IF(U146="FP","First Photons — light begins, system quickens",IF(U146="HP","Heliopause acquired",IF(U146="OR","Orbital Resonance — passive multiplier active",IF(AND(AO146=1,L146=0,AN146&lt;&gt;1),"Cohesion ready (waiting on completionist upgrades)","")))))</f>
        <v/>
      </c>
      <c r="AA146" s="27">
        <f>(IF(E146=0,0,(Upgrades!$G$6+E146*Upgrades!$H$6)*POWER(Upgrades!$I$6,E146)))*(IF(Upgrades!$T$7="Solar Wind",POWER(Upgrades!$U$7,F146),1)*IF(Upgrades!$T$8="Solar Wind",POWER(Upgrades!$U$8,G146),1)*IF(Upgrades!$T$9="Solar Wind",POWER(Upgrades!$U$9,H146),1)*IF(Upgrades!$T$10="Solar Wind",POWER(Upgrades!$U$10,I146),1)*IF(Upgrades!$T$11="Solar Wind",POWER(Upgrades!$U$11,J146),1)*IF(Upgrades!$T$12="Solar Wind",POWER(Upgrades!$U$12,K146),1))*POWER(Upgrades!$P$6,E146)*POWER(Upgrades!$P$7,F146)*POWER(Upgrades!$P$8,G146)*POWER(Upgrades!$P$9,H146)*POWER(Upgrades!$P$10,I146)*POWER(Upgrades!$P$11,J146)*POWER(Upgrades!$P$12,K146)*60</f>
        <v/>
      </c>
      <c r="AB146" s="27">
        <f>(IF(F146=0,0,(Upgrades!$G$7+F146*Upgrades!$H$7)*POWER(Upgrades!$I$7,F146)))*(IF(Upgrades!$T$6="Asteroid Belt",POWER(Upgrades!$U$6,E146),1)*IF(Upgrades!$T$8="Asteroid Belt",POWER(Upgrades!$U$8,G146),1)*IF(Upgrades!$T$9="Asteroid Belt",POWER(Upgrades!$U$9,H146),1)*IF(Upgrades!$T$10="Asteroid Belt",POWER(Upgrades!$U$10,I146),1)*IF(Upgrades!$T$11="Asteroid Belt",POWER(Upgrades!$U$11,J146),1)*IF(Upgrades!$T$12="Asteroid Belt",POWER(Upgrades!$U$12,K146),1))*POWER(Upgrades!$P$6,E146)*POWER(Upgrades!$P$7,F146)*POWER(Upgrades!$P$8,G146)*POWER(Upgrades!$P$9,H146)*POWER(Upgrades!$P$10,I146)*POWER(Upgrades!$P$11,J146)*POWER(Upgrades!$P$12,K146)*60</f>
        <v/>
      </c>
      <c r="AC146" s="27">
        <f>(IF(G146=0,0,(Upgrades!$J$8+G146*Upgrades!$K$8)*POWER(Upgrades!$L$8,G146)))*(IF(Upgrades!$T$6="Stellar Coupling",POWER(Upgrades!$U$6,E146),1)*IF(Upgrades!$T$7="Stellar Coupling",POWER(Upgrades!$U$7,F146),1)*IF(Upgrades!$T$9="Stellar Coupling",POWER(Upgrades!$U$9,H146),1)*IF(Upgrades!$T$10="Stellar Coupling",POWER(Upgrades!$U$10,I146),1)*IF(Upgrades!$T$11="Stellar Coupling",POWER(Upgrades!$U$11,J146),1)*IF(Upgrades!$T$12="Stellar Coupling",POWER(Upgrades!$U$12,K146),1))*POWER(Upgrades!$Q$6,E146)*POWER(Upgrades!$Q$7,F146)*POWER(Upgrades!$Q$8,G146)*POWER(Upgrades!$Q$9,H146)*POWER(Upgrades!$Q$10,I146)*POWER(Upgrades!$Q$11,J146)*POWER(Upgrades!$Q$12,K146)*Parameters!$B$10*Parameters!$B$11</f>
        <v/>
      </c>
      <c r="AD146" s="27">
        <f>(IF(H146=0,0,(Upgrades!$G$9+H146*Upgrades!$H$9)*POWER(Upgrades!$I$9,H146)))*(IF(Upgrades!$T$6="Magnetosphere",POWER(Upgrades!$U$6,E146),1)*IF(Upgrades!$T$7="Magnetosphere",POWER(Upgrades!$U$7,F146),1)*IF(Upgrades!$T$8="Magnetosphere",POWER(Upgrades!$U$8,G146),1)*IF(Upgrades!$T$10="Magnetosphere",POWER(Upgrades!$U$10,I146),1)*IF(Upgrades!$T$11="Magnetosphere",POWER(Upgrades!$U$11,J146),1)*IF(Upgrades!$T$12="Magnetosphere",POWER(Upgrades!$U$12,K146),1))*POWER(Upgrades!$P$6,E146)*POWER(Upgrades!$P$7,F146)*POWER(Upgrades!$P$8,G146)*POWER(Upgrades!$P$9,H146)*POWER(Upgrades!$P$10,I146)*POWER(Upgrades!$P$11,J146)*POWER(Upgrades!$P$12,K146)*60</f>
        <v/>
      </c>
      <c r="AE146" s="27">
        <f>(IF(K146=0,0,(Upgrades!$G$12+K146*Upgrades!$H$12)*POWER(Upgrades!$I$12,K146)))*(IF(Upgrades!$T$6="First Photons",POWER(Upgrades!$U$6,E146),1)*IF(Upgrades!$T$7="First Photons",POWER(Upgrades!$U$7,F146),1)*IF(Upgrades!$T$8="First Photons",POWER(Upgrades!$U$8,G146),1)*IF(Upgrades!$T$9="First Photons",POWER(Upgrades!$U$9,H146),1)*IF(Upgrades!$T$10="First Photons",POWER(Upgrades!$U$10,I146),1)*IF(Upgrades!$T$11="First Photons",POWER(Upgrades!$U$11,J146),1))*POWER(Upgrades!$P$6,E146)*POWER(Upgrades!$P$7,F146)*POWER(Upgrades!$P$8,G146)*POWER(Upgrades!$P$9,H146)*POWER(Upgrades!$P$10,I146)*POWER(Upgrades!$P$11,J146)*POWER(Upgrades!$P$12,K146)*60</f>
        <v/>
      </c>
      <c r="AF146" s="27">
        <f>Parameters!$B$9*POWER(Upgrades!$Q$6,E146)*POWER(Upgrades!$Q$7,F146)*POWER(Upgrades!$Q$8,G146)*POWER(Upgrades!$Q$9,H146)*POWER(Upgrades!$Q$10,I146)*POWER(Upgrades!$Q$11,J146)*POWER(Upgrades!$Q$12,K146)*(Parameters!$B$10*Parameters!$B$11+O146*60)</f>
        <v/>
      </c>
      <c r="AG146" s="22">
        <f>IF(E146&gt;=Upgrades!$E$6,"",Upgrades!$C$6*POWER(Upgrades!$D$6,E146))</f>
        <v/>
      </c>
      <c r="AH146" s="22">
        <f>IF(F146&gt;=Upgrades!$E$7,"",Upgrades!$C$7*POWER(Upgrades!$D$7,F146))</f>
        <v/>
      </c>
      <c r="AI146" s="22">
        <f>IF(G146&gt;=Upgrades!$E$8,"",Upgrades!$C$8*POWER(Upgrades!$D$8,G146))</f>
        <v/>
      </c>
      <c r="AJ146" s="22">
        <f>IF(H146&gt;=Upgrades!$E$9,"",Upgrades!$C$9*POWER(Upgrades!$D$9,H146))</f>
        <v/>
      </c>
      <c r="AK146" s="22">
        <f>IF(I146&gt;=Upgrades!$E$10,"",Upgrades!$C$10*POWER(Upgrades!$D$10,I146))</f>
        <v/>
      </c>
      <c r="AL146" s="22">
        <f>IF(J146&gt;=Upgrades!$E$11,"",Upgrades!$C$11*POWER(Upgrades!$D$11,J146))</f>
        <v/>
      </c>
      <c r="AM146" s="22">
        <f>IF(K146&gt;=Upgrades!$E$12,"",Upgrades!$C$12*POWER(Upgrades!$D$12,K146))</f>
        <v/>
      </c>
      <c r="AN146" s="26">
        <f>IF(AND(D146&gt;=Parameters!$B$18,(H146&gt;=Upgrades!$E$9)*(K146&gt;=Upgrades!$E$12)=1,L146=0),1,"")</f>
        <v/>
      </c>
      <c r="AO146" s="26">
        <f>IF(AND(D146&gt;=Parameters!$B$18,L146=0),1,"")</f>
        <v/>
      </c>
      <c r="AP146" s="22">
        <f>MIN(IF(ISNUMBER(AK146),AK146,9E15),IF(ISNUMBER(AL146),AL146,9E15),IF(ISNUMBER(AM146),AM146,9E15))</f>
        <v/>
      </c>
      <c r="AQ146" s="22">
        <f>MIN(IF(ISNUMBER(AG146),AG146,9E15),IF(ISNUMBER(AH146),AH146,9E15),IF(ISNUMBER(AI146),AI146,9E15),IF(ISNUMBER(AJ146),AJ146,9E15))</f>
        <v/>
      </c>
      <c r="AR146" s="29">
        <f>IF(AW146&gt;Parameters!$B$21*(MAX(IF(AND(NOT(AND(AO146=1,AN146&lt;&gt;1)),ISNUMBER(AG146),AG146&lt;=T146),AS146,0),IF(AND(NOT(AND(AO146=1,AN146&lt;&gt;1)),ISNUMBER(AH146),AH146&lt;=T146),AT146,0),IF(AND(NOT(AND(AO146=1,AN146&lt;&gt;1)),ISNUMBER(AI146),AI146&lt;=T146),AU146,0),IF(AND(ISNUMBER(AJ146),AJ146&lt;=T146),AV146,0))),TRUE,FALSE)</f>
        <v/>
      </c>
      <c r="AS146" s="32">
        <f>IFERROR(Upgrades!$H$6*(POWER(Upgrades!$P$6,E146)*POWER(Upgrades!$P$7,F146)*POWER(Upgrades!$P$8,G146)*POWER(Upgrades!$P$9,H146)*POWER(Upgrades!$P$10,I146)*POWER(Upgrades!$P$11,J146)*POWER(Upgrades!$P$12,K146))*(IF(Upgrades!$T$7="Solar Wind",POWER(Upgrades!$U$7,F146),1)*IF(Upgrades!$T$8="Solar Wind",POWER(Upgrades!$U$8,G146),1)*IF(Upgrades!$T$9="Solar Wind",POWER(Upgrades!$U$9,H146),1)*IF(Upgrades!$T$10="Solar Wind",POWER(Upgrades!$U$10,I146),1)*IF(Upgrades!$T$11="Solar Wind",POWER(Upgrades!$U$11,J146),1)*IF(Upgrades!$T$12="Solar Wind",POWER(Upgrades!$U$12,K146),1))/AG146,0)</f>
        <v/>
      </c>
      <c r="AT146" s="32">
        <f>IFERROR(Upgrades!$H$7*(POWER(Upgrades!$P$6,E146)*POWER(Upgrades!$P$7,F146)*POWER(Upgrades!$P$8,G146)*POWER(Upgrades!$P$9,H146)*POWER(Upgrades!$P$10,I146)*POWER(Upgrades!$P$11,J146)*POWER(Upgrades!$P$12,K146))*(IF(Upgrades!$T$6="Asteroid Belt",POWER(Upgrades!$U$6,E146),1)*IF(Upgrades!$T$8="Asteroid Belt",POWER(Upgrades!$U$8,G146),1)*IF(Upgrades!$T$9="Asteroid Belt",POWER(Upgrades!$U$9,H146),1)*IF(Upgrades!$T$10="Asteroid Belt",POWER(Upgrades!$U$10,I146),1)*IF(Upgrades!$T$11="Asteroid Belt",POWER(Upgrades!$U$11,J146),1)*IF(Upgrades!$T$12="Asteroid Belt",POWER(Upgrades!$U$12,K146),1))/AH146,0)</f>
        <v/>
      </c>
      <c r="AU146" s="32">
        <f>IFERROR(Upgrades!$K$8*(POWER(Upgrades!$Q$6,E146)*POWER(Upgrades!$Q$7,F146)*POWER(Upgrades!$Q$8,G146)*POWER(Upgrades!$Q$9,H146)*POWER(Upgrades!$Q$10,I146)*POWER(Upgrades!$Q$11,J146)*POWER(Upgrades!$Q$12,K146))*(IF(Upgrades!$T$6="Stellar Coupling",POWER(Upgrades!$U$6,E146),1)*IF(Upgrades!$T$7="Stellar Coupling",POWER(Upgrades!$U$7,F146),1)*IF(Upgrades!$T$9="Stellar Coupling",POWER(Upgrades!$U$9,H146),1)*IF(Upgrades!$T$10="Stellar Coupling",POWER(Upgrades!$U$10,I146),1)*IF(Upgrades!$T$11="Stellar Coupling",POWER(Upgrades!$U$11,J146),1)*IF(Upgrades!$T$12="Stellar Coupling",POWER(Upgrades!$U$12,K146),1))*Parameters!$B$10*Parameters!$B$11/60/AI146,0)</f>
        <v/>
      </c>
      <c r="AV146" s="32">
        <f>IFERROR(Upgrades!$H$9*(POWER(Upgrades!$P$6,E146)*POWER(Upgrades!$P$7,F146)*POWER(Upgrades!$P$8,G146)*POWER(Upgrades!$P$9,H146)*POWER(Upgrades!$P$10,I146)*POWER(Upgrades!$P$11,J146)*POWER(Upgrades!$P$12,K146))*(IF(Upgrades!$T$6="Magnetosphere",POWER(Upgrades!$U$6,E146),1)*IF(Upgrades!$T$7="Magnetosphere",POWER(Upgrades!$U$7,F146),1)*IF(Upgrades!$T$8="Magnetosphere",POWER(Upgrades!$U$8,G146),1)*IF(Upgrades!$T$10="Magnetosphere",POWER(Upgrades!$U$10,I146),1)*IF(Upgrades!$T$11="Magnetosphere",POWER(Upgrades!$U$11,J146),1)*IF(Upgrades!$T$12="Magnetosphere",POWER(Upgrades!$U$12,K146),1))/AJ146,0)</f>
        <v/>
      </c>
      <c r="AW146" s="32">
        <f>MAX(IF(I146&gt;0,0,IFERROR(0.25*N146/Upgrades!$C$10,0)),IF(J146&gt;0,0,IFERROR(0.5*((IF(G146=0,0,(Upgrades!$J$8+G146*Upgrades!$K$8)*POWER(Upgrades!$L$8,G146)))*(IF(Upgrades!$T$6="Stellar Coupling",POWER(Upgrades!$U$6,E146),1)*IF(Upgrades!$T$7="Stellar Coupling",POWER(Upgrades!$U$7,F146),1)*IF(Upgrades!$T$9="Stellar Coupling",POWER(Upgrades!$U$9,H146),1)*IF(Upgrades!$T$10="Stellar Coupling",POWER(Upgrades!$U$10,I146),1)*IF(Upgrades!$T$11="Stellar Coupling",POWER(Upgrades!$U$11,J146),1)*IF(Upgrades!$T$12="Stellar Coupling",POWER(Upgrades!$U$12,K146),1))*(POWER(Upgrades!$Q$6,E146)*POWER(Upgrades!$Q$7,F146)*POWER(Upgrades!$Q$8,G146)*POWER(Upgrades!$Q$9,H146)*POWER(Upgrades!$Q$10,I146)*POWER(Upgrades!$Q$11,J146)*POWER(Upgrades!$Q$12,K146))*Parameters!$B$10*Parameters!$B$11/60)/Upgrades!$C$11,0)),IF(K146&gt;0,0,IFERROR((1.0*(POWER(Upgrades!$P$6,E146)*POWER(Upgrades!$P$7,F146)*POWER(Upgrades!$P$8,G146)*POWER(Upgrades!$P$9,H146)*POWER(Upgrades!$P$10,I146)*POWER(Upgrades!$P$11,J146)*POWER(Upgrades!$P$12,K146))+0.20*M146*Parameters!$B$10*Parameters!$B$11/60)/Upgrades!$C$12,0)),IF(AND(ISNUMBER(AG146),AG146&gt;T146),AS146,0),IF(AND(ISNUMBER(AH146),AH146&gt;T146),AT146,0),IF(AND(ISNUMBER(AI146),AI146&gt;T146),AU146,0),IF(AND(ISNUMBER(AJ146),AJ146&gt;T146),AV146,0))</f>
        <v/>
      </c>
      <c r="AX146" s="29">
        <f>IF(AN146=1,"transition",IF(MIN(IF(AND(I146=0,ISNUMBER(AK146),AK146&lt;=T146),AK146,9E15),IF(AND(J146=0,ISNUMBER(AL146),AL146&lt;=T146),AL146,9E15),IF(AND(K146=0,ISNUMBER(AM146),AM146&lt;=T146),AM146,9E15))&lt;9E15,IF(AND(AND(I146=0,ISNUMBER(AK146),AK146&lt;=T146),AK146=MIN(IF(AND(I146=0,ISNUMBER(AK146),AK146&lt;=T146),AK146,9E15),IF(AND(J146=0,ISNUMBER(AL146),AL146&lt;=T146),AL146,9E15),IF(AND(K146=0,ISNUMBER(AM146),AM146&lt;=T146),AM146,9E15))),"OR",IF(AND(AND(J146=0,ISNUMBER(AL146),AL146&lt;=T146),AL146=MIN(IF(AND(I146=0,ISNUMBER(AK146),AK146&lt;=T146),AK146,9E15),IF(AND(J146=0,ISNUMBER(AL146),AL146&lt;=T146),AL146,9E15),IF(AND(K146=0,ISNUMBER(AM146),AM146&lt;=T146),AM146,9E15))),"HP","FP")),IF(AR146=TRUE,"",IF(MAX(IF(AND(NOT(AND(AO146=1,AN146&lt;&gt;1)),ISNUMBER(AG146),AG146&lt;=T146),AS146,0),IF(AND(NOT(AND(AO146=1,AN146&lt;&gt;1)),ISNUMBER(AH146),AH146&lt;=T146),AT146,0),IF(AND(NOT(AND(AO146=1,AN146&lt;&gt;1)),ISNUMBER(AI146),AI146&lt;=T146),AU146,0),IF(AND(ISNUMBER(AJ146),AJ146&lt;=T146),AV146,0))&lt;=0,"",IF(AND(IF(AND(NOT(AND(AO146=1,AN146&lt;&gt;1)),ISNUMBER(AG146),AG146&lt;=T146),AS146,0)&gt;0,IF(AND(NOT(AND(AO146=1,AN146&lt;&gt;1)),ISNUMBER(AG146),AG146&lt;=T146),AS146,0)=MAX(IF(AND(NOT(AND(AO146=1,AN146&lt;&gt;1)),ISNUMBER(AG146),AG146&lt;=T146),AS146,0),IF(AND(NOT(AND(AO146=1,AN146&lt;&gt;1)),ISNUMBER(AH146),AH146&lt;=T146),AT146,0),IF(AND(NOT(AND(AO146=1,AN146&lt;&gt;1)),ISNUMBER(AI146),AI146&lt;=T146),AU146,0),IF(AND(ISNUMBER(AJ146),AJ146&lt;=T146),AV146,0))),"SW",IF(AND(IF(AND(NOT(AND(AO146=1,AN146&lt;&gt;1)),ISNUMBER(AH146),AH146&lt;=T146),AT146,0)&gt;0,IF(AND(NOT(AND(AO146=1,AN146&lt;&gt;1)),ISNUMBER(AH146),AH146&lt;=T146),AT146,0)=MAX(IF(AND(NOT(AND(AO146=1,AN146&lt;&gt;1)),ISNUMBER(AG146),AG146&lt;=T146),AS146,0),IF(AND(NOT(AND(AO146=1,AN146&lt;&gt;1)),ISNUMBER(AH146),AH146&lt;=T146),AT146,0),IF(AND(NOT(AND(AO146=1,AN146&lt;&gt;1)),ISNUMBER(AI146),AI146&lt;=T146),AU146,0),IF(AND(ISNUMBER(AJ146),AJ146&lt;=T146),AV146,0))),"AB",IF(AND(IF(AND(NOT(AND(AO146=1,AN146&lt;&gt;1)),ISNUMBER(AI146),AI146&lt;=T146),AU146,0)&gt;0,IF(AND(NOT(AND(AO146=1,AN146&lt;&gt;1)),ISNUMBER(AI146),AI146&lt;=T146),AU146,0)=MAX(IF(AND(NOT(AND(AO146=1,AN146&lt;&gt;1)),ISNUMBER(AG146),AG146&lt;=T146),AS146,0),IF(AND(NOT(AND(AO146=1,AN146&lt;&gt;1)),ISNUMBER(AH146),AH146&lt;=T146),AT146,0),IF(AND(NOT(AND(AO146=1,AN146&lt;&gt;1)),ISNUMBER(AI146),AI146&lt;=T146),AU146,0),IF(AND(ISNUMBER(AJ146),AJ146&lt;=T146),AV146,0))),"SC","Mag")))))))</f>
        <v/>
      </c>
    </row>
    <row r="147">
      <c r="A147" s="26" t="n">
        <v>142</v>
      </c>
      <c r="B147" s="27">
        <f>A147*10/60</f>
        <v/>
      </c>
      <c r="C147" s="22">
        <f>X146</f>
        <v/>
      </c>
      <c r="D147" s="27">
        <f>D146+W146</f>
        <v/>
      </c>
      <c r="E147" s="26">
        <f>E146+IF(U146="SW",1,0)</f>
        <v/>
      </c>
      <c r="F147" s="26">
        <f>F146+IF(U146="AB",1,0)</f>
        <v/>
      </c>
      <c r="G147" s="26">
        <f>G146+IF(U146="SC",1,0)</f>
        <v/>
      </c>
      <c r="H147" s="26">
        <f>H146+IF(U146="Mag",1,0)</f>
        <v/>
      </c>
      <c r="I147" s="26">
        <f>MAX(I146,IF(U146="OR",1,0))</f>
        <v/>
      </c>
      <c r="J147" s="26">
        <f>MAX(J146,IF(U146="HP",1,0))</f>
        <v/>
      </c>
      <c r="K147" s="26">
        <f>MAX(K146,IF(U146="FP",1,0))</f>
        <v/>
      </c>
      <c r="L147" s="26">
        <f>MAX(L146,IF(U146="transition",1,0))</f>
        <v/>
      </c>
      <c r="M147" s="28">
        <f>(Parameters!$B$9+(IF(E147=0,0,(Upgrades!$J$6+E147*Upgrades!$K$6)*POWER(Upgrades!$L$6,E147)))*(IF(Upgrades!$T$7="Solar Wind",POWER(Upgrades!$U$7,F147),1)*IF(Upgrades!$T$8="Solar Wind",POWER(Upgrades!$U$8,G147),1)*IF(Upgrades!$T$9="Solar Wind",POWER(Upgrades!$U$9,H147),1)*IF(Upgrades!$T$10="Solar Wind",POWER(Upgrades!$U$10,I147),1)*IF(Upgrades!$T$11="Solar Wind",POWER(Upgrades!$U$11,J147),1)*IF(Upgrades!$T$12="Solar Wind",POWER(Upgrades!$U$12,K147),1))+(IF(F147=0,0,(Upgrades!$J$7+F147*Upgrades!$K$7)*POWER(Upgrades!$L$7,F147)))*(IF(Upgrades!$T$6="Asteroid Belt",POWER(Upgrades!$U$6,E147),1)*IF(Upgrades!$T$8="Asteroid Belt",POWER(Upgrades!$U$8,G147),1)*IF(Upgrades!$T$9="Asteroid Belt",POWER(Upgrades!$U$9,H147),1)*IF(Upgrades!$T$10="Asteroid Belt",POWER(Upgrades!$U$10,I147),1)*IF(Upgrades!$T$11="Asteroid Belt",POWER(Upgrades!$U$11,J147),1)*IF(Upgrades!$T$12="Asteroid Belt",POWER(Upgrades!$U$12,K147),1))+(IF(G147=0,0,(Upgrades!$J$8+G147*Upgrades!$K$8)*POWER(Upgrades!$L$8,G147)))*(IF(Upgrades!$T$6="Stellar Coupling",POWER(Upgrades!$U$6,E147),1)*IF(Upgrades!$T$7="Stellar Coupling",POWER(Upgrades!$U$7,F147),1)*IF(Upgrades!$T$9="Stellar Coupling",POWER(Upgrades!$U$9,H147),1)*IF(Upgrades!$T$10="Stellar Coupling",POWER(Upgrades!$U$10,I147),1)*IF(Upgrades!$T$11="Stellar Coupling",POWER(Upgrades!$U$11,J147),1)*IF(Upgrades!$T$12="Stellar Coupling",POWER(Upgrades!$U$12,K147),1))+(IF(H147=0,0,(Upgrades!$J$9+H147*Upgrades!$K$9)*POWER(Upgrades!$L$9,H147)))*(IF(Upgrades!$T$6="Magnetosphere",POWER(Upgrades!$U$6,E147),1)*IF(Upgrades!$T$7="Magnetosphere",POWER(Upgrades!$U$7,F147),1)*IF(Upgrades!$T$8="Magnetosphere",POWER(Upgrades!$U$8,G147),1)*IF(Upgrades!$T$10="Magnetosphere",POWER(Upgrades!$U$10,I147),1)*IF(Upgrades!$T$11="Magnetosphere",POWER(Upgrades!$U$11,J147),1)*IF(Upgrades!$T$12="Magnetosphere",POWER(Upgrades!$U$12,K147),1))+(IF(I147=0,0,(Upgrades!$J$10+I147*Upgrades!$K$10)*POWER(Upgrades!$L$10,I147)))*(IF(Upgrades!$T$6="Orbital Resonance",POWER(Upgrades!$U$6,E147),1)*IF(Upgrades!$T$7="Orbital Resonance",POWER(Upgrades!$U$7,F147),1)*IF(Upgrades!$T$8="Orbital Resonance",POWER(Upgrades!$U$8,G147),1)*IF(Upgrades!$T$9="Orbital Resonance",POWER(Upgrades!$U$9,H147),1)*IF(Upgrades!$T$11="Orbital Resonance",POWER(Upgrades!$U$11,J147),1)*IF(Upgrades!$T$12="Orbital Resonance",POWER(Upgrades!$U$12,K147),1))+(IF(J147=0,0,(Upgrades!$J$11+J147*Upgrades!$K$11)*POWER(Upgrades!$L$11,J147)))*(IF(Upgrades!$T$6="Heliopause",POWER(Upgrades!$U$6,E147),1)*IF(Upgrades!$T$7="Heliopause",POWER(Upgrades!$U$7,F147),1)*IF(Upgrades!$T$8="Heliopause",POWER(Upgrades!$U$8,G147),1)*IF(Upgrades!$T$9="Heliopause",POWER(Upgrades!$U$9,H147),1)*IF(Upgrades!$T$10="Heliopause",POWER(Upgrades!$U$10,I147),1)*IF(Upgrades!$T$12="Heliopause",POWER(Upgrades!$U$12,K147),1))+(IF(K147=0,0,(Upgrades!$J$12+K147*Upgrades!$K$12)*POWER(Upgrades!$L$12,K147)))*(IF(Upgrades!$T$6="First Photons",POWER(Upgrades!$U$6,E147),1)*IF(Upgrades!$T$7="First Photons",POWER(Upgrades!$U$7,F147),1)*IF(Upgrades!$T$8="First Photons",POWER(Upgrades!$U$8,G147),1)*IF(Upgrades!$T$9="First Photons",POWER(Upgrades!$U$9,H147),1)*IF(Upgrades!$T$10="First Photons",POWER(Upgrades!$U$10,I147),1)*IF(Upgrades!$T$11="First Photons",POWER(Upgrades!$U$11,J147),1)))*POWER(Upgrades!$Q$6,E147)*POWER(Upgrades!$Q$7,F147)*POWER(Upgrades!$Q$8,G147)*POWER(Upgrades!$Q$9,H147)*POWER(Upgrades!$Q$10,I147)*POWER(Upgrades!$Q$11,J147)*POWER(Upgrades!$Q$12,K147)</f>
        <v/>
      </c>
      <c r="N147" s="28">
        <f>((IF(E147=0,0,(Upgrades!$G$6+E147*Upgrades!$H$6)*POWER(Upgrades!$I$6,E147)))*(IF(Upgrades!$T$7="Solar Wind",POWER(Upgrades!$U$7,F147),1)*IF(Upgrades!$T$8="Solar Wind",POWER(Upgrades!$U$8,G147),1)*IF(Upgrades!$T$9="Solar Wind",POWER(Upgrades!$U$9,H147),1)*IF(Upgrades!$T$10="Solar Wind",POWER(Upgrades!$U$10,I147),1)*IF(Upgrades!$T$11="Solar Wind",POWER(Upgrades!$U$11,J147),1)*IF(Upgrades!$T$12="Solar Wind",POWER(Upgrades!$U$12,K147),1))+(IF(F147=0,0,(Upgrades!$G$7+F147*Upgrades!$H$7)*POWER(Upgrades!$I$7,F147)))*(IF(Upgrades!$T$6="Asteroid Belt",POWER(Upgrades!$U$6,E147),1)*IF(Upgrades!$T$8="Asteroid Belt",POWER(Upgrades!$U$8,G147),1)*IF(Upgrades!$T$9="Asteroid Belt",POWER(Upgrades!$U$9,H147),1)*IF(Upgrades!$T$10="Asteroid Belt",POWER(Upgrades!$U$10,I147),1)*IF(Upgrades!$T$11="Asteroid Belt",POWER(Upgrades!$U$11,J147),1)*IF(Upgrades!$T$12="Asteroid Belt",POWER(Upgrades!$U$12,K147),1))+(IF(G147=0,0,(Upgrades!$G$8+G147*Upgrades!$H$8)*POWER(Upgrades!$I$8,G147)))*(IF(Upgrades!$T$6="Stellar Coupling",POWER(Upgrades!$U$6,E147),1)*IF(Upgrades!$T$7="Stellar Coupling",POWER(Upgrades!$U$7,F147),1)*IF(Upgrades!$T$9="Stellar Coupling",POWER(Upgrades!$U$9,H147),1)*IF(Upgrades!$T$10="Stellar Coupling",POWER(Upgrades!$U$10,I147),1)*IF(Upgrades!$T$11="Stellar Coupling",POWER(Upgrades!$U$11,J147),1)*IF(Upgrades!$T$12="Stellar Coupling",POWER(Upgrades!$U$12,K147),1))+(IF(H147=0,0,(Upgrades!$G$9+H147*Upgrades!$H$9)*POWER(Upgrades!$I$9,H147)))*(IF(Upgrades!$T$6="Magnetosphere",POWER(Upgrades!$U$6,E147),1)*IF(Upgrades!$T$7="Magnetosphere",POWER(Upgrades!$U$7,F147),1)*IF(Upgrades!$T$8="Magnetosphere",POWER(Upgrades!$U$8,G147),1)*IF(Upgrades!$T$10="Magnetosphere",POWER(Upgrades!$U$10,I147),1)*IF(Upgrades!$T$11="Magnetosphere",POWER(Upgrades!$U$11,J147),1)*IF(Upgrades!$T$12="Magnetosphere",POWER(Upgrades!$U$12,K147),1))+(IF(I147=0,0,(Upgrades!$G$10+I147*Upgrades!$H$10)*POWER(Upgrades!$I$10,I147)))*(IF(Upgrades!$T$6="Orbital Resonance",POWER(Upgrades!$U$6,E147),1)*IF(Upgrades!$T$7="Orbital Resonance",POWER(Upgrades!$U$7,F147),1)*IF(Upgrades!$T$8="Orbital Resonance",POWER(Upgrades!$U$8,G147),1)*IF(Upgrades!$T$9="Orbital Resonance",POWER(Upgrades!$U$9,H147),1)*IF(Upgrades!$T$11="Orbital Resonance",POWER(Upgrades!$U$11,J147),1)*IF(Upgrades!$T$12="Orbital Resonance",POWER(Upgrades!$U$12,K147),1))+(IF(J147=0,0,(Upgrades!$G$11+J147*Upgrades!$H$11)*POWER(Upgrades!$I$11,J147)))*(IF(Upgrades!$T$6="Heliopause",POWER(Upgrades!$U$6,E147),1)*IF(Upgrades!$T$7="Heliopause",POWER(Upgrades!$U$7,F147),1)*IF(Upgrades!$T$8="Heliopause",POWER(Upgrades!$U$8,G147),1)*IF(Upgrades!$T$9="Heliopause",POWER(Upgrades!$U$9,H147),1)*IF(Upgrades!$T$10="Heliopause",POWER(Upgrades!$U$10,I147),1)*IF(Upgrades!$T$12="Heliopause",POWER(Upgrades!$U$12,K147),1))+(IF(K147=0,0,(Upgrades!$G$12+K147*Upgrades!$H$12)*POWER(Upgrades!$I$12,K147)))*(IF(Upgrades!$T$6="First Photons",POWER(Upgrades!$U$6,E147),1)*IF(Upgrades!$T$7="First Photons",POWER(Upgrades!$U$7,F147),1)*IF(Upgrades!$T$8="First Photons",POWER(Upgrades!$U$8,G147),1)*IF(Upgrades!$T$9="First Photons",POWER(Upgrades!$U$9,H147),1)*IF(Upgrades!$T$10="First Photons",POWER(Upgrades!$U$10,I147),1)*IF(Upgrades!$T$11="First Photons",POWER(Upgrades!$U$11,J147),1)))*POWER(Upgrades!$P$6,E147)*POWER(Upgrades!$P$7,F147)*POWER(Upgrades!$P$8,G147)*POWER(Upgrades!$P$9,H147)*POWER(Upgrades!$P$10,I147)*POWER(Upgrades!$P$11,J147)*POWER(Upgrades!$P$12,K147)</f>
        <v/>
      </c>
      <c r="O147" s="28">
        <f>((IF(E147=0,0,(Upgrades!$M$6+E147*Upgrades!$N$6)*POWER(Upgrades!$O$6,E147)))*(IF(Upgrades!$T$7="Solar Wind",POWER(Upgrades!$U$7,F147),1)*IF(Upgrades!$T$8="Solar Wind",POWER(Upgrades!$U$8,G147),1)*IF(Upgrades!$T$9="Solar Wind",POWER(Upgrades!$U$9,H147),1)*IF(Upgrades!$T$10="Solar Wind",POWER(Upgrades!$U$10,I147),1)*IF(Upgrades!$T$11="Solar Wind",POWER(Upgrades!$U$11,J147),1)*IF(Upgrades!$T$12="Solar Wind",POWER(Upgrades!$U$12,K147),1))+(IF(F147=0,0,(Upgrades!$M$7+F147*Upgrades!$N$7)*POWER(Upgrades!$O$7,F147)))*(IF(Upgrades!$T$6="Asteroid Belt",POWER(Upgrades!$U$6,E147),1)*IF(Upgrades!$T$8="Asteroid Belt",POWER(Upgrades!$U$8,G147),1)*IF(Upgrades!$T$9="Asteroid Belt",POWER(Upgrades!$U$9,H147),1)*IF(Upgrades!$T$10="Asteroid Belt",POWER(Upgrades!$U$10,I147),1)*IF(Upgrades!$T$11="Asteroid Belt",POWER(Upgrades!$U$11,J147),1)*IF(Upgrades!$T$12="Asteroid Belt",POWER(Upgrades!$U$12,K147),1))+(IF(G147=0,0,(Upgrades!$M$8+G147*Upgrades!$N$8)*POWER(Upgrades!$O$8,G147)))*(IF(Upgrades!$T$6="Stellar Coupling",POWER(Upgrades!$U$6,E147),1)*IF(Upgrades!$T$7="Stellar Coupling",POWER(Upgrades!$U$7,F147),1)*IF(Upgrades!$T$9="Stellar Coupling",POWER(Upgrades!$U$9,H147),1)*IF(Upgrades!$T$10="Stellar Coupling",POWER(Upgrades!$U$10,I147),1)*IF(Upgrades!$T$11="Stellar Coupling",POWER(Upgrades!$U$11,J147),1)*IF(Upgrades!$T$12="Stellar Coupling",POWER(Upgrades!$U$12,K147),1))+(IF(H147=0,0,(Upgrades!$M$9+H147*Upgrades!$N$9)*POWER(Upgrades!$O$9,H147)))*(IF(Upgrades!$T$6="Magnetosphere",POWER(Upgrades!$U$6,E147),1)*IF(Upgrades!$T$7="Magnetosphere",POWER(Upgrades!$U$7,F147),1)*IF(Upgrades!$T$8="Magnetosphere",POWER(Upgrades!$U$8,G147),1)*IF(Upgrades!$T$10="Magnetosphere",POWER(Upgrades!$U$10,I147),1)*IF(Upgrades!$T$11="Magnetosphere",POWER(Upgrades!$U$11,J147),1)*IF(Upgrades!$T$12="Magnetosphere",POWER(Upgrades!$U$12,K147),1))+(IF(I147=0,0,(Upgrades!$M$10+I147*Upgrades!$N$10)*POWER(Upgrades!$O$10,I147)))*(IF(Upgrades!$T$6="Orbital Resonance",POWER(Upgrades!$U$6,E147),1)*IF(Upgrades!$T$7="Orbital Resonance",POWER(Upgrades!$U$7,F147),1)*IF(Upgrades!$T$8="Orbital Resonance",POWER(Upgrades!$U$8,G147),1)*IF(Upgrades!$T$9="Orbital Resonance",POWER(Upgrades!$U$9,H147),1)*IF(Upgrades!$T$11="Orbital Resonance",POWER(Upgrades!$U$11,J147),1)*IF(Upgrades!$T$12="Orbital Resonance",POWER(Upgrades!$U$12,K147),1))+(IF(J147=0,0,(Upgrades!$M$11+J147*Upgrades!$N$11)*POWER(Upgrades!$O$11,J147)))*(IF(Upgrades!$T$6="Heliopause",POWER(Upgrades!$U$6,E147),1)*IF(Upgrades!$T$7="Heliopause",POWER(Upgrades!$U$7,F147),1)*IF(Upgrades!$T$8="Heliopause",POWER(Upgrades!$U$8,G147),1)*IF(Upgrades!$T$9="Heliopause",POWER(Upgrades!$U$9,H147),1)*IF(Upgrades!$T$10="Heliopause",POWER(Upgrades!$U$10,I147),1)*IF(Upgrades!$T$12="Heliopause",POWER(Upgrades!$U$12,K147),1))+(IF(K147=0,0,(Upgrades!$M$12+K147*Upgrades!$N$12)*POWER(Upgrades!$O$12,K147)))*(IF(Upgrades!$T$6="First Photons",POWER(Upgrades!$U$6,E147),1)*IF(Upgrades!$T$7="First Photons",POWER(Upgrades!$U$7,F147),1)*IF(Upgrades!$T$8="First Photons",POWER(Upgrades!$U$8,G147),1)*IF(Upgrades!$T$9="First Photons",POWER(Upgrades!$U$9,H147),1)*IF(Upgrades!$T$10="First Photons",POWER(Upgrades!$U$10,I147),1)*IF(Upgrades!$T$11="First Photons",POWER(Upgrades!$U$11,J147),1)))*POWER(Upgrades!$R$6,E147)*POWER(Upgrades!$R$7,F147)*POWER(Upgrades!$R$8,G147)*POWER(Upgrades!$R$9,H147)*POWER(Upgrades!$R$10,I147)*POWER(Upgrades!$R$11,J147)*POWER(Upgrades!$R$12,K147)</f>
        <v/>
      </c>
      <c r="P147" s="27">
        <f>IF(L147=1,0,M147*Parameters!$B$10/60*Parameters!$B$11*10)</f>
        <v/>
      </c>
      <c r="Q147" s="27">
        <f>IF(L147=1,0,O147*M147*10)</f>
        <v/>
      </c>
      <c r="R147" s="27">
        <f>IF(L147=1,0,N147*10)</f>
        <v/>
      </c>
      <c r="S147" s="27">
        <f>P147+Q147+R147</f>
        <v/>
      </c>
      <c r="T147" s="22">
        <f>C147+S147</f>
        <v/>
      </c>
      <c r="U147" s="33">
        <f>AX147</f>
        <v/>
      </c>
      <c r="V147" s="22">
        <f>IF(U147="",0,IF(U147="transition",0,IF(U147="SW",AG147,IF(U147="AB",AH147,IF(U147="SC",AI147,IF(U147="Mag",AJ147,IF(U147="OR",AK147,IF(U147="HP",AL147,IF(U147="FP",AM147,0)))))))))</f>
        <v/>
      </c>
      <c r="W147" s="27">
        <f>IF(U147="OR",Upgrades!$F$10,IF(U147="HP",Upgrades!$F$11,IF(U147="transition",-Parameters!$B$18,0)))</f>
        <v/>
      </c>
      <c r="X147" s="22">
        <f>T147-V147</f>
        <v/>
      </c>
      <c r="Y147" s="30">
        <f>M147*Parameters!$B$10/60*Parameters!$B$11+O147*M147+N147</f>
        <v/>
      </c>
      <c r="Z147" s="34">
        <f>IF(U147="transition","→ Tier 2 (Stellar Neighborhood)",IF(U147="FP","First Photons — light begins, system quickens",IF(U147="HP","Heliopause acquired",IF(U147="OR","Orbital Resonance — passive multiplier active",IF(AND(AO147=1,L147=0,AN147&lt;&gt;1),"Cohesion ready (waiting on completionist upgrades)","")))))</f>
        <v/>
      </c>
      <c r="AA147" s="27">
        <f>(IF(E147=0,0,(Upgrades!$G$6+E147*Upgrades!$H$6)*POWER(Upgrades!$I$6,E147)))*(IF(Upgrades!$T$7="Solar Wind",POWER(Upgrades!$U$7,F147),1)*IF(Upgrades!$T$8="Solar Wind",POWER(Upgrades!$U$8,G147),1)*IF(Upgrades!$T$9="Solar Wind",POWER(Upgrades!$U$9,H147),1)*IF(Upgrades!$T$10="Solar Wind",POWER(Upgrades!$U$10,I147),1)*IF(Upgrades!$T$11="Solar Wind",POWER(Upgrades!$U$11,J147),1)*IF(Upgrades!$T$12="Solar Wind",POWER(Upgrades!$U$12,K147),1))*POWER(Upgrades!$P$6,E147)*POWER(Upgrades!$P$7,F147)*POWER(Upgrades!$P$8,G147)*POWER(Upgrades!$P$9,H147)*POWER(Upgrades!$P$10,I147)*POWER(Upgrades!$P$11,J147)*POWER(Upgrades!$P$12,K147)*60</f>
        <v/>
      </c>
      <c r="AB147" s="27">
        <f>(IF(F147=0,0,(Upgrades!$G$7+F147*Upgrades!$H$7)*POWER(Upgrades!$I$7,F147)))*(IF(Upgrades!$T$6="Asteroid Belt",POWER(Upgrades!$U$6,E147),1)*IF(Upgrades!$T$8="Asteroid Belt",POWER(Upgrades!$U$8,G147),1)*IF(Upgrades!$T$9="Asteroid Belt",POWER(Upgrades!$U$9,H147),1)*IF(Upgrades!$T$10="Asteroid Belt",POWER(Upgrades!$U$10,I147),1)*IF(Upgrades!$T$11="Asteroid Belt",POWER(Upgrades!$U$11,J147),1)*IF(Upgrades!$T$12="Asteroid Belt",POWER(Upgrades!$U$12,K147),1))*POWER(Upgrades!$P$6,E147)*POWER(Upgrades!$P$7,F147)*POWER(Upgrades!$P$8,G147)*POWER(Upgrades!$P$9,H147)*POWER(Upgrades!$P$10,I147)*POWER(Upgrades!$P$11,J147)*POWER(Upgrades!$P$12,K147)*60</f>
        <v/>
      </c>
      <c r="AC147" s="27">
        <f>(IF(G147=0,0,(Upgrades!$J$8+G147*Upgrades!$K$8)*POWER(Upgrades!$L$8,G147)))*(IF(Upgrades!$T$6="Stellar Coupling",POWER(Upgrades!$U$6,E147),1)*IF(Upgrades!$T$7="Stellar Coupling",POWER(Upgrades!$U$7,F147),1)*IF(Upgrades!$T$9="Stellar Coupling",POWER(Upgrades!$U$9,H147),1)*IF(Upgrades!$T$10="Stellar Coupling",POWER(Upgrades!$U$10,I147),1)*IF(Upgrades!$T$11="Stellar Coupling",POWER(Upgrades!$U$11,J147),1)*IF(Upgrades!$T$12="Stellar Coupling",POWER(Upgrades!$U$12,K147),1))*POWER(Upgrades!$Q$6,E147)*POWER(Upgrades!$Q$7,F147)*POWER(Upgrades!$Q$8,G147)*POWER(Upgrades!$Q$9,H147)*POWER(Upgrades!$Q$10,I147)*POWER(Upgrades!$Q$11,J147)*POWER(Upgrades!$Q$12,K147)*Parameters!$B$10*Parameters!$B$11</f>
        <v/>
      </c>
      <c r="AD147" s="27">
        <f>(IF(H147=0,0,(Upgrades!$G$9+H147*Upgrades!$H$9)*POWER(Upgrades!$I$9,H147)))*(IF(Upgrades!$T$6="Magnetosphere",POWER(Upgrades!$U$6,E147),1)*IF(Upgrades!$T$7="Magnetosphere",POWER(Upgrades!$U$7,F147),1)*IF(Upgrades!$T$8="Magnetosphere",POWER(Upgrades!$U$8,G147),1)*IF(Upgrades!$T$10="Magnetosphere",POWER(Upgrades!$U$10,I147),1)*IF(Upgrades!$T$11="Magnetosphere",POWER(Upgrades!$U$11,J147),1)*IF(Upgrades!$T$12="Magnetosphere",POWER(Upgrades!$U$12,K147),1))*POWER(Upgrades!$P$6,E147)*POWER(Upgrades!$P$7,F147)*POWER(Upgrades!$P$8,G147)*POWER(Upgrades!$P$9,H147)*POWER(Upgrades!$P$10,I147)*POWER(Upgrades!$P$11,J147)*POWER(Upgrades!$P$12,K147)*60</f>
        <v/>
      </c>
      <c r="AE147" s="27">
        <f>(IF(K147=0,0,(Upgrades!$G$12+K147*Upgrades!$H$12)*POWER(Upgrades!$I$12,K147)))*(IF(Upgrades!$T$6="First Photons",POWER(Upgrades!$U$6,E147),1)*IF(Upgrades!$T$7="First Photons",POWER(Upgrades!$U$7,F147),1)*IF(Upgrades!$T$8="First Photons",POWER(Upgrades!$U$8,G147),1)*IF(Upgrades!$T$9="First Photons",POWER(Upgrades!$U$9,H147),1)*IF(Upgrades!$T$10="First Photons",POWER(Upgrades!$U$10,I147),1)*IF(Upgrades!$T$11="First Photons",POWER(Upgrades!$U$11,J147),1))*POWER(Upgrades!$P$6,E147)*POWER(Upgrades!$P$7,F147)*POWER(Upgrades!$P$8,G147)*POWER(Upgrades!$P$9,H147)*POWER(Upgrades!$P$10,I147)*POWER(Upgrades!$P$11,J147)*POWER(Upgrades!$P$12,K147)*60</f>
        <v/>
      </c>
      <c r="AF147" s="27">
        <f>Parameters!$B$9*POWER(Upgrades!$Q$6,E147)*POWER(Upgrades!$Q$7,F147)*POWER(Upgrades!$Q$8,G147)*POWER(Upgrades!$Q$9,H147)*POWER(Upgrades!$Q$10,I147)*POWER(Upgrades!$Q$11,J147)*POWER(Upgrades!$Q$12,K147)*(Parameters!$B$10*Parameters!$B$11+O147*60)</f>
        <v/>
      </c>
      <c r="AG147" s="22">
        <f>IF(E147&gt;=Upgrades!$E$6,"",Upgrades!$C$6*POWER(Upgrades!$D$6,E147))</f>
        <v/>
      </c>
      <c r="AH147" s="22">
        <f>IF(F147&gt;=Upgrades!$E$7,"",Upgrades!$C$7*POWER(Upgrades!$D$7,F147))</f>
        <v/>
      </c>
      <c r="AI147" s="22">
        <f>IF(G147&gt;=Upgrades!$E$8,"",Upgrades!$C$8*POWER(Upgrades!$D$8,G147))</f>
        <v/>
      </c>
      <c r="AJ147" s="22">
        <f>IF(H147&gt;=Upgrades!$E$9,"",Upgrades!$C$9*POWER(Upgrades!$D$9,H147))</f>
        <v/>
      </c>
      <c r="AK147" s="22">
        <f>IF(I147&gt;=Upgrades!$E$10,"",Upgrades!$C$10*POWER(Upgrades!$D$10,I147))</f>
        <v/>
      </c>
      <c r="AL147" s="22">
        <f>IF(J147&gt;=Upgrades!$E$11,"",Upgrades!$C$11*POWER(Upgrades!$D$11,J147))</f>
        <v/>
      </c>
      <c r="AM147" s="22">
        <f>IF(K147&gt;=Upgrades!$E$12,"",Upgrades!$C$12*POWER(Upgrades!$D$12,K147))</f>
        <v/>
      </c>
      <c r="AN147" s="26">
        <f>IF(AND(D147&gt;=Parameters!$B$18,(H147&gt;=Upgrades!$E$9)*(K147&gt;=Upgrades!$E$12)=1,L147=0),1,"")</f>
        <v/>
      </c>
      <c r="AO147" s="26">
        <f>IF(AND(D147&gt;=Parameters!$B$18,L147=0),1,"")</f>
        <v/>
      </c>
      <c r="AP147" s="22">
        <f>MIN(IF(ISNUMBER(AK147),AK147,9E15),IF(ISNUMBER(AL147),AL147,9E15),IF(ISNUMBER(AM147),AM147,9E15))</f>
        <v/>
      </c>
      <c r="AQ147" s="22">
        <f>MIN(IF(ISNUMBER(AG147),AG147,9E15),IF(ISNUMBER(AH147),AH147,9E15),IF(ISNUMBER(AI147),AI147,9E15),IF(ISNUMBER(AJ147),AJ147,9E15))</f>
        <v/>
      </c>
      <c r="AR147" s="29">
        <f>IF(AW147&gt;Parameters!$B$21*(MAX(IF(AND(NOT(AND(AO147=1,AN147&lt;&gt;1)),ISNUMBER(AG147),AG147&lt;=T147),AS147,0),IF(AND(NOT(AND(AO147=1,AN147&lt;&gt;1)),ISNUMBER(AH147),AH147&lt;=T147),AT147,0),IF(AND(NOT(AND(AO147=1,AN147&lt;&gt;1)),ISNUMBER(AI147),AI147&lt;=T147),AU147,0),IF(AND(ISNUMBER(AJ147),AJ147&lt;=T147),AV147,0))),TRUE,FALSE)</f>
        <v/>
      </c>
      <c r="AS147" s="32">
        <f>IFERROR(Upgrades!$H$6*(POWER(Upgrades!$P$6,E147)*POWER(Upgrades!$P$7,F147)*POWER(Upgrades!$P$8,G147)*POWER(Upgrades!$P$9,H147)*POWER(Upgrades!$P$10,I147)*POWER(Upgrades!$P$11,J147)*POWER(Upgrades!$P$12,K147))*(IF(Upgrades!$T$7="Solar Wind",POWER(Upgrades!$U$7,F147),1)*IF(Upgrades!$T$8="Solar Wind",POWER(Upgrades!$U$8,G147),1)*IF(Upgrades!$T$9="Solar Wind",POWER(Upgrades!$U$9,H147),1)*IF(Upgrades!$T$10="Solar Wind",POWER(Upgrades!$U$10,I147),1)*IF(Upgrades!$T$11="Solar Wind",POWER(Upgrades!$U$11,J147),1)*IF(Upgrades!$T$12="Solar Wind",POWER(Upgrades!$U$12,K147),1))/AG147,0)</f>
        <v/>
      </c>
      <c r="AT147" s="32">
        <f>IFERROR(Upgrades!$H$7*(POWER(Upgrades!$P$6,E147)*POWER(Upgrades!$P$7,F147)*POWER(Upgrades!$P$8,G147)*POWER(Upgrades!$P$9,H147)*POWER(Upgrades!$P$10,I147)*POWER(Upgrades!$P$11,J147)*POWER(Upgrades!$P$12,K147))*(IF(Upgrades!$T$6="Asteroid Belt",POWER(Upgrades!$U$6,E147),1)*IF(Upgrades!$T$8="Asteroid Belt",POWER(Upgrades!$U$8,G147),1)*IF(Upgrades!$T$9="Asteroid Belt",POWER(Upgrades!$U$9,H147),1)*IF(Upgrades!$T$10="Asteroid Belt",POWER(Upgrades!$U$10,I147),1)*IF(Upgrades!$T$11="Asteroid Belt",POWER(Upgrades!$U$11,J147),1)*IF(Upgrades!$T$12="Asteroid Belt",POWER(Upgrades!$U$12,K147),1))/AH147,0)</f>
        <v/>
      </c>
      <c r="AU147" s="32">
        <f>IFERROR(Upgrades!$K$8*(POWER(Upgrades!$Q$6,E147)*POWER(Upgrades!$Q$7,F147)*POWER(Upgrades!$Q$8,G147)*POWER(Upgrades!$Q$9,H147)*POWER(Upgrades!$Q$10,I147)*POWER(Upgrades!$Q$11,J147)*POWER(Upgrades!$Q$12,K147))*(IF(Upgrades!$T$6="Stellar Coupling",POWER(Upgrades!$U$6,E147),1)*IF(Upgrades!$T$7="Stellar Coupling",POWER(Upgrades!$U$7,F147),1)*IF(Upgrades!$T$9="Stellar Coupling",POWER(Upgrades!$U$9,H147),1)*IF(Upgrades!$T$10="Stellar Coupling",POWER(Upgrades!$U$10,I147),1)*IF(Upgrades!$T$11="Stellar Coupling",POWER(Upgrades!$U$11,J147),1)*IF(Upgrades!$T$12="Stellar Coupling",POWER(Upgrades!$U$12,K147),1))*Parameters!$B$10*Parameters!$B$11/60/AI147,0)</f>
        <v/>
      </c>
      <c r="AV147" s="32">
        <f>IFERROR(Upgrades!$H$9*(POWER(Upgrades!$P$6,E147)*POWER(Upgrades!$P$7,F147)*POWER(Upgrades!$P$8,G147)*POWER(Upgrades!$P$9,H147)*POWER(Upgrades!$P$10,I147)*POWER(Upgrades!$P$11,J147)*POWER(Upgrades!$P$12,K147))*(IF(Upgrades!$T$6="Magnetosphere",POWER(Upgrades!$U$6,E147),1)*IF(Upgrades!$T$7="Magnetosphere",POWER(Upgrades!$U$7,F147),1)*IF(Upgrades!$T$8="Magnetosphere",POWER(Upgrades!$U$8,G147),1)*IF(Upgrades!$T$10="Magnetosphere",POWER(Upgrades!$U$10,I147),1)*IF(Upgrades!$T$11="Magnetosphere",POWER(Upgrades!$U$11,J147),1)*IF(Upgrades!$T$12="Magnetosphere",POWER(Upgrades!$U$12,K147),1))/AJ147,0)</f>
        <v/>
      </c>
      <c r="AW147" s="32">
        <f>MAX(IF(I147&gt;0,0,IFERROR(0.25*N147/Upgrades!$C$10,0)),IF(J147&gt;0,0,IFERROR(0.5*((IF(G147=0,0,(Upgrades!$J$8+G147*Upgrades!$K$8)*POWER(Upgrades!$L$8,G147)))*(IF(Upgrades!$T$6="Stellar Coupling",POWER(Upgrades!$U$6,E147),1)*IF(Upgrades!$T$7="Stellar Coupling",POWER(Upgrades!$U$7,F147),1)*IF(Upgrades!$T$9="Stellar Coupling",POWER(Upgrades!$U$9,H147),1)*IF(Upgrades!$T$10="Stellar Coupling",POWER(Upgrades!$U$10,I147),1)*IF(Upgrades!$T$11="Stellar Coupling",POWER(Upgrades!$U$11,J147),1)*IF(Upgrades!$T$12="Stellar Coupling",POWER(Upgrades!$U$12,K147),1))*(POWER(Upgrades!$Q$6,E147)*POWER(Upgrades!$Q$7,F147)*POWER(Upgrades!$Q$8,G147)*POWER(Upgrades!$Q$9,H147)*POWER(Upgrades!$Q$10,I147)*POWER(Upgrades!$Q$11,J147)*POWER(Upgrades!$Q$12,K147))*Parameters!$B$10*Parameters!$B$11/60)/Upgrades!$C$11,0)),IF(K147&gt;0,0,IFERROR((1.0*(POWER(Upgrades!$P$6,E147)*POWER(Upgrades!$P$7,F147)*POWER(Upgrades!$P$8,G147)*POWER(Upgrades!$P$9,H147)*POWER(Upgrades!$P$10,I147)*POWER(Upgrades!$P$11,J147)*POWER(Upgrades!$P$12,K147))+0.20*M147*Parameters!$B$10*Parameters!$B$11/60)/Upgrades!$C$12,0)),IF(AND(ISNUMBER(AG147),AG147&gt;T147),AS147,0),IF(AND(ISNUMBER(AH147),AH147&gt;T147),AT147,0),IF(AND(ISNUMBER(AI147),AI147&gt;T147),AU147,0),IF(AND(ISNUMBER(AJ147),AJ147&gt;T147),AV147,0))</f>
        <v/>
      </c>
      <c r="AX147" s="29">
        <f>IF(AN147=1,"transition",IF(MIN(IF(AND(I147=0,ISNUMBER(AK147),AK147&lt;=T147),AK147,9E15),IF(AND(J147=0,ISNUMBER(AL147),AL147&lt;=T147),AL147,9E15),IF(AND(K147=0,ISNUMBER(AM147),AM147&lt;=T147),AM147,9E15))&lt;9E15,IF(AND(AND(I147=0,ISNUMBER(AK147),AK147&lt;=T147),AK147=MIN(IF(AND(I147=0,ISNUMBER(AK147),AK147&lt;=T147),AK147,9E15),IF(AND(J147=0,ISNUMBER(AL147),AL147&lt;=T147),AL147,9E15),IF(AND(K147=0,ISNUMBER(AM147),AM147&lt;=T147),AM147,9E15))),"OR",IF(AND(AND(J147=0,ISNUMBER(AL147),AL147&lt;=T147),AL147=MIN(IF(AND(I147=0,ISNUMBER(AK147),AK147&lt;=T147),AK147,9E15),IF(AND(J147=0,ISNUMBER(AL147),AL147&lt;=T147),AL147,9E15),IF(AND(K147=0,ISNUMBER(AM147),AM147&lt;=T147),AM147,9E15))),"HP","FP")),IF(AR147=TRUE,"",IF(MAX(IF(AND(NOT(AND(AO147=1,AN147&lt;&gt;1)),ISNUMBER(AG147),AG147&lt;=T147),AS147,0),IF(AND(NOT(AND(AO147=1,AN147&lt;&gt;1)),ISNUMBER(AH147),AH147&lt;=T147),AT147,0),IF(AND(NOT(AND(AO147=1,AN147&lt;&gt;1)),ISNUMBER(AI147),AI147&lt;=T147),AU147,0),IF(AND(ISNUMBER(AJ147),AJ147&lt;=T147),AV147,0))&lt;=0,"",IF(AND(IF(AND(NOT(AND(AO147=1,AN147&lt;&gt;1)),ISNUMBER(AG147),AG147&lt;=T147),AS147,0)&gt;0,IF(AND(NOT(AND(AO147=1,AN147&lt;&gt;1)),ISNUMBER(AG147),AG147&lt;=T147),AS147,0)=MAX(IF(AND(NOT(AND(AO147=1,AN147&lt;&gt;1)),ISNUMBER(AG147),AG147&lt;=T147),AS147,0),IF(AND(NOT(AND(AO147=1,AN147&lt;&gt;1)),ISNUMBER(AH147),AH147&lt;=T147),AT147,0),IF(AND(NOT(AND(AO147=1,AN147&lt;&gt;1)),ISNUMBER(AI147),AI147&lt;=T147),AU147,0),IF(AND(ISNUMBER(AJ147),AJ147&lt;=T147),AV147,0))),"SW",IF(AND(IF(AND(NOT(AND(AO147=1,AN147&lt;&gt;1)),ISNUMBER(AH147),AH147&lt;=T147),AT147,0)&gt;0,IF(AND(NOT(AND(AO147=1,AN147&lt;&gt;1)),ISNUMBER(AH147),AH147&lt;=T147),AT147,0)=MAX(IF(AND(NOT(AND(AO147=1,AN147&lt;&gt;1)),ISNUMBER(AG147),AG147&lt;=T147),AS147,0),IF(AND(NOT(AND(AO147=1,AN147&lt;&gt;1)),ISNUMBER(AH147),AH147&lt;=T147),AT147,0),IF(AND(NOT(AND(AO147=1,AN147&lt;&gt;1)),ISNUMBER(AI147),AI147&lt;=T147),AU147,0),IF(AND(ISNUMBER(AJ147),AJ147&lt;=T147),AV147,0))),"AB",IF(AND(IF(AND(NOT(AND(AO147=1,AN147&lt;&gt;1)),ISNUMBER(AI147),AI147&lt;=T147),AU147,0)&gt;0,IF(AND(NOT(AND(AO147=1,AN147&lt;&gt;1)),ISNUMBER(AI147),AI147&lt;=T147),AU147,0)=MAX(IF(AND(NOT(AND(AO147=1,AN147&lt;&gt;1)),ISNUMBER(AG147),AG147&lt;=T147),AS147,0),IF(AND(NOT(AND(AO147=1,AN147&lt;&gt;1)),ISNUMBER(AH147),AH147&lt;=T147),AT147,0),IF(AND(NOT(AND(AO147=1,AN147&lt;&gt;1)),ISNUMBER(AI147),AI147&lt;=T147),AU147,0),IF(AND(ISNUMBER(AJ147),AJ147&lt;=T147),AV147,0))),"SC","Mag")))))))</f>
        <v/>
      </c>
    </row>
    <row r="148">
      <c r="A148" s="26" t="n">
        <v>143</v>
      </c>
      <c r="B148" s="27">
        <f>A148*10/60</f>
        <v/>
      </c>
      <c r="C148" s="22">
        <f>X147</f>
        <v/>
      </c>
      <c r="D148" s="27">
        <f>D147+W147</f>
        <v/>
      </c>
      <c r="E148" s="26">
        <f>E147+IF(U147="SW",1,0)</f>
        <v/>
      </c>
      <c r="F148" s="26">
        <f>F147+IF(U147="AB",1,0)</f>
        <v/>
      </c>
      <c r="G148" s="26">
        <f>G147+IF(U147="SC",1,0)</f>
        <v/>
      </c>
      <c r="H148" s="26">
        <f>H147+IF(U147="Mag",1,0)</f>
        <v/>
      </c>
      <c r="I148" s="26">
        <f>MAX(I147,IF(U147="OR",1,0))</f>
        <v/>
      </c>
      <c r="J148" s="26">
        <f>MAX(J147,IF(U147="HP",1,0))</f>
        <v/>
      </c>
      <c r="K148" s="26">
        <f>MAX(K147,IF(U147="FP",1,0))</f>
        <v/>
      </c>
      <c r="L148" s="26">
        <f>MAX(L147,IF(U147="transition",1,0))</f>
        <v/>
      </c>
      <c r="M148" s="28">
        <f>(Parameters!$B$9+(IF(E148=0,0,(Upgrades!$J$6+E148*Upgrades!$K$6)*POWER(Upgrades!$L$6,E148)))*(IF(Upgrades!$T$7="Solar Wind",POWER(Upgrades!$U$7,F148),1)*IF(Upgrades!$T$8="Solar Wind",POWER(Upgrades!$U$8,G148),1)*IF(Upgrades!$T$9="Solar Wind",POWER(Upgrades!$U$9,H148),1)*IF(Upgrades!$T$10="Solar Wind",POWER(Upgrades!$U$10,I148),1)*IF(Upgrades!$T$11="Solar Wind",POWER(Upgrades!$U$11,J148),1)*IF(Upgrades!$T$12="Solar Wind",POWER(Upgrades!$U$12,K148),1))+(IF(F148=0,0,(Upgrades!$J$7+F148*Upgrades!$K$7)*POWER(Upgrades!$L$7,F148)))*(IF(Upgrades!$T$6="Asteroid Belt",POWER(Upgrades!$U$6,E148),1)*IF(Upgrades!$T$8="Asteroid Belt",POWER(Upgrades!$U$8,G148),1)*IF(Upgrades!$T$9="Asteroid Belt",POWER(Upgrades!$U$9,H148),1)*IF(Upgrades!$T$10="Asteroid Belt",POWER(Upgrades!$U$10,I148),1)*IF(Upgrades!$T$11="Asteroid Belt",POWER(Upgrades!$U$11,J148),1)*IF(Upgrades!$T$12="Asteroid Belt",POWER(Upgrades!$U$12,K148),1))+(IF(G148=0,0,(Upgrades!$J$8+G148*Upgrades!$K$8)*POWER(Upgrades!$L$8,G148)))*(IF(Upgrades!$T$6="Stellar Coupling",POWER(Upgrades!$U$6,E148),1)*IF(Upgrades!$T$7="Stellar Coupling",POWER(Upgrades!$U$7,F148),1)*IF(Upgrades!$T$9="Stellar Coupling",POWER(Upgrades!$U$9,H148),1)*IF(Upgrades!$T$10="Stellar Coupling",POWER(Upgrades!$U$10,I148),1)*IF(Upgrades!$T$11="Stellar Coupling",POWER(Upgrades!$U$11,J148),1)*IF(Upgrades!$T$12="Stellar Coupling",POWER(Upgrades!$U$12,K148),1))+(IF(H148=0,0,(Upgrades!$J$9+H148*Upgrades!$K$9)*POWER(Upgrades!$L$9,H148)))*(IF(Upgrades!$T$6="Magnetosphere",POWER(Upgrades!$U$6,E148),1)*IF(Upgrades!$T$7="Magnetosphere",POWER(Upgrades!$U$7,F148),1)*IF(Upgrades!$T$8="Magnetosphere",POWER(Upgrades!$U$8,G148),1)*IF(Upgrades!$T$10="Magnetosphere",POWER(Upgrades!$U$10,I148),1)*IF(Upgrades!$T$11="Magnetosphere",POWER(Upgrades!$U$11,J148),1)*IF(Upgrades!$T$12="Magnetosphere",POWER(Upgrades!$U$12,K148),1))+(IF(I148=0,0,(Upgrades!$J$10+I148*Upgrades!$K$10)*POWER(Upgrades!$L$10,I148)))*(IF(Upgrades!$T$6="Orbital Resonance",POWER(Upgrades!$U$6,E148),1)*IF(Upgrades!$T$7="Orbital Resonance",POWER(Upgrades!$U$7,F148),1)*IF(Upgrades!$T$8="Orbital Resonance",POWER(Upgrades!$U$8,G148),1)*IF(Upgrades!$T$9="Orbital Resonance",POWER(Upgrades!$U$9,H148),1)*IF(Upgrades!$T$11="Orbital Resonance",POWER(Upgrades!$U$11,J148),1)*IF(Upgrades!$T$12="Orbital Resonance",POWER(Upgrades!$U$12,K148),1))+(IF(J148=0,0,(Upgrades!$J$11+J148*Upgrades!$K$11)*POWER(Upgrades!$L$11,J148)))*(IF(Upgrades!$T$6="Heliopause",POWER(Upgrades!$U$6,E148),1)*IF(Upgrades!$T$7="Heliopause",POWER(Upgrades!$U$7,F148),1)*IF(Upgrades!$T$8="Heliopause",POWER(Upgrades!$U$8,G148),1)*IF(Upgrades!$T$9="Heliopause",POWER(Upgrades!$U$9,H148),1)*IF(Upgrades!$T$10="Heliopause",POWER(Upgrades!$U$10,I148),1)*IF(Upgrades!$T$12="Heliopause",POWER(Upgrades!$U$12,K148),1))+(IF(K148=0,0,(Upgrades!$J$12+K148*Upgrades!$K$12)*POWER(Upgrades!$L$12,K148)))*(IF(Upgrades!$T$6="First Photons",POWER(Upgrades!$U$6,E148),1)*IF(Upgrades!$T$7="First Photons",POWER(Upgrades!$U$7,F148),1)*IF(Upgrades!$T$8="First Photons",POWER(Upgrades!$U$8,G148),1)*IF(Upgrades!$T$9="First Photons",POWER(Upgrades!$U$9,H148),1)*IF(Upgrades!$T$10="First Photons",POWER(Upgrades!$U$10,I148),1)*IF(Upgrades!$T$11="First Photons",POWER(Upgrades!$U$11,J148),1)))*POWER(Upgrades!$Q$6,E148)*POWER(Upgrades!$Q$7,F148)*POWER(Upgrades!$Q$8,G148)*POWER(Upgrades!$Q$9,H148)*POWER(Upgrades!$Q$10,I148)*POWER(Upgrades!$Q$11,J148)*POWER(Upgrades!$Q$12,K148)</f>
        <v/>
      </c>
      <c r="N148" s="28">
        <f>((IF(E148=0,0,(Upgrades!$G$6+E148*Upgrades!$H$6)*POWER(Upgrades!$I$6,E148)))*(IF(Upgrades!$T$7="Solar Wind",POWER(Upgrades!$U$7,F148),1)*IF(Upgrades!$T$8="Solar Wind",POWER(Upgrades!$U$8,G148),1)*IF(Upgrades!$T$9="Solar Wind",POWER(Upgrades!$U$9,H148),1)*IF(Upgrades!$T$10="Solar Wind",POWER(Upgrades!$U$10,I148),1)*IF(Upgrades!$T$11="Solar Wind",POWER(Upgrades!$U$11,J148),1)*IF(Upgrades!$T$12="Solar Wind",POWER(Upgrades!$U$12,K148),1))+(IF(F148=0,0,(Upgrades!$G$7+F148*Upgrades!$H$7)*POWER(Upgrades!$I$7,F148)))*(IF(Upgrades!$T$6="Asteroid Belt",POWER(Upgrades!$U$6,E148),1)*IF(Upgrades!$T$8="Asteroid Belt",POWER(Upgrades!$U$8,G148),1)*IF(Upgrades!$T$9="Asteroid Belt",POWER(Upgrades!$U$9,H148),1)*IF(Upgrades!$T$10="Asteroid Belt",POWER(Upgrades!$U$10,I148),1)*IF(Upgrades!$T$11="Asteroid Belt",POWER(Upgrades!$U$11,J148),1)*IF(Upgrades!$T$12="Asteroid Belt",POWER(Upgrades!$U$12,K148),1))+(IF(G148=0,0,(Upgrades!$G$8+G148*Upgrades!$H$8)*POWER(Upgrades!$I$8,G148)))*(IF(Upgrades!$T$6="Stellar Coupling",POWER(Upgrades!$U$6,E148),1)*IF(Upgrades!$T$7="Stellar Coupling",POWER(Upgrades!$U$7,F148),1)*IF(Upgrades!$T$9="Stellar Coupling",POWER(Upgrades!$U$9,H148),1)*IF(Upgrades!$T$10="Stellar Coupling",POWER(Upgrades!$U$10,I148),1)*IF(Upgrades!$T$11="Stellar Coupling",POWER(Upgrades!$U$11,J148),1)*IF(Upgrades!$T$12="Stellar Coupling",POWER(Upgrades!$U$12,K148),1))+(IF(H148=0,0,(Upgrades!$G$9+H148*Upgrades!$H$9)*POWER(Upgrades!$I$9,H148)))*(IF(Upgrades!$T$6="Magnetosphere",POWER(Upgrades!$U$6,E148),1)*IF(Upgrades!$T$7="Magnetosphere",POWER(Upgrades!$U$7,F148),1)*IF(Upgrades!$T$8="Magnetosphere",POWER(Upgrades!$U$8,G148),1)*IF(Upgrades!$T$10="Magnetosphere",POWER(Upgrades!$U$10,I148),1)*IF(Upgrades!$T$11="Magnetosphere",POWER(Upgrades!$U$11,J148),1)*IF(Upgrades!$T$12="Magnetosphere",POWER(Upgrades!$U$12,K148),1))+(IF(I148=0,0,(Upgrades!$G$10+I148*Upgrades!$H$10)*POWER(Upgrades!$I$10,I148)))*(IF(Upgrades!$T$6="Orbital Resonance",POWER(Upgrades!$U$6,E148),1)*IF(Upgrades!$T$7="Orbital Resonance",POWER(Upgrades!$U$7,F148),1)*IF(Upgrades!$T$8="Orbital Resonance",POWER(Upgrades!$U$8,G148),1)*IF(Upgrades!$T$9="Orbital Resonance",POWER(Upgrades!$U$9,H148),1)*IF(Upgrades!$T$11="Orbital Resonance",POWER(Upgrades!$U$11,J148),1)*IF(Upgrades!$T$12="Orbital Resonance",POWER(Upgrades!$U$12,K148),1))+(IF(J148=0,0,(Upgrades!$G$11+J148*Upgrades!$H$11)*POWER(Upgrades!$I$11,J148)))*(IF(Upgrades!$T$6="Heliopause",POWER(Upgrades!$U$6,E148),1)*IF(Upgrades!$T$7="Heliopause",POWER(Upgrades!$U$7,F148),1)*IF(Upgrades!$T$8="Heliopause",POWER(Upgrades!$U$8,G148),1)*IF(Upgrades!$T$9="Heliopause",POWER(Upgrades!$U$9,H148),1)*IF(Upgrades!$T$10="Heliopause",POWER(Upgrades!$U$10,I148),1)*IF(Upgrades!$T$12="Heliopause",POWER(Upgrades!$U$12,K148),1))+(IF(K148=0,0,(Upgrades!$G$12+K148*Upgrades!$H$12)*POWER(Upgrades!$I$12,K148)))*(IF(Upgrades!$T$6="First Photons",POWER(Upgrades!$U$6,E148),1)*IF(Upgrades!$T$7="First Photons",POWER(Upgrades!$U$7,F148),1)*IF(Upgrades!$T$8="First Photons",POWER(Upgrades!$U$8,G148),1)*IF(Upgrades!$T$9="First Photons",POWER(Upgrades!$U$9,H148),1)*IF(Upgrades!$T$10="First Photons",POWER(Upgrades!$U$10,I148),1)*IF(Upgrades!$T$11="First Photons",POWER(Upgrades!$U$11,J148),1)))*POWER(Upgrades!$P$6,E148)*POWER(Upgrades!$P$7,F148)*POWER(Upgrades!$P$8,G148)*POWER(Upgrades!$P$9,H148)*POWER(Upgrades!$P$10,I148)*POWER(Upgrades!$P$11,J148)*POWER(Upgrades!$P$12,K148)</f>
        <v/>
      </c>
      <c r="O148" s="28">
        <f>((IF(E148=0,0,(Upgrades!$M$6+E148*Upgrades!$N$6)*POWER(Upgrades!$O$6,E148)))*(IF(Upgrades!$T$7="Solar Wind",POWER(Upgrades!$U$7,F148),1)*IF(Upgrades!$T$8="Solar Wind",POWER(Upgrades!$U$8,G148),1)*IF(Upgrades!$T$9="Solar Wind",POWER(Upgrades!$U$9,H148),1)*IF(Upgrades!$T$10="Solar Wind",POWER(Upgrades!$U$10,I148),1)*IF(Upgrades!$T$11="Solar Wind",POWER(Upgrades!$U$11,J148),1)*IF(Upgrades!$T$12="Solar Wind",POWER(Upgrades!$U$12,K148),1))+(IF(F148=0,0,(Upgrades!$M$7+F148*Upgrades!$N$7)*POWER(Upgrades!$O$7,F148)))*(IF(Upgrades!$T$6="Asteroid Belt",POWER(Upgrades!$U$6,E148),1)*IF(Upgrades!$T$8="Asteroid Belt",POWER(Upgrades!$U$8,G148),1)*IF(Upgrades!$T$9="Asteroid Belt",POWER(Upgrades!$U$9,H148),1)*IF(Upgrades!$T$10="Asteroid Belt",POWER(Upgrades!$U$10,I148),1)*IF(Upgrades!$T$11="Asteroid Belt",POWER(Upgrades!$U$11,J148),1)*IF(Upgrades!$T$12="Asteroid Belt",POWER(Upgrades!$U$12,K148),1))+(IF(G148=0,0,(Upgrades!$M$8+G148*Upgrades!$N$8)*POWER(Upgrades!$O$8,G148)))*(IF(Upgrades!$T$6="Stellar Coupling",POWER(Upgrades!$U$6,E148),1)*IF(Upgrades!$T$7="Stellar Coupling",POWER(Upgrades!$U$7,F148),1)*IF(Upgrades!$T$9="Stellar Coupling",POWER(Upgrades!$U$9,H148),1)*IF(Upgrades!$T$10="Stellar Coupling",POWER(Upgrades!$U$10,I148),1)*IF(Upgrades!$T$11="Stellar Coupling",POWER(Upgrades!$U$11,J148),1)*IF(Upgrades!$T$12="Stellar Coupling",POWER(Upgrades!$U$12,K148),1))+(IF(H148=0,0,(Upgrades!$M$9+H148*Upgrades!$N$9)*POWER(Upgrades!$O$9,H148)))*(IF(Upgrades!$T$6="Magnetosphere",POWER(Upgrades!$U$6,E148),1)*IF(Upgrades!$T$7="Magnetosphere",POWER(Upgrades!$U$7,F148),1)*IF(Upgrades!$T$8="Magnetosphere",POWER(Upgrades!$U$8,G148),1)*IF(Upgrades!$T$10="Magnetosphere",POWER(Upgrades!$U$10,I148),1)*IF(Upgrades!$T$11="Magnetosphere",POWER(Upgrades!$U$11,J148),1)*IF(Upgrades!$T$12="Magnetosphere",POWER(Upgrades!$U$12,K148),1))+(IF(I148=0,0,(Upgrades!$M$10+I148*Upgrades!$N$10)*POWER(Upgrades!$O$10,I148)))*(IF(Upgrades!$T$6="Orbital Resonance",POWER(Upgrades!$U$6,E148),1)*IF(Upgrades!$T$7="Orbital Resonance",POWER(Upgrades!$U$7,F148),1)*IF(Upgrades!$T$8="Orbital Resonance",POWER(Upgrades!$U$8,G148),1)*IF(Upgrades!$T$9="Orbital Resonance",POWER(Upgrades!$U$9,H148),1)*IF(Upgrades!$T$11="Orbital Resonance",POWER(Upgrades!$U$11,J148),1)*IF(Upgrades!$T$12="Orbital Resonance",POWER(Upgrades!$U$12,K148),1))+(IF(J148=0,0,(Upgrades!$M$11+J148*Upgrades!$N$11)*POWER(Upgrades!$O$11,J148)))*(IF(Upgrades!$T$6="Heliopause",POWER(Upgrades!$U$6,E148),1)*IF(Upgrades!$T$7="Heliopause",POWER(Upgrades!$U$7,F148),1)*IF(Upgrades!$T$8="Heliopause",POWER(Upgrades!$U$8,G148),1)*IF(Upgrades!$T$9="Heliopause",POWER(Upgrades!$U$9,H148),1)*IF(Upgrades!$T$10="Heliopause",POWER(Upgrades!$U$10,I148),1)*IF(Upgrades!$T$12="Heliopause",POWER(Upgrades!$U$12,K148),1))+(IF(K148=0,0,(Upgrades!$M$12+K148*Upgrades!$N$12)*POWER(Upgrades!$O$12,K148)))*(IF(Upgrades!$T$6="First Photons",POWER(Upgrades!$U$6,E148),1)*IF(Upgrades!$T$7="First Photons",POWER(Upgrades!$U$7,F148),1)*IF(Upgrades!$T$8="First Photons",POWER(Upgrades!$U$8,G148),1)*IF(Upgrades!$T$9="First Photons",POWER(Upgrades!$U$9,H148),1)*IF(Upgrades!$T$10="First Photons",POWER(Upgrades!$U$10,I148),1)*IF(Upgrades!$T$11="First Photons",POWER(Upgrades!$U$11,J148),1)))*POWER(Upgrades!$R$6,E148)*POWER(Upgrades!$R$7,F148)*POWER(Upgrades!$R$8,G148)*POWER(Upgrades!$R$9,H148)*POWER(Upgrades!$R$10,I148)*POWER(Upgrades!$R$11,J148)*POWER(Upgrades!$R$12,K148)</f>
        <v/>
      </c>
      <c r="P148" s="27">
        <f>IF(L148=1,0,M148*Parameters!$B$10/60*Parameters!$B$11*10)</f>
        <v/>
      </c>
      <c r="Q148" s="27">
        <f>IF(L148=1,0,O148*M148*10)</f>
        <v/>
      </c>
      <c r="R148" s="27">
        <f>IF(L148=1,0,N148*10)</f>
        <v/>
      </c>
      <c r="S148" s="27">
        <f>P148+Q148+R148</f>
        <v/>
      </c>
      <c r="T148" s="22">
        <f>C148+S148</f>
        <v/>
      </c>
      <c r="U148" s="33">
        <f>AX148</f>
        <v/>
      </c>
      <c r="V148" s="22">
        <f>IF(U148="",0,IF(U148="transition",0,IF(U148="SW",AG148,IF(U148="AB",AH148,IF(U148="SC",AI148,IF(U148="Mag",AJ148,IF(U148="OR",AK148,IF(U148="HP",AL148,IF(U148="FP",AM148,0)))))))))</f>
        <v/>
      </c>
      <c r="W148" s="27">
        <f>IF(U148="OR",Upgrades!$F$10,IF(U148="HP",Upgrades!$F$11,IF(U148="transition",-Parameters!$B$18,0)))</f>
        <v/>
      </c>
      <c r="X148" s="22">
        <f>T148-V148</f>
        <v/>
      </c>
      <c r="Y148" s="30">
        <f>M148*Parameters!$B$10/60*Parameters!$B$11+O148*M148+N148</f>
        <v/>
      </c>
      <c r="Z148" s="34">
        <f>IF(U148="transition","→ Tier 2 (Stellar Neighborhood)",IF(U148="FP","First Photons — light begins, system quickens",IF(U148="HP","Heliopause acquired",IF(U148="OR","Orbital Resonance — passive multiplier active",IF(AND(AO148=1,L148=0,AN148&lt;&gt;1),"Cohesion ready (waiting on completionist upgrades)","")))))</f>
        <v/>
      </c>
      <c r="AA148" s="27">
        <f>(IF(E148=0,0,(Upgrades!$G$6+E148*Upgrades!$H$6)*POWER(Upgrades!$I$6,E148)))*(IF(Upgrades!$T$7="Solar Wind",POWER(Upgrades!$U$7,F148),1)*IF(Upgrades!$T$8="Solar Wind",POWER(Upgrades!$U$8,G148),1)*IF(Upgrades!$T$9="Solar Wind",POWER(Upgrades!$U$9,H148),1)*IF(Upgrades!$T$10="Solar Wind",POWER(Upgrades!$U$10,I148),1)*IF(Upgrades!$T$11="Solar Wind",POWER(Upgrades!$U$11,J148),1)*IF(Upgrades!$T$12="Solar Wind",POWER(Upgrades!$U$12,K148),1))*POWER(Upgrades!$P$6,E148)*POWER(Upgrades!$P$7,F148)*POWER(Upgrades!$P$8,G148)*POWER(Upgrades!$P$9,H148)*POWER(Upgrades!$P$10,I148)*POWER(Upgrades!$P$11,J148)*POWER(Upgrades!$P$12,K148)*60</f>
        <v/>
      </c>
      <c r="AB148" s="27">
        <f>(IF(F148=0,0,(Upgrades!$G$7+F148*Upgrades!$H$7)*POWER(Upgrades!$I$7,F148)))*(IF(Upgrades!$T$6="Asteroid Belt",POWER(Upgrades!$U$6,E148),1)*IF(Upgrades!$T$8="Asteroid Belt",POWER(Upgrades!$U$8,G148),1)*IF(Upgrades!$T$9="Asteroid Belt",POWER(Upgrades!$U$9,H148),1)*IF(Upgrades!$T$10="Asteroid Belt",POWER(Upgrades!$U$10,I148),1)*IF(Upgrades!$T$11="Asteroid Belt",POWER(Upgrades!$U$11,J148),1)*IF(Upgrades!$T$12="Asteroid Belt",POWER(Upgrades!$U$12,K148),1))*POWER(Upgrades!$P$6,E148)*POWER(Upgrades!$P$7,F148)*POWER(Upgrades!$P$8,G148)*POWER(Upgrades!$P$9,H148)*POWER(Upgrades!$P$10,I148)*POWER(Upgrades!$P$11,J148)*POWER(Upgrades!$P$12,K148)*60</f>
        <v/>
      </c>
      <c r="AC148" s="27">
        <f>(IF(G148=0,0,(Upgrades!$J$8+G148*Upgrades!$K$8)*POWER(Upgrades!$L$8,G148)))*(IF(Upgrades!$T$6="Stellar Coupling",POWER(Upgrades!$U$6,E148),1)*IF(Upgrades!$T$7="Stellar Coupling",POWER(Upgrades!$U$7,F148),1)*IF(Upgrades!$T$9="Stellar Coupling",POWER(Upgrades!$U$9,H148),1)*IF(Upgrades!$T$10="Stellar Coupling",POWER(Upgrades!$U$10,I148),1)*IF(Upgrades!$T$11="Stellar Coupling",POWER(Upgrades!$U$11,J148),1)*IF(Upgrades!$T$12="Stellar Coupling",POWER(Upgrades!$U$12,K148),1))*POWER(Upgrades!$Q$6,E148)*POWER(Upgrades!$Q$7,F148)*POWER(Upgrades!$Q$8,G148)*POWER(Upgrades!$Q$9,H148)*POWER(Upgrades!$Q$10,I148)*POWER(Upgrades!$Q$11,J148)*POWER(Upgrades!$Q$12,K148)*Parameters!$B$10*Parameters!$B$11</f>
        <v/>
      </c>
      <c r="AD148" s="27">
        <f>(IF(H148=0,0,(Upgrades!$G$9+H148*Upgrades!$H$9)*POWER(Upgrades!$I$9,H148)))*(IF(Upgrades!$T$6="Magnetosphere",POWER(Upgrades!$U$6,E148),1)*IF(Upgrades!$T$7="Magnetosphere",POWER(Upgrades!$U$7,F148),1)*IF(Upgrades!$T$8="Magnetosphere",POWER(Upgrades!$U$8,G148),1)*IF(Upgrades!$T$10="Magnetosphere",POWER(Upgrades!$U$10,I148),1)*IF(Upgrades!$T$11="Magnetosphere",POWER(Upgrades!$U$11,J148),1)*IF(Upgrades!$T$12="Magnetosphere",POWER(Upgrades!$U$12,K148),1))*POWER(Upgrades!$P$6,E148)*POWER(Upgrades!$P$7,F148)*POWER(Upgrades!$P$8,G148)*POWER(Upgrades!$P$9,H148)*POWER(Upgrades!$P$10,I148)*POWER(Upgrades!$P$11,J148)*POWER(Upgrades!$P$12,K148)*60</f>
        <v/>
      </c>
      <c r="AE148" s="27">
        <f>(IF(K148=0,0,(Upgrades!$G$12+K148*Upgrades!$H$12)*POWER(Upgrades!$I$12,K148)))*(IF(Upgrades!$T$6="First Photons",POWER(Upgrades!$U$6,E148),1)*IF(Upgrades!$T$7="First Photons",POWER(Upgrades!$U$7,F148),1)*IF(Upgrades!$T$8="First Photons",POWER(Upgrades!$U$8,G148),1)*IF(Upgrades!$T$9="First Photons",POWER(Upgrades!$U$9,H148),1)*IF(Upgrades!$T$10="First Photons",POWER(Upgrades!$U$10,I148),1)*IF(Upgrades!$T$11="First Photons",POWER(Upgrades!$U$11,J148),1))*POWER(Upgrades!$P$6,E148)*POWER(Upgrades!$P$7,F148)*POWER(Upgrades!$P$8,G148)*POWER(Upgrades!$P$9,H148)*POWER(Upgrades!$P$10,I148)*POWER(Upgrades!$P$11,J148)*POWER(Upgrades!$P$12,K148)*60</f>
        <v/>
      </c>
      <c r="AF148" s="27">
        <f>Parameters!$B$9*POWER(Upgrades!$Q$6,E148)*POWER(Upgrades!$Q$7,F148)*POWER(Upgrades!$Q$8,G148)*POWER(Upgrades!$Q$9,H148)*POWER(Upgrades!$Q$10,I148)*POWER(Upgrades!$Q$11,J148)*POWER(Upgrades!$Q$12,K148)*(Parameters!$B$10*Parameters!$B$11+O148*60)</f>
        <v/>
      </c>
      <c r="AG148" s="22">
        <f>IF(E148&gt;=Upgrades!$E$6,"",Upgrades!$C$6*POWER(Upgrades!$D$6,E148))</f>
        <v/>
      </c>
      <c r="AH148" s="22">
        <f>IF(F148&gt;=Upgrades!$E$7,"",Upgrades!$C$7*POWER(Upgrades!$D$7,F148))</f>
        <v/>
      </c>
      <c r="AI148" s="22">
        <f>IF(G148&gt;=Upgrades!$E$8,"",Upgrades!$C$8*POWER(Upgrades!$D$8,G148))</f>
        <v/>
      </c>
      <c r="AJ148" s="22">
        <f>IF(H148&gt;=Upgrades!$E$9,"",Upgrades!$C$9*POWER(Upgrades!$D$9,H148))</f>
        <v/>
      </c>
      <c r="AK148" s="22">
        <f>IF(I148&gt;=Upgrades!$E$10,"",Upgrades!$C$10*POWER(Upgrades!$D$10,I148))</f>
        <v/>
      </c>
      <c r="AL148" s="22">
        <f>IF(J148&gt;=Upgrades!$E$11,"",Upgrades!$C$11*POWER(Upgrades!$D$11,J148))</f>
        <v/>
      </c>
      <c r="AM148" s="22">
        <f>IF(K148&gt;=Upgrades!$E$12,"",Upgrades!$C$12*POWER(Upgrades!$D$12,K148))</f>
        <v/>
      </c>
      <c r="AN148" s="26">
        <f>IF(AND(D148&gt;=Parameters!$B$18,(H148&gt;=Upgrades!$E$9)*(K148&gt;=Upgrades!$E$12)=1,L148=0),1,"")</f>
        <v/>
      </c>
      <c r="AO148" s="26">
        <f>IF(AND(D148&gt;=Parameters!$B$18,L148=0),1,"")</f>
        <v/>
      </c>
      <c r="AP148" s="22">
        <f>MIN(IF(ISNUMBER(AK148),AK148,9E15),IF(ISNUMBER(AL148),AL148,9E15),IF(ISNUMBER(AM148),AM148,9E15))</f>
        <v/>
      </c>
      <c r="AQ148" s="22">
        <f>MIN(IF(ISNUMBER(AG148),AG148,9E15),IF(ISNUMBER(AH148),AH148,9E15),IF(ISNUMBER(AI148),AI148,9E15),IF(ISNUMBER(AJ148),AJ148,9E15))</f>
        <v/>
      </c>
      <c r="AR148" s="29">
        <f>IF(AW148&gt;Parameters!$B$21*(MAX(IF(AND(NOT(AND(AO148=1,AN148&lt;&gt;1)),ISNUMBER(AG148),AG148&lt;=T148),AS148,0),IF(AND(NOT(AND(AO148=1,AN148&lt;&gt;1)),ISNUMBER(AH148),AH148&lt;=T148),AT148,0),IF(AND(NOT(AND(AO148=1,AN148&lt;&gt;1)),ISNUMBER(AI148),AI148&lt;=T148),AU148,0),IF(AND(ISNUMBER(AJ148),AJ148&lt;=T148),AV148,0))),TRUE,FALSE)</f>
        <v/>
      </c>
      <c r="AS148" s="32">
        <f>IFERROR(Upgrades!$H$6*(POWER(Upgrades!$P$6,E148)*POWER(Upgrades!$P$7,F148)*POWER(Upgrades!$P$8,G148)*POWER(Upgrades!$P$9,H148)*POWER(Upgrades!$P$10,I148)*POWER(Upgrades!$P$11,J148)*POWER(Upgrades!$P$12,K148))*(IF(Upgrades!$T$7="Solar Wind",POWER(Upgrades!$U$7,F148),1)*IF(Upgrades!$T$8="Solar Wind",POWER(Upgrades!$U$8,G148),1)*IF(Upgrades!$T$9="Solar Wind",POWER(Upgrades!$U$9,H148),1)*IF(Upgrades!$T$10="Solar Wind",POWER(Upgrades!$U$10,I148),1)*IF(Upgrades!$T$11="Solar Wind",POWER(Upgrades!$U$11,J148),1)*IF(Upgrades!$T$12="Solar Wind",POWER(Upgrades!$U$12,K148),1))/AG148,0)</f>
        <v/>
      </c>
      <c r="AT148" s="32">
        <f>IFERROR(Upgrades!$H$7*(POWER(Upgrades!$P$6,E148)*POWER(Upgrades!$P$7,F148)*POWER(Upgrades!$P$8,G148)*POWER(Upgrades!$P$9,H148)*POWER(Upgrades!$P$10,I148)*POWER(Upgrades!$P$11,J148)*POWER(Upgrades!$P$12,K148))*(IF(Upgrades!$T$6="Asteroid Belt",POWER(Upgrades!$U$6,E148),1)*IF(Upgrades!$T$8="Asteroid Belt",POWER(Upgrades!$U$8,G148),1)*IF(Upgrades!$T$9="Asteroid Belt",POWER(Upgrades!$U$9,H148),1)*IF(Upgrades!$T$10="Asteroid Belt",POWER(Upgrades!$U$10,I148),1)*IF(Upgrades!$T$11="Asteroid Belt",POWER(Upgrades!$U$11,J148),1)*IF(Upgrades!$T$12="Asteroid Belt",POWER(Upgrades!$U$12,K148),1))/AH148,0)</f>
        <v/>
      </c>
      <c r="AU148" s="32">
        <f>IFERROR(Upgrades!$K$8*(POWER(Upgrades!$Q$6,E148)*POWER(Upgrades!$Q$7,F148)*POWER(Upgrades!$Q$8,G148)*POWER(Upgrades!$Q$9,H148)*POWER(Upgrades!$Q$10,I148)*POWER(Upgrades!$Q$11,J148)*POWER(Upgrades!$Q$12,K148))*(IF(Upgrades!$T$6="Stellar Coupling",POWER(Upgrades!$U$6,E148),1)*IF(Upgrades!$T$7="Stellar Coupling",POWER(Upgrades!$U$7,F148),1)*IF(Upgrades!$T$9="Stellar Coupling",POWER(Upgrades!$U$9,H148),1)*IF(Upgrades!$T$10="Stellar Coupling",POWER(Upgrades!$U$10,I148),1)*IF(Upgrades!$T$11="Stellar Coupling",POWER(Upgrades!$U$11,J148),1)*IF(Upgrades!$T$12="Stellar Coupling",POWER(Upgrades!$U$12,K148),1))*Parameters!$B$10*Parameters!$B$11/60/AI148,0)</f>
        <v/>
      </c>
      <c r="AV148" s="32">
        <f>IFERROR(Upgrades!$H$9*(POWER(Upgrades!$P$6,E148)*POWER(Upgrades!$P$7,F148)*POWER(Upgrades!$P$8,G148)*POWER(Upgrades!$P$9,H148)*POWER(Upgrades!$P$10,I148)*POWER(Upgrades!$P$11,J148)*POWER(Upgrades!$P$12,K148))*(IF(Upgrades!$T$6="Magnetosphere",POWER(Upgrades!$U$6,E148),1)*IF(Upgrades!$T$7="Magnetosphere",POWER(Upgrades!$U$7,F148),1)*IF(Upgrades!$T$8="Magnetosphere",POWER(Upgrades!$U$8,G148),1)*IF(Upgrades!$T$10="Magnetosphere",POWER(Upgrades!$U$10,I148),1)*IF(Upgrades!$T$11="Magnetosphere",POWER(Upgrades!$U$11,J148),1)*IF(Upgrades!$T$12="Magnetosphere",POWER(Upgrades!$U$12,K148),1))/AJ148,0)</f>
        <v/>
      </c>
      <c r="AW148" s="32">
        <f>MAX(IF(I148&gt;0,0,IFERROR(0.25*N148/Upgrades!$C$10,0)),IF(J148&gt;0,0,IFERROR(0.5*((IF(G148=0,0,(Upgrades!$J$8+G148*Upgrades!$K$8)*POWER(Upgrades!$L$8,G148)))*(IF(Upgrades!$T$6="Stellar Coupling",POWER(Upgrades!$U$6,E148),1)*IF(Upgrades!$T$7="Stellar Coupling",POWER(Upgrades!$U$7,F148),1)*IF(Upgrades!$T$9="Stellar Coupling",POWER(Upgrades!$U$9,H148),1)*IF(Upgrades!$T$10="Stellar Coupling",POWER(Upgrades!$U$10,I148),1)*IF(Upgrades!$T$11="Stellar Coupling",POWER(Upgrades!$U$11,J148),1)*IF(Upgrades!$T$12="Stellar Coupling",POWER(Upgrades!$U$12,K148),1))*(POWER(Upgrades!$Q$6,E148)*POWER(Upgrades!$Q$7,F148)*POWER(Upgrades!$Q$8,G148)*POWER(Upgrades!$Q$9,H148)*POWER(Upgrades!$Q$10,I148)*POWER(Upgrades!$Q$11,J148)*POWER(Upgrades!$Q$12,K148))*Parameters!$B$10*Parameters!$B$11/60)/Upgrades!$C$11,0)),IF(K148&gt;0,0,IFERROR((1.0*(POWER(Upgrades!$P$6,E148)*POWER(Upgrades!$P$7,F148)*POWER(Upgrades!$P$8,G148)*POWER(Upgrades!$P$9,H148)*POWER(Upgrades!$P$10,I148)*POWER(Upgrades!$P$11,J148)*POWER(Upgrades!$P$12,K148))+0.20*M148*Parameters!$B$10*Parameters!$B$11/60)/Upgrades!$C$12,0)),IF(AND(ISNUMBER(AG148),AG148&gt;T148),AS148,0),IF(AND(ISNUMBER(AH148),AH148&gt;T148),AT148,0),IF(AND(ISNUMBER(AI148),AI148&gt;T148),AU148,0),IF(AND(ISNUMBER(AJ148),AJ148&gt;T148),AV148,0))</f>
        <v/>
      </c>
      <c r="AX148" s="29">
        <f>IF(AN148=1,"transition",IF(MIN(IF(AND(I148=0,ISNUMBER(AK148),AK148&lt;=T148),AK148,9E15),IF(AND(J148=0,ISNUMBER(AL148),AL148&lt;=T148),AL148,9E15),IF(AND(K148=0,ISNUMBER(AM148),AM148&lt;=T148),AM148,9E15))&lt;9E15,IF(AND(AND(I148=0,ISNUMBER(AK148),AK148&lt;=T148),AK148=MIN(IF(AND(I148=0,ISNUMBER(AK148),AK148&lt;=T148),AK148,9E15),IF(AND(J148=0,ISNUMBER(AL148),AL148&lt;=T148),AL148,9E15),IF(AND(K148=0,ISNUMBER(AM148),AM148&lt;=T148),AM148,9E15))),"OR",IF(AND(AND(J148=0,ISNUMBER(AL148),AL148&lt;=T148),AL148=MIN(IF(AND(I148=0,ISNUMBER(AK148),AK148&lt;=T148),AK148,9E15),IF(AND(J148=0,ISNUMBER(AL148),AL148&lt;=T148),AL148,9E15),IF(AND(K148=0,ISNUMBER(AM148),AM148&lt;=T148),AM148,9E15))),"HP","FP")),IF(AR148=TRUE,"",IF(MAX(IF(AND(NOT(AND(AO148=1,AN148&lt;&gt;1)),ISNUMBER(AG148),AG148&lt;=T148),AS148,0),IF(AND(NOT(AND(AO148=1,AN148&lt;&gt;1)),ISNUMBER(AH148),AH148&lt;=T148),AT148,0),IF(AND(NOT(AND(AO148=1,AN148&lt;&gt;1)),ISNUMBER(AI148),AI148&lt;=T148),AU148,0),IF(AND(ISNUMBER(AJ148),AJ148&lt;=T148),AV148,0))&lt;=0,"",IF(AND(IF(AND(NOT(AND(AO148=1,AN148&lt;&gt;1)),ISNUMBER(AG148),AG148&lt;=T148),AS148,0)&gt;0,IF(AND(NOT(AND(AO148=1,AN148&lt;&gt;1)),ISNUMBER(AG148),AG148&lt;=T148),AS148,0)=MAX(IF(AND(NOT(AND(AO148=1,AN148&lt;&gt;1)),ISNUMBER(AG148),AG148&lt;=T148),AS148,0),IF(AND(NOT(AND(AO148=1,AN148&lt;&gt;1)),ISNUMBER(AH148),AH148&lt;=T148),AT148,0),IF(AND(NOT(AND(AO148=1,AN148&lt;&gt;1)),ISNUMBER(AI148),AI148&lt;=T148),AU148,0),IF(AND(ISNUMBER(AJ148),AJ148&lt;=T148),AV148,0))),"SW",IF(AND(IF(AND(NOT(AND(AO148=1,AN148&lt;&gt;1)),ISNUMBER(AH148),AH148&lt;=T148),AT148,0)&gt;0,IF(AND(NOT(AND(AO148=1,AN148&lt;&gt;1)),ISNUMBER(AH148),AH148&lt;=T148),AT148,0)=MAX(IF(AND(NOT(AND(AO148=1,AN148&lt;&gt;1)),ISNUMBER(AG148),AG148&lt;=T148),AS148,0),IF(AND(NOT(AND(AO148=1,AN148&lt;&gt;1)),ISNUMBER(AH148),AH148&lt;=T148),AT148,0),IF(AND(NOT(AND(AO148=1,AN148&lt;&gt;1)),ISNUMBER(AI148),AI148&lt;=T148),AU148,0),IF(AND(ISNUMBER(AJ148),AJ148&lt;=T148),AV148,0))),"AB",IF(AND(IF(AND(NOT(AND(AO148=1,AN148&lt;&gt;1)),ISNUMBER(AI148),AI148&lt;=T148),AU148,0)&gt;0,IF(AND(NOT(AND(AO148=1,AN148&lt;&gt;1)),ISNUMBER(AI148),AI148&lt;=T148),AU148,0)=MAX(IF(AND(NOT(AND(AO148=1,AN148&lt;&gt;1)),ISNUMBER(AG148),AG148&lt;=T148),AS148,0),IF(AND(NOT(AND(AO148=1,AN148&lt;&gt;1)),ISNUMBER(AH148),AH148&lt;=T148),AT148,0),IF(AND(NOT(AND(AO148=1,AN148&lt;&gt;1)),ISNUMBER(AI148),AI148&lt;=T148),AU148,0),IF(AND(ISNUMBER(AJ148),AJ148&lt;=T148),AV148,0))),"SC","Mag")))))))</f>
        <v/>
      </c>
    </row>
    <row r="149">
      <c r="A149" s="26" t="n">
        <v>144</v>
      </c>
      <c r="B149" s="27">
        <f>A149*10/60</f>
        <v/>
      </c>
      <c r="C149" s="22">
        <f>X148</f>
        <v/>
      </c>
      <c r="D149" s="27">
        <f>D148+W148</f>
        <v/>
      </c>
      <c r="E149" s="26">
        <f>E148+IF(U148="SW",1,0)</f>
        <v/>
      </c>
      <c r="F149" s="26">
        <f>F148+IF(U148="AB",1,0)</f>
        <v/>
      </c>
      <c r="G149" s="26">
        <f>G148+IF(U148="SC",1,0)</f>
        <v/>
      </c>
      <c r="H149" s="26">
        <f>H148+IF(U148="Mag",1,0)</f>
        <v/>
      </c>
      <c r="I149" s="26">
        <f>MAX(I148,IF(U148="OR",1,0))</f>
        <v/>
      </c>
      <c r="J149" s="26">
        <f>MAX(J148,IF(U148="HP",1,0))</f>
        <v/>
      </c>
      <c r="K149" s="26">
        <f>MAX(K148,IF(U148="FP",1,0))</f>
        <v/>
      </c>
      <c r="L149" s="26">
        <f>MAX(L148,IF(U148="transition",1,0))</f>
        <v/>
      </c>
      <c r="M149" s="28">
        <f>(Parameters!$B$9+(IF(E149=0,0,(Upgrades!$J$6+E149*Upgrades!$K$6)*POWER(Upgrades!$L$6,E149)))*(IF(Upgrades!$T$7="Solar Wind",POWER(Upgrades!$U$7,F149),1)*IF(Upgrades!$T$8="Solar Wind",POWER(Upgrades!$U$8,G149),1)*IF(Upgrades!$T$9="Solar Wind",POWER(Upgrades!$U$9,H149),1)*IF(Upgrades!$T$10="Solar Wind",POWER(Upgrades!$U$10,I149),1)*IF(Upgrades!$T$11="Solar Wind",POWER(Upgrades!$U$11,J149),1)*IF(Upgrades!$T$12="Solar Wind",POWER(Upgrades!$U$12,K149),1))+(IF(F149=0,0,(Upgrades!$J$7+F149*Upgrades!$K$7)*POWER(Upgrades!$L$7,F149)))*(IF(Upgrades!$T$6="Asteroid Belt",POWER(Upgrades!$U$6,E149),1)*IF(Upgrades!$T$8="Asteroid Belt",POWER(Upgrades!$U$8,G149),1)*IF(Upgrades!$T$9="Asteroid Belt",POWER(Upgrades!$U$9,H149),1)*IF(Upgrades!$T$10="Asteroid Belt",POWER(Upgrades!$U$10,I149),1)*IF(Upgrades!$T$11="Asteroid Belt",POWER(Upgrades!$U$11,J149),1)*IF(Upgrades!$T$12="Asteroid Belt",POWER(Upgrades!$U$12,K149),1))+(IF(G149=0,0,(Upgrades!$J$8+G149*Upgrades!$K$8)*POWER(Upgrades!$L$8,G149)))*(IF(Upgrades!$T$6="Stellar Coupling",POWER(Upgrades!$U$6,E149),1)*IF(Upgrades!$T$7="Stellar Coupling",POWER(Upgrades!$U$7,F149),1)*IF(Upgrades!$T$9="Stellar Coupling",POWER(Upgrades!$U$9,H149),1)*IF(Upgrades!$T$10="Stellar Coupling",POWER(Upgrades!$U$10,I149),1)*IF(Upgrades!$T$11="Stellar Coupling",POWER(Upgrades!$U$11,J149),1)*IF(Upgrades!$T$12="Stellar Coupling",POWER(Upgrades!$U$12,K149),1))+(IF(H149=0,0,(Upgrades!$J$9+H149*Upgrades!$K$9)*POWER(Upgrades!$L$9,H149)))*(IF(Upgrades!$T$6="Magnetosphere",POWER(Upgrades!$U$6,E149),1)*IF(Upgrades!$T$7="Magnetosphere",POWER(Upgrades!$U$7,F149),1)*IF(Upgrades!$T$8="Magnetosphere",POWER(Upgrades!$U$8,G149),1)*IF(Upgrades!$T$10="Magnetosphere",POWER(Upgrades!$U$10,I149),1)*IF(Upgrades!$T$11="Magnetosphere",POWER(Upgrades!$U$11,J149),1)*IF(Upgrades!$T$12="Magnetosphere",POWER(Upgrades!$U$12,K149),1))+(IF(I149=0,0,(Upgrades!$J$10+I149*Upgrades!$K$10)*POWER(Upgrades!$L$10,I149)))*(IF(Upgrades!$T$6="Orbital Resonance",POWER(Upgrades!$U$6,E149),1)*IF(Upgrades!$T$7="Orbital Resonance",POWER(Upgrades!$U$7,F149),1)*IF(Upgrades!$T$8="Orbital Resonance",POWER(Upgrades!$U$8,G149),1)*IF(Upgrades!$T$9="Orbital Resonance",POWER(Upgrades!$U$9,H149),1)*IF(Upgrades!$T$11="Orbital Resonance",POWER(Upgrades!$U$11,J149),1)*IF(Upgrades!$T$12="Orbital Resonance",POWER(Upgrades!$U$12,K149),1))+(IF(J149=0,0,(Upgrades!$J$11+J149*Upgrades!$K$11)*POWER(Upgrades!$L$11,J149)))*(IF(Upgrades!$T$6="Heliopause",POWER(Upgrades!$U$6,E149),1)*IF(Upgrades!$T$7="Heliopause",POWER(Upgrades!$U$7,F149),1)*IF(Upgrades!$T$8="Heliopause",POWER(Upgrades!$U$8,G149),1)*IF(Upgrades!$T$9="Heliopause",POWER(Upgrades!$U$9,H149),1)*IF(Upgrades!$T$10="Heliopause",POWER(Upgrades!$U$10,I149),1)*IF(Upgrades!$T$12="Heliopause",POWER(Upgrades!$U$12,K149),1))+(IF(K149=0,0,(Upgrades!$J$12+K149*Upgrades!$K$12)*POWER(Upgrades!$L$12,K149)))*(IF(Upgrades!$T$6="First Photons",POWER(Upgrades!$U$6,E149),1)*IF(Upgrades!$T$7="First Photons",POWER(Upgrades!$U$7,F149),1)*IF(Upgrades!$T$8="First Photons",POWER(Upgrades!$U$8,G149),1)*IF(Upgrades!$T$9="First Photons",POWER(Upgrades!$U$9,H149),1)*IF(Upgrades!$T$10="First Photons",POWER(Upgrades!$U$10,I149),1)*IF(Upgrades!$T$11="First Photons",POWER(Upgrades!$U$11,J149),1)))*POWER(Upgrades!$Q$6,E149)*POWER(Upgrades!$Q$7,F149)*POWER(Upgrades!$Q$8,G149)*POWER(Upgrades!$Q$9,H149)*POWER(Upgrades!$Q$10,I149)*POWER(Upgrades!$Q$11,J149)*POWER(Upgrades!$Q$12,K149)</f>
        <v/>
      </c>
      <c r="N149" s="28">
        <f>((IF(E149=0,0,(Upgrades!$G$6+E149*Upgrades!$H$6)*POWER(Upgrades!$I$6,E149)))*(IF(Upgrades!$T$7="Solar Wind",POWER(Upgrades!$U$7,F149),1)*IF(Upgrades!$T$8="Solar Wind",POWER(Upgrades!$U$8,G149),1)*IF(Upgrades!$T$9="Solar Wind",POWER(Upgrades!$U$9,H149),1)*IF(Upgrades!$T$10="Solar Wind",POWER(Upgrades!$U$10,I149),1)*IF(Upgrades!$T$11="Solar Wind",POWER(Upgrades!$U$11,J149),1)*IF(Upgrades!$T$12="Solar Wind",POWER(Upgrades!$U$12,K149),1))+(IF(F149=0,0,(Upgrades!$G$7+F149*Upgrades!$H$7)*POWER(Upgrades!$I$7,F149)))*(IF(Upgrades!$T$6="Asteroid Belt",POWER(Upgrades!$U$6,E149),1)*IF(Upgrades!$T$8="Asteroid Belt",POWER(Upgrades!$U$8,G149),1)*IF(Upgrades!$T$9="Asteroid Belt",POWER(Upgrades!$U$9,H149),1)*IF(Upgrades!$T$10="Asteroid Belt",POWER(Upgrades!$U$10,I149),1)*IF(Upgrades!$T$11="Asteroid Belt",POWER(Upgrades!$U$11,J149),1)*IF(Upgrades!$T$12="Asteroid Belt",POWER(Upgrades!$U$12,K149),1))+(IF(G149=0,0,(Upgrades!$G$8+G149*Upgrades!$H$8)*POWER(Upgrades!$I$8,G149)))*(IF(Upgrades!$T$6="Stellar Coupling",POWER(Upgrades!$U$6,E149),1)*IF(Upgrades!$T$7="Stellar Coupling",POWER(Upgrades!$U$7,F149),1)*IF(Upgrades!$T$9="Stellar Coupling",POWER(Upgrades!$U$9,H149),1)*IF(Upgrades!$T$10="Stellar Coupling",POWER(Upgrades!$U$10,I149),1)*IF(Upgrades!$T$11="Stellar Coupling",POWER(Upgrades!$U$11,J149),1)*IF(Upgrades!$T$12="Stellar Coupling",POWER(Upgrades!$U$12,K149),1))+(IF(H149=0,0,(Upgrades!$G$9+H149*Upgrades!$H$9)*POWER(Upgrades!$I$9,H149)))*(IF(Upgrades!$T$6="Magnetosphere",POWER(Upgrades!$U$6,E149),1)*IF(Upgrades!$T$7="Magnetosphere",POWER(Upgrades!$U$7,F149),1)*IF(Upgrades!$T$8="Magnetosphere",POWER(Upgrades!$U$8,G149),1)*IF(Upgrades!$T$10="Magnetosphere",POWER(Upgrades!$U$10,I149),1)*IF(Upgrades!$T$11="Magnetosphere",POWER(Upgrades!$U$11,J149),1)*IF(Upgrades!$T$12="Magnetosphere",POWER(Upgrades!$U$12,K149),1))+(IF(I149=0,0,(Upgrades!$G$10+I149*Upgrades!$H$10)*POWER(Upgrades!$I$10,I149)))*(IF(Upgrades!$T$6="Orbital Resonance",POWER(Upgrades!$U$6,E149),1)*IF(Upgrades!$T$7="Orbital Resonance",POWER(Upgrades!$U$7,F149),1)*IF(Upgrades!$T$8="Orbital Resonance",POWER(Upgrades!$U$8,G149),1)*IF(Upgrades!$T$9="Orbital Resonance",POWER(Upgrades!$U$9,H149),1)*IF(Upgrades!$T$11="Orbital Resonance",POWER(Upgrades!$U$11,J149),1)*IF(Upgrades!$T$12="Orbital Resonance",POWER(Upgrades!$U$12,K149),1))+(IF(J149=0,0,(Upgrades!$G$11+J149*Upgrades!$H$11)*POWER(Upgrades!$I$11,J149)))*(IF(Upgrades!$T$6="Heliopause",POWER(Upgrades!$U$6,E149),1)*IF(Upgrades!$T$7="Heliopause",POWER(Upgrades!$U$7,F149),1)*IF(Upgrades!$T$8="Heliopause",POWER(Upgrades!$U$8,G149),1)*IF(Upgrades!$T$9="Heliopause",POWER(Upgrades!$U$9,H149),1)*IF(Upgrades!$T$10="Heliopause",POWER(Upgrades!$U$10,I149),1)*IF(Upgrades!$T$12="Heliopause",POWER(Upgrades!$U$12,K149),1))+(IF(K149=0,0,(Upgrades!$G$12+K149*Upgrades!$H$12)*POWER(Upgrades!$I$12,K149)))*(IF(Upgrades!$T$6="First Photons",POWER(Upgrades!$U$6,E149),1)*IF(Upgrades!$T$7="First Photons",POWER(Upgrades!$U$7,F149),1)*IF(Upgrades!$T$8="First Photons",POWER(Upgrades!$U$8,G149),1)*IF(Upgrades!$T$9="First Photons",POWER(Upgrades!$U$9,H149),1)*IF(Upgrades!$T$10="First Photons",POWER(Upgrades!$U$10,I149),1)*IF(Upgrades!$T$11="First Photons",POWER(Upgrades!$U$11,J149),1)))*POWER(Upgrades!$P$6,E149)*POWER(Upgrades!$P$7,F149)*POWER(Upgrades!$P$8,G149)*POWER(Upgrades!$P$9,H149)*POWER(Upgrades!$P$10,I149)*POWER(Upgrades!$P$11,J149)*POWER(Upgrades!$P$12,K149)</f>
        <v/>
      </c>
      <c r="O149" s="28">
        <f>((IF(E149=0,0,(Upgrades!$M$6+E149*Upgrades!$N$6)*POWER(Upgrades!$O$6,E149)))*(IF(Upgrades!$T$7="Solar Wind",POWER(Upgrades!$U$7,F149),1)*IF(Upgrades!$T$8="Solar Wind",POWER(Upgrades!$U$8,G149),1)*IF(Upgrades!$T$9="Solar Wind",POWER(Upgrades!$U$9,H149),1)*IF(Upgrades!$T$10="Solar Wind",POWER(Upgrades!$U$10,I149),1)*IF(Upgrades!$T$11="Solar Wind",POWER(Upgrades!$U$11,J149),1)*IF(Upgrades!$T$12="Solar Wind",POWER(Upgrades!$U$12,K149),1))+(IF(F149=0,0,(Upgrades!$M$7+F149*Upgrades!$N$7)*POWER(Upgrades!$O$7,F149)))*(IF(Upgrades!$T$6="Asteroid Belt",POWER(Upgrades!$U$6,E149),1)*IF(Upgrades!$T$8="Asteroid Belt",POWER(Upgrades!$U$8,G149),1)*IF(Upgrades!$T$9="Asteroid Belt",POWER(Upgrades!$U$9,H149),1)*IF(Upgrades!$T$10="Asteroid Belt",POWER(Upgrades!$U$10,I149),1)*IF(Upgrades!$T$11="Asteroid Belt",POWER(Upgrades!$U$11,J149),1)*IF(Upgrades!$T$12="Asteroid Belt",POWER(Upgrades!$U$12,K149),1))+(IF(G149=0,0,(Upgrades!$M$8+G149*Upgrades!$N$8)*POWER(Upgrades!$O$8,G149)))*(IF(Upgrades!$T$6="Stellar Coupling",POWER(Upgrades!$U$6,E149),1)*IF(Upgrades!$T$7="Stellar Coupling",POWER(Upgrades!$U$7,F149),1)*IF(Upgrades!$T$9="Stellar Coupling",POWER(Upgrades!$U$9,H149),1)*IF(Upgrades!$T$10="Stellar Coupling",POWER(Upgrades!$U$10,I149),1)*IF(Upgrades!$T$11="Stellar Coupling",POWER(Upgrades!$U$11,J149),1)*IF(Upgrades!$T$12="Stellar Coupling",POWER(Upgrades!$U$12,K149),1))+(IF(H149=0,0,(Upgrades!$M$9+H149*Upgrades!$N$9)*POWER(Upgrades!$O$9,H149)))*(IF(Upgrades!$T$6="Magnetosphere",POWER(Upgrades!$U$6,E149),1)*IF(Upgrades!$T$7="Magnetosphere",POWER(Upgrades!$U$7,F149),1)*IF(Upgrades!$T$8="Magnetosphere",POWER(Upgrades!$U$8,G149),1)*IF(Upgrades!$T$10="Magnetosphere",POWER(Upgrades!$U$10,I149),1)*IF(Upgrades!$T$11="Magnetosphere",POWER(Upgrades!$U$11,J149),1)*IF(Upgrades!$T$12="Magnetosphere",POWER(Upgrades!$U$12,K149),1))+(IF(I149=0,0,(Upgrades!$M$10+I149*Upgrades!$N$10)*POWER(Upgrades!$O$10,I149)))*(IF(Upgrades!$T$6="Orbital Resonance",POWER(Upgrades!$U$6,E149),1)*IF(Upgrades!$T$7="Orbital Resonance",POWER(Upgrades!$U$7,F149),1)*IF(Upgrades!$T$8="Orbital Resonance",POWER(Upgrades!$U$8,G149),1)*IF(Upgrades!$T$9="Orbital Resonance",POWER(Upgrades!$U$9,H149),1)*IF(Upgrades!$T$11="Orbital Resonance",POWER(Upgrades!$U$11,J149),1)*IF(Upgrades!$T$12="Orbital Resonance",POWER(Upgrades!$U$12,K149),1))+(IF(J149=0,0,(Upgrades!$M$11+J149*Upgrades!$N$11)*POWER(Upgrades!$O$11,J149)))*(IF(Upgrades!$T$6="Heliopause",POWER(Upgrades!$U$6,E149),1)*IF(Upgrades!$T$7="Heliopause",POWER(Upgrades!$U$7,F149),1)*IF(Upgrades!$T$8="Heliopause",POWER(Upgrades!$U$8,G149),1)*IF(Upgrades!$T$9="Heliopause",POWER(Upgrades!$U$9,H149),1)*IF(Upgrades!$T$10="Heliopause",POWER(Upgrades!$U$10,I149),1)*IF(Upgrades!$T$12="Heliopause",POWER(Upgrades!$U$12,K149),1))+(IF(K149=0,0,(Upgrades!$M$12+K149*Upgrades!$N$12)*POWER(Upgrades!$O$12,K149)))*(IF(Upgrades!$T$6="First Photons",POWER(Upgrades!$U$6,E149),1)*IF(Upgrades!$T$7="First Photons",POWER(Upgrades!$U$7,F149),1)*IF(Upgrades!$T$8="First Photons",POWER(Upgrades!$U$8,G149),1)*IF(Upgrades!$T$9="First Photons",POWER(Upgrades!$U$9,H149),1)*IF(Upgrades!$T$10="First Photons",POWER(Upgrades!$U$10,I149),1)*IF(Upgrades!$T$11="First Photons",POWER(Upgrades!$U$11,J149),1)))*POWER(Upgrades!$R$6,E149)*POWER(Upgrades!$R$7,F149)*POWER(Upgrades!$R$8,G149)*POWER(Upgrades!$R$9,H149)*POWER(Upgrades!$R$10,I149)*POWER(Upgrades!$R$11,J149)*POWER(Upgrades!$R$12,K149)</f>
        <v/>
      </c>
      <c r="P149" s="27">
        <f>IF(L149=1,0,M149*Parameters!$B$10/60*Parameters!$B$11*10)</f>
        <v/>
      </c>
      <c r="Q149" s="27">
        <f>IF(L149=1,0,O149*M149*10)</f>
        <v/>
      </c>
      <c r="R149" s="27">
        <f>IF(L149=1,0,N149*10)</f>
        <v/>
      </c>
      <c r="S149" s="27">
        <f>P149+Q149+R149</f>
        <v/>
      </c>
      <c r="T149" s="22">
        <f>C149+S149</f>
        <v/>
      </c>
      <c r="U149" s="33">
        <f>AX149</f>
        <v/>
      </c>
      <c r="V149" s="22">
        <f>IF(U149="",0,IF(U149="transition",0,IF(U149="SW",AG149,IF(U149="AB",AH149,IF(U149="SC",AI149,IF(U149="Mag",AJ149,IF(U149="OR",AK149,IF(U149="HP",AL149,IF(U149="FP",AM149,0)))))))))</f>
        <v/>
      </c>
      <c r="W149" s="27">
        <f>IF(U149="OR",Upgrades!$F$10,IF(U149="HP",Upgrades!$F$11,IF(U149="transition",-Parameters!$B$18,0)))</f>
        <v/>
      </c>
      <c r="X149" s="22">
        <f>T149-V149</f>
        <v/>
      </c>
      <c r="Y149" s="30">
        <f>M149*Parameters!$B$10/60*Parameters!$B$11+O149*M149+N149</f>
        <v/>
      </c>
      <c r="Z149" s="34">
        <f>IF(U149="transition","→ Tier 2 (Stellar Neighborhood)",IF(U149="FP","First Photons — light begins, system quickens",IF(U149="HP","Heliopause acquired",IF(U149="OR","Orbital Resonance — passive multiplier active",IF(AND(AO149=1,L149=0,AN149&lt;&gt;1),"Cohesion ready (waiting on completionist upgrades)","")))))</f>
        <v/>
      </c>
      <c r="AA149" s="27">
        <f>(IF(E149=0,0,(Upgrades!$G$6+E149*Upgrades!$H$6)*POWER(Upgrades!$I$6,E149)))*(IF(Upgrades!$T$7="Solar Wind",POWER(Upgrades!$U$7,F149),1)*IF(Upgrades!$T$8="Solar Wind",POWER(Upgrades!$U$8,G149),1)*IF(Upgrades!$T$9="Solar Wind",POWER(Upgrades!$U$9,H149),1)*IF(Upgrades!$T$10="Solar Wind",POWER(Upgrades!$U$10,I149),1)*IF(Upgrades!$T$11="Solar Wind",POWER(Upgrades!$U$11,J149),1)*IF(Upgrades!$T$12="Solar Wind",POWER(Upgrades!$U$12,K149),1))*POWER(Upgrades!$P$6,E149)*POWER(Upgrades!$P$7,F149)*POWER(Upgrades!$P$8,G149)*POWER(Upgrades!$P$9,H149)*POWER(Upgrades!$P$10,I149)*POWER(Upgrades!$P$11,J149)*POWER(Upgrades!$P$12,K149)*60</f>
        <v/>
      </c>
      <c r="AB149" s="27">
        <f>(IF(F149=0,0,(Upgrades!$G$7+F149*Upgrades!$H$7)*POWER(Upgrades!$I$7,F149)))*(IF(Upgrades!$T$6="Asteroid Belt",POWER(Upgrades!$U$6,E149),1)*IF(Upgrades!$T$8="Asteroid Belt",POWER(Upgrades!$U$8,G149),1)*IF(Upgrades!$T$9="Asteroid Belt",POWER(Upgrades!$U$9,H149),1)*IF(Upgrades!$T$10="Asteroid Belt",POWER(Upgrades!$U$10,I149),1)*IF(Upgrades!$T$11="Asteroid Belt",POWER(Upgrades!$U$11,J149),1)*IF(Upgrades!$T$12="Asteroid Belt",POWER(Upgrades!$U$12,K149),1))*POWER(Upgrades!$P$6,E149)*POWER(Upgrades!$P$7,F149)*POWER(Upgrades!$P$8,G149)*POWER(Upgrades!$P$9,H149)*POWER(Upgrades!$P$10,I149)*POWER(Upgrades!$P$11,J149)*POWER(Upgrades!$P$12,K149)*60</f>
        <v/>
      </c>
      <c r="AC149" s="27">
        <f>(IF(G149=0,0,(Upgrades!$J$8+G149*Upgrades!$K$8)*POWER(Upgrades!$L$8,G149)))*(IF(Upgrades!$T$6="Stellar Coupling",POWER(Upgrades!$U$6,E149),1)*IF(Upgrades!$T$7="Stellar Coupling",POWER(Upgrades!$U$7,F149),1)*IF(Upgrades!$T$9="Stellar Coupling",POWER(Upgrades!$U$9,H149),1)*IF(Upgrades!$T$10="Stellar Coupling",POWER(Upgrades!$U$10,I149),1)*IF(Upgrades!$T$11="Stellar Coupling",POWER(Upgrades!$U$11,J149),1)*IF(Upgrades!$T$12="Stellar Coupling",POWER(Upgrades!$U$12,K149),1))*POWER(Upgrades!$Q$6,E149)*POWER(Upgrades!$Q$7,F149)*POWER(Upgrades!$Q$8,G149)*POWER(Upgrades!$Q$9,H149)*POWER(Upgrades!$Q$10,I149)*POWER(Upgrades!$Q$11,J149)*POWER(Upgrades!$Q$12,K149)*Parameters!$B$10*Parameters!$B$11</f>
        <v/>
      </c>
      <c r="AD149" s="27">
        <f>(IF(H149=0,0,(Upgrades!$G$9+H149*Upgrades!$H$9)*POWER(Upgrades!$I$9,H149)))*(IF(Upgrades!$T$6="Magnetosphere",POWER(Upgrades!$U$6,E149),1)*IF(Upgrades!$T$7="Magnetosphere",POWER(Upgrades!$U$7,F149),1)*IF(Upgrades!$T$8="Magnetosphere",POWER(Upgrades!$U$8,G149),1)*IF(Upgrades!$T$10="Magnetosphere",POWER(Upgrades!$U$10,I149),1)*IF(Upgrades!$T$11="Magnetosphere",POWER(Upgrades!$U$11,J149),1)*IF(Upgrades!$T$12="Magnetosphere",POWER(Upgrades!$U$12,K149),1))*POWER(Upgrades!$P$6,E149)*POWER(Upgrades!$P$7,F149)*POWER(Upgrades!$P$8,G149)*POWER(Upgrades!$P$9,H149)*POWER(Upgrades!$P$10,I149)*POWER(Upgrades!$P$11,J149)*POWER(Upgrades!$P$12,K149)*60</f>
        <v/>
      </c>
      <c r="AE149" s="27">
        <f>(IF(K149=0,0,(Upgrades!$G$12+K149*Upgrades!$H$12)*POWER(Upgrades!$I$12,K149)))*(IF(Upgrades!$T$6="First Photons",POWER(Upgrades!$U$6,E149),1)*IF(Upgrades!$T$7="First Photons",POWER(Upgrades!$U$7,F149),1)*IF(Upgrades!$T$8="First Photons",POWER(Upgrades!$U$8,G149),1)*IF(Upgrades!$T$9="First Photons",POWER(Upgrades!$U$9,H149),1)*IF(Upgrades!$T$10="First Photons",POWER(Upgrades!$U$10,I149),1)*IF(Upgrades!$T$11="First Photons",POWER(Upgrades!$U$11,J149),1))*POWER(Upgrades!$P$6,E149)*POWER(Upgrades!$P$7,F149)*POWER(Upgrades!$P$8,G149)*POWER(Upgrades!$P$9,H149)*POWER(Upgrades!$P$10,I149)*POWER(Upgrades!$P$11,J149)*POWER(Upgrades!$P$12,K149)*60</f>
        <v/>
      </c>
      <c r="AF149" s="27">
        <f>Parameters!$B$9*POWER(Upgrades!$Q$6,E149)*POWER(Upgrades!$Q$7,F149)*POWER(Upgrades!$Q$8,G149)*POWER(Upgrades!$Q$9,H149)*POWER(Upgrades!$Q$10,I149)*POWER(Upgrades!$Q$11,J149)*POWER(Upgrades!$Q$12,K149)*(Parameters!$B$10*Parameters!$B$11+O149*60)</f>
        <v/>
      </c>
      <c r="AG149" s="22">
        <f>IF(E149&gt;=Upgrades!$E$6,"",Upgrades!$C$6*POWER(Upgrades!$D$6,E149))</f>
        <v/>
      </c>
      <c r="AH149" s="22">
        <f>IF(F149&gt;=Upgrades!$E$7,"",Upgrades!$C$7*POWER(Upgrades!$D$7,F149))</f>
        <v/>
      </c>
      <c r="AI149" s="22">
        <f>IF(G149&gt;=Upgrades!$E$8,"",Upgrades!$C$8*POWER(Upgrades!$D$8,G149))</f>
        <v/>
      </c>
      <c r="AJ149" s="22">
        <f>IF(H149&gt;=Upgrades!$E$9,"",Upgrades!$C$9*POWER(Upgrades!$D$9,H149))</f>
        <v/>
      </c>
      <c r="AK149" s="22">
        <f>IF(I149&gt;=Upgrades!$E$10,"",Upgrades!$C$10*POWER(Upgrades!$D$10,I149))</f>
        <v/>
      </c>
      <c r="AL149" s="22">
        <f>IF(J149&gt;=Upgrades!$E$11,"",Upgrades!$C$11*POWER(Upgrades!$D$11,J149))</f>
        <v/>
      </c>
      <c r="AM149" s="22">
        <f>IF(K149&gt;=Upgrades!$E$12,"",Upgrades!$C$12*POWER(Upgrades!$D$12,K149))</f>
        <v/>
      </c>
      <c r="AN149" s="26">
        <f>IF(AND(D149&gt;=Parameters!$B$18,(H149&gt;=Upgrades!$E$9)*(K149&gt;=Upgrades!$E$12)=1,L149=0),1,"")</f>
        <v/>
      </c>
      <c r="AO149" s="26">
        <f>IF(AND(D149&gt;=Parameters!$B$18,L149=0),1,"")</f>
        <v/>
      </c>
      <c r="AP149" s="22">
        <f>MIN(IF(ISNUMBER(AK149),AK149,9E15),IF(ISNUMBER(AL149),AL149,9E15),IF(ISNUMBER(AM149),AM149,9E15))</f>
        <v/>
      </c>
      <c r="AQ149" s="22">
        <f>MIN(IF(ISNUMBER(AG149),AG149,9E15),IF(ISNUMBER(AH149),AH149,9E15),IF(ISNUMBER(AI149),AI149,9E15),IF(ISNUMBER(AJ149),AJ149,9E15))</f>
        <v/>
      </c>
      <c r="AR149" s="29">
        <f>IF(AW149&gt;Parameters!$B$21*(MAX(IF(AND(NOT(AND(AO149=1,AN149&lt;&gt;1)),ISNUMBER(AG149),AG149&lt;=T149),AS149,0),IF(AND(NOT(AND(AO149=1,AN149&lt;&gt;1)),ISNUMBER(AH149),AH149&lt;=T149),AT149,0),IF(AND(NOT(AND(AO149=1,AN149&lt;&gt;1)),ISNUMBER(AI149),AI149&lt;=T149),AU149,0),IF(AND(ISNUMBER(AJ149),AJ149&lt;=T149),AV149,0))),TRUE,FALSE)</f>
        <v/>
      </c>
      <c r="AS149" s="32">
        <f>IFERROR(Upgrades!$H$6*(POWER(Upgrades!$P$6,E149)*POWER(Upgrades!$P$7,F149)*POWER(Upgrades!$P$8,G149)*POWER(Upgrades!$P$9,H149)*POWER(Upgrades!$P$10,I149)*POWER(Upgrades!$P$11,J149)*POWER(Upgrades!$P$12,K149))*(IF(Upgrades!$T$7="Solar Wind",POWER(Upgrades!$U$7,F149),1)*IF(Upgrades!$T$8="Solar Wind",POWER(Upgrades!$U$8,G149),1)*IF(Upgrades!$T$9="Solar Wind",POWER(Upgrades!$U$9,H149),1)*IF(Upgrades!$T$10="Solar Wind",POWER(Upgrades!$U$10,I149),1)*IF(Upgrades!$T$11="Solar Wind",POWER(Upgrades!$U$11,J149),1)*IF(Upgrades!$T$12="Solar Wind",POWER(Upgrades!$U$12,K149),1))/AG149,0)</f>
        <v/>
      </c>
      <c r="AT149" s="32">
        <f>IFERROR(Upgrades!$H$7*(POWER(Upgrades!$P$6,E149)*POWER(Upgrades!$P$7,F149)*POWER(Upgrades!$P$8,G149)*POWER(Upgrades!$P$9,H149)*POWER(Upgrades!$P$10,I149)*POWER(Upgrades!$P$11,J149)*POWER(Upgrades!$P$12,K149))*(IF(Upgrades!$T$6="Asteroid Belt",POWER(Upgrades!$U$6,E149),1)*IF(Upgrades!$T$8="Asteroid Belt",POWER(Upgrades!$U$8,G149),1)*IF(Upgrades!$T$9="Asteroid Belt",POWER(Upgrades!$U$9,H149),1)*IF(Upgrades!$T$10="Asteroid Belt",POWER(Upgrades!$U$10,I149),1)*IF(Upgrades!$T$11="Asteroid Belt",POWER(Upgrades!$U$11,J149),1)*IF(Upgrades!$T$12="Asteroid Belt",POWER(Upgrades!$U$12,K149),1))/AH149,0)</f>
        <v/>
      </c>
      <c r="AU149" s="32">
        <f>IFERROR(Upgrades!$K$8*(POWER(Upgrades!$Q$6,E149)*POWER(Upgrades!$Q$7,F149)*POWER(Upgrades!$Q$8,G149)*POWER(Upgrades!$Q$9,H149)*POWER(Upgrades!$Q$10,I149)*POWER(Upgrades!$Q$11,J149)*POWER(Upgrades!$Q$12,K149))*(IF(Upgrades!$T$6="Stellar Coupling",POWER(Upgrades!$U$6,E149),1)*IF(Upgrades!$T$7="Stellar Coupling",POWER(Upgrades!$U$7,F149),1)*IF(Upgrades!$T$9="Stellar Coupling",POWER(Upgrades!$U$9,H149),1)*IF(Upgrades!$T$10="Stellar Coupling",POWER(Upgrades!$U$10,I149),1)*IF(Upgrades!$T$11="Stellar Coupling",POWER(Upgrades!$U$11,J149),1)*IF(Upgrades!$T$12="Stellar Coupling",POWER(Upgrades!$U$12,K149),1))*Parameters!$B$10*Parameters!$B$11/60/AI149,0)</f>
        <v/>
      </c>
      <c r="AV149" s="32">
        <f>IFERROR(Upgrades!$H$9*(POWER(Upgrades!$P$6,E149)*POWER(Upgrades!$P$7,F149)*POWER(Upgrades!$P$8,G149)*POWER(Upgrades!$P$9,H149)*POWER(Upgrades!$P$10,I149)*POWER(Upgrades!$P$11,J149)*POWER(Upgrades!$P$12,K149))*(IF(Upgrades!$T$6="Magnetosphere",POWER(Upgrades!$U$6,E149),1)*IF(Upgrades!$T$7="Magnetosphere",POWER(Upgrades!$U$7,F149),1)*IF(Upgrades!$T$8="Magnetosphere",POWER(Upgrades!$U$8,G149),1)*IF(Upgrades!$T$10="Magnetosphere",POWER(Upgrades!$U$10,I149),1)*IF(Upgrades!$T$11="Magnetosphere",POWER(Upgrades!$U$11,J149),1)*IF(Upgrades!$T$12="Magnetosphere",POWER(Upgrades!$U$12,K149),1))/AJ149,0)</f>
        <v/>
      </c>
      <c r="AW149" s="32">
        <f>MAX(IF(I149&gt;0,0,IFERROR(0.25*N149/Upgrades!$C$10,0)),IF(J149&gt;0,0,IFERROR(0.5*((IF(G149=0,0,(Upgrades!$J$8+G149*Upgrades!$K$8)*POWER(Upgrades!$L$8,G149)))*(IF(Upgrades!$T$6="Stellar Coupling",POWER(Upgrades!$U$6,E149),1)*IF(Upgrades!$T$7="Stellar Coupling",POWER(Upgrades!$U$7,F149),1)*IF(Upgrades!$T$9="Stellar Coupling",POWER(Upgrades!$U$9,H149),1)*IF(Upgrades!$T$10="Stellar Coupling",POWER(Upgrades!$U$10,I149),1)*IF(Upgrades!$T$11="Stellar Coupling",POWER(Upgrades!$U$11,J149),1)*IF(Upgrades!$T$12="Stellar Coupling",POWER(Upgrades!$U$12,K149),1))*(POWER(Upgrades!$Q$6,E149)*POWER(Upgrades!$Q$7,F149)*POWER(Upgrades!$Q$8,G149)*POWER(Upgrades!$Q$9,H149)*POWER(Upgrades!$Q$10,I149)*POWER(Upgrades!$Q$11,J149)*POWER(Upgrades!$Q$12,K149))*Parameters!$B$10*Parameters!$B$11/60)/Upgrades!$C$11,0)),IF(K149&gt;0,0,IFERROR((1.0*(POWER(Upgrades!$P$6,E149)*POWER(Upgrades!$P$7,F149)*POWER(Upgrades!$P$8,G149)*POWER(Upgrades!$P$9,H149)*POWER(Upgrades!$P$10,I149)*POWER(Upgrades!$P$11,J149)*POWER(Upgrades!$P$12,K149))+0.20*M149*Parameters!$B$10*Parameters!$B$11/60)/Upgrades!$C$12,0)),IF(AND(ISNUMBER(AG149),AG149&gt;T149),AS149,0),IF(AND(ISNUMBER(AH149),AH149&gt;T149),AT149,0),IF(AND(ISNUMBER(AI149),AI149&gt;T149),AU149,0),IF(AND(ISNUMBER(AJ149),AJ149&gt;T149),AV149,0))</f>
        <v/>
      </c>
      <c r="AX149" s="29">
        <f>IF(AN149=1,"transition",IF(MIN(IF(AND(I149=0,ISNUMBER(AK149),AK149&lt;=T149),AK149,9E15),IF(AND(J149=0,ISNUMBER(AL149),AL149&lt;=T149),AL149,9E15),IF(AND(K149=0,ISNUMBER(AM149),AM149&lt;=T149),AM149,9E15))&lt;9E15,IF(AND(AND(I149=0,ISNUMBER(AK149),AK149&lt;=T149),AK149=MIN(IF(AND(I149=0,ISNUMBER(AK149),AK149&lt;=T149),AK149,9E15),IF(AND(J149=0,ISNUMBER(AL149),AL149&lt;=T149),AL149,9E15),IF(AND(K149=0,ISNUMBER(AM149),AM149&lt;=T149),AM149,9E15))),"OR",IF(AND(AND(J149=0,ISNUMBER(AL149),AL149&lt;=T149),AL149=MIN(IF(AND(I149=0,ISNUMBER(AK149),AK149&lt;=T149),AK149,9E15),IF(AND(J149=0,ISNUMBER(AL149),AL149&lt;=T149),AL149,9E15),IF(AND(K149=0,ISNUMBER(AM149),AM149&lt;=T149),AM149,9E15))),"HP","FP")),IF(AR149=TRUE,"",IF(MAX(IF(AND(NOT(AND(AO149=1,AN149&lt;&gt;1)),ISNUMBER(AG149),AG149&lt;=T149),AS149,0),IF(AND(NOT(AND(AO149=1,AN149&lt;&gt;1)),ISNUMBER(AH149),AH149&lt;=T149),AT149,0),IF(AND(NOT(AND(AO149=1,AN149&lt;&gt;1)),ISNUMBER(AI149),AI149&lt;=T149),AU149,0),IF(AND(ISNUMBER(AJ149),AJ149&lt;=T149),AV149,0))&lt;=0,"",IF(AND(IF(AND(NOT(AND(AO149=1,AN149&lt;&gt;1)),ISNUMBER(AG149),AG149&lt;=T149),AS149,0)&gt;0,IF(AND(NOT(AND(AO149=1,AN149&lt;&gt;1)),ISNUMBER(AG149),AG149&lt;=T149),AS149,0)=MAX(IF(AND(NOT(AND(AO149=1,AN149&lt;&gt;1)),ISNUMBER(AG149),AG149&lt;=T149),AS149,0),IF(AND(NOT(AND(AO149=1,AN149&lt;&gt;1)),ISNUMBER(AH149),AH149&lt;=T149),AT149,0),IF(AND(NOT(AND(AO149=1,AN149&lt;&gt;1)),ISNUMBER(AI149),AI149&lt;=T149),AU149,0),IF(AND(ISNUMBER(AJ149),AJ149&lt;=T149),AV149,0))),"SW",IF(AND(IF(AND(NOT(AND(AO149=1,AN149&lt;&gt;1)),ISNUMBER(AH149),AH149&lt;=T149),AT149,0)&gt;0,IF(AND(NOT(AND(AO149=1,AN149&lt;&gt;1)),ISNUMBER(AH149),AH149&lt;=T149),AT149,0)=MAX(IF(AND(NOT(AND(AO149=1,AN149&lt;&gt;1)),ISNUMBER(AG149),AG149&lt;=T149),AS149,0),IF(AND(NOT(AND(AO149=1,AN149&lt;&gt;1)),ISNUMBER(AH149),AH149&lt;=T149),AT149,0),IF(AND(NOT(AND(AO149=1,AN149&lt;&gt;1)),ISNUMBER(AI149),AI149&lt;=T149),AU149,0),IF(AND(ISNUMBER(AJ149),AJ149&lt;=T149),AV149,0))),"AB",IF(AND(IF(AND(NOT(AND(AO149=1,AN149&lt;&gt;1)),ISNUMBER(AI149),AI149&lt;=T149),AU149,0)&gt;0,IF(AND(NOT(AND(AO149=1,AN149&lt;&gt;1)),ISNUMBER(AI149),AI149&lt;=T149),AU149,0)=MAX(IF(AND(NOT(AND(AO149=1,AN149&lt;&gt;1)),ISNUMBER(AG149),AG149&lt;=T149),AS149,0),IF(AND(NOT(AND(AO149=1,AN149&lt;&gt;1)),ISNUMBER(AH149),AH149&lt;=T149),AT149,0),IF(AND(NOT(AND(AO149=1,AN149&lt;&gt;1)),ISNUMBER(AI149),AI149&lt;=T149),AU149,0),IF(AND(ISNUMBER(AJ149),AJ149&lt;=T149),AV149,0))),"SC","Mag")))))))</f>
        <v/>
      </c>
    </row>
    <row r="150">
      <c r="A150" s="26" t="n">
        <v>145</v>
      </c>
      <c r="B150" s="27">
        <f>A150*10/60</f>
        <v/>
      </c>
      <c r="C150" s="22">
        <f>X149</f>
        <v/>
      </c>
      <c r="D150" s="27">
        <f>D149+W149</f>
        <v/>
      </c>
      <c r="E150" s="26">
        <f>E149+IF(U149="SW",1,0)</f>
        <v/>
      </c>
      <c r="F150" s="26">
        <f>F149+IF(U149="AB",1,0)</f>
        <v/>
      </c>
      <c r="G150" s="26">
        <f>G149+IF(U149="SC",1,0)</f>
        <v/>
      </c>
      <c r="H150" s="26">
        <f>H149+IF(U149="Mag",1,0)</f>
        <v/>
      </c>
      <c r="I150" s="26">
        <f>MAX(I149,IF(U149="OR",1,0))</f>
        <v/>
      </c>
      <c r="J150" s="26">
        <f>MAX(J149,IF(U149="HP",1,0))</f>
        <v/>
      </c>
      <c r="K150" s="26">
        <f>MAX(K149,IF(U149="FP",1,0))</f>
        <v/>
      </c>
      <c r="L150" s="26">
        <f>MAX(L149,IF(U149="transition",1,0))</f>
        <v/>
      </c>
      <c r="M150" s="28">
        <f>(Parameters!$B$9+(IF(E150=0,0,(Upgrades!$J$6+E150*Upgrades!$K$6)*POWER(Upgrades!$L$6,E150)))*(IF(Upgrades!$T$7="Solar Wind",POWER(Upgrades!$U$7,F150),1)*IF(Upgrades!$T$8="Solar Wind",POWER(Upgrades!$U$8,G150),1)*IF(Upgrades!$T$9="Solar Wind",POWER(Upgrades!$U$9,H150),1)*IF(Upgrades!$T$10="Solar Wind",POWER(Upgrades!$U$10,I150),1)*IF(Upgrades!$T$11="Solar Wind",POWER(Upgrades!$U$11,J150),1)*IF(Upgrades!$T$12="Solar Wind",POWER(Upgrades!$U$12,K150),1))+(IF(F150=0,0,(Upgrades!$J$7+F150*Upgrades!$K$7)*POWER(Upgrades!$L$7,F150)))*(IF(Upgrades!$T$6="Asteroid Belt",POWER(Upgrades!$U$6,E150),1)*IF(Upgrades!$T$8="Asteroid Belt",POWER(Upgrades!$U$8,G150),1)*IF(Upgrades!$T$9="Asteroid Belt",POWER(Upgrades!$U$9,H150),1)*IF(Upgrades!$T$10="Asteroid Belt",POWER(Upgrades!$U$10,I150),1)*IF(Upgrades!$T$11="Asteroid Belt",POWER(Upgrades!$U$11,J150),1)*IF(Upgrades!$T$12="Asteroid Belt",POWER(Upgrades!$U$12,K150),1))+(IF(G150=0,0,(Upgrades!$J$8+G150*Upgrades!$K$8)*POWER(Upgrades!$L$8,G150)))*(IF(Upgrades!$T$6="Stellar Coupling",POWER(Upgrades!$U$6,E150),1)*IF(Upgrades!$T$7="Stellar Coupling",POWER(Upgrades!$U$7,F150),1)*IF(Upgrades!$T$9="Stellar Coupling",POWER(Upgrades!$U$9,H150),1)*IF(Upgrades!$T$10="Stellar Coupling",POWER(Upgrades!$U$10,I150),1)*IF(Upgrades!$T$11="Stellar Coupling",POWER(Upgrades!$U$11,J150),1)*IF(Upgrades!$T$12="Stellar Coupling",POWER(Upgrades!$U$12,K150),1))+(IF(H150=0,0,(Upgrades!$J$9+H150*Upgrades!$K$9)*POWER(Upgrades!$L$9,H150)))*(IF(Upgrades!$T$6="Magnetosphere",POWER(Upgrades!$U$6,E150),1)*IF(Upgrades!$T$7="Magnetosphere",POWER(Upgrades!$U$7,F150),1)*IF(Upgrades!$T$8="Magnetosphere",POWER(Upgrades!$U$8,G150),1)*IF(Upgrades!$T$10="Magnetosphere",POWER(Upgrades!$U$10,I150),1)*IF(Upgrades!$T$11="Magnetosphere",POWER(Upgrades!$U$11,J150),1)*IF(Upgrades!$T$12="Magnetosphere",POWER(Upgrades!$U$12,K150),1))+(IF(I150=0,0,(Upgrades!$J$10+I150*Upgrades!$K$10)*POWER(Upgrades!$L$10,I150)))*(IF(Upgrades!$T$6="Orbital Resonance",POWER(Upgrades!$U$6,E150),1)*IF(Upgrades!$T$7="Orbital Resonance",POWER(Upgrades!$U$7,F150),1)*IF(Upgrades!$T$8="Orbital Resonance",POWER(Upgrades!$U$8,G150),1)*IF(Upgrades!$T$9="Orbital Resonance",POWER(Upgrades!$U$9,H150),1)*IF(Upgrades!$T$11="Orbital Resonance",POWER(Upgrades!$U$11,J150),1)*IF(Upgrades!$T$12="Orbital Resonance",POWER(Upgrades!$U$12,K150),1))+(IF(J150=0,0,(Upgrades!$J$11+J150*Upgrades!$K$11)*POWER(Upgrades!$L$11,J150)))*(IF(Upgrades!$T$6="Heliopause",POWER(Upgrades!$U$6,E150),1)*IF(Upgrades!$T$7="Heliopause",POWER(Upgrades!$U$7,F150),1)*IF(Upgrades!$T$8="Heliopause",POWER(Upgrades!$U$8,G150),1)*IF(Upgrades!$T$9="Heliopause",POWER(Upgrades!$U$9,H150),1)*IF(Upgrades!$T$10="Heliopause",POWER(Upgrades!$U$10,I150),1)*IF(Upgrades!$T$12="Heliopause",POWER(Upgrades!$U$12,K150),1))+(IF(K150=0,0,(Upgrades!$J$12+K150*Upgrades!$K$12)*POWER(Upgrades!$L$12,K150)))*(IF(Upgrades!$T$6="First Photons",POWER(Upgrades!$U$6,E150),1)*IF(Upgrades!$T$7="First Photons",POWER(Upgrades!$U$7,F150),1)*IF(Upgrades!$T$8="First Photons",POWER(Upgrades!$U$8,G150),1)*IF(Upgrades!$T$9="First Photons",POWER(Upgrades!$U$9,H150),1)*IF(Upgrades!$T$10="First Photons",POWER(Upgrades!$U$10,I150),1)*IF(Upgrades!$T$11="First Photons",POWER(Upgrades!$U$11,J150),1)))*POWER(Upgrades!$Q$6,E150)*POWER(Upgrades!$Q$7,F150)*POWER(Upgrades!$Q$8,G150)*POWER(Upgrades!$Q$9,H150)*POWER(Upgrades!$Q$10,I150)*POWER(Upgrades!$Q$11,J150)*POWER(Upgrades!$Q$12,K150)</f>
        <v/>
      </c>
      <c r="N150" s="28">
        <f>((IF(E150=0,0,(Upgrades!$G$6+E150*Upgrades!$H$6)*POWER(Upgrades!$I$6,E150)))*(IF(Upgrades!$T$7="Solar Wind",POWER(Upgrades!$U$7,F150),1)*IF(Upgrades!$T$8="Solar Wind",POWER(Upgrades!$U$8,G150),1)*IF(Upgrades!$T$9="Solar Wind",POWER(Upgrades!$U$9,H150),1)*IF(Upgrades!$T$10="Solar Wind",POWER(Upgrades!$U$10,I150),1)*IF(Upgrades!$T$11="Solar Wind",POWER(Upgrades!$U$11,J150),1)*IF(Upgrades!$T$12="Solar Wind",POWER(Upgrades!$U$12,K150),1))+(IF(F150=0,0,(Upgrades!$G$7+F150*Upgrades!$H$7)*POWER(Upgrades!$I$7,F150)))*(IF(Upgrades!$T$6="Asteroid Belt",POWER(Upgrades!$U$6,E150),1)*IF(Upgrades!$T$8="Asteroid Belt",POWER(Upgrades!$U$8,G150),1)*IF(Upgrades!$T$9="Asteroid Belt",POWER(Upgrades!$U$9,H150),1)*IF(Upgrades!$T$10="Asteroid Belt",POWER(Upgrades!$U$10,I150),1)*IF(Upgrades!$T$11="Asteroid Belt",POWER(Upgrades!$U$11,J150),1)*IF(Upgrades!$T$12="Asteroid Belt",POWER(Upgrades!$U$12,K150),1))+(IF(G150=0,0,(Upgrades!$G$8+G150*Upgrades!$H$8)*POWER(Upgrades!$I$8,G150)))*(IF(Upgrades!$T$6="Stellar Coupling",POWER(Upgrades!$U$6,E150),1)*IF(Upgrades!$T$7="Stellar Coupling",POWER(Upgrades!$U$7,F150),1)*IF(Upgrades!$T$9="Stellar Coupling",POWER(Upgrades!$U$9,H150),1)*IF(Upgrades!$T$10="Stellar Coupling",POWER(Upgrades!$U$10,I150),1)*IF(Upgrades!$T$11="Stellar Coupling",POWER(Upgrades!$U$11,J150),1)*IF(Upgrades!$T$12="Stellar Coupling",POWER(Upgrades!$U$12,K150),1))+(IF(H150=0,0,(Upgrades!$G$9+H150*Upgrades!$H$9)*POWER(Upgrades!$I$9,H150)))*(IF(Upgrades!$T$6="Magnetosphere",POWER(Upgrades!$U$6,E150),1)*IF(Upgrades!$T$7="Magnetosphere",POWER(Upgrades!$U$7,F150),1)*IF(Upgrades!$T$8="Magnetosphere",POWER(Upgrades!$U$8,G150),1)*IF(Upgrades!$T$10="Magnetosphere",POWER(Upgrades!$U$10,I150),1)*IF(Upgrades!$T$11="Magnetosphere",POWER(Upgrades!$U$11,J150),1)*IF(Upgrades!$T$12="Magnetosphere",POWER(Upgrades!$U$12,K150),1))+(IF(I150=0,0,(Upgrades!$G$10+I150*Upgrades!$H$10)*POWER(Upgrades!$I$10,I150)))*(IF(Upgrades!$T$6="Orbital Resonance",POWER(Upgrades!$U$6,E150),1)*IF(Upgrades!$T$7="Orbital Resonance",POWER(Upgrades!$U$7,F150),1)*IF(Upgrades!$T$8="Orbital Resonance",POWER(Upgrades!$U$8,G150),1)*IF(Upgrades!$T$9="Orbital Resonance",POWER(Upgrades!$U$9,H150),1)*IF(Upgrades!$T$11="Orbital Resonance",POWER(Upgrades!$U$11,J150),1)*IF(Upgrades!$T$12="Orbital Resonance",POWER(Upgrades!$U$12,K150),1))+(IF(J150=0,0,(Upgrades!$G$11+J150*Upgrades!$H$11)*POWER(Upgrades!$I$11,J150)))*(IF(Upgrades!$T$6="Heliopause",POWER(Upgrades!$U$6,E150),1)*IF(Upgrades!$T$7="Heliopause",POWER(Upgrades!$U$7,F150),1)*IF(Upgrades!$T$8="Heliopause",POWER(Upgrades!$U$8,G150),1)*IF(Upgrades!$T$9="Heliopause",POWER(Upgrades!$U$9,H150),1)*IF(Upgrades!$T$10="Heliopause",POWER(Upgrades!$U$10,I150),1)*IF(Upgrades!$T$12="Heliopause",POWER(Upgrades!$U$12,K150),1))+(IF(K150=0,0,(Upgrades!$G$12+K150*Upgrades!$H$12)*POWER(Upgrades!$I$12,K150)))*(IF(Upgrades!$T$6="First Photons",POWER(Upgrades!$U$6,E150),1)*IF(Upgrades!$T$7="First Photons",POWER(Upgrades!$U$7,F150),1)*IF(Upgrades!$T$8="First Photons",POWER(Upgrades!$U$8,G150),1)*IF(Upgrades!$T$9="First Photons",POWER(Upgrades!$U$9,H150),1)*IF(Upgrades!$T$10="First Photons",POWER(Upgrades!$U$10,I150),1)*IF(Upgrades!$T$11="First Photons",POWER(Upgrades!$U$11,J150),1)))*POWER(Upgrades!$P$6,E150)*POWER(Upgrades!$P$7,F150)*POWER(Upgrades!$P$8,G150)*POWER(Upgrades!$P$9,H150)*POWER(Upgrades!$P$10,I150)*POWER(Upgrades!$P$11,J150)*POWER(Upgrades!$P$12,K150)</f>
        <v/>
      </c>
      <c r="O150" s="28">
        <f>((IF(E150=0,0,(Upgrades!$M$6+E150*Upgrades!$N$6)*POWER(Upgrades!$O$6,E150)))*(IF(Upgrades!$T$7="Solar Wind",POWER(Upgrades!$U$7,F150),1)*IF(Upgrades!$T$8="Solar Wind",POWER(Upgrades!$U$8,G150),1)*IF(Upgrades!$T$9="Solar Wind",POWER(Upgrades!$U$9,H150),1)*IF(Upgrades!$T$10="Solar Wind",POWER(Upgrades!$U$10,I150),1)*IF(Upgrades!$T$11="Solar Wind",POWER(Upgrades!$U$11,J150),1)*IF(Upgrades!$T$12="Solar Wind",POWER(Upgrades!$U$12,K150),1))+(IF(F150=0,0,(Upgrades!$M$7+F150*Upgrades!$N$7)*POWER(Upgrades!$O$7,F150)))*(IF(Upgrades!$T$6="Asteroid Belt",POWER(Upgrades!$U$6,E150),1)*IF(Upgrades!$T$8="Asteroid Belt",POWER(Upgrades!$U$8,G150),1)*IF(Upgrades!$T$9="Asteroid Belt",POWER(Upgrades!$U$9,H150),1)*IF(Upgrades!$T$10="Asteroid Belt",POWER(Upgrades!$U$10,I150),1)*IF(Upgrades!$T$11="Asteroid Belt",POWER(Upgrades!$U$11,J150),1)*IF(Upgrades!$T$12="Asteroid Belt",POWER(Upgrades!$U$12,K150),1))+(IF(G150=0,0,(Upgrades!$M$8+G150*Upgrades!$N$8)*POWER(Upgrades!$O$8,G150)))*(IF(Upgrades!$T$6="Stellar Coupling",POWER(Upgrades!$U$6,E150),1)*IF(Upgrades!$T$7="Stellar Coupling",POWER(Upgrades!$U$7,F150),1)*IF(Upgrades!$T$9="Stellar Coupling",POWER(Upgrades!$U$9,H150),1)*IF(Upgrades!$T$10="Stellar Coupling",POWER(Upgrades!$U$10,I150),1)*IF(Upgrades!$T$11="Stellar Coupling",POWER(Upgrades!$U$11,J150),1)*IF(Upgrades!$T$12="Stellar Coupling",POWER(Upgrades!$U$12,K150),1))+(IF(H150=0,0,(Upgrades!$M$9+H150*Upgrades!$N$9)*POWER(Upgrades!$O$9,H150)))*(IF(Upgrades!$T$6="Magnetosphere",POWER(Upgrades!$U$6,E150),1)*IF(Upgrades!$T$7="Magnetosphere",POWER(Upgrades!$U$7,F150),1)*IF(Upgrades!$T$8="Magnetosphere",POWER(Upgrades!$U$8,G150),1)*IF(Upgrades!$T$10="Magnetosphere",POWER(Upgrades!$U$10,I150),1)*IF(Upgrades!$T$11="Magnetosphere",POWER(Upgrades!$U$11,J150),1)*IF(Upgrades!$T$12="Magnetosphere",POWER(Upgrades!$U$12,K150),1))+(IF(I150=0,0,(Upgrades!$M$10+I150*Upgrades!$N$10)*POWER(Upgrades!$O$10,I150)))*(IF(Upgrades!$T$6="Orbital Resonance",POWER(Upgrades!$U$6,E150),1)*IF(Upgrades!$T$7="Orbital Resonance",POWER(Upgrades!$U$7,F150),1)*IF(Upgrades!$T$8="Orbital Resonance",POWER(Upgrades!$U$8,G150),1)*IF(Upgrades!$T$9="Orbital Resonance",POWER(Upgrades!$U$9,H150),1)*IF(Upgrades!$T$11="Orbital Resonance",POWER(Upgrades!$U$11,J150),1)*IF(Upgrades!$T$12="Orbital Resonance",POWER(Upgrades!$U$12,K150),1))+(IF(J150=0,0,(Upgrades!$M$11+J150*Upgrades!$N$11)*POWER(Upgrades!$O$11,J150)))*(IF(Upgrades!$T$6="Heliopause",POWER(Upgrades!$U$6,E150),1)*IF(Upgrades!$T$7="Heliopause",POWER(Upgrades!$U$7,F150),1)*IF(Upgrades!$T$8="Heliopause",POWER(Upgrades!$U$8,G150),1)*IF(Upgrades!$T$9="Heliopause",POWER(Upgrades!$U$9,H150),1)*IF(Upgrades!$T$10="Heliopause",POWER(Upgrades!$U$10,I150),1)*IF(Upgrades!$T$12="Heliopause",POWER(Upgrades!$U$12,K150),1))+(IF(K150=0,0,(Upgrades!$M$12+K150*Upgrades!$N$12)*POWER(Upgrades!$O$12,K150)))*(IF(Upgrades!$T$6="First Photons",POWER(Upgrades!$U$6,E150),1)*IF(Upgrades!$T$7="First Photons",POWER(Upgrades!$U$7,F150),1)*IF(Upgrades!$T$8="First Photons",POWER(Upgrades!$U$8,G150),1)*IF(Upgrades!$T$9="First Photons",POWER(Upgrades!$U$9,H150),1)*IF(Upgrades!$T$10="First Photons",POWER(Upgrades!$U$10,I150),1)*IF(Upgrades!$T$11="First Photons",POWER(Upgrades!$U$11,J150),1)))*POWER(Upgrades!$R$6,E150)*POWER(Upgrades!$R$7,F150)*POWER(Upgrades!$R$8,G150)*POWER(Upgrades!$R$9,H150)*POWER(Upgrades!$R$10,I150)*POWER(Upgrades!$R$11,J150)*POWER(Upgrades!$R$12,K150)</f>
        <v/>
      </c>
      <c r="P150" s="27">
        <f>IF(L150=1,0,M150*Parameters!$B$10/60*Parameters!$B$11*10)</f>
        <v/>
      </c>
      <c r="Q150" s="27">
        <f>IF(L150=1,0,O150*M150*10)</f>
        <v/>
      </c>
      <c r="R150" s="27">
        <f>IF(L150=1,0,N150*10)</f>
        <v/>
      </c>
      <c r="S150" s="27">
        <f>P150+Q150+R150</f>
        <v/>
      </c>
      <c r="T150" s="22">
        <f>C150+S150</f>
        <v/>
      </c>
      <c r="U150" s="33">
        <f>AX150</f>
        <v/>
      </c>
      <c r="V150" s="22">
        <f>IF(U150="",0,IF(U150="transition",0,IF(U150="SW",AG150,IF(U150="AB",AH150,IF(U150="SC",AI150,IF(U150="Mag",AJ150,IF(U150="OR",AK150,IF(U150="HP",AL150,IF(U150="FP",AM150,0)))))))))</f>
        <v/>
      </c>
      <c r="W150" s="27">
        <f>IF(U150="OR",Upgrades!$F$10,IF(U150="HP",Upgrades!$F$11,IF(U150="transition",-Parameters!$B$18,0)))</f>
        <v/>
      </c>
      <c r="X150" s="22">
        <f>T150-V150</f>
        <v/>
      </c>
      <c r="Y150" s="30">
        <f>M150*Parameters!$B$10/60*Parameters!$B$11+O150*M150+N150</f>
        <v/>
      </c>
      <c r="Z150" s="34">
        <f>IF(U150="transition","→ Tier 2 (Stellar Neighborhood)",IF(U150="FP","First Photons — light begins, system quickens",IF(U150="HP","Heliopause acquired",IF(U150="OR","Orbital Resonance — passive multiplier active",IF(AND(AO150=1,L150=0,AN150&lt;&gt;1),"Cohesion ready (waiting on completionist upgrades)","")))))</f>
        <v/>
      </c>
      <c r="AA150" s="27">
        <f>(IF(E150=0,0,(Upgrades!$G$6+E150*Upgrades!$H$6)*POWER(Upgrades!$I$6,E150)))*(IF(Upgrades!$T$7="Solar Wind",POWER(Upgrades!$U$7,F150),1)*IF(Upgrades!$T$8="Solar Wind",POWER(Upgrades!$U$8,G150),1)*IF(Upgrades!$T$9="Solar Wind",POWER(Upgrades!$U$9,H150),1)*IF(Upgrades!$T$10="Solar Wind",POWER(Upgrades!$U$10,I150),1)*IF(Upgrades!$T$11="Solar Wind",POWER(Upgrades!$U$11,J150),1)*IF(Upgrades!$T$12="Solar Wind",POWER(Upgrades!$U$12,K150),1))*POWER(Upgrades!$P$6,E150)*POWER(Upgrades!$P$7,F150)*POWER(Upgrades!$P$8,G150)*POWER(Upgrades!$P$9,H150)*POWER(Upgrades!$P$10,I150)*POWER(Upgrades!$P$11,J150)*POWER(Upgrades!$P$12,K150)*60</f>
        <v/>
      </c>
      <c r="AB150" s="27">
        <f>(IF(F150=0,0,(Upgrades!$G$7+F150*Upgrades!$H$7)*POWER(Upgrades!$I$7,F150)))*(IF(Upgrades!$T$6="Asteroid Belt",POWER(Upgrades!$U$6,E150),1)*IF(Upgrades!$T$8="Asteroid Belt",POWER(Upgrades!$U$8,G150),1)*IF(Upgrades!$T$9="Asteroid Belt",POWER(Upgrades!$U$9,H150),1)*IF(Upgrades!$T$10="Asteroid Belt",POWER(Upgrades!$U$10,I150),1)*IF(Upgrades!$T$11="Asteroid Belt",POWER(Upgrades!$U$11,J150),1)*IF(Upgrades!$T$12="Asteroid Belt",POWER(Upgrades!$U$12,K150),1))*POWER(Upgrades!$P$6,E150)*POWER(Upgrades!$P$7,F150)*POWER(Upgrades!$P$8,G150)*POWER(Upgrades!$P$9,H150)*POWER(Upgrades!$P$10,I150)*POWER(Upgrades!$P$11,J150)*POWER(Upgrades!$P$12,K150)*60</f>
        <v/>
      </c>
      <c r="AC150" s="27">
        <f>(IF(G150=0,0,(Upgrades!$J$8+G150*Upgrades!$K$8)*POWER(Upgrades!$L$8,G150)))*(IF(Upgrades!$T$6="Stellar Coupling",POWER(Upgrades!$U$6,E150),1)*IF(Upgrades!$T$7="Stellar Coupling",POWER(Upgrades!$U$7,F150),1)*IF(Upgrades!$T$9="Stellar Coupling",POWER(Upgrades!$U$9,H150),1)*IF(Upgrades!$T$10="Stellar Coupling",POWER(Upgrades!$U$10,I150),1)*IF(Upgrades!$T$11="Stellar Coupling",POWER(Upgrades!$U$11,J150),1)*IF(Upgrades!$T$12="Stellar Coupling",POWER(Upgrades!$U$12,K150),1))*POWER(Upgrades!$Q$6,E150)*POWER(Upgrades!$Q$7,F150)*POWER(Upgrades!$Q$8,G150)*POWER(Upgrades!$Q$9,H150)*POWER(Upgrades!$Q$10,I150)*POWER(Upgrades!$Q$11,J150)*POWER(Upgrades!$Q$12,K150)*Parameters!$B$10*Parameters!$B$11</f>
        <v/>
      </c>
      <c r="AD150" s="27">
        <f>(IF(H150=0,0,(Upgrades!$G$9+H150*Upgrades!$H$9)*POWER(Upgrades!$I$9,H150)))*(IF(Upgrades!$T$6="Magnetosphere",POWER(Upgrades!$U$6,E150),1)*IF(Upgrades!$T$7="Magnetosphere",POWER(Upgrades!$U$7,F150),1)*IF(Upgrades!$T$8="Magnetosphere",POWER(Upgrades!$U$8,G150),1)*IF(Upgrades!$T$10="Magnetosphere",POWER(Upgrades!$U$10,I150),1)*IF(Upgrades!$T$11="Magnetosphere",POWER(Upgrades!$U$11,J150),1)*IF(Upgrades!$T$12="Magnetosphere",POWER(Upgrades!$U$12,K150),1))*POWER(Upgrades!$P$6,E150)*POWER(Upgrades!$P$7,F150)*POWER(Upgrades!$P$8,G150)*POWER(Upgrades!$P$9,H150)*POWER(Upgrades!$P$10,I150)*POWER(Upgrades!$P$11,J150)*POWER(Upgrades!$P$12,K150)*60</f>
        <v/>
      </c>
      <c r="AE150" s="27">
        <f>(IF(K150=0,0,(Upgrades!$G$12+K150*Upgrades!$H$12)*POWER(Upgrades!$I$12,K150)))*(IF(Upgrades!$T$6="First Photons",POWER(Upgrades!$U$6,E150),1)*IF(Upgrades!$T$7="First Photons",POWER(Upgrades!$U$7,F150),1)*IF(Upgrades!$T$8="First Photons",POWER(Upgrades!$U$8,G150),1)*IF(Upgrades!$T$9="First Photons",POWER(Upgrades!$U$9,H150),1)*IF(Upgrades!$T$10="First Photons",POWER(Upgrades!$U$10,I150),1)*IF(Upgrades!$T$11="First Photons",POWER(Upgrades!$U$11,J150),1))*POWER(Upgrades!$P$6,E150)*POWER(Upgrades!$P$7,F150)*POWER(Upgrades!$P$8,G150)*POWER(Upgrades!$P$9,H150)*POWER(Upgrades!$P$10,I150)*POWER(Upgrades!$P$11,J150)*POWER(Upgrades!$P$12,K150)*60</f>
        <v/>
      </c>
      <c r="AF150" s="27">
        <f>Parameters!$B$9*POWER(Upgrades!$Q$6,E150)*POWER(Upgrades!$Q$7,F150)*POWER(Upgrades!$Q$8,G150)*POWER(Upgrades!$Q$9,H150)*POWER(Upgrades!$Q$10,I150)*POWER(Upgrades!$Q$11,J150)*POWER(Upgrades!$Q$12,K150)*(Parameters!$B$10*Parameters!$B$11+O150*60)</f>
        <v/>
      </c>
      <c r="AG150" s="22">
        <f>IF(E150&gt;=Upgrades!$E$6,"",Upgrades!$C$6*POWER(Upgrades!$D$6,E150))</f>
        <v/>
      </c>
      <c r="AH150" s="22">
        <f>IF(F150&gt;=Upgrades!$E$7,"",Upgrades!$C$7*POWER(Upgrades!$D$7,F150))</f>
        <v/>
      </c>
      <c r="AI150" s="22">
        <f>IF(G150&gt;=Upgrades!$E$8,"",Upgrades!$C$8*POWER(Upgrades!$D$8,G150))</f>
        <v/>
      </c>
      <c r="AJ150" s="22">
        <f>IF(H150&gt;=Upgrades!$E$9,"",Upgrades!$C$9*POWER(Upgrades!$D$9,H150))</f>
        <v/>
      </c>
      <c r="AK150" s="22">
        <f>IF(I150&gt;=Upgrades!$E$10,"",Upgrades!$C$10*POWER(Upgrades!$D$10,I150))</f>
        <v/>
      </c>
      <c r="AL150" s="22">
        <f>IF(J150&gt;=Upgrades!$E$11,"",Upgrades!$C$11*POWER(Upgrades!$D$11,J150))</f>
        <v/>
      </c>
      <c r="AM150" s="22">
        <f>IF(K150&gt;=Upgrades!$E$12,"",Upgrades!$C$12*POWER(Upgrades!$D$12,K150))</f>
        <v/>
      </c>
      <c r="AN150" s="26">
        <f>IF(AND(D150&gt;=Parameters!$B$18,(H150&gt;=Upgrades!$E$9)*(K150&gt;=Upgrades!$E$12)=1,L150=0),1,"")</f>
        <v/>
      </c>
      <c r="AO150" s="26">
        <f>IF(AND(D150&gt;=Parameters!$B$18,L150=0),1,"")</f>
        <v/>
      </c>
      <c r="AP150" s="22">
        <f>MIN(IF(ISNUMBER(AK150),AK150,9E15),IF(ISNUMBER(AL150),AL150,9E15),IF(ISNUMBER(AM150),AM150,9E15))</f>
        <v/>
      </c>
      <c r="AQ150" s="22">
        <f>MIN(IF(ISNUMBER(AG150),AG150,9E15),IF(ISNUMBER(AH150),AH150,9E15),IF(ISNUMBER(AI150),AI150,9E15),IF(ISNUMBER(AJ150),AJ150,9E15))</f>
        <v/>
      </c>
      <c r="AR150" s="29">
        <f>IF(AW150&gt;Parameters!$B$21*(MAX(IF(AND(NOT(AND(AO150=1,AN150&lt;&gt;1)),ISNUMBER(AG150),AG150&lt;=T150),AS150,0),IF(AND(NOT(AND(AO150=1,AN150&lt;&gt;1)),ISNUMBER(AH150),AH150&lt;=T150),AT150,0),IF(AND(NOT(AND(AO150=1,AN150&lt;&gt;1)),ISNUMBER(AI150),AI150&lt;=T150),AU150,0),IF(AND(ISNUMBER(AJ150),AJ150&lt;=T150),AV150,0))),TRUE,FALSE)</f>
        <v/>
      </c>
      <c r="AS150" s="32">
        <f>IFERROR(Upgrades!$H$6*(POWER(Upgrades!$P$6,E150)*POWER(Upgrades!$P$7,F150)*POWER(Upgrades!$P$8,G150)*POWER(Upgrades!$P$9,H150)*POWER(Upgrades!$P$10,I150)*POWER(Upgrades!$P$11,J150)*POWER(Upgrades!$P$12,K150))*(IF(Upgrades!$T$7="Solar Wind",POWER(Upgrades!$U$7,F150),1)*IF(Upgrades!$T$8="Solar Wind",POWER(Upgrades!$U$8,G150),1)*IF(Upgrades!$T$9="Solar Wind",POWER(Upgrades!$U$9,H150),1)*IF(Upgrades!$T$10="Solar Wind",POWER(Upgrades!$U$10,I150),1)*IF(Upgrades!$T$11="Solar Wind",POWER(Upgrades!$U$11,J150),1)*IF(Upgrades!$T$12="Solar Wind",POWER(Upgrades!$U$12,K150),1))/AG150,0)</f>
        <v/>
      </c>
      <c r="AT150" s="32">
        <f>IFERROR(Upgrades!$H$7*(POWER(Upgrades!$P$6,E150)*POWER(Upgrades!$P$7,F150)*POWER(Upgrades!$P$8,G150)*POWER(Upgrades!$P$9,H150)*POWER(Upgrades!$P$10,I150)*POWER(Upgrades!$P$11,J150)*POWER(Upgrades!$P$12,K150))*(IF(Upgrades!$T$6="Asteroid Belt",POWER(Upgrades!$U$6,E150),1)*IF(Upgrades!$T$8="Asteroid Belt",POWER(Upgrades!$U$8,G150),1)*IF(Upgrades!$T$9="Asteroid Belt",POWER(Upgrades!$U$9,H150),1)*IF(Upgrades!$T$10="Asteroid Belt",POWER(Upgrades!$U$10,I150),1)*IF(Upgrades!$T$11="Asteroid Belt",POWER(Upgrades!$U$11,J150),1)*IF(Upgrades!$T$12="Asteroid Belt",POWER(Upgrades!$U$12,K150),1))/AH150,0)</f>
        <v/>
      </c>
      <c r="AU150" s="32">
        <f>IFERROR(Upgrades!$K$8*(POWER(Upgrades!$Q$6,E150)*POWER(Upgrades!$Q$7,F150)*POWER(Upgrades!$Q$8,G150)*POWER(Upgrades!$Q$9,H150)*POWER(Upgrades!$Q$10,I150)*POWER(Upgrades!$Q$11,J150)*POWER(Upgrades!$Q$12,K150))*(IF(Upgrades!$T$6="Stellar Coupling",POWER(Upgrades!$U$6,E150),1)*IF(Upgrades!$T$7="Stellar Coupling",POWER(Upgrades!$U$7,F150),1)*IF(Upgrades!$T$9="Stellar Coupling",POWER(Upgrades!$U$9,H150),1)*IF(Upgrades!$T$10="Stellar Coupling",POWER(Upgrades!$U$10,I150),1)*IF(Upgrades!$T$11="Stellar Coupling",POWER(Upgrades!$U$11,J150),1)*IF(Upgrades!$T$12="Stellar Coupling",POWER(Upgrades!$U$12,K150),1))*Parameters!$B$10*Parameters!$B$11/60/AI150,0)</f>
        <v/>
      </c>
      <c r="AV150" s="32">
        <f>IFERROR(Upgrades!$H$9*(POWER(Upgrades!$P$6,E150)*POWER(Upgrades!$P$7,F150)*POWER(Upgrades!$P$8,G150)*POWER(Upgrades!$P$9,H150)*POWER(Upgrades!$P$10,I150)*POWER(Upgrades!$P$11,J150)*POWER(Upgrades!$P$12,K150))*(IF(Upgrades!$T$6="Magnetosphere",POWER(Upgrades!$U$6,E150),1)*IF(Upgrades!$T$7="Magnetosphere",POWER(Upgrades!$U$7,F150),1)*IF(Upgrades!$T$8="Magnetosphere",POWER(Upgrades!$U$8,G150),1)*IF(Upgrades!$T$10="Magnetosphere",POWER(Upgrades!$U$10,I150),1)*IF(Upgrades!$T$11="Magnetosphere",POWER(Upgrades!$U$11,J150),1)*IF(Upgrades!$T$12="Magnetosphere",POWER(Upgrades!$U$12,K150),1))/AJ150,0)</f>
        <v/>
      </c>
      <c r="AW150" s="32">
        <f>MAX(IF(I150&gt;0,0,IFERROR(0.25*N150/Upgrades!$C$10,0)),IF(J150&gt;0,0,IFERROR(0.5*((IF(G150=0,0,(Upgrades!$J$8+G150*Upgrades!$K$8)*POWER(Upgrades!$L$8,G150)))*(IF(Upgrades!$T$6="Stellar Coupling",POWER(Upgrades!$U$6,E150),1)*IF(Upgrades!$T$7="Stellar Coupling",POWER(Upgrades!$U$7,F150),1)*IF(Upgrades!$T$9="Stellar Coupling",POWER(Upgrades!$U$9,H150),1)*IF(Upgrades!$T$10="Stellar Coupling",POWER(Upgrades!$U$10,I150),1)*IF(Upgrades!$T$11="Stellar Coupling",POWER(Upgrades!$U$11,J150),1)*IF(Upgrades!$T$12="Stellar Coupling",POWER(Upgrades!$U$12,K150),1))*(POWER(Upgrades!$Q$6,E150)*POWER(Upgrades!$Q$7,F150)*POWER(Upgrades!$Q$8,G150)*POWER(Upgrades!$Q$9,H150)*POWER(Upgrades!$Q$10,I150)*POWER(Upgrades!$Q$11,J150)*POWER(Upgrades!$Q$12,K150))*Parameters!$B$10*Parameters!$B$11/60)/Upgrades!$C$11,0)),IF(K150&gt;0,0,IFERROR((1.0*(POWER(Upgrades!$P$6,E150)*POWER(Upgrades!$P$7,F150)*POWER(Upgrades!$P$8,G150)*POWER(Upgrades!$P$9,H150)*POWER(Upgrades!$P$10,I150)*POWER(Upgrades!$P$11,J150)*POWER(Upgrades!$P$12,K150))+0.20*M150*Parameters!$B$10*Parameters!$B$11/60)/Upgrades!$C$12,0)),IF(AND(ISNUMBER(AG150),AG150&gt;T150),AS150,0),IF(AND(ISNUMBER(AH150),AH150&gt;T150),AT150,0),IF(AND(ISNUMBER(AI150),AI150&gt;T150),AU150,0),IF(AND(ISNUMBER(AJ150),AJ150&gt;T150),AV150,0))</f>
        <v/>
      </c>
      <c r="AX150" s="29">
        <f>IF(AN150=1,"transition",IF(MIN(IF(AND(I150=0,ISNUMBER(AK150),AK150&lt;=T150),AK150,9E15),IF(AND(J150=0,ISNUMBER(AL150),AL150&lt;=T150),AL150,9E15),IF(AND(K150=0,ISNUMBER(AM150),AM150&lt;=T150),AM150,9E15))&lt;9E15,IF(AND(AND(I150=0,ISNUMBER(AK150),AK150&lt;=T150),AK150=MIN(IF(AND(I150=0,ISNUMBER(AK150),AK150&lt;=T150),AK150,9E15),IF(AND(J150=0,ISNUMBER(AL150),AL150&lt;=T150),AL150,9E15),IF(AND(K150=0,ISNUMBER(AM150),AM150&lt;=T150),AM150,9E15))),"OR",IF(AND(AND(J150=0,ISNUMBER(AL150),AL150&lt;=T150),AL150=MIN(IF(AND(I150=0,ISNUMBER(AK150),AK150&lt;=T150),AK150,9E15),IF(AND(J150=0,ISNUMBER(AL150),AL150&lt;=T150),AL150,9E15),IF(AND(K150=0,ISNUMBER(AM150),AM150&lt;=T150),AM150,9E15))),"HP","FP")),IF(AR150=TRUE,"",IF(MAX(IF(AND(NOT(AND(AO150=1,AN150&lt;&gt;1)),ISNUMBER(AG150),AG150&lt;=T150),AS150,0),IF(AND(NOT(AND(AO150=1,AN150&lt;&gt;1)),ISNUMBER(AH150),AH150&lt;=T150),AT150,0),IF(AND(NOT(AND(AO150=1,AN150&lt;&gt;1)),ISNUMBER(AI150),AI150&lt;=T150),AU150,0),IF(AND(ISNUMBER(AJ150),AJ150&lt;=T150),AV150,0))&lt;=0,"",IF(AND(IF(AND(NOT(AND(AO150=1,AN150&lt;&gt;1)),ISNUMBER(AG150),AG150&lt;=T150),AS150,0)&gt;0,IF(AND(NOT(AND(AO150=1,AN150&lt;&gt;1)),ISNUMBER(AG150),AG150&lt;=T150),AS150,0)=MAX(IF(AND(NOT(AND(AO150=1,AN150&lt;&gt;1)),ISNUMBER(AG150),AG150&lt;=T150),AS150,0),IF(AND(NOT(AND(AO150=1,AN150&lt;&gt;1)),ISNUMBER(AH150),AH150&lt;=T150),AT150,0),IF(AND(NOT(AND(AO150=1,AN150&lt;&gt;1)),ISNUMBER(AI150),AI150&lt;=T150),AU150,0),IF(AND(ISNUMBER(AJ150),AJ150&lt;=T150),AV150,0))),"SW",IF(AND(IF(AND(NOT(AND(AO150=1,AN150&lt;&gt;1)),ISNUMBER(AH150),AH150&lt;=T150),AT150,0)&gt;0,IF(AND(NOT(AND(AO150=1,AN150&lt;&gt;1)),ISNUMBER(AH150),AH150&lt;=T150),AT150,0)=MAX(IF(AND(NOT(AND(AO150=1,AN150&lt;&gt;1)),ISNUMBER(AG150),AG150&lt;=T150),AS150,0),IF(AND(NOT(AND(AO150=1,AN150&lt;&gt;1)),ISNUMBER(AH150),AH150&lt;=T150),AT150,0),IF(AND(NOT(AND(AO150=1,AN150&lt;&gt;1)),ISNUMBER(AI150),AI150&lt;=T150),AU150,0),IF(AND(ISNUMBER(AJ150),AJ150&lt;=T150),AV150,0))),"AB",IF(AND(IF(AND(NOT(AND(AO150=1,AN150&lt;&gt;1)),ISNUMBER(AI150),AI150&lt;=T150),AU150,0)&gt;0,IF(AND(NOT(AND(AO150=1,AN150&lt;&gt;1)),ISNUMBER(AI150),AI150&lt;=T150),AU150,0)=MAX(IF(AND(NOT(AND(AO150=1,AN150&lt;&gt;1)),ISNUMBER(AG150),AG150&lt;=T150),AS150,0),IF(AND(NOT(AND(AO150=1,AN150&lt;&gt;1)),ISNUMBER(AH150),AH150&lt;=T150),AT150,0),IF(AND(NOT(AND(AO150=1,AN150&lt;&gt;1)),ISNUMBER(AI150),AI150&lt;=T150),AU150,0),IF(AND(ISNUMBER(AJ150),AJ150&lt;=T150),AV150,0))),"SC","Mag")))))))</f>
        <v/>
      </c>
    </row>
    <row r="151">
      <c r="A151" s="26" t="n">
        <v>146</v>
      </c>
      <c r="B151" s="27">
        <f>A151*10/60</f>
        <v/>
      </c>
      <c r="C151" s="22">
        <f>X150</f>
        <v/>
      </c>
      <c r="D151" s="27">
        <f>D150+W150</f>
        <v/>
      </c>
      <c r="E151" s="26">
        <f>E150+IF(U150="SW",1,0)</f>
        <v/>
      </c>
      <c r="F151" s="26">
        <f>F150+IF(U150="AB",1,0)</f>
        <v/>
      </c>
      <c r="G151" s="26">
        <f>G150+IF(U150="SC",1,0)</f>
        <v/>
      </c>
      <c r="H151" s="26">
        <f>H150+IF(U150="Mag",1,0)</f>
        <v/>
      </c>
      <c r="I151" s="26">
        <f>MAX(I150,IF(U150="OR",1,0))</f>
        <v/>
      </c>
      <c r="J151" s="26">
        <f>MAX(J150,IF(U150="HP",1,0))</f>
        <v/>
      </c>
      <c r="K151" s="26">
        <f>MAX(K150,IF(U150="FP",1,0))</f>
        <v/>
      </c>
      <c r="L151" s="26">
        <f>MAX(L150,IF(U150="transition",1,0))</f>
        <v/>
      </c>
      <c r="M151" s="28">
        <f>(Parameters!$B$9+(IF(E151=0,0,(Upgrades!$J$6+E151*Upgrades!$K$6)*POWER(Upgrades!$L$6,E151)))*(IF(Upgrades!$T$7="Solar Wind",POWER(Upgrades!$U$7,F151),1)*IF(Upgrades!$T$8="Solar Wind",POWER(Upgrades!$U$8,G151),1)*IF(Upgrades!$T$9="Solar Wind",POWER(Upgrades!$U$9,H151),1)*IF(Upgrades!$T$10="Solar Wind",POWER(Upgrades!$U$10,I151),1)*IF(Upgrades!$T$11="Solar Wind",POWER(Upgrades!$U$11,J151),1)*IF(Upgrades!$T$12="Solar Wind",POWER(Upgrades!$U$12,K151),1))+(IF(F151=0,0,(Upgrades!$J$7+F151*Upgrades!$K$7)*POWER(Upgrades!$L$7,F151)))*(IF(Upgrades!$T$6="Asteroid Belt",POWER(Upgrades!$U$6,E151),1)*IF(Upgrades!$T$8="Asteroid Belt",POWER(Upgrades!$U$8,G151),1)*IF(Upgrades!$T$9="Asteroid Belt",POWER(Upgrades!$U$9,H151),1)*IF(Upgrades!$T$10="Asteroid Belt",POWER(Upgrades!$U$10,I151),1)*IF(Upgrades!$T$11="Asteroid Belt",POWER(Upgrades!$U$11,J151),1)*IF(Upgrades!$T$12="Asteroid Belt",POWER(Upgrades!$U$12,K151),1))+(IF(G151=0,0,(Upgrades!$J$8+G151*Upgrades!$K$8)*POWER(Upgrades!$L$8,G151)))*(IF(Upgrades!$T$6="Stellar Coupling",POWER(Upgrades!$U$6,E151),1)*IF(Upgrades!$T$7="Stellar Coupling",POWER(Upgrades!$U$7,F151),1)*IF(Upgrades!$T$9="Stellar Coupling",POWER(Upgrades!$U$9,H151),1)*IF(Upgrades!$T$10="Stellar Coupling",POWER(Upgrades!$U$10,I151),1)*IF(Upgrades!$T$11="Stellar Coupling",POWER(Upgrades!$U$11,J151),1)*IF(Upgrades!$T$12="Stellar Coupling",POWER(Upgrades!$U$12,K151),1))+(IF(H151=0,0,(Upgrades!$J$9+H151*Upgrades!$K$9)*POWER(Upgrades!$L$9,H151)))*(IF(Upgrades!$T$6="Magnetosphere",POWER(Upgrades!$U$6,E151),1)*IF(Upgrades!$T$7="Magnetosphere",POWER(Upgrades!$U$7,F151),1)*IF(Upgrades!$T$8="Magnetosphere",POWER(Upgrades!$U$8,G151),1)*IF(Upgrades!$T$10="Magnetosphere",POWER(Upgrades!$U$10,I151),1)*IF(Upgrades!$T$11="Magnetosphere",POWER(Upgrades!$U$11,J151),1)*IF(Upgrades!$T$12="Magnetosphere",POWER(Upgrades!$U$12,K151),1))+(IF(I151=0,0,(Upgrades!$J$10+I151*Upgrades!$K$10)*POWER(Upgrades!$L$10,I151)))*(IF(Upgrades!$T$6="Orbital Resonance",POWER(Upgrades!$U$6,E151),1)*IF(Upgrades!$T$7="Orbital Resonance",POWER(Upgrades!$U$7,F151),1)*IF(Upgrades!$T$8="Orbital Resonance",POWER(Upgrades!$U$8,G151),1)*IF(Upgrades!$T$9="Orbital Resonance",POWER(Upgrades!$U$9,H151),1)*IF(Upgrades!$T$11="Orbital Resonance",POWER(Upgrades!$U$11,J151),1)*IF(Upgrades!$T$12="Orbital Resonance",POWER(Upgrades!$U$12,K151),1))+(IF(J151=0,0,(Upgrades!$J$11+J151*Upgrades!$K$11)*POWER(Upgrades!$L$11,J151)))*(IF(Upgrades!$T$6="Heliopause",POWER(Upgrades!$U$6,E151),1)*IF(Upgrades!$T$7="Heliopause",POWER(Upgrades!$U$7,F151),1)*IF(Upgrades!$T$8="Heliopause",POWER(Upgrades!$U$8,G151),1)*IF(Upgrades!$T$9="Heliopause",POWER(Upgrades!$U$9,H151),1)*IF(Upgrades!$T$10="Heliopause",POWER(Upgrades!$U$10,I151),1)*IF(Upgrades!$T$12="Heliopause",POWER(Upgrades!$U$12,K151),1))+(IF(K151=0,0,(Upgrades!$J$12+K151*Upgrades!$K$12)*POWER(Upgrades!$L$12,K151)))*(IF(Upgrades!$T$6="First Photons",POWER(Upgrades!$U$6,E151),1)*IF(Upgrades!$T$7="First Photons",POWER(Upgrades!$U$7,F151),1)*IF(Upgrades!$T$8="First Photons",POWER(Upgrades!$U$8,G151),1)*IF(Upgrades!$T$9="First Photons",POWER(Upgrades!$U$9,H151),1)*IF(Upgrades!$T$10="First Photons",POWER(Upgrades!$U$10,I151),1)*IF(Upgrades!$T$11="First Photons",POWER(Upgrades!$U$11,J151),1)))*POWER(Upgrades!$Q$6,E151)*POWER(Upgrades!$Q$7,F151)*POWER(Upgrades!$Q$8,G151)*POWER(Upgrades!$Q$9,H151)*POWER(Upgrades!$Q$10,I151)*POWER(Upgrades!$Q$11,J151)*POWER(Upgrades!$Q$12,K151)</f>
        <v/>
      </c>
      <c r="N151" s="28">
        <f>((IF(E151=0,0,(Upgrades!$G$6+E151*Upgrades!$H$6)*POWER(Upgrades!$I$6,E151)))*(IF(Upgrades!$T$7="Solar Wind",POWER(Upgrades!$U$7,F151),1)*IF(Upgrades!$T$8="Solar Wind",POWER(Upgrades!$U$8,G151),1)*IF(Upgrades!$T$9="Solar Wind",POWER(Upgrades!$U$9,H151),1)*IF(Upgrades!$T$10="Solar Wind",POWER(Upgrades!$U$10,I151),1)*IF(Upgrades!$T$11="Solar Wind",POWER(Upgrades!$U$11,J151),1)*IF(Upgrades!$T$12="Solar Wind",POWER(Upgrades!$U$12,K151),1))+(IF(F151=0,0,(Upgrades!$G$7+F151*Upgrades!$H$7)*POWER(Upgrades!$I$7,F151)))*(IF(Upgrades!$T$6="Asteroid Belt",POWER(Upgrades!$U$6,E151),1)*IF(Upgrades!$T$8="Asteroid Belt",POWER(Upgrades!$U$8,G151),1)*IF(Upgrades!$T$9="Asteroid Belt",POWER(Upgrades!$U$9,H151),1)*IF(Upgrades!$T$10="Asteroid Belt",POWER(Upgrades!$U$10,I151),1)*IF(Upgrades!$T$11="Asteroid Belt",POWER(Upgrades!$U$11,J151),1)*IF(Upgrades!$T$12="Asteroid Belt",POWER(Upgrades!$U$12,K151),1))+(IF(G151=0,0,(Upgrades!$G$8+G151*Upgrades!$H$8)*POWER(Upgrades!$I$8,G151)))*(IF(Upgrades!$T$6="Stellar Coupling",POWER(Upgrades!$U$6,E151),1)*IF(Upgrades!$T$7="Stellar Coupling",POWER(Upgrades!$U$7,F151),1)*IF(Upgrades!$T$9="Stellar Coupling",POWER(Upgrades!$U$9,H151),1)*IF(Upgrades!$T$10="Stellar Coupling",POWER(Upgrades!$U$10,I151),1)*IF(Upgrades!$T$11="Stellar Coupling",POWER(Upgrades!$U$11,J151),1)*IF(Upgrades!$T$12="Stellar Coupling",POWER(Upgrades!$U$12,K151),1))+(IF(H151=0,0,(Upgrades!$G$9+H151*Upgrades!$H$9)*POWER(Upgrades!$I$9,H151)))*(IF(Upgrades!$T$6="Magnetosphere",POWER(Upgrades!$U$6,E151),1)*IF(Upgrades!$T$7="Magnetosphere",POWER(Upgrades!$U$7,F151),1)*IF(Upgrades!$T$8="Magnetosphere",POWER(Upgrades!$U$8,G151),1)*IF(Upgrades!$T$10="Magnetosphere",POWER(Upgrades!$U$10,I151),1)*IF(Upgrades!$T$11="Magnetosphere",POWER(Upgrades!$U$11,J151),1)*IF(Upgrades!$T$12="Magnetosphere",POWER(Upgrades!$U$12,K151),1))+(IF(I151=0,0,(Upgrades!$G$10+I151*Upgrades!$H$10)*POWER(Upgrades!$I$10,I151)))*(IF(Upgrades!$T$6="Orbital Resonance",POWER(Upgrades!$U$6,E151),1)*IF(Upgrades!$T$7="Orbital Resonance",POWER(Upgrades!$U$7,F151),1)*IF(Upgrades!$T$8="Orbital Resonance",POWER(Upgrades!$U$8,G151),1)*IF(Upgrades!$T$9="Orbital Resonance",POWER(Upgrades!$U$9,H151),1)*IF(Upgrades!$T$11="Orbital Resonance",POWER(Upgrades!$U$11,J151),1)*IF(Upgrades!$T$12="Orbital Resonance",POWER(Upgrades!$U$12,K151),1))+(IF(J151=0,0,(Upgrades!$G$11+J151*Upgrades!$H$11)*POWER(Upgrades!$I$11,J151)))*(IF(Upgrades!$T$6="Heliopause",POWER(Upgrades!$U$6,E151),1)*IF(Upgrades!$T$7="Heliopause",POWER(Upgrades!$U$7,F151),1)*IF(Upgrades!$T$8="Heliopause",POWER(Upgrades!$U$8,G151),1)*IF(Upgrades!$T$9="Heliopause",POWER(Upgrades!$U$9,H151),1)*IF(Upgrades!$T$10="Heliopause",POWER(Upgrades!$U$10,I151),1)*IF(Upgrades!$T$12="Heliopause",POWER(Upgrades!$U$12,K151),1))+(IF(K151=0,0,(Upgrades!$G$12+K151*Upgrades!$H$12)*POWER(Upgrades!$I$12,K151)))*(IF(Upgrades!$T$6="First Photons",POWER(Upgrades!$U$6,E151),1)*IF(Upgrades!$T$7="First Photons",POWER(Upgrades!$U$7,F151),1)*IF(Upgrades!$T$8="First Photons",POWER(Upgrades!$U$8,G151),1)*IF(Upgrades!$T$9="First Photons",POWER(Upgrades!$U$9,H151),1)*IF(Upgrades!$T$10="First Photons",POWER(Upgrades!$U$10,I151),1)*IF(Upgrades!$T$11="First Photons",POWER(Upgrades!$U$11,J151),1)))*POWER(Upgrades!$P$6,E151)*POWER(Upgrades!$P$7,F151)*POWER(Upgrades!$P$8,G151)*POWER(Upgrades!$P$9,H151)*POWER(Upgrades!$P$10,I151)*POWER(Upgrades!$P$11,J151)*POWER(Upgrades!$P$12,K151)</f>
        <v/>
      </c>
      <c r="O151" s="28">
        <f>((IF(E151=0,0,(Upgrades!$M$6+E151*Upgrades!$N$6)*POWER(Upgrades!$O$6,E151)))*(IF(Upgrades!$T$7="Solar Wind",POWER(Upgrades!$U$7,F151),1)*IF(Upgrades!$T$8="Solar Wind",POWER(Upgrades!$U$8,G151),1)*IF(Upgrades!$T$9="Solar Wind",POWER(Upgrades!$U$9,H151),1)*IF(Upgrades!$T$10="Solar Wind",POWER(Upgrades!$U$10,I151),1)*IF(Upgrades!$T$11="Solar Wind",POWER(Upgrades!$U$11,J151),1)*IF(Upgrades!$T$12="Solar Wind",POWER(Upgrades!$U$12,K151),1))+(IF(F151=0,0,(Upgrades!$M$7+F151*Upgrades!$N$7)*POWER(Upgrades!$O$7,F151)))*(IF(Upgrades!$T$6="Asteroid Belt",POWER(Upgrades!$U$6,E151),1)*IF(Upgrades!$T$8="Asteroid Belt",POWER(Upgrades!$U$8,G151),1)*IF(Upgrades!$T$9="Asteroid Belt",POWER(Upgrades!$U$9,H151),1)*IF(Upgrades!$T$10="Asteroid Belt",POWER(Upgrades!$U$10,I151),1)*IF(Upgrades!$T$11="Asteroid Belt",POWER(Upgrades!$U$11,J151),1)*IF(Upgrades!$T$12="Asteroid Belt",POWER(Upgrades!$U$12,K151),1))+(IF(G151=0,0,(Upgrades!$M$8+G151*Upgrades!$N$8)*POWER(Upgrades!$O$8,G151)))*(IF(Upgrades!$T$6="Stellar Coupling",POWER(Upgrades!$U$6,E151),1)*IF(Upgrades!$T$7="Stellar Coupling",POWER(Upgrades!$U$7,F151),1)*IF(Upgrades!$T$9="Stellar Coupling",POWER(Upgrades!$U$9,H151),1)*IF(Upgrades!$T$10="Stellar Coupling",POWER(Upgrades!$U$10,I151),1)*IF(Upgrades!$T$11="Stellar Coupling",POWER(Upgrades!$U$11,J151),1)*IF(Upgrades!$T$12="Stellar Coupling",POWER(Upgrades!$U$12,K151),1))+(IF(H151=0,0,(Upgrades!$M$9+H151*Upgrades!$N$9)*POWER(Upgrades!$O$9,H151)))*(IF(Upgrades!$T$6="Magnetosphere",POWER(Upgrades!$U$6,E151),1)*IF(Upgrades!$T$7="Magnetosphere",POWER(Upgrades!$U$7,F151),1)*IF(Upgrades!$T$8="Magnetosphere",POWER(Upgrades!$U$8,G151),1)*IF(Upgrades!$T$10="Magnetosphere",POWER(Upgrades!$U$10,I151),1)*IF(Upgrades!$T$11="Magnetosphere",POWER(Upgrades!$U$11,J151),1)*IF(Upgrades!$T$12="Magnetosphere",POWER(Upgrades!$U$12,K151),1))+(IF(I151=0,0,(Upgrades!$M$10+I151*Upgrades!$N$10)*POWER(Upgrades!$O$10,I151)))*(IF(Upgrades!$T$6="Orbital Resonance",POWER(Upgrades!$U$6,E151),1)*IF(Upgrades!$T$7="Orbital Resonance",POWER(Upgrades!$U$7,F151),1)*IF(Upgrades!$T$8="Orbital Resonance",POWER(Upgrades!$U$8,G151),1)*IF(Upgrades!$T$9="Orbital Resonance",POWER(Upgrades!$U$9,H151),1)*IF(Upgrades!$T$11="Orbital Resonance",POWER(Upgrades!$U$11,J151),1)*IF(Upgrades!$T$12="Orbital Resonance",POWER(Upgrades!$U$12,K151),1))+(IF(J151=0,0,(Upgrades!$M$11+J151*Upgrades!$N$11)*POWER(Upgrades!$O$11,J151)))*(IF(Upgrades!$T$6="Heliopause",POWER(Upgrades!$U$6,E151),1)*IF(Upgrades!$T$7="Heliopause",POWER(Upgrades!$U$7,F151),1)*IF(Upgrades!$T$8="Heliopause",POWER(Upgrades!$U$8,G151),1)*IF(Upgrades!$T$9="Heliopause",POWER(Upgrades!$U$9,H151),1)*IF(Upgrades!$T$10="Heliopause",POWER(Upgrades!$U$10,I151),1)*IF(Upgrades!$T$12="Heliopause",POWER(Upgrades!$U$12,K151),1))+(IF(K151=0,0,(Upgrades!$M$12+K151*Upgrades!$N$12)*POWER(Upgrades!$O$12,K151)))*(IF(Upgrades!$T$6="First Photons",POWER(Upgrades!$U$6,E151),1)*IF(Upgrades!$T$7="First Photons",POWER(Upgrades!$U$7,F151),1)*IF(Upgrades!$T$8="First Photons",POWER(Upgrades!$U$8,G151),1)*IF(Upgrades!$T$9="First Photons",POWER(Upgrades!$U$9,H151),1)*IF(Upgrades!$T$10="First Photons",POWER(Upgrades!$U$10,I151),1)*IF(Upgrades!$T$11="First Photons",POWER(Upgrades!$U$11,J151),1)))*POWER(Upgrades!$R$6,E151)*POWER(Upgrades!$R$7,F151)*POWER(Upgrades!$R$8,G151)*POWER(Upgrades!$R$9,H151)*POWER(Upgrades!$R$10,I151)*POWER(Upgrades!$R$11,J151)*POWER(Upgrades!$R$12,K151)</f>
        <v/>
      </c>
      <c r="P151" s="27">
        <f>IF(L151=1,0,M151*Parameters!$B$10/60*Parameters!$B$11*10)</f>
        <v/>
      </c>
      <c r="Q151" s="27">
        <f>IF(L151=1,0,O151*M151*10)</f>
        <v/>
      </c>
      <c r="R151" s="27">
        <f>IF(L151=1,0,N151*10)</f>
        <v/>
      </c>
      <c r="S151" s="27">
        <f>P151+Q151+R151</f>
        <v/>
      </c>
      <c r="T151" s="22">
        <f>C151+S151</f>
        <v/>
      </c>
      <c r="U151" s="33">
        <f>AX151</f>
        <v/>
      </c>
      <c r="V151" s="22">
        <f>IF(U151="",0,IF(U151="transition",0,IF(U151="SW",AG151,IF(U151="AB",AH151,IF(U151="SC",AI151,IF(U151="Mag",AJ151,IF(U151="OR",AK151,IF(U151="HP",AL151,IF(U151="FP",AM151,0)))))))))</f>
        <v/>
      </c>
      <c r="W151" s="27">
        <f>IF(U151="OR",Upgrades!$F$10,IF(U151="HP",Upgrades!$F$11,IF(U151="transition",-Parameters!$B$18,0)))</f>
        <v/>
      </c>
      <c r="X151" s="22">
        <f>T151-V151</f>
        <v/>
      </c>
      <c r="Y151" s="30">
        <f>M151*Parameters!$B$10/60*Parameters!$B$11+O151*M151+N151</f>
        <v/>
      </c>
      <c r="Z151" s="34">
        <f>IF(U151="transition","→ Tier 2 (Stellar Neighborhood)",IF(U151="FP","First Photons — light begins, system quickens",IF(U151="HP","Heliopause acquired",IF(U151="OR","Orbital Resonance — passive multiplier active",IF(AND(AO151=1,L151=0,AN151&lt;&gt;1),"Cohesion ready (waiting on completionist upgrades)","")))))</f>
        <v/>
      </c>
      <c r="AA151" s="27">
        <f>(IF(E151=0,0,(Upgrades!$G$6+E151*Upgrades!$H$6)*POWER(Upgrades!$I$6,E151)))*(IF(Upgrades!$T$7="Solar Wind",POWER(Upgrades!$U$7,F151),1)*IF(Upgrades!$T$8="Solar Wind",POWER(Upgrades!$U$8,G151),1)*IF(Upgrades!$T$9="Solar Wind",POWER(Upgrades!$U$9,H151),1)*IF(Upgrades!$T$10="Solar Wind",POWER(Upgrades!$U$10,I151),1)*IF(Upgrades!$T$11="Solar Wind",POWER(Upgrades!$U$11,J151),1)*IF(Upgrades!$T$12="Solar Wind",POWER(Upgrades!$U$12,K151),1))*POWER(Upgrades!$P$6,E151)*POWER(Upgrades!$P$7,F151)*POWER(Upgrades!$P$8,G151)*POWER(Upgrades!$P$9,H151)*POWER(Upgrades!$P$10,I151)*POWER(Upgrades!$P$11,J151)*POWER(Upgrades!$P$12,K151)*60</f>
        <v/>
      </c>
      <c r="AB151" s="27">
        <f>(IF(F151=0,0,(Upgrades!$G$7+F151*Upgrades!$H$7)*POWER(Upgrades!$I$7,F151)))*(IF(Upgrades!$T$6="Asteroid Belt",POWER(Upgrades!$U$6,E151),1)*IF(Upgrades!$T$8="Asteroid Belt",POWER(Upgrades!$U$8,G151),1)*IF(Upgrades!$T$9="Asteroid Belt",POWER(Upgrades!$U$9,H151),1)*IF(Upgrades!$T$10="Asteroid Belt",POWER(Upgrades!$U$10,I151),1)*IF(Upgrades!$T$11="Asteroid Belt",POWER(Upgrades!$U$11,J151),1)*IF(Upgrades!$T$12="Asteroid Belt",POWER(Upgrades!$U$12,K151),1))*POWER(Upgrades!$P$6,E151)*POWER(Upgrades!$P$7,F151)*POWER(Upgrades!$P$8,G151)*POWER(Upgrades!$P$9,H151)*POWER(Upgrades!$P$10,I151)*POWER(Upgrades!$P$11,J151)*POWER(Upgrades!$P$12,K151)*60</f>
        <v/>
      </c>
      <c r="AC151" s="27">
        <f>(IF(G151=0,0,(Upgrades!$J$8+G151*Upgrades!$K$8)*POWER(Upgrades!$L$8,G151)))*(IF(Upgrades!$T$6="Stellar Coupling",POWER(Upgrades!$U$6,E151),1)*IF(Upgrades!$T$7="Stellar Coupling",POWER(Upgrades!$U$7,F151),1)*IF(Upgrades!$T$9="Stellar Coupling",POWER(Upgrades!$U$9,H151),1)*IF(Upgrades!$T$10="Stellar Coupling",POWER(Upgrades!$U$10,I151),1)*IF(Upgrades!$T$11="Stellar Coupling",POWER(Upgrades!$U$11,J151),1)*IF(Upgrades!$T$12="Stellar Coupling",POWER(Upgrades!$U$12,K151),1))*POWER(Upgrades!$Q$6,E151)*POWER(Upgrades!$Q$7,F151)*POWER(Upgrades!$Q$8,G151)*POWER(Upgrades!$Q$9,H151)*POWER(Upgrades!$Q$10,I151)*POWER(Upgrades!$Q$11,J151)*POWER(Upgrades!$Q$12,K151)*Parameters!$B$10*Parameters!$B$11</f>
        <v/>
      </c>
      <c r="AD151" s="27">
        <f>(IF(H151=0,0,(Upgrades!$G$9+H151*Upgrades!$H$9)*POWER(Upgrades!$I$9,H151)))*(IF(Upgrades!$T$6="Magnetosphere",POWER(Upgrades!$U$6,E151),1)*IF(Upgrades!$T$7="Magnetosphere",POWER(Upgrades!$U$7,F151),1)*IF(Upgrades!$T$8="Magnetosphere",POWER(Upgrades!$U$8,G151),1)*IF(Upgrades!$T$10="Magnetosphere",POWER(Upgrades!$U$10,I151),1)*IF(Upgrades!$T$11="Magnetosphere",POWER(Upgrades!$U$11,J151),1)*IF(Upgrades!$T$12="Magnetosphere",POWER(Upgrades!$U$12,K151),1))*POWER(Upgrades!$P$6,E151)*POWER(Upgrades!$P$7,F151)*POWER(Upgrades!$P$8,G151)*POWER(Upgrades!$P$9,H151)*POWER(Upgrades!$P$10,I151)*POWER(Upgrades!$P$11,J151)*POWER(Upgrades!$P$12,K151)*60</f>
        <v/>
      </c>
      <c r="AE151" s="27">
        <f>(IF(K151=0,0,(Upgrades!$G$12+K151*Upgrades!$H$12)*POWER(Upgrades!$I$12,K151)))*(IF(Upgrades!$T$6="First Photons",POWER(Upgrades!$U$6,E151),1)*IF(Upgrades!$T$7="First Photons",POWER(Upgrades!$U$7,F151),1)*IF(Upgrades!$T$8="First Photons",POWER(Upgrades!$U$8,G151),1)*IF(Upgrades!$T$9="First Photons",POWER(Upgrades!$U$9,H151),1)*IF(Upgrades!$T$10="First Photons",POWER(Upgrades!$U$10,I151),1)*IF(Upgrades!$T$11="First Photons",POWER(Upgrades!$U$11,J151),1))*POWER(Upgrades!$P$6,E151)*POWER(Upgrades!$P$7,F151)*POWER(Upgrades!$P$8,G151)*POWER(Upgrades!$P$9,H151)*POWER(Upgrades!$P$10,I151)*POWER(Upgrades!$P$11,J151)*POWER(Upgrades!$P$12,K151)*60</f>
        <v/>
      </c>
      <c r="AF151" s="27">
        <f>Parameters!$B$9*POWER(Upgrades!$Q$6,E151)*POWER(Upgrades!$Q$7,F151)*POWER(Upgrades!$Q$8,G151)*POWER(Upgrades!$Q$9,H151)*POWER(Upgrades!$Q$10,I151)*POWER(Upgrades!$Q$11,J151)*POWER(Upgrades!$Q$12,K151)*(Parameters!$B$10*Parameters!$B$11+O151*60)</f>
        <v/>
      </c>
      <c r="AG151" s="22">
        <f>IF(E151&gt;=Upgrades!$E$6,"",Upgrades!$C$6*POWER(Upgrades!$D$6,E151))</f>
        <v/>
      </c>
      <c r="AH151" s="22">
        <f>IF(F151&gt;=Upgrades!$E$7,"",Upgrades!$C$7*POWER(Upgrades!$D$7,F151))</f>
        <v/>
      </c>
      <c r="AI151" s="22">
        <f>IF(G151&gt;=Upgrades!$E$8,"",Upgrades!$C$8*POWER(Upgrades!$D$8,G151))</f>
        <v/>
      </c>
      <c r="AJ151" s="22">
        <f>IF(H151&gt;=Upgrades!$E$9,"",Upgrades!$C$9*POWER(Upgrades!$D$9,H151))</f>
        <v/>
      </c>
      <c r="AK151" s="22">
        <f>IF(I151&gt;=Upgrades!$E$10,"",Upgrades!$C$10*POWER(Upgrades!$D$10,I151))</f>
        <v/>
      </c>
      <c r="AL151" s="22">
        <f>IF(J151&gt;=Upgrades!$E$11,"",Upgrades!$C$11*POWER(Upgrades!$D$11,J151))</f>
        <v/>
      </c>
      <c r="AM151" s="22">
        <f>IF(K151&gt;=Upgrades!$E$12,"",Upgrades!$C$12*POWER(Upgrades!$D$12,K151))</f>
        <v/>
      </c>
      <c r="AN151" s="26">
        <f>IF(AND(D151&gt;=Parameters!$B$18,(H151&gt;=Upgrades!$E$9)*(K151&gt;=Upgrades!$E$12)=1,L151=0),1,"")</f>
        <v/>
      </c>
      <c r="AO151" s="26">
        <f>IF(AND(D151&gt;=Parameters!$B$18,L151=0),1,"")</f>
        <v/>
      </c>
      <c r="AP151" s="22">
        <f>MIN(IF(ISNUMBER(AK151),AK151,9E15),IF(ISNUMBER(AL151),AL151,9E15),IF(ISNUMBER(AM151),AM151,9E15))</f>
        <v/>
      </c>
      <c r="AQ151" s="22">
        <f>MIN(IF(ISNUMBER(AG151),AG151,9E15),IF(ISNUMBER(AH151),AH151,9E15),IF(ISNUMBER(AI151),AI151,9E15),IF(ISNUMBER(AJ151),AJ151,9E15))</f>
        <v/>
      </c>
      <c r="AR151" s="29">
        <f>IF(AW151&gt;Parameters!$B$21*(MAX(IF(AND(NOT(AND(AO151=1,AN151&lt;&gt;1)),ISNUMBER(AG151),AG151&lt;=T151),AS151,0),IF(AND(NOT(AND(AO151=1,AN151&lt;&gt;1)),ISNUMBER(AH151),AH151&lt;=T151),AT151,0),IF(AND(NOT(AND(AO151=1,AN151&lt;&gt;1)),ISNUMBER(AI151),AI151&lt;=T151),AU151,0),IF(AND(ISNUMBER(AJ151),AJ151&lt;=T151),AV151,0))),TRUE,FALSE)</f>
        <v/>
      </c>
      <c r="AS151" s="32">
        <f>IFERROR(Upgrades!$H$6*(POWER(Upgrades!$P$6,E151)*POWER(Upgrades!$P$7,F151)*POWER(Upgrades!$P$8,G151)*POWER(Upgrades!$P$9,H151)*POWER(Upgrades!$P$10,I151)*POWER(Upgrades!$P$11,J151)*POWER(Upgrades!$P$12,K151))*(IF(Upgrades!$T$7="Solar Wind",POWER(Upgrades!$U$7,F151),1)*IF(Upgrades!$T$8="Solar Wind",POWER(Upgrades!$U$8,G151),1)*IF(Upgrades!$T$9="Solar Wind",POWER(Upgrades!$U$9,H151),1)*IF(Upgrades!$T$10="Solar Wind",POWER(Upgrades!$U$10,I151),1)*IF(Upgrades!$T$11="Solar Wind",POWER(Upgrades!$U$11,J151),1)*IF(Upgrades!$T$12="Solar Wind",POWER(Upgrades!$U$12,K151),1))/AG151,0)</f>
        <v/>
      </c>
      <c r="AT151" s="32">
        <f>IFERROR(Upgrades!$H$7*(POWER(Upgrades!$P$6,E151)*POWER(Upgrades!$P$7,F151)*POWER(Upgrades!$P$8,G151)*POWER(Upgrades!$P$9,H151)*POWER(Upgrades!$P$10,I151)*POWER(Upgrades!$P$11,J151)*POWER(Upgrades!$P$12,K151))*(IF(Upgrades!$T$6="Asteroid Belt",POWER(Upgrades!$U$6,E151),1)*IF(Upgrades!$T$8="Asteroid Belt",POWER(Upgrades!$U$8,G151),1)*IF(Upgrades!$T$9="Asteroid Belt",POWER(Upgrades!$U$9,H151),1)*IF(Upgrades!$T$10="Asteroid Belt",POWER(Upgrades!$U$10,I151),1)*IF(Upgrades!$T$11="Asteroid Belt",POWER(Upgrades!$U$11,J151),1)*IF(Upgrades!$T$12="Asteroid Belt",POWER(Upgrades!$U$12,K151),1))/AH151,0)</f>
        <v/>
      </c>
      <c r="AU151" s="32">
        <f>IFERROR(Upgrades!$K$8*(POWER(Upgrades!$Q$6,E151)*POWER(Upgrades!$Q$7,F151)*POWER(Upgrades!$Q$8,G151)*POWER(Upgrades!$Q$9,H151)*POWER(Upgrades!$Q$10,I151)*POWER(Upgrades!$Q$11,J151)*POWER(Upgrades!$Q$12,K151))*(IF(Upgrades!$T$6="Stellar Coupling",POWER(Upgrades!$U$6,E151),1)*IF(Upgrades!$T$7="Stellar Coupling",POWER(Upgrades!$U$7,F151),1)*IF(Upgrades!$T$9="Stellar Coupling",POWER(Upgrades!$U$9,H151),1)*IF(Upgrades!$T$10="Stellar Coupling",POWER(Upgrades!$U$10,I151),1)*IF(Upgrades!$T$11="Stellar Coupling",POWER(Upgrades!$U$11,J151),1)*IF(Upgrades!$T$12="Stellar Coupling",POWER(Upgrades!$U$12,K151),1))*Parameters!$B$10*Parameters!$B$11/60/AI151,0)</f>
        <v/>
      </c>
      <c r="AV151" s="32">
        <f>IFERROR(Upgrades!$H$9*(POWER(Upgrades!$P$6,E151)*POWER(Upgrades!$P$7,F151)*POWER(Upgrades!$P$8,G151)*POWER(Upgrades!$P$9,H151)*POWER(Upgrades!$P$10,I151)*POWER(Upgrades!$P$11,J151)*POWER(Upgrades!$P$12,K151))*(IF(Upgrades!$T$6="Magnetosphere",POWER(Upgrades!$U$6,E151),1)*IF(Upgrades!$T$7="Magnetosphere",POWER(Upgrades!$U$7,F151),1)*IF(Upgrades!$T$8="Magnetosphere",POWER(Upgrades!$U$8,G151),1)*IF(Upgrades!$T$10="Magnetosphere",POWER(Upgrades!$U$10,I151),1)*IF(Upgrades!$T$11="Magnetosphere",POWER(Upgrades!$U$11,J151),1)*IF(Upgrades!$T$12="Magnetosphere",POWER(Upgrades!$U$12,K151),1))/AJ151,0)</f>
        <v/>
      </c>
      <c r="AW151" s="32">
        <f>MAX(IF(I151&gt;0,0,IFERROR(0.25*N151/Upgrades!$C$10,0)),IF(J151&gt;0,0,IFERROR(0.5*((IF(G151=0,0,(Upgrades!$J$8+G151*Upgrades!$K$8)*POWER(Upgrades!$L$8,G151)))*(IF(Upgrades!$T$6="Stellar Coupling",POWER(Upgrades!$U$6,E151),1)*IF(Upgrades!$T$7="Stellar Coupling",POWER(Upgrades!$U$7,F151),1)*IF(Upgrades!$T$9="Stellar Coupling",POWER(Upgrades!$U$9,H151),1)*IF(Upgrades!$T$10="Stellar Coupling",POWER(Upgrades!$U$10,I151),1)*IF(Upgrades!$T$11="Stellar Coupling",POWER(Upgrades!$U$11,J151),1)*IF(Upgrades!$T$12="Stellar Coupling",POWER(Upgrades!$U$12,K151),1))*(POWER(Upgrades!$Q$6,E151)*POWER(Upgrades!$Q$7,F151)*POWER(Upgrades!$Q$8,G151)*POWER(Upgrades!$Q$9,H151)*POWER(Upgrades!$Q$10,I151)*POWER(Upgrades!$Q$11,J151)*POWER(Upgrades!$Q$12,K151))*Parameters!$B$10*Parameters!$B$11/60)/Upgrades!$C$11,0)),IF(K151&gt;0,0,IFERROR((1.0*(POWER(Upgrades!$P$6,E151)*POWER(Upgrades!$P$7,F151)*POWER(Upgrades!$P$8,G151)*POWER(Upgrades!$P$9,H151)*POWER(Upgrades!$P$10,I151)*POWER(Upgrades!$P$11,J151)*POWER(Upgrades!$P$12,K151))+0.20*M151*Parameters!$B$10*Parameters!$B$11/60)/Upgrades!$C$12,0)),IF(AND(ISNUMBER(AG151),AG151&gt;T151),AS151,0),IF(AND(ISNUMBER(AH151),AH151&gt;T151),AT151,0),IF(AND(ISNUMBER(AI151),AI151&gt;T151),AU151,0),IF(AND(ISNUMBER(AJ151),AJ151&gt;T151),AV151,0))</f>
        <v/>
      </c>
      <c r="AX151" s="29">
        <f>IF(AN151=1,"transition",IF(MIN(IF(AND(I151=0,ISNUMBER(AK151),AK151&lt;=T151),AK151,9E15),IF(AND(J151=0,ISNUMBER(AL151),AL151&lt;=T151),AL151,9E15),IF(AND(K151=0,ISNUMBER(AM151),AM151&lt;=T151),AM151,9E15))&lt;9E15,IF(AND(AND(I151=0,ISNUMBER(AK151),AK151&lt;=T151),AK151=MIN(IF(AND(I151=0,ISNUMBER(AK151),AK151&lt;=T151),AK151,9E15),IF(AND(J151=0,ISNUMBER(AL151),AL151&lt;=T151),AL151,9E15),IF(AND(K151=0,ISNUMBER(AM151),AM151&lt;=T151),AM151,9E15))),"OR",IF(AND(AND(J151=0,ISNUMBER(AL151),AL151&lt;=T151),AL151=MIN(IF(AND(I151=0,ISNUMBER(AK151),AK151&lt;=T151),AK151,9E15),IF(AND(J151=0,ISNUMBER(AL151),AL151&lt;=T151),AL151,9E15),IF(AND(K151=0,ISNUMBER(AM151),AM151&lt;=T151),AM151,9E15))),"HP","FP")),IF(AR151=TRUE,"",IF(MAX(IF(AND(NOT(AND(AO151=1,AN151&lt;&gt;1)),ISNUMBER(AG151),AG151&lt;=T151),AS151,0),IF(AND(NOT(AND(AO151=1,AN151&lt;&gt;1)),ISNUMBER(AH151),AH151&lt;=T151),AT151,0),IF(AND(NOT(AND(AO151=1,AN151&lt;&gt;1)),ISNUMBER(AI151),AI151&lt;=T151),AU151,0),IF(AND(ISNUMBER(AJ151),AJ151&lt;=T151),AV151,0))&lt;=0,"",IF(AND(IF(AND(NOT(AND(AO151=1,AN151&lt;&gt;1)),ISNUMBER(AG151),AG151&lt;=T151),AS151,0)&gt;0,IF(AND(NOT(AND(AO151=1,AN151&lt;&gt;1)),ISNUMBER(AG151),AG151&lt;=T151),AS151,0)=MAX(IF(AND(NOT(AND(AO151=1,AN151&lt;&gt;1)),ISNUMBER(AG151),AG151&lt;=T151),AS151,0),IF(AND(NOT(AND(AO151=1,AN151&lt;&gt;1)),ISNUMBER(AH151),AH151&lt;=T151),AT151,0),IF(AND(NOT(AND(AO151=1,AN151&lt;&gt;1)),ISNUMBER(AI151),AI151&lt;=T151),AU151,0),IF(AND(ISNUMBER(AJ151),AJ151&lt;=T151),AV151,0))),"SW",IF(AND(IF(AND(NOT(AND(AO151=1,AN151&lt;&gt;1)),ISNUMBER(AH151),AH151&lt;=T151),AT151,0)&gt;0,IF(AND(NOT(AND(AO151=1,AN151&lt;&gt;1)),ISNUMBER(AH151),AH151&lt;=T151),AT151,0)=MAX(IF(AND(NOT(AND(AO151=1,AN151&lt;&gt;1)),ISNUMBER(AG151),AG151&lt;=T151),AS151,0),IF(AND(NOT(AND(AO151=1,AN151&lt;&gt;1)),ISNUMBER(AH151),AH151&lt;=T151),AT151,0),IF(AND(NOT(AND(AO151=1,AN151&lt;&gt;1)),ISNUMBER(AI151),AI151&lt;=T151),AU151,0),IF(AND(ISNUMBER(AJ151),AJ151&lt;=T151),AV151,0))),"AB",IF(AND(IF(AND(NOT(AND(AO151=1,AN151&lt;&gt;1)),ISNUMBER(AI151),AI151&lt;=T151),AU151,0)&gt;0,IF(AND(NOT(AND(AO151=1,AN151&lt;&gt;1)),ISNUMBER(AI151),AI151&lt;=T151),AU151,0)=MAX(IF(AND(NOT(AND(AO151=1,AN151&lt;&gt;1)),ISNUMBER(AG151),AG151&lt;=T151),AS151,0),IF(AND(NOT(AND(AO151=1,AN151&lt;&gt;1)),ISNUMBER(AH151),AH151&lt;=T151),AT151,0),IF(AND(NOT(AND(AO151=1,AN151&lt;&gt;1)),ISNUMBER(AI151),AI151&lt;=T151),AU151,0),IF(AND(ISNUMBER(AJ151),AJ151&lt;=T151),AV151,0))),"SC","Mag")))))))</f>
        <v/>
      </c>
    </row>
    <row r="152">
      <c r="A152" s="26" t="n">
        <v>147</v>
      </c>
      <c r="B152" s="27">
        <f>A152*10/60</f>
        <v/>
      </c>
      <c r="C152" s="22">
        <f>X151</f>
        <v/>
      </c>
      <c r="D152" s="27">
        <f>D151+W151</f>
        <v/>
      </c>
      <c r="E152" s="26">
        <f>E151+IF(U151="SW",1,0)</f>
        <v/>
      </c>
      <c r="F152" s="26">
        <f>F151+IF(U151="AB",1,0)</f>
        <v/>
      </c>
      <c r="G152" s="26">
        <f>G151+IF(U151="SC",1,0)</f>
        <v/>
      </c>
      <c r="H152" s="26">
        <f>H151+IF(U151="Mag",1,0)</f>
        <v/>
      </c>
      <c r="I152" s="26">
        <f>MAX(I151,IF(U151="OR",1,0))</f>
        <v/>
      </c>
      <c r="J152" s="26">
        <f>MAX(J151,IF(U151="HP",1,0))</f>
        <v/>
      </c>
      <c r="K152" s="26">
        <f>MAX(K151,IF(U151="FP",1,0))</f>
        <v/>
      </c>
      <c r="L152" s="26">
        <f>MAX(L151,IF(U151="transition",1,0))</f>
        <v/>
      </c>
      <c r="M152" s="28">
        <f>(Parameters!$B$9+(IF(E152=0,0,(Upgrades!$J$6+E152*Upgrades!$K$6)*POWER(Upgrades!$L$6,E152)))*(IF(Upgrades!$T$7="Solar Wind",POWER(Upgrades!$U$7,F152),1)*IF(Upgrades!$T$8="Solar Wind",POWER(Upgrades!$U$8,G152),1)*IF(Upgrades!$T$9="Solar Wind",POWER(Upgrades!$U$9,H152),1)*IF(Upgrades!$T$10="Solar Wind",POWER(Upgrades!$U$10,I152),1)*IF(Upgrades!$T$11="Solar Wind",POWER(Upgrades!$U$11,J152),1)*IF(Upgrades!$T$12="Solar Wind",POWER(Upgrades!$U$12,K152),1))+(IF(F152=0,0,(Upgrades!$J$7+F152*Upgrades!$K$7)*POWER(Upgrades!$L$7,F152)))*(IF(Upgrades!$T$6="Asteroid Belt",POWER(Upgrades!$U$6,E152),1)*IF(Upgrades!$T$8="Asteroid Belt",POWER(Upgrades!$U$8,G152),1)*IF(Upgrades!$T$9="Asteroid Belt",POWER(Upgrades!$U$9,H152),1)*IF(Upgrades!$T$10="Asteroid Belt",POWER(Upgrades!$U$10,I152),1)*IF(Upgrades!$T$11="Asteroid Belt",POWER(Upgrades!$U$11,J152),1)*IF(Upgrades!$T$12="Asteroid Belt",POWER(Upgrades!$U$12,K152),1))+(IF(G152=0,0,(Upgrades!$J$8+G152*Upgrades!$K$8)*POWER(Upgrades!$L$8,G152)))*(IF(Upgrades!$T$6="Stellar Coupling",POWER(Upgrades!$U$6,E152),1)*IF(Upgrades!$T$7="Stellar Coupling",POWER(Upgrades!$U$7,F152),1)*IF(Upgrades!$T$9="Stellar Coupling",POWER(Upgrades!$U$9,H152),1)*IF(Upgrades!$T$10="Stellar Coupling",POWER(Upgrades!$U$10,I152),1)*IF(Upgrades!$T$11="Stellar Coupling",POWER(Upgrades!$U$11,J152),1)*IF(Upgrades!$T$12="Stellar Coupling",POWER(Upgrades!$U$12,K152),1))+(IF(H152=0,0,(Upgrades!$J$9+H152*Upgrades!$K$9)*POWER(Upgrades!$L$9,H152)))*(IF(Upgrades!$T$6="Magnetosphere",POWER(Upgrades!$U$6,E152),1)*IF(Upgrades!$T$7="Magnetosphere",POWER(Upgrades!$U$7,F152),1)*IF(Upgrades!$T$8="Magnetosphere",POWER(Upgrades!$U$8,G152),1)*IF(Upgrades!$T$10="Magnetosphere",POWER(Upgrades!$U$10,I152),1)*IF(Upgrades!$T$11="Magnetosphere",POWER(Upgrades!$U$11,J152),1)*IF(Upgrades!$T$12="Magnetosphere",POWER(Upgrades!$U$12,K152),1))+(IF(I152=0,0,(Upgrades!$J$10+I152*Upgrades!$K$10)*POWER(Upgrades!$L$10,I152)))*(IF(Upgrades!$T$6="Orbital Resonance",POWER(Upgrades!$U$6,E152),1)*IF(Upgrades!$T$7="Orbital Resonance",POWER(Upgrades!$U$7,F152),1)*IF(Upgrades!$T$8="Orbital Resonance",POWER(Upgrades!$U$8,G152),1)*IF(Upgrades!$T$9="Orbital Resonance",POWER(Upgrades!$U$9,H152),1)*IF(Upgrades!$T$11="Orbital Resonance",POWER(Upgrades!$U$11,J152),1)*IF(Upgrades!$T$12="Orbital Resonance",POWER(Upgrades!$U$12,K152),1))+(IF(J152=0,0,(Upgrades!$J$11+J152*Upgrades!$K$11)*POWER(Upgrades!$L$11,J152)))*(IF(Upgrades!$T$6="Heliopause",POWER(Upgrades!$U$6,E152),1)*IF(Upgrades!$T$7="Heliopause",POWER(Upgrades!$U$7,F152),1)*IF(Upgrades!$T$8="Heliopause",POWER(Upgrades!$U$8,G152),1)*IF(Upgrades!$T$9="Heliopause",POWER(Upgrades!$U$9,H152),1)*IF(Upgrades!$T$10="Heliopause",POWER(Upgrades!$U$10,I152),1)*IF(Upgrades!$T$12="Heliopause",POWER(Upgrades!$U$12,K152),1))+(IF(K152=0,0,(Upgrades!$J$12+K152*Upgrades!$K$12)*POWER(Upgrades!$L$12,K152)))*(IF(Upgrades!$T$6="First Photons",POWER(Upgrades!$U$6,E152),1)*IF(Upgrades!$T$7="First Photons",POWER(Upgrades!$U$7,F152),1)*IF(Upgrades!$T$8="First Photons",POWER(Upgrades!$U$8,G152),1)*IF(Upgrades!$T$9="First Photons",POWER(Upgrades!$U$9,H152),1)*IF(Upgrades!$T$10="First Photons",POWER(Upgrades!$U$10,I152),1)*IF(Upgrades!$T$11="First Photons",POWER(Upgrades!$U$11,J152),1)))*POWER(Upgrades!$Q$6,E152)*POWER(Upgrades!$Q$7,F152)*POWER(Upgrades!$Q$8,G152)*POWER(Upgrades!$Q$9,H152)*POWER(Upgrades!$Q$10,I152)*POWER(Upgrades!$Q$11,J152)*POWER(Upgrades!$Q$12,K152)</f>
        <v/>
      </c>
      <c r="N152" s="28">
        <f>((IF(E152=0,0,(Upgrades!$G$6+E152*Upgrades!$H$6)*POWER(Upgrades!$I$6,E152)))*(IF(Upgrades!$T$7="Solar Wind",POWER(Upgrades!$U$7,F152),1)*IF(Upgrades!$T$8="Solar Wind",POWER(Upgrades!$U$8,G152),1)*IF(Upgrades!$T$9="Solar Wind",POWER(Upgrades!$U$9,H152),1)*IF(Upgrades!$T$10="Solar Wind",POWER(Upgrades!$U$10,I152),1)*IF(Upgrades!$T$11="Solar Wind",POWER(Upgrades!$U$11,J152),1)*IF(Upgrades!$T$12="Solar Wind",POWER(Upgrades!$U$12,K152),1))+(IF(F152=0,0,(Upgrades!$G$7+F152*Upgrades!$H$7)*POWER(Upgrades!$I$7,F152)))*(IF(Upgrades!$T$6="Asteroid Belt",POWER(Upgrades!$U$6,E152),1)*IF(Upgrades!$T$8="Asteroid Belt",POWER(Upgrades!$U$8,G152),1)*IF(Upgrades!$T$9="Asteroid Belt",POWER(Upgrades!$U$9,H152),1)*IF(Upgrades!$T$10="Asteroid Belt",POWER(Upgrades!$U$10,I152),1)*IF(Upgrades!$T$11="Asteroid Belt",POWER(Upgrades!$U$11,J152),1)*IF(Upgrades!$T$12="Asteroid Belt",POWER(Upgrades!$U$12,K152),1))+(IF(G152=0,0,(Upgrades!$G$8+G152*Upgrades!$H$8)*POWER(Upgrades!$I$8,G152)))*(IF(Upgrades!$T$6="Stellar Coupling",POWER(Upgrades!$U$6,E152),1)*IF(Upgrades!$T$7="Stellar Coupling",POWER(Upgrades!$U$7,F152),1)*IF(Upgrades!$T$9="Stellar Coupling",POWER(Upgrades!$U$9,H152),1)*IF(Upgrades!$T$10="Stellar Coupling",POWER(Upgrades!$U$10,I152),1)*IF(Upgrades!$T$11="Stellar Coupling",POWER(Upgrades!$U$11,J152),1)*IF(Upgrades!$T$12="Stellar Coupling",POWER(Upgrades!$U$12,K152),1))+(IF(H152=0,0,(Upgrades!$G$9+H152*Upgrades!$H$9)*POWER(Upgrades!$I$9,H152)))*(IF(Upgrades!$T$6="Magnetosphere",POWER(Upgrades!$U$6,E152),1)*IF(Upgrades!$T$7="Magnetosphere",POWER(Upgrades!$U$7,F152),1)*IF(Upgrades!$T$8="Magnetosphere",POWER(Upgrades!$U$8,G152),1)*IF(Upgrades!$T$10="Magnetosphere",POWER(Upgrades!$U$10,I152),1)*IF(Upgrades!$T$11="Magnetosphere",POWER(Upgrades!$U$11,J152),1)*IF(Upgrades!$T$12="Magnetosphere",POWER(Upgrades!$U$12,K152),1))+(IF(I152=0,0,(Upgrades!$G$10+I152*Upgrades!$H$10)*POWER(Upgrades!$I$10,I152)))*(IF(Upgrades!$T$6="Orbital Resonance",POWER(Upgrades!$U$6,E152),1)*IF(Upgrades!$T$7="Orbital Resonance",POWER(Upgrades!$U$7,F152),1)*IF(Upgrades!$T$8="Orbital Resonance",POWER(Upgrades!$U$8,G152),1)*IF(Upgrades!$T$9="Orbital Resonance",POWER(Upgrades!$U$9,H152),1)*IF(Upgrades!$T$11="Orbital Resonance",POWER(Upgrades!$U$11,J152),1)*IF(Upgrades!$T$12="Orbital Resonance",POWER(Upgrades!$U$12,K152),1))+(IF(J152=0,0,(Upgrades!$G$11+J152*Upgrades!$H$11)*POWER(Upgrades!$I$11,J152)))*(IF(Upgrades!$T$6="Heliopause",POWER(Upgrades!$U$6,E152),1)*IF(Upgrades!$T$7="Heliopause",POWER(Upgrades!$U$7,F152),1)*IF(Upgrades!$T$8="Heliopause",POWER(Upgrades!$U$8,G152),1)*IF(Upgrades!$T$9="Heliopause",POWER(Upgrades!$U$9,H152),1)*IF(Upgrades!$T$10="Heliopause",POWER(Upgrades!$U$10,I152),1)*IF(Upgrades!$T$12="Heliopause",POWER(Upgrades!$U$12,K152),1))+(IF(K152=0,0,(Upgrades!$G$12+K152*Upgrades!$H$12)*POWER(Upgrades!$I$12,K152)))*(IF(Upgrades!$T$6="First Photons",POWER(Upgrades!$U$6,E152),1)*IF(Upgrades!$T$7="First Photons",POWER(Upgrades!$U$7,F152),1)*IF(Upgrades!$T$8="First Photons",POWER(Upgrades!$U$8,G152),1)*IF(Upgrades!$T$9="First Photons",POWER(Upgrades!$U$9,H152),1)*IF(Upgrades!$T$10="First Photons",POWER(Upgrades!$U$10,I152),1)*IF(Upgrades!$T$11="First Photons",POWER(Upgrades!$U$11,J152),1)))*POWER(Upgrades!$P$6,E152)*POWER(Upgrades!$P$7,F152)*POWER(Upgrades!$P$8,G152)*POWER(Upgrades!$P$9,H152)*POWER(Upgrades!$P$10,I152)*POWER(Upgrades!$P$11,J152)*POWER(Upgrades!$P$12,K152)</f>
        <v/>
      </c>
      <c r="O152" s="28">
        <f>((IF(E152=0,0,(Upgrades!$M$6+E152*Upgrades!$N$6)*POWER(Upgrades!$O$6,E152)))*(IF(Upgrades!$T$7="Solar Wind",POWER(Upgrades!$U$7,F152),1)*IF(Upgrades!$T$8="Solar Wind",POWER(Upgrades!$U$8,G152),1)*IF(Upgrades!$T$9="Solar Wind",POWER(Upgrades!$U$9,H152),1)*IF(Upgrades!$T$10="Solar Wind",POWER(Upgrades!$U$10,I152),1)*IF(Upgrades!$T$11="Solar Wind",POWER(Upgrades!$U$11,J152),1)*IF(Upgrades!$T$12="Solar Wind",POWER(Upgrades!$U$12,K152),1))+(IF(F152=0,0,(Upgrades!$M$7+F152*Upgrades!$N$7)*POWER(Upgrades!$O$7,F152)))*(IF(Upgrades!$T$6="Asteroid Belt",POWER(Upgrades!$U$6,E152),1)*IF(Upgrades!$T$8="Asteroid Belt",POWER(Upgrades!$U$8,G152),1)*IF(Upgrades!$T$9="Asteroid Belt",POWER(Upgrades!$U$9,H152),1)*IF(Upgrades!$T$10="Asteroid Belt",POWER(Upgrades!$U$10,I152),1)*IF(Upgrades!$T$11="Asteroid Belt",POWER(Upgrades!$U$11,J152),1)*IF(Upgrades!$T$12="Asteroid Belt",POWER(Upgrades!$U$12,K152),1))+(IF(G152=0,0,(Upgrades!$M$8+G152*Upgrades!$N$8)*POWER(Upgrades!$O$8,G152)))*(IF(Upgrades!$T$6="Stellar Coupling",POWER(Upgrades!$U$6,E152),1)*IF(Upgrades!$T$7="Stellar Coupling",POWER(Upgrades!$U$7,F152),1)*IF(Upgrades!$T$9="Stellar Coupling",POWER(Upgrades!$U$9,H152),1)*IF(Upgrades!$T$10="Stellar Coupling",POWER(Upgrades!$U$10,I152),1)*IF(Upgrades!$T$11="Stellar Coupling",POWER(Upgrades!$U$11,J152),1)*IF(Upgrades!$T$12="Stellar Coupling",POWER(Upgrades!$U$12,K152),1))+(IF(H152=0,0,(Upgrades!$M$9+H152*Upgrades!$N$9)*POWER(Upgrades!$O$9,H152)))*(IF(Upgrades!$T$6="Magnetosphere",POWER(Upgrades!$U$6,E152),1)*IF(Upgrades!$T$7="Magnetosphere",POWER(Upgrades!$U$7,F152),1)*IF(Upgrades!$T$8="Magnetosphere",POWER(Upgrades!$U$8,G152),1)*IF(Upgrades!$T$10="Magnetosphere",POWER(Upgrades!$U$10,I152),1)*IF(Upgrades!$T$11="Magnetosphere",POWER(Upgrades!$U$11,J152),1)*IF(Upgrades!$T$12="Magnetosphere",POWER(Upgrades!$U$12,K152),1))+(IF(I152=0,0,(Upgrades!$M$10+I152*Upgrades!$N$10)*POWER(Upgrades!$O$10,I152)))*(IF(Upgrades!$T$6="Orbital Resonance",POWER(Upgrades!$U$6,E152),1)*IF(Upgrades!$T$7="Orbital Resonance",POWER(Upgrades!$U$7,F152),1)*IF(Upgrades!$T$8="Orbital Resonance",POWER(Upgrades!$U$8,G152),1)*IF(Upgrades!$T$9="Orbital Resonance",POWER(Upgrades!$U$9,H152),1)*IF(Upgrades!$T$11="Orbital Resonance",POWER(Upgrades!$U$11,J152),1)*IF(Upgrades!$T$12="Orbital Resonance",POWER(Upgrades!$U$12,K152),1))+(IF(J152=0,0,(Upgrades!$M$11+J152*Upgrades!$N$11)*POWER(Upgrades!$O$11,J152)))*(IF(Upgrades!$T$6="Heliopause",POWER(Upgrades!$U$6,E152),1)*IF(Upgrades!$T$7="Heliopause",POWER(Upgrades!$U$7,F152),1)*IF(Upgrades!$T$8="Heliopause",POWER(Upgrades!$U$8,G152),1)*IF(Upgrades!$T$9="Heliopause",POWER(Upgrades!$U$9,H152),1)*IF(Upgrades!$T$10="Heliopause",POWER(Upgrades!$U$10,I152),1)*IF(Upgrades!$T$12="Heliopause",POWER(Upgrades!$U$12,K152),1))+(IF(K152=0,0,(Upgrades!$M$12+K152*Upgrades!$N$12)*POWER(Upgrades!$O$12,K152)))*(IF(Upgrades!$T$6="First Photons",POWER(Upgrades!$U$6,E152),1)*IF(Upgrades!$T$7="First Photons",POWER(Upgrades!$U$7,F152),1)*IF(Upgrades!$T$8="First Photons",POWER(Upgrades!$U$8,G152),1)*IF(Upgrades!$T$9="First Photons",POWER(Upgrades!$U$9,H152),1)*IF(Upgrades!$T$10="First Photons",POWER(Upgrades!$U$10,I152),1)*IF(Upgrades!$T$11="First Photons",POWER(Upgrades!$U$11,J152),1)))*POWER(Upgrades!$R$6,E152)*POWER(Upgrades!$R$7,F152)*POWER(Upgrades!$R$8,G152)*POWER(Upgrades!$R$9,H152)*POWER(Upgrades!$R$10,I152)*POWER(Upgrades!$R$11,J152)*POWER(Upgrades!$R$12,K152)</f>
        <v/>
      </c>
      <c r="P152" s="27">
        <f>IF(L152=1,0,M152*Parameters!$B$10/60*Parameters!$B$11*10)</f>
        <v/>
      </c>
      <c r="Q152" s="27">
        <f>IF(L152=1,0,O152*M152*10)</f>
        <v/>
      </c>
      <c r="R152" s="27">
        <f>IF(L152=1,0,N152*10)</f>
        <v/>
      </c>
      <c r="S152" s="27">
        <f>P152+Q152+R152</f>
        <v/>
      </c>
      <c r="T152" s="22">
        <f>C152+S152</f>
        <v/>
      </c>
      <c r="U152" s="33">
        <f>AX152</f>
        <v/>
      </c>
      <c r="V152" s="22">
        <f>IF(U152="",0,IF(U152="transition",0,IF(U152="SW",AG152,IF(U152="AB",AH152,IF(U152="SC",AI152,IF(U152="Mag",AJ152,IF(U152="OR",AK152,IF(U152="HP",AL152,IF(U152="FP",AM152,0)))))))))</f>
        <v/>
      </c>
      <c r="W152" s="27">
        <f>IF(U152="OR",Upgrades!$F$10,IF(U152="HP",Upgrades!$F$11,IF(U152="transition",-Parameters!$B$18,0)))</f>
        <v/>
      </c>
      <c r="X152" s="22">
        <f>T152-V152</f>
        <v/>
      </c>
      <c r="Y152" s="30">
        <f>M152*Parameters!$B$10/60*Parameters!$B$11+O152*M152+N152</f>
        <v/>
      </c>
      <c r="Z152" s="34">
        <f>IF(U152="transition","→ Tier 2 (Stellar Neighborhood)",IF(U152="FP","First Photons — light begins, system quickens",IF(U152="HP","Heliopause acquired",IF(U152="OR","Orbital Resonance — passive multiplier active",IF(AND(AO152=1,L152=0,AN152&lt;&gt;1),"Cohesion ready (waiting on completionist upgrades)","")))))</f>
        <v/>
      </c>
      <c r="AA152" s="27">
        <f>(IF(E152=0,0,(Upgrades!$G$6+E152*Upgrades!$H$6)*POWER(Upgrades!$I$6,E152)))*(IF(Upgrades!$T$7="Solar Wind",POWER(Upgrades!$U$7,F152),1)*IF(Upgrades!$T$8="Solar Wind",POWER(Upgrades!$U$8,G152),1)*IF(Upgrades!$T$9="Solar Wind",POWER(Upgrades!$U$9,H152),1)*IF(Upgrades!$T$10="Solar Wind",POWER(Upgrades!$U$10,I152),1)*IF(Upgrades!$T$11="Solar Wind",POWER(Upgrades!$U$11,J152),1)*IF(Upgrades!$T$12="Solar Wind",POWER(Upgrades!$U$12,K152),1))*POWER(Upgrades!$P$6,E152)*POWER(Upgrades!$P$7,F152)*POWER(Upgrades!$P$8,G152)*POWER(Upgrades!$P$9,H152)*POWER(Upgrades!$P$10,I152)*POWER(Upgrades!$P$11,J152)*POWER(Upgrades!$P$12,K152)*60</f>
        <v/>
      </c>
      <c r="AB152" s="27">
        <f>(IF(F152=0,0,(Upgrades!$G$7+F152*Upgrades!$H$7)*POWER(Upgrades!$I$7,F152)))*(IF(Upgrades!$T$6="Asteroid Belt",POWER(Upgrades!$U$6,E152),1)*IF(Upgrades!$T$8="Asteroid Belt",POWER(Upgrades!$U$8,G152),1)*IF(Upgrades!$T$9="Asteroid Belt",POWER(Upgrades!$U$9,H152),1)*IF(Upgrades!$T$10="Asteroid Belt",POWER(Upgrades!$U$10,I152),1)*IF(Upgrades!$T$11="Asteroid Belt",POWER(Upgrades!$U$11,J152),1)*IF(Upgrades!$T$12="Asteroid Belt",POWER(Upgrades!$U$12,K152),1))*POWER(Upgrades!$P$6,E152)*POWER(Upgrades!$P$7,F152)*POWER(Upgrades!$P$8,G152)*POWER(Upgrades!$P$9,H152)*POWER(Upgrades!$P$10,I152)*POWER(Upgrades!$P$11,J152)*POWER(Upgrades!$P$12,K152)*60</f>
        <v/>
      </c>
      <c r="AC152" s="27">
        <f>(IF(G152=0,0,(Upgrades!$J$8+G152*Upgrades!$K$8)*POWER(Upgrades!$L$8,G152)))*(IF(Upgrades!$T$6="Stellar Coupling",POWER(Upgrades!$U$6,E152),1)*IF(Upgrades!$T$7="Stellar Coupling",POWER(Upgrades!$U$7,F152),1)*IF(Upgrades!$T$9="Stellar Coupling",POWER(Upgrades!$U$9,H152),1)*IF(Upgrades!$T$10="Stellar Coupling",POWER(Upgrades!$U$10,I152),1)*IF(Upgrades!$T$11="Stellar Coupling",POWER(Upgrades!$U$11,J152),1)*IF(Upgrades!$T$12="Stellar Coupling",POWER(Upgrades!$U$12,K152),1))*POWER(Upgrades!$Q$6,E152)*POWER(Upgrades!$Q$7,F152)*POWER(Upgrades!$Q$8,G152)*POWER(Upgrades!$Q$9,H152)*POWER(Upgrades!$Q$10,I152)*POWER(Upgrades!$Q$11,J152)*POWER(Upgrades!$Q$12,K152)*Parameters!$B$10*Parameters!$B$11</f>
        <v/>
      </c>
      <c r="AD152" s="27">
        <f>(IF(H152=0,0,(Upgrades!$G$9+H152*Upgrades!$H$9)*POWER(Upgrades!$I$9,H152)))*(IF(Upgrades!$T$6="Magnetosphere",POWER(Upgrades!$U$6,E152),1)*IF(Upgrades!$T$7="Magnetosphere",POWER(Upgrades!$U$7,F152),1)*IF(Upgrades!$T$8="Magnetosphere",POWER(Upgrades!$U$8,G152),1)*IF(Upgrades!$T$10="Magnetosphere",POWER(Upgrades!$U$10,I152),1)*IF(Upgrades!$T$11="Magnetosphere",POWER(Upgrades!$U$11,J152),1)*IF(Upgrades!$T$12="Magnetosphere",POWER(Upgrades!$U$12,K152),1))*POWER(Upgrades!$P$6,E152)*POWER(Upgrades!$P$7,F152)*POWER(Upgrades!$P$8,G152)*POWER(Upgrades!$P$9,H152)*POWER(Upgrades!$P$10,I152)*POWER(Upgrades!$P$11,J152)*POWER(Upgrades!$P$12,K152)*60</f>
        <v/>
      </c>
      <c r="AE152" s="27">
        <f>(IF(K152=0,0,(Upgrades!$G$12+K152*Upgrades!$H$12)*POWER(Upgrades!$I$12,K152)))*(IF(Upgrades!$T$6="First Photons",POWER(Upgrades!$U$6,E152),1)*IF(Upgrades!$T$7="First Photons",POWER(Upgrades!$U$7,F152),1)*IF(Upgrades!$T$8="First Photons",POWER(Upgrades!$U$8,G152),1)*IF(Upgrades!$T$9="First Photons",POWER(Upgrades!$U$9,H152),1)*IF(Upgrades!$T$10="First Photons",POWER(Upgrades!$U$10,I152),1)*IF(Upgrades!$T$11="First Photons",POWER(Upgrades!$U$11,J152),1))*POWER(Upgrades!$P$6,E152)*POWER(Upgrades!$P$7,F152)*POWER(Upgrades!$P$8,G152)*POWER(Upgrades!$P$9,H152)*POWER(Upgrades!$P$10,I152)*POWER(Upgrades!$P$11,J152)*POWER(Upgrades!$P$12,K152)*60</f>
        <v/>
      </c>
      <c r="AF152" s="27">
        <f>Parameters!$B$9*POWER(Upgrades!$Q$6,E152)*POWER(Upgrades!$Q$7,F152)*POWER(Upgrades!$Q$8,G152)*POWER(Upgrades!$Q$9,H152)*POWER(Upgrades!$Q$10,I152)*POWER(Upgrades!$Q$11,J152)*POWER(Upgrades!$Q$12,K152)*(Parameters!$B$10*Parameters!$B$11+O152*60)</f>
        <v/>
      </c>
      <c r="AG152" s="22">
        <f>IF(E152&gt;=Upgrades!$E$6,"",Upgrades!$C$6*POWER(Upgrades!$D$6,E152))</f>
        <v/>
      </c>
      <c r="AH152" s="22">
        <f>IF(F152&gt;=Upgrades!$E$7,"",Upgrades!$C$7*POWER(Upgrades!$D$7,F152))</f>
        <v/>
      </c>
      <c r="AI152" s="22">
        <f>IF(G152&gt;=Upgrades!$E$8,"",Upgrades!$C$8*POWER(Upgrades!$D$8,G152))</f>
        <v/>
      </c>
      <c r="AJ152" s="22">
        <f>IF(H152&gt;=Upgrades!$E$9,"",Upgrades!$C$9*POWER(Upgrades!$D$9,H152))</f>
        <v/>
      </c>
      <c r="AK152" s="22">
        <f>IF(I152&gt;=Upgrades!$E$10,"",Upgrades!$C$10*POWER(Upgrades!$D$10,I152))</f>
        <v/>
      </c>
      <c r="AL152" s="22">
        <f>IF(J152&gt;=Upgrades!$E$11,"",Upgrades!$C$11*POWER(Upgrades!$D$11,J152))</f>
        <v/>
      </c>
      <c r="AM152" s="22">
        <f>IF(K152&gt;=Upgrades!$E$12,"",Upgrades!$C$12*POWER(Upgrades!$D$12,K152))</f>
        <v/>
      </c>
      <c r="AN152" s="26">
        <f>IF(AND(D152&gt;=Parameters!$B$18,(H152&gt;=Upgrades!$E$9)*(K152&gt;=Upgrades!$E$12)=1,L152=0),1,"")</f>
        <v/>
      </c>
      <c r="AO152" s="26">
        <f>IF(AND(D152&gt;=Parameters!$B$18,L152=0),1,"")</f>
        <v/>
      </c>
      <c r="AP152" s="22">
        <f>MIN(IF(ISNUMBER(AK152),AK152,9E15),IF(ISNUMBER(AL152),AL152,9E15),IF(ISNUMBER(AM152),AM152,9E15))</f>
        <v/>
      </c>
      <c r="AQ152" s="22">
        <f>MIN(IF(ISNUMBER(AG152),AG152,9E15),IF(ISNUMBER(AH152),AH152,9E15),IF(ISNUMBER(AI152),AI152,9E15),IF(ISNUMBER(AJ152),AJ152,9E15))</f>
        <v/>
      </c>
      <c r="AR152" s="29">
        <f>IF(AW152&gt;Parameters!$B$21*(MAX(IF(AND(NOT(AND(AO152=1,AN152&lt;&gt;1)),ISNUMBER(AG152),AG152&lt;=T152),AS152,0),IF(AND(NOT(AND(AO152=1,AN152&lt;&gt;1)),ISNUMBER(AH152),AH152&lt;=T152),AT152,0),IF(AND(NOT(AND(AO152=1,AN152&lt;&gt;1)),ISNUMBER(AI152),AI152&lt;=T152),AU152,0),IF(AND(ISNUMBER(AJ152),AJ152&lt;=T152),AV152,0))),TRUE,FALSE)</f>
        <v/>
      </c>
      <c r="AS152" s="32">
        <f>IFERROR(Upgrades!$H$6*(POWER(Upgrades!$P$6,E152)*POWER(Upgrades!$P$7,F152)*POWER(Upgrades!$P$8,G152)*POWER(Upgrades!$P$9,H152)*POWER(Upgrades!$P$10,I152)*POWER(Upgrades!$P$11,J152)*POWER(Upgrades!$P$12,K152))*(IF(Upgrades!$T$7="Solar Wind",POWER(Upgrades!$U$7,F152),1)*IF(Upgrades!$T$8="Solar Wind",POWER(Upgrades!$U$8,G152),1)*IF(Upgrades!$T$9="Solar Wind",POWER(Upgrades!$U$9,H152),1)*IF(Upgrades!$T$10="Solar Wind",POWER(Upgrades!$U$10,I152),1)*IF(Upgrades!$T$11="Solar Wind",POWER(Upgrades!$U$11,J152),1)*IF(Upgrades!$T$12="Solar Wind",POWER(Upgrades!$U$12,K152),1))/AG152,0)</f>
        <v/>
      </c>
      <c r="AT152" s="32">
        <f>IFERROR(Upgrades!$H$7*(POWER(Upgrades!$P$6,E152)*POWER(Upgrades!$P$7,F152)*POWER(Upgrades!$P$8,G152)*POWER(Upgrades!$P$9,H152)*POWER(Upgrades!$P$10,I152)*POWER(Upgrades!$P$11,J152)*POWER(Upgrades!$P$12,K152))*(IF(Upgrades!$T$6="Asteroid Belt",POWER(Upgrades!$U$6,E152),1)*IF(Upgrades!$T$8="Asteroid Belt",POWER(Upgrades!$U$8,G152),1)*IF(Upgrades!$T$9="Asteroid Belt",POWER(Upgrades!$U$9,H152),1)*IF(Upgrades!$T$10="Asteroid Belt",POWER(Upgrades!$U$10,I152),1)*IF(Upgrades!$T$11="Asteroid Belt",POWER(Upgrades!$U$11,J152),1)*IF(Upgrades!$T$12="Asteroid Belt",POWER(Upgrades!$U$12,K152),1))/AH152,0)</f>
        <v/>
      </c>
      <c r="AU152" s="32">
        <f>IFERROR(Upgrades!$K$8*(POWER(Upgrades!$Q$6,E152)*POWER(Upgrades!$Q$7,F152)*POWER(Upgrades!$Q$8,G152)*POWER(Upgrades!$Q$9,H152)*POWER(Upgrades!$Q$10,I152)*POWER(Upgrades!$Q$11,J152)*POWER(Upgrades!$Q$12,K152))*(IF(Upgrades!$T$6="Stellar Coupling",POWER(Upgrades!$U$6,E152),1)*IF(Upgrades!$T$7="Stellar Coupling",POWER(Upgrades!$U$7,F152),1)*IF(Upgrades!$T$9="Stellar Coupling",POWER(Upgrades!$U$9,H152),1)*IF(Upgrades!$T$10="Stellar Coupling",POWER(Upgrades!$U$10,I152),1)*IF(Upgrades!$T$11="Stellar Coupling",POWER(Upgrades!$U$11,J152),1)*IF(Upgrades!$T$12="Stellar Coupling",POWER(Upgrades!$U$12,K152),1))*Parameters!$B$10*Parameters!$B$11/60/AI152,0)</f>
        <v/>
      </c>
      <c r="AV152" s="32">
        <f>IFERROR(Upgrades!$H$9*(POWER(Upgrades!$P$6,E152)*POWER(Upgrades!$P$7,F152)*POWER(Upgrades!$P$8,G152)*POWER(Upgrades!$P$9,H152)*POWER(Upgrades!$P$10,I152)*POWER(Upgrades!$P$11,J152)*POWER(Upgrades!$P$12,K152))*(IF(Upgrades!$T$6="Magnetosphere",POWER(Upgrades!$U$6,E152),1)*IF(Upgrades!$T$7="Magnetosphere",POWER(Upgrades!$U$7,F152),1)*IF(Upgrades!$T$8="Magnetosphere",POWER(Upgrades!$U$8,G152),1)*IF(Upgrades!$T$10="Magnetosphere",POWER(Upgrades!$U$10,I152),1)*IF(Upgrades!$T$11="Magnetosphere",POWER(Upgrades!$U$11,J152),1)*IF(Upgrades!$T$12="Magnetosphere",POWER(Upgrades!$U$12,K152),1))/AJ152,0)</f>
        <v/>
      </c>
      <c r="AW152" s="32">
        <f>MAX(IF(I152&gt;0,0,IFERROR(0.25*N152/Upgrades!$C$10,0)),IF(J152&gt;0,0,IFERROR(0.5*((IF(G152=0,0,(Upgrades!$J$8+G152*Upgrades!$K$8)*POWER(Upgrades!$L$8,G152)))*(IF(Upgrades!$T$6="Stellar Coupling",POWER(Upgrades!$U$6,E152),1)*IF(Upgrades!$T$7="Stellar Coupling",POWER(Upgrades!$U$7,F152),1)*IF(Upgrades!$T$9="Stellar Coupling",POWER(Upgrades!$U$9,H152),1)*IF(Upgrades!$T$10="Stellar Coupling",POWER(Upgrades!$U$10,I152),1)*IF(Upgrades!$T$11="Stellar Coupling",POWER(Upgrades!$U$11,J152),1)*IF(Upgrades!$T$12="Stellar Coupling",POWER(Upgrades!$U$12,K152),1))*(POWER(Upgrades!$Q$6,E152)*POWER(Upgrades!$Q$7,F152)*POWER(Upgrades!$Q$8,G152)*POWER(Upgrades!$Q$9,H152)*POWER(Upgrades!$Q$10,I152)*POWER(Upgrades!$Q$11,J152)*POWER(Upgrades!$Q$12,K152))*Parameters!$B$10*Parameters!$B$11/60)/Upgrades!$C$11,0)),IF(K152&gt;0,0,IFERROR((1.0*(POWER(Upgrades!$P$6,E152)*POWER(Upgrades!$P$7,F152)*POWER(Upgrades!$P$8,G152)*POWER(Upgrades!$P$9,H152)*POWER(Upgrades!$P$10,I152)*POWER(Upgrades!$P$11,J152)*POWER(Upgrades!$P$12,K152))+0.20*M152*Parameters!$B$10*Parameters!$B$11/60)/Upgrades!$C$12,0)),IF(AND(ISNUMBER(AG152),AG152&gt;T152),AS152,0),IF(AND(ISNUMBER(AH152),AH152&gt;T152),AT152,0),IF(AND(ISNUMBER(AI152),AI152&gt;T152),AU152,0),IF(AND(ISNUMBER(AJ152),AJ152&gt;T152),AV152,0))</f>
        <v/>
      </c>
      <c r="AX152" s="29">
        <f>IF(AN152=1,"transition",IF(MIN(IF(AND(I152=0,ISNUMBER(AK152),AK152&lt;=T152),AK152,9E15),IF(AND(J152=0,ISNUMBER(AL152),AL152&lt;=T152),AL152,9E15),IF(AND(K152=0,ISNUMBER(AM152),AM152&lt;=T152),AM152,9E15))&lt;9E15,IF(AND(AND(I152=0,ISNUMBER(AK152),AK152&lt;=T152),AK152=MIN(IF(AND(I152=0,ISNUMBER(AK152),AK152&lt;=T152),AK152,9E15),IF(AND(J152=0,ISNUMBER(AL152),AL152&lt;=T152),AL152,9E15),IF(AND(K152=0,ISNUMBER(AM152),AM152&lt;=T152),AM152,9E15))),"OR",IF(AND(AND(J152=0,ISNUMBER(AL152),AL152&lt;=T152),AL152=MIN(IF(AND(I152=0,ISNUMBER(AK152),AK152&lt;=T152),AK152,9E15),IF(AND(J152=0,ISNUMBER(AL152),AL152&lt;=T152),AL152,9E15),IF(AND(K152=0,ISNUMBER(AM152),AM152&lt;=T152),AM152,9E15))),"HP","FP")),IF(AR152=TRUE,"",IF(MAX(IF(AND(NOT(AND(AO152=1,AN152&lt;&gt;1)),ISNUMBER(AG152),AG152&lt;=T152),AS152,0),IF(AND(NOT(AND(AO152=1,AN152&lt;&gt;1)),ISNUMBER(AH152),AH152&lt;=T152),AT152,0),IF(AND(NOT(AND(AO152=1,AN152&lt;&gt;1)),ISNUMBER(AI152),AI152&lt;=T152),AU152,0),IF(AND(ISNUMBER(AJ152),AJ152&lt;=T152),AV152,0))&lt;=0,"",IF(AND(IF(AND(NOT(AND(AO152=1,AN152&lt;&gt;1)),ISNUMBER(AG152),AG152&lt;=T152),AS152,0)&gt;0,IF(AND(NOT(AND(AO152=1,AN152&lt;&gt;1)),ISNUMBER(AG152),AG152&lt;=T152),AS152,0)=MAX(IF(AND(NOT(AND(AO152=1,AN152&lt;&gt;1)),ISNUMBER(AG152),AG152&lt;=T152),AS152,0),IF(AND(NOT(AND(AO152=1,AN152&lt;&gt;1)),ISNUMBER(AH152),AH152&lt;=T152),AT152,0),IF(AND(NOT(AND(AO152=1,AN152&lt;&gt;1)),ISNUMBER(AI152),AI152&lt;=T152),AU152,0),IF(AND(ISNUMBER(AJ152),AJ152&lt;=T152),AV152,0))),"SW",IF(AND(IF(AND(NOT(AND(AO152=1,AN152&lt;&gt;1)),ISNUMBER(AH152),AH152&lt;=T152),AT152,0)&gt;0,IF(AND(NOT(AND(AO152=1,AN152&lt;&gt;1)),ISNUMBER(AH152),AH152&lt;=T152),AT152,0)=MAX(IF(AND(NOT(AND(AO152=1,AN152&lt;&gt;1)),ISNUMBER(AG152),AG152&lt;=T152),AS152,0),IF(AND(NOT(AND(AO152=1,AN152&lt;&gt;1)),ISNUMBER(AH152),AH152&lt;=T152),AT152,0),IF(AND(NOT(AND(AO152=1,AN152&lt;&gt;1)),ISNUMBER(AI152),AI152&lt;=T152),AU152,0),IF(AND(ISNUMBER(AJ152),AJ152&lt;=T152),AV152,0))),"AB",IF(AND(IF(AND(NOT(AND(AO152=1,AN152&lt;&gt;1)),ISNUMBER(AI152),AI152&lt;=T152),AU152,0)&gt;0,IF(AND(NOT(AND(AO152=1,AN152&lt;&gt;1)),ISNUMBER(AI152),AI152&lt;=T152),AU152,0)=MAX(IF(AND(NOT(AND(AO152=1,AN152&lt;&gt;1)),ISNUMBER(AG152),AG152&lt;=T152),AS152,0),IF(AND(NOT(AND(AO152=1,AN152&lt;&gt;1)),ISNUMBER(AH152),AH152&lt;=T152),AT152,0),IF(AND(NOT(AND(AO152=1,AN152&lt;&gt;1)),ISNUMBER(AI152),AI152&lt;=T152),AU152,0),IF(AND(ISNUMBER(AJ152),AJ152&lt;=T152),AV152,0))),"SC","Mag")))))))</f>
        <v/>
      </c>
    </row>
    <row r="153">
      <c r="A153" s="26" t="n">
        <v>148</v>
      </c>
      <c r="B153" s="27">
        <f>A153*10/60</f>
        <v/>
      </c>
      <c r="C153" s="22">
        <f>X152</f>
        <v/>
      </c>
      <c r="D153" s="27">
        <f>D152+W152</f>
        <v/>
      </c>
      <c r="E153" s="26">
        <f>E152+IF(U152="SW",1,0)</f>
        <v/>
      </c>
      <c r="F153" s="26">
        <f>F152+IF(U152="AB",1,0)</f>
        <v/>
      </c>
      <c r="G153" s="26">
        <f>G152+IF(U152="SC",1,0)</f>
        <v/>
      </c>
      <c r="H153" s="26">
        <f>H152+IF(U152="Mag",1,0)</f>
        <v/>
      </c>
      <c r="I153" s="26">
        <f>MAX(I152,IF(U152="OR",1,0))</f>
        <v/>
      </c>
      <c r="J153" s="26">
        <f>MAX(J152,IF(U152="HP",1,0))</f>
        <v/>
      </c>
      <c r="K153" s="26">
        <f>MAX(K152,IF(U152="FP",1,0))</f>
        <v/>
      </c>
      <c r="L153" s="26">
        <f>MAX(L152,IF(U152="transition",1,0))</f>
        <v/>
      </c>
      <c r="M153" s="28">
        <f>(Parameters!$B$9+(IF(E153=0,0,(Upgrades!$J$6+E153*Upgrades!$K$6)*POWER(Upgrades!$L$6,E153)))*(IF(Upgrades!$T$7="Solar Wind",POWER(Upgrades!$U$7,F153),1)*IF(Upgrades!$T$8="Solar Wind",POWER(Upgrades!$U$8,G153),1)*IF(Upgrades!$T$9="Solar Wind",POWER(Upgrades!$U$9,H153),1)*IF(Upgrades!$T$10="Solar Wind",POWER(Upgrades!$U$10,I153),1)*IF(Upgrades!$T$11="Solar Wind",POWER(Upgrades!$U$11,J153),1)*IF(Upgrades!$T$12="Solar Wind",POWER(Upgrades!$U$12,K153),1))+(IF(F153=0,0,(Upgrades!$J$7+F153*Upgrades!$K$7)*POWER(Upgrades!$L$7,F153)))*(IF(Upgrades!$T$6="Asteroid Belt",POWER(Upgrades!$U$6,E153),1)*IF(Upgrades!$T$8="Asteroid Belt",POWER(Upgrades!$U$8,G153),1)*IF(Upgrades!$T$9="Asteroid Belt",POWER(Upgrades!$U$9,H153),1)*IF(Upgrades!$T$10="Asteroid Belt",POWER(Upgrades!$U$10,I153),1)*IF(Upgrades!$T$11="Asteroid Belt",POWER(Upgrades!$U$11,J153),1)*IF(Upgrades!$T$12="Asteroid Belt",POWER(Upgrades!$U$12,K153),1))+(IF(G153=0,0,(Upgrades!$J$8+G153*Upgrades!$K$8)*POWER(Upgrades!$L$8,G153)))*(IF(Upgrades!$T$6="Stellar Coupling",POWER(Upgrades!$U$6,E153),1)*IF(Upgrades!$T$7="Stellar Coupling",POWER(Upgrades!$U$7,F153),1)*IF(Upgrades!$T$9="Stellar Coupling",POWER(Upgrades!$U$9,H153),1)*IF(Upgrades!$T$10="Stellar Coupling",POWER(Upgrades!$U$10,I153),1)*IF(Upgrades!$T$11="Stellar Coupling",POWER(Upgrades!$U$11,J153),1)*IF(Upgrades!$T$12="Stellar Coupling",POWER(Upgrades!$U$12,K153),1))+(IF(H153=0,0,(Upgrades!$J$9+H153*Upgrades!$K$9)*POWER(Upgrades!$L$9,H153)))*(IF(Upgrades!$T$6="Magnetosphere",POWER(Upgrades!$U$6,E153),1)*IF(Upgrades!$T$7="Magnetosphere",POWER(Upgrades!$U$7,F153),1)*IF(Upgrades!$T$8="Magnetosphere",POWER(Upgrades!$U$8,G153),1)*IF(Upgrades!$T$10="Magnetosphere",POWER(Upgrades!$U$10,I153),1)*IF(Upgrades!$T$11="Magnetosphere",POWER(Upgrades!$U$11,J153),1)*IF(Upgrades!$T$12="Magnetosphere",POWER(Upgrades!$U$12,K153),1))+(IF(I153=0,0,(Upgrades!$J$10+I153*Upgrades!$K$10)*POWER(Upgrades!$L$10,I153)))*(IF(Upgrades!$T$6="Orbital Resonance",POWER(Upgrades!$U$6,E153),1)*IF(Upgrades!$T$7="Orbital Resonance",POWER(Upgrades!$U$7,F153),1)*IF(Upgrades!$T$8="Orbital Resonance",POWER(Upgrades!$U$8,G153),1)*IF(Upgrades!$T$9="Orbital Resonance",POWER(Upgrades!$U$9,H153),1)*IF(Upgrades!$T$11="Orbital Resonance",POWER(Upgrades!$U$11,J153),1)*IF(Upgrades!$T$12="Orbital Resonance",POWER(Upgrades!$U$12,K153),1))+(IF(J153=0,0,(Upgrades!$J$11+J153*Upgrades!$K$11)*POWER(Upgrades!$L$11,J153)))*(IF(Upgrades!$T$6="Heliopause",POWER(Upgrades!$U$6,E153),1)*IF(Upgrades!$T$7="Heliopause",POWER(Upgrades!$U$7,F153),1)*IF(Upgrades!$T$8="Heliopause",POWER(Upgrades!$U$8,G153),1)*IF(Upgrades!$T$9="Heliopause",POWER(Upgrades!$U$9,H153),1)*IF(Upgrades!$T$10="Heliopause",POWER(Upgrades!$U$10,I153),1)*IF(Upgrades!$T$12="Heliopause",POWER(Upgrades!$U$12,K153),1))+(IF(K153=0,0,(Upgrades!$J$12+K153*Upgrades!$K$12)*POWER(Upgrades!$L$12,K153)))*(IF(Upgrades!$T$6="First Photons",POWER(Upgrades!$U$6,E153),1)*IF(Upgrades!$T$7="First Photons",POWER(Upgrades!$U$7,F153),1)*IF(Upgrades!$T$8="First Photons",POWER(Upgrades!$U$8,G153),1)*IF(Upgrades!$T$9="First Photons",POWER(Upgrades!$U$9,H153),1)*IF(Upgrades!$T$10="First Photons",POWER(Upgrades!$U$10,I153),1)*IF(Upgrades!$T$11="First Photons",POWER(Upgrades!$U$11,J153),1)))*POWER(Upgrades!$Q$6,E153)*POWER(Upgrades!$Q$7,F153)*POWER(Upgrades!$Q$8,G153)*POWER(Upgrades!$Q$9,H153)*POWER(Upgrades!$Q$10,I153)*POWER(Upgrades!$Q$11,J153)*POWER(Upgrades!$Q$12,K153)</f>
        <v/>
      </c>
      <c r="N153" s="28">
        <f>((IF(E153=0,0,(Upgrades!$G$6+E153*Upgrades!$H$6)*POWER(Upgrades!$I$6,E153)))*(IF(Upgrades!$T$7="Solar Wind",POWER(Upgrades!$U$7,F153),1)*IF(Upgrades!$T$8="Solar Wind",POWER(Upgrades!$U$8,G153),1)*IF(Upgrades!$T$9="Solar Wind",POWER(Upgrades!$U$9,H153),1)*IF(Upgrades!$T$10="Solar Wind",POWER(Upgrades!$U$10,I153),1)*IF(Upgrades!$T$11="Solar Wind",POWER(Upgrades!$U$11,J153),1)*IF(Upgrades!$T$12="Solar Wind",POWER(Upgrades!$U$12,K153),1))+(IF(F153=0,0,(Upgrades!$G$7+F153*Upgrades!$H$7)*POWER(Upgrades!$I$7,F153)))*(IF(Upgrades!$T$6="Asteroid Belt",POWER(Upgrades!$U$6,E153),1)*IF(Upgrades!$T$8="Asteroid Belt",POWER(Upgrades!$U$8,G153),1)*IF(Upgrades!$T$9="Asteroid Belt",POWER(Upgrades!$U$9,H153),1)*IF(Upgrades!$T$10="Asteroid Belt",POWER(Upgrades!$U$10,I153),1)*IF(Upgrades!$T$11="Asteroid Belt",POWER(Upgrades!$U$11,J153),1)*IF(Upgrades!$T$12="Asteroid Belt",POWER(Upgrades!$U$12,K153),1))+(IF(G153=0,0,(Upgrades!$G$8+G153*Upgrades!$H$8)*POWER(Upgrades!$I$8,G153)))*(IF(Upgrades!$T$6="Stellar Coupling",POWER(Upgrades!$U$6,E153),1)*IF(Upgrades!$T$7="Stellar Coupling",POWER(Upgrades!$U$7,F153),1)*IF(Upgrades!$T$9="Stellar Coupling",POWER(Upgrades!$U$9,H153),1)*IF(Upgrades!$T$10="Stellar Coupling",POWER(Upgrades!$U$10,I153),1)*IF(Upgrades!$T$11="Stellar Coupling",POWER(Upgrades!$U$11,J153),1)*IF(Upgrades!$T$12="Stellar Coupling",POWER(Upgrades!$U$12,K153),1))+(IF(H153=0,0,(Upgrades!$G$9+H153*Upgrades!$H$9)*POWER(Upgrades!$I$9,H153)))*(IF(Upgrades!$T$6="Magnetosphere",POWER(Upgrades!$U$6,E153),1)*IF(Upgrades!$T$7="Magnetosphere",POWER(Upgrades!$U$7,F153),1)*IF(Upgrades!$T$8="Magnetosphere",POWER(Upgrades!$U$8,G153),1)*IF(Upgrades!$T$10="Magnetosphere",POWER(Upgrades!$U$10,I153),1)*IF(Upgrades!$T$11="Magnetosphere",POWER(Upgrades!$U$11,J153),1)*IF(Upgrades!$T$12="Magnetosphere",POWER(Upgrades!$U$12,K153),1))+(IF(I153=0,0,(Upgrades!$G$10+I153*Upgrades!$H$10)*POWER(Upgrades!$I$10,I153)))*(IF(Upgrades!$T$6="Orbital Resonance",POWER(Upgrades!$U$6,E153),1)*IF(Upgrades!$T$7="Orbital Resonance",POWER(Upgrades!$U$7,F153),1)*IF(Upgrades!$T$8="Orbital Resonance",POWER(Upgrades!$U$8,G153),1)*IF(Upgrades!$T$9="Orbital Resonance",POWER(Upgrades!$U$9,H153),1)*IF(Upgrades!$T$11="Orbital Resonance",POWER(Upgrades!$U$11,J153),1)*IF(Upgrades!$T$12="Orbital Resonance",POWER(Upgrades!$U$12,K153),1))+(IF(J153=0,0,(Upgrades!$G$11+J153*Upgrades!$H$11)*POWER(Upgrades!$I$11,J153)))*(IF(Upgrades!$T$6="Heliopause",POWER(Upgrades!$U$6,E153),1)*IF(Upgrades!$T$7="Heliopause",POWER(Upgrades!$U$7,F153),1)*IF(Upgrades!$T$8="Heliopause",POWER(Upgrades!$U$8,G153),1)*IF(Upgrades!$T$9="Heliopause",POWER(Upgrades!$U$9,H153),1)*IF(Upgrades!$T$10="Heliopause",POWER(Upgrades!$U$10,I153),1)*IF(Upgrades!$T$12="Heliopause",POWER(Upgrades!$U$12,K153),1))+(IF(K153=0,0,(Upgrades!$G$12+K153*Upgrades!$H$12)*POWER(Upgrades!$I$12,K153)))*(IF(Upgrades!$T$6="First Photons",POWER(Upgrades!$U$6,E153),1)*IF(Upgrades!$T$7="First Photons",POWER(Upgrades!$U$7,F153),1)*IF(Upgrades!$T$8="First Photons",POWER(Upgrades!$U$8,G153),1)*IF(Upgrades!$T$9="First Photons",POWER(Upgrades!$U$9,H153),1)*IF(Upgrades!$T$10="First Photons",POWER(Upgrades!$U$10,I153),1)*IF(Upgrades!$T$11="First Photons",POWER(Upgrades!$U$11,J153),1)))*POWER(Upgrades!$P$6,E153)*POWER(Upgrades!$P$7,F153)*POWER(Upgrades!$P$8,G153)*POWER(Upgrades!$P$9,H153)*POWER(Upgrades!$P$10,I153)*POWER(Upgrades!$P$11,J153)*POWER(Upgrades!$P$12,K153)</f>
        <v/>
      </c>
      <c r="O153" s="28">
        <f>((IF(E153=0,0,(Upgrades!$M$6+E153*Upgrades!$N$6)*POWER(Upgrades!$O$6,E153)))*(IF(Upgrades!$T$7="Solar Wind",POWER(Upgrades!$U$7,F153),1)*IF(Upgrades!$T$8="Solar Wind",POWER(Upgrades!$U$8,G153),1)*IF(Upgrades!$T$9="Solar Wind",POWER(Upgrades!$U$9,H153),1)*IF(Upgrades!$T$10="Solar Wind",POWER(Upgrades!$U$10,I153),1)*IF(Upgrades!$T$11="Solar Wind",POWER(Upgrades!$U$11,J153),1)*IF(Upgrades!$T$12="Solar Wind",POWER(Upgrades!$U$12,K153),1))+(IF(F153=0,0,(Upgrades!$M$7+F153*Upgrades!$N$7)*POWER(Upgrades!$O$7,F153)))*(IF(Upgrades!$T$6="Asteroid Belt",POWER(Upgrades!$U$6,E153),1)*IF(Upgrades!$T$8="Asteroid Belt",POWER(Upgrades!$U$8,G153),1)*IF(Upgrades!$T$9="Asteroid Belt",POWER(Upgrades!$U$9,H153),1)*IF(Upgrades!$T$10="Asteroid Belt",POWER(Upgrades!$U$10,I153),1)*IF(Upgrades!$T$11="Asteroid Belt",POWER(Upgrades!$U$11,J153),1)*IF(Upgrades!$T$12="Asteroid Belt",POWER(Upgrades!$U$12,K153),1))+(IF(G153=0,0,(Upgrades!$M$8+G153*Upgrades!$N$8)*POWER(Upgrades!$O$8,G153)))*(IF(Upgrades!$T$6="Stellar Coupling",POWER(Upgrades!$U$6,E153),1)*IF(Upgrades!$T$7="Stellar Coupling",POWER(Upgrades!$U$7,F153),1)*IF(Upgrades!$T$9="Stellar Coupling",POWER(Upgrades!$U$9,H153),1)*IF(Upgrades!$T$10="Stellar Coupling",POWER(Upgrades!$U$10,I153),1)*IF(Upgrades!$T$11="Stellar Coupling",POWER(Upgrades!$U$11,J153),1)*IF(Upgrades!$T$12="Stellar Coupling",POWER(Upgrades!$U$12,K153),1))+(IF(H153=0,0,(Upgrades!$M$9+H153*Upgrades!$N$9)*POWER(Upgrades!$O$9,H153)))*(IF(Upgrades!$T$6="Magnetosphere",POWER(Upgrades!$U$6,E153),1)*IF(Upgrades!$T$7="Magnetosphere",POWER(Upgrades!$U$7,F153),1)*IF(Upgrades!$T$8="Magnetosphere",POWER(Upgrades!$U$8,G153),1)*IF(Upgrades!$T$10="Magnetosphere",POWER(Upgrades!$U$10,I153),1)*IF(Upgrades!$T$11="Magnetosphere",POWER(Upgrades!$U$11,J153),1)*IF(Upgrades!$T$12="Magnetosphere",POWER(Upgrades!$U$12,K153),1))+(IF(I153=0,0,(Upgrades!$M$10+I153*Upgrades!$N$10)*POWER(Upgrades!$O$10,I153)))*(IF(Upgrades!$T$6="Orbital Resonance",POWER(Upgrades!$U$6,E153),1)*IF(Upgrades!$T$7="Orbital Resonance",POWER(Upgrades!$U$7,F153),1)*IF(Upgrades!$T$8="Orbital Resonance",POWER(Upgrades!$U$8,G153),1)*IF(Upgrades!$T$9="Orbital Resonance",POWER(Upgrades!$U$9,H153),1)*IF(Upgrades!$T$11="Orbital Resonance",POWER(Upgrades!$U$11,J153),1)*IF(Upgrades!$T$12="Orbital Resonance",POWER(Upgrades!$U$12,K153),1))+(IF(J153=0,0,(Upgrades!$M$11+J153*Upgrades!$N$11)*POWER(Upgrades!$O$11,J153)))*(IF(Upgrades!$T$6="Heliopause",POWER(Upgrades!$U$6,E153),1)*IF(Upgrades!$T$7="Heliopause",POWER(Upgrades!$U$7,F153),1)*IF(Upgrades!$T$8="Heliopause",POWER(Upgrades!$U$8,G153),1)*IF(Upgrades!$T$9="Heliopause",POWER(Upgrades!$U$9,H153),1)*IF(Upgrades!$T$10="Heliopause",POWER(Upgrades!$U$10,I153),1)*IF(Upgrades!$T$12="Heliopause",POWER(Upgrades!$U$12,K153),1))+(IF(K153=0,0,(Upgrades!$M$12+K153*Upgrades!$N$12)*POWER(Upgrades!$O$12,K153)))*(IF(Upgrades!$T$6="First Photons",POWER(Upgrades!$U$6,E153),1)*IF(Upgrades!$T$7="First Photons",POWER(Upgrades!$U$7,F153),1)*IF(Upgrades!$T$8="First Photons",POWER(Upgrades!$U$8,G153),1)*IF(Upgrades!$T$9="First Photons",POWER(Upgrades!$U$9,H153),1)*IF(Upgrades!$T$10="First Photons",POWER(Upgrades!$U$10,I153),1)*IF(Upgrades!$T$11="First Photons",POWER(Upgrades!$U$11,J153),1)))*POWER(Upgrades!$R$6,E153)*POWER(Upgrades!$R$7,F153)*POWER(Upgrades!$R$8,G153)*POWER(Upgrades!$R$9,H153)*POWER(Upgrades!$R$10,I153)*POWER(Upgrades!$R$11,J153)*POWER(Upgrades!$R$12,K153)</f>
        <v/>
      </c>
      <c r="P153" s="27">
        <f>IF(L153=1,0,M153*Parameters!$B$10/60*Parameters!$B$11*10)</f>
        <v/>
      </c>
      <c r="Q153" s="27">
        <f>IF(L153=1,0,O153*M153*10)</f>
        <v/>
      </c>
      <c r="R153" s="27">
        <f>IF(L153=1,0,N153*10)</f>
        <v/>
      </c>
      <c r="S153" s="27">
        <f>P153+Q153+R153</f>
        <v/>
      </c>
      <c r="T153" s="22">
        <f>C153+S153</f>
        <v/>
      </c>
      <c r="U153" s="33">
        <f>AX153</f>
        <v/>
      </c>
      <c r="V153" s="22">
        <f>IF(U153="",0,IF(U153="transition",0,IF(U153="SW",AG153,IF(U153="AB",AH153,IF(U153="SC",AI153,IF(U153="Mag",AJ153,IF(U153="OR",AK153,IF(U153="HP",AL153,IF(U153="FP",AM153,0)))))))))</f>
        <v/>
      </c>
      <c r="W153" s="27">
        <f>IF(U153="OR",Upgrades!$F$10,IF(U153="HP",Upgrades!$F$11,IF(U153="transition",-Parameters!$B$18,0)))</f>
        <v/>
      </c>
      <c r="X153" s="22">
        <f>T153-V153</f>
        <v/>
      </c>
      <c r="Y153" s="30">
        <f>M153*Parameters!$B$10/60*Parameters!$B$11+O153*M153+N153</f>
        <v/>
      </c>
      <c r="Z153" s="34">
        <f>IF(U153="transition","→ Tier 2 (Stellar Neighborhood)",IF(U153="FP","First Photons — light begins, system quickens",IF(U153="HP","Heliopause acquired",IF(U153="OR","Orbital Resonance — passive multiplier active",IF(AND(AO153=1,L153=0,AN153&lt;&gt;1),"Cohesion ready (waiting on completionist upgrades)","")))))</f>
        <v/>
      </c>
      <c r="AA153" s="27">
        <f>(IF(E153=0,0,(Upgrades!$G$6+E153*Upgrades!$H$6)*POWER(Upgrades!$I$6,E153)))*(IF(Upgrades!$T$7="Solar Wind",POWER(Upgrades!$U$7,F153),1)*IF(Upgrades!$T$8="Solar Wind",POWER(Upgrades!$U$8,G153),1)*IF(Upgrades!$T$9="Solar Wind",POWER(Upgrades!$U$9,H153),1)*IF(Upgrades!$T$10="Solar Wind",POWER(Upgrades!$U$10,I153),1)*IF(Upgrades!$T$11="Solar Wind",POWER(Upgrades!$U$11,J153),1)*IF(Upgrades!$T$12="Solar Wind",POWER(Upgrades!$U$12,K153),1))*POWER(Upgrades!$P$6,E153)*POWER(Upgrades!$P$7,F153)*POWER(Upgrades!$P$8,G153)*POWER(Upgrades!$P$9,H153)*POWER(Upgrades!$P$10,I153)*POWER(Upgrades!$P$11,J153)*POWER(Upgrades!$P$12,K153)*60</f>
        <v/>
      </c>
      <c r="AB153" s="27">
        <f>(IF(F153=0,0,(Upgrades!$G$7+F153*Upgrades!$H$7)*POWER(Upgrades!$I$7,F153)))*(IF(Upgrades!$T$6="Asteroid Belt",POWER(Upgrades!$U$6,E153),1)*IF(Upgrades!$T$8="Asteroid Belt",POWER(Upgrades!$U$8,G153),1)*IF(Upgrades!$T$9="Asteroid Belt",POWER(Upgrades!$U$9,H153),1)*IF(Upgrades!$T$10="Asteroid Belt",POWER(Upgrades!$U$10,I153),1)*IF(Upgrades!$T$11="Asteroid Belt",POWER(Upgrades!$U$11,J153),1)*IF(Upgrades!$T$12="Asteroid Belt",POWER(Upgrades!$U$12,K153),1))*POWER(Upgrades!$P$6,E153)*POWER(Upgrades!$P$7,F153)*POWER(Upgrades!$P$8,G153)*POWER(Upgrades!$P$9,H153)*POWER(Upgrades!$P$10,I153)*POWER(Upgrades!$P$11,J153)*POWER(Upgrades!$P$12,K153)*60</f>
        <v/>
      </c>
      <c r="AC153" s="27">
        <f>(IF(G153=0,0,(Upgrades!$J$8+G153*Upgrades!$K$8)*POWER(Upgrades!$L$8,G153)))*(IF(Upgrades!$T$6="Stellar Coupling",POWER(Upgrades!$U$6,E153),1)*IF(Upgrades!$T$7="Stellar Coupling",POWER(Upgrades!$U$7,F153),1)*IF(Upgrades!$T$9="Stellar Coupling",POWER(Upgrades!$U$9,H153),1)*IF(Upgrades!$T$10="Stellar Coupling",POWER(Upgrades!$U$10,I153),1)*IF(Upgrades!$T$11="Stellar Coupling",POWER(Upgrades!$U$11,J153),1)*IF(Upgrades!$T$12="Stellar Coupling",POWER(Upgrades!$U$12,K153),1))*POWER(Upgrades!$Q$6,E153)*POWER(Upgrades!$Q$7,F153)*POWER(Upgrades!$Q$8,G153)*POWER(Upgrades!$Q$9,H153)*POWER(Upgrades!$Q$10,I153)*POWER(Upgrades!$Q$11,J153)*POWER(Upgrades!$Q$12,K153)*Parameters!$B$10*Parameters!$B$11</f>
        <v/>
      </c>
      <c r="AD153" s="27">
        <f>(IF(H153=0,0,(Upgrades!$G$9+H153*Upgrades!$H$9)*POWER(Upgrades!$I$9,H153)))*(IF(Upgrades!$T$6="Magnetosphere",POWER(Upgrades!$U$6,E153),1)*IF(Upgrades!$T$7="Magnetosphere",POWER(Upgrades!$U$7,F153),1)*IF(Upgrades!$T$8="Magnetosphere",POWER(Upgrades!$U$8,G153),1)*IF(Upgrades!$T$10="Magnetosphere",POWER(Upgrades!$U$10,I153),1)*IF(Upgrades!$T$11="Magnetosphere",POWER(Upgrades!$U$11,J153),1)*IF(Upgrades!$T$12="Magnetosphere",POWER(Upgrades!$U$12,K153),1))*POWER(Upgrades!$P$6,E153)*POWER(Upgrades!$P$7,F153)*POWER(Upgrades!$P$8,G153)*POWER(Upgrades!$P$9,H153)*POWER(Upgrades!$P$10,I153)*POWER(Upgrades!$P$11,J153)*POWER(Upgrades!$P$12,K153)*60</f>
        <v/>
      </c>
      <c r="AE153" s="27">
        <f>(IF(K153=0,0,(Upgrades!$G$12+K153*Upgrades!$H$12)*POWER(Upgrades!$I$12,K153)))*(IF(Upgrades!$T$6="First Photons",POWER(Upgrades!$U$6,E153),1)*IF(Upgrades!$T$7="First Photons",POWER(Upgrades!$U$7,F153),1)*IF(Upgrades!$T$8="First Photons",POWER(Upgrades!$U$8,G153),1)*IF(Upgrades!$T$9="First Photons",POWER(Upgrades!$U$9,H153),1)*IF(Upgrades!$T$10="First Photons",POWER(Upgrades!$U$10,I153),1)*IF(Upgrades!$T$11="First Photons",POWER(Upgrades!$U$11,J153),1))*POWER(Upgrades!$P$6,E153)*POWER(Upgrades!$P$7,F153)*POWER(Upgrades!$P$8,G153)*POWER(Upgrades!$P$9,H153)*POWER(Upgrades!$P$10,I153)*POWER(Upgrades!$P$11,J153)*POWER(Upgrades!$P$12,K153)*60</f>
        <v/>
      </c>
      <c r="AF153" s="27">
        <f>Parameters!$B$9*POWER(Upgrades!$Q$6,E153)*POWER(Upgrades!$Q$7,F153)*POWER(Upgrades!$Q$8,G153)*POWER(Upgrades!$Q$9,H153)*POWER(Upgrades!$Q$10,I153)*POWER(Upgrades!$Q$11,J153)*POWER(Upgrades!$Q$12,K153)*(Parameters!$B$10*Parameters!$B$11+O153*60)</f>
        <v/>
      </c>
      <c r="AG153" s="22">
        <f>IF(E153&gt;=Upgrades!$E$6,"",Upgrades!$C$6*POWER(Upgrades!$D$6,E153))</f>
        <v/>
      </c>
      <c r="AH153" s="22">
        <f>IF(F153&gt;=Upgrades!$E$7,"",Upgrades!$C$7*POWER(Upgrades!$D$7,F153))</f>
        <v/>
      </c>
      <c r="AI153" s="22">
        <f>IF(G153&gt;=Upgrades!$E$8,"",Upgrades!$C$8*POWER(Upgrades!$D$8,G153))</f>
        <v/>
      </c>
      <c r="AJ153" s="22">
        <f>IF(H153&gt;=Upgrades!$E$9,"",Upgrades!$C$9*POWER(Upgrades!$D$9,H153))</f>
        <v/>
      </c>
      <c r="AK153" s="22">
        <f>IF(I153&gt;=Upgrades!$E$10,"",Upgrades!$C$10*POWER(Upgrades!$D$10,I153))</f>
        <v/>
      </c>
      <c r="AL153" s="22">
        <f>IF(J153&gt;=Upgrades!$E$11,"",Upgrades!$C$11*POWER(Upgrades!$D$11,J153))</f>
        <v/>
      </c>
      <c r="AM153" s="22">
        <f>IF(K153&gt;=Upgrades!$E$12,"",Upgrades!$C$12*POWER(Upgrades!$D$12,K153))</f>
        <v/>
      </c>
      <c r="AN153" s="26">
        <f>IF(AND(D153&gt;=Parameters!$B$18,(H153&gt;=Upgrades!$E$9)*(K153&gt;=Upgrades!$E$12)=1,L153=0),1,"")</f>
        <v/>
      </c>
      <c r="AO153" s="26">
        <f>IF(AND(D153&gt;=Parameters!$B$18,L153=0),1,"")</f>
        <v/>
      </c>
      <c r="AP153" s="22">
        <f>MIN(IF(ISNUMBER(AK153),AK153,9E15),IF(ISNUMBER(AL153),AL153,9E15),IF(ISNUMBER(AM153),AM153,9E15))</f>
        <v/>
      </c>
      <c r="AQ153" s="22">
        <f>MIN(IF(ISNUMBER(AG153),AG153,9E15),IF(ISNUMBER(AH153),AH153,9E15),IF(ISNUMBER(AI153),AI153,9E15),IF(ISNUMBER(AJ153),AJ153,9E15))</f>
        <v/>
      </c>
      <c r="AR153" s="29">
        <f>IF(AW153&gt;Parameters!$B$21*(MAX(IF(AND(NOT(AND(AO153=1,AN153&lt;&gt;1)),ISNUMBER(AG153),AG153&lt;=T153),AS153,0),IF(AND(NOT(AND(AO153=1,AN153&lt;&gt;1)),ISNUMBER(AH153),AH153&lt;=T153),AT153,0),IF(AND(NOT(AND(AO153=1,AN153&lt;&gt;1)),ISNUMBER(AI153),AI153&lt;=T153),AU153,0),IF(AND(ISNUMBER(AJ153),AJ153&lt;=T153),AV153,0))),TRUE,FALSE)</f>
        <v/>
      </c>
      <c r="AS153" s="32">
        <f>IFERROR(Upgrades!$H$6*(POWER(Upgrades!$P$6,E153)*POWER(Upgrades!$P$7,F153)*POWER(Upgrades!$P$8,G153)*POWER(Upgrades!$P$9,H153)*POWER(Upgrades!$P$10,I153)*POWER(Upgrades!$P$11,J153)*POWER(Upgrades!$P$12,K153))*(IF(Upgrades!$T$7="Solar Wind",POWER(Upgrades!$U$7,F153),1)*IF(Upgrades!$T$8="Solar Wind",POWER(Upgrades!$U$8,G153),1)*IF(Upgrades!$T$9="Solar Wind",POWER(Upgrades!$U$9,H153),1)*IF(Upgrades!$T$10="Solar Wind",POWER(Upgrades!$U$10,I153),1)*IF(Upgrades!$T$11="Solar Wind",POWER(Upgrades!$U$11,J153),1)*IF(Upgrades!$T$12="Solar Wind",POWER(Upgrades!$U$12,K153),1))/AG153,0)</f>
        <v/>
      </c>
      <c r="AT153" s="32">
        <f>IFERROR(Upgrades!$H$7*(POWER(Upgrades!$P$6,E153)*POWER(Upgrades!$P$7,F153)*POWER(Upgrades!$P$8,G153)*POWER(Upgrades!$P$9,H153)*POWER(Upgrades!$P$10,I153)*POWER(Upgrades!$P$11,J153)*POWER(Upgrades!$P$12,K153))*(IF(Upgrades!$T$6="Asteroid Belt",POWER(Upgrades!$U$6,E153),1)*IF(Upgrades!$T$8="Asteroid Belt",POWER(Upgrades!$U$8,G153),1)*IF(Upgrades!$T$9="Asteroid Belt",POWER(Upgrades!$U$9,H153),1)*IF(Upgrades!$T$10="Asteroid Belt",POWER(Upgrades!$U$10,I153),1)*IF(Upgrades!$T$11="Asteroid Belt",POWER(Upgrades!$U$11,J153),1)*IF(Upgrades!$T$12="Asteroid Belt",POWER(Upgrades!$U$12,K153),1))/AH153,0)</f>
        <v/>
      </c>
      <c r="AU153" s="32">
        <f>IFERROR(Upgrades!$K$8*(POWER(Upgrades!$Q$6,E153)*POWER(Upgrades!$Q$7,F153)*POWER(Upgrades!$Q$8,G153)*POWER(Upgrades!$Q$9,H153)*POWER(Upgrades!$Q$10,I153)*POWER(Upgrades!$Q$11,J153)*POWER(Upgrades!$Q$12,K153))*(IF(Upgrades!$T$6="Stellar Coupling",POWER(Upgrades!$U$6,E153),1)*IF(Upgrades!$T$7="Stellar Coupling",POWER(Upgrades!$U$7,F153),1)*IF(Upgrades!$T$9="Stellar Coupling",POWER(Upgrades!$U$9,H153),1)*IF(Upgrades!$T$10="Stellar Coupling",POWER(Upgrades!$U$10,I153),1)*IF(Upgrades!$T$11="Stellar Coupling",POWER(Upgrades!$U$11,J153),1)*IF(Upgrades!$T$12="Stellar Coupling",POWER(Upgrades!$U$12,K153),1))*Parameters!$B$10*Parameters!$B$11/60/AI153,0)</f>
        <v/>
      </c>
      <c r="AV153" s="32">
        <f>IFERROR(Upgrades!$H$9*(POWER(Upgrades!$P$6,E153)*POWER(Upgrades!$P$7,F153)*POWER(Upgrades!$P$8,G153)*POWER(Upgrades!$P$9,H153)*POWER(Upgrades!$P$10,I153)*POWER(Upgrades!$P$11,J153)*POWER(Upgrades!$P$12,K153))*(IF(Upgrades!$T$6="Magnetosphere",POWER(Upgrades!$U$6,E153),1)*IF(Upgrades!$T$7="Magnetosphere",POWER(Upgrades!$U$7,F153),1)*IF(Upgrades!$T$8="Magnetosphere",POWER(Upgrades!$U$8,G153),1)*IF(Upgrades!$T$10="Magnetosphere",POWER(Upgrades!$U$10,I153),1)*IF(Upgrades!$T$11="Magnetosphere",POWER(Upgrades!$U$11,J153),1)*IF(Upgrades!$T$12="Magnetosphere",POWER(Upgrades!$U$12,K153),1))/AJ153,0)</f>
        <v/>
      </c>
      <c r="AW153" s="32">
        <f>MAX(IF(I153&gt;0,0,IFERROR(0.25*N153/Upgrades!$C$10,0)),IF(J153&gt;0,0,IFERROR(0.5*((IF(G153=0,0,(Upgrades!$J$8+G153*Upgrades!$K$8)*POWER(Upgrades!$L$8,G153)))*(IF(Upgrades!$T$6="Stellar Coupling",POWER(Upgrades!$U$6,E153),1)*IF(Upgrades!$T$7="Stellar Coupling",POWER(Upgrades!$U$7,F153),1)*IF(Upgrades!$T$9="Stellar Coupling",POWER(Upgrades!$U$9,H153),1)*IF(Upgrades!$T$10="Stellar Coupling",POWER(Upgrades!$U$10,I153),1)*IF(Upgrades!$T$11="Stellar Coupling",POWER(Upgrades!$U$11,J153),1)*IF(Upgrades!$T$12="Stellar Coupling",POWER(Upgrades!$U$12,K153),1))*(POWER(Upgrades!$Q$6,E153)*POWER(Upgrades!$Q$7,F153)*POWER(Upgrades!$Q$8,G153)*POWER(Upgrades!$Q$9,H153)*POWER(Upgrades!$Q$10,I153)*POWER(Upgrades!$Q$11,J153)*POWER(Upgrades!$Q$12,K153))*Parameters!$B$10*Parameters!$B$11/60)/Upgrades!$C$11,0)),IF(K153&gt;0,0,IFERROR((1.0*(POWER(Upgrades!$P$6,E153)*POWER(Upgrades!$P$7,F153)*POWER(Upgrades!$P$8,G153)*POWER(Upgrades!$P$9,H153)*POWER(Upgrades!$P$10,I153)*POWER(Upgrades!$P$11,J153)*POWER(Upgrades!$P$12,K153))+0.20*M153*Parameters!$B$10*Parameters!$B$11/60)/Upgrades!$C$12,0)),IF(AND(ISNUMBER(AG153),AG153&gt;T153),AS153,0),IF(AND(ISNUMBER(AH153),AH153&gt;T153),AT153,0),IF(AND(ISNUMBER(AI153),AI153&gt;T153),AU153,0),IF(AND(ISNUMBER(AJ153),AJ153&gt;T153),AV153,0))</f>
        <v/>
      </c>
      <c r="AX153" s="29">
        <f>IF(AN153=1,"transition",IF(MIN(IF(AND(I153=0,ISNUMBER(AK153),AK153&lt;=T153),AK153,9E15),IF(AND(J153=0,ISNUMBER(AL153),AL153&lt;=T153),AL153,9E15),IF(AND(K153=0,ISNUMBER(AM153),AM153&lt;=T153),AM153,9E15))&lt;9E15,IF(AND(AND(I153=0,ISNUMBER(AK153),AK153&lt;=T153),AK153=MIN(IF(AND(I153=0,ISNUMBER(AK153),AK153&lt;=T153),AK153,9E15),IF(AND(J153=0,ISNUMBER(AL153),AL153&lt;=T153),AL153,9E15),IF(AND(K153=0,ISNUMBER(AM153),AM153&lt;=T153),AM153,9E15))),"OR",IF(AND(AND(J153=0,ISNUMBER(AL153),AL153&lt;=T153),AL153=MIN(IF(AND(I153=0,ISNUMBER(AK153),AK153&lt;=T153),AK153,9E15),IF(AND(J153=0,ISNUMBER(AL153),AL153&lt;=T153),AL153,9E15),IF(AND(K153=0,ISNUMBER(AM153),AM153&lt;=T153),AM153,9E15))),"HP","FP")),IF(AR153=TRUE,"",IF(MAX(IF(AND(NOT(AND(AO153=1,AN153&lt;&gt;1)),ISNUMBER(AG153),AG153&lt;=T153),AS153,0),IF(AND(NOT(AND(AO153=1,AN153&lt;&gt;1)),ISNUMBER(AH153),AH153&lt;=T153),AT153,0),IF(AND(NOT(AND(AO153=1,AN153&lt;&gt;1)),ISNUMBER(AI153),AI153&lt;=T153),AU153,0),IF(AND(ISNUMBER(AJ153),AJ153&lt;=T153),AV153,0))&lt;=0,"",IF(AND(IF(AND(NOT(AND(AO153=1,AN153&lt;&gt;1)),ISNUMBER(AG153),AG153&lt;=T153),AS153,0)&gt;0,IF(AND(NOT(AND(AO153=1,AN153&lt;&gt;1)),ISNUMBER(AG153),AG153&lt;=T153),AS153,0)=MAX(IF(AND(NOT(AND(AO153=1,AN153&lt;&gt;1)),ISNUMBER(AG153),AG153&lt;=T153),AS153,0),IF(AND(NOT(AND(AO153=1,AN153&lt;&gt;1)),ISNUMBER(AH153),AH153&lt;=T153),AT153,0),IF(AND(NOT(AND(AO153=1,AN153&lt;&gt;1)),ISNUMBER(AI153),AI153&lt;=T153),AU153,0),IF(AND(ISNUMBER(AJ153),AJ153&lt;=T153),AV153,0))),"SW",IF(AND(IF(AND(NOT(AND(AO153=1,AN153&lt;&gt;1)),ISNUMBER(AH153),AH153&lt;=T153),AT153,0)&gt;0,IF(AND(NOT(AND(AO153=1,AN153&lt;&gt;1)),ISNUMBER(AH153),AH153&lt;=T153),AT153,0)=MAX(IF(AND(NOT(AND(AO153=1,AN153&lt;&gt;1)),ISNUMBER(AG153),AG153&lt;=T153),AS153,0),IF(AND(NOT(AND(AO153=1,AN153&lt;&gt;1)),ISNUMBER(AH153),AH153&lt;=T153),AT153,0),IF(AND(NOT(AND(AO153=1,AN153&lt;&gt;1)),ISNUMBER(AI153),AI153&lt;=T153),AU153,0),IF(AND(ISNUMBER(AJ153),AJ153&lt;=T153),AV153,0))),"AB",IF(AND(IF(AND(NOT(AND(AO153=1,AN153&lt;&gt;1)),ISNUMBER(AI153),AI153&lt;=T153),AU153,0)&gt;0,IF(AND(NOT(AND(AO153=1,AN153&lt;&gt;1)),ISNUMBER(AI153),AI153&lt;=T153),AU153,0)=MAX(IF(AND(NOT(AND(AO153=1,AN153&lt;&gt;1)),ISNUMBER(AG153),AG153&lt;=T153),AS153,0),IF(AND(NOT(AND(AO153=1,AN153&lt;&gt;1)),ISNUMBER(AH153),AH153&lt;=T153),AT153,0),IF(AND(NOT(AND(AO153=1,AN153&lt;&gt;1)),ISNUMBER(AI153),AI153&lt;=T153),AU153,0),IF(AND(ISNUMBER(AJ153),AJ153&lt;=T153),AV153,0))),"SC","Mag")))))))</f>
        <v/>
      </c>
    </row>
    <row r="154">
      <c r="A154" s="26" t="n">
        <v>149</v>
      </c>
      <c r="B154" s="27">
        <f>A154*10/60</f>
        <v/>
      </c>
      <c r="C154" s="22">
        <f>X153</f>
        <v/>
      </c>
      <c r="D154" s="27">
        <f>D153+W153</f>
        <v/>
      </c>
      <c r="E154" s="26">
        <f>E153+IF(U153="SW",1,0)</f>
        <v/>
      </c>
      <c r="F154" s="26">
        <f>F153+IF(U153="AB",1,0)</f>
        <v/>
      </c>
      <c r="G154" s="26">
        <f>G153+IF(U153="SC",1,0)</f>
        <v/>
      </c>
      <c r="H154" s="26">
        <f>H153+IF(U153="Mag",1,0)</f>
        <v/>
      </c>
      <c r="I154" s="26">
        <f>MAX(I153,IF(U153="OR",1,0))</f>
        <v/>
      </c>
      <c r="J154" s="26">
        <f>MAX(J153,IF(U153="HP",1,0))</f>
        <v/>
      </c>
      <c r="K154" s="26">
        <f>MAX(K153,IF(U153="FP",1,0))</f>
        <v/>
      </c>
      <c r="L154" s="26">
        <f>MAX(L153,IF(U153="transition",1,0))</f>
        <v/>
      </c>
      <c r="M154" s="28">
        <f>(Parameters!$B$9+(IF(E154=0,0,(Upgrades!$J$6+E154*Upgrades!$K$6)*POWER(Upgrades!$L$6,E154)))*(IF(Upgrades!$T$7="Solar Wind",POWER(Upgrades!$U$7,F154),1)*IF(Upgrades!$T$8="Solar Wind",POWER(Upgrades!$U$8,G154),1)*IF(Upgrades!$T$9="Solar Wind",POWER(Upgrades!$U$9,H154),1)*IF(Upgrades!$T$10="Solar Wind",POWER(Upgrades!$U$10,I154),1)*IF(Upgrades!$T$11="Solar Wind",POWER(Upgrades!$U$11,J154),1)*IF(Upgrades!$T$12="Solar Wind",POWER(Upgrades!$U$12,K154),1))+(IF(F154=0,0,(Upgrades!$J$7+F154*Upgrades!$K$7)*POWER(Upgrades!$L$7,F154)))*(IF(Upgrades!$T$6="Asteroid Belt",POWER(Upgrades!$U$6,E154),1)*IF(Upgrades!$T$8="Asteroid Belt",POWER(Upgrades!$U$8,G154),1)*IF(Upgrades!$T$9="Asteroid Belt",POWER(Upgrades!$U$9,H154),1)*IF(Upgrades!$T$10="Asteroid Belt",POWER(Upgrades!$U$10,I154),1)*IF(Upgrades!$T$11="Asteroid Belt",POWER(Upgrades!$U$11,J154),1)*IF(Upgrades!$T$12="Asteroid Belt",POWER(Upgrades!$U$12,K154),1))+(IF(G154=0,0,(Upgrades!$J$8+G154*Upgrades!$K$8)*POWER(Upgrades!$L$8,G154)))*(IF(Upgrades!$T$6="Stellar Coupling",POWER(Upgrades!$U$6,E154),1)*IF(Upgrades!$T$7="Stellar Coupling",POWER(Upgrades!$U$7,F154),1)*IF(Upgrades!$T$9="Stellar Coupling",POWER(Upgrades!$U$9,H154),1)*IF(Upgrades!$T$10="Stellar Coupling",POWER(Upgrades!$U$10,I154),1)*IF(Upgrades!$T$11="Stellar Coupling",POWER(Upgrades!$U$11,J154),1)*IF(Upgrades!$T$12="Stellar Coupling",POWER(Upgrades!$U$12,K154),1))+(IF(H154=0,0,(Upgrades!$J$9+H154*Upgrades!$K$9)*POWER(Upgrades!$L$9,H154)))*(IF(Upgrades!$T$6="Magnetosphere",POWER(Upgrades!$U$6,E154),1)*IF(Upgrades!$T$7="Magnetosphere",POWER(Upgrades!$U$7,F154),1)*IF(Upgrades!$T$8="Magnetosphere",POWER(Upgrades!$U$8,G154),1)*IF(Upgrades!$T$10="Magnetosphere",POWER(Upgrades!$U$10,I154),1)*IF(Upgrades!$T$11="Magnetosphere",POWER(Upgrades!$U$11,J154),1)*IF(Upgrades!$T$12="Magnetosphere",POWER(Upgrades!$U$12,K154),1))+(IF(I154=0,0,(Upgrades!$J$10+I154*Upgrades!$K$10)*POWER(Upgrades!$L$10,I154)))*(IF(Upgrades!$T$6="Orbital Resonance",POWER(Upgrades!$U$6,E154),1)*IF(Upgrades!$T$7="Orbital Resonance",POWER(Upgrades!$U$7,F154),1)*IF(Upgrades!$T$8="Orbital Resonance",POWER(Upgrades!$U$8,G154),1)*IF(Upgrades!$T$9="Orbital Resonance",POWER(Upgrades!$U$9,H154),1)*IF(Upgrades!$T$11="Orbital Resonance",POWER(Upgrades!$U$11,J154),1)*IF(Upgrades!$T$12="Orbital Resonance",POWER(Upgrades!$U$12,K154),1))+(IF(J154=0,0,(Upgrades!$J$11+J154*Upgrades!$K$11)*POWER(Upgrades!$L$11,J154)))*(IF(Upgrades!$T$6="Heliopause",POWER(Upgrades!$U$6,E154),1)*IF(Upgrades!$T$7="Heliopause",POWER(Upgrades!$U$7,F154),1)*IF(Upgrades!$T$8="Heliopause",POWER(Upgrades!$U$8,G154),1)*IF(Upgrades!$T$9="Heliopause",POWER(Upgrades!$U$9,H154),1)*IF(Upgrades!$T$10="Heliopause",POWER(Upgrades!$U$10,I154),1)*IF(Upgrades!$T$12="Heliopause",POWER(Upgrades!$U$12,K154),1))+(IF(K154=0,0,(Upgrades!$J$12+K154*Upgrades!$K$12)*POWER(Upgrades!$L$12,K154)))*(IF(Upgrades!$T$6="First Photons",POWER(Upgrades!$U$6,E154),1)*IF(Upgrades!$T$7="First Photons",POWER(Upgrades!$U$7,F154),1)*IF(Upgrades!$T$8="First Photons",POWER(Upgrades!$U$8,G154),1)*IF(Upgrades!$T$9="First Photons",POWER(Upgrades!$U$9,H154),1)*IF(Upgrades!$T$10="First Photons",POWER(Upgrades!$U$10,I154),1)*IF(Upgrades!$T$11="First Photons",POWER(Upgrades!$U$11,J154),1)))*POWER(Upgrades!$Q$6,E154)*POWER(Upgrades!$Q$7,F154)*POWER(Upgrades!$Q$8,G154)*POWER(Upgrades!$Q$9,H154)*POWER(Upgrades!$Q$10,I154)*POWER(Upgrades!$Q$11,J154)*POWER(Upgrades!$Q$12,K154)</f>
        <v/>
      </c>
      <c r="N154" s="28">
        <f>((IF(E154=0,0,(Upgrades!$G$6+E154*Upgrades!$H$6)*POWER(Upgrades!$I$6,E154)))*(IF(Upgrades!$T$7="Solar Wind",POWER(Upgrades!$U$7,F154),1)*IF(Upgrades!$T$8="Solar Wind",POWER(Upgrades!$U$8,G154),1)*IF(Upgrades!$T$9="Solar Wind",POWER(Upgrades!$U$9,H154),1)*IF(Upgrades!$T$10="Solar Wind",POWER(Upgrades!$U$10,I154),1)*IF(Upgrades!$T$11="Solar Wind",POWER(Upgrades!$U$11,J154),1)*IF(Upgrades!$T$12="Solar Wind",POWER(Upgrades!$U$12,K154),1))+(IF(F154=0,0,(Upgrades!$G$7+F154*Upgrades!$H$7)*POWER(Upgrades!$I$7,F154)))*(IF(Upgrades!$T$6="Asteroid Belt",POWER(Upgrades!$U$6,E154),1)*IF(Upgrades!$T$8="Asteroid Belt",POWER(Upgrades!$U$8,G154),1)*IF(Upgrades!$T$9="Asteroid Belt",POWER(Upgrades!$U$9,H154),1)*IF(Upgrades!$T$10="Asteroid Belt",POWER(Upgrades!$U$10,I154),1)*IF(Upgrades!$T$11="Asteroid Belt",POWER(Upgrades!$U$11,J154),1)*IF(Upgrades!$T$12="Asteroid Belt",POWER(Upgrades!$U$12,K154),1))+(IF(G154=0,0,(Upgrades!$G$8+G154*Upgrades!$H$8)*POWER(Upgrades!$I$8,G154)))*(IF(Upgrades!$T$6="Stellar Coupling",POWER(Upgrades!$U$6,E154),1)*IF(Upgrades!$T$7="Stellar Coupling",POWER(Upgrades!$U$7,F154),1)*IF(Upgrades!$T$9="Stellar Coupling",POWER(Upgrades!$U$9,H154),1)*IF(Upgrades!$T$10="Stellar Coupling",POWER(Upgrades!$U$10,I154),1)*IF(Upgrades!$T$11="Stellar Coupling",POWER(Upgrades!$U$11,J154),1)*IF(Upgrades!$T$12="Stellar Coupling",POWER(Upgrades!$U$12,K154),1))+(IF(H154=0,0,(Upgrades!$G$9+H154*Upgrades!$H$9)*POWER(Upgrades!$I$9,H154)))*(IF(Upgrades!$T$6="Magnetosphere",POWER(Upgrades!$U$6,E154),1)*IF(Upgrades!$T$7="Magnetosphere",POWER(Upgrades!$U$7,F154),1)*IF(Upgrades!$T$8="Magnetosphere",POWER(Upgrades!$U$8,G154),1)*IF(Upgrades!$T$10="Magnetosphere",POWER(Upgrades!$U$10,I154),1)*IF(Upgrades!$T$11="Magnetosphere",POWER(Upgrades!$U$11,J154),1)*IF(Upgrades!$T$12="Magnetosphere",POWER(Upgrades!$U$12,K154),1))+(IF(I154=0,0,(Upgrades!$G$10+I154*Upgrades!$H$10)*POWER(Upgrades!$I$10,I154)))*(IF(Upgrades!$T$6="Orbital Resonance",POWER(Upgrades!$U$6,E154),1)*IF(Upgrades!$T$7="Orbital Resonance",POWER(Upgrades!$U$7,F154),1)*IF(Upgrades!$T$8="Orbital Resonance",POWER(Upgrades!$U$8,G154),1)*IF(Upgrades!$T$9="Orbital Resonance",POWER(Upgrades!$U$9,H154),1)*IF(Upgrades!$T$11="Orbital Resonance",POWER(Upgrades!$U$11,J154),1)*IF(Upgrades!$T$12="Orbital Resonance",POWER(Upgrades!$U$12,K154),1))+(IF(J154=0,0,(Upgrades!$G$11+J154*Upgrades!$H$11)*POWER(Upgrades!$I$11,J154)))*(IF(Upgrades!$T$6="Heliopause",POWER(Upgrades!$U$6,E154),1)*IF(Upgrades!$T$7="Heliopause",POWER(Upgrades!$U$7,F154),1)*IF(Upgrades!$T$8="Heliopause",POWER(Upgrades!$U$8,G154),1)*IF(Upgrades!$T$9="Heliopause",POWER(Upgrades!$U$9,H154),1)*IF(Upgrades!$T$10="Heliopause",POWER(Upgrades!$U$10,I154),1)*IF(Upgrades!$T$12="Heliopause",POWER(Upgrades!$U$12,K154),1))+(IF(K154=0,0,(Upgrades!$G$12+K154*Upgrades!$H$12)*POWER(Upgrades!$I$12,K154)))*(IF(Upgrades!$T$6="First Photons",POWER(Upgrades!$U$6,E154),1)*IF(Upgrades!$T$7="First Photons",POWER(Upgrades!$U$7,F154),1)*IF(Upgrades!$T$8="First Photons",POWER(Upgrades!$U$8,G154),1)*IF(Upgrades!$T$9="First Photons",POWER(Upgrades!$U$9,H154),1)*IF(Upgrades!$T$10="First Photons",POWER(Upgrades!$U$10,I154),1)*IF(Upgrades!$T$11="First Photons",POWER(Upgrades!$U$11,J154),1)))*POWER(Upgrades!$P$6,E154)*POWER(Upgrades!$P$7,F154)*POWER(Upgrades!$P$8,G154)*POWER(Upgrades!$P$9,H154)*POWER(Upgrades!$P$10,I154)*POWER(Upgrades!$P$11,J154)*POWER(Upgrades!$P$12,K154)</f>
        <v/>
      </c>
      <c r="O154" s="28">
        <f>((IF(E154=0,0,(Upgrades!$M$6+E154*Upgrades!$N$6)*POWER(Upgrades!$O$6,E154)))*(IF(Upgrades!$T$7="Solar Wind",POWER(Upgrades!$U$7,F154),1)*IF(Upgrades!$T$8="Solar Wind",POWER(Upgrades!$U$8,G154),1)*IF(Upgrades!$T$9="Solar Wind",POWER(Upgrades!$U$9,H154),1)*IF(Upgrades!$T$10="Solar Wind",POWER(Upgrades!$U$10,I154),1)*IF(Upgrades!$T$11="Solar Wind",POWER(Upgrades!$U$11,J154),1)*IF(Upgrades!$T$12="Solar Wind",POWER(Upgrades!$U$12,K154),1))+(IF(F154=0,0,(Upgrades!$M$7+F154*Upgrades!$N$7)*POWER(Upgrades!$O$7,F154)))*(IF(Upgrades!$T$6="Asteroid Belt",POWER(Upgrades!$U$6,E154),1)*IF(Upgrades!$T$8="Asteroid Belt",POWER(Upgrades!$U$8,G154),1)*IF(Upgrades!$T$9="Asteroid Belt",POWER(Upgrades!$U$9,H154),1)*IF(Upgrades!$T$10="Asteroid Belt",POWER(Upgrades!$U$10,I154),1)*IF(Upgrades!$T$11="Asteroid Belt",POWER(Upgrades!$U$11,J154),1)*IF(Upgrades!$T$12="Asteroid Belt",POWER(Upgrades!$U$12,K154),1))+(IF(G154=0,0,(Upgrades!$M$8+G154*Upgrades!$N$8)*POWER(Upgrades!$O$8,G154)))*(IF(Upgrades!$T$6="Stellar Coupling",POWER(Upgrades!$U$6,E154),1)*IF(Upgrades!$T$7="Stellar Coupling",POWER(Upgrades!$U$7,F154),1)*IF(Upgrades!$T$9="Stellar Coupling",POWER(Upgrades!$U$9,H154),1)*IF(Upgrades!$T$10="Stellar Coupling",POWER(Upgrades!$U$10,I154),1)*IF(Upgrades!$T$11="Stellar Coupling",POWER(Upgrades!$U$11,J154),1)*IF(Upgrades!$T$12="Stellar Coupling",POWER(Upgrades!$U$12,K154),1))+(IF(H154=0,0,(Upgrades!$M$9+H154*Upgrades!$N$9)*POWER(Upgrades!$O$9,H154)))*(IF(Upgrades!$T$6="Magnetosphere",POWER(Upgrades!$U$6,E154),1)*IF(Upgrades!$T$7="Magnetosphere",POWER(Upgrades!$U$7,F154),1)*IF(Upgrades!$T$8="Magnetosphere",POWER(Upgrades!$U$8,G154),1)*IF(Upgrades!$T$10="Magnetosphere",POWER(Upgrades!$U$10,I154),1)*IF(Upgrades!$T$11="Magnetosphere",POWER(Upgrades!$U$11,J154),1)*IF(Upgrades!$T$12="Magnetosphere",POWER(Upgrades!$U$12,K154),1))+(IF(I154=0,0,(Upgrades!$M$10+I154*Upgrades!$N$10)*POWER(Upgrades!$O$10,I154)))*(IF(Upgrades!$T$6="Orbital Resonance",POWER(Upgrades!$U$6,E154),1)*IF(Upgrades!$T$7="Orbital Resonance",POWER(Upgrades!$U$7,F154),1)*IF(Upgrades!$T$8="Orbital Resonance",POWER(Upgrades!$U$8,G154),1)*IF(Upgrades!$T$9="Orbital Resonance",POWER(Upgrades!$U$9,H154),1)*IF(Upgrades!$T$11="Orbital Resonance",POWER(Upgrades!$U$11,J154),1)*IF(Upgrades!$T$12="Orbital Resonance",POWER(Upgrades!$U$12,K154),1))+(IF(J154=0,0,(Upgrades!$M$11+J154*Upgrades!$N$11)*POWER(Upgrades!$O$11,J154)))*(IF(Upgrades!$T$6="Heliopause",POWER(Upgrades!$U$6,E154),1)*IF(Upgrades!$T$7="Heliopause",POWER(Upgrades!$U$7,F154),1)*IF(Upgrades!$T$8="Heliopause",POWER(Upgrades!$U$8,G154),1)*IF(Upgrades!$T$9="Heliopause",POWER(Upgrades!$U$9,H154),1)*IF(Upgrades!$T$10="Heliopause",POWER(Upgrades!$U$10,I154),1)*IF(Upgrades!$T$12="Heliopause",POWER(Upgrades!$U$12,K154),1))+(IF(K154=0,0,(Upgrades!$M$12+K154*Upgrades!$N$12)*POWER(Upgrades!$O$12,K154)))*(IF(Upgrades!$T$6="First Photons",POWER(Upgrades!$U$6,E154),1)*IF(Upgrades!$T$7="First Photons",POWER(Upgrades!$U$7,F154),1)*IF(Upgrades!$T$8="First Photons",POWER(Upgrades!$U$8,G154),1)*IF(Upgrades!$T$9="First Photons",POWER(Upgrades!$U$9,H154),1)*IF(Upgrades!$T$10="First Photons",POWER(Upgrades!$U$10,I154),1)*IF(Upgrades!$T$11="First Photons",POWER(Upgrades!$U$11,J154),1)))*POWER(Upgrades!$R$6,E154)*POWER(Upgrades!$R$7,F154)*POWER(Upgrades!$R$8,G154)*POWER(Upgrades!$R$9,H154)*POWER(Upgrades!$R$10,I154)*POWER(Upgrades!$R$11,J154)*POWER(Upgrades!$R$12,K154)</f>
        <v/>
      </c>
      <c r="P154" s="27">
        <f>IF(L154=1,0,M154*Parameters!$B$10/60*Parameters!$B$11*10)</f>
        <v/>
      </c>
      <c r="Q154" s="27">
        <f>IF(L154=1,0,O154*M154*10)</f>
        <v/>
      </c>
      <c r="R154" s="27">
        <f>IF(L154=1,0,N154*10)</f>
        <v/>
      </c>
      <c r="S154" s="27">
        <f>P154+Q154+R154</f>
        <v/>
      </c>
      <c r="T154" s="22">
        <f>C154+S154</f>
        <v/>
      </c>
      <c r="U154" s="33">
        <f>AX154</f>
        <v/>
      </c>
      <c r="V154" s="22">
        <f>IF(U154="",0,IF(U154="transition",0,IF(U154="SW",AG154,IF(U154="AB",AH154,IF(U154="SC",AI154,IF(U154="Mag",AJ154,IF(U154="OR",AK154,IF(U154="HP",AL154,IF(U154="FP",AM154,0)))))))))</f>
        <v/>
      </c>
      <c r="W154" s="27">
        <f>IF(U154="OR",Upgrades!$F$10,IF(U154="HP",Upgrades!$F$11,IF(U154="transition",-Parameters!$B$18,0)))</f>
        <v/>
      </c>
      <c r="X154" s="22">
        <f>T154-V154</f>
        <v/>
      </c>
      <c r="Y154" s="30">
        <f>M154*Parameters!$B$10/60*Parameters!$B$11+O154*M154+N154</f>
        <v/>
      </c>
      <c r="Z154" s="34">
        <f>IF(U154="transition","→ Tier 2 (Stellar Neighborhood)",IF(U154="FP","First Photons — light begins, system quickens",IF(U154="HP","Heliopause acquired",IF(U154="OR","Orbital Resonance — passive multiplier active",IF(AND(AO154=1,L154=0,AN154&lt;&gt;1),"Cohesion ready (waiting on completionist upgrades)","")))))</f>
        <v/>
      </c>
      <c r="AA154" s="27">
        <f>(IF(E154=0,0,(Upgrades!$G$6+E154*Upgrades!$H$6)*POWER(Upgrades!$I$6,E154)))*(IF(Upgrades!$T$7="Solar Wind",POWER(Upgrades!$U$7,F154),1)*IF(Upgrades!$T$8="Solar Wind",POWER(Upgrades!$U$8,G154),1)*IF(Upgrades!$T$9="Solar Wind",POWER(Upgrades!$U$9,H154),1)*IF(Upgrades!$T$10="Solar Wind",POWER(Upgrades!$U$10,I154),1)*IF(Upgrades!$T$11="Solar Wind",POWER(Upgrades!$U$11,J154),1)*IF(Upgrades!$T$12="Solar Wind",POWER(Upgrades!$U$12,K154),1))*POWER(Upgrades!$P$6,E154)*POWER(Upgrades!$P$7,F154)*POWER(Upgrades!$P$8,G154)*POWER(Upgrades!$P$9,H154)*POWER(Upgrades!$P$10,I154)*POWER(Upgrades!$P$11,J154)*POWER(Upgrades!$P$12,K154)*60</f>
        <v/>
      </c>
      <c r="AB154" s="27">
        <f>(IF(F154=0,0,(Upgrades!$G$7+F154*Upgrades!$H$7)*POWER(Upgrades!$I$7,F154)))*(IF(Upgrades!$T$6="Asteroid Belt",POWER(Upgrades!$U$6,E154),1)*IF(Upgrades!$T$8="Asteroid Belt",POWER(Upgrades!$U$8,G154),1)*IF(Upgrades!$T$9="Asteroid Belt",POWER(Upgrades!$U$9,H154),1)*IF(Upgrades!$T$10="Asteroid Belt",POWER(Upgrades!$U$10,I154),1)*IF(Upgrades!$T$11="Asteroid Belt",POWER(Upgrades!$U$11,J154),1)*IF(Upgrades!$T$12="Asteroid Belt",POWER(Upgrades!$U$12,K154),1))*POWER(Upgrades!$P$6,E154)*POWER(Upgrades!$P$7,F154)*POWER(Upgrades!$P$8,G154)*POWER(Upgrades!$P$9,H154)*POWER(Upgrades!$P$10,I154)*POWER(Upgrades!$P$11,J154)*POWER(Upgrades!$P$12,K154)*60</f>
        <v/>
      </c>
      <c r="AC154" s="27">
        <f>(IF(G154=0,0,(Upgrades!$J$8+G154*Upgrades!$K$8)*POWER(Upgrades!$L$8,G154)))*(IF(Upgrades!$T$6="Stellar Coupling",POWER(Upgrades!$U$6,E154),1)*IF(Upgrades!$T$7="Stellar Coupling",POWER(Upgrades!$U$7,F154),1)*IF(Upgrades!$T$9="Stellar Coupling",POWER(Upgrades!$U$9,H154),1)*IF(Upgrades!$T$10="Stellar Coupling",POWER(Upgrades!$U$10,I154),1)*IF(Upgrades!$T$11="Stellar Coupling",POWER(Upgrades!$U$11,J154),1)*IF(Upgrades!$T$12="Stellar Coupling",POWER(Upgrades!$U$12,K154),1))*POWER(Upgrades!$Q$6,E154)*POWER(Upgrades!$Q$7,F154)*POWER(Upgrades!$Q$8,G154)*POWER(Upgrades!$Q$9,H154)*POWER(Upgrades!$Q$10,I154)*POWER(Upgrades!$Q$11,J154)*POWER(Upgrades!$Q$12,K154)*Parameters!$B$10*Parameters!$B$11</f>
        <v/>
      </c>
      <c r="AD154" s="27">
        <f>(IF(H154=0,0,(Upgrades!$G$9+H154*Upgrades!$H$9)*POWER(Upgrades!$I$9,H154)))*(IF(Upgrades!$T$6="Magnetosphere",POWER(Upgrades!$U$6,E154),1)*IF(Upgrades!$T$7="Magnetosphere",POWER(Upgrades!$U$7,F154),1)*IF(Upgrades!$T$8="Magnetosphere",POWER(Upgrades!$U$8,G154),1)*IF(Upgrades!$T$10="Magnetosphere",POWER(Upgrades!$U$10,I154),1)*IF(Upgrades!$T$11="Magnetosphere",POWER(Upgrades!$U$11,J154),1)*IF(Upgrades!$T$12="Magnetosphere",POWER(Upgrades!$U$12,K154),1))*POWER(Upgrades!$P$6,E154)*POWER(Upgrades!$P$7,F154)*POWER(Upgrades!$P$8,G154)*POWER(Upgrades!$P$9,H154)*POWER(Upgrades!$P$10,I154)*POWER(Upgrades!$P$11,J154)*POWER(Upgrades!$P$12,K154)*60</f>
        <v/>
      </c>
      <c r="AE154" s="27">
        <f>(IF(K154=0,0,(Upgrades!$G$12+K154*Upgrades!$H$12)*POWER(Upgrades!$I$12,K154)))*(IF(Upgrades!$T$6="First Photons",POWER(Upgrades!$U$6,E154),1)*IF(Upgrades!$T$7="First Photons",POWER(Upgrades!$U$7,F154),1)*IF(Upgrades!$T$8="First Photons",POWER(Upgrades!$U$8,G154),1)*IF(Upgrades!$T$9="First Photons",POWER(Upgrades!$U$9,H154),1)*IF(Upgrades!$T$10="First Photons",POWER(Upgrades!$U$10,I154),1)*IF(Upgrades!$T$11="First Photons",POWER(Upgrades!$U$11,J154),1))*POWER(Upgrades!$P$6,E154)*POWER(Upgrades!$P$7,F154)*POWER(Upgrades!$P$8,G154)*POWER(Upgrades!$P$9,H154)*POWER(Upgrades!$P$10,I154)*POWER(Upgrades!$P$11,J154)*POWER(Upgrades!$P$12,K154)*60</f>
        <v/>
      </c>
      <c r="AF154" s="27">
        <f>Parameters!$B$9*POWER(Upgrades!$Q$6,E154)*POWER(Upgrades!$Q$7,F154)*POWER(Upgrades!$Q$8,G154)*POWER(Upgrades!$Q$9,H154)*POWER(Upgrades!$Q$10,I154)*POWER(Upgrades!$Q$11,J154)*POWER(Upgrades!$Q$12,K154)*(Parameters!$B$10*Parameters!$B$11+O154*60)</f>
        <v/>
      </c>
      <c r="AG154" s="22">
        <f>IF(E154&gt;=Upgrades!$E$6,"",Upgrades!$C$6*POWER(Upgrades!$D$6,E154))</f>
        <v/>
      </c>
      <c r="AH154" s="22">
        <f>IF(F154&gt;=Upgrades!$E$7,"",Upgrades!$C$7*POWER(Upgrades!$D$7,F154))</f>
        <v/>
      </c>
      <c r="AI154" s="22">
        <f>IF(G154&gt;=Upgrades!$E$8,"",Upgrades!$C$8*POWER(Upgrades!$D$8,G154))</f>
        <v/>
      </c>
      <c r="AJ154" s="22">
        <f>IF(H154&gt;=Upgrades!$E$9,"",Upgrades!$C$9*POWER(Upgrades!$D$9,H154))</f>
        <v/>
      </c>
      <c r="AK154" s="22">
        <f>IF(I154&gt;=Upgrades!$E$10,"",Upgrades!$C$10*POWER(Upgrades!$D$10,I154))</f>
        <v/>
      </c>
      <c r="AL154" s="22">
        <f>IF(J154&gt;=Upgrades!$E$11,"",Upgrades!$C$11*POWER(Upgrades!$D$11,J154))</f>
        <v/>
      </c>
      <c r="AM154" s="22">
        <f>IF(K154&gt;=Upgrades!$E$12,"",Upgrades!$C$12*POWER(Upgrades!$D$12,K154))</f>
        <v/>
      </c>
      <c r="AN154" s="26">
        <f>IF(AND(D154&gt;=Parameters!$B$18,(H154&gt;=Upgrades!$E$9)*(K154&gt;=Upgrades!$E$12)=1,L154=0),1,"")</f>
        <v/>
      </c>
      <c r="AO154" s="26">
        <f>IF(AND(D154&gt;=Parameters!$B$18,L154=0),1,"")</f>
        <v/>
      </c>
      <c r="AP154" s="22">
        <f>MIN(IF(ISNUMBER(AK154),AK154,9E15),IF(ISNUMBER(AL154),AL154,9E15),IF(ISNUMBER(AM154),AM154,9E15))</f>
        <v/>
      </c>
      <c r="AQ154" s="22">
        <f>MIN(IF(ISNUMBER(AG154),AG154,9E15),IF(ISNUMBER(AH154),AH154,9E15),IF(ISNUMBER(AI154),AI154,9E15),IF(ISNUMBER(AJ154),AJ154,9E15))</f>
        <v/>
      </c>
      <c r="AR154" s="29">
        <f>IF(AW154&gt;Parameters!$B$21*(MAX(IF(AND(NOT(AND(AO154=1,AN154&lt;&gt;1)),ISNUMBER(AG154),AG154&lt;=T154),AS154,0),IF(AND(NOT(AND(AO154=1,AN154&lt;&gt;1)),ISNUMBER(AH154),AH154&lt;=T154),AT154,0),IF(AND(NOT(AND(AO154=1,AN154&lt;&gt;1)),ISNUMBER(AI154),AI154&lt;=T154),AU154,0),IF(AND(ISNUMBER(AJ154),AJ154&lt;=T154),AV154,0))),TRUE,FALSE)</f>
        <v/>
      </c>
      <c r="AS154" s="32">
        <f>IFERROR(Upgrades!$H$6*(POWER(Upgrades!$P$6,E154)*POWER(Upgrades!$P$7,F154)*POWER(Upgrades!$P$8,G154)*POWER(Upgrades!$P$9,H154)*POWER(Upgrades!$P$10,I154)*POWER(Upgrades!$P$11,J154)*POWER(Upgrades!$P$12,K154))*(IF(Upgrades!$T$7="Solar Wind",POWER(Upgrades!$U$7,F154),1)*IF(Upgrades!$T$8="Solar Wind",POWER(Upgrades!$U$8,G154),1)*IF(Upgrades!$T$9="Solar Wind",POWER(Upgrades!$U$9,H154),1)*IF(Upgrades!$T$10="Solar Wind",POWER(Upgrades!$U$10,I154),1)*IF(Upgrades!$T$11="Solar Wind",POWER(Upgrades!$U$11,J154),1)*IF(Upgrades!$T$12="Solar Wind",POWER(Upgrades!$U$12,K154),1))/AG154,0)</f>
        <v/>
      </c>
      <c r="AT154" s="32">
        <f>IFERROR(Upgrades!$H$7*(POWER(Upgrades!$P$6,E154)*POWER(Upgrades!$P$7,F154)*POWER(Upgrades!$P$8,G154)*POWER(Upgrades!$P$9,H154)*POWER(Upgrades!$P$10,I154)*POWER(Upgrades!$P$11,J154)*POWER(Upgrades!$P$12,K154))*(IF(Upgrades!$T$6="Asteroid Belt",POWER(Upgrades!$U$6,E154),1)*IF(Upgrades!$T$8="Asteroid Belt",POWER(Upgrades!$U$8,G154),1)*IF(Upgrades!$T$9="Asteroid Belt",POWER(Upgrades!$U$9,H154),1)*IF(Upgrades!$T$10="Asteroid Belt",POWER(Upgrades!$U$10,I154),1)*IF(Upgrades!$T$11="Asteroid Belt",POWER(Upgrades!$U$11,J154),1)*IF(Upgrades!$T$12="Asteroid Belt",POWER(Upgrades!$U$12,K154),1))/AH154,0)</f>
        <v/>
      </c>
      <c r="AU154" s="32">
        <f>IFERROR(Upgrades!$K$8*(POWER(Upgrades!$Q$6,E154)*POWER(Upgrades!$Q$7,F154)*POWER(Upgrades!$Q$8,G154)*POWER(Upgrades!$Q$9,H154)*POWER(Upgrades!$Q$10,I154)*POWER(Upgrades!$Q$11,J154)*POWER(Upgrades!$Q$12,K154))*(IF(Upgrades!$T$6="Stellar Coupling",POWER(Upgrades!$U$6,E154),1)*IF(Upgrades!$T$7="Stellar Coupling",POWER(Upgrades!$U$7,F154),1)*IF(Upgrades!$T$9="Stellar Coupling",POWER(Upgrades!$U$9,H154),1)*IF(Upgrades!$T$10="Stellar Coupling",POWER(Upgrades!$U$10,I154),1)*IF(Upgrades!$T$11="Stellar Coupling",POWER(Upgrades!$U$11,J154),1)*IF(Upgrades!$T$12="Stellar Coupling",POWER(Upgrades!$U$12,K154),1))*Parameters!$B$10*Parameters!$B$11/60/AI154,0)</f>
        <v/>
      </c>
      <c r="AV154" s="32">
        <f>IFERROR(Upgrades!$H$9*(POWER(Upgrades!$P$6,E154)*POWER(Upgrades!$P$7,F154)*POWER(Upgrades!$P$8,G154)*POWER(Upgrades!$P$9,H154)*POWER(Upgrades!$P$10,I154)*POWER(Upgrades!$P$11,J154)*POWER(Upgrades!$P$12,K154))*(IF(Upgrades!$T$6="Magnetosphere",POWER(Upgrades!$U$6,E154),1)*IF(Upgrades!$T$7="Magnetosphere",POWER(Upgrades!$U$7,F154),1)*IF(Upgrades!$T$8="Magnetosphere",POWER(Upgrades!$U$8,G154),1)*IF(Upgrades!$T$10="Magnetosphere",POWER(Upgrades!$U$10,I154),1)*IF(Upgrades!$T$11="Magnetosphere",POWER(Upgrades!$U$11,J154),1)*IF(Upgrades!$T$12="Magnetosphere",POWER(Upgrades!$U$12,K154),1))/AJ154,0)</f>
        <v/>
      </c>
      <c r="AW154" s="32">
        <f>MAX(IF(I154&gt;0,0,IFERROR(0.25*N154/Upgrades!$C$10,0)),IF(J154&gt;0,0,IFERROR(0.5*((IF(G154=0,0,(Upgrades!$J$8+G154*Upgrades!$K$8)*POWER(Upgrades!$L$8,G154)))*(IF(Upgrades!$T$6="Stellar Coupling",POWER(Upgrades!$U$6,E154),1)*IF(Upgrades!$T$7="Stellar Coupling",POWER(Upgrades!$U$7,F154),1)*IF(Upgrades!$T$9="Stellar Coupling",POWER(Upgrades!$U$9,H154),1)*IF(Upgrades!$T$10="Stellar Coupling",POWER(Upgrades!$U$10,I154),1)*IF(Upgrades!$T$11="Stellar Coupling",POWER(Upgrades!$U$11,J154),1)*IF(Upgrades!$T$12="Stellar Coupling",POWER(Upgrades!$U$12,K154),1))*(POWER(Upgrades!$Q$6,E154)*POWER(Upgrades!$Q$7,F154)*POWER(Upgrades!$Q$8,G154)*POWER(Upgrades!$Q$9,H154)*POWER(Upgrades!$Q$10,I154)*POWER(Upgrades!$Q$11,J154)*POWER(Upgrades!$Q$12,K154))*Parameters!$B$10*Parameters!$B$11/60)/Upgrades!$C$11,0)),IF(K154&gt;0,0,IFERROR((1.0*(POWER(Upgrades!$P$6,E154)*POWER(Upgrades!$P$7,F154)*POWER(Upgrades!$P$8,G154)*POWER(Upgrades!$P$9,H154)*POWER(Upgrades!$P$10,I154)*POWER(Upgrades!$P$11,J154)*POWER(Upgrades!$P$12,K154))+0.20*M154*Parameters!$B$10*Parameters!$B$11/60)/Upgrades!$C$12,0)),IF(AND(ISNUMBER(AG154),AG154&gt;T154),AS154,0),IF(AND(ISNUMBER(AH154),AH154&gt;T154),AT154,0),IF(AND(ISNUMBER(AI154),AI154&gt;T154),AU154,0),IF(AND(ISNUMBER(AJ154),AJ154&gt;T154),AV154,0))</f>
        <v/>
      </c>
      <c r="AX154" s="29">
        <f>IF(AN154=1,"transition",IF(MIN(IF(AND(I154=0,ISNUMBER(AK154),AK154&lt;=T154),AK154,9E15),IF(AND(J154=0,ISNUMBER(AL154),AL154&lt;=T154),AL154,9E15),IF(AND(K154=0,ISNUMBER(AM154),AM154&lt;=T154),AM154,9E15))&lt;9E15,IF(AND(AND(I154=0,ISNUMBER(AK154),AK154&lt;=T154),AK154=MIN(IF(AND(I154=0,ISNUMBER(AK154),AK154&lt;=T154),AK154,9E15),IF(AND(J154=0,ISNUMBER(AL154),AL154&lt;=T154),AL154,9E15),IF(AND(K154=0,ISNUMBER(AM154),AM154&lt;=T154),AM154,9E15))),"OR",IF(AND(AND(J154=0,ISNUMBER(AL154),AL154&lt;=T154),AL154=MIN(IF(AND(I154=0,ISNUMBER(AK154),AK154&lt;=T154),AK154,9E15),IF(AND(J154=0,ISNUMBER(AL154),AL154&lt;=T154),AL154,9E15),IF(AND(K154=0,ISNUMBER(AM154),AM154&lt;=T154),AM154,9E15))),"HP","FP")),IF(AR154=TRUE,"",IF(MAX(IF(AND(NOT(AND(AO154=1,AN154&lt;&gt;1)),ISNUMBER(AG154),AG154&lt;=T154),AS154,0),IF(AND(NOT(AND(AO154=1,AN154&lt;&gt;1)),ISNUMBER(AH154),AH154&lt;=T154),AT154,0),IF(AND(NOT(AND(AO154=1,AN154&lt;&gt;1)),ISNUMBER(AI154),AI154&lt;=T154),AU154,0),IF(AND(ISNUMBER(AJ154),AJ154&lt;=T154),AV154,0))&lt;=0,"",IF(AND(IF(AND(NOT(AND(AO154=1,AN154&lt;&gt;1)),ISNUMBER(AG154),AG154&lt;=T154),AS154,0)&gt;0,IF(AND(NOT(AND(AO154=1,AN154&lt;&gt;1)),ISNUMBER(AG154),AG154&lt;=T154),AS154,0)=MAX(IF(AND(NOT(AND(AO154=1,AN154&lt;&gt;1)),ISNUMBER(AG154),AG154&lt;=T154),AS154,0),IF(AND(NOT(AND(AO154=1,AN154&lt;&gt;1)),ISNUMBER(AH154),AH154&lt;=T154),AT154,0),IF(AND(NOT(AND(AO154=1,AN154&lt;&gt;1)),ISNUMBER(AI154),AI154&lt;=T154),AU154,0),IF(AND(ISNUMBER(AJ154),AJ154&lt;=T154),AV154,0))),"SW",IF(AND(IF(AND(NOT(AND(AO154=1,AN154&lt;&gt;1)),ISNUMBER(AH154),AH154&lt;=T154),AT154,0)&gt;0,IF(AND(NOT(AND(AO154=1,AN154&lt;&gt;1)),ISNUMBER(AH154),AH154&lt;=T154),AT154,0)=MAX(IF(AND(NOT(AND(AO154=1,AN154&lt;&gt;1)),ISNUMBER(AG154),AG154&lt;=T154),AS154,0),IF(AND(NOT(AND(AO154=1,AN154&lt;&gt;1)),ISNUMBER(AH154),AH154&lt;=T154),AT154,0),IF(AND(NOT(AND(AO154=1,AN154&lt;&gt;1)),ISNUMBER(AI154),AI154&lt;=T154),AU154,0),IF(AND(ISNUMBER(AJ154),AJ154&lt;=T154),AV154,0))),"AB",IF(AND(IF(AND(NOT(AND(AO154=1,AN154&lt;&gt;1)),ISNUMBER(AI154),AI154&lt;=T154),AU154,0)&gt;0,IF(AND(NOT(AND(AO154=1,AN154&lt;&gt;1)),ISNUMBER(AI154),AI154&lt;=T154),AU154,0)=MAX(IF(AND(NOT(AND(AO154=1,AN154&lt;&gt;1)),ISNUMBER(AG154),AG154&lt;=T154),AS154,0),IF(AND(NOT(AND(AO154=1,AN154&lt;&gt;1)),ISNUMBER(AH154),AH154&lt;=T154),AT154,0),IF(AND(NOT(AND(AO154=1,AN154&lt;&gt;1)),ISNUMBER(AI154),AI154&lt;=T154),AU154,0),IF(AND(ISNUMBER(AJ154),AJ154&lt;=T154),AV154,0))),"SC","Mag")))))))</f>
        <v/>
      </c>
    </row>
    <row r="155">
      <c r="A155" s="26" t="n">
        <v>150</v>
      </c>
      <c r="B155" s="27">
        <f>A155*10/60</f>
        <v/>
      </c>
      <c r="C155" s="22">
        <f>X154</f>
        <v/>
      </c>
      <c r="D155" s="27">
        <f>D154+W154</f>
        <v/>
      </c>
      <c r="E155" s="26">
        <f>E154+IF(U154="SW",1,0)</f>
        <v/>
      </c>
      <c r="F155" s="26">
        <f>F154+IF(U154="AB",1,0)</f>
        <v/>
      </c>
      <c r="G155" s="26">
        <f>G154+IF(U154="SC",1,0)</f>
        <v/>
      </c>
      <c r="H155" s="26">
        <f>H154+IF(U154="Mag",1,0)</f>
        <v/>
      </c>
      <c r="I155" s="26">
        <f>MAX(I154,IF(U154="OR",1,0))</f>
        <v/>
      </c>
      <c r="J155" s="26">
        <f>MAX(J154,IF(U154="HP",1,0))</f>
        <v/>
      </c>
      <c r="K155" s="26">
        <f>MAX(K154,IF(U154="FP",1,0))</f>
        <v/>
      </c>
      <c r="L155" s="26">
        <f>MAX(L154,IF(U154="transition",1,0))</f>
        <v/>
      </c>
      <c r="M155" s="28">
        <f>(Parameters!$B$9+(IF(E155=0,0,(Upgrades!$J$6+E155*Upgrades!$K$6)*POWER(Upgrades!$L$6,E155)))*(IF(Upgrades!$T$7="Solar Wind",POWER(Upgrades!$U$7,F155),1)*IF(Upgrades!$T$8="Solar Wind",POWER(Upgrades!$U$8,G155),1)*IF(Upgrades!$T$9="Solar Wind",POWER(Upgrades!$U$9,H155),1)*IF(Upgrades!$T$10="Solar Wind",POWER(Upgrades!$U$10,I155),1)*IF(Upgrades!$T$11="Solar Wind",POWER(Upgrades!$U$11,J155),1)*IF(Upgrades!$T$12="Solar Wind",POWER(Upgrades!$U$12,K155),1))+(IF(F155=0,0,(Upgrades!$J$7+F155*Upgrades!$K$7)*POWER(Upgrades!$L$7,F155)))*(IF(Upgrades!$T$6="Asteroid Belt",POWER(Upgrades!$U$6,E155),1)*IF(Upgrades!$T$8="Asteroid Belt",POWER(Upgrades!$U$8,G155),1)*IF(Upgrades!$T$9="Asteroid Belt",POWER(Upgrades!$U$9,H155),1)*IF(Upgrades!$T$10="Asteroid Belt",POWER(Upgrades!$U$10,I155),1)*IF(Upgrades!$T$11="Asteroid Belt",POWER(Upgrades!$U$11,J155),1)*IF(Upgrades!$T$12="Asteroid Belt",POWER(Upgrades!$U$12,K155),1))+(IF(G155=0,0,(Upgrades!$J$8+G155*Upgrades!$K$8)*POWER(Upgrades!$L$8,G155)))*(IF(Upgrades!$T$6="Stellar Coupling",POWER(Upgrades!$U$6,E155),1)*IF(Upgrades!$T$7="Stellar Coupling",POWER(Upgrades!$U$7,F155),1)*IF(Upgrades!$T$9="Stellar Coupling",POWER(Upgrades!$U$9,H155),1)*IF(Upgrades!$T$10="Stellar Coupling",POWER(Upgrades!$U$10,I155),1)*IF(Upgrades!$T$11="Stellar Coupling",POWER(Upgrades!$U$11,J155),1)*IF(Upgrades!$T$12="Stellar Coupling",POWER(Upgrades!$U$12,K155),1))+(IF(H155=0,0,(Upgrades!$J$9+H155*Upgrades!$K$9)*POWER(Upgrades!$L$9,H155)))*(IF(Upgrades!$T$6="Magnetosphere",POWER(Upgrades!$U$6,E155),1)*IF(Upgrades!$T$7="Magnetosphere",POWER(Upgrades!$U$7,F155),1)*IF(Upgrades!$T$8="Magnetosphere",POWER(Upgrades!$U$8,G155),1)*IF(Upgrades!$T$10="Magnetosphere",POWER(Upgrades!$U$10,I155),1)*IF(Upgrades!$T$11="Magnetosphere",POWER(Upgrades!$U$11,J155),1)*IF(Upgrades!$T$12="Magnetosphere",POWER(Upgrades!$U$12,K155),1))+(IF(I155=0,0,(Upgrades!$J$10+I155*Upgrades!$K$10)*POWER(Upgrades!$L$10,I155)))*(IF(Upgrades!$T$6="Orbital Resonance",POWER(Upgrades!$U$6,E155),1)*IF(Upgrades!$T$7="Orbital Resonance",POWER(Upgrades!$U$7,F155),1)*IF(Upgrades!$T$8="Orbital Resonance",POWER(Upgrades!$U$8,G155),1)*IF(Upgrades!$T$9="Orbital Resonance",POWER(Upgrades!$U$9,H155),1)*IF(Upgrades!$T$11="Orbital Resonance",POWER(Upgrades!$U$11,J155),1)*IF(Upgrades!$T$12="Orbital Resonance",POWER(Upgrades!$U$12,K155),1))+(IF(J155=0,0,(Upgrades!$J$11+J155*Upgrades!$K$11)*POWER(Upgrades!$L$11,J155)))*(IF(Upgrades!$T$6="Heliopause",POWER(Upgrades!$U$6,E155),1)*IF(Upgrades!$T$7="Heliopause",POWER(Upgrades!$U$7,F155),1)*IF(Upgrades!$T$8="Heliopause",POWER(Upgrades!$U$8,G155),1)*IF(Upgrades!$T$9="Heliopause",POWER(Upgrades!$U$9,H155),1)*IF(Upgrades!$T$10="Heliopause",POWER(Upgrades!$U$10,I155),1)*IF(Upgrades!$T$12="Heliopause",POWER(Upgrades!$U$12,K155),1))+(IF(K155=0,0,(Upgrades!$J$12+K155*Upgrades!$K$12)*POWER(Upgrades!$L$12,K155)))*(IF(Upgrades!$T$6="First Photons",POWER(Upgrades!$U$6,E155),1)*IF(Upgrades!$T$7="First Photons",POWER(Upgrades!$U$7,F155),1)*IF(Upgrades!$T$8="First Photons",POWER(Upgrades!$U$8,G155),1)*IF(Upgrades!$T$9="First Photons",POWER(Upgrades!$U$9,H155),1)*IF(Upgrades!$T$10="First Photons",POWER(Upgrades!$U$10,I155),1)*IF(Upgrades!$T$11="First Photons",POWER(Upgrades!$U$11,J155),1)))*POWER(Upgrades!$Q$6,E155)*POWER(Upgrades!$Q$7,F155)*POWER(Upgrades!$Q$8,G155)*POWER(Upgrades!$Q$9,H155)*POWER(Upgrades!$Q$10,I155)*POWER(Upgrades!$Q$11,J155)*POWER(Upgrades!$Q$12,K155)</f>
        <v/>
      </c>
      <c r="N155" s="28">
        <f>((IF(E155=0,0,(Upgrades!$G$6+E155*Upgrades!$H$6)*POWER(Upgrades!$I$6,E155)))*(IF(Upgrades!$T$7="Solar Wind",POWER(Upgrades!$U$7,F155),1)*IF(Upgrades!$T$8="Solar Wind",POWER(Upgrades!$U$8,G155),1)*IF(Upgrades!$T$9="Solar Wind",POWER(Upgrades!$U$9,H155),1)*IF(Upgrades!$T$10="Solar Wind",POWER(Upgrades!$U$10,I155),1)*IF(Upgrades!$T$11="Solar Wind",POWER(Upgrades!$U$11,J155),1)*IF(Upgrades!$T$12="Solar Wind",POWER(Upgrades!$U$12,K155),1))+(IF(F155=0,0,(Upgrades!$G$7+F155*Upgrades!$H$7)*POWER(Upgrades!$I$7,F155)))*(IF(Upgrades!$T$6="Asteroid Belt",POWER(Upgrades!$U$6,E155),1)*IF(Upgrades!$T$8="Asteroid Belt",POWER(Upgrades!$U$8,G155),1)*IF(Upgrades!$T$9="Asteroid Belt",POWER(Upgrades!$U$9,H155),1)*IF(Upgrades!$T$10="Asteroid Belt",POWER(Upgrades!$U$10,I155),1)*IF(Upgrades!$T$11="Asteroid Belt",POWER(Upgrades!$U$11,J155),1)*IF(Upgrades!$T$12="Asteroid Belt",POWER(Upgrades!$U$12,K155),1))+(IF(G155=0,0,(Upgrades!$G$8+G155*Upgrades!$H$8)*POWER(Upgrades!$I$8,G155)))*(IF(Upgrades!$T$6="Stellar Coupling",POWER(Upgrades!$U$6,E155),1)*IF(Upgrades!$T$7="Stellar Coupling",POWER(Upgrades!$U$7,F155),1)*IF(Upgrades!$T$9="Stellar Coupling",POWER(Upgrades!$U$9,H155),1)*IF(Upgrades!$T$10="Stellar Coupling",POWER(Upgrades!$U$10,I155),1)*IF(Upgrades!$T$11="Stellar Coupling",POWER(Upgrades!$U$11,J155),1)*IF(Upgrades!$T$12="Stellar Coupling",POWER(Upgrades!$U$12,K155),1))+(IF(H155=0,0,(Upgrades!$G$9+H155*Upgrades!$H$9)*POWER(Upgrades!$I$9,H155)))*(IF(Upgrades!$T$6="Magnetosphere",POWER(Upgrades!$U$6,E155),1)*IF(Upgrades!$T$7="Magnetosphere",POWER(Upgrades!$U$7,F155),1)*IF(Upgrades!$T$8="Magnetosphere",POWER(Upgrades!$U$8,G155),1)*IF(Upgrades!$T$10="Magnetosphere",POWER(Upgrades!$U$10,I155),1)*IF(Upgrades!$T$11="Magnetosphere",POWER(Upgrades!$U$11,J155),1)*IF(Upgrades!$T$12="Magnetosphere",POWER(Upgrades!$U$12,K155),1))+(IF(I155=0,0,(Upgrades!$G$10+I155*Upgrades!$H$10)*POWER(Upgrades!$I$10,I155)))*(IF(Upgrades!$T$6="Orbital Resonance",POWER(Upgrades!$U$6,E155),1)*IF(Upgrades!$T$7="Orbital Resonance",POWER(Upgrades!$U$7,F155),1)*IF(Upgrades!$T$8="Orbital Resonance",POWER(Upgrades!$U$8,G155),1)*IF(Upgrades!$T$9="Orbital Resonance",POWER(Upgrades!$U$9,H155),1)*IF(Upgrades!$T$11="Orbital Resonance",POWER(Upgrades!$U$11,J155),1)*IF(Upgrades!$T$12="Orbital Resonance",POWER(Upgrades!$U$12,K155),1))+(IF(J155=0,0,(Upgrades!$G$11+J155*Upgrades!$H$11)*POWER(Upgrades!$I$11,J155)))*(IF(Upgrades!$T$6="Heliopause",POWER(Upgrades!$U$6,E155),1)*IF(Upgrades!$T$7="Heliopause",POWER(Upgrades!$U$7,F155),1)*IF(Upgrades!$T$8="Heliopause",POWER(Upgrades!$U$8,G155),1)*IF(Upgrades!$T$9="Heliopause",POWER(Upgrades!$U$9,H155),1)*IF(Upgrades!$T$10="Heliopause",POWER(Upgrades!$U$10,I155),1)*IF(Upgrades!$T$12="Heliopause",POWER(Upgrades!$U$12,K155),1))+(IF(K155=0,0,(Upgrades!$G$12+K155*Upgrades!$H$12)*POWER(Upgrades!$I$12,K155)))*(IF(Upgrades!$T$6="First Photons",POWER(Upgrades!$U$6,E155),1)*IF(Upgrades!$T$7="First Photons",POWER(Upgrades!$U$7,F155),1)*IF(Upgrades!$T$8="First Photons",POWER(Upgrades!$U$8,G155),1)*IF(Upgrades!$T$9="First Photons",POWER(Upgrades!$U$9,H155),1)*IF(Upgrades!$T$10="First Photons",POWER(Upgrades!$U$10,I155),1)*IF(Upgrades!$T$11="First Photons",POWER(Upgrades!$U$11,J155),1)))*POWER(Upgrades!$P$6,E155)*POWER(Upgrades!$P$7,F155)*POWER(Upgrades!$P$8,G155)*POWER(Upgrades!$P$9,H155)*POWER(Upgrades!$P$10,I155)*POWER(Upgrades!$P$11,J155)*POWER(Upgrades!$P$12,K155)</f>
        <v/>
      </c>
      <c r="O155" s="28">
        <f>((IF(E155=0,0,(Upgrades!$M$6+E155*Upgrades!$N$6)*POWER(Upgrades!$O$6,E155)))*(IF(Upgrades!$T$7="Solar Wind",POWER(Upgrades!$U$7,F155),1)*IF(Upgrades!$T$8="Solar Wind",POWER(Upgrades!$U$8,G155),1)*IF(Upgrades!$T$9="Solar Wind",POWER(Upgrades!$U$9,H155),1)*IF(Upgrades!$T$10="Solar Wind",POWER(Upgrades!$U$10,I155),1)*IF(Upgrades!$T$11="Solar Wind",POWER(Upgrades!$U$11,J155),1)*IF(Upgrades!$T$12="Solar Wind",POWER(Upgrades!$U$12,K155),1))+(IF(F155=0,0,(Upgrades!$M$7+F155*Upgrades!$N$7)*POWER(Upgrades!$O$7,F155)))*(IF(Upgrades!$T$6="Asteroid Belt",POWER(Upgrades!$U$6,E155),1)*IF(Upgrades!$T$8="Asteroid Belt",POWER(Upgrades!$U$8,G155),1)*IF(Upgrades!$T$9="Asteroid Belt",POWER(Upgrades!$U$9,H155),1)*IF(Upgrades!$T$10="Asteroid Belt",POWER(Upgrades!$U$10,I155),1)*IF(Upgrades!$T$11="Asteroid Belt",POWER(Upgrades!$U$11,J155),1)*IF(Upgrades!$T$12="Asteroid Belt",POWER(Upgrades!$U$12,K155),1))+(IF(G155=0,0,(Upgrades!$M$8+G155*Upgrades!$N$8)*POWER(Upgrades!$O$8,G155)))*(IF(Upgrades!$T$6="Stellar Coupling",POWER(Upgrades!$U$6,E155),1)*IF(Upgrades!$T$7="Stellar Coupling",POWER(Upgrades!$U$7,F155),1)*IF(Upgrades!$T$9="Stellar Coupling",POWER(Upgrades!$U$9,H155),1)*IF(Upgrades!$T$10="Stellar Coupling",POWER(Upgrades!$U$10,I155),1)*IF(Upgrades!$T$11="Stellar Coupling",POWER(Upgrades!$U$11,J155),1)*IF(Upgrades!$T$12="Stellar Coupling",POWER(Upgrades!$U$12,K155),1))+(IF(H155=0,0,(Upgrades!$M$9+H155*Upgrades!$N$9)*POWER(Upgrades!$O$9,H155)))*(IF(Upgrades!$T$6="Magnetosphere",POWER(Upgrades!$U$6,E155),1)*IF(Upgrades!$T$7="Magnetosphere",POWER(Upgrades!$U$7,F155),1)*IF(Upgrades!$T$8="Magnetosphere",POWER(Upgrades!$U$8,G155),1)*IF(Upgrades!$T$10="Magnetosphere",POWER(Upgrades!$U$10,I155),1)*IF(Upgrades!$T$11="Magnetosphere",POWER(Upgrades!$U$11,J155),1)*IF(Upgrades!$T$12="Magnetosphere",POWER(Upgrades!$U$12,K155),1))+(IF(I155=0,0,(Upgrades!$M$10+I155*Upgrades!$N$10)*POWER(Upgrades!$O$10,I155)))*(IF(Upgrades!$T$6="Orbital Resonance",POWER(Upgrades!$U$6,E155),1)*IF(Upgrades!$T$7="Orbital Resonance",POWER(Upgrades!$U$7,F155),1)*IF(Upgrades!$T$8="Orbital Resonance",POWER(Upgrades!$U$8,G155),1)*IF(Upgrades!$T$9="Orbital Resonance",POWER(Upgrades!$U$9,H155),1)*IF(Upgrades!$T$11="Orbital Resonance",POWER(Upgrades!$U$11,J155),1)*IF(Upgrades!$T$12="Orbital Resonance",POWER(Upgrades!$U$12,K155),1))+(IF(J155=0,0,(Upgrades!$M$11+J155*Upgrades!$N$11)*POWER(Upgrades!$O$11,J155)))*(IF(Upgrades!$T$6="Heliopause",POWER(Upgrades!$U$6,E155),1)*IF(Upgrades!$T$7="Heliopause",POWER(Upgrades!$U$7,F155),1)*IF(Upgrades!$T$8="Heliopause",POWER(Upgrades!$U$8,G155),1)*IF(Upgrades!$T$9="Heliopause",POWER(Upgrades!$U$9,H155),1)*IF(Upgrades!$T$10="Heliopause",POWER(Upgrades!$U$10,I155),1)*IF(Upgrades!$T$12="Heliopause",POWER(Upgrades!$U$12,K155),1))+(IF(K155=0,0,(Upgrades!$M$12+K155*Upgrades!$N$12)*POWER(Upgrades!$O$12,K155)))*(IF(Upgrades!$T$6="First Photons",POWER(Upgrades!$U$6,E155),1)*IF(Upgrades!$T$7="First Photons",POWER(Upgrades!$U$7,F155),1)*IF(Upgrades!$T$8="First Photons",POWER(Upgrades!$U$8,G155),1)*IF(Upgrades!$T$9="First Photons",POWER(Upgrades!$U$9,H155),1)*IF(Upgrades!$T$10="First Photons",POWER(Upgrades!$U$10,I155),1)*IF(Upgrades!$T$11="First Photons",POWER(Upgrades!$U$11,J155),1)))*POWER(Upgrades!$R$6,E155)*POWER(Upgrades!$R$7,F155)*POWER(Upgrades!$R$8,G155)*POWER(Upgrades!$R$9,H155)*POWER(Upgrades!$R$10,I155)*POWER(Upgrades!$R$11,J155)*POWER(Upgrades!$R$12,K155)</f>
        <v/>
      </c>
      <c r="P155" s="27">
        <f>IF(L155=1,0,M155*Parameters!$B$10/60*Parameters!$B$11*10)</f>
        <v/>
      </c>
      <c r="Q155" s="27">
        <f>IF(L155=1,0,O155*M155*10)</f>
        <v/>
      </c>
      <c r="R155" s="27">
        <f>IF(L155=1,0,N155*10)</f>
        <v/>
      </c>
      <c r="S155" s="27">
        <f>P155+Q155+R155</f>
        <v/>
      </c>
      <c r="T155" s="22">
        <f>C155+S155</f>
        <v/>
      </c>
      <c r="U155" s="33">
        <f>AX155</f>
        <v/>
      </c>
      <c r="V155" s="22">
        <f>IF(U155="",0,IF(U155="transition",0,IF(U155="SW",AG155,IF(U155="AB",AH155,IF(U155="SC",AI155,IF(U155="Mag",AJ155,IF(U155="OR",AK155,IF(U155="HP",AL155,IF(U155="FP",AM155,0)))))))))</f>
        <v/>
      </c>
      <c r="W155" s="27">
        <f>IF(U155="OR",Upgrades!$F$10,IF(U155="HP",Upgrades!$F$11,IF(U155="transition",-Parameters!$B$18,0)))</f>
        <v/>
      </c>
      <c r="X155" s="22">
        <f>T155-V155</f>
        <v/>
      </c>
      <c r="Y155" s="30">
        <f>M155*Parameters!$B$10/60*Parameters!$B$11+O155*M155+N155</f>
        <v/>
      </c>
      <c r="Z155" s="34">
        <f>IF(U155="transition","→ Tier 2 (Stellar Neighborhood)",IF(U155="FP","First Photons — light begins, system quickens",IF(U155="HP","Heliopause acquired",IF(U155="OR","Orbital Resonance — passive multiplier active",IF(AND(AO155=1,L155=0,AN155&lt;&gt;1),"Cohesion ready (waiting on completionist upgrades)","")))))</f>
        <v/>
      </c>
      <c r="AA155" s="27">
        <f>(IF(E155=0,0,(Upgrades!$G$6+E155*Upgrades!$H$6)*POWER(Upgrades!$I$6,E155)))*(IF(Upgrades!$T$7="Solar Wind",POWER(Upgrades!$U$7,F155),1)*IF(Upgrades!$T$8="Solar Wind",POWER(Upgrades!$U$8,G155),1)*IF(Upgrades!$T$9="Solar Wind",POWER(Upgrades!$U$9,H155),1)*IF(Upgrades!$T$10="Solar Wind",POWER(Upgrades!$U$10,I155),1)*IF(Upgrades!$T$11="Solar Wind",POWER(Upgrades!$U$11,J155),1)*IF(Upgrades!$T$12="Solar Wind",POWER(Upgrades!$U$12,K155),1))*POWER(Upgrades!$P$6,E155)*POWER(Upgrades!$P$7,F155)*POWER(Upgrades!$P$8,G155)*POWER(Upgrades!$P$9,H155)*POWER(Upgrades!$P$10,I155)*POWER(Upgrades!$P$11,J155)*POWER(Upgrades!$P$12,K155)*60</f>
        <v/>
      </c>
      <c r="AB155" s="27">
        <f>(IF(F155=0,0,(Upgrades!$G$7+F155*Upgrades!$H$7)*POWER(Upgrades!$I$7,F155)))*(IF(Upgrades!$T$6="Asteroid Belt",POWER(Upgrades!$U$6,E155),1)*IF(Upgrades!$T$8="Asteroid Belt",POWER(Upgrades!$U$8,G155),1)*IF(Upgrades!$T$9="Asteroid Belt",POWER(Upgrades!$U$9,H155),1)*IF(Upgrades!$T$10="Asteroid Belt",POWER(Upgrades!$U$10,I155),1)*IF(Upgrades!$T$11="Asteroid Belt",POWER(Upgrades!$U$11,J155),1)*IF(Upgrades!$T$12="Asteroid Belt",POWER(Upgrades!$U$12,K155),1))*POWER(Upgrades!$P$6,E155)*POWER(Upgrades!$P$7,F155)*POWER(Upgrades!$P$8,G155)*POWER(Upgrades!$P$9,H155)*POWER(Upgrades!$P$10,I155)*POWER(Upgrades!$P$11,J155)*POWER(Upgrades!$P$12,K155)*60</f>
        <v/>
      </c>
      <c r="AC155" s="27">
        <f>(IF(G155=0,0,(Upgrades!$J$8+G155*Upgrades!$K$8)*POWER(Upgrades!$L$8,G155)))*(IF(Upgrades!$T$6="Stellar Coupling",POWER(Upgrades!$U$6,E155),1)*IF(Upgrades!$T$7="Stellar Coupling",POWER(Upgrades!$U$7,F155),1)*IF(Upgrades!$T$9="Stellar Coupling",POWER(Upgrades!$U$9,H155),1)*IF(Upgrades!$T$10="Stellar Coupling",POWER(Upgrades!$U$10,I155),1)*IF(Upgrades!$T$11="Stellar Coupling",POWER(Upgrades!$U$11,J155),1)*IF(Upgrades!$T$12="Stellar Coupling",POWER(Upgrades!$U$12,K155),1))*POWER(Upgrades!$Q$6,E155)*POWER(Upgrades!$Q$7,F155)*POWER(Upgrades!$Q$8,G155)*POWER(Upgrades!$Q$9,H155)*POWER(Upgrades!$Q$10,I155)*POWER(Upgrades!$Q$11,J155)*POWER(Upgrades!$Q$12,K155)*Parameters!$B$10*Parameters!$B$11</f>
        <v/>
      </c>
      <c r="AD155" s="27">
        <f>(IF(H155=0,0,(Upgrades!$G$9+H155*Upgrades!$H$9)*POWER(Upgrades!$I$9,H155)))*(IF(Upgrades!$T$6="Magnetosphere",POWER(Upgrades!$U$6,E155),1)*IF(Upgrades!$T$7="Magnetosphere",POWER(Upgrades!$U$7,F155),1)*IF(Upgrades!$T$8="Magnetosphere",POWER(Upgrades!$U$8,G155),1)*IF(Upgrades!$T$10="Magnetosphere",POWER(Upgrades!$U$10,I155),1)*IF(Upgrades!$T$11="Magnetosphere",POWER(Upgrades!$U$11,J155),1)*IF(Upgrades!$T$12="Magnetosphere",POWER(Upgrades!$U$12,K155),1))*POWER(Upgrades!$P$6,E155)*POWER(Upgrades!$P$7,F155)*POWER(Upgrades!$P$8,G155)*POWER(Upgrades!$P$9,H155)*POWER(Upgrades!$P$10,I155)*POWER(Upgrades!$P$11,J155)*POWER(Upgrades!$P$12,K155)*60</f>
        <v/>
      </c>
      <c r="AE155" s="27">
        <f>(IF(K155=0,0,(Upgrades!$G$12+K155*Upgrades!$H$12)*POWER(Upgrades!$I$12,K155)))*(IF(Upgrades!$T$6="First Photons",POWER(Upgrades!$U$6,E155),1)*IF(Upgrades!$T$7="First Photons",POWER(Upgrades!$U$7,F155),1)*IF(Upgrades!$T$8="First Photons",POWER(Upgrades!$U$8,G155),1)*IF(Upgrades!$T$9="First Photons",POWER(Upgrades!$U$9,H155),1)*IF(Upgrades!$T$10="First Photons",POWER(Upgrades!$U$10,I155),1)*IF(Upgrades!$T$11="First Photons",POWER(Upgrades!$U$11,J155),1))*POWER(Upgrades!$P$6,E155)*POWER(Upgrades!$P$7,F155)*POWER(Upgrades!$P$8,G155)*POWER(Upgrades!$P$9,H155)*POWER(Upgrades!$P$10,I155)*POWER(Upgrades!$P$11,J155)*POWER(Upgrades!$P$12,K155)*60</f>
        <v/>
      </c>
      <c r="AF155" s="27">
        <f>Parameters!$B$9*POWER(Upgrades!$Q$6,E155)*POWER(Upgrades!$Q$7,F155)*POWER(Upgrades!$Q$8,G155)*POWER(Upgrades!$Q$9,H155)*POWER(Upgrades!$Q$10,I155)*POWER(Upgrades!$Q$11,J155)*POWER(Upgrades!$Q$12,K155)*(Parameters!$B$10*Parameters!$B$11+O155*60)</f>
        <v/>
      </c>
      <c r="AG155" s="22">
        <f>IF(E155&gt;=Upgrades!$E$6,"",Upgrades!$C$6*POWER(Upgrades!$D$6,E155))</f>
        <v/>
      </c>
      <c r="AH155" s="22">
        <f>IF(F155&gt;=Upgrades!$E$7,"",Upgrades!$C$7*POWER(Upgrades!$D$7,F155))</f>
        <v/>
      </c>
      <c r="AI155" s="22">
        <f>IF(G155&gt;=Upgrades!$E$8,"",Upgrades!$C$8*POWER(Upgrades!$D$8,G155))</f>
        <v/>
      </c>
      <c r="AJ155" s="22">
        <f>IF(H155&gt;=Upgrades!$E$9,"",Upgrades!$C$9*POWER(Upgrades!$D$9,H155))</f>
        <v/>
      </c>
      <c r="AK155" s="22">
        <f>IF(I155&gt;=Upgrades!$E$10,"",Upgrades!$C$10*POWER(Upgrades!$D$10,I155))</f>
        <v/>
      </c>
      <c r="AL155" s="22">
        <f>IF(J155&gt;=Upgrades!$E$11,"",Upgrades!$C$11*POWER(Upgrades!$D$11,J155))</f>
        <v/>
      </c>
      <c r="AM155" s="22">
        <f>IF(K155&gt;=Upgrades!$E$12,"",Upgrades!$C$12*POWER(Upgrades!$D$12,K155))</f>
        <v/>
      </c>
      <c r="AN155" s="26">
        <f>IF(AND(D155&gt;=Parameters!$B$18,(H155&gt;=Upgrades!$E$9)*(K155&gt;=Upgrades!$E$12)=1,L155=0),1,"")</f>
        <v/>
      </c>
      <c r="AO155" s="26">
        <f>IF(AND(D155&gt;=Parameters!$B$18,L155=0),1,"")</f>
        <v/>
      </c>
      <c r="AP155" s="22">
        <f>MIN(IF(ISNUMBER(AK155),AK155,9E15),IF(ISNUMBER(AL155),AL155,9E15),IF(ISNUMBER(AM155),AM155,9E15))</f>
        <v/>
      </c>
      <c r="AQ155" s="22">
        <f>MIN(IF(ISNUMBER(AG155),AG155,9E15),IF(ISNUMBER(AH155),AH155,9E15),IF(ISNUMBER(AI155),AI155,9E15),IF(ISNUMBER(AJ155),AJ155,9E15))</f>
        <v/>
      </c>
      <c r="AR155" s="29">
        <f>IF(AW155&gt;Parameters!$B$21*(MAX(IF(AND(NOT(AND(AO155=1,AN155&lt;&gt;1)),ISNUMBER(AG155),AG155&lt;=T155),AS155,0),IF(AND(NOT(AND(AO155=1,AN155&lt;&gt;1)),ISNUMBER(AH155),AH155&lt;=T155),AT155,0),IF(AND(NOT(AND(AO155=1,AN155&lt;&gt;1)),ISNUMBER(AI155),AI155&lt;=T155),AU155,0),IF(AND(ISNUMBER(AJ155),AJ155&lt;=T155),AV155,0))),TRUE,FALSE)</f>
        <v/>
      </c>
      <c r="AS155" s="32">
        <f>IFERROR(Upgrades!$H$6*(POWER(Upgrades!$P$6,E155)*POWER(Upgrades!$P$7,F155)*POWER(Upgrades!$P$8,G155)*POWER(Upgrades!$P$9,H155)*POWER(Upgrades!$P$10,I155)*POWER(Upgrades!$P$11,J155)*POWER(Upgrades!$P$12,K155))*(IF(Upgrades!$T$7="Solar Wind",POWER(Upgrades!$U$7,F155),1)*IF(Upgrades!$T$8="Solar Wind",POWER(Upgrades!$U$8,G155),1)*IF(Upgrades!$T$9="Solar Wind",POWER(Upgrades!$U$9,H155),1)*IF(Upgrades!$T$10="Solar Wind",POWER(Upgrades!$U$10,I155),1)*IF(Upgrades!$T$11="Solar Wind",POWER(Upgrades!$U$11,J155),1)*IF(Upgrades!$T$12="Solar Wind",POWER(Upgrades!$U$12,K155),1))/AG155,0)</f>
        <v/>
      </c>
      <c r="AT155" s="32">
        <f>IFERROR(Upgrades!$H$7*(POWER(Upgrades!$P$6,E155)*POWER(Upgrades!$P$7,F155)*POWER(Upgrades!$P$8,G155)*POWER(Upgrades!$P$9,H155)*POWER(Upgrades!$P$10,I155)*POWER(Upgrades!$P$11,J155)*POWER(Upgrades!$P$12,K155))*(IF(Upgrades!$T$6="Asteroid Belt",POWER(Upgrades!$U$6,E155),1)*IF(Upgrades!$T$8="Asteroid Belt",POWER(Upgrades!$U$8,G155),1)*IF(Upgrades!$T$9="Asteroid Belt",POWER(Upgrades!$U$9,H155),1)*IF(Upgrades!$T$10="Asteroid Belt",POWER(Upgrades!$U$10,I155),1)*IF(Upgrades!$T$11="Asteroid Belt",POWER(Upgrades!$U$11,J155),1)*IF(Upgrades!$T$12="Asteroid Belt",POWER(Upgrades!$U$12,K155),1))/AH155,0)</f>
        <v/>
      </c>
      <c r="AU155" s="32">
        <f>IFERROR(Upgrades!$K$8*(POWER(Upgrades!$Q$6,E155)*POWER(Upgrades!$Q$7,F155)*POWER(Upgrades!$Q$8,G155)*POWER(Upgrades!$Q$9,H155)*POWER(Upgrades!$Q$10,I155)*POWER(Upgrades!$Q$11,J155)*POWER(Upgrades!$Q$12,K155))*(IF(Upgrades!$T$6="Stellar Coupling",POWER(Upgrades!$U$6,E155),1)*IF(Upgrades!$T$7="Stellar Coupling",POWER(Upgrades!$U$7,F155),1)*IF(Upgrades!$T$9="Stellar Coupling",POWER(Upgrades!$U$9,H155),1)*IF(Upgrades!$T$10="Stellar Coupling",POWER(Upgrades!$U$10,I155),1)*IF(Upgrades!$T$11="Stellar Coupling",POWER(Upgrades!$U$11,J155),1)*IF(Upgrades!$T$12="Stellar Coupling",POWER(Upgrades!$U$12,K155),1))*Parameters!$B$10*Parameters!$B$11/60/AI155,0)</f>
        <v/>
      </c>
      <c r="AV155" s="32">
        <f>IFERROR(Upgrades!$H$9*(POWER(Upgrades!$P$6,E155)*POWER(Upgrades!$P$7,F155)*POWER(Upgrades!$P$8,G155)*POWER(Upgrades!$P$9,H155)*POWER(Upgrades!$P$10,I155)*POWER(Upgrades!$P$11,J155)*POWER(Upgrades!$P$12,K155))*(IF(Upgrades!$T$6="Magnetosphere",POWER(Upgrades!$U$6,E155),1)*IF(Upgrades!$T$7="Magnetosphere",POWER(Upgrades!$U$7,F155),1)*IF(Upgrades!$T$8="Magnetosphere",POWER(Upgrades!$U$8,G155),1)*IF(Upgrades!$T$10="Magnetosphere",POWER(Upgrades!$U$10,I155),1)*IF(Upgrades!$T$11="Magnetosphere",POWER(Upgrades!$U$11,J155),1)*IF(Upgrades!$T$12="Magnetosphere",POWER(Upgrades!$U$12,K155),1))/AJ155,0)</f>
        <v/>
      </c>
      <c r="AW155" s="32">
        <f>MAX(IF(I155&gt;0,0,IFERROR(0.25*N155/Upgrades!$C$10,0)),IF(J155&gt;0,0,IFERROR(0.5*((IF(G155=0,0,(Upgrades!$J$8+G155*Upgrades!$K$8)*POWER(Upgrades!$L$8,G155)))*(IF(Upgrades!$T$6="Stellar Coupling",POWER(Upgrades!$U$6,E155),1)*IF(Upgrades!$T$7="Stellar Coupling",POWER(Upgrades!$U$7,F155),1)*IF(Upgrades!$T$9="Stellar Coupling",POWER(Upgrades!$U$9,H155),1)*IF(Upgrades!$T$10="Stellar Coupling",POWER(Upgrades!$U$10,I155),1)*IF(Upgrades!$T$11="Stellar Coupling",POWER(Upgrades!$U$11,J155),1)*IF(Upgrades!$T$12="Stellar Coupling",POWER(Upgrades!$U$12,K155),1))*(POWER(Upgrades!$Q$6,E155)*POWER(Upgrades!$Q$7,F155)*POWER(Upgrades!$Q$8,G155)*POWER(Upgrades!$Q$9,H155)*POWER(Upgrades!$Q$10,I155)*POWER(Upgrades!$Q$11,J155)*POWER(Upgrades!$Q$12,K155))*Parameters!$B$10*Parameters!$B$11/60)/Upgrades!$C$11,0)),IF(K155&gt;0,0,IFERROR((1.0*(POWER(Upgrades!$P$6,E155)*POWER(Upgrades!$P$7,F155)*POWER(Upgrades!$P$8,G155)*POWER(Upgrades!$P$9,H155)*POWER(Upgrades!$P$10,I155)*POWER(Upgrades!$P$11,J155)*POWER(Upgrades!$P$12,K155))+0.20*M155*Parameters!$B$10*Parameters!$B$11/60)/Upgrades!$C$12,0)),IF(AND(ISNUMBER(AG155),AG155&gt;T155),AS155,0),IF(AND(ISNUMBER(AH155),AH155&gt;T155),AT155,0),IF(AND(ISNUMBER(AI155),AI155&gt;T155),AU155,0),IF(AND(ISNUMBER(AJ155),AJ155&gt;T155),AV155,0))</f>
        <v/>
      </c>
      <c r="AX155" s="29">
        <f>IF(AN155=1,"transition",IF(MIN(IF(AND(I155=0,ISNUMBER(AK155),AK155&lt;=T155),AK155,9E15),IF(AND(J155=0,ISNUMBER(AL155),AL155&lt;=T155),AL155,9E15),IF(AND(K155=0,ISNUMBER(AM155),AM155&lt;=T155),AM155,9E15))&lt;9E15,IF(AND(AND(I155=0,ISNUMBER(AK155),AK155&lt;=T155),AK155=MIN(IF(AND(I155=0,ISNUMBER(AK155),AK155&lt;=T155),AK155,9E15),IF(AND(J155=0,ISNUMBER(AL155),AL155&lt;=T155),AL155,9E15),IF(AND(K155=0,ISNUMBER(AM155),AM155&lt;=T155),AM155,9E15))),"OR",IF(AND(AND(J155=0,ISNUMBER(AL155),AL155&lt;=T155),AL155=MIN(IF(AND(I155=0,ISNUMBER(AK155),AK155&lt;=T155),AK155,9E15),IF(AND(J155=0,ISNUMBER(AL155),AL155&lt;=T155),AL155,9E15),IF(AND(K155=0,ISNUMBER(AM155),AM155&lt;=T155),AM155,9E15))),"HP","FP")),IF(AR155=TRUE,"",IF(MAX(IF(AND(NOT(AND(AO155=1,AN155&lt;&gt;1)),ISNUMBER(AG155),AG155&lt;=T155),AS155,0),IF(AND(NOT(AND(AO155=1,AN155&lt;&gt;1)),ISNUMBER(AH155),AH155&lt;=T155),AT155,0),IF(AND(NOT(AND(AO155=1,AN155&lt;&gt;1)),ISNUMBER(AI155),AI155&lt;=T155),AU155,0),IF(AND(ISNUMBER(AJ155),AJ155&lt;=T155),AV155,0))&lt;=0,"",IF(AND(IF(AND(NOT(AND(AO155=1,AN155&lt;&gt;1)),ISNUMBER(AG155),AG155&lt;=T155),AS155,0)&gt;0,IF(AND(NOT(AND(AO155=1,AN155&lt;&gt;1)),ISNUMBER(AG155),AG155&lt;=T155),AS155,0)=MAX(IF(AND(NOT(AND(AO155=1,AN155&lt;&gt;1)),ISNUMBER(AG155),AG155&lt;=T155),AS155,0),IF(AND(NOT(AND(AO155=1,AN155&lt;&gt;1)),ISNUMBER(AH155),AH155&lt;=T155),AT155,0),IF(AND(NOT(AND(AO155=1,AN155&lt;&gt;1)),ISNUMBER(AI155),AI155&lt;=T155),AU155,0),IF(AND(ISNUMBER(AJ155),AJ155&lt;=T155),AV155,0))),"SW",IF(AND(IF(AND(NOT(AND(AO155=1,AN155&lt;&gt;1)),ISNUMBER(AH155),AH155&lt;=T155),AT155,0)&gt;0,IF(AND(NOT(AND(AO155=1,AN155&lt;&gt;1)),ISNUMBER(AH155),AH155&lt;=T155),AT155,0)=MAX(IF(AND(NOT(AND(AO155=1,AN155&lt;&gt;1)),ISNUMBER(AG155),AG155&lt;=T155),AS155,0),IF(AND(NOT(AND(AO155=1,AN155&lt;&gt;1)),ISNUMBER(AH155),AH155&lt;=T155),AT155,0),IF(AND(NOT(AND(AO155=1,AN155&lt;&gt;1)),ISNUMBER(AI155),AI155&lt;=T155),AU155,0),IF(AND(ISNUMBER(AJ155),AJ155&lt;=T155),AV155,0))),"AB",IF(AND(IF(AND(NOT(AND(AO155=1,AN155&lt;&gt;1)),ISNUMBER(AI155),AI155&lt;=T155),AU155,0)&gt;0,IF(AND(NOT(AND(AO155=1,AN155&lt;&gt;1)),ISNUMBER(AI155),AI155&lt;=T155),AU155,0)=MAX(IF(AND(NOT(AND(AO155=1,AN155&lt;&gt;1)),ISNUMBER(AG155),AG155&lt;=T155),AS155,0),IF(AND(NOT(AND(AO155=1,AN155&lt;&gt;1)),ISNUMBER(AH155),AH155&lt;=T155),AT155,0),IF(AND(NOT(AND(AO155=1,AN155&lt;&gt;1)),ISNUMBER(AI155),AI155&lt;=T155),AU155,0),IF(AND(ISNUMBER(AJ155),AJ155&lt;=T155),AV155,0))),"SC","Mag")))))))</f>
        <v/>
      </c>
    </row>
    <row r="156">
      <c r="A156" s="26" t="n">
        <v>151</v>
      </c>
      <c r="B156" s="27">
        <f>A156*10/60</f>
        <v/>
      </c>
      <c r="C156" s="22">
        <f>X155</f>
        <v/>
      </c>
      <c r="D156" s="27">
        <f>D155+W155</f>
        <v/>
      </c>
      <c r="E156" s="26">
        <f>E155+IF(U155="SW",1,0)</f>
        <v/>
      </c>
      <c r="F156" s="26">
        <f>F155+IF(U155="AB",1,0)</f>
        <v/>
      </c>
      <c r="G156" s="26">
        <f>G155+IF(U155="SC",1,0)</f>
        <v/>
      </c>
      <c r="H156" s="26">
        <f>H155+IF(U155="Mag",1,0)</f>
        <v/>
      </c>
      <c r="I156" s="26">
        <f>MAX(I155,IF(U155="OR",1,0))</f>
        <v/>
      </c>
      <c r="J156" s="26">
        <f>MAX(J155,IF(U155="HP",1,0))</f>
        <v/>
      </c>
      <c r="K156" s="26">
        <f>MAX(K155,IF(U155="FP",1,0))</f>
        <v/>
      </c>
      <c r="L156" s="26">
        <f>MAX(L155,IF(U155="transition",1,0))</f>
        <v/>
      </c>
      <c r="M156" s="28">
        <f>(Parameters!$B$9+(IF(E156=0,0,(Upgrades!$J$6+E156*Upgrades!$K$6)*POWER(Upgrades!$L$6,E156)))*(IF(Upgrades!$T$7="Solar Wind",POWER(Upgrades!$U$7,F156),1)*IF(Upgrades!$T$8="Solar Wind",POWER(Upgrades!$U$8,G156),1)*IF(Upgrades!$T$9="Solar Wind",POWER(Upgrades!$U$9,H156),1)*IF(Upgrades!$T$10="Solar Wind",POWER(Upgrades!$U$10,I156),1)*IF(Upgrades!$T$11="Solar Wind",POWER(Upgrades!$U$11,J156),1)*IF(Upgrades!$T$12="Solar Wind",POWER(Upgrades!$U$12,K156),1))+(IF(F156=0,0,(Upgrades!$J$7+F156*Upgrades!$K$7)*POWER(Upgrades!$L$7,F156)))*(IF(Upgrades!$T$6="Asteroid Belt",POWER(Upgrades!$U$6,E156),1)*IF(Upgrades!$T$8="Asteroid Belt",POWER(Upgrades!$U$8,G156),1)*IF(Upgrades!$T$9="Asteroid Belt",POWER(Upgrades!$U$9,H156),1)*IF(Upgrades!$T$10="Asteroid Belt",POWER(Upgrades!$U$10,I156),1)*IF(Upgrades!$T$11="Asteroid Belt",POWER(Upgrades!$U$11,J156),1)*IF(Upgrades!$T$12="Asteroid Belt",POWER(Upgrades!$U$12,K156),1))+(IF(G156=0,0,(Upgrades!$J$8+G156*Upgrades!$K$8)*POWER(Upgrades!$L$8,G156)))*(IF(Upgrades!$T$6="Stellar Coupling",POWER(Upgrades!$U$6,E156),1)*IF(Upgrades!$T$7="Stellar Coupling",POWER(Upgrades!$U$7,F156),1)*IF(Upgrades!$T$9="Stellar Coupling",POWER(Upgrades!$U$9,H156),1)*IF(Upgrades!$T$10="Stellar Coupling",POWER(Upgrades!$U$10,I156),1)*IF(Upgrades!$T$11="Stellar Coupling",POWER(Upgrades!$U$11,J156),1)*IF(Upgrades!$T$12="Stellar Coupling",POWER(Upgrades!$U$12,K156),1))+(IF(H156=0,0,(Upgrades!$J$9+H156*Upgrades!$K$9)*POWER(Upgrades!$L$9,H156)))*(IF(Upgrades!$T$6="Magnetosphere",POWER(Upgrades!$U$6,E156),1)*IF(Upgrades!$T$7="Magnetosphere",POWER(Upgrades!$U$7,F156),1)*IF(Upgrades!$T$8="Magnetosphere",POWER(Upgrades!$U$8,G156),1)*IF(Upgrades!$T$10="Magnetosphere",POWER(Upgrades!$U$10,I156),1)*IF(Upgrades!$T$11="Magnetosphere",POWER(Upgrades!$U$11,J156),1)*IF(Upgrades!$T$12="Magnetosphere",POWER(Upgrades!$U$12,K156),1))+(IF(I156=0,0,(Upgrades!$J$10+I156*Upgrades!$K$10)*POWER(Upgrades!$L$10,I156)))*(IF(Upgrades!$T$6="Orbital Resonance",POWER(Upgrades!$U$6,E156),1)*IF(Upgrades!$T$7="Orbital Resonance",POWER(Upgrades!$U$7,F156),1)*IF(Upgrades!$T$8="Orbital Resonance",POWER(Upgrades!$U$8,G156),1)*IF(Upgrades!$T$9="Orbital Resonance",POWER(Upgrades!$U$9,H156),1)*IF(Upgrades!$T$11="Orbital Resonance",POWER(Upgrades!$U$11,J156),1)*IF(Upgrades!$T$12="Orbital Resonance",POWER(Upgrades!$U$12,K156),1))+(IF(J156=0,0,(Upgrades!$J$11+J156*Upgrades!$K$11)*POWER(Upgrades!$L$11,J156)))*(IF(Upgrades!$T$6="Heliopause",POWER(Upgrades!$U$6,E156),1)*IF(Upgrades!$T$7="Heliopause",POWER(Upgrades!$U$7,F156),1)*IF(Upgrades!$T$8="Heliopause",POWER(Upgrades!$U$8,G156),1)*IF(Upgrades!$T$9="Heliopause",POWER(Upgrades!$U$9,H156),1)*IF(Upgrades!$T$10="Heliopause",POWER(Upgrades!$U$10,I156),1)*IF(Upgrades!$T$12="Heliopause",POWER(Upgrades!$U$12,K156),1))+(IF(K156=0,0,(Upgrades!$J$12+K156*Upgrades!$K$12)*POWER(Upgrades!$L$12,K156)))*(IF(Upgrades!$T$6="First Photons",POWER(Upgrades!$U$6,E156),1)*IF(Upgrades!$T$7="First Photons",POWER(Upgrades!$U$7,F156),1)*IF(Upgrades!$T$8="First Photons",POWER(Upgrades!$U$8,G156),1)*IF(Upgrades!$T$9="First Photons",POWER(Upgrades!$U$9,H156),1)*IF(Upgrades!$T$10="First Photons",POWER(Upgrades!$U$10,I156),1)*IF(Upgrades!$T$11="First Photons",POWER(Upgrades!$U$11,J156),1)))*POWER(Upgrades!$Q$6,E156)*POWER(Upgrades!$Q$7,F156)*POWER(Upgrades!$Q$8,G156)*POWER(Upgrades!$Q$9,H156)*POWER(Upgrades!$Q$10,I156)*POWER(Upgrades!$Q$11,J156)*POWER(Upgrades!$Q$12,K156)</f>
        <v/>
      </c>
      <c r="N156" s="28">
        <f>((IF(E156=0,0,(Upgrades!$G$6+E156*Upgrades!$H$6)*POWER(Upgrades!$I$6,E156)))*(IF(Upgrades!$T$7="Solar Wind",POWER(Upgrades!$U$7,F156),1)*IF(Upgrades!$T$8="Solar Wind",POWER(Upgrades!$U$8,G156),1)*IF(Upgrades!$T$9="Solar Wind",POWER(Upgrades!$U$9,H156),1)*IF(Upgrades!$T$10="Solar Wind",POWER(Upgrades!$U$10,I156),1)*IF(Upgrades!$T$11="Solar Wind",POWER(Upgrades!$U$11,J156),1)*IF(Upgrades!$T$12="Solar Wind",POWER(Upgrades!$U$12,K156),1))+(IF(F156=0,0,(Upgrades!$G$7+F156*Upgrades!$H$7)*POWER(Upgrades!$I$7,F156)))*(IF(Upgrades!$T$6="Asteroid Belt",POWER(Upgrades!$U$6,E156),1)*IF(Upgrades!$T$8="Asteroid Belt",POWER(Upgrades!$U$8,G156),1)*IF(Upgrades!$T$9="Asteroid Belt",POWER(Upgrades!$U$9,H156),1)*IF(Upgrades!$T$10="Asteroid Belt",POWER(Upgrades!$U$10,I156),1)*IF(Upgrades!$T$11="Asteroid Belt",POWER(Upgrades!$U$11,J156),1)*IF(Upgrades!$T$12="Asteroid Belt",POWER(Upgrades!$U$12,K156),1))+(IF(G156=0,0,(Upgrades!$G$8+G156*Upgrades!$H$8)*POWER(Upgrades!$I$8,G156)))*(IF(Upgrades!$T$6="Stellar Coupling",POWER(Upgrades!$U$6,E156),1)*IF(Upgrades!$T$7="Stellar Coupling",POWER(Upgrades!$U$7,F156),1)*IF(Upgrades!$T$9="Stellar Coupling",POWER(Upgrades!$U$9,H156),1)*IF(Upgrades!$T$10="Stellar Coupling",POWER(Upgrades!$U$10,I156),1)*IF(Upgrades!$T$11="Stellar Coupling",POWER(Upgrades!$U$11,J156),1)*IF(Upgrades!$T$12="Stellar Coupling",POWER(Upgrades!$U$12,K156),1))+(IF(H156=0,0,(Upgrades!$G$9+H156*Upgrades!$H$9)*POWER(Upgrades!$I$9,H156)))*(IF(Upgrades!$T$6="Magnetosphere",POWER(Upgrades!$U$6,E156),1)*IF(Upgrades!$T$7="Magnetosphere",POWER(Upgrades!$U$7,F156),1)*IF(Upgrades!$T$8="Magnetosphere",POWER(Upgrades!$U$8,G156),1)*IF(Upgrades!$T$10="Magnetosphere",POWER(Upgrades!$U$10,I156),1)*IF(Upgrades!$T$11="Magnetosphere",POWER(Upgrades!$U$11,J156),1)*IF(Upgrades!$T$12="Magnetosphere",POWER(Upgrades!$U$12,K156),1))+(IF(I156=0,0,(Upgrades!$G$10+I156*Upgrades!$H$10)*POWER(Upgrades!$I$10,I156)))*(IF(Upgrades!$T$6="Orbital Resonance",POWER(Upgrades!$U$6,E156),1)*IF(Upgrades!$T$7="Orbital Resonance",POWER(Upgrades!$U$7,F156),1)*IF(Upgrades!$T$8="Orbital Resonance",POWER(Upgrades!$U$8,G156),1)*IF(Upgrades!$T$9="Orbital Resonance",POWER(Upgrades!$U$9,H156),1)*IF(Upgrades!$T$11="Orbital Resonance",POWER(Upgrades!$U$11,J156),1)*IF(Upgrades!$T$12="Orbital Resonance",POWER(Upgrades!$U$12,K156),1))+(IF(J156=0,0,(Upgrades!$G$11+J156*Upgrades!$H$11)*POWER(Upgrades!$I$11,J156)))*(IF(Upgrades!$T$6="Heliopause",POWER(Upgrades!$U$6,E156),1)*IF(Upgrades!$T$7="Heliopause",POWER(Upgrades!$U$7,F156),1)*IF(Upgrades!$T$8="Heliopause",POWER(Upgrades!$U$8,G156),1)*IF(Upgrades!$T$9="Heliopause",POWER(Upgrades!$U$9,H156),1)*IF(Upgrades!$T$10="Heliopause",POWER(Upgrades!$U$10,I156),1)*IF(Upgrades!$T$12="Heliopause",POWER(Upgrades!$U$12,K156),1))+(IF(K156=0,0,(Upgrades!$G$12+K156*Upgrades!$H$12)*POWER(Upgrades!$I$12,K156)))*(IF(Upgrades!$T$6="First Photons",POWER(Upgrades!$U$6,E156),1)*IF(Upgrades!$T$7="First Photons",POWER(Upgrades!$U$7,F156),1)*IF(Upgrades!$T$8="First Photons",POWER(Upgrades!$U$8,G156),1)*IF(Upgrades!$T$9="First Photons",POWER(Upgrades!$U$9,H156),1)*IF(Upgrades!$T$10="First Photons",POWER(Upgrades!$U$10,I156),1)*IF(Upgrades!$T$11="First Photons",POWER(Upgrades!$U$11,J156),1)))*POWER(Upgrades!$P$6,E156)*POWER(Upgrades!$P$7,F156)*POWER(Upgrades!$P$8,G156)*POWER(Upgrades!$P$9,H156)*POWER(Upgrades!$P$10,I156)*POWER(Upgrades!$P$11,J156)*POWER(Upgrades!$P$12,K156)</f>
        <v/>
      </c>
      <c r="O156" s="28">
        <f>((IF(E156=0,0,(Upgrades!$M$6+E156*Upgrades!$N$6)*POWER(Upgrades!$O$6,E156)))*(IF(Upgrades!$T$7="Solar Wind",POWER(Upgrades!$U$7,F156),1)*IF(Upgrades!$T$8="Solar Wind",POWER(Upgrades!$U$8,G156),1)*IF(Upgrades!$T$9="Solar Wind",POWER(Upgrades!$U$9,H156),1)*IF(Upgrades!$T$10="Solar Wind",POWER(Upgrades!$U$10,I156),1)*IF(Upgrades!$T$11="Solar Wind",POWER(Upgrades!$U$11,J156),1)*IF(Upgrades!$T$12="Solar Wind",POWER(Upgrades!$U$12,K156),1))+(IF(F156=0,0,(Upgrades!$M$7+F156*Upgrades!$N$7)*POWER(Upgrades!$O$7,F156)))*(IF(Upgrades!$T$6="Asteroid Belt",POWER(Upgrades!$U$6,E156),1)*IF(Upgrades!$T$8="Asteroid Belt",POWER(Upgrades!$U$8,G156),1)*IF(Upgrades!$T$9="Asteroid Belt",POWER(Upgrades!$U$9,H156),1)*IF(Upgrades!$T$10="Asteroid Belt",POWER(Upgrades!$U$10,I156),1)*IF(Upgrades!$T$11="Asteroid Belt",POWER(Upgrades!$U$11,J156),1)*IF(Upgrades!$T$12="Asteroid Belt",POWER(Upgrades!$U$12,K156),1))+(IF(G156=0,0,(Upgrades!$M$8+G156*Upgrades!$N$8)*POWER(Upgrades!$O$8,G156)))*(IF(Upgrades!$T$6="Stellar Coupling",POWER(Upgrades!$U$6,E156),1)*IF(Upgrades!$T$7="Stellar Coupling",POWER(Upgrades!$U$7,F156),1)*IF(Upgrades!$T$9="Stellar Coupling",POWER(Upgrades!$U$9,H156),1)*IF(Upgrades!$T$10="Stellar Coupling",POWER(Upgrades!$U$10,I156),1)*IF(Upgrades!$T$11="Stellar Coupling",POWER(Upgrades!$U$11,J156),1)*IF(Upgrades!$T$12="Stellar Coupling",POWER(Upgrades!$U$12,K156),1))+(IF(H156=0,0,(Upgrades!$M$9+H156*Upgrades!$N$9)*POWER(Upgrades!$O$9,H156)))*(IF(Upgrades!$T$6="Magnetosphere",POWER(Upgrades!$U$6,E156),1)*IF(Upgrades!$T$7="Magnetosphere",POWER(Upgrades!$U$7,F156),1)*IF(Upgrades!$T$8="Magnetosphere",POWER(Upgrades!$U$8,G156),1)*IF(Upgrades!$T$10="Magnetosphere",POWER(Upgrades!$U$10,I156),1)*IF(Upgrades!$T$11="Magnetosphere",POWER(Upgrades!$U$11,J156),1)*IF(Upgrades!$T$12="Magnetosphere",POWER(Upgrades!$U$12,K156),1))+(IF(I156=0,0,(Upgrades!$M$10+I156*Upgrades!$N$10)*POWER(Upgrades!$O$10,I156)))*(IF(Upgrades!$T$6="Orbital Resonance",POWER(Upgrades!$U$6,E156),1)*IF(Upgrades!$T$7="Orbital Resonance",POWER(Upgrades!$U$7,F156),1)*IF(Upgrades!$T$8="Orbital Resonance",POWER(Upgrades!$U$8,G156),1)*IF(Upgrades!$T$9="Orbital Resonance",POWER(Upgrades!$U$9,H156),1)*IF(Upgrades!$T$11="Orbital Resonance",POWER(Upgrades!$U$11,J156),1)*IF(Upgrades!$T$12="Orbital Resonance",POWER(Upgrades!$U$12,K156),1))+(IF(J156=0,0,(Upgrades!$M$11+J156*Upgrades!$N$11)*POWER(Upgrades!$O$11,J156)))*(IF(Upgrades!$T$6="Heliopause",POWER(Upgrades!$U$6,E156),1)*IF(Upgrades!$T$7="Heliopause",POWER(Upgrades!$U$7,F156),1)*IF(Upgrades!$T$8="Heliopause",POWER(Upgrades!$U$8,G156),1)*IF(Upgrades!$T$9="Heliopause",POWER(Upgrades!$U$9,H156),1)*IF(Upgrades!$T$10="Heliopause",POWER(Upgrades!$U$10,I156),1)*IF(Upgrades!$T$12="Heliopause",POWER(Upgrades!$U$12,K156),1))+(IF(K156=0,0,(Upgrades!$M$12+K156*Upgrades!$N$12)*POWER(Upgrades!$O$12,K156)))*(IF(Upgrades!$T$6="First Photons",POWER(Upgrades!$U$6,E156),1)*IF(Upgrades!$T$7="First Photons",POWER(Upgrades!$U$7,F156),1)*IF(Upgrades!$T$8="First Photons",POWER(Upgrades!$U$8,G156),1)*IF(Upgrades!$T$9="First Photons",POWER(Upgrades!$U$9,H156),1)*IF(Upgrades!$T$10="First Photons",POWER(Upgrades!$U$10,I156),1)*IF(Upgrades!$T$11="First Photons",POWER(Upgrades!$U$11,J156),1)))*POWER(Upgrades!$R$6,E156)*POWER(Upgrades!$R$7,F156)*POWER(Upgrades!$R$8,G156)*POWER(Upgrades!$R$9,H156)*POWER(Upgrades!$R$10,I156)*POWER(Upgrades!$R$11,J156)*POWER(Upgrades!$R$12,K156)</f>
        <v/>
      </c>
      <c r="P156" s="27">
        <f>IF(L156=1,0,M156*Parameters!$B$10/60*Parameters!$B$11*10)</f>
        <v/>
      </c>
      <c r="Q156" s="27">
        <f>IF(L156=1,0,O156*M156*10)</f>
        <v/>
      </c>
      <c r="R156" s="27">
        <f>IF(L156=1,0,N156*10)</f>
        <v/>
      </c>
      <c r="S156" s="27">
        <f>P156+Q156+R156</f>
        <v/>
      </c>
      <c r="T156" s="22">
        <f>C156+S156</f>
        <v/>
      </c>
      <c r="U156" s="33">
        <f>AX156</f>
        <v/>
      </c>
      <c r="V156" s="22">
        <f>IF(U156="",0,IF(U156="transition",0,IF(U156="SW",AG156,IF(U156="AB",AH156,IF(U156="SC",AI156,IF(U156="Mag",AJ156,IF(U156="OR",AK156,IF(U156="HP",AL156,IF(U156="FP",AM156,0)))))))))</f>
        <v/>
      </c>
      <c r="W156" s="27">
        <f>IF(U156="OR",Upgrades!$F$10,IF(U156="HP",Upgrades!$F$11,IF(U156="transition",-Parameters!$B$18,0)))</f>
        <v/>
      </c>
      <c r="X156" s="22">
        <f>T156-V156</f>
        <v/>
      </c>
      <c r="Y156" s="30">
        <f>M156*Parameters!$B$10/60*Parameters!$B$11+O156*M156+N156</f>
        <v/>
      </c>
      <c r="Z156" s="34">
        <f>IF(U156="transition","→ Tier 2 (Stellar Neighborhood)",IF(U156="FP","First Photons — light begins, system quickens",IF(U156="HP","Heliopause acquired",IF(U156="OR","Orbital Resonance — passive multiplier active",IF(AND(AO156=1,L156=0,AN156&lt;&gt;1),"Cohesion ready (waiting on completionist upgrades)","")))))</f>
        <v/>
      </c>
      <c r="AA156" s="27">
        <f>(IF(E156=0,0,(Upgrades!$G$6+E156*Upgrades!$H$6)*POWER(Upgrades!$I$6,E156)))*(IF(Upgrades!$T$7="Solar Wind",POWER(Upgrades!$U$7,F156),1)*IF(Upgrades!$T$8="Solar Wind",POWER(Upgrades!$U$8,G156),1)*IF(Upgrades!$T$9="Solar Wind",POWER(Upgrades!$U$9,H156),1)*IF(Upgrades!$T$10="Solar Wind",POWER(Upgrades!$U$10,I156),1)*IF(Upgrades!$T$11="Solar Wind",POWER(Upgrades!$U$11,J156),1)*IF(Upgrades!$T$12="Solar Wind",POWER(Upgrades!$U$12,K156),1))*POWER(Upgrades!$P$6,E156)*POWER(Upgrades!$P$7,F156)*POWER(Upgrades!$P$8,G156)*POWER(Upgrades!$P$9,H156)*POWER(Upgrades!$P$10,I156)*POWER(Upgrades!$P$11,J156)*POWER(Upgrades!$P$12,K156)*60</f>
        <v/>
      </c>
      <c r="AB156" s="27">
        <f>(IF(F156=0,0,(Upgrades!$G$7+F156*Upgrades!$H$7)*POWER(Upgrades!$I$7,F156)))*(IF(Upgrades!$T$6="Asteroid Belt",POWER(Upgrades!$U$6,E156),1)*IF(Upgrades!$T$8="Asteroid Belt",POWER(Upgrades!$U$8,G156),1)*IF(Upgrades!$T$9="Asteroid Belt",POWER(Upgrades!$U$9,H156),1)*IF(Upgrades!$T$10="Asteroid Belt",POWER(Upgrades!$U$10,I156),1)*IF(Upgrades!$T$11="Asteroid Belt",POWER(Upgrades!$U$11,J156),1)*IF(Upgrades!$T$12="Asteroid Belt",POWER(Upgrades!$U$12,K156),1))*POWER(Upgrades!$P$6,E156)*POWER(Upgrades!$P$7,F156)*POWER(Upgrades!$P$8,G156)*POWER(Upgrades!$P$9,H156)*POWER(Upgrades!$P$10,I156)*POWER(Upgrades!$P$11,J156)*POWER(Upgrades!$P$12,K156)*60</f>
        <v/>
      </c>
      <c r="AC156" s="27">
        <f>(IF(G156=0,0,(Upgrades!$J$8+G156*Upgrades!$K$8)*POWER(Upgrades!$L$8,G156)))*(IF(Upgrades!$T$6="Stellar Coupling",POWER(Upgrades!$U$6,E156),1)*IF(Upgrades!$T$7="Stellar Coupling",POWER(Upgrades!$U$7,F156),1)*IF(Upgrades!$T$9="Stellar Coupling",POWER(Upgrades!$U$9,H156),1)*IF(Upgrades!$T$10="Stellar Coupling",POWER(Upgrades!$U$10,I156),1)*IF(Upgrades!$T$11="Stellar Coupling",POWER(Upgrades!$U$11,J156),1)*IF(Upgrades!$T$12="Stellar Coupling",POWER(Upgrades!$U$12,K156),1))*POWER(Upgrades!$Q$6,E156)*POWER(Upgrades!$Q$7,F156)*POWER(Upgrades!$Q$8,G156)*POWER(Upgrades!$Q$9,H156)*POWER(Upgrades!$Q$10,I156)*POWER(Upgrades!$Q$11,J156)*POWER(Upgrades!$Q$12,K156)*Parameters!$B$10*Parameters!$B$11</f>
        <v/>
      </c>
      <c r="AD156" s="27">
        <f>(IF(H156=0,0,(Upgrades!$G$9+H156*Upgrades!$H$9)*POWER(Upgrades!$I$9,H156)))*(IF(Upgrades!$T$6="Magnetosphere",POWER(Upgrades!$U$6,E156),1)*IF(Upgrades!$T$7="Magnetosphere",POWER(Upgrades!$U$7,F156),1)*IF(Upgrades!$T$8="Magnetosphere",POWER(Upgrades!$U$8,G156),1)*IF(Upgrades!$T$10="Magnetosphere",POWER(Upgrades!$U$10,I156),1)*IF(Upgrades!$T$11="Magnetosphere",POWER(Upgrades!$U$11,J156),1)*IF(Upgrades!$T$12="Magnetosphere",POWER(Upgrades!$U$12,K156),1))*POWER(Upgrades!$P$6,E156)*POWER(Upgrades!$P$7,F156)*POWER(Upgrades!$P$8,G156)*POWER(Upgrades!$P$9,H156)*POWER(Upgrades!$P$10,I156)*POWER(Upgrades!$P$11,J156)*POWER(Upgrades!$P$12,K156)*60</f>
        <v/>
      </c>
      <c r="AE156" s="27">
        <f>(IF(K156=0,0,(Upgrades!$G$12+K156*Upgrades!$H$12)*POWER(Upgrades!$I$12,K156)))*(IF(Upgrades!$T$6="First Photons",POWER(Upgrades!$U$6,E156),1)*IF(Upgrades!$T$7="First Photons",POWER(Upgrades!$U$7,F156),1)*IF(Upgrades!$T$8="First Photons",POWER(Upgrades!$U$8,G156),1)*IF(Upgrades!$T$9="First Photons",POWER(Upgrades!$U$9,H156),1)*IF(Upgrades!$T$10="First Photons",POWER(Upgrades!$U$10,I156),1)*IF(Upgrades!$T$11="First Photons",POWER(Upgrades!$U$11,J156),1))*POWER(Upgrades!$P$6,E156)*POWER(Upgrades!$P$7,F156)*POWER(Upgrades!$P$8,G156)*POWER(Upgrades!$P$9,H156)*POWER(Upgrades!$P$10,I156)*POWER(Upgrades!$P$11,J156)*POWER(Upgrades!$P$12,K156)*60</f>
        <v/>
      </c>
      <c r="AF156" s="27">
        <f>Parameters!$B$9*POWER(Upgrades!$Q$6,E156)*POWER(Upgrades!$Q$7,F156)*POWER(Upgrades!$Q$8,G156)*POWER(Upgrades!$Q$9,H156)*POWER(Upgrades!$Q$10,I156)*POWER(Upgrades!$Q$11,J156)*POWER(Upgrades!$Q$12,K156)*(Parameters!$B$10*Parameters!$B$11+O156*60)</f>
        <v/>
      </c>
      <c r="AG156" s="22">
        <f>IF(E156&gt;=Upgrades!$E$6,"",Upgrades!$C$6*POWER(Upgrades!$D$6,E156))</f>
        <v/>
      </c>
      <c r="AH156" s="22">
        <f>IF(F156&gt;=Upgrades!$E$7,"",Upgrades!$C$7*POWER(Upgrades!$D$7,F156))</f>
        <v/>
      </c>
      <c r="AI156" s="22">
        <f>IF(G156&gt;=Upgrades!$E$8,"",Upgrades!$C$8*POWER(Upgrades!$D$8,G156))</f>
        <v/>
      </c>
      <c r="AJ156" s="22">
        <f>IF(H156&gt;=Upgrades!$E$9,"",Upgrades!$C$9*POWER(Upgrades!$D$9,H156))</f>
        <v/>
      </c>
      <c r="AK156" s="22">
        <f>IF(I156&gt;=Upgrades!$E$10,"",Upgrades!$C$10*POWER(Upgrades!$D$10,I156))</f>
        <v/>
      </c>
      <c r="AL156" s="22">
        <f>IF(J156&gt;=Upgrades!$E$11,"",Upgrades!$C$11*POWER(Upgrades!$D$11,J156))</f>
        <v/>
      </c>
      <c r="AM156" s="22">
        <f>IF(K156&gt;=Upgrades!$E$12,"",Upgrades!$C$12*POWER(Upgrades!$D$12,K156))</f>
        <v/>
      </c>
      <c r="AN156" s="26">
        <f>IF(AND(D156&gt;=Parameters!$B$18,(H156&gt;=Upgrades!$E$9)*(K156&gt;=Upgrades!$E$12)=1,L156=0),1,"")</f>
        <v/>
      </c>
      <c r="AO156" s="26">
        <f>IF(AND(D156&gt;=Parameters!$B$18,L156=0),1,"")</f>
        <v/>
      </c>
      <c r="AP156" s="22">
        <f>MIN(IF(ISNUMBER(AK156),AK156,9E15),IF(ISNUMBER(AL156),AL156,9E15),IF(ISNUMBER(AM156),AM156,9E15))</f>
        <v/>
      </c>
      <c r="AQ156" s="22">
        <f>MIN(IF(ISNUMBER(AG156),AG156,9E15),IF(ISNUMBER(AH156),AH156,9E15),IF(ISNUMBER(AI156),AI156,9E15),IF(ISNUMBER(AJ156),AJ156,9E15))</f>
        <v/>
      </c>
      <c r="AR156" s="29">
        <f>IF(AW156&gt;Parameters!$B$21*(MAX(IF(AND(NOT(AND(AO156=1,AN156&lt;&gt;1)),ISNUMBER(AG156),AG156&lt;=T156),AS156,0),IF(AND(NOT(AND(AO156=1,AN156&lt;&gt;1)),ISNUMBER(AH156),AH156&lt;=T156),AT156,0),IF(AND(NOT(AND(AO156=1,AN156&lt;&gt;1)),ISNUMBER(AI156),AI156&lt;=T156),AU156,0),IF(AND(ISNUMBER(AJ156),AJ156&lt;=T156),AV156,0))),TRUE,FALSE)</f>
        <v/>
      </c>
      <c r="AS156" s="32">
        <f>IFERROR(Upgrades!$H$6*(POWER(Upgrades!$P$6,E156)*POWER(Upgrades!$P$7,F156)*POWER(Upgrades!$P$8,G156)*POWER(Upgrades!$P$9,H156)*POWER(Upgrades!$P$10,I156)*POWER(Upgrades!$P$11,J156)*POWER(Upgrades!$P$12,K156))*(IF(Upgrades!$T$7="Solar Wind",POWER(Upgrades!$U$7,F156),1)*IF(Upgrades!$T$8="Solar Wind",POWER(Upgrades!$U$8,G156),1)*IF(Upgrades!$T$9="Solar Wind",POWER(Upgrades!$U$9,H156),1)*IF(Upgrades!$T$10="Solar Wind",POWER(Upgrades!$U$10,I156),1)*IF(Upgrades!$T$11="Solar Wind",POWER(Upgrades!$U$11,J156),1)*IF(Upgrades!$T$12="Solar Wind",POWER(Upgrades!$U$12,K156),1))/AG156,0)</f>
        <v/>
      </c>
      <c r="AT156" s="32">
        <f>IFERROR(Upgrades!$H$7*(POWER(Upgrades!$P$6,E156)*POWER(Upgrades!$P$7,F156)*POWER(Upgrades!$P$8,G156)*POWER(Upgrades!$P$9,H156)*POWER(Upgrades!$P$10,I156)*POWER(Upgrades!$P$11,J156)*POWER(Upgrades!$P$12,K156))*(IF(Upgrades!$T$6="Asteroid Belt",POWER(Upgrades!$U$6,E156),1)*IF(Upgrades!$T$8="Asteroid Belt",POWER(Upgrades!$U$8,G156),1)*IF(Upgrades!$T$9="Asteroid Belt",POWER(Upgrades!$U$9,H156),1)*IF(Upgrades!$T$10="Asteroid Belt",POWER(Upgrades!$U$10,I156),1)*IF(Upgrades!$T$11="Asteroid Belt",POWER(Upgrades!$U$11,J156),1)*IF(Upgrades!$T$12="Asteroid Belt",POWER(Upgrades!$U$12,K156),1))/AH156,0)</f>
        <v/>
      </c>
      <c r="AU156" s="32">
        <f>IFERROR(Upgrades!$K$8*(POWER(Upgrades!$Q$6,E156)*POWER(Upgrades!$Q$7,F156)*POWER(Upgrades!$Q$8,G156)*POWER(Upgrades!$Q$9,H156)*POWER(Upgrades!$Q$10,I156)*POWER(Upgrades!$Q$11,J156)*POWER(Upgrades!$Q$12,K156))*(IF(Upgrades!$T$6="Stellar Coupling",POWER(Upgrades!$U$6,E156),1)*IF(Upgrades!$T$7="Stellar Coupling",POWER(Upgrades!$U$7,F156),1)*IF(Upgrades!$T$9="Stellar Coupling",POWER(Upgrades!$U$9,H156),1)*IF(Upgrades!$T$10="Stellar Coupling",POWER(Upgrades!$U$10,I156),1)*IF(Upgrades!$T$11="Stellar Coupling",POWER(Upgrades!$U$11,J156),1)*IF(Upgrades!$T$12="Stellar Coupling",POWER(Upgrades!$U$12,K156),1))*Parameters!$B$10*Parameters!$B$11/60/AI156,0)</f>
        <v/>
      </c>
      <c r="AV156" s="32">
        <f>IFERROR(Upgrades!$H$9*(POWER(Upgrades!$P$6,E156)*POWER(Upgrades!$P$7,F156)*POWER(Upgrades!$P$8,G156)*POWER(Upgrades!$P$9,H156)*POWER(Upgrades!$P$10,I156)*POWER(Upgrades!$P$11,J156)*POWER(Upgrades!$P$12,K156))*(IF(Upgrades!$T$6="Magnetosphere",POWER(Upgrades!$U$6,E156),1)*IF(Upgrades!$T$7="Magnetosphere",POWER(Upgrades!$U$7,F156),1)*IF(Upgrades!$T$8="Magnetosphere",POWER(Upgrades!$U$8,G156),1)*IF(Upgrades!$T$10="Magnetosphere",POWER(Upgrades!$U$10,I156),1)*IF(Upgrades!$T$11="Magnetosphere",POWER(Upgrades!$U$11,J156),1)*IF(Upgrades!$T$12="Magnetosphere",POWER(Upgrades!$U$12,K156),1))/AJ156,0)</f>
        <v/>
      </c>
      <c r="AW156" s="32">
        <f>MAX(IF(I156&gt;0,0,IFERROR(0.25*N156/Upgrades!$C$10,0)),IF(J156&gt;0,0,IFERROR(0.5*((IF(G156=0,0,(Upgrades!$J$8+G156*Upgrades!$K$8)*POWER(Upgrades!$L$8,G156)))*(IF(Upgrades!$T$6="Stellar Coupling",POWER(Upgrades!$U$6,E156),1)*IF(Upgrades!$T$7="Stellar Coupling",POWER(Upgrades!$U$7,F156),1)*IF(Upgrades!$T$9="Stellar Coupling",POWER(Upgrades!$U$9,H156),1)*IF(Upgrades!$T$10="Stellar Coupling",POWER(Upgrades!$U$10,I156),1)*IF(Upgrades!$T$11="Stellar Coupling",POWER(Upgrades!$U$11,J156),1)*IF(Upgrades!$T$12="Stellar Coupling",POWER(Upgrades!$U$12,K156),1))*(POWER(Upgrades!$Q$6,E156)*POWER(Upgrades!$Q$7,F156)*POWER(Upgrades!$Q$8,G156)*POWER(Upgrades!$Q$9,H156)*POWER(Upgrades!$Q$10,I156)*POWER(Upgrades!$Q$11,J156)*POWER(Upgrades!$Q$12,K156))*Parameters!$B$10*Parameters!$B$11/60)/Upgrades!$C$11,0)),IF(K156&gt;0,0,IFERROR((1.0*(POWER(Upgrades!$P$6,E156)*POWER(Upgrades!$P$7,F156)*POWER(Upgrades!$P$8,G156)*POWER(Upgrades!$P$9,H156)*POWER(Upgrades!$P$10,I156)*POWER(Upgrades!$P$11,J156)*POWER(Upgrades!$P$12,K156))+0.20*M156*Parameters!$B$10*Parameters!$B$11/60)/Upgrades!$C$12,0)),IF(AND(ISNUMBER(AG156),AG156&gt;T156),AS156,0),IF(AND(ISNUMBER(AH156),AH156&gt;T156),AT156,0),IF(AND(ISNUMBER(AI156),AI156&gt;T156),AU156,0),IF(AND(ISNUMBER(AJ156),AJ156&gt;T156),AV156,0))</f>
        <v/>
      </c>
      <c r="AX156" s="29">
        <f>IF(AN156=1,"transition",IF(MIN(IF(AND(I156=0,ISNUMBER(AK156),AK156&lt;=T156),AK156,9E15),IF(AND(J156=0,ISNUMBER(AL156),AL156&lt;=T156),AL156,9E15),IF(AND(K156=0,ISNUMBER(AM156),AM156&lt;=T156),AM156,9E15))&lt;9E15,IF(AND(AND(I156=0,ISNUMBER(AK156),AK156&lt;=T156),AK156=MIN(IF(AND(I156=0,ISNUMBER(AK156),AK156&lt;=T156),AK156,9E15),IF(AND(J156=0,ISNUMBER(AL156),AL156&lt;=T156),AL156,9E15),IF(AND(K156=0,ISNUMBER(AM156),AM156&lt;=T156),AM156,9E15))),"OR",IF(AND(AND(J156=0,ISNUMBER(AL156),AL156&lt;=T156),AL156=MIN(IF(AND(I156=0,ISNUMBER(AK156),AK156&lt;=T156),AK156,9E15),IF(AND(J156=0,ISNUMBER(AL156),AL156&lt;=T156),AL156,9E15),IF(AND(K156=0,ISNUMBER(AM156),AM156&lt;=T156),AM156,9E15))),"HP","FP")),IF(AR156=TRUE,"",IF(MAX(IF(AND(NOT(AND(AO156=1,AN156&lt;&gt;1)),ISNUMBER(AG156),AG156&lt;=T156),AS156,0),IF(AND(NOT(AND(AO156=1,AN156&lt;&gt;1)),ISNUMBER(AH156),AH156&lt;=T156),AT156,0),IF(AND(NOT(AND(AO156=1,AN156&lt;&gt;1)),ISNUMBER(AI156),AI156&lt;=T156),AU156,0),IF(AND(ISNUMBER(AJ156),AJ156&lt;=T156),AV156,0))&lt;=0,"",IF(AND(IF(AND(NOT(AND(AO156=1,AN156&lt;&gt;1)),ISNUMBER(AG156),AG156&lt;=T156),AS156,0)&gt;0,IF(AND(NOT(AND(AO156=1,AN156&lt;&gt;1)),ISNUMBER(AG156),AG156&lt;=T156),AS156,0)=MAX(IF(AND(NOT(AND(AO156=1,AN156&lt;&gt;1)),ISNUMBER(AG156),AG156&lt;=T156),AS156,0),IF(AND(NOT(AND(AO156=1,AN156&lt;&gt;1)),ISNUMBER(AH156),AH156&lt;=T156),AT156,0),IF(AND(NOT(AND(AO156=1,AN156&lt;&gt;1)),ISNUMBER(AI156),AI156&lt;=T156),AU156,0),IF(AND(ISNUMBER(AJ156),AJ156&lt;=T156),AV156,0))),"SW",IF(AND(IF(AND(NOT(AND(AO156=1,AN156&lt;&gt;1)),ISNUMBER(AH156),AH156&lt;=T156),AT156,0)&gt;0,IF(AND(NOT(AND(AO156=1,AN156&lt;&gt;1)),ISNUMBER(AH156),AH156&lt;=T156),AT156,0)=MAX(IF(AND(NOT(AND(AO156=1,AN156&lt;&gt;1)),ISNUMBER(AG156),AG156&lt;=T156),AS156,0),IF(AND(NOT(AND(AO156=1,AN156&lt;&gt;1)),ISNUMBER(AH156),AH156&lt;=T156),AT156,0),IF(AND(NOT(AND(AO156=1,AN156&lt;&gt;1)),ISNUMBER(AI156),AI156&lt;=T156),AU156,0),IF(AND(ISNUMBER(AJ156),AJ156&lt;=T156),AV156,0))),"AB",IF(AND(IF(AND(NOT(AND(AO156=1,AN156&lt;&gt;1)),ISNUMBER(AI156),AI156&lt;=T156),AU156,0)&gt;0,IF(AND(NOT(AND(AO156=1,AN156&lt;&gt;1)),ISNUMBER(AI156),AI156&lt;=T156),AU156,0)=MAX(IF(AND(NOT(AND(AO156=1,AN156&lt;&gt;1)),ISNUMBER(AG156),AG156&lt;=T156),AS156,0),IF(AND(NOT(AND(AO156=1,AN156&lt;&gt;1)),ISNUMBER(AH156),AH156&lt;=T156),AT156,0),IF(AND(NOT(AND(AO156=1,AN156&lt;&gt;1)),ISNUMBER(AI156),AI156&lt;=T156),AU156,0),IF(AND(ISNUMBER(AJ156),AJ156&lt;=T156),AV156,0))),"SC","Mag")))))))</f>
        <v/>
      </c>
    </row>
    <row r="157">
      <c r="A157" s="26" t="n">
        <v>152</v>
      </c>
      <c r="B157" s="27">
        <f>A157*10/60</f>
        <v/>
      </c>
      <c r="C157" s="22">
        <f>X156</f>
        <v/>
      </c>
      <c r="D157" s="27">
        <f>D156+W156</f>
        <v/>
      </c>
      <c r="E157" s="26">
        <f>E156+IF(U156="SW",1,0)</f>
        <v/>
      </c>
      <c r="F157" s="26">
        <f>F156+IF(U156="AB",1,0)</f>
        <v/>
      </c>
      <c r="G157" s="26">
        <f>G156+IF(U156="SC",1,0)</f>
        <v/>
      </c>
      <c r="H157" s="26">
        <f>H156+IF(U156="Mag",1,0)</f>
        <v/>
      </c>
      <c r="I157" s="26">
        <f>MAX(I156,IF(U156="OR",1,0))</f>
        <v/>
      </c>
      <c r="J157" s="26">
        <f>MAX(J156,IF(U156="HP",1,0))</f>
        <v/>
      </c>
      <c r="K157" s="26">
        <f>MAX(K156,IF(U156="FP",1,0))</f>
        <v/>
      </c>
      <c r="L157" s="26">
        <f>MAX(L156,IF(U156="transition",1,0))</f>
        <v/>
      </c>
      <c r="M157" s="28">
        <f>(Parameters!$B$9+(IF(E157=0,0,(Upgrades!$J$6+E157*Upgrades!$K$6)*POWER(Upgrades!$L$6,E157)))*(IF(Upgrades!$T$7="Solar Wind",POWER(Upgrades!$U$7,F157),1)*IF(Upgrades!$T$8="Solar Wind",POWER(Upgrades!$U$8,G157),1)*IF(Upgrades!$T$9="Solar Wind",POWER(Upgrades!$U$9,H157),1)*IF(Upgrades!$T$10="Solar Wind",POWER(Upgrades!$U$10,I157),1)*IF(Upgrades!$T$11="Solar Wind",POWER(Upgrades!$U$11,J157),1)*IF(Upgrades!$T$12="Solar Wind",POWER(Upgrades!$U$12,K157),1))+(IF(F157=0,0,(Upgrades!$J$7+F157*Upgrades!$K$7)*POWER(Upgrades!$L$7,F157)))*(IF(Upgrades!$T$6="Asteroid Belt",POWER(Upgrades!$U$6,E157),1)*IF(Upgrades!$T$8="Asteroid Belt",POWER(Upgrades!$U$8,G157),1)*IF(Upgrades!$T$9="Asteroid Belt",POWER(Upgrades!$U$9,H157),1)*IF(Upgrades!$T$10="Asteroid Belt",POWER(Upgrades!$U$10,I157),1)*IF(Upgrades!$T$11="Asteroid Belt",POWER(Upgrades!$U$11,J157),1)*IF(Upgrades!$T$12="Asteroid Belt",POWER(Upgrades!$U$12,K157),1))+(IF(G157=0,0,(Upgrades!$J$8+G157*Upgrades!$K$8)*POWER(Upgrades!$L$8,G157)))*(IF(Upgrades!$T$6="Stellar Coupling",POWER(Upgrades!$U$6,E157),1)*IF(Upgrades!$T$7="Stellar Coupling",POWER(Upgrades!$U$7,F157),1)*IF(Upgrades!$T$9="Stellar Coupling",POWER(Upgrades!$U$9,H157),1)*IF(Upgrades!$T$10="Stellar Coupling",POWER(Upgrades!$U$10,I157),1)*IF(Upgrades!$T$11="Stellar Coupling",POWER(Upgrades!$U$11,J157),1)*IF(Upgrades!$T$12="Stellar Coupling",POWER(Upgrades!$U$12,K157),1))+(IF(H157=0,0,(Upgrades!$J$9+H157*Upgrades!$K$9)*POWER(Upgrades!$L$9,H157)))*(IF(Upgrades!$T$6="Magnetosphere",POWER(Upgrades!$U$6,E157),1)*IF(Upgrades!$T$7="Magnetosphere",POWER(Upgrades!$U$7,F157),1)*IF(Upgrades!$T$8="Magnetosphere",POWER(Upgrades!$U$8,G157),1)*IF(Upgrades!$T$10="Magnetosphere",POWER(Upgrades!$U$10,I157),1)*IF(Upgrades!$T$11="Magnetosphere",POWER(Upgrades!$U$11,J157),1)*IF(Upgrades!$T$12="Magnetosphere",POWER(Upgrades!$U$12,K157),1))+(IF(I157=0,0,(Upgrades!$J$10+I157*Upgrades!$K$10)*POWER(Upgrades!$L$10,I157)))*(IF(Upgrades!$T$6="Orbital Resonance",POWER(Upgrades!$U$6,E157),1)*IF(Upgrades!$T$7="Orbital Resonance",POWER(Upgrades!$U$7,F157),1)*IF(Upgrades!$T$8="Orbital Resonance",POWER(Upgrades!$U$8,G157),1)*IF(Upgrades!$T$9="Orbital Resonance",POWER(Upgrades!$U$9,H157),1)*IF(Upgrades!$T$11="Orbital Resonance",POWER(Upgrades!$U$11,J157),1)*IF(Upgrades!$T$12="Orbital Resonance",POWER(Upgrades!$U$12,K157),1))+(IF(J157=0,0,(Upgrades!$J$11+J157*Upgrades!$K$11)*POWER(Upgrades!$L$11,J157)))*(IF(Upgrades!$T$6="Heliopause",POWER(Upgrades!$U$6,E157),1)*IF(Upgrades!$T$7="Heliopause",POWER(Upgrades!$U$7,F157),1)*IF(Upgrades!$T$8="Heliopause",POWER(Upgrades!$U$8,G157),1)*IF(Upgrades!$T$9="Heliopause",POWER(Upgrades!$U$9,H157),1)*IF(Upgrades!$T$10="Heliopause",POWER(Upgrades!$U$10,I157),1)*IF(Upgrades!$T$12="Heliopause",POWER(Upgrades!$U$12,K157),1))+(IF(K157=0,0,(Upgrades!$J$12+K157*Upgrades!$K$12)*POWER(Upgrades!$L$12,K157)))*(IF(Upgrades!$T$6="First Photons",POWER(Upgrades!$U$6,E157),1)*IF(Upgrades!$T$7="First Photons",POWER(Upgrades!$U$7,F157),1)*IF(Upgrades!$T$8="First Photons",POWER(Upgrades!$U$8,G157),1)*IF(Upgrades!$T$9="First Photons",POWER(Upgrades!$U$9,H157),1)*IF(Upgrades!$T$10="First Photons",POWER(Upgrades!$U$10,I157),1)*IF(Upgrades!$T$11="First Photons",POWER(Upgrades!$U$11,J157),1)))*POWER(Upgrades!$Q$6,E157)*POWER(Upgrades!$Q$7,F157)*POWER(Upgrades!$Q$8,G157)*POWER(Upgrades!$Q$9,H157)*POWER(Upgrades!$Q$10,I157)*POWER(Upgrades!$Q$11,J157)*POWER(Upgrades!$Q$12,K157)</f>
        <v/>
      </c>
      <c r="N157" s="28">
        <f>((IF(E157=0,0,(Upgrades!$G$6+E157*Upgrades!$H$6)*POWER(Upgrades!$I$6,E157)))*(IF(Upgrades!$T$7="Solar Wind",POWER(Upgrades!$U$7,F157),1)*IF(Upgrades!$T$8="Solar Wind",POWER(Upgrades!$U$8,G157),1)*IF(Upgrades!$T$9="Solar Wind",POWER(Upgrades!$U$9,H157),1)*IF(Upgrades!$T$10="Solar Wind",POWER(Upgrades!$U$10,I157),1)*IF(Upgrades!$T$11="Solar Wind",POWER(Upgrades!$U$11,J157),1)*IF(Upgrades!$T$12="Solar Wind",POWER(Upgrades!$U$12,K157),1))+(IF(F157=0,0,(Upgrades!$G$7+F157*Upgrades!$H$7)*POWER(Upgrades!$I$7,F157)))*(IF(Upgrades!$T$6="Asteroid Belt",POWER(Upgrades!$U$6,E157),1)*IF(Upgrades!$T$8="Asteroid Belt",POWER(Upgrades!$U$8,G157),1)*IF(Upgrades!$T$9="Asteroid Belt",POWER(Upgrades!$U$9,H157),1)*IF(Upgrades!$T$10="Asteroid Belt",POWER(Upgrades!$U$10,I157),1)*IF(Upgrades!$T$11="Asteroid Belt",POWER(Upgrades!$U$11,J157),1)*IF(Upgrades!$T$12="Asteroid Belt",POWER(Upgrades!$U$12,K157),1))+(IF(G157=0,0,(Upgrades!$G$8+G157*Upgrades!$H$8)*POWER(Upgrades!$I$8,G157)))*(IF(Upgrades!$T$6="Stellar Coupling",POWER(Upgrades!$U$6,E157),1)*IF(Upgrades!$T$7="Stellar Coupling",POWER(Upgrades!$U$7,F157),1)*IF(Upgrades!$T$9="Stellar Coupling",POWER(Upgrades!$U$9,H157),1)*IF(Upgrades!$T$10="Stellar Coupling",POWER(Upgrades!$U$10,I157),1)*IF(Upgrades!$T$11="Stellar Coupling",POWER(Upgrades!$U$11,J157),1)*IF(Upgrades!$T$12="Stellar Coupling",POWER(Upgrades!$U$12,K157),1))+(IF(H157=0,0,(Upgrades!$G$9+H157*Upgrades!$H$9)*POWER(Upgrades!$I$9,H157)))*(IF(Upgrades!$T$6="Magnetosphere",POWER(Upgrades!$U$6,E157),1)*IF(Upgrades!$T$7="Magnetosphere",POWER(Upgrades!$U$7,F157),1)*IF(Upgrades!$T$8="Magnetosphere",POWER(Upgrades!$U$8,G157),1)*IF(Upgrades!$T$10="Magnetosphere",POWER(Upgrades!$U$10,I157),1)*IF(Upgrades!$T$11="Magnetosphere",POWER(Upgrades!$U$11,J157),1)*IF(Upgrades!$T$12="Magnetosphere",POWER(Upgrades!$U$12,K157),1))+(IF(I157=0,0,(Upgrades!$G$10+I157*Upgrades!$H$10)*POWER(Upgrades!$I$10,I157)))*(IF(Upgrades!$T$6="Orbital Resonance",POWER(Upgrades!$U$6,E157),1)*IF(Upgrades!$T$7="Orbital Resonance",POWER(Upgrades!$U$7,F157),1)*IF(Upgrades!$T$8="Orbital Resonance",POWER(Upgrades!$U$8,G157),1)*IF(Upgrades!$T$9="Orbital Resonance",POWER(Upgrades!$U$9,H157),1)*IF(Upgrades!$T$11="Orbital Resonance",POWER(Upgrades!$U$11,J157),1)*IF(Upgrades!$T$12="Orbital Resonance",POWER(Upgrades!$U$12,K157),1))+(IF(J157=0,0,(Upgrades!$G$11+J157*Upgrades!$H$11)*POWER(Upgrades!$I$11,J157)))*(IF(Upgrades!$T$6="Heliopause",POWER(Upgrades!$U$6,E157),1)*IF(Upgrades!$T$7="Heliopause",POWER(Upgrades!$U$7,F157),1)*IF(Upgrades!$T$8="Heliopause",POWER(Upgrades!$U$8,G157),1)*IF(Upgrades!$T$9="Heliopause",POWER(Upgrades!$U$9,H157),1)*IF(Upgrades!$T$10="Heliopause",POWER(Upgrades!$U$10,I157),1)*IF(Upgrades!$T$12="Heliopause",POWER(Upgrades!$U$12,K157),1))+(IF(K157=0,0,(Upgrades!$G$12+K157*Upgrades!$H$12)*POWER(Upgrades!$I$12,K157)))*(IF(Upgrades!$T$6="First Photons",POWER(Upgrades!$U$6,E157),1)*IF(Upgrades!$T$7="First Photons",POWER(Upgrades!$U$7,F157),1)*IF(Upgrades!$T$8="First Photons",POWER(Upgrades!$U$8,G157),1)*IF(Upgrades!$T$9="First Photons",POWER(Upgrades!$U$9,H157),1)*IF(Upgrades!$T$10="First Photons",POWER(Upgrades!$U$10,I157),1)*IF(Upgrades!$T$11="First Photons",POWER(Upgrades!$U$11,J157),1)))*POWER(Upgrades!$P$6,E157)*POWER(Upgrades!$P$7,F157)*POWER(Upgrades!$P$8,G157)*POWER(Upgrades!$P$9,H157)*POWER(Upgrades!$P$10,I157)*POWER(Upgrades!$P$11,J157)*POWER(Upgrades!$P$12,K157)</f>
        <v/>
      </c>
      <c r="O157" s="28">
        <f>((IF(E157=0,0,(Upgrades!$M$6+E157*Upgrades!$N$6)*POWER(Upgrades!$O$6,E157)))*(IF(Upgrades!$T$7="Solar Wind",POWER(Upgrades!$U$7,F157),1)*IF(Upgrades!$T$8="Solar Wind",POWER(Upgrades!$U$8,G157),1)*IF(Upgrades!$T$9="Solar Wind",POWER(Upgrades!$U$9,H157),1)*IF(Upgrades!$T$10="Solar Wind",POWER(Upgrades!$U$10,I157),1)*IF(Upgrades!$T$11="Solar Wind",POWER(Upgrades!$U$11,J157),1)*IF(Upgrades!$T$12="Solar Wind",POWER(Upgrades!$U$12,K157),1))+(IF(F157=0,0,(Upgrades!$M$7+F157*Upgrades!$N$7)*POWER(Upgrades!$O$7,F157)))*(IF(Upgrades!$T$6="Asteroid Belt",POWER(Upgrades!$U$6,E157),1)*IF(Upgrades!$T$8="Asteroid Belt",POWER(Upgrades!$U$8,G157),1)*IF(Upgrades!$T$9="Asteroid Belt",POWER(Upgrades!$U$9,H157),1)*IF(Upgrades!$T$10="Asteroid Belt",POWER(Upgrades!$U$10,I157),1)*IF(Upgrades!$T$11="Asteroid Belt",POWER(Upgrades!$U$11,J157),1)*IF(Upgrades!$T$12="Asteroid Belt",POWER(Upgrades!$U$12,K157),1))+(IF(G157=0,0,(Upgrades!$M$8+G157*Upgrades!$N$8)*POWER(Upgrades!$O$8,G157)))*(IF(Upgrades!$T$6="Stellar Coupling",POWER(Upgrades!$U$6,E157),1)*IF(Upgrades!$T$7="Stellar Coupling",POWER(Upgrades!$U$7,F157),1)*IF(Upgrades!$T$9="Stellar Coupling",POWER(Upgrades!$U$9,H157),1)*IF(Upgrades!$T$10="Stellar Coupling",POWER(Upgrades!$U$10,I157),1)*IF(Upgrades!$T$11="Stellar Coupling",POWER(Upgrades!$U$11,J157),1)*IF(Upgrades!$T$12="Stellar Coupling",POWER(Upgrades!$U$12,K157),1))+(IF(H157=0,0,(Upgrades!$M$9+H157*Upgrades!$N$9)*POWER(Upgrades!$O$9,H157)))*(IF(Upgrades!$T$6="Magnetosphere",POWER(Upgrades!$U$6,E157),1)*IF(Upgrades!$T$7="Magnetosphere",POWER(Upgrades!$U$7,F157),1)*IF(Upgrades!$T$8="Magnetosphere",POWER(Upgrades!$U$8,G157),1)*IF(Upgrades!$T$10="Magnetosphere",POWER(Upgrades!$U$10,I157),1)*IF(Upgrades!$T$11="Magnetosphere",POWER(Upgrades!$U$11,J157),1)*IF(Upgrades!$T$12="Magnetosphere",POWER(Upgrades!$U$12,K157),1))+(IF(I157=0,0,(Upgrades!$M$10+I157*Upgrades!$N$10)*POWER(Upgrades!$O$10,I157)))*(IF(Upgrades!$T$6="Orbital Resonance",POWER(Upgrades!$U$6,E157),1)*IF(Upgrades!$T$7="Orbital Resonance",POWER(Upgrades!$U$7,F157),1)*IF(Upgrades!$T$8="Orbital Resonance",POWER(Upgrades!$U$8,G157),1)*IF(Upgrades!$T$9="Orbital Resonance",POWER(Upgrades!$U$9,H157),1)*IF(Upgrades!$T$11="Orbital Resonance",POWER(Upgrades!$U$11,J157),1)*IF(Upgrades!$T$12="Orbital Resonance",POWER(Upgrades!$U$12,K157),1))+(IF(J157=0,0,(Upgrades!$M$11+J157*Upgrades!$N$11)*POWER(Upgrades!$O$11,J157)))*(IF(Upgrades!$T$6="Heliopause",POWER(Upgrades!$U$6,E157),1)*IF(Upgrades!$T$7="Heliopause",POWER(Upgrades!$U$7,F157),1)*IF(Upgrades!$T$8="Heliopause",POWER(Upgrades!$U$8,G157),1)*IF(Upgrades!$T$9="Heliopause",POWER(Upgrades!$U$9,H157),1)*IF(Upgrades!$T$10="Heliopause",POWER(Upgrades!$U$10,I157),1)*IF(Upgrades!$T$12="Heliopause",POWER(Upgrades!$U$12,K157),1))+(IF(K157=0,0,(Upgrades!$M$12+K157*Upgrades!$N$12)*POWER(Upgrades!$O$12,K157)))*(IF(Upgrades!$T$6="First Photons",POWER(Upgrades!$U$6,E157),1)*IF(Upgrades!$T$7="First Photons",POWER(Upgrades!$U$7,F157),1)*IF(Upgrades!$T$8="First Photons",POWER(Upgrades!$U$8,G157),1)*IF(Upgrades!$T$9="First Photons",POWER(Upgrades!$U$9,H157),1)*IF(Upgrades!$T$10="First Photons",POWER(Upgrades!$U$10,I157),1)*IF(Upgrades!$T$11="First Photons",POWER(Upgrades!$U$11,J157),1)))*POWER(Upgrades!$R$6,E157)*POWER(Upgrades!$R$7,F157)*POWER(Upgrades!$R$8,G157)*POWER(Upgrades!$R$9,H157)*POWER(Upgrades!$R$10,I157)*POWER(Upgrades!$R$11,J157)*POWER(Upgrades!$R$12,K157)</f>
        <v/>
      </c>
      <c r="P157" s="27">
        <f>IF(L157=1,0,M157*Parameters!$B$10/60*Parameters!$B$11*10)</f>
        <v/>
      </c>
      <c r="Q157" s="27">
        <f>IF(L157=1,0,O157*M157*10)</f>
        <v/>
      </c>
      <c r="R157" s="27">
        <f>IF(L157=1,0,N157*10)</f>
        <v/>
      </c>
      <c r="S157" s="27">
        <f>P157+Q157+R157</f>
        <v/>
      </c>
      <c r="T157" s="22">
        <f>C157+S157</f>
        <v/>
      </c>
      <c r="U157" s="33">
        <f>AX157</f>
        <v/>
      </c>
      <c r="V157" s="22">
        <f>IF(U157="",0,IF(U157="transition",0,IF(U157="SW",AG157,IF(U157="AB",AH157,IF(U157="SC",AI157,IF(U157="Mag",AJ157,IF(U157="OR",AK157,IF(U157="HP",AL157,IF(U157="FP",AM157,0)))))))))</f>
        <v/>
      </c>
      <c r="W157" s="27">
        <f>IF(U157="OR",Upgrades!$F$10,IF(U157="HP",Upgrades!$F$11,IF(U157="transition",-Parameters!$B$18,0)))</f>
        <v/>
      </c>
      <c r="X157" s="22">
        <f>T157-V157</f>
        <v/>
      </c>
      <c r="Y157" s="30">
        <f>M157*Parameters!$B$10/60*Parameters!$B$11+O157*M157+N157</f>
        <v/>
      </c>
      <c r="Z157" s="34">
        <f>IF(U157="transition","→ Tier 2 (Stellar Neighborhood)",IF(U157="FP","First Photons — light begins, system quickens",IF(U157="HP","Heliopause acquired",IF(U157="OR","Orbital Resonance — passive multiplier active",IF(AND(AO157=1,L157=0,AN157&lt;&gt;1),"Cohesion ready (waiting on completionist upgrades)","")))))</f>
        <v/>
      </c>
      <c r="AA157" s="27">
        <f>(IF(E157=0,0,(Upgrades!$G$6+E157*Upgrades!$H$6)*POWER(Upgrades!$I$6,E157)))*(IF(Upgrades!$T$7="Solar Wind",POWER(Upgrades!$U$7,F157),1)*IF(Upgrades!$T$8="Solar Wind",POWER(Upgrades!$U$8,G157),1)*IF(Upgrades!$T$9="Solar Wind",POWER(Upgrades!$U$9,H157),1)*IF(Upgrades!$T$10="Solar Wind",POWER(Upgrades!$U$10,I157),1)*IF(Upgrades!$T$11="Solar Wind",POWER(Upgrades!$U$11,J157),1)*IF(Upgrades!$T$12="Solar Wind",POWER(Upgrades!$U$12,K157),1))*POWER(Upgrades!$P$6,E157)*POWER(Upgrades!$P$7,F157)*POWER(Upgrades!$P$8,G157)*POWER(Upgrades!$P$9,H157)*POWER(Upgrades!$P$10,I157)*POWER(Upgrades!$P$11,J157)*POWER(Upgrades!$P$12,K157)*60</f>
        <v/>
      </c>
      <c r="AB157" s="27">
        <f>(IF(F157=0,0,(Upgrades!$G$7+F157*Upgrades!$H$7)*POWER(Upgrades!$I$7,F157)))*(IF(Upgrades!$T$6="Asteroid Belt",POWER(Upgrades!$U$6,E157),1)*IF(Upgrades!$T$8="Asteroid Belt",POWER(Upgrades!$U$8,G157),1)*IF(Upgrades!$T$9="Asteroid Belt",POWER(Upgrades!$U$9,H157),1)*IF(Upgrades!$T$10="Asteroid Belt",POWER(Upgrades!$U$10,I157),1)*IF(Upgrades!$T$11="Asteroid Belt",POWER(Upgrades!$U$11,J157),1)*IF(Upgrades!$T$12="Asteroid Belt",POWER(Upgrades!$U$12,K157),1))*POWER(Upgrades!$P$6,E157)*POWER(Upgrades!$P$7,F157)*POWER(Upgrades!$P$8,G157)*POWER(Upgrades!$P$9,H157)*POWER(Upgrades!$P$10,I157)*POWER(Upgrades!$P$11,J157)*POWER(Upgrades!$P$12,K157)*60</f>
        <v/>
      </c>
      <c r="AC157" s="27">
        <f>(IF(G157=0,0,(Upgrades!$J$8+G157*Upgrades!$K$8)*POWER(Upgrades!$L$8,G157)))*(IF(Upgrades!$T$6="Stellar Coupling",POWER(Upgrades!$U$6,E157),1)*IF(Upgrades!$T$7="Stellar Coupling",POWER(Upgrades!$U$7,F157),1)*IF(Upgrades!$T$9="Stellar Coupling",POWER(Upgrades!$U$9,H157),1)*IF(Upgrades!$T$10="Stellar Coupling",POWER(Upgrades!$U$10,I157),1)*IF(Upgrades!$T$11="Stellar Coupling",POWER(Upgrades!$U$11,J157),1)*IF(Upgrades!$T$12="Stellar Coupling",POWER(Upgrades!$U$12,K157),1))*POWER(Upgrades!$Q$6,E157)*POWER(Upgrades!$Q$7,F157)*POWER(Upgrades!$Q$8,G157)*POWER(Upgrades!$Q$9,H157)*POWER(Upgrades!$Q$10,I157)*POWER(Upgrades!$Q$11,J157)*POWER(Upgrades!$Q$12,K157)*Parameters!$B$10*Parameters!$B$11</f>
        <v/>
      </c>
      <c r="AD157" s="27">
        <f>(IF(H157=0,0,(Upgrades!$G$9+H157*Upgrades!$H$9)*POWER(Upgrades!$I$9,H157)))*(IF(Upgrades!$T$6="Magnetosphere",POWER(Upgrades!$U$6,E157),1)*IF(Upgrades!$T$7="Magnetosphere",POWER(Upgrades!$U$7,F157),1)*IF(Upgrades!$T$8="Magnetosphere",POWER(Upgrades!$U$8,G157),1)*IF(Upgrades!$T$10="Magnetosphere",POWER(Upgrades!$U$10,I157),1)*IF(Upgrades!$T$11="Magnetosphere",POWER(Upgrades!$U$11,J157),1)*IF(Upgrades!$T$12="Magnetosphere",POWER(Upgrades!$U$12,K157),1))*POWER(Upgrades!$P$6,E157)*POWER(Upgrades!$P$7,F157)*POWER(Upgrades!$P$8,G157)*POWER(Upgrades!$P$9,H157)*POWER(Upgrades!$P$10,I157)*POWER(Upgrades!$P$11,J157)*POWER(Upgrades!$P$12,K157)*60</f>
        <v/>
      </c>
      <c r="AE157" s="27">
        <f>(IF(K157=0,0,(Upgrades!$G$12+K157*Upgrades!$H$12)*POWER(Upgrades!$I$12,K157)))*(IF(Upgrades!$T$6="First Photons",POWER(Upgrades!$U$6,E157),1)*IF(Upgrades!$T$7="First Photons",POWER(Upgrades!$U$7,F157),1)*IF(Upgrades!$T$8="First Photons",POWER(Upgrades!$U$8,G157),1)*IF(Upgrades!$T$9="First Photons",POWER(Upgrades!$U$9,H157),1)*IF(Upgrades!$T$10="First Photons",POWER(Upgrades!$U$10,I157),1)*IF(Upgrades!$T$11="First Photons",POWER(Upgrades!$U$11,J157),1))*POWER(Upgrades!$P$6,E157)*POWER(Upgrades!$P$7,F157)*POWER(Upgrades!$P$8,G157)*POWER(Upgrades!$P$9,H157)*POWER(Upgrades!$P$10,I157)*POWER(Upgrades!$P$11,J157)*POWER(Upgrades!$P$12,K157)*60</f>
        <v/>
      </c>
      <c r="AF157" s="27">
        <f>Parameters!$B$9*POWER(Upgrades!$Q$6,E157)*POWER(Upgrades!$Q$7,F157)*POWER(Upgrades!$Q$8,G157)*POWER(Upgrades!$Q$9,H157)*POWER(Upgrades!$Q$10,I157)*POWER(Upgrades!$Q$11,J157)*POWER(Upgrades!$Q$12,K157)*(Parameters!$B$10*Parameters!$B$11+O157*60)</f>
        <v/>
      </c>
      <c r="AG157" s="22">
        <f>IF(E157&gt;=Upgrades!$E$6,"",Upgrades!$C$6*POWER(Upgrades!$D$6,E157))</f>
        <v/>
      </c>
      <c r="AH157" s="22">
        <f>IF(F157&gt;=Upgrades!$E$7,"",Upgrades!$C$7*POWER(Upgrades!$D$7,F157))</f>
        <v/>
      </c>
      <c r="AI157" s="22">
        <f>IF(G157&gt;=Upgrades!$E$8,"",Upgrades!$C$8*POWER(Upgrades!$D$8,G157))</f>
        <v/>
      </c>
      <c r="AJ157" s="22">
        <f>IF(H157&gt;=Upgrades!$E$9,"",Upgrades!$C$9*POWER(Upgrades!$D$9,H157))</f>
        <v/>
      </c>
      <c r="AK157" s="22">
        <f>IF(I157&gt;=Upgrades!$E$10,"",Upgrades!$C$10*POWER(Upgrades!$D$10,I157))</f>
        <v/>
      </c>
      <c r="AL157" s="22">
        <f>IF(J157&gt;=Upgrades!$E$11,"",Upgrades!$C$11*POWER(Upgrades!$D$11,J157))</f>
        <v/>
      </c>
      <c r="AM157" s="22">
        <f>IF(K157&gt;=Upgrades!$E$12,"",Upgrades!$C$12*POWER(Upgrades!$D$12,K157))</f>
        <v/>
      </c>
      <c r="AN157" s="26">
        <f>IF(AND(D157&gt;=Parameters!$B$18,(H157&gt;=Upgrades!$E$9)*(K157&gt;=Upgrades!$E$12)=1,L157=0),1,"")</f>
        <v/>
      </c>
      <c r="AO157" s="26">
        <f>IF(AND(D157&gt;=Parameters!$B$18,L157=0),1,"")</f>
        <v/>
      </c>
      <c r="AP157" s="22">
        <f>MIN(IF(ISNUMBER(AK157),AK157,9E15),IF(ISNUMBER(AL157),AL157,9E15),IF(ISNUMBER(AM157),AM157,9E15))</f>
        <v/>
      </c>
      <c r="AQ157" s="22">
        <f>MIN(IF(ISNUMBER(AG157),AG157,9E15),IF(ISNUMBER(AH157),AH157,9E15),IF(ISNUMBER(AI157),AI157,9E15),IF(ISNUMBER(AJ157),AJ157,9E15))</f>
        <v/>
      </c>
      <c r="AR157" s="29">
        <f>IF(AW157&gt;Parameters!$B$21*(MAX(IF(AND(NOT(AND(AO157=1,AN157&lt;&gt;1)),ISNUMBER(AG157),AG157&lt;=T157),AS157,0),IF(AND(NOT(AND(AO157=1,AN157&lt;&gt;1)),ISNUMBER(AH157),AH157&lt;=T157),AT157,0),IF(AND(NOT(AND(AO157=1,AN157&lt;&gt;1)),ISNUMBER(AI157),AI157&lt;=T157),AU157,0),IF(AND(ISNUMBER(AJ157),AJ157&lt;=T157),AV157,0))),TRUE,FALSE)</f>
        <v/>
      </c>
      <c r="AS157" s="32">
        <f>IFERROR(Upgrades!$H$6*(POWER(Upgrades!$P$6,E157)*POWER(Upgrades!$P$7,F157)*POWER(Upgrades!$P$8,G157)*POWER(Upgrades!$P$9,H157)*POWER(Upgrades!$P$10,I157)*POWER(Upgrades!$P$11,J157)*POWER(Upgrades!$P$12,K157))*(IF(Upgrades!$T$7="Solar Wind",POWER(Upgrades!$U$7,F157),1)*IF(Upgrades!$T$8="Solar Wind",POWER(Upgrades!$U$8,G157),1)*IF(Upgrades!$T$9="Solar Wind",POWER(Upgrades!$U$9,H157),1)*IF(Upgrades!$T$10="Solar Wind",POWER(Upgrades!$U$10,I157),1)*IF(Upgrades!$T$11="Solar Wind",POWER(Upgrades!$U$11,J157),1)*IF(Upgrades!$T$12="Solar Wind",POWER(Upgrades!$U$12,K157),1))/AG157,0)</f>
        <v/>
      </c>
      <c r="AT157" s="32">
        <f>IFERROR(Upgrades!$H$7*(POWER(Upgrades!$P$6,E157)*POWER(Upgrades!$P$7,F157)*POWER(Upgrades!$P$8,G157)*POWER(Upgrades!$P$9,H157)*POWER(Upgrades!$P$10,I157)*POWER(Upgrades!$P$11,J157)*POWER(Upgrades!$P$12,K157))*(IF(Upgrades!$T$6="Asteroid Belt",POWER(Upgrades!$U$6,E157),1)*IF(Upgrades!$T$8="Asteroid Belt",POWER(Upgrades!$U$8,G157),1)*IF(Upgrades!$T$9="Asteroid Belt",POWER(Upgrades!$U$9,H157),1)*IF(Upgrades!$T$10="Asteroid Belt",POWER(Upgrades!$U$10,I157),1)*IF(Upgrades!$T$11="Asteroid Belt",POWER(Upgrades!$U$11,J157),1)*IF(Upgrades!$T$12="Asteroid Belt",POWER(Upgrades!$U$12,K157),1))/AH157,0)</f>
        <v/>
      </c>
      <c r="AU157" s="32">
        <f>IFERROR(Upgrades!$K$8*(POWER(Upgrades!$Q$6,E157)*POWER(Upgrades!$Q$7,F157)*POWER(Upgrades!$Q$8,G157)*POWER(Upgrades!$Q$9,H157)*POWER(Upgrades!$Q$10,I157)*POWER(Upgrades!$Q$11,J157)*POWER(Upgrades!$Q$12,K157))*(IF(Upgrades!$T$6="Stellar Coupling",POWER(Upgrades!$U$6,E157),1)*IF(Upgrades!$T$7="Stellar Coupling",POWER(Upgrades!$U$7,F157),1)*IF(Upgrades!$T$9="Stellar Coupling",POWER(Upgrades!$U$9,H157),1)*IF(Upgrades!$T$10="Stellar Coupling",POWER(Upgrades!$U$10,I157),1)*IF(Upgrades!$T$11="Stellar Coupling",POWER(Upgrades!$U$11,J157),1)*IF(Upgrades!$T$12="Stellar Coupling",POWER(Upgrades!$U$12,K157),1))*Parameters!$B$10*Parameters!$B$11/60/AI157,0)</f>
        <v/>
      </c>
      <c r="AV157" s="32">
        <f>IFERROR(Upgrades!$H$9*(POWER(Upgrades!$P$6,E157)*POWER(Upgrades!$P$7,F157)*POWER(Upgrades!$P$8,G157)*POWER(Upgrades!$P$9,H157)*POWER(Upgrades!$P$10,I157)*POWER(Upgrades!$P$11,J157)*POWER(Upgrades!$P$12,K157))*(IF(Upgrades!$T$6="Magnetosphere",POWER(Upgrades!$U$6,E157),1)*IF(Upgrades!$T$7="Magnetosphere",POWER(Upgrades!$U$7,F157),1)*IF(Upgrades!$T$8="Magnetosphere",POWER(Upgrades!$U$8,G157),1)*IF(Upgrades!$T$10="Magnetosphere",POWER(Upgrades!$U$10,I157),1)*IF(Upgrades!$T$11="Magnetosphere",POWER(Upgrades!$U$11,J157),1)*IF(Upgrades!$T$12="Magnetosphere",POWER(Upgrades!$U$12,K157),1))/AJ157,0)</f>
        <v/>
      </c>
      <c r="AW157" s="32">
        <f>MAX(IF(I157&gt;0,0,IFERROR(0.25*N157/Upgrades!$C$10,0)),IF(J157&gt;0,0,IFERROR(0.5*((IF(G157=0,0,(Upgrades!$J$8+G157*Upgrades!$K$8)*POWER(Upgrades!$L$8,G157)))*(IF(Upgrades!$T$6="Stellar Coupling",POWER(Upgrades!$U$6,E157),1)*IF(Upgrades!$T$7="Stellar Coupling",POWER(Upgrades!$U$7,F157),1)*IF(Upgrades!$T$9="Stellar Coupling",POWER(Upgrades!$U$9,H157),1)*IF(Upgrades!$T$10="Stellar Coupling",POWER(Upgrades!$U$10,I157),1)*IF(Upgrades!$T$11="Stellar Coupling",POWER(Upgrades!$U$11,J157),1)*IF(Upgrades!$T$12="Stellar Coupling",POWER(Upgrades!$U$12,K157),1))*(POWER(Upgrades!$Q$6,E157)*POWER(Upgrades!$Q$7,F157)*POWER(Upgrades!$Q$8,G157)*POWER(Upgrades!$Q$9,H157)*POWER(Upgrades!$Q$10,I157)*POWER(Upgrades!$Q$11,J157)*POWER(Upgrades!$Q$12,K157))*Parameters!$B$10*Parameters!$B$11/60)/Upgrades!$C$11,0)),IF(K157&gt;0,0,IFERROR((1.0*(POWER(Upgrades!$P$6,E157)*POWER(Upgrades!$P$7,F157)*POWER(Upgrades!$P$8,G157)*POWER(Upgrades!$P$9,H157)*POWER(Upgrades!$P$10,I157)*POWER(Upgrades!$P$11,J157)*POWER(Upgrades!$P$12,K157))+0.20*M157*Parameters!$B$10*Parameters!$B$11/60)/Upgrades!$C$12,0)),IF(AND(ISNUMBER(AG157),AG157&gt;T157),AS157,0),IF(AND(ISNUMBER(AH157),AH157&gt;T157),AT157,0),IF(AND(ISNUMBER(AI157),AI157&gt;T157),AU157,0),IF(AND(ISNUMBER(AJ157),AJ157&gt;T157),AV157,0))</f>
        <v/>
      </c>
      <c r="AX157" s="29">
        <f>IF(AN157=1,"transition",IF(MIN(IF(AND(I157=0,ISNUMBER(AK157),AK157&lt;=T157),AK157,9E15),IF(AND(J157=0,ISNUMBER(AL157),AL157&lt;=T157),AL157,9E15),IF(AND(K157=0,ISNUMBER(AM157),AM157&lt;=T157),AM157,9E15))&lt;9E15,IF(AND(AND(I157=0,ISNUMBER(AK157),AK157&lt;=T157),AK157=MIN(IF(AND(I157=0,ISNUMBER(AK157),AK157&lt;=T157),AK157,9E15),IF(AND(J157=0,ISNUMBER(AL157),AL157&lt;=T157),AL157,9E15),IF(AND(K157=0,ISNUMBER(AM157),AM157&lt;=T157),AM157,9E15))),"OR",IF(AND(AND(J157=0,ISNUMBER(AL157),AL157&lt;=T157),AL157=MIN(IF(AND(I157=0,ISNUMBER(AK157),AK157&lt;=T157),AK157,9E15),IF(AND(J157=0,ISNUMBER(AL157),AL157&lt;=T157),AL157,9E15),IF(AND(K157=0,ISNUMBER(AM157),AM157&lt;=T157),AM157,9E15))),"HP","FP")),IF(AR157=TRUE,"",IF(MAX(IF(AND(NOT(AND(AO157=1,AN157&lt;&gt;1)),ISNUMBER(AG157),AG157&lt;=T157),AS157,0),IF(AND(NOT(AND(AO157=1,AN157&lt;&gt;1)),ISNUMBER(AH157),AH157&lt;=T157),AT157,0),IF(AND(NOT(AND(AO157=1,AN157&lt;&gt;1)),ISNUMBER(AI157),AI157&lt;=T157),AU157,0),IF(AND(ISNUMBER(AJ157),AJ157&lt;=T157),AV157,0))&lt;=0,"",IF(AND(IF(AND(NOT(AND(AO157=1,AN157&lt;&gt;1)),ISNUMBER(AG157),AG157&lt;=T157),AS157,0)&gt;0,IF(AND(NOT(AND(AO157=1,AN157&lt;&gt;1)),ISNUMBER(AG157),AG157&lt;=T157),AS157,0)=MAX(IF(AND(NOT(AND(AO157=1,AN157&lt;&gt;1)),ISNUMBER(AG157),AG157&lt;=T157),AS157,0),IF(AND(NOT(AND(AO157=1,AN157&lt;&gt;1)),ISNUMBER(AH157),AH157&lt;=T157),AT157,0),IF(AND(NOT(AND(AO157=1,AN157&lt;&gt;1)),ISNUMBER(AI157),AI157&lt;=T157),AU157,0),IF(AND(ISNUMBER(AJ157),AJ157&lt;=T157),AV157,0))),"SW",IF(AND(IF(AND(NOT(AND(AO157=1,AN157&lt;&gt;1)),ISNUMBER(AH157),AH157&lt;=T157),AT157,0)&gt;0,IF(AND(NOT(AND(AO157=1,AN157&lt;&gt;1)),ISNUMBER(AH157),AH157&lt;=T157),AT157,0)=MAX(IF(AND(NOT(AND(AO157=1,AN157&lt;&gt;1)),ISNUMBER(AG157),AG157&lt;=T157),AS157,0),IF(AND(NOT(AND(AO157=1,AN157&lt;&gt;1)),ISNUMBER(AH157),AH157&lt;=T157),AT157,0),IF(AND(NOT(AND(AO157=1,AN157&lt;&gt;1)),ISNUMBER(AI157),AI157&lt;=T157),AU157,0),IF(AND(ISNUMBER(AJ157),AJ157&lt;=T157),AV157,0))),"AB",IF(AND(IF(AND(NOT(AND(AO157=1,AN157&lt;&gt;1)),ISNUMBER(AI157),AI157&lt;=T157),AU157,0)&gt;0,IF(AND(NOT(AND(AO157=1,AN157&lt;&gt;1)),ISNUMBER(AI157),AI157&lt;=T157),AU157,0)=MAX(IF(AND(NOT(AND(AO157=1,AN157&lt;&gt;1)),ISNUMBER(AG157),AG157&lt;=T157),AS157,0),IF(AND(NOT(AND(AO157=1,AN157&lt;&gt;1)),ISNUMBER(AH157),AH157&lt;=T157),AT157,0),IF(AND(NOT(AND(AO157=1,AN157&lt;&gt;1)),ISNUMBER(AI157),AI157&lt;=T157),AU157,0),IF(AND(ISNUMBER(AJ157),AJ157&lt;=T157),AV157,0))),"SC","Mag")))))))</f>
        <v/>
      </c>
    </row>
    <row r="158">
      <c r="A158" s="26" t="n">
        <v>153</v>
      </c>
      <c r="B158" s="27">
        <f>A158*10/60</f>
        <v/>
      </c>
      <c r="C158" s="22">
        <f>X157</f>
        <v/>
      </c>
      <c r="D158" s="27">
        <f>D157+W157</f>
        <v/>
      </c>
      <c r="E158" s="26">
        <f>E157+IF(U157="SW",1,0)</f>
        <v/>
      </c>
      <c r="F158" s="26">
        <f>F157+IF(U157="AB",1,0)</f>
        <v/>
      </c>
      <c r="G158" s="26">
        <f>G157+IF(U157="SC",1,0)</f>
        <v/>
      </c>
      <c r="H158" s="26">
        <f>H157+IF(U157="Mag",1,0)</f>
        <v/>
      </c>
      <c r="I158" s="26">
        <f>MAX(I157,IF(U157="OR",1,0))</f>
        <v/>
      </c>
      <c r="J158" s="26">
        <f>MAX(J157,IF(U157="HP",1,0))</f>
        <v/>
      </c>
      <c r="K158" s="26">
        <f>MAX(K157,IF(U157="FP",1,0))</f>
        <v/>
      </c>
      <c r="L158" s="26">
        <f>MAX(L157,IF(U157="transition",1,0))</f>
        <v/>
      </c>
      <c r="M158" s="28">
        <f>(Parameters!$B$9+(IF(E158=0,0,(Upgrades!$J$6+E158*Upgrades!$K$6)*POWER(Upgrades!$L$6,E158)))*(IF(Upgrades!$T$7="Solar Wind",POWER(Upgrades!$U$7,F158),1)*IF(Upgrades!$T$8="Solar Wind",POWER(Upgrades!$U$8,G158),1)*IF(Upgrades!$T$9="Solar Wind",POWER(Upgrades!$U$9,H158),1)*IF(Upgrades!$T$10="Solar Wind",POWER(Upgrades!$U$10,I158),1)*IF(Upgrades!$T$11="Solar Wind",POWER(Upgrades!$U$11,J158),1)*IF(Upgrades!$T$12="Solar Wind",POWER(Upgrades!$U$12,K158),1))+(IF(F158=0,0,(Upgrades!$J$7+F158*Upgrades!$K$7)*POWER(Upgrades!$L$7,F158)))*(IF(Upgrades!$T$6="Asteroid Belt",POWER(Upgrades!$U$6,E158),1)*IF(Upgrades!$T$8="Asteroid Belt",POWER(Upgrades!$U$8,G158),1)*IF(Upgrades!$T$9="Asteroid Belt",POWER(Upgrades!$U$9,H158),1)*IF(Upgrades!$T$10="Asteroid Belt",POWER(Upgrades!$U$10,I158),1)*IF(Upgrades!$T$11="Asteroid Belt",POWER(Upgrades!$U$11,J158),1)*IF(Upgrades!$T$12="Asteroid Belt",POWER(Upgrades!$U$12,K158),1))+(IF(G158=0,0,(Upgrades!$J$8+G158*Upgrades!$K$8)*POWER(Upgrades!$L$8,G158)))*(IF(Upgrades!$T$6="Stellar Coupling",POWER(Upgrades!$U$6,E158),1)*IF(Upgrades!$T$7="Stellar Coupling",POWER(Upgrades!$U$7,F158),1)*IF(Upgrades!$T$9="Stellar Coupling",POWER(Upgrades!$U$9,H158),1)*IF(Upgrades!$T$10="Stellar Coupling",POWER(Upgrades!$U$10,I158),1)*IF(Upgrades!$T$11="Stellar Coupling",POWER(Upgrades!$U$11,J158),1)*IF(Upgrades!$T$12="Stellar Coupling",POWER(Upgrades!$U$12,K158),1))+(IF(H158=0,0,(Upgrades!$J$9+H158*Upgrades!$K$9)*POWER(Upgrades!$L$9,H158)))*(IF(Upgrades!$T$6="Magnetosphere",POWER(Upgrades!$U$6,E158),1)*IF(Upgrades!$T$7="Magnetosphere",POWER(Upgrades!$U$7,F158),1)*IF(Upgrades!$T$8="Magnetosphere",POWER(Upgrades!$U$8,G158),1)*IF(Upgrades!$T$10="Magnetosphere",POWER(Upgrades!$U$10,I158),1)*IF(Upgrades!$T$11="Magnetosphere",POWER(Upgrades!$U$11,J158),1)*IF(Upgrades!$T$12="Magnetosphere",POWER(Upgrades!$U$12,K158),1))+(IF(I158=0,0,(Upgrades!$J$10+I158*Upgrades!$K$10)*POWER(Upgrades!$L$10,I158)))*(IF(Upgrades!$T$6="Orbital Resonance",POWER(Upgrades!$U$6,E158),1)*IF(Upgrades!$T$7="Orbital Resonance",POWER(Upgrades!$U$7,F158),1)*IF(Upgrades!$T$8="Orbital Resonance",POWER(Upgrades!$U$8,G158),1)*IF(Upgrades!$T$9="Orbital Resonance",POWER(Upgrades!$U$9,H158),1)*IF(Upgrades!$T$11="Orbital Resonance",POWER(Upgrades!$U$11,J158),1)*IF(Upgrades!$T$12="Orbital Resonance",POWER(Upgrades!$U$12,K158),1))+(IF(J158=0,0,(Upgrades!$J$11+J158*Upgrades!$K$11)*POWER(Upgrades!$L$11,J158)))*(IF(Upgrades!$T$6="Heliopause",POWER(Upgrades!$U$6,E158),1)*IF(Upgrades!$T$7="Heliopause",POWER(Upgrades!$U$7,F158),1)*IF(Upgrades!$T$8="Heliopause",POWER(Upgrades!$U$8,G158),1)*IF(Upgrades!$T$9="Heliopause",POWER(Upgrades!$U$9,H158),1)*IF(Upgrades!$T$10="Heliopause",POWER(Upgrades!$U$10,I158),1)*IF(Upgrades!$T$12="Heliopause",POWER(Upgrades!$U$12,K158),1))+(IF(K158=0,0,(Upgrades!$J$12+K158*Upgrades!$K$12)*POWER(Upgrades!$L$12,K158)))*(IF(Upgrades!$T$6="First Photons",POWER(Upgrades!$U$6,E158),1)*IF(Upgrades!$T$7="First Photons",POWER(Upgrades!$U$7,F158),1)*IF(Upgrades!$T$8="First Photons",POWER(Upgrades!$U$8,G158),1)*IF(Upgrades!$T$9="First Photons",POWER(Upgrades!$U$9,H158),1)*IF(Upgrades!$T$10="First Photons",POWER(Upgrades!$U$10,I158),1)*IF(Upgrades!$T$11="First Photons",POWER(Upgrades!$U$11,J158),1)))*POWER(Upgrades!$Q$6,E158)*POWER(Upgrades!$Q$7,F158)*POWER(Upgrades!$Q$8,G158)*POWER(Upgrades!$Q$9,H158)*POWER(Upgrades!$Q$10,I158)*POWER(Upgrades!$Q$11,J158)*POWER(Upgrades!$Q$12,K158)</f>
        <v/>
      </c>
      <c r="N158" s="28">
        <f>((IF(E158=0,0,(Upgrades!$G$6+E158*Upgrades!$H$6)*POWER(Upgrades!$I$6,E158)))*(IF(Upgrades!$T$7="Solar Wind",POWER(Upgrades!$U$7,F158),1)*IF(Upgrades!$T$8="Solar Wind",POWER(Upgrades!$U$8,G158),1)*IF(Upgrades!$T$9="Solar Wind",POWER(Upgrades!$U$9,H158),1)*IF(Upgrades!$T$10="Solar Wind",POWER(Upgrades!$U$10,I158),1)*IF(Upgrades!$T$11="Solar Wind",POWER(Upgrades!$U$11,J158),1)*IF(Upgrades!$T$12="Solar Wind",POWER(Upgrades!$U$12,K158),1))+(IF(F158=0,0,(Upgrades!$G$7+F158*Upgrades!$H$7)*POWER(Upgrades!$I$7,F158)))*(IF(Upgrades!$T$6="Asteroid Belt",POWER(Upgrades!$U$6,E158),1)*IF(Upgrades!$T$8="Asteroid Belt",POWER(Upgrades!$U$8,G158),1)*IF(Upgrades!$T$9="Asteroid Belt",POWER(Upgrades!$U$9,H158),1)*IF(Upgrades!$T$10="Asteroid Belt",POWER(Upgrades!$U$10,I158),1)*IF(Upgrades!$T$11="Asteroid Belt",POWER(Upgrades!$U$11,J158),1)*IF(Upgrades!$T$12="Asteroid Belt",POWER(Upgrades!$U$12,K158),1))+(IF(G158=0,0,(Upgrades!$G$8+G158*Upgrades!$H$8)*POWER(Upgrades!$I$8,G158)))*(IF(Upgrades!$T$6="Stellar Coupling",POWER(Upgrades!$U$6,E158),1)*IF(Upgrades!$T$7="Stellar Coupling",POWER(Upgrades!$U$7,F158),1)*IF(Upgrades!$T$9="Stellar Coupling",POWER(Upgrades!$U$9,H158),1)*IF(Upgrades!$T$10="Stellar Coupling",POWER(Upgrades!$U$10,I158),1)*IF(Upgrades!$T$11="Stellar Coupling",POWER(Upgrades!$U$11,J158),1)*IF(Upgrades!$T$12="Stellar Coupling",POWER(Upgrades!$U$12,K158),1))+(IF(H158=0,0,(Upgrades!$G$9+H158*Upgrades!$H$9)*POWER(Upgrades!$I$9,H158)))*(IF(Upgrades!$T$6="Magnetosphere",POWER(Upgrades!$U$6,E158),1)*IF(Upgrades!$T$7="Magnetosphere",POWER(Upgrades!$U$7,F158),1)*IF(Upgrades!$T$8="Magnetosphere",POWER(Upgrades!$U$8,G158),1)*IF(Upgrades!$T$10="Magnetosphere",POWER(Upgrades!$U$10,I158),1)*IF(Upgrades!$T$11="Magnetosphere",POWER(Upgrades!$U$11,J158),1)*IF(Upgrades!$T$12="Magnetosphere",POWER(Upgrades!$U$12,K158),1))+(IF(I158=0,0,(Upgrades!$G$10+I158*Upgrades!$H$10)*POWER(Upgrades!$I$10,I158)))*(IF(Upgrades!$T$6="Orbital Resonance",POWER(Upgrades!$U$6,E158),1)*IF(Upgrades!$T$7="Orbital Resonance",POWER(Upgrades!$U$7,F158),1)*IF(Upgrades!$T$8="Orbital Resonance",POWER(Upgrades!$U$8,G158),1)*IF(Upgrades!$T$9="Orbital Resonance",POWER(Upgrades!$U$9,H158),1)*IF(Upgrades!$T$11="Orbital Resonance",POWER(Upgrades!$U$11,J158),1)*IF(Upgrades!$T$12="Orbital Resonance",POWER(Upgrades!$U$12,K158),1))+(IF(J158=0,0,(Upgrades!$G$11+J158*Upgrades!$H$11)*POWER(Upgrades!$I$11,J158)))*(IF(Upgrades!$T$6="Heliopause",POWER(Upgrades!$U$6,E158),1)*IF(Upgrades!$T$7="Heliopause",POWER(Upgrades!$U$7,F158),1)*IF(Upgrades!$T$8="Heliopause",POWER(Upgrades!$U$8,G158),1)*IF(Upgrades!$T$9="Heliopause",POWER(Upgrades!$U$9,H158),1)*IF(Upgrades!$T$10="Heliopause",POWER(Upgrades!$U$10,I158),1)*IF(Upgrades!$T$12="Heliopause",POWER(Upgrades!$U$12,K158),1))+(IF(K158=0,0,(Upgrades!$G$12+K158*Upgrades!$H$12)*POWER(Upgrades!$I$12,K158)))*(IF(Upgrades!$T$6="First Photons",POWER(Upgrades!$U$6,E158),1)*IF(Upgrades!$T$7="First Photons",POWER(Upgrades!$U$7,F158),1)*IF(Upgrades!$T$8="First Photons",POWER(Upgrades!$U$8,G158),1)*IF(Upgrades!$T$9="First Photons",POWER(Upgrades!$U$9,H158),1)*IF(Upgrades!$T$10="First Photons",POWER(Upgrades!$U$10,I158),1)*IF(Upgrades!$T$11="First Photons",POWER(Upgrades!$U$11,J158),1)))*POWER(Upgrades!$P$6,E158)*POWER(Upgrades!$P$7,F158)*POWER(Upgrades!$P$8,G158)*POWER(Upgrades!$P$9,H158)*POWER(Upgrades!$P$10,I158)*POWER(Upgrades!$P$11,J158)*POWER(Upgrades!$P$12,K158)</f>
        <v/>
      </c>
      <c r="O158" s="28">
        <f>((IF(E158=0,0,(Upgrades!$M$6+E158*Upgrades!$N$6)*POWER(Upgrades!$O$6,E158)))*(IF(Upgrades!$T$7="Solar Wind",POWER(Upgrades!$U$7,F158),1)*IF(Upgrades!$T$8="Solar Wind",POWER(Upgrades!$U$8,G158),1)*IF(Upgrades!$T$9="Solar Wind",POWER(Upgrades!$U$9,H158),1)*IF(Upgrades!$T$10="Solar Wind",POWER(Upgrades!$U$10,I158),1)*IF(Upgrades!$T$11="Solar Wind",POWER(Upgrades!$U$11,J158),1)*IF(Upgrades!$T$12="Solar Wind",POWER(Upgrades!$U$12,K158),1))+(IF(F158=0,0,(Upgrades!$M$7+F158*Upgrades!$N$7)*POWER(Upgrades!$O$7,F158)))*(IF(Upgrades!$T$6="Asteroid Belt",POWER(Upgrades!$U$6,E158),1)*IF(Upgrades!$T$8="Asteroid Belt",POWER(Upgrades!$U$8,G158),1)*IF(Upgrades!$T$9="Asteroid Belt",POWER(Upgrades!$U$9,H158),1)*IF(Upgrades!$T$10="Asteroid Belt",POWER(Upgrades!$U$10,I158),1)*IF(Upgrades!$T$11="Asteroid Belt",POWER(Upgrades!$U$11,J158),1)*IF(Upgrades!$T$12="Asteroid Belt",POWER(Upgrades!$U$12,K158),1))+(IF(G158=0,0,(Upgrades!$M$8+G158*Upgrades!$N$8)*POWER(Upgrades!$O$8,G158)))*(IF(Upgrades!$T$6="Stellar Coupling",POWER(Upgrades!$U$6,E158),1)*IF(Upgrades!$T$7="Stellar Coupling",POWER(Upgrades!$U$7,F158),1)*IF(Upgrades!$T$9="Stellar Coupling",POWER(Upgrades!$U$9,H158),1)*IF(Upgrades!$T$10="Stellar Coupling",POWER(Upgrades!$U$10,I158),1)*IF(Upgrades!$T$11="Stellar Coupling",POWER(Upgrades!$U$11,J158),1)*IF(Upgrades!$T$12="Stellar Coupling",POWER(Upgrades!$U$12,K158),1))+(IF(H158=0,0,(Upgrades!$M$9+H158*Upgrades!$N$9)*POWER(Upgrades!$O$9,H158)))*(IF(Upgrades!$T$6="Magnetosphere",POWER(Upgrades!$U$6,E158),1)*IF(Upgrades!$T$7="Magnetosphere",POWER(Upgrades!$U$7,F158),1)*IF(Upgrades!$T$8="Magnetosphere",POWER(Upgrades!$U$8,G158),1)*IF(Upgrades!$T$10="Magnetosphere",POWER(Upgrades!$U$10,I158),1)*IF(Upgrades!$T$11="Magnetosphere",POWER(Upgrades!$U$11,J158),1)*IF(Upgrades!$T$12="Magnetosphere",POWER(Upgrades!$U$12,K158),1))+(IF(I158=0,0,(Upgrades!$M$10+I158*Upgrades!$N$10)*POWER(Upgrades!$O$10,I158)))*(IF(Upgrades!$T$6="Orbital Resonance",POWER(Upgrades!$U$6,E158),1)*IF(Upgrades!$T$7="Orbital Resonance",POWER(Upgrades!$U$7,F158),1)*IF(Upgrades!$T$8="Orbital Resonance",POWER(Upgrades!$U$8,G158),1)*IF(Upgrades!$T$9="Orbital Resonance",POWER(Upgrades!$U$9,H158),1)*IF(Upgrades!$T$11="Orbital Resonance",POWER(Upgrades!$U$11,J158),1)*IF(Upgrades!$T$12="Orbital Resonance",POWER(Upgrades!$U$12,K158),1))+(IF(J158=0,0,(Upgrades!$M$11+J158*Upgrades!$N$11)*POWER(Upgrades!$O$11,J158)))*(IF(Upgrades!$T$6="Heliopause",POWER(Upgrades!$U$6,E158),1)*IF(Upgrades!$T$7="Heliopause",POWER(Upgrades!$U$7,F158),1)*IF(Upgrades!$T$8="Heliopause",POWER(Upgrades!$U$8,G158),1)*IF(Upgrades!$T$9="Heliopause",POWER(Upgrades!$U$9,H158),1)*IF(Upgrades!$T$10="Heliopause",POWER(Upgrades!$U$10,I158),1)*IF(Upgrades!$T$12="Heliopause",POWER(Upgrades!$U$12,K158),1))+(IF(K158=0,0,(Upgrades!$M$12+K158*Upgrades!$N$12)*POWER(Upgrades!$O$12,K158)))*(IF(Upgrades!$T$6="First Photons",POWER(Upgrades!$U$6,E158),1)*IF(Upgrades!$T$7="First Photons",POWER(Upgrades!$U$7,F158),1)*IF(Upgrades!$T$8="First Photons",POWER(Upgrades!$U$8,G158),1)*IF(Upgrades!$T$9="First Photons",POWER(Upgrades!$U$9,H158),1)*IF(Upgrades!$T$10="First Photons",POWER(Upgrades!$U$10,I158),1)*IF(Upgrades!$T$11="First Photons",POWER(Upgrades!$U$11,J158),1)))*POWER(Upgrades!$R$6,E158)*POWER(Upgrades!$R$7,F158)*POWER(Upgrades!$R$8,G158)*POWER(Upgrades!$R$9,H158)*POWER(Upgrades!$R$10,I158)*POWER(Upgrades!$R$11,J158)*POWER(Upgrades!$R$12,K158)</f>
        <v/>
      </c>
      <c r="P158" s="27">
        <f>IF(L158=1,0,M158*Parameters!$B$10/60*Parameters!$B$11*10)</f>
        <v/>
      </c>
      <c r="Q158" s="27">
        <f>IF(L158=1,0,O158*M158*10)</f>
        <v/>
      </c>
      <c r="R158" s="27">
        <f>IF(L158=1,0,N158*10)</f>
        <v/>
      </c>
      <c r="S158" s="27">
        <f>P158+Q158+R158</f>
        <v/>
      </c>
      <c r="T158" s="22">
        <f>C158+S158</f>
        <v/>
      </c>
      <c r="U158" s="33">
        <f>AX158</f>
        <v/>
      </c>
      <c r="V158" s="22">
        <f>IF(U158="",0,IF(U158="transition",0,IF(U158="SW",AG158,IF(U158="AB",AH158,IF(U158="SC",AI158,IF(U158="Mag",AJ158,IF(U158="OR",AK158,IF(U158="HP",AL158,IF(U158="FP",AM158,0)))))))))</f>
        <v/>
      </c>
      <c r="W158" s="27">
        <f>IF(U158="OR",Upgrades!$F$10,IF(U158="HP",Upgrades!$F$11,IF(U158="transition",-Parameters!$B$18,0)))</f>
        <v/>
      </c>
      <c r="X158" s="22">
        <f>T158-V158</f>
        <v/>
      </c>
      <c r="Y158" s="30">
        <f>M158*Parameters!$B$10/60*Parameters!$B$11+O158*M158+N158</f>
        <v/>
      </c>
      <c r="Z158" s="34">
        <f>IF(U158="transition","→ Tier 2 (Stellar Neighborhood)",IF(U158="FP","First Photons — light begins, system quickens",IF(U158="HP","Heliopause acquired",IF(U158="OR","Orbital Resonance — passive multiplier active",IF(AND(AO158=1,L158=0,AN158&lt;&gt;1),"Cohesion ready (waiting on completionist upgrades)","")))))</f>
        <v/>
      </c>
      <c r="AA158" s="27">
        <f>(IF(E158=0,0,(Upgrades!$G$6+E158*Upgrades!$H$6)*POWER(Upgrades!$I$6,E158)))*(IF(Upgrades!$T$7="Solar Wind",POWER(Upgrades!$U$7,F158),1)*IF(Upgrades!$T$8="Solar Wind",POWER(Upgrades!$U$8,G158),1)*IF(Upgrades!$T$9="Solar Wind",POWER(Upgrades!$U$9,H158),1)*IF(Upgrades!$T$10="Solar Wind",POWER(Upgrades!$U$10,I158),1)*IF(Upgrades!$T$11="Solar Wind",POWER(Upgrades!$U$11,J158),1)*IF(Upgrades!$T$12="Solar Wind",POWER(Upgrades!$U$12,K158),1))*POWER(Upgrades!$P$6,E158)*POWER(Upgrades!$P$7,F158)*POWER(Upgrades!$P$8,G158)*POWER(Upgrades!$P$9,H158)*POWER(Upgrades!$P$10,I158)*POWER(Upgrades!$P$11,J158)*POWER(Upgrades!$P$12,K158)*60</f>
        <v/>
      </c>
      <c r="AB158" s="27">
        <f>(IF(F158=0,0,(Upgrades!$G$7+F158*Upgrades!$H$7)*POWER(Upgrades!$I$7,F158)))*(IF(Upgrades!$T$6="Asteroid Belt",POWER(Upgrades!$U$6,E158),1)*IF(Upgrades!$T$8="Asteroid Belt",POWER(Upgrades!$U$8,G158),1)*IF(Upgrades!$T$9="Asteroid Belt",POWER(Upgrades!$U$9,H158),1)*IF(Upgrades!$T$10="Asteroid Belt",POWER(Upgrades!$U$10,I158),1)*IF(Upgrades!$T$11="Asteroid Belt",POWER(Upgrades!$U$11,J158),1)*IF(Upgrades!$T$12="Asteroid Belt",POWER(Upgrades!$U$12,K158),1))*POWER(Upgrades!$P$6,E158)*POWER(Upgrades!$P$7,F158)*POWER(Upgrades!$P$8,G158)*POWER(Upgrades!$P$9,H158)*POWER(Upgrades!$P$10,I158)*POWER(Upgrades!$P$11,J158)*POWER(Upgrades!$P$12,K158)*60</f>
        <v/>
      </c>
      <c r="AC158" s="27">
        <f>(IF(G158=0,0,(Upgrades!$J$8+G158*Upgrades!$K$8)*POWER(Upgrades!$L$8,G158)))*(IF(Upgrades!$T$6="Stellar Coupling",POWER(Upgrades!$U$6,E158),1)*IF(Upgrades!$T$7="Stellar Coupling",POWER(Upgrades!$U$7,F158),1)*IF(Upgrades!$T$9="Stellar Coupling",POWER(Upgrades!$U$9,H158),1)*IF(Upgrades!$T$10="Stellar Coupling",POWER(Upgrades!$U$10,I158),1)*IF(Upgrades!$T$11="Stellar Coupling",POWER(Upgrades!$U$11,J158),1)*IF(Upgrades!$T$12="Stellar Coupling",POWER(Upgrades!$U$12,K158),1))*POWER(Upgrades!$Q$6,E158)*POWER(Upgrades!$Q$7,F158)*POWER(Upgrades!$Q$8,G158)*POWER(Upgrades!$Q$9,H158)*POWER(Upgrades!$Q$10,I158)*POWER(Upgrades!$Q$11,J158)*POWER(Upgrades!$Q$12,K158)*Parameters!$B$10*Parameters!$B$11</f>
        <v/>
      </c>
      <c r="AD158" s="27">
        <f>(IF(H158=0,0,(Upgrades!$G$9+H158*Upgrades!$H$9)*POWER(Upgrades!$I$9,H158)))*(IF(Upgrades!$T$6="Magnetosphere",POWER(Upgrades!$U$6,E158),1)*IF(Upgrades!$T$7="Magnetosphere",POWER(Upgrades!$U$7,F158),1)*IF(Upgrades!$T$8="Magnetosphere",POWER(Upgrades!$U$8,G158),1)*IF(Upgrades!$T$10="Magnetosphere",POWER(Upgrades!$U$10,I158),1)*IF(Upgrades!$T$11="Magnetosphere",POWER(Upgrades!$U$11,J158),1)*IF(Upgrades!$T$12="Magnetosphere",POWER(Upgrades!$U$12,K158),1))*POWER(Upgrades!$P$6,E158)*POWER(Upgrades!$P$7,F158)*POWER(Upgrades!$P$8,G158)*POWER(Upgrades!$P$9,H158)*POWER(Upgrades!$P$10,I158)*POWER(Upgrades!$P$11,J158)*POWER(Upgrades!$P$12,K158)*60</f>
        <v/>
      </c>
      <c r="AE158" s="27">
        <f>(IF(K158=0,0,(Upgrades!$G$12+K158*Upgrades!$H$12)*POWER(Upgrades!$I$12,K158)))*(IF(Upgrades!$T$6="First Photons",POWER(Upgrades!$U$6,E158),1)*IF(Upgrades!$T$7="First Photons",POWER(Upgrades!$U$7,F158),1)*IF(Upgrades!$T$8="First Photons",POWER(Upgrades!$U$8,G158),1)*IF(Upgrades!$T$9="First Photons",POWER(Upgrades!$U$9,H158),1)*IF(Upgrades!$T$10="First Photons",POWER(Upgrades!$U$10,I158),1)*IF(Upgrades!$T$11="First Photons",POWER(Upgrades!$U$11,J158),1))*POWER(Upgrades!$P$6,E158)*POWER(Upgrades!$P$7,F158)*POWER(Upgrades!$P$8,G158)*POWER(Upgrades!$P$9,H158)*POWER(Upgrades!$P$10,I158)*POWER(Upgrades!$P$11,J158)*POWER(Upgrades!$P$12,K158)*60</f>
        <v/>
      </c>
      <c r="AF158" s="27">
        <f>Parameters!$B$9*POWER(Upgrades!$Q$6,E158)*POWER(Upgrades!$Q$7,F158)*POWER(Upgrades!$Q$8,G158)*POWER(Upgrades!$Q$9,H158)*POWER(Upgrades!$Q$10,I158)*POWER(Upgrades!$Q$11,J158)*POWER(Upgrades!$Q$12,K158)*(Parameters!$B$10*Parameters!$B$11+O158*60)</f>
        <v/>
      </c>
      <c r="AG158" s="22">
        <f>IF(E158&gt;=Upgrades!$E$6,"",Upgrades!$C$6*POWER(Upgrades!$D$6,E158))</f>
        <v/>
      </c>
      <c r="AH158" s="22">
        <f>IF(F158&gt;=Upgrades!$E$7,"",Upgrades!$C$7*POWER(Upgrades!$D$7,F158))</f>
        <v/>
      </c>
      <c r="AI158" s="22">
        <f>IF(G158&gt;=Upgrades!$E$8,"",Upgrades!$C$8*POWER(Upgrades!$D$8,G158))</f>
        <v/>
      </c>
      <c r="AJ158" s="22">
        <f>IF(H158&gt;=Upgrades!$E$9,"",Upgrades!$C$9*POWER(Upgrades!$D$9,H158))</f>
        <v/>
      </c>
      <c r="AK158" s="22">
        <f>IF(I158&gt;=Upgrades!$E$10,"",Upgrades!$C$10*POWER(Upgrades!$D$10,I158))</f>
        <v/>
      </c>
      <c r="AL158" s="22">
        <f>IF(J158&gt;=Upgrades!$E$11,"",Upgrades!$C$11*POWER(Upgrades!$D$11,J158))</f>
        <v/>
      </c>
      <c r="AM158" s="22">
        <f>IF(K158&gt;=Upgrades!$E$12,"",Upgrades!$C$12*POWER(Upgrades!$D$12,K158))</f>
        <v/>
      </c>
      <c r="AN158" s="26">
        <f>IF(AND(D158&gt;=Parameters!$B$18,(H158&gt;=Upgrades!$E$9)*(K158&gt;=Upgrades!$E$12)=1,L158=0),1,"")</f>
        <v/>
      </c>
      <c r="AO158" s="26">
        <f>IF(AND(D158&gt;=Parameters!$B$18,L158=0),1,"")</f>
        <v/>
      </c>
      <c r="AP158" s="22">
        <f>MIN(IF(ISNUMBER(AK158),AK158,9E15),IF(ISNUMBER(AL158),AL158,9E15),IF(ISNUMBER(AM158),AM158,9E15))</f>
        <v/>
      </c>
      <c r="AQ158" s="22">
        <f>MIN(IF(ISNUMBER(AG158),AG158,9E15),IF(ISNUMBER(AH158),AH158,9E15),IF(ISNUMBER(AI158),AI158,9E15),IF(ISNUMBER(AJ158),AJ158,9E15))</f>
        <v/>
      </c>
      <c r="AR158" s="29">
        <f>IF(AW158&gt;Parameters!$B$21*(MAX(IF(AND(NOT(AND(AO158=1,AN158&lt;&gt;1)),ISNUMBER(AG158),AG158&lt;=T158),AS158,0),IF(AND(NOT(AND(AO158=1,AN158&lt;&gt;1)),ISNUMBER(AH158),AH158&lt;=T158),AT158,0),IF(AND(NOT(AND(AO158=1,AN158&lt;&gt;1)),ISNUMBER(AI158),AI158&lt;=T158),AU158,0),IF(AND(ISNUMBER(AJ158),AJ158&lt;=T158),AV158,0))),TRUE,FALSE)</f>
        <v/>
      </c>
      <c r="AS158" s="32">
        <f>IFERROR(Upgrades!$H$6*(POWER(Upgrades!$P$6,E158)*POWER(Upgrades!$P$7,F158)*POWER(Upgrades!$P$8,G158)*POWER(Upgrades!$P$9,H158)*POWER(Upgrades!$P$10,I158)*POWER(Upgrades!$P$11,J158)*POWER(Upgrades!$P$12,K158))*(IF(Upgrades!$T$7="Solar Wind",POWER(Upgrades!$U$7,F158),1)*IF(Upgrades!$T$8="Solar Wind",POWER(Upgrades!$U$8,G158),1)*IF(Upgrades!$T$9="Solar Wind",POWER(Upgrades!$U$9,H158),1)*IF(Upgrades!$T$10="Solar Wind",POWER(Upgrades!$U$10,I158),1)*IF(Upgrades!$T$11="Solar Wind",POWER(Upgrades!$U$11,J158),1)*IF(Upgrades!$T$12="Solar Wind",POWER(Upgrades!$U$12,K158),1))/AG158,0)</f>
        <v/>
      </c>
      <c r="AT158" s="32">
        <f>IFERROR(Upgrades!$H$7*(POWER(Upgrades!$P$6,E158)*POWER(Upgrades!$P$7,F158)*POWER(Upgrades!$P$8,G158)*POWER(Upgrades!$P$9,H158)*POWER(Upgrades!$P$10,I158)*POWER(Upgrades!$P$11,J158)*POWER(Upgrades!$P$12,K158))*(IF(Upgrades!$T$6="Asteroid Belt",POWER(Upgrades!$U$6,E158),1)*IF(Upgrades!$T$8="Asteroid Belt",POWER(Upgrades!$U$8,G158),1)*IF(Upgrades!$T$9="Asteroid Belt",POWER(Upgrades!$U$9,H158),1)*IF(Upgrades!$T$10="Asteroid Belt",POWER(Upgrades!$U$10,I158),1)*IF(Upgrades!$T$11="Asteroid Belt",POWER(Upgrades!$U$11,J158),1)*IF(Upgrades!$T$12="Asteroid Belt",POWER(Upgrades!$U$12,K158),1))/AH158,0)</f>
        <v/>
      </c>
      <c r="AU158" s="32">
        <f>IFERROR(Upgrades!$K$8*(POWER(Upgrades!$Q$6,E158)*POWER(Upgrades!$Q$7,F158)*POWER(Upgrades!$Q$8,G158)*POWER(Upgrades!$Q$9,H158)*POWER(Upgrades!$Q$10,I158)*POWER(Upgrades!$Q$11,J158)*POWER(Upgrades!$Q$12,K158))*(IF(Upgrades!$T$6="Stellar Coupling",POWER(Upgrades!$U$6,E158),1)*IF(Upgrades!$T$7="Stellar Coupling",POWER(Upgrades!$U$7,F158),1)*IF(Upgrades!$T$9="Stellar Coupling",POWER(Upgrades!$U$9,H158),1)*IF(Upgrades!$T$10="Stellar Coupling",POWER(Upgrades!$U$10,I158),1)*IF(Upgrades!$T$11="Stellar Coupling",POWER(Upgrades!$U$11,J158),1)*IF(Upgrades!$T$12="Stellar Coupling",POWER(Upgrades!$U$12,K158),1))*Parameters!$B$10*Parameters!$B$11/60/AI158,0)</f>
        <v/>
      </c>
      <c r="AV158" s="32">
        <f>IFERROR(Upgrades!$H$9*(POWER(Upgrades!$P$6,E158)*POWER(Upgrades!$P$7,F158)*POWER(Upgrades!$P$8,G158)*POWER(Upgrades!$P$9,H158)*POWER(Upgrades!$P$10,I158)*POWER(Upgrades!$P$11,J158)*POWER(Upgrades!$P$12,K158))*(IF(Upgrades!$T$6="Magnetosphere",POWER(Upgrades!$U$6,E158),1)*IF(Upgrades!$T$7="Magnetosphere",POWER(Upgrades!$U$7,F158),1)*IF(Upgrades!$T$8="Magnetosphere",POWER(Upgrades!$U$8,G158),1)*IF(Upgrades!$T$10="Magnetosphere",POWER(Upgrades!$U$10,I158),1)*IF(Upgrades!$T$11="Magnetosphere",POWER(Upgrades!$U$11,J158),1)*IF(Upgrades!$T$12="Magnetosphere",POWER(Upgrades!$U$12,K158),1))/AJ158,0)</f>
        <v/>
      </c>
      <c r="AW158" s="32">
        <f>MAX(IF(I158&gt;0,0,IFERROR(0.25*N158/Upgrades!$C$10,0)),IF(J158&gt;0,0,IFERROR(0.5*((IF(G158=0,0,(Upgrades!$J$8+G158*Upgrades!$K$8)*POWER(Upgrades!$L$8,G158)))*(IF(Upgrades!$T$6="Stellar Coupling",POWER(Upgrades!$U$6,E158),1)*IF(Upgrades!$T$7="Stellar Coupling",POWER(Upgrades!$U$7,F158),1)*IF(Upgrades!$T$9="Stellar Coupling",POWER(Upgrades!$U$9,H158),1)*IF(Upgrades!$T$10="Stellar Coupling",POWER(Upgrades!$U$10,I158),1)*IF(Upgrades!$T$11="Stellar Coupling",POWER(Upgrades!$U$11,J158),1)*IF(Upgrades!$T$12="Stellar Coupling",POWER(Upgrades!$U$12,K158),1))*(POWER(Upgrades!$Q$6,E158)*POWER(Upgrades!$Q$7,F158)*POWER(Upgrades!$Q$8,G158)*POWER(Upgrades!$Q$9,H158)*POWER(Upgrades!$Q$10,I158)*POWER(Upgrades!$Q$11,J158)*POWER(Upgrades!$Q$12,K158))*Parameters!$B$10*Parameters!$B$11/60)/Upgrades!$C$11,0)),IF(K158&gt;0,0,IFERROR((1.0*(POWER(Upgrades!$P$6,E158)*POWER(Upgrades!$P$7,F158)*POWER(Upgrades!$P$8,G158)*POWER(Upgrades!$P$9,H158)*POWER(Upgrades!$P$10,I158)*POWER(Upgrades!$P$11,J158)*POWER(Upgrades!$P$12,K158))+0.20*M158*Parameters!$B$10*Parameters!$B$11/60)/Upgrades!$C$12,0)),IF(AND(ISNUMBER(AG158),AG158&gt;T158),AS158,0),IF(AND(ISNUMBER(AH158),AH158&gt;T158),AT158,0),IF(AND(ISNUMBER(AI158),AI158&gt;T158),AU158,0),IF(AND(ISNUMBER(AJ158),AJ158&gt;T158),AV158,0))</f>
        <v/>
      </c>
      <c r="AX158" s="29">
        <f>IF(AN158=1,"transition",IF(MIN(IF(AND(I158=0,ISNUMBER(AK158),AK158&lt;=T158),AK158,9E15),IF(AND(J158=0,ISNUMBER(AL158),AL158&lt;=T158),AL158,9E15),IF(AND(K158=0,ISNUMBER(AM158),AM158&lt;=T158),AM158,9E15))&lt;9E15,IF(AND(AND(I158=0,ISNUMBER(AK158),AK158&lt;=T158),AK158=MIN(IF(AND(I158=0,ISNUMBER(AK158),AK158&lt;=T158),AK158,9E15),IF(AND(J158=0,ISNUMBER(AL158),AL158&lt;=T158),AL158,9E15),IF(AND(K158=0,ISNUMBER(AM158),AM158&lt;=T158),AM158,9E15))),"OR",IF(AND(AND(J158=0,ISNUMBER(AL158),AL158&lt;=T158),AL158=MIN(IF(AND(I158=0,ISNUMBER(AK158),AK158&lt;=T158),AK158,9E15),IF(AND(J158=0,ISNUMBER(AL158),AL158&lt;=T158),AL158,9E15),IF(AND(K158=0,ISNUMBER(AM158),AM158&lt;=T158),AM158,9E15))),"HP","FP")),IF(AR158=TRUE,"",IF(MAX(IF(AND(NOT(AND(AO158=1,AN158&lt;&gt;1)),ISNUMBER(AG158),AG158&lt;=T158),AS158,0),IF(AND(NOT(AND(AO158=1,AN158&lt;&gt;1)),ISNUMBER(AH158),AH158&lt;=T158),AT158,0),IF(AND(NOT(AND(AO158=1,AN158&lt;&gt;1)),ISNUMBER(AI158),AI158&lt;=T158),AU158,0),IF(AND(ISNUMBER(AJ158),AJ158&lt;=T158),AV158,0))&lt;=0,"",IF(AND(IF(AND(NOT(AND(AO158=1,AN158&lt;&gt;1)),ISNUMBER(AG158),AG158&lt;=T158),AS158,0)&gt;0,IF(AND(NOT(AND(AO158=1,AN158&lt;&gt;1)),ISNUMBER(AG158),AG158&lt;=T158),AS158,0)=MAX(IF(AND(NOT(AND(AO158=1,AN158&lt;&gt;1)),ISNUMBER(AG158),AG158&lt;=T158),AS158,0),IF(AND(NOT(AND(AO158=1,AN158&lt;&gt;1)),ISNUMBER(AH158),AH158&lt;=T158),AT158,0),IF(AND(NOT(AND(AO158=1,AN158&lt;&gt;1)),ISNUMBER(AI158),AI158&lt;=T158),AU158,0),IF(AND(ISNUMBER(AJ158),AJ158&lt;=T158),AV158,0))),"SW",IF(AND(IF(AND(NOT(AND(AO158=1,AN158&lt;&gt;1)),ISNUMBER(AH158),AH158&lt;=T158),AT158,0)&gt;0,IF(AND(NOT(AND(AO158=1,AN158&lt;&gt;1)),ISNUMBER(AH158),AH158&lt;=T158),AT158,0)=MAX(IF(AND(NOT(AND(AO158=1,AN158&lt;&gt;1)),ISNUMBER(AG158),AG158&lt;=T158),AS158,0),IF(AND(NOT(AND(AO158=1,AN158&lt;&gt;1)),ISNUMBER(AH158),AH158&lt;=T158),AT158,0),IF(AND(NOT(AND(AO158=1,AN158&lt;&gt;1)),ISNUMBER(AI158),AI158&lt;=T158),AU158,0),IF(AND(ISNUMBER(AJ158),AJ158&lt;=T158),AV158,0))),"AB",IF(AND(IF(AND(NOT(AND(AO158=1,AN158&lt;&gt;1)),ISNUMBER(AI158),AI158&lt;=T158),AU158,0)&gt;0,IF(AND(NOT(AND(AO158=1,AN158&lt;&gt;1)),ISNUMBER(AI158),AI158&lt;=T158),AU158,0)=MAX(IF(AND(NOT(AND(AO158=1,AN158&lt;&gt;1)),ISNUMBER(AG158),AG158&lt;=T158),AS158,0),IF(AND(NOT(AND(AO158=1,AN158&lt;&gt;1)),ISNUMBER(AH158),AH158&lt;=T158),AT158,0),IF(AND(NOT(AND(AO158=1,AN158&lt;&gt;1)),ISNUMBER(AI158),AI158&lt;=T158),AU158,0),IF(AND(ISNUMBER(AJ158),AJ158&lt;=T158),AV158,0))),"SC","Mag")))))))</f>
        <v/>
      </c>
    </row>
    <row r="159">
      <c r="A159" s="26" t="n">
        <v>154</v>
      </c>
      <c r="B159" s="27">
        <f>A159*10/60</f>
        <v/>
      </c>
      <c r="C159" s="22">
        <f>X158</f>
        <v/>
      </c>
      <c r="D159" s="27">
        <f>D158+W158</f>
        <v/>
      </c>
      <c r="E159" s="26">
        <f>E158+IF(U158="SW",1,0)</f>
        <v/>
      </c>
      <c r="F159" s="26">
        <f>F158+IF(U158="AB",1,0)</f>
        <v/>
      </c>
      <c r="G159" s="26">
        <f>G158+IF(U158="SC",1,0)</f>
        <v/>
      </c>
      <c r="H159" s="26">
        <f>H158+IF(U158="Mag",1,0)</f>
        <v/>
      </c>
      <c r="I159" s="26">
        <f>MAX(I158,IF(U158="OR",1,0))</f>
        <v/>
      </c>
      <c r="J159" s="26">
        <f>MAX(J158,IF(U158="HP",1,0))</f>
        <v/>
      </c>
      <c r="K159" s="26">
        <f>MAX(K158,IF(U158="FP",1,0))</f>
        <v/>
      </c>
      <c r="L159" s="26">
        <f>MAX(L158,IF(U158="transition",1,0))</f>
        <v/>
      </c>
      <c r="M159" s="28">
        <f>(Parameters!$B$9+(IF(E159=0,0,(Upgrades!$J$6+E159*Upgrades!$K$6)*POWER(Upgrades!$L$6,E159)))*(IF(Upgrades!$T$7="Solar Wind",POWER(Upgrades!$U$7,F159),1)*IF(Upgrades!$T$8="Solar Wind",POWER(Upgrades!$U$8,G159),1)*IF(Upgrades!$T$9="Solar Wind",POWER(Upgrades!$U$9,H159),1)*IF(Upgrades!$T$10="Solar Wind",POWER(Upgrades!$U$10,I159),1)*IF(Upgrades!$T$11="Solar Wind",POWER(Upgrades!$U$11,J159),1)*IF(Upgrades!$T$12="Solar Wind",POWER(Upgrades!$U$12,K159),1))+(IF(F159=0,0,(Upgrades!$J$7+F159*Upgrades!$K$7)*POWER(Upgrades!$L$7,F159)))*(IF(Upgrades!$T$6="Asteroid Belt",POWER(Upgrades!$U$6,E159),1)*IF(Upgrades!$T$8="Asteroid Belt",POWER(Upgrades!$U$8,G159),1)*IF(Upgrades!$T$9="Asteroid Belt",POWER(Upgrades!$U$9,H159),1)*IF(Upgrades!$T$10="Asteroid Belt",POWER(Upgrades!$U$10,I159),1)*IF(Upgrades!$T$11="Asteroid Belt",POWER(Upgrades!$U$11,J159),1)*IF(Upgrades!$T$12="Asteroid Belt",POWER(Upgrades!$U$12,K159),1))+(IF(G159=0,0,(Upgrades!$J$8+G159*Upgrades!$K$8)*POWER(Upgrades!$L$8,G159)))*(IF(Upgrades!$T$6="Stellar Coupling",POWER(Upgrades!$U$6,E159),1)*IF(Upgrades!$T$7="Stellar Coupling",POWER(Upgrades!$U$7,F159),1)*IF(Upgrades!$T$9="Stellar Coupling",POWER(Upgrades!$U$9,H159),1)*IF(Upgrades!$T$10="Stellar Coupling",POWER(Upgrades!$U$10,I159),1)*IF(Upgrades!$T$11="Stellar Coupling",POWER(Upgrades!$U$11,J159),1)*IF(Upgrades!$T$12="Stellar Coupling",POWER(Upgrades!$U$12,K159),1))+(IF(H159=0,0,(Upgrades!$J$9+H159*Upgrades!$K$9)*POWER(Upgrades!$L$9,H159)))*(IF(Upgrades!$T$6="Magnetosphere",POWER(Upgrades!$U$6,E159),1)*IF(Upgrades!$T$7="Magnetosphere",POWER(Upgrades!$U$7,F159),1)*IF(Upgrades!$T$8="Magnetosphere",POWER(Upgrades!$U$8,G159),1)*IF(Upgrades!$T$10="Magnetosphere",POWER(Upgrades!$U$10,I159),1)*IF(Upgrades!$T$11="Magnetosphere",POWER(Upgrades!$U$11,J159),1)*IF(Upgrades!$T$12="Magnetosphere",POWER(Upgrades!$U$12,K159),1))+(IF(I159=0,0,(Upgrades!$J$10+I159*Upgrades!$K$10)*POWER(Upgrades!$L$10,I159)))*(IF(Upgrades!$T$6="Orbital Resonance",POWER(Upgrades!$U$6,E159),1)*IF(Upgrades!$T$7="Orbital Resonance",POWER(Upgrades!$U$7,F159),1)*IF(Upgrades!$T$8="Orbital Resonance",POWER(Upgrades!$U$8,G159),1)*IF(Upgrades!$T$9="Orbital Resonance",POWER(Upgrades!$U$9,H159),1)*IF(Upgrades!$T$11="Orbital Resonance",POWER(Upgrades!$U$11,J159),1)*IF(Upgrades!$T$12="Orbital Resonance",POWER(Upgrades!$U$12,K159),1))+(IF(J159=0,0,(Upgrades!$J$11+J159*Upgrades!$K$11)*POWER(Upgrades!$L$11,J159)))*(IF(Upgrades!$T$6="Heliopause",POWER(Upgrades!$U$6,E159),1)*IF(Upgrades!$T$7="Heliopause",POWER(Upgrades!$U$7,F159),1)*IF(Upgrades!$T$8="Heliopause",POWER(Upgrades!$U$8,G159),1)*IF(Upgrades!$T$9="Heliopause",POWER(Upgrades!$U$9,H159),1)*IF(Upgrades!$T$10="Heliopause",POWER(Upgrades!$U$10,I159),1)*IF(Upgrades!$T$12="Heliopause",POWER(Upgrades!$U$12,K159),1))+(IF(K159=0,0,(Upgrades!$J$12+K159*Upgrades!$K$12)*POWER(Upgrades!$L$12,K159)))*(IF(Upgrades!$T$6="First Photons",POWER(Upgrades!$U$6,E159),1)*IF(Upgrades!$T$7="First Photons",POWER(Upgrades!$U$7,F159),1)*IF(Upgrades!$T$8="First Photons",POWER(Upgrades!$U$8,G159),1)*IF(Upgrades!$T$9="First Photons",POWER(Upgrades!$U$9,H159),1)*IF(Upgrades!$T$10="First Photons",POWER(Upgrades!$U$10,I159),1)*IF(Upgrades!$T$11="First Photons",POWER(Upgrades!$U$11,J159),1)))*POWER(Upgrades!$Q$6,E159)*POWER(Upgrades!$Q$7,F159)*POWER(Upgrades!$Q$8,G159)*POWER(Upgrades!$Q$9,H159)*POWER(Upgrades!$Q$10,I159)*POWER(Upgrades!$Q$11,J159)*POWER(Upgrades!$Q$12,K159)</f>
        <v/>
      </c>
      <c r="N159" s="28">
        <f>((IF(E159=0,0,(Upgrades!$G$6+E159*Upgrades!$H$6)*POWER(Upgrades!$I$6,E159)))*(IF(Upgrades!$T$7="Solar Wind",POWER(Upgrades!$U$7,F159),1)*IF(Upgrades!$T$8="Solar Wind",POWER(Upgrades!$U$8,G159),1)*IF(Upgrades!$T$9="Solar Wind",POWER(Upgrades!$U$9,H159),1)*IF(Upgrades!$T$10="Solar Wind",POWER(Upgrades!$U$10,I159),1)*IF(Upgrades!$T$11="Solar Wind",POWER(Upgrades!$U$11,J159),1)*IF(Upgrades!$T$12="Solar Wind",POWER(Upgrades!$U$12,K159),1))+(IF(F159=0,0,(Upgrades!$G$7+F159*Upgrades!$H$7)*POWER(Upgrades!$I$7,F159)))*(IF(Upgrades!$T$6="Asteroid Belt",POWER(Upgrades!$U$6,E159),1)*IF(Upgrades!$T$8="Asteroid Belt",POWER(Upgrades!$U$8,G159),1)*IF(Upgrades!$T$9="Asteroid Belt",POWER(Upgrades!$U$9,H159),1)*IF(Upgrades!$T$10="Asteroid Belt",POWER(Upgrades!$U$10,I159),1)*IF(Upgrades!$T$11="Asteroid Belt",POWER(Upgrades!$U$11,J159),1)*IF(Upgrades!$T$12="Asteroid Belt",POWER(Upgrades!$U$12,K159),1))+(IF(G159=0,0,(Upgrades!$G$8+G159*Upgrades!$H$8)*POWER(Upgrades!$I$8,G159)))*(IF(Upgrades!$T$6="Stellar Coupling",POWER(Upgrades!$U$6,E159),1)*IF(Upgrades!$T$7="Stellar Coupling",POWER(Upgrades!$U$7,F159),1)*IF(Upgrades!$T$9="Stellar Coupling",POWER(Upgrades!$U$9,H159),1)*IF(Upgrades!$T$10="Stellar Coupling",POWER(Upgrades!$U$10,I159),1)*IF(Upgrades!$T$11="Stellar Coupling",POWER(Upgrades!$U$11,J159),1)*IF(Upgrades!$T$12="Stellar Coupling",POWER(Upgrades!$U$12,K159),1))+(IF(H159=0,0,(Upgrades!$G$9+H159*Upgrades!$H$9)*POWER(Upgrades!$I$9,H159)))*(IF(Upgrades!$T$6="Magnetosphere",POWER(Upgrades!$U$6,E159),1)*IF(Upgrades!$T$7="Magnetosphere",POWER(Upgrades!$U$7,F159),1)*IF(Upgrades!$T$8="Magnetosphere",POWER(Upgrades!$U$8,G159),1)*IF(Upgrades!$T$10="Magnetosphere",POWER(Upgrades!$U$10,I159),1)*IF(Upgrades!$T$11="Magnetosphere",POWER(Upgrades!$U$11,J159),1)*IF(Upgrades!$T$12="Magnetosphere",POWER(Upgrades!$U$12,K159),1))+(IF(I159=0,0,(Upgrades!$G$10+I159*Upgrades!$H$10)*POWER(Upgrades!$I$10,I159)))*(IF(Upgrades!$T$6="Orbital Resonance",POWER(Upgrades!$U$6,E159),1)*IF(Upgrades!$T$7="Orbital Resonance",POWER(Upgrades!$U$7,F159),1)*IF(Upgrades!$T$8="Orbital Resonance",POWER(Upgrades!$U$8,G159),1)*IF(Upgrades!$T$9="Orbital Resonance",POWER(Upgrades!$U$9,H159),1)*IF(Upgrades!$T$11="Orbital Resonance",POWER(Upgrades!$U$11,J159),1)*IF(Upgrades!$T$12="Orbital Resonance",POWER(Upgrades!$U$12,K159),1))+(IF(J159=0,0,(Upgrades!$G$11+J159*Upgrades!$H$11)*POWER(Upgrades!$I$11,J159)))*(IF(Upgrades!$T$6="Heliopause",POWER(Upgrades!$U$6,E159),1)*IF(Upgrades!$T$7="Heliopause",POWER(Upgrades!$U$7,F159),1)*IF(Upgrades!$T$8="Heliopause",POWER(Upgrades!$U$8,G159),1)*IF(Upgrades!$T$9="Heliopause",POWER(Upgrades!$U$9,H159),1)*IF(Upgrades!$T$10="Heliopause",POWER(Upgrades!$U$10,I159),1)*IF(Upgrades!$T$12="Heliopause",POWER(Upgrades!$U$12,K159),1))+(IF(K159=0,0,(Upgrades!$G$12+K159*Upgrades!$H$12)*POWER(Upgrades!$I$12,K159)))*(IF(Upgrades!$T$6="First Photons",POWER(Upgrades!$U$6,E159),1)*IF(Upgrades!$T$7="First Photons",POWER(Upgrades!$U$7,F159),1)*IF(Upgrades!$T$8="First Photons",POWER(Upgrades!$U$8,G159),1)*IF(Upgrades!$T$9="First Photons",POWER(Upgrades!$U$9,H159),1)*IF(Upgrades!$T$10="First Photons",POWER(Upgrades!$U$10,I159),1)*IF(Upgrades!$T$11="First Photons",POWER(Upgrades!$U$11,J159),1)))*POWER(Upgrades!$P$6,E159)*POWER(Upgrades!$P$7,F159)*POWER(Upgrades!$P$8,G159)*POWER(Upgrades!$P$9,H159)*POWER(Upgrades!$P$10,I159)*POWER(Upgrades!$P$11,J159)*POWER(Upgrades!$P$12,K159)</f>
        <v/>
      </c>
      <c r="O159" s="28">
        <f>((IF(E159=0,0,(Upgrades!$M$6+E159*Upgrades!$N$6)*POWER(Upgrades!$O$6,E159)))*(IF(Upgrades!$T$7="Solar Wind",POWER(Upgrades!$U$7,F159),1)*IF(Upgrades!$T$8="Solar Wind",POWER(Upgrades!$U$8,G159),1)*IF(Upgrades!$T$9="Solar Wind",POWER(Upgrades!$U$9,H159),1)*IF(Upgrades!$T$10="Solar Wind",POWER(Upgrades!$U$10,I159),1)*IF(Upgrades!$T$11="Solar Wind",POWER(Upgrades!$U$11,J159),1)*IF(Upgrades!$T$12="Solar Wind",POWER(Upgrades!$U$12,K159),1))+(IF(F159=0,0,(Upgrades!$M$7+F159*Upgrades!$N$7)*POWER(Upgrades!$O$7,F159)))*(IF(Upgrades!$T$6="Asteroid Belt",POWER(Upgrades!$U$6,E159),1)*IF(Upgrades!$T$8="Asteroid Belt",POWER(Upgrades!$U$8,G159),1)*IF(Upgrades!$T$9="Asteroid Belt",POWER(Upgrades!$U$9,H159),1)*IF(Upgrades!$T$10="Asteroid Belt",POWER(Upgrades!$U$10,I159),1)*IF(Upgrades!$T$11="Asteroid Belt",POWER(Upgrades!$U$11,J159),1)*IF(Upgrades!$T$12="Asteroid Belt",POWER(Upgrades!$U$12,K159),1))+(IF(G159=0,0,(Upgrades!$M$8+G159*Upgrades!$N$8)*POWER(Upgrades!$O$8,G159)))*(IF(Upgrades!$T$6="Stellar Coupling",POWER(Upgrades!$U$6,E159),1)*IF(Upgrades!$T$7="Stellar Coupling",POWER(Upgrades!$U$7,F159),1)*IF(Upgrades!$T$9="Stellar Coupling",POWER(Upgrades!$U$9,H159),1)*IF(Upgrades!$T$10="Stellar Coupling",POWER(Upgrades!$U$10,I159),1)*IF(Upgrades!$T$11="Stellar Coupling",POWER(Upgrades!$U$11,J159),1)*IF(Upgrades!$T$12="Stellar Coupling",POWER(Upgrades!$U$12,K159),1))+(IF(H159=0,0,(Upgrades!$M$9+H159*Upgrades!$N$9)*POWER(Upgrades!$O$9,H159)))*(IF(Upgrades!$T$6="Magnetosphere",POWER(Upgrades!$U$6,E159),1)*IF(Upgrades!$T$7="Magnetosphere",POWER(Upgrades!$U$7,F159),1)*IF(Upgrades!$T$8="Magnetosphere",POWER(Upgrades!$U$8,G159),1)*IF(Upgrades!$T$10="Magnetosphere",POWER(Upgrades!$U$10,I159),1)*IF(Upgrades!$T$11="Magnetosphere",POWER(Upgrades!$U$11,J159),1)*IF(Upgrades!$T$12="Magnetosphere",POWER(Upgrades!$U$12,K159),1))+(IF(I159=0,0,(Upgrades!$M$10+I159*Upgrades!$N$10)*POWER(Upgrades!$O$10,I159)))*(IF(Upgrades!$T$6="Orbital Resonance",POWER(Upgrades!$U$6,E159),1)*IF(Upgrades!$T$7="Orbital Resonance",POWER(Upgrades!$U$7,F159),1)*IF(Upgrades!$T$8="Orbital Resonance",POWER(Upgrades!$U$8,G159),1)*IF(Upgrades!$T$9="Orbital Resonance",POWER(Upgrades!$U$9,H159),1)*IF(Upgrades!$T$11="Orbital Resonance",POWER(Upgrades!$U$11,J159),1)*IF(Upgrades!$T$12="Orbital Resonance",POWER(Upgrades!$U$12,K159),1))+(IF(J159=0,0,(Upgrades!$M$11+J159*Upgrades!$N$11)*POWER(Upgrades!$O$11,J159)))*(IF(Upgrades!$T$6="Heliopause",POWER(Upgrades!$U$6,E159),1)*IF(Upgrades!$T$7="Heliopause",POWER(Upgrades!$U$7,F159),1)*IF(Upgrades!$T$8="Heliopause",POWER(Upgrades!$U$8,G159),1)*IF(Upgrades!$T$9="Heliopause",POWER(Upgrades!$U$9,H159),1)*IF(Upgrades!$T$10="Heliopause",POWER(Upgrades!$U$10,I159),1)*IF(Upgrades!$T$12="Heliopause",POWER(Upgrades!$U$12,K159),1))+(IF(K159=0,0,(Upgrades!$M$12+K159*Upgrades!$N$12)*POWER(Upgrades!$O$12,K159)))*(IF(Upgrades!$T$6="First Photons",POWER(Upgrades!$U$6,E159),1)*IF(Upgrades!$T$7="First Photons",POWER(Upgrades!$U$7,F159),1)*IF(Upgrades!$T$8="First Photons",POWER(Upgrades!$U$8,G159),1)*IF(Upgrades!$T$9="First Photons",POWER(Upgrades!$U$9,H159),1)*IF(Upgrades!$T$10="First Photons",POWER(Upgrades!$U$10,I159),1)*IF(Upgrades!$T$11="First Photons",POWER(Upgrades!$U$11,J159),1)))*POWER(Upgrades!$R$6,E159)*POWER(Upgrades!$R$7,F159)*POWER(Upgrades!$R$8,G159)*POWER(Upgrades!$R$9,H159)*POWER(Upgrades!$R$10,I159)*POWER(Upgrades!$R$11,J159)*POWER(Upgrades!$R$12,K159)</f>
        <v/>
      </c>
      <c r="P159" s="27">
        <f>IF(L159=1,0,M159*Parameters!$B$10/60*Parameters!$B$11*10)</f>
        <v/>
      </c>
      <c r="Q159" s="27">
        <f>IF(L159=1,0,O159*M159*10)</f>
        <v/>
      </c>
      <c r="R159" s="27">
        <f>IF(L159=1,0,N159*10)</f>
        <v/>
      </c>
      <c r="S159" s="27">
        <f>P159+Q159+R159</f>
        <v/>
      </c>
      <c r="T159" s="22">
        <f>C159+S159</f>
        <v/>
      </c>
      <c r="U159" s="33">
        <f>AX159</f>
        <v/>
      </c>
      <c r="V159" s="22">
        <f>IF(U159="",0,IF(U159="transition",0,IF(U159="SW",AG159,IF(U159="AB",AH159,IF(U159="SC",AI159,IF(U159="Mag",AJ159,IF(U159="OR",AK159,IF(U159="HP",AL159,IF(U159="FP",AM159,0)))))))))</f>
        <v/>
      </c>
      <c r="W159" s="27">
        <f>IF(U159="OR",Upgrades!$F$10,IF(U159="HP",Upgrades!$F$11,IF(U159="transition",-Parameters!$B$18,0)))</f>
        <v/>
      </c>
      <c r="X159" s="22">
        <f>T159-V159</f>
        <v/>
      </c>
      <c r="Y159" s="30">
        <f>M159*Parameters!$B$10/60*Parameters!$B$11+O159*M159+N159</f>
        <v/>
      </c>
      <c r="Z159" s="34">
        <f>IF(U159="transition","→ Tier 2 (Stellar Neighborhood)",IF(U159="FP","First Photons — light begins, system quickens",IF(U159="HP","Heliopause acquired",IF(U159="OR","Orbital Resonance — passive multiplier active",IF(AND(AO159=1,L159=0,AN159&lt;&gt;1),"Cohesion ready (waiting on completionist upgrades)","")))))</f>
        <v/>
      </c>
      <c r="AA159" s="27">
        <f>(IF(E159=0,0,(Upgrades!$G$6+E159*Upgrades!$H$6)*POWER(Upgrades!$I$6,E159)))*(IF(Upgrades!$T$7="Solar Wind",POWER(Upgrades!$U$7,F159),1)*IF(Upgrades!$T$8="Solar Wind",POWER(Upgrades!$U$8,G159),1)*IF(Upgrades!$T$9="Solar Wind",POWER(Upgrades!$U$9,H159),1)*IF(Upgrades!$T$10="Solar Wind",POWER(Upgrades!$U$10,I159),1)*IF(Upgrades!$T$11="Solar Wind",POWER(Upgrades!$U$11,J159),1)*IF(Upgrades!$T$12="Solar Wind",POWER(Upgrades!$U$12,K159),1))*POWER(Upgrades!$P$6,E159)*POWER(Upgrades!$P$7,F159)*POWER(Upgrades!$P$8,G159)*POWER(Upgrades!$P$9,H159)*POWER(Upgrades!$P$10,I159)*POWER(Upgrades!$P$11,J159)*POWER(Upgrades!$P$12,K159)*60</f>
        <v/>
      </c>
      <c r="AB159" s="27">
        <f>(IF(F159=0,0,(Upgrades!$G$7+F159*Upgrades!$H$7)*POWER(Upgrades!$I$7,F159)))*(IF(Upgrades!$T$6="Asteroid Belt",POWER(Upgrades!$U$6,E159),1)*IF(Upgrades!$T$8="Asteroid Belt",POWER(Upgrades!$U$8,G159),1)*IF(Upgrades!$T$9="Asteroid Belt",POWER(Upgrades!$U$9,H159),1)*IF(Upgrades!$T$10="Asteroid Belt",POWER(Upgrades!$U$10,I159),1)*IF(Upgrades!$T$11="Asteroid Belt",POWER(Upgrades!$U$11,J159),1)*IF(Upgrades!$T$12="Asteroid Belt",POWER(Upgrades!$U$12,K159),1))*POWER(Upgrades!$P$6,E159)*POWER(Upgrades!$P$7,F159)*POWER(Upgrades!$P$8,G159)*POWER(Upgrades!$P$9,H159)*POWER(Upgrades!$P$10,I159)*POWER(Upgrades!$P$11,J159)*POWER(Upgrades!$P$12,K159)*60</f>
        <v/>
      </c>
      <c r="AC159" s="27">
        <f>(IF(G159=0,0,(Upgrades!$J$8+G159*Upgrades!$K$8)*POWER(Upgrades!$L$8,G159)))*(IF(Upgrades!$T$6="Stellar Coupling",POWER(Upgrades!$U$6,E159),1)*IF(Upgrades!$T$7="Stellar Coupling",POWER(Upgrades!$U$7,F159),1)*IF(Upgrades!$T$9="Stellar Coupling",POWER(Upgrades!$U$9,H159),1)*IF(Upgrades!$T$10="Stellar Coupling",POWER(Upgrades!$U$10,I159),1)*IF(Upgrades!$T$11="Stellar Coupling",POWER(Upgrades!$U$11,J159),1)*IF(Upgrades!$T$12="Stellar Coupling",POWER(Upgrades!$U$12,K159),1))*POWER(Upgrades!$Q$6,E159)*POWER(Upgrades!$Q$7,F159)*POWER(Upgrades!$Q$8,G159)*POWER(Upgrades!$Q$9,H159)*POWER(Upgrades!$Q$10,I159)*POWER(Upgrades!$Q$11,J159)*POWER(Upgrades!$Q$12,K159)*Parameters!$B$10*Parameters!$B$11</f>
        <v/>
      </c>
      <c r="AD159" s="27">
        <f>(IF(H159=0,0,(Upgrades!$G$9+H159*Upgrades!$H$9)*POWER(Upgrades!$I$9,H159)))*(IF(Upgrades!$T$6="Magnetosphere",POWER(Upgrades!$U$6,E159),1)*IF(Upgrades!$T$7="Magnetosphere",POWER(Upgrades!$U$7,F159),1)*IF(Upgrades!$T$8="Magnetosphere",POWER(Upgrades!$U$8,G159),1)*IF(Upgrades!$T$10="Magnetosphere",POWER(Upgrades!$U$10,I159),1)*IF(Upgrades!$T$11="Magnetosphere",POWER(Upgrades!$U$11,J159),1)*IF(Upgrades!$T$12="Magnetosphere",POWER(Upgrades!$U$12,K159),1))*POWER(Upgrades!$P$6,E159)*POWER(Upgrades!$P$7,F159)*POWER(Upgrades!$P$8,G159)*POWER(Upgrades!$P$9,H159)*POWER(Upgrades!$P$10,I159)*POWER(Upgrades!$P$11,J159)*POWER(Upgrades!$P$12,K159)*60</f>
        <v/>
      </c>
      <c r="AE159" s="27">
        <f>(IF(K159=0,0,(Upgrades!$G$12+K159*Upgrades!$H$12)*POWER(Upgrades!$I$12,K159)))*(IF(Upgrades!$T$6="First Photons",POWER(Upgrades!$U$6,E159),1)*IF(Upgrades!$T$7="First Photons",POWER(Upgrades!$U$7,F159),1)*IF(Upgrades!$T$8="First Photons",POWER(Upgrades!$U$8,G159),1)*IF(Upgrades!$T$9="First Photons",POWER(Upgrades!$U$9,H159),1)*IF(Upgrades!$T$10="First Photons",POWER(Upgrades!$U$10,I159),1)*IF(Upgrades!$T$11="First Photons",POWER(Upgrades!$U$11,J159),1))*POWER(Upgrades!$P$6,E159)*POWER(Upgrades!$P$7,F159)*POWER(Upgrades!$P$8,G159)*POWER(Upgrades!$P$9,H159)*POWER(Upgrades!$P$10,I159)*POWER(Upgrades!$P$11,J159)*POWER(Upgrades!$P$12,K159)*60</f>
        <v/>
      </c>
      <c r="AF159" s="27">
        <f>Parameters!$B$9*POWER(Upgrades!$Q$6,E159)*POWER(Upgrades!$Q$7,F159)*POWER(Upgrades!$Q$8,G159)*POWER(Upgrades!$Q$9,H159)*POWER(Upgrades!$Q$10,I159)*POWER(Upgrades!$Q$11,J159)*POWER(Upgrades!$Q$12,K159)*(Parameters!$B$10*Parameters!$B$11+O159*60)</f>
        <v/>
      </c>
      <c r="AG159" s="22">
        <f>IF(E159&gt;=Upgrades!$E$6,"",Upgrades!$C$6*POWER(Upgrades!$D$6,E159))</f>
        <v/>
      </c>
      <c r="AH159" s="22">
        <f>IF(F159&gt;=Upgrades!$E$7,"",Upgrades!$C$7*POWER(Upgrades!$D$7,F159))</f>
        <v/>
      </c>
      <c r="AI159" s="22">
        <f>IF(G159&gt;=Upgrades!$E$8,"",Upgrades!$C$8*POWER(Upgrades!$D$8,G159))</f>
        <v/>
      </c>
      <c r="AJ159" s="22">
        <f>IF(H159&gt;=Upgrades!$E$9,"",Upgrades!$C$9*POWER(Upgrades!$D$9,H159))</f>
        <v/>
      </c>
      <c r="AK159" s="22">
        <f>IF(I159&gt;=Upgrades!$E$10,"",Upgrades!$C$10*POWER(Upgrades!$D$10,I159))</f>
        <v/>
      </c>
      <c r="AL159" s="22">
        <f>IF(J159&gt;=Upgrades!$E$11,"",Upgrades!$C$11*POWER(Upgrades!$D$11,J159))</f>
        <v/>
      </c>
      <c r="AM159" s="22">
        <f>IF(K159&gt;=Upgrades!$E$12,"",Upgrades!$C$12*POWER(Upgrades!$D$12,K159))</f>
        <v/>
      </c>
      <c r="AN159" s="26">
        <f>IF(AND(D159&gt;=Parameters!$B$18,(H159&gt;=Upgrades!$E$9)*(K159&gt;=Upgrades!$E$12)=1,L159=0),1,"")</f>
        <v/>
      </c>
      <c r="AO159" s="26">
        <f>IF(AND(D159&gt;=Parameters!$B$18,L159=0),1,"")</f>
        <v/>
      </c>
      <c r="AP159" s="22">
        <f>MIN(IF(ISNUMBER(AK159),AK159,9E15),IF(ISNUMBER(AL159),AL159,9E15),IF(ISNUMBER(AM159),AM159,9E15))</f>
        <v/>
      </c>
      <c r="AQ159" s="22">
        <f>MIN(IF(ISNUMBER(AG159),AG159,9E15),IF(ISNUMBER(AH159),AH159,9E15),IF(ISNUMBER(AI159),AI159,9E15),IF(ISNUMBER(AJ159),AJ159,9E15))</f>
        <v/>
      </c>
      <c r="AR159" s="29">
        <f>IF(AW159&gt;Parameters!$B$21*(MAX(IF(AND(NOT(AND(AO159=1,AN159&lt;&gt;1)),ISNUMBER(AG159),AG159&lt;=T159),AS159,0),IF(AND(NOT(AND(AO159=1,AN159&lt;&gt;1)),ISNUMBER(AH159),AH159&lt;=T159),AT159,0),IF(AND(NOT(AND(AO159=1,AN159&lt;&gt;1)),ISNUMBER(AI159),AI159&lt;=T159),AU159,0),IF(AND(ISNUMBER(AJ159),AJ159&lt;=T159),AV159,0))),TRUE,FALSE)</f>
        <v/>
      </c>
      <c r="AS159" s="32">
        <f>IFERROR(Upgrades!$H$6*(POWER(Upgrades!$P$6,E159)*POWER(Upgrades!$P$7,F159)*POWER(Upgrades!$P$8,G159)*POWER(Upgrades!$P$9,H159)*POWER(Upgrades!$P$10,I159)*POWER(Upgrades!$P$11,J159)*POWER(Upgrades!$P$12,K159))*(IF(Upgrades!$T$7="Solar Wind",POWER(Upgrades!$U$7,F159),1)*IF(Upgrades!$T$8="Solar Wind",POWER(Upgrades!$U$8,G159),1)*IF(Upgrades!$T$9="Solar Wind",POWER(Upgrades!$U$9,H159),1)*IF(Upgrades!$T$10="Solar Wind",POWER(Upgrades!$U$10,I159),1)*IF(Upgrades!$T$11="Solar Wind",POWER(Upgrades!$U$11,J159),1)*IF(Upgrades!$T$12="Solar Wind",POWER(Upgrades!$U$12,K159),1))/AG159,0)</f>
        <v/>
      </c>
      <c r="AT159" s="32">
        <f>IFERROR(Upgrades!$H$7*(POWER(Upgrades!$P$6,E159)*POWER(Upgrades!$P$7,F159)*POWER(Upgrades!$P$8,G159)*POWER(Upgrades!$P$9,H159)*POWER(Upgrades!$P$10,I159)*POWER(Upgrades!$P$11,J159)*POWER(Upgrades!$P$12,K159))*(IF(Upgrades!$T$6="Asteroid Belt",POWER(Upgrades!$U$6,E159),1)*IF(Upgrades!$T$8="Asteroid Belt",POWER(Upgrades!$U$8,G159),1)*IF(Upgrades!$T$9="Asteroid Belt",POWER(Upgrades!$U$9,H159),1)*IF(Upgrades!$T$10="Asteroid Belt",POWER(Upgrades!$U$10,I159),1)*IF(Upgrades!$T$11="Asteroid Belt",POWER(Upgrades!$U$11,J159),1)*IF(Upgrades!$T$12="Asteroid Belt",POWER(Upgrades!$U$12,K159),1))/AH159,0)</f>
        <v/>
      </c>
      <c r="AU159" s="32">
        <f>IFERROR(Upgrades!$K$8*(POWER(Upgrades!$Q$6,E159)*POWER(Upgrades!$Q$7,F159)*POWER(Upgrades!$Q$8,G159)*POWER(Upgrades!$Q$9,H159)*POWER(Upgrades!$Q$10,I159)*POWER(Upgrades!$Q$11,J159)*POWER(Upgrades!$Q$12,K159))*(IF(Upgrades!$T$6="Stellar Coupling",POWER(Upgrades!$U$6,E159),1)*IF(Upgrades!$T$7="Stellar Coupling",POWER(Upgrades!$U$7,F159),1)*IF(Upgrades!$T$9="Stellar Coupling",POWER(Upgrades!$U$9,H159),1)*IF(Upgrades!$T$10="Stellar Coupling",POWER(Upgrades!$U$10,I159),1)*IF(Upgrades!$T$11="Stellar Coupling",POWER(Upgrades!$U$11,J159),1)*IF(Upgrades!$T$12="Stellar Coupling",POWER(Upgrades!$U$12,K159),1))*Parameters!$B$10*Parameters!$B$11/60/AI159,0)</f>
        <v/>
      </c>
      <c r="AV159" s="32">
        <f>IFERROR(Upgrades!$H$9*(POWER(Upgrades!$P$6,E159)*POWER(Upgrades!$P$7,F159)*POWER(Upgrades!$P$8,G159)*POWER(Upgrades!$P$9,H159)*POWER(Upgrades!$P$10,I159)*POWER(Upgrades!$P$11,J159)*POWER(Upgrades!$P$12,K159))*(IF(Upgrades!$T$6="Magnetosphere",POWER(Upgrades!$U$6,E159),1)*IF(Upgrades!$T$7="Magnetosphere",POWER(Upgrades!$U$7,F159),1)*IF(Upgrades!$T$8="Magnetosphere",POWER(Upgrades!$U$8,G159),1)*IF(Upgrades!$T$10="Magnetosphere",POWER(Upgrades!$U$10,I159),1)*IF(Upgrades!$T$11="Magnetosphere",POWER(Upgrades!$U$11,J159),1)*IF(Upgrades!$T$12="Magnetosphere",POWER(Upgrades!$U$12,K159),1))/AJ159,0)</f>
        <v/>
      </c>
      <c r="AW159" s="32">
        <f>MAX(IF(I159&gt;0,0,IFERROR(0.25*N159/Upgrades!$C$10,0)),IF(J159&gt;0,0,IFERROR(0.5*((IF(G159=0,0,(Upgrades!$J$8+G159*Upgrades!$K$8)*POWER(Upgrades!$L$8,G159)))*(IF(Upgrades!$T$6="Stellar Coupling",POWER(Upgrades!$U$6,E159),1)*IF(Upgrades!$T$7="Stellar Coupling",POWER(Upgrades!$U$7,F159),1)*IF(Upgrades!$T$9="Stellar Coupling",POWER(Upgrades!$U$9,H159),1)*IF(Upgrades!$T$10="Stellar Coupling",POWER(Upgrades!$U$10,I159),1)*IF(Upgrades!$T$11="Stellar Coupling",POWER(Upgrades!$U$11,J159),1)*IF(Upgrades!$T$12="Stellar Coupling",POWER(Upgrades!$U$12,K159),1))*(POWER(Upgrades!$Q$6,E159)*POWER(Upgrades!$Q$7,F159)*POWER(Upgrades!$Q$8,G159)*POWER(Upgrades!$Q$9,H159)*POWER(Upgrades!$Q$10,I159)*POWER(Upgrades!$Q$11,J159)*POWER(Upgrades!$Q$12,K159))*Parameters!$B$10*Parameters!$B$11/60)/Upgrades!$C$11,0)),IF(K159&gt;0,0,IFERROR((1.0*(POWER(Upgrades!$P$6,E159)*POWER(Upgrades!$P$7,F159)*POWER(Upgrades!$P$8,G159)*POWER(Upgrades!$P$9,H159)*POWER(Upgrades!$P$10,I159)*POWER(Upgrades!$P$11,J159)*POWER(Upgrades!$P$12,K159))+0.20*M159*Parameters!$B$10*Parameters!$B$11/60)/Upgrades!$C$12,0)),IF(AND(ISNUMBER(AG159),AG159&gt;T159),AS159,0),IF(AND(ISNUMBER(AH159),AH159&gt;T159),AT159,0),IF(AND(ISNUMBER(AI159),AI159&gt;T159),AU159,0),IF(AND(ISNUMBER(AJ159),AJ159&gt;T159),AV159,0))</f>
        <v/>
      </c>
      <c r="AX159" s="29">
        <f>IF(AN159=1,"transition",IF(MIN(IF(AND(I159=0,ISNUMBER(AK159),AK159&lt;=T159),AK159,9E15),IF(AND(J159=0,ISNUMBER(AL159),AL159&lt;=T159),AL159,9E15),IF(AND(K159=0,ISNUMBER(AM159),AM159&lt;=T159),AM159,9E15))&lt;9E15,IF(AND(AND(I159=0,ISNUMBER(AK159),AK159&lt;=T159),AK159=MIN(IF(AND(I159=0,ISNUMBER(AK159),AK159&lt;=T159),AK159,9E15),IF(AND(J159=0,ISNUMBER(AL159),AL159&lt;=T159),AL159,9E15),IF(AND(K159=0,ISNUMBER(AM159),AM159&lt;=T159),AM159,9E15))),"OR",IF(AND(AND(J159=0,ISNUMBER(AL159),AL159&lt;=T159),AL159=MIN(IF(AND(I159=0,ISNUMBER(AK159),AK159&lt;=T159),AK159,9E15),IF(AND(J159=0,ISNUMBER(AL159),AL159&lt;=T159),AL159,9E15),IF(AND(K159=0,ISNUMBER(AM159),AM159&lt;=T159),AM159,9E15))),"HP","FP")),IF(AR159=TRUE,"",IF(MAX(IF(AND(NOT(AND(AO159=1,AN159&lt;&gt;1)),ISNUMBER(AG159),AG159&lt;=T159),AS159,0),IF(AND(NOT(AND(AO159=1,AN159&lt;&gt;1)),ISNUMBER(AH159),AH159&lt;=T159),AT159,0),IF(AND(NOT(AND(AO159=1,AN159&lt;&gt;1)),ISNUMBER(AI159),AI159&lt;=T159),AU159,0),IF(AND(ISNUMBER(AJ159),AJ159&lt;=T159),AV159,0))&lt;=0,"",IF(AND(IF(AND(NOT(AND(AO159=1,AN159&lt;&gt;1)),ISNUMBER(AG159),AG159&lt;=T159),AS159,0)&gt;0,IF(AND(NOT(AND(AO159=1,AN159&lt;&gt;1)),ISNUMBER(AG159),AG159&lt;=T159),AS159,0)=MAX(IF(AND(NOT(AND(AO159=1,AN159&lt;&gt;1)),ISNUMBER(AG159),AG159&lt;=T159),AS159,0),IF(AND(NOT(AND(AO159=1,AN159&lt;&gt;1)),ISNUMBER(AH159),AH159&lt;=T159),AT159,0),IF(AND(NOT(AND(AO159=1,AN159&lt;&gt;1)),ISNUMBER(AI159),AI159&lt;=T159),AU159,0),IF(AND(ISNUMBER(AJ159),AJ159&lt;=T159),AV159,0))),"SW",IF(AND(IF(AND(NOT(AND(AO159=1,AN159&lt;&gt;1)),ISNUMBER(AH159),AH159&lt;=T159),AT159,0)&gt;0,IF(AND(NOT(AND(AO159=1,AN159&lt;&gt;1)),ISNUMBER(AH159),AH159&lt;=T159),AT159,0)=MAX(IF(AND(NOT(AND(AO159=1,AN159&lt;&gt;1)),ISNUMBER(AG159),AG159&lt;=T159),AS159,0),IF(AND(NOT(AND(AO159=1,AN159&lt;&gt;1)),ISNUMBER(AH159),AH159&lt;=T159),AT159,0),IF(AND(NOT(AND(AO159=1,AN159&lt;&gt;1)),ISNUMBER(AI159),AI159&lt;=T159),AU159,0),IF(AND(ISNUMBER(AJ159),AJ159&lt;=T159),AV159,0))),"AB",IF(AND(IF(AND(NOT(AND(AO159=1,AN159&lt;&gt;1)),ISNUMBER(AI159),AI159&lt;=T159),AU159,0)&gt;0,IF(AND(NOT(AND(AO159=1,AN159&lt;&gt;1)),ISNUMBER(AI159),AI159&lt;=T159),AU159,0)=MAX(IF(AND(NOT(AND(AO159=1,AN159&lt;&gt;1)),ISNUMBER(AG159),AG159&lt;=T159),AS159,0),IF(AND(NOT(AND(AO159=1,AN159&lt;&gt;1)),ISNUMBER(AH159),AH159&lt;=T159),AT159,0),IF(AND(NOT(AND(AO159=1,AN159&lt;&gt;1)),ISNUMBER(AI159),AI159&lt;=T159),AU159,0),IF(AND(ISNUMBER(AJ159),AJ159&lt;=T159),AV159,0))),"SC","Mag")))))))</f>
        <v/>
      </c>
    </row>
    <row r="160">
      <c r="A160" s="26" t="n">
        <v>155</v>
      </c>
      <c r="B160" s="27">
        <f>A160*10/60</f>
        <v/>
      </c>
      <c r="C160" s="22">
        <f>X159</f>
        <v/>
      </c>
      <c r="D160" s="27">
        <f>D159+W159</f>
        <v/>
      </c>
      <c r="E160" s="26">
        <f>E159+IF(U159="SW",1,0)</f>
        <v/>
      </c>
      <c r="F160" s="26">
        <f>F159+IF(U159="AB",1,0)</f>
        <v/>
      </c>
      <c r="G160" s="26">
        <f>G159+IF(U159="SC",1,0)</f>
        <v/>
      </c>
      <c r="H160" s="26">
        <f>H159+IF(U159="Mag",1,0)</f>
        <v/>
      </c>
      <c r="I160" s="26">
        <f>MAX(I159,IF(U159="OR",1,0))</f>
        <v/>
      </c>
      <c r="J160" s="26">
        <f>MAX(J159,IF(U159="HP",1,0))</f>
        <v/>
      </c>
      <c r="K160" s="26">
        <f>MAX(K159,IF(U159="FP",1,0))</f>
        <v/>
      </c>
      <c r="L160" s="26">
        <f>MAX(L159,IF(U159="transition",1,0))</f>
        <v/>
      </c>
      <c r="M160" s="28">
        <f>(Parameters!$B$9+(IF(E160=0,0,(Upgrades!$J$6+E160*Upgrades!$K$6)*POWER(Upgrades!$L$6,E160)))*(IF(Upgrades!$T$7="Solar Wind",POWER(Upgrades!$U$7,F160),1)*IF(Upgrades!$T$8="Solar Wind",POWER(Upgrades!$U$8,G160),1)*IF(Upgrades!$T$9="Solar Wind",POWER(Upgrades!$U$9,H160),1)*IF(Upgrades!$T$10="Solar Wind",POWER(Upgrades!$U$10,I160),1)*IF(Upgrades!$T$11="Solar Wind",POWER(Upgrades!$U$11,J160),1)*IF(Upgrades!$T$12="Solar Wind",POWER(Upgrades!$U$12,K160),1))+(IF(F160=0,0,(Upgrades!$J$7+F160*Upgrades!$K$7)*POWER(Upgrades!$L$7,F160)))*(IF(Upgrades!$T$6="Asteroid Belt",POWER(Upgrades!$U$6,E160),1)*IF(Upgrades!$T$8="Asteroid Belt",POWER(Upgrades!$U$8,G160),1)*IF(Upgrades!$T$9="Asteroid Belt",POWER(Upgrades!$U$9,H160),1)*IF(Upgrades!$T$10="Asteroid Belt",POWER(Upgrades!$U$10,I160),1)*IF(Upgrades!$T$11="Asteroid Belt",POWER(Upgrades!$U$11,J160),1)*IF(Upgrades!$T$12="Asteroid Belt",POWER(Upgrades!$U$12,K160),1))+(IF(G160=0,0,(Upgrades!$J$8+G160*Upgrades!$K$8)*POWER(Upgrades!$L$8,G160)))*(IF(Upgrades!$T$6="Stellar Coupling",POWER(Upgrades!$U$6,E160),1)*IF(Upgrades!$T$7="Stellar Coupling",POWER(Upgrades!$U$7,F160),1)*IF(Upgrades!$T$9="Stellar Coupling",POWER(Upgrades!$U$9,H160),1)*IF(Upgrades!$T$10="Stellar Coupling",POWER(Upgrades!$U$10,I160),1)*IF(Upgrades!$T$11="Stellar Coupling",POWER(Upgrades!$U$11,J160),1)*IF(Upgrades!$T$12="Stellar Coupling",POWER(Upgrades!$U$12,K160),1))+(IF(H160=0,0,(Upgrades!$J$9+H160*Upgrades!$K$9)*POWER(Upgrades!$L$9,H160)))*(IF(Upgrades!$T$6="Magnetosphere",POWER(Upgrades!$U$6,E160),1)*IF(Upgrades!$T$7="Magnetosphere",POWER(Upgrades!$U$7,F160),1)*IF(Upgrades!$T$8="Magnetosphere",POWER(Upgrades!$U$8,G160),1)*IF(Upgrades!$T$10="Magnetosphere",POWER(Upgrades!$U$10,I160),1)*IF(Upgrades!$T$11="Magnetosphere",POWER(Upgrades!$U$11,J160),1)*IF(Upgrades!$T$12="Magnetosphere",POWER(Upgrades!$U$12,K160),1))+(IF(I160=0,0,(Upgrades!$J$10+I160*Upgrades!$K$10)*POWER(Upgrades!$L$10,I160)))*(IF(Upgrades!$T$6="Orbital Resonance",POWER(Upgrades!$U$6,E160),1)*IF(Upgrades!$T$7="Orbital Resonance",POWER(Upgrades!$U$7,F160),1)*IF(Upgrades!$T$8="Orbital Resonance",POWER(Upgrades!$U$8,G160),1)*IF(Upgrades!$T$9="Orbital Resonance",POWER(Upgrades!$U$9,H160),1)*IF(Upgrades!$T$11="Orbital Resonance",POWER(Upgrades!$U$11,J160),1)*IF(Upgrades!$T$12="Orbital Resonance",POWER(Upgrades!$U$12,K160),1))+(IF(J160=0,0,(Upgrades!$J$11+J160*Upgrades!$K$11)*POWER(Upgrades!$L$11,J160)))*(IF(Upgrades!$T$6="Heliopause",POWER(Upgrades!$U$6,E160),1)*IF(Upgrades!$T$7="Heliopause",POWER(Upgrades!$U$7,F160),1)*IF(Upgrades!$T$8="Heliopause",POWER(Upgrades!$U$8,G160),1)*IF(Upgrades!$T$9="Heliopause",POWER(Upgrades!$U$9,H160),1)*IF(Upgrades!$T$10="Heliopause",POWER(Upgrades!$U$10,I160),1)*IF(Upgrades!$T$12="Heliopause",POWER(Upgrades!$U$12,K160),1))+(IF(K160=0,0,(Upgrades!$J$12+K160*Upgrades!$K$12)*POWER(Upgrades!$L$12,K160)))*(IF(Upgrades!$T$6="First Photons",POWER(Upgrades!$U$6,E160),1)*IF(Upgrades!$T$7="First Photons",POWER(Upgrades!$U$7,F160),1)*IF(Upgrades!$T$8="First Photons",POWER(Upgrades!$U$8,G160),1)*IF(Upgrades!$T$9="First Photons",POWER(Upgrades!$U$9,H160),1)*IF(Upgrades!$T$10="First Photons",POWER(Upgrades!$U$10,I160),1)*IF(Upgrades!$T$11="First Photons",POWER(Upgrades!$U$11,J160),1)))*POWER(Upgrades!$Q$6,E160)*POWER(Upgrades!$Q$7,F160)*POWER(Upgrades!$Q$8,G160)*POWER(Upgrades!$Q$9,H160)*POWER(Upgrades!$Q$10,I160)*POWER(Upgrades!$Q$11,J160)*POWER(Upgrades!$Q$12,K160)</f>
        <v/>
      </c>
      <c r="N160" s="28">
        <f>((IF(E160=0,0,(Upgrades!$G$6+E160*Upgrades!$H$6)*POWER(Upgrades!$I$6,E160)))*(IF(Upgrades!$T$7="Solar Wind",POWER(Upgrades!$U$7,F160),1)*IF(Upgrades!$T$8="Solar Wind",POWER(Upgrades!$U$8,G160),1)*IF(Upgrades!$T$9="Solar Wind",POWER(Upgrades!$U$9,H160),1)*IF(Upgrades!$T$10="Solar Wind",POWER(Upgrades!$U$10,I160),1)*IF(Upgrades!$T$11="Solar Wind",POWER(Upgrades!$U$11,J160),1)*IF(Upgrades!$T$12="Solar Wind",POWER(Upgrades!$U$12,K160),1))+(IF(F160=0,0,(Upgrades!$G$7+F160*Upgrades!$H$7)*POWER(Upgrades!$I$7,F160)))*(IF(Upgrades!$T$6="Asteroid Belt",POWER(Upgrades!$U$6,E160),1)*IF(Upgrades!$T$8="Asteroid Belt",POWER(Upgrades!$U$8,G160),1)*IF(Upgrades!$T$9="Asteroid Belt",POWER(Upgrades!$U$9,H160),1)*IF(Upgrades!$T$10="Asteroid Belt",POWER(Upgrades!$U$10,I160),1)*IF(Upgrades!$T$11="Asteroid Belt",POWER(Upgrades!$U$11,J160),1)*IF(Upgrades!$T$12="Asteroid Belt",POWER(Upgrades!$U$12,K160),1))+(IF(G160=0,0,(Upgrades!$G$8+G160*Upgrades!$H$8)*POWER(Upgrades!$I$8,G160)))*(IF(Upgrades!$T$6="Stellar Coupling",POWER(Upgrades!$U$6,E160),1)*IF(Upgrades!$T$7="Stellar Coupling",POWER(Upgrades!$U$7,F160),1)*IF(Upgrades!$T$9="Stellar Coupling",POWER(Upgrades!$U$9,H160),1)*IF(Upgrades!$T$10="Stellar Coupling",POWER(Upgrades!$U$10,I160),1)*IF(Upgrades!$T$11="Stellar Coupling",POWER(Upgrades!$U$11,J160),1)*IF(Upgrades!$T$12="Stellar Coupling",POWER(Upgrades!$U$12,K160),1))+(IF(H160=0,0,(Upgrades!$G$9+H160*Upgrades!$H$9)*POWER(Upgrades!$I$9,H160)))*(IF(Upgrades!$T$6="Magnetosphere",POWER(Upgrades!$U$6,E160),1)*IF(Upgrades!$T$7="Magnetosphere",POWER(Upgrades!$U$7,F160),1)*IF(Upgrades!$T$8="Magnetosphere",POWER(Upgrades!$U$8,G160),1)*IF(Upgrades!$T$10="Magnetosphere",POWER(Upgrades!$U$10,I160),1)*IF(Upgrades!$T$11="Magnetosphere",POWER(Upgrades!$U$11,J160),1)*IF(Upgrades!$T$12="Magnetosphere",POWER(Upgrades!$U$12,K160),1))+(IF(I160=0,0,(Upgrades!$G$10+I160*Upgrades!$H$10)*POWER(Upgrades!$I$10,I160)))*(IF(Upgrades!$T$6="Orbital Resonance",POWER(Upgrades!$U$6,E160),1)*IF(Upgrades!$T$7="Orbital Resonance",POWER(Upgrades!$U$7,F160),1)*IF(Upgrades!$T$8="Orbital Resonance",POWER(Upgrades!$U$8,G160),1)*IF(Upgrades!$T$9="Orbital Resonance",POWER(Upgrades!$U$9,H160),1)*IF(Upgrades!$T$11="Orbital Resonance",POWER(Upgrades!$U$11,J160),1)*IF(Upgrades!$T$12="Orbital Resonance",POWER(Upgrades!$U$12,K160),1))+(IF(J160=0,0,(Upgrades!$G$11+J160*Upgrades!$H$11)*POWER(Upgrades!$I$11,J160)))*(IF(Upgrades!$T$6="Heliopause",POWER(Upgrades!$U$6,E160),1)*IF(Upgrades!$T$7="Heliopause",POWER(Upgrades!$U$7,F160),1)*IF(Upgrades!$T$8="Heliopause",POWER(Upgrades!$U$8,G160),1)*IF(Upgrades!$T$9="Heliopause",POWER(Upgrades!$U$9,H160),1)*IF(Upgrades!$T$10="Heliopause",POWER(Upgrades!$U$10,I160),1)*IF(Upgrades!$T$12="Heliopause",POWER(Upgrades!$U$12,K160),1))+(IF(K160=0,0,(Upgrades!$G$12+K160*Upgrades!$H$12)*POWER(Upgrades!$I$12,K160)))*(IF(Upgrades!$T$6="First Photons",POWER(Upgrades!$U$6,E160),1)*IF(Upgrades!$T$7="First Photons",POWER(Upgrades!$U$7,F160),1)*IF(Upgrades!$T$8="First Photons",POWER(Upgrades!$U$8,G160),1)*IF(Upgrades!$T$9="First Photons",POWER(Upgrades!$U$9,H160),1)*IF(Upgrades!$T$10="First Photons",POWER(Upgrades!$U$10,I160),1)*IF(Upgrades!$T$11="First Photons",POWER(Upgrades!$U$11,J160),1)))*POWER(Upgrades!$P$6,E160)*POWER(Upgrades!$P$7,F160)*POWER(Upgrades!$P$8,G160)*POWER(Upgrades!$P$9,H160)*POWER(Upgrades!$P$10,I160)*POWER(Upgrades!$P$11,J160)*POWER(Upgrades!$P$12,K160)</f>
        <v/>
      </c>
      <c r="O160" s="28">
        <f>((IF(E160=0,0,(Upgrades!$M$6+E160*Upgrades!$N$6)*POWER(Upgrades!$O$6,E160)))*(IF(Upgrades!$T$7="Solar Wind",POWER(Upgrades!$U$7,F160),1)*IF(Upgrades!$T$8="Solar Wind",POWER(Upgrades!$U$8,G160),1)*IF(Upgrades!$T$9="Solar Wind",POWER(Upgrades!$U$9,H160),1)*IF(Upgrades!$T$10="Solar Wind",POWER(Upgrades!$U$10,I160),1)*IF(Upgrades!$T$11="Solar Wind",POWER(Upgrades!$U$11,J160),1)*IF(Upgrades!$T$12="Solar Wind",POWER(Upgrades!$U$12,K160),1))+(IF(F160=0,0,(Upgrades!$M$7+F160*Upgrades!$N$7)*POWER(Upgrades!$O$7,F160)))*(IF(Upgrades!$T$6="Asteroid Belt",POWER(Upgrades!$U$6,E160),1)*IF(Upgrades!$T$8="Asteroid Belt",POWER(Upgrades!$U$8,G160),1)*IF(Upgrades!$T$9="Asteroid Belt",POWER(Upgrades!$U$9,H160),1)*IF(Upgrades!$T$10="Asteroid Belt",POWER(Upgrades!$U$10,I160),1)*IF(Upgrades!$T$11="Asteroid Belt",POWER(Upgrades!$U$11,J160),1)*IF(Upgrades!$T$12="Asteroid Belt",POWER(Upgrades!$U$12,K160),1))+(IF(G160=0,0,(Upgrades!$M$8+G160*Upgrades!$N$8)*POWER(Upgrades!$O$8,G160)))*(IF(Upgrades!$T$6="Stellar Coupling",POWER(Upgrades!$U$6,E160),1)*IF(Upgrades!$T$7="Stellar Coupling",POWER(Upgrades!$U$7,F160),1)*IF(Upgrades!$T$9="Stellar Coupling",POWER(Upgrades!$U$9,H160),1)*IF(Upgrades!$T$10="Stellar Coupling",POWER(Upgrades!$U$10,I160),1)*IF(Upgrades!$T$11="Stellar Coupling",POWER(Upgrades!$U$11,J160),1)*IF(Upgrades!$T$12="Stellar Coupling",POWER(Upgrades!$U$12,K160),1))+(IF(H160=0,0,(Upgrades!$M$9+H160*Upgrades!$N$9)*POWER(Upgrades!$O$9,H160)))*(IF(Upgrades!$T$6="Magnetosphere",POWER(Upgrades!$U$6,E160),1)*IF(Upgrades!$T$7="Magnetosphere",POWER(Upgrades!$U$7,F160),1)*IF(Upgrades!$T$8="Magnetosphere",POWER(Upgrades!$U$8,G160),1)*IF(Upgrades!$T$10="Magnetosphere",POWER(Upgrades!$U$10,I160),1)*IF(Upgrades!$T$11="Magnetosphere",POWER(Upgrades!$U$11,J160),1)*IF(Upgrades!$T$12="Magnetosphere",POWER(Upgrades!$U$12,K160),1))+(IF(I160=0,0,(Upgrades!$M$10+I160*Upgrades!$N$10)*POWER(Upgrades!$O$10,I160)))*(IF(Upgrades!$T$6="Orbital Resonance",POWER(Upgrades!$U$6,E160),1)*IF(Upgrades!$T$7="Orbital Resonance",POWER(Upgrades!$U$7,F160),1)*IF(Upgrades!$T$8="Orbital Resonance",POWER(Upgrades!$U$8,G160),1)*IF(Upgrades!$T$9="Orbital Resonance",POWER(Upgrades!$U$9,H160),1)*IF(Upgrades!$T$11="Orbital Resonance",POWER(Upgrades!$U$11,J160),1)*IF(Upgrades!$T$12="Orbital Resonance",POWER(Upgrades!$U$12,K160),1))+(IF(J160=0,0,(Upgrades!$M$11+J160*Upgrades!$N$11)*POWER(Upgrades!$O$11,J160)))*(IF(Upgrades!$T$6="Heliopause",POWER(Upgrades!$U$6,E160),1)*IF(Upgrades!$T$7="Heliopause",POWER(Upgrades!$U$7,F160),1)*IF(Upgrades!$T$8="Heliopause",POWER(Upgrades!$U$8,G160),1)*IF(Upgrades!$T$9="Heliopause",POWER(Upgrades!$U$9,H160),1)*IF(Upgrades!$T$10="Heliopause",POWER(Upgrades!$U$10,I160),1)*IF(Upgrades!$T$12="Heliopause",POWER(Upgrades!$U$12,K160),1))+(IF(K160=0,0,(Upgrades!$M$12+K160*Upgrades!$N$12)*POWER(Upgrades!$O$12,K160)))*(IF(Upgrades!$T$6="First Photons",POWER(Upgrades!$U$6,E160),1)*IF(Upgrades!$T$7="First Photons",POWER(Upgrades!$U$7,F160),1)*IF(Upgrades!$T$8="First Photons",POWER(Upgrades!$U$8,G160),1)*IF(Upgrades!$T$9="First Photons",POWER(Upgrades!$U$9,H160),1)*IF(Upgrades!$T$10="First Photons",POWER(Upgrades!$U$10,I160),1)*IF(Upgrades!$T$11="First Photons",POWER(Upgrades!$U$11,J160),1)))*POWER(Upgrades!$R$6,E160)*POWER(Upgrades!$R$7,F160)*POWER(Upgrades!$R$8,G160)*POWER(Upgrades!$R$9,H160)*POWER(Upgrades!$R$10,I160)*POWER(Upgrades!$R$11,J160)*POWER(Upgrades!$R$12,K160)</f>
        <v/>
      </c>
      <c r="P160" s="27">
        <f>IF(L160=1,0,M160*Parameters!$B$10/60*Parameters!$B$11*10)</f>
        <v/>
      </c>
      <c r="Q160" s="27">
        <f>IF(L160=1,0,O160*M160*10)</f>
        <v/>
      </c>
      <c r="R160" s="27">
        <f>IF(L160=1,0,N160*10)</f>
        <v/>
      </c>
      <c r="S160" s="27">
        <f>P160+Q160+R160</f>
        <v/>
      </c>
      <c r="T160" s="22">
        <f>C160+S160</f>
        <v/>
      </c>
      <c r="U160" s="33">
        <f>AX160</f>
        <v/>
      </c>
      <c r="V160" s="22">
        <f>IF(U160="",0,IF(U160="transition",0,IF(U160="SW",AG160,IF(U160="AB",AH160,IF(U160="SC",AI160,IF(U160="Mag",AJ160,IF(U160="OR",AK160,IF(U160="HP",AL160,IF(U160="FP",AM160,0)))))))))</f>
        <v/>
      </c>
      <c r="W160" s="27">
        <f>IF(U160="OR",Upgrades!$F$10,IF(U160="HP",Upgrades!$F$11,IF(U160="transition",-Parameters!$B$18,0)))</f>
        <v/>
      </c>
      <c r="X160" s="22">
        <f>T160-V160</f>
        <v/>
      </c>
      <c r="Y160" s="30">
        <f>M160*Parameters!$B$10/60*Parameters!$B$11+O160*M160+N160</f>
        <v/>
      </c>
      <c r="Z160" s="34">
        <f>IF(U160="transition","→ Tier 2 (Stellar Neighborhood)",IF(U160="FP","First Photons — light begins, system quickens",IF(U160="HP","Heliopause acquired",IF(U160="OR","Orbital Resonance — passive multiplier active",IF(AND(AO160=1,L160=0,AN160&lt;&gt;1),"Cohesion ready (waiting on completionist upgrades)","")))))</f>
        <v/>
      </c>
      <c r="AA160" s="27">
        <f>(IF(E160=0,0,(Upgrades!$G$6+E160*Upgrades!$H$6)*POWER(Upgrades!$I$6,E160)))*(IF(Upgrades!$T$7="Solar Wind",POWER(Upgrades!$U$7,F160),1)*IF(Upgrades!$T$8="Solar Wind",POWER(Upgrades!$U$8,G160),1)*IF(Upgrades!$T$9="Solar Wind",POWER(Upgrades!$U$9,H160),1)*IF(Upgrades!$T$10="Solar Wind",POWER(Upgrades!$U$10,I160),1)*IF(Upgrades!$T$11="Solar Wind",POWER(Upgrades!$U$11,J160),1)*IF(Upgrades!$T$12="Solar Wind",POWER(Upgrades!$U$12,K160),1))*POWER(Upgrades!$P$6,E160)*POWER(Upgrades!$P$7,F160)*POWER(Upgrades!$P$8,G160)*POWER(Upgrades!$P$9,H160)*POWER(Upgrades!$P$10,I160)*POWER(Upgrades!$P$11,J160)*POWER(Upgrades!$P$12,K160)*60</f>
        <v/>
      </c>
      <c r="AB160" s="27">
        <f>(IF(F160=0,0,(Upgrades!$G$7+F160*Upgrades!$H$7)*POWER(Upgrades!$I$7,F160)))*(IF(Upgrades!$T$6="Asteroid Belt",POWER(Upgrades!$U$6,E160),1)*IF(Upgrades!$T$8="Asteroid Belt",POWER(Upgrades!$U$8,G160),1)*IF(Upgrades!$T$9="Asteroid Belt",POWER(Upgrades!$U$9,H160),1)*IF(Upgrades!$T$10="Asteroid Belt",POWER(Upgrades!$U$10,I160),1)*IF(Upgrades!$T$11="Asteroid Belt",POWER(Upgrades!$U$11,J160),1)*IF(Upgrades!$T$12="Asteroid Belt",POWER(Upgrades!$U$12,K160),1))*POWER(Upgrades!$P$6,E160)*POWER(Upgrades!$P$7,F160)*POWER(Upgrades!$P$8,G160)*POWER(Upgrades!$P$9,H160)*POWER(Upgrades!$P$10,I160)*POWER(Upgrades!$P$11,J160)*POWER(Upgrades!$P$12,K160)*60</f>
        <v/>
      </c>
      <c r="AC160" s="27">
        <f>(IF(G160=0,0,(Upgrades!$J$8+G160*Upgrades!$K$8)*POWER(Upgrades!$L$8,G160)))*(IF(Upgrades!$T$6="Stellar Coupling",POWER(Upgrades!$U$6,E160),1)*IF(Upgrades!$T$7="Stellar Coupling",POWER(Upgrades!$U$7,F160),1)*IF(Upgrades!$T$9="Stellar Coupling",POWER(Upgrades!$U$9,H160),1)*IF(Upgrades!$T$10="Stellar Coupling",POWER(Upgrades!$U$10,I160),1)*IF(Upgrades!$T$11="Stellar Coupling",POWER(Upgrades!$U$11,J160),1)*IF(Upgrades!$T$12="Stellar Coupling",POWER(Upgrades!$U$12,K160),1))*POWER(Upgrades!$Q$6,E160)*POWER(Upgrades!$Q$7,F160)*POWER(Upgrades!$Q$8,G160)*POWER(Upgrades!$Q$9,H160)*POWER(Upgrades!$Q$10,I160)*POWER(Upgrades!$Q$11,J160)*POWER(Upgrades!$Q$12,K160)*Parameters!$B$10*Parameters!$B$11</f>
        <v/>
      </c>
      <c r="AD160" s="27">
        <f>(IF(H160=0,0,(Upgrades!$G$9+H160*Upgrades!$H$9)*POWER(Upgrades!$I$9,H160)))*(IF(Upgrades!$T$6="Magnetosphere",POWER(Upgrades!$U$6,E160),1)*IF(Upgrades!$T$7="Magnetosphere",POWER(Upgrades!$U$7,F160),1)*IF(Upgrades!$T$8="Magnetosphere",POWER(Upgrades!$U$8,G160),1)*IF(Upgrades!$T$10="Magnetosphere",POWER(Upgrades!$U$10,I160),1)*IF(Upgrades!$T$11="Magnetosphere",POWER(Upgrades!$U$11,J160),1)*IF(Upgrades!$T$12="Magnetosphere",POWER(Upgrades!$U$12,K160),1))*POWER(Upgrades!$P$6,E160)*POWER(Upgrades!$P$7,F160)*POWER(Upgrades!$P$8,G160)*POWER(Upgrades!$P$9,H160)*POWER(Upgrades!$P$10,I160)*POWER(Upgrades!$P$11,J160)*POWER(Upgrades!$P$12,K160)*60</f>
        <v/>
      </c>
      <c r="AE160" s="27">
        <f>(IF(K160=0,0,(Upgrades!$G$12+K160*Upgrades!$H$12)*POWER(Upgrades!$I$12,K160)))*(IF(Upgrades!$T$6="First Photons",POWER(Upgrades!$U$6,E160),1)*IF(Upgrades!$T$7="First Photons",POWER(Upgrades!$U$7,F160),1)*IF(Upgrades!$T$8="First Photons",POWER(Upgrades!$U$8,G160),1)*IF(Upgrades!$T$9="First Photons",POWER(Upgrades!$U$9,H160),1)*IF(Upgrades!$T$10="First Photons",POWER(Upgrades!$U$10,I160),1)*IF(Upgrades!$T$11="First Photons",POWER(Upgrades!$U$11,J160),1))*POWER(Upgrades!$P$6,E160)*POWER(Upgrades!$P$7,F160)*POWER(Upgrades!$P$8,G160)*POWER(Upgrades!$P$9,H160)*POWER(Upgrades!$P$10,I160)*POWER(Upgrades!$P$11,J160)*POWER(Upgrades!$P$12,K160)*60</f>
        <v/>
      </c>
      <c r="AF160" s="27">
        <f>Parameters!$B$9*POWER(Upgrades!$Q$6,E160)*POWER(Upgrades!$Q$7,F160)*POWER(Upgrades!$Q$8,G160)*POWER(Upgrades!$Q$9,H160)*POWER(Upgrades!$Q$10,I160)*POWER(Upgrades!$Q$11,J160)*POWER(Upgrades!$Q$12,K160)*(Parameters!$B$10*Parameters!$B$11+O160*60)</f>
        <v/>
      </c>
      <c r="AG160" s="22">
        <f>IF(E160&gt;=Upgrades!$E$6,"",Upgrades!$C$6*POWER(Upgrades!$D$6,E160))</f>
        <v/>
      </c>
      <c r="AH160" s="22">
        <f>IF(F160&gt;=Upgrades!$E$7,"",Upgrades!$C$7*POWER(Upgrades!$D$7,F160))</f>
        <v/>
      </c>
      <c r="AI160" s="22">
        <f>IF(G160&gt;=Upgrades!$E$8,"",Upgrades!$C$8*POWER(Upgrades!$D$8,G160))</f>
        <v/>
      </c>
      <c r="AJ160" s="22">
        <f>IF(H160&gt;=Upgrades!$E$9,"",Upgrades!$C$9*POWER(Upgrades!$D$9,H160))</f>
        <v/>
      </c>
      <c r="AK160" s="22">
        <f>IF(I160&gt;=Upgrades!$E$10,"",Upgrades!$C$10*POWER(Upgrades!$D$10,I160))</f>
        <v/>
      </c>
      <c r="AL160" s="22">
        <f>IF(J160&gt;=Upgrades!$E$11,"",Upgrades!$C$11*POWER(Upgrades!$D$11,J160))</f>
        <v/>
      </c>
      <c r="AM160" s="22">
        <f>IF(K160&gt;=Upgrades!$E$12,"",Upgrades!$C$12*POWER(Upgrades!$D$12,K160))</f>
        <v/>
      </c>
      <c r="AN160" s="26">
        <f>IF(AND(D160&gt;=Parameters!$B$18,(H160&gt;=Upgrades!$E$9)*(K160&gt;=Upgrades!$E$12)=1,L160=0),1,"")</f>
        <v/>
      </c>
      <c r="AO160" s="26">
        <f>IF(AND(D160&gt;=Parameters!$B$18,L160=0),1,"")</f>
        <v/>
      </c>
      <c r="AP160" s="22">
        <f>MIN(IF(ISNUMBER(AK160),AK160,9E15),IF(ISNUMBER(AL160),AL160,9E15),IF(ISNUMBER(AM160),AM160,9E15))</f>
        <v/>
      </c>
      <c r="AQ160" s="22">
        <f>MIN(IF(ISNUMBER(AG160),AG160,9E15),IF(ISNUMBER(AH160),AH160,9E15),IF(ISNUMBER(AI160),AI160,9E15),IF(ISNUMBER(AJ160),AJ160,9E15))</f>
        <v/>
      </c>
      <c r="AR160" s="29">
        <f>IF(AW160&gt;Parameters!$B$21*(MAX(IF(AND(NOT(AND(AO160=1,AN160&lt;&gt;1)),ISNUMBER(AG160),AG160&lt;=T160),AS160,0),IF(AND(NOT(AND(AO160=1,AN160&lt;&gt;1)),ISNUMBER(AH160),AH160&lt;=T160),AT160,0),IF(AND(NOT(AND(AO160=1,AN160&lt;&gt;1)),ISNUMBER(AI160),AI160&lt;=T160),AU160,0),IF(AND(ISNUMBER(AJ160),AJ160&lt;=T160),AV160,0))),TRUE,FALSE)</f>
        <v/>
      </c>
      <c r="AS160" s="32">
        <f>IFERROR(Upgrades!$H$6*(POWER(Upgrades!$P$6,E160)*POWER(Upgrades!$P$7,F160)*POWER(Upgrades!$P$8,G160)*POWER(Upgrades!$P$9,H160)*POWER(Upgrades!$P$10,I160)*POWER(Upgrades!$P$11,J160)*POWER(Upgrades!$P$12,K160))*(IF(Upgrades!$T$7="Solar Wind",POWER(Upgrades!$U$7,F160),1)*IF(Upgrades!$T$8="Solar Wind",POWER(Upgrades!$U$8,G160),1)*IF(Upgrades!$T$9="Solar Wind",POWER(Upgrades!$U$9,H160),1)*IF(Upgrades!$T$10="Solar Wind",POWER(Upgrades!$U$10,I160),1)*IF(Upgrades!$T$11="Solar Wind",POWER(Upgrades!$U$11,J160),1)*IF(Upgrades!$T$12="Solar Wind",POWER(Upgrades!$U$12,K160),1))/AG160,0)</f>
        <v/>
      </c>
      <c r="AT160" s="32">
        <f>IFERROR(Upgrades!$H$7*(POWER(Upgrades!$P$6,E160)*POWER(Upgrades!$P$7,F160)*POWER(Upgrades!$P$8,G160)*POWER(Upgrades!$P$9,H160)*POWER(Upgrades!$P$10,I160)*POWER(Upgrades!$P$11,J160)*POWER(Upgrades!$P$12,K160))*(IF(Upgrades!$T$6="Asteroid Belt",POWER(Upgrades!$U$6,E160),1)*IF(Upgrades!$T$8="Asteroid Belt",POWER(Upgrades!$U$8,G160),1)*IF(Upgrades!$T$9="Asteroid Belt",POWER(Upgrades!$U$9,H160),1)*IF(Upgrades!$T$10="Asteroid Belt",POWER(Upgrades!$U$10,I160),1)*IF(Upgrades!$T$11="Asteroid Belt",POWER(Upgrades!$U$11,J160),1)*IF(Upgrades!$T$12="Asteroid Belt",POWER(Upgrades!$U$12,K160),1))/AH160,0)</f>
        <v/>
      </c>
      <c r="AU160" s="32">
        <f>IFERROR(Upgrades!$K$8*(POWER(Upgrades!$Q$6,E160)*POWER(Upgrades!$Q$7,F160)*POWER(Upgrades!$Q$8,G160)*POWER(Upgrades!$Q$9,H160)*POWER(Upgrades!$Q$10,I160)*POWER(Upgrades!$Q$11,J160)*POWER(Upgrades!$Q$12,K160))*(IF(Upgrades!$T$6="Stellar Coupling",POWER(Upgrades!$U$6,E160),1)*IF(Upgrades!$T$7="Stellar Coupling",POWER(Upgrades!$U$7,F160),1)*IF(Upgrades!$T$9="Stellar Coupling",POWER(Upgrades!$U$9,H160),1)*IF(Upgrades!$T$10="Stellar Coupling",POWER(Upgrades!$U$10,I160),1)*IF(Upgrades!$T$11="Stellar Coupling",POWER(Upgrades!$U$11,J160),1)*IF(Upgrades!$T$12="Stellar Coupling",POWER(Upgrades!$U$12,K160),1))*Parameters!$B$10*Parameters!$B$11/60/AI160,0)</f>
        <v/>
      </c>
      <c r="AV160" s="32">
        <f>IFERROR(Upgrades!$H$9*(POWER(Upgrades!$P$6,E160)*POWER(Upgrades!$P$7,F160)*POWER(Upgrades!$P$8,G160)*POWER(Upgrades!$P$9,H160)*POWER(Upgrades!$P$10,I160)*POWER(Upgrades!$P$11,J160)*POWER(Upgrades!$P$12,K160))*(IF(Upgrades!$T$6="Magnetosphere",POWER(Upgrades!$U$6,E160),1)*IF(Upgrades!$T$7="Magnetosphere",POWER(Upgrades!$U$7,F160),1)*IF(Upgrades!$T$8="Magnetosphere",POWER(Upgrades!$U$8,G160),1)*IF(Upgrades!$T$10="Magnetosphere",POWER(Upgrades!$U$10,I160),1)*IF(Upgrades!$T$11="Magnetosphere",POWER(Upgrades!$U$11,J160),1)*IF(Upgrades!$T$12="Magnetosphere",POWER(Upgrades!$U$12,K160),1))/AJ160,0)</f>
        <v/>
      </c>
      <c r="AW160" s="32">
        <f>MAX(IF(I160&gt;0,0,IFERROR(0.25*N160/Upgrades!$C$10,0)),IF(J160&gt;0,0,IFERROR(0.5*((IF(G160=0,0,(Upgrades!$J$8+G160*Upgrades!$K$8)*POWER(Upgrades!$L$8,G160)))*(IF(Upgrades!$T$6="Stellar Coupling",POWER(Upgrades!$U$6,E160),1)*IF(Upgrades!$T$7="Stellar Coupling",POWER(Upgrades!$U$7,F160),1)*IF(Upgrades!$T$9="Stellar Coupling",POWER(Upgrades!$U$9,H160),1)*IF(Upgrades!$T$10="Stellar Coupling",POWER(Upgrades!$U$10,I160),1)*IF(Upgrades!$T$11="Stellar Coupling",POWER(Upgrades!$U$11,J160),1)*IF(Upgrades!$T$12="Stellar Coupling",POWER(Upgrades!$U$12,K160),1))*(POWER(Upgrades!$Q$6,E160)*POWER(Upgrades!$Q$7,F160)*POWER(Upgrades!$Q$8,G160)*POWER(Upgrades!$Q$9,H160)*POWER(Upgrades!$Q$10,I160)*POWER(Upgrades!$Q$11,J160)*POWER(Upgrades!$Q$12,K160))*Parameters!$B$10*Parameters!$B$11/60)/Upgrades!$C$11,0)),IF(K160&gt;0,0,IFERROR((1.0*(POWER(Upgrades!$P$6,E160)*POWER(Upgrades!$P$7,F160)*POWER(Upgrades!$P$8,G160)*POWER(Upgrades!$P$9,H160)*POWER(Upgrades!$P$10,I160)*POWER(Upgrades!$P$11,J160)*POWER(Upgrades!$P$12,K160))+0.20*M160*Parameters!$B$10*Parameters!$B$11/60)/Upgrades!$C$12,0)),IF(AND(ISNUMBER(AG160),AG160&gt;T160),AS160,0),IF(AND(ISNUMBER(AH160),AH160&gt;T160),AT160,0),IF(AND(ISNUMBER(AI160),AI160&gt;T160),AU160,0),IF(AND(ISNUMBER(AJ160),AJ160&gt;T160),AV160,0))</f>
        <v/>
      </c>
      <c r="AX160" s="29">
        <f>IF(AN160=1,"transition",IF(MIN(IF(AND(I160=0,ISNUMBER(AK160),AK160&lt;=T160),AK160,9E15),IF(AND(J160=0,ISNUMBER(AL160),AL160&lt;=T160),AL160,9E15),IF(AND(K160=0,ISNUMBER(AM160),AM160&lt;=T160),AM160,9E15))&lt;9E15,IF(AND(AND(I160=0,ISNUMBER(AK160),AK160&lt;=T160),AK160=MIN(IF(AND(I160=0,ISNUMBER(AK160),AK160&lt;=T160),AK160,9E15),IF(AND(J160=0,ISNUMBER(AL160),AL160&lt;=T160),AL160,9E15),IF(AND(K160=0,ISNUMBER(AM160),AM160&lt;=T160),AM160,9E15))),"OR",IF(AND(AND(J160=0,ISNUMBER(AL160),AL160&lt;=T160),AL160=MIN(IF(AND(I160=0,ISNUMBER(AK160),AK160&lt;=T160),AK160,9E15),IF(AND(J160=0,ISNUMBER(AL160),AL160&lt;=T160),AL160,9E15),IF(AND(K160=0,ISNUMBER(AM160),AM160&lt;=T160),AM160,9E15))),"HP","FP")),IF(AR160=TRUE,"",IF(MAX(IF(AND(NOT(AND(AO160=1,AN160&lt;&gt;1)),ISNUMBER(AG160),AG160&lt;=T160),AS160,0),IF(AND(NOT(AND(AO160=1,AN160&lt;&gt;1)),ISNUMBER(AH160),AH160&lt;=T160),AT160,0),IF(AND(NOT(AND(AO160=1,AN160&lt;&gt;1)),ISNUMBER(AI160),AI160&lt;=T160),AU160,0),IF(AND(ISNUMBER(AJ160),AJ160&lt;=T160),AV160,0))&lt;=0,"",IF(AND(IF(AND(NOT(AND(AO160=1,AN160&lt;&gt;1)),ISNUMBER(AG160),AG160&lt;=T160),AS160,0)&gt;0,IF(AND(NOT(AND(AO160=1,AN160&lt;&gt;1)),ISNUMBER(AG160),AG160&lt;=T160),AS160,0)=MAX(IF(AND(NOT(AND(AO160=1,AN160&lt;&gt;1)),ISNUMBER(AG160),AG160&lt;=T160),AS160,0),IF(AND(NOT(AND(AO160=1,AN160&lt;&gt;1)),ISNUMBER(AH160),AH160&lt;=T160),AT160,0),IF(AND(NOT(AND(AO160=1,AN160&lt;&gt;1)),ISNUMBER(AI160),AI160&lt;=T160),AU160,0),IF(AND(ISNUMBER(AJ160),AJ160&lt;=T160),AV160,0))),"SW",IF(AND(IF(AND(NOT(AND(AO160=1,AN160&lt;&gt;1)),ISNUMBER(AH160),AH160&lt;=T160),AT160,0)&gt;0,IF(AND(NOT(AND(AO160=1,AN160&lt;&gt;1)),ISNUMBER(AH160),AH160&lt;=T160),AT160,0)=MAX(IF(AND(NOT(AND(AO160=1,AN160&lt;&gt;1)),ISNUMBER(AG160),AG160&lt;=T160),AS160,0),IF(AND(NOT(AND(AO160=1,AN160&lt;&gt;1)),ISNUMBER(AH160),AH160&lt;=T160),AT160,0),IF(AND(NOT(AND(AO160=1,AN160&lt;&gt;1)),ISNUMBER(AI160),AI160&lt;=T160),AU160,0),IF(AND(ISNUMBER(AJ160),AJ160&lt;=T160),AV160,0))),"AB",IF(AND(IF(AND(NOT(AND(AO160=1,AN160&lt;&gt;1)),ISNUMBER(AI160),AI160&lt;=T160),AU160,0)&gt;0,IF(AND(NOT(AND(AO160=1,AN160&lt;&gt;1)),ISNUMBER(AI160),AI160&lt;=T160),AU160,0)=MAX(IF(AND(NOT(AND(AO160=1,AN160&lt;&gt;1)),ISNUMBER(AG160),AG160&lt;=T160),AS160,0),IF(AND(NOT(AND(AO160=1,AN160&lt;&gt;1)),ISNUMBER(AH160),AH160&lt;=T160),AT160,0),IF(AND(NOT(AND(AO160=1,AN160&lt;&gt;1)),ISNUMBER(AI160),AI160&lt;=T160),AU160,0),IF(AND(ISNUMBER(AJ160),AJ160&lt;=T160),AV160,0))),"SC","Mag")))))))</f>
        <v/>
      </c>
    </row>
    <row r="161">
      <c r="A161" s="26" t="n">
        <v>156</v>
      </c>
      <c r="B161" s="27">
        <f>A161*10/60</f>
        <v/>
      </c>
      <c r="C161" s="22">
        <f>X160</f>
        <v/>
      </c>
      <c r="D161" s="27">
        <f>D160+W160</f>
        <v/>
      </c>
      <c r="E161" s="26">
        <f>E160+IF(U160="SW",1,0)</f>
        <v/>
      </c>
      <c r="F161" s="26">
        <f>F160+IF(U160="AB",1,0)</f>
        <v/>
      </c>
      <c r="G161" s="26">
        <f>G160+IF(U160="SC",1,0)</f>
        <v/>
      </c>
      <c r="H161" s="26">
        <f>H160+IF(U160="Mag",1,0)</f>
        <v/>
      </c>
      <c r="I161" s="26">
        <f>MAX(I160,IF(U160="OR",1,0))</f>
        <v/>
      </c>
      <c r="J161" s="26">
        <f>MAX(J160,IF(U160="HP",1,0))</f>
        <v/>
      </c>
      <c r="K161" s="26">
        <f>MAX(K160,IF(U160="FP",1,0))</f>
        <v/>
      </c>
      <c r="L161" s="26">
        <f>MAX(L160,IF(U160="transition",1,0))</f>
        <v/>
      </c>
      <c r="M161" s="28">
        <f>(Parameters!$B$9+(IF(E161=0,0,(Upgrades!$J$6+E161*Upgrades!$K$6)*POWER(Upgrades!$L$6,E161)))*(IF(Upgrades!$T$7="Solar Wind",POWER(Upgrades!$U$7,F161),1)*IF(Upgrades!$T$8="Solar Wind",POWER(Upgrades!$U$8,G161),1)*IF(Upgrades!$T$9="Solar Wind",POWER(Upgrades!$U$9,H161),1)*IF(Upgrades!$T$10="Solar Wind",POWER(Upgrades!$U$10,I161),1)*IF(Upgrades!$T$11="Solar Wind",POWER(Upgrades!$U$11,J161),1)*IF(Upgrades!$T$12="Solar Wind",POWER(Upgrades!$U$12,K161),1))+(IF(F161=0,0,(Upgrades!$J$7+F161*Upgrades!$K$7)*POWER(Upgrades!$L$7,F161)))*(IF(Upgrades!$T$6="Asteroid Belt",POWER(Upgrades!$U$6,E161),1)*IF(Upgrades!$T$8="Asteroid Belt",POWER(Upgrades!$U$8,G161),1)*IF(Upgrades!$T$9="Asteroid Belt",POWER(Upgrades!$U$9,H161),1)*IF(Upgrades!$T$10="Asteroid Belt",POWER(Upgrades!$U$10,I161),1)*IF(Upgrades!$T$11="Asteroid Belt",POWER(Upgrades!$U$11,J161),1)*IF(Upgrades!$T$12="Asteroid Belt",POWER(Upgrades!$U$12,K161),1))+(IF(G161=0,0,(Upgrades!$J$8+G161*Upgrades!$K$8)*POWER(Upgrades!$L$8,G161)))*(IF(Upgrades!$T$6="Stellar Coupling",POWER(Upgrades!$U$6,E161),1)*IF(Upgrades!$T$7="Stellar Coupling",POWER(Upgrades!$U$7,F161),1)*IF(Upgrades!$T$9="Stellar Coupling",POWER(Upgrades!$U$9,H161),1)*IF(Upgrades!$T$10="Stellar Coupling",POWER(Upgrades!$U$10,I161),1)*IF(Upgrades!$T$11="Stellar Coupling",POWER(Upgrades!$U$11,J161),1)*IF(Upgrades!$T$12="Stellar Coupling",POWER(Upgrades!$U$12,K161),1))+(IF(H161=0,0,(Upgrades!$J$9+H161*Upgrades!$K$9)*POWER(Upgrades!$L$9,H161)))*(IF(Upgrades!$T$6="Magnetosphere",POWER(Upgrades!$U$6,E161),1)*IF(Upgrades!$T$7="Magnetosphere",POWER(Upgrades!$U$7,F161),1)*IF(Upgrades!$T$8="Magnetosphere",POWER(Upgrades!$U$8,G161),1)*IF(Upgrades!$T$10="Magnetosphere",POWER(Upgrades!$U$10,I161),1)*IF(Upgrades!$T$11="Magnetosphere",POWER(Upgrades!$U$11,J161),1)*IF(Upgrades!$T$12="Magnetosphere",POWER(Upgrades!$U$12,K161),1))+(IF(I161=0,0,(Upgrades!$J$10+I161*Upgrades!$K$10)*POWER(Upgrades!$L$10,I161)))*(IF(Upgrades!$T$6="Orbital Resonance",POWER(Upgrades!$U$6,E161),1)*IF(Upgrades!$T$7="Orbital Resonance",POWER(Upgrades!$U$7,F161),1)*IF(Upgrades!$T$8="Orbital Resonance",POWER(Upgrades!$U$8,G161),1)*IF(Upgrades!$T$9="Orbital Resonance",POWER(Upgrades!$U$9,H161),1)*IF(Upgrades!$T$11="Orbital Resonance",POWER(Upgrades!$U$11,J161),1)*IF(Upgrades!$T$12="Orbital Resonance",POWER(Upgrades!$U$12,K161),1))+(IF(J161=0,0,(Upgrades!$J$11+J161*Upgrades!$K$11)*POWER(Upgrades!$L$11,J161)))*(IF(Upgrades!$T$6="Heliopause",POWER(Upgrades!$U$6,E161),1)*IF(Upgrades!$T$7="Heliopause",POWER(Upgrades!$U$7,F161),1)*IF(Upgrades!$T$8="Heliopause",POWER(Upgrades!$U$8,G161),1)*IF(Upgrades!$T$9="Heliopause",POWER(Upgrades!$U$9,H161),1)*IF(Upgrades!$T$10="Heliopause",POWER(Upgrades!$U$10,I161),1)*IF(Upgrades!$T$12="Heliopause",POWER(Upgrades!$U$12,K161),1))+(IF(K161=0,0,(Upgrades!$J$12+K161*Upgrades!$K$12)*POWER(Upgrades!$L$12,K161)))*(IF(Upgrades!$T$6="First Photons",POWER(Upgrades!$U$6,E161),1)*IF(Upgrades!$T$7="First Photons",POWER(Upgrades!$U$7,F161),1)*IF(Upgrades!$T$8="First Photons",POWER(Upgrades!$U$8,G161),1)*IF(Upgrades!$T$9="First Photons",POWER(Upgrades!$U$9,H161),1)*IF(Upgrades!$T$10="First Photons",POWER(Upgrades!$U$10,I161),1)*IF(Upgrades!$T$11="First Photons",POWER(Upgrades!$U$11,J161),1)))*POWER(Upgrades!$Q$6,E161)*POWER(Upgrades!$Q$7,F161)*POWER(Upgrades!$Q$8,G161)*POWER(Upgrades!$Q$9,H161)*POWER(Upgrades!$Q$10,I161)*POWER(Upgrades!$Q$11,J161)*POWER(Upgrades!$Q$12,K161)</f>
        <v/>
      </c>
      <c r="N161" s="28">
        <f>((IF(E161=0,0,(Upgrades!$G$6+E161*Upgrades!$H$6)*POWER(Upgrades!$I$6,E161)))*(IF(Upgrades!$T$7="Solar Wind",POWER(Upgrades!$U$7,F161),1)*IF(Upgrades!$T$8="Solar Wind",POWER(Upgrades!$U$8,G161),1)*IF(Upgrades!$T$9="Solar Wind",POWER(Upgrades!$U$9,H161),1)*IF(Upgrades!$T$10="Solar Wind",POWER(Upgrades!$U$10,I161),1)*IF(Upgrades!$T$11="Solar Wind",POWER(Upgrades!$U$11,J161),1)*IF(Upgrades!$T$12="Solar Wind",POWER(Upgrades!$U$12,K161),1))+(IF(F161=0,0,(Upgrades!$G$7+F161*Upgrades!$H$7)*POWER(Upgrades!$I$7,F161)))*(IF(Upgrades!$T$6="Asteroid Belt",POWER(Upgrades!$U$6,E161),1)*IF(Upgrades!$T$8="Asteroid Belt",POWER(Upgrades!$U$8,G161),1)*IF(Upgrades!$T$9="Asteroid Belt",POWER(Upgrades!$U$9,H161),1)*IF(Upgrades!$T$10="Asteroid Belt",POWER(Upgrades!$U$10,I161),1)*IF(Upgrades!$T$11="Asteroid Belt",POWER(Upgrades!$U$11,J161),1)*IF(Upgrades!$T$12="Asteroid Belt",POWER(Upgrades!$U$12,K161),1))+(IF(G161=0,0,(Upgrades!$G$8+G161*Upgrades!$H$8)*POWER(Upgrades!$I$8,G161)))*(IF(Upgrades!$T$6="Stellar Coupling",POWER(Upgrades!$U$6,E161),1)*IF(Upgrades!$T$7="Stellar Coupling",POWER(Upgrades!$U$7,F161),1)*IF(Upgrades!$T$9="Stellar Coupling",POWER(Upgrades!$U$9,H161),1)*IF(Upgrades!$T$10="Stellar Coupling",POWER(Upgrades!$U$10,I161),1)*IF(Upgrades!$T$11="Stellar Coupling",POWER(Upgrades!$U$11,J161),1)*IF(Upgrades!$T$12="Stellar Coupling",POWER(Upgrades!$U$12,K161),1))+(IF(H161=0,0,(Upgrades!$G$9+H161*Upgrades!$H$9)*POWER(Upgrades!$I$9,H161)))*(IF(Upgrades!$T$6="Magnetosphere",POWER(Upgrades!$U$6,E161),1)*IF(Upgrades!$T$7="Magnetosphere",POWER(Upgrades!$U$7,F161),1)*IF(Upgrades!$T$8="Magnetosphere",POWER(Upgrades!$U$8,G161),1)*IF(Upgrades!$T$10="Magnetosphere",POWER(Upgrades!$U$10,I161),1)*IF(Upgrades!$T$11="Magnetosphere",POWER(Upgrades!$U$11,J161),1)*IF(Upgrades!$T$12="Magnetosphere",POWER(Upgrades!$U$12,K161),1))+(IF(I161=0,0,(Upgrades!$G$10+I161*Upgrades!$H$10)*POWER(Upgrades!$I$10,I161)))*(IF(Upgrades!$T$6="Orbital Resonance",POWER(Upgrades!$U$6,E161),1)*IF(Upgrades!$T$7="Orbital Resonance",POWER(Upgrades!$U$7,F161),1)*IF(Upgrades!$T$8="Orbital Resonance",POWER(Upgrades!$U$8,G161),1)*IF(Upgrades!$T$9="Orbital Resonance",POWER(Upgrades!$U$9,H161),1)*IF(Upgrades!$T$11="Orbital Resonance",POWER(Upgrades!$U$11,J161),1)*IF(Upgrades!$T$12="Orbital Resonance",POWER(Upgrades!$U$12,K161),1))+(IF(J161=0,0,(Upgrades!$G$11+J161*Upgrades!$H$11)*POWER(Upgrades!$I$11,J161)))*(IF(Upgrades!$T$6="Heliopause",POWER(Upgrades!$U$6,E161),1)*IF(Upgrades!$T$7="Heliopause",POWER(Upgrades!$U$7,F161),1)*IF(Upgrades!$T$8="Heliopause",POWER(Upgrades!$U$8,G161),1)*IF(Upgrades!$T$9="Heliopause",POWER(Upgrades!$U$9,H161),1)*IF(Upgrades!$T$10="Heliopause",POWER(Upgrades!$U$10,I161),1)*IF(Upgrades!$T$12="Heliopause",POWER(Upgrades!$U$12,K161),1))+(IF(K161=0,0,(Upgrades!$G$12+K161*Upgrades!$H$12)*POWER(Upgrades!$I$12,K161)))*(IF(Upgrades!$T$6="First Photons",POWER(Upgrades!$U$6,E161),1)*IF(Upgrades!$T$7="First Photons",POWER(Upgrades!$U$7,F161),1)*IF(Upgrades!$T$8="First Photons",POWER(Upgrades!$U$8,G161),1)*IF(Upgrades!$T$9="First Photons",POWER(Upgrades!$U$9,H161),1)*IF(Upgrades!$T$10="First Photons",POWER(Upgrades!$U$10,I161),1)*IF(Upgrades!$T$11="First Photons",POWER(Upgrades!$U$11,J161),1)))*POWER(Upgrades!$P$6,E161)*POWER(Upgrades!$P$7,F161)*POWER(Upgrades!$P$8,G161)*POWER(Upgrades!$P$9,H161)*POWER(Upgrades!$P$10,I161)*POWER(Upgrades!$P$11,J161)*POWER(Upgrades!$P$12,K161)</f>
        <v/>
      </c>
      <c r="O161" s="28">
        <f>((IF(E161=0,0,(Upgrades!$M$6+E161*Upgrades!$N$6)*POWER(Upgrades!$O$6,E161)))*(IF(Upgrades!$T$7="Solar Wind",POWER(Upgrades!$U$7,F161),1)*IF(Upgrades!$T$8="Solar Wind",POWER(Upgrades!$U$8,G161),1)*IF(Upgrades!$T$9="Solar Wind",POWER(Upgrades!$U$9,H161),1)*IF(Upgrades!$T$10="Solar Wind",POWER(Upgrades!$U$10,I161),1)*IF(Upgrades!$T$11="Solar Wind",POWER(Upgrades!$U$11,J161),1)*IF(Upgrades!$T$12="Solar Wind",POWER(Upgrades!$U$12,K161),1))+(IF(F161=0,0,(Upgrades!$M$7+F161*Upgrades!$N$7)*POWER(Upgrades!$O$7,F161)))*(IF(Upgrades!$T$6="Asteroid Belt",POWER(Upgrades!$U$6,E161),1)*IF(Upgrades!$T$8="Asteroid Belt",POWER(Upgrades!$U$8,G161),1)*IF(Upgrades!$T$9="Asteroid Belt",POWER(Upgrades!$U$9,H161),1)*IF(Upgrades!$T$10="Asteroid Belt",POWER(Upgrades!$U$10,I161),1)*IF(Upgrades!$T$11="Asteroid Belt",POWER(Upgrades!$U$11,J161),1)*IF(Upgrades!$T$12="Asteroid Belt",POWER(Upgrades!$U$12,K161),1))+(IF(G161=0,0,(Upgrades!$M$8+G161*Upgrades!$N$8)*POWER(Upgrades!$O$8,G161)))*(IF(Upgrades!$T$6="Stellar Coupling",POWER(Upgrades!$U$6,E161),1)*IF(Upgrades!$T$7="Stellar Coupling",POWER(Upgrades!$U$7,F161),1)*IF(Upgrades!$T$9="Stellar Coupling",POWER(Upgrades!$U$9,H161),1)*IF(Upgrades!$T$10="Stellar Coupling",POWER(Upgrades!$U$10,I161),1)*IF(Upgrades!$T$11="Stellar Coupling",POWER(Upgrades!$U$11,J161),1)*IF(Upgrades!$T$12="Stellar Coupling",POWER(Upgrades!$U$12,K161),1))+(IF(H161=0,0,(Upgrades!$M$9+H161*Upgrades!$N$9)*POWER(Upgrades!$O$9,H161)))*(IF(Upgrades!$T$6="Magnetosphere",POWER(Upgrades!$U$6,E161),1)*IF(Upgrades!$T$7="Magnetosphere",POWER(Upgrades!$U$7,F161),1)*IF(Upgrades!$T$8="Magnetosphere",POWER(Upgrades!$U$8,G161),1)*IF(Upgrades!$T$10="Magnetosphere",POWER(Upgrades!$U$10,I161),1)*IF(Upgrades!$T$11="Magnetosphere",POWER(Upgrades!$U$11,J161),1)*IF(Upgrades!$T$12="Magnetosphere",POWER(Upgrades!$U$12,K161),1))+(IF(I161=0,0,(Upgrades!$M$10+I161*Upgrades!$N$10)*POWER(Upgrades!$O$10,I161)))*(IF(Upgrades!$T$6="Orbital Resonance",POWER(Upgrades!$U$6,E161),1)*IF(Upgrades!$T$7="Orbital Resonance",POWER(Upgrades!$U$7,F161),1)*IF(Upgrades!$T$8="Orbital Resonance",POWER(Upgrades!$U$8,G161),1)*IF(Upgrades!$T$9="Orbital Resonance",POWER(Upgrades!$U$9,H161),1)*IF(Upgrades!$T$11="Orbital Resonance",POWER(Upgrades!$U$11,J161),1)*IF(Upgrades!$T$12="Orbital Resonance",POWER(Upgrades!$U$12,K161),1))+(IF(J161=0,0,(Upgrades!$M$11+J161*Upgrades!$N$11)*POWER(Upgrades!$O$11,J161)))*(IF(Upgrades!$T$6="Heliopause",POWER(Upgrades!$U$6,E161),1)*IF(Upgrades!$T$7="Heliopause",POWER(Upgrades!$U$7,F161),1)*IF(Upgrades!$T$8="Heliopause",POWER(Upgrades!$U$8,G161),1)*IF(Upgrades!$T$9="Heliopause",POWER(Upgrades!$U$9,H161),1)*IF(Upgrades!$T$10="Heliopause",POWER(Upgrades!$U$10,I161),1)*IF(Upgrades!$T$12="Heliopause",POWER(Upgrades!$U$12,K161),1))+(IF(K161=0,0,(Upgrades!$M$12+K161*Upgrades!$N$12)*POWER(Upgrades!$O$12,K161)))*(IF(Upgrades!$T$6="First Photons",POWER(Upgrades!$U$6,E161),1)*IF(Upgrades!$T$7="First Photons",POWER(Upgrades!$U$7,F161),1)*IF(Upgrades!$T$8="First Photons",POWER(Upgrades!$U$8,G161),1)*IF(Upgrades!$T$9="First Photons",POWER(Upgrades!$U$9,H161),1)*IF(Upgrades!$T$10="First Photons",POWER(Upgrades!$U$10,I161),1)*IF(Upgrades!$T$11="First Photons",POWER(Upgrades!$U$11,J161),1)))*POWER(Upgrades!$R$6,E161)*POWER(Upgrades!$R$7,F161)*POWER(Upgrades!$R$8,G161)*POWER(Upgrades!$R$9,H161)*POWER(Upgrades!$R$10,I161)*POWER(Upgrades!$R$11,J161)*POWER(Upgrades!$R$12,K161)</f>
        <v/>
      </c>
      <c r="P161" s="27">
        <f>IF(L161=1,0,M161*Parameters!$B$10/60*Parameters!$B$11*10)</f>
        <v/>
      </c>
      <c r="Q161" s="27">
        <f>IF(L161=1,0,O161*M161*10)</f>
        <v/>
      </c>
      <c r="R161" s="27">
        <f>IF(L161=1,0,N161*10)</f>
        <v/>
      </c>
      <c r="S161" s="27">
        <f>P161+Q161+R161</f>
        <v/>
      </c>
      <c r="T161" s="22">
        <f>C161+S161</f>
        <v/>
      </c>
      <c r="U161" s="33">
        <f>AX161</f>
        <v/>
      </c>
      <c r="V161" s="22">
        <f>IF(U161="",0,IF(U161="transition",0,IF(U161="SW",AG161,IF(U161="AB",AH161,IF(U161="SC",AI161,IF(U161="Mag",AJ161,IF(U161="OR",AK161,IF(U161="HP",AL161,IF(U161="FP",AM161,0)))))))))</f>
        <v/>
      </c>
      <c r="W161" s="27">
        <f>IF(U161="OR",Upgrades!$F$10,IF(U161="HP",Upgrades!$F$11,IF(U161="transition",-Parameters!$B$18,0)))</f>
        <v/>
      </c>
      <c r="X161" s="22">
        <f>T161-V161</f>
        <v/>
      </c>
      <c r="Y161" s="30">
        <f>M161*Parameters!$B$10/60*Parameters!$B$11+O161*M161+N161</f>
        <v/>
      </c>
      <c r="Z161" s="34">
        <f>IF(U161="transition","→ Tier 2 (Stellar Neighborhood)",IF(U161="FP","First Photons — light begins, system quickens",IF(U161="HP","Heliopause acquired",IF(U161="OR","Orbital Resonance — passive multiplier active",IF(AND(AO161=1,L161=0,AN161&lt;&gt;1),"Cohesion ready (waiting on completionist upgrades)","")))))</f>
        <v/>
      </c>
      <c r="AA161" s="27">
        <f>(IF(E161=0,0,(Upgrades!$G$6+E161*Upgrades!$H$6)*POWER(Upgrades!$I$6,E161)))*(IF(Upgrades!$T$7="Solar Wind",POWER(Upgrades!$U$7,F161),1)*IF(Upgrades!$T$8="Solar Wind",POWER(Upgrades!$U$8,G161),1)*IF(Upgrades!$T$9="Solar Wind",POWER(Upgrades!$U$9,H161),1)*IF(Upgrades!$T$10="Solar Wind",POWER(Upgrades!$U$10,I161),1)*IF(Upgrades!$T$11="Solar Wind",POWER(Upgrades!$U$11,J161),1)*IF(Upgrades!$T$12="Solar Wind",POWER(Upgrades!$U$12,K161),1))*POWER(Upgrades!$P$6,E161)*POWER(Upgrades!$P$7,F161)*POWER(Upgrades!$P$8,G161)*POWER(Upgrades!$P$9,H161)*POWER(Upgrades!$P$10,I161)*POWER(Upgrades!$P$11,J161)*POWER(Upgrades!$P$12,K161)*60</f>
        <v/>
      </c>
      <c r="AB161" s="27">
        <f>(IF(F161=0,0,(Upgrades!$G$7+F161*Upgrades!$H$7)*POWER(Upgrades!$I$7,F161)))*(IF(Upgrades!$T$6="Asteroid Belt",POWER(Upgrades!$U$6,E161),1)*IF(Upgrades!$T$8="Asteroid Belt",POWER(Upgrades!$U$8,G161),1)*IF(Upgrades!$T$9="Asteroid Belt",POWER(Upgrades!$U$9,H161),1)*IF(Upgrades!$T$10="Asteroid Belt",POWER(Upgrades!$U$10,I161),1)*IF(Upgrades!$T$11="Asteroid Belt",POWER(Upgrades!$U$11,J161),1)*IF(Upgrades!$T$12="Asteroid Belt",POWER(Upgrades!$U$12,K161),1))*POWER(Upgrades!$P$6,E161)*POWER(Upgrades!$P$7,F161)*POWER(Upgrades!$P$8,G161)*POWER(Upgrades!$P$9,H161)*POWER(Upgrades!$P$10,I161)*POWER(Upgrades!$P$11,J161)*POWER(Upgrades!$P$12,K161)*60</f>
        <v/>
      </c>
      <c r="AC161" s="27">
        <f>(IF(G161=0,0,(Upgrades!$J$8+G161*Upgrades!$K$8)*POWER(Upgrades!$L$8,G161)))*(IF(Upgrades!$T$6="Stellar Coupling",POWER(Upgrades!$U$6,E161),1)*IF(Upgrades!$T$7="Stellar Coupling",POWER(Upgrades!$U$7,F161),1)*IF(Upgrades!$T$9="Stellar Coupling",POWER(Upgrades!$U$9,H161),1)*IF(Upgrades!$T$10="Stellar Coupling",POWER(Upgrades!$U$10,I161),1)*IF(Upgrades!$T$11="Stellar Coupling",POWER(Upgrades!$U$11,J161),1)*IF(Upgrades!$T$12="Stellar Coupling",POWER(Upgrades!$U$12,K161),1))*POWER(Upgrades!$Q$6,E161)*POWER(Upgrades!$Q$7,F161)*POWER(Upgrades!$Q$8,G161)*POWER(Upgrades!$Q$9,H161)*POWER(Upgrades!$Q$10,I161)*POWER(Upgrades!$Q$11,J161)*POWER(Upgrades!$Q$12,K161)*Parameters!$B$10*Parameters!$B$11</f>
        <v/>
      </c>
      <c r="AD161" s="27">
        <f>(IF(H161=0,0,(Upgrades!$G$9+H161*Upgrades!$H$9)*POWER(Upgrades!$I$9,H161)))*(IF(Upgrades!$T$6="Magnetosphere",POWER(Upgrades!$U$6,E161),1)*IF(Upgrades!$T$7="Magnetosphere",POWER(Upgrades!$U$7,F161),1)*IF(Upgrades!$T$8="Magnetosphere",POWER(Upgrades!$U$8,G161),1)*IF(Upgrades!$T$10="Magnetosphere",POWER(Upgrades!$U$10,I161),1)*IF(Upgrades!$T$11="Magnetosphere",POWER(Upgrades!$U$11,J161),1)*IF(Upgrades!$T$12="Magnetosphere",POWER(Upgrades!$U$12,K161),1))*POWER(Upgrades!$P$6,E161)*POWER(Upgrades!$P$7,F161)*POWER(Upgrades!$P$8,G161)*POWER(Upgrades!$P$9,H161)*POWER(Upgrades!$P$10,I161)*POWER(Upgrades!$P$11,J161)*POWER(Upgrades!$P$12,K161)*60</f>
        <v/>
      </c>
      <c r="AE161" s="27">
        <f>(IF(K161=0,0,(Upgrades!$G$12+K161*Upgrades!$H$12)*POWER(Upgrades!$I$12,K161)))*(IF(Upgrades!$T$6="First Photons",POWER(Upgrades!$U$6,E161),1)*IF(Upgrades!$T$7="First Photons",POWER(Upgrades!$U$7,F161),1)*IF(Upgrades!$T$8="First Photons",POWER(Upgrades!$U$8,G161),1)*IF(Upgrades!$T$9="First Photons",POWER(Upgrades!$U$9,H161),1)*IF(Upgrades!$T$10="First Photons",POWER(Upgrades!$U$10,I161),1)*IF(Upgrades!$T$11="First Photons",POWER(Upgrades!$U$11,J161),1))*POWER(Upgrades!$P$6,E161)*POWER(Upgrades!$P$7,F161)*POWER(Upgrades!$P$8,G161)*POWER(Upgrades!$P$9,H161)*POWER(Upgrades!$P$10,I161)*POWER(Upgrades!$P$11,J161)*POWER(Upgrades!$P$12,K161)*60</f>
        <v/>
      </c>
      <c r="AF161" s="27">
        <f>Parameters!$B$9*POWER(Upgrades!$Q$6,E161)*POWER(Upgrades!$Q$7,F161)*POWER(Upgrades!$Q$8,G161)*POWER(Upgrades!$Q$9,H161)*POWER(Upgrades!$Q$10,I161)*POWER(Upgrades!$Q$11,J161)*POWER(Upgrades!$Q$12,K161)*(Parameters!$B$10*Parameters!$B$11+O161*60)</f>
        <v/>
      </c>
      <c r="AG161" s="22">
        <f>IF(E161&gt;=Upgrades!$E$6,"",Upgrades!$C$6*POWER(Upgrades!$D$6,E161))</f>
        <v/>
      </c>
      <c r="AH161" s="22">
        <f>IF(F161&gt;=Upgrades!$E$7,"",Upgrades!$C$7*POWER(Upgrades!$D$7,F161))</f>
        <v/>
      </c>
      <c r="AI161" s="22">
        <f>IF(G161&gt;=Upgrades!$E$8,"",Upgrades!$C$8*POWER(Upgrades!$D$8,G161))</f>
        <v/>
      </c>
      <c r="AJ161" s="22">
        <f>IF(H161&gt;=Upgrades!$E$9,"",Upgrades!$C$9*POWER(Upgrades!$D$9,H161))</f>
        <v/>
      </c>
      <c r="AK161" s="22">
        <f>IF(I161&gt;=Upgrades!$E$10,"",Upgrades!$C$10*POWER(Upgrades!$D$10,I161))</f>
        <v/>
      </c>
      <c r="AL161" s="22">
        <f>IF(J161&gt;=Upgrades!$E$11,"",Upgrades!$C$11*POWER(Upgrades!$D$11,J161))</f>
        <v/>
      </c>
      <c r="AM161" s="22">
        <f>IF(K161&gt;=Upgrades!$E$12,"",Upgrades!$C$12*POWER(Upgrades!$D$12,K161))</f>
        <v/>
      </c>
      <c r="AN161" s="26">
        <f>IF(AND(D161&gt;=Parameters!$B$18,(H161&gt;=Upgrades!$E$9)*(K161&gt;=Upgrades!$E$12)=1,L161=0),1,"")</f>
        <v/>
      </c>
      <c r="AO161" s="26">
        <f>IF(AND(D161&gt;=Parameters!$B$18,L161=0),1,"")</f>
        <v/>
      </c>
      <c r="AP161" s="22">
        <f>MIN(IF(ISNUMBER(AK161),AK161,9E15),IF(ISNUMBER(AL161),AL161,9E15),IF(ISNUMBER(AM161),AM161,9E15))</f>
        <v/>
      </c>
      <c r="AQ161" s="22">
        <f>MIN(IF(ISNUMBER(AG161),AG161,9E15),IF(ISNUMBER(AH161),AH161,9E15),IF(ISNUMBER(AI161),AI161,9E15),IF(ISNUMBER(AJ161),AJ161,9E15))</f>
        <v/>
      </c>
      <c r="AR161" s="29">
        <f>IF(AW161&gt;Parameters!$B$21*(MAX(IF(AND(NOT(AND(AO161=1,AN161&lt;&gt;1)),ISNUMBER(AG161),AG161&lt;=T161),AS161,0),IF(AND(NOT(AND(AO161=1,AN161&lt;&gt;1)),ISNUMBER(AH161),AH161&lt;=T161),AT161,0),IF(AND(NOT(AND(AO161=1,AN161&lt;&gt;1)),ISNUMBER(AI161),AI161&lt;=T161),AU161,0),IF(AND(ISNUMBER(AJ161),AJ161&lt;=T161),AV161,0))),TRUE,FALSE)</f>
        <v/>
      </c>
      <c r="AS161" s="32">
        <f>IFERROR(Upgrades!$H$6*(POWER(Upgrades!$P$6,E161)*POWER(Upgrades!$P$7,F161)*POWER(Upgrades!$P$8,G161)*POWER(Upgrades!$P$9,H161)*POWER(Upgrades!$P$10,I161)*POWER(Upgrades!$P$11,J161)*POWER(Upgrades!$P$12,K161))*(IF(Upgrades!$T$7="Solar Wind",POWER(Upgrades!$U$7,F161),1)*IF(Upgrades!$T$8="Solar Wind",POWER(Upgrades!$U$8,G161),1)*IF(Upgrades!$T$9="Solar Wind",POWER(Upgrades!$U$9,H161),1)*IF(Upgrades!$T$10="Solar Wind",POWER(Upgrades!$U$10,I161),1)*IF(Upgrades!$T$11="Solar Wind",POWER(Upgrades!$U$11,J161),1)*IF(Upgrades!$T$12="Solar Wind",POWER(Upgrades!$U$12,K161),1))/AG161,0)</f>
        <v/>
      </c>
      <c r="AT161" s="32">
        <f>IFERROR(Upgrades!$H$7*(POWER(Upgrades!$P$6,E161)*POWER(Upgrades!$P$7,F161)*POWER(Upgrades!$P$8,G161)*POWER(Upgrades!$P$9,H161)*POWER(Upgrades!$P$10,I161)*POWER(Upgrades!$P$11,J161)*POWER(Upgrades!$P$12,K161))*(IF(Upgrades!$T$6="Asteroid Belt",POWER(Upgrades!$U$6,E161),1)*IF(Upgrades!$T$8="Asteroid Belt",POWER(Upgrades!$U$8,G161),1)*IF(Upgrades!$T$9="Asteroid Belt",POWER(Upgrades!$U$9,H161),1)*IF(Upgrades!$T$10="Asteroid Belt",POWER(Upgrades!$U$10,I161),1)*IF(Upgrades!$T$11="Asteroid Belt",POWER(Upgrades!$U$11,J161),1)*IF(Upgrades!$T$12="Asteroid Belt",POWER(Upgrades!$U$12,K161),1))/AH161,0)</f>
        <v/>
      </c>
      <c r="AU161" s="32">
        <f>IFERROR(Upgrades!$K$8*(POWER(Upgrades!$Q$6,E161)*POWER(Upgrades!$Q$7,F161)*POWER(Upgrades!$Q$8,G161)*POWER(Upgrades!$Q$9,H161)*POWER(Upgrades!$Q$10,I161)*POWER(Upgrades!$Q$11,J161)*POWER(Upgrades!$Q$12,K161))*(IF(Upgrades!$T$6="Stellar Coupling",POWER(Upgrades!$U$6,E161),1)*IF(Upgrades!$T$7="Stellar Coupling",POWER(Upgrades!$U$7,F161),1)*IF(Upgrades!$T$9="Stellar Coupling",POWER(Upgrades!$U$9,H161),1)*IF(Upgrades!$T$10="Stellar Coupling",POWER(Upgrades!$U$10,I161),1)*IF(Upgrades!$T$11="Stellar Coupling",POWER(Upgrades!$U$11,J161),1)*IF(Upgrades!$T$12="Stellar Coupling",POWER(Upgrades!$U$12,K161),1))*Parameters!$B$10*Parameters!$B$11/60/AI161,0)</f>
        <v/>
      </c>
      <c r="AV161" s="32">
        <f>IFERROR(Upgrades!$H$9*(POWER(Upgrades!$P$6,E161)*POWER(Upgrades!$P$7,F161)*POWER(Upgrades!$P$8,G161)*POWER(Upgrades!$P$9,H161)*POWER(Upgrades!$P$10,I161)*POWER(Upgrades!$P$11,J161)*POWER(Upgrades!$P$12,K161))*(IF(Upgrades!$T$6="Magnetosphere",POWER(Upgrades!$U$6,E161),1)*IF(Upgrades!$T$7="Magnetosphere",POWER(Upgrades!$U$7,F161),1)*IF(Upgrades!$T$8="Magnetosphere",POWER(Upgrades!$U$8,G161),1)*IF(Upgrades!$T$10="Magnetosphere",POWER(Upgrades!$U$10,I161),1)*IF(Upgrades!$T$11="Magnetosphere",POWER(Upgrades!$U$11,J161),1)*IF(Upgrades!$T$12="Magnetosphere",POWER(Upgrades!$U$12,K161),1))/AJ161,0)</f>
        <v/>
      </c>
      <c r="AW161" s="32">
        <f>MAX(IF(I161&gt;0,0,IFERROR(0.25*N161/Upgrades!$C$10,0)),IF(J161&gt;0,0,IFERROR(0.5*((IF(G161=0,0,(Upgrades!$J$8+G161*Upgrades!$K$8)*POWER(Upgrades!$L$8,G161)))*(IF(Upgrades!$T$6="Stellar Coupling",POWER(Upgrades!$U$6,E161),1)*IF(Upgrades!$T$7="Stellar Coupling",POWER(Upgrades!$U$7,F161),1)*IF(Upgrades!$T$9="Stellar Coupling",POWER(Upgrades!$U$9,H161),1)*IF(Upgrades!$T$10="Stellar Coupling",POWER(Upgrades!$U$10,I161),1)*IF(Upgrades!$T$11="Stellar Coupling",POWER(Upgrades!$U$11,J161),1)*IF(Upgrades!$T$12="Stellar Coupling",POWER(Upgrades!$U$12,K161),1))*(POWER(Upgrades!$Q$6,E161)*POWER(Upgrades!$Q$7,F161)*POWER(Upgrades!$Q$8,G161)*POWER(Upgrades!$Q$9,H161)*POWER(Upgrades!$Q$10,I161)*POWER(Upgrades!$Q$11,J161)*POWER(Upgrades!$Q$12,K161))*Parameters!$B$10*Parameters!$B$11/60)/Upgrades!$C$11,0)),IF(K161&gt;0,0,IFERROR((1.0*(POWER(Upgrades!$P$6,E161)*POWER(Upgrades!$P$7,F161)*POWER(Upgrades!$P$8,G161)*POWER(Upgrades!$P$9,H161)*POWER(Upgrades!$P$10,I161)*POWER(Upgrades!$P$11,J161)*POWER(Upgrades!$P$12,K161))+0.20*M161*Parameters!$B$10*Parameters!$B$11/60)/Upgrades!$C$12,0)),IF(AND(ISNUMBER(AG161),AG161&gt;T161),AS161,0),IF(AND(ISNUMBER(AH161),AH161&gt;T161),AT161,0),IF(AND(ISNUMBER(AI161),AI161&gt;T161),AU161,0),IF(AND(ISNUMBER(AJ161),AJ161&gt;T161),AV161,0))</f>
        <v/>
      </c>
      <c r="AX161" s="29">
        <f>IF(AN161=1,"transition",IF(MIN(IF(AND(I161=0,ISNUMBER(AK161),AK161&lt;=T161),AK161,9E15),IF(AND(J161=0,ISNUMBER(AL161),AL161&lt;=T161),AL161,9E15),IF(AND(K161=0,ISNUMBER(AM161),AM161&lt;=T161),AM161,9E15))&lt;9E15,IF(AND(AND(I161=0,ISNUMBER(AK161),AK161&lt;=T161),AK161=MIN(IF(AND(I161=0,ISNUMBER(AK161),AK161&lt;=T161),AK161,9E15),IF(AND(J161=0,ISNUMBER(AL161),AL161&lt;=T161),AL161,9E15),IF(AND(K161=0,ISNUMBER(AM161),AM161&lt;=T161),AM161,9E15))),"OR",IF(AND(AND(J161=0,ISNUMBER(AL161),AL161&lt;=T161),AL161=MIN(IF(AND(I161=0,ISNUMBER(AK161),AK161&lt;=T161),AK161,9E15),IF(AND(J161=0,ISNUMBER(AL161),AL161&lt;=T161),AL161,9E15),IF(AND(K161=0,ISNUMBER(AM161),AM161&lt;=T161),AM161,9E15))),"HP","FP")),IF(AR161=TRUE,"",IF(MAX(IF(AND(NOT(AND(AO161=1,AN161&lt;&gt;1)),ISNUMBER(AG161),AG161&lt;=T161),AS161,0),IF(AND(NOT(AND(AO161=1,AN161&lt;&gt;1)),ISNUMBER(AH161),AH161&lt;=T161),AT161,0),IF(AND(NOT(AND(AO161=1,AN161&lt;&gt;1)),ISNUMBER(AI161),AI161&lt;=T161),AU161,0),IF(AND(ISNUMBER(AJ161),AJ161&lt;=T161),AV161,0))&lt;=0,"",IF(AND(IF(AND(NOT(AND(AO161=1,AN161&lt;&gt;1)),ISNUMBER(AG161),AG161&lt;=T161),AS161,0)&gt;0,IF(AND(NOT(AND(AO161=1,AN161&lt;&gt;1)),ISNUMBER(AG161),AG161&lt;=T161),AS161,0)=MAX(IF(AND(NOT(AND(AO161=1,AN161&lt;&gt;1)),ISNUMBER(AG161),AG161&lt;=T161),AS161,0),IF(AND(NOT(AND(AO161=1,AN161&lt;&gt;1)),ISNUMBER(AH161),AH161&lt;=T161),AT161,0),IF(AND(NOT(AND(AO161=1,AN161&lt;&gt;1)),ISNUMBER(AI161),AI161&lt;=T161),AU161,0),IF(AND(ISNUMBER(AJ161),AJ161&lt;=T161),AV161,0))),"SW",IF(AND(IF(AND(NOT(AND(AO161=1,AN161&lt;&gt;1)),ISNUMBER(AH161),AH161&lt;=T161),AT161,0)&gt;0,IF(AND(NOT(AND(AO161=1,AN161&lt;&gt;1)),ISNUMBER(AH161),AH161&lt;=T161),AT161,0)=MAX(IF(AND(NOT(AND(AO161=1,AN161&lt;&gt;1)),ISNUMBER(AG161),AG161&lt;=T161),AS161,0),IF(AND(NOT(AND(AO161=1,AN161&lt;&gt;1)),ISNUMBER(AH161),AH161&lt;=T161),AT161,0),IF(AND(NOT(AND(AO161=1,AN161&lt;&gt;1)),ISNUMBER(AI161),AI161&lt;=T161),AU161,0),IF(AND(ISNUMBER(AJ161),AJ161&lt;=T161),AV161,0))),"AB",IF(AND(IF(AND(NOT(AND(AO161=1,AN161&lt;&gt;1)),ISNUMBER(AI161),AI161&lt;=T161),AU161,0)&gt;0,IF(AND(NOT(AND(AO161=1,AN161&lt;&gt;1)),ISNUMBER(AI161),AI161&lt;=T161),AU161,0)=MAX(IF(AND(NOT(AND(AO161=1,AN161&lt;&gt;1)),ISNUMBER(AG161),AG161&lt;=T161),AS161,0),IF(AND(NOT(AND(AO161=1,AN161&lt;&gt;1)),ISNUMBER(AH161),AH161&lt;=T161),AT161,0),IF(AND(NOT(AND(AO161=1,AN161&lt;&gt;1)),ISNUMBER(AI161),AI161&lt;=T161),AU161,0),IF(AND(ISNUMBER(AJ161),AJ161&lt;=T161),AV161,0))),"SC","Mag")))))))</f>
        <v/>
      </c>
    </row>
    <row r="162">
      <c r="A162" s="26" t="n">
        <v>157</v>
      </c>
      <c r="B162" s="27">
        <f>A162*10/60</f>
        <v/>
      </c>
      <c r="C162" s="22">
        <f>X161</f>
        <v/>
      </c>
      <c r="D162" s="27">
        <f>D161+W161</f>
        <v/>
      </c>
      <c r="E162" s="26">
        <f>E161+IF(U161="SW",1,0)</f>
        <v/>
      </c>
      <c r="F162" s="26">
        <f>F161+IF(U161="AB",1,0)</f>
        <v/>
      </c>
      <c r="G162" s="26">
        <f>G161+IF(U161="SC",1,0)</f>
        <v/>
      </c>
      <c r="H162" s="26">
        <f>H161+IF(U161="Mag",1,0)</f>
        <v/>
      </c>
      <c r="I162" s="26">
        <f>MAX(I161,IF(U161="OR",1,0))</f>
        <v/>
      </c>
      <c r="J162" s="26">
        <f>MAX(J161,IF(U161="HP",1,0))</f>
        <v/>
      </c>
      <c r="K162" s="26">
        <f>MAX(K161,IF(U161="FP",1,0))</f>
        <v/>
      </c>
      <c r="L162" s="26">
        <f>MAX(L161,IF(U161="transition",1,0))</f>
        <v/>
      </c>
      <c r="M162" s="28">
        <f>(Parameters!$B$9+(IF(E162=0,0,(Upgrades!$J$6+E162*Upgrades!$K$6)*POWER(Upgrades!$L$6,E162)))*(IF(Upgrades!$T$7="Solar Wind",POWER(Upgrades!$U$7,F162),1)*IF(Upgrades!$T$8="Solar Wind",POWER(Upgrades!$U$8,G162),1)*IF(Upgrades!$T$9="Solar Wind",POWER(Upgrades!$U$9,H162),1)*IF(Upgrades!$T$10="Solar Wind",POWER(Upgrades!$U$10,I162),1)*IF(Upgrades!$T$11="Solar Wind",POWER(Upgrades!$U$11,J162),1)*IF(Upgrades!$T$12="Solar Wind",POWER(Upgrades!$U$12,K162),1))+(IF(F162=0,0,(Upgrades!$J$7+F162*Upgrades!$K$7)*POWER(Upgrades!$L$7,F162)))*(IF(Upgrades!$T$6="Asteroid Belt",POWER(Upgrades!$U$6,E162),1)*IF(Upgrades!$T$8="Asteroid Belt",POWER(Upgrades!$U$8,G162),1)*IF(Upgrades!$T$9="Asteroid Belt",POWER(Upgrades!$U$9,H162),1)*IF(Upgrades!$T$10="Asteroid Belt",POWER(Upgrades!$U$10,I162),1)*IF(Upgrades!$T$11="Asteroid Belt",POWER(Upgrades!$U$11,J162),1)*IF(Upgrades!$T$12="Asteroid Belt",POWER(Upgrades!$U$12,K162),1))+(IF(G162=0,0,(Upgrades!$J$8+G162*Upgrades!$K$8)*POWER(Upgrades!$L$8,G162)))*(IF(Upgrades!$T$6="Stellar Coupling",POWER(Upgrades!$U$6,E162),1)*IF(Upgrades!$T$7="Stellar Coupling",POWER(Upgrades!$U$7,F162),1)*IF(Upgrades!$T$9="Stellar Coupling",POWER(Upgrades!$U$9,H162),1)*IF(Upgrades!$T$10="Stellar Coupling",POWER(Upgrades!$U$10,I162),1)*IF(Upgrades!$T$11="Stellar Coupling",POWER(Upgrades!$U$11,J162),1)*IF(Upgrades!$T$12="Stellar Coupling",POWER(Upgrades!$U$12,K162),1))+(IF(H162=0,0,(Upgrades!$J$9+H162*Upgrades!$K$9)*POWER(Upgrades!$L$9,H162)))*(IF(Upgrades!$T$6="Magnetosphere",POWER(Upgrades!$U$6,E162),1)*IF(Upgrades!$T$7="Magnetosphere",POWER(Upgrades!$U$7,F162),1)*IF(Upgrades!$T$8="Magnetosphere",POWER(Upgrades!$U$8,G162),1)*IF(Upgrades!$T$10="Magnetosphere",POWER(Upgrades!$U$10,I162),1)*IF(Upgrades!$T$11="Magnetosphere",POWER(Upgrades!$U$11,J162),1)*IF(Upgrades!$T$12="Magnetosphere",POWER(Upgrades!$U$12,K162),1))+(IF(I162=0,0,(Upgrades!$J$10+I162*Upgrades!$K$10)*POWER(Upgrades!$L$10,I162)))*(IF(Upgrades!$T$6="Orbital Resonance",POWER(Upgrades!$U$6,E162),1)*IF(Upgrades!$T$7="Orbital Resonance",POWER(Upgrades!$U$7,F162),1)*IF(Upgrades!$T$8="Orbital Resonance",POWER(Upgrades!$U$8,G162),1)*IF(Upgrades!$T$9="Orbital Resonance",POWER(Upgrades!$U$9,H162),1)*IF(Upgrades!$T$11="Orbital Resonance",POWER(Upgrades!$U$11,J162),1)*IF(Upgrades!$T$12="Orbital Resonance",POWER(Upgrades!$U$12,K162),1))+(IF(J162=0,0,(Upgrades!$J$11+J162*Upgrades!$K$11)*POWER(Upgrades!$L$11,J162)))*(IF(Upgrades!$T$6="Heliopause",POWER(Upgrades!$U$6,E162),1)*IF(Upgrades!$T$7="Heliopause",POWER(Upgrades!$U$7,F162),1)*IF(Upgrades!$T$8="Heliopause",POWER(Upgrades!$U$8,G162),1)*IF(Upgrades!$T$9="Heliopause",POWER(Upgrades!$U$9,H162),1)*IF(Upgrades!$T$10="Heliopause",POWER(Upgrades!$U$10,I162),1)*IF(Upgrades!$T$12="Heliopause",POWER(Upgrades!$U$12,K162),1))+(IF(K162=0,0,(Upgrades!$J$12+K162*Upgrades!$K$12)*POWER(Upgrades!$L$12,K162)))*(IF(Upgrades!$T$6="First Photons",POWER(Upgrades!$U$6,E162),1)*IF(Upgrades!$T$7="First Photons",POWER(Upgrades!$U$7,F162),1)*IF(Upgrades!$T$8="First Photons",POWER(Upgrades!$U$8,G162),1)*IF(Upgrades!$T$9="First Photons",POWER(Upgrades!$U$9,H162),1)*IF(Upgrades!$T$10="First Photons",POWER(Upgrades!$U$10,I162),1)*IF(Upgrades!$T$11="First Photons",POWER(Upgrades!$U$11,J162),1)))*POWER(Upgrades!$Q$6,E162)*POWER(Upgrades!$Q$7,F162)*POWER(Upgrades!$Q$8,G162)*POWER(Upgrades!$Q$9,H162)*POWER(Upgrades!$Q$10,I162)*POWER(Upgrades!$Q$11,J162)*POWER(Upgrades!$Q$12,K162)</f>
        <v/>
      </c>
      <c r="N162" s="28">
        <f>((IF(E162=0,0,(Upgrades!$G$6+E162*Upgrades!$H$6)*POWER(Upgrades!$I$6,E162)))*(IF(Upgrades!$T$7="Solar Wind",POWER(Upgrades!$U$7,F162),1)*IF(Upgrades!$T$8="Solar Wind",POWER(Upgrades!$U$8,G162),1)*IF(Upgrades!$T$9="Solar Wind",POWER(Upgrades!$U$9,H162),1)*IF(Upgrades!$T$10="Solar Wind",POWER(Upgrades!$U$10,I162),1)*IF(Upgrades!$T$11="Solar Wind",POWER(Upgrades!$U$11,J162),1)*IF(Upgrades!$T$12="Solar Wind",POWER(Upgrades!$U$12,K162),1))+(IF(F162=0,0,(Upgrades!$G$7+F162*Upgrades!$H$7)*POWER(Upgrades!$I$7,F162)))*(IF(Upgrades!$T$6="Asteroid Belt",POWER(Upgrades!$U$6,E162),1)*IF(Upgrades!$T$8="Asteroid Belt",POWER(Upgrades!$U$8,G162),1)*IF(Upgrades!$T$9="Asteroid Belt",POWER(Upgrades!$U$9,H162),1)*IF(Upgrades!$T$10="Asteroid Belt",POWER(Upgrades!$U$10,I162),1)*IF(Upgrades!$T$11="Asteroid Belt",POWER(Upgrades!$U$11,J162),1)*IF(Upgrades!$T$12="Asteroid Belt",POWER(Upgrades!$U$12,K162),1))+(IF(G162=0,0,(Upgrades!$G$8+G162*Upgrades!$H$8)*POWER(Upgrades!$I$8,G162)))*(IF(Upgrades!$T$6="Stellar Coupling",POWER(Upgrades!$U$6,E162),1)*IF(Upgrades!$T$7="Stellar Coupling",POWER(Upgrades!$U$7,F162),1)*IF(Upgrades!$T$9="Stellar Coupling",POWER(Upgrades!$U$9,H162),1)*IF(Upgrades!$T$10="Stellar Coupling",POWER(Upgrades!$U$10,I162),1)*IF(Upgrades!$T$11="Stellar Coupling",POWER(Upgrades!$U$11,J162),1)*IF(Upgrades!$T$12="Stellar Coupling",POWER(Upgrades!$U$12,K162),1))+(IF(H162=0,0,(Upgrades!$G$9+H162*Upgrades!$H$9)*POWER(Upgrades!$I$9,H162)))*(IF(Upgrades!$T$6="Magnetosphere",POWER(Upgrades!$U$6,E162),1)*IF(Upgrades!$T$7="Magnetosphere",POWER(Upgrades!$U$7,F162),1)*IF(Upgrades!$T$8="Magnetosphere",POWER(Upgrades!$U$8,G162),1)*IF(Upgrades!$T$10="Magnetosphere",POWER(Upgrades!$U$10,I162),1)*IF(Upgrades!$T$11="Magnetosphere",POWER(Upgrades!$U$11,J162),1)*IF(Upgrades!$T$12="Magnetosphere",POWER(Upgrades!$U$12,K162),1))+(IF(I162=0,0,(Upgrades!$G$10+I162*Upgrades!$H$10)*POWER(Upgrades!$I$10,I162)))*(IF(Upgrades!$T$6="Orbital Resonance",POWER(Upgrades!$U$6,E162),1)*IF(Upgrades!$T$7="Orbital Resonance",POWER(Upgrades!$U$7,F162),1)*IF(Upgrades!$T$8="Orbital Resonance",POWER(Upgrades!$U$8,G162),1)*IF(Upgrades!$T$9="Orbital Resonance",POWER(Upgrades!$U$9,H162),1)*IF(Upgrades!$T$11="Orbital Resonance",POWER(Upgrades!$U$11,J162),1)*IF(Upgrades!$T$12="Orbital Resonance",POWER(Upgrades!$U$12,K162),1))+(IF(J162=0,0,(Upgrades!$G$11+J162*Upgrades!$H$11)*POWER(Upgrades!$I$11,J162)))*(IF(Upgrades!$T$6="Heliopause",POWER(Upgrades!$U$6,E162),1)*IF(Upgrades!$T$7="Heliopause",POWER(Upgrades!$U$7,F162),1)*IF(Upgrades!$T$8="Heliopause",POWER(Upgrades!$U$8,G162),1)*IF(Upgrades!$T$9="Heliopause",POWER(Upgrades!$U$9,H162),1)*IF(Upgrades!$T$10="Heliopause",POWER(Upgrades!$U$10,I162),1)*IF(Upgrades!$T$12="Heliopause",POWER(Upgrades!$U$12,K162),1))+(IF(K162=0,0,(Upgrades!$G$12+K162*Upgrades!$H$12)*POWER(Upgrades!$I$12,K162)))*(IF(Upgrades!$T$6="First Photons",POWER(Upgrades!$U$6,E162),1)*IF(Upgrades!$T$7="First Photons",POWER(Upgrades!$U$7,F162),1)*IF(Upgrades!$T$8="First Photons",POWER(Upgrades!$U$8,G162),1)*IF(Upgrades!$T$9="First Photons",POWER(Upgrades!$U$9,H162),1)*IF(Upgrades!$T$10="First Photons",POWER(Upgrades!$U$10,I162),1)*IF(Upgrades!$T$11="First Photons",POWER(Upgrades!$U$11,J162),1)))*POWER(Upgrades!$P$6,E162)*POWER(Upgrades!$P$7,F162)*POWER(Upgrades!$P$8,G162)*POWER(Upgrades!$P$9,H162)*POWER(Upgrades!$P$10,I162)*POWER(Upgrades!$P$11,J162)*POWER(Upgrades!$P$12,K162)</f>
        <v/>
      </c>
      <c r="O162" s="28">
        <f>((IF(E162=0,0,(Upgrades!$M$6+E162*Upgrades!$N$6)*POWER(Upgrades!$O$6,E162)))*(IF(Upgrades!$T$7="Solar Wind",POWER(Upgrades!$U$7,F162),1)*IF(Upgrades!$T$8="Solar Wind",POWER(Upgrades!$U$8,G162),1)*IF(Upgrades!$T$9="Solar Wind",POWER(Upgrades!$U$9,H162),1)*IF(Upgrades!$T$10="Solar Wind",POWER(Upgrades!$U$10,I162),1)*IF(Upgrades!$T$11="Solar Wind",POWER(Upgrades!$U$11,J162),1)*IF(Upgrades!$T$12="Solar Wind",POWER(Upgrades!$U$12,K162),1))+(IF(F162=0,0,(Upgrades!$M$7+F162*Upgrades!$N$7)*POWER(Upgrades!$O$7,F162)))*(IF(Upgrades!$T$6="Asteroid Belt",POWER(Upgrades!$U$6,E162),1)*IF(Upgrades!$T$8="Asteroid Belt",POWER(Upgrades!$U$8,G162),1)*IF(Upgrades!$T$9="Asteroid Belt",POWER(Upgrades!$U$9,H162),1)*IF(Upgrades!$T$10="Asteroid Belt",POWER(Upgrades!$U$10,I162),1)*IF(Upgrades!$T$11="Asteroid Belt",POWER(Upgrades!$U$11,J162),1)*IF(Upgrades!$T$12="Asteroid Belt",POWER(Upgrades!$U$12,K162),1))+(IF(G162=0,0,(Upgrades!$M$8+G162*Upgrades!$N$8)*POWER(Upgrades!$O$8,G162)))*(IF(Upgrades!$T$6="Stellar Coupling",POWER(Upgrades!$U$6,E162),1)*IF(Upgrades!$T$7="Stellar Coupling",POWER(Upgrades!$U$7,F162),1)*IF(Upgrades!$T$9="Stellar Coupling",POWER(Upgrades!$U$9,H162),1)*IF(Upgrades!$T$10="Stellar Coupling",POWER(Upgrades!$U$10,I162),1)*IF(Upgrades!$T$11="Stellar Coupling",POWER(Upgrades!$U$11,J162),1)*IF(Upgrades!$T$12="Stellar Coupling",POWER(Upgrades!$U$12,K162),1))+(IF(H162=0,0,(Upgrades!$M$9+H162*Upgrades!$N$9)*POWER(Upgrades!$O$9,H162)))*(IF(Upgrades!$T$6="Magnetosphere",POWER(Upgrades!$U$6,E162),1)*IF(Upgrades!$T$7="Magnetosphere",POWER(Upgrades!$U$7,F162),1)*IF(Upgrades!$T$8="Magnetosphere",POWER(Upgrades!$U$8,G162),1)*IF(Upgrades!$T$10="Magnetosphere",POWER(Upgrades!$U$10,I162),1)*IF(Upgrades!$T$11="Magnetosphere",POWER(Upgrades!$U$11,J162),1)*IF(Upgrades!$T$12="Magnetosphere",POWER(Upgrades!$U$12,K162),1))+(IF(I162=0,0,(Upgrades!$M$10+I162*Upgrades!$N$10)*POWER(Upgrades!$O$10,I162)))*(IF(Upgrades!$T$6="Orbital Resonance",POWER(Upgrades!$U$6,E162),1)*IF(Upgrades!$T$7="Orbital Resonance",POWER(Upgrades!$U$7,F162),1)*IF(Upgrades!$T$8="Orbital Resonance",POWER(Upgrades!$U$8,G162),1)*IF(Upgrades!$T$9="Orbital Resonance",POWER(Upgrades!$U$9,H162),1)*IF(Upgrades!$T$11="Orbital Resonance",POWER(Upgrades!$U$11,J162),1)*IF(Upgrades!$T$12="Orbital Resonance",POWER(Upgrades!$U$12,K162),1))+(IF(J162=0,0,(Upgrades!$M$11+J162*Upgrades!$N$11)*POWER(Upgrades!$O$11,J162)))*(IF(Upgrades!$T$6="Heliopause",POWER(Upgrades!$U$6,E162),1)*IF(Upgrades!$T$7="Heliopause",POWER(Upgrades!$U$7,F162),1)*IF(Upgrades!$T$8="Heliopause",POWER(Upgrades!$U$8,G162),1)*IF(Upgrades!$T$9="Heliopause",POWER(Upgrades!$U$9,H162),1)*IF(Upgrades!$T$10="Heliopause",POWER(Upgrades!$U$10,I162),1)*IF(Upgrades!$T$12="Heliopause",POWER(Upgrades!$U$12,K162),1))+(IF(K162=0,0,(Upgrades!$M$12+K162*Upgrades!$N$12)*POWER(Upgrades!$O$12,K162)))*(IF(Upgrades!$T$6="First Photons",POWER(Upgrades!$U$6,E162),1)*IF(Upgrades!$T$7="First Photons",POWER(Upgrades!$U$7,F162),1)*IF(Upgrades!$T$8="First Photons",POWER(Upgrades!$U$8,G162),1)*IF(Upgrades!$T$9="First Photons",POWER(Upgrades!$U$9,H162),1)*IF(Upgrades!$T$10="First Photons",POWER(Upgrades!$U$10,I162),1)*IF(Upgrades!$T$11="First Photons",POWER(Upgrades!$U$11,J162),1)))*POWER(Upgrades!$R$6,E162)*POWER(Upgrades!$R$7,F162)*POWER(Upgrades!$R$8,G162)*POWER(Upgrades!$R$9,H162)*POWER(Upgrades!$R$10,I162)*POWER(Upgrades!$R$11,J162)*POWER(Upgrades!$R$12,K162)</f>
        <v/>
      </c>
      <c r="P162" s="27">
        <f>IF(L162=1,0,M162*Parameters!$B$10/60*Parameters!$B$11*10)</f>
        <v/>
      </c>
      <c r="Q162" s="27">
        <f>IF(L162=1,0,O162*M162*10)</f>
        <v/>
      </c>
      <c r="R162" s="27">
        <f>IF(L162=1,0,N162*10)</f>
        <v/>
      </c>
      <c r="S162" s="27">
        <f>P162+Q162+R162</f>
        <v/>
      </c>
      <c r="T162" s="22">
        <f>C162+S162</f>
        <v/>
      </c>
      <c r="U162" s="33">
        <f>AX162</f>
        <v/>
      </c>
      <c r="V162" s="22">
        <f>IF(U162="",0,IF(U162="transition",0,IF(U162="SW",AG162,IF(U162="AB",AH162,IF(U162="SC",AI162,IF(U162="Mag",AJ162,IF(U162="OR",AK162,IF(U162="HP",AL162,IF(U162="FP",AM162,0)))))))))</f>
        <v/>
      </c>
      <c r="W162" s="27">
        <f>IF(U162="OR",Upgrades!$F$10,IF(U162="HP",Upgrades!$F$11,IF(U162="transition",-Parameters!$B$18,0)))</f>
        <v/>
      </c>
      <c r="X162" s="22">
        <f>T162-V162</f>
        <v/>
      </c>
      <c r="Y162" s="30">
        <f>M162*Parameters!$B$10/60*Parameters!$B$11+O162*M162+N162</f>
        <v/>
      </c>
      <c r="Z162" s="34">
        <f>IF(U162="transition","→ Tier 2 (Stellar Neighborhood)",IF(U162="FP","First Photons — light begins, system quickens",IF(U162="HP","Heliopause acquired",IF(U162="OR","Orbital Resonance — passive multiplier active",IF(AND(AO162=1,L162=0,AN162&lt;&gt;1),"Cohesion ready (waiting on completionist upgrades)","")))))</f>
        <v/>
      </c>
      <c r="AA162" s="27">
        <f>(IF(E162=0,0,(Upgrades!$G$6+E162*Upgrades!$H$6)*POWER(Upgrades!$I$6,E162)))*(IF(Upgrades!$T$7="Solar Wind",POWER(Upgrades!$U$7,F162),1)*IF(Upgrades!$T$8="Solar Wind",POWER(Upgrades!$U$8,G162),1)*IF(Upgrades!$T$9="Solar Wind",POWER(Upgrades!$U$9,H162),1)*IF(Upgrades!$T$10="Solar Wind",POWER(Upgrades!$U$10,I162),1)*IF(Upgrades!$T$11="Solar Wind",POWER(Upgrades!$U$11,J162),1)*IF(Upgrades!$T$12="Solar Wind",POWER(Upgrades!$U$12,K162),1))*POWER(Upgrades!$P$6,E162)*POWER(Upgrades!$P$7,F162)*POWER(Upgrades!$P$8,G162)*POWER(Upgrades!$P$9,H162)*POWER(Upgrades!$P$10,I162)*POWER(Upgrades!$P$11,J162)*POWER(Upgrades!$P$12,K162)*60</f>
        <v/>
      </c>
      <c r="AB162" s="27">
        <f>(IF(F162=0,0,(Upgrades!$G$7+F162*Upgrades!$H$7)*POWER(Upgrades!$I$7,F162)))*(IF(Upgrades!$T$6="Asteroid Belt",POWER(Upgrades!$U$6,E162),1)*IF(Upgrades!$T$8="Asteroid Belt",POWER(Upgrades!$U$8,G162),1)*IF(Upgrades!$T$9="Asteroid Belt",POWER(Upgrades!$U$9,H162),1)*IF(Upgrades!$T$10="Asteroid Belt",POWER(Upgrades!$U$10,I162),1)*IF(Upgrades!$T$11="Asteroid Belt",POWER(Upgrades!$U$11,J162),1)*IF(Upgrades!$T$12="Asteroid Belt",POWER(Upgrades!$U$12,K162),1))*POWER(Upgrades!$P$6,E162)*POWER(Upgrades!$P$7,F162)*POWER(Upgrades!$P$8,G162)*POWER(Upgrades!$P$9,H162)*POWER(Upgrades!$P$10,I162)*POWER(Upgrades!$P$11,J162)*POWER(Upgrades!$P$12,K162)*60</f>
        <v/>
      </c>
      <c r="AC162" s="27">
        <f>(IF(G162=0,0,(Upgrades!$J$8+G162*Upgrades!$K$8)*POWER(Upgrades!$L$8,G162)))*(IF(Upgrades!$T$6="Stellar Coupling",POWER(Upgrades!$U$6,E162),1)*IF(Upgrades!$T$7="Stellar Coupling",POWER(Upgrades!$U$7,F162),1)*IF(Upgrades!$T$9="Stellar Coupling",POWER(Upgrades!$U$9,H162),1)*IF(Upgrades!$T$10="Stellar Coupling",POWER(Upgrades!$U$10,I162),1)*IF(Upgrades!$T$11="Stellar Coupling",POWER(Upgrades!$U$11,J162),1)*IF(Upgrades!$T$12="Stellar Coupling",POWER(Upgrades!$U$12,K162),1))*POWER(Upgrades!$Q$6,E162)*POWER(Upgrades!$Q$7,F162)*POWER(Upgrades!$Q$8,G162)*POWER(Upgrades!$Q$9,H162)*POWER(Upgrades!$Q$10,I162)*POWER(Upgrades!$Q$11,J162)*POWER(Upgrades!$Q$12,K162)*Parameters!$B$10*Parameters!$B$11</f>
        <v/>
      </c>
      <c r="AD162" s="27">
        <f>(IF(H162=0,0,(Upgrades!$G$9+H162*Upgrades!$H$9)*POWER(Upgrades!$I$9,H162)))*(IF(Upgrades!$T$6="Magnetosphere",POWER(Upgrades!$U$6,E162),1)*IF(Upgrades!$T$7="Magnetosphere",POWER(Upgrades!$U$7,F162),1)*IF(Upgrades!$T$8="Magnetosphere",POWER(Upgrades!$U$8,G162),1)*IF(Upgrades!$T$10="Magnetosphere",POWER(Upgrades!$U$10,I162),1)*IF(Upgrades!$T$11="Magnetosphere",POWER(Upgrades!$U$11,J162),1)*IF(Upgrades!$T$12="Magnetosphere",POWER(Upgrades!$U$12,K162),1))*POWER(Upgrades!$P$6,E162)*POWER(Upgrades!$P$7,F162)*POWER(Upgrades!$P$8,G162)*POWER(Upgrades!$P$9,H162)*POWER(Upgrades!$P$10,I162)*POWER(Upgrades!$P$11,J162)*POWER(Upgrades!$P$12,K162)*60</f>
        <v/>
      </c>
      <c r="AE162" s="27">
        <f>(IF(K162=0,0,(Upgrades!$G$12+K162*Upgrades!$H$12)*POWER(Upgrades!$I$12,K162)))*(IF(Upgrades!$T$6="First Photons",POWER(Upgrades!$U$6,E162),1)*IF(Upgrades!$T$7="First Photons",POWER(Upgrades!$U$7,F162),1)*IF(Upgrades!$T$8="First Photons",POWER(Upgrades!$U$8,G162),1)*IF(Upgrades!$T$9="First Photons",POWER(Upgrades!$U$9,H162),1)*IF(Upgrades!$T$10="First Photons",POWER(Upgrades!$U$10,I162),1)*IF(Upgrades!$T$11="First Photons",POWER(Upgrades!$U$11,J162),1))*POWER(Upgrades!$P$6,E162)*POWER(Upgrades!$P$7,F162)*POWER(Upgrades!$P$8,G162)*POWER(Upgrades!$P$9,H162)*POWER(Upgrades!$P$10,I162)*POWER(Upgrades!$P$11,J162)*POWER(Upgrades!$P$12,K162)*60</f>
        <v/>
      </c>
      <c r="AF162" s="27">
        <f>Parameters!$B$9*POWER(Upgrades!$Q$6,E162)*POWER(Upgrades!$Q$7,F162)*POWER(Upgrades!$Q$8,G162)*POWER(Upgrades!$Q$9,H162)*POWER(Upgrades!$Q$10,I162)*POWER(Upgrades!$Q$11,J162)*POWER(Upgrades!$Q$12,K162)*(Parameters!$B$10*Parameters!$B$11+O162*60)</f>
        <v/>
      </c>
      <c r="AG162" s="22">
        <f>IF(E162&gt;=Upgrades!$E$6,"",Upgrades!$C$6*POWER(Upgrades!$D$6,E162))</f>
        <v/>
      </c>
      <c r="AH162" s="22">
        <f>IF(F162&gt;=Upgrades!$E$7,"",Upgrades!$C$7*POWER(Upgrades!$D$7,F162))</f>
        <v/>
      </c>
      <c r="AI162" s="22">
        <f>IF(G162&gt;=Upgrades!$E$8,"",Upgrades!$C$8*POWER(Upgrades!$D$8,G162))</f>
        <v/>
      </c>
      <c r="AJ162" s="22">
        <f>IF(H162&gt;=Upgrades!$E$9,"",Upgrades!$C$9*POWER(Upgrades!$D$9,H162))</f>
        <v/>
      </c>
      <c r="AK162" s="22">
        <f>IF(I162&gt;=Upgrades!$E$10,"",Upgrades!$C$10*POWER(Upgrades!$D$10,I162))</f>
        <v/>
      </c>
      <c r="AL162" s="22">
        <f>IF(J162&gt;=Upgrades!$E$11,"",Upgrades!$C$11*POWER(Upgrades!$D$11,J162))</f>
        <v/>
      </c>
      <c r="AM162" s="22">
        <f>IF(K162&gt;=Upgrades!$E$12,"",Upgrades!$C$12*POWER(Upgrades!$D$12,K162))</f>
        <v/>
      </c>
      <c r="AN162" s="26">
        <f>IF(AND(D162&gt;=Parameters!$B$18,(H162&gt;=Upgrades!$E$9)*(K162&gt;=Upgrades!$E$12)=1,L162=0),1,"")</f>
        <v/>
      </c>
      <c r="AO162" s="26">
        <f>IF(AND(D162&gt;=Parameters!$B$18,L162=0),1,"")</f>
        <v/>
      </c>
      <c r="AP162" s="22">
        <f>MIN(IF(ISNUMBER(AK162),AK162,9E15),IF(ISNUMBER(AL162),AL162,9E15),IF(ISNUMBER(AM162),AM162,9E15))</f>
        <v/>
      </c>
      <c r="AQ162" s="22">
        <f>MIN(IF(ISNUMBER(AG162),AG162,9E15),IF(ISNUMBER(AH162),AH162,9E15),IF(ISNUMBER(AI162),AI162,9E15),IF(ISNUMBER(AJ162),AJ162,9E15))</f>
        <v/>
      </c>
      <c r="AR162" s="29">
        <f>IF(AW162&gt;Parameters!$B$21*(MAX(IF(AND(NOT(AND(AO162=1,AN162&lt;&gt;1)),ISNUMBER(AG162),AG162&lt;=T162),AS162,0),IF(AND(NOT(AND(AO162=1,AN162&lt;&gt;1)),ISNUMBER(AH162),AH162&lt;=T162),AT162,0),IF(AND(NOT(AND(AO162=1,AN162&lt;&gt;1)),ISNUMBER(AI162),AI162&lt;=T162),AU162,0),IF(AND(ISNUMBER(AJ162),AJ162&lt;=T162),AV162,0))),TRUE,FALSE)</f>
        <v/>
      </c>
      <c r="AS162" s="32">
        <f>IFERROR(Upgrades!$H$6*(POWER(Upgrades!$P$6,E162)*POWER(Upgrades!$P$7,F162)*POWER(Upgrades!$P$8,G162)*POWER(Upgrades!$P$9,H162)*POWER(Upgrades!$P$10,I162)*POWER(Upgrades!$P$11,J162)*POWER(Upgrades!$P$12,K162))*(IF(Upgrades!$T$7="Solar Wind",POWER(Upgrades!$U$7,F162),1)*IF(Upgrades!$T$8="Solar Wind",POWER(Upgrades!$U$8,G162),1)*IF(Upgrades!$T$9="Solar Wind",POWER(Upgrades!$U$9,H162),1)*IF(Upgrades!$T$10="Solar Wind",POWER(Upgrades!$U$10,I162),1)*IF(Upgrades!$T$11="Solar Wind",POWER(Upgrades!$U$11,J162),1)*IF(Upgrades!$T$12="Solar Wind",POWER(Upgrades!$U$12,K162),1))/AG162,0)</f>
        <v/>
      </c>
      <c r="AT162" s="32">
        <f>IFERROR(Upgrades!$H$7*(POWER(Upgrades!$P$6,E162)*POWER(Upgrades!$P$7,F162)*POWER(Upgrades!$P$8,G162)*POWER(Upgrades!$P$9,H162)*POWER(Upgrades!$P$10,I162)*POWER(Upgrades!$P$11,J162)*POWER(Upgrades!$P$12,K162))*(IF(Upgrades!$T$6="Asteroid Belt",POWER(Upgrades!$U$6,E162),1)*IF(Upgrades!$T$8="Asteroid Belt",POWER(Upgrades!$U$8,G162),1)*IF(Upgrades!$T$9="Asteroid Belt",POWER(Upgrades!$U$9,H162),1)*IF(Upgrades!$T$10="Asteroid Belt",POWER(Upgrades!$U$10,I162),1)*IF(Upgrades!$T$11="Asteroid Belt",POWER(Upgrades!$U$11,J162),1)*IF(Upgrades!$T$12="Asteroid Belt",POWER(Upgrades!$U$12,K162),1))/AH162,0)</f>
        <v/>
      </c>
      <c r="AU162" s="32">
        <f>IFERROR(Upgrades!$K$8*(POWER(Upgrades!$Q$6,E162)*POWER(Upgrades!$Q$7,F162)*POWER(Upgrades!$Q$8,G162)*POWER(Upgrades!$Q$9,H162)*POWER(Upgrades!$Q$10,I162)*POWER(Upgrades!$Q$11,J162)*POWER(Upgrades!$Q$12,K162))*(IF(Upgrades!$T$6="Stellar Coupling",POWER(Upgrades!$U$6,E162),1)*IF(Upgrades!$T$7="Stellar Coupling",POWER(Upgrades!$U$7,F162),1)*IF(Upgrades!$T$9="Stellar Coupling",POWER(Upgrades!$U$9,H162),1)*IF(Upgrades!$T$10="Stellar Coupling",POWER(Upgrades!$U$10,I162),1)*IF(Upgrades!$T$11="Stellar Coupling",POWER(Upgrades!$U$11,J162),1)*IF(Upgrades!$T$12="Stellar Coupling",POWER(Upgrades!$U$12,K162),1))*Parameters!$B$10*Parameters!$B$11/60/AI162,0)</f>
        <v/>
      </c>
      <c r="AV162" s="32">
        <f>IFERROR(Upgrades!$H$9*(POWER(Upgrades!$P$6,E162)*POWER(Upgrades!$P$7,F162)*POWER(Upgrades!$P$8,G162)*POWER(Upgrades!$P$9,H162)*POWER(Upgrades!$P$10,I162)*POWER(Upgrades!$P$11,J162)*POWER(Upgrades!$P$12,K162))*(IF(Upgrades!$T$6="Magnetosphere",POWER(Upgrades!$U$6,E162),1)*IF(Upgrades!$T$7="Magnetosphere",POWER(Upgrades!$U$7,F162),1)*IF(Upgrades!$T$8="Magnetosphere",POWER(Upgrades!$U$8,G162),1)*IF(Upgrades!$T$10="Magnetosphere",POWER(Upgrades!$U$10,I162),1)*IF(Upgrades!$T$11="Magnetosphere",POWER(Upgrades!$U$11,J162),1)*IF(Upgrades!$T$12="Magnetosphere",POWER(Upgrades!$U$12,K162),1))/AJ162,0)</f>
        <v/>
      </c>
      <c r="AW162" s="32">
        <f>MAX(IF(I162&gt;0,0,IFERROR(0.25*N162/Upgrades!$C$10,0)),IF(J162&gt;0,0,IFERROR(0.5*((IF(G162=0,0,(Upgrades!$J$8+G162*Upgrades!$K$8)*POWER(Upgrades!$L$8,G162)))*(IF(Upgrades!$T$6="Stellar Coupling",POWER(Upgrades!$U$6,E162),1)*IF(Upgrades!$T$7="Stellar Coupling",POWER(Upgrades!$U$7,F162),1)*IF(Upgrades!$T$9="Stellar Coupling",POWER(Upgrades!$U$9,H162),1)*IF(Upgrades!$T$10="Stellar Coupling",POWER(Upgrades!$U$10,I162),1)*IF(Upgrades!$T$11="Stellar Coupling",POWER(Upgrades!$U$11,J162),1)*IF(Upgrades!$T$12="Stellar Coupling",POWER(Upgrades!$U$12,K162),1))*(POWER(Upgrades!$Q$6,E162)*POWER(Upgrades!$Q$7,F162)*POWER(Upgrades!$Q$8,G162)*POWER(Upgrades!$Q$9,H162)*POWER(Upgrades!$Q$10,I162)*POWER(Upgrades!$Q$11,J162)*POWER(Upgrades!$Q$12,K162))*Parameters!$B$10*Parameters!$B$11/60)/Upgrades!$C$11,0)),IF(K162&gt;0,0,IFERROR((1.0*(POWER(Upgrades!$P$6,E162)*POWER(Upgrades!$P$7,F162)*POWER(Upgrades!$P$8,G162)*POWER(Upgrades!$P$9,H162)*POWER(Upgrades!$P$10,I162)*POWER(Upgrades!$P$11,J162)*POWER(Upgrades!$P$12,K162))+0.20*M162*Parameters!$B$10*Parameters!$B$11/60)/Upgrades!$C$12,0)),IF(AND(ISNUMBER(AG162),AG162&gt;T162),AS162,0),IF(AND(ISNUMBER(AH162),AH162&gt;T162),AT162,0),IF(AND(ISNUMBER(AI162),AI162&gt;T162),AU162,0),IF(AND(ISNUMBER(AJ162),AJ162&gt;T162),AV162,0))</f>
        <v/>
      </c>
      <c r="AX162" s="29">
        <f>IF(AN162=1,"transition",IF(MIN(IF(AND(I162=0,ISNUMBER(AK162),AK162&lt;=T162),AK162,9E15),IF(AND(J162=0,ISNUMBER(AL162),AL162&lt;=T162),AL162,9E15),IF(AND(K162=0,ISNUMBER(AM162),AM162&lt;=T162),AM162,9E15))&lt;9E15,IF(AND(AND(I162=0,ISNUMBER(AK162),AK162&lt;=T162),AK162=MIN(IF(AND(I162=0,ISNUMBER(AK162),AK162&lt;=T162),AK162,9E15),IF(AND(J162=0,ISNUMBER(AL162),AL162&lt;=T162),AL162,9E15),IF(AND(K162=0,ISNUMBER(AM162),AM162&lt;=T162),AM162,9E15))),"OR",IF(AND(AND(J162=0,ISNUMBER(AL162),AL162&lt;=T162),AL162=MIN(IF(AND(I162=0,ISNUMBER(AK162),AK162&lt;=T162),AK162,9E15),IF(AND(J162=0,ISNUMBER(AL162),AL162&lt;=T162),AL162,9E15),IF(AND(K162=0,ISNUMBER(AM162),AM162&lt;=T162),AM162,9E15))),"HP","FP")),IF(AR162=TRUE,"",IF(MAX(IF(AND(NOT(AND(AO162=1,AN162&lt;&gt;1)),ISNUMBER(AG162),AG162&lt;=T162),AS162,0),IF(AND(NOT(AND(AO162=1,AN162&lt;&gt;1)),ISNUMBER(AH162),AH162&lt;=T162),AT162,0),IF(AND(NOT(AND(AO162=1,AN162&lt;&gt;1)),ISNUMBER(AI162),AI162&lt;=T162),AU162,0),IF(AND(ISNUMBER(AJ162),AJ162&lt;=T162),AV162,0))&lt;=0,"",IF(AND(IF(AND(NOT(AND(AO162=1,AN162&lt;&gt;1)),ISNUMBER(AG162),AG162&lt;=T162),AS162,0)&gt;0,IF(AND(NOT(AND(AO162=1,AN162&lt;&gt;1)),ISNUMBER(AG162),AG162&lt;=T162),AS162,0)=MAX(IF(AND(NOT(AND(AO162=1,AN162&lt;&gt;1)),ISNUMBER(AG162),AG162&lt;=T162),AS162,0),IF(AND(NOT(AND(AO162=1,AN162&lt;&gt;1)),ISNUMBER(AH162),AH162&lt;=T162),AT162,0),IF(AND(NOT(AND(AO162=1,AN162&lt;&gt;1)),ISNUMBER(AI162),AI162&lt;=T162),AU162,0),IF(AND(ISNUMBER(AJ162),AJ162&lt;=T162),AV162,0))),"SW",IF(AND(IF(AND(NOT(AND(AO162=1,AN162&lt;&gt;1)),ISNUMBER(AH162),AH162&lt;=T162),AT162,0)&gt;0,IF(AND(NOT(AND(AO162=1,AN162&lt;&gt;1)),ISNUMBER(AH162),AH162&lt;=T162),AT162,0)=MAX(IF(AND(NOT(AND(AO162=1,AN162&lt;&gt;1)),ISNUMBER(AG162),AG162&lt;=T162),AS162,0),IF(AND(NOT(AND(AO162=1,AN162&lt;&gt;1)),ISNUMBER(AH162),AH162&lt;=T162),AT162,0),IF(AND(NOT(AND(AO162=1,AN162&lt;&gt;1)),ISNUMBER(AI162),AI162&lt;=T162),AU162,0),IF(AND(ISNUMBER(AJ162),AJ162&lt;=T162),AV162,0))),"AB",IF(AND(IF(AND(NOT(AND(AO162=1,AN162&lt;&gt;1)),ISNUMBER(AI162),AI162&lt;=T162),AU162,0)&gt;0,IF(AND(NOT(AND(AO162=1,AN162&lt;&gt;1)),ISNUMBER(AI162),AI162&lt;=T162),AU162,0)=MAX(IF(AND(NOT(AND(AO162=1,AN162&lt;&gt;1)),ISNUMBER(AG162),AG162&lt;=T162),AS162,0),IF(AND(NOT(AND(AO162=1,AN162&lt;&gt;1)),ISNUMBER(AH162),AH162&lt;=T162),AT162,0),IF(AND(NOT(AND(AO162=1,AN162&lt;&gt;1)),ISNUMBER(AI162),AI162&lt;=T162),AU162,0),IF(AND(ISNUMBER(AJ162),AJ162&lt;=T162),AV162,0))),"SC","Mag")))))))</f>
        <v/>
      </c>
    </row>
    <row r="163">
      <c r="A163" s="26" t="n">
        <v>158</v>
      </c>
      <c r="B163" s="27">
        <f>A163*10/60</f>
        <v/>
      </c>
      <c r="C163" s="22">
        <f>X162</f>
        <v/>
      </c>
      <c r="D163" s="27">
        <f>D162+W162</f>
        <v/>
      </c>
      <c r="E163" s="26">
        <f>E162+IF(U162="SW",1,0)</f>
        <v/>
      </c>
      <c r="F163" s="26">
        <f>F162+IF(U162="AB",1,0)</f>
        <v/>
      </c>
      <c r="G163" s="26">
        <f>G162+IF(U162="SC",1,0)</f>
        <v/>
      </c>
      <c r="H163" s="26">
        <f>H162+IF(U162="Mag",1,0)</f>
        <v/>
      </c>
      <c r="I163" s="26">
        <f>MAX(I162,IF(U162="OR",1,0))</f>
        <v/>
      </c>
      <c r="J163" s="26">
        <f>MAX(J162,IF(U162="HP",1,0))</f>
        <v/>
      </c>
      <c r="K163" s="26">
        <f>MAX(K162,IF(U162="FP",1,0))</f>
        <v/>
      </c>
      <c r="L163" s="26">
        <f>MAX(L162,IF(U162="transition",1,0))</f>
        <v/>
      </c>
      <c r="M163" s="28">
        <f>(Parameters!$B$9+(IF(E163=0,0,(Upgrades!$J$6+E163*Upgrades!$K$6)*POWER(Upgrades!$L$6,E163)))*(IF(Upgrades!$T$7="Solar Wind",POWER(Upgrades!$U$7,F163),1)*IF(Upgrades!$T$8="Solar Wind",POWER(Upgrades!$U$8,G163),1)*IF(Upgrades!$T$9="Solar Wind",POWER(Upgrades!$U$9,H163),1)*IF(Upgrades!$T$10="Solar Wind",POWER(Upgrades!$U$10,I163),1)*IF(Upgrades!$T$11="Solar Wind",POWER(Upgrades!$U$11,J163),1)*IF(Upgrades!$T$12="Solar Wind",POWER(Upgrades!$U$12,K163),1))+(IF(F163=0,0,(Upgrades!$J$7+F163*Upgrades!$K$7)*POWER(Upgrades!$L$7,F163)))*(IF(Upgrades!$T$6="Asteroid Belt",POWER(Upgrades!$U$6,E163),1)*IF(Upgrades!$T$8="Asteroid Belt",POWER(Upgrades!$U$8,G163),1)*IF(Upgrades!$T$9="Asteroid Belt",POWER(Upgrades!$U$9,H163),1)*IF(Upgrades!$T$10="Asteroid Belt",POWER(Upgrades!$U$10,I163),1)*IF(Upgrades!$T$11="Asteroid Belt",POWER(Upgrades!$U$11,J163),1)*IF(Upgrades!$T$12="Asteroid Belt",POWER(Upgrades!$U$12,K163),1))+(IF(G163=0,0,(Upgrades!$J$8+G163*Upgrades!$K$8)*POWER(Upgrades!$L$8,G163)))*(IF(Upgrades!$T$6="Stellar Coupling",POWER(Upgrades!$U$6,E163),1)*IF(Upgrades!$T$7="Stellar Coupling",POWER(Upgrades!$U$7,F163),1)*IF(Upgrades!$T$9="Stellar Coupling",POWER(Upgrades!$U$9,H163),1)*IF(Upgrades!$T$10="Stellar Coupling",POWER(Upgrades!$U$10,I163),1)*IF(Upgrades!$T$11="Stellar Coupling",POWER(Upgrades!$U$11,J163),1)*IF(Upgrades!$T$12="Stellar Coupling",POWER(Upgrades!$U$12,K163),1))+(IF(H163=0,0,(Upgrades!$J$9+H163*Upgrades!$K$9)*POWER(Upgrades!$L$9,H163)))*(IF(Upgrades!$T$6="Magnetosphere",POWER(Upgrades!$U$6,E163),1)*IF(Upgrades!$T$7="Magnetosphere",POWER(Upgrades!$U$7,F163),1)*IF(Upgrades!$T$8="Magnetosphere",POWER(Upgrades!$U$8,G163),1)*IF(Upgrades!$T$10="Magnetosphere",POWER(Upgrades!$U$10,I163),1)*IF(Upgrades!$T$11="Magnetosphere",POWER(Upgrades!$U$11,J163),1)*IF(Upgrades!$T$12="Magnetosphere",POWER(Upgrades!$U$12,K163),1))+(IF(I163=0,0,(Upgrades!$J$10+I163*Upgrades!$K$10)*POWER(Upgrades!$L$10,I163)))*(IF(Upgrades!$T$6="Orbital Resonance",POWER(Upgrades!$U$6,E163),1)*IF(Upgrades!$T$7="Orbital Resonance",POWER(Upgrades!$U$7,F163),1)*IF(Upgrades!$T$8="Orbital Resonance",POWER(Upgrades!$U$8,G163),1)*IF(Upgrades!$T$9="Orbital Resonance",POWER(Upgrades!$U$9,H163),1)*IF(Upgrades!$T$11="Orbital Resonance",POWER(Upgrades!$U$11,J163),1)*IF(Upgrades!$T$12="Orbital Resonance",POWER(Upgrades!$U$12,K163),1))+(IF(J163=0,0,(Upgrades!$J$11+J163*Upgrades!$K$11)*POWER(Upgrades!$L$11,J163)))*(IF(Upgrades!$T$6="Heliopause",POWER(Upgrades!$U$6,E163),1)*IF(Upgrades!$T$7="Heliopause",POWER(Upgrades!$U$7,F163),1)*IF(Upgrades!$T$8="Heliopause",POWER(Upgrades!$U$8,G163),1)*IF(Upgrades!$T$9="Heliopause",POWER(Upgrades!$U$9,H163),1)*IF(Upgrades!$T$10="Heliopause",POWER(Upgrades!$U$10,I163),1)*IF(Upgrades!$T$12="Heliopause",POWER(Upgrades!$U$12,K163),1))+(IF(K163=0,0,(Upgrades!$J$12+K163*Upgrades!$K$12)*POWER(Upgrades!$L$12,K163)))*(IF(Upgrades!$T$6="First Photons",POWER(Upgrades!$U$6,E163),1)*IF(Upgrades!$T$7="First Photons",POWER(Upgrades!$U$7,F163),1)*IF(Upgrades!$T$8="First Photons",POWER(Upgrades!$U$8,G163),1)*IF(Upgrades!$T$9="First Photons",POWER(Upgrades!$U$9,H163),1)*IF(Upgrades!$T$10="First Photons",POWER(Upgrades!$U$10,I163),1)*IF(Upgrades!$T$11="First Photons",POWER(Upgrades!$U$11,J163),1)))*POWER(Upgrades!$Q$6,E163)*POWER(Upgrades!$Q$7,F163)*POWER(Upgrades!$Q$8,G163)*POWER(Upgrades!$Q$9,H163)*POWER(Upgrades!$Q$10,I163)*POWER(Upgrades!$Q$11,J163)*POWER(Upgrades!$Q$12,K163)</f>
        <v/>
      </c>
      <c r="N163" s="28">
        <f>((IF(E163=0,0,(Upgrades!$G$6+E163*Upgrades!$H$6)*POWER(Upgrades!$I$6,E163)))*(IF(Upgrades!$T$7="Solar Wind",POWER(Upgrades!$U$7,F163),1)*IF(Upgrades!$T$8="Solar Wind",POWER(Upgrades!$U$8,G163),1)*IF(Upgrades!$T$9="Solar Wind",POWER(Upgrades!$U$9,H163),1)*IF(Upgrades!$T$10="Solar Wind",POWER(Upgrades!$U$10,I163),1)*IF(Upgrades!$T$11="Solar Wind",POWER(Upgrades!$U$11,J163),1)*IF(Upgrades!$T$12="Solar Wind",POWER(Upgrades!$U$12,K163),1))+(IF(F163=0,0,(Upgrades!$G$7+F163*Upgrades!$H$7)*POWER(Upgrades!$I$7,F163)))*(IF(Upgrades!$T$6="Asteroid Belt",POWER(Upgrades!$U$6,E163),1)*IF(Upgrades!$T$8="Asteroid Belt",POWER(Upgrades!$U$8,G163),1)*IF(Upgrades!$T$9="Asteroid Belt",POWER(Upgrades!$U$9,H163),1)*IF(Upgrades!$T$10="Asteroid Belt",POWER(Upgrades!$U$10,I163),1)*IF(Upgrades!$T$11="Asteroid Belt",POWER(Upgrades!$U$11,J163),1)*IF(Upgrades!$T$12="Asteroid Belt",POWER(Upgrades!$U$12,K163),1))+(IF(G163=0,0,(Upgrades!$G$8+G163*Upgrades!$H$8)*POWER(Upgrades!$I$8,G163)))*(IF(Upgrades!$T$6="Stellar Coupling",POWER(Upgrades!$U$6,E163),1)*IF(Upgrades!$T$7="Stellar Coupling",POWER(Upgrades!$U$7,F163),1)*IF(Upgrades!$T$9="Stellar Coupling",POWER(Upgrades!$U$9,H163),1)*IF(Upgrades!$T$10="Stellar Coupling",POWER(Upgrades!$U$10,I163),1)*IF(Upgrades!$T$11="Stellar Coupling",POWER(Upgrades!$U$11,J163),1)*IF(Upgrades!$T$12="Stellar Coupling",POWER(Upgrades!$U$12,K163),1))+(IF(H163=0,0,(Upgrades!$G$9+H163*Upgrades!$H$9)*POWER(Upgrades!$I$9,H163)))*(IF(Upgrades!$T$6="Magnetosphere",POWER(Upgrades!$U$6,E163),1)*IF(Upgrades!$T$7="Magnetosphere",POWER(Upgrades!$U$7,F163),1)*IF(Upgrades!$T$8="Magnetosphere",POWER(Upgrades!$U$8,G163),1)*IF(Upgrades!$T$10="Magnetosphere",POWER(Upgrades!$U$10,I163),1)*IF(Upgrades!$T$11="Magnetosphere",POWER(Upgrades!$U$11,J163),1)*IF(Upgrades!$T$12="Magnetosphere",POWER(Upgrades!$U$12,K163),1))+(IF(I163=0,0,(Upgrades!$G$10+I163*Upgrades!$H$10)*POWER(Upgrades!$I$10,I163)))*(IF(Upgrades!$T$6="Orbital Resonance",POWER(Upgrades!$U$6,E163),1)*IF(Upgrades!$T$7="Orbital Resonance",POWER(Upgrades!$U$7,F163),1)*IF(Upgrades!$T$8="Orbital Resonance",POWER(Upgrades!$U$8,G163),1)*IF(Upgrades!$T$9="Orbital Resonance",POWER(Upgrades!$U$9,H163),1)*IF(Upgrades!$T$11="Orbital Resonance",POWER(Upgrades!$U$11,J163),1)*IF(Upgrades!$T$12="Orbital Resonance",POWER(Upgrades!$U$12,K163),1))+(IF(J163=0,0,(Upgrades!$G$11+J163*Upgrades!$H$11)*POWER(Upgrades!$I$11,J163)))*(IF(Upgrades!$T$6="Heliopause",POWER(Upgrades!$U$6,E163),1)*IF(Upgrades!$T$7="Heliopause",POWER(Upgrades!$U$7,F163),1)*IF(Upgrades!$T$8="Heliopause",POWER(Upgrades!$U$8,G163),1)*IF(Upgrades!$T$9="Heliopause",POWER(Upgrades!$U$9,H163),1)*IF(Upgrades!$T$10="Heliopause",POWER(Upgrades!$U$10,I163),1)*IF(Upgrades!$T$12="Heliopause",POWER(Upgrades!$U$12,K163),1))+(IF(K163=0,0,(Upgrades!$G$12+K163*Upgrades!$H$12)*POWER(Upgrades!$I$12,K163)))*(IF(Upgrades!$T$6="First Photons",POWER(Upgrades!$U$6,E163),1)*IF(Upgrades!$T$7="First Photons",POWER(Upgrades!$U$7,F163),1)*IF(Upgrades!$T$8="First Photons",POWER(Upgrades!$U$8,G163),1)*IF(Upgrades!$T$9="First Photons",POWER(Upgrades!$U$9,H163),1)*IF(Upgrades!$T$10="First Photons",POWER(Upgrades!$U$10,I163),1)*IF(Upgrades!$T$11="First Photons",POWER(Upgrades!$U$11,J163),1)))*POWER(Upgrades!$P$6,E163)*POWER(Upgrades!$P$7,F163)*POWER(Upgrades!$P$8,G163)*POWER(Upgrades!$P$9,H163)*POWER(Upgrades!$P$10,I163)*POWER(Upgrades!$P$11,J163)*POWER(Upgrades!$P$12,K163)</f>
        <v/>
      </c>
      <c r="O163" s="28">
        <f>((IF(E163=0,0,(Upgrades!$M$6+E163*Upgrades!$N$6)*POWER(Upgrades!$O$6,E163)))*(IF(Upgrades!$T$7="Solar Wind",POWER(Upgrades!$U$7,F163),1)*IF(Upgrades!$T$8="Solar Wind",POWER(Upgrades!$U$8,G163),1)*IF(Upgrades!$T$9="Solar Wind",POWER(Upgrades!$U$9,H163),1)*IF(Upgrades!$T$10="Solar Wind",POWER(Upgrades!$U$10,I163),1)*IF(Upgrades!$T$11="Solar Wind",POWER(Upgrades!$U$11,J163),1)*IF(Upgrades!$T$12="Solar Wind",POWER(Upgrades!$U$12,K163),1))+(IF(F163=0,0,(Upgrades!$M$7+F163*Upgrades!$N$7)*POWER(Upgrades!$O$7,F163)))*(IF(Upgrades!$T$6="Asteroid Belt",POWER(Upgrades!$U$6,E163),1)*IF(Upgrades!$T$8="Asteroid Belt",POWER(Upgrades!$U$8,G163),1)*IF(Upgrades!$T$9="Asteroid Belt",POWER(Upgrades!$U$9,H163),1)*IF(Upgrades!$T$10="Asteroid Belt",POWER(Upgrades!$U$10,I163),1)*IF(Upgrades!$T$11="Asteroid Belt",POWER(Upgrades!$U$11,J163),1)*IF(Upgrades!$T$12="Asteroid Belt",POWER(Upgrades!$U$12,K163),1))+(IF(G163=0,0,(Upgrades!$M$8+G163*Upgrades!$N$8)*POWER(Upgrades!$O$8,G163)))*(IF(Upgrades!$T$6="Stellar Coupling",POWER(Upgrades!$U$6,E163),1)*IF(Upgrades!$T$7="Stellar Coupling",POWER(Upgrades!$U$7,F163),1)*IF(Upgrades!$T$9="Stellar Coupling",POWER(Upgrades!$U$9,H163),1)*IF(Upgrades!$T$10="Stellar Coupling",POWER(Upgrades!$U$10,I163),1)*IF(Upgrades!$T$11="Stellar Coupling",POWER(Upgrades!$U$11,J163),1)*IF(Upgrades!$T$12="Stellar Coupling",POWER(Upgrades!$U$12,K163),1))+(IF(H163=0,0,(Upgrades!$M$9+H163*Upgrades!$N$9)*POWER(Upgrades!$O$9,H163)))*(IF(Upgrades!$T$6="Magnetosphere",POWER(Upgrades!$U$6,E163),1)*IF(Upgrades!$T$7="Magnetosphere",POWER(Upgrades!$U$7,F163),1)*IF(Upgrades!$T$8="Magnetosphere",POWER(Upgrades!$U$8,G163),1)*IF(Upgrades!$T$10="Magnetosphere",POWER(Upgrades!$U$10,I163),1)*IF(Upgrades!$T$11="Magnetosphere",POWER(Upgrades!$U$11,J163),1)*IF(Upgrades!$T$12="Magnetosphere",POWER(Upgrades!$U$12,K163),1))+(IF(I163=0,0,(Upgrades!$M$10+I163*Upgrades!$N$10)*POWER(Upgrades!$O$10,I163)))*(IF(Upgrades!$T$6="Orbital Resonance",POWER(Upgrades!$U$6,E163),1)*IF(Upgrades!$T$7="Orbital Resonance",POWER(Upgrades!$U$7,F163),1)*IF(Upgrades!$T$8="Orbital Resonance",POWER(Upgrades!$U$8,G163),1)*IF(Upgrades!$T$9="Orbital Resonance",POWER(Upgrades!$U$9,H163),1)*IF(Upgrades!$T$11="Orbital Resonance",POWER(Upgrades!$U$11,J163),1)*IF(Upgrades!$T$12="Orbital Resonance",POWER(Upgrades!$U$12,K163),1))+(IF(J163=0,0,(Upgrades!$M$11+J163*Upgrades!$N$11)*POWER(Upgrades!$O$11,J163)))*(IF(Upgrades!$T$6="Heliopause",POWER(Upgrades!$U$6,E163),1)*IF(Upgrades!$T$7="Heliopause",POWER(Upgrades!$U$7,F163),1)*IF(Upgrades!$T$8="Heliopause",POWER(Upgrades!$U$8,G163),1)*IF(Upgrades!$T$9="Heliopause",POWER(Upgrades!$U$9,H163),1)*IF(Upgrades!$T$10="Heliopause",POWER(Upgrades!$U$10,I163),1)*IF(Upgrades!$T$12="Heliopause",POWER(Upgrades!$U$12,K163),1))+(IF(K163=0,0,(Upgrades!$M$12+K163*Upgrades!$N$12)*POWER(Upgrades!$O$12,K163)))*(IF(Upgrades!$T$6="First Photons",POWER(Upgrades!$U$6,E163),1)*IF(Upgrades!$T$7="First Photons",POWER(Upgrades!$U$7,F163),1)*IF(Upgrades!$T$8="First Photons",POWER(Upgrades!$U$8,G163),1)*IF(Upgrades!$T$9="First Photons",POWER(Upgrades!$U$9,H163),1)*IF(Upgrades!$T$10="First Photons",POWER(Upgrades!$U$10,I163),1)*IF(Upgrades!$T$11="First Photons",POWER(Upgrades!$U$11,J163),1)))*POWER(Upgrades!$R$6,E163)*POWER(Upgrades!$R$7,F163)*POWER(Upgrades!$R$8,G163)*POWER(Upgrades!$R$9,H163)*POWER(Upgrades!$R$10,I163)*POWER(Upgrades!$R$11,J163)*POWER(Upgrades!$R$12,K163)</f>
        <v/>
      </c>
      <c r="P163" s="27">
        <f>IF(L163=1,0,M163*Parameters!$B$10/60*Parameters!$B$11*10)</f>
        <v/>
      </c>
      <c r="Q163" s="27">
        <f>IF(L163=1,0,O163*M163*10)</f>
        <v/>
      </c>
      <c r="R163" s="27">
        <f>IF(L163=1,0,N163*10)</f>
        <v/>
      </c>
      <c r="S163" s="27">
        <f>P163+Q163+R163</f>
        <v/>
      </c>
      <c r="T163" s="22">
        <f>C163+S163</f>
        <v/>
      </c>
      <c r="U163" s="33">
        <f>AX163</f>
        <v/>
      </c>
      <c r="V163" s="22">
        <f>IF(U163="",0,IF(U163="transition",0,IF(U163="SW",AG163,IF(U163="AB",AH163,IF(U163="SC",AI163,IF(U163="Mag",AJ163,IF(U163="OR",AK163,IF(U163="HP",AL163,IF(U163="FP",AM163,0)))))))))</f>
        <v/>
      </c>
      <c r="W163" s="27">
        <f>IF(U163="OR",Upgrades!$F$10,IF(U163="HP",Upgrades!$F$11,IF(U163="transition",-Parameters!$B$18,0)))</f>
        <v/>
      </c>
      <c r="X163" s="22">
        <f>T163-V163</f>
        <v/>
      </c>
      <c r="Y163" s="30">
        <f>M163*Parameters!$B$10/60*Parameters!$B$11+O163*M163+N163</f>
        <v/>
      </c>
      <c r="Z163" s="34">
        <f>IF(U163="transition","→ Tier 2 (Stellar Neighborhood)",IF(U163="FP","First Photons — light begins, system quickens",IF(U163="HP","Heliopause acquired",IF(U163="OR","Orbital Resonance — passive multiplier active",IF(AND(AO163=1,L163=0,AN163&lt;&gt;1),"Cohesion ready (waiting on completionist upgrades)","")))))</f>
        <v/>
      </c>
      <c r="AA163" s="27">
        <f>(IF(E163=0,0,(Upgrades!$G$6+E163*Upgrades!$H$6)*POWER(Upgrades!$I$6,E163)))*(IF(Upgrades!$T$7="Solar Wind",POWER(Upgrades!$U$7,F163),1)*IF(Upgrades!$T$8="Solar Wind",POWER(Upgrades!$U$8,G163),1)*IF(Upgrades!$T$9="Solar Wind",POWER(Upgrades!$U$9,H163),1)*IF(Upgrades!$T$10="Solar Wind",POWER(Upgrades!$U$10,I163),1)*IF(Upgrades!$T$11="Solar Wind",POWER(Upgrades!$U$11,J163),1)*IF(Upgrades!$T$12="Solar Wind",POWER(Upgrades!$U$12,K163),1))*POWER(Upgrades!$P$6,E163)*POWER(Upgrades!$P$7,F163)*POWER(Upgrades!$P$8,G163)*POWER(Upgrades!$P$9,H163)*POWER(Upgrades!$P$10,I163)*POWER(Upgrades!$P$11,J163)*POWER(Upgrades!$P$12,K163)*60</f>
        <v/>
      </c>
      <c r="AB163" s="27">
        <f>(IF(F163=0,0,(Upgrades!$G$7+F163*Upgrades!$H$7)*POWER(Upgrades!$I$7,F163)))*(IF(Upgrades!$T$6="Asteroid Belt",POWER(Upgrades!$U$6,E163),1)*IF(Upgrades!$T$8="Asteroid Belt",POWER(Upgrades!$U$8,G163),1)*IF(Upgrades!$T$9="Asteroid Belt",POWER(Upgrades!$U$9,H163),1)*IF(Upgrades!$T$10="Asteroid Belt",POWER(Upgrades!$U$10,I163),1)*IF(Upgrades!$T$11="Asteroid Belt",POWER(Upgrades!$U$11,J163),1)*IF(Upgrades!$T$12="Asteroid Belt",POWER(Upgrades!$U$12,K163),1))*POWER(Upgrades!$P$6,E163)*POWER(Upgrades!$P$7,F163)*POWER(Upgrades!$P$8,G163)*POWER(Upgrades!$P$9,H163)*POWER(Upgrades!$P$10,I163)*POWER(Upgrades!$P$11,J163)*POWER(Upgrades!$P$12,K163)*60</f>
        <v/>
      </c>
      <c r="AC163" s="27">
        <f>(IF(G163=0,0,(Upgrades!$J$8+G163*Upgrades!$K$8)*POWER(Upgrades!$L$8,G163)))*(IF(Upgrades!$T$6="Stellar Coupling",POWER(Upgrades!$U$6,E163),1)*IF(Upgrades!$T$7="Stellar Coupling",POWER(Upgrades!$U$7,F163),1)*IF(Upgrades!$T$9="Stellar Coupling",POWER(Upgrades!$U$9,H163),1)*IF(Upgrades!$T$10="Stellar Coupling",POWER(Upgrades!$U$10,I163),1)*IF(Upgrades!$T$11="Stellar Coupling",POWER(Upgrades!$U$11,J163),1)*IF(Upgrades!$T$12="Stellar Coupling",POWER(Upgrades!$U$12,K163),1))*POWER(Upgrades!$Q$6,E163)*POWER(Upgrades!$Q$7,F163)*POWER(Upgrades!$Q$8,G163)*POWER(Upgrades!$Q$9,H163)*POWER(Upgrades!$Q$10,I163)*POWER(Upgrades!$Q$11,J163)*POWER(Upgrades!$Q$12,K163)*Parameters!$B$10*Parameters!$B$11</f>
        <v/>
      </c>
      <c r="AD163" s="27">
        <f>(IF(H163=0,0,(Upgrades!$G$9+H163*Upgrades!$H$9)*POWER(Upgrades!$I$9,H163)))*(IF(Upgrades!$T$6="Magnetosphere",POWER(Upgrades!$U$6,E163),1)*IF(Upgrades!$T$7="Magnetosphere",POWER(Upgrades!$U$7,F163),1)*IF(Upgrades!$T$8="Magnetosphere",POWER(Upgrades!$U$8,G163),1)*IF(Upgrades!$T$10="Magnetosphere",POWER(Upgrades!$U$10,I163),1)*IF(Upgrades!$T$11="Magnetosphere",POWER(Upgrades!$U$11,J163),1)*IF(Upgrades!$T$12="Magnetosphere",POWER(Upgrades!$U$12,K163),1))*POWER(Upgrades!$P$6,E163)*POWER(Upgrades!$P$7,F163)*POWER(Upgrades!$P$8,G163)*POWER(Upgrades!$P$9,H163)*POWER(Upgrades!$P$10,I163)*POWER(Upgrades!$P$11,J163)*POWER(Upgrades!$P$12,K163)*60</f>
        <v/>
      </c>
      <c r="AE163" s="27">
        <f>(IF(K163=0,0,(Upgrades!$G$12+K163*Upgrades!$H$12)*POWER(Upgrades!$I$12,K163)))*(IF(Upgrades!$T$6="First Photons",POWER(Upgrades!$U$6,E163),1)*IF(Upgrades!$T$7="First Photons",POWER(Upgrades!$U$7,F163),1)*IF(Upgrades!$T$8="First Photons",POWER(Upgrades!$U$8,G163),1)*IF(Upgrades!$T$9="First Photons",POWER(Upgrades!$U$9,H163),1)*IF(Upgrades!$T$10="First Photons",POWER(Upgrades!$U$10,I163),1)*IF(Upgrades!$T$11="First Photons",POWER(Upgrades!$U$11,J163),1))*POWER(Upgrades!$P$6,E163)*POWER(Upgrades!$P$7,F163)*POWER(Upgrades!$P$8,G163)*POWER(Upgrades!$P$9,H163)*POWER(Upgrades!$P$10,I163)*POWER(Upgrades!$P$11,J163)*POWER(Upgrades!$P$12,K163)*60</f>
        <v/>
      </c>
      <c r="AF163" s="27">
        <f>Parameters!$B$9*POWER(Upgrades!$Q$6,E163)*POWER(Upgrades!$Q$7,F163)*POWER(Upgrades!$Q$8,G163)*POWER(Upgrades!$Q$9,H163)*POWER(Upgrades!$Q$10,I163)*POWER(Upgrades!$Q$11,J163)*POWER(Upgrades!$Q$12,K163)*(Parameters!$B$10*Parameters!$B$11+O163*60)</f>
        <v/>
      </c>
      <c r="AG163" s="22">
        <f>IF(E163&gt;=Upgrades!$E$6,"",Upgrades!$C$6*POWER(Upgrades!$D$6,E163))</f>
        <v/>
      </c>
      <c r="AH163" s="22">
        <f>IF(F163&gt;=Upgrades!$E$7,"",Upgrades!$C$7*POWER(Upgrades!$D$7,F163))</f>
        <v/>
      </c>
      <c r="AI163" s="22">
        <f>IF(G163&gt;=Upgrades!$E$8,"",Upgrades!$C$8*POWER(Upgrades!$D$8,G163))</f>
        <v/>
      </c>
      <c r="AJ163" s="22">
        <f>IF(H163&gt;=Upgrades!$E$9,"",Upgrades!$C$9*POWER(Upgrades!$D$9,H163))</f>
        <v/>
      </c>
      <c r="AK163" s="22">
        <f>IF(I163&gt;=Upgrades!$E$10,"",Upgrades!$C$10*POWER(Upgrades!$D$10,I163))</f>
        <v/>
      </c>
      <c r="AL163" s="22">
        <f>IF(J163&gt;=Upgrades!$E$11,"",Upgrades!$C$11*POWER(Upgrades!$D$11,J163))</f>
        <v/>
      </c>
      <c r="AM163" s="22">
        <f>IF(K163&gt;=Upgrades!$E$12,"",Upgrades!$C$12*POWER(Upgrades!$D$12,K163))</f>
        <v/>
      </c>
      <c r="AN163" s="26">
        <f>IF(AND(D163&gt;=Parameters!$B$18,(H163&gt;=Upgrades!$E$9)*(K163&gt;=Upgrades!$E$12)=1,L163=0),1,"")</f>
        <v/>
      </c>
      <c r="AO163" s="26">
        <f>IF(AND(D163&gt;=Parameters!$B$18,L163=0),1,"")</f>
        <v/>
      </c>
      <c r="AP163" s="22">
        <f>MIN(IF(ISNUMBER(AK163),AK163,9E15),IF(ISNUMBER(AL163),AL163,9E15),IF(ISNUMBER(AM163),AM163,9E15))</f>
        <v/>
      </c>
      <c r="AQ163" s="22">
        <f>MIN(IF(ISNUMBER(AG163),AG163,9E15),IF(ISNUMBER(AH163),AH163,9E15),IF(ISNUMBER(AI163),AI163,9E15),IF(ISNUMBER(AJ163),AJ163,9E15))</f>
        <v/>
      </c>
      <c r="AR163" s="29">
        <f>IF(AW163&gt;Parameters!$B$21*(MAX(IF(AND(NOT(AND(AO163=1,AN163&lt;&gt;1)),ISNUMBER(AG163),AG163&lt;=T163),AS163,0),IF(AND(NOT(AND(AO163=1,AN163&lt;&gt;1)),ISNUMBER(AH163),AH163&lt;=T163),AT163,0),IF(AND(NOT(AND(AO163=1,AN163&lt;&gt;1)),ISNUMBER(AI163),AI163&lt;=T163),AU163,0),IF(AND(ISNUMBER(AJ163),AJ163&lt;=T163),AV163,0))),TRUE,FALSE)</f>
        <v/>
      </c>
      <c r="AS163" s="32">
        <f>IFERROR(Upgrades!$H$6*(POWER(Upgrades!$P$6,E163)*POWER(Upgrades!$P$7,F163)*POWER(Upgrades!$P$8,G163)*POWER(Upgrades!$P$9,H163)*POWER(Upgrades!$P$10,I163)*POWER(Upgrades!$P$11,J163)*POWER(Upgrades!$P$12,K163))*(IF(Upgrades!$T$7="Solar Wind",POWER(Upgrades!$U$7,F163),1)*IF(Upgrades!$T$8="Solar Wind",POWER(Upgrades!$U$8,G163),1)*IF(Upgrades!$T$9="Solar Wind",POWER(Upgrades!$U$9,H163),1)*IF(Upgrades!$T$10="Solar Wind",POWER(Upgrades!$U$10,I163),1)*IF(Upgrades!$T$11="Solar Wind",POWER(Upgrades!$U$11,J163),1)*IF(Upgrades!$T$12="Solar Wind",POWER(Upgrades!$U$12,K163),1))/AG163,0)</f>
        <v/>
      </c>
      <c r="AT163" s="32">
        <f>IFERROR(Upgrades!$H$7*(POWER(Upgrades!$P$6,E163)*POWER(Upgrades!$P$7,F163)*POWER(Upgrades!$P$8,G163)*POWER(Upgrades!$P$9,H163)*POWER(Upgrades!$P$10,I163)*POWER(Upgrades!$P$11,J163)*POWER(Upgrades!$P$12,K163))*(IF(Upgrades!$T$6="Asteroid Belt",POWER(Upgrades!$U$6,E163),1)*IF(Upgrades!$T$8="Asteroid Belt",POWER(Upgrades!$U$8,G163),1)*IF(Upgrades!$T$9="Asteroid Belt",POWER(Upgrades!$U$9,H163),1)*IF(Upgrades!$T$10="Asteroid Belt",POWER(Upgrades!$U$10,I163),1)*IF(Upgrades!$T$11="Asteroid Belt",POWER(Upgrades!$U$11,J163),1)*IF(Upgrades!$T$12="Asteroid Belt",POWER(Upgrades!$U$12,K163),1))/AH163,0)</f>
        <v/>
      </c>
      <c r="AU163" s="32">
        <f>IFERROR(Upgrades!$K$8*(POWER(Upgrades!$Q$6,E163)*POWER(Upgrades!$Q$7,F163)*POWER(Upgrades!$Q$8,G163)*POWER(Upgrades!$Q$9,H163)*POWER(Upgrades!$Q$10,I163)*POWER(Upgrades!$Q$11,J163)*POWER(Upgrades!$Q$12,K163))*(IF(Upgrades!$T$6="Stellar Coupling",POWER(Upgrades!$U$6,E163),1)*IF(Upgrades!$T$7="Stellar Coupling",POWER(Upgrades!$U$7,F163),1)*IF(Upgrades!$T$9="Stellar Coupling",POWER(Upgrades!$U$9,H163),1)*IF(Upgrades!$T$10="Stellar Coupling",POWER(Upgrades!$U$10,I163),1)*IF(Upgrades!$T$11="Stellar Coupling",POWER(Upgrades!$U$11,J163),1)*IF(Upgrades!$T$12="Stellar Coupling",POWER(Upgrades!$U$12,K163),1))*Parameters!$B$10*Parameters!$B$11/60/AI163,0)</f>
        <v/>
      </c>
      <c r="AV163" s="32">
        <f>IFERROR(Upgrades!$H$9*(POWER(Upgrades!$P$6,E163)*POWER(Upgrades!$P$7,F163)*POWER(Upgrades!$P$8,G163)*POWER(Upgrades!$P$9,H163)*POWER(Upgrades!$P$10,I163)*POWER(Upgrades!$P$11,J163)*POWER(Upgrades!$P$12,K163))*(IF(Upgrades!$T$6="Magnetosphere",POWER(Upgrades!$U$6,E163),1)*IF(Upgrades!$T$7="Magnetosphere",POWER(Upgrades!$U$7,F163),1)*IF(Upgrades!$T$8="Magnetosphere",POWER(Upgrades!$U$8,G163),1)*IF(Upgrades!$T$10="Magnetosphere",POWER(Upgrades!$U$10,I163),1)*IF(Upgrades!$T$11="Magnetosphere",POWER(Upgrades!$U$11,J163),1)*IF(Upgrades!$T$12="Magnetosphere",POWER(Upgrades!$U$12,K163),1))/AJ163,0)</f>
        <v/>
      </c>
      <c r="AW163" s="32">
        <f>MAX(IF(I163&gt;0,0,IFERROR(0.25*N163/Upgrades!$C$10,0)),IF(J163&gt;0,0,IFERROR(0.5*((IF(G163=0,0,(Upgrades!$J$8+G163*Upgrades!$K$8)*POWER(Upgrades!$L$8,G163)))*(IF(Upgrades!$T$6="Stellar Coupling",POWER(Upgrades!$U$6,E163),1)*IF(Upgrades!$T$7="Stellar Coupling",POWER(Upgrades!$U$7,F163),1)*IF(Upgrades!$T$9="Stellar Coupling",POWER(Upgrades!$U$9,H163),1)*IF(Upgrades!$T$10="Stellar Coupling",POWER(Upgrades!$U$10,I163),1)*IF(Upgrades!$T$11="Stellar Coupling",POWER(Upgrades!$U$11,J163),1)*IF(Upgrades!$T$12="Stellar Coupling",POWER(Upgrades!$U$12,K163),1))*(POWER(Upgrades!$Q$6,E163)*POWER(Upgrades!$Q$7,F163)*POWER(Upgrades!$Q$8,G163)*POWER(Upgrades!$Q$9,H163)*POWER(Upgrades!$Q$10,I163)*POWER(Upgrades!$Q$11,J163)*POWER(Upgrades!$Q$12,K163))*Parameters!$B$10*Parameters!$B$11/60)/Upgrades!$C$11,0)),IF(K163&gt;0,0,IFERROR((1.0*(POWER(Upgrades!$P$6,E163)*POWER(Upgrades!$P$7,F163)*POWER(Upgrades!$P$8,G163)*POWER(Upgrades!$P$9,H163)*POWER(Upgrades!$P$10,I163)*POWER(Upgrades!$P$11,J163)*POWER(Upgrades!$P$12,K163))+0.20*M163*Parameters!$B$10*Parameters!$B$11/60)/Upgrades!$C$12,0)),IF(AND(ISNUMBER(AG163),AG163&gt;T163),AS163,0),IF(AND(ISNUMBER(AH163),AH163&gt;T163),AT163,0),IF(AND(ISNUMBER(AI163),AI163&gt;T163),AU163,0),IF(AND(ISNUMBER(AJ163),AJ163&gt;T163),AV163,0))</f>
        <v/>
      </c>
      <c r="AX163" s="29">
        <f>IF(AN163=1,"transition",IF(MIN(IF(AND(I163=0,ISNUMBER(AK163),AK163&lt;=T163),AK163,9E15),IF(AND(J163=0,ISNUMBER(AL163),AL163&lt;=T163),AL163,9E15),IF(AND(K163=0,ISNUMBER(AM163),AM163&lt;=T163),AM163,9E15))&lt;9E15,IF(AND(AND(I163=0,ISNUMBER(AK163),AK163&lt;=T163),AK163=MIN(IF(AND(I163=0,ISNUMBER(AK163),AK163&lt;=T163),AK163,9E15),IF(AND(J163=0,ISNUMBER(AL163),AL163&lt;=T163),AL163,9E15),IF(AND(K163=0,ISNUMBER(AM163),AM163&lt;=T163),AM163,9E15))),"OR",IF(AND(AND(J163=0,ISNUMBER(AL163),AL163&lt;=T163),AL163=MIN(IF(AND(I163=0,ISNUMBER(AK163),AK163&lt;=T163),AK163,9E15),IF(AND(J163=0,ISNUMBER(AL163),AL163&lt;=T163),AL163,9E15),IF(AND(K163=0,ISNUMBER(AM163),AM163&lt;=T163),AM163,9E15))),"HP","FP")),IF(AR163=TRUE,"",IF(MAX(IF(AND(NOT(AND(AO163=1,AN163&lt;&gt;1)),ISNUMBER(AG163),AG163&lt;=T163),AS163,0),IF(AND(NOT(AND(AO163=1,AN163&lt;&gt;1)),ISNUMBER(AH163),AH163&lt;=T163),AT163,0),IF(AND(NOT(AND(AO163=1,AN163&lt;&gt;1)),ISNUMBER(AI163),AI163&lt;=T163),AU163,0),IF(AND(ISNUMBER(AJ163),AJ163&lt;=T163),AV163,0))&lt;=0,"",IF(AND(IF(AND(NOT(AND(AO163=1,AN163&lt;&gt;1)),ISNUMBER(AG163),AG163&lt;=T163),AS163,0)&gt;0,IF(AND(NOT(AND(AO163=1,AN163&lt;&gt;1)),ISNUMBER(AG163),AG163&lt;=T163),AS163,0)=MAX(IF(AND(NOT(AND(AO163=1,AN163&lt;&gt;1)),ISNUMBER(AG163),AG163&lt;=T163),AS163,0),IF(AND(NOT(AND(AO163=1,AN163&lt;&gt;1)),ISNUMBER(AH163),AH163&lt;=T163),AT163,0),IF(AND(NOT(AND(AO163=1,AN163&lt;&gt;1)),ISNUMBER(AI163),AI163&lt;=T163),AU163,0),IF(AND(ISNUMBER(AJ163),AJ163&lt;=T163),AV163,0))),"SW",IF(AND(IF(AND(NOT(AND(AO163=1,AN163&lt;&gt;1)),ISNUMBER(AH163),AH163&lt;=T163),AT163,0)&gt;0,IF(AND(NOT(AND(AO163=1,AN163&lt;&gt;1)),ISNUMBER(AH163),AH163&lt;=T163),AT163,0)=MAX(IF(AND(NOT(AND(AO163=1,AN163&lt;&gt;1)),ISNUMBER(AG163),AG163&lt;=T163),AS163,0),IF(AND(NOT(AND(AO163=1,AN163&lt;&gt;1)),ISNUMBER(AH163),AH163&lt;=T163),AT163,0),IF(AND(NOT(AND(AO163=1,AN163&lt;&gt;1)),ISNUMBER(AI163),AI163&lt;=T163),AU163,0),IF(AND(ISNUMBER(AJ163),AJ163&lt;=T163),AV163,0))),"AB",IF(AND(IF(AND(NOT(AND(AO163=1,AN163&lt;&gt;1)),ISNUMBER(AI163),AI163&lt;=T163),AU163,0)&gt;0,IF(AND(NOT(AND(AO163=1,AN163&lt;&gt;1)),ISNUMBER(AI163),AI163&lt;=T163),AU163,0)=MAX(IF(AND(NOT(AND(AO163=1,AN163&lt;&gt;1)),ISNUMBER(AG163),AG163&lt;=T163),AS163,0),IF(AND(NOT(AND(AO163=1,AN163&lt;&gt;1)),ISNUMBER(AH163),AH163&lt;=T163),AT163,0),IF(AND(NOT(AND(AO163=1,AN163&lt;&gt;1)),ISNUMBER(AI163),AI163&lt;=T163),AU163,0),IF(AND(ISNUMBER(AJ163),AJ163&lt;=T163),AV163,0))),"SC","Mag")))))))</f>
        <v/>
      </c>
    </row>
    <row r="164">
      <c r="A164" s="26" t="n">
        <v>159</v>
      </c>
      <c r="B164" s="27">
        <f>A164*10/60</f>
        <v/>
      </c>
      <c r="C164" s="22">
        <f>X163</f>
        <v/>
      </c>
      <c r="D164" s="27">
        <f>D163+W163</f>
        <v/>
      </c>
      <c r="E164" s="26">
        <f>E163+IF(U163="SW",1,0)</f>
        <v/>
      </c>
      <c r="F164" s="26">
        <f>F163+IF(U163="AB",1,0)</f>
        <v/>
      </c>
      <c r="G164" s="26">
        <f>G163+IF(U163="SC",1,0)</f>
        <v/>
      </c>
      <c r="H164" s="26">
        <f>H163+IF(U163="Mag",1,0)</f>
        <v/>
      </c>
      <c r="I164" s="26">
        <f>MAX(I163,IF(U163="OR",1,0))</f>
        <v/>
      </c>
      <c r="J164" s="26">
        <f>MAX(J163,IF(U163="HP",1,0))</f>
        <v/>
      </c>
      <c r="K164" s="26">
        <f>MAX(K163,IF(U163="FP",1,0))</f>
        <v/>
      </c>
      <c r="L164" s="26">
        <f>MAX(L163,IF(U163="transition",1,0))</f>
        <v/>
      </c>
      <c r="M164" s="28">
        <f>(Parameters!$B$9+(IF(E164=0,0,(Upgrades!$J$6+E164*Upgrades!$K$6)*POWER(Upgrades!$L$6,E164)))*(IF(Upgrades!$T$7="Solar Wind",POWER(Upgrades!$U$7,F164),1)*IF(Upgrades!$T$8="Solar Wind",POWER(Upgrades!$U$8,G164),1)*IF(Upgrades!$T$9="Solar Wind",POWER(Upgrades!$U$9,H164),1)*IF(Upgrades!$T$10="Solar Wind",POWER(Upgrades!$U$10,I164),1)*IF(Upgrades!$T$11="Solar Wind",POWER(Upgrades!$U$11,J164),1)*IF(Upgrades!$T$12="Solar Wind",POWER(Upgrades!$U$12,K164),1))+(IF(F164=0,0,(Upgrades!$J$7+F164*Upgrades!$K$7)*POWER(Upgrades!$L$7,F164)))*(IF(Upgrades!$T$6="Asteroid Belt",POWER(Upgrades!$U$6,E164),1)*IF(Upgrades!$T$8="Asteroid Belt",POWER(Upgrades!$U$8,G164),1)*IF(Upgrades!$T$9="Asteroid Belt",POWER(Upgrades!$U$9,H164),1)*IF(Upgrades!$T$10="Asteroid Belt",POWER(Upgrades!$U$10,I164),1)*IF(Upgrades!$T$11="Asteroid Belt",POWER(Upgrades!$U$11,J164),1)*IF(Upgrades!$T$12="Asteroid Belt",POWER(Upgrades!$U$12,K164),1))+(IF(G164=0,0,(Upgrades!$J$8+G164*Upgrades!$K$8)*POWER(Upgrades!$L$8,G164)))*(IF(Upgrades!$T$6="Stellar Coupling",POWER(Upgrades!$U$6,E164),1)*IF(Upgrades!$T$7="Stellar Coupling",POWER(Upgrades!$U$7,F164),1)*IF(Upgrades!$T$9="Stellar Coupling",POWER(Upgrades!$U$9,H164),1)*IF(Upgrades!$T$10="Stellar Coupling",POWER(Upgrades!$U$10,I164),1)*IF(Upgrades!$T$11="Stellar Coupling",POWER(Upgrades!$U$11,J164),1)*IF(Upgrades!$T$12="Stellar Coupling",POWER(Upgrades!$U$12,K164),1))+(IF(H164=0,0,(Upgrades!$J$9+H164*Upgrades!$K$9)*POWER(Upgrades!$L$9,H164)))*(IF(Upgrades!$T$6="Magnetosphere",POWER(Upgrades!$U$6,E164),1)*IF(Upgrades!$T$7="Magnetosphere",POWER(Upgrades!$U$7,F164),1)*IF(Upgrades!$T$8="Magnetosphere",POWER(Upgrades!$U$8,G164),1)*IF(Upgrades!$T$10="Magnetosphere",POWER(Upgrades!$U$10,I164),1)*IF(Upgrades!$T$11="Magnetosphere",POWER(Upgrades!$U$11,J164),1)*IF(Upgrades!$T$12="Magnetosphere",POWER(Upgrades!$U$12,K164),1))+(IF(I164=0,0,(Upgrades!$J$10+I164*Upgrades!$K$10)*POWER(Upgrades!$L$10,I164)))*(IF(Upgrades!$T$6="Orbital Resonance",POWER(Upgrades!$U$6,E164),1)*IF(Upgrades!$T$7="Orbital Resonance",POWER(Upgrades!$U$7,F164),1)*IF(Upgrades!$T$8="Orbital Resonance",POWER(Upgrades!$U$8,G164),1)*IF(Upgrades!$T$9="Orbital Resonance",POWER(Upgrades!$U$9,H164),1)*IF(Upgrades!$T$11="Orbital Resonance",POWER(Upgrades!$U$11,J164),1)*IF(Upgrades!$T$12="Orbital Resonance",POWER(Upgrades!$U$12,K164),1))+(IF(J164=0,0,(Upgrades!$J$11+J164*Upgrades!$K$11)*POWER(Upgrades!$L$11,J164)))*(IF(Upgrades!$T$6="Heliopause",POWER(Upgrades!$U$6,E164),1)*IF(Upgrades!$T$7="Heliopause",POWER(Upgrades!$U$7,F164),1)*IF(Upgrades!$T$8="Heliopause",POWER(Upgrades!$U$8,G164),1)*IF(Upgrades!$T$9="Heliopause",POWER(Upgrades!$U$9,H164),1)*IF(Upgrades!$T$10="Heliopause",POWER(Upgrades!$U$10,I164),1)*IF(Upgrades!$T$12="Heliopause",POWER(Upgrades!$U$12,K164),1))+(IF(K164=0,0,(Upgrades!$J$12+K164*Upgrades!$K$12)*POWER(Upgrades!$L$12,K164)))*(IF(Upgrades!$T$6="First Photons",POWER(Upgrades!$U$6,E164),1)*IF(Upgrades!$T$7="First Photons",POWER(Upgrades!$U$7,F164),1)*IF(Upgrades!$T$8="First Photons",POWER(Upgrades!$U$8,G164),1)*IF(Upgrades!$T$9="First Photons",POWER(Upgrades!$U$9,H164),1)*IF(Upgrades!$T$10="First Photons",POWER(Upgrades!$U$10,I164),1)*IF(Upgrades!$T$11="First Photons",POWER(Upgrades!$U$11,J164),1)))*POWER(Upgrades!$Q$6,E164)*POWER(Upgrades!$Q$7,F164)*POWER(Upgrades!$Q$8,G164)*POWER(Upgrades!$Q$9,H164)*POWER(Upgrades!$Q$10,I164)*POWER(Upgrades!$Q$11,J164)*POWER(Upgrades!$Q$12,K164)</f>
        <v/>
      </c>
      <c r="N164" s="28">
        <f>((IF(E164=0,0,(Upgrades!$G$6+E164*Upgrades!$H$6)*POWER(Upgrades!$I$6,E164)))*(IF(Upgrades!$T$7="Solar Wind",POWER(Upgrades!$U$7,F164),1)*IF(Upgrades!$T$8="Solar Wind",POWER(Upgrades!$U$8,G164),1)*IF(Upgrades!$T$9="Solar Wind",POWER(Upgrades!$U$9,H164),1)*IF(Upgrades!$T$10="Solar Wind",POWER(Upgrades!$U$10,I164),1)*IF(Upgrades!$T$11="Solar Wind",POWER(Upgrades!$U$11,J164),1)*IF(Upgrades!$T$12="Solar Wind",POWER(Upgrades!$U$12,K164),1))+(IF(F164=0,0,(Upgrades!$G$7+F164*Upgrades!$H$7)*POWER(Upgrades!$I$7,F164)))*(IF(Upgrades!$T$6="Asteroid Belt",POWER(Upgrades!$U$6,E164),1)*IF(Upgrades!$T$8="Asteroid Belt",POWER(Upgrades!$U$8,G164),1)*IF(Upgrades!$T$9="Asteroid Belt",POWER(Upgrades!$U$9,H164),1)*IF(Upgrades!$T$10="Asteroid Belt",POWER(Upgrades!$U$10,I164),1)*IF(Upgrades!$T$11="Asteroid Belt",POWER(Upgrades!$U$11,J164),1)*IF(Upgrades!$T$12="Asteroid Belt",POWER(Upgrades!$U$12,K164),1))+(IF(G164=0,0,(Upgrades!$G$8+G164*Upgrades!$H$8)*POWER(Upgrades!$I$8,G164)))*(IF(Upgrades!$T$6="Stellar Coupling",POWER(Upgrades!$U$6,E164),1)*IF(Upgrades!$T$7="Stellar Coupling",POWER(Upgrades!$U$7,F164),1)*IF(Upgrades!$T$9="Stellar Coupling",POWER(Upgrades!$U$9,H164),1)*IF(Upgrades!$T$10="Stellar Coupling",POWER(Upgrades!$U$10,I164),1)*IF(Upgrades!$T$11="Stellar Coupling",POWER(Upgrades!$U$11,J164),1)*IF(Upgrades!$T$12="Stellar Coupling",POWER(Upgrades!$U$12,K164),1))+(IF(H164=0,0,(Upgrades!$G$9+H164*Upgrades!$H$9)*POWER(Upgrades!$I$9,H164)))*(IF(Upgrades!$T$6="Magnetosphere",POWER(Upgrades!$U$6,E164),1)*IF(Upgrades!$T$7="Magnetosphere",POWER(Upgrades!$U$7,F164),1)*IF(Upgrades!$T$8="Magnetosphere",POWER(Upgrades!$U$8,G164),1)*IF(Upgrades!$T$10="Magnetosphere",POWER(Upgrades!$U$10,I164),1)*IF(Upgrades!$T$11="Magnetosphere",POWER(Upgrades!$U$11,J164),1)*IF(Upgrades!$T$12="Magnetosphere",POWER(Upgrades!$U$12,K164),1))+(IF(I164=0,0,(Upgrades!$G$10+I164*Upgrades!$H$10)*POWER(Upgrades!$I$10,I164)))*(IF(Upgrades!$T$6="Orbital Resonance",POWER(Upgrades!$U$6,E164),1)*IF(Upgrades!$T$7="Orbital Resonance",POWER(Upgrades!$U$7,F164),1)*IF(Upgrades!$T$8="Orbital Resonance",POWER(Upgrades!$U$8,G164),1)*IF(Upgrades!$T$9="Orbital Resonance",POWER(Upgrades!$U$9,H164),1)*IF(Upgrades!$T$11="Orbital Resonance",POWER(Upgrades!$U$11,J164),1)*IF(Upgrades!$T$12="Orbital Resonance",POWER(Upgrades!$U$12,K164),1))+(IF(J164=0,0,(Upgrades!$G$11+J164*Upgrades!$H$11)*POWER(Upgrades!$I$11,J164)))*(IF(Upgrades!$T$6="Heliopause",POWER(Upgrades!$U$6,E164),1)*IF(Upgrades!$T$7="Heliopause",POWER(Upgrades!$U$7,F164),1)*IF(Upgrades!$T$8="Heliopause",POWER(Upgrades!$U$8,G164),1)*IF(Upgrades!$T$9="Heliopause",POWER(Upgrades!$U$9,H164),1)*IF(Upgrades!$T$10="Heliopause",POWER(Upgrades!$U$10,I164),1)*IF(Upgrades!$T$12="Heliopause",POWER(Upgrades!$U$12,K164),1))+(IF(K164=0,0,(Upgrades!$G$12+K164*Upgrades!$H$12)*POWER(Upgrades!$I$12,K164)))*(IF(Upgrades!$T$6="First Photons",POWER(Upgrades!$U$6,E164),1)*IF(Upgrades!$T$7="First Photons",POWER(Upgrades!$U$7,F164),1)*IF(Upgrades!$T$8="First Photons",POWER(Upgrades!$U$8,G164),1)*IF(Upgrades!$T$9="First Photons",POWER(Upgrades!$U$9,H164),1)*IF(Upgrades!$T$10="First Photons",POWER(Upgrades!$U$10,I164),1)*IF(Upgrades!$T$11="First Photons",POWER(Upgrades!$U$11,J164),1)))*POWER(Upgrades!$P$6,E164)*POWER(Upgrades!$P$7,F164)*POWER(Upgrades!$P$8,G164)*POWER(Upgrades!$P$9,H164)*POWER(Upgrades!$P$10,I164)*POWER(Upgrades!$P$11,J164)*POWER(Upgrades!$P$12,K164)</f>
        <v/>
      </c>
      <c r="O164" s="28">
        <f>((IF(E164=0,0,(Upgrades!$M$6+E164*Upgrades!$N$6)*POWER(Upgrades!$O$6,E164)))*(IF(Upgrades!$T$7="Solar Wind",POWER(Upgrades!$U$7,F164),1)*IF(Upgrades!$T$8="Solar Wind",POWER(Upgrades!$U$8,G164),1)*IF(Upgrades!$T$9="Solar Wind",POWER(Upgrades!$U$9,H164),1)*IF(Upgrades!$T$10="Solar Wind",POWER(Upgrades!$U$10,I164),1)*IF(Upgrades!$T$11="Solar Wind",POWER(Upgrades!$U$11,J164),1)*IF(Upgrades!$T$12="Solar Wind",POWER(Upgrades!$U$12,K164),1))+(IF(F164=0,0,(Upgrades!$M$7+F164*Upgrades!$N$7)*POWER(Upgrades!$O$7,F164)))*(IF(Upgrades!$T$6="Asteroid Belt",POWER(Upgrades!$U$6,E164),1)*IF(Upgrades!$T$8="Asteroid Belt",POWER(Upgrades!$U$8,G164),1)*IF(Upgrades!$T$9="Asteroid Belt",POWER(Upgrades!$U$9,H164),1)*IF(Upgrades!$T$10="Asteroid Belt",POWER(Upgrades!$U$10,I164),1)*IF(Upgrades!$T$11="Asteroid Belt",POWER(Upgrades!$U$11,J164),1)*IF(Upgrades!$T$12="Asteroid Belt",POWER(Upgrades!$U$12,K164),1))+(IF(G164=0,0,(Upgrades!$M$8+G164*Upgrades!$N$8)*POWER(Upgrades!$O$8,G164)))*(IF(Upgrades!$T$6="Stellar Coupling",POWER(Upgrades!$U$6,E164),1)*IF(Upgrades!$T$7="Stellar Coupling",POWER(Upgrades!$U$7,F164),1)*IF(Upgrades!$T$9="Stellar Coupling",POWER(Upgrades!$U$9,H164),1)*IF(Upgrades!$T$10="Stellar Coupling",POWER(Upgrades!$U$10,I164),1)*IF(Upgrades!$T$11="Stellar Coupling",POWER(Upgrades!$U$11,J164),1)*IF(Upgrades!$T$12="Stellar Coupling",POWER(Upgrades!$U$12,K164),1))+(IF(H164=0,0,(Upgrades!$M$9+H164*Upgrades!$N$9)*POWER(Upgrades!$O$9,H164)))*(IF(Upgrades!$T$6="Magnetosphere",POWER(Upgrades!$U$6,E164),1)*IF(Upgrades!$T$7="Magnetosphere",POWER(Upgrades!$U$7,F164),1)*IF(Upgrades!$T$8="Magnetosphere",POWER(Upgrades!$U$8,G164),1)*IF(Upgrades!$T$10="Magnetosphere",POWER(Upgrades!$U$10,I164),1)*IF(Upgrades!$T$11="Magnetosphere",POWER(Upgrades!$U$11,J164),1)*IF(Upgrades!$T$12="Magnetosphere",POWER(Upgrades!$U$12,K164),1))+(IF(I164=0,0,(Upgrades!$M$10+I164*Upgrades!$N$10)*POWER(Upgrades!$O$10,I164)))*(IF(Upgrades!$T$6="Orbital Resonance",POWER(Upgrades!$U$6,E164),1)*IF(Upgrades!$T$7="Orbital Resonance",POWER(Upgrades!$U$7,F164),1)*IF(Upgrades!$T$8="Orbital Resonance",POWER(Upgrades!$U$8,G164),1)*IF(Upgrades!$T$9="Orbital Resonance",POWER(Upgrades!$U$9,H164),1)*IF(Upgrades!$T$11="Orbital Resonance",POWER(Upgrades!$U$11,J164),1)*IF(Upgrades!$T$12="Orbital Resonance",POWER(Upgrades!$U$12,K164),1))+(IF(J164=0,0,(Upgrades!$M$11+J164*Upgrades!$N$11)*POWER(Upgrades!$O$11,J164)))*(IF(Upgrades!$T$6="Heliopause",POWER(Upgrades!$U$6,E164),1)*IF(Upgrades!$T$7="Heliopause",POWER(Upgrades!$U$7,F164),1)*IF(Upgrades!$T$8="Heliopause",POWER(Upgrades!$U$8,G164),1)*IF(Upgrades!$T$9="Heliopause",POWER(Upgrades!$U$9,H164),1)*IF(Upgrades!$T$10="Heliopause",POWER(Upgrades!$U$10,I164),1)*IF(Upgrades!$T$12="Heliopause",POWER(Upgrades!$U$12,K164),1))+(IF(K164=0,0,(Upgrades!$M$12+K164*Upgrades!$N$12)*POWER(Upgrades!$O$12,K164)))*(IF(Upgrades!$T$6="First Photons",POWER(Upgrades!$U$6,E164),1)*IF(Upgrades!$T$7="First Photons",POWER(Upgrades!$U$7,F164),1)*IF(Upgrades!$T$8="First Photons",POWER(Upgrades!$U$8,G164),1)*IF(Upgrades!$T$9="First Photons",POWER(Upgrades!$U$9,H164),1)*IF(Upgrades!$T$10="First Photons",POWER(Upgrades!$U$10,I164),1)*IF(Upgrades!$T$11="First Photons",POWER(Upgrades!$U$11,J164),1)))*POWER(Upgrades!$R$6,E164)*POWER(Upgrades!$R$7,F164)*POWER(Upgrades!$R$8,G164)*POWER(Upgrades!$R$9,H164)*POWER(Upgrades!$R$10,I164)*POWER(Upgrades!$R$11,J164)*POWER(Upgrades!$R$12,K164)</f>
        <v/>
      </c>
      <c r="P164" s="27">
        <f>IF(L164=1,0,M164*Parameters!$B$10/60*Parameters!$B$11*10)</f>
        <v/>
      </c>
      <c r="Q164" s="27">
        <f>IF(L164=1,0,O164*M164*10)</f>
        <v/>
      </c>
      <c r="R164" s="27">
        <f>IF(L164=1,0,N164*10)</f>
        <v/>
      </c>
      <c r="S164" s="27">
        <f>P164+Q164+R164</f>
        <v/>
      </c>
      <c r="T164" s="22">
        <f>C164+S164</f>
        <v/>
      </c>
      <c r="U164" s="33">
        <f>AX164</f>
        <v/>
      </c>
      <c r="V164" s="22">
        <f>IF(U164="",0,IF(U164="transition",0,IF(U164="SW",AG164,IF(U164="AB",AH164,IF(U164="SC",AI164,IF(U164="Mag",AJ164,IF(U164="OR",AK164,IF(U164="HP",AL164,IF(U164="FP",AM164,0)))))))))</f>
        <v/>
      </c>
      <c r="W164" s="27">
        <f>IF(U164="OR",Upgrades!$F$10,IF(U164="HP",Upgrades!$F$11,IF(U164="transition",-Parameters!$B$18,0)))</f>
        <v/>
      </c>
      <c r="X164" s="22">
        <f>T164-V164</f>
        <v/>
      </c>
      <c r="Y164" s="30">
        <f>M164*Parameters!$B$10/60*Parameters!$B$11+O164*M164+N164</f>
        <v/>
      </c>
      <c r="Z164" s="34">
        <f>IF(U164="transition","→ Tier 2 (Stellar Neighborhood)",IF(U164="FP","First Photons — light begins, system quickens",IF(U164="HP","Heliopause acquired",IF(U164="OR","Orbital Resonance — passive multiplier active",IF(AND(AO164=1,L164=0,AN164&lt;&gt;1),"Cohesion ready (waiting on completionist upgrades)","")))))</f>
        <v/>
      </c>
      <c r="AA164" s="27">
        <f>(IF(E164=0,0,(Upgrades!$G$6+E164*Upgrades!$H$6)*POWER(Upgrades!$I$6,E164)))*(IF(Upgrades!$T$7="Solar Wind",POWER(Upgrades!$U$7,F164),1)*IF(Upgrades!$T$8="Solar Wind",POWER(Upgrades!$U$8,G164),1)*IF(Upgrades!$T$9="Solar Wind",POWER(Upgrades!$U$9,H164),1)*IF(Upgrades!$T$10="Solar Wind",POWER(Upgrades!$U$10,I164),1)*IF(Upgrades!$T$11="Solar Wind",POWER(Upgrades!$U$11,J164),1)*IF(Upgrades!$T$12="Solar Wind",POWER(Upgrades!$U$12,K164),1))*POWER(Upgrades!$P$6,E164)*POWER(Upgrades!$P$7,F164)*POWER(Upgrades!$P$8,G164)*POWER(Upgrades!$P$9,H164)*POWER(Upgrades!$P$10,I164)*POWER(Upgrades!$P$11,J164)*POWER(Upgrades!$P$12,K164)*60</f>
        <v/>
      </c>
      <c r="AB164" s="27">
        <f>(IF(F164=0,0,(Upgrades!$G$7+F164*Upgrades!$H$7)*POWER(Upgrades!$I$7,F164)))*(IF(Upgrades!$T$6="Asteroid Belt",POWER(Upgrades!$U$6,E164),1)*IF(Upgrades!$T$8="Asteroid Belt",POWER(Upgrades!$U$8,G164),1)*IF(Upgrades!$T$9="Asteroid Belt",POWER(Upgrades!$U$9,H164),1)*IF(Upgrades!$T$10="Asteroid Belt",POWER(Upgrades!$U$10,I164),1)*IF(Upgrades!$T$11="Asteroid Belt",POWER(Upgrades!$U$11,J164),1)*IF(Upgrades!$T$12="Asteroid Belt",POWER(Upgrades!$U$12,K164),1))*POWER(Upgrades!$P$6,E164)*POWER(Upgrades!$P$7,F164)*POWER(Upgrades!$P$8,G164)*POWER(Upgrades!$P$9,H164)*POWER(Upgrades!$P$10,I164)*POWER(Upgrades!$P$11,J164)*POWER(Upgrades!$P$12,K164)*60</f>
        <v/>
      </c>
      <c r="AC164" s="27">
        <f>(IF(G164=0,0,(Upgrades!$J$8+G164*Upgrades!$K$8)*POWER(Upgrades!$L$8,G164)))*(IF(Upgrades!$T$6="Stellar Coupling",POWER(Upgrades!$U$6,E164),1)*IF(Upgrades!$T$7="Stellar Coupling",POWER(Upgrades!$U$7,F164),1)*IF(Upgrades!$T$9="Stellar Coupling",POWER(Upgrades!$U$9,H164),1)*IF(Upgrades!$T$10="Stellar Coupling",POWER(Upgrades!$U$10,I164),1)*IF(Upgrades!$T$11="Stellar Coupling",POWER(Upgrades!$U$11,J164),1)*IF(Upgrades!$T$12="Stellar Coupling",POWER(Upgrades!$U$12,K164),1))*POWER(Upgrades!$Q$6,E164)*POWER(Upgrades!$Q$7,F164)*POWER(Upgrades!$Q$8,G164)*POWER(Upgrades!$Q$9,H164)*POWER(Upgrades!$Q$10,I164)*POWER(Upgrades!$Q$11,J164)*POWER(Upgrades!$Q$12,K164)*Parameters!$B$10*Parameters!$B$11</f>
        <v/>
      </c>
      <c r="AD164" s="27">
        <f>(IF(H164=0,0,(Upgrades!$G$9+H164*Upgrades!$H$9)*POWER(Upgrades!$I$9,H164)))*(IF(Upgrades!$T$6="Magnetosphere",POWER(Upgrades!$U$6,E164),1)*IF(Upgrades!$T$7="Magnetosphere",POWER(Upgrades!$U$7,F164),1)*IF(Upgrades!$T$8="Magnetosphere",POWER(Upgrades!$U$8,G164),1)*IF(Upgrades!$T$10="Magnetosphere",POWER(Upgrades!$U$10,I164),1)*IF(Upgrades!$T$11="Magnetosphere",POWER(Upgrades!$U$11,J164),1)*IF(Upgrades!$T$12="Magnetosphere",POWER(Upgrades!$U$12,K164),1))*POWER(Upgrades!$P$6,E164)*POWER(Upgrades!$P$7,F164)*POWER(Upgrades!$P$8,G164)*POWER(Upgrades!$P$9,H164)*POWER(Upgrades!$P$10,I164)*POWER(Upgrades!$P$11,J164)*POWER(Upgrades!$P$12,K164)*60</f>
        <v/>
      </c>
      <c r="AE164" s="27">
        <f>(IF(K164=0,0,(Upgrades!$G$12+K164*Upgrades!$H$12)*POWER(Upgrades!$I$12,K164)))*(IF(Upgrades!$T$6="First Photons",POWER(Upgrades!$U$6,E164),1)*IF(Upgrades!$T$7="First Photons",POWER(Upgrades!$U$7,F164),1)*IF(Upgrades!$T$8="First Photons",POWER(Upgrades!$U$8,G164),1)*IF(Upgrades!$T$9="First Photons",POWER(Upgrades!$U$9,H164),1)*IF(Upgrades!$T$10="First Photons",POWER(Upgrades!$U$10,I164),1)*IF(Upgrades!$T$11="First Photons",POWER(Upgrades!$U$11,J164),1))*POWER(Upgrades!$P$6,E164)*POWER(Upgrades!$P$7,F164)*POWER(Upgrades!$P$8,G164)*POWER(Upgrades!$P$9,H164)*POWER(Upgrades!$P$10,I164)*POWER(Upgrades!$P$11,J164)*POWER(Upgrades!$P$12,K164)*60</f>
        <v/>
      </c>
      <c r="AF164" s="27">
        <f>Parameters!$B$9*POWER(Upgrades!$Q$6,E164)*POWER(Upgrades!$Q$7,F164)*POWER(Upgrades!$Q$8,G164)*POWER(Upgrades!$Q$9,H164)*POWER(Upgrades!$Q$10,I164)*POWER(Upgrades!$Q$11,J164)*POWER(Upgrades!$Q$12,K164)*(Parameters!$B$10*Parameters!$B$11+O164*60)</f>
        <v/>
      </c>
      <c r="AG164" s="22">
        <f>IF(E164&gt;=Upgrades!$E$6,"",Upgrades!$C$6*POWER(Upgrades!$D$6,E164))</f>
        <v/>
      </c>
      <c r="AH164" s="22">
        <f>IF(F164&gt;=Upgrades!$E$7,"",Upgrades!$C$7*POWER(Upgrades!$D$7,F164))</f>
        <v/>
      </c>
      <c r="AI164" s="22">
        <f>IF(G164&gt;=Upgrades!$E$8,"",Upgrades!$C$8*POWER(Upgrades!$D$8,G164))</f>
        <v/>
      </c>
      <c r="AJ164" s="22">
        <f>IF(H164&gt;=Upgrades!$E$9,"",Upgrades!$C$9*POWER(Upgrades!$D$9,H164))</f>
        <v/>
      </c>
      <c r="AK164" s="22">
        <f>IF(I164&gt;=Upgrades!$E$10,"",Upgrades!$C$10*POWER(Upgrades!$D$10,I164))</f>
        <v/>
      </c>
      <c r="AL164" s="22">
        <f>IF(J164&gt;=Upgrades!$E$11,"",Upgrades!$C$11*POWER(Upgrades!$D$11,J164))</f>
        <v/>
      </c>
      <c r="AM164" s="22">
        <f>IF(K164&gt;=Upgrades!$E$12,"",Upgrades!$C$12*POWER(Upgrades!$D$12,K164))</f>
        <v/>
      </c>
      <c r="AN164" s="26">
        <f>IF(AND(D164&gt;=Parameters!$B$18,(H164&gt;=Upgrades!$E$9)*(K164&gt;=Upgrades!$E$12)=1,L164=0),1,"")</f>
        <v/>
      </c>
      <c r="AO164" s="26">
        <f>IF(AND(D164&gt;=Parameters!$B$18,L164=0),1,"")</f>
        <v/>
      </c>
      <c r="AP164" s="22">
        <f>MIN(IF(ISNUMBER(AK164),AK164,9E15),IF(ISNUMBER(AL164),AL164,9E15),IF(ISNUMBER(AM164),AM164,9E15))</f>
        <v/>
      </c>
      <c r="AQ164" s="22">
        <f>MIN(IF(ISNUMBER(AG164),AG164,9E15),IF(ISNUMBER(AH164),AH164,9E15),IF(ISNUMBER(AI164),AI164,9E15),IF(ISNUMBER(AJ164),AJ164,9E15))</f>
        <v/>
      </c>
      <c r="AR164" s="29">
        <f>IF(AW164&gt;Parameters!$B$21*(MAX(IF(AND(NOT(AND(AO164=1,AN164&lt;&gt;1)),ISNUMBER(AG164),AG164&lt;=T164),AS164,0),IF(AND(NOT(AND(AO164=1,AN164&lt;&gt;1)),ISNUMBER(AH164),AH164&lt;=T164),AT164,0),IF(AND(NOT(AND(AO164=1,AN164&lt;&gt;1)),ISNUMBER(AI164),AI164&lt;=T164),AU164,0),IF(AND(ISNUMBER(AJ164),AJ164&lt;=T164),AV164,0))),TRUE,FALSE)</f>
        <v/>
      </c>
      <c r="AS164" s="32">
        <f>IFERROR(Upgrades!$H$6*(POWER(Upgrades!$P$6,E164)*POWER(Upgrades!$P$7,F164)*POWER(Upgrades!$P$8,G164)*POWER(Upgrades!$P$9,H164)*POWER(Upgrades!$P$10,I164)*POWER(Upgrades!$P$11,J164)*POWER(Upgrades!$P$12,K164))*(IF(Upgrades!$T$7="Solar Wind",POWER(Upgrades!$U$7,F164),1)*IF(Upgrades!$T$8="Solar Wind",POWER(Upgrades!$U$8,G164),1)*IF(Upgrades!$T$9="Solar Wind",POWER(Upgrades!$U$9,H164),1)*IF(Upgrades!$T$10="Solar Wind",POWER(Upgrades!$U$10,I164),1)*IF(Upgrades!$T$11="Solar Wind",POWER(Upgrades!$U$11,J164),1)*IF(Upgrades!$T$12="Solar Wind",POWER(Upgrades!$U$12,K164),1))/AG164,0)</f>
        <v/>
      </c>
      <c r="AT164" s="32">
        <f>IFERROR(Upgrades!$H$7*(POWER(Upgrades!$P$6,E164)*POWER(Upgrades!$P$7,F164)*POWER(Upgrades!$P$8,G164)*POWER(Upgrades!$P$9,H164)*POWER(Upgrades!$P$10,I164)*POWER(Upgrades!$P$11,J164)*POWER(Upgrades!$P$12,K164))*(IF(Upgrades!$T$6="Asteroid Belt",POWER(Upgrades!$U$6,E164),1)*IF(Upgrades!$T$8="Asteroid Belt",POWER(Upgrades!$U$8,G164),1)*IF(Upgrades!$T$9="Asteroid Belt",POWER(Upgrades!$U$9,H164),1)*IF(Upgrades!$T$10="Asteroid Belt",POWER(Upgrades!$U$10,I164),1)*IF(Upgrades!$T$11="Asteroid Belt",POWER(Upgrades!$U$11,J164),1)*IF(Upgrades!$T$12="Asteroid Belt",POWER(Upgrades!$U$12,K164),1))/AH164,0)</f>
        <v/>
      </c>
      <c r="AU164" s="32">
        <f>IFERROR(Upgrades!$K$8*(POWER(Upgrades!$Q$6,E164)*POWER(Upgrades!$Q$7,F164)*POWER(Upgrades!$Q$8,G164)*POWER(Upgrades!$Q$9,H164)*POWER(Upgrades!$Q$10,I164)*POWER(Upgrades!$Q$11,J164)*POWER(Upgrades!$Q$12,K164))*(IF(Upgrades!$T$6="Stellar Coupling",POWER(Upgrades!$U$6,E164),1)*IF(Upgrades!$T$7="Stellar Coupling",POWER(Upgrades!$U$7,F164),1)*IF(Upgrades!$T$9="Stellar Coupling",POWER(Upgrades!$U$9,H164),1)*IF(Upgrades!$T$10="Stellar Coupling",POWER(Upgrades!$U$10,I164),1)*IF(Upgrades!$T$11="Stellar Coupling",POWER(Upgrades!$U$11,J164),1)*IF(Upgrades!$T$12="Stellar Coupling",POWER(Upgrades!$U$12,K164),1))*Parameters!$B$10*Parameters!$B$11/60/AI164,0)</f>
        <v/>
      </c>
      <c r="AV164" s="32">
        <f>IFERROR(Upgrades!$H$9*(POWER(Upgrades!$P$6,E164)*POWER(Upgrades!$P$7,F164)*POWER(Upgrades!$P$8,G164)*POWER(Upgrades!$P$9,H164)*POWER(Upgrades!$P$10,I164)*POWER(Upgrades!$P$11,J164)*POWER(Upgrades!$P$12,K164))*(IF(Upgrades!$T$6="Magnetosphere",POWER(Upgrades!$U$6,E164),1)*IF(Upgrades!$T$7="Magnetosphere",POWER(Upgrades!$U$7,F164),1)*IF(Upgrades!$T$8="Magnetosphere",POWER(Upgrades!$U$8,G164),1)*IF(Upgrades!$T$10="Magnetosphere",POWER(Upgrades!$U$10,I164),1)*IF(Upgrades!$T$11="Magnetosphere",POWER(Upgrades!$U$11,J164),1)*IF(Upgrades!$T$12="Magnetosphere",POWER(Upgrades!$U$12,K164),1))/AJ164,0)</f>
        <v/>
      </c>
      <c r="AW164" s="32">
        <f>MAX(IF(I164&gt;0,0,IFERROR(0.25*N164/Upgrades!$C$10,0)),IF(J164&gt;0,0,IFERROR(0.5*((IF(G164=0,0,(Upgrades!$J$8+G164*Upgrades!$K$8)*POWER(Upgrades!$L$8,G164)))*(IF(Upgrades!$T$6="Stellar Coupling",POWER(Upgrades!$U$6,E164),1)*IF(Upgrades!$T$7="Stellar Coupling",POWER(Upgrades!$U$7,F164),1)*IF(Upgrades!$T$9="Stellar Coupling",POWER(Upgrades!$U$9,H164),1)*IF(Upgrades!$T$10="Stellar Coupling",POWER(Upgrades!$U$10,I164),1)*IF(Upgrades!$T$11="Stellar Coupling",POWER(Upgrades!$U$11,J164),1)*IF(Upgrades!$T$12="Stellar Coupling",POWER(Upgrades!$U$12,K164),1))*(POWER(Upgrades!$Q$6,E164)*POWER(Upgrades!$Q$7,F164)*POWER(Upgrades!$Q$8,G164)*POWER(Upgrades!$Q$9,H164)*POWER(Upgrades!$Q$10,I164)*POWER(Upgrades!$Q$11,J164)*POWER(Upgrades!$Q$12,K164))*Parameters!$B$10*Parameters!$B$11/60)/Upgrades!$C$11,0)),IF(K164&gt;0,0,IFERROR((1.0*(POWER(Upgrades!$P$6,E164)*POWER(Upgrades!$P$7,F164)*POWER(Upgrades!$P$8,G164)*POWER(Upgrades!$P$9,H164)*POWER(Upgrades!$P$10,I164)*POWER(Upgrades!$P$11,J164)*POWER(Upgrades!$P$12,K164))+0.20*M164*Parameters!$B$10*Parameters!$B$11/60)/Upgrades!$C$12,0)),IF(AND(ISNUMBER(AG164),AG164&gt;T164),AS164,0),IF(AND(ISNUMBER(AH164),AH164&gt;T164),AT164,0),IF(AND(ISNUMBER(AI164),AI164&gt;T164),AU164,0),IF(AND(ISNUMBER(AJ164),AJ164&gt;T164),AV164,0))</f>
        <v/>
      </c>
      <c r="AX164" s="29">
        <f>IF(AN164=1,"transition",IF(MIN(IF(AND(I164=0,ISNUMBER(AK164),AK164&lt;=T164),AK164,9E15),IF(AND(J164=0,ISNUMBER(AL164),AL164&lt;=T164),AL164,9E15),IF(AND(K164=0,ISNUMBER(AM164),AM164&lt;=T164),AM164,9E15))&lt;9E15,IF(AND(AND(I164=0,ISNUMBER(AK164),AK164&lt;=T164),AK164=MIN(IF(AND(I164=0,ISNUMBER(AK164),AK164&lt;=T164),AK164,9E15),IF(AND(J164=0,ISNUMBER(AL164),AL164&lt;=T164),AL164,9E15),IF(AND(K164=0,ISNUMBER(AM164),AM164&lt;=T164),AM164,9E15))),"OR",IF(AND(AND(J164=0,ISNUMBER(AL164),AL164&lt;=T164),AL164=MIN(IF(AND(I164=0,ISNUMBER(AK164),AK164&lt;=T164),AK164,9E15),IF(AND(J164=0,ISNUMBER(AL164),AL164&lt;=T164),AL164,9E15),IF(AND(K164=0,ISNUMBER(AM164),AM164&lt;=T164),AM164,9E15))),"HP","FP")),IF(AR164=TRUE,"",IF(MAX(IF(AND(NOT(AND(AO164=1,AN164&lt;&gt;1)),ISNUMBER(AG164),AG164&lt;=T164),AS164,0),IF(AND(NOT(AND(AO164=1,AN164&lt;&gt;1)),ISNUMBER(AH164),AH164&lt;=T164),AT164,0),IF(AND(NOT(AND(AO164=1,AN164&lt;&gt;1)),ISNUMBER(AI164),AI164&lt;=T164),AU164,0),IF(AND(ISNUMBER(AJ164),AJ164&lt;=T164),AV164,0))&lt;=0,"",IF(AND(IF(AND(NOT(AND(AO164=1,AN164&lt;&gt;1)),ISNUMBER(AG164),AG164&lt;=T164),AS164,0)&gt;0,IF(AND(NOT(AND(AO164=1,AN164&lt;&gt;1)),ISNUMBER(AG164),AG164&lt;=T164),AS164,0)=MAX(IF(AND(NOT(AND(AO164=1,AN164&lt;&gt;1)),ISNUMBER(AG164),AG164&lt;=T164),AS164,0),IF(AND(NOT(AND(AO164=1,AN164&lt;&gt;1)),ISNUMBER(AH164),AH164&lt;=T164),AT164,0),IF(AND(NOT(AND(AO164=1,AN164&lt;&gt;1)),ISNUMBER(AI164),AI164&lt;=T164),AU164,0),IF(AND(ISNUMBER(AJ164),AJ164&lt;=T164),AV164,0))),"SW",IF(AND(IF(AND(NOT(AND(AO164=1,AN164&lt;&gt;1)),ISNUMBER(AH164),AH164&lt;=T164),AT164,0)&gt;0,IF(AND(NOT(AND(AO164=1,AN164&lt;&gt;1)),ISNUMBER(AH164),AH164&lt;=T164),AT164,0)=MAX(IF(AND(NOT(AND(AO164=1,AN164&lt;&gt;1)),ISNUMBER(AG164),AG164&lt;=T164),AS164,0),IF(AND(NOT(AND(AO164=1,AN164&lt;&gt;1)),ISNUMBER(AH164),AH164&lt;=T164),AT164,0),IF(AND(NOT(AND(AO164=1,AN164&lt;&gt;1)),ISNUMBER(AI164),AI164&lt;=T164),AU164,0),IF(AND(ISNUMBER(AJ164),AJ164&lt;=T164),AV164,0))),"AB",IF(AND(IF(AND(NOT(AND(AO164=1,AN164&lt;&gt;1)),ISNUMBER(AI164),AI164&lt;=T164),AU164,0)&gt;0,IF(AND(NOT(AND(AO164=1,AN164&lt;&gt;1)),ISNUMBER(AI164),AI164&lt;=T164),AU164,0)=MAX(IF(AND(NOT(AND(AO164=1,AN164&lt;&gt;1)),ISNUMBER(AG164),AG164&lt;=T164),AS164,0),IF(AND(NOT(AND(AO164=1,AN164&lt;&gt;1)),ISNUMBER(AH164),AH164&lt;=T164),AT164,0),IF(AND(NOT(AND(AO164=1,AN164&lt;&gt;1)),ISNUMBER(AI164),AI164&lt;=T164),AU164,0),IF(AND(ISNUMBER(AJ164),AJ164&lt;=T164),AV164,0))),"SC","Mag")))))))</f>
        <v/>
      </c>
    </row>
    <row r="165">
      <c r="A165" s="26" t="n">
        <v>160</v>
      </c>
      <c r="B165" s="27">
        <f>A165*10/60</f>
        <v/>
      </c>
      <c r="C165" s="22">
        <f>X164</f>
        <v/>
      </c>
      <c r="D165" s="27">
        <f>D164+W164</f>
        <v/>
      </c>
      <c r="E165" s="26">
        <f>E164+IF(U164="SW",1,0)</f>
        <v/>
      </c>
      <c r="F165" s="26">
        <f>F164+IF(U164="AB",1,0)</f>
        <v/>
      </c>
      <c r="G165" s="26">
        <f>G164+IF(U164="SC",1,0)</f>
        <v/>
      </c>
      <c r="H165" s="26">
        <f>H164+IF(U164="Mag",1,0)</f>
        <v/>
      </c>
      <c r="I165" s="26">
        <f>MAX(I164,IF(U164="OR",1,0))</f>
        <v/>
      </c>
      <c r="J165" s="26">
        <f>MAX(J164,IF(U164="HP",1,0))</f>
        <v/>
      </c>
      <c r="K165" s="26">
        <f>MAX(K164,IF(U164="FP",1,0))</f>
        <v/>
      </c>
      <c r="L165" s="26">
        <f>MAX(L164,IF(U164="transition",1,0))</f>
        <v/>
      </c>
      <c r="M165" s="28">
        <f>(Parameters!$B$9+(IF(E165=0,0,(Upgrades!$J$6+E165*Upgrades!$K$6)*POWER(Upgrades!$L$6,E165)))*(IF(Upgrades!$T$7="Solar Wind",POWER(Upgrades!$U$7,F165),1)*IF(Upgrades!$T$8="Solar Wind",POWER(Upgrades!$U$8,G165),1)*IF(Upgrades!$T$9="Solar Wind",POWER(Upgrades!$U$9,H165),1)*IF(Upgrades!$T$10="Solar Wind",POWER(Upgrades!$U$10,I165),1)*IF(Upgrades!$T$11="Solar Wind",POWER(Upgrades!$U$11,J165),1)*IF(Upgrades!$T$12="Solar Wind",POWER(Upgrades!$U$12,K165),1))+(IF(F165=0,0,(Upgrades!$J$7+F165*Upgrades!$K$7)*POWER(Upgrades!$L$7,F165)))*(IF(Upgrades!$T$6="Asteroid Belt",POWER(Upgrades!$U$6,E165),1)*IF(Upgrades!$T$8="Asteroid Belt",POWER(Upgrades!$U$8,G165),1)*IF(Upgrades!$T$9="Asteroid Belt",POWER(Upgrades!$U$9,H165),1)*IF(Upgrades!$T$10="Asteroid Belt",POWER(Upgrades!$U$10,I165),1)*IF(Upgrades!$T$11="Asteroid Belt",POWER(Upgrades!$U$11,J165),1)*IF(Upgrades!$T$12="Asteroid Belt",POWER(Upgrades!$U$12,K165),1))+(IF(G165=0,0,(Upgrades!$J$8+G165*Upgrades!$K$8)*POWER(Upgrades!$L$8,G165)))*(IF(Upgrades!$T$6="Stellar Coupling",POWER(Upgrades!$U$6,E165),1)*IF(Upgrades!$T$7="Stellar Coupling",POWER(Upgrades!$U$7,F165),1)*IF(Upgrades!$T$9="Stellar Coupling",POWER(Upgrades!$U$9,H165),1)*IF(Upgrades!$T$10="Stellar Coupling",POWER(Upgrades!$U$10,I165),1)*IF(Upgrades!$T$11="Stellar Coupling",POWER(Upgrades!$U$11,J165),1)*IF(Upgrades!$T$12="Stellar Coupling",POWER(Upgrades!$U$12,K165),1))+(IF(H165=0,0,(Upgrades!$J$9+H165*Upgrades!$K$9)*POWER(Upgrades!$L$9,H165)))*(IF(Upgrades!$T$6="Magnetosphere",POWER(Upgrades!$U$6,E165),1)*IF(Upgrades!$T$7="Magnetosphere",POWER(Upgrades!$U$7,F165),1)*IF(Upgrades!$T$8="Magnetosphere",POWER(Upgrades!$U$8,G165),1)*IF(Upgrades!$T$10="Magnetosphere",POWER(Upgrades!$U$10,I165),1)*IF(Upgrades!$T$11="Magnetosphere",POWER(Upgrades!$U$11,J165),1)*IF(Upgrades!$T$12="Magnetosphere",POWER(Upgrades!$U$12,K165),1))+(IF(I165=0,0,(Upgrades!$J$10+I165*Upgrades!$K$10)*POWER(Upgrades!$L$10,I165)))*(IF(Upgrades!$T$6="Orbital Resonance",POWER(Upgrades!$U$6,E165),1)*IF(Upgrades!$T$7="Orbital Resonance",POWER(Upgrades!$U$7,F165),1)*IF(Upgrades!$T$8="Orbital Resonance",POWER(Upgrades!$U$8,G165),1)*IF(Upgrades!$T$9="Orbital Resonance",POWER(Upgrades!$U$9,H165),1)*IF(Upgrades!$T$11="Orbital Resonance",POWER(Upgrades!$U$11,J165),1)*IF(Upgrades!$T$12="Orbital Resonance",POWER(Upgrades!$U$12,K165),1))+(IF(J165=0,0,(Upgrades!$J$11+J165*Upgrades!$K$11)*POWER(Upgrades!$L$11,J165)))*(IF(Upgrades!$T$6="Heliopause",POWER(Upgrades!$U$6,E165),1)*IF(Upgrades!$T$7="Heliopause",POWER(Upgrades!$U$7,F165),1)*IF(Upgrades!$T$8="Heliopause",POWER(Upgrades!$U$8,G165),1)*IF(Upgrades!$T$9="Heliopause",POWER(Upgrades!$U$9,H165),1)*IF(Upgrades!$T$10="Heliopause",POWER(Upgrades!$U$10,I165),1)*IF(Upgrades!$T$12="Heliopause",POWER(Upgrades!$U$12,K165),1))+(IF(K165=0,0,(Upgrades!$J$12+K165*Upgrades!$K$12)*POWER(Upgrades!$L$12,K165)))*(IF(Upgrades!$T$6="First Photons",POWER(Upgrades!$U$6,E165),1)*IF(Upgrades!$T$7="First Photons",POWER(Upgrades!$U$7,F165),1)*IF(Upgrades!$T$8="First Photons",POWER(Upgrades!$U$8,G165),1)*IF(Upgrades!$T$9="First Photons",POWER(Upgrades!$U$9,H165),1)*IF(Upgrades!$T$10="First Photons",POWER(Upgrades!$U$10,I165),1)*IF(Upgrades!$T$11="First Photons",POWER(Upgrades!$U$11,J165),1)))*POWER(Upgrades!$Q$6,E165)*POWER(Upgrades!$Q$7,F165)*POWER(Upgrades!$Q$8,G165)*POWER(Upgrades!$Q$9,H165)*POWER(Upgrades!$Q$10,I165)*POWER(Upgrades!$Q$11,J165)*POWER(Upgrades!$Q$12,K165)</f>
        <v/>
      </c>
      <c r="N165" s="28">
        <f>((IF(E165=0,0,(Upgrades!$G$6+E165*Upgrades!$H$6)*POWER(Upgrades!$I$6,E165)))*(IF(Upgrades!$T$7="Solar Wind",POWER(Upgrades!$U$7,F165),1)*IF(Upgrades!$T$8="Solar Wind",POWER(Upgrades!$U$8,G165),1)*IF(Upgrades!$T$9="Solar Wind",POWER(Upgrades!$U$9,H165),1)*IF(Upgrades!$T$10="Solar Wind",POWER(Upgrades!$U$10,I165),1)*IF(Upgrades!$T$11="Solar Wind",POWER(Upgrades!$U$11,J165),1)*IF(Upgrades!$T$12="Solar Wind",POWER(Upgrades!$U$12,K165),1))+(IF(F165=0,0,(Upgrades!$G$7+F165*Upgrades!$H$7)*POWER(Upgrades!$I$7,F165)))*(IF(Upgrades!$T$6="Asteroid Belt",POWER(Upgrades!$U$6,E165),1)*IF(Upgrades!$T$8="Asteroid Belt",POWER(Upgrades!$U$8,G165),1)*IF(Upgrades!$T$9="Asteroid Belt",POWER(Upgrades!$U$9,H165),1)*IF(Upgrades!$T$10="Asteroid Belt",POWER(Upgrades!$U$10,I165),1)*IF(Upgrades!$T$11="Asteroid Belt",POWER(Upgrades!$U$11,J165),1)*IF(Upgrades!$T$12="Asteroid Belt",POWER(Upgrades!$U$12,K165),1))+(IF(G165=0,0,(Upgrades!$G$8+G165*Upgrades!$H$8)*POWER(Upgrades!$I$8,G165)))*(IF(Upgrades!$T$6="Stellar Coupling",POWER(Upgrades!$U$6,E165),1)*IF(Upgrades!$T$7="Stellar Coupling",POWER(Upgrades!$U$7,F165),1)*IF(Upgrades!$T$9="Stellar Coupling",POWER(Upgrades!$U$9,H165),1)*IF(Upgrades!$T$10="Stellar Coupling",POWER(Upgrades!$U$10,I165),1)*IF(Upgrades!$T$11="Stellar Coupling",POWER(Upgrades!$U$11,J165),1)*IF(Upgrades!$T$12="Stellar Coupling",POWER(Upgrades!$U$12,K165),1))+(IF(H165=0,0,(Upgrades!$G$9+H165*Upgrades!$H$9)*POWER(Upgrades!$I$9,H165)))*(IF(Upgrades!$T$6="Magnetosphere",POWER(Upgrades!$U$6,E165),1)*IF(Upgrades!$T$7="Magnetosphere",POWER(Upgrades!$U$7,F165),1)*IF(Upgrades!$T$8="Magnetosphere",POWER(Upgrades!$U$8,G165),1)*IF(Upgrades!$T$10="Magnetosphere",POWER(Upgrades!$U$10,I165),1)*IF(Upgrades!$T$11="Magnetosphere",POWER(Upgrades!$U$11,J165),1)*IF(Upgrades!$T$12="Magnetosphere",POWER(Upgrades!$U$12,K165),1))+(IF(I165=0,0,(Upgrades!$G$10+I165*Upgrades!$H$10)*POWER(Upgrades!$I$10,I165)))*(IF(Upgrades!$T$6="Orbital Resonance",POWER(Upgrades!$U$6,E165),1)*IF(Upgrades!$T$7="Orbital Resonance",POWER(Upgrades!$U$7,F165),1)*IF(Upgrades!$T$8="Orbital Resonance",POWER(Upgrades!$U$8,G165),1)*IF(Upgrades!$T$9="Orbital Resonance",POWER(Upgrades!$U$9,H165),1)*IF(Upgrades!$T$11="Orbital Resonance",POWER(Upgrades!$U$11,J165),1)*IF(Upgrades!$T$12="Orbital Resonance",POWER(Upgrades!$U$12,K165),1))+(IF(J165=0,0,(Upgrades!$G$11+J165*Upgrades!$H$11)*POWER(Upgrades!$I$11,J165)))*(IF(Upgrades!$T$6="Heliopause",POWER(Upgrades!$U$6,E165),1)*IF(Upgrades!$T$7="Heliopause",POWER(Upgrades!$U$7,F165),1)*IF(Upgrades!$T$8="Heliopause",POWER(Upgrades!$U$8,G165),1)*IF(Upgrades!$T$9="Heliopause",POWER(Upgrades!$U$9,H165),1)*IF(Upgrades!$T$10="Heliopause",POWER(Upgrades!$U$10,I165),1)*IF(Upgrades!$T$12="Heliopause",POWER(Upgrades!$U$12,K165),1))+(IF(K165=0,0,(Upgrades!$G$12+K165*Upgrades!$H$12)*POWER(Upgrades!$I$12,K165)))*(IF(Upgrades!$T$6="First Photons",POWER(Upgrades!$U$6,E165),1)*IF(Upgrades!$T$7="First Photons",POWER(Upgrades!$U$7,F165),1)*IF(Upgrades!$T$8="First Photons",POWER(Upgrades!$U$8,G165),1)*IF(Upgrades!$T$9="First Photons",POWER(Upgrades!$U$9,H165),1)*IF(Upgrades!$T$10="First Photons",POWER(Upgrades!$U$10,I165),1)*IF(Upgrades!$T$11="First Photons",POWER(Upgrades!$U$11,J165),1)))*POWER(Upgrades!$P$6,E165)*POWER(Upgrades!$P$7,F165)*POWER(Upgrades!$P$8,G165)*POWER(Upgrades!$P$9,H165)*POWER(Upgrades!$P$10,I165)*POWER(Upgrades!$P$11,J165)*POWER(Upgrades!$P$12,K165)</f>
        <v/>
      </c>
      <c r="O165" s="28">
        <f>((IF(E165=0,0,(Upgrades!$M$6+E165*Upgrades!$N$6)*POWER(Upgrades!$O$6,E165)))*(IF(Upgrades!$T$7="Solar Wind",POWER(Upgrades!$U$7,F165),1)*IF(Upgrades!$T$8="Solar Wind",POWER(Upgrades!$U$8,G165),1)*IF(Upgrades!$T$9="Solar Wind",POWER(Upgrades!$U$9,H165),1)*IF(Upgrades!$T$10="Solar Wind",POWER(Upgrades!$U$10,I165),1)*IF(Upgrades!$T$11="Solar Wind",POWER(Upgrades!$U$11,J165),1)*IF(Upgrades!$T$12="Solar Wind",POWER(Upgrades!$U$12,K165),1))+(IF(F165=0,0,(Upgrades!$M$7+F165*Upgrades!$N$7)*POWER(Upgrades!$O$7,F165)))*(IF(Upgrades!$T$6="Asteroid Belt",POWER(Upgrades!$U$6,E165),1)*IF(Upgrades!$T$8="Asteroid Belt",POWER(Upgrades!$U$8,G165),1)*IF(Upgrades!$T$9="Asteroid Belt",POWER(Upgrades!$U$9,H165),1)*IF(Upgrades!$T$10="Asteroid Belt",POWER(Upgrades!$U$10,I165),1)*IF(Upgrades!$T$11="Asteroid Belt",POWER(Upgrades!$U$11,J165),1)*IF(Upgrades!$T$12="Asteroid Belt",POWER(Upgrades!$U$12,K165),1))+(IF(G165=0,0,(Upgrades!$M$8+G165*Upgrades!$N$8)*POWER(Upgrades!$O$8,G165)))*(IF(Upgrades!$T$6="Stellar Coupling",POWER(Upgrades!$U$6,E165),1)*IF(Upgrades!$T$7="Stellar Coupling",POWER(Upgrades!$U$7,F165),1)*IF(Upgrades!$T$9="Stellar Coupling",POWER(Upgrades!$U$9,H165),1)*IF(Upgrades!$T$10="Stellar Coupling",POWER(Upgrades!$U$10,I165),1)*IF(Upgrades!$T$11="Stellar Coupling",POWER(Upgrades!$U$11,J165),1)*IF(Upgrades!$T$12="Stellar Coupling",POWER(Upgrades!$U$12,K165),1))+(IF(H165=0,0,(Upgrades!$M$9+H165*Upgrades!$N$9)*POWER(Upgrades!$O$9,H165)))*(IF(Upgrades!$T$6="Magnetosphere",POWER(Upgrades!$U$6,E165),1)*IF(Upgrades!$T$7="Magnetosphere",POWER(Upgrades!$U$7,F165),1)*IF(Upgrades!$T$8="Magnetosphere",POWER(Upgrades!$U$8,G165),1)*IF(Upgrades!$T$10="Magnetosphere",POWER(Upgrades!$U$10,I165),1)*IF(Upgrades!$T$11="Magnetosphere",POWER(Upgrades!$U$11,J165),1)*IF(Upgrades!$T$12="Magnetosphere",POWER(Upgrades!$U$12,K165),1))+(IF(I165=0,0,(Upgrades!$M$10+I165*Upgrades!$N$10)*POWER(Upgrades!$O$10,I165)))*(IF(Upgrades!$T$6="Orbital Resonance",POWER(Upgrades!$U$6,E165),1)*IF(Upgrades!$T$7="Orbital Resonance",POWER(Upgrades!$U$7,F165),1)*IF(Upgrades!$T$8="Orbital Resonance",POWER(Upgrades!$U$8,G165),1)*IF(Upgrades!$T$9="Orbital Resonance",POWER(Upgrades!$U$9,H165),1)*IF(Upgrades!$T$11="Orbital Resonance",POWER(Upgrades!$U$11,J165),1)*IF(Upgrades!$T$12="Orbital Resonance",POWER(Upgrades!$U$12,K165),1))+(IF(J165=0,0,(Upgrades!$M$11+J165*Upgrades!$N$11)*POWER(Upgrades!$O$11,J165)))*(IF(Upgrades!$T$6="Heliopause",POWER(Upgrades!$U$6,E165),1)*IF(Upgrades!$T$7="Heliopause",POWER(Upgrades!$U$7,F165),1)*IF(Upgrades!$T$8="Heliopause",POWER(Upgrades!$U$8,G165),1)*IF(Upgrades!$T$9="Heliopause",POWER(Upgrades!$U$9,H165),1)*IF(Upgrades!$T$10="Heliopause",POWER(Upgrades!$U$10,I165),1)*IF(Upgrades!$T$12="Heliopause",POWER(Upgrades!$U$12,K165),1))+(IF(K165=0,0,(Upgrades!$M$12+K165*Upgrades!$N$12)*POWER(Upgrades!$O$12,K165)))*(IF(Upgrades!$T$6="First Photons",POWER(Upgrades!$U$6,E165),1)*IF(Upgrades!$T$7="First Photons",POWER(Upgrades!$U$7,F165),1)*IF(Upgrades!$T$8="First Photons",POWER(Upgrades!$U$8,G165),1)*IF(Upgrades!$T$9="First Photons",POWER(Upgrades!$U$9,H165),1)*IF(Upgrades!$T$10="First Photons",POWER(Upgrades!$U$10,I165),1)*IF(Upgrades!$T$11="First Photons",POWER(Upgrades!$U$11,J165),1)))*POWER(Upgrades!$R$6,E165)*POWER(Upgrades!$R$7,F165)*POWER(Upgrades!$R$8,G165)*POWER(Upgrades!$R$9,H165)*POWER(Upgrades!$R$10,I165)*POWER(Upgrades!$R$11,J165)*POWER(Upgrades!$R$12,K165)</f>
        <v/>
      </c>
      <c r="P165" s="27">
        <f>IF(L165=1,0,M165*Parameters!$B$10/60*Parameters!$B$11*10)</f>
        <v/>
      </c>
      <c r="Q165" s="27">
        <f>IF(L165=1,0,O165*M165*10)</f>
        <v/>
      </c>
      <c r="R165" s="27">
        <f>IF(L165=1,0,N165*10)</f>
        <v/>
      </c>
      <c r="S165" s="27">
        <f>P165+Q165+R165</f>
        <v/>
      </c>
      <c r="T165" s="22">
        <f>C165+S165</f>
        <v/>
      </c>
      <c r="U165" s="33">
        <f>AX165</f>
        <v/>
      </c>
      <c r="V165" s="22">
        <f>IF(U165="",0,IF(U165="transition",0,IF(U165="SW",AG165,IF(U165="AB",AH165,IF(U165="SC",AI165,IF(U165="Mag",AJ165,IF(U165="OR",AK165,IF(U165="HP",AL165,IF(U165="FP",AM165,0)))))))))</f>
        <v/>
      </c>
      <c r="W165" s="27">
        <f>IF(U165="OR",Upgrades!$F$10,IF(U165="HP",Upgrades!$F$11,IF(U165="transition",-Parameters!$B$18,0)))</f>
        <v/>
      </c>
      <c r="X165" s="22">
        <f>T165-V165</f>
        <v/>
      </c>
      <c r="Y165" s="30">
        <f>M165*Parameters!$B$10/60*Parameters!$B$11+O165*M165+N165</f>
        <v/>
      </c>
      <c r="Z165" s="34">
        <f>IF(U165="transition","→ Tier 2 (Stellar Neighborhood)",IF(U165="FP","First Photons — light begins, system quickens",IF(U165="HP","Heliopause acquired",IF(U165="OR","Orbital Resonance — passive multiplier active",IF(AND(AO165=1,L165=0,AN165&lt;&gt;1),"Cohesion ready (waiting on completionist upgrades)","")))))</f>
        <v/>
      </c>
      <c r="AA165" s="27">
        <f>(IF(E165=0,0,(Upgrades!$G$6+E165*Upgrades!$H$6)*POWER(Upgrades!$I$6,E165)))*(IF(Upgrades!$T$7="Solar Wind",POWER(Upgrades!$U$7,F165),1)*IF(Upgrades!$T$8="Solar Wind",POWER(Upgrades!$U$8,G165),1)*IF(Upgrades!$T$9="Solar Wind",POWER(Upgrades!$U$9,H165),1)*IF(Upgrades!$T$10="Solar Wind",POWER(Upgrades!$U$10,I165),1)*IF(Upgrades!$T$11="Solar Wind",POWER(Upgrades!$U$11,J165),1)*IF(Upgrades!$T$12="Solar Wind",POWER(Upgrades!$U$12,K165),1))*POWER(Upgrades!$P$6,E165)*POWER(Upgrades!$P$7,F165)*POWER(Upgrades!$P$8,G165)*POWER(Upgrades!$P$9,H165)*POWER(Upgrades!$P$10,I165)*POWER(Upgrades!$P$11,J165)*POWER(Upgrades!$P$12,K165)*60</f>
        <v/>
      </c>
      <c r="AB165" s="27">
        <f>(IF(F165=0,0,(Upgrades!$G$7+F165*Upgrades!$H$7)*POWER(Upgrades!$I$7,F165)))*(IF(Upgrades!$T$6="Asteroid Belt",POWER(Upgrades!$U$6,E165),1)*IF(Upgrades!$T$8="Asteroid Belt",POWER(Upgrades!$U$8,G165),1)*IF(Upgrades!$T$9="Asteroid Belt",POWER(Upgrades!$U$9,H165),1)*IF(Upgrades!$T$10="Asteroid Belt",POWER(Upgrades!$U$10,I165),1)*IF(Upgrades!$T$11="Asteroid Belt",POWER(Upgrades!$U$11,J165),1)*IF(Upgrades!$T$12="Asteroid Belt",POWER(Upgrades!$U$12,K165),1))*POWER(Upgrades!$P$6,E165)*POWER(Upgrades!$P$7,F165)*POWER(Upgrades!$P$8,G165)*POWER(Upgrades!$P$9,H165)*POWER(Upgrades!$P$10,I165)*POWER(Upgrades!$P$11,J165)*POWER(Upgrades!$P$12,K165)*60</f>
        <v/>
      </c>
      <c r="AC165" s="27">
        <f>(IF(G165=0,0,(Upgrades!$J$8+G165*Upgrades!$K$8)*POWER(Upgrades!$L$8,G165)))*(IF(Upgrades!$T$6="Stellar Coupling",POWER(Upgrades!$U$6,E165),1)*IF(Upgrades!$T$7="Stellar Coupling",POWER(Upgrades!$U$7,F165),1)*IF(Upgrades!$T$9="Stellar Coupling",POWER(Upgrades!$U$9,H165),1)*IF(Upgrades!$T$10="Stellar Coupling",POWER(Upgrades!$U$10,I165),1)*IF(Upgrades!$T$11="Stellar Coupling",POWER(Upgrades!$U$11,J165),1)*IF(Upgrades!$T$12="Stellar Coupling",POWER(Upgrades!$U$12,K165),1))*POWER(Upgrades!$Q$6,E165)*POWER(Upgrades!$Q$7,F165)*POWER(Upgrades!$Q$8,G165)*POWER(Upgrades!$Q$9,H165)*POWER(Upgrades!$Q$10,I165)*POWER(Upgrades!$Q$11,J165)*POWER(Upgrades!$Q$12,K165)*Parameters!$B$10*Parameters!$B$11</f>
        <v/>
      </c>
      <c r="AD165" s="27">
        <f>(IF(H165=0,0,(Upgrades!$G$9+H165*Upgrades!$H$9)*POWER(Upgrades!$I$9,H165)))*(IF(Upgrades!$T$6="Magnetosphere",POWER(Upgrades!$U$6,E165),1)*IF(Upgrades!$T$7="Magnetosphere",POWER(Upgrades!$U$7,F165),1)*IF(Upgrades!$T$8="Magnetosphere",POWER(Upgrades!$U$8,G165),1)*IF(Upgrades!$T$10="Magnetosphere",POWER(Upgrades!$U$10,I165),1)*IF(Upgrades!$T$11="Magnetosphere",POWER(Upgrades!$U$11,J165),1)*IF(Upgrades!$T$12="Magnetosphere",POWER(Upgrades!$U$12,K165),1))*POWER(Upgrades!$P$6,E165)*POWER(Upgrades!$P$7,F165)*POWER(Upgrades!$P$8,G165)*POWER(Upgrades!$P$9,H165)*POWER(Upgrades!$P$10,I165)*POWER(Upgrades!$P$11,J165)*POWER(Upgrades!$P$12,K165)*60</f>
        <v/>
      </c>
      <c r="AE165" s="27">
        <f>(IF(K165=0,0,(Upgrades!$G$12+K165*Upgrades!$H$12)*POWER(Upgrades!$I$12,K165)))*(IF(Upgrades!$T$6="First Photons",POWER(Upgrades!$U$6,E165),1)*IF(Upgrades!$T$7="First Photons",POWER(Upgrades!$U$7,F165),1)*IF(Upgrades!$T$8="First Photons",POWER(Upgrades!$U$8,G165),1)*IF(Upgrades!$T$9="First Photons",POWER(Upgrades!$U$9,H165),1)*IF(Upgrades!$T$10="First Photons",POWER(Upgrades!$U$10,I165),1)*IF(Upgrades!$T$11="First Photons",POWER(Upgrades!$U$11,J165),1))*POWER(Upgrades!$P$6,E165)*POWER(Upgrades!$P$7,F165)*POWER(Upgrades!$P$8,G165)*POWER(Upgrades!$P$9,H165)*POWER(Upgrades!$P$10,I165)*POWER(Upgrades!$P$11,J165)*POWER(Upgrades!$P$12,K165)*60</f>
        <v/>
      </c>
      <c r="AF165" s="27">
        <f>Parameters!$B$9*POWER(Upgrades!$Q$6,E165)*POWER(Upgrades!$Q$7,F165)*POWER(Upgrades!$Q$8,G165)*POWER(Upgrades!$Q$9,H165)*POWER(Upgrades!$Q$10,I165)*POWER(Upgrades!$Q$11,J165)*POWER(Upgrades!$Q$12,K165)*(Parameters!$B$10*Parameters!$B$11+O165*60)</f>
        <v/>
      </c>
      <c r="AG165" s="22">
        <f>IF(E165&gt;=Upgrades!$E$6,"",Upgrades!$C$6*POWER(Upgrades!$D$6,E165))</f>
        <v/>
      </c>
      <c r="AH165" s="22">
        <f>IF(F165&gt;=Upgrades!$E$7,"",Upgrades!$C$7*POWER(Upgrades!$D$7,F165))</f>
        <v/>
      </c>
      <c r="AI165" s="22">
        <f>IF(G165&gt;=Upgrades!$E$8,"",Upgrades!$C$8*POWER(Upgrades!$D$8,G165))</f>
        <v/>
      </c>
      <c r="AJ165" s="22">
        <f>IF(H165&gt;=Upgrades!$E$9,"",Upgrades!$C$9*POWER(Upgrades!$D$9,H165))</f>
        <v/>
      </c>
      <c r="AK165" s="22">
        <f>IF(I165&gt;=Upgrades!$E$10,"",Upgrades!$C$10*POWER(Upgrades!$D$10,I165))</f>
        <v/>
      </c>
      <c r="AL165" s="22">
        <f>IF(J165&gt;=Upgrades!$E$11,"",Upgrades!$C$11*POWER(Upgrades!$D$11,J165))</f>
        <v/>
      </c>
      <c r="AM165" s="22">
        <f>IF(K165&gt;=Upgrades!$E$12,"",Upgrades!$C$12*POWER(Upgrades!$D$12,K165))</f>
        <v/>
      </c>
      <c r="AN165" s="26">
        <f>IF(AND(D165&gt;=Parameters!$B$18,(H165&gt;=Upgrades!$E$9)*(K165&gt;=Upgrades!$E$12)=1,L165=0),1,"")</f>
        <v/>
      </c>
      <c r="AO165" s="26">
        <f>IF(AND(D165&gt;=Parameters!$B$18,L165=0),1,"")</f>
        <v/>
      </c>
      <c r="AP165" s="22">
        <f>MIN(IF(ISNUMBER(AK165),AK165,9E15),IF(ISNUMBER(AL165),AL165,9E15),IF(ISNUMBER(AM165),AM165,9E15))</f>
        <v/>
      </c>
      <c r="AQ165" s="22">
        <f>MIN(IF(ISNUMBER(AG165),AG165,9E15),IF(ISNUMBER(AH165),AH165,9E15),IF(ISNUMBER(AI165),AI165,9E15),IF(ISNUMBER(AJ165),AJ165,9E15))</f>
        <v/>
      </c>
      <c r="AR165" s="29">
        <f>IF(AW165&gt;Parameters!$B$21*(MAX(IF(AND(NOT(AND(AO165=1,AN165&lt;&gt;1)),ISNUMBER(AG165),AG165&lt;=T165),AS165,0),IF(AND(NOT(AND(AO165=1,AN165&lt;&gt;1)),ISNUMBER(AH165),AH165&lt;=T165),AT165,0),IF(AND(NOT(AND(AO165=1,AN165&lt;&gt;1)),ISNUMBER(AI165),AI165&lt;=T165),AU165,0),IF(AND(ISNUMBER(AJ165),AJ165&lt;=T165),AV165,0))),TRUE,FALSE)</f>
        <v/>
      </c>
      <c r="AS165" s="32">
        <f>IFERROR(Upgrades!$H$6*(POWER(Upgrades!$P$6,E165)*POWER(Upgrades!$P$7,F165)*POWER(Upgrades!$P$8,G165)*POWER(Upgrades!$P$9,H165)*POWER(Upgrades!$P$10,I165)*POWER(Upgrades!$P$11,J165)*POWER(Upgrades!$P$12,K165))*(IF(Upgrades!$T$7="Solar Wind",POWER(Upgrades!$U$7,F165),1)*IF(Upgrades!$T$8="Solar Wind",POWER(Upgrades!$U$8,G165),1)*IF(Upgrades!$T$9="Solar Wind",POWER(Upgrades!$U$9,H165),1)*IF(Upgrades!$T$10="Solar Wind",POWER(Upgrades!$U$10,I165),1)*IF(Upgrades!$T$11="Solar Wind",POWER(Upgrades!$U$11,J165),1)*IF(Upgrades!$T$12="Solar Wind",POWER(Upgrades!$U$12,K165),1))/AG165,0)</f>
        <v/>
      </c>
      <c r="AT165" s="32">
        <f>IFERROR(Upgrades!$H$7*(POWER(Upgrades!$P$6,E165)*POWER(Upgrades!$P$7,F165)*POWER(Upgrades!$P$8,G165)*POWER(Upgrades!$P$9,H165)*POWER(Upgrades!$P$10,I165)*POWER(Upgrades!$P$11,J165)*POWER(Upgrades!$P$12,K165))*(IF(Upgrades!$T$6="Asteroid Belt",POWER(Upgrades!$U$6,E165),1)*IF(Upgrades!$T$8="Asteroid Belt",POWER(Upgrades!$U$8,G165),1)*IF(Upgrades!$T$9="Asteroid Belt",POWER(Upgrades!$U$9,H165),1)*IF(Upgrades!$T$10="Asteroid Belt",POWER(Upgrades!$U$10,I165),1)*IF(Upgrades!$T$11="Asteroid Belt",POWER(Upgrades!$U$11,J165),1)*IF(Upgrades!$T$12="Asteroid Belt",POWER(Upgrades!$U$12,K165),1))/AH165,0)</f>
        <v/>
      </c>
      <c r="AU165" s="32">
        <f>IFERROR(Upgrades!$K$8*(POWER(Upgrades!$Q$6,E165)*POWER(Upgrades!$Q$7,F165)*POWER(Upgrades!$Q$8,G165)*POWER(Upgrades!$Q$9,H165)*POWER(Upgrades!$Q$10,I165)*POWER(Upgrades!$Q$11,J165)*POWER(Upgrades!$Q$12,K165))*(IF(Upgrades!$T$6="Stellar Coupling",POWER(Upgrades!$U$6,E165),1)*IF(Upgrades!$T$7="Stellar Coupling",POWER(Upgrades!$U$7,F165),1)*IF(Upgrades!$T$9="Stellar Coupling",POWER(Upgrades!$U$9,H165),1)*IF(Upgrades!$T$10="Stellar Coupling",POWER(Upgrades!$U$10,I165),1)*IF(Upgrades!$T$11="Stellar Coupling",POWER(Upgrades!$U$11,J165),1)*IF(Upgrades!$T$12="Stellar Coupling",POWER(Upgrades!$U$12,K165),1))*Parameters!$B$10*Parameters!$B$11/60/AI165,0)</f>
        <v/>
      </c>
      <c r="AV165" s="32">
        <f>IFERROR(Upgrades!$H$9*(POWER(Upgrades!$P$6,E165)*POWER(Upgrades!$P$7,F165)*POWER(Upgrades!$P$8,G165)*POWER(Upgrades!$P$9,H165)*POWER(Upgrades!$P$10,I165)*POWER(Upgrades!$P$11,J165)*POWER(Upgrades!$P$12,K165))*(IF(Upgrades!$T$6="Magnetosphere",POWER(Upgrades!$U$6,E165),1)*IF(Upgrades!$T$7="Magnetosphere",POWER(Upgrades!$U$7,F165),1)*IF(Upgrades!$T$8="Magnetosphere",POWER(Upgrades!$U$8,G165),1)*IF(Upgrades!$T$10="Magnetosphere",POWER(Upgrades!$U$10,I165),1)*IF(Upgrades!$T$11="Magnetosphere",POWER(Upgrades!$U$11,J165),1)*IF(Upgrades!$T$12="Magnetosphere",POWER(Upgrades!$U$12,K165),1))/AJ165,0)</f>
        <v/>
      </c>
      <c r="AW165" s="32">
        <f>MAX(IF(I165&gt;0,0,IFERROR(0.25*N165/Upgrades!$C$10,0)),IF(J165&gt;0,0,IFERROR(0.5*((IF(G165=0,0,(Upgrades!$J$8+G165*Upgrades!$K$8)*POWER(Upgrades!$L$8,G165)))*(IF(Upgrades!$T$6="Stellar Coupling",POWER(Upgrades!$U$6,E165),1)*IF(Upgrades!$T$7="Stellar Coupling",POWER(Upgrades!$U$7,F165),1)*IF(Upgrades!$T$9="Stellar Coupling",POWER(Upgrades!$U$9,H165),1)*IF(Upgrades!$T$10="Stellar Coupling",POWER(Upgrades!$U$10,I165),1)*IF(Upgrades!$T$11="Stellar Coupling",POWER(Upgrades!$U$11,J165),1)*IF(Upgrades!$T$12="Stellar Coupling",POWER(Upgrades!$U$12,K165),1))*(POWER(Upgrades!$Q$6,E165)*POWER(Upgrades!$Q$7,F165)*POWER(Upgrades!$Q$8,G165)*POWER(Upgrades!$Q$9,H165)*POWER(Upgrades!$Q$10,I165)*POWER(Upgrades!$Q$11,J165)*POWER(Upgrades!$Q$12,K165))*Parameters!$B$10*Parameters!$B$11/60)/Upgrades!$C$11,0)),IF(K165&gt;0,0,IFERROR((1.0*(POWER(Upgrades!$P$6,E165)*POWER(Upgrades!$P$7,F165)*POWER(Upgrades!$P$8,G165)*POWER(Upgrades!$P$9,H165)*POWER(Upgrades!$P$10,I165)*POWER(Upgrades!$P$11,J165)*POWER(Upgrades!$P$12,K165))+0.20*M165*Parameters!$B$10*Parameters!$B$11/60)/Upgrades!$C$12,0)),IF(AND(ISNUMBER(AG165),AG165&gt;T165),AS165,0),IF(AND(ISNUMBER(AH165),AH165&gt;T165),AT165,0),IF(AND(ISNUMBER(AI165),AI165&gt;T165),AU165,0),IF(AND(ISNUMBER(AJ165),AJ165&gt;T165),AV165,0))</f>
        <v/>
      </c>
      <c r="AX165" s="29">
        <f>IF(AN165=1,"transition",IF(MIN(IF(AND(I165=0,ISNUMBER(AK165),AK165&lt;=T165),AK165,9E15),IF(AND(J165=0,ISNUMBER(AL165),AL165&lt;=T165),AL165,9E15),IF(AND(K165=0,ISNUMBER(AM165),AM165&lt;=T165),AM165,9E15))&lt;9E15,IF(AND(AND(I165=0,ISNUMBER(AK165),AK165&lt;=T165),AK165=MIN(IF(AND(I165=0,ISNUMBER(AK165),AK165&lt;=T165),AK165,9E15),IF(AND(J165=0,ISNUMBER(AL165),AL165&lt;=T165),AL165,9E15),IF(AND(K165=0,ISNUMBER(AM165),AM165&lt;=T165),AM165,9E15))),"OR",IF(AND(AND(J165=0,ISNUMBER(AL165),AL165&lt;=T165),AL165=MIN(IF(AND(I165=0,ISNUMBER(AK165),AK165&lt;=T165),AK165,9E15),IF(AND(J165=0,ISNUMBER(AL165),AL165&lt;=T165),AL165,9E15),IF(AND(K165=0,ISNUMBER(AM165),AM165&lt;=T165),AM165,9E15))),"HP","FP")),IF(AR165=TRUE,"",IF(MAX(IF(AND(NOT(AND(AO165=1,AN165&lt;&gt;1)),ISNUMBER(AG165),AG165&lt;=T165),AS165,0),IF(AND(NOT(AND(AO165=1,AN165&lt;&gt;1)),ISNUMBER(AH165),AH165&lt;=T165),AT165,0),IF(AND(NOT(AND(AO165=1,AN165&lt;&gt;1)),ISNUMBER(AI165),AI165&lt;=T165),AU165,0),IF(AND(ISNUMBER(AJ165),AJ165&lt;=T165),AV165,0))&lt;=0,"",IF(AND(IF(AND(NOT(AND(AO165=1,AN165&lt;&gt;1)),ISNUMBER(AG165),AG165&lt;=T165),AS165,0)&gt;0,IF(AND(NOT(AND(AO165=1,AN165&lt;&gt;1)),ISNUMBER(AG165),AG165&lt;=T165),AS165,0)=MAX(IF(AND(NOT(AND(AO165=1,AN165&lt;&gt;1)),ISNUMBER(AG165),AG165&lt;=T165),AS165,0),IF(AND(NOT(AND(AO165=1,AN165&lt;&gt;1)),ISNUMBER(AH165),AH165&lt;=T165),AT165,0),IF(AND(NOT(AND(AO165=1,AN165&lt;&gt;1)),ISNUMBER(AI165),AI165&lt;=T165),AU165,0),IF(AND(ISNUMBER(AJ165),AJ165&lt;=T165),AV165,0))),"SW",IF(AND(IF(AND(NOT(AND(AO165=1,AN165&lt;&gt;1)),ISNUMBER(AH165),AH165&lt;=T165),AT165,0)&gt;0,IF(AND(NOT(AND(AO165=1,AN165&lt;&gt;1)),ISNUMBER(AH165),AH165&lt;=T165),AT165,0)=MAX(IF(AND(NOT(AND(AO165=1,AN165&lt;&gt;1)),ISNUMBER(AG165),AG165&lt;=T165),AS165,0),IF(AND(NOT(AND(AO165=1,AN165&lt;&gt;1)),ISNUMBER(AH165),AH165&lt;=T165),AT165,0),IF(AND(NOT(AND(AO165=1,AN165&lt;&gt;1)),ISNUMBER(AI165),AI165&lt;=T165),AU165,0),IF(AND(ISNUMBER(AJ165),AJ165&lt;=T165),AV165,0))),"AB",IF(AND(IF(AND(NOT(AND(AO165=1,AN165&lt;&gt;1)),ISNUMBER(AI165),AI165&lt;=T165),AU165,0)&gt;0,IF(AND(NOT(AND(AO165=1,AN165&lt;&gt;1)),ISNUMBER(AI165),AI165&lt;=T165),AU165,0)=MAX(IF(AND(NOT(AND(AO165=1,AN165&lt;&gt;1)),ISNUMBER(AG165),AG165&lt;=T165),AS165,0),IF(AND(NOT(AND(AO165=1,AN165&lt;&gt;1)),ISNUMBER(AH165),AH165&lt;=T165),AT165,0),IF(AND(NOT(AND(AO165=1,AN165&lt;&gt;1)),ISNUMBER(AI165),AI165&lt;=T165),AU165,0),IF(AND(ISNUMBER(AJ165),AJ165&lt;=T165),AV165,0))),"SC","Mag")))))))</f>
        <v/>
      </c>
    </row>
    <row r="166">
      <c r="A166" s="26" t="n">
        <v>161</v>
      </c>
      <c r="B166" s="27">
        <f>A166*10/60</f>
        <v/>
      </c>
      <c r="C166" s="22">
        <f>X165</f>
        <v/>
      </c>
      <c r="D166" s="27">
        <f>D165+W165</f>
        <v/>
      </c>
      <c r="E166" s="26">
        <f>E165+IF(U165="SW",1,0)</f>
        <v/>
      </c>
      <c r="F166" s="26">
        <f>F165+IF(U165="AB",1,0)</f>
        <v/>
      </c>
      <c r="G166" s="26">
        <f>G165+IF(U165="SC",1,0)</f>
        <v/>
      </c>
      <c r="H166" s="26">
        <f>H165+IF(U165="Mag",1,0)</f>
        <v/>
      </c>
      <c r="I166" s="26">
        <f>MAX(I165,IF(U165="OR",1,0))</f>
        <v/>
      </c>
      <c r="J166" s="26">
        <f>MAX(J165,IF(U165="HP",1,0))</f>
        <v/>
      </c>
      <c r="K166" s="26">
        <f>MAX(K165,IF(U165="FP",1,0))</f>
        <v/>
      </c>
      <c r="L166" s="26">
        <f>MAX(L165,IF(U165="transition",1,0))</f>
        <v/>
      </c>
      <c r="M166" s="28">
        <f>(Parameters!$B$9+(IF(E166=0,0,(Upgrades!$J$6+E166*Upgrades!$K$6)*POWER(Upgrades!$L$6,E166)))*(IF(Upgrades!$T$7="Solar Wind",POWER(Upgrades!$U$7,F166),1)*IF(Upgrades!$T$8="Solar Wind",POWER(Upgrades!$U$8,G166),1)*IF(Upgrades!$T$9="Solar Wind",POWER(Upgrades!$U$9,H166),1)*IF(Upgrades!$T$10="Solar Wind",POWER(Upgrades!$U$10,I166),1)*IF(Upgrades!$T$11="Solar Wind",POWER(Upgrades!$U$11,J166),1)*IF(Upgrades!$T$12="Solar Wind",POWER(Upgrades!$U$12,K166),1))+(IF(F166=0,0,(Upgrades!$J$7+F166*Upgrades!$K$7)*POWER(Upgrades!$L$7,F166)))*(IF(Upgrades!$T$6="Asteroid Belt",POWER(Upgrades!$U$6,E166),1)*IF(Upgrades!$T$8="Asteroid Belt",POWER(Upgrades!$U$8,G166),1)*IF(Upgrades!$T$9="Asteroid Belt",POWER(Upgrades!$U$9,H166),1)*IF(Upgrades!$T$10="Asteroid Belt",POWER(Upgrades!$U$10,I166),1)*IF(Upgrades!$T$11="Asteroid Belt",POWER(Upgrades!$U$11,J166),1)*IF(Upgrades!$T$12="Asteroid Belt",POWER(Upgrades!$U$12,K166),1))+(IF(G166=0,0,(Upgrades!$J$8+G166*Upgrades!$K$8)*POWER(Upgrades!$L$8,G166)))*(IF(Upgrades!$T$6="Stellar Coupling",POWER(Upgrades!$U$6,E166),1)*IF(Upgrades!$T$7="Stellar Coupling",POWER(Upgrades!$U$7,F166),1)*IF(Upgrades!$T$9="Stellar Coupling",POWER(Upgrades!$U$9,H166),1)*IF(Upgrades!$T$10="Stellar Coupling",POWER(Upgrades!$U$10,I166),1)*IF(Upgrades!$T$11="Stellar Coupling",POWER(Upgrades!$U$11,J166),1)*IF(Upgrades!$T$12="Stellar Coupling",POWER(Upgrades!$U$12,K166),1))+(IF(H166=0,0,(Upgrades!$J$9+H166*Upgrades!$K$9)*POWER(Upgrades!$L$9,H166)))*(IF(Upgrades!$T$6="Magnetosphere",POWER(Upgrades!$U$6,E166),1)*IF(Upgrades!$T$7="Magnetosphere",POWER(Upgrades!$U$7,F166),1)*IF(Upgrades!$T$8="Magnetosphere",POWER(Upgrades!$U$8,G166),1)*IF(Upgrades!$T$10="Magnetosphere",POWER(Upgrades!$U$10,I166),1)*IF(Upgrades!$T$11="Magnetosphere",POWER(Upgrades!$U$11,J166),1)*IF(Upgrades!$T$12="Magnetosphere",POWER(Upgrades!$U$12,K166),1))+(IF(I166=0,0,(Upgrades!$J$10+I166*Upgrades!$K$10)*POWER(Upgrades!$L$10,I166)))*(IF(Upgrades!$T$6="Orbital Resonance",POWER(Upgrades!$U$6,E166),1)*IF(Upgrades!$T$7="Orbital Resonance",POWER(Upgrades!$U$7,F166),1)*IF(Upgrades!$T$8="Orbital Resonance",POWER(Upgrades!$U$8,G166),1)*IF(Upgrades!$T$9="Orbital Resonance",POWER(Upgrades!$U$9,H166),1)*IF(Upgrades!$T$11="Orbital Resonance",POWER(Upgrades!$U$11,J166),1)*IF(Upgrades!$T$12="Orbital Resonance",POWER(Upgrades!$U$12,K166),1))+(IF(J166=0,0,(Upgrades!$J$11+J166*Upgrades!$K$11)*POWER(Upgrades!$L$11,J166)))*(IF(Upgrades!$T$6="Heliopause",POWER(Upgrades!$U$6,E166),1)*IF(Upgrades!$T$7="Heliopause",POWER(Upgrades!$U$7,F166),1)*IF(Upgrades!$T$8="Heliopause",POWER(Upgrades!$U$8,G166),1)*IF(Upgrades!$T$9="Heliopause",POWER(Upgrades!$U$9,H166),1)*IF(Upgrades!$T$10="Heliopause",POWER(Upgrades!$U$10,I166),1)*IF(Upgrades!$T$12="Heliopause",POWER(Upgrades!$U$12,K166),1))+(IF(K166=0,0,(Upgrades!$J$12+K166*Upgrades!$K$12)*POWER(Upgrades!$L$12,K166)))*(IF(Upgrades!$T$6="First Photons",POWER(Upgrades!$U$6,E166),1)*IF(Upgrades!$T$7="First Photons",POWER(Upgrades!$U$7,F166),1)*IF(Upgrades!$T$8="First Photons",POWER(Upgrades!$U$8,G166),1)*IF(Upgrades!$T$9="First Photons",POWER(Upgrades!$U$9,H166),1)*IF(Upgrades!$T$10="First Photons",POWER(Upgrades!$U$10,I166),1)*IF(Upgrades!$T$11="First Photons",POWER(Upgrades!$U$11,J166),1)))*POWER(Upgrades!$Q$6,E166)*POWER(Upgrades!$Q$7,F166)*POWER(Upgrades!$Q$8,G166)*POWER(Upgrades!$Q$9,H166)*POWER(Upgrades!$Q$10,I166)*POWER(Upgrades!$Q$11,J166)*POWER(Upgrades!$Q$12,K166)</f>
        <v/>
      </c>
      <c r="N166" s="28">
        <f>((IF(E166=0,0,(Upgrades!$G$6+E166*Upgrades!$H$6)*POWER(Upgrades!$I$6,E166)))*(IF(Upgrades!$T$7="Solar Wind",POWER(Upgrades!$U$7,F166),1)*IF(Upgrades!$T$8="Solar Wind",POWER(Upgrades!$U$8,G166),1)*IF(Upgrades!$T$9="Solar Wind",POWER(Upgrades!$U$9,H166),1)*IF(Upgrades!$T$10="Solar Wind",POWER(Upgrades!$U$10,I166),1)*IF(Upgrades!$T$11="Solar Wind",POWER(Upgrades!$U$11,J166),1)*IF(Upgrades!$T$12="Solar Wind",POWER(Upgrades!$U$12,K166),1))+(IF(F166=0,0,(Upgrades!$G$7+F166*Upgrades!$H$7)*POWER(Upgrades!$I$7,F166)))*(IF(Upgrades!$T$6="Asteroid Belt",POWER(Upgrades!$U$6,E166),1)*IF(Upgrades!$T$8="Asteroid Belt",POWER(Upgrades!$U$8,G166),1)*IF(Upgrades!$T$9="Asteroid Belt",POWER(Upgrades!$U$9,H166),1)*IF(Upgrades!$T$10="Asteroid Belt",POWER(Upgrades!$U$10,I166),1)*IF(Upgrades!$T$11="Asteroid Belt",POWER(Upgrades!$U$11,J166),1)*IF(Upgrades!$T$12="Asteroid Belt",POWER(Upgrades!$U$12,K166),1))+(IF(G166=0,0,(Upgrades!$G$8+G166*Upgrades!$H$8)*POWER(Upgrades!$I$8,G166)))*(IF(Upgrades!$T$6="Stellar Coupling",POWER(Upgrades!$U$6,E166),1)*IF(Upgrades!$T$7="Stellar Coupling",POWER(Upgrades!$U$7,F166),1)*IF(Upgrades!$T$9="Stellar Coupling",POWER(Upgrades!$U$9,H166),1)*IF(Upgrades!$T$10="Stellar Coupling",POWER(Upgrades!$U$10,I166),1)*IF(Upgrades!$T$11="Stellar Coupling",POWER(Upgrades!$U$11,J166),1)*IF(Upgrades!$T$12="Stellar Coupling",POWER(Upgrades!$U$12,K166),1))+(IF(H166=0,0,(Upgrades!$G$9+H166*Upgrades!$H$9)*POWER(Upgrades!$I$9,H166)))*(IF(Upgrades!$T$6="Magnetosphere",POWER(Upgrades!$U$6,E166),1)*IF(Upgrades!$T$7="Magnetosphere",POWER(Upgrades!$U$7,F166),1)*IF(Upgrades!$T$8="Magnetosphere",POWER(Upgrades!$U$8,G166),1)*IF(Upgrades!$T$10="Magnetosphere",POWER(Upgrades!$U$10,I166),1)*IF(Upgrades!$T$11="Magnetosphere",POWER(Upgrades!$U$11,J166),1)*IF(Upgrades!$T$12="Magnetosphere",POWER(Upgrades!$U$12,K166),1))+(IF(I166=0,0,(Upgrades!$G$10+I166*Upgrades!$H$10)*POWER(Upgrades!$I$10,I166)))*(IF(Upgrades!$T$6="Orbital Resonance",POWER(Upgrades!$U$6,E166),1)*IF(Upgrades!$T$7="Orbital Resonance",POWER(Upgrades!$U$7,F166),1)*IF(Upgrades!$T$8="Orbital Resonance",POWER(Upgrades!$U$8,G166),1)*IF(Upgrades!$T$9="Orbital Resonance",POWER(Upgrades!$U$9,H166),1)*IF(Upgrades!$T$11="Orbital Resonance",POWER(Upgrades!$U$11,J166),1)*IF(Upgrades!$T$12="Orbital Resonance",POWER(Upgrades!$U$12,K166),1))+(IF(J166=0,0,(Upgrades!$G$11+J166*Upgrades!$H$11)*POWER(Upgrades!$I$11,J166)))*(IF(Upgrades!$T$6="Heliopause",POWER(Upgrades!$U$6,E166),1)*IF(Upgrades!$T$7="Heliopause",POWER(Upgrades!$U$7,F166),1)*IF(Upgrades!$T$8="Heliopause",POWER(Upgrades!$U$8,G166),1)*IF(Upgrades!$T$9="Heliopause",POWER(Upgrades!$U$9,H166),1)*IF(Upgrades!$T$10="Heliopause",POWER(Upgrades!$U$10,I166),1)*IF(Upgrades!$T$12="Heliopause",POWER(Upgrades!$U$12,K166),1))+(IF(K166=0,0,(Upgrades!$G$12+K166*Upgrades!$H$12)*POWER(Upgrades!$I$12,K166)))*(IF(Upgrades!$T$6="First Photons",POWER(Upgrades!$U$6,E166),1)*IF(Upgrades!$T$7="First Photons",POWER(Upgrades!$U$7,F166),1)*IF(Upgrades!$T$8="First Photons",POWER(Upgrades!$U$8,G166),1)*IF(Upgrades!$T$9="First Photons",POWER(Upgrades!$U$9,H166),1)*IF(Upgrades!$T$10="First Photons",POWER(Upgrades!$U$10,I166),1)*IF(Upgrades!$T$11="First Photons",POWER(Upgrades!$U$11,J166),1)))*POWER(Upgrades!$P$6,E166)*POWER(Upgrades!$P$7,F166)*POWER(Upgrades!$P$8,G166)*POWER(Upgrades!$P$9,H166)*POWER(Upgrades!$P$10,I166)*POWER(Upgrades!$P$11,J166)*POWER(Upgrades!$P$12,K166)</f>
        <v/>
      </c>
      <c r="O166" s="28">
        <f>((IF(E166=0,0,(Upgrades!$M$6+E166*Upgrades!$N$6)*POWER(Upgrades!$O$6,E166)))*(IF(Upgrades!$T$7="Solar Wind",POWER(Upgrades!$U$7,F166),1)*IF(Upgrades!$T$8="Solar Wind",POWER(Upgrades!$U$8,G166),1)*IF(Upgrades!$T$9="Solar Wind",POWER(Upgrades!$U$9,H166),1)*IF(Upgrades!$T$10="Solar Wind",POWER(Upgrades!$U$10,I166),1)*IF(Upgrades!$T$11="Solar Wind",POWER(Upgrades!$U$11,J166),1)*IF(Upgrades!$T$12="Solar Wind",POWER(Upgrades!$U$12,K166),1))+(IF(F166=0,0,(Upgrades!$M$7+F166*Upgrades!$N$7)*POWER(Upgrades!$O$7,F166)))*(IF(Upgrades!$T$6="Asteroid Belt",POWER(Upgrades!$U$6,E166),1)*IF(Upgrades!$T$8="Asteroid Belt",POWER(Upgrades!$U$8,G166),1)*IF(Upgrades!$T$9="Asteroid Belt",POWER(Upgrades!$U$9,H166),1)*IF(Upgrades!$T$10="Asteroid Belt",POWER(Upgrades!$U$10,I166),1)*IF(Upgrades!$T$11="Asteroid Belt",POWER(Upgrades!$U$11,J166),1)*IF(Upgrades!$T$12="Asteroid Belt",POWER(Upgrades!$U$12,K166),1))+(IF(G166=0,0,(Upgrades!$M$8+G166*Upgrades!$N$8)*POWER(Upgrades!$O$8,G166)))*(IF(Upgrades!$T$6="Stellar Coupling",POWER(Upgrades!$U$6,E166),1)*IF(Upgrades!$T$7="Stellar Coupling",POWER(Upgrades!$U$7,F166),1)*IF(Upgrades!$T$9="Stellar Coupling",POWER(Upgrades!$U$9,H166),1)*IF(Upgrades!$T$10="Stellar Coupling",POWER(Upgrades!$U$10,I166),1)*IF(Upgrades!$T$11="Stellar Coupling",POWER(Upgrades!$U$11,J166),1)*IF(Upgrades!$T$12="Stellar Coupling",POWER(Upgrades!$U$12,K166),1))+(IF(H166=0,0,(Upgrades!$M$9+H166*Upgrades!$N$9)*POWER(Upgrades!$O$9,H166)))*(IF(Upgrades!$T$6="Magnetosphere",POWER(Upgrades!$U$6,E166),1)*IF(Upgrades!$T$7="Magnetosphere",POWER(Upgrades!$U$7,F166),1)*IF(Upgrades!$T$8="Magnetosphere",POWER(Upgrades!$U$8,G166),1)*IF(Upgrades!$T$10="Magnetosphere",POWER(Upgrades!$U$10,I166),1)*IF(Upgrades!$T$11="Magnetosphere",POWER(Upgrades!$U$11,J166),1)*IF(Upgrades!$T$12="Magnetosphere",POWER(Upgrades!$U$12,K166),1))+(IF(I166=0,0,(Upgrades!$M$10+I166*Upgrades!$N$10)*POWER(Upgrades!$O$10,I166)))*(IF(Upgrades!$T$6="Orbital Resonance",POWER(Upgrades!$U$6,E166),1)*IF(Upgrades!$T$7="Orbital Resonance",POWER(Upgrades!$U$7,F166),1)*IF(Upgrades!$T$8="Orbital Resonance",POWER(Upgrades!$U$8,G166),1)*IF(Upgrades!$T$9="Orbital Resonance",POWER(Upgrades!$U$9,H166),1)*IF(Upgrades!$T$11="Orbital Resonance",POWER(Upgrades!$U$11,J166),1)*IF(Upgrades!$T$12="Orbital Resonance",POWER(Upgrades!$U$12,K166),1))+(IF(J166=0,0,(Upgrades!$M$11+J166*Upgrades!$N$11)*POWER(Upgrades!$O$11,J166)))*(IF(Upgrades!$T$6="Heliopause",POWER(Upgrades!$U$6,E166),1)*IF(Upgrades!$T$7="Heliopause",POWER(Upgrades!$U$7,F166),1)*IF(Upgrades!$T$8="Heliopause",POWER(Upgrades!$U$8,G166),1)*IF(Upgrades!$T$9="Heliopause",POWER(Upgrades!$U$9,H166),1)*IF(Upgrades!$T$10="Heliopause",POWER(Upgrades!$U$10,I166),1)*IF(Upgrades!$T$12="Heliopause",POWER(Upgrades!$U$12,K166),1))+(IF(K166=0,0,(Upgrades!$M$12+K166*Upgrades!$N$12)*POWER(Upgrades!$O$12,K166)))*(IF(Upgrades!$T$6="First Photons",POWER(Upgrades!$U$6,E166),1)*IF(Upgrades!$T$7="First Photons",POWER(Upgrades!$U$7,F166),1)*IF(Upgrades!$T$8="First Photons",POWER(Upgrades!$U$8,G166),1)*IF(Upgrades!$T$9="First Photons",POWER(Upgrades!$U$9,H166),1)*IF(Upgrades!$T$10="First Photons",POWER(Upgrades!$U$10,I166),1)*IF(Upgrades!$T$11="First Photons",POWER(Upgrades!$U$11,J166),1)))*POWER(Upgrades!$R$6,E166)*POWER(Upgrades!$R$7,F166)*POWER(Upgrades!$R$8,G166)*POWER(Upgrades!$R$9,H166)*POWER(Upgrades!$R$10,I166)*POWER(Upgrades!$R$11,J166)*POWER(Upgrades!$R$12,K166)</f>
        <v/>
      </c>
      <c r="P166" s="27">
        <f>IF(L166=1,0,M166*Parameters!$B$10/60*Parameters!$B$11*10)</f>
        <v/>
      </c>
      <c r="Q166" s="27">
        <f>IF(L166=1,0,O166*M166*10)</f>
        <v/>
      </c>
      <c r="R166" s="27">
        <f>IF(L166=1,0,N166*10)</f>
        <v/>
      </c>
      <c r="S166" s="27">
        <f>P166+Q166+R166</f>
        <v/>
      </c>
      <c r="T166" s="22">
        <f>C166+S166</f>
        <v/>
      </c>
      <c r="U166" s="33">
        <f>AX166</f>
        <v/>
      </c>
      <c r="V166" s="22">
        <f>IF(U166="",0,IF(U166="transition",0,IF(U166="SW",AG166,IF(U166="AB",AH166,IF(U166="SC",AI166,IF(U166="Mag",AJ166,IF(U166="OR",AK166,IF(U166="HP",AL166,IF(U166="FP",AM166,0)))))))))</f>
        <v/>
      </c>
      <c r="W166" s="27">
        <f>IF(U166="OR",Upgrades!$F$10,IF(U166="HP",Upgrades!$F$11,IF(U166="transition",-Parameters!$B$18,0)))</f>
        <v/>
      </c>
      <c r="X166" s="22">
        <f>T166-V166</f>
        <v/>
      </c>
      <c r="Y166" s="30">
        <f>M166*Parameters!$B$10/60*Parameters!$B$11+O166*M166+N166</f>
        <v/>
      </c>
      <c r="Z166" s="34">
        <f>IF(U166="transition","→ Tier 2 (Stellar Neighborhood)",IF(U166="FP","First Photons — light begins, system quickens",IF(U166="HP","Heliopause acquired",IF(U166="OR","Orbital Resonance — passive multiplier active",IF(AND(AO166=1,L166=0,AN166&lt;&gt;1),"Cohesion ready (waiting on completionist upgrades)","")))))</f>
        <v/>
      </c>
      <c r="AA166" s="27">
        <f>(IF(E166=0,0,(Upgrades!$G$6+E166*Upgrades!$H$6)*POWER(Upgrades!$I$6,E166)))*(IF(Upgrades!$T$7="Solar Wind",POWER(Upgrades!$U$7,F166),1)*IF(Upgrades!$T$8="Solar Wind",POWER(Upgrades!$U$8,G166),1)*IF(Upgrades!$T$9="Solar Wind",POWER(Upgrades!$U$9,H166),1)*IF(Upgrades!$T$10="Solar Wind",POWER(Upgrades!$U$10,I166),1)*IF(Upgrades!$T$11="Solar Wind",POWER(Upgrades!$U$11,J166),1)*IF(Upgrades!$T$12="Solar Wind",POWER(Upgrades!$U$12,K166),1))*POWER(Upgrades!$P$6,E166)*POWER(Upgrades!$P$7,F166)*POWER(Upgrades!$P$8,G166)*POWER(Upgrades!$P$9,H166)*POWER(Upgrades!$P$10,I166)*POWER(Upgrades!$P$11,J166)*POWER(Upgrades!$P$12,K166)*60</f>
        <v/>
      </c>
      <c r="AB166" s="27">
        <f>(IF(F166=0,0,(Upgrades!$G$7+F166*Upgrades!$H$7)*POWER(Upgrades!$I$7,F166)))*(IF(Upgrades!$T$6="Asteroid Belt",POWER(Upgrades!$U$6,E166),1)*IF(Upgrades!$T$8="Asteroid Belt",POWER(Upgrades!$U$8,G166),1)*IF(Upgrades!$T$9="Asteroid Belt",POWER(Upgrades!$U$9,H166),1)*IF(Upgrades!$T$10="Asteroid Belt",POWER(Upgrades!$U$10,I166),1)*IF(Upgrades!$T$11="Asteroid Belt",POWER(Upgrades!$U$11,J166),1)*IF(Upgrades!$T$12="Asteroid Belt",POWER(Upgrades!$U$12,K166),1))*POWER(Upgrades!$P$6,E166)*POWER(Upgrades!$P$7,F166)*POWER(Upgrades!$P$8,G166)*POWER(Upgrades!$P$9,H166)*POWER(Upgrades!$P$10,I166)*POWER(Upgrades!$P$11,J166)*POWER(Upgrades!$P$12,K166)*60</f>
        <v/>
      </c>
      <c r="AC166" s="27">
        <f>(IF(G166=0,0,(Upgrades!$J$8+G166*Upgrades!$K$8)*POWER(Upgrades!$L$8,G166)))*(IF(Upgrades!$T$6="Stellar Coupling",POWER(Upgrades!$U$6,E166),1)*IF(Upgrades!$T$7="Stellar Coupling",POWER(Upgrades!$U$7,F166),1)*IF(Upgrades!$T$9="Stellar Coupling",POWER(Upgrades!$U$9,H166),1)*IF(Upgrades!$T$10="Stellar Coupling",POWER(Upgrades!$U$10,I166),1)*IF(Upgrades!$T$11="Stellar Coupling",POWER(Upgrades!$U$11,J166),1)*IF(Upgrades!$T$12="Stellar Coupling",POWER(Upgrades!$U$12,K166),1))*POWER(Upgrades!$Q$6,E166)*POWER(Upgrades!$Q$7,F166)*POWER(Upgrades!$Q$8,G166)*POWER(Upgrades!$Q$9,H166)*POWER(Upgrades!$Q$10,I166)*POWER(Upgrades!$Q$11,J166)*POWER(Upgrades!$Q$12,K166)*Parameters!$B$10*Parameters!$B$11</f>
        <v/>
      </c>
      <c r="AD166" s="27">
        <f>(IF(H166=0,0,(Upgrades!$G$9+H166*Upgrades!$H$9)*POWER(Upgrades!$I$9,H166)))*(IF(Upgrades!$T$6="Magnetosphere",POWER(Upgrades!$U$6,E166),1)*IF(Upgrades!$T$7="Magnetosphere",POWER(Upgrades!$U$7,F166),1)*IF(Upgrades!$T$8="Magnetosphere",POWER(Upgrades!$U$8,G166),1)*IF(Upgrades!$T$10="Magnetosphere",POWER(Upgrades!$U$10,I166),1)*IF(Upgrades!$T$11="Magnetosphere",POWER(Upgrades!$U$11,J166),1)*IF(Upgrades!$T$12="Magnetosphere",POWER(Upgrades!$U$12,K166),1))*POWER(Upgrades!$P$6,E166)*POWER(Upgrades!$P$7,F166)*POWER(Upgrades!$P$8,G166)*POWER(Upgrades!$P$9,H166)*POWER(Upgrades!$P$10,I166)*POWER(Upgrades!$P$11,J166)*POWER(Upgrades!$P$12,K166)*60</f>
        <v/>
      </c>
      <c r="AE166" s="27">
        <f>(IF(K166=0,0,(Upgrades!$G$12+K166*Upgrades!$H$12)*POWER(Upgrades!$I$12,K166)))*(IF(Upgrades!$T$6="First Photons",POWER(Upgrades!$U$6,E166),1)*IF(Upgrades!$T$7="First Photons",POWER(Upgrades!$U$7,F166),1)*IF(Upgrades!$T$8="First Photons",POWER(Upgrades!$U$8,G166),1)*IF(Upgrades!$T$9="First Photons",POWER(Upgrades!$U$9,H166),1)*IF(Upgrades!$T$10="First Photons",POWER(Upgrades!$U$10,I166),1)*IF(Upgrades!$T$11="First Photons",POWER(Upgrades!$U$11,J166),1))*POWER(Upgrades!$P$6,E166)*POWER(Upgrades!$P$7,F166)*POWER(Upgrades!$P$8,G166)*POWER(Upgrades!$P$9,H166)*POWER(Upgrades!$P$10,I166)*POWER(Upgrades!$P$11,J166)*POWER(Upgrades!$P$12,K166)*60</f>
        <v/>
      </c>
      <c r="AF166" s="27">
        <f>Parameters!$B$9*POWER(Upgrades!$Q$6,E166)*POWER(Upgrades!$Q$7,F166)*POWER(Upgrades!$Q$8,G166)*POWER(Upgrades!$Q$9,H166)*POWER(Upgrades!$Q$10,I166)*POWER(Upgrades!$Q$11,J166)*POWER(Upgrades!$Q$12,K166)*(Parameters!$B$10*Parameters!$B$11+O166*60)</f>
        <v/>
      </c>
      <c r="AG166" s="22">
        <f>IF(E166&gt;=Upgrades!$E$6,"",Upgrades!$C$6*POWER(Upgrades!$D$6,E166))</f>
        <v/>
      </c>
      <c r="AH166" s="22">
        <f>IF(F166&gt;=Upgrades!$E$7,"",Upgrades!$C$7*POWER(Upgrades!$D$7,F166))</f>
        <v/>
      </c>
      <c r="AI166" s="22">
        <f>IF(G166&gt;=Upgrades!$E$8,"",Upgrades!$C$8*POWER(Upgrades!$D$8,G166))</f>
        <v/>
      </c>
      <c r="AJ166" s="22">
        <f>IF(H166&gt;=Upgrades!$E$9,"",Upgrades!$C$9*POWER(Upgrades!$D$9,H166))</f>
        <v/>
      </c>
      <c r="AK166" s="22">
        <f>IF(I166&gt;=Upgrades!$E$10,"",Upgrades!$C$10*POWER(Upgrades!$D$10,I166))</f>
        <v/>
      </c>
      <c r="AL166" s="22">
        <f>IF(J166&gt;=Upgrades!$E$11,"",Upgrades!$C$11*POWER(Upgrades!$D$11,J166))</f>
        <v/>
      </c>
      <c r="AM166" s="22">
        <f>IF(K166&gt;=Upgrades!$E$12,"",Upgrades!$C$12*POWER(Upgrades!$D$12,K166))</f>
        <v/>
      </c>
      <c r="AN166" s="26">
        <f>IF(AND(D166&gt;=Parameters!$B$18,(H166&gt;=Upgrades!$E$9)*(K166&gt;=Upgrades!$E$12)=1,L166=0),1,"")</f>
        <v/>
      </c>
      <c r="AO166" s="26">
        <f>IF(AND(D166&gt;=Parameters!$B$18,L166=0),1,"")</f>
        <v/>
      </c>
      <c r="AP166" s="22">
        <f>MIN(IF(ISNUMBER(AK166),AK166,9E15),IF(ISNUMBER(AL166),AL166,9E15),IF(ISNUMBER(AM166),AM166,9E15))</f>
        <v/>
      </c>
      <c r="AQ166" s="22">
        <f>MIN(IF(ISNUMBER(AG166),AG166,9E15),IF(ISNUMBER(AH166),AH166,9E15),IF(ISNUMBER(AI166),AI166,9E15),IF(ISNUMBER(AJ166),AJ166,9E15))</f>
        <v/>
      </c>
      <c r="AR166" s="29">
        <f>IF(AW166&gt;Parameters!$B$21*(MAX(IF(AND(NOT(AND(AO166=1,AN166&lt;&gt;1)),ISNUMBER(AG166),AG166&lt;=T166),AS166,0),IF(AND(NOT(AND(AO166=1,AN166&lt;&gt;1)),ISNUMBER(AH166),AH166&lt;=T166),AT166,0),IF(AND(NOT(AND(AO166=1,AN166&lt;&gt;1)),ISNUMBER(AI166),AI166&lt;=T166),AU166,0),IF(AND(ISNUMBER(AJ166),AJ166&lt;=T166),AV166,0))),TRUE,FALSE)</f>
        <v/>
      </c>
      <c r="AS166" s="32">
        <f>IFERROR(Upgrades!$H$6*(POWER(Upgrades!$P$6,E166)*POWER(Upgrades!$P$7,F166)*POWER(Upgrades!$P$8,G166)*POWER(Upgrades!$P$9,H166)*POWER(Upgrades!$P$10,I166)*POWER(Upgrades!$P$11,J166)*POWER(Upgrades!$P$12,K166))*(IF(Upgrades!$T$7="Solar Wind",POWER(Upgrades!$U$7,F166),1)*IF(Upgrades!$T$8="Solar Wind",POWER(Upgrades!$U$8,G166),1)*IF(Upgrades!$T$9="Solar Wind",POWER(Upgrades!$U$9,H166),1)*IF(Upgrades!$T$10="Solar Wind",POWER(Upgrades!$U$10,I166),1)*IF(Upgrades!$T$11="Solar Wind",POWER(Upgrades!$U$11,J166),1)*IF(Upgrades!$T$12="Solar Wind",POWER(Upgrades!$U$12,K166),1))/AG166,0)</f>
        <v/>
      </c>
      <c r="AT166" s="32">
        <f>IFERROR(Upgrades!$H$7*(POWER(Upgrades!$P$6,E166)*POWER(Upgrades!$P$7,F166)*POWER(Upgrades!$P$8,G166)*POWER(Upgrades!$P$9,H166)*POWER(Upgrades!$P$10,I166)*POWER(Upgrades!$P$11,J166)*POWER(Upgrades!$P$12,K166))*(IF(Upgrades!$T$6="Asteroid Belt",POWER(Upgrades!$U$6,E166),1)*IF(Upgrades!$T$8="Asteroid Belt",POWER(Upgrades!$U$8,G166),1)*IF(Upgrades!$T$9="Asteroid Belt",POWER(Upgrades!$U$9,H166),1)*IF(Upgrades!$T$10="Asteroid Belt",POWER(Upgrades!$U$10,I166),1)*IF(Upgrades!$T$11="Asteroid Belt",POWER(Upgrades!$U$11,J166),1)*IF(Upgrades!$T$12="Asteroid Belt",POWER(Upgrades!$U$12,K166),1))/AH166,0)</f>
        <v/>
      </c>
      <c r="AU166" s="32">
        <f>IFERROR(Upgrades!$K$8*(POWER(Upgrades!$Q$6,E166)*POWER(Upgrades!$Q$7,F166)*POWER(Upgrades!$Q$8,G166)*POWER(Upgrades!$Q$9,H166)*POWER(Upgrades!$Q$10,I166)*POWER(Upgrades!$Q$11,J166)*POWER(Upgrades!$Q$12,K166))*(IF(Upgrades!$T$6="Stellar Coupling",POWER(Upgrades!$U$6,E166),1)*IF(Upgrades!$T$7="Stellar Coupling",POWER(Upgrades!$U$7,F166),1)*IF(Upgrades!$T$9="Stellar Coupling",POWER(Upgrades!$U$9,H166),1)*IF(Upgrades!$T$10="Stellar Coupling",POWER(Upgrades!$U$10,I166),1)*IF(Upgrades!$T$11="Stellar Coupling",POWER(Upgrades!$U$11,J166),1)*IF(Upgrades!$T$12="Stellar Coupling",POWER(Upgrades!$U$12,K166),1))*Parameters!$B$10*Parameters!$B$11/60/AI166,0)</f>
        <v/>
      </c>
      <c r="AV166" s="32">
        <f>IFERROR(Upgrades!$H$9*(POWER(Upgrades!$P$6,E166)*POWER(Upgrades!$P$7,F166)*POWER(Upgrades!$P$8,G166)*POWER(Upgrades!$P$9,H166)*POWER(Upgrades!$P$10,I166)*POWER(Upgrades!$P$11,J166)*POWER(Upgrades!$P$12,K166))*(IF(Upgrades!$T$6="Magnetosphere",POWER(Upgrades!$U$6,E166),1)*IF(Upgrades!$T$7="Magnetosphere",POWER(Upgrades!$U$7,F166),1)*IF(Upgrades!$T$8="Magnetosphere",POWER(Upgrades!$U$8,G166),1)*IF(Upgrades!$T$10="Magnetosphere",POWER(Upgrades!$U$10,I166),1)*IF(Upgrades!$T$11="Magnetosphere",POWER(Upgrades!$U$11,J166),1)*IF(Upgrades!$T$12="Magnetosphere",POWER(Upgrades!$U$12,K166),1))/AJ166,0)</f>
        <v/>
      </c>
      <c r="AW166" s="32">
        <f>MAX(IF(I166&gt;0,0,IFERROR(0.25*N166/Upgrades!$C$10,0)),IF(J166&gt;0,0,IFERROR(0.5*((IF(G166=0,0,(Upgrades!$J$8+G166*Upgrades!$K$8)*POWER(Upgrades!$L$8,G166)))*(IF(Upgrades!$T$6="Stellar Coupling",POWER(Upgrades!$U$6,E166),1)*IF(Upgrades!$T$7="Stellar Coupling",POWER(Upgrades!$U$7,F166),1)*IF(Upgrades!$T$9="Stellar Coupling",POWER(Upgrades!$U$9,H166),1)*IF(Upgrades!$T$10="Stellar Coupling",POWER(Upgrades!$U$10,I166),1)*IF(Upgrades!$T$11="Stellar Coupling",POWER(Upgrades!$U$11,J166),1)*IF(Upgrades!$T$12="Stellar Coupling",POWER(Upgrades!$U$12,K166),1))*(POWER(Upgrades!$Q$6,E166)*POWER(Upgrades!$Q$7,F166)*POWER(Upgrades!$Q$8,G166)*POWER(Upgrades!$Q$9,H166)*POWER(Upgrades!$Q$10,I166)*POWER(Upgrades!$Q$11,J166)*POWER(Upgrades!$Q$12,K166))*Parameters!$B$10*Parameters!$B$11/60)/Upgrades!$C$11,0)),IF(K166&gt;0,0,IFERROR((1.0*(POWER(Upgrades!$P$6,E166)*POWER(Upgrades!$P$7,F166)*POWER(Upgrades!$P$8,G166)*POWER(Upgrades!$P$9,H166)*POWER(Upgrades!$P$10,I166)*POWER(Upgrades!$P$11,J166)*POWER(Upgrades!$P$12,K166))+0.20*M166*Parameters!$B$10*Parameters!$B$11/60)/Upgrades!$C$12,0)),IF(AND(ISNUMBER(AG166),AG166&gt;T166),AS166,0),IF(AND(ISNUMBER(AH166),AH166&gt;T166),AT166,0),IF(AND(ISNUMBER(AI166),AI166&gt;T166),AU166,0),IF(AND(ISNUMBER(AJ166),AJ166&gt;T166),AV166,0))</f>
        <v/>
      </c>
      <c r="AX166" s="29">
        <f>IF(AN166=1,"transition",IF(MIN(IF(AND(I166=0,ISNUMBER(AK166),AK166&lt;=T166),AK166,9E15),IF(AND(J166=0,ISNUMBER(AL166),AL166&lt;=T166),AL166,9E15),IF(AND(K166=0,ISNUMBER(AM166),AM166&lt;=T166),AM166,9E15))&lt;9E15,IF(AND(AND(I166=0,ISNUMBER(AK166),AK166&lt;=T166),AK166=MIN(IF(AND(I166=0,ISNUMBER(AK166),AK166&lt;=T166),AK166,9E15),IF(AND(J166=0,ISNUMBER(AL166),AL166&lt;=T166),AL166,9E15),IF(AND(K166=0,ISNUMBER(AM166),AM166&lt;=T166),AM166,9E15))),"OR",IF(AND(AND(J166=0,ISNUMBER(AL166),AL166&lt;=T166),AL166=MIN(IF(AND(I166=0,ISNUMBER(AK166),AK166&lt;=T166),AK166,9E15),IF(AND(J166=0,ISNUMBER(AL166),AL166&lt;=T166),AL166,9E15),IF(AND(K166=0,ISNUMBER(AM166),AM166&lt;=T166),AM166,9E15))),"HP","FP")),IF(AR166=TRUE,"",IF(MAX(IF(AND(NOT(AND(AO166=1,AN166&lt;&gt;1)),ISNUMBER(AG166),AG166&lt;=T166),AS166,0),IF(AND(NOT(AND(AO166=1,AN166&lt;&gt;1)),ISNUMBER(AH166),AH166&lt;=T166),AT166,0),IF(AND(NOT(AND(AO166=1,AN166&lt;&gt;1)),ISNUMBER(AI166),AI166&lt;=T166),AU166,0),IF(AND(ISNUMBER(AJ166),AJ166&lt;=T166),AV166,0))&lt;=0,"",IF(AND(IF(AND(NOT(AND(AO166=1,AN166&lt;&gt;1)),ISNUMBER(AG166),AG166&lt;=T166),AS166,0)&gt;0,IF(AND(NOT(AND(AO166=1,AN166&lt;&gt;1)),ISNUMBER(AG166),AG166&lt;=T166),AS166,0)=MAX(IF(AND(NOT(AND(AO166=1,AN166&lt;&gt;1)),ISNUMBER(AG166),AG166&lt;=T166),AS166,0),IF(AND(NOT(AND(AO166=1,AN166&lt;&gt;1)),ISNUMBER(AH166),AH166&lt;=T166),AT166,0),IF(AND(NOT(AND(AO166=1,AN166&lt;&gt;1)),ISNUMBER(AI166),AI166&lt;=T166),AU166,0),IF(AND(ISNUMBER(AJ166),AJ166&lt;=T166),AV166,0))),"SW",IF(AND(IF(AND(NOT(AND(AO166=1,AN166&lt;&gt;1)),ISNUMBER(AH166),AH166&lt;=T166),AT166,0)&gt;0,IF(AND(NOT(AND(AO166=1,AN166&lt;&gt;1)),ISNUMBER(AH166),AH166&lt;=T166),AT166,0)=MAX(IF(AND(NOT(AND(AO166=1,AN166&lt;&gt;1)),ISNUMBER(AG166),AG166&lt;=T166),AS166,0),IF(AND(NOT(AND(AO166=1,AN166&lt;&gt;1)),ISNUMBER(AH166),AH166&lt;=T166),AT166,0),IF(AND(NOT(AND(AO166=1,AN166&lt;&gt;1)),ISNUMBER(AI166),AI166&lt;=T166),AU166,0),IF(AND(ISNUMBER(AJ166),AJ166&lt;=T166),AV166,0))),"AB",IF(AND(IF(AND(NOT(AND(AO166=1,AN166&lt;&gt;1)),ISNUMBER(AI166),AI166&lt;=T166),AU166,0)&gt;0,IF(AND(NOT(AND(AO166=1,AN166&lt;&gt;1)),ISNUMBER(AI166),AI166&lt;=T166),AU166,0)=MAX(IF(AND(NOT(AND(AO166=1,AN166&lt;&gt;1)),ISNUMBER(AG166),AG166&lt;=T166),AS166,0),IF(AND(NOT(AND(AO166=1,AN166&lt;&gt;1)),ISNUMBER(AH166),AH166&lt;=T166),AT166,0),IF(AND(NOT(AND(AO166=1,AN166&lt;&gt;1)),ISNUMBER(AI166),AI166&lt;=T166),AU166,0),IF(AND(ISNUMBER(AJ166),AJ166&lt;=T166),AV166,0))),"SC","Mag")))))))</f>
        <v/>
      </c>
    </row>
    <row r="167">
      <c r="A167" s="26" t="n">
        <v>162</v>
      </c>
      <c r="B167" s="27">
        <f>A167*10/60</f>
        <v/>
      </c>
      <c r="C167" s="22">
        <f>X166</f>
        <v/>
      </c>
      <c r="D167" s="27">
        <f>D166+W166</f>
        <v/>
      </c>
      <c r="E167" s="26">
        <f>E166+IF(U166="SW",1,0)</f>
        <v/>
      </c>
      <c r="F167" s="26">
        <f>F166+IF(U166="AB",1,0)</f>
        <v/>
      </c>
      <c r="G167" s="26">
        <f>G166+IF(U166="SC",1,0)</f>
        <v/>
      </c>
      <c r="H167" s="26">
        <f>H166+IF(U166="Mag",1,0)</f>
        <v/>
      </c>
      <c r="I167" s="26">
        <f>MAX(I166,IF(U166="OR",1,0))</f>
        <v/>
      </c>
      <c r="J167" s="26">
        <f>MAX(J166,IF(U166="HP",1,0))</f>
        <v/>
      </c>
      <c r="K167" s="26">
        <f>MAX(K166,IF(U166="FP",1,0))</f>
        <v/>
      </c>
      <c r="L167" s="26">
        <f>MAX(L166,IF(U166="transition",1,0))</f>
        <v/>
      </c>
      <c r="M167" s="28">
        <f>(Parameters!$B$9+(IF(E167=0,0,(Upgrades!$J$6+E167*Upgrades!$K$6)*POWER(Upgrades!$L$6,E167)))*(IF(Upgrades!$T$7="Solar Wind",POWER(Upgrades!$U$7,F167),1)*IF(Upgrades!$T$8="Solar Wind",POWER(Upgrades!$U$8,G167),1)*IF(Upgrades!$T$9="Solar Wind",POWER(Upgrades!$U$9,H167),1)*IF(Upgrades!$T$10="Solar Wind",POWER(Upgrades!$U$10,I167),1)*IF(Upgrades!$T$11="Solar Wind",POWER(Upgrades!$U$11,J167),1)*IF(Upgrades!$T$12="Solar Wind",POWER(Upgrades!$U$12,K167),1))+(IF(F167=0,0,(Upgrades!$J$7+F167*Upgrades!$K$7)*POWER(Upgrades!$L$7,F167)))*(IF(Upgrades!$T$6="Asteroid Belt",POWER(Upgrades!$U$6,E167),1)*IF(Upgrades!$T$8="Asteroid Belt",POWER(Upgrades!$U$8,G167),1)*IF(Upgrades!$T$9="Asteroid Belt",POWER(Upgrades!$U$9,H167),1)*IF(Upgrades!$T$10="Asteroid Belt",POWER(Upgrades!$U$10,I167),1)*IF(Upgrades!$T$11="Asteroid Belt",POWER(Upgrades!$U$11,J167),1)*IF(Upgrades!$T$12="Asteroid Belt",POWER(Upgrades!$U$12,K167),1))+(IF(G167=0,0,(Upgrades!$J$8+G167*Upgrades!$K$8)*POWER(Upgrades!$L$8,G167)))*(IF(Upgrades!$T$6="Stellar Coupling",POWER(Upgrades!$U$6,E167),1)*IF(Upgrades!$T$7="Stellar Coupling",POWER(Upgrades!$U$7,F167),1)*IF(Upgrades!$T$9="Stellar Coupling",POWER(Upgrades!$U$9,H167),1)*IF(Upgrades!$T$10="Stellar Coupling",POWER(Upgrades!$U$10,I167),1)*IF(Upgrades!$T$11="Stellar Coupling",POWER(Upgrades!$U$11,J167),1)*IF(Upgrades!$T$12="Stellar Coupling",POWER(Upgrades!$U$12,K167),1))+(IF(H167=0,0,(Upgrades!$J$9+H167*Upgrades!$K$9)*POWER(Upgrades!$L$9,H167)))*(IF(Upgrades!$T$6="Magnetosphere",POWER(Upgrades!$U$6,E167),1)*IF(Upgrades!$T$7="Magnetosphere",POWER(Upgrades!$U$7,F167),1)*IF(Upgrades!$T$8="Magnetosphere",POWER(Upgrades!$U$8,G167),1)*IF(Upgrades!$T$10="Magnetosphere",POWER(Upgrades!$U$10,I167),1)*IF(Upgrades!$T$11="Magnetosphere",POWER(Upgrades!$U$11,J167),1)*IF(Upgrades!$T$12="Magnetosphere",POWER(Upgrades!$U$12,K167),1))+(IF(I167=0,0,(Upgrades!$J$10+I167*Upgrades!$K$10)*POWER(Upgrades!$L$10,I167)))*(IF(Upgrades!$T$6="Orbital Resonance",POWER(Upgrades!$U$6,E167),1)*IF(Upgrades!$T$7="Orbital Resonance",POWER(Upgrades!$U$7,F167),1)*IF(Upgrades!$T$8="Orbital Resonance",POWER(Upgrades!$U$8,G167),1)*IF(Upgrades!$T$9="Orbital Resonance",POWER(Upgrades!$U$9,H167),1)*IF(Upgrades!$T$11="Orbital Resonance",POWER(Upgrades!$U$11,J167),1)*IF(Upgrades!$T$12="Orbital Resonance",POWER(Upgrades!$U$12,K167),1))+(IF(J167=0,0,(Upgrades!$J$11+J167*Upgrades!$K$11)*POWER(Upgrades!$L$11,J167)))*(IF(Upgrades!$T$6="Heliopause",POWER(Upgrades!$U$6,E167),1)*IF(Upgrades!$T$7="Heliopause",POWER(Upgrades!$U$7,F167),1)*IF(Upgrades!$T$8="Heliopause",POWER(Upgrades!$U$8,G167),1)*IF(Upgrades!$T$9="Heliopause",POWER(Upgrades!$U$9,H167),1)*IF(Upgrades!$T$10="Heliopause",POWER(Upgrades!$U$10,I167),1)*IF(Upgrades!$T$12="Heliopause",POWER(Upgrades!$U$12,K167),1))+(IF(K167=0,0,(Upgrades!$J$12+K167*Upgrades!$K$12)*POWER(Upgrades!$L$12,K167)))*(IF(Upgrades!$T$6="First Photons",POWER(Upgrades!$U$6,E167),1)*IF(Upgrades!$T$7="First Photons",POWER(Upgrades!$U$7,F167),1)*IF(Upgrades!$T$8="First Photons",POWER(Upgrades!$U$8,G167),1)*IF(Upgrades!$T$9="First Photons",POWER(Upgrades!$U$9,H167),1)*IF(Upgrades!$T$10="First Photons",POWER(Upgrades!$U$10,I167),1)*IF(Upgrades!$T$11="First Photons",POWER(Upgrades!$U$11,J167),1)))*POWER(Upgrades!$Q$6,E167)*POWER(Upgrades!$Q$7,F167)*POWER(Upgrades!$Q$8,G167)*POWER(Upgrades!$Q$9,H167)*POWER(Upgrades!$Q$10,I167)*POWER(Upgrades!$Q$11,J167)*POWER(Upgrades!$Q$12,K167)</f>
        <v/>
      </c>
      <c r="N167" s="28">
        <f>((IF(E167=0,0,(Upgrades!$G$6+E167*Upgrades!$H$6)*POWER(Upgrades!$I$6,E167)))*(IF(Upgrades!$T$7="Solar Wind",POWER(Upgrades!$U$7,F167),1)*IF(Upgrades!$T$8="Solar Wind",POWER(Upgrades!$U$8,G167),1)*IF(Upgrades!$T$9="Solar Wind",POWER(Upgrades!$U$9,H167),1)*IF(Upgrades!$T$10="Solar Wind",POWER(Upgrades!$U$10,I167),1)*IF(Upgrades!$T$11="Solar Wind",POWER(Upgrades!$U$11,J167),1)*IF(Upgrades!$T$12="Solar Wind",POWER(Upgrades!$U$12,K167),1))+(IF(F167=0,0,(Upgrades!$G$7+F167*Upgrades!$H$7)*POWER(Upgrades!$I$7,F167)))*(IF(Upgrades!$T$6="Asteroid Belt",POWER(Upgrades!$U$6,E167),1)*IF(Upgrades!$T$8="Asteroid Belt",POWER(Upgrades!$U$8,G167),1)*IF(Upgrades!$T$9="Asteroid Belt",POWER(Upgrades!$U$9,H167),1)*IF(Upgrades!$T$10="Asteroid Belt",POWER(Upgrades!$U$10,I167),1)*IF(Upgrades!$T$11="Asteroid Belt",POWER(Upgrades!$U$11,J167),1)*IF(Upgrades!$T$12="Asteroid Belt",POWER(Upgrades!$U$12,K167),1))+(IF(G167=0,0,(Upgrades!$G$8+G167*Upgrades!$H$8)*POWER(Upgrades!$I$8,G167)))*(IF(Upgrades!$T$6="Stellar Coupling",POWER(Upgrades!$U$6,E167),1)*IF(Upgrades!$T$7="Stellar Coupling",POWER(Upgrades!$U$7,F167),1)*IF(Upgrades!$T$9="Stellar Coupling",POWER(Upgrades!$U$9,H167),1)*IF(Upgrades!$T$10="Stellar Coupling",POWER(Upgrades!$U$10,I167),1)*IF(Upgrades!$T$11="Stellar Coupling",POWER(Upgrades!$U$11,J167),1)*IF(Upgrades!$T$12="Stellar Coupling",POWER(Upgrades!$U$12,K167),1))+(IF(H167=0,0,(Upgrades!$G$9+H167*Upgrades!$H$9)*POWER(Upgrades!$I$9,H167)))*(IF(Upgrades!$T$6="Magnetosphere",POWER(Upgrades!$U$6,E167),1)*IF(Upgrades!$T$7="Magnetosphere",POWER(Upgrades!$U$7,F167),1)*IF(Upgrades!$T$8="Magnetosphere",POWER(Upgrades!$U$8,G167),1)*IF(Upgrades!$T$10="Magnetosphere",POWER(Upgrades!$U$10,I167),1)*IF(Upgrades!$T$11="Magnetosphere",POWER(Upgrades!$U$11,J167),1)*IF(Upgrades!$T$12="Magnetosphere",POWER(Upgrades!$U$12,K167),1))+(IF(I167=0,0,(Upgrades!$G$10+I167*Upgrades!$H$10)*POWER(Upgrades!$I$10,I167)))*(IF(Upgrades!$T$6="Orbital Resonance",POWER(Upgrades!$U$6,E167),1)*IF(Upgrades!$T$7="Orbital Resonance",POWER(Upgrades!$U$7,F167),1)*IF(Upgrades!$T$8="Orbital Resonance",POWER(Upgrades!$U$8,G167),1)*IF(Upgrades!$T$9="Orbital Resonance",POWER(Upgrades!$U$9,H167),1)*IF(Upgrades!$T$11="Orbital Resonance",POWER(Upgrades!$U$11,J167),1)*IF(Upgrades!$T$12="Orbital Resonance",POWER(Upgrades!$U$12,K167),1))+(IF(J167=0,0,(Upgrades!$G$11+J167*Upgrades!$H$11)*POWER(Upgrades!$I$11,J167)))*(IF(Upgrades!$T$6="Heliopause",POWER(Upgrades!$U$6,E167),1)*IF(Upgrades!$T$7="Heliopause",POWER(Upgrades!$U$7,F167),1)*IF(Upgrades!$T$8="Heliopause",POWER(Upgrades!$U$8,G167),1)*IF(Upgrades!$T$9="Heliopause",POWER(Upgrades!$U$9,H167),1)*IF(Upgrades!$T$10="Heliopause",POWER(Upgrades!$U$10,I167),1)*IF(Upgrades!$T$12="Heliopause",POWER(Upgrades!$U$12,K167),1))+(IF(K167=0,0,(Upgrades!$G$12+K167*Upgrades!$H$12)*POWER(Upgrades!$I$12,K167)))*(IF(Upgrades!$T$6="First Photons",POWER(Upgrades!$U$6,E167),1)*IF(Upgrades!$T$7="First Photons",POWER(Upgrades!$U$7,F167),1)*IF(Upgrades!$T$8="First Photons",POWER(Upgrades!$U$8,G167),1)*IF(Upgrades!$T$9="First Photons",POWER(Upgrades!$U$9,H167),1)*IF(Upgrades!$T$10="First Photons",POWER(Upgrades!$U$10,I167),1)*IF(Upgrades!$T$11="First Photons",POWER(Upgrades!$U$11,J167),1)))*POWER(Upgrades!$P$6,E167)*POWER(Upgrades!$P$7,F167)*POWER(Upgrades!$P$8,G167)*POWER(Upgrades!$P$9,H167)*POWER(Upgrades!$P$10,I167)*POWER(Upgrades!$P$11,J167)*POWER(Upgrades!$P$12,K167)</f>
        <v/>
      </c>
      <c r="O167" s="28">
        <f>((IF(E167=0,0,(Upgrades!$M$6+E167*Upgrades!$N$6)*POWER(Upgrades!$O$6,E167)))*(IF(Upgrades!$T$7="Solar Wind",POWER(Upgrades!$U$7,F167),1)*IF(Upgrades!$T$8="Solar Wind",POWER(Upgrades!$U$8,G167),1)*IF(Upgrades!$T$9="Solar Wind",POWER(Upgrades!$U$9,H167),1)*IF(Upgrades!$T$10="Solar Wind",POWER(Upgrades!$U$10,I167),1)*IF(Upgrades!$T$11="Solar Wind",POWER(Upgrades!$U$11,J167),1)*IF(Upgrades!$T$12="Solar Wind",POWER(Upgrades!$U$12,K167),1))+(IF(F167=0,0,(Upgrades!$M$7+F167*Upgrades!$N$7)*POWER(Upgrades!$O$7,F167)))*(IF(Upgrades!$T$6="Asteroid Belt",POWER(Upgrades!$U$6,E167),1)*IF(Upgrades!$T$8="Asteroid Belt",POWER(Upgrades!$U$8,G167),1)*IF(Upgrades!$T$9="Asteroid Belt",POWER(Upgrades!$U$9,H167),1)*IF(Upgrades!$T$10="Asteroid Belt",POWER(Upgrades!$U$10,I167),1)*IF(Upgrades!$T$11="Asteroid Belt",POWER(Upgrades!$U$11,J167),1)*IF(Upgrades!$T$12="Asteroid Belt",POWER(Upgrades!$U$12,K167),1))+(IF(G167=0,0,(Upgrades!$M$8+G167*Upgrades!$N$8)*POWER(Upgrades!$O$8,G167)))*(IF(Upgrades!$T$6="Stellar Coupling",POWER(Upgrades!$U$6,E167),1)*IF(Upgrades!$T$7="Stellar Coupling",POWER(Upgrades!$U$7,F167),1)*IF(Upgrades!$T$9="Stellar Coupling",POWER(Upgrades!$U$9,H167),1)*IF(Upgrades!$T$10="Stellar Coupling",POWER(Upgrades!$U$10,I167),1)*IF(Upgrades!$T$11="Stellar Coupling",POWER(Upgrades!$U$11,J167),1)*IF(Upgrades!$T$12="Stellar Coupling",POWER(Upgrades!$U$12,K167),1))+(IF(H167=0,0,(Upgrades!$M$9+H167*Upgrades!$N$9)*POWER(Upgrades!$O$9,H167)))*(IF(Upgrades!$T$6="Magnetosphere",POWER(Upgrades!$U$6,E167),1)*IF(Upgrades!$T$7="Magnetosphere",POWER(Upgrades!$U$7,F167),1)*IF(Upgrades!$T$8="Magnetosphere",POWER(Upgrades!$U$8,G167),1)*IF(Upgrades!$T$10="Magnetosphere",POWER(Upgrades!$U$10,I167),1)*IF(Upgrades!$T$11="Magnetosphere",POWER(Upgrades!$U$11,J167),1)*IF(Upgrades!$T$12="Magnetosphere",POWER(Upgrades!$U$12,K167),1))+(IF(I167=0,0,(Upgrades!$M$10+I167*Upgrades!$N$10)*POWER(Upgrades!$O$10,I167)))*(IF(Upgrades!$T$6="Orbital Resonance",POWER(Upgrades!$U$6,E167),1)*IF(Upgrades!$T$7="Orbital Resonance",POWER(Upgrades!$U$7,F167),1)*IF(Upgrades!$T$8="Orbital Resonance",POWER(Upgrades!$U$8,G167),1)*IF(Upgrades!$T$9="Orbital Resonance",POWER(Upgrades!$U$9,H167),1)*IF(Upgrades!$T$11="Orbital Resonance",POWER(Upgrades!$U$11,J167),1)*IF(Upgrades!$T$12="Orbital Resonance",POWER(Upgrades!$U$12,K167),1))+(IF(J167=0,0,(Upgrades!$M$11+J167*Upgrades!$N$11)*POWER(Upgrades!$O$11,J167)))*(IF(Upgrades!$T$6="Heliopause",POWER(Upgrades!$U$6,E167),1)*IF(Upgrades!$T$7="Heliopause",POWER(Upgrades!$U$7,F167),1)*IF(Upgrades!$T$8="Heliopause",POWER(Upgrades!$U$8,G167),1)*IF(Upgrades!$T$9="Heliopause",POWER(Upgrades!$U$9,H167),1)*IF(Upgrades!$T$10="Heliopause",POWER(Upgrades!$U$10,I167),1)*IF(Upgrades!$T$12="Heliopause",POWER(Upgrades!$U$12,K167),1))+(IF(K167=0,0,(Upgrades!$M$12+K167*Upgrades!$N$12)*POWER(Upgrades!$O$12,K167)))*(IF(Upgrades!$T$6="First Photons",POWER(Upgrades!$U$6,E167),1)*IF(Upgrades!$T$7="First Photons",POWER(Upgrades!$U$7,F167),1)*IF(Upgrades!$T$8="First Photons",POWER(Upgrades!$U$8,G167),1)*IF(Upgrades!$T$9="First Photons",POWER(Upgrades!$U$9,H167),1)*IF(Upgrades!$T$10="First Photons",POWER(Upgrades!$U$10,I167),1)*IF(Upgrades!$T$11="First Photons",POWER(Upgrades!$U$11,J167),1)))*POWER(Upgrades!$R$6,E167)*POWER(Upgrades!$R$7,F167)*POWER(Upgrades!$R$8,G167)*POWER(Upgrades!$R$9,H167)*POWER(Upgrades!$R$10,I167)*POWER(Upgrades!$R$11,J167)*POWER(Upgrades!$R$12,K167)</f>
        <v/>
      </c>
      <c r="P167" s="27">
        <f>IF(L167=1,0,M167*Parameters!$B$10/60*Parameters!$B$11*10)</f>
        <v/>
      </c>
      <c r="Q167" s="27">
        <f>IF(L167=1,0,O167*M167*10)</f>
        <v/>
      </c>
      <c r="R167" s="27">
        <f>IF(L167=1,0,N167*10)</f>
        <v/>
      </c>
      <c r="S167" s="27">
        <f>P167+Q167+R167</f>
        <v/>
      </c>
      <c r="T167" s="22">
        <f>C167+S167</f>
        <v/>
      </c>
      <c r="U167" s="33">
        <f>AX167</f>
        <v/>
      </c>
      <c r="V167" s="22">
        <f>IF(U167="",0,IF(U167="transition",0,IF(U167="SW",AG167,IF(U167="AB",AH167,IF(U167="SC",AI167,IF(U167="Mag",AJ167,IF(U167="OR",AK167,IF(U167="HP",AL167,IF(U167="FP",AM167,0)))))))))</f>
        <v/>
      </c>
      <c r="W167" s="27">
        <f>IF(U167="OR",Upgrades!$F$10,IF(U167="HP",Upgrades!$F$11,IF(U167="transition",-Parameters!$B$18,0)))</f>
        <v/>
      </c>
      <c r="X167" s="22">
        <f>T167-V167</f>
        <v/>
      </c>
      <c r="Y167" s="30">
        <f>M167*Parameters!$B$10/60*Parameters!$B$11+O167*M167+N167</f>
        <v/>
      </c>
      <c r="Z167" s="34">
        <f>IF(U167="transition","→ Tier 2 (Stellar Neighborhood)",IF(U167="FP","First Photons — light begins, system quickens",IF(U167="HP","Heliopause acquired",IF(U167="OR","Orbital Resonance — passive multiplier active",IF(AND(AO167=1,L167=0,AN167&lt;&gt;1),"Cohesion ready (waiting on completionist upgrades)","")))))</f>
        <v/>
      </c>
      <c r="AA167" s="27">
        <f>(IF(E167=0,0,(Upgrades!$G$6+E167*Upgrades!$H$6)*POWER(Upgrades!$I$6,E167)))*(IF(Upgrades!$T$7="Solar Wind",POWER(Upgrades!$U$7,F167),1)*IF(Upgrades!$T$8="Solar Wind",POWER(Upgrades!$U$8,G167),1)*IF(Upgrades!$T$9="Solar Wind",POWER(Upgrades!$U$9,H167),1)*IF(Upgrades!$T$10="Solar Wind",POWER(Upgrades!$U$10,I167),1)*IF(Upgrades!$T$11="Solar Wind",POWER(Upgrades!$U$11,J167),1)*IF(Upgrades!$T$12="Solar Wind",POWER(Upgrades!$U$12,K167),1))*POWER(Upgrades!$P$6,E167)*POWER(Upgrades!$P$7,F167)*POWER(Upgrades!$P$8,G167)*POWER(Upgrades!$P$9,H167)*POWER(Upgrades!$P$10,I167)*POWER(Upgrades!$P$11,J167)*POWER(Upgrades!$P$12,K167)*60</f>
        <v/>
      </c>
      <c r="AB167" s="27">
        <f>(IF(F167=0,0,(Upgrades!$G$7+F167*Upgrades!$H$7)*POWER(Upgrades!$I$7,F167)))*(IF(Upgrades!$T$6="Asteroid Belt",POWER(Upgrades!$U$6,E167),1)*IF(Upgrades!$T$8="Asteroid Belt",POWER(Upgrades!$U$8,G167),1)*IF(Upgrades!$T$9="Asteroid Belt",POWER(Upgrades!$U$9,H167),1)*IF(Upgrades!$T$10="Asteroid Belt",POWER(Upgrades!$U$10,I167),1)*IF(Upgrades!$T$11="Asteroid Belt",POWER(Upgrades!$U$11,J167),1)*IF(Upgrades!$T$12="Asteroid Belt",POWER(Upgrades!$U$12,K167),1))*POWER(Upgrades!$P$6,E167)*POWER(Upgrades!$P$7,F167)*POWER(Upgrades!$P$8,G167)*POWER(Upgrades!$P$9,H167)*POWER(Upgrades!$P$10,I167)*POWER(Upgrades!$P$11,J167)*POWER(Upgrades!$P$12,K167)*60</f>
        <v/>
      </c>
      <c r="AC167" s="27">
        <f>(IF(G167=0,0,(Upgrades!$J$8+G167*Upgrades!$K$8)*POWER(Upgrades!$L$8,G167)))*(IF(Upgrades!$T$6="Stellar Coupling",POWER(Upgrades!$U$6,E167),1)*IF(Upgrades!$T$7="Stellar Coupling",POWER(Upgrades!$U$7,F167),1)*IF(Upgrades!$T$9="Stellar Coupling",POWER(Upgrades!$U$9,H167),1)*IF(Upgrades!$T$10="Stellar Coupling",POWER(Upgrades!$U$10,I167),1)*IF(Upgrades!$T$11="Stellar Coupling",POWER(Upgrades!$U$11,J167),1)*IF(Upgrades!$T$12="Stellar Coupling",POWER(Upgrades!$U$12,K167),1))*POWER(Upgrades!$Q$6,E167)*POWER(Upgrades!$Q$7,F167)*POWER(Upgrades!$Q$8,G167)*POWER(Upgrades!$Q$9,H167)*POWER(Upgrades!$Q$10,I167)*POWER(Upgrades!$Q$11,J167)*POWER(Upgrades!$Q$12,K167)*Parameters!$B$10*Parameters!$B$11</f>
        <v/>
      </c>
      <c r="AD167" s="27">
        <f>(IF(H167=0,0,(Upgrades!$G$9+H167*Upgrades!$H$9)*POWER(Upgrades!$I$9,H167)))*(IF(Upgrades!$T$6="Magnetosphere",POWER(Upgrades!$U$6,E167),1)*IF(Upgrades!$T$7="Magnetosphere",POWER(Upgrades!$U$7,F167),1)*IF(Upgrades!$T$8="Magnetosphere",POWER(Upgrades!$U$8,G167),1)*IF(Upgrades!$T$10="Magnetosphere",POWER(Upgrades!$U$10,I167),1)*IF(Upgrades!$T$11="Magnetosphere",POWER(Upgrades!$U$11,J167),1)*IF(Upgrades!$T$12="Magnetosphere",POWER(Upgrades!$U$12,K167),1))*POWER(Upgrades!$P$6,E167)*POWER(Upgrades!$P$7,F167)*POWER(Upgrades!$P$8,G167)*POWER(Upgrades!$P$9,H167)*POWER(Upgrades!$P$10,I167)*POWER(Upgrades!$P$11,J167)*POWER(Upgrades!$P$12,K167)*60</f>
        <v/>
      </c>
      <c r="AE167" s="27">
        <f>(IF(K167=0,0,(Upgrades!$G$12+K167*Upgrades!$H$12)*POWER(Upgrades!$I$12,K167)))*(IF(Upgrades!$T$6="First Photons",POWER(Upgrades!$U$6,E167),1)*IF(Upgrades!$T$7="First Photons",POWER(Upgrades!$U$7,F167),1)*IF(Upgrades!$T$8="First Photons",POWER(Upgrades!$U$8,G167),1)*IF(Upgrades!$T$9="First Photons",POWER(Upgrades!$U$9,H167),1)*IF(Upgrades!$T$10="First Photons",POWER(Upgrades!$U$10,I167),1)*IF(Upgrades!$T$11="First Photons",POWER(Upgrades!$U$11,J167),1))*POWER(Upgrades!$P$6,E167)*POWER(Upgrades!$P$7,F167)*POWER(Upgrades!$P$8,G167)*POWER(Upgrades!$P$9,H167)*POWER(Upgrades!$P$10,I167)*POWER(Upgrades!$P$11,J167)*POWER(Upgrades!$P$12,K167)*60</f>
        <v/>
      </c>
      <c r="AF167" s="27">
        <f>Parameters!$B$9*POWER(Upgrades!$Q$6,E167)*POWER(Upgrades!$Q$7,F167)*POWER(Upgrades!$Q$8,G167)*POWER(Upgrades!$Q$9,H167)*POWER(Upgrades!$Q$10,I167)*POWER(Upgrades!$Q$11,J167)*POWER(Upgrades!$Q$12,K167)*(Parameters!$B$10*Parameters!$B$11+O167*60)</f>
        <v/>
      </c>
      <c r="AG167" s="22">
        <f>IF(E167&gt;=Upgrades!$E$6,"",Upgrades!$C$6*POWER(Upgrades!$D$6,E167))</f>
        <v/>
      </c>
      <c r="AH167" s="22">
        <f>IF(F167&gt;=Upgrades!$E$7,"",Upgrades!$C$7*POWER(Upgrades!$D$7,F167))</f>
        <v/>
      </c>
      <c r="AI167" s="22">
        <f>IF(G167&gt;=Upgrades!$E$8,"",Upgrades!$C$8*POWER(Upgrades!$D$8,G167))</f>
        <v/>
      </c>
      <c r="AJ167" s="22">
        <f>IF(H167&gt;=Upgrades!$E$9,"",Upgrades!$C$9*POWER(Upgrades!$D$9,H167))</f>
        <v/>
      </c>
      <c r="AK167" s="22">
        <f>IF(I167&gt;=Upgrades!$E$10,"",Upgrades!$C$10*POWER(Upgrades!$D$10,I167))</f>
        <v/>
      </c>
      <c r="AL167" s="22">
        <f>IF(J167&gt;=Upgrades!$E$11,"",Upgrades!$C$11*POWER(Upgrades!$D$11,J167))</f>
        <v/>
      </c>
      <c r="AM167" s="22">
        <f>IF(K167&gt;=Upgrades!$E$12,"",Upgrades!$C$12*POWER(Upgrades!$D$12,K167))</f>
        <v/>
      </c>
      <c r="AN167" s="26">
        <f>IF(AND(D167&gt;=Parameters!$B$18,(H167&gt;=Upgrades!$E$9)*(K167&gt;=Upgrades!$E$12)=1,L167=0),1,"")</f>
        <v/>
      </c>
      <c r="AO167" s="26">
        <f>IF(AND(D167&gt;=Parameters!$B$18,L167=0),1,"")</f>
        <v/>
      </c>
      <c r="AP167" s="22">
        <f>MIN(IF(ISNUMBER(AK167),AK167,9E15),IF(ISNUMBER(AL167),AL167,9E15),IF(ISNUMBER(AM167),AM167,9E15))</f>
        <v/>
      </c>
      <c r="AQ167" s="22">
        <f>MIN(IF(ISNUMBER(AG167),AG167,9E15),IF(ISNUMBER(AH167),AH167,9E15),IF(ISNUMBER(AI167),AI167,9E15),IF(ISNUMBER(AJ167),AJ167,9E15))</f>
        <v/>
      </c>
      <c r="AR167" s="29">
        <f>IF(AW167&gt;Parameters!$B$21*(MAX(IF(AND(NOT(AND(AO167=1,AN167&lt;&gt;1)),ISNUMBER(AG167),AG167&lt;=T167),AS167,0),IF(AND(NOT(AND(AO167=1,AN167&lt;&gt;1)),ISNUMBER(AH167),AH167&lt;=T167),AT167,0),IF(AND(NOT(AND(AO167=1,AN167&lt;&gt;1)),ISNUMBER(AI167),AI167&lt;=T167),AU167,0),IF(AND(ISNUMBER(AJ167),AJ167&lt;=T167),AV167,0))),TRUE,FALSE)</f>
        <v/>
      </c>
      <c r="AS167" s="32">
        <f>IFERROR(Upgrades!$H$6*(POWER(Upgrades!$P$6,E167)*POWER(Upgrades!$P$7,F167)*POWER(Upgrades!$P$8,G167)*POWER(Upgrades!$P$9,H167)*POWER(Upgrades!$P$10,I167)*POWER(Upgrades!$P$11,J167)*POWER(Upgrades!$P$12,K167))*(IF(Upgrades!$T$7="Solar Wind",POWER(Upgrades!$U$7,F167),1)*IF(Upgrades!$T$8="Solar Wind",POWER(Upgrades!$U$8,G167),1)*IF(Upgrades!$T$9="Solar Wind",POWER(Upgrades!$U$9,H167),1)*IF(Upgrades!$T$10="Solar Wind",POWER(Upgrades!$U$10,I167),1)*IF(Upgrades!$T$11="Solar Wind",POWER(Upgrades!$U$11,J167),1)*IF(Upgrades!$T$12="Solar Wind",POWER(Upgrades!$U$12,K167),1))/AG167,0)</f>
        <v/>
      </c>
      <c r="AT167" s="32">
        <f>IFERROR(Upgrades!$H$7*(POWER(Upgrades!$P$6,E167)*POWER(Upgrades!$P$7,F167)*POWER(Upgrades!$P$8,G167)*POWER(Upgrades!$P$9,H167)*POWER(Upgrades!$P$10,I167)*POWER(Upgrades!$P$11,J167)*POWER(Upgrades!$P$12,K167))*(IF(Upgrades!$T$6="Asteroid Belt",POWER(Upgrades!$U$6,E167),1)*IF(Upgrades!$T$8="Asteroid Belt",POWER(Upgrades!$U$8,G167),1)*IF(Upgrades!$T$9="Asteroid Belt",POWER(Upgrades!$U$9,H167),1)*IF(Upgrades!$T$10="Asteroid Belt",POWER(Upgrades!$U$10,I167),1)*IF(Upgrades!$T$11="Asteroid Belt",POWER(Upgrades!$U$11,J167),1)*IF(Upgrades!$T$12="Asteroid Belt",POWER(Upgrades!$U$12,K167),1))/AH167,0)</f>
        <v/>
      </c>
      <c r="AU167" s="32">
        <f>IFERROR(Upgrades!$K$8*(POWER(Upgrades!$Q$6,E167)*POWER(Upgrades!$Q$7,F167)*POWER(Upgrades!$Q$8,G167)*POWER(Upgrades!$Q$9,H167)*POWER(Upgrades!$Q$10,I167)*POWER(Upgrades!$Q$11,J167)*POWER(Upgrades!$Q$12,K167))*(IF(Upgrades!$T$6="Stellar Coupling",POWER(Upgrades!$U$6,E167),1)*IF(Upgrades!$T$7="Stellar Coupling",POWER(Upgrades!$U$7,F167),1)*IF(Upgrades!$T$9="Stellar Coupling",POWER(Upgrades!$U$9,H167),1)*IF(Upgrades!$T$10="Stellar Coupling",POWER(Upgrades!$U$10,I167),1)*IF(Upgrades!$T$11="Stellar Coupling",POWER(Upgrades!$U$11,J167),1)*IF(Upgrades!$T$12="Stellar Coupling",POWER(Upgrades!$U$12,K167),1))*Parameters!$B$10*Parameters!$B$11/60/AI167,0)</f>
        <v/>
      </c>
      <c r="AV167" s="32">
        <f>IFERROR(Upgrades!$H$9*(POWER(Upgrades!$P$6,E167)*POWER(Upgrades!$P$7,F167)*POWER(Upgrades!$P$8,G167)*POWER(Upgrades!$P$9,H167)*POWER(Upgrades!$P$10,I167)*POWER(Upgrades!$P$11,J167)*POWER(Upgrades!$P$12,K167))*(IF(Upgrades!$T$6="Magnetosphere",POWER(Upgrades!$U$6,E167),1)*IF(Upgrades!$T$7="Magnetosphere",POWER(Upgrades!$U$7,F167),1)*IF(Upgrades!$T$8="Magnetosphere",POWER(Upgrades!$U$8,G167),1)*IF(Upgrades!$T$10="Magnetosphere",POWER(Upgrades!$U$10,I167),1)*IF(Upgrades!$T$11="Magnetosphere",POWER(Upgrades!$U$11,J167),1)*IF(Upgrades!$T$12="Magnetosphere",POWER(Upgrades!$U$12,K167),1))/AJ167,0)</f>
        <v/>
      </c>
      <c r="AW167" s="32">
        <f>MAX(IF(I167&gt;0,0,IFERROR(0.25*N167/Upgrades!$C$10,0)),IF(J167&gt;0,0,IFERROR(0.5*((IF(G167=0,0,(Upgrades!$J$8+G167*Upgrades!$K$8)*POWER(Upgrades!$L$8,G167)))*(IF(Upgrades!$T$6="Stellar Coupling",POWER(Upgrades!$U$6,E167),1)*IF(Upgrades!$T$7="Stellar Coupling",POWER(Upgrades!$U$7,F167),1)*IF(Upgrades!$T$9="Stellar Coupling",POWER(Upgrades!$U$9,H167),1)*IF(Upgrades!$T$10="Stellar Coupling",POWER(Upgrades!$U$10,I167),1)*IF(Upgrades!$T$11="Stellar Coupling",POWER(Upgrades!$U$11,J167),1)*IF(Upgrades!$T$12="Stellar Coupling",POWER(Upgrades!$U$12,K167),1))*(POWER(Upgrades!$Q$6,E167)*POWER(Upgrades!$Q$7,F167)*POWER(Upgrades!$Q$8,G167)*POWER(Upgrades!$Q$9,H167)*POWER(Upgrades!$Q$10,I167)*POWER(Upgrades!$Q$11,J167)*POWER(Upgrades!$Q$12,K167))*Parameters!$B$10*Parameters!$B$11/60)/Upgrades!$C$11,0)),IF(K167&gt;0,0,IFERROR((1.0*(POWER(Upgrades!$P$6,E167)*POWER(Upgrades!$P$7,F167)*POWER(Upgrades!$P$8,G167)*POWER(Upgrades!$P$9,H167)*POWER(Upgrades!$P$10,I167)*POWER(Upgrades!$P$11,J167)*POWER(Upgrades!$P$12,K167))+0.20*M167*Parameters!$B$10*Parameters!$B$11/60)/Upgrades!$C$12,0)),IF(AND(ISNUMBER(AG167),AG167&gt;T167),AS167,0),IF(AND(ISNUMBER(AH167),AH167&gt;T167),AT167,0),IF(AND(ISNUMBER(AI167),AI167&gt;T167),AU167,0),IF(AND(ISNUMBER(AJ167),AJ167&gt;T167),AV167,0))</f>
        <v/>
      </c>
      <c r="AX167" s="29">
        <f>IF(AN167=1,"transition",IF(MIN(IF(AND(I167=0,ISNUMBER(AK167),AK167&lt;=T167),AK167,9E15),IF(AND(J167=0,ISNUMBER(AL167),AL167&lt;=T167),AL167,9E15),IF(AND(K167=0,ISNUMBER(AM167),AM167&lt;=T167),AM167,9E15))&lt;9E15,IF(AND(AND(I167=0,ISNUMBER(AK167),AK167&lt;=T167),AK167=MIN(IF(AND(I167=0,ISNUMBER(AK167),AK167&lt;=T167),AK167,9E15),IF(AND(J167=0,ISNUMBER(AL167),AL167&lt;=T167),AL167,9E15),IF(AND(K167=0,ISNUMBER(AM167),AM167&lt;=T167),AM167,9E15))),"OR",IF(AND(AND(J167=0,ISNUMBER(AL167),AL167&lt;=T167),AL167=MIN(IF(AND(I167=0,ISNUMBER(AK167),AK167&lt;=T167),AK167,9E15),IF(AND(J167=0,ISNUMBER(AL167),AL167&lt;=T167),AL167,9E15),IF(AND(K167=0,ISNUMBER(AM167),AM167&lt;=T167),AM167,9E15))),"HP","FP")),IF(AR167=TRUE,"",IF(MAX(IF(AND(NOT(AND(AO167=1,AN167&lt;&gt;1)),ISNUMBER(AG167),AG167&lt;=T167),AS167,0),IF(AND(NOT(AND(AO167=1,AN167&lt;&gt;1)),ISNUMBER(AH167),AH167&lt;=T167),AT167,0),IF(AND(NOT(AND(AO167=1,AN167&lt;&gt;1)),ISNUMBER(AI167),AI167&lt;=T167),AU167,0),IF(AND(ISNUMBER(AJ167),AJ167&lt;=T167),AV167,0))&lt;=0,"",IF(AND(IF(AND(NOT(AND(AO167=1,AN167&lt;&gt;1)),ISNUMBER(AG167),AG167&lt;=T167),AS167,0)&gt;0,IF(AND(NOT(AND(AO167=1,AN167&lt;&gt;1)),ISNUMBER(AG167),AG167&lt;=T167),AS167,0)=MAX(IF(AND(NOT(AND(AO167=1,AN167&lt;&gt;1)),ISNUMBER(AG167),AG167&lt;=T167),AS167,0),IF(AND(NOT(AND(AO167=1,AN167&lt;&gt;1)),ISNUMBER(AH167),AH167&lt;=T167),AT167,0),IF(AND(NOT(AND(AO167=1,AN167&lt;&gt;1)),ISNUMBER(AI167),AI167&lt;=T167),AU167,0),IF(AND(ISNUMBER(AJ167),AJ167&lt;=T167),AV167,0))),"SW",IF(AND(IF(AND(NOT(AND(AO167=1,AN167&lt;&gt;1)),ISNUMBER(AH167),AH167&lt;=T167),AT167,0)&gt;0,IF(AND(NOT(AND(AO167=1,AN167&lt;&gt;1)),ISNUMBER(AH167),AH167&lt;=T167),AT167,0)=MAX(IF(AND(NOT(AND(AO167=1,AN167&lt;&gt;1)),ISNUMBER(AG167),AG167&lt;=T167),AS167,0),IF(AND(NOT(AND(AO167=1,AN167&lt;&gt;1)),ISNUMBER(AH167),AH167&lt;=T167),AT167,0),IF(AND(NOT(AND(AO167=1,AN167&lt;&gt;1)),ISNUMBER(AI167),AI167&lt;=T167),AU167,0),IF(AND(ISNUMBER(AJ167),AJ167&lt;=T167),AV167,0))),"AB",IF(AND(IF(AND(NOT(AND(AO167=1,AN167&lt;&gt;1)),ISNUMBER(AI167),AI167&lt;=T167),AU167,0)&gt;0,IF(AND(NOT(AND(AO167=1,AN167&lt;&gt;1)),ISNUMBER(AI167),AI167&lt;=T167),AU167,0)=MAX(IF(AND(NOT(AND(AO167=1,AN167&lt;&gt;1)),ISNUMBER(AG167),AG167&lt;=T167),AS167,0),IF(AND(NOT(AND(AO167=1,AN167&lt;&gt;1)),ISNUMBER(AH167),AH167&lt;=T167),AT167,0),IF(AND(NOT(AND(AO167=1,AN167&lt;&gt;1)),ISNUMBER(AI167),AI167&lt;=T167),AU167,0),IF(AND(ISNUMBER(AJ167),AJ167&lt;=T167),AV167,0))),"SC","Mag")))))))</f>
        <v/>
      </c>
    </row>
    <row r="168">
      <c r="A168" s="26" t="n">
        <v>163</v>
      </c>
      <c r="B168" s="27">
        <f>A168*10/60</f>
        <v/>
      </c>
      <c r="C168" s="22">
        <f>X167</f>
        <v/>
      </c>
      <c r="D168" s="27">
        <f>D167+W167</f>
        <v/>
      </c>
      <c r="E168" s="26">
        <f>E167+IF(U167="SW",1,0)</f>
        <v/>
      </c>
      <c r="F168" s="26">
        <f>F167+IF(U167="AB",1,0)</f>
        <v/>
      </c>
      <c r="G168" s="26">
        <f>G167+IF(U167="SC",1,0)</f>
        <v/>
      </c>
      <c r="H168" s="26">
        <f>H167+IF(U167="Mag",1,0)</f>
        <v/>
      </c>
      <c r="I168" s="26">
        <f>MAX(I167,IF(U167="OR",1,0))</f>
        <v/>
      </c>
      <c r="J168" s="26">
        <f>MAX(J167,IF(U167="HP",1,0))</f>
        <v/>
      </c>
      <c r="K168" s="26">
        <f>MAX(K167,IF(U167="FP",1,0))</f>
        <v/>
      </c>
      <c r="L168" s="26">
        <f>MAX(L167,IF(U167="transition",1,0))</f>
        <v/>
      </c>
      <c r="M168" s="28">
        <f>(Parameters!$B$9+(IF(E168=0,0,(Upgrades!$J$6+E168*Upgrades!$K$6)*POWER(Upgrades!$L$6,E168)))*(IF(Upgrades!$T$7="Solar Wind",POWER(Upgrades!$U$7,F168),1)*IF(Upgrades!$T$8="Solar Wind",POWER(Upgrades!$U$8,G168),1)*IF(Upgrades!$T$9="Solar Wind",POWER(Upgrades!$U$9,H168),1)*IF(Upgrades!$T$10="Solar Wind",POWER(Upgrades!$U$10,I168),1)*IF(Upgrades!$T$11="Solar Wind",POWER(Upgrades!$U$11,J168),1)*IF(Upgrades!$T$12="Solar Wind",POWER(Upgrades!$U$12,K168),1))+(IF(F168=0,0,(Upgrades!$J$7+F168*Upgrades!$K$7)*POWER(Upgrades!$L$7,F168)))*(IF(Upgrades!$T$6="Asteroid Belt",POWER(Upgrades!$U$6,E168),1)*IF(Upgrades!$T$8="Asteroid Belt",POWER(Upgrades!$U$8,G168),1)*IF(Upgrades!$T$9="Asteroid Belt",POWER(Upgrades!$U$9,H168),1)*IF(Upgrades!$T$10="Asteroid Belt",POWER(Upgrades!$U$10,I168),1)*IF(Upgrades!$T$11="Asteroid Belt",POWER(Upgrades!$U$11,J168),1)*IF(Upgrades!$T$12="Asteroid Belt",POWER(Upgrades!$U$12,K168),1))+(IF(G168=0,0,(Upgrades!$J$8+G168*Upgrades!$K$8)*POWER(Upgrades!$L$8,G168)))*(IF(Upgrades!$T$6="Stellar Coupling",POWER(Upgrades!$U$6,E168),1)*IF(Upgrades!$T$7="Stellar Coupling",POWER(Upgrades!$U$7,F168),1)*IF(Upgrades!$T$9="Stellar Coupling",POWER(Upgrades!$U$9,H168),1)*IF(Upgrades!$T$10="Stellar Coupling",POWER(Upgrades!$U$10,I168),1)*IF(Upgrades!$T$11="Stellar Coupling",POWER(Upgrades!$U$11,J168),1)*IF(Upgrades!$T$12="Stellar Coupling",POWER(Upgrades!$U$12,K168),1))+(IF(H168=0,0,(Upgrades!$J$9+H168*Upgrades!$K$9)*POWER(Upgrades!$L$9,H168)))*(IF(Upgrades!$T$6="Magnetosphere",POWER(Upgrades!$U$6,E168),1)*IF(Upgrades!$T$7="Magnetosphere",POWER(Upgrades!$U$7,F168),1)*IF(Upgrades!$T$8="Magnetosphere",POWER(Upgrades!$U$8,G168),1)*IF(Upgrades!$T$10="Magnetosphere",POWER(Upgrades!$U$10,I168),1)*IF(Upgrades!$T$11="Magnetosphere",POWER(Upgrades!$U$11,J168),1)*IF(Upgrades!$T$12="Magnetosphere",POWER(Upgrades!$U$12,K168),1))+(IF(I168=0,0,(Upgrades!$J$10+I168*Upgrades!$K$10)*POWER(Upgrades!$L$10,I168)))*(IF(Upgrades!$T$6="Orbital Resonance",POWER(Upgrades!$U$6,E168),1)*IF(Upgrades!$T$7="Orbital Resonance",POWER(Upgrades!$U$7,F168),1)*IF(Upgrades!$T$8="Orbital Resonance",POWER(Upgrades!$U$8,G168),1)*IF(Upgrades!$T$9="Orbital Resonance",POWER(Upgrades!$U$9,H168),1)*IF(Upgrades!$T$11="Orbital Resonance",POWER(Upgrades!$U$11,J168),1)*IF(Upgrades!$T$12="Orbital Resonance",POWER(Upgrades!$U$12,K168),1))+(IF(J168=0,0,(Upgrades!$J$11+J168*Upgrades!$K$11)*POWER(Upgrades!$L$11,J168)))*(IF(Upgrades!$T$6="Heliopause",POWER(Upgrades!$U$6,E168),1)*IF(Upgrades!$T$7="Heliopause",POWER(Upgrades!$U$7,F168),1)*IF(Upgrades!$T$8="Heliopause",POWER(Upgrades!$U$8,G168),1)*IF(Upgrades!$T$9="Heliopause",POWER(Upgrades!$U$9,H168),1)*IF(Upgrades!$T$10="Heliopause",POWER(Upgrades!$U$10,I168),1)*IF(Upgrades!$T$12="Heliopause",POWER(Upgrades!$U$12,K168),1))+(IF(K168=0,0,(Upgrades!$J$12+K168*Upgrades!$K$12)*POWER(Upgrades!$L$12,K168)))*(IF(Upgrades!$T$6="First Photons",POWER(Upgrades!$U$6,E168),1)*IF(Upgrades!$T$7="First Photons",POWER(Upgrades!$U$7,F168),1)*IF(Upgrades!$T$8="First Photons",POWER(Upgrades!$U$8,G168),1)*IF(Upgrades!$T$9="First Photons",POWER(Upgrades!$U$9,H168),1)*IF(Upgrades!$T$10="First Photons",POWER(Upgrades!$U$10,I168),1)*IF(Upgrades!$T$11="First Photons",POWER(Upgrades!$U$11,J168),1)))*POWER(Upgrades!$Q$6,E168)*POWER(Upgrades!$Q$7,F168)*POWER(Upgrades!$Q$8,G168)*POWER(Upgrades!$Q$9,H168)*POWER(Upgrades!$Q$10,I168)*POWER(Upgrades!$Q$11,J168)*POWER(Upgrades!$Q$12,K168)</f>
        <v/>
      </c>
      <c r="N168" s="28">
        <f>((IF(E168=0,0,(Upgrades!$G$6+E168*Upgrades!$H$6)*POWER(Upgrades!$I$6,E168)))*(IF(Upgrades!$T$7="Solar Wind",POWER(Upgrades!$U$7,F168),1)*IF(Upgrades!$T$8="Solar Wind",POWER(Upgrades!$U$8,G168),1)*IF(Upgrades!$T$9="Solar Wind",POWER(Upgrades!$U$9,H168),1)*IF(Upgrades!$T$10="Solar Wind",POWER(Upgrades!$U$10,I168),1)*IF(Upgrades!$T$11="Solar Wind",POWER(Upgrades!$U$11,J168),1)*IF(Upgrades!$T$12="Solar Wind",POWER(Upgrades!$U$12,K168),1))+(IF(F168=0,0,(Upgrades!$G$7+F168*Upgrades!$H$7)*POWER(Upgrades!$I$7,F168)))*(IF(Upgrades!$T$6="Asteroid Belt",POWER(Upgrades!$U$6,E168),1)*IF(Upgrades!$T$8="Asteroid Belt",POWER(Upgrades!$U$8,G168),1)*IF(Upgrades!$T$9="Asteroid Belt",POWER(Upgrades!$U$9,H168),1)*IF(Upgrades!$T$10="Asteroid Belt",POWER(Upgrades!$U$10,I168),1)*IF(Upgrades!$T$11="Asteroid Belt",POWER(Upgrades!$U$11,J168),1)*IF(Upgrades!$T$12="Asteroid Belt",POWER(Upgrades!$U$12,K168),1))+(IF(G168=0,0,(Upgrades!$G$8+G168*Upgrades!$H$8)*POWER(Upgrades!$I$8,G168)))*(IF(Upgrades!$T$6="Stellar Coupling",POWER(Upgrades!$U$6,E168),1)*IF(Upgrades!$T$7="Stellar Coupling",POWER(Upgrades!$U$7,F168),1)*IF(Upgrades!$T$9="Stellar Coupling",POWER(Upgrades!$U$9,H168),1)*IF(Upgrades!$T$10="Stellar Coupling",POWER(Upgrades!$U$10,I168),1)*IF(Upgrades!$T$11="Stellar Coupling",POWER(Upgrades!$U$11,J168),1)*IF(Upgrades!$T$12="Stellar Coupling",POWER(Upgrades!$U$12,K168),1))+(IF(H168=0,0,(Upgrades!$G$9+H168*Upgrades!$H$9)*POWER(Upgrades!$I$9,H168)))*(IF(Upgrades!$T$6="Magnetosphere",POWER(Upgrades!$U$6,E168),1)*IF(Upgrades!$T$7="Magnetosphere",POWER(Upgrades!$U$7,F168),1)*IF(Upgrades!$T$8="Magnetosphere",POWER(Upgrades!$U$8,G168),1)*IF(Upgrades!$T$10="Magnetosphere",POWER(Upgrades!$U$10,I168),1)*IF(Upgrades!$T$11="Magnetosphere",POWER(Upgrades!$U$11,J168),1)*IF(Upgrades!$T$12="Magnetosphere",POWER(Upgrades!$U$12,K168),1))+(IF(I168=0,0,(Upgrades!$G$10+I168*Upgrades!$H$10)*POWER(Upgrades!$I$10,I168)))*(IF(Upgrades!$T$6="Orbital Resonance",POWER(Upgrades!$U$6,E168),1)*IF(Upgrades!$T$7="Orbital Resonance",POWER(Upgrades!$U$7,F168),1)*IF(Upgrades!$T$8="Orbital Resonance",POWER(Upgrades!$U$8,G168),1)*IF(Upgrades!$T$9="Orbital Resonance",POWER(Upgrades!$U$9,H168),1)*IF(Upgrades!$T$11="Orbital Resonance",POWER(Upgrades!$U$11,J168),1)*IF(Upgrades!$T$12="Orbital Resonance",POWER(Upgrades!$U$12,K168),1))+(IF(J168=0,0,(Upgrades!$G$11+J168*Upgrades!$H$11)*POWER(Upgrades!$I$11,J168)))*(IF(Upgrades!$T$6="Heliopause",POWER(Upgrades!$U$6,E168),1)*IF(Upgrades!$T$7="Heliopause",POWER(Upgrades!$U$7,F168),1)*IF(Upgrades!$T$8="Heliopause",POWER(Upgrades!$U$8,G168),1)*IF(Upgrades!$T$9="Heliopause",POWER(Upgrades!$U$9,H168),1)*IF(Upgrades!$T$10="Heliopause",POWER(Upgrades!$U$10,I168),1)*IF(Upgrades!$T$12="Heliopause",POWER(Upgrades!$U$12,K168),1))+(IF(K168=0,0,(Upgrades!$G$12+K168*Upgrades!$H$12)*POWER(Upgrades!$I$12,K168)))*(IF(Upgrades!$T$6="First Photons",POWER(Upgrades!$U$6,E168),1)*IF(Upgrades!$T$7="First Photons",POWER(Upgrades!$U$7,F168),1)*IF(Upgrades!$T$8="First Photons",POWER(Upgrades!$U$8,G168),1)*IF(Upgrades!$T$9="First Photons",POWER(Upgrades!$U$9,H168),1)*IF(Upgrades!$T$10="First Photons",POWER(Upgrades!$U$10,I168),1)*IF(Upgrades!$T$11="First Photons",POWER(Upgrades!$U$11,J168),1)))*POWER(Upgrades!$P$6,E168)*POWER(Upgrades!$P$7,F168)*POWER(Upgrades!$P$8,G168)*POWER(Upgrades!$P$9,H168)*POWER(Upgrades!$P$10,I168)*POWER(Upgrades!$P$11,J168)*POWER(Upgrades!$P$12,K168)</f>
        <v/>
      </c>
      <c r="O168" s="28">
        <f>((IF(E168=0,0,(Upgrades!$M$6+E168*Upgrades!$N$6)*POWER(Upgrades!$O$6,E168)))*(IF(Upgrades!$T$7="Solar Wind",POWER(Upgrades!$U$7,F168),1)*IF(Upgrades!$T$8="Solar Wind",POWER(Upgrades!$U$8,G168),1)*IF(Upgrades!$T$9="Solar Wind",POWER(Upgrades!$U$9,H168),1)*IF(Upgrades!$T$10="Solar Wind",POWER(Upgrades!$U$10,I168),1)*IF(Upgrades!$T$11="Solar Wind",POWER(Upgrades!$U$11,J168),1)*IF(Upgrades!$T$12="Solar Wind",POWER(Upgrades!$U$12,K168),1))+(IF(F168=0,0,(Upgrades!$M$7+F168*Upgrades!$N$7)*POWER(Upgrades!$O$7,F168)))*(IF(Upgrades!$T$6="Asteroid Belt",POWER(Upgrades!$U$6,E168),1)*IF(Upgrades!$T$8="Asteroid Belt",POWER(Upgrades!$U$8,G168),1)*IF(Upgrades!$T$9="Asteroid Belt",POWER(Upgrades!$U$9,H168),1)*IF(Upgrades!$T$10="Asteroid Belt",POWER(Upgrades!$U$10,I168),1)*IF(Upgrades!$T$11="Asteroid Belt",POWER(Upgrades!$U$11,J168),1)*IF(Upgrades!$T$12="Asteroid Belt",POWER(Upgrades!$U$12,K168),1))+(IF(G168=0,0,(Upgrades!$M$8+G168*Upgrades!$N$8)*POWER(Upgrades!$O$8,G168)))*(IF(Upgrades!$T$6="Stellar Coupling",POWER(Upgrades!$U$6,E168),1)*IF(Upgrades!$T$7="Stellar Coupling",POWER(Upgrades!$U$7,F168),1)*IF(Upgrades!$T$9="Stellar Coupling",POWER(Upgrades!$U$9,H168),1)*IF(Upgrades!$T$10="Stellar Coupling",POWER(Upgrades!$U$10,I168),1)*IF(Upgrades!$T$11="Stellar Coupling",POWER(Upgrades!$U$11,J168),1)*IF(Upgrades!$T$12="Stellar Coupling",POWER(Upgrades!$U$12,K168),1))+(IF(H168=0,0,(Upgrades!$M$9+H168*Upgrades!$N$9)*POWER(Upgrades!$O$9,H168)))*(IF(Upgrades!$T$6="Magnetosphere",POWER(Upgrades!$U$6,E168),1)*IF(Upgrades!$T$7="Magnetosphere",POWER(Upgrades!$U$7,F168),1)*IF(Upgrades!$T$8="Magnetosphere",POWER(Upgrades!$U$8,G168),1)*IF(Upgrades!$T$10="Magnetosphere",POWER(Upgrades!$U$10,I168),1)*IF(Upgrades!$T$11="Magnetosphere",POWER(Upgrades!$U$11,J168),1)*IF(Upgrades!$T$12="Magnetosphere",POWER(Upgrades!$U$12,K168),1))+(IF(I168=0,0,(Upgrades!$M$10+I168*Upgrades!$N$10)*POWER(Upgrades!$O$10,I168)))*(IF(Upgrades!$T$6="Orbital Resonance",POWER(Upgrades!$U$6,E168),1)*IF(Upgrades!$T$7="Orbital Resonance",POWER(Upgrades!$U$7,F168),1)*IF(Upgrades!$T$8="Orbital Resonance",POWER(Upgrades!$U$8,G168),1)*IF(Upgrades!$T$9="Orbital Resonance",POWER(Upgrades!$U$9,H168),1)*IF(Upgrades!$T$11="Orbital Resonance",POWER(Upgrades!$U$11,J168),1)*IF(Upgrades!$T$12="Orbital Resonance",POWER(Upgrades!$U$12,K168),1))+(IF(J168=0,0,(Upgrades!$M$11+J168*Upgrades!$N$11)*POWER(Upgrades!$O$11,J168)))*(IF(Upgrades!$T$6="Heliopause",POWER(Upgrades!$U$6,E168),1)*IF(Upgrades!$T$7="Heliopause",POWER(Upgrades!$U$7,F168),1)*IF(Upgrades!$T$8="Heliopause",POWER(Upgrades!$U$8,G168),1)*IF(Upgrades!$T$9="Heliopause",POWER(Upgrades!$U$9,H168),1)*IF(Upgrades!$T$10="Heliopause",POWER(Upgrades!$U$10,I168),1)*IF(Upgrades!$T$12="Heliopause",POWER(Upgrades!$U$12,K168),1))+(IF(K168=0,0,(Upgrades!$M$12+K168*Upgrades!$N$12)*POWER(Upgrades!$O$12,K168)))*(IF(Upgrades!$T$6="First Photons",POWER(Upgrades!$U$6,E168),1)*IF(Upgrades!$T$7="First Photons",POWER(Upgrades!$U$7,F168),1)*IF(Upgrades!$T$8="First Photons",POWER(Upgrades!$U$8,G168),1)*IF(Upgrades!$T$9="First Photons",POWER(Upgrades!$U$9,H168),1)*IF(Upgrades!$T$10="First Photons",POWER(Upgrades!$U$10,I168),1)*IF(Upgrades!$T$11="First Photons",POWER(Upgrades!$U$11,J168),1)))*POWER(Upgrades!$R$6,E168)*POWER(Upgrades!$R$7,F168)*POWER(Upgrades!$R$8,G168)*POWER(Upgrades!$R$9,H168)*POWER(Upgrades!$R$10,I168)*POWER(Upgrades!$R$11,J168)*POWER(Upgrades!$R$12,K168)</f>
        <v/>
      </c>
      <c r="P168" s="27">
        <f>IF(L168=1,0,M168*Parameters!$B$10/60*Parameters!$B$11*10)</f>
        <v/>
      </c>
      <c r="Q168" s="27">
        <f>IF(L168=1,0,O168*M168*10)</f>
        <v/>
      </c>
      <c r="R168" s="27">
        <f>IF(L168=1,0,N168*10)</f>
        <v/>
      </c>
      <c r="S168" s="27">
        <f>P168+Q168+R168</f>
        <v/>
      </c>
      <c r="T168" s="22">
        <f>C168+S168</f>
        <v/>
      </c>
      <c r="U168" s="33">
        <f>AX168</f>
        <v/>
      </c>
      <c r="V168" s="22">
        <f>IF(U168="",0,IF(U168="transition",0,IF(U168="SW",AG168,IF(U168="AB",AH168,IF(U168="SC",AI168,IF(U168="Mag",AJ168,IF(U168="OR",AK168,IF(U168="HP",AL168,IF(U168="FP",AM168,0)))))))))</f>
        <v/>
      </c>
      <c r="W168" s="27">
        <f>IF(U168="OR",Upgrades!$F$10,IF(U168="HP",Upgrades!$F$11,IF(U168="transition",-Parameters!$B$18,0)))</f>
        <v/>
      </c>
      <c r="X168" s="22">
        <f>T168-V168</f>
        <v/>
      </c>
      <c r="Y168" s="30">
        <f>M168*Parameters!$B$10/60*Parameters!$B$11+O168*M168+N168</f>
        <v/>
      </c>
      <c r="Z168" s="34">
        <f>IF(U168="transition","→ Tier 2 (Stellar Neighborhood)",IF(U168="FP","First Photons — light begins, system quickens",IF(U168="HP","Heliopause acquired",IF(U168="OR","Orbital Resonance — passive multiplier active",IF(AND(AO168=1,L168=0,AN168&lt;&gt;1),"Cohesion ready (waiting on completionist upgrades)","")))))</f>
        <v/>
      </c>
      <c r="AA168" s="27">
        <f>(IF(E168=0,0,(Upgrades!$G$6+E168*Upgrades!$H$6)*POWER(Upgrades!$I$6,E168)))*(IF(Upgrades!$T$7="Solar Wind",POWER(Upgrades!$U$7,F168),1)*IF(Upgrades!$T$8="Solar Wind",POWER(Upgrades!$U$8,G168),1)*IF(Upgrades!$T$9="Solar Wind",POWER(Upgrades!$U$9,H168),1)*IF(Upgrades!$T$10="Solar Wind",POWER(Upgrades!$U$10,I168),1)*IF(Upgrades!$T$11="Solar Wind",POWER(Upgrades!$U$11,J168),1)*IF(Upgrades!$T$12="Solar Wind",POWER(Upgrades!$U$12,K168),1))*POWER(Upgrades!$P$6,E168)*POWER(Upgrades!$P$7,F168)*POWER(Upgrades!$P$8,G168)*POWER(Upgrades!$P$9,H168)*POWER(Upgrades!$P$10,I168)*POWER(Upgrades!$P$11,J168)*POWER(Upgrades!$P$12,K168)*60</f>
        <v/>
      </c>
      <c r="AB168" s="27">
        <f>(IF(F168=0,0,(Upgrades!$G$7+F168*Upgrades!$H$7)*POWER(Upgrades!$I$7,F168)))*(IF(Upgrades!$T$6="Asteroid Belt",POWER(Upgrades!$U$6,E168),1)*IF(Upgrades!$T$8="Asteroid Belt",POWER(Upgrades!$U$8,G168),1)*IF(Upgrades!$T$9="Asteroid Belt",POWER(Upgrades!$U$9,H168),1)*IF(Upgrades!$T$10="Asteroid Belt",POWER(Upgrades!$U$10,I168),1)*IF(Upgrades!$T$11="Asteroid Belt",POWER(Upgrades!$U$11,J168),1)*IF(Upgrades!$T$12="Asteroid Belt",POWER(Upgrades!$U$12,K168),1))*POWER(Upgrades!$P$6,E168)*POWER(Upgrades!$P$7,F168)*POWER(Upgrades!$P$8,G168)*POWER(Upgrades!$P$9,H168)*POWER(Upgrades!$P$10,I168)*POWER(Upgrades!$P$11,J168)*POWER(Upgrades!$P$12,K168)*60</f>
        <v/>
      </c>
      <c r="AC168" s="27">
        <f>(IF(G168=0,0,(Upgrades!$J$8+G168*Upgrades!$K$8)*POWER(Upgrades!$L$8,G168)))*(IF(Upgrades!$T$6="Stellar Coupling",POWER(Upgrades!$U$6,E168),1)*IF(Upgrades!$T$7="Stellar Coupling",POWER(Upgrades!$U$7,F168),1)*IF(Upgrades!$T$9="Stellar Coupling",POWER(Upgrades!$U$9,H168),1)*IF(Upgrades!$T$10="Stellar Coupling",POWER(Upgrades!$U$10,I168),1)*IF(Upgrades!$T$11="Stellar Coupling",POWER(Upgrades!$U$11,J168),1)*IF(Upgrades!$T$12="Stellar Coupling",POWER(Upgrades!$U$12,K168),1))*POWER(Upgrades!$Q$6,E168)*POWER(Upgrades!$Q$7,F168)*POWER(Upgrades!$Q$8,G168)*POWER(Upgrades!$Q$9,H168)*POWER(Upgrades!$Q$10,I168)*POWER(Upgrades!$Q$11,J168)*POWER(Upgrades!$Q$12,K168)*Parameters!$B$10*Parameters!$B$11</f>
        <v/>
      </c>
      <c r="AD168" s="27">
        <f>(IF(H168=0,0,(Upgrades!$G$9+H168*Upgrades!$H$9)*POWER(Upgrades!$I$9,H168)))*(IF(Upgrades!$T$6="Magnetosphere",POWER(Upgrades!$U$6,E168),1)*IF(Upgrades!$T$7="Magnetosphere",POWER(Upgrades!$U$7,F168),1)*IF(Upgrades!$T$8="Magnetosphere",POWER(Upgrades!$U$8,G168),1)*IF(Upgrades!$T$10="Magnetosphere",POWER(Upgrades!$U$10,I168),1)*IF(Upgrades!$T$11="Magnetosphere",POWER(Upgrades!$U$11,J168),1)*IF(Upgrades!$T$12="Magnetosphere",POWER(Upgrades!$U$12,K168),1))*POWER(Upgrades!$P$6,E168)*POWER(Upgrades!$P$7,F168)*POWER(Upgrades!$P$8,G168)*POWER(Upgrades!$P$9,H168)*POWER(Upgrades!$P$10,I168)*POWER(Upgrades!$P$11,J168)*POWER(Upgrades!$P$12,K168)*60</f>
        <v/>
      </c>
      <c r="AE168" s="27">
        <f>(IF(K168=0,0,(Upgrades!$G$12+K168*Upgrades!$H$12)*POWER(Upgrades!$I$12,K168)))*(IF(Upgrades!$T$6="First Photons",POWER(Upgrades!$U$6,E168),1)*IF(Upgrades!$T$7="First Photons",POWER(Upgrades!$U$7,F168),1)*IF(Upgrades!$T$8="First Photons",POWER(Upgrades!$U$8,G168),1)*IF(Upgrades!$T$9="First Photons",POWER(Upgrades!$U$9,H168),1)*IF(Upgrades!$T$10="First Photons",POWER(Upgrades!$U$10,I168),1)*IF(Upgrades!$T$11="First Photons",POWER(Upgrades!$U$11,J168),1))*POWER(Upgrades!$P$6,E168)*POWER(Upgrades!$P$7,F168)*POWER(Upgrades!$P$8,G168)*POWER(Upgrades!$P$9,H168)*POWER(Upgrades!$P$10,I168)*POWER(Upgrades!$P$11,J168)*POWER(Upgrades!$P$12,K168)*60</f>
        <v/>
      </c>
      <c r="AF168" s="27">
        <f>Parameters!$B$9*POWER(Upgrades!$Q$6,E168)*POWER(Upgrades!$Q$7,F168)*POWER(Upgrades!$Q$8,G168)*POWER(Upgrades!$Q$9,H168)*POWER(Upgrades!$Q$10,I168)*POWER(Upgrades!$Q$11,J168)*POWER(Upgrades!$Q$12,K168)*(Parameters!$B$10*Parameters!$B$11+O168*60)</f>
        <v/>
      </c>
      <c r="AG168" s="22">
        <f>IF(E168&gt;=Upgrades!$E$6,"",Upgrades!$C$6*POWER(Upgrades!$D$6,E168))</f>
        <v/>
      </c>
      <c r="AH168" s="22">
        <f>IF(F168&gt;=Upgrades!$E$7,"",Upgrades!$C$7*POWER(Upgrades!$D$7,F168))</f>
        <v/>
      </c>
      <c r="AI168" s="22">
        <f>IF(G168&gt;=Upgrades!$E$8,"",Upgrades!$C$8*POWER(Upgrades!$D$8,G168))</f>
        <v/>
      </c>
      <c r="AJ168" s="22">
        <f>IF(H168&gt;=Upgrades!$E$9,"",Upgrades!$C$9*POWER(Upgrades!$D$9,H168))</f>
        <v/>
      </c>
      <c r="AK168" s="22">
        <f>IF(I168&gt;=Upgrades!$E$10,"",Upgrades!$C$10*POWER(Upgrades!$D$10,I168))</f>
        <v/>
      </c>
      <c r="AL168" s="22">
        <f>IF(J168&gt;=Upgrades!$E$11,"",Upgrades!$C$11*POWER(Upgrades!$D$11,J168))</f>
        <v/>
      </c>
      <c r="AM168" s="22">
        <f>IF(K168&gt;=Upgrades!$E$12,"",Upgrades!$C$12*POWER(Upgrades!$D$12,K168))</f>
        <v/>
      </c>
      <c r="AN168" s="26">
        <f>IF(AND(D168&gt;=Parameters!$B$18,(H168&gt;=Upgrades!$E$9)*(K168&gt;=Upgrades!$E$12)=1,L168=0),1,"")</f>
        <v/>
      </c>
      <c r="AO168" s="26">
        <f>IF(AND(D168&gt;=Parameters!$B$18,L168=0),1,"")</f>
        <v/>
      </c>
      <c r="AP168" s="22">
        <f>MIN(IF(ISNUMBER(AK168),AK168,9E15),IF(ISNUMBER(AL168),AL168,9E15),IF(ISNUMBER(AM168),AM168,9E15))</f>
        <v/>
      </c>
      <c r="AQ168" s="22">
        <f>MIN(IF(ISNUMBER(AG168),AG168,9E15),IF(ISNUMBER(AH168),AH168,9E15),IF(ISNUMBER(AI168),AI168,9E15),IF(ISNUMBER(AJ168),AJ168,9E15))</f>
        <v/>
      </c>
      <c r="AR168" s="29">
        <f>IF(AW168&gt;Parameters!$B$21*(MAX(IF(AND(NOT(AND(AO168=1,AN168&lt;&gt;1)),ISNUMBER(AG168),AG168&lt;=T168),AS168,0),IF(AND(NOT(AND(AO168=1,AN168&lt;&gt;1)),ISNUMBER(AH168),AH168&lt;=T168),AT168,0),IF(AND(NOT(AND(AO168=1,AN168&lt;&gt;1)),ISNUMBER(AI168),AI168&lt;=T168),AU168,0),IF(AND(ISNUMBER(AJ168),AJ168&lt;=T168),AV168,0))),TRUE,FALSE)</f>
        <v/>
      </c>
      <c r="AS168" s="32">
        <f>IFERROR(Upgrades!$H$6*(POWER(Upgrades!$P$6,E168)*POWER(Upgrades!$P$7,F168)*POWER(Upgrades!$P$8,G168)*POWER(Upgrades!$P$9,H168)*POWER(Upgrades!$P$10,I168)*POWER(Upgrades!$P$11,J168)*POWER(Upgrades!$P$12,K168))*(IF(Upgrades!$T$7="Solar Wind",POWER(Upgrades!$U$7,F168),1)*IF(Upgrades!$T$8="Solar Wind",POWER(Upgrades!$U$8,G168),1)*IF(Upgrades!$T$9="Solar Wind",POWER(Upgrades!$U$9,H168),1)*IF(Upgrades!$T$10="Solar Wind",POWER(Upgrades!$U$10,I168),1)*IF(Upgrades!$T$11="Solar Wind",POWER(Upgrades!$U$11,J168),1)*IF(Upgrades!$T$12="Solar Wind",POWER(Upgrades!$U$12,K168),1))/AG168,0)</f>
        <v/>
      </c>
      <c r="AT168" s="32">
        <f>IFERROR(Upgrades!$H$7*(POWER(Upgrades!$P$6,E168)*POWER(Upgrades!$P$7,F168)*POWER(Upgrades!$P$8,G168)*POWER(Upgrades!$P$9,H168)*POWER(Upgrades!$P$10,I168)*POWER(Upgrades!$P$11,J168)*POWER(Upgrades!$P$12,K168))*(IF(Upgrades!$T$6="Asteroid Belt",POWER(Upgrades!$U$6,E168),1)*IF(Upgrades!$T$8="Asteroid Belt",POWER(Upgrades!$U$8,G168),1)*IF(Upgrades!$T$9="Asteroid Belt",POWER(Upgrades!$U$9,H168),1)*IF(Upgrades!$T$10="Asteroid Belt",POWER(Upgrades!$U$10,I168),1)*IF(Upgrades!$T$11="Asteroid Belt",POWER(Upgrades!$U$11,J168),1)*IF(Upgrades!$T$12="Asteroid Belt",POWER(Upgrades!$U$12,K168),1))/AH168,0)</f>
        <v/>
      </c>
      <c r="AU168" s="32">
        <f>IFERROR(Upgrades!$K$8*(POWER(Upgrades!$Q$6,E168)*POWER(Upgrades!$Q$7,F168)*POWER(Upgrades!$Q$8,G168)*POWER(Upgrades!$Q$9,H168)*POWER(Upgrades!$Q$10,I168)*POWER(Upgrades!$Q$11,J168)*POWER(Upgrades!$Q$12,K168))*(IF(Upgrades!$T$6="Stellar Coupling",POWER(Upgrades!$U$6,E168),1)*IF(Upgrades!$T$7="Stellar Coupling",POWER(Upgrades!$U$7,F168),1)*IF(Upgrades!$T$9="Stellar Coupling",POWER(Upgrades!$U$9,H168),1)*IF(Upgrades!$T$10="Stellar Coupling",POWER(Upgrades!$U$10,I168),1)*IF(Upgrades!$T$11="Stellar Coupling",POWER(Upgrades!$U$11,J168),1)*IF(Upgrades!$T$12="Stellar Coupling",POWER(Upgrades!$U$12,K168),1))*Parameters!$B$10*Parameters!$B$11/60/AI168,0)</f>
        <v/>
      </c>
      <c r="AV168" s="32">
        <f>IFERROR(Upgrades!$H$9*(POWER(Upgrades!$P$6,E168)*POWER(Upgrades!$P$7,F168)*POWER(Upgrades!$P$8,G168)*POWER(Upgrades!$P$9,H168)*POWER(Upgrades!$P$10,I168)*POWER(Upgrades!$P$11,J168)*POWER(Upgrades!$P$12,K168))*(IF(Upgrades!$T$6="Magnetosphere",POWER(Upgrades!$U$6,E168),1)*IF(Upgrades!$T$7="Magnetosphere",POWER(Upgrades!$U$7,F168),1)*IF(Upgrades!$T$8="Magnetosphere",POWER(Upgrades!$U$8,G168),1)*IF(Upgrades!$T$10="Magnetosphere",POWER(Upgrades!$U$10,I168),1)*IF(Upgrades!$T$11="Magnetosphere",POWER(Upgrades!$U$11,J168),1)*IF(Upgrades!$T$12="Magnetosphere",POWER(Upgrades!$U$12,K168),1))/AJ168,0)</f>
        <v/>
      </c>
      <c r="AW168" s="32">
        <f>MAX(IF(I168&gt;0,0,IFERROR(0.25*N168/Upgrades!$C$10,0)),IF(J168&gt;0,0,IFERROR(0.5*((IF(G168=0,0,(Upgrades!$J$8+G168*Upgrades!$K$8)*POWER(Upgrades!$L$8,G168)))*(IF(Upgrades!$T$6="Stellar Coupling",POWER(Upgrades!$U$6,E168),1)*IF(Upgrades!$T$7="Stellar Coupling",POWER(Upgrades!$U$7,F168),1)*IF(Upgrades!$T$9="Stellar Coupling",POWER(Upgrades!$U$9,H168),1)*IF(Upgrades!$T$10="Stellar Coupling",POWER(Upgrades!$U$10,I168),1)*IF(Upgrades!$T$11="Stellar Coupling",POWER(Upgrades!$U$11,J168),1)*IF(Upgrades!$T$12="Stellar Coupling",POWER(Upgrades!$U$12,K168),1))*(POWER(Upgrades!$Q$6,E168)*POWER(Upgrades!$Q$7,F168)*POWER(Upgrades!$Q$8,G168)*POWER(Upgrades!$Q$9,H168)*POWER(Upgrades!$Q$10,I168)*POWER(Upgrades!$Q$11,J168)*POWER(Upgrades!$Q$12,K168))*Parameters!$B$10*Parameters!$B$11/60)/Upgrades!$C$11,0)),IF(K168&gt;0,0,IFERROR((1.0*(POWER(Upgrades!$P$6,E168)*POWER(Upgrades!$P$7,F168)*POWER(Upgrades!$P$8,G168)*POWER(Upgrades!$P$9,H168)*POWER(Upgrades!$P$10,I168)*POWER(Upgrades!$P$11,J168)*POWER(Upgrades!$P$12,K168))+0.20*M168*Parameters!$B$10*Parameters!$B$11/60)/Upgrades!$C$12,0)),IF(AND(ISNUMBER(AG168),AG168&gt;T168),AS168,0),IF(AND(ISNUMBER(AH168),AH168&gt;T168),AT168,0),IF(AND(ISNUMBER(AI168),AI168&gt;T168),AU168,0),IF(AND(ISNUMBER(AJ168),AJ168&gt;T168),AV168,0))</f>
        <v/>
      </c>
      <c r="AX168" s="29">
        <f>IF(AN168=1,"transition",IF(MIN(IF(AND(I168=0,ISNUMBER(AK168),AK168&lt;=T168),AK168,9E15),IF(AND(J168=0,ISNUMBER(AL168),AL168&lt;=T168),AL168,9E15),IF(AND(K168=0,ISNUMBER(AM168),AM168&lt;=T168),AM168,9E15))&lt;9E15,IF(AND(AND(I168=0,ISNUMBER(AK168),AK168&lt;=T168),AK168=MIN(IF(AND(I168=0,ISNUMBER(AK168),AK168&lt;=T168),AK168,9E15),IF(AND(J168=0,ISNUMBER(AL168),AL168&lt;=T168),AL168,9E15),IF(AND(K168=0,ISNUMBER(AM168),AM168&lt;=T168),AM168,9E15))),"OR",IF(AND(AND(J168=0,ISNUMBER(AL168),AL168&lt;=T168),AL168=MIN(IF(AND(I168=0,ISNUMBER(AK168),AK168&lt;=T168),AK168,9E15),IF(AND(J168=0,ISNUMBER(AL168),AL168&lt;=T168),AL168,9E15),IF(AND(K168=0,ISNUMBER(AM168),AM168&lt;=T168),AM168,9E15))),"HP","FP")),IF(AR168=TRUE,"",IF(MAX(IF(AND(NOT(AND(AO168=1,AN168&lt;&gt;1)),ISNUMBER(AG168),AG168&lt;=T168),AS168,0),IF(AND(NOT(AND(AO168=1,AN168&lt;&gt;1)),ISNUMBER(AH168),AH168&lt;=T168),AT168,0),IF(AND(NOT(AND(AO168=1,AN168&lt;&gt;1)),ISNUMBER(AI168),AI168&lt;=T168),AU168,0),IF(AND(ISNUMBER(AJ168),AJ168&lt;=T168),AV168,0))&lt;=0,"",IF(AND(IF(AND(NOT(AND(AO168=1,AN168&lt;&gt;1)),ISNUMBER(AG168),AG168&lt;=T168),AS168,0)&gt;0,IF(AND(NOT(AND(AO168=1,AN168&lt;&gt;1)),ISNUMBER(AG168),AG168&lt;=T168),AS168,0)=MAX(IF(AND(NOT(AND(AO168=1,AN168&lt;&gt;1)),ISNUMBER(AG168),AG168&lt;=T168),AS168,0),IF(AND(NOT(AND(AO168=1,AN168&lt;&gt;1)),ISNUMBER(AH168),AH168&lt;=T168),AT168,0),IF(AND(NOT(AND(AO168=1,AN168&lt;&gt;1)),ISNUMBER(AI168),AI168&lt;=T168),AU168,0),IF(AND(ISNUMBER(AJ168),AJ168&lt;=T168),AV168,0))),"SW",IF(AND(IF(AND(NOT(AND(AO168=1,AN168&lt;&gt;1)),ISNUMBER(AH168),AH168&lt;=T168),AT168,0)&gt;0,IF(AND(NOT(AND(AO168=1,AN168&lt;&gt;1)),ISNUMBER(AH168),AH168&lt;=T168),AT168,0)=MAX(IF(AND(NOT(AND(AO168=1,AN168&lt;&gt;1)),ISNUMBER(AG168),AG168&lt;=T168),AS168,0),IF(AND(NOT(AND(AO168=1,AN168&lt;&gt;1)),ISNUMBER(AH168),AH168&lt;=T168),AT168,0),IF(AND(NOT(AND(AO168=1,AN168&lt;&gt;1)),ISNUMBER(AI168),AI168&lt;=T168),AU168,0),IF(AND(ISNUMBER(AJ168),AJ168&lt;=T168),AV168,0))),"AB",IF(AND(IF(AND(NOT(AND(AO168=1,AN168&lt;&gt;1)),ISNUMBER(AI168),AI168&lt;=T168),AU168,0)&gt;0,IF(AND(NOT(AND(AO168=1,AN168&lt;&gt;1)),ISNUMBER(AI168),AI168&lt;=T168),AU168,0)=MAX(IF(AND(NOT(AND(AO168=1,AN168&lt;&gt;1)),ISNUMBER(AG168),AG168&lt;=T168),AS168,0),IF(AND(NOT(AND(AO168=1,AN168&lt;&gt;1)),ISNUMBER(AH168),AH168&lt;=T168),AT168,0),IF(AND(NOT(AND(AO168=1,AN168&lt;&gt;1)),ISNUMBER(AI168),AI168&lt;=T168),AU168,0),IF(AND(ISNUMBER(AJ168),AJ168&lt;=T168),AV168,0))),"SC","Mag")))))))</f>
        <v/>
      </c>
    </row>
    <row r="169">
      <c r="A169" s="26" t="n">
        <v>164</v>
      </c>
      <c r="B169" s="27">
        <f>A169*10/60</f>
        <v/>
      </c>
      <c r="C169" s="22">
        <f>X168</f>
        <v/>
      </c>
      <c r="D169" s="27">
        <f>D168+W168</f>
        <v/>
      </c>
      <c r="E169" s="26">
        <f>E168+IF(U168="SW",1,0)</f>
        <v/>
      </c>
      <c r="F169" s="26">
        <f>F168+IF(U168="AB",1,0)</f>
        <v/>
      </c>
      <c r="G169" s="26">
        <f>G168+IF(U168="SC",1,0)</f>
        <v/>
      </c>
      <c r="H169" s="26">
        <f>H168+IF(U168="Mag",1,0)</f>
        <v/>
      </c>
      <c r="I169" s="26">
        <f>MAX(I168,IF(U168="OR",1,0))</f>
        <v/>
      </c>
      <c r="J169" s="26">
        <f>MAX(J168,IF(U168="HP",1,0))</f>
        <v/>
      </c>
      <c r="K169" s="26">
        <f>MAX(K168,IF(U168="FP",1,0))</f>
        <v/>
      </c>
      <c r="L169" s="26">
        <f>MAX(L168,IF(U168="transition",1,0))</f>
        <v/>
      </c>
      <c r="M169" s="28">
        <f>(Parameters!$B$9+(IF(E169=0,0,(Upgrades!$J$6+E169*Upgrades!$K$6)*POWER(Upgrades!$L$6,E169)))*(IF(Upgrades!$T$7="Solar Wind",POWER(Upgrades!$U$7,F169),1)*IF(Upgrades!$T$8="Solar Wind",POWER(Upgrades!$U$8,G169),1)*IF(Upgrades!$T$9="Solar Wind",POWER(Upgrades!$U$9,H169),1)*IF(Upgrades!$T$10="Solar Wind",POWER(Upgrades!$U$10,I169),1)*IF(Upgrades!$T$11="Solar Wind",POWER(Upgrades!$U$11,J169),1)*IF(Upgrades!$T$12="Solar Wind",POWER(Upgrades!$U$12,K169),1))+(IF(F169=0,0,(Upgrades!$J$7+F169*Upgrades!$K$7)*POWER(Upgrades!$L$7,F169)))*(IF(Upgrades!$T$6="Asteroid Belt",POWER(Upgrades!$U$6,E169),1)*IF(Upgrades!$T$8="Asteroid Belt",POWER(Upgrades!$U$8,G169),1)*IF(Upgrades!$T$9="Asteroid Belt",POWER(Upgrades!$U$9,H169),1)*IF(Upgrades!$T$10="Asteroid Belt",POWER(Upgrades!$U$10,I169),1)*IF(Upgrades!$T$11="Asteroid Belt",POWER(Upgrades!$U$11,J169),1)*IF(Upgrades!$T$12="Asteroid Belt",POWER(Upgrades!$U$12,K169),1))+(IF(G169=0,0,(Upgrades!$J$8+G169*Upgrades!$K$8)*POWER(Upgrades!$L$8,G169)))*(IF(Upgrades!$T$6="Stellar Coupling",POWER(Upgrades!$U$6,E169),1)*IF(Upgrades!$T$7="Stellar Coupling",POWER(Upgrades!$U$7,F169),1)*IF(Upgrades!$T$9="Stellar Coupling",POWER(Upgrades!$U$9,H169),1)*IF(Upgrades!$T$10="Stellar Coupling",POWER(Upgrades!$U$10,I169),1)*IF(Upgrades!$T$11="Stellar Coupling",POWER(Upgrades!$U$11,J169),1)*IF(Upgrades!$T$12="Stellar Coupling",POWER(Upgrades!$U$12,K169),1))+(IF(H169=0,0,(Upgrades!$J$9+H169*Upgrades!$K$9)*POWER(Upgrades!$L$9,H169)))*(IF(Upgrades!$T$6="Magnetosphere",POWER(Upgrades!$U$6,E169),1)*IF(Upgrades!$T$7="Magnetosphere",POWER(Upgrades!$U$7,F169),1)*IF(Upgrades!$T$8="Magnetosphere",POWER(Upgrades!$U$8,G169),1)*IF(Upgrades!$T$10="Magnetosphere",POWER(Upgrades!$U$10,I169),1)*IF(Upgrades!$T$11="Magnetosphere",POWER(Upgrades!$U$11,J169),1)*IF(Upgrades!$T$12="Magnetosphere",POWER(Upgrades!$U$12,K169),1))+(IF(I169=0,0,(Upgrades!$J$10+I169*Upgrades!$K$10)*POWER(Upgrades!$L$10,I169)))*(IF(Upgrades!$T$6="Orbital Resonance",POWER(Upgrades!$U$6,E169),1)*IF(Upgrades!$T$7="Orbital Resonance",POWER(Upgrades!$U$7,F169),1)*IF(Upgrades!$T$8="Orbital Resonance",POWER(Upgrades!$U$8,G169),1)*IF(Upgrades!$T$9="Orbital Resonance",POWER(Upgrades!$U$9,H169),1)*IF(Upgrades!$T$11="Orbital Resonance",POWER(Upgrades!$U$11,J169),1)*IF(Upgrades!$T$12="Orbital Resonance",POWER(Upgrades!$U$12,K169),1))+(IF(J169=0,0,(Upgrades!$J$11+J169*Upgrades!$K$11)*POWER(Upgrades!$L$11,J169)))*(IF(Upgrades!$T$6="Heliopause",POWER(Upgrades!$U$6,E169),1)*IF(Upgrades!$T$7="Heliopause",POWER(Upgrades!$U$7,F169),1)*IF(Upgrades!$T$8="Heliopause",POWER(Upgrades!$U$8,G169),1)*IF(Upgrades!$T$9="Heliopause",POWER(Upgrades!$U$9,H169),1)*IF(Upgrades!$T$10="Heliopause",POWER(Upgrades!$U$10,I169),1)*IF(Upgrades!$T$12="Heliopause",POWER(Upgrades!$U$12,K169),1))+(IF(K169=0,0,(Upgrades!$J$12+K169*Upgrades!$K$12)*POWER(Upgrades!$L$12,K169)))*(IF(Upgrades!$T$6="First Photons",POWER(Upgrades!$U$6,E169),1)*IF(Upgrades!$T$7="First Photons",POWER(Upgrades!$U$7,F169),1)*IF(Upgrades!$T$8="First Photons",POWER(Upgrades!$U$8,G169),1)*IF(Upgrades!$T$9="First Photons",POWER(Upgrades!$U$9,H169),1)*IF(Upgrades!$T$10="First Photons",POWER(Upgrades!$U$10,I169),1)*IF(Upgrades!$T$11="First Photons",POWER(Upgrades!$U$11,J169),1)))*POWER(Upgrades!$Q$6,E169)*POWER(Upgrades!$Q$7,F169)*POWER(Upgrades!$Q$8,G169)*POWER(Upgrades!$Q$9,H169)*POWER(Upgrades!$Q$10,I169)*POWER(Upgrades!$Q$11,J169)*POWER(Upgrades!$Q$12,K169)</f>
        <v/>
      </c>
      <c r="N169" s="28">
        <f>((IF(E169=0,0,(Upgrades!$G$6+E169*Upgrades!$H$6)*POWER(Upgrades!$I$6,E169)))*(IF(Upgrades!$T$7="Solar Wind",POWER(Upgrades!$U$7,F169),1)*IF(Upgrades!$T$8="Solar Wind",POWER(Upgrades!$U$8,G169),1)*IF(Upgrades!$T$9="Solar Wind",POWER(Upgrades!$U$9,H169),1)*IF(Upgrades!$T$10="Solar Wind",POWER(Upgrades!$U$10,I169),1)*IF(Upgrades!$T$11="Solar Wind",POWER(Upgrades!$U$11,J169),1)*IF(Upgrades!$T$12="Solar Wind",POWER(Upgrades!$U$12,K169),1))+(IF(F169=0,0,(Upgrades!$G$7+F169*Upgrades!$H$7)*POWER(Upgrades!$I$7,F169)))*(IF(Upgrades!$T$6="Asteroid Belt",POWER(Upgrades!$U$6,E169),1)*IF(Upgrades!$T$8="Asteroid Belt",POWER(Upgrades!$U$8,G169),1)*IF(Upgrades!$T$9="Asteroid Belt",POWER(Upgrades!$U$9,H169),1)*IF(Upgrades!$T$10="Asteroid Belt",POWER(Upgrades!$U$10,I169),1)*IF(Upgrades!$T$11="Asteroid Belt",POWER(Upgrades!$U$11,J169),1)*IF(Upgrades!$T$12="Asteroid Belt",POWER(Upgrades!$U$12,K169),1))+(IF(G169=0,0,(Upgrades!$G$8+G169*Upgrades!$H$8)*POWER(Upgrades!$I$8,G169)))*(IF(Upgrades!$T$6="Stellar Coupling",POWER(Upgrades!$U$6,E169),1)*IF(Upgrades!$T$7="Stellar Coupling",POWER(Upgrades!$U$7,F169),1)*IF(Upgrades!$T$9="Stellar Coupling",POWER(Upgrades!$U$9,H169),1)*IF(Upgrades!$T$10="Stellar Coupling",POWER(Upgrades!$U$10,I169),1)*IF(Upgrades!$T$11="Stellar Coupling",POWER(Upgrades!$U$11,J169),1)*IF(Upgrades!$T$12="Stellar Coupling",POWER(Upgrades!$U$12,K169),1))+(IF(H169=0,0,(Upgrades!$G$9+H169*Upgrades!$H$9)*POWER(Upgrades!$I$9,H169)))*(IF(Upgrades!$T$6="Magnetosphere",POWER(Upgrades!$U$6,E169),1)*IF(Upgrades!$T$7="Magnetosphere",POWER(Upgrades!$U$7,F169),1)*IF(Upgrades!$T$8="Magnetosphere",POWER(Upgrades!$U$8,G169),1)*IF(Upgrades!$T$10="Magnetosphere",POWER(Upgrades!$U$10,I169),1)*IF(Upgrades!$T$11="Magnetosphere",POWER(Upgrades!$U$11,J169),1)*IF(Upgrades!$T$12="Magnetosphere",POWER(Upgrades!$U$12,K169),1))+(IF(I169=0,0,(Upgrades!$G$10+I169*Upgrades!$H$10)*POWER(Upgrades!$I$10,I169)))*(IF(Upgrades!$T$6="Orbital Resonance",POWER(Upgrades!$U$6,E169),1)*IF(Upgrades!$T$7="Orbital Resonance",POWER(Upgrades!$U$7,F169),1)*IF(Upgrades!$T$8="Orbital Resonance",POWER(Upgrades!$U$8,G169),1)*IF(Upgrades!$T$9="Orbital Resonance",POWER(Upgrades!$U$9,H169),1)*IF(Upgrades!$T$11="Orbital Resonance",POWER(Upgrades!$U$11,J169),1)*IF(Upgrades!$T$12="Orbital Resonance",POWER(Upgrades!$U$12,K169),1))+(IF(J169=0,0,(Upgrades!$G$11+J169*Upgrades!$H$11)*POWER(Upgrades!$I$11,J169)))*(IF(Upgrades!$T$6="Heliopause",POWER(Upgrades!$U$6,E169),1)*IF(Upgrades!$T$7="Heliopause",POWER(Upgrades!$U$7,F169),1)*IF(Upgrades!$T$8="Heliopause",POWER(Upgrades!$U$8,G169),1)*IF(Upgrades!$T$9="Heliopause",POWER(Upgrades!$U$9,H169),1)*IF(Upgrades!$T$10="Heliopause",POWER(Upgrades!$U$10,I169),1)*IF(Upgrades!$T$12="Heliopause",POWER(Upgrades!$U$12,K169),1))+(IF(K169=0,0,(Upgrades!$G$12+K169*Upgrades!$H$12)*POWER(Upgrades!$I$12,K169)))*(IF(Upgrades!$T$6="First Photons",POWER(Upgrades!$U$6,E169),1)*IF(Upgrades!$T$7="First Photons",POWER(Upgrades!$U$7,F169),1)*IF(Upgrades!$T$8="First Photons",POWER(Upgrades!$U$8,G169),1)*IF(Upgrades!$T$9="First Photons",POWER(Upgrades!$U$9,H169),1)*IF(Upgrades!$T$10="First Photons",POWER(Upgrades!$U$10,I169),1)*IF(Upgrades!$T$11="First Photons",POWER(Upgrades!$U$11,J169),1)))*POWER(Upgrades!$P$6,E169)*POWER(Upgrades!$P$7,F169)*POWER(Upgrades!$P$8,G169)*POWER(Upgrades!$P$9,H169)*POWER(Upgrades!$P$10,I169)*POWER(Upgrades!$P$11,J169)*POWER(Upgrades!$P$12,K169)</f>
        <v/>
      </c>
      <c r="O169" s="28">
        <f>((IF(E169=0,0,(Upgrades!$M$6+E169*Upgrades!$N$6)*POWER(Upgrades!$O$6,E169)))*(IF(Upgrades!$T$7="Solar Wind",POWER(Upgrades!$U$7,F169),1)*IF(Upgrades!$T$8="Solar Wind",POWER(Upgrades!$U$8,G169),1)*IF(Upgrades!$T$9="Solar Wind",POWER(Upgrades!$U$9,H169),1)*IF(Upgrades!$T$10="Solar Wind",POWER(Upgrades!$U$10,I169),1)*IF(Upgrades!$T$11="Solar Wind",POWER(Upgrades!$U$11,J169),1)*IF(Upgrades!$T$12="Solar Wind",POWER(Upgrades!$U$12,K169),1))+(IF(F169=0,0,(Upgrades!$M$7+F169*Upgrades!$N$7)*POWER(Upgrades!$O$7,F169)))*(IF(Upgrades!$T$6="Asteroid Belt",POWER(Upgrades!$U$6,E169),1)*IF(Upgrades!$T$8="Asteroid Belt",POWER(Upgrades!$U$8,G169),1)*IF(Upgrades!$T$9="Asteroid Belt",POWER(Upgrades!$U$9,H169),1)*IF(Upgrades!$T$10="Asteroid Belt",POWER(Upgrades!$U$10,I169),1)*IF(Upgrades!$T$11="Asteroid Belt",POWER(Upgrades!$U$11,J169),1)*IF(Upgrades!$T$12="Asteroid Belt",POWER(Upgrades!$U$12,K169),1))+(IF(G169=0,0,(Upgrades!$M$8+G169*Upgrades!$N$8)*POWER(Upgrades!$O$8,G169)))*(IF(Upgrades!$T$6="Stellar Coupling",POWER(Upgrades!$U$6,E169),1)*IF(Upgrades!$T$7="Stellar Coupling",POWER(Upgrades!$U$7,F169),1)*IF(Upgrades!$T$9="Stellar Coupling",POWER(Upgrades!$U$9,H169),1)*IF(Upgrades!$T$10="Stellar Coupling",POWER(Upgrades!$U$10,I169),1)*IF(Upgrades!$T$11="Stellar Coupling",POWER(Upgrades!$U$11,J169),1)*IF(Upgrades!$T$12="Stellar Coupling",POWER(Upgrades!$U$12,K169),1))+(IF(H169=0,0,(Upgrades!$M$9+H169*Upgrades!$N$9)*POWER(Upgrades!$O$9,H169)))*(IF(Upgrades!$T$6="Magnetosphere",POWER(Upgrades!$U$6,E169),1)*IF(Upgrades!$T$7="Magnetosphere",POWER(Upgrades!$U$7,F169),1)*IF(Upgrades!$T$8="Magnetosphere",POWER(Upgrades!$U$8,G169),1)*IF(Upgrades!$T$10="Magnetosphere",POWER(Upgrades!$U$10,I169),1)*IF(Upgrades!$T$11="Magnetosphere",POWER(Upgrades!$U$11,J169),1)*IF(Upgrades!$T$12="Magnetosphere",POWER(Upgrades!$U$12,K169),1))+(IF(I169=0,0,(Upgrades!$M$10+I169*Upgrades!$N$10)*POWER(Upgrades!$O$10,I169)))*(IF(Upgrades!$T$6="Orbital Resonance",POWER(Upgrades!$U$6,E169),1)*IF(Upgrades!$T$7="Orbital Resonance",POWER(Upgrades!$U$7,F169),1)*IF(Upgrades!$T$8="Orbital Resonance",POWER(Upgrades!$U$8,G169),1)*IF(Upgrades!$T$9="Orbital Resonance",POWER(Upgrades!$U$9,H169),1)*IF(Upgrades!$T$11="Orbital Resonance",POWER(Upgrades!$U$11,J169),1)*IF(Upgrades!$T$12="Orbital Resonance",POWER(Upgrades!$U$12,K169),1))+(IF(J169=0,0,(Upgrades!$M$11+J169*Upgrades!$N$11)*POWER(Upgrades!$O$11,J169)))*(IF(Upgrades!$T$6="Heliopause",POWER(Upgrades!$U$6,E169),1)*IF(Upgrades!$T$7="Heliopause",POWER(Upgrades!$U$7,F169),1)*IF(Upgrades!$T$8="Heliopause",POWER(Upgrades!$U$8,G169),1)*IF(Upgrades!$T$9="Heliopause",POWER(Upgrades!$U$9,H169),1)*IF(Upgrades!$T$10="Heliopause",POWER(Upgrades!$U$10,I169),1)*IF(Upgrades!$T$12="Heliopause",POWER(Upgrades!$U$12,K169),1))+(IF(K169=0,0,(Upgrades!$M$12+K169*Upgrades!$N$12)*POWER(Upgrades!$O$12,K169)))*(IF(Upgrades!$T$6="First Photons",POWER(Upgrades!$U$6,E169),1)*IF(Upgrades!$T$7="First Photons",POWER(Upgrades!$U$7,F169),1)*IF(Upgrades!$T$8="First Photons",POWER(Upgrades!$U$8,G169),1)*IF(Upgrades!$T$9="First Photons",POWER(Upgrades!$U$9,H169),1)*IF(Upgrades!$T$10="First Photons",POWER(Upgrades!$U$10,I169),1)*IF(Upgrades!$T$11="First Photons",POWER(Upgrades!$U$11,J169),1)))*POWER(Upgrades!$R$6,E169)*POWER(Upgrades!$R$7,F169)*POWER(Upgrades!$R$8,G169)*POWER(Upgrades!$R$9,H169)*POWER(Upgrades!$R$10,I169)*POWER(Upgrades!$R$11,J169)*POWER(Upgrades!$R$12,K169)</f>
        <v/>
      </c>
      <c r="P169" s="27">
        <f>IF(L169=1,0,M169*Parameters!$B$10/60*Parameters!$B$11*10)</f>
        <v/>
      </c>
      <c r="Q169" s="27">
        <f>IF(L169=1,0,O169*M169*10)</f>
        <v/>
      </c>
      <c r="R169" s="27">
        <f>IF(L169=1,0,N169*10)</f>
        <v/>
      </c>
      <c r="S169" s="27">
        <f>P169+Q169+R169</f>
        <v/>
      </c>
      <c r="T169" s="22">
        <f>C169+S169</f>
        <v/>
      </c>
      <c r="U169" s="33">
        <f>AX169</f>
        <v/>
      </c>
      <c r="V169" s="22">
        <f>IF(U169="",0,IF(U169="transition",0,IF(U169="SW",AG169,IF(U169="AB",AH169,IF(U169="SC",AI169,IF(U169="Mag",AJ169,IF(U169="OR",AK169,IF(U169="HP",AL169,IF(U169="FP",AM169,0)))))))))</f>
        <v/>
      </c>
      <c r="W169" s="27">
        <f>IF(U169="OR",Upgrades!$F$10,IF(U169="HP",Upgrades!$F$11,IF(U169="transition",-Parameters!$B$18,0)))</f>
        <v/>
      </c>
      <c r="X169" s="22">
        <f>T169-V169</f>
        <v/>
      </c>
      <c r="Y169" s="30">
        <f>M169*Parameters!$B$10/60*Parameters!$B$11+O169*M169+N169</f>
        <v/>
      </c>
      <c r="Z169" s="34">
        <f>IF(U169="transition","→ Tier 2 (Stellar Neighborhood)",IF(U169="FP","First Photons — light begins, system quickens",IF(U169="HP","Heliopause acquired",IF(U169="OR","Orbital Resonance — passive multiplier active",IF(AND(AO169=1,L169=0,AN169&lt;&gt;1),"Cohesion ready (waiting on completionist upgrades)","")))))</f>
        <v/>
      </c>
      <c r="AA169" s="27">
        <f>(IF(E169=0,0,(Upgrades!$G$6+E169*Upgrades!$H$6)*POWER(Upgrades!$I$6,E169)))*(IF(Upgrades!$T$7="Solar Wind",POWER(Upgrades!$U$7,F169),1)*IF(Upgrades!$T$8="Solar Wind",POWER(Upgrades!$U$8,G169),1)*IF(Upgrades!$T$9="Solar Wind",POWER(Upgrades!$U$9,H169),1)*IF(Upgrades!$T$10="Solar Wind",POWER(Upgrades!$U$10,I169),1)*IF(Upgrades!$T$11="Solar Wind",POWER(Upgrades!$U$11,J169),1)*IF(Upgrades!$T$12="Solar Wind",POWER(Upgrades!$U$12,K169),1))*POWER(Upgrades!$P$6,E169)*POWER(Upgrades!$P$7,F169)*POWER(Upgrades!$P$8,G169)*POWER(Upgrades!$P$9,H169)*POWER(Upgrades!$P$10,I169)*POWER(Upgrades!$P$11,J169)*POWER(Upgrades!$P$12,K169)*60</f>
        <v/>
      </c>
      <c r="AB169" s="27">
        <f>(IF(F169=0,0,(Upgrades!$G$7+F169*Upgrades!$H$7)*POWER(Upgrades!$I$7,F169)))*(IF(Upgrades!$T$6="Asteroid Belt",POWER(Upgrades!$U$6,E169),1)*IF(Upgrades!$T$8="Asteroid Belt",POWER(Upgrades!$U$8,G169),1)*IF(Upgrades!$T$9="Asteroid Belt",POWER(Upgrades!$U$9,H169),1)*IF(Upgrades!$T$10="Asteroid Belt",POWER(Upgrades!$U$10,I169),1)*IF(Upgrades!$T$11="Asteroid Belt",POWER(Upgrades!$U$11,J169),1)*IF(Upgrades!$T$12="Asteroid Belt",POWER(Upgrades!$U$12,K169),1))*POWER(Upgrades!$P$6,E169)*POWER(Upgrades!$P$7,F169)*POWER(Upgrades!$P$8,G169)*POWER(Upgrades!$P$9,H169)*POWER(Upgrades!$P$10,I169)*POWER(Upgrades!$P$11,J169)*POWER(Upgrades!$P$12,K169)*60</f>
        <v/>
      </c>
      <c r="AC169" s="27">
        <f>(IF(G169=0,0,(Upgrades!$J$8+G169*Upgrades!$K$8)*POWER(Upgrades!$L$8,G169)))*(IF(Upgrades!$T$6="Stellar Coupling",POWER(Upgrades!$U$6,E169),1)*IF(Upgrades!$T$7="Stellar Coupling",POWER(Upgrades!$U$7,F169),1)*IF(Upgrades!$T$9="Stellar Coupling",POWER(Upgrades!$U$9,H169),1)*IF(Upgrades!$T$10="Stellar Coupling",POWER(Upgrades!$U$10,I169),1)*IF(Upgrades!$T$11="Stellar Coupling",POWER(Upgrades!$U$11,J169),1)*IF(Upgrades!$T$12="Stellar Coupling",POWER(Upgrades!$U$12,K169),1))*POWER(Upgrades!$Q$6,E169)*POWER(Upgrades!$Q$7,F169)*POWER(Upgrades!$Q$8,G169)*POWER(Upgrades!$Q$9,H169)*POWER(Upgrades!$Q$10,I169)*POWER(Upgrades!$Q$11,J169)*POWER(Upgrades!$Q$12,K169)*Parameters!$B$10*Parameters!$B$11</f>
        <v/>
      </c>
      <c r="AD169" s="27">
        <f>(IF(H169=0,0,(Upgrades!$G$9+H169*Upgrades!$H$9)*POWER(Upgrades!$I$9,H169)))*(IF(Upgrades!$T$6="Magnetosphere",POWER(Upgrades!$U$6,E169),1)*IF(Upgrades!$T$7="Magnetosphere",POWER(Upgrades!$U$7,F169),1)*IF(Upgrades!$T$8="Magnetosphere",POWER(Upgrades!$U$8,G169),1)*IF(Upgrades!$T$10="Magnetosphere",POWER(Upgrades!$U$10,I169),1)*IF(Upgrades!$T$11="Magnetosphere",POWER(Upgrades!$U$11,J169),1)*IF(Upgrades!$T$12="Magnetosphere",POWER(Upgrades!$U$12,K169),1))*POWER(Upgrades!$P$6,E169)*POWER(Upgrades!$P$7,F169)*POWER(Upgrades!$P$8,G169)*POWER(Upgrades!$P$9,H169)*POWER(Upgrades!$P$10,I169)*POWER(Upgrades!$P$11,J169)*POWER(Upgrades!$P$12,K169)*60</f>
        <v/>
      </c>
      <c r="AE169" s="27">
        <f>(IF(K169=0,0,(Upgrades!$G$12+K169*Upgrades!$H$12)*POWER(Upgrades!$I$12,K169)))*(IF(Upgrades!$T$6="First Photons",POWER(Upgrades!$U$6,E169),1)*IF(Upgrades!$T$7="First Photons",POWER(Upgrades!$U$7,F169),1)*IF(Upgrades!$T$8="First Photons",POWER(Upgrades!$U$8,G169),1)*IF(Upgrades!$T$9="First Photons",POWER(Upgrades!$U$9,H169),1)*IF(Upgrades!$T$10="First Photons",POWER(Upgrades!$U$10,I169),1)*IF(Upgrades!$T$11="First Photons",POWER(Upgrades!$U$11,J169),1))*POWER(Upgrades!$P$6,E169)*POWER(Upgrades!$P$7,F169)*POWER(Upgrades!$P$8,G169)*POWER(Upgrades!$P$9,H169)*POWER(Upgrades!$P$10,I169)*POWER(Upgrades!$P$11,J169)*POWER(Upgrades!$P$12,K169)*60</f>
        <v/>
      </c>
      <c r="AF169" s="27">
        <f>Parameters!$B$9*POWER(Upgrades!$Q$6,E169)*POWER(Upgrades!$Q$7,F169)*POWER(Upgrades!$Q$8,G169)*POWER(Upgrades!$Q$9,H169)*POWER(Upgrades!$Q$10,I169)*POWER(Upgrades!$Q$11,J169)*POWER(Upgrades!$Q$12,K169)*(Parameters!$B$10*Parameters!$B$11+O169*60)</f>
        <v/>
      </c>
      <c r="AG169" s="22">
        <f>IF(E169&gt;=Upgrades!$E$6,"",Upgrades!$C$6*POWER(Upgrades!$D$6,E169))</f>
        <v/>
      </c>
      <c r="AH169" s="22">
        <f>IF(F169&gt;=Upgrades!$E$7,"",Upgrades!$C$7*POWER(Upgrades!$D$7,F169))</f>
        <v/>
      </c>
      <c r="AI169" s="22">
        <f>IF(G169&gt;=Upgrades!$E$8,"",Upgrades!$C$8*POWER(Upgrades!$D$8,G169))</f>
        <v/>
      </c>
      <c r="AJ169" s="22">
        <f>IF(H169&gt;=Upgrades!$E$9,"",Upgrades!$C$9*POWER(Upgrades!$D$9,H169))</f>
        <v/>
      </c>
      <c r="AK169" s="22">
        <f>IF(I169&gt;=Upgrades!$E$10,"",Upgrades!$C$10*POWER(Upgrades!$D$10,I169))</f>
        <v/>
      </c>
      <c r="AL169" s="22">
        <f>IF(J169&gt;=Upgrades!$E$11,"",Upgrades!$C$11*POWER(Upgrades!$D$11,J169))</f>
        <v/>
      </c>
      <c r="AM169" s="22">
        <f>IF(K169&gt;=Upgrades!$E$12,"",Upgrades!$C$12*POWER(Upgrades!$D$12,K169))</f>
        <v/>
      </c>
      <c r="AN169" s="26">
        <f>IF(AND(D169&gt;=Parameters!$B$18,(H169&gt;=Upgrades!$E$9)*(K169&gt;=Upgrades!$E$12)=1,L169=0),1,"")</f>
        <v/>
      </c>
      <c r="AO169" s="26">
        <f>IF(AND(D169&gt;=Parameters!$B$18,L169=0),1,"")</f>
        <v/>
      </c>
      <c r="AP169" s="22">
        <f>MIN(IF(ISNUMBER(AK169),AK169,9E15),IF(ISNUMBER(AL169),AL169,9E15),IF(ISNUMBER(AM169),AM169,9E15))</f>
        <v/>
      </c>
      <c r="AQ169" s="22">
        <f>MIN(IF(ISNUMBER(AG169),AG169,9E15),IF(ISNUMBER(AH169),AH169,9E15),IF(ISNUMBER(AI169),AI169,9E15),IF(ISNUMBER(AJ169),AJ169,9E15))</f>
        <v/>
      </c>
      <c r="AR169" s="29">
        <f>IF(AW169&gt;Parameters!$B$21*(MAX(IF(AND(NOT(AND(AO169=1,AN169&lt;&gt;1)),ISNUMBER(AG169),AG169&lt;=T169),AS169,0),IF(AND(NOT(AND(AO169=1,AN169&lt;&gt;1)),ISNUMBER(AH169),AH169&lt;=T169),AT169,0),IF(AND(NOT(AND(AO169=1,AN169&lt;&gt;1)),ISNUMBER(AI169),AI169&lt;=T169),AU169,0),IF(AND(ISNUMBER(AJ169),AJ169&lt;=T169),AV169,0))),TRUE,FALSE)</f>
        <v/>
      </c>
      <c r="AS169" s="32">
        <f>IFERROR(Upgrades!$H$6*(POWER(Upgrades!$P$6,E169)*POWER(Upgrades!$P$7,F169)*POWER(Upgrades!$P$8,G169)*POWER(Upgrades!$P$9,H169)*POWER(Upgrades!$P$10,I169)*POWER(Upgrades!$P$11,J169)*POWER(Upgrades!$P$12,K169))*(IF(Upgrades!$T$7="Solar Wind",POWER(Upgrades!$U$7,F169),1)*IF(Upgrades!$T$8="Solar Wind",POWER(Upgrades!$U$8,G169),1)*IF(Upgrades!$T$9="Solar Wind",POWER(Upgrades!$U$9,H169),1)*IF(Upgrades!$T$10="Solar Wind",POWER(Upgrades!$U$10,I169),1)*IF(Upgrades!$T$11="Solar Wind",POWER(Upgrades!$U$11,J169),1)*IF(Upgrades!$T$12="Solar Wind",POWER(Upgrades!$U$12,K169),1))/AG169,0)</f>
        <v/>
      </c>
      <c r="AT169" s="32">
        <f>IFERROR(Upgrades!$H$7*(POWER(Upgrades!$P$6,E169)*POWER(Upgrades!$P$7,F169)*POWER(Upgrades!$P$8,G169)*POWER(Upgrades!$P$9,H169)*POWER(Upgrades!$P$10,I169)*POWER(Upgrades!$P$11,J169)*POWER(Upgrades!$P$12,K169))*(IF(Upgrades!$T$6="Asteroid Belt",POWER(Upgrades!$U$6,E169),1)*IF(Upgrades!$T$8="Asteroid Belt",POWER(Upgrades!$U$8,G169),1)*IF(Upgrades!$T$9="Asteroid Belt",POWER(Upgrades!$U$9,H169),1)*IF(Upgrades!$T$10="Asteroid Belt",POWER(Upgrades!$U$10,I169),1)*IF(Upgrades!$T$11="Asteroid Belt",POWER(Upgrades!$U$11,J169),1)*IF(Upgrades!$T$12="Asteroid Belt",POWER(Upgrades!$U$12,K169),1))/AH169,0)</f>
        <v/>
      </c>
      <c r="AU169" s="32">
        <f>IFERROR(Upgrades!$K$8*(POWER(Upgrades!$Q$6,E169)*POWER(Upgrades!$Q$7,F169)*POWER(Upgrades!$Q$8,G169)*POWER(Upgrades!$Q$9,H169)*POWER(Upgrades!$Q$10,I169)*POWER(Upgrades!$Q$11,J169)*POWER(Upgrades!$Q$12,K169))*(IF(Upgrades!$T$6="Stellar Coupling",POWER(Upgrades!$U$6,E169),1)*IF(Upgrades!$T$7="Stellar Coupling",POWER(Upgrades!$U$7,F169),1)*IF(Upgrades!$T$9="Stellar Coupling",POWER(Upgrades!$U$9,H169),1)*IF(Upgrades!$T$10="Stellar Coupling",POWER(Upgrades!$U$10,I169),1)*IF(Upgrades!$T$11="Stellar Coupling",POWER(Upgrades!$U$11,J169),1)*IF(Upgrades!$T$12="Stellar Coupling",POWER(Upgrades!$U$12,K169),1))*Parameters!$B$10*Parameters!$B$11/60/AI169,0)</f>
        <v/>
      </c>
      <c r="AV169" s="32">
        <f>IFERROR(Upgrades!$H$9*(POWER(Upgrades!$P$6,E169)*POWER(Upgrades!$P$7,F169)*POWER(Upgrades!$P$8,G169)*POWER(Upgrades!$P$9,H169)*POWER(Upgrades!$P$10,I169)*POWER(Upgrades!$P$11,J169)*POWER(Upgrades!$P$12,K169))*(IF(Upgrades!$T$6="Magnetosphere",POWER(Upgrades!$U$6,E169),1)*IF(Upgrades!$T$7="Magnetosphere",POWER(Upgrades!$U$7,F169),1)*IF(Upgrades!$T$8="Magnetosphere",POWER(Upgrades!$U$8,G169),1)*IF(Upgrades!$T$10="Magnetosphere",POWER(Upgrades!$U$10,I169),1)*IF(Upgrades!$T$11="Magnetosphere",POWER(Upgrades!$U$11,J169),1)*IF(Upgrades!$T$12="Magnetosphere",POWER(Upgrades!$U$12,K169),1))/AJ169,0)</f>
        <v/>
      </c>
      <c r="AW169" s="32">
        <f>MAX(IF(I169&gt;0,0,IFERROR(0.25*N169/Upgrades!$C$10,0)),IF(J169&gt;0,0,IFERROR(0.5*((IF(G169=0,0,(Upgrades!$J$8+G169*Upgrades!$K$8)*POWER(Upgrades!$L$8,G169)))*(IF(Upgrades!$T$6="Stellar Coupling",POWER(Upgrades!$U$6,E169),1)*IF(Upgrades!$T$7="Stellar Coupling",POWER(Upgrades!$U$7,F169),1)*IF(Upgrades!$T$9="Stellar Coupling",POWER(Upgrades!$U$9,H169),1)*IF(Upgrades!$T$10="Stellar Coupling",POWER(Upgrades!$U$10,I169),1)*IF(Upgrades!$T$11="Stellar Coupling",POWER(Upgrades!$U$11,J169),1)*IF(Upgrades!$T$12="Stellar Coupling",POWER(Upgrades!$U$12,K169),1))*(POWER(Upgrades!$Q$6,E169)*POWER(Upgrades!$Q$7,F169)*POWER(Upgrades!$Q$8,G169)*POWER(Upgrades!$Q$9,H169)*POWER(Upgrades!$Q$10,I169)*POWER(Upgrades!$Q$11,J169)*POWER(Upgrades!$Q$12,K169))*Parameters!$B$10*Parameters!$B$11/60)/Upgrades!$C$11,0)),IF(K169&gt;0,0,IFERROR((1.0*(POWER(Upgrades!$P$6,E169)*POWER(Upgrades!$P$7,F169)*POWER(Upgrades!$P$8,G169)*POWER(Upgrades!$P$9,H169)*POWER(Upgrades!$P$10,I169)*POWER(Upgrades!$P$11,J169)*POWER(Upgrades!$P$12,K169))+0.20*M169*Parameters!$B$10*Parameters!$B$11/60)/Upgrades!$C$12,0)),IF(AND(ISNUMBER(AG169),AG169&gt;T169),AS169,0),IF(AND(ISNUMBER(AH169),AH169&gt;T169),AT169,0),IF(AND(ISNUMBER(AI169),AI169&gt;T169),AU169,0),IF(AND(ISNUMBER(AJ169),AJ169&gt;T169),AV169,0))</f>
        <v/>
      </c>
      <c r="AX169" s="29">
        <f>IF(AN169=1,"transition",IF(MIN(IF(AND(I169=0,ISNUMBER(AK169),AK169&lt;=T169),AK169,9E15),IF(AND(J169=0,ISNUMBER(AL169),AL169&lt;=T169),AL169,9E15),IF(AND(K169=0,ISNUMBER(AM169),AM169&lt;=T169),AM169,9E15))&lt;9E15,IF(AND(AND(I169=0,ISNUMBER(AK169),AK169&lt;=T169),AK169=MIN(IF(AND(I169=0,ISNUMBER(AK169),AK169&lt;=T169),AK169,9E15),IF(AND(J169=0,ISNUMBER(AL169),AL169&lt;=T169),AL169,9E15),IF(AND(K169=0,ISNUMBER(AM169),AM169&lt;=T169),AM169,9E15))),"OR",IF(AND(AND(J169=0,ISNUMBER(AL169),AL169&lt;=T169),AL169=MIN(IF(AND(I169=0,ISNUMBER(AK169),AK169&lt;=T169),AK169,9E15),IF(AND(J169=0,ISNUMBER(AL169),AL169&lt;=T169),AL169,9E15),IF(AND(K169=0,ISNUMBER(AM169),AM169&lt;=T169),AM169,9E15))),"HP","FP")),IF(AR169=TRUE,"",IF(MAX(IF(AND(NOT(AND(AO169=1,AN169&lt;&gt;1)),ISNUMBER(AG169),AG169&lt;=T169),AS169,0),IF(AND(NOT(AND(AO169=1,AN169&lt;&gt;1)),ISNUMBER(AH169),AH169&lt;=T169),AT169,0),IF(AND(NOT(AND(AO169=1,AN169&lt;&gt;1)),ISNUMBER(AI169),AI169&lt;=T169),AU169,0),IF(AND(ISNUMBER(AJ169),AJ169&lt;=T169),AV169,0))&lt;=0,"",IF(AND(IF(AND(NOT(AND(AO169=1,AN169&lt;&gt;1)),ISNUMBER(AG169),AG169&lt;=T169),AS169,0)&gt;0,IF(AND(NOT(AND(AO169=1,AN169&lt;&gt;1)),ISNUMBER(AG169),AG169&lt;=T169),AS169,0)=MAX(IF(AND(NOT(AND(AO169=1,AN169&lt;&gt;1)),ISNUMBER(AG169),AG169&lt;=T169),AS169,0),IF(AND(NOT(AND(AO169=1,AN169&lt;&gt;1)),ISNUMBER(AH169),AH169&lt;=T169),AT169,0),IF(AND(NOT(AND(AO169=1,AN169&lt;&gt;1)),ISNUMBER(AI169),AI169&lt;=T169),AU169,0),IF(AND(ISNUMBER(AJ169),AJ169&lt;=T169),AV169,0))),"SW",IF(AND(IF(AND(NOT(AND(AO169=1,AN169&lt;&gt;1)),ISNUMBER(AH169),AH169&lt;=T169),AT169,0)&gt;0,IF(AND(NOT(AND(AO169=1,AN169&lt;&gt;1)),ISNUMBER(AH169),AH169&lt;=T169),AT169,0)=MAX(IF(AND(NOT(AND(AO169=1,AN169&lt;&gt;1)),ISNUMBER(AG169),AG169&lt;=T169),AS169,0),IF(AND(NOT(AND(AO169=1,AN169&lt;&gt;1)),ISNUMBER(AH169),AH169&lt;=T169),AT169,0),IF(AND(NOT(AND(AO169=1,AN169&lt;&gt;1)),ISNUMBER(AI169),AI169&lt;=T169),AU169,0),IF(AND(ISNUMBER(AJ169),AJ169&lt;=T169),AV169,0))),"AB",IF(AND(IF(AND(NOT(AND(AO169=1,AN169&lt;&gt;1)),ISNUMBER(AI169),AI169&lt;=T169),AU169,0)&gt;0,IF(AND(NOT(AND(AO169=1,AN169&lt;&gt;1)),ISNUMBER(AI169),AI169&lt;=T169),AU169,0)=MAX(IF(AND(NOT(AND(AO169=1,AN169&lt;&gt;1)),ISNUMBER(AG169),AG169&lt;=T169),AS169,0),IF(AND(NOT(AND(AO169=1,AN169&lt;&gt;1)),ISNUMBER(AH169),AH169&lt;=T169),AT169,0),IF(AND(NOT(AND(AO169=1,AN169&lt;&gt;1)),ISNUMBER(AI169),AI169&lt;=T169),AU169,0),IF(AND(ISNUMBER(AJ169),AJ169&lt;=T169),AV169,0))),"SC","Mag")))))))</f>
        <v/>
      </c>
    </row>
    <row r="170">
      <c r="A170" s="26" t="n">
        <v>165</v>
      </c>
      <c r="B170" s="27">
        <f>A170*10/60</f>
        <v/>
      </c>
      <c r="C170" s="22">
        <f>X169</f>
        <v/>
      </c>
      <c r="D170" s="27">
        <f>D169+W169</f>
        <v/>
      </c>
      <c r="E170" s="26">
        <f>E169+IF(U169="SW",1,0)</f>
        <v/>
      </c>
      <c r="F170" s="26">
        <f>F169+IF(U169="AB",1,0)</f>
        <v/>
      </c>
      <c r="G170" s="26">
        <f>G169+IF(U169="SC",1,0)</f>
        <v/>
      </c>
      <c r="H170" s="26">
        <f>H169+IF(U169="Mag",1,0)</f>
        <v/>
      </c>
      <c r="I170" s="26">
        <f>MAX(I169,IF(U169="OR",1,0))</f>
        <v/>
      </c>
      <c r="J170" s="26">
        <f>MAX(J169,IF(U169="HP",1,0))</f>
        <v/>
      </c>
      <c r="K170" s="26">
        <f>MAX(K169,IF(U169="FP",1,0))</f>
        <v/>
      </c>
      <c r="L170" s="26">
        <f>MAX(L169,IF(U169="transition",1,0))</f>
        <v/>
      </c>
      <c r="M170" s="28">
        <f>(Parameters!$B$9+(IF(E170=0,0,(Upgrades!$J$6+E170*Upgrades!$K$6)*POWER(Upgrades!$L$6,E170)))*(IF(Upgrades!$T$7="Solar Wind",POWER(Upgrades!$U$7,F170),1)*IF(Upgrades!$T$8="Solar Wind",POWER(Upgrades!$U$8,G170),1)*IF(Upgrades!$T$9="Solar Wind",POWER(Upgrades!$U$9,H170),1)*IF(Upgrades!$T$10="Solar Wind",POWER(Upgrades!$U$10,I170),1)*IF(Upgrades!$T$11="Solar Wind",POWER(Upgrades!$U$11,J170),1)*IF(Upgrades!$T$12="Solar Wind",POWER(Upgrades!$U$12,K170),1))+(IF(F170=0,0,(Upgrades!$J$7+F170*Upgrades!$K$7)*POWER(Upgrades!$L$7,F170)))*(IF(Upgrades!$T$6="Asteroid Belt",POWER(Upgrades!$U$6,E170),1)*IF(Upgrades!$T$8="Asteroid Belt",POWER(Upgrades!$U$8,G170),1)*IF(Upgrades!$T$9="Asteroid Belt",POWER(Upgrades!$U$9,H170),1)*IF(Upgrades!$T$10="Asteroid Belt",POWER(Upgrades!$U$10,I170),1)*IF(Upgrades!$T$11="Asteroid Belt",POWER(Upgrades!$U$11,J170),1)*IF(Upgrades!$T$12="Asteroid Belt",POWER(Upgrades!$U$12,K170),1))+(IF(G170=0,0,(Upgrades!$J$8+G170*Upgrades!$K$8)*POWER(Upgrades!$L$8,G170)))*(IF(Upgrades!$T$6="Stellar Coupling",POWER(Upgrades!$U$6,E170),1)*IF(Upgrades!$T$7="Stellar Coupling",POWER(Upgrades!$U$7,F170),1)*IF(Upgrades!$T$9="Stellar Coupling",POWER(Upgrades!$U$9,H170),1)*IF(Upgrades!$T$10="Stellar Coupling",POWER(Upgrades!$U$10,I170),1)*IF(Upgrades!$T$11="Stellar Coupling",POWER(Upgrades!$U$11,J170),1)*IF(Upgrades!$T$12="Stellar Coupling",POWER(Upgrades!$U$12,K170),1))+(IF(H170=0,0,(Upgrades!$J$9+H170*Upgrades!$K$9)*POWER(Upgrades!$L$9,H170)))*(IF(Upgrades!$T$6="Magnetosphere",POWER(Upgrades!$U$6,E170),1)*IF(Upgrades!$T$7="Magnetosphere",POWER(Upgrades!$U$7,F170),1)*IF(Upgrades!$T$8="Magnetosphere",POWER(Upgrades!$U$8,G170),1)*IF(Upgrades!$T$10="Magnetosphere",POWER(Upgrades!$U$10,I170),1)*IF(Upgrades!$T$11="Magnetosphere",POWER(Upgrades!$U$11,J170),1)*IF(Upgrades!$T$12="Magnetosphere",POWER(Upgrades!$U$12,K170),1))+(IF(I170=0,0,(Upgrades!$J$10+I170*Upgrades!$K$10)*POWER(Upgrades!$L$10,I170)))*(IF(Upgrades!$T$6="Orbital Resonance",POWER(Upgrades!$U$6,E170),1)*IF(Upgrades!$T$7="Orbital Resonance",POWER(Upgrades!$U$7,F170),1)*IF(Upgrades!$T$8="Orbital Resonance",POWER(Upgrades!$U$8,G170),1)*IF(Upgrades!$T$9="Orbital Resonance",POWER(Upgrades!$U$9,H170),1)*IF(Upgrades!$T$11="Orbital Resonance",POWER(Upgrades!$U$11,J170),1)*IF(Upgrades!$T$12="Orbital Resonance",POWER(Upgrades!$U$12,K170),1))+(IF(J170=0,0,(Upgrades!$J$11+J170*Upgrades!$K$11)*POWER(Upgrades!$L$11,J170)))*(IF(Upgrades!$T$6="Heliopause",POWER(Upgrades!$U$6,E170),1)*IF(Upgrades!$T$7="Heliopause",POWER(Upgrades!$U$7,F170),1)*IF(Upgrades!$T$8="Heliopause",POWER(Upgrades!$U$8,G170),1)*IF(Upgrades!$T$9="Heliopause",POWER(Upgrades!$U$9,H170),1)*IF(Upgrades!$T$10="Heliopause",POWER(Upgrades!$U$10,I170),1)*IF(Upgrades!$T$12="Heliopause",POWER(Upgrades!$U$12,K170),1))+(IF(K170=0,0,(Upgrades!$J$12+K170*Upgrades!$K$12)*POWER(Upgrades!$L$12,K170)))*(IF(Upgrades!$T$6="First Photons",POWER(Upgrades!$U$6,E170),1)*IF(Upgrades!$T$7="First Photons",POWER(Upgrades!$U$7,F170),1)*IF(Upgrades!$T$8="First Photons",POWER(Upgrades!$U$8,G170),1)*IF(Upgrades!$T$9="First Photons",POWER(Upgrades!$U$9,H170),1)*IF(Upgrades!$T$10="First Photons",POWER(Upgrades!$U$10,I170),1)*IF(Upgrades!$T$11="First Photons",POWER(Upgrades!$U$11,J170),1)))*POWER(Upgrades!$Q$6,E170)*POWER(Upgrades!$Q$7,F170)*POWER(Upgrades!$Q$8,G170)*POWER(Upgrades!$Q$9,H170)*POWER(Upgrades!$Q$10,I170)*POWER(Upgrades!$Q$11,J170)*POWER(Upgrades!$Q$12,K170)</f>
        <v/>
      </c>
      <c r="N170" s="28">
        <f>((IF(E170=0,0,(Upgrades!$G$6+E170*Upgrades!$H$6)*POWER(Upgrades!$I$6,E170)))*(IF(Upgrades!$T$7="Solar Wind",POWER(Upgrades!$U$7,F170),1)*IF(Upgrades!$T$8="Solar Wind",POWER(Upgrades!$U$8,G170),1)*IF(Upgrades!$T$9="Solar Wind",POWER(Upgrades!$U$9,H170),1)*IF(Upgrades!$T$10="Solar Wind",POWER(Upgrades!$U$10,I170),1)*IF(Upgrades!$T$11="Solar Wind",POWER(Upgrades!$U$11,J170),1)*IF(Upgrades!$T$12="Solar Wind",POWER(Upgrades!$U$12,K170),1))+(IF(F170=0,0,(Upgrades!$G$7+F170*Upgrades!$H$7)*POWER(Upgrades!$I$7,F170)))*(IF(Upgrades!$T$6="Asteroid Belt",POWER(Upgrades!$U$6,E170),1)*IF(Upgrades!$T$8="Asteroid Belt",POWER(Upgrades!$U$8,G170),1)*IF(Upgrades!$T$9="Asteroid Belt",POWER(Upgrades!$U$9,H170),1)*IF(Upgrades!$T$10="Asteroid Belt",POWER(Upgrades!$U$10,I170),1)*IF(Upgrades!$T$11="Asteroid Belt",POWER(Upgrades!$U$11,J170),1)*IF(Upgrades!$T$12="Asteroid Belt",POWER(Upgrades!$U$12,K170),1))+(IF(G170=0,0,(Upgrades!$G$8+G170*Upgrades!$H$8)*POWER(Upgrades!$I$8,G170)))*(IF(Upgrades!$T$6="Stellar Coupling",POWER(Upgrades!$U$6,E170),1)*IF(Upgrades!$T$7="Stellar Coupling",POWER(Upgrades!$U$7,F170),1)*IF(Upgrades!$T$9="Stellar Coupling",POWER(Upgrades!$U$9,H170),1)*IF(Upgrades!$T$10="Stellar Coupling",POWER(Upgrades!$U$10,I170),1)*IF(Upgrades!$T$11="Stellar Coupling",POWER(Upgrades!$U$11,J170),1)*IF(Upgrades!$T$12="Stellar Coupling",POWER(Upgrades!$U$12,K170),1))+(IF(H170=0,0,(Upgrades!$G$9+H170*Upgrades!$H$9)*POWER(Upgrades!$I$9,H170)))*(IF(Upgrades!$T$6="Magnetosphere",POWER(Upgrades!$U$6,E170),1)*IF(Upgrades!$T$7="Magnetosphere",POWER(Upgrades!$U$7,F170),1)*IF(Upgrades!$T$8="Magnetosphere",POWER(Upgrades!$U$8,G170),1)*IF(Upgrades!$T$10="Magnetosphere",POWER(Upgrades!$U$10,I170),1)*IF(Upgrades!$T$11="Magnetosphere",POWER(Upgrades!$U$11,J170),1)*IF(Upgrades!$T$12="Magnetosphere",POWER(Upgrades!$U$12,K170),1))+(IF(I170=0,0,(Upgrades!$G$10+I170*Upgrades!$H$10)*POWER(Upgrades!$I$10,I170)))*(IF(Upgrades!$T$6="Orbital Resonance",POWER(Upgrades!$U$6,E170),1)*IF(Upgrades!$T$7="Orbital Resonance",POWER(Upgrades!$U$7,F170),1)*IF(Upgrades!$T$8="Orbital Resonance",POWER(Upgrades!$U$8,G170),1)*IF(Upgrades!$T$9="Orbital Resonance",POWER(Upgrades!$U$9,H170),1)*IF(Upgrades!$T$11="Orbital Resonance",POWER(Upgrades!$U$11,J170),1)*IF(Upgrades!$T$12="Orbital Resonance",POWER(Upgrades!$U$12,K170),1))+(IF(J170=0,0,(Upgrades!$G$11+J170*Upgrades!$H$11)*POWER(Upgrades!$I$11,J170)))*(IF(Upgrades!$T$6="Heliopause",POWER(Upgrades!$U$6,E170),1)*IF(Upgrades!$T$7="Heliopause",POWER(Upgrades!$U$7,F170),1)*IF(Upgrades!$T$8="Heliopause",POWER(Upgrades!$U$8,G170),1)*IF(Upgrades!$T$9="Heliopause",POWER(Upgrades!$U$9,H170),1)*IF(Upgrades!$T$10="Heliopause",POWER(Upgrades!$U$10,I170),1)*IF(Upgrades!$T$12="Heliopause",POWER(Upgrades!$U$12,K170),1))+(IF(K170=0,0,(Upgrades!$G$12+K170*Upgrades!$H$12)*POWER(Upgrades!$I$12,K170)))*(IF(Upgrades!$T$6="First Photons",POWER(Upgrades!$U$6,E170),1)*IF(Upgrades!$T$7="First Photons",POWER(Upgrades!$U$7,F170),1)*IF(Upgrades!$T$8="First Photons",POWER(Upgrades!$U$8,G170),1)*IF(Upgrades!$T$9="First Photons",POWER(Upgrades!$U$9,H170),1)*IF(Upgrades!$T$10="First Photons",POWER(Upgrades!$U$10,I170),1)*IF(Upgrades!$T$11="First Photons",POWER(Upgrades!$U$11,J170),1)))*POWER(Upgrades!$P$6,E170)*POWER(Upgrades!$P$7,F170)*POWER(Upgrades!$P$8,G170)*POWER(Upgrades!$P$9,H170)*POWER(Upgrades!$P$10,I170)*POWER(Upgrades!$P$11,J170)*POWER(Upgrades!$P$12,K170)</f>
        <v/>
      </c>
      <c r="O170" s="28">
        <f>((IF(E170=0,0,(Upgrades!$M$6+E170*Upgrades!$N$6)*POWER(Upgrades!$O$6,E170)))*(IF(Upgrades!$T$7="Solar Wind",POWER(Upgrades!$U$7,F170),1)*IF(Upgrades!$T$8="Solar Wind",POWER(Upgrades!$U$8,G170),1)*IF(Upgrades!$T$9="Solar Wind",POWER(Upgrades!$U$9,H170),1)*IF(Upgrades!$T$10="Solar Wind",POWER(Upgrades!$U$10,I170),1)*IF(Upgrades!$T$11="Solar Wind",POWER(Upgrades!$U$11,J170),1)*IF(Upgrades!$T$12="Solar Wind",POWER(Upgrades!$U$12,K170),1))+(IF(F170=0,0,(Upgrades!$M$7+F170*Upgrades!$N$7)*POWER(Upgrades!$O$7,F170)))*(IF(Upgrades!$T$6="Asteroid Belt",POWER(Upgrades!$U$6,E170),1)*IF(Upgrades!$T$8="Asteroid Belt",POWER(Upgrades!$U$8,G170),1)*IF(Upgrades!$T$9="Asteroid Belt",POWER(Upgrades!$U$9,H170),1)*IF(Upgrades!$T$10="Asteroid Belt",POWER(Upgrades!$U$10,I170),1)*IF(Upgrades!$T$11="Asteroid Belt",POWER(Upgrades!$U$11,J170),1)*IF(Upgrades!$T$12="Asteroid Belt",POWER(Upgrades!$U$12,K170),1))+(IF(G170=0,0,(Upgrades!$M$8+G170*Upgrades!$N$8)*POWER(Upgrades!$O$8,G170)))*(IF(Upgrades!$T$6="Stellar Coupling",POWER(Upgrades!$U$6,E170),1)*IF(Upgrades!$T$7="Stellar Coupling",POWER(Upgrades!$U$7,F170),1)*IF(Upgrades!$T$9="Stellar Coupling",POWER(Upgrades!$U$9,H170),1)*IF(Upgrades!$T$10="Stellar Coupling",POWER(Upgrades!$U$10,I170),1)*IF(Upgrades!$T$11="Stellar Coupling",POWER(Upgrades!$U$11,J170),1)*IF(Upgrades!$T$12="Stellar Coupling",POWER(Upgrades!$U$12,K170),1))+(IF(H170=0,0,(Upgrades!$M$9+H170*Upgrades!$N$9)*POWER(Upgrades!$O$9,H170)))*(IF(Upgrades!$T$6="Magnetosphere",POWER(Upgrades!$U$6,E170),1)*IF(Upgrades!$T$7="Magnetosphere",POWER(Upgrades!$U$7,F170),1)*IF(Upgrades!$T$8="Magnetosphere",POWER(Upgrades!$U$8,G170),1)*IF(Upgrades!$T$10="Magnetosphere",POWER(Upgrades!$U$10,I170),1)*IF(Upgrades!$T$11="Magnetosphere",POWER(Upgrades!$U$11,J170),1)*IF(Upgrades!$T$12="Magnetosphere",POWER(Upgrades!$U$12,K170),1))+(IF(I170=0,0,(Upgrades!$M$10+I170*Upgrades!$N$10)*POWER(Upgrades!$O$10,I170)))*(IF(Upgrades!$T$6="Orbital Resonance",POWER(Upgrades!$U$6,E170),1)*IF(Upgrades!$T$7="Orbital Resonance",POWER(Upgrades!$U$7,F170),1)*IF(Upgrades!$T$8="Orbital Resonance",POWER(Upgrades!$U$8,G170),1)*IF(Upgrades!$T$9="Orbital Resonance",POWER(Upgrades!$U$9,H170),1)*IF(Upgrades!$T$11="Orbital Resonance",POWER(Upgrades!$U$11,J170),1)*IF(Upgrades!$T$12="Orbital Resonance",POWER(Upgrades!$U$12,K170),1))+(IF(J170=0,0,(Upgrades!$M$11+J170*Upgrades!$N$11)*POWER(Upgrades!$O$11,J170)))*(IF(Upgrades!$T$6="Heliopause",POWER(Upgrades!$U$6,E170),1)*IF(Upgrades!$T$7="Heliopause",POWER(Upgrades!$U$7,F170),1)*IF(Upgrades!$T$8="Heliopause",POWER(Upgrades!$U$8,G170),1)*IF(Upgrades!$T$9="Heliopause",POWER(Upgrades!$U$9,H170),1)*IF(Upgrades!$T$10="Heliopause",POWER(Upgrades!$U$10,I170),1)*IF(Upgrades!$T$12="Heliopause",POWER(Upgrades!$U$12,K170),1))+(IF(K170=0,0,(Upgrades!$M$12+K170*Upgrades!$N$12)*POWER(Upgrades!$O$12,K170)))*(IF(Upgrades!$T$6="First Photons",POWER(Upgrades!$U$6,E170),1)*IF(Upgrades!$T$7="First Photons",POWER(Upgrades!$U$7,F170),1)*IF(Upgrades!$T$8="First Photons",POWER(Upgrades!$U$8,G170),1)*IF(Upgrades!$T$9="First Photons",POWER(Upgrades!$U$9,H170),1)*IF(Upgrades!$T$10="First Photons",POWER(Upgrades!$U$10,I170),1)*IF(Upgrades!$T$11="First Photons",POWER(Upgrades!$U$11,J170),1)))*POWER(Upgrades!$R$6,E170)*POWER(Upgrades!$R$7,F170)*POWER(Upgrades!$R$8,G170)*POWER(Upgrades!$R$9,H170)*POWER(Upgrades!$R$10,I170)*POWER(Upgrades!$R$11,J170)*POWER(Upgrades!$R$12,K170)</f>
        <v/>
      </c>
      <c r="P170" s="27">
        <f>IF(L170=1,0,M170*Parameters!$B$10/60*Parameters!$B$11*10)</f>
        <v/>
      </c>
      <c r="Q170" s="27">
        <f>IF(L170=1,0,O170*M170*10)</f>
        <v/>
      </c>
      <c r="R170" s="27">
        <f>IF(L170=1,0,N170*10)</f>
        <v/>
      </c>
      <c r="S170" s="27">
        <f>P170+Q170+R170</f>
        <v/>
      </c>
      <c r="T170" s="22">
        <f>C170+S170</f>
        <v/>
      </c>
      <c r="U170" s="33">
        <f>AX170</f>
        <v/>
      </c>
      <c r="V170" s="22">
        <f>IF(U170="",0,IF(U170="transition",0,IF(U170="SW",AG170,IF(U170="AB",AH170,IF(U170="SC",AI170,IF(U170="Mag",AJ170,IF(U170="OR",AK170,IF(U170="HP",AL170,IF(U170="FP",AM170,0)))))))))</f>
        <v/>
      </c>
      <c r="W170" s="27">
        <f>IF(U170="OR",Upgrades!$F$10,IF(U170="HP",Upgrades!$F$11,IF(U170="transition",-Parameters!$B$18,0)))</f>
        <v/>
      </c>
      <c r="X170" s="22">
        <f>T170-V170</f>
        <v/>
      </c>
      <c r="Y170" s="30">
        <f>M170*Parameters!$B$10/60*Parameters!$B$11+O170*M170+N170</f>
        <v/>
      </c>
      <c r="Z170" s="34">
        <f>IF(U170="transition","→ Tier 2 (Stellar Neighborhood)",IF(U170="FP","First Photons — light begins, system quickens",IF(U170="HP","Heliopause acquired",IF(U170="OR","Orbital Resonance — passive multiplier active",IF(AND(AO170=1,L170=0,AN170&lt;&gt;1),"Cohesion ready (waiting on completionist upgrades)","")))))</f>
        <v/>
      </c>
      <c r="AA170" s="27">
        <f>(IF(E170=0,0,(Upgrades!$G$6+E170*Upgrades!$H$6)*POWER(Upgrades!$I$6,E170)))*(IF(Upgrades!$T$7="Solar Wind",POWER(Upgrades!$U$7,F170),1)*IF(Upgrades!$T$8="Solar Wind",POWER(Upgrades!$U$8,G170),1)*IF(Upgrades!$T$9="Solar Wind",POWER(Upgrades!$U$9,H170),1)*IF(Upgrades!$T$10="Solar Wind",POWER(Upgrades!$U$10,I170),1)*IF(Upgrades!$T$11="Solar Wind",POWER(Upgrades!$U$11,J170),1)*IF(Upgrades!$T$12="Solar Wind",POWER(Upgrades!$U$12,K170),1))*POWER(Upgrades!$P$6,E170)*POWER(Upgrades!$P$7,F170)*POWER(Upgrades!$P$8,G170)*POWER(Upgrades!$P$9,H170)*POWER(Upgrades!$P$10,I170)*POWER(Upgrades!$P$11,J170)*POWER(Upgrades!$P$12,K170)*60</f>
        <v/>
      </c>
      <c r="AB170" s="27">
        <f>(IF(F170=0,0,(Upgrades!$G$7+F170*Upgrades!$H$7)*POWER(Upgrades!$I$7,F170)))*(IF(Upgrades!$T$6="Asteroid Belt",POWER(Upgrades!$U$6,E170),1)*IF(Upgrades!$T$8="Asteroid Belt",POWER(Upgrades!$U$8,G170),1)*IF(Upgrades!$T$9="Asteroid Belt",POWER(Upgrades!$U$9,H170),1)*IF(Upgrades!$T$10="Asteroid Belt",POWER(Upgrades!$U$10,I170),1)*IF(Upgrades!$T$11="Asteroid Belt",POWER(Upgrades!$U$11,J170),1)*IF(Upgrades!$T$12="Asteroid Belt",POWER(Upgrades!$U$12,K170),1))*POWER(Upgrades!$P$6,E170)*POWER(Upgrades!$P$7,F170)*POWER(Upgrades!$P$8,G170)*POWER(Upgrades!$P$9,H170)*POWER(Upgrades!$P$10,I170)*POWER(Upgrades!$P$11,J170)*POWER(Upgrades!$P$12,K170)*60</f>
        <v/>
      </c>
      <c r="AC170" s="27">
        <f>(IF(G170=0,0,(Upgrades!$J$8+G170*Upgrades!$K$8)*POWER(Upgrades!$L$8,G170)))*(IF(Upgrades!$T$6="Stellar Coupling",POWER(Upgrades!$U$6,E170),1)*IF(Upgrades!$T$7="Stellar Coupling",POWER(Upgrades!$U$7,F170),1)*IF(Upgrades!$T$9="Stellar Coupling",POWER(Upgrades!$U$9,H170),1)*IF(Upgrades!$T$10="Stellar Coupling",POWER(Upgrades!$U$10,I170),1)*IF(Upgrades!$T$11="Stellar Coupling",POWER(Upgrades!$U$11,J170),1)*IF(Upgrades!$T$12="Stellar Coupling",POWER(Upgrades!$U$12,K170),1))*POWER(Upgrades!$Q$6,E170)*POWER(Upgrades!$Q$7,F170)*POWER(Upgrades!$Q$8,G170)*POWER(Upgrades!$Q$9,H170)*POWER(Upgrades!$Q$10,I170)*POWER(Upgrades!$Q$11,J170)*POWER(Upgrades!$Q$12,K170)*Parameters!$B$10*Parameters!$B$11</f>
        <v/>
      </c>
      <c r="AD170" s="27">
        <f>(IF(H170=0,0,(Upgrades!$G$9+H170*Upgrades!$H$9)*POWER(Upgrades!$I$9,H170)))*(IF(Upgrades!$T$6="Magnetosphere",POWER(Upgrades!$U$6,E170),1)*IF(Upgrades!$T$7="Magnetosphere",POWER(Upgrades!$U$7,F170),1)*IF(Upgrades!$T$8="Magnetosphere",POWER(Upgrades!$U$8,G170),1)*IF(Upgrades!$T$10="Magnetosphere",POWER(Upgrades!$U$10,I170),1)*IF(Upgrades!$T$11="Magnetosphere",POWER(Upgrades!$U$11,J170),1)*IF(Upgrades!$T$12="Magnetosphere",POWER(Upgrades!$U$12,K170),1))*POWER(Upgrades!$P$6,E170)*POWER(Upgrades!$P$7,F170)*POWER(Upgrades!$P$8,G170)*POWER(Upgrades!$P$9,H170)*POWER(Upgrades!$P$10,I170)*POWER(Upgrades!$P$11,J170)*POWER(Upgrades!$P$12,K170)*60</f>
        <v/>
      </c>
      <c r="AE170" s="27">
        <f>(IF(K170=0,0,(Upgrades!$G$12+K170*Upgrades!$H$12)*POWER(Upgrades!$I$12,K170)))*(IF(Upgrades!$T$6="First Photons",POWER(Upgrades!$U$6,E170),1)*IF(Upgrades!$T$7="First Photons",POWER(Upgrades!$U$7,F170),1)*IF(Upgrades!$T$8="First Photons",POWER(Upgrades!$U$8,G170),1)*IF(Upgrades!$T$9="First Photons",POWER(Upgrades!$U$9,H170),1)*IF(Upgrades!$T$10="First Photons",POWER(Upgrades!$U$10,I170),1)*IF(Upgrades!$T$11="First Photons",POWER(Upgrades!$U$11,J170),1))*POWER(Upgrades!$P$6,E170)*POWER(Upgrades!$P$7,F170)*POWER(Upgrades!$P$8,G170)*POWER(Upgrades!$P$9,H170)*POWER(Upgrades!$P$10,I170)*POWER(Upgrades!$P$11,J170)*POWER(Upgrades!$P$12,K170)*60</f>
        <v/>
      </c>
      <c r="AF170" s="27">
        <f>Parameters!$B$9*POWER(Upgrades!$Q$6,E170)*POWER(Upgrades!$Q$7,F170)*POWER(Upgrades!$Q$8,G170)*POWER(Upgrades!$Q$9,H170)*POWER(Upgrades!$Q$10,I170)*POWER(Upgrades!$Q$11,J170)*POWER(Upgrades!$Q$12,K170)*(Parameters!$B$10*Parameters!$B$11+O170*60)</f>
        <v/>
      </c>
      <c r="AG170" s="22">
        <f>IF(E170&gt;=Upgrades!$E$6,"",Upgrades!$C$6*POWER(Upgrades!$D$6,E170))</f>
        <v/>
      </c>
      <c r="AH170" s="22">
        <f>IF(F170&gt;=Upgrades!$E$7,"",Upgrades!$C$7*POWER(Upgrades!$D$7,F170))</f>
        <v/>
      </c>
      <c r="AI170" s="22">
        <f>IF(G170&gt;=Upgrades!$E$8,"",Upgrades!$C$8*POWER(Upgrades!$D$8,G170))</f>
        <v/>
      </c>
      <c r="AJ170" s="22">
        <f>IF(H170&gt;=Upgrades!$E$9,"",Upgrades!$C$9*POWER(Upgrades!$D$9,H170))</f>
        <v/>
      </c>
      <c r="AK170" s="22">
        <f>IF(I170&gt;=Upgrades!$E$10,"",Upgrades!$C$10*POWER(Upgrades!$D$10,I170))</f>
        <v/>
      </c>
      <c r="AL170" s="22">
        <f>IF(J170&gt;=Upgrades!$E$11,"",Upgrades!$C$11*POWER(Upgrades!$D$11,J170))</f>
        <v/>
      </c>
      <c r="AM170" s="22">
        <f>IF(K170&gt;=Upgrades!$E$12,"",Upgrades!$C$12*POWER(Upgrades!$D$12,K170))</f>
        <v/>
      </c>
      <c r="AN170" s="26">
        <f>IF(AND(D170&gt;=Parameters!$B$18,(H170&gt;=Upgrades!$E$9)*(K170&gt;=Upgrades!$E$12)=1,L170=0),1,"")</f>
        <v/>
      </c>
      <c r="AO170" s="26">
        <f>IF(AND(D170&gt;=Parameters!$B$18,L170=0),1,"")</f>
        <v/>
      </c>
      <c r="AP170" s="22">
        <f>MIN(IF(ISNUMBER(AK170),AK170,9E15),IF(ISNUMBER(AL170),AL170,9E15),IF(ISNUMBER(AM170),AM170,9E15))</f>
        <v/>
      </c>
      <c r="AQ170" s="22">
        <f>MIN(IF(ISNUMBER(AG170),AG170,9E15),IF(ISNUMBER(AH170),AH170,9E15),IF(ISNUMBER(AI170),AI170,9E15),IF(ISNUMBER(AJ170),AJ170,9E15))</f>
        <v/>
      </c>
      <c r="AR170" s="29">
        <f>IF(AW170&gt;Parameters!$B$21*(MAX(IF(AND(NOT(AND(AO170=1,AN170&lt;&gt;1)),ISNUMBER(AG170),AG170&lt;=T170),AS170,0),IF(AND(NOT(AND(AO170=1,AN170&lt;&gt;1)),ISNUMBER(AH170),AH170&lt;=T170),AT170,0),IF(AND(NOT(AND(AO170=1,AN170&lt;&gt;1)),ISNUMBER(AI170),AI170&lt;=T170),AU170,0),IF(AND(ISNUMBER(AJ170),AJ170&lt;=T170),AV170,0))),TRUE,FALSE)</f>
        <v/>
      </c>
      <c r="AS170" s="32">
        <f>IFERROR(Upgrades!$H$6*(POWER(Upgrades!$P$6,E170)*POWER(Upgrades!$P$7,F170)*POWER(Upgrades!$P$8,G170)*POWER(Upgrades!$P$9,H170)*POWER(Upgrades!$P$10,I170)*POWER(Upgrades!$P$11,J170)*POWER(Upgrades!$P$12,K170))*(IF(Upgrades!$T$7="Solar Wind",POWER(Upgrades!$U$7,F170),1)*IF(Upgrades!$T$8="Solar Wind",POWER(Upgrades!$U$8,G170),1)*IF(Upgrades!$T$9="Solar Wind",POWER(Upgrades!$U$9,H170),1)*IF(Upgrades!$T$10="Solar Wind",POWER(Upgrades!$U$10,I170),1)*IF(Upgrades!$T$11="Solar Wind",POWER(Upgrades!$U$11,J170),1)*IF(Upgrades!$T$12="Solar Wind",POWER(Upgrades!$U$12,K170),1))/AG170,0)</f>
        <v/>
      </c>
      <c r="AT170" s="32">
        <f>IFERROR(Upgrades!$H$7*(POWER(Upgrades!$P$6,E170)*POWER(Upgrades!$P$7,F170)*POWER(Upgrades!$P$8,G170)*POWER(Upgrades!$P$9,H170)*POWER(Upgrades!$P$10,I170)*POWER(Upgrades!$P$11,J170)*POWER(Upgrades!$P$12,K170))*(IF(Upgrades!$T$6="Asteroid Belt",POWER(Upgrades!$U$6,E170),1)*IF(Upgrades!$T$8="Asteroid Belt",POWER(Upgrades!$U$8,G170),1)*IF(Upgrades!$T$9="Asteroid Belt",POWER(Upgrades!$U$9,H170),1)*IF(Upgrades!$T$10="Asteroid Belt",POWER(Upgrades!$U$10,I170),1)*IF(Upgrades!$T$11="Asteroid Belt",POWER(Upgrades!$U$11,J170),1)*IF(Upgrades!$T$12="Asteroid Belt",POWER(Upgrades!$U$12,K170),1))/AH170,0)</f>
        <v/>
      </c>
      <c r="AU170" s="32">
        <f>IFERROR(Upgrades!$K$8*(POWER(Upgrades!$Q$6,E170)*POWER(Upgrades!$Q$7,F170)*POWER(Upgrades!$Q$8,G170)*POWER(Upgrades!$Q$9,H170)*POWER(Upgrades!$Q$10,I170)*POWER(Upgrades!$Q$11,J170)*POWER(Upgrades!$Q$12,K170))*(IF(Upgrades!$T$6="Stellar Coupling",POWER(Upgrades!$U$6,E170),1)*IF(Upgrades!$T$7="Stellar Coupling",POWER(Upgrades!$U$7,F170),1)*IF(Upgrades!$T$9="Stellar Coupling",POWER(Upgrades!$U$9,H170),1)*IF(Upgrades!$T$10="Stellar Coupling",POWER(Upgrades!$U$10,I170),1)*IF(Upgrades!$T$11="Stellar Coupling",POWER(Upgrades!$U$11,J170),1)*IF(Upgrades!$T$12="Stellar Coupling",POWER(Upgrades!$U$12,K170),1))*Parameters!$B$10*Parameters!$B$11/60/AI170,0)</f>
        <v/>
      </c>
      <c r="AV170" s="32">
        <f>IFERROR(Upgrades!$H$9*(POWER(Upgrades!$P$6,E170)*POWER(Upgrades!$P$7,F170)*POWER(Upgrades!$P$8,G170)*POWER(Upgrades!$P$9,H170)*POWER(Upgrades!$P$10,I170)*POWER(Upgrades!$P$11,J170)*POWER(Upgrades!$P$12,K170))*(IF(Upgrades!$T$6="Magnetosphere",POWER(Upgrades!$U$6,E170),1)*IF(Upgrades!$T$7="Magnetosphere",POWER(Upgrades!$U$7,F170),1)*IF(Upgrades!$T$8="Magnetosphere",POWER(Upgrades!$U$8,G170),1)*IF(Upgrades!$T$10="Magnetosphere",POWER(Upgrades!$U$10,I170),1)*IF(Upgrades!$T$11="Magnetosphere",POWER(Upgrades!$U$11,J170),1)*IF(Upgrades!$T$12="Magnetosphere",POWER(Upgrades!$U$12,K170),1))/AJ170,0)</f>
        <v/>
      </c>
      <c r="AW170" s="32">
        <f>MAX(IF(I170&gt;0,0,IFERROR(0.25*N170/Upgrades!$C$10,0)),IF(J170&gt;0,0,IFERROR(0.5*((IF(G170=0,0,(Upgrades!$J$8+G170*Upgrades!$K$8)*POWER(Upgrades!$L$8,G170)))*(IF(Upgrades!$T$6="Stellar Coupling",POWER(Upgrades!$U$6,E170),1)*IF(Upgrades!$T$7="Stellar Coupling",POWER(Upgrades!$U$7,F170),1)*IF(Upgrades!$T$9="Stellar Coupling",POWER(Upgrades!$U$9,H170),1)*IF(Upgrades!$T$10="Stellar Coupling",POWER(Upgrades!$U$10,I170),1)*IF(Upgrades!$T$11="Stellar Coupling",POWER(Upgrades!$U$11,J170),1)*IF(Upgrades!$T$12="Stellar Coupling",POWER(Upgrades!$U$12,K170),1))*(POWER(Upgrades!$Q$6,E170)*POWER(Upgrades!$Q$7,F170)*POWER(Upgrades!$Q$8,G170)*POWER(Upgrades!$Q$9,H170)*POWER(Upgrades!$Q$10,I170)*POWER(Upgrades!$Q$11,J170)*POWER(Upgrades!$Q$12,K170))*Parameters!$B$10*Parameters!$B$11/60)/Upgrades!$C$11,0)),IF(K170&gt;0,0,IFERROR((1.0*(POWER(Upgrades!$P$6,E170)*POWER(Upgrades!$P$7,F170)*POWER(Upgrades!$P$8,G170)*POWER(Upgrades!$P$9,H170)*POWER(Upgrades!$P$10,I170)*POWER(Upgrades!$P$11,J170)*POWER(Upgrades!$P$12,K170))+0.20*M170*Parameters!$B$10*Parameters!$B$11/60)/Upgrades!$C$12,0)),IF(AND(ISNUMBER(AG170),AG170&gt;T170),AS170,0),IF(AND(ISNUMBER(AH170),AH170&gt;T170),AT170,0),IF(AND(ISNUMBER(AI170),AI170&gt;T170),AU170,0),IF(AND(ISNUMBER(AJ170),AJ170&gt;T170),AV170,0))</f>
        <v/>
      </c>
      <c r="AX170" s="29">
        <f>IF(AN170=1,"transition",IF(MIN(IF(AND(I170=0,ISNUMBER(AK170),AK170&lt;=T170),AK170,9E15),IF(AND(J170=0,ISNUMBER(AL170),AL170&lt;=T170),AL170,9E15),IF(AND(K170=0,ISNUMBER(AM170),AM170&lt;=T170),AM170,9E15))&lt;9E15,IF(AND(AND(I170=0,ISNUMBER(AK170),AK170&lt;=T170),AK170=MIN(IF(AND(I170=0,ISNUMBER(AK170),AK170&lt;=T170),AK170,9E15),IF(AND(J170=0,ISNUMBER(AL170),AL170&lt;=T170),AL170,9E15),IF(AND(K170=0,ISNUMBER(AM170),AM170&lt;=T170),AM170,9E15))),"OR",IF(AND(AND(J170=0,ISNUMBER(AL170),AL170&lt;=T170),AL170=MIN(IF(AND(I170=0,ISNUMBER(AK170),AK170&lt;=T170),AK170,9E15),IF(AND(J170=0,ISNUMBER(AL170),AL170&lt;=T170),AL170,9E15),IF(AND(K170=0,ISNUMBER(AM170),AM170&lt;=T170),AM170,9E15))),"HP","FP")),IF(AR170=TRUE,"",IF(MAX(IF(AND(NOT(AND(AO170=1,AN170&lt;&gt;1)),ISNUMBER(AG170),AG170&lt;=T170),AS170,0),IF(AND(NOT(AND(AO170=1,AN170&lt;&gt;1)),ISNUMBER(AH170),AH170&lt;=T170),AT170,0),IF(AND(NOT(AND(AO170=1,AN170&lt;&gt;1)),ISNUMBER(AI170),AI170&lt;=T170),AU170,0),IF(AND(ISNUMBER(AJ170),AJ170&lt;=T170),AV170,0))&lt;=0,"",IF(AND(IF(AND(NOT(AND(AO170=1,AN170&lt;&gt;1)),ISNUMBER(AG170),AG170&lt;=T170),AS170,0)&gt;0,IF(AND(NOT(AND(AO170=1,AN170&lt;&gt;1)),ISNUMBER(AG170),AG170&lt;=T170),AS170,0)=MAX(IF(AND(NOT(AND(AO170=1,AN170&lt;&gt;1)),ISNUMBER(AG170),AG170&lt;=T170),AS170,0),IF(AND(NOT(AND(AO170=1,AN170&lt;&gt;1)),ISNUMBER(AH170),AH170&lt;=T170),AT170,0),IF(AND(NOT(AND(AO170=1,AN170&lt;&gt;1)),ISNUMBER(AI170),AI170&lt;=T170),AU170,0),IF(AND(ISNUMBER(AJ170),AJ170&lt;=T170),AV170,0))),"SW",IF(AND(IF(AND(NOT(AND(AO170=1,AN170&lt;&gt;1)),ISNUMBER(AH170),AH170&lt;=T170),AT170,0)&gt;0,IF(AND(NOT(AND(AO170=1,AN170&lt;&gt;1)),ISNUMBER(AH170),AH170&lt;=T170),AT170,0)=MAX(IF(AND(NOT(AND(AO170=1,AN170&lt;&gt;1)),ISNUMBER(AG170),AG170&lt;=T170),AS170,0),IF(AND(NOT(AND(AO170=1,AN170&lt;&gt;1)),ISNUMBER(AH170),AH170&lt;=T170),AT170,0),IF(AND(NOT(AND(AO170=1,AN170&lt;&gt;1)),ISNUMBER(AI170),AI170&lt;=T170),AU170,0),IF(AND(ISNUMBER(AJ170),AJ170&lt;=T170),AV170,0))),"AB",IF(AND(IF(AND(NOT(AND(AO170=1,AN170&lt;&gt;1)),ISNUMBER(AI170),AI170&lt;=T170),AU170,0)&gt;0,IF(AND(NOT(AND(AO170=1,AN170&lt;&gt;1)),ISNUMBER(AI170),AI170&lt;=T170),AU170,0)=MAX(IF(AND(NOT(AND(AO170=1,AN170&lt;&gt;1)),ISNUMBER(AG170),AG170&lt;=T170),AS170,0),IF(AND(NOT(AND(AO170=1,AN170&lt;&gt;1)),ISNUMBER(AH170),AH170&lt;=T170),AT170,0),IF(AND(NOT(AND(AO170=1,AN170&lt;&gt;1)),ISNUMBER(AI170),AI170&lt;=T170),AU170,0),IF(AND(ISNUMBER(AJ170),AJ170&lt;=T170),AV170,0))),"SC","Mag")))))))</f>
        <v/>
      </c>
    </row>
    <row r="171">
      <c r="A171" s="26" t="n">
        <v>166</v>
      </c>
      <c r="B171" s="27">
        <f>A171*10/60</f>
        <v/>
      </c>
      <c r="C171" s="22">
        <f>X170</f>
        <v/>
      </c>
      <c r="D171" s="27">
        <f>D170+W170</f>
        <v/>
      </c>
      <c r="E171" s="26">
        <f>E170+IF(U170="SW",1,0)</f>
        <v/>
      </c>
      <c r="F171" s="26">
        <f>F170+IF(U170="AB",1,0)</f>
        <v/>
      </c>
      <c r="G171" s="26">
        <f>G170+IF(U170="SC",1,0)</f>
        <v/>
      </c>
      <c r="H171" s="26">
        <f>H170+IF(U170="Mag",1,0)</f>
        <v/>
      </c>
      <c r="I171" s="26">
        <f>MAX(I170,IF(U170="OR",1,0))</f>
        <v/>
      </c>
      <c r="J171" s="26">
        <f>MAX(J170,IF(U170="HP",1,0))</f>
        <v/>
      </c>
      <c r="K171" s="26">
        <f>MAX(K170,IF(U170="FP",1,0))</f>
        <v/>
      </c>
      <c r="L171" s="26">
        <f>MAX(L170,IF(U170="transition",1,0))</f>
        <v/>
      </c>
      <c r="M171" s="28">
        <f>(Parameters!$B$9+(IF(E171=0,0,(Upgrades!$J$6+E171*Upgrades!$K$6)*POWER(Upgrades!$L$6,E171)))*(IF(Upgrades!$T$7="Solar Wind",POWER(Upgrades!$U$7,F171),1)*IF(Upgrades!$T$8="Solar Wind",POWER(Upgrades!$U$8,G171),1)*IF(Upgrades!$T$9="Solar Wind",POWER(Upgrades!$U$9,H171),1)*IF(Upgrades!$T$10="Solar Wind",POWER(Upgrades!$U$10,I171),1)*IF(Upgrades!$T$11="Solar Wind",POWER(Upgrades!$U$11,J171),1)*IF(Upgrades!$T$12="Solar Wind",POWER(Upgrades!$U$12,K171),1))+(IF(F171=0,0,(Upgrades!$J$7+F171*Upgrades!$K$7)*POWER(Upgrades!$L$7,F171)))*(IF(Upgrades!$T$6="Asteroid Belt",POWER(Upgrades!$U$6,E171),1)*IF(Upgrades!$T$8="Asteroid Belt",POWER(Upgrades!$U$8,G171),1)*IF(Upgrades!$T$9="Asteroid Belt",POWER(Upgrades!$U$9,H171),1)*IF(Upgrades!$T$10="Asteroid Belt",POWER(Upgrades!$U$10,I171),1)*IF(Upgrades!$T$11="Asteroid Belt",POWER(Upgrades!$U$11,J171),1)*IF(Upgrades!$T$12="Asteroid Belt",POWER(Upgrades!$U$12,K171),1))+(IF(G171=0,0,(Upgrades!$J$8+G171*Upgrades!$K$8)*POWER(Upgrades!$L$8,G171)))*(IF(Upgrades!$T$6="Stellar Coupling",POWER(Upgrades!$U$6,E171),1)*IF(Upgrades!$T$7="Stellar Coupling",POWER(Upgrades!$U$7,F171),1)*IF(Upgrades!$T$9="Stellar Coupling",POWER(Upgrades!$U$9,H171),1)*IF(Upgrades!$T$10="Stellar Coupling",POWER(Upgrades!$U$10,I171),1)*IF(Upgrades!$T$11="Stellar Coupling",POWER(Upgrades!$U$11,J171),1)*IF(Upgrades!$T$12="Stellar Coupling",POWER(Upgrades!$U$12,K171),1))+(IF(H171=0,0,(Upgrades!$J$9+H171*Upgrades!$K$9)*POWER(Upgrades!$L$9,H171)))*(IF(Upgrades!$T$6="Magnetosphere",POWER(Upgrades!$U$6,E171),1)*IF(Upgrades!$T$7="Magnetosphere",POWER(Upgrades!$U$7,F171),1)*IF(Upgrades!$T$8="Magnetosphere",POWER(Upgrades!$U$8,G171),1)*IF(Upgrades!$T$10="Magnetosphere",POWER(Upgrades!$U$10,I171),1)*IF(Upgrades!$T$11="Magnetosphere",POWER(Upgrades!$U$11,J171),1)*IF(Upgrades!$T$12="Magnetosphere",POWER(Upgrades!$U$12,K171),1))+(IF(I171=0,0,(Upgrades!$J$10+I171*Upgrades!$K$10)*POWER(Upgrades!$L$10,I171)))*(IF(Upgrades!$T$6="Orbital Resonance",POWER(Upgrades!$U$6,E171),1)*IF(Upgrades!$T$7="Orbital Resonance",POWER(Upgrades!$U$7,F171),1)*IF(Upgrades!$T$8="Orbital Resonance",POWER(Upgrades!$U$8,G171),1)*IF(Upgrades!$T$9="Orbital Resonance",POWER(Upgrades!$U$9,H171),1)*IF(Upgrades!$T$11="Orbital Resonance",POWER(Upgrades!$U$11,J171),1)*IF(Upgrades!$T$12="Orbital Resonance",POWER(Upgrades!$U$12,K171),1))+(IF(J171=0,0,(Upgrades!$J$11+J171*Upgrades!$K$11)*POWER(Upgrades!$L$11,J171)))*(IF(Upgrades!$T$6="Heliopause",POWER(Upgrades!$U$6,E171),1)*IF(Upgrades!$T$7="Heliopause",POWER(Upgrades!$U$7,F171),1)*IF(Upgrades!$T$8="Heliopause",POWER(Upgrades!$U$8,G171),1)*IF(Upgrades!$T$9="Heliopause",POWER(Upgrades!$U$9,H171),1)*IF(Upgrades!$T$10="Heliopause",POWER(Upgrades!$U$10,I171),1)*IF(Upgrades!$T$12="Heliopause",POWER(Upgrades!$U$12,K171),1))+(IF(K171=0,0,(Upgrades!$J$12+K171*Upgrades!$K$12)*POWER(Upgrades!$L$12,K171)))*(IF(Upgrades!$T$6="First Photons",POWER(Upgrades!$U$6,E171),1)*IF(Upgrades!$T$7="First Photons",POWER(Upgrades!$U$7,F171),1)*IF(Upgrades!$T$8="First Photons",POWER(Upgrades!$U$8,G171),1)*IF(Upgrades!$T$9="First Photons",POWER(Upgrades!$U$9,H171),1)*IF(Upgrades!$T$10="First Photons",POWER(Upgrades!$U$10,I171),1)*IF(Upgrades!$T$11="First Photons",POWER(Upgrades!$U$11,J171),1)))*POWER(Upgrades!$Q$6,E171)*POWER(Upgrades!$Q$7,F171)*POWER(Upgrades!$Q$8,G171)*POWER(Upgrades!$Q$9,H171)*POWER(Upgrades!$Q$10,I171)*POWER(Upgrades!$Q$11,J171)*POWER(Upgrades!$Q$12,K171)</f>
        <v/>
      </c>
      <c r="N171" s="28">
        <f>((IF(E171=0,0,(Upgrades!$G$6+E171*Upgrades!$H$6)*POWER(Upgrades!$I$6,E171)))*(IF(Upgrades!$T$7="Solar Wind",POWER(Upgrades!$U$7,F171),1)*IF(Upgrades!$T$8="Solar Wind",POWER(Upgrades!$U$8,G171),1)*IF(Upgrades!$T$9="Solar Wind",POWER(Upgrades!$U$9,H171),1)*IF(Upgrades!$T$10="Solar Wind",POWER(Upgrades!$U$10,I171),1)*IF(Upgrades!$T$11="Solar Wind",POWER(Upgrades!$U$11,J171),1)*IF(Upgrades!$T$12="Solar Wind",POWER(Upgrades!$U$12,K171),1))+(IF(F171=0,0,(Upgrades!$G$7+F171*Upgrades!$H$7)*POWER(Upgrades!$I$7,F171)))*(IF(Upgrades!$T$6="Asteroid Belt",POWER(Upgrades!$U$6,E171),1)*IF(Upgrades!$T$8="Asteroid Belt",POWER(Upgrades!$U$8,G171),1)*IF(Upgrades!$T$9="Asteroid Belt",POWER(Upgrades!$U$9,H171),1)*IF(Upgrades!$T$10="Asteroid Belt",POWER(Upgrades!$U$10,I171),1)*IF(Upgrades!$T$11="Asteroid Belt",POWER(Upgrades!$U$11,J171),1)*IF(Upgrades!$T$12="Asteroid Belt",POWER(Upgrades!$U$12,K171),1))+(IF(G171=0,0,(Upgrades!$G$8+G171*Upgrades!$H$8)*POWER(Upgrades!$I$8,G171)))*(IF(Upgrades!$T$6="Stellar Coupling",POWER(Upgrades!$U$6,E171),1)*IF(Upgrades!$T$7="Stellar Coupling",POWER(Upgrades!$U$7,F171),1)*IF(Upgrades!$T$9="Stellar Coupling",POWER(Upgrades!$U$9,H171),1)*IF(Upgrades!$T$10="Stellar Coupling",POWER(Upgrades!$U$10,I171),1)*IF(Upgrades!$T$11="Stellar Coupling",POWER(Upgrades!$U$11,J171),1)*IF(Upgrades!$T$12="Stellar Coupling",POWER(Upgrades!$U$12,K171),1))+(IF(H171=0,0,(Upgrades!$G$9+H171*Upgrades!$H$9)*POWER(Upgrades!$I$9,H171)))*(IF(Upgrades!$T$6="Magnetosphere",POWER(Upgrades!$U$6,E171),1)*IF(Upgrades!$T$7="Magnetosphere",POWER(Upgrades!$U$7,F171),1)*IF(Upgrades!$T$8="Magnetosphere",POWER(Upgrades!$U$8,G171),1)*IF(Upgrades!$T$10="Magnetosphere",POWER(Upgrades!$U$10,I171),1)*IF(Upgrades!$T$11="Magnetosphere",POWER(Upgrades!$U$11,J171),1)*IF(Upgrades!$T$12="Magnetosphere",POWER(Upgrades!$U$12,K171),1))+(IF(I171=0,0,(Upgrades!$G$10+I171*Upgrades!$H$10)*POWER(Upgrades!$I$10,I171)))*(IF(Upgrades!$T$6="Orbital Resonance",POWER(Upgrades!$U$6,E171),1)*IF(Upgrades!$T$7="Orbital Resonance",POWER(Upgrades!$U$7,F171),1)*IF(Upgrades!$T$8="Orbital Resonance",POWER(Upgrades!$U$8,G171),1)*IF(Upgrades!$T$9="Orbital Resonance",POWER(Upgrades!$U$9,H171),1)*IF(Upgrades!$T$11="Orbital Resonance",POWER(Upgrades!$U$11,J171),1)*IF(Upgrades!$T$12="Orbital Resonance",POWER(Upgrades!$U$12,K171),1))+(IF(J171=0,0,(Upgrades!$G$11+J171*Upgrades!$H$11)*POWER(Upgrades!$I$11,J171)))*(IF(Upgrades!$T$6="Heliopause",POWER(Upgrades!$U$6,E171),1)*IF(Upgrades!$T$7="Heliopause",POWER(Upgrades!$U$7,F171),1)*IF(Upgrades!$T$8="Heliopause",POWER(Upgrades!$U$8,G171),1)*IF(Upgrades!$T$9="Heliopause",POWER(Upgrades!$U$9,H171),1)*IF(Upgrades!$T$10="Heliopause",POWER(Upgrades!$U$10,I171),1)*IF(Upgrades!$T$12="Heliopause",POWER(Upgrades!$U$12,K171),1))+(IF(K171=0,0,(Upgrades!$G$12+K171*Upgrades!$H$12)*POWER(Upgrades!$I$12,K171)))*(IF(Upgrades!$T$6="First Photons",POWER(Upgrades!$U$6,E171),1)*IF(Upgrades!$T$7="First Photons",POWER(Upgrades!$U$7,F171),1)*IF(Upgrades!$T$8="First Photons",POWER(Upgrades!$U$8,G171),1)*IF(Upgrades!$T$9="First Photons",POWER(Upgrades!$U$9,H171),1)*IF(Upgrades!$T$10="First Photons",POWER(Upgrades!$U$10,I171),1)*IF(Upgrades!$T$11="First Photons",POWER(Upgrades!$U$11,J171),1)))*POWER(Upgrades!$P$6,E171)*POWER(Upgrades!$P$7,F171)*POWER(Upgrades!$P$8,G171)*POWER(Upgrades!$P$9,H171)*POWER(Upgrades!$P$10,I171)*POWER(Upgrades!$P$11,J171)*POWER(Upgrades!$P$12,K171)</f>
        <v/>
      </c>
      <c r="O171" s="28">
        <f>((IF(E171=0,0,(Upgrades!$M$6+E171*Upgrades!$N$6)*POWER(Upgrades!$O$6,E171)))*(IF(Upgrades!$T$7="Solar Wind",POWER(Upgrades!$U$7,F171),1)*IF(Upgrades!$T$8="Solar Wind",POWER(Upgrades!$U$8,G171),1)*IF(Upgrades!$T$9="Solar Wind",POWER(Upgrades!$U$9,H171),1)*IF(Upgrades!$T$10="Solar Wind",POWER(Upgrades!$U$10,I171),1)*IF(Upgrades!$T$11="Solar Wind",POWER(Upgrades!$U$11,J171),1)*IF(Upgrades!$T$12="Solar Wind",POWER(Upgrades!$U$12,K171),1))+(IF(F171=0,0,(Upgrades!$M$7+F171*Upgrades!$N$7)*POWER(Upgrades!$O$7,F171)))*(IF(Upgrades!$T$6="Asteroid Belt",POWER(Upgrades!$U$6,E171),1)*IF(Upgrades!$T$8="Asteroid Belt",POWER(Upgrades!$U$8,G171),1)*IF(Upgrades!$T$9="Asteroid Belt",POWER(Upgrades!$U$9,H171),1)*IF(Upgrades!$T$10="Asteroid Belt",POWER(Upgrades!$U$10,I171),1)*IF(Upgrades!$T$11="Asteroid Belt",POWER(Upgrades!$U$11,J171),1)*IF(Upgrades!$T$12="Asteroid Belt",POWER(Upgrades!$U$12,K171),1))+(IF(G171=0,0,(Upgrades!$M$8+G171*Upgrades!$N$8)*POWER(Upgrades!$O$8,G171)))*(IF(Upgrades!$T$6="Stellar Coupling",POWER(Upgrades!$U$6,E171),1)*IF(Upgrades!$T$7="Stellar Coupling",POWER(Upgrades!$U$7,F171),1)*IF(Upgrades!$T$9="Stellar Coupling",POWER(Upgrades!$U$9,H171),1)*IF(Upgrades!$T$10="Stellar Coupling",POWER(Upgrades!$U$10,I171),1)*IF(Upgrades!$T$11="Stellar Coupling",POWER(Upgrades!$U$11,J171),1)*IF(Upgrades!$T$12="Stellar Coupling",POWER(Upgrades!$U$12,K171),1))+(IF(H171=0,0,(Upgrades!$M$9+H171*Upgrades!$N$9)*POWER(Upgrades!$O$9,H171)))*(IF(Upgrades!$T$6="Magnetosphere",POWER(Upgrades!$U$6,E171),1)*IF(Upgrades!$T$7="Magnetosphere",POWER(Upgrades!$U$7,F171),1)*IF(Upgrades!$T$8="Magnetosphere",POWER(Upgrades!$U$8,G171),1)*IF(Upgrades!$T$10="Magnetosphere",POWER(Upgrades!$U$10,I171),1)*IF(Upgrades!$T$11="Magnetosphere",POWER(Upgrades!$U$11,J171),1)*IF(Upgrades!$T$12="Magnetosphere",POWER(Upgrades!$U$12,K171),1))+(IF(I171=0,0,(Upgrades!$M$10+I171*Upgrades!$N$10)*POWER(Upgrades!$O$10,I171)))*(IF(Upgrades!$T$6="Orbital Resonance",POWER(Upgrades!$U$6,E171),1)*IF(Upgrades!$T$7="Orbital Resonance",POWER(Upgrades!$U$7,F171),1)*IF(Upgrades!$T$8="Orbital Resonance",POWER(Upgrades!$U$8,G171),1)*IF(Upgrades!$T$9="Orbital Resonance",POWER(Upgrades!$U$9,H171),1)*IF(Upgrades!$T$11="Orbital Resonance",POWER(Upgrades!$U$11,J171),1)*IF(Upgrades!$T$12="Orbital Resonance",POWER(Upgrades!$U$12,K171),1))+(IF(J171=0,0,(Upgrades!$M$11+J171*Upgrades!$N$11)*POWER(Upgrades!$O$11,J171)))*(IF(Upgrades!$T$6="Heliopause",POWER(Upgrades!$U$6,E171),1)*IF(Upgrades!$T$7="Heliopause",POWER(Upgrades!$U$7,F171),1)*IF(Upgrades!$T$8="Heliopause",POWER(Upgrades!$U$8,G171),1)*IF(Upgrades!$T$9="Heliopause",POWER(Upgrades!$U$9,H171),1)*IF(Upgrades!$T$10="Heliopause",POWER(Upgrades!$U$10,I171),1)*IF(Upgrades!$T$12="Heliopause",POWER(Upgrades!$U$12,K171),1))+(IF(K171=0,0,(Upgrades!$M$12+K171*Upgrades!$N$12)*POWER(Upgrades!$O$12,K171)))*(IF(Upgrades!$T$6="First Photons",POWER(Upgrades!$U$6,E171),1)*IF(Upgrades!$T$7="First Photons",POWER(Upgrades!$U$7,F171),1)*IF(Upgrades!$T$8="First Photons",POWER(Upgrades!$U$8,G171),1)*IF(Upgrades!$T$9="First Photons",POWER(Upgrades!$U$9,H171),1)*IF(Upgrades!$T$10="First Photons",POWER(Upgrades!$U$10,I171),1)*IF(Upgrades!$T$11="First Photons",POWER(Upgrades!$U$11,J171),1)))*POWER(Upgrades!$R$6,E171)*POWER(Upgrades!$R$7,F171)*POWER(Upgrades!$R$8,G171)*POWER(Upgrades!$R$9,H171)*POWER(Upgrades!$R$10,I171)*POWER(Upgrades!$R$11,J171)*POWER(Upgrades!$R$12,K171)</f>
        <v/>
      </c>
      <c r="P171" s="27">
        <f>IF(L171=1,0,M171*Parameters!$B$10/60*Parameters!$B$11*10)</f>
        <v/>
      </c>
      <c r="Q171" s="27">
        <f>IF(L171=1,0,O171*M171*10)</f>
        <v/>
      </c>
      <c r="R171" s="27">
        <f>IF(L171=1,0,N171*10)</f>
        <v/>
      </c>
      <c r="S171" s="27">
        <f>P171+Q171+R171</f>
        <v/>
      </c>
      <c r="T171" s="22">
        <f>C171+S171</f>
        <v/>
      </c>
      <c r="U171" s="33">
        <f>AX171</f>
        <v/>
      </c>
      <c r="V171" s="22">
        <f>IF(U171="",0,IF(U171="transition",0,IF(U171="SW",AG171,IF(U171="AB",AH171,IF(U171="SC",AI171,IF(U171="Mag",AJ171,IF(U171="OR",AK171,IF(U171="HP",AL171,IF(U171="FP",AM171,0)))))))))</f>
        <v/>
      </c>
      <c r="W171" s="27">
        <f>IF(U171="OR",Upgrades!$F$10,IF(U171="HP",Upgrades!$F$11,IF(U171="transition",-Parameters!$B$18,0)))</f>
        <v/>
      </c>
      <c r="X171" s="22">
        <f>T171-V171</f>
        <v/>
      </c>
      <c r="Y171" s="30">
        <f>M171*Parameters!$B$10/60*Parameters!$B$11+O171*M171+N171</f>
        <v/>
      </c>
      <c r="Z171" s="34">
        <f>IF(U171="transition","→ Tier 2 (Stellar Neighborhood)",IF(U171="FP","First Photons — light begins, system quickens",IF(U171="HP","Heliopause acquired",IF(U171="OR","Orbital Resonance — passive multiplier active",IF(AND(AO171=1,L171=0,AN171&lt;&gt;1),"Cohesion ready (waiting on completionist upgrades)","")))))</f>
        <v/>
      </c>
      <c r="AA171" s="27">
        <f>(IF(E171=0,0,(Upgrades!$G$6+E171*Upgrades!$H$6)*POWER(Upgrades!$I$6,E171)))*(IF(Upgrades!$T$7="Solar Wind",POWER(Upgrades!$U$7,F171),1)*IF(Upgrades!$T$8="Solar Wind",POWER(Upgrades!$U$8,G171),1)*IF(Upgrades!$T$9="Solar Wind",POWER(Upgrades!$U$9,H171),1)*IF(Upgrades!$T$10="Solar Wind",POWER(Upgrades!$U$10,I171),1)*IF(Upgrades!$T$11="Solar Wind",POWER(Upgrades!$U$11,J171),1)*IF(Upgrades!$T$12="Solar Wind",POWER(Upgrades!$U$12,K171),1))*POWER(Upgrades!$P$6,E171)*POWER(Upgrades!$P$7,F171)*POWER(Upgrades!$P$8,G171)*POWER(Upgrades!$P$9,H171)*POWER(Upgrades!$P$10,I171)*POWER(Upgrades!$P$11,J171)*POWER(Upgrades!$P$12,K171)*60</f>
        <v/>
      </c>
      <c r="AB171" s="27">
        <f>(IF(F171=0,0,(Upgrades!$G$7+F171*Upgrades!$H$7)*POWER(Upgrades!$I$7,F171)))*(IF(Upgrades!$T$6="Asteroid Belt",POWER(Upgrades!$U$6,E171),1)*IF(Upgrades!$T$8="Asteroid Belt",POWER(Upgrades!$U$8,G171),1)*IF(Upgrades!$T$9="Asteroid Belt",POWER(Upgrades!$U$9,H171),1)*IF(Upgrades!$T$10="Asteroid Belt",POWER(Upgrades!$U$10,I171),1)*IF(Upgrades!$T$11="Asteroid Belt",POWER(Upgrades!$U$11,J171),1)*IF(Upgrades!$T$12="Asteroid Belt",POWER(Upgrades!$U$12,K171),1))*POWER(Upgrades!$P$6,E171)*POWER(Upgrades!$P$7,F171)*POWER(Upgrades!$P$8,G171)*POWER(Upgrades!$P$9,H171)*POWER(Upgrades!$P$10,I171)*POWER(Upgrades!$P$11,J171)*POWER(Upgrades!$P$12,K171)*60</f>
        <v/>
      </c>
      <c r="AC171" s="27">
        <f>(IF(G171=0,0,(Upgrades!$J$8+G171*Upgrades!$K$8)*POWER(Upgrades!$L$8,G171)))*(IF(Upgrades!$T$6="Stellar Coupling",POWER(Upgrades!$U$6,E171),1)*IF(Upgrades!$T$7="Stellar Coupling",POWER(Upgrades!$U$7,F171),1)*IF(Upgrades!$T$9="Stellar Coupling",POWER(Upgrades!$U$9,H171),1)*IF(Upgrades!$T$10="Stellar Coupling",POWER(Upgrades!$U$10,I171),1)*IF(Upgrades!$T$11="Stellar Coupling",POWER(Upgrades!$U$11,J171),1)*IF(Upgrades!$T$12="Stellar Coupling",POWER(Upgrades!$U$12,K171),1))*POWER(Upgrades!$Q$6,E171)*POWER(Upgrades!$Q$7,F171)*POWER(Upgrades!$Q$8,G171)*POWER(Upgrades!$Q$9,H171)*POWER(Upgrades!$Q$10,I171)*POWER(Upgrades!$Q$11,J171)*POWER(Upgrades!$Q$12,K171)*Parameters!$B$10*Parameters!$B$11</f>
        <v/>
      </c>
      <c r="AD171" s="27">
        <f>(IF(H171=0,0,(Upgrades!$G$9+H171*Upgrades!$H$9)*POWER(Upgrades!$I$9,H171)))*(IF(Upgrades!$T$6="Magnetosphere",POWER(Upgrades!$U$6,E171),1)*IF(Upgrades!$T$7="Magnetosphere",POWER(Upgrades!$U$7,F171),1)*IF(Upgrades!$T$8="Magnetosphere",POWER(Upgrades!$U$8,G171),1)*IF(Upgrades!$T$10="Magnetosphere",POWER(Upgrades!$U$10,I171),1)*IF(Upgrades!$T$11="Magnetosphere",POWER(Upgrades!$U$11,J171),1)*IF(Upgrades!$T$12="Magnetosphere",POWER(Upgrades!$U$12,K171),1))*POWER(Upgrades!$P$6,E171)*POWER(Upgrades!$P$7,F171)*POWER(Upgrades!$P$8,G171)*POWER(Upgrades!$P$9,H171)*POWER(Upgrades!$P$10,I171)*POWER(Upgrades!$P$11,J171)*POWER(Upgrades!$P$12,K171)*60</f>
        <v/>
      </c>
      <c r="AE171" s="27">
        <f>(IF(K171=0,0,(Upgrades!$G$12+K171*Upgrades!$H$12)*POWER(Upgrades!$I$12,K171)))*(IF(Upgrades!$T$6="First Photons",POWER(Upgrades!$U$6,E171),1)*IF(Upgrades!$T$7="First Photons",POWER(Upgrades!$U$7,F171),1)*IF(Upgrades!$T$8="First Photons",POWER(Upgrades!$U$8,G171),1)*IF(Upgrades!$T$9="First Photons",POWER(Upgrades!$U$9,H171),1)*IF(Upgrades!$T$10="First Photons",POWER(Upgrades!$U$10,I171),1)*IF(Upgrades!$T$11="First Photons",POWER(Upgrades!$U$11,J171),1))*POWER(Upgrades!$P$6,E171)*POWER(Upgrades!$P$7,F171)*POWER(Upgrades!$P$8,G171)*POWER(Upgrades!$P$9,H171)*POWER(Upgrades!$P$10,I171)*POWER(Upgrades!$P$11,J171)*POWER(Upgrades!$P$12,K171)*60</f>
        <v/>
      </c>
      <c r="AF171" s="27">
        <f>Parameters!$B$9*POWER(Upgrades!$Q$6,E171)*POWER(Upgrades!$Q$7,F171)*POWER(Upgrades!$Q$8,G171)*POWER(Upgrades!$Q$9,H171)*POWER(Upgrades!$Q$10,I171)*POWER(Upgrades!$Q$11,J171)*POWER(Upgrades!$Q$12,K171)*(Parameters!$B$10*Parameters!$B$11+O171*60)</f>
        <v/>
      </c>
      <c r="AG171" s="22">
        <f>IF(E171&gt;=Upgrades!$E$6,"",Upgrades!$C$6*POWER(Upgrades!$D$6,E171))</f>
        <v/>
      </c>
      <c r="AH171" s="22">
        <f>IF(F171&gt;=Upgrades!$E$7,"",Upgrades!$C$7*POWER(Upgrades!$D$7,F171))</f>
        <v/>
      </c>
      <c r="AI171" s="22">
        <f>IF(G171&gt;=Upgrades!$E$8,"",Upgrades!$C$8*POWER(Upgrades!$D$8,G171))</f>
        <v/>
      </c>
      <c r="AJ171" s="22">
        <f>IF(H171&gt;=Upgrades!$E$9,"",Upgrades!$C$9*POWER(Upgrades!$D$9,H171))</f>
        <v/>
      </c>
      <c r="AK171" s="22">
        <f>IF(I171&gt;=Upgrades!$E$10,"",Upgrades!$C$10*POWER(Upgrades!$D$10,I171))</f>
        <v/>
      </c>
      <c r="AL171" s="22">
        <f>IF(J171&gt;=Upgrades!$E$11,"",Upgrades!$C$11*POWER(Upgrades!$D$11,J171))</f>
        <v/>
      </c>
      <c r="AM171" s="22">
        <f>IF(K171&gt;=Upgrades!$E$12,"",Upgrades!$C$12*POWER(Upgrades!$D$12,K171))</f>
        <v/>
      </c>
      <c r="AN171" s="26">
        <f>IF(AND(D171&gt;=Parameters!$B$18,(H171&gt;=Upgrades!$E$9)*(K171&gt;=Upgrades!$E$12)=1,L171=0),1,"")</f>
        <v/>
      </c>
      <c r="AO171" s="26">
        <f>IF(AND(D171&gt;=Parameters!$B$18,L171=0),1,"")</f>
        <v/>
      </c>
      <c r="AP171" s="22">
        <f>MIN(IF(ISNUMBER(AK171),AK171,9E15),IF(ISNUMBER(AL171),AL171,9E15),IF(ISNUMBER(AM171),AM171,9E15))</f>
        <v/>
      </c>
      <c r="AQ171" s="22">
        <f>MIN(IF(ISNUMBER(AG171),AG171,9E15),IF(ISNUMBER(AH171),AH171,9E15),IF(ISNUMBER(AI171),AI171,9E15),IF(ISNUMBER(AJ171),AJ171,9E15))</f>
        <v/>
      </c>
      <c r="AR171" s="29">
        <f>IF(AW171&gt;Parameters!$B$21*(MAX(IF(AND(NOT(AND(AO171=1,AN171&lt;&gt;1)),ISNUMBER(AG171),AG171&lt;=T171),AS171,0),IF(AND(NOT(AND(AO171=1,AN171&lt;&gt;1)),ISNUMBER(AH171),AH171&lt;=T171),AT171,0),IF(AND(NOT(AND(AO171=1,AN171&lt;&gt;1)),ISNUMBER(AI171),AI171&lt;=T171),AU171,0),IF(AND(ISNUMBER(AJ171),AJ171&lt;=T171),AV171,0))),TRUE,FALSE)</f>
        <v/>
      </c>
      <c r="AS171" s="32">
        <f>IFERROR(Upgrades!$H$6*(POWER(Upgrades!$P$6,E171)*POWER(Upgrades!$P$7,F171)*POWER(Upgrades!$P$8,G171)*POWER(Upgrades!$P$9,H171)*POWER(Upgrades!$P$10,I171)*POWER(Upgrades!$P$11,J171)*POWER(Upgrades!$P$12,K171))*(IF(Upgrades!$T$7="Solar Wind",POWER(Upgrades!$U$7,F171),1)*IF(Upgrades!$T$8="Solar Wind",POWER(Upgrades!$U$8,G171),1)*IF(Upgrades!$T$9="Solar Wind",POWER(Upgrades!$U$9,H171),1)*IF(Upgrades!$T$10="Solar Wind",POWER(Upgrades!$U$10,I171),1)*IF(Upgrades!$T$11="Solar Wind",POWER(Upgrades!$U$11,J171),1)*IF(Upgrades!$T$12="Solar Wind",POWER(Upgrades!$U$12,K171),1))/AG171,0)</f>
        <v/>
      </c>
      <c r="AT171" s="32">
        <f>IFERROR(Upgrades!$H$7*(POWER(Upgrades!$P$6,E171)*POWER(Upgrades!$P$7,F171)*POWER(Upgrades!$P$8,G171)*POWER(Upgrades!$P$9,H171)*POWER(Upgrades!$P$10,I171)*POWER(Upgrades!$P$11,J171)*POWER(Upgrades!$P$12,K171))*(IF(Upgrades!$T$6="Asteroid Belt",POWER(Upgrades!$U$6,E171),1)*IF(Upgrades!$T$8="Asteroid Belt",POWER(Upgrades!$U$8,G171),1)*IF(Upgrades!$T$9="Asteroid Belt",POWER(Upgrades!$U$9,H171),1)*IF(Upgrades!$T$10="Asteroid Belt",POWER(Upgrades!$U$10,I171),1)*IF(Upgrades!$T$11="Asteroid Belt",POWER(Upgrades!$U$11,J171),1)*IF(Upgrades!$T$12="Asteroid Belt",POWER(Upgrades!$U$12,K171),1))/AH171,0)</f>
        <v/>
      </c>
      <c r="AU171" s="32">
        <f>IFERROR(Upgrades!$K$8*(POWER(Upgrades!$Q$6,E171)*POWER(Upgrades!$Q$7,F171)*POWER(Upgrades!$Q$8,G171)*POWER(Upgrades!$Q$9,H171)*POWER(Upgrades!$Q$10,I171)*POWER(Upgrades!$Q$11,J171)*POWER(Upgrades!$Q$12,K171))*(IF(Upgrades!$T$6="Stellar Coupling",POWER(Upgrades!$U$6,E171),1)*IF(Upgrades!$T$7="Stellar Coupling",POWER(Upgrades!$U$7,F171),1)*IF(Upgrades!$T$9="Stellar Coupling",POWER(Upgrades!$U$9,H171),1)*IF(Upgrades!$T$10="Stellar Coupling",POWER(Upgrades!$U$10,I171),1)*IF(Upgrades!$T$11="Stellar Coupling",POWER(Upgrades!$U$11,J171),1)*IF(Upgrades!$T$12="Stellar Coupling",POWER(Upgrades!$U$12,K171),1))*Parameters!$B$10*Parameters!$B$11/60/AI171,0)</f>
        <v/>
      </c>
      <c r="AV171" s="32">
        <f>IFERROR(Upgrades!$H$9*(POWER(Upgrades!$P$6,E171)*POWER(Upgrades!$P$7,F171)*POWER(Upgrades!$P$8,G171)*POWER(Upgrades!$P$9,H171)*POWER(Upgrades!$P$10,I171)*POWER(Upgrades!$P$11,J171)*POWER(Upgrades!$P$12,K171))*(IF(Upgrades!$T$6="Magnetosphere",POWER(Upgrades!$U$6,E171),1)*IF(Upgrades!$T$7="Magnetosphere",POWER(Upgrades!$U$7,F171),1)*IF(Upgrades!$T$8="Magnetosphere",POWER(Upgrades!$U$8,G171),1)*IF(Upgrades!$T$10="Magnetosphere",POWER(Upgrades!$U$10,I171),1)*IF(Upgrades!$T$11="Magnetosphere",POWER(Upgrades!$U$11,J171),1)*IF(Upgrades!$T$12="Magnetosphere",POWER(Upgrades!$U$12,K171),1))/AJ171,0)</f>
        <v/>
      </c>
      <c r="AW171" s="32">
        <f>MAX(IF(I171&gt;0,0,IFERROR(0.25*N171/Upgrades!$C$10,0)),IF(J171&gt;0,0,IFERROR(0.5*((IF(G171=0,0,(Upgrades!$J$8+G171*Upgrades!$K$8)*POWER(Upgrades!$L$8,G171)))*(IF(Upgrades!$T$6="Stellar Coupling",POWER(Upgrades!$U$6,E171),1)*IF(Upgrades!$T$7="Stellar Coupling",POWER(Upgrades!$U$7,F171),1)*IF(Upgrades!$T$9="Stellar Coupling",POWER(Upgrades!$U$9,H171),1)*IF(Upgrades!$T$10="Stellar Coupling",POWER(Upgrades!$U$10,I171),1)*IF(Upgrades!$T$11="Stellar Coupling",POWER(Upgrades!$U$11,J171),1)*IF(Upgrades!$T$12="Stellar Coupling",POWER(Upgrades!$U$12,K171),1))*(POWER(Upgrades!$Q$6,E171)*POWER(Upgrades!$Q$7,F171)*POWER(Upgrades!$Q$8,G171)*POWER(Upgrades!$Q$9,H171)*POWER(Upgrades!$Q$10,I171)*POWER(Upgrades!$Q$11,J171)*POWER(Upgrades!$Q$12,K171))*Parameters!$B$10*Parameters!$B$11/60)/Upgrades!$C$11,0)),IF(K171&gt;0,0,IFERROR((1.0*(POWER(Upgrades!$P$6,E171)*POWER(Upgrades!$P$7,F171)*POWER(Upgrades!$P$8,G171)*POWER(Upgrades!$P$9,H171)*POWER(Upgrades!$P$10,I171)*POWER(Upgrades!$P$11,J171)*POWER(Upgrades!$P$12,K171))+0.20*M171*Parameters!$B$10*Parameters!$B$11/60)/Upgrades!$C$12,0)),IF(AND(ISNUMBER(AG171),AG171&gt;T171),AS171,0),IF(AND(ISNUMBER(AH171),AH171&gt;T171),AT171,0),IF(AND(ISNUMBER(AI171),AI171&gt;T171),AU171,0),IF(AND(ISNUMBER(AJ171),AJ171&gt;T171),AV171,0))</f>
        <v/>
      </c>
      <c r="AX171" s="29">
        <f>IF(AN171=1,"transition",IF(MIN(IF(AND(I171=0,ISNUMBER(AK171),AK171&lt;=T171),AK171,9E15),IF(AND(J171=0,ISNUMBER(AL171),AL171&lt;=T171),AL171,9E15),IF(AND(K171=0,ISNUMBER(AM171),AM171&lt;=T171),AM171,9E15))&lt;9E15,IF(AND(AND(I171=0,ISNUMBER(AK171),AK171&lt;=T171),AK171=MIN(IF(AND(I171=0,ISNUMBER(AK171),AK171&lt;=T171),AK171,9E15),IF(AND(J171=0,ISNUMBER(AL171),AL171&lt;=T171),AL171,9E15),IF(AND(K171=0,ISNUMBER(AM171),AM171&lt;=T171),AM171,9E15))),"OR",IF(AND(AND(J171=0,ISNUMBER(AL171),AL171&lt;=T171),AL171=MIN(IF(AND(I171=0,ISNUMBER(AK171),AK171&lt;=T171),AK171,9E15),IF(AND(J171=0,ISNUMBER(AL171),AL171&lt;=T171),AL171,9E15),IF(AND(K171=0,ISNUMBER(AM171),AM171&lt;=T171),AM171,9E15))),"HP","FP")),IF(AR171=TRUE,"",IF(MAX(IF(AND(NOT(AND(AO171=1,AN171&lt;&gt;1)),ISNUMBER(AG171),AG171&lt;=T171),AS171,0),IF(AND(NOT(AND(AO171=1,AN171&lt;&gt;1)),ISNUMBER(AH171),AH171&lt;=T171),AT171,0),IF(AND(NOT(AND(AO171=1,AN171&lt;&gt;1)),ISNUMBER(AI171),AI171&lt;=T171),AU171,0),IF(AND(ISNUMBER(AJ171),AJ171&lt;=T171),AV171,0))&lt;=0,"",IF(AND(IF(AND(NOT(AND(AO171=1,AN171&lt;&gt;1)),ISNUMBER(AG171),AG171&lt;=T171),AS171,0)&gt;0,IF(AND(NOT(AND(AO171=1,AN171&lt;&gt;1)),ISNUMBER(AG171),AG171&lt;=T171),AS171,0)=MAX(IF(AND(NOT(AND(AO171=1,AN171&lt;&gt;1)),ISNUMBER(AG171),AG171&lt;=T171),AS171,0),IF(AND(NOT(AND(AO171=1,AN171&lt;&gt;1)),ISNUMBER(AH171),AH171&lt;=T171),AT171,0),IF(AND(NOT(AND(AO171=1,AN171&lt;&gt;1)),ISNUMBER(AI171),AI171&lt;=T171),AU171,0),IF(AND(ISNUMBER(AJ171),AJ171&lt;=T171),AV171,0))),"SW",IF(AND(IF(AND(NOT(AND(AO171=1,AN171&lt;&gt;1)),ISNUMBER(AH171),AH171&lt;=T171),AT171,0)&gt;0,IF(AND(NOT(AND(AO171=1,AN171&lt;&gt;1)),ISNUMBER(AH171),AH171&lt;=T171),AT171,0)=MAX(IF(AND(NOT(AND(AO171=1,AN171&lt;&gt;1)),ISNUMBER(AG171),AG171&lt;=T171),AS171,0),IF(AND(NOT(AND(AO171=1,AN171&lt;&gt;1)),ISNUMBER(AH171),AH171&lt;=T171),AT171,0),IF(AND(NOT(AND(AO171=1,AN171&lt;&gt;1)),ISNUMBER(AI171),AI171&lt;=T171),AU171,0),IF(AND(ISNUMBER(AJ171),AJ171&lt;=T171),AV171,0))),"AB",IF(AND(IF(AND(NOT(AND(AO171=1,AN171&lt;&gt;1)),ISNUMBER(AI171),AI171&lt;=T171),AU171,0)&gt;0,IF(AND(NOT(AND(AO171=1,AN171&lt;&gt;1)),ISNUMBER(AI171),AI171&lt;=T171),AU171,0)=MAX(IF(AND(NOT(AND(AO171=1,AN171&lt;&gt;1)),ISNUMBER(AG171),AG171&lt;=T171),AS171,0),IF(AND(NOT(AND(AO171=1,AN171&lt;&gt;1)),ISNUMBER(AH171),AH171&lt;=T171),AT171,0),IF(AND(NOT(AND(AO171=1,AN171&lt;&gt;1)),ISNUMBER(AI171),AI171&lt;=T171),AU171,0),IF(AND(ISNUMBER(AJ171),AJ171&lt;=T171),AV171,0))),"SC","Mag")))))))</f>
        <v/>
      </c>
    </row>
    <row r="172">
      <c r="A172" s="26" t="n">
        <v>167</v>
      </c>
      <c r="B172" s="27">
        <f>A172*10/60</f>
        <v/>
      </c>
      <c r="C172" s="22">
        <f>X171</f>
        <v/>
      </c>
      <c r="D172" s="27">
        <f>D171+W171</f>
        <v/>
      </c>
      <c r="E172" s="26">
        <f>E171+IF(U171="SW",1,0)</f>
        <v/>
      </c>
      <c r="F172" s="26">
        <f>F171+IF(U171="AB",1,0)</f>
        <v/>
      </c>
      <c r="G172" s="26">
        <f>G171+IF(U171="SC",1,0)</f>
        <v/>
      </c>
      <c r="H172" s="26">
        <f>H171+IF(U171="Mag",1,0)</f>
        <v/>
      </c>
      <c r="I172" s="26">
        <f>MAX(I171,IF(U171="OR",1,0))</f>
        <v/>
      </c>
      <c r="J172" s="26">
        <f>MAX(J171,IF(U171="HP",1,0))</f>
        <v/>
      </c>
      <c r="K172" s="26">
        <f>MAX(K171,IF(U171="FP",1,0))</f>
        <v/>
      </c>
      <c r="L172" s="26">
        <f>MAX(L171,IF(U171="transition",1,0))</f>
        <v/>
      </c>
      <c r="M172" s="28">
        <f>(Parameters!$B$9+(IF(E172=0,0,(Upgrades!$J$6+E172*Upgrades!$K$6)*POWER(Upgrades!$L$6,E172)))*(IF(Upgrades!$T$7="Solar Wind",POWER(Upgrades!$U$7,F172),1)*IF(Upgrades!$T$8="Solar Wind",POWER(Upgrades!$U$8,G172),1)*IF(Upgrades!$T$9="Solar Wind",POWER(Upgrades!$U$9,H172),1)*IF(Upgrades!$T$10="Solar Wind",POWER(Upgrades!$U$10,I172),1)*IF(Upgrades!$T$11="Solar Wind",POWER(Upgrades!$U$11,J172),1)*IF(Upgrades!$T$12="Solar Wind",POWER(Upgrades!$U$12,K172),1))+(IF(F172=0,0,(Upgrades!$J$7+F172*Upgrades!$K$7)*POWER(Upgrades!$L$7,F172)))*(IF(Upgrades!$T$6="Asteroid Belt",POWER(Upgrades!$U$6,E172),1)*IF(Upgrades!$T$8="Asteroid Belt",POWER(Upgrades!$U$8,G172),1)*IF(Upgrades!$T$9="Asteroid Belt",POWER(Upgrades!$U$9,H172),1)*IF(Upgrades!$T$10="Asteroid Belt",POWER(Upgrades!$U$10,I172),1)*IF(Upgrades!$T$11="Asteroid Belt",POWER(Upgrades!$U$11,J172),1)*IF(Upgrades!$T$12="Asteroid Belt",POWER(Upgrades!$U$12,K172),1))+(IF(G172=0,0,(Upgrades!$J$8+G172*Upgrades!$K$8)*POWER(Upgrades!$L$8,G172)))*(IF(Upgrades!$T$6="Stellar Coupling",POWER(Upgrades!$U$6,E172),1)*IF(Upgrades!$T$7="Stellar Coupling",POWER(Upgrades!$U$7,F172),1)*IF(Upgrades!$T$9="Stellar Coupling",POWER(Upgrades!$U$9,H172),1)*IF(Upgrades!$T$10="Stellar Coupling",POWER(Upgrades!$U$10,I172),1)*IF(Upgrades!$T$11="Stellar Coupling",POWER(Upgrades!$U$11,J172),1)*IF(Upgrades!$T$12="Stellar Coupling",POWER(Upgrades!$U$12,K172),1))+(IF(H172=0,0,(Upgrades!$J$9+H172*Upgrades!$K$9)*POWER(Upgrades!$L$9,H172)))*(IF(Upgrades!$T$6="Magnetosphere",POWER(Upgrades!$U$6,E172),1)*IF(Upgrades!$T$7="Magnetosphere",POWER(Upgrades!$U$7,F172),1)*IF(Upgrades!$T$8="Magnetosphere",POWER(Upgrades!$U$8,G172),1)*IF(Upgrades!$T$10="Magnetosphere",POWER(Upgrades!$U$10,I172),1)*IF(Upgrades!$T$11="Magnetosphere",POWER(Upgrades!$U$11,J172),1)*IF(Upgrades!$T$12="Magnetosphere",POWER(Upgrades!$U$12,K172),1))+(IF(I172=0,0,(Upgrades!$J$10+I172*Upgrades!$K$10)*POWER(Upgrades!$L$10,I172)))*(IF(Upgrades!$T$6="Orbital Resonance",POWER(Upgrades!$U$6,E172),1)*IF(Upgrades!$T$7="Orbital Resonance",POWER(Upgrades!$U$7,F172),1)*IF(Upgrades!$T$8="Orbital Resonance",POWER(Upgrades!$U$8,G172),1)*IF(Upgrades!$T$9="Orbital Resonance",POWER(Upgrades!$U$9,H172),1)*IF(Upgrades!$T$11="Orbital Resonance",POWER(Upgrades!$U$11,J172),1)*IF(Upgrades!$T$12="Orbital Resonance",POWER(Upgrades!$U$12,K172),1))+(IF(J172=0,0,(Upgrades!$J$11+J172*Upgrades!$K$11)*POWER(Upgrades!$L$11,J172)))*(IF(Upgrades!$T$6="Heliopause",POWER(Upgrades!$U$6,E172),1)*IF(Upgrades!$T$7="Heliopause",POWER(Upgrades!$U$7,F172),1)*IF(Upgrades!$T$8="Heliopause",POWER(Upgrades!$U$8,G172),1)*IF(Upgrades!$T$9="Heliopause",POWER(Upgrades!$U$9,H172),1)*IF(Upgrades!$T$10="Heliopause",POWER(Upgrades!$U$10,I172),1)*IF(Upgrades!$T$12="Heliopause",POWER(Upgrades!$U$12,K172),1))+(IF(K172=0,0,(Upgrades!$J$12+K172*Upgrades!$K$12)*POWER(Upgrades!$L$12,K172)))*(IF(Upgrades!$T$6="First Photons",POWER(Upgrades!$U$6,E172),1)*IF(Upgrades!$T$7="First Photons",POWER(Upgrades!$U$7,F172),1)*IF(Upgrades!$T$8="First Photons",POWER(Upgrades!$U$8,G172),1)*IF(Upgrades!$T$9="First Photons",POWER(Upgrades!$U$9,H172),1)*IF(Upgrades!$T$10="First Photons",POWER(Upgrades!$U$10,I172),1)*IF(Upgrades!$T$11="First Photons",POWER(Upgrades!$U$11,J172),1)))*POWER(Upgrades!$Q$6,E172)*POWER(Upgrades!$Q$7,F172)*POWER(Upgrades!$Q$8,G172)*POWER(Upgrades!$Q$9,H172)*POWER(Upgrades!$Q$10,I172)*POWER(Upgrades!$Q$11,J172)*POWER(Upgrades!$Q$12,K172)</f>
        <v/>
      </c>
      <c r="N172" s="28">
        <f>((IF(E172=0,0,(Upgrades!$G$6+E172*Upgrades!$H$6)*POWER(Upgrades!$I$6,E172)))*(IF(Upgrades!$T$7="Solar Wind",POWER(Upgrades!$U$7,F172),1)*IF(Upgrades!$T$8="Solar Wind",POWER(Upgrades!$U$8,G172),1)*IF(Upgrades!$T$9="Solar Wind",POWER(Upgrades!$U$9,H172),1)*IF(Upgrades!$T$10="Solar Wind",POWER(Upgrades!$U$10,I172),1)*IF(Upgrades!$T$11="Solar Wind",POWER(Upgrades!$U$11,J172),1)*IF(Upgrades!$T$12="Solar Wind",POWER(Upgrades!$U$12,K172),1))+(IF(F172=0,0,(Upgrades!$G$7+F172*Upgrades!$H$7)*POWER(Upgrades!$I$7,F172)))*(IF(Upgrades!$T$6="Asteroid Belt",POWER(Upgrades!$U$6,E172),1)*IF(Upgrades!$T$8="Asteroid Belt",POWER(Upgrades!$U$8,G172),1)*IF(Upgrades!$T$9="Asteroid Belt",POWER(Upgrades!$U$9,H172),1)*IF(Upgrades!$T$10="Asteroid Belt",POWER(Upgrades!$U$10,I172),1)*IF(Upgrades!$T$11="Asteroid Belt",POWER(Upgrades!$U$11,J172),1)*IF(Upgrades!$T$12="Asteroid Belt",POWER(Upgrades!$U$12,K172),1))+(IF(G172=0,0,(Upgrades!$G$8+G172*Upgrades!$H$8)*POWER(Upgrades!$I$8,G172)))*(IF(Upgrades!$T$6="Stellar Coupling",POWER(Upgrades!$U$6,E172),1)*IF(Upgrades!$T$7="Stellar Coupling",POWER(Upgrades!$U$7,F172),1)*IF(Upgrades!$T$9="Stellar Coupling",POWER(Upgrades!$U$9,H172),1)*IF(Upgrades!$T$10="Stellar Coupling",POWER(Upgrades!$U$10,I172),1)*IF(Upgrades!$T$11="Stellar Coupling",POWER(Upgrades!$U$11,J172),1)*IF(Upgrades!$T$12="Stellar Coupling",POWER(Upgrades!$U$12,K172),1))+(IF(H172=0,0,(Upgrades!$G$9+H172*Upgrades!$H$9)*POWER(Upgrades!$I$9,H172)))*(IF(Upgrades!$T$6="Magnetosphere",POWER(Upgrades!$U$6,E172),1)*IF(Upgrades!$T$7="Magnetosphere",POWER(Upgrades!$U$7,F172),1)*IF(Upgrades!$T$8="Magnetosphere",POWER(Upgrades!$U$8,G172),1)*IF(Upgrades!$T$10="Magnetosphere",POWER(Upgrades!$U$10,I172),1)*IF(Upgrades!$T$11="Magnetosphere",POWER(Upgrades!$U$11,J172),1)*IF(Upgrades!$T$12="Magnetosphere",POWER(Upgrades!$U$12,K172),1))+(IF(I172=0,0,(Upgrades!$G$10+I172*Upgrades!$H$10)*POWER(Upgrades!$I$10,I172)))*(IF(Upgrades!$T$6="Orbital Resonance",POWER(Upgrades!$U$6,E172),1)*IF(Upgrades!$T$7="Orbital Resonance",POWER(Upgrades!$U$7,F172),1)*IF(Upgrades!$T$8="Orbital Resonance",POWER(Upgrades!$U$8,G172),1)*IF(Upgrades!$T$9="Orbital Resonance",POWER(Upgrades!$U$9,H172),1)*IF(Upgrades!$T$11="Orbital Resonance",POWER(Upgrades!$U$11,J172),1)*IF(Upgrades!$T$12="Orbital Resonance",POWER(Upgrades!$U$12,K172),1))+(IF(J172=0,0,(Upgrades!$G$11+J172*Upgrades!$H$11)*POWER(Upgrades!$I$11,J172)))*(IF(Upgrades!$T$6="Heliopause",POWER(Upgrades!$U$6,E172),1)*IF(Upgrades!$T$7="Heliopause",POWER(Upgrades!$U$7,F172),1)*IF(Upgrades!$T$8="Heliopause",POWER(Upgrades!$U$8,G172),1)*IF(Upgrades!$T$9="Heliopause",POWER(Upgrades!$U$9,H172),1)*IF(Upgrades!$T$10="Heliopause",POWER(Upgrades!$U$10,I172),1)*IF(Upgrades!$T$12="Heliopause",POWER(Upgrades!$U$12,K172),1))+(IF(K172=0,0,(Upgrades!$G$12+K172*Upgrades!$H$12)*POWER(Upgrades!$I$12,K172)))*(IF(Upgrades!$T$6="First Photons",POWER(Upgrades!$U$6,E172),1)*IF(Upgrades!$T$7="First Photons",POWER(Upgrades!$U$7,F172),1)*IF(Upgrades!$T$8="First Photons",POWER(Upgrades!$U$8,G172),1)*IF(Upgrades!$T$9="First Photons",POWER(Upgrades!$U$9,H172),1)*IF(Upgrades!$T$10="First Photons",POWER(Upgrades!$U$10,I172),1)*IF(Upgrades!$T$11="First Photons",POWER(Upgrades!$U$11,J172),1)))*POWER(Upgrades!$P$6,E172)*POWER(Upgrades!$P$7,F172)*POWER(Upgrades!$P$8,G172)*POWER(Upgrades!$P$9,H172)*POWER(Upgrades!$P$10,I172)*POWER(Upgrades!$P$11,J172)*POWER(Upgrades!$P$12,K172)</f>
        <v/>
      </c>
      <c r="O172" s="28">
        <f>((IF(E172=0,0,(Upgrades!$M$6+E172*Upgrades!$N$6)*POWER(Upgrades!$O$6,E172)))*(IF(Upgrades!$T$7="Solar Wind",POWER(Upgrades!$U$7,F172),1)*IF(Upgrades!$T$8="Solar Wind",POWER(Upgrades!$U$8,G172),1)*IF(Upgrades!$T$9="Solar Wind",POWER(Upgrades!$U$9,H172),1)*IF(Upgrades!$T$10="Solar Wind",POWER(Upgrades!$U$10,I172),1)*IF(Upgrades!$T$11="Solar Wind",POWER(Upgrades!$U$11,J172),1)*IF(Upgrades!$T$12="Solar Wind",POWER(Upgrades!$U$12,K172),1))+(IF(F172=0,0,(Upgrades!$M$7+F172*Upgrades!$N$7)*POWER(Upgrades!$O$7,F172)))*(IF(Upgrades!$T$6="Asteroid Belt",POWER(Upgrades!$U$6,E172),1)*IF(Upgrades!$T$8="Asteroid Belt",POWER(Upgrades!$U$8,G172),1)*IF(Upgrades!$T$9="Asteroid Belt",POWER(Upgrades!$U$9,H172),1)*IF(Upgrades!$T$10="Asteroid Belt",POWER(Upgrades!$U$10,I172),1)*IF(Upgrades!$T$11="Asteroid Belt",POWER(Upgrades!$U$11,J172),1)*IF(Upgrades!$T$12="Asteroid Belt",POWER(Upgrades!$U$12,K172),1))+(IF(G172=0,0,(Upgrades!$M$8+G172*Upgrades!$N$8)*POWER(Upgrades!$O$8,G172)))*(IF(Upgrades!$T$6="Stellar Coupling",POWER(Upgrades!$U$6,E172),1)*IF(Upgrades!$T$7="Stellar Coupling",POWER(Upgrades!$U$7,F172),1)*IF(Upgrades!$T$9="Stellar Coupling",POWER(Upgrades!$U$9,H172),1)*IF(Upgrades!$T$10="Stellar Coupling",POWER(Upgrades!$U$10,I172),1)*IF(Upgrades!$T$11="Stellar Coupling",POWER(Upgrades!$U$11,J172),1)*IF(Upgrades!$T$12="Stellar Coupling",POWER(Upgrades!$U$12,K172),1))+(IF(H172=0,0,(Upgrades!$M$9+H172*Upgrades!$N$9)*POWER(Upgrades!$O$9,H172)))*(IF(Upgrades!$T$6="Magnetosphere",POWER(Upgrades!$U$6,E172),1)*IF(Upgrades!$T$7="Magnetosphere",POWER(Upgrades!$U$7,F172),1)*IF(Upgrades!$T$8="Magnetosphere",POWER(Upgrades!$U$8,G172),1)*IF(Upgrades!$T$10="Magnetosphere",POWER(Upgrades!$U$10,I172),1)*IF(Upgrades!$T$11="Magnetosphere",POWER(Upgrades!$U$11,J172),1)*IF(Upgrades!$T$12="Magnetosphere",POWER(Upgrades!$U$12,K172),1))+(IF(I172=0,0,(Upgrades!$M$10+I172*Upgrades!$N$10)*POWER(Upgrades!$O$10,I172)))*(IF(Upgrades!$T$6="Orbital Resonance",POWER(Upgrades!$U$6,E172),1)*IF(Upgrades!$T$7="Orbital Resonance",POWER(Upgrades!$U$7,F172),1)*IF(Upgrades!$T$8="Orbital Resonance",POWER(Upgrades!$U$8,G172),1)*IF(Upgrades!$T$9="Orbital Resonance",POWER(Upgrades!$U$9,H172),1)*IF(Upgrades!$T$11="Orbital Resonance",POWER(Upgrades!$U$11,J172),1)*IF(Upgrades!$T$12="Orbital Resonance",POWER(Upgrades!$U$12,K172),1))+(IF(J172=0,0,(Upgrades!$M$11+J172*Upgrades!$N$11)*POWER(Upgrades!$O$11,J172)))*(IF(Upgrades!$T$6="Heliopause",POWER(Upgrades!$U$6,E172),1)*IF(Upgrades!$T$7="Heliopause",POWER(Upgrades!$U$7,F172),1)*IF(Upgrades!$T$8="Heliopause",POWER(Upgrades!$U$8,G172),1)*IF(Upgrades!$T$9="Heliopause",POWER(Upgrades!$U$9,H172),1)*IF(Upgrades!$T$10="Heliopause",POWER(Upgrades!$U$10,I172),1)*IF(Upgrades!$T$12="Heliopause",POWER(Upgrades!$U$12,K172),1))+(IF(K172=0,0,(Upgrades!$M$12+K172*Upgrades!$N$12)*POWER(Upgrades!$O$12,K172)))*(IF(Upgrades!$T$6="First Photons",POWER(Upgrades!$U$6,E172),1)*IF(Upgrades!$T$7="First Photons",POWER(Upgrades!$U$7,F172),1)*IF(Upgrades!$T$8="First Photons",POWER(Upgrades!$U$8,G172),1)*IF(Upgrades!$T$9="First Photons",POWER(Upgrades!$U$9,H172),1)*IF(Upgrades!$T$10="First Photons",POWER(Upgrades!$U$10,I172),1)*IF(Upgrades!$T$11="First Photons",POWER(Upgrades!$U$11,J172),1)))*POWER(Upgrades!$R$6,E172)*POWER(Upgrades!$R$7,F172)*POWER(Upgrades!$R$8,G172)*POWER(Upgrades!$R$9,H172)*POWER(Upgrades!$R$10,I172)*POWER(Upgrades!$R$11,J172)*POWER(Upgrades!$R$12,K172)</f>
        <v/>
      </c>
      <c r="P172" s="27">
        <f>IF(L172=1,0,M172*Parameters!$B$10/60*Parameters!$B$11*10)</f>
        <v/>
      </c>
      <c r="Q172" s="27">
        <f>IF(L172=1,0,O172*M172*10)</f>
        <v/>
      </c>
      <c r="R172" s="27">
        <f>IF(L172=1,0,N172*10)</f>
        <v/>
      </c>
      <c r="S172" s="27">
        <f>P172+Q172+R172</f>
        <v/>
      </c>
      <c r="T172" s="22">
        <f>C172+S172</f>
        <v/>
      </c>
      <c r="U172" s="33">
        <f>AX172</f>
        <v/>
      </c>
      <c r="V172" s="22">
        <f>IF(U172="",0,IF(U172="transition",0,IF(U172="SW",AG172,IF(U172="AB",AH172,IF(U172="SC",AI172,IF(U172="Mag",AJ172,IF(U172="OR",AK172,IF(U172="HP",AL172,IF(U172="FP",AM172,0)))))))))</f>
        <v/>
      </c>
      <c r="W172" s="27">
        <f>IF(U172="OR",Upgrades!$F$10,IF(U172="HP",Upgrades!$F$11,IF(U172="transition",-Parameters!$B$18,0)))</f>
        <v/>
      </c>
      <c r="X172" s="22">
        <f>T172-V172</f>
        <v/>
      </c>
      <c r="Y172" s="30">
        <f>M172*Parameters!$B$10/60*Parameters!$B$11+O172*M172+N172</f>
        <v/>
      </c>
      <c r="Z172" s="34">
        <f>IF(U172="transition","→ Tier 2 (Stellar Neighborhood)",IF(U172="FP","First Photons — light begins, system quickens",IF(U172="HP","Heliopause acquired",IF(U172="OR","Orbital Resonance — passive multiplier active",IF(AND(AO172=1,L172=0,AN172&lt;&gt;1),"Cohesion ready (waiting on completionist upgrades)","")))))</f>
        <v/>
      </c>
      <c r="AA172" s="27">
        <f>(IF(E172=0,0,(Upgrades!$G$6+E172*Upgrades!$H$6)*POWER(Upgrades!$I$6,E172)))*(IF(Upgrades!$T$7="Solar Wind",POWER(Upgrades!$U$7,F172),1)*IF(Upgrades!$T$8="Solar Wind",POWER(Upgrades!$U$8,G172),1)*IF(Upgrades!$T$9="Solar Wind",POWER(Upgrades!$U$9,H172),1)*IF(Upgrades!$T$10="Solar Wind",POWER(Upgrades!$U$10,I172),1)*IF(Upgrades!$T$11="Solar Wind",POWER(Upgrades!$U$11,J172),1)*IF(Upgrades!$T$12="Solar Wind",POWER(Upgrades!$U$12,K172),1))*POWER(Upgrades!$P$6,E172)*POWER(Upgrades!$P$7,F172)*POWER(Upgrades!$P$8,G172)*POWER(Upgrades!$P$9,H172)*POWER(Upgrades!$P$10,I172)*POWER(Upgrades!$P$11,J172)*POWER(Upgrades!$P$12,K172)*60</f>
        <v/>
      </c>
      <c r="AB172" s="27">
        <f>(IF(F172=0,0,(Upgrades!$G$7+F172*Upgrades!$H$7)*POWER(Upgrades!$I$7,F172)))*(IF(Upgrades!$T$6="Asteroid Belt",POWER(Upgrades!$U$6,E172),1)*IF(Upgrades!$T$8="Asteroid Belt",POWER(Upgrades!$U$8,G172),1)*IF(Upgrades!$T$9="Asteroid Belt",POWER(Upgrades!$U$9,H172),1)*IF(Upgrades!$T$10="Asteroid Belt",POWER(Upgrades!$U$10,I172),1)*IF(Upgrades!$T$11="Asteroid Belt",POWER(Upgrades!$U$11,J172),1)*IF(Upgrades!$T$12="Asteroid Belt",POWER(Upgrades!$U$12,K172),1))*POWER(Upgrades!$P$6,E172)*POWER(Upgrades!$P$7,F172)*POWER(Upgrades!$P$8,G172)*POWER(Upgrades!$P$9,H172)*POWER(Upgrades!$P$10,I172)*POWER(Upgrades!$P$11,J172)*POWER(Upgrades!$P$12,K172)*60</f>
        <v/>
      </c>
      <c r="AC172" s="27">
        <f>(IF(G172=0,0,(Upgrades!$J$8+G172*Upgrades!$K$8)*POWER(Upgrades!$L$8,G172)))*(IF(Upgrades!$T$6="Stellar Coupling",POWER(Upgrades!$U$6,E172),1)*IF(Upgrades!$T$7="Stellar Coupling",POWER(Upgrades!$U$7,F172),1)*IF(Upgrades!$T$9="Stellar Coupling",POWER(Upgrades!$U$9,H172),1)*IF(Upgrades!$T$10="Stellar Coupling",POWER(Upgrades!$U$10,I172),1)*IF(Upgrades!$T$11="Stellar Coupling",POWER(Upgrades!$U$11,J172),1)*IF(Upgrades!$T$12="Stellar Coupling",POWER(Upgrades!$U$12,K172),1))*POWER(Upgrades!$Q$6,E172)*POWER(Upgrades!$Q$7,F172)*POWER(Upgrades!$Q$8,G172)*POWER(Upgrades!$Q$9,H172)*POWER(Upgrades!$Q$10,I172)*POWER(Upgrades!$Q$11,J172)*POWER(Upgrades!$Q$12,K172)*Parameters!$B$10*Parameters!$B$11</f>
        <v/>
      </c>
      <c r="AD172" s="27">
        <f>(IF(H172=0,0,(Upgrades!$G$9+H172*Upgrades!$H$9)*POWER(Upgrades!$I$9,H172)))*(IF(Upgrades!$T$6="Magnetosphere",POWER(Upgrades!$U$6,E172),1)*IF(Upgrades!$T$7="Magnetosphere",POWER(Upgrades!$U$7,F172),1)*IF(Upgrades!$T$8="Magnetosphere",POWER(Upgrades!$U$8,G172),1)*IF(Upgrades!$T$10="Magnetosphere",POWER(Upgrades!$U$10,I172),1)*IF(Upgrades!$T$11="Magnetosphere",POWER(Upgrades!$U$11,J172),1)*IF(Upgrades!$T$12="Magnetosphere",POWER(Upgrades!$U$12,K172),1))*POWER(Upgrades!$P$6,E172)*POWER(Upgrades!$P$7,F172)*POWER(Upgrades!$P$8,G172)*POWER(Upgrades!$P$9,H172)*POWER(Upgrades!$P$10,I172)*POWER(Upgrades!$P$11,J172)*POWER(Upgrades!$P$12,K172)*60</f>
        <v/>
      </c>
      <c r="AE172" s="27">
        <f>(IF(K172=0,0,(Upgrades!$G$12+K172*Upgrades!$H$12)*POWER(Upgrades!$I$12,K172)))*(IF(Upgrades!$T$6="First Photons",POWER(Upgrades!$U$6,E172),1)*IF(Upgrades!$T$7="First Photons",POWER(Upgrades!$U$7,F172),1)*IF(Upgrades!$T$8="First Photons",POWER(Upgrades!$U$8,G172),1)*IF(Upgrades!$T$9="First Photons",POWER(Upgrades!$U$9,H172),1)*IF(Upgrades!$T$10="First Photons",POWER(Upgrades!$U$10,I172),1)*IF(Upgrades!$T$11="First Photons",POWER(Upgrades!$U$11,J172),1))*POWER(Upgrades!$P$6,E172)*POWER(Upgrades!$P$7,F172)*POWER(Upgrades!$P$8,G172)*POWER(Upgrades!$P$9,H172)*POWER(Upgrades!$P$10,I172)*POWER(Upgrades!$P$11,J172)*POWER(Upgrades!$P$12,K172)*60</f>
        <v/>
      </c>
      <c r="AF172" s="27">
        <f>Parameters!$B$9*POWER(Upgrades!$Q$6,E172)*POWER(Upgrades!$Q$7,F172)*POWER(Upgrades!$Q$8,G172)*POWER(Upgrades!$Q$9,H172)*POWER(Upgrades!$Q$10,I172)*POWER(Upgrades!$Q$11,J172)*POWER(Upgrades!$Q$12,K172)*(Parameters!$B$10*Parameters!$B$11+O172*60)</f>
        <v/>
      </c>
      <c r="AG172" s="22">
        <f>IF(E172&gt;=Upgrades!$E$6,"",Upgrades!$C$6*POWER(Upgrades!$D$6,E172))</f>
        <v/>
      </c>
      <c r="AH172" s="22">
        <f>IF(F172&gt;=Upgrades!$E$7,"",Upgrades!$C$7*POWER(Upgrades!$D$7,F172))</f>
        <v/>
      </c>
      <c r="AI172" s="22">
        <f>IF(G172&gt;=Upgrades!$E$8,"",Upgrades!$C$8*POWER(Upgrades!$D$8,G172))</f>
        <v/>
      </c>
      <c r="AJ172" s="22">
        <f>IF(H172&gt;=Upgrades!$E$9,"",Upgrades!$C$9*POWER(Upgrades!$D$9,H172))</f>
        <v/>
      </c>
      <c r="AK172" s="22">
        <f>IF(I172&gt;=Upgrades!$E$10,"",Upgrades!$C$10*POWER(Upgrades!$D$10,I172))</f>
        <v/>
      </c>
      <c r="AL172" s="22">
        <f>IF(J172&gt;=Upgrades!$E$11,"",Upgrades!$C$11*POWER(Upgrades!$D$11,J172))</f>
        <v/>
      </c>
      <c r="AM172" s="22">
        <f>IF(K172&gt;=Upgrades!$E$12,"",Upgrades!$C$12*POWER(Upgrades!$D$12,K172))</f>
        <v/>
      </c>
      <c r="AN172" s="26">
        <f>IF(AND(D172&gt;=Parameters!$B$18,(H172&gt;=Upgrades!$E$9)*(K172&gt;=Upgrades!$E$12)=1,L172=0),1,"")</f>
        <v/>
      </c>
      <c r="AO172" s="26">
        <f>IF(AND(D172&gt;=Parameters!$B$18,L172=0),1,"")</f>
        <v/>
      </c>
      <c r="AP172" s="22">
        <f>MIN(IF(ISNUMBER(AK172),AK172,9E15),IF(ISNUMBER(AL172),AL172,9E15),IF(ISNUMBER(AM172),AM172,9E15))</f>
        <v/>
      </c>
      <c r="AQ172" s="22">
        <f>MIN(IF(ISNUMBER(AG172),AG172,9E15),IF(ISNUMBER(AH172),AH172,9E15),IF(ISNUMBER(AI172),AI172,9E15),IF(ISNUMBER(AJ172),AJ172,9E15))</f>
        <v/>
      </c>
      <c r="AR172" s="29">
        <f>IF(AW172&gt;Parameters!$B$21*(MAX(IF(AND(NOT(AND(AO172=1,AN172&lt;&gt;1)),ISNUMBER(AG172),AG172&lt;=T172),AS172,0),IF(AND(NOT(AND(AO172=1,AN172&lt;&gt;1)),ISNUMBER(AH172),AH172&lt;=T172),AT172,0),IF(AND(NOT(AND(AO172=1,AN172&lt;&gt;1)),ISNUMBER(AI172),AI172&lt;=T172),AU172,0),IF(AND(ISNUMBER(AJ172),AJ172&lt;=T172),AV172,0))),TRUE,FALSE)</f>
        <v/>
      </c>
      <c r="AS172" s="32">
        <f>IFERROR(Upgrades!$H$6*(POWER(Upgrades!$P$6,E172)*POWER(Upgrades!$P$7,F172)*POWER(Upgrades!$P$8,G172)*POWER(Upgrades!$P$9,H172)*POWER(Upgrades!$P$10,I172)*POWER(Upgrades!$P$11,J172)*POWER(Upgrades!$P$12,K172))*(IF(Upgrades!$T$7="Solar Wind",POWER(Upgrades!$U$7,F172),1)*IF(Upgrades!$T$8="Solar Wind",POWER(Upgrades!$U$8,G172),1)*IF(Upgrades!$T$9="Solar Wind",POWER(Upgrades!$U$9,H172),1)*IF(Upgrades!$T$10="Solar Wind",POWER(Upgrades!$U$10,I172),1)*IF(Upgrades!$T$11="Solar Wind",POWER(Upgrades!$U$11,J172),1)*IF(Upgrades!$T$12="Solar Wind",POWER(Upgrades!$U$12,K172),1))/AG172,0)</f>
        <v/>
      </c>
      <c r="AT172" s="32">
        <f>IFERROR(Upgrades!$H$7*(POWER(Upgrades!$P$6,E172)*POWER(Upgrades!$P$7,F172)*POWER(Upgrades!$P$8,G172)*POWER(Upgrades!$P$9,H172)*POWER(Upgrades!$P$10,I172)*POWER(Upgrades!$P$11,J172)*POWER(Upgrades!$P$12,K172))*(IF(Upgrades!$T$6="Asteroid Belt",POWER(Upgrades!$U$6,E172),1)*IF(Upgrades!$T$8="Asteroid Belt",POWER(Upgrades!$U$8,G172),1)*IF(Upgrades!$T$9="Asteroid Belt",POWER(Upgrades!$U$9,H172),1)*IF(Upgrades!$T$10="Asteroid Belt",POWER(Upgrades!$U$10,I172),1)*IF(Upgrades!$T$11="Asteroid Belt",POWER(Upgrades!$U$11,J172),1)*IF(Upgrades!$T$12="Asteroid Belt",POWER(Upgrades!$U$12,K172),1))/AH172,0)</f>
        <v/>
      </c>
      <c r="AU172" s="32">
        <f>IFERROR(Upgrades!$K$8*(POWER(Upgrades!$Q$6,E172)*POWER(Upgrades!$Q$7,F172)*POWER(Upgrades!$Q$8,G172)*POWER(Upgrades!$Q$9,H172)*POWER(Upgrades!$Q$10,I172)*POWER(Upgrades!$Q$11,J172)*POWER(Upgrades!$Q$12,K172))*(IF(Upgrades!$T$6="Stellar Coupling",POWER(Upgrades!$U$6,E172),1)*IF(Upgrades!$T$7="Stellar Coupling",POWER(Upgrades!$U$7,F172),1)*IF(Upgrades!$T$9="Stellar Coupling",POWER(Upgrades!$U$9,H172),1)*IF(Upgrades!$T$10="Stellar Coupling",POWER(Upgrades!$U$10,I172),1)*IF(Upgrades!$T$11="Stellar Coupling",POWER(Upgrades!$U$11,J172),1)*IF(Upgrades!$T$12="Stellar Coupling",POWER(Upgrades!$U$12,K172),1))*Parameters!$B$10*Parameters!$B$11/60/AI172,0)</f>
        <v/>
      </c>
      <c r="AV172" s="32">
        <f>IFERROR(Upgrades!$H$9*(POWER(Upgrades!$P$6,E172)*POWER(Upgrades!$P$7,F172)*POWER(Upgrades!$P$8,G172)*POWER(Upgrades!$P$9,H172)*POWER(Upgrades!$P$10,I172)*POWER(Upgrades!$P$11,J172)*POWER(Upgrades!$P$12,K172))*(IF(Upgrades!$T$6="Magnetosphere",POWER(Upgrades!$U$6,E172),1)*IF(Upgrades!$T$7="Magnetosphere",POWER(Upgrades!$U$7,F172),1)*IF(Upgrades!$T$8="Magnetosphere",POWER(Upgrades!$U$8,G172),1)*IF(Upgrades!$T$10="Magnetosphere",POWER(Upgrades!$U$10,I172),1)*IF(Upgrades!$T$11="Magnetosphere",POWER(Upgrades!$U$11,J172),1)*IF(Upgrades!$T$12="Magnetosphere",POWER(Upgrades!$U$12,K172),1))/AJ172,0)</f>
        <v/>
      </c>
      <c r="AW172" s="32">
        <f>MAX(IF(I172&gt;0,0,IFERROR(0.25*N172/Upgrades!$C$10,0)),IF(J172&gt;0,0,IFERROR(0.5*((IF(G172=0,0,(Upgrades!$J$8+G172*Upgrades!$K$8)*POWER(Upgrades!$L$8,G172)))*(IF(Upgrades!$T$6="Stellar Coupling",POWER(Upgrades!$U$6,E172),1)*IF(Upgrades!$T$7="Stellar Coupling",POWER(Upgrades!$U$7,F172),1)*IF(Upgrades!$T$9="Stellar Coupling",POWER(Upgrades!$U$9,H172),1)*IF(Upgrades!$T$10="Stellar Coupling",POWER(Upgrades!$U$10,I172),1)*IF(Upgrades!$T$11="Stellar Coupling",POWER(Upgrades!$U$11,J172),1)*IF(Upgrades!$T$12="Stellar Coupling",POWER(Upgrades!$U$12,K172),1))*(POWER(Upgrades!$Q$6,E172)*POWER(Upgrades!$Q$7,F172)*POWER(Upgrades!$Q$8,G172)*POWER(Upgrades!$Q$9,H172)*POWER(Upgrades!$Q$10,I172)*POWER(Upgrades!$Q$11,J172)*POWER(Upgrades!$Q$12,K172))*Parameters!$B$10*Parameters!$B$11/60)/Upgrades!$C$11,0)),IF(K172&gt;0,0,IFERROR((1.0*(POWER(Upgrades!$P$6,E172)*POWER(Upgrades!$P$7,F172)*POWER(Upgrades!$P$8,G172)*POWER(Upgrades!$P$9,H172)*POWER(Upgrades!$P$10,I172)*POWER(Upgrades!$P$11,J172)*POWER(Upgrades!$P$12,K172))+0.20*M172*Parameters!$B$10*Parameters!$B$11/60)/Upgrades!$C$12,0)),IF(AND(ISNUMBER(AG172),AG172&gt;T172),AS172,0),IF(AND(ISNUMBER(AH172),AH172&gt;T172),AT172,0),IF(AND(ISNUMBER(AI172),AI172&gt;T172),AU172,0),IF(AND(ISNUMBER(AJ172),AJ172&gt;T172),AV172,0))</f>
        <v/>
      </c>
      <c r="AX172" s="29">
        <f>IF(AN172=1,"transition",IF(MIN(IF(AND(I172=0,ISNUMBER(AK172),AK172&lt;=T172),AK172,9E15),IF(AND(J172=0,ISNUMBER(AL172),AL172&lt;=T172),AL172,9E15),IF(AND(K172=0,ISNUMBER(AM172),AM172&lt;=T172),AM172,9E15))&lt;9E15,IF(AND(AND(I172=0,ISNUMBER(AK172),AK172&lt;=T172),AK172=MIN(IF(AND(I172=0,ISNUMBER(AK172),AK172&lt;=T172),AK172,9E15),IF(AND(J172=0,ISNUMBER(AL172),AL172&lt;=T172),AL172,9E15),IF(AND(K172=0,ISNUMBER(AM172),AM172&lt;=T172),AM172,9E15))),"OR",IF(AND(AND(J172=0,ISNUMBER(AL172),AL172&lt;=T172),AL172=MIN(IF(AND(I172=0,ISNUMBER(AK172),AK172&lt;=T172),AK172,9E15),IF(AND(J172=0,ISNUMBER(AL172),AL172&lt;=T172),AL172,9E15),IF(AND(K172=0,ISNUMBER(AM172),AM172&lt;=T172),AM172,9E15))),"HP","FP")),IF(AR172=TRUE,"",IF(MAX(IF(AND(NOT(AND(AO172=1,AN172&lt;&gt;1)),ISNUMBER(AG172),AG172&lt;=T172),AS172,0),IF(AND(NOT(AND(AO172=1,AN172&lt;&gt;1)),ISNUMBER(AH172),AH172&lt;=T172),AT172,0),IF(AND(NOT(AND(AO172=1,AN172&lt;&gt;1)),ISNUMBER(AI172),AI172&lt;=T172),AU172,0),IF(AND(ISNUMBER(AJ172),AJ172&lt;=T172),AV172,0))&lt;=0,"",IF(AND(IF(AND(NOT(AND(AO172=1,AN172&lt;&gt;1)),ISNUMBER(AG172),AG172&lt;=T172),AS172,0)&gt;0,IF(AND(NOT(AND(AO172=1,AN172&lt;&gt;1)),ISNUMBER(AG172),AG172&lt;=T172),AS172,0)=MAX(IF(AND(NOT(AND(AO172=1,AN172&lt;&gt;1)),ISNUMBER(AG172),AG172&lt;=T172),AS172,0),IF(AND(NOT(AND(AO172=1,AN172&lt;&gt;1)),ISNUMBER(AH172),AH172&lt;=T172),AT172,0),IF(AND(NOT(AND(AO172=1,AN172&lt;&gt;1)),ISNUMBER(AI172),AI172&lt;=T172),AU172,0),IF(AND(ISNUMBER(AJ172),AJ172&lt;=T172),AV172,0))),"SW",IF(AND(IF(AND(NOT(AND(AO172=1,AN172&lt;&gt;1)),ISNUMBER(AH172),AH172&lt;=T172),AT172,0)&gt;0,IF(AND(NOT(AND(AO172=1,AN172&lt;&gt;1)),ISNUMBER(AH172),AH172&lt;=T172),AT172,0)=MAX(IF(AND(NOT(AND(AO172=1,AN172&lt;&gt;1)),ISNUMBER(AG172),AG172&lt;=T172),AS172,0),IF(AND(NOT(AND(AO172=1,AN172&lt;&gt;1)),ISNUMBER(AH172),AH172&lt;=T172),AT172,0),IF(AND(NOT(AND(AO172=1,AN172&lt;&gt;1)),ISNUMBER(AI172),AI172&lt;=T172),AU172,0),IF(AND(ISNUMBER(AJ172),AJ172&lt;=T172),AV172,0))),"AB",IF(AND(IF(AND(NOT(AND(AO172=1,AN172&lt;&gt;1)),ISNUMBER(AI172),AI172&lt;=T172),AU172,0)&gt;0,IF(AND(NOT(AND(AO172=1,AN172&lt;&gt;1)),ISNUMBER(AI172),AI172&lt;=T172),AU172,0)=MAX(IF(AND(NOT(AND(AO172=1,AN172&lt;&gt;1)),ISNUMBER(AG172),AG172&lt;=T172),AS172,0),IF(AND(NOT(AND(AO172=1,AN172&lt;&gt;1)),ISNUMBER(AH172),AH172&lt;=T172),AT172,0),IF(AND(NOT(AND(AO172=1,AN172&lt;&gt;1)),ISNUMBER(AI172),AI172&lt;=T172),AU172,0),IF(AND(ISNUMBER(AJ172),AJ172&lt;=T172),AV172,0))),"SC","Mag")))))))</f>
        <v/>
      </c>
    </row>
    <row r="173">
      <c r="A173" s="26" t="n">
        <v>168</v>
      </c>
      <c r="B173" s="27">
        <f>A173*10/60</f>
        <v/>
      </c>
      <c r="C173" s="22">
        <f>X172</f>
        <v/>
      </c>
      <c r="D173" s="27">
        <f>D172+W172</f>
        <v/>
      </c>
      <c r="E173" s="26">
        <f>E172+IF(U172="SW",1,0)</f>
        <v/>
      </c>
      <c r="F173" s="26">
        <f>F172+IF(U172="AB",1,0)</f>
        <v/>
      </c>
      <c r="G173" s="26">
        <f>G172+IF(U172="SC",1,0)</f>
        <v/>
      </c>
      <c r="H173" s="26">
        <f>H172+IF(U172="Mag",1,0)</f>
        <v/>
      </c>
      <c r="I173" s="26">
        <f>MAX(I172,IF(U172="OR",1,0))</f>
        <v/>
      </c>
      <c r="J173" s="26">
        <f>MAX(J172,IF(U172="HP",1,0))</f>
        <v/>
      </c>
      <c r="K173" s="26">
        <f>MAX(K172,IF(U172="FP",1,0))</f>
        <v/>
      </c>
      <c r="L173" s="26">
        <f>MAX(L172,IF(U172="transition",1,0))</f>
        <v/>
      </c>
      <c r="M173" s="28">
        <f>(Parameters!$B$9+(IF(E173=0,0,(Upgrades!$J$6+E173*Upgrades!$K$6)*POWER(Upgrades!$L$6,E173)))*(IF(Upgrades!$T$7="Solar Wind",POWER(Upgrades!$U$7,F173),1)*IF(Upgrades!$T$8="Solar Wind",POWER(Upgrades!$U$8,G173),1)*IF(Upgrades!$T$9="Solar Wind",POWER(Upgrades!$U$9,H173),1)*IF(Upgrades!$T$10="Solar Wind",POWER(Upgrades!$U$10,I173),1)*IF(Upgrades!$T$11="Solar Wind",POWER(Upgrades!$U$11,J173),1)*IF(Upgrades!$T$12="Solar Wind",POWER(Upgrades!$U$12,K173),1))+(IF(F173=0,0,(Upgrades!$J$7+F173*Upgrades!$K$7)*POWER(Upgrades!$L$7,F173)))*(IF(Upgrades!$T$6="Asteroid Belt",POWER(Upgrades!$U$6,E173),1)*IF(Upgrades!$T$8="Asteroid Belt",POWER(Upgrades!$U$8,G173),1)*IF(Upgrades!$T$9="Asteroid Belt",POWER(Upgrades!$U$9,H173),1)*IF(Upgrades!$T$10="Asteroid Belt",POWER(Upgrades!$U$10,I173),1)*IF(Upgrades!$T$11="Asteroid Belt",POWER(Upgrades!$U$11,J173),1)*IF(Upgrades!$T$12="Asteroid Belt",POWER(Upgrades!$U$12,K173),1))+(IF(G173=0,0,(Upgrades!$J$8+G173*Upgrades!$K$8)*POWER(Upgrades!$L$8,G173)))*(IF(Upgrades!$T$6="Stellar Coupling",POWER(Upgrades!$U$6,E173),1)*IF(Upgrades!$T$7="Stellar Coupling",POWER(Upgrades!$U$7,F173),1)*IF(Upgrades!$T$9="Stellar Coupling",POWER(Upgrades!$U$9,H173),1)*IF(Upgrades!$T$10="Stellar Coupling",POWER(Upgrades!$U$10,I173),1)*IF(Upgrades!$T$11="Stellar Coupling",POWER(Upgrades!$U$11,J173),1)*IF(Upgrades!$T$12="Stellar Coupling",POWER(Upgrades!$U$12,K173),1))+(IF(H173=0,0,(Upgrades!$J$9+H173*Upgrades!$K$9)*POWER(Upgrades!$L$9,H173)))*(IF(Upgrades!$T$6="Magnetosphere",POWER(Upgrades!$U$6,E173),1)*IF(Upgrades!$T$7="Magnetosphere",POWER(Upgrades!$U$7,F173),1)*IF(Upgrades!$T$8="Magnetosphere",POWER(Upgrades!$U$8,G173),1)*IF(Upgrades!$T$10="Magnetosphere",POWER(Upgrades!$U$10,I173),1)*IF(Upgrades!$T$11="Magnetosphere",POWER(Upgrades!$U$11,J173),1)*IF(Upgrades!$T$12="Magnetosphere",POWER(Upgrades!$U$12,K173),1))+(IF(I173=0,0,(Upgrades!$J$10+I173*Upgrades!$K$10)*POWER(Upgrades!$L$10,I173)))*(IF(Upgrades!$T$6="Orbital Resonance",POWER(Upgrades!$U$6,E173),1)*IF(Upgrades!$T$7="Orbital Resonance",POWER(Upgrades!$U$7,F173),1)*IF(Upgrades!$T$8="Orbital Resonance",POWER(Upgrades!$U$8,G173),1)*IF(Upgrades!$T$9="Orbital Resonance",POWER(Upgrades!$U$9,H173),1)*IF(Upgrades!$T$11="Orbital Resonance",POWER(Upgrades!$U$11,J173),1)*IF(Upgrades!$T$12="Orbital Resonance",POWER(Upgrades!$U$12,K173),1))+(IF(J173=0,0,(Upgrades!$J$11+J173*Upgrades!$K$11)*POWER(Upgrades!$L$11,J173)))*(IF(Upgrades!$T$6="Heliopause",POWER(Upgrades!$U$6,E173),1)*IF(Upgrades!$T$7="Heliopause",POWER(Upgrades!$U$7,F173),1)*IF(Upgrades!$T$8="Heliopause",POWER(Upgrades!$U$8,G173),1)*IF(Upgrades!$T$9="Heliopause",POWER(Upgrades!$U$9,H173),1)*IF(Upgrades!$T$10="Heliopause",POWER(Upgrades!$U$10,I173),1)*IF(Upgrades!$T$12="Heliopause",POWER(Upgrades!$U$12,K173),1))+(IF(K173=0,0,(Upgrades!$J$12+K173*Upgrades!$K$12)*POWER(Upgrades!$L$12,K173)))*(IF(Upgrades!$T$6="First Photons",POWER(Upgrades!$U$6,E173),1)*IF(Upgrades!$T$7="First Photons",POWER(Upgrades!$U$7,F173),1)*IF(Upgrades!$T$8="First Photons",POWER(Upgrades!$U$8,G173),1)*IF(Upgrades!$T$9="First Photons",POWER(Upgrades!$U$9,H173),1)*IF(Upgrades!$T$10="First Photons",POWER(Upgrades!$U$10,I173),1)*IF(Upgrades!$T$11="First Photons",POWER(Upgrades!$U$11,J173),1)))*POWER(Upgrades!$Q$6,E173)*POWER(Upgrades!$Q$7,F173)*POWER(Upgrades!$Q$8,G173)*POWER(Upgrades!$Q$9,H173)*POWER(Upgrades!$Q$10,I173)*POWER(Upgrades!$Q$11,J173)*POWER(Upgrades!$Q$12,K173)</f>
        <v/>
      </c>
      <c r="N173" s="28">
        <f>((IF(E173=0,0,(Upgrades!$G$6+E173*Upgrades!$H$6)*POWER(Upgrades!$I$6,E173)))*(IF(Upgrades!$T$7="Solar Wind",POWER(Upgrades!$U$7,F173),1)*IF(Upgrades!$T$8="Solar Wind",POWER(Upgrades!$U$8,G173),1)*IF(Upgrades!$T$9="Solar Wind",POWER(Upgrades!$U$9,H173),1)*IF(Upgrades!$T$10="Solar Wind",POWER(Upgrades!$U$10,I173),1)*IF(Upgrades!$T$11="Solar Wind",POWER(Upgrades!$U$11,J173),1)*IF(Upgrades!$T$12="Solar Wind",POWER(Upgrades!$U$12,K173),1))+(IF(F173=0,0,(Upgrades!$G$7+F173*Upgrades!$H$7)*POWER(Upgrades!$I$7,F173)))*(IF(Upgrades!$T$6="Asteroid Belt",POWER(Upgrades!$U$6,E173),1)*IF(Upgrades!$T$8="Asteroid Belt",POWER(Upgrades!$U$8,G173),1)*IF(Upgrades!$T$9="Asteroid Belt",POWER(Upgrades!$U$9,H173),1)*IF(Upgrades!$T$10="Asteroid Belt",POWER(Upgrades!$U$10,I173),1)*IF(Upgrades!$T$11="Asteroid Belt",POWER(Upgrades!$U$11,J173),1)*IF(Upgrades!$T$12="Asteroid Belt",POWER(Upgrades!$U$12,K173),1))+(IF(G173=0,0,(Upgrades!$G$8+G173*Upgrades!$H$8)*POWER(Upgrades!$I$8,G173)))*(IF(Upgrades!$T$6="Stellar Coupling",POWER(Upgrades!$U$6,E173),1)*IF(Upgrades!$T$7="Stellar Coupling",POWER(Upgrades!$U$7,F173),1)*IF(Upgrades!$T$9="Stellar Coupling",POWER(Upgrades!$U$9,H173),1)*IF(Upgrades!$T$10="Stellar Coupling",POWER(Upgrades!$U$10,I173),1)*IF(Upgrades!$T$11="Stellar Coupling",POWER(Upgrades!$U$11,J173),1)*IF(Upgrades!$T$12="Stellar Coupling",POWER(Upgrades!$U$12,K173),1))+(IF(H173=0,0,(Upgrades!$G$9+H173*Upgrades!$H$9)*POWER(Upgrades!$I$9,H173)))*(IF(Upgrades!$T$6="Magnetosphere",POWER(Upgrades!$U$6,E173),1)*IF(Upgrades!$T$7="Magnetosphere",POWER(Upgrades!$U$7,F173),1)*IF(Upgrades!$T$8="Magnetosphere",POWER(Upgrades!$U$8,G173),1)*IF(Upgrades!$T$10="Magnetosphere",POWER(Upgrades!$U$10,I173),1)*IF(Upgrades!$T$11="Magnetosphere",POWER(Upgrades!$U$11,J173),1)*IF(Upgrades!$T$12="Magnetosphere",POWER(Upgrades!$U$12,K173),1))+(IF(I173=0,0,(Upgrades!$G$10+I173*Upgrades!$H$10)*POWER(Upgrades!$I$10,I173)))*(IF(Upgrades!$T$6="Orbital Resonance",POWER(Upgrades!$U$6,E173),1)*IF(Upgrades!$T$7="Orbital Resonance",POWER(Upgrades!$U$7,F173),1)*IF(Upgrades!$T$8="Orbital Resonance",POWER(Upgrades!$U$8,G173),1)*IF(Upgrades!$T$9="Orbital Resonance",POWER(Upgrades!$U$9,H173),1)*IF(Upgrades!$T$11="Orbital Resonance",POWER(Upgrades!$U$11,J173),1)*IF(Upgrades!$T$12="Orbital Resonance",POWER(Upgrades!$U$12,K173),1))+(IF(J173=0,0,(Upgrades!$G$11+J173*Upgrades!$H$11)*POWER(Upgrades!$I$11,J173)))*(IF(Upgrades!$T$6="Heliopause",POWER(Upgrades!$U$6,E173),1)*IF(Upgrades!$T$7="Heliopause",POWER(Upgrades!$U$7,F173),1)*IF(Upgrades!$T$8="Heliopause",POWER(Upgrades!$U$8,G173),1)*IF(Upgrades!$T$9="Heliopause",POWER(Upgrades!$U$9,H173),1)*IF(Upgrades!$T$10="Heliopause",POWER(Upgrades!$U$10,I173),1)*IF(Upgrades!$T$12="Heliopause",POWER(Upgrades!$U$12,K173),1))+(IF(K173=0,0,(Upgrades!$G$12+K173*Upgrades!$H$12)*POWER(Upgrades!$I$12,K173)))*(IF(Upgrades!$T$6="First Photons",POWER(Upgrades!$U$6,E173),1)*IF(Upgrades!$T$7="First Photons",POWER(Upgrades!$U$7,F173),1)*IF(Upgrades!$T$8="First Photons",POWER(Upgrades!$U$8,G173),1)*IF(Upgrades!$T$9="First Photons",POWER(Upgrades!$U$9,H173),1)*IF(Upgrades!$T$10="First Photons",POWER(Upgrades!$U$10,I173),1)*IF(Upgrades!$T$11="First Photons",POWER(Upgrades!$U$11,J173),1)))*POWER(Upgrades!$P$6,E173)*POWER(Upgrades!$P$7,F173)*POWER(Upgrades!$P$8,G173)*POWER(Upgrades!$P$9,H173)*POWER(Upgrades!$P$10,I173)*POWER(Upgrades!$P$11,J173)*POWER(Upgrades!$P$12,K173)</f>
        <v/>
      </c>
      <c r="O173" s="28">
        <f>((IF(E173=0,0,(Upgrades!$M$6+E173*Upgrades!$N$6)*POWER(Upgrades!$O$6,E173)))*(IF(Upgrades!$T$7="Solar Wind",POWER(Upgrades!$U$7,F173),1)*IF(Upgrades!$T$8="Solar Wind",POWER(Upgrades!$U$8,G173),1)*IF(Upgrades!$T$9="Solar Wind",POWER(Upgrades!$U$9,H173),1)*IF(Upgrades!$T$10="Solar Wind",POWER(Upgrades!$U$10,I173),1)*IF(Upgrades!$T$11="Solar Wind",POWER(Upgrades!$U$11,J173),1)*IF(Upgrades!$T$12="Solar Wind",POWER(Upgrades!$U$12,K173),1))+(IF(F173=0,0,(Upgrades!$M$7+F173*Upgrades!$N$7)*POWER(Upgrades!$O$7,F173)))*(IF(Upgrades!$T$6="Asteroid Belt",POWER(Upgrades!$U$6,E173),1)*IF(Upgrades!$T$8="Asteroid Belt",POWER(Upgrades!$U$8,G173),1)*IF(Upgrades!$T$9="Asteroid Belt",POWER(Upgrades!$U$9,H173),1)*IF(Upgrades!$T$10="Asteroid Belt",POWER(Upgrades!$U$10,I173),1)*IF(Upgrades!$T$11="Asteroid Belt",POWER(Upgrades!$U$11,J173),1)*IF(Upgrades!$T$12="Asteroid Belt",POWER(Upgrades!$U$12,K173),1))+(IF(G173=0,0,(Upgrades!$M$8+G173*Upgrades!$N$8)*POWER(Upgrades!$O$8,G173)))*(IF(Upgrades!$T$6="Stellar Coupling",POWER(Upgrades!$U$6,E173),1)*IF(Upgrades!$T$7="Stellar Coupling",POWER(Upgrades!$U$7,F173),1)*IF(Upgrades!$T$9="Stellar Coupling",POWER(Upgrades!$U$9,H173),1)*IF(Upgrades!$T$10="Stellar Coupling",POWER(Upgrades!$U$10,I173),1)*IF(Upgrades!$T$11="Stellar Coupling",POWER(Upgrades!$U$11,J173),1)*IF(Upgrades!$T$12="Stellar Coupling",POWER(Upgrades!$U$12,K173),1))+(IF(H173=0,0,(Upgrades!$M$9+H173*Upgrades!$N$9)*POWER(Upgrades!$O$9,H173)))*(IF(Upgrades!$T$6="Magnetosphere",POWER(Upgrades!$U$6,E173),1)*IF(Upgrades!$T$7="Magnetosphere",POWER(Upgrades!$U$7,F173),1)*IF(Upgrades!$T$8="Magnetosphere",POWER(Upgrades!$U$8,G173),1)*IF(Upgrades!$T$10="Magnetosphere",POWER(Upgrades!$U$10,I173),1)*IF(Upgrades!$T$11="Magnetosphere",POWER(Upgrades!$U$11,J173),1)*IF(Upgrades!$T$12="Magnetosphere",POWER(Upgrades!$U$12,K173),1))+(IF(I173=0,0,(Upgrades!$M$10+I173*Upgrades!$N$10)*POWER(Upgrades!$O$10,I173)))*(IF(Upgrades!$T$6="Orbital Resonance",POWER(Upgrades!$U$6,E173),1)*IF(Upgrades!$T$7="Orbital Resonance",POWER(Upgrades!$U$7,F173),1)*IF(Upgrades!$T$8="Orbital Resonance",POWER(Upgrades!$U$8,G173),1)*IF(Upgrades!$T$9="Orbital Resonance",POWER(Upgrades!$U$9,H173),1)*IF(Upgrades!$T$11="Orbital Resonance",POWER(Upgrades!$U$11,J173),1)*IF(Upgrades!$T$12="Orbital Resonance",POWER(Upgrades!$U$12,K173),1))+(IF(J173=0,0,(Upgrades!$M$11+J173*Upgrades!$N$11)*POWER(Upgrades!$O$11,J173)))*(IF(Upgrades!$T$6="Heliopause",POWER(Upgrades!$U$6,E173),1)*IF(Upgrades!$T$7="Heliopause",POWER(Upgrades!$U$7,F173),1)*IF(Upgrades!$T$8="Heliopause",POWER(Upgrades!$U$8,G173),1)*IF(Upgrades!$T$9="Heliopause",POWER(Upgrades!$U$9,H173),1)*IF(Upgrades!$T$10="Heliopause",POWER(Upgrades!$U$10,I173),1)*IF(Upgrades!$T$12="Heliopause",POWER(Upgrades!$U$12,K173),1))+(IF(K173=0,0,(Upgrades!$M$12+K173*Upgrades!$N$12)*POWER(Upgrades!$O$12,K173)))*(IF(Upgrades!$T$6="First Photons",POWER(Upgrades!$U$6,E173),1)*IF(Upgrades!$T$7="First Photons",POWER(Upgrades!$U$7,F173),1)*IF(Upgrades!$T$8="First Photons",POWER(Upgrades!$U$8,G173),1)*IF(Upgrades!$T$9="First Photons",POWER(Upgrades!$U$9,H173),1)*IF(Upgrades!$T$10="First Photons",POWER(Upgrades!$U$10,I173),1)*IF(Upgrades!$T$11="First Photons",POWER(Upgrades!$U$11,J173),1)))*POWER(Upgrades!$R$6,E173)*POWER(Upgrades!$R$7,F173)*POWER(Upgrades!$R$8,G173)*POWER(Upgrades!$R$9,H173)*POWER(Upgrades!$R$10,I173)*POWER(Upgrades!$R$11,J173)*POWER(Upgrades!$R$12,K173)</f>
        <v/>
      </c>
      <c r="P173" s="27">
        <f>IF(L173=1,0,M173*Parameters!$B$10/60*Parameters!$B$11*10)</f>
        <v/>
      </c>
      <c r="Q173" s="27">
        <f>IF(L173=1,0,O173*M173*10)</f>
        <v/>
      </c>
      <c r="R173" s="27">
        <f>IF(L173=1,0,N173*10)</f>
        <v/>
      </c>
      <c r="S173" s="27">
        <f>P173+Q173+R173</f>
        <v/>
      </c>
      <c r="T173" s="22">
        <f>C173+S173</f>
        <v/>
      </c>
      <c r="U173" s="33">
        <f>AX173</f>
        <v/>
      </c>
      <c r="V173" s="22">
        <f>IF(U173="",0,IF(U173="transition",0,IF(U173="SW",AG173,IF(U173="AB",AH173,IF(U173="SC",AI173,IF(U173="Mag",AJ173,IF(U173="OR",AK173,IF(U173="HP",AL173,IF(U173="FP",AM173,0)))))))))</f>
        <v/>
      </c>
      <c r="W173" s="27">
        <f>IF(U173="OR",Upgrades!$F$10,IF(U173="HP",Upgrades!$F$11,IF(U173="transition",-Parameters!$B$18,0)))</f>
        <v/>
      </c>
      <c r="X173" s="22">
        <f>T173-V173</f>
        <v/>
      </c>
      <c r="Y173" s="30">
        <f>M173*Parameters!$B$10/60*Parameters!$B$11+O173*M173+N173</f>
        <v/>
      </c>
      <c r="Z173" s="34">
        <f>IF(U173="transition","→ Tier 2 (Stellar Neighborhood)",IF(U173="FP","First Photons — light begins, system quickens",IF(U173="HP","Heliopause acquired",IF(U173="OR","Orbital Resonance — passive multiplier active",IF(AND(AO173=1,L173=0,AN173&lt;&gt;1),"Cohesion ready (waiting on completionist upgrades)","")))))</f>
        <v/>
      </c>
      <c r="AA173" s="27">
        <f>(IF(E173=0,0,(Upgrades!$G$6+E173*Upgrades!$H$6)*POWER(Upgrades!$I$6,E173)))*(IF(Upgrades!$T$7="Solar Wind",POWER(Upgrades!$U$7,F173),1)*IF(Upgrades!$T$8="Solar Wind",POWER(Upgrades!$U$8,G173),1)*IF(Upgrades!$T$9="Solar Wind",POWER(Upgrades!$U$9,H173),1)*IF(Upgrades!$T$10="Solar Wind",POWER(Upgrades!$U$10,I173),1)*IF(Upgrades!$T$11="Solar Wind",POWER(Upgrades!$U$11,J173),1)*IF(Upgrades!$T$12="Solar Wind",POWER(Upgrades!$U$12,K173),1))*POWER(Upgrades!$P$6,E173)*POWER(Upgrades!$P$7,F173)*POWER(Upgrades!$P$8,G173)*POWER(Upgrades!$P$9,H173)*POWER(Upgrades!$P$10,I173)*POWER(Upgrades!$P$11,J173)*POWER(Upgrades!$P$12,K173)*60</f>
        <v/>
      </c>
      <c r="AB173" s="27">
        <f>(IF(F173=0,0,(Upgrades!$G$7+F173*Upgrades!$H$7)*POWER(Upgrades!$I$7,F173)))*(IF(Upgrades!$T$6="Asteroid Belt",POWER(Upgrades!$U$6,E173),1)*IF(Upgrades!$T$8="Asteroid Belt",POWER(Upgrades!$U$8,G173),1)*IF(Upgrades!$T$9="Asteroid Belt",POWER(Upgrades!$U$9,H173),1)*IF(Upgrades!$T$10="Asteroid Belt",POWER(Upgrades!$U$10,I173),1)*IF(Upgrades!$T$11="Asteroid Belt",POWER(Upgrades!$U$11,J173),1)*IF(Upgrades!$T$12="Asteroid Belt",POWER(Upgrades!$U$12,K173),1))*POWER(Upgrades!$P$6,E173)*POWER(Upgrades!$P$7,F173)*POWER(Upgrades!$P$8,G173)*POWER(Upgrades!$P$9,H173)*POWER(Upgrades!$P$10,I173)*POWER(Upgrades!$P$11,J173)*POWER(Upgrades!$P$12,K173)*60</f>
        <v/>
      </c>
      <c r="AC173" s="27">
        <f>(IF(G173=0,0,(Upgrades!$J$8+G173*Upgrades!$K$8)*POWER(Upgrades!$L$8,G173)))*(IF(Upgrades!$T$6="Stellar Coupling",POWER(Upgrades!$U$6,E173),1)*IF(Upgrades!$T$7="Stellar Coupling",POWER(Upgrades!$U$7,F173),1)*IF(Upgrades!$T$9="Stellar Coupling",POWER(Upgrades!$U$9,H173),1)*IF(Upgrades!$T$10="Stellar Coupling",POWER(Upgrades!$U$10,I173),1)*IF(Upgrades!$T$11="Stellar Coupling",POWER(Upgrades!$U$11,J173),1)*IF(Upgrades!$T$12="Stellar Coupling",POWER(Upgrades!$U$12,K173),1))*POWER(Upgrades!$Q$6,E173)*POWER(Upgrades!$Q$7,F173)*POWER(Upgrades!$Q$8,G173)*POWER(Upgrades!$Q$9,H173)*POWER(Upgrades!$Q$10,I173)*POWER(Upgrades!$Q$11,J173)*POWER(Upgrades!$Q$12,K173)*Parameters!$B$10*Parameters!$B$11</f>
        <v/>
      </c>
      <c r="AD173" s="27">
        <f>(IF(H173=0,0,(Upgrades!$G$9+H173*Upgrades!$H$9)*POWER(Upgrades!$I$9,H173)))*(IF(Upgrades!$T$6="Magnetosphere",POWER(Upgrades!$U$6,E173),1)*IF(Upgrades!$T$7="Magnetosphere",POWER(Upgrades!$U$7,F173),1)*IF(Upgrades!$T$8="Magnetosphere",POWER(Upgrades!$U$8,G173),1)*IF(Upgrades!$T$10="Magnetosphere",POWER(Upgrades!$U$10,I173),1)*IF(Upgrades!$T$11="Magnetosphere",POWER(Upgrades!$U$11,J173),1)*IF(Upgrades!$T$12="Magnetosphere",POWER(Upgrades!$U$12,K173),1))*POWER(Upgrades!$P$6,E173)*POWER(Upgrades!$P$7,F173)*POWER(Upgrades!$P$8,G173)*POWER(Upgrades!$P$9,H173)*POWER(Upgrades!$P$10,I173)*POWER(Upgrades!$P$11,J173)*POWER(Upgrades!$P$12,K173)*60</f>
        <v/>
      </c>
      <c r="AE173" s="27">
        <f>(IF(K173=0,0,(Upgrades!$G$12+K173*Upgrades!$H$12)*POWER(Upgrades!$I$12,K173)))*(IF(Upgrades!$T$6="First Photons",POWER(Upgrades!$U$6,E173),1)*IF(Upgrades!$T$7="First Photons",POWER(Upgrades!$U$7,F173),1)*IF(Upgrades!$T$8="First Photons",POWER(Upgrades!$U$8,G173),1)*IF(Upgrades!$T$9="First Photons",POWER(Upgrades!$U$9,H173),1)*IF(Upgrades!$T$10="First Photons",POWER(Upgrades!$U$10,I173),1)*IF(Upgrades!$T$11="First Photons",POWER(Upgrades!$U$11,J173),1))*POWER(Upgrades!$P$6,E173)*POWER(Upgrades!$P$7,F173)*POWER(Upgrades!$P$8,G173)*POWER(Upgrades!$P$9,H173)*POWER(Upgrades!$P$10,I173)*POWER(Upgrades!$P$11,J173)*POWER(Upgrades!$P$12,K173)*60</f>
        <v/>
      </c>
      <c r="AF173" s="27">
        <f>Parameters!$B$9*POWER(Upgrades!$Q$6,E173)*POWER(Upgrades!$Q$7,F173)*POWER(Upgrades!$Q$8,G173)*POWER(Upgrades!$Q$9,H173)*POWER(Upgrades!$Q$10,I173)*POWER(Upgrades!$Q$11,J173)*POWER(Upgrades!$Q$12,K173)*(Parameters!$B$10*Parameters!$B$11+O173*60)</f>
        <v/>
      </c>
      <c r="AG173" s="22">
        <f>IF(E173&gt;=Upgrades!$E$6,"",Upgrades!$C$6*POWER(Upgrades!$D$6,E173))</f>
        <v/>
      </c>
      <c r="AH173" s="22">
        <f>IF(F173&gt;=Upgrades!$E$7,"",Upgrades!$C$7*POWER(Upgrades!$D$7,F173))</f>
        <v/>
      </c>
      <c r="AI173" s="22">
        <f>IF(G173&gt;=Upgrades!$E$8,"",Upgrades!$C$8*POWER(Upgrades!$D$8,G173))</f>
        <v/>
      </c>
      <c r="AJ173" s="22">
        <f>IF(H173&gt;=Upgrades!$E$9,"",Upgrades!$C$9*POWER(Upgrades!$D$9,H173))</f>
        <v/>
      </c>
      <c r="AK173" s="22">
        <f>IF(I173&gt;=Upgrades!$E$10,"",Upgrades!$C$10*POWER(Upgrades!$D$10,I173))</f>
        <v/>
      </c>
      <c r="AL173" s="22">
        <f>IF(J173&gt;=Upgrades!$E$11,"",Upgrades!$C$11*POWER(Upgrades!$D$11,J173))</f>
        <v/>
      </c>
      <c r="AM173" s="22">
        <f>IF(K173&gt;=Upgrades!$E$12,"",Upgrades!$C$12*POWER(Upgrades!$D$12,K173))</f>
        <v/>
      </c>
      <c r="AN173" s="26">
        <f>IF(AND(D173&gt;=Parameters!$B$18,(H173&gt;=Upgrades!$E$9)*(K173&gt;=Upgrades!$E$12)=1,L173=0),1,"")</f>
        <v/>
      </c>
      <c r="AO173" s="26">
        <f>IF(AND(D173&gt;=Parameters!$B$18,L173=0),1,"")</f>
        <v/>
      </c>
      <c r="AP173" s="22">
        <f>MIN(IF(ISNUMBER(AK173),AK173,9E15),IF(ISNUMBER(AL173),AL173,9E15),IF(ISNUMBER(AM173),AM173,9E15))</f>
        <v/>
      </c>
      <c r="AQ173" s="22">
        <f>MIN(IF(ISNUMBER(AG173),AG173,9E15),IF(ISNUMBER(AH173),AH173,9E15),IF(ISNUMBER(AI173),AI173,9E15),IF(ISNUMBER(AJ173),AJ173,9E15))</f>
        <v/>
      </c>
      <c r="AR173" s="29">
        <f>IF(AW173&gt;Parameters!$B$21*(MAX(IF(AND(NOT(AND(AO173=1,AN173&lt;&gt;1)),ISNUMBER(AG173),AG173&lt;=T173),AS173,0),IF(AND(NOT(AND(AO173=1,AN173&lt;&gt;1)),ISNUMBER(AH173),AH173&lt;=T173),AT173,0),IF(AND(NOT(AND(AO173=1,AN173&lt;&gt;1)),ISNUMBER(AI173),AI173&lt;=T173),AU173,0),IF(AND(ISNUMBER(AJ173),AJ173&lt;=T173),AV173,0))),TRUE,FALSE)</f>
        <v/>
      </c>
      <c r="AS173" s="32">
        <f>IFERROR(Upgrades!$H$6*(POWER(Upgrades!$P$6,E173)*POWER(Upgrades!$P$7,F173)*POWER(Upgrades!$P$8,G173)*POWER(Upgrades!$P$9,H173)*POWER(Upgrades!$P$10,I173)*POWER(Upgrades!$P$11,J173)*POWER(Upgrades!$P$12,K173))*(IF(Upgrades!$T$7="Solar Wind",POWER(Upgrades!$U$7,F173),1)*IF(Upgrades!$T$8="Solar Wind",POWER(Upgrades!$U$8,G173),1)*IF(Upgrades!$T$9="Solar Wind",POWER(Upgrades!$U$9,H173),1)*IF(Upgrades!$T$10="Solar Wind",POWER(Upgrades!$U$10,I173),1)*IF(Upgrades!$T$11="Solar Wind",POWER(Upgrades!$U$11,J173),1)*IF(Upgrades!$T$12="Solar Wind",POWER(Upgrades!$U$12,K173),1))/AG173,0)</f>
        <v/>
      </c>
      <c r="AT173" s="32">
        <f>IFERROR(Upgrades!$H$7*(POWER(Upgrades!$P$6,E173)*POWER(Upgrades!$P$7,F173)*POWER(Upgrades!$P$8,G173)*POWER(Upgrades!$P$9,H173)*POWER(Upgrades!$P$10,I173)*POWER(Upgrades!$P$11,J173)*POWER(Upgrades!$P$12,K173))*(IF(Upgrades!$T$6="Asteroid Belt",POWER(Upgrades!$U$6,E173),1)*IF(Upgrades!$T$8="Asteroid Belt",POWER(Upgrades!$U$8,G173),1)*IF(Upgrades!$T$9="Asteroid Belt",POWER(Upgrades!$U$9,H173),1)*IF(Upgrades!$T$10="Asteroid Belt",POWER(Upgrades!$U$10,I173),1)*IF(Upgrades!$T$11="Asteroid Belt",POWER(Upgrades!$U$11,J173),1)*IF(Upgrades!$T$12="Asteroid Belt",POWER(Upgrades!$U$12,K173),1))/AH173,0)</f>
        <v/>
      </c>
      <c r="AU173" s="32">
        <f>IFERROR(Upgrades!$K$8*(POWER(Upgrades!$Q$6,E173)*POWER(Upgrades!$Q$7,F173)*POWER(Upgrades!$Q$8,G173)*POWER(Upgrades!$Q$9,H173)*POWER(Upgrades!$Q$10,I173)*POWER(Upgrades!$Q$11,J173)*POWER(Upgrades!$Q$12,K173))*(IF(Upgrades!$T$6="Stellar Coupling",POWER(Upgrades!$U$6,E173),1)*IF(Upgrades!$T$7="Stellar Coupling",POWER(Upgrades!$U$7,F173),1)*IF(Upgrades!$T$9="Stellar Coupling",POWER(Upgrades!$U$9,H173),1)*IF(Upgrades!$T$10="Stellar Coupling",POWER(Upgrades!$U$10,I173),1)*IF(Upgrades!$T$11="Stellar Coupling",POWER(Upgrades!$U$11,J173),1)*IF(Upgrades!$T$12="Stellar Coupling",POWER(Upgrades!$U$12,K173),1))*Parameters!$B$10*Parameters!$B$11/60/AI173,0)</f>
        <v/>
      </c>
      <c r="AV173" s="32">
        <f>IFERROR(Upgrades!$H$9*(POWER(Upgrades!$P$6,E173)*POWER(Upgrades!$P$7,F173)*POWER(Upgrades!$P$8,G173)*POWER(Upgrades!$P$9,H173)*POWER(Upgrades!$P$10,I173)*POWER(Upgrades!$P$11,J173)*POWER(Upgrades!$P$12,K173))*(IF(Upgrades!$T$6="Magnetosphere",POWER(Upgrades!$U$6,E173),1)*IF(Upgrades!$T$7="Magnetosphere",POWER(Upgrades!$U$7,F173),1)*IF(Upgrades!$T$8="Magnetosphere",POWER(Upgrades!$U$8,G173),1)*IF(Upgrades!$T$10="Magnetosphere",POWER(Upgrades!$U$10,I173),1)*IF(Upgrades!$T$11="Magnetosphere",POWER(Upgrades!$U$11,J173),1)*IF(Upgrades!$T$12="Magnetosphere",POWER(Upgrades!$U$12,K173),1))/AJ173,0)</f>
        <v/>
      </c>
      <c r="AW173" s="32">
        <f>MAX(IF(I173&gt;0,0,IFERROR(0.25*N173/Upgrades!$C$10,0)),IF(J173&gt;0,0,IFERROR(0.5*((IF(G173=0,0,(Upgrades!$J$8+G173*Upgrades!$K$8)*POWER(Upgrades!$L$8,G173)))*(IF(Upgrades!$T$6="Stellar Coupling",POWER(Upgrades!$U$6,E173),1)*IF(Upgrades!$T$7="Stellar Coupling",POWER(Upgrades!$U$7,F173),1)*IF(Upgrades!$T$9="Stellar Coupling",POWER(Upgrades!$U$9,H173),1)*IF(Upgrades!$T$10="Stellar Coupling",POWER(Upgrades!$U$10,I173),1)*IF(Upgrades!$T$11="Stellar Coupling",POWER(Upgrades!$U$11,J173),1)*IF(Upgrades!$T$12="Stellar Coupling",POWER(Upgrades!$U$12,K173),1))*(POWER(Upgrades!$Q$6,E173)*POWER(Upgrades!$Q$7,F173)*POWER(Upgrades!$Q$8,G173)*POWER(Upgrades!$Q$9,H173)*POWER(Upgrades!$Q$10,I173)*POWER(Upgrades!$Q$11,J173)*POWER(Upgrades!$Q$12,K173))*Parameters!$B$10*Parameters!$B$11/60)/Upgrades!$C$11,0)),IF(K173&gt;0,0,IFERROR((1.0*(POWER(Upgrades!$P$6,E173)*POWER(Upgrades!$P$7,F173)*POWER(Upgrades!$P$8,G173)*POWER(Upgrades!$P$9,H173)*POWER(Upgrades!$P$10,I173)*POWER(Upgrades!$P$11,J173)*POWER(Upgrades!$P$12,K173))+0.20*M173*Parameters!$B$10*Parameters!$B$11/60)/Upgrades!$C$12,0)),IF(AND(ISNUMBER(AG173),AG173&gt;T173),AS173,0),IF(AND(ISNUMBER(AH173),AH173&gt;T173),AT173,0),IF(AND(ISNUMBER(AI173),AI173&gt;T173),AU173,0),IF(AND(ISNUMBER(AJ173),AJ173&gt;T173),AV173,0))</f>
        <v/>
      </c>
      <c r="AX173" s="29">
        <f>IF(AN173=1,"transition",IF(MIN(IF(AND(I173=0,ISNUMBER(AK173),AK173&lt;=T173),AK173,9E15),IF(AND(J173=0,ISNUMBER(AL173),AL173&lt;=T173),AL173,9E15),IF(AND(K173=0,ISNUMBER(AM173),AM173&lt;=T173),AM173,9E15))&lt;9E15,IF(AND(AND(I173=0,ISNUMBER(AK173),AK173&lt;=T173),AK173=MIN(IF(AND(I173=0,ISNUMBER(AK173),AK173&lt;=T173),AK173,9E15),IF(AND(J173=0,ISNUMBER(AL173),AL173&lt;=T173),AL173,9E15),IF(AND(K173=0,ISNUMBER(AM173),AM173&lt;=T173),AM173,9E15))),"OR",IF(AND(AND(J173=0,ISNUMBER(AL173),AL173&lt;=T173),AL173=MIN(IF(AND(I173=0,ISNUMBER(AK173),AK173&lt;=T173),AK173,9E15),IF(AND(J173=0,ISNUMBER(AL173),AL173&lt;=T173),AL173,9E15),IF(AND(K173=0,ISNUMBER(AM173),AM173&lt;=T173),AM173,9E15))),"HP","FP")),IF(AR173=TRUE,"",IF(MAX(IF(AND(NOT(AND(AO173=1,AN173&lt;&gt;1)),ISNUMBER(AG173),AG173&lt;=T173),AS173,0),IF(AND(NOT(AND(AO173=1,AN173&lt;&gt;1)),ISNUMBER(AH173),AH173&lt;=T173),AT173,0),IF(AND(NOT(AND(AO173=1,AN173&lt;&gt;1)),ISNUMBER(AI173),AI173&lt;=T173),AU173,0),IF(AND(ISNUMBER(AJ173),AJ173&lt;=T173),AV173,0))&lt;=0,"",IF(AND(IF(AND(NOT(AND(AO173=1,AN173&lt;&gt;1)),ISNUMBER(AG173),AG173&lt;=T173),AS173,0)&gt;0,IF(AND(NOT(AND(AO173=1,AN173&lt;&gt;1)),ISNUMBER(AG173),AG173&lt;=T173),AS173,0)=MAX(IF(AND(NOT(AND(AO173=1,AN173&lt;&gt;1)),ISNUMBER(AG173),AG173&lt;=T173),AS173,0),IF(AND(NOT(AND(AO173=1,AN173&lt;&gt;1)),ISNUMBER(AH173),AH173&lt;=T173),AT173,0),IF(AND(NOT(AND(AO173=1,AN173&lt;&gt;1)),ISNUMBER(AI173),AI173&lt;=T173),AU173,0),IF(AND(ISNUMBER(AJ173),AJ173&lt;=T173),AV173,0))),"SW",IF(AND(IF(AND(NOT(AND(AO173=1,AN173&lt;&gt;1)),ISNUMBER(AH173),AH173&lt;=T173),AT173,0)&gt;0,IF(AND(NOT(AND(AO173=1,AN173&lt;&gt;1)),ISNUMBER(AH173),AH173&lt;=T173),AT173,0)=MAX(IF(AND(NOT(AND(AO173=1,AN173&lt;&gt;1)),ISNUMBER(AG173),AG173&lt;=T173),AS173,0),IF(AND(NOT(AND(AO173=1,AN173&lt;&gt;1)),ISNUMBER(AH173),AH173&lt;=T173),AT173,0),IF(AND(NOT(AND(AO173=1,AN173&lt;&gt;1)),ISNUMBER(AI173),AI173&lt;=T173),AU173,0),IF(AND(ISNUMBER(AJ173),AJ173&lt;=T173),AV173,0))),"AB",IF(AND(IF(AND(NOT(AND(AO173=1,AN173&lt;&gt;1)),ISNUMBER(AI173),AI173&lt;=T173),AU173,0)&gt;0,IF(AND(NOT(AND(AO173=1,AN173&lt;&gt;1)),ISNUMBER(AI173),AI173&lt;=T173),AU173,0)=MAX(IF(AND(NOT(AND(AO173=1,AN173&lt;&gt;1)),ISNUMBER(AG173),AG173&lt;=T173),AS173,0),IF(AND(NOT(AND(AO173=1,AN173&lt;&gt;1)),ISNUMBER(AH173),AH173&lt;=T173),AT173,0),IF(AND(NOT(AND(AO173=1,AN173&lt;&gt;1)),ISNUMBER(AI173),AI173&lt;=T173),AU173,0),IF(AND(ISNUMBER(AJ173),AJ173&lt;=T173),AV173,0))),"SC","Mag")))))))</f>
        <v/>
      </c>
    </row>
    <row r="174">
      <c r="A174" s="26" t="n">
        <v>169</v>
      </c>
      <c r="B174" s="27">
        <f>A174*10/60</f>
        <v/>
      </c>
      <c r="C174" s="22">
        <f>X173</f>
        <v/>
      </c>
      <c r="D174" s="27">
        <f>D173+W173</f>
        <v/>
      </c>
      <c r="E174" s="26">
        <f>E173+IF(U173="SW",1,0)</f>
        <v/>
      </c>
      <c r="F174" s="26">
        <f>F173+IF(U173="AB",1,0)</f>
        <v/>
      </c>
      <c r="G174" s="26">
        <f>G173+IF(U173="SC",1,0)</f>
        <v/>
      </c>
      <c r="H174" s="26">
        <f>H173+IF(U173="Mag",1,0)</f>
        <v/>
      </c>
      <c r="I174" s="26">
        <f>MAX(I173,IF(U173="OR",1,0))</f>
        <v/>
      </c>
      <c r="J174" s="26">
        <f>MAX(J173,IF(U173="HP",1,0))</f>
        <v/>
      </c>
      <c r="K174" s="26">
        <f>MAX(K173,IF(U173="FP",1,0))</f>
        <v/>
      </c>
      <c r="L174" s="26">
        <f>MAX(L173,IF(U173="transition",1,0))</f>
        <v/>
      </c>
      <c r="M174" s="28">
        <f>(Parameters!$B$9+(IF(E174=0,0,(Upgrades!$J$6+E174*Upgrades!$K$6)*POWER(Upgrades!$L$6,E174)))*(IF(Upgrades!$T$7="Solar Wind",POWER(Upgrades!$U$7,F174),1)*IF(Upgrades!$T$8="Solar Wind",POWER(Upgrades!$U$8,G174),1)*IF(Upgrades!$T$9="Solar Wind",POWER(Upgrades!$U$9,H174),1)*IF(Upgrades!$T$10="Solar Wind",POWER(Upgrades!$U$10,I174),1)*IF(Upgrades!$T$11="Solar Wind",POWER(Upgrades!$U$11,J174),1)*IF(Upgrades!$T$12="Solar Wind",POWER(Upgrades!$U$12,K174),1))+(IF(F174=0,0,(Upgrades!$J$7+F174*Upgrades!$K$7)*POWER(Upgrades!$L$7,F174)))*(IF(Upgrades!$T$6="Asteroid Belt",POWER(Upgrades!$U$6,E174),1)*IF(Upgrades!$T$8="Asteroid Belt",POWER(Upgrades!$U$8,G174),1)*IF(Upgrades!$T$9="Asteroid Belt",POWER(Upgrades!$U$9,H174),1)*IF(Upgrades!$T$10="Asteroid Belt",POWER(Upgrades!$U$10,I174),1)*IF(Upgrades!$T$11="Asteroid Belt",POWER(Upgrades!$U$11,J174),1)*IF(Upgrades!$T$12="Asteroid Belt",POWER(Upgrades!$U$12,K174),1))+(IF(G174=0,0,(Upgrades!$J$8+G174*Upgrades!$K$8)*POWER(Upgrades!$L$8,G174)))*(IF(Upgrades!$T$6="Stellar Coupling",POWER(Upgrades!$U$6,E174),1)*IF(Upgrades!$T$7="Stellar Coupling",POWER(Upgrades!$U$7,F174),1)*IF(Upgrades!$T$9="Stellar Coupling",POWER(Upgrades!$U$9,H174),1)*IF(Upgrades!$T$10="Stellar Coupling",POWER(Upgrades!$U$10,I174),1)*IF(Upgrades!$T$11="Stellar Coupling",POWER(Upgrades!$U$11,J174),1)*IF(Upgrades!$T$12="Stellar Coupling",POWER(Upgrades!$U$12,K174),1))+(IF(H174=0,0,(Upgrades!$J$9+H174*Upgrades!$K$9)*POWER(Upgrades!$L$9,H174)))*(IF(Upgrades!$T$6="Magnetosphere",POWER(Upgrades!$U$6,E174),1)*IF(Upgrades!$T$7="Magnetosphere",POWER(Upgrades!$U$7,F174),1)*IF(Upgrades!$T$8="Magnetosphere",POWER(Upgrades!$U$8,G174),1)*IF(Upgrades!$T$10="Magnetosphere",POWER(Upgrades!$U$10,I174),1)*IF(Upgrades!$T$11="Magnetosphere",POWER(Upgrades!$U$11,J174),1)*IF(Upgrades!$T$12="Magnetosphere",POWER(Upgrades!$U$12,K174),1))+(IF(I174=0,0,(Upgrades!$J$10+I174*Upgrades!$K$10)*POWER(Upgrades!$L$10,I174)))*(IF(Upgrades!$T$6="Orbital Resonance",POWER(Upgrades!$U$6,E174),1)*IF(Upgrades!$T$7="Orbital Resonance",POWER(Upgrades!$U$7,F174),1)*IF(Upgrades!$T$8="Orbital Resonance",POWER(Upgrades!$U$8,G174),1)*IF(Upgrades!$T$9="Orbital Resonance",POWER(Upgrades!$U$9,H174),1)*IF(Upgrades!$T$11="Orbital Resonance",POWER(Upgrades!$U$11,J174),1)*IF(Upgrades!$T$12="Orbital Resonance",POWER(Upgrades!$U$12,K174),1))+(IF(J174=0,0,(Upgrades!$J$11+J174*Upgrades!$K$11)*POWER(Upgrades!$L$11,J174)))*(IF(Upgrades!$T$6="Heliopause",POWER(Upgrades!$U$6,E174),1)*IF(Upgrades!$T$7="Heliopause",POWER(Upgrades!$U$7,F174),1)*IF(Upgrades!$T$8="Heliopause",POWER(Upgrades!$U$8,G174),1)*IF(Upgrades!$T$9="Heliopause",POWER(Upgrades!$U$9,H174),1)*IF(Upgrades!$T$10="Heliopause",POWER(Upgrades!$U$10,I174),1)*IF(Upgrades!$T$12="Heliopause",POWER(Upgrades!$U$12,K174),1))+(IF(K174=0,0,(Upgrades!$J$12+K174*Upgrades!$K$12)*POWER(Upgrades!$L$12,K174)))*(IF(Upgrades!$T$6="First Photons",POWER(Upgrades!$U$6,E174),1)*IF(Upgrades!$T$7="First Photons",POWER(Upgrades!$U$7,F174),1)*IF(Upgrades!$T$8="First Photons",POWER(Upgrades!$U$8,G174),1)*IF(Upgrades!$T$9="First Photons",POWER(Upgrades!$U$9,H174),1)*IF(Upgrades!$T$10="First Photons",POWER(Upgrades!$U$10,I174),1)*IF(Upgrades!$T$11="First Photons",POWER(Upgrades!$U$11,J174),1)))*POWER(Upgrades!$Q$6,E174)*POWER(Upgrades!$Q$7,F174)*POWER(Upgrades!$Q$8,G174)*POWER(Upgrades!$Q$9,H174)*POWER(Upgrades!$Q$10,I174)*POWER(Upgrades!$Q$11,J174)*POWER(Upgrades!$Q$12,K174)</f>
        <v/>
      </c>
      <c r="N174" s="28">
        <f>((IF(E174=0,0,(Upgrades!$G$6+E174*Upgrades!$H$6)*POWER(Upgrades!$I$6,E174)))*(IF(Upgrades!$T$7="Solar Wind",POWER(Upgrades!$U$7,F174),1)*IF(Upgrades!$T$8="Solar Wind",POWER(Upgrades!$U$8,G174),1)*IF(Upgrades!$T$9="Solar Wind",POWER(Upgrades!$U$9,H174),1)*IF(Upgrades!$T$10="Solar Wind",POWER(Upgrades!$U$10,I174),1)*IF(Upgrades!$T$11="Solar Wind",POWER(Upgrades!$U$11,J174),1)*IF(Upgrades!$T$12="Solar Wind",POWER(Upgrades!$U$12,K174),1))+(IF(F174=0,0,(Upgrades!$G$7+F174*Upgrades!$H$7)*POWER(Upgrades!$I$7,F174)))*(IF(Upgrades!$T$6="Asteroid Belt",POWER(Upgrades!$U$6,E174),1)*IF(Upgrades!$T$8="Asteroid Belt",POWER(Upgrades!$U$8,G174),1)*IF(Upgrades!$T$9="Asteroid Belt",POWER(Upgrades!$U$9,H174),1)*IF(Upgrades!$T$10="Asteroid Belt",POWER(Upgrades!$U$10,I174),1)*IF(Upgrades!$T$11="Asteroid Belt",POWER(Upgrades!$U$11,J174),1)*IF(Upgrades!$T$12="Asteroid Belt",POWER(Upgrades!$U$12,K174),1))+(IF(G174=0,0,(Upgrades!$G$8+G174*Upgrades!$H$8)*POWER(Upgrades!$I$8,G174)))*(IF(Upgrades!$T$6="Stellar Coupling",POWER(Upgrades!$U$6,E174),1)*IF(Upgrades!$T$7="Stellar Coupling",POWER(Upgrades!$U$7,F174),1)*IF(Upgrades!$T$9="Stellar Coupling",POWER(Upgrades!$U$9,H174),1)*IF(Upgrades!$T$10="Stellar Coupling",POWER(Upgrades!$U$10,I174),1)*IF(Upgrades!$T$11="Stellar Coupling",POWER(Upgrades!$U$11,J174),1)*IF(Upgrades!$T$12="Stellar Coupling",POWER(Upgrades!$U$12,K174),1))+(IF(H174=0,0,(Upgrades!$G$9+H174*Upgrades!$H$9)*POWER(Upgrades!$I$9,H174)))*(IF(Upgrades!$T$6="Magnetosphere",POWER(Upgrades!$U$6,E174),1)*IF(Upgrades!$T$7="Magnetosphere",POWER(Upgrades!$U$7,F174),1)*IF(Upgrades!$T$8="Magnetosphere",POWER(Upgrades!$U$8,G174),1)*IF(Upgrades!$T$10="Magnetosphere",POWER(Upgrades!$U$10,I174),1)*IF(Upgrades!$T$11="Magnetosphere",POWER(Upgrades!$U$11,J174),1)*IF(Upgrades!$T$12="Magnetosphere",POWER(Upgrades!$U$12,K174),1))+(IF(I174=0,0,(Upgrades!$G$10+I174*Upgrades!$H$10)*POWER(Upgrades!$I$10,I174)))*(IF(Upgrades!$T$6="Orbital Resonance",POWER(Upgrades!$U$6,E174),1)*IF(Upgrades!$T$7="Orbital Resonance",POWER(Upgrades!$U$7,F174),1)*IF(Upgrades!$T$8="Orbital Resonance",POWER(Upgrades!$U$8,G174),1)*IF(Upgrades!$T$9="Orbital Resonance",POWER(Upgrades!$U$9,H174),1)*IF(Upgrades!$T$11="Orbital Resonance",POWER(Upgrades!$U$11,J174),1)*IF(Upgrades!$T$12="Orbital Resonance",POWER(Upgrades!$U$12,K174),1))+(IF(J174=0,0,(Upgrades!$G$11+J174*Upgrades!$H$11)*POWER(Upgrades!$I$11,J174)))*(IF(Upgrades!$T$6="Heliopause",POWER(Upgrades!$U$6,E174),1)*IF(Upgrades!$T$7="Heliopause",POWER(Upgrades!$U$7,F174),1)*IF(Upgrades!$T$8="Heliopause",POWER(Upgrades!$U$8,G174),1)*IF(Upgrades!$T$9="Heliopause",POWER(Upgrades!$U$9,H174),1)*IF(Upgrades!$T$10="Heliopause",POWER(Upgrades!$U$10,I174),1)*IF(Upgrades!$T$12="Heliopause",POWER(Upgrades!$U$12,K174),1))+(IF(K174=0,0,(Upgrades!$G$12+K174*Upgrades!$H$12)*POWER(Upgrades!$I$12,K174)))*(IF(Upgrades!$T$6="First Photons",POWER(Upgrades!$U$6,E174),1)*IF(Upgrades!$T$7="First Photons",POWER(Upgrades!$U$7,F174),1)*IF(Upgrades!$T$8="First Photons",POWER(Upgrades!$U$8,G174),1)*IF(Upgrades!$T$9="First Photons",POWER(Upgrades!$U$9,H174),1)*IF(Upgrades!$T$10="First Photons",POWER(Upgrades!$U$10,I174),1)*IF(Upgrades!$T$11="First Photons",POWER(Upgrades!$U$11,J174),1)))*POWER(Upgrades!$P$6,E174)*POWER(Upgrades!$P$7,F174)*POWER(Upgrades!$P$8,G174)*POWER(Upgrades!$P$9,H174)*POWER(Upgrades!$P$10,I174)*POWER(Upgrades!$P$11,J174)*POWER(Upgrades!$P$12,K174)</f>
        <v/>
      </c>
      <c r="O174" s="28">
        <f>((IF(E174=0,0,(Upgrades!$M$6+E174*Upgrades!$N$6)*POWER(Upgrades!$O$6,E174)))*(IF(Upgrades!$T$7="Solar Wind",POWER(Upgrades!$U$7,F174),1)*IF(Upgrades!$T$8="Solar Wind",POWER(Upgrades!$U$8,G174),1)*IF(Upgrades!$T$9="Solar Wind",POWER(Upgrades!$U$9,H174),1)*IF(Upgrades!$T$10="Solar Wind",POWER(Upgrades!$U$10,I174),1)*IF(Upgrades!$T$11="Solar Wind",POWER(Upgrades!$U$11,J174),1)*IF(Upgrades!$T$12="Solar Wind",POWER(Upgrades!$U$12,K174),1))+(IF(F174=0,0,(Upgrades!$M$7+F174*Upgrades!$N$7)*POWER(Upgrades!$O$7,F174)))*(IF(Upgrades!$T$6="Asteroid Belt",POWER(Upgrades!$U$6,E174),1)*IF(Upgrades!$T$8="Asteroid Belt",POWER(Upgrades!$U$8,G174),1)*IF(Upgrades!$T$9="Asteroid Belt",POWER(Upgrades!$U$9,H174),1)*IF(Upgrades!$T$10="Asteroid Belt",POWER(Upgrades!$U$10,I174),1)*IF(Upgrades!$T$11="Asteroid Belt",POWER(Upgrades!$U$11,J174),1)*IF(Upgrades!$T$12="Asteroid Belt",POWER(Upgrades!$U$12,K174),1))+(IF(G174=0,0,(Upgrades!$M$8+G174*Upgrades!$N$8)*POWER(Upgrades!$O$8,G174)))*(IF(Upgrades!$T$6="Stellar Coupling",POWER(Upgrades!$U$6,E174),1)*IF(Upgrades!$T$7="Stellar Coupling",POWER(Upgrades!$U$7,F174),1)*IF(Upgrades!$T$9="Stellar Coupling",POWER(Upgrades!$U$9,H174),1)*IF(Upgrades!$T$10="Stellar Coupling",POWER(Upgrades!$U$10,I174),1)*IF(Upgrades!$T$11="Stellar Coupling",POWER(Upgrades!$U$11,J174),1)*IF(Upgrades!$T$12="Stellar Coupling",POWER(Upgrades!$U$12,K174),1))+(IF(H174=0,0,(Upgrades!$M$9+H174*Upgrades!$N$9)*POWER(Upgrades!$O$9,H174)))*(IF(Upgrades!$T$6="Magnetosphere",POWER(Upgrades!$U$6,E174),1)*IF(Upgrades!$T$7="Magnetosphere",POWER(Upgrades!$U$7,F174),1)*IF(Upgrades!$T$8="Magnetosphere",POWER(Upgrades!$U$8,G174),1)*IF(Upgrades!$T$10="Magnetosphere",POWER(Upgrades!$U$10,I174),1)*IF(Upgrades!$T$11="Magnetosphere",POWER(Upgrades!$U$11,J174),1)*IF(Upgrades!$T$12="Magnetosphere",POWER(Upgrades!$U$12,K174),1))+(IF(I174=0,0,(Upgrades!$M$10+I174*Upgrades!$N$10)*POWER(Upgrades!$O$10,I174)))*(IF(Upgrades!$T$6="Orbital Resonance",POWER(Upgrades!$U$6,E174),1)*IF(Upgrades!$T$7="Orbital Resonance",POWER(Upgrades!$U$7,F174),1)*IF(Upgrades!$T$8="Orbital Resonance",POWER(Upgrades!$U$8,G174),1)*IF(Upgrades!$T$9="Orbital Resonance",POWER(Upgrades!$U$9,H174),1)*IF(Upgrades!$T$11="Orbital Resonance",POWER(Upgrades!$U$11,J174),1)*IF(Upgrades!$T$12="Orbital Resonance",POWER(Upgrades!$U$12,K174),1))+(IF(J174=0,0,(Upgrades!$M$11+J174*Upgrades!$N$11)*POWER(Upgrades!$O$11,J174)))*(IF(Upgrades!$T$6="Heliopause",POWER(Upgrades!$U$6,E174),1)*IF(Upgrades!$T$7="Heliopause",POWER(Upgrades!$U$7,F174),1)*IF(Upgrades!$T$8="Heliopause",POWER(Upgrades!$U$8,G174),1)*IF(Upgrades!$T$9="Heliopause",POWER(Upgrades!$U$9,H174),1)*IF(Upgrades!$T$10="Heliopause",POWER(Upgrades!$U$10,I174),1)*IF(Upgrades!$T$12="Heliopause",POWER(Upgrades!$U$12,K174),1))+(IF(K174=0,0,(Upgrades!$M$12+K174*Upgrades!$N$12)*POWER(Upgrades!$O$12,K174)))*(IF(Upgrades!$T$6="First Photons",POWER(Upgrades!$U$6,E174),1)*IF(Upgrades!$T$7="First Photons",POWER(Upgrades!$U$7,F174),1)*IF(Upgrades!$T$8="First Photons",POWER(Upgrades!$U$8,G174),1)*IF(Upgrades!$T$9="First Photons",POWER(Upgrades!$U$9,H174),1)*IF(Upgrades!$T$10="First Photons",POWER(Upgrades!$U$10,I174),1)*IF(Upgrades!$T$11="First Photons",POWER(Upgrades!$U$11,J174),1)))*POWER(Upgrades!$R$6,E174)*POWER(Upgrades!$R$7,F174)*POWER(Upgrades!$R$8,G174)*POWER(Upgrades!$R$9,H174)*POWER(Upgrades!$R$10,I174)*POWER(Upgrades!$R$11,J174)*POWER(Upgrades!$R$12,K174)</f>
        <v/>
      </c>
      <c r="P174" s="27">
        <f>IF(L174=1,0,M174*Parameters!$B$10/60*Parameters!$B$11*10)</f>
        <v/>
      </c>
      <c r="Q174" s="27">
        <f>IF(L174=1,0,O174*M174*10)</f>
        <v/>
      </c>
      <c r="R174" s="27">
        <f>IF(L174=1,0,N174*10)</f>
        <v/>
      </c>
      <c r="S174" s="27">
        <f>P174+Q174+R174</f>
        <v/>
      </c>
      <c r="T174" s="22">
        <f>C174+S174</f>
        <v/>
      </c>
      <c r="U174" s="33">
        <f>AX174</f>
        <v/>
      </c>
      <c r="V174" s="22">
        <f>IF(U174="",0,IF(U174="transition",0,IF(U174="SW",AG174,IF(U174="AB",AH174,IF(U174="SC",AI174,IF(U174="Mag",AJ174,IF(U174="OR",AK174,IF(U174="HP",AL174,IF(U174="FP",AM174,0)))))))))</f>
        <v/>
      </c>
      <c r="W174" s="27">
        <f>IF(U174="OR",Upgrades!$F$10,IF(U174="HP",Upgrades!$F$11,IF(U174="transition",-Parameters!$B$18,0)))</f>
        <v/>
      </c>
      <c r="X174" s="22">
        <f>T174-V174</f>
        <v/>
      </c>
      <c r="Y174" s="30">
        <f>M174*Parameters!$B$10/60*Parameters!$B$11+O174*M174+N174</f>
        <v/>
      </c>
      <c r="Z174" s="34">
        <f>IF(U174="transition","→ Tier 2 (Stellar Neighborhood)",IF(U174="FP","First Photons — light begins, system quickens",IF(U174="HP","Heliopause acquired",IF(U174="OR","Orbital Resonance — passive multiplier active",IF(AND(AO174=1,L174=0,AN174&lt;&gt;1),"Cohesion ready (waiting on completionist upgrades)","")))))</f>
        <v/>
      </c>
      <c r="AA174" s="27">
        <f>(IF(E174=0,0,(Upgrades!$G$6+E174*Upgrades!$H$6)*POWER(Upgrades!$I$6,E174)))*(IF(Upgrades!$T$7="Solar Wind",POWER(Upgrades!$U$7,F174),1)*IF(Upgrades!$T$8="Solar Wind",POWER(Upgrades!$U$8,G174),1)*IF(Upgrades!$T$9="Solar Wind",POWER(Upgrades!$U$9,H174),1)*IF(Upgrades!$T$10="Solar Wind",POWER(Upgrades!$U$10,I174),1)*IF(Upgrades!$T$11="Solar Wind",POWER(Upgrades!$U$11,J174),1)*IF(Upgrades!$T$12="Solar Wind",POWER(Upgrades!$U$12,K174),1))*POWER(Upgrades!$P$6,E174)*POWER(Upgrades!$P$7,F174)*POWER(Upgrades!$P$8,G174)*POWER(Upgrades!$P$9,H174)*POWER(Upgrades!$P$10,I174)*POWER(Upgrades!$P$11,J174)*POWER(Upgrades!$P$12,K174)*60</f>
        <v/>
      </c>
      <c r="AB174" s="27">
        <f>(IF(F174=0,0,(Upgrades!$G$7+F174*Upgrades!$H$7)*POWER(Upgrades!$I$7,F174)))*(IF(Upgrades!$T$6="Asteroid Belt",POWER(Upgrades!$U$6,E174),1)*IF(Upgrades!$T$8="Asteroid Belt",POWER(Upgrades!$U$8,G174),1)*IF(Upgrades!$T$9="Asteroid Belt",POWER(Upgrades!$U$9,H174),1)*IF(Upgrades!$T$10="Asteroid Belt",POWER(Upgrades!$U$10,I174),1)*IF(Upgrades!$T$11="Asteroid Belt",POWER(Upgrades!$U$11,J174),1)*IF(Upgrades!$T$12="Asteroid Belt",POWER(Upgrades!$U$12,K174),1))*POWER(Upgrades!$P$6,E174)*POWER(Upgrades!$P$7,F174)*POWER(Upgrades!$P$8,G174)*POWER(Upgrades!$P$9,H174)*POWER(Upgrades!$P$10,I174)*POWER(Upgrades!$P$11,J174)*POWER(Upgrades!$P$12,K174)*60</f>
        <v/>
      </c>
      <c r="AC174" s="27">
        <f>(IF(G174=0,0,(Upgrades!$J$8+G174*Upgrades!$K$8)*POWER(Upgrades!$L$8,G174)))*(IF(Upgrades!$T$6="Stellar Coupling",POWER(Upgrades!$U$6,E174),1)*IF(Upgrades!$T$7="Stellar Coupling",POWER(Upgrades!$U$7,F174),1)*IF(Upgrades!$T$9="Stellar Coupling",POWER(Upgrades!$U$9,H174),1)*IF(Upgrades!$T$10="Stellar Coupling",POWER(Upgrades!$U$10,I174),1)*IF(Upgrades!$T$11="Stellar Coupling",POWER(Upgrades!$U$11,J174),1)*IF(Upgrades!$T$12="Stellar Coupling",POWER(Upgrades!$U$12,K174),1))*POWER(Upgrades!$Q$6,E174)*POWER(Upgrades!$Q$7,F174)*POWER(Upgrades!$Q$8,G174)*POWER(Upgrades!$Q$9,H174)*POWER(Upgrades!$Q$10,I174)*POWER(Upgrades!$Q$11,J174)*POWER(Upgrades!$Q$12,K174)*Parameters!$B$10*Parameters!$B$11</f>
        <v/>
      </c>
      <c r="AD174" s="27">
        <f>(IF(H174=0,0,(Upgrades!$G$9+H174*Upgrades!$H$9)*POWER(Upgrades!$I$9,H174)))*(IF(Upgrades!$T$6="Magnetosphere",POWER(Upgrades!$U$6,E174),1)*IF(Upgrades!$T$7="Magnetosphere",POWER(Upgrades!$U$7,F174),1)*IF(Upgrades!$T$8="Magnetosphere",POWER(Upgrades!$U$8,G174),1)*IF(Upgrades!$T$10="Magnetosphere",POWER(Upgrades!$U$10,I174),1)*IF(Upgrades!$T$11="Magnetosphere",POWER(Upgrades!$U$11,J174),1)*IF(Upgrades!$T$12="Magnetosphere",POWER(Upgrades!$U$12,K174),1))*POWER(Upgrades!$P$6,E174)*POWER(Upgrades!$P$7,F174)*POWER(Upgrades!$P$8,G174)*POWER(Upgrades!$P$9,H174)*POWER(Upgrades!$P$10,I174)*POWER(Upgrades!$P$11,J174)*POWER(Upgrades!$P$12,K174)*60</f>
        <v/>
      </c>
      <c r="AE174" s="27">
        <f>(IF(K174=0,0,(Upgrades!$G$12+K174*Upgrades!$H$12)*POWER(Upgrades!$I$12,K174)))*(IF(Upgrades!$T$6="First Photons",POWER(Upgrades!$U$6,E174),1)*IF(Upgrades!$T$7="First Photons",POWER(Upgrades!$U$7,F174),1)*IF(Upgrades!$T$8="First Photons",POWER(Upgrades!$U$8,G174),1)*IF(Upgrades!$T$9="First Photons",POWER(Upgrades!$U$9,H174),1)*IF(Upgrades!$T$10="First Photons",POWER(Upgrades!$U$10,I174),1)*IF(Upgrades!$T$11="First Photons",POWER(Upgrades!$U$11,J174),1))*POWER(Upgrades!$P$6,E174)*POWER(Upgrades!$P$7,F174)*POWER(Upgrades!$P$8,G174)*POWER(Upgrades!$P$9,H174)*POWER(Upgrades!$P$10,I174)*POWER(Upgrades!$P$11,J174)*POWER(Upgrades!$P$12,K174)*60</f>
        <v/>
      </c>
      <c r="AF174" s="27">
        <f>Parameters!$B$9*POWER(Upgrades!$Q$6,E174)*POWER(Upgrades!$Q$7,F174)*POWER(Upgrades!$Q$8,G174)*POWER(Upgrades!$Q$9,H174)*POWER(Upgrades!$Q$10,I174)*POWER(Upgrades!$Q$11,J174)*POWER(Upgrades!$Q$12,K174)*(Parameters!$B$10*Parameters!$B$11+O174*60)</f>
        <v/>
      </c>
      <c r="AG174" s="22">
        <f>IF(E174&gt;=Upgrades!$E$6,"",Upgrades!$C$6*POWER(Upgrades!$D$6,E174))</f>
        <v/>
      </c>
      <c r="AH174" s="22">
        <f>IF(F174&gt;=Upgrades!$E$7,"",Upgrades!$C$7*POWER(Upgrades!$D$7,F174))</f>
        <v/>
      </c>
      <c r="AI174" s="22">
        <f>IF(G174&gt;=Upgrades!$E$8,"",Upgrades!$C$8*POWER(Upgrades!$D$8,G174))</f>
        <v/>
      </c>
      <c r="AJ174" s="22">
        <f>IF(H174&gt;=Upgrades!$E$9,"",Upgrades!$C$9*POWER(Upgrades!$D$9,H174))</f>
        <v/>
      </c>
      <c r="AK174" s="22">
        <f>IF(I174&gt;=Upgrades!$E$10,"",Upgrades!$C$10*POWER(Upgrades!$D$10,I174))</f>
        <v/>
      </c>
      <c r="AL174" s="22">
        <f>IF(J174&gt;=Upgrades!$E$11,"",Upgrades!$C$11*POWER(Upgrades!$D$11,J174))</f>
        <v/>
      </c>
      <c r="AM174" s="22">
        <f>IF(K174&gt;=Upgrades!$E$12,"",Upgrades!$C$12*POWER(Upgrades!$D$12,K174))</f>
        <v/>
      </c>
      <c r="AN174" s="26">
        <f>IF(AND(D174&gt;=Parameters!$B$18,(H174&gt;=Upgrades!$E$9)*(K174&gt;=Upgrades!$E$12)=1,L174=0),1,"")</f>
        <v/>
      </c>
      <c r="AO174" s="26">
        <f>IF(AND(D174&gt;=Parameters!$B$18,L174=0),1,"")</f>
        <v/>
      </c>
      <c r="AP174" s="22">
        <f>MIN(IF(ISNUMBER(AK174),AK174,9E15),IF(ISNUMBER(AL174),AL174,9E15),IF(ISNUMBER(AM174),AM174,9E15))</f>
        <v/>
      </c>
      <c r="AQ174" s="22">
        <f>MIN(IF(ISNUMBER(AG174),AG174,9E15),IF(ISNUMBER(AH174),AH174,9E15),IF(ISNUMBER(AI174),AI174,9E15),IF(ISNUMBER(AJ174),AJ174,9E15))</f>
        <v/>
      </c>
      <c r="AR174" s="29">
        <f>IF(AW174&gt;Parameters!$B$21*(MAX(IF(AND(NOT(AND(AO174=1,AN174&lt;&gt;1)),ISNUMBER(AG174),AG174&lt;=T174),AS174,0),IF(AND(NOT(AND(AO174=1,AN174&lt;&gt;1)),ISNUMBER(AH174),AH174&lt;=T174),AT174,0),IF(AND(NOT(AND(AO174=1,AN174&lt;&gt;1)),ISNUMBER(AI174),AI174&lt;=T174),AU174,0),IF(AND(ISNUMBER(AJ174),AJ174&lt;=T174),AV174,0))),TRUE,FALSE)</f>
        <v/>
      </c>
      <c r="AS174" s="32">
        <f>IFERROR(Upgrades!$H$6*(POWER(Upgrades!$P$6,E174)*POWER(Upgrades!$P$7,F174)*POWER(Upgrades!$P$8,G174)*POWER(Upgrades!$P$9,H174)*POWER(Upgrades!$P$10,I174)*POWER(Upgrades!$P$11,J174)*POWER(Upgrades!$P$12,K174))*(IF(Upgrades!$T$7="Solar Wind",POWER(Upgrades!$U$7,F174),1)*IF(Upgrades!$T$8="Solar Wind",POWER(Upgrades!$U$8,G174),1)*IF(Upgrades!$T$9="Solar Wind",POWER(Upgrades!$U$9,H174),1)*IF(Upgrades!$T$10="Solar Wind",POWER(Upgrades!$U$10,I174),1)*IF(Upgrades!$T$11="Solar Wind",POWER(Upgrades!$U$11,J174),1)*IF(Upgrades!$T$12="Solar Wind",POWER(Upgrades!$U$12,K174),1))/AG174,0)</f>
        <v/>
      </c>
      <c r="AT174" s="32">
        <f>IFERROR(Upgrades!$H$7*(POWER(Upgrades!$P$6,E174)*POWER(Upgrades!$P$7,F174)*POWER(Upgrades!$P$8,G174)*POWER(Upgrades!$P$9,H174)*POWER(Upgrades!$P$10,I174)*POWER(Upgrades!$P$11,J174)*POWER(Upgrades!$P$12,K174))*(IF(Upgrades!$T$6="Asteroid Belt",POWER(Upgrades!$U$6,E174),1)*IF(Upgrades!$T$8="Asteroid Belt",POWER(Upgrades!$U$8,G174),1)*IF(Upgrades!$T$9="Asteroid Belt",POWER(Upgrades!$U$9,H174),1)*IF(Upgrades!$T$10="Asteroid Belt",POWER(Upgrades!$U$10,I174),1)*IF(Upgrades!$T$11="Asteroid Belt",POWER(Upgrades!$U$11,J174),1)*IF(Upgrades!$T$12="Asteroid Belt",POWER(Upgrades!$U$12,K174),1))/AH174,0)</f>
        <v/>
      </c>
      <c r="AU174" s="32">
        <f>IFERROR(Upgrades!$K$8*(POWER(Upgrades!$Q$6,E174)*POWER(Upgrades!$Q$7,F174)*POWER(Upgrades!$Q$8,G174)*POWER(Upgrades!$Q$9,H174)*POWER(Upgrades!$Q$10,I174)*POWER(Upgrades!$Q$11,J174)*POWER(Upgrades!$Q$12,K174))*(IF(Upgrades!$T$6="Stellar Coupling",POWER(Upgrades!$U$6,E174),1)*IF(Upgrades!$T$7="Stellar Coupling",POWER(Upgrades!$U$7,F174),1)*IF(Upgrades!$T$9="Stellar Coupling",POWER(Upgrades!$U$9,H174),1)*IF(Upgrades!$T$10="Stellar Coupling",POWER(Upgrades!$U$10,I174),1)*IF(Upgrades!$T$11="Stellar Coupling",POWER(Upgrades!$U$11,J174),1)*IF(Upgrades!$T$12="Stellar Coupling",POWER(Upgrades!$U$12,K174),1))*Parameters!$B$10*Parameters!$B$11/60/AI174,0)</f>
        <v/>
      </c>
      <c r="AV174" s="32">
        <f>IFERROR(Upgrades!$H$9*(POWER(Upgrades!$P$6,E174)*POWER(Upgrades!$P$7,F174)*POWER(Upgrades!$P$8,G174)*POWER(Upgrades!$P$9,H174)*POWER(Upgrades!$P$10,I174)*POWER(Upgrades!$P$11,J174)*POWER(Upgrades!$P$12,K174))*(IF(Upgrades!$T$6="Magnetosphere",POWER(Upgrades!$U$6,E174),1)*IF(Upgrades!$T$7="Magnetosphere",POWER(Upgrades!$U$7,F174),1)*IF(Upgrades!$T$8="Magnetosphere",POWER(Upgrades!$U$8,G174),1)*IF(Upgrades!$T$10="Magnetosphere",POWER(Upgrades!$U$10,I174),1)*IF(Upgrades!$T$11="Magnetosphere",POWER(Upgrades!$U$11,J174),1)*IF(Upgrades!$T$12="Magnetosphere",POWER(Upgrades!$U$12,K174),1))/AJ174,0)</f>
        <v/>
      </c>
      <c r="AW174" s="32">
        <f>MAX(IF(I174&gt;0,0,IFERROR(0.25*N174/Upgrades!$C$10,0)),IF(J174&gt;0,0,IFERROR(0.5*((IF(G174=0,0,(Upgrades!$J$8+G174*Upgrades!$K$8)*POWER(Upgrades!$L$8,G174)))*(IF(Upgrades!$T$6="Stellar Coupling",POWER(Upgrades!$U$6,E174),1)*IF(Upgrades!$T$7="Stellar Coupling",POWER(Upgrades!$U$7,F174),1)*IF(Upgrades!$T$9="Stellar Coupling",POWER(Upgrades!$U$9,H174),1)*IF(Upgrades!$T$10="Stellar Coupling",POWER(Upgrades!$U$10,I174),1)*IF(Upgrades!$T$11="Stellar Coupling",POWER(Upgrades!$U$11,J174),1)*IF(Upgrades!$T$12="Stellar Coupling",POWER(Upgrades!$U$12,K174),1))*(POWER(Upgrades!$Q$6,E174)*POWER(Upgrades!$Q$7,F174)*POWER(Upgrades!$Q$8,G174)*POWER(Upgrades!$Q$9,H174)*POWER(Upgrades!$Q$10,I174)*POWER(Upgrades!$Q$11,J174)*POWER(Upgrades!$Q$12,K174))*Parameters!$B$10*Parameters!$B$11/60)/Upgrades!$C$11,0)),IF(K174&gt;0,0,IFERROR((1.0*(POWER(Upgrades!$P$6,E174)*POWER(Upgrades!$P$7,F174)*POWER(Upgrades!$P$8,G174)*POWER(Upgrades!$P$9,H174)*POWER(Upgrades!$P$10,I174)*POWER(Upgrades!$P$11,J174)*POWER(Upgrades!$P$12,K174))+0.20*M174*Parameters!$B$10*Parameters!$B$11/60)/Upgrades!$C$12,0)),IF(AND(ISNUMBER(AG174),AG174&gt;T174),AS174,0),IF(AND(ISNUMBER(AH174),AH174&gt;T174),AT174,0),IF(AND(ISNUMBER(AI174),AI174&gt;T174),AU174,0),IF(AND(ISNUMBER(AJ174),AJ174&gt;T174),AV174,0))</f>
        <v/>
      </c>
      <c r="AX174" s="29">
        <f>IF(AN174=1,"transition",IF(MIN(IF(AND(I174=0,ISNUMBER(AK174),AK174&lt;=T174),AK174,9E15),IF(AND(J174=0,ISNUMBER(AL174),AL174&lt;=T174),AL174,9E15),IF(AND(K174=0,ISNUMBER(AM174),AM174&lt;=T174),AM174,9E15))&lt;9E15,IF(AND(AND(I174=0,ISNUMBER(AK174),AK174&lt;=T174),AK174=MIN(IF(AND(I174=0,ISNUMBER(AK174),AK174&lt;=T174),AK174,9E15),IF(AND(J174=0,ISNUMBER(AL174),AL174&lt;=T174),AL174,9E15),IF(AND(K174=0,ISNUMBER(AM174),AM174&lt;=T174),AM174,9E15))),"OR",IF(AND(AND(J174=0,ISNUMBER(AL174),AL174&lt;=T174),AL174=MIN(IF(AND(I174=0,ISNUMBER(AK174),AK174&lt;=T174),AK174,9E15),IF(AND(J174=0,ISNUMBER(AL174),AL174&lt;=T174),AL174,9E15),IF(AND(K174=0,ISNUMBER(AM174),AM174&lt;=T174),AM174,9E15))),"HP","FP")),IF(AR174=TRUE,"",IF(MAX(IF(AND(NOT(AND(AO174=1,AN174&lt;&gt;1)),ISNUMBER(AG174),AG174&lt;=T174),AS174,0),IF(AND(NOT(AND(AO174=1,AN174&lt;&gt;1)),ISNUMBER(AH174),AH174&lt;=T174),AT174,0),IF(AND(NOT(AND(AO174=1,AN174&lt;&gt;1)),ISNUMBER(AI174),AI174&lt;=T174),AU174,0),IF(AND(ISNUMBER(AJ174),AJ174&lt;=T174),AV174,0))&lt;=0,"",IF(AND(IF(AND(NOT(AND(AO174=1,AN174&lt;&gt;1)),ISNUMBER(AG174),AG174&lt;=T174),AS174,0)&gt;0,IF(AND(NOT(AND(AO174=1,AN174&lt;&gt;1)),ISNUMBER(AG174),AG174&lt;=T174),AS174,0)=MAX(IF(AND(NOT(AND(AO174=1,AN174&lt;&gt;1)),ISNUMBER(AG174),AG174&lt;=T174),AS174,0),IF(AND(NOT(AND(AO174=1,AN174&lt;&gt;1)),ISNUMBER(AH174),AH174&lt;=T174),AT174,0),IF(AND(NOT(AND(AO174=1,AN174&lt;&gt;1)),ISNUMBER(AI174),AI174&lt;=T174),AU174,0),IF(AND(ISNUMBER(AJ174),AJ174&lt;=T174),AV174,0))),"SW",IF(AND(IF(AND(NOT(AND(AO174=1,AN174&lt;&gt;1)),ISNUMBER(AH174),AH174&lt;=T174),AT174,0)&gt;0,IF(AND(NOT(AND(AO174=1,AN174&lt;&gt;1)),ISNUMBER(AH174),AH174&lt;=T174),AT174,0)=MAX(IF(AND(NOT(AND(AO174=1,AN174&lt;&gt;1)),ISNUMBER(AG174),AG174&lt;=T174),AS174,0),IF(AND(NOT(AND(AO174=1,AN174&lt;&gt;1)),ISNUMBER(AH174),AH174&lt;=T174),AT174,0),IF(AND(NOT(AND(AO174=1,AN174&lt;&gt;1)),ISNUMBER(AI174),AI174&lt;=T174),AU174,0),IF(AND(ISNUMBER(AJ174),AJ174&lt;=T174),AV174,0))),"AB",IF(AND(IF(AND(NOT(AND(AO174=1,AN174&lt;&gt;1)),ISNUMBER(AI174),AI174&lt;=T174),AU174,0)&gt;0,IF(AND(NOT(AND(AO174=1,AN174&lt;&gt;1)),ISNUMBER(AI174),AI174&lt;=T174),AU174,0)=MAX(IF(AND(NOT(AND(AO174=1,AN174&lt;&gt;1)),ISNUMBER(AG174),AG174&lt;=T174),AS174,0),IF(AND(NOT(AND(AO174=1,AN174&lt;&gt;1)),ISNUMBER(AH174),AH174&lt;=T174),AT174,0),IF(AND(NOT(AND(AO174=1,AN174&lt;&gt;1)),ISNUMBER(AI174),AI174&lt;=T174),AU174,0),IF(AND(ISNUMBER(AJ174),AJ174&lt;=T174),AV174,0))),"SC","Mag")))))))</f>
        <v/>
      </c>
    </row>
    <row r="175">
      <c r="A175" s="26" t="n">
        <v>170</v>
      </c>
      <c r="B175" s="27">
        <f>A175*10/60</f>
        <v/>
      </c>
      <c r="C175" s="22">
        <f>X174</f>
        <v/>
      </c>
      <c r="D175" s="27">
        <f>D174+W174</f>
        <v/>
      </c>
      <c r="E175" s="26">
        <f>E174+IF(U174="SW",1,0)</f>
        <v/>
      </c>
      <c r="F175" s="26">
        <f>F174+IF(U174="AB",1,0)</f>
        <v/>
      </c>
      <c r="G175" s="26">
        <f>G174+IF(U174="SC",1,0)</f>
        <v/>
      </c>
      <c r="H175" s="26">
        <f>H174+IF(U174="Mag",1,0)</f>
        <v/>
      </c>
      <c r="I175" s="26">
        <f>MAX(I174,IF(U174="OR",1,0))</f>
        <v/>
      </c>
      <c r="J175" s="26">
        <f>MAX(J174,IF(U174="HP",1,0))</f>
        <v/>
      </c>
      <c r="K175" s="26">
        <f>MAX(K174,IF(U174="FP",1,0))</f>
        <v/>
      </c>
      <c r="L175" s="26">
        <f>MAX(L174,IF(U174="transition",1,0))</f>
        <v/>
      </c>
      <c r="M175" s="28">
        <f>(Parameters!$B$9+(IF(E175=0,0,(Upgrades!$J$6+E175*Upgrades!$K$6)*POWER(Upgrades!$L$6,E175)))*(IF(Upgrades!$T$7="Solar Wind",POWER(Upgrades!$U$7,F175),1)*IF(Upgrades!$T$8="Solar Wind",POWER(Upgrades!$U$8,G175),1)*IF(Upgrades!$T$9="Solar Wind",POWER(Upgrades!$U$9,H175),1)*IF(Upgrades!$T$10="Solar Wind",POWER(Upgrades!$U$10,I175),1)*IF(Upgrades!$T$11="Solar Wind",POWER(Upgrades!$U$11,J175),1)*IF(Upgrades!$T$12="Solar Wind",POWER(Upgrades!$U$12,K175),1))+(IF(F175=0,0,(Upgrades!$J$7+F175*Upgrades!$K$7)*POWER(Upgrades!$L$7,F175)))*(IF(Upgrades!$T$6="Asteroid Belt",POWER(Upgrades!$U$6,E175),1)*IF(Upgrades!$T$8="Asteroid Belt",POWER(Upgrades!$U$8,G175),1)*IF(Upgrades!$T$9="Asteroid Belt",POWER(Upgrades!$U$9,H175),1)*IF(Upgrades!$T$10="Asteroid Belt",POWER(Upgrades!$U$10,I175),1)*IF(Upgrades!$T$11="Asteroid Belt",POWER(Upgrades!$U$11,J175),1)*IF(Upgrades!$T$12="Asteroid Belt",POWER(Upgrades!$U$12,K175),1))+(IF(G175=0,0,(Upgrades!$J$8+G175*Upgrades!$K$8)*POWER(Upgrades!$L$8,G175)))*(IF(Upgrades!$T$6="Stellar Coupling",POWER(Upgrades!$U$6,E175),1)*IF(Upgrades!$T$7="Stellar Coupling",POWER(Upgrades!$U$7,F175),1)*IF(Upgrades!$T$9="Stellar Coupling",POWER(Upgrades!$U$9,H175),1)*IF(Upgrades!$T$10="Stellar Coupling",POWER(Upgrades!$U$10,I175),1)*IF(Upgrades!$T$11="Stellar Coupling",POWER(Upgrades!$U$11,J175),1)*IF(Upgrades!$T$12="Stellar Coupling",POWER(Upgrades!$U$12,K175),1))+(IF(H175=0,0,(Upgrades!$J$9+H175*Upgrades!$K$9)*POWER(Upgrades!$L$9,H175)))*(IF(Upgrades!$T$6="Magnetosphere",POWER(Upgrades!$U$6,E175),1)*IF(Upgrades!$T$7="Magnetosphere",POWER(Upgrades!$U$7,F175),1)*IF(Upgrades!$T$8="Magnetosphere",POWER(Upgrades!$U$8,G175),1)*IF(Upgrades!$T$10="Magnetosphere",POWER(Upgrades!$U$10,I175),1)*IF(Upgrades!$T$11="Magnetosphere",POWER(Upgrades!$U$11,J175),1)*IF(Upgrades!$T$12="Magnetosphere",POWER(Upgrades!$U$12,K175),1))+(IF(I175=0,0,(Upgrades!$J$10+I175*Upgrades!$K$10)*POWER(Upgrades!$L$10,I175)))*(IF(Upgrades!$T$6="Orbital Resonance",POWER(Upgrades!$U$6,E175),1)*IF(Upgrades!$T$7="Orbital Resonance",POWER(Upgrades!$U$7,F175),1)*IF(Upgrades!$T$8="Orbital Resonance",POWER(Upgrades!$U$8,G175),1)*IF(Upgrades!$T$9="Orbital Resonance",POWER(Upgrades!$U$9,H175),1)*IF(Upgrades!$T$11="Orbital Resonance",POWER(Upgrades!$U$11,J175),1)*IF(Upgrades!$T$12="Orbital Resonance",POWER(Upgrades!$U$12,K175),1))+(IF(J175=0,0,(Upgrades!$J$11+J175*Upgrades!$K$11)*POWER(Upgrades!$L$11,J175)))*(IF(Upgrades!$T$6="Heliopause",POWER(Upgrades!$U$6,E175),1)*IF(Upgrades!$T$7="Heliopause",POWER(Upgrades!$U$7,F175),1)*IF(Upgrades!$T$8="Heliopause",POWER(Upgrades!$U$8,G175),1)*IF(Upgrades!$T$9="Heliopause",POWER(Upgrades!$U$9,H175),1)*IF(Upgrades!$T$10="Heliopause",POWER(Upgrades!$U$10,I175),1)*IF(Upgrades!$T$12="Heliopause",POWER(Upgrades!$U$12,K175),1))+(IF(K175=0,0,(Upgrades!$J$12+K175*Upgrades!$K$12)*POWER(Upgrades!$L$12,K175)))*(IF(Upgrades!$T$6="First Photons",POWER(Upgrades!$U$6,E175),1)*IF(Upgrades!$T$7="First Photons",POWER(Upgrades!$U$7,F175),1)*IF(Upgrades!$T$8="First Photons",POWER(Upgrades!$U$8,G175),1)*IF(Upgrades!$T$9="First Photons",POWER(Upgrades!$U$9,H175),1)*IF(Upgrades!$T$10="First Photons",POWER(Upgrades!$U$10,I175),1)*IF(Upgrades!$T$11="First Photons",POWER(Upgrades!$U$11,J175),1)))*POWER(Upgrades!$Q$6,E175)*POWER(Upgrades!$Q$7,F175)*POWER(Upgrades!$Q$8,G175)*POWER(Upgrades!$Q$9,H175)*POWER(Upgrades!$Q$10,I175)*POWER(Upgrades!$Q$11,J175)*POWER(Upgrades!$Q$12,K175)</f>
        <v/>
      </c>
      <c r="N175" s="28">
        <f>((IF(E175=0,0,(Upgrades!$G$6+E175*Upgrades!$H$6)*POWER(Upgrades!$I$6,E175)))*(IF(Upgrades!$T$7="Solar Wind",POWER(Upgrades!$U$7,F175),1)*IF(Upgrades!$T$8="Solar Wind",POWER(Upgrades!$U$8,G175),1)*IF(Upgrades!$T$9="Solar Wind",POWER(Upgrades!$U$9,H175),1)*IF(Upgrades!$T$10="Solar Wind",POWER(Upgrades!$U$10,I175),1)*IF(Upgrades!$T$11="Solar Wind",POWER(Upgrades!$U$11,J175),1)*IF(Upgrades!$T$12="Solar Wind",POWER(Upgrades!$U$12,K175),1))+(IF(F175=0,0,(Upgrades!$G$7+F175*Upgrades!$H$7)*POWER(Upgrades!$I$7,F175)))*(IF(Upgrades!$T$6="Asteroid Belt",POWER(Upgrades!$U$6,E175),1)*IF(Upgrades!$T$8="Asteroid Belt",POWER(Upgrades!$U$8,G175),1)*IF(Upgrades!$T$9="Asteroid Belt",POWER(Upgrades!$U$9,H175),1)*IF(Upgrades!$T$10="Asteroid Belt",POWER(Upgrades!$U$10,I175),1)*IF(Upgrades!$T$11="Asteroid Belt",POWER(Upgrades!$U$11,J175),1)*IF(Upgrades!$T$12="Asteroid Belt",POWER(Upgrades!$U$12,K175),1))+(IF(G175=0,0,(Upgrades!$G$8+G175*Upgrades!$H$8)*POWER(Upgrades!$I$8,G175)))*(IF(Upgrades!$T$6="Stellar Coupling",POWER(Upgrades!$U$6,E175),1)*IF(Upgrades!$T$7="Stellar Coupling",POWER(Upgrades!$U$7,F175),1)*IF(Upgrades!$T$9="Stellar Coupling",POWER(Upgrades!$U$9,H175),1)*IF(Upgrades!$T$10="Stellar Coupling",POWER(Upgrades!$U$10,I175),1)*IF(Upgrades!$T$11="Stellar Coupling",POWER(Upgrades!$U$11,J175),1)*IF(Upgrades!$T$12="Stellar Coupling",POWER(Upgrades!$U$12,K175),1))+(IF(H175=0,0,(Upgrades!$G$9+H175*Upgrades!$H$9)*POWER(Upgrades!$I$9,H175)))*(IF(Upgrades!$T$6="Magnetosphere",POWER(Upgrades!$U$6,E175),1)*IF(Upgrades!$T$7="Magnetosphere",POWER(Upgrades!$U$7,F175),1)*IF(Upgrades!$T$8="Magnetosphere",POWER(Upgrades!$U$8,G175),1)*IF(Upgrades!$T$10="Magnetosphere",POWER(Upgrades!$U$10,I175),1)*IF(Upgrades!$T$11="Magnetosphere",POWER(Upgrades!$U$11,J175),1)*IF(Upgrades!$T$12="Magnetosphere",POWER(Upgrades!$U$12,K175),1))+(IF(I175=0,0,(Upgrades!$G$10+I175*Upgrades!$H$10)*POWER(Upgrades!$I$10,I175)))*(IF(Upgrades!$T$6="Orbital Resonance",POWER(Upgrades!$U$6,E175),1)*IF(Upgrades!$T$7="Orbital Resonance",POWER(Upgrades!$U$7,F175),1)*IF(Upgrades!$T$8="Orbital Resonance",POWER(Upgrades!$U$8,G175),1)*IF(Upgrades!$T$9="Orbital Resonance",POWER(Upgrades!$U$9,H175),1)*IF(Upgrades!$T$11="Orbital Resonance",POWER(Upgrades!$U$11,J175),1)*IF(Upgrades!$T$12="Orbital Resonance",POWER(Upgrades!$U$12,K175),1))+(IF(J175=0,0,(Upgrades!$G$11+J175*Upgrades!$H$11)*POWER(Upgrades!$I$11,J175)))*(IF(Upgrades!$T$6="Heliopause",POWER(Upgrades!$U$6,E175),1)*IF(Upgrades!$T$7="Heliopause",POWER(Upgrades!$U$7,F175),1)*IF(Upgrades!$T$8="Heliopause",POWER(Upgrades!$U$8,G175),1)*IF(Upgrades!$T$9="Heliopause",POWER(Upgrades!$U$9,H175),1)*IF(Upgrades!$T$10="Heliopause",POWER(Upgrades!$U$10,I175),1)*IF(Upgrades!$T$12="Heliopause",POWER(Upgrades!$U$12,K175),1))+(IF(K175=0,0,(Upgrades!$G$12+K175*Upgrades!$H$12)*POWER(Upgrades!$I$12,K175)))*(IF(Upgrades!$T$6="First Photons",POWER(Upgrades!$U$6,E175),1)*IF(Upgrades!$T$7="First Photons",POWER(Upgrades!$U$7,F175),1)*IF(Upgrades!$T$8="First Photons",POWER(Upgrades!$U$8,G175),1)*IF(Upgrades!$T$9="First Photons",POWER(Upgrades!$U$9,H175),1)*IF(Upgrades!$T$10="First Photons",POWER(Upgrades!$U$10,I175),1)*IF(Upgrades!$T$11="First Photons",POWER(Upgrades!$U$11,J175),1)))*POWER(Upgrades!$P$6,E175)*POWER(Upgrades!$P$7,F175)*POWER(Upgrades!$P$8,G175)*POWER(Upgrades!$P$9,H175)*POWER(Upgrades!$P$10,I175)*POWER(Upgrades!$P$11,J175)*POWER(Upgrades!$P$12,K175)</f>
        <v/>
      </c>
      <c r="O175" s="28">
        <f>((IF(E175=0,0,(Upgrades!$M$6+E175*Upgrades!$N$6)*POWER(Upgrades!$O$6,E175)))*(IF(Upgrades!$T$7="Solar Wind",POWER(Upgrades!$U$7,F175),1)*IF(Upgrades!$T$8="Solar Wind",POWER(Upgrades!$U$8,G175),1)*IF(Upgrades!$T$9="Solar Wind",POWER(Upgrades!$U$9,H175),1)*IF(Upgrades!$T$10="Solar Wind",POWER(Upgrades!$U$10,I175),1)*IF(Upgrades!$T$11="Solar Wind",POWER(Upgrades!$U$11,J175),1)*IF(Upgrades!$T$12="Solar Wind",POWER(Upgrades!$U$12,K175),1))+(IF(F175=0,0,(Upgrades!$M$7+F175*Upgrades!$N$7)*POWER(Upgrades!$O$7,F175)))*(IF(Upgrades!$T$6="Asteroid Belt",POWER(Upgrades!$U$6,E175),1)*IF(Upgrades!$T$8="Asteroid Belt",POWER(Upgrades!$U$8,G175),1)*IF(Upgrades!$T$9="Asteroid Belt",POWER(Upgrades!$U$9,H175),1)*IF(Upgrades!$T$10="Asteroid Belt",POWER(Upgrades!$U$10,I175),1)*IF(Upgrades!$T$11="Asteroid Belt",POWER(Upgrades!$U$11,J175),1)*IF(Upgrades!$T$12="Asteroid Belt",POWER(Upgrades!$U$12,K175),1))+(IF(G175=0,0,(Upgrades!$M$8+G175*Upgrades!$N$8)*POWER(Upgrades!$O$8,G175)))*(IF(Upgrades!$T$6="Stellar Coupling",POWER(Upgrades!$U$6,E175),1)*IF(Upgrades!$T$7="Stellar Coupling",POWER(Upgrades!$U$7,F175),1)*IF(Upgrades!$T$9="Stellar Coupling",POWER(Upgrades!$U$9,H175),1)*IF(Upgrades!$T$10="Stellar Coupling",POWER(Upgrades!$U$10,I175),1)*IF(Upgrades!$T$11="Stellar Coupling",POWER(Upgrades!$U$11,J175),1)*IF(Upgrades!$T$12="Stellar Coupling",POWER(Upgrades!$U$12,K175),1))+(IF(H175=0,0,(Upgrades!$M$9+H175*Upgrades!$N$9)*POWER(Upgrades!$O$9,H175)))*(IF(Upgrades!$T$6="Magnetosphere",POWER(Upgrades!$U$6,E175),1)*IF(Upgrades!$T$7="Magnetosphere",POWER(Upgrades!$U$7,F175),1)*IF(Upgrades!$T$8="Magnetosphere",POWER(Upgrades!$U$8,G175),1)*IF(Upgrades!$T$10="Magnetosphere",POWER(Upgrades!$U$10,I175),1)*IF(Upgrades!$T$11="Magnetosphere",POWER(Upgrades!$U$11,J175),1)*IF(Upgrades!$T$12="Magnetosphere",POWER(Upgrades!$U$12,K175),1))+(IF(I175=0,0,(Upgrades!$M$10+I175*Upgrades!$N$10)*POWER(Upgrades!$O$10,I175)))*(IF(Upgrades!$T$6="Orbital Resonance",POWER(Upgrades!$U$6,E175),1)*IF(Upgrades!$T$7="Orbital Resonance",POWER(Upgrades!$U$7,F175),1)*IF(Upgrades!$T$8="Orbital Resonance",POWER(Upgrades!$U$8,G175),1)*IF(Upgrades!$T$9="Orbital Resonance",POWER(Upgrades!$U$9,H175),1)*IF(Upgrades!$T$11="Orbital Resonance",POWER(Upgrades!$U$11,J175),1)*IF(Upgrades!$T$12="Orbital Resonance",POWER(Upgrades!$U$12,K175),1))+(IF(J175=0,0,(Upgrades!$M$11+J175*Upgrades!$N$11)*POWER(Upgrades!$O$11,J175)))*(IF(Upgrades!$T$6="Heliopause",POWER(Upgrades!$U$6,E175),1)*IF(Upgrades!$T$7="Heliopause",POWER(Upgrades!$U$7,F175),1)*IF(Upgrades!$T$8="Heliopause",POWER(Upgrades!$U$8,G175),1)*IF(Upgrades!$T$9="Heliopause",POWER(Upgrades!$U$9,H175),1)*IF(Upgrades!$T$10="Heliopause",POWER(Upgrades!$U$10,I175),1)*IF(Upgrades!$T$12="Heliopause",POWER(Upgrades!$U$12,K175),1))+(IF(K175=0,0,(Upgrades!$M$12+K175*Upgrades!$N$12)*POWER(Upgrades!$O$12,K175)))*(IF(Upgrades!$T$6="First Photons",POWER(Upgrades!$U$6,E175),1)*IF(Upgrades!$T$7="First Photons",POWER(Upgrades!$U$7,F175),1)*IF(Upgrades!$T$8="First Photons",POWER(Upgrades!$U$8,G175),1)*IF(Upgrades!$T$9="First Photons",POWER(Upgrades!$U$9,H175),1)*IF(Upgrades!$T$10="First Photons",POWER(Upgrades!$U$10,I175),1)*IF(Upgrades!$T$11="First Photons",POWER(Upgrades!$U$11,J175),1)))*POWER(Upgrades!$R$6,E175)*POWER(Upgrades!$R$7,F175)*POWER(Upgrades!$R$8,G175)*POWER(Upgrades!$R$9,H175)*POWER(Upgrades!$R$10,I175)*POWER(Upgrades!$R$11,J175)*POWER(Upgrades!$R$12,K175)</f>
        <v/>
      </c>
      <c r="P175" s="27">
        <f>IF(L175=1,0,M175*Parameters!$B$10/60*Parameters!$B$11*10)</f>
        <v/>
      </c>
      <c r="Q175" s="27">
        <f>IF(L175=1,0,O175*M175*10)</f>
        <v/>
      </c>
      <c r="R175" s="27">
        <f>IF(L175=1,0,N175*10)</f>
        <v/>
      </c>
      <c r="S175" s="27">
        <f>P175+Q175+R175</f>
        <v/>
      </c>
      <c r="T175" s="22">
        <f>C175+S175</f>
        <v/>
      </c>
      <c r="U175" s="33">
        <f>AX175</f>
        <v/>
      </c>
      <c r="V175" s="22">
        <f>IF(U175="",0,IF(U175="transition",0,IF(U175="SW",AG175,IF(U175="AB",AH175,IF(U175="SC",AI175,IF(U175="Mag",AJ175,IF(U175="OR",AK175,IF(U175="HP",AL175,IF(U175="FP",AM175,0)))))))))</f>
        <v/>
      </c>
      <c r="W175" s="27">
        <f>IF(U175="OR",Upgrades!$F$10,IF(U175="HP",Upgrades!$F$11,IF(U175="transition",-Parameters!$B$18,0)))</f>
        <v/>
      </c>
      <c r="X175" s="22">
        <f>T175-V175</f>
        <v/>
      </c>
      <c r="Y175" s="30">
        <f>M175*Parameters!$B$10/60*Parameters!$B$11+O175*M175+N175</f>
        <v/>
      </c>
      <c r="Z175" s="34">
        <f>IF(U175="transition","→ Tier 2 (Stellar Neighborhood)",IF(U175="FP","First Photons — light begins, system quickens",IF(U175="HP","Heliopause acquired",IF(U175="OR","Orbital Resonance — passive multiplier active",IF(AND(AO175=1,L175=0,AN175&lt;&gt;1),"Cohesion ready (waiting on completionist upgrades)","")))))</f>
        <v/>
      </c>
      <c r="AA175" s="27">
        <f>(IF(E175=0,0,(Upgrades!$G$6+E175*Upgrades!$H$6)*POWER(Upgrades!$I$6,E175)))*(IF(Upgrades!$T$7="Solar Wind",POWER(Upgrades!$U$7,F175),1)*IF(Upgrades!$T$8="Solar Wind",POWER(Upgrades!$U$8,G175),1)*IF(Upgrades!$T$9="Solar Wind",POWER(Upgrades!$U$9,H175),1)*IF(Upgrades!$T$10="Solar Wind",POWER(Upgrades!$U$10,I175),1)*IF(Upgrades!$T$11="Solar Wind",POWER(Upgrades!$U$11,J175),1)*IF(Upgrades!$T$12="Solar Wind",POWER(Upgrades!$U$12,K175),1))*POWER(Upgrades!$P$6,E175)*POWER(Upgrades!$P$7,F175)*POWER(Upgrades!$P$8,G175)*POWER(Upgrades!$P$9,H175)*POWER(Upgrades!$P$10,I175)*POWER(Upgrades!$P$11,J175)*POWER(Upgrades!$P$12,K175)*60</f>
        <v/>
      </c>
      <c r="AB175" s="27">
        <f>(IF(F175=0,0,(Upgrades!$G$7+F175*Upgrades!$H$7)*POWER(Upgrades!$I$7,F175)))*(IF(Upgrades!$T$6="Asteroid Belt",POWER(Upgrades!$U$6,E175),1)*IF(Upgrades!$T$8="Asteroid Belt",POWER(Upgrades!$U$8,G175),1)*IF(Upgrades!$T$9="Asteroid Belt",POWER(Upgrades!$U$9,H175),1)*IF(Upgrades!$T$10="Asteroid Belt",POWER(Upgrades!$U$10,I175),1)*IF(Upgrades!$T$11="Asteroid Belt",POWER(Upgrades!$U$11,J175),1)*IF(Upgrades!$T$12="Asteroid Belt",POWER(Upgrades!$U$12,K175),1))*POWER(Upgrades!$P$6,E175)*POWER(Upgrades!$P$7,F175)*POWER(Upgrades!$P$8,G175)*POWER(Upgrades!$P$9,H175)*POWER(Upgrades!$P$10,I175)*POWER(Upgrades!$P$11,J175)*POWER(Upgrades!$P$12,K175)*60</f>
        <v/>
      </c>
      <c r="AC175" s="27">
        <f>(IF(G175=0,0,(Upgrades!$J$8+G175*Upgrades!$K$8)*POWER(Upgrades!$L$8,G175)))*(IF(Upgrades!$T$6="Stellar Coupling",POWER(Upgrades!$U$6,E175),1)*IF(Upgrades!$T$7="Stellar Coupling",POWER(Upgrades!$U$7,F175),1)*IF(Upgrades!$T$9="Stellar Coupling",POWER(Upgrades!$U$9,H175),1)*IF(Upgrades!$T$10="Stellar Coupling",POWER(Upgrades!$U$10,I175),1)*IF(Upgrades!$T$11="Stellar Coupling",POWER(Upgrades!$U$11,J175),1)*IF(Upgrades!$T$12="Stellar Coupling",POWER(Upgrades!$U$12,K175),1))*POWER(Upgrades!$Q$6,E175)*POWER(Upgrades!$Q$7,F175)*POWER(Upgrades!$Q$8,G175)*POWER(Upgrades!$Q$9,H175)*POWER(Upgrades!$Q$10,I175)*POWER(Upgrades!$Q$11,J175)*POWER(Upgrades!$Q$12,K175)*Parameters!$B$10*Parameters!$B$11</f>
        <v/>
      </c>
      <c r="AD175" s="27">
        <f>(IF(H175=0,0,(Upgrades!$G$9+H175*Upgrades!$H$9)*POWER(Upgrades!$I$9,H175)))*(IF(Upgrades!$T$6="Magnetosphere",POWER(Upgrades!$U$6,E175),1)*IF(Upgrades!$T$7="Magnetosphere",POWER(Upgrades!$U$7,F175),1)*IF(Upgrades!$T$8="Magnetosphere",POWER(Upgrades!$U$8,G175),1)*IF(Upgrades!$T$10="Magnetosphere",POWER(Upgrades!$U$10,I175),1)*IF(Upgrades!$T$11="Magnetosphere",POWER(Upgrades!$U$11,J175),1)*IF(Upgrades!$T$12="Magnetosphere",POWER(Upgrades!$U$12,K175),1))*POWER(Upgrades!$P$6,E175)*POWER(Upgrades!$P$7,F175)*POWER(Upgrades!$P$8,G175)*POWER(Upgrades!$P$9,H175)*POWER(Upgrades!$P$10,I175)*POWER(Upgrades!$P$11,J175)*POWER(Upgrades!$P$12,K175)*60</f>
        <v/>
      </c>
      <c r="AE175" s="27">
        <f>(IF(K175=0,0,(Upgrades!$G$12+K175*Upgrades!$H$12)*POWER(Upgrades!$I$12,K175)))*(IF(Upgrades!$T$6="First Photons",POWER(Upgrades!$U$6,E175),1)*IF(Upgrades!$T$7="First Photons",POWER(Upgrades!$U$7,F175),1)*IF(Upgrades!$T$8="First Photons",POWER(Upgrades!$U$8,G175),1)*IF(Upgrades!$T$9="First Photons",POWER(Upgrades!$U$9,H175),1)*IF(Upgrades!$T$10="First Photons",POWER(Upgrades!$U$10,I175),1)*IF(Upgrades!$T$11="First Photons",POWER(Upgrades!$U$11,J175),1))*POWER(Upgrades!$P$6,E175)*POWER(Upgrades!$P$7,F175)*POWER(Upgrades!$P$8,G175)*POWER(Upgrades!$P$9,H175)*POWER(Upgrades!$P$10,I175)*POWER(Upgrades!$P$11,J175)*POWER(Upgrades!$P$12,K175)*60</f>
        <v/>
      </c>
      <c r="AF175" s="27">
        <f>Parameters!$B$9*POWER(Upgrades!$Q$6,E175)*POWER(Upgrades!$Q$7,F175)*POWER(Upgrades!$Q$8,G175)*POWER(Upgrades!$Q$9,H175)*POWER(Upgrades!$Q$10,I175)*POWER(Upgrades!$Q$11,J175)*POWER(Upgrades!$Q$12,K175)*(Parameters!$B$10*Parameters!$B$11+O175*60)</f>
        <v/>
      </c>
      <c r="AG175" s="22">
        <f>IF(E175&gt;=Upgrades!$E$6,"",Upgrades!$C$6*POWER(Upgrades!$D$6,E175))</f>
        <v/>
      </c>
      <c r="AH175" s="22">
        <f>IF(F175&gt;=Upgrades!$E$7,"",Upgrades!$C$7*POWER(Upgrades!$D$7,F175))</f>
        <v/>
      </c>
      <c r="AI175" s="22">
        <f>IF(G175&gt;=Upgrades!$E$8,"",Upgrades!$C$8*POWER(Upgrades!$D$8,G175))</f>
        <v/>
      </c>
      <c r="AJ175" s="22">
        <f>IF(H175&gt;=Upgrades!$E$9,"",Upgrades!$C$9*POWER(Upgrades!$D$9,H175))</f>
        <v/>
      </c>
      <c r="AK175" s="22">
        <f>IF(I175&gt;=Upgrades!$E$10,"",Upgrades!$C$10*POWER(Upgrades!$D$10,I175))</f>
        <v/>
      </c>
      <c r="AL175" s="22">
        <f>IF(J175&gt;=Upgrades!$E$11,"",Upgrades!$C$11*POWER(Upgrades!$D$11,J175))</f>
        <v/>
      </c>
      <c r="AM175" s="22">
        <f>IF(K175&gt;=Upgrades!$E$12,"",Upgrades!$C$12*POWER(Upgrades!$D$12,K175))</f>
        <v/>
      </c>
      <c r="AN175" s="26">
        <f>IF(AND(D175&gt;=Parameters!$B$18,(H175&gt;=Upgrades!$E$9)*(K175&gt;=Upgrades!$E$12)=1,L175=0),1,"")</f>
        <v/>
      </c>
      <c r="AO175" s="26">
        <f>IF(AND(D175&gt;=Parameters!$B$18,L175=0),1,"")</f>
        <v/>
      </c>
      <c r="AP175" s="22">
        <f>MIN(IF(ISNUMBER(AK175),AK175,9E15),IF(ISNUMBER(AL175),AL175,9E15),IF(ISNUMBER(AM175),AM175,9E15))</f>
        <v/>
      </c>
      <c r="AQ175" s="22">
        <f>MIN(IF(ISNUMBER(AG175),AG175,9E15),IF(ISNUMBER(AH175),AH175,9E15),IF(ISNUMBER(AI175),AI175,9E15),IF(ISNUMBER(AJ175),AJ175,9E15))</f>
        <v/>
      </c>
      <c r="AR175" s="29">
        <f>IF(AW175&gt;Parameters!$B$21*(MAX(IF(AND(NOT(AND(AO175=1,AN175&lt;&gt;1)),ISNUMBER(AG175),AG175&lt;=T175),AS175,0),IF(AND(NOT(AND(AO175=1,AN175&lt;&gt;1)),ISNUMBER(AH175),AH175&lt;=T175),AT175,0),IF(AND(NOT(AND(AO175=1,AN175&lt;&gt;1)),ISNUMBER(AI175),AI175&lt;=T175),AU175,0),IF(AND(ISNUMBER(AJ175),AJ175&lt;=T175),AV175,0))),TRUE,FALSE)</f>
        <v/>
      </c>
      <c r="AS175" s="32">
        <f>IFERROR(Upgrades!$H$6*(POWER(Upgrades!$P$6,E175)*POWER(Upgrades!$P$7,F175)*POWER(Upgrades!$P$8,G175)*POWER(Upgrades!$P$9,H175)*POWER(Upgrades!$P$10,I175)*POWER(Upgrades!$P$11,J175)*POWER(Upgrades!$P$12,K175))*(IF(Upgrades!$T$7="Solar Wind",POWER(Upgrades!$U$7,F175),1)*IF(Upgrades!$T$8="Solar Wind",POWER(Upgrades!$U$8,G175),1)*IF(Upgrades!$T$9="Solar Wind",POWER(Upgrades!$U$9,H175),1)*IF(Upgrades!$T$10="Solar Wind",POWER(Upgrades!$U$10,I175),1)*IF(Upgrades!$T$11="Solar Wind",POWER(Upgrades!$U$11,J175),1)*IF(Upgrades!$T$12="Solar Wind",POWER(Upgrades!$U$12,K175),1))/AG175,0)</f>
        <v/>
      </c>
      <c r="AT175" s="32">
        <f>IFERROR(Upgrades!$H$7*(POWER(Upgrades!$P$6,E175)*POWER(Upgrades!$P$7,F175)*POWER(Upgrades!$P$8,G175)*POWER(Upgrades!$P$9,H175)*POWER(Upgrades!$P$10,I175)*POWER(Upgrades!$P$11,J175)*POWER(Upgrades!$P$12,K175))*(IF(Upgrades!$T$6="Asteroid Belt",POWER(Upgrades!$U$6,E175),1)*IF(Upgrades!$T$8="Asteroid Belt",POWER(Upgrades!$U$8,G175),1)*IF(Upgrades!$T$9="Asteroid Belt",POWER(Upgrades!$U$9,H175),1)*IF(Upgrades!$T$10="Asteroid Belt",POWER(Upgrades!$U$10,I175),1)*IF(Upgrades!$T$11="Asteroid Belt",POWER(Upgrades!$U$11,J175),1)*IF(Upgrades!$T$12="Asteroid Belt",POWER(Upgrades!$U$12,K175),1))/AH175,0)</f>
        <v/>
      </c>
      <c r="AU175" s="32">
        <f>IFERROR(Upgrades!$K$8*(POWER(Upgrades!$Q$6,E175)*POWER(Upgrades!$Q$7,F175)*POWER(Upgrades!$Q$8,G175)*POWER(Upgrades!$Q$9,H175)*POWER(Upgrades!$Q$10,I175)*POWER(Upgrades!$Q$11,J175)*POWER(Upgrades!$Q$12,K175))*(IF(Upgrades!$T$6="Stellar Coupling",POWER(Upgrades!$U$6,E175),1)*IF(Upgrades!$T$7="Stellar Coupling",POWER(Upgrades!$U$7,F175),1)*IF(Upgrades!$T$9="Stellar Coupling",POWER(Upgrades!$U$9,H175),1)*IF(Upgrades!$T$10="Stellar Coupling",POWER(Upgrades!$U$10,I175),1)*IF(Upgrades!$T$11="Stellar Coupling",POWER(Upgrades!$U$11,J175),1)*IF(Upgrades!$T$12="Stellar Coupling",POWER(Upgrades!$U$12,K175),1))*Parameters!$B$10*Parameters!$B$11/60/AI175,0)</f>
        <v/>
      </c>
      <c r="AV175" s="32">
        <f>IFERROR(Upgrades!$H$9*(POWER(Upgrades!$P$6,E175)*POWER(Upgrades!$P$7,F175)*POWER(Upgrades!$P$8,G175)*POWER(Upgrades!$P$9,H175)*POWER(Upgrades!$P$10,I175)*POWER(Upgrades!$P$11,J175)*POWER(Upgrades!$P$12,K175))*(IF(Upgrades!$T$6="Magnetosphere",POWER(Upgrades!$U$6,E175),1)*IF(Upgrades!$T$7="Magnetosphere",POWER(Upgrades!$U$7,F175),1)*IF(Upgrades!$T$8="Magnetosphere",POWER(Upgrades!$U$8,G175),1)*IF(Upgrades!$T$10="Magnetosphere",POWER(Upgrades!$U$10,I175),1)*IF(Upgrades!$T$11="Magnetosphere",POWER(Upgrades!$U$11,J175),1)*IF(Upgrades!$T$12="Magnetosphere",POWER(Upgrades!$U$12,K175),1))/AJ175,0)</f>
        <v/>
      </c>
      <c r="AW175" s="32">
        <f>MAX(IF(I175&gt;0,0,IFERROR(0.25*N175/Upgrades!$C$10,0)),IF(J175&gt;0,0,IFERROR(0.5*((IF(G175=0,0,(Upgrades!$J$8+G175*Upgrades!$K$8)*POWER(Upgrades!$L$8,G175)))*(IF(Upgrades!$T$6="Stellar Coupling",POWER(Upgrades!$U$6,E175),1)*IF(Upgrades!$T$7="Stellar Coupling",POWER(Upgrades!$U$7,F175),1)*IF(Upgrades!$T$9="Stellar Coupling",POWER(Upgrades!$U$9,H175),1)*IF(Upgrades!$T$10="Stellar Coupling",POWER(Upgrades!$U$10,I175),1)*IF(Upgrades!$T$11="Stellar Coupling",POWER(Upgrades!$U$11,J175),1)*IF(Upgrades!$T$12="Stellar Coupling",POWER(Upgrades!$U$12,K175),1))*(POWER(Upgrades!$Q$6,E175)*POWER(Upgrades!$Q$7,F175)*POWER(Upgrades!$Q$8,G175)*POWER(Upgrades!$Q$9,H175)*POWER(Upgrades!$Q$10,I175)*POWER(Upgrades!$Q$11,J175)*POWER(Upgrades!$Q$12,K175))*Parameters!$B$10*Parameters!$B$11/60)/Upgrades!$C$11,0)),IF(K175&gt;0,0,IFERROR((1.0*(POWER(Upgrades!$P$6,E175)*POWER(Upgrades!$P$7,F175)*POWER(Upgrades!$P$8,G175)*POWER(Upgrades!$P$9,H175)*POWER(Upgrades!$P$10,I175)*POWER(Upgrades!$P$11,J175)*POWER(Upgrades!$P$12,K175))+0.20*M175*Parameters!$B$10*Parameters!$B$11/60)/Upgrades!$C$12,0)),IF(AND(ISNUMBER(AG175),AG175&gt;T175),AS175,0),IF(AND(ISNUMBER(AH175),AH175&gt;T175),AT175,0),IF(AND(ISNUMBER(AI175),AI175&gt;T175),AU175,0),IF(AND(ISNUMBER(AJ175),AJ175&gt;T175),AV175,0))</f>
        <v/>
      </c>
      <c r="AX175" s="29">
        <f>IF(AN175=1,"transition",IF(MIN(IF(AND(I175=0,ISNUMBER(AK175),AK175&lt;=T175),AK175,9E15),IF(AND(J175=0,ISNUMBER(AL175),AL175&lt;=T175),AL175,9E15),IF(AND(K175=0,ISNUMBER(AM175),AM175&lt;=T175),AM175,9E15))&lt;9E15,IF(AND(AND(I175=0,ISNUMBER(AK175),AK175&lt;=T175),AK175=MIN(IF(AND(I175=0,ISNUMBER(AK175),AK175&lt;=T175),AK175,9E15),IF(AND(J175=0,ISNUMBER(AL175),AL175&lt;=T175),AL175,9E15),IF(AND(K175=0,ISNUMBER(AM175),AM175&lt;=T175),AM175,9E15))),"OR",IF(AND(AND(J175=0,ISNUMBER(AL175),AL175&lt;=T175),AL175=MIN(IF(AND(I175=0,ISNUMBER(AK175),AK175&lt;=T175),AK175,9E15),IF(AND(J175=0,ISNUMBER(AL175),AL175&lt;=T175),AL175,9E15),IF(AND(K175=0,ISNUMBER(AM175),AM175&lt;=T175),AM175,9E15))),"HP","FP")),IF(AR175=TRUE,"",IF(MAX(IF(AND(NOT(AND(AO175=1,AN175&lt;&gt;1)),ISNUMBER(AG175),AG175&lt;=T175),AS175,0),IF(AND(NOT(AND(AO175=1,AN175&lt;&gt;1)),ISNUMBER(AH175),AH175&lt;=T175),AT175,0),IF(AND(NOT(AND(AO175=1,AN175&lt;&gt;1)),ISNUMBER(AI175),AI175&lt;=T175),AU175,0),IF(AND(ISNUMBER(AJ175),AJ175&lt;=T175),AV175,0))&lt;=0,"",IF(AND(IF(AND(NOT(AND(AO175=1,AN175&lt;&gt;1)),ISNUMBER(AG175),AG175&lt;=T175),AS175,0)&gt;0,IF(AND(NOT(AND(AO175=1,AN175&lt;&gt;1)),ISNUMBER(AG175),AG175&lt;=T175),AS175,0)=MAX(IF(AND(NOT(AND(AO175=1,AN175&lt;&gt;1)),ISNUMBER(AG175),AG175&lt;=T175),AS175,0),IF(AND(NOT(AND(AO175=1,AN175&lt;&gt;1)),ISNUMBER(AH175),AH175&lt;=T175),AT175,0),IF(AND(NOT(AND(AO175=1,AN175&lt;&gt;1)),ISNUMBER(AI175),AI175&lt;=T175),AU175,0),IF(AND(ISNUMBER(AJ175),AJ175&lt;=T175),AV175,0))),"SW",IF(AND(IF(AND(NOT(AND(AO175=1,AN175&lt;&gt;1)),ISNUMBER(AH175),AH175&lt;=T175),AT175,0)&gt;0,IF(AND(NOT(AND(AO175=1,AN175&lt;&gt;1)),ISNUMBER(AH175),AH175&lt;=T175),AT175,0)=MAX(IF(AND(NOT(AND(AO175=1,AN175&lt;&gt;1)),ISNUMBER(AG175),AG175&lt;=T175),AS175,0),IF(AND(NOT(AND(AO175=1,AN175&lt;&gt;1)),ISNUMBER(AH175),AH175&lt;=T175),AT175,0),IF(AND(NOT(AND(AO175=1,AN175&lt;&gt;1)),ISNUMBER(AI175),AI175&lt;=T175),AU175,0),IF(AND(ISNUMBER(AJ175),AJ175&lt;=T175),AV175,0))),"AB",IF(AND(IF(AND(NOT(AND(AO175=1,AN175&lt;&gt;1)),ISNUMBER(AI175),AI175&lt;=T175),AU175,0)&gt;0,IF(AND(NOT(AND(AO175=1,AN175&lt;&gt;1)),ISNUMBER(AI175),AI175&lt;=T175),AU175,0)=MAX(IF(AND(NOT(AND(AO175=1,AN175&lt;&gt;1)),ISNUMBER(AG175),AG175&lt;=T175),AS175,0),IF(AND(NOT(AND(AO175=1,AN175&lt;&gt;1)),ISNUMBER(AH175),AH175&lt;=T175),AT175,0),IF(AND(NOT(AND(AO175=1,AN175&lt;&gt;1)),ISNUMBER(AI175),AI175&lt;=T175),AU175,0),IF(AND(ISNUMBER(AJ175),AJ175&lt;=T175),AV175,0))),"SC","Mag")))))))</f>
        <v/>
      </c>
    </row>
    <row r="176">
      <c r="A176" s="26" t="n">
        <v>171</v>
      </c>
      <c r="B176" s="27">
        <f>A176*10/60</f>
        <v/>
      </c>
      <c r="C176" s="22">
        <f>X175</f>
        <v/>
      </c>
      <c r="D176" s="27">
        <f>D175+W175</f>
        <v/>
      </c>
      <c r="E176" s="26">
        <f>E175+IF(U175="SW",1,0)</f>
        <v/>
      </c>
      <c r="F176" s="26">
        <f>F175+IF(U175="AB",1,0)</f>
        <v/>
      </c>
      <c r="G176" s="26">
        <f>G175+IF(U175="SC",1,0)</f>
        <v/>
      </c>
      <c r="H176" s="26">
        <f>H175+IF(U175="Mag",1,0)</f>
        <v/>
      </c>
      <c r="I176" s="26">
        <f>MAX(I175,IF(U175="OR",1,0))</f>
        <v/>
      </c>
      <c r="J176" s="26">
        <f>MAX(J175,IF(U175="HP",1,0))</f>
        <v/>
      </c>
      <c r="K176" s="26">
        <f>MAX(K175,IF(U175="FP",1,0))</f>
        <v/>
      </c>
      <c r="L176" s="26">
        <f>MAX(L175,IF(U175="transition",1,0))</f>
        <v/>
      </c>
      <c r="M176" s="28">
        <f>(Parameters!$B$9+(IF(E176=0,0,(Upgrades!$J$6+E176*Upgrades!$K$6)*POWER(Upgrades!$L$6,E176)))*(IF(Upgrades!$T$7="Solar Wind",POWER(Upgrades!$U$7,F176),1)*IF(Upgrades!$T$8="Solar Wind",POWER(Upgrades!$U$8,G176),1)*IF(Upgrades!$T$9="Solar Wind",POWER(Upgrades!$U$9,H176),1)*IF(Upgrades!$T$10="Solar Wind",POWER(Upgrades!$U$10,I176),1)*IF(Upgrades!$T$11="Solar Wind",POWER(Upgrades!$U$11,J176),1)*IF(Upgrades!$T$12="Solar Wind",POWER(Upgrades!$U$12,K176),1))+(IF(F176=0,0,(Upgrades!$J$7+F176*Upgrades!$K$7)*POWER(Upgrades!$L$7,F176)))*(IF(Upgrades!$T$6="Asteroid Belt",POWER(Upgrades!$U$6,E176),1)*IF(Upgrades!$T$8="Asteroid Belt",POWER(Upgrades!$U$8,G176),1)*IF(Upgrades!$T$9="Asteroid Belt",POWER(Upgrades!$U$9,H176),1)*IF(Upgrades!$T$10="Asteroid Belt",POWER(Upgrades!$U$10,I176),1)*IF(Upgrades!$T$11="Asteroid Belt",POWER(Upgrades!$U$11,J176),1)*IF(Upgrades!$T$12="Asteroid Belt",POWER(Upgrades!$U$12,K176),1))+(IF(G176=0,0,(Upgrades!$J$8+G176*Upgrades!$K$8)*POWER(Upgrades!$L$8,G176)))*(IF(Upgrades!$T$6="Stellar Coupling",POWER(Upgrades!$U$6,E176),1)*IF(Upgrades!$T$7="Stellar Coupling",POWER(Upgrades!$U$7,F176),1)*IF(Upgrades!$T$9="Stellar Coupling",POWER(Upgrades!$U$9,H176),1)*IF(Upgrades!$T$10="Stellar Coupling",POWER(Upgrades!$U$10,I176),1)*IF(Upgrades!$T$11="Stellar Coupling",POWER(Upgrades!$U$11,J176),1)*IF(Upgrades!$T$12="Stellar Coupling",POWER(Upgrades!$U$12,K176),1))+(IF(H176=0,0,(Upgrades!$J$9+H176*Upgrades!$K$9)*POWER(Upgrades!$L$9,H176)))*(IF(Upgrades!$T$6="Magnetosphere",POWER(Upgrades!$U$6,E176),1)*IF(Upgrades!$T$7="Magnetosphere",POWER(Upgrades!$U$7,F176),1)*IF(Upgrades!$T$8="Magnetosphere",POWER(Upgrades!$U$8,G176),1)*IF(Upgrades!$T$10="Magnetosphere",POWER(Upgrades!$U$10,I176),1)*IF(Upgrades!$T$11="Magnetosphere",POWER(Upgrades!$U$11,J176),1)*IF(Upgrades!$T$12="Magnetosphere",POWER(Upgrades!$U$12,K176),1))+(IF(I176=0,0,(Upgrades!$J$10+I176*Upgrades!$K$10)*POWER(Upgrades!$L$10,I176)))*(IF(Upgrades!$T$6="Orbital Resonance",POWER(Upgrades!$U$6,E176),1)*IF(Upgrades!$T$7="Orbital Resonance",POWER(Upgrades!$U$7,F176),1)*IF(Upgrades!$T$8="Orbital Resonance",POWER(Upgrades!$U$8,G176),1)*IF(Upgrades!$T$9="Orbital Resonance",POWER(Upgrades!$U$9,H176),1)*IF(Upgrades!$T$11="Orbital Resonance",POWER(Upgrades!$U$11,J176),1)*IF(Upgrades!$T$12="Orbital Resonance",POWER(Upgrades!$U$12,K176),1))+(IF(J176=0,0,(Upgrades!$J$11+J176*Upgrades!$K$11)*POWER(Upgrades!$L$11,J176)))*(IF(Upgrades!$T$6="Heliopause",POWER(Upgrades!$U$6,E176),1)*IF(Upgrades!$T$7="Heliopause",POWER(Upgrades!$U$7,F176),1)*IF(Upgrades!$T$8="Heliopause",POWER(Upgrades!$U$8,G176),1)*IF(Upgrades!$T$9="Heliopause",POWER(Upgrades!$U$9,H176),1)*IF(Upgrades!$T$10="Heliopause",POWER(Upgrades!$U$10,I176),1)*IF(Upgrades!$T$12="Heliopause",POWER(Upgrades!$U$12,K176),1))+(IF(K176=0,0,(Upgrades!$J$12+K176*Upgrades!$K$12)*POWER(Upgrades!$L$12,K176)))*(IF(Upgrades!$T$6="First Photons",POWER(Upgrades!$U$6,E176),1)*IF(Upgrades!$T$7="First Photons",POWER(Upgrades!$U$7,F176),1)*IF(Upgrades!$T$8="First Photons",POWER(Upgrades!$U$8,G176),1)*IF(Upgrades!$T$9="First Photons",POWER(Upgrades!$U$9,H176),1)*IF(Upgrades!$T$10="First Photons",POWER(Upgrades!$U$10,I176),1)*IF(Upgrades!$T$11="First Photons",POWER(Upgrades!$U$11,J176),1)))*POWER(Upgrades!$Q$6,E176)*POWER(Upgrades!$Q$7,F176)*POWER(Upgrades!$Q$8,G176)*POWER(Upgrades!$Q$9,H176)*POWER(Upgrades!$Q$10,I176)*POWER(Upgrades!$Q$11,J176)*POWER(Upgrades!$Q$12,K176)</f>
        <v/>
      </c>
      <c r="N176" s="28">
        <f>((IF(E176=0,0,(Upgrades!$G$6+E176*Upgrades!$H$6)*POWER(Upgrades!$I$6,E176)))*(IF(Upgrades!$T$7="Solar Wind",POWER(Upgrades!$U$7,F176),1)*IF(Upgrades!$T$8="Solar Wind",POWER(Upgrades!$U$8,G176),1)*IF(Upgrades!$T$9="Solar Wind",POWER(Upgrades!$U$9,H176),1)*IF(Upgrades!$T$10="Solar Wind",POWER(Upgrades!$U$10,I176),1)*IF(Upgrades!$T$11="Solar Wind",POWER(Upgrades!$U$11,J176),1)*IF(Upgrades!$T$12="Solar Wind",POWER(Upgrades!$U$12,K176),1))+(IF(F176=0,0,(Upgrades!$G$7+F176*Upgrades!$H$7)*POWER(Upgrades!$I$7,F176)))*(IF(Upgrades!$T$6="Asteroid Belt",POWER(Upgrades!$U$6,E176),1)*IF(Upgrades!$T$8="Asteroid Belt",POWER(Upgrades!$U$8,G176),1)*IF(Upgrades!$T$9="Asteroid Belt",POWER(Upgrades!$U$9,H176),1)*IF(Upgrades!$T$10="Asteroid Belt",POWER(Upgrades!$U$10,I176),1)*IF(Upgrades!$T$11="Asteroid Belt",POWER(Upgrades!$U$11,J176),1)*IF(Upgrades!$T$12="Asteroid Belt",POWER(Upgrades!$U$12,K176),1))+(IF(G176=0,0,(Upgrades!$G$8+G176*Upgrades!$H$8)*POWER(Upgrades!$I$8,G176)))*(IF(Upgrades!$T$6="Stellar Coupling",POWER(Upgrades!$U$6,E176),1)*IF(Upgrades!$T$7="Stellar Coupling",POWER(Upgrades!$U$7,F176),1)*IF(Upgrades!$T$9="Stellar Coupling",POWER(Upgrades!$U$9,H176),1)*IF(Upgrades!$T$10="Stellar Coupling",POWER(Upgrades!$U$10,I176),1)*IF(Upgrades!$T$11="Stellar Coupling",POWER(Upgrades!$U$11,J176),1)*IF(Upgrades!$T$12="Stellar Coupling",POWER(Upgrades!$U$12,K176),1))+(IF(H176=0,0,(Upgrades!$G$9+H176*Upgrades!$H$9)*POWER(Upgrades!$I$9,H176)))*(IF(Upgrades!$T$6="Magnetosphere",POWER(Upgrades!$U$6,E176),1)*IF(Upgrades!$T$7="Magnetosphere",POWER(Upgrades!$U$7,F176),1)*IF(Upgrades!$T$8="Magnetosphere",POWER(Upgrades!$U$8,G176),1)*IF(Upgrades!$T$10="Magnetosphere",POWER(Upgrades!$U$10,I176),1)*IF(Upgrades!$T$11="Magnetosphere",POWER(Upgrades!$U$11,J176),1)*IF(Upgrades!$T$12="Magnetosphere",POWER(Upgrades!$U$12,K176),1))+(IF(I176=0,0,(Upgrades!$G$10+I176*Upgrades!$H$10)*POWER(Upgrades!$I$10,I176)))*(IF(Upgrades!$T$6="Orbital Resonance",POWER(Upgrades!$U$6,E176),1)*IF(Upgrades!$T$7="Orbital Resonance",POWER(Upgrades!$U$7,F176),1)*IF(Upgrades!$T$8="Orbital Resonance",POWER(Upgrades!$U$8,G176),1)*IF(Upgrades!$T$9="Orbital Resonance",POWER(Upgrades!$U$9,H176),1)*IF(Upgrades!$T$11="Orbital Resonance",POWER(Upgrades!$U$11,J176),1)*IF(Upgrades!$T$12="Orbital Resonance",POWER(Upgrades!$U$12,K176),1))+(IF(J176=0,0,(Upgrades!$G$11+J176*Upgrades!$H$11)*POWER(Upgrades!$I$11,J176)))*(IF(Upgrades!$T$6="Heliopause",POWER(Upgrades!$U$6,E176),1)*IF(Upgrades!$T$7="Heliopause",POWER(Upgrades!$U$7,F176),1)*IF(Upgrades!$T$8="Heliopause",POWER(Upgrades!$U$8,G176),1)*IF(Upgrades!$T$9="Heliopause",POWER(Upgrades!$U$9,H176),1)*IF(Upgrades!$T$10="Heliopause",POWER(Upgrades!$U$10,I176),1)*IF(Upgrades!$T$12="Heliopause",POWER(Upgrades!$U$12,K176),1))+(IF(K176=0,0,(Upgrades!$G$12+K176*Upgrades!$H$12)*POWER(Upgrades!$I$12,K176)))*(IF(Upgrades!$T$6="First Photons",POWER(Upgrades!$U$6,E176),1)*IF(Upgrades!$T$7="First Photons",POWER(Upgrades!$U$7,F176),1)*IF(Upgrades!$T$8="First Photons",POWER(Upgrades!$U$8,G176),1)*IF(Upgrades!$T$9="First Photons",POWER(Upgrades!$U$9,H176),1)*IF(Upgrades!$T$10="First Photons",POWER(Upgrades!$U$10,I176),1)*IF(Upgrades!$T$11="First Photons",POWER(Upgrades!$U$11,J176),1)))*POWER(Upgrades!$P$6,E176)*POWER(Upgrades!$P$7,F176)*POWER(Upgrades!$P$8,G176)*POWER(Upgrades!$P$9,H176)*POWER(Upgrades!$P$10,I176)*POWER(Upgrades!$P$11,J176)*POWER(Upgrades!$P$12,K176)</f>
        <v/>
      </c>
      <c r="O176" s="28">
        <f>((IF(E176=0,0,(Upgrades!$M$6+E176*Upgrades!$N$6)*POWER(Upgrades!$O$6,E176)))*(IF(Upgrades!$T$7="Solar Wind",POWER(Upgrades!$U$7,F176),1)*IF(Upgrades!$T$8="Solar Wind",POWER(Upgrades!$U$8,G176),1)*IF(Upgrades!$T$9="Solar Wind",POWER(Upgrades!$U$9,H176),1)*IF(Upgrades!$T$10="Solar Wind",POWER(Upgrades!$U$10,I176),1)*IF(Upgrades!$T$11="Solar Wind",POWER(Upgrades!$U$11,J176),1)*IF(Upgrades!$T$12="Solar Wind",POWER(Upgrades!$U$12,K176),1))+(IF(F176=0,0,(Upgrades!$M$7+F176*Upgrades!$N$7)*POWER(Upgrades!$O$7,F176)))*(IF(Upgrades!$T$6="Asteroid Belt",POWER(Upgrades!$U$6,E176),1)*IF(Upgrades!$T$8="Asteroid Belt",POWER(Upgrades!$U$8,G176),1)*IF(Upgrades!$T$9="Asteroid Belt",POWER(Upgrades!$U$9,H176),1)*IF(Upgrades!$T$10="Asteroid Belt",POWER(Upgrades!$U$10,I176),1)*IF(Upgrades!$T$11="Asteroid Belt",POWER(Upgrades!$U$11,J176),1)*IF(Upgrades!$T$12="Asteroid Belt",POWER(Upgrades!$U$12,K176),1))+(IF(G176=0,0,(Upgrades!$M$8+G176*Upgrades!$N$8)*POWER(Upgrades!$O$8,G176)))*(IF(Upgrades!$T$6="Stellar Coupling",POWER(Upgrades!$U$6,E176),1)*IF(Upgrades!$T$7="Stellar Coupling",POWER(Upgrades!$U$7,F176),1)*IF(Upgrades!$T$9="Stellar Coupling",POWER(Upgrades!$U$9,H176),1)*IF(Upgrades!$T$10="Stellar Coupling",POWER(Upgrades!$U$10,I176),1)*IF(Upgrades!$T$11="Stellar Coupling",POWER(Upgrades!$U$11,J176),1)*IF(Upgrades!$T$12="Stellar Coupling",POWER(Upgrades!$U$12,K176),1))+(IF(H176=0,0,(Upgrades!$M$9+H176*Upgrades!$N$9)*POWER(Upgrades!$O$9,H176)))*(IF(Upgrades!$T$6="Magnetosphere",POWER(Upgrades!$U$6,E176),1)*IF(Upgrades!$T$7="Magnetosphere",POWER(Upgrades!$U$7,F176),1)*IF(Upgrades!$T$8="Magnetosphere",POWER(Upgrades!$U$8,G176),1)*IF(Upgrades!$T$10="Magnetosphere",POWER(Upgrades!$U$10,I176),1)*IF(Upgrades!$T$11="Magnetosphere",POWER(Upgrades!$U$11,J176),1)*IF(Upgrades!$T$12="Magnetosphere",POWER(Upgrades!$U$12,K176),1))+(IF(I176=0,0,(Upgrades!$M$10+I176*Upgrades!$N$10)*POWER(Upgrades!$O$10,I176)))*(IF(Upgrades!$T$6="Orbital Resonance",POWER(Upgrades!$U$6,E176),1)*IF(Upgrades!$T$7="Orbital Resonance",POWER(Upgrades!$U$7,F176),1)*IF(Upgrades!$T$8="Orbital Resonance",POWER(Upgrades!$U$8,G176),1)*IF(Upgrades!$T$9="Orbital Resonance",POWER(Upgrades!$U$9,H176),1)*IF(Upgrades!$T$11="Orbital Resonance",POWER(Upgrades!$U$11,J176),1)*IF(Upgrades!$T$12="Orbital Resonance",POWER(Upgrades!$U$12,K176),1))+(IF(J176=0,0,(Upgrades!$M$11+J176*Upgrades!$N$11)*POWER(Upgrades!$O$11,J176)))*(IF(Upgrades!$T$6="Heliopause",POWER(Upgrades!$U$6,E176),1)*IF(Upgrades!$T$7="Heliopause",POWER(Upgrades!$U$7,F176),1)*IF(Upgrades!$T$8="Heliopause",POWER(Upgrades!$U$8,G176),1)*IF(Upgrades!$T$9="Heliopause",POWER(Upgrades!$U$9,H176),1)*IF(Upgrades!$T$10="Heliopause",POWER(Upgrades!$U$10,I176),1)*IF(Upgrades!$T$12="Heliopause",POWER(Upgrades!$U$12,K176),1))+(IF(K176=0,0,(Upgrades!$M$12+K176*Upgrades!$N$12)*POWER(Upgrades!$O$12,K176)))*(IF(Upgrades!$T$6="First Photons",POWER(Upgrades!$U$6,E176),1)*IF(Upgrades!$T$7="First Photons",POWER(Upgrades!$U$7,F176),1)*IF(Upgrades!$T$8="First Photons",POWER(Upgrades!$U$8,G176),1)*IF(Upgrades!$T$9="First Photons",POWER(Upgrades!$U$9,H176),1)*IF(Upgrades!$T$10="First Photons",POWER(Upgrades!$U$10,I176),1)*IF(Upgrades!$T$11="First Photons",POWER(Upgrades!$U$11,J176),1)))*POWER(Upgrades!$R$6,E176)*POWER(Upgrades!$R$7,F176)*POWER(Upgrades!$R$8,G176)*POWER(Upgrades!$R$9,H176)*POWER(Upgrades!$R$10,I176)*POWER(Upgrades!$R$11,J176)*POWER(Upgrades!$R$12,K176)</f>
        <v/>
      </c>
      <c r="P176" s="27">
        <f>IF(L176=1,0,M176*Parameters!$B$10/60*Parameters!$B$11*10)</f>
        <v/>
      </c>
      <c r="Q176" s="27">
        <f>IF(L176=1,0,O176*M176*10)</f>
        <v/>
      </c>
      <c r="R176" s="27">
        <f>IF(L176=1,0,N176*10)</f>
        <v/>
      </c>
      <c r="S176" s="27">
        <f>P176+Q176+R176</f>
        <v/>
      </c>
      <c r="T176" s="22">
        <f>C176+S176</f>
        <v/>
      </c>
      <c r="U176" s="33">
        <f>AX176</f>
        <v/>
      </c>
      <c r="V176" s="22">
        <f>IF(U176="",0,IF(U176="transition",0,IF(U176="SW",AG176,IF(U176="AB",AH176,IF(U176="SC",AI176,IF(U176="Mag",AJ176,IF(U176="OR",AK176,IF(U176="HP",AL176,IF(U176="FP",AM176,0)))))))))</f>
        <v/>
      </c>
      <c r="W176" s="27">
        <f>IF(U176="OR",Upgrades!$F$10,IF(U176="HP",Upgrades!$F$11,IF(U176="transition",-Parameters!$B$18,0)))</f>
        <v/>
      </c>
      <c r="X176" s="22">
        <f>T176-V176</f>
        <v/>
      </c>
      <c r="Y176" s="30">
        <f>M176*Parameters!$B$10/60*Parameters!$B$11+O176*M176+N176</f>
        <v/>
      </c>
      <c r="Z176" s="34">
        <f>IF(U176="transition","→ Tier 2 (Stellar Neighborhood)",IF(U176="FP","First Photons — light begins, system quickens",IF(U176="HP","Heliopause acquired",IF(U176="OR","Orbital Resonance — passive multiplier active",IF(AND(AO176=1,L176=0,AN176&lt;&gt;1),"Cohesion ready (waiting on completionist upgrades)","")))))</f>
        <v/>
      </c>
      <c r="AA176" s="27">
        <f>(IF(E176=0,0,(Upgrades!$G$6+E176*Upgrades!$H$6)*POWER(Upgrades!$I$6,E176)))*(IF(Upgrades!$T$7="Solar Wind",POWER(Upgrades!$U$7,F176),1)*IF(Upgrades!$T$8="Solar Wind",POWER(Upgrades!$U$8,G176),1)*IF(Upgrades!$T$9="Solar Wind",POWER(Upgrades!$U$9,H176),1)*IF(Upgrades!$T$10="Solar Wind",POWER(Upgrades!$U$10,I176),1)*IF(Upgrades!$T$11="Solar Wind",POWER(Upgrades!$U$11,J176),1)*IF(Upgrades!$T$12="Solar Wind",POWER(Upgrades!$U$12,K176),1))*POWER(Upgrades!$P$6,E176)*POWER(Upgrades!$P$7,F176)*POWER(Upgrades!$P$8,G176)*POWER(Upgrades!$P$9,H176)*POWER(Upgrades!$P$10,I176)*POWER(Upgrades!$P$11,J176)*POWER(Upgrades!$P$12,K176)*60</f>
        <v/>
      </c>
      <c r="AB176" s="27">
        <f>(IF(F176=0,0,(Upgrades!$G$7+F176*Upgrades!$H$7)*POWER(Upgrades!$I$7,F176)))*(IF(Upgrades!$T$6="Asteroid Belt",POWER(Upgrades!$U$6,E176),1)*IF(Upgrades!$T$8="Asteroid Belt",POWER(Upgrades!$U$8,G176),1)*IF(Upgrades!$T$9="Asteroid Belt",POWER(Upgrades!$U$9,H176),1)*IF(Upgrades!$T$10="Asteroid Belt",POWER(Upgrades!$U$10,I176),1)*IF(Upgrades!$T$11="Asteroid Belt",POWER(Upgrades!$U$11,J176),1)*IF(Upgrades!$T$12="Asteroid Belt",POWER(Upgrades!$U$12,K176),1))*POWER(Upgrades!$P$6,E176)*POWER(Upgrades!$P$7,F176)*POWER(Upgrades!$P$8,G176)*POWER(Upgrades!$P$9,H176)*POWER(Upgrades!$P$10,I176)*POWER(Upgrades!$P$11,J176)*POWER(Upgrades!$P$12,K176)*60</f>
        <v/>
      </c>
      <c r="AC176" s="27">
        <f>(IF(G176=0,0,(Upgrades!$J$8+G176*Upgrades!$K$8)*POWER(Upgrades!$L$8,G176)))*(IF(Upgrades!$T$6="Stellar Coupling",POWER(Upgrades!$U$6,E176),1)*IF(Upgrades!$T$7="Stellar Coupling",POWER(Upgrades!$U$7,F176),1)*IF(Upgrades!$T$9="Stellar Coupling",POWER(Upgrades!$U$9,H176),1)*IF(Upgrades!$T$10="Stellar Coupling",POWER(Upgrades!$U$10,I176),1)*IF(Upgrades!$T$11="Stellar Coupling",POWER(Upgrades!$U$11,J176),1)*IF(Upgrades!$T$12="Stellar Coupling",POWER(Upgrades!$U$12,K176),1))*POWER(Upgrades!$Q$6,E176)*POWER(Upgrades!$Q$7,F176)*POWER(Upgrades!$Q$8,G176)*POWER(Upgrades!$Q$9,H176)*POWER(Upgrades!$Q$10,I176)*POWER(Upgrades!$Q$11,J176)*POWER(Upgrades!$Q$12,K176)*Parameters!$B$10*Parameters!$B$11</f>
        <v/>
      </c>
      <c r="AD176" s="27">
        <f>(IF(H176=0,0,(Upgrades!$G$9+H176*Upgrades!$H$9)*POWER(Upgrades!$I$9,H176)))*(IF(Upgrades!$T$6="Magnetosphere",POWER(Upgrades!$U$6,E176),1)*IF(Upgrades!$T$7="Magnetosphere",POWER(Upgrades!$U$7,F176),1)*IF(Upgrades!$T$8="Magnetosphere",POWER(Upgrades!$U$8,G176),1)*IF(Upgrades!$T$10="Magnetosphere",POWER(Upgrades!$U$10,I176),1)*IF(Upgrades!$T$11="Magnetosphere",POWER(Upgrades!$U$11,J176),1)*IF(Upgrades!$T$12="Magnetosphere",POWER(Upgrades!$U$12,K176),1))*POWER(Upgrades!$P$6,E176)*POWER(Upgrades!$P$7,F176)*POWER(Upgrades!$P$8,G176)*POWER(Upgrades!$P$9,H176)*POWER(Upgrades!$P$10,I176)*POWER(Upgrades!$P$11,J176)*POWER(Upgrades!$P$12,K176)*60</f>
        <v/>
      </c>
      <c r="AE176" s="27">
        <f>(IF(K176=0,0,(Upgrades!$G$12+K176*Upgrades!$H$12)*POWER(Upgrades!$I$12,K176)))*(IF(Upgrades!$T$6="First Photons",POWER(Upgrades!$U$6,E176),1)*IF(Upgrades!$T$7="First Photons",POWER(Upgrades!$U$7,F176),1)*IF(Upgrades!$T$8="First Photons",POWER(Upgrades!$U$8,G176),1)*IF(Upgrades!$T$9="First Photons",POWER(Upgrades!$U$9,H176),1)*IF(Upgrades!$T$10="First Photons",POWER(Upgrades!$U$10,I176),1)*IF(Upgrades!$T$11="First Photons",POWER(Upgrades!$U$11,J176),1))*POWER(Upgrades!$P$6,E176)*POWER(Upgrades!$P$7,F176)*POWER(Upgrades!$P$8,G176)*POWER(Upgrades!$P$9,H176)*POWER(Upgrades!$P$10,I176)*POWER(Upgrades!$P$11,J176)*POWER(Upgrades!$P$12,K176)*60</f>
        <v/>
      </c>
      <c r="AF176" s="27">
        <f>Parameters!$B$9*POWER(Upgrades!$Q$6,E176)*POWER(Upgrades!$Q$7,F176)*POWER(Upgrades!$Q$8,G176)*POWER(Upgrades!$Q$9,H176)*POWER(Upgrades!$Q$10,I176)*POWER(Upgrades!$Q$11,J176)*POWER(Upgrades!$Q$12,K176)*(Parameters!$B$10*Parameters!$B$11+O176*60)</f>
        <v/>
      </c>
      <c r="AG176" s="22">
        <f>IF(E176&gt;=Upgrades!$E$6,"",Upgrades!$C$6*POWER(Upgrades!$D$6,E176))</f>
        <v/>
      </c>
      <c r="AH176" s="22">
        <f>IF(F176&gt;=Upgrades!$E$7,"",Upgrades!$C$7*POWER(Upgrades!$D$7,F176))</f>
        <v/>
      </c>
      <c r="AI176" s="22">
        <f>IF(G176&gt;=Upgrades!$E$8,"",Upgrades!$C$8*POWER(Upgrades!$D$8,G176))</f>
        <v/>
      </c>
      <c r="AJ176" s="22">
        <f>IF(H176&gt;=Upgrades!$E$9,"",Upgrades!$C$9*POWER(Upgrades!$D$9,H176))</f>
        <v/>
      </c>
      <c r="AK176" s="22">
        <f>IF(I176&gt;=Upgrades!$E$10,"",Upgrades!$C$10*POWER(Upgrades!$D$10,I176))</f>
        <v/>
      </c>
      <c r="AL176" s="22">
        <f>IF(J176&gt;=Upgrades!$E$11,"",Upgrades!$C$11*POWER(Upgrades!$D$11,J176))</f>
        <v/>
      </c>
      <c r="AM176" s="22">
        <f>IF(K176&gt;=Upgrades!$E$12,"",Upgrades!$C$12*POWER(Upgrades!$D$12,K176))</f>
        <v/>
      </c>
      <c r="AN176" s="26">
        <f>IF(AND(D176&gt;=Parameters!$B$18,(H176&gt;=Upgrades!$E$9)*(K176&gt;=Upgrades!$E$12)=1,L176=0),1,"")</f>
        <v/>
      </c>
      <c r="AO176" s="26">
        <f>IF(AND(D176&gt;=Parameters!$B$18,L176=0),1,"")</f>
        <v/>
      </c>
      <c r="AP176" s="22">
        <f>MIN(IF(ISNUMBER(AK176),AK176,9E15),IF(ISNUMBER(AL176),AL176,9E15),IF(ISNUMBER(AM176),AM176,9E15))</f>
        <v/>
      </c>
      <c r="AQ176" s="22">
        <f>MIN(IF(ISNUMBER(AG176),AG176,9E15),IF(ISNUMBER(AH176),AH176,9E15),IF(ISNUMBER(AI176),AI176,9E15),IF(ISNUMBER(AJ176),AJ176,9E15))</f>
        <v/>
      </c>
      <c r="AR176" s="29">
        <f>IF(AW176&gt;Parameters!$B$21*(MAX(IF(AND(NOT(AND(AO176=1,AN176&lt;&gt;1)),ISNUMBER(AG176),AG176&lt;=T176),AS176,0),IF(AND(NOT(AND(AO176=1,AN176&lt;&gt;1)),ISNUMBER(AH176),AH176&lt;=T176),AT176,0),IF(AND(NOT(AND(AO176=1,AN176&lt;&gt;1)),ISNUMBER(AI176),AI176&lt;=T176),AU176,0),IF(AND(ISNUMBER(AJ176),AJ176&lt;=T176),AV176,0))),TRUE,FALSE)</f>
        <v/>
      </c>
      <c r="AS176" s="32">
        <f>IFERROR(Upgrades!$H$6*(POWER(Upgrades!$P$6,E176)*POWER(Upgrades!$P$7,F176)*POWER(Upgrades!$P$8,G176)*POWER(Upgrades!$P$9,H176)*POWER(Upgrades!$P$10,I176)*POWER(Upgrades!$P$11,J176)*POWER(Upgrades!$P$12,K176))*(IF(Upgrades!$T$7="Solar Wind",POWER(Upgrades!$U$7,F176),1)*IF(Upgrades!$T$8="Solar Wind",POWER(Upgrades!$U$8,G176),1)*IF(Upgrades!$T$9="Solar Wind",POWER(Upgrades!$U$9,H176),1)*IF(Upgrades!$T$10="Solar Wind",POWER(Upgrades!$U$10,I176),1)*IF(Upgrades!$T$11="Solar Wind",POWER(Upgrades!$U$11,J176),1)*IF(Upgrades!$T$12="Solar Wind",POWER(Upgrades!$U$12,K176),1))/AG176,0)</f>
        <v/>
      </c>
      <c r="AT176" s="32">
        <f>IFERROR(Upgrades!$H$7*(POWER(Upgrades!$P$6,E176)*POWER(Upgrades!$P$7,F176)*POWER(Upgrades!$P$8,G176)*POWER(Upgrades!$P$9,H176)*POWER(Upgrades!$P$10,I176)*POWER(Upgrades!$P$11,J176)*POWER(Upgrades!$P$12,K176))*(IF(Upgrades!$T$6="Asteroid Belt",POWER(Upgrades!$U$6,E176),1)*IF(Upgrades!$T$8="Asteroid Belt",POWER(Upgrades!$U$8,G176),1)*IF(Upgrades!$T$9="Asteroid Belt",POWER(Upgrades!$U$9,H176),1)*IF(Upgrades!$T$10="Asteroid Belt",POWER(Upgrades!$U$10,I176),1)*IF(Upgrades!$T$11="Asteroid Belt",POWER(Upgrades!$U$11,J176),1)*IF(Upgrades!$T$12="Asteroid Belt",POWER(Upgrades!$U$12,K176),1))/AH176,0)</f>
        <v/>
      </c>
      <c r="AU176" s="32">
        <f>IFERROR(Upgrades!$K$8*(POWER(Upgrades!$Q$6,E176)*POWER(Upgrades!$Q$7,F176)*POWER(Upgrades!$Q$8,G176)*POWER(Upgrades!$Q$9,H176)*POWER(Upgrades!$Q$10,I176)*POWER(Upgrades!$Q$11,J176)*POWER(Upgrades!$Q$12,K176))*(IF(Upgrades!$T$6="Stellar Coupling",POWER(Upgrades!$U$6,E176),1)*IF(Upgrades!$T$7="Stellar Coupling",POWER(Upgrades!$U$7,F176),1)*IF(Upgrades!$T$9="Stellar Coupling",POWER(Upgrades!$U$9,H176),1)*IF(Upgrades!$T$10="Stellar Coupling",POWER(Upgrades!$U$10,I176),1)*IF(Upgrades!$T$11="Stellar Coupling",POWER(Upgrades!$U$11,J176),1)*IF(Upgrades!$T$12="Stellar Coupling",POWER(Upgrades!$U$12,K176),1))*Parameters!$B$10*Parameters!$B$11/60/AI176,0)</f>
        <v/>
      </c>
      <c r="AV176" s="32">
        <f>IFERROR(Upgrades!$H$9*(POWER(Upgrades!$P$6,E176)*POWER(Upgrades!$P$7,F176)*POWER(Upgrades!$P$8,G176)*POWER(Upgrades!$P$9,H176)*POWER(Upgrades!$P$10,I176)*POWER(Upgrades!$P$11,J176)*POWER(Upgrades!$P$12,K176))*(IF(Upgrades!$T$6="Magnetosphere",POWER(Upgrades!$U$6,E176),1)*IF(Upgrades!$T$7="Magnetosphere",POWER(Upgrades!$U$7,F176),1)*IF(Upgrades!$T$8="Magnetosphere",POWER(Upgrades!$U$8,G176),1)*IF(Upgrades!$T$10="Magnetosphere",POWER(Upgrades!$U$10,I176),1)*IF(Upgrades!$T$11="Magnetosphere",POWER(Upgrades!$U$11,J176),1)*IF(Upgrades!$T$12="Magnetosphere",POWER(Upgrades!$U$12,K176),1))/AJ176,0)</f>
        <v/>
      </c>
      <c r="AW176" s="32">
        <f>MAX(IF(I176&gt;0,0,IFERROR(0.25*N176/Upgrades!$C$10,0)),IF(J176&gt;0,0,IFERROR(0.5*((IF(G176=0,0,(Upgrades!$J$8+G176*Upgrades!$K$8)*POWER(Upgrades!$L$8,G176)))*(IF(Upgrades!$T$6="Stellar Coupling",POWER(Upgrades!$U$6,E176),1)*IF(Upgrades!$T$7="Stellar Coupling",POWER(Upgrades!$U$7,F176),1)*IF(Upgrades!$T$9="Stellar Coupling",POWER(Upgrades!$U$9,H176),1)*IF(Upgrades!$T$10="Stellar Coupling",POWER(Upgrades!$U$10,I176),1)*IF(Upgrades!$T$11="Stellar Coupling",POWER(Upgrades!$U$11,J176),1)*IF(Upgrades!$T$12="Stellar Coupling",POWER(Upgrades!$U$12,K176),1))*(POWER(Upgrades!$Q$6,E176)*POWER(Upgrades!$Q$7,F176)*POWER(Upgrades!$Q$8,G176)*POWER(Upgrades!$Q$9,H176)*POWER(Upgrades!$Q$10,I176)*POWER(Upgrades!$Q$11,J176)*POWER(Upgrades!$Q$12,K176))*Parameters!$B$10*Parameters!$B$11/60)/Upgrades!$C$11,0)),IF(K176&gt;0,0,IFERROR((1.0*(POWER(Upgrades!$P$6,E176)*POWER(Upgrades!$P$7,F176)*POWER(Upgrades!$P$8,G176)*POWER(Upgrades!$P$9,H176)*POWER(Upgrades!$P$10,I176)*POWER(Upgrades!$P$11,J176)*POWER(Upgrades!$P$12,K176))+0.20*M176*Parameters!$B$10*Parameters!$B$11/60)/Upgrades!$C$12,0)),IF(AND(ISNUMBER(AG176),AG176&gt;T176),AS176,0),IF(AND(ISNUMBER(AH176),AH176&gt;T176),AT176,0),IF(AND(ISNUMBER(AI176),AI176&gt;T176),AU176,0),IF(AND(ISNUMBER(AJ176),AJ176&gt;T176),AV176,0))</f>
        <v/>
      </c>
      <c r="AX176" s="29">
        <f>IF(AN176=1,"transition",IF(MIN(IF(AND(I176=0,ISNUMBER(AK176),AK176&lt;=T176),AK176,9E15),IF(AND(J176=0,ISNUMBER(AL176),AL176&lt;=T176),AL176,9E15),IF(AND(K176=0,ISNUMBER(AM176),AM176&lt;=T176),AM176,9E15))&lt;9E15,IF(AND(AND(I176=0,ISNUMBER(AK176),AK176&lt;=T176),AK176=MIN(IF(AND(I176=0,ISNUMBER(AK176),AK176&lt;=T176),AK176,9E15),IF(AND(J176=0,ISNUMBER(AL176),AL176&lt;=T176),AL176,9E15),IF(AND(K176=0,ISNUMBER(AM176),AM176&lt;=T176),AM176,9E15))),"OR",IF(AND(AND(J176=0,ISNUMBER(AL176),AL176&lt;=T176),AL176=MIN(IF(AND(I176=0,ISNUMBER(AK176),AK176&lt;=T176),AK176,9E15),IF(AND(J176=0,ISNUMBER(AL176),AL176&lt;=T176),AL176,9E15),IF(AND(K176=0,ISNUMBER(AM176),AM176&lt;=T176),AM176,9E15))),"HP","FP")),IF(AR176=TRUE,"",IF(MAX(IF(AND(NOT(AND(AO176=1,AN176&lt;&gt;1)),ISNUMBER(AG176),AG176&lt;=T176),AS176,0),IF(AND(NOT(AND(AO176=1,AN176&lt;&gt;1)),ISNUMBER(AH176),AH176&lt;=T176),AT176,0),IF(AND(NOT(AND(AO176=1,AN176&lt;&gt;1)),ISNUMBER(AI176),AI176&lt;=T176),AU176,0),IF(AND(ISNUMBER(AJ176),AJ176&lt;=T176),AV176,0))&lt;=0,"",IF(AND(IF(AND(NOT(AND(AO176=1,AN176&lt;&gt;1)),ISNUMBER(AG176),AG176&lt;=T176),AS176,0)&gt;0,IF(AND(NOT(AND(AO176=1,AN176&lt;&gt;1)),ISNUMBER(AG176),AG176&lt;=T176),AS176,0)=MAX(IF(AND(NOT(AND(AO176=1,AN176&lt;&gt;1)),ISNUMBER(AG176),AG176&lt;=T176),AS176,0),IF(AND(NOT(AND(AO176=1,AN176&lt;&gt;1)),ISNUMBER(AH176),AH176&lt;=T176),AT176,0),IF(AND(NOT(AND(AO176=1,AN176&lt;&gt;1)),ISNUMBER(AI176),AI176&lt;=T176),AU176,0),IF(AND(ISNUMBER(AJ176),AJ176&lt;=T176),AV176,0))),"SW",IF(AND(IF(AND(NOT(AND(AO176=1,AN176&lt;&gt;1)),ISNUMBER(AH176),AH176&lt;=T176),AT176,0)&gt;0,IF(AND(NOT(AND(AO176=1,AN176&lt;&gt;1)),ISNUMBER(AH176),AH176&lt;=T176),AT176,0)=MAX(IF(AND(NOT(AND(AO176=1,AN176&lt;&gt;1)),ISNUMBER(AG176),AG176&lt;=T176),AS176,0),IF(AND(NOT(AND(AO176=1,AN176&lt;&gt;1)),ISNUMBER(AH176),AH176&lt;=T176),AT176,0),IF(AND(NOT(AND(AO176=1,AN176&lt;&gt;1)),ISNUMBER(AI176),AI176&lt;=T176),AU176,0),IF(AND(ISNUMBER(AJ176),AJ176&lt;=T176),AV176,0))),"AB",IF(AND(IF(AND(NOT(AND(AO176=1,AN176&lt;&gt;1)),ISNUMBER(AI176),AI176&lt;=T176),AU176,0)&gt;0,IF(AND(NOT(AND(AO176=1,AN176&lt;&gt;1)),ISNUMBER(AI176),AI176&lt;=T176),AU176,0)=MAX(IF(AND(NOT(AND(AO176=1,AN176&lt;&gt;1)),ISNUMBER(AG176),AG176&lt;=T176),AS176,0),IF(AND(NOT(AND(AO176=1,AN176&lt;&gt;1)),ISNUMBER(AH176),AH176&lt;=T176),AT176,0),IF(AND(NOT(AND(AO176=1,AN176&lt;&gt;1)),ISNUMBER(AI176),AI176&lt;=T176),AU176,0),IF(AND(ISNUMBER(AJ176),AJ176&lt;=T176),AV176,0))),"SC","Mag")))))))</f>
        <v/>
      </c>
    </row>
    <row r="177">
      <c r="A177" s="26" t="n">
        <v>172</v>
      </c>
      <c r="B177" s="27">
        <f>A177*10/60</f>
        <v/>
      </c>
      <c r="C177" s="22">
        <f>X176</f>
        <v/>
      </c>
      <c r="D177" s="27">
        <f>D176+W176</f>
        <v/>
      </c>
      <c r="E177" s="26">
        <f>E176+IF(U176="SW",1,0)</f>
        <v/>
      </c>
      <c r="F177" s="26">
        <f>F176+IF(U176="AB",1,0)</f>
        <v/>
      </c>
      <c r="G177" s="26">
        <f>G176+IF(U176="SC",1,0)</f>
        <v/>
      </c>
      <c r="H177" s="26">
        <f>H176+IF(U176="Mag",1,0)</f>
        <v/>
      </c>
      <c r="I177" s="26">
        <f>MAX(I176,IF(U176="OR",1,0))</f>
        <v/>
      </c>
      <c r="J177" s="26">
        <f>MAX(J176,IF(U176="HP",1,0))</f>
        <v/>
      </c>
      <c r="K177" s="26">
        <f>MAX(K176,IF(U176="FP",1,0))</f>
        <v/>
      </c>
      <c r="L177" s="26">
        <f>MAX(L176,IF(U176="transition",1,0))</f>
        <v/>
      </c>
      <c r="M177" s="28">
        <f>(Parameters!$B$9+(IF(E177=0,0,(Upgrades!$J$6+E177*Upgrades!$K$6)*POWER(Upgrades!$L$6,E177)))*(IF(Upgrades!$T$7="Solar Wind",POWER(Upgrades!$U$7,F177),1)*IF(Upgrades!$T$8="Solar Wind",POWER(Upgrades!$U$8,G177),1)*IF(Upgrades!$T$9="Solar Wind",POWER(Upgrades!$U$9,H177),1)*IF(Upgrades!$T$10="Solar Wind",POWER(Upgrades!$U$10,I177),1)*IF(Upgrades!$T$11="Solar Wind",POWER(Upgrades!$U$11,J177),1)*IF(Upgrades!$T$12="Solar Wind",POWER(Upgrades!$U$12,K177),1))+(IF(F177=0,0,(Upgrades!$J$7+F177*Upgrades!$K$7)*POWER(Upgrades!$L$7,F177)))*(IF(Upgrades!$T$6="Asteroid Belt",POWER(Upgrades!$U$6,E177),1)*IF(Upgrades!$T$8="Asteroid Belt",POWER(Upgrades!$U$8,G177),1)*IF(Upgrades!$T$9="Asteroid Belt",POWER(Upgrades!$U$9,H177),1)*IF(Upgrades!$T$10="Asteroid Belt",POWER(Upgrades!$U$10,I177),1)*IF(Upgrades!$T$11="Asteroid Belt",POWER(Upgrades!$U$11,J177),1)*IF(Upgrades!$T$12="Asteroid Belt",POWER(Upgrades!$U$12,K177),1))+(IF(G177=0,0,(Upgrades!$J$8+G177*Upgrades!$K$8)*POWER(Upgrades!$L$8,G177)))*(IF(Upgrades!$T$6="Stellar Coupling",POWER(Upgrades!$U$6,E177),1)*IF(Upgrades!$T$7="Stellar Coupling",POWER(Upgrades!$U$7,F177),1)*IF(Upgrades!$T$9="Stellar Coupling",POWER(Upgrades!$U$9,H177),1)*IF(Upgrades!$T$10="Stellar Coupling",POWER(Upgrades!$U$10,I177),1)*IF(Upgrades!$T$11="Stellar Coupling",POWER(Upgrades!$U$11,J177),1)*IF(Upgrades!$T$12="Stellar Coupling",POWER(Upgrades!$U$12,K177),1))+(IF(H177=0,0,(Upgrades!$J$9+H177*Upgrades!$K$9)*POWER(Upgrades!$L$9,H177)))*(IF(Upgrades!$T$6="Magnetosphere",POWER(Upgrades!$U$6,E177),1)*IF(Upgrades!$T$7="Magnetosphere",POWER(Upgrades!$U$7,F177),1)*IF(Upgrades!$T$8="Magnetosphere",POWER(Upgrades!$U$8,G177),1)*IF(Upgrades!$T$10="Magnetosphere",POWER(Upgrades!$U$10,I177),1)*IF(Upgrades!$T$11="Magnetosphere",POWER(Upgrades!$U$11,J177),1)*IF(Upgrades!$T$12="Magnetosphere",POWER(Upgrades!$U$12,K177),1))+(IF(I177=0,0,(Upgrades!$J$10+I177*Upgrades!$K$10)*POWER(Upgrades!$L$10,I177)))*(IF(Upgrades!$T$6="Orbital Resonance",POWER(Upgrades!$U$6,E177),1)*IF(Upgrades!$T$7="Orbital Resonance",POWER(Upgrades!$U$7,F177),1)*IF(Upgrades!$T$8="Orbital Resonance",POWER(Upgrades!$U$8,G177),1)*IF(Upgrades!$T$9="Orbital Resonance",POWER(Upgrades!$U$9,H177),1)*IF(Upgrades!$T$11="Orbital Resonance",POWER(Upgrades!$U$11,J177),1)*IF(Upgrades!$T$12="Orbital Resonance",POWER(Upgrades!$U$12,K177),1))+(IF(J177=0,0,(Upgrades!$J$11+J177*Upgrades!$K$11)*POWER(Upgrades!$L$11,J177)))*(IF(Upgrades!$T$6="Heliopause",POWER(Upgrades!$U$6,E177),1)*IF(Upgrades!$T$7="Heliopause",POWER(Upgrades!$U$7,F177),1)*IF(Upgrades!$T$8="Heliopause",POWER(Upgrades!$U$8,G177),1)*IF(Upgrades!$T$9="Heliopause",POWER(Upgrades!$U$9,H177),1)*IF(Upgrades!$T$10="Heliopause",POWER(Upgrades!$U$10,I177),1)*IF(Upgrades!$T$12="Heliopause",POWER(Upgrades!$U$12,K177),1))+(IF(K177=0,0,(Upgrades!$J$12+K177*Upgrades!$K$12)*POWER(Upgrades!$L$12,K177)))*(IF(Upgrades!$T$6="First Photons",POWER(Upgrades!$U$6,E177),1)*IF(Upgrades!$T$7="First Photons",POWER(Upgrades!$U$7,F177),1)*IF(Upgrades!$T$8="First Photons",POWER(Upgrades!$U$8,G177),1)*IF(Upgrades!$T$9="First Photons",POWER(Upgrades!$U$9,H177),1)*IF(Upgrades!$T$10="First Photons",POWER(Upgrades!$U$10,I177),1)*IF(Upgrades!$T$11="First Photons",POWER(Upgrades!$U$11,J177),1)))*POWER(Upgrades!$Q$6,E177)*POWER(Upgrades!$Q$7,F177)*POWER(Upgrades!$Q$8,G177)*POWER(Upgrades!$Q$9,H177)*POWER(Upgrades!$Q$10,I177)*POWER(Upgrades!$Q$11,J177)*POWER(Upgrades!$Q$12,K177)</f>
        <v/>
      </c>
      <c r="N177" s="28">
        <f>((IF(E177=0,0,(Upgrades!$G$6+E177*Upgrades!$H$6)*POWER(Upgrades!$I$6,E177)))*(IF(Upgrades!$T$7="Solar Wind",POWER(Upgrades!$U$7,F177),1)*IF(Upgrades!$T$8="Solar Wind",POWER(Upgrades!$U$8,G177),1)*IF(Upgrades!$T$9="Solar Wind",POWER(Upgrades!$U$9,H177),1)*IF(Upgrades!$T$10="Solar Wind",POWER(Upgrades!$U$10,I177),1)*IF(Upgrades!$T$11="Solar Wind",POWER(Upgrades!$U$11,J177),1)*IF(Upgrades!$T$12="Solar Wind",POWER(Upgrades!$U$12,K177),1))+(IF(F177=0,0,(Upgrades!$G$7+F177*Upgrades!$H$7)*POWER(Upgrades!$I$7,F177)))*(IF(Upgrades!$T$6="Asteroid Belt",POWER(Upgrades!$U$6,E177),1)*IF(Upgrades!$T$8="Asteroid Belt",POWER(Upgrades!$U$8,G177),1)*IF(Upgrades!$T$9="Asteroid Belt",POWER(Upgrades!$U$9,H177),1)*IF(Upgrades!$T$10="Asteroid Belt",POWER(Upgrades!$U$10,I177),1)*IF(Upgrades!$T$11="Asteroid Belt",POWER(Upgrades!$U$11,J177),1)*IF(Upgrades!$T$12="Asteroid Belt",POWER(Upgrades!$U$12,K177),1))+(IF(G177=0,0,(Upgrades!$G$8+G177*Upgrades!$H$8)*POWER(Upgrades!$I$8,G177)))*(IF(Upgrades!$T$6="Stellar Coupling",POWER(Upgrades!$U$6,E177),1)*IF(Upgrades!$T$7="Stellar Coupling",POWER(Upgrades!$U$7,F177),1)*IF(Upgrades!$T$9="Stellar Coupling",POWER(Upgrades!$U$9,H177),1)*IF(Upgrades!$T$10="Stellar Coupling",POWER(Upgrades!$U$10,I177),1)*IF(Upgrades!$T$11="Stellar Coupling",POWER(Upgrades!$U$11,J177),1)*IF(Upgrades!$T$12="Stellar Coupling",POWER(Upgrades!$U$12,K177),1))+(IF(H177=0,0,(Upgrades!$G$9+H177*Upgrades!$H$9)*POWER(Upgrades!$I$9,H177)))*(IF(Upgrades!$T$6="Magnetosphere",POWER(Upgrades!$U$6,E177),1)*IF(Upgrades!$T$7="Magnetosphere",POWER(Upgrades!$U$7,F177),1)*IF(Upgrades!$T$8="Magnetosphere",POWER(Upgrades!$U$8,G177),1)*IF(Upgrades!$T$10="Magnetosphere",POWER(Upgrades!$U$10,I177),1)*IF(Upgrades!$T$11="Magnetosphere",POWER(Upgrades!$U$11,J177),1)*IF(Upgrades!$T$12="Magnetosphere",POWER(Upgrades!$U$12,K177),1))+(IF(I177=0,0,(Upgrades!$G$10+I177*Upgrades!$H$10)*POWER(Upgrades!$I$10,I177)))*(IF(Upgrades!$T$6="Orbital Resonance",POWER(Upgrades!$U$6,E177),1)*IF(Upgrades!$T$7="Orbital Resonance",POWER(Upgrades!$U$7,F177),1)*IF(Upgrades!$T$8="Orbital Resonance",POWER(Upgrades!$U$8,G177),1)*IF(Upgrades!$T$9="Orbital Resonance",POWER(Upgrades!$U$9,H177),1)*IF(Upgrades!$T$11="Orbital Resonance",POWER(Upgrades!$U$11,J177),1)*IF(Upgrades!$T$12="Orbital Resonance",POWER(Upgrades!$U$12,K177),1))+(IF(J177=0,0,(Upgrades!$G$11+J177*Upgrades!$H$11)*POWER(Upgrades!$I$11,J177)))*(IF(Upgrades!$T$6="Heliopause",POWER(Upgrades!$U$6,E177),1)*IF(Upgrades!$T$7="Heliopause",POWER(Upgrades!$U$7,F177),1)*IF(Upgrades!$T$8="Heliopause",POWER(Upgrades!$U$8,G177),1)*IF(Upgrades!$T$9="Heliopause",POWER(Upgrades!$U$9,H177),1)*IF(Upgrades!$T$10="Heliopause",POWER(Upgrades!$U$10,I177),1)*IF(Upgrades!$T$12="Heliopause",POWER(Upgrades!$U$12,K177),1))+(IF(K177=0,0,(Upgrades!$G$12+K177*Upgrades!$H$12)*POWER(Upgrades!$I$12,K177)))*(IF(Upgrades!$T$6="First Photons",POWER(Upgrades!$U$6,E177),1)*IF(Upgrades!$T$7="First Photons",POWER(Upgrades!$U$7,F177),1)*IF(Upgrades!$T$8="First Photons",POWER(Upgrades!$U$8,G177),1)*IF(Upgrades!$T$9="First Photons",POWER(Upgrades!$U$9,H177),1)*IF(Upgrades!$T$10="First Photons",POWER(Upgrades!$U$10,I177),1)*IF(Upgrades!$T$11="First Photons",POWER(Upgrades!$U$11,J177),1)))*POWER(Upgrades!$P$6,E177)*POWER(Upgrades!$P$7,F177)*POWER(Upgrades!$P$8,G177)*POWER(Upgrades!$P$9,H177)*POWER(Upgrades!$P$10,I177)*POWER(Upgrades!$P$11,J177)*POWER(Upgrades!$P$12,K177)</f>
        <v/>
      </c>
      <c r="O177" s="28">
        <f>((IF(E177=0,0,(Upgrades!$M$6+E177*Upgrades!$N$6)*POWER(Upgrades!$O$6,E177)))*(IF(Upgrades!$T$7="Solar Wind",POWER(Upgrades!$U$7,F177),1)*IF(Upgrades!$T$8="Solar Wind",POWER(Upgrades!$U$8,G177),1)*IF(Upgrades!$T$9="Solar Wind",POWER(Upgrades!$U$9,H177),1)*IF(Upgrades!$T$10="Solar Wind",POWER(Upgrades!$U$10,I177),1)*IF(Upgrades!$T$11="Solar Wind",POWER(Upgrades!$U$11,J177),1)*IF(Upgrades!$T$12="Solar Wind",POWER(Upgrades!$U$12,K177),1))+(IF(F177=0,0,(Upgrades!$M$7+F177*Upgrades!$N$7)*POWER(Upgrades!$O$7,F177)))*(IF(Upgrades!$T$6="Asteroid Belt",POWER(Upgrades!$U$6,E177),1)*IF(Upgrades!$T$8="Asteroid Belt",POWER(Upgrades!$U$8,G177),1)*IF(Upgrades!$T$9="Asteroid Belt",POWER(Upgrades!$U$9,H177),1)*IF(Upgrades!$T$10="Asteroid Belt",POWER(Upgrades!$U$10,I177),1)*IF(Upgrades!$T$11="Asteroid Belt",POWER(Upgrades!$U$11,J177),1)*IF(Upgrades!$T$12="Asteroid Belt",POWER(Upgrades!$U$12,K177),1))+(IF(G177=0,0,(Upgrades!$M$8+G177*Upgrades!$N$8)*POWER(Upgrades!$O$8,G177)))*(IF(Upgrades!$T$6="Stellar Coupling",POWER(Upgrades!$U$6,E177),1)*IF(Upgrades!$T$7="Stellar Coupling",POWER(Upgrades!$U$7,F177),1)*IF(Upgrades!$T$9="Stellar Coupling",POWER(Upgrades!$U$9,H177),1)*IF(Upgrades!$T$10="Stellar Coupling",POWER(Upgrades!$U$10,I177),1)*IF(Upgrades!$T$11="Stellar Coupling",POWER(Upgrades!$U$11,J177),1)*IF(Upgrades!$T$12="Stellar Coupling",POWER(Upgrades!$U$12,K177),1))+(IF(H177=0,0,(Upgrades!$M$9+H177*Upgrades!$N$9)*POWER(Upgrades!$O$9,H177)))*(IF(Upgrades!$T$6="Magnetosphere",POWER(Upgrades!$U$6,E177),1)*IF(Upgrades!$T$7="Magnetosphere",POWER(Upgrades!$U$7,F177),1)*IF(Upgrades!$T$8="Magnetosphere",POWER(Upgrades!$U$8,G177),1)*IF(Upgrades!$T$10="Magnetosphere",POWER(Upgrades!$U$10,I177),1)*IF(Upgrades!$T$11="Magnetosphere",POWER(Upgrades!$U$11,J177),1)*IF(Upgrades!$T$12="Magnetosphere",POWER(Upgrades!$U$12,K177),1))+(IF(I177=0,0,(Upgrades!$M$10+I177*Upgrades!$N$10)*POWER(Upgrades!$O$10,I177)))*(IF(Upgrades!$T$6="Orbital Resonance",POWER(Upgrades!$U$6,E177),1)*IF(Upgrades!$T$7="Orbital Resonance",POWER(Upgrades!$U$7,F177),1)*IF(Upgrades!$T$8="Orbital Resonance",POWER(Upgrades!$U$8,G177),1)*IF(Upgrades!$T$9="Orbital Resonance",POWER(Upgrades!$U$9,H177),1)*IF(Upgrades!$T$11="Orbital Resonance",POWER(Upgrades!$U$11,J177),1)*IF(Upgrades!$T$12="Orbital Resonance",POWER(Upgrades!$U$12,K177),1))+(IF(J177=0,0,(Upgrades!$M$11+J177*Upgrades!$N$11)*POWER(Upgrades!$O$11,J177)))*(IF(Upgrades!$T$6="Heliopause",POWER(Upgrades!$U$6,E177),1)*IF(Upgrades!$T$7="Heliopause",POWER(Upgrades!$U$7,F177),1)*IF(Upgrades!$T$8="Heliopause",POWER(Upgrades!$U$8,G177),1)*IF(Upgrades!$T$9="Heliopause",POWER(Upgrades!$U$9,H177),1)*IF(Upgrades!$T$10="Heliopause",POWER(Upgrades!$U$10,I177),1)*IF(Upgrades!$T$12="Heliopause",POWER(Upgrades!$U$12,K177),1))+(IF(K177=0,0,(Upgrades!$M$12+K177*Upgrades!$N$12)*POWER(Upgrades!$O$12,K177)))*(IF(Upgrades!$T$6="First Photons",POWER(Upgrades!$U$6,E177),1)*IF(Upgrades!$T$7="First Photons",POWER(Upgrades!$U$7,F177),1)*IF(Upgrades!$T$8="First Photons",POWER(Upgrades!$U$8,G177),1)*IF(Upgrades!$T$9="First Photons",POWER(Upgrades!$U$9,H177),1)*IF(Upgrades!$T$10="First Photons",POWER(Upgrades!$U$10,I177),1)*IF(Upgrades!$T$11="First Photons",POWER(Upgrades!$U$11,J177),1)))*POWER(Upgrades!$R$6,E177)*POWER(Upgrades!$R$7,F177)*POWER(Upgrades!$R$8,G177)*POWER(Upgrades!$R$9,H177)*POWER(Upgrades!$R$10,I177)*POWER(Upgrades!$R$11,J177)*POWER(Upgrades!$R$12,K177)</f>
        <v/>
      </c>
      <c r="P177" s="27">
        <f>IF(L177=1,0,M177*Parameters!$B$10/60*Parameters!$B$11*10)</f>
        <v/>
      </c>
      <c r="Q177" s="27">
        <f>IF(L177=1,0,O177*M177*10)</f>
        <v/>
      </c>
      <c r="R177" s="27">
        <f>IF(L177=1,0,N177*10)</f>
        <v/>
      </c>
      <c r="S177" s="27">
        <f>P177+Q177+R177</f>
        <v/>
      </c>
      <c r="T177" s="22">
        <f>C177+S177</f>
        <v/>
      </c>
      <c r="U177" s="33">
        <f>AX177</f>
        <v/>
      </c>
      <c r="V177" s="22">
        <f>IF(U177="",0,IF(U177="transition",0,IF(U177="SW",AG177,IF(U177="AB",AH177,IF(U177="SC",AI177,IF(U177="Mag",AJ177,IF(U177="OR",AK177,IF(U177="HP",AL177,IF(U177="FP",AM177,0)))))))))</f>
        <v/>
      </c>
      <c r="W177" s="27">
        <f>IF(U177="OR",Upgrades!$F$10,IF(U177="HP",Upgrades!$F$11,IF(U177="transition",-Parameters!$B$18,0)))</f>
        <v/>
      </c>
      <c r="X177" s="22">
        <f>T177-V177</f>
        <v/>
      </c>
      <c r="Y177" s="30">
        <f>M177*Parameters!$B$10/60*Parameters!$B$11+O177*M177+N177</f>
        <v/>
      </c>
      <c r="Z177" s="34">
        <f>IF(U177="transition","→ Tier 2 (Stellar Neighborhood)",IF(U177="FP","First Photons — light begins, system quickens",IF(U177="HP","Heliopause acquired",IF(U177="OR","Orbital Resonance — passive multiplier active",IF(AND(AO177=1,L177=0,AN177&lt;&gt;1),"Cohesion ready (waiting on completionist upgrades)","")))))</f>
        <v/>
      </c>
      <c r="AA177" s="27">
        <f>(IF(E177=0,0,(Upgrades!$G$6+E177*Upgrades!$H$6)*POWER(Upgrades!$I$6,E177)))*(IF(Upgrades!$T$7="Solar Wind",POWER(Upgrades!$U$7,F177),1)*IF(Upgrades!$T$8="Solar Wind",POWER(Upgrades!$U$8,G177),1)*IF(Upgrades!$T$9="Solar Wind",POWER(Upgrades!$U$9,H177),1)*IF(Upgrades!$T$10="Solar Wind",POWER(Upgrades!$U$10,I177),1)*IF(Upgrades!$T$11="Solar Wind",POWER(Upgrades!$U$11,J177),1)*IF(Upgrades!$T$12="Solar Wind",POWER(Upgrades!$U$12,K177),1))*POWER(Upgrades!$P$6,E177)*POWER(Upgrades!$P$7,F177)*POWER(Upgrades!$P$8,G177)*POWER(Upgrades!$P$9,H177)*POWER(Upgrades!$P$10,I177)*POWER(Upgrades!$P$11,J177)*POWER(Upgrades!$P$12,K177)*60</f>
        <v/>
      </c>
      <c r="AB177" s="27">
        <f>(IF(F177=0,0,(Upgrades!$G$7+F177*Upgrades!$H$7)*POWER(Upgrades!$I$7,F177)))*(IF(Upgrades!$T$6="Asteroid Belt",POWER(Upgrades!$U$6,E177),1)*IF(Upgrades!$T$8="Asteroid Belt",POWER(Upgrades!$U$8,G177),1)*IF(Upgrades!$T$9="Asteroid Belt",POWER(Upgrades!$U$9,H177),1)*IF(Upgrades!$T$10="Asteroid Belt",POWER(Upgrades!$U$10,I177),1)*IF(Upgrades!$T$11="Asteroid Belt",POWER(Upgrades!$U$11,J177),1)*IF(Upgrades!$T$12="Asteroid Belt",POWER(Upgrades!$U$12,K177),1))*POWER(Upgrades!$P$6,E177)*POWER(Upgrades!$P$7,F177)*POWER(Upgrades!$P$8,G177)*POWER(Upgrades!$P$9,H177)*POWER(Upgrades!$P$10,I177)*POWER(Upgrades!$P$11,J177)*POWER(Upgrades!$P$12,K177)*60</f>
        <v/>
      </c>
      <c r="AC177" s="27">
        <f>(IF(G177=0,0,(Upgrades!$J$8+G177*Upgrades!$K$8)*POWER(Upgrades!$L$8,G177)))*(IF(Upgrades!$T$6="Stellar Coupling",POWER(Upgrades!$U$6,E177),1)*IF(Upgrades!$T$7="Stellar Coupling",POWER(Upgrades!$U$7,F177),1)*IF(Upgrades!$T$9="Stellar Coupling",POWER(Upgrades!$U$9,H177),1)*IF(Upgrades!$T$10="Stellar Coupling",POWER(Upgrades!$U$10,I177),1)*IF(Upgrades!$T$11="Stellar Coupling",POWER(Upgrades!$U$11,J177),1)*IF(Upgrades!$T$12="Stellar Coupling",POWER(Upgrades!$U$12,K177),1))*POWER(Upgrades!$Q$6,E177)*POWER(Upgrades!$Q$7,F177)*POWER(Upgrades!$Q$8,G177)*POWER(Upgrades!$Q$9,H177)*POWER(Upgrades!$Q$10,I177)*POWER(Upgrades!$Q$11,J177)*POWER(Upgrades!$Q$12,K177)*Parameters!$B$10*Parameters!$B$11</f>
        <v/>
      </c>
      <c r="AD177" s="27">
        <f>(IF(H177=0,0,(Upgrades!$G$9+H177*Upgrades!$H$9)*POWER(Upgrades!$I$9,H177)))*(IF(Upgrades!$T$6="Magnetosphere",POWER(Upgrades!$U$6,E177),1)*IF(Upgrades!$T$7="Magnetosphere",POWER(Upgrades!$U$7,F177),1)*IF(Upgrades!$T$8="Magnetosphere",POWER(Upgrades!$U$8,G177),1)*IF(Upgrades!$T$10="Magnetosphere",POWER(Upgrades!$U$10,I177),1)*IF(Upgrades!$T$11="Magnetosphere",POWER(Upgrades!$U$11,J177),1)*IF(Upgrades!$T$12="Magnetosphere",POWER(Upgrades!$U$12,K177),1))*POWER(Upgrades!$P$6,E177)*POWER(Upgrades!$P$7,F177)*POWER(Upgrades!$P$8,G177)*POWER(Upgrades!$P$9,H177)*POWER(Upgrades!$P$10,I177)*POWER(Upgrades!$P$11,J177)*POWER(Upgrades!$P$12,K177)*60</f>
        <v/>
      </c>
      <c r="AE177" s="27">
        <f>(IF(K177=0,0,(Upgrades!$G$12+K177*Upgrades!$H$12)*POWER(Upgrades!$I$12,K177)))*(IF(Upgrades!$T$6="First Photons",POWER(Upgrades!$U$6,E177),1)*IF(Upgrades!$T$7="First Photons",POWER(Upgrades!$U$7,F177),1)*IF(Upgrades!$T$8="First Photons",POWER(Upgrades!$U$8,G177),1)*IF(Upgrades!$T$9="First Photons",POWER(Upgrades!$U$9,H177),1)*IF(Upgrades!$T$10="First Photons",POWER(Upgrades!$U$10,I177),1)*IF(Upgrades!$T$11="First Photons",POWER(Upgrades!$U$11,J177),1))*POWER(Upgrades!$P$6,E177)*POWER(Upgrades!$P$7,F177)*POWER(Upgrades!$P$8,G177)*POWER(Upgrades!$P$9,H177)*POWER(Upgrades!$P$10,I177)*POWER(Upgrades!$P$11,J177)*POWER(Upgrades!$P$12,K177)*60</f>
        <v/>
      </c>
      <c r="AF177" s="27">
        <f>Parameters!$B$9*POWER(Upgrades!$Q$6,E177)*POWER(Upgrades!$Q$7,F177)*POWER(Upgrades!$Q$8,G177)*POWER(Upgrades!$Q$9,H177)*POWER(Upgrades!$Q$10,I177)*POWER(Upgrades!$Q$11,J177)*POWER(Upgrades!$Q$12,K177)*(Parameters!$B$10*Parameters!$B$11+O177*60)</f>
        <v/>
      </c>
      <c r="AG177" s="22">
        <f>IF(E177&gt;=Upgrades!$E$6,"",Upgrades!$C$6*POWER(Upgrades!$D$6,E177))</f>
        <v/>
      </c>
      <c r="AH177" s="22">
        <f>IF(F177&gt;=Upgrades!$E$7,"",Upgrades!$C$7*POWER(Upgrades!$D$7,F177))</f>
        <v/>
      </c>
      <c r="AI177" s="22">
        <f>IF(G177&gt;=Upgrades!$E$8,"",Upgrades!$C$8*POWER(Upgrades!$D$8,G177))</f>
        <v/>
      </c>
      <c r="AJ177" s="22">
        <f>IF(H177&gt;=Upgrades!$E$9,"",Upgrades!$C$9*POWER(Upgrades!$D$9,H177))</f>
        <v/>
      </c>
      <c r="AK177" s="22">
        <f>IF(I177&gt;=Upgrades!$E$10,"",Upgrades!$C$10*POWER(Upgrades!$D$10,I177))</f>
        <v/>
      </c>
      <c r="AL177" s="22">
        <f>IF(J177&gt;=Upgrades!$E$11,"",Upgrades!$C$11*POWER(Upgrades!$D$11,J177))</f>
        <v/>
      </c>
      <c r="AM177" s="22">
        <f>IF(K177&gt;=Upgrades!$E$12,"",Upgrades!$C$12*POWER(Upgrades!$D$12,K177))</f>
        <v/>
      </c>
      <c r="AN177" s="26">
        <f>IF(AND(D177&gt;=Parameters!$B$18,(H177&gt;=Upgrades!$E$9)*(K177&gt;=Upgrades!$E$12)=1,L177=0),1,"")</f>
        <v/>
      </c>
      <c r="AO177" s="26">
        <f>IF(AND(D177&gt;=Parameters!$B$18,L177=0),1,"")</f>
        <v/>
      </c>
      <c r="AP177" s="22">
        <f>MIN(IF(ISNUMBER(AK177),AK177,9E15),IF(ISNUMBER(AL177),AL177,9E15),IF(ISNUMBER(AM177),AM177,9E15))</f>
        <v/>
      </c>
      <c r="AQ177" s="22">
        <f>MIN(IF(ISNUMBER(AG177),AG177,9E15),IF(ISNUMBER(AH177),AH177,9E15),IF(ISNUMBER(AI177),AI177,9E15),IF(ISNUMBER(AJ177),AJ177,9E15))</f>
        <v/>
      </c>
      <c r="AR177" s="29">
        <f>IF(AW177&gt;Parameters!$B$21*(MAX(IF(AND(NOT(AND(AO177=1,AN177&lt;&gt;1)),ISNUMBER(AG177),AG177&lt;=T177),AS177,0),IF(AND(NOT(AND(AO177=1,AN177&lt;&gt;1)),ISNUMBER(AH177),AH177&lt;=T177),AT177,0),IF(AND(NOT(AND(AO177=1,AN177&lt;&gt;1)),ISNUMBER(AI177),AI177&lt;=T177),AU177,0),IF(AND(ISNUMBER(AJ177),AJ177&lt;=T177),AV177,0))),TRUE,FALSE)</f>
        <v/>
      </c>
      <c r="AS177" s="32">
        <f>IFERROR(Upgrades!$H$6*(POWER(Upgrades!$P$6,E177)*POWER(Upgrades!$P$7,F177)*POWER(Upgrades!$P$8,G177)*POWER(Upgrades!$P$9,H177)*POWER(Upgrades!$P$10,I177)*POWER(Upgrades!$P$11,J177)*POWER(Upgrades!$P$12,K177))*(IF(Upgrades!$T$7="Solar Wind",POWER(Upgrades!$U$7,F177),1)*IF(Upgrades!$T$8="Solar Wind",POWER(Upgrades!$U$8,G177),1)*IF(Upgrades!$T$9="Solar Wind",POWER(Upgrades!$U$9,H177),1)*IF(Upgrades!$T$10="Solar Wind",POWER(Upgrades!$U$10,I177),1)*IF(Upgrades!$T$11="Solar Wind",POWER(Upgrades!$U$11,J177),1)*IF(Upgrades!$T$12="Solar Wind",POWER(Upgrades!$U$12,K177),1))/AG177,0)</f>
        <v/>
      </c>
      <c r="AT177" s="32">
        <f>IFERROR(Upgrades!$H$7*(POWER(Upgrades!$P$6,E177)*POWER(Upgrades!$P$7,F177)*POWER(Upgrades!$P$8,G177)*POWER(Upgrades!$P$9,H177)*POWER(Upgrades!$P$10,I177)*POWER(Upgrades!$P$11,J177)*POWER(Upgrades!$P$12,K177))*(IF(Upgrades!$T$6="Asteroid Belt",POWER(Upgrades!$U$6,E177),1)*IF(Upgrades!$T$8="Asteroid Belt",POWER(Upgrades!$U$8,G177),1)*IF(Upgrades!$T$9="Asteroid Belt",POWER(Upgrades!$U$9,H177),1)*IF(Upgrades!$T$10="Asteroid Belt",POWER(Upgrades!$U$10,I177),1)*IF(Upgrades!$T$11="Asteroid Belt",POWER(Upgrades!$U$11,J177),1)*IF(Upgrades!$T$12="Asteroid Belt",POWER(Upgrades!$U$12,K177),1))/AH177,0)</f>
        <v/>
      </c>
      <c r="AU177" s="32">
        <f>IFERROR(Upgrades!$K$8*(POWER(Upgrades!$Q$6,E177)*POWER(Upgrades!$Q$7,F177)*POWER(Upgrades!$Q$8,G177)*POWER(Upgrades!$Q$9,H177)*POWER(Upgrades!$Q$10,I177)*POWER(Upgrades!$Q$11,J177)*POWER(Upgrades!$Q$12,K177))*(IF(Upgrades!$T$6="Stellar Coupling",POWER(Upgrades!$U$6,E177),1)*IF(Upgrades!$T$7="Stellar Coupling",POWER(Upgrades!$U$7,F177),1)*IF(Upgrades!$T$9="Stellar Coupling",POWER(Upgrades!$U$9,H177),1)*IF(Upgrades!$T$10="Stellar Coupling",POWER(Upgrades!$U$10,I177),1)*IF(Upgrades!$T$11="Stellar Coupling",POWER(Upgrades!$U$11,J177),1)*IF(Upgrades!$T$12="Stellar Coupling",POWER(Upgrades!$U$12,K177),1))*Parameters!$B$10*Parameters!$B$11/60/AI177,0)</f>
        <v/>
      </c>
      <c r="AV177" s="32">
        <f>IFERROR(Upgrades!$H$9*(POWER(Upgrades!$P$6,E177)*POWER(Upgrades!$P$7,F177)*POWER(Upgrades!$P$8,G177)*POWER(Upgrades!$P$9,H177)*POWER(Upgrades!$P$10,I177)*POWER(Upgrades!$P$11,J177)*POWER(Upgrades!$P$12,K177))*(IF(Upgrades!$T$6="Magnetosphere",POWER(Upgrades!$U$6,E177),1)*IF(Upgrades!$T$7="Magnetosphere",POWER(Upgrades!$U$7,F177),1)*IF(Upgrades!$T$8="Magnetosphere",POWER(Upgrades!$U$8,G177),1)*IF(Upgrades!$T$10="Magnetosphere",POWER(Upgrades!$U$10,I177),1)*IF(Upgrades!$T$11="Magnetosphere",POWER(Upgrades!$U$11,J177),1)*IF(Upgrades!$T$12="Magnetosphere",POWER(Upgrades!$U$12,K177),1))/AJ177,0)</f>
        <v/>
      </c>
      <c r="AW177" s="32">
        <f>MAX(IF(I177&gt;0,0,IFERROR(0.25*N177/Upgrades!$C$10,0)),IF(J177&gt;0,0,IFERROR(0.5*((IF(G177=0,0,(Upgrades!$J$8+G177*Upgrades!$K$8)*POWER(Upgrades!$L$8,G177)))*(IF(Upgrades!$T$6="Stellar Coupling",POWER(Upgrades!$U$6,E177),1)*IF(Upgrades!$T$7="Stellar Coupling",POWER(Upgrades!$U$7,F177),1)*IF(Upgrades!$T$9="Stellar Coupling",POWER(Upgrades!$U$9,H177),1)*IF(Upgrades!$T$10="Stellar Coupling",POWER(Upgrades!$U$10,I177),1)*IF(Upgrades!$T$11="Stellar Coupling",POWER(Upgrades!$U$11,J177),1)*IF(Upgrades!$T$12="Stellar Coupling",POWER(Upgrades!$U$12,K177),1))*(POWER(Upgrades!$Q$6,E177)*POWER(Upgrades!$Q$7,F177)*POWER(Upgrades!$Q$8,G177)*POWER(Upgrades!$Q$9,H177)*POWER(Upgrades!$Q$10,I177)*POWER(Upgrades!$Q$11,J177)*POWER(Upgrades!$Q$12,K177))*Parameters!$B$10*Parameters!$B$11/60)/Upgrades!$C$11,0)),IF(K177&gt;0,0,IFERROR((1.0*(POWER(Upgrades!$P$6,E177)*POWER(Upgrades!$P$7,F177)*POWER(Upgrades!$P$8,G177)*POWER(Upgrades!$P$9,H177)*POWER(Upgrades!$P$10,I177)*POWER(Upgrades!$P$11,J177)*POWER(Upgrades!$P$12,K177))+0.20*M177*Parameters!$B$10*Parameters!$B$11/60)/Upgrades!$C$12,0)),IF(AND(ISNUMBER(AG177),AG177&gt;T177),AS177,0),IF(AND(ISNUMBER(AH177),AH177&gt;T177),AT177,0),IF(AND(ISNUMBER(AI177),AI177&gt;T177),AU177,0),IF(AND(ISNUMBER(AJ177),AJ177&gt;T177),AV177,0))</f>
        <v/>
      </c>
      <c r="AX177" s="29">
        <f>IF(AN177=1,"transition",IF(MIN(IF(AND(I177=0,ISNUMBER(AK177),AK177&lt;=T177),AK177,9E15),IF(AND(J177=0,ISNUMBER(AL177),AL177&lt;=T177),AL177,9E15),IF(AND(K177=0,ISNUMBER(AM177),AM177&lt;=T177),AM177,9E15))&lt;9E15,IF(AND(AND(I177=0,ISNUMBER(AK177),AK177&lt;=T177),AK177=MIN(IF(AND(I177=0,ISNUMBER(AK177),AK177&lt;=T177),AK177,9E15),IF(AND(J177=0,ISNUMBER(AL177),AL177&lt;=T177),AL177,9E15),IF(AND(K177=0,ISNUMBER(AM177),AM177&lt;=T177),AM177,9E15))),"OR",IF(AND(AND(J177=0,ISNUMBER(AL177),AL177&lt;=T177),AL177=MIN(IF(AND(I177=0,ISNUMBER(AK177),AK177&lt;=T177),AK177,9E15),IF(AND(J177=0,ISNUMBER(AL177),AL177&lt;=T177),AL177,9E15),IF(AND(K177=0,ISNUMBER(AM177),AM177&lt;=T177),AM177,9E15))),"HP","FP")),IF(AR177=TRUE,"",IF(MAX(IF(AND(NOT(AND(AO177=1,AN177&lt;&gt;1)),ISNUMBER(AG177),AG177&lt;=T177),AS177,0),IF(AND(NOT(AND(AO177=1,AN177&lt;&gt;1)),ISNUMBER(AH177),AH177&lt;=T177),AT177,0),IF(AND(NOT(AND(AO177=1,AN177&lt;&gt;1)),ISNUMBER(AI177),AI177&lt;=T177),AU177,0),IF(AND(ISNUMBER(AJ177),AJ177&lt;=T177),AV177,0))&lt;=0,"",IF(AND(IF(AND(NOT(AND(AO177=1,AN177&lt;&gt;1)),ISNUMBER(AG177),AG177&lt;=T177),AS177,0)&gt;0,IF(AND(NOT(AND(AO177=1,AN177&lt;&gt;1)),ISNUMBER(AG177),AG177&lt;=T177),AS177,0)=MAX(IF(AND(NOT(AND(AO177=1,AN177&lt;&gt;1)),ISNUMBER(AG177),AG177&lt;=T177),AS177,0),IF(AND(NOT(AND(AO177=1,AN177&lt;&gt;1)),ISNUMBER(AH177),AH177&lt;=T177),AT177,0),IF(AND(NOT(AND(AO177=1,AN177&lt;&gt;1)),ISNUMBER(AI177),AI177&lt;=T177),AU177,0),IF(AND(ISNUMBER(AJ177),AJ177&lt;=T177),AV177,0))),"SW",IF(AND(IF(AND(NOT(AND(AO177=1,AN177&lt;&gt;1)),ISNUMBER(AH177),AH177&lt;=T177),AT177,0)&gt;0,IF(AND(NOT(AND(AO177=1,AN177&lt;&gt;1)),ISNUMBER(AH177),AH177&lt;=T177),AT177,0)=MAX(IF(AND(NOT(AND(AO177=1,AN177&lt;&gt;1)),ISNUMBER(AG177),AG177&lt;=T177),AS177,0),IF(AND(NOT(AND(AO177=1,AN177&lt;&gt;1)),ISNUMBER(AH177),AH177&lt;=T177),AT177,0),IF(AND(NOT(AND(AO177=1,AN177&lt;&gt;1)),ISNUMBER(AI177),AI177&lt;=T177),AU177,0),IF(AND(ISNUMBER(AJ177),AJ177&lt;=T177),AV177,0))),"AB",IF(AND(IF(AND(NOT(AND(AO177=1,AN177&lt;&gt;1)),ISNUMBER(AI177),AI177&lt;=T177),AU177,0)&gt;0,IF(AND(NOT(AND(AO177=1,AN177&lt;&gt;1)),ISNUMBER(AI177),AI177&lt;=T177),AU177,0)=MAX(IF(AND(NOT(AND(AO177=1,AN177&lt;&gt;1)),ISNUMBER(AG177),AG177&lt;=T177),AS177,0),IF(AND(NOT(AND(AO177=1,AN177&lt;&gt;1)),ISNUMBER(AH177),AH177&lt;=T177),AT177,0),IF(AND(NOT(AND(AO177=1,AN177&lt;&gt;1)),ISNUMBER(AI177),AI177&lt;=T177),AU177,0),IF(AND(ISNUMBER(AJ177),AJ177&lt;=T177),AV177,0))),"SC","Mag")))))))</f>
        <v/>
      </c>
    </row>
    <row r="178">
      <c r="A178" s="26" t="n">
        <v>173</v>
      </c>
      <c r="B178" s="27">
        <f>A178*10/60</f>
        <v/>
      </c>
      <c r="C178" s="22">
        <f>X177</f>
        <v/>
      </c>
      <c r="D178" s="27">
        <f>D177+W177</f>
        <v/>
      </c>
      <c r="E178" s="26">
        <f>E177+IF(U177="SW",1,0)</f>
        <v/>
      </c>
      <c r="F178" s="26">
        <f>F177+IF(U177="AB",1,0)</f>
        <v/>
      </c>
      <c r="G178" s="26">
        <f>G177+IF(U177="SC",1,0)</f>
        <v/>
      </c>
      <c r="H178" s="26">
        <f>H177+IF(U177="Mag",1,0)</f>
        <v/>
      </c>
      <c r="I178" s="26">
        <f>MAX(I177,IF(U177="OR",1,0))</f>
        <v/>
      </c>
      <c r="J178" s="26">
        <f>MAX(J177,IF(U177="HP",1,0))</f>
        <v/>
      </c>
      <c r="K178" s="26">
        <f>MAX(K177,IF(U177="FP",1,0))</f>
        <v/>
      </c>
      <c r="L178" s="26">
        <f>MAX(L177,IF(U177="transition",1,0))</f>
        <v/>
      </c>
      <c r="M178" s="28">
        <f>(Parameters!$B$9+(IF(E178=0,0,(Upgrades!$J$6+E178*Upgrades!$K$6)*POWER(Upgrades!$L$6,E178)))*(IF(Upgrades!$T$7="Solar Wind",POWER(Upgrades!$U$7,F178),1)*IF(Upgrades!$T$8="Solar Wind",POWER(Upgrades!$U$8,G178),1)*IF(Upgrades!$T$9="Solar Wind",POWER(Upgrades!$U$9,H178),1)*IF(Upgrades!$T$10="Solar Wind",POWER(Upgrades!$U$10,I178),1)*IF(Upgrades!$T$11="Solar Wind",POWER(Upgrades!$U$11,J178),1)*IF(Upgrades!$T$12="Solar Wind",POWER(Upgrades!$U$12,K178),1))+(IF(F178=0,0,(Upgrades!$J$7+F178*Upgrades!$K$7)*POWER(Upgrades!$L$7,F178)))*(IF(Upgrades!$T$6="Asteroid Belt",POWER(Upgrades!$U$6,E178),1)*IF(Upgrades!$T$8="Asteroid Belt",POWER(Upgrades!$U$8,G178),1)*IF(Upgrades!$T$9="Asteroid Belt",POWER(Upgrades!$U$9,H178),1)*IF(Upgrades!$T$10="Asteroid Belt",POWER(Upgrades!$U$10,I178),1)*IF(Upgrades!$T$11="Asteroid Belt",POWER(Upgrades!$U$11,J178),1)*IF(Upgrades!$T$12="Asteroid Belt",POWER(Upgrades!$U$12,K178),1))+(IF(G178=0,0,(Upgrades!$J$8+G178*Upgrades!$K$8)*POWER(Upgrades!$L$8,G178)))*(IF(Upgrades!$T$6="Stellar Coupling",POWER(Upgrades!$U$6,E178),1)*IF(Upgrades!$T$7="Stellar Coupling",POWER(Upgrades!$U$7,F178),1)*IF(Upgrades!$T$9="Stellar Coupling",POWER(Upgrades!$U$9,H178),1)*IF(Upgrades!$T$10="Stellar Coupling",POWER(Upgrades!$U$10,I178),1)*IF(Upgrades!$T$11="Stellar Coupling",POWER(Upgrades!$U$11,J178),1)*IF(Upgrades!$T$12="Stellar Coupling",POWER(Upgrades!$U$12,K178),1))+(IF(H178=0,0,(Upgrades!$J$9+H178*Upgrades!$K$9)*POWER(Upgrades!$L$9,H178)))*(IF(Upgrades!$T$6="Magnetosphere",POWER(Upgrades!$U$6,E178),1)*IF(Upgrades!$T$7="Magnetosphere",POWER(Upgrades!$U$7,F178),1)*IF(Upgrades!$T$8="Magnetosphere",POWER(Upgrades!$U$8,G178),1)*IF(Upgrades!$T$10="Magnetosphere",POWER(Upgrades!$U$10,I178),1)*IF(Upgrades!$T$11="Magnetosphere",POWER(Upgrades!$U$11,J178),1)*IF(Upgrades!$T$12="Magnetosphere",POWER(Upgrades!$U$12,K178),1))+(IF(I178=0,0,(Upgrades!$J$10+I178*Upgrades!$K$10)*POWER(Upgrades!$L$10,I178)))*(IF(Upgrades!$T$6="Orbital Resonance",POWER(Upgrades!$U$6,E178),1)*IF(Upgrades!$T$7="Orbital Resonance",POWER(Upgrades!$U$7,F178),1)*IF(Upgrades!$T$8="Orbital Resonance",POWER(Upgrades!$U$8,G178),1)*IF(Upgrades!$T$9="Orbital Resonance",POWER(Upgrades!$U$9,H178),1)*IF(Upgrades!$T$11="Orbital Resonance",POWER(Upgrades!$U$11,J178),1)*IF(Upgrades!$T$12="Orbital Resonance",POWER(Upgrades!$U$12,K178),1))+(IF(J178=0,0,(Upgrades!$J$11+J178*Upgrades!$K$11)*POWER(Upgrades!$L$11,J178)))*(IF(Upgrades!$T$6="Heliopause",POWER(Upgrades!$U$6,E178),1)*IF(Upgrades!$T$7="Heliopause",POWER(Upgrades!$U$7,F178),1)*IF(Upgrades!$T$8="Heliopause",POWER(Upgrades!$U$8,G178),1)*IF(Upgrades!$T$9="Heliopause",POWER(Upgrades!$U$9,H178),1)*IF(Upgrades!$T$10="Heliopause",POWER(Upgrades!$U$10,I178),1)*IF(Upgrades!$T$12="Heliopause",POWER(Upgrades!$U$12,K178),1))+(IF(K178=0,0,(Upgrades!$J$12+K178*Upgrades!$K$12)*POWER(Upgrades!$L$12,K178)))*(IF(Upgrades!$T$6="First Photons",POWER(Upgrades!$U$6,E178),1)*IF(Upgrades!$T$7="First Photons",POWER(Upgrades!$U$7,F178),1)*IF(Upgrades!$T$8="First Photons",POWER(Upgrades!$U$8,G178),1)*IF(Upgrades!$T$9="First Photons",POWER(Upgrades!$U$9,H178),1)*IF(Upgrades!$T$10="First Photons",POWER(Upgrades!$U$10,I178),1)*IF(Upgrades!$T$11="First Photons",POWER(Upgrades!$U$11,J178),1)))*POWER(Upgrades!$Q$6,E178)*POWER(Upgrades!$Q$7,F178)*POWER(Upgrades!$Q$8,G178)*POWER(Upgrades!$Q$9,H178)*POWER(Upgrades!$Q$10,I178)*POWER(Upgrades!$Q$11,J178)*POWER(Upgrades!$Q$12,K178)</f>
        <v/>
      </c>
      <c r="N178" s="28">
        <f>((IF(E178=0,0,(Upgrades!$G$6+E178*Upgrades!$H$6)*POWER(Upgrades!$I$6,E178)))*(IF(Upgrades!$T$7="Solar Wind",POWER(Upgrades!$U$7,F178),1)*IF(Upgrades!$T$8="Solar Wind",POWER(Upgrades!$U$8,G178),1)*IF(Upgrades!$T$9="Solar Wind",POWER(Upgrades!$U$9,H178),1)*IF(Upgrades!$T$10="Solar Wind",POWER(Upgrades!$U$10,I178),1)*IF(Upgrades!$T$11="Solar Wind",POWER(Upgrades!$U$11,J178),1)*IF(Upgrades!$T$12="Solar Wind",POWER(Upgrades!$U$12,K178),1))+(IF(F178=0,0,(Upgrades!$G$7+F178*Upgrades!$H$7)*POWER(Upgrades!$I$7,F178)))*(IF(Upgrades!$T$6="Asteroid Belt",POWER(Upgrades!$U$6,E178),1)*IF(Upgrades!$T$8="Asteroid Belt",POWER(Upgrades!$U$8,G178),1)*IF(Upgrades!$T$9="Asteroid Belt",POWER(Upgrades!$U$9,H178),1)*IF(Upgrades!$T$10="Asteroid Belt",POWER(Upgrades!$U$10,I178),1)*IF(Upgrades!$T$11="Asteroid Belt",POWER(Upgrades!$U$11,J178),1)*IF(Upgrades!$T$12="Asteroid Belt",POWER(Upgrades!$U$12,K178),1))+(IF(G178=0,0,(Upgrades!$G$8+G178*Upgrades!$H$8)*POWER(Upgrades!$I$8,G178)))*(IF(Upgrades!$T$6="Stellar Coupling",POWER(Upgrades!$U$6,E178),1)*IF(Upgrades!$T$7="Stellar Coupling",POWER(Upgrades!$U$7,F178),1)*IF(Upgrades!$T$9="Stellar Coupling",POWER(Upgrades!$U$9,H178),1)*IF(Upgrades!$T$10="Stellar Coupling",POWER(Upgrades!$U$10,I178),1)*IF(Upgrades!$T$11="Stellar Coupling",POWER(Upgrades!$U$11,J178),1)*IF(Upgrades!$T$12="Stellar Coupling",POWER(Upgrades!$U$12,K178),1))+(IF(H178=0,0,(Upgrades!$G$9+H178*Upgrades!$H$9)*POWER(Upgrades!$I$9,H178)))*(IF(Upgrades!$T$6="Magnetosphere",POWER(Upgrades!$U$6,E178),1)*IF(Upgrades!$T$7="Magnetosphere",POWER(Upgrades!$U$7,F178),1)*IF(Upgrades!$T$8="Magnetosphere",POWER(Upgrades!$U$8,G178),1)*IF(Upgrades!$T$10="Magnetosphere",POWER(Upgrades!$U$10,I178),1)*IF(Upgrades!$T$11="Magnetosphere",POWER(Upgrades!$U$11,J178),1)*IF(Upgrades!$T$12="Magnetosphere",POWER(Upgrades!$U$12,K178),1))+(IF(I178=0,0,(Upgrades!$G$10+I178*Upgrades!$H$10)*POWER(Upgrades!$I$10,I178)))*(IF(Upgrades!$T$6="Orbital Resonance",POWER(Upgrades!$U$6,E178),1)*IF(Upgrades!$T$7="Orbital Resonance",POWER(Upgrades!$U$7,F178),1)*IF(Upgrades!$T$8="Orbital Resonance",POWER(Upgrades!$U$8,G178),1)*IF(Upgrades!$T$9="Orbital Resonance",POWER(Upgrades!$U$9,H178),1)*IF(Upgrades!$T$11="Orbital Resonance",POWER(Upgrades!$U$11,J178),1)*IF(Upgrades!$T$12="Orbital Resonance",POWER(Upgrades!$U$12,K178),1))+(IF(J178=0,0,(Upgrades!$G$11+J178*Upgrades!$H$11)*POWER(Upgrades!$I$11,J178)))*(IF(Upgrades!$T$6="Heliopause",POWER(Upgrades!$U$6,E178),1)*IF(Upgrades!$T$7="Heliopause",POWER(Upgrades!$U$7,F178),1)*IF(Upgrades!$T$8="Heliopause",POWER(Upgrades!$U$8,G178),1)*IF(Upgrades!$T$9="Heliopause",POWER(Upgrades!$U$9,H178),1)*IF(Upgrades!$T$10="Heliopause",POWER(Upgrades!$U$10,I178),1)*IF(Upgrades!$T$12="Heliopause",POWER(Upgrades!$U$12,K178),1))+(IF(K178=0,0,(Upgrades!$G$12+K178*Upgrades!$H$12)*POWER(Upgrades!$I$12,K178)))*(IF(Upgrades!$T$6="First Photons",POWER(Upgrades!$U$6,E178),1)*IF(Upgrades!$T$7="First Photons",POWER(Upgrades!$U$7,F178),1)*IF(Upgrades!$T$8="First Photons",POWER(Upgrades!$U$8,G178),1)*IF(Upgrades!$T$9="First Photons",POWER(Upgrades!$U$9,H178),1)*IF(Upgrades!$T$10="First Photons",POWER(Upgrades!$U$10,I178),1)*IF(Upgrades!$T$11="First Photons",POWER(Upgrades!$U$11,J178),1)))*POWER(Upgrades!$P$6,E178)*POWER(Upgrades!$P$7,F178)*POWER(Upgrades!$P$8,G178)*POWER(Upgrades!$P$9,H178)*POWER(Upgrades!$P$10,I178)*POWER(Upgrades!$P$11,J178)*POWER(Upgrades!$P$12,K178)</f>
        <v/>
      </c>
      <c r="O178" s="28">
        <f>((IF(E178=0,0,(Upgrades!$M$6+E178*Upgrades!$N$6)*POWER(Upgrades!$O$6,E178)))*(IF(Upgrades!$T$7="Solar Wind",POWER(Upgrades!$U$7,F178),1)*IF(Upgrades!$T$8="Solar Wind",POWER(Upgrades!$U$8,G178),1)*IF(Upgrades!$T$9="Solar Wind",POWER(Upgrades!$U$9,H178),1)*IF(Upgrades!$T$10="Solar Wind",POWER(Upgrades!$U$10,I178),1)*IF(Upgrades!$T$11="Solar Wind",POWER(Upgrades!$U$11,J178),1)*IF(Upgrades!$T$12="Solar Wind",POWER(Upgrades!$U$12,K178),1))+(IF(F178=0,0,(Upgrades!$M$7+F178*Upgrades!$N$7)*POWER(Upgrades!$O$7,F178)))*(IF(Upgrades!$T$6="Asteroid Belt",POWER(Upgrades!$U$6,E178),1)*IF(Upgrades!$T$8="Asteroid Belt",POWER(Upgrades!$U$8,G178),1)*IF(Upgrades!$T$9="Asteroid Belt",POWER(Upgrades!$U$9,H178),1)*IF(Upgrades!$T$10="Asteroid Belt",POWER(Upgrades!$U$10,I178),1)*IF(Upgrades!$T$11="Asteroid Belt",POWER(Upgrades!$U$11,J178),1)*IF(Upgrades!$T$12="Asteroid Belt",POWER(Upgrades!$U$12,K178),1))+(IF(G178=0,0,(Upgrades!$M$8+G178*Upgrades!$N$8)*POWER(Upgrades!$O$8,G178)))*(IF(Upgrades!$T$6="Stellar Coupling",POWER(Upgrades!$U$6,E178),1)*IF(Upgrades!$T$7="Stellar Coupling",POWER(Upgrades!$U$7,F178),1)*IF(Upgrades!$T$9="Stellar Coupling",POWER(Upgrades!$U$9,H178),1)*IF(Upgrades!$T$10="Stellar Coupling",POWER(Upgrades!$U$10,I178),1)*IF(Upgrades!$T$11="Stellar Coupling",POWER(Upgrades!$U$11,J178),1)*IF(Upgrades!$T$12="Stellar Coupling",POWER(Upgrades!$U$12,K178),1))+(IF(H178=0,0,(Upgrades!$M$9+H178*Upgrades!$N$9)*POWER(Upgrades!$O$9,H178)))*(IF(Upgrades!$T$6="Magnetosphere",POWER(Upgrades!$U$6,E178),1)*IF(Upgrades!$T$7="Magnetosphere",POWER(Upgrades!$U$7,F178),1)*IF(Upgrades!$T$8="Magnetosphere",POWER(Upgrades!$U$8,G178),1)*IF(Upgrades!$T$10="Magnetosphere",POWER(Upgrades!$U$10,I178),1)*IF(Upgrades!$T$11="Magnetosphere",POWER(Upgrades!$U$11,J178),1)*IF(Upgrades!$T$12="Magnetosphere",POWER(Upgrades!$U$12,K178),1))+(IF(I178=0,0,(Upgrades!$M$10+I178*Upgrades!$N$10)*POWER(Upgrades!$O$10,I178)))*(IF(Upgrades!$T$6="Orbital Resonance",POWER(Upgrades!$U$6,E178),1)*IF(Upgrades!$T$7="Orbital Resonance",POWER(Upgrades!$U$7,F178),1)*IF(Upgrades!$T$8="Orbital Resonance",POWER(Upgrades!$U$8,G178),1)*IF(Upgrades!$T$9="Orbital Resonance",POWER(Upgrades!$U$9,H178),1)*IF(Upgrades!$T$11="Orbital Resonance",POWER(Upgrades!$U$11,J178),1)*IF(Upgrades!$T$12="Orbital Resonance",POWER(Upgrades!$U$12,K178),1))+(IF(J178=0,0,(Upgrades!$M$11+J178*Upgrades!$N$11)*POWER(Upgrades!$O$11,J178)))*(IF(Upgrades!$T$6="Heliopause",POWER(Upgrades!$U$6,E178),1)*IF(Upgrades!$T$7="Heliopause",POWER(Upgrades!$U$7,F178),1)*IF(Upgrades!$T$8="Heliopause",POWER(Upgrades!$U$8,G178),1)*IF(Upgrades!$T$9="Heliopause",POWER(Upgrades!$U$9,H178),1)*IF(Upgrades!$T$10="Heliopause",POWER(Upgrades!$U$10,I178),1)*IF(Upgrades!$T$12="Heliopause",POWER(Upgrades!$U$12,K178),1))+(IF(K178=0,0,(Upgrades!$M$12+K178*Upgrades!$N$12)*POWER(Upgrades!$O$12,K178)))*(IF(Upgrades!$T$6="First Photons",POWER(Upgrades!$U$6,E178),1)*IF(Upgrades!$T$7="First Photons",POWER(Upgrades!$U$7,F178),1)*IF(Upgrades!$T$8="First Photons",POWER(Upgrades!$U$8,G178),1)*IF(Upgrades!$T$9="First Photons",POWER(Upgrades!$U$9,H178),1)*IF(Upgrades!$T$10="First Photons",POWER(Upgrades!$U$10,I178),1)*IF(Upgrades!$T$11="First Photons",POWER(Upgrades!$U$11,J178),1)))*POWER(Upgrades!$R$6,E178)*POWER(Upgrades!$R$7,F178)*POWER(Upgrades!$R$8,G178)*POWER(Upgrades!$R$9,H178)*POWER(Upgrades!$R$10,I178)*POWER(Upgrades!$R$11,J178)*POWER(Upgrades!$R$12,K178)</f>
        <v/>
      </c>
      <c r="P178" s="27">
        <f>IF(L178=1,0,M178*Parameters!$B$10/60*Parameters!$B$11*10)</f>
        <v/>
      </c>
      <c r="Q178" s="27">
        <f>IF(L178=1,0,O178*M178*10)</f>
        <v/>
      </c>
      <c r="R178" s="27">
        <f>IF(L178=1,0,N178*10)</f>
        <v/>
      </c>
      <c r="S178" s="27">
        <f>P178+Q178+R178</f>
        <v/>
      </c>
      <c r="T178" s="22">
        <f>C178+S178</f>
        <v/>
      </c>
      <c r="U178" s="33">
        <f>AX178</f>
        <v/>
      </c>
      <c r="V178" s="22">
        <f>IF(U178="",0,IF(U178="transition",0,IF(U178="SW",AG178,IF(U178="AB",AH178,IF(U178="SC",AI178,IF(U178="Mag",AJ178,IF(U178="OR",AK178,IF(U178="HP",AL178,IF(U178="FP",AM178,0)))))))))</f>
        <v/>
      </c>
      <c r="W178" s="27">
        <f>IF(U178="OR",Upgrades!$F$10,IF(U178="HP",Upgrades!$F$11,IF(U178="transition",-Parameters!$B$18,0)))</f>
        <v/>
      </c>
      <c r="X178" s="22">
        <f>T178-V178</f>
        <v/>
      </c>
      <c r="Y178" s="30">
        <f>M178*Parameters!$B$10/60*Parameters!$B$11+O178*M178+N178</f>
        <v/>
      </c>
      <c r="Z178" s="34">
        <f>IF(U178="transition","→ Tier 2 (Stellar Neighborhood)",IF(U178="FP","First Photons — light begins, system quickens",IF(U178="HP","Heliopause acquired",IF(U178="OR","Orbital Resonance — passive multiplier active",IF(AND(AO178=1,L178=0,AN178&lt;&gt;1),"Cohesion ready (waiting on completionist upgrades)","")))))</f>
        <v/>
      </c>
      <c r="AA178" s="27">
        <f>(IF(E178=0,0,(Upgrades!$G$6+E178*Upgrades!$H$6)*POWER(Upgrades!$I$6,E178)))*(IF(Upgrades!$T$7="Solar Wind",POWER(Upgrades!$U$7,F178),1)*IF(Upgrades!$T$8="Solar Wind",POWER(Upgrades!$U$8,G178),1)*IF(Upgrades!$T$9="Solar Wind",POWER(Upgrades!$U$9,H178),1)*IF(Upgrades!$T$10="Solar Wind",POWER(Upgrades!$U$10,I178),1)*IF(Upgrades!$T$11="Solar Wind",POWER(Upgrades!$U$11,J178),1)*IF(Upgrades!$T$12="Solar Wind",POWER(Upgrades!$U$12,K178),1))*POWER(Upgrades!$P$6,E178)*POWER(Upgrades!$P$7,F178)*POWER(Upgrades!$P$8,G178)*POWER(Upgrades!$P$9,H178)*POWER(Upgrades!$P$10,I178)*POWER(Upgrades!$P$11,J178)*POWER(Upgrades!$P$12,K178)*60</f>
        <v/>
      </c>
      <c r="AB178" s="27">
        <f>(IF(F178=0,0,(Upgrades!$G$7+F178*Upgrades!$H$7)*POWER(Upgrades!$I$7,F178)))*(IF(Upgrades!$T$6="Asteroid Belt",POWER(Upgrades!$U$6,E178),1)*IF(Upgrades!$T$8="Asteroid Belt",POWER(Upgrades!$U$8,G178),1)*IF(Upgrades!$T$9="Asteroid Belt",POWER(Upgrades!$U$9,H178),1)*IF(Upgrades!$T$10="Asteroid Belt",POWER(Upgrades!$U$10,I178),1)*IF(Upgrades!$T$11="Asteroid Belt",POWER(Upgrades!$U$11,J178),1)*IF(Upgrades!$T$12="Asteroid Belt",POWER(Upgrades!$U$12,K178),1))*POWER(Upgrades!$P$6,E178)*POWER(Upgrades!$P$7,F178)*POWER(Upgrades!$P$8,G178)*POWER(Upgrades!$P$9,H178)*POWER(Upgrades!$P$10,I178)*POWER(Upgrades!$P$11,J178)*POWER(Upgrades!$P$12,K178)*60</f>
        <v/>
      </c>
      <c r="AC178" s="27">
        <f>(IF(G178=0,0,(Upgrades!$J$8+G178*Upgrades!$K$8)*POWER(Upgrades!$L$8,G178)))*(IF(Upgrades!$T$6="Stellar Coupling",POWER(Upgrades!$U$6,E178),1)*IF(Upgrades!$T$7="Stellar Coupling",POWER(Upgrades!$U$7,F178),1)*IF(Upgrades!$T$9="Stellar Coupling",POWER(Upgrades!$U$9,H178),1)*IF(Upgrades!$T$10="Stellar Coupling",POWER(Upgrades!$U$10,I178),1)*IF(Upgrades!$T$11="Stellar Coupling",POWER(Upgrades!$U$11,J178),1)*IF(Upgrades!$T$12="Stellar Coupling",POWER(Upgrades!$U$12,K178),1))*POWER(Upgrades!$Q$6,E178)*POWER(Upgrades!$Q$7,F178)*POWER(Upgrades!$Q$8,G178)*POWER(Upgrades!$Q$9,H178)*POWER(Upgrades!$Q$10,I178)*POWER(Upgrades!$Q$11,J178)*POWER(Upgrades!$Q$12,K178)*Parameters!$B$10*Parameters!$B$11</f>
        <v/>
      </c>
      <c r="AD178" s="27">
        <f>(IF(H178=0,0,(Upgrades!$G$9+H178*Upgrades!$H$9)*POWER(Upgrades!$I$9,H178)))*(IF(Upgrades!$T$6="Magnetosphere",POWER(Upgrades!$U$6,E178),1)*IF(Upgrades!$T$7="Magnetosphere",POWER(Upgrades!$U$7,F178),1)*IF(Upgrades!$T$8="Magnetosphere",POWER(Upgrades!$U$8,G178),1)*IF(Upgrades!$T$10="Magnetosphere",POWER(Upgrades!$U$10,I178),1)*IF(Upgrades!$T$11="Magnetosphere",POWER(Upgrades!$U$11,J178),1)*IF(Upgrades!$T$12="Magnetosphere",POWER(Upgrades!$U$12,K178),1))*POWER(Upgrades!$P$6,E178)*POWER(Upgrades!$P$7,F178)*POWER(Upgrades!$P$8,G178)*POWER(Upgrades!$P$9,H178)*POWER(Upgrades!$P$10,I178)*POWER(Upgrades!$P$11,J178)*POWER(Upgrades!$P$12,K178)*60</f>
        <v/>
      </c>
      <c r="AE178" s="27">
        <f>(IF(K178=0,0,(Upgrades!$G$12+K178*Upgrades!$H$12)*POWER(Upgrades!$I$12,K178)))*(IF(Upgrades!$T$6="First Photons",POWER(Upgrades!$U$6,E178),1)*IF(Upgrades!$T$7="First Photons",POWER(Upgrades!$U$7,F178),1)*IF(Upgrades!$T$8="First Photons",POWER(Upgrades!$U$8,G178),1)*IF(Upgrades!$T$9="First Photons",POWER(Upgrades!$U$9,H178),1)*IF(Upgrades!$T$10="First Photons",POWER(Upgrades!$U$10,I178),1)*IF(Upgrades!$T$11="First Photons",POWER(Upgrades!$U$11,J178),1))*POWER(Upgrades!$P$6,E178)*POWER(Upgrades!$P$7,F178)*POWER(Upgrades!$P$8,G178)*POWER(Upgrades!$P$9,H178)*POWER(Upgrades!$P$10,I178)*POWER(Upgrades!$P$11,J178)*POWER(Upgrades!$P$12,K178)*60</f>
        <v/>
      </c>
      <c r="AF178" s="27">
        <f>Parameters!$B$9*POWER(Upgrades!$Q$6,E178)*POWER(Upgrades!$Q$7,F178)*POWER(Upgrades!$Q$8,G178)*POWER(Upgrades!$Q$9,H178)*POWER(Upgrades!$Q$10,I178)*POWER(Upgrades!$Q$11,J178)*POWER(Upgrades!$Q$12,K178)*(Parameters!$B$10*Parameters!$B$11+O178*60)</f>
        <v/>
      </c>
      <c r="AG178" s="22">
        <f>IF(E178&gt;=Upgrades!$E$6,"",Upgrades!$C$6*POWER(Upgrades!$D$6,E178))</f>
        <v/>
      </c>
      <c r="AH178" s="22">
        <f>IF(F178&gt;=Upgrades!$E$7,"",Upgrades!$C$7*POWER(Upgrades!$D$7,F178))</f>
        <v/>
      </c>
      <c r="AI178" s="22">
        <f>IF(G178&gt;=Upgrades!$E$8,"",Upgrades!$C$8*POWER(Upgrades!$D$8,G178))</f>
        <v/>
      </c>
      <c r="AJ178" s="22">
        <f>IF(H178&gt;=Upgrades!$E$9,"",Upgrades!$C$9*POWER(Upgrades!$D$9,H178))</f>
        <v/>
      </c>
      <c r="AK178" s="22">
        <f>IF(I178&gt;=Upgrades!$E$10,"",Upgrades!$C$10*POWER(Upgrades!$D$10,I178))</f>
        <v/>
      </c>
      <c r="AL178" s="22">
        <f>IF(J178&gt;=Upgrades!$E$11,"",Upgrades!$C$11*POWER(Upgrades!$D$11,J178))</f>
        <v/>
      </c>
      <c r="AM178" s="22">
        <f>IF(K178&gt;=Upgrades!$E$12,"",Upgrades!$C$12*POWER(Upgrades!$D$12,K178))</f>
        <v/>
      </c>
      <c r="AN178" s="26">
        <f>IF(AND(D178&gt;=Parameters!$B$18,(H178&gt;=Upgrades!$E$9)*(K178&gt;=Upgrades!$E$12)=1,L178=0),1,"")</f>
        <v/>
      </c>
      <c r="AO178" s="26">
        <f>IF(AND(D178&gt;=Parameters!$B$18,L178=0),1,"")</f>
        <v/>
      </c>
      <c r="AP178" s="22">
        <f>MIN(IF(ISNUMBER(AK178),AK178,9E15),IF(ISNUMBER(AL178),AL178,9E15),IF(ISNUMBER(AM178),AM178,9E15))</f>
        <v/>
      </c>
      <c r="AQ178" s="22">
        <f>MIN(IF(ISNUMBER(AG178),AG178,9E15),IF(ISNUMBER(AH178),AH178,9E15),IF(ISNUMBER(AI178),AI178,9E15),IF(ISNUMBER(AJ178),AJ178,9E15))</f>
        <v/>
      </c>
      <c r="AR178" s="29">
        <f>IF(AW178&gt;Parameters!$B$21*(MAX(IF(AND(NOT(AND(AO178=1,AN178&lt;&gt;1)),ISNUMBER(AG178),AG178&lt;=T178),AS178,0),IF(AND(NOT(AND(AO178=1,AN178&lt;&gt;1)),ISNUMBER(AH178),AH178&lt;=T178),AT178,0),IF(AND(NOT(AND(AO178=1,AN178&lt;&gt;1)),ISNUMBER(AI178),AI178&lt;=T178),AU178,0),IF(AND(ISNUMBER(AJ178),AJ178&lt;=T178),AV178,0))),TRUE,FALSE)</f>
        <v/>
      </c>
      <c r="AS178" s="32">
        <f>IFERROR(Upgrades!$H$6*(POWER(Upgrades!$P$6,E178)*POWER(Upgrades!$P$7,F178)*POWER(Upgrades!$P$8,G178)*POWER(Upgrades!$P$9,H178)*POWER(Upgrades!$P$10,I178)*POWER(Upgrades!$P$11,J178)*POWER(Upgrades!$P$12,K178))*(IF(Upgrades!$T$7="Solar Wind",POWER(Upgrades!$U$7,F178),1)*IF(Upgrades!$T$8="Solar Wind",POWER(Upgrades!$U$8,G178),1)*IF(Upgrades!$T$9="Solar Wind",POWER(Upgrades!$U$9,H178),1)*IF(Upgrades!$T$10="Solar Wind",POWER(Upgrades!$U$10,I178),1)*IF(Upgrades!$T$11="Solar Wind",POWER(Upgrades!$U$11,J178),1)*IF(Upgrades!$T$12="Solar Wind",POWER(Upgrades!$U$12,K178),1))/AG178,0)</f>
        <v/>
      </c>
      <c r="AT178" s="32">
        <f>IFERROR(Upgrades!$H$7*(POWER(Upgrades!$P$6,E178)*POWER(Upgrades!$P$7,F178)*POWER(Upgrades!$P$8,G178)*POWER(Upgrades!$P$9,H178)*POWER(Upgrades!$P$10,I178)*POWER(Upgrades!$P$11,J178)*POWER(Upgrades!$P$12,K178))*(IF(Upgrades!$T$6="Asteroid Belt",POWER(Upgrades!$U$6,E178),1)*IF(Upgrades!$T$8="Asteroid Belt",POWER(Upgrades!$U$8,G178),1)*IF(Upgrades!$T$9="Asteroid Belt",POWER(Upgrades!$U$9,H178),1)*IF(Upgrades!$T$10="Asteroid Belt",POWER(Upgrades!$U$10,I178),1)*IF(Upgrades!$T$11="Asteroid Belt",POWER(Upgrades!$U$11,J178),1)*IF(Upgrades!$T$12="Asteroid Belt",POWER(Upgrades!$U$12,K178),1))/AH178,0)</f>
        <v/>
      </c>
      <c r="AU178" s="32">
        <f>IFERROR(Upgrades!$K$8*(POWER(Upgrades!$Q$6,E178)*POWER(Upgrades!$Q$7,F178)*POWER(Upgrades!$Q$8,G178)*POWER(Upgrades!$Q$9,H178)*POWER(Upgrades!$Q$10,I178)*POWER(Upgrades!$Q$11,J178)*POWER(Upgrades!$Q$12,K178))*(IF(Upgrades!$T$6="Stellar Coupling",POWER(Upgrades!$U$6,E178),1)*IF(Upgrades!$T$7="Stellar Coupling",POWER(Upgrades!$U$7,F178),1)*IF(Upgrades!$T$9="Stellar Coupling",POWER(Upgrades!$U$9,H178),1)*IF(Upgrades!$T$10="Stellar Coupling",POWER(Upgrades!$U$10,I178),1)*IF(Upgrades!$T$11="Stellar Coupling",POWER(Upgrades!$U$11,J178),1)*IF(Upgrades!$T$12="Stellar Coupling",POWER(Upgrades!$U$12,K178),1))*Parameters!$B$10*Parameters!$B$11/60/AI178,0)</f>
        <v/>
      </c>
      <c r="AV178" s="32">
        <f>IFERROR(Upgrades!$H$9*(POWER(Upgrades!$P$6,E178)*POWER(Upgrades!$P$7,F178)*POWER(Upgrades!$P$8,G178)*POWER(Upgrades!$P$9,H178)*POWER(Upgrades!$P$10,I178)*POWER(Upgrades!$P$11,J178)*POWER(Upgrades!$P$12,K178))*(IF(Upgrades!$T$6="Magnetosphere",POWER(Upgrades!$U$6,E178),1)*IF(Upgrades!$T$7="Magnetosphere",POWER(Upgrades!$U$7,F178),1)*IF(Upgrades!$T$8="Magnetosphere",POWER(Upgrades!$U$8,G178),1)*IF(Upgrades!$T$10="Magnetosphere",POWER(Upgrades!$U$10,I178),1)*IF(Upgrades!$T$11="Magnetosphere",POWER(Upgrades!$U$11,J178),1)*IF(Upgrades!$T$12="Magnetosphere",POWER(Upgrades!$U$12,K178),1))/AJ178,0)</f>
        <v/>
      </c>
      <c r="AW178" s="32">
        <f>MAX(IF(I178&gt;0,0,IFERROR(0.25*N178/Upgrades!$C$10,0)),IF(J178&gt;0,0,IFERROR(0.5*((IF(G178=0,0,(Upgrades!$J$8+G178*Upgrades!$K$8)*POWER(Upgrades!$L$8,G178)))*(IF(Upgrades!$T$6="Stellar Coupling",POWER(Upgrades!$U$6,E178),1)*IF(Upgrades!$T$7="Stellar Coupling",POWER(Upgrades!$U$7,F178),1)*IF(Upgrades!$T$9="Stellar Coupling",POWER(Upgrades!$U$9,H178),1)*IF(Upgrades!$T$10="Stellar Coupling",POWER(Upgrades!$U$10,I178),1)*IF(Upgrades!$T$11="Stellar Coupling",POWER(Upgrades!$U$11,J178),1)*IF(Upgrades!$T$12="Stellar Coupling",POWER(Upgrades!$U$12,K178),1))*(POWER(Upgrades!$Q$6,E178)*POWER(Upgrades!$Q$7,F178)*POWER(Upgrades!$Q$8,G178)*POWER(Upgrades!$Q$9,H178)*POWER(Upgrades!$Q$10,I178)*POWER(Upgrades!$Q$11,J178)*POWER(Upgrades!$Q$12,K178))*Parameters!$B$10*Parameters!$B$11/60)/Upgrades!$C$11,0)),IF(K178&gt;0,0,IFERROR((1.0*(POWER(Upgrades!$P$6,E178)*POWER(Upgrades!$P$7,F178)*POWER(Upgrades!$P$8,G178)*POWER(Upgrades!$P$9,H178)*POWER(Upgrades!$P$10,I178)*POWER(Upgrades!$P$11,J178)*POWER(Upgrades!$P$12,K178))+0.20*M178*Parameters!$B$10*Parameters!$B$11/60)/Upgrades!$C$12,0)),IF(AND(ISNUMBER(AG178),AG178&gt;T178),AS178,0),IF(AND(ISNUMBER(AH178),AH178&gt;T178),AT178,0),IF(AND(ISNUMBER(AI178),AI178&gt;T178),AU178,0),IF(AND(ISNUMBER(AJ178),AJ178&gt;T178),AV178,0))</f>
        <v/>
      </c>
      <c r="AX178" s="29">
        <f>IF(AN178=1,"transition",IF(MIN(IF(AND(I178=0,ISNUMBER(AK178),AK178&lt;=T178),AK178,9E15),IF(AND(J178=0,ISNUMBER(AL178),AL178&lt;=T178),AL178,9E15),IF(AND(K178=0,ISNUMBER(AM178),AM178&lt;=T178),AM178,9E15))&lt;9E15,IF(AND(AND(I178=0,ISNUMBER(AK178),AK178&lt;=T178),AK178=MIN(IF(AND(I178=0,ISNUMBER(AK178),AK178&lt;=T178),AK178,9E15),IF(AND(J178=0,ISNUMBER(AL178),AL178&lt;=T178),AL178,9E15),IF(AND(K178=0,ISNUMBER(AM178),AM178&lt;=T178),AM178,9E15))),"OR",IF(AND(AND(J178=0,ISNUMBER(AL178),AL178&lt;=T178),AL178=MIN(IF(AND(I178=0,ISNUMBER(AK178),AK178&lt;=T178),AK178,9E15),IF(AND(J178=0,ISNUMBER(AL178),AL178&lt;=T178),AL178,9E15),IF(AND(K178=0,ISNUMBER(AM178),AM178&lt;=T178),AM178,9E15))),"HP","FP")),IF(AR178=TRUE,"",IF(MAX(IF(AND(NOT(AND(AO178=1,AN178&lt;&gt;1)),ISNUMBER(AG178),AG178&lt;=T178),AS178,0),IF(AND(NOT(AND(AO178=1,AN178&lt;&gt;1)),ISNUMBER(AH178),AH178&lt;=T178),AT178,0),IF(AND(NOT(AND(AO178=1,AN178&lt;&gt;1)),ISNUMBER(AI178),AI178&lt;=T178),AU178,0),IF(AND(ISNUMBER(AJ178),AJ178&lt;=T178),AV178,0))&lt;=0,"",IF(AND(IF(AND(NOT(AND(AO178=1,AN178&lt;&gt;1)),ISNUMBER(AG178),AG178&lt;=T178),AS178,0)&gt;0,IF(AND(NOT(AND(AO178=1,AN178&lt;&gt;1)),ISNUMBER(AG178),AG178&lt;=T178),AS178,0)=MAX(IF(AND(NOT(AND(AO178=1,AN178&lt;&gt;1)),ISNUMBER(AG178),AG178&lt;=T178),AS178,0),IF(AND(NOT(AND(AO178=1,AN178&lt;&gt;1)),ISNUMBER(AH178),AH178&lt;=T178),AT178,0),IF(AND(NOT(AND(AO178=1,AN178&lt;&gt;1)),ISNUMBER(AI178),AI178&lt;=T178),AU178,0),IF(AND(ISNUMBER(AJ178),AJ178&lt;=T178),AV178,0))),"SW",IF(AND(IF(AND(NOT(AND(AO178=1,AN178&lt;&gt;1)),ISNUMBER(AH178),AH178&lt;=T178),AT178,0)&gt;0,IF(AND(NOT(AND(AO178=1,AN178&lt;&gt;1)),ISNUMBER(AH178),AH178&lt;=T178),AT178,0)=MAX(IF(AND(NOT(AND(AO178=1,AN178&lt;&gt;1)),ISNUMBER(AG178),AG178&lt;=T178),AS178,0),IF(AND(NOT(AND(AO178=1,AN178&lt;&gt;1)),ISNUMBER(AH178),AH178&lt;=T178),AT178,0),IF(AND(NOT(AND(AO178=1,AN178&lt;&gt;1)),ISNUMBER(AI178),AI178&lt;=T178),AU178,0),IF(AND(ISNUMBER(AJ178),AJ178&lt;=T178),AV178,0))),"AB",IF(AND(IF(AND(NOT(AND(AO178=1,AN178&lt;&gt;1)),ISNUMBER(AI178),AI178&lt;=T178),AU178,0)&gt;0,IF(AND(NOT(AND(AO178=1,AN178&lt;&gt;1)),ISNUMBER(AI178),AI178&lt;=T178),AU178,0)=MAX(IF(AND(NOT(AND(AO178=1,AN178&lt;&gt;1)),ISNUMBER(AG178),AG178&lt;=T178),AS178,0),IF(AND(NOT(AND(AO178=1,AN178&lt;&gt;1)),ISNUMBER(AH178),AH178&lt;=T178),AT178,0),IF(AND(NOT(AND(AO178=1,AN178&lt;&gt;1)),ISNUMBER(AI178),AI178&lt;=T178),AU178,0),IF(AND(ISNUMBER(AJ178),AJ178&lt;=T178),AV178,0))),"SC","Mag")))))))</f>
        <v/>
      </c>
    </row>
    <row r="179">
      <c r="A179" s="26" t="n">
        <v>174</v>
      </c>
      <c r="B179" s="27">
        <f>A179*10/60</f>
        <v/>
      </c>
      <c r="C179" s="22">
        <f>X178</f>
        <v/>
      </c>
      <c r="D179" s="27">
        <f>D178+W178</f>
        <v/>
      </c>
      <c r="E179" s="26">
        <f>E178+IF(U178="SW",1,0)</f>
        <v/>
      </c>
      <c r="F179" s="26">
        <f>F178+IF(U178="AB",1,0)</f>
        <v/>
      </c>
      <c r="G179" s="26">
        <f>G178+IF(U178="SC",1,0)</f>
        <v/>
      </c>
      <c r="H179" s="26">
        <f>H178+IF(U178="Mag",1,0)</f>
        <v/>
      </c>
      <c r="I179" s="26">
        <f>MAX(I178,IF(U178="OR",1,0))</f>
        <v/>
      </c>
      <c r="J179" s="26">
        <f>MAX(J178,IF(U178="HP",1,0))</f>
        <v/>
      </c>
      <c r="K179" s="26">
        <f>MAX(K178,IF(U178="FP",1,0))</f>
        <v/>
      </c>
      <c r="L179" s="26">
        <f>MAX(L178,IF(U178="transition",1,0))</f>
        <v/>
      </c>
      <c r="M179" s="28">
        <f>(Parameters!$B$9+(IF(E179=0,0,(Upgrades!$J$6+E179*Upgrades!$K$6)*POWER(Upgrades!$L$6,E179)))*(IF(Upgrades!$T$7="Solar Wind",POWER(Upgrades!$U$7,F179),1)*IF(Upgrades!$T$8="Solar Wind",POWER(Upgrades!$U$8,G179),1)*IF(Upgrades!$T$9="Solar Wind",POWER(Upgrades!$U$9,H179),1)*IF(Upgrades!$T$10="Solar Wind",POWER(Upgrades!$U$10,I179),1)*IF(Upgrades!$T$11="Solar Wind",POWER(Upgrades!$U$11,J179),1)*IF(Upgrades!$T$12="Solar Wind",POWER(Upgrades!$U$12,K179),1))+(IF(F179=0,0,(Upgrades!$J$7+F179*Upgrades!$K$7)*POWER(Upgrades!$L$7,F179)))*(IF(Upgrades!$T$6="Asteroid Belt",POWER(Upgrades!$U$6,E179),1)*IF(Upgrades!$T$8="Asteroid Belt",POWER(Upgrades!$U$8,G179),1)*IF(Upgrades!$T$9="Asteroid Belt",POWER(Upgrades!$U$9,H179),1)*IF(Upgrades!$T$10="Asteroid Belt",POWER(Upgrades!$U$10,I179),1)*IF(Upgrades!$T$11="Asteroid Belt",POWER(Upgrades!$U$11,J179),1)*IF(Upgrades!$T$12="Asteroid Belt",POWER(Upgrades!$U$12,K179),1))+(IF(G179=0,0,(Upgrades!$J$8+G179*Upgrades!$K$8)*POWER(Upgrades!$L$8,G179)))*(IF(Upgrades!$T$6="Stellar Coupling",POWER(Upgrades!$U$6,E179),1)*IF(Upgrades!$T$7="Stellar Coupling",POWER(Upgrades!$U$7,F179),1)*IF(Upgrades!$T$9="Stellar Coupling",POWER(Upgrades!$U$9,H179),1)*IF(Upgrades!$T$10="Stellar Coupling",POWER(Upgrades!$U$10,I179),1)*IF(Upgrades!$T$11="Stellar Coupling",POWER(Upgrades!$U$11,J179),1)*IF(Upgrades!$T$12="Stellar Coupling",POWER(Upgrades!$U$12,K179),1))+(IF(H179=0,0,(Upgrades!$J$9+H179*Upgrades!$K$9)*POWER(Upgrades!$L$9,H179)))*(IF(Upgrades!$T$6="Magnetosphere",POWER(Upgrades!$U$6,E179),1)*IF(Upgrades!$T$7="Magnetosphere",POWER(Upgrades!$U$7,F179),1)*IF(Upgrades!$T$8="Magnetosphere",POWER(Upgrades!$U$8,G179),1)*IF(Upgrades!$T$10="Magnetosphere",POWER(Upgrades!$U$10,I179),1)*IF(Upgrades!$T$11="Magnetosphere",POWER(Upgrades!$U$11,J179),1)*IF(Upgrades!$T$12="Magnetosphere",POWER(Upgrades!$U$12,K179),1))+(IF(I179=0,0,(Upgrades!$J$10+I179*Upgrades!$K$10)*POWER(Upgrades!$L$10,I179)))*(IF(Upgrades!$T$6="Orbital Resonance",POWER(Upgrades!$U$6,E179),1)*IF(Upgrades!$T$7="Orbital Resonance",POWER(Upgrades!$U$7,F179),1)*IF(Upgrades!$T$8="Orbital Resonance",POWER(Upgrades!$U$8,G179),1)*IF(Upgrades!$T$9="Orbital Resonance",POWER(Upgrades!$U$9,H179),1)*IF(Upgrades!$T$11="Orbital Resonance",POWER(Upgrades!$U$11,J179),1)*IF(Upgrades!$T$12="Orbital Resonance",POWER(Upgrades!$U$12,K179),1))+(IF(J179=0,0,(Upgrades!$J$11+J179*Upgrades!$K$11)*POWER(Upgrades!$L$11,J179)))*(IF(Upgrades!$T$6="Heliopause",POWER(Upgrades!$U$6,E179),1)*IF(Upgrades!$T$7="Heliopause",POWER(Upgrades!$U$7,F179),1)*IF(Upgrades!$T$8="Heliopause",POWER(Upgrades!$U$8,G179),1)*IF(Upgrades!$T$9="Heliopause",POWER(Upgrades!$U$9,H179),1)*IF(Upgrades!$T$10="Heliopause",POWER(Upgrades!$U$10,I179),1)*IF(Upgrades!$T$12="Heliopause",POWER(Upgrades!$U$12,K179),1))+(IF(K179=0,0,(Upgrades!$J$12+K179*Upgrades!$K$12)*POWER(Upgrades!$L$12,K179)))*(IF(Upgrades!$T$6="First Photons",POWER(Upgrades!$U$6,E179),1)*IF(Upgrades!$T$7="First Photons",POWER(Upgrades!$U$7,F179),1)*IF(Upgrades!$T$8="First Photons",POWER(Upgrades!$U$8,G179),1)*IF(Upgrades!$T$9="First Photons",POWER(Upgrades!$U$9,H179),1)*IF(Upgrades!$T$10="First Photons",POWER(Upgrades!$U$10,I179),1)*IF(Upgrades!$T$11="First Photons",POWER(Upgrades!$U$11,J179),1)))*POWER(Upgrades!$Q$6,E179)*POWER(Upgrades!$Q$7,F179)*POWER(Upgrades!$Q$8,G179)*POWER(Upgrades!$Q$9,H179)*POWER(Upgrades!$Q$10,I179)*POWER(Upgrades!$Q$11,J179)*POWER(Upgrades!$Q$12,K179)</f>
        <v/>
      </c>
      <c r="N179" s="28">
        <f>((IF(E179=0,0,(Upgrades!$G$6+E179*Upgrades!$H$6)*POWER(Upgrades!$I$6,E179)))*(IF(Upgrades!$T$7="Solar Wind",POWER(Upgrades!$U$7,F179),1)*IF(Upgrades!$T$8="Solar Wind",POWER(Upgrades!$U$8,G179),1)*IF(Upgrades!$T$9="Solar Wind",POWER(Upgrades!$U$9,H179),1)*IF(Upgrades!$T$10="Solar Wind",POWER(Upgrades!$U$10,I179),1)*IF(Upgrades!$T$11="Solar Wind",POWER(Upgrades!$U$11,J179),1)*IF(Upgrades!$T$12="Solar Wind",POWER(Upgrades!$U$12,K179),1))+(IF(F179=0,0,(Upgrades!$G$7+F179*Upgrades!$H$7)*POWER(Upgrades!$I$7,F179)))*(IF(Upgrades!$T$6="Asteroid Belt",POWER(Upgrades!$U$6,E179),1)*IF(Upgrades!$T$8="Asteroid Belt",POWER(Upgrades!$U$8,G179),1)*IF(Upgrades!$T$9="Asteroid Belt",POWER(Upgrades!$U$9,H179),1)*IF(Upgrades!$T$10="Asteroid Belt",POWER(Upgrades!$U$10,I179),1)*IF(Upgrades!$T$11="Asteroid Belt",POWER(Upgrades!$U$11,J179),1)*IF(Upgrades!$T$12="Asteroid Belt",POWER(Upgrades!$U$12,K179),1))+(IF(G179=0,0,(Upgrades!$G$8+G179*Upgrades!$H$8)*POWER(Upgrades!$I$8,G179)))*(IF(Upgrades!$T$6="Stellar Coupling",POWER(Upgrades!$U$6,E179),1)*IF(Upgrades!$T$7="Stellar Coupling",POWER(Upgrades!$U$7,F179),1)*IF(Upgrades!$T$9="Stellar Coupling",POWER(Upgrades!$U$9,H179),1)*IF(Upgrades!$T$10="Stellar Coupling",POWER(Upgrades!$U$10,I179),1)*IF(Upgrades!$T$11="Stellar Coupling",POWER(Upgrades!$U$11,J179),1)*IF(Upgrades!$T$12="Stellar Coupling",POWER(Upgrades!$U$12,K179),1))+(IF(H179=0,0,(Upgrades!$G$9+H179*Upgrades!$H$9)*POWER(Upgrades!$I$9,H179)))*(IF(Upgrades!$T$6="Magnetosphere",POWER(Upgrades!$U$6,E179),1)*IF(Upgrades!$T$7="Magnetosphere",POWER(Upgrades!$U$7,F179),1)*IF(Upgrades!$T$8="Magnetosphere",POWER(Upgrades!$U$8,G179),1)*IF(Upgrades!$T$10="Magnetosphere",POWER(Upgrades!$U$10,I179),1)*IF(Upgrades!$T$11="Magnetosphere",POWER(Upgrades!$U$11,J179),1)*IF(Upgrades!$T$12="Magnetosphere",POWER(Upgrades!$U$12,K179),1))+(IF(I179=0,0,(Upgrades!$G$10+I179*Upgrades!$H$10)*POWER(Upgrades!$I$10,I179)))*(IF(Upgrades!$T$6="Orbital Resonance",POWER(Upgrades!$U$6,E179),1)*IF(Upgrades!$T$7="Orbital Resonance",POWER(Upgrades!$U$7,F179),1)*IF(Upgrades!$T$8="Orbital Resonance",POWER(Upgrades!$U$8,G179),1)*IF(Upgrades!$T$9="Orbital Resonance",POWER(Upgrades!$U$9,H179),1)*IF(Upgrades!$T$11="Orbital Resonance",POWER(Upgrades!$U$11,J179),1)*IF(Upgrades!$T$12="Orbital Resonance",POWER(Upgrades!$U$12,K179),1))+(IF(J179=0,0,(Upgrades!$G$11+J179*Upgrades!$H$11)*POWER(Upgrades!$I$11,J179)))*(IF(Upgrades!$T$6="Heliopause",POWER(Upgrades!$U$6,E179),1)*IF(Upgrades!$T$7="Heliopause",POWER(Upgrades!$U$7,F179),1)*IF(Upgrades!$T$8="Heliopause",POWER(Upgrades!$U$8,G179),1)*IF(Upgrades!$T$9="Heliopause",POWER(Upgrades!$U$9,H179),1)*IF(Upgrades!$T$10="Heliopause",POWER(Upgrades!$U$10,I179),1)*IF(Upgrades!$T$12="Heliopause",POWER(Upgrades!$U$12,K179),1))+(IF(K179=0,0,(Upgrades!$G$12+K179*Upgrades!$H$12)*POWER(Upgrades!$I$12,K179)))*(IF(Upgrades!$T$6="First Photons",POWER(Upgrades!$U$6,E179),1)*IF(Upgrades!$T$7="First Photons",POWER(Upgrades!$U$7,F179),1)*IF(Upgrades!$T$8="First Photons",POWER(Upgrades!$U$8,G179),1)*IF(Upgrades!$T$9="First Photons",POWER(Upgrades!$U$9,H179),1)*IF(Upgrades!$T$10="First Photons",POWER(Upgrades!$U$10,I179),1)*IF(Upgrades!$T$11="First Photons",POWER(Upgrades!$U$11,J179),1)))*POWER(Upgrades!$P$6,E179)*POWER(Upgrades!$P$7,F179)*POWER(Upgrades!$P$8,G179)*POWER(Upgrades!$P$9,H179)*POWER(Upgrades!$P$10,I179)*POWER(Upgrades!$P$11,J179)*POWER(Upgrades!$P$12,K179)</f>
        <v/>
      </c>
      <c r="O179" s="28">
        <f>((IF(E179=0,0,(Upgrades!$M$6+E179*Upgrades!$N$6)*POWER(Upgrades!$O$6,E179)))*(IF(Upgrades!$T$7="Solar Wind",POWER(Upgrades!$U$7,F179),1)*IF(Upgrades!$T$8="Solar Wind",POWER(Upgrades!$U$8,G179),1)*IF(Upgrades!$T$9="Solar Wind",POWER(Upgrades!$U$9,H179),1)*IF(Upgrades!$T$10="Solar Wind",POWER(Upgrades!$U$10,I179),1)*IF(Upgrades!$T$11="Solar Wind",POWER(Upgrades!$U$11,J179),1)*IF(Upgrades!$T$12="Solar Wind",POWER(Upgrades!$U$12,K179),1))+(IF(F179=0,0,(Upgrades!$M$7+F179*Upgrades!$N$7)*POWER(Upgrades!$O$7,F179)))*(IF(Upgrades!$T$6="Asteroid Belt",POWER(Upgrades!$U$6,E179),1)*IF(Upgrades!$T$8="Asteroid Belt",POWER(Upgrades!$U$8,G179),1)*IF(Upgrades!$T$9="Asteroid Belt",POWER(Upgrades!$U$9,H179),1)*IF(Upgrades!$T$10="Asteroid Belt",POWER(Upgrades!$U$10,I179),1)*IF(Upgrades!$T$11="Asteroid Belt",POWER(Upgrades!$U$11,J179),1)*IF(Upgrades!$T$12="Asteroid Belt",POWER(Upgrades!$U$12,K179),1))+(IF(G179=0,0,(Upgrades!$M$8+G179*Upgrades!$N$8)*POWER(Upgrades!$O$8,G179)))*(IF(Upgrades!$T$6="Stellar Coupling",POWER(Upgrades!$U$6,E179),1)*IF(Upgrades!$T$7="Stellar Coupling",POWER(Upgrades!$U$7,F179),1)*IF(Upgrades!$T$9="Stellar Coupling",POWER(Upgrades!$U$9,H179),1)*IF(Upgrades!$T$10="Stellar Coupling",POWER(Upgrades!$U$10,I179),1)*IF(Upgrades!$T$11="Stellar Coupling",POWER(Upgrades!$U$11,J179),1)*IF(Upgrades!$T$12="Stellar Coupling",POWER(Upgrades!$U$12,K179),1))+(IF(H179=0,0,(Upgrades!$M$9+H179*Upgrades!$N$9)*POWER(Upgrades!$O$9,H179)))*(IF(Upgrades!$T$6="Magnetosphere",POWER(Upgrades!$U$6,E179),1)*IF(Upgrades!$T$7="Magnetosphere",POWER(Upgrades!$U$7,F179),1)*IF(Upgrades!$T$8="Magnetosphere",POWER(Upgrades!$U$8,G179),1)*IF(Upgrades!$T$10="Magnetosphere",POWER(Upgrades!$U$10,I179),1)*IF(Upgrades!$T$11="Magnetosphere",POWER(Upgrades!$U$11,J179),1)*IF(Upgrades!$T$12="Magnetosphere",POWER(Upgrades!$U$12,K179),1))+(IF(I179=0,0,(Upgrades!$M$10+I179*Upgrades!$N$10)*POWER(Upgrades!$O$10,I179)))*(IF(Upgrades!$T$6="Orbital Resonance",POWER(Upgrades!$U$6,E179),1)*IF(Upgrades!$T$7="Orbital Resonance",POWER(Upgrades!$U$7,F179),1)*IF(Upgrades!$T$8="Orbital Resonance",POWER(Upgrades!$U$8,G179),1)*IF(Upgrades!$T$9="Orbital Resonance",POWER(Upgrades!$U$9,H179),1)*IF(Upgrades!$T$11="Orbital Resonance",POWER(Upgrades!$U$11,J179),1)*IF(Upgrades!$T$12="Orbital Resonance",POWER(Upgrades!$U$12,K179),1))+(IF(J179=0,0,(Upgrades!$M$11+J179*Upgrades!$N$11)*POWER(Upgrades!$O$11,J179)))*(IF(Upgrades!$T$6="Heliopause",POWER(Upgrades!$U$6,E179),1)*IF(Upgrades!$T$7="Heliopause",POWER(Upgrades!$U$7,F179),1)*IF(Upgrades!$T$8="Heliopause",POWER(Upgrades!$U$8,G179),1)*IF(Upgrades!$T$9="Heliopause",POWER(Upgrades!$U$9,H179),1)*IF(Upgrades!$T$10="Heliopause",POWER(Upgrades!$U$10,I179),1)*IF(Upgrades!$T$12="Heliopause",POWER(Upgrades!$U$12,K179),1))+(IF(K179=0,0,(Upgrades!$M$12+K179*Upgrades!$N$12)*POWER(Upgrades!$O$12,K179)))*(IF(Upgrades!$T$6="First Photons",POWER(Upgrades!$U$6,E179),1)*IF(Upgrades!$T$7="First Photons",POWER(Upgrades!$U$7,F179),1)*IF(Upgrades!$T$8="First Photons",POWER(Upgrades!$U$8,G179),1)*IF(Upgrades!$T$9="First Photons",POWER(Upgrades!$U$9,H179),1)*IF(Upgrades!$T$10="First Photons",POWER(Upgrades!$U$10,I179),1)*IF(Upgrades!$T$11="First Photons",POWER(Upgrades!$U$11,J179),1)))*POWER(Upgrades!$R$6,E179)*POWER(Upgrades!$R$7,F179)*POWER(Upgrades!$R$8,G179)*POWER(Upgrades!$R$9,H179)*POWER(Upgrades!$R$10,I179)*POWER(Upgrades!$R$11,J179)*POWER(Upgrades!$R$12,K179)</f>
        <v/>
      </c>
      <c r="P179" s="27">
        <f>IF(L179=1,0,M179*Parameters!$B$10/60*Parameters!$B$11*10)</f>
        <v/>
      </c>
      <c r="Q179" s="27">
        <f>IF(L179=1,0,O179*M179*10)</f>
        <v/>
      </c>
      <c r="R179" s="27">
        <f>IF(L179=1,0,N179*10)</f>
        <v/>
      </c>
      <c r="S179" s="27">
        <f>P179+Q179+R179</f>
        <v/>
      </c>
      <c r="T179" s="22">
        <f>C179+S179</f>
        <v/>
      </c>
      <c r="U179" s="33">
        <f>AX179</f>
        <v/>
      </c>
      <c r="V179" s="22">
        <f>IF(U179="",0,IF(U179="transition",0,IF(U179="SW",AG179,IF(U179="AB",AH179,IF(U179="SC",AI179,IF(U179="Mag",AJ179,IF(U179="OR",AK179,IF(U179="HP",AL179,IF(U179="FP",AM179,0)))))))))</f>
        <v/>
      </c>
      <c r="W179" s="27">
        <f>IF(U179="OR",Upgrades!$F$10,IF(U179="HP",Upgrades!$F$11,IF(U179="transition",-Parameters!$B$18,0)))</f>
        <v/>
      </c>
      <c r="X179" s="22">
        <f>T179-V179</f>
        <v/>
      </c>
      <c r="Y179" s="30">
        <f>M179*Parameters!$B$10/60*Parameters!$B$11+O179*M179+N179</f>
        <v/>
      </c>
      <c r="Z179" s="34">
        <f>IF(U179="transition","→ Tier 2 (Stellar Neighborhood)",IF(U179="FP","First Photons — light begins, system quickens",IF(U179="HP","Heliopause acquired",IF(U179="OR","Orbital Resonance — passive multiplier active",IF(AND(AO179=1,L179=0,AN179&lt;&gt;1),"Cohesion ready (waiting on completionist upgrades)","")))))</f>
        <v/>
      </c>
      <c r="AA179" s="27">
        <f>(IF(E179=0,0,(Upgrades!$G$6+E179*Upgrades!$H$6)*POWER(Upgrades!$I$6,E179)))*(IF(Upgrades!$T$7="Solar Wind",POWER(Upgrades!$U$7,F179),1)*IF(Upgrades!$T$8="Solar Wind",POWER(Upgrades!$U$8,G179),1)*IF(Upgrades!$T$9="Solar Wind",POWER(Upgrades!$U$9,H179),1)*IF(Upgrades!$T$10="Solar Wind",POWER(Upgrades!$U$10,I179),1)*IF(Upgrades!$T$11="Solar Wind",POWER(Upgrades!$U$11,J179),1)*IF(Upgrades!$T$12="Solar Wind",POWER(Upgrades!$U$12,K179),1))*POWER(Upgrades!$P$6,E179)*POWER(Upgrades!$P$7,F179)*POWER(Upgrades!$P$8,G179)*POWER(Upgrades!$P$9,H179)*POWER(Upgrades!$P$10,I179)*POWER(Upgrades!$P$11,J179)*POWER(Upgrades!$P$12,K179)*60</f>
        <v/>
      </c>
      <c r="AB179" s="27">
        <f>(IF(F179=0,0,(Upgrades!$G$7+F179*Upgrades!$H$7)*POWER(Upgrades!$I$7,F179)))*(IF(Upgrades!$T$6="Asteroid Belt",POWER(Upgrades!$U$6,E179),1)*IF(Upgrades!$T$8="Asteroid Belt",POWER(Upgrades!$U$8,G179),1)*IF(Upgrades!$T$9="Asteroid Belt",POWER(Upgrades!$U$9,H179),1)*IF(Upgrades!$T$10="Asteroid Belt",POWER(Upgrades!$U$10,I179),1)*IF(Upgrades!$T$11="Asteroid Belt",POWER(Upgrades!$U$11,J179),1)*IF(Upgrades!$T$12="Asteroid Belt",POWER(Upgrades!$U$12,K179),1))*POWER(Upgrades!$P$6,E179)*POWER(Upgrades!$P$7,F179)*POWER(Upgrades!$P$8,G179)*POWER(Upgrades!$P$9,H179)*POWER(Upgrades!$P$10,I179)*POWER(Upgrades!$P$11,J179)*POWER(Upgrades!$P$12,K179)*60</f>
        <v/>
      </c>
      <c r="AC179" s="27">
        <f>(IF(G179=0,0,(Upgrades!$J$8+G179*Upgrades!$K$8)*POWER(Upgrades!$L$8,G179)))*(IF(Upgrades!$T$6="Stellar Coupling",POWER(Upgrades!$U$6,E179),1)*IF(Upgrades!$T$7="Stellar Coupling",POWER(Upgrades!$U$7,F179),1)*IF(Upgrades!$T$9="Stellar Coupling",POWER(Upgrades!$U$9,H179),1)*IF(Upgrades!$T$10="Stellar Coupling",POWER(Upgrades!$U$10,I179),1)*IF(Upgrades!$T$11="Stellar Coupling",POWER(Upgrades!$U$11,J179),1)*IF(Upgrades!$T$12="Stellar Coupling",POWER(Upgrades!$U$12,K179),1))*POWER(Upgrades!$Q$6,E179)*POWER(Upgrades!$Q$7,F179)*POWER(Upgrades!$Q$8,G179)*POWER(Upgrades!$Q$9,H179)*POWER(Upgrades!$Q$10,I179)*POWER(Upgrades!$Q$11,J179)*POWER(Upgrades!$Q$12,K179)*Parameters!$B$10*Parameters!$B$11</f>
        <v/>
      </c>
      <c r="AD179" s="27">
        <f>(IF(H179=0,0,(Upgrades!$G$9+H179*Upgrades!$H$9)*POWER(Upgrades!$I$9,H179)))*(IF(Upgrades!$T$6="Magnetosphere",POWER(Upgrades!$U$6,E179),1)*IF(Upgrades!$T$7="Magnetosphere",POWER(Upgrades!$U$7,F179),1)*IF(Upgrades!$T$8="Magnetosphere",POWER(Upgrades!$U$8,G179),1)*IF(Upgrades!$T$10="Magnetosphere",POWER(Upgrades!$U$10,I179),1)*IF(Upgrades!$T$11="Magnetosphere",POWER(Upgrades!$U$11,J179),1)*IF(Upgrades!$T$12="Magnetosphere",POWER(Upgrades!$U$12,K179),1))*POWER(Upgrades!$P$6,E179)*POWER(Upgrades!$P$7,F179)*POWER(Upgrades!$P$8,G179)*POWER(Upgrades!$P$9,H179)*POWER(Upgrades!$P$10,I179)*POWER(Upgrades!$P$11,J179)*POWER(Upgrades!$P$12,K179)*60</f>
        <v/>
      </c>
      <c r="AE179" s="27">
        <f>(IF(K179=0,0,(Upgrades!$G$12+K179*Upgrades!$H$12)*POWER(Upgrades!$I$12,K179)))*(IF(Upgrades!$T$6="First Photons",POWER(Upgrades!$U$6,E179),1)*IF(Upgrades!$T$7="First Photons",POWER(Upgrades!$U$7,F179),1)*IF(Upgrades!$T$8="First Photons",POWER(Upgrades!$U$8,G179),1)*IF(Upgrades!$T$9="First Photons",POWER(Upgrades!$U$9,H179),1)*IF(Upgrades!$T$10="First Photons",POWER(Upgrades!$U$10,I179),1)*IF(Upgrades!$T$11="First Photons",POWER(Upgrades!$U$11,J179),1))*POWER(Upgrades!$P$6,E179)*POWER(Upgrades!$P$7,F179)*POWER(Upgrades!$P$8,G179)*POWER(Upgrades!$P$9,H179)*POWER(Upgrades!$P$10,I179)*POWER(Upgrades!$P$11,J179)*POWER(Upgrades!$P$12,K179)*60</f>
        <v/>
      </c>
      <c r="AF179" s="27">
        <f>Parameters!$B$9*POWER(Upgrades!$Q$6,E179)*POWER(Upgrades!$Q$7,F179)*POWER(Upgrades!$Q$8,G179)*POWER(Upgrades!$Q$9,H179)*POWER(Upgrades!$Q$10,I179)*POWER(Upgrades!$Q$11,J179)*POWER(Upgrades!$Q$12,K179)*(Parameters!$B$10*Parameters!$B$11+O179*60)</f>
        <v/>
      </c>
      <c r="AG179" s="22">
        <f>IF(E179&gt;=Upgrades!$E$6,"",Upgrades!$C$6*POWER(Upgrades!$D$6,E179))</f>
        <v/>
      </c>
      <c r="AH179" s="22">
        <f>IF(F179&gt;=Upgrades!$E$7,"",Upgrades!$C$7*POWER(Upgrades!$D$7,F179))</f>
        <v/>
      </c>
      <c r="AI179" s="22">
        <f>IF(G179&gt;=Upgrades!$E$8,"",Upgrades!$C$8*POWER(Upgrades!$D$8,G179))</f>
        <v/>
      </c>
      <c r="AJ179" s="22">
        <f>IF(H179&gt;=Upgrades!$E$9,"",Upgrades!$C$9*POWER(Upgrades!$D$9,H179))</f>
        <v/>
      </c>
      <c r="AK179" s="22">
        <f>IF(I179&gt;=Upgrades!$E$10,"",Upgrades!$C$10*POWER(Upgrades!$D$10,I179))</f>
        <v/>
      </c>
      <c r="AL179" s="22">
        <f>IF(J179&gt;=Upgrades!$E$11,"",Upgrades!$C$11*POWER(Upgrades!$D$11,J179))</f>
        <v/>
      </c>
      <c r="AM179" s="22">
        <f>IF(K179&gt;=Upgrades!$E$12,"",Upgrades!$C$12*POWER(Upgrades!$D$12,K179))</f>
        <v/>
      </c>
      <c r="AN179" s="26">
        <f>IF(AND(D179&gt;=Parameters!$B$18,(H179&gt;=Upgrades!$E$9)*(K179&gt;=Upgrades!$E$12)=1,L179=0),1,"")</f>
        <v/>
      </c>
      <c r="AO179" s="26">
        <f>IF(AND(D179&gt;=Parameters!$B$18,L179=0),1,"")</f>
        <v/>
      </c>
      <c r="AP179" s="22">
        <f>MIN(IF(ISNUMBER(AK179),AK179,9E15),IF(ISNUMBER(AL179),AL179,9E15),IF(ISNUMBER(AM179),AM179,9E15))</f>
        <v/>
      </c>
      <c r="AQ179" s="22">
        <f>MIN(IF(ISNUMBER(AG179),AG179,9E15),IF(ISNUMBER(AH179),AH179,9E15),IF(ISNUMBER(AI179),AI179,9E15),IF(ISNUMBER(AJ179),AJ179,9E15))</f>
        <v/>
      </c>
      <c r="AR179" s="29">
        <f>IF(AW179&gt;Parameters!$B$21*(MAX(IF(AND(NOT(AND(AO179=1,AN179&lt;&gt;1)),ISNUMBER(AG179),AG179&lt;=T179),AS179,0),IF(AND(NOT(AND(AO179=1,AN179&lt;&gt;1)),ISNUMBER(AH179),AH179&lt;=T179),AT179,0),IF(AND(NOT(AND(AO179=1,AN179&lt;&gt;1)),ISNUMBER(AI179),AI179&lt;=T179),AU179,0),IF(AND(ISNUMBER(AJ179),AJ179&lt;=T179),AV179,0))),TRUE,FALSE)</f>
        <v/>
      </c>
      <c r="AS179" s="32">
        <f>IFERROR(Upgrades!$H$6*(POWER(Upgrades!$P$6,E179)*POWER(Upgrades!$P$7,F179)*POWER(Upgrades!$P$8,G179)*POWER(Upgrades!$P$9,H179)*POWER(Upgrades!$P$10,I179)*POWER(Upgrades!$P$11,J179)*POWER(Upgrades!$P$12,K179))*(IF(Upgrades!$T$7="Solar Wind",POWER(Upgrades!$U$7,F179),1)*IF(Upgrades!$T$8="Solar Wind",POWER(Upgrades!$U$8,G179),1)*IF(Upgrades!$T$9="Solar Wind",POWER(Upgrades!$U$9,H179),1)*IF(Upgrades!$T$10="Solar Wind",POWER(Upgrades!$U$10,I179),1)*IF(Upgrades!$T$11="Solar Wind",POWER(Upgrades!$U$11,J179),1)*IF(Upgrades!$T$12="Solar Wind",POWER(Upgrades!$U$12,K179),1))/AG179,0)</f>
        <v/>
      </c>
      <c r="AT179" s="32">
        <f>IFERROR(Upgrades!$H$7*(POWER(Upgrades!$P$6,E179)*POWER(Upgrades!$P$7,F179)*POWER(Upgrades!$P$8,G179)*POWER(Upgrades!$P$9,H179)*POWER(Upgrades!$P$10,I179)*POWER(Upgrades!$P$11,J179)*POWER(Upgrades!$P$12,K179))*(IF(Upgrades!$T$6="Asteroid Belt",POWER(Upgrades!$U$6,E179),1)*IF(Upgrades!$T$8="Asteroid Belt",POWER(Upgrades!$U$8,G179),1)*IF(Upgrades!$T$9="Asteroid Belt",POWER(Upgrades!$U$9,H179),1)*IF(Upgrades!$T$10="Asteroid Belt",POWER(Upgrades!$U$10,I179),1)*IF(Upgrades!$T$11="Asteroid Belt",POWER(Upgrades!$U$11,J179),1)*IF(Upgrades!$T$12="Asteroid Belt",POWER(Upgrades!$U$12,K179),1))/AH179,0)</f>
        <v/>
      </c>
      <c r="AU179" s="32">
        <f>IFERROR(Upgrades!$K$8*(POWER(Upgrades!$Q$6,E179)*POWER(Upgrades!$Q$7,F179)*POWER(Upgrades!$Q$8,G179)*POWER(Upgrades!$Q$9,H179)*POWER(Upgrades!$Q$10,I179)*POWER(Upgrades!$Q$11,J179)*POWER(Upgrades!$Q$12,K179))*(IF(Upgrades!$T$6="Stellar Coupling",POWER(Upgrades!$U$6,E179),1)*IF(Upgrades!$T$7="Stellar Coupling",POWER(Upgrades!$U$7,F179),1)*IF(Upgrades!$T$9="Stellar Coupling",POWER(Upgrades!$U$9,H179),1)*IF(Upgrades!$T$10="Stellar Coupling",POWER(Upgrades!$U$10,I179),1)*IF(Upgrades!$T$11="Stellar Coupling",POWER(Upgrades!$U$11,J179),1)*IF(Upgrades!$T$12="Stellar Coupling",POWER(Upgrades!$U$12,K179),1))*Parameters!$B$10*Parameters!$B$11/60/AI179,0)</f>
        <v/>
      </c>
      <c r="AV179" s="32">
        <f>IFERROR(Upgrades!$H$9*(POWER(Upgrades!$P$6,E179)*POWER(Upgrades!$P$7,F179)*POWER(Upgrades!$P$8,G179)*POWER(Upgrades!$P$9,H179)*POWER(Upgrades!$P$10,I179)*POWER(Upgrades!$P$11,J179)*POWER(Upgrades!$P$12,K179))*(IF(Upgrades!$T$6="Magnetosphere",POWER(Upgrades!$U$6,E179),1)*IF(Upgrades!$T$7="Magnetosphere",POWER(Upgrades!$U$7,F179),1)*IF(Upgrades!$T$8="Magnetosphere",POWER(Upgrades!$U$8,G179),1)*IF(Upgrades!$T$10="Magnetosphere",POWER(Upgrades!$U$10,I179),1)*IF(Upgrades!$T$11="Magnetosphere",POWER(Upgrades!$U$11,J179),1)*IF(Upgrades!$T$12="Magnetosphere",POWER(Upgrades!$U$12,K179),1))/AJ179,0)</f>
        <v/>
      </c>
      <c r="AW179" s="32">
        <f>MAX(IF(I179&gt;0,0,IFERROR(0.25*N179/Upgrades!$C$10,0)),IF(J179&gt;0,0,IFERROR(0.5*((IF(G179=0,0,(Upgrades!$J$8+G179*Upgrades!$K$8)*POWER(Upgrades!$L$8,G179)))*(IF(Upgrades!$T$6="Stellar Coupling",POWER(Upgrades!$U$6,E179),1)*IF(Upgrades!$T$7="Stellar Coupling",POWER(Upgrades!$U$7,F179),1)*IF(Upgrades!$T$9="Stellar Coupling",POWER(Upgrades!$U$9,H179),1)*IF(Upgrades!$T$10="Stellar Coupling",POWER(Upgrades!$U$10,I179),1)*IF(Upgrades!$T$11="Stellar Coupling",POWER(Upgrades!$U$11,J179),1)*IF(Upgrades!$T$12="Stellar Coupling",POWER(Upgrades!$U$12,K179),1))*(POWER(Upgrades!$Q$6,E179)*POWER(Upgrades!$Q$7,F179)*POWER(Upgrades!$Q$8,G179)*POWER(Upgrades!$Q$9,H179)*POWER(Upgrades!$Q$10,I179)*POWER(Upgrades!$Q$11,J179)*POWER(Upgrades!$Q$12,K179))*Parameters!$B$10*Parameters!$B$11/60)/Upgrades!$C$11,0)),IF(K179&gt;0,0,IFERROR((1.0*(POWER(Upgrades!$P$6,E179)*POWER(Upgrades!$P$7,F179)*POWER(Upgrades!$P$8,G179)*POWER(Upgrades!$P$9,H179)*POWER(Upgrades!$P$10,I179)*POWER(Upgrades!$P$11,J179)*POWER(Upgrades!$P$12,K179))+0.20*M179*Parameters!$B$10*Parameters!$B$11/60)/Upgrades!$C$12,0)),IF(AND(ISNUMBER(AG179),AG179&gt;T179),AS179,0),IF(AND(ISNUMBER(AH179),AH179&gt;T179),AT179,0),IF(AND(ISNUMBER(AI179),AI179&gt;T179),AU179,0),IF(AND(ISNUMBER(AJ179),AJ179&gt;T179),AV179,0))</f>
        <v/>
      </c>
      <c r="AX179" s="29">
        <f>IF(AN179=1,"transition",IF(MIN(IF(AND(I179=0,ISNUMBER(AK179),AK179&lt;=T179),AK179,9E15),IF(AND(J179=0,ISNUMBER(AL179),AL179&lt;=T179),AL179,9E15),IF(AND(K179=0,ISNUMBER(AM179),AM179&lt;=T179),AM179,9E15))&lt;9E15,IF(AND(AND(I179=0,ISNUMBER(AK179),AK179&lt;=T179),AK179=MIN(IF(AND(I179=0,ISNUMBER(AK179),AK179&lt;=T179),AK179,9E15),IF(AND(J179=0,ISNUMBER(AL179),AL179&lt;=T179),AL179,9E15),IF(AND(K179=0,ISNUMBER(AM179),AM179&lt;=T179),AM179,9E15))),"OR",IF(AND(AND(J179=0,ISNUMBER(AL179),AL179&lt;=T179),AL179=MIN(IF(AND(I179=0,ISNUMBER(AK179),AK179&lt;=T179),AK179,9E15),IF(AND(J179=0,ISNUMBER(AL179),AL179&lt;=T179),AL179,9E15),IF(AND(K179=0,ISNUMBER(AM179),AM179&lt;=T179),AM179,9E15))),"HP","FP")),IF(AR179=TRUE,"",IF(MAX(IF(AND(NOT(AND(AO179=1,AN179&lt;&gt;1)),ISNUMBER(AG179),AG179&lt;=T179),AS179,0),IF(AND(NOT(AND(AO179=1,AN179&lt;&gt;1)),ISNUMBER(AH179),AH179&lt;=T179),AT179,0),IF(AND(NOT(AND(AO179=1,AN179&lt;&gt;1)),ISNUMBER(AI179),AI179&lt;=T179),AU179,0),IF(AND(ISNUMBER(AJ179),AJ179&lt;=T179),AV179,0))&lt;=0,"",IF(AND(IF(AND(NOT(AND(AO179=1,AN179&lt;&gt;1)),ISNUMBER(AG179),AG179&lt;=T179),AS179,0)&gt;0,IF(AND(NOT(AND(AO179=1,AN179&lt;&gt;1)),ISNUMBER(AG179),AG179&lt;=T179),AS179,0)=MAX(IF(AND(NOT(AND(AO179=1,AN179&lt;&gt;1)),ISNUMBER(AG179),AG179&lt;=T179),AS179,0),IF(AND(NOT(AND(AO179=1,AN179&lt;&gt;1)),ISNUMBER(AH179),AH179&lt;=T179),AT179,0),IF(AND(NOT(AND(AO179=1,AN179&lt;&gt;1)),ISNUMBER(AI179),AI179&lt;=T179),AU179,0),IF(AND(ISNUMBER(AJ179),AJ179&lt;=T179),AV179,0))),"SW",IF(AND(IF(AND(NOT(AND(AO179=1,AN179&lt;&gt;1)),ISNUMBER(AH179),AH179&lt;=T179),AT179,0)&gt;0,IF(AND(NOT(AND(AO179=1,AN179&lt;&gt;1)),ISNUMBER(AH179),AH179&lt;=T179),AT179,0)=MAX(IF(AND(NOT(AND(AO179=1,AN179&lt;&gt;1)),ISNUMBER(AG179),AG179&lt;=T179),AS179,0),IF(AND(NOT(AND(AO179=1,AN179&lt;&gt;1)),ISNUMBER(AH179),AH179&lt;=T179),AT179,0),IF(AND(NOT(AND(AO179=1,AN179&lt;&gt;1)),ISNUMBER(AI179),AI179&lt;=T179),AU179,0),IF(AND(ISNUMBER(AJ179),AJ179&lt;=T179),AV179,0))),"AB",IF(AND(IF(AND(NOT(AND(AO179=1,AN179&lt;&gt;1)),ISNUMBER(AI179),AI179&lt;=T179),AU179,0)&gt;0,IF(AND(NOT(AND(AO179=1,AN179&lt;&gt;1)),ISNUMBER(AI179),AI179&lt;=T179),AU179,0)=MAX(IF(AND(NOT(AND(AO179=1,AN179&lt;&gt;1)),ISNUMBER(AG179),AG179&lt;=T179),AS179,0),IF(AND(NOT(AND(AO179=1,AN179&lt;&gt;1)),ISNUMBER(AH179),AH179&lt;=T179),AT179,0),IF(AND(NOT(AND(AO179=1,AN179&lt;&gt;1)),ISNUMBER(AI179),AI179&lt;=T179),AU179,0),IF(AND(ISNUMBER(AJ179),AJ179&lt;=T179),AV179,0))),"SC","Mag")))))))</f>
        <v/>
      </c>
    </row>
    <row r="180">
      <c r="A180" s="26" t="n">
        <v>175</v>
      </c>
      <c r="B180" s="27">
        <f>A180*10/60</f>
        <v/>
      </c>
      <c r="C180" s="22">
        <f>X179</f>
        <v/>
      </c>
      <c r="D180" s="27">
        <f>D179+W179</f>
        <v/>
      </c>
      <c r="E180" s="26">
        <f>E179+IF(U179="SW",1,0)</f>
        <v/>
      </c>
      <c r="F180" s="26">
        <f>F179+IF(U179="AB",1,0)</f>
        <v/>
      </c>
      <c r="G180" s="26">
        <f>G179+IF(U179="SC",1,0)</f>
        <v/>
      </c>
      <c r="H180" s="26">
        <f>H179+IF(U179="Mag",1,0)</f>
        <v/>
      </c>
      <c r="I180" s="26">
        <f>MAX(I179,IF(U179="OR",1,0))</f>
        <v/>
      </c>
      <c r="J180" s="26">
        <f>MAX(J179,IF(U179="HP",1,0))</f>
        <v/>
      </c>
      <c r="K180" s="26">
        <f>MAX(K179,IF(U179="FP",1,0))</f>
        <v/>
      </c>
      <c r="L180" s="26">
        <f>MAX(L179,IF(U179="transition",1,0))</f>
        <v/>
      </c>
      <c r="M180" s="28">
        <f>(Parameters!$B$9+(IF(E180=0,0,(Upgrades!$J$6+E180*Upgrades!$K$6)*POWER(Upgrades!$L$6,E180)))*(IF(Upgrades!$T$7="Solar Wind",POWER(Upgrades!$U$7,F180),1)*IF(Upgrades!$T$8="Solar Wind",POWER(Upgrades!$U$8,G180),1)*IF(Upgrades!$T$9="Solar Wind",POWER(Upgrades!$U$9,H180),1)*IF(Upgrades!$T$10="Solar Wind",POWER(Upgrades!$U$10,I180),1)*IF(Upgrades!$T$11="Solar Wind",POWER(Upgrades!$U$11,J180),1)*IF(Upgrades!$T$12="Solar Wind",POWER(Upgrades!$U$12,K180),1))+(IF(F180=0,0,(Upgrades!$J$7+F180*Upgrades!$K$7)*POWER(Upgrades!$L$7,F180)))*(IF(Upgrades!$T$6="Asteroid Belt",POWER(Upgrades!$U$6,E180),1)*IF(Upgrades!$T$8="Asteroid Belt",POWER(Upgrades!$U$8,G180),1)*IF(Upgrades!$T$9="Asteroid Belt",POWER(Upgrades!$U$9,H180),1)*IF(Upgrades!$T$10="Asteroid Belt",POWER(Upgrades!$U$10,I180),1)*IF(Upgrades!$T$11="Asteroid Belt",POWER(Upgrades!$U$11,J180),1)*IF(Upgrades!$T$12="Asteroid Belt",POWER(Upgrades!$U$12,K180),1))+(IF(G180=0,0,(Upgrades!$J$8+G180*Upgrades!$K$8)*POWER(Upgrades!$L$8,G180)))*(IF(Upgrades!$T$6="Stellar Coupling",POWER(Upgrades!$U$6,E180),1)*IF(Upgrades!$T$7="Stellar Coupling",POWER(Upgrades!$U$7,F180),1)*IF(Upgrades!$T$9="Stellar Coupling",POWER(Upgrades!$U$9,H180),1)*IF(Upgrades!$T$10="Stellar Coupling",POWER(Upgrades!$U$10,I180),1)*IF(Upgrades!$T$11="Stellar Coupling",POWER(Upgrades!$U$11,J180),1)*IF(Upgrades!$T$12="Stellar Coupling",POWER(Upgrades!$U$12,K180),1))+(IF(H180=0,0,(Upgrades!$J$9+H180*Upgrades!$K$9)*POWER(Upgrades!$L$9,H180)))*(IF(Upgrades!$T$6="Magnetosphere",POWER(Upgrades!$U$6,E180),1)*IF(Upgrades!$T$7="Magnetosphere",POWER(Upgrades!$U$7,F180),1)*IF(Upgrades!$T$8="Magnetosphere",POWER(Upgrades!$U$8,G180),1)*IF(Upgrades!$T$10="Magnetosphere",POWER(Upgrades!$U$10,I180),1)*IF(Upgrades!$T$11="Magnetosphere",POWER(Upgrades!$U$11,J180),1)*IF(Upgrades!$T$12="Magnetosphere",POWER(Upgrades!$U$12,K180),1))+(IF(I180=0,0,(Upgrades!$J$10+I180*Upgrades!$K$10)*POWER(Upgrades!$L$10,I180)))*(IF(Upgrades!$T$6="Orbital Resonance",POWER(Upgrades!$U$6,E180),1)*IF(Upgrades!$T$7="Orbital Resonance",POWER(Upgrades!$U$7,F180),1)*IF(Upgrades!$T$8="Orbital Resonance",POWER(Upgrades!$U$8,G180),1)*IF(Upgrades!$T$9="Orbital Resonance",POWER(Upgrades!$U$9,H180),1)*IF(Upgrades!$T$11="Orbital Resonance",POWER(Upgrades!$U$11,J180),1)*IF(Upgrades!$T$12="Orbital Resonance",POWER(Upgrades!$U$12,K180),1))+(IF(J180=0,0,(Upgrades!$J$11+J180*Upgrades!$K$11)*POWER(Upgrades!$L$11,J180)))*(IF(Upgrades!$T$6="Heliopause",POWER(Upgrades!$U$6,E180),1)*IF(Upgrades!$T$7="Heliopause",POWER(Upgrades!$U$7,F180),1)*IF(Upgrades!$T$8="Heliopause",POWER(Upgrades!$U$8,G180),1)*IF(Upgrades!$T$9="Heliopause",POWER(Upgrades!$U$9,H180),1)*IF(Upgrades!$T$10="Heliopause",POWER(Upgrades!$U$10,I180),1)*IF(Upgrades!$T$12="Heliopause",POWER(Upgrades!$U$12,K180),1))+(IF(K180=0,0,(Upgrades!$J$12+K180*Upgrades!$K$12)*POWER(Upgrades!$L$12,K180)))*(IF(Upgrades!$T$6="First Photons",POWER(Upgrades!$U$6,E180),1)*IF(Upgrades!$T$7="First Photons",POWER(Upgrades!$U$7,F180),1)*IF(Upgrades!$T$8="First Photons",POWER(Upgrades!$U$8,G180),1)*IF(Upgrades!$T$9="First Photons",POWER(Upgrades!$U$9,H180),1)*IF(Upgrades!$T$10="First Photons",POWER(Upgrades!$U$10,I180),1)*IF(Upgrades!$T$11="First Photons",POWER(Upgrades!$U$11,J180),1)))*POWER(Upgrades!$Q$6,E180)*POWER(Upgrades!$Q$7,F180)*POWER(Upgrades!$Q$8,G180)*POWER(Upgrades!$Q$9,H180)*POWER(Upgrades!$Q$10,I180)*POWER(Upgrades!$Q$11,J180)*POWER(Upgrades!$Q$12,K180)</f>
        <v/>
      </c>
      <c r="N180" s="28">
        <f>((IF(E180=0,0,(Upgrades!$G$6+E180*Upgrades!$H$6)*POWER(Upgrades!$I$6,E180)))*(IF(Upgrades!$T$7="Solar Wind",POWER(Upgrades!$U$7,F180),1)*IF(Upgrades!$T$8="Solar Wind",POWER(Upgrades!$U$8,G180),1)*IF(Upgrades!$T$9="Solar Wind",POWER(Upgrades!$U$9,H180),1)*IF(Upgrades!$T$10="Solar Wind",POWER(Upgrades!$U$10,I180),1)*IF(Upgrades!$T$11="Solar Wind",POWER(Upgrades!$U$11,J180),1)*IF(Upgrades!$T$12="Solar Wind",POWER(Upgrades!$U$12,K180),1))+(IF(F180=0,0,(Upgrades!$G$7+F180*Upgrades!$H$7)*POWER(Upgrades!$I$7,F180)))*(IF(Upgrades!$T$6="Asteroid Belt",POWER(Upgrades!$U$6,E180),1)*IF(Upgrades!$T$8="Asteroid Belt",POWER(Upgrades!$U$8,G180),1)*IF(Upgrades!$T$9="Asteroid Belt",POWER(Upgrades!$U$9,H180),1)*IF(Upgrades!$T$10="Asteroid Belt",POWER(Upgrades!$U$10,I180),1)*IF(Upgrades!$T$11="Asteroid Belt",POWER(Upgrades!$U$11,J180),1)*IF(Upgrades!$T$12="Asteroid Belt",POWER(Upgrades!$U$12,K180),1))+(IF(G180=0,0,(Upgrades!$G$8+G180*Upgrades!$H$8)*POWER(Upgrades!$I$8,G180)))*(IF(Upgrades!$T$6="Stellar Coupling",POWER(Upgrades!$U$6,E180),1)*IF(Upgrades!$T$7="Stellar Coupling",POWER(Upgrades!$U$7,F180),1)*IF(Upgrades!$T$9="Stellar Coupling",POWER(Upgrades!$U$9,H180),1)*IF(Upgrades!$T$10="Stellar Coupling",POWER(Upgrades!$U$10,I180),1)*IF(Upgrades!$T$11="Stellar Coupling",POWER(Upgrades!$U$11,J180),1)*IF(Upgrades!$T$12="Stellar Coupling",POWER(Upgrades!$U$12,K180),1))+(IF(H180=0,0,(Upgrades!$G$9+H180*Upgrades!$H$9)*POWER(Upgrades!$I$9,H180)))*(IF(Upgrades!$T$6="Magnetosphere",POWER(Upgrades!$U$6,E180),1)*IF(Upgrades!$T$7="Magnetosphere",POWER(Upgrades!$U$7,F180),1)*IF(Upgrades!$T$8="Magnetosphere",POWER(Upgrades!$U$8,G180),1)*IF(Upgrades!$T$10="Magnetosphere",POWER(Upgrades!$U$10,I180),1)*IF(Upgrades!$T$11="Magnetosphere",POWER(Upgrades!$U$11,J180),1)*IF(Upgrades!$T$12="Magnetosphere",POWER(Upgrades!$U$12,K180),1))+(IF(I180=0,0,(Upgrades!$G$10+I180*Upgrades!$H$10)*POWER(Upgrades!$I$10,I180)))*(IF(Upgrades!$T$6="Orbital Resonance",POWER(Upgrades!$U$6,E180),1)*IF(Upgrades!$T$7="Orbital Resonance",POWER(Upgrades!$U$7,F180),1)*IF(Upgrades!$T$8="Orbital Resonance",POWER(Upgrades!$U$8,G180),1)*IF(Upgrades!$T$9="Orbital Resonance",POWER(Upgrades!$U$9,H180),1)*IF(Upgrades!$T$11="Orbital Resonance",POWER(Upgrades!$U$11,J180),1)*IF(Upgrades!$T$12="Orbital Resonance",POWER(Upgrades!$U$12,K180),1))+(IF(J180=0,0,(Upgrades!$G$11+J180*Upgrades!$H$11)*POWER(Upgrades!$I$11,J180)))*(IF(Upgrades!$T$6="Heliopause",POWER(Upgrades!$U$6,E180),1)*IF(Upgrades!$T$7="Heliopause",POWER(Upgrades!$U$7,F180),1)*IF(Upgrades!$T$8="Heliopause",POWER(Upgrades!$U$8,G180),1)*IF(Upgrades!$T$9="Heliopause",POWER(Upgrades!$U$9,H180),1)*IF(Upgrades!$T$10="Heliopause",POWER(Upgrades!$U$10,I180),1)*IF(Upgrades!$T$12="Heliopause",POWER(Upgrades!$U$12,K180),1))+(IF(K180=0,0,(Upgrades!$G$12+K180*Upgrades!$H$12)*POWER(Upgrades!$I$12,K180)))*(IF(Upgrades!$T$6="First Photons",POWER(Upgrades!$U$6,E180),1)*IF(Upgrades!$T$7="First Photons",POWER(Upgrades!$U$7,F180),1)*IF(Upgrades!$T$8="First Photons",POWER(Upgrades!$U$8,G180),1)*IF(Upgrades!$T$9="First Photons",POWER(Upgrades!$U$9,H180),1)*IF(Upgrades!$T$10="First Photons",POWER(Upgrades!$U$10,I180),1)*IF(Upgrades!$T$11="First Photons",POWER(Upgrades!$U$11,J180),1)))*POWER(Upgrades!$P$6,E180)*POWER(Upgrades!$P$7,F180)*POWER(Upgrades!$P$8,G180)*POWER(Upgrades!$P$9,H180)*POWER(Upgrades!$P$10,I180)*POWER(Upgrades!$P$11,J180)*POWER(Upgrades!$P$12,K180)</f>
        <v/>
      </c>
      <c r="O180" s="28">
        <f>((IF(E180=0,0,(Upgrades!$M$6+E180*Upgrades!$N$6)*POWER(Upgrades!$O$6,E180)))*(IF(Upgrades!$T$7="Solar Wind",POWER(Upgrades!$U$7,F180),1)*IF(Upgrades!$T$8="Solar Wind",POWER(Upgrades!$U$8,G180),1)*IF(Upgrades!$T$9="Solar Wind",POWER(Upgrades!$U$9,H180),1)*IF(Upgrades!$T$10="Solar Wind",POWER(Upgrades!$U$10,I180),1)*IF(Upgrades!$T$11="Solar Wind",POWER(Upgrades!$U$11,J180),1)*IF(Upgrades!$T$12="Solar Wind",POWER(Upgrades!$U$12,K180),1))+(IF(F180=0,0,(Upgrades!$M$7+F180*Upgrades!$N$7)*POWER(Upgrades!$O$7,F180)))*(IF(Upgrades!$T$6="Asteroid Belt",POWER(Upgrades!$U$6,E180),1)*IF(Upgrades!$T$8="Asteroid Belt",POWER(Upgrades!$U$8,G180),1)*IF(Upgrades!$T$9="Asteroid Belt",POWER(Upgrades!$U$9,H180),1)*IF(Upgrades!$T$10="Asteroid Belt",POWER(Upgrades!$U$10,I180),1)*IF(Upgrades!$T$11="Asteroid Belt",POWER(Upgrades!$U$11,J180),1)*IF(Upgrades!$T$12="Asteroid Belt",POWER(Upgrades!$U$12,K180),1))+(IF(G180=0,0,(Upgrades!$M$8+G180*Upgrades!$N$8)*POWER(Upgrades!$O$8,G180)))*(IF(Upgrades!$T$6="Stellar Coupling",POWER(Upgrades!$U$6,E180),1)*IF(Upgrades!$T$7="Stellar Coupling",POWER(Upgrades!$U$7,F180),1)*IF(Upgrades!$T$9="Stellar Coupling",POWER(Upgrades!$U$9,H180),1)*IF(Upgrades!$T$10="Stellar Coupling",POWER(Upgrades!$U$10,I180),1)*IF(Upgrades!$T$11="Stellar Coupling",POWER(Upgrades!$U$11,J180),1)*IF(Upgrades!$T$12="Stellar Coupling",POWER(Upgrades!$U$12,K180),1))+(IF(H180=0,0,(Upgrades!$M$9+H180*Upgrades!$N$9)*POWER(Upgrades!$O$9,H180)))*(IF(Upgrades!$T$6="Magnetosphere",POWER(Upgrades!$U$6,E180),1)*IF(Upgrades!$T$7="Magnetosphere",POWER(Upgrades!$U$7,F180),1)*IF(Upgrades!$T$8="Magnetosphere",POWER(Upgrades!$U$8,G180),1)*IF(Upgrades!$T$10="Magnetosphere",POWER(Upgrades!$U$10,I180),1)*IF(Upgrades!$T$11="Magnetosphere",POWER(Upgrades!$U$11,J180),1)*IF(Upgrades!$T$12="Magnetosphere",POWER(Upgrades!$U$12,K180),1))+(IF(I180=0,0,(Upgrades!$M$10+I180*Upgrades!$N$10)*POWER(Upgrades!$O$10,I180)))*(IF(Upgrades!$T$6="Orbital Resonance",POWER(Upgrades!$U$6,E180),1)*IF(Upgrades!$T$7="Orbital Resonance",POWER(Upgrades!$U$7,F180),1)*IF(Upgrades!$T$8="Orbital Resonance",POWER(Upgrades!$U$8,G180),1)*IF(Upgrades!$T$9="Orbital Resonance",POWER(Upgrades!$U$9,H180),1)*IF(Upgrades!$T$11="Orbital Resonance",POWER(Upgrades!$U$11,J180),1)*IF(Upgrades!$T$12="Orbital Resonance",POWER(Upgrades!$U$12,K180),1))+(IF(J180=0,0,(Upgrades!$M$11+J180*Upgrades!$N$11)*POWER(Upgrades!$O$11,J180)))*(IF(Upgrades!$T$6="Heliopause",POWER(Upgrades!$U$6,E180),1)*IF(Upgrades!$T$7="Heliopause",POWER(Upgrades!$U$7,F180),1)*IF(Upgrades!$T$8="Heliopause",POWER(Upgrades!$U$8,G180),1)*IF(Upgrades!$T$9="Heliopause",POWER(Upgrades!$U$9,H180),1)*IF(Upgrades!$T$10="Heliopause",POWER(Upgrades!$U$10,I180),1)*IF(Upgrades!$T$12="Heliopause",POWER(Upgrades!$U$12,K180),1))+(IF(K180=0,0,(Upgrades!$M$12+K180*Upgrades!$N$12)*POWER(Upgrades!$O$12,K180)))*(IF(Upgrades!$T$6="First Photons",POWER(Upgrades!$U$6,E180),1)*IF(Upgrades!$T$7="First Photons",POWER(Upgrades!$U$7,F180),1)*IF(Upgrades!$T$8="First Photons",POWER(Upgrades!$U$8,G180),1)*IF(Upgrades!$T$9="First Photons",POWER(Upgrades!$U$9,H180),1)*IF(Upgrades!$T$10="First Photons",POWER(Upgrades!$U$10,I180),1)*IF(Upgrades!$T$11="First Photons",POWER(Upgrades!$U$11,J180),1)))*POWER(Upgrades!$R$6,E180)*POWER(Upgrades!$R$7,F180)*POWER(Upgrades!$R$8,G180)*POWER(Upgrades!$R$9,H180)*POWER(Upgrades!$R$10,I180)*POWER(Upgrades!$R$11,J180)*POWER(Upgrades!$R$12,K180)</f>
        <v/>
      </c>
      <c r="P180" s="27">
        <f>IF(L180=1,0,M180*Parameters!$B$10/60*Parameters!$B$11*10)</f>
        <v/>
      </c>
      <c r="Q180" s="27">
        <f>IF(L180=1,0,O180*M180*10)</f>
        <v/>
      </c>
      <c r="R180" s="27">
        <f>IF(L180=1,0,N180*10)</f>
        <v/>
      </c>
      <c r="S180" s="27">
        <f>P180+Q180+R180</f>
        <v/>
      </c>
      <c r="T180" s="22">
        <f>C180+S180</f>
        <v/>
      </c>
      <c r="U180" s="33">
        <f>AX180</f>
        <v/>
      </c>
      <c r="V180" s="22">
        <f>IF(U180="",0,IF(U180="transition",0,IF(U180="SW",AG180,IF(U180="AB",AH180,IF(U180="SC",AI180,IF(U180="Mag",AJ180,IF(U180="OR",AK180,IF(U180="HP",AL180,IF(U180="FP",AM180,0)))))))))</f>
        <v/>
      </c>
      <c r="W180" s="27">
        <f>IF(U180="OR",Upgrades!$F$10,IF(U180="HP",Upgrades!$F$11,IF(U180="transition",-Parameters!$B$18,0)))</f>
        <v/>
      </c>
      <c r="X180" s="22">
        <f>T180-V180</f>
        <v/>
      </c>
      <c r="Y180" s="30">
        <f>M180*Parameters!$B$10/60*Parameters!$B$11+O180*M180+N180</f>
        <v/>
      </c>
      <c r="Z180" s="34">
        <f>IF(U180="transition","→ Tier 2 (Stellar Neighborhood)",IF(U180="FP","First Photons — light begins, system quickens",IF(U180="HP","Heliopause acquired",IF(U180="OR","Orbital Resonance — passive multiplier active",IF(AND(AO180=1,L180=0,AN180&lt;&gt;1),"Cohesion ready (waiting on completionist upgrades)","")))))</f>
        <v/>
      </c>
      <c r="AA180" s="27">
        <f>(IF(E180=0,0,(Upgrades!$G$6+E180*Upgrades!$H$6)*POWER(Upgrades!$I$6,E180)))*(IF(Upgrades!$T$7="Solar Wind",POWER(Upgrades!$U$7,F180),1)*IF(Upgrades!$T$8="Solar Wind",POWER(Upgrades!$U$8,G180),1)*IF(Upgrades!$T$9="Solar Wind",POWER(Upgrades!$U$9,H180),1)*IF(Upgrades!$T$10="Solar Wind",POWER(Upgrades!$U$10,I180),1)*IF(Upgrades!$T$11="Solar Wind",POWER(Upgrades!$U$11,J180),1)*IF(Upgrades!$T$12="Solar Wind",POWER(Upgrades!$U$12,K180),1))*POWER(Upgrades!$P$6,E180)*POWER(Upgrades!$P$7,F180)*POWER(Upgrades!$P$8,G180)*POWER(Upgrades!$P$9,H180)*POWER(Upgrades!$P$10,I180)*POWER(Upgrades!$P$11,J180)*POWER(Upgrades!$P$12,K180)*60</f>
        <v/>
      </c>
      <c r="AB180" s="27">
        <f>(IF(F180=0,0,(Upgrades!$G$7+F180*Upgrades!$H$7)*POWER(Upgrades!$I$7,F180)))*(IF(Upgrades!$T$6="Asteroid Belt",POWER(Upgrades!$U$6,E180),1)*IF(Upgrades!$T$8="Asteroid Belt",POWER(Upgrades!$U$8,G180),1)*IF(Upgrades!$T$9="Asteroid Belt",POWER(Upgrades!$U$9,H180),1)*IF(Upgrades!$T$10="Asteroid Belt",POWER(Upgrades!$U$10,I180),1)*IF(Upgrades!$T$11="Asteroid Belt",POWER(Upgrades!$U$11,J180),1)*IF(Upgrades!$T$12="Asteroid Belt",POWER(Upgrades!$U$12,K180),1))*POWER(Upgrades!$P$6,E180)*POWER(Upgrades!$P$7,F180)*POWER(Upgrades!$P$8,G180)*POWER(Upgrades!$P$9,H180)*POWER(Upgrades!$P$10,I180)*POWER(Upgrades!$P$11,J180)*POWER(Upgrades!$P$12,K180)*60</f>
        <v/>
      </c>
      <c r="AC180" s="27">
        <f>(IF(G180=0,0,(Upgrades!$J$8+G180*Upgrades!$K$8)*POWER(Upgrades!$L$8,G180)))*(IF(Upgrades!$T$6="Stellar Coupling",POWER(Upgrades!$U$6,E180),1)*IF(Upgrades!$T$7="Stellar Coupling",POWER(Upgrades!$U$7,F180),1)*IF(Upgrades!$T$9="Stellar Coupling",POWER(Upgrades!$U$9,H180),1)*IF(Upgrades!$T$10="Stellar Coupling",POWER(Upgrades!$U$10,I180),1)*IF(Upgrades!$T$11="Stellar Coupling",POWER(Upgrades!$U$11,J180),1)*IF(Upgrades!$T$12="Stellar Coupling",POWER(Upgrades!$U$12,K180),1))*POWER(Upgrades!$Q$6,E180)*POWER(Upgrades!$Q$7,F180)*POWER(Upgrades!$Q$8,G180)*POWER(Upgrades!$Q$9,H180)*POWER(Upgrades!$Q$10,I180)*POWER(Upgrades!$Q$11,J180)*POWER(Upgrades!$Q$12,K180)*Parameters!$B$10*Parameters!$B$11</f>
        <v/>
      </c>
      <c r="AD180" s="27">
        <f>(IF(H180=0,0,(Upgrades!$G$9+H180*Upgrades!$H$9)*POWER(Upgrades!$I$9,H180)))*(IF(Upgrades!$T$6="Magnetosphere",POWER(Upgrades!$U$6,E180),1)*IF(Upgrades!$T$7="Magnetosphere",POWER(Upgrades!$U$7,F180),1)*IF(Upgrades!$T$8="Magnetosphere",POWER(Upgrades!$U$8,G180),1)*IF(Upgrades!$T$10="Magnetosphere",POWER(Upgrades!$U$10,I180),1)*IF(Upgrades!$T$11="Magnetosphere",POWER(Upgrades!$U$11,J180),1)*IF(Upgrades!$T$12="Magnetosphere",POWER(Upgrades!$U$12,K180),1))*POWER(Upgrades!$P$6,E180)*POWER(Upgrades!$P$7,F180)*POWER(Upgrades!$P$8,G180)*POWER(Upgrades!$P$9,H180)*POWER(Upgrades!$P$10,I180)*POWER(Upgrades!$P$11,J180)*POWER(Upgrades!$P$12,K180)*60</f>
        <v/>
      </c>
      <c r="AE180" s="27">
        <f>(IF(K180=0,0,(Upgrades!$G$12+K180*Upgrades!$H$12)*POWER(Upgrades!$I$12,K180)))*(IF(Upgrades!$T$6="First Photons",POWER(Upgrades!$U$6,E180),1)*IF(Upgrades!$T$7="First Photons",POWER(Upgrades!$U$7,F180),1)*IF(Upgrades!$T$8="First Photons",POWER(Upgrades!$U$8,G180),1)*IF(Upgrades!$T$9="First Photons",POWER(Upgrades!$U$9,H180),1)*IF(Upgrades!$T$10="First Photons",POWER(Upgrades!$U$10,I180),1)*IF(Upgrades!$T$11="First Photons",POWER(Upgrades!$U$11,J180),1))*POWER(Upgrades!$P$6,E180)*POWER(Upgrades!$P$7,F180)*POWER(Upgrades!$P$8,G180)*POWER(Upgrades!$P$9,H180)*POWER(Upgrades!$P$10,I180)*POWER(Upgrades!$P$11,J180)*POWER(Upgrades!$P$12,K180)*60</f>
        <v/>
      </c>
      <c r="AF180" s="27">
        <f>Parameters!$B$9*POWER(Upgrades!$Q$6,E180)*POWER(Upgrades!$Q$7,F180)*POWER(Upgrades!$Q$8,G180)*POWER(Upgrades!$Q$9,H180)*POWER(Upgrades!$Q$10,I180)*POWER(Upgrades!$Q$11,J180)*POWER(Upgrades!$Q$12,K180)*(Parameters!$B$10*Parameters!$B$11+O180*60)</f>
        <v/>
      </c>
      <c r="AG180" s="22">
        <f>IF(E180&gt;=Upgrades!$E$6,"",Upgrades!$C$6*POWER(Upgrades!$D$6,E180))</f>
        <v/>
      </c>
      <c r="AH180" s="22">
        <f>IF(F180&gt;=Upgrades!$E$7,"",Upgrades!$C$7*POWER(Upgrades!$D$7,F180))</f>
        <v/>
      </c>
      <c r="AI180" s="22">
        <f>IF(G180&gt;=Upgrades!$E$8,"",Upgrades!$C$8*POWER(Upgrades!$D$8,G180))</f>
        <v/>
      </c>
      <c r="AJ180" s="22">
        <f>IF(H180&gt;=Upgrades!$E$9,"",Upgrades!$C$9*POWER(Upgrades!$D$9,H180))</f>
        <v/>
      </c>
      <c r="AK180" s="22">
        <f>IF(I180&gt;=Upgrades!$E$10,"",Upgrades!$C$10*POWER(Upgrades!$D$10,I180))</f>
        <v/>
      </c>
      <c r="AL180" s="22">
        <f>IF(J180&gt;=Upgrades!$E$11,"",Upgrades!$C$11*POWER(Upgrades!$D$11,J180))</f>
        <v/>
      </c>
      <c r="AM180" s="22">
        <f>IF(K180&gt;=Upgrades!$E$12,"",Upgrades!$C$12*POWER(Upgrades!$D$12,K180))</f>
        <v/>
      </c>
      <c r="AN180" s="26">
        <f>IF(AND(D180&gt;=Parameters!$B$18,(H180&gt;=Upgrades!$E$9)*(K180&gt;=Upgrades!$E$12)=1,L180=0),1,"")</f>
        <v/>
      </c>
      <c r="AO180" s="26">
        <f>IF(AND(D180&gt;=Parameters!$B$18,L180=0),1,"")</f>
        <v/>
      </c>
      <c r="AP180" s="22">
        <f>MIN(IF(ISNUMBER(AK180),AK180,9E15),IF(ISNUMBER(AL180),AL180,9E15),IF(ISNUMBER(AM180),AM180,9E15))</f>
        <v/>
      </c>
      <c r="AQ180" s="22">
        <f>MIN(IF(ISNUMBER(AG180),AG180,9E15),IF(ISNUMBER(AH180),AH180,9E15),IF(ISNUMBER(AI180),AI180,9E15),IF(ISNUMBER(AJ180),AJ180,9E15))</f>
        <v/>
      </c>
      <c r="AR180" s="29">
        <f>IF(AW180&gt;Parameters!$B$21*(MAX(IF(AND(NOT(AND(AO180=1,AN180&lt;&gt;1)),ISNUMBER(AG180),AG180&lt;=T180),AS180,0),IF(AND(NOT(AND(AO180=1,AN180&lt;&gt;1)),ISNUMBER(AH180),AH180&lt;=T180),AT180,0),IF(AND(NOT(AND(AO180=1,AN180&lt;&gt;1)),ISNUMBER(AI180),AI180&lt;=T180),AU180,0),IF(AND(ISNUMBER(AJ180),AJ180&lt;=T180),AV180,0))),TRUE,FALSE)</f>
        <v/>
      </c>
      <c r="AS180" s="32">
        <f>IFERROR(Upgrades!$H$6*(POWER(Upgrades!$P$6,E180)*POWER(Upgrades!$P$7,F180)*POWER(Upgrades!$P$8,G180)*POWER(Upgrades!$P$9,H180)*POWER(Upgrades!$P$10,I180)*POWER(Upgrades!$P$11,J180)*POWER(Upgrades!$P$12,K180))*(IF(Upgrades!$T$7="Solar Wind",POWER(Upgrades!$U$7,F180),1)*IF(Upgrades!$T$8="Solar Wind",POWER(Upgrades!$U$8,G180),1)*IF(Upgrades!$T$9="Solar Wind",POWER(Upgrades!$U$9,H180),1)*IF(Upgrades!$T$10="Solar Wind",POWER(Upgrades!$U$10,I180),1)*IF(Upgrades!$T$11="Solar Wind",POWER(Upgrades!$U$11,J180),1)*IF(Upgrades!$T$12="Solar Wind",POWER(Upgrades!$U$12,K180),1))/AG180,0)</f>
        <v/>
      </c>
      <c r="AT180" s="32">
        <f>IFERROR(Upgrades!$H$7*(POWER(Upgrades!$P$6,E180)*POWER(Upgrades!$P$7,F180)*POWER(Upgrades!$P$8,G180)*POWER(Upgrades!$P$9,H180)*POWER(Upgrades!$P$10,I180)*POWER(Upgrades!$P$11,J180)*POWER(Upgrades!$P$12,K180))*(IF(Upgrades!$T$6="Asteroid Belt",POWER(Upgrades!$U$6,E180),1)*IF(Upgrades!$T$8="Asteroid Belt",POWER(Upgrades!$U$8,G180),1)*IF(Upgrades!$T$9="Asteroid Belt",POWER(Upgrades!$U$9,H180),1)*IF(Upgrades!$T$10="Asteroid Belt",POWER(Upgrades!$U$10,I180),1)*IF(Upgrades!$T$11="Asteroid Belt",POWER(Upgrades!$U$11,J180),1)*IF(Upgrades!$T$12="Asteroid Belt",POWER(Upgrades!$U$12,K180),1))/AH180,0)</f>
        <v/>
      </c>
      <c r="AU180" s="32">
        <f>IFERROR(Upgrades!$K$8*(POWER(Upgrades!$Q$6,E180)*POWER(Upgrades!$Q$7,F180)*POWER(Upgrades!$Q$8,G180)*POWER(Upgrades!$Q$9,H180)*POWER(Upgrades!$Q$10,I180)*POWER(Upgrades!$Q$11,J180)*POWER(Upgrades!$Q$12,K180))*(IF(Upgrades!$T$6="Stellar Coupling",POWER(Upgrades!$U$6,E180),1)*IF(Upgrades!$T$7="Stellar Coupling",POWER(Upgrades!$U$7,F180),1)*IF(Upgrades!$T$9="Stellar Coupling",POWER(Upgrades!$U$9,H180),1)*IF(Upgrades!$T$10="Stellar Coupling",POWER(Upgrades!$U$10,I180),1)*IF(Upgrades!$T$11="Stellar Coupling",POWER(Upgrades!$U$11,J180),1)*IF(Upgrades!$T$12="Stellar Coupling",POWER(Upgrades!$U$12,K180),1))*Parameters!$B$10*Parameters!$B$11/60/AI180,0)</f>
        <v/>
      </c>
      <c r="AV180" s="32">
        <f>IFERROR(Upgrades!$H$9*(POWER(Upgrades!$P$6,E180)*POWER(Upgrades!$P$7,F180)*POWER(Upgrades!$P$8,G180)*POWER(Upgrades!$P$9,H180)*POWER(Upgrades!$P$10,I180)*POWER(Upgrades!$P$11,J180)*POWER(Upgrades!$P$12,K180))*(IF(Upgrades!$T$6="Magnetosphere",POWER(Upgrades!$U$6,E180),1)*IF(Upgrades!$T$7="Magnetosphere",POWER(Upgrades!$U$7,F180),1)*IF(Upgrades!$T$8="Magnetosphere",POWER(Upgrades!$U$8,G180),1)*IF(Upgrades!$T$10="Magnetosphere",POWER(Upgrades!$U$10,I180),1)*IF(Upgrades!$T$11="Magnetosphere",POWER(Upgrades!$U$11,J180),1)*IF(Upgrades!$T$12="Magnetosphere",POWER(Upgrades!$U$12,K180),1))/AJ180,0)</f>
        <v/>
      </c>
      <c r="AW180" s="32">
        <f>MAX(IF(I180&gt;0,0,IFERROR(0.25*N180/Upgrades!$C$10,0)),IF(J180&gt;0,0,IFERROR(0.5*((IF(G180=0,0,(Upgrades!$J$8+G180*Upgrades!$K$8)*POWER(Upgrades!$L$8,G180)))*(IF(Upgrades!$T$6="Stellar Coupling",POWER(Upgrades!$U$6,E180),1)*IF(Upgrades!$T$7="Stellar Coupling",POWER(Upgrades!$U$7,F180),1)*IF(Upgrades!$T$9="Stellar Coupling",POWER(Upgrades!$U$9,H180),1)*IF(Upgrades!$T$10="Stellar Coupling",POWER(Upgrades!$U$10,I180),1)*IF(Upgrades!$T$11="Stellar Coupling",POWER(Upgrades!$U$11,J180),1)*IF(Upgrades!$T$12="Stellar Coupling",POWER(Upgrades!$U$12,K180),1))*(POWER(Upgrades!$Q$6,E180)*POWER(Upgrades!$Q$7,F180)*POWER(Upgrades!$Q$8,G180)*POWER(Upgrades!$Q$9,H180)*POWER(Upgrades!$Q$10,I180)*POWER(Upgrades!$Q$11,J180)*POWER(Upgrades!$Q$12,K180))*Parameters!$B$10*Parameters!$B$11/60)/Upgrades!$C$11,0)),IF(K180&gt;0,0,IFERROR((1.0*(POWER(Upgrades!$P$6,E180)*POWER(Upgrades!$P$7,F180)*POWER(Upgrades!$P$8,G180)*POWER(Upgrades!$P$9,H180)*POWER(Upgrades!$P$10,I180)*POWER(Upgrades!$P$11,J180)*POWER(Upgrades!$P$12,K180))+0.20*M180*Parameters!$B$10*Parameters!$B$11/60)/Upgrades!$C$12,0)),IF(AND(ISNUMBER(AG180),AG180&gt;T180),AS180,0),IF(AND(ISNUMBER(AH180),AH180&gt;T180),AT180,0),IF(AND(ISNUMBER(AI180),AI180&gt;T180),AU180,0),IF(AND(ISNUMBER(AJ180),AJ180&gt;T180),AV180,0))</f>
        <v/>
      </c>
      <c r="AX180" s="29">
        <f>IF(AN180=1,"transition",IF(MIN(IF(AND(I180=0,ISNUMBER(AK180),AK180&lt;=T180),AK180,9E15),IF(AND(J180=0,ISNUMBER(AL180),AL180&lt;=T180),AL180,9E15),IF(AND(K180=0,ISNUMBER(AM180),AM180&lt;=T180),AM180,9E15))&lt;9E15,IF(AND(AND(I180=0,ISNUMBER(AK180),AK180&lt;=T180),AK180=MIN(IF(AND(I180=0,ISNUMBER(AK180),AK180&lt;=T180),AK180,9E15),IF(AND(J180=0,ISNUMBER(AL180),AL180&lt;=T180),AL180,9E15),IF(AND(K180=0,ISNUMBER(AM180),AM180&lt;=T180),AM180,9E15))),"OR",IF(AND(AND(J180=0,ISNUMBER(AL180),AL180&lt;=T180),AL180=MIN(IF(AND(I180=0,ISNUMBER(AK180),AK180&lt;=T180),AK180,9E15),IF(AND(J180=0,ISNUMBER(AL180),AL180&lt;=T180),AL180,9E15),IF(AND(K180=0,ISNUMBER(AM180),AM180&lt;=T180),AM180,9E15))),"HP","FP")),IF(AR180=TRUE,"",IF(MAX(IF(AND(NOT(AND(AO180=1,AN180&lt;&gt;1)),ISNUMBER(AG180),AG180&lt;=T180),AS180,0),IF(AND(NOT(AND(AO180=1,AN180&lt;&gt;1)),ISNUMBER(AH180),AH180&lt;=T180),AT180,0),IF(AND(NOT(AND(AO180=1,AN180&lt;&gt;1)),ISNUMBER(AI180),AI180&lt;=T180),AU180,0),IF(AND(ISNUMBER(AJ180),AJ180&lt;=T180),AV180,0))&lt;=0,"",IF(AND(IF(AND(NOT(AND(AO180=1,AN180&lt;&gt;1)),ISNUMBER(AG180),AG180&lt;=T180),AS180,0)&gt;0,IF(AND(NOT(AND(AO180=1,AN180&lt;&gt;1)),ISNUMBER(AG180),AG180&lt;=T180),AS180,0)=MAX(IF(AND(NOT(AND(AO180=1,AN180&lt;&gt;1)),ISNUMBER(AG180),AG180&lt;=T180),AS180,0),IF(AND(NOT(AND(AO180=1,AN180&lt;&gt;1)),ISNUMBER(AH180),AH180&lt;=T180),AT180,0),IF(AND(NOT(AND(AO180=1,AN180&lt;&gt;1)),ISNUMBER(AI180),AI180&lt;=T180),AU180,0),IF(AND(ISNUMBER(AJ180),AJ180&lt;=T180),AV180,0))),"SW",IF(AND(IF(AND(NOT(AND(AO180=1,AN180&lt;&gt;1)),ISNUMBER(AH180),AH180&lt;=T180),AT180,0)&gt;0,IF(AND(NOT(AND(AO180=1,AN180&lt;&gt;1)),ISNUMBER(AH180),AH180&lt;=T180),AT180,0)=MAX(IF(AND(NOT(AND(AO180=1,AN180&lt;&gt;1)),ISNUMBER(AG180),AG180&lt;=T180),AS180,0),IF(AND(NOT(AND(AO180=1,AN180&lt;&gt;1)),ISNUMBER(AH180),AH180&lt;=T180),AT180,0),IF(AND(NOT(AND(AO180=1,AN180&lt;&gt;1)),ISNUMBER(AI180),AI180&lt;=T180),AU180,0),IF(AND(ISNUMBER(AJ180),AJ180&lt;=T180),AV180,0))),"AB",IF(AND(IF(AND(NOT(AND(AO180=1,AN180&lt;&gt;1)),ISNUMBER(AI180),AI180&lt;=T180),AU180,0)&gt;0,IF(AND(NOT(AND(AO180=1,AN180&lt;&gt;1)),ISNUMBER(AI180),AI180&lt;=T180),AU180,0)=MAX(IF(AND(NOT(AND(AO180=1,AN180&lt;&gt;1)),ISNUMBER(AG180),AG180&lt;=T180),AS180,0),IF(AND(NOT(AND(AO180=1,AN180&lt;&gt;1)),ISNUMBER(AH180),AH180&lt;=T180),AT180,0),IF(AND(NOT(AND(AO180=1,AN180&lt;&gt;1)),ISNUMBER(AI180),AI180&lt;=T180),AU180,0),IF(AND(ISNUMBER(AJ180),AJ180&lt;=T180),AV180,0))),"SC","Mag")))))))</f>
        <v/>
      </c>
    </row>
    <row r="181">
      <c r="A181" s="26" t="n">
        <v>176</v>
      </c>
      <c r="B181" s="27">
        <f>A181*10/60</f>
        <v/>
      </c>
      <c r="C181" s="22">
        <f>X180</f>
        <v/>
      </c>
      <c r="D181" s="27">
        <f>D180+W180</f>
        <v/>
      </c>
      <c r="E181" s="26">
        <f>E180+IF(U180="SW",1,0)</f>
        <v/>
      </c>
      <c r="F181" s="26">
        <f>F180+IF(U180="AB",1,0)</f>
        <v/>
      </c>
      <c r="G181" s="26">
        <f>G180+IF(U180="SC",1,0)</f>
        <v/>
      </c>
      <c r="H181" s="26">
        <f>H180+IF(U180="Mag",1,0)</f>
        <v/>
      </c>
      <c r="I181" s="26">
        <f>MAX(I180,IF(U180="OR",1,0))</f>
        <v/>
      </c>
      <c r="J181" s="26">
        <f>MAX(J180,IF(U180="HP",1,0))</f>
        <v/>
      </c>
      <c r="K181" s="26">
        <f>MAX(K180,IF(U180="FP",1,0))</f>
        <v/>
      </c>
      <c r="L181" s="26">
        <f>MAX(L180,IF(U180="transition",1,0))</f>
        <v/>
      </c>
      <c r="M181" s="28">
        <f>(Parameters!$B$9+(IF(E181=0,0,(Upgrades!$J$6+E181*Upgrades!$K$6)*POWER(Upgrades!$L$6,E181)))*(IF(Upgrades!$T$7="Solar Wind",POWER(Upgrades!$U$7,F181),1)*IF(Upgrades!$T$8="Solar Wind",POWER(Upgrades!$U$8,G181),1)*IF(Upgrades!$T$9="Solar Wind",POWER(Upgrades!$U$9,H181),1)*IF(Upgrades!$T$10="Solar Wind",POWER(Upgrades!$U$10,I181),1)*IF(Upgrades!$T$11="Solar Wind",POWER(Upgrades!$U$11,J181),1)*IF(Upgrades!$T$12="Solar Wind",POWER(Upgrades!$U$12,K181),1))+(IF(F181=0,0,(Upgrades!$J$7+F181*Upgrades!$K$7)*POWER(Upgrades!$L$7,F181)))*(IF(Upgrades!$T$6="Asteroid Belt",POWER(Upgrades!$U$6,E181),1)*IF(Upgrades!$T$8="Asteroid Belt",POWER(Upgrades!$U$8,G181),1)*IF(Upgrades!$T$9="Asteroid Belt",POWER(Upgrades!$U$9,H181),1)*IF(Upgrades!$T$10="Asteroid Belt",POWER(Upgrades!$U$10,I181),1)*IF(Upgrades!$T$11="Asteroid Belt",POWER(Upgrades!$U$11,J181),1)*IF(Upgrades!$T$12="Asteroid Belt",POWER(Upgrades!$U$12,K181),1))+(IF(G181=0,0,(Upgrades!$J$8+G181*Upgrades!$K$8)*POWER(Upgrades!$L$8,G181)))*(IF(Upgrades!$T$6="Stellar Coupling",POWER(Upgrades!$U$6,E181),1)*IF(Upgrades!$T$7="Stellar Coupling",POWER(Upgrades!$U$7,F181),1)*IF(Upgrades!$T$9="Stellar Coupling",POWER(Upgrades!$U$9,H181),1)*IF(Upgrades!$T$10="Stellar Coupling",POWER(Upgrades!$U$10,I181),1)*IF(Upgrades!$T$11="Stellar Coupling",POWER(Upgrades!$U$11,J181),1)*IF(Upgrades!$T$12="Stellar Coupling",POWER(Upgrades!$U$12,K181),1))+(IF(H181=0,0,(Upgrades!$J$9+H181*Upgrades!$K$9)*POWER(Upgrades!$L$9,H181)))*(IF(Upgrades!$T$6="Magnetosphere",POWER(Upgrades!$U$6,E181),1)*IF(Upgrades!$T$7="Magnetosphere",POWER(Upgrades!$U$7,F181),1)*IF(Upgrades!$T$8="Magnetosphere",POWER(Upgrades!$U$8,G181),1)*IF(Upgrades!$T$10="Magnetosphere",POWER(Upgrades!$U$10,I181),1)*IF(Upgrades!$T$11="Magnetosphere",POWER(Upgrades!$U$11,J181),1)*IF(Upgrades!$T$12="Magnetosphere",POWER(Upgrades!$U$12,K181),1))+(IF(I181=0,0,(Upgrades!$J$10+I181*Upgrades!$K$10)*POWER(Upgrades!$L$10,I181)))*(IF(Upgrades!$T$6="Orbital Resonance",POWER(Upgrades!$U$6,E181),1)*IF(Upgrades!$T$7="Orbital Resonance",POWER(Upgrades!$U$7,F181),1)*IF(Upgrades!$T$8="Orbital Resonance",POWER(Upgrades!$U$8,G181),1)*IF(Upgrades!$T$9="Orbital Resonance",POWER(Upgrades!$U$9,H181),1)*IF(Upgrades!$T$11="Orbital Resonance",POWER(Upgrades!$U$11,J181),1)*IF(Upgrades!$T$12="Orbital Resonance",POWER(Upgrades!$U$12,K181),1))+(IF(J181=0,0,(Upgrades!$J$11+J181*Upgrades!$K$11)*POWER(Upgrades!$L$11,J181)))*(IF(Upgrades!$T$6="Heliopause",POWER(Upgrades!$U$6,E181),1)*IF(Upgrades!$T$7="Heliopause",POWER(Upgrades!$U$7,F181),1)*IF(Upgrades!$T$8="Heliopause",POWER(Upgrades!$U$8,G181),1)*IF(Upgrades!$T$9="Heliopause",POWER(Upgrades!$U$9,H181),1)*IF(Upgrades!$T$10="Heliopause",POWER(Upgrades!$U$10,I181),1)*IF(Upgrades!$T$12="Heliopause",POWER(Upgrades!$U$12,K181),1))+(IF(K181=0,0,(Upgrades!$J$12+K181*Upgrades!$K$12)*POWER(Upgrades!$L$12,K181)))*(IF(Upgrades!$T$6="First Photons",POWER(Upgrades!$U$6,E181),1)*IF(Upgrades!$T$7="First Photons",POWER(Upgrades!$U$7,F181),1)*IF(Upgrades!$T$8="First Photons",POWER(Upgrades!$U$8,G181),1)*IF(Upgrades!$T$9="First Photons",POWER(Upgrades!$U$9,H181),1)*IF(Upgrades!$T$10="First Photons",POWER(Upgrades!$U$10,I181),1)*IF(Upgrades!$T$11="First Photons",POWER(Upgrades!$U$11,J181),1)))*POWER(Upgrades!$Q$6,E181)*POWER(Upgrades!$Q$7,F181)*POWER(Upgrades!$Q$8,G181)*POWER(Upgrades!$Q$9,H181)*POWER(Upgrades!$Q$10,I181)*POWER(Upgrades!$Q$11,J181)*POWER(Upgrades!$Q$12,K181)</f>
        <v/>
      </c>
      <c r="N181" s="28">
        <f>((IF(E181=0,0,(Upgrades!$G$6+E181*Upgrades!$H$6)*POWER(Upgrades!$I$6,E181)))*(IF(Upgrades!$T$7="Solar Wind",POWER(Upgrades!$U$7,F181),1)*IF(Upgrades!$T$8="Solar Wind",POWER(Upgrades!$U$8,G181),1)*IF(Upgrades!$T$9="Solar Wind",POWER(Upgrades!$U$9,H181),1)*IF(Upgrades!$T$10="Solar Wind",POWER(Upgrades!$U$10,I181),1)*IF(Upgrades!$T$11="Solar Wind",POWER(Upgrades!$U$11,J181),1)*IF(Upgrades!$T$12="Solar Wind",POWER(Upgrades!$U$12,K181),1))+(IF(F181=0,0,(Upgrades!$G$7+F181*Upgrades!$H$7)*POWER(Upgrades!$I$7,F181)))*(IF(Upgrades!$T$6="Asteroid Belt",POWER(Upgrades!$U$6,E181),1)*IF(Upgrades!$T$8="Asteroid Belt",POWER(Upgrades!$U$8,G181),1)*IF(Upgrades!$T$9="Asteroid Belt",POWER(Upgrades!$U$9,H181),1)*IF(Upgrades!$T$10="Asteroid Belt",POWER(Upgrades!$U$10,I181),1)*IF(Upgrades!$T$11="Asteroid Belt",POWER(Upgrades!$U$11,J181),1)*IF(Upgrades!$T$12="Asteroid Belt",POWER(Upgrades!$U$12,K181),1))+(IF(G181=0,0,(Upgrades!$G$8+G181*Upgrades!$H$8)*POWER(Upgrades!$I$8,G181)))*(IF(Upgrades!$T$6="Stellar Coupling",POWER(Upgrades!$U$6,E181),1)*IF(Upgrades!$T$7="Stellar Coupling",POWER(Upgrades!$U$7,F181),1)*IF(Upgrades!$T$9="Stellar Coupling",POWER(Upgrades!$U$9,H181),1)*IF(Upgrades!$T$10="Stellar Coupling",POWER(Upgrades!$U$10,I181),1)*IF(Upgrades!$T$11="Stellar Coupling",POWER(Upgrades!$U$11,J181),1)*IF(Upgrades!$T$12="Stellar Coupling",POWER(Upgrades!$U$12,K181),1))+(IF(H181=0,0,(Upgrades!$G$9+H181*Upgrades!$H$9)*POWER(Upgrades!$I$9,H181)))*(IF(Upgrades!$T$6="Magnetosphere",POWER(Upgrades!$U$6,E181),1)*IF(Upgrades!$T$7="Magnetosphere",POWER(Upgrades!$U$7,F181),1)*IF(Upgrades!$T$8="Magnetosphere",POWER(Upgrades!$U$8,G181),1)*IF(Upgrades!$T$10="Magnetosphere",POWER(Upgrades!$U$10,I181),1)*IF(Upgrades!$T$11="Magnetosphere",POWER(Upgrades!$U$11,J181),1)*IF(Upgrades!$T$12="Magnetosphere",POWER(Upgrades!$U$12,K181),1))+(IF(I181=0,0,(Upgrades!$G$10+I181*Upgrades!$H$10)*POWER(Upgrades!$I$10,I181)))*(IF(Upgrades!$T$6="Orbital Resonance",POWER(Upgrades!$U$6,E181),1)*IF(Upgrades!$T$7="Orbital Resonance",POWER(Upgrades!$U$7,F181),1)*IF(Upgrades!$T$8="Orbital Resonance",POWER(Upgrades!$U$8,G181),1)*IF(Upgrades!$T$9="Orbital Resonance",POWER(Upgrades!$U$9,H181),1)*IF(Upgrades!$T$11="Orbital Resonance",POWER(Upgrades!$U$11,J181),1)*IF(Upgrades!$T$12="Orbital Resonance",POWER(Upgrades!$U$12,K181),1))+(IF(J181=0,0,(Upgrades!$G$11+J181*Upgrades!$H$11)*POWER(Upgrades!$I$11,J181)))*(IF(Upgrades!$T$6="Heliopause",POWER(Upgrades!$U$6,E181),1)*IF(Upgrades!$T$7="Heliopause",POWER(Upgrades!$U$7,F181),1)*IF(Upgrades!$T$8="Heliopause",POWER(Upgrades!$U$8,G181),1)*IF(Upgrades!$T$9="Heliopause",POWER(Upgrades!$U$9,H181),1)*IF(Upgrades!$T$10="Heliopause",POWER(Upgrades!$U$10,I181),1)*IF(Upgrades!$T$12="Heliopause",POWER(Upgrades!$U$12,K181),1))+(IF(K181=0,0,(Upgrades!$G$12+K181*Upgrades!$H$12)*POWER(Upgrades!$I$12,K181)))*(IF(Upgrades!$T$6="First Photons",POWER(Upgrades!$U$6,E181),1)*IF(Upgrades!$T$7="First Photons",POWER(Upgrades!$U$7,F181),1)*IF(Upgrades!$T$8="First Photons",POWER(Upgrades!$U$8,G181),1)*IF(Upgrades!$T$9="First Photons",POWER(Upgrades!$U$9,H181),1)*IF(Upgrades!$T$10="First Photons",POWER(Upgrades!$U$10,I181),1)*IF(Upgrades!$T$11="First Photons",POWER(Upgrades!$U$11,J181),1)))*POWER(Upgrades!$P$6,E181)*POWER(Upgrades!$P$7,F181)*POWER(Upgrades!$P$8,G181)*POWER(Upgrades!$P$9,H181)*POWER(Upgrades!$P$10,I181)*POWER(Upgrades!$P$11,J181)*POWER(Upgrades!$P$12,K181)</f>
        <v/>
      </c>
      <c r="O181" s="28">
        <f>((IF(E181=0,0,(Upgrades!$M$6+E181*Upgrades!$N$6)*POWER(Upgrades!$O$6,E181)))*(IF(Upgrades!$T$7="Solar Wind",POWER(Upgrades!$U$7,F181),1)*IF(Upgrades!$T$8="Solar Wind",POWER(Upgrades!$U$8,G181),1)*IF(Upgrades!$T$9="Solar Wind",POWER(Upgrades!$U$9,H181),1)*IF(Upgrades!$T$10="Solar Wind",POWER(Upgrades!$U$10,I181),1)*IF(Upgrades!$T$11="Solar Wind",POWER(Upgrades!$U$11,J181),1)*IF(Upgrades!$T$12="Solar Wind",POWER(Upgrades!$U$12,K181),1))+(IF(F181=0,0,(Upgrades!$M$7+F181*Upgrades!$N$7)*POWER(Upgrades!$O$7,F181)))*(IF(Upgrades!$T$6="Asteroid Belt",POWER(Upgrades!$U$6,E181),1)*IF(Upgrades!$T$8="Asteroid Belt",POWER(Upgrades!$U$8,G181),1)*IF(Upgrades!$T$9="Asteroid Belt",POWER(Upgrades!$U$9,H181),1)*IF(Upgrades!$T$10="Asteroid Belt",POWER(Upgrades!$U$10,I181),1)*IF(Upgrades!$T$11="Asteroid Belt",POWER(Upgrades!$U$11,J181),1)*IF(Upgrades!$T$12="Asteroid Belt",POWER(Upgrades!$U$12,K181),1))+(IF(G181=0,0,(Upgrades!$M$8+G181*Upgrades!$N$8)*POWER(Upgrades!$O$8,G181)))*(IF(Upgrades!$T$6="Stellar Coupling",POWER(Upgrades!$U$6,E181),1)*IF(Upgrades!$T$7="Stellar Coupling",POWER(Upgrades!$U$7,F181),1)*IF(Upgrades!$T$9="Stellar Coupling",POWER(Upgrades!$U$9,H181),1)*IF(Upgrades!$T$10="Stellar Coupling",POWER(Upgrades!$U$10,I181),1)*IF(Upgrades!$T$11="Stellar Coupling",POWER(Upgrades!$U$11,J181),1)*IF(Upgrades!$T$12="Stellar Coupling",POWER(Upgrades!$U$12,K181),1))+(IF(H181=0,0,(Upgrades!$M$9+H181*Upgrades!$N$9)*POWER(Upgrades!$O$9,H181)))*(IF(Upgrades!$T$6="Magnetosphere",POWER(Upgrades!$U$6,E181),1)*IF(Upgrades!$T$7="Magnetosphere",POWER(Upgrades!$U$7,F181),1)*IF(Upgrades!$T$8="Magnetosphere",POWER(Upgrades!$U$8,G181),1)*IF(Upgrades!$T$10="Magnetosphere",POWER(Upgrades!$U$10,I181),1)*IF(Upgrades!$T$11="Magnetosphere",POWER(Upgrades!$U$11,J181),1)*IF(Upgrades!$T$12="Magnetosphere",POWER(Upgrades!$U$12,K181),1))+(IF(I181=0,0,(Upgrades!$M$10+I181*Upgrades!$N$10)*POWER(Upgrades!$O$10,I181)))*(IF(Upgrades!$T$6="Orbital Resonance",POWER(Upgrades!$U$6,E181),1)*IF(Upgrades!$T$7="Orbital Resonance",POWER(Upgrades!$U$7,F181),1)*IF(Upgrades!$T$8="Orbital Resonance",POWER(Upgrades!$U$8,G181),1)*IF(Upgrades!$T$9="Orbital Resonance",POWER(Upgrades!$U$9,H181),1)*IF(Upgrades!$T$11="Orbital Resonance",POWER(Upgrades!$U$11,J181),1)*IF(Upgrades!$T$12="Orbital Resonance",POWER(Upgrades!$U$12,K181),1))+(IF(J181=0,0,(Upgrades!$M$11+J181*Upgrades!$N$11)*POWER(Upgrades!$O$11,J181)))*(IF(Upgrades!$T$6="Heliopause",POWER(Upgrades!$U$6,E181),1)*IF(Upgrades!$T$7="Heliopause",POWER(Upgrades!$U$7,F181),1)*IF(Upgrades!$T$8="Heliopause",POWER(Upgrades!$U$8,G181),1)*IF(Upgrades!$T$9="Heliopause",POWER(Upgrades!$U$9,H181),1)*IF(Upgrades!$T$10="Heliopause",POWER(Upgrades!$U$10,I181),1)*IF(Upgrades!$T$12="Heliopause",POWER(Upgrades!$U$12,K181),1))+(IF(K181=0,0,(Upgrades!$M$12+K181*Upgrades!$N$12)*POWER(Upgrades!$O$12,K181)))*(IF(Upgrades!$T$6="First Photons",POWER(Upgrades!$U$6,E181),1)*IF(Upgrades!$T$7="First Photons",POWER(Upgrades!$U$7,F181),1)*IF(Upgrades!$T$8="First Photons",POWER(Upgrades!$U$8,G181),1)*IF(Upgrades!$T$9="First Photons",POWER(Upgrades!$U$9,H181),1)*IF(Upgrades!$T$10="First Photons",POWER(Upgrades!$U$10,I181),1)*IF(Upgrades!$T$11="First Photons",POWER(Upgrades!$U$11,J181),1)))*POWER(Upgrades!$R$6,E181)*POWER(Upgrades!$R$7,F181)*POWER(Upgrades!$R$8,G181)*POWER(Upgrades!$R$9,H181)*POWER(Upgrades!$R$10,I181)*POWER(Upgrades!$R$11,J181)*POWER(Upgrades!$R$12,K181)</f>
        <v/>
      </c>
      <c r="P181" s="27">
        <f>IF(L181=1,0,M181*Parameters!$B$10/60*Parameters!$B$11*10)</f>
        <v/>
      </c>
      <c r="Q181" s="27">
        <f>IF(L181=1,0,O181*M181*10)</f>
        <v/>
      </c>
      <c r="R181" s="27">
        <f>IF(L181=1,0,N181*10)</f>
        <v/>
      </c>
      <c r="S181" s="27">
        <f>P181+Q181+R181</f>
        <v/>
      </c>
      <c r="T181" s="22">
        <f>C181+S181</f>
        <v/>
      </c>
      <c r="U181" s="33">
        <f>AX181</f>
        <v/>
      </c>
      <c r="V181" s="22">
        <f>IF(U181="",0,IF(U181="transition",0,IF(U181="SW",AG181,IF(U181="AB",AH181,IF(U181="SC",AI181,IF(U181="Mag",AJ181,IF(U181="OR",AK181,IF(U181="HP",AL181,IF(U181="FP",AM181,0)))))))))</f>
        <v/>
      </c>
      <c r="W181" s="27">
        <f>IF(U181="OR",Upgrades!$F$10,IF(U181="HP",Upgrades!$F$11,IF(U181="transition",-Parameters!$B$18,0)))</f>
        <v/>
      </c>
      <c r="X181" s="22">
        <f>T181-V181</f>
        <v/>
      </c>
      <c r="Y181" s="30">
        <f>M181*Parameters!$B$10/60*Parameters!$B$11+O181*M181+N181</f>
        <v/>
      </c>
      <c r="Z181" s="34">
        <f>IF(U181="transition","→ Tier 2 (Stellar Neighborhood)",IF(U181="FP","First Photons — light begins, system quickens",IF(U181="HP","Heliopause acquired",IF(U181="OR","Orbital Resonance — passive multiplier active",IF(AND(AO181=1,L181=0,AN181&lt;&gt;1),"Cohesion ready (waiting on completionist upgrades)","")))))</f>
        <v/>
      </c>
      <c r="AA181" s="27">
        <f>(IF(E181=0,0,(Upgrades!$G$6+E181*Upgrades!$H$6)*POWER(Upgrades!$I$6,E181)))*(IF(Upgrades!$T$7="Solar Wind",POWER(Upgrades!$U$7,F181),1)*IF(Upgrades!$T$8="Solar Wind",POWER(Upgrades!$U$8,G181),1)*IF(Upgrades!$T$9="Solar Wind",POWER(Upgrades!$U$9,H181),1)*IF(Upgrades!$T$10="Solar Wind",POWER(Upgrades!$U$10,I181),1)*IF(Upgrades!$T$11="Solar Wind",POWER(Upgrades!$U$11,J181),1)*IF(Upgrades!$T$12="Solar Wind",POWER(Upgrades!$U$12,K181),1))*POWER(Upgrades!$P$6,E181)*POWER(Upgrades!$P$7,F181)*POWER(Upgrades!$P$8,G181)*POWER(Upgrades!$P$9,H181)*POWER(Upgrades!$P$10,I181)*POWER(Upgrades!$P$11,J181)*POWER(Upgrades!$P$12,K181)*60</f>
        <v/>
      </c>
      <c r="AB181" s="27">
        <f>(IF(F181=0,0,(Upgrades!$G$7+F181*Upgrades!$H$7)*POWER(Upgrades!$I$7,F181)))*(IF(Upgrades!$T$6="Asteroid Belt",POWER(Upgrades!$U$6,E181),1)*IF(Upgrades!$T$8="Asteroid Belt",POWER(Upgrades!$U$8,G181),1)*IF(Upgrades!$T$9="Asteroid Belt",POWER(Upgrades!$U$9,H181),1)*IF(Upgrades!$T$10="Asteroid Belt",POWER(Upgrades!$U$10,I181),1)*IF(Upgrades!$T$11="Asteroid Belt",POWER(Upgrades!$U$11,J181),1)*IF(Upgrades!$T$12="Asteroid Belt",POWER(Upgrades!$U$12,K181),1))*POWER(Upgrades!$P$6,E181)*POWER(Upgrades!$P$7,F181)*POWER(Upgrades!$P$8,G181)*POWER(Upgrades!$P$9,H181)*POWER(Upgrades!$P$10,I181)*POWER(Upgrades!$P$11,J181)*POWER(Upgrades!$P$12,K181)*60</f>
        <v/>
      </c>
      <c r="AC181" s="27">
        <f>(IF(G181=0,0,(Upgrades!$J$8+G181*Upgrades!$K$8)*POWER(Upgrades!$L$8,G181)))*(IF(Upgrades!$T$6="Stellar Coupling",POWER(Upgrades!$U$6,E181),1)*IF(Upgrades!$T$7="Stellar Coupling",POWER(Upgrades!$U$7,F181),1)*IF(Upgrades!$T$9="Stellar Coupling",POWER(Upgrades!$U$9,H181),1)*IF(Upgrades!$T$10="Stellar Coupling",POWER(Upgrades!$U$10,I181),1)*IF(Upgrades!$T$11="Stellar Coupling",POWER(Upgrades!$U$11,J181),1)*IF(Upgrades!$T$12="Stellar Coupling",POWER(Upgrades!$U$12,K181),1))*POWER(Upgrades!$Q$6,E181)*POWER(Upgrades!$Q$7,F181)*POWER(Upgrades!$Q$8,G181)*POWER(Upgrades!$Q$9,H181)*POWER(Upgrades!$Q$10,I181)*POWER(Upgrades!$Q$11,J181)*POWER(Upgrades!$Q$12,K181)*Parameters!$B$10*Parameters!$B$11</f>
        <v/>
      </c>
      <c r="AD181" s="27">
        <f>(IF(H181=0,0,(Upgrades!$G$9+H181*Upgrades!$H$9)*POWER(Upgrades!$I$9,H181)))*(IF(Upgrades!$T$6="Magnetosphere",POWER(Upgrades!$U$6,E181),1)*IF(Upgrades!$T$7="Magnetosphere",POWER(Upgrades!$U$7,F181),1)*IF(Upgrades!$T$8="Magnetosphere",POWER(Upgrades!$U$8,G181),1)*IF(Upgrades!$T$10="Magnetosphere",POWER(Upgrades!$U$10,I181),1)*IF(Upgrades!$T$11="Magnetosphere",POWER(Upgrades!$U$11,J181),1)*IF(Upgrades!$T$12="Magnetosphere",POWER(Upgrades!$U$12,K181),1))*POWER(Upgrades!$P$6,E181)*POWER(Upgrades!$P$7,F181)*POWER(Upgrades!$P$8,G181)*POWER(Upgrades!$P$9,H181)*POWER(Upgrades!$P$10,I181)*POWER(Upgrades!$P$11,J181)*POWER(Upgrades!$P$12,K181)*60</f>
        <v/>
      </c>
      <c r="AE181" s="27">
        <f>(IF(K181=0,0,(Upgrades!$G$12+K181*Upgrades!$H$12)*POWER(Upgrades!$I$12,K181)))*(IF(Upgrades!$T$6="First Photons",POWER(Upgrades!$U$6,E181),1)*IF(Upgrades!$T$7="First Photons",POWER(Upgrades!$U$7,F181),1)*IF(Upgrades!$T$8="First Photons",POWER(Upgrades!$U$8,G181),1)*IF(Upgrades!$T$9="First Photons",POWER(Upgrades!$U$9,H181),1)*IF(Upgrades!$T$10="First Photons",POWER(Upgrades!$U$10,I181),1)*IF(Upgrades!$T$11="First Photons",POWER(Upgrades!$U$11,J181),1))*POWER(Upgrades!$P$6,E181)*POWER(Upgrades!$P$7,F181)*POWER(Upgrades!$P$8,G181)*POWER(Upgrades!$P$9,H181)*POWER(Upgrades!$P$10,I181)*POWER(Upgrades!$P$11,J181)*POWER(Upgrades!$P$12,K181)*60</f>
        <v/>
      </c>
      <c r="AF181" s="27">
        <f>Parameters!$B$9*POWER(Upgrades!$Q$6,E181)*POWER(Upgrades!$Q$7,F181)*POWER(Upgrades!$Q$8,G181)*POWER(Upgrades!$Q$9,H181)*POWER(Upgrades!$Q$10,I181)*POWER(Upgrades!$Q$11,J181)*POWER(Upgrades!$Q$12,K181)*(Parameters!$B$10*Parameters!$B$11+O181*60)</f>
        <v/>
      </c>
      <c r="AG181" s="22">
        <f>IF(E181&gt;=Upgrades!$E$6,"",Upgrades!$C$6*POWER(Upgrades!$D$6,E181))</f>
        <v/>
      </c>
      <c r="AH181" s="22">
        <f>IF(F181&gt;=Upgrades!$E$7,"",Upgrades!$C$7*POWER(Upgrades!$D$7,F181))</f>
        <v/>
      </c>
      <c r="AI181" s="22">
        <f>IF(G181&gt;=Upgrades!$E$8,"",Upgrades!$C$8*POWER(Upgrades!$D$8,G181))</f>
        <v/>
      </c>
      <c r="AJ181" s="22">
        <f>IF(H181&gt;=Upgrades!$E$9,"",Upgrades!$C$9*POWER(Upgrades!$D$9,H181))</f>
        <v/>
      </c>
      <c r="AK181" s="22">
        <f>IF(I181&gt;=Upgrades!$E$10,"",Upgrades!$C$10*POWER(Upgrades!$D$10,I181))</f>
        <v/>
      </c>
      <c r="AL181" s="22">
        <f>IF(J181&gt;=Upgrades!$E$11,"",Upgrades!$C$11*POWER(Upgrades!$D$11,J181))</f>
        <v/>
      </c>
      <c r="AM181" s="22">
        <f>IF(K181&gt;=Upgrades!$E$12,"",Upgrades!$C$12*POWER(Upgrades!$D$12,K181))</f>
        <v/>
      </c>
      <c r="AN181" s="26">
        <f>IF(AND(D181&gt;=Parameters!$B$18,(H181&gt;=Upgrades!$E$9)*(K181&gt;=Upgrades!$E$12)=1,L181=0),1,"")</f>
        <v/>
      </c>
      <c r="AO181" s="26">
        <f>IF(AND(D181&gt;=Parameters!$B$18,L181=0),1,"")</f>
        <v/>
      </c>
      <c r="AP181" s="22">
        <f>MIN(IF(ISNUMBER(AK181),AK181,9E15),IF(ISNUMBER(AL181),AL181,9E15),IF(ISNUMBER(AM181),AM181,9E15))</f>
        <v/>
      </c>
      <c r="AQ181" s="22">
        <f>MIN(IF(ISNUMBER(AG181),AG181,9E15),IF(ISNUMBER(AH181),AH181,9E15),IF(ISNUMBER(AI181),AI181,9E15),IF(ISNUMBER(AJ181),AJ181,9E15))</f>
        <v/>
      </c>
      <c r="AR181" s="29">
        <f>IF(AW181&gt;Parameters!$B$21*(MAX(IF(AND(NOT(AND(AO181=1,AN181&lt;&gt;1)),ISNUMBER(AG181),AG181&lt;=T181),AS181,0),IF(AND(NOT(AND(AO181=1,AN181&lt;&gt;1)),ISNUMBER(AH181),AH181&lt;=T181),AT181,0),IF(AND(NOT(AND(AO181=1,AN181&lt;&gt;1)),ISNUMBER(AI181),AI181&lt;=T181),AU181,0),IF(AND(ISNUMBER(AJ181),AJ181&lt;=T181),AV181,0))),TRUE,FALSE)</f>
        <v/>
      </c>
      <c r="AS181" s="32">
        <f>IFERROR(Upgrades!$H$6*(POWER(Upgrades!$P$6,E181)*POWER(Upgrades!$P$7,F181)*POWER(Upgrades!$P$8,G181)*POWER(Upgrades!$P$9,H181)*POWER(Upgrades!$P$10,I181)*POWER(Upgrades!$P$11,J181)*POWER(Upgrades!$P$12,K181))*(IF(Upgrades!$T$7="Solar Wind",POWER(Upgrades!$U$7,F181),1)*IF(Upgrades!$T$8="Solar Wind",POWER(Upgrades!$U$8,G181),1)*IF(Upgrades!$T$9="Solar Wind",POWER(Upgrades!$U$9,H181),1)*IF(Upgrades!$T$10="Solar Wind",POWER(Upgrades!$U$10,I181),1)*IF(Upgrades!$T$11="Solar Wind",POWER(Upgrades!$U$11,J181),1)*IF(Upgrades!$T$12="Solar Wind",POWER(Upgrades!$U$12,K181),1))/AG181,0)</f>
        <v/>
      </c>
      <c r="AT181" s="32">
        <f>IFERROR(Upgrades!$H$7*(POWER(Upgrades!$P$6,E181)*POWER(Upgrades!$P$7,F181)*POWER(Upgrades!$P$8,G181)*POWER(Upgrades!$P$9,H181)*POWER(Upgrades!$P$10,I181)*POWER(Upgrades!$P$11,J181)*POWER(Upgrades!$P$12,K181))*(IF(Upgrades!$T$6="Asteroid Belt",POWER(Upgrades!$U$6,E181),1)*IF(Upgrades!$T$8="Asteroid Belt",POWER(Upgrades!$U$8,G181),1)*IF(Upgrades!$T$9="Asteroid Belt",POWER(Upgrades!$U$9,H181),1)*IF(Upgrades!$T$10="Asteroid Belt",POWER(Upgrades!$U$10,I181),1)*IF(Upgrades!$T$11="Asteroid Belt",POWER(Upgrades!$U$11,J181),1)*IF(Upgrades!$T$12="Asteroid Belt",POWER(Upgrades!$U$12,K181),1))/AH181,0)</f>
        <v/>
      </c>
      <c r="AU181" s="32">
        <f>IFERROR(Upgrades!$K$8*(POWER(Upgrades!$Q$6,E181)*POWER(Upgrades!$Q$7,F181)*POWER(Upgrades!$Q$8,G181)*POWER(Upgrades!$Q$9,H181)*POWER(Upgrades!$Q$10,I181)*POWER(Upgrades!$Q$11,J181)*POWER(Upgrades!$Q$12,K181))*(IF(Upgrades!$T$6="Stellar Coupling",POWER(Upgrades!$U$6,E181),1)*IF(Upgrades!$T$7="Stellar Coupling",POWER(Upgrades!$U$7,F181),1)*IF(Upgrades!$T$9="Stellar Coupling",POWER(Upgrades!$U$9,H181),1)*IF(Upgrades!$T$10="Stellar Coupling",POWER(Upgrades!$U$10,I181),1)*IF(Upgrades!$T$11="Stellar Coupling",POWER(Upgrades!$U$11,J181),1)*IF(Upgrades!$T$12="Stellar Coupling",POWER(Upgrades!$U$12,K181),1))*Parameters!$B$10*Parameters!$B$11/60/AI181,0)</f>
        <v/>
      </c>
      <c r="AV181" s="32">
        <f>IFERROR(Upgrades!$H$9*(POWER(Upgrades!$P$6,E181)*POWER(Upgrades!$P$7,F181)*POWER(Upgrades!$P$8,G181)*POWER(Upgrades!$P$9,H181)*POWER(Upgrades!$P$10,I181)*POWER(Upgrades!$P$11,J181)*POWER(Upgrades!$P$12,K181))*(IF(Upgrades!$T$6="Magnetosphere",POWER(Upgrades!$U$6,E181),1)*IF(Upgrades!$T$7="Magnetosphere",POWER(Upgrades!$U$7,F181),1)*IF(Upgrades!$T$8="Magnetosphere",POWER(Upgrades!$U$8,G181),1)*IF(Upgrades!$T$10="Magnetosphere",POWER(Upgrades!$U$10,I181),1)*IF(Upgrades!$T$11="Magnetosphere",POWER(Upgrades!$U$11,J181),1)*IF(Upgrades!$T$12="Magnetosphere",POWER(Upgrades!$U$12,K181),1))/AJ181,0)</f>
        <v/>
      </c>
      <c r="AW181" s="32">
        <f>MAX(IF(I181&gt;0,0,IFERROR(0.25*N181/Upgrades!$C$10,0)),IF(J181&gt;0,0,IFERROR(0.5*((IF(G181=0,0,(Upgrades!$J$8+G181*Upgrades!$K$8)*POWER(Upgrades!$L$8,G181)))*(IF(Upgrades!$T$6="Stellar Coupling",POWER(Upgrades!$U$6,E181),1)*IF(Upgrades!$T$7="Stellar Coupling",POWER(Upgrades!$U$7,F181),1)*IF(Upgrades!$T$9="Stellar Coupling",POWER(Upgrades!$U$9,H181),1)*IF(Upgrades!$T$10="Stellar Coupling",POWER(Upgrades!$U$10,I181),1)*IF(Upgrades!$T$11="Stellar Coupling",POWER(Upgrades!$U$11,J181),1)*IF(Upgrades!$T$12="Stellar Coupling",POWER(Upgrades!$U$12,K181),1))*(POWER(Upgrades!$Q$6,E181)*POWER(Upgrades!$Q$7,F181)*POWER(Upgrades!$Q$8,G181)*POWER(Upgrades!$Q$9,H181)*POWER(Upgrades!$Q$10,I181)*POWER(Upgrades!$Q$11,J181)*POWER(Upgrades!$Q$12,K181))*Parameters!$B$10*Parameters!$B$11/60)/Upgrades!$C$11,0)),IF(K181&gt;0,0,IFERROR((1.0*(POWER(Upgrades!$P$6,E181)*POWER(Upgrades!$P$7,F181)*POWER(Upgrades!$P$8,G181)*POWER(Upgrades!$P$9,H181)*POWER(Upgrades!$P$10,I181)*POWER(Upgrades!$P$11,J181)*POWER(Upgrades!$P$12,K181))+0.20*M181*Parameters!$B$10*Parameters!$B$11/60)/Upgrades!$C$12,0)),IF(AND(ISNUMBER(AG181),AG181&gt;T181),AS181,0),IF(AND(ISNUMBER(AH181),AH181&gt;T181),AT181,0),IF(AND(ISNUMBER(AI181),AI181&gt;T181),AU181,0),IF(AND(ISNUMBER(AJ181),AJ181&gt;T181),AV181,0))</f>
        <v/>
      </c>
      <c r="AX181" s="29">
        <f>IF(AN181=1,"transition",IF(MIN(IF(AND(I181=0,ISNUMBER(AK181),AK181&lt;=T181),AK181,9E15),IF(AND(J181=0,ISNUMBER(AL181),AL181&lt;=T181),AL181,9E15),IF(AND(K181=0,ISNUMBER(AM181),AM181&lt;=T181),AM181,9E15))&lt;9E15,IF(AND(AND(I181=0,ISNUMBER(AK181),AK181&lt;=T181),AK181=MIN(IF(AND(I181=0,ISNUMBER(AK181),AK181&lt;=T181),AK181,9E15),IF(AND(J181=0,ISNUMBER(AL181),AL181&lt;=T181),AL181,9E15),IF(AND(K181=0,ISNUMBER(AM181),AM181&lt;=T181),AM181,9E15))),"OR",IF(AND(AND(J181=0,ISNUMBER(AL181),AL181&lt;=T181),AL181=MIN(IF(AND(I181=0,ISNUMBER(AK181),AK181&lt;=T181),AK181,9E15),IF(AND(J181=0,ISNUMBER(AL181),AL181&lt;=T181),AL181,9E15),IF(AND(K181=0,ISNUMBER(AM181),AM181&lt;=T181),AM181,9E15))),"HP","FP")),IF(AR181=TRUE,"",IF(MAX(IF(AND(NOT(AND(AO181=1,AN181&lt;&gt;1)),ISNUMBER(AG181),AG181&lt;=T181),AS181,0),IF(AND(NOT(AND(AO181=1,AN181&lt;&gt;1)),ISNUMBER(AH181),AH181&lt;=T181),AT181,0),IF(AND(NOT(AND(AO181=1,AN181&lt;&gt;1)),ISNUMBER(AI181),AI181&lt;=T181),AU181,0),IF(AND(ISNUMBER(AJ181),AJ181&lt;=T181),AV181,0))&lt;=0,"",IF(AND(IF(AND(NOT(AND(AO181=1,AN181&lt;&gt;1)),ISNUMBER(AG181),AG181&lt;=T181),AS181,0)&gt;0,IF(AND(NOT(AND(AO181=1,AN181&lt;&gt;1)),ISNUMBER(AG181),AG181&lt;=T181),AS181,0)=MAX(IF(AND(NOT(AND(AO181=1,AN181&lt;&gt;1)),ISNUMBER(AG181),AG181&lt;=T181),AS181,0),IF(AND(NOT(AND(AO181=1,AN181&lt;&gt;1)),ISNUMBER(AH181),AH181&lt;=T181),AT181,0),IF(AND(NOT(AND(AO181=1,AN181&lt;&gt;1)),ISNUMBER(AI181),AI181&lt;=T181),AU181,0),IF(AND(ISNUMBER(AJ181),AJ181&lt;=T181),AV181,0))),"SW",IF(AND(IF(AND(NOT(AND(AO181=1,AN181&lt;&gt;1)),ISNUMBER(AH181),AH181&lt;=T181),AT181,0)&gt;0,IF(AND(NOT(AND(AO181=1,AN181&lt;&gt;1)),ISNUMBER(AH181),AH181&lt;=T181),AT181,0)=MAX(IF(AND(NOT(AND(AO181=1,AN181&lt;&gt;1)),ISNUMBER(AG181),AG181&lt;=T181),AS181,0),IF(AND(NOT(AND(AO181=1,AN181&lt;&gt;1)),ISNUMBER(AH181),AH181&lt;=T181),AT181,0),IF(AND(NOT(AND(AO181=1,AN181&lt;&gt;1)),ISNUMBER(AI181),AI181&lt;=T181),AU181,0),IF(AND(ISNUMBER(AJ181),AJ181&lt;=T181),AV181,0))),"AB",IF(AND(IF(AND(NOT(AND(AO181=1,AN181&lt;&gt;1)),ISNUMBER(AI181),AI181&lt;=T181),AU181,0)&gt;0,IF(AND(NOT(AND(AO181=1,AN181&lt;&gt;1)),ISNUMBER(AI181),AI181&lt;=T181),AU181,0)=MAX(IF(AND(NOT(AND(AO181=1,AN181&lt;&gt;1)),ISNUMBER(AG181),AG181&lt;=T181),AS181,0),IF(AND(NOT(AND(AO181=1,AN181&lt;&gt;1)),ISNUMBER(AH181),AH181&lt;=T181),AT181,0),IF(AND(NOT(AND(AO181=1,AN181&lt;&gt;1)),ISNUMBER(AI181),AI181&lt;=T181),AU181,0),IF(AND(ISNUMBER(AJ181),AJ181&lt;=T181),AV181,0))),"SC","Mag")))))))</f>
        <v/>
      </c>
    </row>
    <row r="182">
      <c r="A182" s="26" t="n">
        <v>177</v>
      </c>
      <c r="B182" s="27">
        <f>A182*10/60</f>
        <v/>
      </c>
      <c r="C182" s="22">
        <f>X181</f>
        <v/>
      </c>
      <c r="D182" s="27">
        <f>D181+W181</f>
        <v/>
      </c>
      <c r="E182" s="26">
        <f>E181+IF(U181="SW",1,0)</f>
        <v/>
      </c>
      <c r="F182" s="26">
        <f>F181+IF(U181="AB",1,0)</f>
        <v/>
      </c>
      <c r="G182" s="26">
        <f>G181+IF(U181="SC",1,0)</f>
        <v/>
      </c>
      <c r="H182" s="26">
        <f>H181+IF(U181="Mag",1,0)</f>
        <v/>
      </c>
      <c r="I182" s="26">
        <f>MAX(I181,IF(U181="OR",1,0))</f>
        <v/>
      </c>
      <c r="J182" s="26">
        <f>MAX(J181,IF(U181="HP",1,0))</f>
        <v/>
      </c>
      <c r="K182" s="26">
        <f>MAX(K181,IF(U181="FP",1,0))</f>
        <v/>
      </c>
      <c r="L182" s="26">
        <f>MAX(L181,IF(U181="transition",1,0))</f>
        <v/>
      </c>
      <c r="M182" s="28">
        <f>(Parameters!$B$9+(IF(E182=0,0,(Upgrades!$J$6+E182*Upgrades!$K$6)*POWER(Upgrades!$L$6,E182)))*(IF(Upgrades!$T$7="Solar Wind",POWER(Upgrades!$U$7,F182),1)*IF(Upgrades!$T$8="Solar Wind",POWER(Upgrades!$U$8,G182),1)*IF(Upgrades!$T$9="Solar Wind",POWER(Upgrades!$U$9,H182),1)*IF(Upgrades!$T$10="Solar Wind",POWER(Upgrades!$U$10,I182),1)*IF(Upgrades!$T$11="Solar Wind",POWER(Upgrades!$U$11,J182),1)*IF(Upgrades!$T$12="Solar Wind",POWER(Upgrades!$U$12,K182),1))+(IF(F182=0,0,(Upgrades!$J$7+F182*Upgrades!$K$7)*POWER(Upgrades!$L$7,F182)))*(IF(Upgrades!$T$6="Asteroid Belt",POWER(Upgrades!$U$6,E182),1)*IF(Upgrades!$T$8="Asteroid Belt",POWER(Upgrades!$U$8,G182),1)*IF(Upgrades!$T$9="Asteroid Belt",POWER(Upgrades!$U$9,H182),1)*IF(Upgrades!$T$10="Asteroid Belt",POWER(Upgrades!$U$10,I182),1)*IF(Upgrades!$T$11="Asteroid Belt",POWER(Upgrades!$U$11,J182),1)*IF(Upgrades!$T$12="Asteroid Belt",POWER(Upgrades!$U$12,K182),1))+(IF(G182=0,0,(Upgrades!$J$8+G182*Upgrades!$K$8)*POWER(Upgrades!$L$8,G182)))*(IF(Upgrades!$T$6="Stellar Coupling",POWER(Upgrades!$U$6,E182),1)*IF(Upgrades!$T$7="Stellar Coupling",POWER(Upgrades!$U$7,F182),1)*IF(Upgrades!$T$9="Stellar Coupling",POWER(Upgrades!$U$9,H182),1)*IF(Upgrades!$T$10="Stellar Coupling",POWER(Upgrades!$U$10,I182),1)*IF(Upgrades!$T$11="Stellar Coupling",POWER(Upgrades!$U$11,J182),1)*IF(Upgrades!$T$12="Stellar Coupling",POWER(Upgrades!$U$12,K182),1))+(IF(H182=0,0,(Upgrades!$J$9+H182*Upgrades!$K$9)*POWER(Upgrades!$L$9,H182)))*(IF(Upgrades!$T$6="Magnetosphere",POWER(Upgrades!$U$6,E182),1)*IF(Upgrades!$T$7="Magnetosphere",POWER(Upgrades!$U$7,F182),1)*IF(Upgrades!$T$8="Magnetosphere",POWER(Upgrades!$U$8,G182),1)*IF(Upgrades!$T$10="Magnetosphere",POWER(Upgrades!$U$10,I182),1)*IF(Upgrades!$T$11="Magnetosphere",POWER(Upgrades!$U$11,J182),1)*IF(Upgrades!$T$12="Magnetosphere",POWER(Upgrades!$U$12,K182),1))+(IF(I182=0,0,(Upgrades!$J$10+I182*Upgrades!$K$10)*POWER(Upgrades!$L$10,I182)))*(IF(Upgrades!$T$6="Orbital Resonance",POWER(Upgrades!$U$6,E182),1)*IF(Upgrades!$T$7="Orbital Resonance",POWER(Upgrades!$U$7,F182),1)*IF(Upgrades!$T$8="Orbital Resonance",POWER(Upgrades!$U$8,G182),1)*IF(Upgrades!$T$9="Orbital Resonance",POWER(Upgrades!$U$9,H182),1)*IF(Upgrades!$T$11="Orbital Resonance",POWER(Upgrades!$U$11,J182),1)*IF(Upgrades!$T$12="Orbital Resonance",POWER(Upgrades!$U$12,K182),1))+(IF(J182=0,0,(Upgrades!$J$11+J182*Upgrades!$K$11)*POWER(Upgrades!$L$11,J182)))*(IF(Upgrades!$T$6="Heliopause",POWER(Upgrades!$U$6,E182),1)*IF(Upgrades!$T$7="Heliopause",POWER(Upgrades!$U$7,F182),1)*IF(Upgrades!$T$8="Heliopause",POWER(Upgrades!$U$8,G182),1)*IF(Upgrades!$T$9="Heliopause",POWER(Upgrades!$U$9,H182),1)*IF(Upgrades!$T$10="Heliopause",POWER(Upgrades!$U$10,I182),1)*IF(Upgrades!$T$12="Heliopause",POWER(Upgrades!$U$12,K182),1))+(IF(K182=0,0,(Upgrades!$J$12+K182*Upgrades!$K$12)*POWER(Upgrades!$L$12,K182)))*(IF(Upgrades!$T$6="First Photons",POWER(Upgrades!$U$6,E182),1)*IF(Upgrades!$T$7="First Photons",POWER(Upgrades!$U$7,F182),1)*IF(Upgrades!$T$8="First Photons",POWER(Upgrades!$U$8,G182),1)*IF(Upgrades!$T$9="First Photons",POWER(Upgrades!$U$9,H182),1)*IF(Upgrades!$T$10="First Photons",POWER(Upgrades!$U$10,I182),1)*IF(Upgrades!$T$11="First Photons",POWER(Upgrades!$U$11,J182),1)))*POWER(Upgrades!$Q$6,E182)*POWER(Upgrades!$Q$7,F182)*POWER(Upgrades!$Q$8,G182)*POWER(Upgrades!$Q$9,H182)*POWER(Upgrades!$Q$10,I182)*POWER(Upgrades!$Q$11,J182)*POWER(Upgrades!$Q$12,K182)</f>
        <v/>
      </c>
      <c r="N182" s="28">
        <f>((IF(E182=0,0,(Upgrades!$G$6+E182*Upgrades!$H$6)*POWER(Upgrades!$I$6,E182)))*(IF(Upgrades!$T$7="Solar Wind",POWER(Upgrades!$U$7,F182),1)*IF(Upgrades!$T$8="Solar Wind",POWER(Upgrades!$U$8,G182),1)*IF(Upgrades!$T$9="Solar Wind",POWER(Upgrades!$U$9,H182),1)*IF(Upgrades!$T$10="Solar Wind",POWER(Upgrades!$U$10,I182),1)*IF(Upgrades!$T$11="Solar Wind",POWER(Upgrades!$U$11,J182),1)*IF(Upgrades!$T$12="Solar Wind",POWER(Upgrades!$U$12,K182),1))+(IF(F182=0,0,(Upgrades!$G$7+F182*Upgrades!$H$7)*POWER(Upgrades!$I$7,F182)))*(IF(Upgrades!$T$6="Asteroid Belt",POWER(Upgrades!$U$6,E182),1)*IF(Upgrades!$T$8="Asteroid Belt",POWER(Upgrades!$U$8,G182),1)*IF(Upgrades!$T$9="Asteroid Belt",POWER(Upgrades!$U$9,H182),1)*IF(Upgrades!$T$10="Asteroid Belt",POWER(Upgrades!$U$10,I182),1)*IF(Upgrades!$T$11="Asteroid Belt",POWER(Upgrades!$U$11,J182),1)*IF(Upgrades!$T$12="Asteroid Belt",POWER(Upgrades!$U$12,K182),1))+(IF(G182=0,0,(Upgrades!$G$8+G182*Upgrades!$H$8)*POWER(Upgrades!$I$8,G182)))*(IF(Upgrades!$T$6="Stellar Coupling",POWER(Upgrades!$U$6,E182),1)*IF(Upgrades!$T$7="Stellar Coupling",POWER(Upgrades!$U$7,F182),1)*IF(Upgrades!$T$9="Stellar Coupling",POWER(Upgrades!$U$9,H182),1)*IF(Upgrades!$T$10="Stellar Coupling",POWER(Upgrades!$U$10,I182),1)*IF(Upgrades!$T$11="Stellar Coupling",POWER(Upgrades!$U$11,J182),1)*IF(Upgrades!$T$12="Stellar Coupling",POWER(Upgrades!$U$12,K182),1))+(IF(H182=0,0,(Upgrades!$G$9+H182*Upgrades!$H$9)*POWER(Upgrades!$I$9,H182)))*(IF(Upgrades!$T$6="Magnetosphere",POWER(Upgrades!$U$6,E182),1)*IF(Upgrades!$T$7="Magnetosphere",POWER(Upgrades!$U$7,F182),1)*IF(Upgrades!$T$8="Magnetosphere",POWER(Upgrades!$U$8,G182),1)*IF(Upgrades!$T$10="Magnetosphere",POWER(Upgrades!$U$10,I182),1)*IF(Upgrades!$T$11="Magnetosphere",POWER(Upgrades!$U$11,J182),1)*IF(Upgrades!$T$12="Magnetosphere",POWER(Upgrades!$U$12,K182),1))+(IF(I182=0,0,(Upgrades!$G$10+I182*Upgrades!$H$10)*POWER(Upgrades!$I$10,I182)))*(IF(Upgrades!$T$6="Orbital Resonance",POWER(Upgrades!$U$6,E182),1)*IF(Upgrades!$T$7="Orbital Resonance",POWER(Upgrades!$U$7,F182),1)*IF(Upgrades!$T$8="Orbital Resonance",POWER(Upgrades!$U$8,G182),1)*IF(Upgrades!$T$9="Orbital Resonance",POWER(Upgrades!$U$9,H182),1)*IF(Upgrades!$T$11="Orbital Resonance",POWER(Upgrades!$U$11,J182),1)*IF(Upgrades!$T$12="Orbital Resonance",POWER(Upgrades!$U$12,K182),1))+(IF(J182=0,0,(Upgrades!$G$11+J182*Upgrades!$H$11)*POWER(Upgrades!$I$11,J182)))*(IF(Upgrades!$T$6="Heliopause",POWER(Upgrades!$U$6,E182),1)*IF(Upgrades!$T$7="Heliopause",POWER(Upgrades!$U$7,F182),1)*IF(Upgrades!$T$8="Heliopause",POWER(Upgrades!$U$8,G182),1)*IF(Upgrades!$T$9="Heliopause",POWER(Upgrades!$U$9,H182),1)*IF(Upgrades!$T$10="Heliopause",POWER(Upgrades!$U$10,I182),1)*IF(Upgrades!$T$12="Heliopause",POWER(Upgrades!$U$12,K182),1))+(IF(K182=0,0,(Upgrades!$G$12+K182*Upgrades!$H$12)*POWER(Upgrades!$I$12,K182)))*(IF(Upgrades!$T$6="First Photons",POWER(Upgrades!$U$6,E182),1)*IF(Upgrades!$T$7="First Photons",POWER(Upgrades!$U$7,F182),1)*IF(Upgrades!$T$8="First Photons",POWER(Upgrades!$U$8,G182),1)*IF(Upgrades!$T$9="First Photons",POWER(Upgrades!$U$9,H182),1)*IF(Upgrades!$T$10="First Photons",POWER(Upgrades!$U$10,I182),1)*IF(Upgrades!$T$11="First Photons",POWER(Upgrades!$U$11,J182),1)))*POWER(Upgrades!$P$6,E182)*POWER(Upgrades!$P$7,F182)*POWER(Upgrades!$P$8,G182)*POWER(Upgrades!$P$9,H182)*POWER(Upgrades!$P$10,I182)*POWER(Upgrades!$P$11,J182)*POWER(Upgrades!$P$12,K182)</f>
        <v/>
      </c>
      <c r="O182" s="28">
        <f>((IF(E182=0,0,(Upgrades!$M$6+E182*Upgrades!$N$6)*POWER(Upgrades!$O$6,E182)))*(IF(Upgrades!$T$7="Solar Wind",POWER(Upgrades!$U$7,F182),1)*IF(Upgrades!$T$8="Solar Wind",POWER(Upgrades!$U$8,G182),1)*IF(Upgrades!$T$9="Solar Wind",POWER(Upgrades!$U$9,H182),1)*IF(Upgrades!$T$10="Solar Wind",POWER(Upgrades!$U$10,I182),1)*IF(Upgrades!$T$11="Solar Wind",POWER(Upgrades!$U$11,J182),1)*IF(Upgrades!$T$12="Solar Wind",POWER(Upgrades!$U$12,K182),1))+(IF(F182=0,0,(Upgrades!$M$7+F182*Upgrades!$N$7)*POWER(Upgrades!$O$7,F182)))*(IF(Upgrades!$T$6="Asteroid Belt",POWER(Upgrades!$U$6,E182),1)*IF(Upgrades!$T$8="Asteroid Belt",POWER(Upgrades!$U$8,G182),1)*IF(Upgrades!$T$9="Asteroid Belt",POWER(Upgrades!$U$9,H182),1)*IF(Upgrades!$T$10="Asteroid Belt",POWER(Upgrades!$U$10,I182),1)*IF(Upgrades!$T$11="Asteroid Belt",POWER(Upgrades!$U$11,J182),1)*IF(Upgrades!$T$12="Asteroid Belt",POWER(Upgrades!$U$12,K182),1))+(IF(G182=0,0,(Upgrades!$M$8+G182*Upgrades!$N$8)*POWER(Upgrades!$O$8,G182)))*(IF(Upgrades!$T$6="Stellar Coupling",POWER(Upgrades!$U$6,E182),1)*IF(Upgrades!$T$7="Stellar Coupling",POWER(Upgrades!$U$7,F182),1)*IF(Upgrades!$T$9="Stellar Coupling",POWER(Upgrades!$U$9,H182),1)*IF(Upgrades!$T$10="Stellar Coupling",POWER(Upgrades!$U$10,I182),1)*IF(Upgrades!$T$11="Stellar Coupling",POWER(Upgrades!$U$11,J182),1)*IF(Upgrades!$T$12="Stellar Coupling",POWER(Upgrades!$U$12,K182),1))+(IF(H182=0,0,(Upgrades!$M$9+H182*Upgrades!$N$9)*POWER(Upgrades!$O$9,H182)))*(IF(Upgrades!$T$6="Magnetosphere",POWER(Upgrades!$U$6,E182),1)*IF(Upgrades!$T$7="Magnetosphere",POWER(Upgrades!$U$7,F182),1)*IF(Upgrades!$T$8="Magnetosphere",POWER(Upgrades!$U$8,G182),1)*IF(Upgrades!$T$10="Magnetosphere",POWER(Upgrades!$U$10,I182),1)*IF(Upgrades!$T$11="Magnetosphere",POWER(Upgrades!$U$11,J182),1)*IF(Upgrades!$T$12="Magnetosphere",POWER(Upgrades!$U$12,K182),1))+(IF(I182=0,0,(Upgrades!$M$10+I182*Upgrades!$N$10)*POWER(Upgrades!$O$10,I182)))*(IF(Upgrades!$T$6="Orbital Resonance",POWER(Upgrades!$U$6,E182),1)*IF(Upgrades!$T$7="Orbital Resonance",POWER(Upgrades!$U$7,F182),1)*IF(Upgrades!$T$8="Orbital Resonance",POWER(Upgrades!$U$8,G182),1)*IF(Upgrades!$T$9="Orbital Resonance",POWER(Upgrades!$U$9,H182),1)*IF(Upgrades!$T$11="Orbital Resonance",POWER(Upgrades!$U$11,J182),1)*IF(Upgrades!$T$12="Orbital Resonance",POWER(Upgrades!$U$12,K182),1))+(IF(J182=0,0,(Upgrades!$M$11+J182*Upgrades!$N$11)*POWER(Upgrades!$O$11,J182)))*(IF(Upgrades!$T$6="Heliopause",POWER(Upgrades!$U$6,E182),1)*IF(Upgrades!$T$7="Heliopause",POWER(Upgrades!$U$7,F182),1)*IF(Upgrades!$T$8="Heliopause",POWER(Upgrades!$U$8,G182),1)*IF(Upgrades!$T$9="Heliopause",POWER(Upgrades!$U$9,H182),1)*IF(Upgrades!$T$10="Heliopause",POWER(Upgrades!$U$10,I182),1)*IF(Upgrades!$T$12="Heliopause",POWER(Upgrades!$U$12,K182),1))+(IF(K182=0,0,(Upgrades!$M$12+K182*Upgrades!$N$12)*POWER(Upgrades!$O$12,K182)))*(IF(Upgrades!$T$6="First Photons",POWER(Upgrades!$U$6,E182),1)*IF(Upgrades!$T$7="First Photons",POWER(Upgrades!$U$7,F182),1)*IF(Upgrades!$T$8="First Photons",POWER(Upgrades!$U$8,G182),1)*IF(Upgrades!$T$9="First Photons",POWER(Upgrades!$U$9,H182),1)*IF(Upgrades!$T$10="First Photons",POWER(Upgrades!$U$10,I182),1)*IF(Upgrades!$T$11="First Photons",POWER(Upgrades!$U$11,J182),1)))*POWER(Upgrades!$R$6,E182)*POWER(Upgrades!$R$7,F182)*POWER(Upgrades!$R$8,G182)*POWER(Upgrades!$R$9,H182)*POWER(Upgrades!$R$10,I182)*POWER(Upgrades!$R$11,J182)*POWER(Upgrades!$R$12,K182)</f>
        <v/>
      </c>
      <c r="P182" s="27">
        <f>IF(L182=1,0,M182*Parameters!$B$10/60*Parameters!$B$11*10)</f>
        <v/>
      </c>
      <c r="Q182" s="27">
        <f>IF(L182=1,0,O182*M182*10)</f>
        <v/>
      </c>
      <c r="R182" s="27">
        <f>IF(L182=1,0,N182*10)</f>
        <v/>
      </c>
      <c r="S182" s="27">
        <f>P182+Q182+R182</f>
        <v/>
      </c>
      <c r="T182" s="22">
        <f>C182+S182</f>
        <v/>
      </c>
      <c r="U182" s="33">
        <f>AX182</f>
        <v/>
      </c>
      <c r="V182" s="22">
        <f>IF(U182="",0,IF(U182="transition",0,IF(U182="SW",AG182,IF(U182="AB",AH182,IF(U182="SC",AI182,IF(U182="Mag",AJ182,IF(U182="OR",AK182,IF(U182="HP",AL182,IF(U182="FP",AM182,0)))))))))</f>
        <v/>
      </c>
      <c r="W182" s="27">
        <f>IF(U182="OR",Upgrades!$F$10,IF(U182="HP",Upgrades!$F$11,IF(U182="transition",-Parameters!$B$18,0)))</f>
        <v/>
      </c>
      <c r="X182" s="22">
        <f>T182-V182</f>
        <v/>
      </c>
      <c r="Y182" s="30">
        <f>M182*Parameters!$B$10/60*Parameters!$B$11+O182*M182+N182</f>
        <v/>
      </c>
      <c r="Z182" s="34">
        <f>IF(U182="transition","→ Tier 2 (Stellar Neighborhood)",IF(U182="FP","First Photons — light begins, system quickens",IF(U182="HP","Heliopause acquired",IF(U182="OR","Orbital Resonance — passive multiplier active",IF(AND(AO182=1,L182=0,AN182&lt;&gt;1),"Cohesion ready (waiting on completionist upgrades)","")))))</f>
        <v/>
      </c>
      <c r="AA182" s="27">
        <f>(IF(E182=0,0,(Upgrades!$G$6+E182*Upgrades!$H$6)*POWER(Upgrades!$I$6,E182)))*(IF(Upgrades!$T$7="Solar Wind",POWER(Upgrades!$U$7,F182),1)*IF(Upgrades!$T$8="Solar Wind",POWER(Upgrades!$U$8,G182),1)*IF(Upgrades!$T$9="Solar Wind",POWER(Upgrades!$U$9,H182),1)*IF(Upgrades!$T$10="Solar Wind",POWER(Upgrades!$U$10,I182),1)*IF(Upgrades!$T$11="Solar Wind",POWER(Upgrades!$U$11,J182),1)*IF(Upgrades!$T$12="Solar Wind",POWER(Upgrades!$U$12,K182),1))*POWER(Upgrades!$P$6,E182)*POWER(Upgrades!$P$7,F182)*POWER(Upgrades!$P$8,G182)*POWER(Upgrades!$P$9,H182)*POWER(Upgrades!$P$10,I182)*POWER(Upgrades!$P$11,J182)*POWER(Upgrades!$P$12,K182)*60</f>
        <v/>
      </c>
      <c r="AB182" s="27">
        <f>(IF(F182=0,0,(Upgrades!$G$7+F182*Upgrades!$H$7)*POWER(Upgrades!$I$7,F182)))*(IF(Upgrades!$T$6="Asteroid Belt",POWER(Upgrades!$U$6,E182),1)*IF(Upgrades!$T$8="Asteroid Belt",POWER(Upgrades!$U$8,G182),1)*IF(Upgrades!$T$9="Asteroid Belt",POWER(Upgrades!$U$9,H182),1)*IF(Upgrades!$T$10="Asteroid Belt",POWER(Upgrades!$U$10,I182),1)*IF(Upgrades!$T$11="Asteroid Belt",POWER(Upgrades!$U$11,J182),1)*IF(Upgrades!$T$12="Asteroid Belt",POWER(Upgrades!$U$12,K182),1))*POWER(Upgrades!$P$6,E182)*POWER(Upgrades!$P$7,F182)*POWER(Upgrades!$P$8,G182)*POWER(Upgrades!$P$9,H182)*POWER(Upgrades!$P$10,I182)*POWER(Upgrades!$P$11,J182)*POWER(Upgrades!$P$12,K182)*60</f>
        <v/>
      </c>
      <c r="AC182" s="27">
        <f>(IF(G182=0,0,(Upgrades!$J$8+G182*Upgrades!$K$8)*POWER(Upgrades!$L$8,G182)))*(IF(Upgrades!$T$6="Stellar Coupling",POWER(Upgrades!$U$6,E182),1)*IF(Upgrades!$T$7="Stellar Coupling",POWER(Upgrades!$U$7,F182),1)*IF(Upgrades!$T$9="Stellar Coupling",POWER(Upgrades!$U$9,H182),1)*IF(Upgrades!$T$10="Stellar Coupling",POWER(Upgrades!$U$10,I182),1)*IF(Upgrades!$T$11="Stellar Coupling",POWER(Upgrades!$U$11,J182),1)*IF(Upgrades!$T$12="Stellar Coupling",POWER(Upgrades!$U$12,K182),1))*POWER(Upgrades!$Q$6,E182)*POWER(Upgrades!$Q$7,F182)*POWER(Upgrades!$Q$8,G182)*POWER(Upgrades!$Q$9,H182)*POWER(Upgrades!$Q$10,I182)*POWER(Upgrades!$Q$11,J182)*POWER(Upgrades!$Q$12,K182)*Parameters!$B$10*Parameters!$B$11</f>
        <v/>
      </c>
      <c r="AD182" s="27">
        <f>(IF(H182=0,0,(Upgrades!$G$9+H182*Upgrades!$H$9)*POWER(Upgrades!$I$9,H182)))*(IF(Upgrades!$T$6="Magnetosphere",POWER(Upgrades!$U$6,E182),1)*IF(Upgrades!$T$7="Magnetosphere",POWER(Upgrades!$U$7,F182),1)*IF(Upgrades!$T$8="Magnetosphere",POWER(Upgrades!$U$8,G182),1)*IF(Upgrades!$T$10="Magnetosphere",POWER(Upgrades!$U$10,I182),1)*IF(Upgrades!$T$11="Magnetosphere",POWER(Upgrades!$U$11,J182),1)*IF(Upgrades!$T$12="Magnetosphere",POWER(Upgrades!$U$12,K182),1))*POWER(Upgrades!$P$6,E182)*POWER(Upgrades!$P$7,F182)*POWER(Upgrades!$P$8,G182)*POWER(Upgrades!$P$9,H182)*POWER(Upgrades!$P$10,I182)*POWER(Upgrades!$P$11,J182)*POWER(Upgrades!$P$12,K182)*60</f>
        <v/>
      </c>
      <c r="AE182" s="27">
        <f>(IF(K182=0,0,(Upgrades!$G$12+K182*Upgrades!$H$12)*POWER(Upgrades!$I$12,K182)))*(IF(Upgrades!$T$6="First Photons",POWER(Upgrades!$U$6,E182),1)*IF(Upgrades!$T$7="First Photons",POWER(Upgrades!$U$7,F182),1)*IF(Upgrades!$T$8="First Photons",POWER(Upgrades!$U$8,G182),1)*IF(Upgrades!$T$9="First Photons",POWER(Upgrades!$U$9,H182),1)*IF(Upgrades!$T$10="First Photons",POWER(Upgrades!$U$10,I182),1)*IF(Upgrades!$T$11="First Photons",POWER(Upgrades!$U$11,J182),1))*POWER(Upgrades!$P$6,E182)*POWER(Upgrades!$P$7,F182)*POWER(Upgrades!$P$8,G182)*POWER(Upgrades!$P$9,H182)*POWER(Upgrades!$P$10,I182)*POWER(Upgrades!$P$11,J182)*POWER(Upgrades!$P$12,K182)*60</f>
        <v/>
      </c>
      <c r="AF182" s="27">
        <f>Parameters!$B$9*POWER(Upgrades!$Q$6,E182)*POWER(Upgrades!$Q$7,F182)*POWER(Upgrades!$Q$8,G182)*POWER(Upgrades!$Q$9,H182)*POWER(Upgrades!$Q$10,I182)*POWER(Upgrades!$Q$11,J182)*POWER(Upgrades!$Q$12,K182)*(Parameters!$B$10*Parameters!$B$11+O182*60)</f>
        <v/>
      </c>
      <c r="AG182" s="22">
        <f>IF(E182&gt;=Upgrades!$E$6,"",Upgrades!$C$6*POWER(Upgrades!$D$6,E182))</f>
        <v/>
      </c>
      <c r="AH182" s="22">
        <f>IF(F182&gt;=Upgrades!$E$7,"",Upgrades!$C$7*POWER(Upgrades!$D$7,F182))</f>
        <v/>
      </c>
      <c r="AI182" s="22">
        <f>IF(G182&gt;=Upgrades!$E$8,"",Upgrades!$C$8*POWER(Upgrades!$D$8,G182))</f>
        <v/>
      </c>
      <c r="AJ182" s="22">
        <f>IF(H182&gt;=Upgrades!$E$9,"",Upgrades!$C$9*POWER(Upgrades!$D$9,H182))</f>
        <v/>
      </c>
      <c r="AK182" s="22">
        <f>IF(I182&gt;=Upgrades!$E$10,"",Upgrades!$C$10*POWER(Upgrades!$D$10,I182))</f>
        <v/>
      </c>
      <c r="AL182" s="22">
        <f>IF(J182&gt;=Upgrades!$E$11,"",Upgrades!$C$11*POWER(Upgrades!$D$11,J182))</f>
        <v/>
      </c>
      <c r="AM182" s="22">
        <f>IF(K182&gt;=Upgrades!$E$12,"",Upgrades!$C$12*POWER(Upgrades!$D$12,K182))</f>
        <v/>
      </c>
      <c r="AN182" s="26">
        <f>IF(AND(D182&gt;=Parameters!$B$18,(H182&gt;=Upgrades!$E$9)*(K182&gt;=Upgrades!$E$12)=1,L182=0),1,"")</f>
        <v/>
      </c>
      <c r="AO182" s="26">
        <f>IF(AND(D182&gt;=Parameters!$B$18,L182=0),1,"")</f>
        <v/>
      </c>
      <c r="AP182" s="22">
        <f>MIN(IF(ISNUMBER(AK182),AK182,9E15),IF(ISNUMBER(AL182),AL182,9E15),IF(ISNUMBER(AM182),AM182,9E15))</f>
        <v/>
      </c>
      <c r="AQ182" s="22">
        <f>MIN(IF(ISNUMBER(AG182),AG182,9E15),IF(ISNUMBER(AH182),AH182,9E15),IF(ISNUMBER(AI182),AI182,9E15),IF(ISNUMBER(AJ182),AJ182,9E15))</f>
        <v/>
      </c>
      <c r="AR182" s="29">
        <f>IF(AW182&gt;Parameters!$B$21*(MAX(IF(AND(NOT(AND(AO182=1,AN182&lt;&gt;1)),ISNUMBER(AG182),AG182&lt;=T182),AS182,0),IF(AND(NOT(AND(AO182=1,AN182&lt;&gt;1)),ISNUMBER(AH182),AH182&lt;=T182),AT182,0),IF(AND(NOT(AND(AO182=1,AN182&lt;&gt;1)),ISNUMBER(AI182),AI182&lt;=T182),AU182,0),IF(AND(ISNUMBER(AJ182),AJ182&lt;=T182),AV182,0))),TRUE,FALSE)</f>
        <v/>
      </c>
      <c r="AS182" s="32">
        <f>IFERROR(Upgrades!$H$6*(POWER(Upgrades!$P$6,E182)*POWER(Upgrades!$P$7,F182)*POWER(Upgrades!$P$8,G182)*POWER(Upgrades!$P$9,H182)*POWER(Upgrades!$P$10,I182)*POWER(Upgrades!$P$11,J182)*POWER(Upgrades!$P$12,K182))*(IF(Upgrades!$T$7="Solar Wind",POWER(Upgrades!$U$7,F182),1)*IF(Upgrades!$T$8="Solar Wind",POWER(Upgrades!$U$8,G182),1)*IF(Upgrades!$T$9="Solar Wind",POWER(Upgrades!$U$9,H182),1)*IF(Upgrades!$T$10="Solar Wind",POWER(Upgrades!$U$10,I182),1)*IF(Upgrades!$T$11="Solar Wind",POWER(Upgrades!$U$11,J182),1)*IF(Upgrades!$T$12="Solar Wind",POWER(Upgrades!$U$12,K182),1))/AG182,0)</f>
        <v/>
      </c>
      <c r="AT182" s="32">
        <f>IFERROR(Upgrades!$H$7*(POWER(Upgrades!$P$6,E182)*POWER(Upgrades!$P$7,F182)*POWER(Upgrades!$P$8,G182)*POWER(Upgrades!$P$9,H182)*POWER(Upgrades!$P$10,I182)*POWER(Upgrades!$P$11,J182)*POWER(Upgrades!$P$12,K182))*(IF(Upgrades!$T$6="Asteroid Belt",POWER(Upgrades!$U$6,E182),1)*IF(Upgrades!$T$8="Asteroid Belt",POWER(Upgrades!$U$8,G182),1)*IF(Upgrades!$T$9="Asteroid Belt",POWER(Upgrades!$U$9,H182),1)*IF(Upgrades!$T$10="Asteroid Belt",POWER(Upgrades!$U$10,I182),1)*IF(Upgrades!$T$11="Asteroid Belt",POWER(Upgrades!$U$11,J182),1)*IF(Upgrades!$T$12="Asteroid Belt",POWER(Upgrades!$U$12,K182),1))/AH182,0)</f>
        <v/>
      </c>
      <c r="AU182" s="32">
        <f>IFERROR(Upgrades!$K$8*(POWER(Upgrades!$Q$6,E182)*POWER(Upgrades!$Q$7,F182)*POWER(Upgrades!$Q$8,G182)*POWER(Upgrades!$Q$9,H182)*POWER(Upgrades!$Q$10,I182)*POWER(Upgrades!$Q$11,J182)*POWER(Upgrades!$Q$12,K182))*(IF(Upgrades!$T$6="Stellar Coupling",POWER(Upgrades!$U$6,E182),1)*IF(Upgrades!$T$7="Stellar Coupling",POWER(Upgrades!$U$7,F182),1)*IF(Upgrades!$T$9="Stellar Coupling",POWER(Upgrades!$U$9,H182),1)*IF(Upgrades!$T$10="Stellar Coupling",POWER(Upgrades!$U$10,I182),1)*IF(Upgrades!$T$11="Stellar Coupling",POWER(Upgrades!$U$11,J182),1)*IF(Upgrades!$T$12="Stellar Coupling",POWER(Upgrades!$U$12,K182),1))*Parameters!$B$10*Parameters!$B$11/60/AI182,0)</f>
        <v/>
      </c>
      <c r="AV182" s="32">
        <f>IFERROR(Upgrades!$H$9*(POWER(Upgrades!$P$6,E182)*POWER(Upgrades!$P$7,F182)*POWER(Upgrades!$P$8,G182)*POWER(Upgrades!$P$9,H182)*POWER(Upgrades!$P$10,I182)*POWER(Upgrades!$P$11,J182)*POWER(Upgrades!$P$12,K182))*(IF(Upgrades!$T$6="Magnetosphere",POWER(Upgrades!$U$6,E182),1)*IF(Upgrades!$T$7="Magnetosphere",POWER(Upgrades!$U$7,F182),1)*IF(Upgrades!$T$8="Magnetosphere",POWER(Upgrades!$U$8,G182),1)*IF(Upgrades!$T$10="Magnetosphere",POWER(Upgrades!$U$10,I182),1)*IF(Upgrades!$T$11="Magnetosphere",POWER(Upgrades!$U$11,J182),1)*IF(Upgrades!$T$12="Magnetosphere",POWER(Upgrades!$U$12,K182),1))/AJ182,0)</f>
        <v/>
      </c>
      <c r="AW182" s="32">
        <f>MAX(IF(I182&gt;0,0,IFERROR(0.25*N182/Upgrades!$C$10,0)),IF(J182&gt;0,0,IFERROR(0.5*((IF(G182=0,0,(Upgrades!$J$8+G182*Upgrades!$K$8)*POWER(Upgrades!$L$8,G182)))*(IF(Upgrades!$T$6="Stellar Coupling",POWER(Upgrades!$U$6,E182),1)*IF(Upgrades!$T$7="Stellar Coupling",POWER(Upgrades!$U$7,F182),1)*IF(Upgrades!$T$9="Stellar Coupling",POWER(Upgrades!$U$9,H182),1)*IF(Upgrades!$T$10="Stellar Coupling",POWER(Upgrades!$U$10,I182),1)*IF(Upgrades!$T$11="Stellar Coupling",POWER(Upgrades!$U$11,J182),1)*IF(Upgrades!$T$12="Stellar Coupling",POWER(Upgrades!$U$12,K182),1))*(POWER(Upgrades!$Q$6,E182)*POWER(Upgrades!$Q$7,F182)*POWER(Upgrades!$Q$8,G182)*POWER(Upgrades!$Q$9,H182)*POWER(Upgrades!$Q$10,I182)*POWER(Upgrades!$Q$11,J182)*POWER(Upgrades!$Q$12,K182))*Parameters!$B$10*Parameters!$B$11/60)/Upgrades!$C$11,0)),IF(K182&gt;0,0,IFERROR((1.0*(POWER(Upgrades!$P$6,E182)*POWER(Upgrades!$P$7,F182)*POWER(Upgrades!$P$8,G182)*POWER(Upgrades!$P$9,H182)*POWER(Upgrades!$P$10,I182)*POWER(Upgrades!$P$11,J182)*POWER(Upgrades!$P$12,K182))+0.20*M182*Parameters!$B$10*Parameters!$B$11/60)/Upgrades!$C$12,0)),IF(AND(ISNUMBER(AG182),AG182&gt;T182),AS182,0),IF(AND(ISNUMBER(AH182),AH182&gt;T182),AT182,0),IF(AND(ISNUMBER(AI182),AI182&gt;T182),AU182,0),IF(AND(ISNUMBER(AJ182),AJ182&gt;T182),AV182,0))</f>
        <v/>
      </c>
      <c r="AX182" s="29">
        <f>IF(AN182=1,"transition",IF(MIN(IF(AND(I182=0,ISNUMBER(AK182),AK182&lt;=T182),AK182,9E15),IF(AND(J182=0,ISNUMBER(AL182),AL182&lt;=T182),AL182,9E15),IF(AND(K182=0,ISNUMBER(AM182),AM182&lt;=T182),AM182,9E15))&lt;9E15,IF(AND(AND(I182=0,ISNUMBER(AK182),AK182&lt;=T182),AK182=MIN(IF(AND(I182=0,ISNUMBER(AK182),AK182&lt;=T182),AK182,9E15),IF(AND(J182=0,ISNUMBER(AL182),AL182&lt;=T182),AL182,9E15),IF(AND(K182=0,ISNUMBER(AM182),AM182&lt;=T182),AM182,9E15))),"OR",IF(AND(AND(J182=0,ISNUMBER(AL182),AL182&lt;=T182),AL182=MIN(IF(AND(I182=0,ISNUMBER(AK182),AK182&lt;=T182),AK182,9E15),IF(AND(J182=0,ISNUMBER(AL182),AL182&lt;=T182),AL182,9E15),IF(AND(K182=0,ISNUMBER(AM182),AM182&lt;=T182),AM182,9E15))),"HP","FP")),IF(AR182=TRUE,"",IF(MAX(IF(AND(NOT(AND(AO182=1,AN182&lt;&gt;1)),ISNUMBER(AG182),AG182&lt;=T182),AS182,0),IF(AND(NOT(AND(AO182=1,AN182&lt;&gt;1)),ISNUMBER(AH182),AH182&lt;=T182),AT182,0),IF(AND(NOT(AND(AO182=1,AN182&lt;&gt;1)),ISNUMBER(AI182),AI182&lt;=T182),AU182,0),IF(AND(ISNUMBER(AJ182),AJ182&lt;=T182),AV182,0))&lt;=0,"",IF(AND(IF(AND(NOT(AND(AO182=1,AN182&lt;&gt;1)),ISNUMBER(AG182),AG182&lt;=T182),AS182,0)&gt;0,IF(AND(NOT(AND(AO182=1,AN182&lt;&gt;1)),ISNUMBER(AG182),AG182&lt;=T182),AS182,0)=MAX(IF(AND(NOT(AND(AO182=1,AN182&lt;&gt;1)),ISNUMBER(AG182),AG182&lt;=T182),AS182,0),IF(AND(NOT(AND(AO182=1,AN182&lt;&gt;1)),ISNUMBER(AH182),AH182&lt;=T182),AT182,0),IF(AND(NOT(AND(AO182=1,AN182&lt;&gt;1)),ISNUMBER(AI182),AI182&lt;=T182),AU182,0),IF(AND(ISNUMBER(AJ182),AJ182&lt;=T182),AV182,0))),"SW",IF(AND(IF(AND(NOT(AND(AO182=1,AN182&lt;&gt;1)),ISNUMBER(AH182),AH182&lt;=T182),AT182,0)&gt;0,IF(AND(NOT(AND(AO182=1,AN182&lt;&gt;1)),ISNUMBER(AH182),AH182&lt;=T182),AT182,0)=MAX(IF(AND(NOT(AND(AO182=1,AN182&lt;&gt;1)),ISNUMBER(AG182),AG182&lt;=T182),AS182,0),IF(AND(NOT(AND(AO182=1,AN182&lt;&gt;1)),ISNUMBER(AH182),AH182&lt;=T182),AT182,0),IF(AND(NOT(AND(AO182=1,AN182&lt;&gt;1)),ISNUMBER(AI182),AI182&lt;=T182),AU182,0),IF(AND(ISNUMBER(AJ182),AJ182&lt;=T182),AV182,0))),"AB",IF(AND(IF(AND(NOT(AND(AO182=1,AN182&lt;&gt;1)),ISNUMBER(AI182),AI182&lt;=T182),AU182,0)&gt;0,IF(AND(NOT(AND(AO182=1,AN182&lt;&gt;1)),ISNUMBER(AI182),AI182&lt;=T182),AU182,0)=MAX(IF(AND(NOT(AND(AO182=1,AN182&lt;&gt;1)),ISNUMBER(AG182),AG182&lt;=T182),AS182,0),IF(AND(NOT(AND(AO182=1,AN182&lt;&gt;1)),ISNUMBER(AH182),AH182&lt;=T182),AT182,0),IF(AND(NOT(AND(AO182=1,AN182&lt;&gt;1)),ISNUMBER(AI182),AI182&lt;=T182),AU182,0),IF(AND(ISNUMBER(AJ182),AJ182&lt;=T182),AV182,0))),"SC","Mag")))))))</f>
        <v/>
      </c>
    </row>
    <row r="183">
      <c r="A183" s="26" t="n">
        <v>178</v>
      </c>
      <c r="B183" s="27">
        <f>A183*10/60</f>
        <v/>
      </c>
      <c r="C183" s="22">
        <f>X182</f>
        <v/>
      </c>
      <c r="D183" s="27">
        <f>D182+W182</f>
        <v/>
      </c>
      <c r="E183" s="26">
        <f>E182+IF(U182="SW",1,0)</f>
        <v/>
      </c>
      <c r="F183" s="26">
        <f>F182+IF(U182="AB",1,0)</f>
        <v/>
      </c>
      <c r="G183" s="26">
        <f>G182+IF(U182="SC",1,0)</f>
        <v/>
      </c>
      <c r="H183" s="26">
        <f>H182+IF(U182="Mag",1,0)</f>
        <v/>
      </c>
      <c r="I183" s="26">
        <f>MAX(I182,IF(U182="OR",1,0))</f>
        <v/>
      </c>
      <c r="J183" s="26">
        <f>MAX(J182,IF(U182="HP",1,0))</f>
        <v/>
      </c>
      <c r="K183" s="26">
        <f>MAX(K182,IF(U182="FP",1,0))</f>
        <v/>
      </c>
      <c r="L183" s="26">
        <f>MAX(L182,IF(U182="transition",1,0))</f>
        <v/>
      </c>
      <c r="M183" s="28">
        <f>(Parameters!$B$9+(IF(E183=0,0,(Upgrades!$J$6+E183*Upgrades!$K$6)*POWER(Upgrades!$L$6,E183)))*(IF(Upgrades!$T$7="Solar Wind",POWER(Upgrades!$U$7,F183),1)*IF(Upgrades!$T$8="Solar Wind",POWER(Upgrades!$U$8,G183),1)*IF(Upgrades!$T$9="Solar Wind",POWER(Upgrades!$U$9,H183),1)*IF(Upgrades!$T$10="Solar Wind",POWER(Upgrades!$U$10,I183),1)*IF(Upgrades!$T$11="Solar Wind",POWER(Upgrades!$U$11,J183),1)*IF(Upgrades!$T$12="Solar Wind",POWER(Upgrades!$U$12,K183),1))+(IF(F183=0,0,(Upgrades!$J$7+F183*Upgrades!$K$7)*POWER(Upgrades!$L$7,F183)))*(IF(Upgrades!$T$6="Asteroid Belt",POWER(Upgrades!$U$6,E183),1)*IF(Upgrades!$T$8="Asteroid Belt",POWER(Upgrades!$U$8,G183),1)*IF(Upgrades!$T$9="Asteroid Belt",POWER(Upgrades!$U$9,H183),1)*IF(Upgrades!$T$10="Asteroid Belt",POWER(Upgrades!$U$10,I183),1)*IF(Upgrades!$T$11="Asteroid Belt",POWER(Upgrades!$U$11,J183),1)*IF(Upgrades!$T$12="Asteroid Belt",POWER(Upgrades!$U$12,K183),1))+(IF(G183=0,0,(Upgrades!$J$8+G183*Upgrades!$K$8)*POWER(Upgrades!$L$8,G183)))*(IF(Upgrades!$T$6="Stellar Coupling",POWER(Upgrades!$U$6,E183),1)*IF(Upgrades!$T$7="Stellar Coupling",POWER(Upgrades!$U$7,F183),1)*IF(Upgrades!$T$9="Stellar Coupling",POWER(Upgrades!$U$9,H183),1)*IF(Upgrades!$T$10="Stellar Coupling",POWER(Upgrades!$U$10,I183),1)*IF(Upgrades!$T$11="Stellar Coupling",POWER(Upgrades!$U$11,J183),1)*IF(Upgrades!$T$12="Stellar Coupling",POWER(Upgrades!$U$12,K183),1))+(IF(H183=0,0,(Upgrades!$J$9+H183*Upgrades!$K$9)*POWER(Upgrades!$L$9,H183)))*(IF(Upgrades!$T$6="Magnetosphere",POWER(Upgrades!$U$6,E183),1)*IF(Upgrades!$T$7="Magnetosphere",POWER(Upgrades!$U$7,F183),1)*IF(Upgrades!$T$8="Magnetosphere",POWER(Upgrades!$U$8,G183),1)*IF(Upgrades!$T$10="Magnetosphere",POWER(Upgrades!$U$10,I183),1)*IF(Upgrades!$T$11="Magnetosphere",POWER(Upgrades!$U$11,J183),1)*IF(Upgrades!$T$12="Magnetosphere",POWER(Upgrades!$U$12,K183),1))+(IF(I183=0,0,(Upgrades!$J$10+I183*Upgrades!$K$10)*POWER(Upgrades!$L$10,I183)))*(IF(Upgrades!$T$6="Orbital Resonance",POWER(Upgrades!$U$6,E183),1)*IF(Upgrades!$T$7="Orbital Resonance",POWER(Upgrades!$U$7,F183),1)*IF(Upgrades!$T$8="Orbital Resonance",POWER(Upgrades!$U$8,G183),1)*IF(Upgrades!$T$9="Orbital Resonance",POWER(Upgrades!$U$9,H183),1)*IF(Upgrades!$T$11="Orbital Resonance",POWER(Upgrades!$U$11,J183),1)*IF(Upgrades!$T$12="Orbital Resonance",POWER(Upgrades!$U$12,K183),1))+(IF(J183=0,0,(Upgrades!$J$11+J183*Upgrades!$K$11)*POWER(Upgrades!$L$11,J183)))*(IF(Upgrades!$T$6="Heliopause",POWER(Upgrades!$U$6,E183),1)*IF(Upgrades!$T$7="Heliopause",POWER(Upgrades!$U$7,F183),1)*IF(Upgrades!$T$8="Heliopause",POWER(Upgrades!$U$8,G183),1)*IF(Upgrades!$T$9="Heliopause",POWER(Upgrades!$U$9,H183),1)*IF(Upgrades!$T$10="Heliopause",POWER(Upgrades!$U$10,I183),1)*IF(Upgrades!$T$12="Heliopause",POWER(Upgrades!$U$12,K183),1))+(IF(K183=0,0,(Upgrades!$J$12+K183*Upgrades!$K$12)*POWER(Upgrades!$L$12,K183)))*(IF(Upgrades!$T$6="First Photons",POWER(Upgrades!$U$6,E183),1)*IF(Upgrades!$T$7="First Photons",POWER(Upgrades!$U$7,F183),1)*IF(Upgrades!$T$8="First Photons",POWER(Upgrades!$U$8,G183),1)*IF(Upgrades!$T$9="First Photons",POWER(Upgrades!$U$9,H183),1)*IF(Upgrades!$T$10="First Photons",POWER(Upgrades!$U$10,I183),1)*IF(Upgrades!$T$11="First Photons",POWER(Upgrades!$U$11,J183),1)))*POWER(Upgrades!$Q$6,E183)*POWER(Upgrades!$Q$7,F183)*POWER(Upgrades!$Q$8,G183)*POWER(Upgrades!$Q$9,H183)*POWER(Upgrades!$Q$10,I183)*POWER(Upgrades!$Q$11,J183)*POWER(Upgrades!$Q$12,K183)</f>
        <v/>
      </c>
      <c r="N183" s="28">
        <f>((IF(E183=0,0,(Upgrades!$G$6+E183*Upgrades!$H$6)*POWER(Upgrades!$I$6,E183)))*(IF(Upgrades!$T$7="Solar Wind",POWER(Upgrades!$U$7,F183),1)*IF(Upgrades!$T$8="Solar Wind",POWER(Upgrades!$U$8,G183),1)*IF(Upgrades!$T$9="Solar Wind",POWER(Upgrades!$U$9,H183),1)*IF(Upgrades!$T$10="Solar Wind",POWER(Upgrades!$U$10,I183),1)*IF(Upgrades!$T$11="Solar Wind",POWER(Upgrades!$U$11,J183),1)*IF(Upgrades!$T$12="Solar Wind",POWER(Upgrades!$U$12,K183),1))+(IF(F183=0,0,(Upgrades!$G$7+F183*Upgrades!$H$7)*POWER(Upgrades!$I$7,F183)))*(IF(Upgrades!$T$6="Asteroid Belt",POWER(Upgrades!$U$6,E183),1)*IF(Upgrades!$T$8="Asteroid Belt",POWER(Upgrades!$U$8,G183),1)*IF(Upgrades!$T$9="Asteroid Belt",POWER(Upgrades!$U$9,H183),1)*IF(Upgrades!$T$10="Asteroid Belt",POWER(Upgrades!$U$10,I183),1)*IF(Upgrades!$T$11="Asteroid Belt",POWER(Upgrades!$U$11,J183),1)*IF(Upgrades!$T$12="Asteroid Belt",POWER(Upgrades!$U$12,K183),1))+(IF(G183=0,0,(Upgrades!$G$8+G183*Upgrades!$H$8)*POWER(Upgrades!$I$8,G183)))*(IF(Upgrades!$T$6="Stellar Coupling",POWER(Upgrades!$U$6,E183),1)*IF(Upgrades!$T$7="Stellar Coupling",POWER(Upgrades!$U$7,F183),1)*IF(Upgrades!$T$9="Stellar Coupling",POWER(Upgrades!$U$9,H183),1)*IF(Upgrades!$T$10="Stellar Coupling",POWER(Upgrades!$U$10,I183),1)*IF(Upgrades!$T$11="Stellar Coupling",POWER(Upgrades!$U$11,J183),1)*IF(Upgrades!$T$12="Stellar Coupling",POWER(Upgrades!$U$12,K183),1))+(IF(H183=0,0,(Upgrades!$G$9+H183*Upgrades!$H$9)*POWER(Upgrades!$I$9,H183)))*(IF(Upgrades!$T$6="Magnetosphere",POWER(Upgrades!$U$6,E183),1)*IF(Upgrades!$T$7="Magnetosphere",POWER(Upgrades!$U$7,F183),1)*IF(Upgrades!$T$8="Magnetosphere",POWER(Upgrades!$U$8,G183),1)*IF(Upgrades!$T$10="Magnetosphere",POWER(Upgrades!$U$10,I183),1)*IF(Upgrades!$T$11="Magnetosphere",POWER(Upgrades!$U$11,J183),1)*IF(Upgrades!$T$12="Magnetosphere",POWER(Upgrades!$U$12,K183),1))+(IF(I183=0,0,(Upgrades!$G$10+I183*Upgrades!$H$10)*POWER(Upgrades!$I$10,I183)))*(IF(Upgrades!$T$6="Orbital Resonance",POWER(Upgrades!$U$6,E183),1)*IF(Upgrades!$T$7="Orbital Resonance",POWER(Upgrades!$U$7,F183),1)*IF(Upgrades!$T$8="Orbital Resonance",POWER(Upgrades!$U$8,G183),1)*IF(Upgrades!$T$9="Orbital Resonance",POWER(Upgrades!$U$9,H183),1)*IF(Upgrades!$T$11="Orbital Resonance",POWER(Upgrades!$U$11,J183),1)*IF(Upgrades!$T$12="Orbital Resonance",POWER(Upgrades!$U$12,K183),1))+(IF(J183=0,0,(Upgrades!$G$11+J183*Upgrades!$H$11)*POWER(Upgrades!$I$11,J183)))*(IF(Upgrades!$T$6="Heliopause",POWER(Upgrades!$U$6,E183),1)*IF(Upgrades!$T$7="Heliopause",POWER(Upgrades!$U$7,F183),1)*IF(Upgrades!$T$8="Heliopause",POWER(Upgrades!$U$8,G183),1)*IF(Upgrades!$T$9="Heliopause",POWER(Upgrades!$U$9,H183),1)*IF(Upgrades!$T$10="Heliopause",POWER(Upgrades!$U$10,I183),1)*IF(Upgrades!$T$12="Heliopause",POWER(Upgrades!$U$12,K183),1))+(IF(K183=0,0,(Upgrades!$G$12+K183*Upgrades!$H$12)*POWER(Upgrades!$I$12,K183)))*(IF(Upgrades!$T$6="First Photons",POWER(Upgrades!$U$6,E183),1)*IF(Upgrades!$T$7="First Photons",POWER(Upgrades!$U$7,F183),1)*IF(Upgrades!$T$8="First Photons",POWER(Upgrades!$U$8,G183),1)*IF(Upgrades!$T$9="First Photons",POWER(Upgrades!$U$9,H183),1)*IF(Upgrades!$T$10="First Photons",POWER(Upgrades!$U$10,I183),1)*IF(Upgrades!$T$11="First Photons",POWER(Upgrades!$U$11,J183),1)))*POWER(Upgrades!$P$6,E183)*POWER(Upgrades!$P$7,F183)*POWER(Upgrades!$P$8,G183)*POWER(Upgrades!$P$9,H183)*POWER(Upgrades!$P$10,I183)*POWER(Upgrades!$P$11,J183)*POWER(Upgrades!$P$12,K183)</f>
        <v/>
      </c>
      <c r="O183" s="28">
        <f>((IF(E183=0,0,(Upgrades!$M$6+E183*Upgrades!$N$6)*POWER(Upgrades!$O$6,E183)))*(IF(Upgrades!$T$7="Solar Wind",POWER(Upgrades!$U$7,F183),1)*IF(Upgrades!$T$8="Solar Wind",POWER(Upgrades!$U$8,G183),1)*IF(Upgrades!$T$9="Solar Wind",POWER(Upgrades!$U$9,H183),1)*IF(Upgrades!$T$10="Solar Wind",POWER(Upgrades!$U$10,I183),1)*IF(Upgrades!$T$11="Solar Wind",POWER(Upgrades!$U$11,J183),1)*IF(Upgrades!$T$12="Solar Wind",POWER(Upgrades!$U$12,K183),1))+(IF(F183=0,0,(Upgrades!$M$7+F183*Upgrades!$N$7)*POWER(Upgrades!$O$7,F183)))*(IF(Upgrades!$T$6="Asteroid Belt",POWER(Upgrades!$U$6,E183),1)*IF(Upgrades!$T$8="Asteroid Belt",POWER(Upgrades!$U$8,G183),1)*IF(Upgrades!$T$9="Asteroid Belt",POWER(Upgrades!$U$9,H183),1)*IF(Upgrades!$T$10="Asteroid Belt",POWER(Upgrades!$U$10,I183),1)*IF(Upgrades!$T$11="Asteroid Belt",POWER(Upgrades!$U$11,J183),1)*IF(Upgrades!$T$12="Asteroid Belt",POWER(Upgrades!$U$12,K183),1))+(IF(G183=0,0,(Upgrades!$M$8+G183*Upgrades!$N$8)*POWER(Upgrades!$O$8,G183)))*(IF(Upgrades!$T$6="Stellar Coupling",POWER(Upgrades!$U$6,E183),1)*IF(Upgrades!$T$7="Stellar Coupling",POWER(Upgrades!$U$7,F183),1)*IF(Upgrades!$T$9="Stellar Coupling",POWER(Upgrades!$U$9,H183),1)*IF(Upgrades!$T$10="Stellar Coupling",POWER(Upgrades!$U$10,I183),1)*IF(Upgrades!$T$11="Stellar Coupling",POWER(Upgrades!$U$11,J183),1)*IF(Upgrades!$T$12="Stellar Coupling",POWER(Upgrades!$U$12,K183),1))+(IF(H183=0,0,(Upgrades!$M$9+H183*Upgrades!$N$9)*POWER(Upgrades!$O$9,H183)))*(IF(Upgrades!$T$6="Magnetosphere",POWER(Upgrades!$U$6,E183),1)*IF(Upgrades!$T$7="Magnetosphere",POWER(Upgrades!$U$7,F183),1)*IF(Upgrades!$T$8="Magnetosphere",POWER(Upgrades!$U$8,G183),1)*IF(Upgrades!$T$10="Magnetosphere",POWER(Upgrades!$U$10,I183),1)*IF(Upgrades!$T$11="Magnetosphere",POWER(Upgrades!$U$11,J183),1)*IF(Upgrades!$T$12="Magnetosphere",POWER(Upgrades!$U$12,K183),1))+(IF(I183=0,0,(Upgrades!$M$10+I183*Upgrades!$N$10)*POWER(Upgrades!$O$10,I183)))*(IF(Upgrades!$T$6="Orbital Resonance",POWER(Upgrades!$U$6,E183),1)*IF(Upgrades!$T$7="Orbital Resonance",POWER(Upgrades!$U$7,F183),1)*IF(Upgrades!$T$8="Orbital Resonance",POWER(Upgrades!$U$8,G183),1)*IF(Upgrades!$T$9="Orbital Resonance",POWER(Upgrades!$U$9,H183),1)*IF(Upgrades!$T$11="Orbital Resonance",POWER(Upgrades!$U$11,J183),1)*IF(Upgrades!$T$12="Orbital Resonance",POWER(Upgrades!$U$12,K183),1))+(IF(J183=0,0,(Upgrades!$M$11+J183*Upgrades!$N$11)*POWER(Upgrades!$O$11,J183)))*(IF(Upgrades!$T$6="Heliopause",POWER(Upgrades!$U$6,E183),1)*IF(Upgrades!$T$7="Heliopause",POWER(Upgrades!$U$7,F183),1)*IF(Upgrades!$T$8="Heliopause",POWER(Upgrades!$U$8,G183),1)*IF(Upgrades!$T$9="Heliopause",POWER(Upgrades!$U$9,H183),1)*IF(Upgrades!$T$10="Heliopause",POWER(Upgrades!$U$10,I183),1)*IF(Upgrades!$T$12="Heliopause",POWER(Upgrades!$U$12,K183),1))+(IF(K183=0,0,(Upgrades!$M$12+K183*Upgrades!$N$12)*POWER(Upgrades!$O$12,K183)))*(IF(Upgrades!$T$6="First Photons",POWER(Upgrades!$U$6,E183),1)*IF(Upgrades!$T$7="First Photons",POWER(Upgrades!$U$7,F183),1)*IF(Upgrades!$T$8="First Photons",POWER(Upgrades!$U$8,G183),1)*IF(Upgrades!$T$9="First Photons",POWER(Upgrades!$U$9,H183),1)*IF(Upgrades!$T$10="First Photons",POWER(Upgrades!$U$10,I183),1)*IF(Upgrades!$T$11="First Photons",POWER(Upgrades!$U$11,J183),1)))*POWER(Upgrades!$R$6,E183)*POWER(Upgrades!$R$7,F183)*POWER(Upgrades!$R$8,G183)*POWER(Upgrades!$R$9,H183)*POWER(Upgrades!$R$10,I183)*POWER(Upgrades!$R$11,J183)*POWER(Upgrades!$R$12,K183)</f>
        <v/>
      </c>
      <c r="P183" s="27">
        <f>IF(L183=1,0,M183*Parameters!$B$10/60*Parameters!$B$11*10)</f>
        <v/>
      </c>
      <c r="Q183" s="27">
        <f>IF(L183=1,0,O183*M183*10)</f>
        <v/>
      </c>
      <c r="R183" s="27">
        <f>IF(L183=1,0,N183*10)</f>
        <v/>
      </c>
      <c r="S183" s="27">
        <f>P183+Q183+R183</f>
        <v/>
      </c>
      <c r="T183" s="22">
        <f>C183+S183</f>
        <v/>
      </c>
      <c r="U183" s="33">
        <f>AX183</f>
        <v/>
      </c>
      <c r="V183" s="22">
        <f>IF(U183="",0,IF(U183="transition",0,IF(U183="SW",AG183,IF(U183="AB",AH183,IF(U183="SC",AI183,IF(U183="Mag",AJ183,IF(U183="OR",AK183,IF(U183="HP",AL183,IF(U183="FP",AM183,0)))))))))</f>
        <v/>
      </c>
      <c r="W183" s="27">
        <f>IF(U183="OR",Upgrades!$F$10,IF(U183="HP",Upgrades!$F$11,IF(U183="transition",-Parameters!$B$18,0)))</f>
        <v/>
      </c>
      <c r="X183" s="22">
        <f>T183-V183</f>
        <v/>
      </c>
      <c r="Y183" s="30">
        <f>M183*Parameters!$B$10/60*Parameters!$B$11+O183*M183+N183</f>
        <v/>
      </c>
      <c r="Z183" s="34">
        <f>IF(U183="transition","→ Tier 2 (Stellar Neighborhood)",IF(U183="FP","First Photons — light begins, system quickens",IF(U183="HP","Heliopause acquired",IF(U183="OR","Orbital Resonance — passive multiplier active",IF(AND(AO183=1,L183=0,AN183&lt;&gt;1),"Cohesion ready (waiting on completionist upgrades)","")))))</f>
        <v/>
      </c>
      <c r="AA183" s="27">
        <f>(IF(E183=0,0,(Upgrades!$G$6+E183*Upgrades!$H$6)*POWER(Upgrades!$I$6,E183)))*(IF(Upgrades!$T$7="Solar Wind",POWER(Upgrades!$U$7,F183),1)*IF(Upgrades!$T$8="Solar Wind",POWER(Upgrades!$U$8,G183),1)*IF(Upgrades!$T$9="Solar Wind",POWER(Upgrades!$U$9,H183),1)*IF(Upgrades!$T$10="Solar Wind",POWER(Upgrades!$U$10,I183),1)*IF(Upgrades!$T$11="Solar Wind",POWER(Upgrades!$U$11,J183),1)*IF(Upgrades!$T$12="Solar Wind",POWER(Upgrades!$U$12,K183),1))*POWER(Upgrades!$P$6,E183)*POWER(Upgrades!$P$7,F183)*POWER(Upgrades!$P$8,G183)*POWER(Upgrades!$P$9,H183)*POWER(Upgrades!$P$10,I183)*POWER(Upgrades!$P$11,J183)*POWER(Upgrades!$P$12,K183)*60</f>
        <v/>
      </c>
      <c r="AB183" s="27">
        <f>(IF(F183=0,0,(Upgrades!$G$7+F183*Upgrades!$H$7)*POWER(Upgrades!$I$7,F183)))*(IF(Upgrades!$T$6="Asteroid Belt",POWER(Upgrades!$U$6,E183),1)*IF(Upgrades!$T$8="Asteroid Belt",POWER(Upgrades!$U$8,G183),1)*IF(Upgrades!$T$9="Asteroid Belt",POWER(Upgrades!$U$9,H183),1)*IF(Upgrades!$T$10="Asteroid Belt",POWER(Upgrades!$U$10,I183),1)*IF(Upgrades!$T$11="Asteroid Belt",POWER(Upgrades!$U$11,J183),1)*IF(Upgrades!$T$12="Asteroid Belt",POWER(Upgrades!$U$12,K183),1))*POWER(Upgrades!$P$6,E183)*POWER(Upgrades!$P$7,F183)*POWER(Upgrades!$P$8,G183)*POWER(Upgrades!$P$9,H183)*POWER(Upgrades!$P$10,I183)*POWER(Upgrades!$P$11,J183)*POWER(Upgrades!$P$12,K183)*60</f>
        <v/>
      </c>
      <c r="AC183" s="27">
        <f>(IF(G183=0,0,(Upgrades!$J$8+G183*Upgrades!$K$8)*POWER(Upgrades!$L$8,G183)))*(IF(Upgrades!$T$6="Stellar Coupling",POWER(Upgrades!$U$6,E183),1)*IF(Upgrades!$T$7="Stellar Coupling",POWER(Upgrades!$U$7,F183),1)*IF(Upgrades!$T$9="Stellar Coupling",POWER(Upgrades!$U$9,H183),1)*IF(Upgrades!$T$10="Stellar Coupling",POWER(Upgrades!$U$10,I183),1)*IF(Upgrades!$T$11="Stellar Coupling",POWER(Upgrades!$U$11,J183),1)*IF(Upgrades!$T$12="Stellar Coupling",POWER(Upgrades!$U$12,K183),1))*POWER(Upgrades!$Q$6,E183)*POWER(Upgrades!$Q$7,F183)*POWER(Upgrades!$Q$8,G183)*POWER(Upgrades!$Q$9,H183)*POWER(Upgrades!$Q$10,I183)*POWER(Upgrades!$Q$11,J183)*POWER(Upgrades!$Q$12,K183)*Parameters!$B$10*Parameters!$B$11</f>
        <v/>
      </c>
      <c r="AD183" s="27">
        <f>(IF(H183=0,0,(Upgrades!$G$9+H183*Upgrades!$H$9)*POWER(Upgrades!$I$9,H183)))*(IF(Upgrades!$T$6="Magnetosphere",POWER(Upgrades!$U$6,E183),1)*IF(Upgrades!$T$7="Magnetosphere",POWER(Upgrades!$U$7,F183),1)*IF(Upgrades!$T$8="Magnetosphere",POWER(Upgrades!$U$8,G183),1)*IF(Upgrades!$T$10="Magnetosphere",POWER(Upgrades!$U$10,I183),1)*IF(Upgrades!$T$11="Magnetosphere",POWER(Upgrades!$U$11,J183),1)*IF(Upgrades!$T$12="Magnetosphere",POWER(Upgrades!$U$12,K183),1))*POWER(Upgrades!$P$6,E183)*POWER(Upgrades!$P$7,F183)*POWER(Upgrades!$P$8,G183)*POWER(Upgrades!$P$9,H183)*POWER(Upgrades!$P$10,I183)*POWER(Upgrades!$P$11,J183)*POWER(Upgrades!$P$12,K183)*60</f>
        <v/>
      </c>
      <c r="AE183" s="27">
        <f>(IF(K183=0,0,(Upgrades!$G$12+K183*Upgrades!$H$12)*POWER(Upgrades!$I$12,K183)))*(IF(Upgrades!$T$6="First Photons",POWER(Upgrades!$U$6,E183),1)*IF(Upgrades!$T$7="First Photons",POWER(Upgrades!$U$7,F183),1)*IF(Upgrades!$T$8="First Photons",POWER(Upgrades!$U$8,G183),1)*IF(Upgrades!$T$9="First Photons",POWER(Upgrades!$U$9,H183),1)*IF(Upgrades!$T$10="First Photons",POWER(Upgrades!$U$10,I183),1)*IF(Upgrades!$T$11="First Photons",POWER(Upgrades!$U$11,J183),1))*POWER(Upgrades!$P$6,E183)*POWER(Upgrades!$P$7,F183)*POWER(Upgrades!$P$8,G183)*POWER(Upgrades!$P$9,H183)*POWER(Upgrades!$P$10,I183)*POWER(Upgrades!$P$11,J183)*POWER(Upgrades!$P$12,K183)*60</f>
        <v/>
      </c>
      <c r="AF183" s="27">
        <f>Parameters!$B$9*POWER(Upgrades!$Q$6,E183)*POWER(Upgrades!$Q$7,F183)*POWER(Upgrades!$Q$8,G183)*POWER(Upgrades!$Q$9,H183)*POWER(Upgrades!$Q$10,I183)*POWER(Upgrades!$Q$11,J183)*POWER(Upgrades!$Q$12,K183)*(Parameters!$B$10*Parameters!$B$11+O183*60)</f>
        <v/>
      </c>
      <c r="AG183" s="22">
        <f>IF(E183&gt;=Upgrades!$E$6,"",Upgrades!$C$6*POWER(Upgrades!$D$6,E183))</f>
        <v/>
      </c>
      <c r="AH183" s="22">
        <f>IF(F183&gt;=Upgrades!$E$7,"",Upgrades!$C$7*POWER(Upgrades!$D$7,F183))</f>
        <v/>
      </c>
      <c r="AI183" s="22">
        <f>IF(G183&gt;=Upgrades!$E$8,"",Upgrades!$C$8*POWER(Upgrades!$D$8,G183))</f>
        <v/>
      </c>
      <c r="AJ183" s="22">
        <f>IF(H183&gt;=Upgrades!$E$9,"",Upgrades!$C$9*POWER(Upgrades!$D$9,H183))</f>
        <v/>
      </c>
      <c r="AK183" s="22">
        <f>IF(I183&gt;=Upgrades!$E$10,"",Upgrades!$C$10*POWER(Upgrades!$D$10,I183))</f>
        <v/>
      </c>
      <c r="AL183" s="22">
        <f>IF(J183&gt;=Upgrades!$E$11,"",Upgrades!$C$11*POWER(Upgrades!$D$11,J183))</f>
        <v/>
      </c>
      <c r="AM183" s="22">
        <f>IF(K183&gt;=Upgrades!$E$12,"",Upgrades!$C$12*POWER(Upgrades!$D$12,K183))</f>
        <v/>
      </c>
      <c r="AN183" s="26">
        <f>IF(AND(D183&gt;=Parameters!$B$18,(H183&gt;=Upgrades!$E$9)*(K183&gt;=Upgrades!$E$12)=1,L183=0),1,"")</f>
        <v/>
      </c>
      <c r="AO183" s="26">
        <f>IF(AND(D183&gt;=Parameters!$B$18,L183=0),1,"")</f>
        <v/>
      </c>
      <c r="AP183" s="22">
        <f>MIN(IF(ISNUMBER(AK183),AK183,9E15),IF(ISNUMBER(AL183),AL183,9E15),IF(ISNUMBER(AM183),AM183,9E15))</f>
        <v/>
      </c>
      <c r="AQ183" s="22">
        <f>MIN(IF(ISNUMBER(AG183),AG183,9E15),IF(ISNUMBER(AH183),AH183,9E15),IF(ISNUMBER(AI183),AI183,9E15),IF(ISNUMBER(AJ183),AJ183,9E15))</f>
        <v/>
      </c>
      <c r="AR183" s="29">
        <f>IF(AW183&gt;Parameters!$B$21*(MAX(IF(AND(NOT(AND(AO183=1,AN183&lt;&gt;1)),ISNUMBER(AG183),AG183&lt;=T183),AS183,0),IF(AND(NOT(AND(AO183=1,AN183&lt;&gt;1)),ISNUMBER(AH183),AH183&lt;=T183),AT183,0),IF(AND(NOT(AND(AO183=1,AN183&lt;&gt;1)),ISNUMBER(AI183),AI183&lt;=T183),AU183,0),IF(AND(ISNUMBER(AJ183),AJ183&lt;=T183),AV183,0))),TRUE,FALSE)</f>
        <v/>
      </c>
      <c r="AS183" s="32">
        <f>IFERROR(Upgrades!$H$6*(POWER(Upgrades!$P$6,E183)*POWER(Upgrades!$P$7,F183)*POWER(Upgrades!$P$8,G183)*POWER(Upgrades!$P$9,H183)*POWER(Upgrades!$P$10,I183)*POWER(Upgrades!$P$11,J183)*POWER(Upgrades!$P$12,K183))*(IF(Upgrades!$T$7="Solar Wind",POWER(Upgrades!$U$7,F183),1)*IF(Upgrades!$T$8="Solar Wind",POWER(Upgrades!$U$8,G183),1)*IF(Upgrades!$T$9="Solar Wind",POWER(Upgrades!$U$9,H183),1)*IF(Upgrades!$T$10="Solar Wind",POWER(Upgrades!$U$10,I183),1)*IF(Upgrades!$T$11="Solar Wind",POWER(Upgrades!$U$11,J183),1)*IF(Upgrades!$T$12="Solar Wind",POWER(Upgrades!$U$12,K183),1))/AG183,0)</f>
        <v/>
      </c>
      <c r="AT183" s="32">
        <f>IFERROR(Upgrades!$H$7*(POWER(Upgrades!$P$6,E183)*POWER(Upgrades!$P$7,F183)*POWER(Upgrades!$P$8,G183)*POWER(Upgrades!$P$9,H183)*POWER(Upgrades!$P$10,I183)*POWER(Upgrades!$P$11,J183)*POWER(Upgrades!$P$12,K183))*(IF(Upgrades!$T$6="Asteroid Belt",POWER(Upgrades!$U$6,E183),1)*IF(Upgrades!$T$8="Asteroid Belt",POWER(Upgrades!$U$8,G183),1)*IF(Upgrades!$T$9="Asteroid Belt",POWER(Upgrades!$U$9,H183),1)*IF(Upgrades!$T$10="Asteroid Belt",POWER(Upgrades!$U$10,I183),1)*IF(Upgrades!$T$11="Asteroid Belt",POWER(Upgrades!$U$11,J183),1)*IF(Upgrades!$T$12="Asteroid Belt",POWER(Upgrades!$U$12,K183),1))/AH183,0)</f>
        <v/>
      </c>
      <c r="AU183" s="32">
        <f>IFERROR(Upgrades!$K$8*(POWER(Upgrades!$Q$6,E183)*POWER(Upgrades!$Q$7,F183)*POWER(Upgrades!$Q$8,G183)*POWER(Upgrades!$Q$9,H183)*POWER(Upgrades!$Q$10,I183)*POWER(Upgrades!$Q$11,J183)*POWER(Upgrades!$Q$12,K183))*(IF(Upgrades!$T$6="Stellar Coupling",POWER(Upgrades!$U$6,E183),1)*IF(Upgrades!$T$7="Stellar Coupling",POWER(Upgrades!$U$7,F183),1)*IF(Upgrades!$T$9="Stellar Coupling",POWER(Upgrades!$U$9,H183),1)*IF(Upgrades!$T$10="Stellar Coupling",POWER(Upgrades!$U$10,I183),1)*IF(Upgrades!$T$11="Stellar Coupling",POWER(Upgrades!$U$11,J183),1)*IF(Upgrades!$T$12="Stellar Coupling",POWER(Upgrades!$U$12,K183),1))*Parameters!$B$10*Parameters!$B$11/60/AI183,0)</f>
        <v/>
      </c>
      <c r="AV183" s="32">
        <f>IFERROR(Upgrades!$H$9*(POWER(Upgrades!$P$6,E183)*POWER(Upgrades!$P$7,F183)*POWER(Upgrades!$P$8,G183)*POWER(Upgrades!$P$9,H183)*POWER(Upgrades!$P$10,I183)*POWER(Upgrades!$P$11,J183)*POWER(Upgrades!$P$12,K183))*(IF(Upgrades!$T$6="Magnetosphere",POWER(Upgrades!$U$6,E183),1)*IF(Upgrades!$T$7="Magnetosphere",POWER(Upgrades!$U$7,F183),1)*IF(Upgrades!$T$8="Magnetosphere",POWER(Upgrades!$U$8,G183),1)*IF(Upgrades!$T$10="Magnetosphere",POWER(Upgrades!$U$10,I183),1)*IF(Upgrades!$T$11="Magnetosphere",POWER(Upgrades!$U$11,J183),1)*IF(Upgrades!$T$12="Magnetosphere",POWER(Upgrades!$U$12,K183),1))/AJ183,0)</f>
        <v/>
      </c>
      <c r="AW183" s="32">
        <f>MAX(IF(I183&gt;0,0,IFERROR(0.25*N183/Upgrades!$C$10,0)),IF(J183&gt;0,0,IFERROR(0.5*((IF(G183=0,0,(Upgrades!$J$8+G183*Upgrades!$K$8)*POWER(Upgrades!$L$8,G183)))*(IF(Upgrades!$T$6="Stellar Coupling",POWER(Upgrades!$U$6,E183),1)*IF(Upgrades!$T$7="Stellar Coupling",POWER(Upgrades!$U$7,F183),1)*IF(Upgrades!$T$9="Stellar Coupling",POWER(Upgrades!$U$9,H183),1)*IF(Upgrades!$T$10="Stellar Coupling",POWER(Upgrades!$U$10,I183),1)*IF(Upgrades!$T$11="Stellar Coupling",POWER(Upgrades!$U$11,J183),1)*IF(Upgrades!$T$12="Stellar Coupling",POWER(Upgrades!$U$12,K183),1))*(POWER(Upgrades!$Q$6,E183)*POWER(Upgrades!$Q$7,F183)*POWER(Upgrades!$Q$8,G183)*POWER(Upgrades!$Q$9,H183)*POWER(Upgrades!$Q$10,I183)*POWER(Upgrades!$Q$11,J183)*POWER(Upgrades!$Q$12,K183))*Parameters!$B$10*Parameters!$B$11/60)/Upgrades!$C$11,0)),IF(K183&gt;0,0,IFERROR((1.0*(POWER(Upgrades!$P$6,E183)*POWER(Upgrades!$P$7,F183)*POWER(Upgrades!$P$8,G183)*POWER(Upgrades!$P$9,H183)*POWER(Upgrades!$P$10,I183)*POWER(Upgrades!$P$11,J183)*POWER(Upgrades!$P$12,K183))+0.20*M183*Parameters!$B$10*Parameters!$B$11/60)/Upgrades!$C$12,0)),IF(AND(ISNUMBER(AG183),AG183&gt;T183),AS183,0),IF(AND(ISNUMBER(AH183),AH183&gt;T183),AT183,0),IF(AND(ISNUMBER(AI183),AI183&gt;T183),AU183,0),IF(AND(ISNUMBER(AJ183),AJ183&gt;T183),AV183,0))</f>
        <v/>
      </c>
      <c r="AX183" s="29">
        <f>IF(AN183=1,"transition",IF(MIN(IF(AND(I183=0,ISNUMBER(AK183),AK183&lt;=T183),AK183,9E15),IF(AND(J183=0,ISNUMBER(AL183),AL183&lt;=T183),AL183,9E15),IF(AND(K183=0,ISNUMBER(AM183),AM183&lt;=T183),AM183,9E15))&lt;9E15,IF(AND(AND(I183=0,ISNUMBER(AK183),AK183&lt;=T183),AK183=MIN(IF(AND(I183=0,ISNUMBER(AK183),AK183&lt;=T183),AK183,9E15),IF(AND(J183=0,ISNUMBER(AL183),AL183&lt;=T183),AL183,9E15),IF(AND(K183=0,ISNUMBER(AM183),AM183&lt;=T183),AM183,9E15))),"OR",IF(AND(AND(J183=0,ISNUMBER(AL183),AL183&lt;=T183),AL183=MIN(IF(AND(I183=0,ISNUMBER(AK183),AK183&lt;=T183),AK183,9E15),IF(AND(J183=0,ISNUMBER(AL183),AL183&lt;=T183),AL183,9E15),IF(AND(K183=0,ISNUMBER(AM183),AM183&lt;=T183),AM183,9E15))),"HP","FP")),IF(AR183=TRUE,"",IF(MAX(IF(AND(NOT(AND(AO183=1,AN183&lt;&gt;1)),ISNUMBER(AG183),AG183&lt;=T183),AS183,0),IF(AND(NOT(AND(AO183=1,AN183&lt;&gt;1)),ISNUMBER(AH183),AH183&lt;=T183),AT183,0),IF(AND(NOT(AND(AO183=1,AN183&lt;&gt;1)),ISNUMBER(AI183),AI183&lt;=T183),AU183,0),IF(AND(ISNUMBER(AJ183),AJ183&lt;=T183),AV183,0))&lt;=0,"",IF(AND(IF(AND(NOT(AND(AO183=1,AN183&lt;&gt;1)),ISNUMBER(AG183),AG183&lt;=T183),AS183,0)&gt;0,IF(AND(NOT(AND(AO183=1,AN183&lt;&gt;1)),ISNUMBER(AG183),AG183&lt;=T183),AS183,0)=MAX(IF(AND(NOT(AND(AO183=1,AN183&lt;&gt;1)),ISNUMBER(AG183),AG183&lt;=T183),AS183,0),IF(AND(NOT(AND(AO183=1,AN183&lt;&gt;1)),ISNUMBER(AH183),AH183&lt;=T183),AT183,0),IF(AND(NOT(AND(AO183=1,AN183&lt;&gt;1)),ISNUMBER(AI183),AI183&lt;=T183),AU183,0),IF(AND(ISNUMBER(AJ183),AJ183&lt;=T183),AV183,0))),"SW",IF(AND(IF(AND(NOT(AND(AO183=1,AN183&lt;&gt;1)),ISNUMBER(AH183),AH183&lt;=T183),AT183,0)&gt;0,IF(AND(NOT(AND(AO183=1,AN183&lt;&gt;1)),ISNUMBER(AH183),AH183&lt;=T183),AT183,0)=MAX(IF(AND(NOT(AND(AO183=1,AN183&lt;&gt;1)),ISNUMBER(AG183),AG183&lt;=T183),AS183,0),IF(AND(NOT(AND(AO183=1,AN183&lt;&gt;1)),ISNUMBER(AH183),AH183&lt;=T183),AT183,0),IF(AND(NOT(AND(AO183=1,AN183&lt;&gt;1)),ISNUMBER(AI183),AI183&lt;=T183),AU183,0),IF(AND(ISNUMBER(AJ183),AJ183&lt;=T183),AV183,0))),"AB",IF(AND(IF(AND(NOT(AND(AO183=1,AN183&lt;&gt;1)),ISNUMBER(AI183),AI183&lt;=T183),AU183,0)&gt;0,IF(AND(NOT(AND(AO183=1,AN183&lt;&gt;1)),ISNUMBER(AI183),AI183&lt;=T183),AU183,0)=MAX(IF(AND(NOT(AND(AO183=1,AN183&lt;&gt;1)),ISNUMBER(AG183),AG183&lt;=T183),AS183,0),IF(AND(NOT(AND(AO183=1,AN183&lt;&gt;1)),ISNUMBER(AH183),AH183&lt;=T183),AT183,0),IF(AND(NOT(AND(AO183=1,AN183&lt;&gt;1)),ISNUMBER(AI183),AI183&lt;=T183),AU183,0),IF(AND(ISNUMBER(AJ183),AJ183&lt;=T183),AV183,0))),"SC","Mag")))))))</f>
        <v/>
      </c>
    </row>
    <row r="184">
      <c r="A184" s="26" t="n">
        <v>179</v>
      </c>
      <c r="B184" s="27">
        <f>A184*10/60</f>
        <v/>
      </c>
      <c r="C184" s="22">
        <f>X183</f>
        <v/>
      </c>
      <c r="D184" s="27">
        <f>D183+W183</f>
        <v/>
      </c>
      <c r="E184" s="26">
        <f>E183+IF(U183="SW",1,0)</f>
        <v/>
      </c>
      <c r="F184" s="26">
        <f>F183+IF(U183="AB",1,0)</f>
        <v/>
      </c>
      <c r="G184" s="26">
        <f>G183+IF(U183="SC",1,0)</f>
        <v/>
      </c>
      <c r="H184" s="26">
        <f>H183+IF(U183="Mag",1,0)</f>
        <v/>
      </c>
      <c r="I184" s="26">
        <f>MAX(I183,IF(U183="OR",1,0))</f>
        <v/>
      </c>
      <c r="J184" s="26">
        <f>MAX(J183,IF(U183="HP",1,0))</f>
        <v/>
      </c>
      <c r="K184" s="26">
        <f>MAX(K183,IF(U183="FP",1,0))</f>
        <v/>
      </c>
      <c r="L184" s="26">
        <f>MAX(L183,IF(U183="transition",1,0))</f>
        <v/>
      </c>
      <c r="M184" s="28">
        <f>(Parameters!$B$9+(IF(E184=0,0,(Upgrades!$J$6+E184*Upgrades!$K$6)*POWER(Upgrades!$L$6,E184)))*(IF(Upgrades!$T$7="Solar Wind",POWER(Upgrades!$U$7,F184),1)*IF(Upgrades!$T$8="Solar Wind",POWER(Upgrades!$U$8,G184),1)*IF(Upgrades!$T$9="Solar Wind",POWER(Upgrades!$U$9,H184),1)*IF(Upgrades!$T$10="Solar Wind",POWER(Upgrades!$U$10,I184),1)*IF(Upgrades!$T$11="Solar Wind",POWER(Upgrades!$U$11,J184),1)*IF(Upgrades!$T$12="Solar Wind",POWER(Upgrades!$U$12,K184),1))+(IF(F184=0,0,(Upgrades!$J$7+F184*Upgrades!$K$7)*POWER(Upgrades!$L$7,F184)))*(IF(Upgrades!$T$6="Asteroid Belt",POWER(Upgrades!$U$6,E184),1)*IF(Upgrades!$T$8="Asteroid Belt",POWER(Upgrades!$U$8,G184),1)*IF(Upgrades!$T$9="Asteroid Belt",POWER(Upgrades!$U$9,H184),1)*IF(Upgrades!$T$10="Asteroid Belt",POWER(Upgrades!$U$10,I184),1)*IF(Upgrades!$T$11="Asteroid Belt",POWER(Upgrades!$U$11,J184),1)*IF(Upgrades!$T$12="Asteroid Belt",POWER(Upgrades!$U$12,K184),1))+(IF(G184=0,0,(Upgrades!$J$8+G184*Upgrades!$K$8)*POWER(Upgrades!$L$8,G184)))*(IF(Upgrades!$T$6="Stellar Coupling",POWER(Upgrades!$U$6,E184),1)*IF(Upgrades!$T$7="Stellar Coupling",POWER(Upgrades!$U$7,F184),1)*IF(Upgrades!$T$9="Stellar Coupling",POWER(Upgrades!$U$9,H184),1)*IF(Upgrades!$T$10="Stellar Coupling",POWER(Upgrades!$U$10,I184),1)*IF(Upgrades!$T$11="Stellar Coupling",POWER(Upgrades!$U$11,J184),1)*IF(Upgrades!$T$12="Stellar Coupling",POWER(Upgrades!$U$12,K184),1))+(IF(H184=0,0,(Upgrades!$J$9+H184*Upgrades!$K$9)*POWER(Upgrades!$L$9,H184)))*(IF(Upgrades!$T$6="Magnetosphere",POWER(Upgrades!$U$6,E184),1)*IF(Upgrades!$T$7="Magnetosphere",POWER(Upgrades!$U$7,F184),1)*IF(Upgrades!$T$8="Magnetosphere",POWER(Upgrades!$U$8,G184),1)*IF(Upgrades!$T$10="Magnetosphere",POWER(Upgrades!$U$10,I184),1)*IF(Upgrades!$T$11="Magnetosphere",POWER(Upgrades!$U$11,J184),1)*IF(Upgrades!$T$12="Magnetosphere",POWER(Upgrades!$U$12,K184),1))+(IF(I184=0,0,(Upgrades!$J$10+I184*Upgrades!$K$10)*POWER(Upgrades!$L$10,I184)))*(IF(Upgrades!$T$6="Orbital Resonance",POWER(Upgrades!$U$6,E184),1)*IF(Upgrades!$T$7="Orbital Resonance",POWER(Upgrades!$U$7,F184),1)*IF(Upgrades!$T$8="Orbital Resonance",POWER(Upgrades!$U$8,G184),1)*IF(Upgrades!$T$9="Orbital Resonance",POWER(Upgrades!$U$9,H184),1)*IF(Upgrades!$T$11="Orbital Resonance",POWER(Upgrades!$U$11,J184),1)*IF(Upgrades!$T$12="Orbital Resonance",POWER(Upgrades!$U$12,K184),1))+(IF(J184=0,0,(Upgrades!$J$11+J184*Upgrades!$K$11)*POWER(Upgrades!$L$11,J184)))*(IF(Upgrades!$T$6="Heliopause",POWER(Upgrades!$U$6,E184),1)*IF(Upgrades!$T$7="Heliopause",POWER(Upgrades!$U$7,F184),1)*IF(Upgrades!$T$8="Heliopause",POWER(Upgrades!$U$8,G184),1)*IF(Upgrades!$T$9="Heliopause",POWER(Upgrades!$U$9,H184),1)*IF(Upgrades!$T$10="Heliopause",POWER(Upgrades!$U$10,I184),1)*IF(Upgrades!$T$12="Heliopause",POWER(Upgrades!$U$12,K184),1))+(IF(K184=0,0,(Upgrades!$J$12+K184*Upgrades!$K$12)*POWER(Upgrades!$L$12,K184)))*(IF(Upgrades!$T$6="First Photons",POWER(Upgrades!$U$6,E184),1)*IF(Upgrades!$T$7="First Photons",POWER(Upgrades!$U$7,F184),1)*IF(Upgrades!$T$8="First Photons",POWER(Upgrades!$U$8,G184),1)*IF(Upgrades!$T$9="First Photons",POWER(Upgrades!$U$9,H184),1)*IF(Upgrades!$T$10="First Photons",POWER(Upgrades!$U$10,I184),1)*IF(Upgrades!$T$11="First Photons",POWER(Upgrades!$U$11,J184),1)))*POWER(Upgrades!$Q$6,E184)*POWER(Upgrades!$Q$7,F184)*POWER(Upgrades!$Q$8,G184)*POWER(Upgrades!$Q$9,H184)*POWER(Upgrades!$Q$10,I184)*POWER(Upgrades!$Q$11,J184)*POWER(Upgrades!$Q$12,K184)</f>
        <v/>
      </c>
      <c r="N184" s="28">
        <f>((IF(E184=0,0,(Upgrades!$G$6+E184*Upgrades!$H$6)*POWER(Upgrades!$I$6,E184)))*(IF(Upgrades!$T$7="Solar Wind",POWER(Upgrades!$U$7,F184),1)*IF(Upgrades!$T$8="Solar Wind",POWER(Upgrades!$U$8,G184),1)*IF(Upgrades!$T$9="Solar Wind",POWER(Upgrades!$U$9,H184),1)*IF(Upgrades!$T$10="Solar Wind",POWER(Upgrades!$U$10,I184),1)*IF(Upgrades!$T$11="Solar Wind",POWER(Upgrades!$U$11,J184),1)*IF(Upgrades!$T$12="Solar Wind",POWER(Upgrades!$U$12,K184),1))+(IF(F184=0,0,(Upgrades!$G$7+F184*Upgrades!$H$7)*POWER(Upgrades!$I$7,F184)))*(IF(Upgrades!$T$6="Asteroid Belt",POWER(Upgrades!$U$6,E184),1)*IF(Upgrades!$T$8="Asteroid Belt",POWER(Upgrades!$U$8,G184),1)*IF(Upgrades!$T$9="Asteroid Belt",POWER(Upgrades!$U$9,H184),1)*IF(Upgrades!$T$10="Asteroid Belt",POWER(Upgrades!$U$10,I184),1)*IF(Upgrades!$T$11="Asteroid Belt",POWER(Upgrades!$U$11,J184),1)*IF(Upgrades!$T$12="Asteroid Belt",POWER(Upgrades!$U$12,K184),1))+(IF(G184=0,0,(Upgrades!$G$8+G184*Upgrades!$H$8)*POWER(Upgrades!$I$8,G184)))*(IF(Upgrades!$T$6="Stellar Coupling",POWER(Upgrades!$U$6,E184),1)*IF(Upgrades!$T$7="Stellar Coupling",POWER(Upgrades!$U$7,F184),1)*IF(Upgrades!$T$9="Stellar Coupling",POWER(Upgrades!$U$9,H184),1)*IF(Upgrades!$T$10="Stellar Coupling",POWER(Upgrades!$U$10,I184),1)*IF(Upgrades!$T$11="Stellar Coupling",POWER(Upgrades!$U$11,J184),1)*IF(Upgrades!$T$12="Stellar Coupling",POWER(Upgrades!$U$12,K184),1))+(IF(H184=0,0,(Upgrades!$G$9+H184*Upgrades!$H$9)*POWER(Upgrades!$I$9,H184)))*(IF(Upgrades!$T$6="Magnetosphere",POWER(Upgrades!$U$6,E184),1)*IF(Upgrades!$T$7="Magnetosphere",POWER(Upgrades!$U$7,F184),1)*IF(Upgrades!$T$8="Magnetosphere",POWER(Upgrades!$U$8,G184),1)*IF(Upgrades!$T$10="Magnetosphere",POWER(Upgrades!$U$10,I184),1)*IF(Upgrades!$T$11="Magnetosphere",POWER(Upgrades!$U$11,J184),1)*IF(Upgrades!$T$12="Magnetosphere",POWER(Upgrades!$U$12,K184),1))+(IF(I184=0,0,(Upgrades!$G$10+I184*Upgrades!$H$10)*POWER(Upgrades!$I$10,I184)))*(IF(Upgrades!$T$6="Orbital Resonance",POWER(Upgrades!$U$6,E184),1)*IF(Upgrades!$T$7="Orbital Resonance",POWER(Upgrades!$U$7,F184),1)*IF(Upgrades!$T$8="Orbital Resonance",POWER(Upgrades!$U$8,G184),1)*IF(Upgrades!$T$9="Orbital Resonance",POWER(Upgrades!$U$9,H184),1)*IF(Upgrades!$T$11="Orbital Resonance",POWER(Upgrades!$U$11,J184),1)*IF(Upgrades!$T$12="Orbital Resonance",POWER(Upgrades!$U$12,K184),1))+(IF(J184=0,0,(Upgrades!$G$11+J184*Upgrades!$H$11)*POWER(Upgrades!$I$11,J184)))*(IF(Upgrades!$T$6="Heliopause",POWER(Upgrades!$U$6,E184),1)*IF(Upgrades!$T$7="Heliopause",POWER(Upgrades!$U$7,F184),1)*IF(Upgrades!$T$8="Heliopause",POWER(Upgrades!$U$8,G184),1)*IF(Upgrades!$T$9="Heliopause",POWER(Upgrades!$U$9,H184),1)*IF(Upgrades!$T$10="Heliopause",POWER(Upgrades!$U$10,I184),1)*IF(Upgrades!$T$12="Heliopause",POWER(Upgrades!$U$12,K184),1))+(IF(K184=0,0,(Upgrades!$G$12+K184*Upgrades!$H$12)*POWER(Upgrades!$I$12,K184)))*(IF(Upgrades!$T$6="First Photons",POWER(Upgrades!$U$6,E184),1)*IF(Upgrades!$T$7="First Photons",POWER(Upgrades!$U$7,F184),1)*IF(Upgrades!$T$8="First Photons",POWER(Upgrades!$U$8,G184),1)*IF(Upgrades!$T$9="First Photons",POWER(Upgrades!$U$9,H184),1)*IF(Upgrades!$T$10="First Photons",POWER(Upgrades!$U$10,I184),1)*IF(Upgrades!$T$11="First Photons",POWER(Upgrades!$U$11,J184),1)))*POWER(Upgrades!$P$6,E184)*POWER(Upgrades!$P$7,F184)*POWER(Upgrades!$P$8,G184)*POWER(Upgrades!$P$9,H184)*POWER(Upgrades!$P$10,I184)*POWER(Upgrades!$P$11,J184)*POWER(Upgrades!$P$12,K184)</f>
        <v/>
      </c>
      <c r="O184" s="28">
        <f>((IF(E184=0,0,(Upgrades!$M$6+E184*Upgrades!$N$6)*POWER(Upgrades!$O$6,E184)))*(IF(Upgrades!$T$7="Solar Wind",POWER(Upgrades!$U$7,F184),1)*IF(Upgrades!$T$8="Solar Wind",POWER(Upgrades!$U$8,G184),1)*IF(Upgrades!$T$9="Solar Wind",POWER(Upgrades!$U$9,H184),1)*IF(Upgrades!$T$10="Solar Wind",POWER(Upgrades!$U$10,I184),1)*IF(Upgrades!$T$11="Solar Wind",POWER(Upgrades!$U$11,J184),1)*IF(Upgrades!$T$12="Solar Wind",POWER(Upgrades!$U$12,K184),1))+(IF(F184=0,0,(Upgrades!$M$7+F184*Upgrades!$N$7)*POWER(Upgrades!$O$7,F184)))*(IF(Upgrades!$T$6="Asteroid Belt",POWER(Upgrades!$U$6,E184),1)*IF(Upgrades!$T$8="Asteroid Belt",POWER(Upgrades!$U$8,G184),1)*IF(Upgrades!$T$9="Asteroid Belt",POWER(Upgrades!$U$9,H184),1)*IF(Upgrades!$T$10="Asteroid Belt",POWER(Upgrades!$U$10,I184),1)*IF(Upgrades!$T$11="Asteroid Belt",POWER(Upgrades!$U$11,J184),1)*IF(Upgrades!$T$12="Asteroid Belt",POWER(Upgrades!$U$12,K184),1))+(IF(G184=0,0,(Upgrades!$M$8+G184*Upgrades!$N$8)*POWER(Upgrades!$O$8,G184)))*(IF(Upgrades!$T$6="Stellar Coupling",POWER(Upgrades!$U$6,E184),1)*IF(Upgrades!$T$7="Stellar Coupling",POWER(Upgrades!$U$7,F184),1)*IF(Upgrades!$T$9="Stellar Coupling",POWER(Upgrades!$U$9,H184),1)*IF(Upgrades!$T$10="Stellar Coupling",POWER(Upgrades!$U$10,I184),1)*IF(Upgrades!$T$11="Stellar Coupling",POWER(Upgrades!$U$11,J184),1)*IF(Upgrades!$T$12="Stellar Coupling",POWER(Upgrades!$U$12,K184),1))+(IF(H184=0,0,(Upgrades!$M$9+H184*Upgrades!$N$9)*POWER(Upgrades!$O$9,H184)))*(IF(Upgrades!$T$6="Magnetosphere",POWER(Upgrades!$U$6,E184),1)*IF(Upgrades!$T$7="Magnetosphere",POWER(Upgrades!$U$7,F184),1)*IF(Upgrades!$T$8="Magnetosphere",POWER(Upgrades!$U$8,G184),1)*IF(Upgrades!$T$10="Magnetosphere",POWER(Upgrades!$U$10,I184),1)*IF(Upgrades!$T$11="Magnetosphere",POWER(Upgrades!$U$11,J184),1)*IF(Upgrades!$T$12="Magnetosphere",POWER(Upgrades!$U$12,K184),1))+(IF(I184=0,0,(Upgrades!$M$10+I184*Upgrades!$N$10)*POWER(Upgrades!$O$10,I184)))*(IF(Upgrades!$T$6="Orbital Resonance",POWER(Upgrades!$U$6,E184),1)*IF(Upgrades!$T$7="Orbital Resonance",POWER(Upgrades!$U$7,F184),1)*IF(Upgrades!$T$8="Orbital Resonance",POWER(Upgrades!$U$8,G184),1)*IF(Upgrades!$T$9="Orbital Resonance",POWER(Upgrades!$U$9,H184),1)*IF(Upgrades!$T$11="Orbital Resonance",POWER(Upgrades!$U$11,J184),1)*IF(Upgrades!$T$12="Orbital Resonance",POWER(Upgrades!$U$12,K184),1))+(IF(J184=0,0,(Upgrades!$M$11+J184*Upgrades!$N$11)*POWER(Upgrades!$O$11,J184)))*(IF(Upgrades!$T$6="Heliopause",POWER(Upgrades!$U$6,E184),1)*IF(Upgrades!$T$7="Heliopause",POWER(Upgrades!$U$7,F184),1)*IF(Upgrades!$T$8="Heliopause",POWER(Upgrades!$U$8,G184),1)*IF(Upgrades!$T$9="Heliopause",POWER(Upgrades!$U$9,H184),1)*IF(Upgrades!$T$10="Heliopause",POWER(Upgrades!$U$10,I184),1)*IF(Upgrades!$T$12="Heliopause",POWER(Upgrades!$U$12,K184),1))+(IF(K184=0,0,(Upgrades!$M$12+K184*Upgrades!$N$12)*POWER(Upgrades!$O$12,K184)))*(IF(Upgrades!$T$6="First Photons",POWER(Upgrades!$U$6,E184),1)*IF(Upgrades!$T$7="First Photons",POWER(Upgrades!$U$7,F184),1)*IF(Upgrades!$T$8="First Photons",POWER(Upgrades!$U$8,G184),1)*IF(Upgrades!$T$9="First Photons",POWER(Upgrades!$U$9,H184),1)*IF(Upgrades!$T$10="First Photons",POWER(Upgrades!$U$10,I184),1)*IF(Upgrades!$T$11="First Photons",POWER(Upgrades!$U$11,J184),1)))*POWER(Upgrades!$R$6,E184)*POWER(Upgrades!$R$7,F184)*POWER(Upgrades!$R$8,G184)*POWER(Upgrades!$R$9,H184)*POWER(Upgrades!$R$10,I184)*POWER(Upgrades!$R$11,J184)*POWER(Upgrades!$R$12,K184)</f>
        <v/>
      </c>
      <c r="P184" s="27">
        <f>IF(L184=1,0,M184*Parameters!$B$10/60*Parameters!$B$11*10)</f>
        <v/>
      </c>
      <c r="Q184" s="27">
        <f>IF(L184=1,0,O184*M184*10)</f>
        <v/>
      </c>
      <c r="R184" s="27">
        <f>IF(L184=1,0,N184*10)</f>
        <v/>
      </c>
      <c r="S184" s="27">
        <f>P184+Q184+R184</f>
        <v/>
      </c>
      <c r="T184" s="22">
        <f>C184+S184</f>
        <v/>
      </c>
      <c r="U184" s="33">
        <f>AX184</f>
        <v/>
      </c>
      <c r="V184" s="22">
        <f>IF(U184="",0,IF(U184="transition",0,IF(U184="SW",AG184,IF(U184="AB",AH184,IF(U184="SC",AI184,IF(U184="Mag",AJ184,IF(U184="OR",AK184,IF(U184="HP",AL184,IF(U184="FP",AM184,0)))))))))</f>
        <v/>
      </c>
      <c r="W184" s="27">
        <f>IF(U184="OR",Upgrades!$F$10,IF(U184="HP",Upgrades!$F$11,IF(U184="transition",-Parameters!$B$18,0)))</f>
        <v/>
      </c>
      <c r="X184" s="22">
        <f>T184-V184</f>
        <v/>
      </c>
      <c r="Y184" s="30">
        <f>M184*Parameters!$B$10/60*Parameters!$B$11+O184*M184+N184</f>
        <v/>
      </c>
      <c r="Z184" s="34">
        <f>IF(U184="transition","→ Tier 2 (Stellar Neighborhood)",IF(U184="FP","First Photons — light begins, system quickens",IF(U184="HP","Heliopause acquired",IF(U184="OR","Orbital Resonance — passive multiplier active",IF(AND(AO184=1,L184=0,AN184&lt;&gt;1),"Cohesion ready (waiting on completionist upgrades)","")))))</f>
        <v/>
      </c>
      <c r="AA184" s="27">
        <f>(IF(E184=0,0,(Upgrades!$G$6+E184*Upgrades!$H$6)*POWER(Upgrades!$I$6,E184)))*(IF(Upgrades!$T$7="Solar Wind",POWER(Upgrades!$U$7,F184),1)*IF(Upgrades!$T$8="Solar Wind",POWER(Upgrades!$U$8,G184),1)*IF(Upgrades!$T$9="Solar Wind",POWER(Upgrades!$U$9,H184),1)*IF(Upgrades!$T$10="Solar Wind",POWER(Upgrades!$U$10,I184),1)*IF(Upgrades!$T$11="Solar Wind",POWER(Upgrades!$U$11,J184),1)*IF(Upgrades!$T$12="Solar Wind",POWER(Upgrades!$U$12,K184),1))*POWER(Upgrades!$P$6,E184)*POWER(Upgrades!$P$7,F184)*POWER(Upgrades!$P$8,G184)*POWER(Upgrades!$P$9,H184)*POWER(Upgrades!$P$10,I184)*POWER(Upgrades!$P$11,J184)*POWER(Upgrades!$P$12,K184)*60</f>
        <v/>
      </c>
      <c r="AB184" s="27">
        <f>(IF(F184=0,0,(Upgrades!$G$7+F184*Upgrades!$H$7)*POWER(Upgrades!$I$7,F184)))*(IF(Upgrades!$T$6="Asteroid Belt",POWER(Upgrades!$U$6,E184),1)*IF(Upgrades!$T$8="Asteroid Belt",POWER(Upgrades!$U$8,G184),1)*IF(Upgrades!$T$9="Asteroid Belt",POWER(Upgrades!$U$9,H184),1)*IF(Upgrades!$T$10="Asteroid Belt",POWER(Upgrades!$U$10,I184),1)*IF(Upgrades!$T$11="Asteroid Belt",POWER(Upgrades!$U$11,J184),1)*IF(Upgrades!$T$12="Asteroid Belt",POWER(Upgrades!$U$12,K184),1))*POWER(Upgrades!$P$6,E184)*POWER(Upgrades!$P$7,F184)*POWER(Upgrades!$P$8,G184)*POWER(Upgrades!$P$9,H184)*POWER(Upgrades!$P$10,I184)*POWER(Upgrades!$P$11,J184)*POWER(Upgrades!$P$12,K184)*60</f>
        <v/>
      </c>
      <c r="AC184" s="27">
        <f>(IF(G184=0,0,(Upgrades!$J$8+G184*Upgrades!$K$8)*POWER(Upgrades!$L$8,G184)))*(IF(Upgrades!$T$6="Stellar Coupling",POWER(Upgrades!$U$6,E184),1)*IF(Upgrades!$T$7="Stellar Coupling",POWER(Upgrades!$U$7,F184),1)*IF(Upgrades!$T$9="Stellar Coupling",POWER(Upgrades!$U$9,H184),1)*IF(Upgrades!$T$10="Stellar Coupling",POWER(Upgrades!$U$10,I184),1)*IF(Upgrades!$T$11="Stellar Coupling",POWER(Upgrades!$U$11,J184),1)*IF(Upgrades!$T$12="Stellar Coupling",POWER(Upgrades!$U$12,K184),1))*POWER(Upgrades!$Q$6,E184)*POWER(Upgrades!$Q$7,F184)*POWER(Upgrades!$Q$8,G184)*POWER(Upgrades!$Q$9,H184)*POWER(Upgrades!$Q$10,I184)*POWER(Upgrades!$Q$11,J184)*POWER(Upgrades!$Q$12,K184)*Parameters!$B$10*Parameters!$B$11</f>
        <v/>
      </c>
      <c r="AD184" s="27">
        <f>(IF(H184=0,0,(Upgrades!$G$9+H184*Upgrades!$H$9)*POWER(Upgrades!$I$9,H184)))*(IF(Upgrades!$T$6="Magnetosphere",POWER(Upgrades!$U$6,E184),1)*IF(Upgrades!$T$7="Magnetosphere",POWER(Upgrades!$U$7,F184),1)*IF(Upgrades!$T$8="Magnetosphere",POWER(Upgrades!$U$8,G184),1)*IF(Upgrades!$T$10="Magnetosphere",POWER(Upgrades!$U$10,I184),1)*IF(Upgrades!$T$11="Magnetosphere",POWER(Upgrades!$U$11,J184),1)*IF(Upgrades!$T$12="Magnetosphere",POWER(Upgrades!$U$12,K184),1))*POWER(Upgrades!$P$6,E184)*POWER(Upgrades!$P$7,F184)*POWER(Upgrades!$P$8,G184)*POWER(Upgrades!$P$9,H184)*POWER(Upgrades!$P$10,I184)*POWER(Upgrades!$P$11,J184)*POWER(Upgrades!$P$12,K184)*60</f>
        <v/>
      </c>
      <c r="AE184" s="27">
        <f>(IF(K184=0,0,(Upgrades!$G$12+K184*Upgrades!$H$12)*POWER(Upgrades!$I$12,K184)))*(IF(Upgrades!$T$6="First Photons",POWER(Upgrades!$U$6,E184),1)*IF(Upgrades!$T$7="First Photons",POWER(Upgrades!$U$7,F184),1)*IF(Upgrades!$T$8="First Photons",POWER(Upgrades!$U$8,G184),1)*IF(Upgrades!$T$9="First Photons",POWER(Upgrades!$U$9,H184),1)*IF(Upgrades!$T$10="First Photons",POWER(Upgrades!$U$10,I184),1)*IF(Upgrades!$T$11="First Photons",POWER(Upgrades!$U$11,J184),1))*POWER(Upgrades!$P$6,E184)*POWER(Upgrades!$P$7,F184)*POWER(Upgrades!$P$8,G184)*POWER(Upgrades!$P$9,H184)*POWER(Upgrades!$P$10,I184)*POWER(Upgrades!$P$11,J184)*POWER(Upgrades!$P$12,K184)*60</f>
        <v/>
      </c>
      <c r="AF184" s="27">
        <f>Parameters!$B$9*POWER(Upgrades!$Q$6,E184)*POWER(Upgrades!$Q$7,F184)*POWER(Upgrades!$Q$8,G184)*POWER(Upgrades!$Q$9,H184)*POWER(Upgrades!$Q$10,I184)*POWER(Upgrades!$Q$11,J184)*POWER(Upgrades!$Q$12,K184)*(Parameters!$B$10*Parameters!$B$11+O184*60)</f>
        <v/>
      </c>
      <c r="AG184" s="22">
        <f>IF(E184&gt;=Upgrades!$E$6,"",Upgrades!$C$6*POWER(Upgrades!$D$6,E184))</f>
        <v/>
      </c>
      <c r="AH184" s="22">
        <f>IF(F184&gt;=Upgrades!$E$7,"",Upgrades!$C$7*POWER(Upgrades!$D$7,F184))</f>
        <v/>
      </c>
      <c r="AI184" s="22">
        <f>IF(G184&gt;=Upgrades!$E$8,"",Upgrades!$C$8*POWER(Upgrades!$D$8,G184))</f>
        <v/>
      </c>
      <c r="AJ184" s="22">
        <f>IF(H184&gt;=Upgrades!$E$9,"",Upgrades!$C$9*POWER(Upgrades!$D$9,H184))</f>
        <v/>
      </c>
      <c r="AK184" s="22">
        <f>IF(I184&gt;=Upgrades!$E$10,"",Upgrades!$C$10*POWER(Upgrades!$D$10,I184))</f>
        <v/>
      </c>
      <c r="AL184" s="22">
        <f>IF(J184&gt;=Upgrades!$E$11,"",Upgrades!$C$11*POWER(Upgrades!$D$11,J184))</f>
        <v/>
      </c>
      <c r="AM184" s="22">
        <f>IF(K184&gt;=Upgrades!$E$12,"",Upgrades!$C$12*POWER(Upgrades!$D$12,K184))</f>
        <v/>
      </c>
      <c r="AN184" s="26">
        <f>IF(AND(D184&gt;=Parameters!$B$18,(H184&gt;=Upgrades!$E$9)*(K184&gt;=Upgrades!$E$12)=1,L184=0),1,"")</f>
        <v/>
      </c>
      <c r="AO184" s="26">
        <f>IF(AND(D184&gt;=Parameters!$B$18,L184=0),1,"")</f>
        <v/>
      </c>
      <c r="AP184" s="22">
        <f>MIN(IF(ISNUMBER(AK184),AK184,9E15),IF(ISNUMBER(AL184),AL184,9E15),IF(ISNUMBER(AM184),AM184,9E15))</f>
        <v/>
      </c>
      <c r="AQ184" s="22">
        <f>MIN(IF(ISNUMBER(AG184),AG184,9E15),IF(ISNUMBER(AH184),AH184,9E15),IF(ISNUMBER(AI184),AI184,9E15),IF(ISNUMBER(AJ184),AJ184,9E15))</f>
        <v/>
      </c>
      <c r="AR184" s="29">
        <f>IF(AW184&gt;Parameters!$B$21*(MAX(IF(AND(NOT(AND(AO184=1,AN184&lt;&gt;1)),ISNUMBER(AG184),AG184&lt;=T184),AS184,0),IF(AND(NOT(AND(AO184=1,AN184&lt;&gt;1)),ISNUMBER(AH184),AH184&lt;=T184),AT184,0),IF(AND(NOT(AND(AO184=1,AN184&lt;&gt;1)),ISNUMBER(AI184),AI184&lt;=T184),AU184,0),IF(AND(ISNUMBER(AJ184),AJ184&lt;=T184),AV184,0))),TRUE,FALSE)</f>
        <v/>
      </c>
      <c r="AS184" s="32">
        <f>IFERROR(Upgrades!$H$6*(POWER(Upgrades!$P$6,E184)*POWER(Upgrades!$P$7,F184)*POWER(Upgrades!$P$8,G184)*POWER(Upgrades!$P$9,H184)*POWER(Upgrades!$P$10,I184)*POWER(Upgrades!$P$11,J184)*POWER(Upgrades!$P$12,K184))*(IF(Upgrades!$T$7="Solar Wind",POWER(Upgrades!$U$7,F184),1)*IF(Upgrades!$T$8="Solar Wind",POWER(Upgrades!$U$8,G184),1)*IF(Upgrades!$T$9="Solar Wind",POWER(Upgrades!$U$9,H184),1)*IF(Upgrades!$T$10="Solar Wind",POWER(Upgrades!$U$10,I184),1)*IF(Upgrades!$T$11="Solar Wind",POWER(Upgrades!$U$11,J184),1)*IF(Upgrades!$T$12="Solar Wind",POWER(Upgrades!$U$12,K184),1))/AG184,0)</f>
        <v/>
      </c>
      <c r="AT184" s="32">
        <f>IFERROR(Upgrades!$H$7*(POWER(Upgrades!$P$6,E184)*POWER(Upgrades!$P$7,F184)*POWER(Upgrades!$P$8,G184)*POWER(Upgrades!$P$9,H184)*POWER(Upgrades!$P$10,I184)*POWER(Upgrades!$P$11,J184)*POWER(Upgrades!$P$12,K184))*(IF(Upgrades!$T$6="Asteroid Belt",POWER(Upgrades!$U$6,E184),1)*IF(Upgrades!$T$8="Asteroid Belt",POWER(Upgrades!$U$8,G184),1)*IF(Upgrades!$T$9="Asteroid Belt",POWER(Upgrades!$U$9,H184),1)*IF(Upgrades!$T$10="Asteroid Belt",POWER(Upgrades!$U$10,I184),1)*IF(Upgrades!$T$11="Asteroid Belt",POWER(Upgrades!$U$11,J184),1)*IF(Upgrades!$T$12="Asteroid Belt",POWER(Upgrades!$U$12,K184),1))/AH184,0)</f>
        <v/>
      </c>
      <c r="AU184" s="32">
        <f>IFERROR(Upgrades!$K$8*(POWER(Upgrades!$Q$6,E184)*POWER(Upgrades!$Q$7,F184)*POWER(Upgrades!$Q$8,G184)*POWER(Upgrades!$Q$9,H184)*POWER(Upgrades!$Q$10,I184)*POWER(Upgrades!$Q$11,J184)*POWER(Upgrades!$Q$12,K184))*(IF(Upgrades!$T$6="Stellar Coupling",POWER(Upgrades!$U$6,E184),1)*IF(Upgrades!$T$7="Stellar Coupling",POWER(Upgrades!$U$7,F184),1)*IF(Upgrades!$T$9="Stellar Coupling",POWER(Upgrades!$U$9,H184),1)*IF(Upgrades!$T$10="Stellar Coupling",POWER(Upgrades!$U$10,I184),1)*IF(Upgrades!$T$11="Stellar Coupling",POWER(Upgrades!$U$11,J184),1)*IF(Upgrades!$T$12="Stellar Coupling",POWER(Upgrades!$U$12,K184),1))*Parameters!$B$10*Parameters!$B$11/60/AI184,0)</f>
        <v/>
      </c>
      <c r="AV184" s="32">
        <f>IFERROR(Upgrades!$H$9*(POWER(Upgrades!$P$6,E184)*POWER(Upgrades!$P$7,F184)*POWER(Upgrades!$P$8,G184)*POWER(Upgrades!$P$9,H184)*POWER(Upgrades!$P$10,I184)*POWER(Upgrades!$P$11,J184)*POWER(Upgrades!$P$12,K184))*(IF(Upgrades!$T$6="Magnetosphere",POWER(Upgrades!$U$6,E184),1)*IF(Upgrades!$T$7="Magnetosphere",POWER(Upgrades!$U$7,F184),1)*IF(Upgrades!$T$8="Magnetosphere",POWER(Upgrades!$U$8,G184),1)*IF(Upgrades!$T$10="Magnetosphere",POWER(Upgrades!$U$10,I184),1)*IF(Upgrades!$T$11="Magnetosphere",POWER(Upgrades!$U$11,J184),1)*IF(Upgrades!$T$12="Magnetosphere",POWER(Upgrades!$U$12,K184),1))/AJ184,0)</f>
        <v/>
      </c>
      <c r="AW184" s="32">
        <f>MAX(IF(I184&gt;0,0,IFERROR(0.25*N184/Upgrades!$C$10,0)),IF(J184&gt;0,0,IFERROR(0.5*((IF(G184=0,0,(Upgrades!$J$8+G184*Upgrades!$K$8)*POWER(Upgrades!$L$8,G184)))*(IF(Upgrades!$T$6="Stellar Coupling",POWER(Upgrades!$U$6,E184),1)*IF(Upgrades!$T$7="Stellar Coupling",POWER(Upgrades!$U$7,F184),1)*IF(Upgrades!$T$9="Stellar Coupling",POWER(Upgrades!$U$9,H184),1)*IF(Upgrades!$T$10="Stellar Coupling",POWER(Upgrades!$U$10,I184),1)*IF(Upgrades!$T$11="Stellar Coupling",POWER(Upgrades!$U$11,J184),1)*IF(Upgrades!$T$12="Stellar Coupling",POWER(Upgrades!$U$12,K184),1))*(POWER(Upgrades!$Q$6,E184)*POWER(Upgrades!$Q$7,F184)*POWER(Upgrades!$Q$8,G184)*POWER(Upgrades!$Q$9,H184)*POWER(Upgrades!$Q$10,I184)*POWER(Upgrades!$Q$11,J184)*POWER(Upgrades!$Q$12,K184))*Parameters!$B$10*Parameters!$B$11/60)/Upgrades!$C$11,0)),IF(K184&gt;0,0,IFERROR((1.0*(POWER(Upgrades!$P$6,E184)*POWER(Upgrades!$P$7,F184)*POWER(Upgrades!$P$8,G184)*POWER(Upgrades!$P$9,H184)*POWER(Upgrades!$P$10,I184)*POWER(Upgrades!$P$11,J184)*POWER(Upgrades!$P$12,K184))+0.20*M184*Parameters!$B$10*Parameters!$B$11/60)/Upgrades!$C$12,0)),IF(AND(ISNUMBER(AG184),AG184&gt;T184),AS184,0),IF(AND(ISNUMBER(AH184),AH184&gt;T184),AT184,0),IF(AND(ISNUMBER(AI184),AI184&gt;T184),AU184,0),IF(AND(ISNUMBER(AJ184),AJ184&gt;T184),AV184,0))</f>
        <v/>
      </c>
      <c r="AX184" s="29">
        <f>IF(AN184=1,"transition",IF(MIN(IF(AND(I184=0,ISNUMBER(AK184),AK184&lt;=T184),AK184,9E15),IF(AND(J184=0,ISNUMBER(AL184),AL184&lt;=T184),AL184,9E15),IF(AND(K184=0,ISNUMBER(AM184),AM184&lt;=T184),AM184,9E15))&lt;9E15,IF(AND(AND(I184=0,ISNUMBER(AK184),AK184&lt;=T184),AK184=MIN(IF(AND(I184=0,ISNUMBER(AK184),AK184&lt;=T184),AK184,9E15),IF(AND(J184=0,ISNUMBER(AL184),AL184&lt;=T184),AL184,9E15),IF(AND(K184=0,ISNUMBER(AM184),AM184&lt;=T184),AM184,9E15))),"OR",IF(AND(AND(J184=0,ISNUMBER(AL184),AL184&lt;=T184),AL184=MIN(IF(AND(I184=0,ISNUMBER(AK184),AK184&lt;=T184),AK184,9E15),IF(AND(J184=0,ISNUMBER(AL184),AL184&lt;=T184),AL184,9E15),IF(AND(K184=0,ISNUMBER(AM184),AM184&lt;=T184),AM184,9E15))),"HP","FP")),IF(AR184=TRUE,"",IF(MAX(IF(AND(NOT(AND(AO184=1,AN184&lt;&gt;1)),ISNUMBER(AG184),AG184&lt;=T184),AS184,0),IF(AND(NOT(AND(AO184=1,AN184&lt;&gt;1)),ISNUMBER(AH184),AH184&lt;=T184),AT184,0),IF(AND(NOT(AND(AO184=1,AN184&lt;&gt;1)),ISNUMBER(AI184),AI184&lt;=T184),AU184,0),IF(AND(ISNUMBER(AJ184),AJ184&lt;=T184),AV184,0))&lt;=0,"",IF(AND(IF(AND(NOT(AND(AO184=1,AN184&lt;&gt;1)),ISNUMBER(AG184),AG184&lt;=T184),AS184,0)&gt;0,IF(AND(NOT(AND(AO184=1,AN184&lt;&gt;1)),ISNUMBER(AG184),AG184&lt;=T184),AS184,0)=MAX(IF(AND(NOT(AND(AO184=1,AN184&lt;&gt;1)),ISNUMBER(AG184),AG184&lt;=T184),AS184,0),IF(AND(NOT(AND(AO184=1,AN184&lt;&gt;1)),ISNUMBER(AH184),AH184&lt;=T184),AT184,0),IF(AND(NOT(AND(AO184=1,AN184&lt;&gt;1)),ISNUMBER(AI184),AI184&lt;=T184),AU184,0),IF(AND(ISNUMBER(AJ184),AJ184&lt;=T184),AV184,0))),"SW",IF(AND(IF(AND(NOT(AND(AO184=1,AN184&lt;&gt;1)),ISNUMBER(AH184),AH184&lt;=T184),AT184,0)&gt;0,IF(AND(NOT(AND(AO184=1,AN184&lt;&gt;1)),ISNUMBER(AH184),AH184&lt;=T184),AT184,0)=MAX(IF(AND(NOT(AND(AO184=1,AN184&lt;&gt;1)),ISNUMBER(AG184),AG184&lt;=T184),AS184,0),IF(AND(NOT(AND(AO184=1,AN184&lt;&gt;1)),ISNUMBER(AH184),AH184&lt;=T184),AT184,0),IF(AND(NOT(AND(AO184=1,AN184&lt;&gt;1)),ISNUMBER(AI184),AI184&lt;=T184),AU184,0),IF(AND(ISNUMBER(AJ184),AJ184&lt;=T184),AV184,0))),"AB",IF(AND(IF(AND(NOT(AND(AO184=1,AN184&lt;&gt;1)),ISNUMBER(AI184),AI184&lt;=T184),AU184,0)&gt;0,IF(AND(NOT(AND(AO184=1,AN184&lt;&gt;1)),ISNUMBER(AI184),AI184&lt;=T184),AU184,0)=MAX(IF(AND(NOT(AND(AO184=1,AN184&lt;&gt;1)),ISNUMBER(AG184),AG184&lt;=T184),AS184,0),IF(AND(NOT(AND(AO184=1,AN184&lt;&gt;1)),ISNUMBER(AH184),AH184&lt;=T184),AT184,0),IF(AND(NOT(AND(AO184=1,AN184&lt;&gt;1)),ISNUMBER(AI184),AI184&lt;=T184),AU184,0),IF(AND(ISNUMBER(AJ184),AJ184&lt;=T184),AV184,0))),"SC","Mag")))))))</f>
        <v/>
      </c>
    </row>
    <row r="185">
      <c r="A185" s="26" t="n">
        <v>180</v>
      </c>
      <c r="B185" s="27">
        <f>A185*10/60</f>
        <v/>
      </c>
      <c r="C185" s="22">
        <f>X184</f>
        <v/>
      </c>
      <c r="D185" s="27">
        <f>D184+W184</f>
        <v/>
      </c>
      <c r="E185" s="26">
        <f>E184+IF(U184="SW",1,0)</f>
        <v/>
      </c>
      <c r="F185" s="26">
        <f>F184+IF(U184="AB",1,0)</f>
        <v/>
      </c>
      <c r="G185" s="26">
        <f>G184+IF(U184="SC",1,0)</f>
        <v/>
      </c>
      <c r="H185" s="26">
        <f>H184+IF(U184="Mag",1,0)</f>
        <v/>
      </c>
      <c r="I185" s="26">
        <f>MAX(I184,IF(U184="OR",1,0))</f>
        <v/>
      </c>
      <c r="J185" s="26">
        <f>MAX(J184,IF(U184="HP",1,0))</f>
        <v/>
      </c>
      <c r="K185" s="26">
        <f>MAX(K184,IF(U184="FP",1,0))</f>
        <v/>
      </c>
      <c r="L185" s="26">
        <f>MAX(L184,IF(U184="transition",1,0))</f>
        <v/>
      </c>
      <c r="M185" s="28">
        <f>(Parameters!$B$9+(IF(E185=0,0,(Upgrades!$J$6+E185*Upgrades!$K$6)*POWER(Upgrades!$L$6,E185)))*(IF(Upgrades!$T$7="Solar Wind",POWER(Upgrades!$U$7,F185),1)*IF(Upgrades!$T$8="Solar Wind",POWER(Upgrades!$U$8,G185),1)*IF(Upgrades!$T$9="Solar Wind",POWER(Upgrades!$U$9,H185),1)*IF(Upgrades!$T$10="Solar Wind",POWER(Upgrades!$U$10,I185),1)*IF(Upgrades!$T$11="Solar Wind",POWER(Upgrades!$U$11,J185),1)*IF(Upgrades!$T$12="Solar Wind",POWER(Upgrades!$U$12,K185),1))+(IF(F185=0,0,(Upgrades!$J$7+F185*Upgrades!$K$7)*POWER(Upgrades!$L$7,F185)))*(IF(Upgrades!$T$6="Asteroid Belt",POWER(Upgrades!$U$6,E185),1)*IF(Upgrades!$T$8="Asteroid Belt",POWER(Upgrades!$U$8,G185),1)*IF(Upgrades!$T$9="Asteroid Belt",POWER(Upgrades!$U$9,H185),1)*IF(Upgrades!$T$10="Asteroid Belt",POWER(Upgrades!$U$10,I185),1)*IF(Upgrades!$T$11="Asteroid Belt",POWER(Upgrades!$U$11,J185),1)*IF(Upgrades!$T$12="Asteroid Belt",POWER(Upgrades!$U$12,K185),1))+(IF(G185=0,0,(Upgrades!$J$8+G185*Upgrades!$K$8)*POWER(Upgrades!$L$8,G185)))*(IF(Upgrades!$T$6="Stellar Coupling",POWER(Upgrades!$U$6,E185),1)*IF(Upgrades!$T$7="Stellar Coupling",POWER(Upgrades!$U$7,F185),1)*IF(Upgrades!$T$9="Stellar Coupling",POWER(Upgrades!$U$9,H185),1)*IF(Upgrades!$T$10="Stellar Coupling",POWER(Upgrades!$U$10,I185),1)*IF(Upgrades!$T$11="Stellar Coupling",POWER(Upgrades!$U$11,J185),1)*IF(Upgrades!$T$12="Stellar Coupling",POWER(Upgrades!$U$12,K185),1))+(IF(H185=0,0,(Upgrades!$J$9+H185*Upgrades!$K$9)*POWER(Upgrades!$L$9,H185)))*(IF(Upgrades!$T$6="Magnetosphere",POWER(Upgrades!$U$6,E185),1)*IF(Upgrades!$T$7="Magnetosphere",POWER(Upgrades!$U$7,F185),1)*IF(Upgrades!$T$8="Magnetosphere",POWER(Upgrades!$U$8,G185),1)*IF(Upgrades!$T$10="Magnetosphere",POWER(Upgrades!$U$10,I185),1)*IF(Upgrades!$T$11="Magnetosphere",POWER(Upgrades!$U$11,J185),1)*IF(Upgrades!$T$12="Magnetosphere",POWER(Upgrades!$U$12,K185),1))+(IF(I185=0,0,(Upgrades!$J$10+I185*Upgrades!$K$10)*POWER(Upgrades!$L$10,I185)))*(IF(Upgrades!$T$6="Orbital Resonance",POWER(Upgrades!$U$6,E185),1)*IF(Upgrades!$T$7="Orbital Resonance",POWER(Upgrades!$U$7,F185),1)*IF(Upgrades!$T$8="Orbital Resonance",POWER(Upgrades!$U$8,G185),1)*IF(Upgrades!$T$9="Orbital Resonance",POWER(Upgrades!$U$9,H185),1)*IF(Upgrades!$T$11="Orbital Resonance",POWER(Upgrades!$U$11,J185),1)*IF(Upgrades!$T$12="Orbital Resonance",POWER(Upgrades!$U$12,K185),1))+(IF(J185=0,0,(Upgrades!$J$11+J185*Upgrades!$K$11)*POWER(Upgrades!$L$11,J185)))*(IF(Upgrades!$T$6="Heliopause",POWER(Upgrades!$U$6,E185),1)*IF(Upgrades!$T$7="Heliopause",POWER(Upgrades!$U$7,F185),1)*IF(Upgrades!$T$8="Heliopause",POWER(Upgrades!$U$8,G185),1)*IF(Upgrades!$T$9="Heliopause",POWER(Upgrades!$U$9,H185),1)*IF(Upgrades!$T$10="Heliopause",POWER(Upgrades!$U$10,I185),1)*IF(Upgrades!$T$12="Heliopause",POWER(Upgrades!$U$12,K185),1))+(IF(K185=0,0,(Upgrades!$J$12+K185*Upgrades!$K$12)*POWER(Upgrades!$L$12,K185)))*(IF(Upgrades!$T$6="First Photons",POWER(Upgrades!$U$6,E185),1)*IF(Upgrades!$T$7="First Photons",POWER(Upgrades!$U$7,F185),1)*IF(Upgrades!$T$8="First Photons",POWER(Upgrades!$U$8,G185),1)*IF(Upgrades!$T$9="First Photons",POWER(Upgrades!$U$9,H185),1)*IF(Upgrades!$T$10="First Photons",POWER(Upgrades!$U$10,I185),1)*IF(Upgrades!$T$11="First Photons",POWER(Upgrades!$U$11,J185),1)))*POWER(Upgrades!$Q$6,E185)*POWER(Upgrades!$Q$7,F185)*POWER(Upgrades!$Q$8,G185)*POWER(Upgrades!$Q$9,H185)*POWER(Upgrades!$Q$10,I185)*POWER(Upgrades!$Q$11,J185)*POWER(Upgrades!$Q$12,K185)</f>
        <v/>
      </c>
      <c r="N185" s="28">
        <f>((IF(E185=0,0,(Upgrades!$G$6+E185*Upgrades!$H$6)*POWER(Upgrades!$I$6,E185)))*(IF(Upgrades!$T$7="Solar Wind",POWER(Upgrades!$U$7,F185),1)*IF(Upgrades!$T$8="Solar Wind",POWER(Upgrades!$U$8,G185),1)*IF(Upgrades!$T$9="Solar Wind",POWER(Upgrades!$U$9,H185),1)*IF(Upgrades!$T$10="Solar Wind",POWER(Upgrades!$U$10,I185),1)*IF(Upgrades!$T$11="Solar Wind",POWER(Upgrades!$U$11,J185),1)*IF(Upgrades!$T$12="Solar Wind",POWER(Upgrades!$U$12,K185),1))+(IF(F185=0,0,(Upgrades!$G$7+F185*Upgrades!$H$7)*POWER(Upgrades!$I$7,F185)))*(IF(Upgrades!$T$6="Asteroid Belt",POWER(Upgrades!$U$6,E185),1)*IF(Upgrades!$T$8="Asteroid Belt",POWER(Upgrades!$U$8,G185),1)*IF(Upgrades!$T$9="Asteroid Belt",POWER(Upgrades!$U$9,H185),1)*IF(Upgrades!$T$10="Asteroid Belt",POWER(Upgrades!$U$10,I185),1)*IF(Upgrades!$T$11="Asteroid Belt",POWER(Upgrades!$U$11,J185),1)*IF(Upgrades!$T$12="Asteroid Belt",POWER(Upgrades!$U$12,K185),1))+(IF(G185=0,0,(Upgrades!$G$8+G185*Upgrades!$H$8)*POWER(Upgrades!$I$8,G185)))*(IF(Upgrades!$T$6="Stellar Coupling",POWER(Upgrades!$U$6,E185),1)*IF(Upgrades!$T$7="Stellar Coupling",POWER(Upgrades!$U$7,F185),1)*IF(Upgrades!$T$9="Stellar Coupling",POWER(Upgrades!$U$9,H185),1)*IF(Upgrades!$T$10="Stellar Coupling",POWER(Upgrades!$U$10,I185),1)*IF(Upgrades!$T$11="Stellar Coupling",POWER(Upgrades!$U$11,J185),1)*IF(Upgrades!$T$12="Stellar Coupling",POWER(Upgrades!$U$12,K185),1))+(IF(H185=0,0,(Upgrades!$G$9+H185*Upgrades!$H$9)*POWER(Upgrades!$I$9,H185)))*(IF(Upgrades!$T$6="Magnetosphere",POWER(Upgrades!$U$6,E185),1)*IF(Upgrades!$T$7="Magnetosphere",POWER(Upgrades!$U$7,F185),1)*IF(Upgrades!$T$8="Magnetosphere",POWER(Upgrades!$U$8,G185),1)*IF(Upgrades!$T$10="Magnetosphere",POWER(Upgrades!$U$10,I185),1)*IF(Upgrades!$T$11="Magnetosphere",POWER(Upgrades!$U$11,J185),1)*IF(Upgrades!$T$12="Magnetosphere",POWER(Upgrades!$U$12,K185),1))+(IF(I185=0,0,(Upgrades!$G$10+I185*Upgrades!$H$10)*POWER(Upgrades!$I$10,I185)))*(IF(Upgrades!$T$6="Orbital Resonance",POWER(Upgrades!$U$6,E185),1)*IF(Upgrades!$T$7="Orbital Resonance",POWER(Upgrades!$U$7,F185),1)*IF(Upgrades!$T$8="Orbital Resonance",POWER(Upgrades!$U$8,G185),1)*IF(Upgrades!$T$9="Orbital Resonance",POWER(Upgrades!$U$9,H185),1)*IF(Upgrades!$T$11="Orbital Resonance",POWER(Upgrades!$U$11,J185),1)*IF(Upgrades!$T$12="Orbital Resonance",POWER(Upgrades!$U$12,K185),1))+(IF(J185=0,0,(Upgrades!$G$11+J185*Upgrades!$H$11)*POWER(Upgrades!$I$11,J185)))*(IF(Upgrades!$T$6="Heliopause",POWER(Upgrades!$U$6,E185),1)*IF(Upgrades!$T$7="Heliopause",POWER(Upgrades!$U$7,F185),1)*IF(Upgrades!$T$8="Heliopause",POWER(Upgrades!$U$8,G185),1)*IF(Upgrades!$T$9="Heliopause",POWER(Upgrades!$U$9,H185),1)*IF(Upgrades!$T$10="Heliopause",POWER(Upgrades!$U$10,I185),1)*IF(Upgrades!$T$12="Heliopause",POWER(Upgrades!$U$12,K185),1))+(IF(K185=0,0,(Upgrades!$G$12+K185*Upgrades!$H$12)*POWER(Upgrades!$I$12,K185)))*(IF(Upgrades!$T$6="First Photons",POWER(Upgrades!$U$6,E185),1)*IF(Upgrades!$T$7="First Photons",POWER(Upgrades!$U$7,F185),1)*IF(Upgrades!$T$8="First Photons",POWER(Upgrades!$U$8,G185),1)*IF(Upgrades!$T$9="First Photons",POWER(Upgrades!$U$9,H185),1)*IF(Upgrades!$T$10="First Photons",POWER(Upgrades!$U$10,I185),1)*IF(Upgrades!$T$11="First Photons",POWER(Upgrades!$U$11,J185),1)))*POWER(Upgrades!$P$6,E185)*POWER(Upgrades!$P$7,F185)*POWER(Upgrades!$P$8,G185)*POWER(Upgrades!$P$9,H185)*POWER(Upgrades!$P$10,I185)*POWER(Upgrades!$P$11,J185)*POWER(Upgrades!$P$12,K185)</f>
        <v/>
      </c>
      <c r="O185" s="28">
        <f>((IF(E185=0,0,(Upgrades!$M$6+E185*Upgrades!$N$6)*POWER(Upgrades!$O$6,E185)))*(IF(Upgrades!$T$7="Solar Wind",POWER(Upgrades!$U$7,F185),1)*IF(Upgrades!$T$8="Solar Wind",POWER(Upgrades!$U$8,G185),1)*IF(Upgrades!$T$9="Solar Wind",POWER(Upgrades!$U$9,H185),1)*IF(Upgrades!$T$10="Solar Wind",POWER(Upgrades!$U$10,I185),1)*IF(Upgrades!$T$11="Solar Wind",POWER(Upgrades!$U$11,J185),1)*IF(Upgrades!$T$12="Solar Wind",POWER(Upgrades!$U$12,K185),1))+(IF(F185=0,0,(Upgrades!$M$7+F185*Upgrades!$N$7)*POWER(Upgrades!$O$7,F185)))*(IF(Upgrades!$T$6="Asteroid Belt",POWER(Upgrades!$U$6,E185),1)*IF(Upgrades!$T$8="Asteroid Belt",POWER(Upgrades!$U$8,G185),1)*IF(Upgrades!$T$9="Asteroid Belt",POWER(Upgrades!$U$9,H185),1)*IF(Upgrades!$T$10="Asteroid Belt",POWER(Upgrades!$U$10,I185),1)*IF(Upgrades!$T$11="Asteroid Belt",POWER(Upgrades!$U$11,J185),1)*IF(Upgrades!$T$12="Asteroid Belt",POWER(Upgrades!$U$12,K185),1))+(IF(G185=0,0,(Upgrades!$M$8+G185*Upgrades!$N$8)*POWER(Upgrades!$O$8,G185)))*(IF(Upgrades!$T$6="Stellar Coupling",POWER(Upgrades!$U$6,E185),1)*IF(Upgrades!$T$7="Stellar Coupling",POWER(Upgrades!$U$7,F185),1)*IF(Upgrades!$T$9="Stellar Coupling",POWER(Upgrades!$U$9,H185),1)*IF(Upgrades!$T$10="Stellar Coupling",POWER(Upgrades!$U$10,I185),1)*IF(Upgrades!$T$11="Stellar Coupling",POWER(Upgrades!$U$11,J185),1)*IF(Upgrades!$T$12="Stellar Coupling",POWER(Upgrades!$U$12,K185),1))+(IF(H185=0,0,(Upgrades!$M$9+H185*Upgrades!$N$9)*POWER(Upgrades!$O$9,H185)))*(IF(Upgrades!$T$6="Magnetosphere",POWER(Upgrades!$U$6,E185),1)*IF(Upgrades!$T$7="Magnetosphere",POWER(Upgrades!$U$7,F185),1)*IF(Upgrades!$T$8="Magnetosphere",POWER(Upgrades!$U$8,G185),1)*IF(Upgrades!$T$10="Magnetosphere",POWER(Upgrades!$U$10,I185),1)*IF(Upgrades!$T$11="Magnetosphere",POWER(Upgrades!$U$11,J185),1)*IF(Upgrades!$T$12="Magnetosphere",POWER(Upgrades!$U$12,K185),1))+(IF(I185=0,0,(Upgrades!$M$10+I185*Upgrades!$N$10)*POWER(Upgrades!$O$10,I185)))*(IF(Upgrades!$T$6="Orbital Resonance",POWER(Upgrades!$U$6,E185),1)*IF(Upgrades!$T$7="Orbital Resonance",POWER(Upgrades!$U$7,F185),1)*IF(Upgrades!$T$8="Orbital Resonance",POWER(Upgrades!$U$8,G185),1)*IF(Upgrades!$T$9="Orbital Resonance",POWER(Upgrades!$U$9,H185),1)*IF(Upgrades!$T$11="Orbital Resonance",POWER(Upgrades!$U$11,J185),1)*IF(Upgrades!$T$12="Orbital Resonance",POWER(Upgrades!$U$12,K185),1))+(IF(J185=0,0,(Upgrades!$M$11+J185*Upgrades!$N$11)*POWER(Upgrades!$O$11,J185)))*(IF(Upgrades!$T$6="Heliopause",POWER(Upgrades!$U$6,E185),1)*IF(Upgrades!$T$7="Heliopause",POWER(Upgrades!$U$7,F185),1)*IF(Upgrades!$T$8="Heliopause",POWER(Upgrades!$U$8,G185),1)*IF(Upgrades!$T$9="Heliopause",POWER(Upgrades!$U$9,H185),1)*IF(Upgrades!$T$10="Heliopause",POWER(Upgrades!$U$10,I185),1)*IF(Upgrades!$T$12="Heliopause",POWER(Upgrades!$U$12,K185),1))+(IF(K185=0,0,(Upgrades!$M$12+K185*Upgrades!$N$12)*POWER(Upgrades!$O$12,K185)))*(IF(Upgrades!$T$6="First Photons",POWER(Upgrades!$U$6,E185),1)*IF(Upgrades!$T$7="First Photons",POWER(Upgrades!$U$7,F185),1)*IF(Upgrades!$T$8="First Photons",POWER(Upgrades!$U$8,G185),1)*IF(Upgrades!$T$9="First Photons",POWER(Upgrades!$U$9,H185),1)*IF(Upgrades!$T$10="First Photons",POWER(Upgrades!$U$10,I185),1)*IF(Upgrades!$T$11="First Photons",POWER(Upgrades!$U$11,J185),1)))*POWER(Upgrades!$R$6,E185)*POWER(Upgrades!$R$7,F185)*POWER(Upgrades!$R$8,G185)*POWER(Upgrades!$R$9,H185)*POWER(Upgrades!$R$10,I185)*POWER(Upgrades!$R$11,J185)*POWER(Upgrades!$R$12,K185)</f>
        <v/>
      </c>
      <c r="P185" s="27">
        <f>IF(L185=1,0,M185*Parameters!$B$10/60*Parameters!$B$11*10)</f>
        <v/>
      </c>
      <c r="Q185" s="27">
        <f>IF(L185=1,0,O185*M185*10)</f>
        <v/>
      </c>
      <c r="R185" s="27">
        <f>IF(L185=1,0,N185*10)</f>
        <v/>
      </c>
      <c r="S185" s="27">
        <f>P185+Q185+R185</f>
        <v/>
      </c>
      <c r="T185" s="22">
        <f>C185+S185</f>
        <v/>
      </c>
      <c r="U185" s="33">
        <f>AX185</f>
        <v/>
      </c>
      <c r="V185" s="22">
        <f>IF(U185="",0,IF(U185="transition",0,IF(U185="SW",AG185,IF(U185="AB",AH185,IF(U185="SC",AI185,IF(U185="Mag",AJ185,IF(U185="OR",AK185,IF(U185="HP",AL185,IF(U185="FP",AM185,0)))))))))</f>
        <v/>
      </c>
      <c r="W185" s="27">
        <f>IF(U185="OR",Upgrades!$F$10,IF(U185="HP",Upgrades!$F$11,IF(U185="transition",-Parameters!$B$18,0)))</f>
        <v/>
      </c>
      <c r="X185" s="22">
        <f>T185-V185</f>
        <v/>
      </c>
      <c r="Y185" s="30">
        <f>M185*Parameters!$B$10/60*Parameters!$B$11+O185*M185+N185</f>
        <v/>
      </c>
      <c r="Z185" s="34">
        <f>IF(U185="transition","→ Tier 2 (Stellar Neighborhood)",IF(U185="FP","First Photons — light begins, system quickens",IF(U185="HP","Heliopause acquired",IF(U185="OR","Orbital Resonance — passive multiplier active",IF(AND(AO185=1,L185=0,AN185&lt;&gt;1),"Cohesion ready (waiting on completionist upgrades)","")))))</f>
        <v/>
      </c>
      <c r="AA185" s="27">
        <f>(IF(E185=0,0,(Upgrades!$G$6+E185*Upgrades!$H$6)*POWER(Upgrades!$I$6,E185)))*(IF(Upgrades!$T$7="Solar Wind",POWER(Upgrades!$U$7,F185),1)*IF(Upgrades!$T$8="Solar Wind",POWER(Upgrades!$U$8,G185),1)*IF(Upgrades!$T$9="Solar Wind",POWER(Upgrades!$U$9,H185),1)*IF(Upgrades!$T$10="Solar Wind",POWER(Upgrades!$U$10,I185),1)*IF(Upgrades!$T$11="Solar Wind",POWER(Upgrades!$U$11,J185),1)*IF(Upgrades!$T$12="Solar Wind",POWER(Upgrades!$U$12,K185),1))*POWER(Upgrades!$P$6,E185)*POWER(Upgrades!$P$7,F185)*POWER(Upgrades!$P$8,G185)*POWER(Upgrades!$P$9,H185)*POWER(Upgrades!$P$10,I185)*POWER(Upgrades!$P$11,J185)*POWER(Upgrades!$P$12,K185)*60</f>
        <v/>
      </c>
      <c r="AB185" s="27">
        <f>(IF(F185=0,0,(Upgrades!$G$7+F185*Upgrades!$H$7)*POWER(Upgrades!$I$7,F185)))*(IF(Upgrades!$T$6="Asteroid Belt",POWER(Upgrades!$U$6,E185),1)*IF(Upgrades!$T$8="Asteroid Belt",POWER(Upgrades!$U$8,G185),1)*IF(Upgrades!$T$9="Asteroid Belt",POWER(Upgrades!$U$9,H185),1)*IF(Upgrades!$T$10="Asteroid Belt",POWER(Upgrades!$U$10,I185),1)*IF(Upgrades!$T$11="Asteroid Belt",POWER(Upgrades!$U$11,J185),1)*IF(Upgrades!$T$12="Asteroid Belt",POWER(Upgrades!$U$12,K185),1))*POWER(Upgrades!$P$6,E185)*POWER(Upgrades!$P$7,F185)*POWER(Upgrades!$P$8,G185)*POWER(Upgrades!$P$9,H185)*POWER(Upgrades!$P$10,I185)*POWER(Upgrades!$P$11,J185)*POWER(Upgrades!$P$12,K185)*60</f>
        <v/>
      </c>
      <c r="AC185" s="27">
        <f>(IF(G185=0,0,(Upgrades!$J$8+G185*Upgrades!$K$8)*POWER(Upgrades!$L$8,G185)))*(IF(Upgrades!$T$6="Stellar Coupling",POWER(Upgrades!$U$6,E185),1)*IF(Upgrades!$T$7="Stellar Coupling",POWER(Upgrades!$U$7,F185),1)*IF(Upgrades!$T$9="Stellar Coupling",POWER(Upgrades!$U$9,H185),1)*IF(Upgrades!$T$10="Stellar Coupling",POWER(Upgrades!$U$10,I185),1)*IF(Upgrades!$T$11="Stellar Coupling",POWER(Upgrades!$U$11,J185),1)*IF(Upgrades!$T$12="Stellar Coupling",POWER(Upgrades!$U$12,K185),1))*POWER(Upgrades!$Q$6,E185)*POWER(Upgrades!$Q$7,F185)*POWER(Upgrades!$Q$8,G185)*POWER(Upgrades!$Q$9,H185)*POWER(Upgrades!$Q$10,I185)*POWER(Upgrades!$Q$11,J185)*POWER(Upgrades!$Q$12,K185)*Parameters!$B$10*Parameters!$B$11</f>
        <v/>
      </c>
      <c r="AD185" s="27">
        <f>(IF(H185=0,0,(Upgrades!$G$9+H185*Upgrades!$H$9)*POWER(Upgrades!$I$9,H185)))*(IF(Upgrades!$T$6="Magnetosphere",POWER(Upgrades!$U$6,E185),1)*IF(Upgrades!$T$7="Magnetosphere",POWER(Upgrades!$U$7,F185),1)*IF(Upgrades!$T$8="Magnetosphere",POWER(Upgrades!$U$8,G185),1)*IF(Upgrades!$T$10="Magnetosphere",POWER(Upgrades!$U$10,I185),1)*IF(Upgrades!$T$11="Magnetosphere",POWER(Upgrades!$U$11,J185),1)*IF(Upgrades!$T$12="Magnetosphere",POWER(Upgrades!$U$12,K185),1))*POWER(Upgrades!$P$6,E185)*POWER(Upgrades!$P$7,F185)*POWER(Upgrades!$P$8,G185)*POWER(Upgrades!$P$9,H185)*POWER(Upgrades!$P$10,I185)*POWER(Upgrades!$P$11,J185)*POWER(Upgrades!$P$12,K185)*60</f>
        <v/>
      </c>
      <c r="AE185" s="27">
        <f>(IF(K185=0,0,(Upgrades!$G$12+K185*Upgrades!$H$12)*POWER(Upgrades!$I$12,K185)))*(IF(Upgrades!$T$6="First Photons",POWER(Upgrades!$U$6,E185),1)*IF(Upgrades!$T$7="First Photons",POWER(Upgrades!$U$7,F185),1)*IF(Upgrades!$T$8="First Photons",POWER(Upgrades!$U$8,G185),1)*IF(Upgrades!$T$9="First Photons",POWER(Upgrades!$U$9,H185),1)*IF(Upgrades!$T$10="First Photons",POWER(Upgrades!$U$10,I185),1)*IF(Upgrades!$T$11="First Photons",POWER(Upgrades!$U$11,J185),1))*POWER(Upgrades!$P$6,E185)*POWER(Upgrades!$P$7,F185)*POWER(Upgrades!$P$8,G185)*POWER(Upgrades!$P$9,H185)*POWER(Upgrades!$P$10,I185)*POWER(Upgrades!$P$11,J185)*POWER(Upgrades!$P$12,K185)*60</f>
        <v/>
      </c>
      <c r="AF185" s="27">
        <f>Parameters!$B$9*POWER(Upgrades!$Q$6,E185)*POWER(Upgrades!$Q$7,F185)*POWER(Upgrades!$Q$8,G185)*POWER(Upgrades!$Q$9,H185)*POWER(Upgrades!$Q$10,I185)*POWER(Upgrades!$Q$11,J185)*POWER(Upgrades!$Q$12,K185)*(Parameters!$B$10*Parameters!$B$11+O185*60)</f>
        <v/>
      </c>
      <c r="AG185" s="22">
        <f>IF(E185&gt;=Upgrades!$E$6,"",Upgrades!$C$6*POWER(Upgrades!$D$6,E185))</f>
        <v/>
      </c>
      <c r="AH185" s="22">
        <f>IF(F185&gt;=Upgrades!$E$7,"",Upgrades!$C$7*POWER(Upgrades!$D$7,F185))</f>
        <v/>
      </c>
      <c r="AI185" s="22">
        <f>IF(G185&gt;=Upgrades!$E$8,"",Upgrades!$C$8*POWER(Upgrades!$D$8,G185))</f>
        <v/>
      </c>
      <c r="AJ185" s="22">
        <f>IF(H185&gt;=Upgrades!$E$9,"",Upgrades!$C$9*POWER(Upgrades!$D$9,H185))</f>
        <v/>
      </c>
      <c r="AK185" s="22">
        <f>IF(I185&gt;=Upgrades!$E$10,"",Upgrades!$C$10*POWER(Upgrades!$D$10,I185))</f>
        <v/>
      </c>
      <c r="AL185" s="22">
        <f>IF(J185&gt;=Upgrades!$E$11,"",Upgrades!$C$11*POWER(Upgrades!$D$11,J185))</f>
        <v/>
      </c>
      <c r="AM185" s="22">
        <f>IF(K185&gt;=Upgrades!$E$12,"",Upgrades!$C$12*POWER(Upgrades!$D$12,K185))</f>
        <v/>
      </c>
      <c r="AN185" s="26">
        <f>IF(AND(D185&gt;=Parameters!$B$18,(H185&gt;=Upgrades!$E$9)*(K185&gt;=Upgrades!$E$12)=1,L185=0),1,"")</f>
        <v/>
      </c>
      <c r="AO185" s="26">
        <f>IF(AND(D185&gt;=Parameters!$B$18,L185=0),1,"")</f>
        <v/>
      </c>
      <c r="AP185" s="22">
        <f>MIN(IF(ISNUMBER(AK185),AK185,9E15),IF(ISNUMBER(AL185),AL185,9E15),IF(ISNUMBER(AM185),AM185,9E15))</f>
        <v/>
      </c>
      <c r="AQ185" s="22">
        <f>MIN(IF(ISNUMBER(AG185),AG185,9E15),IF(ISNUMBER(AH185),AH185,9E15),IF(ISNUMBER(AI185),AI185,9E15),IF(ISNUMBER(AJ185),AJ185,9E15))</f>
        <v/>
      </c>
      <c r="AR185" s="29">
        <f>IF(AW185&gt;Parameters!$B$21*(MAX(IF(AND(NOT(AND(AO185=1,AN185&lt;&gt;1)),ISNUMBER(AG185),AG185&lt;=T185),AS185,0),IF(AND(NOT(AND(AO185=1,AN185&lt;&gt;1)),ISNUMBER(AH185),AH185&lt;=T185),AT185,0),IF(AND(NOT(AND(AO185=1,AN185&lt;&gt;1)),ISNUMBER(AI185),AI185&lt;=T185),AU185,0),IF(AND(ISNUMBER(AJ185),AJ185&lt;=T185),AV185,0))),TRUE,FALSE)</f>
        <v/>
      </c>
      <c r="AS185" s="32">
        <f>IFERROR(Upgrades!$H$6*(POWER(Upgrades!$P$6,E185)*POWER(Upgrades!$P$7,F185)*POWER(Upgrades!$P$8,G185)*POWER(Upgrades!$P$9,H185)*POWER(Upgrades!$P$10,I185)*POWER(Upgrades!$P$11,J185)*POWER(Upgrades!$P$12,K185))*(IF(Upgrades!$T$7="Solar Wind",POWER(Upgrades!$U$7,F185),1)*IF(Upgrades!$T$8="Solar Wind",POWER(Upgrades!$U$8,G185),1)*IF(Upgrades!$T$9="Solar Wind",POWER(Upgrades!$U$9,H185),1)*IF(Upgrades!$T$10="Solar Wind",POWER(Upgrades!$U$10,I185),1)*IF(Upgrades!$T$11="Solar Wind",POWER(Upgrades!$U$11,J185),1)*IF(Upgrades!$T$12="Solar Wind",POWER(Upgrades!$U$12,K185),1))/AG185,0)</f>
        <v/>
      </c>
      <c r="AT185" s="32">
        <f>IFERROR(Upgrades!$H$7*(POWER(Upgrades!$P$6,E185)*POWER(Upgrades!$P$7,F185)*POWER(Upgrades!$P$8,G185)*POWER(Upgrades!$P$9,H185)*POWER(Upgrades!$P$10,I185)*POWER(Upgrades!$P$11,J185)*POWER(Upgrades!$P$12,K185))*(IF(Upgrades!$T$6="Asteroid Belt",POWER(Upgrades!$U$6,E185),1)*IF(Upgrades!$T$8="Asteroid Belt",POWER(Upgrades!$U$8,G185),1)*IF(Upgrades!$T$9="Asteroid Belt",POWER(Upgrades!$U$9,H185),1)*IF(Upgrades!$T$10="Asteroid Belt",POWER(Upgrades!$U$10,I185),1)*IF(Upgrades!$T$11="Asteroid Belt",POWER(Upgrades!$U$11,J185),1)*IF(Upgrades!$T$12="Asteroid Belt",POWER(Upgrades!$U$12,K185),1))/AH185,0)</f>
        <v/>
      </c>
      <c r="AU185" s="32">
        <f>IFERROR(Upgrades!$K$8*(POWER(Upgrades!$Q$6,E185)*POWER(Upgrades!$Q$7,F185)*POWER(Upgrades!$Q$8,G185)*POWER(Upgrades!$Q$9,H185)*POWER(Upgrades!$Q$10,I185)*POWER(Upgrades!$Q$11,J185)*POWER(Upgrades!$Q$12,K185))*(IF(Upgrades!$T$6="Stellar Coupling",POWER(Upgrades!$U$6,E185),1)*IF(Upgrades!$T$7="Stellar Coupling",POWER(Upgrades!$U$7,F185),1)*IF(Upgrades!$T$9="Stellar Coupling",POWER(Upgrades!$U$9,H185),1)*IF(Upgrades!$T$10="Stellar Coupling",POWER(Upgrades!$U$10,I185),1)*IF(Upgrades!$T$11="Stellar Coupling",POWER(Upgrades!$U$11,J185),1)*IF(Upgrades!$T$12="Stellar Coupling",POWER(Upgrades!$U$12,K185),1))*Parameters!$B$10*Parameters!$B$11/60/AI185,0)</f>
        <v/>
      </c>
      <c r="AV185" s="32">
        <f>IFERROR(Upgrades!$H$9*(POWER(Upgrades!$P$6,E185)*POWER(Upgrades!$P$7,F185)*POWER(Upgrades!$P$8,G185)*POWER(Upgrades!$P$9,H185)*POWER(Upgrades!$P$10,I185)*POWER(Upgrades!$P$11,J185)*POWER(Upgrades!$P$12,K185))*(IF(Upgrades!$T$6="Magnetosphere",POWER(Upgrades!$U$6,E185),1)*IF(Upgrades!$T$7="Magnetosphere",POWER(Upgrades!$U$7,F185),1)*IF(Upgrades!$T$8="Magnetosphere",POWER(Upgrades!$U$8,G185),1)*IF(Upgrades!$T$10="Magnetosphere",POWER(Upgrades!$U$10,I185),1)*IF(Upgrades!$T$11="Magnetosphere",POWER(Upgrades!$U$11,J185),1)*IF(Upgrades!$T$12="Magnetosphere",POWER(Upgrades!$U$12,K185),1))/AJ185,0)</f>
        <v/>
      </c>
      <c r="AW185" s="32">
        <f>MAX(IF(I185&gt;0,0,IFERROR(0.25*N185/Upgrades!$C$10,0)),IF(J185&gt;0,0,IFERROR(0.5*((IF(G185=0,0,(Upgrades!$J$8+G185*Upgrades!$K$8)*POWER(Upgrades!$L$8,G185)))*(IF(Upgrades!$T$6="Stellar Coupling",POWER(Upgrades!$U$6,E185),1)*IF(Upgrades!$T$7="Stellar Coupling",POWER(Upgrades!$U$7,F185),1)*IF(Upgrades!$T$9="Stellar Coupling",POWER(Upgrades!$U$9,H185),1)*IF(Upgrades!$T$10="Stellar Coupling",POWER(Upgrades!$U$10,I185),1)*IF(Upgrades!$T$11="Stellar Coupling",POWER(Upgrades!$U$11,J185),1)*IF(Upgrades!$T$12="Stellar Coupling",POWER(Upgrades!$U$12,K185),1))*(POWER(Upgrades!$Q$6,E185)*POWER(Upgrades!$Q$7,F185)*POWER(Upgrades!$Q$8,G185)*POWER(Upgrades!$Q$9,H185)*POWER(Upgrades!$Q$10,I185)*POWER(Upgrades!$Q$11,J185)*POWER(Upgrades!$Q$12,K185))*Parameters!$B$10*Parameters!$B$11/60)/Upgrades!$C$11,0)),IF(K185&gt;0,0,IFERROR((1.0*(POWER(Upgrades!$P$6,E185)*POWER(Upgrades!$P$7,F185)*POWER(Upgrades!$P$8,G185)*POWER(Upgrades!$P$9,H185)*POWER(Upgrades!$P$10,I185)*POWER(Upgrades!$P$11,J185)*POWER(Upgrades!$P$12,K185))+0.20*M185*Parameters!$B$10*Parameters!$B$11/60)/Upgrades!$C$12,0)),IF(AND(ISNUMBER(AG185),AG185&gt;T185),AS185,0),IF(AND(ISNUMBER(AH185),AH185&gt;T185),AT185,0),IF(AND(ISNUMBER(AI185),AI185&gt;T185),AU185,0),IF(AND(ISNUMBER(AJ185),AJ185&gt;T185),AV185,0))</f>
        <v/>
      </c>
      <c r="AX185" s="29">
        <f>IF(AN185=1,"transition",IF(MIN(IF(AND(I185=0,ISNUMBER(AK185),AK185&lt;=T185),AK185,9E15),IF(AND(J185=0,ISNUMBER(AL185),AL185&lt;=T185),AL185,9E15),IF(AND(K185=0,ISNUMBER(AM185),AM185&lt;=T185),AM185,9E15))&lt;9E15,IF(AND(AND(I185=0,ISNUMBER(AK185),AK185&lt;=T185),AK185=MIN(IF(AND(I185=0,ISNUMBER(AK185),AK185&lt;=T185),AK185,9E15),IF(AND(J185=0,ISNUMBER(AL185),AL185&lt;=T185),AL185,9E15),IF(AND(K185=0,ISNUMBER(AM185),AM185&lt;=T185),AM185,9E15))),"OR",IF(AND(AND(J185=0,ISNUMBER(AL185),AL185&lt;=T185),AL185=MIN(IF(AND(I185=0,ISNUMBER(AK185),AK185&lt;=T185),AK185,9E15),IF(AND(J185=0,ISNUMBER(AL185),AL185&lt;=T185),AL185,9E15),IF(AND(K185=0,ISNUMBER(AM185),AM185&lt;=T185),AM185,9E15))),"HP","FP")),IF(AR185=TRUE,"",IF(MAX(IF(AND(NOT(AND(AO185=1,AN185&lt;&gt;1)),ISNUMBER(AG185),AG185&lt;=T185),AS185,0),IF(AND(NOT(AND(AO185=1,AN185&lt;&gt;1)),ISNUMBER(AH185),AH185&lt;=T185),AT185,0),IF(AND(NOT(AND(AO185=1,AN185&lt;&gt;1)),ISNUMBER(AI185),AI185&lt;=T185),AU185,0),IF(AND(ISNUMBER(AJ185),AJ185&lt;=T185),AV185,0))&lt;=0,"",IF(AND(IF(AND(NOT(AND(AO185=1,AN185&lt;&gt;1)),ISNUMBER(AG185),AG185&lt;=T185),AS185,0)&gt;0,IF(AND(NOT(AND(AO185=1,AN185&lt;&gt;1)),ISNUMBER(AG185),AG185&lt;=T185),AS185,0)=MAX(IF(AND(NOT(AND(AO185=1,AN185&lt;&gt;1)),ISNUMBER(AG185),AG185&lt;=T185),AS185,0),IF(AND(NOT(AND(AO185=1,AN185&lt;&gt;1)),ISNUMBER(AH185),AH185&lt;=T185),AT185,0),IF(AND(NOT(AND(AO185=1,AN185&lt;&gt;1)),ISNUMBER(AI185),AI185&lt;=T185),AU185,0),IF(AND(ISNUMBER(AJ185),AJ185&lt;=T185),AV185,0))),"SW",IF(AND(IF(AND(NOT(AND(AO185=1,AN185&lt;&gt;1)),ISNUMBER(AH185),AH185&lt;=T185),AT185,0)&gt;0,IF(AND(NOT(AND(AO185=1,AN185&lt;&gt;1)),ISNUMBER(AH185),AH185&lt;=T185),AT185,0)=MAX(IF(AND(NOT(AND(AO185=1,AN185&lt;&gt;1)),ISNUMBER(AG185),AG185&lt;=T185),AS185,0),IF(AND(NOT(AND(AO185=1,AN185&lt;&gt;1)),ISNUMBER(AH185),AH185&lt;=T185),AT185,0),IF(AND(NOT(AND(AO185=1,AN185&lt;&gt;1)),ISNUMBER(AI185),AI185&lt;=T185),AU185,0),IF(AND(ISNUMBER(AJ185),AJ185&lt;=T185),AV185,0))),"AB",IF(AND(IF(AND(NOT(AND(AO185=1,AN185&lt;&gt;1)),ISNUMBER(AI185),AI185&lt;=T185),AU185,0)&gt;0,IF(AND(NOT(AND(AO185=1,AN185&lt;&gt;1)),ISNUMBER(AI185),AI185&lt;=T185),AU185,0)=MAX(IF(AND(NOT(AND(AO185=1,AN185&lt;&gt;1)),ISNUMBER(AG185),AG185&lt;=T185),AS185,0),IF(AND(NOT(AND(AO185=1,AN185&lt;&gt;1)),ISNUMBER(AH185),AH185&lt;=T185),AT185,0),IF(AND(NOT(AND(AO185=1,AN185&lt;&gt;1)),ISNUMBER(AI185),AI185&lt;=T185),AU185,0),IF(AND(ISNUMBER(AJ185),AJ185&lt;=T185),AV185,0))),"SC","Mag")))))))</f>
        <v/>
      </c>
    </row>
    <row r="186">
      <c r="A186" s="26" t="n">
        <v>181</v>
      </c>
      <c r="B186" s="27">
        <f>A186*10/60</f>
        <v/>
      </c>
      <c r="C186" s="22">
        <f>X185</f>
        <v/>
      </c>
      <c r="D186" s="27">
        <f>D185+W185</f>
        <v/>
      </c>
      <c r="E186" s="26">
        <f>E185+IF(U185="SW",1,0)</f>
        <v/>
      </c>
      <c r="F186" s="26">
        <f>F185+IF(U185="AB",1,0)</f>
        <v/>
      </c>
      <c r="G186" s="26">
        <f>G185+IF(U185="SC",1,0)</f>
        <v/>
      </c>
      <c r="H186" s="26">
        <f>H185+IF(U185="Mag",1,0)</f>
        <v/>
      </c>
      <c r="I186" s="26">
        <f>MAX(I185,IF(U185="OR",1,0))</f>
        <v/>
      </c>
      <c r="J186" s="26">
        <f>MAX(J185,IF(U185="HP",1,0))</f>
        <v/>
      </c>
      <c r="K186" s="26">
        <f>MAX(K185,IF(U185="FP",1,0))</f>
        <v/>
      </c>
      <c r="L186" s="26">
        <f>MAX(L185,IF(U185="transition",1,0))</f>
        <v/>
      </c>
      <c r="M186" s="28">
        <f>(Parameters!$B$9+(IF(E186=0,0,(Upgrades!$J$6+E186*Upgrades!$K$6)*POWER(Upgrades!$L$6,E186)))*(IF(Upgrades!$T$7="Solar Wind",POWER(Upgrades!$U$7,F186),1)*IF(Upgrades!$T$8="Solar Wind",POWER(Upgrades!$U$8,G186),1)*IF(Upgrades!$T$9="Solar Wind",POWER(Upgrades!$U$9,H186),1)*IF(Upgrades!$T$10="Solar Wind",POWER(Upgrades!$U$10,I186),1)*IF(Upgrades!$T$11="Solar Wind",POWER(Upgrades!$U$11,J186),1)*IF(Upgrades!$T$12="Solar Wind",POWER(Upgrades!$U$12,K186),1))+(IF(F186=0,0,(Upgrades!$J$7+F186*Upgrades!$K$7)*POWER(Upgrades!$L$7,F186)))*(IF(Upgrades!$T$6="Asteroid Belt",POWER(Upgrades!$U$6,E186),1)*IF(Upgrades!$T$8="Asteroid Belt",POWER(Upgrades!$U$8,G186),1)*IF(Upgrades!$T$9="Asteroid Belt",POWER(Upgrades!$U$9,H186),1)*IF(Upgrades!$T$10="Asteroid Belt",POWER(Upgrades!$U$10,I186),1)*IF(Upgrades!$T$11="Asteroid Belt",POWER(Upgrades!$U$11,J186),1)*IF(Upgrades!$T$12="Asteroid Belt",POWER(Upgrades!$U$12,K186),1))+(IF(G186=0,0,(Upgrades!$J$8+G186*Upgrades!$K$8)*POWER(Upgrades!$L$8,G186)))*(IF(Upgrades!$T$6="Stellar Coupling",POWER(Upgrades!$U$6,E186),1)*IF(Upgrades!$T$7="Stellar Coupling",POWER(Upgrades!$U$7,F186),1)*IF(Upgrades!$T$9="Stellar Coupling",POWER(Upgrades!$U$9,H186),1)*IF(Upgrades!$T$10="Stellar Coupling",POWER(Upgrades!$U$10,I186),1)*IF(Upgrades!$T$11="Stellar Coupling",POWER(Upgrades!$U$11,J186),1)*IF(Upgrades!$T$12="Stellar Coupling",POWER(Upgrades!$U$12,K186),1))+(IF(H186=0,0,(Upgrades!$J$9+H186*Upgrades!$K$9)*POWER(Upgrades!$L$9,H186)))*(IF(Upgrades!$T$6="Magnetosphere",POWER(Upgrades!$U$6,E186),1)*IF(Upgrades!$T$7="Magnetosphere",POWER(Upgrades!$U$7,F186),1)*IF(Upgrades!$T$8="Magnetosphere",POWER(Upgrades!$U$8,G186),1)*IF(Upgrades!$T$10="Magnetosphere",POWER(Upgrades!$U$10,I186),1)*IF(Upgrades!$T$11="Magnetosphere",POWER(Upgrades!$U$11,J186),1)*IF(Upgrades!$T$12="Magnetosphere",POWER(Upgrades!$U$12,K186),1))+(IF(I186=0,0,(Upgrades!$J$10+I186*Upgrades!$K$10)*POWER(Upgrades!$L$10,I186)))*(IF(Upgrades!$T$6="Orbital Resonance",POWER(Upgrades!$U$6,E186),1)*IF(Upgrades!$T$7="Orbital Resonance",POWER(Upgrades!$U$7,F186),1)*IF(Upgrades!$T$8="Orbital Resonance",POWER(Upgrades!$U$8,G186),1)*IF(Upgrades!$T$9="Orbital Resonance",POWER(Upgrades!$U$9,H186),1)*IF(Upgrades!$T$11="Orbital Resonance",POWER(Upgrades!$U$11,J186),1)*IF(Upgrades!$T$12="Orbital Resonance",POWER(Upgrades!$U$12,K186),1))+(IF(J186=0,0,(Upgrades!$J$11+J186*Upgrades!$K$11)*POWER(Upgrades!$L$11,J186)))*(IF(Upgrades!$T$6="Heliopause",POWER(Upgrades!$U$6,E186),1)*IF(Upgrades!$T$7="Heliopause",POWER(Upgrades!$U$7,F186),1)*IF(Upgrades!$T$8="Heliopause",POWER(Upgrades!$U$8,G186),1)*IF(Upgrades!$T$9="Heliopause",POWER(Upgrades!$U$9,H186),1)*IF(Upgrades!$T$10="Heliopause",POWER(Upgrades!$U$10,I186),1)*IF(Upgrades!$T$12="Heliopause",POWER(Upgrades!$U$12,K186),1))+(IF(K186=0,0,(Upgrades!$J$12+K186*Upgrades!$K$12)*POWER(Upgrades!$L$12,K186)))*(IF(Upgrades!$T$6="First Photons",POWER(Upgrades!$U$6,E186),1)*IF(Upgrades!$T$7="First Photons",POWER(Upgrades!$U$7,F186),1)*IF(Upgrades!$T$8="First Photons",POWER(Upgrades!$U$8,G186),1)*IF(Upgrades!$T$9="First Photons",POWER(Upgrades!$U$9,H186),1)*IF(Upgrades!$T$10="First Photons",POWER(Upgrades!$U$10,I186),1)*IF(Upgrades!$T$11="First Photons",POWER(Upgrades!$U$11,J186),1)))*POWER(Upgrades!$Q$6,E186)*POWER(Upgrades!$Q$7,F186)*POWER(Upgrades!$Q$8,G186)*POWER(Upgrades!$Q$9,H186)*POWER(Upgrades!$Q$10,I186)*POWER(Upgrades!$Q$11,J186)*POWER(Upgrades!$Q$12,K186)</f>
        <v/>
      </c>
      <c r="N186" s="28">
        <f>((IF(E186=0,0,(Upgrades!$G$6+E186*Upgrades!$H$6)*POWER(Upgrades!$I$6,E186)))*(IF(Upgrades!$T$7="Solar Wind",POWER(Upgrades!$U$7,F186),1)*IF(Upgrades!$T$8="Solar Wind",POWER(Upgrades!$U$8,G186),1)*IF(Upgrades!$T$9="Solar Wind",POWER(Upgrades!$U$9,H186),1)*IF(Upgrades!$T$10="Solar Wind",POWER(Upgrades!$U$10,I186),1)*IF(Upgrades!$T$11="Solar Wind",POWER(Upgrades!$U$11,J186),1)*IF(Upgrades!$T$12="Solar Wind",POWER(Upgrades!$U$12,K186),1))+(IF(F186=0,0,(Upgrades!$G$7+F186*Upgrades!$H$7)*POWER(Upgrades!$I$7,F186)))*(IF(Upgrades!$T$6="Asteroid Belt",POWER(Upgrades!$U$6,E186),1)*IF(Upgrades!$T$8="Asteroid Belt",POWER(Upgrades!$U$8,G186),1)*IF(Upgrades!$T$9="Asteroid Belt",POWER(Upgrades!$U$9,H186),1)*IF(Upgrades!$T$10="Asteroid Belt",POWER(Upgrades!$U$10,I186),1)*IF(Upgrades!$T$11="Asteroid Belt",POWER(Upgrades!$U$11,J186),1)*IF(Upgrades!$T$12="Asteroid Belt",POWER(Upgrades!$U$12,K186),1))+(IF(G186=0,0,(Upgrades!$G$8+G186*Upgrades!$H$8)*POWER(Upgrades!$I$8,G186)))*(IF(Upgrades!$T$6="Stellar Coupling",POWER(Upgrades!$U$6,E186),1)*IF(Upgrades!$T$7="Stellar Coupling",POWER(Upgrades!$U$7,F186),1)*IF(Upgrades!$T$9="Stellar Coupling",POWER(Upgrades!$U$9,H186),1)*IF(Upgrades!$T$10="Stellar Coupling",POWER(Upgrades!$U$10,I186),1)*IF(Upgrades!$T$11="Stellar Coupling",POWER(Upgrades!$U$11,J186),1)*IF(Upgrades!$T$12="Stellar Coupling",POWER(Upgrades!$U$12,K186),1))+(IF(H186=0,0,(Upgrades!$G$9+H186*Upgrades!$H$9)*POWER(Upgrades!$I$9,H186)))*(IF(Upgrades!$T$6="Magnetosphere",POWER(Upgrades!$U$6,E186),1)*IF(Upgrades!$T$7="Magnetosphere",POWER(Upgrades!$U$7,F186),1)*IF(Upgrades!$T$8="Magnetosphere",POWER(Upgrades!$U$8,G186),1)*IF(Upgrades!$T$10="Magnetosphere",POWER(Upgrades!$U$10,I186),1)*IF(Upgrades!$T$11="Magnetosphere",POWER(Upgrades!$U$11,J186),1)*IF(Upgrades!$T$12="Magnetosphere",POWER(Upgrades!$U$12,K186),1))+(IF(I186=0,0,(Upgrades!$G$10+I186*Upgrades!$H$10)*POWER(Upgrades!$I$10,I186)))*(IF(Upgrades!$T$6="Orbital Resonance",POWER(Upgrades!$U$6,E186),1)*IF(Upgrades!$T$7="Orbital Resonance",POWER(Upgrades!$U$7,F186),1)*IF(Upgrades!$T$8="Orbital Resonance",POWER(Upgrades!$U$8,G186),1)*IF(Upgrades!$T$9="Orbital Resonance",POWER(Upgrades!$U$9,H186),1)*IF(Upgrades!$T$11="Orbital Resonance",POWER(Upgrades!$U$11,J186),1)*IF(Upgrades!$T$12="Orbital Resonance",POWER(Upgrades!$U$12,K186),1))+(IF(J186=0,0,(Upgrades!$G$11+J186*Upgrades!$H$11)*POWER(Upgrades!$I$11,J186)))*(IF(Upgrades!$T$6="Heliopause",POWER(Upgrades!$U$6,E186),1)*IF(Upgrades!$T$7="Heliopause",POWER(Upgrades!$U$7,F186),1)*IF(Upgrades!$T$8="Heliopause",POWER(Upgrades!$U$8,G186),1)*IF(Upgrades!$T$9="Heliopause",POWER(Upgrades!$U$9,H186),1)*IF(Upgrades!$T$10="Heliopause",POWER(Upgrades!$U$10,I186),1)*IF(Upgrades!$T$12="Heliopause",POWER(Upgrades!$U$12,K186),1))+(IF(K186=0,0,(Upgrades!$G$12+K186*Upgrades!$H$12)*POWER(Upgrades!$I$12,K186)))*(IF(Upgrades!$T$6="First Photons",POWER(Upgrades!$U$6,E186),1)*IF(Upgrades!$T$7="First Photons",POWER(Upgrades!$U$7,F186),1)*IF(Upgrades!$T$8="First Photons",POWER(Upgrades!$U$8,G186),1)*IF(Upgrades!$T$9="First Photons",POWER(Upgrades!$U$9,H186),1)*IF(Upgrades!$T$10="First Photons",POWER(Upgrades!$U$10,I186),1)*IF(Upgrades!$T$11="First Photons",POWER(Upgrades!$U$11,J186),1)))*POWER(Upgrades!$P$6,E186)*POWER(Upgrades!$P$7,F186)*POWER(Upgrades!$P$8,G186)*POWER(Upgrades!$P$9,H186)*POWER(Upgrades!$P$10,I186)*POWER(Upgrades!$P$11,J186)*POWER(Upgrades!$P$12,K186)</f>
        <v/>
      </c>
      <c r="O186" s="28">
        <f>((IF(E186=0,0,(Upgrades!$M$6+E186*Upgrades!$N$6)*POWER(Upgrades!$O$6,E186)))*(IF(Upgrades!$T$7="Solar Wind",POWER(Upgrades!$U$7,F186),1)*IF(Upgrades!$T$8="Solar Wind",POWER(Upgrades!$U$8,G186),1)*IF(Upgrades!$T$9="Solar Wind",POWER(Upgrades!$U$9,H186),1)*IF(Upgrades!$T$10="Solar Wind",POWER(Upgrades!$U$10,I186),1)*IF(Upgrades!$T$11="Solar Wind",POWER(Upgrades!$U$11,J186),1)*IF(Upgrades!$T$12="Solar Wind",POWER(Upgrades!$U$12,K186),1))+(IF(F186=0,0,(Upgrades!$M$7+F186*Upgrades!$N$7)*POWER(Upgrades!$O$7,F186)))*(IF(Upgrades!$T$6="Asteroid Belt",POWER(Upgrades!$U$6,E186),1)*IF(Upgrades!$T$8="Asteroid Belt",POWER(Upgrades!$U$8,G186),1)*IF(Upgrades!$T$9="Asteroid Belt",POWER(Upgrades!$U$9,H186),1)*IF(Upgrades!$T$10="Asteroid Belt",POWER(Upgrades!$U$10,I186),1)*IF(Upgrades!$T$11="Asteroid Belt",POWER(Upgrades!$U$11,J186),1)*IF(Upgrades!$T$12="Asteroid Belt",POWER(Upgrades!$U$12,K186),1))+(IF(G186=0,0,(Upgrades!$M$8+G186*Upgrades!$N$8)*POWER(Upgrades!$O$8,G186)))*(IF(Upgrades!$T$6="Stellar Coupling",POWER(Upgrades!$U$6,E186),1)*IF(Upgrades!$T$7="Stellar Coupling",POWER(Upgrades!$U$7,F186),1)*IF(Upgrades!$T$9="Stellar Coupling",POWER(Upgrades!$U$9,H186),1)*IF(Upgrades!$T$10="Stellar Coupling",POWER(Upgrades!$U$10,I186),1)*IF(Upgrades!$T$11="Stellar Coupling",POWER(Upgrades!$U$11,J186),1)*IF(Upgrades!$T$12="Stellar Coupling",POWER(Upgrades!$U$12,K186),1))+(IF(H186=0,0,(Upgrades!$M$9+H186*Upgrades!$N$9)*POWER(Upgrades!$O$9,H186)))*(IF(Upgrades!$T$6="Magnetosphere",POWER(Upgrades!$U$6,E186),1)*IF(Upgrades!$T$7="Magnetosphere",POWER(Upgrades!$U$7,F186),1)*IF(Upgrades!$T$8="Magnetosphere",POWER(Upgrades!$U$8,G186),1)*IF(Upgrades!$T$10="Magnetosphere",POWER(Upgrades!$U$10,I186),1)*IF(Upgrades!$T$11="Magnetosphere",POWER(Upgrades!$U$11,J186),1)*IF(Upgrades!$T$12="Magnetosphere",POWER(Upgrades!$U$12,K186),1))+(IF(I186=0,0,(Upgrades!$M$10+I186*Upgrades!$N$10)*POWER(Upgrades!$O$10,I186)))*(IF(Upgrades!$T$6="Orbital Resonance",POWER(Upgrades!$U$6,E186),1)*IF(Upgrades!$T$7="Orbital Resonance",POWER(Upgrades!$U$7,F186),1)*IF(Upgrades!$T$8="Orbital Resonance",POWER(Upgrades!$U$8,G186),1)*IF(Upgrades!$T$9="Orbital Resonance",POWER(Upgrades!$U$9,H186),1)*IF(Upgrades!$T$11="Orbital Resonance",POWER(Upgrades!$U$11,J186),1)*IF(Upgrades!$T$12="Orbital Resonance",POWER(Upgrades!$U$12,K186),1))+(IF(J186=0,0,(Upgrades!$M$11+J186*Upgrades!$N$11)*POWER(Upgrades!$O$11,J186)))*(IF(Upgrades!$T$6="Heliopause",POWER(Upgrades!$U$6,E186),1)*IF(Upgrades!$T$7="Heliopause",POWER(Upgrades!$U$7,F186),1)*IF(Upgrades!$T$8="Heliopause",POWER(Upgrades!$U$8,G186),1)*IF(Upgrades!$T$9="Heliopause",POWER(Upgrades!$U$9,H186),1)*IF(Upgrades!$T$10="Heliopause",POWER(Upgrades!$U$10,I186),1)*IF(Upgrades!$T$12="Heliopause",POWER(Upgrades!$U$12,K186),1))+(IF(K186=0,0,(Upgrades!$M$12+K186*Upgrades!$N$12)*POWER(Upgrades!$O$12,K186)))*(IF(Upgrades!$T$6="First Photons",POWER(Upgrades!$U$6,E186),1)*IF(Upgrades!$T$7="First Photons",POWER(Upgrades!$U$7,F186),1)*IF(Upgrades!$T$8="First Photons",POWER(Upgrades!$U$8,G186),1)*IF(Upgrades!$T$9="First Photons",POWER(Upgrades!$U$9,H186),1)*IF(Upgrades!$T$10="First Photons",POWER(Upgrades!$U$10,I186),1)*IF(Upgrades!$T$11="First Photons",POWER(Upgrades!$U$11,J186),1)))*POWER(Upgrades!$R$6,E186)*POWER(Upgrades!$R$7,F186)*POWER(Upgrades!$R$8,G186)*POWER(Upgrades!$R$9,H186)*POWER(Upgrades!$R$10,I186)*POWER(Upgrades!$R$11,J186)*POWER(Upgrades!$R$12,K186)</f>
        <v/>
      </c>
      <c r="P186" s="27">
        <f>IF(L186=1,0,M186*Parameters!$B$10/60*Parameters!$B$11*10)</f>
        <v/>
      </c>
      <c r="Q186" s="27">
        <f>IF(L186=1,0,O186*M186*10)</f>
        <v/>
      </c>
      <c r="R186" s="27">
        <f>IF(L186=1,0,N186*10)</f>
        <v/>
      </c>
      <c r="S186" s="27">
        <f>P186+Q186+R186</f>
        <v/>
      </c>
      <c r="T186" s="22">
        <f>C186+S186</f>
        <v/>
      </c>
      <c r="U186" s="33">
        <f>AX186</f>
        <v/>
      </c>
      <c r="V186" s="22">
        <f>IF(U186="",0,IF(U186="transition",0,IF(U186="SW",AG186,IF(U186="AB",AH186,IF(U186="SC",AI186,IF(U186="Mag",AJ186,IF(U186="OR",AK186,IF(U186="HP",AL186,IF(U186="FP",AM186,0)))))))))</f>
        <v/>
      </c>
      <c r="W186" s="27">
        <f>IF(U186="OR",Upgrades!$F$10,IF(U186="HP",Upgrades!$F$11,IF(U186="transition",-Parameters!$B$18,0)))</f>
        <v/>
      </c>
      <c r="X186" s="22">
        <f>T186-V186</f>
        <v/>
      </c>
      <c r="Y186" s="30">
        <f>M186*Parameters!$B$10/60*Parameters!$B$11+O186*M186+N186</f>
        <v/>
      </c>
      <c r="Z186" s="34">
        <f>IF(U186="transition","→ Tier 2 (Stellar Neighborhood)",IF(U186="FP","First Photons — light begins, system quickens",IF(U186="HP","Heliopause acquired",IF(U186="OR","Orbital Resonance — passive multiplier active",IF(AND(AO186=1,L186=0,AN186&lt;&gt;1),"Cohesion ready (waiting on completionist upgrades)","")))))</f>
        <v/>
      </c>
      <c r="AA186" s="27">
        <f>(IF(E186=0,0,(Upgrades!$G$6+E186*Upgrades!$H$6)*POWER(Upgrades!$I$6,E186)))*(IF(Upgrades!$T$7="Solar Wind",POWER(Upgrades!$U$7,F186),1)*IF(Upgrades!$T$8="Solar Wind",POWER(Upgrades!$U$8,G186),1)*IF(Upgrades!$T$9="Solar Wind",POWER(Upgrades!$U$9,H186),1)*IF(Upgrades!$T$10="Solar Wind",POWER(Upgrades!$U$10,I186),1)*IF(Upgrades!$T$11="Solar Wind",POWER(Upgrades!$U$11,J186),1)*IF(Upgrades!$T$12="Solar Wind",POWER(Upgrades!$U$12,K186),1))*POWER(Upgrades!$P$6,E186)*POWER(Upgrades!$P$7,F186)*POWER(Upgrades!$P$8,G186)*POWER(Upgrades!$P$9,H186)*POWER(Upgrades!$P$10,I186)*POWER(Upgrades!$P$11,J186)*POWER(Upgrades!$P$12,K186)*60</f>
        <v/>
      </c>
      <c r="AB186" s="27">
        <f>(IF(F186=0,0,(Upgrades!$G$7+F186*Upgrades!$H$7)*POWER(Upgrades!$I$7,F186)))*(IF(Upgrades!$T$6="Asteroid Belt",POWER(Upgrades!$U$6,E186),1)*IF(Upgrades!$T$8="Asteroid Belt",POWER(Upgrades!$U$8,G186),1)*IF(Upgrades!$T$9="Asteroid Belt",POWER(Upgrades!$U$9,H186),1)*IF(Upgrades!$T$10="Asteroid Belt",POWER(Upgrades!$U$10,I186),1)*IF(Upgrades!$T$11="Asteroid Belt",POWER(Upgrades!$U$11,J186),1)*IF(Upgrades!$T$12="Asteroid Belt",POWER(Upgrades!$U$12,K186),1))*POWER(Upgrades!$P$6,E186)*POWER(Upgrades!$P$7,F186)*POWER(Upgrades!$P$8,G186)*POWER(Upgrades!$P$9,H186)*POWER(Upgrades!$P$10,I186)*POWER(Upgrades!$P$11,J186)*POWER(Upgrades!$P$12,K186)*60</f>
        <v/>
      </c>
      <c r="AC186" s="27">
        <f>(IF(G186=0,0,(Upgrades!$J$8+G186*Upgrades!$K$8)*POWER(Upgrades!$L$8,G186)))*(IF(Upgrades!$T$6="Stellar Coupling",POWER(Upgrades!$U$6,E186),1)*IF(Upgrades!$T$7="Stellar Coupling",POWER(Upgrades!$U$7,F186),1)*IF(Upgrades!$T$9="Stellar Coupling",POWER(Upgrades!$U$9,H186),1)*IF(Upgrades!$T$10="Stellar Coupling",POWER(Upgrades!$U$10,I186),1)*IF(Upgrades!$T$11="Stellar Coupling",POWER(Upgrades!$U$11,J186),1)*IF(Upgrades!$T$12="Stellar Coupling",POWER(Upgrades!$U$12,K186),1))*POWER(Upgrades!$Q$6,E186)*POWER(Upgrades!$Q$7,F186)*POWER(Upgrades!$Q$8,G186)*POWER(Upgrades!$Q$9,H186)*POWER(Upgrades!$Q$10,I186)*POWER(Upgrades!$Q$11,J186)*POWER(Upgrades!$Q$12,K186)*Parameters!$B$10*Parameters!$B$11</f>
        <v/>
      </c>
      <c r="AD186" s="27">
        <f>(IF(H186=0,0,(Upgrades!$G$9+H186*Upgrades!$H$9)*POWER(Upgrades!$I$9,H186)))*(IF(Upgrades!$T$6="Magnetosphere",POWER(Upgrades!$U$6,E186),1)*IF(Upgrades!$T$7="Magnetosphere",POWER(Upgrades!$U$7,F186),1)*IF(Upgrades!$T$8="Magnetosphere",POWER(Upgrades!$U$8,G186),1)*IF(Upgrades!$T$10="Magnetosphere",POWER(Upgrades!$U$10,I186),1)*IF(Upgrades!$T$11="Magnetosphere",POWER(Upgrades!$U$11,J186),1)*IF(Upgrades!$T$12="Magnetosphere",POWER(Upgrades!$U$12,K186),1))*POWER(Upgrades!$P$6,E186)*POWER(Upgrades!$P$7,F186)*POWER(Upgrades!$P$8,G186)*POWER(Upgrades!$P$9,H186)*POWER(Upgrades!$P$10,I186)*POWER(Upgrades!$P$11,J186)*POWER(Upgrades!$P$12,K186)*60</f>
        <v/>
      </c>
      <c r="AE186" s="27">
        <f>(IF(K186=0,0,(Upgrades!$G$12+K186*Upgrades!$H$12)*POWER(Upgrades!$I$12,K186)))*(IF(Upgrades!$T$6="First Photons",POWER(Upgrades!$U$6,E186),1)*IF(Upgrades!$T$7="First Photons",POWER(Upgrades!$U$7,F186),1)*IF(Upgrades!$T$8="First Photons",POWER(Upgrades!$U$8,G186),1)*IF(Upgrades!$T$9="First Photons",POWER(Upgrades!$U$9,H186),1)*IF(Upgrades!$T$10="First Photons",POWER(Upgrades!$U$10,I186),1)*IF(Upgrades!$T$11="First Photons",POWER(Upgrades!$U$11,J186),1))*POWER(Upgrades!$P$6,E186)*POWER(Upgrades!$P$7,F186)*POWER(Upgrades!$P$8,G186)*POWER(Upgrades!$P$9,H186)*POWER(Upgrades!$P$10,I186)*POWER(Upgrades!$P$11,J186)*POWER(Upgrades!$P$12,K186)*60</f>
        <v/>
      </c>
      <c r="AF186" s="27">
        <f>Parameters!$B$9*POWER(Upgrades!$Q$6,E186)*POWER(Upgrades!$Q$7,F186)*POWER(Upgrades!$Q$8,G186)*POWER(Upgrades!$Q$9,H186)*POWER(Upgrades!$Q$10,I186)*POWER(Upgrades!$Q$11,J186)*POWER(Upgrades!$Q$12,K186)*(Parameters!$B$10*Parameters!$B$11+O186*60)</f>
        <v/>
      </c>
      <c r="AG186" s="22">
        <f>IF(E186&gt;=Upgrades!$E$6,"",Upgrades!$C$6*POWER(Upgrades!$D$6,E186))</f>
        <v/>
      </c>
      <c r="AH186" s="22">
        <f>IF(F186&gt;=Upgrades!$E$7,"",Upgrades!$C$7*POWER(Upgrades!$D$7,F186))</f>
        <v/>
      </c>
      <c r="AI186" s="22">
        <f>IF(G186&gt;=Upgrades!$E$8,"",Upgrades!$C$8*POWER(Upgrades!$D$8,G186))</f>
        <v/>
      </c>
      <c r="AJ186" s="22">
        <f>IF(H186&gt;=Upgrades!$E$9,"",Upgrades!$C$9*POWER(Upgrades!$D$9,H186))</f>
        <v/>
      </c>
      <c r="AK186" s="22">
        <f>IF(I186&gt;=Upgrades!$E$10,"",Upgrades!$C$10*POWER(Upgrades!$D$10,I186))</f>
        <v/>
      </c>
      <c r="AL186" s="22">
        <f>IF(J186&gt;=Upgrades!$E$11,"",Upgrades!$C$11*POWER(Upgrades!$D$11,J186))</f>
        <v/>
      </c>
      <c r="AM186" s="22">
        <f>IF(K186&gt;=Upgrades!$E$12,"",Upgrades!$C$12*POWER(Upgrades!$D$12,K186))</f>
        <v/>
      </c>
      <c r="AN186" s="26">
        <f>IF(AND(D186&gt;=Parameters!$B$18,(H186&gt;=Upgrades!$E$9)*(K186&gt;=Upgrades!$E$12)=1,L186=0),1,"")</f>
        <v/>
      </c>
      <c r="AO186" s="26">
        <f>IF(AND(D186&gt;=Parameters!$B$18,L186=0),1,"")</f>
        <v/>
      </c>
      <c r="AP186" s="22">
        <f>MIN(IF(ISNUMBER(AK186),AK186,9E15),IF(ISNUMBER(AL186),AL186,9E15),IF(ISNUMBER(AM186),AM186,9E15))</f>
        <v/>
      </c>
      <c r="AQ186" s="22">
        <f>MIN(IF(ISNUMBER(AG186),AG186,9E15),IF(ISNUMBER(AH186),AH186,9E15),IF(ISNUMBER(AI186),AI186,9E15),IF(ISNUMBER(AJ186),AJ186,9E15))</f>
        <v/>
      </c>
      <c r="AR186" s="29">
        <f>IF(AW186&gt;Parameters!$B$21*(MAX(IF(AND(NOT(AND(AO186=1,AN186&lt;&gt;1)),ISNUMBER(AG186),AG186&lt;=T186),AS186,0),IF(AND(NOT(AND(AO186=1,AN186&lt;&gt;1)),ISNUMBER(AH186),AH186&lt;=T186),AT186,0),IF(AND(NOT(AND(AO186=1,AN186&lt;&gt;1)),ISNUMBER(AI186),AI186&lt;=T186),AU186,0),IF(AND(ISNUMBER(AJ186),AJ186&lt;=T186),AV186,0))),TRUE,FALSE)</f>
        <v/>
      </c>
      <c r="AS186" s="32">
        <f>IFERROR(Upgrades!$H$6*(POWER(Upgrades!$P$6,E186)*POWER(Upgrades!$P$7,F186)*POWER(Upgrades!$P$8,G186)*POWER(Upgrades!$P$9,H186)*POWER(Upgrades!$P$10,I186)*POWER(Upgrades!$P$11,J186)*POWER(Upgrades!$P$12,K186))*(IF(Upgrades!$T$7="Solar Wind",POWER(Upgrades!$U$7,F186),1)*IF(Upgrades!$T$8="Solar Wind",POWER(Upgrades!$U$8,G186),1)*IF(Upgrades!$T$9="Solar Wind",POWER(Upgrades!$U$9,H186),1)*IF(Upgrades!$T$10="Solar Wind",POWER(Upgrades!$U$10,I186),1)*IF(Upgrades!$T$11="Solar Wind",POWER(Upgrades!$U$11,J186),1)*IF(Upgrades!$T$12="Solar Wind",POWER(Upgrades!$U$12,K186),1))/AG186,0)</f>
        <v/>
      </c>
      <c r="AT186" s="32">
        <f>IFERROR(Upgrades!$H$7*(POWER(Upgrades!$P$6,E186)*POWER(Upgrades!$P$7,F186)*POWER(Upgrades!$P$8,G186)*POWER(Upgrades!$P$9,H186)*POWER(Upgrades!$P$10,I186)*POWER(Upgrades!$P$11,J186)*POWER(Upgrades!$P$12,K186))*(IF(Upgrades!$T$6="Asteroid Belt",POWER(Upgrades!$U$6,E186),1)*IF(Upgrades!$T$8="Asteroid Belt",POWER(Upgrades!$U$8,G186),1)*IF(Upgrades!$T$9="Asteroid Belt",POWER(Upgrades!$U$9,H186),1)*IF(Upgrades!$T$10="Asteroid Belt",POWER(Upgrades!$U$10,I186),1)*IF(Upgrades!$T$11="Asteroid Belt",POWER(Upgrades!$U$11,J186),1)*IF(Upgrades!$T$12="Asteroid Belt",POWER(Upgrades!$U$12,K186),1))/AH186,0)</f>
        <v/>
      </c>
      <c r="AU186" s="32">
        <f>IFERROR(Upgrades!$K$8*(POWER(Upgrades!$Q$6,E186)*POWER(Upgrades!$Q$7,F186)*POWER(Upgrades!$Q$8,G186)*POWER(Upgrades!$Q$9,H186)*POWER(Upgrades!$Q$10,I186)*POWER(Upgrades!$Q$11,J186)*POWER(Upgrades!$Q$12,K186))*(IF(Upgrades!$T$6="Stellar Coupling",POWER(Upgrades!$U$6,E186),1)*IF(Upgrades!$T$7="Stellar Coupling",POWER(Upgrades!$U$7,F186),1)*IF(Upgrades!$T$9="Stellar Coupling",POWER(Upgrades!$U$9,H186),1)*IF(Upgrades!$T$10="Stellar Coupling",POWER(Upgrades!$U$10,I186),1)*IF(Upgrades!$T$11="Stellar Coupling",POWER(Upgrades!$U$11,J186),1)*IF(Upgrades!$T$12="Stellar Coupling",POWER(Upgrades!$U$12,K186),1))*Parameters!$B$10*Parameters!$B$11/60/AI186,0)</f>
        <v/>
      </c>
      <c r="AV186" s="32">
        <f>IFERROR(Upgrades!$H$9*(POWER(Upgrades!$P$6,E186)*POWER(Upgrades!$P$7,F186)*POWER(Upgrades!$P$8,G186)*POWER(Upgrades!$P$9,H186)*POWER(Upgrades!$P$10,I186)*POWER(Upgrades!$P$11,J186)*POWER(Upgrades!$P$12,K186))*(IF(Upgrades!$T$6="Magnetosphere",POWER(Upgrades!$U$6,E186),1)*IF(Upgrades!$T$7="Magnetosphere",POWER(Upgrades!$U$7,F186),1)*IF(Upgrades!$T$8="Magnetosphere",POWER(Upgrades!$U$8,G186),1)*IF(Upgrades!$T$10="Magnetosphere",POWER(Upgrades!$U$10,I186),1)*IF(Upgrades!$T$11="Magnetosphere",POWER(Upgrades!$U$11,J186),1)*IF(Upgrades!$T$12="Magnetosphere",POWER(Upgrades!$U$12,K186),1))/AJ186,0)</f>
        <v/>
      </c>
      <c r="AW186" s="32">
        <f>MAX(IF(I186&gt;0,0,IFERROR(0.25*N186/Upgrades!$C$10,0)),IF(J186&gt;0,0,IFERROR(0.5*((IF(G186=0,0,(Upgrades!$J$8+G186*Upgrades!$K$8)*POWER(Upgrades!$L$8,G186)))*(IF(Upgrades!$T$6="Stellar Coupling",POWER(Upgrades!$U$6,E186),1)*IF(Upgrades!$T$7="Stellar Coupling",POWER(Upgrades!$U$7,F186),1)*IF(Upgrades!$T$9="Stellar Coupling",POWER(Upgrades!$U$9,H186),1)*IF(Upgrades!$T$10="Stellar Coupling",POWER(Upgrades!$U$10,I186),1)*IF(Upgrades!$T$11="Stellar Coupling",POWER(Upgrades!$U$11,J186),1)*IF(Upgrades!$T$12="Stellar Coupling",POWER(Upgrades!$U$12,K186),1))*(POWER(Upgrades!$Q$6,E186)*POWER(Upgrades!$Q$7,F186)*POWER(Upgrades!$Q$8,G186)*POWER(Upgrades!$Q$9,H186)*POWER(Upgrades!$Q$10,I186)*POWER(Upgrades!$Q$11,J186)*POWER(Upgrades!$Q$12,K186))*Parameters!$B$10*Parameters!$B$11/60)/Upgrades!$C$11,0)),IF(K186&gt;0,0,IFERROR((1.0*(POWER(Upgrades!$P$6,E186)*POWER(Upgrades!$P$7,F186)*POWER(Upgrades!$P$8,G186)*POWER(Upgrades!$P$9,H186)*POWER(Upgrades!$P$10,I186)*POWER(Upgrades!$P$11,J186)*POWER(Upgrades!$P$12,K186))+0.20*M186*Parameters!$B$10*Parameters!$B$11/60)/Upgrades!$C$12,0)),IF(AND(ISNUMBER(AG186),AG186&gt;T186),AS186,0),IF(AND(ISNUMBER(AH186),AH186&gt;T186),AT186,0),IF(AND(ISNUMBER(AI186),AI186&gt;T186),AU186,0),IF(AND(ISNUMBER(AJ186),AJ186&gt;T186),AV186,0))</f>
        <v/>
      </c>
      <c r="AX186" s="29">
        <f>IF(AN186=1,"transition",IF(MIN(IF(AND(I186=0,ISNUMBER(AK186),AK186&lt;=T186),AK186,9E15),IF(AND(J186=0,ISNUMBER(AL186),AL186&lt;=T186),AL186,9E15),IF(AND(K186=0,ISNUMBER(AM186),AM186&lt;=T186),AM186,9E15))&lt;9E15,IF(AND(AND(I186=0,ISNUMBER(AK186),AK186&lt;=T186),AK186=MIN(IF(AND(I186=0,ISNUMBER(AK186),AK186&lt;=T186),AK186,9E15),IF(AND(J186=0,ISNUMBER(AL186),AL186&lt;=T186),AL186,9E15),IF(AND(K186=0,ISNUMBER(AM186),AM186&lt;=T186),AM186,9E15))),"OR",IF(AND(AND(J186=0,ISNUMBER(AL186),AL186&lt;=T186),AL186=MIN(IF(AND(I186=0,ISNUMBER(AK186),AK186&lt;=T186),AK186,9E15),IF(AND(J186=0,ISNUMBER(AL186),AL186&lt;=T186),AL186,9E15),IF(AND(K186=0,ISNUMBER(AM186),AM186&lt;=T186),AM186,9E15))),"HP","FP")),IF(AR186=TRUE,"",IF(MAX(IF(AND(NOT(AND(AO186=1,AN186&lt;&gt;1)),ISNUMBER(AG186),AG186&lt;=T186),AS186,0),IF(AND(NOT(AND(AO186=1,AN186&lt;&gt;1)),ISNUMBER(AH186),AH186&lt;=T186),AT186,0),IF(AND(NOT(AND(AO186=1,AN186&lt;&gt;1)),ISNUMBER(AI186),AI186&lt;=T186),AU186,0),IF(AND(ISNUMBER(AJ186),AJ186&lt;=T186),AV186,0))&lt;=0,"",IF(AND(IF(AND(NOT(AND(AO186=1,AN186&lt;&gt;1)),ISNUMBER(AG186),AG186&lt;=T186),AS186,0)&gt;0,IF(AND(NOT(AND(AO186=1,AN186&lt;&gt;1)),ISNUMBER(AG186),AG186&lt;=T186),AS186,0)=MAX(IF(AND(NOT(AND(AO186=1,AN186&lt;&gt;1)),ISNUMBER(AG186),AG186&lt;=T186),AS186,0),IF(AND(NOT(AND(AO186=1,AN186&lt;&gt;1)),ISNUMBER(AH186),AH186&lt;=T186),AT186,0),IF(AND(NOT(AND(AO186=1,AN186&lt;&gt;1)),ISNUMBER(AI186),AI186&lt;=T186),AU186,0),IF(AND(ISNUMBER(AJ186),AJ186&lt;=T186),AV186,0))),"SW",IF(AND(IF(AND(NOT(AND(AO186=1,AN186&lt;&gt;1)),ISNUMBER(AH186),AH186&lt;=T186),AT186,0)&gt;0,IF(AND(NOT(AND(AO186=1,AN186&lt;&gt;1)),ISNUMBER(AH186),AH186&lt;=T186),AT186,0)=MAX(IF(AND(NOT(AND(AO186=1,AN186&lt;&gt;1)),ISNUMBER(AG186),AG186&lt;=T186),AS186,0),IF(AND(NOT(AND(AO186=1,AN186&lt;&gt;1)),ISNUMBER(AH186),AH186&lt;=T186),AT186,0),IF(AND(NOT(AND(AO186=1,AN186&lt;&gt;1)),ISNUMBER(AI186),AI186&lt;=T186),AU186,0),IF(AND(ISNUMBER(AJ186),AJ186&lt;=T186),AV186,0))),"AB",IF(AND(IF(AND(NOT(AND(AO186=1,AN186&lt;&gt;1)),ISNUMBER(AI186),AI186&lt;=T186),AU186,0)&gt;0,IF(AND(NOT(AND(AO186=1,AN186&lt;&gt;1)),ISNUMBER(AI186),AI186&lt;=T186),AU186,0)=MAX(IF(AND(NOT(AND(AO186=1,AN186&lt;&gt;1)),ISNUMBER(AG186),AG186&lt;=T186),AS186,0),IF(AND(NOT(AND(AO186=1,AN186&lt;&gt;1)),ISNUMBER(AH186),AH186&lt;=T186),AT186,0),IF(AND(NOT(AND(AO186=1,AN186&lt;&gt;1)),ISNUMBER(AI186),AI186&lt;=T186),AU186,0),IF(AND(ISNUMBER(AJ186),AJ186&lt;=T186),AV186,0))),"SC","Mag")))))))</f>
        <v/>
      </c>
    </row>
    <row r="187">
      <c r="A187" s="26" t="n">
        <v>182</v>
      </c>
      <c r="B187" s="27">
        <f>A187*10/60</f>
        <v/>
      </c>
      <c r="C187" s="22">
        <f>X186</f>
        <v/>
      </c>
      <c r="D187" s="27">
        <f>D186+W186</f>
        <v/>
      </c>
      <c r="E187" s="26">
        <f>E186+IF(U186="SW",1,0)</f>
        <v/>
      </c>
      <c r="F187" s="26">
        <f>F186+IF(U186="AB",1,0)</f>
        <v/>
      </c>
      <c r="G187" s="26">
        <f>G186+IF(U186="SC",1,0)</f>
        <v/>
      </c>
      <c r="H187" s="26">
        <f>H186+IF(U186="Mag",1,0)</f>
        <v/>
      </c>
      <c r="I187" s="26">
        <f>MAX(I186,IF(U186="OR",1,0))</f>
        <v/>
      </c>
      <c r="J187" s="26">
        <f>MAX(J186,IF(U186="HP",1,0))</f>
        <v/>
      </c>
      <c r="K187" s="26">
        <f>MAX(K186,IF(U186="FP",1,0))</f>
        <v/>
      </c>
      <c r="L187" s="26">
        <f>MAX(L186,IF(U186="transition",1,0))</f>
        <v/>
      </c>
      <c r="M187" s="28">
        <f>(Parameters!$B$9+(IF(E187=0,0,(Upgrades!$J$6+E187*Upgrades!$K$6)*POWER(Upgrades!$L$6,E187)))*(IF(Upgrades!$T$7="Solar Wind",POWER(Upgrades!$U$7,F187),1)*IF(Upgrades!$T$8="Solar Wind",POWER(Upgrades!$U$8,G187),1)*IF(Upgrades!$T$9="Solar Wind",POWER(Upgrades!$U$9,H187),1)*IF(Upgrades!$T$10="Solar Wind",POWER(Upgrades!$U$10,I187),1)*IF(Upgrades!$T$11="Solar Wind",POWER(Upgrades!$U$11,J187),1)*IF(Upgrades!$T$12="Solar Wind",POWER(Upgrades!$U$12,K187),1))+(IF(F187=0,0,(Upgrades!$J$7+F187*Upgrades!$K$7)*POWER(Upgrades!$L$7,F187)))*(IF(Upgrades!$T$6="Asteroid Belt",POWER(Upgrades!$U$6,E187),1)*IF(Upgrades!$T$8="Asteroid Belt",POWER(Upgrades!$U$8,G187),1)*IF(Upgrades!$T$9="Asteroid Belt",POWER(Upgrades!$U$9,H187),1)*IF(Upgrades!$T$10="Asteroid Belt",POWER(Upgrades!$U$10,I187),1)*IF(Upgrades!$T$11="Asteroid Belt",POWER(Upgrades!$U$11,J187),1)*IF(Upgrades!$T$12="Asteroid Belt",POWER(Upgrades!$U$12,K187),1))+(IF(G187=0,0,(Upgrades!$J$8+G187*Upgrades!$K$8)*POWER(Upgrades!$L$8,G187)))*(IF(Upgrades!$T$6="Stellar Coupling",POWER(Upgrades!$U$6,E187),1)*IF(Upgrades!$T$7="Stellar Coupling",POWER(Upgrades!$U$7,F187),1)*IF(Upgrades!$T$9="Stellar Coupling",POWER(Upgrades!$U$9,H187),1)*IF(Upgrades!$T$10="Stellar Coupling",POWER(Upgrades!$U$10,I187),1)*IF(Upgrades!$T$11="Stellar Coupling",POWER(Upgrades!$U$11,J187),1)*IF(Upgrades!$T$12="Stellar Coupling",POWER(Upgrades!$U$12,K187),1))+(IF(H187=0,0,(Upgrades!$J$9+H187*Upgrades!$K$9)*POWER(Upgrades!$L$9,H187)))*(IF(Upgrades!$T$6="Magnetosphere",POWER(Upgrades!$U$6,E187),1)*IF(Upgrades!$T$7="Magnetosphere",POWER(Upgrades!$U$7,F187),1)*IF(Upgrades!$T$8="Magnetosphere",POWER(Upgrades!$U$8,G187),1)*IF(Upgrades!$T$10="Magnetosphere",POWER(Upgrades!$U$10,I187),1)*IF(Upgrades!$T$11="Magnetosphere",POWER(Upgrades!$U$11,J187),1)*IF(Upgrades!$T$12="Magnetosphere",POWER(Upgrades!$U$12,K187),1))+(IF(I187=0,0,(Upgrades!$J$10+I187*Upgrades!$K$10)*POWER(Upgrades!$L$10,I187)))*(IF(Upgrades!$T$6="Orbital Resonance",POWER(Upgrades!$U$6,E187),1)*IF(Upgrades!$T$7="Orbital Resonance",POWER(Upgrades!$U$7,F187),1)*IF(Upgrades!$T$8="Orbital Resonance",POWER(Upgrades!$U$8,G187),1)*IF(Upgrades!$T$9="Orbital Resonance",POWER(Upgrades!$U$9,H187),1)*IF(Upgrades!$T$11="Orbital Resonance",POWER(Upgrades!$U$11,J187),1)*IF(Upgrades!$T$12="Orbital Resonance",POWER(Upgrades!$U$12,K187),1))+(IF(J187=0,0,(Upgrades!$J$11+J187*Upgrades!$K$11)*POWER(Upgrades!$L$11,J187)))*(IF(Upgrades!$T$6="Heliopause",POWER(Upgrades!$U$6,E187),1)*IF(Upgrades!$T$7="Heliopause",POWER(Upgrades!$U$7,F187),1)*IF(Upgrades!$T$8="Heliopause",POWER(Upgrades!$U$8,G187),1)*IF(Upgrades!$T$9="Heliopause",POWER(Upgrades!$U$9,H187),1)*IF(Upgrades!$T$10="Heliopause",POWER(Upgrades!$U$10,I187),1)*IF(Upgrades!$T$12="Heliopause",POWER(Upgrades!$U$12,K187),1))+(IF(K187=0,0,(Upgrades!$J$12+K187*Upgrades!$K$12)*POWER(Upgrades!$L$12,K187)))*(IF(Upgrades!$T$6="First Photons",POWER(Upgrades!$U$6,E187),1)*IF(Upgrades!$T$7="First Photons",POWER(Upgrades!$U$7,F187),1)*IF(Upgrades!$T$8="First Photons",POWER(Upgrades!$U$8,G187),1)*IF(Upgrades!$T$9="First Photons",POWER(Upgrades!$U$9,H187),1)*IF(Upgrades!$T$10="First Photons",POWER(Upgrades!$U$10,I187),1)*IF(Upgrades!$T$11="First Photons",POWER(Upgrades!$U$11,J187),1)))*POWER(Upgrades!$Q$6,E187)*POWER(Upgrades!$Q$7,F187)*POWER(Upgrades!$Q$8,G187)*POWER(Upgrades!$Q$9,H187)*POWER(Upgrades!$Q$10,I187)*POWER(Upgrades!$Q$11,J187)*POWER(Upgrades!$Q$12,K187)</f>
        <v/>
      </c>
      <c r="N187" s="28">
        <f>((IF(E187=0,0,(Upgrades!$G$6+E187*Upgrades!$H$6)*POWER(Upgrades!$I$6,E187)))*(IF(Upgrades!$T$7="Solar Wind",POWER(Upgrades!$U$7,F187),1)*IF(Upgrades!$T$8="Solar Wind",POWER(Upgrades!$U$8,G187),1)*IF(Upgrades!$T$9="Solar Wind",POWER(Upgrades!$U$9,H187),1)*IF(Upgrades!$T$10="Solar Wind",POWER(Upgrades!$U$10,I187),1)*IF(Upgrades!$T$11="Solar Wind",POWER(Upgrades!$U$11,J187),1)*IF(Upgrades!$T$12="Solar Wind",POWER(Upgrades!$U$12,K187),1))+(IF(F187=0,0,(Upgrades!$G$7+F187*Upgrades!$H$7)*POWER(Upgrades!$I$7,F187)))*(IF(Upgrades!$T$6="Asteroid Belt",POWER(Upgrades!$U$6,E187),1)*IF(Upgrades!$T$8="Asteroid Belt",POWER(Upgrades!$U$8,G187),1)*IF(Upgrades!$T$9="Asteroid Belt",POWER(Upgrades!$U$9,H187),1)*IF(Upgrades!$T$10="Asteroid Belt",POWER(Upgrades!$U$10,I187),1)*IF(Upgrades!$T$11="Asteroid Belt",POWER(Upgrades!$U$11,J187),1)*IF(Upgrades!$T$12="Asteroid Belt",POWER(Upgrades!$U$12,K187),1))+(IF(G187=0,0,(Upgrades!$G$8+G187*Upgrades!$H$8)*POWER(Upgrades!$I$8,G187)))*(IF(Upgrades!$T$6="Stellar Coupling",POWER(Upgrades!$U$6,E187),1)*IF(Upgrades!$T$7="Stellar Coupling",POWER(Upgrades!$U$7,F187),1)*IF(Upgrades!$T$9="Stellar Coupling",POWER(Upgrades!$U$9,H187),1)*IF(Upgrades!$T$10="Stellar Coupling",POWER(Upgrades!$U$10,I187),1)*IF(Upgrades!$T$11="Stellar Coupling",POWER(Upgrades!$U$11,J187),1)*IF(Upgrades!$T$12="Stellar Coupling",POWER(Upgrades!$U$12,K187),1))+(IF(H187=0,0,(Upgrades!$G$9+H187*Upgrades!$H$9)*POWER(Upgrades!$I$9,H187)))*(IF(Upgrades!$T$6="Magnetosphere",POWER(Upgrades!$U$6,E187),1)*IF(Upgrades!$T$7="Magnetosphere",POWER(Upgrades!$U$7,F187),1)*IF(Upgrades!$T$8="Magnetosphere",POWER(Upgrades!$U$8,G187),1)*IF(Upgrades!$T$10="Magnetosphere",POWER(Upgrades!$U$10,I187),1)*IF(Upgrades!$T$11="Magnetosphere",POWER(Upgrades!$U$11,J187),1)*IF(Upgrades!$T$12="Magnetosphere",POWER(Upgrades!$U$12,K187),1))+(IF(I187=0,0,(Upgrades!$G$10+I187*Upgrades!$H$10)*POWER(Upgrades!$I$10,I187)))*(IF(Upgrades!$T$6="Orbital Resonance",POWER(Upgrades!$U$6,E187),1)*IF(Upgrades!$T$7="Orbital Resonance",POWER(Upgrades!$U$7,F187),1)*IF(Upgrades!$T$8="Orbital Resonance",POWER(Upgrades!$U$8,G187),1)*IF(Upgrades!$T$9="Orbital Resonance",POWER(Upgrades!$U$9,H187),1)*IF(Upgrades!$T$11="Orbital Resonance",POWER(Upgrades!$U$11,J187),1)*IF(Upgrades!$T$12="Orbital Resonance",POWER(Upgrades!$U$12,K187),1))+(IF(J187=0,0,(Upgrades!$G$11+J187*Upgrades!$H$11)*POWER(Upgrades!$I$11,J187)))*(IF(Upgrades!$T$6="Heliopause",POWER(Upgrades!$U$6,E187),1)*IF(Upgrades!$T$7="Heliopause",POWER(Upgrades!$U$7,F187),1)*IF(Upgrades!$T$8="Heliopause",POWER(Upgrades!$U$8,G187),1)*IF(Upgrades!$T$9="Heliopause",POWER(Upgrades!$U$9,H187),1)*IF(Upgrades!$T$10="Heliopause",POWER(Upgrades!$U$10,I187),1)*IF(Upgrades!$T$12="Heliopause",POWER(Upgrades!$U$12,K187),1))+(IF(K187=0,0,(Upgrades!$G$12+K187*Upgrades!$H$12)*POWER(Upgrades!$I$12,K187)))*(IF(Upgrades!$T$6="First Photons",POWER(Upgrades!$U$6,E187),1)*IF(Upgrades!$T$7="First Photons",POWER(Upgrades!$U$7,F187),1)*IF(Upgrades!$T$8="First Photons",POWER(Upgrades!$U$8,G187),1)*IF(Upgrades!$T$9="First Photons",POWER(Upgrades!$U$9,H187),1)*IF(Upgrades!$T$10="First Photons",POWER(Upgrades!$U$10,I187),1)*IF(Upgrades!$T$11="First Photons",POWER(Upgrades!$U$11,J187),1)))*POWER(Upgrades!$P$6,E187)*POWER(Upgrades!$P$7,F187)*POWER(Upgrades!$P$8,G187)*POWER(Upgrades!$P$9,H187)*POWER(Upgrades!$P$10,I187)*POWER(Upgrades!$P$11,J187)*POWER(Upgrades!$P$12,K187)</f>
        <v/>
      </c>
      <c r="O187" s="28">
        <f>((IF(E187=0,0,(Upgrades!$M$6+E187*Upgrades!$N$6)*POWER(Upgrades!$O$6,E187)))*(IF(Upgrades!$T$7="Solar Wind",POWER(Upgrades!$U$7,F187),1)*IF(Upgrades!$T$8="Solar Wind",POWER(Upgrades!$U$8,G187),1)*IF(Upgrades!$T$9="Solar Wind",POWER(Upgrades!$U$9,H187),1)*IF(Upgrades!$T$10="Solar Wind",POWER(Upgrades!$U$10,I187),1)*IF(Upgrades!$T$11="Solar Wind",POWER(Upgrades!$U$11,J187),1)*IF(Upgrades!$T$12="Solar Wind",POWER(Upgrades!$U$12,K187),1))+(IF(F187=0,0,(Upgrades!$M$7+F187*Upgrades!$N$7)*POWER(Upgrades!$O$7,F187)))*(IF(Upgrades!$T$6="Asteroid Belt",POWER(Upgrades!$U$6,E187),1)*IF(Upgrades!$T$8="Asteroid Belt",POWER(Upgrades!$U$8,G187),1)*IF(Upgrades!$T$9="Asteroid Belt",POWER(Upgrades!$U$9,H187),1)*IF(Upgrades!$T$10="Asteroid Belt",POWER(Upgrades!$U$10,I187),1)*IF(Upgrades!$T$11="Asteroid Belt",POWER(Upgrades!$U$11,J187),1)*IF(Upgrades!$T$12="Asteroid Belt",POWER(Upgrades!$U$12,K187),1))+(IF(G187=0,0,(Upgrades!$M$8+G187*Upgrades!$N$8)*POWER(Upgrades!$O$8,G187)))*(IF(Upgrades!$T$6="Stellar Coupling",POWER(Upgrades!$U$6,E187),1)*IF(Upgrades!$T$7="Stellar Coupling",POWER(Upgrades!$U$7,F187),1)*IF(Upgrades!$T$9="Stellar Coupling",POWER(Upgrades!$U$9,H187),1)*IF(Upgrades!$T$10="Stellar Coupling",POWER(Upgrades!$U$10,I187),1)*IF(Upgrades!$T$11="Stellar Coupling",POWER(Upgrades!$U$11,J187),1)*IF(Upgrades!$T$12="Stellar Coupling",POWER(Upgrades!$U$12,K187),1))+(IF(H187=0,0,(Upgrades!$M$9+H187*Upgrades!$N$9)*POWER(Upgrades!$O$9,H187)))*(IF(Upgrades!$T$6="Magnetosphere",POWER(Upgrades!$U$6,E187),1)*IF(Upgrades!$T$7="Magnetosphere",POWER(Upgrades!$U$7,F187),1)*IF(Upgrades!$T$8="Magnetosphere",POWER(Upgrades!$U$8,G187),1)*IF(Upgrades!$T$10="Magnetosphere",POWER(Upgrades!$U$10,I187),1)*IF(Upgrades!$T$11="Magnetosphere",POWER(Upgrades!$U$11,J187),1)*IF(Upgrades!$T$12="Magnetosphere",POWER(Upgrades!$U$12,K187),1))+(IF(I187=0,0,(Upgrades!$M$10+I187*Upgrades!$N$10)*POWER(Upgrades!$O$10,I187)))*(IF(Upgrades!$T$6="Orbital Resonance",POWER(Upgrades!$U$6,E187),1)*IF(Upgrades!$T$7="Orbital Resonance",POWER(Upgrades!$U$7,F187),1)*IF(Upgrades!$T$8="Orbital Resonance",POWER(Upgrades!$U$8,G187),1)*IF(Upgrades!$T$9="Orbital Resonance",POWER(Upgrades!$U$9,H187),1)*IF(Upgrades!$T$11="Orbital Resonance",POWER(Upgrades!$U$11,J187),1)*IF(Upgrades!$T$12="Orbital Resonance",POWER(Upgrades!$U$12,K187),1))+(IF(J187=0,0,(Upgrades!$M$11+J187*Upgrades!$N$11)*POWER(Upgrades!$O$11,J187)))*(IF(Upgrades!$T$6="Heliopause",POWER(Upgrades!$U$6,E187),1)*IF(Upgrades!$T$7="Heliopause",POWER(Upgrades!$U$7,F187),1)*IF(Upgrades!$T$8="Heliopause",POWER(Upgrades!$U$8,G187),1)*IF(Upgrades!$T$9="Heliopause",POWER(Upgrades!$U$9,H187),1)*IF(Upgrades!$T$10="Heliopause",POWER(Upgrades!$U$10,I187),1)*IF(Upgrades!$T$12="Heliopause",POWER(Upgrades!$U$12,K187),1))+(IF(K187=0,0,(Upgrades!$M$12+K187*Upgrades!$N$12)*POWER(Upgrades!$O$12,K187)))*(IF(Upgrades!$T$6="First Photons",POWER(Upgrades!$U$6,E187),1)*IF(Upgrades!$T$7="First Photons",POWER(Upgrades!$U$7,F187),1)*IF(Upgrades!$T$8="First Photons",POWER(Upgrades!$U$8,G187),1)*IF(Upgrades!$T$9="First Photons",POWER(Upgrades!$U$9,H187),1)*IF(Upgrades!$T$10="First Photons",POWER(Upgrades!$U$10,I187),1)*IF(Upgrades!$T$11="First Photons",POWER(Upgrades!$U$11,J187),1)))*POWER(Upgrades!$R$6,E187)*POWER(Upgrades!$R$7,F187)*POWER(Upgrades!$R$8,G187)*POWER(Upgrades!$R$9,H187)*POWER(Upgrades!$R$10,I187)*POWER(Upgrades!$R$11,J187)*POWER(Upgrades!$R$12,K187)</f>
        <v/>
      </c>
      <c r="P187" s="27">
        <f>IF(L187=1,0,M187*Parameters!$B$10/60*Parameters!$B$11*10)</f>
        <v/>
      </c>
      <c r="Q187" s="27">
        <f>IF(L187=1,0,O187*M187*10)</f>
        <v/>
      </c>
      <c r="R187" s="27">
        <f>IF(L187=1,0,N187*10)</f>
        <v/>
      </c>
      <c r="S187" s="27">
        <f>P187+Q187+R187</f>
        <v/>
      </c>
      <c r="T187" s="22">
        <f>C187+S187</f>
        <v/>
      </c>
      <c r="U187" s="33">
        <f>AX187</f>
        <v/>
      </c>
      <c r="V187" s="22">
        <f>IF(U187="",0,IF(U187="transition",0,IF(U187="SW",AG187,IF(U187="AB",AH187,IF(U187="SC",AI187,IF(U187="Mag",AJ187,IF(U187="OR",AK187,IF(U187="HP",AL187,IF(U187="FP",AM187,0)))))))))</f>
        <v/>
      </c>
      <c r="W187" s="27">
        <f>IF(U187="OR",Upgrades!$F$10,IF(U187="HP",Upgrades!$F$11,IF(U187="transition",-Parameters!$B$18,0)))</f>
        <v/>
      </c>
      <c r="X187" s="22">
        <f>T187-V187</f>
        <v/>
      </c>
      <c r="Y187" s="30">
        <f>M187*Parameters!$B$10/60*Parameters!$B$11+O187*M187+N187</f>
        <v/>
      </c>
      <c r="Z187" s="34">
        <f>IF(U187="transition","→ Tier 2 (Stellar Neighborhood)",IF(U187="FP","First Photons — light begins, system quickens",IF(U187="HP","Heliopause acquired",IF(U187="OR","Orbital Resonance — passive multiplier active",IF(AND(AO187=1,L187=0,AN187&lt;&gt;1),"Cohesion ready (waiting on completionist upgrades)","")))))</f>
        <v/>
      </c>
      <c r="AA187" s="27">
        <f>(IF(E187=0,0,(Upgrades!$G$6+E187*Upgrades!$H$6)*POWER(Upgrades!$I$6,E187)))*(IF(Upgrades!$T$7="Solar Wind",POWER(Upgrades!$U$7,F187),1)*IF(Upgrades!$T$8="Solar Wind",POWER(Upgrades!$U$8,G187),1)*IF(Upgrades!$T$9="Solar Wind",POWER(Upgrades!$U$9,H187),1)*IF(Upgrades!$T$10="Solar Wind",POWER(Upgrades!$U$10,I187),1)*IF(Upgrades!$T$11="Solar Wind",POWER(Upgrades!$U$11,J187),1)*IF(Upgrades!$T$12="Solar Wind",POWER(Upgrades!$U$12,K187),1))*POWER(Upgrades!$P$6,E187)*POWER(Upgrades!$P$7,F187)*POWER(Upgrades!$P$8,G187)*POWER(Upgrades!$P$9,H187)*POWER(Upgrades!$P$10,I187)*POWER(Upgrades!$P$11,J187)*POWER(Upgrades!$P$12,K187)*60</f>
        <v/>
      </c>
      <c r="AB187" s="27">
        <f>(IF(F187=0,0,(Upgrades!$G$7+F187*Upgrades!$H$7)*POWER(Upgrades!$I$7,F187)))*(IF(Upgrades!$T$6="Asteroid Belt",POWER(Upgrades!$U$6,E187),1)*IF(Upgrades!$T$8="Asteroid Belt",POWER(Upgrades!$U$8,G187),1)*IF(Upgrades!$T$9="Asteroid Belt",POWER(Upgrades!$U$9,H187),1)*IF(Upgrades!$T$10="Asteroid Belt",POWER(Upgrades!$U$10,I187),1)*IF(Upgrades!$T$11="Asteroid Belt",POWER(Upgrades!$U$11,J187),1)*IF(Upgrades!$T$12="Asteroid Belt",POWER(Upgrades!$U$12,K187),1))*POWER(Upgrades!$P$6,E187)*POWER(Upgrades!$P$7,F187)*POWER(Upgrades!$P$8,G187)*POWER(Upgrades!$P$9,H187)*POWER(Upgrades!$P$10,I187)*POWER(Upgrades!$P$11,J187)*POWER(Upgrades!$P$12,K187)*60</f>
        <v/>
      </c>
      <c r="AC187" s="27">
        <f>(IF(G187=0,0,(Upgrades!$J$8+G187*Upgrades!$K$8)*POWER(Upgrades!$L$8,G187)))*(IF(Upgrades!$T$6="Stellar Coupling",POWER(Upgrades!$U$6,E187),1)*IF(Upgrades!$T$7="Stellar Coupling",POWER(Upgrades!$U$7,F187),1)*IF(Upgrades!$T$9="Stellar Coupling",POWER(Upgrades!$U$9,H187),1)*IF(Upgrades!$T$10="Stellar Coupling",POWER(Upgrades!$U$10,I187),1)*IF(Upgrades!$T$11="Stellar Coupling",POWER(Upgrades!$U$11,J187),1)*IF(Upgrades!$T$12="Stellar Coupling",POWER(Upgrades!$U$12,K187),1))*POWER(Upgrades!$Q$6,E187)*POWER(Upgrades!$Q$7,F187)*POWER(Upgrades!$Q$8,G187)*POWER(Upgrades!$Q$9,H187)*POWER(Upgrades!$Q$10,I187)*POWER(Upgrades!$Q$11,J187)*POWER(Upgrades!$Q$12,K187)*Parameters!$B$10*Parameters!$B$11</f>
        <v/>
      </c>
      <c r="AD187" s="27">
        <f>(IF(H187=0,0,(Upgrades!$G$9+H187*Upgrades!$H$9)*POWER(Upgrades!$I$9,H187)))*(IF(Upgrades!$T$6="Magnetosphere",POWER(Upgrades!$U$6,E187),1)*IF(Upgrades!$T$7="Magnetosphere",POWER(Upgrades!$U$7,F187),1)*IF(Upgrades!$T$8="Magnetosphere",POWER(Upgrades!$U$8,G187),1)*IF(Upgrades!$T$10="Magnetosphere",POWER(Upgrades!$U$10,I187),1)*IF(Upgrades!$T$11="Magnetosphere",POWER(Upgrades!$U$11,J187),1)*IF(Upgrades!$T$12="Magnetosphere",POWER(Upgrades!$U$12,K187),1))*POWER(Upgrades!$P$6,E187)*POWER(Upgrades!$P$7,F187)*POWER(Upgrades!$P$8,G187)*POWER(Upgrades!$P$9,H187)*POWER(Upgrades!$P$10,I187)*POWER(Upgrades!$P$11,J187)*POWER(Upgrades!$P$12,K187)*60</f>
        <v/>
      </c>
      <c r="AE187" s="27">
        <f>(IF(K187=0,0,(Upgrades!$G$12+K187*Upgrades!$H$12)*POWER(Upgrades!$I$12,K187)))*(IF(Upgrades!$T$6="First Photons",POWER(Upgrades!$U$6,E187),1)*IF(Upgrades!$T$7="First Photons",POWER(Upgrades!$U$7,F187),1)*IF(Upgrades!$T$8="First Photons",POWER(Upgrades!$U$8,G187),1)*IF(Upgrades!$T$9="First Photons",POWER(Upgrades!$U$9,H187),1)*IF(Upgrades!$T$10="First Photons",POWER(Upgrades!$U$10,I187),1)*IF(Upgrades!$T$11="First Photons",POWER(Upgrades!$U$11,J187),1))*POWER(Upgrades!$P$6,E187)*POWER(Upgrades!$P$7,F187)*POWER(Upgrades!$P$8,G187)*POWER(Upgrades!$P$9,H187)*POWER(Upgrades!$P$10,I187)*POWER(Upgrades!$P$11,J187)*POWER(Upgrades!$P$12,K187)*60</f>
        <v/>
      </c>
      <c r="AF187" s="27">
        <f>Parameters!$B$9*POWER(Upgrades!$Q$6,E187)*POWER(Upgrades!$Q$7,F187)*POWER(Upgrades!$Q$8,G187)*POWER(Upgrades!$Q$9,H187)*POWER(Upgrades!$Q$10,I187)*POWER(Upgrades!$Q$11,J187)*POWER(Upgrades!$Q$12,K187)*(Parameters!$B$10*Parameters!$B$11+O187*60)</f>
        <v/>
      </c>
      <c r="AG187" s="22">
        <f>IF(E187&gt;=Upgrades!$E$6,"",Upgrades!$C$6*POWER(Upgrades!$D$6,E187))</f>
        <v/>
      </c>
      <c r="AH187" s="22">
        <f>IF(F187&gt;=Upgrades!$E$7,"",Upgrades!$C$7*POWER(Upgrades!$D$7,F187))</f>
        <v/>
      </c>
      <c r="AI187" s="22">
        <f>IF(G187&gt;=Upgrades!$E$8,"",Upgrades!$C$8*POWER(Upgrades!$D$8,G187))</f>
        <v/>
      </c>
      <c r="AJ187" s="22">
        <f>IF(H187&gt;=Upgrades!$E$9,"",Upgrades!$C$9*POWER(Upgrades!$D$9,H187))</f>
        <v/>
      </c>
      <c r="AK187" s="22">
        <f>IF(I187&gt;=Upgrades!$E$10,"",Upgrades!$C$10*POWER(Upgrades!$D$10,I187))</f>
        <v/>
      </c>
      <c r="AL187" s="22">
        <f>IF(J187&gt;=Upgrades!$E$11,"",Upgrades!$C$11*POWER(Upgrades!$D$11,J187))</f>
        <v/>
      </c>
      <c r="AM187" s="22">
        <f>IF(K187&gt;=Upgrades!$E$12,"",Upgrades!$C$12*POWER(Upgrades!$D$12,K187))</f>
        <v/>
      </c>
      <c r="AN187" s="26">
        <f>IF(AND(D187&gt;=Parameters!$B$18,(H187&gt;=Upgrades!$E$9)*(K187&gt;=Upgrades!$E$12)=1,L187=0),1,"")</f>
        <v/>
      </c>
      <c r="AO187" s="26">
        <f>IF(AND(D187&gt;=Parameters!$B$18,L187=0),1,"")</f>
        <v/>
      </c>
      <c r="AP187" s="22">
        <f>MIN(IF(ISNUMBER(AK187),AK187,9E15),IF(ISNUMBER(AL187),AL187,9E15),IF(ISNUMBER(AM187),AM187,9E15))</f>
        <v/>
      </c>
      <c r="AQ187" s="22">
        <f>MIN(IF(ISNUMBER(AG187),AG187,9E15),IF(ISNUMBER(AH187),AH187,9E15),IF(ISNUMBER(AI187),AI187,9E15),IF(ISNUMBER(AJ187),AJ187,9E15))</f>
        <v/>
      </c>
      <c r="AR187" s="29">
        <f>IF(AW187&gt;Parameters!$B$21*(MAX(IF(AND(NOT(AND(AO187=1,AN187&lt;&gt;1)),ISNUMBER(AG187),AG187&lt;=T187),AS187,0),IF(AND(NOT(AND(AO187=1,AN187&lt;&gt;1)),ISNUMBER(AH187),AH187&lt;=T187),AT187,0),IF(AND(NOT(AND(AO187=1,AN187&lt;&gt;1)),ISNUMBER(AI187),AI187&lt;=T187),AU187,0),IF(AND(ISNUMBER(AJ187),AJ187&lt;=T187),AV187,0))),TRUE,FALSE)</f>
        <v/>
      </c>
      <c r="AS187" s="32">
        <f>IFERROR(Upgrades!$H$6*(POWER(Upgrades!$P$6,E187)*POWER(Upgrades!$P$7,F187)*POWER(Upgrades!$P$8,G187)*POWER(Upgrades!$P$9,H187)*POWER(Upgrades!$P$10,I187)*POWER(Upgrades!$P$11,J187)*POWER(Upgrades!$P$12,K187))*(IF(Upgrades!$T$7="Solar Wind",POWER(Upgrades!$U$7,F187),1)*IF(Upgrades!$T$8="Solar Wind",POWER(Upgrades!$U$8,G187),1)*IF(Upgrades!$T$9="Solar Wind",POWER(Upgrades!$U$9,H187),1)*IF(Upgrades!$T$10="Solar Wind",POWER(Upgrades!$U$10,I187),1)*IF(Upgrades!$T$11="Solar Wind",POWER(Upgrades!$U$11,J187),1)*IF(Upgrades!$T$12="Solar Wind",POWER(Upgrades!$U$12,K187),1))/AG187,0)</f>
        <v/>
      </c>
      <c r="AT187" s="32">
        <f>IFERROR(Upgrades!$H$7*(POWER(Upgrades!$P$6,E187)*POWER(Upgrades!$P$7,F187)*POWER(Upgrades!$P$8,G187)*POWER(Upgrades!$P$9,H187)*POWER(Upgrades!$P$10,I187)*POWER(Upgrades!$P$11,J187)*POWER(Upgrades!$P$12,K187))*(IF(Upgrades!$T$6="Asteroid Belt",POWER(Upgrades!$U$6,E187),1)*IF(Upgrades!$T$8="Asteroid Belt",POWER(Upgrades!$U$8,G187),1)*IF(Upgrades!$T$9="Asteroid Belt",POWER(Upgrades!$U$9,H187),1)*IF(Upgrades!$T$10="Asteroid Belt",POWER(Upgrades!$U$10,I187),1)*IF(Upgrades!$T$11="Asteroid Belt",POWER(Upgrades!$U$11,J187),1)*IF(Upgrades!$T$12="Asteroid Belt",POWER(Upgrades!$U$12,K187),1))/AH187,0)</f>
        <v/>
      </c>
      <c r="AU187" s="32">
        <f>IFERROR(Upgrades!$K$8*(POWER(Upgrades!$Q$6,E187)*POWER(Upgrades!$Q$7,F187)*POWER(Upgrades!$Q$8,G187)*POWER(Upgrades!$Q$9,H187)*POWER(Upgrades!$Q$10,I187)*POWER(Upgrades!$Q$11,J187)*POWER(Upgrades!$Q$12,K187))*(IF(Upgrades!$T$6="Stellar Coupling",POWER(Upgrades!$U$6,E187),1)*IF(Upgrades!$T$7="Stellar Coupling",POWER(Upgrades!$U$7,F187),1)*IF(Upgrades!$T$9="Stellar Coupling",POWER(Upgrades!$U$9,H187),1)*IF(Upgrades!$T$10="Stellar Coupling",POWER(Upgrades!$U$10,I187),1)*IF(Upgrades!$T$11="Stellar Coupling",POWER(Upgrades!$U$11,J187),1)*IF(Upgrades!$T$12="Stellar Coupling",POWER(Upgrades!$U$12,K187),1))*Parameters!$B$10*Parameters!$B$11/60/AI187,0)</f>
        <v/>
      </c>
      <c r="AV187" s="32">
        <f>IFERROR(Upgrades!$H$9*(POWER(Upgrades!$P$6,E187)*POWER(Upgrades!$P$7,F187)*POWER(Upgrades!$P$8,G187)*POWER(Upgrades!$P$9,H187)*POWER(Upgrades!$P$10,I187)*POWER(Upgrades!$P$11,J187)*POWER(Upgrades!$P$12,K187))*(IF(Upgrades!$T$6="Magnetosphere",POWER(Upgrades!$U$6,E187),1)*IF(Upgrades!$T$7="Magnetosphere",POWER(Upgrades!$U$7,F187),1)*IF(Upgrades!$T$8="Magnetosphere",POWER(Upgrades!$U$8,G187),1)*IF(Upgrades!$T$10="Magnetosphere",POWER(Upgrades!$U$10,I187),1)*IF(Upgrades!$T$11="Magnetosphere",POWER(Upgrades!$U$11,J187),1)*IF(Upgrades!$T$12="Magnetosphere",POWER(Upgrades!$U$12,K187),1))/AJ187,0)</f>
        <v/>
      </c>
      <c r="AW187" s="32">
        <f>MAX(IF(I187&gt;0,0,IFERROR(0.25*N187/Upgrades!$C$10,0)),IF(J187&gt;0,0,IFERROR(0.5*((IF(G187=0,0,(Upgrades!$J$8+G187*Upgrades!$K$8)*POWER(Upgrades!$L$8,G187)))*(IF(Upgrades!$T$6="Stellar Coupling",POWER(Upgrades!$U$6,E187),1)*IF(Upgrades!$T$7="Stellar Coupling",POWER(Upgrades!$U$7,F187),1)*IF(Upgrades!$T$9="Stellar Coupling",POWER(Upgrades!$U$9,H187),1)*IF(Upgrades!$T$10="Stellar Coupling",POWER(Upgrades!$U$10,I187),1)*IF(Upgrades!$T$11="Stellar Coupling",POWER(Upgrades!$U$11,J187),1)*IF(Upgrades!$T$12="Stellar Coupling",POWER(Upgrades!$U$12,K187),1))*(POWER(Upgrades!$Q$6,E187)*POWER(Upgrades!$Q$7,F187)*POWER(Upgrades!$Q$8,G187)*POWER(Upgrades!$Q$9,H187)*POWER(Upgrades!$Q$10,I187)*POWER(Upgrades!$Q$11,J187)*POWER(Upgrades!$Q$12,K187))*Parameters!$B$10*Parameters!$B$11/60)/Upgrades!$C$11,0)),IF(K187&gt;0,0,IFERROR((1.0*(POWER(Upgrades!$P$6,E187)*POWER(Upgrades!$P$7,F187)*POWER(Upgrades!$P$8,G187)*POWER(Upgrades!$P$9,H187)*POWER(Upgrades!$P$10,I187)*POWER(Upgrades!$P$11,J187)*POWER(Upgrades!$P$12,K187))+0.20*M187*Parameters!$B$10*Parameters!$B$11/60)/Upgrades!$C$12,0)),IF(AND(ISNUMBER(AG187),AG187&gt;T187),AS187,0),IF(AND(ISNUMBER(AH187),AH187&gt;T187),AT187,0),IF(AND(ISNUMBER(AI187),AI187&gt;T187),AU187,0),IF(AND(ISNUMBER(AJ187),AJ187&gt;T187),AV187,0))</f>
        <v/>
      </c>
      <c r="AX187" s="29">
        <f>IF(AN187=1,"transition",IF(MIN(IF(AND(I187=0,ISNUMBER(AK187),AK187&lt;=T187),AK187,9E15),IF(AND(J187=0,ISNUMBER(AL187),AL187&lt;=T187),AL187,9E15),IF(AND(K187=0,ISNUMBER(AM187),AM187&lt;=T187),AM187,9E15))&lt;9E15,IF(AND(AND(I187=0,ISNUMBER(AK187),AK187&lt;=T187),AK187=MIN(IF(AND(I187=0,ISNUMBER(AK187),AK187&lt;=T187),AK187,9E15),IF(AND(J187=0,ISNUMBER(AL187),AL187&lt;=T187),AL187,9E15),IF(AND(K187=0,ISNUMBER(AM187),AM187&lt;=T187),AM187,9E15))),"OR",IF(AND(AND(J187=0,ISNUMBER(AL187),AL187&lt;=T187),AL187=MIN(IF(AND(I187=0,ISNUMBER(AK187),AK187&lt;=T187),AK187,9E15),IF(AND(J187=0,ISNUMBER(AL187),AL187&lt;=T187),AL187,9E15),IF(AND(K187=0,ISNUMBER(AM187),AM187&lt;=T187),AM187,9E15))),"HP","FP")),IF(AR187=TRUE,"",IF(MAX(IF(AND(NOT(AND(AO187=1,AN187&lt;&gt;1)),ISNUMBER(AG187),AG187&lt;=T187),AS187,0),IF(AND(NOT(AND(AO187=1,AN187&lt;&gt;1)),ISNUMBER(AH187),AH187&lt;=T187),AT187,0),IF(AND(NOT(AND(AO187=1,AN187&lt;&gt;1)),ISNUMBER(AI187),AI187&lt;=T187),AU187,0),IF(AND(ISNUMBER(AJ187),AJ187&lt;=T187),AV187,0))&lt;=0,"",IF(AND(IF(AND(NOT(AND(AO187=1,AN187&lt;&gt;1)),ISNUMBER(AG187),AG187&lt;=T187),AS187,0)&gt;0,IF(AND(NOT(AND(AO187=1,AN187&lt;&gt;1)),ISNUMBER(AG187),AG187&lt;=T187),AS187,0)=MAX(IF(AND(NOT(AND(AO187=1,AN187&lt;&gt;1)),ISNUMBER(AG187),AG187&lt;=T187),AS187,0),IF(AND(NOT(AND(AO187=1,AN187&lt;&gt;1)),ISNUMBER(AH187),AH187&lt;=T187),AT187,0),IF(AND(NOT(AND(AO187=1,AN187&lt;&gt;1)),ISNUMBER(AI187),AI187&lt;=T187),AU187,0),IF(AND(ISNUMBER(AJ187),AJ187&lt;=T187),AV187,0))),"SW",IF(AND(IF(AND(NOT(AND(AO187=1,AN187&lt;&gt;1)),ISNUMBER(AH187),AH187&lt;=T187),AT187,0)&gt;0,IF(AND(NOT(AND(AO187=1,AN187&lt;&gt;1)),ISNUMBER(AH187),AH187&lt;=T187),AT187,0)=MAX(IF(AND(NOT(AND(AO187=1,AN187&lt;&gt;1)),ISNUMBER(AG187),AG187&lt;=T187),AS187,0),IF(AND(NOT(AND(AO187=1,AN187&lt;&gt;1)),ISNUMBER(AH187),AH187&lt;=T187),AT187,0),IF(AND(NOT(AND(AO187=1,AN187&lt;&gt;1)),ISNUMBER(AI187),AI187&lt;=T187),AU187,0),IF(AND(ISNUMBER(AJ187),AJ187&lt;=T187),AV187,0))),"AB",IF(AND(IF(AND(NOT(AND(AO187=1,AN187&lt;&gt;1)),ISNUMBER(AI187),AI187&lt;=T187),AU187,0)&gt;0,IF(AND(NOT(AND(AO187=1,AN187&lt;&gt;1)),ISNUMBER(AI187),AI187&lt;=T187),AU187,0)=MAX(IF(AND(NOT(AND(AO187=1,AN187&lt;&gt;1)),ISNUMBER(AG187),AG187&lt;=T187),AS187,0),IF(AND(NOT(AND(AO187=1,AN187&lt;&gt;1)),ISNUMBER(AH187),AH187&lt;=T187),AT187,0),IF(AND(NOT(AND(AO187=1,AN187&lt;&gt;1)),ISNUMBER(AI187),AI187&lt;=T187),AU187,0),IF(AND(ISNUMBER(AJ187),AJ187&lt;=T187),AV187,0))),"SC","Mag")))))))</f>
        <v/>
      </c>
    </row>
    <row r="188">
      <c r="A188" s="26" t="n">
        <v>183</v>
      </c>
      <c r="B188" s="27">
        <f>A188*10/60</f>
        <v/>
      </c>
      <c r="C188" s="22">
        <f>X187</f>
        <v/>
      </c>
      <c r="D188" s="27">
        <f>D187+W187</f>
        <v/>
      </c>
      <c r="E188" s="26">
        <f>E187+IF(U187="SW",1,0)</f>
        <v/>
      </c>
      <c r="F188" s="26">
        <f>F187+IF(U187="AB",1,0)</f>
        <v/>
      </c>
      <c r="G188" s="26">
        <f>G187+IF(U187="SC",1,0)</f>
        <v/>
      </c>
      <c r="H188" s="26">
        <f>H187+IF(U187="Mag",1,0)</f>
        <v/>
      </c>
      <c r="I188" s="26">
        <f>MAX(I187,IF(U187="OR",1,0))</f>
        <v/>
      </c>
      <c r="J188" s="26">
        <f>MAX(J187,IF(U187="HP",1,0))</f>
        <v/>
      </c>
      <c r="K188" s="26">
        <f>MAX(K187,IF(U187="FP",1,0))</f>
        <v/>
      </c>
      <c r="L188" s="26">
        <f>MAX(L187,IF(U187="transition",1,0))</f>
        <v/>
      </c>
      <c r="M188" s="28">
        <f>(Parameters!$B$9+(IF(E188=0,0,(Upgrades!$J$6+E188*Upgrades!$K$6)*POWER(Upgrades!$L$6,E188)))*(IF(Upgrades!$T$7="Solar Wind",POWER(Upgrades!$U$7,F188),1)*IF(Upgrades!$T$8="Solar Wind",POWER(Upgrades!$U$8,G188),1)*IF(Upgrades!$T$9="Solar Wind",POWER(Upgrades!$U$9,H188),1)*IF(Upgrades!$T$10="Solar Wind",POWER(Upgrades!$U$10,I188),1)*IF(Upgrades!$T$11="Solar Wind",POWER(Upgrades!$U$11,J188),1)*IF(Upgrades!$T$12="Solar Wind",POWER(Upgrades!$U$12,K188),1))+(IF(F188=0,0,(Upgrades!$J$7+F188*Upgrades!$K$7)*POWER(Upgrades!$L$7,F188)))*(IF(Upgrades!$T$6="Asteroid Belt",POWER(Upgrades!$U$6,E188),1)*IF(Upgrades!$T$8="Asteroid Belt",POWER(Upgrades!$U$8,G188),1)*IF(Upgrades!$T$9="Asteroid Belt",POWER(Upgrades!$U$9,H188),1)*IF(Upgrades!$T$10="Asteroid Belt",POWER(Upgrades!$U$10,I188),1)*IF(Upgrades!$T$11="Asteroid Belt",POWER(Upgrades!$U$11,J188),1)*IF(Upgrades!$T$12="Asteroid Belt",POWER(Upgrades!$U$12,K188),1))+(IF(G188=0,0,(Upgrades!$J$8+G188*Upgrades!$K$8)*POWER(Upgrades!$L$8,G188)))*(IF(Upgrades!$T$6="Stellar Coupling",POWER(Upgrades!$U$6,E188),1)*IF(Upgrades!$T$7="Stellar Coupling",POWER(Upgrades!$U$7,F188),1)*IF(Upgrades!$T$9="Stellar Coupling",POWER(Upgrades!$U$9,H188),1)*IF(Upgrades!$T$10="Stellar Coupling",POWER(Upgrades!$U$10,I188),1)*IF(Upgrades!$T$11="Stellar Coupling",POWER(Upgrades!$U$11,J188),1)*IF(Upgrades!$T$12="Stellar Coupling",POWER(Upgrades!$U$12,K188),1))+(IF(H188=0,0,(Upgrades!$J$9+H188*Upgrades!$K$9)*POWER(Upgrades!$L$9,H188)))*(IF(Upgrades!$T$6="Magnetosphere",POWER(Upgrades!$U$6,E188),1)*IF(Upgrades!$T$7="Magnetosphere",POWER(Upgrades!$U$7,F188),1)*IF(Upgrades!$T$8="Magnetosphere",POWER(Upgrades!$U$8,G188),1)*IF(Upgrades!$T$10="Magnetosphere",POWER(Upgrades!$U$10,I188),1)*IF(Upgrades!$T$11="Magnetosphere",POWER(Upgrades!$U$11,J188),1)*IF(Upgrades!$T$12="Magnetosphere",POWER(Upgrades!$U$12,K188),1))+(IF(I188=0,0,(Upgrades!$J$10+I188*Upgrades!$K$10)*POWER(Upgrades!$L$10,I188)))*(IF(Upgrades!$T$6="Orbital Resonance",POWER(Upgrades!$U$6,E188),1)*IF(Upgrades!$T$7="Orbital Resonance",POWER(Upgrades!$U$7,F188),1)*IF(Upgrades!$T$8="Orbital Resonance",POWER(Upgrades!$U$8,G188),1)*IF(Upgrades!$T$9="Orbital Resonance",POWER(Upgrades!$U$9,H188),1)*IF(Upgrades!$T$11="Orbital Resonance",POWER(Upgrades!$U$11,J188),1)*IF(Upgrades!$T$12="Orbital Resonance",POWER(Upgrades!$U$12,K188),1))+(IF(J188=0,0,(Upgrades!$J$11+J188*Upgrades!$K$11)*POWER(Upgrades!$L$11,J188)))*(IF(Upgrades!$T$6="Heliopause",POWER(Upgrades!$U$6,E188),1)*IF(Upgrades!$T$7="Heliopause",POWER(Upgrades!$U$7,F188),1)*IF(Upgrades!$T$8="Heliopause",POWER(Upgrades!$U$8,G188),1)*IF(Upgrades!$T$9="Heliopause",POWER(Upgrades!$U$9,H188),1)*IF(Upgrades!$T$10="Heliopause",POWER(Upgrades!$U$10,I188),1)*IF(Upgrades!$T$12="Heliopause",POWER(Upgrades!$U$12,K188),1))+(IF(K188=0,0,(Upgrades!$J$12+K188*Upgrades!$K$12)*POWER(Upgrades!$L$12,K188)))*(IF(Upgrades!$T$6="First Photons",POWER(Upgrades!$U$6,E188),1)*IF(Upgrades!$T$7="First Photons",POWER(Upgrades!$U$7,F188),1)*IF(Upgrades!$T$8="First Photons",POWER(Upgrades!$U$8,G188),1)*IF(Upgrades!$T$9="First Photons",POWER(Upgrades!$U$9,H188),1)*IF(Upgrades!$T$10="First Photons",POWER(Upgrades!$U$10,I188),1)*IF(Upgrades!$T$11="First Photons",POWER(Upgrades!$U$11,J188),1)))*POWER(Upgrades!$Q$6,E188)*POWER(Upgrades!$Q$7,F188)*POWER(Upgrades!$Q$8,G188)*POWER(Upgrades!$Q$9,H188)*POWER(Upgrades!$Q$10,I188)*POWER(Upgrades!$Q$11,J188)*POWER(Upgrades!$Q$12,K188)</f>
        <v/>
      </c>
      <c r="N188" s="28">
        <f>((IF(E188=0,0,(Upgrades!$G$6+E188*Upgrades!$H$6)*POWER(Upgrades!$I$6,E188)))*(IF(Upgrades!$T$7="Solar Wind",POWER(Upgrades!$U$7,F188),1)*IF(Upgrades!$T$8="Solar Wind",POWER(Upgrades!$U$8,G188),1)*IF(Upgrades!$T$9="Solar Wind",POWER(Upgrades!$U$9,H188),1)*IF(Upgrades!$T$10="Solar Wind",POWER(Upgrades!$U$10,I188),1)*IF(Upgrades!$T$11="Solar Wind",POWER(Upgrades!$U$11,J188),1)*IF(Upgrades!$T$12="Solar Wind",POWER(Upgrades!$U$12,K188),1))+(IF(F188=0,0,(Upgrades!$G$7+F188*Upgrades!$H$7)*POWER(Upgrades!$I$7,F188)))*(IF(Upgrades!$T$6="Asteroid Belt",POWER(Upgrades!$U$6,E188),1)*IF(Upgrades!$T$8="Asteroid Belt",POWER(Upgrades!$U$8,G188),1)*IF(Upgrades!$T$9="Asteroid Belt",POWER(Upgrades!$U$9,H188),1)*IF(Upgrades!$T$10="Asteroid Belt",POWER(Upgrades!$U$10,I188),1)*IF(Upgrades!$T$11="Asteroid Belt",POWER(Upgrades!$U$11,J188),1)*IF(Upgrades!$T$12="Asteroid Belt",POWER(Upgrades!$U$12,K188),1))+(IF(G188=0,0,(Upgrades!$G$8+G188*Upgrades!$H$8)*POWER(Upgrades!$I$8,G188)))*(IF(Upgrades!$T$6="Stellar Coupling",POWER(Upgrades!$U$6,E188),1)*IF(Upgrades!$T$7="Stellar Coupling",POWER(Upgrades!$U$7,F188),1)*IF(Upgrades!$T$9="Stellar Coupling",POWER(Upgrades!$U$9,H188),1)*IF(Upgrades!$T$10="Stellar Coupling",POWER(Upgrades!$U$10,I188),1)*IF(Upgrades!$T$11="Stellar Coupling",POWER(Upgrades!$U$11,J188),1)*IF(Upgrades!$T$12="Stellar Coupling",POWER(Upgrades!$U$12,K188),1))+(IF(H188=0,0,(Upgrades!$G$9+H188*Upgrades!$H$9)*POWER(Upgrades!$I$9,H188)))*(IF(Upgrades!$T$6="Magnetosphere",POWER(Upgrades!$U$6,E188),1)*IF(Upgrades!$T$7="Magnetosphere",POWER(Upgrades!$U$7,F188),1)*IF(Upgrades!$T$8="Magnetosphere",POWER(Upgrades!$U$8,G188),1)*IF(Upgrades!$T$10="Magnetosphere",POWER(Upgrades!$U$10,I188),1)*IF(Upgrades!$T$11="Magnetosphere",POWER(Upgrades!$U$11,J188),1)*IF(Upgrades!$T$12="Magnetosphere",POWER(Upgrades!$U$12,K188),1))+(IF(I188=0,0,(Upgrades!$G$10+I188*Upgrades!$H$10)*POWER(Upgrades!$I$10,I188)))*(IF(Upgrades!$T$6="Orbital Resonance",POWER(Upgrades!$U$6,E188),1)*IF(Upgrades!$T$7="Orbital Resonance",POWER(Upgrades!$U$7,F188),1)*IF(Upgrades!$T$8="Orbital Resonance",POWER(Upgrades!$U$8,G188),1)*IF(Upgrades!$T$9="Orbital Resonance",POWER(Upgrades!$U$9,H188),1)*IF(Upgrades!$T$11="Orbital Resonance",POWER(Upgrades!$U$11,J188),1)*IF(Upgrades!$T$12="Orbital Resonance",POWER(Upgrades!$U$12,K188),1))+(IF(J188=0,0,(Upgrades!$G$11+J188*Upgrades!$H$11)*POWER(Upgrades!$I$11,J188)))*(IF(Upgrades!$T$6="Heliopause",POWER(Upgrades!$U$6,E188),1)*IF(Upgrades!$T$7="Heliopause",POWER(Upgrades!$U$7,F188),1)*IF(Upgrades!$T$8="Heliopause",POWER(Upgrades!$U$8,G188),1)*IF(Upgrades!$T$9="Heliopause",POWER(Upgrades!$U$9,H188),1)*IF(Upgrades!$T$10="Heliopause",POWER(Upgrades!$U$10,I188),1)*IF(Upgrades!$T$12="Heliopause",POWER(Upgrades!$U$12,K188),1))+(IF(K188=0,0,(Upgrades!$G$12+K188*Upgrades!$H$12)*POWER(Upgrades!$I$12,K188)))*(IF(Upgrades!$T$6="First Photons",POWER(Upgrades!$U$6,E188),1)*IF(Upgrades!$T$7="First Photons",POWER(Upgrades!$U$7,F188),1)*IF(Upgrades!$T$8="First Photons",POWER(Upgrades!$U$8,G188),1)*IF(Upgrades!$T$9="First Photons",POWER(Upgrades!$U$9,H188),1)*IF(Upgrades!$T$10="First Photons",POWER(Upgrades!$U$10,I188),1)*IF(Upgrades!$T$11="First Photons",POWER(Upgrades!$U$11,J188),1)))*POWER(Upgrades!$P$6,E188)*POWER(Upgrades!$P$7,F188)*POWER(Upgrades!$P$8,G188)*POWER(Upgrades!$P$9,H188)*POWER(Upgrades!$P$10,I188)*POWER(Upgrades!$P$11,J188)*POWER(Upgrades!$P$12,K188)</f>
        <v/>
      </c>
      <c r="O188" s="28">
        <f>((IF(E188=0,0,(Upgrades!$M$6+E188*Upgrades!$N$6)*POWER(Upgrades!$O$6,E188)))*(IF(Upgrades!$T$7="Solar Wind",POWER(Upgrades!$U$7,F188),1)*IF(Upgrades!$T$8="Solar Wind",POWER(Upgrades!$U$8,G188),1)*IF(Upgrades!$T$9="Solar Wind",POWER(Upgrades!$U$9,H188),1)*IF(Upgrades!$T$10="Solar Wind",POWER(Upgrades!$U$10,I188),1)*IF(Upgrades!$T$11="Solar Wind",POWER(Upgrades!$U$11,J188),1)*IF(Upgrades!$T$12="Solar Wind",POWER(Upgrades!$U$12,K188),1))+(IF(F188=0,0,(Upgrades!$M$7+F188*Upgrades!$N$7)*POWER(Upgrades!$O$7,F188)))*(IF(Upgrades!$T$6="Asteroid Belt",POWER(Upgrades!$U$6,E188),1)*IF(Upgrades!$T$8="Asteroid Belt",POWER(Upgrades!$U$8,G188),1)*IF(Upgrades!$T$9="Asteroid Belt",POWER(Upgrades!$U$9,H188),1)*IF(Upgrades!$T$10="Asteroid Belt",POWER(Upgrades!$U$10,I188),1)*IF(Upgrades!$T$11="Asteroid Belt",POWER(Upgrades!$U$11,J188),1)*IF(Upgrades!$T$12="Asteroid Belt",POWER(Upgrades!$U$12,K188),1))+(IF(G188=0,0,(Upgrades!$M$8+G188*Upgrades!$N$8)*POWER(Upgrades!$O$8,G188)))*(IF(Upgrades!$T$6="Stellar Coupling",POWER(Upgrades!$U$6,E188),1)*IF(Upgrades!$T$7="Stellar Coupling",POWER(Upgrades!$U$7,F188),1)*IF(Upgrades!$T$9="Stellar Coupling",POWER(Upgrades!$U$9,H188),1)*IF(Upgrades!$T$10="Stellar Coupling",POWER(Upgrades!$U$10,I188),1)*IF(Upgrades!$T$11="Stellar Coupling",POWER(Upgrades!$U$11,J188),1)*IF(Upgrades!$T$12="Stellar Coupling",POWER(Upgrades!$U$12,K188),1))+(IF(H188=0,0,(Upgrades!$M$9+H188*Upgrades!$N$9)*POWER(Upgrades!$O$9,H188)))*(IF(Upgrades!$T$6="Magnetosphere",POWER(Upgrades!$U$6,E188),1)*IF(Upgrades!$T$7="Magnetosphere",POWER(Upgrades!$U$7,F188),1)*IF(Upgrades!$T$8="Magnetosphere",POWER(Upgrades!$U$8,G188),1)*IF(Upgrades!$T$10="Magnetosphere",POWER(Upgrades!$U$10,I188),1)*IF(Upgrades!$T$11="Magnetosphere",POWER(Upgrades!$U$11,J188),1)*IF(Upgrades!$T$12="Magnetosphere",POWER(Upgrades!$U$12,K188),1))+(IF(I188=0,0,(Upgrades!$M$10+I188*Upgrades!$N$10)*POWER(Upgrades!$O$10,I188)))*(IF(Upgrades!$T$6="Orbital Resonance",POWER(Upgrades!$U$6,E188),1)*IF(Upgrades!$T$7="Orbital Resonance",POWER(Upgrades!$U$7,F188),1)*IF(Upgrades!$T$8="Orbital Resonance",POWER(Upgrades!$U$8,G188),1)*IF(Upgrades!$T$9="Orbital Resonance",POWER(Upgrades!$U$9,H188),1)*IF(Upgrades!$T$11="Orbital Resonance",POWER(Upgrades!$U$11,J188),1)*IF(Upgrades!$T$12="Orbital Resonance",POWER(Upgrades!$U$12,K188),1))+(IF(J188=0,0,(Upgrades!$M$11+J188*Upgrades!$N$11)*POWER(Upgrades!$O$11,J188)))*(IF(Upgrades!$T$6="Heliopause",POWER(Upgrades!$U$6,E188),1)*IF(Upgrades!$T$7="Heliopause",POWER(Upgrades!$U$7,F188),1)*IF(Upgrades!$T$8="Heliopause",POWER(Upgrades!$U$8,G188),1)*IF(Upgrades!$T$9="Heliopause",POWER(Upgrades!$U$9,H188),1)*IF(Upgrades!$T$10="Heliopause",POWER(Upgrades!$U$10,I188),1)*IF(Upgrades!$T$12="Heliopause",POWER(Upgrades!$U$12,K188),1))+(IF(K188=0,0,(Upgrades!$M$12+K188*Upgrades!$N$12)*POWER(Upgrades!$O$12,K188)))*(IF(Upgrades!$T$6="First Photons",POWER(Upgrades!$U$6,E188),1)*IF(Upgrades!$T$7="First Photons",POWER(Upgrades!$U$7,F188),1)*IF(Upgrades!$T$8="First Photons",POWER(Upgrades!$U$8,G188),1)*IF(Upgrades!$T$9="First Photons",POWER(Upgrades!$U$9,H188),1)*IF(Upgrades!$T$10="First Photons",POWER(Upgrades!$U$10,I188),1)*IF(Upgrades!$T$11="First Photons",POWER(Upgrades!$U$11,J188),1)))*POWER(Upgrades!$R$6,E188)*POWER(Upgrades!$R$7,F188)*POWER(Upgrades!$R$8,G188)*POWER(Upgrades!$R$9,H188)*POWER(Upgrades!$R$10,I188)*POWER(Upgrades!$R$11,J188)*POWER(Upgrades!$R$12,K188)</f>
        <v/>
      </c>
      <c r="P188" s="27">
        <f>IF(L188=1,0,M188*Parameters!$B$10/60*Parameters!$B$11*10)</f>
        <v/>
      </c>
      <c r="Q188" s="27">
        <f>IF(L188=1,0,O188*M188*10)</f>
        <v/>
      </c>
      <c r="R188" s="27">
        <f>IF(L188=1,0,N188*10)</f>
        <v/>
      </c>
      <c r="S188" s="27">
        <f>P188+Q188+R188</f>
        <v/>
      </c>
      <c r="T188" s="22">
        <f>C188+S188</f>
        <v/>
      </c>
      <c r="U188" s="33">
        <f>AX188</f>
        <v/>
      </c>
      <c r="V188" s="22">
        <f>IF(U188="",0,IF(U188="transition",0,IF(U188="SW",AG188,IF(U188="AB",AH188,IF(U188="SC",AI188,IF(U188="Mag",AJ188,IF(U188="OR",AK188,IF(U188="HP",AL188,IF(U188="FP",AM188,0)))))))))</f>
        <v/>
      </c>
      <c r="W188" s="27">
        <f>IF(U188="OR",Upgrades!$F$10,IF(U188="HP",Upgrades!$F$11,IF(U188="transition",-Parameters!$B$18,0)))</f>
        <v/>
      </c>
      <c r="X188" s="22">
        <f>T188-V188</f>
        <v/>
      </c>
      <c r="Y188" s="30">
        <f>M188*Parameters!$B$10/60*Parameters!$B$11+O188*M188+N188</f>
        <v/>
      </c>
      <c r="Z188" s="34">
        <f>IF(U188="transition","→ Tier 2 (Stellar Neighborhood)",IF(U188="FP","First Photons — light begins, system quickens",IF(U188="HP","Heliopause acquired",IF(U188="OR","Orbital Resonance — passive multiplier active",IF(AND(AO188=1,L188=0,AN188&lt;&gt;1),"Cohesion ready (waiting on completionist upgrades)","")))))</f>
        <v/>
      </c>
      <c r="AA188" s="27">
        <f>(IF(E188=0,0,(Upgrades!$G$6+E188*Upgrades!$H$6)*POWER(Upgrades!$I$6,E188)))*(IF(Upgrades!$T$7="Solar Wind",POWER(Upgrades!$U$7,F188),1)*IF(Upgrades!$T$8="Solar Wind",POWER(Upgrades!$U$8,G188),1)*IF(Upgrades!$T$9="Solar Wind",POWER(Upgrades!$U$9,H188),1)*IF(Upgrades!$T$10="Solar Wind",POWER(Upgrades!$U$10,I188),1)*IF(Upgrades!$T$11="Solar Wind",POWER(Upgrades!$U$11,J188),1)*IF(Upgrades!$T$12="Solar Wind",POWER(Upgrades!$U$12,K188),1))*POWER(Upgrades!$P$6,E188)*POWER(Upgrades!$P$7,F188)*POWER(Upgrades!$P$8,G188)*POWER(Upgrades!$P$9,H188)*POWER(Upgrades!$P$10,I188)*POWER(Upgrades!$P$11,J188)*POWER(Upgrades!$P$12,K188)*60</f>
        <v/>
      </c>
      <c r="AB188" s="27">
        <f>(IF(F188=0,0,(Upgrades!$G$7+F188*Upgrades!$H$7)*POWER(Upgrades!$I$7,F188)))*(IF(Upgrades!$T$6="Asteroid Belt",POWER(Upgrades!$U$6,E188),1)*IF(Upgrades!$T$8="Asteroid Belt",POWER(Upgrades!$U$8,G188),1)*IF(Upgrades!$T$9="Asteroid Belt",POWER(Upgrades!$U$9,H188),1)*IF(Upgrades!$T$10="Asteroid Belt",POWER(Upgrades!$U$10,I188),1)*IF(Upgrades!$T$11="Asteroid Belt",POWER(Upgrades!$U$11,J188),1)*IF(Upgrades!$T$12="Asteroid Belt",POWER(Upgrades!$U$12,K188),1))*POWER(Upgrades!$P$6,E188)*POWER(Upgrades!$P$7,F188)*POWER(Upgrades!$P$8,G188)*POWER(Upgrades!$P$9,H188)*POWER(Upgrades!$P$10,I188)*POWER(Upgrades!$P$11,J188)*POWER(Upgrades!$P$12,K188)*60</f>
        <v/>
      </c>
      <c r="AC188" s="27">
        <f>(IF(G188=0,0,(Upgrades!$J$8+G188*Upgrades!$K$8)*POWER(Upgrades!$L$8,G188)))*(IF(Upgrades!$T$6="Stellar Coupling",POWER(Upgrades!$U$6,E188),1)*IF(Upgrades!$T$7="Stellar Coupling",POWER(Upgrades!$U$7,F188),1)*IF(Upgrades!$T$9="Stellar Coupling",POWER(Upgrades!$U$9,H188),1)*IF(Upgrades!$T$10="Stellar Coupling",POWER(Upgrades!$U$10,I188),1)*IF(Upgrades!$T$11="Stellar Coupling",POWER(Upgrades!$U$11,J188),1)*IF(Upgrades!$T$12="Stellar Coupling",POWER(Upgrades!$U$12,K188),1))*POWER(Upgrades!$Q$6,E188)*POWER(Upgrades!$Q$7,F188)*POWER(Upgrades!$Q$8,G188)*POWER(Upgrades!$Q$9,H188)*POWER(Upgrades!$Q$10,I188)*POWER(Upgrades!$Q$11,J188)*POWER(Upgrades!$Q$12,K188)*Parameters!$B$10*Parameters!$B$11</f>
        <v/>
      </c>
      <c r="AD188" s="27">
        <f>(IF(H188=0,0,(Upgrades!$G$9+H188*Upgrades!$H$9)*POWER(Upgrades!$I$9,H188)))*(IF(Upgrades!$T$6="Magnetosphere",POWER(Upgrades!$U$6,E188),1)*IF(Upgrades!$T$7="Magnetosphere",POWER(Upgrades!$U$7,F188),1)*IF(Upgrades!$T$8="Magnetosphere",POWER(Upgrades!$U$8,G188),1)*IF(Upgrades!$T$10="Magnetosphere",POWER(Upgrades!$U$10,I188),1)*IF(Upgrades!$T$11="Magnetosphere",POWER(Upgrades!$U$11,J188),1)*IF(Upgrades!$T$12="Magnetosphere",POWER(Upgrades!$U$12,K188),1))*POWER(Upgrades!$P$6,E188)*POWER(Upgrades!$P$7,F188)*POWER(Upgrades!$P$8,G188)*POWER(Upgrades!$P$9,H188)*POWER(Upgrades!$P$10,I188)*POWER(Upgrades!$P$11,J188)*POWER(Upgrades!$P$12,K188)*60</f>
        <v/>
      </c>
      <c r="AE188" s="27">
        <f>(IF(K188=0,0,(Upgrades!$G$12+K188*Upgrades!$H$12)*POWER(Upgrades!$I$12,K188)))*(IF(Upgrades!$T$6="First Photons",POWER(Upgrades!$U$6,E188),1)*IF(Upgrades!$T$7="First Photons",POWER(Upgrades!$U$7,F188),1)*IF(Upgrades!$T$8="First Photons",POWER(Upgrades!$U$8,G188),1)*IF(Upgrades!$T$9="First Photons",POWER(Upgrades!$U$9,H188),1)*IF(Upgrades!$T$10="First Photons",POWER(Upgrades!$U$10,I188),1)*IF(Upgrades!$T$11="First Photons",POWER(Upgrades!$U$11,J188),1))*POWER(Upgrades!$P$6,E188)*POWER(Upgrades!$P$7,F188)*POWER(Upgrades!$P$8,G188)*POWER(Upgrades!$P$9,H188)*POWER(Upgrades!$P$10,I188)*POWER(Upgrades!$P$11,J188)*POWER(Upgrades!$P$12,K188)*60</f>
        <v/>
      </c>
      <c r="AF188" s="27">
        <f>Parameters!$B$9*POWER(Upgrades!$Q$6,E188)*POWER(Upgrades!$Q$7,F188)*POWER(Upgrades!$Q$8,G188)*POWER(Upgrades!$Q$9,H188)*POWER(Upgrades!$Q$10,I188)*POWER(Upgrades!$Q$11,J188)*POWER(Upgrades!$Q$12,K188)*(Parameters!$B$10*Parameters!$B$11+O188*60)</f>
        <v/>
      </c>
      <c r="AG188" s="22">
        <f>IF(E188&gt;=Upgrades!$E$6,"",Upgrades!$C$6*POWER(Upgrades!$D$6,E188))</f>
        <v/>
      </c>
      <c r="AH188" s="22">
        <f>IF(F188&gt;=Upgrades!$E$7,"",Upgrades!$C$7*POWER(Upgrades!$D$7,F188))</f>
        <v/>
      </c>
      <c r="AI188" s="22">
        <f>IF(G188&gt;=Upgrades!$E$8,"",Upgrades!$C$8*POWER(Upgrades!$D$8,G188))</f>
        <v/>
      </c>
      <c r="AJ188" s="22">
        <f>IF(H188&gt;=Upgrades!$E$9,"",Upgrades!$C$9*POWER(Upgrades!$D$9,H188))</f>
        <v/>
      </c>
      <c r="AK188" s="22">
        <f>IF(I188&gt;=Upgrades!$E$10,"",Upgrades!$C$10*POWER(Upgrades!$D$10,I188))</f>
        <v/>
      </c>
      <c r="AL188" s="22">
        <f>IF(J188&gt;=Upgrades!$E$11,"",Upgrades!$C$11*POWER(Upgrades!$D$11,J188))</f>
        <v/>
      </c>
      <c r="AM188" s="22">
        <f>IF(K188&gt;=Upgrades!$E$12,"",Upgrades!$C$12*POWER(Upgrades!$D$12,K188))</f>
        <v/>
      </c>
      <c r="AN188" s="26">
        <f>IF(AND(D188&gt;=Parameters!$B$18,(H188&gt;=Upgrades!$E$9)*(K188&gt;=Upgrades!$E$12)=1,L188=0),1,"")</f>
        <v/>
      </c>
      <c r="AO188" s="26">
        <f>IF(AND(D188&gt;=Parameters!$B$18,L188=0),1,"")</f>
        <v/>
      </c>
      <c r="AP188" s="22">
        <f>MIN(IF(ISNUMBER(AK188),AK188,9E15),IF(ISNUMBER(AL188),AL188,9E15),IF(ISNUMBER(AM188),AM188,9E15))</f>
        <v/>
      </c>
      <c r="AQ188" s="22">
        <f>MIN(IF(ISNUMBER(AG188),AG188,9E15),IF(ISNUMBER(AH188),AH188,9E15),IF(ISNUMBER(AI188),AI188,9E15),IF(ISNUMBER(AJ188),AJ188,9E15))</f>
        <v/>
      </c>
      <c r="AR188" s="29">
        <f>IF(AW188&gt;Parameters!$B$21*(MAX(IF(AND(NOT(AND(AO188=1,AN188&lt;&gt;1)),ISNUMBER(AG188),AG188&lt;=T188),AS188,0),IF(AND(NOT(AND(AO188=1,AN188&lt;&gt;1)),ISNUMBER(AH188),AH188&lt;=T188),AT188,0),IF(AND(NOT(AND(AO188=1,AN188&lt;&gt;1)),ISNUMBER(AI188),AI188&lt;=T188),AU188,0),IF(AND(ISNUMBER(AJ188),AJ188&lt;=T188),AV188,0))),TRUE,FALSE)</f>
        <v/>
      </c>
      <c r="AS188" s="32">
        <f>IFERROR(Upgrades!$H$6*(POWER(Upgrades!$P$6,E188)*POWER(Upgrades!$P$7,F188)*POWER(Upgrades!$P$8,G188)*POWER(Upgrades!$P$9,H188)*POWER(Upgrades!$P$10,I188)*POWER(Upgrades!$P$11,J188)*POWER(Upgrades!$P$12,K188))*(IF(Upgrades!$T$7="Solar Wind",POWER(Upgrades!$U$7,F188),1)*IF(Upgrades!$T$8="Solar Wind",POWER(Upgrades!$U$8,G188),1)*IF(Upgrades!$T$9="Solar Wind",POWER(Upgrades!$U$9,H188),1)*IF(Upgrades!$T$10="Solar Wind",POWER(Upgrades!$U$10,I188),1)*IF(Upgrades!$T$11="Solar Wind",POWER(Upgrades!$U$11,J188),1)*IF(Upgrades!$T$12="Solar Wind",POWER(Upgrades!$U$12,K188),1))/AG188,0)</f>
        <v/>
      </c>
      <c r="AT188" s="32">
        <f>IFERROR(Upgrades!$H$7*(POWER(Upgrades!$P$6,E188)*POWER(Upgrades!$P$7,F188)*POWER(Upgrades!$P$8,G188)*POWER(Upgrades!$P$9,H188)*POWER(Upgrades!$P$10,I188)*POWER(Upgrades!$P$11,J188)*POWER(Upgrades!$P$12,K188))*(IF(Upgrades!$T$6="Asteroid Belt",POWER(Upgrades!$U$6,E188),1)*IF(Upgrades!$T$8="Asteroid Belt",POWER(Upgrades!$U$8,G188),1)*IF(Upgrades!$T$9="Asteroid Belt",POWER(Upgrades!$U$9,H188),1)*IF(Upgrades!$T$10="Asteroid Belt",POWER(Upgrades!$U$10,I188),1)*IF(Upgrades!$T$11="Asteroid Belt",POWER(Upgrades!$U$11,J188),1)*IF(Upgrades!$T$12="Asteroid Belt",POWER(Upgrades!$U$12,K188),1))/AH188,0)</f>
        <v/>
      </c>
      <c r="AU188" s="32">
        <f>IFERROR(Upgrades!$K$8*(POWER(Upgrades!$Q$6,E188)*POWER(Upgrades!$Q$7,F188)*POWER(Upgrades!$Q$8,G188)*POWER(Upgrades!$Q$9,H188)*POWER(Upgrades!$Q$10,I188)*POWER(Upgrades!$Q$11,J188)*POWER(Upgrades!$Q$12,K188))*(IF(Upgrades!$T$6="Stellar Coupling",POWER(Upgrades!$U$6,E188),1)*IF(Upgrades!$T$7="Stellar Coupling",POWER(Upgrades!$U$7,F188),1)*IF(Upgrades!$T$9="Stellar Coupling",POWER(Upgrades!$U$9,H188),1)*IF(Upgrades!$T$10="Stellar Coupling",POWER(Upgrades!$U$10,I188),1)*IF(Upgrades!$T$11="Stellar Coupling",POWER(Upgrades!$U$11,J188),1)*IF(Upgrades!$T$12="Stellar Coupling",POWER(Upgrades!$U$12,K188),1))*Parameters!$B$10*Parameters!$B$11/60/AI188,0)</f>
        <v/>
      </c>
      <c r="AV188" s="32">
        <f>IFERROR(Upgrades!$H$9*(POWER(Upgrades!$P$6,E188)*POWER(Upgrades!$P$7,F188)*POWER(Upgrades!$P$8,G188)*POWER(Upgrades!$P$9,H188)*POWER(Upgrades!$P$10,I188)*POWER(Upgrades!$P$11,J188)*POWER(Upgrades!$P$12,K188))*(IF(Upgrades!$T$6="Magnetosphere",POWER(Upgrades!$U$6,E188),1)*IF(Upgrades!$T$7="Magnetosphere",POWER(Upgrades!$U$7,F188),1)*IF(Upgrades!$T$8="Magnetosphere",POWER(Upgrades!$U$8,G188),1)*IF(Upgrades!$T$10="Magnetosphere",POWER(Upgrades!$U$10,I188),1)*IF(Upgrades!$T$11="Magnetosphere",POWER(Upgrades!$U$11,J188),1)*IF(Upgrades!$T$12="Magnetosphere",POWER(Upgrades!$U$12,K188),1))/AJ188,0)</f>
        <v/>
      </c>
      <c r="AW188" s="32">
        <f>MAX(IF(I188&gt;0,0,IFERROR(0.25*N188/Upgrades!$C$10,0)),IF(J188&gt;0,0,IFERROR(0.5*((IF(G188=0,0,(Upgrades!$J$8+G188*Upgrades!$K$8)*POWER(Upgrades!$L$8,G188)))*(IF(Upgrades!$T$6="Stellar Coupling",POWER(Upgrades!$U$6,E188),1)*IF(Upgrades!$T$7="Stellar Coupling",POWER(Upgrades!$U$7,F188),1)*IF(Upgrades!$T$9="Stellar Coupling",POWER(Upgrades!$U$9,H188),1)*IF(Upgrades!$T$10="Stellar Coupling",POWER(Upgrades!$U$10,I188),1)*IF(Upgrades!$T$11="Stellar Coupling",POWER(Upgrades!$U$11,J188),1)*IF(Upgrades!$T$12="Stellar Coupling",POWER(Upgrades!$U$12,K188),1))*(POWER(Upgrades!$Q$6,E188)*POWER(Upgrades!$Q$7,F188)*POWER(Upgrades!$Q$8,G188)*POWER(Upgrades!$Q$9,H188)*POWER(Upgrades!$Q$10,I188)*POWER(Upgrades!$Q$11,J188)*POWER(Upgrades!$Q$12,K188))*Parameters!$B$10*Parameters!$B$11/60)/Upgrades!$C$11,0)),IF(K188&gt;0,0,IFERROR((1.0*(POWER(Upgrades!$P$6,E188)*POWER(Upgrades!$P$7,F188)*POWER(Upgrades!$P$8,G188)*POWER(Upgrades!$P$9,H188)*POWER(Upgrades!$P$10,I188)*POWER(Upgrades!$P$11,J188)*POWER(Upgrades!$P$12,K188))+0.20*M188*Parameters!$B$10*Parameters!$B$11/60)/Upgrades!$C$12,0)),IF(AND(ISNUMBER(AG188),AG188&gt;T188),AS188,0),IF(AND(ISNUMBER(AH188),AH188&gt;T188),AT188,0),IF(AND(ISNUMBER(AI188),AI188&gt;T188),AU188,0),IF(AND(ISNUMBER(AJ188),AJ188&gt;T188),AV188,0))</f>
        <v/>
      </c>
      <c r="AX188" s="29">
        <f>IF(AN188=1,"transition",IF(MIN(IF(AND(I188=0,ISNUMBER(AK188),AK188&lt;=T188),AK188,9E15),IF(AND(J188=0,ISNUMBER(AL188),AL188&lt;=T188),AL188,9E15),IF(AND(K188=0,ISNUMBER(AM188),AM188&lt;=T188),AM188,9E15))&lt;9E15,IF(AND(AND(I188=0,ISNUMBER(AK188),AK188&lt;=T188),AK188=MIN(IF(AND(I188=0,ISNUMBER(AK188),AK188&lt;=T188),AK188,9E15),IF(AND(J188=0,ISNUMBER(AL188),AL188&lt;=T188),AL188,9E15),IF(AND(K188=0,ISNUMBER(AM188),AM188&lt;=T188),AM188,9E15))),"OR",IF(AND(AND(J188=0,ISNUMBER(AL188),AL188&lt;=T188),AL188=MIN(IF(AND(I188=0,ISNUMBER(AK188),AK188&lt;=T188),AK188,9E15),IF(AND(J188=0,ISNUMBER(AL188),AL188&lt;=T188),AL188,9E15),IF(AND(K188=0,ISNUMBER(AM188),AM188&lt;=T188),AM188,9E15))),"HP","FP")),IF(AR188=TRUE,"",IF(MAX(IF(AND(NOT(AND(AO188=1,AN188&lt;&gt;1)),ISNUMBER(AG188),AG188&lt;=T188),AS188,0),IF(AND(NOT(AND(AO188=1,AN188&lt;&gt;1)),ISNUMBER(AH188),AH188&lt;=T188),AT188,0),IF(AND(NOT(AND(AO188=1,AN188&lt;&gt;1)),ISNUMBER(AI188),AI188&lt;=T188),AU188,0),IF(AND(ISNUMBER(AJ188),AJ188&lt;=T188),AV188,0))&lt;=0,"",IF(AND(IF(AND(NOT(AND(AO188=1,AN188&lt;&gt;1)),ISNUMBER(AG188),AG188&lt;=T188),AS188,0)&gt;0,IF(AND(NOT(AND(AO188=1,AN188&lt;&gt;1)),ISNUMBER(AG188),AG188&lt;=T188),AS188,0)=MAX(IF(AND(NOT(AND(AO188=1,AN188&lt;&gt;1)),ISNUMBER(AG188),AG188&lt;=T188),AS188,0),IF(AND(NOT(AND(AO188=1,AN188&lt;&gt;1)),ISNUMBER(AH188),AH188&lt;=T188),AT188,0),IF(AND(NOT(AND(AO188=1,AN188&lt;&gt;1)),ISNUMBER(AI188),AI188&lt;=T188),AU188,0),IF(AND(ISNUMBER(AJ188),AJ188&lt;=T188),AV188,0))),"SW",IF(AND(IF(AND(NOT(AND(AO188=1,AN188&lt;&gt;1)),ISNUMBER(AH188),AH188&lt;=T188),AT188,0)&gt;0,IF(AND(NOT(AND(AO188=1,AN188&lt;&gt;1)),ISNUMBER(AH188),AH188&lt;=T188),AT188,0)=MAX(IF(AND(NOT(AND(AO188=1,AN188&lt;&gt;1)),ISNUMBER(AG188),AG188&lt;=T188),AS188,0),IF(AND(NOT(AND(AO188=1,AN188&lt;&gt;1)),ISNUMBER(AH188),AH188&lt;=T188),AT188,0),IF(AND(NOT(AND(AO188=1,AN188&lt;&gt;1)),ISNUMBER(AI188),AI188&lt;=T188),AU188,0),IF(AND(ISNUMBER(AJ188),AJ188&lt;=T188),AV188,0))),"AB",IF(AND(IF(AND(NOT(AND(AO188=1,AN188&lt;&gt;1)),ISNUMBER(AI188),AI188&lt;=T188),AU188,0)&gt;0,IF(AND(NOT(AND(AO188=1,AN188&lt;&gt;1)),ISNUMBER(AI188),AI188&lt;=T188),AU188,0)=MAX(IF(AND(NOT(AND(AO188=1,AN188&lt;&gt;1)),ISNUMBER(AG188),AG188&lt;=T188),AS188,0),IF(AND(NOT(AND(AO188=1,AN188&lt;&gt;1)),ISNUMBER(AH188),AH188&lt;=T188),AT188,0),IF(AND(NOT(AND(AO188=1,AN188&lt;&gt;1)),ISNUMBER(AI188),AI188&lt;=T188),AU188,0),IF(AND(ISNUMBER(AJ188),AJ188&lt;=T188),AV188,0))),"SC","Mag")))))))</f>
        <v/>
      </c>
    </row>
    <row r="189">
      <c r="A189" s="26" t="n">
        <v>184</v>
      </c>
      <c r="B189" s="27">
        <f>A189*10/60</f>
        <v/>
      </c>
      <c r="C189" s="22">
        <f>X188</f>
        <v/>
      </c>
      <c r="D189" s="27">
        <f>D188+W188</f>
        <v/>
      </c>
      <c r="E189" s="26">
        <f>E188+IF(U188="SW",1,0)</f>
        <v/>
      </c>
      <c r="F189" s="26">
        <f>F188+IF(U188="AB",1,0)</f>
        <v/>
      </c>
      <c r="G189" s="26">
        <f>G188+IF(U188="SC",1,0)</f>
        <v/>
      </c>
      <c r="H189" s="26">
        <f>H188+IF(U188="Mag",1,0)</f>
        <v/>
      </c>
      <c r="I189" s="26">
        <f>MAX(I188,IF(U188="OR",1,0))</f>
        <v/>
      </c>
      <c r="J189" s="26">
        <f>MAX(J188,IF(U188="HP",1,0))</f>
        <v/>
      </c>
      <c r="K189" s="26">
        <f>MAX(K188,IF(U188="FP",1,0))</f>
        <v/>
      </c>
      <c r="L189" s="26">
        <f>MAX(L188,IF(U188="transition",1,0))</f>
        <v/>
      </c>
      <c r="M189" s="28">
        <f>(Parameters!$B$9+(IF(E189=0,0,(Upgrades!$J$6+E189*Upgrades!$K$6)*POWER(Upgrades!$L$6,E189)))*(IF(Upgrades!$T$7="Solar Wind",POWER(Upgrades!$U$7,F189),1)*IF(Upgrades!$T$8="Solar Wind",POWER(Upgrades!$U$8,G189),1)*IF(Upgrades!$T$9="Solar Wind",POWER(Upgrades!$U$9,H189),1)*IF(Upgrades!$T$10="Solar Wind",POWER(Upgrades!$U$10,I189),1)*IF(Upgrades!$T$11="Solar Wind",POWER(Upgrades!$U$11,J189),1)*IF(Upgrades!$T$12="Solar Wind",POWER(Upgrades!$U$12,K189),1))+(IF(F189=0,0,(Upgrades!$J$7+F189*Upgrades!$K$7)*POWER(Upgrades!$L$7,F189)))*(IF(Upgrades!$T$6="Asteroid Belt",POWER(Upgrades!$U$6,E189),1)*IF(Upgrades!$T$8="Asteroid Belt",POWER(Upgrades!$U$8,G189),1)*IF(Upgrades!$T$9="Asteroid Belt",POWER(Upgrades!$U$9,H189),1)*IF(Upgrades!$T$10="Asteroid Belt",POWER(Upgrades!$U$10,I189),1)*IF(Upgrades!$T$11="Asteroid Belt",POWER(Upgrades!$U$11,J189),1)*IF(Upgrades!$T$12="Asteroid Belt",POWER(Upgrades!$U$12,K189),1))+(IF(G189=0,0,(Upgrades!$J$8+G189*Upgrades!$K$8)*POWER(Upgrades!$L$8,G189)))*(IF(Upgrades!$T$6="Stellar Coupling",POWER(Upgrades!$U$6,E189),1)*IF(Upgrades!$T$7="Stellar Coupling",POWER(Upgrades!$U$7,F189),1)*IF(Upgrades!$T$9="Stellar Coupling",POWER(Upgrades!$U$9,H189),1)*IF(Upgrades!$T$10="Stellar Coupling",POWER(Upgrades!$U$10,I189),1)*IF(Upgrades!$T$11="Stellar Coupling",POWER(Upgrades!$U$11,J189),1)*IF(Upgrades!$T$12="Stellar Coupling",POWER(Upgrades!$U$12,K189),1))+(IF(H189=0,0,(Upgrades!$J$9+H189*Upgrades!$K$9)*POWER(Upgrades!$L$9,H189)))*(IF(Upgrades!$T$6="Magnetosphere",POWER(Upgrades!$U$6,E189),1)*IF(Upgrades!$T$7="Magnetosphere",POWER(Upgrades!$U$7,F189),1)*IF(Upgrades!$T$8="Magnetosphere",POWER(Upgrades!$U$8,G189),1)*IF(Upgrades!$T$10="Magnetosphere",POWER(Upgrades!$U$10,I189),1)*IF(Upgrades!$T$11="Magnetosphere",POWER(Upgrades!$U$11,J189),1)*IF(Upgrades!$T$12="Magnetosphere",POWER(Upgrades!$U$12,K189),1))+(IF(I189=0,0,(Upgrades!$J$10+I189*Upgrades!$K$10)*POWER(Upgrades!$L$10,I189)))*(IF(Upgrades!$T$6="Orbital Resonance",POWER(Upgrades!$U$6,E189),1)*IF(Upgrades!$T$7="Orbital Resonance",POWER(Upgrades!$U$7,F189),1)*IF(Upgrades!$T$8="Orbital Resonance",POWER(Upgrades!$U$8,G189),1)*IF(Upgrades!$T$9="Orbital Resonance",POWER(Upgrades!$U$9,H189),1)*IF(Upgrades!$T$11="Orbital Resonance",POWER(Upgrades!$U$11,J189),1)*IF(Upgrades!$T$12="Orbital Resonance",POWER(Upgrades!$U$12,K189),1))+(IF(J189=0,0,(Upgrades!$J$11+J189*Upgrades!$K$11)*POWER(Upgrades!$L$11,J189)))*(IF(Upgrades!$T$6="Heliopause",POWER(Upgrades!$U$6,E189),1)*IF(Upgrades!$T$7="Heliopause",POWER(Upgrades!$U$7,F189),1)*IF(Upgrades!$T$8="Heliopause",POWER(Upgrades!$U$8,G189),1)*IF(Upgrades!$T$9="Heliopause",POWER(Upgrades!$U$9,H189),1)*IF(Upgrades!$T$10="Heliopause",POWER(Upgrades!$U$10,I189),1)*IF(Upgrades!$T$12="Heliopause",POWER(Upgrades!$U$12,K189),1))+(IF(K189=0,0,(Upgrades!$J$12+K189*Upgrades!$K$12)*POWER(Upgrades!$L$12,K189)))*(IF(Upgrades!$T$6="First Photons",POWER(Upgrades!$U$6,E189),1)*IF(Upgrades!$T$7="First Photons",POWER(Upgrades!$U$7,F189),1)*IF(Upgrades!$T$8="First Photons",POWER(Upgrades!$U$8,G189),1)*IF(Upgrades!$T$9="First Photons",POWER(Upgrades!$U$9,H189),1)*IF(Upgrades!$T$10="First Photons",POWER(Upgrades!$U$10,I189),1)*IF(Upgrades!$T$11="First Photons",POWER(Upgrades!$U$11,J189),1)))*POWER(Upgrades!$Q$6,E189)*POWER(Upgrades!$Q$7,F189)*POWER(Upgrades!$Q$8,G189)*POWER(Upgrades!$Q$9,H189)*POWER(Upgrades!$Q$10,I189)*POWER(Upgrades!$Q$11,J189)*POWER(Upgrades!$Q$12,K189)</f>
        <v/>
      </c>
      <c r="N189" s="28">
        <f>((IF(E189=0,0,(Upgrades!$G$6+E189*Upgrades!$H$6)*POWER(Upgrades!$I$6,E189)))*(IF(Upgrades!$T$7="Solar Wind",POWER(Upgrades!$U$7,F189),1)*IF(Upgrades!$T$8="Solar Wind",POWER(Upgrades!$U$8,G189),1)*IF(Upgrades!$T$9="Solar Wind",POWER(Upgrades!$U$9,H189),1)*IF(Upgrades!$T$10="Solar Wind",POWER(Upgrades!$U$10,I189),1)*IF(Upgrades!$T$11="Solar Wind",POWER(Upgrades!$U$11,J189),1)*IF(Upgrades!$T$12="Solar Wind",POWER(Upgrades!$U$12,K189),1))+(IF(F189=0,0,(Upgrades!$G$7+F189*Upgrades!$H$7)*POWER(Upgrades!$I$7,F189)))*(IF(Upgrades!$T$6="Asteroid Belt",POWER(Upgrades!$U$6,E189),1)*IF(Upgrades!$T$8="Asteroid Belt",POWER(Upgrades!$U$8,G189),1)*IF(Upgrades!$T$9="Asteroid Belt",POWER(Upgrades!$U$9,H189),1)*IF(Upgrades!$T$10="Asteroid Belt",POWER(Upgrades!$U$10,I189),1)*IF(Upgrades!$T$11="Asteroid Belt",POWER(Upgrades!$U$11,J189),1)*IF(Upgrades!$T$12="Asteroid Belt",POWER(Upgrades!$U$12,K189),1))+(IF(G189=0,0,(Upgrades!$G$8+G189*Upgrades!$H$8)*POWER(Upgrades!$I$8,G189)))*(IF(Upgrades!$T$6="Stellar Coupling",POWER(Upgrades!$U$6,E189),1)*IF(Upgrades!$T$7="Stellar Coupling",POWER(Upgrades!$U$7,F189),1)*IF(Upgrades!$T$9="Stellar Coupling",POWER(Upgrades!$U$9,H189),1)*IF(Upgrades!$T$10="Stellar Coupling",POWER(Upgrades!$U$10,I189),1)*IF(Upgrades!$T$11="Stellar Coupling",POWER(Upgrades!$U$11,J189),1)*IF(Upgrades!$T$12="Stellar Coupling",POWER(Upgrades!$U$12,K189),1))+(IF(H189=0,0,(Upgrades!$G$9+H189*Upgrades!$H$9)*POWER(Upgrades!$I$9,H189)))*(IF(Upgrades!$T$6="Magnetosphere",POWER(Upgrades!$U$6,E189),1)*IF(Upgrades!$T$7="Magnetosphere",POWER(Upgrades!$U$7,F189),1)*IF(Upgrades!$T$8="Magnetosphere",POWER(Upgrades!$U$8,G189),1)*IF(Upgrades!$T$10="Magnetosphere",POWER(Upgrades!$U$10,I189),1)*IF(Upgrades!$T$11="Magnetosphere",POWER(Upgrades!$U$11,J189),1)*IF(Upgrades!$T$12="Magnetosphere",POWER(Upgrades!$U$12,K189),1))+(IF(I189=0,0,(Upgrades!$G$10+I189*Upgrades!$H$10)*POWER(Upgrades!$I$10,I189)))*(IF(Upgrades!$T$6="Orbital Resonance",POWER(Upgrades!$U$6,E189),1)*IF(Upgrades!$T$7="Orbital Resonance",POWER(Upgrades!$U$7,F189),1)*IF(Upgrades!$T$8="Orbital Resonance",POWER(Upgrades!$U$8,G189),1)*IF(Upgrades!$T$9="Orbital Resonance",POWER(Upgrades!$U$9,H189),1)*IF(Upgrades!$T$11="Orbital Resonance",POWER(Upgrades!$U$11,J189),1)*IF(Upgrades!$T$12="Orbital Resonance",POWER(Upgrades!$U$12,K189),1))+(IF(J189=0,0,(Upgrades!$G$11+J189*Upgrades!$H$11)*POWER(Upgrades!$I$11,J189)))*(IF(Upgrades!$T$6="Heliopause",POWER(Upgrades!$U$6,E189),1)*IF(Upgrades!$T$7="Heliopause",POWER(Upgrades!$U$7,F189),1)*IF(Upgrades!$T$8="Heliopause",POWER(Upgrades!$U$8,G189),1)*IF(Upgrades!$T$9="Heliopause",POWER(Upgrades!$U$9,H189),1)*IF(Upgrades!$T$10="Heliopause",POWER(Upgrades!$U$10,I189),1)*IF(Upgrades!$T$12="Heliopause",POWER(Upgrades!$U$12,K189),1))+(IF(K189=0,0,(Upgrades!$G$12+K189*Upgrades!$H$12)*POWER(Upgrades!$I$12,K189)))*(IF(Upgrades!$T$6="First Photons",POWER(Upgrades!$U$6,E189),1)*IF(Upgrades!$T$7="First Photons",POWER(Upgrades!$U$7,F189),1)*IF(Upgrades!$T$8="First Photons",POWER(Upgrades!$U$8,G189),1)*IF(Upgrades!$T$9="First Photons",POWER(Upgrades!$U$9,H189),1)*IF(Upgrades!$T$10="First Photons",POWER(Upgrades!$U$10,I189),1)*IF(Upgrades!$T$11="First Photons",POWER(Upgrades!$U$11,J189),1)))*POWER(Upgrades!$P$6,E189)*POWER(Upgrades!$P$7,F189)*POWER(Upgrades!$P$8,G189)*POWER(Upgrades!$P$9,H189)*POWER(Upgrades!$P$10,I189)*POWER(Upgrades!$P$11,J189)*POWER(Upgrades!$P$12,K189)</f>
        <v/>
      </c>
      <c r="O189" s="28">
        <f>((IF(E189=0,0,(Upgrades!$M$6+E189*Upgrades!$N$6)*POWER(Upgrades!$O$6,E189)))*(IF(Upgrades!$T$7="Solar Wind",POWER(Upgrades!$U$7,F189),1)*IF(Upgrades!$T$8="Solar Wind",POWER(Upgrades!$U$8,G189),1)*IF(Upgrades!$T$9="Solar Wind",POWER(Upgrades!$U$9,H189),1)*IF(Upgrades!$T$10="Solar Wind",POWER(Upgrades!$U$10,I189),1)*IF(Upgrades!$T$11="Solar Wind",POWER(Upgrades!$U$11,J189),1)*IF(Upgrades!$T$12="Solar Wind",POWER(Upgrades!$U$12,K189),1))+(IF(F189=0,0,(Upgrades!$M$7+F189*Upgrades!$N$7)*POWER(Upgrades!$O$7,F189)))*(IF(Upgrades!$T$6="Asteroid Belt",POWER(Upgrades!$U$6,E189),1)*IF(Upgrades!$T$8="Asteroid Belt",POWER(Upgrades!$U$8,G189),1)*IF(Upgrades!$T$9="Asteroid Belt",POWER(Upgrades!$U$9,H189),1)*IF(Upgrades!$T$10="Asteroid Belt",POWER(Upgrades!$U$10,I189),1)*IF(Upgrades!$T$11="Asteroid Belt",POWER(Upgrades!$U$11,J189),1)*IF(Upgrades!$T$12="Asteroid Belt",POWER(Upgrades!$U$12,K189),1))+(IF(G189=0,0,(Upgrades!$M$8+G189*Upgrades!$N$8)*POWER(Upgrades!$O$8,G189)))*(IF(Upgrades!$T$6="Stellar Coupling",POWER(Upgrades!$U$6,E189),1)*IF(Upgrades!$T$7="Stellar Coupling",POWER(Upgrades!$U$7,F189),1)*IF(Upgrades!$T$9="Stellar Coupling",POWER(Upgrades!$U$9,H189),1)*IF(Upgrades!$T$10="Stellar Coupling",POWER(Upgrades!$U$10,I189),1)*IF(Upgrades!$T$11="Stellar Coupling",POWER(Upgrades!$U$11,J189),1)*IF(Upgrades!$T$12="Stellar Coupling",POWER(Upgrades!$U$12,K189),1))+(IF(H189=0,0,(Upgrades!$M$9+H189*Upgrades!$N$9)*POWER(Upgrades!$O$9,H189)))*(IF(Upgrades!$T$6="Magnetosphere",POWER(Upgrades!$U$6,E189),1)*IF(Upgrades!$T$7="Magnetosphere",POWER(Upgrades!$U$7,F189),1)*IF(Upgrades!$T$8="Magnetosphere",POWER(Upgrades!$U$8,G189),1)*IF(Upgrades!$T$10="Magnetosphere",POWER(Upgrades!$U$10,I189),1)*IF(Upgrades!$T$11="Magnetosphere",POWER(Upgrades!$U$11,J189),1)*IF(Upgrades!$T$12="Magnetosphere",POWER(Upgrades!$U$12,K189),1))+(IF(I189=0,0,(Upgrades!$M$10+I189*Upgrades!$N$10)*POWER(Upgrades!$O$10,I189)))*(IF(Upgrades!$T$6="Orbital Resonance",POWER(Upgrades!$U$6,E189),1)*IF(Upgrades!$T$7="Orbital Resonance",POWER(Upgrades!$U$7,F189),1)*IF(Upgrades!$T$8="Orbital Resonance",POWER(Upgrades!$U$8,G189),1)*IF(Upgrades!$T$9="Orbital Resonance",POWER(Upgrades!$U$9,H189),1)*IF(Upgrades!$T$11="Orbital Resonance",POWER(Upgrades!$U$11,J189),1)*IF(Upgrades!$T$12="Orbital Resonance",POWER(Upgrades!$U$12,K189),1))+(IF(J189=0,0,(Upgrades!$M$11+J189*Upgrades!$N$11)*POWER(Upgrades!$O$11,J189)))*(IF(Upgrades!$T$6="Heliopause",POWER(Upgrades!$U$6,E189),1)*IF(Upgrades!$T$7="Heliopause",POWER(Upgrades!$U$7,F189),1)*IF(Upgrades!$T$8="Heliopause",POWER(Upgrades!$U$8,G189),1)*IF(Upgrades!$T$9="Heliopause",POWER(Upgrades!$U$9,H189),1)*IF(Upgrades!$T$10="Heliopause",POWER(Upgrades!$U$10,I189),1)*IF(Upgrades!$T$12="Heliopause",POWER(Upgrades!$U$12,K189),1))+(IF(K189=0,0,(Upgrades!$M$12+K189*Upgrades!$N$12)*POWER(Upgrades!$O$12,K189)))*(IF(Upgrades!$T$6="First Photons",POWER(Upgrades!$U$6,E189),1)*IF(Upgrades!$T$7="First Photons",POWER(Upgrades!$U$7,F189),1)*IF(Upgrades!$T$8="First Photons",POWER(Upgrades!$U$8,G189),1)*IF(Upgrades!$T$9="First Photons",POWER(Upgrades!$U$9,H189),1)*IF(Upgrades!$T$10="First Photons",POWER(Upgrades!$U$10,I189),1)*IF(Upgrades!$T$11="First Photons",POWER(Upgrades!$U$11,J189),1)))*POWER(Upgrades!$R$6,E189)*POWER(Upgrades!$R$7,F189)*POWER(Upgrades!$R$8,G189)*POWER(Upgrades!$R$9,H189)*POWER(Upgrades!$R$10,I189)*POWER(Upgrades!$R$11,J189)*POWER(Upgrades!$R$12,K189)</f>
        <v/>
      </c>
      <c r="P189" s="27">
        <f>IF(L189=1,0,M189*Parameters!$B$10/60*Parameters!$B$11*10)</f>
        <v/>
      </c>
      <c r="Q189" s="27">
        <f>IF(L189=1,0,O189*M189*10)</f>
        <v/>
      </c>
      <c r="R189" s="27">
        <f>IF(L189=1,0,N189*10)</f>
        <v/>
      </c>
      <c r="S189" s="27">
        <f>P189+Q189+R189</f>
        <v/>
      </c>
      <c r="T189" s="22">
        <f>C189+S189</f>
        <v/>
      </c>
      <c r="U189" s="33">
        <f>AX189</f>
        <v/>
      </c>
      <c r="V189" s="22">
        <f>IF(U189="",0,IF(U189="transition",0,IF(U189="SW",AG189,IF(U189="AB",AH189,IF(U189="SC",AI189,IF(U189="Mag",AJ189,IF(U189="OR",AK189,IF(U189="HP",AL189,IF(U189="FP",AM189,0)))))))))</f>
        <v/>
      </c>
      <c r="W189" s="27">
        <f>IF(U189="OR",Upgrades!$F$10,IF(U189="HP",Upgrades!$F$11,IF(U189="transition",-Parameters!$B$18,0)))</f>
        <v/>
      </c>
      <c r="X189" s="22">
        <f>T189-V189</f>
        <v/>
      </c>
      <c r="Y189" s="30">
        <f>M189*Parameters!$B$10/60*Parameters!$B$11+O189*M189+N189</f>
        <v/>
      </c>
      <c r="Z189" s="34">
        <f>IF(U189="transition","→ Tier 2 (Stellar Neighborhood)",IF(U189="FP","First Photons — light begins, system quickens",IF(U189="HP","Heliopause acquired",IF(U189="OR","Orbital Resonance — passive multiplier active",IF(AND(AO189=1,L189=0,AN189&lt;&gt;1),"Cohesion ready (waiting on completionist upgrades)","")))))</f>
        <v/>
      </c>
      <c r="AA189" s="27">
        <f>(IF(E189=0,0,(Upgrades!$G$6+E189*Upgrades!$H$6)*POWER(Upgrades!$I$6,E189)))*(IF(Upgrades!$T$7="Solar Wind",POWER(Upgrades!$U$7,F189),1)*IF(Upgrades!$T$8="Solar Wind",POWER(Upgrades!$U$8,G189),1)*IF(Upgrades!$T$9="Solar Wind",POWER(Upgrades!$U$9,H189),1)*IF(Upgrades!$T$10="Solar Wind",POWER(Upgrades!$U$10,I189),1)*IF(Upgrades!$T$11="Solar Wind",POWER(Upgrades!$U$11,J189),1)*IF(Upgrades!$T$12="Solar Wind",POWER(Upgrades!$U$12,K189),1))*POWER(Upgrades!$P$6,E189)*POWER(Upgrades!$P$7,F189)*POWER(Upgrades!$P$8,G189)*POWER(Upgrades!$P$9,H189)*POWER(Upgrades!$P$10,I189)*POWER(Upgrades!$P$11,J189)*POWER(Upgrades!$P$12,K189)*60</f>
        <v/>
      </c>
      <c r="AB189" s="27">
        <f>(IF(F189=0,0,(Upgrades!$G$7+F189*Upgrades!$H$7)*POWER(Upgrades!$I$7,F189)))*(IF(Upgrades!$T$6="Asteroid Belt",POWER(Upgrades!$U$6,E189),1)*IF(Upgrades!$T$8="Asteroid Belt",POWER(Upgrades!$U$8,G189),1)*IF(Upgrades!$T$9="Asteroid Belt",POWER(Upgrades!$U$9,H189),1)*IF(Upgrades!$T$10="Asteroid Belt",POWER(Upgrades!$U$10,I189),1)*IF(Upgrades!$T$11="Asteroid Belt",POWER(Upgrades!$U$11,J189),1)*IF(Upgrades!$T$12="Asteroid Belt",POWER(Upgrades!$U$12,K189),1))*POWER(Upgrades!$P$6,E189)*POWER(Upgrades!$P$7,F189)*POWER(Upgrades!$P$8,G189)*POWER(Upgrades!$P$9,H189)*POWER(Upgrades!$P$10,I189)*POWER(Upgrades!$P$11,J189)*POWER(Upgrades!$P$12,K189)*60</f>
        <v/>
      </c>
      <c r="AC189" s="27">
        <f>(IF(G189=0,0,(Upgrades!$J$8+G189*Upgrades!$K$8)*POWER(Upgrades!$L$8,G189)))*(IF(Upgrades!$T$6="Stellar Coupling",POWER(Upgrades!$U$6,E189),1)*IF(Upgrades!$T$7="Stellar Coupling",POWER(Upgrades!$U$7,F189),1)*IF(Upgrades!$T$9="Stellar Coupling",POWER(Upgrades!$U$9,H189),1)*IF(Upgrades!$T$10="Stellar Coupling",POWER(Upgrades!$U$10,I189),1)*IF(Upgrades!$T$11="Stellar Coupling",POWER(Upgrades!$U$11,J189),1)*IF(Upgrades!$T$12="Stellar Coupling",POWER(Upgrades!$U$12,K189),1))*POWER(Upgrades!$Q$6,E189)*POWER(Upgrades!$Q$7,F189)*POWER(Upgrades!$Q$8,G189)*POWER(Upgrades!$Q$9,H189)*POWER(Upgrades!$Q$10,I189)*POWER(Upgrades!$Q$11,J189)*POWER(Upgrades!$Q$12,K189)*Parameters!$B$10*Parameters!$B$11</f>
        <v/>
      </c>
      <c r="AD189" s="27">
        <f>(IF(H189=0,0,(Upgrades!$G$9+H189*Upgrades!$H$9)*POWER(Upgrades!$I$9,H189)))*(IF(Upgrades!$T$6="Magnetosphere",POWER(Upgrades!$U$6,E189),1)*IF(Upgrades!$T$7="Magnetosphere",POWER(Upgrades!$U$7,F189),1)*IF(Upgrades!$T$8="Magnetosphere",POWER(Upgrades!$U$8,G189),1)*IF(Upgrades!$T$10="Magnetosphere",POWER(Upgrades!$U$10,I189),1)*IF(Upgrades!$T$11="Magnetosphere",POWER(Upgrades!$U$11,J189),1)*IF(Upgrades!$T$12="Magnetosphere",POWER(Upgrades!$U$12,K189),1))*POWER(Upgrades!$P$6,E189)*POWER(Upgrades!$P$7,F189)*POWER(Upgrades!$P$8,G189)*POWER(Upgrades!$P$9,H189)*POWER(Upgrades!$P$10,I189)*POWER(Upgrades!$P$11,J189)*POWER(Upgrades!$P$12,K189)*60</f>
        <v/>
      </c>
      <c r="AE189" s="27">
        <f>(IF(K189=0,0,(Upgrades!$G$12+K189*Upgrades!$H$12)*POWER(Upgrades!$I$12,K189)))*(IF(Upgrades!$T$6="First Photons",POWER(Upgrades!$U$6,E189),1)*IF(Upgrades!$T$7="First Photons",POWER(Upgrades!$U$7,F189),1)*IF(Upgrades!$T$8="First Photons",POWER(Upgrades!$U$8,G189),1)*IF(Upgrades!$T$9="First Photons",POWER(Upgrades!$U$9,H189),1)*IF(Upgrades!$T$10="First Photons",POWER(Upgrades!$U$10,I189),1)*IF(Upgrades!$T$11="First Photons",POWER(Upgrades!$U$11,J189),1))*POWER(Upgrades!$P$6,E189)*POWER(Upgrades!$P$7,F189)*POWER(Upgrades!$P$8,G189)*POWER(Upgrades!$P$9,H189)*POWER(Upgrades!$P$10,I189)*POWER(Upgrades!$P$11,J189)*POWER(Upgrades!$P$12,K189)*60</f>
        <v/>
      </c>
      <c r="AF189" s="27">
        <f>Parameters!$B$9*POWER(Upgrades!$Q$6,E189)*POWER(Upgrades!$Q$7,F189)*POWER(Upgrades!$Q$8,G189)*POWER(Upgrades!$Q$9,H189)*POWER(Upgrades!$Q$10,I189)*POWER(Upgrades!$Q$11,J189)*POWER(Upgrades!$Q$12,K189)*(Parameters!$B$10*Parameters!$B$11+O189*60)</f>
        <v/>
      </c>
      <c r="AG189" s="22">
        <f>IF(E189&gt;=Upgrades!$E$6,"",Upgrades!$C$6*POWER(Upgrades!$D$6,E189))</f>
        <v/>
      </c>
      <c r="AH189" s="22">
        <f>IF(F189&gt;=Upgrades!$E$7,"",Upgrades!$C$7*POWER(Upgrades!$D$7,F189))</f>
        <v/>
      </c>
      <c r="AI189" s="22">
        <f>IF(G189&gt;=Upgrades!$E$8,"",Upgrades!$C$8*POWER(Upgrades!$D$8,G189))</f>
        <v/>
      </c>
      <c r="AJ189" s="22">
        <f>IF(H189&gt;=Upgrades!$E$9,"",Upgrades!$C$9*POWER(Upgrades!$D$9,H189))</f>
        <v/>
      </c>
      <c r="AK189" s="22">
        <f>IF(I189&gt;=Upgrades!$E$10,"",Upgrades!$C$10*POWER(Upgrades!$D$10,I189))</f>
        <v/>
      </c>
      <c r="AL189" s="22">
        <f>IF(J189&gt;=Upgrades!$E$11,"",Upgrades!$C$11*POWER(Upgrades!$D$11,J189))</f>
        <v/>
      </c>
      <c r="AM189" s="22">
        <f>IF(K189&gt;=Upgrades!$E$12,"",Upgrades!$C$12*POWER(Upgrades!$D$12,K189))</f>
        <v/>
      </c>
      <c r="AN189" s="26">
        <f>IF(AND(D189&gt;=Parameters!$B$18,(H189&gt;=Upgrades!$E$9)*(K189&gt;=Upgrades!$E$12)=1,L189=0),1,"")</f>
        <v/>
      </c>
      <c r="AO189" s="26">
        <f>IF(AND(D189&gt;=Parameters!$B$18,L189=0),1,"")</f>
        <v/>
      </c>
      <c r="AP189" s="22">
        <f>MIN(IF(ISNUMBER(AK189),AK189,9E15),IF(ISNUMBER(AL189),AL189,9E15),IF(ISNUMBER(AM189),AM189,9E15))</f>
        <v/>
      </c>
      <c r="AQ189" s="22">
        <f>MIN(IF(ISNUMBER(AG189),AG189,9E15),IF(ISNUMBER(AH189),AH189,9E15),IF(ISNUMBER(AI189),AI189,9E15),IF(ISNUMBER(AJ189),AJ189,9E15))</f>
        <v/>
      </c>
      <c r="AR189" s="29">
        <f>IF(AW189&gt;Parameters!$B$21*(MAX(IF(AND(NOT(AND(AO189=1,AN189&lt;&gt;1)),ISNUMBER(AG189),AG189&lt;=T189),AS189,0),IF(AND(NOT(AND(AO189=1,AN189&lt;&gt;1)),ISNUMBER(AH189),AH189&lt;=T189),AT189,0),IF(AND(NOT(AND(AO189=1,AN189&lt;&gt;1)),ISNUMBER(AI189),AI189&lt;=T189),AU189,0),IF(AND(ISNUMBER(AJ189),AJ189&lt;=T189),AV189,0))),TRUE,FALSE)</f>
        <v/>
      </c>
      <c r="AS189" s="32">
        <f>IFERROR(Upgrades!$H$6*(POWER(Upgrades!$P$6,E189)*POWER(Upgrades!$P$7,F189)*POWER(Upgrades!$P$8,G189)*POWER(Upgrades!$P$9,H189)*POWER(Upgrades!$P$10,I189)*POWER(Upgrades!$P$11,J189)*POWER(Upgrades!$P$12,K189))*(IF(Upgrades!$T$7="Solar Wind",POWER(Upgrades!$U$7,F189),1)*IF(Upgrades!$T$8="Solar Wind",POWER(Upgrades!$U$8,G189),1)*IF(Upgrades!$T$9="Solar Wind",POWER(Upgrades!$U$9,H189),1)*IF(Upgrades!$T$10="Solar Wind",POWER(Upgrades!$U$10,I189),1)*IF(Upgrades!$T$11="Solar Wind",POWER(Upgrades!$U$11,J189),1)*IF(Upgrades!$T$12="Solar Wind",POWER(Upgrades!$U$12,K189),1))/AG189,0)</f>
        <v/>
      </c>
      <c r="AT189" s="32">
        <f>IFERROR(Upgrades!$H$7*(POWER(Upgrades!$P$6,E189)*POWER(Upgrades!$P$7,F189)*POWER(Upgrades!$P$8,G189)*POWER(Upgrades!$P$9,H189)*POWER(Upgrades!$P$10,I189)*POWER(Upgrades!$P$11,J189)*POWER(Upgrades!$P$12,K189))*(IF(Upgrades!$T$6="Asteroid Belt",POWER(Upgrades!$U$6,E189),1)*IF(Upgrades!$T$8="Asteroid Belt",POWER(Upgrades!$U$8,G189),1)*IF(Upgrades!$T$9="Asteroid Belt",POWER(Upgrades!$U$9,H189),1)*IF(Upgrades!$T$10="Asteroid Belt",POWER(Upgrades!$U$10,I189),1)*IF(Upgrades!$T$11="Asteroid Belt",POWER(Upgrades!$U$11,J189),1)*IF(Upgrades!$T$12="Asteroid Belt",POWER(Upgrades!$U$12,K189),1))/AH189,0)</f>
        <v/>
      </c>
      <c r="AU189" s="32">
        <f>IFERROR(Upgrades!$K$8*(POWER(Upgrades!$Q$6,E189)*POWER(Upgrades!$Q$7,F189)*POWER(Upgrades!$Q$8,G189)*POWER(Upgrades!$Q$9,H189)*POWER(Upgrades!$Q$10,I189)*POWER(Upgrades!$Q$11,J189)*POWER(Upgrades!$Q$12,K189))*(IF(Upgrades!$T$6="Stellar Coupling",POWER(Upgrades!$U$6,E189),1)*IF(Upgrades!$T$7="Stellar Coupling",POWER(Upgrades!$U$7,F189),1)*IF(Upgrades!$T$9="Stellar Coupling",POWER(Upgrades!$U$9,H189),1)*IF(Upgrades!$T$10="Stellar Coupling",POWER(Upgrades!$U$10,I189),1)*IF(Upgrades!$T$11="Stellar Coupling",POWER(Upgrades!$U$11,J189),1)*IF(Upgrades!$T$12="Stellar Coupling",POWER(Upgrades!$U$12,K189),1))*Parameters!$B$10*Parameters!$B$11/60/AI189,0)</f>
        <v/>
      </c>
      <c r="AV189" s="32">
        <f>IFERROR(Upgrades!$H$9*(POWER(Upgrades!$P$6,E189)*POWER(Upgrades!$P$7,F189)*POWER(Upgrades!$P$8,G189)*POWER(Upgrades!$P$9,H189)*POWER(Upgrades!$P$10,I189)*POWER(Upgrades!$P$11,J189)*POWER(Upgrades!$P$12,K189))*(IF(Upgrades!$T$6="Magnetosphere",POWER(Upgrades!$U$6,E189),1)*IF(Upgrades!$T$7="Magnetosphere",POWER(Upgrades!$U$7,F189),1)*IF(Upgrades!$T$8="Magnetosphere",POWER(Upgrades!$U$8,G189),1)*IF(Upgrades!$T$10="Magnetosphere",POWER(Upgrades!$U$10,I189),1)*IF(Upgrades!$T$11="Magnetosphere",POWER(Upgrades!$U$11,J189),1)*IF(Upgrades!$T$12="Magnetosphere",POWER(Upgrades!$U$12,K189),1))/AJ189,0)</f>
        <v/>
      </c>
      <c r="AW189" s="32">
        <f>MAX(IF(I189&gt;0,0,IFERROR(0.25*N189/Upgrades!$C$10,0)),IF(J189&gt;0,0,IFERROR(0.5*((IF(G189=0,0,(Upgrades!$J$8+G189*Upgrades!$K$8)*POWER(Upgrades!$L$8,G189)))*(IF(Upgrades!$T$6="Stellar Coupling",POWER(Upgrades!$U$6,E189),1)*IF(Upgrades!$T$7="Stellar Coupling",POWER(Upgrades!$U$7,F189),1)*IF(Upgrades!$T$9="Stellar Coupling",POWER(Upgrades!$U$9,H189),1)*IF(Upgrades!$T$10="Stellar Coupling",POWER(Upgrades!$U$10,I189),1)*IF(Upgrades!$T$11="Stellar Coupling",POWER(Upgrades!$U$11,J189),1)*IF(Upgrades!$T$12="Stellar Coupling",POWER(Upgrades!$U$12,K189),1))*(POWER(Upgrades!$Q$6,E189)*POWER(Upgrades!$Q$7,F189)*POWER(Upgrades!$Q$8,G189)*POWER(Upgrades!$Q$9,H189)*POWER(Upgrades!$Q$10,I189)*POWER(Upgrades!$Q$11,J189)*POWER(Upgrades!$Q$12,K189))*Parameters!$B$10*Parameters!$B$11/60)/Upgrades!$C$11,0)),IF(K189&gt;0,0,IFERROR((1.0*(POWER(Upgrades!$P$6,E189)*POWER(Upgrades!$P$7,F189)*POWER(Upgrades!$P$8,G189)*POWER(Upgrades!$P$9,H189)*POWER(Upgrades!$P$10,I189)*POWER(Upgrades!$P$11,J189)*POWER(Upgrades!$P$12,K189))+0.20*M189*Parameters!$B$10*Parameters!$B$11/60)/Upgrades!$C$12,0)),IF(AND(ISNUMBER(AG189),AG189&gt;T189),AS189,0),IF(AND(ISNUMBER(AH189),AH189&gt;T189),AT189,0),IF(AND(ISNUMBER(AI189),AI189&gt;T189),AU189,0),IF(AND(ISNUMBER(AJ189),AJ189&gt;T189),AV189,0))</f>
        <v/>
      </c>
      <c r="AX189" s="29">
        <f>IF(AN189=1,"transition",IF(MIN(IF(AND(I189=0,ISNUMBER(AK189),AK189&lt;=T189),AK189,9E15),IF(AND(J189=0,ISNUMBER(AL189),AL189&lt;=T189),AL189,9E15),IF(AND(K189=0,ISNUMBER(AM189),AM189&lt;=T189),AM189,9E15))&lt;9E15,IF(AND(AND(I189=0,ISNUMBER(AK189),AK189&lt;=T189),AK189=MIN(IF(AND(I189=0,ISNUMBER(AK189),AK189&lt;=T189),AK189,9E15),IF(AND(J189=0,ISNUMBER(AL189),AL189&lt;=T189),AL189,9E15),IF(AND(K189=0,ISNUMBER(AM189),AM189&lt;=T189),AM189,9E15))),"OR",IF(AND(AND(J189=0,ISNUMBER(AL189),AL189&lt;=T189),AL189=MIN(IF(AND(I189=0,ISNUMBER(AK189),AK189&lt;=T189),AK189,9E15),IF(AND(J189=0,ISNUMBER(AL189),AL189&lt;=T189),AL189,9E15),IF(AND(K189=0,ISNUMBER(AM189),AM189&lt;=T189),AM189,9E15))),"HP","FP")),IF(AR189=TRUE,"",IF(MAX(IF(AND(NOT(AND(AO189=1,AN189&lt;&gt;1)),ISNUMBER(AG189),AG189&lt;=T189),AS189,0),IF(AND(NOT(AND(AO189=1,AN189&lt;&gt;1)),ISNUMBER(AH189),AH189&lt;=T189),AT189,0),IF(AND(NOT(AND(AO189=1,AN189&lt;&gt;1)),ISNUMBER(AI189),AI189&lt;=T189),AU189,0),IF(AND(ISNUMBER(AJ189),AJ189&lt;=T189),AV189,0))&lt;=0,"",IF(AND(IF(AND(NOT(AND(AO189=1,AN189&lt;&gt;1)),ISNUMBER(AG189),AG189&lt;=T189),AS189,0)&gt;0,IF(AND(NOT(AND(AO189=1,AN189&lt;&gt;1)),ISNUMBER(AG189),AG189&lt;=T189),AS189,0)=MAX(IF(AND(NOT(AND(AO189=1,AN189&lt;&gt;1)),ISNUMBER(AG189),AG189&lt;=T189),AS189,0),IF(AND(NOT(AND(AO189=1,AN189&lt;&gt;1)),ISNUMBER(AH189),AH189&lt;=T189),AT189,0),IF(AND(NOT(AND(AO189=1,AN189&lt;&gt;1)),ISNUMBER(AI189),AI189&lt;=T189),AU189,0),IF(AND(ISNUMBER(AJ189),AJ189&lt;=T189),AV189,0))),"SW",IF(AND(IF(AND(NOT(AND(AO189=1,AN189&lt;&gt;1)),ISNUMBER(AH189),AH189&lt;=T189),AT189,0)&gt;0,IF(AND(NOT(AND(AO189=1,AN189&lt;&gt;1)),ISNUMBER(AH189),AH189&lt;=T189),AT189,0)=MAX(IF(AND(NOT(AND(AO189=1,AN189&lt;&gt;1)),ISNUMBER(AG189),AG189&lt;=T189),AS189,0),IF(AND(NOT(AND(AO189=1,AN189&lt;&gt;1)),ISNUMBER(AH189),AH189&lt;=T189),AT189,0),IF(AND(NOT(AND(AO189=1,AN189&lt;&gt;1)),ISNUMBER(AI189),AI189&lt;=T189),AU189,0),IF(AND(ISNUMBER(AJ189),AJ189&lt;=T189),AV189,0))),"AB",IF(AND(IF(AND(NOT(AND(AO189=1,AN189&lt;&gt;1)),ISNUMBER(AI189),AI189&lt;=T189),AU189,0)&gt;0,IF(AND(NOT(AND(AO189=1,AN189&lt;&gt;1)),ISNUMBER(AI189),AI189&lt;=T189),AU189,0)=MAX(IF(AND(NOT(AND(AO189=1,AN189&lt;&gt;1)),ISNUMBER(AG189),AG189&lt;=T189),AS189,0),IF(AND(NOT(AND(AO189=1,AN189&lt;&gt;1)),ISNUMBER(AH189),AH189&lt;=T189),AT189,0),IF(AND(NOT(AND(AO189=1,AN189&lt;&gt;1)),ISNUMBER(AI189),AI189&lt;=T189),AU189,0),IF(AND(ISNUMBER(AJ189),AJ189&lt;=T189),AV189,0))),"SC","Mag")))))))</f>
        <v/>
      </c>
    </row>
    <row r="190">
      <c r="A190" s="26" t="n">
        <v>185</v>
      </c>
      <c r="B190" s="27">
        <f>A190*10/60</f>
        <v/>
      </c>
      <c r="C190" s="22">
        <f>X189</f>
        <v/>
      </c>
      <c r="D190" s="27">
        <f>D189+W189</f>
        <v/>
      </c>
      <c r="E190" s="26">
        <f>E189+IF(U189="SW",1,0)</f>
        <v/>
      </c>
      <c r="F190" s="26">
        <f>F189+IF(U189="AB",1,0)</f>
        <v/>
      </c>
      <c r="G190" s="26">
        <f>G189+IF(U189="SC",1,0)</f>
        <v/>
      </c>
      <c r="H190" s="26">
        <f>H189+IF(U189="Mag",1,0)</f>
        <v/>
      </c>
      <c r="I190" s="26">
        <f>MAX(I189,IF(U189="OR",1,0))</f>
        <v/>
      </c>
      <c r="J190" s="26">
        <f>MAX(J189,IF(U189="HP",1,0))</f>
        <v/>
      </c>
      <c r="K190" s="26">
        <f>MAX(K189,IF(U189="FP",1,0))</f>
        <v/>
      </c>
      <c r="L190" s="26">
        <f>MAX(L189,IF(U189="transition",1,0))</f>
        <v/>
      </c>
      <c r="M190" s="28">
        <f>(Parameters!$B$9+(IF(E190=0,0,(Upgrades!$J$6+E190*Upgrades!$K$6)*POWER(Upgrades!$L$6,E190)))*(IF(Upgrades!$T$7="Solar Wind",POWER(Upgrades!$U$7,F190),1)*IF(Upgrades!$T$8="Solar Wind",POWER(Upgrades!$U$8,G190),1)*IF(Upgrades!$T$9="Solar Wind",POWER(Upgrades!$U$9,H190),1)*IF(Upgrades!$T$10="Solar Wind",POWER(Upgrades!$U$10,I190),1)*IF(Upgrades!$T$11="Solar Wind",POWER(Upgrades!$U$11,J190),1)*IF(Upgrades!$T$12="Solar Wind",POWER(Upgrades!$U$12,K190),1))+(IF(F190=0,0,(Upgrades!$J$7+F190*Upgrades!$K$7)*POWER(Upgrades!$L$7,F190)))*(IF(Upgrades!$T$6="Asteroid Belt",POWER(Upgrades!$U$6,E190),1)*IF(Upgrades!$T$8="Asteroid Belt",POWER(Upgrades!$U$8,G190),1)*IF(Upgrades!$T$9="Asteroid Belt",POWER(Upgrades!$U$9,H190),1)*IF(Upgrades!$T$10="Asteroid Belt",POWER(Upgrades!$U$10,I190),1)*IF(Upgrades!$T$11="Asteroid Belt",POWER(Upgrades!$U$11,J190),1)*IF(Upgrades!$T$12="Asteroid Belt",POWER(Upgrades!$U$12,K190),1))+(IF(G190=0,0,(Upgrades!$J$8+G190*Upgrades!$K$8)*POWER(Upgrades!$L$8,G190)))*(IF(Upgrades!$T$6="Stellar Coupling",POWER(Upgrades!$U$6,E190),1)*IF(Upgrades!$T$7="Stellar Coupling",POWER(Upgrades!$U$7,F190),1)*IF(Upgrades!$T$9="Stellar Coupling",POWER(Upgrades!$U$9,H190),1)*IF(Upgrades!$T$10="Stellar Coupling",POWER(Upgrades!$U$10,I190),1)*IF(Upgrades!$T$11="Stellar Coupling",POWER(Upgrades!$U$11,J190),1)*IF(Upgrades!$T$12="Stellar Coupling",POWER(Upgrades!$U$12,K190),1))+(IF(H190=0,0,(Upgrades!$J$9+H190*Upgrades!$K$9)*POWER(Upgrades!$L$9,H190)))*(IF(Upgrades!$T$6="Magnetosphere",POWER(Upgrades!$U$6,E190),1)*IF(Upgrades!$T$7="Magnetosphere",POWER(Upgrades!$U$7,F190),1)*IF(Upgrades!$T$8="Magnetosphere",POWER(Upgrades!$U$8,G190),1)*IF(Upgrades!$T$10="Magnetosphere",POWER(Upgrades!$U$10,I190),1)*IF(Upgrades!$T$11="Magnetosphere",POWER(Upgrades!$U$11,J190),1)*IF(Upgrades!$T$12="Magnetosphere",POWER(Upgrades!$U$12,K190),1))+(IF(I190=0,0,(Upgrades!$J$10+I190*Upgrades!$K$10)*POWER(Upgrades!$L$10,I190)))*(IF(Upgrades!$T$6="Orbital Resonance",POWER(Upgrades!$U$6,E190),1)*IF(Upgrades!$T$7="Orbital Resonance",POWER(Upgrades!$U$7,F190),1)*IF(Upgrades!$T$8="Orbital Resonance",POWER(Upgrades!$U$8,G190),1)*IF(Upgrades!$T$9="Orbital Resonance",POWER(Upgrades!$U$9,H190),1)*IF(Upgrades!$T$11="Orbital Resonance",POWER(Upgrades!$U$11,J190),1)*IF(Upgrades!$T$12="Orbital Resonance",POWER(Upgrades!$U$12,K190),1))+(IF(J190=0,0,(Upgrades!$J$11+J190*Upgrades!$K$11)*POWER(Upgrades!$L$11,J190)))*(IF(Upgrades!$T$6="Heliopause",POWER(Upgrades!$U$6,E190),1)*IF(Upgrades!$T$7="Heliopause",POWER(Upgrades!$U$7,F190),1)*IF(Upgrades!$T$8="Heliopause",POWER(Upgrades!$U$8,G190),1)*IF(Upgrades!$T$9="Heliopause",POWER(Upgrades!$U$9,H190),1)*IF(Upgrades!$T$10="Heliopause",POWER(Upgrades!$U$10,I190),1)*IF(Upgrades!$T$12="Heliopause",POWER(Upgrades!$U$12,K190),1))+(IF(K190=0,0,(Upgrades!$J$12+K190*Upgrades!$K$12)*POWER(Upgrades!$L$12,K190)))*(IF(Upgrades!$T$6="First Photons",POWER(Upgrades!$U$6,E190),1)*IF(Upgrades!$T$7="First Photons",POWER(Upgrades!$U$7,F190),1)*IF(Upgrades!$T$8="First Photons",POWER(Upgrades!$U$8,G190),1)*IF(Upgrades!$T$9="First Photons",POWER(Upgrades!$U$9,H190),1)*IF(Upgrades!$T$10="First Photons",POWER(Upgrades!$U$10,I190),1)*IF(Upgrades!$T$11="First Photons",POWER(Upgrades!$U$11,J190),1)))*POWER(Upgrades!$Q$6,E190)*POWER(Upgrades!$Q$7,F190)*POWER(Upgrades!$Q$8,G190)*POWER(Upgrades!$Q$9,H190)*POWER(Upgrades!$Q$10,I190)*POWER(Upgrades!$Q$11,J190)*POWER(Upgrades!$Q$12,K190)</f>
        <v/>
      </c>
      <c r="N190" s="28">
        <f>((IF(E190=0,0,(Upgrades!$G$6+E190*Upgrades!$H$6)*POWER(Upgrades!$I$6,E190)))*(IF(Upgrades!$T$7="Solar Wind",POWER(Upgrades!$U$7,F190),1)*IF(Upgrades!$T$8="Solar Wind",POWER(Upgrades!$U$8,G190),1)*IF(Upgrades!$T$9="Solar Wind",POWER(Upgrades!$U$9,H190),1)*IF(Upgrades!$T$10="Solar Wind",POWER(Upgrades!$U$10,I190),1)*IF(Upgrades!$T$11="Solar Wind",POWER(Upgrades!$U$11,J190),1)*IF(Upgrades!$T$12="Solar Wind",POWER(Upgrades!$U$12,K190),1))+(IF(F190=0,0,(Upgrades!$G$7+F190*Upgrades!$H$7)*POWER(Upgrades!$I$7,F190)))*(IF(Upgrades!$T$6="Asteroid Belt",POWER(Upgrades!$U$6,E190),1)*IF(Upgrades!$T$8="Asteroid Belt",POWER(Upgrades!$U$8,G190),1)*IF(Upgrades!$T$9="Asteroid Belt",POWER(Upgrades!$U$9,H190),1)*IF(Upgrades!$T$10="Asteroid Belt",POWER(Upgrades!$U$10,I190),1)*IF(Upgrades!$T$11="Asteroid Belt",POWER(Upgrades!$U$11,J190),1)*IF(Upgrades!$T$12="Asteroid Belt",POWER(Upgrades!$U$12,K190),1))+(IF(G190=0,0,(Upgrades!$G$8+G190*Upgrades!$H$8)*POWER(Upgrades!$I$8,G190)))*(IF(Upgrades!$T$6="Stellar Coupling",POWER(Upgrades!$U$6,E190),1)*IF(Upgrades!$T$7="Stellar Coupling",POWER(Upgrades!$U$7,F190),1)*IF(Upgrades!$T$9="Stellar Coupling",POWER(Upgrades!$U$9,H190),1)*IF(Upgrades!$T$10="Stellar Coupling",POWER(Upgrades!$U$10,I190),1)*IF(Upgrades!$T$11="Stellar Coupling",POWER(Upgrades!$U$11,J190),1)*IF(Upgrades!$T$12="Stellar Coupling",POWER(Upgrades!$U$12,K190),1))+(IF(H190=0,0,(Upgrades!$G$9+H190*Upgrades!$H$9)*POWER(Upgrades!$I$9,H190)))*(IF(Upgrades!$T$6="Magnetosphere",POWER(Upgrades!$U$6,E190),1)*IF(Upgrades!$T$7="Magnetosphere",POWER(Upgrades!$U$7,F190),1)*IF(Upgrades!$T$8="Magnetosphere",POWER(Upgrades!$U$8,G190),1)*IF(Upgrades!$T$10="Magnetosphere",POWER(Upgrades!$U$10,I190),1)*IF(Upgrades!$T$11="Magnetosphere",POWER(Upgrades!$U$11,J190),1)*IF(Upgrades!$T$12="Magnetosphere",POWER(Upgrades!$U$12,K190),1))+(IF(I190=0,0,(Upgrades!$G$10+I190*Upgrades!$H$10)*POWER(Upgrades!$I$10,I190)))*(IF(Upgrades!$T$6="Orbital Resonance",POWER(Upgrades!$U$6,E190),1)*IF(Upgrades!$T$7="Orbital Resonance",POWER(Upgrades!$U$7,F190),1)*IF(Upgrades!$T$8="Orbital Resonance",POWER(Upgrades!$U$8,G190),1)*IF(Upgrades!$T$9="Orbital Resonance",POWER(Upgrades!$U$9,H190),1)*IF(Upgrades!$T$11="Orbital Resonance",POWER(Upgrades!$U$11,J190),1)*IF(Upgrades!$T$12="Orbital Resonance",POWER(Upgrades!$U$12,K190),1))+(IF(J190=0,0,(Upgrades!$G$11+J190*Upgrades!$H$11)*POWER(Upgrades!$I$11,J190)))*(IF(Upgrades!$T$6="Heliopause",POWER(Upgrades!$U$6,E190),1)*IF(Upgrades!$T$7="Heliopause",POWER(Upgrades!$U$7,F190),1)*IF(Upgrades!$T$8="Heliopause",POWER(Upgrades!$U$8,G190),1)*IF(Upgrades!$T$9="Heliopause",POWER(Upgrades!$U$9,H190),1)*IF(Upgrades!$T$10="Heliopause",POWER(Upgrades!$U$10,I190),1)*IF(Upgrades!$T$12="Heliopause",POWER(Upgrades!$U$12,K190),1))+(IF(K190=0,0,(Upgrades!$G$12+K190*Upgrades!$H$12)*POWER(Upgrades!$I$12,K190)))*(IF(Upgrades!$T$6="First Photons",POWER(Upgrades!$U$6,E190),1)*IF(Upgrades!$T$7="First Photons",POWER(Upgrades!$U$7,F190),1)*IF(Upgrades!$T$8="First Photons",POWER(Upgrades!$U$8,G190),1)*IF(Upgrades!$T$9="First Photons",POWER(Upgrades!$U$9,H190),1)*IF(Upgrades!$T$10="First Photons",POWER(Upgrades!$U$10,I190),1)*IF(Upgrades!$T$11="First Photons",POWER(Upgrades!$U$11,J190),1)))*POWER(Upgrades!$P$6,E190)*POWER(Upgrades!$P$7,F190)*POWER(Upgrades!$P$8,G190)*POWER(Upgrades!$P$9,H190)*POWER(Upgrades!$P$10,I190)*POWER(Upgrades!$P$11,J190)*POWER(Upgrades!$P$12,K190)</f>
        <v/>
      </c>
      <c r="O190" s="28">
        <f>((IF(E190=0,0,(Upgrades!$M$6+E190*Upgrades!$N$6)*POWER(Upgrades!$O$6,E190)))*(IF(Upgrades!$T$7="Solar Wind",POWER(Upgrades!$U$7,F190),1)*IF(Upgrades!$T$8="Solar Wind",POWER(Upgrades!$U$8,G190),1)*IF(Upgrades!$T$9="Solar Wind",POWER(Upgrades!$U$9,H190),1)*IF(Upgrades!$T$10="Solar Wind",POWER(Upgrades!$U$10,I190),1)*IF(Upgrades!$T$11="Solar Wind",POWER(Upgrades!$U$11,J190),1)*IF(Upgrades!$T$12="Solar Wind",POWER(Upgrades!$U$12,K190),1))+(IF(F190=0,0,(Upgrades!$M$7+F190*Upgrades!$N$7)*POWER(Upgrades!$O$7,F190)))*(IF(Upgrades!$T$6="Asteroid Belt",POWER(Upgrades!$U$6,E190),1)*IF(Upgrades!$T$8="Asteroid Belt",POWER(Upgrades!$U$8,G190),1)*IF(Upgrades!$T$9="Asteroid Belt",POWER(Upgrades!$U$9,H190),1)*IF(Upgrades!$T$10="Asteroid Belt",POWER(Upgrades!$U$10,I190),1)*IF(Upgrades!$T$11="Asteroid Belt",POWER(Upgrades!$U$11,J190),1)*IF(Upgrades!$T$12="Asteroid Belt",POWER(Upgrades!$U$12,K190),1))+(IF(G190=0,0,(Upgrades!$M$8+G190*Upgrades!$N$8)*POWER(Upgrades!$O$8,G190)))*(IF(Upgrades!$T$6="Stellar Coupling",POWER(Upgrades!$U$6,E190),1)*IF(Upgrades!$T$7="Stellar Coupling",POWER(Upgrades!$U$7,F190),1)*IF(Upgrades!$T$9="Stellar Coupling",POWER(Upgrades!$U$9,H190),1)*IF(Upgrades!$T$10="Stellar Coupling",POWER(Upgrades!$U$10,I190),1)*IF(Upgrades!$T$11="Stellar Coupling",POWER(Upgrades!$U$11,J190),1)*IF(Upgrades!$T$12="Stellar Coupling",POWER(Upgrades!$U$12,K190),1))+(IF(H190=0,0,(Upgrades!$M$9+H190*Upgrades!$N$9)*POWER(Upgrades!$O$9,H190)))*(IF(Upgrades!$T$6="Magnetosphere",POWER(Upgrades!$U$6,E190),1)*IF(Upgrades!$T$7="Magnetosphere",POWER(Upgrades!$U$7,F190),1)*IF(Upgrades!$T$8="Magnetosphere",POWER(Upgrades!$U$8,G190),1)*IF(Upgrades!$T$10="Magnetosphere",POWER(Upgrades!$U$10,I190),1)*IF(Upgrades!$T$11="Magnetosphere",POWER(Upgrades!$U$11,J190),1)*IF(Upgrades!$T$12="Magnetosphere",POWER(Upgrades!$U$12,K190),1))+(IF(I190=0,0,(Upgrades!$M$10+I190*Upgrades!$N$10)*POWER(Upgrades!$O$10,I190)))*(IF(Upgrades!$T$6="Orbital Resonance",POWER(Upgrades!$U$6,E190),1)*IF(Upgrades!$T$7="Orbital Resonance",POWER(Upgrades!$U$7,F190),1)*IF(Upgrades!$T$8="Orbital Resonance",POWER(Upgrades!$U$8,G190),1)*IF(Upgrades!$T$9="Orbital Resonance",POWER(Upgrades!$U$9,H190),1)*IF(Upgrades!$T$11="Orbital Resonance",POWER(Upgrades!$U$11,J190),1)*IF(Upgrades!$T$12="Orbital Resonance",POWER(Upgrades!$U$12,K190),1))+(IF(J190=0,0,(Upgrades!$M$11+J190*Upgrades!$N$11)*POWER(Upgrades!$O$11,J190)))*(IF(Upgrades!$T$6="Heliopause",POWER(Upgrades!$U$6,E190),1)*IF(Upgrades!$T$7="Heliopause",POWER(Upgrades!$U$7,F190),1)*IF(Upgrades!$T$8="Heliopause",POWER(Upgrades!$U$8,G190),1)*IF(Upgrades!$T$9="Heliopause",POWER(Upgrades!$U$9,H190),1)*IF(Upgrades!$T$10="Heliopause",POWER(Upgrades!$U$10,I190),1)*IF(Upgrades!$T$12="Heliopause",POWER(Upgrades!$U$12,K190),1))+(IF(K190=0,0,(Upgrades!$M$12+K190*Upgrades!$N$12)*POWER(Upgrades!$O$12,K190)))*(IF(Upgrades!$T$6="First Photons",POWER(Upgrades!$U$6,E190),1)*IF(Upgrades!$T$7="First Photons",POWER(Upgrades!$U$7,F190),1)*IF(Upgrades!$T$8="First Photons",POWER(Upgrades!$U$8,G190),1)*IF(Upgrades!$T$9="First Photons",POWER(Upgrades!$U$9,H190),1)*IF(Upgrades!$T$10="First Photons",POWER(Upgrades!$U$10,I190),1)*IF(Upgrades!$T$11="First Photons",POWER(Upgrades!$U$11,J190),1)))*POWER(Upgrades!$R$6,E190)*POWER(Upgrades!$R$7,F190)*POWER(Upgrades!$R$8,G190)*POWER(Upgrades!$R$9,H190)*POWER(Upgrades!$R$10,I190)*POWER(Upgrades!$R$11,J190)*POWER(Upgrades!$R$12,K190)</f>
        <v/>
      </c>
      <c r="P190" s="27">
        <f>IF(L190=1,0,M190*Parameters!$B$10/60*Parameters!$B$11*10)</f>
        <v/>
      </c>
      <c r="Q190" s="27">
        <f>IF(L190=1,0,O190*M190*10)</f>
        <v/>
      </c>
      <c r="R190" s="27">
        <f>IF(L190=1,0,N190*10)</f>
        <v/>
      </c>
      <c r="S190" s="27">
        <f>P190+Q190+R190</f>
        <v/>
      </c>
      <c r="T190" s="22">
        <f>C190+S190</f>
        <v/>
      </c>
      <c r="U190" s="33">
        <f>AX190</f>
        <v/>
      </c>
      <c r="V190" s="22">
        <f>IF(U190="",0,IF(U190="transition",0,IF(U190="SW",AG190,IF(U190="AB",AH190,IF(U190="SC",AI190,IF(U190="Mag",AJ190,IF(U190="OR",AK190,IF(U190="HP",AL190,IF(U190="FP",AM190,0)))))))))</f>
        <v/>
      </c>
      <c r="W190" s="27">
        <f>IF(U190="OR",Upgrades!$F$10,IF(U190="HP",Upgrades!$F$11,IF(U190="transition",-Parameters!$B$18,0)))</f>
        <v/>
      </c>
      <c r="X190" s="22">
        <f>T190-V190</f>
        <v/>
      </c>
      <c r="Y190" s="30">
        <f>M190*Parameters!$B$10/60*Parameters!$B$11+O190*M190+N190</f>
        <v/>
      </c>
      <c r="Z190" s="34">
        <f>IF(U190="transition","→ Tier 2 (Stellar Neighborhood)",IF(U190="FP","First Photons — light begins, system quickens",IF(U190="HP","Heliopause acquired",IF(U190="OR","Orbital Resonance — passive multiplier active",IF(AND(AO190=1,L190=0,AN190&lt;&gt;1),"Cohesion ready (waiting on completionist upgrades)","")))))</f>
        <v/>
      </c>
      <c r="AA190" s="27">
        <f>(IF(E190=0,0,(Upgrades!$G$6+E190*Upgrades!$H$6)*POWER(Upgrades!$I$6,E190)))*(IF(Upgrades!$T$7="Solar Wind",POWER(Upgrades!$U$7,F190),1)*IF(Upgrades!$T$8="Solar Wind",POWER(Upgrades!$U$8,G190),1)*IF(Upgrades!$T$9="Solar Wind",POWER(Upgrades!$U$9,H190),1)*IF(Upgrades!$T$10="Solar Wind",POWER(Upgrades!$U$10,I190),1)*IF(Upgrades!$T$11="Solar Wind",POWER(Upgrades!$U$11,J190),1)*IF(Upgrades!$T$12="Solar Wind",POWER(Upgrades!$U$12,K190),1))*POWER(Upgrades!$P$6,E190)*POWER(Upgrades!$P$7,F190)*POWER(Upgrades!$P$8,G190)*POWER(Upgrades!$P$9,H190)*POWER(Upgrades!$P$10,I190)*POWER(Upgrades!$P$11,J190)*POWER(Upgrades!$P$12,K190)*60</f>
        <v/>
      </c>
      <c r="AB190" s="27">
        <f>(IF(F190=0,0,(Upgrades!$G$7+F190*Upgrades!$H$7)*POWER(Upgrades!$I$7,F190)))*(IF(Upgrades!$T$6="Asteroid Belt",POWER(Upgrades!$U$6,E190),1)*IF(Upgrades!$T$8="Asteroid Belt",POWER(Upgrades!$U$8,G190),1)*IF(Upgrades!$T$9="Asteroid Belt",POWER(Upgrades!$U$9,H190),1)*IF(Upgrades!$T$10="Asteroid Belt",POWER(Upgrades!$U$10,I190),1)*IF(Upgrades!$T$11="Asteroid Belt",POWER(Upgrades!$U$11,J190),1)*IF(Upgrades!$T$12="Asteroid Belt",POWER(Upgrades!$U$12,K190),1))*POWER(Upgrades!$P$6,E190)*POWER(Upgrades!$P$7,F190)*POWER(Upgrades!$P$8,G190)*POWER(Upgrades!$P$9,H190)*POWER(Upgrades!$P$10,I190)*POWER(Upgrades!$P$11,J190)*POWER(Upgrades!$P$12,K190)*60</f>
        <v/>
      </c>
      <c r="AC190" s="27">
        <f>(IF(G190=0,0,(Upgrades!$J$8+G190*Upgrades!$K$8)*POWER(Upgrades!$L$8,G190)))*(IF(Upgrades!$T$6="Stellar Coupling",POWER(Upgrades!$U$6,E190),1)*IF(Upgrades!$T$7="Stellar Coupling",POWER(Upgrades!$U$7,F190),1)*IF(Upgrades!$T$9="Stellar Coupling",POWER(Upgrades!$U$9,H190),1)*IF(Upgrades!$T$10="Stellar Coupling",POWER(Upgrades!$U$10,I190),1)*IF(Upgrades!$T$11="Stellar Coupling",POWER(Upgrades!$U$11,J190),1)*IF(Upgrades!$T$12="Stellar Coupling",POWER(Upgrades!$U$12,K190),1))*POWER(Upgrades!$Q$6,E190)*POWER(Upgrades!$Q$7,F190)*POWER(Upgrades!$Q$8,G190)*POWER(Upgrades!$Q$9,H190)*POWER(Upgrades!$Q$10,I190)*POWER(Upgrades!$Q$11,J190)*POWER(Upgrades!$Q$12,K190)*Parameters!$B$10*Parameters!$B$11</f>
        <v/>
      </c>
      <c r="AD190" s="27">
        <f>(IF(H190=0,0,(Upgrades!$G$9+H190*Upgrades!$H$9)*POWER(Upgrades!$I$9,H190)))*(IF(Upgrades!$T$6="Magnetosphere",POWER(Upgrades!$U$6,E190),1)*IF(Upgrades!$T$7="Magnetosphere",POWER(Upgrades!$U$7,F190),1)*IF(Upgrades!$T$8="Magnetosphere",POWER(Upgrades!$U$8,G190),1)*IF(Upgrades!$T$10="Magnetosphere",POWER(Upgrades!$U$10,I190),1)*IF(Upgrades!$T$11="Magnetosphere",POWER(Upgrades!$U$11,J190),1)*IF(Upgrades!$T$12="Magnetosphere",POWER(Upgrades!$U$12,K190),1))*POWER(Upgrades!$P$6,E190)*POWER(Upgrades!$P$7,F190)*POWER(Upgrades!$P$8,G190)*POWER(Upgrades!$P$9,H190)*POWER(Upgrades!$P$10,I190)*POWER(Upgrades!$P$11,J190)*POWER(Upgrades!$P$12,K190)*60</f>
        <v/>
      </c>
      <c r="AE190" s="27">
        <f>(IF(K190=0,0,(Upgrades!$G$12+K190*Upgrades!$H$12)*POWER(Upgrades!$I$12,K190)))*(IF(Upgrades!$T$6="First Photons",POWER(Upgrades!$U$6,E190),1)*IF(Upgrades!$T$7="First Photons",POWER(Upgrades!$U$7,F190),1)*IF(Upgrades!$T$8="First Photons",POWER(Upgrades!$U$8,G190),1)*IF(Upgrades!$T$9="First Photons",POWER(Upgrades!$U$9,H190),1)*IF(Upgrades!$T$10="First Photons",POWER(Upgrades!$U$10,I190),1)*IF(Upgrades!$T$11="First Photons",POWER(Upgrades!$U$11,J190),1))*POWER(Upgrades!$P$6,E190)*POWER(Upgrades!$P$7,F190)*POWER(Upgrades!$P$8,G190)*POWER(Upgrades!$P$9,H190)*POWER(Upgrades!$P$10,I190)*POWER(Upgrades!$P$11,J190)*POWER(Upgrades!$P$12,K190)*60</f>
        <v/>
      </c>
      <c r="AF190" s="27">
        <f>Parameters!$B$9*POWER(Upgrades!$Q$6,E190)*POWER(Upgrades!$Q$7,F190)*POWER(Upgrades!$Q$8,G190)*POWER(Upgrades!$Q$9,H190)*POWER(Upgrades!$Q$10,I190)*POWER(Upgrades!$Q$11,J190)*POWER(Upgrades!$Q$12,K190)*(Parameters!$B$10*Parameters!$B$11+O190*60)</f>
        <v/>
      </c>
      <c r="AG190" s="22">
        <f>IF(E190&gt;=Upgrades!$E$6,"",Upgrades!$C$6*POWER(Upgrades!$D$6,E190))</f>
        <v/>
      </c>
      <c r="AH190" s="22">
        <f>IF(F190&gt;=Upgrades!$E$7,"",Upgrades!$C$7*POWER(Upgrades!$D$7,F190))</f>
        <v/>
      </c>
      <c r="AI190" s="22">
        <f>IF(G190&gt;=Upgrades!$E$8,"",Upgrades!$C$8*POWER(Upgrades!$D$8,G190))</f>
        <v/>
      </c>
      <c r="AJ190" s="22">
        <f>IF(H190&gt;=Upgrades!$E$9,"",Upgrades!$C$9*POWER(Upgrades!$D$9,H190))</f>
        <v/>
      </c>
      <c r="AK190" s="22">
        <f>IF(I190&gt;=Upgrades!$E$10,"",Upgrades!$C$10*POWER(Upgrades!$D$10,I190))</f>
        <v/>
      </c>
      <c r="AL190" s="22">
        <f>IF(J190&gt;=Upgrades!$E$11,"",Upgrades!$C$11*POWER(Upgrades!$D$11,J190))</f>
        <v/>
      </c>
      <c r="AM190" s="22">
        <f>IF(K190&gt;=Upgrades!$E$12,"",Upgrades!$C$12*POWER(Upgrades!$D$12,K190))</f>
        <v/>
      </c>
      <c r="AN190" s="26">
        <f>IF(AND(D190&gt;=Parameters!$B$18,(H190&gt;=Upgrades!$E$9)*(K190&gt;=Upgrades!$E$12)=1,L190=0),1,"")</f>
        <v/>
      </c>
      <c r="AO190" s="26">
        <f>IF(AND(D190&gt;=Parameters!$B$18,L190=0),1,"")</f>
        <v/>
      </c>
      <c r="AP190" s="22">
        <f>MIN(IF(ISNUMBER(AK190),AK190,9E15),IF(ISNUMBER(AL190),AL190,9E15),IF(ISNUMBER(AM190),AM190,9E15))</f>
        <v/>
      </c>
      <c r="AQ190" s="22">
        <f>MIN(IF(ISNUMBER(AG190),AG190,9E15),IF(ISNUMBER(AH190),AH190,9E15),IF(ISNUMBER(AI190),AI190,9E15),IF(ISNUMBER(AJ190),AJ190,9E15))</f>
        <v/>
      </c>
      <c r="AR190" s="29">
        <f>IF(AW190&gt;Parameters!$B$21*(MAX(IF(AND(NOT(AND(AO190=1,AN190&lt;&gt;1)),ISNUMBER(AG190),AG190&lt;=T190),AS190,0),IF(AND(NOT(AND(AO190=1,AN190&lt;&gt;1)),ISNUMBER(AH190),AH190&lt;=T190),AT190,0),IF(AND(NOT(AND(AO190=1,AN190&lt;&gt;1)),ISNUMBER(AI190),AI190&lt;=T190),AU190,0),IF(AND(ISNUMBER(AJ190),AJ190&lt;=T190),AV190,0))),TRUE,FALSE)</f>
        <v/>
      </c>
      <c r="AS190" s="32">
        <f>IFERROR(Upgrades!$H$6*(POWER(Upgrades!$P$6,E190)*POWER(Upgrades!$P$7,F190)*POWER(Upgrades!$P$8,G190)*POWER(Upgrades!$P$9,H190)*POWER(Upgrades!$P$10,I190)*POWER(Upgrades!$P$11,J190)*POWER(Upgrades!$P$12,K190))*(IF(Upgrades!$T$7="Solar Wind",POWER(Upgrades!$U$7,F190),1)*IF(Upgrades!$T$8="Solar Wind",POWER(Upgrades!$U$8,G190),1)*IF(Upgrades!$T$9="Solar Wind",POWER(Upgrades!$U$9,H190),1)*IF(Upgrades!$T$10="Solar Wind",POWER(Upgrades!$U$10,I190),1)*IF(Upgrades!$T$11="Solar Wind",POWER(Upgrades!$U$11,J190),1)*IF(Upgrades!$T$12="Solar Wind",POWER(Upgrades!$U$12,K190),1))/AG190,0)</f>
        <v/>
      </c>
      <c r="AT190" s="32">
        <f>IFERROR(Upgrades!$H$7*(POWER(Upgrades!$P$6,E190)*POWER(Upgrades!$P$7,F190)*POWER(Upgrades!$P$8,G190)*POWER(Upgrades!$P$9,H190)*POWER(Upgrades!$P$10,I190)*POWER(Upgrades!$P$11,J190)*POWER(Upgrades!$P$12,K190))*(IF(Upgrades!$T$6="Asteroid Belt",POWER(Upgrades!$U$6,E190),1)*IF(Upgrades!$T$8="Asteroid Belt",POWER(Upgrades!$U$8,G190),1)*IF(Upgrades!$T$9="Asteroid Belt",POWER(Upgrades!$U$9,H190),1)*IF(Upgrades!$T$10="Asteroid Belt",POWER(Upgrades!$U$10,I190),1)*IF(Upgrades!$T$11="Asteroid Belt",POWER(Upgrades!$U$11,J190),1)*IF(Upgrades!$T$12="Asteroid Belt",POWER(Upgrades!$U$12,K190),1))/AH190,0)</f>
        <v/>
      </c>
      <c r="AU190" s="32">
        <f>IFERROR(Upgrades!$K$8*(POWER(Upgrades!$Q$6,E190)*POWER(Upgrades!$Q$7,F190)*POWER(Upgrades!$Q$8,G190)*POWER(Upgrades!$Q$9,H190)*POWER(Upgrades!$Q$10,I190)*POWER(Upgrades!$Q$11,J190)*POWER(Upgrades!$Q$12,K190))*(IF(Upgrades!$T$6="Stellar Coupling",POWER(Upgrades!$U$6,E190),1)*IF(Upgrades!$T$7="Stellar Coupling",POWER(Upgrades!$U$7,F190),1)*IF(Upgrades!$T$9="Stellar Coupling",POWER(Upgrades!$U$9,H190),1)*IF(Upgrades!$T$10="Stellar Coupling",POWER(Upgrades!$U$10,I190),1)*IF(Upgrades!$T$11="Stellar Coupling",POWER(Upgrades!$U$11,J190),1)*IF(Upgrades!$T$12="Stellar Coupling",POWER(Upgrades!$U$12,K190),1))*Parameters!$B$10*Parameters!$B$11/60/AI190,0)</f>
        <v/>
      </c>
      <c r="AV190" s="32">
        <f>IFERROR(Upgrades!$H$9*(POWER(Upgrades!$P$6,E190)*POWER(Upgrades!$P$7,F190)*POWER(Upgrades!$P$8,G190)*POWER(Upgrades!$P$9,H190)*POWER(Upgrades!$P$10,I190)*POWER(Upgrades!$P$11,J190)*POWER(Upgrades!$P$12,K190))*(IF(Upgrades!$T$6="Magnetosphere",POWER(Upgrades!$U$6,E190),1)*IF(Upgrades!$T$7="Magnetosphere",POWER(Upgrades!$U$7,F190),1)*IF(Upgrades!$T$8="Magnetosphere",POWER(Upgrades!$U$8,G190),1)*IF(Upgrades!$T$10="Magnetosphere",POWER(Upgrades!$U$10,I190),1)*IF(Upgrades!$T$11="Magnetosphere",POWER(Upgrades!$U$11,J190),1)*IF(Upgrades!$T$12="Magnetosphere",POWER(Upgrades!$U$12,K190),1))/AJ190,0)</f>
        <v/>
      </c>
      <c r="AW190" s="32">
        <f>MAX(IF(I190&gt;0,0,IFERROR(0.25*N190/Upgrades!$C$10,0)),IF(J190&gt;0,0,IFERROR(0.5*((IF(G190=0,0,(Upgrades!$J$8+G190*Upgrades!$K$8)*POWER(Upgrades!$L$8,G190)))*(IF(Upgrades!$T$6="Stellar Coupling",POWER(Upgrades!$U$6,E190),1)*IF(Upgrades!$T$7="Stellar Coupling",POWER(Upgrades!$U$7,F190),1)*IF(Upgrades!$T$9="Stellar Coupling",POWER(Upgrades!$U$9,H190),1)*IF(Upgrades!$T$10="Stellar Coupling",POWER(Upgrades!$U$10,I190),1)*IF(Upgrades!$T$11="Stellar Coupling",POWER(Upgrades!$U$11,J190),1)*IF(Upgrades!$T$12="Stellar Coupling",POWER(Upgrades!$U$12,K190),1))*(POWER(Upgrades!$Q$6,E190)*POWER(Upgrades!$Q$7,F190)*POWER(Upgrades!$Q$8,G190)*POWER(Upgrades!$Q$9,H190)*POWER(Upgrades!$Q$10,I190)*POWER(Upgrades!$Q$11,J190)*POWER(Upgrades!$Q$12,K190))*Parameters!$B$10*Parameters!$B$11/60)/Upgrades!$C$11,0)),IF(K190&gt;0,0,IFERROR((1.0*(POWER(Upgrades!$P$6,E190)*POWER(Upgrades!$P$7,F190)*POWER(Upgrades!$P$8,G190)*POWER(Upgrades!$P$9,H190)*POWER(Upgrades!$P$10,I190)*POWER(Upgrades!$P$11,J190)*POWER(Upgrades!$P$12,K190))+0.20*M190*Parameters!$B$10*Parameters!$B$11/60)/Upgrades!$C$12,0)),IF(AND(ISNUMBER(AG190),AG190&gt;T190),AS190,0),IF(AND(ISNUMBER(AH190),AH190&gt;T190),AT190,0),IF(AND(ISNUMBER(AI190),AI190&gt;T190),AU190,0),IF(AND(ISNUMBER(AJ190),AJ190&gt;T190),AV190,0))</f>
        <v/>
      </c>
      <c r="AX190" s="29">
        <f>IF(AN190=1,"transition",IF(MIN(IF(AND(I190=0,ISNUMBER(AK190),AK190&lt;=T190),AK190,9E15),IF(AND(J190=0,ISNUMBER(AL190),AL190&lt;=T190),AL190,9E15),IF(AND(K190=0,ISNUMBER(AM190),AM190&lt;=T190),AM190,9E15))&lt;9E15,IF(AND(AND(I190=0,ISNUMBER(AK190),AK190&lt;=T190),AK190=MIN(IF(AND(I190=0,ISNUMBER(AK190),AK190&lt;=T190),AK190,9E15),IF(AND(J190=0,ISNUMBER(AL190),AL190&lt;=T190),AL190,9E15),IF(AND(K190=0,ISNUMBER(AM190),AM190&lt;=T190),AM190,9E15))),"OR",IF(AND(AND(J190=0,ISNUMBER(AL190),AL190&lt;=T190),AL190=MIN(IF(AND(I190=0,ISNUMBER(AK190),AK190&lt;=T190),AK190,9E15),IF(AND(J190=0,ISNUMBER(AL190),AL190&lt;=T190),AL190,9E15),IF(AND(K190=0,ISNUMBER(AM190),AM190&lt;=T190),AM190,9E15))),"HP","FP")),IF(AR190=TRUE,"",IF(MAX(IF(AND(NOT(AND(AO190=1,AN190&lt;&gt;1)),ISNUMBER(AG190),AG190&lt;=T190),AS190,0),IF(AND(NOT(AND(AO190=1,AN190&lt;&gt;1)),ISNUMBER(AH190),AH190&lt;=T190),AT190,0),IF(AND(NOT(AND(AO190=1,AN190&lt;&gt;1)),ISNUMBER(AI190),AI190&lt;=T190),AU190,0),IF(AND(ISNUMBER(AJ190),AJ190&lt;=T190),AV190,0))&lt;=0,"",IF(AND(IF(AND(NOT(AND(AO190=1,AN190&lt;&gt;1)),ISNUMBER(AG190),AG190&lt;=T190),AS190,0)&gt;0,IF(AND(NOT(AND(AO190=1,AN190&lt;&gt;1)),ISNUMBER(AG190),AG190&lt;=T190),AS190,0)=MAX(IF(AND(NOT(AND(AO190=1,AN190&lt;&gt;1)),ISNUMBER(AG190),AG190&lt;=T190),AS190,0),IF(AND(NOT(AND(AO190=1,AN190&lt;&gt;1)),ISNUMBER(AH190),AH190&lt;=T190),AT190,0),IF(AND(NOT(AND(AO190=1,AN190&lt;&gt;1)),ISNUMBER(AI190),AI190&lt;=T190),AU190,0),IF(AND(ISNUMBER(AJ190),AJ190&lt;=T190),AV190,0))),"SW",IF(AND(IF(AND(NOT(AND(AO190=1,AN190&lt;&gt;1)),ISNUMBER(AH190),AH190&lt;=T190),AT190,0)&gt;0,IF(AND(NOT(AND(AO190=1,AN190&lt;&gt;1)),ISNUMBER(AH190),AH190&lt;=T190),AT190,0)=MAX(IF(AND(NOT(AND(AO190=1,AN190&lt;&gt;1)),ISNUMBER(AG190),AG190&lt;=T190),AS190,0),IF(AND(NOT(AND(AO190=1,AN190&lt;&gt;1)),ISNUMBER(AH190),AH190&lt;=T190),AT190,0),IF(AND(NOT(AND(AO190=1,AN190&lt;&gt;1)),ISNUMBER(AI190),AI190&lt;=T190),AU190,0),IF(AND(ISNUMBER(AJ190),AJ190&lt;=T190),AV190,0))),"AB",IF(AND(IF(AND(NOT(AND(AO190=1,AN190&lt;&gt;1)),ISNUMBER(AI190),AI190&lt;=T190),AU190,0)&gt;0,IF(AND(NOT(AND(AO190=1,AN190&lt;&gt;1)),ISNUMBER(AI190),AI190&lt;=T190),AU190,0)=MAX(IF(AND(NOT(AND(AO190=1,AN190&lt;&gt;1)),ISNUMBER(AG190),AG190&lt;=T190),AS190,0),IF(AND(NOT(AND(AO190=1,AN190&lt;&gt;1)),ISNUMBER(AH190),AH190&lt;=T190),AT190,0),IF(AND(NOT(AND(AO190=1,AN190&lt;&gt;1)),ISNUMBER(AI190),AI190&lt;=T190),AU190,0),IF(AND(ISNUMBER(AJ190),AJ190&lt;=T190),AV190,0))),"SC","Mag")))))))</f>
        <v/>
      </c>
    </row>
    <row r="191">
      <c r="A191" s="26" t="n">
        <v>186</v>
      </c>
      <c r="B191" s="27">
        <f>A191*10/60</f>
        <v/>
      </c>
      <c r="C191" s="22">
        <f>X190</f>
        <v/>
      </c>
      <c r="D191" s="27">
        <f>D190+W190</f>
        <v/>
      </c>
      <c r="E191" s="26">
        <f>E190+IF(U190="SW",1,0)</f>
        <v/>
      </c>
      <c r="F191" s="26">
        <f>F190+IF(U190="AB",1,0)</f>
        <v/>
      </c>
      <c r="G191" s="26">
        <f>G190+IF(U190="SC",1,0)</f>
        <v/>
      </c>
      <c r="H191" s="26">
        <f>H190+IF(U190="Mag",1,0)</f>
        <v/>
      </c>
      <c r="I191" s="26">
        <f>MAX(I190,IF(U190="OR",1,0))</f>
        <v/>
      </c>
      <c r="J191" s="26">
        <f>MAX(J190,IF(U190="HP",1,0))</f>
        <v/>
      </c>
      <c r="K191" s="26">
        <f>MAX(K190,IF(U190="FP",1,0))</f>
        <v/>
      </c>
      <c r="L191" s="26">
        <f>MAX(L190,IF(U190="transition",1,0))</f>
        <v/>
      </c>
      <c r="M191" s="28">
        <f>(Parameters!$B$9+(IF(E191=0,0,(Upgrades!$J$6+E191*Upgrades!$K$6)*POWER(Upgrades!$L$6,E191)))*(IF(Upgrades!$T$7="Solar Wind",POWER(Upgrades!$U$7,F191),1)*IF(Upgrades!$T$8="Solar Wind",POWER(Upgrades!$U$8,G191),1)*IF(Upgrades!$T$9="Solar Wind",POWER(Upgrades!$U$9,H191),1)*IF(Upgrades!$T$10="Solar Wind",POWER(Upgrades!$U$10,I191),1)*IF(Upgrades!$T$11="Solar Wind",POWER(Upgrades!$U$11,J191),1)*IF(Upgrades!$T$12="Solar Wind",POWER(Upgrades!$U$12,K191),1))+(IF(F191=0,0,(Upgrades!$J$7+F191*Upgrades!$K$7)*POWER(Upgrades!$L$7,F191)))*(IF(Upgrades!$T$6="Asteroid Belt",POWER(Upgrades!$U$6,E191),1)*IF(Upgrades!$T$8="Asteroid Belt",POWER(Upgrades!$U$8,G191),1)*IF(Upgrades!$T$9="Asteroid Belt",POWER(Upgrades!$U$9,H191),1)*IF(Upgrades!$T$10="Asteroid Belt",POWER(Upgrades!$U$10,I191),1)*IF(Upgrades!$T$11="Asteroid Belt",POWER(Upgrades!$U$11,J191),1)*IF(Upgrades!$T$12="Asteroid Belt",POWER(Upgrades!$U$12,K191),1))+(IF(G191=0,0,(Upgrades!$J$8+G191*Upgrades!$K$8)*POWER(Upgrades!$L$8,G191)))*(IF(Upgrades!$T$6="Stellar Coupling",POWER(Upgrades!$U$6,E191),1)*IF(Upgrades!$T$7="Stellar Coupling",POWER(Upgrades!$U$7,F191),1)*IF(Upgrades!$T$9="Stellar Coupling",POWER(Upgrades!$U$9,H191),1)*IF(Upgrades!$T$10="Stellar Coupling",POWER(Upgrades!$U$10,I191),1)*IF(Upgrades!$T$11="Stellar Coupling",POWER(Upgrades!$U$11,J191),1)*IF(Upgrades!$T$12="Stellar Coupling",POWER(Upgrades!$U$12,K191),1))+(IF(H191=0,0,(Upgrades!$J$9+H191*Upgrades!$K$9)*POWER(Upgrades!$L$9,H191)))*(IF(Upgrades!$T$6="Magnetosphere",POWER(Upgrades!$U$6,E191),1)*IF(Upgrades!$T$7="Magnetosphere",POWER(Upgrades!$U$7,F191),1)*IF(Upgrades!$T$8="Magnetosphere",POWER(Upgrades!$U$8,G191),1)*IF(Upgrades!$T$10="Magnetosphere",POWER(Upgrades!$U$10,I191),1)*IF(Upgrades!$T$11="Magnetosphere",POWER(Upgrades!$U$11,J191),1)*IF(Upgrades!$T$12="Magnetosphere",POWER(Upgrades!$U$12,K191),1))+(IF(I191=0,0,(Upgrades!$J$10+I191*Upgrades!$K$10)*POWER(Upgrades!$L$10,I191)))*(IF(Upgrades!$T$6="Orbital Resonance",POWER(Upgrades!$U$6,E191),1)*IF(Upgrades!$T$7="Orbital Resonance",POWER(Upgrades!$U$7,F191),1)*IF(Upgrades!$T$8="Orbital Resonance",POWER(Upgrades!$U$8,G191),1)*IF(Upgrades!$T$9="Orbital Resonance",POWER(Upgrades!$U$9,H191),1)*IF(Upgrades!$T$11="Orbital Resonance",POWER(Upgrades!$U$11,J191),1)*IF(Upgrades!$T$12="Orbital Resonance",POWER(Upgrades!$U$12,K191),1))+(IF(J191=0,0,(Upgrades!$J$11+J191*Upgrades!$K$11)*POWER(Upgrades!$L$11,J191)))*(IF(Upgrades!$T$6="Heliopause",POWER(Upgrades!$U$6,E191),1)*IF(Upgrades!$T$7="Heliopause",POWER(Upgrades!$U$7,F191),1)*IF(Upgrades!$T$8="Heliopause",POWER(Upgrades!$U$8,G191),1)*IF(Upgrades!$T$9="Heliopause",POWER(Upgrades!$U$9,H191),1)*IF(Upgrades!$T$10="Heliopause",POWER(Upgrades!$U$10,I191),1)*IF(Upgrades!$T$12="Heliopause",POWER(Upgrades!$U$12,K191),1))+(IF(K191=0,0,(Upgrades!$J$12+K191*Upgrades!$K$12)*POWER(Upgrades!$L$12,K191)))*(IF(Upgrades!$T$6="First Photons",POWER(Upgrades!$U$6,E191),1)*IF(Upgrades!$T$7="First Photons",POWER(Upgrades!$U$7,F191),1)*IF(Upgrades!$T$8="First Photons",POWER(Upgrades!$U$8,G191),1)*IF(Upgrades!$T$9="First Photons",POWER(Upgrades!$U$9,H191),1)*IF(Upgrades!$T$10="First Photons",POWER(Upgrades!$U$10,I191),1)*IF(Upgrades!$T$11="First Photons",POWER(Upgrades!$U$11,J191),1)))*POWER(Upgrades!$Q$6,E191)*POWER(Upgrades!$Q$7,F191)*POWER(Upgrades!$Q$8,G191)*POWER(Upgrades!$Q$9,H191)*POWER(Upgrades!$Q$10,I191)*POWER(Upgrades!$Q$11,J191)*POWER(Upgrades!$Q$12,K191)</f>
        <v/>
      </c>
      <c r="N191" s="28">
        <f>((IF(E191=0,0,(Upgrades!$G$6+E191*Upgrades!$H$6)*POWER(Upgrades!$I$6,E191)))*(IF(Upgrades!$T$7="Solar Wind",POWER(Upgrades!$U$7,F191),1)*IF(Upgrades!$T$8="Solar Wind",POWER(Upgrades!$U$8,G191),1)*IF(Upgrades!$T$9="Solar Wind",POWER(Upgrades!$U$9,H191),1)*IF(Upgrades!$T$10="Solar Wind",POWER(Upgrades!$U$10,I191),1)*IF(Upgrades!$T$11="Solar Wind",POWER(Upgrades!$U$11,J191),1)*IF(Upgrades!$T$12="Solar Wind",POWER(Upgrades!$U$12,K191),1))+(IF(F191=0,0,(Upgrades!$G$7+F191*Upgrades!$H$7)*POWER(Upgrades!$I$7,F191)))*(IF(Upgrades!$T$6="Asteroid Belt",POWER(Upgrades!$U$6,E191),1)*IF(Upgrades!$T$8="Asteroid Belt",POWER(Upgrades!$U$8,G191),1)*IF(Upgrades!$T$9="Asteroid Belt",POWER(Upgrades!$U$9,H191),1)*IF(Upgrades!$T$10="Asteroid Belt",POWER(Upgrades!$U$10,I191),1)*IF(Upgrades!$T$11="Asteroid Belt",POWER(Upgrades!$U$11,J191),1)*IF(Upgrades!$T$12="Asteroid Belt",POWER(Upgrades!$U$12,K191),1))+(IF(G191=0,0,(Upgrades!$G$8+G191*Upgrades!$H$8)*POWER(Upgrades!$I$8,G191)))*(IF(Upgrades!$T$6="Stellar Coupling",POWER(Upgrades!$U$6,E191),1)*IF(Upgrades!$T$7="Stellar Coupling",POWER(Upgrades!$U$7,F191),1)*IF(Upgrades!$T$9="Stellar Coupling",POWER(Upgrades!$U$9,H191),1)*IF(Upgrades!$T$10="Stellar Coupling",POWER(Upgrades!$U$10,I191),1)*IF(Upgrades!$T$11="Stellar Coupling",POWER(Upgrades!$U$11,J191),1)*IF(Upgrades!$T$12="Stellar Coupling",POWER(Upgrades!$U$12,K191),1))+(IF(H191=0,0,(Upgrades!$G$9+H191*Upgrades!$H$9)*POWER(Upgrades!$I$9,H191)))*(IF(Upgrades!$T$6="Magnetosphere",POWER(Upgrades!$U$6,E191),1)*IF(Upgrades!$T$7="Magnetosphere",POWER(Upgrades!$U$7,F191),1)*IF(Upgrades!$T$8="Magnetosphere",POWER(Upgrades!$U$8,G191),1)*IF(Upgrades!$T$10="Magnetosphere",POWER(Upgrades!$U$10,I191),1)*IF(Upgrades!$T$11="Magnetosphere",POWER(Upgrades!$U$11,J191),1)*IF(Upgrades!$T$12="Magnetosphere",POWER(Upgrades!$U$12,K191),1))+(IF(I191=0,0,(Upgrades!$G$10+I191*Upgrades!$H$10)*POWER(Upgrades!$I$10,I191)))*(IF(Upgrades!$T$6="Orbital Resonance",POWER(Upgrades!$U$6,E191),1)*IF(Upgrades!$T$7="Orbital Resonance",POWER(Upgrades!$U$7,F191),1)*IF(Upgrades!$T$8="Orbital Resonance",POWER(Upgrades!$U$8,G191),1)*IF(Upgrades!$T$9="Orbital Resonance",POWER(Upgrades!$U$9,H191),1)*IF(Upgrades!$T$11="Orbital Resonance",POWER(Upgrades!$U$11,J191),1)*IF(Upgrades!$T$12="Orbital Resonance",POWER(Upgrades!$U$12,K191),1))+(IF(J191=0,0,(Upgrades!$G$11+J191*Upgrades!$H$11)*POWER(Upgrades!$I$11,J191)))*(IF(Upgrades!$T$6="Heliopause",POWER(Upgrades!$U$6,E191),1)*IF(Upgrades!$T$7="Heliopause",POWER(Upgrades!$U$7,F191),1)*IF(Upgrades!$T$8="Heliopause",POWER(Upgrades!$U$8,G191),1)*IF(Upgrades!$T$9="Heliopause",POWER(Upgrades!$U$9,H191),1)*IF(Upgrades!$T$10="Heliopause",POWER(Upgrades!$U$10,I191),1)*IF(Upgrades!$T$12="Heliopause",POWER(Upgrades!$U$12,K191),1))+(IF(K191=0,0,(Upgrades!$G$12+K191*Upgrades!$H$12)*POWER(Upgrades!$I$12,K191)))*(IF(Upgrades!$T$6="First Photons",POWER(Upgrades!$U$6,E191),1)*IF(Upgrades!$T$7="First Photons",POWER(Upgrades!$U$7,F191),1)*IF(Upgrades!$T$8="First Photons",POWER(Upgrades!$U$8,G191),1)*IF(Upgrades!$T$9="First Photons",POWER(Upgrades!$U$9,H191),1)*IF(Upgrades!$T$10="First Photons",POWER(Upgrades!$U$10,I191),1)*IF(Upgrades!$T$11="First Photons",POWER(Upgrades!$U$11,J191),1)))*POWER(Upgrades!$P$6,E191)*POWER(Upgrades!$P$7,F191)*POWER(Upgrades!$P$8,G191)*POWER(Upgrades!$P$9,H191)*POWER(Upgrades!$P$10,I191)*POWER(Upgrades!$P$11,J191)*POWER(Upgrades!$P$12,K191)</f>
        <v/>
      </c>
      <c r="O191" s="28">
        <f>((IF(E191=0,0,(Upgrades!$M$6+E191*Upgrades!$N$6)*POWER(Upgrades!$O$6,E191)))*(IF(Upgrades!$T$7="Solar Wind",POWER(Upgrades!$U$7,F191),1)*IF(Upgrades!$T$8="Solar Wind",POWER(Upgrades!$U$8,G191),1)*IF(Upgrades!$T$9="Solar Wind",POWER(Upgrades!$U$9,H191),1)*IF(Upgrades!$T$10="Solar Wind",POWER(Upgrades!$U$10,I191),1)*IF(Upgrades!$T$11="Solar Wind",POWER(Upgrades!$U$11,J191),1)*IF(Upgrades!$T$12="Solar Wind",POWER(Upgrades!$U$12,K191),1))+(IF(F191=0,0,(Upgrades!$M$7+F191*Upgrades!$N$7)*POWER(Upgrades!$O$7,F191)))*(IF(Upgrades!$T$6="Asteroid Belt",POWER(Upgrades!$U$6,E191),1)*IF(Upgrades!$T$8="Asteroid Belt",POWER(Upgrades!$U$8,G191),1)*IF(Upgrades!$T$9="Asteroid Belt",POWER(Upgrades!$U$9,H191),1)*IF(Upgrades!$T$10="Asteroid Belt",POWER(Upgrades!$U$10,I191),1)*IF(Upgrades!$T$11="Asteroid Belt",POWER(Upgrades!$U$11,J191),1)*IF(Upgrades!$T$12="Asteroid Belt",POWER(Upgrades!$U$12,K191),1))+(IF(G191=0,0,(Upgrades!$M$8+G191*Upgrades!$N$8)*POWER(Upgrades!$O$8,G191)))*(IF(Upgrades!$T$6="Stellar Coupling",POWER(Upgrades!$U$6,E191),1)*IF(Upgrades!$T$7="Stellar Coupling",POWER(Upgrades!$U$7,F191),1)*IF(Upgrades!$T$9="Stellar Coupling",POWER(Upgrades!$U$9,H191),1)*IF(Upgrades!$T$10="Stellar Coupling",POWER(Upgrades!$U$10,I191),1)*IF(Upgrades!$T$11="Stellar Coupling",POWER(Upgrades!$U$11,J191),1)*IF(Upgrades!$T$12="Stellar Coupling",POWER(Upgrades!$U$12,K191),1))+(IF(H191=0,0,(Upgrades!$M$9+H191*Upgrades!$N$9)*POWER(Upgrades!$O$9,H191)))*(IF(Upgrades!$T$6="Magnetosphere",POWER(Upgrades!$U$6,E191),1)*IF(Upgrades!$T$7="Magnetosphere",POWER(Upgrades!$U$7,F191),1)*IF(Upgrades!$T$8="Magnetosphere",POWER(Upgrades!$U$8,G191),1)*IF(Upgrades!$T$10="Magnetosphere",POWER(Upgrades!$U$10,I191),1)*IF(Upgrades!$T$11="Magnetosphere",POWER(Upgrades!$U$11,J191),1)*IF(Upgrades!$T$12="Magnetosphere",POWER(Upgrades!$U$12,K191),1))+(IF(I191=0,0,(Upgrades!$M$10+I191*Upgrades!$N$10)*POWER(Upgrades!$O$10,I191)))*(IF(Upgrades!$T$6="Orbital Resonance",POWER(Upgrades!$U$6,E191),1)*IF(Upgrades!$T$7="Orbital Resonance",POWER(Upgrades!$U$7,F191),1)*IF(Upgrades!$T$8="Orbital Resonance",POWER(Upgrades!$U$8,G191),1)*IF(Upgrades!$T$9="Orbital Resonance",POWER(Upgrades!$U$9,H191),1)*IF(Upgrades!$T$11="Orbital Resonance",POWER(Upgrades!$U$11,J191),1)*IF(Upgrades!$T$12="Orbital Resonance",POWER(Upgrades!$U$12,K191),1))+(IF(J191=0,0,(Upgrades!$M$11+J191*Upgrades!$N$11)*POWER(Upgrades!$O$11,J191)))*(IF(Upgrades!$T$6="Heliopause",POWER(Upgrades!$U$6,E191),1)*IF(Upgrades!$T$7="Heliopause",POWER(Upgrades!$U$7,F191),1)*IF(Upgrades!$T$8="Heliopause",POWER(Upgrades!$U$8,G191),1)*IF(Upgrades!$T$9="Heliopause",POWER(Upgrades!$U$9,H191),1)*IF(Upgrades!$T$10="Heliopause",POWER(Upgrades!$U$10,I191),1)*IF(Upgrades!$T$12="Heliopause",POWER(Upgrades!$U$12,K191),1))+(IF(K191=0,0,(Upgrades!$M$12+K191*Upgrades!$N$12)*POWER(Upgrades!$O$12,K191)))*(IF(Upgrades!$T$6="First Photons",POWER(Upgrades!$U$6,E191),1)*IF(Upgrades!$T$7="First Photons",POWER(Upgrades!$U$7,F191),1)*IF(Upgrades!$T$8="First Photons",POWER(Upgrades!$U$8,G191),1)*IF(Upgrades!$T$9="First Photons",POWER(Upgrades!$U$9,H191),1)*IF(Upgrades!$T$10="First Photons",POWER(Upgrades!$U$10,I191),1)*IF(Upgrades!$T$11="First Photons",POWER(Upgrades!$U$11,J191),1)))*POWER(Upgrades!$R$6,E191)*POWER(Upgrades!$R$7,F191)*POWER(Upgrades!$R$8,G191)*POWER(Upgrades!$R$9,H191)*POWER(Upgrades!$R$10,I191)*POWER(Upgrades!$R$11,J191)*POWER(Upgrades!$R$12,K191)</f>
        <v/>
      </c>
      <c r="P191" s="27">
        <f>IF(L191=1,0,M191*Parameters!$B$10/60*Parameters!$B$11*10)</f>
        <v/>
      </c>
      <c r="Q191" s="27">
        <f>IF(L191=1,0,O191*M191*10)</f>
        <v/>
      </c>
      <c r="R191" s="27">
        <f>IF(L191=1,0,N191*10)</f>
        <v/>
      </c>
      <c r="S191" s="27">
        <f>P191+Q191+R191</f>
        <v/>
      </c>
      <c r="T191" s="22">
        <f>C191+S191</f>
        <v/>
      </c>
      <c r="U191" s="33">
        <f>AX191</f>
        <v/>
      </c>
      <c r="V191" s="22">
        <f>IF(U191="",0,IF(U191="transition",0,IF(U191="SW",AG191,IF(U191="AB",AH191,IF(U191="SC",AI191,IF(U191="Mag",AJ191,IF(U191="OR",AK191,IF(U191="HP",AL191,IF(U191="FP",AM191,0)))))))))</f>
        <v/>
      </c>
      <c r="W191" s="27">
        <f>IF(U191="OR",Upgrades!$F$10,IF(U191="HP",Upgrades!$F$11,IF(U191="transition",-Parameters!$B$18,0)))</f>
        <v/>
      </c>
      <c r="X191" s="22">
        <f>T191-V191</f>
        <v/>
      </c>
      <c r="Y191" s="30">
        <f>M191*Parameters!$B$10/60*Parameters!$B$11+O191*M191+N191</f>
        <v/>
      </c>
      <c r="Z191" s="34">
        <f>IF(U191="transition","→ Tier 2 (Stellar Neighborhood)",IF(U191="FP","First Photons — light begins, system quickens",IF(U191="HP","Heliopause acquired",IF(U191="OR","Orbital Resonance — passive multiplier active",IF(AND(AO191=1,L191=0,AN191&lt;&gt;1),"Cohesion ready (waiting on completionist upgrades)","")))))</f>
        <v/>
      </c>
      <c r="AA191" s="27">
        <f>(IF(E191=0,0,(Upgrades!$G$6+E191*Upgrades!$H$6)*POWER(Upgrades!$I$6,E191)))*(IF(Upgrades!$T$7="Solar Wind",POWER(Upgrades!$U$7,F191),1)*IF(Upgrades!$T$8="Solar Wind",POWER(Upgrades!$U$8,G191),1)*IF(Upgrades!$T$9="Solar Wind",POWER(Upgrades!$U$9,H191),1)*IF(Upgrades!$T$10="Solar Wind",POWER(Upgrades!$U$10,I191),1)*IF(Upgrades!$T$11="Solar Wind",POWER(Upgrades!$U$11,J191),1)*IF(Upgrades!$T$12="Solar Wind",POWER(Upgrades!$U$12,K191),1))*POWER(Upgrades!$P$6,E191)*POWER(Upgrades!$P$7,F191)*POWER(Upgrades!$P$8,G191)*POWER(Upgrades!$P$9,H191)*POWER(Upgrades!$P$10,I191)*POWER(Upgrades!$P$11,J191)*POWER(Upgrades!$P$12,K191)*60</f>
        <v/>
      </c>
      <c r="AB191" s="27">
        <f>(IF(F191=0,0,(Upgrades!$G$7+F191*Upgrades!$H$7)*POWER(Upgrades!$I$7,F191)))*(IF(Upgrades!$T$6="Asteroid Belt",POWER(Upgrades!$U$6,E191),1)*IF(Upgrades!$T$8="Asteroid Belt",POWER(Upgrades!$U$8,G191),1)*IF(Upgrades!$T$9="Asteroid Belt",POWER(Upgrades!$U$9,H191),1)*IF(Upgrades!$T$10="Asteroid Belt",POWER(Upgrades!$U$10,I191),1)*IF(Upgrades!$T$11="Asteroid Belt",POWER(Upgrades!$U$11,J191),1)*IF(Upgrades!$T$12="Asteroid Belt",POWER(Upgrades!$U$12,K191),1))*POWER(Upgrades!$P$6,E191)*POWER(Upgrades!$P$7,F191)*POWER(Upgrades!$P$8,G191)*POWER(Upgrades!$P$9,H191)*POWER(Upgrades!$P$10,I191)*POWER(Upgrades!$P$11,J191)*POWER(Upgrades!$P$12,K191)*60</f>
        <v/>
      </c>
      <c r="AC191" s="27">
        <f>(IF(G191=0,0,(Upgrades!$J$8+G191*Upgrades!$K$8)*POWER(Upgrades!$L$8,G191)))*(IF(Upgrades!$T$6="Stellar Coupling",POWER(Upgrades!$U$6,E191),1)*IF(Upgrades!$T$7="Stellar Coupling",POWER(Upgrades!$U$7,F191),1)*IF(Upgrades!$T$9="Stellar Coupling",POWER(Upgrades!$U$9,H191),1)*IF(Upgrades!$T$10="Stellar Coupling",POWER(Upgrades!$U$10,I191),1)*IF(Upgrades!$T$11="Stellar Coupling",POWER(Upgrades!$U$11,J191),1)*IF(Upgrades!$T$12="Stellar Coupling",POWER(Upgrades!$U$12,K191),1))*POWER(Upgrades!$Q$6,E191)*POWER(Upgrades!$Q$7,F191)*POWER(Upgrades!$Q$8,G191)*POWER(Upgrades!$Q$9,H191)*POWER(Upgrades!$Q$10,I191)*POWER(Upgrades!$Q$11,J191)*POWER(Upgrades!$Q$12,K191)*Parameters!$B$10*Parameters!$B$11</f>
        <v/>
      </c>
      <c r="AD191" s="27">
        <f>(IF(H191=0,0,(Upgrades!$G$9+H191*Upgrades!$H$9)*POWER(Upgrades!$I$9,H191)))*(IF(Upgrades!$T$6="Magnetosphere",POWER(Upgrades!$U$6,E191),1)*IF(Upgrades!$T$7="Magnetosphere",POWER(Upgrades!$U$7,F191),1)*IF(Upgrades!$T$8="Magnetosphere",POWER(Upgrades!$U$8,G191),1)*IF(Upgrades!$T$10="Magnetosphere",POWER(Upgrades!$U$10,I191),1)*IF(Upgrades!$T$11="Magnetosphere",POWER(Upgrades!$U$11,J191),1)*IF(Upgrades!$T$12="Magnetosphere",POWER(Upgrades!$U$12,K191),1))*POWER(Upgrades!$P$6,E191)*POWER(Upgrades!$P$7,F191)*POWER(Upgrades!$P$8,G191)*POWER(Upgrades!$P$9,H191)*POWER(Upgrades!$P$10,I191)*POWER(Upgrades!$P$11,J191)*POWER(Upgrades!$P$12,K191)*60</f>
        <v/>
      </c>
      <c r="AE191" s="27">
        <f>(IF(K191=0,0,(Upgrades!$G$12+K191*Upgrades!$H$12)*POWER(Upgrades!$I$12,K191)))*(IF(Upgrades!$T$6="First Photons",POWER(Upgrades!$U$6,E191),1)*IF(Upgrades!$T$7="First Photons",POWER(Upgrades!$U$7,F191),1)*IF(Upgrades!$T$8="First Photons",POWER(Upgrades!$U$8,G191),1)*IF(Upgrades!$T$9="First Photons",POWER(Upgrades!$U$9,H191),1)*IF(Upgrades!$T$10="First Photons",POWER(Upgrades!$U$10,I191),1)*IF(Upgrades!$T$11="First Photons",POWER(Upgrades!$U$11,J191),1))*POWER(Upgrades!$P$6,E191)*POWER(Upgrades!$P$7,F191)*POWER(Upgrades!$P$8,G191)*POWER(Upgrades!$P$9,H191)*POWER(Upgrades!$P$10,I191)*POWER(Upgrades!$P$11,J191)*POWER(Upgrades!$P$12,K191)*60</f>
        <v/>
      </c>
      <c r="AF191" s="27">
        <f>Parameters!$B$9*POWER(Upgrades!$Q$6,E191)*POWER(Upgrades!$Q$7,F191)*POWER(Upgrades!$Q$8,G191)*POWER(Upgrades!$Q$9,H191)*POWER(Upgrades!$Q$10,I191)*POWER(Upgrades!$Q$11,J191)*POWER(Upgrades!$Q$12,K191)*(Parameters!$B$10*Parameters!$B$11+O191*60)</f>
        <v/>
      </c>
      <c r="AG191" s="22">
        <f>IF(E191&gt;=Upgrades!$E$6,"",Upgrades!$C$6*POWER(Upgrades!$D$6,E191))</f>
        <v/>
      </c>
      <c r="AH191" s="22">
        <f>IF(F191&gt;=Upgrades!$E$7,"",Upgrades!$C$7*POWER(Upgrades!$D$7,F191))</f>
        <v/>
      </c>
      <c r="AI191" s="22">
        <f>IF(G191&gt;=Upgrades!$E$8,"",Upgrades!$C$8*POWER(Upgrades!$D$8,G191))</f>
        <v/>
      </c>
      <c r="AJ191" s="22">
        <f>IF(H191&gt;=Upgrades!$E$9,"",Upgrades!$C$9*POWER(Upgrades!$D$9,H191))</f>
        <v/>
      </c>
      <c r="AK191" s="22">
        <f>IF(I191&gt;=Upgrades!$E$10,"",Upgrades!$C$10*POWER(Upgrades!$D$10,I191))</f>
        <v/>
      </c>
      <c r="AL191" s="22">
        <f>IF(J191&gt;=Upgrades!$E$11,"",Upgrades!$C$11*POWER(Upgrades!$D$11,J191))</f>
        <v/>
      </c>
      <c r="AM191" s="22">
        <f>IF(K191&gt;=Upgrades!$E$12,"",Upgrades!$C$12*POWER(Upgrades!$D$12,K191))</f>
        <v/>
      </c>
      <c r="AN191" s="26">
        <f>IF(AND(D191&gt;=Parameters!$B$18,(H191&gt;=Upgrades!$E$9)*(K191&gt;=Upgrades!$E$12)=1,L191=0),1,"")</f>
        <v/>
      </c>
      <c r="AO191" s="26">
        <f>IF(AND(D191&gt;=Parameters!$B$18,L191=0),1,"")</f>
        <v/>
      </c>
      <c r="AP191" s="22">
        <f>MIN(IF(ISNUMBER(AK191),AK191,9E15),IF(ISNUMBER(AL191),AL191,9E15),IF(ISNUMBER(AM191),AM191,9E15))</f>
        <v/>
      </c>
      <c r="AQ191" s="22">
        <f>MIN(IF(ISNUMBER(AG191),AG191,9E15),IF(ISNUMBER(AH191),AH191,9E15),IF(ISNUMBER(AI191),AI191,9E15),IF(ISNUMBER(AJ191),AJ191,9E15))</f>
        <v/>
      </c>
      <c r="AR191" s="29">
        <f>IF(AW191&gt;Parameters!$B$21*(MAX(IF(AND(NOT(AND(AO191=1,AN191&lt;&gt;1)),ISNUMBER(AG191),AG191&lt;=T191),AS191,0),IF(AND(NOT(AND(AO191=1,AN191&lt;&gt;1)),ISNUMBER(AH191),AH191&lt;=T191),AT191,0),IF(AND(NOT(AND(AO191=1,AN191&lt;&gt;1)),ISNUMBER(AI191),AI191&lt;=T191),AU191,0),IF(AND(ISNUMBER(AJ191),AJ191&lt;=T191),AV191,0))),TRUE,FALSE)</f>
        <v/>
      </c>
      <c r="AS191" s="32">
        <f>IFERROR(Upgrades!$H$6*(POWER(Upgrades!$P$6,E191)*POWER(Upgrades!$P$7,F191)*POWER(Upgrades!$P$8,G191)*POWER(Upgrades!$P$9,H191)*POWER(Upgrades!$P$10,I191)*POWER(Upgrades!$P$11,J191)*POWER(Upgrades!$P$12,K191))*(IF(Upgrades!$T$7="Solar Wind",POWER(Upgrades!$U$7,F191),1)*IF(Upgrades!$T$8="Solar Wind",POWER(Upgrades!$U$8,G191),1)*IF(Upgrades!$T$9="Solar Wind",POWER(Upgrades!$U$9,H191),1)*IF(Upgrades!$T$10="Solar Wind",POWER(Upgrades!$U$10,I191),1)*IF(Upgrades!$T$11="Solar Wind",POWER(Upgrades!$U$11,J191),1)*IF(Upgrades!$T$12="Solar Wind",POWER(Upgrades!$U$12,K191),1))/AG191,0)</f>
        <v/>
      </c>
      <c r="AT191" s="32">
        <f>IFERROR(Upgrades!$H$7*(POWER(Upgrades!$P$6,E191)*POWER(Upgrades!$P$7,F191)*POWER(Upgrades!$P$8,G191)*POWER(Upgrades!$P$9,H191)*POWER(Upgrades!$P$10,I191)*POWER(Upgrades!$P$11,J191)*POWER(Upgrades!$P$12,K191))*(IF(Upgrades!$T$6="Asteroid Belt",POWER(Upgrades!$U$6,E191),1)*IF(Upgrades!$T$8="Asteroid Belt",POWER(Upgrades!$U$8,G191),1)*IF(Upgrades!$T$9="Asteroid Belt",POWER(Upgrades!$U$9,H191),1)*IF(Upgrades!$T$10="Asteroid Belt",POWER(Upgrades!$U$10,I191),1)*IF(Upgrades!$T$11="Asteroid Belt",POWER(Upgrades!$U$11,J191),1)*IF(Upgrades!$T$12="Asteroid Belt",POWER(Upgrades!$U$12,K191),1))/AH191,0)</f>
        <v/>
      </c>
      <c r="AU191" s="32">
        <f>IFERROR(Upgrades!$K$8*(POWER(Upgrades!$Q$6,E191)*POWER(Upgrades!$Q$7,F191)*POWER(Upgrades!$Q$8,G191)*POWER(Upgrades!$Q$9,H191)*POWER(Upgrades!$Q$10,I191)*POWER(Upgrades!$Q$11,J191)*POWER(Upgrades!$Q$12,K191))*(IF(Upgrades!$T$6="Stellar Coupling",POWER(Upgrades!$U$6,E191),1)*IF(Upgrades!$T$7="Stellar Coupling",POWER(Upgrades!$U$7,F191),1)*IF(Upgrades!$T$9="Stellar Coupling",POWER(Upgrades!$U$9,H191),1)*IF(Upgrades!$T$10="Stellar Coupling",POWER(Upgrades!$U$10,I191),1)*IF(Upgrades!$T$11="Stellar Coupling",POWER(Upgrades!$U$11,J191),1)*IF(Upgrades!$T$12="Stellar Coupling",POWER(Upgrades!$U$12,K191),1))*Parameters!$B$10*Parameters!$B$11/60/AI191,0)</f>
        <v/>
      </c>
      <c r="AV191" s="32">
        <f>IFERROR(Upgrades!$H$9*(POWER(Upgrades!$P$6,E191)*POWER(Upgrades!$P$7,F191)*POWER(Upgrades!$P$8,G191)*POWER(Upgrades!$P$9,H191)*POWER(Upgrades!$P$10,I191)*POWER(Upgrades!$P$11,J191)*POWER(Upgrades!$P$12,K191))*(IF(Upgrades!$T$6="Magnetosphere",POWER(Upgrades!$U$6,E191),1)*IF(Upgrades!$T$7="Magnetosphere",POWER(Upgrades!$U$7,F191),1)*IF(Upgrades!$T$8="Magnetosphere",POWER(Upgrades!$U$8,G191),1)*IF(Upgrades!$T$10="Magnetosphere",POWER(Upgrades!$U$10,I191),1)*IF(Upgrades!$T$11="Magnetosphere",POWER(Upgrades!$U$11,J191),1)*IF(Upgrades!$T$12="Magnetosphere",POWER(Upgrades!$U$12,K191),1))/AJ191,0)</f>
        <v/>
      </c>
      <c r="AW191" s="32">
        <f>MAX(IF(I191&gt;0,0,IFERROR(0.25*N191/Upgrades!$C$10,0)),IF(J191&gt;0,0,IFERROR(0.5*((IF(G191=0,0,(Upgrades!$J$8+G191*Upgrades!$K$8)*POWER(Upgrades!$L$8,G191)))*(IF(Upgrades!$T$6="Stellar Coupling",POWER(Upgrades!$U$6,E191),1)*IF(Upgrades!$T$7="Stellar Coupling",POWER(Upgrades!$U$7,F191),1)*IF(Upgrades!$T$9="Stellar Coupling",POWER(Upgrades!$U$9,H191),1)*IF(Upgrades!$T$10="Stellar Coupling",POWER(Upgrades!$U$10,I191),1)*IF(Upgrades!$T$11="Stellar Coupling",POWER(Upgrades!$U$11,J191),1)*IF(Upgrades!$T$12="Stellar Coupling",POWER(Upgrades!$U$12,K191),1))*(POWER(Upgrades!$Q$6,E191)*POWER(Upgrades!$Q$7,F191)*POWER(Upgrades!$Q$8,G191)*POWER(Upgrades!$Q$9,H191)*POWER(Upgrades!$Q$10,I191)*POWER(Upgrades!$Q$11,J191)*POWER(Upgrades!$Q$12,K191))*Parameters!$B$10*Parameters!$B$11/60)/Upgrades!$C$11,0)),IF(K191&gt;0,0,IFERROR((1.0*(POWER(Upgrades!$P$6,E191)*POWER(Upgrades!$P$7,F191)*POWER(Upgrades!$P$8,G191)*POWER(Upgrades!$P$9,H191)*POWER(Upgrades!$P$10,I191)*POWER(Upgrades!$P$11,J191)*POWER(Upgrades!$P$12,K191))+0.20*M191*Parameters!$B$10*Parameters!$B$11/60)/Upgrades!$C$12,0)),IF(AND(ISNUMBER(AG191),AG191&gt;T191),AS191,0),IF(AND(ISNUMBER(AH191),AH191&gt;T191),AT191,0),IF(AND(ISNUMBER(AI191),AI191&gt;T191),AU191,0),IF(AND(ISNUMBER(AJ191),AJ191&gt;T191),AV191,0))</f>
        <v/>
      </c>
      <c r="AX191" s="29">
        <f>IF(AN191=1,"transition",IF(MIN(IF(AND(I191=0,ISNUMBER(AK191),AK191&lt;=T191),AK191,9E15),IF(AND(J191=0,ISNUMBER(AL191),AL191&lt;=T191),AL191,9E15),IF(AND(K191=0,ISNUMBER(AM191),AM191&lt;=T191),AM191,9E15))&lt;9E15,IF(AND(AND(I191=0,ISNUMBER(AK191),AK191&lt;=T191),AK191=MIN(IF(AND(I191=0,ISNUMBER(AK191),AK191&lt;=T191),AK191,9E15),IF(AND(J191=0,ISNUMBER(AL191),AL191&lt;=T191),AL191,9E15),IF(AND(K191=0,ISNUMBER(AM191),AM191&lt;=T191),AM191,9E15))),"OR",IF(AND(AND(J191=0,ISNUMBER(AL191),AL191&lt;=T191),AL191=MIN(IF(AND(I191=0,ISNUMBER(AK191),AK191&lt;=T191),AK191,9E15),IF(AND(J191=0,ISNUMBER(AL191),AL191&lt;=T191),AL191,9E15),IF(AND(K191=0,ISNUMBER(AM191),AM191&lt;=T191),AM191,9E15))),"HP","FP")),IF(AR191=TRUE,"",IF(MAX(IF(AND(NOT(AND(AO191=1,AN191&lt;&gt;1)),ISNUMBER(AG191),AG191&lt;=T191),AS191,0),IF(AND(NOT(AND(AO191=1,AN191&lt;&gt;1)),ISNUMBER(AH191),AH191&lt;=T191),AT191,0),IF(AND(NOT(AND(AO191=1,AN191&lt;&gt;1)),ISNUMBER(AI191),AI191&lt;=T191),AU191,0),IF(AND(ISNUMBER(AJ191),AJ191&lt;=T191),AV191,0))&lt;=0,"",IF(AND(IF(AND(NOT(AND(AO191=1,AN191&lt;&gt;1)),ISNUMBER(AG191),AG191&lt;=T191),AS191,0)&gt;0,IF(AND(NOT(AND(AO191=1,AN191&lt;&gt;1)),ISNUMBER(AG191),AG191&lt;=T191),AS191,0)=MAX(IF(AND(NOT(AND(AO191=1,AN191&lt;&gt;1)),ISNUMBER(AG191),AG191&lt;=T191),AS191,0),IF(AND(NOT(AND(AO191=1,AN191&lt;&gt;1)),ISNUMBER(AH191),AH191&lt;=T191),AT191,0),IF(AND(NOT(AND(AO191=1,AN191&lt;&gt;1)),ISNUMBER(AI191),AI191&lt;=T191),AU191,0),IF(AND(ISNUMBER(AJ191),AJ191&lt;=T191),AV191,0))),"SW",IF(AND(IF(AND(NOT(AND(AO191=1,AN191&lt;&gt;1)),ISNUMBER(AH191),AH191&lt;=T191),AT191,0)&gt;0,IF(AND(NOT(AND(AO191=1,AN191&lt;&gt;1)),ISNUMBER(AH191),AH191&lt;=T191),AT191,0)=MAX(IF(AND(NOT(AND(AO191=1,AN191&lt;&gt;1)),ISNUMBER(AG191),AG191&lt;=T191),AS191,0),IF(AND(NOT(AND(AO191=1,AN191&lt;&gt;1)),ISNUMBER(AH191),AH191&lt;=T191),AT191,0),IF(AND(NOT(AND(AO191=1,AN191&lt;&gt;1)),ISNUMBER(AI191),AI191&lt;=T191),AU191,0),IF(AND(ISNUMBER(AJ191),AJ191&lt;=T191),AV191,0))),"AB",IF(AND(IF(AND(NOT(AND(AO191=1,AN191&lt;&gt;1)),ISNUMBER(AI191),AI191&lt;=T191),AU191,0)&gt;0,IF(AND(NOT(AND(AO191=1,AN191&lt;&gt;1)),ISNUMBER(AI191),AI191&lt;=T191),AU191,0)=MAX(IF(AND(NOT(AND(AO191=1,AN191&lt;&gt;1)),ISNUMBER(AG191),AG191&lt;=T191),AS191,0),IF(AND(NOT(AND(AO191=1,AN191&lt;&gt;1)),ISNUMBER(AH191),AH191&lt;=T191),AT191,0),IF(AND(NOT(AND(AO191=1,AN191&lt;&gt;1)),ISNUMBER(AI191),AI191&lt;=T191),AU191,0),IF(AND(ISNUMBER(AJ191),AJ191&lt;=T191),AV191,0))),"SC","Mag")))))))</f>
        <v/>
      </c>
    </row>
    <row r="192">
      <c r="A192" s="26" t="n">
        <v>187</v>
      </c>
      <c r="B192" s="27">
        <f>A192*10/60</f>
        <v/>
      </c>
      <c r="C192" s="22">
        <f>X191</f>
        <v/>
      </c>
      <c r="D192" s="27">
        <f>D191+W191</f>
        <v/>
      </c>
      <c r="E192" s="26">
        <f>E191+IF(U191="SW",1,0)</f>
        <v/>
      </c>
      <c r="F192" s="26">
        <f>F191+IF(U191="AB",1,0)</f>
        <v/>
      </c>
      <c r="G192" s="26">
        <f>G191+IF(U191="SC",1,0)</f>
        <v/>
      </c>
      <c r="H192" s="26">
        <f>H191+IF(U191="Mag",1,0)</f>
        <v/>
      </c>
      <c r="I192" s="26">
        <f>MAX(I191,IF(U191="OR",1,0))</f>
        <v/>
      </c>
      <c r="J192" s="26">
        <f>MAX(J191,IF(U191="HP",1,0))</f>
        <v/>
      </c>
      <c r="K192" s="26">
        <f>MAX(K191,IF(U191="FP",1,0))</f>
        <v/>
      </c>
      <c r="L192" s="26">
        <f>MAX(L191,IF(U191="transition",1,0))</f>
        <v/>
      </c>
      <c r="M192" s="28">
        <f>(Parameters!$B$9+(IF(E192=0,0,(Upgrades!$J$6+E192*Upgrades!$K$6)*POWER(Upgrades!$L$6,E192)))*(IF(Upgrades!$T$7="Solar Wind",POWER(Upgrades!$U$7,F192),1)*IF(Upgrades!$T$8="Solar Wind",POWER(Upgrades!$U$8,G192),1)*IF(Upgrades!$T$9="Solar Wind",POWER(Upgrades!$U$9,H192),1)*IF(Upgrades!$T$10="Solar Wind",POWER(Upgrades!$U$10,I192),1)*IF(Upgrades!$T$11="Solar Wind",POWER(Upgrades!$U$11,J192),1)*IF(Upgrades!$T$12="Solar Wind",POWER(Upgrades!$U$12,K192),1))+(IF(F192=0,0,(Upgrades!$J$7+F192*Upgrades!$K$7)*POWER(Upgrades!$L$7,F192)))*(IF(Upgrades!$T$6="Asteroid Belt",POWER(Upgrades!$U$6,E192),1)*IF(Upgrades!$T$8="Asteroid Belt",POWER(Upgrades!$U$8,G192),1)*IF(Upgrades!$T$9="Asteroid Belt",POWER(Upgrades!$U$9,H192),1)*IF(Upgrades!$T$10="Asteroid Belt",POWER(Upgrades!$U$10,I192),1)*IF(Upgrades!$T$11="Asteroid Belt",POWER(Upgrades!$U$11,J192),1)*IF(Upgrades!$T$12="Asteroid Belt",POWER(Upgrades!$U$12,K192),1))+(IF(G192=0,0,(Upgrades!$J$8+G192*Upgrades!$K$8)*POWER(Upgrades!$L$8,G192)))*(IF(Upgrades!$T$6="Stellar Coupling",POWER(Upgrades!$U$6,E192),1)*IF(Upgrades!$T$7="Stellar Coupling",POWER(Upgrades!$U$7,F192),1)*IF(Upgrades!$T$9="Stellar Coupling",POWER(Upgrades!$U$9,H192),1)*IF(Upgrades!$T$10="Stellar Coupling",POWER(Upgrades!$U$10,I192),1)*IF(Upgrades!$T$11="Stellar Coupling",POWER(Upgrades!$U$11,J192),1)*IF(Upgrades!$T$12="Stellar Coupling",POWER(Upgrades!$U$12,K192),1))+(IF(H192=0,0,(Upgrades!$J$9+H192*Upgrades!$K$9)*POWER(Upgrades!$L$9,H192)))*(IF(Upgrades!$T$6="Magnetosphere",POWER(Upgrades!$U$6,E192),1)*IF(Upgrades!$T$7="Magnetosphere",POWER(Upgrades!$U$7,F192),1)*IF(Upgrades!$T$8="Magnetosphere",POWER(Upgrades!$U$8,G192),1)*IF(Upgrades!$T$10="Magnetosphere",POWER(Upgrades!$U$10,I192),1)*IF(Upgrades!$T$11="Magnetosphere",POWER(Upgrades!$U$11,J192),1)*IF(Upgrades!$T$12="Magnetosphere",POWER(Upgrades!$U$12,K192),1))+(IF(I192=0,0,(Upgrades!$J$10+I192*Upgrades!$K$10)*POWER(Upgrades!$L$10,I192)))*(IF(Upgrades!$T$6="Orbital Resonance",POWER(Upgrades!$U$6,E192),1)*IF(Upgrades!$T$7="Orbital Resonance",POWER(Upgrades!$U$7,F192),1)*IF(Upgrades!$T$8="Orbital Resonance",POWER(Upgrades!$U$8,G192),1)*IF(Upgrades!$T$9="Orbital Resonance",POWER(Upgrades!$U$9,H192),1)*IF(Upgrades!$T$11="Orbital Resonance",POWER(Upgrades!$U$11,J192),1)*IF(Upgrades!$T$12="Orbital Resonance",POWER(Upgrades!$U$12,K192),1))+(IF(J192=0,0,(Upgrades!$J$11+J192*Upgrades!$K$11)*POWER(Upgrades!$L$11,J192)))*(IF(Upgrades!$T$6="Heliopause",POWER(Upgrades!$U$6,E192),1)*IF(Upgrades!$T$7="Heliopause",POWER(Upgrades!$U$7,F192),1)*IF(Upgrades!$T$8="Heliopause",POWER(Upgrades!$U$8,G192),1)*IF(Upgrades!$T$9="Heliopause",POWER(Upgrades!$U$9,H192),1)*IF(Upgrades!$T$10="Heliopause",POWER(Upgrades!$U$10,I192),1)*IF(Upgrades!$T$12="Heliopause",POWER(Upgrades!$U$12,K192),1))+(IF(K192=0,0,(Upgrades!$J$12+K192*Upgrades!$K$12)*POWER(Upgrades!$L$12,K192)))*(IF(Upgrades!$T$6="First Photons",POWER(Upgrades!$U$6,E192),1)*IF(Upgrades!$T$7="First Photons",POWER(Upgrades!$U$7,F192),1)*IF(Upgrades!$T$8="First Photons",POWER(Upgrades!$U$8,G192),1)*IF(Upgrades!$T$9="First Photons",POWER(Upgrades!$U$9,H192),1)*IF(Upgrades!$T$10="First Photons",POWER(Upgrades!$U$10,I192),1)*IF(Upgrades!$T$11="First Photons",POWER(Upgrades!$U$11,J192),1)))*POWER(Upgrades!$Q$6,E192)*POWER(Upgrades!$Q$7,F192)*POWER(Upgrades!$Q$8,G192)*POWER(Upgrades!$Q$9,H192)*POWER(Upgrades!$Q$10,I192)*POWER(Upgrades!$Q$11,J192)*POWER(Upgrades!$Q$12,K192)</f>
        <v/>
      </c>
      <c r="N192" s="28">
        <f>((IF(E192=0,0,(Upgrades!$G$6+E192*Upgrades!$H$6)*POWER(Upgrades!$I$6,E192)))*(IF(Upgrades!$T$7="Solar Wind",POWER(Upgrades!$U$7,F192),1)*IF(Upgrades!$T$8="Solar Wind",POWER(Upgrades!$U$8,G192),1)*IF(Upgrades!$T$9="Solar Wind",POWER(Upgrades!$U$9,H192),1)*IF(Upgrades!$T$10="Solar Wind",POWER(Upgrades!$U$10,I192),1)*IF(Upgrades!$T$11="Solar Wind",POWER(Upgrades!$U$11,J192),1)*IF(Upgrades!$T$12="Solar Wind",POWER(Upgrades!$U$12,K192),1))+(IF(F192=0,0,(Upgrades!$G$7+F192*Upgrades!$H$7)*POWER(Upgrades!$I$7,F192)))*(IF(Upgrades!$T$6="Asteroid Belt",POWER(Upgrades!$U$6,E192),1)*IF(Upgrades!$T$8="Asteroid Belt",POWER(Upgrades!$U$8,G192),1)*IF(Upgrades!$T$9="Asteroid Belt",POWER(Upgrades!$U$9,H192),1)*IF(Upgrades!$T$10="Asteroid Belt",POWER(Upgrades!$U$10,I192),1)*IF(Upgrades!$T$11="Asteroid Belt",POWER(Upgrades!$U$11,J192),1)*IF(Upgrades!$T$12="Asteroid Belt",POWER(Upgrades!$U$12,K192),1))+(IF(G192=0,0,(Upgrades!$G$8+G192*Upgrades!$H$8)*POWER(Upgrades!$I$8,G192)))*(IF(Upgrades!$T$6="Stellar Coupling",POWER(Upgrades!$U$6,E192),1)*IF(Upgrades!$T$7="Stellar Coupling",POWER(Upgrades!$U$7,F192),1)*IF(Upgrades!$T$9="Stellar Coupling",POWER(Upgrades!$U$9,H192),1)*IF(Upgrades!$T$10="Stellar Coupling",POWER(Upgrades!$U$10,I192),1)*IF(Upgrades!$T$11="Stellar Coupling",POWER(Upgrades!$U$11,J192),1)*IF(Upgrades!$T$12="Stellar Coupling",POWER(Upgrades!$U$12,K192),1))+(IF(H192=0,0,(Upgrades!$G$9+H192*Upgrades!$H$9)*POWER(Upgrades!$I$9,H192)))*(IF(Upgrades!$T$6="Magnetosphere",POWER(Upgrades!$U$6,E192),1)*IF(Upgrades!$T$7="Magnetosphere",POWER(Upgrades!$U$7,F192),1)*IF(Upgrades!$T$8="Magnetosphere",POWER(Upgrades!$U$8,G192),1)*IF(Upgrades!$T$10="Magnetosphere",POWER(Upgrades!$U$10,I192),1)*IF(Upgrades!$T$11="Magnetosphere",POWER(Upgrades!$U$11,J192),1)*IF(Upgrades!$T$12="Magnetosphere",POWER(Upgrades!$U$12,K192),1))+(IF(I192=0,0,(Upgrades!$G$10+I192*Upgrades!$H$10)*POWER(Upgrades!$I$10,I192)))*(IF(Upgrades!$T$6="Orbital Resonance",POWER(Upgrades!$U$6,E192),1)*IF(Upgrades!$T$7="Orbital Resonance",POWER(Upgrades!$U$7,F192),1)*IF(Upgrades!$T$8="Orbital Resonance",POWER(Upgrades!$U$8,G192),1)*IF(Upgrades!$T$9="Orbital Resonance",POWER(Upgrades!$U$9,H192),1)*IF(Upgrades!$T$11="Orbital Resonance",POWER(Upgrades!$U$11,J192),1)*IF(Upgrades!$T$12="Orbital Resonance",POWER(Upgrades!$U$12,K192),1))+(IF(J192=0,0,(Upgrades!$G$11+J192*Upgrades!$H$11)*POWER(Upgrades!$I$11,J192)))*(IF(Upgrades!$T$6="Heliopause",POWER(Upgrades!$U$6,E192),1)*IF(Upgrades!$T$7="Heliopause",POWER(Upgrades!$U$7,F192),1)*IF(Upgrades!$T$8="Heliopause",POWER(Upgrades!$U$8,G192),1)*IF(Upgrades!$T$9="Heliopause",POWER(Upgrades!$U$9,H192),1)*IF(Upgrades!$T$10="Heliopause",POWER(Upgrades!$U$10,I192),1)*IF(Upgrades!$T$12="Heliopause",POWER(Upgrades!$U$12,K192),1))+(IF(K192=0,0,(Upgrades!$G$12+K192*Upgrades!$H$12)*POWER(Upgrades!$I$12,K192)))*(IF(Upgrades!$T$6="First Photons",POWER(Upgrades!$U$6,E192),1)*IF(Upgrades!$T$7="First Photons",POWER(Upgrades!$U$7,F192),1)*IF(Upgrades!$T$8="First Photons",POWER(Upgrades!$U$8,G192),1)*IF(Upgrades!$T$9="First Photons",POWER(Upgrades!$U$9,H192),1)*IF(Upgrades!$T$10="First Photons",POWER(Upgrades!$U$10,I192),1)*IF(Upgrades!$T$11="First Photons",POWER(Upgrades!$U$11,J192),1)))*POWER(Upgrades!$P$6,E192)*POWER(Upgrades!$P$7,F192)*POWER(Upgrades!$P$8,G192)*POWER(Upgrades!$P$9,H192)*POWER(Upgrades!$P$10,I192)*POWER(Upgrades!$P$11,J192)*POWER(Upgrades!$P$12,K192)</f>
        <v/>
      </c>
      <c r="O192" s="28">
        <f>((IF(E192=0,0,(Upgrades!$M$6+E192*Upgrades!$N$6)*POWER(Upgrades!$O$6,E192)))*(IF(Upgrades!$T$7="Solar Wind",POWER(Upgrades!$U$7,F192),1)*IF(Upgrades!$T$8="Solar Wind",POWER(Upgrades!$U$8,G192),1)*IF(Upgrades!$T$9="Solar Wind",POWER(Upgrades!$U$9,H192),1)*IF(Upgrades!$T$10="Solar Wind",POWER(Upgrades!$U$10,I192),1)*IF(Upgrades!$T$11="Solar Wind",POWER(Upgrades!$U$11,J192),1)*IF(Upgrades!$T$12="Solar Wind",POWER(Upgrades!$U$12,K192),1))+(IF(F192=0,0,(Upgrades!$M$7+F192*Upgrades!$N$7)*POWER(Upgrades!$O$7,F192)))*(IF(Upgrades!$T$6="Asteroid Belt",POWER(Upgrades!$U$6,E192),1)*IF(Upgrades!$T$8="Asteroid Belt",POWER(Upgrades!$U$8,G192),1)*IF(Upgrades!$T$9="Asteroid Belt",POWER(Upgrades!$U$9,H192),1)*IF(Upgrades!$T$10="Asteroid Belt",POWER(Upgrades!$U$10,I192),1)*IF(Upgrades!$T$11="Asteroid Belt",POWER(Upgrades!$U$11,J192),1)*IF(Upgrades!$T$12="Asteroid Belt",POWER(Upgrades!$U$12,K192),1))+(IF(G192=0,0,(Upgrades!$M$8+G192*Upgrades!$N$8)*POWER(Upgrades!$O$8,G192)))*(IF(Upgrades!$T$6="Stellar Coupling",POWER(Upgrades!$U$6,E192),1)*IF(Upgrades!$T$7="Stellar Coupling",POWER(Upgrades!$U$7,F192),1)*IF(Upgrades!$T$9="Stellar Coupling",POWER(Upgrades!$U$9,H192),1)*IF(Upgrades!$T$10="Stellar Coupling",POWER(Upgrades!$U$10,I192),1)*IF(Upgrades!$T$11="Stellar Coupling",POWER(Upgrades!$U$11,J192),1)*IF(Upgrades!$T$12="Stellar Coupling",POWER(Upgrades!$U$12,K192),1))+(IF(H192=0,0,(Upgrades!$M$9+H192*Upgrades!$N$9)*POWER(Upgrades!$O$9,H192)))*(IF(Upgrades!$T$6="Magnetosphere",POWER(Upgrades!$U$6,E192),1)*IF(Upgrades!$T$7="Magnetosphere",POWER(Upgrades!$U$7,F192),1)*IF(Upgrades!$T$8="Magnetosphere",POWER(Upgrades!$U$8,G192),1)*IF(Upgrades!$T$10="Magnetosphere",POWER(Upgrades!$U$10,I192),1)*IF(Upgrades!$T$11="Magnetosphere",POWER(Upgrades!$U$11,J192),1)*IF(Upgrades!$T$12="Magnetosphere",POWER(Upgrades!$U$12,K192),1))+(IF(I192=0,0,(Upgrades!$M$10+I192*Upgrades!$N$10)*POWER(Upgrades!$O$10,I192)))*(IF(Upgrades!$T$6="Orbital Resonance",POWER(Upgrades!$U$6,E192),1)*IF(Upgrades!$T$7="Orbital Resonance",POWER(Upgrades!$U$7,F192),1)*IF(Upgrades!$T$8="Orbital Resonance",POWER(Upgrades!$U$8,G192),1)*IF(Upgrades!$T$9="Orbital Resonance",POWER(Upgrades!$U$9,H192),1)*IF(Upgrades!$T$11="Orbital Resonance",POWER(Upgrades!$U$11,J192),1)*IF(Upgrades!$T$12="Orbital Resonance",POWER(Upgrades!$U$12,K192),1))+(IF(J192=0,0,(Upgrades!$M$11+J192*Upgrades!$N$11)*POWER(Upgrades!$O$11,J192)))*(IF(Upgrades!$T$6="Heliopause",POWER(Upgrades!$U$6,E192),1)*IF(Upgrades!$T$7="Heliopause",POWER(Upgrades!$U$7,F192),1)*IF(Upgrades!$T$8="Heliopause",POWER(Upgrades!$U$8,G192),1)*IF(Upgrades!$T$9="Heliopause",POWER(Upgrades!$U$9,H192),1)*IF(Upgrades!$T$10="Heliopause",POWER(Upgrades!$U$10,I192),1)*IF(Upgrades!$T$12="Heliopause",POWER(Upgrades!$U$12,K192),1))+(IF(K192=0,0,(Upgrades!$M$12+K192*Upgrades!$N$12)*POWER(Upgrades!$O$12,K192)))*(IF(Upgrades!$T$6="First Photons",POWER(Upgrades!$U$6,E192),1)*IF(Upgrades!$T$7="First Photons",POWER(Upgrades!$U$7,F192),1)*IF(Upgrades!$T$8="First Photons",POWER(Upgrades!$U$8,G192),1)*IF(Upgrades!$T$9="First Photons",POWER(Upgrades!$U$9,H192),1)*IF(Upgrades!$T$10="First Photons",POWER(Upgrades!$U$10,I192),1)*IF(Upgrades!$T$11="First Photons",POWER(Upgrades!$U$11,J192),1)))*POWER(Upgrades!$R$6,E192)*POWER(Upgrades!$R$7,F192)*POWER(Upgrades!$R$8,G192)*POWER(Upgrades!$R$9,H192)*POWER(Upgrades!$R$10,I192)*POWER(Upgrades!$R$11,J192)*POWER(Upgrades!$R$12,K192)</f>
        <v/>
      </c>
      <c r="P192" s="27">
        <f>IF(L192=1,0,M192*Parameters!$B$10/60*Parameters!$B$11*10)</f>
        <v/>
      </c>
      <c r="Q192" s="27">
        <f>IF(L192=1,0,O192*M192*10)</f>
        <v/>
      </c>
      <c r="R192" s="27">
        <f>IF(L192=1,0,N192*10)</f>
        <v/>
      </c>
      <c r="S192" s="27">
        <f>P192+Q192+R192</f>
        <v/>
      </c>
      <c r="T192" s="22">
        <f>C192+S192</f>
        <v/>
      </c>
      <c r="U192" s="33">
        <f>AX192</f>
        <v/>
      </c>
      <c r="V192" s="22">
        <f>IF(U192="",0,IF(U192="transition",0,IF(U192="SW",AG192,IF(U192="AB",AH192,IF(U192="SC",AI192,IF(U192="Mag",AJ192,IF(U192="OR",AK192,IF(U192="HP",AL192,IF(U192="FP",AM192,0)))))))))</f>
        <v/>
      </c>
      <c r="W192" s="27">
        <f>IF(U192="OR",Upgrades!$F$10,IF(U192="HP",Upgrades!$F$11,IF(U192="transition",-Parameters!$B$18,0)))</f>
        <v/>
      </c>
      <c r="X192" s="22">
        <f>T192-V192</f>
        <v/>
      </c>
      <c r="Y192" s="30">
        <f>M192*Parameters!$B$10/60*Parameters!$B$11+O192*M192+N192</f>
        <v/>
      </c>
      <c r="Z192" s="34">
        <f>IF(U192="transition","→ Tier 2 (Stellar Neighborhood)",IF(U192="FP","First Photons — light begins, system quickens",IF(U192="HP","Heliopause acquired",IF(U192="OR","Orbital Resonance — passive multiplier active",IF(AND(AO192=1,L192=0,AN192&lt;&gt;1),"Cohesion ready (waiting on completionist upgrades)","")))))</f>
        <v/>
      </c>
      <c r="AA192" s="27">
        <f>(IF(E192=0,0,(Upgrades!$G$6+E192*Upgrades!$H$6)*POWER(Upgrades!$I$6,E192)))*(IF(Upgrades!$T$7="Solar Wind",POWER(Upgrades!$U$7,F192),1)*IF(Upgrades!$T$8="Solar Wind",POWER(Upgrades!$U$8,G192),1)*IF(Upgrades!$T$9="Solar Wind",POWER(Upgrades!$U$9,H192),1)*IF(Upgrades!$T$10="Solar Wind",POWER(Upgrades!$U$10,I192),1)*IF(Upgrades!$T$11="Solar Wind",POWER(Upgrades!$U$11,J192),1)*IF(Upgrades!$T$12="Solar Wind",POWER(Upgrades!$U$12,K192),1))*POWER(Upgrades!$P$6,E192)*POWER(Upgrades!$P$7,F192)*POWER(Upgrades!$P$8,G192)*POWER(Upgrades!$P$9,H192)*POWER(Upgrades!$P$10,I192)*POWER(Upgrades!$P$11,J192)*POWER(Upgrades!$P$12,K192)*60</f>
        <v/>
      </c>
      <c r="AB192" s="27">
        <f>(IF(F192=0,0,(Upgrades!$G$7+F192*Upgrades!$H$7)*POWER(Upgrades!$I$7,F192)))*(IF(Upgrades!$T$6="Asteroid Belt",POWER(Upgrades!$U$6,E192),1)*IF(Upgrades!$T$8="Asteroid Belt",POWER(Upgrades!$U$8,G192),1)*IF(Upgrades!$T$9="Asteroid Belt",POWER(Upgrades!$U$9,H192),1)*IF(Upgrades!$T$10="Asteroid Belt",POWER(Upgrades!$U$10,I192),1)*IF(Upgrades!$T$11="Asteroid Belt",POWER(Upgrades!$U$11,J192),1)*IF(Upgrades!$T$12="Asteroid Belt",POWER(Upgrades!$U$12,K192),1))*POWER(Upgrades!$P$6,E192)*POWER(Upgrades!$P$7,F192)*POWER(Upgrades!$P$8,G192)*POWER(Upgrades!$P$9,H192)*POWER(Upgrades!$P$10,I192)*POWER(Upgrades!$P$11,J192)*POWER(Upgrades!$P$12,K192)*60</f>
        <v/>
      </c>
      <c r="AC192" s="27">
        <f>(IF(G192=0,0,(Upgrades!$J$8+G192*Upgrades!$K$8)*POWER(Upgrades!$L$8,G192)))*(IF(Upgrades!$T$6="Stellar Coupling",POWER(Upgrades!$U$6,E192),1)*IF(Upgrades!$T$7="Stellar Coupling",POWER(Upgrades!$U$7,F192),1)*IF(Upgrades!$T$9="Stellar Coupling",POWER(Upgrades!$U$9,H192),1)*IF(Upgrades!$T$10="Stellar Coupling",POWER(Upgrades!$U$10,I192),1)*IF(Upgrades!$T$11="Stellar Coupling",POWER(Upgrades!$U$11,J192),1)*IF(Upgrades!$T$12="Stellar Coupling",POWER(Upgrades!$U$12,K192),1))*POWER(Upgrades!$Q$6,E192)*POWER(Upgrades!$Q$7,F192)*POWER(Upgrades!$Q$8,G192)*POWER(Upgrades!$Q$9,H192)*POWER(Upgrades!$Q$10,I192)*POWER(Upgrades!$Q$11,J192)*POWER(Upgrades!$Q$12,K192)*Parameters!$B$10*Parameters!$B$11</f>
        <v/>
      </c>
      <c r="AD192" s="27">
        <f>(IF(H192=0,0,(Upgrades!$G$9+H192*Upgrades!$H$9)*POWER(Upgrades!$I$9,H192)))*(IF(Upgrades!$T$6="Magnetosphere",POWER(Upgrades!$U$6,E192),1)*IF(Upgrades!$T$7="Magnetosphere",POWER(Upgrades!$U$7,F192),1)*IF(Upgrades!$T$8="Magnetosphere",POWER(Upgrades!$U$8,G192),1)*IF(Upgrades!$T$10="Magnetosphere",POWER(Upgrades!$U$10,I192),1)*IF(Upgrades!$T$11="Magnetosphere",POWER(Upgrades!$U$11,J192),1)*IF(Upgrades!$T$12="Magnetosphere",POWER(Upgrades!$U$12,K192),1))*POWER(Upgrades!$P$6,E192)*POWER(Upgrades!$P$7,F192)*POWER(Upgrades!$P$8,G192)*POWER(Upgrades!$P$9,H192)*POWER(Upgrades!$P$10,I192)*POWER(Upgrades!$P$11,J192)*POWER(Upgrades!$P$12,K192)*60</f>
        <v/>
      </c>
      <c r="AE192" s="27">
        <f>(IF(K192=0,0,(Upgrades!$G$12+K192*Upgrades!$H$12)*POWER(Upgrades!$I$12,K192)))*(IF(Upgrades!$T$6="First Photons",POWER(Upgrades!$U$6,E192),1)*IF(Upgrades!$T$7="First Photons",POWER(Upgrades!$U$7,F192),1)*IF(Upgrades!$T$8="First Photons",POWER(Upgrades!$U$8,G192),1)*IF(Upgrades!$T$9="First Photons",POWER(Upgrades!$U$9,H192),1)*IF(Upgrades!$T$10="First Photons",POWER(Upgrades!$U$10,I192),1)*IF(Upgrades!$T$11="First Photons",POWER(Upgrades!$U$11,J192),1))*POWER(Upgrades!$P$6,E192)*POWER(Upgrades!$P$7,F192)*POWER(Upgrades!$P$8,G192)*POWER(Upgrades!$P$9,H192)*POWER(Upgrades!$P$10,I192)*POWER(Upgrades!$P$11,J192)*POWER(Upgrades!$P$12,K192)*60</f>
        <v/>
      </c>
      <c r="AF192" s="27">
        <f>Parameters!$B$9*POWER(Upgrades!$Q$6,E192)*POWER(Upgrades!$Q$7,F192)*POWER(Upgrades!$Q$8,G192)*POWER(Upgrades!$Q$9,H192)*POWER(Upgrades!$Q$10,I192)*POWER(Upgrades!$Q$11,J192)*POWER(Upgrades!$Q$12,K192)*(Parameters!$B$10*Parameters!$B$11+O192*60)</f>
        <v/>
      </c>
      <c r="AG192" s="22">
        <f>IF(E192&gt;=Upgrades!$E$6,"",Upgrades!$C$6*POWER(Upgrades!$D$6,E192))</f>
        <v/>
      </c>
      <c r="AH192" s="22">
        <f>IF(F192&gt;=Upgrades!$E$7,"",Upgrades!$C$7*POWER(Upgrades!$D$7,F192))</f>
        <v/>
      </c>
      <c r="AI192" s="22">
        <f>IF(G192&gt;=Upgrades!$E$8,"",Upgrades!$C$8*POWER(Upgrades!$D$8,G192))</f>
        <v/>
      </c>
      <c r="AJ192" s="22">
        <f>IF(H192&gt;=Upgrades!$E$9,"",Upgrades!$C$9*POWER(Upgrades!$D$9,H192))</f>
        <v/>
      </c>
      <c r="AK192" s="22">
        <f>IF(I192&gt;=Upgrades!$E$10,"",Upgrades!$C$10*POWER(Upgrades!$D$10,I192))</f>
        <v/>
      </c>
      <c r="AL192" s="22">
        <f>IF(J192&gt;=Upgrades!$E$11,"",Upgrades!$C$11*POWER(Upgrades!$D$11,J192))</f>
        <v/>
      </c>
      <c r="AM192" s="22">
        <f>IF(K192&gt;=Upgrades!$E$12,"",Upgrades!$C$12*POWER(Upgrades!$D$12,K192))</f>
        <v/>
      </c>
      <c r="AN192" s="26">
        <f>IF(AND(D192&gt;=Parameters!$B$18,(H192&gt;=Upgrades!$E$9)*(K192&gt;=Upgrades!$E$12)=1,L192=0),1,"")</f>
        <v/>
      </c>
      <c r="AO192" s="26">
        <f>IF(AND(D192&gt;=Parameters!$B$18,L192=0),1,"")</f>
        <v/>
      </c>
      <c r="AP192" s="22">
        <f>MIN(IF(ISNUMBER(AK192),AK192,9E15),IF(ISNUMBER(AL192),AL192,9E15),IF(ISNUMBER(AM192),AM192,9E15))</f>
        <v/>
      </c>
      <c r="AQ192" s="22">
        <f>MIN(IF(ISNUMBER(AG192),AG192,9E15),IF(ISNUMBER(AH192),AH192,9E15),IF(ISNUMBER(AI192),AI192,9E15),IF(ISNUMBER(AJ192),AJ192,9E15))</f>
        <v/>
      </c>
      <c r="AR192" s="29">
        <f>IF(AW192&gt;Parameters!$B$21*(MAX(IF(AND(NOT(AND(AO192=1,AN192&lt;&gt;1)),ISNUMBER(AG192),AG192&lt;=T192),AS192,0),IF(AND(NOT(AND(AO192=1,AN192&lt;&gt;1)),ISNUMBER(AH192),AH192&lt;=T192),AT192,0),IF(AND(NOT(AND(AO192=1,AN192&lt;&gt;1)),ISNUMBER(AI192),AI192&lt;=T192),AU192,0),IF(AND(ISNUMBER(AJ192),AJ192&lt;=T192),AV192,0))),TRUE,FALSE)</f>
        <v/>
      </c>
      <c r="AS192" s="32">
        <f>IFERROR(Upgrades!$H$6*(POWER(Upgrades!$P$6,E192)*POWER(Upgrades!$P$7,F192)*POWER(Upgrades!$P$8,G192)*POWER(Upgrades!$P$9,H192)*POWER(Upgrades!$P$10,I192)*POWER(Upgrades!$P$11,J192)*POWER(Upgrades!$P$12,K192))*(IF(Upgrades!$T$7="Solar Wind",POWER(Upgrades!$U$7,F192),1)*IF(Upgrades!$T$8="Solar Wind",POWER(Upgrades!$U$8,G192),1)*IF(Upgrades!$T$9="Solar Wind",POWER(Upgrades!$U$9,H192),1)*IF(Upgrades!$T$10="Solar Wind",POWER(Upgrades!$U$10,I192),1)*IF(Upgrades!$T$11="Solar Wind",POWER(Upgrades!$U$11,J192),1)*IF(Upgrades!$T$12="Solar Wind",POWER(Upgrades!$U$12,K192),1))/AG192,0)</f>
        <v/>
      </c>
      <c r="AT192" s="32">
        <f>IFERROR(Upgrades!$H$7*(POWER(Upgrades!$P$6,E192)*POWER(Upgrades!$P$7,F192)*POWER(Upgrades!$P$8,G192)*POWER(Upgrades!$P$9,H192)*POWER(Upgrades!$P$10,I192)*POWER(Upgrades!$P$11,J192)*POWER(Upgrades!$P$12,K192))*(IF(Upgrades!$T$6="Asteroid Belt",POWER(Upgrades!$U$6,E192),1)*IF(Upgrades!$T$8="Asteroid Belt",POWER(Upgrades!$U$8,G192),1)*IF(Upgrades!$T$9="Asteroid Belt",POWER(Upgrades!$U$9,H192),1)*IF(Upgrades!$T$10="Asteroid Belt",POWER(Upgrades!$U$10,I192),1)*IF(Upgrades!$T$11="Asteroid Belt",POWER(Upgrades!$U$11,J192),1)*IF(Upgrades!$T$12="Asteroid Belt",POWER(Upgrades!$U$12,K192),1))/AH192,0)</f>
        <v/>
      </c>
      <c r="AU192" s="32">
        <f>IFERROR(Upgrades!$K$8*(POWER(Upgrades!$Q$6,E192)*POWER(Upgrades!$Q$7,F192)*POWER(Upgrades!$Q$8,G192)*POWER(Upgrades!$Q$9,H192)*POWER(Upgrades!$Q$10,I192)*POWER(Upgrades!$Q$11,J192)*POWER(Upgrades!$Q$12,K192))*(IF(Upgrades!$T$6="Stellar Coupling",POWER(Upgrades!$U$6,E192),1)*IF(Upgrades!$T$7="Stellar Coupling",POWER(Upgrades!$U$7,F192),1)*IF(Upgrades!$T$9="Stellar Coupling",POWER(Upgrades!$U$9,H192),1)*IF(Upgrades!$T$10="Stellar Coupling",POWER(Upgrades!$U$10,I192),1)*IF(Upgrades!$T$11="Stellar Coupling",POWER(Upgrades!$U$11,J192),1)*IF(Upgrades!$T$12="Stellar Coupling",POWER(Upgrades!$U$12,K192),1))*Parameters!$B$10*Parameters!$B$11/60/AI192,0)</f>
        <v/>
      </c>
      <c r="AV192" s="32">
        <f>IFERROR(Upgrades!$H$9*(POWER(Upgrades!$P$6,E192)*POWER(Upgrades!$P$7,F192)*POWER(Upgrades!$P$8,G192)*POWER(Upgrades!$P$9,H192)*POWER(Upgrades!$P$10,I192)*POWER(Upgrades!$P$11,J192)*POWER(Upgrades!$P$12,K192))*(IF(Upgrades!$T$6="Magnetosphere",POWER(Upgrades!$U$6,E192),1)*IF(Upgrades!$T$7="Magnetosphere",POWER(Upgrades!$U$7,F192),1)*IF(Upgrades!$T$8="Magnetosphere",POWER(Upgrades!$U$8,G192),1)*IF(Upgrades!$T$10="Magnetosphere",POWER(Upgrades!$U$10,I192),1)*IF(Upgrades!$T$11="Magnetosphere",POWER(Upgrades!$U$11,J192),1)*IF(Upgrades!$T$12="Magnetosphere",POWER(Upgrades!$U$12,K192),1))/AJ192,0)</f>
        <v/>
      </c>
      <c r="AW192" s="32">
        <f>MAX(IF(I192&gt;0,0,IFERROR(0.25*N192/Upgrades!$C$10,0)),IF(J192&gt;0,0,IFERROR(0.5*((IF(G192=0,0,(Upgrades!$J$8+G192*Upgrades!$K$8)*POWER(Upgrades!$L$8,G192)))*(IF(Upgrades!$T$6="Stellar Coupling",POWER(Upgrades!$U$6,E192),1)*IF(Upgrades!$T$7="Stellar Coupling",POWER(Upgrades!$U$7,F192),1)*IF(Upgrades!$T$9="Stellar Coupling",POWER(Upgrades!$U$9,H192),1)*IF(Upgrades!$T$10="Stellar Coupling",POWER(Upgrades!$U$10,I192),1)*IF(Upgrades!$T$11="Stellar Coupling",POWER(Upgrades!$U$11,J192),1)*IF(Upgrades!$T$12="Stellar Coupling",POWER(Upgrades!$U$12,K192),1))*(POWER(Upgrades!$Q$6,E192)*POWER(Upgrades!$Q$7,F192)*POWER(Upgrades!$Q$8,G192)*POWER(Upgrades!$Q$9,H192)*POWER(Upgrades!$Q$10,I192)*POWER(Upgrades!$Q$11,J192)*POWER(Upgrades!$Q$12,K192))*Parameters!$B$10*Parameters!$B$11/60)/Upgrades!$C$11,0)),IF(K192&gt;0,0,IFERROR((1.0*(POWER(Upgrades!$P$6,E192)*POWER(Upgrades!$P$7,F192)*POWER(Upgrades!$P$8,G192)*POWER(Upgrades!$P$9,H192)*POWER(Upgrades!$P$10,I192)*POWER(Upgrades!$P$11,J192)*POWER(Upgrades!$P$12,K192))+0.20*M192*Parameters!$B$10*Parameters!$B$11/60)/Upgrades!$C$12,0)),IF(AND(ISNUMBER(AG192),AG192&gt;T192),AS192,0),IF(AND(ISNUMBER(AH192),AH192&gt;T192),AT192,0),IF(AND(ISNUMBER(AI192),AI192&gt;T192),AU192,0),IF(AND(ISNUMBER(AJ192),AJ192&gt;T192),AV192,0))</f>
        <v/>
      </c>
      <c r="AX192" s="29">
        <f>IF(AN192=1,"transition",IF(MIN(IF(AND(I192=0,ISNUMBER(AK192),AK192&lt;=T192),AK192,9E15),IF(AND(J192=0,ISNUMBER(AL192),AL192&lt;=T192),AL192,9E15),IF(AND(K192=0,ISNUMBER(AM192),AM192&lt;=T192),AM192,9E15))&lt;9E15,IF(AND(AND(I192=0,ISNUMBER(AK192),AK192&lt;=T192),AK192=MIN(IF(AND(I192=0,ISNUMBER(AK192),AK192&lt;=T192),AK192,9E15),IF(AND(J192=0,ISNUMBER(AL192),AL192&lt;=T192),AL192,9E15),IF(AND(K192=0,ISNUMBER(AM192),AM192&lt;=T192),AM192,9E15))),"OR",IF(AND(AND(J192=0,ISNUMBER(AL192),AL192&lt;=T192),AL192=MIN(IF(AND(I192=0,ISNUMBER(AK192),AK192&lt;=T192),AK192,9E15),IF(AND(J192=0,ISNUMBER(AL192),AL192&lt;=T192),AL192,9E15),IF(AND(K192=0,ISNUMBER(AM192),AM192&lt;=T192),AM192,9E15))),"HP","FP")),IF(AR192=TRUE,"",IF(MAX(IF(AND(NOT(AND(AO192=1,AN192&lt;&gt;1)),ISNUMBER(AG192),AG192&lt;=T192),AS192,0),IF(AND(NOT(AND(AO192=1,AN192&lt;&gt;1)),ISNUMBER(AH192),AH192&lt;=T192),AT192,0),IF(AND(NOT(AND(AO192=1,AN192&lt;&gt;1)),ISNUMBER(AI192),AI192&lt;=T192),AU192,0),IF(AND(ISNUMBER(AJ192),AJ192&lt;=T192),AV192,0))&lt;=0,"",IF(AND(IF(AND(NOT(AND(AO192=1,AN192&lt;&gt;1)),ISNUMBER(AG192),AG192&lt;=T192),AS192,0)&gt;0,IF(AND(NOT(AND(AO192=1,AN192&lt;&gt;1)),ISNUMBER(AG192),AG192&lt;=T192),AS192,0)=MAX(IF(AND(NOT(AND(AO192=1,AN192&lt;&gt;1)),ISNUMBER(AG192),AG192&lt;=T192),AS192,0),IF(AND(NOT(AND(AO192=1,AN192&lt;&gt;1)),ISNUMBER(AH192),AH192&lt;=T192),AT192,0),IF(AND(NOT(AND(AO192=1,AN192&lt;&gt;1)),ISNUMBER(AI192),AI192&lt;=T192),AU192,0),IF(AND(ISNUMBER(AJ192),AJ192&lt;=T192),AV192,0))),"SW",IF(AND(IF(AND(NOT(AND(AO192=1,AN192&lt;&gt;1)),ISNUMBER(AH192),AH192&lt;=T192),AT192,0)&gt;0,IF(AND(NOT(AND(AO192=1,AN192&lt;&gt;1)),ISNUMBER(AH192),AH192&lt;=T192),AT192,0)=MAX(IF(AND(NOT(AND(AO192=1,AN192&lt;&gt;1)),ISNUMBER(AG192),AG192&lt;=T192),AS192,0),IF(AND(NOT(AND(AO192=1,AN192&lt;&gt;1)),ISNUMBER(AH192),AH192&lt;=T192),AT192,0),IF(AND(NOT(AND(AO192=1,AN192&lt;&gt;1)),ISNUMBER(AI192),AI192&lt;=T192),AU192,0),IF(AND(ISNUMBER(AJ192),AJ192&lt;=T192),AV192,0))),"AB",IF(AND(IF(AND(NOT(AND(AO192=1,AN192&lt;&gt;1)),ISNUMBER(AI192),AI192&lt;=T192),AU192,0)&gt;0,IF(AND(NOT(AND(AO192=1,AN192&lt;&gt;1)),ISNUMBER(AI192),AI192&lt;=T192),AU192,0)=MAX(IF(AND(NOT(AND(AO192=1,AN192&lt;&gt;1)),ISNUMBER(AG192),AG192&lt;=T192),AS192,0),IF(AND(NOT(AND(AO192=1,AN192&lt;&gt;1)),ISNUMBER(AH192),AH192&lt;=T192),AT192,0),IF(AND(NOT(AND(AO192=1,AN192&lt;&gt;1)),ISNUMBER(AI192),AI192&lt;=T192),AU192,0),IF(AND(ISNUMBER(AJ192),AJ192&lt;=T192),AV192,0))),"SC","Mag")))))))</f>
        <v/>
      </c>
    </row>
    <row r="193">
      <c r="A193" s="26" t="n">
        <v>188</v>
      </c>
      <c r="B193" s="27">
        <f>A193*10/60</f>
        <v/>
      </c>
      <c r="C193" s="22">
        <f>X192</f>
        <v/>
      </c>
      <c r="D193" s="27">
        <f>D192+W192</f>
        <v/>
      </c>
      <c r="E193" s="26">
        <f>E192+IF(U192="SW",1,0)</f>
        <v/>
      </c>
      <c r="F193" s="26">
        <f>F192+IF(U192="AB",1,0)</f>
        <v/>
      </c>
      <c r="G193" s="26">
        <f>G192+IF(U192="SC",1,0)</f>
        <v/>
      </c>
      <c r="H193" s="26">
        <f>H192+IF(U192="Mag",1,0)</f>
        <v/>
      </c>
      <c r="I193" s="26">
        <f>MAX(I192,IF(U192="OR",1,0))</f>
        <v/>
      </c>
      <c r="J193" s="26">
        <f>MAX(J192,IF(U192="HP",1,0))</f>
        <v/>
      </c>
      <c r="K193" s="26">
        <f>MAX(K192,IF(U192="FP",1,0))</f>
        <v/>
      </c>
      <c r="L193" s="26">
        <f>MAX(L192,IF(U192="transition",1,0))</f>
        <v/>
      </c>
      <c r="M193" s="28">
        <f>(Parameters!$B$9+(IF(E193=0,0,(Upgrades!$J$6+E193*Upgrades!$K$6)*POWER(Upgrades!$L$6,E193)))*(IF(Upgrades!$T$7="Solar Wind",POWER(Upgrades!$U$7,F193),1)*IF(Upgrades!$T$8="Solar Wind",POWER(Upgrades!$U$8,G193),1)*IF(Upgrades!$T$9="Solar Wind",POWER(Upgrades!$U$9,H193),1)*IF(Upgrades!$T$10="Solar Wind",POWER(Upgrades!$U$10,I193),1)*IF(Upgrades!$T$11="Solar Wind",POWER(Upgrades!$U$11,J193),1)*IF(Upgrades!$T$12="Solar Wind",POWER(Upgrades!$U$12,K193),1))+(IF(F193=0,0,(Upgrades!$J$7+F193*Upgrades!$K$7)*POWER(Upgrades!$L$7,F193)))*(IF(Upgrades!$T$6="Asteroid Belt",POWER(Upgrades!$U$6,E193),1)*IF(Upgrades!$T$8="Asteroid Belt",POWER(Upgrades!$U$8,G193),1)*IF(Upgrades!$T$9="Asteroid Belt",POWER(Upgrades!$U$9,H193),1)*IF(Upgrades!$T$10="Asteroid Belt",POWER(Upgrades!$U$10,I193),1)*IF(Upgrades!$T$11="Asteroid Belt",POWER(Upgrades!$U$11,J193),1)*IF(Upgrades!$T$12="Asteroid Belt",POWER(Upgrades!$U$12,K193),1))+(IF(G193=0,0,(Upgrades!$J$8+G193*Upgrades!$K$8)*POWER(Upgrades!$L$8,G193)))*(IF(Upgrades!$T$6="Stellar Coupling",POWER(Upgrades!$U$6,E193),1)*IF(Upgrades!$T$7="Stellar Coupling",POWER(Upgrades!$U$7,F193),1)*IF(Upgrades!$T$9="Stellar Coupling",POWER(Upgrades!$U$9,H193),1)*IF(Upgrades!$T$10="Stellar Coupling",POWER(Upgrades!$U$10,I193),1)*IF(Upgrades!$T$11="Stellar Coupling",POWER(Upgrades!$U$11,J193),1)*IF(Upgrades!$T$12="Stellar Coupling",POWER(Upgrades!$U$12,K193),1))+(IF(H193=0,0,(Upgrades!$J$9+H193*Upgrades!$K$9)*POWER(Upgrades!$L$9,H193)))*(IF(Upgrades!$T$6="Magnetosphere",POWER(Upgrades!$U$6,E193),1)*IF(Upgrades!$T$7="Magnetosphere",POWER(Upgrades!$U$7,F193),1)*IF(Upgrades!$T$8="Magnetosphere",POWER(Upgrades!$U$8,G193),1)*IF(Upgrades!$T$10="Magnetosphere",POWER(Upgrades!$U$10,I193),1)*IF(Upgrades!$T$11="Magnetosphere",POWER(Upgrades!$U$11,J193),1)*IF(Upgrades!$T$12="Magnetosphere",POWER(Upgrades!$U$12,K193),1))+(IF(I193=0,0,(Upgrades!$J$10+I193*Upgrades!$K$10)*POWER(Upgrades!$L$10,I193)))*(IF(Upgrades!$T$6="Orbital Resonance",POWER(Upgrades!$U$6,E193),1)*IF(Upgrades!$T$7="Orbital Resonance",POWER(Upgrades!$U$7,F193),1)*IF(Upgrades!$T$8="Orbital Resonance",POWER(Upgrades!$U$8,G193),1)*IF(Upgrades!$T$9="Orbital Resonance",POWER(Upgrades!$U$9,H193),1)*IF(Upgrades!$T$11="Orbital Resonance",POWER(Upgrades!$U$11,J193),1)*IF(Upgrades!$T$12="Orbital Resonance",POWER(Upgrades!$U$12,K193),1))+(IF(J193=0,0,(Upgrades!$J$11+J193*Upgrades!$K$11)*POWER(Upgrades!$L$11,J193)))*(IF(Upgrades!$T$6="Heliopause",POWER(Upgrades!$U$6,E193),1)*IF(Upgrades!$T$7="Heliopause",POWER(Upgrades!$U$7,F193),1)*IF(Upgrades!$T$8="Heliopause",POWER(Upgrades!$U$8,G193),1)*IF(Upgrades!$T$9="Heliopause",POWER(Upgrades!$U$9,H193),1)*IF(Upgrades!$T$10="Heliopause",POWER(Upgrades!$U$10,I193),1)*IF(Upgrades!$T$12="Heliopause",POWER(Upgrades!$U$12,K193),1))+(IF(K193=0,0,(Upgrades!$J$12+K193*Upgrades!$K$12)*POWER(Upgrades!$L$12,K193)))*(IF(Upgrades!$T$6="First Photons",POWER(Upgrades!$U$6,E193),1)*IF(Upgrades!$T$7="First Photons",POWER(Upgrades!$U$7,F193),1)*IF(Upgrades!$T$8="First Photons",POWER(Upgrades!$U$8,G193),1)*IF(Upgrades!$T$9="First Photons",POWER(Upgrades!$U$9,H193),1)*IF(Upgrades!$T$10="First Photons",POWER(Upgrades!$U$10,I193),1)*IF(Upgrades!$T$11="First Photons",POWER(Upgrades!$U$11,J193),1)))*POWER(Upgrades!$Q$6,E193)*POWER(Upgrades!$Q$7,F193)*POWER(Upgrades!$Q$8,G193)*POWER(Upgrades!$Q$9,H193)*POWER(Upgrades!$Q$10,I193)*POWER(Upgrades!$Q$11,J193)*POWER(Upgrades!$Q$12,K193)</f>
        <v/>
      </c>
      <c r="N193" s="28">
        <f>((IF(E193=0,0,(Upgrades!$G$6+E193*Upgrades!$H$6)*POWER(Upgrades!$I$6,E193)))*(IF(Upgrades!$T$7="Solar Wind",POWER(Upgrades!$U$7,F193),1)*IF(Upgrades!$T$8="Solar Wind",POWER(Upgrades!$U$8,G193),1)*IF(Upgrades!$T$9="Solar Wind",POWER(Upgrades!$U$9,H193),1)*IF(Upgrades!$T$10="Solar Wind",POWER(Upgrades!$U$10,I193),1)*IF(Upgrades!$T$11="Solar Wind",POWER(Upgrades!$U$11,J193),1)*IF(Upgrades!$T$12="Solar Wind",POWER(Upgrades!$U$12,K193),1))+(IF(F193=0,0,(Upgrades!$G$7+F193*Upgrades!$H$7)*POWER(Upgrades!$I$7,F193)))*(IF(Upgrades!$T$6="Asteroid Belt",POWER(Upgrades!$U$6,E193),1)*IF(Upgrades!$T$8="Asteroid Belt",POWER(Upgrades!$U$8,G193),1)*IF(Upgrades!$T$9="Asteroid Belt",POWER(Upgrades!$U$9,H193),1)*IF(Upgrades!$T$10="Asteroid Belt",POWER(Upgrades!$U$10,I193),1)*IF(Upgrades!$T$11="Asteroid Belt",POWER(Upgrades!$U$11,J193),1)*IF(Upgrades!$T$12="Asteroid Belt",POWER(Upgrades!$U$12,K193),1))+(IF(G193=0,0,(Upgrades!$G$8+G193*Upgrades!$H$8)*POWER(Upgrades!$I$8,G193)))*(IF(Upgrades!$T$6="Stellar Coupling",POWER(Upgrades!$U$6,E193),1)*IF(Upgrades!$T$7="Stellar Coupling",POWER(Upgrades!$U$7,F193),1)*IF(Upgrades!$T$9="Stellar Coupling",POWER(Upgrades!$U$9,H193),1)*IF(Upgrades!$T$10="Stellar Coupling",POWER(Upgrades!$U$10,I193),1)*IF(Upgrades!$T$11="Stellar Coupling",POWER(Upgrades!$U$11,J193),1)*IF(Upgrades!$T$12="Stellar Coupling",POWER(Upgrades!$U$12,K193),1))+(IF(H193=0,0,(Upgrades!$G$9+H193*Upgrades!$H$9)*POWER(Upgrades!$I$9,H193)))*(IF(Upgrades!$T$6="Magnetosphere",POWER(Upgrades!$U$6,E193),1)*IF(Upgrades!$T$7="Magnetosphere",POWER(Upgrades!$U$7,F193),1)*IF(Upgrades!$T$8="Magnetosphere",POWER(Upgrades!$U$8,G193),1)*IF(Upgrades!$T$10="Magnetosphere",POWER(Upgrades!$U$10,I193),1)*IF(Upgrades!$T$11="Magnetosphere",POWER(Upgrades!$U$11,J193),1)*IF(Upgrades!$T$12="Magnetosphere",POWER(Upgrades!$U$12,K193),1))+(IF(I193=0,0,(Upgrades!$G$10+I193*Upgrades!$H$10)*POWER(Upgrades!$I$10,I193)))*(IF(Upgrades!$T$6="Orbital Resonance",POWER(Upgrades!$U$6,E193),1)*IF(Upgrades!$T$7="Orbital Resonance",POWER(Upgrades!$U$7,F193),1)*IF(Upgrades!$T$8="Orbital Resonance",POWER(Upgrades!$U$8,G193),1)*IF(Upgrades!$T$9="Orbital Resonance",POWER(Upgrades!$U$9,H193),1)*IF(Upgrades!$T$11="Orbital Resonance",POWER(Upgrades!$U$11,J193),1)*IF(Upgrades!$T$12="Orbital Resonance",POWER(Upgrades!$U$12,K193),1))+(IF(J193=0,0,(Upgrades!$G$11+J193*Upgrades!$H$11)*POWER(Upgrades!$I$11,J193)))*(IF(Upgrades!$T$6="Heliopause",POWER(Upgrades!$U$6,E193),1)*IF(Upgrades!$T$7="Heliopause",POWER(Upgrades!$U$7,F193),1)*IF(Upgrades!$T$8="Heliopause",POWER(Upgrades!$U$8,G193),1)*IF(Upgrades!$T$9="Heliopause",POWER(Upgrades!$U$9,H193),1)*IF(Upgrades!$T$10="Heliopause",POWER(Upgrades!$U$10,I193),1)*IF(Upgrades!$T$12="Heliopause",POWER(Upgrades!$U$12,K193),1))+(IF(K193=0,0,(Upgrades!$G$12+K193*Upgrades!$H$12)*POWER(Upgrades!$I$12,K193)))*(IF(Upgrades!$T$6="First Photons",POWER(Upgrades!$U$6,E193),1)*IF(Upgrades!$T$7="First Photons",POWER(Upgrades!$U$7,F193),1)*IF(Upgrades!$T$8="First Photons",POWER(Upgrades!$U$8,G193),1)*IF(Upgrades!$T$9="First Photons",POWER(Upgrades!$U$9,H193),1)*IF(Upgrades!$T$10="First Photons",POWER(Upgrades!$U$10,I193),1)*IF(Upgrades!$T$11="First Photons",POWER(Upgrades!$U$11,J193),1)))*POWER(Upgrades!$P$6,E193)*POWER(Upgrades!$P$7,F193)*POWER(Upgrades!$P$8,G193)*POWER(Upgrades!$P$9,H193)*POWER(Upgrades!$P$10,I193)*POWER(Upgrades!$P$11,J193)*POWER(Upgrades!$P$12,K193)</f>
        <v/>
      </c>
      <c r="O193" s="28">
        <f>((IF(E193=0,0,(Upgrades!$M$6+E193*Upgrades!$N$6)*POWER(Upgrades!$O$6,E193)))*(IF(Upgrades!$T$7="Solar Wind",POWER(Upgrades!$U$7,F193),1)*IF(Upgrades!$T$8="Solar Wind",POWER(Upgrades!$U$8,G193),1)*IF(Upgrades!$T$9="Solar Wind",POWER(Upgrades!$U$9,H193),1)*IF(Upgrades!$T$10="Solar Wind",POWER(Upgrades!$U$10,I193),1)*IF(Upgrades!$T$11="Solar Wind",POWER(Upgrades!$U$11,J193),1)*IF(Upgrades!$T$12="Solar Wind",POWER(Upgrades!$U$12,K193),1))+(IF(F193=0,0,(Upgrades!$M$7+F193*Upgrades!$N$7)*POWER(Upgrades!$O$7,F193)))*(IF(Upgrades!$T$6="Asteroid Belt",POWER(Upgrades!$U$6,E193),1)*IF(Upgrades!$T$8="Asteroid Belt",POWER(Upgrades!$U$8,G193),1)*IF(Upgrades!$T$9="Asteroid Belt",POWER(Upgrades!$U$9,H193),1)*IF(Upgrades!$T$10="Asteroid Belt",POWER(Upgrades!$U$10,I193),1)*IF(Upgrades!$T$11="Asteroid Belt",POWER(Upgrades!$U$11,J193),1)*IF(Upgrades!$T$12="Asteroid Belt",POWER(Upgrades!$U$12,K193),1))+(IF(G193=0,0,(Upgrades!$M$8+G193*Upgrades!$N$8)*POWER(Upgrades!$O$8,G193)))*(IF(Upgrades!$T$6="Stellar Coupling",POWER(Upgrades!$U$6,E193),1)*IF(Upgrades!$T$7="Stellar Coupling",POWER(Upgrades!$U$7,F193),1)*IF(Upgrades!$T$9="Stellar Coupling",POWER(Upgrades!$U$9,H193),1)*IF(Upgrades!$T$10="Stellar Coupling",POWER(Upgrades!$U$10,I193),1)*IF(Upgrades!$T$11="Stellar Coupling",POWER(Upgrades!$U$11,J193),1)*IF(Upgrades!$T$12="Stellar Coupling",POWER(Upgrades!$U$12,K193),1))+(IF(H193=0,0,(Upgrades!$M$9+H193*Upgrades!$N$9)*POWER(Upgrades!$O$9,H193)))*(IF(Upgrades!$T$6="Magnetosphere",POWER(Upgrades!$U$6,E193),1)*IF(Upgrades!$T$7="Magnetosphere",POWER(Upgrades!$U$7,F193),1)*IF(Upgrades!$T$8="Magnetosphere",POWER(Upgrades!$U$8,G193),1)*IF(Upgrades!$T$10="Magnetosphere",POWER(Upgrades!$U$10,I193),1)*IF(Upgrades!$T$11="Magnetosphere",POWER(Upgrades!$U$11,J193),1)*IF(Upgrades!$T$12="Magnetosphere",POWER(Upgrades!$U$12,K193),1))+(IF(I193=0,0,(Upgrades!$M$10+I193*Upgrades!$N$10)*POWER(Upgrades!$O$10,I193)))*(IF(Upgrades!$T$6="Orbital Resonance",POWER(Upgrades!$U$6,E193),1)*IF(Upgrades!$T$7="Orbital Resonance",POWER(Upgrades!$U$7,F193),1)*IF(Upgrades!$T$8="Orbital Resonance",POWER(Upgrades!$U$8,G193),1)*IF(Upgrades!$T$9="Orbital Resonance",POWER(Upgrades!$U$9,H193),1)*IF(Upgrades!$T$11="Orbital Resonance",POWER(Upgrades!$U$11,J193),1)*IF(Upgrades!$T$12="Orbital Resonance",POWER(Upgrades!$U$12,K193),1))+(IF(J193=0,0,(Upgrades!$M$11+J193*Upgrades!$N$11)*POWER(Upgrades!$O$11,J193)))*(IF(Upgrades!$T$6="Heliopause",POWER(Upgrades!$U$6,E193),1)*IF(Upgrades!$T$7="Heliopause",POWER(Upgrades!$U$7,F193),1)*IF(Upgrades!$T$8="Heliopause",POWER(Upgrades!$U$8,G193),1)*IF(Upgrades!$T$9="Heliopause",POWER(Upgrades!$U$9,H193),1)*IF(Upgrades!$T$10="Heliopause",POWER(Upgrades!$U$10,I193),1)*IF(Upgrades!$T$12="Heliopause",POWER(Upgrades!$U$12,K193),1))+(IF(K193=0,0,(Upgrades!$M$12+K193*Upgrades!$N$12)*POWER(Upgrades!$O$12,K193)))*(IF(Upgrades!$T$6="First Photons",POWER(Upgrades!$U$6,E193),1)*IF(Upgrades!$T$7="First Photons",POWER(Upgrades!$U$7,F193),1)*IF(Upgrades!$T$8="First Photons",POWER(Upgrades!$U$8,G193),1)*IF(Upgrades!$T$9="First Photons",POWER(Upgrades!$U$9,H193),1)*IF(Upgrades!$T$10="First Photons",POWER(Upgrades!$U$10,I193),1)*IF(Upgrades!$T$11="First Photons",POWER(Upgrades!$U$11,J193),1)))*POWER(Upgrades!$R$6,E193)*POWER(Upgrades!$R$7,F193)*POWER(Upgrades!$R$8,G193)*POWER(Upgrades!$R$9,H193)*POWER(Upgrades!$R$10,I193)*POWER(Upgrades!$R$11,J193)*POWER(Upgrades!$R$12,K193)</f>
        <v/>
      </c>
      <c r="P193" s="27">
        <f>IF(L193=1,0,M193*Parameters!$B$10/60*Parameters!$B$11*10)</f>
        <v/>
      </c>
      <c r="Q193" s="27">
        <f>IF(L193=1,0,O193*M193*10)</f>
        <v/>
      </c>
      <c r="R193" s="27">
        <f>IF(L193=1,0,N193*10)</f>
        <v/>
      </c>
      <c r="S193" s="27">
        <f>P193+Q193+R193</f>
        <v/>
      </c>
      <c r="T193" s="22">
        <f>C193+S193</f>
        <v/>
      </c>
      <c r="U193" s="33">
        <f>AX193</f>
        <v/>
      </c>
      <c r="V193" s="22">
        <f>IF(U193="",0,IF(U193="transition",0,IF(U193="SW",AG193,IF(U193="AB",AH193,IF(U193="SC",AI193,IF(U193="Mag",AJ193,IF(U193="OR",AK193,IF(U193="HP",AL193,IF(U193="FP",AM193,0)))))))))</f>
        <v/>
      </c>
      <c r="W193" s="27">
        <f>IF(U193="OR",Upgrades!$F$10,IF(U193="HP",Upgrades!$F$11,IF(U193="transition",-Parameters!$B$18,0)))</f>
        <v/>
      </c>
      <c r="X193" s="22">
        <f>T193-V193</f>
        <v/>
      </c>
      <c r="Y193" s="30">
        <f>M193*Parameters!$B$10/60*Parameters!$B$11+O193*M193+N193</f>
        <v/>
      </c>
      <c r="Z193" s="34">
        <f>IF(U193="transition","→ Tier 2 (Stellar Neighborhood)",IF(U193="FP","First Photons — light begins, system quickens",IF(U193="HP","Heliopause acquired",IF(U193="OR","Orbital Resonance — passive multiplier active",IF(AND(AO193=1,L193=0,AN193&lt;&gt;1),"Cohesion ready (waiting on completionist upgrades)","")))))</f>
        <v/>
      </c>
      <c r="AA193" s="27">
        <f>(IF(E193=0,0,(Upgrades!$G$6+E193*Upgrades!$H$6)*POWER(Upgrades!$I$6,E193)))*(IF(Upgrades!$T$7="Solar Wind",POWER(Upgrades!$U$7,F193),1)*IF(Upgrades!$T$8="Solar Wind",POWER(Upgrades!$U$8,G193),1)*IF(Upgrades!$T$9="Solar Wind",POWER(Upgrades!$U$9,H193),1)*IF(Upgrades!$T$10="Solar Wind",POWER(Upgrades!$U$10,I193),1)*IF(Upgrades!$T$11="Solar Wind",POWER(Upgrades!$U$11,J193),1)*IF(Upgrades!$T$12="Solar Wind",POWER(Upgrades!$U$12,K193),1))*POWER(Upgrades!$P$6,E193)*POWER(Upgrades!$P$7,F193)*POWER(Upgrades!$P$8,G193)*POWER(Upgrades!$P$9,H193)*POWER(Upgrades!$P$10,I193)*POWER(Upgrades!$P$11,J193)*POWER(Upgrades!$P$12,K193)*60</f>
        <v/>
      </c>
      <c r="AB193" s="27">
        <f>(IF(F193=0,0,(Upgrades!$G$7+F193*Upgrades!$H$7)*POWER(Upgrades!$I$7,F193)))*(IF(Upgrades!$T$6="Asteroid Belt",POWER(Upgrades!$U$6,E193),1)*IF(Upgrades!$T$8="Asteroid Belt",POWER(Upgrades!$U$8,G193),1)*IF(Upgrades!$T$9="Asteroid Belt",POWER(Upgrades!$U$9,H193),1)*IF(Upgrades!$T$10="Asteroid Belt",POWER(Upgrades!$U$10,I193),1)*IF(Upgrades!$T$11="Asteroid Belt",POWER(Upgrades!$U$11,J193),1)*IF(Upgrades!$T$12="Asteroid Belt",POWER(Upgrades!$U$12,K193),1))*POWER(Upgrades!$P$6,E193)*POWER(Upgrades!$P$7,F193)*POWER(Upgrades!$P$8,G193)*POWER(Upgrades!$P$9,H193)*POWER(Upgrades!$P$10,I193)*POWER(Upgrades!$P$11,J193)*POWER(Upgrades!$P$12,K193)*60</f>
        <v/>
      </c>
      <c r="AC193" s="27">
        <f>(IF(G193=0,0,(Upgrades!$J$8+G193*Upgrades!$K$8)*POWER(Upgrades!$L$8,G193)))*(IF(Upgrades!$T$6="Stellar Coupling",POWER(Upgrades!$U$6,E193),1)*IF(Upgrades!$T$7="Stellar Coupling",POWER(Upgrades!$U$7,F193),1)*IF(Upgrades!$T$9="Stellar Coupling",POWER(Upgrades!$U$9,H193),1)*IF(Upgrades!$T$10="Stellar Coupling",POWER(Upgrades!$U$10,I193),1)*IF(Upgrades!$T$11="Stellar Coupling",POWER(Upgrades!$U$11,J193),1)*IF(Upgrades!$T$12="Stellar Coupling",POWER(Upgrades!$U$12,K193),1))*POWER(Upgrades!$Q$6,E193)*POWER(Upgrades!$Q$7,F193)*POWER(Upgrades!$Q$8,G193)*POWER(Upgrades!$Q$9,H193)*POWER(Upgrades!$Q$10,I193)*POWER(Upgrades!$Q$11,J193)*POWER(Upgrades!$Q$12,K193)*Parameters!$B$10*Parameters!$B$11</f>
        <v/>
      </c>
      <c r="AD193" s="27">
        <f>(IF(H193=0,0,(Upgrades!$G$9+H193*Upgrades!$H$9)*POWER(Upgrades!$I$9,H193)))*(IF(Upgrades!$T$6="Magnetosphere",POWER(Upgrades!$U$6,E193),1)*IF(Upgrades!$T$7="Magnetosphere",POWER(Upgrades!$U$7,F193),1)*IF(Upgrades!$T$8="Magnetosphere",POWER(Upgrades!$U$8,G193),1)*IF(Upgrades!$T$10="Magnetosphere",POWER(Upgrades!$U$10,I193),1)*IF(Upgrades!$T$11="Magnetosphere",POWER(Upgrades!$U$11,J193),1)*IF(Upgrades!$T$12="Magnetosphere",POWER(Upgrades!$U$12,K193),1))*POWER(Upgrades!$P$6,E193)*POWER(Upgrades!$P$7,F193)*POWER(Upgrades!$P$8,G193)*POWER(Upgrades!$P$9,H193)*POWER(Upgrades!$P$10,I193)*POWER(Upgrades!$P$11,J193)*POWER(Upgrades!$P$12,K193)*60</f>
        <v/>
      </c>
      <c r="AE193" s="27">
        <f>(IF(K193=0,0,(Upgrades!$G$12+K193*Upgrades!$H$12)*POWER(Upgrades!$I$12,K193)))*(IF(Upgrades!$T$6="First Photons",POWER(Upgrades!$U$6,E193),1)*IF(Upgrades!$T$7="First Photons",POWER(Upgrades!$U$7,F193),1)*IF(Upgrades!$T$8="First Photons",POWER(Upgrades!$U$8,G193),1)*IF(Upgrades!$T$9="First Photons",POWER(Upgrades!$U$9,H193),1)*IF(Upgrades!$T$10="First Photons",POWER(Upgrades!$U$10,I193),1)*IF(Upgrades!$T$11="First Photons",POWER(Upgrades!$U$11,J193),1))*POWER(Upgrades!$P$6,E193)*POWER(Upgrades!$P$7,F193)*POWER(Upgrades!$P$8,G193)*POWER(Upgrades!$P$9,H193)*POWER(Upgrades!$P$10,I193)*POWER(Upgrades!$P$11,J193)*POWER(Upgrades!$P$12,K193)*60</f>
        <v/>
      </c>
      <c r="AF193" s="27">
        <f>Parameters!$B$9*POWER(Upgrades!$Q$6,E193)*POWER(Upgrades!$Q$7,F193)*POWER(Upgrades!$Q$8,G193)*POWER(Upgrades!$Q$9,H193)*POWER(Upgrades!$Q$10,I193)*POWER(Upgrades!$Q$11,J193)*POWER(Upgrades!$Q$12,K193)*(Parameters!$B$10*Parameters!$B$11+O193*60)</f>
        <v/>
      </c>
      <c r="AG193" s="22">
        <f>IF(E193&gt;=Upgrades!$E$6,"",Upgrades!$C$6*POWER(Upgrades!$D$6,E193))</f>
        <v/>
      </c>
      <c r="AH193" s="22">
        <f>IF(F193&gt;=Upgrades!$E$7,"",Upgrades!$C$7*POWER(Upgrades!$D$7,F193))</f>
        <v/>
      </c>
      <c r="AI193" s="22">
        <f>IF(G193&gt;=Upgrades!$E$8,"",Upgrades!$C$8*POWER(Upgrades!$D$8,G193))</f>
        <v/>
      </c>
      <c r="AJ193" s="22">
        <f>IF(H193&gt;=Upgrades!$E$9,"",Upgrades!$C$9*POWER(Upgrades!$D$9,H193))</f>
        <v/>
      </c>
      <c r="AK193" s="22">
        <f>IF(I193&gt;=Upgrades!$E$10,"",Upgrades!$C$10*POWER(Upgrades!$D$10,I193))</f>
        <v/>
      </c>
      <c r="AL193" s="22">
        <f>IF(J193&gt;=Upgrades!$E$11,"",Upgrades!$C$11*POWER(Upgrades!$D$11,J193))</f>
        <v/>
      </c>
      <c r="AM193" s="22">
        <f>IF(K193&gt;=Upgrades!$E$12,"",Upgrades!$C$12*POWER(Upgrades!$D$12,K193))</f>
        <v/>
      </c>
      <c r="AN193" s="26">
        <f>IF(AND(D193&gt;=Parameters!$B$18,(H193&gt;=Upgrades!$E$9)*(K193&gt;=Upgrades!$E$12)=1,L193=0),1,"")</f>
        <v/>
      </c>
      <c r="AO193" s="26">
        <f>IF(AND(D193&gt;=Parameters!$B$18,L193=0),1,"")</f>
        <v/>
      </c>
      <c r="AP193" s="22">
        <f>MIN(IF(ISNUMBER(AK193),AK193,9E15),IF(ISNUMBER(AL193),AL193,9E15),IF(ISNUMBER(AM193),AM193,9E15))</f>
        <v/>
      </c>
      <c r="AQ193" s="22">
        <f>MIN(IF(ISNUMBER(AG193),AG193,9E15),IF(ISNUMBER(AH193),AH193,9E15),IF(ISNUMBER(AI193),AI193,9E15),IF(ISNUMBER(AJ193),AJ193,9E15))</f>
        <v/>
      </c>
      <c r="AR193" s="29">
        <f>IF(AW193&gt;Parameters!$B$21*(MAX(IF(AND(NOT(AND(AO193=1,AN193&lt;&gt;1)),ISNUMBER(AG193),AG193&lt;=T193),AS193,0),IF(AND(NOT(AND(AO193=1,AN193&lt;&gt;1)),ISNUMBER(AH193),AH193&lt;=T193),AT193,0),IF(AND(NOT(AND(AO193=1,AN193&lt;&gt;1)),ISNUMBER(AI193),AI193&lt;=T193),AU193,0),IF(AND(ISNUMBER(AJ193),AJ193&lt;=T193),AV193,0))),TRUE,FALSE)</f>
        <v/>
      </c>
      <c r="AS193" s="32">
        <f>IFERROR(Upgrades!$H$6*(POWER(Upgrades!$P$6,E193)*POWER(Upgrades!$P$7,F193)*POWER(Upgrades!$P$8,G193)*POWER(Upgrades!$P$9,H193)*POWER(Upgrades!$P$10,I193)*POWER(Upgrades!$P$11,J193)*POWER(Upgrades!$P$12,K193))*(IF(Upgrades!$T$7="Solar Wind",POWER(Upgrades!$U$7,F193),1)*IF(Upgrades!$T$8="Solar Wind",POWER(Upgrades!$U$8,G193),1)*IF(Upgrades!$T$9="Solar Wind",POWER(Upgrades!$U$9,H193),1)*IF(Upgrades!$T$10="Solar Wind",POWER(Upgrades!$U$10,I193),1)*IF(Upgrades!$T$11="Solar Wind",POWER(Upgrades!$U$11,J193),1)*IF(Upgrades!$T$12="Solar Wind",POWER(Upgrades!$U$12,K193),1))/AG193,0)</f>
        <v/>
      </c>
      <c r="AT193" s="32">
        <f>IFERROR(Upgrades!$H$7*(POWER(Upgrades!$P$6,E193)*POWER(Upgrades!$P$7,F193)*POWER(Upgrades!$P$8,G193)*POWER(Upgrades!$P$9,H193)*POWER(Upgrades!$P$10,I193)*POWER(Upgrades!$P$11,J193)*POWER(Upgrades!$P$12,K193))*(IF(Upgrades!$T$6="Asteroid Belt",POWER(Upgrades!$U$6,E193),1)*IF(Upgrades!$T$8="Asteroid Belt",POWER(Upgrades!$U$8,G193),1)*IF(Upgrades!$T$9="Asteroid Belt",POWER(Upgrades!$U$9,H193),1)*IF(Upgrades!$T$10="Asteroid Belt",POWER(Upgrades!$U$10,I193),1)*IF(Upgrades!$T$11="Asteroid Belt",POWER(Upgrades!$U$11,J193),1)*IF(Upgrades!$T$12="Asteroid Belt",POWER(Upgrades!$U$12,K193),1))/AH193,0)</f>
        <v/>
      </c>
      <c r="AU193" s="32">
        <f>IFERROR(Upgrades!$K$8*(POWER(Upgrades!$Q$6,E193)*POWER(Upgrades!$Q$7,F193)*POWER(Upgrades!$Q$8,G193)*POWER(Upgrades!$Q$9,H193)*POWER(Upgrades!$Q$10,I193)*POWER(Upgrades!$Q$11,J193)*POWER(Upgrades!$Q$12,K193))*(IF(Upgrades!$T$6="Stellar Coupling",POWER(Upgrades!$U$6,E193),1)*IF(Upgrades!$T$7="Stellar Coupling",POWER(Upgrades!$U$7,F193),1)*IF(Upgrades!$T$9="Stellar Coupling",POWER(Upgrades!$U$9,H193),1)*IF(Upgrades!$T$10="Stellar Coupling",POWER(Upgrades!$U$10,I193),1)*IF(Upgrades!$T$11="Stellar Coupling",POWER(Upgrades!$U$11,J193),1)*IF(Upgrades!$T$12="Stellar Coupling",POWER(Upgrades!$U$12,K193),1))*Parameters!$B$10*Parameters!$B$11/60/AI193,0)</f>
        <v/>
      </c>
      <c r="AV193" s="32">
        <f>IFERROR(Upgrades!$H$9*(POWER(Upgrades!$P$6,E193)*POWER(Upgrades!$P$7,F193)*POWER(Upgrades!$P$8,G193)*POWER(Upgrades!$P$9,H193)*POWER(Upgrades!$P$10,I193)*POWER(Upgrades!$P$11,J193)*POWER(Upgrades!$P$12,K193))*(IF(Upgrades!$T$6="Magnetosphere",POWER(Upgrades!$U$6,E193),1)*IF(Upgrades!$T$7="Magnetosphere",POWER(Upgrades!$U$7,F193),1)*IF(Upgrades!$T$8="Magnetosphere",POWER(Upgrades!$U$8,G193),1)*IF(Upgrades!$T$10="Magnetosphere",POWER(Upgrades!$U$10,I193),1)*IF(Upgrades!$T$11="Magnetosphere",POWER(Upgrades!$U$11,J193),1)*IF(Upgrades!$T$12="Magnetosphere",POWER(Upgrades!$U$12,K193),1))/AJ193,0)</f>
        <v/>
      </c>
      <c r="AW193" s="32">
        <f>MAX(IF(I193&gt;0,0,IFERROR(0.25*N193/Upgrades!$C$10,0)),IF(J193&gt;0,0,IFERROR(0.5*((IF(G193=0,0,(Upgrades!$J$8+G193*Upgrades!$K$8)*POWER(Upgrades!$L$8,G193)))*(IF(Upgrades!$T$6="Stellar Coupling",POWER(Upgrades!$U$6,E193),1)*IF(Upgrades!$T$7="Stellar Coupling",POWER(Upgrades!$U$7,F193),1)*IF(Upgrades!$T$9="Stellar Coupling",POWER(Upgrades!$U$9,H193),1)*IF(Upgrades!$T$10="Stellar Coupling",POWER(Upgrades!$U$10,I193),1)*IF(Upgrades!$T$11="Stellar Coupling",POWER(Upgrades!$U$11,J193),1)*IF(Upgrades!$T$12="Stellar Coupling",POWER(Upgrades!$U$12,K193),1))*(POWER(Upgrades!$Q$6,E193)*POWER(Upgrades!$Q$7,F193)*POWER(Upgrades!$Q$8,G193)*POWER(Upgrades!$Q$9,H193)*POWER(Upgrades!$Q$10,I193)*POWER(Upgrades!$Q$11,J193)*POWER(Upgrades!$Q$12,K193))*Parameters!$B$10*Parameters!$B$11/60)/Upgrades!$C$11,0)),IF(K193&gt;0,0,IFERROR((1.0*(POWER(Upgrades!$P$6,E193)*POWER(Upgrades!$P$7,F193)*POWER(Upgrades!$P$8,G193)*POWER(Upgrades!$P$9,H193)*POWER(Upgrades!$P$10,I193)*POWER(Upgrades!$P$11,J193)*POWER(Upgrades!$P$12,K193))+0.20*M193*Parameters!$B$10*Parameters!$B$11/60)/Upgrades!$C$12,0)),IF(AND(ISNUMBER(AG193),AG193&gt;T193),AS193,0),IF(AND(ISNUMBER(AH193),AH193&gt;T193),AT193,0),IF(AND(ISNUMBER(AI193),AI193&gt;T193),AU193,0),IF(AND(ISNUMBER(AJ193),AJ193&gt;T193),AV193,0))</f>
        <v/>
      </c>
      <c r="AX193" s="29">
        <f>IF(AN193=1,"transition",IF(MIN(IF(AND(I193=0,ISNUMBER(AK193),AK193&lt;=T193),AK193,9E15),IF(AND(J193=0,ISNUMBER(AL193),AL193&lt;=T193),AL193,9E15),IF(AND(K193=0,ISNUMBER(AM193),AM193&lt;=T193),AM193,9E15))&lt;9E15,IF(AND(AND(I193=0,ISNUMBER(AK193),AK193&lt;=T193),AK193=MIN(IF(AND(I193=0,ISNUMBER(AK193),AK193&lt;=T193),AK193,9E15),IF(AND(J193=0,ISNUMBER(AL193),AL193&lt;=T193),AL193,9E15),IF(AND(K193=0,ISNUMBER(AM193),AM193&lt;=T193),AM193,9E15))),"OR",IF(AND(AND(J193=0,ISNUMBER(AL193),AL193&lt;=T193),AL193=MIN(IF(AND(I193=0,ISNUMBER(AK193),AK193&lt;=T193),AK193,9E15),IF(AND(J193=0,ISNUMBER(AL193),AL193&lt;=T193),AL193,9E15),IF(AND(K193=0,ISNUMBER(AM193),AM193&lt;=T193),AM193,9E15))),"HP","FP")),IF(AR193=TRUE,"",IF(MAX(IF(AND(NOT(AND(AO193=1,AN193&lt;&gt;1)),ISNUMBER(AG193),AG193&lt;=T193),AS193,0),IF(AND(NOT(AND(AO193=1,AN193&lt;&gt;1)),ISNUMBER(AH193),AH193&lt;=T193),AT193,0),IF(AND(NOT(AND(AO193=1,AN193&lt;&gt;1)),ISNUMBER(AI193),AI193&lt;=T193),AU193,0),IF(AND(ISNUMBER(AJ193),AJ193&lt;=T193),AV193,0))&lt;=0,"",IF(AND(IF(AND(NOT(AND(AO193=1,AN193&lt;&gt;1)),ISNUMBER(AG193),AG193&lt;=T193),AS193,0)&gt;0,IF(AND(NOT(AND(AO193=1,AN193&lt;&gt;1)),ISNUMBER(AG193),AG193&lt;=T193),AS193,0)=MAX(IF(AND(NOT(AND(AO193=1,AN193&lt;&gt;1)),ISNUMBER(AG193),AG193&lt;=T193),AS193,0),IF(AND(NOT(AND(AO193=1,AN193&lt;&gt;1)),ISNUMBER(AH193),AH193&lt;=T193),AT193,0),IF(AND(NOT(AND(AO193=1,AN193&lt;&gt;1)),ISNUMBER(AI193),AI193&lt;=T193),AU193,0),IF(AND(ISNUMBER(AJ193),AJ193&lt;=T193),AV193,0))),"SW",IF(AND(IF(AND(NOT(AND(AO193=1,AN193&lt;&gt;1)),ISNUMBER(AH193),AH193&lt;=T193),AT193,0)&gt;0,IF(AND(NOT(AND(AO193=1,AN193&lt;&gt;1)),ISNUMBER(AH193),AH193&lt;=T193),AT193,0)=MAX(IF(AND(NOT(AND(AO193=1,AN193&lt;&gt;1)),ISNUMBER(AG193),AG193&lt;=T193),AS193,0),IF(AND(NOT(AND(AO193=1,AN193&lt;&gt;1)),ISNUMBER(AH193),AH193&lt;=T193),AT193,0),IF(AND(NOT(AND(AO193=1,AN193&lt;&gt;1)),ISNUMBER(AI193),AI193&lt;=T193),AU193,0),IF(AND(ISNUMBER(AJ193),AJ193&lt;=T193),AV193,0))),"AB",IF(AND(IF(AND(NOT(AND(AO193=1,AN193&lt;&gt;1)),ISNUMBER(AI193),AI193&lt;=T193),AU193,0)&gt;0,IF(AND(NOT(AND(AO193=1,AN193&lt;&gt;1)),ISNUMBER(AI193),AI193&lt;=T193),AU193,0)=MAX(IF(AND(NOT(AND(AO193=1,AN193&lt;&gt;1)),ISNUMBER(AG193),AG193&lt;=T193),AS193,0),IF(AND(NOT(AND(AO193=1,AN193&lt;&gt;1)),ISNUMBER(AH193),AH193&lt;=T193),AT193,0),IF(AND(NOT(AND(AO193=1,AN193&lt;&gt;1)),ISNUMBER(AI193),AI193&lt;=T193),AU193,0),IF(AND(ISNUMBER(AJ193),AJ193&lt;=T193),AV193,0))),"SC","Mag")))))))</f>
        <v/>
      </c>
    </row>
    <row r="194">
      <c r="A194" s="26" t="n">
        <v>189</v>
      </c>
      <c r="B194" s="27">
        <f>A194*10/60</f>
        <v/>
      </c>
      <c r="C194" s="22">
        <f>X193</f>
        <v/>
      </c>
      <c r="D194" s="27">
        <f>D193+W193</f>
        <v/>
      </c>
      <c r="E194" s="26">
        <f>E193+IF(U193="SW",1,0)</f>
        <v/>
      </c>
      <c r="F194" s="26">
        <f>F193+IF(U193="AB",1,0)</f>
        <v/>
      </c>
      <c r="G194" s="26">
        <f>G193+IF(U193="SC",1,0)</f>
        <v/>
      </c>
      <c r="H194" s="26">
        <f>H193+IF(U193="Mag",1,0)</f>
        <v/>
      </c>
      <c r="I194" s="26">
        <f>MAX(I193,IF(U193="OR",1,0))</f>
        <v/>
      </c>
      <c r="J194" s="26">
        <f>MAX(J193,IF(U193="HP",1,0))</f>
        <v/>
      </c>
      <c r="K194" s="26">
        <f>MAX(K193,IF(U193="FP",1,0))</f>
        <v/>
      </c>
      <c r="L194" s="26">
        <f>MAX(L193,IF(U193="transition",1,0))</f>
        <v/>
      </c>
      <c r="M194" s="28">
        <f>(Parameters!$B$9+(IF(E194=0,0,(Upgrades!$J$6+E194*Upgrades!$K$6)*POWER(Upgrades!$L$6,E194)))*(IF(Upgrades!$T$7="Solar Wind",POWER(Upgrades!$U$7,F194),1)*IF(Upgrades!$T$8="Solar Wind",POWER(Upgrades!$U$8,G194),1)*IF(Upgrades!$T$9="Solar Wind",POWER(Upgrades!$U$9,H194),1)*IF(Upgrades!$T$10="Solar Wind",POWER(Upgrades!$U$10,I194),1)*IF(Upgrades!$T$11="Solar Wind",POWER(Upgrades!$U$11,J194),1)*IF(Upgrades!$T$12="Solar Wind",POWER(Upgrades!$U$12,K194),1))+(IF(F194=0,0,(Upgrades!$J$7+F194*Upgrades!$K$7)*POWER(Upgrades!$L$7,F194)))*(IF(Upgrades!$T$6="Asteroid Belt",POWER(Upgrades!$U$6,E194),1)*IF(Upgrades!$T$8="Asteroid Belt",POWER(Upgrades!$U$8,G194),1)*IF(Upgrades!$T$9="Asteroid Belt",POWER(Upgrades!$U$9,H194),1)*IF(Upgrades!$T$10="Asteroid Belt",POWER(Upgrades!$U$10,I194),1)*IF(Upgrades!$T$11="Asteroid Belt",POWER(Upgrades!$U$11,J194),1)*IF(Upgrades!$T$12="Asteroid Belt",POWER(Upgrades!$U$12,K194),1))+(IF(G194=0,0,(Upgrades!$J$8+G194*Upgrades!$K$8)*POWER(Upgrades!$L$8,G194)))*(IF(Upgrades!$T$6="Stellar Coupling",POWER(Upgrades!$U$6,E194),1)*IF(Upgrades!$T$7="Stellar Coupling",POWER(Upgrades!$U$7,F194),1)*IF(Upgrades!$T$9="Stellar Coupling",POWER(Upgrades!$U$9,H194),1)*IF(Upgrades!$T$10="Stellar Coupling",POWER(Upgrades!$U$10,I194),1)*IF(Upgrades!$T$11="Stellar Coupling",POWER(Upgrades!$U$11,J194),1)*IF(Upgrades!$T$12="Stellar Coupling",POWER(Upgrades!$U$12,K194),1))+(IF(H194=0,0,(Upgrades!$J$9+H194*Upgrades!$K$9)*POWER(Upgrades!$L$9,H194)))*(IF(Upgrades!$T$6="Magnetosphere",POWER(Upgrades!$U$6,E194),1)*IF(Upgrades!$T$7="Magnetosphere",POWER(Upgrades!$U$7,F194),1)*IF(Upgrades!$T$8="Magnetosphere",POWER(Upgrades!$U$8,G194),1)*IF(Upgrades!$T$10="Magnetosphere",POWER(Upgrades!$U$10,I194),1)*IF(Upgrades!$T$11="Magnetosphere",POWER(Upgrades!$U$11,J194),1)*IF(Upgrades!$T$12="Magnetosphere",POWER(Upgrades!$U$12,K194),1))+(IF(I194=0,0,(Upgrades!$J$10+I194*Upgrades!$K$10)*POWER(Upgrades!$L$10,I194)))*(IF(Upgrades!$T$6="Orbital Resonance",POWER(Upgrades!$U$6,E194),1)*IF(Upgrades!$T$7="Orbital Resonance",POWER(Upgrades!$U$7,F194),1)*IF(Upgrades!$T$8="Orbital Resonance",POWER(Upgrades!$U$8,G194),1)*IF(Upgrades!$T$9="Orbital Resonance",POWER(Upgrades!$U$9,H194),1)*IF(Upgrades!$T$11="Orbital Resonance",POWER(Upgrades!$U$11,J194),1)*IF(Upgrades!$T$12="Orbital Resonance",POWER(Upgrades!$U$12,K194),1))+(IF(J194=0,0,(Upgrades!$J$11+J194*Upgrades!$K$11)*POWER(Upgrades!$L$11,J194)))*(IF(Upgrades!$T$6="Heliopause",POWER(Upgrades!$U$6,E194),1)*IF(Upgrades!$T$7="Heliopause",POWER(Upgrades!$U$7,F194),1)*IF(Upgrades!$T$8="Heliopause",POWER(Upgrades!$U$8,G194),1)*IF(Upgrades!$T$9="Heliopause",POWER(Upgrades!$U$9,H194),1)*IF(Upgrades!$T$10="Heliopause",POWER(Upgrades!$U$10,I194),1)*IF(Upgrades!$T$12="Heliopause",POWER(Upgrades!$U$12,K194),1))+(IF(K194=0,0,(Upgrades!$J$12+K194*Upgrades!$K$12)*POWER(Upgrades!$L$12,K194)))*(IF(Upgrades!$T$6="First Photons",POWER(Upgrades!$U$6,E194),1)*IF(Upgrades!$T$7="First Photons",POWER(Upgrades!$U$7,F194),1)*IF(Upgrades!$T$8="First Photons",POWER(Upgrades!$U$8,G194),1)*IF(Upgrades!$T$9="First Photons",POWER(Upgrades!$U$9,H194),1)*IF(Upgrades!$T$10="First Photons",POWER(Upgrades!$U$10,I194),1)*IF(Upgrades!$T$11="First Photons",POWER(Upgrades!$U$11,J194),1)))*POWER(Upgrades!$Q$6,E194)*POWER(Upgrades!$Q$7,F194)*POWER(Upgrades!$Q$8,G194)*POWER(Upgrades!$Q$9,H194)*POWER(Upgrades!$Q$10,I194)*POWER(Upgrades!$Q$11,J194)*POWER(Upgrades!$Q$12,K194)</f>
        <v/>
      </c>
      <c r="N194" s="28">
        <f>((IF(E194=0,0,(Upgrades!$G$6+E194*Upgrades!$H$6)*POWER(Upgrades!$I$6,E194)))*(IF(Upgrades!$T$7="Solar Wind",POWER(Upgrades!$U$7,F194),1)*IF(Upgrades!$T$8="Solar Wind",POWER(Upgrades!$U$8,G194),1)*IF(Upgrades!$T$9="Solar Wind",POWER(Upgrades!$U$9,H194),1)*IF(Upgrades!$T$10="Solar Wind",POWER(Upgrades!$U$10,I194),1)*IF(Upgrades!$T$11="Solar Wind",POWER(Upgrades!$U$11,J194),1)*IF(Upgrades!$T$12="Solar Wind",POWER(Upgrades!$U$12,K194),1))+(IF(F194=0,0,(Upgrades!$G$7+F194*Upgrades!$H$7)*POWER(Upgrades!$I$7,F194)))*(IF(Upgrades!$T$6="Asteroid Belt",POWER(Upgrades!$U$6,E194),1)*IF(Upgrades!$T$8="Asteroid Belt",POWER(Upgrades!$U$8,G194),1)*IF(Upgrades!$T$9="Asteroid Belt",POWER(Upgrades!$U$9,H194),1)*IF(Upgrades!$T$10="Asteroid Belt",POWER(Upgrades!$U$10,I194),1)*IF(Upgrades!$T$11="Asteroid Belt",POWER(Upgrades!$U$11,J194),1)*IF(Upgrades!$T$12="Asteroid Belt",POWER(Upgrades!$U$12,K194),1))+(IF(G194=0,0,(Upgrades!$G$8+G194*Upgrades!$H$8)*POWER(Upgrades!$I$8,G194)))*(IF(Upgrades!$T$6="Stellar Coupling",POWER(Upgrades!$U$6,E194),1)*IF(Upgrades!$T$7="Stellar Coupling",POWER(Upgrades!$U$7,F194),1)*IF(Upgrades!$T$9="Stellar Coupling",POWER(Upgrades!$U$9,H194),1)*IF(Upgrades!$T$10="Stellar Coupling",POWER(Upgrades!$U$10,I194),1)*IF(Upgrades!$T$11="Stellar Coupling",POWER(Upgrades!$U$11,J194),1)*IF(Upgrades!$T$12="Stellar Coupling",POWER(Upgrades!$U$12,K194),1))+(IF(H194=0,0,(Upgrades!$G$9+H194*Upgrades!$H$9)*POWER(Upgrades!$I$9,H194)))*(IF(Upgrades!$T$6="Magnetosphere",POWER(Upgrades!$U$6,E194),1)*IF(Upgrades!$T$7="Magnetosphere",POWER(Upgrades!$U$7,F194),1)*IF(Upgrades!$T$8="Magnetosphere",POWER(Upgrades!$U$8,G194),1)*IF(Upgrades!$T$10="Magnetosphere",POWER(Upgrades!$U$10,I194),1)*IF(Upgrades!$T$11="Magnetosphere",POWER(Upgrades!$U$11,J194),1)*IF(Upgrades!$T$12="Magnetosphere",POWER(Upgrades!$U$12,K194),1))+(IF(I194=0,0,(Upgrades!$G$10+I194*Upgrades!$H$10)*POWER(Upgrades!$I$10,I194)))*(IF(Upgrades!$T$6="Orbital Resonance",POWER(Upgrades!$U$6,E194),1)*IF(Upgrades!$T$7="Orbital Resonance",POWER(Upgrades!$U$7,F194),1)*IF(Upgrades!$T$8="Orbital Resonance",POWER(Upgrades!$U$8,G194),1)*IF(Upgrades!$T$9="Orbital Resonance",POWER(Upgrades!$U$9,H194),1)*IF(Upgrades!$T$11="Orbital Resonance",POWER(Upgrades!$U$11,J194),1)*IF(Upgrades!$T$12="Orbital Resonance",POWER(Upgrades!$U$12,K194),1))+(IF(J194=0,0,(Upgrades!$G$11+J194*Upgrades!$H$11)*POWER(Upgrades!$I$11,J194)))*(IF(Upgrades!$T$6="Heliopause",POWER(Upgrades!$U$6,E194),1)*IF(Upgrades!$T$7="Heliopause",POWER(Upgrades!$U$7,F194),1)*IF(Upgrades!$T$8="Heliopause",POWER(Upgrades!$U$8,G194),1)*IF(Upgrades!$T$9="Heliopause",POWER(Upgrades!$U$9,H194),1)*IF(Upgrades!$T$10="Heliopause",POWER(Upgrades!$U$10,I194),1)*IF(Upgrades!$T$12="Heliopause",POWER(Upgrades!$U$12,K194),1))+(IF(K194=0,0,(Upgrades!$G$12+K194*Upgrades!$H$12)*POWER(Upgrades!$I$12,K194)))*(IF(Upgrades!$T$6="First Photons",POWER(Upgrades!$U$6,E194),1)*IF(Upgrades!$T$7="First Photons",POWER(Upgrades!$U$7,F194),1)*IF(Upgrades!$T$8="First Photons",POWER(Upgrades!$U$8,G194),1)*IF(Upgrades!$T$9="First Photons",POWER(Upgrades!$U$9,H194),1)*IF(Upgrades!$T$10="First Photons",POWER(Upgrades!$U$10,I194),1)*IF(Upgrades!$T$11="First Photons",POWER(Upgrades!$U$11,J194),1)))*POWER(Upgrades!$P$6,E194)*POWER(Upgrades!$P$7,F194)*POWER(Upgrades!$P$8,G194)*POWER(Upgrades!$P$9,H194)*POWER(Upgrades!$P$10,I194)*POWER(Upgrades!$P$11,J194)*POWER(Upgrades!$P$12,K194)</f>
        <v/>
      </c>
      <c r="O194" s="28">
        <f>((IF(E194=0,0,(Upgrades!$M$6+E194*Upgrades!$N$6)*POWER(Upgrades!$O$6,E194)))*(IF(Upgrades!$T$7="Solar Wind",POWER(Upgrades!$U$7,F194),1)*IF(Upgrades!$T$8="Solar Wind",POWER(Upgrades!$U$8,G194),1)*IF(Upgrades!$T$9="Solar Wind",POWER(Upgrades!$U$9,H194),1)*IF(Upgrades!$T$10="Solar Wind",POWER(Upgrades!$U$10,I194),1)*IF(Upgrades!$T$11="Solar Wind",POWER(Upgrades!$U$11,J194),1)*IF(Upgrades!$T$12="Solar Wind",POWER(Upgrades!$U$12,K194),1))+(IF(F194=0,0,(Upgrades!$M$7+F194*Upgrades!$N$7)*POWER(Upgrades!$O$7,F194)))*(IF(Upgrades!$T$6="Asteroid Belt",POWER(Upgrades!$U$6,E194),1)*IF(Upgrades!$T$8="Asteroid Belt",POWER(Upgrades!$U$8,G194),1)*IF(Upgrades!$T$9="Asteroid Belt",POWER(Upgrades!$U$9,H194),1)*IF(Upgrades!$T$10="Asteroid Belt",POWER(Upgrades!$U$10,I194),1)*IF(Upgrades!$T$11="Asteroid Belt",POWER(Upgrades!$U$11,J194),1)*IF(Upgrades!$T$12="Asteroid Belt",POWER(Upgrades!$U$12,K194),1))+(IF(G194=0,0,(Upgrades!$M$8+G194*Upgrades!$N$8)*POWER(Upgrades!$O$8,G194)))*(IF(Upgrades!$T$6="Stellar Coupling",POWER(Upgrades!$U$6,E194),1)*IF(Upgrades!$T$7="Stellar Coupling",POWER(Upgrades!$U$7,F194),1)*IF(Upgrades!$T$9="Stellar Coupling",POWER(Upgrades!$U$9,H194),1)*IF(Upgrades!$T$10="Stellar Coupling",POWER(Upgrades!$U$10,I194),1)*IF(Upgrades!$T$11="Stellar Coupling",POWER(Upgrades!$U$11,J194),1)*IF(Upgrades!$T$12="Stellar Coupling",POWER(Upgrades!$U$12,K194),1))+(IF(H194=0,0,(Upgrades!$M$9+H194*Upgrades!$N$9)*POWER(Upgrades!$O$9,H194)))*(IF(Upgrades!$T$6="Magnetosphere",POWER(Upgrades!$U$6,E194),1)*IF(Upgrades!$T$7="Magnetosphere",POWER(Upgrades!$U$7,F194),1)*IF(Upgrades!$T$8="Magnetosphere",POWER(Upgrades!$U$8,G194),1)*IF(Upgrades!$T$10="Magnetosphere",POWER(Upgrades!$U$10,I194),1)*IF(Upgrades!$T$11="Magnetosphere",POWER(Upgrades!$U$11,J194),1)*IF(Upgrades!$T$12="Magnetosphere",POWER(Upgrades!$U$12,K194),1))+(IF(I194=0,0,(Upgrades!$M$10+I194*Upgrades!$N$10)*POWER(Upgrades!$O$10,I194)))*(IF(Upgrades!$T$6="Orbital Resonance",POWER(Upgrades!$U$6,E194),1)*IF(Upgrades!$T$7="Orbital Resonance",POWER(Upgrades!$U$7,F194),1)*IF(Upgrades!$T$8="Orbital Resonance",POWER(Upgrades!$U$8,G194),1)*IF(Upgrades!$T$9="Orbital Resonance",POWER(Upgrades!$U$9,H194),1)*IF(Upgrades!$T$11="Orbital Resonance",POWER(Upgrades!$U$11,J194),1)*IF(Upgrades!$T$12="Orbital Resonance",POWER(Upgrades!$U$12,K194),1))+(IF(J194=0,0,(Upgrades!$M$11+J194*Upgrades!$N$11)*POWER(Upgrades!$O$11,J194)))*(IF(Upgrades!$T$6="Heliopause",POWER(Upgrades!$U$6,E194),1)*IF(Upgrades!$T$7="Heliopause",POWER(Upgrades!$U$7,F194),1)*IF(Upgrades!$T$8="Heliopause",POWER(Upgrades!$U$8,G194),1)*IF(Upgrades!$T$9="Heliopause",POWER(Upgrades!$U$9,H194),1)*IF(Upgrades!$T$10="Heliopause",POWER(Upgrades!$U$10,I194),1)*IF(Upgrades!$T$12="Heliopause",POWER(Upgrades!$U$12,K194),1))+(IF(K194=0,0,(Upgrades!$M$12+K194*Upgrades!$N$12)*POWER(Upgrades!$O$12,K194)))*(IF(Upgrades!$T$6="First Photons",POWER(Upgrades!$U$6,E194),1)*IF(Upgrades!$T$7="First Photons",POWER(Upgrades!$U$7,F194),1)*IF(Upgrades!$T$8="First Photons",POWER(Upgrades!$U$8,G194),1)*IF(Upgrades!$T$9="First Photons",POWER(Upgrades!$U$9,H194),1)*IF(Upgrades!$T$10="First Photons",POWER(Upgrades!$U$10,I194),1)*IF(Upgrades!$T$11="First Photons",POWER(Upgrades!$U$11,J194),1)))*POWER(Upgrades!$R$6,E194)*POWER(Upgrades!$R$7,F194)*POWER(Upgrades!$R$8,G194)*POWER(Upgrades!$R$9,H194)*POWER(Upgrades!$R$10,I194)*POWER(Upgrades!$R$11,J194)*POWER(Upgrades!$R$12,K194)</f>
        <v/>
      </c>
      <c r="P194" s="27">
        <f>IF(L194=1,0,M194*Parameters!$B$10/60*Parameters!$B$11*10)</f>
        <v/>
      </c>
      <c r="Q194" s="27">
        <f>IF(L194=1,0,O194*M194*10)</f>
        <v/>
      </c>
      <c r="R194" s="27">
        <f>IF(L194=1,0,N194*10)</f>
        <v/>
      </c>
      <c r="S194" s="27">
        <f>P194+Q194+R194</f>
        <v/>
      </c>
      <c r="T194" s="22">
        <f>C194+S194</f>
        <v/>
      </c>
      <c r="U194" s="33">
        <f>AX194</f>
        <v/>
      </c>
      <c r="V194" s="22">
        <f>IF(U194="",0,IF(U194="transition",0,IF(U194="SW",AG194,IF(U194="AB",AH194,IF(U194="SC",AI194,IF(U194="Mag",AJ194,IF(U194="OR",AK194,IF(U194="HP",AL194,IF(U194="FP",AM194,0)))))))))</f>
        <v/>
      </c>
      <c r="W194" s="27">
        <f>IF(U194="OR",Upgrades!$F$10,IF(U194="HP",Upgrades!$F$11,IF(U194="transition",-Parameters!$B$18,0)))</f>
        <v/>
      </c>
      <c r="X194" s="22">
        <f>T194-V194</f>
        <v/>
      </c>
      <c r="Y194" s="30">
        <f>M194*Parameters!$B$10/60*Parameters!$B$11+O194*M194+N194</f>
        <v/>
      </c>
      <c r="Z194" s="34">
        <f>IF(U194="transition","→ Tier 2 (Stellar Neighborhood)",IF(U194="FP","First Photons — light begins, system quickens",IF(U194="HP","Heliopause acquired",IF(U194="OR","Orbital Resonance — passive multiplier active",IF(AND(AO194=1,L194=0,AN194&lt;&gt;1),"Cohesion ready (waiting on completionist upgrades)","")))))</f>
        <v/>
      </c>
      <c r="AA194" s="27">
        <f>(IF(E194=0,0,(Upgrades!$G$6+E194*Upgrades!$H$6)*POWER(Upgrades!$I$6,E194)))*(IF(Upgrades!$T$7="Solar Wind",POWER(Upgrades!$U$7,F194),1)*IF(Upgrades!$T$8="Solar Wind",POWER(Upgrades!$U$8,G194),1)*IF(Upgrades!$T$9="Solar Wind",POWER(Upgrades!$U$9,H194),1)*IF(Upgrades!$T$10="Solar Wind",POWER(Upgrades!$U$10,I194),1)*IF(Upgrades!$T$11="Solar Wind",POWER(Upgrades!$U$11,J194),1)*IF(Upgrades!$T$12="Solar Wind",POWER(Upgrades!$U$12,K194),1))*POWER(Upgrades!$P$6,E194)*POWER(Upgrades!$P$7,F194)*POWER(Upgrades!$P$8,G194)*POWER(Upgrades!$P$9,H194)*POWER(Upgrades!$P$10,I194)*POWER(Upgrades!$P$11,J194)*POWER(Upgrades!$P$12,K194)*60</f>
        <v/>
      </c>
      <c r="AB194" s="27">
        <f>(IF(F194=0,0,(Upgrades!$G$7+F194*Upgrades!$H$7)*POWER(Upgrades!$I$7,F194)))*(IF(Upgrades!$T$6="Asteroid Belt",POWER(Upgrades!$U$6,E194),1)*IF(Upgrades!$T$8="Asteroid Belt",POWER(Upgrades!$U$8,G194),1)*IF(Upgrades!$T$9="Asteroid Belt",POWER(Upgrades!$U$9,H194),1)*IF(Upgrades!$T$10="Asteroid Belt",POWER(Upgrades!$U$10,I194),1)*IF(Upgrades!$T$11="Asteroid Belt",POWER(Upgrades!$U$11,J194),1)*IF(Upgrades!$T$12="Asteroid Belt",POWER(Upgrades!$U$12,K194),1))*POWER(Upgrades!$P$6,E194)*POWER(Upgrades!$P$7,F194)*POWER(Upgrades!$P$8,G194)*POWER(Upgrades!$P$9,H194)*POWER(Upgrades!$P$10,I194)*POWER(Upgrades!$P$11,J194)*POWER(Upgrades!$P$12,K194)*60</f>
        <v/>
      </c>
      <c r="AC194" s="27">
        <f>(IF(G194=0,0,(Upgrades!$J$8+G194*Upgrades!$K$8)*POWER(Upgrades!$L$8,G194)))*(IF(Upgrades!$T$6="Stellar Coupling",POWER(Upgrades!$U$6,E194),1)*IF(Upgrades!$T$7="Stellar Coupling",POWER(Upgrades!$U$7,F194),1)*IF(Upgrades!$T$9="Stellar Coupling",POWER(Upgrades!$U$9,H194),1)*IF(Upgrades!$T$10="Stellar Coupling",POWER(Upgrades!$U$10,I194),1)*IF(Upgrades!$T$11="Stellar Coupling",POWER(Upgrades!$U$11,J194),1)*IF(Upgrades!$T$12="Stellar Coupling",POWER(Upgrades!$U$12,K194),1))*POWER(Upgrades!$Q$6,E194)*POWER(Upgrades!$Q$7,F194)*POWER(Upgrades!$Q$8,G194)*POWER(Upgrades!$Q$9,H194)*POWER(Upgrades!$Q$10,I194)*POWER(Upgrades!$Q$11,J194)*POWER(Upgrades!$Q$12,K194)*Parameters!$B$10*Parameters!$B$11</f>
        <v/>
      </c>
      <c r="AD194" s="27">
        <f>(IF(H194=0,0,(Upgrades!$G$9+H194*Upgrades!$H$9)*POWER(Upgrades!$I$9,H194)))*(IF(Upgrades!$T$6="Magnetosphere",POWER(Upgrades!$U$6,E194),1)*IF(Upgrades!$T$7="Magnetosphere",POWER(Upgrades!$U$7,F194),1)*IF(Upgrades!$T$8="Magnetosphere",POWER(Upgrades!$U$8,G194),1)*IF(Upgrades!$T$10="Magnetosphere",POWER(Upgrades!$U$10,I194),1)*IF(Upgrades!$T$11="Magnetosphere",POWER(Upgrades!$U$11,J194),1)*IF(Upgrades!$T$12="Magnetosphere",POWER(Upgrades!$U$12,K194),1))*POWER(Upgrades!$P$6,E194)*POWER(Upgrades!$P$7,F194)*POWER(Upgrades!$P$8,G194)*POWER(Upgrades!$P$9,H194)*POWER(Upgrades!$P$10,I194)*POWER(Upgrades!$P$11,J194)*POWER(Upgrades!$P$12,K194)*60</f>
        <v/>
      </c>
      <c r="AE194" s="27">
        <f>(IF(K194=0,0,(Upgrades!$G$12+K194*Upgrades!$H$12)*POWER(Upgrades!$I$12,K194)))*(IF(Upgrades!$T$6="First Photons",POWER(Upgrades!$U$6,E194),1)*IF(Upgrades!$T$7="First Photons",POWER(Upgrades!$U$7,F194),1)*IF(Upgrades!$T$8="First Photons",POWER(Upgrades!$U$8,G194),1)*IF(Upgrades!$T$9="First Photons",POWER(Upgrades!$U$9,H194),1)*IF(Upgrades!$T$10="First Photons",POWER(Upgrades!$U$10,I194),1)*IF(Upgrades!$T$11="First Photons",POWER(Upgrades!$U$11,J194),1))*POWER(Upgrades!$P$6,E194)*POWER(Upgrades!$P$7,F194)*POWER(Upgrades!$P$8,G194)*POWER(Upgrades!$P$9,H194)*POWER(Upgrades!$P$10,I194)*POWER(Upgrades!$P$11,J194)*POWER(Upgrades!$P$12,K194)*60</f>
        <v/>
      </c>
      <c r="AF194" s="27">
        <f>Parameters!$B$9*POWER(Upgrades!$Q$6,E194)*POWER(Upgrades!$Q$7,F194)*POWER(Upgrades!$Q$8,G194)*POWER(Upgrades!$Q$9,H194)*POWER(Upgrades!$Q$10,I194)*POWER(Upgrades!$Q$11,J194)*POWER(Upgrades!$Q$12,K194)*(Parameters!$B$10*Parameters!$B$11+O194*60)</f>
        <v/>
      </c>
      <c r="AG194" s="22">
        <f>IF(E194&gt;=Upgrades!$E$6,"",Upgrades!$C$6*POWER(Upgrades!$D$6,E194))</f>
        <v/>
      </c>
      <c r="AH194" s="22">
        <f>IF(F194&gt;=Upgrades!$E$7,"",Upgrades!$C$7*POWER(Upgrades!$D$7,F194))</f>
        <v/>
      </c>
      <c r="AI194" s="22">
        <f>IF(G194&gt;=Upgrades!$E$8,"",Upgrades!$C$8*POWER(Upgrades!$D$8,G194))</f>
        <v/>
      </c>
      <c r="AJ194" s="22">
        <f>IF(H194&gt;=Upgrades!$E$9,"",Upgrades!$C$9*POWER(Upgrades!$D$9,H194))</f>
        <v/>
      </c>
      <c r="AK194" s="22">
        <f>IF(I194&gt;=Upgrades!$E$10,"",Upgrades!$C$10*POWER(Upgrades!$D$10,I194))</f>
        <v/>
      </c>
      <c r="AL194" s="22">
        <f>IF(J194&gt;=Upgrades!$E$11,"",Upgrades!$C$11*POWER(Upgrades!$D$11,J194))</f>
        <v/>
      </c>
      <c r="AM194" s="22">
        <f>IF(K194&gt;=Upgrades!$E$12,"",Upgrades!$C$12*POWER(Upgrades!$D$12,K194))</f>
        <v/>
      </c>
      <c r="AN194" s="26">
        <f>IF(AND(D194&gt;=Parameters!$B$18,(H194&gt;=Upgrades!$E$9)*(K194&gt;=Upgrades!$E$12)=1,L194=0),1,"")</f>
        <v/>
      </c>
      <c r="AO194" s="26">
        <f>IF(AND(D194&gt;=Parameters!$B$18,L194=0),1,"")</f>
        <v/>
      </c>
      <c r="AP194" s="22">
        <f>MIN(IF(ISNUMBER(AK194),AK194,9E15),IF(ISNUMBER(AL194),AL194,9E15),IF(ISNUMBER(AM194),AM194,9E15))</f>
        <v/>
      </c>
      <c r="AQ194" s="22">
        <f>MIN(IF(ISNUMBER(AG194),AG194,9E15),IF(ISNUMBER(AH194),AH194,9E15),IF(ISNUMBER(AI194),AI194,9E15),IF(ISNUMBER(AJ194),AJ194,9E15))</f>
        <v/>
      </c>
      <c r="AR194" s="29">
        <f>IF(AW194&gt;Parameters!$B$21*(MAX(IF(AND(NOT(AND(AO194=1,AN194&lt;&gt;1)),ISNUMBER(AG194),AG194&lt;=T194),AS194,0),IF(AND(NOT(AND(AO194=1,AN194&lt;&gt;1)),ISNUMBER(AH194),AH194&lt;=T194),AT194,0),IF(AND(NOT(AND(AO194=1,AN194&lt;&gt;1)),ISNUMBER(AI194),AI194&lt;=T194),AU194,0),IF(AND(ISNUMBER(AJ194),AJ194&lt;=T194),AV194,0))),TRUE,FALSE)</f>
        <v/>
      </c>
      <c r="AS194" s="32">
        <f>IFERROR(Upgrades!$H$6*(POWER(Upgrades!$P$6,E194)*POWER(Upgrades!$P$7,F194)*POWER(Upgrades!$P$8,G194)*POWER(Upgrades!$P$9,H194)*POWER(Upgrades!$P$10,I194)*POWER(Upgrades!$P$11,J194)*POWER(Upgrades!$P$12,K194))*(IF(Upgrades!$T$7="Solar Wind",POWER(Upgrades!$U$7,F194),1)*IF(Upgrades!$T$8="Solar Wind",POWER(Upgrades!$U$8,G194),1)*IF(Upgrades!$T$9="Solar Wind",POWER(Upgrades!$U$9,H194),1)*IF(Upgrades!$T$10="Solar Wind",POWER(Upgrades!$U$10,I194),1)*IF(Upgrades!$T$11="Solar Wind",POWER(Upgrades!$U$11,J194),1)*IF(Upgrades!$T$12="Solar Wind",POWER(Upgrades!$U$12,K194),1))/AG194,0)</f>
        <v/>
      </c>
      <c r="AT194" s="32">
        <f>IFERROR(Upgrades!$H$7*(POWER(Upgrades!$P$6,E194)*POWER(Upgrades!$P$7,F194)*POWER(Upgrades!$P$8,G194)*POWER(Upgrades!$P$9,H194)*POWER(Upgrades!$P$10,I194)*POWER(Upgrades!$P$11,J194)*POWER(Upgrades!$P$12,K194))*(IF(Upgrades!$T$6="Asteroid Belt",POWER(Upgrades!$U$6,E194),1)*IF(Upgrades!$T$8="Asteroid Belt",POWER(Upgrades!$U$8,G194),1)*IF(Upgrades!$T$9="Asteroid Belt",POWER(Upgrades!$U$9,H194),1)*IF(Upgrades!$T$10="Asteroid Belt",POWER(Upgrades!$U$10,I194),1)*IF(Upgrades!$T$11="Asteroid Belt",POWER(Upgrades!$U$11,J194),1)*IF(Upgrades!$T$12="Asteroid Belt",POWER(Upgrades!$U$12,K194),1))/AH194,0)</f>
        <v/>
      </c>
      <c r="AU194" s="32">
        <f>IFERROR(Upgrades!$K$8*(POWER(Upgrades!$Q$6,E194)*POWER(Upgrades!$Q$7,F194)*POWER(Upgrades!$Q$8,G194)*POWER(Upgrades!$Q$9,H194)*POWER(Upgrades!$Q$10,I194)*POWER(Upgrades!$Q$11,J194)*POWER(Upgrades!$Q$12,K194))*(IF(Upgrades!$T$6="Stellar Coupling",POWER(Upgrades!$U$6,E194),1)*IF(Upgrades!$T$7="Stellar Coupling",POWER(Upgrades!$U$7,F194),1)*IF(Upgrades!$T$9="Stellar Coupling",POWER(Upgrades!$U$9,H194),1)*IF(Upgrades!$T$10="Stellar Coupling",POWER(Upgrades!$U$10,I194),1)*IF(Upgrades!$T$11="Stellar Coupling",POWER(Upgrades!$U$11,J194),1)*IF(Upgrades!$T$12="Stellar Coupling",POWER(Upgrades!$U$12,K194),1))*Parameters!$B$10*Parameters!$B$11/60/AI194,0)</f>
        <v/>
      </c>
      <c r="AV194" s="32">
        <f>IFERROR(Upgrades!$H$9*(POWER(Upgrades!$P$6,E194)*POWER(Upgrades!$P$7,F194)*POWER(Upgrades!$P$8,G194)*POWER(Upgrades!$P$9,H194)*POWER(Upgrades!$P$10,I194)*POWER(Upgrades!$P$11,J194)*POWER(Upgrades!$P$12,K194))*(IF(Upgrades!$T$6="Magnetosphere",POWER(Upgrades!$U$6,E194),1)*IF(Upgrades!$T$7="Magnetosphere",POWER(Upgrades!$U$7,F194),1)*IF(Upgrades!$T$8="Magnetosphere",POWER(Upgrades!$U$8,G194),1)*IF(Upgrades!$T$10="Magnetosphere",POWER(Upgrades!$U$10,I194),1)*IF(Upgrades!$T$11="Magnetosphere",POWER(Upgrades!$U$11,J194),1)*IF(Upgrades!$T$12="Magnetosphere",POWER(Upgrades!$U$12,K194),1))/AJ194,0)</f>
        <v/>
      </c>
      <c r="AW194" s="32">
        <f>MAX(IF(I194&gt;0,0,IFERROR(0.25*N194/Upgrades!$C$10,0)),IF(J194&gt;0,0,IFERROR(0.5*((IF(G194=0,0,(Upgrades!$J$8+G194*Upgrades!$K$8)*POWER(Upgrades!$L$8,G194)))*(IF(Upgrades!$T$6="Stellar Coupling",POWER(Upgrades!$U$6,E194),1)*IF(Upgrades!$T$7="Stellar Coupling",POWER(Upgrades!$U$7,F194),1)*IF(Upgrades!$T$9="Stellar Coupling",POWER(Upgrades!$U$9,H194),1)*IF(Upgrades!$T$10="Stellar Coupling",POWER(Upgrades!$U$10,I194),1)*IF(Upgrades!$T$11="Stellar Coupling",POWER(Upgrades!$U$11,J194),1)*IF(Upgrades!$T$12="Stellar Coupling",POWER(Upgrades!$U$12,K194),1))*(POWER(Upgrades!$Q$6,E194)*POWER(Upgrades!$Q$7,F194)*POWER(Upgrades!$Q$8,G194)*POWER(Upgrades!$Q$9,H194)*POWER(Upgrades!$Q$10,I194)*POWER(Upgrades!$Q$11,J194)*POWER(Upgrades!$Q$12,K194))*Parameters!$B$10*Parameters!$B$11/60)/Upgrades!$C$11,0)),IF(K194&gt;0,0,IFERROR((1.0*(POWER(Upgrades!$P$6,E194)*POWER(Upgrades!$P$7,F194)*POWER(Upgrades!$P$8,G194)*POWER(Upgrades!$P$9,H194)*POWER(Upgrades!$P$10,I194)*POWER(Upgrades!$P$11,J194)*POWER(Upgrades!$P$12,K194))+0.20*M194*Parameters!$B$10*Parameters!$B$11/60)/Upgrades!$C$12,0)),IF(AND(ISNUMBER(AG194),AG194&gt;T194),AS194,0),IF(AND(ISNUMBER(AH194),AH194&gt;T194),AT194,0),IF(AND(ISNUMBER(AI194),AI194&gt;T194),AU194,0),IF(AND(ISNUMBER(AJ194),AJ194&gt;T194),AV194,0))</f>
        <v/>
      </c>
      <c r="AX194" s="29">
        <f>IF(AN194=1,"transition",IF(MIN(IF(AND(I194=0,ISNUMBER(AK194),AK194&lt;=T194),AK194,9E15),IF(AND(J194=0,ISNUMBER(AL194),AL194&lt;=T194),AL194,9E15),IF(AND(K194=0,ISNUMBER(AM194),AM194&lt;=T194),AM194,9E15))&lt;9E15,IF(AND(AND(I194=0,ISNUMBER(AK194),AK194&lt;=T194),AK194=MIN(IF(AND(I194=0,ISNUMBER(AK194),AK194&lt;=T194),AK194,9E15),IF(AND(J194=0,ISNUMBER(AL194),AL194&lt;=T194),AL194,9E15),IF(AND(K194=0,ISNUMBER(AM194),AM194&lt;=T194),AM194,9E15))),"OR",IF(AND(AND(J194=0,ISNUMBER(AL194),AL194&lt;=T194),AL194=MIN(IF(AND(I194=0,ISNUMBER(AK194),AK194&lt;=T194),AK194,9E15),IF(AND(J194=0,ISNUMBER(AL194),AL194&lt;=T194),AL194,9E15),IF(AND(K194=0,ISNUMBER(AM194),AM194&lt;=T194),AM194,9E15))),"HP","FP")),IF(AR194=TRUE,"",IF(MAX(IF(AND(NOT(AND(AO194=1,AN194&lt;&gt;1)),ISNUMBER(AG194),AG194&lt;=T194),AS194,0),IF(AND(NOT(AND(AO194=1,AN194&lt;&gt;1)),ISNUMBER(AH194),AH194&lt;=T194),AT194,0),IF(AND(NOT(AND(AO194=1,AN194&lt;&gt;1)),ISNUMBER(AI194),AI194&lt;=T194),AU194,0),IF(AND(ISNUMBER(AJ194),AJ194&lt;=T194),AV194,0))&lt;=0,"",IF(AND(IF(AND(NOT(AND(AO194=1,AN194&lt;&gt;1)),ISNUMBER(AG194),AG194&lt;=T194),AS194,0)&gt;0,IF(AND(NOT(AND(AO194=1,AN194&lt;&gt;1)),ISNUMBER(AG194),AG194&lt;=T194),AS194,0)=MAX(IF(AND(NOT(AND(AO194=1,AN194&lt;&gt;1)),ISNUMBER(AG194),AG194&lt;=T194),AS194,0),IF(AND(NOT(AND(AO194=1,AN194&lt;&gt;1)),ISNUMBER(AH194),AH194&lt;=T194),AT194,0),IF(AND(NOT(AND(AO194=1,AN194&lt;&gt;1)),ISNUMBER(AI194),AI194&lt;=T194),AU194,0),IF(AND(ISNUMBER(AJ194),AJ194&lt;=T194),AV194,0))),"SW",IF(AND(IF(AND(NOT(AND(AO194=1,AN194&lt;&gt;1)),ISNUMBER(AH194),AH194&lt;=T194),AT194,0)&gt;0,IF(AND(NOT(AND(AO194=1,AN194&lt;&gt;1)),ISNUMBER(AH194),AH194&lt;=T194),AT194,0)=MAX(IF(AND(NOT(AND(AO194=1,AN194&lt;&gt;1)),ISNUMBER(AG194),AG194&lt;=T194),AS194,0),IF(AND(NOT(AND(AO194=1,AN194&lt;&gt;1)),ISNUMBER(AH194),AH194&lt;=T194),AT194,0),IF(AND(NOT(AND(AO194=1,AN194&lt;&gt;1)),ISNUMBER(AI194),AI194&lt;=T194),AU194,0),IF(AND(ISNUMBER(AJ194),AJ194&lt;=T194),AV194,0))),"AB",IF(AND(IF(AND(NOT(AND(AO194=1,AN194&lt;&gt;1)),ISNUMBER(AI194),AI194&lt;=T194),AU194,0)&gt;0,IF(AND(NOT(AND(AO194=1,AN194&lt;&gt;1)),ISNUMBER(AI194),AI194&lt;=T194),AU194,0)=MAX(IF(AND(NOT(AND(AO194=1,AN194&lt;&gt;1)),ISNUMBER(AG194),AG194&lt;=T194),AS194,0),IF(AND(NOT(AND(AO194=1,AN194&lt;&gt;1)),ISNUMBER(AH194),AH194&lt;=T194),AT194,0),IF(AND(NOT(AND(AO194=1,AN194&lt;&gt;1)),ISNUMBER(AI194),AI194&lt;=T194),AU194,0),IF(AND(ISNUMBER(AJ194),AJ194&lt;=T194),AV194,0))),"SC","Mag")))))))</f>
        <v/>
      </c>
    </row>
    <row r="195">
      <c r="A195" s="26" t="n">
        <v>190</v>
      </c>
      <c r="B195" s="27">
        <f>A195*10/60</f>
        <v/>
      </c>
      <c r="C195" s="22">
        <f>X194</f>
        <v/>
      </c>
      <c r="D195" s="27">
        <f>D194+W194</f>
        <v/>
      </c>
      <c r="E195" s="26">
        <f>E194+IF(U194="SW",1,0)</f>
        <v/>
      </c>
      <c r="F195" s="26">
        <f>F194+IF(U194="AB",1,0)</f>
        <v/>
      </c>
      <c r="G195" s="26">
        <f>G194+IF(U194="SC",1,0)</f>
        <v/>
      </c>
      <c r="H195" s="26">
        <f>H194+IF(U194="Mag",1,0)</f>
        <v/>
      </c>
      <c r="I195" s="26">
        <f>MAX(I194,IF(U194="OR",1,0))</f>
        <v/>
      </c>
      <c r="J195" s="26">
        <f>MAX(J194,IF(U194="HP",1,0))</f>
        <v/>
      </c>
      <c r="K195" s="26">
        <f>MAX(K194,IF(U194="FP",1,0))</f>
        <v/>
      </c>
      <c r="L195" s="26">
        <f>MAX(L194,IF(U194="transition",1,0))</f>
        <v/>
      </c>
      <c r="M195" s="28">
        <f>(Parameters!$B$9+(IF(E195=0,0,(Upgrades!$J$6+E195*Upgrades!$K$6)*POWER(Upgrades!$L$6,E195)))*(IF(Upgrades!$T$7="Solar Wind",POWER(Upgrades!$U$7,F195),1)*IF(Upgrades!$T$8="Solar Wind",POWER(Upgrades!$U$8,G195),1)*IF(Upgrades!$T$9="Solar Wind",POWER(Upgrades!$U$9,H195),1)*IF(Upgrades!$T$10="Solar Wind",POWER(Upgrades!$U$10,I195),1)*IF(Upgrades!$T$11="Solar Wind",POWER(Upgrades!$U$11,J195),1)*IF(Upgrades!$T$12="Solar Wind",POWER(Upgrades!$U$12,K195),1))+(IF(F195=0,0,(Upgrades!$J$7+F195*Upgrades!$K$7)*POWER(Upgrades!$L$7,F195)))*(IF(Upgrades!$T$6="Asteroid Belt",POWER(Upgrades!$U$6,E195),1)*IF(Upgrades!$T$8="Asteroid Belt",POWER(Upgrades!$U$8,G195),1)*IF(Upgrades!$T$9="Asteroid Belt",POWER(Upgrades!$U$9,H195),1)*IF(Upgrades!$T$10="Asteroid Belt",POWER(Upgrades!$U$10,I195),1)*IF(Upgrades!$T$11="Asteroid Belt",POWER(Upgrades!$U$11,J195),1)*IF(Upgrades!$T$12="Asteroid Belt",POWER(Upgrades!$U$12,K195),1))+(IF(G195=0,0,(Upgrades!$J$8+G195*Upgrades!$K$8)*POWER(Upgrades!$L$8,G195)))*(IF(Upgrades!$T$6="Stellar Coupling",POWER(Upgrades!$U$6,E195),1)*IF(Upgrades!$T$7="Stellar Coupling",POWER(Upgrades!$U$7,F195),1)*IF(Upgrades!$T$9="Stellar Coupling",POWER(Upgrades!$U$9,H195),1)*IF(Upgrades!$T$10="Stellar Coupling",POWER(Upgrades!$U$10,I195),1)*IF(Upgrades!$T$11="Stellar Coupling",POWER(Upgrades!$U$11,J195),1)*IF(Upgrades!$T$12="Stellar Coupling",POWER(Upgrades!$U$12,K195),1))+(IF(H195=0,0,(Upgrades!$J$9+H195*Upgrades!$K$9)*POWER(Upgrades!$L$9,H195)))*(IF(Upgrades!$T$6="Magnetosphere",POWER(Upgrades!$U$6,E195),1)*IF(Upgrades!$T$7="Magnetosphere",POWER(Upgrades!$U$7,F195),1)*IF(Upgrades!$T$8="Magnetosphere",POWER(Upgrades!$U$8,G195),1)*IF(Upgrades!$T$10="Magnetosphere",POWER(Upgrades!$U$10,I195),1)*IF(Upgrades!$T$11="Magnetosphere",POWER(Upgrades!$U$11,J195),1)*IF(Upgrades!$T$12="Magnetosphere",POWER(Upgrades!$U$12,K195),1))+(IF(I195=0,0,(Upgrades!$J$10+I195*Upgrades!$K$10)*POWER(Upgrades!$L$10,I195)))*(IF(Upgrades!$T$6="Orbital Resonance",POWER(Upgrades!$U$6,E195),1)*IF(Upgrades!$T$7="Orbital Resonance",POWER(Upgrades!$U$7,F195),1)*IF(Upgrades!$T$8="Orbital Resonance",POWER(Upgrades!$U$8,G195),1)*IF(Upgrades!$T$9="Orbital Resonance",POWER(Upgrades!$U$9,H195),1)*IF(Upgrades!$T$11="Orbital Resonance",POWER(Upgrades!$U$11,J195),1)*IF(Upgrades!$T$12="Orbital Resonance",POWER(Upgrades!$U$12,K195),1))+(IF(J195=0,0,(Upgrades!$J$11+J195*Upgrades!$K$11)*POWER(Upgrades!$L$11,J195)))*(IF(Upgrades!$T$6="Heliopause",POWER(Upgrades!$U$6,E195),1)*IF(Upgrades!$T$7="Heliopause",POWER(Upgrades!$U$7,F195),1)*IF(Upgrades!$T$8="Heliopause",POWER(Upgrades!$U$8,G195),1)*IF(Upgrades!$T$9="Heliopause",POWER(Upgrades!$U$9,H195),1)*IF(Upgrades!$T$10="Heliopause",POWER(Upgrades!$U$10,I195),1)*IF(Upgrades!$T$12="Heliopause",POWER(Upgrades!$U$12,K195),1))+(IF(K195=0,0,(Upgrades!$J$12+K195*Upgrades!$K$12)*POWER(Upgrades!$L$12,K195)))*(IF(Upgrades!$T$6="First Photons",POWER(Upgrades!$U$6,E195),1)*IF(Upgrades!$T$7="First Photons",POWER(Upgrades!$U$7,F195),1)*IF(Upgrades!$T$8="First Photons",POWER(Upgrades!$U$8,G195),1)*IF(Upgrades!$T$9="First Photons",POWER(Upgrades!$U$9,H195),1)*IF(Upgrades!$T$10="First Photons",POWER(Upgrades!$U$10,I195),1)*IF(Upgrades!$T$11="First Photons",POWER(Upgrades!$U$11,J195),1)))*POWER(Upgrades!$Q$6,E195)*POWER(Upgrades!$Q$7,F195)*POWER(Upgrades!$Q$8,G195)*POWER(Upgrades!$Q$9,H195)*POWER(Upgrades!$Q$10,I195)*POWER(Upgrades!$Q$11,J195)*POWER(Upgrades!$Q$12,K195)</f>
        <v/>
      </c>
      <c r="N195" s="28">
        <f>((IF(E195=0,0,(Upgrades!$G$6+E195*Upgrades!$H$6)*POWER(Upgrades!$I$6,E195)))*(IF(Upgrades!$T$7="Solar Wind",POWER(Upgrades!$U$7,F195),1)*IF(Upgrades!$T$8="Solar Wind",POWER(Upgrades!$U$8,G195),1)*IF(Upgrades!$T$9="Solar Wind",POWER(Upgrades!$U$9,H195),1)*IF(Upgrades!$T$10="Solar Wind",POWER(Upgrades!$U$10,I195),1)*IF(Upgrades!$T$11="Solar Wind",POWER(Upgrades!$U$11,J195),1)*IF(Upgrades!$T$12="Solar Wind",POWER(Upgrades!$U$12,K195),1))+(IF(F195=0,0,(Upgrades!$G$7+F195*Upgrades!$H$7)*POWER(Upgrades!$I$7,F195)))*(IF(Upgrades!$T$6="Asteroid Belt",POWER(Upgrades!$U$6,E195),1)*IF(Upgrades!$T$8="Asteroid Belt",POWER(Upgrades!$U$8,G195),1)*IF(Upgrades!$T$9="Asteroid Belt",POWER(Upgrades!$U$9,H195),1)*IF(Upgrades!$T$10="Asteroid Belt",POWER(Upgrades!$U$10,I195),1)*IF(Upgrades!$T$11="Asteroid Belt",POWER(Upgrades!$U$11,J195),1)*IF(Upgrades!$T$12="Asteroid Belt",POWER(Upgrades!$U$12,K195),1))+(IF(G195=0,0,(Upgrades!$G$8+G195*Upgrades!$H$8)*POWER(Upgrades!$I$8,G195)))*(IF(Upgrades!$T$6="Stellar Coupling",POWER(Upgrades!$U$6,E195),1)*IF(Upgrades!$T$7="Stellar Coupling",POWER(Upgrades!$U$7,F195),1)*IF(Upgrades!$T$9="Stellar Coupling",POWER(Upgrades!$U$9,H195),1)*IF(Upgrades!$T$10="Stellar Coupling",POWER(Upgrades!$U$10,I195),1)*IF(Upgrades!$T$11="Stellar Coupling",POWER(Upgrades!$U$11,J195),1)*IF(Upgrades!$T$12="Stellar Coupling",POWER(Upgrades!$U$12,K195),1))+(IF(H195=0,0,(Upgrades!$G$9+H195*Upgrades!$H$9)*POWER(Upgrades!$I$9,H195)))*(IF(Upgrades!$T$6="Magnetosphere",POWER(Upgrades!$U$6,E195),1)*IF(Upgrades!$T$7="Magnetosphere",POWER(Upgrades!$U$7,F195),1)*IF(Upgrades!$T$8="Magnetosphere",POWER(Upgrades!$U$8,G195),1)*IF(Upgrades!$T$10="Magnetosphere",POWER(Upgrades!$U$10,I195),1)*IF(Upgrades!$T$11="Magnetosphere",POWER(Upgrades!$U$11,J195),1)*IF(Upgrades!$T$12="Magnetosphere",POWER(Upgrades!$U$12,K195),1))+(IF(I195=0,0,(Upgrades!$G$10+I195*Upgrades!$H$10)*POWER(Upgrades!$I$10,I195)))*(IF(Upgrades!$T$6="Orbital Resonance",POWER(Upgrades!$U$6,E195),1)*IF(Upgrades!$T$7="Orbital Resonance",POWER(Upgrades!$U$7,F195),1)*IF(Upgrades!$T$8="Orbital Resonance",POWER(Upgrades!$U$8,G195),1)*IF(Upgrades!$T$9="Orbital Resonance",POWER(Upgrades!$U$9,H195),1)*IF(Upgrades!$T$11="Orbital Resonance",POWER(Upgrades!$U$11,J195),1)*IF(Upgrades!$T$12="Orbital Resonance",POWER(Upgrades!$U$12,K195),1))+(IF(J195=0,0,(Upgrades!$G$11+J195*Upgrades!$H$11)*POWER(Upgrades!$I$11,J195)))*(IF(Upgrades!$T$6="Heliopause",POWER(Upgrades!$U$6,E195),1)*IF(Upgrades!$T$7="Heliopause",POWER(Upgrades!$U$7,F195),1)*IF(Upgrades!$T$8="Heliopause",POWER(Upgrades!$U$8,G195),1)*IF(Upgrades!$T$9="Heliopause",POWER(Upgrades!$U$9,H195),1)*IF(Upgrades!$T$10="Heliopause",POWER(Upgrades!$U$10,I195),1)*IF(Upgrades!$T$12="Heliopause",POWER(Upgrades!$U$12,K195),1))+(IF(K195=0,0,(Upgrades!$G$12+K195*Upgrades!$H$12)*POWER(Upgrades!$I$12,K195)))*(IF(Upgrades!$T$6="First Photons",POWER(Upgrades!$U$6,E195),1)*IF(Upgrades!$T$7="First Photons",POWER(Upgrades!$U$7,F195),1)*IF(Upgrades!$T$8="First Photons",POWER(Upgrades!$U$8,G195),1)*IF(Upgrades!$T$9="First Photons",POWER(Upgrades!$U$9,H195),1)*IF(Upgrades!$T$10="First Photons",POWER(Upgrades!$U$10,I195),1)*IF(Upgrades!$T$11="First Photons",POWER(Upgrades!$U$11,J195),1)))*POWER(Upgrades!$P$6,E195)*POWER(Upgrades!$P$7,F195)*POWER(Upgrades!$P$8,G195)*POWER(Upgrades!$P$9,H195)*POWER(Upgrades!$P$10,I195)*POWER(Upgrades!$P$11,J195)*POWER(Upgrades!$P$12,K195)</f>
        <v/>
      </c>
      <c r="O195" s="28">
        <f>((IF(E195=0,0,(Upgrades!$M$6+E195*Upgrades!$N$6)*POWER(Upgrades!$O$6,E195)))*(IF(Upgrades!$T$7="Solar Wind",POWER(Upgrades!$U$7,F195),1)*IF(Upgrades!$T$8="Solar Wind",POWER(Upgrades!$U$8,G195),1)*IF(Upgrades!$T$9="Solar Wind",POWER(Upgrades!$U$9,H195),1)*IF(Upgrades!$T$10="Solar Wind",POWER(Upgrades!$U$10,I195),1)*IF(Upgrades!$T$11="Solar Wind",POWER(Upgrades!$U$11,J195),1)*IF(Upgrades!$T$12="Solar Wind",POWER(Upgrades!$U$12,K195),1))+(IF(F195=0,0,(Upgrades!$M$7+F195*Upgrades!$N$7)*POWER(Upgrades!$O$7,F195)))*(IF(Upgrades!$T$6="Asteroid Belt",POWER(Upgrades!$U$6,E195),1)*IF(Upgrades!$T$8="Asteroid Belt",POWER(Upgrades!$U$8,G195),1)*IF(Upgrades!$T$9="Asteroid Belt",POWER(Upgrades!$U$9,H195),1)*IF(Upgrades!$T$10="Asteroid Belt",POWER(Upgrades!$U$10,I195),1)*IF(Upgrades!$T$11="Asteroid Belt",POWER(Upgrades!$U$11,J195),1)*IF(Upgrades!$T$12="Asteroid Belt",POWER(Upgrades!$U$12,K195),1))+(IF(G195=0,0,(Upgrades!$M$8+G195*Upgrades!$N$8)*POWER(Upgrades!$O$8,G195)))*(IF(Upgrades!$T$6="Stellar Coupling",POWER(Upgrades!$U$6,E195),1)*IF(Upgrades!$T$7="Stellar Coupling",POWER(Upgrades!$U$7,F195),1)*IF(Upgrades!$T$9="Stellar Coupling",POWER(Upgrades!$U$9,H195),1)*IF(Upgrades!$T$10="Stellar Coupling",POWER(Upgrades!$U$10,I195),1)*IF(Upgrades!$T$11="Stellar Coupling",POWER(Upgrades!$U$11,J195),1)*IF(Upgrades!$T$12="Stellar Coupling",POWER(Upgrades!$U$12,K195),1))+(IF(H195=0,0,(Upgrades!$M$9+H195*Upgrades!$N$9)*POWER(Upgrades!$O$9,H195)))*(IF(Upgrades!$T$6="Magnetosphere",POWER(Upgrades!$U$6,E195),1)*IF(Upgrades!$T$7="Magnetosphere",POWER(Upgrades!$U$7,F195),1)*IF(Upgrades!$T$8="Magnetosphere",POWER(Upgrades!$U$8,G195),1)*IF(Upgrades!$T$10="Magnetosphere",POWER(Upgrades!$U$10,I195),1)*IF(Upgrades!$T$11="Magnetosphere",POWER(Upgrades!$U$11,J195),1)*IF(Upgrades!$T$12="Magnetosphere",POWER(Upgrades!$U$12,K195),1))+(IF(I195=0,0,(Upgrades!$M$10+I195*Upgrades!$N$10)*POWER(Upgrades!$O$10,I195)))*(IF(Upgrades!$T$6="Orbital Resonance",POWER(Upgrades!$U$6,E195),1)*IF(Upgrades!$T$7="Orbital Resonance",POWER(Upgrades!$U$7,F195),1)*IF(Upgrades!$T$8="Orbital Resonance",POWER(Upgrades!$U$8,G195),1)*IF(Upgrades!$T$9="Orbital Resonance",POWER(Upgrades!$U$9,H195),1)*IF(Upgrades!$T$11="Orbital Resonance",POWER(Upgrades!$U$11,J195),1)*IF(Upgrades!$T$12="Orbital Resonance",POWER(Upgrades!$U$12,K195),1))+(IF(J195=0,0,(Upgrades!$M$11+J195*Upgrades!$N$11)*POWER(Upgrades!$O$11,J195)))*(IF(Upgrades!$T$6="Heliopause",POWER(Upgrades!$U$6,E195),1)*IF(Upgrades!$T$7="Heliopause",POWER(Upgrades!$U$7,F195),1)*IF(Upgrades!$T$8="Heliopause",POWER(Upgrades!$U$8,G195),1)*IF(Upgrades!$T$9="Heliopause",POWER(Upgrades!$U$9,H195),1)*IF(Upgrades!$T$10="Heliopause",POWER(Upgrades!$U$10,I195),1)*IF(Upgrades!$T$12="Heliopause",POWER(Upgrades!$U$12,K195),1))+(IF(K195=0,0,(Upgrades!$M$12+K195*Upgrades!$N$12)*POWER(Upgrades!$O$12,K195)))*(IF(Upgrades!$T$6="First Photons",POWER(Upgrades!$U$6,E195),1)*IF(Upgrades!$T$7="First Photons",POWER(Upgrades!$U$7,F195),1)*IF(Upgrades!$T$8="First Photons",POWER(Upgrades!$U$8,G195),1)*IF(Upgrades!$T$9="First Photons",POWER(Upgrades!$U$9,H195),1)*IF(Upgrades!$T$10="First Photons",POWER(Upgrades!$U$10,I195),1)*IF(Upgrades!$T$11="First Photons",POWER(Upgrades!$U$11,J195),1)))*POWER(Upgrades!$R$6,E195)*POWER(Upgrades!$R$7,F195)*POWER(Upgrades!$R$8,G195)*POWER(Upgrades!$R$9,H195)*POWER(Upgrades!$R$10,I195)*POWER(Upgrades!$R$11,J195)*POWER(Upgrades!$R$12,K195)</f>
        <v/>
      </c>
      <c r="P195" s="27">
        <f>IF(L195=1,0,M195*Parameters!$B$10/60*Parameters!$B$11*10)</f>
        <v/>
      </c>
      <c r="Q195" s="27">
        <f>IF(L195=1,0,O195*M195*10)</f>
        <v/>
      </c>
      <c r="R195" s="27">
        <f>IF(L195=1,0,N195*10)</f>
        <v/>
      </c>
      <c r="S195" s="27">
        <f>P195+Q195+R195</f>
        <v/>
      </c>
      <c r="T195" s="22">
        <f>C195+S195</f>
        <v/>
      </c>
      <c r="U195" s="33">
        <f>AX195</f>
        <v/>
      </c>
      <c r="V195" s="22">
        <f>IF(U195="",0,IF(U195="transition",0,IF(U195="SW",AG195,IF(U195="AB",AH195,IF(U195="SC",AI195,IF(U195="Mag",AJ195,IF(U195="OR",AK195,IF(U195="HP",AL195,IF(U195="FP",AM195,0)))))))))</f>
        <v/>
      </c>
      <c r="W195" s="27">
        <f>IF(U195="OR",Upgrades!$F$10,IF(U195="HP",Upgrades!$F$11,IF(U195="transition",-Parameters!$B$18,0)))</f>
        <v/>
      </c>
      <c r="X195" s="22">
        <f>T195-V195</f>
        <v/>
      </c>
      <c r="Y195" s="30">
        <f>M195*Parameters!$B$10/60*Parameters!$B$11+O195*M195+N195</f>
        <v/>
      </c>
      <c r="Z195" s="34">
        <f>IF(U195="transition","→ Tier 2 (Stellar Neighborhood)",IF(U195="FP","First Photons — light begins, system quickens",IF(U195="HP","Heliopause acquired",IF(U195="OR","Orbital Resonance — passive multiplier active",IF(AND(AO195=1,L195=0,AN195&lt;&gt;1),"Cohesion ready (waiting on completionist upgrades)","")))))</f>
        <v/>
      </c>
      <c r="AA195" s="27">
        <f>(IF(E195=0,0,(Upgrades!$G$6+E195*Upgrades!$H$6)*POWER(Upgrades!$I$6,E195)))*(IF(Upgrades!$T$7="Solar Wind",POWER(Upgrades!$U$7,F195),1)*IF(Upgrades!$T$8="Solar Wind",POWER(Upgrades!$U$8,G195),1)*IF(Upgrades!$T$9="Solar Wind",POWER(Upgrades!$U$9,H195),1)*IF(Upgrades!$T$10="Solar Wind",POWER(Upgrades!$U$10,I195),1)*IF(Upgrades!$T$11="Solar Wind",POWER(Upgrades!$U$11,J195),1)*IF(Upgrades!$T$12="Solar Wind",POWER(Upgrades!$U$12,K195),1))*POWER(Upgrades!$P$6,E195)*POWER(Upgrades!$P$7,F195)*POWER(Upgrades!$P$8,G195)*POWER(Upgrades!$P$9,H195)*POWER(Upgrades!$P$10,I195)*POWER(Upgrades!$P$11,J195)*POWER(Upgrades!$P$12,K195)*60</f>
        <v/>
      </c>
      <c r="AB195" s="27">
        <f>(IF(F195=0,0,(Upgrades!$G$7+F195*Upgrades!$H$7)*POWER(Upgrades!$I$7,F195)))*(IF(Upgrades!$T$6="Asteroid Belt",POWER(Upgrades!$U$6,E195),1)*IF(Upgrades!$T$8="Asteroid Belt",POWER(Upgrades!$U$8,G195),1)*IF(Upgrades!$T$9="Asteroid Belt",POWER(Upgrades!$U$9,H195),1)*IF(Upgrades!$T$10="Asteroid Belt",POWER(Upgrades!$U$10,I195),1)*IF(Upgrades!$T$11="Asteroid Belt",POWER(Upgrades!$U$11,J195),1)*IF(Upgrades!$T$12="Asteroid Belt",POWER(Upgrades!$U$12,K195),1))*POWER(Upgrades!$P$6,E195)*POWER(Upgrades!$P$7,F195)*POWER(Upgrades!$P$8,G195)*POWER(Upgrades!$P$9,H195)*POWER(Upgrades!$P$10,I195)*POWER(Upgrades!$P$11,J195)*POWER(Upgrades!$P$12,K195)*60</f>
        <v/>
      </c>
      <c r="AC195" s="27">
        <f>(IF(G195=0,0,(Upgrades!$J$8+G195*Upgrades!$K$8)*POWER(Upgrades!$L$8,G195)))*(IF(Upgrades!$T$6="Stellar Coupling",POWER(Upgrades!$U$6,E195),1)*IF(Upgrades!$T$7="Stellar Coupling",POWER(Upgrades!$U$7,F195),1)*IF(Upgrades!$T$9="Stellar Coupling",POWER(Upgrades!$U$9,H195),1)*IF(Upgrades!$T$10="Stellar Coupling",POWER(Upgrades!$U$10,I195),1)*IF(Upgrades!$T$11="Stellar Coupling",POWER(Upgrades!$U$11,J195),1)*IF(Upgrades!$T$12="Stellar Coupling",POWER(Upgrades!$U$12,K195),1))*POWER(Upgrades!$Q$6,E195)*POWER(Upgrades!$Q$7,F195)*POWER(Upgrades!$Q$8,G195)*POWER(Upgrades!$Q$9,H195)*POWER(Upgrades!$Q$10,I195)*POWER(Upgrades!$Q$11,J195)*POWER(Upgrades!$Q$12,K195)*Parameters!$B$10*Parameters!$B$11</f>
        <v/>
      </c>
      <c r="AD195" s="27">
        <f>(IF(H195=0,0,(Upgrades!$G$9+H195*Upgrades!$H$9)*POWER(Upgrades!$I$9,H195)))*(IF(Upgrades!$T$6="Magnetosphere",POWER(Upgrades!$U$6,E195),1)*IF(Upgrades!$T$7="Magnetosphere",POWER(Upgrades!$U$7,F195),1)*IF(Upgrades!$T$8="Magnetosphere",POWER(Upgrades!$U$8,G195),1)*IF(Upgrades!$T$10="Magnetosphere",POWER(Upgrades!$U$10,I195),1)*IF(Upgrades!$T$11="Magnetosphere",POWER(Upgrades!$U$11,J195),1)*IF(Upgrades!$T$12="Magnetosphere",POWER(Upgrades!$U$12,K195),1))*POWER(Upgrades!$P$6,E195)*POWER(Upgrades!$P$7,F195)*POWER(Upgrades!$P$8,G195)*POWER(Upgrades!$P$9,H195)*POWER(Upgrades!$P$10,I195)*POWER(Upgrades!$P$11,J195)*POWER(Upgrades!$P$12,K195)*60</f>
        <v/>
      </c>
      <c r="AE195" s="27">
        <f>(IF(K195=0,0,(Upgrades!$G$12+K195*Upgrades!$H$12)*POWER(Upgrades!$I$12,K195)))*(IF(Upgrades!$T$6="First Photons",POWER(Upgrades!$U$6,E195),1)*IF(Upgrades!$T$7="First Photons",POWER(Upgrades!$U$7,F195),1)*IF(Upgrades!$T$8="First Photons",POWER(Upgrades!$U$8,G195),1)*IF(Upgrades!$T$9="First Photons",POWER(Upgrades!$U$9,H195),1)*IF(Upgrades!$T$10="First Photons",POWER(Upgrades!$U$10,I195),1)*IF(Upgrades!$T$11="First Photons",POWER(Upgrades!$U$11,J195),1))*POWER(Upgrades!$P$6,E195)*POWER(Upgrades!$P$7,F195)*POWER(Upgrades!$P$8,G195)*POWER(Upgrades!$P$9,H195)*POWER(Upgrades!$P$10,I195)*POWER(Upgrades!$P$11,J195)*POWER(Upgrades!$P$12,K195)*60</f>
        <v/>
      </c>
      <c r="AF195" s="27">
        <f>Parameters!$B$9*POWER(Upgrades!$Q$6,E195)*POWER(Upgrades!$Q$7,F195)*POWER(Upgrades!$Q$8,G195)*POWER(Upgrades!$Q$9,H195)*POWER(Upgrades!$Q$10,I195)*POWER(Upgrades!$Q$11,J195)*POWER(Upgrades!$Q$12,K195)*(Parameters!$B$10*Parameters!$B$11+O195*60)</f>
        <v/>
      </c>
      <c r="AG195" s="22">
        <f>IF(E195&gt;=Upgrades!$E$6,"",Upgrades!$C$6*POWER(Upgrades!$D$6,E195))</f>
        <v/>
      </c>
      <c r="AH195" s="22">
        <f>IF(F195&gt;=Upgrades!$E$7,"",Upgrades!$C$7*POWER(Upgrades!$D$7,F195))</f>
        <v/>
      </c>
      <c r="AI195" s="22">
        <f>IF(G195&gt;=Upgrades!$E$8,"",Upgrades!$C$8*POWER(Upgrades!$D$8,G195))</f>
        <v/>
      </c>
      <c r="AJ195" s="22">
        <f>IF(H195&gt;=Upgrades!$E$9,"",Upgrades!$C$9*POWER(Upgrades!$D$9,H195))</f>
        <v/>
      </c>
      <c r="AK195" s="22">
        <f>IF(I195&gt;=Upgrades!$E$10,"",Upgrades!$C$10*POWER(Upgrades!$D$10,I195))</f>
        <v/>
      </c>
      <c r="AL195" s="22">
        <f>IF(J195&gt;=Upgrades!$E$11,"",Upgrades!$C$11*POWER(Upgrades!$D$11,J195))</f>
        <v/>
      </c>
      <c r="AM195" s="22">
        <f>IF(K195&gt;=Upgrades!$E$12,"",Upgrades!$C$12*POWER(Upgrades!$D$12,K195))</f>
        <v/>
      </c>
      <c r="AN195" s="26">
        <f>IF(AND(D195&gt;=Parameters!$B$18,(H195&gt;=Upgrades!$E$9)*(K195&gt;=Upgrades!$E$12)=1,L195=0),1,"")</f>
        <v/>
      </c>
      <c r="AO195" s="26">
        <f>IF(AND(D195&gt;=Parameters!$B$18,L195=0),1,"")</f>
        <v/>
      </c>
      <c r="AP195" s="22">
        <f>MIN(IF(ISNUMBER(AK195),AK195,9E15),IF(ISNUMBER(AL195),AL195,9E15),IF(ISNUMBER(AM195),AM195,9E15))</f>
        <v/>
      </c>
      <c r="AQ195" s="22">
        <f>MIN(IF(ISNUMBER(AG195),AG195,9E15),IF(ISNUMBER(AH195),AH195,9E15),IF(ISNUMBER(AI195),AI195,9E15),IF(ISNUMBER(AJ195),AJ195,9E15))</f>
        <v/>
      </c>
      <c r="AR195" s="29">
        <f>IF(AW195&gt;Parameters!$B$21*(MAX(IF(AND(NOT(AND(AO195=1,AN195&lt;&gt;1)),ISNUMBER(AG195),AG195&lt;=T195),AS195,0),IF(AND(NOT(AND(AO195=1,AN195&lt;&gt;1)),ISNUMBER(AH195),AH195&lt;=T195),AT195,0),IF(AND(NOT(AND(AO195=1,AN195&lt;&gt;1)),ISNUMBER(AI195),AI195&lt;=T195),AU195,0),IF(AND(ISNUMBER(AJ195),AJ195&lt;=T195),AV195,0))),TRUE,FALSE)</f>
        <v/>
      </c>
      <c r="AS195" s="32">
        <f>IFERROR(Upgrades!$H$6*(POWER(Upgrades!$P$6,E195)*POWER(Upgrades!$P$7,F195)*POWER(Upgrades!$P$8,G195)*POWER(Upgrades!$P$9,H195)*POWER(Upgrades!$P$10,I195)*POWER(Upgrades!$P$11,J195)*POWER(Upgrades!$P$12,K195))*(IF(Upgrades!$T$7="Solar Wind",POWER(Upgrades!$U$7,F195),1)*IF(Upgrades!$T$8="Solar Wind",POWER(Upgrades!$U$8,G195),1)*IF(Upgrades!$T$9="Solar Wind",POWER(Upgrades!$U$9,H195),1)*IF(Upgrades!$T$10="Solar Wind",POWER(Upgrades!$U$10,I195),1)*IF(Upgrades!$T$11="Solar Wind",POWER(Upgrades!$U$11,J195),1)*IF(Upgrades!$T$12="Solar Wind",POWER(Upgrades!$U$12,K195),1))/AG195,0)</f>
        <v/>
      </c>
      <c r="AT195" s="32">
        <f>IFERROR(Upgrades!$H$7*(POWER(Upgrades!$P$6,E195)*POWER(Upgrades!$P$7,F195)*POWER(Upgrades!$P$8,G195)*POWER(Upgrades!$P$9,H195)*POWER(Upgrades!$P$10,I195)*POWER(Upgrades!$P$11,J195)*POWER(Upgrades!$P$12,K195))*(IF(Upgrades!$T$6="Asteroid Belt",POWER(Upgrades!$U$6,E195),1)*IF(Upgrades!$T$8="Asteroid Belt",POWER(Upgrades!$U$8,G195),1)*IF(Upgrades!$T$9="Asteroid Belt",POWER(Upgrades!$U$9,H195),1)*IF(Upgrades!$T$10="Asteroid Belt",POWER(Upgrades!$U$10,I195),1)*IF(Upgrades!$T$11="Asteroid Belt",POWER(Upgrades!$U$11,J195),1)*IF(Upgrades!$T$12="Asteroid Belt",POWER(Upgrades!$U$12,K195),1))/AH195,0)</f>
        <v/>
      </c>
      <c r="AU195" s="32">
        <f>IFERROR(Upgrades!$K$8*(POWER(Upgrades!$Q$6,E195)*POWER(Upgrades!$Q$7,F195)*POWER(Upgrades!$Q$8,G195)*POWER(Upgrades!$Q$9,H195)*POWER(Upgrades!$Q$10,I195)*POWER(Upgrades!$Q$11,J195)*POWER(Upgrades!$Q$12,K195))*(IF(Upgrades!$T$6="Stellar Coupling",POWER(Upgrades!$U$6,E195),1)*IF(Upgrades!$T$7="Stellar Coupling",POWER(Upgrades!$U$7,F195),1)*IF(Upgrades!$T$9="Stellar Coupling",POWER(Upgrades!$U$9,H195),1)*IF(Upgrades!$T$10="Stellar Coupling",POWER(Upgrades!$U$10,I195),1)*IF(Upgrades!$T$11="Stellar Coupling",POWER(Upgrades!$U$11,J195),1)*IF(Upgrades!$T$12="Stellar Coupling",POWER(Upgrades!$U$12,K195),1))*Parameters!$B$10*Parameters!$B$11/60/AI195,0)</f>
        <v/>
      </c>
      <c r="AV195" s="32">
        <f>IFERROR(Upgrades!$H$9*(POWER(Upgrades!$P$6,E195)*POWER(Upgrades!$P$7,F195)*POWER(Upgrades!$P$8,G195)*POWER(Upgrades!$P$9,H195)*POWER(Upgrades!$P$10,I195)*POWER(Upgrades!$P$11,J195)*POWER(Upgrades!$P$12,K195))*(IF(Upgrades!$T$6="Magnetosphere",POWER(Upgrades!$U$6,E195),1)*IF(Upgrades!$T$7="Magnetosphere",POWER(Upgrades!$U$7,F195),1)*IF(Upgrades!$T$8="Magnetosphere",POWER(Upgrades!$U$8,G195),1)*IF(Upgrades!$T$10="Magnetosphere",POWER(Upgrades!$U$10,I195),1)*IF(Upgrades!$T$11="Magnetosphere",POWER(Upgrades!$U$11,J195),1)*IF(Upgrades!$T$12="Magnetosphere",POWER(Upgrades!$U$12,K195),1))/AJ195,0)</f>
        <v/>
      </c>
      <c r="AW195" s="32">
        <f>MAX(IF(I195&gt;0,0,IFERROR(0.25*N195/Upgrades!$C$10,0)),IF(J195&gt;0,0,IFERROR(0.5*((IF(G195=0,0,(Upgrades!$J$8+G195*Upgrades!$K$8)*POWER(Upgrades!$L$8,G195)))*(IF(Upgrades!$T$6="Stellar Coupling",POWER(Upgrades!$U$6,E195),1)*IF(Upgrades!$T$7="Stellar Coupling",POWER(Upgrades!$U$7,F195),1)*IF(Upgrades!$T$9="Stellar Coupling",POWER(Upgrades!$U$9,H195),1)*IF(Upgrades!$T$10="Stellar Coupling",POWER(Upgrades!$U$10,I195),1)*IF(Upgrades!$T$11="Stellar Coupling",POWER(Upgrades!$U$11,J195),1)*IF(Upgrades!$T$12="Stellar Coupling",POWER(Upgrades!$U$12,K195),1))*(POWER(Upgrades!$Q$6,E195)*POWER(Upgrades!$Q$7,F195)*POWER(Upgrades!$Q$8,G195)*POWER(Upgrades!$Q$9,H195)*POWER(Upgrades!$Q$10,I195)*POWER(Upgrades!$Q$11,J195)*POWER(Upgrades!$Q$12,K195))*Parameters!$B$10*Parameters!$B$11/60)/Upgrades!$C$11,0)),IF(K195&gt;0,0,IFERROR((1.0*(POWER(Upgrades!$P$6,E195)*POWER(Upgrades!$P$7,F195)*POWER(Upgrades!$P$8,G195)*POWER(Upgrades!$P$9,H195)*POWER(Upgrades!$P$10,I195)*POWER(Upgrades!$P$11,J195)*POWER(Upgrades!$P$12,K195))+0.20*M195*Parameters!$B$10*Parameters!$B$11/60)/Upgrades!$C$12,0)),IF(AND(ISNUMBER(AG195),AG195&gt;T195),AS195,0),IF(AND(ISNUMBER(AH195),AH195&gt;T195),AT195,0),IF(AND(ISNUMBER(AI195),AI195&gt;T195),AU195,0),IF(AND(ISNUMBER(AJ195),AJ195&gt;T195),AV195,0))</f>
        <v/>
      </c>
      <c r="AX195" s="29">
        <f>IF(AN195=1,"transition",IF(MIN(IF(AND(I195=0,ISNUMBER(AK195),AK195&lt;=T195),AK195,9E15),IF(AND(J195=0,ISNUMBER(AL195),AL195&lt;=T195),AL195,9E15),IF(AND(K195=0,ISNUMBER(AM195),AM195&lt;=T195),AM195,9E15))&lt;9E15,IF(AND(AND(I195=0,ISNUMBER(AK195),AK195&lt;=T195),AK195=MIN(IF(AND(I195=0,ISNUMBER(AK195),AK195&lt;=T195),AK195,9E15),IF(AND(J195=0,ISNUMBER(AL195),AL195&lt;=T195),AL195,9E15),IF(AND(K195=0,ISNUMBER(AM195),AM195&lt;=T195),AM195,9E15))),"OR",IF(AND(AND(J195=0,ISNUMBER(AL195),AL195&lt;=T195),AL195=MIN(IF(AND(I195=0,ISNUMBER(AK195),AK195&lt;=T195),AK195,9E15),IF(AND(J195=0,ISNUMBER(AL195),AL195&lt;=T195),AL195,9E15),IF(AND(K195=0,ISNUMBER(AM195),AM195&lt;=T195),AM195,9E15))),"HP","FP")),IF(AR195=TRUE,"",IF(MAX(IF(AND(NOT(AND(AO195=1,AN195&lt;&gt;1)),ISNUMBER(AG195),AG195&lt;=T195),AS195,0),IF(AND(NOT(AND(AO195=1,AN195&lt;&gt;1)),ISNUMBER(AH195),AH195&lt;=T195),AT195,0),IF(AND(NOT(AND(AO195=1,AN195&lt;&gt;1)),ISNUMBER(AI195),AI195&lt;=T195),AU195,0),IF(AND(ISNUMBER(AJ195),AJ195&lt;=T195),AV195,0))&lt;=0,"",IF(AND(IF(AND(NOT(AND(AO195=1,AN195&lt;&gt;1)),ISNUMBER(AG195),AG195&lt;=T195),AS195,0)&gt;0,IF(AND(NOT(AND(AO195=1,AN195&lt;&gt;1)),ISNUMBER(AG195),AG195&lt;=T195),AS195,0)=MAX(IF(AND(NOT(AND(AO195=1,AN195&lt;&gt;1)),ISNUMBER(AG195),AG195&lt;=T195),AS195,0),IF(AND(NOT(AND(AO195=1,AN195&lt;&gt;1)),ISNUMBER(AH195),AH195&lt;=T195),AT195,0),IF(AND(NOT(AND(AO195=1,AN195&lt;&gt;1)),ISNUMBER(AI195),AI195&lt;=T195),AU195,0),IF(AND(ISNUMBER(AJ195),AJ195&lt;=T195),AV195,0))),"SW",IF(AND(IF(AND(NOT(AND(AO195=1,AN195&lt;&gt;1)),ISNUMBER(AH195),AH195&lt;=T195),AT195,0)&gt;0,IF(AND(NOT(AND(AO195=1,AN195&lt;&gt;1)),ISNUMBER(AH195),AH195&lt;=T195),AT195,0)=MAX(IF(AND(NOT(AND(AO195=1,AN195&lt;&gt;1)),ISNUMBER(AG195),AG195&lt;=T195),AS195,0),IF(AND(NOT(AND(AO195=1,AN195&lt;&gt;1)),ISNUMBER(AH195),AH195&lt;=T195),AT195,0),IF(AND(NOT(AND(AO195=1,AN195&lt;&gt;1)),ISNUMBER(AI195),AI195&lt;=T195),AU195,0),IF(AND(ISNUMBER(AJ195),AJ195&lt;=T195),AV195,0))),"AB",IF(AND(IF(AND(NOT(AND(AO195=1,AN195&lt;&gt;1)),ISNUMBER(AI195),AI195&lt;=T195),AU195,0)&gt;0,IF(AND(NOT(AND(AO195=1,AN195&lt;&gt;1)),ISNUMBER(AI195),AI195&lt;=T195),AU195,0)=MAX(IF(AND(NOT(AND(AO195=1,AN195&lt;&gt;1)),ISNUMBER(AG195),AG195&lt;=T195),AS195,0),IF(AND(NOT(AND(AO195=1,AN195&lt;&gt;1)),ISNUMBER(AH195),AH195&lt;=T195),AT195,0),IF(AND(NOT(AND(AO195=1,AN195&lt;&gt;1)),ISNUMBER(AI195),AI195&lt;=T195),AU195,0),IF(AND(ISNUMBER(AJ195),AJ195&lt;=T195),AV195,0))),"SC","Mag")))))))</f>
        <v/>
      </c>
    </row>
    <row r="196">
      <c r="A196" s="26" t="n">
        <v>191</v>
      </c>
      <c r="B196" s="27">
        <f>A196*10/60</f>
        <v/>
      </c>
      <c r="C196" s="22">
        <f>X195</f>
        <v/>
      </c>
      <c r="D196" s="27">
        <f>D195+W195</f>
        <v/>
      </c>
      <c r="E196" s="26">
        <f>E195+IF(U195="SW",1,0)</f>
        <v/>
      </c>
      <c r="F196" s="26">
        <f>F195+IF(U195="AB",1,0)</f>
        <v/>
      </c>
      <c r="G196" s="26">
        <f>G195+IF(U195="SC",1,0)</f>
        <v/>
      </c>
      <c r="H196" s="26">
        <f>H195+IF(U195="Mag",1,0)</f>
        <v/>
      </c>
      <c r="I196" s="26">
        <f>MAX(I195,IF(U195="OR",1,0))</f>
        <v/>
      </c>
      <c r="J196" s="26">
        <f>MAX(J195,IF(U195="HP",1,0))</f>
        <v/>
      </c>
      <c r="K196" s="26">
        <f>MAX(K195,IF(U195="FP",1,0))</f>
        <v/>
      </c>
      <c r="L196" s="26">
        <f>MAX(L195,IF(U195="transition",1,0))</f>
        <v/>
      </c>
      <c r="M196" s="28">
        <f>(Parameters!$B$9+(IF(E196=0,0,(Upgrades!$J$6+E196*Upgrades!$K$6)*POWER(Upgrades!$L$6,E196)))*(IF(Upgrades!$T$7="Solar Wind",POWER(Upgrades!$U$7,F196),1)*IF(Upgrades!$T$8="Solar Wind",POWER(Upgrades!$U$8,G196),1)*IF(Upgrades!$T$9="Solar Wind",POWER(Upgrades!$U$9,H196),1)*IF(Upgrades!$T$10="Solar Wind",POWER(Upgrades!$U$10,I196),1)*IF(Upgrades!$T$11="Solar Wind",POWER(Upgrades!$U$11,J196),1)*IF(Upgrades!$T$12="Solar Wind",POWER(Upgrades!$U$12,K196),1))+(IF(F196=0,0,(Upgrades!$J$7+F196*Upgrades!$K$7)*POWER(Upgrades!$L$7,F196)))*(IF(Upgrades!$T$6="Asteroid Belt",POWER(Upgrades!$U$6,E196),1)*IF(Upgrades!$T$8="Asteroid Belt",POWER(Upgrades!$U$8,G196),1)*IF(Upgrades!$T$9="Asteroid Belt",POWER(Upgrades!$U$9,H196),1)*IF(Upgrades!$T$10="Asteroid Belt",POWER(Upgrades!$U$10,I196),1)*IF(Upgrades!$T$11="Asteroid Belt",POWER(Upgrades!$U$11,J196),1)*IF(Upgrades!$T$12="Asteroid Belt",POWER(Upgrades!$U$12,K196),1))+(IF(G196=0,0,(Upgrades!$J$8+G196*Upgrades!$K$8)*POWER(Upgrades!$L$8,G196)))*(IF(Upgrades!$T$6="Stellar Coupling",POWER(Upgrades!$U$6,E196),1)*IF(Upgrades!$T$7="Stellar Coupling",POWER(Upgrades!$U$7,F196),1)*IF(Upgrades!$T$9="Stellar Coupling",POWER(Upgrades!$U$9,H196),1)*IF(Upgrades!$T$10="Stellar Coupling",POWER(Upgrades!$U$10,I196),1)*IF(Upgrades!$T$11="Stellar Coupling",POWER(Upgrades!$U$11,J196),1)*IF(Upgrades!$T$12="Stellar Coupling",POWER(Upgrades!$U$12,K196),1))+(IF(H196=0,0,(Upgrades!$J$9+H196*Upgrades!$K$9)*POWER(Upgrades!$L$9,H196)))*(IF(Upgrades!$T$6="Magnetosphere",POWER(Upgrades!$U$6,E196),1)*IF(Upgrades!$T$7="Magnetosphere",POWER(Upgrades!$U$7,F196),1)*IF(Upgrades!$T$8="Magnetosphere",POWER(Upgrades!$U$8,G196),1)*IF(Upgrades!$T$10="Magnetosphere",POWER(Upgrades!$U$10,I196),1)*IF(Upgrades!$T$11="Magnetosphere",POWER(Upgrades!$U$11,J196),1)*IF(Upgrades!$T$12="Magnetosphere",POWER(Upgrades!$U$12,K196),1))+(IF(I196=0,0,(Upgrades!$J$10+I196*Upgrades!$K$10)*POWER(Upgrades!$L$10,I196)))*(IF(Upgrades!$T$6="Orbital Resonance",POWER(Upgrades!$U$6,E196),1)*IF(Upgrades!$T$7="Orbital Resonance",POWER(Upgrades!$U$7,F196),1)*IF(Upgrades!$T$8="Orbital Resonance",POWER(Upgrades!$U$8,G196),1)*IF(Upgrades!$T$9="Orbital Resonance",POWER(Upgrades!$U$9,H196),1)*IF(Upgrades!$T$11="Orbital Resonance",POWER(Upgrades!$U$11,J196),1)*IF(Upgrades!$T$12="Orbital Resonance",POWER(Upgrades!$U$12,K196),1))+(IF(J196=0,0,(Upgrades!$J$11+J196*Upgrades!$K$11)*POWER(Upgrades!$L$11,J196)))*(IF(Upgrades!$T$6="Heliopause",POWER(Upgrades!$U$6,E196),1)*IF(Upgrades!$T$7="Heliopause",POWER(Upgrades!$U$7,F196),1)*IF(Upgrades!$T$8="Heliopause",POWER(Upgrades!$U$8,G196),1)*IF(Upgrades!$T$9="Heliopause",POWER(Upgrades!$U$9,H196),1)*IF(Upgrades!$T$10="Heliopause",POWER(Upgrades!$U$10,I196),1)*IF(Upgrades!$T$12="Heliopause",POWER(Upgrades!$U$12,K196),1))+(IF(K196=0,0,(Upgrades!$J$12+K196*Upgrades!$K$12)*POWER(Upgrades!$L$12,K196)))*(IF(Upgrades!$T$6="First Photons",POWER(Upgrades!$U$6,E196),1)*IF(Upgrades!$T$7="First Photons",POWER(Upgrades!$U$7,F196),1)*IF(Upgrades!$T$8="First Photons",POWER(Upgrades!$U$8,G196),1)*IF(Upgrades!$T$9="First Photons",POWER(Upgrades!$U$9,H196),1)*IF(Upgrades!$T$10="First Photons",POWER(Upgrades!$U$10,I196),1)*IF(Upgrades!$T$11="First Photons",POWER(Upgrades!$U$11,J196),1)))*POWER(Upgrades!$Q$6,E196)*POWER(Upgrades!$Q$7,F196)*POWER(Upgrades!$Q$8,G196)*POWER(Upgrades!$Q$9,H196)*POWER(Upgrades!$Q$10,I196)*POWER(Upgrades!$Q$11,J196)*POWER(Upgrades!$Q$12,K196)</f>
        <v/>
      </c>
      <c r="N196" s="28">
        <f>((IF(E196=0,0,(Upgrades!$G$6+E196*Upgrades!$H$6)*POWER(Upgrades!$I$6,E196)))*(IF(Upgrades!$T$7="Solar Wind",POWER(Upgrades!$U$7,F196),1)*IF(Upgrades!$T$8="Solar Wind",POWER(Upgrades!$U$8,G196),1)*IF(Upgrades!$T$9="Solar Wind",POWER(Upgrades!$U$9,H196),1)*IF(Upgrades!$T$10="Solar Wind",POWER(Upgrades!$U$10,I196),1)*IF(Upgrades!$T$11="Solar Wind",POWER(Upgrades!$U$11,J196),1)*IF(Upgrades!$T$12="Solar Wind",POWER(Upgrades!$U$12,K196),1))+(IF(F196=0,0,(Upgrades!$G$7+F196*Upgrades!$H$7)*POWER(Upgrades!$I$7,F196)))*(IF(Upgrades!$T$6="Asteroid Belt",POWER(Upgrades!$U$6,E196),1)*IF(Upgrades!$T$8="Asteroid Belt",POWER(Upgrades!$U$8,G196),1)*IF(Upgrades!$T$9="Asteroid Belt",POWER(Upgrades!$U$9,H196),1)*IF(Upgrades!$T$10="Asteroid Belt",POWER(Upgrades!$U$10,I196),1)*IF(Upgrades!$T$11="Asteroid Belt",POWER(Upgrades!$U$11,J196),1)*IF(Upgrades!$T$12="Asteroid Belt",POWER(Upgrades!$U$12,K196),1))+(IF(G196=0,0,(Upgrades!$G$8+G196*Upgrades!$H$8)*POWER(Upgrades!$I$8,G196)))*(IF(Upgrades!$T$6="Stellar Coupling",POWER(Upgrades!$U$6,E196),1)*IF(Upgrades!$T$7="Stellar Coupling",POWER(Upgrades!$U$7,F196),1)*IF(Upgrades!$T$9="Stellar Coupling",POWER(Upgrades!$U$9,H196),1)*IF(Upgrades!$T$10="Stellar Coupling",POWER(Upgrades!$U$10,I196),1)*IF(Upgrades!$T$11="Stellar Coupling",POWER(Upgrades!$U$11,J196),1)*IF(Upgrades!$T$12="Stellar Coupling",POWER(Upgrades!$U$12,K196),1))+(IF(H196=0,0,(Upgrades!$G$9+H196*Upgrades!$H$9)*POWER(Upgrades!$I$9,H196)))*(IF(Upgrades!$T$6="Magnetosphere",POWER(Upgrades!$U$6,E196),1)*IF(Upgrades!$T$7="Magnetosphere",POWER(Upgrades!$U$7,F196),1)*IF(Upgrades!$T$8="Magnetosphere",POWER(Upgrades!$U$8,G196),1)*IF(Upgrades!$T$10="Magnetosphere",POWER(Upgrades!$U$10,I196),1)*IF(Upgrades!$T$11="Magnetosphere",POWER(Upgrades!$U$11,J196),1)*IF(Upgrades!$T$12="Magnetosphere",POWER(Upgrades!$U$12,K196),1))+(IF(I196=0,0,(Upgrades!$G$10+I196*Upgrades!$H$10)*POWER(Upgrades!$I$10,I196)))*(IF(Upgrades!$T$6="Orbital Resonance",POWER(Upgrades!$U$6,E196),1)*IF(Upgrades!$T$7="Orbital Resonance",POWER(Upgrades!$U$7,F196),1)*IF(Upgrades!$T$8="Orbital Resonance",POWER(Upgrades!$U$8,G196),1)*IF(Upgrades!$T$9="Orbital Resonance",POWER(Upgrades!$U$9,H196),1)*IF(Upgrades!$T$11="Orbital Resonance",POWER(Upgrades!$U$11,J196),1)*IF(Upgrades!$T$12="Orbital Resonance",POWER(Upgrades!$U$12,K196),1))+(IF(J196=0,0,(Upgrades!$G$11+J196*Upgrades!$H$11)*POWER(Upgrades!$I$11,J196)))*(IF(Upgrades!$T$6="Heliopause",POWER(Upgrades!$U$6,E196),1)*IF(Upgrades!$T$7="Heliopause",POWER(Upgrades!$U$7,F196),1)*IF(Upgrades!$T$8="Heliopause",POWER(Upgrades!$U$8,G196),1)*IF(Upgrades!$T$9="Heliopause",POWER(Upgrades!$U$9,H196),1)*IF(Upgrades!$T$10="Heliopause",POWER(Upgrades!$U$10,I196),1)*IF(Upgrades!$T$12="Heliopause",POWER(Upgrades!$U$12,K196),1))+(IF(K196=0,0,(Upgrades!$G$12+K196*Upgrades!$H$12)*POWER(Upgrades!$I$12,K196)))*(IF(Upgrades!$T$6="First Photons",POWER(Upgrades!$U$6,E196),1)*IF(Upgrades!$T$7="First Photons",POWER(Upgrades!$U$7,F196),1)*IF(Upgrades!$T$8="First Photons",POWER(Upgrades!$U$8,G196),1)*IF(Upgrades!$T$9="First Photons",POWER(Upgrades!$U$9,H196),1)*IF(Upgrades!$T$10="First Photons",POWER(Upgrades!$U$10,I196),1)*IF(Upgrades!$T$11="First Photons",POWER(Upgrades!$U$11,J196),1)))*POWER(Upgrades!$P$6,E196)*POWER(Upgrades!$P$7,F196)*POWER(Upgrades!$P$8,G196)*POWER(Upgrades!$P$9,H196)*POWER(Upgrades!$P$10,I196)*POWER(Upgrades!$P$11,J196)*POWER(Upgrades!$P$12,K196)</f>
        <v/>
      </c>
      <c r="O196" s="28">
        <f>((IF(E196=0,0,(Upgrades!$M$6+E196*Upgrades!$N$6)*POWER(Upgrades!$O$6,E196)))*(IF(Upgrades!$T$7="Solar Wind",POWER(Upgrades!$U$7,F196),1)*IF(Upgrades!$T$8="Solar Wind",POWER(Upgrades!$U$8,G196),1)*IF(Upgrades!$T$9="Solar Wind",POWER(Upgrades!$U$9,H196),1)*IF(Upgrades!$T$10="Solar Wind",POWER(Upgrades!$U$10,I196),1)*IF(Upgrades!$T$11="Solar Wind",POWER(Upgrades!$U$11,J196),1)*IF(Upgrades!$T$12="Solar Wind",POWER(Upgrades!$U$12,K196),1))+(IF(F196=0,0,(Upgrades!$M$7+F196*Upgrades!$N$7)*POWER(Upgrades!$O$7,F196)))*(IF(Upgrades!$T$6="Asteroid Belt",POWER(Upgrades!$U$6,E196),1)*IF(Upgrades!$T$8="Asteroid Belt",POWER(Upgrades!$U$8,G196),1)*IF(Upgrades!$T$9="Asteroid Belt",POWER(Upgrades!$U$9,H196),1)*IF(Upgrades!$T$10="Asteroid Belt",POWER(Upgrades!$U$10,I196),1)*IF(Upgrades!$T$11="Asteroid Belt",POWER(Upgrades!$U$11,J196),1)*IF(Upgrades!$T$12="Asteroid Belt",POWER(Upgrades!$U$12,K196),1))+(IF(G196=0,0,(Upgrades!$M$8+G196*Upgrades!$N$8)*POWER(Upgrades!$O$8,G196)))*(IF(Upgrades!$T$6="Stellar Coupling",POWER(Upgrades!$U$6,E196),1)*IF(Upgrades!$T$7="Stellar Coupling",POWER(Upgrades!$U$7,F196),1)*IF(Upgrades!$T$9="Stellar Coupling",POWER(Upgrades!$U$9,H196),1)*IF(Upgrades!$T$10="Stellar Coupling",POWER(Upgrades!$U$10,I196),1)*IF(Upgrades!$T$11="Stellar Coupling",POWER(Upgrades!$U$11,J196),1)*IF(Upgrades!$T$12="Stellar Coupling",POWER(Upgrades!$U$12,K196),1))+(IF(H196=0,0,(Upgrades!$M$9+H196*Upgrades!$N$9)*POWER(Upgrades!$O$9,H196)))*(IF(Upgrades!$T$6="Magnetosphere",POWER(Upgrades!$U$6,E196),1)*IF(Upgrades!$T$7="Magnetosphere",POWER(Upgrades!$U$7,F196),1)*IF(Upgrades!$T$8="Magnetosphere",POWER(Upgrades!$U$8,G196),1)*IF(Upgrades!$T$10="Magnetosphere",POWER(Upgrades!$U$10,I196),1)*IF(Upgrades!$T$11="Magnetosphere",POWER(Upgrades!$U$11,J196),1)*IF(Upgrades!$T$12="Magnetosphere",POWER(Upgrades!$U$12,K196),1))+(IF(I196=0,0,(Upgrades!$M$10+I196*Upgrades!$N$10)*POWER(Upgrades!$O$10,I196)))*(IF(Upgrades!$T$6="Orbital Resonance",POWER(Upgrades!$U$6,E196),1)*IF(Upgrades!$T$7="Orbital Resonance",POWER(Upgrades!$U$7,F196),1)*IF(Upgrades!$T$8="Orbital Resonance",POWER(Upgrades!$U$8,G196),1)*IF(Upgrades!$T$9="Orbital Resonance",POWER(Upgrades!$U$9,H196),1)*IF(Upgrades!$T$11="Orbital Resonance",POWER(Upgrades!$U$11,J196),1)*IF(Upgrades!$T$12="Orbital Resonance",POWER(Upgrades!$U$12,K196),1))+(IF(J196=0,0,(Upgrades!$M$11+J196*Upgrades!$N$11)*POWER(Upgrades!$O$11,J196)))*(IF(Upgrades!$T$6="Heliopause",POWER(Upgrades!$U$6,E196),1)*IF(Upgrades!$T$7="Heliopause",POWER(Upgrades!$U$7,F196),1)*IF(Upgrades!$T$8="Heliopause",POWER(Upgrades!$U$8,G196),1)*IF(Upgrades!$T$9="Heliopause",POWER(Upgrades!$U$9,H196),1)*IF(Upgrades!$T$10="Heliopause",POWER(Upgrades!$U$10,I196),1)*IF(Upgrades!$T$12="Heliopause",POWER(Upgrades!$U$12,K196),1))+(IF(K196=0,0,(Upgrades!$M$12+K196*Upgrades!$N$12)*POWER(Upgrades!$O$12,K196)))*(IF(Upgrades!$T$6="First Photons",POWER(Upgrades!$U$6,E196),1)*IF(Upgrades!$T$7="First Photons",POWER(Upgrades!$U$7,F196),1)*IF(Upgrades!$T$8="First Photons",POWER(Upgrades!$U$8,G196),1)*IF(Upgrades!$T$9="First Photons",POWER(Upgrades!$U$9,H196),1)*IF(Upgrades!$T$10="First Photons",POWER(Upgrades!$U$10,I196),1)*IF(Upgrades!$T$11="First Photons",POWER(Upgrades!$U$11,J196),1)))*POWER(Upgrades!$R$6,E196)*POWER(Upgrades!$R$7,F196)*POWER(Upgrades!$R$8,G196)*POWER(Upgrades!$R$9,H196)*POWER(Upgrades!$R$10,I196)*POWER(Upgrades!$R$11,J196)*POWER(Upgrades!$R$12,K196)</f>
        <v/>
      </c>
      <c r="P196" s="27">
        <f>IF(L196=1,0,M196*Parameters!$B$10/60*Parameters!$B$11*10)</f>
        <v/>
      </c>
      <c r="Q196" s="27">
        <f>IF(L196=1,0,O196*M196*10)</f>
        <v/>
      </c>
      <c r="R196" s="27">
        <f>IF(L196=1,0,N196*10)</f>
        <v/>
      </c>
      <c r="S196" s="27">
        <f>P196+Q196+R196</f>
        <v/>
      </c>
      <c r="T196" s="22">
        <f>C196+S196</f>
        <v/>
      </c>
      <c r="U196" s="33">
        <f>AX196</f>
        <v/>
      </c>
      <c r="V196" s="22">
        <f>IF(U196="",0,IF(U196="transition",0,IF(U196="SW",AG196,IF(U196="AB",AH196,IF(U196="SC",AI196,IF(U196="Mag",AJ196,IF(U196="OR",AK196,IF(U196="HP",AL196,IF(U196="FP",AM196,0)))))))))</f>
        <v/>
      </c>
      <c r="W196" s="27">
        <f>IF(U196="OR",Upgrades!$F$10,IF(U196="HP",Upgrades!$F$11,IF(U196="transition",-Parameters!$B$18,0)))</f>
        <v/>
      </c>
      <c r="X196" s="22">
        <f>T196-V196</f>
        <v/>
      </c>
      <c r="Y196" s="30">
        <f>M196*Parameters!$B$10/60*Parameters!$B$11+O196*M196+N196</f>
        <v/>
      </c>
      <c r="Z196" s="34">
        <f>IF(U196="transition","→ Tier 2 (Stellar Neighborhood)",IF(U196="FP","First Photons — light begins, system quickens",IF(U196="HP","Heliopause acquired",IF(U196="OR","Orbital Resonance — passive multiplier active",IF(AND(AO196=1,L196=0,AN196&lt;&gt;1),"Cohesion ready (waiting on completionist upgrades)","")))))</f>
        <v/>
      </c>
      <c r="AA196" s="27">
        <f>(IF(E196=0,0,(Upgrades!$G$6+E196*Upgrades!$H$6)*POWER(Upgrades!$I$6,E196)))*(IF(Upgrades!$T$7="Solar Wind",POWER(Upgrades!$U$7,F196),1)*IF(Upgrades!$T$8="Solar Wind",POWER(Upgrades!$U$8,G196),1)*IF(Upgrades!$T$9="Solar Wind",POWER(Upgrades!$U$9,H196),1)*IF(Upgrades!$T$10="Solar Wind",POWER(Upgrades!$U$10,I196),1)*IF(Upgrades!$T$11="Solar Wind",POWER(Upgrades!$U$11,J196),1)*IF(Upgrades!$T$12="Solar Wind",POWER(Upgrades!$U$12,K196),1))*POWER(Upgrades!$P$6,E196)*POWER(Upgrades!$P$7,F196)*POWER(Upgrades!$P$8,G196)*POWER(Upgrades!$P$9,H196)*POWER(Upgrades!$P$10,I196)*POWER(Upgrades!$P$11,J196)*POWER(Upgrades!$P$12,K196)*60</f>
        <v/>
      </c>
      <c r="AB196" s="27">
        <f>(IF(F196=0,0,(Upgrades!$G$7+F196*Upgrades!$H$7)*POWER(Upgrades!$I$7,F196)))*(IF(Upgrades!$T$6="Asteroid Belt",POWER(Upgrades!$U$6,E196),1)*IF(Upgrades!$T$8="Asteroid Belt",POWER(Upgrades!$U$8,G196),1)*IF(Upgrades!$T$9="Asteroid Belt",POWER(Upgrades!$U$9,H196),1)*IF(Upgrades!$T$10="Asteroid Belt",POWER(Upgrades!$U$10,I196),1)*IF(Upgrades!$T$11="Asteroid Belt",POWER(Upgrades!$U$11,J196),1)*IF(Upgrades!$T$12="Asteroid Belt",POWER(Upgrades!$U$12,K196),1))*POWER(Upgrades!$P$6,E196)*POWER(Upgrades!$P$7,F196)*POWER(Upgrades!$P$8,G196)*POWER(Upgrades!$P$9,H196)*POWER(Upgrades!$P$10,I196)*POWER(Upgrades!$P$11,J196)*POWER(Upgrades!$P$12,K196)*60</f>
        <v/>
      </c>
      <c r="AC196" s="27">
        <f>(IF(G196=0,0,(Upgrades!$J$8+G196*Upgrades!$K$8)*POWER(Upgrades!$L$8,G196)))*(IF(Upgrades!$T$6="Stellar Coupling",POWER(Upgrades!$U$6,E196),1)*IF(Upgrades!$T$7="Stellar Coupling",POWER(Upgrades!$U$7,F196),1)*IF(Upgrades!$T$9="Stellar Coupling",POWER(Upgrades!$U$9,H196),1)*IF(Upgrades!$T$10="Stellar Coupling",POWER(Upgrades!$U$10,I196),1)*IF(Upgrades!$T$11="Stellar Coupling",POWER(Upgrades!$U$11,J196),1)*IF(Upgrades!$T$12="Stellar Coupling",POWER(Upgrades!$U$12,K196),1))*POWER(Upgrades!$Q$6,E196)*POWER(Upgrades!$Q$7,F196)*POWER(Upgrades!$Q$8,G196)*POWER(Upgrades!$Q$9,H196)*POWER(Upgrades!$Q$10,I196)*POWER(Upgrades!$Q$11,J196)*POWER(Upgrades!$Q$12,K196)*Parameters!$B$10*Parameters!$B$11</f>
        <v/>
      </c>
      <c r="AD196" s="27">
        <f>(IF(H196=0,0,(Upgrades!$G$9+H196*Upgrades!$H$9)*POWER(Upgrades!$I$9,H196)))*(IF(Upgrades!$T$6="Magnetosphere",POWER(Upgrades!$U$6,E196),1)*IF(Upgrades!$T$7="Magnetosphere",POWER(Upgrades!$U$7,F196),1)*IF(Upgrades!$T$8="Magnetosphere",POWER(Upgrades!$U$8,G196),1)*IF(Upgrades!$T$10="Magnetosphere",POWER(Upgrades!$U$10,I196),1)*IF(Upgrades!$T$11="Magnetosphere",POWER(Upgrades!$U$11,J196),1)*IF(Upgrades!$T$12="Magnetosphere",POWER(Upgrades!$U$12,K196),1))*POWER(Upgrades!$P$6,E196)*POWER(Upgrades!$P$7,F196)*POWER(Upgrades!$P$8,G196)*POWER(Upgrades!$P$9,H196)*POWER(Upgrades!$P$10,I196)*POWER(Upgrades!$P$11,J196)*POWER(Upgrades!$P$12,K196)*60</f>
        <v/>
      </c>
      <c r="AE196" s="27">
        <f>(IF(K196=0,0,(Upgrades!$G$12+K196*Upgrades!$H$12)*POWER(Upgrades!$I$12,K196)))*(IF(Upgrades!$T$6="First Photons",POWER(Upgrades!$U$6,E196),1)*IF(Upgrades!$T$7="First Photons",POWER(Upgrades!$U$7,F196),1)*IF(Upgrades!$T$8="First Photons",POWER(Upgrades!$U$8,G196),1)*IF(Upgrades!$T$9="First Photons",POWER(Upgrades!$U$9,H196),1)*IF(Upgrades!$T$10="First Photons",POWER(Upgrades!$U$10,I196),1)*IF(Upgrades!$T$11="First Photons",POWER(Upgrades!$U$11,J196),1))*POWER(Upgrades!$P$6,E196)*POWER(Upgrades!$P$7,F196)*POWER(Upgrades!$P$8,G196)*POWER(Upgrades!$P$9,H196)*POWER(Upgrades!$P$10,I196)*POWER(Upgrades!$P$11,J196)*POWER(Upgrades!$P$12,K196)*60</f>
        <v/>
      </c>
      <c r="AF196" s="27">
        <f>Parameters!$B$9*POWER(Upgrades!$Q$6,E196)*POWER(Upgrades!$Q$7,F196)*POWER(Upgrades!$Q$8,G196)*POWER(Upgrades!$Q$9,H196)*POWER(Upgrades!$Q$10,I196)*POWER(Upgrades!$Q$11,J196)*POWER(Upgrades!$Q$12,K196)*(Parameters!$B$10*Parameters!$B$11+O196*60)</f>
        <v/>
      </c>
      <c r="AG196" s="22">
        <f>IF(E196&gt;=Upgrades!$E$6,"",Upgrades!$C$6*POWER(Upgrades!$D$6,E196))</f>
        <v/>
      </c>
      <c r="AH196" s="22">
        <f>IF(F196&gt;=Upgrades!$E$7,"",Upgrades!$C$7*POWER(Upgrades!$D$7,F196))</f>
        <v/>
      </c>
      <c r="AI196" s="22">
        <f>IF(G196&gt;=Upgrades!$E$8,"",Upgrades!$C$8*POWER(Upgrades!$D$8,G196))</f>
        <v/>
      </c>
      <c r="AJ196" s="22">
        <f>IF(H196&gt;=Upgrades!$E$9,"",Upgrades!$C$9*POWER(Upgrades!$D$9,H196))</f>
        <v/>
      </c>
      <c r="AK196" s="22">
        <f>IF(I196&gt;=Upgrades!$E$10,"",Upgrades!$C$10*POWER(Upgrades!$D$10,I196))</f>
        <v/>
      </c>
      <c r="AL196" s="22">
        <f>IF(J196&gt;=Upgrades!$E$11,"",Upgrades!$C$11*POWER(Upgrades!$D$11,J196))</f>
        <v/>
      </c>
      <c r="AM196" s="22">
        <f>IF(K196&gt;=Upgrades!$E$12,"",Upgrades!$C$12*POWER(Upgrades!$D$12,K196))</f>
        <v/>
      </c>
      <c r="AN196" s="26">
        <f>IF(AND(D196&gt;=Parameters!$B$18,(H196&gt;=Upgrades!$E$9)*(K196&gt;=Upgrades!$E$12)=1,L196=0),1,"")</f>
        <v/>
      </c>
      <c r="AO196" s="26">
        <f>IF(AND(D196&gt;=Parameters!$B$18,L196=0),1,"")</f>
        <v/>
      </c>
      <c r="AP196" s="22">
        <f>MIN(IF(ISNUMBER(AK196),AK196,9E15),IF(ISNUMBER(AL196),AL196,9E15),IF(ISNUMBER(AM196),AM196,9E15))</f>
        <v/>
      </c>
      <c r="AQ196" s="22">
        <f>MIN(IF(ISNUMBER(AG196),AG196,9E15),IF(ISNUMBER(AH196),AH196,9E15),IF(ISNUMBER(AI196),AI196,9E15),IF(ISNUMBER(AJ196),AJ196,9E15))</f>
        <v/>
      </c>
      <c r="AR196" s="29">
        <f>IF(AW196&gt;Parameters!$B$21*(MAX(IF(AND(NOT(AND(AO196=1,AN196&lt;&gt;1)),ISNUMBER(AG196),AG196&lt;=T196),AS196,0),IF(AND(NOT(AND(AO196=1,AN196&lt;&gt;1)),ISNUMBER(AH196),AH196&lt;=T196),AT196,0),IF(AND(NOT(AND(AO196=1,AN196&lt;&gt;1)),ISNUMBER(AI196),AI196&lt;=T196),AU196,0),IF(AND(ISNUMBER(AJ196),AJ196&lt;=T196),AV196,0))),TRUE,FALSE)</f>
        <v/>
      </c>
      <c r="AS196" s="32">
        <f>IFERROR(Upgrades!$H$6*(POWER(Upgrades!$P$6,E196)*POWER(Upgrades!$P$7,F196)*POWER(Upgrades!$P$8,G196)*POWER(Upgrades!$P$9,H196)*POWER(Upgrades!$P$10,I196)*POWER(Upgrades!$P$11,J196)*POWER(Upgrades!$P$12,K196))*(IF(Upgrades!$T$7="Solar Wind",POWER(Upgrades!$U$7,F196),1)*IF(Upgrades!$T$8="Solar Wind",POWER(Upgrades!$U$8,G196),1)*IF(Upgrades!$T$9="Solar Wind",POWER(Upgrades!$U$9,H196),1)*IF(Upgrades!$T$10="Solar Wind",POWER(Upgrades!$U$10,I196),1)*IF(Upgrades!$T$11="Solar Wind",POWER(Upgrades!$U$11,J196),1)*IF(Upgrades!$T$12="Solar Wind",POWER(Upgrades!$U$12,K196),1))/AG196,0)</f>
        <v/>
      </c>
      <c r="AT196" s="32">
        <f>IFERROR(Upgrades!$H$7*(POWER(Upgrades!$P$6,E196)*POWER(Upgrades!$P$7,F196)*POWER(Upgrades!$P$8,G196)*POWER(Upgrades!$P$9,H196)*POWER(Upgrades!$P$10,I196)*POWER(Upgrades!$P$11,J196)*POWER(Upgrades!$P$12,K196))*(IF(Upgrades!$T$6="Asteroid Belt",POWER(Upgrades!$U$6,E196),1)*IF(Upgrades!$T$8="Asteroid Belt",POWER(Upgrades!$U$8,G196),1)*IF(Upgrades!$T$9="Asteroid Belt",POWER(Upgrades!$U$9,H196),1)*IF(Upgrades!$T$10="Asteroid Belt",POWER(Upgrades!$U$10,I196),1)*IF(Upgrades!$T$11="Asteroid Belt",POWER(Upgrades!$U$11,J196),1)*IF(Upgrades!$T$12="Asteroid Belt",POWER(Upgrades!$U$12,K196),1))/AH196,0)</f>
        <v/>
      </c>
      <c r="AU196" s="32">
        <f>IFERROR(Upgrades!$K$8*(POWER(Upgrades!$Q$6,E196)*POWER(Upgrades!$Q$7,F196)*POWER(Upgrades!$Q$8,G196)*POWER(Upgrades!$Q$9,H196)*POWER(Upgrades!$Q$10,I196)*POWER(Upgrades!$Q$11,J196)*POWER(Upgrades!$Q$12,K196))*(IF(Upgrades!$T$6="Stellar Coupling",POWER(Upgrades!$U$6,E196),1)*IF(Upgrades!$T$7="Stellar Coupling",POWER(Upgrades!$U$7,F196),1)*IF(Upgrades!$T$9="Stellar Coupling",POWER(Upgrades!$U$9,H196),1)*IF(Upgrades!$T$10="Stellar Coupling",POWER(Upgrades!$U$10,I196),1)*IF(Upgrades!$T$11="Stellar Coupling",POWER(Upgrades!$U$11,J196),1)*IF(Upgrades!$T$12="Stellar Coupling",POWER(Upgrades!$U$12,K196),1))*Parameters!$B$10*Parameters!$B$11/60/AI196,0)</f>
        <v/>
      </c>
      <c r="AV196" s="32">
        <f>IFERROR(Upgrades!$H$9*(POWER(Upgrades!$P$6,E196)*POWER(Upgrades!$P$7,F196)*POWER(Upgrades!$P$8,G196)*POWER(Upgrades!$P$9,H196)*POWER(Upgrades!$P$10,I196)*POWER(Upgrades!$P$11,J196)*POWER(Upgrades!$P$12,K196))*(IF(Upgrades!$T$6="Magnetosphere",POWER(Upgrades!$U$6,E196),1)*IF(Upgrades!$T$7="Magnetosphere",POWER(Upgrades!$U$7,F196),1)*IF(Upgrades!$T$8="Magnetosphere",POWER(Upgrades!$U$8,G196),1)*IF(Upgrades!$T$10="Magnetosphere",POWER(Upgrades!$U$10,I196),1)*IF(Upgrades!$T$11="Magnetosphere",POWER(Upgrades!$U$11,J196),1)*IF(Upgrades!$T$12="Magnetosphere",POWER(Upgrades!$U$12,K196),1))/AJ196,0)</f>
        <v/>
      </c>
      <c r="AW196" s="32">
        <f>MAX(IF(I196&gt;0,0,IFERROR(0.25*N196/Upgrades!$C$10,0)),IF(J196&gt;0,0,IFERROR(0.5*((IF(G196=0,0,(Upgrades!$J$8+G196*Upgrades!$K$8)*POWER(Upgrades!$L$8,G196)))*(IF(Upgrades!$T$6="Stellar Coupling",POWER(Upgrades!$U$6,E196),1)*IF(Upgrades!$T$7="Stellar Coupling",POWER(Upgrades!$U$7,F196),1)*IF(Upgrades!$T$9="Stellar Coupling",POWER(Upgrades!$U$9,H196),1)*IF(Upgrades!$T$10="Stellar Coupling",POWER(Upgrades!$U$10,I196),1)*IF(Upgrades!$T$11="Stellar Coupling",POWER(Upgrades!$U$11,J196),1)*IF(Upgrades!$T$12="Stellar Coupling",POWER(Upgrades!$U$12,K196),1))*(POWER(Upgrades!$Q$6,E196)*POWER(Upgrades!$Q$7,F196)*POWER(Upgrades!$Q$8,G196)*POWER(Upgrades!$Q$9,H196)*POWER(Upgrades!$Q$10,I196)*POWER(Upgrades!$Q$11,J196)*POWER(Upgrades!$Q$12,K196))*Parameters!$B$10*Parameters!$B$11/60)/Upgrades!$C$11,0)),IF(K196&gt;0,0,IFERROR((1.0*(POWER(Upgrades!$P$6,E196)*POWER(Upgrades!$P$7,F196)*POWER(Upgrades!$P$8,G196)*POWER(Upgrades!$P$9,H196)*POWER(Upgrades!$P$10,I196)*POWER(Upgrades!$P$11,J196)*POWER(Upgrades!$P$12,K196))+0.20*M196*Parameters!$B$10*Parameters!$B$11/60)/Upgrades!$C$12,0)),IF(AND(ISNUMBER(AG196),AG196&gt;T196),AS196,0),IF(AND(ISNUMBER(AH196),AH196&gt;T196),AT196,0),IF(AND(ISNUMBER(AI196),AI196&gt;T196),AU196,0),IF(AND(ISNUMBER(AJ196),AJ196&gt;T196),AV196,0))</f>
        <v/>
      </c>
      <c r="AX196" s="29">
        <f>IF(AN196=1,"transition",IF(MIN(IF(AND(I196=0,ISNUMBER(AK196),AK196&lt;=T196),AK196,9E15),IF(AND(J196=0,ISNUMBER(AL196),AL196&lt;=T196),AL196,9E15),IF(AND(K196=0,ISNUMBER(AM196),AM196&lt;=T196),AM196,9E15))&lt;9E15,IF(AND(AND(I196=0,ISNUMBER(AK196),AK196&lt;=T196),AK196=MIN(IF(AND(I196=0,ISNUMBER(AK196),AK196&lt;=T196),AK196,9E15),IF(AND(J196=0,ISNUMBER(AL196),AL196&lt;=T196),AL196,9E15),IF(AND(K196=0,ISNUMBER(AM196),AM196&lt;=T196),AM196,9E15))),"OR",IF(AND(AND(J196=0,ISNUMBER(AL196),AL196&lt;=T196),AL196=MIN(IF(AND(I196=0,ISNUMBER(AK196),AK196&lt;=T196),AK196,9E15),IF(AND(J196=0,ISNUMBER(AL196),AL196&lt;=T196),AL196,9E15),IF(AND(K196=0,ISNUMBER(AM196),AM196&lt;=T196),AM196,9E15))),"HP","FP")),IF(AR196=TRUE,"",IF(MAX(IF(AND(NOT(AND(AO196=1,AN196&lt;&gt;1)),ISNUMBER(AG196),AG196&lt;=T196),AS196,0),IF(AND(NOT(AND(AO196=1,AN196&lt;&gt;1)),ISNUMBER(AH196),AH196&lt;=T196),AT196,0),IF(AND(NOT(AND(AO196=1,AN196&lt;&gt;1)),ISNUMBER(AI196),AI196&lt;=T196),AU196,0),IF(AND(ISNUMBER(AJ196),AJ196&lt;=T196),AV196,0))&lt;=0,"",IF(AND(IF(AND(NOT(AND(AO196=1,AN196&lt;&gt;1)),ISNUMBER(AG196),AG196&lt;=T196),AS196,0)&gt;0,IF(AND(NOT(AND(AO196=1,AN196&lt;&gt;1)),ISNUMBER(AG196),AG196&lt;=T196),AS196,0)=MAX(IF(AND(NOT(AND(AO196=1,AN196&lt;&gt;1)),ISNUMBER(AG196),AG196&lt;=T196),AS196,0),IF(AND(NOT(AND(AO196=1,AN196&lt;&gt;1)),ISNUMBER(AH196),AH196&lt;=T196),AT196,0),IF(AND(NOT(AND(AO196=1,AN196&lt;&gt;1)),ISNUMBER(AI196),AI196&lt;=T196),AU196,0),IF(AND(ISNUMBER(AJ196),AJ196&lt;=T196),AV196,0))),"SW",IF(AND(IF(AND(NOT(AND(AO196=1,AN196&lt;&gt;1)),ISNUMBER(AH196),AH196&lt;=T196),AT196,0)&gt;0,IF(AND(NOT(AND(AO196=1,AN196&lt;&gt;1)),ISNUMBER(AH196),AH196&lt;=T196),AT196,0)=MAX(IF(AND(NOT(AND(AO196=1,AN196&lt;&gt;1)),ISNUMBER(AG196),AG196&lt;=T196),AS196,0),IF(AND(NOT(AND(AO196=1,AN196&lt;&gt;1)),ISNUMBER(AH196),AH196&lt;=T196),AT196,0),IF(AND(NOT(AND(AO196=1,AN196&lt;&gt;1)),ISNUMBER(AI196),AI196&lt;=T196),AU196,0),IF(AND(ISNUMBER(AJ196),AJ196&lt;=T196),AV196,0))),"AB",IF(AND(IF(AND(NOT(AND(AO196=1,AN196&lt;&gt;1)),ISNUMBER(AI196),AI196&lt;=T196),AU196,0)&gt;0,IF(AND(NOT(AND(AO196=1,AN196&lt;&gt;1)),ISNUMBER(AI196),AI196&lt;=T196),AU196,0)=MAX(IF(AND(NOT(AND(AO196=1,AN196&lt;&gt;1)),ISNUMBER(AG196),AG196&lt;=T196),AS196,0),IF(AND(NOT(AND(AO196=1,AN196&lt;&gt;1)),ISNUMBER(AH196),AH196&lt;=T196),AT196,0),IF(AND(NOT(AND(AO196=1,AN196&lt;&gt;1)),ISNUMBER(AI196),AI196&lt;=T196),AU196,0),IF(AND(ISNUMBER(AJ196),AJ196&lt;=T196),AV196,0))),"SC","Mag")))))))</f>
        <v/>
      </c>
    </row>
    <row r="197">
      <c r="A197" s="26" t="n">
        <v>192</v>
      </c>
      <c r="B197" s="27">
        <f>A197*10/60</f>
        <v/>
      </c>
      <c r="C197" s="22">
        <f>X196</f>
        <v/>
      </c>
      <c r="D197" s="27">
        <f>D196+W196</f>
        <v/>
      </c>
      <c r="E197" s="26">
        <f>E196+IF(U196="SW",1,0)</f>
        <v/>
      </c>
      <c r="F197" s="26">
        <f>F196+IF(U196="AB",1,0)</f>
        <v/>
      </c>
      <c r="G197" s="26">
        <f>G196+IF(U196="SC",1,0)</f>
        <v/>
      </c>
      <c r="H197" s="26">
        <f>H196+IF(U196="Mag",1,0)</f>
        <v/>
      </c>
      <c r="I197" s="26">
        <f>MAX(I196,IF(U196="OR",1,0))</f>
        <v/>
      </c>
      <c r="J197" s="26">
        <f>MAX(J196,IF(U196="HP",1,0))</f>
        <v/>
      </c>
      <c r="K197" s="26">
        <f>MAX(K196,IF(U196="FP",1,0))</f>
        <v/>
      </c>
      <c r="L197" s="26">
        <f>MAX(L196,IF(U196="transition",1,0))</f>
        <v/>
      </c>
      <c r="M197" s="28">
        <f>(Parameters!$B$9+(IF(E197=0,0,(Upgrades!$J$6+E197*Upgrades!$K$6)*POWER(Upgrades!$L$6,E197)))*(IF(Upgrades!$T$7="Solar Wind",POWER(Upgrades!$U$7,F197),1)*IF(Upgrades!$T$8="Solar Wind",POWER(Upgrades!$U$8,G197),1)*IF(Upgrades!$T$9="Solar Wind",POWER(Upgrades!$U$9,H197),1)*IF(Upgrades!$T$10="Solar Wind",POWER(Upgrades!$U$10,I197),1)*IF(Upgrades!$T$11="Solar Wind",POWER(Upgrades!$U$11,J197),1)*IF(Upgrades!$T$12="Solar Wind",POWER(Upgrades!$U$12,K197),1))+(IF(F197=0,0,(Upgrades!$J$7+F197*Upgrades!$K$7)*POWER(Upgrades!$L$7,F197)))*(IF(Upgrades!$T$6="Asteroid Belt",POWER(Upgrades!$U$6,E197),1)*IF(Upgrades!$T$8="Asteroid Belt",POWER(Upgrades!$U$8,G197),1)*IF(Upgrades!$T$9="Asteroid Belt",POWER(Upgrades!$U$9,H197),1)*IF(Upgrades!$T$10="Asteroid Belt",POWER(Upgrades!$U$10,I197),1)*IF(Upgrades!$T$11="Asteroid Belt",POWER(Upgrades!$U$11,J197),1)*IF(Upgrades!$T$12="Asteroid Belt",POWER(Upgrades!$U$12,K197),1))+(IF(G197=0,0,(Upgrades!$J$8+G197*Upgrades!$K$8)*POWER(Upgrades!$L$8,G197)))*(IF(Upgrades!$T$6="Stellar Coupling",POWER(Upgrades!$U$6,E197),1)*IF(Upgrades!$T$7="Stellar Coupling",POWER(Upgrades!$U$7,F197),1)*IF(Upgrades!$T$9="Stellar Coupling",POWER(Upgrades!$U$9,H197),1)*IF(Upgrades!$T$10="Stellar Coupling",POWER(Upgrades!$U$10,I197),1)*IF(Upgrades!$T$11="Stellar Coupling",POWER(Upgrades!$U$11,J197),1)*IF(Upgrades!$T$12="Stellar Coupling",POWER(Upgrades!$U$12,K197),1))+(IF(H197=0,0,(Upgrades!$J$9+H197*Upgrades!$K$9)*POWER(Upgrades!$L$9,H197)))*(IF(Upgrades!$T$6="Magnetosphere",POWER(Upgrades!$U$6,E197),1)*IF(Upgrades!$T$7="Magnetosphere",POWER(Upgrades!$U$7,F197),1)*IF(Upgrades!$T$8="Magnetosphere",POWER(Upgrades!$U$8,G197),1)*IF(Upgrades!$T$10="Magnetosphere",POWER(Upgrades!$U$10,I197),1)*IF(Upgrades!$T$11="Magnetosphere",POWER(Upgrades!$U$11,J197),1)*IF(Upgrades!$T$12="Magnetosphere",POWER(Upgrades!$U$12,K197),1))+(IF(I197=0,0,(Upgrades!$J$10+I197*Upgrades!$K$10)*POWER(Upgrades!$L$10,I197)))*(IF(Upgrades!$T$6="Orbital Resonance",POWER(Upgrades!$U$6,E197),1)*IF(Upgrades!$T$7="Orbital Resonance",POWER(Upgrades!$U$7,F197),1)*IF(Upgrades!$T$8="Orbital Resonance",POWER(Upgrades!$U$8,G197),1)*IF(Upgrades!$T$9="Orbital Resonance",POWER(Upgrades!$U$9,H197),1)*IF(Upgrades!$T$11="Orbital Resonance",POWER(Upgrades!$U$11,J197),1)*IF(Upgrades!$T$12="Orbital Resonance",POWER(Upgrades!$U$12,K197),1))+(IF(J197=0,0,(Upgrades!$J$11+J197*Upgrades!$K$11)*POWER(Upgrades!$L$11,J197)))*(IF(Upgrades!$T$6="Heliopause",POWER(Upgrades!$U$6,E197),1)*IF(Upgrades!$T$7="Heliopause",POWER(Upgrades!$U$7,F197),1)*IF(Upgrades!$T$8="Heliopause",POWER(Upgrades!$U$8,G197),1)*IF(Upgrades!$T$9="Heliopause",POWER(Upgrades!$U$9,H197),1)*IF(Upgrades!$T$10="Heliopause",POWER(Upgrades!$U$10,I197),1)*IF(Upgrades!$T$12="Heliopause",POWER(Upgrades!$U$12,K197),1))+(IF(K197=0,0,(Upgrades!$J$12+K197*Upgrades!$K$12)*POWER(Upgrades!$L$12,K197)))*(IF(Upgrades!$T$6="First Photons",POWER(Upgrades!$U$6,E197),1)*IF(Upgrades!$T$7="First Photons",POWER(Upgrades!$U$7,F197),1)*IF(Upgrades!$T$8="First Photons",POWER(Upgrades!$U$8,G197),1)*IF(Upgrades!$T$9="First Photons",POWER(Upgrades!$U$9,H197),1)*IF(Upgrades!$T$10="First Photons",POWER(Upgrades!$U$10,I197),1)*IF(Upgrades!$T$11="First Photons",POWER(Upgrades!$U$11,J197),1)))*POWER(Upgrades!$Q$6,E197)*POWER(Upgrades!$Q$7,F197)*POWER(Upgrades!$Q$8,G197)*POWER(Upgrades!$Q$9,H197)*POWER(Upgrades!$Q$10,I197)*POWER(Upgrades!$Q$11,J197)*POWER(Upgrades!$Q$12,K197)</f>
        <v/>
      </c>
      <c r="N197" s="28">
        <f>((IF(E197=0,0,(Upgrades!$G$6+E197*Upgrades!$H$6)*POWER(Upgrades!$I$6,E197)))*(IF(Upgrades!$T$7="Solar Wind",POWER(Upgrades!$U$7,F197),1)*IF(Upgrades!$T$8="Solar Wind",POWER(Upgrades!$U$8,G197),1)*IF(Upgrades!$T$9="Solar Wind",POWER(Upgrades!$U$9,H197),1)*IF(Upgrades!$T$10="Solar Wind",POWER(Upgrades!$U$10,I197),1)*IF(Upgrades!$T$11="Solar Wind",POWER(Upgrades!$U$11,J197),1)*IF(Upgrades!$T$12="Solar Wind",POWER(Upgrades!$U$12,K197),1))+(IF(F197=0,0,(Upgrades!$G$7+F197*Upgrades!$H$7)*POWER(Upgrades!$I$7,F197)))*(IF(Upgrades!$T$6="Asteroid Belt",POWER(Upgrades!$U$6,E197),1)*IF(Upgrades!$T$8="Asteroid Belt",POWER(Upgrades!$U$8,G197),1)*IF(Upgrades!$T$9="Asteroid Belt",POWER(Upgrades!$U$9,H197),1)*IF(Upgrades!$T$10="Asteroid Belt",POWER(Upgrades!$U$10,I197),1)*IF(Upgrades!$T$11="Asteroid Belt",POWER(Upgrades!$U$11,J197),1)*IF(Upgrades!$T$12="Asteroid Belt",POWER(Upgrades!$U$12,K197),1))+(IF(G197=0,0,(Upgrades!$G$8+G197*Upgrades!$H$8)*POWER(Upgrades!$I$8,G197)))*(IF(Upgrades!$T$6="Stellar Coupling",POWER(Upgrades!$U$6,E197),1)*IF(Upgrades!$T$7="Stellar Coupling",POWER(Upgrades!$U$7,F197),1)*IF(Upgrades!$T$9="Stellar Coupling",POWER(Upgrades!$U$9,H197),1)*IF(Upgrades!$T$10="Stellar Coupling",POWER(Upgrades!$U$10,I197),1)*IF(Upgrades!$T$11="Stellar Coupling",POWER(Upgrades!$U$11,J197),1)*IF(Upgrades!$T$12="Stellar Coupling",POWER(Upgrades!$U$12,K197),1))+(IF(H197=0,0,(Upgrades!$G$9+H197*Upgrades!$H$9)*POWER(Upgrades!$I$9,H197)))*(IF(Upgrades!$T$6="Magnetosphere",POWER(Upgrades!$U$6,E197),1)*IF(Upgrades!$T$7="Magnetosphere",POWER(Upgrades!$U$7,F197),1)*IF(Upgrades!$T$8="Magnetosphere",POWER(Upgrades!$U$8,G197),1)*IF(Upgrades!$T$10="Magnetosphere",POWER(Upgrades!$U$10,I197),1)*IF(Upgrades!$T$11="Magnetosphere",POWER(Upgrades!$U$11,J197),1)*IF(Upgrades!$T$12="Magnetosphere",POWER(Upgrades!$U$12,K197),1))+(IF(I197=0,0,(Upgrades!$G$10+I197*Upgrades!$H$10)*POWER(Upgrades!$I$10,I197)))*(IF(Upgrades!$T$6="Orbital Resonance",POWER(Upgrades!$U$6,E197),1)*IF(Upgrades!$T$7="Orbital Resonance",POWER(Upgrades!$U$7,F197),1)*IF(Upgrades!$T$8="Orbital Resonance",POWER(Upgrades!$U$8,G197),1)*IF(Upgrades!$T$9="Orbital Resonance",POWER(Upgrades!$U$9,H197),1)*IF(Upgrades!$T$11="Orbital Resonance",POWER(Upgrades!$U$11,J197),1)*IF(Upgrades!$T$12="Orbital Resonance",POWER(Upgrades!$U$12,K197),1))+(IF(J197=0,0,(Upgrades!$G$11+J197*Upgrades!$H$11)*POWER(Upgrades!$I$11,J197)))*(IF(Upgrades!$T$6="Heliopause",POWER(Upgrades!$U$6,E197),1)*IF(Upgrades!$T$7="Heliopause",POWER(Upgrades!$U$7,F197),1)*IF(Upgrades!$T$8="Heliopause",POWER(Upgrades!$U$8,G197),1)*IF(Upgrades!$T$9="Heliopause",POWER(Upgrades!$U$9,H197),1)*IF(Upgrades!$T$10="Heliopause",POWER(Upgrades!$U$10,I197),1)*IF(Upgrades!$T$12="Heliopause",POWER(Upgrades!$U$12,K197),1))+(IF(K197=0,0,(Upgrades!$G$12+K197*Upgrades!$H$12)*POWER(Upgrades!$I$12,K197)))*(IF(Upgrades!$T$6="First Photons",POWER(Upgrades!$U$6,E197),1)*IF(Upgrades!$T$7="First Photons",POWER(Upgrades!$U$7,F197),1)*IF(Upgrades!$T$8="First Photons",POWER(Upgrades!$U$8,G197),1)*IF(Upgrades!$T$9="First Photons",POWER(Upgrades!$U$9,H197),1)*IF(Upgrades!$T$10="First Photons",POWER(Upgrades!$U$10,I197),1)*IF(Upgrades!$T$11="First Photons",POWER(Upgrades!$U$11,J197),1)))*POWER(Upgrades!$P$6,E197)*POWER(Upgrades!$P$7,F197)*POWER(Upgrades!$P$8,G197)*POWER(Upgrades!$P$9,H197)*POWER(Upgrades!$P$10,I197)*POWER(Upgrades!$P$11,J197)*POWER(Upgrades!$P$12,K197)</f>
        <v/>
      </c>
      <c r="O197" s="28">
        <f>((IF(E197=0,0,(Upgrades!$M$6+E197*Upgrades!$N$6)*POWER(Upgrades!$O$6,E197)))*(IF(Upgrades!$T$7="Solar Wind",POWER(Upgrades!$U$7,F197),1)*IF(Upgrades!$T$8="Solar Wind",POWER(Upgrades!$U$8,G197),1)*IF(Upgrades!$T$9="Solar Wind",POWER(Upgrades!$U$9,H197),1)*IF(Upgrades!$T$10="Solar Wind",POWER(Upgrades!$U$10,I197),1)*IF(Upgrades!$T$11="Solar Wind",POWER(Upgrades!$U$11,J197),1)*IF(Upgrades!$T$12="Solar Wind",POWER(Upgrades!$U$12,K197),1))+(IF(F197=0,0,(Upgrades!$M$7+F197*Upgrades!$N$7)*POWER(Upgrades!$O$7,F197)))*(IF(Upgrades!$T$6="Asteroid Belt",POWER(Upgrades!$U$6,E197),1)*IF(Upgrades!$T$8="Asteroid Belt",POWER(Upgrades!$U$8,G197),1)*IF(Upgrades!$T$9="Asteroid Belt",POWER(Upgrades!$U$9,H197),1)*IF(Upgrades!$T$10="Asteroid Belt",POWER(Upgrades!$U$10,I197),1)*IF(Upgrades!$T$11="Asteroid Belt",POWER(Upgrades!$U$11,J197),1)*IF(Upgrades!$T$12="Asteroid Belt",POWER(Upgrades!$U$12,K197),1))+(IF(G197=0,0,(Upgrades!$M$8+G197*Upgrades!$N$8)*POWER(Upgrades!$O$8,G197)))*(IF(Upgrades!$T$6="Stellar Coupling",POWER(Upgrades!$U$6,E197),1)*IF(Upgrades!$T$7="Stellar Coupling",POWER(Upgrades!$U$7,F197),1)*IF(Upgrades!$T$9="Stellar Coupling",POWER(Upgrades!$U$9,H197),1)*IF(Upgrades!$T$10="Stellar Coupling",POWER(Upgrades!$U$10,I197),1)*IF(Upgrades!$T$11="Stellar Coupling",POWER(Upgrades!$U$11,J197),1)*IF(Upgrades!$T$12="Stellar Coupling",POWER(Upgrades!$U$12,K197),1))+(IF(H197=0,0,(Upgrades!$M$9+H197*Upgrades!$N$9)*POWER(Upgrades!$O$9,H197)))*(IF(Upgrades!$T$6="Magnetosphere",POWER(Upgrades!$U$6,E197),1)*IF(Upgrades!$T$7="Magnetosphere",POWER(Upgrades!$U$7,F197),1)*IF(Upgrades!$T$8="Magnetosphere",POWER(Upgrades!$U$8,G197),1)*IF(Upgrades!$T$10="Magnetosphere",POWER(Upgrades!$U$10,I197),1)*IF(Upgrades!$T$11="Magnetosphere",POWER(Upgrades!$U$11,J197),1)*IF(Upgrades!$T$12="Magnetosphere",POWER(Upgrades!$U$12,K197),1))+(IF(I197=0,0,(Upgrades!$M$10+I197*Upgrades!$N$10)*POWER(Upgrades!$O$10,I197)))*(IF(Upgrades!$T$6="Orbital Resonance",POWER(Upgrades!$U$6,E197),1)*IF(Upgrades!$T$7="Orbital Resonance",POWER(Upgrades!$U$7,F197),1)*IF(Upgrades!$T$8="Orbital Resonance",POWER(Upgrades!$U$8,G197),1)*IF(Upgrades!$T$9="Orbital Resonance",POWER(Upgrades!$U$9,H197),1)*IF(Upgrades!$T$11="Orbital Resonance",POWER(Upgrades!$U$11,J197),1)*IF(Upgrades!$T$12="Orbital Resonance",POWER(Upgrades!$U$12,K197),1))+(IF(J197=0,0,(Upgrades!$M$11+J197*Upgrades!$N$11)*POWER(Upgrades!$O$11,J197)))*(IF(Upgrades!$T$6="Heliopause",POWER(Upgrades!$U$6,E197),1)*IF(Upgrades!$T$7="Heliopause",POWER(Upgrades!$U$7,F197),1)*IF(Upgrades!$T$8="Heliopause",POWER(Upgrades!$U$8,G197),1)*IF(Upgrades!$T$9="Heliopause",POWER(Upgrades!$U$9,H197),1)*IF(Upgrades!$T$10="Heliopause",POWER(Upgrades!$U$10,I197),1)*IF(Upgrades!$T$12="Heliopause",POWER(Upgrades!$U$12,K197),1))+(IF(K197=0,0,(Upgrades!$M$12+K197*Upgrades!$N$12)*POWER(Upgrades!$O$12,K197)))*(IF(Upgrades!$T$6="First Photons",POWER(Upgrades!$U$6,E197),1)*IF(Upgrades!$T$7="First Photons",POWER(Upgrades!$U$7,F197),1)*IF(Upgrades!$T$8="First Photons",POWER(Upgrades!$U$8,G197),1)*IF(Upgrades!$T$9="First Photons",POWER(Upgrades!$U$9,H197),1)*IF(Upgrades!$T$10="First Photons",POWER(Upgrades!$U$10,I197),1)*IF(Upgrades!$T$11="First Photons",POWER(Upgrades!$U$11,J197),1)))*POWER(Upgrades!$R$6,E197)*POWER(Upgrades!$R$7,F197)*POWER(Upgrades!$R$8,G197)*POWER(Upgrades!$R$9,H197)*POWER(Upgrades!$R$10,I197)*POWER(Upgrades!$R$11,J197)*POWER(Upgrades!$R$12,K197)</f>
        <v/>
      </c>
      <c r="P197" s="27">
        <f>IF(L197=1,0,M197*Parameters!$B$10/60*Parameters!$B$11*10)</f>
        <v/>
      </c>
      <c r="Q197" s="27">
        <f>IF(L197=1,0,O197*M197*10)</f>
        <v/>
      </c>
      <c r="R197" s="27">
        <f>IF(L197=1,0,N197*10)</f>
        <v/>
      </c>
      <c r="S197" s="27">
        <f>P197+Q197+R197</f>
        <v/>
      </c>
      <c r="T197" s="22">
        <f>C197+S197</f>
        <v/>
      </c>
      <c r="U197" s="33">
        <f>AX197</f>
        <v/>
      </c>
      <c r="V197" s="22">
        <f>IF(U197="",0,IF(U197="transition",0,IF(U197="SW",AG197,IF(U197="AB",AH197,IF(U197="SC",AI197,IF(U197="Mag",AJ197,IF(U197="OR",AK197,IF(U197="HP",AL197,IF(U197="FP",AM197,0)))))))))</f>
        <v/>
      </c>
      <c r="W197" s="27">
        <f>IF(U197="OR",Upgrades!$F$10,IF(U197="HP",Upgrades!$F$11,IF(U197="transition",-Parameters!$B$18,0)))</f>
        <v/>
      </c>
      <c r="X197" s="22">
        <f>T197-V197</f>
        <v/>
      </c>
      <c r="Y197" s="30">
        <f>M197*Parameters!$B$10/60*Parameters!$B$11+O197*M197+N197</f>
        <v/>
      </c>
      <c r="Z197" s="34">
        <f>IF(U197="transition","→ Tier 2 (Stellar Neighborhood)",IF(U197="FP","First Photons — light begins, system quickens",IF(U197="HP","Heliopause acquired",IF(U197="OR","Orbital Resonance — passive multiplier active",IF(AND(AO197=1,L197=0,AN197&lt;&gt;1),"Cohesion ready (waiting on completionist upgrades)","")))))</f>
        <v/>
      </c>
      <c r="AA197" s="27">
        <f>(IF(E197=0,0,(Upgrades!$G$6+E197*Upgrades!$H$6)*POWER(Upgrades!$I$6,E197)))*(IF(Upgrades!$T$7="Solar Wind",POWER(Upgrades!$U$7,F197),1)*IF(Upgrades!$T$8="Solar Wind",POWER(Upgrades!$U$8,G197),1)*IF(Upgrades!$T$9="Solar Wind",POWER(Upgrades!$U$9,H197),1)*IF(Upgrades!$T$10="Solar Wind",POWER(Upgrades!$U$10,I197),1)*IF(Upgrades!$T$11="Solar Wind",POWER(Upgrades!$U$11,J197),1)*IF(Upgrades!$T$12="Solar Wind",POWER(Upgrades!$U$12,K197),1))*POWER(Upgrades!$P$6,E197)*POWER(Upgrades!$P$7,F197)*POWER(Upgrades!$P$8,G197)*POWER(Upgrades!$P$9,H197)*POWER(Upgrades!$P$10,I197)*POWER(Upgrades!$P$11,J197)*POWER(Upgrades!$P$12,K197)*60</f>
        <v/>
      </c>
      <c r="AB197" s="27">
        <f>(IF(F197=0,0,(Upgrades!$G$7+F197*Upgrades!$H$7)*POWER(Upgrades!$I$7,F197)))*(IF(Upgrades!$T$6="Asteroid Belt",POWER(Upgrades!$U$6,E197),1)*IF(Upgrades!$T$8="Asteroid Belt",POWER(Upgrades!$U$8,G197),1)*IF(Upgrades!$T$9="Asteroid Belt",POWER(Upgrades!$U$9,H197),1)*IF(Upgrades!$T$10="Asteroid Belt",POWER(Upgrades!$U$10,I197),1)*IF(Upgrades!$T$11="Asteroid Belt",POWER(Upgrades!$U$11,J197),1)*IF(Upgrades!$T$12="Asteroid Belt",POWER(Upgrades!$U$12,K197),1))*POWER(Upgrades!$P$6,E197)*POWER(Upgrades!$P$7,F197)*POWER(Upgrades!$P$8,G197)*POWER(Upgrades!$P$9,H197)*POWER(Upgrades!$P$10,I197)*POWER(Upgrades!$P$11,J197)*POWER(Upgrades!$P$12,K197)*60</f>
        <v/>
      </c>
      <c r="AC197" s="27">
        <f>(IF(G197=0,0,(Upgrades!$J$8+G197*Upgrades!$K$8)*POWER(Upgrades!$L$8,G197)))*(IF(Upgrades!$T$6="Stellar Coupling",POWER(Upgrades!$U$6,E197),1)*IF(Upgrades!$T$7="Stellar Coupling",POWER(Upgrades!$U$7,F197),1)*IF(Upgrades!$T$9="Stellar Coupling",POWER(Upgrades!$U$9,H197),1)*IF(Upgrades!$T$10="Stellar Coupling",POWER(Upgrades!$U$10,I197),1)*IF(Upgrades!$T$11="Stellar Coupling",POWER(Upgrades!$U$11,J197),1)*IF(Upgrades!$T$12="Stellar Coupling",POWER(Upgrades!$U$12,K197),1))*POWER(Upgrades!$Q$6,E197)*POWER(Upgrades!$Q$7,F197)*POWER(Upgrades!$Q$8,G197)*POWER(Upgrades!$Q$9,H197)*POWER(Upgrades!$Q$10,I197)*POWER(Upgrades!$Q$11,J197)*POWER(Upgrades!$Q$12,K197)*Parameters!$B$10*Parameters!$B$11</f>
        <v/>
      </c>
      <c r="AD197" s="27">
        <f>(IF(H197=0,0,(Upgrades!$G$9+H197*Upgrades!$H$9)*POWER(Upgrades!$I$9,H197)))*(IF(Upgrades!$T$6="Magnetosphere",POWER(Upgrades!$U$6,E197),1)*IF(Upgrades!$T$7="Magnetosphere",POWER(Upgrades!$U$7,F197),1)*IF(Upgrades!$T$8="Magnetosphere",POWER(Upgrades!$U$8,G197),1)*IF(Upgrades!$T$10="Magnetosphere",POWER(Upgrades!$U$10,I197),1)*IF(Upgrades!$T$11="Magnetosphere",POWER(Upgrades!$U$11,J197),1)*IF(Upgrades!$T$12="Magnetosphere",POWER(Upgrades!$U$12,K197),1))*POWER(Upgrades!$P$6,E197)*POWER(Upgrades!$P$7,F197)*POWER(Upgrades!$P$8,G197)*POWER(Upgrades!$P$9,H197)*POWER(Upgrades!$P$10,I197)*POWER(Upgrades!$P$11,J197)*POWER(Upgrades!$P$12,K197)*60</f>
        <v/>
      </c>
      <c r="AE197" s="27">
        <f>(IF(K197=0,0,(Upgrades!$G$12+K197*Upgrades!$H$12)*POWER(Upgrades!$I$12,K197)))*(IF(Upgrades!$T$6="First Photons",POWER(Upgrades!$U$6,E197),1)*IF(Upgrades!$T$7="First Photons",POWER(Upgrades!$U$7,F197),1)*IF(Upgrades!$T$8="First Photons",POWER(Upgrades!$U$8,G197),1)*IF(Upgrades!$T$9="First Photons",POWER(Upgrades!$U$9,H197),1)*IF(Upgrades!$T$10="First Photons",POWER(Upgrades!$U$10,I197),1)*IF(Upgrades!$T$11="First Photons",POWER(Upgrades!$U$11,J197),1))*POWER(Upgrades!$P$6,E197)*POWER(Upgrades!$P$7,F197)*POWER(Upgrades!$P$8,G197)*POWER(Upgrades!$P$9,H197)*POWER(Upgrades!$P$10,I197)*POWER(Upgrades!$P$11,J197)*POWER(Upgrades!$P$12,K197)*60</f>
        <v/>
      </c>
      <c r="AF197" s="27">
        <f>Parameters!$B$9*POWER(Upgrades!$Q$6,E197)*POWER(Upgrades!$Q$7,F197)*POWER(Upgrades!$Q$8,G197)*POWER(Upgrades!$Q$9,H197)*POWER(Upgrades!$Q$10,I197)*POWER(Upgrades!$Q$11,J197)*POWER(Upgrades!$Q$12,K197)*(Parameters!$B$10*Parameters!$B$11+O197*60)</f>
        <v/>
      </c>
      <c r="AG197" s="22">
        <f>IF(E197&gt;=Upgrades!$E$6,"",Upgrades!$C$6*POWER(Upgrades!$D$6,E197))</f>
        <v/>
      </c>
      <c r="AH197" s="22">
        <f>IF(F197&gt;=Upgrades!$E$7,"",Upgrades!$C$7*POWER(Upgrades!$D$7,F197))</f>
        <v/>
      </c>
      <c r="AI197" s="22">
        <f>IF(G197&gt;=Upgrades!$E$8,"",Upgrades!$C$8*POWER(Upgrades!$D$8,G197))</f>
        <v/>
      </c>
      <c r="AJ197" s="22">
        <f>IF(H197&gt;=Upgrades!$E$9,"",Upgrades!$C$9*POWER(Upgrades!$D$9,H197))</f>
        <v/>
      </c>
      <c r="AK197" s="22">
        <f>IF(I197&gt;=Upgrades!$E$10,"",Upgrades!$C$10*POWER(Upgrades!$D$10,I197))</f>
        <v/>
      </c>
      <c r="AL197" s="22">
        <f>IF(J197&gt;=Upgrades!$E$11,"",Upgrades!$C$11*POWER(Upgrades!$D$11,J197))</f>
        <v/>
      </c>
      <c r="AM197" s="22">
        <f>IF(K197&gt;=Upgrades!$E$12,"",Upgrades!$C$12*POWER(Upgrades!$D$12,K197))</f>
        <v/>
      </c>
      <c r="AN197" s="26">
        <f>IF(AND(D197&gt;=Parameters!$B$18,(H197&gt;=Upgrades!$E$9)*(K197&gt;=Upgrades!$E$12)=1,L197=0),1,"")</f>
        <v/>
      </c>
      <c r="AO197" s="26">
        <f>IF(AND(D197&gt;=Parameters!$B$18,L197=0),1,"")</f>
        <v/>
      </c>
      <c r="AP197" s="22">
        <f>MIN(IF(ISNUMBER(AK197),AK197,9E15),IF(ISNUMBER(AL197),AL197,9E15),IF(ISNUMBER(AM197),AM197,9E15))</f>
        <v/>
      </c>
      <c r="AQ197" s="22">
        <f>MIN(IF(ISNUMBER(AG197),AG197,9E15),IF(ISNUMBER(AH197),AH197,9E15),IF(ISNUMBER(AI197),AI197,9E15),IF(ISNUMBER(AJ197),AJ197,9E15))</f>
        <v/>
      </c>
      <c r="AR197" s="29">
        <f>IF(AW197&gt;Parameters!$B$21*(MAX(IF(AND(NOT(AND(AO197=1,AN197&lt;&gt;1)),ISNUMBER(AG197),AG197&lt;=T197),AS197,0),IF(AND(NOT(AND(AO197=1,AN197&lt;&gt;1)),ISNUMBER(AH197),AH197&lt;=T197),AT197,0),IF(AND(NOT(AND(AO197=1,AN197&lt;&gt;1)),ISNUMBER(AI197),AI197&lt;=T197),AU197,0),IF(AND(ISNUMBER(AJ197),AJ197&lt;=T197),AV197,0))),TRUE,FALSE)</f>
        <v/>
      </c>
      <c r="AS197" s="32">
        <f>IFERROR(Upgrades!$H$6*(POWER(Upgrades!$P$6,E197)*POWER(Upgrades!$P$7,F197)*POWER(Upgrades!$P$8,G197)*POWER(Upgrades!$P$9,H197)*POWER(Upgrades!$P$10,I197)*POWER(Upgrades!$P$11,J197)*POWER(Upgrades!$P$12,K197))*(IF(Upgrades!$T$7="Solar Wind",POWER(Upgrades!$U$7,F197),1)*IF(Upgrades!$T$8="Solar Wind",POWER(Upgrades!$U$8,G197),1)*IF(Upgrades!$T$9="Solar Wind",POWER(Upgrades!$U$9,H197),1)*IF(Upgrades!$T$10="Solar Wind",POWER(Upgrades!$U$10,I197),1)*IF(Upgrades!$T$11="Solar Wind",POWER(Upgrades!$U$11,J197),1)*IF(Upgrades!$T$12="Solar Wind",POWER(Upgrades!$U$12,K197),1))/AG197,0)</f>
        <v/>
      </c>
      <c r="AT197" s="32">
        <f>IFERROR(Upgrades!$H$7*(POWER(Upgrades!$P$6,E197)*POWER(Upgrades!$P$7,F197)*POWER(Upgrades!$P$8,G197)*POWER(Upgrades!$P$9,H197)*POWER(Upgrades!$P$10,I197)*POWER(Upgrades!$P$11,J197)*POWER(Upgrades!$P$12,K197))*(IF(Upgrades!$T$6="Asteroid Belt",POWER(Upgrades!$U$6,E197),1)*IF(Upgrades!$T$8="Asteroid Belt",POWER(Upgrades!$U$8,G197),1)*IF(Upgrades!$T$9="Asteroid Belt",POWER(Upgrades!$U$9,H197),1)*IF(Upgrades!$T$10="Asteroid Belt",POWER(Upgrades!$U$10,I197),1)*IF(Upgrades!$T$11="Asteroid Belt",POWER(Upgrades!$U$11,J197),1)*IF(Upgrades!$T$12="Asteroid Belt",POWER(Upgrades!$U$12,K197),1))/AH197,0)</f>
        <v/>
      </c>
      <c r="AU197" s="32">
        <f>IFERROR(Upgrades!$K$8*(POWER(Upgrades!$Q$6,E197)*POWER(Upgrades!$Q$7,F197)*POWER(Upgrades!$Q$8,G197)*POWER(Upgrades!$Q$9,H197)*POWER(Upgrades!$Q$10,I197)*POWER(Upgrades!$Q$11,J197)*POWER(Upgrades!$Q$12,K197))*(IF(Upgrades!$T$6="Stellar Coupling",POWER(Upgrades!$U$6,E197),1)*IF(Upgrades!$T$7="Stellar Coupling",POWER(Upgrades!$U$7,F197),1)*IF(Upgrades!$T$9="Stellar Coupling",POWER(Upgrades!$U$9,H197),1)*IF(Upgrades!$T$10="Stellar Coupling",POWER(Upgrades!$U$10,I197),1)*IF(Upgrades!$T$11="Stellar Coupling",POWER(Upgrades!$U$11,J197),1)*IF(Upgrades!$T$12="Stellar Coupling",POWER(Upgrades!$U$12,K197),1))*Parameters!$B$10*Parameters!$B$11/60/AI197,0)</f>
        <v/>
      </c>
      <c r="AV197" s="32">
        <f>IFERROR(Upgrades!$H$9*(POWER(Upgrades!$P$6,E197)*POWER(Upgrades!$P$7,F197)*POWER(Upgrades!$P$8,G197)*POWER(Upgrades!$P$9,H197)*POWER(Upgrades!$P$10,I197)*POWER(Upgrades!$P$11,J197)*POWER(Upgrades!$P$12,K197))*(IF(Upgrades!$T$6="Magnetosphere",POWER(Upgrades!$U$6,E197),1)*IF(Upgrades!$T$7="Magnetosphere",POWER(Upgrades!$U$7,F197),1)*IF(Upgrades!$T$8="Magnetosphere",POWER(Upgrades!$U$8,G197),1)*IF(Upgrades!$T$10="Magnetosphere",POWER(Upgrades!$U$10,I197),1)*IF(Upgrades!$T$11="Magnetosphere",POWER(Upgrades!$U$11,J197),1)*IF(Upgrades!$T$12="Magnetosphere",POWER(Upgrades!$U$12,K197),1))/AJ197,0)</f>
        <v/>
      </c>
      <c r="AW197" s="32">
        <f>MAX(IF(I197&gt;0,0,IFERROR(0.25*N197/Upgrades!$C$10,0)),IF(J197&gt;0,0,IFERROR(0.5*((IF(G197=0,0,(Upgrades!$J$8+G197*Upgrades!$K$8)*POWER(Upgrades!$L$8,G197)))*(IF(Upgrades!$T$6="Stellar Coupling",POWER(Upgrades!$U$6,E197),1)*IF(Upgrades!$T$7="Stellar Coupling",POWER(Upgrades!$U$7,F197),1)*IF(Upgrades!$T$9="Stellar Coupling",POWER(Upgrades!$U$9,H197),1)*IF(Upgrades!$T$10="Stellar Coupling",POWER(Upgrades!$U$10,I197),1)*IF(Upgrades!$T$11="Stellar Coupling",POWER(Upgrades!$U$11,J197),1)*IF(Upgrades!$T$12="Stellar Coupling",POWER(Upgrades!$U$12,K197),1))*(POWER(Upgrades!$Q$6,E197)*POWER(Upgrades!$Q$7,F197)*POWER(Upgrades!$Q$8,G197)*POWER(Upgrades!$Q$9,H197)*POWER(Upgrades!$Q$10,I197)*POWER(Upgrades!$Q$11,J197)*POWER(Upgrades!$Q$12,K197))*Parameters!$B$10*Parameters!$B$11/60)/Upgrades!$C$11,0)),IF(K197&gt;0,0,IFERROR((1.0*(POWER(Upgrades!$P$6,E197)*POWER(Upgrades!$P$7,F197)*POWER(Upgrades!$P$8,G197)*POWER(Upgrades!$P$9,H197)*POWER(Upgrades!$P$10,I197)*POWER(Upgrades!$P$11,J197)*POWER(Upgrades!$P$12,K197))+0.20*M197*Parameters!$B$10*Parameters!$B$11/60)/Upgrades!$C$12,0)),IF(AND(ISNUMBER(AG197),AG197&gt;T197),AS197,0),IF(AND(ISNUMBER(AH197),AH197&gt;T197),AT197,0),IF(AND(ISNUMBER(AI197),AI197&gt;T197),AU197,0),IF(AND(ISNUMBER(AJ197),AJ197&gt;T197),AV197,0))</f>
        <v/>
      </c>
      <c r="AX197" s="29">
        <f>IF(AN197=1,"transition",IF(MIN(IF(AND(I197=0,ISNUMBER(AK197),AK197&lt;=T197),AK197,9E15),IF(AND(J197=0,ISNUMBER(AL197),AL197&lt;=T197),AL197,9E15),IF(AND(K197=0,ISNUMBER(AM197),AM197&lt;=T197),AM197,9E15))&lt;9E15,IF(AND(AND(I197=0,ISNUMBER(AK197),AK197&lt;=T197),AK197=MIN(IF(AND(I197=0,ISNUMBER(AK197),AK197&lt;=T197),AK197,9E15),IF(AND(J197=0,ISNUMBER(AL197),AL197&lt;=T197),AL197,9E15),IF(AND(K197=0,ISNUMBER(AM197),AM197&lt;=T197),AM197,9E15))),"OR",IF(AND(AND(J197=0,ISNUMBER(AL197),AL197&lt;=T197),AL197=MIN(IF(AND(I197=0,ISNUMBER(AK197),AK197&lt;=T197),AK197,9E15),IF(AND(J197=0,ISNUMBER(AL197),AL197&lt;=T197),AL197,9E15),IF(AND(K197=0,ISNUMBER(AM197),AM197&lt;=T197),AM197,9E15))),"HP","FP")),IF(AR197=TRUE,"",IF(MAX(IF(AND(NOT(AND(AO197=1,AN197&lt;&gt;1)),ISNUMBER(AG197),AG197&lt;=T197),AS197,0),IF(AND(NOT(AND(AO197=1,AN197&lt;&gt;1)),ISNUMBER(AH197),AH197&lt;=T197),AT197,0),IF(AND(NOT(AND(AO197=1,AN197&lt;&gt;1)),ISNUMBER(AI197),AI197&lt;=T197),AU197,0),IF(AND(ISNUMBER(AJ197),AJ197&lt;=T197),AV197,0))&lt;=0,"",IF(AND(IF(AND(NOT(AND(AO197=1,AN197&lt;&gt;1)),ISNUMBER(AG197),AG197&lt;=T197),AS197,0)&gt;0,IF(AND(NOT(AND(AO197=1,AN197&lt;&gt;1)),ISNUMBER(AG197),AG197&lt;=T197),AS197,0)=MAX(IF(AND(NOT(AND(AO197=1,AN197&lt;&gt;1)),ISNUMBER(AG197),AG197&lt;=T197),AS197,0),IF(AND(NOT(AND(AO197=1,AN197&lt;&gt;1)),ISNUMBER(AH197),AH197&lt;=T197),AT197,0),IF(AND(NOT(AND(AO197=1,AN197&lt;&gt;1)),ISNUMBER(AI197),AI197&lt;=T197),AU197,0),IF(AND(ISNUMBER(AJ197),AJ197&lt;=T197),AV197,0))),"SW",IF(AND(IF(AND(NOT(AND(AO197=1,AN197&lt;&gt;1)),ISNUMBER(AH197),AH197&lt;=T197),AT197,0)&gt;0,IF(AND(NOT(AND(AO197=1,AN197&lt;&gt;1)),ISNUMBER(AH197),AH197&lt;=T197),AT197,0)=MAX(IF(AND(NOT(AND(AO197=1,AN197&lt;&gt;1)),ISNUMBER(AG197),AG197&lt;=T197),AS197,0),IF(AND(NOT(AND(AO197=1,AN197&lt;&gt;1)),ISNUMBER(AH197),AH197&lt;=T197),AT197,0),IF(AND(NOT(AND(AO197=1,AN197&lt;&gt;1)),ISNUMBER(AI197),AI197&lt;=T197),AU197,0),IF(AND(ISNUMBER(AJ197),AJ197&lt;=T197),AV197,0))),"AB",IF(AND(IF(AND(NOT(AND(AO197=1,AN197&lt;&gt;1)),ISNUMBER(AI197),AI197&lt;=T197),AU197,0)&gt;0,IF(AND(NOT(AND(AO197=1,AN197&lt;&gt;1)),ISNUMBER(AI197),AI197&lt;=T197),AU197,0)=MAX(IF(AND(NOT(AND(AO197=1,AN197&lt;&gt;1)),ISNUMBER(AG197),AG197&lt;=T197),AS197,0),IF(AND(NOT(AND(AO197=1,AN197&lt;&gt;1)),ISNUMBER(AH197),AH197&lt;=T197),AT197,0),IF(AND(NOT(AND(AO197=1,AN197&lt;&gt;1)),ISNUMBER(AI197),AI197&lt;=T197),AU197,0),IF(AND(ISNUMBER(AJ197),AJ197&lt;=T197),AV197,0))),"SC","Mag")))))))</f>
        <v/>
      </c>
    </row>
    <row r="198">
      <c r="A198" s="26" t="n">
        <v>193</v>
      </c>
      <c r="B198" s="27">
        <f>A198*10/60</f>
        <v/>
      </c>
      <c r="C198" s="22">
        <f>X197</f>
        <v/>
      </c>
      <c r="D198" s="27">
        <f>D197+W197</f>
        <v/>
      </c>
      <c r="E198" s="26">
        <f>E197+IF(U197="SW",1,0)</f>
        <v/>
      </c>
      <c r="F198" s="26">
        <f>F197+IF(U197="AB",1,0)</f>
        <v/>
      </c>
      <c r="G198" s="26">
        <f>G197+IF(U197="SC",1,0)</f>
        <v/>
      </c>
      <c r="H198" s="26">
        <f>H197+IF(U197="Mag",1,0)</f>
        <v/>
      </c>
      <c r="I198" s="26">
        <f>MAX(I197,IF(U197="OR",1,0))</f>
        <v/>
      </c>
      <c r="J198" s="26">
        <f>MAX(J197,IF(U197="HP",1,0))</f>
        <v/>
      </c>
      <c r="K198" s="26">
        <f>MAX(K197,IF(U197="FP",1,0))</f>
        <v/>
      </c>
      <c r="L198" s="26">
        <f>MAX(L197,IF(U197="transition",1,0))</f>
        <v/>
      </c>
      <c r="M198" s="28">
        <f>(Parameters!$B$9+(IF(E198=0,0,(Upgrades!$J$6+E198*Upgrades!$K$6)*POWER(Upgrades!$L$6,E198)))*(IF(Upgrades!$T$7="Solar Wind",POWER(Upgrades!$U$7,F198),1)*IF(Upgrades!$T$8="Solar Wind",POWER(Upgrades!$U$8,G198),1)*IF(Upgrades!$T$9="Solar Wind",POWER(Upgrades!$U$9,H198),1)*IF(Upgrades!$T$10="Solar Wind",POWER(Upgrades!$U$10,I198),1)*IF(Upgrades!$T$11="Solar Wind",POWER(Upgrades!$U$11,J198),1)*IF(Upgrades!$T$12="Solar Wind",POWER(Upgrades!$U$12,K198),1))+(IF(F198=0,0,(Upgrades!$J$7+F198*Upgrades!$K$7)*POWER(Upgrades!$L$7,F198)))*(IF(Upgrades!$T$6="Asteroid Belt",POWER(Upgrades!$U$6,E198),1)*IF(Upgrades!$T$8="Asteroid Belt",POWER(Upgrades!$U$8,G198),1)*IF(Upgrades!$T$9="Asteroid Belt",POWER(Upgrades!$U$9,H198),1)*IF(Upgrades!$T$10="Asteroid Belt",POWER(Upgrades!$U$10,I198),1)*IF(Upgrades!$T$11="Asteroid Belt",POWER(Upgrades!$U$11,J198),1)*IF(Upgrades!$T$12="Asteroid Belt",POWER(Upgrades!$U$12,K198),1))+(IF(G198=0,0,(Upgrades!$J$8+G198*Upgrades!$K$8)*POWER(Upgrades!$L$8,G198)))*(IF(Upgrades!$T$6="Stellar Coupling",POWER(Upgrades!$U$6,E198),1)*IF(Upgrades!$T$7="Stellar Coupling",POWER(Upgrades!$U$7,F198),1)*IF(Upgrades!$T$9="Stellar Coupling",POWER(Upgrades!$U$9,H198),1)*IF(Upgrades!$T$10="Stellar Coupling",POWER(Upgrades!$U$10,I198),1)*IF(Upgrades!$T$11="Stellar Coupling",POWER(Upgrades!$U$11,J198),1)*IF(Upgrades!$T$12="Stellar Coupling",POWER(Upgrades!$U$12,K198),1))+(IF(H198=0,0,(Upgrades!$J$9+H198*Upgrades!$K$9)*POWER(Upgrades!$L$9,H198)))*(IF(Upgrades!$T$6="Magnetosphere",POWER(Upgrades!$U$6,E198),1)*IF(Upgrades!$T$7="Magnetosphere",POWER(Upgrades!$U$7,F198),1)*IF(Upgrades!$T$8="Magnetosphere",POWER(Upgrades!$U$8,G198),1)*IF(Upgrades!$T$10="Magnetosphere",POWER(Upgrades!$U$10,I198),1)*IF(Upgrades!$T$11="Magnetosphere",POWER(Upgrades!$U$11,J198),1)*IF(Upgrades!$T$12="Magnetosphere",POWER(Upgrades!$U$12,K198),1))+(IF(I198=0,0,(Upgrades!$J$10+I198*Upgrades!$K$10)*POWER(Upgrades!$L$10,I198)))*(IF(Upgrades!$T$6="Orbital Resonance",POWER(Upgrades!$U$6,E198),1)*IF(Upgrades!$T$7="Orbital Resonance",POWER(Upgrades!$U$7,F198),1)*IF(Upgrades!$T$8="Orbital Resonance",POWER(Upgrades!$U$8,G198),1)*IF(Upgrades!$T$9="Orbital Resonance",POWER(Upgrades!$U$9,H198),1)*IF(Upgrades!$T$11="Orbital Resonance",POWER(Upgrades!$U$11,J198),1)*IF(Upgrades!$T$12="Orbital Resonance",POWER(Upgrades!$U$12,K198),1))+(IF(J198=0,0,(Upgrades!$J$11+J198*Upgrades!$K$11)*POWER(Upgrades!$L$11,J198)))*(IF(Upgrades!$T$6="Heliopause",POWER(Upgrades!$U$6,E198),1)*IF(Upgrades!$T$7="Heliopause",POWER(Upgrades!$U$7,F198),1)*IF(Upgrades!$T$8="Heliopause",POWER(Upgrades!$U$8,G198),1)*IF(Upgrades!$T$9="Heliopause",POWER(Upgrades!$U$9,H198),1)*IF(Upgrades!$T$10="Heliopause",POWER(Upgrades!$U$10,I198),1)*IF(Upgrades!$T$12="Heliopause",POWER(Upgrades!$U$12,K198),1))+(IF(K198=0,0,(Upgrades!$J$12+K198*Upgrades!$K$12)*POWER(Upgrades!$L$12,K198)))*(IF(Upgrades!$T$6="First Photons",POWER(Upgrades!$U$6,E198),1)*IF(Upgrades!$T$7="First Photons",POWER(Upgrades!$U$7,F198),1)*IF(Upgrades!$T$8="First Photons",POWER(Upgrades!$U$8,G198),1)*IF(Upgrades!$T$9="First Photons",POWER(Upgrades!$U$9,H198),1)*IF(Upgrades!$T$10="First Photons",POWER(Upgrades!$U$10,I198),1)*IF(Upgrades!$T$11="First Photons",POWER(Upgrades!$U$11,J198),1)))*POWER(Upgrades!$Q$6,E198)*POWER(Upgrades!$Q$7,F198)*POWER(Upgrades!$Q$8,G198)*POWER(Upgrades!$Q$9,H198)*POWER(Upgrades!$Q$10,I198)*POWER(Upgrades!$Q$11,J198)*POWER(Upgrades!$Q$12,K198)</f>
        <v/>
      </c>
      <c r="N198" s="28">
        <f>((IF(E198=0,0,(Upgrades!$G$6+E198*Upgrades!$H$6)*POWER(Upgrades!$I$6,E198)))*(IF(Upgrades!$T$7="Solar Wind",POWER(Upgrades!$U$7,F198),1)*IF(Upgrades!$T$8="Solar Wind",POWER(Upgrades!$U$8,G198),1)*IF(Upgrades!$T$9="Solar Wind",POWER(Upgrades!$U$9,H198),1)*IF(Upgrades!$T$10="Solar Wind",POWER(Upgrades!$U$10,I198),1)*IF(Upgrades!$T$11="Solar Wind",POWER(Upgrades!$U$11,J198),1)*IF(Upgrades!$T$12="Solar Wind",POWER(Upgrades!$U$12,K198),1))+(IF(F198=0,0,(Upgrades!$G$7+F198*Upgrades!$H$7)*POWER(Upgrades!$I$7,F198)))*(IF(Upgrades!$T$6="Asteroid Belt",POWER(Upgrades!$U$6,E198),1)*IF(Upgrades!$T$8="Asteroid Belt",POWER(Upgrades!$U$8,G198),1)*IF(Upgrades!$T$9="Asteroid Belt",POWER(Upgrades!$U$9,H198),1)*IF(Upgrades!$T$10="Asteroid Belt",POWER(Upgrades!$U$10,I198),1)*IF(Upgrades!$T$11="Asteroid Belt",POWER(Upgrades!$U$11,J198),1)*IF(Upgrades!$T$12="Asteroid Belt",POWER(Upgrades!$U$12,K198),1))+(IF(G198=0,0,(Upgrades!$G$8+G198*Upgrades!$H$8)*POWER(Upgrades!$I$8,G198)))*(IF(Upgrades!$T$6="Stellar Coupling",POWER(Upgrades!$U$6,E198),1)*IF(Upgrades!$T$7="Stellar Coupling",POWER(Upgrades!$U$7,F198),1)*IF(Upgrades!$T$9="Stellar Coupling",POWER(Upgrades!$U$9,H198),1)*IF(Upgrades!$T$10="Stellar Coupling",POWER(Upgrades!$U$10,I198),1)*IF(Upgrades!$T$11="Stellar Coupling",POWER(Upgrades!$U$11,J198),1)*IF(Upgrades!$T$12="Stellar Coupling",POWER(Upgrades!$U$12,K198),1))+(IF(H198=0,0,(Upgrades!$G$9+H198*Upgrades!$H$9)*POWER(Upgrades!$I$9,H198)))*(IF(Upgrades!$T$6="Magnetosphere",POWER(Upgrades!$U$6,E198),1)*IF(Upgrades!$T$7="Magnetosphere",POWER(Upgrades!$U$7,F198),1)*IF(Upgrades!$T$8="Magnetosphere",POWER(Upgrades!$U$8,G198),1)*IF(Upgrades!$T$10="Magnetosphere",POWER(Upgrades!$U$10,I198),1)*IF(Upgrades!$T$11="Magnetosphere",POWER(Upgrades!$U$11,J198),1)*IF(Upgrades!$T$12="Magnetosphere",POWER(Upgrades!$U$12,K198),1))+(IF(I198=0,0,(Upgrades!$G$10+I198*Upgrades!$H$10)*POWER(Upgrades!$I$10,I198)))*(IF(Upgrades!$T$6="Orbital Resonance",POWER(Upgrades!$U$6,E198),1)*IF(Upgrades!$T$7="Orbital Resonance",POWER(Upgrades!$U$7,F198),1)*IF(Upgrades!$T$8="Orbital Resonance",POWER(Upgrades!$U$8,G198),1)*IF(Upgrades!$T$9="Orbital Resonance",POWER(Upgrades!$U$9,H198),1)*IF(Upgrades!$T$11="Orbital Resonance",POWER(Upgrades!$U$11,J198),1)*IF(Upgrades!$T$12="Orbital Resonance",POWER(Upgrades!$U$12,K198),1))+(IF(J198=0,0,(Upgrades!$G$11+J198*Upgrades!$H$11)*POWER(Upgrades!$I$11,J198)))*(IF(Upgrades!$T$6="Heliopause",POWER(Upgrades!$U$6,E198),1)*IF(Upgrades!$T$7="Heliopause",POWER(Upgrades!$U$7,F198),1)*IF(Upgrades!$T$8="Heliopause",POWER(Upgrades!$U$8,G198),1)*IF(Upgrades!$T$9="Heliopause",POWER(Upgrades!$U$9,H198),1)*IF(Upgrades!$T$10="Heliopause",POWER(Upgrades!$U$10,I198),1)*IF(Upgrades!$T$12="Heliopause",POWER(Upgrades!$U$12,K198),1))+(IF(K198=0,0,(Upgrades!$G$12+K198*Upgrades!$H$12)*POWER(Upgrades!$I$12,K198)))*(IF(Upgrades!$T$6="First Photons",POWER(Upgrades!$U$6,E198),1)*IF(Upgrades!$T$7="First Photons",POWER(Upgrades!$U$7,F198),1)*IF(Upgrades!$T$8="First Photons",POWER(Upgrades!$U$8,G198),1)*IF(Upgrades!$T$9="First Photons",POWER(Upgrades!$U$9,H198),1)*IF(Upgrades!$T$10="First Photons",POWER(Upgrades!$U$10,I198),1)*IF(Upgrades!$T$11="First Photons",POWER(Upgrades!$U$11,J198),1)))*POWER(Upgrades!$P$6,E198)*POWER(Upgrades!$P$7,F198)*POWER(Upgrades!$P$8,G198)*POWER(Upgrades!$P$9,H198)*POWER(Upgrades!$P$10,I198)*POWER(Upgrades!$P$11,J198)*POWER(Upgrades!$P$12,K198)</f>
        <v/>
      </c>
      <c r="O198" s="28">
        <f>((IF(E198=0,0,(Upgrades!$M$6+E198*Upgrades!$N$6)*POWER(Upgrades!$O$6,E198)))*(IF(Upgrades!$T$7="Solar Wind",POWER(Upgrades!$U$7,F198),1)*IF(Upgrades!$T$8="Solar Wind",POWER(Upgrades!$U$8,G198),1)*IF(Upgrades!$T$9="Solar Wind",POWER(Upgrades!$U$9,H198),1)*IF(Upgrades!$T$10="Solar Wind",POWER(Upgrades!$U$10,I198),1)*IF(Upgrades!$T$11="Solar Wind",POWER(Upgrades!$U$11,J198),1)*IF(Upgrades!$T$12="Solar Wind",POWER(Upgrades!$U$12,K198),1))+(IF(F198=0,0,(Upgrades!$M$7+F198*Upgrades!$N$7)*POWER(Upgrades!$O$7,F198)))*(IF(Upgrades!$T$6="Asteroid Belt",POWER(Upgrades!$U$6,E198),1)*IF(Upgrades!$T$8="Asteroid Belt",POWER(Upgrades!$U$8,G198),1)*IF(Upgrades!$T$9="Asteroid Belt",POWER(Upgrades!$U$9,H198),1)*IF(Upgrades!$T$10="Asteroid Belt",POWER(Upgrades!$U$10,I198),1)*IF(Upgrades!$T$11="Asteroid Belt",POWER(Upgrades!$U$11,J198),1)*IF(Upgrades!$T$12="Asteroid Belt",POWER(Upgrades!$U$12,K198),1))+(IF(G198=0,0,(Upgrades!$M$8+G198*Upgrades!$N$8)*POWER(Upgrades!$O$8,G198)))*(IF(Upgrades!$T$6="Stellar Coupling",POWER(Upgrades!$U$6,E198),1)*IF(Upgrades!$T$7="Stellar Coupling",POWER(Upgrades!$U$7,F198),1)*IF(Upgrades!$T$9="Stellar Coupling",POWER(Upgrades!$U$9,H198),1)*IF(Upgrades!$T$10="Stellar Coupling",POWER(Upgrades!$U$10,I198),1)*IF(Upgrades!$T$11="Stellar Coupling",POWER(Upgrades!$U$11,J198),1)*IF(Upgrades!$T$12="Stellar Coupling",POWER(Upgrades!$U$12,K198),1))+(IF(H198=0,0,(Upgrades!$M$9+H198*Upgrades!$N$9)*POWER(Upgrades!$O$9,H198)))*(IF(Upgrades!$T$6="Magnetosphere",POWER(Upgrades!$U$6,E198),1)*IF(Upgrades!$T$7="Magnetosphere",POWER(Upgrades!$U$7,F198),1)*IF(Upgrades!$T$8="Magnetosphere",POWER(Upgrades!$U$8,G198),1)*IF(Upgrades!$T$10="Magnetosphere",POWER(Upgrades!$U$10,I198),1)*IF(Upgrades!$T$11="Magnetosphere",POWER(Upgrades!$U$11,J198),1)*IF(Upgrades!$T$12="Magnetosphere",POWER(Upgrades!$U$12,K198),1))+(IF(I198=0,0,(Upgrades!$M$10+I198*Upgrades!$N$10)*POWER(Upgrades!$O$10,I198)))*(IF(Upgrades!$T$6="Orbital Resonance",POWER(Upgrades!$U$6,E198),1)*IF(Upgrades!$T$7="Orbital Resonance",POWER(Upgrades!$U$7,F198),1)*IF(Upgrades!$T$8="Orbital Resonance",POWER(Upgrades!$U$8,G198),1)*IF(Upgrades!$T$9="Orbital Resonance",POWER(Upgrades!$U$9,H198),1)*IF(Upgrades!$T$11="Orbital Resonance",POWER(Upgrades!$U$11,J198),1)*IF(Upgrades!$T$12="Orbital Resonance",POWER(Upgrades!$U$12,K198),1))+(IF(J198=0,0,(Upgrades!$M$11+J198*Upgrades!$N$11)*POWER(Upgrades!$O$11,J198)))*(IF(Upgrades!$T$6="Heliopause",POWER(Upgrades!$U$6,E198),1)*IF(Upgrades!$T$7="Heliopause",POWER(Upgrades!$U$7,F198),1)*IF(Upgrades!$T$8="Heliopause",POWER(Upgrades!$U$8,G198),1)*IF(Upgrades!$T$9="Heliopause",POWER(Upgrades!$U$9,H198),1)*IF(Upgrades!$T$10="Heliopause",POWER(Upgrades!$U$10,I198),1)*IF(Upgrades!$T$12="Heliopause",POWER(Upgrades!$U$12,K198),1))+(IF(K198=0,0,(Upgrades!$M$12+K198*Upgrades!$N$12)*POWER(Upgrades!$O$12,K198)))*(IF(Upgrades!$T$6="First Photons",POWER(Upgrades!$U$6,E198),1)*IF(Upgrades!$T$7="First Photons",POWER(Upgrades!$U$7,F198),1)*IF(Upgrades!$T$8="First Photons",POWER(Upgrades!$U$8,G198),1)*IF(Upgrades!$T$9="First Photons",POWER(Upgrades!$U$9,H198),1)*IF(Upgrades!$T$10="First Photons",POWER(Upgrades!$U$10,I198),1)*IF(Upgrades!$T$11="First Photons",POWER(Upgrades!$U$11,J198),1)))*POWER(Upgrades!$R$6,E198)*POWER(Upgrades!$R$7,F198)*POWER(Upgrades!$R$8,G198)*POWER(Upgrades!$R$9,H198)*POWER(Upgrades!$R$10,I198)*POWER(Upgrades!$R$11,J198)*POWER(Upgrades!$R$12,K198)</f>
        <v/>
      </c>
      <c r="P198" s="27">
        <f>IF(L198=1,0,M198*Parameters!$B$10/60*Parameters!$B$11*10)</f>
        <v/>
      </c>
      <c r="Q198" s="27">
        <f>IF(L198=1,0,O198*M198*10)</f>
        <v/>
      </c>
      <c r="R198" s="27">
        <f>IF(L198=1,0,N198*10)</f>
        <v/>
      </c>
      <c r="S198" s="27">
        <f>P198+Q198+R198</f>
        <v/>
      </c>
      <c r="T198" s="22">
        <f>C198+S198</f>
        <v/>
      </c>
      <c r="U198" s="33">
        <f>AX198</f>
        <v/>
      </c>
      <c r="V198" s="22">
        <f>IF(U198="",0,IF(U198="transition",0,IF(U198="SW",AG198,IF(U198="AB",AH198,IF(U198="SC",AI198,IF(U198="Mag",AJ198,IF(U198="OR",AK198,IF(U198="HP",AL198,IF(U198="FP",AM198,0)))))))))</f>
        <v/>
      </c>
      <c r="W198" s="27">
        <f>IF(U198="OR",Upgrades!$F$10,IF(U198="HP",Upgrades!$F$11,IF(U198="transition",-Parameters!$B$18,0)))</f>
        <v/>
      </c>
      <c r="X198" s="22">
        <f>T198-V198</f>
        <v/>
      </c>
      <c r="Y198" s="30">
        <f>M198*Parameters!$B$10/60*Parameters!$B$11+O198*M198+N198</f>
        <v/>
      </c>
      <c r="Z198" s="34">
        <f>IF(U198="transition","→ Tier 2 (Stellar Neighborhood)",IF(U198="FP","First Photons — light begins, system quickens",IF(U198="HP","Heliopause acquired",IF(U198="OR","Orbital Resonance — passive multiplier active",IF(AND(AO198=1,L198=0,AN198&lt;&gt;1),"Cohesion ready (waiting on completionist upgrades)","")))))</f>
        <v/>
      </c>
      <c r="AA198" s="27">
        <f>(IF(E198=0,0,(Upgrades!$G$6+E198*Upgrades!$H$6)*POWER(Upgrades!$I$6,E198)))*(IF(Upgrades!$T$7="Solar Wind",POWER(Upgrades!$U$7,F198),1)*IF(Upgrades!$T$8="Solar Wind",POWER(Upgrades!$U$8,G198),1)*IF(Upgrades!$T$9="Solar Wind",POWER(Upgrades!$U$9,H198),1)*IF(Upgrades!$T$10="Solar Wind",POWER(Upgrades!$U$10,I198),1)*IF(Upgrades!$T$11="Solar Wind",POWER(Upgrades!$U$11,J198),1)*IF(Upgrades!$T$12="Solar Wind",POWER(Upgrades!$U$12,K198),1))*POWER(Upgrades!$P$6,E198)*POWER(Upgrades!$P$7,F198)*POWER(Upgrades!$P$8,G198)*POWER(Upgrades!$P$9,H198)*POWER(Upgrades!$P$10,I198)*POWER(Upgrades!$P$11,J198)*POWER(Upgrades!$P$12,K198)*60</f>
        <v/>
      </c>
      <c r="AB198" s="27">
        <f>(IF(F198=0,0,(Upgrades!$G$7+F198*Upgrades!$H$7)*POWER(Upgrades!$I$7,F198)))*(IF(Upgrades!$T$6="Asteroid Belt",POWER(Upgrades!$U$6,E198),1)*IF(Upgrades!$T$8="Asteroid Belt",POWER(Upgrades!$U$8,G198),1)*IF(Upgrades!$T$9="Asteroid Belt",POWER(Upgrades!$U$9,H198),1)*IF(Upgrades!$T$10="Asteroid Belt",POWER(Upgrades!$U$10,I198),1)*IF(Upgrades!$T$11="Asteroid Belt",POWER(Upgrades!$U$11,J198),1)*IF(Upgrades!$T$12="Asteroid Belt",POWER(Upgrades!$U$12,K198),1))*POWER(Upgrades!$P$6,E198)*POWER(Upgrades!$P$7,F198)*POWER(Upgrades!$P$8,G198)*POWER(Upgrades!$P$9,H198)*POWER(Upgrades!$P$10,I198)*POWER(Upgrades!$P$11,J198)*POWER(Upgrades!$P$12,K198)*60</f>
        <v/>
      </c>
      <c r="AC198" s="27">
        <f>(IF(G198=0,0,(Upgrades!$J$8+G198*Upgrades!$K$8)*POWER(Upgrades!$L$8,G198)))*(IF(Upgrades!$T$6="Stellar Coupling",POWER(Upgrades!$U$6,E198),1)*IF(Upgrades!$T$7="Stellar Coupling",POWER(Upgrades!$U$7,F198),1)*IF(Upgrades!$T$9="Stellar Coupling",POWER(Upgrades!$U$9,H198),1)*IF(Upgrades!$T$10="Stellar Coupling",POWER(Upgrades!$U$10,I198),1)*IF(Upgrades!$T$11="Stellar Coupling",POWER(Upgrades!$U$11,J198),1)*IF(Upgrades!$T$12="Stellar Coupling",POWER(Upgrades!$U$12,K198),1))*POWER(Upgrades!$Q$6,E198)*POWER(Upgrades!$Q$7,F198)*POWER(Upgrades!$Q$8,G198)*POWER(Upgrades!$Q$9,H198)*POWER(Upgrades!$Q$10,I198)*POWER(Upgrades!$Q$11,J198)*POWER(Upgrades!$Q$12,K198)*Parameters!$B$10*Parameters!$B$11</f>
        <v/>
      </c>
      <c r="AD198" s="27">
        <f>(IF(H198=0,0,(Upgrades!$G$9+H198*Upgrades!$H$9)*POWER(Upgrades!$I$9,H198)))*(IF(Upgrades!$T$6="Magnetosphere",POWER(Upgrades!$U$6,E198),1)*IF(Upgrades!$T$7="Magnetosphere",POWER(Upgrades!$U$7,F198),1)*IF(Upgrades!$T$8="Magnetosphere",POWER(Upgrades!$U$8,G198),1)*IF(Upgrades!$T$10="Magnetosphere",POWER(Upgrades!$U$10,I198),1)*IF(Upgrades!$T$11="Magnetosphere",POWER(Upgrades!$U$11,J198),1)*IF(Upgrades!$T$12="Magnetosphere",POWER(Upgrades!$U$12,K198),1))*POWER(Upgrades!$P$6,E198)*POWER(Upgrades!$P$7,F198)*POWER(Upgrades!$P$8,G198)*POWER(Upgrades!$P$9,H198)*POWER(Upgrades!$P$10,I198)*POWER(Upgrades!$P$11,J198)*POWER(Upgrades!$P$12,K198)*60</f>
        <v/>
      </c>
      <c r="AE198" s="27">
        <f>(IF(K198=0,0,(Upgrades!$G$12+K198*Upgrades!$H$12)*POWER(Upgrades!$I$12,K198)))*(IF(Upgrades!$T$6="First Photons",POWER(Upgrades!$U$6,E198),1)*IF(Upgrades!$T$7="First Photons",POWER(Upgrades!$U$7,F198),1)*IF(Upgrades!$T$8="First Photons",POWER(Upgrades!$U$8,G198),1)*IF(Upgrades!$T$9="First Photons",POWER(Upgrades!$U$9,H198),1)*IF(Upgrades!$T$10="First Photons",POWER(Upgrades!$U$10,I198),1)*IF(Upgrades!$T$11="First Photons",POWER(Upgrades!$U$11,J198),1))*POWER(Upgrades!$P$6,E198)*POWER(Upgrades!$P$7,F198)*POWER(Upgrades!$P$8,G198)*POWER(Upgrades!$P$9,H198)*POWER(Upgrades!$P$10,I198)*POWER(Upgrades!$P$11,J198)*POWER(Upgrades!$P$12,K198)*60</f>
        <v/>
      </c>
      <c r="AF198" s="27">
        <f>Parameters!$B$9*POWER(Upgrades!$Q$6,E198)*POWER(Upgrades!$Q$7,F198)*POWER(Upgrades!$Q$8,G198)*POWER(Upgrades!$Q$9,H198)*POWER(Upgrades!$Q$10,I198)*POWER(Upgrades!$Q$11,J198)*POWER(Upgrades!$Q$12,K198)*(Parameters!$B$10*Parameters!$B$11+O198*60)</f>
        <v/>
      </c>
      <c r="AG198" s="22">
        <f>IF(E198&gt;=Upgrades!$E$6,"",Upgrades!$C$6*POWER(Upgrades!$D$6,E198))</f>
        <v/>
      </c>
      <c r="AH198" s="22">
        <f>IF(F198&gt;=Upgrades!$E$7,"",Upgrades!$C$7*POWER(Upgrades!$D$7,F198))</f>
        <v/>
      </c>
      <c r="AI198" s="22">
        <f>IF(G198&gt;=Upgrades!$E$8,"",Upgrades!$C$8*POWER(Upgrades!$D$8,G198))</f>
        <v/>
      </c>
      <c r="AJ198" s="22">
        <f>IF(H198&gt;=Upgrades!$E$9,"",Upgrades!$C$9*POWER(Upgrades!$D$9,H198))</f>
        <v/>
      </c>
      <c r="AK198" s="22">
        <f>IF(I198&gt;=Upgrades!$E$10,"",Upgrades!$C$10*POWER(Upgrades!$D$10,I198))</f>
        <v/>
      </c>
      <c r="AL198" s="22">
        <f>IF(J198&gt;=Upgrades!$E$11,"",Upgrades!$C$11*POWER(Upgrades!$D$11,J198))</f>
        <v/>
      </c>
      <c r="AM198" s="22">
        <f>IF(K198&gt;=Upgrades!$E$12,"",Upgrades!$C$12*POWER(Upgrades!$D$12,K198))</f>
        <v/>
      </c>
      <c r="AN198" s="26">
        <f>IF(AND(D198&gt;=Parameters!$B$18,(H198&gt;=Upgrades!$E$9)*(K198&gt;=Upgrades!$E$12)=1,L198=0),1,"")</f>
        <v/>
      </c>
      <c r="AO198" s="26">
        <f>IF(AND(D198&gt;=Parameters!$B$18,L198=0),1,"")</f>
        <v/>
      </c>
      <c r="AP198" s="22">
        <f>MIN(IF(ISNUMBER(AK198),AK198,9E15),IF(ISNUMBER(AL198),AL198,9E15),IF(ISNUMBER(AM198),AM198,9E15))</f>
        <v/>
      </c>
      <c r="AQ198" s="22">
        <f>MIN(IF(ISNUMBER(AG198),AG198,9E15),IF(ISNUMBER(AH198),AH198,9E15),IF(ISNUMBER(AI198),AI198,9E15),IF(ISNUMBER(AJ198),AJ198,9E15))</f>
        <v/>
      </c>
      <c r="AR198" s="29">
        <f>IF(AW198&gt;Parameters!$B$21*(MAX(IF(AND(NOT(AND(AO198=1,AN198&lt;&gt;1)),ISNUMBER(AG198),AG198&lt;=T198),AS198,0),IF(AND(NOT(AND(AO198=1,AN198&lt;&gt;1)),ISNUMBER(AH198),AH198&lt;=T198),AT198,0),IF(AND(NOT(AND(AO198=1,AN198&lt;&gt;1)),ISNUMBER(AI198),AI198&lt;=T198),AU198,0),IF(AND(ISNUMBER(AJ198),AJ198&lt;=T198),AV198,0))),TRUE,FALSE)</f>
        <v/>
      </c>
      <c r="AS198" s="32">
        <f>IFERROR(Upgrades!$H$6*(POWER(Upgrades!$P$6,E198)*POWER(Upgrades!$P$7,F198)*POWER(Upgrades!$P$8,G198)*POWER(Upgrades!$P$9,H198)*POWER(Upgrades!$P$10,I198)*POWER(Upgrades!$P$11,J198)*POWER(Upgrades!$P$12,K198))*(IF(Upgrades!$T$7="Solar Wind",POWER(Upgrades!$U$7,F198),1)*IF(Upgrades!$T$8="Solar Wind",POWER(Upgrades!$U$8,G198),1)*IF(Upgrades!$T$9="Solar Wind",POWER(Upgrades!$U$9,H198),1)*IF(Upgrades!$T$10="Solar Wind",POWER(Upgrades!$U$10,I198),1)*IF(Upgrades!$T$11="Solar Wind",POWER(Upgrades!$U$11,J198),1)*IF(Upgrades!$T$12="Solar Wind",POWER(Upgrades!$U$12,K198),1))/AG198,0)</f>
        <v/>
      </c>
      <c r="AT198" s="32">
        <f>IFERROR(Upgrades!$H$7*(POWER(Upgrades!$P$6,E198)*POWER(Upgrades!$P$7,F198)*POWER(Upgrades!$P$8,G198)*POWER(Upgrades!$P$9,H198)*POWER(Upgrades!$P$10,I198)*POWER(Upgrades!$P$11,J198)*POWER(Upgrades!$P$12,K198))*(IF(Upgrades!$T$6="Asteroid Belt",POWER(Upgrades!$U$6,E198),1)*IF(Upgrades!$T$8="Asteroid Belt",POWER(Upgrades!$U$8,G198),1)*IF(Upgrades!$T$9="Asteroid Belt",POWER(Upgrades!$U$9,H198),1)*IF(Upgrades!$T$10="Asteroid Belt",POWER(Upgrades!$U$10,I198),1)*IF(Upgrades!$T$11="Asteroid Belt",POWER(Upgrades!$U$11,J198),1)*IF(Upgrades!$T$12="Asteroid Belt",POWER(Upgrades!$U$12,K198),1))/AH198,0)</f>
        <v/>
      </c>
      <c r="AU198" s="32">
        <f>IFERROR(Upgrades!$K$8*(POWER(Upgrades!$Q$6,E198)*POWER(Upgrades!$Q$7,F198)*POWER(Upgrades!$Q$8,G198)*POWER(Upgrades!$Q$9,H198)*POWER(Upgrades!$Q$10,I198)*POWER(Upgrades!$Q$11,J198)*POWER(Upgrades!$Q$12,K198))*(IF(Upgrades!$T$6="Stellar Coupling",POWER(Upgrades!$U$6,E198),1)*IF(Upgrades!$T$7="Stellar Coupling",POWER(Upgrades!$U$7,F198),1)*IF(Upgrades!$T$9="Stellar Coupling",POWER(Upgrades!$U$9,H198),1)*IF(Upgrades!$T$10="Stellar Coupling",POWER(Upgrades!$U$10,I198),1)*IF(Upgrades!$T$11="Stellar Coupling",POWER(Upgrades!$U$11,J198),1)*IF(Upgrades!$T$12="Stellar Coupling",POWER(Upgrades!$U$12,K198),1))*Parameters!$B$10*Parameters!$B$11/60/AI198,0)</f>
        <v/>
      </c>
      <c r="AV198" s="32">
        <f>IFERROR(Upgrades!$H$9*(POWER(Upgrades!$P$6,E198)*POWER(Upgrades!$P$7,F198)*POWER(Upgrades!$P$8,G198)*POWER(Upgrades!$P$9,H198)*POWER(Upgrades!$P$10,I198)*POWER(Upgrades!$P$11,J198)*POWER(Upgrades!$P$12,K198))*(IF(Upgrades!$T$6="Magnetosphere",POWER(Upgrades!$U$6,E198),1)*IF(Upgrades!$T$7="Magnetosphere",POWER(Upgrades!$U$7,F198),1)*IF(Upgrades!$T$8="Magnetosphere",POWER(Upgrades!$U$8,G198),1)*IF(Upgrades!$T$10="Magnetosphere",POWER(Upgrades!$U$10,I198),1)*IF(Upgrades!$T$11="Magnetosphere",POWER(Upgrades!$U$11,J198),1)*IF(Upgrades!$T$12="Magnetosphere",POWER(Upgrades!$U$12,K198),1))/AJ198,0)</f>
        <v/>
      </c>
      <c r="AW198" s="32">
        <f>MAX(IF(I198&gt;0,0,IFERROR(0.25*N198/Upgrades!$C$10,0)),IF(J198&gt;0,0,IFERROR(0.5*((IF(G198=0,0,(Upgrades!$J$8+G198*Upgrades!$K$8)*POWER(Upgrades!$L$8,G198)))*(IF(Upgrades!$T$6="Stellar Coupling",POWER(Upgrades!$U$6,E198),1)*IF(Upgrades!$T$7="Stellar Coupling",POWER(Upgrades!$U$7,F198),1)*IF(Upgrades!$T$9="Stellar Coupling",POWER(Upgrades!$U$9,H198),1)*IF(Upgrades!$T$10="Stellar Coupling",POWER(Upgrades!$U$10,I198),1)*IF(Upgrades!$T$11="Stellar Coupling",POWER(Upgrades!$U$11,J198),1)*IF(Upgrades!$T$12="Stellar Coupling",POWER(Upgrades!$U$12,K198),1))*(POWER(Upgrades!$Q$6,E198)*POWER(Upgrades!$Q$7,F198)*POWER(Upgrades!$Q$8,G198)*POWER(Upgrades!$Q$9,H198)*POWER(Upgrades!$Q$10,I198)*POWER(Upgrades!$Q$11,J198)*POWER(Upgrades!$Q$12,K198))*Parameters!$B$10*Parameters!$B$11/60)/Upgrades!$C$11,0)),IF(K198&gt;0,0,IFERROR((1.0*(POWER(Upgrades!$P$6,E198)*POWER(Upgrades!$P$7,F198)*POWER(Upgrades!$P$8,G198)*POWER(Upgrades!$P$9,H198)*POWER(Upgrades!$P$10,I198)*POWER(Upgrades!$P$11,J198)*POWER(Upgrades!$P$12,K198))+0.20*M198*Parameters!$B$10*Parameters!$B$11/60)/Upgrades!$C$12,0)),IF(AND(ISNUMBER(AG198),AG198&gt;T198),AS198,0),IF(AND(ISNUMBER(AH198),AH198&gt;T198),AT198,0),IF(AND(ISNUMBER(AI198),AI198&gt;T198),AU198,0),IF(AND(ISNUMBER(AJ198),AJ198&gt;T198),AV198,0))</f>
        <v/>
      </c>
      <c r="AX198" s="29">
        <f>IF(AN198=1,"transition",IF(MIN(IF(AND(I198=0,ISNUMBER(AK198),AK198&lt;=T198),AK198,9E15),IF(AND(J198=0,ISNUMBER(AL198),AL198&lt;=T198),AL198,9E15),IF(AND(K198=0,ISNUMBER(AM198),AM198&lt;=T198),AM198,9E15))&lt;9E15,IF(AND(AND(I198=0,ISNUMBER(AK198),AK198&lt;=T198),AK198=MIN(IF(AND(I198=0,ISNUMBER(AK198),AK198&lt;=T198),AK198,9E15),IF(AND(J198=0,ISNUMBER(AL198),AL198&lt;=T198),AL198,9E15),IF(AND(K198=0,ISNUMBER(AM198),AM198&lt;=T198),AM198,9E15))),"OR",IF(AND(AND(J198=0,ISNUMBER(AL198),AL198&lt;=T198),AL198=MIN(IF(AND(I198=0,ISNUMBER(AK198),AK198&lt;=T198),AK198,9E15),IF(AND(J198=0,ISNUMBER(AL198),AL198&lt;=T198),AL198,9E15),IF(AND(K198=0,ISNUMBER(AM198),AM198&lt;=T198),AM198,9E15))),"HP","FP")),IF(AR198=TRUE,"",IF(MAX(IF(AND(NOT(AND(AO198=1,AN198&lt;&gt;1)),ISNUMBER(AG198),AG198&lt;=T198),AS198,0),IF(AND(NOT(AND(AO198=1,AN198&lt;&gt;1)),ISNUMBER(AH198),AH198&lt;=T198),AT198,0),IF(AND(NOT(AND(AO198=1,AN198&lt;&gt;1)),ISNUMBER(AI198),AI198&lt;=T198),AU198,0),IF(AND(ISNUMBER(AJ198),AJ198&lt;=T198),AV198,0))&lt;=0,"",IF(AND(IF(AND(NOT(AND(AO198=1,AN198&lt;&gt;1)),ISNUMBER(AG198),AG198&lt;=T198),AS198,0)&gt;0,IF(AND(NOT(AND(AO198=1,AN198&lt;&gt;1)),ISNUMBER(AG198),AG198&lt;=T198),AS198,0)=MAX(IF(AND(NOT(AND(AO198=1,AN198&lt;&gt;1)),ISNUMBER(AG198),AG198&lt;=T198),AS198,0),IF(AND(NOT(AND(AO198=1,AN198&lt;&gt;1)),ISNUMBER(AH198),AH198&lt;=T198),AT198,0),IF(AND(NOT(AND(AO198=1,AN198&lt;&gt;1)),ISNUMBER(AI198),AI198&lt;=T198),AU198,0),IF(AND(ISNUMBER(AJ198),AJ198&lt;=T198),AV198,0))),"SW",IF(AND(IF(AND(NOT(AND(AO198=1,AN198&lt;&gt;1)),ISNUMBER(AH198),AH198&lt;=T198),AT198,0)&gt;0,IF(AND(NOT(AND(AO198=1,AN198&lt;&gt;1)),ISNUMBER(AH198),AH198&lt;=T198),AT198,0)=MAX(IF(AND(NOT(AND(AO198=1,AN198&lt;&gt;1)),ISNUMBER(AG198),AG198&lt;=T198),AS198,0),IF(AND(NOT(AND(AO198=1,AN198&lt;&gt;1)),ISNUMBER(AH198),AH198&lt;=T198),AT198,0),IF(AND(NOT(AND(AO198=1,AN198&lt;&gt;1)),ISNUMBER(AI198),AI198&lt;=T198),AU198,0),IF(AND(ISNUMBER(AJ198),AJ198&lt;=T198),AV198,0))),"AB",IF(AND(IF(AND(NOT(AND(AO198=1,AN198&lt;&gt;1)),ISNUMBER(AI198),AI198&lt;=T198),AU198,0)&gt;0,IF(AND(NOT(AND(AO198=1,AN198&lt;&gt;1)),ISNUMBER(AI198),AI198&lt;=T198),AU198,0)=MAX(IF(AND(NOT(AND(AO198=1,AN198&lt;&gt;1)),ISNUMBER(AG198),AG198&lt;=T198),AS198,0),IF(AND(NOT(AND(AO198=1,AN198&lt;&gt;1)),ISNUMBER(AH198),AH198&lt;=T198),AT198,0),IF(AND(NOT(AND(AO198=1,AN198&lt;&gt;1)),ISNUMBER(AI198),AI198&lt;=T198),AU198,0),IF(AND(ISNUMBER(AJ198),AJ198&lt;=T198),AV198,0))),"SC","Mag")))))))</f>
        <v/>
      </c>
    </row>
    <row r="199">
      <c r="A199" s="26" t="n">
        <v>194</v>
      </c>
      <c r="B199" s="27">
        <f>A199*10/60</f>
        <v/>
      </c>
      <c r="C199" s="22">
        <f>X198</f>
        <v/>
      </c>
      <c r="D199" s="27">
        <f>D198+W198</f>
        <v/>
      </c>
      <c r="E199" s="26">
        <f>E198+IF(U198="SW",1,0)</f>
        <v/>
      </c>
      <c r="F199" s="26">
        <f>F198+IF(U198="AB",1,0)</f>
        <v/>
      </c>
      <c r="G199" s="26">
        <f>G198+IF(U198="SC",1,0)</f>
        <v/>
      </c>
      <c r="H199" s="26">
        <f>H198+IF(U198="Mag",1,0)</f>
        <v/>
      </c>
      <c r="I199" s="26">
        <f>MAX(I198,IF(U198="OR",1,0))</f>
        <v/>
      </c>
      <c r="J199" s="26">
        <f>MAX(J198,IF(U198="HP",1,0))</f>
        <v/>
      </c>
      <c r="K199" s="26">
        <f>MAX(K198,IF(U198="FP",1,0))</f>
        <v/>
      </c>
      <c r="L199" s="26">
        <f>MAX(L198,IF(U198="transition",1,0))</f>
        <v/>
      </c>
      <c r="M199" s="28">
        <f>(Parameters!$B$9+(IF(E199=0,0,(Upgrades!$J$6+E199*Upgrades!$K$6)*POWER(Upgrades!$L$6,E199)))*(IF(Upgrades!$T$7="Solar Wind",POWER(Upgrades!$U$7,F199),1)*IF(Upgrades!$T$8="Solar Wind",POWER(Upgrades!$U$8,G199),1)*IF(Upgrades!$T$9="Solar Wind",POWER(Upgrades!$U$9,H199),1)*IF(Upgrades!$T$10="Solar Wind",POWER(Upgrades!$U$10,I199),1)*IF(Upgrades!$T$11="Solar Wind",POWER(Upgrades!$U$11,J199),1)*IF(Upgrades!$T$12="Solar Wind",POWER(Upgrades!$U$12,K199),1))+(IF(F199=0,0,(Upgrades!$J$7+F199*Upgrades!$K$7)*POWER(Upgrades!$L$7,F199)))*(IF(Upgrades!$T$6="Asteroid Belt",POWER(Upgrades!$U$6,E199),1)*IF(Upgrades!$T$8="Asteroid Belt",POWER(Upgrades!$U$8,G199),1)*IF(Upgrades!$T$9="Asteroid Belt",POWER(Upgrades!$U$9,H199),1)*IF(Upgrades!$T$10="Asteroid Belt",POWER(Upgrades!$U$10,I199),1)*IF(Upgrades!$T$11="Asteroid Belt",POWER(Upgrades!$U$11,J199),1)*IF(Upgrades!$T$12="Asteroid Belt",POWER(Upgrades!$U$12,K199),1))+(IF(G199=0,0,(Upgrades!$J$8+G199*Upgrades!$K$8)*POWER(Upgrades!$L$8,G199)))*(IF(Upgrades!$T$6="Stellar Coupling",POWER(Upgrades!$U$6,E199),1)*IF(Upgrades!$T$7="Stellar Coupling",POWER(Upgrades!$U$7,F199),1)*IF(Upgrades!$T$9="Stellar Coupling",POWER(Upgrades!$U$9,H199),1)*IF(Upgrades!$T$10="Stellar Coupling",POWER(Upgrades!$U$10,I199),1)*IF(Upgrades!$T$11="Stellar Coupling",POWER(Upgrades!$U$11,J199),1)*IF(Upgrades!$T$12="Stellar Coupling",POWER(Upgrades!$U$12,K199),1))+(IF(H199=0,0,(Upgrades!$J$9+H199*Upgrades!$K$9)*POWER(Upgrades!$L$9,H199)))*(IF(Upgrades!$T$6="Magnetosphere",POWER(Upgrades!$U$6,E199),1)*IF(Upgrades!$T$7="Magnetosphere",POWER(Upgrades!$U$7,F199),1)*IF(Upgrades!$T$8="Magnetosphere",POWER(Upgrades!$U$8,G199),1)*IF(Upgrades!$T$10="Magnetosphere",POWER(Upgrades!$U$10,I199),1)*IF(Upgrades!$T$11="Magnetosphere",POWER(Upgrades!$U$11,J199),1)*IF(Upgrades!$T$12="Magnetosphere",POWER(Upgrades!$U$12,K199),1))+(IF(I199=0,0,(Upgrades!$J$10+I199*Upgrades!$K$10)*POWER(Upgrades!$L$10,I199)))*(IF(Upgrades!$T$6="Orbital Resonance",POWER(Upgrades!$U$6,E199),1)*IF(Upgrades!$T$7="Orbital Resonance",POWER(Upgrades!$U$7,F199),1)*IF(Upgrades!$T$8="Orbital Resonance",POWER(Upgrades!$U$8,G199),1)*IF(Upgrades!$T$9="Orbital Resonance",POWER(Upgrades!$U$9,H199),1)*IF(Upgrades!$T$11="Orbital Resonance",POWER(Upgrades!$U$11,J199),1)*IF(Upgrades!$T$12="Orbital Resonance",POWER(Upgrades!$U$12,K199),1))+(IF(J199=0,0,(Upgrades!$J$11+J199*Upgrades!$K$11)*POWER(Upgrades!$L$11,J199)))*(IF(Upgrades!$T$6="Heliopause",POWER(Upgrades!$U$6,E199),1)*IF(Upgrades!$T$7="Heliopause",POWER(Upgrades!$U$7,F199),1)*IF(Upgrades!$T$8="Heliopause",POWER(Upgrades!$U$8,G199),1)*IF(Upgrades!$T$9="Heliopause",POWER(Upgrades!$U$9,H199),1)*IF(Upgrades!$T$10="Heliopause",POWER(Upgrades!$U$10,I199),1)*IF(Upgrades!$T$12="Heliopause",POWER(Upgrades!$U$12,K199),1))+(IF(K199=0,0,(Upgrades!$J$12+K199*Upgrades!$K$12)*POWER(Upgrades!$L$12,K199)))*(IF(Upgrades!$T$6="First Photons",POWER(Upgrades!$U$6,E199),1)*IF(Upgrades!$T$7="First Photons",POWER(Upgrades!$U$7,F199),1)*IF(Upgrades!$T$8="First Photons",POWER(Upgrades!$U$8,G199),1)*IF(Upgrades!$T$9="First Photons",POWER(Upgrades!$U$9,H199),1)*IF(Upgrades!$T$10="First Photons",POWER(Upgrades!$U$10,I199),1)*IF(Upgrades!$T$11="First Photons",POWER(Upgrades!$U$11,J199),1)))*POWER(Upgrades!$Q$6,E199)*POWER(Upgrades!$Q$7,F199)*POWER(Upgrades!$Q$8,G199)*POWER(Upgrades!$Q$9,H199)*POWER(Upgrades!$Q$10,I199)*POWER(Upgrades!$Q$11,J199)*POWER(Upgrades!$Q$12,K199)</f>
        <v/>
      </c>
      <c r="N199" s="28">
        <f>((IF(E199=0,0,(Upgrades!$G$6+E199*Upgrades!$H$6)*POWER(Upgrades!$I$6,E199)))*(IF(Upgrades!$T$7="Solar Wind",POWER(Upgrades!$U$7,F199),1)*IF(Upgrades!$T$8="Solar Wind",POWER(Upgrades!$U$8,G199),1)*IF(Upgrades!$T$9="Solar Wind",POWER(Upgrades!$U$9,H199),1)*IF(Upgrades!$T$10="Solar Wind",POWER(Upgrades!$U$10,I199),1)*IF(Upgrades!$T$11="Solar Wind",POWER(Upgrades!$U$11,J199),1)*IF(Upgrades!$T$12="Solar Wind",POWER(Upgrades!$U$12,K199),1))+(IF(F199=0,0,(Upgrades!$G$7+F199*Upgrades!$H$7)*POWER(Upgrades!$I$7,F199)))*(IF(Upgrades!$T$6="Asteroid Belt",POWER(Upgrades!$U$6,E199),1)*IF(Upgrades!$T$8="Asteroid Belt",POWER(Upgrades!$U$8,G199),1)*IF(Upgrades!$T$9="Asteroid Belt",POWER(Upgrades!$U$9,H199),1)*IF(Upgrades!$T$10="Asteroid Belt",POWER(Upgrades!$U$10,I199),1)*IF(Upgrades!$T$11="Asteroid Belt",POWER(Upgrades!$U$11,J199),1)*IF(Upgrades!$T$12="Asteroid Belt",POWER(Upgrades!$U$12,K199),1))+(IF(G199=0,0,(Upgrades!$G$8+G199*Upgrades!$H$8)*POWER(Upgrades!$I$8,G199)))*(IF(Upgrades!$T$6="Stellar Coupling",POWER(Upgrades!$U$6,E199),1)*IF(Upgrades!$T$7="Stellar Coupling",POWER(Upgrades!$U$7,F199),1)*IF(Upgrades!$T$9="Stellar Coupling",POWER(Upgrades!$U$9,H199),1)*IF(Upgrades!$T$10="Stellar Coupling",POWER(Upgrades!$U$10,I199),1)*IF(Upgrades!$T$11="Stellar Coupling",POWER(Upgrades!$U$11,J199),1)*IF(Upgrades!$T$12="Stellar Coupling",POWER(Upgrades!$U$12,K199),1))+(IF(H199=0,0,(Upgrades!$G$9+H199*Upgrades!$H$9)*POWER(Upgrades!$I$9,H199)))*(IF(Upgrades!$T$6="Magnetosphere",POWER(Upgrades!$U$6,E199),1)*IF(Upgrades!$T$7="Magnetosphere",POWER(Upgrades!$U$7,F199),1)*IF(Upgrades!$T$8="Magnetosphere",POWER(Upgrades!$U$8,G199),1)*IF(Upgrades!$T$10="Magnetosphere",POWER(Upgrades!$U$10,I199),1)*IF(Upgrades!$T$11="Magnetosphere",POWER(Upgrades!$U$11,J199),1)*IF(Upgrades!$T$12="Magnetosphere",POWER(Upgrades!$U$12,K199),1))+(IF(I199=0,0,(Upgrades!$G$10+I199*Upgrades!$H$10)*POWER(Upgrades!$I$10,I199)))*(IF(Upgrades!$T$6="Orbital Resonance",POWER(Upgrades!$U$6,E199),1)*IF(Upgrades!$T$7="Orbital Resonance",POWER(Upgrades!$U$7,F199),1)*IF(Upgrades!$T$8="Orbital Resonance",POWER(Upgrades!$U$8,G199),1)*IF(Upgrades!$T$9="Orbital Resonance",POWER(Upgrades!$U$9,H199),1)*IF(Upgrades!$T$11="Orbital Resonance",POWER(Upgrades!$U$11,J199),1)*IF(Upgrades!$T$12="Orbital Resonance",POWER(Upgrades!$U$12,K199),1))+(IF(J199=0,0,(Upgrades!$G$11+J199*Upgrades!$H$11)*POWER(Upgrades!$I$11,J199)))*(IF(Upgrades!$T$6="Heliopause",POWER(Upgrades!$U$6,E199),1)*IF(Upgrades!$T$7="Heliopause",POWER(Upgrades!$U$7,F199),1)*IF(Upgrades!$T$8="Heliopause",POWER(Upgrades!$U$8,G199),1)*IF(Upgrades!$T$9="Heliopause",POWER(Upgrades!$U$9,H199),1)*IF(Upgrades!$T$10="Heliopause",POWER(Upgrades!$U$10,I199),1)*IF(Upgrades!$T$12="Heliopause",POWER(Upgrades!$U$12,K199),1))+(IF(K199=0,0,(Upgrades!$G$12+K199*Upgrades!$H$12)*POWER(Upgrades!$I$12,K199)))*(IF(Upgrades!$T$6="First Photons",POWER(Upgrades!$U$6,E199),1)*IF(Upgrades!$T$7="First Photons",POWER(Upgrades!$U$7,F199),1)*IF(Upgrades!$T$8="First Photons",POWER(Upgrades!$U$8,G199),1)*IF(Upgrades!$T$9="First Photons",POWER(Upgrades!$U$9,H199),1)*IF(Upgrades!$T$10="First Photons",POWER(Upgrades!$U$10,I199),1)*IF(Upgrades!$T$11="First Photons",POWER(Upgrades!$U$11,J199),1)))*POWER(Upgrades!$P$6,E199)*POWER(Upgrades!$P$7,F199)*POWER(Upgrades!$P$8,G199)*POWER(Upgrades!$P$9,H199)*POWER(Upgrades!$P$10,I199)*POWER(Upgrades!$P$11,J199)*POWER(Upgrades!$P$12,K199)</f>
        <v/>
      </c>
      <c r="O199" s="28">
        <f>((IF(E199=0,0,(Upgrades!$M$6+E199*Upgrades!$N$6)*POWER(Upgrades!$O$6,E199)))*(IF(Upgrades!$T$7="Solar Wind",POWER(Upgrades!$U$7,F199),1)*IF(Upgrades!$T$8="Solar Wind",POWER(Upgrades!$U$8,G199),1)*IF(Upgrades!$T$9="Solar Wind",POWER(Upgrades!$U$9,H199),1)*IF(Upgrades!$T$10="Solar Wind",POWER(Upgrades!$U$10,I199),1)*IF(Upgrades!$T$11="Solar Wind",POWER(Upgrades!$U$11,J199),1)*IF(Upgrades!$T$12="Solar Wind",POWER(Upgrades!$U$12,K199),1))+(IF(F199=0,0,(Upgrades!$M$7+F199*Upgrades!$N$7)*POWER(Upgrades!$O$7,F199)))*(IF(Upgrades!$T$6="Asteroid Belt",POWER(Upgrades!$U$6,E199),1)*IF(Upgrades!$T$8="Asteroid Belt",POWER(Upgrades!$U$8,G199),1)*IF(Upgrades!$T$9="Asteroid Belt",POWER(Upgrades!$U$9,H199),1)*IF(Upgrades!$T$10="Asteroid Belt",POWER(Upgrades!$U$10,I199),1)*IF(Upgrades!$T$11="Asteroid Belt",POWER(Upgrades!$U$11,J199),1)*IF(Upgrades!$T$12="Asteroid Belt",POWER(Upgrades!$U$12,K199),1))+(IF(G199=0,0,(Upgrades!$M$8+G199*Upgrades!$N$8)*POWER(Upgrades!$O$8,G199)))*(IF(Upgrades!$T$6="Stellar Coupling",POWER(Upgrades!$U$6,E199),1)*IF(Upgrades!$T$7="Stellar Coupling",POWER(Upgrades!$U$7,F199),1)*IF(Upgrades!$T$9="Stellar Coupling",POWER(Upgrades!$U$9,H199),1)*IF(Upgrades!$T$10="Stellar Coupling",POWER(Upgrades!$U$10,I199),1)*IF(Upgrades!$T$11="Stellar Coupling",POWER(Upgrades!$U$11,J199),1)*IF(Upgrades!$T$12="Stellar Coupling",POWER(Upgrades!$U$12,K199),1))+(IF(H199=0,0,(Upgrades!$M$9+H199*Upgrades!$N$9)*POWER(Upgrades!$O$9,H199)))*(IF(Upgrades!$T$6="Magnetosphere",POWER(Upgrades!$U$6,E199),1)*IF(Upgrades!$T$7="Magnetosphere",POWER(Upgrades!$U$7,F199),1)*IF(Upgrades!$T$8="Magnetosphere",POWER(Upgrades!$U$8,G199),1)*IF(Upgrades!$T$10="Magnetosphere",POWER(Upgrades!$U$10,I199),1)*IF(Upgrades!$T$11="Magnetosphere",POWER(Upgrades!$U$11,J199),1)*IF(Upgrades!$T$12="Magnetosphere",POWER(Upgrades!$U$12,K199),1))+(IF(I199=0,0,(Upgrades!$M$10+I199*Upgrades!$N$10)*POWER(Upgrades!$O$10,I199)))*(IF(Upgrades!$T$6="Orbital Resonance",POWER(Upgrades!$U$6,E199),1)*IF(Upgrades!$T$7="Orbital Resonance",POWER(Upgrades!$U$7,F199),1)*IF(Upgrades!$T$8="Orbital Resonance",POWER(Upgrades!$U$8,G199),1)*IF(Upgrades!$T$9="Orbital Resonance",POWER(Upgrades!$U$9,H199),1)*IF(Upgrades!$T$11="Orbital Resonance",POWER(Upgrades!$U$11,J199),1)*IF(Upgrades!$T$12="Orbital Resonance",POWER(Upgrades!$U$12,K199),1))+(IF(J199=0,0,(Upgrades!$M$11+J199*Upgrades!$N$11)*POWER(Upgrades!$O$11,J199)))*(IF(Upgrades!$T$6="Heliopause",POWER(Upgrades!$U$6,E199),1)*IF(Upgrades!$T$7="Heliopause",POWER(Upgrades!$U$7,F199),1)*IF(Upgrades!$T$8="Heliopause",POWER(Upgrades!$U$8,G199),1)*IF(Upgrades!$T$9="Heliopause",POWER(Upgrades!$U$9,H199),1)*IF(Upgrades!$T$10="Heliopause",POWER(Upgrades!$U$10,I199),1)*IF(Upgrades!$T$12="Heliopause",POWER(Upgrades!$U$12,K199),1))+(IF(K199=0,0,(Upgrades!$M$12+K199*Upgrades!$N$12)*POWER(Upgrades!$O$12,K199)))*(IF(Upgrades!$T$6="First Photons",POWER(Upgrades!$U$6,E199),1)*IF(Upgrades!$T$7="First Photons",POWER(Upgrades!$U$7,F199),1)*IF(Upgrades!$T$8="First Photons",POWER(Upgrades!$U$8,G199),1)*IF(Upgrades!$T$9="First Photons",POWER(Upgrades!$U$9,H199),1)*IF(Upgrades!$T$10="First Photons",POWER(Upgrades!$U$10,I199),1)*IF(Upgrades!$T$11="First Photons",POWER(Upgrades!$U$11,J199),1)))*POWER(Upgrades!$R$6,E199)*POWER(Upgrades!$R$7,F199)*POWER(Upgrades!$R$8,G199)*POWER(Upgrades!$R$9,H199)*POWER(Upgrades!$R$10,I199)*POWER(Upgrades!$R$11,J199)*POWER(Upgrades!$R$12,K199)</f>
        <v/>
      </c>
      <c r="P199" s="27">
        <f>IF(L199=1,0,M199*Parameters!$B$10/60*Parameters!$B$11*10)</f>
        <v/>
      </c>
      <c r="Q199" s="27">
        <f>IF(L199=1,0,O199*M199*10)</f>
        <v/>
      </c>
      <c r="R199" s="27">
        <f>IF(L199=1,0,N199*10)</f>
        <v/>
      </c>
      <c r="S199" s="27">
        <f>P199+Q199+R199</f>
        <v/>
      </c>
      <c r="T199" s="22">
        <f>C199+S199</f>
        <v/>
      </c>
      <c r="U199" s="33">
        <f>AX199</f>
        <v/>
      </c>
      <c r="V199" s="22">
        <f>IF(U199="",0,IF(U199="transition",0,IF(U199="SW",AG199,IF(U199="AB",AH199,IF(U199="SC",AI199,IF(U199="Mag",AJ199,IF(U199="OR",AK199,IF(U199="HP",AL199,IF(U199="FP",AM199,0)))))))))</f>
        <v/>
      </c>
      <c r="W199" s="27">
        <f>IF(U199="OR",Upgrades!$F$10,IF(U199="HP",Upgrades!$F$11,IF(U199="transition",-Parameters!$B$18,0)))</f>
        <v/>
      </c>
      <c r="X199" s="22">
        <f>T199-V199</f>
        <v/>
      </c>
      <c r="Y199" s="30">
        <f>M199*Parameters!$B$10/60*Parameters!$B$11+O199*M199+N199</f>
        <v/>
      </c>
      <c r="Z199" s="34">
        <f>IF(U199="transition","→ Tier 2 (Stellar Neighborhood)",IF(U199="FP","First Photons — light begins, system quickens",IF(U199="HP","Heliopause acquired",IF(U199="OR","Orbital Resonance — passive multiplier active",IF(AND(AO199=1,L199=0,AN199&lt;&gt;1),"Cohesion ready (waiting on completionist upgrades)","")))))</f>
        <v/>
      </c>
      <c r="AA199" s="27">
        <f>(IF(E199=0,0,(Upgrades!$G$6+E199*Upgrades!$H$6)*POWER(Upgrades!$I$6,E199)))*(IF(Upgrades!$T$7="Solar Wind",POWER(Upgrades!$U$7,F199),1)*IF(Upgrades!$T$8="Solar Wind",POWER(Upgrades!$U$8,G199),1)*IF(Upgrades!$T$9="Solar Wind",POWER(Upgrades!$U$9,H199),1)*IF(Upgrades!$T$10="Solar Wind",POWER(Upgrades!$U$10,I199),1)*IF(Upgrades!$T$11="Solar Wind",POWER(Upgrades!$U$11,J199),1)*IF(Upgrades!$T$12="Solar Wind",POWER(Upgrades!$U$12,K199),1))*POWER(Upgrades!$P$6,E199)*POWER(Upgrades!$P$7,F199)*POWER(Upgrades!$P$8,G199)*POWER(Upgrades!$P$9,H199)*POWER(Upgrades!$P$10,I199)*POWER(Upgrades!$P$11,J199)*POWER(Upgrades!$P$12,K199)*60</f>
        <v/>
      </c>
      <c r="AB199" s="27">
        <f>(IF(F199=0,0,(Upgrades!$G$7+F199*Upgrades!$H$7)*POWER(Upgrades!$I$7,F199)))*(IF(Upgrades!$T$6="Asteroid Belt",POWER(Upgrades!$U$6,E199),1)*IF(Upgrades!$T$8="Asteroid Belt",POWER(Upgrades!$U$8,G199),1)*IF(Upgrades!$T$9="Asteroid Belt",POWER(Upgrades!$U$9,H199),1)*IF(Upgrades!$T$10="Asteroid Belt",POWER(Upgrades!$U$10,I199),1)*IF(Upgrades!$T$11="Asteroid Belt",POWER(Upgrades!$U$11,J199),1)*IF(Upgrades!$T$12="Asteroid Belt",POWER(Upgrades!$U$12,K199),1))*POWER(Upgrades!$P$6,E199)*POWER(Upgrades!$P$7,F199)*POWER(Upgrades!$P$8,G199)*POWER(Upgrades!$P$9,H199)*POWER(Upgrades!$P$10,I199)*POWER(Upgrades!$P$11,J199)*POWER(Upgrades!$P$12,K199)*60</f>
        <v/>
      </c>
      <c r="AC199" s="27">
        <f>(IF(G199=0,0,(Upgrades!$J$8+G199*Upgrades!$K$8)*POWER(Upgrades!$L$8,G199)))*(IF(Upgrades!$T$6="Stellar Coupling",POWER(Upgrades!$U$6,E199),1)*IF(Upgrades!$T$7="Stellar Coupling",POWER(Upgrades!$U$7,F199),1)*IF(Upgrades!$T$9="Stellar Coupling",POWER(Upgrades!$U$9,H199),1)*IF(Upgrades!$T$10="Stellar Coupling",POWER(Upgrades!$U$10,I199),1)*IF(Upgrades!$T$11="Stellar Coupling",POWER(Upgrades!$U$11,J199),1)*IF(Upgrades!$T$12="Stellar Coupling",POWER(Upgrades!$U$12,K199),1))*POWER(Upgrades!$Q$6,E199)*POWER(Upgrades!$Q$7,F199)*POWER(Upgrades!$Q$8,G199)*POWER(Upgrades!$Q$9,H199)*POWER(Upgrades!$Q$10,I199)*POWER(Upgrades!$Q$11,J199)*POWER(Upgrades!$Q$12,K199)*Parameters!$B$10*Parameters!$B$11</f>
        <v/>
      </c>
      <c r="AD199" s="27">
        <f>(IF(H199=0,0,(Upgrades!$G$9+H199*Upgrades!$H$9)*POWER(Upgrades!$I$9,H199)))*(IF(Upgrades!$T$6="Magnetosphere",POWER(Upgrades!$U$6,E199),1)*IF(Upgrades!$T$7="Magnetosphere",POWER(Upgrades!$U$7,F199),1)*IF(Upgrades!$T$8="Magnetosphere",POWER(Upgrades!$U$8,G199),1)*IF(Upgrades!$T$10="Magnetosphere",POWER(Upgrades!$U$10,I199),1)*IF(Upgrades!$T$11="Magnetosphere",POWER(Upgrades!$U$11,J199),1)*IF(Upgrades!$T$12="Magnetosphere",POWER(Upgrades!$U$12,K199),1))*POWER(Upgrades!$P$6,E199)*POWER(Upgrades!$P$7,F199)*POWER(Upgrades!$P$8,G199)*POWER(Upgrades!$P$9,H199)*POWER(Upgrades!$P$10,I199)*POWER(Upgrades!$P$11,J199)*POWER(Upgrades!$P$12,K199)*60</f>
        <v/>
      </c>
      <c r="AE199" s="27">
        <f>(IF(K199=0,0,(Upgrades!$G$12+K199*Upgrades!$H$12)*POWER(Upgrades!$I$12,K199)))*(IF(Upgrades!$T$6="First Photons",POWER(Upgrades!$U$6,E199),1)*IF(Upgrades!$T$7="First Photons",POWER(Upgrades!$U$7,F199),1)*IF(Upgrades!$T$8="First Photons",POWER(Upgrades!$U$8,G199),1)*IF(Upgrades!$T$9="First Photons",POWER(Upgrades!$U$9,H199),1)*IF(Upgrades!$T$10="First Photons",POWER(Upgrades!$U$10,I199),1)*IF(Upgrades!$T$11="First Photons",POWER(Upgrades!$U$11,J199),1))*POWER(Upgrades!$P$6,E199)*POWER(Upgrades!$P$7,F199)*POWER(Upgrades!$P$8,G199)*POWER(Upgrades!$P$9,H199)*POWER(Upgrades!$P$10,I199)*POWER(Upgrades!$P$11,J199)*POWER(Upgrades!$P$12,K199)*60</f>
        <v/>
      </c>
      <c r="AF199" s="27">
        <f>Parameters!$B$9*POWER(Upgrades!$Q$6,E199)*POWER(Upgrades!$Q$7,F199)*POWER(Upgrades!$Q$8,G199)*POWER(Upgrades!$Q$9,H199)*POWER(Upgrades!$Q$10,I199)*POWER(Upgrades!$Q$11,J199)*POWER(Upgrades!$Q$12,K199)*(Parameters!$B$10*Parameters!$B$11+O199*60)</f>
        <v/>
      </c>
      <c r="AG199" s="22">
        <f>IF(E199&gt;=Upgrades!$E$6,"",Upgrades!$C$6*POWER(Upgrades!$D$6,E199))</f>
        <v/>
      </c>
      <c r="AH199" s="22">
        <f>IF(F199&gt;=Upgrades!$E$7,"",Upgrades!$C$7*POWER(Upgrades!$D$7,F199))</f>
        <v/>
      </c>
      <c r="AI199" s="22">
        <f>IF(G199&gt;=Upgrades!$E$8,"",Upgrades!$C$8*POWER(Upgrades!$D$8,G199))</f>
        <v/>
      </c>
      <c r="AJ199" s="22">
        <f>IF(H199&gt;=Upgrades!$E$9,"",Upgrades!$C$9*POWER(Upgrades!$D$9,H199))</f>
        <v/>
      </c>
      <c r="AK199" s="22">
        <f>IF(I199&gt;=Upgrades!$E$10,"",Upgrades!$C$10*POWER(Upgrades!$D$10,I199))</f>
        <v/>
      </c>
      <c r="AL199" s="22">
        <f>IF(J199&gt;=Upgrades!$E$11,"",Upgrades!$C$11*POWER(Upgrades!$D$11,J199))</f>
        <v/>
      </c>
      <c r="AM199" s="22">
        <f>IF(K199&gt;=Upgrades!$E$12,"",Upgrades!$C$12*POWER(Upgrades!$D$12,K199))</f>
        <v/>
      </c>
      <c r="AN199" s="26">
        <f>IF(AND(D199&gt;=Parameters!$B$18,(H199&gt;=Upgrades!$E$9)*(K199&gt;=Upgrades!$E$12)=1,L199=0),1,"")</f>
        <v/>
      </c>
      <c r="AO199" s="26">
        <f>IF(AND(D199&gt;=Parameters!$B$18,L199=0),1,"")</f>
        <v/>
      </c>
      <c r="AP199" s="22">
        <f>MIN(IF(ISNUMBER(AK199),AK199,9E15),IF(ISNUMBER(AL199),AL199,9E15),IF(ISNUMBER(AM199),AM199,9E15))</f>
        <v/>
      </c>
      <c r="AQ199" s="22">
        <f>MIN(IF(ISNUMBER(AG199),AG199,9E15),IF(ISNUMBER(AH199),AH199,9E15),IF(ISNUMBER(AI199),AI199,9E15),IF(ISNUMBER(AJ199),AJ199,9E15))</f>
        <v/>
      </c>
      <c r="AR199" s="29">
        <f>IF(AW199&gt;Parameters!$B$21*(MAX(IF(AND(NOT(AND(AO199=1,AN199&lt;&gt;1)),ISNUMBER(AG199),AG199&lt;=T199),AS199,0),IF(AND(NOT(AND(AO199=1,AN199&lt;&gt;1)),ISNUMBER(AH199),AH199&lt;=T199),AT199,0),IF(AND(NOT(AND(AO199=1,AN199&lt;&gt;1)),ISNUMBER(AI199),AI199&lt;=T199),AU199,0),IF(AND(ISNUMBER(AJ199),AJ199&lt;=T199),AV199,0))),TRUE,FALSE)</f>
        <v/>
      </c>
      <c r="AS199" s="32">
        <f>IFERROR(Upgrades!$H$6*(POWER(Upgrades!$P$6,E199)*POWER(Upgrades!$P$7,F199)*POWER(Upgrades!$P$8,G199)*POWER(Upgrades!$P$9,H199)*POWER(Upgrades!$P$10,I199)*POWER(Upgrades!$P$11,J199)*POWER(Upgrades!$P$12,K199))*(IF(Upgrades!$T$7="Solar Wind",POWER(Upgrades!$U$7,F199),1)*IF(Upgrades!$T$8="Solar Wind",POWER(Upgrades!$U$8,G199),1)*IF(Upgrades!$T$9="Solar Wind",POWER(Upgrades!$U$9,H199),1)*IF(Upgrades!$T$10="Solar Wind",POWER(Upgrades!$U$10,I199),1)*IF(Upgrades!$T$11="Solar Wind",POWER(Upgrades!$U$11,J199),1)*IF(Upgrades!$T$12="Solar Wind",POWER(Upgrades!$U$12,K199),1))/AG199,0)</f>
        <v/>
      </c>
      <c r="AT199" s="32">
        <f>IFERROR(Upgrades!$H$7*(POWER(Upgrades!$P$6,E199)*POWER(Upgrades!$P$7,F199)*POWER(Upgrades!$P$8,G199)*POWER(Upgrades!$P$9,H199)*POWER(Upgrades!$P$10,I199)*POWER(Upgrades!$P$11,J199)*POWER(Upgrades!$P$12,K199))*(IF(Upgrades!$T$6="Asteroid Belt",POWER(Upgrades!$U$6,E199),1)*IF(Upgrades!$T$8="Asteroid Belt",POWER(Upgrades!$U$8,G199),1)*IF(Upgrades!$T$9="Asteroid Belt",POWER(Upgrades!$U$9,H199),1)*IF(Upgrades!$T$10="Asteroid Belt",POWER(Upgrades!$U$10,I199),1)*IF(Upgrades!$T$11="Asteroid Belt",POWER(Upgrades!$U$11,J199),1)*IF(Upgrades!$T$12="Asteroid Belt",POWER(Upgrades!$U$12,K199),1))/AH199,0)</f>
        <v/>
      </c>
      <c r="AU199" s="32">
        <f>IFERROR(Upgrades!$K$8*(POWER(Upgrades!$Q$6,E199)*POWER(Upgrades!$Q$7,F199)*POWER(Upgrades!$Q$8,G199)*POWER(Upgrades!$Q$9,H199)*POWER(Upgrades!$Q$10,I199)*POWER(Upgrades!$Q$11,J199)*POWER(Upgrades!$Q$12,K199))*(IF(Upgrades!$T$6="Stellar Coupling",POWER(Upgrades!$U$6,E199),1)*IF(Upgrades!$T$7="Stellar Coupling",POWER(Upgrades!$U$7,F199),1)*IF(Upgrades!$T$9="Stellar Coupling",POWER(Upgrades!$U$9,H199),1)*IF(Upgrades!$T$10="Stellar Coupling",POWER(Upgrades!$U$10,I199),1)*IF(Upgrades!$T$11="Stellar Coupling",POWER(Upgrades!$U$11,J199),1)*IF(Upgrades!$T$12="Stellar Coupling",POWER(Upgrades!$U$12,K199),1))*Parameters!$B$10*Parameters!$B$11/60/AI199,0)</f>
        <v/>
      </c>
      <c r="AV199" s="32">
        <f>IFERROR(Upgrades!$H$9*(POWER(Upgrades!$P$6,E199)*POWER(Upgrades!$P$7,F199)*POWER(Upgrades!$P$8,G199)*POWER(Upgrades!$P$9,H199)*POWER(Upgrades!$P$10,I199)*POWER(Upgrades!$P$11,J199)*POWER(Upgrades!$P$12,K199))*(IF(Upgrades!$T$6="Magnetosphere",POWER(Upgrades!$U$6,E199),1)*IF(Upgrades!$T$7="Magnetosphere",POWER(Upgrades!$U$7,F199),1)*IF(Upgrades!$T$8="Magnetosphere",POWER(Upgrades!$U$8,G199),1)*IF(Upgrades!$T$10="Magnetosphere",POWER(Upgrades!$U$10,I199),1)*IF(Upgrades!$T$11="Magnetosphere",POWER(Upgrades!$U$11,J199),1)*IF(Upgrades!$T$12="Magnetosphere",POWER(Upgrades!$U$12,K199),1))/AJ199,0)</f>
        <v/>
      </c>
      <c r="AW199" s="32">
        <f>MAX(IF(I199&gt;0,0,IFERROR(0.25*N199/Upgrades!$C$10,0)),IF(J199&gt;0,0,IFERROR(0.5*((IF(G199=0,0,(Upgrades!$J$8+G199*Upgrades!$K$8)*POWER(Upgrades!$L$8,G199)))*(IF(Upgrades!$T$6="Stellar Coupling",POWER(Upgrades!$U$6,E199),1)*IF(Upgrades!$T$7="Stellar Coupling",POWER(Upgrades!$U$7,F199),1)*IF(Upgrades!$T$9="Stellar Coupling",POWER(Upgrades!$U$9,H199),1)*IF(Upgrades!$T$10="Stellar Coupling",POWER(Upgrades!$U$10,I199),1)*IF(Upgrades!$T$11="Stellar Coupling",POWER(Upgrades!$U$11,J199),1)*IF(Upgrades!$T$12="Stellar Coupling",POWER(Upgrades!$U$12,K199),1))*(POWER(Upgrades!$Q$6,E199)*POWER(Upgrades!$Q$7,F199)*POWER(Upgrades!$Q$8,G199)*POWER(Upgrades!$Q$9,H199)*POWER(Upgrades!$Q$10,I199)*POWER(Upgrades!$Q$11,J199)*POWER(Upgrades!$Q$12,K199))*Parameters!$B$10*Parameters!$B$11/60)/Upgrades!$C$11,0)),IF(K199&gt;0,0,IFERROR((1.0*(POWER(Upgrades!$P$6,E199)*POWER(Upgrades!$P$7,F199)*POWER(Upgrades!$P$8,G199)*POWER(Upgrades!$P$9,H199)*POWER(Upgrades!$P$10,I199)*POWER(Upgrades!$P$11,J199)*POWER(Upgrades!$P$12,K199))+0.20*M199*Parameters!$B$10*Parameters!$B$11/60)/Upgrades!$C$12,0)),IF(AND(ISNUMBER(AG199),AG199&gt;T199),AS199,0),IF(AND(ISNUMBER(AH199),AH199&gt;T199),AT199,0),IF(AND(ISNUMBER(AI199),AI199&gt;T199),AU199,0),IF(AND(ISNUMBER(AJ199),AJ199&gt;T199),AV199,0))</f>
        <v/>
      </c>
      <c r="AX199" s="29">
        <f>IF(AN199=1,"transition",IF(MIN(IF(AND(I199=0,ISNUMBER(AK199),AK199&lt;=T199),AK199,9E15),IF(AND(J199=0,ISNUMBER(AL199),AL199&lt;=T199),AL199,9E15),IF(AND(K199=0,ISNUMBER(AM199),AM199&lt;=T199),AM199,9E15))&lt;9E15,IF(AND(AND(I199=0,ISNUMBER(AK199),AK199&lt;=T199),AK199=MIN(IF(AND(I199=0,ISNUMBER(AK199),AK199&lt;=T199),AK199,9E15),IF(AND(J199=0,ISNUMBER(AL199),AL199&lt;=T199),AL199,9E15),IF(AND(K199=0,ISNUMBER(AM199),AM199&lt;=T199),AM199,9E15))),"OR",IF(AND(AND(J199=0,ISNUMBER(AL199),AL199&lt;=T199),AL199=MIN(IF(AND(I199=0,ISNUMBER(AK199),AK199&lt;=T199),AK199,9E15),IF(AND(J199=0,ISNUMBER(AL199),AL199&lt;=T199),AL199,9E15),IF(AND(K199=0,ISNUMBER(AM199),AM199&lt;=T199),AM199,9E15))),"HP","FP")),IF(AR199=TRUE,"",IF(MAX(IF(AND(NOT(AND(AO199=1,AN199&lt;&gt;1)),ISNUMBER(AG199),AG199&lt;=T199),AS199,0),IF(AND(NOT(AND(AO199=1,AN199&lt;&gt;1)),ISNUMBER(AH199),AH199&lt;=T199),AT199,0),IF(AND(NOT(AND(AO199=1,AN199&lt;&gt;1)),ISNUMBER(AI199),AI199&lt;=T199),AU199,0),IF(AND(ISNUMBER(AJ199),AJ199&lt;=T199),AV199,0))&lt;=0,"",IF(AND(IF(AND(NOT(AND(AO199=1,AN199&lt;&gt;1)),ISNUMBER(AG199),AG199&lt;=T199),AS199,0)&gt;0,IF(AND(NOT(AND(AO199=1,AN199&lt;&gt;1)),ISNUMBER(AG199),AG199&lt;=T199),AS199,0)=MAX(IF(AND(NOT(AND(AO199=1,AN199&lt;&gt;1)),ISNUMBER(AG199),AG199&lt;=T199),AS199,0),IF(AND(NOT(AND(AO199=1,AN199&lt;&gt;1)),ISNUMBER(AH199),AH199&lt;=T199),AT199,0),IF(AND(NOT(AND(AO199=1,AN199&lt;&gt;1)),ISNUMBER(AI199),AI199&lt;=T199),AU199,0),IF(AND(ISNUMBER(AJ199),AJ199&lt;=T199),AV199,0))),"SW",IF(AND(IF(AND(NOT(AND(AO199=1,AN199&lt;&gt;1)),ISNUMBER(AH199),AH199&lt;=T199),AT199,0)&gt;0,IF(AND(NOT(AND(AO199=1,AN199&lt;&gt;1)),ISNUMBER(AH199),AH199&lt;=T199),AT199,0)=MAX(IF(AND(NOT(AND(AO199=1,AN199&lt;&gt;1)),ISNUMBER(AG199),AG199&lt;=T199),AS199,0),IF(AND(NOT(AND(AO199=1,AN199&lt;&gt;1)),ISNUMBER(AH199),AH199&lt;=T199),AT199,0),IF(AND(NOT(AND(AO199=1,AN199&lt;&gt;1)),ISNUMBER(AI199),AI199&lt;=T199),AU199,0),IF(AND(ISNUMBER(AJ199),AJ199&lt;=T199),AV199,0))),"AB",IF(AND(IF(AND(NOT(AND(AO199=1,AN199&lt;&gt;1)),ISNUMBER(AI199),AI199&lt;=T199),AU199,0)&gt;0,IF(AND(NOT(AND(AO199=1,AN199&lt;&gt;1)),ISNUMBER(AI199),AI199&lt;=T199),AU199,0)=MAX(IF(AND(NOT(AND(AO199=1,AN199&lt;&gt;1)),ISNUMBER(AG199),AG199&lt;=T199),AS199,0),IF(AND(NOT(AND(AO199=1,AN199&lt;&gt;1)),ISNUMBER(AH199),AH199&lt;=T199),AT199,0),IF(AND(NOT(AND(AO199=1,AN199&lt;&gt;1)),ISNUMBER(AI199),AI199&lt;=T199),AU199,0),IF(AND(ISNUMBER(AJ199),AJ199&lt;=T199),AV199,0))),"SC","Mag")))))))</f>
        <v/>
      </c>
    </row>
    <row r="200">
      <c r="A200" s="26" t="n">
        <v>195</v>
      </c>
      <c r="B200" s="27">
        <f>A200*10/60</f>
        <v/>
      </c>
      <c r="C200" s="22">
        <f>X199</f>
        <v/>
      </c>
      <c r="D200" s="27">
        <f>D199+W199</f>
        <v/>
      </c>
      <c r="E200" s="26">
        <f>E199+IF(U199="SW",1,0)</f>
        <v/>
      </c>
      <c r="F200" s="26">
        <f>F199+IF(U199="AB",1,0)</f>
        <v/>
      </c>
      <c r="G200" s="26">
        <f>G199+IF(U199="SC",1,0)</f>
        <v/>
      </c>
      <c r="H200" s="26">
        <f>H199+IF(U199="Mag",1,0)</f>
        <v/>
      </c>
      <c r="I200" s="26">
        <f>MAX(I199,IF(U199="OR",1,0))</f>
        <v/>
      </c>
      <c r="J200" s="26">
        <f>MAX(J199,IF(U199="HP",1,0))</f>
        <v/>
      </c>
      <c r="K200" s="26">
        <f>MAX(K199,IF(U199="FP",1,0))</f>
        <v/>
      </c>
      <c r="L200" s="26">
        <f>MAX(L199,IF(U199="transition",1,0))</f>
        <v/>
      </c>
      <c r="M200" s="28">
        <f>(Parameters!$B$9+(IF(E200=0,0,(Upgrades!$J$6+E200*Upgrades!$K$6)*POWER(Upgrades!$L$6,E200)))*(IF(Upgrades!$T$7="Solar Wind",POWER(Upgrades!$U$7,F200),1)*IF(Upgrades!$T$8="Solar Wind",POWER(Upgrades!$U$8,G200),1)*IF(Upgrades!$T$9="Solar Wind",POWER(Upgrades!$U$9,H200),1)*IF(Upgrades!$T$10="Solar Wind",POWER(Upgrades!$U$10,I200),1)*IF(Upgrades!$T$11="Solar Wind",POWER(Upgrades!$U$11,J200),1)*IF(Upgrades!$T$12="Solar Wind",POWER(Upgrades!$U$12,K200),1))+(IF(F200=0,0,(Upgrades!$J$7+F200*Upgrades!$K$7)*POWER(Upgrades!$L$7,F200)))*(IF(Upgrades!$T$6="Asteroid Belt",POWER(Upgrades!$U$6,E200),1)*IF(Upgrades!$T$8="Asteroid Belt",POWER(Upgrades!$U$8,G200),1)*IF(Upgrades!$T$9="Asteroid Belt",POWER(Upgrades!$U$9,H200),1)*IF(Upgrades!$T$10="Asteroid Belt",POWER(Upgrades!$U$10,I200),1)*IF(Upgrades!$T$11="Asteroid Belt",POWER(Upgrades!$U$11,J200),1)*IF(Upgrades!$T$12="Asteroid Belt",POWER(Upgrades!$U$12,K200),1))+(IF(G200=0,0,(Upgrades!$J$8+G200*Upgrades!$K$8)*POWER(Upgrades!$L$8,G200)))*(IF(Upgrades!$T$6="Stellar Coupling",POWER(Upgrades!$U$6,E200),1)*IF(Upgrades!$T$7="Stellar Coupling",POWER(Upgrades!$U$7,F200),1)*IF(Upgrades!$T$9="Stellar Coupling",POWER(Upgrades!$U$9,H200),1)*IF(Upgrades!$T$10="Stellar Coupling",POWER(Upgrades!$U$10,I200),1)*IF(Upgrades!$T$11="Stellar Coupling",POWER(Upgrades!$U$11,J200),1)*IF(Upgrades!$T$12="Stellar Coupling",POWER(Upgrades!$U$12,K200),1))+(IF(H200=0,0,(Upgrades!$J$9+H200*Upgrades!$K$9)*POWER(Upgrades!$L$9,H200)))*(IF(Upgrades!$T$6="Magnetosphere",POWER(Upgrades!$U$6,E200),1)*IF(Upgrades!$T$7="Magnetosphere",POWER(Upgrades!$U$7,F200),1)*IF(Upgrades!$T$8="Magnetosphere",POWER(Upgrades!$U$8,G200),1)*IF(Upgrades!$T$10="Magnetosphere",POWER(Upgrades!$U$10,I200),1)*IF(Upgrades!$T$11="Magnetosphere",POWER(Upgrades!$U$11,J200),1)*IF(Upgrades!$T$12="Magnetosphere",POWER(Upgrades!$U$12,K200),1))+(IF(I200=0,0,(Upgrades!$J$10+I200*Upgrades!$K$10)*POWER(Upgrades!$L$10,I200)))*(IF(Upgrades!$T$6="Orbital Resonance",POWER(Upgrades!$U$6,E200),1)*IF(Upgrades!$T$7="Orbital Resonance",POWER(Upgrades!$U$7,F200),1)*IF(Upgrades!$T$8="Orbital Resonance",POWER(Upgrades!$U$8,G200),1)*IF(Upgrades!$T$9="Orbital Resonance",POWER(Upgrades!$U$9,H200),1)*IF(Upgrades!$T$11="Orbital Resonance",POWER(Upgrades!$U$11,J200),1)*IF(Upgrades!$T$12="Orbital Resonance",POWER(Upgrades!$U$12,K200),1))+(IF(J200=0,0,(Upgrades!$J$11+J200*Upgrades!$K$11)*POWER(Upgrades!$L$11,J200)))*(IF(Upgrades!$T$6="Heliopause",POWER(Upgrades!$U$6,E200),1)*IF(Upgrades!$T$7="Heliopause",POWER(Upgrades!$U$7,F200),1)*IF(Upgrades!$T$8="Heliopause",POWER(Upgrades!$U$8,G200),1)*IF(Upgrades!$T$9="Heliopause",POWER(Upgrades!$U$9,H200),1)*IF(Upgrades!$T$10="Heliopause",POWER(Upgrades!$U$10,I200),1)*IF(Upgrades!$T$12="Heliopause",POWER(Upgrades!$U$12,K200),1))+(IF(K200=0,0,(Upgrades!$J$12+K200*Upgrades!$K$12)*POWER(Upgrades!$L$12,K200)))*(IF(Upgrades!$T$6="First Photons",POWER(Upgrades!$U$6,E200),1)*IF(Upgrades!$T$7="First Photons",POWER(Upgrades!$U$7,F200),1)*IF(Upgrades!$T$8="First Photons",POWER(Upgrades!$U$8,G200),1)*IF(Upgrades!$T$9="First Photons",POWER(Upgrades!$U$9,H200),1)*IF(Upgrades!$T$10="First Photons",POWER(Upgrades!$U$10,I200),1)*IF(Upgrades!$T$11="First Photons",POWER(Upgrades!$U$11,J200),1)))*POWER(Upgrades!$Q$6,E200)*POWER(Upgrades!$Q$7,F200)*POWER(Upgrades!$Q$8,G200)*POWER(Upgrades!$Q$9,H200)*POWER(Upgrades!$Q$10,I200)*POWER(Upgrades!$Q$11,J200)*POWER(Upgrades!$Q$12,K200)</f>
        <v/>
      </c>
      <c r="N200" s="28">
        <f>((IF(E200=0,0,(Upgrades!$G$6+E200*Upgrades!$H$6)*POWER(Upgrades!$I$6,E200)))*(IF(Upgrades!$T$7="Solar Wind",POWER(Upgrades!$U$7,F200),1)*IF(Upgrades!$T$8="Solar Wind",POWER(Upgrades!$U$8,G200),1)*IF(Upgrades!$T$9="Solar Wind",POWER(Upgrades!$U$9,H200),1)*IF(Upgrades!$T$10="Solar Wind",POWER(Upgrades!$U$10,I200),1)*IF(Upgrades!$T$11="Solar Wind",POWER(Upgrades!$U$11,J200),1)*IF(Upgrades!$T$12="Solar Wind",POWER(Upgrades!$U$12,K200),1))+(IF(F200=0,0,(Upgrades!$G$7+F200*Upgrades!$H$7)*POWER(Upgrades!$I$7,F200)))*(IF(Upgrades!$T$6="Asteroid Belt",POWER(Upgrades!$U$6,E200),1)*IF(Upgrades!$T$8="Asteroid Belt",POWER(Upgrades!$U$8,G200),1)*IF(Upgrades!$T$9="Asteroid Belt",POWER(Upgrades!$U$9,H200),1)*IF(Upgrades!$T$10="Asteroid Belt",POWER(Upgrades!$U$10,I200),1)*IF(Upgrades!$T$11="Asteroid Belt",POWER(Upgrades!$U$11,J200),1)*IF(Upgrades!$T$12="Asteroid Belt",POWER(Upgrades!$U$12,K200),1))+(IF(G200=0,0,(Upgrades!$G$8+G200*Upgrades!$H$8)*POWER(Upgrades!$I$8,G200)))*(IF(Upgrades!$T$6="Stellar Coupling",POWER(Upgrades!$U$6,E200),1)*IF(Upgrades!$T$7="Stellar Coupling",POWER(Upgrades!$U$7,F200),1)*IF(Upgrades!$T$9="Stellar Coupling",POWER(Upgrades!$U$9,H200),1)*IF(Upgrades!$T$10="Stellar Coupling",POWER(Upgrades!$U$10,I200),1)*IF(Upgrades!$T$11="Stellar Coupling",POWER(Upgrades!$U$11,J200),1)*IF(Upgrades!$T$12="Stellar Coupling",POWER(Upgrades!$U$12,K200),1))+(IF(H200=0,0,(Upgrades!$G$9+H200*Upgrades!$H$9)*POWER(Upgrades!$I$9,H200)))*(IF(Upgrades!$T$6="Magnetosphere",POWER(Upgrades!$U$6,E200),1)*IF(Upgrades!$T$7="Magnetosphere",POWER(Upgrades!$U$7,F200),1)*IF(Upgrades!$T$8="Magnetosphere",POWER(Upgrades!$U$8,G200),1)*IF(Upgrades!$T$10="Magnetosphere",POWER(Upgrades!$U$10,I200),1)*IF(Upgrades!$T$11="Magnetosphere",POWER(Upgrades!$U$11,J200),1)*IF(Upgrades!$T$12="Magnetosphere",POWER(Upgrades!$U$12,K200),1))+(IF(I200=0,0,(Upgrades!$G$10+I200*Upgrades!$H$10)*POWER(Upgrades!$I$10,I200)))*(IF(Upgrades!$T$6="Orbital Resonance",POWER(Upgrades!$U$6,E200),1)*IF(Upgrades!$T$7="Orbital Resonance",POWER(Upgrades!$U$7,F200),1)*IF(Upgrades!$T$8="Orbital Resonance",POWER(Upgrades!$U$8,G200),1)*IF(Upgrades!$T$9="Orbital Resonance",POWER(Upgrades!$U$9,H200),1)*IF(Upgrades!$T$11="Orbital Resonance",POWER(Upgrades!$U$11,J200),1)*IF(Upgrades!$T$12="Orbital Resonance",POWER(Upgrades!$U$12,K200),1))+(IF(J200=0,0,(Upgrades!$G$11+J200*Upgrades!$H$11)*POWER(Upgrades!$I$11,J200)))*(IF(Upgrades!$T$6="Heliopause",POWER(Upgrades!$U$6,E200),1)*IF(Upgrades!$T$7="Heliopause",POWER(Upgrades!$U$7,F200),1)*IF(Upgrades!$T$8="Heliopause",POWER(Upgrades!$U$8,G200),1)*IF(Upgrades!$T$9="Heliopause",POWER(Upgrades!$U$9,H200),1)*IF(Upgrades!$T$10="Heliopause",POWER(Upgrades!$U$10,I200),1)*IF(Upgrades!$T$12="Heliopause",POWER(Upgrades!$U$12,K200),1))+(IF(K200=0,0,(Upgrades!$G$12+K200*Upgrades!$H$12)*POWER(Upgrades!$I$12,K200)))*(IF(Upgrades!$T$6="First Photons",POWER(Upgrades!$U$6,E200),1)*IF(Upgrades!$T$7="First Photons",POWER(Upgrades!$U$7,F200),1)*IF(Upgrades!$T$8="First Photons",POWER(Upgrades!$U$8,G200),1)*IF(Upgrades!$T$9="First Photons",POWER(Upgrades!$U$9,H200),1)*IF(Upgrades!$T$10="First Photons",POWER(Upgrades!$U$10,I200),1)*IF(Upgrades!$T$11="First Photons",POWER(Upgrades!$U$11,J200),1)))*POWER(Upgrades!$P$6,E200)*POWER(Upgrades!$P$7,F200)*POWER(Upgrades!$P$8,G200)*POWER(Upgrades!$P$9,H200)*POWER(Upgrades!$P$10,I200)*POWER(Upgrades!$P$11,J200)*POWER(Upgrades!$P$12,K200)</f>
        <v/>
      </c>
      <c r="O200" s="28">
        <f>((IF(E200=0,0,(Upgrades!$M$6+E200*Upgrades!$N$6)*POWER(Upgrades!$O$6,E200)))*(IF(Upgrades!$T$7="Solar Wind",POWER(Upgrades!$U$7,F200),1)*IF(Upgrades!$T$8="Solar Wind",POWER(Upgrades!$U$8,G200),1)*IF(Upgrades!$T$9="Solar Wind",POWER(Upgrades!$U$9,H200),1)*IF(Upgrades!$T$10="Solar Wind",POWER(Upgrades!$U$10,I200),1)*IF(Upgrades!$T$11="Solar Wind",POWER(Upgrades!$U$11,J200),1)*IF(Upgrades!$T$12="Solar Wind",POWER(Upgrades!$U$12,K200),1))+(IF(F200=0,0,(Upgrades!$M$7+F200*Upgrades!$N$7)*POWER(Upgrades!$O$7,F200)))*(IF(Upgrades!$T$6="Asteroid Belt",POWER(Upgrades!$U$6,E200),1)*IF(Upgrades!$T$8="Asteroid Belt",POWER(Upgrades!$U$8,G200),1)*IF(Upgrades!$T$9="Asteroid Belt",POWER(Upgrades!$U$9,H200),1)*IF(Upgrades!$T$10="Asteroid Belt",POWER(Upgrades!$U$10,I200),1)*IF(Upgrades!$T$11="Asteroid Belt",POWER(Upgrades!$U$11,J200),1)*IF(Upgrades!$T$12="Asteroid Belt",POWER(Upgrades!$U$12,K200),1))+(IF(G200=0,0,(Upgrades!$M$8+G200*Upgrades!$N$8)*POWER(Upgrades!$O$8,G200)))*(IF(Upgrades!$T$6="Stellar Coupling",POWER(Upgrades!$U$6,E200),1)*IF(Upgrades!$T$7="Stellar Coupling",POWER(Upgrades!$U$7,F200),1)*IF(Upgrades!$T$9="Stellar Coupling",POWER(Upgrades!$U$9,H200),1)*IF(Upgrades!$T$10="Stellar Coupling",POWER(Upgrades!$U$10,I200),1)*IF(Upgrades!$T$11="Stellar Coupling",POWER(Upgrades!$U$11,J200),1)*IF(Upgrades!$T$12="Stellar Coupling",POWER(Upgrades!$U$12,K200),1))+(IF(H200=0,0,(Upgrades!$M$9+H200*Upgrades!$N$9)*POWER(Upgrades!$O$9,H200)))*(IF(Upgrades!$T$6="Magnetosphere",POWER(Upgrades!$U$6,E200),1)*IF(Upgrades!$T$7="Magnetosphere",POWER(Upgrades!$U$7,F200),1)*IF(Upgrades!$T$8="Magnetosphere",POWER(Upgrades!$U$8,G200),1)*IF(Upgrades!$T$10="Magnetosphere",POWER(Upgrades!$U$10,I200),1)*IF(Upgrades!$T$11="Magnetosphere",POWER(Upgrades!$U$11,J200),1)*IF(Upgrades!$T$12="Magnetosphere",POWER(Upgrades!$U$12,K200),1))+(IF(I200=0,0,(Upgrades!$M$10+I200*Upgrades!$N$10)*POWER(Upgrades!$O$10,I200)))*(IF(Upgrades!$T$6="Orbital Resonance",POWER(Upgrades!$U$6,E200),1)*IF(Upgrades!$T$7="Orbital Resonance",POWER(Upgrades!$U$7,F200),1)*IF(Upgrades!$T$8="Orbital Resonance",POWER(Upgrades!$U$8,G200),1)*IF(Upgrades!$T$9="Orbital Resonance",POWER(Upgrades!$U$9,H200),1)*IF(Upgrades!$T$11="Orbital Resonance",POWER(Upgrades!$U$11,J200),1)*IF(Upgrades!$T$12="Orbital Resonance",POWER(Upgrades!$U$12,K200),1))+(IF(J200=0,0,(Upgrades!$M$11+J200*Upgrades!$N$11)*POWER(Upgrades!$O$11,J200)))*(IF(Upgrades!$T$6="Heliopause",POWER(Upgrades!$U$6,E200),1)*IF(Upgrades!$T$7="Heliopause",POWER(Upgrades!$U$7,F200),1)*IF(Upgrades!$T$8="Heliopause",POWER(Upgrades!$U$8,G200),1)*IF(Upgrades!$T$9="Heliopause",POWER(Upgrades!$U$9,H200),1)*IF(Upgrades!$T$10="Heliopause",POWER(Upgrades!$U$10,I200),1)*IF(Upgrades!$T$12="Heliopause",POWER(Upgrades!$U$12,K200),1))+(IF(K200=0,0,(Upgrades!$M$12+K200*Upgrades!$N$12)*POWER(Upgrades!$O$12,K200)))*(IF(Upgrades!$T$6="First Photons",POWER(Upgrades!$U$6,E200),1)*IF(Upgrades!$T$7="First Photons",POWER(Upgrades!$U$7,F200),1)*IF(Upgrades!$T$8="First Photons",POWER(Upgrades!$U$8,G200),1)*IF(Upgrades!$T$9="First Photons",POWER(Upgrades!$U$9,H200),1)*IF(Upgrades!$T$10="First Photons",POWER(Upgrades!$U$10,I200),1)*IF(Upgrades!$T$11="First Photons",POWER(Upgrades!$U$11,J200),1)))*POWER(Upgrades!$R$6,E200)*POWER(Upgrades!$R$7,F200)*POWER(Upgrades!$R$8,G200)*POWER(Upgrades!$R$9,H200)*POWER(Upgrades!$R$10,I200)*POWER(Upgrades!$R$11,J200)*POWER(Upgrades!$R$12,K200)</f>
        <v/>
      </c>
      <c r="P200" s="27">
        <f>IF(L200=1,0,M200*Parameters!$B$10/60*Parameters!$B$11*10)</f>
        <v/>
      </c>
      <c r="Q200" s="27">
        <f>IF(L200=1,0,O200*M200*10)</f>
        <v/>
      </c>
      <c r="R200" s="27">
        <f>IF(L200=1,0,N200*10)</f>
        <v/>
      </c>
      <c r="S200" s="27">
        <f>P200+Q200+R200</f>
        <v/>
      </c>
      <c r="T200" s="22">
        <f>C200+S200</f>
        <v/>
      </c>
      <c r="U200" s="33">
        <f>AX200</f>
        <v/>
      </c>
      <c r="V200" s="22">
        <f>IF(U200="",0,IF(U200="transition",0,IF(U200="SW",AG200,IF(U200="AB",AH200,IF(U200="SC",AI200,IF(U200="Mag",AJ200,IF(U200="OR",AK200,IF(U200="HP",AL200,IF(U200="FP",AM200,0)))))))))</f>
        <v/>
      </c>
      <c r="W200" s="27">
        <f>IF(U200="OR",Upgrades!$F$10,IF(U200="HP",Upgrades!$F$11,IF(U200="transition",-Parameters!$B$18,0)))</f>
        <v/>
      </c>
      <c r="X200" s="22">
        <f>T200-V200</f>
        <v/>
      </c>
      <c r="Y200" s="30">
        <f>M200*Parameters!$B$10/60*Parameters!$B$11+O200*M200+N200</f>
        <v/>
      </c>
      <c r="Z200" s="34">
        <f>IF(U200="transition","→ Tier 2 (Stellar Neighborhood)",IF(U200="FP","First Photons — light begins, system quickens",IF(U200="HP","Heliopause acquired",IF(U200="OR","Orbital Resonance — passive multiplier active",IF(AND(AO200=1,L200=0,AN200&lt;&gt;1),"Cohesion ready (waiting on completionist upgrades)","")))))</f>
        <v/>
      </c>
      <c r="AA200" s="27">
        <f>(IF(E200=0,0,(Upgrades!$G$6+E200*Upgrades!$H$6)*POWER(Upgrades!$I$6,E200)))*(IF(Upgrades!$T$7="Solar Wind",POWER(Upgrades!$U$7,F200),1)*IF(Upgrades!$T$8="Solar Wind",POWER(Upgrades!$U$8,G200),1)*IF(Upgrades!$T$9="Solar Wind",POWER(Upgrades!$U$9,H200),1)*IF(Upgrades!$T$10="Solar Wind",POWER(Upgrades!$U$10,I200),1)*IF(Upgrades!$T$11="Solar Wind",POWER(Upgrades!$U$11,J200),1)*IF(Upgrades!$T$12="Solar Wind",POWER(Upgrades!$U$12,K200),1))*POWER(Upgrades!$P$6,E200)*POWER(Upgrades!$P$7,F200)*POWER(Upgrades!$P$8,G200)*POWER(Upgrades!$P$9,H200)*POWER(Upgrades!$P$10,I200)*POWER(Upgrades!$P$11,J200)*POWER(Upgrades!$P$12,K200)*60</f>
        <v/>
      </c>
      <c r="AB200" s="27">
        <f>(IF(F200=0,0,(Upgrades!$G$7+F200*Upgrades!$H$7)*POWER(Upgrades!$I$7,F200)))*(IF(Upgrades!$T$6="Asteroid Belt",POWER(Upgrades!$U$6,E200),1)*IF(Upgrades!$T$8="Asteroid Belt",POWER(Upgrades!$U$8,G200),1)*IF(Upgrades!$T$9="Asteroid Belt",POWER(Upgrades!$U$9,H200),1)*IF(Upgrades!$T$10="Asteroid Belt",POWER(Upgrades!$U$10,I200),1)*IF(Upgrades!$T$11="Asteroid Belt",POWER(Upgrades!$U$11,J200),1)*IF(Upgrades!$T$12="Asteroid Belt",POWER(Upgrades!$U$12,K200),1))*POWER(Upgrades!$P$6,E200)*POWER(Upgrades!$P$7,F200)*POWER(Upgrades!$P$8,G200)*POWER(Upgrades!$P$9,H200)*POWER(Upgrades!$P$10,I200)*POWER(Upgrades!$P$11,J200)*POWER(Upgrades!$P$12,K200)*60</f>
        <v/>
      </c>
      <c r="AC200" s="27">
        <f>(IF(G200=0,0,(Upgrades!$J$8+G200*Upgrades!$K$8)*POWER(Upgrades!$L$8,G200)))*(IF(Upgrades!$T$6="Stellar Coupling",POWER(Upgrades!$U$6,E200),1)*IF(Upgrades!$T$7="Stellar Coupling",POWER(Upgrades!$U$7,F200),1)*IF(Upgrades!$T$9="Stellar Coupling",POWER(Upgrades!$U$9,H200),1)*IF(Upgrades!$T$10="Stellar Coupling",POWER(Upgrades!$U$10,I200),1)*IF(Upgrades!$T$11="Stellar Coupling",POWER(Upgrades!$U$11,J200),1)*IF(Upgrades!$T$12="Stellar Coupling",POWER(Upgrades!$U$12,K200),1))*POWER(Upgrades!$Q$6,E200)*POWER(Upgrades!$Q$7,F200)*POWER(Upgrades!$Q$8,G200)*POWER(Upgrades!$Q$9,H200)*POWER(Upgrades!$Q$10,I200)*POWER(Upgrades!$Q$11,J200)*POWER(Upgrades!$Q$12,K200)*Parameters!$B$10*Parameters!$B$11</f>
        <v/>
      </c>
      <c r="AD200" s="27">
        <f>(IF(H200=0,0,(Upgrades!$G$9+H200*Upgrades!$H$9)*POWER(Upgrades!$I$9,H200)))*(IF(Upgrades!$T$6="Magnetosphere",POWER(Upgrades!$U$6,E200),1)*IF(Upgrades!$T$7="Magnetosphere",POWER(Upgrades!$U$7,F200),1)*IF(Upgrades!$T$8="Magnetosphere",POWER(Upgrades!$U$8,G200),1)*IF(Upgrades!$T$10="Magnetosphere",POWER(Upgrades!$U$10,I200),1)*IF(Upgrades!$T$11="Magnetosphere",POWER(Upgrades!$U$11,J200),1)*IF(Upgrades!$T$12="Magnetosphere",POWER(Upgrades!$U$12,K200),1))*POWER(Upgrades!$P$6,E200)*POWER(Upgrades!$P$7,F200)*POWER(Upgrades!$P$8,G200)*POWER(Upgrades!$P$9,H200)*POWER(Upgrades!$P$10,I200)*POWER(Upgrades!$P$11,J200)*POWER(Upgrades!$P$12,K200)*60</f>
        <v/>
      </c>
      <c r="AE200" s="27">
        <f>(IF(K200=0,0,(Upgrades!$G$12+K200*Upgrades!$H$12)*POWER(Upgrades!$I$12,K200)))*(IF(Upgrades!$T$6="First Photons",POWER(Upgrades!$U$6,E200),1)*IF(Upgrades!$T$7="First Photons",POWER(Upgrades!$U$7,F200),1)*IF(Upgrades!$T$8="First Photons",POWER(Upgrades!$U$8,G200),1)*IF(Upgrades!$T$9="First Photons",POWER(Upgrades!$U$9,H200),1)*IF(Upgrades!$T$10="First Photons",POWER(Upgrades!$U$10,I200),1)*IF(Upgrades!$T$11="First Photons",POWER(Upgrades!$U$11,J200),1))*POWER(Upgrades!$P$6,E200)*POWER(Upgrades!$P$7,F200)*POWER(Upgrades!$P$8,G200)*POWER(Upgrades!$P$9,H200)*POWER(Upgrades!$P$10,I200)*POWER(Upgrades!$P$11,J200)*POWER(Upgrades!$P$12,K200)*60</f>
        <v/>
      </c>
      <c r="AF200" s="27">
        <f>Parameters!$B$9*POWER(Upgrades!$Q$6,E200)*POWER(Upgrades!$Q$7,F200)*POWER(Upgrades!$Q$8,G200)*POWER(Upgrades!$Q$9,H200)*POWER(Upgrades!$Q$10,I200)*POWER(Upgrades!$Q$11,J200)*POWER(Upgrades!$Q$12,K200)*(Parameters!$B$10*Parameters!$B$11+O200*60)</f>
        <v/>
      </c>
      <c r="AG200" s="22">
        <f>IF(E200&gt;=Upgrades!$E$6,"",Upgrades!$C$6*POWER(Upgrades!$D$6,E200))</f>
        <v/>
      </c>
      <c r="AH200" s="22">
        <f>IF(F200&gt;=Upgrades!$E$7,"",Upgrades!$C$7*POWER(Upgrades!$D$7,F200))</f>
        <v/>
      </c>
      <c r="AI200" s="22">
        <f>IF(G200&gt;=Upgrades!$E$8,"",Upgrades!$C$8*POWER(Upgrades!$D$8,G200))</f>
        <v/>
      </c>
      <c r="AJ200" s="22">
        <f>IF(H200&gt;=Upgrades!$E$9,"",Upgrades!$C$9*POWER(Upgrades!$D$9,H200))</f>
        <v/>
      </c>
      <c r="AK200" s="22">
        <f>IF(I200&gt;=Upgrades!$E$10,"",Upgrades!$C$10*POWER(Upgrades!$D$10,I200))</f>
        <v/>
      </c>
      <c r="AL200" s="22">
        <f>IF(J200&gt;=Upgrades!$E$11,"",Upgrades!$C$11*POWER(Upgrades!$D$11,J200))</f>
        <v/>
      </c>
      <c r="AM200" s="22">
        <f>IF(K200&gt;=Upgrades!$E$12,"",Upgrades!$C$12*POWER(Upgrades!$D$12,K200))</f>
        <v/>
      </c>
      <c r="AN200" s="26">
        <f>IF(AND(D200&gt;=Parameters!$B$18,(H200&gt;=Upgrades!$E$9)*(K200&gt;=Upgrades!$E$12)=1,L200=0),1,"")</f>
        <v/>
      </c>
      <c r="AO200" s="26">
        <f>IF(AND(D200&gt;=Parameters!$B$18,L200=0),1,"")</f>
        <v/>
      </c>
      <c r="AP200" s="22">
        <f>MIN(IF(ISNUMBER(AK200),AK200,9E15),IF(ISNUMBER(AL200),AL200,9E15),IF(ISNUMBER(AM200),AM200,9E15))</f>
        <v/>
      </c>
      <c r="AQ200" s="22">
        <f>MIN(IF(ISNUMBER(AG200),AG200,9E15),IF(ISNUMBER(AH200),AH200,9E15),IF(ISNUMBER(AI200),AI200,9E15),IF(ISNUMBER(AJ200),AJ200,9E15))</f>
        <v/>
      </c>
      <c r="AR200" s="29">
        <f>IF(AW200&gt;Parameters!$B$21*(MAX(IF(AND(NOT(AND(AO200=1,AN200&lt;&gt;1)),ISNUMBER(AG200),AG200&lt;=T200),AS200,0),IF(AND(NOT(AND(AO200=1,AN200&lt;&gt;1)),ISNUMBER(AH200),AH200&lt;=T200),AT200,0),IF(AND(NOT(AND(AO200=1,AN200&lt;&gt;1)),ISNUMBER(AI200),AI200&lt;=T200),AU200,0),IF(AND(ISNUMBER(AJ200),AJ200&lt;=T200),AV200,0))),TRUE,FALSE)</f>
        <v/>
      </c>
      <c r="AS200" s="32">
        <f>IFERROR(Upgrades!$H$6*(POWER(Upgrades!$P$6,E200)*POWER(Upgrades!$P$7,F200)*POWER(Upgrades!$P$8,G200)*POWER(Upgrades!$P$9,H200)*POWER(Upgrades!$P$10,I200)*POWER(Upgrades!$P$11,J200)*POWER(Upgrades!$P$12,K200))*(IF(Upgrades!$T$7="Solar Wind",POWER(Upgrades!$U$7,F200),1)*IF(Upgrades!$T$8="Solar Wind",POWER(Upgrades!$U$8,G200),1)*IF(Upgrades!$T$9="Solar Wind",POWER(Upgrades!$U$9,H200),1)*IF(Upgrades!$T$10="Solar Wind",POWER(Upgrades!$U$10,I200),1)*IF(Upgrades!$T$11="Solar Wind",POWER(Upgrades!$U$11,J200),1)*IF(Upgrades!$T$12="Solar Wind",POWER(Upgrades!$U$12,K200),1))/AG200,0)</f>
        <v/>
      </c>
      <c r="AT200" s="32">
        <f>IFERROR(Upgrades!$H$7*(POWER(Upgrades!$P$6,E200)*POWER(Upgrades!$P$7,F200)*POWER(Upgrades!$P$8,G200)*POWER(Upgrades!$P$9,H200)*POWER(Upgrades!$P$10,I200)*POWER(Upgrades!$P$11,J200)*POWER(Upgrades!$P$12,K200))*(IF(Upgrades!$T$6="Asteroid Belt",POWER(Upgrades!$U$6,E200),1)*IF(Upgrades!$T$8="Asteroid Belt",POWER(Upgrades!$U$8,G200),1)*IF(Upgrades!$T$9="Asteroid Belt",POWER(Upgrades!$U$9,H200),1)*IF(Upgrades!$T$10="Asteroid Belt",POWER(Upgrades!$U$10,I200),1)*IF(Upgrades!$T$11="Asteroid Belt",POWER(Upgrades!$U$11,J200),1)*IF(Upgrades!$T$12="Asteroid Belt",POWER(Upgrades!$U$12,K200),1))/AH200,0)</f>
        <v/>
      </c>
      <c r="AU200" s="32">
        <f>IFERROR(Upgrades!$K$8*(POWER(Upgrades!$Q$6,E200)*POWER(Upgrades!$Q$7,F200)*POWER(Upgrades!$Q$8,G200)*POWER(Upgrades!$Q$9,H200)*POWER(Upgrades!$Q$10,I200)*POWER(Upgrades!$Q$11,J200)*POWER(Upgrades!$Q$12,K200))*(IF(Upgrades!$T$6="Stellar Coupling",POWER(Upgrades!$U$6,E200),1)*IF(Upgrades!$T$7="Stellar Coupling",POWER(Upgrades!$U$7,F200),1)*IF(Upgrades!$T$9="Stellar Coupling",POWER(Upgrades!$U$9,H200),1)*IF(Upgrades!$T$10="Stellar Coupling",POWER(Upgrades!$U$10,I200),1)*IF(Upgrades!$T$11="Stellar Coupling",POWER(Upgrades!$U$11,J200),1)*IF(Upgrades!$T$12="Stellar Coupling",POWER(Upgrades!$U$12,K200),1))*Parameters!$B$10*Parameters!$B$11/60/AI200,0)</f>
        <v/>
      </c>
      <c r="AV200" s="32">
        <f>IFERROR(Upgrades!$H$9*(POWER(Upgrades!$P$6,E200)*POWER(Upgrades!$P$7,F200)*POWER(Upgrades!$P$8,G200)*POWER(Upgrades!$P$9,H200)*POWER(Upgrades!$P$10,I200)*POWER(Upgrades!$P$11,J200)*POWER(Upgrades!$P$12,K200))*(IF(Upgrades!$T$6="Magnetosphere",POWER(Upgrades!$U$6,E200),1)*IF(Upgrades!$T$7="Magnetosphere",POWER(Upgrades!$U$7,F200),1)*IF(Upgrades!$T$8="Magnetosphere",POWER(Upgrades!$U$8,G200),1)*IF(Upgrades!$T$10="Magnetosphere",POWER(Upgrades!$U$10,I200),1)*IF(Upgrades!$T$11="Magnetosphere",POWER(Upgrades!$U$11,J200),1)*IF(Upgrades!$T$12="Magnetosphere",POWER(Upgrades!$U$12,K200),1))/AJ200,0)</f>
        <v/>
      </c>
      <c r="AW200" s="32">
        <f>MAX(IF(I200&gt;0,0,IFERROR(0.25*N200/Upgrades!$C$10,0)),IF(J200&gt;0,0,IFERROR(0.5*((IF(G200=0,0,(Upgrades!$J$8+G200*Upgrades!$K$8)*POWER(Upgrades!$L$8,G200)))*(IF(Upgrades!$T$6="Stellar Coupling",POWER(Upgrades!$U$6,E200),1)*IF(Upgrades!$T$7="Stellar Coupling",POWER(Upgrades!$U$7,F200),1)*IF(Upgrades!$T$9="Stellar Coupling",POWER(Upgrades!$U$9,H200),1)*IF(Upgrades!$T$10="Stellar Coupling",POWER(Upgrades!$U$10,I200),1)*IF(Upgrades!$T$11="Stellar Coupling",POWER(Upgrades!$U$11,J200),1)*IF(Upgrades!$T$12="Stellar Coupling",POWER(Upgrades!$U$12,K200),1))*(POWER(Upgrades!$Q$6,E200)*POWER(Upgrades!$Q$7,F200)*POWER(Upgrades!$Q$8,G200)*POWER(Upgrades!$Q$9,H200)*POWER(Upgrades!$Q$10,I200)*POWER(Upgrades!$Q$11,J200)*POWER(Upgrades!$Q$12,K200))*Parameters!$B$10*Parameters!$B$11/60)/Upgrades!$C$11,0)),IF(K200&gt;0,0,IFERROR((1.0*(POWER(Upgrades!$P$6,E200)*POWER(Upgrades!$P$7,F200)*POWER(Upgrades!$P$8,G200)*POWER(Upgrades!$P$9,H200)*POWER(Upgrades!$P$10,I200)*POWER(Upgrades!$P$11,J200)*POWER(Upgrades!$P$12,K200))+0.20*M200*Parameters!$B$10*Parameters!$B$11/60)/Upgrades!$C$12,0)),IF(AND(ISNUMBER(AG200),AG200&gt;T200),AS200,0),IF(AND(ISNUMBER(AH200),AH200&gt;T200),AT200,0),IF(AND(ISNUMBER(AI200),AI200&gt;T200),AU200,0),IF(AND(ISNUMBER(AJ200),AJ200&gt;T200),AV200,0))</f>
        <v/>
      </c>
      <c r="AX200" s="29">
        <f>IF(AN200=1,"transition",IF(MIN(IF(AND(I200=0,ISNUMBER(AK200),AK200&lt;=T200),AK200,9E15),IF(AND(J200=0,ISNUMBER(AL200),AL200&lt;=T200),AL200,9E15),IF(AND(K200=0,ISNUMBER(AM200),AM200&lt;=T200),AM200,9E15))&lt;9E15,IF(AND(AND(I200=0,ISNUMBER(AK200),AK200&lt;=T200),AK200=MIN(IF(AND(I200=0,ISNUMBER(AK200),AK200&lt;=T200),AK200,9E15),IF(AND(J200=0,ISNUMBER(AL200),AL200&lt;=T200),AL200,9E15),IF(AND(K200=0,ISNUMBER(AM200),AM200&lt;=T200),AM200,9E15))),"OR",IF(AND(AND(J200=0,ISNUMBER(AL200),AL200&lt;=T200),AL200=MIN(IF(AND(I200=0,ISNUMBER(AK200),AK200&lt;=T200),AK200,9E15),IF(AND(J200=0,ISNUMBER(AL200),AL200&lt;=T200),AL200,9E15),IF(AND(K200=0,ISNUMBER(AM200),AM200&lt;=T200),AM200,9E15))),"HP","FP")),IF(AR200=TRUE,"",IF(MAX(IF(AND(NOT(AND(AO200=1,AN200&lt;&gt;1)),ISNUMBER(AG200),AG200&lt;=T200),AS200,0),IF(AND(NOT(AND(AO200=1,AN200&lt;&gt;1)),ISNUMBER(AH200),AH200&lt;=T200),AT200,0),IF(AND(NOT(AND(AO200=1,AN200&lt;&gt;1)),ISNUMBER(AI200),AI200&lt;=T200),AU200,0),IF(AND(ISNUMBER(AJ200),AJ200&lt;=T200),AV200,0))&lt;=0,"",IF(AND(IF(AND(NOT(AND(AO200=1,AN200&lt;&gt;1)),ISNUMBER(AG200),AG200&lt;=T200),AS200,0)&gt;0,IF(AND(NOT(AND(AO200=1,AN200&lt;&gt;1)),ISNUMBER(AG200),AG200&lt;=T200),AS200,0)=MAX(IF(AND(NOT(AND(AO200=1,AN200&lt;&gt;1)),ISNUMBER(AG200),AG200&lt;=T200),AS200,0),IF(AND(NOT(AND(AO200=1,AN200&lt;&gt;1)),ISNUMBER(AH200),AH200&lt;=T200),AT200,0),IF(AND(NOT(AND(AO200=1,AN200&lt;&gt;1)),ISNUMBER(AI200),AI200&lt;=T200),AU200,0),IF(AND(ISNUMBER(AJ200),AJ200&lt;=T200),AV200,0))),"SW",IF(AND(IF(AND(NOT(AND(AO200=1,AN200&lt;&gt;1)),ISNUMBER(AH200),AH200&lt;=T200),AT200,0)&gt;0,IF(AND(NOT(AND(AO200=1,AN200&lt;&gt;1)),ISNUMBER(AH200),AH200&lt;=T200),AT200,0)=MAX(IF(AND(NOT(AND(AO200=1,AN200&lt;&gt;1)),ISNUMBER(AG200),AG200&lt;=T200),AS200,0),IF(AND(NOT(AND(AO200=1,AN200&lt;&gt;1)),ISNUMBER(AH200),AH200&lt;=T200),AT200,0),IF(AND(NOT(AND(AO200=1,AN200&lt;&gt;1)),ISNUMBER(AI200),AI200&lt;=T200),AU200,0),IF(AND(ISNUMBER(AJ200),AJ200&lt;=T200),AV200,0))),"AB",IF(AND(IF(AND(NOT(AND(AO200=1,AN200&lt;&gt;1)),ISNUMBER(AI200),AI200&lt;=T200),AU200,0)&gt;0,IF(AND(NOT(AND(AO200=1,AN200&lt;&gt;1)),ISNUMBER(AI200),AI200&lt;=T200),AU200,0)=MAX(IF(AND(NOT(AND(AO200=1,AN200&lt;&gt;1)),ISNUMBER(AG200),AG200&lt;=T200),AS200,0),IF(AND(NOT(AND(AO200=1,AN200&lt;&gt;1)),ISNUMBER(AH200),AH200&lt;=T200),AT200,0),IF(AND(NOT(AND(AO200=1,AN200&lt;&gt;1)),ISNUMBER(AI200),AI200&lt;=T200),AU200,0),IF(AND(ISNUMBER(AJ200),AJ200&lt;=T200),AV200,0))),"SC","Mag")))))))</f>
        <v/>
      </c>
    </row>
    <row r="201">
      <c r="A201" s="26" t="n">
        <v>196</v>
      </c>
      <c r="B201" s="27">
        <f>A201*10/60</f>
        <v/>
      </c>
      <c r="C201" s="22">
        <f>X200</f>
        <v/>
      </c>
      <c r="D201" s="27">
        <f>D200+W200</f>
        <v/>
      </c>
      <c r="E201" s="26">
        <f>E200+IF(U200="SW",1,0)</f>
        <v/>
      </c>
      <c r="F201" s="26">
        <f>F200+IF(U200="AB",1,0)</f>
        <v/>
      </c>
      <c r="G201" s="26">
        <f>G200+IF(U200="SC",1,0)</f>
        <v/>
      </c>
      <c r="H201" s="26">
        <f>H200+IF(U200="Mag",1,0)</f>
        <v/>
      </c>
      <c r="I201" s="26">
        <f>MAX(I200,IF(U200="OR",1,0))</f>
        <v/>
      </c>
      <c r="J201" s="26">
        <f>MAX(J200,IF(U200="HP",1,0))</f>
        <v/>
      </c>
      <c r="K201" s="26">
        <f>MAX(K200,IF(U200="FP",1,0))</f>
        <v/>
      </c>
      <c r="L201" s="26">
        <f>MAX(L200,IF(U200="transition",1,0))</f>
        <v/>
      </c>
      <c r="M201" s="28">
        <f>(Parameters!$B$9+(IF(E201=0,0,(Upgrades!$J$6+E201*Upgrades!$K$6)*POWER(Upgrades!$L$6,E201)))*(IF(Upgrades!$T$7="Solar Wind",POWER(Upgrades!$U$7,F201),1)*IF(Upgrades!$T$8="Solar Wind",POWER(Upgrades!$U$8,G201),1)*IF(Upgrades!$T$9="Solar Wind",POWER(Upgrades!$U$9,H201),1)*IF(Upgrades!$T$10="Solar Wind",POWER(Upgrades!$U$10,I201),1)*IF(Upgrades!$T$11="Solar Wind",POWER(Upgrades!$U$11,J201),1)*IF(Upgrades!$T$12="Solar Wind",POWER(Upgrades!$U$12,K201),1))+(IF(F201=0,0,(Upgrades!$J$7+F201*Upgrades!$K$7)*POWER(Upgrades!$L$7,F201)))*(IF(Upgrades!$T$6="Asteroid Belt",POWER(Upgrades!$U$6,E201),1)*IF(Upgrades!$T$8="Asteroid Belt",POWER(Upgrades!$U$8,G201),1)*IF(Upgrades!$T$9="Asteroid Belt",POWER(Upgrades!$U$9,H201),1)*IF(Upgrades!$T$10="Asteroid Belt",POWER(Upgrades!$U$10,I201),1)*IF(Upgrades!$T$11="Asteroid Belt",POWER(Upgrades!$U$11,J201),1)*IF(Upgrades!$T$12="Asteroid Belt",POWER(Upgrades!$U$12,K201),1))+(IF(G201=0,0,(Upgrades!$J$8+G201*Upgrades!$K$8)*POWER(Upgrades!$L$8,G201)))*(IF(Upgrades!$T$6="Stellar Coupling",POWER(Upgrades!$U$6,E201),1)*IF(Upgrades!$T$7="Stellar Coupling",POWER(Upgrades!$U$7,F201),1)*IF(Upgrades!$T$9="Stellar Coupling",POWER(Upgrades!$U$9,H201),1)*IF(Upgrades!$T$10="Stellar Coupling",POWER(Upgrades!$U$10,I201),1)*IF(Upgrades!$T$11="Stellar Coupling",POWER(Upgrades!$U$11,J201),1)*IF(Upgrades!$T$12="Stellar Coupling",POWER(Upgrades!$U$12,K201),1))+(IF(H201=0,0,(Upgrades!$J$9+H201*Upgrades!$K$9)*POWER(Upgrades!$L$9,H201)))*(IF(Upgrades!$T$6="Magnetosphere",POWER(Upgrades!$U$6,E201),1)*IF(Upgrades!$T$7="Magnetosphere",POWER(Upgrades!$U$7,F201),1)*IF(Upgrades!$T$8="Magnetosphere",POWER(Upgrades!$U$8,G201),1)*IF(Upgrades!$T$10="Magnetosphere",POWER(Upgrades!$U$10,I201),1)*IF(Upgrades!$T$11="Magnetosphere",POWER(Upgrades!$U$11,J201),1)*IF(Upgrades!$T$12="Magnetosphere",POWER(Upgrades!$U$12,K201),1))+(IF(I201=0,0,(Upgrades!$J$10+I201*Upgrades!$K$10)*POWER(Upgrades!$L$10,I201)))*(IF(Upgrades!$T$6="Orbital Resonance",POWER(Upgrades!$U$6,E201),1)*IF(Upgrades!$T$7="Orbital Resonance",POWER(Upgrades!$U$7,F201),1)*IF(Upgrades!$T$8="Orbital Resonance",POWER(Upgrades!$U$8,G201),1)*IF(Upgrades!$T$9="Orbital Resonance",POWER(Upgrades!$U$9,H201),1)*IF(Upgrades!$T$11="Orbital Resonance",POWER(Upgrades!$U$11,J201),1)*IF(Upgrades!$T$12="Orbital Resonance",POWER(Upgrades!$U$12,K201),1))+(IF(J201=0,0,(Upgrades!$J$11+J201*Upgrades!$K$11)*POWER(Upgrades!$L$11,J201)))*(IF(Upgrades!$T$6="Heliopause",POWER(Upgrades!$U$6,E201),1)*IF(Upgrades!$T$7="Heliopause",POWER(Upgrades!$U$7,F201),1)*IF(Upgrades!$T$8="Heliopause",POWER(Upgrades!$U$8,G201),1)*IF(Upgrades!$T$9="Heliopause",POWER(Upgrades!$U$9,H201),1)*IF(Upgrades!$T$10="Heliopause",POWER(Upgrades!$U$10,I201),1)*IF(Upgrades!$T$12="Heliopause",POWER(Upgrades!$U$12,K201),1))+(IF(K201=0,0,(Upgrades!$J$12+K201*Upgrades!$K$12)*POWER(Upgrades!$L$12,K201)))*(IF(Upgrades!$T$6="First Photons",POWER(Upgrades!$U$6,E201),1)*IF(Upgrades!$T$7="First Photons",POWER(Upgrades!$U$7,F201),1)*IF(Upgrades!$T$8="First Photons",POWER(Upgrades!$U$8,G201),1)*IF(Upgrades!$T$9="First Photons",POWER(Upgrades!$U$9,H201),1)*IF(Upgrades!$T$10="First Photons",POWER(Upgrades!$U$10,I201),1)*IF(Upgrades!$T$11="First Photons",POWER(Upgrades!$U$11,J201),1)))*POWER(Upgrades!$Q$6,E201)*POWER(Upgrades!$Q$7,F201)*POWER(Upgrades!$Q$8,G201)*POWER(Upgrades!$Q$9,H201)*POWER(Upgrades!$Q$10,I201)*POWER(Upgrades!$Q$11,J201)*POWER(Upgrades!$Q$12,K201)</f>
        <v/>
      </c>
      <c r="N201" s="28">
        <f>((IF(E201=0,0,(Upgrades!$G$6+E201*Upgrades!$H$6)*POWER(Upgrades!$I$6,E201)))*(IF(Upgrades!$T$7="Solar Wind",POWER(Upgrades!$U$7,F201),1)*IF(Upgrades!$T$8="Solar Wind",POWER(Upgrades!$U$8,G201),1)*IF(Upgrades!$T$9="Solar Wind",POWER(Upgrades!$U$9,H201),1)*IF(Upgrades!$T$10="Solar Wind",POWER(Upgrades!$U$10,I201),1)*IF(Upgrades!$T$11="Solar Wind",POWER(Upgrades!$U$11,J201),1)*IF(Upgrades!$T$12="Solar Wind",POWER(Upgrades!$U$12,K201),1))+(IF(F201=0,0,(Upgrades!$G$7+F201*Upgrades!$H$7)*POWER(Upgrades!$I$7,F201)))*(IF(Upgrades!$T$6="Asteroid Belt",POWER(Upgrades!$U$6,E201),1)*IF(Upgrades!$T$8="Asteroid Belt",POWER(Upgrades!$U$8,G201),1)*IF(Upgrades!$T$9="Asteroid Belt",POWER(Upgrades!$U$9,H201),1)*IF(Upgrades!$T$10="Asteroid Belt",POWER(Upgrades!$U$10,I201),1)*IF(Upgrades!$T$11="Asteroid Belt",POWER(Upgrades!$U$11,J201),1)*IF(Upgrades!$T$12="Asteroid Belt",POWER(Upgrades!$U$12,K201),1))+(IF(G201=0,0,(Upgrades!$G$8+G201*Upgrades!$H$8)*POWER(Upgrades!$I$8,G201)))*(IF(Upgrades!$T$6="Stellar Coupling",POWER(Upgrades!$U$6,E201),1)*IF(Upgrades!$T$7="Stellar Coupling",POWER(Upgrades!$U$7,F201),1)*IF(Upgrades!$T$9="Stellar Coupling",POWER(Upgrades!$U$9,H201),1)*IF(Upgrades!$T$10="Stellar Coupling",POWER(Upgrades!$U$10,I201),1)*IF(Upgrades!$T$11="Stellar Coupling",POWER(Upgrades!$U$11,J201),1)*IF(Upgrades!$T$12="Stellar Coupling",POWER(Upgrades!$U$12,K201),1))+(IF(H201=0,0,(Upgrades!$G$9+H201*Upgrades!$H$9)*POWER(Upgrades!$I$9,H201)))*(IF(Upgrades!$T$6="Magnetosphere",POWER(Upgrades!$U$6,E201),1)*IF(Upgrades!$T$7="Magnetosphere",POWER(Upgrades!$U$7,F201),1)*IF(Upgrades!$T$8="Magnetosphere",POWER(Upgrades!$U$8,G201),1)*IF(Upgrades!$T$10="Magnetosphere",POWER(Upgrades!$U$10,I201),1)*IF(Upgrades!$T$11="Magnetosphere",POWER(Upgrades!$U$11,J201),1)*IF(Upgrades!$T$12="Magnetosphere",POWER(Upgrades!$U$12,K201),1))+(IF(I201=0,0,(Upgrades!$G$10+I201*Upgrades!$H$10)*POWER(Upgrades!$I$10,I201)))*(IF(Upgrades!$T$6="Orbital Resonance",POWER(Upgrades!$U$6,E201),1)*IF(Upgrades!$T$7="Orbital Resonance",POWER(Upgrades!$U$7,F201),1)*IF(Upgrades!$T$8="Orbital Resonance",POWER(Upgrades!$U$8,G201),1)*IF(Upgrades!$T$9="Orbital Resonance",POWER(Upgrades!$U$9,H201),1)*IF(Upgrades!$T$11="Orbital Resonance",POWER(Upgrades!$U$11,J201),1)*IF(Upgrades!$T$12="Orbital Resonance",POWER(Upgrades!$U$12,K201),1))+(IF(J201=0,0,(Upgrades!$G$11+J201*Upgrades!$H$11)*POWER(Upgrades!$I$11,J201)))*(IF(Upgrades!$T$6="Heliopause",POWER(Upgrades!$U$6,E201),1)*IF(Upgrades!$T$7="Heliopause",POWER(Upgrades!$U$7,F201),1)*IF(Upgrades!$T$8="Heliopause",POWER(Upgrades!$U$8,G201),1)*IF(Upgrades!$T$9="Heliopause",POWER(Upgrades!$U$9,H201),1)*IF(Upgrades!$T$10="Heliopause",POWER(Upgrades!$U$10,I201),1)*IF(Upgrades!$T$12="Heliopause",POWER(Upgrades!$U$12,K201),1))+(IF(K201=0,0,(Upgrades!$G$12+K201*Upgrades!$H$12)*POWER(Upgrades!$I$12,K201)))*(IF(Upgrades!$T$6="First Photons",POWER(Upgrades!$U$6,E201),1)*IF(Upgrades!$T$7="First Photons",POWER(Upgrades!$U$7,F201),1)*IF(Upgrades!$T$8="First Photons",POWER(Upgrades!$U$8,G201),1)*IF(Upgrades!$T$9="First Photons",POWER(Upgrades!$U$9,H201),1)*IF(Upgrades!$T$10="First Photons",POWER(Upgrades!$U$10,I201),1)*IF(Upgrades!$T$11="First Photons",POWER(Upgrades!$U$11,J201),1)))*POWER(Upgrades!$P$6,E201)*POWER(Upgrades!$P$7,F201)*POWER(Upgrades!$P$8,G201)*POWER(Upgrades!$P$9,H201)*POWER(Upgrades!$P$10,I201)*POWER(Upgrades!$P$11,J201)*POWER(Upgrades!$P$12,K201)</f>
        <v/>
      </c>
      <c r="O201" s="28">
        <f>((IF(E201=0,0,(Upgrades!$M$6+E201*Upgrades!$N$6)*POWER(Upgrades!$O$6,E201)))*(IF(Upgrades!$T$7="Solar Wind",POWER(Upgrades!$U$7,F201),1)*IF(Upgrades!$T$8="Solar Wind",POWER(Upgrades!$U$8,G201),1)*IF(Upgrades!$T$9="Solar Wind",POWER(Upgrades!$U$9,H201),1)*IF(Upgrades!$T$10="Solar Wind",POWER(Upgrades!$U$10,I201),1)*IF(Upgrades!$T$11="Solar Wind",POWER(Upgrades!$U$11,J201),1)*IF(Upgrades!$T$12="Solar Wind",POWER(Upgrades!$U$12,K201),1))+(IF(F201=0,0,(Upgrades!$M$7+F201*Upgrades!$N$7)*POWER(Upgrades!$O$7,F201)))*(IF(Upgrades!$T$6="Asteroid Belt",POWER(Upgrades!$U$6,E201),1)*IF(Upgrades!$T$8="Asteroid Belt",POWER(Upgrades!$U$8,G201),1)*IF(Upgrades!$T$9="Asteroid Belt",POWER(Upgrades!$U$9,H201),1)*IF(Upgrades!$T$10="Asteroid Belt",POWER(Upgrades!$U$10,I201),1)*IF(Upgrades!$T$11="Asteroid Belt",POWER(Upgrades!$U$11,J201),1)*IF(Upgrades!$T$12="Asteroid Belt",POWER(Upgrades!$U$12,K201),1))+(IF(G201=0,0,(Upgrades!$M$8+G201*Upgrades!$N$8)*POWER(Upgrades!$O$8,G201)))*(IF(Upgrades!$T$6="Stellar Coupling",POWER(Upgrades!$U$6,E201),1)*IF(Upgrades!$T$7="Stellar Coupling",POWER(Upgrades!$U$7,F201),1)*IF(Upgrades!$T$9="Stellar Coupling",POWER(Upgrades!$U$9,H201),1)*IF(Upgrades!$T$10="Stellar Coupling",POWER(Upgrades!$U$10,I201),1)*IF(Upgrades!$T$11="Stellar Coupling",POWER(Upgrades!$U$11,J201),1)*IF(Upgrades!$T$12="Stellar Coupling",POWER(Upgrades!$U$12,K201),1))+(IF(H201=0,0,(Upgrades!$M$9+H201*Upgrades!$N$9)*POWER(Upgrades!$O$9,H201)))*(IF(Upgrades!$T$6="Magnetosphere",POWER(Upgrades!$U$6,E201),1)*IF(Upgrades!$T$7="Magnetosphere",POWER(Upgrades!$U$7,F201),1)*IF(Upgrades!$T$8="Magnetosphere",POWER(Upgrades!$U$8,G201),1)*IF(Upgrades!$T$10="Magnetosphere",POWER(Upgrades!$U$10,I201),1)*IF(Upgrades!$T$11="Magnetosphere",POWER(Upgrades!$U$11,J201),1)*IF(Upgrades!$T$12="Magnetosphere",POWER(Upgrades!$U$12,K201),1))+(IF(I201=0,0,(Upgrades!$M$10+I201*Upgrades!$N$10)*POWER(Upgrades!$O$10,I201)))*(IF(Upgrades!$T$6="Orbital Resonance",POWER(Upgrades!$U$6,E201),1)*IF(Upgrades!$T$7="Orbital Resonance",POWER(Upgrades!$U$7,F201),1)*IF(Upgrades!$T$8="Orbital Resonance",POWER(Upgrades!$U$8,G201),1)*IF(Upgrades!$T$9="Orbital Resonance",POWER(Upgrades!$U$9,H201),1)*IF(Upgrades!$T$11="Orbital Resonance",POWER(Upgrades!$U$11,J201),1)*IF(Upgrades!$T$12="Orbital Resonance",POWER(Upgrades!$U$12,K201),1))+(IF(J201=0,0,(Upgrades!$M$11+J201*Upgrades!$N$11)*POWER(Upgrades!$O$11,J201)))*(IF(Upgrades!$T$6="Heliopause",POWER(Upgrades!$U$6,E201),1)*IF(Upgrades!$T$7="Heliopause",POWER(Upgrades!$U$7,F201),1)*IF(Upgrades!$T$8="Heliopause",POWER(Upgrades!$U$8,G201),1)*IF(Upgrades!$T$9="Heliopause",POWER(Upgrades!$U$9,H201),1)*IF(Upgrades!$T$10="Heliopause",POWER(Upgrades!$U$10,I201),1)*IF(Upgrades!$T$12="Heliopause",POWER(Upgrades!$U$12,K201),1))+(IF(K201=0,0,(Upgrades!$M$12+K201*Upgrades!$N$12)*POWER(Upgrades!$O$12,K201)))*(IF(Upgrades!$T$6="First Photons",POWER(Upgrades!$U$6,E201),1)*IF(Upgrades!$T$7="First Photons",POWER(Upgrades!$U$7,F201),1)*IF(Upgrades!$T$8="First Photons",POWER(Upgrades!$U$8,G201),1)*IF(Upgrades!$T$9="First Photons",POWER(Upgrades!$U$9,H201),1)*IF(Upgrades!$T$10="First Photons",POWER(Upgrades!$U$10,I201),1)*IF(Upgrades!$T$11="First Photons",POWER(Upgrades!$U$11,J201),1)))*POWER(Upgrades!$R$6,E201)*POWER(Upgrades!$R$7,F201)*POWER(Upgrades!$R$8,G201)*POWER(Upgrades!$R$9,H201)*POWER(Upgrades!$R$10,I201)*POWER(Upgrades!$R$11,J201)*POWER(Upgrades!$R$12,K201)</f>
        <v/>
      </c>
      <c r="P201" s="27">
        <f>IF(L201=1,0,M201*Parameters!$B$10/60*Parameters!$B$11*10)</f>
        <v/>
      </c>
      <c r="Q201" s="27">
        <f>IF(L201=1,0,O201*M201*10)</f>
        <v/>
      </c>
      <c r="R201" s="27">
        <f>IF(L201=1,0,N201*10)</f>
        <v/>
      </c>
      <c r="S201" s="27">
        <f>P201+Q201+R201</f>
        <v/>
      </c>
      <c r="T201" s="22">
        <f>C201+S201</f>
        <v/>
      </c>
      <c r="U201" s="33">
        <f>AX201</f>
        <v/>
      </c>
      <c r="V201" s="22">
        <f>IF(U201="",0,IF(U201="transition",0,IF(U201="SW",AG201,IF(U201="AB",AH201,IF(U201="SC",AI201,IF(U201="Mag",AJ201,IF(U201="OR",AK201,IF(U201="HP",AL201,IF(U201="FP",AM201,0)))))))))</f>
        <v/>
      </c>
      <c r="W201" s="27">
        <f>IF(U201="OR",Upgrades!$F$10,IF(U201="HP",Upgrades!$F$11,IF(U201="transition",-Parameters!$B$18,0)))</f>
        <v/>
      </c>
      <c r="X201" s="22">
        <f>T201-V201</f>
        <v/>
      </c>
      <c r="Y201" s="30">
        <f>M201*Parameters!$B$10/60*Parameters!$B$11+O201*M201+N201</f>
        <v/>
      </c>
      <c r="Z201" s="34">
        <f>IF(U201="transition","→ Tier 2 (Stellar Neighborhood)",IF(U201="FP","First Photons — light begins, system quickens",IF(U201="HP","Heliopause acquired",IF(U201="OR","Orbital Resonance — passive multiplier active",IF(AND(AO201=1,L201=0,AN201&lt;&gt;1),"Cohesion ready (waiting on completionist upgrades)","")))))</f>
        <v/>
      </c>
      <c r="AA201" s="27">
        <f>(IF(E201=0,0,(Upgrades!$G$6+E201*Upgrades!$H$6)*POWER(Upgrades!$I$6,E201)))*(IF(Upgrades!$T$7="Solar Wind",POWER(Upgrades!$U$7,F201),1)*IF(Upgrades!$T$8="Solar Wind",POWER(Upgrades!$U$8,G201),1)*IF(Upgrades!$T$9="Solar Wind",POWER(Upgrades!$U$9,H201),1)*IF(Upgrades!$T$10="Solar Wind",POWER(Upgrades!$U$10,I201),1)*IF(Upgrades!$T$11="Solar Wind",POWER(Upgrades!$U$11,J201),1)*IF(Upgrades!$T$12="Solar Wind",POWER(Upgrades!$U$12,K201),1))*POWER(Upgrades!$P$6,E201)*POWER(Upgrades!$P$7,F201)*POWER(Upgrades!$P$8,G201)*POWER(Upgrades!$P$9,H201)*POWER(Upgrades!$P$10,I201)*POWER(Upgrades!$P$11,J201)*POWER(Upgrades!$P$12,K201)*60</f>
        <v/>
      </c>
      <c r="AB201" s="27">
        <f>(IF(F201=0,0,(Upgrades!$G$7+F201*Upgrades!$H$7)*POWER(Upgrades!$I$7,F201)))*(IF(Upgrades!$T$6="Asteroid Belt",POWER(Upgrades!$U$6,E201),1)*IF(Upgrades!$T$8="Asteroid Belt",POWER(Upgrades!$U$8,G201),1)*IF(Upgrades!$T$9="Asteroid Belt",POWER(Upgrades!$U$9,H201),1)*IF(Upgrades!$T$10="Asteroid Belt",POWER(Upgrades!$U$10,I201),1)*IF(Upgrades!$T$11="Asteroid Belt",POWER(Upgrades!$U$11,J201),1)*IF(Upgrades!$T$12="Asteroid Belt",POWER(Upgrades!$U$12,K201),1))*POWER(Upgrades!$P$6,E201)*POWER(Upgrades!$P$7,F201)*POWER(Upgrades!$P$8,G201)*POWER(Upgrades!$P$9,H201)*POWER(Upgrades!$P$10,I201)*POWER(Upgrades!$P$11,J201)*POWER(Upgrades!$P$12,K201)*60</f>
        <v/>
      </c>
      <c r="AC201" s="27">
        <f>(IF(G201=0,0,(Upgrades!$J$8+G201*Upgrades!$K$8)*POWER(Upgrades!$L$8,G201)))*(IF(Upgrades!$T$6="Stellar Coupling",POWER(Upgrades!$U$6,E201),1)*IF(Upgrades!$T$7="Stellar Coupling",POWER(Upgrades!$U$7,F201),1)*IF(Upgrades!$T$9="Stellar Coupling",POWER(Upgrades!$U$9,H201),1)*IF(Upgrades!$T$10="Stellar Coupling",POWER(Upgrades!$U$10,I201),1)*IF(Upgrades!$T$11="Stellar Coupling",POWER(Upgrades!$U$11,J201),1)*IF(Upgrades!$T$12="Stellar Coupling",POWER(Upgrades!$U$12,K201),1))*POWER(Upgrades!$Q$6,E201)*POWER(Upgrades!$Q$7,F201)*POWER(Upgrades!$Q$8,G201)*POWER(Upgrades!$Q$9,H201)*POWER(Upgrades!$Q$10,I201)*POWER(Upgrades!$Q$11,J201)*POWER(Upgrades!$Q$12,K201)*Parameters!$B$10*Parameters!$B$11</f>
        <v/>
      </c>
      <c r="AD201" s="27">
        <f>(IF(H201=0,0,(Upgrades!$G$9+H201*Upgrades!$H$9)*POWER(Upgrades!$I$9,H201)))*(IF(Upgrades!$T$6="Magnetosphere",POWER(Upgrades!$U$6,E201),1)*IF(Upgrades!$T$7="Magnetosphere",POWER(Upgrades!$U$7,F201),1)*IF(Upgrades!$T$8="Magnetosphere",POWER(Upgrades!$U$8,G201),1)*IF(Upgrades!$T$10="Magnetosphere",POWER(Upgrades!$U$10,I201),1)*IF(Upgrades!$T$11="Magnetosphere",POWER(Upgrades!$U$11,J201),1)*IF(Upgrades!$T$12="Magnetosphere",POWER(Upgrades!$U$12,K201),1))*POWER(Upgrades!$P$6,E201)*POWER(Upgrades!$P$7,F201)*POWER(Upgrades!$P$8,G201)*POWER(Upgrades!$P$9,H201)*POWER(Upgrades!$P$10,I201)*POWER(Upgrades!$P$11,J201)*POWER(Upgrades!$P$12,K201)*60</f>
        <v/>
      </c>
      <c r="AE201" s="27">
        <f>(IF(K201=0,0,(Upgrades!$G$12+K201*Upgrades!$H$12)*POWER(Upgrades!$I$12,K201)))*(IF(Upgrades!$T$6="First Photons",POWER(Upgrades!$U$6,E201),1)*IF(Upgrades!$T$7="First Photons",POWER(Upgrades!$U$7,F201),1)*IF(Upgrades!$T$8="First Photons",POWER(Upgrades!$U$8,G201),1)*IF(Upgrades!$T$9="First Photons",POWER(Upgrades!$U$9,H201),1)*IF(Upgrades!$T$10="First Photons",POWER(Upgrades!$U$10,I201),1)*IF(Upgrades!$T$11="First Photons",POWER(Upgrades!$U$11,J201),1))*POWER(Upgrades!$P$6,E201)*POWER(Upgrades!$P$7,F201)*POWER(Upgrades!$P$8,G201)*POWER(Upgrades!$P$9,H201)*POWER(Upgrades!$P$10,I201)*POWER(Upgrades!$P$11,J201)*POWER(Upgrades!$P$12,K201)*60</f>
        <v/>
      </c>
      <c r="AF201" s="27">
        <f>Parameters!$B$9*POWER(Upgrades!$Q$6,E201)*POWER(Upgrades!$Q$7,F201)*POWER(Upgrades!$Q$8,G201)*POWER(Upgrades!$Q$9,H201)*POWER(Upgrades!$Q$10,I201)*POWER(Upgrades!$Q$11,J201)*POWER(Upgrades!$Q$12,K201)*(Parameters!$B$10*Parameters!$B$11+O201*60)</f>
        <v/>
      </c>
      <c r="AG201" s="22">
        <f>IF(E201&gt;=Upgrades!$E$6,"",Upgrades!$C$6*POWER(Upgrades!$D$6,E201))</f>
        <v/>
      </c>
      <c r="AH201" s="22">
        <f>IF(F201&gt;=Upgrades!$E$7,"",Upgrades!$C$7*POWER(Upgrades!$D$7,F201))</f>
        <v/>
      </c>
      <c r="AI201" s="22">
        <f>IF(G201&gt;=Upgrades!$E$8,"",Upgrades!$C$8*POWER(Upgrades!$D$8,G201))</f>
        <v/>
      </c>
      <c r="AJ201" s="22">
        <f>IF(H201&gt;=Upgrades!$E$9,"",Upgrades!$C$9*POWER(Upgrades!$D$9,H201))</f>
        <v/>
      </c>
      <c r="AK201" s="22">
        <f>IF(I201&gt;=Upgrades!$E$10,"",Upgrades!$C$10*POWER(Upgrades!$D$10,I201))</f>
        <v/>
      </c>
      <c r="AL201" s="22">
        <f>IF(J201&gt;=Upgrades!$E$11,"",Upgrades!$C$11*POWER(Upgrades!$D$11,J201))</f>
        <v/>
      </c>
      <c r="AM201" s="22">
        <f>IF(K201&gt;=Upgrades!$E$12,"",Upgrades!$C$12*POWER(Upgrades!$D$12,K201))</f>
        <v/>
      </c>
      <c r="AN201" s="26">
        <f>IF(AND(D201&gt;=Parameters!$B$18,(H201&gt;=Upgrades!$E$9)*(K201&gt;=Upgrades!$E$12)=1,L201=0),1,"")</f>
        <v/>
      </c>
      <c r="AO201" s="26">
        <f>IF(AND(D201&gt;=Parameters!$B$18,L201=0),1,"")</f>
        <v/>
      </c>
      <c r="AP201" s="22">
        <f>MIN(IF(ISNUMBER(AK201),AK201,9E15),IF(ISNUMBER(AL201),AL201,9E15),IF(ISNUMBER(AM201),AM201,9E15))</f>
        <v/>
      </c>
      <c r="AQ201" s="22">
        <f>MIN(IF(ISNUMBER(AG201),AG201,9E15),IF(ISNUMBER(AH201),AH201,9E15),IF(ISNUMBER(AI201),AI201,9E15),IF(ISNUMBER(AJ201),AJ201,9E15))</f>
        <v/>
      </c>
      <c r="AR201" s="29">
        <f>IF(AW201&gt;Parameters!$B$21*(MAX(IF(AND(NOT(AND(AO201=1,AN201&lt;&gt;1)),ISNUMBER(AG201),AG201&lt;=T201),AS201,0),IF(AND(NOT(AND(AO201=1,AN201&lt;&gt;1)),ISNUMBER(AH201),AH201&lt;=T201),AT201,0),IF(AND(NOT(AND(AO201=1,AN201&lt;&gt;1)),ISNUMBER(AI201),AI201&lt;=T201),AU201,0),IF(AND(ISNUMBER(AJ201),AJ201&lt;=T201),AV201,0))),TRUE,FALSE)</f>
        <v/>
      </c>
      <c r="AS201" s="32">
        <f>IFERROR(Upgrades!$H$6*(POWER(Upgrades!$P$6,E201)*POWER(Upgrades!$P$7,F201)*POWER(Upgrades!$P$8,G201)*POWER(Upgrades!$P$9,H201)*POWER(Upgrades!$P$10,I201)*POWER(Upgrades!$P$11,J201)*POWER(Upgrades!$P$12,K201))*(IF(Upgrades!$T$7="Solar Wind",POWER(Upgrades!$U$7,F201),1)*IF(Upgrades!$T$8="Solar Wind",POWER(Upgrades!$U$8,G201),1)*IF(Upgrades!$T$9="Solar Wind",POWER(Upgrades!$U$9,H201),1)*IF(Upgrades!$T$10="Solar Wind",POWER(Upgrades!$U$10,I201),1)*IF(Upgrades!$T$11="Solar Wind",POWER(Upgrades!$U$11,J201),1)*IF(Upgrades!$T$12="Solar Wind",POWER(Upgrades!$U$12,K201),1))/AG201,0)</f>
        <v/>
      </c>
      <c r="AT201" s="32">
        <f>IFERROR(Upgrades!$H$7*(POWER(Upgrades!$P$6,E201)*POWER(Upgrades!$P$7,F201)*POWER(Upgrades!$P$8,G201)*POWER(Upgrades!$P$9,H201)*POWER(Upgrades!$P$10,I201)*POWER(Upgrades!$P$11,J201)*POWER(Upgrades!$P$12,K201))*(IF(Upgrades!$T$6="Asteroid Belt",POWER(Upgrades!$U$6,E201),1)*IF(Upgrades!$T$8="Asteroid Belt",POWER(Upgrades!$U$8,G201),1)*IF(Upgrades!$T$9="Asteroid Belt",POWER(Upgrades!$U$9,H201),1)*IF(Upgrades!$T$10="Asteroid Belt",POWER(Upgrades!$U$10,I201),1)*IF(Upgrades!$T$11="Asteroid Belt",POWER(Upgrades!$U$11,J201),1)*IF(Upgrades!$T$12="Asteroid Belt",POWER(Upgrades!$U$12,K201),1))/AH201,0)</f>
        <v/>
      </c>
      <c r="AU201" s="32">
        <f>IFERROR(Upgrades!$K$8*(POWER(Upgrades!$Q$6,E201)*POWER(Upgrades!$Q$7,F201)*POWER(Upgrades!$Q$8,G201)*POWER(Upgrades!$Q$9,H201)*POWER(Upgrades!$Q$10,I201)*POWER(Upgrades!$Q$11,J201)*POWER(Upgrades!$Q$12,K201))*(IF(Upgrades!$T$6="Stellar Coupling",POWER(Upgrades!$U$6,E201),1)*IF(Upgrades!$T$7="Stellar Coupling",POWER(Upgrades!$U$7,F201),1)*IF(Upgrades!$T$9="Stellar Coupling",POWER(Upgrades!$U$9,H201),1)*IF(Upgrades!$T$10="Stellar Coupling",POWER(Upgrades!$U$10,I201),1)*IF(Upgrades!$T$11="Stellar Coupling",POWER(Upgrades!$U$11,J201),1)*IF(Upgrades!$T$12="Stellar Coupling",POWER(Upgrades!$U$12,K201),1))*Parameters!$B$10*Parameters!$B$11/60/AI201,0)</f>
        <v/>
      </c>
      <c r="AV201" s="32">
        <f>IFERROR(Upgrades!$H$9*(POWER(Upgrades!$P$6,E201)*POWER(Upgrades!$P$7,F201)*POWER(Upgrades!$P$8,G201)*POWER(Upgrades!$P$9,H201)*POWER(Upgrades!$P$10,I201)*POWER(Upgrades!$P$11,J201)*POWER(Upgrades!$P$12,K201))*(IF(Upgrades!$T$6="Magnetosphere",POWER(Upgrades!$U$6,E201),1)*IF(Upgrades!$T$7="Magnetosphere",POWER(Upgrades!$U$7,F201),1)*IF(Upgrades!$T$8="Magnetosphere",POWER(Upgrades!$U$8,G201),1)*IF(Upgrades!$T$10="Magnetosphere",POWER(Upgrades!$U$10,I201),1)*IF(Upgrades!$T$11="Magnetosphere",POWER(Upgrades!$U$11,J201),1)*IF(Upgrades!$T$12="Magnetosphere",POWER(Upgrades!$U$12,K201),1))/AJ201,0)</f>
        <v/>
      </c>
      <c r="AW201" s="32">
        <f>MAX(IF(I201&gt;0,0,IFERROR(0.25*N201/Upgrades!$C$10,0)),IF(J201&gt;0,0,IFERROR(0.5*((IF(G201=0,0,(Upgrades!$J$8+G201*Upgrades!$K$8)*POWER(Upgrades!$L$8,G201)))*(IF(Upgrades!$T$6="Stellar Coupling",POWER(Upgrades!$U$6,E201),1)*IF(Upgrades!$T$7="Stellar Coupling",POWER(Upgrades!$U$7,F201),1)*IF(Upgrades!$T$9="Stellar Coupling",POWER(Upgrades!$U$9,H201),1)*IF(Upgrades!$T$10="Stellar Coupling",POWER(Upgrades!$U$10,I201),1)*IF(Upgrades!$T$11="Stellar Coupling",POWER(Upgrades!$U$11,J201),1)*IF(Upgrades!$T$12="Stellar Coupling",POWER(Upgrades!$U$12,K201),1))*(POWER(Upgrades!$Q$6,E201)*POWER(Upgrades!$Q$7,F201)*POWER(Upgrades!$Q$8,G201)*POWER(Upgrades!$Q$9,H201)*POWER(Upgrades!$Q$10,I201)*POWER(Upgrades!$Q$11,J201)*POWER(Upgrades!$Q$12,K201))*Parameters!$B$10*Parameters!$B$11/60)/Upgrades!$C$11,0)),IF(K201&gt;0,0,IFERROR((1.0*(POWER(Upgrades!$P$6,E201)*POWER(Upgrades!$P$7,F201)*POWER(Upgrades!$P$8,G201)*POWER(Upgrades!$P$9,H201)*POWER(Upgrades!$P$10,I201)*POWER(Upgrades!$P$11,J201)*POWER(Upgrades!$P$12,K201))+0.20*M201*Parameters!$B$10*Parameters!$B$11/60)/Upgrades!$C$12,0)),IF(AND(ISNUMBER(AG201),AG201&gt;T201),AS201,0),IF(AND(ISNUMBER(AH201),AH201&gt;T201),AT201,0),IF(AND(ISNUMBER(AI201),AI201&gt;T201),AU201,0),IF(AND(ISNUMBER(AJ201),AJ201&gt;T201),AV201,0))</f>
        <v/>
      </c>
      <c r="AX201" s="29">
        <f>IF(AN201=1,"transition",IF(MIN(IF(AND(I201=0,ISNUMBER(AK201),AK201&lt;=T201),AK201,9E15),IF(AND(J201=0,ISNUMBER(AL201),AL201&lt;=T201),AL201,9E15),IF(AND(K201=0,ISNUMBER(AM201),AM201&lt;=T201),AM201,9E15))&lt;9E15,IF(AND(AND(I201=0,ISNUMBER(AK201),AK201&lt;=T201),AK201=MIN(IF(AND(I201=0,ISNUMBER(AK201),AK201&lt;=T201),AK201,9E15),IF(AND(J201=0,ISNUMBER(AL201),AL201&lt;=T201),AL201,9E15),IF(AND(K201=0,ISNUMBER(AM201),AM201&lt;=T201),AM201,9E15))),"OR",IF(AND(AND(J201=0,ISNUMBER(AL201),AL201&lt;=T201),AL201=MIN(IF(AND(I201=0,ISNUMBER(AK201),AK201&lt;=T201),AK201,9E15),IF(AND(J201=0,ISNUMBER(AL201),AL201&lt;=T201),AL201,9E15),IF(AND(K201=0,ISNUMBER(AM201),AM201&lt;=T201),AM201,9E15))),"HP","FP")),IF(AR201=TRUE,"",IF(MAX(IF(AND(NOT(AND(AO201=1,AN201&lt;&gt;1)),ISNUMBER(AG201),AG201&lt;=T201),AS201,0),IF(AND(NOT(AND(AO201=1,AN201&lt;&gt;1)),ISNUMBER(AH201),AH201&lt;=T201),AT201,0),IF(AND(NOT(AND(AO201=1,AN201&lt;&gt;1)),ISNUMBER(AI201),AI201&lt;=T201),AU201,0),IF(AND(ISNUMBER(AJ201),AJ201&lt;=T201),AV201,0))&lt;=0,"",IF(AND(IF(AND(NOT(AND(AO201=1,AN201&lt;&gt;1)),ISNUMBER(AG201),AG201&lt;=T201),AS201,0)&gt;0,IF(AND(NOT(AND(AO201=1,AN201&lt;&gt;1)),ISNUMBER(AG201),AG201&lt;=T201),AS201,0)=MAX(IF(AND(NOT(AND(AO201=1,AN201&lt;&gt;1)),ISNUMBER(AG201),AG201&lt;=T201),AS201,0),IF(AND(NOT(AND(AO201=1,AN201&lt;&gt;1)),ISNUMBER(AH201),AH201&lt;=T201),AT201,0),IF(AND(NOT(AND(AO201=1,AN201&lt;&gt;1)),ISNUMBER(AI201),AI201&lt;=T201),AU201,0),IF(AND(ISNUMBER(AJ201),AJ201&lt;=T201),AV201,0))),"SW",IF(AND(IF(AND(NOT(AND(AO201=1,AN201&lt;&gt;1)),ISNUMBER(AH201),AH201&lt;=T201),AT201,0)&gt;0,IF(AND(NOT(AND(AO201=1,AN201&lt;&gt;1)),ISNUMBER(AH201),AH201&lt;=T201),AT201,0)=MAX(IF(AND(NOT(AND(AO201=1,AN201&lt;&gt;1)),ISNUMBER(AG201),AG201&lt;=T201),AS201,0),IF(AND(NOT(AND(AO201=1,AN201&lt;&gt;1)),ISNUMBER(AH201),AH201&lt;=T201),AT201,0),IF(AND(NOT(AND(AO201=1,AN201&lt;&gt;1)),ISNUMBER(AI201),AI201&lt;=T201),AU201,0),IF(AND(ISNUMBER(AJ201),AJ201&lt;=T201),AV201,0))),"AB",IF(AND(IF(AND(NOT(AND(AO201=1,AN201&lt;&gt;1)),ISNUMBER(AI201),AI201&lt;=T201),AU201,0)&gt;0,IF(AND(NOT(AND(AO201=1,AN201&lt;&gt;1)),ISNUMBER(AI201),AI201&lt;=T201),AU201,0)=MAX(IF(AND(NOT(AND(AO201=1,AN201&lt;&gt;1)),ISNUMBER(AG201),AG201&lt;=T201),AS201,0),IF(AND(NOT(AND(AO201=1,AN201&lt;&gt;1)),ISNUMBER(AH201),AH201&lt;=T201),AT201,0),IF(AND(NOT(AND(AO201=1,AN201&lt;&gt;1)),ISNUMBER(AI201),AI201&lt;=T201),AU201,0),IF(AND(ISNUMBER(AJ201),AJ201&lt;=T201),AV201,0))),"SC","Mag")))))))</f>
        <v/>
      </c>
    </row>
    <row r="202">
      <c r="A202" s="26" t="n">
        <v>197</v>
      </c>
      <c r="B202" s="27">
        <f>A202*10/60</f>
        <v/>
      </c>
      <c r="C202" s="22">
        <f>X201</f>
        <v/>
      </c>
      <c r="D202" s="27">
        <f>D201+W201</f>
        <v/>
      </c>
      <c r="E202" s="26">
        <f>E201+IF(U201="SW",1,0)</f>
        <v/>
      </c>
      <c r="F202" s="26">
        <f>F201+IF(U201="AB",1,0)</f>
        <v/>
      </c>
      <c r="G202" s="26">
        <f>G201+IF(U201="SC",1,0)</f>
        <v/>
      </c>
      <c r="H202" s="26">
        <f>H201+IF(U201="Mag",1,0)</f>
        <v/>
      </c>
      <c r="I202" s="26">
        <f>MAX(I201,IF(U201="OR",1,0))</f>
        <v/>
      </c>
      <c r="J202" s="26">
        <f>MAX(J201,IF(U201="HP",1,0))</f>
        <v/>
      </c>
      <c r="K202" s="26">
        <f>MAX(K201,IF(U201="FP",1,0))</f>
        <v/>
      </c>
      <c r="L202" s="26">
        <f>MAX(L201,IF(U201="transition",1,0))</f>
        <v/>
      </c>
      <c r="M202" s="28">
        <f>(Parameters!$B$9+(IF(E202=0,0,(Upgrades!$J$6+E202*Upgrades!$K$6)*POWER(Upgrades!$L$6,E202)))*(IF(Upgrades!$T$7="Solar Wind",POWER(Upgrades!$U$7,F202),1)*IF(Upgrades!$T$8="Solar Wind",POWER(Upgrades!$U$8,G202),1)*IF(Upgrades!$T$9="Solar Wind",POWER(Upgrades!$U$9,H202),1)*IF(Upgrades!$T$10="Solar Wind",POWER(Upgrades!$U$10,I202),1)*IF(Upgrades!$T$11="Solar Wind",POWER(Upgrades!$U$11,J202),1)*IF(Upgrades!$T$12="Solar Wind",POWER(Upgrades!$U$12,K202),1))+(IF(F202=0,0,(Upgrades!$J$7+F202*Upgrades!$K$7)*POWER(Upgrades!$L$7,F202)))*(IF(Upgrades!$T$6="Asteroid Belt",POWER(Upgrades!$U$6,E202),1)*IF(Upgrades!$T$8="Asteroid Belt",POWER(Upgrades!$U$8,G202),1)*IF(Upgrades!$T$9="Asteroid Belt",POWER(Upgrades!$U$9,H202),1)*IF(Upgrades!$T$10="Asteroid Belt",POWER(Upgrades!$U$10,I202),1)*IF(Upgrades!$T$11="Asteroid Belt",POWER(Upgrades!$U$11,J202),1)*IF(Upgrades!$T$12="Asteroid Belt",POWER(Upgrades!$U$12,K202),1))+(IF(G202=0,0,(Upgrades!$J$8+G202*Upgrades!$K$8)*POWER(Upgrades!$L$8,G202)))*(IF(Upgrades!$T$6="Stellar Coupling",POWER(Upgrades!$U$6,E202),1)*IF(Upgrades!$T$7="Stellar Coupling",POWER(Upgrades!$U$7,F202),1)*IF(Upgrades!$T$9="Stellar Coupling",POWER(Upgrades!$U$9,H202),1)*IF(Upgrades!$T$10="Stellar Coupling",POWER(Upgrades!$U$10,I202),1)*IF(Upgrades!$T$11="Stellar Coupling",POWER(Upgrades!$U$11,J202),1)*IF(Upgrades!$T$12="Stellar Coupling",POWER(Upgrades!$U$12,K202),1))+(IF(H202=0,0,(Upgrades!$J$9+H202*Upgrades!$K$9)*POWER(Upgrades!$L$9,H202)))*(IF(Upgrades!$T$6="Magnetosphere",POWER(Upgrades!$U$6,E202),1)*IF(Upgrades!$T$7="Magnetosphere",POWER(Upgrades!$U$7,F202),1)*IF(Upgrades!$T$8="Magnetosphere",POWER(Upgrades!$U$8,G202),1)*IF(Upgrades!$T$10="Magnetosphere",POWER(Upgrades!$U$10,I202),1)*IF(Upgrades!$T$11="Magnetosphere",POWER(Upgrades!$U$11,J202),1)*IF(Upgrades!$T$12="Magnetosphere",POWER(Upgrades!$U$12,K202),1))+(IF(I202=0,0,(Upgrades!$J$10+I202*Upgrades!$K$10)*POWER(Upgrades!$L$10,I202)))*(IF(Upgrades!$T$6="Orbital Resonance",POWER(Upgrades!$U$6,E202),1)*IF(Upgrades!$T$7="Orbital Resonance",POWER(Upgrades!$U$7,F202),1)*IF(Upgrades!$T$8="Orbital Resonance",POWER(Upgrades!$U$8,G202),1)*IF(Upgrades!$T$9="Orbital Resonance",POWER(Upgrades!$U$9,H202),1)*IF(Upgrades!$T$11="Orbital Resonance",POWER(Upgrades!$U$11,J202),1)*IF(Upgrades!$T$12="Orbital Resonance",POWER(Upgrades!$U$12,K202),1))+(IF(J202=0,0,(Upgrades!$J$11+J202*Upgrades!$K$11)*POWER(Upgrades!$L$11,J202)))*(IF(Upgrades!$T$6="Heliopause",POWER(Upgrades!$U$6,E202),1)*IF(Upgrades!$T$7="Heliopause",POWER(Upgrades!$U$7,F202),1)*IF(Upgrades!$T$8="Heliopause",POWER(Upgrades!$U$8,G202),1)*IF(Upgrades!$T$9="Heliopause",POWER(Upgrades!$U$9,H202),1)*IF(Upgrades!$T$10="Heliopause",POWER(Upgrades!$U$10,I202),1)*IF(Upgrades!$T$12="Heliopause",POWER(Upgrades!$U$12,K202),1))+(IF(K202=0,0,(Upgrades!$J$12+K202*Upgrades!$K$12)*POWER(Upgrades!$L$12,K202)))*(IF(Upgrades!$T$6="First Photons",POWER(Upgrades!$U$6,E202),1)*IF(Upgrades!$T$7="First Photons",POWER(Upgrades!$U$7,F202),1)*IF(Upgrades!$T$8="First Photons",POWER(Upgrades!$U$8,G202),1)*IF(Upgrades!$T$9="First Photons",POWER(Upgrades!$U$9,H202),1)*IF(Upgrades!$T$10="First Photons",POWER(Upgrades!$U$10,I202),1)*IF(Upgrades!$T$11="First Photons",POWER(Upgrades!$U$11,J202),1)))*POWER(Upgrades!$Q$6,E202)*POWER(Upgrades!$Q$7,F202)*POWER(Upgrades!$Q$8,G202)*POWER(Upgrades!$Q$9,H202)*POWER(Upgrades!$Q$10,I202)*POWER(Upgrades!$Q$11,J202)*POWER(Upgrades!$Q$12,K202)</f>
        <v/>
      </c>
      <c r="N202" s="28">
        <f>((IF(E202=0,0,(Upgrades!$G$6+E202*Upgrades!$H$6)*POWER(Upgrades!$I$6,E202)))*(IF(Upgrades!$T$7="Solar Wind",POWER(Upgrades!$U$7,F202),1)*IF(Upgrades!$T$8="Solar Wind",POWER(Upgrades!$U$8,G202),1)*IF(Upgrades!$T$9="Solar Wind",POWER(Upgrades!$U$9,H202),1)*IF(Upgrades!$T$10="Solar Wind",POWER(Upgrades!$U$10,I202),1)*IF(Upgrades!$T$11="Solar Wind",POWER(Upgrades!$U$11,J202),1)*IF(Upgrades!$T$12="Solar Wind",POWER(Upgrades!$U$12,K202),1))+(IF(F202=0,0,(Upgrades!$G$7+F202*Upgrades!$H$7)*POWER(Upgrades!$I$7,F202)))*(IF(Upgrades!$T$6="Asteroid Belt",POWER(Upgrades!$U$6,E202),1)*IF(Upgrades!$T$8="Asteroid Belt",POWER(Upgrades!$U$8,G202),1)*IF(Upgrades!$T$9="Asteroid Belt",POWER(Upgrades!$U$9,H202),1)*IF(Upgrades!$T$10="Asteroid Belt",POWER(Upgrades!$U$10,I202),1)*IF(Upgrades!$T$11="Asteroid Belt",POWER(Upgrades!$U$11,J202),1)*IF(Upgrades!$T$12="Asteroid Belt",POWER(Upgrades!$U$12,K202),1))+(IF(G202=0,0,(Upgrades!$G$8+G202*Upgrades!$H$8)*POWER(Upgrades!$I$8,G202)))*(IF(Upgrades!$T$6="Stellar Coupling",POWER(Upgrades!$U$6,E202),1)*IF(Upgrades!$T$7="Stellar Coupling",POWER(Upgrades!$U$7,F202),1)*IF(Upgrades!$T$9="Stellar Coupling",POWER(Upgrades!$U$9,H202),1)*IF(Upgrades!$T$10="Stellar Coupling",POWER(Upgrades!$U$10,I202),1)*IF(Upgrades!$T$11="Stellar Coupling",POWER(Upgrades!$U$11,J202),1)*IF(Upgrades!$T$12="Stellar Coupling",POWER(Upgrades!$U$12,K202),1))+(IF(H202=0,0,(Upgrades!$G$9+H202*Upgrades!$H$9)*POWER(Upgrades!$I$9,H202)))*(IF(Upgrades!$T$6="Magnetosphere",POWER(Upgrades!$U$6,E202),1)*IF(Upgrades!$T$7="Magnetosphere",POWER(Upgrades!$U$7,F202),1)*IF(Upgrades!$T$8="Magnetosphere",POWER(Upgrades!$U$8,G202),1)*IF(Upgrades!$T$10="Magnetosphere",POWER(Upgrades!$U$10,I202),1)*IF(Upgrades!$T$11="Magnetosphere",POWER(Upgrades!$U$11,J202),1)*IF(Upgrades!$T$12="Magnetosphere",POWER(Upgrades!$U$12,K202),1))+(IF(I202=0,0,(Upgrades!$G$10+I202*Upgrades!$H$10)*POWER(Upgrades!$I$10,I202)))*(IF(Upgrades!$T$6="Orbital Resonance",POWER(Upgrades!$U$6,E202),1)*IF(Upgrades!$T$7="Orbital Resonance",POWER(Upgrades!$U$7,F202),1)*IF(Upgrades!$T$8="Orbital Resonance",POWER(Upgrades!$U$8,G202),1)*IF(Upgrades!$T$9="Orbital Resonance",POWER(Upgrades!$U$9,H202),1)*IF(Upgrades!$T$11="Orbital Resonance",POWER(Upgrades!$U$11,J202),1)*IF(Upgrades!$T$12="Orbital Resonance",POWER(Upgrades!$U$12,K202),1))+(IF(J202=0,0,(Upgrades!$G$11+J202*Upgrades!$H$11)*POWER(Upgrades!$I$11,J202)))*(IF(Upgrades!$T$6="Heliopause",POWER(Upgrades!$U$6,E202),1)*IF(Upgrades!$T$7="Heliopause",POWER(Upgrades!$U$7,F202),1)*IF(Upgrades!$T$8="Heliopause",POWER(Upgrades!$U$8,G202),1)*IF(Upgrades!$T$9="Heliopause",POWER(Upgrades!$U$9,H202),1)*IF(Upgrades!$T$10="Heliopause",POWER(Upgrades!$U$10,I202),1)*IF(Upgrades!$T$12="Heliopause",POWER(Upgrades!$U$12,K202),1))+(IF(K202=0,0,(Upgrades!$G$12+K202*Upgrades!$H$12)*POWER(Upgrades!$I$12,K202)))*(IF(Upgrades!$T$6="First Photons",POWER(Upgrades!$U$6,E202),1)*IF(Upgrades!$T$7="First Photons",POWER(Upgrades!$U$7,F202),1)*IF(Upgrades!$T$8="First Photons",POWER(Upgrades!$U$8,G202),1)*IF(Upgrades!$T$9="First Photons",POWER(Upgrades!$U$9,H202),1)*IF(Upgrades!$T$10="First Photons",POWER(Upgrades!$U$10,I202),1)*IF(Upgrades!$T$11="First Photons",POWER(Upgrades!$U$11,J202),1)))*POWER(Upgrades!$P$6,E202)*POWER(Upgrades!$P$7,F202)*POWER(Upgrades!$P$8,G202)*POWER(Upgrades!$P$9,H202)*POWER(Upgrades!$P$10,I202)*POWER(Upgrades!$P$11,J202)*POWER(Upgrades!$P$12,K202)</f>
        <v/>
      </c>
      <c r="O202" s="28">
        <f>((IF(E202=0,0,(Upgrades!$M$6+E202*Upgrades!$N$6)*POWER(Upgrades!$O$6,E202)))*(IF(Upgrades!$T$7="Solar Wind",POWER(Upgrades!$U$7,F202),1)*IF(Upgrades!$T$8="Solar Wind",POWER(Upgrades!$U$8,G202),1)*IF(Upgrades!$T$9="Solar Wind",POWER(Upgrades!$U$9,H202),1)*IF(Upgrades!$T$10="Solar Wind",POWER(Upgrades!$U$10,I202),1)*IF(Upgrades!$T$11="Solar Wind",POWER(Upgrades!$U$11,J202),1)*IF(Upgrades!$T$12="Solar Wind",POWER(Upgrades!$U$12,K202),1))+(IF(F202=0,0,(Upgrades!$M$7+F202*Upgrades!$N$7)*POWER(Upgrades!$O$7,F202)))*(IF(Upgrades!$T$6="Asteroid Belt",POWER(Upgrades!$U$6,E202),1)*IF(Upgrades!$T$8="Asteroid Belt",POWER(Upgrades!$U$8,G202),1)*IF(Upgrades!$T$9="Asteroid Belt",POWER(Upgrades!$U$9,H202),1)*IF(Upgrades!$T$10="Asteroid Belt",POWER(Upgrades!$U$10,I202),1)*IF(Upgrades!$T$11="Asteroid Belt",POWER(Upgrades!$U$11,J202),1)*IF(Upgrades!$T$12="Asteroid Belt",POWER(Upgrades!$U$12,K202),1))+(IF(G202=0,0,(Upgrades!$M$8+G202*Upgrades!$N$8)*POWER(Upgrades!$O$8,G202)))*(IF(Upgrades!$T$6="Stellar Coupling",POWER(Upgrades!$U$6,E202),1)*IF(Upgrades!$T$7="Stellar Coupling",POWER(Upgrades!$U$7,F202),1)*IF(Upgrades!$T$9="Stellar Coupling",POWER(Upgrades!$U$9,H202),1)*IF(Upgrades!$T$10="Stellar Coupling",POWER(Upgrades!$U$10,I202),1)*IF(Upgrades!$T$11="Stellar Coupling",POWER(Upgrades!$U$11,J202),1)*IF(Upgrades!$T$12="Stellar Coupling",POWER(Upgrades!$U$12,K202),1))+(IF(H202=0,0,(Upgrades!$M$9+H202*Upgrades!$N$9)*POWER(Upgrades!$O$9,H202)))*(IF(Upgrades!$T$6="Magnetosphere",POWER(Upgrades!$U$6,E202),1)*IF(Upgrades!$T$7="Magnetosphere",POWER(Upgrades!$U$7,F202),1)*IF(Upgrades!$T$8="Magnetosphere",POWER(Upgrades!$U$8,G202),1)*IF(Upgrades!$T$10="Magnetosphere",POWER(Upgrades!$U$10,I202),1)*IF(Upgrades!$T$11="Magnetosphere",POWER(Upgrades!$U$11,J202),1)*IF(Upgrades!$T$12="Magnetosphere",POWER(Upgrades!$U$12,K202),1))+(IF(I202=0,0,(Upgrades!$M$10+I202*Upgrades!$N$10)*POWER(Upgrades!$O$10,I202)))*(IF(Upgrades!$T$6="Orbital Resonance",POWER(Upgrades!$U$6,E202),1)*IF(Upgrades!$T$7="Orbital Resonance",POWER(Upgrades!$U$7,F202),1)*IF(Upgrades!$T$8="Orbital Resonance",POWER(Upgrades!$U$8,G202),1)*IF(Upgrades!$T$9="Orbital Resonance",POWER(Upgrades!$U$9,H202),1)*IF(Upgrades!$T$11="Orbital Resonance",POWER(Upgrades!$U$11,J202),1)*IF(Upgrades!$T$12="Orbital Resonance",POWER(Upgrades!$U$12,K202),1))+(IF(J202=0,0,(Upgrades!$M$11+J202*Upgrades!$N$11)*POWER(Upgrades!$O$11,J202)))*(IF(Upgrades!$T$6="Heliopause",POWER(Upgrades!$U$6,E202),1)*IF(Upgrades!$T$7="Heliopause",POWER(Upgrades!$U$7,F202),1)*IF(Upgrades!$T$8="Heliopause",POWER(Upgrades!$U$8,G202),1)*IF(Upgrades!$T$9="Heliopause",POWER(Upgrades!$U$9,H202),1)*IF(Upgrades!$T$10="Heliopause",POWER(Upgrades!$U$10,I202),1)*IF(Upgrades!$T$12="Heliopause",POWER(Upgrades!$U$12,K202),1))+(IF(K202=0,0,(Upgrades!$M$12+K202*Upgrades!$N$12)*POWER(Upgrades!$O$12,K202)))*(IF(Upgrades!$T$6="First Photons",POWER(Upgrades!$U$6,E202),1)*IF(Upgrades!$T$7="First Photons",POWER(Upgrades!$U$7,F202),1)*IF(Upgrades!$T$8="First Photons",POWER(Upgrades!$U$8,G202),1)*IF(Upgrades!$T$9="First Photons",POWER(Upgrades!$U$9,H202),1)*IF(Upgrades!$T$10="First Photons",POWER(Upgrades!$U$10,I202),1)*IF(Upgrades!$T$11="First Photons",POWER(Upgrades!$U$11,J202),1)))*POWER(Upgrades!$R$6,E202)*POWER(Upgrades!$R$7,F202)*POWER(Upgrades!$R$8,G202)*POWER(Upgrades!$R$9,H202)*POWER(Upgrades!$R$10,I202)*POWER(Upgrades!$R$11,J202)*POWER(Upgrades!$R$12,K202)</f>
        <v/>
      </c>
      <c r="P202" s="27">
        <f>IF(L202=1,0,M202*Parameters!$B$10/60*Parameters!$B$11*10)</f>
        <v/>
      </c>
      <c r="Q202" s="27">
        <f>IF(L202=1,0,O202*M202*10)</f>
        <v/>
      </c>
      <c r="R202" s="27">
        <f>IF(L202=1,0,N202*10)</f>
        <v/>
      </c>
      <c r="S202" s="27">
        <f>P202+Q202+R202</f>
        <v/>
      </c>
      <c r="T202" s="22">
        <f>C202+S202</f>
        <v/>
      </c>
      <c r="U202" s="33">
        <f>AX202</f>
        <v/>
      </c>
      <c r="V202" s="22">
        <f>IF(U202="",0,IF(U202="transition",0,IF(U202="SW",AG202,IF(U202="AB",AH202,IF(U202="SC",AI202,IF(U202="Mag",AJ202,IF(U202="OR",AK202,IF(U202="HP",AL202,IF(U202="FP",AM202,0)))))))))</f>
        <v/>
      </c>
      <c r="W202" s="27">
        <f>IF(U202="OR",Upgrades!$F$10,IF(U202="HP",Upgrades!$F$11,IF(U202="transition",-Parameters!$B$18,0)))</f>
        <v/>
      </c>
      <c r="X202" s="22">
        <f>T202-V202</f>
        <v/>
      </c>
      <c r="Y202" s="30">
        <f>M202*Parameters!$B$10/60*Parameters!$B$11+O202*M202+N202</f>
        <v/>
      </c>
      <c r="Z202" s="34">
        <f>IF(U202="transition","→ Tier 2 (Stellar Neighborhood)",IF(U202="FP","First Photons — light begins, system quickens",IF(U202="HP","Heliopause acquired",IF(U202="OR","Orbital Resonance — passive multiplier active",IF(AND(AO202=1,L202=0,AN202&lt;&gt;1),"Cohesion ready (waiting on completionist upgrades)","")))))</f>
        <v/>
      </c>
      <c r="AA202" s="27">
        <f>(IF(E202=0,0,(Upgrades!$G$6+E202*Upgrades!$H$6)*POWER(Upgrades!$I$6,E202)))*(IF(Upgrades!$T$7="Solar Wind",POWER(Upgrades!$U$7,F202),1)*IF(Upgrades!$T$8="Solar Wind",POWER(Upgrades!$U$8,G202),1)*IF(Upgrades!$T$9="Solar Wind",POWER(Upgrades!$U$9,H202),1)*IF(Upgrades!$T$10="Solar Wind",POWER(Upgrades!$U$10,I202),1)*IF(Upgrades!$T$11="Solar Wind",POWER(Upgrades!$U$11,J202),1)*IF(Upgrades!$T$12="Solar Wind",POWER(Upgrades!$U$12,K202),1))*POWER(Upgrades!$P$6,E202)*POWER(Upgrades!$P$7,F202)*POWER(Upgrades!$P$8,G202)*POWER(Upgrades!$P$9,H202)*POWER(Upgrades!$P$10,I202)*POWER(Upgrades!$P$11,J202)*POWER(Upgrades!$P$12,K202)*60</f>
        <v/>
      </c>
      <c r="AB202" s="27">
        <f>(IF(F202=0,0,(Upgrades!$G$7+F202*Upgrades!$H$7)*POWER(Upgrades!$I$7,F202)))*(IF(Upgrades!$T$6="Asteroid Belt",POWER(Upgrades!$U$6,E202),1)*IF(Upgrades!$T$8="Asteroid Belt",POWER(Upgrades!$U$8,G202),1)*IF(Upgrades!$T$9="Asteroid Belt",POWER(Upgrades!$U$9,H202),1)*IF(Upgrades!$T$10="Asteroid Belt",POWER(Upgrades!$U$10,I202),1)*IF(Upgrades!$T$11="Asteroid Belt",POWER(Upgrades!$U$11,J202),1)*IF(Upgrades!$T$12="Asteroid Belt",POWER(Upgrades!$U$12,K202),1))*POWER(Upgrades!$P$6,E202)*POWER(Upgrades!$P$7,F202)*POWER(Upgrades!$P$8,G202)*POWER(Upgrades!$P$9,H202)*POWER(Upgrades!$P$10,I202)*POWER(Upgrades!$P$11,J202)*POWER(Upgrades!$P$12,K202)*60</f>
        <v/>
      </c>
      <c r="AC202" s="27">
        <f>(IF(G202=0,0,(Upgrades!$J$8+G202*Upgrades!$K$8)*POWER(Upgrades!$L$8,G202)))*(IF(Upgrades!$T$6="Stellar Coupling",POWER(Upgrades!$U$6,E202),1)*IF(Upgrades!$T$7="Stellar Coupling",POWER(Upgrades!$U$7,F202),1)*IF(Upgrades!$T$9="Stellar Coupling",POWER(Upgrades!$U$9,H202),1)*IF(Upgrades!$T$10="Stellar Coupling",POWER(Upgrades!$U$10,I202),1)*IF(Upgrades!$T$11="Stellar Coupling",POWER(Upgrades!$U$11,J202),1)*IF(Upgrades!$T$12="Stellar Coupling",POWER(Upgrades!$U$12,K202),1))*POWER(Upgrades!$Q$6,E202)*POWER(Upgrades!$Q$7,F202)*POWER(Upgrades!$Q$8,G202)*POWER(Upgrades!$Q$9,H202)*POWER(Upgrades!$Q$10,I202)*POWER(Upgrades!$Q$11,J202)*POWER(Upgrades!$Q$12,K202)*Parameters!$B$10*Parameters!$B$11</f>
        <v/>
      </c>
      <c r="AD202" s="27">
        <f>(IF(H202=0,0,(Upgrades!$G$9+H202*Upgrades!$H$9)*POWER(Upgrades!$I$9,H202)))*(IF(Upgrades!$T$6="Magnetosphere",POWER(Upgrades!$U$6,E202),1)*IF(Upgrades!$T$7="Magnetosphere",POWER(Upgrades!$U$7,F202),1)*IF(Upgrades!$T$8="Magnetosphere",POWER(Upgrades!$U$8,G202),1)*IF(Upgrades!$T$10="Magnetosphere",POWER(Upgrades!$U$10,I202),1)*IF(Upgrades!$T$11="Magnetosphere",POWER(Upgrades!$U$11,J202),1)*IF(Upgrades!$T$12="Magnetosphere",POWER(Upgrades!$U$12,K202),1))*POWER(Upgrades!$P$6,E202)*POWER(Upgrades!$P$7,F202)*POWER(Upgrades!$P$8,G202)*POWER(Upgrades!$P$9,H202)*POWER(Upgrades!$P$10,I202)*POWER(Upgrades!$P$11,J202)*POWER(Upgrades!$P$12,K202)*60</f>
        <v/>
      </c>
      <c r="AE202" s="27">
        <f>(IF(K202=0,0,(Upgrades!$G$12+K202*Upgrades!$H$12)*POWER(Upgrades!$I$12,K202)))*(IF(Upgrades!$T$6="First Photons",POWER(Upgrades!$U$6,E202),1)*IF(Upgrades!$T$7="First Photons",POWER(Upgrades!$U$7,F202),1)*IF(Upgrades!$T$8="First Photons",POWER(Upgrades!$U$8,G202),1)*IF(Upgrades!$T$9="First Photons",POWER(Upgrades!$U$9,H202),1)*IF(Upgrades!$T$10="First Photons",POWER(Upgrades!$U$10,I202),1)*IF(Upgrades!$T$11="First Photons",POWER(Upgrades!$U$11,J202),1))*POWER(Upgrades!$P$6,E202)*POWER(Upgrades!$P$7,F202)*POWER(Upgrades!$P$8,G202)*POWER(Upgrades!$P$9,H202)*POWER(Upgrades!$P$10,I202)*POWER(Upgrades!$P$11,J202)*POWER(Upgrades!$P$12,K202)*60</f>
        <v/>
      </c>
      <c r="AF202" s="27">
        <f>Parameters!$B$9*POWER(Upgrades!$Q$6,E202)*POWER(Upgrades!$Q$7,F202)*POWER(Upgrades!$Q$8,G202)*POWER(Upgrades!$Q$9,H202)*POWER(Upgrades!$Q$10,I202)*POWER(Upgrades!$Q$11,J202)*POWER(Upgrades!$Q$12,K202)*(Parameters!$B$10*Parameters!$B$11+O202*60)</f>
        <v/>
      </c>
      <c r="AG202" s="22">
        <f>IF(E202&gt;=Upgrades!$E$6,"",Upgrades!$C$6*POWER(Upgrades!$D$6,E202))</f>
        <v/>
      </c>
      <c r="AH202" s="22">
        <f>IF(F202&gt;=Upgrades!$E$7,"",Upgrades!$C$7*POWER(Upgrades!$D$7,F202))</f>
        <v/>
      </c>
      <c r="AI202" s="22">
        <f>IF(G202&gt;=Upgrades!$E$8,"",Upgrades!$C$8*POWER(Upgrades!$D$8,G202))</f>
        <v/>
      </c>
      <c r="AJ202" s="22">
        <f>IF(H202&gt;=Upgrades!$E$9,"",Upgrades!$C$9*POWER(Upgrades!$D$9,H202))</f>
        <v/>
      </c>
      <c r="AK202" s="22">
        <f>IF(I202&gt;=Upgrades!$E$10,"",Upgrades!$C$10*POWER(Upgrades!$D$10,I202))</f>
        <v/>
      </c>
      <c r="AL202" s="22">
        <f>IF(J202&gt;=Upgrades!$E$11,"",Upgrades!$C$11*POWER(Upgrades!$D$11,J202))</f>
        <v/>
      </c>
      <c r="AM202" s="22">
        <f>IF(K202&gt;=Upgrades!$E$12,"",Upgrades!$C$12*POWER(Upgrades!$D$12,K202))</f>
        <v/>
      </c>
      <c r="AN202" s="26">
        <f>IF(AND(D202&gt;=Parameters!$B$18,(H202&gt;=Upgrades!$E$9)*(K202&gt;=Upgrades!$E$12)=1,L202=0),1,"")</f>
        <v/>
      </c>
      <c r="AO202" s="26">
        <f>IF(AND(D202&gt;=Parameters!$B$18,L202=0),1,"")</f>
        <v/>
      </c>
      <c r="AP202" s="22">
        <f>MIN(IF(ISNUMBER(AK202),AK202,9E15),IF(ISNUMBER(AL202),AL202,9E15),IF(ISNUMBER(AM202),AM202,9E15))</f>
        <v/>
      </c>
      <c r="AQ202" s="22">
        <f>MIN(IF(ISNUMBER(AG202),AG202,9E15),IF(ISNUMBER(AH202),AH202,9E15),IF(ISNUMBER(AI202),AI202,9E15),IF(ISNUMBER(AJ202),AJ202,9E15))</f>
        <v/>
      </c>
      <c r="AR202" s="29">
        <f>IF(AW202&gt;Parameters!$B$21*(MAX(IF(AND(NOT(AND(AO202=1,AN202&lt;&gt;1)),ISNUMBER(AG202),AG202&lt;=T202),AS202,0),IF(AND(NOT(AND(AO202=1,AN202&lt;&gt;1)),ISNUMBER(AH202),AH202&lt;=T202),AT202,0),IF(AND(NOT(AND(AO202=1,AN202&lt;&gt;1)),ISNUMBER(AI202),AI202&lt;=T202),AU202,0),IF(AND(ISNUMBER(AJ202),AJ202&lt;=T202),AV202,0))),TRUE,FALSE)</f>
        <v/>
      </c>
      <c r="AS202" s="32">
        <f>IFERROR(Upgrades!$H$6*(POWER(Upgrades!$P$6,E202)*POWER(Upgrades!$P$7,F202)*POWER(Upgrades!$P$8,G202)*POWER(Upgrades!$P$9,H202)*POWER(Upgrades!$P$10,I202)*POWER(Upgrades!$P$11,J202)*POWER(Upgrades!$P$12,K202))*(IF(Upgrades!$T$7="Solar Wind",POWER(Upgrades!$U$7,F202),1)*IF(Upgrades!$T$8="Solar Wind",POWER(Upgrades!$U$8,G202),1)*IF(Upgrades!$T$9="Solar Wind",POWER(Upgrades!$U$9,H202),1)*IF(Upgrades!$T$10="Solar Wind",POWER(Upgrades!$U$10,I202),1)*IF(Upgrades!$T$11="Solar Wind",POWER(Upgrades!$U$11,J202),1)*IF(Upgrades!$T$12="Solar Wind",POWER(Upgrades!$U$12,K202),1))/AG202,0)</f>
        <v/>
      </c>
      <c r="AT202" s="32">
        <f>IFERROR(Upgrades!$H$7*(POWER(Upgrades!$P$6,E202)*POWER(Upgrades!$P$7,F202)*POWER(Upgrades!$P$8,G202)*POWER(Upgrades!$P$9,H202)*POWER(Upgrades!$P$10,I202)*POWER(Upgrades!$P$11,J202)*POWER(Upgrades!$P$12,K202))*(IF(Upgrades!$T$6="Asteroid Belt",POWER(Upgrades!$U$6,E202),1)*IF(Upgrades!$T$8="Asteroid Belt",POWER(Upgrades!$U$8,G202),1)*IF(Upgrades!$T$9="Asteroid Belt",POWER(Upgrades!$U$9,H202),1)*IF(Upgrades!$T$10="Asteroid Belt",POWER(Upgrades!$U$10,I202),1)*IF(Upgrades!$T$11="Asteroid Belt",POWER(Upgrades!$U$11,J202),1)*IF(Upgrades!$T$12="Asteroid Belt",POWER(Upgrades!$U$12,K202),1))/AH202,0)</f>
        <v/>
      </c>
      <c r="AU202" s="32">
        <f>IFERROR(Upgrades!$K$8*(POWER(Upgrades!$Q$6,E202)*POWER(Upgrades!$Q$7,F202)*POWER(Upgrades!$Q$8,G202)*POWER(Upgrades!$Q$9,H202)*POWER(Upgrades!$Q$10,I202)*POWER(Upgrades!$Q$11,J202)*POWER(Upgrades!$Q$12,K202))*(IF(Upgrades!$T$6="Stellar Coupling",POWER(Upgrades!$U$6,E202),1)*IF(Upgrades!$T$7="Stellar Coupling",POWER(Upgrades!$U$7,F202),1)*IF(Upgrades!$T$9="Stellar Coupling",POWER(Upgrades!$U$9,H202),1)*IF(Upgrades!$T$10="Stellar Coupling",POWER(Upgrades!$U$10,I202),1)*IF(Upgrades!$T$11="Stellar Coupling",POWER(Upgrades!$U$11,J202),1)*IF(Upgrades!$T$12="Stellar Coupling",POWER(Upgrades!$U$12,K202),1))*Parameters!$B$10*Parameters!$B$11/60/AI202,0)</f>
        <v/>
      </c>
      <c r="AV202" s="32">
        <f>IFERROR(Upgrades!$H$9*(POWER(Upgrades!$P$6,E202)*POWER(Upgrades!$P$7,F202)*POWER(Upgrades!$P$8,G202)*POWER(Upgrades!$P$9,H202)*POWER(Upgrades!$P$10,I202)*POWER(Upgrades!$P$11,J202)*POWER(Upgrades!$P$12,K202))*(IF(Upgrades!$T$6="Magnetosphere",POWER(Upgrades!$U$6,E202),1)*IF(Upgrades!$T$7="Magnetosphere",POWER(Upgrades!$U$7,F202),1)*IF(Upgrades!$T$8="Magnetosphere",POWER(Upgrades!$U$8,G202),1)*IF(Upgrades!$T$10="Magnetosphere",POWER(Upgrades!$U$10,I202),1)*IF(Upgrades!$T$11="Magnetosphere",POWER(Upgrades!$U$11,J202),1)*IF(Upgrades!$T$12="Magnetosphere",POWER(Upgrades!$U$12,K202),1))/AJ202,0)</f>
        <v/>
      </c>
      <c r="AW202" s="32">
        <f>MAX(IF(I202&gt;0,0,IFERROR(0.25*N202/Upgrades!$C$10,0)),IF(J202&gt;0,0,IFERROR(0.5*((IF(G202=0,0,(Upgrades!$J$8+G202*Upgrades!$K$8)*POWER(Upgrades!$L$8,G202)))*(IF(Upgrades!$T$6="Stellar Coupling",POWER(Upgrades!$U$6,E202),1)*IF(Upgrades!$T$7="Stellar Coupling",POWER(Upgrades!$U$7,F202),1)*IF(Upgrades!$T$9="Stellar Coupling",POWER(Upgrades!$U$9,H202),1)*IF(Upgrades!$T$10="Stellar Coupling",POWER(Upgrades!$U$10,I202),1)*IF(Upgrades!$T$11="Stellar Coupling",POWER(Upgrades!$U$11,J202),1)*IF(Upgrades!$T$12="Stellar Coupling",POWER(Upgrades!$U$12,K202),1))*(POWER(Upgrades!$Q$6,E202)*POWER(Upgrades!$Q$7,F202)*POWER(Upgrades!$Q$8,G202)*POWER(Upgrades!$Q$9,H202)*POWER(Upgrades!$Q$10,I202)*POWER(Upgrades!$Q$11,J202)*POWER(Upgrades!$Q$12,K202))*Parameters!$B$10*Parameters!$B$11/60)/Upgrades!$C$11,0)),IF(K202&gt;0,0,IFERROR((1.0*(POWER(Upgrades!$P$6,E202)*POWER(Upgrades!$P$7,F202)*POWER(Upgrades!$P$8,G202)*POWER(Upgrades!$P$9,H202)*POWER(Upgrades!$P$10,I202)*POWER(Upgrades!$P$11,J202)*POWER(Upgrades!$P$12,K202))+0.20*M202*Parameters!$B$10*Parameters!$B$11/60)/Upgrades!$C$12,0)),IF(AND(ISNUMBER(AG202),AG202&gt;T202),AS202,0),IF(AND(ISNUMBER(AH202),AH202&gt;T202),AT202,0),IF(AND(ISNUMBER(AI202),AI202&gt;T202),AU202,0),IF(AND(ISNUMBER(AJ202),AJ202&gt;T202),AV202,0))</f>
        <v/>
      </c>
      <c r="AX202" s="29">
        <f>IF(AN202=1,"transition",IF(MIN(IF(AND(I202=0,ISNUMBER(AK202),AK202&lt;=T202),AK202,9E15),IF(AND(J202=0,ISNUMBER(AL202),AL202&lt;=T202),AL202,9E15),IF(AND(K202=0,ISNUMBER(AM202),AM202&lt;=T202),AM202,9E15))&lt;9E15,IF(AND(AND(I202=0,ISNUMBER(AK202),AK202&lt;=T202),AK202=MIN(IF(AND(I202=0,ISNUMBER(AK202),AK202&lt;=T202),AK202,9E15),IF(AND(J202=0,ISNUMBER(AL202),AL202&lt;=T202),AL202,9E15),IF(AND(K202=0,ISNUMBER(AM202),AM202&lt;=T202),AM202,9E15))),"OR",IF(AND(AND(J202=0,ISNUMBER(AL202),AL202&lt;=T202),AL202=MIN(IF(AND(I202=0,ISNUMBER(AK202),AK202&lt;=T202),AK202,9E15),IF(AND(J202=0,ISNUMBER(AL202),AL202&lt;=T202),AL202,9E15),IF(AND(K202=0,ISNUMBER(AM202),AM202&lt;=T202),AM202,9E15))),"HP","FP")),IF(AR202=TRUE,"",IF(MAX(IF(AND(NOT(AND(AO202=1,AN202&lt;&gt;1)),ISNUMBER(AG202),AG202&lt;=T202),AS202,0),IF(AND(NOT(AND(AO202=1,AN202&lt;&gt;1)),ISNUMBER(AH202),AH202&lt;=T202),AT202,0),IF(AND(NOT(AND(AO202=1,AN202&lt;&gt;1)),ISNUMBER(AI202),AI202&lt;=T202),AU202,0),IF(AND(ISNUMBER(AJ202),AJ202&lt;=T202),AV202,0))&lt;=0,"",IF(AND(IF(AND(NOT(AND(AO202=1,AN202&lt;&gt;1)),ISNUMBER(AG202),AG202&lt;=T202),AS202,0)&gt;0,IF(AND(NOT(AND(AO202=1,AN202&lt;&gt;1)),ISNUMBER(AG202),AG202&lt;=T202),AS202,0)=MAX(IF(AND(NOT(AND(AO202=1,AN202&lt;&gt;1)),ISNUMBER(AG202),AG202&lt;=T202),AS202,0),IF(AND(NOT(AND(AO202=1,AN202&lt;&gt;1)),ISNUMBER(AH202),AH202&lt;=T202),AT202,0),IF(AND(NOT(AND(AO202=1,AN202&lt;&gt;1)),ISNUMBER(AI202),AI202&lt;=T202),AU202,0),IF(AND(ISNUMBER(AJ202),AJ202&lt;=T202),AV202,0))),"SW",IF(AND(IF(AND(NOT(AND(AO202=1,AN202&lt;&gt;1)),ISNUMBER(AH202),AH202&lt;=T202),AT202,0)&gt;0,IF(AND(NOT(AND(AO202=1,AN202&lt;&gt;1)),ISNUMBER(AH202),AH202&lt;=T202),AT202,0)=MAX(IF(AND(NOT(AND(AO202=1,AN202&lt;&gt;1)),ISNUMBER(AG202),AG202&lt;=T202),AS202,0),IF(AND(NOT(AND(AO202=1,AN202&lt;&gt;1)),ISNUMBER(AH202),AH202&lt;=T202),AT202,0),IF(AND(NOT(AND(AO202=1,AN202&lt;&gt;1)),ISNUMBER(AI202),AI202&lt;=T202),AU202,0),IF(AND(ISNUMBER(AJ202),AJ202&lt;=T202),AV202,0))),"AB",IF(AND(IF(AND(NOT(AND(AO202=1,AN202&lt;&gt;1)),ISNUMBER(AI202),AI202&lt;=T202),AU202,0)&gt;0,IF(AND(NOT(AND(AO202=1,AN202&lt;&gt;1)),ISNUMBER(AI202),AI202&lt;=T202),AU202,0)=MAX(IF(AND(NOT(AND(AO202=1,AN202&lt;&gt;1)),ISNUMBER(AG202),AG202&lt;=T202),AS202,0),IF(AND(NOT(AND(AO202=1,AN202&lt;&gt;1)),ISNUMBER(AH202),AH202&lt;=T202),AT202,0),IF(AND(NOT(AND(AO202=1,AN202&lt;&gt;1)),ISNUMBER(AI202),AI202&lt;=T202),AU202,0),IF(AND(ISNUMBER(AJ202),AJ202&lt;=T202),AV202,0))),"SC","Mag")))))))</f>
        <v/>
      </c>
    </row>
    <row r="203">
      <c r="A203" s="26" t="n">
        <v>198</v>
      </c>
      <c r="B203" s="27">
        <f>A203*10/60</f>
        <v/>
      </c>
      <c r="C203" s="22">
        <f>X202</f>
        <v/>
      </c>
      <c r="D203" s="27">
        <f>D202+W202</f>
        <v/>
      </c>
      <c r="E203" s="26">
        <f>E202+IF(U202="SW",1,0)</f>
        <v/>
      </c>
      <c r="F203" s="26">
        <f>F202+IF(U202="AB",1,0)</f>
        <v/>
      </c>
      <c r="G203" s="26">
        <f>G202+IF(U202="SC",1,0)</f>
        <v/>
      </c>
      <c r="H203" s="26">
        <f>H202+IF(U202="Mag",1,0)</f>
        <v/>
      </c>
      <c r="I203" s="26">
        <f>MAX(I202,IF(U202="OR",1,0))</f>
        <v/>
      </c>
      <c r="J203" s="26">
        <f>MAX(J202,IF(U202="HP",1,0))</f>
        <v/>
      </c>
      <c r="K203" s="26">
        <f>MAX(K202,IF(U202="FP",1,0))</f>
        <v/>
      </c>
      <c r="L203" s="26">
        <f>MAX(L202,IF(U202="transition",1,0))</f>
        <v/>
      </c>
      <c r="M203" s="28">
        <f>(Parameters!$B$9+(IF(E203=0,0,(Upgrades!$J$6+E203*Upgrades!$K$6)*POWER(Upgrades!$L$6,E203)))*(IF(Upgrades!$T$7="Solar Wind",POWER(Upgrades!$U$7,F203),1)*IF(Upgrades!$T$8="Solar Wind",POWER(Upgrades!$U$8,G203),1)*IF(Upgrades!$T$9="Solar Wind",POWER(Upgrades!$U$9,H203),1)*IF(Upgrades!$T$10="Solar Wind",POWER(Upgrades!$U$10,I203),1)*IF(Upgrades!$T$11="Solar Wind",POWER(Upgrades!$U$11,J203),1)*IF(Upgrades!$T$12="Solar Wind",POWER(Upgrades!$U$12,K203),1))+(IF(F203=0,0,(Upgrades!$J$7+F203*Upgrades!$K$7)*POWER(Upgrades!$L$7,F203)))*(IF(Upgrades!$T$6="Asteroid Belt",POWER(Upgrades!$U$6,E203),1)*IF(Upgrades!$T$8="Asteroid Belt",POWER(Upgrades!$U$8,G203),1)*IF(Upgrades!$T$9="Asteroid Belt",POWER(Upgrades!$U$9,H203),1)*IF(Upgrades!$T$10="Asteroid Belt",POWER(Upgrades!$U$10,I203),1)*IF(Upgrades!$T$11="Asteroid Belt",POWER(Upgrades!$U$11,J203),1)*IF(Upgrades!$T$12="Asteroid Belt",POWER(Upgrades!$U$12,K203),1))+(IF(G203=0,0,(Upgrades!$J$8+G203*Upgrades!$K$8)*POWER(Upgrades!$L$8,G203)))*(IF(Upgrades!$T$6="Stellar Coupling",POWER(Upgrades!$U$6,E203),1)*IF(Upgrades!$T$7="Stellar Coupling",POWER(Upgrades!$U$7,F203),1)*IF(Upgrades!$T$9="Stellar Coupling",POWER(Upgrades!$U$9,H203),1)*IF(Upgrades!$T$10="Stellar Coupling",POWER(Upgrades!$U$10,I203),1)*IF(Upgrades!$T$11="Stellar Coupling",POWER(Upgrades!$U$11,J203),1)*IF(Upgrades!$T$12="Stellar Coupling",POWER(Upgrades!$U$12,K203),1))+(IF(H203=0,0,(Upgrades!$J$9+H203*Upgrades!$K$9)*POWER(Upgrades!$L$9,H203)))*(IF(Upgrades!$T$6="Magnetosphere",POWER(Upgrades!$U$6,E203),1)*IF(Upgrades!$T$7="Magnetosphere",POWER(Upgrades!$U$7,F203),1)*IF(Upgrades!$T$8="Magnetosphere",POWER(Upgrades!$U$8,G203),1)*IF(Upgrades!$T$10="Magnetosphere",POWER(Upgrades!$U$10,I203),1)*IF(Upgrades!$T$11="Magnetosphere",POWER(Upgrades!$U$11,J203),1)*IF(Upgrades!$T$12="Magnetosphere",POWER(Upgrades!$U$12,K203),1))+(IF(I203=0,0,(Upgrades!$J$10+I203*Upgrades!$K$10)*POWER(Upgrades!$L$10,I203)))*(IF(Upgrades!$T$6="Orbital Resonance",POWER(Upgrades!$U$6,E203),1)*IF(Upgrades!$T$7="Orbital Resonance",POWER(Upgrades!$U$7,F203),1)*IF(Upgrades!$T$8="Orbital Resonance",POWER(Upgrades!$U$8,G203),1)*IF(Upgrades!$T$9="Orbital Resonance",POWER(Upgrades!$U$9,H203),1)*IF(Upgrades!$T$11="Orbital Resonance",POWER(Upgrades!$U$11,J203),1)*IF(Upgrades!$T$12="Orbital Resonance",POWER(Upgrades!$U$12,K203),1))+(IF(J203=0,0,(Upgrades!$J$11+J203*Upgrades!$K$11)*POWER(Upgrades!$L$11,J203)))*(IF(Upgrades!$T$6="Heliopause",POWER(Upgrades!$U$6,E203),1)*IF(Upgrades!$T$7="Heliopause",POWER(Upgrades!$U$7,F203),1)*IF(Upgrades!$T$8="Heliopause",POWER(Upgrades!$U$8,G203),1)*IF(Upgrades!$T$9="Heliopause",POWER(Upgrades!$U$9,H203),1)*IF(Upgrades!$T$10="Heliopause",POWER(Upgrades!$U$10,I203),1)*IF(Upgrades!$T$12="Heliopause",POWER(Upgrades!$U$12,K203),1))+(IF(K203=0,0,(Upgrades!$J$12+K203*Upgrades!$K$12)*POWER(Upgrades!$L$12,K203)))*(IF(Upgrades!$T$6="First Photons",POWER(Upgrades!$U$6,E203),1)*IF(Upgrades!$T$7="First Photons",POWER(Upgrades!$U$7,F203),1)*IF(Upgrades!$T$8="First Photons",POWER(Upgrades!$U$8,G203),1)*IF(Upgrades!$T$9="First Photons",POWER(Upgrades!$U$9,H203),1)*IF(Upgrades!$T$10="First Photons",POWER(Upgrades!$U$10,I203),1)*IF(Upgrades!$T$11="First Photons",POWER(Upgrades!$U$11,J203),1)))*POWER(Upgrades!$Q$6,E203)*POWER(Upgrades!$Q$7,F203)*POWER(Upgrades!$Q$8,G203)*POWER(Upgrades!$Q$9,H203)*POWER(Upgrades!$Q$10,I203)*POWER(Upgrades!$Q$11,J203)*POWER(Upgrades!$Q$12,K203)</f>
        <v/>
      </c>
      <c r="N203" s="28">
        <f>((IF(E203=0,0,(Upgrades!$G$6+E203*Upgrades!$H$6)*POWER(Upgrades!$I$6,E203)))*(IF(Upgrades!$T$7="Solar Wind",POWER(Upgrades!$U$7,F203),1)*IF(Upgrades!$T$8="Solar Wind",POWER(Upgrades!$U$8,G203),1)*IF(Upgrades!$T$9="Solar Wind",POWER(Upgrades!$U$9,H203),1)*IF(Upgrades!$T$10="Solar Wind",POWER(Upgrades!$U$10,I203),1)*IF(Upgrades!$T$11="Solar Wind",POWER(Upgrades!$U$11,J203),1)*IF(Upgrades!$T$12="Solar Wind",POWER(Upgrades!$U$12,K203),1))+(IF(F203=0,0,(Upgrades!$G$7+F203*Upgrades!$H$7)*POWER(Upgrades!$I$7,F203)))*(IF(Upgrades!$T$6="Asteroid Belt",POWER(Upgrades!$U$6,E203),1)*IF(Upgrades!$T$8="Asteroid Belt",POWER(Upgrades!$U$8,G203),1)*IF(Upgrades!$T$9="Asteroid Belt",POWER(Upgrades!$U$9,H203),1)*IF(Upgrades!$T$10="Asteroid Belt",POWER(Upgrades!$U$10,I203),1)*IF(Upgrades!$T$11="Asteroid Belt",POWER(Upgrades!$U$11,J203),1)*IF(Upgrades!$T$12="Asteroid Belt",POWER(Upgrades!$U$12,K203),1))+(IF(G203=0,0,(Upgrades!$G$8+G203*Upgrades!$H$8)*POWER(Upgrades!$I$8,G203)))*(IF(Upgrades!$T$6="Stellar Coupling",POWER(Upgrades!$U$6,E203),1)*IF(Upgrades!$T$7="Stellar Coupling",POWER(Upgrades!$U$7,F203),1)*IF(Upgrades!$T$9="Stellar Coupling",POWER(Upgrades!$U$9,H203),1)*IF(Upgrades!$T$10="Stellar Coupling",POWER(Upgrades!$U$10,I203),1)*IF(Upgrades!$T$11="Stellar Coupling",POWER(Upgrades!$U$11,J203),1)*IF(Upgrades!$T$12="Stellar Coupling",POWER(Upgrades!$U$12,K203),1))+(IF(H203=0,0,(Upgrades!$G$9+H203*Upgrades!$H$9)*POWER(Upgrades!$I$9,H203)))*(IF(Upgrades!$T$6="Magnetosphere",POWER(Upgrades!$U$6,E203),1)*IF(Upgrades!$T$7="Magnetosphere",POWER(Upgrades!$U$7,F203),1)*IF(Upgrades!$T$8="Magnetosphere",POWER(Upgrades!$U$8,G203),1)*IF(Upgrades!$T$10="Magnetosphere",POWER(Upgrades!$U$10,I203),1)*IF(Upgrades!$T$11="Magnetosphere",POWER(Upgrades!$U$11,J203),1)*IF(Upgrades!$T$12="Magnetosphere",POWER(Upgrades!$U$12,K203),1))+(IF(I203=0,0,(Upgrades!$G$10+I203*Upgrades!$H$10)*POWER(Upgrades!$I$10,I203)))*(IF(Upgrades!$T$6="Orbital Resonance",POWER(Upgrades!$U$6,E203),1)*IF(Upgrades!$T$7="Orbital Resonance",POWER(Upgrades!$U$7,F203),1)*IF(Upgrades!$T$8="Orbital Resonance",POWER(Upgrades!$U$8,G203),1)*IF(Upgrades!$T$9="Orbital Resonance",POWER(Upgrades!$U$9,H203),1)*IF(Upgrades!$T$11="Orbital Resonance",POWER(Upgrades!$U$11,J203),1)*IF(Upgrades!$T$12="Orbital Resonance",POWER(Upgrades!$U$12,K203),1))+(IF(J203=0,0,(Upgrades!$G$11+J203*Upgrades!$H$11)*POWER(Upgrades!$I$11,J203)))*(IF(Upgrades!$T$6="Heliopause",POWER(Upgrades!$U$6,E203),1)*IF(Upgrades!$T$7="Heliopause",POWER(Upgrades!$U$7,F203),1)*IF(Upgrades!$T$8="Heliopause",POWER(Upgrades!$U$8,G203),1)*IF(Upgrades!$T$9="Heliopause",POWER(Upgrades!$U$9,H203),1)*IF(Upgrades!$T$10="Heliopause",POWER(Upgrades!$U$10,I203),1)*IF(Upgrades!$T$12="Heliopause",POWER(Upgrades!$U$12,K203),1))+(IF(K203=0,0,(Upgrades!$G$12+K203*Upgrades!$H$12)*POWER(Upgrades!$I$12,K203)))*(IF(Upgrades!$T$6="First Photons",POWER(Upgrades!$U$6,E203),1)*IF(Upgrades!$T$7="First Photons",POWER(Upgrades!$U$7,F203),1)*IF(Upgrades!$T$8="First Photons",POWER(Upgrades!$U$8,G203),1)*IF(Upgrades!$T$9="First Photons",POWER(Upgrades!$U$9,H203),1)*IF(Upgrades!$T$10="First Photons",POWER(Upgrades!$U$10,I203),1)*IF(Upgrades!$T$11="First Photons",POWER(Upgrades!$U$11,J203),1)))*POWER(Upgrades!$P$6,E203)*POWER(Upgrades!$P$7,F203)*POWER(Upgrades!$P$8,G203)*POWER(Upgrades!$P$9,H203)*POWER(Upgrades!$P$10,I203)*POWER(Upgrades!$P$11,J203)*POWER(Upgrades!$P$12,K203)</f>
        <v/>
      </c>
      <c r="O203" s="28">
        <f>((IF(E203=0,0,(Upgrades!$M$6+E203*Upgrades!$N$6)*POWER(Upgrades!$O$6,E203)))*(IF(Upgrades!$T$7="Solar Wind",POWER(Upgrades!$U$7,F203),1)*IF(Upgrades!$T$8="Solar Wind",POWER(Upgrades!$U$8,G203),1)*IF(Upgrades!$T$9="Solar Wind",POWER(Upgrades!$U$9,H203),1)*IF(Upgrades!$T$10="Solar Wind",POWER(Upgrades!$U$10,I203),1)*IF(Upgrades!$T$11="Solar Wind",POWER(Upgrades!$U$11,J203),1)*IF(Upgrades!$T$12="Solar Wind",POWER(Upgrades!$U$12,K203),1))+(IF(F203=0,0,(Upgrades!$M$7+F203*Upgrades!$N$7)*POWER(Upgrades!$O$7,F203)))*(IF(Upgrades!$T$6="Asteroid Belt",POWER(Upgrades!$U$6,E203),1)*IF(Upgrades!$T$8="Asteroid Belt",POWER(Upgrades!$U$8,G203),1)*IF(Upgrades!$T$9="Asteroid Belt",POWER(Upgrades!$U$9,H203),1)*IF(Upgrades!$T$10="Asteroid Belt",POWER(Upgrades!$U$10,I203),1)*IF(Upgrades!$T$11="Asteroid Belt",POWER(Upgrades!$U$11,J203),1)*IF(Upgrades!$T$12="Asteroid Belt",POWER(Upgrades!$U$12,K203),1))+(IF(G203=0,0,(Upgrades!$M$8+G203*Upgrades!$N$8)*POWER(Upgrades!$O$8,G203)))*(IF(Upgrades!$T$6="Stellar Coupling",POWER(Upgrades!$U$6,E203),1)*IF(Upgrades!$T$7="Stellar Coupling",POWER(Upgrades!$U$7,F203),1)*IF(Upgrades!$T$9="Stellar Coupling",POWER(Upgrades!$U$9,H203),1)*IF(Upgrades!$T$10="Stellar Coupling",POWER(Upgrades!$U$10,I203),1)*IF(Upgrades!$T$11="Stellar Coupling",POWER(Upgrades!$U$11,J203),1)*IF(Upgrades!$T$12="Stellar Coupling",POWER(Upgrades!$U$12,K203),1))+(IF(H203=0,0,(Upgrades!$M$9+H203*Upgrades!$N$9)*POWER(Upgrades!$O$9,H203)))*(IF(Upgrades!$T$6="Magnetosphere",POWER(Upgrades!$U$6,E203),1)*IF(Upgrades!$T$7="Magnetosphere",POWER(Upgrades!$U$7,F203),1)*IF(Upgrades!$T$8="Magnetosphere",POWER(Upgrades!$U$8,G203),1)*IF(Upgrades!$T$10="Magnetosphere",POWER(Upgrades!$U$10,I203),1)*IF(Upgrades!$T$11="Magnetosphere",POWER(Upgrades!$U$11,J203),1)*IF(Upgrades!$T$12="Magnetosphere",POWER(Upgrades!$U$12,K203),1))+(IF(I203=0,0,(Upgrades!$M$10+I203*Upgrades!$N$10)*POWER(Upgrades!$O$10,I203)))*(IF(Upgrades!$T$6="Orbital Resonance",POWER(Upgrades!$U$6,E203),1)*IF(Upgrades!$T$7="Orbital Resonance",POWER(Upgrades!$U$7,F203),1)*IF(Upgrades!$T$8="Orbital Resonance",POWER(Upgrades!$U$8,G203),1)*IF(Upgrades!$T$9="Orbital Resonance",POWER(Upgrades!$U$9,H203),1)*IF(Upgrades!$T$11="Orbital Resonance",POWER(Upgrades!$U$11,J203),1)*IF(Upgrades!$T$12="Orbital Resonance",POWER(Upgrades!$U$12,K203),1))+(IF(J203=0,0,(Upgrades!$M$11+J203*Upgrades!$N$11)*POWER(Upgrades!$O$11,J203)))*(IF(Upgrades!$T$6="Heliopause",POWER(Upgrades!$U$6,E203),1)*IF(Upgrades!$T$7="Heliopause",POWER(Upgrades!$U$7,F203),1)*IF(Upgrades!$T$8="Heliopause",POWER(Upgrades!$U$8,G203),1)*IF(Upgrades!$T$9="Heliopause",POWER(Upgrades!$U$9,H203),1)*IF(Upgrades!$T$10="Heliopause",POWER(Upgrades!$U$10,I203),1)*IF(Upgrades!$T$12="Heliopause",POWER(Upgrades!$U$12,K203),1))+(IF(K203=0,0,(Upgrades!$M$12+K203*Upgrades!$N$12)*POWER(Upgrades!$O$12,K203)))*(IF(Upgrades!$T$6="First Photons",POWER(Upgrades!$U$6,E203),1)*IF(Upgrades!$T$7="First Photons",POWER(Upgrades!$U$7,F203),1)*IF(Upgrades!$T$8="First Photons",POWER(Upgrades!$U$8,G203),1)*IF(Upgrades!$T$9="First Photons",POWER(Upgrades!$U$9,H203),1)*IF(Upgrades!$T$10="First Photons",POWER(Upgrades!$U$10,I203),1)*IF(Upgrades!$T$11="First Photons",POWER(Upgrades!$U$11,J203),1)))*POWER(Upgrades!$R$6,E203)*POWER(Upgrades!$R$7,F203)*POWER(Upgrades!$R$8,G203)*POWER(Upgrades!$R$9,H203)*POWER(Upgrades!$R$10,I203)*POWER(Upgrades!$R$11,J203)*POWER(Upgrades!$R$12,K203)</f>
        <v/>
      </c>
      <c r="P203" s="27">
        <f>IF(L203=1,0,M203*Parameters!$B$10/60*Parameters!$B$11*10)</f>
        <v/>
      </c>
      <c r="Q203" s="27">
        <f>IF(L203=1,0,O203*M203*10)</f>
        <v/>
      </c>
      <c r="R203" s="27">
        <f>IF(L203=1,0,N203*10)</f>
        <v/>
      </c>
      <c r="S203" s="27">
        <f>P203+Q203+R203</f>
        <v/>
      </c>
      <c r="T203" s="22">
        <f>C203+S203</f>
        <v/>
      </c>
      <c r="U203" s="33">
        <f>AX203</f>
        <v/>
      </c>
      <c r="V203" s="22">
        <f>IF(U203="",0,IF(U203="transition",0,IF(U203="SW",AG203,IF(U203="AB",AH203,IF(U203="SC",AI203,IF(U203="Mag",AJ203,IF(U203="OR",AK203,IF(U203="HP",AL203,IF(U203="FP",AM203,0)))))))))</f>
        <v/>
      </c>
      <c r="W203" s="27">
        <f>IF(U203="OR",Upgrades!$F$10,IF(U203="HP",Upgrades!$F$11,IF(U203="transition",-Parameters!$B$18,0)))</f>
        <v/>
      </c>
      <c r="X203" s="22">
        <f>T203-V203</f>
        <v/>
      </c>
      <c r="Y203" s="30">
        <f>M203*Parameters!$B$10/60*Parameters!$B$11+O203*M203+N203</f>
        <v/>
      </c>
      <c r="Z203" s="34">
        <f>IF(U203="transition","→ Tier 2 (Stellar Neighborhood)",IF(U203="FP","First Photons — light begins, system quickens",IF(U203="HP","Heliopause acquired",IF(U203="OR","Orbital Resonance — passive multiplier active",IF(AND(AO203=1,L203=0,AN203&lt;&gt;1),"Cohesion ready (waiting on completionist upgrades)","")))))</f>
        <v/>
      </c>
      <c r="AA203" s="27">
        <f>(IF(E203=0,0,(Upgrades!$G$6+E203*Upgrades!$H$6)*POWER(Upgrades!$I$6,E203)))*(IF(Upgrades!$T$7="Solar Wind",POWER(Upgrades!$U$7,F203),1)*IF(Upgrades!$T$8="Solar Wind",POWER(Upgrades!$U$8,G203),1)*IF(Upgrades!$T$9="Solar Wind",POWER(Upgrades!$U$9,H203),1)*IF(Upgrades!$T$10="Solar Wind",POWER(Upgrades!$U$10,I203),1)*IF(Upgrades!$T$11="Solar Wind",POWER(Upgrades!$U$11,J203),1)*IF(Upgrades!$T$12="Solar Wind",POWER(Upgrades!$U$12,K203),1))*POWER(Upgrades!$P$6,E203)*POWER(Upgrades!$P$7,F203)*POWER(Upgrades!$P$8,G203)*POWER(Upgrades!$P$9,H203)*POWER(Upgrades!$P$10,I203)*POWER(Upgrades!$P$11,J203)*POWER(Upgrades!$P$12,K203)*60</f>
        <v/>
      </c>
      <c r="AB203" s="27">
        <f>(IF(F203=0,0,(Upgrades!$G$7+F203*Upgrades!$H$7)*POWER(Upgrades!$I$7,F203)))*(IF(Upgrades!$T$6="Asteroid Belt",POWER(Upgrades!$U$6,E203),1)*IF(Upgrades!$T$8="Asteroid Belt",POWER(Upgrades!$U$8,G203),1)*IF(Upgrades!$T$9="Asteroid Belt",POWER(Upgrades!$U$9,H203),1)*IF(Upgrades!$T$10="Asteroid Belt",POWER(Upgrades!$U$10,I203),1)*IF(Upgrades!$T$11="Asteroid Belt",POWER(Upgrades!$U$11,J203),1)*IF(Upgrades!$T$12="Asteroid Belt",POWER(Upgrades!$U$12,K203),1))*POWER(Upgrades!$P$6,E203)*POWER(Upgrades!$P$7,F203)*POWER(Upgrades!$P$8,G203)*POWER(Upgrades!$P$9,H203)*POWER(Upgrades!$P$10,I203)*POWER(Upgrades!$P$11,J203)*POWER(Upgrades!$P$12,K203)*60</f>
        <v/>
      </c>
      <c r="AC203" s="27">
        <f>(IF(G203=0,0,(Upgrades!$J$8+G203*Upgrades!$K$8)*POWER(Upgrades!$L$8,G203)))*(IF(Upgrades!$T$6="Stellar Coupling",POWER(Upgrades!$U$6,E203),1)*IF(Upgrades!$T$7="Stellar Coupling",POWER(Upgrades!$U$7,F203),1)*IF(Upgrades!$T$9="Stellar Coupling",POWER(Upgrades!$U$9,H203),1)*IF(Upgrades!$T$10="Stellar Coupling",POWER(Upgrades!$U$10,I203),1)*IF(Upgrades!$T$11="Stellar Coupling",POWER(Upgrades!$U$11,J203),1)*IF(Upgrades!$T$12="Stellar Coupling",POWER(Upgrades!$U$12,K203),1))*POWER(Upgrades!$Q$6,E203)*POWER(Upgrades!$Q$7,F203)*POWER(Upgrades!$Q$8,G203)*POWER(Upgrades!$Q$9,H203)*POWER(Upgrades!$Q$10,I203)*POWER(Upgrades!$Q$11,J203)*POWER(Upgrades!$Q$12,K203)*Parameters!$B$10*Parameters!$B$11</f>
        <v/>
      </c>
      <c r="AD203" s="27">
        <f>(IF(H203=0,0,(Upgrades!$G$9+H203*Upgrades!$H$9)*POWER(Upgrades!$I$9,H203)))*(IF(Upgrades!$T$6="Magnetosphere",POWER(Upgrades!$U$6,E203),1)*IF(Upgrades!$T$7="Magnetosphere",POWER(Upgrades!$U$7,F203),1)*IF(Upgrades!$T$8="Magnetosphere",POWER(Upgrades!$U$8,G203),1)*IF(Upgrades!$T$10="Magnetosphere",POWER(Upgrades!$U$10,I203),1)*IF(Upgrades!$T$11="Magnetosphere",POWER(Upgrades!$U$11,J203),1)*IF(Upgrades!$T$12="Magnetosphere",POWER(Upgrades!$U$12,K203),1))*POWER(Upgrades!$P$6,E203)*POWER(Upgrades!$P$7,F203)*POWER(Upgrades!$P$8,G203)*POWER(Upgrades!$P$9,H203)*POWER(Upgrades!$P$10,I203)*POWER(Upgrades!$P$11,J203)*POWER(Upgrades!$P$12,K203)*60</f>
        <v/>
      </c>
      <c r="AE203" s="27">
        <f>(IF(K203=0,0,(Upgrades!$G$12+K203*Upgrades!$H$12)*POWER(Upgrades!$I$12,K203)))*(IF(Upgrades!$T$6="First Photons",POWER(Upgrades!$U$6,E203),1)*IF(Upgrades!$T$7="First Photons",POWER(Upgrades!$U$7,F203),1)*IF(Upgrades!$T$8="First Photons",POWER(Upgrades!$U$8,G203),1)*IF(Upgrades!$T$9="First Photons",POWER(Upgrades!$U$9,H203),1)*IF(Upgrades!$T$10="First Photons",POWER(Upgrades!$U$10,I203),1)*IF(Upgrades!$T$11="First Photons",POWER(Upgrades!$U$11,J203),1))*POWER(Upgrades!$P$6,E203)*POWER(Upgrades!$P$7,F203)*POWER(Upgrades!$P$8,G203)*POWER(Upgrades!$P$9,H203)*POWER(Upgrades!$P$10,I203)*POWER(Upgrades!$P$11,J203)*POWER(Upgrades!$P$12,K203)*60</f>
        <v/>
      </c>
      <c r="AF203" s="27">
        <f>Parameters!$B$9*POWER(Upgrades!$Q$6,E203)*POWER(Upgrades!$Q$7,F203)*POWER(Upgrades!$Q$8,G203)*POWER(Upgrades!$Q$9,H203)*POWER(Upgrades!$Q$10,I203)*POWER(Upgrades!$Q$11,J203)*POWER(Upgrades!$Q$12,K203)*(Parameters!$B$10*Parameters!$B$11+O203*60)</f>
        <v/>
      </c>
      <c r="AG203" s="22">
        <f>IF(E203&gt;=Upgrades!$E$6,"",Upgrades!$C$6*POWER(Upgrades!$D$6,E203))</f>
        <v/>
      </c>
      <c r="AH203" s="22">
        <f>IF(F203&gt;=Upgrades!$E$7,"",Upgrades!$C$7*POWER(Upgrades!$D$7,F203))</f>
        <v/>
      </c>
      <c r="AI203" s="22">
        <f>IF(G203&gt;=Upgrades!$E$8,"",Upgrades!$C$8*POWER(Upgrades!$D$8,G203))</f>
        <v/>
      </c>
      <c r="AJ203" s="22">
        <f>IF(H203&gt;=Upgrades!$E$9,"",Upgrades!$C$9*POWER(Upgrades!$D$9,H203))</f>
        <v/>
      </c>
      <c r="AK203" s="22">
        <f>IF(I203&gt;=Upgrades!$E$10,"",Upgrades!$C$10*POWER(Upgrades!$D$10,I203))</f>
        <v/>
      </c>
      <c r="AL203" s="22">
        <f>IF(J203&gt;=Upgrades!$E$11,"",Upgrades!$C$11*POWER(Upgrades!$D$11,J203))</f>
        <v/>
      </c>
      <c r="AM203" s="22">
        <f>IF(K203&gt;=Upgrades!$E$12,"",Upgrades!$C$12*POWER(Upgrades!$D$12,K203))</f>
        <v/>
      </c>
      <c r="AN203" s="26">
        <f>IF(AND(D203&gt;=Parameters!$B$18,(H203&gt;=Upgrades!$E$9)*(K203&gt;=Upgrades!$E$12)=1,L203=0),1,"")</f>
        <v/>
      </c>
      <c r="AO203" s="26">
        <f>IF(AND(D203&gt;=Parameters!$B$18,L203=0),1,"")</f>
        <v/>
      </c>
      <c r="AP203" s="22">
        <f>MIN(IF(ISNUMBER(AK203),AK203,9E15),IF(ISNUMBER(AL203),AL203,9E15),IF(ISNUMBER(AM203),AM203,9E15))</f>
        <v/>
      </c>
      <c r="AQ203" s="22">
        <f>MIN(IF(ISNUMBER(AG203),AG203,9E15),IF(ISNUMBER(AH203),AH203,9E15),IF(ISNUMBER(AI203),AI203,9E15),IF(ISNUMBER(AJ203),AJ203,9E15))</f>
        <v/>
      </c>
      <c r="AR203" s="29">
        <f>IF(AW203&gt;Parameters!$B$21*(MAX(IF(AND(NOT(AND(AO203=1,AN203&lt;&gt;1)),ISNUMBER(AG203),AG203&lt;=T203),AS203,0),IF(AND(NOT(AND(AO203=1,AN203&lt;&gt;1)),ISNUMBER(AH203),AH203&lt;=T203),AT203,0),IF(AND(NOT(AND(AO203=1,AN203&lt;&gt;1)),ISNUMBER(AI203),AI203&lt;=T203),AU203,0),IF(AND(ISNUMBER(AJ203),AJ203&lt;=T203),AV203,0))),TRUE,FALSE)</f>
        <v/>
      </c>
      <c r="AS203" s="32">
        <f>IFERROR(Upgrades!$H$6*(POWER(Upgrades!$P$6,E203)*POWER(Upgrades!$P$7,F203)*POWER(Upgrades!$P$8,G203)*POWER(Upgrades!$P$9,H203)*POWER(Upgrades!$P$10,I203)*POWER(Upgrades!$P$11,J203)*POWER(Upgrades!$P$12,K203))*(IF(Upgrades!$T$7="Solar Wind",POWER(Upgrades!$U$7,F203),1)*IF(Upgrades!$T$8="Solar Wind",POWER(Upgrades!$U$8,G203),1)*IF(Upgrades!$T$9="Solar Wind",POWER(Upgrades!$U$9,H203),1)*IF(Upgrades!$T$10="Solar Wind",POWER(Upgrades!$U$10,I203),1)*IF(Upgrades!$T$11="Solar Wind",POWER(Upgrades!$U$11,J203),1)*IF(Upgrades!$T$12="Solar Wind",POWER(Upgrades!$U$12,K203),1))/AG203,0)</f>
        <v/>
      </c>
      <c r="AT203" s="32">
        <f>IFERROR(Upgrades!$H$7*(POWER(Upgrades!$P$6,E203)*POWER(Upgrades!$P$7,F203)*POWER(Upgrades!$P$8,G203)*POWER(Upgrades!$P$9,H203)*POWER(Upgrades!$P$10,I203)*POWER(Upgrades!$P$11,J203)*POWER(Upgrades!$P$12,K203))*(IF(Upgrades!$T$6="Asteroid Belt",POWER(Upgrades!$U$6,E203),1)*IF(Upgrades!$T$8="Asteroid Belt",POWER(Upgrades!$U$8,G203),1)*IF(Upgrades!$T$9="Asteroid Belt",POWER(Upgrades!$U$9,H203),1)*IF(Upgrades!$T$10="Asteroid Belt",POWER(Upgrades!$U$10,I203),1)*IF(Upgrades!$T$11="Asteroid Belt",POWER(Upgrades!$U$11,J203),1)*IF(Upgrades!$T$12="Asteroid Belt",POWER(Upgrades!$U$12,K203),1))/AH203,0)</f>
        <v/>
      </c>
      <c r="AU203" s="32">
        <f>IFERROR(Upgrades!$K$8*(POWER(Upgrades!$Q$6,E203)*POWER(Upgrades!$Q$7,F203)*POWER(Upgrades!$Q$8,G203)*POWER(Upgrades!$Q$9,H203)*POWER(Upgrades!$Q$10,I203)*POWER(Upgrades!$Q$11,J203)*POWER(Upgrades!$Q$12,K203))*(IF(Upgrades!$T$6="Stellar Coupling",POWER(Upgrades!$U$6,E203),1)*IF(Upgrades!$T$7="Stellar Coupling",POWER(Upgrades!$U$7,F203),1)*IF(Upgrades!$T$9="Stellar Coupling",POWER(Upgrades!$U$9,H203),1)*IF(Upgrades!$T$10="Stellar Coupling",POWER(Upgrades!$U$10,I203),1)*IF(Upgrades!$T$11="Stellar Coupling",POWER(Upgrades!$U$11,J203),1)*IF(Upgrades!$T$12="Stellar Coupling",POWER(Upgrades!$U$12,K203),1))*Parameters!$B$10*Parameters!$B$11/60/AI203,0)</f>
        <v/>
      </c>
      <c r="AV203" s="32">
        <f>IFERROR(Upgrades!$H$9*(POWER(Upgrades!$P$6,E203)*POWER(Upgrades!$P$7,F203)*POWER(Upgrades!$P$8,G203)*POWER(Upgrades!$P$9,H203)*POWER(Upgrades!$P$10,I203)*POWER(Upgrades!$P$11,J203)*POWER(Upgrades!$P$12,K203))*(IF(Upgrades!$T$6="Magnetosphere",POWER(Upgrades!$U$6,E203),1)*IF(Upgrades!$T$7="Magnetosphere",POWER(Upgrades!$U$7,F203),1)*IF(Upgrades!$T$8="Magnetosphere",POWER(Upgrades!$U$8,G203),1)*IF(Upgrades!$T$10="Magnetosphere",POWER(Upgrades!$U$10,I203),1)*IF(Upgrades!$T$11="Magnetosphere",POWER(Upgrades!$U$11,J203),1)*IF(Upgrades!$T$12="Magnetosphere",POWER(Upgrades!$U$12,K203),1))/AJ203,0)</f>
        <v/>
      </c>
      <c r="AW203" s="32">
        <f>MAX(IF(I203&gt;0,0,IFERROR(0.25*N203/Upgrades!$C$10,0)),IF(J203&gt;0,0,IFERROR(0.5*((IF(G203=0,0,(Upgrades!$J$8+G203*Upgrades!$K$8)*POWER(Upgrades!$L$8,G203)))*(IF(Upgrades!$T$6="Stellar Coupling",POWER(Upgrades!$U$6,E203),1)*IF(Upgrades!$T$7="Stellar Coupling",POWER(Upgrades!$U$7,F203),1)*IF(Upgrades!$T$9="Stellar Coupling",POWER(Upgrades!$U$9,H203),1)*IF(Upgrades!$T$10="Stellar Coupling",POWER(Upgrades!$U$10,I203),1)*IF(Upgrades!$T$11="Stellar Coupling",POWER(Upgrades!$U$11,J203),1)*IF(Upgrades!$T$12="Stellar Coupling",POWER(Upgrades!$U$12,K203),1))*(POWER(Upgrades!$Q$6,E203)*POWER(Upgrades!$Q$7,F203)*POWER(Upgrades!$Q$8,G203)*POWER(Upgrades!$Q$9,H203)*POWER(Upgrades!$Q$10,I203)*POWER(Upgrades!$Q$11,J203)*POWER(Upgrades!$Q$12,K203))*Parameters!$B$10*Parameters!$B$11/60)/Upgrades!$C$11,0)),IF(K203&gt;0,0,IFERROR((1.0*(POWER(Upgrades!$P$6,E203)*POWER(Upgrades!$P$7,F203)*POWER(Upgrades!$P$8,G203)*POWER(Upgrades!$P$9,H203)*POWER(Upgrades!$P$10,I203)*POWER(Upgrades!$P$11,J203)*POWER(Upgrades!$P$12,K203))+0.20*M203*Parameters!$B$10*Parameters!$B$11/60)/Upgrades!$C$12,0)),IF(AND(ISNUMBER(AG203),AG203&gt;T203),AS203,0),IF(AND(ISNUMBER(AH203),AH203&gt;T203),AT203,0),IF(AND(ISNUMBER(AI203),AI203&gt;T203),AU203,0),IF(AND(ISNUMBER(AJ203),AJ203&gt;T203),AV203,0))</f>
        <v/>
      </c>
      <c r="AX203" s="29">
        <f>IF(AN203=1,"transition",IF(MIN(IF(AND(I203=0,ISNUMBER(AK203),AK203&lt;=T203),AK203,9E15),IF(AND(J203=0,ISNUMBER(AL203),AL203&lt;=T203),AL203,9E15),IF(AND(K203=0,ISNUMBER(AM203),AM203&lt;=T203),AM203,9E15))&lt;9E15,IF(AND(AND(I203=0,ISNUMBER(AK203),AK203&lt;=T203),AK203=MIN(IF(AND(I203=0,ISNUMBER(AK203),AK203&lt;=T203),AK203,9E15),IF(AND(J203=0,ISNUMBER(AL203),AL203&lt;=T203),AL203,9E15),IF(AND(K203=0,ISNUMBER(AM203),AM203&lt;=T203),AM203,9E15))),"OR",IF(AND(AND(J203=0,ISNUMBER(AL203),AL203&lt;=T203),AL203=MIN(IF(AND(I203=0,ISNUMBER(AK203),AK203&lt;=T203),AK203,9E15),IF(AND(J203=0,ISNUMBER(AL203),AL203&lt;=T203),AL203,9E15),IF(AND(K203=0,ISNUMBER(AM203),AM203&lt;=T203),AM203,9E15))),"HP","FP")),IF(AR203=TRUE,"",IF(MAX(IF(AND(NOT(AND(AO203=1,AN203&lt;&gt;1)),ISNUMBER(AG203),AG203&lt;=T203),AS203,0),IF(AND(NOT(AND(AO203=1,AN203&lt;&gt;1)),ISNUMBER(AH203),AH203&lt;=T203),AT203,0),IF(AND(NOT(AND(AO203=1,AN203&lt;&gt;1)),ISNUMBER(AI203),AI203&lt;=T203),AU203,0),IF(AND(ISNUMBER(AJ203),AJ203&lt;=T203),AV203,0))&lt;=0,"",IF(AND(IF(AND(NOT(AND(AO203=1,AN203&lt;&gt;1)),ISNUMBER(AG203),AG203&lt;=T203),AS203,0)&gt;0,IF(AND(NOT(AND(AO203=1,AN203&lt;&gt;1)),ISNUMBER(AG203),AG203&lt;=T203),AS203,0)=MAX(IF(AND(NOT(AND(AO203=1,AN203&lt;&gt;1)),ISNUMBER(AG203),AG203&lt;=T203),AS203,0),IF(AND(NOT(AND(AO203=1,AN203&lt;&gt;1)),ISNUMBER(AH203),AH203&lt;=T203),AT203,0),IF(AND(NOT(AND(AO203=1,AN203&lt;&gt;1)),ISNUMBER(AI203),AI203&lt;=T203),AU203,0),IF(AND(ISNUMBER(AJ203),AJ203&lt;=T203),AV203,0))),"SW",IF(AND(IF(AND(NOT(AND(AO203=1,AN203&lt;&gt;1)),ISNUMBER(AH203),AH203&lt;=T203),AT203,0)&gt;0,IF(AND(NOT(AND(AO203=1,AN203&lt;&gt;1)),ISNUMBER(AH203),AH203&lt;=T203),AT203,0)=MAX(IF(AND(NOT(AND(AO203=1,AN203&lt;&gt;1)),ISNUMBER(AG203),AG203&lt;=T203),AS203,0),IF(AND(NOT(AND(AO203=1,AN203&lt;&gt;1)),ISNUMBER(AH203),AH203&lt;=T203),AT203,0),IF(AND(NOT(AND(AO203=1,AN203&lt;&gt;1)),ISNUMBER(AI203),AI203&lt;=T203),AU203,0),IF(AND(ISNUMBER(AJ203),AJ203&lt;=T203),AV203,0))),"AB",IF(AND(IF(AND(NOT(AND(AO203=1,AN203&lt;&gt;1)),ISNUMBER(AI203),AI203&lt;=T203),AU203,0)&gt;0,IF(AND(NOT(AND(AO203=1,AN203&lt;&gt;1)),ISNUMBER(AI203),AI203&lt;=T203),AU203,0)=MAX(IF(AND(NOT(AND(AO203=1,AN203&lt;&gt;1)),ISNUMBER(AG203),AG203&lt;=T203),AS203,0),IF(AND(NOT(AND(AO203=1,AN203&lt;&gt;1)),ISNUMBER(AH203),AH203&lt;=T203),AT203,0),IF(AND(NOT(AND(AO203=1,AN203&lt;&gt;1)),ISNUMBER(AI203),AI203&lt;=T203),AU203,0),IF(AND(ISNUMBER(AJ203),AJ203&lt;=T203),AV203,0))),"SC","Mag")))))))</f>
        <v/>
      </c>
    </row>
    <row r="204">
      <c r="A204" s="26" t="n">
        <v>199</v>
      </c>
      <c r="B204" s="27">
        <f>A204*10/60</f>
        <v/>
      </c>
      <c r="C204" s="22">
        <f>X203</f>
        <v/>
      </c>
      <c r="D204" s="27">
        <f>D203+W203</f>
        <v/>
      </c>
      <c r="E204" s="26">
        <f>E203+IF(U203="SW",1,0)</f>
        <v/>
      </c>
      <c r="F204" s="26">
        <f>F203+IF(U203="AB",1,0)</f>
        <v/>
      </c>
      <c r="G204" s="26">
        <f>G203+IF(U203="SC",1,0)</f>
        <v/>
      </c>
      <c r="H204" s="26">
        <f>H203+IF(U203="Mag",1,0)</f>
        <v/>
      </c>
      <c r="I204" s="26">
        <f>MAX(I203,IF(U203="OR",1,0))</f>
        <v/>
      </c>
      <c r="J204" s="26">
        <f>MAX(J203,IF(U203="HP",1,0))</f>
        <v/>
      </c>
      <c r="K204" s="26">
        <f>MAX(K203,IF(U203="FP",1,0))</f>
        <v/>
      </c>
      <c r="L204" s="26">
        <f>MAX(L203,IF(U203="transition",1,0))</f>
        <v/>
      </c>
      <c r="M204" s="28">
        <f>(Parameters!$B$9+(IF(E204=0,0,(Upgrades!$J$6+E204*Upgrades!$K$6)*POWER(Upgrades!$L$6,E204)))*(IF(Upgrades!$T$7="Solar Wind",POWER(Upgrades!$U$7,F204),1)*IF(Upgrades!$T$8="Solar Wind",POWER(Upgrades!$U$8,G204),1)*IF(Upgrades!$T$9="Solar Wind",POWER(Upgrades!$U$9,H204),1)*IF(Upgrades!$T$10="Solar Wind",POWER(Upgrades!$U$10,I204),1)*IF(Upgrades!$T$11="Solar Wind",POWER(Upgrades!$U$11,J204),1)*IF(Upgrades!$T$12="Solar Wind",POWER(Upgrades!$U$12,K204),1))+(IF(F204=0,0,(Upgrades!$J$7+F204*Upgrades!$K$7)*POWER(Upgrades!$L$7,F204)))*(IF(Upgrades!$T$6="Asteroid Belt",POWER(Upgrades!$U$6,E204),1)*IF(Upgrades!$T$8="Asteroid Belt",POWER(Upgrades!$U$8,G204),1)*IF(Upgrades!$T$9="Asteroid Belt",POWER(Upgrades!$U$9,H204),1)*IF(Upgrades!$T$10="Asteroid Belt",POWER(Upgrades!$U$10,I204),1)*IF(Upgrades!$T$11="Asteroid Belt",POWER(Upgrades!$U$11,J204),1)*IF(Upgrades!$T$12="Asteroid Belt",POWER(Upgrades!$U$12,K204),1))+(IF(G204=0,0,(Upgrades!$J$8+G204*Upgrades!$K$8)*POWER(Upgrades!$L$8,G204)))*(IF(Upgrades!$T$6="Stellar Coupling",POWER(Upgrades!$U$6,E204),1)*IF(Upgrades!$T$7="Stellar Coupling",POWER(Upgrades!$U$7,F204),1)*IF(Upgrades!$T$9="Stellar Coupling",POWER(Upgrades!$U$9,H204),1)*IF(Upgrades!$T$10="Stellar Coupling",POWER(Upgrades!$U$10,I204),1)*IF(Upgrades!$T$11="Stellar Coupling",POWER(Upgrades!$U$11,J204),1)*IF(Upgrades!$T$12="Stellar Coupling",POWER(Upgrades!$U$12,K204),1))+(IF(H204=0,0,(Upgrades!$J$9+H204*Upgrades!$K$9)*POWER(Upgrades!$L$9,H204)))*(IF(Upgrades!$T$6="Magnetosphere",POWER(Upgrades!$U$6,E204),1)*IF(Upgrades!$T$7="Magnetosphere",POWER(Upgrades!$U$7,F204),1)*IF(Upgrades!$T$8="Magnetosphere",POWER(Upgrades!$U$8,G204),1)*IF(Upgrades!$T$10="Magnetosphere",POWER(Upgrades!$U$10,I204),1)*IF(Upgrades!$T$11="Magnetosphere",POWER(Upgrades!$U$11,J204),1)*IF(Upgrades!$T$12="Magnetosphere",POWER(Upgrades!$U$12,K204),1))+(IF(I204=0,0,(Upgrades!$J$10+I204*Upgrades!$K$10)*POWER(Upgrades!$L$10,I204)))*(IF(Upgrades!$T$6="Orbital Resonance",POWER(Upgrades!$U$6,E204),1)*IF(Upgrades!$T$7="Orbital Resonance",POWER(Upgrades!$U$7,F204),1)*IF(Upgrades!$T$8="Orbital Resonance",POWER(Upgrades!$U$8,G204),1)*IF(Upgrades!$T$9="Orbital Resonance",POWER(Upgrades!$U$9,H204),1)*IF(Upgrades!$T$11="Orbital Resonance",POWER(Upgrades!$U$11,J204),1)*IF(Upgrades!$T$12="Orbital Resonance",POWER(Upgrades!$U$12,K204),1))+(IF(J204=0,0,(Upgrades!$J$11+J204*Upgrades!$K$11)*POWER(Upgrades!$L$11,J204)))*(IF(Upgrades!$T$6="Heliopause",POWER(Upgrades!$U$6,E204),1)*IF(Upgrades!$T$7="Heliopause",POWER(Upgrades!$U$7,F204),1)*IF(Upgrades!$T$8="Heliopause",POWER(Upgrades!$U$8,G204),1)*IF(Upgrades!$T$9="Heliopause",POWER(Upgrades!$U$9,H204),1)*IF(Upgrades!$T$10="Heliopause",POWER(Upgrades!$U$10,I204),1)*IF(Upgrades!$T$12="Heliopause",POWER(Upgrades!$U$12,K204),1))+(IF(K204=0,0,(Upgrades!$J$12+K204*Upgrades!$K$12)*POWER(Upgrades!$L$12,K204)))*(IF(Upgrades!$T$6="First Photons",POWER(Upgrades!$U$6,E204),1)*IF(Upgrades!$T$7="First Photons",POWER(Upgrades!$U$7,F204),1)*IF(Upgrades!$T$8="First Photons",POWER(Upgrades!$U$8,G204),1)*IF(Upgrades!$T$9="First Photons",POWER(Upgrades!$U$9,H204),1)*IF(Upgrades!$T$10="First Photons",POWER(Upgrades!$U$10,I204),1)*IF(Upgrades!$T$11="First Photons",POWER(Upgrades!$U$11,J204),1)))*POWER(Upgrades!$Q$6,E204)*POWER(Upgrades!$Q$7,F204)*POWER(Upgrades!$Q$8,G204)*POWER(Upgrades!$Q$9,H204)*POWER(Upgrades!$Q$10,I204)*POWER(Upgrades!$Q$11,J204)*POWER(Upgrades!$Q$12,K204)</f>
        <v/>
      </c>
      <c r="N204" s="28">
        <f>((IF(E204=0,0,(Upgrades!$G$6+E204*Upgrades!$H$6)*POWER(Upgrades!$I$6,E204)))*(IF(Upgrades!$T$7="Solar Wind",POWER(Upgrades!$U$7,F204),1)*IF(Upgrades!$T$8="Solar Wind",POWER(Upgrades!$U$8,G204),1)*IF(Upgrades!$T$9="Solar Wind",POWER(Upgrades!$U$9,H204),1)*IF(Upgrades!$T$10="Solar Wind",POWER(Upgrades!$U$10,I204),1)*IF(Upgrades!$T$11="Solar Wind",POWER(Upgrades!$U$11,J204),1)*IF(Upgrades!$T$12="Solar Wind",POWER(Upgrades!$U$12,K204),1))+(IF(F204=0,0,(Upgrades!$G$7+F204*Upgrades!$H$7)*POWER(Upgrades!$I$7,F204)))*(IF(Upgrades!$T$6="Asteroid Belt",POWER(Upgrades!$U$6,E204),1)*IF(Upgrades!$T$8="Asteroid Belt",POWER(Upgrades!$U$8,G204),1)*IF(Upgrades!$T$9="Asteroid Belt",POWER(Upgrades!$U$9,H204),1)*IF(Upgrades!$T$10="Asteroid Belt",POWER(Upgrades!$U$10,I204),1)*IF(Upgrades!$T$11="Asteroid Belt",POWER(Upgrades!$U$11,J204),1)*IF(Upgrades!$T$12="Asteroid Belt",POWER(Upgrades!$U$12,K204),1))+(IF(G204=0,0,(Upgrades!$G$8+G204*Upgrades!$H$8)*POWER(Upgrades!$I$8,G204)))*(IF(Upgrades!$T$6="Stellar Coupling",POWER(Upgrades!$U$6,E204),1)*IF(Upgrades!$T$7="Stellar Coupling",POWER(Upgrades!$U$7,F204),1)*IF(Upgrades!$T$9="Stellar Coupling",POWER(Upgrades!$U$9,H204),1)*IF(Upgrades!$T$10="Stellar Coupling",POWER(Upgrades!$U$10,I204),1)*IF(Upgrades!$T$11="Stellar Coupling",POWER(Upgrades!$U$11,J204),1)*IF(Upgrades!$T$12="Stellar Coupling",POWER(Upgrades!$U$12,K204),1))+(IF(H204=0,0,(Upgrades!$G$9+H204*Upgrades!$H$9)*POWER(Upgrades!$I$9,H204)))*(IF(Upgrades!$T$6="Magnetosphere",POWER(Upgrades!$U$6,E204),1)*IF(Upgrades!$T$7="Magnetosphere",POWER(Upgrades!$U$7,F204),1)*IF(Upgrades!$T$8="Magnetosphere",POWER(Upgrades!$U$8,G204),1)*IF(Upgrades!$T$10="Magnetosphere",POWER(Upgrades!$U$10,I204),1)*IF(Upgrades!$T$11="Magnetosphere",POWER(Upgrades!$U$11,J204),1)*IF(Upgrades!$T$12="Magnetosphere",POWER(Upgrades!$U$12,K204),1))+(IF(I204=0,0,(Upgrades!$G$10+I204*Upgrades!$H$10)*POWER(Upgrades!$I$10,I204)))*(IF(Upgrades!$T$6="Orbital Resonance",POWER(Upgrades!$U$6,E204),1)*IF(Upgrades!$T$7="Orbital Resonance",POWER(Upgrades!$U$7,F204),1)*IF(Upgrades!$T$8="Orbital Resonance",POWER(Upgrades!$U$8,G204),1)*IF(Upgrades!$T$9="Orbital Resonance",POWER(Upgrades!$U$9,H204),1)*IF(Upgrades!$T$11="Orbital Resonance",POWER(Upgrades!$U$11,J204),1)*IF(Upgrades!$T$12="Orbital Resonance",POWER(Upgrades!$U$12,K204),1))+(IF(J204=0,0,(Upgrades!$G$11+J204*Upgrades!$H$11)*POWER(Upgrades!$I$11,J204)))*(IF(Upgrades!$T$6="Heliopause",POWER(Upgrades!$U$6,E204),1)*IF(Upgrades!$T$7="Heliopause",POWER(Upgrades!$U$7,F204),1)*IF(Upgrades!$T$8="Heliopause",POWER(Upgrades!$U$8,G204),1)*IF(Upgrades!$T$9="Heliopause",POWER(Upgrades!$U$9,H204),1)*IF(Upgrades!$T$10="Heliopause",POWER(Upgrades!$U$10,I204),1)*IF(Upgrades!$T$12="Heliopause",POWER(Upgrades!$U$12,K204),1))+(IF(K204=0,0,(Upgrades!$G$12+K204*Upgrades!$H$12)*POWER(Upgrades!$I$12,K204)))*(IF(Upgrades!$T$6="First Photons",POWER(Upgrades!$U$6,E204),1)*IF(Upgrades!$T$7="First Photons",POWER(Upgrades!$U$7,F204),1)*IF(Upgrades!$T$8="First Photons",POWER(Upgrades!$U$8,G204),1)*IF(Upgrades!$T$9="First Photons",POWER(Upgrades!$U$9,H204),1)*IF(Upgrades!$T$10="First Photons",POWER(Upgrades!$U$10,I204),1)*IF(Upgrades!$T$11="First Photons",POWER(Upgrades!$U$11,J204),1)))*POWER(Upgrades!$P$6,E204)*POWER(Upgrades!$P$7,F204)*POWER(Upgrades!$P$8,G204)*POWER(Upgrades!$P$9,H204)*POWER(Upgrades!$P$10,I204)*POWER(Upgrades!$P$11,J204)*POWER(Upgrades!$P$12,K204)</f>
        <v/>
      </c>
      <c r="O204" s="28">
        <f>((IF(E204=0,0,(Upgrades!$M$6+E204*Upgrades!$N$6)*POWER(Upgrades!$O$6,E204)))*(IF(Upgrades!$T$7="Solar Wind",POWER(Upgrades!$U$7,F204),1)*IF(Upgrades!$T$8="Solar Wind",POWER(Upgrades!$U$8,G204),1)*IF(Upgrades!$T$9="Solar Wind",POWER(Upgrades!$U$9,H204),1)*IF(Upgrades!$T$10="Solar Wind",POWER(Upgrades!$U$10,I204),1)*IF(Upgrades!$T$11="Solar Wind",POWER(Upgrades!$U$11,J204),1)*IF(Upgrades!$T$12="Solar Wind",POWER(Upgrades!$U$12,K204),1))+(IF(F204=0,0,(Upgrades!$M$7+F204*Upgrades!$N$7)*POWER(Upgrades!$O$7,F204)))*(IF(Upgrades!$T$6="Asteroid Belt",POWER(Upgrades!$U$6,E204),1)*IF(Upgrades!$T$8="Asteroid Belt",POWER(Upgrades!$U$8,G204),1)*IF(Upgrades!$T$9="Asteroid Belt",POWER(Upgrades!$U$9,H204),1)*IF(Upgrades!$T$10="Asteroid Belt",POWER(Upgrades!$U$10,I204),1)*IF(Upgrades!$T$11="Asteroid Belt",POWER(Upgrades!$U$11,J204),1)*IF(Upgrades!$T$12="Asteroid Belt",POWER(Upgrades!$U$12,K204),1))+(IF(G204=0,0,(Upgrades!$M$8+G204*Upgrades!$N$8)*POWER(Upgrades!$O$8,G204)))*(IF(Upgrades!$T$6="Stellar Coupling",POWER(Upgrades!$U$6,E204),1)*IF(Upgrades!$T$7="Stellar Coupling",POWER(Upgrades!$U$7,F204),1)*IF(Upgrades!$T$9="Stellar Coupling",POWER(Upgrades!$U$9,H204),1)*IF(Upgrades!$T$10="Stellar Coupling",POWER(Upgrades!$U$10,I204),1)*IF(Upgrades!$T$11="Stellar Coupling",POWER(Upgrades!$U$11,J204),1)*IF(Upgrades!$T$12="Stellar Coupling",POWER(Upgrades!$U$12,K204),1))+(IF(H204=0,0,(Upgrades!$M$9+H204*Upgrades!$N$9)*POWER(Upgrades!$O$9,H204)))*(IF(Upgrades!$T$6="Magnetosphere",POWER(Upgrades!$U$6,E204),1)*IF(Upgrades!$T$7="Magnetosphere",POWER(Upgrades!$U$7,F204),1)*IF(Upgrades!$T$8="Magnetosphere",POWER(Upgrades!$U$8,G204),1)*IF(Upgrades!$T$10="Magnetosphere",POWER(Upgrades!$U$10,I204),1)*IF(Upgrades!$T$11="Magnetosphere",POWER(Upgrades!$U$11,J204),1)*IF(Upgrades!$T$12="Magnetosphere",POWER(Upgrades!$U$12,K204),1))+(IF(I204=0,0,(Upgrades!$M$10+I204*Upgrades!$N$10)*POWER(Upgrades!$O$10,I204)))*(IF(Upgrades!$T$6="Orbital Resonance",POWER(Upgrades!$U$6,E204),1)*IF(Upgrades!$T$7="Orbital Resonance",POWER(Upgrades!$U$7,F204),1)*IF(Upgrades!$T$8="Orbital Resonance",POWER(Upgrades!$U$8,G204),1)*IF(Upgrades!$T$9="Orbital Resonance",POWER(Upgrades!$U$9,H204),1)*IF(Upgrades!$T$11="Orbital Resonance",POWER(Upgrades!$U$11,J204),1)*IF(Upgrades!$T$12="Orbital Resonance",POWER(Upgrades!$U$12,K204),1))+(IF(J204=0,0,(Upgrades!$M$11+J204*Upgrades!$N$11)*POWER(Upgrades!$O$11,J204)))*(IF(Upgrades!$T$6="Heliopause",POWER(Upgrades!$U$6,E204),1)*IF(Upgrades!$T$7="Heliopause",POWER(Upgrades!$U$7,F204),1)*IF(Upgrades!$T$8="Heliopause",POWER(Upgrades!$U$8,G204),1)*IF(Upgrades!$T$9="Heliopause",POWER(Upgrades!$U$9,H204),1)*IF(Upgrades!$T$10="Heliopause",POWER(Upgrades!$U$10,I204),1)*IF(Upgrades!$T$12="Heliopause",POWER(Upgrades!$U$12,K204),1))+(IF(K204=0,0,(Upgrades!$M$12+K204*Upgrades!$N$12)*POWER(Upgrades!$O$12,K204)))*(IF(Upgrades!$T$6="First Photons",POWER(Upgrades!$U$6,E204),1)*IF(Upgrades!$T$7="First Photons",POWER(Upgrades!$U$7,F204),1)*IF(Upgrades!$T$8="First Photons",POWER(Upgrades!$U$8,G204),1)*IF(Upgrades!$T$9="First Photons",POWER(Upgrades!$U$9,H204),1)*IF(Upgrades!$T$10="First Photons",POWER(Upgrades!$U$10,I204),1)*IF(Upgrades!$T$11="First Photons",POWER(Upgrades!$U$11,J204),1)))*POWER(Upgrades!$R$6,E204)*POWER(Upgrades!$R$7,F204)*POWER(Upgrades!$R$8,G204)*POWER(Upgrades!$R$9,H204)*POWER(Upgrades!$R$10,I204)*POWER(Upgrades!$R$11,J204)*POWER(Upgrades!$R$12,K204)</f>
        <v/>
      </c>
      <c r="P204" s="27">
        <f>IF(L204=1,0,M204*Parameters!$B$10/60*Parameters!$B$11*10)</f>
        <v/>
      </c>
      <c r="Q204" s="27">
        <f>IF(L204=1,0,O204*M204*10)</f>
        <v/>
      </c>
      <c r="R204" s="27">
        <f>IF(L204=1,0,N204*10)</f>
        <v/>
      </c>
      <c r="S204" s="27">
        <f>P204+Q204+R204</f>
        <v/>
      </c>
      <c r="T204" s="22">
        <f>C204+S204</f>
        <v/>
      </c>
      <c r="U204" s="33">
        <f>AX204</f>
        <v/>
      </c>
      <c r="V204" s="22">
        <f>IF(U204="",0,IF(U204="transition",0,IF(U204="SW",AG204,IF(U204="AB",AH204,IF(U204="SC",AI204,IF(U204="Mag",AJ204,IF(U204="OR",AK204,IF(U204="HP",AL204,IF(U204="FP",AM204,0)))))))))</f>
        <v/>
      </c>
      <c r="W204" s="27">
        <f>IF(U204="OR",Upgrades!$F$10,IF(U204="HP",Upgrades!$F$11,IF(U204="transition",-Parameters!$B$18,0)))</f>
        <v/>
      </c>
      <c r="X204" s="22">
        <f>T204-V204</f>
        <v/>
      </c>
      <c r="Y204" s="30">
        <f>M204*Parameters!$B$10/60*Parameters!$B$11+O204*M204+N204</f>
        <v/>
      </c>
      <c r="Z204" s="34">
        <f>IF(U204="transition","→ Tier 2 (Stellar Neighborhood)",IF(U204="FP","First Photons — light begins, system quickens",IF(U204="HP","Heliopause acquired",IF(U204="OR","Orbital Resonance — passive multiplier active",IF(AND(AO204=1,L204=0,AN204&lt;&gt;1),"Cohesion ready (waiting on completionist upgrades)","")))))</f>
        <v/>
      </c>
      <c r="AA204" s="27">
        <f>(IF(E204=0,0,(Upgrades!$G$6+E204*Upgrades!$H$6)*POWER(Upgrades!$I$6,E204)))*(IF(Upgrades!$T$7="Solar Wind",POWER(Upgrades!$U$7,F204),1)*IF(Upgrades!$T$8="Solar Wind",POWER(Upgrades!$U$8,G204),1)*IF(Upgrades!$T$9="Solar Wind",POWER(Upgrades!$U$9,H204),1)*IF(Upgrades!$T$10="Solar Wind",POWER(Upgrades!$U$10,I204),1)*IF(Upgrades!$T$11="Solar Wind",POWER(Upgrades!$U$11,J204),1)*IF(Upgrades!$T$12="Solar Wind",POWER(Upgrades!$U$12,K204),1))*POWER(Upgrades!$P$6,E204)*POWER(Upgrades!$P$7,F204)*POWER(Upgrades!$P$8,G204)*POWER(Upgrades!$P$9,H204)*POWER(Upgrades!$P$10,I204)*POWER(Upgrades!$P$11,J204)*POWER(Upgrades!$P$12,K204)*60</f>
        <v/>
      </c>
      <c r="AB204" s="27">
        <f>(IF(F204=0,0,(Upgrades!$G$7+F204*Upgrades!$H$7)*POWER(Upgrades!$I$7,F204)))*(IF(Upgrades!$T$6="Asteroid Belt",POWER(Upgrades!$U$6,E204),1)*IF(Upgrades!$T$8="Asteroid Belt",POWER(Upgrades!$U$8,G204),1)*IF(Upgrades!$T$9="Asteroid Belt",POWER(Upgrades!$U$9,H204),1)*IF(Upgrades!$T$10="Asteroid Belt",POWER(Upgrades!$U$10,I204),1)*IF(Upgrades!$T$11="Asteroid Belt",POWER(Upgrades!$U$11,J204),1)*IF(Upgrades!$T$12="Asteroid Belt",POWER(Upgrades!$U$12,K204),1))*POWER(Upgrades!$P$6,E204)*POWER(Upgrades!$P$7,F204)*POWER(Upgrades!$P$8,G204)*POWER(Upgrades!$P$9,H204)*POWER(Upgrades!$P$10,I204)*POWER(Upgrades!$P$11,J204)*POWER(Upgrades!$P$12,K204)*60</f>
        <v/>
      </c>
      <c r="AC204" s="27">
        <f>(IF(G204=0,0,(Upgrades!$J$8+G204*Upgrades!$K$8)*POWER(Upgrades!$L$8,G204)))*(IF(Upgrades!$T$6="Stellar Coupling",POWER(Upgrades!$U$6,E204),1)*IF(Upgrades!$T$7="Stellar Coupling",POWER(Upgrades!$U$7,F204),1)*IF(Upgrades!$T$9="Stellar Coupling",POWER(Upgrades!$U$9,H204),1)*IF(Upgrades!$T$10="Stellar Coupling",POWER(Upgrades!$U$10,I204),1)*IF(Upgrades!$T$11="Stellar Coupling",POWER(Upgrades!$U$11,J204),1)*IF(Upgrades!$T$12="Stellar Coupling",POWER(Upgrades!$U$12,K204),1))*POWER(Upgrades!$Q$6,E204)*POWER(Upgrades!$Q$7,F204)*POWER(Upgrades!$Q$8,G204)*POWER(Upgrades!$Q$9,H204)*POWER(Upgrades!$Q$10,I204)*POWER(Upgrades!$Q$11,J204)*POWER(Upgrades!$Q$12,K204)*Parameters!$B$10*Parameters!$B$11</f>
        <v/>
      </c>
      <c r="AD204" s="27">
        <f>(IF(H204=0,0,(Upgrades!$G$9+H204*Upgrades!$H$9)*POWER(Upgrades!$I$9,H204)))*(IF(Upgrades!$T$6="Magnetosphere",POWER(Upgrades!$U$6,E204),1)*IF(Upgrades!$T$7="Magnetosphere",POWER(Upgrades!$U$7,F204),1)*IF(Upgrades!$T$8="Magnetosphere",POWER(Upgrades!$U$8,G204),1)*IF(Upgrades!$T$10="Magnetosphere",POWER(Upgrades!$U$10,I204),1)*IF(Upgrades!$T$11="Magnetosphere",POWER(Upgrades!$U$11,J204),1)*IF(Upgrades!$T$12="Magnetosphere",POWER(Upgrades!$U$12,K204),1))*POWER(Upgrades!$P$6,E204)*POWER(Upgrades!$P$7,F204)*POWER(Upgrades!$P$8,G204)*POWER(Upgrades!$P$9,H204)*POWER(Upgrades!$P$10,I204)*POWER(Upgrades!$P$11,J204)*POWER(Upgrades!$P$12,K204)*60</f>
        <v/>
      </c>
      <c r="AE204" s="27">
        <f>(IF(K204=0,0,(Upgrades!$G$12+K204*Upgrades!$H$12)*POWER(Upgrades!$I$12,K204)))*(IF(Upgrades!$T$6="First Photons",POWER(Upgrades!$U$6,E204),1)*IF(Upgrades!$T$7="First Photons",POWER(Upgrades!$U$7,F204),1)*IF(Upgrades!$T$8="First Photons",POWER(Upgrades!$U$8,G204),1)*IF(Upgrades!$T$9="First Photons",POWER(Upgrades!$U$9,H204),1)*IF(Upgrades!$T$10="First Photons",POWER(Upgrades!$U$10,I204),1)*IF(Upgrades!$T$11="First Photons",POWER(Upgrades!$U$11,J204),1))*POWER(Upgrades!$P$6,E204)*POWER(Upgrades!$P$7,F204)*POWER(Upgrades!$P$8,G204)*POWER(Upgrades!$P$9,H204)*POWER(Upgrades!$P$10,I204)*POWER(Upgrades!$P$11,J204)*POWER(Upgrades!$P$12,K204)*60</f>
        <v/>
      </c>
      <c r="AF204" s="27">
        <f>Parameters!$B$9*POWER(Upgrades!$Q$6,E204)*POWER(Upgrades!$Q$7,F204)*POWER(Upgrades!$Q$8,G204)*POWER(Upgrades!$Q$9,H204)*POWER(Upgrades!$Q$10,I204)*POWER(Upgrades!$Q$11,J204)*POWER(Upgrades!$Q$12,K204)*(Parameters!$B$10*Parameters!$B$11+O204*60)</f>
        <v/>
      </c>
      <c r="AG204" s="22">
        <f>IF(E204&gt;=Upgrades!$E$6,"",Upgrades!$C$6*POWER(Upgrades!$D$6,E204))</f>
        <v/>
      </c>
      <c r="AH204" s="22">
        <f>IF(F204&gt;=Upgrades!$E$7,"",Upgrades!$C$7*POWER(Upgrades!$D$7,F204))</f>
        <v/>
      </c>
      <c r="AI204" s="22">
        <f>IF(G204&gt;=Upgrades!$E$8,"",Upgrades!$C$8*POWER(Upgrades!$D$8,G204))</f>
        <v/>
      </c>
      <c r="AJ204" s="22">
        <f>IF(H204&gt;=Upgrades!$E$9,"",Upgrades!$C$9*POWER(Upgrades!$D$9,H204))</f>
        <v/>
      </c>
      <c r="AK204" s="22">
        <f>IF(I204&gt;=Upgrades!$E$10,"",Upgrades!$C$10*POWER(Upgrades!$D$10,I204))</f>
        <v/>
      </c>
      <c r="AL204" s="22">
        <f>IF(J204&gt;=Upgrades!$E$11,"",Upgrades!$C$11*POWER(Upgrades!$D$11,J204))</f>
        <v/>
      </c>
      <c r="AM204" s="22">
        <f>IF(K204&gt;=Upgrades!$E$12,"",Upgrades!$C$12*POWER(Upgrades!$D$12,K204))</f>
        <v/>
      </c>
      <c r="AN204" s="26">
        <f>IF(AND(D204&gt;=Parameters!$B$18,(H204&gt;=Upgrades!$E$9)*(K204&gt;=Upgrades!$E$12)=1,L204=0),1,"")</f>
        <v/>
      </c>
      <c r="AO204" s="26">
        <f>IF(AND(D204&gt;=Parameters!$B$18,L204=0),1,"")</f>
        <v/>
      </c>
      <c r="AP204" s="22">
        <f>MIN(IF(ISNUMBER(AK204),AK204,9E15),IF(ISNUMBER(AL204),AL204,9E15),IF(ISNUMBER(AM204),AM204,9E15))</f>
        <v/>
      </c>
      <c r="AQ204" s="22">
        <f>MIN(IF(ISNUMBER(AG204),AG204,9E15),IF(ISNUMBER(AH204),AH204,9E15),IF(ISNUMBER(AI204),AI204,9E15),IF(ISNUMBER(AJ204),AJ204,9E15))</f>
        <v/>
      </c>
      <c r="AR204" s="29">
        <f>IF(AW204&gt;Parameters!$B$21*(MAX(IF(AND(NOT(AND(AO204=1,AN204&lt;&gt;1)),ISNUMBER(AG204),AG204&lt;=T204),AS204,0),IF(AND(NOT(AND(AO204=1,AN204&lt;&gt;1)),ISNUMBER(AH204),AH204&lt;=T204),AT204,0),IF(AND(NOT(AND(AO204=1,AN204&lt;&gt;1)),ISNUMBER(AI204),AI204&lt;=T204),AU204,0),IF(AND(ISNUMBER(AJ204),AJ204&lt;=T204),AV204,0))),TRUE,FALSE)</f>
        <v/>
      </c>
      <c r="AS204" s="32">
        <f>IFERROR(Upgrades!$H$6*(POWER(Upgrades!$P$6,E204)*POWER(Upgrades!$P$7,F204)*POWER(Upgrades!$P$8,G204)*POWER(Upgrades!$P$9,H204)*POWER(Upgrades!$P$10,I204)*POWER(Upgrades!$P$11,J204)*POWER(Upgrades!$P$12,K204))*(IF(Upgrades!$T$7="Solar Wind",POWER(Upgrades!$U$7,F204),1)*IF(Upgrades!$T$8="Solar Wind",POWER(Upgrades!$U$8,G204),1)*IF(Upgrades!$T$9="Solar Wind",POWER(Upgrades!$U$9,H204),1)*IF(Upgrades!$T$10="Solar Wind",POWER(Upgrades!$U$10,I204),1)*IF(Upgrades!$T$11="Solar Wind",POWER(Upgrades!$U$11,J204),1)*IF(Upgrades!$T$12="Solar Wind",POWER(Upgrades!$U$12,K204),1))/AG204,0)</f>
        <v/>
      </c>
      <c r="AT204" s="32">
        <f>IFERROR(Upgrades!$H$7*(POWER(Upgrades!$P$6,E204)*POWER(Upgrades!$P$7,F204)*POWER(Upgrades!$P$8,G204)*POWER(Upgrades!$P$9,H204)*POWER(Upgrades!$P$10,I204)*POWER(Upgrades!$P$11,J204)*POWER(Upgrades!$P$12,K204))*(IF(Upgrades!$T$6="Asteroid Belt",POWER(Upgrades!$U$6,E204),1)*IF(Upgrades!$T$8="Asteroid Belt",POWER(Upgrades!$U$8,G204),1)*IF(Upgrades!$T$9="Asteroid Belt",POWER(Upgrades!$U$9,H204),1)*IF(Upgrades!$T$10="Asteroid Belt",POWER(Upgrades!$U$10,I204),1)*IF(Upgrades!$T$11="Asteroid Belt",POWER(Upgrades!$U$11,J204),1)*IF(Upgrades!$T$12="Asteroid Belt",POWER(Upgrades!$U$12,K204),1))/AH204,0)</f>
        <v/>
      </c>
      <c r="AU204" s="32">
        <f>IFERROR(Upgrades!$K$8*(POWER(Upgrades!$Q$6,E204)*POWER(Upgrades!$Q$7,F204)*POWER(Upgrades!$Q$8,G204)*POWER(Upgrades!$Q$9,H204)*POWER(Upgrades!$Q$10,I204)*POWER(Upgrades!$Q$11,J204)*POWER(Upgrades!$Q$12,K204))*(IF(Upgrades!$T$6="Stellar Coupling",POWER(Upgrades!$U$6,E204),1)*IF(Upgrades!$T$7="Stellar Coupling",POWER(Upgrades!$U$7,F204),1)*IF(Upgrades!$T$9="Stellar Coupling",POWER(Upgrades!$U$9,H204),1)*IF(Upgrades!$T$10="Stellar Coupling",POWER(Upgrades!$U$10,I204),1)*IF(Upgrades!$T$11="Stellar Coupling",POWER(Upgrades!$U$11,J204),1)*IF(Upgrades!$T$12="Stellar Coupling",POWER(Upgrades!$U$12,K204),1))*Parameters!$B$10*Parameters!$B$11/60/AI204,0)</f>
        <v/>
      </c>
      <c r="AV204" s="32">
        <f>IFERROR(Upgrades!$H$9*(POWER(Upgrades!$P$6,E204)*POWER(Upgrades!$P$7,F204)*POWER(Upgrades!$P$8,G204)*POWER(Upgrades!$P$9,H204)*POWER(Upgrades!$P$10,I204)*POWER(Upgrades!$P$11,J204)*POWER(Upgrades!$P$12,K204))*(IF(Upgrades!$T$6="Magnetosphere",POWER(Upgrades!$U$6,E204),1)*IF(Upgrades!$T$7="Magnetosphere",POWER(Upgrades!$U$7,F204),1)*IF(Upgrades!$T$8="Magnetosphere",POWER(Upgrades!$U$8,G204),1)*IF(Upgrades!$T$10="Magnetosphere",POWER(Upgrades!$U$10,I204),1)*IF(Upgrades!$T$11="Magnetosphere",POWER(Upgrades!$U$11,J204),1)*IF(Upgrades!$T$12="Magnetosphere",POWER(Upgrades!$U$12,K204),1))/AJ204,0)</f>
        <v/>
      </c>
      <c r="AW204" s="32">
        <f>MAX(IF(I204&gt;0,0,IFERROR(0.25*N204/Upgrades!$C$10,0)),IF(J204&gt;0,0,IFERROR(0.5*((IF(G204=0,0,(Upgrades!$J$8+G204*Upgrades!$K$8)*POWER(Upgrades!$L$8,G204)))*(IF(Upgrades!$T$6="Stellar Coupling",POWER(Upgrades!$U$6,E204),1)*IF(Upgrades!$T$7="Stellar Coupling",POWER(Upgrades!$U$7,F204),1)*IF(Upgrades!$T$9="Stellar Coupling",POWER(Upgrades!$U$9,H204),1)*IF(Upgrades!$T$10="Stellar Coupling",POWER(Upgrades!$U$10,I204),1)*IF(Upgrades!$T$11="Stellar Coupling",POWER(Upgrades!$U$11,J204),1)*IF(Upgrades!$T$12="Stellar Coupling",POWER(Upgrades!$U$12,K204),1))*(POWER(Upgrades!$Q$6,E204)*POWER(Upgrades!$Q$7,F204)*POWER(Upgrades!$Q$8,G204)*POWER(Upgrades!$Q$9,H204)*POWER(Upgrades!$Q$10,I204)*POWER(Upgrades!$Q$11,J204)*POWER(Upgrades!$Q$12,K204))*Parameters!$B$10*Parameters!$B$11/60)/Upgrades!$C$11,0)),IF(K204&gt;0,0,IFERROR((1.0*(POWER(Upgrades!$P$6,E204)*POWER(Upgrades!$P$7,F204)*POWER(Upgrades!$P$8,G204)*POWER(Upgrades!$P$9,H204)*POWER(Upgrades!$P$10,I204)*POWER(Upgrades!$P$11,J204)*POWER(Upgrades!$P$12,K204))+0.20*M204*Parameters!$B$10*Parameters!$B$11/60)/Upgrades!$C$12,0)),IF(AND(ISNUMBER(AG204),AG204&gt;T204),AS204,0),IF(AND(ISNUMBER(AH204),AH204&gt;T204),AT204,0),IF(AND(ISNUMBER(AI204),AI204&gt;T204),AU204,0),IF(AND(ISNUMBER(AJ204),AJ204&gt;T204),AV204,0))</f>
        <v/>
      </c>
      <c r="AX204" s="29">
        <f>IF(AN204=1,"transition",IF(MIN(IF(AND(I204=0,ISNUMBER(AK204),AK204&lt;=T204),AK204,9E15),IF(AND(J204=0,ISNUMBER(AL204),AL204&lt;=T204),AL204,9E15),IF(AND(K204=0,ISNUMBER(AM204),AM204&lt;=T204),AM204,9E15))&lt;9E15,IF(AND(AND(I204=0,ISNUMBER(AK204),AK204&lt;=T204),AK204=MIN(IF(AND(I204=0,ISNUMBER(AK204),AK204&lt;=T204),AK204,9E15),IF(AND(J204=0,ISNUMBER(AL204),AL204&lt;=T204),AL204,9E15),IF(AND(K204=0,ISNUMBER(AM204),AM204&lt;=T204),AM204,9E15))),"OR",IF(AND(AND(J204=0,ISNUMBER(AL204),AL204&lt;=T204),AL204=MIN(IF(AND(I204=0,ISNUMBER(AK204),AK204&lt;=T204),AK204,9E15),IF(AND(J204=0,ISNUMBER(AL204),AL204&lt;=T204),AL204,9E15),IF(AND(K204=0,ISNUMBER(AM204),AM204&lt;=T204),AM204,9E15))),"HP","FP")),IF(AR204=TRUE,"",IF(MAX(IF(AND(NOT(AND(AO204=1,AN204&lt;&gt;1)),ISNUMBER(AG204),AG204&lt;=T204),AS204,0),IF(AND(NOT(AND(AO204=1,AN204&lt;&gt;1)),ISNUMBER(AH204),AH204&lt;=T204),AT204,0),IF(AND(NOT(AND(AO204=1,AN204&lt;&gt;1)),ISNUMBER(AI204),AI204&lt;=T204),AU204,0),IF(AND(ISNUMBER(AJ204),AJ204&lt;=T204),AV204,0))&lt;=0,"",IF(AND(IF(AND(NOT(AND(AO204=1,AN204&lt;&gt;1)),ISNUMBER(AG204),AG204&lt;=T204),AS204,0)&gt;0,IF(AND(NOT(AND(AO204=1,AN204&lt;&gt;1)),ISNUMBER(AG204),AG204&lt;=T204),AS204,0)=MAX(IF(AND(NOT(AND(AO204=1,AN204&lt;&gt;1)),ISNUMBER(AG204),AG204&lt;=T204),AS204,0),IF(AND(NOT(AND(AO204=1,AN204&lt;&gt;1)),ISNUMBER(AH204),AH204&lt;=T204),AT204,0),IF(AND(NOT(AND(AO204=1,AN204&lt;&gt;1)),ISNUMBER(AI204),AI204&lt;=T204),AU204,0),IF(AND(ISNUMBER(AJ204),AJ204&lt;=T204),AV204,0))),"SW",IF(AND(IF(AND(NOT(AND(AO204=1,AN204&lt;&gt;1)),ISNUMBER(AH204),AH204&lt;=T204),AT204,0)&gt;0,IF(AND(NOT(AND(AO204=1,AN204&lt;&gt;1)),ISNUMBER(AH204),AH204&lt;=T204),AT204,0)=MAX(IF(AND(NOT(AND(AO204=1,AN204&lt;&gt;1)),ISNUMBER(AG204),AG204&lt;=T204),AS204,0),IF(AND(NOT(AND(AO204=1,AN204&lt;&gt;1)),ISNUMBER(AH204),AH204&lt;=T204),AT204,0),IF(AND(NOT(AND(AO204=1,AN204&lt;&gt;1)),ISNUMBER(AI204),AI204&lt;=T204),AU204,0),IF(AND(ISNUMBER(AJ204),AJ204&lt;=T204),AV204,0))),"AB",IF(AND(IF(AND(NOT(AND(AO204=1,AN204&lt;&gt;1)),ISNUMBER(AI204),AI204&lt;=T204),AU204,0)&gt;0,IF(AND(NOT(AND(AO204=1,AN204&lt;&gt;1)),ISNUMBER(AI204),AI204&lt;=T204),AU204,0)=MAX(IF(AND(NOT(AND(AO204=1,AN204&lt;&gt;1)),ISNUMBER(AG204),AG204&lt;=T204),AS204,0),IF(AND(NOT(AND(AO204=1,AN204&lt;&gt;1)),ISNUMBER(AH204),AH204&lt;=T204),AT204,0),IF(AND(NOT(AND(AO204=1,AN204&lt;&gt;1)),ISNUMBER(AI204),AI204&lt;=T204),AU204,0),IF(AND(ISNUMBER(AJ204),AJ204&lt;=T204),AV204,0))),"SC","Mag")))))))</f>
        <v/>
      </c>
    </row>
    <row r="205">
      <c r="A205" s="26" t="n">
        <v>200</v>
      </c>
      <c r="B205" s="27">
        <f>A205*10/60</f>
        <v/>
      </c>
      <c r="C205" s="22">
        <f>X204</f>
        <v/>
      </c>
      <c r="D205" s="27">
        <f>D204+W204</f>
        <v/>
      </c>
      <c r="E205" s="26">
        <f>E204+IF(U204="SW",1,0)</f>
        <v/>
      </c>
      <c r="F205" s="26">
        <f>F204+IF(U204="AB",1,0)</f>
        <v/>
      </c>
      <c r="G205" s="26">
        <f>G204+IF(U204="SC",1,0)</f>
        <v/>
      </c>
      <c r="H205" s="26">
        <f>H204+IF(U204="Mag",1,0)</f>
        <v/>
      </c>
      <c r="I205" s="26">
        <f>MAX(I204,IF(U204="OR",1,0))</f>
        <v/>
      </c>
      <c r="J205" s="26">
        <f>MAX(J204,IF(U204="HP",1,0))</f>
        <v/>
      </c>
      <c r="K205" s="26">
        <f>MAX(K204,IF(U204="FP",1,0))</f>
        <v/>
      </c>
      <c r="L205" s="26">
        <f>MAX(L204,IF(U204="transition",1,0))</f>
        <v/>
      </c>
      <c r="M205" s="28">
        <f>(Parameters!$B$9+(IF(E205=0,0,(Upgrades!$J$6+E205*Upgrades!$K$6)*POWER(Upgrades!$L$6,E205)))*(IF(Upgrades!$T$7="Solar Wind",POWER(Upgrades!$U$7,F205),1)*IF(Upgrades!$T$8="Solar Wind",POWER(Upgrades!$U$8,G205),1)*IF(Upgrades!$T$9="Solar Wind",POWER(Upgrades!$U$9,H205),1)*IF(Upgrades!$T$10="Solar Wind",POWER(Upgrades!$U$10,I205),1)*IF(Upgrades!$T$11="Solar Wind",POWER(Upgrades!$U$11,J205),1)*IF(Upgrades!$T$12="Solar Wind",POWER(Upgrades!$U$12,K205),1))+(IF(F205=0,0,(Upgrades!$J$7+F205*Upgrades!$K$7)*POWER(Upgrades!$L$7,F205)))*(IF(Upgrades!$T$6="Asteroid Belt",POWER(Upgrades!$U$6,E205),1)*IF(Upgrades!$T$8="Asteroid Belt",POWER(Upgrades!$U$8,G205),1)*IF(Upgrades!$T$9="Asteroid Belt",POWER(Upgrades!$U$9,H205),1)*IF(Upgrades!$T$10="Asteroid Belt",POWER(Upgrades!$U$10,I205),1)*IF(Upgrades!$T$11="Asteroid Belt",POWER(Upgrades!$U$11,J205),1)*IF(Upgrades!$T$12="Asteroid Belt",POWER(Upgrades!$U$12,K205),1))+(IF(G205=0,0,(Upgrades!$J$8+G205*Upgrades!$K$8)*POWER(Upgrades!$L$8,G205)))*(IF(Upgrades!$T$6="Stellar Coupling",POWER(Upgrades!$U$6,E205),1)*IF(Upgrades!$T$7="Stellar Coupling",POWER(Upgrades!$U$7,F205),1)*IF(Upgrades!$T$9="Stellar Coupling",POWER(Upgrades!$U$9,H205),1)*IF(Upgrades!$T$10="Stellar Coupling",POWER(Upgrades!$U$10,I205),1)*IF(Upgrades!$T$11="Stellar Coupling",POWER(Upgrades!$U$11,J205),1)*IF(Upgrades!$T$12="Stellar Coupling",POWER(Upgrades!$U$12,K205),1))+(IF(H205=0,0,(Upgrades!$J$9+H205*Upgrades!$K$9)*POWER(Upgrades!$L$9,H205)))*(IF(Upgrades!$T$6="Magnetosphere",POWER(Upgrades!$U$6,E205),1)*IF(Upgrades!$T$7="Magnetosphere",POWER(Upgrades!$U$7,F205),1)*IF(Upgrades!$T$8="Magnetosphere",POWER(Upgrades!$U$8,G205),1)*IF(Upgrades!$T$10="Magnetosphere",POWER(Upgrades!$U$10,I205),1)*IF(Upgrades!$T$11="Magnetosphere",POWER(Upgrades!$U$11,J205),1)*IF(Upgrades!$T$12="Magnetosphere",POWER(Upgrades!$U$12,K205),1))+(IF(I205=0,0,(Upgrades!$J$10+I205*Upgrades!$K$10)*POWER(Upgrades!$L$10,I205)))*(IF(Upgrades!$T$6="Orbital Resonance",POWER(Upgrades!$U$6,E205),1)*IF(Upgrades!$T$7="Orbital Resonance",POWER(Upgrades!$U$7,F205),1)*IF(Upgrades!$T$8="Orbital Resonance",POWER(Upgrades!$U$8,G205),1)*IF(Upgrades!$T$9="Orbital Resonance",POWER(Upgrades!$U$9,H205),1)*IF(Upgrades!$T$11="Orbital Resonance",POWER(Upgrades!$U$11,J205),1)*IF(Upgrades!$T$12="Orbital Resonance",POWER(Upgrades!$U$12,K205),1))+(IF(J205=0,0,(Upgrades!$J$11+J205*Upgrades!$K$11)*POWER(Upgrades!$L$11,J205)))*(IF(Upgrades!$T$6="Heliopause",POWER(Upgrades!$U$6,E205),1)*IF(Upgrades!$T$7="Heliopause",POWER(Upgrades!$U$7,F205),1)*IF(Upgrades!$T$8="Heliopause",POWER(Upgrades!$U$8,G205),1)*IF(Upgrades!$T$9="Heliopause",POWER(Upgrades!$U$9,H205),1)*IF(Upgrades!$T$10="Heliopause",POWER(Upgrades!$U$10,I205),1)*IF(Upgrades!$T$12="Heliopause",POWER(Upgrades!$U$12,K205),1))+(IF(K205=0,0,(Upgrades!$J$12+K205*Upgrades!$K$12)*POWER(Upgrades!$L$12,K205)))*(IF(Upgrades!$T$6="First Photons",POWER(Upgrades!$U$6,E205),1)*IF(Upgrades!$T$7="First Photons",POWER(Upgrades!$U$7,F205),1)*IF(Upgrades!$T$8="First Photons",POWER(Upgrades!$U$8,G205),1)*IF(Upgrades!$T$9="First Photons",POWER(Upgrades!$U$9,H205),1)*IF(Upgrades!$T$10="First Photons",POWER(Upgrades!$U$10,I205),1)*IF(Upgrades!$T$11="First Photons",POWER(Upgrades!$U$11,J205),1)))*POWER(Upgrades!$Q$6,E205)*POWER(Upgrades!$Q$7,F205)*POWER(Upgrades!$Q$8,G205)*POWER(Upgrades!$Q$9,H205)*POWER(Upgrades!$Q$10,I205)*POWER(Upgrades!$Q$11,J205)*POWER(Upgrades!$Q$12,K205)</f>
        <v/>
      </c>
      <c r="N205" s="28">
        <f>((IF(E205=0,0,(Upgrades!$G$6+E205*Upgrades!$H$6)*POWER(Upgrades!$I$6,E205)))*(IF(Upgrades!$T$7="Solar Wind",POWER(Upgrades!$U$7,F205),1)*IF(Upgrades!$T$8="Solar Wind",POWER(Upgrades!$U$8,G205),1)*IF(Upgrades!$T$9="Solar Wind",POWER(Upgrades!$U$9,H205),1)*IF(Upgrades!$T$10="Solar Wind",POWER(Upgrades!$U$10,I205),1)*IF(Upgrades!$T$11="Solar Wind",POWER(Upgrades!$U$11,J205),1)*IF(Upgrades!$T$12="Solar Wind",POWER(Upgrades!$U$12,K205),1))+(IF(F205=0,0,(Upgrades!$G$7+F205*Upgrades!$H$7)*POWER(Upgrades!$I$7,F205)))*(IF(Upgrades!$T$6="Asteroid Belt",POWER(Upgrades!$U$6,E205),1)*IF(Upgrades!$T$8="Asteroid Belt",POWER(Upgrades!$U$8,G205),1)*IF(Upgrades!$T$9="Asteroid Belt",POWER(Upgrades!$U$9,H205),1)*IF(Upgrades!$T$10="Asteroid Belt",POWER(Upgrades!$U$10,I205),1)*IF(Upgrades!$T$11="Asteroid Belt",POWER(Upgrades!$U$11,J205),1)*IF(Upgrades!$T$12="Asteroid Belt",POWER(Upgrades!$U$12,K205),1))+(IF(G205=0,0,(Upgrades!$G$8+G205*Upgrades!$H$8)*POWER(Upgrades!$I$8,G205)))*(IF(Upgrades!$T$6="Stellar Coupling",POWER(Upgrades!$U$6,E205),1)*IF(Upgrades!$T$7="Stellar Coupling",POWER(Upgrades!$U$7,F205),1)*IF(Upgrades!$T$9="Stellar Coupling",POWER(Upgrades!$U$9,H205),1)*IF(Upgrades!$T$10="Stellar Coupling",POWER(Upgrades!$U$10,I205),1)*IF(Upgrades!$T$11="Stellar Coupling",POWER(Upgrades!$U$11,J205),1)*IF(Upgrades!$T$12="Stellar Coupling",POWER(Upgrades!$U$12,K205),1))+(IF(H205=0,0,(Upgrades!$G$9+H205*Upgrades!$H$9)*POWER(Upgrades!$I$9,H205)))*(IF(Upgrades!$T$6="Magnetosphere",POWER(Upgrades!$U$6,E205),1)*IF(Upgrades!$T$7="Magnetosphere",POWER(Upgrades!$U$7,F205),1)*IF(Upgrades!$T$8="Magnetosphere",POWER(Upgrades!$U$8,G205),1)*IF(Upgrades!$T$10="Magnetosphere",POWER(Upgrades!$U$10,I205),1)*IF(Upgrades!$T$11="Magnetosphere",POWER(Upgrades!$U$11,J205),1)*IF(Upgrades!$T$12="Magnetosphere",POWER(Upgrades!$U$12,K205),1))+(IF(I205=0,0,(Upgrades!$G$10+I205*Upgrades!$H$10)*POWER(Upgrades!$I$10,I205)))*(IF(Upgrades!$T$6="Orbital Resonance",POWER(Upgrades!$U$6,E205),1)*IF(Upgrades!$T$7="Orbital Resonance",POWER(Upgrades!$U$7,F205),1)*IF(Upgrades!$T$8="Orbital Resonance",POWER(Upgrades!$U$8,G205),1)*IF(Upgrades!$T$9="Orbital Resonance",POWER(Upgrades!$U$9,H205),1)*IF(Upgrades!$T$11="Orbital Resonance",POWER(Upgrades!$U$11,J205),1)*IF(Upgrades!$T$12="Orbital Resonance",POWER(Upgrades!$U$12,K205),1))+(IF(J205=0,0,(Upgrades!$G$11+J205*Upgrades!$H$11)*POWER(Upgrades!$I$11,J205)))*(IF(Upgrades!$T$6="Heliopause",POWER(Upgrades!$U$6,E205),1)*IF(Upgrades!$T$7="Heliopause",POWER(Upgrades!$U$7,F205),1)*IF(Upgrades!$T$8="Heliopause",POWER(Upgrades!$U$8,G205),1)*IF(Upgrades!$T$9="Heliopause",POWER(Upgrades!$U$9,H205),1)*IF(Upgrades!$T$10="Heliopause",POWER(Upgrades!$U$10,I205),1)*IF(Upgrades!$T$12="Heliopause",POWER(Upgrades!$U$12,K205),1))+(IF(K205=0,0,(Upgrades!$G$12+K205*Upgrades!$H$12)*POWER(Upgrades!$I$12,K205)))*(IF(Upgrades!$T$6="First Photons",POWER(Upgrades!$U$6,E205),1)*IF(Upgrades!$T$7="First Photons",POWER(Upgrades!$U$7,F205),1)*IF(Upgrades!$T$8="First Photons",POWER(Upgrades!$U$8,G205),1)*IF(Upgrades!$T$9="First Photons",POWER(Upgrades!$U$9,H205),1)*IF(Upgrades!$T$10="First Photons",POWER(Upgrades!$U$10,I205),1)*IF(Upgrades!$T$11="First Photons",POWER(Upgrades!$U$11,J205),1)))*POWER(Upgrades!$P$6,E205)*POWER(Upgrades!$P$7,F205)*POWER(Upgrades!$P$8,G205)*POWER(Upgrades!$P$9,H205)*POWER(Upgrades!$P$10,I205)*POWER(Upgrades!$P$11,J205)*POWER(Upgrades!$P$12,K205)</f>
        <v/>
      </c>
      <c r="O205" s="28">
        <f>((IF(E205=0,0,(Upgrades!$M$6+E205*Upgrades!$N$6)*POWER(Upgrades!$O$6,E205)))*(IF(Upgrades!$T$7="Solar Wind",POWER(Upgrades!$U$7,F205),1)*IF(Upgrades!$T$8="Solar Wind",POWER(Upgrades!$U$8,G205),1)*IF(Upgrades!$T$9="Solar Wind",POWER(Upgrades!$U$9,H205),1)*IF(Upgrades!$T$10="Solar Wind",POWER(Upgrades!$U$10,I205),1)*IF(Upgrades!$T$11="Solar Wind",POWER(Upgrades!$U$11,J205),1)*IF(Upgrades!$T$12="Solar Wind",POWER(Upgrades!$U$12,K205),1))+(IF(F205=0,0,(Upgrades!$M$7+F205*Upgrades!$N$7)*POWER(Upgrades!$O$7,F205)))*(IF(Upgrades!$T$6="Asteroid Belt",POWER(Upgrades!$U$6,E205),1)*IF(Upgrades!$T$8="Asteroid Belt",POWER(Upgrades!$U$8,G205),1)*IF(Upgrades!$T$9="Asteroid Belt",POWER(Upgrades!$U$9,H205),1)*IF(Upgrades!$T$10="Asteroid Belt",POWER(Upgrades!$U$10,I205),1)*IF(Upgrades!$T$11="Asteroid Belt",POWER(Upgrades!$U$11,J205),1)*IF(Upgrades!$T$12="Asteroid Belt",POWER(Upgrades!$U$12,K205),1))+(IF(G205=0,0,(Upgrades!$M$8+G205*Upgrades!$N$8)*POWER(Upgrades!$O$8,G205)))*(IF(Upgrades!$T$6="Stellar Coupling",POWER(Upgrades!$U$6,E205),1)*IF(Upgrades!$T$7="Stellar Coupling",POWER(Upgrades!$U$7,F205),1)*IF(Upgrades!$T$9="Stellar Coupling",POWER(Upgrades!$U$9,H205),1)*IF(Upgrades!$T$10="Stellar Coupling",POWER(Upgrades!$U$10,I205),1)*IF(Upgrades!$T$11="Stellar Coupling",POWER(Upgrades!$U$11,J205),1)*IF(Upgrades!$T$12="Stellar Coupling",POWER(Upgrades!$U$12,K205),1))+(IF(H205=0,0,(Upgrades!$M$9+H205*Upgrades!$N$9)*POWER(Upgrades!$O$9,H205)))*(IF(Upgrades!$T$6="Magnetosphere",POWER(Upgrades!$U$6,E205),1)*IF(Upgrades!$T$7="Magnetosphere",POWER(Upgrades!$U$7,F205),1)*IF(Upgrades!$T$8="Magnetosphere",POWER(Upgrades!$U$8,G205),1)*IF(Upgrades!$T$10="Magnetosphere",POWER(Upgrades!$U$10,I205),1)*IF(Upgrades!$T$11="Magnetosphere",POWER(Upgrades!$U$11,J205),1)*IF(Upgrades!$T$12="Magnetosphere",POWER(Upgrades!$U$12,K205),1))+(IF(I205=0,0,(Upgrades!$M$10+I205*Upgrades!$N$10)*POWER(Upgrades!$O$10,I205)))*(IF(Upgrades!$T$6="Orbital Resonance",POWER(Upgrades!$U$6,E205),1)*IF(Upgrades!$T$7="Orbital Resonance",POWER(Upgrades!$U$7,F205),1)*IF(Upgrades!$T$8="Orbital Resonance",POWER(Upgrades!$U$8,G205),1)*IF(Upgrades!$T$9="Orbital Resonance",POWER(Upgrades!$U$9,H205),1)*IF(Upgrades!$T$11="Orbital Resonance",POWER(Upgrades!$U$11,J205),1)*IF(Upgrades!$T$12="Orbital Resonance",POWER(Upgrades!$U$12,K205),1))+(IF(J205=0,0,(Upgrades!$M$11+J205*Upgrades!$N$11)*POWER(Upgrades!$O$11,J205)))*(IF(Upgrades!$T$6="Heliopause",POWER(Upgrades!$U$6,E205),1)*IF(Upgrades!$T$7="Heliopause",POWER(Upgrades!$U$7,F205),1)*IF(Upgrades!$T$8="Heliopause",POWER(Upgrades!$U$8,G205),1)*IF(Upgrades!$T$9="Heliopause",POWER(Upgrades!$U$9,H205),1)*IF(Upgrades!$T$10="Heliopause",POWER(Upgrades!$U$10,I205),1)*IF(Upgrades!$T$12="Heliopause",POWER(Upgrades!$U$12,K205),1))+(IF(K205=0,0,(Upgrades!$M$12+K205*Upgrades!$N$12)*POWER(Upgrades!$O$12,K205)))*(IF(Upgrades!$T$6="First Photons",POWER(Upgrades!$U$6,E205),1)*IF(Upgrades!$T$7="First Photons",POWER(Upgrades!$U$7,F205),1)*IF(Upgrades!$T$8="First Photons",POWER(Upgrades!$U$8,G205),1)*IF(Upgrades!$T$9="First Photons",POWER(Upgrades!$U$9,H205),1)*IF(Upgrades!$T$10="First Photons",POWER(Upgrades!$U$10,I205),1)*IF(Upgrades!$T$11="First Photons",POWER(Upgrades!$U$11,J205),1)))*POWER(Upgrades!$R$6,E205)*POWER(Upgrades!$R$7,F205)*POWER(Upgrades!$R$8,G205)*POWER(Upgrades!$R$9,H205)*POWER(Upgrades!$R$10,I205)*POWER(Upgrades!$R$11,J205)*POWER(Upgrades!$R$12,K205)</f>
        <v/>
      </c>
      <c r="P205" s="27">
        <f>IF(L205=1,0,M205*Parameters!$B$10/60*Parameters!$B$11*10)</f>
        <v/>
      </c>
      <c r="Q205" s="27">
        <f>IF(L205=1,0,O205*M205*10)</f>
        <v/>
      </c>
      <c r="R205" s="27">
        <f>IF(L205=1,0,N205*10)</f>
        <v/>
      </c>
      <c r="S205" s="27">
        <f>P205+Q205+R205</f>
        <v/>
      </c>
      <c r="T205" s="22">
        <f>C205+S205</f>
        <v/>
      </c>
      <c r="U205" s="33">
        <f>AX205</f>
        <v/>
      </c>
      <c r="V205" s="22">
        <f>IF(U205="",0,IF(U205="transition",0,IF(U205="SW",AG205,IF(U205="AB",AH205,IF(U205="SC",AI205,IF(U205="Mag",AJ205,IF(U205="OR",AK205,IF(U205="HP",AL205,IF(U205="FP",AM205,0)))))))))</f>
        <v/>
      </c>
      <c r="W205" s="27">
        <f>IF(U205="OR",Upgrades!$F$10,IF(U205="HP",Upgrades!$F$11,IF(U205="transition",-Parameters!$B$18,0)))</f>
        <v/>
      </c>
      <c r="X205" s="22">
        <f>T205-V205</f>
        <v/>
      </c>
      <c r="Y205" s="30">
        <f>M205*Parameters!$B$10/60*Parameters!$B$11+O205*M205+N205</f>
        <v/>
      </c>
      <c r="Z205" s="34">
        <f>IF(U205="transition","→ Tier 2 (Stellar Neighborhood)",IF(U205="FP","First Photons — light begins, system quickens",IF(U205="HP","Heliopause acquired",IF(U205="OR","Orbital Resonance — passive multiplier active",IF(AND(AO205=1,L205=0,AN205&lt;&gt;1),"Cohesion ready (waiting on completionist upgrades)","")))))</f>
        <v/>
      </c>
      <c r="AA205" s="27">
        <f>(IF(E205=0,0,(Upgrades!$G$6+E205*Upgrades!$H$6)*POWER(Upgrades!$I$6,E205)))*(IF(Upgrades!$T$7="Solar Wind",POWER(Upgrades!$U$7,F205),1)*IF(Upgrades!$T$8="Solar Wind",POWER(Upgrades!$U$8,G205),1)*IF(Upgrades!$T$9="Solar Wind",POWER(Upgrades!$U$9,H205),1)*IF(Upgrades!$T$10="Solar Wind",POWER(Upgrades!$U$10,I205),1)*IF(Upgrades!$T$11="Solar Wind",POWER(Upgrades!$U$11,J205),1)*IF(Upgrades!$T$12="Solar Wind",POWER(Upgrades!$U$12,K205),1))*POWER(Upgrades!$P$6,E205)*POWER(Upgrades!$P$7,F205)*POWER(Upgrades!$P$8,G205)*POWER(Upgrades!$P$9,H205)*POWER(Upgrades!$P$10,I205)*POWER(Upgrades!$P$11,J205)*POWER(Upgrades!$P$12,K205)*60</f>
        <v/>
      </c>
      <c r="AB205" s="27">
        <f>(IF(F205=0,0,(Upgrades!$G$7+F205*Upgrades!$H$7)*POWER(Upgrades!$I$7,F205)))*(IF(Upgrades!$T$6="Asteroid Belt",POWER(Upgrades!$U$6,E205),1)*IF(Upgrades!$T$8="Asteroid Belt",POWER(Upgrades!$U$8,G205),1)*IF(Upgrades!$T$9="Asteroid Belt",POWER(Upgrades!$U$9,H205),1)*IF(Upgrades!$T$10="Asteroid Belt",POWER(Upgrades!$U$10,I205),1)*IF(Upgrades!$T$11="Asteroid Belt",POWER(Upgrades!$U$11,J205),1)*IF(Upgrades!$T$12="Asteroid Belt",POWER(Upgrades!$U$12,K205),1))*POWER(Upgrades!$P$6,E205)*POWER(Upgrades!$P$7,F205)*POWER(Upgrades!$P$8,G205)*POWER(Upgrades!$P$9,H205)*POWER(Upgrades!$P$10,I205)*POWER(Upgrades!$P$11,J205)*POWER(Upgrades!$P$12,K205)*60</f>
        <v/>
      </c>
      <c r="AC205" s="27">
        <f>(IF(G205=0,0,(Upgrades!$J$8+G205*Upgrades!$K$8)*POWER(Upgrades!$L$8,G205)))*(IF(Upgrades!$T$6="Stellar Coupling",POWER(Upgrades!$U$6,E205),1)*IF(Upgrades!$T$7="Stellar Coupling",POWER(Upgrades!$U$7,F205),1)*IF(Upgrades!$T$9="Stellar Coupling",POWER(Upgrades!$U$9,H205),1)*IF(Upgrades!$T$10="Stellar Coupling",POWER(Upgrades!$U$10,I205),1)*IF(Upgrades!$T$11="Stellar Coupling",POWER(Upgrades!$U$11,J205),1)*IF(Upgrades!$T$12="Stellar Coupling",POWER(Upgrades!$U$12,K205),1))*POWER(Upgrades!$Q$6,E205)*POWER(Upgrades!$Q$7,F205)*POWER(Upgrades!$Q$8,G205)*POWER(Upgrades!$Q$9,H205)*POWER(Upgrades!$Q$10,I205)*POWER(Upgrades!$Q$11,J205)*POWER(Upgrades!$Q$12,K205)*Parameters!$B$10*Parameters!$B$11</f>
        <v/>
      </c>
      <c r="AD205" s="27">
        <f>(IF(H205=0,0,(Upgrades!$G$9+H205*Upgrades!$H$9)*POWER(Upgrades!$I$9,H205)))*(IF(Upgrades!$T$6="Magnetosphere",POWER(Upgrades!$U$6,E205),1)*IF(Upgrades!$T$7="Magnetosphere",POWER(Upgrades!$U$7,F205),1)*IF(Upgrades!$T$8="Magnetosphere",POWER(Upgrades!$U$8,G205),1)*IF(Upgrades!$T$10="Magnetosphere",POWER(Upgrades!$U$10,I205),1)*IF(Upgrades!$T$11="Magnetosphere",POWER(Upgrades!$U$11,J205),1)*IF(Upgrades!$T$12="Magnetosphere",POWER(Upgrades!$U$12,K205),1))*POWER(Upgrades!$P$6,E205)*POWER(Upgrades!$P$7,F205)*POWER(Upgrades!$P$8,G205)*POWER(Upgrades!$P$9,H205)*POWER(Upgrades!$P$10,I205)*POWER(Upgrades!$P$11,J205)*POWER(Upgrades!$P$12,K205)*60</f>
        <v/>
      </c>
      <c r="AE205" s="27">
        <f>(IF(K205=0,0,(Upgrades!$G$12+K205*Upgrades!$H$12)*POWER(Upgrades!$I$12,K205)))*(IF(Upgrades!$T$6="First Photons",POWER(Upgrades!$U$6,E205),1)*IF(Upgrades!$T$7="First Photons",POWER(Upgrades!$U$7,F205),1)*IF(Upgrades!$T$8="First Photons",POWER(Upgrades!$U$8,G205),1)*IF(Upgrades!$T$9="First Photons",POWER(Upgrades!$U$9,H205),1)*IF(Upgrades!$T$10="First Photons",POWER(Upgrades!$U$10,I205),1)*IF(Upgrades!$T$11="First Photons",POWER(Upgrades!$U$11,J205),1))*POWER(Upgrades!$P$6,E205)*POWER(Upgrades!$P$7,F205)*POWER(Upgrades!$P$8,G205)*POWER(Upgrades!$P$9,H205)*POWER(Upgrades!$P$10,I205)*POWER(Upgrades!$P$11,J205)*POWER(Upgrades!$P$12,K205)*60</f>
        <v/>
      </c>
      <c r="AF205" s="27">
        <f>Parameters!$B$9*POWER(Upgrades!$Q$6,E205)*POWER(Upgrades!$Q$7,F205)*POWER(Upgrades!$Q$8,G205)*POWER(Upgrades!$Q$9,H205)*POWER(Upgrades!$Q$10,I205)*POWER(Upgrades!$Q$11,J205)*POWER(Upgrades!$Q$12,K205)*(Parameters!$B$10*Parameters!$B$11+O205*60)</f>
        <v/>
      </c>
      <c r="AG205" s="22">
        <f>IF(E205&gt;=Upgrades!$E$6,"",Upgrades!$C$6*POWER(Upgrades!$D$6,E205))</f>
        <v/>
      </c>
      <c r="AH205" s="22">
        <f>IF(F205&gt;=Upgrades!$E$7,"",Upgrades!$C$7*POWER(Upgrades!$D$7,F205))</f>
        <v/>
      </c>
      <c r="AI205" s="22">
        <f>IF(G205&gt;=Upgrades!$E$8,"",Upgrades!$C$8*POWER(Upgrades!$D$8,G205))</f>
        <v/>
      </c>
      <c r="AJ205" s="22">
        <f>IF(H205&gt;=Upgrades!$E$9,"",Upgrades!$C$9*POWER(Upgrades!$D$9,H205))</f>
        <v/>
      </c>
      <c r="AK205" s="22">
        <f>IF(I205&gt;=Upgrades!$E$10,"",Upgrades!$C$10*POWER(Upgrades!$D$10,I205))</f>
        <v/>
      </c>
      <c r="AL205" s="22">
        <f>IF(J205&gt;=Upgrades!$E$11,"",Upgrades!$C$11*POWER(Upgrades!$D$11,J205))</f>
        <v/>
      </c>
      <c r="AM205" s="22">
        <f>IF(K205&gt;=Upgrades!$E$12,"",Upgrades!$C$12*POWER(Upgrades!$D$12,K205))</f>
        <v/>
      </c>
      <c r="AN205" s="26">
        <f>IF(AND(D205&gt;=Parameters!$B$18,(H205&gt;=Upgrades!$E$9)*(K205&gt;=Upgrades!$E$12)=1,L205=0),1,"")</f>
        <v/>
      </c>
      <c r="AO205" s="26">
        <f>IF(AND(D205&gt;=Parameters!$B$18,L205=0),1,"")</f>
        <v/>
      </c>
      <c r="AP205" s="22">
        <f>MIN(IF(ISNUMBER(AK205),AK205,9E15),IF(ISNUMBER(AL205),AL205,9E15),IF(ISNUMBER(AM205),AM205,9E15))</f>
        <v/>
      </c>
      <c r="AQ205" s="22">
        <f>MIN(IF(ISNUMBER(AG205),AG205,9E15),IF(ISNUMBER(AH205),AH205,9E15),IF(ISNUMBER(AI205),AI205,9E15),IF(ISNUMBER(AJ205),AJ205,9E15))</f>
        <v/>
      </c>
      <c r="AR205" s="29">
        <f>IF(AW205&gt;Parameters!$B$21*(MAX(IF(AND(NOT(AND(AO205=1,AN205&lt;&gt;1)),ISNUMBER(AG205),AG205&lt;=T205),AS205,0),IF(AND(NOT(AND(AO205=1,AN205&lt;&gt;1)),ISNUMBER(AH205),AH205&lt;=T205),AT205,0),IF(AND(NOT(AND(AO205=1,AN205&lt;&gt;1)),ISNUMBER(AI205),AI205&lt;=T205),AU205,0),IF(AND(ISNUMBER(AJ205),AJ205&lt;=T205),AV205,0))),TRUE,FALSE)</f>
        <v/>
      </c>
      <c r="AS205" s="32">
        <f>IFERROR(Upgrades!$H$6*(POWER(Upgrades!$P$6,E205)*POWER(Upgrades!$P$7,F205)*POWER(Upgrades!$P$8,G205)*POWER(Upgrades!$P$9,H205)*POWER(Upgrades!$P$10,I205)*POWER(Upgrades!$P$11,J205)*POWER(Upgrades!$P$12,K205))*(IF(Upgrades!$T$7="Solar Wind",POWER(Upgrades!$U$7,F205),1)*IF(Upgrades!$T$8="Solar Wind",POWER(Upgrades!$U$8,G205),1)*IF(Upgrades!$T$9="Solar Wind",POWER(Upgrades!$U$9,H205),1)*IF(Upgrades!$T$10="Solar Wind",POWER(Upgrades!$U$10,I205),1)*IF(Upgrades!$T$11="Solar Wind",POWER(Upgrades!$U$11,J205),1)*IF(Upgrades!$T$12="Solar Wind",POWER(Upgrades!$U$12,K205),1))/AG205,0)</f>
        <v/>
      </c>
      <c r="AT205" s="32">
        <f>IFERROR(Upgrades!$H$7*(POWER(Upgrades!$P$6,E205)*POWER(Upgrades!$P$7,F205)*POWER(Upgrades!$P$8,G205)*POWER(Upgrades!$P$9,H205)*POWER(Upgrades!$P$10,I205)*POWER(Upgrades!$P$11,J205)*POWER(Upgrades!$P$12,K205))*(IF(Upgrades!$T$6="Asteroid Belt",POWER(Upgrades!$U$6,E205),1)*IF(Upgrades!$T$8="Asteroid Belt",POWER(Upgrades!$U$8,G205),1)*IF(Upgrades!$T$9="Asteroid Belt",POWER(Upgrades!$U$9,H205),1)*IF(Upgrades!$T$10="Asteroid Belt",POWER(Upgrades!$U$10,I205),1)*IF(Upgrades!$T$11="Asteroid Belt",POWER(Upgrades!$U$11,J205),1)*IF(Upgrades!$T$12="Asteroid Belt",POWER(Upgrades!$U$12,K205),1))/AH205,0)</f>
        <v/>
      </c>
      <c r="AU205" s="32">
        <f>IFERROR(Upgrades!$K$8*(POWER(Upgrades!$Q$6,E205)*POWER(Upgrades!$Q$7,F205)*POWER(Upgrades!$Q$8,G205)*POWER(Upgrades!$Q$9,H205)*POWER(Upgrades!$Q$10,I205)*POWER(Upgrades!$Q$11,J205)*POWER(Upgrades!$Q$12,K205))*(IF(Upgrades!$T$6="Stellar Coupling",POWER(Upgrades!$U$6,E205),1)*IF(Upgrades!$T$7="Stellar Coupling",POWER(Upgrades!$U$7,F205),1)*IF(Upgrades!$T$9="Stellar Coupling",POWER(Upgrades!$U$9,H205),1)*IF(Upgrades!$T$10="Stellar Coupling",POWER(Upgrades!$U$10,I205),1)*IF(Upgrades!$T$11="Stellar Coupling",POWER(Upgrades!$U$11,J205),1)*IF(Upgrades!$T$12="Stellar Coupling",POWER(Upgrades!$U$12,K205),1))*Parameters!$B$10*Parameters!$B$11/60/AI205,0)</f>
        <v/>
      </c>
      <c r="AV205" s="32">
        <f>IFERROR(Upgrades!$H$9*(POWER(Upgrades!$P$6,E205)*POWER(Upgrades!$P$7,F205)*POWER(Upgrades!$P$8,G205)*POWER(Upgrades!$P$9,H205)*POWER(Upgrades!$P$10,I205)*POWER(Upgrades!$P$11,J205)*POWER(Upgrades!$P$12,K205))*(IF(Upgrades!$T$6="Magnetosphere",POWER(Upgrades!$U$6,E205),1)*IF(Upgrades!$T$7="Magnetosphere",POWER(Upgrades!$U$7,F205),1)*IF(Upgrades!$T$8="Magnetosphere",POWER(Upgrades!$U$8,G205),1)*IF(Upgrades!$T$10="Magnetosphere",POWER(Upgrades!$U$10,I205),1)*IF(Upgrades!$T$11="Magnetosphere",POWER(Upgrades!$U$11,J205),1)*IF(Upgrades!$T$12="Magnetosphere",POWER(Upgrades!$U$12,K205),1))/AJ205,0)</f>
        <v/>
      </c>
      <c r="AW205" s="32">
        <f>MAX(IF(I205&gt;0,0,IFERROR(0.25*N205/Upgrades!$C$10,0)),IF(J205&gt;0,0,IFERROR(0.5*((IF(G205=0,0,(Upgrades!$J$8+G205*Upgrades!$K$8)*POWER(Upgrades!$L$8,G205)))*(IF(Upgrades!$T$6="Stellar Coupling",POWER(Upgrades!$U$6,E205),1)*IF(Upgrades!$T$7="Stellar Coupling",POWER(Upgrades!$U$7,F205),1)*IF(Upgrades!$T$9="Stellar Coupling",POWER(Upgrades!$U$9,H205),1)*IF(Upgrades!$T$10="Stellar Coupling",POWER(Upgrades!$U$10,I205),1)*IF(Upgrades!$T$11="Stellar Coupling",POWER(Upgrades!$U$11,J205),1)*IF(Upgrades!$T$12="Stellar Coupling",POWER(Upgrades!$U$12,K205),1))*(POWER(Upgrades!$Q$6,E205)*POWER(Upgrades!$Q$7,F205)*POWER(Upgrades!$Q$8,G205)*POWER(Upgrades!$Q$9,H205)*POWER(Upgrades!$Q$10,I205)*POWER(Upgrades!$Q$11,J205)*POWER(Upgrades!$Q$12,K205))*Parameters!$B$10*Parameters!$B$11/60)/Upgrades!$C$11,0)),IF(K205&gt;0,0,IFERROR((1.0*(POWER(Upgrades!$P$6,E205)*POWER(Upgrades!$P$7,F205)*POWER(Upgrades!$P$8,G205)*POWER(Upgrades!$P$9,H205)*POWER(Upgrades!$P$10,I205)*POWER(Upgrades!$P$11,J205)*POWER(Upgrades!$P$12,K205))+0.20*M205*Parameters!$B$10*Parameters!$B$11/60)/Upgrades!$C$12,0)),IF(AND(ISNUMBER(AG205),AG205&gt;T205),AS205,0),IF(AND(ISNUMBER(AH205),AH205&gt;T205),AT205,0),IF(AND(ISNUMBER(AI205),AI205&gt;T205),AU205,0),IF(AND(ISNUMBER(AJ205),AJ205&gt;T205),AV205,0))</f>
        <v/>
      </c>
      <c r="AX205" s="29">
        <f>IF(AN205=1,"transition",IF(MIN(IF(AND(I205=0,ISNUMBER(AK205),AK205&lt;=T205),AK205,9E15),IF(AND(J205=0,ISNUMBER(AL205),AL205&lt;=T205),AL205,9E15),IF(AND(K205=0,ISNUMBER(AM205),AM205&lt;=T205),AM205,9E15))&lt;9E15,IF(AND(AND(I205=0,ISNUMBER(AK205),AK205&lt;=T205),AK205=MIN(IF(AND(I205=0,ISNUMBER(AK205),AK205&lt;=T205),AK205,9E15),IF(AND(J205=0,ISNUMBER(AL205),AL205&lt;=T205),AL205,9E15),IF(AND(K205=0,ISNUMBER(AM205),AM205&lt;=T205),AM205,9E15))),"OR",IF(AND(AND(J205=0,ISNUMBER(AL205),AL205&lt;=T205),AL205=MIN(IF(AND(I205=0,ISNUMBER(AK205),AK205&lt;=T205),AK205,9E15),IF(AND(J205=0,ISNUMBER(AL205),AL205&lt;=T205),AL205,9E15),IF(AND(K205=0,ISNUMBER(AM205),AM205&lt;=T205),AM205,9E15))),"HP","FP")),IF(AR205=TRUE,"",IF(MAX(IF(AND(NOT(AND(AO205=1,AN205&lt;&gt;1)),ISNUMBER(AG205),AG205&lt;=T205),AS205,0),IF(AND(NOT(AND(AO205=1,AN205&lt;&gt;1)),ISNUMBER(AH205),AH205&lt;=T205),AT205,0),IF(AND(NOT(AND(AO205=1,AN205&lt;&gt;1)),ISNUMBER(AI205),AI205&lt;=T205),AU205,0),IF(AND(ISNUMBER(AJ205),AJ205&lt;=T205),AV205,0))&lt;=0,"",IF(AND(IF(AND(NOT(AND(AO205=1,AN205&lt;&gt;1)),ISNUMBER(AG205),AG205&lt;=T205),AS205,0)&gt;0,IF(AND(NOT(AND(AO205=1,AN205&lt;&gt;1)),ISNUMBER(AG205),AG205&lt;=T205),AS205,0)=MAX(IF(AND(NOT(AND(AO205=1,AN205&lt;&gt;1)),ISNUMBER(AG205),AG205&lt;=T205),AS205,0),IF(AND(NOT(AND(AO205=1,AN205&lt;&gt;1)),ISNUMBER(AH205),AH205&lt;=T205),AT205,0),IF(AND(NOT(AND(AO205=1,AN205&lt;&gt;1)),ISNUMBER(AI205),AI205&lt;=T205),AU205,0),IF(AND(ISNUMBER(AJ205),AJ205&lt;=T205),AV205,0))),"SW",IF(AND(IF(AND(NOT(AND(AO205=1,AN205&lt;&gt;1)),ISNUMBER(AH205),AH205&lt;=T205),AT205,0)&gt;0,IF(AND(NOT(AND(AO205=1,AN205&lt;&gt;1)),ISNUMBER(AH205),AH205&lt;=T205),AT205,0)=MAX(IF(AND(NOT(AND(AO205=1,AN205&lt;&gt;1)),ISNUMBER(AG205),AG205&lt;=T205),AS205,0),IF(AND(NOT(AND(AO205=1,AN205&lt;&gt;1)),ISNUMBER(AH205),AH205&lt;=T205),AT205,0),IF(AND(NOT(AND(AO205=1,AN205&lt;&gt;1)),ISNUMBER(AI205),AI205&lt;=T205),AU205,0),IF(AND(ISNUMBER(AJ205),AJ205&lt;=T205),AV205,0))),"AB",IF(AND(IF(AND(NOT(AND(AO205=1,AN205&lt;&gt;1)),ISNUMBER(AI205),AI205&lt;=T205),AU205,0)&gt;0,IF(AND(NOT(AND(AO205=1,AN205&lt;&gt;1)),ISNUMBER(AI205),AI205&lt;=T205),AU205,0)=MAX(IF(AND(NOT(AND(AO205=1,AN205&lt;&gt;1)),ISNUMBER(AG205),AG205&lt;=T205),AS205,0),IF(AND(NOT(AND(AO205=1,AN205&lt;&gt;1)),ISNUMBER(AH205),AH205&lt;=T205),AT205,0),IF(AND(NOT(AND(AO205=1,AN205&lt;&gt;1)),ISNUMBER(AI205),AI205&lt;=T205),AU205,0),IF(AND(ISNUMBER(AJ205),AJ205&lt;=T205),AV205,0))),"SC","Mag")))))))</f>
        <v/>
      </c>
    </row>
    <row r="206">
      <c r="A206" s="26" t="n">
        <v>201</v>
      </c>
      <c r="B206" s="27">
        <f>A206*10/60</f>
        <v/>
      </c>
      <c r="C206" s="22">
        <f>X205</f>
        <v/>
      </c>
      <c r="D206" s="27">
        <f>D205+W205</f>
        <v/>
      </c>
      <c r="E206" s="26">
        <f>E205+IF(U205="SW",1,0)</f>
        <v/>
      </c>
      <c r="F206" s="26">
        <f>F205+IF(U205="AB",1,0)</f>
        <v/>
      </c>
      <c r="G206" s="26">
        <f>G205+IF(U205="SC",1,0)</f>
        <v/>
      </c>
      <c r="H206" s="26">
        <f>H205+IF(U205="Mag",1,0)</f>
        <v/>
      </c>
      <c r="I206" s="26">
        <f>MAX(I205,IF(U205="OR",1,0))</f>
        <v/>
      </c>
      <c r="J206" s="26">
        <f>MAX(J205,IF(U205="HP",1,0))</f>
        <v/>
      </c>
      <c r="K206" s="26">
        <f>MAX(K205,IF(U205="FP",1,0))</f>
        <v/>
      </c>
      <c r="L206" s="26">
        <f>MAX(L205,IF(U205="transition",1,0))</f>
        <v/>
      </c>
      <c r="M206" s="28">
        <f>(Parameters!$B$9+(IF(E206=0,0,(Upgrades!$J$6+E206*Upgrades!$K$6)*POWER(Upgrades!$L$6,E206)))*(IF(Upgrades!$T$7="Solar Wind",POWER(Upgrades!$U$7,F206),1)*IF(Upgrades!$T$8="Solar Wind",POWER(Upgrades!$U$8,G206),1)*IF(Upgrades!$T$9="Solar Wind",POWER(Upgrades!$U$9,H206),1)*IF(Upgrades!$T$10="Solar Wind",POWER(Upgrades!$U$10,I206),1)*IF(Upgrades!$T$11="Solar Wind",POWER(Upgrades!$U$11,J206),1)*IF(Upgrades!$T$12="Solar Wind",POWER(Upgrades!$U$12,K206),1))+(IF(F206=0,0,(Upgrades!$J$7+F206*Upgrades!$K$7)*POWER(Upgrades!$L$7,F206)))*(IF(Upgrades!$T$6="Asteroid Belt",POWER(Upgrades!$U$6,E206),1)*IF(Upgrades!$T$8="Asteroid Belt",POWER(Upgrades!$U$8,G206),1)*IF(Upgrades!$T$9="Asteroid Belt",POWER(Upgrades!$U$9,H206),1)*IF(Upgrades!$T$10="Asteroid Belt",POWER(Upgrades!$U$10,I206),1)*IF(Upgrades!$T$11="Asteroid Belt",POWER(Upgrades!$U$11,J206),1)*IF(Upgrades!$T$12="Asteroid Belt",POWER(Upgrades!$U$12,K206),1))+(IF(G206=0,0,(Upgrades!$J$8+G206*Upgrades!$K$8)*POWER(Upgrades!$L$8,G206)))*(IF(Upgrades!$T$6="Stellar Coupling",POWER(Upgrades!$U$6,E206),1)*IF(Upgrades!$T$7="Stellar Coupling",POWER(Upgrades!$U$7,F206),1)*IF(Upgrades!$T$9="Stellar Coupling",POWER(Upgrades!$U$9,H206),1)*IF(Upgrades!$T$10="Stellar Coupling",POWER(Upgrades!$U$10,I206),1)*IF(Upgrades!$T$11="Stellar Coupling",POWER(Upgrades!$U$11,J206),1)*IF(Upgrades!$T$12="Stellar Coupling",POWER(Upgrades!$U$12,K206),1))+(IF(H206=0,0,(Upgrades!$J$9+H206*Upgrades!$K$9)*POWER(Upgrades!$L$9,H206)))*(IF(Upgrades!$T$6="Magnetosphere",POWER(Upgrades!$U$6,E206),1)*IF(Upgrades!$T$7="Magnetosphere",POWER(Upgrades!$U$7,F206),1)*IF(Upgrades!$T$8="Magnetosphere",POWER(Upgrades!$U$8,G206),1)*IF(Upgrades!$T$10="Magnetosphere",POWER(Upgrades!$U$10,I206),1)*IF(Upgrades!$T$11="Magnetosphere",POWER(Upgrades!$U$11,J206),1)*IF(Upgrades!$T$12="Magnetosphere",POWER(Upgrades!$U$12,K206),1))+(IF(I206=0,0,(Upgrades!$J$10+I206*Upgrades!$K$10)*POWER(Upgrades!$L$10,I206)))*(IF(Upgrades!$T$6="Orbital Resonance",POWER(Upgrades!$U$6,E206),1)*IF(Upgrades!$T$7="Orbital Resonance",POWER(Upgrades!$U$7,F206),1)*IF(Upgrades!$T$8="Orbital Resonance",POWER(Upgrades!$U$8,G206),1)*IF(Upgrades!$T$9="Orbital Resonance",POWER(Upgrades!$U$9,H206),1)*IF(Upgrades!$T$11="Orbital Resonance",POWER(Upgrades!$U$11,J206),1)*IF(Upgrades!$T$12="Orbital Resonance",POWER(Upgrades!$U$12,K206),1))+(IF(J206=0,0,(Upgrades!$J$11+J206*Upgrades!$K$11)*POWER(Upgrades!$L$11,J206)))*(IF(Upgrades!$T$6="Heliopause",POWER(Upgrades!$U$6,E206),1)*IF(Upgrades!$T$7="Heliopause",POWER(Upgrades!$U$7,F206),1)*IF(Upgrades!$T$8="Heliopause",POWER(Upgrades!$U$8,G206),1)*IF(Upgrades!$T$9="Heliopause",POWER(Upgrades!$U$9,H206),1)*IF(Upgrades!$T$10="Heliopause",POWER(Upgrades!$U$10,I206),1)*IF(Upgrades!$T$12="Heliopause",POWER(Upgrades!$U$12,K206),1))+(IF(K206=0,0,(Upgrades!$J$12+K206*Upgrades!$K$12)*POWER(Upgrades!$L$12,K206)))*(IF(Upgrades!$T$6="First Photons",POWER(Upgrades!$U$6,E206),1)*IF(Upgrades!$T$7="First Photons",POWER(Upgrades!$U$7,F206),1)*IF(Upgrades!$T$8="First Photons",POWER(Upgrades!$U$8,G206),1)*IF(Upgrades!$T$9="First Photons",POWER(Upgrades!$U$9,H206),1)*IF(Upgrades!$T$10="First Photons",POWER(Upgrades!$U$10,I206),1)*IF(Upgrades!$T$11="First Photons",POWER(Upgrades!$U$11,J206),1)))*POWER(Upgrades!$Q$6,E206)*POWER(Upgrades!$Q$7,F206)*POWER(Upgrades!$Q$8,G206)*POWER(Upgrades!$Q$9,H206)*POWER(Upgrades!$Q$10,I206)*POWER(Upgrades!$Q$11,J206)*POWER(Upgrades!$Q$12,K206)</f>
        <v/>
      </c>
      <c r="N206" s="28">
        <f>((IF(E206=0,0,(Upgrades!$G$6+E206*Upgrades!$H$6)*POWER(Upgrades!$I$6,E206)))*(IF(Upgrades!$T$7="Solar Wind",POWER(Upgrades!$U$7,F206),1)*IF(Upgrades!$T$8="Solar Wind",POWER(Upgrades!$U$8,G206),1)*IF(Upgrades!$T$9="Solar Wind",POWER(Upgrades!$U$9,H206),1)*IF(Upgrades!$T$10="Solar Wind",POWER(Upgrades!$U$10,I206),1)*IF(Upgrades!$T$11="Solar Wind",POWER(Upgrades!$U$11,J206),1)*IF(Upgrades!$T$12="Solar Wind",POWER(Upgrades!$U$12,K206),1))+(IF(F206=0,0,(Upgrades!$G$7+F206*Upgrades!$H$7)*POWER(Upgrades!$I$7,F206)))*(IF(Upgrades!$T$6="Asteroid Belt",POWER(Upgrades!$U$6,E206),1)*IF(Upgrades!$T$8="Asteroid Belt",POWER(Upgrades!$U$8,G206),1)*IF(Upgrades!$T$9="Asteroid Belt",POWER(Upgrades!$U$9,H206),1)*IF(Upgrades!$T$10="Asteroid Belt",POWER(Upgrades!$U$10,I206),1)*IF(Upgrades!$T$11="Asteroid Belt",POWER(Upgrades!$U$11,J206),1)*IF(Upgrades!$T$12="Asteroid Belt",POWER(Upgrades!$U$12,K206),1))+(IF(G206=0,0,(Upgrades!$G$8+G206*Upgrades!$H$8)*POWER(Upgrades!$I$8,G206)))*(IF(Upgrades!$T$6="Stellar Coupling",POWER(Upgrades!$U$6,E206),1)*IF(Upgrades!$T$7="Stellar Coupling",POWER(Upgrades!$U$7,F206),1)*IF(Upgrades!$T$9="Stellar Coupling",POWER(Upgrades!$U$9,H206),1)*IF(Upgrades!$T$10="Stellar Coupling",POWER(Upgrades!$U$10,I206),1)*IF(Upgrades!$T$11="Stellar Coupling",POWER(Upgrades!$U$11,J206),1)*IF(Upgrades!$T$12="Stellar Coupling",POWER(Upgrades!$U$12,K206),1))+(IF(H206=0,0,(Upgrades!$G$9+H206*Upgrades!$H$9)*POWER(Upgrades!$I$9,H206)))*(IF(Upgrades!$T$6="Magnetosphere",POWER(Upgrades!$U$6,E206),1)*IF(Upgrades!$T$7="Magnetosphere",POWER(Upgrades!$U$7,F206),1)*IF(Upgrades!$T$8="Magnetosphere",POWER(Upgrades!$U$8,G206),1)*IF(Upgrades!$T$10="Magnetosphere",POWER(Upgrades!$U$10,I206),1)*IF(Upgrades!$T$11="Magnetosphere",POWER(Upgrades!$U$11,J206),1)*IF(Upgrades!$T$12="Magnetosphere",POWER(Upgrades!$U$12,K206),1))+(IF(I206=0,0,(Upgrades!$G$10+I206*Upgrades!$H$10)*POWER(Upgrades!$I$10,I206)))*(IF(Upgrades!$T$6="Orbital Resonance",POWER(Upgrades!$U$6,E206),1)*IF(Upgrades!$T$7="Orbital Resonance",POWER(Upgrades!$U$7,F206),1)*IF(Upgrades!$T$8="Orbital Resonance",POWER(Upgrades!$U$8,G206),1)*IF(Upgrades!$T$9="Orbital Resonance",POWER(Upgrades!$U$9,H206),1)*IF(Upgrades!$T$11="Orbital Resonance",POWER(Upgrades!$U$11,J206),1)*IF(Upgrades!$T$12="Orbital Resonance",POWER(Upgrades!$U$12,K206),1))+(IF(J206=0,0,(Upgrades!$G$11+J206*Upgrades!$H$11)*POWER(Upgrades!$I$11,J206)))*(IF(Upgrades!$T$6="Heliopause",POWER(Upgrades!$U$6,E206),1)*IF(Upgrades!$T$7="Heliopause",POWER(Upgrades!$U$7,F206),1)*IF(Upgrades!$T$8="Heliopause",POWER(Upgrades!$U$8,G206),1)*IF(Upgrades!$T$9="Heliopause",POWER(Upgrades!$U$9,H206),1)*IF(Upgrades!$T$10="Heliopause",POWER(Upgrades!$U$10,I206),1)*IF(Upgrades!$T$12="Heliopause",POWER(Upgrades!$U$12,K206),1))+(IF(K206=0,0,(Upgrades!$G$12+K206*Upgrades!$H$12)*POWER(Upgrades!$I$12,K206)))*(IF(Upgrades!$T$6="First Photons",POWER(Upgrades!$U$6,E206),1)*IF(Upgrades!$T$7="First Photons",POWER(Upgrades!$U$7,F206),1)*IF(Upgrades!$T$8="First Photons",POWER(Upgrades!$U$8,G206),1)*IF(Upgrades!$T$9="First Photons",POWER(Upgrades!$U$9,H206),1)*IF(Upgrades!$T$10="First Photons",POWER(Upgrades!$U$10,I206),1)*IF(Upgrades!$T$11="First Photons",POWER(Upgrades!$U$11,J206),1)))*POWER(Upgrades!$P$6,E206)*POWER(Upgrades!$P$7,F206)*POWER(Upgrades!$P$8,G206)*POWER(Upgrades!$P$9,H206)*POWER(Upgrades!$P$10,I206)*POWER(Upgrades!$P$11,J206)*POWER(Upgrades!$P$12,K206)</f>
        <v/>
      </c>
      <c r="O206" s="28">
        <f>((IF(E206=0,0,(Upgrades!$M$6+E206*Upgrades!$N$6)*POWER(Upgrades!$O$6,E206)))*(IF(Upgrades!$T$7="Solar Wind",POWER(Upgrades!$U$7,F206),1)*IF(Upgrades!$T$8="Solar Wind",POWER(Upgrades!$U$8,G206),1)*IF(Upgrades!$T$9="Solar Wind",POWER(Upgrades!$U$9,H206),1)*IF(Upgrades!$T$10="Solar Wind",POWER(Upgrades!$U$10,I206),1)*IF(Upgrades!$T$11="Solar Wind",POWER(Upgrades!$U$11,J206),1)*IF(Upgrades!$T$12="Solar Wind",POWER(Upgrades!$U$12,K206),1))+(IF(F206=0,0,(Upgrades!$M$7+F206*Upgrades!$N$7)*POWER(Upgrades!$O$7,F206)))*(IF(Upgrades!$T$6="Asteroid Belt",POWER(Upgrades!$U$6,E206),1)*IF(Upgrades!$T$8="Asteroid Belt",POWER(Upgrades!$U$8,G206),1)*IF(Upgrades!$T$9="Asteroid Belt",POWER(Upgrades!$U$9,H206),1)*IF(Upgrades!$T$10="Asteroid Belt",POWER(Upgrades!$U$10,I206),1)*IF(Upgrades!$T$11="Asteroid Belt",POWER(Upgrades!$U$11,J206),1)*IF(Upgrades!$T$12="Asteroid Belt",POWER(Upgrades!$U$12,K206),1))+(IF(G206=0,0,(Upgrades!$M$8+G206*Upgrades!$N$8)*POWER(Upgrades!$O$8,G206)))*(IF(Upgrades!$T$6="Stellar Coupling",POWER(Upgrades!$U$6,E206),1)*IF(Upgrades!$T$7="Stellar Coupling",POWER(Upgrades!$U$7,F206),1)*IF(Upgrades!$T$9="Stellar Coupling",POWER(Upgrades!$U$9,H206),1)*IF(Upgrades!$T$10="Stellar Coupling",POWER(Upgrades!$U$10,I206),1)*IF(Upgrades!$T$11="Stellar Coupling",POWER(Upgrades!$U$11,J206),1)*IF(Upgrades!$T$12="Stellar Coupling",POWER(Upgrades!$U$12,K206),1))+(IF(H206=0,0,(Upgrades!$M$9+H206*Upgrades!$N$9)*POWER(Upgrades!$O$9,H206)))*(IF(Upgrades!$T$6="Magnetosphere",POWER(Upgrades!$U$6,E206),1)*IF(Upgrades!$T$7="Magnetosphere",POWER(Upgrades!$U$7,F206),1)*IF(Upgrades!$T$8="Magnetosphere",POWER(Upgrades!$U$8,G206),1)*IF(Upgrades!$T$10="Magnetosphere",POWER(Upgrades!$U$10,I206),1)*IF(Upgrades!$T$11="Magnetosphere",POWER(Upgrades!$U$11,J206),1)*IF(Upgrades!$T$12="Magnetosphere",POWER(Upgrades!$U$12,K206),1))+(IF(I206=0,0,(Upgrades!$M$10+I206*Upgrades!$N$10)*POWER(Upgrades!$O$10,I206)))*(IF(Upgrades!$T$6="Orbital Resonance",POWER(Upgrades!$U$6,E206),1)*IF(Upgrades!$T$7="Orbital Resonance",POWER(Upgrades!$U$7,F206),1)*IF(Upgrades!$T$8="Orbital Resonance",POWER(Upgrades!$U$8,G206),1)*IF(Upgrades!$T$9="Orbital Resonance",POWER(Upgrades!$U$9,H206),1)*IF(Upgrades!$T$11="Orbital Resonance",POWER(Upgrades!$U$11,J206),1)*IF(Upgrades!$T$12="Orbital Resonance",POWER(Upgrades!$U$12,K206),1))+(IF(J206=0,0,(Upgrades!$M$11+J206*Upgrades!$N$11)*POWER(Upgrades!$O$11,J206)))*(IF(Upgrades!$T$6="Heliopause",POWER(Upgrades!$U$6,E206),1)*IF(Upgrades!$T$7="Heliopause",POWER(Upgrades!$U$7,F206),1)*IF(Upgrades!$T$8="Heliopause",POWER(Upgrades!$U$8,G206),1)*IF(Upgrades!$T$9="Heliopause",POWER(Upgrades!$U$9,H206),1)*IF(Upgrades!$T$10="Heliopause",POWER(Upgrades!$U$10,I206),1)*IF(Upgrades!$T$12="Heliopause",POWER(Upgrades!$U$12,K206),1))+(IF(K206=0,0,(Upgrades!$M$12+K206*Upgrades!$N$12)*POWER(Upgrades!$O$12,K206)))*(IF(Upgrades!$T$6="First Photons",POWER(Upgrades!$U$6,E206),1)*IF(Upgrades!$T$7="First Photons",POWER(Upgrades!$U$7,F206),1)*IF(Upgrades!$T$8="First Photons",POWER(Upgrades!$U$8,G206),1)*IF(Upgrades!$T$9="First Photons",POWER(Upgrades!$U$9,H206),1)*IF(Upgrades!$T$10="First Photons",POWER(Upgrades!$U$10,I206),1)*IF(Upgrades!$T$11="First Photons",POWER(Upgrades!$U$11,J206),1)))*POWER(Upgrades!$R$6,E206)*POWER(Upgrades!$R$7,F206)*POWER(Upgrades!$R$8,G206)*POWER(Upgrades!$R$9,H206)*POWER(Upgrades!$R$10,I206)*POWER(Upgrades!$R$11,J206)*POWER(Upgrades!$R$12,K206)</f>
        <v/>
      </c>
      <c r="P206" s="27">
        <f>IF(L206=1,0,M206*Parameters!$B$10/60*Parameters!$B$11*10)</f>
        <v/>
      </c>
      <c r="Q206" s="27">
        <f>IF(L206=1,0,O206*M206*10)</f>
        <v/>
      </c>
      <c r="R206" s="27">
        <f>IF(L206=1,0,N206*10)</f>
        <v/>
      </c>
      <c r="S206" s="27">
        <f>P206+Q206+R206</f>
        <v/>
      </c>
      <c r="T206" s="22">
        <f>C206+S206</f>
        <v/>
      </c>
      <c r="U206" s="33">
        <f>AX206</f>
        <v/>
      </c>
      <c r="V206" s="22">
        <f>IF(U206="",0,IF(U206="transition",0,IF(U206="SW",AG206,IF(U206="AB",AH206,IF(U206="SC",AI206,IF(U206="Mag",AJ206,IF(U206="OR",AK206,IF(U206="HP",AL206,IF(U206="FP",AM206,0)))))))))</f>
        <v/>
      </c>
      <c r="W206" s="27">
        <f>IF(U206="OR",Upgrades!$F$10,IF(U206="HP",Upgrades!$F$11,IF(U206="transition",-Parameters!$B$18,0)))</f>
        <v/>
      </c>
      <c r="X206" s="22">
        <f>T206-V206</f>
        <v/>
      </c>
      <c r="Y206" s="30">
        <f>M206*Parameters!$B$10/60*Parameters!$B$11+O206*M206+N206</f>
        <v/>
      </c>
      <c r="Z206" s="34">
        <f>IF(U206="transition","→ Tier 2 (Stellar Neighborhood)",IF(U206="FP","First Photons — light begins, system quickens",IF(U206="HP","Heliopause acquired",IF(U206="OR","Orbital Resonance — passive multiplier active",IF(AND(AO206=1,L206=0,AN206&lt;&gt;1),"Cohesion ready (waiting on completionist upgrades)","")))))</f>
        <v/>
      </c>
      <c r="AA206" s="27">
        <f>(IF(E206=0,0,(Upgrades!$G$6+E206*Upgrades!$H$6)*POWER(Upgrades!$I$6,E206)))*(IF(Upgrades!$T$7="Solar Wind",POWER(Upgrades!$U$7,F206),1)*IF(Upgrades!$T$8="Solar Wind",POWER(Upgrades!$U$8,G206),1)*IF(Upgrades!$T$9="Solar Wind",POWER(Upgrades!$U$9,H206),1)*IF(Upgrades!$T$10="Solar Wind",POWER(Upgrades!$U$10,I206),1)*IF(Upgrades!$T$11="Solar Wind",POWER(Upgrades!$U$11,J206),1)*IF(Upgrades!$T$12="Solar Wind",POWER(Upgrades!$U$12,K206),1))*POWER(Upgrades!$P$6,E206)*POWER(Upgrades!$P$7,F206)*POWER(Upgrades!$P$8,G206)*POWER(Upgrades!$P$9,H206)*POWER(Upgrades!$P$10,I206)*POWER(Upgrades!$P$11,J206)*POWER(Upgrades!$P$12,K206)*60</f>
        <v/>
      </c>
      <c r="AB206" s="27">
        <f>(IF(F206=0,0,(Upgrades!$G$7+F206*Upgrades!$H$7)*POWER(Upgrades!$I$7,F206)))*(IF(Upgrades!$T$6="Asteroid Belt",POWER(Upgrades!$U$6,E206),1)*IF(Upgrades!$T$8="Asteroid Belt",POWER(Upgrades!$U$8,G206),1)*IF(Upgrades!$T$9="Asteroid Belt",POWER(Upgrades!$U$9,H206),1)*IF(Upgrades!$T$10="Asteroid Belt",POWER(Upgrades!$U$10,I206),1)*IF(Upgrades!$T$11="Asteroid Belt",POWER(Upgrades!$U$11,J206),1)*IF(Upgrades!$T$12="Asteroid Belt",POWER(Upgrades!$U$12,K206),1))*POWER(Upgrades!$P$6,E206)*POWER(Upgrades!$P$7,F206)*POWER(Upgrades!$P$8,G206)*POWER(Upgrades!$P$9,H206)*POWER(Upgrades!$P$10,I206)*POWER(Upgrades!$P$11,J206)*POWER(Upgrades!$P$12,K206)*60</f>
        <v/>
      </c>
      <c r="AC206" s="27">
        <f>(IF(G206=0,0,(Upgrades!$J$8+G206*Upgrades!$K$8)*POWER(Upgrades!$L$8,G206)))*(IF(Upgrades!$T$6="Stellar Coupling",POWER(Upgrades!$U$6,E206),1)*IF(Upgrades!$T$7="Stellar Coupling",POWER(Upgrades!$U$7,F206),1)*IF(Upgrades!$T$9="Stellar Coupling",POWER(Upgrades!$U$9,H206),1)*IF(Upgrades!$T$10="Stellar Coupling",POWER(Upgrades!$U$10,I206),1)*IF(Upgrades!$T$11="Stellar Coupling",POWER(Upgrades!$U$11,J206),1)*IF(Upgrades!$T$12="Stellar Coupling",POWER(Upgrades!$U$12,K206),1))*POWER(Upgrades!$Q$6,E206)*POWER(Upgrades!$Q$7,F206)*POWER(Upgrades!$Q$8,G206)*POWER(Upgrades!$Q$9,H206)*POWER(Upgrades!$Q$10,I206)*POWER(Upgrades!$Q$11,J206)*POWER(Upgrades!$Q$12,K206)*Parameters!$B$10*Parameters!$B$11</f>
        <v/>
      </c>
      <c r="AD206" s="27">
        <f>(IF(H206=0,0,(Upgrades!$G$9+H206*Upgrades!$H$9)*POWER(Upgrades!$I$9,H206)))*(IF(Upgrades!$T$6="Magnetosphere",POWER(Upgrades!$U$6,E206),1)*IF(Upgrades!$T$7="Magnetosphere",POWER(Upgrades!$U$7,F206),1)*IF(Upgrades!$T$8="Magnetosphere",POWER(Upgrades!$U$8,G206),1)*IF(Upgrades!$T$10="Magnetosphere",POWER(Upgrades!$U$10,I206),1)*IF(Upgrades!$T$11="Magnetosphere",POWER(Upgrades!$U$11,J206),1)*IF(Upgrades!$T$12="Magnetosphere",POWER(Upgrades!$U$12,K206),1))*POWER(Upgrades!$P$6,E206)*POWER(Upgrades!$P$7,F206)*POWER(Upgrades!$P$8,G206)*POWER(Upgrades!$P$9,H206)*POWER(Upgrades!$P$10,I206)*POWER(Upgrades!$P$11,J206)*POWER(Upgrades!$P$12,K206)*60</f>
        <v/>
      </c>
      <c r="AE206" s="27">
        <f>(IF(K206=0,0,(Upgrades!$G$12+K206*Upgrades!$H$12)*POWER(Upgrades!$I$12,K206)))*(IF(Upgrades!$T$6="First Photons",POWER(Upgrades!$U$6,E206),1)*IF(Upgrades!$T$7="First Photons",POWER(Upgrades!$U$7,F206),1)*IF(Upgrades!$T$8="First Photons",POWER(Upgrades!$U$8,G206),1)*IF(Upgrades!$T$9="First Photons",POWER(Upgrades!$U$9,H206),1)*IF(Upgrades!$T$10="First Photons",POWER(Upgrades!$U$10,I206),1)*IF(Upgrades!$T$11="First Photons",POWER(Upgrades!$U$11,J206),1))*POWER(Upgrades!$P$6,E206)*POWER(Upgrades!$P$7,F206)*POWER(Upgrades!$P$8,G206)*POWER(Upgrades!$P$9,H206)*POWER(Upgrades!$P$10,I206)*POWER(Upgrades!$P$11,J206)*POWER(Upgrades!$P$12,K206)*60</f>
        <v/>
      </c>
      <c r="AF206" s="27">
        <f>Parameters!$B$9*POWER(Upgrades!$Q$6,E206)*POWER(Upgrades!$Q$7,F206)*POWER(Upgrades!$Q$8,G206)*POWER(Upgrades!$Q$9,H206)*POWER(Upgrades!$Q$10,I206)*POWER(Upgrades!$Q$11,J206)*POWER(Upgrades!$Q$12,K206)*(Parameters!$B$10*Parameters!$B$11+O206*60)</f>
        <v/>
      </c>
      <c r="AG206" s="22">
        <f>IF(E206&gt;=Upgrades!$E$6,"",Upgrades!$C$6*POWER(Upgrades!$D$6,E206))</f>
        <v/>
      </c>
      <c r="AH206" s="22">
        <f>IF(F206&gt;=Upgrades!$E$7,"",Upgrades!$C$7*POWER(Upgrades!$D$7,F206))</f>
        <v/>
      </c>
      <c r="AI206" s="22">
        <f>IF(G206&gt;=Upgrades!$E$8,"",Upgrades!$C$8*POWER(Upgrades!$D$8,G206))</f>
        <v/>
      </c>
      <c r="AJ206" s="22">
        <f>IF(H206&gt;=Upgrades!$E$9,"",Upgrades!$C$9*POWER(Upgrades!$D$9,H206))</f>
        <v/>
      </c>
      <c r="AK206" s="22">
        <f>IF(I206&gt;=Upgrades!$E$10,"",Upgrades!$C$10*POWER(Upgrades!$D$10,I206))</f>
        <v/>
      </c>
      <c r="AL206" s="22">
        <f>IF(J206&gt;=Upgrades!$E$11,"",Upgrades!$C$11*POWER(Upgrades!$D$11,J206))</f>
        <v/>
      </c>
      <c r="AM206" s="22">
        <f>IF(K206&gt;=Upgrades!$E$12,"",Upgrades!$C$12*POWER(Upgrades!$D$12,K206))</f>
        <v/>
      </c>
      <c r="AN206" s="26">
        <f>IF(AND(D206&gt;=Parameters!$B$18,(H206&gt;=Upgrades!$E$9)*(K206&gt;=Upgrades!$E$12)=1,L206=0),1,"")</f>
        <v/>
      </c>
      <c r="AO206" s="26">
        <f>IF(AND(D206&gt;=Parameters!$B$18,L206=0),1,"")</f>
        <v/>
      </c>
      <c r="AP206" s="22">
        <f>MIN(IF(ISNUMBER(AK206),AK206,9E15),IF(ISNUMBER(AL206),AL206,9E15),IF(ISNUMBER(AM206),AM206,9E15))</f>
        <v/>
      </c>
      <c r="AQ206" s="22">
        <f>MIN(IF(ISNUMBER(AG206),AG206,9E15),IF(ISNUMBER(AH206),AH206,9E15),IF(ISNUMBER(AI206),AI206,9E15),IF(ISNUMBER(AJ206),AJ206,9E15))</f>
        <v/>
      </c>
      <c r="AR206" s="29">
        <f>IF(AW206&gt;Parameters!$B$21*(MAX(IF(AND(NOT(AND(AO206=1,AN206&lt;&gt;1)),ISNUMBER(AG206),AG206&lt;=T206),AS206,0),IF(AND(NOT(AND(AO206=1,AN206&lt;&gt;1)),ISNUMBER(AH206),AH206&lt;=T206),AT206,0),IF(AND(NOT(AND(AO206=1,AN206&lt;&gt;1)),ISNUMBER(AI206),AI206&lt;=T206),AU206,0),IF(AND(ISNUMBER(AJ206),AJ206&lt;=T206),AV206,0))),TRUE,FALSE)</f>
        <v/>
      </c>
      <c r="AS206" s="32">
        <f>IFERROR(Upgrades!$H$6*(POWER(Upgrades!$P$6,E206)*POWER(Upgrades!$P$7,F206)*POWER(Upgrades!$P$8,G206)*POWER(Upgrades!$P$9,H206)*POWER(Upgrades!$P$10,I206)*POWER(Upgrades!$P$11,J206)*POWER(Upgrades!$P$12,K206))*(IF(Upgrades!$T$7="Solar Wind",POWER(Upgrades!$U$7,F206),1)*IF(Upgrades!$T$8="Solar Wind",POWER(Upgrades!$U$8,G206),1)*IF(Upgrades!$T$9="Solar Wind",POWER(Upgrades!$U$9,H206),1)*IF(Upgrades!$T$10="Solar Wind",POWER(Upgrades!$U$10,I206),1)*IF(Upgrades!$T$11="Solar Wind",POWER(Upgrades!$U$11,J206),1)*IF(Upgrades!$T$12="Solar Wind",POWER(Upgrades!$U$12,K206),1))/AG206,0)</f>
        <v/>
      </c>
      <c r="AT206" s="32">
        <f>IFERROR(Upgrades!$H$7*(POWER(Upgrades!$P$6,E206)*POWER(Upgrades!$P$7,F206)*POWER(Upgrades!$P$8,G206)*POWER(Upgrades!$P$9,H206)*POWER(Upgrades!$P$10,I206)*POWER(Upgrades!$P$11,J206)*POWER(Upgrades!$P$12,K206))*(IF(Upgrades!$T$6="Asteroid Belt",POWER(Upgrades!$U$6,E206),1)*IF(Upgrades!$T$8="Asteroid Belt",POWER(Upgrades!$U$8,G206),1)*IF(Upgrades!$T$9="Asteroid Belt",POWER(Upgrades!$U$9,H206),1)*IF(Upgrades!$T$10="Asteroid Belt",POWER(Upgrades!$U$10,I206),1)*IF(Upgrades!$T$11="Asteroid Belt",POWER(Upgrades!$U$11,J206),1)*IF(Upgrades!$T$12="Asteroid Belt",POWER(Upgrades!$U$12,K206),1))/AH206,0)</f>
        <v/>
      </c>
      <c r="AU206" s="32">
        <f>IFERROR(Upgrades!$K$8*(POWER(Upgrades!$Q$6,E206)*POWER(Upgrades!$Q$7,F206)*POWER(Upgrades!$Q$8,G206)*POWER(Upgrades!$Q$9,H206)*POWER(Upgrades!$Q$10,I206)*POWER(Upgrades!$Q$11,J206)*POWER(Upgrades!$Q$12,K206))*(IF(Upgrades!$T$6="Stellar Coupling",POWER(Upgrades!$U$6,E206),1)*IF(Upgrades!$T$7="Stellar Coupling",POWER(Upgrades!$U$7,F206),1)*IF(Upgrades!$T$9="Stellar Coupling",POWER(Upgrades!$U$9,H206),1)*IF(Upgrades!$T$10="Stellar Coupling",POWER(Upgrades!$U$10,I206),1)*IF(Upgrades!$T$11="Stellar Coupling",POWER(Upgrades!$U$11,J206),1)*IF(Upgrades!$T$12="Stellar Coupling",POWER(Upgrades!$U$12,K206),1))*Parameters!$B$10*Parameters!$B$11/60/AI206,0)</f>
        <v/>
      </c>
      <c r="AV206" s="32">
        <f>IFERROR(Upgrades!$H$9*(POWER(Upgrades!$P$6,E206)*POWER(Upgrades!$P$7,F206)*POWER(Upgrades!$P$8,G206)*POWER(Upgrades!$P$9,H206)*POWER(Upgrades!$P$10,I206)*POWER(Upgrades!$P$11,J206)*POWER(Upgrades!$P$12,K206))*(IF(Upgrades!$T$6="Magnetosphere",POWER(Upgrades!$U$6,E206),1)*IF(Upgrades!$T$7="Magnetosphere",POWER(Upgrades!$U$7,F206),1)*IF(Upgrades!$T$8="Magnetosphere",POWER(Upgrades!$U$8,G206),1)*IF(Upgrades!$T$10="Magnetosphere",POWER(Upgrades!$U$10,I206),1)*IF(Upgrades!$T$11="Magnetosphere",POWER(Upgrades!$U$11,J206),1)*IF(Upgrades!$T$12="Magnetosphere",POWER(Upgrades!$U$12,K206),1))/AJ206,0)</f>
        <v/>
      </c>
      <c r="AW206" s="32">
        <f>MAX(IF(I206&gt;0,0,IFERROR(0.25*N206/Upgrades!$C$10,0)),IF(J206&gt;0,0,IFERROR(0.5*((IF(G206=0,0,(Upgrades!$J$8+G206*Upgrades!$K$8)*POWER(Upgrades!$L$8,G206)))*(IF(Upgrades!$T$6="Stellar Coupling",POWER(Upgrades!$U$6,E206),1)*IF(Upgrades!$T$7="Stellar Coupling",POWER(Upgrades!$U$7,F206),1)*IF(Upgrades!$T$9="Stellar Coupling",POWER(Upgrades!$U$9,H206),1)*IF(Upgrades!$T$10="Stellar Coupling",POWER(Upgrades!$U$10,I206),1)*IF(Upgrades!$T$11="Stellar Coupling",POWER(Upgrades!$U$11,J206),1)*IF(Upgrades!$T$12="Stellar Coupling",POWER(Upgrades!$U$12,K206),1))*(POWER(Upgrades!$Q$6,E206)*POWER(Upgrades!$Q$7,F206)*POWER(Upgrades!$Q$8,G206)*POWER(Upgrades!$Q$9,H206)*POWER(Upgrades!$Q$10,I206)*POWER(Upgrades!$Q$11,J206)*POWER(Upgrades!$Q$12,K206))*Parameters!$B$10*Parameters!$B$11/60)/Upgrades!$C$11,0)),IF(K206&gt;0,0,IFERROR((1.0*(POWER(Upgrades!$P$6,E206)*POWER(Upgrades!$P$7,F206)*POWER(Upgrades!$P$8,G206)*POWER(Upgrades!$P$9,H206)*POWER(Upgrades!$P$10,I206)*POWER(Upgrades!$P$11,J206)*POWER(Upgrades!$P$12,K206))+0.20*M206*Parameters!$B$10*Parameters!$B$11/60)/Upgrades!$C$12,0)),IF(AND(ISNUMBER(AG206),AG206&gt;T206),AS206,0),IF(AND(ISNUMBER(AH206),AH206&gt;T206),AT206,0),IF(AND(ISNUMBER(AI206),AI206&gt;T206),AU206,0),IF(AND(ISNUMBER(AJ206),AJ206&gt;T206),AV206,0))</f>
        <v/>
      </c>
      <c r="AX206" s="29">
        <f>IF(AN206=1,"transition",IF(MIN(IF(AND(I206=0,ISNUMBER(AK206),AK206&lt;=T206),AK206,9E15),IF(AND(J206=0,ISNUMBER(AL206),AL206&lt;=T206),AL206,9E15),IF(AND(K206=0,ISNUMBER(AM206),AM206&lt;=T206),AM206,9E15))&lt;9E15,IF(AND(AND(I206=0,ISNUMBER(AK206),AK206&lt;=T206),AK206=MIN(IF(AND(I206=0,ISNUMBER(AK206),AK206&lt;=T206),AK206,9E15),IF(AND(J206=0,ISNUMBER(AL206),AL206&lt;=T206),AL206,9E15),IF(AND(K206=0,ISNUMBER(AM206),AM206&lt;=T206),AM206,9E15))),"OR",IF(AND(AND(J206=0,ISNUMBER(AL206),AL206&lt;=T206),AL206=MIN(IF(AND(I206=0,ISNUMBER(AK206),AK206&lt;=T206),AK206,9E15),IF(AND(J206=0,ISNUMBER(AL206),AL206&lt;=T206),AL206,9E15),IF(AND(K206=0,ISNUMBER(AM206),AM206&lt;=T206),AM206,9E15))),"HP","FP")),IF(AR206=TRUE,"",IF(MAX(IF(AND(NOT(AND(AO206=1,AN206&lt;&gt;1)),ISNUMBER(AG206),AG206&lt;=T206),AS206,0),IF(AND(NOT(AND(AO206=1,AN206&lt;&gt;1)),ISNUMBER(AH206),AH206&lt;=T206),AT206,0),IF(AND(NOT(AND(AO206=1,AN206&lt;&gt;1)),ISNUMBER(AI206),AI206&lt;=T206),AU206,0),IF(AND(ISNUMBER(AJ206),AJ206&lt;=T206),AV206,0))&lt;=0,"",IF(AND(IF(AND(NOT(AND(AO206=1,AN206&lt;&gt;1)),ISNUMBER(AG206),AG206&lt;=T206),AS206,0)&gt;0,IF(AND(NOT(AND(AO206=1,AN206&lt;&gt;1)),ISNUMBER(AG206),AG206&lt;=T206),AS206,0)=MAX(IF(AND(NOT(AND(AO206=1,AN206&lt;&gt;1)),ISNUMBER(AG206),AG206&lt;=T206),AS206,0),IF(AND(NOT(AND(AO206=1,AN206&lt;&gt;1)),ISNUMBER(AH206),AH206&lt;=T206),AT206,0),IF(AND(NOT(AND(AO206=1,AN206&lt;&gt;1)),ISNUMBER(AI206),AI206&lt;=T206),AU206,0),IF(AND(ISNUMBER(AJ206),AJ206&lt;=T206),AV206,0))),"SW",IF(AND(IF(AND(NOT(AND(AO206=1,AN206&lt;&gt;1)),ISNUMBER(AH206),AH206&lt;=T206),AT206,0)&gt;0,IF(AND(NOT(AND(AO206=1,AN206&lt;&gt;1)),ISNUMBER(AH206),AH206&lt;=T206),AT206,0)=MAX(IF(AND(NOT(AND(AO206=1,AN206&lt;&gt;1)),ISNUMBER(AG206),AG206&lt;=T206),AS206,0),IF(AND(NOT(AND(AO206=1,AN206&lt;&gt;1)),ISNUMBER(AH206),AH206&lt;=T206),AT206,0),IF(AND(NOT(AND(AO206=1,AN206&lt;&gt;1)),ISNUMBER(AI206),AI206&lt;=T206),AU206,0),IF(AND(ISNUMBER(AJ206),AJ206&lt;=T206),AV206,0))),"AB",IF(AND(IF(AND(NOT(AND(AO206=1,AN206&lt;&gt;1)),ISNUMBER(AI206),AI206&lt;=T206),AU206,0)&gt;0,IF(AND(NOT(AND(AO206=1,AN206&lt;&gt;1)),ISNUMBER(AI206),AI206&lt;=T206),AU206,0)=MAX(IF(AND(NOT(AND(AO206=1,AN206&lt;&gt;1)),ISNUMBER(AG206),AG206&lt;=T206),AS206,0),IF(AND(NOT(AND(AO206=1,AN206&lt;&gt;1)),ISNUMBER(AH206),AH206&lt;=T206),AT206,0),IF(AND(NOT(AND(AO206=1,AN206&lt;&gt;1)),ISNUMBER(AI206),AI206&lt;=T206),AU206,0),IF(AND(ISNUMBER(AJ206),AJ206&lt;=T206),AV206,0))),"SC","Mag")))))))</f>
        <v/>
      </c>
    </row>
    <row r="207">
      <c r="A207" s="26" t="n">
        <v>202</v>
      </c>
      <c r="B207" s="27">
        <f>A207*10/60</f>
        <v/>
      </c>
      <c r="C207" s="22">
        <f>X206</f>
        <v/>
      </c>
      <c r="D207" s="27">
        <f>D206+W206</f>
        <v/>
      </c>
      <c r="E207" s="26">
        <f>E206+IF(U206="SW",1,0)</f>
        <v/>
      </c>
      <c r="F207" s="26">
        <f>F206+IF(U206="AB",1,0)</f>
        <v/>
      </c>
      <c r="G207" s="26">
        <f>G206+IF(U206="SC",1,0)</f>
        <v/>
      </c>
      <c r="H207" s="26">
        <f>H206+IF(U206="Mag",1,0)</f>
        <v/>
      </c>
      <c r="I207" s="26">
        <f>MAX(I206,IF(U206="OR",1,0))</f>
        <v/>
      </c>
      <c r="J207" s="26">
        <f>MAX(J206,IF(U206="HP",1,0))</f>
        <v/>
      </c>
      <c r="K207" s="26">
        <f>MAX(K206,IF(U206="FP",1,0))</f>
        <v/>
      </c>
      <c r="L207" s="26">
        <f>MAX(L206,IF(U206="transition",1,0))</f>
        <v/>
      </c>
      <c r="M207" s="28">
        <f>(Parameters!$B$9+(IF(E207=0,0,(Upgrades!$J$6+E207*Upgrades!$K$6)*POWER(Upgrades!$L$6,E207)))*(IF(Upgrades!$T$7="Solar Wind",POWER(Upgrades!$U$7,F207),1)*IF(Upgrades!$T$8="Solar Wind",POWER(Upgrades!$U$8,G207),1)*IF(Upgrades!$T$9="Solar Wind",POWER(Upgrades!$U$9,H207),1)*IF(Upgrades!$T$10="Solar Wind",POWER(Upgrades!$U$10,I207),1)*IF(Upgrades!$T$11="Solar Wind",POWER(Upgrades!$U$11,J207),1)*IF(Upgrades!$T$12="Solar Wind",POWER(Upgrades!$U$12,K207),1))+(IF(F207=0,0,(Upgrades!$J$7+F207*Upgrades!$K$7)*POWER(Upgrades!$L$7,F207)))*(IF(Upgrades!$T$6="Asteroid Belt",POWER(Upgrades!$U$6,E207),1)*IF(Upgrades!$T$8="Asteroid Belt",POWER(Upgrades!$U$8,G207),1)*IF(Upgrades!$T$9="Asteroid Belt",POWER(Upgrades!$U$9,H207),1)*IF(Upgrades!$T$10="Asteroid Belt",POWER(Upgrades!$U$10,I207),1)*IF(Upgrades!$T$11="Asteroid Belt",POWER(Upgrades!$U$11,J207),1)*IF(Upgrades!$T$12="Asteroid Belt",POWER(Upgrades!$U$12,K207),1))+(IF(G207=0,0,(Upgrades!$J$8+G207*Upgrades!$K$8)*POWER(Upgrades!$L$8,G207)))*(IF(Upgrades!$T$6="Stellar Coupling",POWER(Upgrades!$U$6,E207),1)*IF(Upgrades!$T$7="Stellar Coupling",POWER(Upgrades!$U$7,F207),1)*IF(Upgrades!$T$9="Stellar Coupling",POWER(Upgrades!$U$9,H207),1)*IF(Upgrades!$T$10="Stellar Coupling",POWER(Upgrades!$U$10,I207),1)*IF(Upgrades!$T$11="Stellar Coupling",POWER(Upgrades!$U$11,J207),1)*IF(Upgrades!$T$12="Stellar Coupling",POWER(Upgrades!$U$12,K207),1))+(IF(H207=0,0,(Upgrades!$J$9+H207*Upgrades!$K$9)*POWER(Upgrades!$L$9,H207)))*(IF(Upgrades!$T$6="Magnetosphere",POWER(Upgrades!$U$6,E207),1)*IF(Upgrades!$T$7="Magnetosphere",POWER(Upgrades!$U$7,F207),1)*IF(Upgrades!$T$8="Magnetosphere",POWER(Upgrades!$U$8,G207),1)*IF(Upgrades!$T$10="Magnetosphere",POWER(Upgrades!$U$10,I207),1)*IF(Upgrades!$T$11="Magnetosphere",POWER(Upgrades!$U$11,J207),1)*IF(Upgrades!$T$12="Magnetosphere",POWER(Upgrades!$U$12,K207),1))+(IF(I207=0,0,(Upgrades!$J$10+I207*Upgrades!$K$10)*POWER(Upgrades!$L$10,I207)))*(IF(Upgrades!$T$6="Orbital Resonance",POWER(Upgrades!$U$6,E207),1)*IF(Upgrades!$T$7="Orbital Resonance",POWER(Upgrades!$U$7,F207),1)*IF(Upgrades!$T$8="Orbital Resonance",POWER(Upgrades!$U$8,G207),1)*IF(Upgrades!$T$9="Orbital Resonance",POWER(Upgrades!$U$9,H207),1)*IF(Upgrades!$T$11="Orbital Resonance",POWER(Upgrades!$U$11,J207),1)*IF(Upgrades!$T$12="Orbital Resonance",POWER(Upgrades!$U$12,K207),1))+(IF(J207=0,0,(Upgrades!$J$11+J207*Upgrades!$K$11)*POWER(Upgrades!$L$11,J207)))*(IF(Upgrades!$T$6="Heliopause",POWER(Upgrades!$U$6,E207),1)*IF(Upgrades!$T$7="Heliopause",POWER(Upgrades!$U$7,F207),1)*IF(Upgrades!$T$8="Heliopause",POWER(Upgrades!$U$8,G207),1)*IF(Upgrades!$T$9="Heliopause",POWER(Upgrades!$U$9,H207),1)*IF(Upgrades!$T$10="Heliopause",POWER(Upgrades!$U$10,I207),1)*IF(Upgrades!$T$12="Heliopause",POWER(Upgrades!$U$12,K207),1))+(IF(K207=0,0,(Upgrades!$J$12+K207*Upgrades!$K$12)*POWER(Upgrades!$L$12,K207)))*(IF(Upgrades!$T$6="First Photons",POWER(Upgrades!$U$6,E207),1)*IF(Upgrades!$T$7="First Photons",POWER(Upgrades!$U$7,F207),1)*IF(Upgrades!$T$8="First Photons",POWER(Upgrades!$U$8,G207),1)*IF(Upgrades!$T$9="First Photons",POWER(Upgrades!$U$9,H207),1)*IF(Upgrades!$T$10="First Photons",POWER(Upgrades!$U$10,I207),1)*IF(Upgrades!$T$11="First Photons",POWER(Upgrades!$U$11,J207),1)))*POWER(Upgrades!$Q$6,E207)*POWER(Upgrades!$Q$7,F207)*POWER(Upgrades!$Q$8,G207)*POWER(Upgrades!$Q$9,H207)*POWER(Upgrades!$Q$10,I207)*POWER(Upgrades!$Q$11,J207)*POWER(Upgrades!$Q$12,K207)</f>
        <v/>
      </c>
      <c r="N207" s="28">
        <f>((IF(E207=0,0,(Upgrades!$G$6+E207*Upgrades!$H$6)*POWER(Upgrades!$I$6,E207)))*(IF(Upgrades!$T$7="Solar Wind",POWER(Upgrades!$U$7,F207),1)*IF(Upgrades!$T$8="Solar Wind",POWER(Upgrades!$U$8,G207),1)*IF(Upgrades!$T$9="Solar Wind",POWER(Upgrades!$U$9,H207),1)*IF(Upgrades!$T$10="Solar Wind",POWER(Upgrades!$U$10,I207),1)*IF(Upgrades!$T$11="Solar Wind",POWER(Upgrades!$U$11,J207),1)*IF(Upgrades!$T$12="Solar Wind",POWER(Upgrades!$U$12,K207),1))+(IF(F207=0,0,(Upgrades!$G$7+F207*Upgrades!$H$7)*POWER(Upgrades!$I$7,F207)))*(IF(Upgrades!$T$6="Asteroid Belt",POWER(Upgrades!$U$6,E207),1)*IF(Upgrades!$T$8="Asteroid Belt",POWER(Upgrades!$U$8,G207),1)*IF(Upgrades!$T$9="Asteroid Belt",POWER(Upgrades!$U$9,H207),1)*IF(Upgrades!$T$10="Asteroid Belt",POWER(Upgrades!$U$10,I207),1)*IF(Upgrades!$T$11="Asteroid Belt",POWER(Upgrades!$U$11,J207),1)*IF(Upgrades!$T$12="Asteroid Belt",POWER(Upgrades!$U$12,K207),1))+(IF(G207=0,0,(Upgrades!$G$8+G207*Upgrades!$H$8)*POWER(Upgrades!$I$8,G207)))*(IF(Upgrades!$T$6="Stellar Coupling",POWER(Upgrades!$U$6,E207),1)*IF(Upgrades!$T$7="Stellar Coupling",POWER(Upgrades!$U$7,F207),1)*IF(Upgrades!$T$9="Stellar Coupling",POWER(Upgrades!$U$9,H207),1)*IF(Upgrades!$T$10="Stellar Coupling",POWER(Upgrades!$U$10,I207),1)*IF(Upgrades!$T$11="Stellar Coupling",POWER(Upgrades!$U$11,J207),1)*IF(Upgrades!$T$12="Stellar Coupling",POWER(Upgrades!$U$12,K207),1))+(IF(H207=0,0,(Upgrades!$G$9+H207*Upgrades!$H$9)*POWER(Upgrades!$I$9,H207)))*(IF(Upgrades!$T$6="Magnetosphere",POWER(Upgrades!$U$6,E207),1)*IF(Upgrades!$T$7="Magnetosphere",POWER(Upgrades!$U$7,F207),1)*IF(Upgrades!$T$8="Magnetosphere",POWER(Upgrades!$U$8,G207),1)*IF(Upgrades!$T$10="Magnetosphere",POWER(Upgrades!$U$10,I207),1)*IF(Upgrades!$T$11="Magnetosphere",POWER(Upgrades!$U$11,J207),1)*IF(Upgrades!$T$12="Magnetosphere",POWER(Upgrades!$U$12,K207),1))+(IF(I207=0,0,(Upgrades!$G$10+I207*Upgrades!$H$10)*POWER(Upgrades!$I$10,I207)))*(IF(Upgrades!$T$6="Orbital Resonance",POWER(Upgrades!$U$6,E207),1)*IF(Upgrades!$T$7="Orbital Resonance",POWER(Upgrades!$U$7,F207),1)*IF(Upgrades!$T$8="Orbital Resonance",POWER(Upgrades!$U$8,G207),1)*IF(Upgrades!$T$9="Orbital Resonance",POWER(Upgrades!$U$9,H207),1)*IF(Upgrades!$T$11="Orbital Resonance",POWER(Upgrades!$U$11,J207),1)*IF(Upgrades!$T$12="Orbital Resonance",POWER(Upgrades!$U$12,K207),1))+(IF(J207=0,0,(Upgrades!$G$11+J207*Upgrades!$H$11)*POWER(Upgrades!$I$11,J207)))*(IF(Upgrades!$T$6="Heliopause",POWER(Upgrades!$U$6,E207),1)*IF(Upgrades!$T$7="Heliopause",POWER(Upgrades!$U$7,F207),1)*IF(Upgrades!$T$8="Heliopause",POWER(Upgrades!$U$8,G207),1)*IF(Upgrades!$T$9="Heliopause",POWER(Upgrades!$U$9,H207),1)*IF(Upgrades!$T$10="Heliopause",POWER(Upgrades!$U$10,I207),1)*IF(Upgrades!$T$12="Heliopause",POWER(Upgrades!$U$12,K207),1))+(IF(K207=0,0,(Upgrades!$G$12+K207*Upgrades!$H$12)*POWER(Upgrades!$I$12,K207)))*(IF(Upgrades!$T$6="First Photons",POWER(Upgrades!$U$6,E207),1)*IF(Upgrades!$T$7="First Photons",POWER(Upgrades!$U$7,F207),1)*IF(Upgrades!$T$8="First Photons",POWER(Upgrades!$U$8,G207),1)*IF(Upgrades!$T$9="First Photons",POWER(Upgrades!$U$9,H207),1)*IF(Upgrades!$T$10="First Photons",POWER(Upgrades!$U$10,I207),1)*IF(Upgrades!$T$11="First Photons",POWER(Upgrades!$U$11,J207),1)))*POWER(Upgrades!$P$6,E207)*POWER(Upgrades!$P$7,F207)*POWER(Upgrades!$P$8,G207)*POWER(Upgrades!$P$9,H207)*POWER(Upgrades!$P$10,I207)*POWER(Upgrades!$P$11,J207)*POWER(Upgrades!$P$12,K207)</f>
        <v/>
      </c>
      <c r="O207" s="28">
        <f>((IF(E207=0,0,(Upgrades!$M$6+E207*Upgrades!$N$6)*POWER(Upgrades!$O$6,E207)))*(IF(Upgrades!$T$7="Solar Wind",POWER(Upgrades!$U$7,F207),1)*IF(Upgrades!$T$8="Solar Wind",POWER(Upgrades!$U$8,G207),1)*IF(Upgrades!$T$9="Solar Wind",POWER(Upgrades!$U$9,H207),1)*IF(Upgrades!$T$10="Solar Wind",POWER(Upgrades!$U$10,I207),1)*IF(Upgrades!$T$11="Solar Wind",POWER(Upgrades!$U$11,J207),1)*IF(Upgrades!$T$12="Solar Wind",POWER(Upgrades!$U$12,K207),1))+(IF(F207=0,0,(Upgrades!$M$7+F207*Upgrades!$N$7)*POWER(Upgrades!$O$7,F207)))*(IF(Upgrades!$T$6="Asteroid Belt",POWER(Upgrades!$U$6,E207),1)*IF(Upgrades!$T$8="Asteroid Belt",POWER(Upgrades!$U$8,G207),1)*IF(Upgrades!$T$9="Asteroid Belt",POWER(Upgrades!$U$9,H207),1)*IF(Upgrades!$T$10="Asteroid Belt",POWER(Upgrades!$U$10,I207),1)*IF(Upgrades!$T$11="Asteroid Belt",POWER(Upgrades!$U$11,J207),1)*IF(Upgrades!$T$12="Asteroid Belt",POWER(Upgrades!$U$12,K207),1))+(IF(G207=0,0,(Upgrades!$M$8+G207*Upgrades!$N$8)*POWER(Upgrades!$O$8,G207)))*(IF(Upgrades!$T$6="Stellar Coupling",POWER(Upgrades!$U$6,E207),1)*IF(Upgrades!$T$7="Stellar Coupling",POWER(Upgrades!$U$7,F207),1)*IF(Upgrades!$T$9="Stellar Coupling",POWER(Upgrades!$U$9,H207),1)*IF(Upgrades!$T$10="Stellar Coupling",POWER(Upgrades!$U$10,I207),1)*IF(Upgrades!$T$11="Stellar Coupling",POWER(Upgrades!$U$11,J207),1)*IF(Upgrades!$T$12="Stellar Coupling",POWER(Upgrades!$U$12,K207),1))+(IF(H207=0,0,(Upgrades!$M$9+H207*Upgrades!$N$9)*POWER(Upgrades!$O$9,H207)))*(IF(Upgrades!$T$6="Magnetosphere",POWER(Upgrades!$U$6,E207),1)*IF(Upgrades!$T$7="Magnetosphere",POWER(Upgrades!$U$7,F207),1)*IF(Upgrades!$T$8="Magnetosphere",POWER(Upgrades!$U$8,G207),1)*IF(Upgrades!$T$10="Magnetosphere",POWER(Upgrades!$U$10,I207),1)*IF(Upgrades!$T$11="Magnetosphere",POWER(Upgrades!$U$11,J207),1)*IF(Upgrades!$T$12="Magnetosphere",POWER(Upgrades!$U$12,K207),1))+(IF(I207=0,0,(Upgrades!$M$10+I207*Upgrades!$N$10)*POWER(Upgrades!$O$10,I207)))*(IF(Upgrades!$T$6="Orbital Resonance",POWER(Upgrades!$U$6,E207),1)*IF(Upgrades!$T$7="Orbital Resonance",POWER(Upgrades!$U$7,F207),1)*IF(Upgrades!$T$8="Orbital Resonance",POWER(Upgrades!$U$8,G207),1)*IF(Upgrades!$T$9="Orbital Resonance",POWER(Upgrades!$U$9,H207),1)*IF(Upgrades!$T$11="Orbital Resonance",POWER(Upgrades!$U$11,J207),1)*IF(Upgrades!$T$12="Orbital Resonance",POWER(Upgrades!$U$12,K207),1))+(IF(J207=0,0,(Upgrades!$M$11+J207*Upgrades!$N$11)*POWER(Upgrades!$O$11,J207)))*(IF(Upgrades!$T$6="Heliopause",POWER(Upgrades!$U$6,E207),1)*IF(Upgrades!$T$7="Heliopause",POWER(Upgrades!$U$7,F207),1)*IF(Upgrades!$T$8="Heliopause",POWER(Upgrades!$U$8,G207),1)*IF(Upgrades!$T$9="Heliopause",POWER(Upgrades!$U$9,H207),1)*IF(Upgrades!$T$10="Heliopause",POWER(Upgrades!$U$10,I207),1)*IF(Upgrades!$T$12="Heliopause",POWER(Upgrades!$U$12,K207),1))+(IF(K207=0,0,(Upgrades!$M$12+K207*Upgrades!$N$12)*POWER(Upgrades!$O$12,K207)))*(IF(Upgrades!$T$6="First Photons",POWER(Upgrades!$U$6,E207),1)*IF(Upgrades!$T$7="First Photons",POWER(Upgrades!$U$7,F207),1)*IF(Upgrades!$T$8="First Photons",POWER(Upgrades!$U$8,G207),1)*IF(Upgrades!$T$9="First Photons",POWER(Upgrades!$U$9,H207),1)*IF(Upgrades!$T$10="First Photons",POWER(Upgrades!$U$10,I207),1)*IF(Upgrades!$T$11="First Photons",POWER(Upgrades!$U$11,J207),1)))*POWER(Upgrades!$R$6,E207)*POWER(Upgrades!$R$7,F207)*POWER(Upgrades!$R$8,G207)*POWER(Upgrades!$R$9,H207)*POWER(Upgrades!$R$10,I207)*POWER(Upgrades!$R$11,J207)*POWER(Upgrades!$R$12,K207)</f>
        <v/>
      </c>
      <c r="P207" s="27">
        <f>IF(L207=1,0,M207*Parameters!$B$10/60*Parameters!$B$11*10)</f>
        <v/>
      </c>
      <c r="Q207" s="27">
        <f>IF(L207=1,0,O207*M207*10)</f>
        <v/>
      </c>
      <c r="R207" s="27">
        <f>IF(L207=1,0,N207*10)</f>
        <v/>
      </c>
      <c r="S207" s="27">
        <f>P207+Q207+R207</f>
        <v/>
      </c>
      <c r="T207" s="22">
        <f>C207+S207</f>
        <v/>
      </c>
      <c r="U207" s="33">
        <f>AX207</f>
        <v/>
      </c>
      <c r="V207" s="22">
        <f>IF(U207="",0,IF(U207="transition",0,IF(U207="SW",AG207,IF(U207="AB",AH207,IF(U207="SC",AI207,IF(U207="Mag",AJ207,IF(U207="OR",AK207,IF(U207="HP",AL207,IF(U207="FP",AM207,0)))))))))</f>
        <v/>
      </c>
      <c r="W207" s="27">
        <f>IF(U207="OR",Upgrades!$F$10,IF(U207="HP",Upgrades!$F$11,IF(U207="transition",-Parameters!$B$18,0)))</f>
        <v/>
      </c>
      <c r="X207" s="22">
        <f>T207-V207</f>
        <v/>
      </c>
      <c r="Y207" s="30">
        <f>M207*Parameters!$B$10/60*Parameters!$B$11+O207*M207+N207</f>
        <v/>
      </c>
      <c r="Z207" s="34">
        <f>IF(U207="transition","→ Tier 2 (Stellar Neighborhood)",IF(U207="FP","First Photons — light begins, system quickens",IF(U207="HP","Heliopause acquired",IF(U207="OR","Orbital Resonance — passive multiplier active",IF(AND(AO207=1,L207=0,AN207&lt;&gt;1),"Cohesion ready (waiting on completionist upgrades)","")))))</f>
        <v/>
      </c>
      <c r="AA207" s="27">
        <f>(IF(E207=0,0,(Upgrades!$G$6+E207*Upgrades!$H$6)*POWER(Upgrades!$I$6,E207)))*(IF(Upgrades!$T$7="Solar Wind",POWER(Upgrades!$U$7,F207),1)*IF(Upgrades!$T$8="Solar Wind",POWER(Upgrades!$U$8,G207),1)*IF(Upgrades!$T$9="Solar Wind",POWER(Upgrades!$U$9,H207),1)*IF(Upgrades!$T$10="Solar Wind",POWER(Upgrades!$U$10,I207),1)*IF(Upgrades!$T$11="Solar Wind",POWER(Upgrades!$U$11,J207),1)*IF(Upgrades!$T$12="Solar Wind",POWER(Upgrades!$U$12,K207),1))*POWER(Upgrades!$P$6,E207)*POWER(Upgrades!$P$7,F207)*POWER(Upgrades!$P$8,G207)*POWER(Upgrades!$P$9,H207)*POWER(Upgrades!$P$10,I207)*POWER(Upgrades!$P$11,J207)*POWER(Upgrades!$P$12,K207)*60</f>
        <v/>
      </c>
      <c r="AB207" s="27">
        <f>(IF(F207=0,0,(Upgrades!$G$7+F207*Upgrades!$H$7)*POWER(Upgrades!$I$7,F207)))*(IF(Upgrades!$T$6="Asteroid Belt",POWER(Upgrades!$U$6,E207),1)*IF(Upgrades!$T$8="Asteroid Belt",POWER(Upgrades!$U$8,G207),1)*IF(Upgrades!$T$9="Asteroid Belt",POWER(Upgrades!$U$9,H207),1)*IF(Upgrades!$T$10="Asteroid Belt",POWER(Upgrades!$U$10,I207),1)*IF(Upgrades!$T$11="Asteroid Belt",POWER(Upgrades!$U$11,J207),1)*IF(Upgrades!$T$12="Asteroid Belt",POWER(Upgrades!$U$12,K207),1))*POWER(Upgrades!$P$6,E207)*POWER(Upgrades!$P$7,F207)*POWER(Upgrades!$P$8,G207)*POWER(Upgrades!$P$9,H207)*POWER(Upgrades!$P$10,I207)*POWER(Upgrades!$P$11,J207)*POWER(Upgrades!$P$12,K207)*60</f>
        <v/>
      </c>
      <c r="AC207" s="27">
        <f>(IF(G207=0,0,(Upgrades!$J$8+G207*Upgrades!$K$8)*POWER(Upgrades!$L$8,G207)))*(IF(Upgrades!$T$6="Stellar Coupling",POWER(Upgrades!$U$6,E207),1)*IF(Upgrades!$T$7="Stellar Coupling",POWER(Upgrades!$U$7,F207),1)*IF(Upgrades!$T$9="Stellar Coupling",POWER(Upgrades!$U$9,H207),1)*IF(Upgrades!$T$10="Stellar Coupling",POWER(Upgrades!$U$10,I207),1)*IF(Upgrades!$T$11="Stellar Coupling",POWER(Upgrades!$U$11,J207),1)*IF(Upgrades!$T$12="Stellar Coupling",POWER(Upgrades!$U$12,K207),1))*POWER(Upgrades!$Q$6,E207)*POWER(Upgrades!$Q$7,F207)*POWER(Upgrades!$Q$8,G207)*POWER(Upgrades!$Q$9,H207)*POWER(Upgrades!$Q$10,I207)*POWER(Upgrades!$Q$11,J207)*POWER(Upgrades!$Q$12,K207)*Parameters!$B$10*Parameters!$B$11</f>
        <v/>
      </c>
      <c r="AD207" s="27">
        <f>(IF(H207=0,0,(Upgrades!$G$9+H207*Upgrades!$H$9)*POWER(Upgrades!$I$9,H207)))*(IF(Upgrades!$T$6="Magnetosphere",POWER(Upgrades!$U$6,E207),1)*IF(Upgrades!$T$7="Magnetosphere",POWER(Upgrades!$U$7,F207),1)*IF(Upgrades!$T$8="Magnetosphere",POWER(Upgrades!$U$8,G207),1)*IF(Upgrades!$T$10="Magnetosphere",POWER(Upgrades!$U$10,I207),1)*IF(Upgrades!$T$11="Magnetosphere",POWER(Upgrades!$U$11,J207),1)*IF(Upgrades!$T$12="Magnetosphere",POWER(Upgrades!$U$12,K207),1))*POWER(Upgrades!$P$6,E207)*POWER(Upgrades!$P$7,F207)*POWER(Upgrades!$P$8,G207)*POWER(Upgrades!$P$9,H207)*POWER(Upgrades!$P$10,I207)*POWER(Upgrades!$P$11,J207)*POWER(Upgrades!$P$12,K207)*60</f>
        <v/>
      </c>
      <c r="AE207" s="27">
        <f>(IF(K207=0,0,(Upgrades!$G$12+K207*Upgrades!$H$12)*POWER(Upgrades!$I$12,K207)))*(IF(Upgrades!$T$6="First Photons",POWER(Upgrades!$U$6,E207),1)*IF(Upgrades!$T$7="First Photons",POWER(Upgrades!$U$7,F207),1)*IF(Upgrades!$T$8="First Photons",POWER(Upgrades!$U$8,G207),1)*IF(Upgrades!$T$9="First Photons",POWER(Upgrades!$U$9,H207),1)*IF(Upgrades!$T$10="First Photons",POWER(Upgrades!$U$10,I207),1)*IF(Upgrades!$T$11="First Photons",POWER(Upgrades!$U$11,J207),1))*POWER(Upgrades!$P$6,E207)*POWER(Upgrades!$P$7,F207)*POWER(Upgrades!$P$8,G207)*POWER(Upgrades!$P$9,H207)*POWER(Upgrades!$P$10,I207)*POWER(Upgrades!$P$11,J207)*POWER(Upgrades!$P$12,K207)*60</f>
        <v/>
      </c>
      <c r="AF207" s="27">
        <f>Parameters!$B$9*POWER(Upgrades!$Q$6,E207)*POWER(Upgrades!$Q$7,F207)*POWER(Upgrades!$Q$8,G207)*POWER(Upgrades!$Q$9,H207)*POWER(Upgrades!$Q$10,I207)*POWER(Upgrades!$Q$11,J207)*POWER(Upgrades!$Q$12,K207)*(Parameters!$B$10*Parameters!$B$11+O207*60)</f>
        <v/>
      </c>
      <c r="AG207" s="22">
        <f>IF(E207&gt;=Upgrades!$E$6,"",Upgrades!$C$6*POWER(Upgrades!$D$6,E207))</f>
        <v/>
      </c>
      <c r="AH207" s="22">
        <f>IF(F207&gt;=Upgrades!$E$7,"",Upgrades!$C$7*POWER(Upgrades!$D$7,F207))</f>
        <v/>
      </c>
      <c r="AI207" s="22">
        <f>IF(G207&gt;=Upgrades!$E$8,"",Upgrades!$C$8*POWER(Upgrades!$D$8,G207))</f>
        <v/>
      </c>
      <c r="AJ207" s="22">
        <f>IF(H207&gt;=Upgrades!$E$9,"",Upgrades!$C$9*POWER(Upgrades!$D$9,H207))</f>
        <v/>
      </c>
      <c r="AK207" s="22">
        <f>IF(I207&gt;=Upgrades!$E$10,"",Upgrades!$C$10*POWER(Upgrades!$D$10,I207))</f>
        <v/>
      </c>
      <c r="AL207" s="22">
        <f>IF(J207&gt;=Upgrades!$E$11,"",Upgrades!$C$11*POWER(Upgrades!$D$11,J207))</f>
        <v/>
      </c>
      <c r="AM207" s="22">
        <f>IF(K207&gt;=Upgrades!$E$12,"",Upgrades!$C$12*POWER(Upgrades!$D$12,K207))</f>
        <v/>
      </c>
      <c r="AN207" s="26">
        <f>IF(AND(D207&gt;=Parameters!$B$18,(H207&gt;=Upgrades!$E$9)*(K207&gt;=Upgrades!$E$12)=1,L207=0),1,"")</f>
        <v/>
      </c>
      <c r="AO207" s="26">
        <f>IF(AND(D207&gt;=Parameters!$B$18,L207=0),1,"")</f>
        <v/>
      </c>
      <c r="AP207" s="22">
        <f>MIN(IF(ISNUMBER(AK207),AK207,9E15),IF(ISNUMBER(AL207),AL207,9E15),IF(ISNUMBER(AM207),AM207,9E15))</f>
        <v/>
      </c>
      <c r="AQ207" s="22">
        <f>MIN(IF(ISNUMBER(AG207),AG207,9E15),IF(ISNUMBER(AH207),AH207,9E15),IF(ISNUMBER(AI207),AI207,9E15),IF(ISNUMBER(AJ207),AJ207,9E15))</f>
        <v/>
      </c>
      <c r="AR207" s="29">
        <f>IF(AW207&gt;Parameters!$B$21*(MAX(IF(AND(NOT(AND(AO207=1,AN207&lt;&gt;1)),ISNUMBER(AG207),AG207&lt;=T207),AS207,0),IF(AND(NOT(AND(AO207=1,AN207&lt;&gt;1)),ISNUMBER(AH207),AH207&lt;=T207),AT207,0),IF(AND(NOT(AND(AO207=1,AN207&lt;&gt;1)),ISNUMBER(AI207),AI207&lt;=T207),AU207,0),IF(AND(ISNUMBER(AJ207),AJ207&lt;=T207),AV207,0))),TRUE,FALSE)</f>
        <v/>
      </c>
      <c r="AS207" s="32">
        <f>IFERROR(Upgrades!$H$6*(POWER(Upgrades!$P$6,E207)*POWER(Upgrades!$P$7,F207)*POWER(Upgrades!$P$8,G207)*POWER(Upgrades!$P$9,H207)*POWER(Upgrades!$P$10,I207)*POWER(Upgrades!$P$11,J207)*POWER(Upgrades!$P$12,K207))*(IF(Upgrades!$T$7="Solar Wind",POWER(Upgrades!$U$7,F207),1)*IF(Upgrades!$T$8="Solar Wind",POWER(Upgrades!$U$8,G207),1)*IF(Upgrades!$T$9="Solar Wind",POWER(Upgrades!$U$9,H207),1)*IF(Upgrades!$T$10="Solar Wind",POWER(Upgrades!$U$10,I207),1)*IF(Upgrades!$T$11="Solar Wind",POWER(Upgrades!$U$11,J207),1)*IF(Upgrades!$T$12="Solar Wind",POWER(Upgrades!$U$12,K207),1))/AG207,0)</f>
        <v/>
      </c>
      <c r="AT207" s="32">
        <f>IFERROR(Upgrades!$H$7*(POWER(Upgrades!$P$6,E207)*POWER(Upgrades!$P$7,F207)*POWER(Upgrades!$P$8,G207)*POWER(Upgrades!$P$9,H207)*POWER(Upgrades!$P$10,I207)*POWER(Upgrades!$P$11,J207)*POWER(Upgrades!$P$12,K207))*(IF(Upgrades!$T$6="Asteroid Belt",POWER(Upgrades!$U$6,E207),1)*IF(Upgrades!$T$8="Asteroid Belt",POWER(Upgrades!$U$8,G207),1)*IF(Upgrades!$T$9="Asteroid Belt",POWER(Upgrades!$U$9,H207),1)*IF(Upgrades!$T$10="Asteroid Belt",POWER(Upgrades!$U$10,I207),1)*IF(Upgrades!$T$11="Asteroid Belt",POWER(Upgrades!$U$11,J207),1)*IF(Upgrades!$T$12="Asteroid Belt",POWER(Upgrades!$U$12,K207),1))/AH207,0)</f>
        <v/>
      </c>
      <c r="AU207" s="32">
        <f>IFERROR(Upgrades!$K$8*(POWER(Upgrades!$Q$6,E207)*POWER(Upgrades!$Q$7,F207)*POWER(Upgrades!$Q$8,G207)*POWER(Upgrades!$Q$9,H207)*POWER(Upgrades!$Q$10,I207)*POWER(Upgrades!$Q$11,J207)*POWER(Upgrades!$Q$12,K207))*(IF(Upgrades!$T$6="Stellar Coupling",POWER(Upgrades!$U$6,E207),1)*IF(Upgrades!$T$7="Stellar Coupling",POWER(Upgrades!$U$7,F207),1)*IF(Upgrades!$T$9="Stellar Coupling",POWER(Upgrades!$U$9,H207),1)*IF(Upgrades!$T$10="Stellar Coupling",POWER(Upgrades!$U$10,I207),1)*IF(Upgrades!$T$11="Stellar Coupling",POWER(Upgrades!$U$11,J207),1)*IF(Upgrades!$T$12="Stellar Coupling",POWER(Upgrades!$U$12,K207),1))*Parameters!$B$10*Parameters!$B$11/60/AI207,0)</f>
        <v/>
      </c>
      <c r="AV207" s="32">
        <f>IFERROR(Upgrades!$H$9*(POWER(Upgrades!$P$6,E207)*POWER(Upgrades!$P$7,F207)*POWER(Upgrades!$P$8,G207)*POWER(Upgrades!$P$9,H207)*POWER(Upgrades!$P$10,I207)*POWER(Upgrades!$P$11,J207)*POWER(Upgrades!$P$12,K207))*(IF(Upgrades!$T$6="Magnetosphere",POWER(Upgrades!$U$6,E207),1)*IF(Upgrades!$T$7="Magnetosphere",POWER(Upgrades!$U$7,F207),1)*IF(Upgrades!$T$8="Magnetosphere",POWER(Upgrades!$U$8,G207),1)*IF(Upgrades!$T$10="Magnetosphere",POWER(Upgrades!$U$10,I207),1)*IF(Upgrades!$T$11="Magnetosphere",POWER(Upgrades!$U$11,J207),1)*IF(Upgrades!$T$12="Magnetosphere",POWER(Upgrades!$U$12,K207),1))/AJ207,0)</f>
        <v/>
      </c>
      <c r="AW207" s="32">
        <f>MAX(IF(I207&gt;0,0,IFERROR(0.25*N207/Upgrades!$C$10,0)),IF(J207&gt;0,0,IFERROR(0.5*((IF(G207=0,0,(Upgrades!$J$8+G207*Upgrades!$K$8)*POWER(Upgrades!$L$8,G207)))*(IF(Upgrades!$T$6="Stellar Coupling",POWER(Upgrades!$U$6,E207),1)*IF(Upgrades!$T$7="Stellar Coupling",POWER(Upgrades!$U$7,F207),1)*IF(Upgrades!$T$9="Stellar Coupling",POWER(Upgrades!$U$9,H207),1)*IF(Upgrades!$T$10="Stellar Coupling",POWER(Upgrades!$U$10,I207),1)*IF(Upgrades!$T$11="Stellar Coupling",POWER(Upgrades!$U$11,J207),1)*IF(Upgrades!$T$12="Stellar Coupling",POWER(Upgrades!$U$12,K207),1))*(POWER(Upgrades!$Q$6,E207)*POWER(Upgrades!$Q$7,F207)*POWER(Upgrades!$Q$8,G207)*POWER(Upgrades!$Q$9,H207)*POWER(Upgrades!$Q$10,I207)*POWER(Upgrades!$Q$11,J207)*POWER(Upgrades!$Q$12,K207))*Parameters!$B$10*Parameters!$B$11/60)/Upgrades!$C$11,0)),IF(K207&gt;0,0,IFERROR((1.0*(POWER(Upgrades!$P$6,E207)*POWER(Upgrades!$P$7,F207)*POWER(Upgrades!$P$8,G207)*POWER(Upgrades!$P$9,H207)*POWER(Upgrades!$P$10,I207)*POWER(Upgrades!$P$11,J207)*POWER(Upgrades!$P$12,K207))+0.20*M207*Parameters!$B$10*Parameters!$B$11/60)/Upgrades!$C$12,0)),IF(AND(ISNUMBER(AG207),AG207&gt;T207),AS207,0),IF(AND(ISNUMBER(AH207),AH207&gt;T207),AT207,0),IF(AND(ISNUMBER(AI207),AI207&gt;T207),AU207,0),IF(AND(ISNUMBER(AJ207),AJ207&gt;T207),AV207,0))</f>
        <v/>
      </c>
      <c r="AX207" s="29">
        <f>IF(AN207=1,"transition",IF(MIN(IF(AND(I207=0,ISNUMBER(AK207),AK207&lt;=T207),AK207,9E15),IF(AND(J207=0,ISNUMBER(AL207),AL207&lt;=T207),AL207,9E15),IF(AND(K207=0,ISNUMBER(AM207),AM207&lt;=T207),AM207,9E15))&lt;9E15,IF(AND(AND(I207=0,ISNUMBER(AK207),AK207&lt;=T207),AK207=MIN(IF(AND(I207=0,ISNUMBER(AK207),AK207&lt;=T207),AK207,9E15),IF(AND(J207=0,ISNUMBER(AL207),AL207&lt;=T207),AL207,9E15),IF(AND(K207=0,ISNUMBER(AM207),AM207&lt;=T207),AM207,9E15))),"OR",IF(AND(AND(J207=0,ISNUMBER(AL207),AL207&lt;=T207),AL207=MIN(IF(AND(I207=0,ISNUMBER(AK207),AK207&lt;=T207),AK207,9E15),IF(AND(J207=0,ISNUMBER(AL207),AL207&lt;=T207),AL207,9E15),IF(AND(K207=0,ISNUMBER(AM207),AM207&lt;=T207),AM207,9E15))),"HP","FP")),IF(AR207=TRUE,"",IF(MAX(IF(AND(NOT(AND(AO207=1,AN207&lt;&gt;1)),ISNUMBER(AG207),AG207&lt;=T207),AS207,0),IF(AND(NOT(AND(AO207=1,AN207&lt;&gt;1)),ISNUMBER(AH207),AH207&lt;=T207),AT207,0),IF(AND(NOT(AND(AO207=1,AN207&lt;&gt;1)),ISNUMBER(AI207),AI207&lt;=T207),AU207,0),IF(AND(ISNUMBER(AJ207),AJ207&lt;=T207),AV207,0))&lt;=0,"",IF(AND(IF(AND(NOT(AND(AO207=1,AN207&lt;&gt;1)),ISNUMBER(AG207),AG207&lt;=T207),AS207,0)&gt;0,IF(AND(NOT(AND(AO207=1,AN207&lt;&gt;1)),ISNUMBER(AG207),AG207&lt;=T207),AS207,0)=MAX(IF(AND(NOT(AND(AO207=1,AN207&lt;&gt;1)),ISNUMBER(AG207),AG207&lt;=T207),AS207,0),IF(AND(NOT(AND(AO207=1,AN207&lt;&gt;1)),ISNUMBER(AH207),AH207&lt;=T207),AT207,0),IF(AND(NOT(AND(AO207=1,AN207&lt;&gt;1)),ISNUMBER(AI207),AI207&lt;=T207),AU207,0),IF(AND(ISNUMBER(AJ207),AJ207&lt;=T207),AV207,0))),"SW",IF(AND(IF(AND(NOT(AND(AO207=1,AN207&lt;&gt;1)),ISNUMBER(AH207),AH207&lt;=T207),AT207,0)&gt;0,IF(AND(NOT(AND(AO207=1,AN207&lt;&gt;1)),ISNUMBER(AH207),AH207&lt;=T207),AT207,0)=MAX(IF(AND(NOT(AND(AO207=1,AN207&lt;&gt;1)),ISNUMBER(AG207),AG207&lt;=T207),AS207,0),IF(AND(NOT(AND(AO207=1,AN207&lt;&gt;1)),ISNUMBER(AH207),AH207&lt;=T207),AT207,0),IF(AND(NOT(AND(AO207=1,AN207&lt;&gt;1)),ISNUMBER(AI207),AI207&lt;=T207),AU207,0),IF(AND(ISNUMBER(AJ207),AJ207&lt;=T207),AV207,0))),"AB",IF(AND(IF(AND(NOT(AND(AO207=1,AN207&lt;&gt;1)),ISNUMBER(AI207),AI207&lt;=T207),AU207,0)&gt;0,IF(AND(NOT(AND(AO207=1,AN207&lt;&gt;1)),ISNUMBER(AI207),AI207&lt;=T207),AU207,0)=MAX(IF(AND(NOT(AND(AO207=1,AN207&lt;&gt;1)),ISNUMBER(AG207),AG207&lt;=T207),AS207,0),IF(AND(NOT(AND(AO207=1,AN207&lt;&gt;1)),ISNUMBER(AH207),AH207&lt;=T207),AT207,0),IF(AND(NOT(AND(AO207=1,AN207&lt;&gt;1)),ISNUMBER(AI207),AI207&lt;=T207),AU207,0),IF(AND(ISNUMBER(AJ207),AJ207&lt;=T207),AV207,0))),"SC","Mag")))))))</f>
        <v/>
      </c>
    </row>
    <row r="208">
      <c r="A208" s="26" t="n">
        <v>203</v>
      </c>
      <c r="B208" s="27">
        <f>A208*10/60</f>
        <v/>
      </c>
      <c r="C208" s="22">
        <f>X207</f>
        <v/>
      </c>
      <c r="D208" s="27">
        <f>D207+W207</f>
        <v/>
      </c>
      <c r="E208" s="26">
        <f>E207+IF(U207="SW",1,0)</f>
        <v/>
      </c>
      <c r="F208" s="26">
        <f>F207+IF(U207="AB",1,0)</f>
        <v/>
      </c>
      <c r="G208" s="26">
        <f>G207+IF(U207="SC",1,0)</f>
        <v/>
      </c>
      <c r="H208" s="26">
        <f>H207+IF(U207="Mag",1,0)</f>
        <v/>
      </c>
      <c r="I208" s="26">
        <f>MAX(I207,IF(U207="OR",1,0))</f>
        <v/>
      </c>
      <c r="J208" s="26">
        <f>MAX(J207,IF(U207="HP",1,0))</f>
        <v/>
      </c>
      <c r="K208" s="26">
        <f>MAX(K207,IF(U207="FP",1,0))</f>
        <v/>
      </c>
      <c r="L208" s="26">
        <f>MAX(L207,IF(U207="transition",1,0))</f>
        <v/>
      </c>
      <c r="M208" s="28">
        <f>(Parameters!$B$9+(IF(E208=0,0,(Upgrades!$J$6+E208*Upgrades!$K$6)*POWER(Upgrades!$L$6,E208)))*(IF(Upgrades!$T$7="Solar Wind",POWER(Upgrades!$U$7,F208),1)*IF(Upgrades!$T$8="Solar Wind",POWER(Upgrades!$U$8,G208),1)*IF(Upgrades!$T$9="Solar Wind",POWER(Upgrades!$U$9,H208),1)*IF(Upgrades!$T$10="Solar Wind",POWER(Upgrades!$U$10,I208),1)*IF(Upgrades!$T$11="Solar Wind",POWER(Upgrades!$U$11,J208),1)*IF(Upgrades!$T$12="Solar Wind",POWER(Upgrades!$U$12,K208),1))+(IF(F208=0,0,(Upgrades!$J$7+F208*Upgrades!$K$7)*POWER(Upgrades!$L$7,F208)))*(IF(Upgrades!$T$6="Asteroid Belt",POWER(Upgrades!$U$6,E208),1)*IF(Upgrades!$T$8="Asteroid Belt",POWER(Upgrades!$U$8,G208),1)*IF(Upgrades!$T$9="Asteroid Belt",POWER(Upgrades!$U$9,H208),1)*IF(Upgrades!$T$10="Asteroid Belt",POWER(Upgrades!$U$10,I208),1)*IF(Upgrades!$T$11="Asteroid Belt",POWER(Upgrades!$U$11,J208),1)*IF(Upgrades!$T$12="Asteroid Belt",POWER(Upgrades!$U$12,K208),1))+(IF(G208=0,0,(Upgrades!$J$8+G208*Upgrades!$K$8)*POWER(Upgrades!$L$8,G208)))*(IF(Upgrades!$T$6="Stellar Coupling",POWER(Upgrades!$U$6,E208),1)*IF(Upgrades!$T$7="Stellar Coupling",POWER(Upgrades!$U$7,F208),1)*IF(Upgrades!$T$9="Stellar Coupling",POWER(Upgrades!$U$9,H208),1)*IF(Upgrades!$T$10="Stellar Coupling",POWER(Upgrades!$U$10,I208),1)*IF(Upgrades!$T$11="Stellar Coupling",POWER(Upgrades!$U$11,J208),1)*IF(Upgrades!$T$12="Stellar Coupling",POWER(Upgrades!$U$12,K208),1))+(IF(H208=0,0,(Upgrades!$J$9+H208*Upgrades!$K$9)*POWER(Upgrades!$L$9,H208)))*(IF(Upgrades!$T$6="Magnetosphere",POWER(Upgrades!$U$6,E208),1)*IF(Upgrades!$T$7="Magnetosphere",POWER(Upgrades!$U$7,F208),1)*IF(Upgrades!$T$8="Magnetosphere",POWER(Upgrades!$U$8,G208),1)*IF(Upgrades!$T$10="Magnetosphere",POWER(Upgrades!$U$10,I208),1)*IF(Upgrades!$T$11="Magnetosphere",POWER(Upgrades!$U$11,J208),1)*IF(Upgrades!$T$12="Magnetosphere",POWER(Upgrades!$U$12,K208),1))+(IF(I208=0,0,(Upgrades!$J$10+I208*Upgrades!$K$10)*POWER(Upgrades!$L$10,I208)))*(IF(Upgrades!$T$6="Orbital Resonance",POWER(Upgrades!$U$6,E208),1)*IF(Upgrades!$T$7="Orbital Resonance",POWER(Upgrades!$U$7,F208),1)*IF(Upgrades!$T$8="Orbital Resonance",POWER(Upgrades!$U$8,G208),1)*IF(Upgrades!$T$9="Orbital Resonance",POWER(Upgrades!$U$9,H208),1)*IF(Upgrades!$T$11="Orbital Resonance",POWER(Upgrades!$U$11,J208),1)*IF(Upgrades!$T$12="Orbital Resonance",POWER(Upgrades!$U$12,K208),1))+(IF(J208=0,0,(Upgrades!$J$11+J208*Upgrades!$K$11)*POWER(Upgrades!$L$11,J208)))*(IF(Upgrades!$T$6="Heliopause",POWER(Upgrades!$U$6,E208),1)*IF(Upgrades!$T$7="Heliopause",POWER(Upgrades!$U$7,F208),1)*IF(Upgrades!$T$8="Heliopause",POWER(Upgrades!$U$8,G208),1)*IF(Upgrades!$T$9="Heliopause",POWER(Upgrades!$U$9,H208),1)*IF(Upgrades!$T$10="Heliopause",POWER(Upgrades!$U$10,I208),1)*IF(Upgrades!$T$12="Heliopause",POWER(Upgrades!$U$12,K208),1))+(IF(K208=0,0,(Upgrades!$J$12+K208*Upgrades!$K$12)*POWER(Upgrades!$L$12,K208)))*(IF(Upgrades!$T$6="First Photons",POWER(Upgrades!$U$6,E208),1)*IF(Upgrades!$T$7="First Photons",POWER(Upgrades!$U$7,F208),1)*IF(Upgrades!$T$8="First Photons",POWER(Upgrades!$U$8,G208),1)*IF(Upgrades!$T$9="First Photons",POWER(Upgrades!$U$9,H208),1)*IF(Upgrades!$T$10="First Photons",POWER(Upgrades!$U$10,I208),1)*IF(Upgrades!$T$11="First Photons",POWER(Upgrades!$U$11,J208),1)))*POWER(Upgrades!$Q$6,E208)*POWER(Upgrades!$Q$7,F208)*POWER(Upgrades!$Q$8,G208)*POWER(Upgrades!$Q$9,H208)*POWER(Upgrades!$Q$10,I208)*POWER(Upgrades!$Q$11,J208)*POWER(Upgrades!$Q$12,K208)</f>
        <v/>
      </c>
      <c r="N208" s="28">
        <f>((IF(E208=0,0,(Upgrades!$G$6+E208*Upgrades!$H$6)*POWER(Upgrades!$I$6,E208)))*(IF(Upgrades!$T$7="Solar Wind",POWER(Upgrades!$U$7,F208),1)*IF(Upgrades!$T$8="Solar Wind",POWER(Upgrades!$U$8,G208),1)*IF(Upgrades!$T$9="Solar Wind",POWER(Upgrades!$U$9,H208),1)*IF(Upgrades!$T$10="Solar Wind",POWER(Upgrades!$U$10,I208),1)*IF(Upgrades!$T$11="Solar Wind",POWER(Upgrades!$U$11,J208),1)*IF(Upgrades!$T$12="Solar Wind",POWER(Upgrades!$U$12,K208),1))+(IF(F208=0,0,(Upgrades!$G$7+F208*Upgrades!$H$7)*POWER(Upgrades!$I$7,F208)))*(IF(Upgrades!$T$6="Asteroid Belt",POWER(Upgrades!$U$6,E208),1)*IF(Upgrades!$T$8="Asteroid Belt",POWER(Upgrades!$U$8,G208),1)*IF(Upgrades!$T$9="Asteroid Belt",POWER(Upgrades!$U$9,H208),1)*IF(Upgrades!$T$10="Asteroid Belt",POWER(Upgrades!$U$10,I208),1)*IF(Upgrades!$T$11="Asteroid Belt",POWER(Upgrades!$U$11,J208),1)*IF(Upgrades!$T$12="Asteroid Belt",POWER(Upgrades!$U$12,K208),1))+(IF(G208=0,0,(Upgrades!$G$8+G208*Upgrades!$H$8)*POWER(Upgrades!$I$8,G208)))*(IF(Upgrades!$T$6="Stellar Coupling",POWER(Upgrades!$U$6,E208),1)*IF(Upgrades!$T$7="Stellar Coupling",POWER(Upgrades!$U$7,F208),1)*IF(Upgrades!$T$9="Stellar Coupling",POWER(Upgrades!$U$9,H208),1)*IF(Upgrades!$T$10="Stellar Coupling",POWER(Upgrades!$U$10,I208),1)*IF(Upgrades!$T$11="Stellar Coupling",POWER(Upgrades!$U$11,J208),1)*IF(Upgrades!$T$12="Stellar Coupling",POWER(Upgrades!$U$12,K208),1))+(IF(H208=0,0,(Upgrades!$G$9+H208*Upgrades!$H$9)*POWER(Upgrades!$I$9,H208)))*(IF(Upgrades!$T$6="Magnetosphere",POWER(Upgrades!$U$6,E208),1)*IF(Upgrades!$T$7="Magnetosphere",POWER(Upgrades!$U$7,F208),1)*IF(Upgrades!$T$8="Magnetosphere",POWER(Upgrades!$U$8,G208),1)*IF(Upgrades!$T$10="Magnetosphere",POWER(Upgrades!$U$10,I208),1)*IF(Upgrades!$T$11="Magnetosphere",POWER(Upgrades!$U$11,J208),1)*IF(Upgrades!$T$12="Magnetosphere",POWER(Upgrades!$U$12,K208),1))+(IF(I208=0,0,(Upgrades!$G$10+I208*Upgrades!$H$10)*POWER(Upgrades!$I$10,I208)))*(IF(Upgrades!$T$6="Orbital Resonance",POWER(Upgrades!$U$6,E208),1)*IF(Upgrades!$T$7="Orbital Resonance",POWER(Upgrades!$U$7,F208),1)*IF(Upgrades!$T$8="Orbital Resonance",POWER(Upgrades!$U$8,G208),1)*IF(Upgrades!$T$9="Orbital Resonance",POWER(Upgrades!$U$9,H208),1)*IF(Upgrades!$T$11="Orbital Resonance",POWER(Upgrades!$U$11,J208),1)*IF(Upgrades!$T$12="Orbital Resonance",POWER(Upgrades!$U$12,K208),1))+(IF(J208=0,0,(Upgrades!$G$11+J208*Upgrades!$H$11)*POWER(Upgrades!$I$11,J208)))*(IF(Upgrades!$T$6="Heliopause",POWER(Upgrades!$U$6,E208),1)*IF(Upgrades!$T$7="Heliopause",POWER(Upgrades!$U$7,F208),1)*IF(Upgrades!$T$8="Heliopause",POWER(Upgrades!$U$8,G208),1)*IF(Upgrades!$T$9="Heliopause",POWER(Upgrades!$U$9,H208),1)*IF(Upgrades!$T$10="Heliopause",POWER(Upgrades!$U$10,I208),1)*IF(Upgrades!$T$12="Heliopause",POWER(Upgrades!$U$12,K208),1))+(IF(K208=0,0,(Upgrades!$G$12+K208*Upgrades!$H$12)*POWER(Upgrades!$I$12,K208)))*(IF(Upgrades!$T$6="First Photons",POWER(Upgrades!$U$6,E208),1)*IF(Upgrades!$T$7="First Photons",POWER(Upgrades!$U$7,F208),1)*IF(Upgrades!$T$8="First Photons",POWER(Upgrades!$U$8,G208),1)*IF(Upgrades!$T$9="First Photons",POWER(Upgrades!$U$9,H208),1)*IF(Upgrades!$T$10="First Photons",POWER(Upgrades!$U$10,I208),1)*IF(Upgrades!$T$11="First Photons",POWER(Upgrades!$U$11,J208),1)))*POWER(Upgrades!$P$6,E208)*POWER(Upgrades!$P$7,F208)*POWER(Upgrades!$P$8,G208)*POWER(Upgrades!$P$9,H208)*POWER(Upgrades!$P$10,I208)*POWER(Upgrades!$P$11,J208)*POWER(Upgrades!$P$12,K208)</f>
        <v/>
      </c>
      <c r="O208" s="28">
        <f>((IF(E208=0,0,(Upgrades!$M$6+E208*Upgrades!$N$6)*POWER(Upgrades!$O$6,E208)))*(IF(Upgrades!$T$7="Solar Wind",POWER(Upgrades!$U$7,F208),1)*IF(Upgrades!$T$8="Solar Wind",POWER(Upgrades!$U$8,G208),1)*IF(Upgrades!$T$9="Solar Wind",POWER(Upgrades!$U$9,H208),1)*IF(Upgrades!$T$10="Solar Wind",POWER(Upgrades!$U$10,I208),1)*IF(Upgrades!$T$11="Solar Wind",POWER(Upgrades!$U$11,J208),1)*IF(Upgrades!$T$12="Solar Wind",POWER(Upgrades!$U$12,K208),1))+(IF(F208=0,0,(Upgrades!$M$7+F208*Upgrades!$N$7)*POWER(Upgrades!$O$7,F208)))*(IF(Upgrades!$T$6="Asteroid Belt",POWER(Upgrades!$U$6,E208),1)*IF(Upgrades!$T$8="Asteroid Belt",POWER(Upgrades!$U$8,G208),1)*IF(Upgrades!$T$9="Asteroid Belt",POWER(Upgrades!$U$9,H208),1)*IF(Upgrades!$T$10="Asteroid Belt",POWER(Upgrades!$U$10,I208),1)*IF(Upgrades!$T$11="Asteroid Belt",POWER(Upgrades!$U$11,J208),1)*IF(Upgrades!$T$12="Asteroid Belt",POWER(Upgrades!$U$12,K208),1))+(IF(G208=0,0,(Upgrades!$M$8+G208*Upgrades!$N$8)*POWER(Upgrades!$O$8,G208)))*(IF(Upgrades!$T$6="Stellar Coupling",POWER(Upgrades!$U$6,E208),1)*IF(Upgrades!$T$7="Stellar Coupling",POWER(Upgrades!$U$7,F208),1)*IF(Upgrades!$T$9="Stellar Coupling",POWER(Upgrades!$U$9,H208),1)*IF(Upgrades!$T$10="Stellar Coupling",POWER(Upgrades!$U$10,I208),1)*IF(Upgrades!$T$11="Stellar Coupling",POWER(Upgrades!$U$11,J208),1)*IF(Upgrades!$T$12="Stellar Coupling",POWER(Upgrades!$U$12,K208),1))+(IF(H208=0,0,(Upgrades!$M$9+H208*Upgrades!$N$9)*POWER(Upgrades!$O$9,H208)))*(IF(Upgrades!$T$6="Magnetosphere",POWER(Upgrades!$U$6,E208),1)*IF(Upgrades!$T$7="Magnetosphere",POWER(Upgrades!$U$7,F208),1)*IF(Upgrades!$T$8="Magnetosphere",POWER(Upgrades!$U$8,G208),1)*IF(Upgrades!$T$10="Magnetosphere",POWER(Upgrades!$U$10,I208),1)*IF(Upgrades!$T$11="Magnetosphere",POWER(Upgrades!$U$11,J208),1)*IF(Upgrades!$T$12="Magnetosphere",POWER(Upgrades!$U$12,K208),1))+(IF(I208=0,0,(Upgrades!$M$10+I208*Upgrades!$N$10)*POWER(Upgrades!$O$10,I208)))*(IF(Upgrades!$T$6="Orbital Resonance",POWER(Upgrades!$U$6,E208),1)*IF(Upgrades!$T$7="Orbital Resonance",POWER(Upgrades!$U$7,F208),1)*IF(Upgrades!$T$8="Orbital Resonance",POWER(Upgrades!$U$8,G208),1)*IF(Upgrades!$T$9="Orbital Resonance",POWER(Upgrades!$U$9,H208),1)*IF(Upgrades!$T$11="Orbital Resonance",POWER(Upgrades!$U$11,J208),1)*IF(Upgrades!$T$12="Orbital Resonance",POWER(Upgrades!$U$12,K208),1))+(IF(J208=0,0,(Upgrades!$M$11+J208*Upgrades!$N$11)*POWER(Upgrades!$O$11,J208)))*(IF(Upgrades!$T$6="Heliopause",POWER(Upgrades!$U$6,E208),1)*IF(Upgrades!$T$7="Heliopause",POWER(Upgrades!$U$7,F208),1)*IF(Upgrades!$T$8="Heliopause",POWER(Upgrades!$U$8,G208),1)*IF(Upgrades!$T$9="Heliopause",POWER(Upgrades!$U$9,H208),1)*IF(Upgrades!$T$10="Heliopause",POWER(Upgrades!$U$10,I208),1)*IF(Upgrades!$T$12="Heliopause",POWER(Upgrades!$U$12,K208),1))+(IF(K208=0,0,(Upgrades!$M$12+K208*Upgrades!$N$12)*POWER(Upgrades!$O$12,K208)))*(IF(Upgrades!$T$6="First Photons",POWER(Upgrades!$U$6,E208),1)*IF(Upgrades!$T$7="First Photons",POWER(Upgrades!$U$7,F208),1)*IF(Upgrades!$T$8="First Photons",POWER(Upgrades!$U$8,G208),1)*IF(Upgrades!$T$9="First Photons",POWER(Upgrades!$U$9,H208),1)*IF(Upgrades!$T$10="First Photons",POWER(Upgrades!$U$10,I208),1)*IF(Upgrades!$T$11="First Photons",POWER(Upgrades!$U$11,J208),1)))*POWER(Upgrades!$R$6,E208)*POWER(Upgrades!$R$7,F208)*POWER(Upgrades!$R$8,G208)*POWER(Upgrades!$R$9,H208)*POWER(Upgrades!$R$10,I208)*POWER(Upgrades!$R$11,J208)*POWER(Upgrades!$R$12,K208)</f>
        <v/>
      </c>
      <c r="P208" s="27">
        <f>IF(L208=1,0,M208*Parameters!$B$10/60*Parameters!$B$11*10)</f>
        <v/>
      </c>
      <c r="Q208" s="27">
        <f>IF(L208=1,0,O208*M208*10)</f>
        <v/>
      </c>
      <c r="R208" s="27">
        <f>IF(L208=1,0,N208*10)</f>
        <v/>
      </c>
      <c r="S208" s="27">
        <f>P208+Q208+R208</f>
        <v/>
      </c>
      <c r="T208" s="22">
        <f>C208+S208</f>
        <v/>
      </c>
      <c r="U208" s="33">
        <f>AX208</f>
        <v/>
      </c>
      <c r="V208" s="22">
        <f>IF(U208="",0,IF(U208="transition",0,IF(U208="SW",AG208,IF(U208="AB",AH208,IF(U208="SC",AI208,IF(U208="Mag",AJ208,IF(U208="OR",AK208,IF(U208="HP",AL208,IF(U208="FP",AM208,0)))))))))</f>
        <v/>
      </c>
      <c r="W208" s="27">
        <f>IF(U208="OR",Upgrades!$F$10,IF(U208="HP",Upgrades!$F$11,IF(U208="transition",-Parameters!$B$18,0)))</f>
        <v/>
      </c>
      <c r="X208" s="22">
        <f>T208-V208</f>
        <v/>
      </c>
      <c r="Y208" s="30">
        <f>M208*Parameters!$B$10/60*Parameters!$B$11+O208*M208+N208</f>
        <v/>
      </c>
      <c r="Z208" s="34">
        <f>IF(U208="transition","→ Tier 2 (Stellar Neighborhood)",IF(U208="FP","First Photons — light begins, system quickens",IF(U208="HP","Heliopause acquired",IF(U208="OR","Orbital Resonance — passive multiplier active",IF(AND(AO208=1,L208=0,AN208&lt;&gt;1),"Cohesion ready (waiting on completionist upgrades)","")))))</f>
        <v/>
      </c>
      <c r="AA208" s="27">
        <f>(IF(E208=0,0,(Upgrades!$G$6+E208*Upgrades!$H$6)*POWER(Upgrades!$I$6,E208)))*(IF(Upgrades!$T$7="Solar Wind",POWER(Upgrades!$U$7,F208),1)*IF(Upgrades!$T$8="Solar Wind",POWER(Upgrades!$U$8,G208),1)*IF(Upgrades!$T$9="Solar Wind",POWER(Upgrades!$U$9,H208),1)*IF(Upgrades!$T$10="Solar Wind",POWER(Upgrades!$U$10,I208),1)*IF(Upgrades!$T$11="Solar Wind",POWER(Upgrades!$U$11,J208),1)*IF(Upgrades!$T$12="Solar Wind",POWER(Upgrades!$U$12,K208),1))*POWER(Upgrades!$P$6,E208)*POWER(Upgrades!$P$7,F208)*POWER(Upgrades!$P$8,G208)*POWER(Upgrades!$P$9,H208)*POWER(Upgrades!$P$10,I208)*POWER(Upgrades!$P$11,J208)*POWER(Upgrades!$P$12,K208)*60</f>
        <v/>
      </c>
      <c r="AB208" s="27">
        <f>(IF(F208=0,0,(Upgrades!$G$7+F208*Upgrades!$H$7)*POWER(Upgrades!$I$7,F208)))*(IF(Upgrades!$T$6="Asteroid Belt",POWER(Upgrades!$U$6,E208),1)*IF(Upgrades!$T$8="Asteroid Belt",POWER(Upgrades!$U$8,G208),1)*IF(Upgrades!$T$9="Asteroid Belt",POWER(Upgrades!$U$9,H208),1)*IF(Upgrades!$T$10="Asteroid Belt",POWER(Upgrades!$U$10,I208),1)*IF(Upgrades!$T$11="Asteroid Belt",POWER(Upgrades!$U$11,J208),1)*IF(Upgrades!$T$12="Asteroid Belt",POWER(Upgrades!$U$12,K208),1))*POWER(Upgrades!$P$6,E208)*POWER(Upgrades!$P$7,F208)*POWER(Upgrades!$P$8,G208)*POWER(Upgrades!$P$9,H208)*POWER(Upgrades!$P$10,I208)*POWER(Upgrades!$P$11,J208)*POWER(Upgrades!$P$12,K208)*60</f>
        <v/>
      </c>
      <c r="AC208" s="27">
        <f>(IF(G208=0,0,(Upgrades!$J$8+G208*Upgrades!$K$8)*POWER(Upgrades!$L$8,G208)))*(IF(Upgrades!$T$6="Stellar Coupling",POWER(Upgrades!$U$6,E208),1)*IF(Upgrades!$T$7="Stellar Coupling",POWER(Upgrades!$U$7,F208),1)*IF(Upgrades!$T$9="Stellar Coupling",POWER(Upgrades!$U$9,H208),1)*IF(Upgrades!$T$10="Stellar Coupling",POWER(Upgrades!$U$10,I208),1)*IF(Upgrades!$T$11="Stellar Coupling",POWER(Upgrades!$U$11,J208),1)*IF(Upgrades!$T$12="Stellar Coupling",POWER(Upgrades!$U$12,K208),1))*POWER(Upgrades!$Q$6,E208)*POWER(Upgrades!$Q$7,F208)*POWER(Upgrades!$Q$8,G208)*POWER(Upgrades!$Q$9,H208)*POWER(Upgrades!$Q$10,I208)*POWER(Upgrades!$Q$11,J208)*POWER(Upgrades!$Q$12,K208)*Parameters!$B$10*Parameters!$B$11</f>
        <v/>
      </c>
      <c r="AD208" s="27">
        <f>(IF(H208=0,0,(Upgrades!$G$9+H208*Upgrades!$H$9)*POWER(Upgrades!$I$9,H208)))*(IF(Upgrades!$T$6="Magnetosphere",POWER(Upgrades!$U$6,E208),1)*IF(Upgrades!$T$7="Magnetosphere",POWER(Upgrades!$U$7,F208),1)*IF(Upgrades!$T$8="Magnetosphere",POWER(Upgrades!$U$8,G208),1)*IF(Upgrades!$T$10="Magnetosphere",POWER(Upgrades!$U$10,I208),1)*IF(Upgrades!$T$11="Magnetosphere",POWER(Upgrades!$U$11,J208),1)*IF(Upgrades!$T$12="Magnetosphere",POWER(Upgrades!$U$12,K208),1))*POWER(Upgrades!$P$6,E208)*POWER(Upgrades!$P$7,F208)*POWER(Upgrades!$P$8,G208)*POWER(Upgrades!$P$9,H208)*POWER(Upgrades!$P$10,I208)*POWER(Upgrades!$P$11,J208)*POWER(Upgrades!$P$12,K208)*60</f>
        <v/>
      </c>
      <c r="AE208" s="27">
        <f>(IF(K208=0,0,(Upgrades!$G$12+K208*Upgrades!$H$12)*POWER(Upgrades!$I$12,K208)))*(IF(Upgrades!$T$6="First Photons",POWER(Upgrades!$U$6,E208),1)*IF(Upgrades!$T$7="First Photons",POWER(Upgrades!$U$7,F208),1)*IF(Upgrades!$T$8="First Photons",POWER(Upgrades!$U$8,G208),1)*IF(Upgrades!$T$9="First Photons",POWER(Upgrades!$U$9,H208),1)*IF(Upgrades!$T$10="First Photons",POWER(Upgrades!$U$10,I208),1)*IF(Upgrades!$T$11="First Photons",POWER(Upgrades!$U$11,J208),1))*POWER(Upgrades!$P$6,E208)*POWER(Upgrades!$P$7,F208)*POWER(Upgrades!$P$8,G208)*POWER(Upgrades!$P$9,H208)*POWER(Upgrades!$P$10,I208)*POWER(Upgrades!$P$11,J208)*POWER(Upgrades!$P$12,K208)*60</f>
        <v/>
      </c>
      <c r="AF208" s="27">
        <f>Parameters!$B$9*POWER(Upgrades!$Q$6,E208)*POWER(Upgrades!$Q$7,F208)*POWER(Upgrades!$Q$8,G208)*POWER(Upgrades!$Q$9,H208)*POWER(Upgrades!$Q$10,I208)*POWER(Upgrades!$Q$11,J208)*POWER(Upgrades!$Q$12,K208)*(Parameters!$B$10*Parameters!$B$11+O208*60)</f>
        <v/>
      </c>
      <c r="AG208" s="22">
        <f>IF(E208&gt;=Upgrades!$E$6,"",Upgrades!$C$6*POWER(Upgrades!$D$6,E208))</f>
        <v/>
      </c>
      <c r="AH208" s="22">
        <f>IF(F208&gt;=Upgrades!$E$7,"",Upgrades!$C$7*POWER(Upgrades!$D$7,F208))</f>
        <v/>
      </c>
      <c r="AI208" s="22">
        <f>IF(G208&gt;=Upgrades!$E$8,"",Upgrades!$C$8*POWER(Upgrades!$D$8,G208))</f>
        <v/>
      </c>
      <c r="AJ208" s="22">
        <f>IF(H208&gt;=Upgrades!$E$9,"",Upgrades!$C$9*POWER(Upgrades!$D$9,H208))</f>
        <v/>
      </c>
      <c r="AK208" s="22">
        <f>IF(I208&gt;=Upgrades!$E$10,"",Upgrades!$C$10*POWER(Upgrades!$D$10,I208))</f>
        <v/>
      </c>
      <c r="AL208" s="22">
        <f>IF(J208&gt;=Upgrades!$E$11,"",Upgrades!$C$11*POWER(Upgrades!$D$11,J208))</f>
        <v/>
      </c>
      <c r="AM208" s="22">
        <f>IF(K208&gt;=Upgrades!$E$12,"",Upgrades!$C$12*POWER(Upgrades!$D$12,K208))</f>
        <v/>
      </c>
      <c r="AN208" s="26">
        <f>IF(AND(D208&gt;=Parameters!$B$18,(H208&gt;=Upgrades!$E$9)*(K208&gt;=Upgrades!$E$12)=1,L208=0),1,"")</f>
        <v/>
      </c>
      <c r="AO208" s="26">
        <f>IF(AND(D208&gt;=Parameters!$B$18,L208=0),1,"")</f>
        <v/>
      </c>
      <c r="AP208" s="22">
        <f>MIN(IF(ISNUMBER(AK208),AK208,9E15),IF(ISNUMBER(AL208),AL208,9E15),IF(ISNUMBER(AM208),AM208,9E15))</f>
        <v/>
      </c>
      <c r="AQ208" s="22">
        <f>MIN(IF(ISNUMBER(AG208),AG208,9E15),IF(ISNUMBER(AH208),AH208,9E15),IF(ISNUMBER(AI208),AI208,9E15),IF(ISNUMBER(AJ208),AJ208,9E15))</f>
        <v/>
      </c>
      <c r="AR208" s="29">
        <f>IF(AW208&gt;Parameters!$B$21*(MAX(IF(AND(NOT(AND(AO208=1,AN208&lt;&gt;1)),ISNUMBER(AG208),AG208&lt;=T208),AS208,0),IF(AND(NOT(AND(AO208=1,AN208&lt;&gt;1)),ISNUMBER(AH208),AH208&lt;=T208),AT208,0),IF(AND(NOT(AND(AO208=1,AN208&lt;&gt;1)),ISNUMBER(AI208),AI208&lt;=T208),AU208,0),IF(AND(ISNUMBER(AJ208),AJ208&lt;=T208),AV208,0))),TRUE,FALSE)</f>
        <v/>
      </c>
      <c r="AS208" s="32">
        <f>IFERROR(Upgrades!$H$6*(POWER(Upgrades!$P$6,E208)*POWER(Upgrades!$P$7,F208)*POWER(Upgrades!$P$8,G208)*POWER(Upgrades!$P$9,H208)*POWER(Upgrades!$P$10,I208)*POWER(Upgrades!$P$11,J208)*POWER(Upgrades!$P$12,K208))*(IF(Upgrades!$T$7="Solar Wind",POWER(Upgrades!$U$7,F208),1)*IF(Upgrades!$T$8="Solar Wind",POWER(Upgrades!$U$8,G208),1)*IF(Upgrades!$T$9="Solar Wind",POWER(Upgrades!$U$9,H208),1)*IF(Upgrades!$T$10="Solar Wind",POWER(Upgrades!$U$10,I208),1)*IF(Upgrades!$T$11="Solar Wind",POWER(Upgrades!$U$11,J208),1)*IF(Upgrades!$T$12="Solar Wind",POWER(Upgrades!$U$12,K208),1))/AG208,0)</f>
        <v/>
      </c>
      <c r="AT208" s="32">
        <f>IFERROR(Upgrades!$H$7*(POWER(Upgrades!$P$6,E208)*POWER(Upgrades!$P$7,F208)*POWER(Upgrades!$P$8,G208)*POWER(Upgrades!$P$9,H208)*POWER(Upgrades!$P$10,I208)*POWER(Upgrades!$P$11,J208)*POWER(Upgrades!$P$12,K208))*(IF(Upgrades!$T$6="Asteroid Belt",POWER(Upgrades!$U$6,E208),1)*IF(Upgrades!$T$8="Asteroid Belt",POWER(Upgrades!$U$8,G208),1)*IF(Upgrades!$T$9="Asteroid Belt",POWER(Upgrades!$U$9,H208),1)*IF(Upgrades!$T$10="Asteroid Belt",POWER(Upgrades!$U$10,I208),1)*IF(Upgrades!$T$11="Asteroid Belt",POWER(Upgrades!$U$11,J208),1)*IF(Upgrades!$T$12="Asteroid Belt",POWER(Upgrades!$U$12,K208),1))/AH208,0)</f>
        <v/>
      </c>
      <c r="AU208" s="32">
        <f>IFERROR(Upgrades!$K$8*(POWER(Upgrades!$Q$6,E208)*POWER(Upgrades!$Q$7,F208)*POWER(Upgrades!$Q$8,G208)*POWER(Upgrades!$Q$9,H208)*POWER(Upgrades!$Q$10,I208)*POWER(Upgrades!$Q$11,J208)*POWER(Upgrades!$Q$12,K208))*(IF(Upgrades!$T$6="Stellar Coupling",POWER(Upgrades!$U$6,E208),1)*IF(Upgrades!$T$7="Stellar Coupling",POWER(Upgrades!$U$7,F208),1)*IF(Upgrades!$T$9="Stellar Coupling",POWER(Upgrades!$U$9,H208),1)*IF(Upgrades!$T$10="Stellar Coupling",POWER(Upgrades!$U$10,I208),1)*IF(Upgrades!$T$11="Stellar Coupling",POWER(Upgrades!$U$11,J208),1)*IF(Upgrades!$T$12="Stellar Coupling",POWER(Upgrades!$U$12,K208),1))*Parameters!$B$10*Parameters!$B$11/60/AI208,0)</f>
        <v/>
      </c>
      <c r="AV208" s="32">
        <f>IFERROR(Upgrades!$H$9*(POWER(Upgrades!$P$6,E208)*POWER(Upgrades!$P$7,F208)*POWER(Upgrades!$P$8,G208)*POWER(Upgrades!$P$9,H208)*POWER(Upgrades!$P$10,I208)*POWER(Upgrades!$P$11,J208)*POWER(Upgrades!$P$12,K208))*(IF(Upgrades!$T$6="Magnetosphere",POWER(Upgrades!$U$6,E208),1)*IF(Upgrades!$T$7="Magnetosphere",POWER(Upgrades!$U$7,F208),1)*IF(Upgrades!$T$8="Magnetosphere",POWER(Upgrades!$U$8,G208),1)*IF(Upgrades!$T$10="Magnetosphere",POWER(Upgrades!$U$10,I208),1)*IF(Upgrades!$T$11="Magnetosphere",POWER(Upgrades!$U$11,J208),1)*IF(Upgrades!$T$12="Magnetosphere",POWER(Upgrades!$U$12,K208),1))/AJ208,0)</f>
        <v/>
      </c>
      <c r="AW208" s="32">
        <f>MAX(IF(I208&gt;0,0,IFERROR(0.25*N208/Upgrades!$C$10,0)),IF(J208&gt;0,0,IFERROR(0.5*((IF(G208=0,0,(Upgrades!$J$8+G208*Upgrades!$K$8)*POWER(Upgrades!$L$8,G208)))*(IF(Upgrades!$T$6="Stellar Coupling",POWER(Upgrades!$U$6,E208),1)*IF(Upgrades!$T$7="Stellar Coupling",POWER(Upgrades!$U$7,F208),1)*IF(Upgrades!$T$9="Stellar Coupling",POWER(Upgrades!$U$9,H208),1)*IF(Upgrades!$T$10="Stellar Coupling",POWER(Upgrades!$U$10,I208),1)*IF(Upgrades!$T$11="Stellar Coupling",POWER(Upgrades!$U$11,J208),1)*IF(Upgrades!$T$12="Stellar Coupling",POWER(Upgrades!$U$12,K208),1))*(POWER(Upgrades!$Q$6,E208)*POWER(Upgrades!$Q$7,F208)*POWER(Upgrades!$Q$8,G208)*POWER(Upgrades!$Q$9,H208)*POWER(Upgrades!$Q$10,I208)*POWER(Upgrades!$Q$11,J208)*POWER(Upgrades!$Q$12,K208))*Parameters!$B$10*Parameters!$B$11/60)/Upgrades!$C$11,0)),IF(K208&gt;0,0,IFERROR((1.0*(POWER(Upgrades!$P$6,E208)*POWER(Upgrades!$P$7,F208)*POWER(Upgrades!$P$8,G208)*POWER(Upgrades!$P$9,H208)*POWER(Upgrades!$P$10,I208)*POWER(Upgrades!$P$11,J208)*POWER(Upgrades!$P$12,K208))+0.20*M208*Parameters!$B$10*Parameters!$B$11/60)/Upgrades!$C$12,0)),IF(AND(ISNUMBER(AG208),AG208&gt;T208),AS208,0),IF(AND(ISNUMBER(AH208),AH208&gt;T208),AT208,0),IF(AND(ISNUMBER(AI208),AI208&gt;T208),AU208,0),IF(AND(ISNUMBER(AJ208),AJ208&gt;T208),AV208,0))</f>
        <v/>
      </c>
      <c r="AX208" s="29">
        <f>IF(AN208=1,"transition",IF(MIN(IF(AND(I208=0,ISNUMBER(AK208),AK208&lt;=T208),AK208,9E15),IF(AND(J208=0,ISNUMBER(AL208),AL208&lt;=T208),AL208,9E15),IF(AND(K208=0,ISNUMBER(AM208),AM208&lt;=T208),AM208,9E15))&lt;9E15,IF(AND(AND(I208=0,ISNUMBER(AK208),AK208&lt;=T208),AK208=MIN(IF(AND(I208=0,ISNUMBER(AK208),AK208&lt;=T208),AK208,9E15),IF(AND(J208=0,ISNUMBER(AL208),AL208&lt;=T208),AL208,9E15),IF(AND(K208=0,ISNUMBER(AM208),AM208&lt;=T208),AM208,9E15))),"OR",IF(AND(AND(J208=0,ISNUMBER(AL208),AL208&lt;=T208),AL208=MIN(IF(AND(I208=0,ISNUMBER(AK208),AK208&lt;=T208),AK208,9E15),IF(AND(J208=0,ISNUMBER(AL208),AL208&lt;=T208),AL208,9E15),IF(AND(K208=0,ISNUMBER(AM208),AM208&lt;=T208),AM208,9E15))),"HP","FP")),IF(AR208=TRUE,"",IF(MAX(IF(AND(NOT(AND(AO208=1,AN208&lt;&gt;1)),ISNUMBER(AG208),AG208&lt;=T208),AS208,0),IF(AND(NOT(AND(AO208=1,AN208&lt;&gt;1)),ISNUMBER(AH208),AH208&lt;=T208),AT208,0),IF(AND(NOT(AND(AO208=1,AN208&lt;&gt;1)),ISNUMBER(AI208),AI208&lt;=T208),AU208,0),IF(AND(ISNUMBER(AJ208),AJ208&lt;=T208),AV208,0))&lt;=0,"",IF(AND(IF(AND(NOT(AND(AO208=1,AN208&lt;&gt;1)),ISNUMBER(AG208),AG208&lt;=T208),AS208,0)&gt;0,IF(AND(NOT(AND(AO208=1,AN208&lt;&gt;1)),ISNUMBER(AG208),AG208&lt;=T208),AS208,0)=MAX(IF(AND(NOT(AND(AO208=1,AN208&lt;&gt;1)),ISNUMBER(AG208),AG208&lt;=T208),AS208,0),IF(AND(NOT(AND(AO208=1,AN208&lt;&gt;1)),ISNUMBER(AH208),AH208&lt;=T208),AT208,0),IF(AND(NOT(AND(AO208=1,AN208&lt;&gt;1)),ISNUMBER(AI208),AI208&lt;=T208),AU208,0),IF(AND(ISNUMBER(AJ208),AJ208&lt;=T208),AV208,0))),"SW",IF(AND(IF(AND(NOT(AND(AO208=1,AN208&lt;&gt;1)),ISNUMBER(AH208),AH208&lt;=T208),AT208,0)&gt;0,IF(AND(NOT(AND(AO208=1,AN208&lt;&gt;1)),ISNUMBER(AH208),AH208&lt;=T208),AT208,0)=MAX(IF(AND(NOT(AND(AO208=1,AN208&lt;&gt;1)),ISNUMBER(AG208),AG208&lt;=T208),AS208,0),IF(AND(NOT(AND(AO208=1,AN208&lt;&gt;1)),ISNUMBER(AH208),AH208&lt;=T208),AT208,0),IF(AND(NOT(AND(AO208=1,AN208&lt;&gt;1)),ISNUMBER(AI208),AI208&lt;=T208),AU208,0),IF(AND(ISNUMBER(AJ208),AJ208&lt;=T208),AV208,0))),"AB",IF(AND(IF(AND(NOT(AND(AO208=1,AN208&lt;&gt;1)),ISNUMBER(AI208),AI208&lt;=T208),AU208,0)&gt;0,IF(AND(NOT(AND(AO208=1,AN208&lt;&gt;1)),ISNUMBER(AI208),AI208&lt;=T208),AU208,0)=MAX(IF(AND(NOT(AND(AO208=1,AN208&lt;&gt;1)),ISNUMBER(AG208),AG208&lt;=T208),AS208,0),IF(AND(NOT(AND(AO208=1,AN208&lt;&gt;1)),ISNUMBER(AH208),AH208&lt;=T208),AT208,0),IF(AND(NOT(AND(AO208=1,AN208&lt;&gt;1)),ISNUMBER(AI208),AI208&lt;=T208),AU208,0),IF(AND(ISNUMBER(AJ208),AJ208&lt;=T208),AV208,0))),"SC","Mag")))))))</f>
        <v/>
      </c>
    </row>
    <row r="209">
      <c r="A209" s="26" t="n">
        <v>204</v>
      </c>
      <c r="B209" s="27">
        <f>A209*10/60</f>
        <v/>
      </c>
      <c r="C209" s="22">
        <f>X208</f>
        <v/>
      </c>
      <c r="D209" s="27">
        <f>D208+W208</f>
        <v/>
      </c>
      <c r="E209" s="26">
        <f>E208+IF(U208="SW",1,0)</f>
        <v/>
      </c>
      <c r="F209" s="26">
        <f>F208+IF(U208="AB",1,0)</f>
        <v/>
      </c>
      <c r="G209" s="26">
        <f>G208+IF(U208="SC",1,0)</f>
        <v/>
      </c>
      <c r="H209" s="26">
        <f>H208+IF(U208="Mag",1,0)</f>
        <v/>
      </c>
      <c r="I209" s="26">
        <f>MAX(I208,IF(U208="OR",1,0))</f>
        <v/>
      </c>
      <c r="J209" s="26">
        <f>MAX(J208,IF(U208="HP",1,0))</f>
        <v/>
      </c>
      <c r="K209" s="26">
        <f>MAX(K208,IF(U208="FP",1,0))</f>
        <v/>
      </c>
      <c r="L209" s="26">
        <f>MAX(L208,IF(U208="transition",1,0))</f>
        <v/>
      </c>
      <c r="M209" s="28">
        <f>(Parameters!$B$9+(IF(E209=0,0,(Upgrades!$J$6+E209*Upgrades!$K$6)*POWER(Upgrades!$L$6,E209)))*(IF(Upgrades!$T$7="Solar Wind",POWER(Upgrades!$U$7,F209),1)*IF(Upgrades!$T$8="Solar Wind",POWER(Upgrades!$U$8,G209),1)*IF(Upgrades!$T$9="Solar Wind",POWER(Upgrades!$U$9,H209),1)*IF(Upgrades!$T$10="Solar Wind",POWER(Upgrades!$U$10,I209),1)*IF(Upgrades!$T$11="Solar Wind",POWER(Upgrades!$U$11,J209),1)*IF(Upgrades!$T$12="Solar Wind",POWER(Upgrades!$U$12,K209),1))+(IF(F209=0,0,(Upgrades!$J$7+F209*Upgrades!$K$7)*POWER(Upgrades!$L$7,F209)))*(IF(Upgrades!$T$6="Asteroid Belt",POWER(Upgrades!$U$6,E209),1)*IF(Upgrades!$T$8="Asteroid Belt",POWER(Upgrades!$U$8,G209),1)*IF(Upgrades!$T$9="Asteroid Belt",POWER(Upgrades!$U$9,H209),1)*IF(Upgrades!$T$10="Asteroid Belt",POWER(Upgrades!$U$10,I209),1)*IF(Upgrades!$T$11="Asteroid Belt",POWER(Upgrades!$U$11,J209),1)*IF(Upgrades!$T$12="Asteroid Belt",POWER(Upgrades!$U$12,K209),1))+(IF(G209=0,0,(Upgrades!$J$8+G209*Upgrades!$K$8)*POWER(Upgrades!$L$8,G209)))*(IF(Upgrades!$T$6="Stellar Coupling",POWER(Upgrades!$U$6,E209),1)*IF(Upgrades!$T$7="Stellar Coupling",POWER(Upgrades!$U$7,F209),1)*IF(Upgrades!$T$9="Stellar Coupling",POWER(Upgrades!$U$9,H209),1)*IF(Upgrades!$T$10="Stellar Coupling",POWER(Upgrades!$U$10,I209),1)*IF(Upgrades!$T$11="Stellar Coupling",POWER(Upgrades!$U$11,J209),1)*IF(Upgrades!$T$12="Stellar Coupling",POWER(Upgrades!$U$12,K209),1))+(IF(H209=0,0,(Upgrades!$J$9+H209*Upgrades!$K$9)*POWER(Upgrades!$L$9,H209)))*(IF(Upgrades!$T$6="Magnetosphere",POWER(Upgrades!$U$6,E209),1)*IF(Upgrades!$T$7="Magnetosphere",POWER(Upgrades!$U$7,F209),1)*IF(Upgrades!$T$8="Magnetosphere",POWER(Upgrades!$U$8,G209),1)*IF(Upgrades!$T$10="Magnetosphere",POWER(Upgrades!$U$10,I209),1)*IF(Upgrades!$T$11="Magnetosphere",POWER(Upgrades!$U$11,J209),1)*IF(Upgrades!$T$12="Magnetosphere",POWER(Upgrades!$U$12,K209),1))+(IF(I209=0,0,(Upgrades!$J$10+I209*Upgrades!$K$10)*POWER(Upgrades!$L$10,I209)))*(IF(Upgrades!$T$6="Orbital Resonance",POWER(Upgrades!$U$6,E209),1)*IF(Upgrades!$T$7="Orbital Resonance",POWER(Upgrades!$U$7,F209),1)*IF(Upgrades!$T$8="Orbital Resonance",POWER(Upgrades!$U$8,G209),1)*IF(Upgrades!$T$9="Orbital Resonance",POWER(Upgrades!$U$9,H209),1)*IF(Upgrades!$T$11="Orbital Resonance",POWER(Upgrades!$U$11,J209),1)*IF(Upgrades!$T$12="Orbital Resonance",POWER(Upgrades!$U$12,K209),1))+(IF(J209=0,0,(Upgrades!$J$11+J209*Upgrades!$K$11)*POWER(Upgrades!$L$11,J209)))*(IF(Upgrades!$T$6="Heliopause",POWER(Upgrades!$U$6,E209),1)*IF(Upgrades!$T$7="Heliopause",POWER(Upgrades!$U$7,F209),1)*IF(Upgrades!$T$8="Heliopause",POWER(Upgrades!$U$8,G209),1)*IF(Upgrades!$T$9="Heliopause",POWER(Upgrades!$U$9,H209),1)*IF(Upgrades!$T$10="Heliopause",POWER(Upgrades!$U$10,I209),1)*IF(Upgrades!$T$12="Heliopause",POWER(Upgrades!$U$12,K209),1))+(IF(K209=0,0,(Upgrades!$J$12+K209*Upgrades!$K$12)*POWER(Upgrades!$L$12,K209)))*(IF(Upgrades!$T$6="First Photons",POWER(Upgrades!$U$6,E209),1)*IF(Upgrades!$T$7="First Photons",POWER(Upgrades!$U$7,F209),1)*IF(Upgrades!$T$8="First Photons",POWER(Upgrades!$U$8,G209),1)*IF(Upgrades!$T$9="First Photons",POWER(Upgrades!$U$9,H209),1)*IF(Upgrades!$T$10="First Photons",POWER(Upgrades!$U$10,I209),1)*IF(Upgrades!$T$11="First Photons",POWER(Upgrades!$U$11,J209),1)))*POWER(Upgrades!$Q$6,E209)*POWER(Upgrades!$Q$7,F209)*POWER(Upgrades!$Q$8,G209)*POWER(Upgrades!$Q$9,H209)*POWER(Upgrades!$Q$10,I209)*POWER(Upgrades!$Q$11,J209)*POWER(Upgrades!$Q$12,K209)</f>
        <v/>
      </c>
      <c r="N209" s="28">
        <f>((IF(E209=0,0,(Upgrades!$G$6+E209*Upgrades!$H$6)*POWER(Upgrades!$I$6,E209)))*(IF(Upgrades!$T$7="Solar Wind",POWER(Upgrades!$U$7,F209),1)*IF(Upgrades!$T$8="Solar Wind",POWER(Upgrades!$U$8,G209),1)*IF(Upgrades!$T$9="Solar Wind",POWER(Upgrades!$U$9,H209),1)*IF(Upgrades!$T$10="Solar Wind",POWER(Upgrades!$U$10,I209),1)*IF(Upgrades!$T$11="Solar Wind",POWER(Upgrades!$U$11,J209),1)*IF(Upgrades!$T$12="Solar Wind",POWER(Upgrades!$U$12,K209),1))+(IF(F209=0,0,(Upgrades!$G$7+F209*Upgrades!$H$7)*POWER(Upgrades!$I$7,F209)))*(IF(Upgrades!$T$6="Asteroid Belt",POWER(Upgrades!$U$6,E209),1)*IF(Upgrades!$T$8="Asteroid Belt",POWER(Upgrades!$U$8,G209),1)*IF(Upgrades!$T$9="Asteroid Belt",POWER(Upgrades!$U$9,H209),1)*IF(Upgrades!$T$10="Asteroid Belt",POWER(Upgrades!$U$10,I209),1)*IF(Upgrades!$T$11="Asteroid Belt",POWER(Upgrades!$U$11,J209),1)*IF(Upgrades!$T$12="Asteroid Belt",POWER(Upgrades!$U$12,K209),1))+(IF(G209=0,0,(Upgrades!$G$8+G209*Upgrades!$H$8)*POWER(Upgrades!$I$8,G209)))*(IF(Upgrades!$T$6="Stellar Coupling",POWER(Upgrades!$U$6,E209),1)*IF(Upgrades!$T$7="Stellar Coupling",POWER(Upgrades!$U$7,F209),1)*IF(Upgrades!$T$9="Stellar Coupling",POWER(Upgrades!$U$9,H209),1)*IF(Upgrades!$T$10="Stellar Coupling",POWER(Upgrades!$U$10,I209),1)*IF(Upgrades!$T$11="Stellar Coupling",POWER(Upgrades!$U$11,J209),1)*IF(Upgrades!$T$12="Stellar Coupling",POWER(Upgrades!$U$12,K209),1))+(IF(H209=0,0,(Upgrades!$G$9+H209*Upgrades!$H$9)*POWER(Upgrades!$I$9,H209)))*(IF(Upgrades!$T$6="Magnetosphere",POWER(Upgrades!$U$6,E209),1)*IF(Upgrades!$T$7="Magnetosphere",POWER(Upgrades!$U$7,F209),1)*IF(Upgrades!$T$8="Magnetosphere",POWER(Upgrades!$U$8,G209),1)*IF(Upgrades!$T$10="Magnetosphere",POWER(Upgrades!$U$10,I209),1)*IF(Upgrades!$T$11="Magnetosphere",POWER(Upgrades!$U$11,J209),1)*IF(Upgrades!$T$12="Magnetosphere",POWER(Upgrades!$U$12,K209),1))+(IF(I209=0,0,(Upgrades!$G$10+I209*Upgrades!$H$10)*POWER(Upgrades!$I$10,I209)))*(IF(Upgrades!$T$6="Orbital Resonance",POWER(Upgrades!$U$6,E209),1)*IF(Upgrades!$T$7="Orbital Resonance",POWER(Upgrades!$U$7,F209),1)*IF(Upgrades!$T$8="Orbital Resonance",POWER(Upgrades!$U$8,G209),1)*IF(Upgrades!$T$9="Orbital Resonance",POWER(Upgrades!$U$9,H209),1)*IF(Upgrades!$T$11="Orbital Resonance",POWER(Upgrades!$U$11,J209),1)*IF(Upgrades!$T$12="Orbital Resonance",POWER(Upgrades!$U$12,K209),1))+(IF(J209=0,0,(Upgrades!$G$11+J209*Upgrades!$H$11)*POWER(Upgrades!$I$11,J209)))*(IF(Upgrades!$T$6="Heliopause",POWER(Upgrades!$U$6,E209),1)*IF(Upgrades!$T$7="Heliopause",POWER(Upgrades!$U$7,F209),1)*IF(Upgrades!$T$8="Heliopause",POWER(Upgrades!$U$8,G209),1)*IF(Upgrades!$T$9="Heliopause",POWER(Upgrades!$U$9,H209),1)*IF(Upgrades!$T$10="Heliopause",POWER(Upgrades!$U$10,I209),1)*IF(Upgrades!$T$12="Heliopause",POWER(Upgrades!$U$12,K209),1))+(IF(K209=0,0,(Upgrades!$G$12+K209*Upgrades!$H$12)*POWER(Upgrades!$I$12,K209)))*(IF(Upgrades!$T$6="First Photons",POWER(Upgrades!$U$6,E209),1)*IF(Upgrades!$T$7="First Photons",POWER(Upgrades!$U$7,F209),1)*IF(Upgrades!$T$8="First Photons",POWER(Upgrades!$U$8,G209),1)*IF(Upgrades!$T$9="First Photons",POWER(Upgrades!$U$9,H209),1)*IF(Upgrades!$T$10="First Photons",POWER(Upgrades!$U$10,I209),1)*IF(Upgrades!$T$11="First Photons",POWER(Upgrades!$U$11,J209),1)))*POWER(Upgrades!$P$6,E209)*POWER(Upgrades!$P$7,F209)*POWER(Upgrades!$P$8,G209)*POWER(Upgrades!$P$9,H209)*POWER(Upgrades!$P$10,I209)*POWER(Upgrades!$P$11,J209)*POWER(Upgrades!$P$12,K209)</f>
        <v/>
      </c>
      <c r="O209" s="28">
        <f>((IF(E209=0,0,(Upgrades!$M$6+E209*Upgrades!$N$6)*POWER(Upgrades!$O$6,E209)))*(IF(Upgrades!$T$7="Solar Wind",POWER(Upgrades!$U$7,F209),1)*IF(Upgrades!$T$8="Solar Wind",POWER(Upgrades!$U$8,G209),1)*IF(Upgrades!$T$9="Solar Wind",POWER(Upgrades!$U$9,H209),1)*IF(Upgrades!$T$10="Solar Wind",POWER(Upgrades!$U$10,I209),1)*IF(Upgrades!$T$11="Solar Wind",POWER(Upgrades!$U$11,J209),1)*IF(Upgrades!$T$12="Solar Wind",POWER(Upgrades!$U$12,K209),1))+(IF(F209=0,0,(Upgrades!$M$7+F209*Upgrades!$N$7)*POWER(Upgrades!$O$7,F209)))*(IF(Upgrades!$T$6="Asteroid Belt",POWER(Upgrades!$U$6,E209),1)*IF(Upgrades!$T$8="Asteroid Belt",POWER(Upgrades!$U$8,G209),1)*IF(Upgrades!$T$9="Asteroid Belt",POWER(Upgrades!$U$9,H209),1)*IF(Upgrades!$T$10="Asteroid Belt",POWER(Upgrades!$U$10,I209),1)*IF(Upgrades!$T$11="Asteroid Belt",POWER(Upgrades!$U$11,J209),1)*IF(Upgrades!$T$12="Asteroid Belt",POWER(Upgrades!$U$12,K209),1))+(IF(G209=0,0,(Upgrades!$M$8+G209*Upgrades!$N$8)*POWER(Upgrades!$O$8,G209)))*(IF(Upgrades!$T$6="Stellar Coupling",POWER(Upgrades!$U$6,E209),1)*IF(Upgrades!$T$7="Stellar Coupling",POWER(Upgrades!$U$7,F209),1)*IF(Upgrades!$T$9="Stellar Coupling",POWER(Upgrades!$U$9,H209),1)*IF(Upgrades!$T$10="Stellar Coupling",POWER(Upgrades!$U$10,I209),1)*IF(Upgrades!$T$11="Stellar Coupling",POWER(Upgrades!$U$11,J209),1)*IF(Upgrades!$T$12="Stellar Coupling",POWER(Upgrades!$U$12,K209),1))+(IF(H209=0,0,(Upgrades!$M$9+H209*Upgrades!$N$9)*POWER(Upgrades!$O$9,H209)))*(IF(Upgrades!$T$6="Magnetosphere",POWER(Upgrades!$U$6,E209),1)*IF(Upgrades!$T$7="Magnetosphere",POWER(Upgrades!$U$7,F209),1)*IF(Upgrades!$T$8="Magnetosphere",POWER(Upgrades!$U$8,G209),1)*IF(Upgrades!$T$10="Magnetosphere",POWER(Upgrades!$U$10,I209),1)*IF(Upgrades!$T$11="Magnetosphere",POWER(Upgrades!$U$11,J209),1)*IF(Upgrades!$T$12="Magnetosphere",POWER(Upgrades!$U$12,K209),1))+(IF(I209=0,0,(Upgrades!$M$10+I209*Upgrades!$N$10)*POWER(Upgrades!$O$10,I209)))*(IF(Upgrades!$T$6="Orbital Resonance",POWER(Upgrades!$U$6,E209),1)*IF(Upgrades!$T$7="Orbital Resonance",POWER(Upgrades!$U$7,F209),1)*IF(Upgrades!$T$8="Orbital Resonance",POWER(Upgrades!$U$8,G209),1)*IF(Upgrades!$T$9="Orbital Resonance",POWER(Upgrades!$U$9,H209),1)*IF(Upgrades!$T$11="Orbital Resonance",POWER(Upgrades!$U$11,J209),1)*IF(Upgrades!$T$12="Orbital Resonance",POWER(Upgrades!$U$12,K209),1))+(IF(J209=0,0,(Upgrades!$M$11+J209*Upgrades!$N$11)*POWER(Upgrades!$O$11,J209)))*(IF(Upgrades!$T$6="Heliopause",POWER(Upgrades!$U$6,E209),1)*IF(Upgrades!$T$7="Heliopause",POWER(Upgrades!$U$7,F209),1)*IF(Upgrades!$T$8="Heliopause",POWER(Upgrades!$U$8,G209),1)*IF(Upgrades!$T$9="Heliopause",POWER(Upgrades!$U$9,H209),1)*IF(Upgrades!$T$10="Heliopause",POWER(Upgrades!$U$10,I209),1)*IF(Upgrades!$T$12="Heliopause",POWER(Upgrades!$U$12,K209),1))+(IF(K209=0,0,(Upgrades!$M$12+K209*Upgrades!$N$12)*POWER(Upgrades!$O$12,K209)))*(IF(Upgrades!$T$6="First Photons",POWER(Upgrades!$U$6,E209),1)*IF(Upgrades!$T$7="First Photons",POWER(Upgrades!$U$7,F209),1)*IF(Upgrades!$T$8="First Photons",POWER(Upgrades!$U$8,G209),1)*IF(Upgrades!$T$9="First Photons",POWER(Upgrades!$U$9,H209),1)*IF(Upgrades!$T$10="First Photons",POWER(Upgrades!$U$10,I209),1)*IF(Upgrades!$T$11="First Photons",POWER(Upgrades!$U$11,J209),1)))*POWER(Upgrades!$R$6,E209)*POWER(Upgrades!$R$7,F209)*POWER(Upgrades!$R$8,G209)*POWER(Upgrades!$R$9,H209)*POWER(Upgrades!$R$10,I209)*POWER(Upgrades!$R$11,J209)*POWER(Upgrades!$R$12,K209)</f>
        <v/>
      </c>
      <c r="P209" s="27">
        <f>IF(L209=1,0,M209*Parameters!$B$10/60*Parameters!$B$11*10)</f>
        <v/>
      </c>
      <c r="Q209" s="27">
        <f>IF(L209=1,0,O209*M209*10)</f>
        <v/>
      </c>
      <c r="R209" s="27">
        <f>IF(L209=1,0,N209*10)</f>
        <v/>
      </c>
      <c r="S209" s="27">
        <f>P209+Q209+R209</f>
        <v/>
      </c>
      <c r="T209" s="22">
        <f>C209+S209</f>
        <v/>
      </c>
      <c r="U209" s="33">
        <f>AX209</f>
        <v/>
      </c>
      <c r="V209" s="22">
        <f>IF(U209="",0,IF(U209="transition",0,IF(U209="SW",AG209,IF(U209="AB",AH209,IF(U209="SC",AI209,IF(U209="Mag",AJ209,IF(U209="OR",AK209,IF(U209="HP",AL209,IF(U209="FP",AM209,0)))))))))</f>
        <v/>
      </c>
      <c r="W209" s="27">
        <f>IF(U209="OR",Upgrades!$F$10,IF(U209="HP",Upgrades!$F$11,IF(U209="transition",-Parameters!$B$18,0)))</f>
        <v/>
      </c>
      <c r="X209" s="22">
        <f>T209-V209</f>
        <v/>
      </c>
      <c r="Y209" s="30">
        <f>M209*Parameters!$B$10/60*Parameters!$B$11+O209*M209+N209</f>
        <v/>
      </c>
      <c r="Z209" s="34">
        <f>IF(U209="transition","→ Tier 2 (Stellar Neighborhood)",IF(U209="FP","First Photons — light begins, system quickens",IF(U209="HP","Heliopause acquired",IF(U209="OR","Orbital Resonance — passive multiplier active",IF(AND(AO209=1,L209=0,AN209&lt;&gt;1),"Cohesion ready (waiting on completionist upgrades)","")))))</f>
        <v/>
      </c>
      <c r="AA209" s="27">
        <f>(IF(E209=0,0,(Upgrades!$G$6+E209*Upgrades!$H$6)*POWER(Upgrades!$I$6,E209)))*(IF(Upgrades!$T$7="Solar Wind",POWER(Upgrades!$U$7,F209),1)*IF(Upgrades!$T$8="Solar Wind",POWER(Upgrades!$U$8,G209),1)*IF(Upgrades!$T$9="Solar Wind",POWER(Upgrades!$U$9,H209),1)*IF(Upgrades!$T$10="Solar Wind",POWER(Upgrades!$U$10,I209),1)*IF(Upgrades!$T$11="Solar Wind",POWER(Upgrades!$U$11,J209),1)*IF(Upgrades!$T$12="Solar Wind",POWER(Upgrades!$U$12,K209),1))*POWER(Upgrades!$P$6,E209)*POWER(Upgrades!$P$7,F209)*POWER(Upgrades!$P$8,G209)*POWER(Upgrades!$P$9,H209)*POWER(Upgrades!$P$10,I209)*POWER(Upgrades!$P$11,J209)*POWER(Upgrades!$P$12,K209)*60</f>
        <v/>
      </c>
      <c r="AB209" s="27">
        <f>(IF(F209=0,0,(Upgrades!$G$7+F209*Upgrades!$H$7)*POWER(Upgrades!$I$7,F209)))*(IF(Upgrades!$T$6="Asteroid Belt",POWER(Upgrades!$U$6,E209),1)*IF(Upgrades!$T$8="Asteroid Belt",POWER(Upgrades!$U$8,G209),1)*IF(Upgrades!$T$9="Asteroid Belt",POWER(Upgrades!$U$9,H209),1)*IF(Upgrades!$T$10="Asteroid Belt",POWER(Upgrades!$U$10,I209),1)*IF(Upgrades!$T$11="Asteroid Belt",POWER(Upgrades!$U$11,J209),1)*IF(Upgrades!$T$12="Asteroid Belt",POWER(Upgrades!$U$12,K209),1))*POWER(Upgrades!$P$6,E209)*POWER(Upgrades!$P$7,F209)*POWER(Upgrades!$P$8,G209)*POWER(Upgrades!$P$9,H209)*POWER(Upgrades!$P$10,I209)*POWER(Upgrades!$P$11,J209)*POWER(Upgrades!$P$12,K209)*60</f>
        <v/>
      </c>
      <c r="AC209" s="27">
        <f>(IF(G209=0,0,(Upgrades!$J$8+G209*Upgrades!$K$8)*POWER(Upgrades!$L$8,G209)))*(IF(Upgrades!$T$6="Stellar Coupling",POWER(Upgrades!$U$6,E209),1)*IF(Upgrades!$T$7="Stellar Coupling",POWER(Upgrades!$U$7,F209),1)*IF(Upgrades!$T$9="Stellar Coupling",POWER(Upgrades!$U$9,H209),1)*IF(Upgrades!$T$10="Stellar Coupling",POWER(Upgrades!$U$10,I209),1)*IF(Upgrades!$T$11="Stellar Coupling",POWER(Upgrades!$U$11,J209),1)*IF(Upgrades!$T$12="Stellar Coupling",POWER(Upgrades!$U$12,K209),1))*POWER(Upgrades!$Q$6,E209)*POWER(Upgrades!$Q$7,F209)*POWER(Upgrades!$Q$8,G209)*POWER(Upgrades!$Q$9,H209)*POWER(Upgrades!$Q$10,I209)*POWER(Upgrades!$Q$11,J209)*POWER(Upgrades!$Q$12,K209)*Parameters!$B$10*Parameters!$B$11</f>
        <v/>
      </c>
      <c r="AD209" s="27">
        <f>(IF(H209=0,0,(Upgrades!$G$9+H209*Upgrades!$H$9)*POWER(Upgrades!$I$9,H209)))*(IF(Upgrades!$T$6="Magnetosphere",POWER(Upgrades!$U$6,E209),1)*IF(Upgrades!$T$7="Magnetosphere",POWER(Upgrades!$U$7,F209),1)*IF(Upgrades!$T$8="Magnetosphere",POWER(Upgrades!$U$8,G209),1)*IF(Upgrades!$T$10="Magnetosphere",POWER(Upgrades!$U$10,I209),1)*IF(Upgrades!$T$11="Magnetosphere",POWER(Upgrades!$U$11,J209),1)*IF(Upgrades!$T$12="Magnetosphere",POWER(Upgrades!$U$12,K209),1))*POWER(Upgrades!$P$6,E209)*POWER(Upgrades!$P$7,F209)*POWER(Upgrades!$P$8,G209)*POWER(Upgrades!$P$9,H209)*POWER(Upgrades!$P$10,I209)*POWER(Upgrades!$P$11,J209)*POWER(Upgrades!$P$12,K209)*60</f>
        <v/>
      </c>
      <c r="AE209" s="27">
        <f>(IF(K209=0,0,(Upgrades!$G$12+K209*Upgrades!$H$12)*POWER(Upgrades!$I$12,K209)))*(IF(Upgrades!$T$6="First Photons",POWER(Upgrades!$U$6,E209),1)*IF(Upgrades!$T$7="First Photons",POWER(Upgrades!$U$7,F209),1)*IF(Upgrades!$T$8="First Photons",POWER(Upgrades!$U$8,G209),1)*IF(Upgrades!$T$9="First Photons",POWER(Upgrades!$U$9,H209),1)*IF(Upgrades!$T$10="First Photons",POWER(Upgrades!$U$10,I209),1)*IF(Upgrades!$T$11="First Photons",POWER(Upgrades!$U$11,J209),1))*POWER(Upgrades!$P$6,E209)*POWER(Upgrades!$P$7,F209)*POWER(Upgrades!$P$8,G209)*POWER(Upgrades!$P$9,H209)*POWER(Upgrades!$P$10,I209)*POWER(Upgrades!$P$11,J209)*POWER(Upgrades!$P$12,K209)*60</f>
        <v/>
      </c>
      <c r="AF209" s="27">
        <f>Parameters!$B$9*POWER(Upgrades!$Q$6,E209)*POWER(Upgrades!$Q$7,F209)*POWER(Upgrades!$Q$8,G209)*POWER(Upgrades!$Q$9,H209)*POWER(Upgrades!$Q$10,I209)*POWER(Upgrades!$Q$11,J209)*POWER(Upgrades!$Q$12,K209)*(Parameters!$B$10*Parameters!$B$11+O209*60)</f>
        <v/>
      </c>
      <c r="AG209" s="22">
        <f>IF(E209&gt;=Upgrades!$E$6,"",Upgrades!$C$6*POWER(Upgrades!$D$6,E209))</f>
        <v/>
      </c>
      <c r="AH209" s="22">
        <f>IF(F209&gt;=Upgrades!$E$7,"",Upgrades!$C$7*POWER(Upgrades!$D$7,F209))</f>
        <v/>
      </c>
      <c r="AI209" s="22">
        <f>IF(G209&gt;=Upgrades!$E$8,"",Upgrades!$C$8*POWER(Upgrades!$D$8,G209))</f>
        <v/>
      </c>
      <c r="AJ209" s="22">
        <f>IF(H209&gt;=Upgrades!$E$9,"",Upgrades!$C$9*POWER(Upgrades!$D$9,H209))</f>
        <v/>
      </c>
      <c r="AK209" s="22">
        <f>IF(I209&gt;=Upgrades!$E$10,"",Upgrades!$C$10*POWER(Upgrades!$D$10,I209))</f>
        <v/>
      </c>
      <c r="AL209" s="22">
        <f>IF(J209&gt;=Upgrades!$E$11,"",Upgrades!$C$11*POWER(Upgrades!$D$11,J209))</f>
        <v/>
      </c>
      <c r="AM209" s="22">
        <f>IF(K209&gt;=Upgrades!$E$12,"",Upgrades!$C$12*POWER(Upgrades!$D$12,K209))</f>
        <v/>
      </c>
      <c r="AN209" s="26">
        <f>IF(AND(D209&gt;=Parameters!$B$18,(H209&gt;=Upgrades!$E$9)*(K209&gt;=Upgrades!$E$12)=1,L209=0),1,"")</f>
        <v/>
      </c>
      <c r="AO209" s="26">
        <f>IF(AND(D209&gt;=Parameters!$B$18,L209=0),1,"")</f>
        <v/>
      </c>
      <c r="AP209" s="22">
        <f>MIN(IF(ISNUMBER(AK209),AK209,9E15),IF(ISNUMBER(AL209),AL209,9E15),IF(ISNUMBER(AM209),AM209,9E15))</f>
        <v/>
      </c>
      <c r="AQ209" s="22">
        <f>MIN(IF(ISNUMBER(AG209),AG209,9E15),IF(ISNUMBER(AH209),AH209,9E15),IF(ISNUMBER(AI209),AI209,9E15),IF(ISNUMBER(AJ209),AJ209,9E15))</f>
        <v/>
      </c>
      <c r="AR209" s="29">
        <f>IF(AW209&gt;Parameters!$B$21*(MAX(IF(AND(NOT(AND(AO209=1,AN209&lt;&gt;1)),ISNUMBER(AG209),AG209&lt;=T209),AS209,0),IF(AND(NOT(AND(AO209=1,AN209&lt;&gt;1)),ISNUMBER(AH209),AH209&lt;=T209),AT209,0),IF(AND(NOT(AND(AO209=1,AN209&lt;&gt;1)),ISNUMBER(AI209),AI209&lt;=T209),AU209,0),IF(AND(ISNUMBER(AJ209),AJ209&lt;=T209),AV209,0))),TRUE,FALSE)</f>
        <v/>
      </c>
      <c r="AS209" s="32">
        <f>IFERROR(Upgrades!$H$6*(POWER(Upgrades!$P$6,E209)*POWER(Upgrades!$P$7,F209)*POWER(Upgrades!$P$8,G209)*POWER(Upgrades!$P$9,H209)*POWER(Upgrades!$P$10,I209)*POWER(Upgrades!$P$11,J209)*POWER(Upgrades!$P$12,K209))*(IF(Upgrades!$T$7="Solar Wind",POWER(Upgrades!$U$7,F209),1)*IF(Upgrades!$T$8="Solar Wind",POWER(Upgrades!$U$8,G209),1)*IF(Upgrades!$T$9="Solar Wind",POWER(Upgrades!$U$9,H209),1)*IF(Upgrades!$T$10="Solar Wind",POWER(Upgrades!$U$10,I209),1)*IF(Upgrades!$T$11="Solar Wind",POWER(Upgrades!$U$11,J209),1)*IF(Upgrades!$T$12="Solar Wind",POWER(Upgrades!$U$12,K209),1))/AG209,0)</f>
        <v/>
      </c>
      <c r="AT209" s="32">
        <f>IFERROR(Upgrades!$H$7*(POWER(Upgrades!$P$6,E209)*POWER(Upgrades!$P$7,F209)*POWER(Upgrades!$P$8,G209)*POWER(Upgrades!$P$9,H209)*POWER(Upgrades!$P$10,I209)*POWER(Upgrades!$P$11,J209)*POWER(Upgrades!$P$12,K209))*(IF(Upgrades!$T$6="Asteroid Belt",POWER(Upgrades!$U$6,E209),1)*IF(Upgrades!$T$8="Asteroid Belt",POWER(Upgrades!$U$8,G209),1)*IF(Upgrades!$T$9="Asteroid Belt",POWER(Upgrades!$U$9,H209),1)*IF(Upgrades!$T$10="Asteroid Belt",POWER(Upgrades!$U$10,I209),1)*IF(Upgrades!$T$11="Asteroid Belt",POWER(Upgrades!$U$11,J209),1)*IF(Upgrades!$T$12="Asteroid Belt",POWER(Upgrades!$U$12,K209),1))/AH209,0)</f>
        <v/>
      </c>
      <c r="AU209" s="32">
        <f>IFERROR(Upgrades!$K$8*(POWER(Upgrades!$Q$6,E209)*POWER(Upgrades!$Q$7,F209)*POWER(Upgrades!$Q$8,G209)*POWER(Upgrades!$Q$9,H209)*POWER(Upgrades!$Q$10,I209)*POWER(Upgrades!$Q$11,J209)*POWER(Upgrades!$Q$12,K209))*(IF(Upgrades!$T$6="Stellar Coupling",POWER(Upgrades!$U$6,E209),1)*IF(Upgrades!$T$7="Stellar Coupling",POWER(Upgrades!$U$7,F209),1)*IF(Upgrades!$T$9="Stellar Coupling",POWER(Upgrades!$U$9,H209),1)*IF(Upgrades!$T$10="Stellar Coupling",POWER(Upgrades!$U$10,I209),1)*IF(Upgrades!$T$11="Stellar Coupling",POWER(Upgrades!$U$11,J209),1)*IF(Upgrades!$T$12="Stellar Coupling",POWER(Upgrades!$U$12,K209),1))*Parameters!$B$10*Parameters!$B$11/60/AI209,0)</f>
        <v/>
      </c>
      <c r="AV209" s="32">
        <f>IFERROR(Upgrades!$H$9*(POWER(Upgrades!$P$6,E209)*POWER(Upgrades!$P$7,F209)*POWER(Upgrades!$P$8,G209)*POWER(Upgrades!$P$9,H209)*POWER(Upgrades!$P$10,I209)*POWER(Upgrades!$P$11,J209)*POWER(Upgrades!$P$12,K209))*(IF(Upgrades!$T$6="Magnetosphere",POWER(Upgrades!$U$6,E209),1)*IF(Upgrades!$T$7="Magnetosphere",POWER(Upgrades!$U$7,F209),1)*IF(Upgrades!$T$8="Magnetosphere",POWER(Upgrades!$U$8,G209),1)*IF(Upgrades!$T$10="Magnetosphere",POWER(Upgrades!$U$10,I209),1)*IF(Upgrades!$T$11="Magnetosphere",POWER(Upgrades!$U$11,J209),1)*IF(Upgrades!$T$12="Magnetosphere",POWER(Upgrades!$U$12,K209),1))/AJ209,0)</f>
        <v/>
      </c>
      <c r="AW209" s="32">
        <f>MAX(IF(I209&gt;0,0,IFERROR(0.25*N209/Upgrades!$C$10,0)),IF(J209&gt;0,0,IFERROR(0.5*((IF(G209=0,0,(Upgrades!$J$8+G209*Upgrades!$K$8)*POWER(Upgrades!$L$8,G209)))*(IF(Upgrades!$T$6="Stellar Coupling",POWER(Upgrades!$U$6,E209),1)*IF(Upgrades!$T$7="Stellar Coupling",POWER(Upgrades!$U$7,F209),1)*IF(Upgrades!$T$9="Stellar Coupling",POWER(Upgrades!$U$9,H209),1)*IF(Upgrades!$T$10="Stellar Coupling",POWER(Upgrades!$U$10,I209),1)*IF(Upgrades!$T$11="Stellar Coupling",POWER(Upgrades!$U$11,J209),1)*IF(Upgrades!$T$12="Stellar Coupling",POWER(Upgrades!$U$12,K209),1))*(POWER(Upgrades!$Q$6,E209)*POWER(Upgrades!$Q$7,F209)*POWER(Upgrades!$Q$8,G209)*POWER(Upgrades!$Q$9,H209)*POWER(Upgrades!$Q$10,I209)*POWER(Upgrades!$Q$11,J209)*POWER(Upgrades!$Q$12,K209))*Parameters!$B$10*Parameters!$B$11/60)/Upgrades!$C$11,0)),IF(K209&gt;0,0,IFERROR((1.0*(POWER(Upgrades!$P$6,E209)*POWER(Upgrades!$P$7,F209)*POWER(Upgrades!$P$8,G209)*POWER(Upgrades!$P$9,H209)*POWER(Upgrades!$P$10,I209)*POWER(Upgrades!$P$11,J209)*POWER(Upgrades!$P$12,K209))+0.20*M209*Parameters!$B$10*Parameters!$B$11/60)/Upgrades!$C$12,0)),IF(AND(ISNUMBER(AG209),AG209&gt;T209),AS209,0),IF(AND(ISNUMBER(AH209),AH209&gt;T209),AT209,0),IF(AND(ISNUMBER(AI209),AI209&gt;T209),AU209,0),IF(AND(ISNUMBER(AJ209),AJ209&gt;T209),AV209,0))</f>
        <v/>
      </c>
      <c r="AX209" s="29">
        <f>IF(AN209=1,"transition",IF(MIN(IF(AND(I209=0,ISNUMBER(AK209),AK209&lt;=T209),AK209,9E15),IF(AND(J209=0,ISNUMBER(AL209),AL209&lt;=T209),AL209,9E15),IF(AND(K209=0,ISNUMBER(AM209),AM209&lt;=T209),AM209,9E15))&lt;9E15,IF(AND(AND(I209=0,ISNUMBER(AK209),AK209&lt;=T209),AK209=MIN(IF(AND(I209=0,ISNUMBER(AK209),AK209&lt;=T209),AK209,9E15),IF(AND(J209=0,ISNUMBER(AL209),AL209&lt;=T209),AL209,9E15),IF(AND(K209=0,ISNUMBER(AM209),AM209&lt;=T209),AM209,9E15))),"OR",IF(AND(AND(J209=0,ISNUMBER(AL209),AL209&lt;=T209),AL209=MIN(IF(AND(I209=0,ISNUMBER(AK209),AK209&lt;=T209),AK209,9E15),IF(AND(J209=0,ISNUMBER(AL209),AL209&lt;=T209),AL209,9E15),IF(AND(K209=0,ISNUMBER(AM209),AM209&lt;=T209),AM209,9E15))),"HP","FP")),IF(AR209=TRUE,"",IF(MAX(IF(AND(NOT(AND(AO209=1,AN209&lt;&gt;1)),ISNUMBER(AG209),AG209&lt;=T209),AS209,0),IF(AND(NOT(AND(AO209=1,AN209&lt;&gt;1)),ISNUMBER(AH209),AH209&lt;=T209),AT209,0),IF(AND(NOT(AND(AO209=1,AN209&lt;&gt;1)),ISNUMBER(AI209),AI209&lt;=T209),AU209,0),IF(AND(ISNUMBER(AJ209),AJ209&lt;=T209),AV209,0))&lt;=0,"",IF(AND(IF(AND(NOT(AND(AO209=1,AN209&lt;&gt;1)),ISNUMBER(AG209),AG209&lt;=T209),AS209,0)&gt;0,IF(AND(NOT(AND(AO209=1,AN209&lt;&gt;1)),ISNUMBER(AG209),AG209&lt;=T209),AS209,0)=MAX(IF(AND(NOT(AND(AO209=1,AN209&lt;&gt;1)),ISNUMBER(AG209),AG209&lt;=T209),AS209,0),IF(AND(NOT(AND(AO209=1,AN209&lt;&gt;1)),ISNUMBER(AH209),AH209&lt;=T209),AT209,0),IF(AND(NOT(AND(AO209=1,AN209&lt;&gt;1)),ISNUMBER(AI209),AI209&lt;=T209),AU209,0),IF(AND(ISNUMBER(AJ209),AJ209&lt;=T209),AV209,0))),"SW",IF(AND(IF(AND(NOT(AND(AO209=1,AN209&lt;&gt;1)),ISNUMBER(AH209),AH209&lt;=T209),AT209,0)&gt;0,IF(AND(NOT(AND(AO209=1,AN209&lt;&gt;1)),ISNUMBER(AH209),AH209&lt;=T209),AT209,0)=MAX(IF(AND(NOT(AND(AO209=1,AN209&lt;&gt;1)),ISNUMBER(AG209),AG209&lt;=T209),AS209,0),IF(AND(NOT(AND(AO209=1,AN209&lt;&gt;1)),ISNUMBER(AH209),AH209&lt;=T209),AT209,0),IF(AND(NOT(AND(AO209=1,AN209&lt;&gt;1)),ISNUMBER(AI209),AI209&lt;=T209),AU209,0),IF(AND(ISNUMBER(AJ209),AJ209&lt;=T209),AV209,0))),"AB",IF(AND(IF(AND(NOT(AND(AO209=1,AN209&lt;&gt;1)),ISNUMBER(AI209),AI209&lt;=T209),AU209,0)&gt;0,IF(AND(NOT(AND(AO209=1,AN209&lt;&gt;1)),ISNUMBER(AI209),AI209&lt;=T209),AU209,0)=MAX(IF(AND(NOT(AND(AO209=1,AN209&lt;&gt;1)),ISNUMBER(AG209),AG209&lt;=T209),AS209,0),IF(AND(NOT(AND(AO209=1,AN209&lt;&gt;1)),ISNUMBER(AH209),AH209&lt;=T209),AT209,0),IF(AND(NOT(AND(AO209=1,AN209&lt;&gt;1)),ISNUMBER(AI209),AI209&lt;=T209),AU209,0),IF(AND(ISNUMBER(AJ209),AJ209&lt;=T209),AV209,0))),"SC","Mag")))))))</f>
        <v/>
      </c>
    </row>
    <row r="210">
      <c r="A210" s="26" t="n">
        <v>205</v>
      </c>
      <c r="B210" s="27">
        <f>A210*10/60</f>
        <v/>
      </c>
      <c r="C210" s="22">
        <f>X209</f>
        <v/>
      </c>
      <c r="D210" s="27">
        <f>D209+W209</f>
        <v/>
      </c>
      <c r="E210" s="26">
        <f>E209+IF(U209="SW",1,0)</f>
        <v/>
      </c>
      <c r="F210" s="26">
        <f>F209+IF(U209="AB",1,0)</f>
        <v/>
      </c>
      <c r="G210" s="26">
        <f>G209+IF(U209="SC",1,0)</f>
        <v/>
      </c>
      <c r="H210" s="26">
        <f>H209+IF(U209="Mag",1,0)</f>
        <v/>
      </c>
      <c r="I210" s="26">
        <f>MAX(I209,IF(U209="OR",1,0))</f>
        <v/>
      </c>
      <c r="J210" s="26">
        <f>MAX(J209,IF(U209="HP",1,0))</f>
        <v/>
      </c>
      <c r="K210" s="26">
        <f>MAX(K209,IF(U209="FP",1,0))</f>
        <v/>
      </c>
      <c r="L210" s="26">
        <f>MAX(L209,IF(U209="transition",1,0))</f>
        <v/>
      </c>
      <c r="M210" s="28">
        <f>(Parameters!$B$9+(IF(E210=0,0,(Upgrades!$J$6+E210*Upgrades!$K$6)*POWER(Upgrades!$L$6,E210)))*(IF(Upgrades!$T$7="Solar Wind",POWER(Upgrades!$U$7,F210),1)*IF(Upgrades!$T$8="Solar Wind",POWER(Upgrades!$U$8,G210),1)*IF(Upgrades!$T$9="Solar Wind",POWER(Upgrades!$U$9,H210),1)*IF(Upgrades!$T$10="Solar Wind",POWER(Upgrades!$U$10,I210),1)*IF(Upgrades!$T$11="Solar Wind",POWER(Upgrades!$U$11,J210),1)*IF(Upgrades!$T$12="Solar Wind",POWER(Upgrades!$U$12,K210),1))+(IF(F210=0,0,(Upgrades!$J$7+F210*Upgrades!$K$7)*POWER(Upgrades!$L$7,F210)))*(IF(Upgrades!$T$6="Asteroid Belt",POWER(Upgrades!$U$6,E210),1)*IF(Upgrades!$T$8="Asteroid Belt",POWER(Upgrades!$U$8,G210),1)*IF(Upgrades!$T$9="Asteroid Belt",POWER(Upgrades!$U$9,H210),1)*IF(Upgrades!$T$10="Asteroid Belt",POWER(Upgrades!$U$10,I210),1)*IF(Upgrades!$T$11="Asteroid Belt",POWER(Upgrades!$U$11,J210),1)*IF(Upgrades!$T$12="Asteroid Belt",POWER(Upgrades!$U$12,K210),1))+(IF(G210=0,0,(Upgrades!$J$8+G210*Upgrades!$K$8)*POWER(Upgrades!$L$8,G210)))*(IF(Upgrades!$T$6="Stellar Coupling",POWER(Upgrades!$U$6,E210),1)*IF(Upgrades!$T$7="Stellar Coupling",POWER(Upgrades!$U$7,F210),1)*IF(Upgrades!$T$9="Stellar Coupling",POWER(Upgrades!$U$9,H210),1)*IF(Upgrades!$T$10="Stellar Coupling",POWER(Upgrades!$U$10,I210),1)*IF(Upgrades!$T$11="Stellar Coupling",POWER(Upgrades!$U$11,J210),1)*IF(Upgrades!$T$12="Stellar Coupling",POWER(Upgrades!$U$12,K210),1))+(IF(H210=0,0,(Upgrades!$J$9+H210*Upgrades!$K$9)*POWER(Upgrades!$L$9,H210)))*(IF(Upgrades!$T$6="Magnetosphere",POWER(Upgrades!$U$6,E210),1)*IF(Upgrades!$T$7="Magnetosphere",POWER(Upgrades!$U$7,F210),1)*IF(Upgrades!$T$8="Magnetosphere",POWER(Upgrades!$U$8,G210),1)*IF(Upgrades!$T$10="Magnetosphere",POWER(Upgrades!$U$10,I210),1)*IF(Upgrades!$T$11="Magnetosphere",POWER(Upgrades!$U$11,J210),1)*IF(Upgrades!$T$12="Magnetosphere",POWER(Upgrades!$U$12,K210),1))+(IF(I210=0,0,(Upgrades!$J$10+I210*Upgrades!$K$10)*POWER(Upgrades!$L$10,I210)))*(IF(Upgrades!$T$6="Orbital Resonance",POWER(Upgrades!$U$6,E210),1)*IF(Upgrades!$T$7="Orbital Resonance",POWER(Upgrades!$U$7,F210),1)*IF(Upgrades!$T$8="Orbital Resonance",POWER(Upgrades!$U$8,G210),1)*IF(Upgrades!$T$9="Orbital Resonance",POWER(Upgrades!$U$9,H210),1)*IF(Upgrades!$T$11="Orbital Resonance",POWER(Upgrades!$U$11,J210),1)*IF(Upgrades!$T$12="Orbital Resonance",POWER(Upgrades!$U$12,K210),1))+(IF(J210=0,0,(Upgrades!$J$11+J210*Upgrades!$K$11)*POWER(Upgrades!$L$11,J210)))*(IF(Upgrades!$T$6="Heliopause",POWER(Upgrades!$U$6,E210),1)*IF(Upgrades!$T$7="Heliopause",POWER(Upgrades!$U$7,F210),1)*IF(Upgrades!$T$8="Heliopause",POWER(Upgrades!$U$8,G210),1)*IF(Upgrades!$T$9="Heliopause",POWER(Upgrades!$U$9,H210),1)*IF(Upgrades!$T$10="Heliopause",POWER(Upgrades!$U$10,I210),1)*IF(Upgrades!$T$12="Heliopause",POWER(Upgrades!$U$12,K210),1))+(IF(K210=0,0,(Upgrades!$J$12+K210*Upgrades!$K$12)*POWER(Upgrades!$L$12,K210)))*(IF(Upgrades!$T$6="First Photons",POWER(Upgrades!$U$6,E210),1)*IF(Upgrades!$T$7="First Photons",POWER(Upgrades!$U$7,F210),1)*IF(Upgrades!$T$8="First Photons",POWER(Upgrades!$U$8,G210),1)*IF(Upgrades!$T$9="First Photons",POWER(Upgrades!$U$9,H210),1)*IF(Upgrades!$T$10="First Photons",POWER(Upgrades!$U$10,I210),1)*IF(Upgrades!$T$11="First Photons",POWER(Upgrades!$U$11,J210),1)))*POWER(Upgrades!$Q$6,E210)*POWER(Upgrades!$Q$7,F210)*POWER(Upgrades!$Q$8,G210)*POWER(Upgrades!$Q$9,H210)*POWER(Upgrades!$Q$10,I210)*POWER(Upgrades!$Q$11,J210)*POWER(Upgrades!$Q$12,K210)</f>
        <v/>
      </c>
      <c r="N210" s="28">
        <f>((IF(E210=0,0,(Upgrades!$G$6+E210*Upgrades!$H$6)*POWER(Upgrades!$I$6,E210)))*(IF(Upgrades!$T$7="Solar Wind",POWER(Upgrades!$U$7,F210),1)*IF(Upgrades!$T$8="Solar Wind",POWER(Upgrades!$U$8,G210),1)*IF(Upgrades!$T$9="Solar Wind",POWER(Upgrades!$U$9,H210),1)*IF(Upgrades!$T$10="Solar Wind",POWER(Upgrades!$U$10,I210),1)*IF(Upgrades!$T$11="Solar Wind",POWER(Upgrades!$U$11,J210),1)*IF(Upgrades!$T$12="Solar Wind",POWER(Upgrades!$U$12,K210),1))+(IF(F210=0,0,(Upgrades!$G$7+F210*Upgrades!$H$7)*POWER(Upgrades!$I$7,F210)))*(IF(Upgrades!$T$6="Asteroid Belt",POWER(Upgrades!$U$6,E210),1)*IF(Upgrades!$T$8="Asteroid Belt",POWER(Upgrades!$U$8,G210),1)*IF(Upgrades!$T$9="Asteroid Belt",POWER(Upgrades!$U$9,H210),1)*IF(Upgrades!$T$10="Asteroid Belt",POWER(Upgrades!$U$10,I210),1)*IF(Upgrades!$T$11="Asteroid Belt",POWER(Upgrades!$U$11,J210),1)*IF(Upgrades!$T$12="Asteroid Belt",POWER(Upgrades!$U$12,K210),1))+(IF(G210=0,0,(Upgrades!$G$8+G210*Upgrades!$H$8)*POWER(Upgrades!$I$8,G210)))*(IF(Upgrades!$T$6="Stellar Coupling",POWER(Upgrades!$U$6,E210),1)*IF(Upgrades!$T$7="Stellar Coupling",POWER(Upgrades!$U$7,F210),1)*IF(Upgrades!$T$9="Stellar Coupling",POWER(Upgrades!$U$9,H210),1)*IF(Upgrades!$T$10="Stellar Coupling",POWER(Upgrades!$U$10,I210),1)*IF(Upgrades!$T$11="Stellar Coupling",POWER(Upgrades!$U$11,J210),1)*IF(Upgrades!$T$12="Stellar Coupling",POWER(Upgrades!$U$12,K210),1))+(IF(H210=0,0,(Upgrades!$G$9+H210*Upgrades!$H$9)*POWER(Upgrades!$I$9,H210)))*(IF(Upgrades!$T$6="Magnetosphere",POWER(Upgrades!$U$6,E210),1)*IF(Upgrades!$T$7="Magnetosphere",POWER(Upgrades!$U$7,F210),1)*IF(Upgrades!$T$8="Magnetosphere",POWER(Upgrades!$U$8,G210),1)*IF(Upgrades!$T$10="Magnetosphere",POWER(Upgrades!$U$10,I210),1)*IF(Upgrades!$T$11="Magnetosphere",POWER(Upgrades!$U$11,J210),1)*IF(Upgrades!$T$12="Magnetosphere",POWER(Upgrades!$U$12,K210),1))+(IF(I210=0,0,(Upgrades!$G$10+I210*Upgrades!$H$10)*POWER(Upgrades!$I$10,I210)))*(IF(Upgrades!$T$6="Orbital Resonance",POWER(Upgrades!$U$6,E210),1)*IF(Upgrades!$T$7="Orbital Resonance",POWER(Upgrades!$U$7,F210),1)*IF(Upgrades!$T$8="Orbital Resonance",POWER(Upgrades!$U$8,G210),1)*IF(Upgrades!$T$9="Orbital Resonance",POWER(Upgrades!$U$9,H210),1)*IF(Upgrades!$T$11="Orbital Resonance",POWER(Upgrades!$U$11,J210),1)*IF(Upgrades!$T$12="Orbital Resonance",POWER(Upgrades!$U$12,K210),1))+(IF(J210=0,0,(Upgrades!$G$11+J210*Upgrades!$H$11)*POWER(Upgrades!$I$11,J210)))*(IF(Upgrades!$T$6="Heliopause",POWER(Upgrades!$U$6,E210),1)*IF(Upgrades!$T$7="Heliopause",POWER(Upgrades!$U$7,F210),1)*IF(Upgrades!$T$8="Heliopause",POWER(Upgrades!$U$8,G210),1)*IF(Upgrades!$T$9="Heliopause",POWER(Upgrades!$U$9,H210),1)*IF(Upgrades!$T$10="Heliopause",POWER(Upgrades!$U$10,I210),1)*IF(Upgrades!$T$12="Heliopause",POWER(Upgrades!$U$12,K210),1))+(IF(K210=0,0,(Upgrades!$G$12+K210*Upgrades!$H$12)*POWER(Upgrades!$I$12,K210)))*(IF(Upgrades!$T$6="First Photons",POWER(Upgrades!$U$6,E210),1)*IF(Upgrades!$T$7="First Photons",POWER(Upgrades!$U$7,F210),1)*IF(Upgrades!$T$8="First Photons",POWER(Upgrades!$U$8,G210),1)*IF(Upgrades!$T$9="First Photons",POWER(Upgrades!$U$9,H210),1)*IF(Upgrades!$T$10="First Photons",POWER(Upgrades!$U$10,I210),1)*IF(Upgrades!$T$11="First Photons",POWER(Upgrades!$U$11,J210),1)))*POWER(Upgrades!$P$6,E210)*POWER(Upgrades!$P$7,F210)*POWER(Upgrades!$P$8,G210)*POWER(Upgrades!$P$9,H210)*POWER(Upgrades!$P$10,I210)*POWER(Upgrades!$P$11,J210)*POWER(Upgrades!$P$12,K210)</f>
        <v/>
      </c>
      <c r="O210" s="28">
        <f>((IF(E210=0,0,(Upgrades!$M$6+E210*Upgrades!$N$6)*POWER(Upgrades!$O$6,E210)))*(IF(Upgrades!$T$7="Solar Wind",POWER(Upgrades!$U$7,F210),1)*IF(Upgrades!$T$8="Solar Wind",POWER(Upgrades!$U$8,G210),1)*IF(Upgrades!$T$9="Solar Wind",POWER(Upgrades!$U$9,H210),1)*IF(Upgrades!$T$10="Solar Wind",POWER(Upgrades!$U$10,I210),1)*IF(Upgrades!$T$11="Solar Wind",POWER(Upgrades!$U$11,J210),1)*IF(Upgrades!$T$12="Solar Wind",POWER(Upgrades!$U$12,K210),1))+(IF(F210=0,0,(Upgrades!$M$7+F210*Upgrades!$N$7)*POWER(Upgrades!$O$7,F210)))*(IF(Upgrades!$T$6="Asteroid Belt",POWER(Upgrades!$U$6,E210),1)*IF(Upgrades!$T$8="Asteroid Belt",POWER(Upgrades!$U$8,G210),1)*IF(Upgrades!$T$9="Asteroid Belt",POWER(Upgrades!$U$9,H210),1)*IF(Upgrades!$T$10="Asteroid Belt",POWER(Upgrades!$U$10,I210),1)*IF(Upgrades!$T$11="Asteroid Belt",POWER(Upgrades!$U$11,J210),1)*IF(Upgrades!$T$12="Asteroid Belt",POWER(Upgrades!$U$12,K210),1))+(IF(G210=0,0,(Upgrades!$M$8+G210*Upgrades!$N$8)*POWER(Upgrades!$O$8,G210)))*(IF(Upgrades!$T$6="Stellar Coupling",POWER(Upgrades!$U$6,E210),1)*IF(Upgrades!$T$7="Stellar Coupling",POWER(Upgrades!$U$7,F210),1)*IF(Upgrades!$T$9="Stellar Coupling",POWER(Upgrades!$U$9,H210),1)*IF(Upgrades!$T$10="Stellar Coupling",POWER(Upgrades!$U$10,I210),1)*IF(Upgrades!$T$11="Stellar Coupling",POWER(Upgrades!$U$11,J210),1)*IF(Upgrades!$T$12="Stellar Coupling",POWER(Upgrades!$U$12,K210),1))+(IF(H210=0,0,(Upgrades!$M$9+H210*Upgrades!$N$9)*POWER(Upgrades!$O$9,H210)))*(IF(Upgrades!$T$6="Magnetosphere",POWER(Upgrades!$U$6,E210),1)*IF(Upgrades!$T$7="Magnetosphere",POWER(Upgrades!$U$7,F210),1)*IF(Upgrades!$T$8="Magnetosphere",POWER(Upgrades!$U$8,G210),1)*IF(Upgrades!$T$10="Magnetosphere",POWER(Upgrades!$U$10,I210),1)*IF(Upgrades!$T$11="Magnetosphere",POWER(Upgrades!$U$11,J210),1)*IF(Upgrades!$T$12="Magnetosphere",POWER(Upgrades!$U$12,K210),1))+(IF(I210=0,0,(Upgrades!$M$10+I210*Upgrades!$N$10)*POWER(Upgrades!$O$10,I210)))*(IF(Upgrades!$T$6="Orbital Resonance",POWER(Upgrades!$U$6,E210),1)*IF(Upgrades!$T$7="Orbital Resonance",POWER(Upgrades!$U$7,F210),1)*IF(Upgrades!$T$8="Orbital Resonance",POWER(Upgrades!$U$8,G210),1)*IF(Upgrades!$T$9="Orbital Resonance",POWER(Upgrades!$U$9,H210),1)*IF(Upgrades!$T$11="Orbital Resonance",POWER(Upgrades!$U$11,J210),1)*IF(Upgrades!$T$12="Orbital Resonance",POWER(Upgrades!$U$12,K210),1))+(IF(J210=0,0,(Upgrades!$M$11+J210*Upgrades!$N$11)*POWER(Upgrades!$O$11,J210)))*(IF(Upgrades!$T$6="Heliopause",POWER(Upgrades!$U$6,E210),1)*IF(Upgrades!$T$7="Heliopause",POWER(Upgrades!$U$7,F210),1)*IF(Upgrades!$T$8="Heliopause",POWER(Upgrades!$U$8,G210),1)*IF(Upgrades!$T$9="Heliopause",POWER(Upgrades!$U$9,H210),1)*IF(Upgrades!$T$10="Heliopause",POWER(Upgrades!$U$10,I210),1)*IF(Upgrades!$T$12="Heliopause",POWER(Upgrades!$U$12,K210),1))+(IF(K210=0,0,(Upgrades!$M$12+K210*Upgrades!$N$12)*POWER(Upgrades!$O$12,K210)))*(IF(Upgrades!$T$6="First Photons",POWER(Upgrades!$U$6,E210),1)*IF(Upgrades!$T$7="First Photons",POWER(Upgrades!$U$7,F210),1)*IF(Upgrades!$T$8="First Photons",POWER(Upgrades!$U$8,G210),1)*IF(Upgrades!$T$9="First Photons",POWER(Upgrades!$U$9,H210),1)*IF(Upgrades!$T$10="First Photons",POWER(Upgrades!$U$10,I210),1)*IF(Upgrades!$T$11="First Photons",POWER(Upgrades!$U$11,J210),1)))*POWER(Upgrades!$R$6,E210)*POWER(Upgrades!$R$7,F210)*POWER(Upgrades!$R$8,G210)*POWER(Upgrades!$R$9,H210)*POWER(Upgrades!$R$10,I210)*POWER(Upgrades!$R$11,J210)*POWER(Upgrades!$R$12,K210)</f>
        <v/>
      </c>
      <c r="P210" s="27">
        <f>IF(L210=1,0,M210*Parameters!$B$10/60*Parameters!$B$11*10)</f>
        <v/>
      </c>
      <c r="Q210" s="27">
        <f>IF(L210=1,0,O210*M210*10)</f>
        <v/>
      </c>
      <c r="R210" s="27">
        <f>IF(L210=1,0,N210*10)</f>
        <v/>
      </c>
      <c r="S210" s="27">
        <f>P210+Q210+R210</f>
        <v/>
      </c>
      <c r="T210" s="22">
        <f>C210+S210</f>
        <v/>
      </c>
      <c r="U210" s="33">
        <f>AX210</f>
        <v/>
      </c>
      <c r="V210" s="22">
        <f>IF(U210="",0,IF(U210="transition",0,IF(U210="SW",AG210,IF(U210="AB",AH210,IF(U210="SC",AI210,IF(U210="Mag",AJ210,IF(U210="OR",AK210,IF(U210="HP",AL210,IF(U210="FP",AM210,0)))))))))</f>
        <v/>
      </c>
      <c r="W210" s="27">
        <f>IF(U210="OR",Upgrades!$F$10,IF(U210="HP",Upgrades!$F$11,IF(U210="transition",-Parameters!$B$18,0)))</f>
        <v/>
      </c>
      <c r="X210" s="22">
        <f>T210-V210</f>
        <v/>
      </c>
      <c r="Y210" s="30">
        <f>M210*Parameters!$B$10/60*Parameters!$B$11+O210*M210+N210</f>
        <v/>
      </c>
      <c r="Z210" s="34">
        <f>IF(U210="transition","→ Tier 2 (Stellar Neighborhood)",IF(U210="FP","First Photons — light begins, system quickens",IF(U210="HP","Heliopause acquired",IF(U210="OR","Orbital Resonance — passive multiplier active",IF(AND(AO210=1,L210=0,AN210&lt;&gt;1),"Cohesion ready (waiting on completionist upgrades)","")))))</f>
        <v/>
      </c>
      <c r="AA210" s="27">
        <f>(IF(E210=0,0,(Upgrades!$G$6+E210*Upgrades!$H$6)*POWER(Upgrades!$I$6,E210)))*(IF(Upgrades!$T$7="Solar Wind",POWER(Upgrades!$U$7,F210),1)*IF(Upgrades!$T$8="Solar Wind",POWER(Upgrades!$U$8,G210),1)*IF(Upgrades!$T$9="Solar Wind",POWER(Upgrades!$U$9,H210),1)*IF(Upgrades!$T$10="Solar Wind",POWER(Upgrades!$U$10,I210),1)*IF(Upgrades!$T$11="Solar Wind",POWER(Upgrades!$U$11,J210),1)*IF(Upgrades!$T$12="Solar Wind",POWER(Upgrades!$U$12,K210),1))*POWER(Upgrades!$P$6,E210)*POWER(Upgrades!$P$7,F210)*POWER(Upgrades!$P$8,G210)*POWER(Upgrades!$P$9,H210)*POWER(Upgrades!$P$10,I210)*POWER(Upgrades!$P$11,J210)*POWER(Upgrades!$P$12,K210)*60</f>
        <v/>
      </c>
      <c r="AB210" s="27">
        <f>(IF(F210=0,0,(Upgrades!$G$7+F210*Upgrades!$H$7)*POWER(Upgrades!$I$7,F210)))*(IF(Upgrades!$T$6="Asteroid Belt",POWER(Upgrades!$U$6,E210),1)*IF(Upgrades!$T$8="Asteroid Belt",POWER(Upgrades!$U$8,G210),1)*IF(Upgrades!$T$9="Asteroid Belt",POWER(Upgrades!$U$9,H210),1)*IF(Upgrades!$T$10="Asteroid Belt",POWER(Upgrades!$U$10,I210),1)*IF(Upgrades!$T$11="Asteroid Belt",POWER(Upgrades!$U$11,J210),1)*IF(Upgrades!$T$12="Asteroid Belt",POWER(Upgrades!$U$12,K210),1))*POWER(Upgrades!$P$6,E210)*POWER(Upgrades!$P$7,F210)*POWER(Upgrades!$P$8,G210)*POWER(Upgrades!$P$9,H210)*POWER(Upgrades!$P$10,I210)*POWER(Upgrades!$P$11,J210)*POWER(Upgrades!$P$12,K210)*60</f>
        <v/>
      </c>
      <c r="AC210" s="27">
        <f>(IF(G210=0,0,(Upgrades!$J$8+G210*Upgrades!$K$8)*POWER(Upgrades!$L$8,G210)))*(IF(Upgrades!$T$6="Stellar Coupling",POWER(Upgrades!$U$6,E210),1)*IF(Upgrades!$T$7="Stellar Coupling",POWER(Upgrades!$U$7,F210),1)*IF(Upgrades!$T$9="Stellar Coupling",POWER(Upgrades!$U$9,H210),1)*IF(Upgrades!$T$10="Stellar Coupling",POWER(Upgrades!$U$10,I210),1)*IF(Upgrades!$T$11="Stellar Coupling",POWER(Upgrades!$U$11,J210),1)*IF(Upgrades!$T$12="Stellar Coupling",POWER(Upgrades!$U$12,K210),1))*POWER(Upgrades!$Q$6,E210)*POWER(Upgrades!$Q$7,F210)*POWER(Upgrades!$Q$8,G210)*POWER(Upgrades!$Q$9,H210)*POWER(Upgrades!$Q$10,I210)*POWER(Upgrades!$Q$11,J210)*POWER(Upgrades!$Q$12,K210)*Parameters!$B$10*Parameters!$B$11</f>
        <v/>
      </c>
      <c r="AD210" s="27">
        <f>(IF(H210=0,0,(Upgrades!$G$9+H210*Upgrades!$H$9)*POWER(Upgrades!$I$9,H210)))*(IF(Upgrades!$T$6="Magnetosphere",POWER(Upgrades!$U$6,E210),1)*IF(Upgrades!$T$7="Magnetosphere",POWER(Upgrades!$U$7,F210),1)*IF(Upgrades!$T$8="Magnetosphere",POWER(Upgrades!$U$8,G210),1)*IF(Upgrades!$T$10="Magnetosphere",POWER(Upgrades!$U$10,I210),1)*IF(Upgrades!$T$11="Magnetosphere",POWER(Upgrades!$U$11,J210),1)*IF(Upgrades!$T$12="Magnetosphere",POWER(Upgrades!$U$12,K210),1))*POWER(Upgrades!$P$6,E210)*POWER(Upgrades!$P$7,F210)*POWER(Upgrades!$P$8,G210)*POWER(Upgrades!$P$9,H210)*POWER(Upgrades!$P$10,I210)*POWER(Upgrades!$P$11,J210)*POWER(Upgrades!$P$12,K210)*60</f>
        <v/>
      </c>
      <c r="AE210" s="27">
        <f>(IF(K210=0,0,(Upgrades!$G$12+K210*Upgrades!$H$12)*POWER(Upgrades!$I$12,K210)))*(IF(Upgrades!$T$6="First Photons",POWER(Upgrades!$U$6,E210),1)*IF(Upgrades!$T$7="First Photons",POWER(Upgrades!$U$7,F210),1)*IF(Upgrades!$T$8="First Photons",POWER(Upgrades!$U$8,G210),1)*IF(Upgrades!$T$9="First Photons",POWER(Upgrades!$U$9,H210),1)*IF(Upgrades!$T$10="First Photons",POWER(Upgrades!$U$10,I210),1)*IF(Upgrades!$T$11="First Photons",POWER(Upgrades!$U$11,J210),1))*POWER(Upgrades!$P$6,E210)*POWER(Upgrades!$P$7,F210)*POWER(Upgrades!$P$8,G210)*POWER(Upgrades!$P$9,H210)*POWER(Upgrades!$P$10,I210)*POWER(Upgrades!$P$11,J210)*POWER(Upgrades!$P$12,K210)*60</f>
        <v/>
      </c>
      <c r="AF210" s="27">
        <f>Parameters!$B$9*POWER(Upgrades!$Q$6,E210)*POWER(Upgrades!$Q$7,F210)*POWER(Upgrades!$Q$8,G210)*POWER(Upgrades!$Q$9,H210)*POWER(Upgrades!$Q$10,I210)*POWER(Upgrades!$Q$11,J210)*POWER(Upgrades!$Q$12,K210)*(Parameters!$B$10*Parameters!$B$11+O210*60)</f>
        <v/>
      </c>
      <c r="AG210" s="22">
        <f>IF(E210&gt;=Upgrades!$E$6,"",Upgrades!$C$6*POWER(Upgrades!$D$6,E210))</f>
        <v/>
      </c>
      <c r="AH210" s="22">
        <f>IF(F210&gt;=Upgrades!$E$7,"",Upgrades!$C$7*POWER(Upgrades!$D$7,F210))</f>
        <v/>
      </c>
      <c r="AI210" s="22">
        <f>IF(G210&gt;=Upgrades!$E$8,"",Upgrades!$C$8*POWER(Upgrades!$D$8,G210))</f>
        <v/>
      </c>
      <c r="AJ210" s="22">
        <f>IF(H210&gt;=Upgrades!$E$9,"",Upgrades!$C$9*POWER(Upgrades!$D$9,H210))</f>
        <v/>
      </c>
      <c r="AK210" s="22">
        <f>IF(I210&gt;=Upgrades!$E$10,"",Upgrades!$C$10*POWER(Upgrades!$D$10,I210))</f>
        <v/>
      </c>
      <c r="AL210" s="22">
        <f>IF(J210&gt;=Upgrades!$E$11,"",Upgrades!$C$11*POWER(Upgrades!$D$11,J210))</f>
        <v/>
      </c>
      <c r="AM210" s="22">
        <f>IF(K210&gt;=Upgrades!$E$12,"",Upgrades!$C$12*POWER(Upgrades!$D$12,K210))</f>
        <v/>
      </c>
      <c r="AN210" s="26">
        <f>IF(AND(D210&gt;=Parameters!$B$18,(H210&gt;=Upgrades!$E$9)*(K210&gt;=Upgrades!$E$12)=1,L210=0),1,"")</f>
        <v/>
      </c>
      <c r="AO210" s="26">
        <f>IF(AND(D210&gt;=Parameters!$B$18,L210=0),1,"")</f>
        <v/>
      </c>
      <c r="AP210" s="22">
        <f>MIN(IF(ISNUMBER(AK210),AK210,9E15),IF(ISNUMBER(AL210),AL210,9E15),IF(ISNUMBER(AM210),AM210,9E15))</f>
        <v/>
      </c>
      <c r="AQ210" s="22">
        <f>MIN(IF(ISNUMBER(AG210),AG210,9E15),IF(ISNUMBER(AH210),AH210,9E15),IF(ISNUMBER(AI210),AI210,9E15),IF(ISNUMBER(AJ210),AJ210,9E15))</f>
        <v/>
      </c>
      <c r="AR210" s="29">
        <f>IF(AW210&gt;Parameters!$B$21*(MAX(IF(AND(NOT(AND(AO210=1,AN210&lt;&gt;1)),ISNUMBER(AG210),AG210&lt;=T210),AS210,0),IF(AND(NOT(AND(AO210=1,AN210&lt;&gt;1)),ISNUMBER(AH210),AH210&lt;=T210),AT210,0),IF(AND(NOT(AND(AO210=1,AN210&lt;&gt;1)),ISNUMBER(AI210),AI210&lt;=T210),AU210,0),IF(AND(ISNUMBER(AJ210),AJ210&lt;=T210),AV210,0))),TRUE,FALSE)</f>
        <v/>
      </c>
      <c r="AS210" s="32">
        <f>IFERROR(Upgrades!$H$6*(POWER(Upgrades!$P$6,E210)*POWER(Upgrades!$P$7,F210)*POWER(Upgrades!$P$8,G210)*POWER(Upgrades!$P$9,H210)*POWER(Upgrades!$P$10,I210)*POWER(Upgrades!$P$11,J210)*POWER(Upgrades!$P$12,K210))*(IF(Upgrades!$T$7="Solar Wind",POWER(Upgrades!$U$7,F210),1)*IF(Upgrades!$T$8="Solar Wind",POWER(Upgrades!$U$8,G210),1)*IF(Upgrades!$T$9="Solar Wind",POWER(Upgrades!$U$9,H210),1)*IF(Upgrades!$T$10="Solar Wind",POWER(Upgrades!$U$10,I210),1)*IF(Upgrades!$T$11="Solar Wind",POWER(Upgrades!$U$11,J210),1)*IF(Upgrades!$T$12="Solar Wind",POWER(Upgrades!$U$12,K210),1))/AG210,0)</f>
        <v/>
      </c>
      <c r="AT210" s="32">
        <f>IFERROR(Upgrades!$H$7*(POWER(Upgrades!$P$6,E210)*POWER(Upgrades!$P$7,F210)*POWER(Upgrades!$P$8,G210)*POWER(Upgrades!$P$9,H210)*POWER(Upgrades!$P$10,I210)*POWER(Upgrades!$P$11,J210)*POWER(Upgrades!$P$12,K210))*(IF(Upgrades!$T$6="Asteroid Belt",POWER(Upgrades!$U$6,E210),1)*IF(Upgrades!$T$8="Asteroid Belt",POWER(Upgrades!$U$8,G210),1)*IF(Upgrades!$T$9="Asteroid Belt",POWER(Upgrades!$U$9,H210),1)*IF(Upgrades!$T$10="Asteroid Belt",POWER(Upgrades!$U$10,I210),1)*IF(Upgrades!$T$11="Asteroid Belt",POWER(Upgrades!$U$11,J210),1)*IF(Upgrades!$T$12="Asteroid Belt",POWER(Upgrades!$U$12,K210),1))/AH210,0)</f>
        <v/>
      </c>
      <c r="AU210" s="32">
        <f>IFERROR(Upgrades!$K$8*(POWER(Upgrades!$Q$6,E210)*POWER(Upgrades!$Q$7,F210)*POWER(Upgrades!$Q$8,G210)*POWER(Upgrades!$Q$9,H210)*POWER(Upgrades!$Q$10,I210)*POWER(Upgrades!$Q$11,J210)*POWER(Upgrades!$Q$12,K210))*(IF(Upgrades!$T$6="Stellar Coupling",POWER(Upgrades!$U$6,E210),1)*IF(Upgrades!$T$7="Stellar Coupling",POWER(Upgrades!$U$7,F210),1)*IF(Upgrades!$T$9="Stellar Coupling",POWER(Upgrades!$U$9,H210),1)*IF(Upgrades!$T$10="Stellar Coupling",POWER(Upgrades!$U$10,I210),1)*IF(Upgrades!$T$11="Stellar Coupling",POWER(Upgrades!$U$11,J210),1)*IF(Upgrades!$T$12="Stellar Coupling",POWER(Upgrades!$U$12,K210),1))*Parameters!$B$10*Parameters!$B$11/60/AI210,0)</f>
        <v/>
      </c>
      <c r="AV210" s="32">
        <f>IFERROR(Upgrades!$H$9*(POWER(Upgrades!$P$6,E210)*POWER(Upgrades!$P$7,F210)*POWER(Upgrades!$P$8,G210)*POWER(Upgrades!$P$9,H210)*POWER(Upgrades!$P$10,I210)*POWER(Upgrades!$P$11,J210)*POWER(Upgrades!$P$12,K210))*(IF(Upgrades!$T$6="Magnetosphere",POWER(Upgrades!$U$6,E210),1)*IF(Upgrades!$T$7="Magnetosphere",POWER(Upgrades!$U$7,F210),1)*IF(Upgrades!$T$8="Magnetosphere",POWER(Upgrades!$U$8,G210),1)*IF(Upgrades!$T$10="Magnetosphere",POWER(Upgrades!$U$10,I210),1)*IF(Upgrades!$T$11="Magnetosphere",POWER(Upgrades!$U$11,J210),1)*IF(Upgrades!$T$12="Magnetosphere",POWER(Upgrades!$U$12,K210),1))/AJ210,0)</f>
        <v/>
      </c>
      <c r="AW210" s="32">
        <f>MAX(IF(I210&gt;0,0,IFERROR(0.25*N210/Upgrades!$C$10,0)),IF(J210&gt;0,0,IFERROR(0.5*((IF(G210=0,0,(Upgrades!$J$8+G210*Upgrades!$K$8)*POWER(Upgrades!$L$8,G210)))*(IF(Upgrades!$T$6="Stellar Coupling",POWER(Upgrades!$U$6,E210),1)*IF(Upgrades!$T$7="Stellar Coupling",POWER(Upgrades!$U$7,F210),1)*IF(Upgrades!$T$9="Stellar Coupling",POWER(Upgrades!$U$9,H210),1)*IF(Upgrades!$T$10="Stellar Coupling",POWER(Upgrades!$U$10,I210),1)*IF(Upgrades!$T$11="Stellar Coupling",POWER(Upgrades!$U$11,J210),1)*IF(Upgrades!$T$12="Stellar Coupling",POWER(Upgrades!$U$12,K210),1))*(POWER(Upgrades!$Q$6,E210)*POWER(Upgrades!$Q$7,F210)*POWER(Upgrades!$Q$8,G210)*POWER(Upgrades!$Q$9,H210)*POWER(Upgrades!$Q$10,I210)*POWER(Upgrades!$Q$11,J210)*POWER(Upgrades!$Q$12,K210))*Parameters!$B$10*Parameters!$B$11/60)/Upgrades!$C$11,0)),IF(K210&gt;0,0,IFERROR((1.0*(POWER(Upgrades!$P$6,E210)*POWER(Upgrades!$P$7,F210)*POWER(Upgrades!$P$8,G210)*POWER(Upgrades!$P$9,H210)*POWER(Upgrades!$P$10,I210)*POWER(Upgrades!$P$11,J210)*POWER(Upgrades!$P$12,K210))+0.20*M210*Parameters!$B$10*Parameters!$B$11/60)/Upgrades!$C$12,0)),IF(AND(ISNUMBER(AG210),AG210&gt;T210),AS210,0),IF(AND(ISNUMBER(AH210),AH210&gt;T210),AT210,0),IF(AND(ISNUMBER(AI210),AI210&gt;T210),AU210,0),IF(AND(ISNUMBER(AJ210),AJ210&gt;T210),AV210,0))</f>
        <v/>
      </c>
      <c r="AX210" s="29">
        <f>IF(AN210=1,"transition",IF(MIN(IF(AND(I210=0,ISNUMBER(AK210),AK210&lt;=T210),AK210,9E15),IF(AND(J210=0,ISNUMBER(AL210),AL210&lt;=T210),AL210,9E15),IF(AND(K210=0,ISNUMBER(AM210),AM210&lt;=T210),AM210,9E15))&lt;9E15,IF(AND(AND(I210=0,ISNUMBER(AK210),AK210&lt;=T210),AK210=MIN(IF(AND(I210=0,ISNUMBER(AK210),AK210&lt;=T210),AK210,9E15),IF(AND(J210=0,ISNUMBER(AL210),AL210&lt;=T210),AL210,9E15),IF(AND(K210=0,ISNUMBER(AM210),AM210&lt;=T210),AM210,9E15))),"OR",IF(AND(AND(J210=0,ISNUMBER(AL210),AL210&lt;=T210),AL210=MIN(IF(AND(I210=0,ISNUMBER(AK210),AK210&lt;=T210),AK210,9E15),IF(AND(J210=0,ISNUMBER(AL210),AL210&lt;=T210),AL210,9E15),IF(AND(K210=0,ISNUMBER(AM210),AM210&lt;=T210),AM210,9E15))),"HP","FP")),IF(AR210=TRUE,"",IF(MAX(IF(AND(NOT(AND(AO210=1,AN210&lt;&gt;1)),ISNUMBER(AG210),AG210&lt;=T210),AS210,0),IF(AND(NOT(AND(AO210=1,AN210&lt;&gt;1)),ISNUMBER(AH210),AH210&lt;=T210),AT210,0),IF(AND(NOT(AND(AO210=1,AN210&lt;&gt;1)),ISNUMBER(AI210),AI210&lt;=T210),AU210,0),IF(AND(ISNUMBER(AJ210),AJ210&lt;=T210),AV210,0))&lt;=0,"",IF(AND(IF(AND(NOT(AND(AO210=1,AN210&lt;&gt;1)),ISNUMBER(AG210),AG210&lt;=T210),AS210,0)&gt;0,IF(AND(NOT(AND(AO210=1,AN210&lt;&gt;1)),ISNUMBER(AG210),AG210&lt;=T210),AS210,0)=MAX(IF(AND(NOT(AND(AO210=1,AN210&lt;&gt;1)),ISNUMBER(AG210),AG210&lt;=T210),AS210,0),IF(AND(NOT(AND(AO210=1,AN210&lt;&gt;1)),ISNUMBER(AH210),AH210&lt;=T210),AT210,0),IF(AND(NOT(AND(AO210=1,AN210&lt;&gt;1)),ISNUMBER(AI210),AI210&lt;=T210),AU210,0),IF(AND(ISNUMBER(AJ210),AJ210&lt;=T210),AV210,0))),"SW",IF(AND(IF(AND(NOT(AND(AO210=1,AN210&lt;&gt;1)),ISNUMBER(AH210),AH210&lt;=T210),AT210,0)&gt;0,IF(AND(NOT(AND(AO210=1,AN210&lt;&gt;1)),ISNUMBER(AH210),AH210&lt;=T210),AT210,0)=MAX(IF(AND(NOT(AND(AO210=1,AN210&lt;&gt;1)),ISNUMBER(AG210),AG210&lt;=T210),AS210,0),IF(AND(NOT(AND(AO210=1,AN210&lt;&gt;1)),ISNUMBER(AH210),AH210&lt;=T210),AT210,0),IF(AND(NOT(AND(AO210=1,AN210&lt;&gt;1)),ISNUMBER(AI210),AI210&lt;=T210),AU210,0),IF(AND(ISNUMBER(AJ210),AJ210&lt;=T210),AV210,0))),"AB",IF(AND(IF(AND(NOT(AND(AO210=1,AN210&lt;&gt;1)),ISNUMBER(AI210),AI210&lt;=T210),AU210,0)&gt;0,IF(AND(NOT(AND(AO210=1,AN210&lt;&gt;1)),ISNUMBER(AI210),AI210&lt;=T210),AU210,0)=MAX(IF(AND(NOT(AND(AO210=1,AN210&lt;&gt;1)),ISNUMBER(AG210),AG210&lt;=T210),AS210,0),IF(AND(NOT(AND(AO210=1,AN210&lt;&gt;1)),ISNUMBER(AH210),AH210&lt;=T210),AT210,0),IF(AND(NOT(AND(AO210=1,AN210&lt;&gt;1)),ISNUMBER(AI210),AI210&lt;=T210),AU210,0),IF(AND(ISNUMBER(AJ210),AJ210&lt;=T210),AV210,0))),"SC","Mag")))))))</f>
        <v/>
      </c>
    </row>
    <row r="211">
      <c r="A211" s="26" t="n">
        <v>206</v>
      </c>
      <c r="B211" s="27">
        <f>A211*10/60</f>
        <v/>
      </c>
      <c r="C211" s="22">
        <f>X210</f>
        <v/>
      </c>
      <c r="D211" s="27">
        <f>D210+W210</f>
        <v/>
      </c>
      <c r="E211" s="26">
        <f>E210+IF(U210="SW",1,0)</f>
        <v/>
      </c>
      <c r="F211" s="26">
        <f>F210+IF(U210="AB",1,0)</f>
        <v/>
      </c>
      <c r="G211" s="26">
        <f>G210+IF(U210="SC",1,0)</f>
        <v/>
      </c>
      <c r="H211" s="26">
        <f>H210+IF(U210="Mag",1,0)</f>
        <v/>
      </c>
      <c r="I211" s="26">
        <f>MAX(I210,IF(U210="OR",1,0))</f>
        <v/>
      </c>
      <c r="J211" s="26">
        <f>MAX(J210,IF(U210="HP",1,0))</f>
        <v/>
      </c>
      <c r="K211" s="26">
        <f>MAX(K210,IF(U210="FP",1,0))</f>
        <v/>
      </c>
      <c r="L211" s="26">
        <f>MAX(L210,IF(U210="transition",1,0))</f>
        <v/>
      </c>
      <c r="M211" s="28">
        <f>(Parameters!$B$9+(IF(E211=0,0,(Upgrades!$J$6+E211*Upgrades!$K$6)*POWER(Upgrades!$L$6,E211)))*(IF(Upgrades!$T$7="Solar Wind",POWER(Upgrades!$U$7,F211),1)*IF(Upgrades!$T$8="Solar Wind",POWER(Upgrades!$U$8,G211),1)*IF(Upgrades!$T$9="Solar Wind",POWER(Upgrades!$U$9,H211),1)*IF(Upgrades!$T$10="Solar Wind",POWER(Upgrades!$U$10,I211),1)*IF(Upgrades!$T$11="Solar Wind",POWER(Upgrades!$U$11,J211),1)*IF(Upgrades!$T$12="Solar Wind",POWER(Upgrades!$U$12,K211),1))+(IF(F211=0,0,(Upgrades!$J$7+F211*Upgrades!$K$7)*POWER(Upgrades!$L$7,F211)))*(IF(Upgrades!$T$6="Asteroid Belt",POWER(Upgrades!$U$6,E211),1)*IF(Upgrades!$T$8="Asteroid Belt",POWER(Upgrades!$U$8,G211),1)*IF(Upgrades!$T$9="Asteroid Belt",POWER(Upgrades!$U$9,H211),1)*IF(Upgrades!$T$10="Asteroid Belt",POWER(Upgrades!$U$10,I211),1)*IF(Upgrades!$T$11="Asteroid Belt",POWER(Upgrades!$U$11,J211),1)*IF(Upgrades!$T$12="Asteroid Belt",POWER(Upgrades!$U$12,K211),1))+(IF(G211=0,0,(Upgrades!$J$8+G211*Upgrades!$K$8)*POWER(Upgrades!$L$8,G211)))*(IF(Upgrades!$T$6="Stellar Coupling",POWER(Upgrades!$U$6,E211),1)*IF(Upgrades!$T$7="Stellar Coupling",POWER(Upgrades!$U$7,F211),1)*IF(Upgrades!$T$9="Stellar Coupling",POWER(Upgrades!$U$9,H211),1)*IF(Upgrades!$T$10="Stellar Coupling",POWER(Upgrades!$U$10,I211),1)*IF(Upgrades!$T$11="Stellar Coupling",POWER(Upgrades!$U$11,J211),1)*IF(Upgrades!$T$12="Stellar Coupling",POWER(Upgrades!$U$12,K211),1))+(IF(H211=0,0,(Upgrades!$J$9+H211*Upgrades!$K$9)*POWER(Upgrades!$L$9,H211)))*(IF(Upgrades!$T$6="Magnetosphere",POWER(Upgrades!$U$6,E211),1)*IF(Upgrades!$T$7="Magnetosphere",POWER(Upgrades!$U$7,F211),1)*IF(Upgrades!$T$8="Magnetosphere",POWER(Upgrades!$U$8,G211),1)*IF(Upgrades!$T$10="Magnetosphere",POWER(Upgrades!$U$10,I211),1)*IF(Upgrades!$T$11="Magnetosphere",POWER(Upgrades!$U$11,J211),1)*IF(Upgrades!$T$12="Magnetosphere",POWER(Upgrades!$U$12,K211),1))+(IF(I211=0,0,(Upgrades!$J$10+I211*Upgrades!$K$10)*POWER(Upgrades!$L$10,I211)))*(IF(Upgrades!$T$6="Orbital Resonance",POWER(Upgrades!$U$6,E211),1)*IF(Upgrades!$T$7="Orbital Resonance",POWER(Upgrades!$U$7,F211),1)*IF(Upgrades!$T$8="Orbital Resonance",POWER(Upgrades!$U$8,G211),1)*IF(Upgrades!$T$9="Orbital Resonance",POWER(Upgrades!$U$9,H211),1)*IF(Upgrades!$T$11="Orbital Resonance",POWER(Upgrades!$U$11,J211),1)*IF(Upgrades!$T$12="Orbital Resonance",POWER(Upgrades!$U$12,K211),1))+(IF(J211=0,0,(Upgrades!$J$11+J211*Upgrades!$K$11)*POWER(Upgrades!$L$11,J211)))*(IF(Upgrades!$T$6="Heliopause",POWER(Upgrades!$U$6,E211),1)*IF(Upgrades!$T$7="Heliopause",POWER(Upgrades!$U$7,F211),1)*IF(Upgrades!$T$8="Heliopause",POWER(Upgrades!$U$8,G211),1)*IF(Upgrades!$T$9="Heliopause",POWER(Upgrades!$U$9,H211),1)*IF(Upgrades!$T$10="Heliopause",POWER(Upgrades!$U$10,I211),1)*IF(Upgrades!$T$12="Heliopause",POWER(Upgrades!$U$12,K211),1))+(IF(K211=0,0,(Upgrades!$J$12+K211*Upgrades!$K$12)*POWER(Upgrades!$L$12,K211)))*(IF(Upgrades!$T$6="First Photons",POWER(Upgrades!$U$6,E211),1)*IF(Upgrades!$T$7="First Photons",POWER(Upgrades!$U$7,F211),1)*IF(Upgrades!$T$8="First Photons",POWER(Upgrades!$U$8,G211),1)*IF(Upgrades!$T$9="First Photons",POWER(Upgrades!$U$9,H211),1)*IF(Upgrades!$T$10="First Photons",POWER(Upgrades!$U$10,I211),1)*IF(Upgrades!$T$11="First Photons",POWER(Upgrades!$U$11,J211),1)))*POWER(Upgrades!$Q$6,E211)*POWER(Upgrades!$Q$7,F211)*POWER(Upgrades!$Q$8,G211)*POWER(Upgrades!$Q$9,H211)*POWER(Upgrades!$Q$10,I211)*POWER(Upgrades!$Q$11,J211)*POWER(Upgrades!$Q$12,K211)</f>
        <v/>
      </c>
      <c r="N211" s="28">
        <f>((IF(E211=0,0,(Upgrades!$G$6+E211*Upgrades!$H$6)*POWER(Upgrades!$I$6,E211)))*(IF(Upgrades!$T$7="Solar Wind",POWER(Upgrades!$U$7,F211),1)*IF(Upgrades!$T$8="Solar Wind",POWER(Upgrades!$U$8,G211),1)*IF(Upgrades!$T$9="Solar Wind",POWER(Upgrades!$U$9,H211),1)*IF(Upgrades!$T$10="Solar Wind",POWER(Upgrades!$U$10,I211),1)*IF(Upgrades!$T$11="Solar Wind",POWER(Upgrades!$U$11,J211),1)*IF(Upgrades!$T$12="Solar Wind",POWER(Upgrades!$U$12,K211),1))+(IF(F211=0,0,(Upgrades!$G$7+F211*Upgrades!$H$7)*POWER(Upgrades!$I$7,F211)))*(IF(Upgrades!$T$6="Asteroid Belt",POWER(Upgrades!$U$6,E211),1)*IF(Upgrades!$T$8="Asteroid Belt",POWER(Upgrades!$U$8,G211),1)*IF(Upgrades!$T$9="Asteroid Belt",POWER(Upgrades!$U$9,H211),1)*IF(Upgrades!$T$10="Asteroid Belt",POWER(Upgrades!$U$10,I211),1)*IF(Upgrades!$T$11="Asteroid Belt",POWER(Upgrades!$U$11,J211),1)*IF(Upgrades!$T$12="Asteroid Belt",POWER(Upgrades!$U$12,K211),1))+(IF(G211=0,0,(Upgrades!$G$8+G211*Upgrades!$H$8)*POWER(Upgrades!$I$8,G211)))*(IF(Upgrades!$T$6="Stellar Coupling",POWER(Upgrades!$U$6,E211),1)*IF(Upgrades!$T$7="Stellar Coupling",POWER(Upgrades!$U$7,F211),1)*IF(Upgrades!$T$9="Stellar Coupling",POWER(Upgrades!$U$9,H211),1)*IF(Upgrades!$T$10="Stellar Coupling",POWER(Upgrades!$U$10,I211),1)*IF(Upgrades!$T$11="Stellar Coupling",POWER(Upgrades!$U$11,J211),1)*IF(Upgrades!$T$12="Stellar Coupling",POWER(Upgrades!$U$12,K211),1))+(IF(H211=0,0,(Upgrades!$G$9+H211*Upgrades!$H$9)*POWER(Upgrades!$I$9,H211)))*(IF(Upgrades!$T$6="Magnetosphere",POWER(Upgrades!$U$6,E211),1)*IF(Upgrades!$T$7="Magnetosphere",POWER(Upgrades!$U$7,F211),1)*IF(Upgrades!$T$8="Magnetosphere",POWER(Upgrades!$U$8,G211),1)*IF(Upgrades!$T$10="Magnetosphere",POWER(Upgrades!$U$10,I211),1)*IF(Upgrades!$T$11="Magnetosphere",POWER(Upgrades!$U$11,J211),1)*IF(Upgrades!$T$12="Magnetosphere",POWER(Upgrades!$U$12,K211),1))+(IF(I211=0,0,(Upgrades!$G$10+I211*Upgrades!$H$10)*POWER(Upgrades!$I$10,I211)))*(IF(Upgrades!$T$6="Orbital Resonance",POWER(Upgrades!$U$6,E211),1)*IF(Upgrades!$T$7="Orbital Resonance",POWER(Upgrades!$U$7,F211),1)*IF(Upgrades!$T$8="Orbital Resonance",POWER(Upgrades!$U$8,G211),1)*IF(Upgrades!$T$9="Orbital Resonance",POWER(Upgrades!$U$9,H211),1)*IF(Upgrades!$T$11="Orbital Resonance",POWER(Upgrades!$U$11,J211),1)*IF(Upgrades!$T$12="Orbital Resonance",POWER(Upgrades!$U$12,K211),1))+(IF(J211=0,0,(Upgrades!$G$11+J211*Upgrades!$H$11)*POWER(Upgrades!$I$11,J211)))*(IF(Upgrades!$T$6="Heliopause",POWER(Upgrades!$U$6,E211),1)*IF(Upgrades!$T$7="Heliopause",POWER(Upgrades!$U$7,F211),1)*IF(Upgrades!$T$8="Heliopause",POWER(Upgrades!$U$8,G211),1)*IF(Upgrades!$T$9="Heliopause",POWER(Upgrades!$U$9,H211),1)*IF(Upgrades!$T$10="Heliopause",POWER(Upgrades!$U$10,I211),1)*IF(Upgrades!$T$12="Heliopause",POWER(Upgrades!$U$12,K211),1))+(IF(K211=0,0,(Upgrades!$G$12+K211*Upgrades!$H$12)*POWER(Upgrades!$I$12,K211)))*(IF(Upgrades!$T$6="First Photons",POWER(Upgrades!$U$6,E211),1)*IF(Upgrades!$T$7="First Photons",POWER(Upgrades!$U$7,F211),1)*IF(Upgrades!$T$8="First Photons",POWER(Upgrades!$U$8,G211),1)*IF(Upgrades!$T$9="First Photons",POWER(Upgrades!$U$9,H211),1)*IF(Upgrades!$T$10="First Photons",POWER(Upgrades!$U$10,I211),1)*IF(Upgrades!$T$11="First Photons",POWER(Upgrades!$U$11,J211),1)))*POWER(Upgrades!$P$6,E211)*POWER(Upgrades!$P$7,F211)*POWER(Upgrades!$P$8,G211)*POWER(Upgrades!$P$9,H211)*POWER(Upgrades!$P$10,I211)*POWER(Upgrades!$P$11,J211)*POWER(Upgrades!$P$12,K211)</f>
        <v/>
      </c>
      <c r="O211" s="28">
        <f>((IF(E211=0,0,(Upgrades!$M$6+E211*Upgrades!$N$6)*POWER(Upgrades!$O$6,E211)))*(IF(Upgrades!$T$7="Solar Wind",POWER(Upgrades!$U$7,F211),1)*IF(Upgrades!$T$8="Solar Wind",POWER(Upgrades!$U$8,G211),1)*IF(Upgrades!$T$9="Solar Wind",POWER(Upgrades!$U$9,H211),1)*IF(Upgrades!$T$10="Solar Wind",POWER(Upgrades!$U$10,I211),1)*IF(Upgrades!$T$11="Solar Wind",POWER(Upgrades!$U$11,J211),1)*IF(Upgrades!$T$12="Solar Wind",POWER(Upgrades!$U$12,K211),1))+(IF(F211=0,0,(Upgrades!$M$7+F211*Upgrades!$N$7)*POWER(Upgrades!$O$7,F211)))*(IF(Upgrades!$T$6="Asteroid Belt",POWER(Upgrades!$U$6,E211),1)*IF(Upgrades!$T$8="Asteroid Belt",POWER(Upgrades!$U$8,G211),1)*IF(Upgrades!$T$9="Asteroid Belt",POWER(Upgrades!$U$9,H211),1)*IF(Upgrades!$T$10="Asteroid Belt",POWER(Upgrades!$U$10,I211),1)*IF(Upgrades!$T$11="Asteroid Belt",POWER(Upgrades!$U$11,J211),1)*IF(Upgrades!$T$12="Asteroid Belt",POWER(Upgrades!$U$12,K211),1))+(IF(G211=0,0,(Upgrades!$M$8+G211*Upgrades!$N$8)*POWER(Upgrades!$O$8,G211)))*(IF(Upgrades!$T$6="Stellar Coupling",POWER(Upgrades!$U$6,E211),1)*IF(Upgrades!$T$7="Stellar Coupling",POWER(Upgrades!$U$7,F211),1)*IF(Upgrades!$T$9="Stellar Coupling",POWER(Upgrades!$U$9,H211),1)*IF(Upgrades!$T$10="Stellar Coupling",POWER(Upgrades!$U$10,I211),1)*IF(Upgrades!$T$11="Stellar Coupling",POWER(Upgrades!$U$11,J211),1)*IF(Upgrades!$T$12="Stellar Coupling",POWER(Upgrades!$U$12,K211),1))+(IF(H211=0,0,(Upgrades!$M$9+H211*Upgrades!$N$9)*POWER(Upgrades!$O$9,H211)))*(IF(Upgrades!$T$6="Magnetosphere",POWER(Upgrades!$U$6,E211),1)*IF(Upgrades!$T$7="Magnetosphere",POWER(Upgrades!$U$7,F211),1)*IF(Upgrades!$T$8="Magnetosphere",POWER(Upgrades!$U$8,G211),1)*IF(Upgrades!$T$10="Magnetosphere",POWER(Upgrades!$U$10,I211),1)*IF(Upgrades!$T$11="Magnetosphere",POWER(Upgrades!$U$11,J211),1)*IF(Upgrades!$T$12="Magnetosphere",POWER(Upgrades!$U$12,K211),1))+(IF(I211=0,0,(Upgrades!$M$10+I211*Upgrades!$N$10)*POWER(Upgrades!$O$10,I211)))*(IF(Upgrades!$T$6="Orbital Resonance",POWER(Upgrades!$U$6,E211),1)*IF(Upgrades!$T$7="Orbital Resonance",POWER(Upgrades!$U$7,F211),1)*IF(Upgrades!$T$8="Orbital Resonance",POWER(Upgrades!$U$8,G211),1)*IF(Upgrades!$T$9="Orbital Resonance",POWER(Upgrades!$U$9,H211),1)*IF(Upgrades!$T$11="Orbital Resonance",POWER(Upgrades!$U$11,J211),1)*IF(Upgrades!$T$12="Orbital Resonance",POWER(Upgrades!$U$12,K211),1))+(IF(J211=0,0,(Upgrades!$M$11+J211*Upgrades!$N$11)*POWER(Upgrades!$O$11,J211)))*(IF(Upgrades!$T$6="Heliopause",POWER(Upgrades!$U$6,E211),1)*IF(Upgrades!$T$7="Heliopause",POWER(Upgrades!$U$7,F211),1)*IF(Upgrades!$T$8="Heliopause",POWER(Upgrades!$U$8,G211),1)*IF(Upgrades!$T$9="Heliopause",POWER(Upgrades!$U$9,H211),1)*IF(Upgrades!$T$10="Heliopause",POWER(Upgrades!$U$10,I211),1)*IF(Upgrades!$T$12="Heliopause",POWER(Upgrades!$U$12,K211),1))+(IF(K211=0,0,(Upgrades!$M$12+K211*Upgrades!$N$12)*POWER(Upgrades!$O$12,K211)))*(IF(Upgrades!$T$6="First Photons",POWER(Upgrades!$U$6,E211),1)*IF(Upgrades!$T$7="First Photons",POWER(Upgrades!$U$7,F211),1)*IF(Upgrades!$T$8="First Photons",POWER(Upgrades!$U$8,G211),1)*IF(Upgrades!$T$9="First Photons",POWER(Upgrades!$U$9,H211),1)*IF(Upgrades!$T$10="First Photons",POWER(Upgrades!$U$10,I211),1)*IF(Upgrades!$T$11="First Photons",POWER(Upgrades!$U$11,J211),1)))*POWER(Upgrades!$R$6,E211)*POWER(Upgrades!$R$7,F211)*POWER(Upgrades!$R$8,G211)*POWER(Upgrades!$R$9,H211)*POWER(Upgrades!$R$10,I211)*POWER(Upgrades!$R$11,J211)*POWER(Upgrades!$R$12,K211)</f>
        <v/>
      </c>
      <c r="P211" s="27">
        <f>IF(L211=1,0,M211*Parameters!$B$10/60*Parameters!$B$11*10)</f>
        <v/>
      </c>
      <c r="Q211" s="27">
        <f>IF(L211=1,0,O211*M211*10)</f>
        <v/>
      </c>
      <c r="R211" s="27">
        <f>IF(L211=1,0,N211*10)</f>
        <v/>
      </c>
      <c r="S211" s="27">
        <f>P211+Q211+R211</f>
        <v/>
      </c>
      <c r="T211" s="22">
        <f>C211+S211</f>
        <v/>
      </c>
      <c r="U211" s="33">
        <f>AX211</f>
        <v/>
      </c>
      <c r="V211" s="22">
        <f>IF(U211="",0,IF(U211="transition",0,IF(U211="SW",AG211,IF(U211="AB",AH211,IF(U211="SC",AI211,IF(U211="Mag",AJ211,IF(U211="OR",AK211,IF(U211="HP",AL211,IF(U211="FP",AM211,0)))))))))</f>
        <v/>
      </c>
      <c r="W211" s="27">
        <f>IF(U211="OR",Upgrades!$F$10,IF(U211="HP",Upgrades!$F$11,IF(U211="transition",-Parameters!$B$18,0)))</f>
        <v/>
      </c>
      <c r="X211" s="22">
        <f>T211-V211</f>
        <v/>
      </c>
      <c r="Y211" s="30">
        <f>M211*Parameters!$B$10/60*Parameters!$B$11+O211*M211+N211</f>
        <v/>
      </c>
      <c r="Z211" s="34">
        <f>IF(U211="transition","→ Tier 2 (Stellar Neighborhood)",IF(U211="FP","First Photons — light begins, system quickens",IF(U211="HP","Heliopause acquired",IF(U211="OR","Orbital Resonance — passive multiplier active",IF(AND(AO211=1,L211=0,AN211&lt;&gt;1),"Cohesion ready (waiting on completionist upgrades)","")))))</f>
        <v/>
      </c>
      <c r="AA211" s="27">
        <f>(IF(E211=0,0,(Upgrades!$G$6+E211*Upgrades!$H$6)*POWER(Upgrades!$I$6,E211)))*(IF(Upgrades!$T$7="Solar Wind",POWER(Upgrades!$U$7,F211),1)*IF(Upgrades!$T$8="Solar Wind",POWER(Upgrades!$U$8,G211),1)*IF(Upgrades!$T$9="Solar Wind",POWER(Upgrades!$U$9,H211),1)*IF(Upgrades!$T$10="Solar Wind",POWER(Upgrades!$U$10,I211),1)*IF(Upgrades!$T$11="Solar Wind",POWER(Upgrades!$U$11,J211),1)*IF(Upgrades!$T$12="Solar Wind",POWER(Upgrades!$U$12,K211),1))*POWER(Upgrades!$P$6,E211)*POWER(Upgrades!$P$7,F211)*POWER(Upgrades!$P$8,G211)*POWER(Upgrades!$P$9,H211)*POWER(Upgrades!$P$10,I211)*POWER(Upgrades!$P$11,J211)*POWER(Upgrades!$P$12,K211)*60</f>
        <v/>
      </c>
      <c r="AB211" s="27">
        <f>(IF(F211=0,0,(Upgrades!$G$7+F211*Upgrades!$H$7)*POWER(Upgrades!$I$7,F211)))*(IF(Upgrades!$T$6="Asteroid Belt",POWER(Upgrades!$U$6,E211),1)*IF(Upgrades!$T$8="Asteroid Belt",POWER(Upgrades!$U$8,G211),1)*IF(Upgrades!$T$9="Asteroid Belt",POWER(Upgrades!$U$9,H211),1)*IF(Upgrades!$T$10="Asteroid Belt",POWER(Upgrades!$U$10,I211),1)*IF(Upgrades!$T$11="Asteroid Belt",POWER(Upgrades!$U$11,J211),1)*IF(Upgrades!$T$12="Asteroid Belt",POWER(Upgrades!$U$12,K211),1))*POWER(Upgrades!$P$6,E211)*POWER(Upgrades!$P$7,F211)*POWER(Upgrades!$P$8,G211)*POWER(Upgrades!$P$9,H211)*POWER(Upgrades!$P$10,I211)*POWER(Upgrades!$P$11,J211)*POWER(Upgrades!$P$12,K211)*60</f>
        <v/>
      </c>
      <c r="AC211" s="27">
        <f>(IF(G211=0,0,(Upgrades!$J$8+G211*Upgrades!$K$8)*POWER(Upgrades!$L$8,G211)))*(IF(Upgrades!$T$6="Stellar Coupling",POWER(Upgrades!$U$6,E211),1)*IF(Upgrades!$T$7="Stellar Coupling",POWER(Upgrades!$U$7,F211),1)*IF(Upgrades!$T$9="Stellar Coupling",POWER(Upgrades!$U$9,H211),1)*IF(Upgrades!$T$10="Stellar Coupling",POWER(Upgrades!$U$10,I211),1)*IF(Upgrades!$T$11="Stellar Coupling",POWER(Upgrades!$U$11,J211),1)*IF(Upgrades!$T$12="Stellar Coupling",POWER(Upgrades!$U$12,K211),1))*POWER(Upgrades!$Q$6,E211)*POWER(Upgrades!$Q$7,F211)*POWER(Upgrades!$Q$8,G211)*POWER(Upgrades!$Q$9,H211)*POWER(Upgrades!$Q$10,I211)*POWER(Upgrades!$Q$11,J211)*POWER(Upgrades!$Q$12,K211)*Parameters!$B$10*Parameters!$B$11</f>
        <v/>
      </c>
      <c r="AD211" s="27">
        <f>(IF(H211=0,0,(Upgrades!$G$9+H211*Upgrades!$H$9)*POWER(Upgrades!$I$9,H211)))*(IF(Upgrades!$T$6="Magnetosphere",POWER(Upgrades!$U$6,E211),1)*IF(Upgrades!$T$7="Magnetosphere",POWER(Upgrades!$U$7,F211),1)*IF(Upgrades!$T$8="Magnetosphere",POWER(Upgrades!$U$8,G211),1)*IF(Upgrades!$T$10="Magnetosphere",POWER(Upgrades!$U$10,I211),1)*IF(Upgrades!$T$11="Magnetosphere",POWER(Upgrades!$U$11,J211),1)*IF(Upgrades!$T$12="Magnetosphere",POWER(Upgrades!$U$12,K211),1))*POWER(Upgrades!$P$6,E211)*POWER(Upgrades!$P$7,F211)*POWER(Upgrades!$P$8,G211)*POWER(Upgrades!$P$9,H211)*POWER(Upgrades!$P$10,I211)*POWER(Upgrades!$P$11,J211)*POWER(Upgrades!$P$12,K211)*60</f>
        <v/>
      </c>
      <c r="AE211" s="27">
        <f>(IF(K211=0,0,(Upgrades!$G$12+K211*Upgrades!$H$12)*POWER(Upgrades!$I$12,K211)))*(IF(Upgrades!$T$6="First Photons",POWER(Upgrades!$U$6,E211),1)*IF(Upgrades!$T$7="First Photons",POWER(Upgrades!$U$7,F211),1)*IF(Upgrades!$T$8="First Photons",POWER(Upgrades!$U$8,G211),1)*IF(Upgrades!$T$9="First Photons",POWER(Upgrades!$U$9,H211),1)*IF(Upgrades!$T$10="First Photons",POWER(Upgrades!$U$10,I211),1)*IF(Upgrades!$T$11="First Photons",POWER(Upgrades!$U$11,J211),1))*POWER(Upgrades!$P$6,E211)*POWER(Upgrades!$P$7,F211)*POWER(Upgrades!$P$8,G211)*POWER(Upgrades!$P$9,H211)*POWER(Upgrades!$P$10,I211)*POWER(Upgrades!$P$11,J211)*POWER(Upgrades!$P$12,K211)*60</f>
        <v/>
      </c>
      <c r="AF211" s="27">
        <f>Parameters!$B$9*POWER(Upgrades!$Q$6,E211)*POWER(Upgrades!$Q$7,F211)*POWER(Upgrades!$Q$8,G211)*POWER(Upgrades!$Q$9,H211)*POWER(Upgrades!$Q$10,I211)*POWER(Upgrades!$Q$11,J211)*POWER(Upgrades!$Q$12,K211)*(Parameters!$B$10*Parameters!$B$11+O211*60)</f>
        <v/>
      </c>
      <c r="AG211" s="22">
        <f>IF(E211&gt;=Upgrades!$E$6,"",Upgrades!$C$6*POWER(Upgrades!$D$6,E211))</f>
        <v/>
      </c>
      <c r="AH211" s="22">
        <f>IF(F211&gt;=Upgrades!$E$7,"",Upgrades!$C$7*POWER(Upgrades!$D$7,F211))</f>
        <v/>
      </c>
      <c r="AI211" s="22">
        <f>IF(G211&gt;=Upgrades!$E$8,"",Upgrades!$C$8*POWER(Upgrades!$D$8,G211))</f>
        <v/>
      </c>
      <c r="AJ211" s="22">
        <f>IF(H211&gt;=Upgrades!$E$9,"",Upgrades!$C$9*POWER(Upgrades!$D$9,H211))</f>
        <v/>
      </c>
      <c r="AK211" s="22">
        <f>IF(I211&gt;=Upgrades!$E$10,"",Upgrades!$C$10*POWER(Upgrades!$D$10,I211))</f>
        <v/>
      </c>
      <c r="AL211" s="22">
        <f>IF(J211&gt;=Upgrades!$E$11,"",Upgrades!$C$11*POWER(Upgrades!$D$11,J211))</f>
        <v/>
      </c>
      <c r="AM211" s="22">
        <f>IF(K211&gt;=Upgrades!$E$12,"",Upgrades!$C$12*POWER(Upgrades!$D$12,K211))</f>
        <v/>
      </c>
      <c r="AN211" s="26">
        <f>IF(AND(D211&gt;=Parameters!$B$18,(H211&gt;=Upgrades!$E$9)*(K211&gt;=Upgrades!$E$12)=1,L211=0),1,"")</f>
        <v/>
      </c>
      <c r="AO211" s="26">
        <f>IF(AND(D211&gt;=Parameters!$B$18,L211=0),1,"")</f>
        <v/>
      </c>
      <c r="AP211" s="22">
        <f>MIN(IF(ISNUMBER(AK211),AK211,9E15),IF(ISNUMBER(AL211),AL211,9E15),IF(ISNUMBER(AM211),AM211,9E15))</f>
        <v/>
      </c>
      <c r="AQ211" s="22">
        <f>MIN(IF(ISNUMBER(AG211),AG211,9E15),IF(ISNUMBER(AH211),AH211,9E15),IF(ISNUMBER(AI211),AI211,9E15),IF(ISNUMBER(AJ211),AJ211,9E15))</f>
        <v/>
      </c>
      <c r="AR211" s="29">
        <f>IF(AW211&gt;Parameters!$B$21*(MAX(IF(AND(NOT(AND(AO211=1,AN211&lt;&gt;1)),ISNUMBER(AG211),AG211&lt;=T211),AS211,0),IF(AND(NOT(AND(AO211=1,AN211&lt;&gt;1)),ISNUMBER(AH211),AH211&lt;=T211),AT211,0),IF(AND(NOT(AND(AO211=1,AN211&lt;&gt;1)),ISNUMBER(AI211),AI211&lt;=T211),AU211,0),IF(AND(ISNUMBER(AJ211),AJ211&lt;=T211),AV211,0))),TRUE,FALSE)</f>
        <v/>
      </c>
      <c r="AS211" s="32">
        <f>IFERROR(Upgrades!$H$6*(POWER(Upgrades!$P$6,E211)*POWER(Upgrades!$P$7,F211)*POWER(Upgrades!$P$8,G211)*POWER(Upgrades!$P$9,H211)*POWER(Upgrades!$P$10,I211)*POWER(Upgrades!$P$11,J211)*POWER(Upgrades!$P$12,K211))*(IF(Upgrades!$T$7="Solar Wind",POWER(Upgrades!$U$7,F211),1)*IF(Upgrades!$T$8="Solar Wind",POWER(Upgrades!$U$8,G211),1)*IF(Upgrades!$T$9="Solar Wind",POWER(Upgrades!$U$9,H211),1)*IF(Upgrades!$T$10="Solar Wind",POWER(Upgrades!$U$10,I211),1)*IF(Upgrades!$T$11="Solar Wind",POWER(Upgrades!$U$11,J211),1)*IF(Upgrades!$T$12="Solar Wind",POWER(Upgrades!$U$12,K211),1))/AG211,0)</f>
        <v/>
      </c>
      <c r="AT211" s="32">
        <f>IFERROR(Upgrades!$H$7*(POWER(Upgrades!$P$6,E211)*POWER(Upgrades!$P$7,F211)*POWER(Upgrades!$P$8,G211)*POWER(Upgrades!$P$9,H211)*POWER(Upgrades!$P$10,I211)*POWER(Upgrades!$P$11,J211)*POWER(Upgrades!$P$12,K211))*(IF(Upgrades!$T$6="Asteroid Belt",POWER(Upgrades!$U$6,E211),1)*IF(Upgrades!$T$8="Asteroid Belt",POWER(Upgrades!$U$8,G211),1)*IF(Upgrades!$T$9="Asteroid Belt",POWER(Upgrades!$U$9,H211),1)*IF(Upgrades!$T$10="Asteroid Belt",POWER(Upgrades!$U$10,I211),1)*IF(Upgrades!$T$11="Asteroid Belt",POWER(Upgrades!$U$11,J211),1)*IF(Upgrades!$T$12="Asteroid Belt",POWER(Upgrades!$U$12,K211),1))/AH211,0)</f>
        <v/>
      </c>
      <c r="AU211" s="32">
        <f>IFERROR(Upgrades!$K$8*(POWER(Upgrades!$Q$6,E211)*POWER(Upgrades!$Q$7,F211)*POWER(Upgrades!$Q$8,G211)*POWER(Upgrades!$Q$9,H211)*POWER(Upgrades!$Q$10,I211)*POWER(Upgrades!$Q$11,J211)*POWER(Upgrades!$Q$12,K211))*(IF(Upgrades!$T$6="Stellar Coupling",POWER(Upgrades!$U$6,E211),1)*IF(Upgrades!$T$7="Stellar Coupling",POWER(Upgrades!$U$7,F211),1)*IF(Upgrades!$T$9="Stellar Coupling",POWER(Upgrades!$U$9,H211),1)*IF(Upgrades!$T$10="Stellar Coupling",POWER(Upgrades!$U$10,I211),1)*IF(Upgrades!$T$11="Stellar Coupling",POWER(Upgrades!$U$11,J211),1)*IF(Upgrades!$T$12="Stellar Coupling",POWER(Upgrades!$U$12,K211),1))*Parameters!$B$10*Parameters!$B$11/60/AI211,0)</f>
        <v/>
      </c>
      <c r="AV211" s="32">
        <f>IFERROR(Upgrades!$H$9*(POWER(Upgrades!$P$6,E211)*POWER(Upgrades!$P$7,F211)*POWER(Upgrades!$P$8,G211)*POWER(Upgrades!$P$9,H211)*POWER(Upgrades!$P$10,I211)*POWER(Upgrades!$P$11,J211)*POWER(Upgrades!$P$12,K211))*(IF(Upgrades!$T$6="Magnetosphere",POWER(Upgrades!$U$6,E211),1)*IF(Upgrades!$T$7="Magnetosphere",POWER(Upgrades!$U$7,F211),1)*IF(Upgrades!$T$8="Magnetosphere",POWER(Upgrades!$U$8,G211),1)*IF(Upgrades!$T$10="Magnetosphere",POWER(Upgrades!$U$10,I211),1)*IF(Upgrades!$T$11="Magnetosphere",POWER(Upgrades!$U$11,J211),1)*IF(Upgrades!$T$12="Magnetosphere",POWER(Upgrades!$U$12,K211),1))/AJ211,0)</f>
        <v/>
      </c>
      <c r="AW211" s="32">
        <f>MAX(IF(I211&gt;0,0,IFERROR(0.25*N211/Upgrades!$C$10,0)),IF(J211&gt;0,0,IFERROR(0.5*((IF(G211=0,0,(Upgrades!$J$8+G211*Upgrades!$K$8)*POWER(Upgrades!$L$8,G211)))*(IF(Upgrades!$T$6="Stellar Coupling",POWER(Upgrades!$U$6,E211),1)*IF(Upgrades!$T$7="Stellar Coupling",POWER(Upgrades!$U$7,F211),1)*IF(Upgrades!$T$9="Stellar Coupling",POWER(Upgrades!$U$9,H211),1)*IF(Upgrades!$T$10="Stellar Coupling",POWER(Upgrades!$U$10,I211),1)*IF(Upgrades!$T$11="Stellar Coupling",POWER(Upgrades!$U$11,J211),1)*IF(Upgrades!$T$12="Stellar Coupling",POWER(Upgrades!$U$12,K211),1))*(POWER(Upgrades!$Q$6,E211)*POWER(Upgrades!$Q$7,F211)*POWER(Upgrades!$Q$8,G211)*POWER(Upgrades!$Q$9,H211)*POWER(Upgrades!$Q$10,I211)*POWER(Upgrades!$Q$11,J211)*POWER(Upgrades!$Q$12,K211))*Parameters!$B$10*Parameters!$B$11/60)/Upgrades!$C$11,0)),IF(K211&gt;0,0,IFERROR((1.0*(POWER(Upgrades!$P$6,E211)*POWER(Upgrades!$P$7,F211)*POWER(Upgrades!$P$8,G211)*POWER(Upgrades!$P$9,H211)*POWER(Upgrades!$P$10,I211)*POWER(Upgrades!$P$11,J211)*POWER(Upgrades!$P$12,K211))+0.20*M211*Parameters!$B$10*Parameters!$B$11/60)/Upgrades!$C$12,0)),IF(AND(ISNUMBER(AG211),AG211&gt;T211),AS211,0),IF(AND(ISNUMBER(AH211),AH211&gt;T211),AT211,0),IF(AND(ISNUMBER(AI211),AI211&gt;T211),AU211,0),IF(AND(ISNUMBER(AJ211),AJ211&gt;T211),AV211,0))</f>
        <v/>
      </c>
      <c r="AX211" s="29">
        <f>IF(AN211=1,"transition",IF(MIN(IF(AND(I211=0,ISNUMBER(AK211),AK211&lt;=T211),AK211,9E15),IF(AND(J211=0,ISNUMBER(AL211),AL211&lt;=T211),AL211,9E15),IF(AND(K211=0,ISNUMBER(AM211),AM211&lt;=T211),AM211,9E15))&lt;9E15,IF(AND(AND(I211=0,ISNUMBER(AK211),AK211&lt;=T211),AK211=MIN(IF(AND(I211=0,ISNUMBER(AK211),AK211&lt;=T211),AK211,9E15),IF(AND(J211=0,ISNUMBER(AL211),AL211&lt;=T211),AL211,9E15),IF(AND(K211=0,ISNUMBER(AM211),AM211&lt;=T211),AM211,9E15))),"OR",IF(AND(AND(J211=0,ISNUMBER(AL211),AL211&lt;=T211),AL211=MIN(IF(AND(I211=0,ISNUMBER(AK211),AK211&lt;=T211),AK211,9E15),IF(AND(J211=0,ISNUMBER(AL211),AL211&lt;=T211),AL211,9E15),IF(AND(K211=0,ISNUMBER(AM211),AM211&lt;=T211),AM211,9E15))),"HP","FP")),IF(AR211=TRUE,"",IF(MAX(IF(AND(NOT(AND(AO211=1,AN211&lt;&gt;1)),ISNUMBER(AG211),AG211&lt;=T211),AS211,0),IF(AND(NOT(AND(AO211=1,AN211&lt;&gt;1)),ISNUMBER(AH211),AH211&lt;=T211),AT211,0),IF(AND(NOT(AND(AO211=1,AN211&lt;&gt;1)),ISNUMBER(AI211),AI211&lt;=T211),AU211,0),IF(AND(ISNUMBER(AJ211),AJ211&lt;=T211),AV211,0))&lt;=0,"",IF(AND(IF(AND(NOT(AND(AO211=1,AN211&lt;&gt;1)),ISNUMBER(AG211),AG211&lt;=T211),AS211,0)&gt;0,IF(AND(NOT(AND(AO211=1,AN211&lt;&gt;1)),ISNUMBER(AG211),AG211&lt;=T211),AS211,0)=MAX(IF(AND(NOT(AND(AO211=1,AN211&lt;&gt;1)),ISNUMBER(AG211),AG211&lt;=T211),AS211,0),IF(AND(NOT(AND(AO211=1,AN211&lt;&gt;1)),ISNUMBER(AH211),AH211&lt;=T211),AT211,0),IF(AND(NOT(AND(AO211=1,AN211&lt;&gt;1)),ISNUMBER(AI211),AI211&lt;=T211),AU211,0),IF(AND(ISNUMBER(AJ211),AJ211&lt;=T211),AV211,0))),"SW",IF(AND(IF(AND(NOT(AND(AO211=1,AN211&lt;&gt;1)),ISNUMBER(AH211),AH211&lt;=T211),AT211,0)&gt;0,IF(AND(NOT(AND(AO211=1,AN211&lt;&gt;1)),ISNUMBER(AH211),AH211&lt;=T211),AT211,0)=MAX(IF(AND(NOT(AND(AO211=1,AN211&lt;&gt;1)),ISNUMBER(AG211),AG211&lt;=T211),AS211,0),IF(AND(NOT(AND(AO211=1,AN211&lt;&gt;1)),ISNUMBER(AH211),AH211&lt;=T211),AT211,0),IF(AND(NOT(AND(AO211=1,AN211&lt;&gt;1)),ISNUMBER(AI211),AI211&lt;=T211),AU211,0),IF(AND(ISNUMBER(AJ211),AJ211&lt;=T211),AV211,0))),"AB",IF(AND(IF(AND(NOT(AND(AO211=1,AN211&lt;&gt;1)),ISNUMBER(AI211),AI211&lt;=T211),AU211,0)&gt;0,IF(AND(NOT(AND(AO211=1,AN211&lt;&gt;1)),ISNUMBER(AI211),AI211&lt;=T211),AU211,0)=MAX(IF(AND(NOT(AND(AO211=1,AN211&lt;&gt;1)),ISNUMBER(AG211),AG211&lt;=T211),AS211,0),IF(AND(NOT(AND(AO211=1,AN211&lt;&gt;1)),ISNUMBER(AH211),AH211&lt;=T211),AT211,0),IF(AND(NOT(AND(AO211=1,AN211&lt;&gt;1)),ISNUMBER(AI211),AI211&lt;=T211),AU211,0),IF(AND(ISNUMBER(AJ211),AJ211&lt;=T211),AV211,0))),"SC","Mag")))))))</f>
        <v/>
      </c>
    </row>
    <row r="212">
      <c r="A212" s="26" t="n">
        <v>207</v>
      </c>
      <c r="B212" s="27">
        <f>A212*10/60</f>
        <v/>
      </c>
      <c r="C212" s="22">
        <f>X211</f>
        <v/>
      </c>
      <c r="D212" s="27">
        <f>D211+W211</f>
        <v/>
      </c>
      <c r="E212" s="26">
        <f>E211+IF(U211="SW",1,0)</f>
        <v/>
      </c>
      <c r="F212" s="26">
        <f>F211+IF(U211="AB",1,0)</f>
        <v/>
      </c>
      <c r="G212" s="26">
        <f>G211+IF(U211="SC",1,0)</f>
        <v/>
      </c>
      <c r="H212" s="26">
        <f>H211+IF(U211="Mag",1,0)</f>
        <v/>
      </c>
      <c r="I212" s="26">
        <f>MAX(I211,IF(U211="OR",1,0))</f>
        <v/>
      </c>
      <c r="J212" s="26">
        <f>MAX(J211,IF(U211="HP",1,0))</f>
        <v/>
      </c>
      <c r="K212" s="26">
        <f>MAX(K211,IF(U211="FP",1,0))</f>
        <v/>
      </c>
      <c r="L212" s="26">
        <f>MAX(L211,IF(U211="transition",1,0))</f>
        <v/>
      </c>
      <c r="M212" s="28">
        <f>(Parameters!$B$9+(IF(E212=0,0,(Upgrades!$J$6+E212*Upgrades!$K$6)*POWER(Upgrades!$L$6,E212)))*(IF(Upgrades!$T$7="Solar Wind",POWER(Upgrades!$U$7,F212),1)*IF(Upgrades!$T$8="Solar Wind",POWER(Upgrades!$U$8,G212),1)*IF(Upgrades!$T$9="Solar Wind",POWER(Upgrades!$U$9,H212),1)*IF(Upgrades!$T$10="Solar Wind",POWER(Upgrades!$U$10,I212),1)*IF(Upgrades!$T$11="Solar Wind",POWER(Upgrades!$U$11,J212),1)*IF(Upgrades!$T$12="Solar Wind",POWER(Upgrades!$U$12,K212),1))+(IF(F212=0,0,(Upgrades!$J$7+F212*Upgrades!$K$7)*POWER(Upgrades!$L$7,F212)))*(IF(Upgrades!$T$6="Asteroid Belt",POWER(Upgrades!$U$6,E212),1)*IF(Upgrades!$T$8="Asteroid Belt",POWER(Upgrades!$U$8,G212),1)*IF(Upgrades!$T$9="Asteroid Belt",POWER(Upgrades!$U$9,H212),1)*IF(Upgrades!$T$10="Asteroid Belt",POWER(Upgrades!$U$10,I212),1)*IF(Upgrades!$T$11="Asteroid Belt",POWER(Upgrades!$U$11,J212),1)*IF(Upgrades!$T$12="Asteroid Belt",POWER(Upgrades!$U$12,K212),1))+(IF(G212=0,0,(Upgrades!$J$8+G212*Upgrades!$K$8)*POWER(Upgrades!$L$8,G212)))*(IF(Upgrades!$T$6="Stellar Coupling",POWER(Upgrades!$U$6,E212),1)*IF(Upgrades!$T$7="Stellar Coupling",POWER(Upgrades!$U$7,F212),1)*IF(Upgrades!$T$9="Stellar Coupling",POWER(Upgrades!$U$9,H212),1)*IF(Upgrades!$T$10="Stellar Coupling",POWER(Upgrades!$U$10,I212),1)*IF(Upgrades!$T$11="Stellar Coupling",POWER(Upgrades!$U$11,J212),1)*IF(Upgrades!$T$12="Stellar Coupling",POWER(Upgrades!$U$12,K212),1))+(IF(H212=0,0,(Upgrades!$J$9+H212*Upgrades!$K$9)*POWER(Upgrades!$L$9,H212)))*(IF(Upgrades!$T$6="Magnetosphere",POWER(Upgrades!$U$6,E212),1)*IF(Upgrades!$T$7="Magnetosphere",POWER(Upgrades!$U$7,F212),1)*IF(Upgrades!$T$8="Magnetosphere",POWER(Upgrades!$U$8,G212),1)*IF(Upgrades!$T$10="Magnetosphere",POWER(Upgrades!$U$10,I212),1)*IF(Upgrades!$T$11="Magnetosphere",POWER(Upgrades!$U$11,J212),1)*IF(Upgrades!$T$12="Magnetosphere",POWER(Upgrades!$U$12,K212),1))+(IF(I212=0,0,(Upgrades!$J$10+I212*Upgrades!$K$10)*POWER(Upgrades!$L$10,I212)))*(IF(Upgrades!$T$6="Orbital Resonance",POWER(Upgrades!$U$6,E212),1)*IF(Upgrades!$T$7="Orbital Resonance",POWER(Upgrades!$U$7,F212),1)*IF(Upgrades!$T$8="Orbital Resonance",POWER(Upgrades!$U$8,G212),1)*IF(Upgrades!$T$9="Orbital Resonance",POWER(Upgrades!$U$9,H212),1)*IF(Upgrades!$T$11="Orbital Resonance",POWER(Upgrades!$U$11,J212),1)*IF(Upgrades!$T$12="Orbital Resonance",POWER(Upgrades!$U$12,K212),1))+(IF(J212=0,0,(Upgrades!$J$11+J212*Upgrades!$K$11)*POWER(Upgrades!$L$11,J212)))*(IF(Upgrades!$T$6="Heliopause",POWER(Upgrades!$U$6,E212),1)*IF(Upgrades!$T$7="Heliopause",POWER(Upgrades!$U$7,F212),1)*IF(Upgrades!$T$8="Heliopause",POWER(Upgrades!$U$8,G212),1)*IF(Upgrades!$T$9="Heliopause",POWER(Upgrades!$U$9,H212),1)*IF(Upgrades!$T$10="Heliopause",POWER(Upgrades!$U$10,I212),1)*IF(Upgrades!$T$12="Heliopause",POWER(Upgrades!$U$12,K212),1))+(IF(K212=0,0,(Upgrades!$J$12+K212*Upgrades!$K$12)*POWER(Upgrades!$L$12,K212)))*(IF(Upgrades!$T$6="First Photons",POWER(Upgrades!$U$6,E212),1)*IF(Upgrades!$T$7="First Photons",POWER(Upgrades!$U$7,F212),1)*IF(Upgrades!$T$8="First Photons",POWER(Upgrades!$U$8,G212),1)*IF(Upgrades!$T$9="First Photons",POWER(Upgrades!$U$9,H212),1)*IF(Upgrades!$T$10="First Photons",POWER(Upgrades!$U$10,I212),1)*IF(Upgrades!$T$11="First Photons",POWER(Upgrades!$U$11,J212),1)))*POWER(Upgrades!$Q$6,E212)*POWER(Upgrades!$Q$7,F212)*POWER(Upgrades!$Q$8,G212)*POWER(Upgrades!$Q$9,H212)*POWER(Upgrades!$Q$10,I212)*POWER(Upgrades!$Q$11,J212)*POWER(Upgrades!$Q$12,K212)</f>
        <v/>
      </c>
      <c r="N212" s="28">
        <f>((IF(E212=0,0,(Upgrades!$G$6+E212*Upgrades!$H$6)*POWER(Upgrades!$I$6,E212)))*(IF(Upgrades!$T$7="Solar Wind",POWER(Upgrades!$U$7,F212),1)*IF(Upgrades!$T$8="Solar Wind",POWER(Upgrades!$U$8,G212),1)*IF(Upgrades!$T$9="Solar Wind",POWER(Upgrades!$U$9,H212),1)*IF(Upgrades!$T$10="Solar Wind",POWER(Upgrades!$U$10,I212),1)*IF(Upgrades!$T$11="Solar Wind",POWER(Upgrades!$U$11,J212),1)*IF(Upgrades!$T$12="Solar Wind",POWER(Upgrades!$U$12,K212),1))+(IF(F212=0,0,(Upgrades!$G$7+F212*Upgrades!$H$7)*POWER(Upgrades!$I$7,F212)))*(IF(Upgrades!$T$6="Asteroid Belt",POWER(Upgrades!$U$6,E212),1)*IF(Upgrades!$T$8="Asteroid Belt",POWER(Upgrades!$U$8,G212),1)*IF(Upgrades!$T$9="Asteroid Belt",POWER(Upgrades!$U$9,H212),1)*IF(Upgrades!$T$10="Asteroid Belt",POWER(Upgrades!$U$10,I212),1)*IF(Upgrades!$T$11="Asteroid Belt",POWER(Upgrades!$U$11,J212),1)*IF(Upgrades!$T$12="Asteroid Belt",POWER(Upgrades!$U$12,K212),1))+(IF(G212=0,0,(Upgrades!$G$8+G212*Upgrades!$H$8)*POWER(Upgrades!$I$8,G212)))*(IF(Upgrades!$T$6="Stellar Coupling",POWER(Upgrades!$U$6,E212),1)*IF(Upgrades!$T$7="Stellar Coupling",POWER(Upgrades!$U$7,F212),1)*IF(Upgrades!$T$9="Stellar Coupling",POWER(Upgrades!$U$9,H212),1)*IF(Upgrades!$T$10="Stellar Coupling",POWER(Upgrades!$U$10,I212),1)*IF(Upgrades!$T$11="Stellar Coupling",POWER(Upgrades!$U$11,J212),1)*IF(Upgrades!$T$12="Stellar Coupling",POWER(Upgrades!$U$12,K212),1))+(IF(H212=0,0,(Upgrades!$G$9+H212*Upgrades!$H$9)*POWER(Upgrades!$I$9,H212)))*(IF(Upgrades!$T$6="Magnetosphere",POWER(Upgrades!$U$6,E212),1)*IF(Upgrades!$T$7="Magnetosphere",POWER(Upgrades!$U$7,F212),1)*IF(Upgrades!$T$8="Magnetosphere",POWER(Upgrades!$U$8,G212),1)*IF(Upgrades!$T$10="Magnetosphere",POWER(Upgrades!$U$10,I212),1)*IF(Upgrades!$T$11="Magnetosphere",POWER(Upgrades!$U$11,J212),1)*IF(Upgrades!$T$12="Magnetosphere",POWER(Upgrades!$U$12,K212),1))+(IF(I212=0,0,(Upgrades!$G$10+I212*Upgrades!$H$10)*POWER(Upgrades!$I$10,I212)))*(IF(Upgrades!$T$6="Orbital Resonance",POWER(Upgrades!$U$6,E212),1)*IF(Upgrades!$T$7="Orbital Resonance",POWER(Upgrades!$U$7,F212),1)*IF(Upgrades!$T$8="Orbital Resonance",POWER(Upgrades!$U$8,G212),1)*IF(Upgrades!$T$9="Orbital Resonance",POWER(Upgrades!$U$9,H212),1)*IF(Upgrades!$T$11="Orbital Resonance",POWER(Upgrades!$U$11,J212),1)*IF(Upgrades!$T$12="Orbital Resonance",POWER(Upgrades!$U$12,K212),1))+(IF(J212=0,0,(Upgrades!$G$11+J212*Upgrades!$H$11)*POWER(Upgrades!$I$11,J212)))*(IF(Upgrades!$T$6="Heliopause",POWER(Upgrades!$U$6,E212),1)*IF(Upgrades!$T$7="Heliopause",POWER(Upgrades!$U$7,F212),1)*IF(Upgrades!$T$8="Heliopause",POWER(Upgrades!$U$8,G212),1)*IF(Upgrades!$T$9="Heliopause",POWER(Upgrades!$U$9,H212),1)*IF(Upgrades!$T$10="Heliopause",POWER(Upgrades!$U$10,I212),1)*IF(Upgrades!$T$12="Heliopause",POWER(Upgrades!$U$12,K212),1))+(IF(K212=0,0,(Upgrades!$G$12+K212*Upgrades!$H$12)*POWER(Upgrades!$I$12,K212)))*(IF(Upgrades!$T$6="First Photons",POWER(Upgrades!$U$6,E212),1)*IF(Upgrades!$T$7="First Photons",POWER(Upgrades!$U$7,F212),1)*IF(Upgrades!$T$8="First Photons",POWER(Upgrades!$U$8,G212),1)*IF(Upgrades!$T$9="First Photons",POWER(Upgrades!$U$9,H212),1)*IF(Upgrades!$T$10="First Photons",POWER(Upgrades!$U$10,I212),1)*IF(Upgrades!$T$11="First Photons",POWER(Upgrades!$U$11,J212),1)))*POWER(Upgrades!$P$6,E212)*POWER(Upgrades!$P$7,F212)*POWER(Upgrades!$P$8,G212)*POWER(Upgrades!$P$9,H212)*POWER(Upgrades!$P$10,I212)*POWER(Upgrades!$P$11,J212)*POWER(Upgrades!$P$12,K212)</f>
        <v/>
      </c>
      <c r="O212" s="28">
        <f>((IF(E212=0,0,(Upgrades!$M$6+E212*Upgrades!$N$6)*POWER(Upgrades!$O$6,E212)))*(IF(Upgrades!$T$7="Solar Wind",POWER(Upgrades!$U$7,F212),1)*IF(Upgrades!$T$8="Solar Wind",POWER(Upgrades!$U$8,G212),1)*IF(Upgrades!$T$9="Solar Wind",POWER(Upgrades!$U$9,H212),1)*IF(Upgrades!$T$10="Solar Wind",POWER(Upgrades!$U$10,I212),1)*IF(Upgrades!$T$11="Solar Wind",POWER(Upgrades!$U$11,J212),1)*IF(Upgrades!$T$12="Solar Wind",POWER(Upgrades!$U$12,K212),1))+(IF(F212=0,0,(Upgrades!$M$7+F212*Upgrades!$N$7)*POWER(Upgrades!$O$7,F212)))*(IF(Upgrades!$T$6="Asteroid Belt",POWER(Upgrades!$U$6,E212),1)*IF(Upgrades!$T$8="Asteroid Belt",POWER(Upgrades!$U$8,G212),1)*IF(Upgrades!$T$9="Asteroid Belt",POWER(Upgrades!$U$9,H212),1)*IF(Upgrades!$T$10="Asteroid Belt",POWER(Upgrades!$U$10,I212),1)*IF(Upgrades!$T$11="Asteroid Belt",POWER(Upgrades!$U$11,J212),1)*IF(Upgrades!$T$12="Asteroid Belt",POWER(Upgrades!$U$12,K212),1))+(IF(G212=0,0,(Upgrades!$M$8+G212*Upgrades!$N$8)*POWER(Upgrades!$O$8,G212)))*(IF(Upgrades!$T$6="Stellar Coupling",POWER(Upgrades!$U$6,E212),1)*IF(Upgrades!$T$7="Stellar Coupling",POWER(Upgrades!$U$7,F212),1)*IF(Upgrades!$T$9="Stellar Coupling",POWER(Upgrades!$U$9,H212),1)*IF(Upgrades!$T$10="Stellar Coupling",POWER(Upgrades!$U$10,I212),1)*IF(Upgrades!$T$11="Stellar Coupling",POWER(Upgrades!$U$11,J212),1)*IF(Upgrades!$T$12="Stellar Coupling",POWER(Upgrades!$U$12,K212),1))+(IF(H212=0,0,(Upgrades!$M$9+H212*Upgrades!$N$9)*POWER(Upgrades!$O$9,H212)))*(IF(Upgrades!$T$6="Magnetosphere",POWER(Upgrades!$U$6,E212),1)*IF(Upgrades!$T$7="Magnetosphere",POWER(Upgrades!$U$7,F212),1)*IF(Upgrades!$T$8="Magnetosphere",POWER(Upgrades!$U$8,G212),1)*IF(Upgrades!$T$10="Magnetosphere",POWER(Upgrades!$U$10,I212),1)*IF(Upgrades!$T$11="Magnetosphere",POWER(Upgrades!$U$11,J212),1)*IF(Upgrades!$T$12="Magnetosphere",POWER(Upgrades!$U$12,K212),1))+(IF(I212=0,0,(Upgrades!$M$10+I212*Upgrades!$N$10)*POWER(Upgrades!$O$10,I212)))*(IF(Upgrades!$T$6="Orbital Resonance",POWER(Upgrades!$U$6,E212),1)*IF(Upgrades!$T$7="Orbital Resonance",POWER(Upgrades!$U$7,F212),1)*IF(Upgrades!$T$8="Orbital Resonance",POWER(Upgrades!$U$8,G212),1)*IF(Upgrades!$T$9="Orbital Resonance",POWER(Upgrades!$U$9,H212),1)*IF(Upgrades!$T$11="Orbital Resonance",POWER(Upgrades!$U$11,J212),1)*IF(Upgrades!$T$12="Orbital Resonance",POWER(Upgrades!$U$12,K212),1))+(IF(J212=0,0,(Upgrades!$M$11+J212*Upgrades!$N$11)*POWER(Upgrades!$O$11,J212)))*(IF(Upgrades!$T$6="Heliopause",POWER(Upgrades!$U$6,E212),1)*IF(Upgrades!$T$7="Heliopause",POWER(Upgrades!$U$7,F212),1)*IF(Upgrades!$T$8="Heliopause",POWER(Upgrades!$U$8,G212),1)*IF(Upgrades!$T$9="Heliopause",POWER(Upgrades!$U$9,H212),1)*IF(Upgrades!$T$10="Heliopause",POWER(Upgrades!$U$10,I212),1)*IF(Upgrades!$T$12="Heliopause",POWER(Upgrades!$U$12,K212),1))+(IF(K212=0,0,(Upgrades!$M$12+K212*Upgrades!$N$12)*POWER(Upgrades!$O$12,K212)))*(IF(Upgrades!$T$6="First Photons",POWER(Upgrades!$U$6,E212),1)*IF(Upgrades!$T$7="First Photons",POWER(Upgrades!$U$7,F212),1)*IF(Upgrades!$T$8="First Photons",POWER(Upgrades!$U$8,G212),1)*IF(Upgrades!$T$9="First Photons",POWER(Upgrades!$U$9,H212),1)*IF(Upgrades!$T$10="First Photons",POWER(Upgrades!$U$10,I212),1)*IF(Upgrades!$T$11="First Photons",POWER(Upgrades!$U$11,J212),1)))*POWER(Upgrades!$R$6,E212)*POWER(Upgrades!$R$7,F212)*POWER(Upgrades!$R$8,G212)*POWER(Upgrades!$R$9,H212)*POWER(Upgrades!$R$10,I212)*POWER(Upgrades!$R$11,J212)*POWER(Upgrades!$R$12,K212)</f>
        <v/>
      </c>
      <c r="P212" s="27">
        <f>IF(L212=1,0,M212*Parameters!$B$10/60*Parameters!$B$11*10)</f>
        <v/>
      </c>
      <c r="Q212" s="27">
        <f>IF(L212=1,0,O212*M212*10)</f>
        <v/>
      </c>
      <c r="R212" s="27">
        <f>IF(L212=1,0,N212*10)</f>
        <v/>
      </c>
      <c r="S212" s="27">
        <f>P212+Q212+R212</f>
        <v/>
      </c>
      <c r="T212" s="22">
        <f>C212+S212</f>
        <v/>
      </c>
      <c r="U212" s="33">
        <f>AX212</f>
        <v/>
      </c>
      <c r="V212" s="22">
        <f>IF(U212="",0,IF(U212="transition",0,IF(U212="SW",AG212,IF(U212="AB",AH212,IF(U212="SC",AI212,IF(U212="Mag",AJ212,IF(U212="OR",AK212,IF(U212="HP",AL212,IF(U212="FP",AM212,0)))))))))</f>
        <v/>
      </c>
      <c r="W212" s="27">
        <f>IF(U212="OR",Upgrades!$F$10,IF(U212="HP",Upgrades!$F$11,IF(U212="transition",-Parameters!$B$18,0)))</f>
        <v/>
      </c>
      <c r="X212" s="22">
        <f>T212-V212</f>
        <v/>
      </c>
      <c r="Y212" s="30">
        <f>M212*Parameters!$B$10/60*Parameters!$B$11+O212*M212+N212</f>
        <v/>
      </c>
      <c r="Z212" s="34">
        <f>IF(U212="transition","→ Tier 2 (Stellar Neighborhood)",IF(U212="FP","First Photons — light begins, system quickens",IF(U212="HP","Heliopause acquired",IF(U212="OR","Orbital Resonance — passive multiplier active",IF(AND(AO212=1,L212=0,AN212&lt;&gt;1),"Cohesion ready (waiting on completionist upgrades)","")))))</f>
        <v/>
      </c>
      <c r="AA212" s="27">
        <f>(IF(E212=0,0,(Upgrades!$G$6+E212*Upgrades!$H$6)*POWER(Upgrades!$I$6,E212)))*(IF(Upgrades!$T$7="Solar Wind",POWER(Upgrades!$U$7,F212),1)*IF(Upgrades!$T$8="Solar Wind",POWER(Upgrades!$U$8,G212),1)*IF(Upgrades!$T$9="Solar Wind",POWER(Upgrades!$U$9,H212),1)*IF(Upgrades!$T$10="Solar Wind",POWER(Upgrades!$U$10,I212),1)*IF(Upgrades!$T$11="Solar Wind",POWER(Upgrades!$U$11,J212),1)*IF(Upgrades!$T$12="Solar Wind",POWER(Upgrades!$U$12,K212),1))*POWER(Upgrades!$P$6,E212)*POWER(Upgrades!$P$7,F212)*POWER(Upgrades!$P$8,G212)*POWER(Upgrades!$P$9,H212)*POWER(Upgrades!$P$10,I212)*POWER(Upgrades!$P$11,J212)*POWER(Upgrades!$P$12,K212)*60</f>
        <v/>
      </c>
      <c r="AB212" s="27">
        <f>(IF(F212=0,0,(Upgrades!$G$7+F212*Upgrades!$H$7)*POWER(Upgrades!$I$7,F212)))*(IF(Upgrades!$T$6="Asteroid Belt",POWER(Upgrades!$U$6,E212),1)*IF(Upgrades!$T$8="Asteroid Belt",POWER(Upgrades!$U$8,G212),1)*IF(Upgrades!$T$9="Asteroid Belt",POWER(Upgrades!$U$9,H212),1)*IF(Upgrades!$T$10="Asteroid Belt",POWER(Upgrades!$U$10,I212),1)*IF(Upgrades!$T$11="Asteroid Belt",POWER(Upgrades!$U$11,J212),1)*IF(Upgrades!$T$12="Asteroid Belt",POWER(Upgrades!$U$12,K212),1))*POWER(Upgrades!$P$6,E212)*POWER(Upgrades!$P$7,F212)*POWER(Upgrades!$P$8,G212)*POWER(Upgrades!$P$9,H212)*POWER(Upgrades!$P$10,I212)*POWER(Upgrades!$P$11,J212)*POWER(Upgrades!$P$12,K212)*60</f>
        <v/>
      </c>
      <c r="AC212" s="27">
        <f>(IF(G212=0,0,(Upgrades!$J$8+G212*Upgrades!$K$8)*POWER(Upgrades!$L$8,G212)))*(IF(Upgrades!$T$6="Stellar Coupling",POWER(Upgrades!$U$6,E212),1)*IF(Upgrades!$T$7="Stellar Coupling",POWER(Upgrades!$U$7,F212),1)*IF(Upgrades!$T$9="Stellar Coupling",POWER(Upgrades!$U$9,H212),1)*IF(Upgrades!$T$10="Stellar Coupling",POWER(Upgrades!$U$10,I212),1)*IF(Upgrades!$T$11="Stellar Coupling",POWER(Upgrades!$U$11,J212),1)*IF(Upgrades!$T$12="Stellar Coupling",POWER(Upgrades!$U$12,K212),1))*POWER(Upgrades!$Q$6,E212)*POWER(Upgrades!$Q$7,F212)*POWER(Upgrades!$Q$8,G212)*POWER(Upgrades!$Q$9,H212)*POWER(Upgrades!$Q$10,I212)*POWER(Upgrades!$Q$11,J212)*POWER(Upgrades!$Q$12,K212)*Parameters!$B$10*Parameters!$B$11</f>
        <v/>
      </c>
      <c r="AD212" s="27">
        <f>(IF(H212=0,0,(Upgrades!$G$9+H212*Upgrades!$H$9)*POWER(Upgrades!$I$9,H212)))*(IF(Upgrades!$T$6="Magnetosphere",POWER(Upgrades!$U$6,E212),1)*IF(Upgrades!$T$7="Magnetosphere",POWER(Upgrades!$U$7,F212),1)*IF(Upgrades!$T$8="Magnetosphere",POWER(Upgrades!$U$8,G212),1)*IF(Upgrades!$T$10="Magnetosphere",POWER(Upgrades!$U$10,I212),1)*IF(Upgrades!$T$11="Magnetosphere",POWER(Upgrades!$U$11,J212),1)*IF(Upgrades!$T$12="Magnetosphere",POWER(Upgrades!$U$12,K212),1))*POWER(Upgrades!$P$6,E212)*POWER(Upgrades!$P$7,F212)*POWER(Upgrades!$P$8,G212)*POWER(Upgrades!$P$9,H212)*POWER(Upgrades!$P$10,I212)*POWER(Upgrades!$P$11,J212)*POWER(Upgrades!$P$12,K212)*60</f>
        <v/>
      </c>
      <c r="AE212" s="27">
        <f>(IF(K212=0,0,(Upgrades!$G$12+K212*Upgrades!$H$12)*POWER(Upgrades!$I$12,K212)))*(IF(Upgrades!$T$6="First Photons",POWER(Upgrades!$U$6,E212),1)*IF(Upgrades!$T$7="First Photons",POWER(Upgrades!$U$7,F212),1)*IF(Upgrades!$T$8="First Photons",POWER(Upgrades!$U$8,G212),1)*IF(Upgrades!$T$9="First Photons",POWER(Upgrades!$U$9,H212),1)*IF(Upgrades!$T$10="First Photons",POWER(Upgrades!$U$10,I212),1)*IF(Upgrades!$T$11="First Photons",POWER(Upgrades!$U$11,J212),1))*POWER(Upgrades!$P$6,E212)*POWER(Upgrades!$P$7,F212)*POWER(Upgrades!$P$8,G212)*POWER(Upgrades!$P$9,H212)*POWER(Upgrades!$P$10,I212)*POWER(Upgrades!$P$11,J212)*POWER(Upgrades!$P$12,K212)*60</f>
        <v/>
      </c>
      <c r="AF212" s="27">
        <f>Parameters!$B$9*POWER(Upgrades!$Q$6,E212)*POWER(Upgrades!$Q$7,F212)*POWER(Upgrades!$Q$8,G212)*POWER(Upgrades!$Q$9,H212)*POWER(Upgrades!$Q$10,I212)*POWER(Upgrades!$Q$11,J212)*POWER(Upgrades!$Q$12,K212)*(Parameters!$B$10*Parameters!$B$11+O212*60)</f>
        <v/>
      </c>
      <c r="AG212" s="22">
        <f>IF(E212&gt;=Upgrades!$E$6,"",Upgrades!$C$6*POWER(Upgrades!$D$6,E212))</f>
        <v/>
      </c>
      <c r="AH212" s="22">
        <f>IF(F212&gt;=Upgrades!$E$7,"",Upgrades!$C$7*POWER(Upgrades!$D$7,F212))</f>
        <v/>
      </c>
      <c r="AI212" s="22">
        <f>IF(G212&gt;=Upgrades!$E$8,"",Upgrades!$C$8*POWER(Upgrades!$D$8,G212))</f>
        <v/>
      </c>
      <c r="AJ212" s="22">
        <f>IF(H212&gt;=Upgrades!$E$9,"",Upgrades!$C$9*POWER(Upgrades!$D$9,H212))</f>
        <v/>
      </c>
      <c r="AK212" s="22">
        <f>IF(I212&gt;=Upgrades!$E$10,"",Upgrades!$C$10*POWER(Upgrades!$D$10,I212))</f>
        <v/>
      </c>
      <c r="AL212" s="22">
        <f>IF(J212&gt;=Upgrades!$E$11,"",Upgrades!$C$11*POWER(Upgrades!$D$11,J212))</f>
        <v/>
      </c>
      <c r="AM212" s="22">
        <f>IF(K212&gt;=Upgrades!$E$12,"",Upgrades!$C$12*POWER(Upgrades!$D$12,K212))</f>
        <v/>
      </c>
      <c r="AN212" s="26">
        <f>IF(AND(D212&gt;=Parameters!$B$18,(H212&gt;=Upgrades!$E$9)*(K212&gt;=Upgrades!$E$12)=1,L212=0),1,"")</f>
        <v/>
      </c>
      <c r="AO212" s="26">
        <f>IF(AND(D212&gt;=Parameters!$B$18,L212=0),1,"")</f>
        <v/>
      </c>
      <c r="AP212" s="22">
        <f>MIN(IF(ISNUMBER(AK212),AK212,9E15),IF(ISNUMBER(AL212),AL212,9E15),IF(ISNUMBER(AM212),AM212,9E15))</f>
        <v/>
      </c>
      <c r="AQ212" s="22">
        <f>MIN(IF(ISNUMBER(AG212),AG212,9E15),IF(ISNUMBER(AH212),AH212,9E15),IF(ISNUMBER(AI212),AI212,9E15),IF(ISNUMBER(AJ212),AJ212,9E15))</f>
        <v/>
      </c>
      <c r="AR212" s="29">
        <f>IF(AW212&gt;Parameters!$B$21*(MAX(IF(AND(NOT(AND(AO212=1,AN212&lt;&gt;1)),ISNUMBER(AG212),AG212&lt;=T212),AS212,0),IF(AND(NOT(AND(AO212=1,AN212&lt;&gt;1)),ISNUMBER(AH212),AH212&lt;=T212),AT212,0),IF(AND(NOT(AND(AO212=1,AN212&lt;&gt;1)),ISNUMBER(AI212),AI212&lt;=T212),AU212,0),IF(AND(ISNUMBER(AJ212),AJ212&lt;=T212),AV212,0))),TRUE,FALSE)</f>
        <v/>
      </c>
      <c r="AS212" s="32">
        <f>IFERROR(Upgrades!$H$6*(POWER(Upgrades!$P$6,E212)*POWER(Upgrades!$P$7,F212)*POWER(Upgrades!$P$8,G212)*POWER(Upgrades!$P$9,H212)*POWER(Upgrades!$P$10,I212)*POWER(Upgrades!$P$11,J212)*POWER(Upgrades!$P$12,K212))*(IF(Upgrades!$T$7="Solar Wind",POWER(Upgrades!$U$7,F212),1)*IF(Upgrades!$T$8="Solar Wind",POWER(Upgrades!$U$8,G212),1)*IF(Upgrades!$T$9="Solar Wind",POWER(Upgrades!$U$9,H212),1)*IF(Upgrades!$T$10="Solar Wind",POWER(Upgrades!$U$10,I212),1)*IF(Upgrades!$T$11="Solar Wind",POWER(Upgrades!$U$11,J212),1)*IF(Upgrades!$T$12="Solar Wind",POWER(Upgrades!$U$12,K212),1))/AG212,0)</f>
        <v/>
      </c>
      <c r="AT212" s="32">
        <f>IFERROR(Upgrades!$H$7*(POWER(Upgrades!$P$6,E212)*POWER(Upgrades!$P$7,F212)*POWER(Upgrades!$P$8,G212)*POWER(Upgrades!$P$9,H212)*POWER(Upgrades!$P$10,I212)*POWER(Upgrades!$P$11,J212)*POWER(Upgrades!$P$12,K212))*(IF(Upgrades!$T$6="Asteroid Belt",POWER(Upgrades!$U$6,E212),1)*IF(Upgrades!$T$8="Asteroid Belt",POWER(Upgrades!$U$8,G212),1)*IF(Upgrades!$T$9="Asteroid Belt",POWER(Upgrades!$U$9,H212),1)*IF(Upgrades!$T$10="Asteroid Belt",POWER(Upgrades!$U$10,I212),1)*IF(Upgrades!$T$11="Asteroid Belt",POWER(Upgrades!$U$11,J212),1)*IF(Upgrades!$T$12="Asteroid Belt",POWER(Upgrades!$U$12,K212),1))/AH212,0)</f>
        <v/>
      </c>
      <c r="AU212" s="32">
        <f>IFERROR(Upgrades!$K$8*(POWER(Upgrades!$Q$6,E212)*POWER(Upgrades!$Q$7,F212)*POWER(Upgrades!$Q$8,G212)*POWER(Upgrades!$Q$9,H212)*POWER(Upgrades!$Q$10,I212)*POWER(Upgrades!$Q$11,J212)*POWER(Upgrades!$Q$12,K212))*(IF(Upgrades!$T$6="Stellar Coupling",POWER(Upgrades!$U$6,E212),1)*IF(Upgrades!$T$7="Stellar Coupling",POWER(Upgrades!$U$7,F212),1)*IF(Upgrades!$T$9="Stellar Coupling",POWER(Upgrades!$U$9,H212),1)*IF(Upgrades!$T$10="Stellar Coupling",POWER(Upgrades!$U$10,I212),1)*IF(Upgrades!$T$11="Stellar Coupling",POWER(Upgrades!$U$11,J212),1)*IF(Upgrades!$T$12="Stellar Coupling",POWER(Upgrades!$U$12,K212),1))*Parameters!$B$10*Parameters!$B$11/60/AI212,0)</f>
        <v/>
      </c>
      <c r="AV212" s="32">
        <f>IFERROR(Upgrades!$H$9*(POWER(Upgrades!$P$6,E212)*POWER(Upgrades!$P$7,F212)*POWER(Upgrades!$P$8,G212)*POWER(Upgrades!$P$9,H212)*POWER(Upgrades!$P$10,I212)*POWER(Upgrades!$P$11,J212)*POWER(Upgrades!$P$12,K212))*(IF(Upgrades!$T$6="Magnetosphere",POWER(Upgrades!$U$6,E212),1)*IF(Upgrades!$T$7="Magnetosphere",POWER(Upgrades!$U$7,F212),1)*IF(Upgrades!$T$8="Magnetosphere",POWER(Upgrades!$U$8,G212),1)*IF(Upgrades!$T$10="Magnetosphere",POWER(Upgrades!$U$10,I212),1)*IF(Upgrades!$T$11="Magnetosphere",POWER(Upgrades!$U$11,J212),1)*IF(Upgrades!$T$12="Magnetosphere",POWER(Upgrades!$U$12,K212),1))/AJ212,0)</f>
        <v/>
      </c>
      <c r="AW212" s="32">
        <f>MAX(IF(I212&gt;0,0,IFERROR(0.25*N212/Upgrades!$C$10,0)),IF(J212&gt;0,0,IFERROR(0.5*((IF(G212=0,0,(Upgrades!$J$8+G212*Upgrades!$K$8)*POWER(Upgrades!$L$8,G212)))*(IF(Upgrades!$T$6="Stellar Coupling",POWER(Upgrades!$U$6,E212),1)*IF(Upgrades!$T$7="Stellar Coupling",POWER(Upgrades!$U$7,F212),1)*IF(Upgrades!$T$9="Stellar Coupling",POWER(Upgrades!$U$9,H212),1)*IF(Upgrades!$T$10="Stellar Coupling",POWER(Upgrades!$U$10,I212),1)*IF(Upgrades!$T$11="Stellar Coupling",POWER(Upgrades!$U$11,J212),1)*IF(Upgrades!$T$12="Stellar Coupling",POWER(Upgrades!$U$12,K212),1))*(POWER(Upgrades!$Q$6,E212)*POWER(Upgrades!$Q$7,F212)*POWER(Upgrades!$Q$8,G212)*POWER(Upgrades!$Q$9,H212)*POWER(Upgrades!$Q$10,I212)*POWER(Upgrades!$Q$11,J212)*POWER(Upgrades!$Q$12,K212))*Parameters!$B$10*Parameters!$B$11/60)/Upgrades!$C$11,0)),IF(K212&gt;0,0,IFERROR((1.0*(POWER(Upgrades!$P$6,E212)*POWER(Upgrades!$P$7,F212)*POWER(Upgrades!$P$8,G212)*POWER(Upgrades!$P$9,H212)*POWER(Upgrades!$P$10,I212)*POWER(Upgrades!$P$11,J212)*POWER(Upgrades!$P$12,K212))+0.20*M212*Parameters!$B$10*Parameters!$B$11/60)/Upgrades!$C$12,0)),IF(AND(ISNUMBER(AG212),AG212&gt;T212),AS212,0),IF(AND(ISNUMBER(AH212),AH212&gt;T212),AT212,0),IF(AND(ISNUMBER(AI212),AI212&gt;T212),AU212,0),IF(AND(ISNUMBER(AJ212),AJ212&gt;T212),AV212,0))</f>
        <v/>
      </c>
      <c r="AX212" s="29">
        <f>IF(AN212=1,"transition",IF(MIN(IF(AND(I212=0,ISNUMBER(AK212),AK212&lt;=T212),AK212,9E15),IF(AND(J212=0,ISNUMBER(AL212),AL212&lt;=T212),AL212,9E15),IF(AND(K212=0,ISNUMBER(AM212),AM212&lt;=T212),AM212,9E15))&lt;9E15,IF(AND(AND(I212=0,ISNUMBER(AK212),AK212&lt;=T212),AK212=MIN(IF(AND(I212=0,ISNUMBER(AK212),AK212&lt;=T212),AK212,9E15),IF(AND(J212=0,ISNUMBER(AL212),AL212&lt;=T212),AL212,9E15),IF(AND(K212=0,ISNUMBER(AM212),AM212&lt;=T212),AM212,9E15))),"OR",IF(AND(AND(J212=0,ISNUMBER(AL212),AL212&lt;=T212),AL212=MIN(IF(AND(I212=0,ISNUMBER(AK212),AK212&lt;=T212),AK212,9E15),IF(AND(J212=0,ISNUMBER(AL212),AL212&lt;=T212),AL212,9E15),IF(AND(K212=0,ISNUMBER(AM212),AM212&lt;=T212),AM212,9E15))),"HP","FP")),IF(AR212=TRUE,"",IF(MAX(IF(AND(NOT(AND(AO212=1,AN212&lt;&gt;1)),ISNUMBER(AG212),AG212&lt;=T212),AS212,0),IF(AND(NOT(AND(AO212=1,AN212&lt;&gt;1)),ISNUMBER(AH212),AH212&lt;=T212),AT212,0),IF(AND(NOT(AND(AO212=1,AN212&lt;&gt;1)),ISNUMBER(AI212),AI212&lt;=T212),AU212,0),IF(AND(ISNUMBER(AJ212),AJ212&lt;=T212),AV212,0))&lt;=0,"",IF(AND(IF(AND(NOT(AND(AO212=1,AN212&lt;&gt;1)),ISNUMBER(AG212),AG212&lt;=T212),AS212,0)&gt;0,IF(AND(NOT(AND(AO212=1,AN212&lt;&gt;1)),ISNUMBER(AG212),AG212&lt;=T212),AS212,0)=MAX(IF(AND(NOT(AND(AO212=1,AN212&lt;&gt;1)),ISNUMBER(AG212),AG212&lt;=T212),AS212,0),IF(AND(NOT(AND(AO212=1,AN212&lt;&gt;1)),ISNUMBER(AH212),AH212&lt;=T212),AT212,0),IF(AND(NOT(AND(AO212=1,AN212&lt;&gt;1)),ISNUMBER(AI212),AI212&lt;=T212),AU212,0),IF(AND(ISNUMBER(AJ212),AJ212&lt;=T212),AV212,0))),"SW",IF(AND(IF(AND(NOT(AND(AO212=1,AN212&lt;&gt;1)),ISNUMBER(AH212),AH212&lt;=T212),AT212,0)&gt;0,IF(AND(NOT(AND(AO212=1,AN212&lt;&gt;1)),ISNUMBER(AH212),AH212&lt;=T212),AT212,0)=MAX(IF(AND(NOT(AND(AO212=1,AN212&lt;&gt;1)),ISNUMBER(AG212),AG212&lt;=T212),AS212,0),IF(AND(NOT(AND(AO212=1,AN212&lt;&gt;1)),ISNUMBER(AH212),AH212&lt;=T212),AT212,0),IF(AND(NOT(AND(AO212=1,AN212&lt;&gt;1)),ISNUMBER(AI212),AI212&lt;=T212),AU212,0),IF(AND(ISNUMBER(AJ212),AJ212&lt;=T212),AV212,0))),"AB",IF(AND(IF(AND(NOT(AND(AO212=1,AN212&lt;&gt;1)),ISNUMBER(AI212),AI212&lt;=T212),AU212,0)&gt;0,IF(AND(NOT(AND(AO212=1,AN212&lt;&gt;1)),ISNUMBER(AI212),AI212&lt;=T212),AU212,0)=MAX(IF(AND(NOT(AND(AO212=1,AN212&lt;&gt;1)),ISNUMBER(AG212),AG212&lt;=T212),AS212,0),IF(AND(NOT(AND(AO212=1,AN212&lt;&gt;1)),ISNUMBER(AH212),AH212&lt;=T212),AT212,0),IF(AND(NOT(AND(AO212=1,AN212&lt;&gt;1)),ISNUMBER(AI212),AI212&lt;=T212),AU212,0),IF(AND(ISNUMBER(AJ212),AJ212&lt;=T212),AV212,0))),"SC","Mag")))))))</f>
        <v/>
      </c>
    </row>
    <row r="213">
      <c r="A213" s="26" t="n">
        <v>208</v>
      </c>
      <c r="B213" s="27">
        <f>A213*10/60</f>
        <v/>
      </c>
      <c r="C213" s="22">
        <f>X212</f>
        <v/>
      </c>
      <c r="D213" s="27">
        <f>D212+W212</f>
        <v/>
      </c>
      <c r="E213" s="26">
        <f>E212+IF(U212="SW",1,0)</f>
        <v/>
      </c>
      <c r="F213" s="26">
        <f>F212+IF(U212="AB",1,0)</f>
        <v/>
      </c>
      <c r="G213" s="26">
        <f>G212+IF(U212="SC",1,0)</f>
        <v/>
      </c>
      <c r="H213" s="26">
        <f>H212+IF(U212="Mag",1,0)</f>
        <v/>
      </c>
      <c r="I213" s="26">
        <f>MAX(I212,IF(U212="OR",1,0))</f>
        <v/>
      </c>
      <c r="J213" s="26">
        <f>MAX(J212,IF(U212="HP",1,0))</f>
        <v/>
      </c>
      <c r="K213" s="26">
        <f>MAX(K212,IF(U212="FP",1,0))</f>
        <v/>
      </c>
      <c r="L213" s="26">
        <f>MAX(L212,IF(U212="transition",1,0))</f>
        <v/>
      </c>
      <c r="M213" s="28">
        <f>(Parameters!$B$9+(IF(E213=0,0,(Upgrades!$J$6+E213*Upgrades!$K$6)*POWER(Upgrades!$L$6,E213)))*(IF(Upgrades!$T$7="Solar Wind",POWER(Upgrades!$U$7,F213),1)*IF(Upgrades!$T$8="Solar Wind",POWER(Upgrades!$U$8,G213),1)*IF(Upgrades!$T$9="Solar Wind",POWER(Upgrades!$U$9,H213),1)*IF(Upgrades!$T$10="Solar Wind",POWER(Upgrades!$U$10,I213),1)*IF(Upgrades!$T$11="Solar Wind",POWER(Upgrades!$U$11,J213),1)*IF(Upgrades!$T$12="Solar Wind",POWER(Upgrades!$U$12,K213),1))+(IF(F213=0,0,(Upgrades!$J$7+F213*Upgrades!$K$7)*POWER(Upgrades!$L$7,F213)))*(IF(Upgrades!$T$6="Asteroid Belt",POWER(Upgrades!$U$6,E213),1)*IF(Upgrades!$T$8="Asteroid Belt",POWER(Upgrades!$U$8,G213),1)*IF(Upgrades!$T$9="Asteroid Belt",POWER(Upgrades!$U$9,H213),1)*IF(Upgrades!$T$10="Asteroid Belt",POWER(Upgrades!$U$10,I213),1)*IF(Upgrades!$T$11="Asteroid Belt",POWER(Upgrades!$U$11,J213),1)*IF(Upgrades!$T$12="Asteroid Belt",POWER(Upgrades!$U$12,K213),1))+(IF(G213=0,0,(Upgrades!$J$8+G213*Upgrades!$K$8)*POWER(Upgrades!$L$8,G213)))*(IF(Upgrades!$T$6="Stellar Coupling",POWER(Upgrades!$U$6,E213),1)*IF(Upgrades!$T$7="Stellar Coupling",POWER(Upgrades!$U$7,F213),1)*IF(Upgrades!$T$9="Stellar Coupling",POWER(Upgrades!$U$9,H213),1)*IF(Upgrades!$T$10="Stellar Coupling",POWER(Upgrades!$U$10,I213),1)*IF(Upgrades!$T$11="Stellar Coupling",POWER(Upgrades!$U$11,J213),1)*IF(Upgrades!$T$12="Stellar Coupling",POWER(Upgrades!$U$12,K213),1))+(IF(H213=0,0,(Upgrades!$J$9+H213*Upgrades!$K$9)*POWER(Upgrades!$L$9,H213)))*(IF(Upgrades!$T$6="Magnetosphere",POWER(Upgrades!$U$6,E213),1)*IF(Upgrades!$T$7="Magnetosphere",POWER(Upgrades!$U$7,F213),1)*IF(Upgrades!$T$8="Magnetosphere",POWER(Upgrades!$U$8,G213),1)*IF(Upgrades!$T$10="Magnetosphere",POWER(Upgrades!$U$10,I213),1)*IF(Upgrades!$T$11="Magnetosphere",POWER(Upgrades!$U$11,J213),1)*IF(Upgrades!$T$12="Magnetosphere",POWER(Upgrades!$U$12,K213),1))+(IF(I213=0,0,(Upgrades!$J$10+I213*Upgrades!$K$10)*POWER(Upgrades!$L$10,I213)))*(IF(Upgrades!$T$6="Orbital Resonance",POWER(Upgrades!$U$6,E213),1)*IF(Upgrades!$T$7="Orbital Resonance",POWER(Upgrades!$U$7,F213),1)*IF(Upgrades!$T$8="Orbital Resonance",POWER(Upgrades!$U$8,G213),1)*IF(Upgrades!$T$9="Orbital Resonance",POWER(Upgrades!$U$9,H213),1)*IF(Upgrades!$T$11="Orbital Resonance",POWER(Upgrades!$U$11,J213),1)*IF(Upgrades!$T$12="Orbital Resonance",POWER(Upgrades!$U$12,K213),1))+(IF(J213=0,0,(Upgrades!$J$11+J213*Upgrades!$K$11)*POWER(Upgrades!$L$11,J213)))*(IF(Upgrades!$T$6="Heliopause",POWER(Upgrades!$U$6,E213),1)*IF(Upgrades!$T$7="Heliopause",POWER(Upgrades!$U$7,F213),1)*IF(Upgrades!$T$8="Heliopause",POWER(Upgrades!$U$8,G213),1)*IF(Upgrades!$T$9="Heliopause",POWER(Upgrades!$U$9,H213),1)*IF(Upgrades!$T$10="Heliopause",POWER(Upgrades!$U$10,I213),1)*IF(Upgrades!$T$12="Heliopause",POWER(Upgrades!$U$12,K213),1))+(IF(K213=0,0,(Upgrades!$J$12+K213*Upgrades!$K$12)*POWER(Upgrades!$L$12,K213)))*(IF(Upgrades!$T$6="First Photons",POWER(Upgrades!$U$6,E213),1)*IF(Upgrades!$T$7="First Photons",POWER(Upgrades!$U$7,F213),1)*IF(Upgrades!$T$8="First Photons",POWER(Upgrades!$U$8,G213),1)*IF(Upgrades!$T$9="First Photons",POWER(Upgrades!$U$9,H213),1)*IF(Upgrades!$T$10="First Photons",POWER(Upgrades!$U$10,I213),1)*IF(Upgrades!$T$11="First Photons",POWER(Upgrades!$U$11,J213),1)))*POWER(Upgrades!$Q$6,E213)*POWER(Upgrades!$Q$7,F213)*POWER(Upgrades!$Q$8,G213)*POWER(Upgrades!$Q$9,H213)*POWER(Upgrades!$Q$10,I213)*POWER(Upgrades!$Q$11,J213)*POWER(Upgrades!$Q$12,K213)</f>
        <v/>
      </c>
      <c r="N213" s="28">
        <f>((IF(E213=0,0,(Upgrades!$G$6+E213*Upgrades!$H$6)*POWER(Upgrades!$I$6,E213)))*(IF(Upgrades!$T$7="Solar Wind",POWER(Upgrades!$U$7,F213),1)*IF(Upgrades!$T$8="Solar Wind",POWER(Upgrades!$U$8,G213),1)*IF(Upgrades!$T$9="Solar Wind",POWER(Upgrades!$U$9,H213),1)*IF(Upgrades!$T$10="Solar Wind",POWER(Upgrades!$U$10,I213),1)*IF(Upgrades!$T$11="Solar Wind",POWER(Upgrades!$U$11,J213),1)*IF(Upgrades!$T$12="Solar Wind",POWER(Upgrades!$U$12,K213),1))+(IF(F213=0,0,(Upgrades!$G$7+F213*Upgrades!$H$7)*POWER(Upgrades!$I$7,F213)))*(IF(Upgrades!$T$6="Asteroid Belt",POWER(Upgrades!$U$6,E213),1)*IF(Upgrades!$T$8="Asteroid Belt",POWER(Upgrades!$U$8,G213),1)*IF(Upgrades!$T$9="Asteroid Belt",POWER(Upgrades!$U$9,H213),1)*IF(Upgrades!$T$10="Asteroid Belt",POWER(Upgrades!$U$10,I213),1)*IF(Upgrades!$T$11="Asteroid Belt",POWER(Upgrades!$U$11,J213),1)*IF(Upgrades!$T$12="Asteroid Belt",POWER(Upgrades!$U$12,K213),1))+(IF(G213=0,0,(Upgrades!$G$8+G213*Upgrades!$H$8)*POWER(Upgrades!$I$8,G213)))*(IF(Upgrades!$T$6="Stellar Coupling",POWER(Upgrades!$U$6,E213),1)*IF(Upgrades!$T$7="Stellar Coupling",POWER(Upgrades!$U$7,F213),1)*IF(Upgrades!$T$9="Stellar Coupling",POWER(Upgrades!$U$9,H213),1)*IF(Upgrades!$T$10="Stellar Coupling",POWER(Upgrades!$U$10,I213),1)*IF(Upgrades!$T$11="Stellar Coupling",POWER(Upgrades!$U$11,J213),1)*IF(Upgrades!$T$12="Stellar Coupling",POWER(Upgrades!$U$12,K213),1))+(IF(H213=0,0,(Upgrades!$G$9+H213*Upgrades!$H$9)*POWER(Upgrades!$I$9,H213)))*(IF(Upgrades!$T$6="Magnetosphere",POWER(Upgrades!$U$6,E213),1)*IF(Upgrades!$T$7="Magnetosphere",POWER(Upgrades!$U$7,F213),1)*IF(Upgrades!$T$8="Magnetosphere",POWER(Upgrades!$U$8,G213),1)*IF(Upgrades!$T$10="Magnetosphere",POWER(Upgrades!$U$10,I213),1)*IF(Upgrades!$T$11="Magnetosphere",POWER(Upgrades!$U$11,J213),1)*IF(Upgrades!$T$12="Magnetosphere",POWER(Upgrades!$U$12,K213),1))+(IF(I213=0,0,(Upgrades!$G$10+I213*Upgrades!$H$10)*POWER(Upgrades!$I$10,I213)))*(IF(Upgrades!$T$6="Orbital Resonance",POWER(Upgrades!$U$6,E213),1)*IF(Upgrades!$T$7="Orbital Resonance",POWER(Upgrades!$U$7,F213),1)*IF(Upgrades!$T$8="Orbital Resonance",POWER(Upgrades!$U$8,G213),1)*IF(Upgrades!$T$9="Orbital Resonance",POWER(Upgrades!$U$9,H213),1)*IF(Upgrades!$T$11="Orbital Resonance",POWER(Upgrades!$U$11,J213),1)*IF(Upgrades!$T$12="Orbital Resonance",POWER(Upgrades!$U$12,K213),1))+(IF(J213=0,0,(Upgrades!$G$11+J213*Upgrades!$H$11)*POWER(Upgrades!$I$11,J213)))*(IF(Upgrades!$T$6="Heliopause",POWER(Upgrades!$U$6,E213),1)*IF(Upgrades!$T$7="Heliopause",POWER(Upgrades!$U$7,F213),1)*IF(Upgrades!$T$8="Heliopause",POWER(Upgrades!$U$8,G213),1)*IF(Upgrades!$T$9="Heliopause",POWER(Upgrades!$U$9,H213),1)*IF(Upgrades!$T$10="Heliopause",POWER(Upgrades!$U$10,I213),1)*IF(Upgrades!$T$12="Heliopause",POWER(Upgrades!$U$12,K213),1))+(IF(K213=0,0,(Upgrades!$G$12+K213*Upgrades!$H$12)*POWER(Upgrades!$I$12,K213)))*(IF(Upgrades!$T$6="First Photons",POWER(Upgrades!$U$6,E213),1)*IF(Upgrades!$T$7="First Photons",POWER(Upgrades!$U$7,F213),1)*IF(Upgrades!$T$8="First Photons",POWER(Upgrades!$U$8,G213),1)*IF(Upgrades!$T$9="First Photons",POWER(Upgrades!$U$9,H213),1)*IF(Upgrades!$T$10="First Photons",POWER(Upgrades!$U$10,I213),1)*IF(Upgrades!$T$11="First Photons",POWER(Upgrades!$U$11,J213),1)))*POWER(Upgrades!$P$6,E213)*POWER(Upgrades!$P$7,F213)*POWER(Upgrades!$P$8,G213)*POWER(Upgrades!$P$9,H213)*POWER(Upgrades!$P$10,I213)*POWER(Upgrades!$P$11,J213)*POWER(Upgrades!$P$12,K213)</f>
        <v/>
      </c>
      <c r="O213" s="28">
        <f>((IF(E213=0,0,(Upgrades!$M$6+E213*Upgrades!$N$6)*POWER(Upgrades!$O$6,E213)))*(IF(Upgrades!$T$7="Solar Wind",POWER(Upgrades!$U$7,F213),1)*IF(Upgrades!$T$8="Solar Wind",POWER(Upgrades!$U$8,G213),1)*IF(Upgrades!$T$9="Solar Wind",POWER(Upgrades!$U$9,H213),1)*IF(Upgrades!$T$10="Solar Wind",POWER(Upgrades!$U$10,I213),1)*IF(Upgrades!$T$11="Solar Wind",POWER(Upgrades!$U$11,J213),1)*IF(Upgrades!$T$12="Solar Wind",POWER(Upgrades!$U$12,K213),1))+(IF(F213=0,0,(Upgrades!$M$7+F213*Upgrades!$N$7)*POWER(Upgrades!$O$7,F213)))*(IF(Upgrades!$T$6="Asteroid Belt",POWER(Upgrades!$U$6,E213),1)*IF(Upgrades!$T$8="Asteroid Belt",POWER(Upgrades!$U$8,G213),1)*IF(Upgrades!$T$9="Asteroid Belt",POWER(Upgrades!$U$9,H213),1)*IF(Upgrades!$T$10="Asteroid Belt",POWER(Upgrades!$U$10,I213),1)*IF(Upgrades!$T$11="Asteroid Belt",POWER(Upgrades!$U$11,J213),1)*IF(Upgrades!$T$12="Asteroid Belt",POWER(Upgrades!$U$12,K213),1))+(IF(G213=0,0,(Upgrades!$M$8+G213*Upgrades!$N$8)*POWER(Upgrades!$O$8,G213)))*(IF(Upgrades!$T$6="Stellar Coupling",POWER(Upgrades!$U$6,E213),1)*IF(Upgrades!$T$7="Stellar Coupling",POWER(Upgrades!$U$7,F213),1)*IF(Upgrades!$T$9="Stellar Coupling",POWER(Upgrades!$U$9,H213),1)*IF(Upgrades!$T$10="Stellar Coupling",POWER(Upgrades!$U$10,I213),1)*IF(Upgrades!$T$11="Stellar Coupling",POWER(Upgrades!$U$11,J213),1)*IF(Upgrades!$T$12="Stellar Coupling",POWER(Upgrades!$U$12,K213),1))+(IF(H213=0,0,(Upgrades!$M$9+H213*Upgrades!$N$9)*POWER(Upgrades!$O$9,H213)))*(IF(Upgrades!$T$6="Magnetosphere",POWER(Upgrades!$U$6,E213),1)*IF(Upgrades!$T$7="Magnetosphere",POWER(Upgrades!$U$7,F213),1)*IF(Upgrades!$T$8="Magnetosphere",POWER(Upgrades!$U$8,G213),1)*IF(Upgrades!$T$10="Magnetosphere",POWER(Upgrades!$U$10,I213),1)*IF(Upgrades!$T$11="Magnetosphere",POWER(Upgrades!$U$11,J213),1)*IF(Upgrades!$T$12="Magnetosphere",POWER(Upgrades!$U$12,K213),1))+(IF(I213=0,0,(Upgrades!$M$10+I213*Upgrades!$N$10)*POWER(Upgrades!$O$10,I213)))*(IF(Upgrades!$T$6="Orbital Resonance",POWER(Upgrades!$U$6,E213),1)*IF(Upgrades!$T$7="Orbital Resonance",POWER(Upgrades!$U$7,F213),1)*IF(Upgrades!$T$8="Orbital Resonance",POWER(Upgrades!$U$8,G213),1)*IF(Upgrades!$T$9="Orbital Resonance",POWER(Upgrades!$U$9,H213),1)*IF(Upgrades!$T$11="Orbital Resonance",POWER(Upgrades!$U$11,J213),1)*IF(Upgrades!$T$12="Orbital Resonance",POWER(Upgrades!$U$12,K213),1))+(IF(J213=0,0,(Upgrades!$M$11+J213*Upgrades!$N$11)*POWER(Upgrades!$O$11,J213)))*(IF(Upgrades!$T$6="Heliopause",POWER(Upgrades!$U$6,E213),1)*IF(Upgrades!$T$7="Heliopause",POWER(Upgrades!$U$7,F213),1)*IF(Upgrades!$T$8="Heliopause",POWER(Upgrades!$U$8,G213),1)*IF(Upgrades!$T$9="Heliopause",POWER(Upgrades!$U$9,H213),1)*IF(Upgrades!$T$10="Heliopause",POWER(Upgrades!$U$10,I213),1)*IF(Upgrades!$T$12="Heliopause",POWER(Upgrades!$U$12,K213),1))+(IF(K213=0,0,(Upgrades!$M$12+K213*Upgrades!$N$12)*POWER(Upgrades!$O$12,K213)))*(IF(Upgrades!$T$6="First Photons",POWER(Upgrades!$U$6,E213),1)*IF(Upgrades!$T$7="First Photons",POWER(Upgrades!$U$7,F213),1)*IF(Upgrades!$T$8="First Photons",POWER(Upgrades!$U$8,G213),1)*IF(Upgrades!$T$9="First Photons",POWER(Upgrades!$U$9,H213),1)*IF(Upgrades!$T$10="First Photons",POWER(Upgrades!$U$10,I213),1)*IF(Upgrades!$T$11="First Photons",POWER(Upgrades!$U$11,J213),1)))*POWER(Upgrades!$R$6,E213)*POWER(Upgrades!$R$7,F213)*POWER(Upgrades!$R$8,G213)*POWER(Upgrades!$R$9,H213)*POWER(Upgrades!$R$10,I213)*POWER(Upgrades!$R$11,J213)*POWER(Upgrades!$R$12,K213)</f>
        <v/>
      </c>
      <c r="P213" s="27">
        <f>IF(L213=1,0,M213*Parameters!$B$10/60*Parameters!$B$11*10)</f>
        <v/>
      </c>
      <c r="Q213" s="27">
        <f>IF(L213=1,0,O213*M213*10)</f>
        <v/>
      </c>
      <c r="R213" s="27">
        <f>IF(L213=1,0,N213*10)</f>
        <v/>
      </c>
      <c r="S213" s="27">
        <f>P213+Q213+R213</f>
        <v/>
      </c>
      <c r="T213" s="22">
        <f>C213+S213</f>
        <v/>
      </c>
      <c r="U213" s="33">
        <f>AX213</f>
        <v/>
      </c>
      <c r="V213" s="22">
        <f>IF(U213="",0,IF(U213="transition",0,IF(U213="SW",AG213,IF(U213="AB",AH213,IF(U213="SC",AI213,IF(U213="Mag",AJ213,IF(U213="OR",AK213,IF(U213="HP",AL213,IF(U213="FP",AM213,0)))))))))</f>
        <v/>
      </c>
      <c r="W213" s="27">
        <f>IF(U213="OR",Upgrades!$F$10,IF(U213="HP",Upgrades!$F$11,IF(U213="transition",-Parameters!$B$18,0)))</f>
        <v/>
      </c>
      <c r="X213" s="22">
        <f>T213-V213</f>
        <v/>
      </c>
      <c r="Y213" s="30">
        <f>M213*Parameters!$B$10/60*Parameters!$B$11+O213*M213+N213</f>
        <v/>
      </c>
      <c r="Z213" s="34">
        <f>IF(U213="transition","→ Tier 2 (Stellar Neighborhood)",IF(U213="FP","First Photons — light begins, system quickens",IF(U213="HP","Heliopause acquired",IF(U213="OR","Orbital Resonance — passive multiplier active",IF(AND(AO213=1,L213=0,AN213&lt;&gt;1),"Cohesion ready (waiting on completionist upgrades)","")))))</f>
        <v/>
      </c>
      <c r="AA213" s="27">
        <f>(IF(E213=0,0,(Upgrades!$G$6+E213*Upgrades!$H$6)*POWER(Upgrades!$I$6,E213)))*(IF(Upgrades!$T$7="Solar Wind",POWER(Upgrades!$U$7,F213),1)*IF(Upgrades!$T$8="Solar Wind",POWER(Upgrades!$U$8,G213),1)*IF(Upgrades!$T$9="Solar Wind",POWER(Upgrades!$U$9,H213),1)*IF(Upgrades!$T$10="Solar Wind",POWER(Upgrades!$U$10,I213),1)*IF(Upgrades!$T$11="Solar Wind",POWER(Upgrades!$U$11,J213),1)*IF(Upgrades!$T$12="Solar Wind",POWER(Upgrades!$U$12,K213),1))*POWER(Upgrades!$P$6,E213)*POWER(Upgrades!$P$7,F213)*POWER(Upgrades!$P$8,G213)*POWER(Upgrades!$P$9,H213)*POWER(Upgrades!$P$10,I213)*POWER(Upgrades!$P$11,J213)*POWER(Upgrades!$P$12,K213)*60</f>
        <v/>
      </c>
      <c r="AB213" s="27">
        <f>(IF(F213=0,0,(Upgrades!$G$7+F213*Upgrades!$H$7)*POWER(Upgrades!$I$7,F213)))*(IF(Upgrades!$T$6="Asteroid Belt",POWER(Upgrades!$U$6,E213),1)*IF(Upgrades!$T$8="Asteroid Belt",POWER(Upgrades!$U$8,G213),1)*IF(Upgrades!$T$9="Asteroid Belt",POWER(Upgrades!$U$9,H213),1)*IF(Upgrades!$T$10="Asteroid Belt",POWER(Upgrades!$U$10,I213),1)*IF(Upgrades!$T$11="Asteroid Belt",POWER(Upgrades!$U$11,J213),1)*IF(Upgrades!$T$12="Asteroid Belt",POWER(Upgrades!$U$12,K213),1))*POWER(Upgrades!$P$6,E213)*POWER(Upgrades!$P$7,F213)*POWER(Upgrades!$P$8,G213)*POWER(Upgrades!$P$9,H213)*POWER(Upgrades!$P$10,I213)*POWER(Upgrades!$P$11,J213)*POWER(Upgrades!$P$12,K213)*60</f>
        <v/>
      </c>
      <c r="AC213" s="27">
        <f>(IF(G213=0,0,(Upgrades!$J$8+G213*Upgrades!$K$8)*POWER(Upgrades!$L$8,G213)))*(IF(Upgrades!$T$6="Stellar Coupling",POWER(Upgrades!$U$6,E213),1)*IF(Upgrades!$T$7="Stellar Coupling",POWER(Upgrades!$U$7,F213),1)*IF(Upgrades!$T$9="Stellar Coupling",POWER(Upgrades!$U$9,H213),1)*IF(Upgrades!$T$10="Stellar Coupling",POWER(Upgrades!$U$10,I213),1)*IF(Upgrades!$T$11="Stellar Coupling",POWER(Upgrades!$U$11,J213),1)*IF(Upgrades!$T$12="Stellar Coupling",POWER(Upgrades!$U$12,K213),1))*POWER(Upgrades!$Q$6,E213)*POWER(Upgrades!$Q$7,F213)*POWER(Upgrades!$Q$8,G213)*POWER(Upgrades!$Q$9,H213)*POWER(Upgrades!$Q$10,I213)*POWER(Upgrades!$Q$11,J213)*POWER(Upgrades!$Q$12,K213)*Parameters!$B$10*Parameters!$B$11</f>
        <v/>
      </c>
      <c r="AD213" s="27">
        <f>(IF(H213=0,0,(Upgrades!$G$9+H213*Upgrades!$H$9)*POWER(Upgrades!$I$9,H213)))*(IF(Upgrades!$T$6="Magnetosphere",POWER(Upgrades!$U$6,E213),1)*IF(Upgrades!$T$7="Magnetosphere",POWER(Upgrades!$U$7,F213),1)*IF(Upgrades!$T$8="Magnetosphere",POWER(Upgrades!$U$8,G213),1)*IF(Upgrades!$T$10="Magnetosphere",POWER(Upgrades!$U$10,I213),1)*IF(Upgrades!$T$11="Magnetosphere",POWER(Upgrades!$U$11,J213),1)*IF(Upgrades!$T$12="Magnetosphere",POWER(Upgrades!$U$12,K213),1))*POWER(Upgrades!$P$6,E213)*POWER(Upgrades!$P$7,F213)*POWER(Upgrades!$P$8,G213)*POWER(Upgrades!$P$9,H213)*POWER(Upgrades!$P$10,I213)*POWER(Upgrades!$P$11,J213)*POWER(Upgrades!$P$12,K213)*60</f>
        <v/>
      </c>
      <c r="AE213" s="27">
        <f>(IF(K213=0,0,(Upgrades!$G$12+K213*Upgrades!$H$12)*POWER(Upgrades!$I$12,K213)))*(IF(Upgrades!$T$6="First Photons",POWER(Upgrades!$U$6,E213),1)*IF(Upgrades!$T$7="First Photons",POWER(Upgrades!$U$7,F213),1)*IF(Upgrades!$T$8="First Photons",POWER(Upgrades!$U$8,G213),1)*IF(Upgrades!$T$9="First Photons",POWER(Upgrades!$U$9,H213),1)*IF(Upgrades!$T$10="First Photons",POWER(Upgrades!$U$10,I213),1)*IF(Upgrades!$T$11="First Photons",POWER(Upgrades!$U$11,J213),1))*POWER(Upgrades!$P$6,E213)*POWER(Upgrades!$P$7,F213)*POWER(Upgrades!$P$8,G213)*POWER(Upgrades!$P$9,H213)*POWER(Upgrades!$P$10,I213)*POWER(Upgrades!$P$11,J213)*POWER(Upgrades!$P$12,K213)*60</f>
        <v/>
      </c>
      <c r="AF213" s="27">
        <f>Parameters!$B$9*POWER(Upgrades!$Q$6,E213)*POWER(Upgrades!$Q$7,F213)*POWER(Upgrades!$Q$8,G213)*POWER(Upgrades!$Q$9,H213)*POWER(Upgrades!$Q$10,I213)*POWER(Upgrades!$Q$11,J213)*POWER(Upgrades!$Q$12,K213)*(Parameters!$B$10*Parameters!$B$11+O213*60)</f>
        <v/>
      </c>
      <c r="AG213" s="22">
        <f>IF(E213&gt;=Upgrades!$E$6,"",Upgrades!$C$6*POWER(Upgrades!$D$6,E213))</f>
        <v/>
      </c>
      <c r="AH213" s="22">
        <f>IF(F213&gt;=Upgrades!$E$7,"",Upgrades!$C$7*POWER(Upgrades!$D$7,F213))</f>
        <v/>
      </c>
      <c r="AI213" s="22">
        <f>IF(G213&gt;=Upgrades!$E$8,"",Upgrades!$C$8*POWER(Upgrades!$D$8,G213))</f>
        <v/>
      </c>
      <c r="AJ213" s="22">
        <f>IF(H213&gt;=Upgrades!$E$9,"",Upgrades!$C$9*POWER(Upgrades!$D$9,H213))</f>
        <v/>
      </c>
      <c r="AK213" s="22">
        <f>IF(I213&gt;=Upgrades!$E$10,"",Upgrades!$C$10*POWER(Upgrades!$D$10,I213))</f>
        <v/>
      </c>
      <c r="AL213" s="22">
        <f>IF(J213&gt;=Upgrades!$E$11,"",Upgrades!$C$11*POWER(Upgrades!$D$11,J213))</f>
        <v/>
      </c>
      <c r="AM213" s="22">
        <f>IF(K213&gt;=Upgrades!$E$12,"",Upgrades!$C$12*POWER(Upgrades!$D$12,K213))</f>
        <v/>
      </c>
      <c r="AN213" s="26">
        <f>IF(AND(D213&gt;=Parameters!$B$18,(H213&gt;=Upgrades!$E$9)*(K213&gt;=Upgrades!$E$12)=1,L213=0),1,"")</f>
        <v/>
      </c>
      <c r="AO213" s="26">
        <f>IF(AND(D213&gt;=Parameters!$B$18,L213=0),1,"")</f>
        <v/>
      </c>
      <c r="AP213" s="22">
        <f>MIN(IF(ISNUMBER(AK213),AK213,9E15),IF(ISNUMBER(AL213),AL213,9E15),IF(ISNUMBER(AM213),AM213,9E15))</f>
        <v/>
      </c>
      <c r="AQ213" s="22">
        <f>MIN(IF(ISNUMBER(AG213),AG213,9E15),IF(ISNUMBER(AH213),AH213,9E15),IF(ISNUMBER(AI213),AI213,9E15),IF(ISNUMBER(AJ213),AJ213,9E15))</f>
        <v/>
      </c>
      <c r="AR213" s="29">
        <f>IF(AW213&gt;Parameters!$B$21*(MAX(IF(AND(NOT(AND(AO213=1,AN213&lt;&gt;1)),ISNUMBER(AG213),AG213&lt;=T213),AS213,0),IF(AND(NOT(AND(AO213=1,AN213&lt;&gt;1)),ISNUMBER(AH213),AH213&lt;=T213),AT213,0),IF(AND(NOT(AND(AO213=1,AN213&lt;&gt;1)),ISNUMBER(AI213),AI213&lt;=T213),AU213,0),IF(AND(ISNUMBER(AJ213),AJ213&lt;=T213),AV213,0))),TRUE,FALSE)</f>
        <v/>
      </c>
      <c r="AS213" s="32">
        <f>IFERROR(Upgrades!$H$6*(POWER(Upgrades!$P$6,E213)*POWER(Upgrades!$P$7,F213)*POWER(Upgrades!$P$8,G213)*POWER(Upgrades!$P$9,H213)*POWER(Upgrades!$P$10,I213)*POWER(Upgrades!$P$11,J213)*POWER(Upgrades!$P$12,K213))*(IF(Upgrades!$T$7="Solar Wind",POWER(Upgrades!$U$7,F213),1)*IF(Upgrades!$T$8="Solar Wind",POWER(Upgrades!$U$8,G213),1)*IF(Upgrades!$T$9="Solar Wind",POWER(Upgrades!$U$9,H213),1)*IF(Upgrades!$T$10="Solar Wind",POWER(Upgrades!$U$10,I213),1)*IF(Upgrades!$T$11="Solar Wind",POWER(Upgrades!$U$11,J213),1)*IF(Upgrades!$T$12="Solar Wind",POWER(Upgrades!$U$12,K213),1))/AG213,0)</f>
        <v/>
      </c>
      <c r="AT213" s="32">
        <f>IFERROR(Upgrades!$H$7*(POWER(Upgrades!$P$6,E213)*POWER(Upgrades!$P$7,F213)*POWER(Upgrades!$P$8,G213)*POWER(Upgrades!$P$9,H213)*POWER(Upgrades!$P$10,I213)*POWER(Upgrades!$P$11,J213)*POWER(Upgrades!$P$12,K213))*(IF(Upgrades!$T$6="Asteroid Belt",POWER(Upgrades!$U$6,E213),1)*IF(Upgrades!$T$8="Asteroid Belt",POWER(Upgrades!$U$8,G213),1)*IF(Upgrades!$T$9="Asteroid Belt",POWER(Upgrades!$U$9,H213),1)*IF(Upgrades!$T$10="Asteroid Belt",POWER(Upgrades!$U$10,I213),1)*IF(Upgrades!$T$11="Asteroid Belt",POWER(Upgrades!$U$11,J213),1)*IF(Upgrades!$T$12="Asteroid Belt",POWER(Upgrades!$U$12,K213),1))/AH213,0)</f>
        <v/>
      </c>
      <c r="AU213" s="32">
        <f>IFERROR(Upgrades!$K$8*(POWER(Upgrades!$Q$6,E213)*POWER(Upgrades!$Q$7,F213)*POWER(Upgrades!$Q$8,G213)*POWER(Upgrades!$Q$9,H213)*POWER(Upgrades!$Q$10,I213)*POWER(Upgrades!$Q$11,J213)*POWER(Upgrades!$Q$12,K213))*(IF(Upgrades!$T$6="Stellar Coupling",POWER(Upgrades!$U$6,E213),1)*IF(Upgrades!$T$7="Stellar Coupling",POWER(Upgrades!$U$7,F213),1)*IF(Upgrades!$T$9="Stellar Coupling",POWER(Upgrades!$U$9,H213),1)*IF(Upgrades!$T$10="Stellar Coupling",POWER(Upgrades!$U$10,I213),1)*IF(Upgrades!$T$11="Stellar Coupling",POWER(Upgrades!$U$11,J213),1)*IF(Upgrades!$T$12="Stellar Coupling",POWER(Upgrades!$U$12,K213),1))*Parameters!$B$10*Parameters!$B$11/60/AI213,0)</f>
        <v/>
      </c>
      <c r="AV213" s="32">
        <f>IFERROR(Upgrades!$H$9*(POWER(Upgrades!$P$6,E213)*POWER(Upgrades!$P$7,F213)*POWER(Upgrades!$P$8,G213)*POWER(Upgrades!$P$9,H213)*POWER(Upgrades!$P$10,I213)*POWER(Upgrades!$P$11,J213)*POWER(Upgrades!$P$12,K213))*(IF(Upgrades!$T$6="Magnetosphere",POWER(Upgrades!$U$6,E213),1)*IF(Upgrades!$T$7="Magnetosphere",POWER(Upgrades!$U$7,F213),1)*IF(Upgrades!$T$8="Magnetosphere",POWER(Upgrades!$U$8,G213),1)*IF(Upgrades!$T$10="Magnetosphere",POWER(Upgrades!$U$10,I213),1)*IF(Upgrades!$T$11="Magnetosphere",POWER(Upgrades!$U$11,J213),1)*IF(Upgrades!$T$12="Magnetosphere",POWER(Upgrades!$U$12,K213),1))/AJ213,0)</f>
        <v/>
      </c>
      <c r="AW213" s="32">
        <f>MAX(IF(I213&gt;0,0,IFERROR(0.25*N213/Upgrades!$C$10,0)),IF(J213&gt;0,0,IFERROR(0.5*((IF(G213=0,0,(Upgrades!$J$8+G213*Upgrades!$K$8)*POWER(Upgrades!$L$8,G213)))*(IF(Upgrades!$T$6="Stellar Coupling",POWER(Upgrades!$U$6,E213),1)*IF(Upgrades!$T$7="Stellar Coupling",POWER(Upgrades!$U$7,F213),1)*IF(Upgrades!$T$9="Stellar Coupling",POWER(Upgrades!$U$9,H213),1)*IF(Upgrades!$T$10="Stellar Coupling",POWER(Upgrades!$U$10,I213),1)*IF(Upgrades!$T$11="Stellar Coupling",POWER(Upgrades!$U$11,J213),1)*IF(Upgrades!$T$12="Stellar Coupling",POWER(Upgrades!$U$12,K213),1))*(POWER(Upgrades!$Q$6,E213)*POWER(Upgrades!$Q$7,F213)*POWER(Upgrades!$Q$8,G213)*POWER(Upgrades!$Q$9,H213)*POWER(Upgrades!$Q$10,I213)*POWER(Upgrades!$Q$11,J213)*POWER(Upgrades!$Q$12,K213))*Parameters!$B$10*Parameters!$B$11/60)/Upgrades!$C$11,0)),IF(K213&gt;0,0,IFERROR((1.0*(POWER(Upgrades!$P$6,E213)*POWER(Upgrades!$P$7,F213)*POWER(Upgrades!$P$8,G213)*POWER(Upgrades!$P$9,H213)*POWER(Upgrades!$P$10,I213)*POWER(Upgrades!$P$11,J213)*POWER(Upgrades!$P$12,K213))+0.20*M213*Parameters!$B$10*Parameters!$B$11/60)/Upgrades!$C$12,0)),IF(AND(ISNUMBER(AG213),AG213&gt;T213),AS213,0),IF(AND(ISNUMBER(AH213),AH213&gt;T213),AT213,0),IF(AND(ISNUMBER(AI213),AI213&gt;T213),AU213,0),IF(AND(ISNUMBER(AJ213),AJ213&gt;T213),AV213,0))</f>
        <v/>
      </c>
      <c r="AX213" s="29">
        <f>IF(AN213=1,"transition",IF(MIN(IF(AND(I213=0,ISNUMBER(AK213),AK213&lt;=T213),AK213,9E15),IF(AND(J213=0,ISNUMBER(AL213),AL213&lt;=T213),AL213,9E15),IF(AND(K213=0,ISNUMBER(AM213),AM213&lt;=T213),AM213,9E15))&lt;9E15,IF(AND(AND(I213=0,ISNUMBER(AK213),AK213&lt;=T213),AK213=MIN(IF(AND(I213=0,ISNUMBER(AK213),AK213&lt;=T213),AK213,9E15),IF(AND(J213=0,ISNUMBER(AL213),AL213&lt;=T213),AL213,9E15),IF(AND(K213=0,ISNUMBER(AM213),AM213&lt;=T213),AM213,9E15))),"OR",IF(AND(AND(J213=0,ISNUMBER(AL213),AL213&lt;=T213),AL213=MIN(IF(AND(I213=0,ISNUMBER(AK213),AK213&lt;=T213),AK213,9E15),IF(AND(J213=0,ISNUMBER(AL213),AL213&lt;=T213),AL213,9E15),IF(AND(K213=0,ISNUMBER(AM213),AM213&lt;=T213),AM213,9E15))),"HP","FP")),IF(AR213=TRUE,"",IF(MAX(IF(AND(NOT(AND(AO213=1,AN213&lt;&gt;1)),ISNUMBER(AG213),AG213&lt;=T213),AS213,0),IF(AND(NOT(AND(AO213=1,AN213&lt;&gt;1)),ISNUMBER(AH213),AH213&lt;=T213),AT213,0),IF(AND(NOT(AND(AO213=1,AN213&lt;&gt;1)),ISNUMBER(AI213),AI213&lt;=T213),AU213,0),IF(AND(ISNUMBER(AJ213),AJ213&lt;=T213),AV213,0))&lt;=0,"",IF(AND(IF(AND(NOT(AND(AO213=1,AN213&lt;&gt;1)),ISNUMBER(AG213),AG213&lt;=T213),AS213,0)&gt;0,IF(AND(NOT(AND(AO213=1,AN213&lt;&gt;1)),ISNUMBER(AG213),AG213&lt;=T213),AS213,0)=MAX(IF(AND(NOT(AND(AO213=1,AN213&lt;&gt;1)),ISNUMBER(AG213),AG213&lt;=T213),AS213,0),IF(AND(NOT(AND(AO213=1,AN213&lt;&gt;1)),ISNUMBER(AH213),AH213&lt;=T213),AT213,0),IF(AND(NOT(AND(AO213=1,AN213&lt;&gt;1)),ISNUMBER(AI213),AI213&lt;=T213),AU213,0),IF(AND(ISNUMBER(AJ213),AJ213&lt;=T213),AV213,0))),"SW",IF(AND(IF(AND(NOT(AND(AO213=1,AN213&lt;&gt;1)),ISNUMBER(AH213),AH213&lt;=T213),AT213,0)&gt;0,IF(AND(NOT(AND(AO213=1,AN213&lt;&gt;1)),ISNUMBER(AH213),AH213&lt;=T213),AT213,0)=MAX(IF(AND(NOT(AND(AO213=1,AN213&lt;&gt;1)),ISNUMBER(AG213),AG213&lt;=T213),AS213,0),IF(AND(NOT(AND(AO213=1,AN213&lt;&gt;1)),ISNUMBER(AH213),AH213&lt;=T213),AT213,0),IF(AND(NOT(AND(AO213=1,AN213&lt;&gt;1)),ISNUMBER(AI213),AI213&lt;=T213),AU213,0),IF(AND(ISNUMBER(AJ213),AJ213&lt;=T213),AV213,0))),"AB",IF(AND(IF(AND(NOT(AND(AO213=1,AN213&lt;&gt;1)),ISNUMBER(AI213),AI213&lt;=T213),AU213,0)&gt;0,IF(AND(NOT(AND(AO213=1,AN213&lt;&gt;1)),ISNUMBER(AI213),AI213&lt;=T213),AU213,0)=MAX(IF(AND(NOT(AND(AO213=1,AN213&lt;&gt;1)),ISNUMBER(AG213),AG213&lt;=T213),AS213,0),IF(AND(NOT(AND(AO213=1,AN213&lt;&gt;1)),ISNUMBER(AH213),AH213&lt;=T213),AT213,0),IF(AND(NOT(AND(AO213=1,AN213&lt;&gt;1)),ISNUMBER(AI213),AI213&lt;=T213),AU213,0),IF(AND(ISNUMBER(AJ213),AJ213&lt;=T213),AV213,0))),"SC","Mag")))))))</f>
        <v/>
      </c>
    </row>
    <row r="214">
      <c r="A214" s="26" t="n">
        <v>209</v>
      </c>
      <c r="B214" s="27">
        <f>A214*10/60</f>
        <v/>
      </c>
      <c r="C214" s="22">
        <f>X213</f>
        <v/>
      </c>
      <c r="D214" s="27">
        <f>D213+W213</f>
        <v/>
      </c>
      <c r="E214" s="26">
        <f>E213+IF(U213="SW",1,0)</f>
        <v/>
      </c>
      <c r="F214" s="26">
        <f>F213+IF(U213="AB",1,0)</f>
        <v/>
      </c>
      <c r="G214" s="26">
        <f>G213+IF(U213="SC",1,0)</f>
        <v/>
      </c>
      <c r="H214" s="26">
        <f>H213+IF(U213="Mag",1,0)</f>
        <v/>
      </c>
      <c r="I214" s="26">
        <f>MAX(I213,IF(U213="OR",1,0))</f>
        <v/>
      </c>
      <c r="J214" s="26">
        <f>MAX(J213,IF(U213="HP",1,0))</f>
        <v/>
      </c>
      <c r="K214" s="26">
        <f>MAX(K213,IF(U213="FP",1,0))</f>
        <v/>
      </c>
      <c r="L214" s="26">
        <f>MAX(L213,IF(U213="transition",1,0))</f>
        <v/>
      </c>
      <c r="M214" s="28">
        <f>(Parameters!$B$9+(IF(E214=0,0,(Upgrades!$J$6+E214*Upgrades!$K$6)*POWER(Upgrades!$L$6,E214)))*(IF(Upgrades!$T$7="Solar Wind",POWER(Upgrades!$U$7,F214),1)*IF(Upgrades!$T$8="Solar Wind",POWER(Upgrades!$U$8,G214),1)*IF(Upgrades!$T$9="Solar Wind",POWER(Upgrades!$U$9,H214),1)*IF(Upgrades!$T$10="Solar Wind",POWER(Upgrades!$U$10,I214),1)*IF(Upgrades!$T$11="Solar Wind",POWER(Upgrades!$U$11,J214),1)*IF(Upgrades!$T$12="Solar Wind",POWER(Upgrades!$U$12,K214),1))+(IF(F214=0,0,(Upgrades!$J$7+F214*Upgrades!$K$7)*POWER(Upgrades!$L$7,F214)))*(IF(Upgrades!$T$6="Asteroid Belt",POWER(Upgrades!$U$6,E214),1)*IF(Upgrades!$T$8="Asteroid Belt",POWER(Upgrades!$U$8,G214),1)*IF(Upgrades!$T$9="Asteroid Belt",POWER(Upgrades!$U$9,H214),1)*IF(Upgrades!$T$10="Asteroid Belt",POWER(Upgrades!$U$10,I214),1)*IF(Upgrades!$T$11="Asteroid Belt",POWER(Upgrades!$U$11,J214),1)*IF(Upgrades!$T$12="Asteroid Belt",POWER(Upgrades!$U$12,K214),1))+(IF(G214=0,0,(Upgrades!$J$8+G214*Upgrades!$K$8)*POWER(Upgrades!$L$8,G214)))*(IF(Upgrades!$T$6="Stellar Coupling",POWER(Upgrades!$U$6,E214),1)*IF(Upgrades!$T$7="Stellar Coupling",POWER(Upgrades!$U$7,F214),1)*IF(Upgrades!$T$9="Stellar Coupling",POWER(Upgrades!$U$9,H214),1)*IF(Upgrades!$T$10="Stellar Coupling",POWER(Upgrades!$U$10,I214),1)*IF(Upgrades!$T$11="Stellar Coupling",POWER(Upgrades!$U$11,J214),1)*IF(Upgrades!$T$12="Stellar Coupling",POWER(Upgrades!$U$12,K214),1))+(IF(H214=0,0,(Upgrades!$J$9+H214*Upgrades!$K$9)*POWER(Upgrades!$L$9,H214)))*(IF(Upgrades!$T$6="Magnetosphere",POWER(Upgrades!$U$6,E214),1)*IF(Upgrades!$T$7="Magnetosphere",POWER(Upgrades!$U$7,F214),1)*IF(Upgrades!$T$8="Magnetosphere",POWER(Upgrades!$U$8,G214),1)*IF(Upgrades!$T$10="Magnetosphere",POWER(Upgrades!$U$10,I214),1)*IF(Upgrades!$T$11="Magnetosphere",POWER(Upgrades!$U$11,J214),1)*IF(Upgrades!$T$12="Magnetosphere",POWER(Upgrades!$U$12,K214),1))+(IF(I214=0,0,(Upgrades!$J$10+I214*Upgrades!$K$10)*POWER(Upgrades!$L$10,I214)))*(IF(Upgrades!$T$6="Orbital Resonance",POWER(Upgrades!$U$6,E214),1)*IF(Upgrades!$T$7="Orbital Resonance",POWER(Upgrades!$U$7,F214),1)*IF(Upgrades!$T$8="Orbital Resonance",POWER(Upgrades!$U$8,G214),1)*IF(Upgrades!$T$9="Orbital Resonance",POWER(Upgrades!$U$9,H214),1)*IF(Upgrades!$T$11="Orbital Resonance",POWER(Upgrades!$U$11,J214),1)*IF(Upgrades!$T$12="Orbital Resonance",POWER(Upgrades!$U$12,K214),1))+(IF(J214=0,0,(Upgrades!$J$11+J214*Upgrades!$K$11)*POWER(Upgrades!$L$11,J214)))*(IF(Upgrades!$T$6="Heliopause",POWER(Upgrades!$U$6,E214),1)*IF(Upgrades!$T$7="Heliopause",POWER(Upgrades!$U$7,F214),1)*IF(Upgrades!$T$8="Heliopause",POWER(Upgrades!$U$8,G214),1)*IF(Upgrades!$T$9="Heliopause",POWER(Upgrades!$U$9,H214),1)*IF(Upgrades!$T$10="Heliopause",POWER(Upgrades!$U$10,I214),1)*IF(Upgrades!$T$12="Heliopause",POWER(Upgrades!$U$12,K214),1))+(IF(K214=0,0,(Upgrades!$J$12+K214*Upgrades!$K$12)*POWER(Upgrades!$L$12,K214)))*(IF(Upgrades!$T$6="First Photons",POWER(Upgrades!$U$6,E214),1)*IF(Upgrades!$T$7="First Photons",POWER(Upgrades!$U$7,F214),1)*IF(Upgrades!$T$8="First Photons",POWER(Upgrades!$U$8,G214),1)*IF(Upgrades!$T$9="First Photons",POWER(Upgrades!$U$9,H214),1)*IF(Upgrades!$T$10="First Photons",POWER(Upgrades!$U$10,I214),1)*IF(Upgrades!$T$11="First Photons",POWER(Upgrades!$U$11,J214),1)))*POWER(Upgrades!$Q$6,E214)*POWER(Upgrades!$Q$7,F214)*POWER(Upgrades!$Q$8,G214)*POWER(Upgrades!$Q$9,H214)*POWER(Upgrades!$Q$10,I214)*POWER(Upgrades!$Q$11,J214)*POWER(Upgrades!$Q$12,K214)</f>
        <v/>
      </c>
      <c r="N214" s="28">
        <f>((IF(E214=0,0,(Upgrades!$G$6+E214*Upgrades!$H$6)*POWER(Upgrades!$I$6,E214)))*(IF(Upgrades!$T$7="Solar Wind",POWER(Upgrades!$U$7,F214),1)*IF(Upgrades!$T$8="Solar Wind",POWER(Upgrades!$U$8,G214),1)*IF(Upgrades!$T$9="Solar Wind",POWER(Upgrades!$U$9,H214),1)*IF(Upgrades!$T$10="Solar Wind",POWER(Upgrades!$U$10,I214),1)*IF(Upgrades!$T$11="Solar Wind",POWER(Upgrades!$U$11,J214),1)*IF(Upgrades!$T$12="Solar Wind",POWER(Upgrades!$U$12,K214),1))+(IF(F214=0,0,(Upgrades!$G$7+F214*Upgrades!$H$7)*POWER(Upgrades!$I$7,F214)))*(IF(Upgrades!$T$6="Asteroid Belt",POWER(Upgrades!$U$6,E214),1)*IF(Upgrades!$T$8="Asteroid Belt",POWER(Upgrades!$U$8,G214),1)*IF(Upgrades!$T$9="Asteroid Belt",POWER(Upgrades!$U$9,H214),1)*IF(Upgrades!$T$10="Asteroid Belt",POWER(Upgrades!$U$10,I214),1)*IF(Upgrades!$T$11="Asteroid Belt",POWER(Upgrades!$U$11,J214),1)*IF(Upgrades!$T$12="Asteroid Belt",POWER(Upgrades!$U$12,K214),1))+(IF(G214=0,0,(Upgrades!$G$8+G214*Upgrades!$H$8)*POWER(Upgrades!$I$8,G214)))*(IF(Upgrades!$T$6="Stellar Coupling",POWER(Upgrades!$U$6,E214),1)*IF(Upgrades!$T$7="Stellar Coupling",POWER(Upgrades!$U$7,F214),1)*IF(Upgrades!$T$9="Stellar Coupling",POWER(Upgrades!$U$9,H214),1)*IF(Upgrades!$T$10="Stellar Coupling",POWER(Upgrades!$U$10,I214),1)*IF(Upgrades!$T$11="Stellar Coupling",POWER(Upgrades!$U$11,J214),1)*IF(Upgrades!$T$12="Stellar Coupling",POWER(Upgrades!$U$12,K214),1))+(IF(H214=0,0,(Upgrades!$G$9+H214*Upgrades!$H$9)*POWER(Upgrades!$I$9,H214)))*(IF(Upgrades!$T$6="Magnetosphere",POWER(Upgrades!$U$6,E214),1)*IF(Upgrades!$T$7="Magnetosphere",POWER(Upgrades!$U$7,F214),1)*IF(Upgrades!$T$8="Magnetosphere",POWER(Upgrades!$U$8,G214),1)*IF(Upgrades!$T$10="Magnetosphere",POWER(Upgrades!$U$10,I214),1)*IF(Upgrades!$T$11="Magnetosphere",POWER(Upgrades!$U$11,J214),1)*IF(Upgrades!$T$12="Magnetosphere",POWER(Upgrades!$U$12,K214),1))+(IF(I214=0,0,(Upgrades!$G$10+I214*Upgrades!$H$10)*POWER(Upgrades!$I$10,I214)))*(IF(Upgrades!$T$6="Orbital Resonance",POWER(Upgrades!$U$6,E214),1)*IF(Upgrades!$T$7="Orbital Resonance",POWER(Upgrades!$U$7,F214),1)*IF(Upgrades!$T$8="Orbital Resonance",POWER(Upgrades!$U$8,G214),1)*IF(Upgrades!$T$9="Orbital Resonance",POWER(Upgrades!$U$9,H214),1)*IF(Upgrades!$T$11="Orbital Resonance",POWER(Upgrades!$U$11,J214),1)*IF(Upgrades!$T$12="Orbital Resonance",POWER(Upgrades!$U$12,K214),1))+(IF(J214=0,0,(Upgrades!$G$11+J214*Upgrades!$H$11)*POWER(Upgrades!$I$11,J214)))*(IF(Upgrades!$T$6="Heliopause",POWER(Upgrades!$U$6,E214),1)*IF(Upgrades!$T$7="Heliopause",POWER(Upgrades!$U$7,F214),1)*IF(Upgrades!$T$8="Heliopause",POWER(Upgrades!$U$8,G214),1)*IF(Upgrades!$T$9="Heliopause",POWER(Upgrades!$U$9,H214),1)*IF(Upgrades!$T$10="Heliopause",POWER(Upgrades!$U$10,I214),1)*IF(Upgrades!$T$12="Heliopause",POWER(Upgrades!$U$12,K214),1))+(IF(K214=0,0,(Upgrades!$G$12+K214*Upgrades!$H$12)*POWER(Upgrades!$I$12,K214)))*(IF(Upgrades!$T$6="First Photons",POWER(Upgrades!$U$6,E214),1)*IF(Upgrades!$T$7="First Photons",POWER(Upgrades!$U$7,F214),1)*IF(Upgrades!$T$8="First Photons",POWER(Upgrades!$U$8,G214),1)*IF(Upgrades!$T$9="First Photons",POWER(Upgrades!$U$9,H214),1)*IF(Upgrades!$T$10="First Photons",POWER(Upgrades!$U$10,I214),1)*IF(Upgrades!$T$11="First Photons",POWER(Upgrades!$U$11,J214),1)))*POWER(Upgrades!$P$6,E214)*POWER(Upgrades!$P$7,F214)*POWER(Upgrades!$P$8,G214)*POWER(Upgrades!$P$9,H214)*POWER(Upgrades!$P$10,I214)*POWER(Upgrades!$P$11,J214)*POWER(Upgrades!$P$12,K214)</f>
        <v/>
      </c>
      <c r="O214" s="28">
        <f>((IF(E214=0,0,(Upgrades!$M$6+E214*Upgrades!$N$6)*POWER(Upgrades!$O$6,E214)))*(IF(Upgrades!$T$7="Solar Wind",POWER(Upgrades!$U$7,F214),1)*IF(Upgrades!$T$8="Solar Wind",POWER(Upgrades!$U$8,G214),1)*IF(Upgrades!$T$9="Solar Wind",POWER(Upgrades!$U$9,H214),1)*IF(Upgrades!$T$10="Solar Wind",POWER(Upgrades!$U$10,I214),1)*IF(Upgrades!$T$11="Solar Wind",POWER(Upgrades!$U$11,J214),1)*IF(Upgrades!$T$12="Solar Wind",POWER(Upgrades!$U$12,K214),1))+(IF(F214=0,0,(Upgrades!$M$7+F214*Upgrades!$N$7)*POWER(Upgrades!$O$7,F214)))*(IF(Upgrades!$T$6="Asteroid Belt",POWER(Upgrades!$U$6,E214),1)*IF(Upgrades!$T$8="Asteroid Belt",POWER(Upgrades!$U$8,G214),1)*IF(Upgrades!$T$9="Asteroid Belt",POWER(Upgrades!$U$9,H214),1)*IF(Upgrades!$T$10="Asteroid Belt",POWER(Upgrades!$U$10,I214),1)*IF(Upgrades!$T$11="Asteroid Belt",POWER(Upgrades!$U$11,J214),1)*IF(Upgrades!$T$12="Asteroid Belt",POWER(Upgrades!$U$12,K214),1))+(IF(G214=0,0,(Upgrades!$M$8+G214*Upgrades!$N$8)*POWER(Upgrades!$O$8,G214)))*(IF(Upgrades!$T$6="Stellar Coupling",POWER(Upgrades!$U$6,E214),1)*IF(Upgrades!$T$7="Stellar Coupling",POWER(Upgrades!$U$7,F214),1)*IF(Upgrades!$T$9="Stellar Coupling",POWER(Upgrades!$U$9,H214),1)*IF(Upgrades!$T$10="Stellar Coupling",POWER(Upgrades!$U$10,I214),1)*IF(Upgrades!$T$11="Stellar Coupling",POWER(Upgrades!$U$11,J214),1)*IF(Upgrades!$T$12="Stellar Coupling",POWER(Upgrades!$U$12,K214),1))+(IF(H214=0,0,(Upgrades!$M$9+H214*Upgrades!$N$9)*POWER(Upgrades!$O$9,H214)))*(IF(Upgrades!$T$6="Magnetosphere",POWER(Upgrades!$U$6,E214),1)*IF(Upgrades!$T$7="Magnetosphere",POWER(Upgrades!$U$7,F214),1)*IF(Upgrades!$T$8="Magnetosphere",POWER(Upgrades!$U$8,G214),1)*IF(Upgrades!$T$10="Magnetosphere",POWER(Upgrades!$U$10,I214),1)*IF(Upgrades!$T$11="Magnetosphere",POWER(Upgrades!$U$11,J214),1)*IF(Upgrades!$T$12="Magnetosphere",POWER(Upgrades!$U$12,K214),1))+(IF(I214=0,0,(Upgrades!$M$10+I214*Upgrades!$N$10)*POWER(Upgrades!$O$10,I214)))*(IF(Upgrades!$T$6="Orbital Resonance",POWER(Upgrades!$U$6,E214),1)*IF(Upgrades!$T$7="Orbital Resonance",POWER(Upgrades!$U$7,F214),1)*IF(Upgrades!$T$8="Orbital Resonance",POWER(Upgrades!$U$8,G214),1)*IF(Upgrades!$T$9="Orbital Resonance",POWER(Upgrades!$U$9,H214),1)*IF(Upgrades!$T$11="Orbital Resonance",POWER(Upgrades!$U$11,J214),1)*IF(Upgrades!$T$12="Orbital Resonance",POWER(Upgrades!$U$12,K214),1))+(IF(J214=0,0,(Upgrades!$M$11+J214*Upgrades!$N$11)*POWER(Upgrades!$O$11,J214)))*(IF(Upgrades!$T$6="Heliopause",POWER(Upgrades!$U$6,E214),1)*IF(Upgrades!$T$7="Heliopause",POWER(Upgrades!$U$7,F214),1)*IF(Upgrades!$T$8="Heliopause",POWER(Upgrades!$U$8,G214),1)*IF(Upgrades!$T$9="Heliopause",POWER(Upgrades!$U$9,H214),1)*IF(Upgrades!$T$10="Heliopause",POWER(Upgrades!$U$10,I214),1)*IF(Upgrades!$T$12="Heliopause",POWER(Upgrades!$U$12,K214),1))+(IF(K214=0,0,(Upgrades!$M$12+K214*Upgrades!$N$12)*POWER(Upgrades!$O$12,K214)))*(IF(Upgrades!$T$6="First Photons",POWER(Upgrades!$U$6,E214),1)*IF(Upgrades!$T$7="First Photons",POWER(Upgrades!$U$7,F214),1)*IF(Upgrades!$T$8="First Photons",POWER(Upgrades!$U$8,G214),1)*IF(Upgrades!$T$9="First Photons",POWER(Upgrades!$U$9,H214),1)*IF(Upgrades!$T$10="First Photons",POWER(Upgrades!$U$10,I214),1)*IF(Upgrades!$T$11="First Photons",POWER(Upgrades!$U$11,J214),1)))*POWER(Upgrades!$R$6,E214)*POWER(Upgrades!$R$7,F214)*POWER(Upgrades!$R$8,G214)*POWER(Upgrades!$R$9,H214)*POWER(Upgrades!$R$10,I214)*POWER(Upgrades!$R$11,J214)*POWER(Upgrades!$R$12,K214)</f>
        <v/>
      </c>
      <c r="P214" s="27">
        <f>IF(L214=1,0,M214*Parameters!$B$10/60*Parameters!$B$11*10)</f>
        <v/>
      </c>
      <c r="Q214" s="27">
        <f>IF(L214=1,0,O214*M214*10)</f>
        <v/>
      </c>
      <c r="R214" s="27">
        <f>IF(L214=1,0,N214*10)</f>
        <v/>
      </c>
      <c r="S214" s="27">
        <f>P214+Q214+R214</f>
        <v/>
      </c>
      <c r="T214" s="22">
        <f>C214+S214</f>
        <v/>
      </c>
      <c r="U214" s="33">
        <f>AX214</f>
        <v/>
      </c>
      <c r="V214" s="22">
        <f>IF(U214="",0,IF(U214="transition",0,IF(U214="SW",AG214,IF(U214="AB",AH214,IF(U214="SC",AI214,IF(U214="Mag",AJ214,IF(U214="OR",AK214,IF(U214="HP",AL214,IF(U214="FP",AM214,0)))))))))</f>
        <v/>
      </c>
      <c r="W214" s="27">
        <f>IF(U214="OR",Upgrades!$F$10,IF(U214="HP",Upgrades!$F$11,IF(U214="transition",-Parameters!$B$18,0)))</f>
        <v/>
      </c>
      <c r="X214" s="22">
        <f>T214-V214</f>
        <v/>
      </c>
      <c r="Y214" s="30">
        <f>M214*Parameters!$B$10/60*Parameters!$B$11+O214*M214+N214</f>
        <v/>
      </c>
      <c r="Z214" s="34">
        <f>IF(U214="transition","→ Tier 2 (Stellar Neighborhood)",IF(U214="FP","First Photons — light begins, system quickens",IF(U214="HP","Heliopause acquired",IF(U214="OR","Orbital Resonance — passive multiplier active",IF(AND(AO214=1,L214=0,AN214&lt;&gt;1),"Cohesion ready (waiting on completionist upgrades)","")))))</f>
        <v/>
      </c>
      <c r="AA214" s="27">
        <f>(IF(E214=0,0,(Upgrades!$G$6+E214*Upgrades!$H$6)*POWER(Upgrades!$I$6,E214)))*(IF(Upgrades!$T$7="Solar Wind",POWER(Upgrades!$U$7,F214),1)*IF(Upgrades!$T$8="Solar Wind",POWER(Upgrades!$U$8,G214),1)*IF(Upgrades!$T$9="Solar Wind",POWER(Upgrades!$U$9,H214),1)*IF(Upgrades!$T$10="Solar Wind",POWER(Upgrades!$U$10,I214),1)*IF(Upgrades!$T$11="Solar Wind",POWER(Upgrades!$U$11,J214),1)*IF(Upgrades!$T$12="Solar Wind",POWER(Upgrades!$U$12,K214),1))*POWER(Upgrades!$P$6,E214)*POWER(Upgrades!$P$7,F214)*POWER(Upgrades!$P$8,G214)*POWER(Upgrades!$P$9,H214)*POWER(Upgrades!$P$10,I214)*POWER(Upgrades!$P$11,J214)*POWER(Upgrades!$P$12,K214)*60</f>
        <v/>
      </c>
      <c r="AB214" s="27">
        <f>(IF(F214=0,0,(Upgrades!$G$7+F214*Upgrades!$H$7)*POWER(Upgrades!$I$7,F214)))*(IF(Upgrades!$T$6="Asteroid Belt",POWER(Upgrades!$U$6,E214),1)*IF(Upgrades!$T$8="Asteroid Belt",POWER(Upgrades!$U$8,G214),1)*IF(Upgrades!$T$9="Asteroid Belt",POWER(Upgrades!$U$9,H214),1)*IF(Upgrades!$T$10="Asteroid Belt",POWER(Upgrades!$U$10,I214),1)*IF(Upgrades!$T$11="Asteroid Belt",POWER(Upgrades!$U$11,J214),1)*IF(Upgrades!$T$12="Asteroid Belt",POWER(Upgrades!$U$12,K214),1))*POWER(Upgrades!$P$6,E214)*POWER(Upgrades!$P$7,F214)*POWER(Upgrades!$P$8,G214)*POWER(Upgrades!$P$9,H214)*POWER(Upgrades!$P$10,I214)*POWER(Upgrades!$P$11,J214)*POWER(Upgrades!$P$12,K214)*60</f>
        <v/>
      </c>
      <c r="AC214" s="27">
        <f>(IF(G214=0,0,(Upgrades!$J$8+G214*Upgrades!$K$8)*POWER(Upgrades!$L$8,G214)))*(IF(Upgrades!$T$6="Stellar Coupling",POWER(Upgrades!$U$6,E214),1)*IF(Upgrades!$T$7="Stellar Coupling",POWER(Upgrades!$U$7,F214),1)*IF(Upgrades!$T$9="Stellar Coupling",POWER(Upgrades!$U$9,H214),1)*IF(Upgrades!$T$10="Stellar Coupling",POWER(Upgrades!$U$10,I214),1)*IF(Upgrades!$T$11="Stellar Coupling",POWER(Upgrades!$U$11,J214),1)*IF(Upgrades!$T$12="Stellar Coupling",POWER(Upgrades!$U$12,K214),1))*POWER(Upgrades!$Q$6,E214)*POWER(Upgrades!$Q$7,F214)*POWER(Upgrades!$Q$8,G214)*POWER(Upgrades!$Q$9,H214)*POWER(Upgrades!$Q$10,I214)*POWER(Upgrades!$Q$11,J214)*POWER(Upgrades!$Q$12,K214)*Parameters!$B$10*Parameters!$B$11</f>
        <v/>
      </c>
      <c r="AD214" s="27">
        <f>(IF(H214=0,0,(Upgrades!$G$9+H214*Upgrades!$H$9)*POWER(Upgrades!$I$9,H214)))*(IF(Upgrades!$T$6="Magnetosphere",POWER(Upgrades!$U$6,E214),1)*IF(Upgrades!$T$7="Magnetosphere",POWER(Upgrades!$U$7,F214),1)*IF(Upgrades!$T$8="Magnetosphere",POWER(Upgrades!$U$8,G214),1)*IF(Upgrades!$T$10="Magnetosphere",POWER(Upgrades!$U$10,I214),1)*IF(Upgrades!$T$11="Magnetosphere",POWER(Upgrades!$U$11,J214),1)*IF(Upgrades!$T$12="Magnetosphere",POWER(Upgrades!$U$12,K214),1))*POWER(Upgrades!$P$6,E214)*POWER(Upgrades!$P$7,F214)*POWER(Upgrades!$P$8,G214)*POWER(Upgrades!$P$9,H214)*POWER(Upgrades!$P$10,I214)*POWER(Upgrades!$P$11,J214)*POWER(Upgrades!$P$12,K214)*60</f>
        <v/>
      </c>
      <c r="AE214" s="27">
        <f>(IF(K214=0,0,(Upgrades!$G$12+K214*Upgrades!$H$12)*POWER(Upgrades!$I$12,K214)))*(IF(Upgrades!$T$6="First Photons",POWER(Upgrades!$U$6,E214),1)*IF(Upgrades!$T$7="First Photons",POWER(Upgrades!$U$7,F214),1)*IF(Upgrades!$T$8="First Photons",POWER(Upgrades!$U$8,G214),1)*IF(Upgrades!$T$9="First Photons",POWER(Upgrades!$U$9,H214),1)*IF(Upgrades!$T$10="First Photons",POWER(Upgrades!$U$10,I214),1)*IF(Upgrades!$T$11="First Photons",POWER(Upgrades!$U$11,J214),1))*POWER(Upgrades!$P$6,E214)*POWER(Upgrades!$P$7,F214)*POWER(Upgrades!$P$8,G214)*POWER(Upgrades!$P$9,H214)*POWER(Upgrades!$P$10,I214)*POWER(Upgrades!$P$11,J214)*POWER(Upgrades!$P$12,K214)*60</f>
        <v/>
      </c>
      <c r="AF214" s="27">
        <f>Parameters!$B$9*POWER(Upgrades!$Q$6,E214)*POWER(Upgrades!$Q$7,F214)*POWER(Upgrades!$Q$8,G214)*POWER(Upgrades!$Q$9,H214)*POWER(Upgrades!$Q$10,I214)*POWER(Upgrades!$Q$11,J214)*POWER(Upgrades!$Q$12,K214)*(Parameters!$B$10*Parameters!$B$11+O214*60)</f>
        <v/>
      </c>
      <c r="AG214" s="22">
        <f>IF(E214&gt;=Upgrades!$E$6,"",Upgrades!$C$6*POWER(Upgrades!$D$6,E214))</f>
        <v/>
      </c>
      <c r="AH214" s="22">
        <f>IF(F214&gt;=Upgrades!$E$7,"",Upgrades!$C$7*POWER(Upgrades!$D$7,F214))</f>
        <v/>
      </c>
      <c r="AI214" s="22">
        <f>IF(G214&gt;=Upgrades!$E$8,"",Upgrades!$C$8*POWER(Upgrades!$D$8,G214))</f>
        <v/>
      </c>
      <c r="AJ214" s="22">
        <f>IF(H214&gt;=Upgrades!$E$9,"",Upgrades!$C$9*POWER(Upgrades!$D$9,H214))</f>
        <v/>
      </c>
      <c r="AK214" s="22">
        <f>IF(I214&gt;=Upgrades!$E$10,"",Upgrades!$C$10*POWER(Upgrades!$D$10,I214))</f>
        <v/>
      </c>
      <c r="AL214" s="22">
        <f>IF(J214&gt;=Upgrades!$E$11,"",Upgrades!$C$11*POWER(Upgrades!$D$11,J214))</f>
        <v/>
      </c>
      <c r="AM214" s="22">
        <f>IF(K214&gt;=Upgrades!$E$12,"",Upgrades!$C$12*POWER(Upgrades!$D$12,K214))</f>
        <v/>
      </c>
      <c r="AN214" s="26">
        <f>IF(AND(D214&gt;=Parameters!$B$18,(H214&gt;=Upgrades!$E$9)*(K214&gt;=Upgrades!$E$12)=1,L214=0),1,"")</f>
        <v/>
      </c>
      <c r="AO214" s="26">
        <f>IF(AND(D214&gt;=Parameters!$B$18,L214=0),1,"")</f>
        <v/>
      </c>
      <c r="AP214" s="22">
        <f>MIN(IF(ISNUMBER(AK214),AK214,9E15),IF(ISNUMBER(AL214),AL214,9E15),IF(ISNUMBER(AM214),AM214,9E15))</f>
        <v/>
      </c>
      <c r="AQ214" s="22">
        <f>MIN(IF(ISNUMBER(AG214),AG214,9E15),IF(ISNUMBER(AH214),AH214,9E15),IF(ISNUMBER(AI214),AI214,9E15),IF(ISNUMBER(AJ214),AJ214,9E15))</f>
        <v/>
      </c>
      <c r="AR214" s="29">
        <f>IF(AW214&gt;Parameters!$B$21*(MAX(IF(AND(NOT(AND(AO214=1,AN214&lt;&gt;1)),ISNUMBER(AG214),AG214&lt;=T214),AS214,0),IF(AND(NOT(AND(AO214=1,AN214&lt;&gt;1)),ISNUMBER(AH214),AH214&lt;=T214),AT214,0),IF(AND(NOT(AND(AO214=1,AN214&lt;&gt;1)),ISNUMBER(AI214),AI214&lt;=T214),AU214,0),IF(AND(ISNUMBER(AJ214),AJ214&lt;=T214),AV214,0))),TRUE,FALSE)</f>
        <v/>
      </c>
      <c r="AS214" s="32">
        <f>IFERROR(Upgrades!$H$6*(POWER(Upgrades!$P$6,E214)*POWER(Upgrades!$P$7,F214)*POWER(Upgrades!$P$8,G214)*POWER(Upgrades!$P$9,H214)*POWER(Upgrades!$P$10,I214)*POWER(Upgrades!$P$11,J214)*POWER(Upgrades!$P$12,K214))*(IF(Upgrades!$T$7="Solar Wind",POWER(Upgrades!$U$7,F214),1)*IF(Upgrades!$T$8="Solar Wind",POWER(Upgrades!$U$8,G214),1)*IF(Upgrades!$T$9="Solar Wind",POWER(Upgrades!$U$9,H214),1)*IF(Upgrades!$T$10="Solar Wind",POWER(Upgrades!$U$10,I214),1)*IF(Upgrades!$T$11="Solar Wind",POWER(Upgrades!$U$11,J214),1)*IF(Upgrades!$T$12="Solar Wind",POWER(Upgrades!$U$12,K214),1))/AG214,0)</f>
        <v/>
      </c>
      <c r="AT214" s="32">
        <f>IFERROR(Upgrades!$H$7*(POWER(Upgrades!$P$6,E214)*POWER(Upgrades!$P$7,F214)*POWER(Upgrades!$P$8,G214)*POWER(Upgrades!$P$9,H214)*POWER(Upgrades!$P$10,I214)*POWER(Upgrades!$P$11,J214)*POWER(Upgrades!$P$12,K214))*(IF(Upgrades!$T$6="Asteroid Belt",POWER(Upgrades!$U$6,E214),1)*IF(Upgrades!$T$8="Asteroid Belt",POWER(Upgrades!$U$8,G214),1)*IF(Upgrades!$T$9="Asteroid Belt",POWER(Upgrades!$U$9,H214),1)*IF(Upgrades!$T$10="Asteroid Belt",POWER(Upgrades!$U$10,I214),1)*IF(Upgrades!$T$11="Asteroid Belt",POWER(Upgrades!$U$11,J214),1)*IF(Upgrades!$T$12="Asteroid Belt",POWER(Upgrades!$U$12,K214),1))/AH214,0)</f>
        <v/>
      </c>
      <c r="AU214" s="32">
        <f>IFERROR(Upgrades!$K$8*(POWER(Upgrades!$Q$6,E214)*POWER(Upgrades!$Q$7,F214)*POWER(Upgrades!$Q$8,G214)*POWER(Upgrades!$Q$9,H214)*POWER(Upgrades!$Q$10,I214)*POWER(Upgrades!$Q$11,J214)*POWER(Upgrades!$Q$12,K214))*(IF(Upgrades!$T$6="Stellar Coupling",POWER(Upgrades!$U$6,E214),1)*IF(Upgrades!$T$7="Stellar Coupling",POWER(Upgrades!$U$7,F214),1)*IF(Upgrades!$T$9="Stellar Coupling",POWER(Upgrades!$U$9,H214),1)*IF(Upgrades!$T$10="Stellar Coupling",POWER(Upgrades!$U$10,I214),1)*IF(Upgrades!$T$11="Stellar Coupling",POWER(Upgrades!$U$11,J214),1)*IF(Upgrades!$T$12="Stellar Coupling",POWER(Upgrades!$U$12,K214),1))*Parameters!$B$10*Parameters!$B$11/60/AI214,0)</f>
        <v/>
      </c>
      <c r="AV214" s="32">
        <f>IFERROR(Upgrades!$H$9*(POWER(Upgrades!$P$6,E214)*POWER(Upgrades!$P$7,F214)*POWER(Upgrades!$P$8,G214)*POWER(Upgrades!$P$9,H214)*POWER(Upgrades!$P$10,I214)*POWER(Upgrades!$P$11,J214)*POWER(Upgrades!$P$12,K214))*(IF(Upgrades!$T$6="Magnetosphere",POWER(Upgrades!$U$6,E214),1)*IF(Upgrades!$T$7="Magnetosphere",POWER(Upgrades!$U$7,F214),1)*IF(Upgrades!$T$8="Magnetosphere",POWER(Upgrades!$U$8,G214),1)*IF(Upgrades!$T$10="Magnetosphere",POWER(Upgrades!$U$10,I214),1)*IF(Upgrades!$T$11="Magnetosphere",POWER(Upgrades!$U$11,J214),1)*IF(Upgrades!$T$12="Magnetosphere",POWER(Upgrades!$U$12,K214),1))/AJ214,0)</f>
        <v/>
      </c>
      <c r="AW214" s="32">
        <f>MAX(IF(I214&gt;0,0,IFERROR(0.25*N214/Upgrades!$C$10,0)),IF(J214&gt;0,0,IFERROR(0.5*((IF(G214=0,0,(Upgrades!$J$8+G214*Upgrades!$K$8)*POWER(Upgrades!$L$8,G214)))*(IF(Upgrades!$T$6="Stellar Coupling",POWER(Upgrades!$U$6,E214),1)*IF(Upgrades!$T$7="Stellar Coupling",POWER(Upgrades!$U$7,F214),1)*IF(Upgrades!$T$9="Stellar Coupling",POWER(Upgrades!$U$9,H214),1)*IF(Upgrades!$T$10="Stellar Coupling",POWER(Upgrades!$U$10,I214),1)*IF(Upgrades!$T$11="Stellar Coupling",POWER(Upgrades!$U$11,J214),1)*IF(Upgrades!$T$12="Stellar Coupling",POWER(Upgrades!$U$12,K214),1))*(POWER(Upgrades!$Q$6,E214)*POWER(Upgrades!$Q$7,F214)*POWER(Upgrades!$Q$8,G214)*POWER(Upgrades!$Q$9,H214)*POWER(Upgrades!$Q$10,I214)*POWER(Upgrades!$Q$11,J214)*POWER(Upgrades!$Q$12,K214))*Parameters!$B$10*Parameters!$B$11/60)/Upgrades!$C$11,0)),IF(K214&gt;0,0,IFERROR((1.0*(POWER(Upgrades!$P$6,E214)*POWER(Upgrades!$P$7,F214)*POWER(Upgrades!$P$8,G214)*POWER(Upgrades!$P$9,H214)*POWER(Upgrades!$P$10,I214)*POWER(Upgrades!$P$11,J214)*POWER(Upgrades!$P$12,K214))+0.20*M214*Parameters!$B$10*Parameters!$B$11/60)/Upgrades!$C$12,0)),IF(AND(ISNUMBER(AG214),AG214&gt;T214),AS214,0),IF(AND(ISNUMBER(AH214),AH214&gt;T214),AT214,0),IF(AND(ISNUMBER(AI214),AI214&gt;T214),AU214,0),IF(AND(ISNUMBER(AJ214),AJ214&gt;T214),AV214,0))</f>
        <v/>
      </c>
      <c r="AX214" s="29">
        <f>IF(AN214=1,"transition",IF(MIN(IF(AND(I214=0,ISNUMBER(AK214),AK214&lt;=T214),AK214,9E15),IF(AND(J214=0,ISNUMBER(AL214),AL214&lt;=T214),AL214,9E15),IF(AND(K214=0,ISNUMBER(AM214),AM214&lt;=T214),AM214,9E15))&lt;9E15,IF(AND(AND(I214=0,ISNUMBER(AK214),AK214&lt;=T214),AK214=MIN(IF(AND(I214=0,ISNUMBER(AK214),AK214&lt;=T214),AK214,9E15),IF(AND(J214=0,ISNUMBER(AL214),AL214&lt;=T214),AL214,9E15),IF(AND(K214=0,ISNUMBER(AM214),AM214&lt;=T214),AM214,9E15))),"OR",IF(AND(AND(J214=0,ISNUMBER(AL214),AL214&lt;=T214),AL214=MIN(IF(AND(I214=0,ISNUMBER(AK214),AK214&lt;=T214),AK214,9E15),IF(AND(J214=0,ISNUMBER(AL214),AL214&lt;=T214),AL214,9E15),IF(AND(K214=0,ISNUMBER(AM214),AM214&lt;=T214),AM214,9E15))),"HP","FP")),IF(AR214=TRUE,"",IF(MAX(IF(AND(NOT(AND(AO214=1,AN214&lt;&gt;1)),ISNUMBER(AG214),AG214&lt;=T214),AS214,0),IF(AND(NOT(AND(AO214=1,AN214&lt;&gt;1)),ISNUMBER(AH214),AH214&lt;=T214),AT214,0),IF(AND(NOT(AND(AO214=1,AN214&lt;&gt;1)),ISNUMBER(AI214),AI214&lt;=T214),AU214,0),IF(AND(ISNUMBER(AJ214),AJ214&lt;=T214),AV214,0))&lt;=0,"",IF(AND(IF(AND(NOT(AND(AO214=1,AN214&lt;&gt;1)),ISNUMBER(AG214),AG214&lt;=T214),AS214,0)&gt;0,IF(AND(NOT(AND(AO214=1,AN214&lt;&gt;1)),ISNUMBER(AG214),AG214&lt;=T214),AS214,0)=MAX(IF(AND(NOT(AND(AO214=1,AN214&lt;&gt;1)),ISNUMBER(AG214),AG214&lt;=T214),AS214,0),IF(AND(NOT(AND(AO214=1,AN214&lt;&gt;1)),ISNUMBER(AH214),AH214&lt;=T214),AT214,0),IF(AND(NOT(AND(AO214=1,AN214&lt;&gt;1)),ISNUMBER(AI214),AI214&lt;=T214),AU214,0),IF(AND(ISNUMBER(AJ214),AJ214&lt;=T214),AV214,0))),"SW",IF(AND(IF(AND(NOT(AND(AO214=1,AN214&lt;&gt;1)),ISNUMBER(AH214),AH214&lt;=T214),AT214,0)&gt;0,IF(AND(NOT(AND(AO214=1,AN214&lt;&gt;1)),ISNUMBER(AH214),AH214&lt;=T214),AT214,0)=MAX(IF(AND(NOT(AND(AO214=1,AN214&lt;&gt;1)),ISNUMBER(AG214),AG214&lt;=T214),AS214,0),IF(AND(NOT(AND(AO214=1,AN214&lt;&gt;1)),ISNUMBER(AH214),AH214&lt;=T214),AT214,0),IF(AND(NOT(AND(AO214=1,AN214&lt;&gt;1)),ISNUMBER(AI214),AI214&lt;=T214),AU214,0),IF(AND(ISNUMBER(AJ214),AJ214&lt;=T214),AV214,0))),"AB",IF(AND(IF(AND(NOT(AND(AO214=1,AN214&lt;&gt;1)),ISNUMBER(AI214),AI214&lt;=T214),AU214,0)&gt;0,IF(AND(NOT(AND(AO214=1,AN214&lt;&gt;1)),ISNUMBER(AI214),AI214&lt;=T214),AU214,0)=MAX(IF(AND(NOT(AND(AO214=1,AN214&lt;&gt;1)),ISNUMBER(AG214),AG214&lt;=T214),AS214,0),IF(AND(NOT(AND(AO214=1,AN214&lt;&gt;1)),ISNUMBER(AH214),AH214&lt;=T214),AT214,0),IF(AND(NOT(AND(AO214=1,AN214&lt;&gt;1)),ISNUMBER(AI214),AI214&lt;=T214),AU214,0),IF(AND(ISNUMBER(AJ214),AJ214&lt;=T214),AV214,0))),"SC","Mag")))))))</f>
        <v/>
      </c>
    </row>
    <row r="215">
      <c r="A215" s="26" t="n">
        <v>210</v>
      </c>
      <c r="B215" s="27">
        <f>A215*10/60</f>
        <v/>
      </c>
      <c r="C215" s="22">
        <f>X214</f>
        <v/>
      </c>
      <c r="D215" s="27">
        <f>D214+W214</f>
        <v/>
      </c>
      <c r="E215" s="26">
        <f>E214+IF(U214="SW",1,0)</f>
        <v/>
      </c>
      <c r="F215" s="26">
        <f>F214+IF(U214="AB",1,0)</f>
        <v/>
      </c>
      <c r="G215" s="26">
        <f>G214+IF(U214="SC",1,0)</f>
        <v/>
      </c>
      <c r="H215" s="26">
        <f>H214+IF(U214="Mag",1,0)</f>
        <v/>
      </c>
      <c r="I215" s="26">
        <f>MAX(I214,IF(U214="OR",1,0))</f>
        <v/>
      </c>
      <c r="J215" s="26">
        <f>MAX(J214,IF(U214="HP",1,0))</f>
        <v/>
      </c>
      <c r="K215" s="26">
        <f>MAX(K214,IF(U214="FP",1,0))</f>
        <v/>
      </c>
      <c r="L215" s="26">
        <f>MAX(L214,IF(U214="transition",1,0))</f>
        <v/>
      </c>
      <c r="M215" s="28">
        <f>(Parameters!$B$9+(IF(E215=0,0,(Upgrades!$J$6+E215*Upgrades!$K$6)*POWER(Upgrades!$L$6,E215)))*(IF(Upgrades!$T$7="Solar Wind",POWER(Upgrades!$U$7,F215),1)*IF(Upgrades!$T$8="Solar Wind",POWER(Upgrades!$U$8,G215),1)*IF(Upgrades!$T$9="Solar Wind",POWER(Upgrades!$U$9,H215),1)*IF(Upgrades!$T$10="Solar Wind",POWER(Upgrades!$U$10,I215),1)*IF(Upgrades!$T$11="Solar Wind",POWER(Upgrades!$U$11,J215),1)*IF(Upgrades!$T$12="Solar Wind",POWER(Upgrades!$U$12,K215),1))+(IF(F215=0,0,(Upgrades!$J$7+F215*Upgrades!$K$7)*POWER(Upgrades!$L$7,F215)))*(IF(Upgrades!$T$6="Asteroid Belt",POWER(Upgrades!$U$6,E215),1)*IF(Upgrades!$T$8="Asteroid Belt",POWER(Upgrades!$U$8,G215),1)*IF(Upgrades!$T$9="Asteroid Belt",POWER(Upgrades!$U$9,H215),1)*IF(Upgrades!$T$10="Asteroid Belt",POWER(Upgrades!$U$10,I215),1)*IF(Upgrades!$T$11="Asteroid Belt",POWER(Upgrades!$U$11,J215),1)*IF(Upgrades!$T$12="Asteroid Belt",POWER(Upgrades!$U$12,K215),1))+(IF(G215=0,0,(Upgrades!$J$8+G215*Upgrades!$K$8)*POWER(Upgrades!$L$8,G215)))*(IF(Upgrades!$T$6="Stellar Coupling",POWER(Upgrades!$U$6,E215),1)*IF(Upgrades!$T$7="Stellar Coupling",POWER(Upgrades!$U$7,F215),1)*IF(Upgrades!$T$9="Stellar Coupling",POWER(Upgrades!$U$9,H215),1)*IF(Upgrades!$T$10="Stellar Coupling",POWER(Upgrades!$U$10,I215),1)*IF(Upgrades!$T$11="Stellar Coupling",POWER(Upgrades!$U$11,J215),1)*IF(Upgrades!$T$12="Stellar Coupling",POWER(Upgrades!$U$12,K215),1))+(IF(H215=0,0,(Upgrades!$J$9+H215*Upgrades!$K$9)*POWER(Upgrades!$L$9,H215)))*(IF(Upgrades!$T$6="Magnetosphere",POWER(Upgrades!$U$6,E215),1)*IF(Upgrades!$T$7="Magnetosphere",POWER(Upgrades!$U$7,F215),1)*IF(Upgrades!$T$8="Magnetosphere",POWER(Upgrades!$U$8,G215),1)*IF(Upgrades!$T$10="Magnetosphere",POWER(Upgrades!$U$10,I215),1)*IF(Upgrades!$T$11="Magnetosphere",POWER(Upgrades!$U$11,J215),1)*IF(Upgrades!$T$12="Magnetosphere",POWER(Upgrades!$U$12,K215),1))+(IF(I215=0,0,(Upgrades!$J$10+I215*Upgrades!$K$10)*POWER(Upgrades!$L$10,I215)))*(IF(Upgrades!$T$6="Orbital Resonance",POWER(Upgrades!$U$6,E215),1)*IF(Upgrades!$T$7="Orbital Resonance",POWER(Upgrades!$U$7,F215),1)*IF(Upgrades!$T$8="Orbital Resonance",POWER(Upgrades!$U$8,G215),1)*IF(Upgrades!$T$9="Orbital Resonance",POWER(Upgrades!$U$9,H215),1)*IF(Upgrades!$T$11="Orbital Resonance",POWER(Upgrades!$U$11,J215),1)*IF(Upgrades!$T$12="Orbital Resonance",POWER(Upgrades!$U$12,K215),1))+(IF(J215=0,0,(Upgrades!$J$11+J215*Upgrades!$K$11)*POWER(Upgrades!$L$11,J215)))*(IF(Upgrades!$T$6="Heliopause",POWER(Upgrades!$U$6,E215),1)*IF(Upgrades!$T$7="Heliopause",POWER(Upgrades!$U$7,F215),1)*IF(Upgrades!$T$8="Heliopause",POWER(Upgrades!$U$8,G215),1)*IF(Upgrades!$T$9="Heliopause",POWER(Upgrades!$U$9,H215),1)*IF(Upgrades!$T$10="Heliopause",POWER(Upgrades!$U$10,I215),1)*IF(Upgrades!$T$12="Heliopause",POWER(Upgrades!$U$12,K215),1))+(IF(K215=0,0,(Upgrades!$J$12+K215*Upgrades!$K$12)*POWER(Upgrades!$L$12,K215)))*(IF(Upgrades!$T$6="First Photons",POWER(Upgrades!$U$6,E215),1)*IF(Upgrades!$T$7="First Photons",POWER(Upgrades!$U$7,F215),1)*IF(Upgrades!$T$8="First Photons",POWER(Upgrades!$U$8,G215),1)*IF(Upgrades!$T$9="First Photons",POWER(Upgrades!$U$9,H215),1)*IF(Upgrades!$T$10="First Photons",POWER(Upgrades!$U$10,I215),1)*IF(Upgrades!$T$11="First Photons",POWER(Upgrades!$U$11,J215),1)))*POWER(Upgrades!$Q$6,E215)*POWER(Upgrades!$Q$7,F215)*POWER(Upgrades!$Q$8,G215)*POWER(Upgrades!$Q$9,H215)*POWER(Upgrades!$Q$10,I215)*POWER(Upgrades!$Q$11,J215)*POWER(Upgrades!$Q$12,K215)</f>
        <v/>
      </c>
      <c r="N215" s="28">
        <f>((IF(E215=0,0,(Upgrades!$G$6+E215*Upgrades!$H$6)*POWER(Upgrades!$I$6,E215)))*(IF(Upgrades!$T$7="Solar Wind",POWER(Upgrades!$U$7,F215),1)*IF(Upgrades!$T$8="Solar Wind",POWER(Upgrades!$U$8,G215),1)*IF(Upgrades!$T$9="Solar Wind",POWER(Upgrades!$U$9,H215),1)*IF(Upgrades!$T$10="Solar Wind",POWER(Upgrades!$U$10,I215),1)*IF(Upgrades!$T$11="Solar Wind",POWER(Upgrades!$U$11,J215),1)*IF(Upgrades!$T$12="Solar Wind",POWER(Upgrades!$U$12,K215),1))+(IF(F215=0,0,(Upgrades!$G$7+F215*Upgrades!$H$7)*POWER(Upgrades!$I$7,F215)))*(IF(Upgrades!$T$6="Asteroid Belt",POWER(Upgrades!$U$6,E215),1)*IF(Upgrades!$T$8="Asteroid Belt",POWER(Upgrades!$U$8,G215),1)*IF(Upgrades!$T$9="Asteroid Belt",POWER(Upgrades!$U$9,H215),1)*IF(Upgrades!$T$10="Asteroid Belt",POWER(Upgrades!$U$10,I215),1)*IF(Upgrades!$T$11="Asteroid Belt",POWER(Upgrades!$U$11,J215),1)*IF(Upgrades!$T$12="Asteroid Belt",POWER(Upgrades!$U$12,K215),1))+(IF(G215=0,0,(Upgrades!$G$8+G215*Upgrades!$H$8)*POWER(Upgrades!$I$8,G215)))*(IF(Upgrades!$T$6="Stellar Coupling",POWER(Upgrades!$U$6,E215),1)*IF(Upgrades!$T$7="Stellar Coupling",POWER(Upgrades!$U$7,F215),1)*IF(Upgrades!$T$9="Stellar Coupling",POWER(Upgrades!$U$9,H215),1)*IF(Upgrades!$T$10="Stellar Coupling",POWER(Upgrades!$U$10,I215),1)*IF(Upgrades!$T$11="Stellar Coupling",POWER(Upgrades!$U$11,J215),1)*IF(Upgrades!$T$12="Stellar Coupling",POWER(Upgrades!$U$12,K215),1))+(IF(H215=0,0,(Upgrades!$G$9+H215*Upgrades!$H$9)*POWER(Upgrades!$I$9,H215)))*(IF(Upgrades!$T$6="Magnetosphere",POWER(Upgrades!$U$6,E215),1)*IF(Upgrades!$T$7="Magnetosphere",POWER(Upgrades!$U$7,F215),1)*IF(Upgrades!$T$8="Magnetosphere",POWER(Upgrades!$U$8,G215),1)*IF(Upgrades!$T$10="Magnetosphere",POWER(Upgrades!$U$10,I215),1)*IF(Upgrades!$T$11="Magnetosphere",POWER(Upgrades!$U$11,J215),1)*IF(Upgrades!$T$12="Magnetosphere",POWER(Upgrades!$U$12,K215),1))+(IF(I215=0,0,(Upgrades!$G$10+I215*Upgrades!$H$10)*POWER(Upgrades!$I$10,I215)))*(IF(Upgrades!$T$6="Orbital Resonance",POWER(Upgrades!$U$6,E215),1)*IF(Upgrades!$T$7="Orbital Resonance",POWER(Upgrades!$U$7,F215),1)*IF(Upgrades!$T$8="Orbital Resonance",POWER(Upgrades!$U$8,G215),1)*IF(Upgrades!$T$9="Orbital Resonance",POWER(Upgrades!$U$9,H215),1)*IF(Upgrades!$T$11="Orbital Resonance",POWER(Upgrades!$U$11,J215),1)*IF(Upgrades!$T$12="Orbital Resonance",POWER(Upgrades!$U$12,K215),1))+(IF(J215=0,0,(Upgrades!$G$11+J215*Upgrades!$H$11)*POWER(Upgrades!$I$11,J215)))*(IF(Upgrades!$T$6="Heliopause",POWER(Upgrades!$U$6,E215),1)*IF(Upgrades!$T$7="Heliopause",POWER(Upgrades!$U$7,F215),1)*IF(Upgrades!$T$8="Heliopause",POWER(Upgrades!$U$8,G215),1)*IF(Upgrades!$T$9="Heliopause",POWER(Upgrades!$U$9,H215),1)*IF(Upgrades!$T$10="Heliopause",POWER(Upgrades!$U$10,I215),1)*IF(Upgrades!$T$12="Heliopause",POWER(Upgrades!$U$12,K215),1))+(IF(K215=0,0,(Upgrades!$G$12+K215*Upgrades!$H$12)*POWER(Upgrades!$I$12,K215)))*(IF(Upgrades!$T$6="First Photons",POWER(Upgrades!$U$6,E215),1)*IF(Upgrades!$T$7="First Photons",POWER(Upgrades!$U$7,F215),1)*IF(Upgrades!$T$8="First Photons",POWER(Upgrades!$U$8,G215),1)*IF(Upgrades!$T$9="First Photons",POWER(Upgrades!$U$9,H215),1)*IF(Upgrades!$T$10="First Photons",POWER(Upgrades!$U$10,I215),1)*IF(Upgrades!$T$11="First Photons",POWER(Upgrades!$U$11,J215),1)))*POWER(Upgrades!$P$6,E215)*POWER(Upgrades!$P$7,F215)*POWER(Upgrades!$P$8,G215)*POWER(Upgrades!$P$9,H215)*POWER(Upgrades!$P$10,I215)*POWER(Upgrades!$P$11,J215)*POWER(Upgrades!$P$12,K215)</f>
        <v/>
      </c>
      <c r="O215" s="28">
        <f>((IF(E215=0,0,(Upgrades!$M$6+E215*Upgrades!$N$6)*POWER(Upgrades!$O$6,E215)))*(IF(Upgrades!$T$7="Solar Wind",POWER(Upgrades!$U$7,F215),1)*IF(Upgrades!$T$8="Solar Wind",POWER(Upgrades!$U$8,G215),1)*IF(Upgrades!$T$9="Solar Wind",POWER(Upgrades!$U$9,H215),1)*IF(Upgrades!$T$10="Solar Wind",POWER(Upgrades!$U$10,I215),1)*IF(Upgrades!$T$11="Solar Wind",POWER(Upgrades!$U$11,J215),1)*IF(Upgrades!$T$12="Solar Wind",POWER(Upgrades!$U$12,K215),1))+(IF(F215=0,0,(Upgrades!$M$7+F215*Upgrades!$N$7)*POWER(Upgrades!$O$7,F215)))*(IF(Upgrades!$T$6="Asteroid Belt",POWER(Upgrades!$U$6,E215),1)*IF(Upgrades!$T$8="Asteroid Belt",POWER(Upgrades!$U$8,G215),1)*IF(Upgrades!$T$9="Asteroid Belt",POWER(Upgrades!$U$9,H215),1)*IF(Upgrades!$T$10="Asteroid Belt",POWER(Upgrades!$U$10,I215),1)*IF(Upgrades!$T$11="Asteroid Belt",POWER(Upgrades!$U$11,J215),1)*IF(Upgrades!$T$12="Asteroid Belt",POWER(Upgrades!$U$12,K215),1))+(IF(G215=0,0,(Upgrades!$M$8+G215*Upgrades!$N$8)*POWER(Upgrades!$O$8,G215)))*(IF(Upgrades!$T$6="Stellar Coupling",POWER(Upgrades!$U$6,E215),1)*IF(Upgrades!$T$7="Stellar Coupling",POWER(Upgrades!$U$7,F215),1)*IF(Upgrades!$T$9="Stellar Coupling",POWER(Upgrades!$U$9,H215),1)*IF(Upgrades!$T$10="Stellar Coupling",POWER(Upgrades!$U$10,I215),1)*IF(Upgrades!$T$11="Stellar Coupling",POWER(Upgrades!$U$11,J215),1)*IF(Upgrades!$T$12="Stellar Coupling",POWER(Upgrades!$U$12,K215),1))+(IF(H215=0,0,(Upgrades!$M$9+H215*Upgrades!$N$9)*POWER(Upgrades!$O$9,H215)))*(IF(Upgrades!$T$6="Magnetosphere",POWER(Upgrades!$U$6,E215),1)*IF(Upgrades!$T$7="Magnetosphere",POWER(Upgrades!$U$7,F215),1)*IF(Upgrades!$T$8="Magnetosphere",POWER(Upgrades!$U$8,G215),1)*IF(Upgrades!$T$10="Magnetosphere",POWER(Upgrades!$U$10,I215),1)*IF(Upgrades!$T$11="Magnetosphere",POWER(Upgrades!$U$11,J215),1)*IF(Upgrades!$T$12="Magnetosphere",POWER(Upgrades!$U$12,K215),1))+(IF(I215=0,0,(Upgrades!$M$10+I215*Upgrades!$N$10)*POWER(Upgrades!$O$10,I215)))*(IF(Upgrades!$T$6="Orbital Resonance",POWER(Upgrades!$U$6,E215),1)*IF(Upgrades!$T$7="Orbital Resonance",POWER(Upgrades!$U$7,F215),1)*IF(Upgrades!$T$8="Orbital Resonance",POWER(Upgrades!$U$8,G215),1)*IF(Upgrades!$T$9="Orbital Resonance",POWER(Upgrades!$U$9,H215),1)*IF(Upgrades!$T$11="Orbital Resonance",POWER(Upgrades!$U$11,J215),1)*IF(Upgrades!$T$12="Orbital Resonance",POWER(Upgrades!$U$12,K215),1))+(IF(J215=0,0,(Upgrades!$M$11+J215*Upgrades!$N$11)*POWER(Upgrades!$O$11,J215)))*(IF(Upgrades!$T$6="Heliopause",POWER(Upgrades!$U$6,E215),1)*IF(Upgrades!$T$7="Heliopause",POWER(Upgrades!$U$7,F215),1)*IF(Upgrades!$T$8="Heliopause",POWER(Upgrades!$U$8,G215),1)*IF(Upgrades!$T$9="Heliopause",POWER(Upgrades!$U$9,H215),1)*IF(Upgrades!$T$10="Heliopause",POWER(Upgrades!$U$10,I215),1)*IF(Upgrades!$T$12="Heliopause",POWER(Upgrades!$U$12,K215),1))+(IF(K215=0,0,(Upgrades!$M$12+K215*Upgrades!$N$12)*POWER(Upgrades!$O$12,K215)))*(IF(Upgrades!$T$6="First Photons",POWER(Upgrades!$U$6,E215),1)*IF(Upgrades!$T$7="First Photons",POWER(Upgrades!$U$7,F215),1)*IF(Upgrades!$T$8="First Photons",POWER(Upgrades!$U$8,G215),1)*IF(Upgrades!$T$9="First Photons",POWER(Upgrades!$U$9,H215),1)*IF(Upgrades!$T$10="First Photons",POWER(Upgrades!$U$10,I215),1)*IF(Upgrades!$T$11="First Photons",POWER(Upgrades!$U$11,J215),1)))*POWER(Upgrades!$R$6,E215)*POWER(Upgrades!$R$7,F215)*POWER(Upgrades!$R$8,G215)*POWER(Upgrades!$R$9,H215)*POWER(Upgrades!$R$10,I215)*POWER(Upgrades!$R$11,J215)*POWER(Upgrades!$R$12,K215)</f>
        <v/>
      </c>
      <c r="P215" s="27">
        <f>IF(L215=1,0,M215*Parameters!$B$10/60*Parameters!$B$11*10)</f>
        <v/>
      </c>
      <c r="Q215" s="27">
        <f>IF(L215=1,0,O215*M215*10)</f>
        <v/>
      </c>
      <c r="R215" s="27">
        <f>IF(L215=1,0,N215*10)</f>
        <v/>
      </c>
      <c r="S215" s="27">
        <f>P215+Q215+R215</f>
        <v/>
      </c>
      <c r="T215" s="22">
        <f>C215+S215</f>
        <v/>
      </c>
      <c r="U215" s="33">
        <f>AX215</f>
        <v/>
      </c>
      <c r="V215" s="22">
        <f>IF(U215="",0,IF(U215="transition",0,IF(U215="SW",AG215,IF(U215="AB",AH215,IF(U215="SC",AI215,IF(U215="Mag",AJ215,IF(U215="OR",AK215,IF(U215="HP",AL215,IF(U215="FP",AM215,0)))))))))</f>
        <v/>
      </c>
      <c r="W215" s="27">
        <f>IF(U215="OR",Upgrades!$F$10,IF(U215="HP",Upgrades!$F$11,IF(U215="transition",-Parameters!$B$18,0)))</f>
        <v/>
      </c>
      <c r="X215" s="22">
        <f>T215-V215</f>
        <v/>
      </c>
      <c r="Y215" s="30">
        <f>M215*Parameters!$B$10/60*Parameters!$B$11+O215*M215+N215</f>
        <v/>
      </c>
      <c r="Z215" s="34">
        <f>IF(U215="transition","→ Tier 2 (Stellar Neighborhood)",IF(U215="FP","First Photons — light begins, system quickens",IF(U215="HP","Heliopause acquired",IF(U215="OR","Orbital Resonance — passive multiplier active",IF(AND(AO215=1,L215=0,AN215&lt;&gt;1),"Cohesion ready (waiting on completionist upgrades)","")))))</f>
        <v/>
      </c>
      <c r="AA215" s="27">
        <f>(IF(E215=0,0,(Upgrades!$G$6+E215*Upgrades!$H$6)*POWER(Upgrades!$I$6,E215)))*(IF(Upgrades!$T$7="Solar Wind",POWER(Upgrades!$U$7,F215),1)*IF(Upgrades!$T$8="Solar Wind",POWER(Upgrades!$U$8,G215),1)*IF(Upgrades!$T$9="Solar Wind",POWER(Upgrades!$U$9,H215),1)*IF(Upgrades!$T$10="Solar Wind",POWER(Upgrades!$U$10,I215),1)*IF(Upgrades!$T$11="Solar Wind",POWER(Upgrades!$U$11,J215),1)*IF(Upgrades!$T$12="Solar Wind",POWER(Upgrades!$U$12,K215),1))*POWER(Upgrades!$P$6,E215)*POWER(Upgrades!$P$7,F215)*POWER(Upgrades!$P$8,G215)*POWER(Upgrades!$P$9,H215)*POWER(Upgrades!$P$10,I215)*POWER(Upgrades!$P$11,J215)*POWER(Upgrades!$P$12,K215)*60</f>
        <v/>
      </c>
      <c r="AB215" s="27">
        <f>(IF(F215=0,0,(Upgrades!$G$7+F215*Upgrades!$H$7)*POWER(Upgrades!$I$7,F215)))*(IF(Upgrades!$T$6="Asteroid Belt",POWER(Upgrades!$U$6,E215),1)*IF(Upgrades!$T$8="Asteroid Belt",POWER(Upgrades!$U$8,G215),1)*IF(Upgrades!$T$9="Asteroid Belt",POWER(Upgrades!$U$9,H215),1)*IF(Upgrades!$T$10="Asteroid Belt",POWER(Upgrades!$U$10,I215),1)*IF(Upgrades!$T$11="Asteroid Belt",POWER(Upgrades!$U$11,J215),1)*IF(Upgrades!$T$12="Asteroid Belt",POWER(Upgrades!$U$12,K215),1))*POWER(Upgrades!$P$6,E215)*POWER(Upgrades!$P$7,F215)*POWER(Upgrades!$P$8,G215)*POWER(Upgrades!$P$9,H215)*POWER(Upgrades!$P$10,I215)*POWER(Upgrades!$P$11,J215)*POWER(Upgrades!$P$12,K215)*60</f>
        <v/>
      </c>
      <c r="AC215" s="27">
        <f>(IF(G215=0,0,(Upgrades!$J$8+G215*Upgrades!$K$8)*POWER(Upgrades!$L$8,G215)))*(IF(Upgrades!$T$6="Stellar Coupling",POWER(Upgrades!$U$6,E215),1)*IF(Upgrades!$T$7="Stellar Coupling",POWER(Upgrades!$U$7,F215),1)*IF(Upgrades!$T$9="Stellar Coupling",POWER(Upgrades!$U$9,H215),1)*IF(Upgrades!$T$10="Stellar Coupling",POWER(Upgrades!$U$10,I215),1)*IF(Upgrades!$T$11="Stellar Coupling",POWER(Upgrades!$U$11,J215),1)*IF(Upgrades!$T$12="Stellar Coupling",POWER(Upgrades!$U$12,K215),1))*POWER(Upgrades!$Q$6,E215)*POWER(Upgrades!$Q$7,F215)*POWER(Upgrades!$Q$8,G215)*POWER(Upgrades!$Q$9,H215)*POWER(Upgrades!$Q$10,I215)*POWER(Upgrades!$Q$11,J215)*POWER(Upgrades!$Q$12,K215)*Parameters!$B$10*Parameters!$B$11</f>
        <v/>
      </c>
      <c r="AD215" s="27">
        <f>(IF(H215=0,0,(Upgrades!$G$9+H215*Upgrades!$H$9)*POWER(Upgrades!$I$9,H215)))*(IF(Upgrades!$T$6="Magnetosphere",POWER(Upgrades!$U$6,E215),1)*IF(Upgrades!$T$7="Magnetosphere",POWER(Upgrades!$U$7,F215),1)*IF(Upgrades!$T$8="Magnetosphere",POWER(Upgrades!$U$8,G215),1)*IF(Upgrades!$T$10="Magnetosphere",POWER(Upgrades!$U$10,I215),1)*IF(Upgrades!$T$11="Magnetosphere",POWER(Upgrades!$U$11,J215),1)*IF(Upgrades!$T$12="Magnetosphere",POWER(Upgrades!$U$12,K215),1))*POWER(Upgrades!$P$6,E215)*POWER(Upgrades!$P$7,F215)*POWER(Upgrades!$P$8,G215)*POWER(Upgrades!$P$9,H215)*POWER(Upgrades!$P$10,I215)*POWER(Upgrades!$P$11,J215)*POWER(Upgrades!$P$12,K215)*60</f>
        <v/>
      </c>
      <c r="AE215" s="27">
        <f>(IF(K215=0,0,(Upgrades!$G$12+K215*Upgrades!$H$12)*POWER(Upgrades!$I$12,K215)))*(IF(Upgrades!$T$6="First Photons",POWER(Upgrades!$U$6,E215),1)*IF(Upgrades!$T$7="First Photons",POWER(Upgrades!$U$7,F215),1)*IF(Upgrades!$T$8="First Photons",POWER(Upgrades!$U$8,G215),1)*IF(Upgrades!$T$9="First Photons",POWER(Upgrades!$U$9,H215),1)*IF(Upgrades!$T$10="First Photons",POWER(Upgrades!$U$10,I215),1)*IF(Upgrades!$T$11="First Photons",POWER(Upgrades!$U$11,J215),1))*POWER(Upgrades!$P$6,E215)*POWER(Upgrades!$P$7,F215)*POWER(Upgrades!$P$8,G215)*POWER(Upgrades!$P$9,H215)*POWER(Upgrades!$P$10,I215)*POWER(Upgrades!$P$11,J215)*POWER(Upgrades!$P$12,K215)*60</f>
        <v/>
      </c>
      <c r="AF215" s="27">
        <f>Parameters!$B$9*POWER(Upgrades!$Q$6,E215)*POWER(Upgrades!$Q$7,F215)*POWER(Upgrades!$Q$8,G215)*POWER(Upgrades!$Q$9,H215)*POWER(Upgrades!$Q$10,I215)*POWER(Upgrades!$Q$11,J215)*POWER(Upgrades!$Q$12,K215)*(Parameters!$B$10*Parameters!$B$11+O215*60)</f>
        <v/>
      </c>
      <c r="AG215" s="22">
        <f>IF(E215&gt;=Upgrades!$E$6,"",Upgrades!$C$6*POWER(Upgrades!$D$6,E215))</f>
        <v/>
      </c>
      <c r="AH215" s="22">
        <f>IF(F215&gt;=Upgrades!$E$7,"",Upgrades!$C$7*POWER(Upgrades!$D$7,F215))</f>
        <v/>
      </c>
      <c r="AI215" s="22">
        <f>IF(G215&gt;=Upgrades!$E$8,"",Upgrades!$C$8*POWER(Upgrades!$D$8,G215))</f>
        <v/>
      </c>
      <c r="AJ215" s="22">
        <f>IF(H215&gt;=Upgrades!$E$9,"",Upgrades!$C$9*POWER(Upgrades!$D$9,H215))</f>
        <v/>
      </c>
      <c r="AK215" s="22">
        <f>IF(I215&gt;=Upgrades!$E$10,"",Upgrades!$C$10*POWER(Upgrades!$D$10,I215))</f>
        <v/>
      </c>
      <c r="AL215" s="22">
        <f>IF(J215&gt;=Upgrades!$E$11,"",Upgrades!$C$11*POWER(Upgrades!$D$11,J215))</f>
        <v/>
      </c>
      <c r="AM215" s="22">
        <f>IF(K215&gt;=Upgrades!$E$12,"",Upgrades!$C$12*POWER(Upgrades!$D$12,K215))</f>
        <v/>
      </c>
      <c r="AN215" s="26">
        <f>IF(AND(D215&gt;=Parameters!$B$18,(H215&gt;=Upgrades!$E$9)*(K215&gt;=Upgrades!$E$12)=1,L215=0),1,"")</f>
        <v/>
      </c>
      <c r="AO215" s="26">
        <f>IF(AND(D215&gt;=Parameters!$B$18,L215=0),1,"")</f>
        <v/>
      </c>
      <c r="AP215" s="22">
        <f>MIN(IF(ISNUMBER(AK215),AK215,9E15),IF(ISNUMBER(AL215),AL215,9E15),IF(ISNUMBER(AM215),AM215,9E15))</f>
        <v/>
      </c>
      <c r="AQ215" s="22">
        <f>MIN(IF(ISNUMBER(AG215),AG215,9E15),IF(ISNUMBER(AH215),AH215,9E15),IF(ISNUMBER(AI215),AI215,9E15),IF(ISNUMBER(AJ215),AJ215,9E15))</f>
        <v/>
      </c>
      <c r="AR215" s="29">
        <f>IF(AW215&gt;Parameters!$B$21*(MAX(IF(AND(NOT(AND(AO215=1,AN215&lt;&gt;1)),ISNUMBER(AG215),AG215&lt;=T215),AS215,0),IF(AND(NOT(AND(AO215=1,AN215&lt;&gt;1)),ISNUMBER(AH215),AH215&lt;=T215),AT215,0),IF(AND(NOT(AND(AO215=1,AN215&lt;&gt;1)),ISNUMBER(AI215),AI215&lt;=T215),AU215,0),IF(AND(ISNUMBER(AJ215),AJ215&lt;=T215),AV215,0))),TRUE,FALSE)</f>
        <v/>
      </c>
      <c r="AS215" s="32">
        <f>IFERROR(Upgrades!$H$6*(POWER(Upgrades!$P$6,E215)*POWER(Upgrades!$P$7,F215)*POWER(Upgrades!$P$8,G215)*POWER(Upgrades!$P$9,H215)*POWER(Upgrades!$P$10,I215)*POWER(Upgrades!$P$11,J215)*POWER(Upgrades!$P$12,K215))*(IF(Upgrades!$T$7="Solar Wind",POWER(Upgrades!$U$7,F215),1)*IF(Upgrades!$T$8="Solar Wind",POWER(Upgrades!$U$8,G215),1)*IF(Upgrades!$T$9="Solar Wind",POWER(Upgrades!$U$9,H215),1)*IF(Upgrades!$T$10="Solar Wind",POWER(Upgrades!$U$10,I215),1)*IF(Upgrades!$T$11="Solar Wind",POWER(Upgrades!$U$11,J215),1)*IF(Upgrades!$T$12="Solar Wind",POWER(Upgrades!$U$12,K215),1))/AG215,0)</f>
        <v/>
      </c>
      <c r="AT215" s="32">
        <f>IFERROR(Upgrades!$H$7*(POWER(Upgrades!$P$6,E215)*POWER(Upgrades!$P$7,F215)*POWER(Upgrades!$P$8,G215)*POWER(Upgrades!$P$9,H215)*POWER(Upgrades!$P$10,I215)*POWER(Upgrades!$P$11,J215)*POWER(Upgrades!$P$12,K215))*(IF(Upgrades!$T$6="Asteroid Belt",POWER(Upgrades!$U$6,E215),1)*IF(Upgrades!$T$8="Asteroid Belt",POWER(Upgrades!$U$8,G215),1)*IF(Upgrades!$T$9="Asteroid Belt",POWER(Upgrades!$U$9,H215),1)*IF(Upgrades!$T$10="Asteroid Belt",POWER(Upgrades!$U$10,I215),1)*IF(Upgrades!$T$11="Asteroid Belt",POWER(Upgrades!$U$11,J215),1)*IF(Upgrades!$T$12="Asteroid Belt",POWER(Upgrades!$U$12,K215),1))/AH215,0)</f>
        <v/>
      </c>
      <c r="AU215" s="32">
        <f>IFERROR(Upgrades!$K$8*(POWER(Upgrades!$Q$6,E215)*POWER(Upgrades!$Q$7,F215)*POWER(Upgrades!$Q$8,G215)*POWER(Upgrades!$Q$9,H215)*POWER(Upgrades!$Q$10,I215)*POWER(Upgrades!$Q$11,J215)*POWER(Upgrades!$Q$12,K215))*(IF(Upgrades!$T$6="Stellar Coupling",POWER(Upgrades!$U$6,E215),1)*IF(Upgrades!$T$7="Stellar Coupling",POWER(Upgrades!$U$7,F215),1)*IF(Upgrades!$T$9="Stellar Coupling",POWER(Upgrades!$U$9,H215),1)*IF(Upgrades!$T$10="Stellar Coupling",POWER(Upgrades!$U$10,I215),1)*IF(Upgrades!$T$11="Stellar Coupling",POWER(Upgrades!$U$11,J215),1)*IF(Upgrades!$T$12="Stellar Coupling",POWER(Upgrades!$U$12,K215),1))*Parameters!$B$10*Parameters!$B$11/60/AI215,0)</f>
        <v/>
      </c>
      <c r="AV215" s="32">
        <f>IFERROR(Upgrades!$H$9*(POWER(Upgrades!$P$6,E215)*POWER(Upgrades!$P$7,F215)*POWER(Upgrades!$P$8,G215)*POWER(Upgrades!$P$9,H215)*POWER(Upgrades!$P$10,I215)*POWER(Upgrades!$P$11,J215)*POWER(Upgrades!$P$12,K215))*(IF(Upgrades!$T$6="Magnetosphere",POWER(Upgrades!$U$6,E215),1)*IF(Upgrades!$T$7="Magnetosphere",POWER(Upgrades!$U$7,F215),1)*IF(Upgrades!$T$8="Magnetosphere",POWER(Upgrades!$U$8,G215),1)*IF(Upgrades!$T$10="Magnetosphere",POWER(Upgrades!$U$10,I215),1)*IF(Upgrades!$T$11="Magnetosphere",POWER(Upgrades!$U$11,J215),1)*IF(Upgrades!$T$12="Magnetosphere",POWER(Upgrades!$U$12,K215),1))/AJ215,0)</f>
        <v/>
      </c>
      <c r="AW215" s="32">
        <f>MAX(IF(I215&gt;0,0,IFERROR(0.25*N215/Upgrades!$C$10,0)),IF(J215&gt;0,0,IFERROR(0.5*((IF(G215=0,0,(Upgrades!$J$8+G215*Upgrades!$K$8)*POWER(Upgrades!$L$8,G215)))*(IF(Upgrades!$T$6="Stellar Coupling",POWER(Upgrades!$U$6,E215),1)*IF(Upgrades!$T$7="Stellar Coupling",POWER(Upgrades!$U$7,F215),1)*IF(Upgrades!$T$9="Stellar Coupling",POWER(Upgrades!$U$9,H215),1)*IF(Upgrades!$T$10="Stellar Coupling",POWER(Upgrades!$U$10,I215),1)*IF(Upgrades!$T$11="Stellar Coupling",POWER(Upgrades!$U$11,J215),1)*IF(Upgrades!$T$12="Stellar Coupling",POWER(Upgrades!$U$12,K215),1))*(POWER(Upgrades!$Q$6,E215)*POWER(Upgrades!$Q$7,F215)*POWER(Upgrades!$Q$8,G215)*POWER(Upgrades!$Q$9,H215)*POWER(Upgrades!$Q$10,I215)*POWER(Upgrades!$Q$11,J215)*POWER(Upgrades!$Q$12,K215))*Parameters!$B$10*Parameters!$B$11/60)/Upgrades!$C$11,0)),IF(K215&gt;0,0,IFERROR((1.0*(POWER(Upgrades!$P$6,E215)*POWER(Upgrades!$P$7,F215)*POWER(Upgrades!$P$8,G215)*POWER(Upgrades!$P$9,H215)*POWER(Upgrades!$P$10,I215)*POWER(Upgrades!$P$11,J215)*POWER(Upgrades!$P$12,K215))+0.20*M215*Parameters!$B$10*Parameters!$B$11/60)/Upgrades!$C$12,0)),IF(AND(ISNUMBER(AG215),AG215&gt;T215),AS215,0),IF(AND(ISNUMBER(AH215),AH215&gt;T215),AT215,0),IF(AND(ISNUMBER(AI215),AI215&gt;T215),AU215,0),IF(AND(ISNUMBER(AJ215),AJ215&gt;T215),AV215,0))</f>
        <v/>
      </c>
      <c r="AX215" s="29">
        <f>IF(AN215=1,"transition",IF(MIN(IF(AND(I215=0,ISNUMBER(AK215),AK215&lt;=T215),AK215,9E15),IF(AND(J215=0,ISNUMBER(AL215),AL215&lt;=T215),AL215,9E15),IF(AND(K215=0,ISNUMBER(AM215),AM215&lt;=T215),AM215,9E15))&lt;9E15,IF(AND(AND(I215=0,ISNUMBER(AK215),AK215&lt;=T215),AK215=MIN(IF(AND(I215=0,ISNUMBER(AK215),AK215&lt;=T215),AK215,9E15),IF(AND(J215=0,ISNUMBER(AL215),AL215&lt;=T215),AL215,9E15),IF(AND(K215=0,ISNUMBER(AM215),AM215&lt;=T215),AM215,9E15))),"OR",IF(AND(AND(J215=0,ISNUMBER(AL215),AL215&lt;=T215),AL215=MIN(IF(AND(I215=0,ISNUMBER(AK215),AK215&lt;=T215),AK215,9E15),IF(AND(J215=0,ISNUMBER(AL215),AL215&lt;=T215),AL215,9E15),IF(AND(K215=0,ISNUMBER(AM215),AM215&lt;=T215),AM215,9E15))),"HP","FP")),IF(AR215=TRUE,"",IF(MAX(IF(AND(NOT(AND(AO215=1,AN215&lt;&gt;1)),ISNUMBER(AG215),AG215&lt;=T215),AS215,0),IF(AND(NOT(AND(AO215=1,AN215&lt;&gt;1)),ISNUMBER(AH215),AH215&lt;=T215),AT215,0),IF(AND(NOT(AND(AO215=1,AN215&lt;&gt;1)),ISNUMBER(AI215),AI215&lt;=T215),AU215,0),IF(AND(ISNUMBER(AJ215),AJ215&lt;=T215),AV215,0))&lt;=0,"",IF(AND(IF(AND(NOT(AND(AO215=1,AN215&lt;&gt;1)),ISNUMBER(AG215),AG215&lt;=T215),AS215,0)&gt;0,IF(AND(NOT(AND(AO215=1,AN215&lt;&gt;1)),ISNUMBER(AG215),AG215&lt;=T215),AS215,0)=MAX(IF(AND(NOT(AND(AO215=1,AN215&lt;&gt;1)),ISNUMBER(AG215),AG215&lt;=T215),AS215,0),IF(AND(NOT(AND(AO215=1,AN215&lt;&gt;1)),ISNUMBER(AH215),AH215&lt;=T215),AT215,0),IF(AND(NOT(AND(AO215=1,AN215&lt;&gt;1)),ISNUMBER(AI215),AI215&lt;=T215),AU215,0),IF(AND(ISNUMBER(AJ215),AJ215&lt;=T215),AV215,0))),"SW",IF(AND(IF(AND(NOT(AND(AO215=1,AN215&lt;&gt;1)),ISNUMBER(AH215),AH215&lt;=T215),AT215,0)&gt;0,IF(AND(NOT(AND(AO215=1,AN215&lt;&gt;1)),ISNUMBER(AH215),AH215&lt;=T215),AT215,0)=MAX(IF(AND(NOT(AND(AO215=1,AN215&lt;&gt;1)),ISNUMBER(AG215),AG215&lt;=T215),AS215,0),IF(AND(NOT(AND(AO215=1,AN215&lt;&gt;1)),ISNUMBER(AH215),AH215&lt;=T215),AT215,0),IF(AND(NOT(AND(AO215=1,AN215&lt;&gt;1)),ISNUMBER(AI215),AI215&lt;=T215),AU215,0),IF(AND(ISNUMBER(AJ215),AJ215&lt;=T215),AV215,0))),"AB",IF(AND(IF(AND(NOT(AND(AO215=1,AN215&lt;&gt;1)),ISNUMBER(AI215),AI215&lt;=T215),AU215,0)&gt;0,IF(AND(NOT(AND(AO215=1,AN215&lt;&gt;1)),ISNUMBER(AI215),AI215&lt;=T215),AU215,0)=MAX(IF(AND(NOT(AND(AO215=1,AN215&lt;&gt;1)),ISNUMBER(AG215),AG215&lt;=T215),AS215,0),IF(AND(NOT(AND(AO215=1,AN215&lt;&gt;1)),ISNUMBER(AH215),AH215&lt;=T215),AT215,0),IF(AND(NOT(AND(AO215=1,AN215&lt;&gt;1)),ISNUMBER(AI215),AI215&lt;=T215),AU215,0),IF(AND(ISNUMBER(AJ215),AJ215&lt;=T215),AV215,0))),"SC","Mag")))))))</f>
        <v/>
      </c>
    </row>
    <row r="216">
      <c r="A216" s="26" t="n">
        <v>211</v>
      </c>
      <c r="B216" s="27">
        <f>A216*10/60</f>
        <v/>
      </c>
      <c r="C216" s="22">
        <f>X215</f>
        <v/>
      </c>
      <c r="D216" s="27">
        <f>D215+W215</f>
        <v/>
      </c>
      <c r="E216" s="26">
        <f>E215+IF(U215="SW",1,0)</f>
        <v/>
      </c>
      <c r="F216" s="26">
        <f>F215+IF(U215="AB",1,0)</f>
        <v/>
      </c>
      <c r="G216" s="26">
        <f>G215+IF(U215="SC",1,0)</f>
        <v/>
      </c>
      <c r="H216" s="26">
        <f>H215+IF(U215="Mag",1,0)</f>
        <v/>
      </c>
      <c r="I216" s="26">
        <f>MAX(I215,IF(U215="OR",1,0))</f>
        <v/>
      </c>
      <c r="J216" s="26">
        <f>MAX(J215,IF(U215="HP",1,0))</f>
        <v/>
      </c>
      <c r="K216" s="26">
        <f>MAX(K215,IF(U215="FP",1,0))</f>
        <v/>
      </c>
      <c r="L216" s="26">
        <f>MAX(L215,IF(U215="transition",1,0))</f>
        <v/>
      </c>
      <c r="M216" s="28">
        <f>(Parameters!$B$9+(IF(E216=0,0,(Upgrades!$J$6+E216*Upgrades!$K$6)*POWER(Upgrades!$L$6,E216)))*(IF(Upgrades!$T$7="Solar Wind",POWER(Upgrades!$U$7,F216),1)*IF(Upgrades!$T$8="Solar Wind",POWER(Upgrades!$U$8,G216),1)*IF(Upgrades!$T$9="Solar Wind",POWER(Upgrades!$U$9,H216),1)*IF(Upgrades!$T$10="Solar Wind",POWER(Upgrades!$U$10,I216),1)*IF(Upgrades!$T$11="Solar Wind",POWER(Upgrades!$U$11,J216),1)*IF(Upgrades!$T$12="Solar Wind",POWER(Upgrades!$U$12,K216),1))+(IF(F216=0,0,(Upgrades!$J$7+F216*Upgrades!$K$7)*POWER(Upgrades!$L$7,F216)))*(IF(Upgrades!$T$6="Asteroid Belt",POWER(Upgrades!$U$6,E216),1)*IF(Upgrades!$T$8="Asteroid Belt",POWER(Upgrades!$U$8,G216),1)*IF(Upgrades!$T$9="Asteroid Belt",POWER(Upgrades!$U$9,H216),1)*IF(Upgrades!$T$10="Asteroid Belt",POWER(Upgrades!$U$10,I216),1)*IF(Upgrades!$T$11="Asteroid Belt",POWER(Upgrades!$U$11,J216),1)*IF(Upgrades!$T$12="Asteroid Belt",POWER(Upgrades!$U$12,K216),1))+(IF(G216=0,0,(Upgrades!$J$8+G216*Upgrades!$K$8)*POWER(Upgrades!$L$8,G216)))*(IF(Upgrades!$T$6="Stellar Coupling",POWER(Upgrades!$U$6,E216),1)*IF(Upgrades!$T$7="Stellar Coupling",POWER(Upgrades!$U$7,F216),1)*IF(Upgrades!$T$9="Stellar Coupling",POWER(Upgrades!$U$9,H216),1)*IF(Upgrades!$T$10="Stellar Coupling",POWER(Upgrades!$U$10,I216),1)*IF(Upgrades!$T$11="Stellar Coupling",POWER(Upgrades!$U$11,J216),1)*IF(Upgrades!$T$12="Stellar Coupling",POWER(Upgrades!$U$12,K216),1))+(IF(H216=0,0,(Upgrades!$J$9+H216*Upgrades!$K$9)*POWER(Upgrades!$L$9,H216)))*(IF(Upgrades!$T$6="Magnetosphere",POWER(Upgrades!$U$6,E216),1)*IF(Upgrades!$T$7="Magnetosphere",POWER(Upgrades!$U$7,F216),1)*IF(Upgrades!$T$8="Magnetosphere",POWER(Upgrades!$U$8,G216),1)*IF(Upgrades!$T$10="Magnetosphere",POWER(Upgrades!$U$10,I216),1)*IF(Upgrades!$T$11="Magnetosphere",POWER(Upgrades!$U$11,J216),1)*IF(Upgrades!$T$12="Magnetosphere",POWER(Upgrades!$U$12,K216),1))+(IF(I216=0,0,(Upgrades!$J$10+I216*Upgrades!$K$10)*POWER(Upgrades!$L$10,I216)))*(IF(Upgrades!$T$6="Orbital Resonance",POWER(Upgrades!$U$6,E216),1)*IF(Upgrades!$T$7="Orbital Resonance",POWER(Upgrades!$U$7,F216),1)*IF(Upgrades!$T$8="Orbital Resonance",POWER(Upgrades!$U$8,G216),1)*IF(Upgrades!$T$9="Orbital Resonance",POWER(Upgrades!$U$9,H216),1)*IF(Upgrades!$T$11="Orbital Resonance",POWER(Upgrades!$U$11,J216),1)*IF(Upgrades!$T$12="Orbital Resonance",POWER(Upgrades!$U$12,K216),1))+(IF(J216=0,0,(Upgrades!$J$11+J216*Upgrades!$K$11)*POWER(Upgrades!$L$11,J216)))*(IF(Upgrades!$T$6="Heliopause",POWER(Upgrades!$U$6,E216),1)*IF(Upgrades!$T$7="Heliopause",POWER(Upgrades!$U$7,F216),1)*IF(Upgrades!$T$8="Heliopause",POWER(Upgrades!$U$8,G216),1)*IF(Upgrades!$T$9="Heliopause",POWER(Upgrades!$U$9,H216),1)*IF(Upgrades!$T$10="Heliopause",POWER(Upgrades!$U$10,I216),1)*IF(Upgrades!$T$12="Heliopause",POWER(Upgrades!$U$12,K216),1))+(IF(K216=0,0,(Upgrades!$J$12+K216*Upgrades!$K$12)*POWER(Upgrades!$L$12,K216)))*(IF(Upgrades!$T$6="First Photons",POWER(Upgrades!$U$6,E216),1)*IF(Upgrades!$T$7="First Photons",POWER(Upgrades!$U$7,F216),1)*IF(Upgrades!$T$8="First Photons",POWER(Upgrades!$U$8,G216),1)*IF(Upgrades!$T$9="First Photons",POWER(Upgrades!$U$9,H216),1)*IF(Upgrades!$T$10="First Photons",POWER(Upgrades!$U$10,I216),1)*IF(Upgrades!$T$11="First Photons",POWER(Upgrades!$U$11,J216),1)))*POWER(Upgrades!$Q$6,E216)*POWER(Upgrades!$Q$7,F216)*POWER(Upgrades!$Q$8,G216)*POWER(Upgrades!$Q$9,H216)*POWER(Upgrades!$Q$10,I216)*POWER(Upgrades!$Q$11,J216)*POWER(Upgrades!$Q$12,K216)</f>
        <v/>
      </c>
      <c r="N216" s="28">
        <f>((IF(E216=0,0,(Upgrades!$G$6+E216*Upgrades!$H$6)*POWER(Upgrades!$I$6,E216)))*(IF(Upgrades!$T$7="Solar Wind",POWER(Upgrades!$U$7,F216),1)*IF(Upgrades!$T$8="Solar Wind",POWER(Upgrades!$U$8,G216),1)*IF(Upgrades!$T$9="Solar Wind",POWER(Upgrades!$U$9,H216),1)*IF(Upgrades!$T$10="Solar Wind",POWER(Upgrades!$U$10,I216),1)*IF(Upgrades!$T$11="Solar Wind",POWER(Upgrades!$U$11,J216),1)*IF(Upgrades!$T$12="Solar Wind",POWER(Upgrades!$U$12,K216),1))+(IF(F216=0,0,(Upgrades!$G$7+F216*Upgrades!$H$7)*POWER(Upgrades!$I$7,F216)))*(IF(Upgrades!$T$6="Asteroid Belt",POWER(Upgrades!$U$6,E216),1)*IF(Upgrades!$T$8="Asteroid Belt",POWER(Upgrades!$U$8,G216),1)*IF(Upgrades!$T$9="Asteroid Belt",POWER(Upgrades!$U$9,H216),1)*IF(Upgrades!$T$10="Asteroid Belt",POWER(Upgrades!$U$10,I216),1)*IF(Upgrades!$T$11="Asteroid Belt",POWER(Upgrades!$U$11,J216),1)*IF(Upgrades!$T$12="Asteroid Belt",POWER(Upgrades!$U$12,K216),1))+(IF(G216=0,0,(Upgrades!$G$8+G216*Upgrades!$H$8)*POWER(Upgrades!$I$8,G216)))*(IF(Upgrades!$T$6="Stellar Coupling",POWER(Upgrades!$U$6,E216),1)*IF(Upgrades!$T$7="Stellar Coupling",POWER(Upgrades!$U$7,F216),1)*IF(Upgrades!$T$9="Stellar Coupling",POWER(Upgrades!$U$9,H216),1)*IF(Upgrades!$T$10="Stellar Coupling",POWER(Upgrades!$U$10,I216),1)*IF(Upgrades!$T$11="Stellar Coupling",POWER(Upgrades!$U$11,J216),1)*IF(Upgrades!$T$12="Stellar Coupling",POWER(Upgrades!$U$12,K216),1))+(IF(H216=0,0,(Upgrades!$G$9+H216*Upgrades!$H$9)*POWER(Upgrades!$I$9,H216)))*(IF(Upgrades!$T$6="Magnetosphere",POWER(Upgrades!$U$6,E216),1)*IF(Upgrades!$T$7="Magnetosphere",POWER(Upgrades!$U$7,F216),1)*IF(Upgrades!$T$8="Magnetosphere",POWER(Upgrades!$U$8,G216),1)*IF(Upgrades!$T$10="Magnetosphere",POWER(Upgrades!$U$10,I216),1)*IF(Upgrades!$T$11="Magnetosphere",POWER(Upgrades!$U$11,J216),1)*IF(Upgrades!$T$12="Magnetosphere",POWER(Upgrades!$U$12,K216),1))+(IF(I216=0,0,(Upgrades!$G$10+I216*Upgrades!$H$10)*POWER(Upgrades!$I$10,I216)))*(IF(Upgrades!$T$6="Orbital Resonance",POWER(Upgrades!$U$6,E216),1)*IF(Upgrades!$T$7="Orbital Resonance",POWER(Upgrades!$U$7,F216),1)*IF(Upgrades!$T$8="Orbital Resonance",POWER(Upgrades!$U$8,G216),1)*IF(Upgrades!$T$9="Orbital Resonance",POWER(Upgrades!$U$9,H216),1)*IF(Upgrades!$T$11="Orbital Resonance",POWER(Upgrades!$U$11,J216),1)*IF(Upgrades!$T$12="Orbital Resonance",POWER(Upgrades!$U$12,K216),1))+(IF(J216=0,0,(Upgrades!$G$11+J216*Upgrades!$H$11)*POWER(Upgrades!$I$11,J216)))*(IF(Upgrades!$T$6="Heliopause",POWER(Upgrades!$U$6,E216),1)*IF(Upgrades!$T$7="Heliopause",POWER(Upgrades!$U$7,F216),1)*IF(Upgrades!$T$8="Heliopause",POWER(Upgrades!$U$8,G216),1)*IF(Upgrades!$T$9="Heliopause",POWER(Upgrades!$U$9,H216),1)*IF(Upgrades!$T$10="Heliopause",POWER(Upgrades!$U$10,I216),1)*IF(Upgrades!$T$12="Heliopause",POWER(Upgrades!$U$12,K216),1))+(IF(K216=0,0,(Upgrades!$G$12+K216*Upgrades!$H$12)*POWER(Upgrades!$I$12,K216)))*(IF(Upgrades!$T$6="First Photons",POWER(Upgrades!$U$6,E216),1)*IF(Upgrades!$T$7="First Photons",POWER(Upgrades!$U$7,F216),1)*IF(Upgrades!$T$8="First Photons",POWER(Upgrades!$U$8,G216),1)*IF(Upgrades!$T$9="First Photons",POWER(Upgrades!$U$9,H216),1)*IF(Upgrades!$T$10="First Photons",POWER(Upgrades!$U$10,I216),1)*IF(Upgrades!$T$11="First Photons",POWER(Upgrades!$U$11,J216),1)))*POWER(Upgrades!$P$6,E216)*POWER(Upgrades!$P$7,F216)*POWER(Upgrades!$P$8,G216)*POWER(Upgrades!$P$9,H216)*POWER(Upgrades!$P$10,I216)*POWER(Upgrades!$P$11,J216)*POWER(Upgrades!$P$12,K216)</f>
        <v/>
      </c>
      <c r="O216" s="28">
        <f>((IF(E216=0,0,(Upgrades!$M$6+E216*Upgrades!$N$6)*POWER(Upgrades!$O$6,E216)))*(IF(Upgrades!$T$7="Solar Wind",POWER(Upgrades!$U$7,F216),1)*IF(Upgrades!$T$8="Solar Wind",POWER(Upgrades!$U$8,G216),1)*IF(Upgrades!$T$9="Solar Wind",POWER(Upgrades!$U$9,H216),1)*IF(Upgrades!$T$10="Solar Wind",POWER(Upgrades!$U$10,I216),1)*IF(Upgrades!$T$11="Solar Wind",POWER(Upgrades!$U$11,J216),1)*IF(Upgrades!$T$12="Solar Wind",POWER(Upgrades!$U$12,K216),1))+(IF(F216=0,0,(Upgrades!$M$7+F216*Upgrades!$N$7)*POWER(Upgrades!$O$7,F216)))*(IF(Upgrades!$T$6="Asteroid Belt",POWER(Upgrades!$U$6,E216),1)*IF(Upgrades!$T$8="Asteroid Belt",POWER(Upgrades!$U$8,G216),1)*IF(Upgrades!$T$9="Asteroid Belt",POWER(Upgrades!$U$9,H216),1)*IF(Upgrades!$T$10="Asteroid Belt",POWER(Upgrades!$U$10,I216),1)*IF(Upgrades!$T$11="Asteroid Belt",POWER(Upgrades!$U$11,J216),1)*IF(Upgrades!$T$12="Asteroid Belt",POWER(Upgrades!$U$12,K216),1))+(IF(G216=0,0,(Upgrades!$M$8+G216*Upgrades!$N$8)*POWER(Upgrades!$O$8,G216)))*(IF(Upgrades!$T$6="Stellar Coupling",POWER(Upgrades!$U$6,E216),1)*IF(Upgrades!$T$7="Stellar Coupling",POWER(Upgrades!$U$7,F216),1)*IF(Upgrades!$T$9="Stellar Coupling",POWER(Upgrades!$U$9,H216),1)*IF(Upgrades!$T$10="Stellar Coupling",POWER(Upgrades!$U$10,I216),1)*IF(Upgrades!$T$11="Stellar Coupling",POWER(Upgrades!$U$11,J216),1)*IF(Upgrades!$T$12="Stellar Coupling",POWER(Upgrades!$U$12,K216),1))+(IF(H216=0,0,(Upgrades!$M$9+H216*Upgrades!$N$9)*POWER(Upgrades!$O$9,H216)))*(IF(Upgrades!$T$6="Magnetosphere",POWER(Upgrades!$U$6,E216),1)*IF(Upgrades!$T$7="Magnetosphere",POWER(Upgrades!$U$7,F216),1)*IF(Upgrades!$T$8="Magnetosphere",POWER(Upgrades!$U$8,G216),1)*IF(Upgrades!$T$10="Magnetosphere",POWER(Upgrades!$U$10,I216),1)*IF(Upgrades!$T$11="Magnetosphere",POWER(Upgrades!$U$11,J216),1)*IF(Upgrades!$T$12="Magnetosphere",POWER(Upgrades!$U$12,K216),1))+(IF(I216=0,0,(Upgrades!$M$10+I216*Upgrades!$N$10)*POWER(Upgrades!$O$10,I216)))*(IF(Upgrades!$T$6="Orbital Resonance",POWER(Upgrades!$U$6,E216),1)*IF(Upgrades!$T$7="Orbital Resonance",POWER(Upgrades!$U$7,F216),1)*IF(Upgrades!$T$8="Orbital Resonance",POWER(Upgrades!$U$8,G216),1)*IF(Upgrades!$T$9="Orbital Resonance",POWER(Upgrades!$U$9,H216),1)*IF(Upgrades!$T$11="Orbital Resonance",POWER(Upgrades!$U$11,J216),1)*IF(Upgrades!$T$12="Orbital Resonance",POWER(Upgrades!$U$12,K216),1))+(IF(J216=0,0,(Upgrades!$M$11+J216*Upgrades!$N$11)*POWER(Upgrades!$O$11,J216)))*(IF(Upgrades!$T$6="Heliopause",POWER(Upgrades!$U$6,E216),1)*IF(Upgrades!$T$7="Heliopause",POWER(Upgrades!$U$7,F216),1)*IF(Upgrades!$T$8="Heliopause",POWER(Upgrades!$U$8,G216),1)*IF(Upgrades!$T$9="Heliopause",POWER(Upgrades!$U$9,H216),1)*IF(Upgrades!$T$10="Heliopause",POWER(Upgrades!$U$10,I216),1)*IF(Upgrades!$T$12="Heliopause",POWER(Upgrades!$U$12,K216),1))+(IF(K216=0,0,(Upgrades!$M$12+K216*Upgrades!$N$12)*POWER(Upgrades!$O$12,K216)))*(IF(Upgrades!$T$6="First Photons",POWER(Upgrades!$U$6,E216),1)*IF(Upgrades!$T$7="First Photons",POWER(Upgrades!$U$7,F216),1)*IF(Upgrades!$T$8="First Photons",POWER(Upgrades!$U$8,G216),1)*IF(Upgrades!$T$9="First Photons",POWER(Upgrades!$U$9,H216),1)*IF(Upgrades!$T$10="First Photons",POWER(Upgrades!$U$10,I216),1)*IF(Upgrades!$T$11="First Photons",POWER(Upgrades!$U$11,J216),1)))*POWER(Upgrades!$R$6,E216)*POWER(Upgrades!$R$7,F216)*POWER(Upgrades!$R$8,G216)*POWER(Upgrades!$R$9,H216)*POWER(Upgrades!$R$10,I216)*POWER(Upgrades!$R$11,J216)*POWER(Upgrades!$R$12,K216)</f>
        <v/>
      </c>
      <c r="P216" s="27">
        <f>IF(L216=1,0,M216*Parameters!$B$10/60*Parameters!$B$11*10)</f>
        <v/>
      </c>
      <c r="Q216" s="27">
        <f>IF(L216=1,0,O216*M216*10)</f>
        <v/>
      </c>
      <c r="R216" s="27">
        <f>IF(L216=1,0,N216*10)</f>
        <v/>
      </c>
      <c r="S216" s="27">
        <f>P216+Q216+R216</f>
        <v/>
      </c>
      <c r="T216" s="22">
        <f>C216+S216</f>
        <v/>
      </c>
      <c r="U216" s="33">
        <f>AX216</f>
        <v/>
      </c>
      <c r="V216" s="22">
        <f>IF(U216="",0,IF(U216="transition",0,IF(U216="SW",AG216,IF(U216="AB",AH216,IF(U216="SC",AI216,IF(U216="Mag",AJ216,IF(U216="OR",AK216,IF(U216="HP",AL216,IF(U216="FP",AM216,0)))))))))</f>
        <v/>
      </c>
      <c r="W216" s="27">
        <f>IF(U216="OR",Upgrades!$F$10,IF(U216="HP",Upgrades!$F$11,IF(U216="transition",-Parameters!$B$18,0)))</f>
        <v/>
      </c>
      <c r="X216" s="22">
        <f>T216-V216</f>
        <v/>
      </c>
      <c r="Y216" s="30">
        <f>M216*Parameters!$B$10/60*Parameters!$B$11+O216*M216+N216</f>
        <v/>
      </c>
      <c r="Z216" s="34">
        <f>IF(U216="transition","→ Tier 2 (Stellar Neighborhood)",IF(U216="FP","First Photons — light begins, system quickens",IF(U216="HP","Heliopause acquired",IF(U216="OR","Orbital Resonance — passive multiplier active",IF(AND(AO216=1,L216=0,AN216&lt;&gt;1),"Cohesion ready (waiting on completionist upgrades)","")))))</f>
        <v/>
      </c>
      <c r="AA216" s="27">
        <f>(IF(E216=0,0,(Upgrades!$G$6+E216*Upgrades!$H$6)*POWER(Upgrades!$I$6,E216)))*(IF(Upgrades!$T$7="Solar Wind",POWER(Upgrades!$U$7,F216),1)*IF(Upgrades!$T$8="Solar Wind",POWER(Upgrades!$U$8,G216),1)*IF(Upgrades!$T$9="Solar Wind",POWER(Upgrades!$U$9,H216),1)*IF(Upgrades!$T$10="Solar Wind",POWER(Upgrades!$U$10,I216),1)*IF(Upgrades!$T$11="Solar Wind",POWER(Upgrades!$U$11,J216),1)*IF(Upgrades!$T$12="Solar Wind",POWER(Upgrades!$U$12,K216),1))*POWER(Upgrades!$P$6,E216)*POWER(Upgrades!$P$7,F216)*POWER(Upgrades!$P$8,G216)*POWER(Upgrades!$P$9,H216)*POWER(Upgrades!$P$10,I216)*POWER(Upgrades!$P$11,J216)*POWER(Upgrades!$P$12,K216)*60</f>
        <v/>
      </c>
      <c r="AB216" s="27">
        <f>(IF(F216=0,0,(Upgrades!$G$7+F216*Upgrades!$H$7)*POWER(Upgrades!$I$7,F216)))*(IF(Upgrades!$T$6="Asteroid Belt",POWER(Upgrades!$U$6,E216),1)*IF(Upgrades!$T$8="Asteroid Belt",POWER(Upgrades!$U$8,G216),1)*IF(Upgrades!$T$9="Asteroid Belt",POWER(Upgrades!$U$9,H216),1)*IF(Upgrades!$T$10="Asteroid Belt",POWER(Upgrades!$U$10,I216),1)*IF(Upgrades!$T$11="Asteroid Belt",POWER(Upgrades!$U$11,J216),1)*IF(Upgrades!$T$12="Asteroid Belt",POWER(Upgrades!$U$12,K216),1))*POWER(Upgrades!$P$6,E216)*POWER(Upgrades!$P$7,F216)*POWER(Upgrades!$P$8,G216)*POWER(Upgrades!$P$9,H216)*POWER(Upgrades!$P$10,I216)*POWER(Upgrades!$P$11,J216)*POWER(Upgrades!$P$12,K216)*60</f>
        <v/>
      </c>
      <c r="AC216" s="27">
        <f>(IF(G216=0,0,(Upgrades!$J$8+G216*Upgrades!$K$8)*POWER(Upgrades!$L$8,G216)))*(IF(Upgrades!$T$6="Stellar Coupling",POWER(Upgrades!$U$6,E216),1)*IF(Upgrades!$T$7="Stellar Coupling",POWER(Upgrades!$U$7,F216),1)*IF(Upgrades!$T$9="Stellar Coupling",POWER(Upgrades!$U$9,H216),1)*IF(Upgrades!$T$10="Stellar Coupling",POWER(Upgrades!$U$10,I216),1)*IF(Upgrades!$T$11="Stellar Coupling",POWER(Upgrades!$U$11,J216),1)*IF(Upgrades!$T$12="Stellar Coupling",POWER(Upgrades!$U$12,K216),1))*POWER(Upgrades!$Q$6,E216)*POWER(Upgrades!$Q$7,F216)*POWER(Upgrades!$Q$8,G216)*POWER(Upgrades!$Q$9,H216)*POWER(Upgrades!$Q$10,I216)*POWER(Upgrades!$Q$11,J216)*POWER(Upgrades!$Q$12,K216)*Parameters!$B$10*Parameters!$B$11</f>
        <v/>
      </c>
      <c r="AD216" s="27">
        <f>(IF(H216=0,0,(Upgrades!$G$9+H216*Upgrades!$H$9)*POWER(Upgrades!$I$9,H216)))*(IF(Upgrades!$T$6="Magnetosphere",POWER(Upgrades!$U$6,E216),1)*IF(Upgrades!$T$7="Magnetosphere",POWER(Upgrades!$U$7,F216),1)*IF(Upgrades!$T$8="Magnetosphere",POWER(Upgrades!$U$8,G216),1)*IF(Upgrades!$T$10="Magnetosphere",POWER(Upgrades!$U$10,I216),1)*IF(Upgrades!$T$11="Magnetosphere",POWER(Upgrades!$U$11,J216),1)*IF(Upgrades!$T$12="Magnetosphere",POWER(Upgrades!$U$12,K216),1))*POWER(Upgrades!$P$6,E216)*POWER(Upgrades!$P$7,F216)*POWER(Upgrades!$P$8,G216)*POWER(Upgrades!$P$9,H216)*POWER(Upgrades!$P$10,I216)*POWER(Upgrades!$P$11,J216)*POWER(Upgrades!$P$12,K216)*60</f>
        <v/>
      </c>
      <c r="AE216" s="27">
        <f>(IF(K216=0,0,(Upgrades!$G$12+K216*Upgrades!$H$12)*POWER(Upgrades!$I$12,K216)))*(IF(Upgrades!$T$6="First Photons",POWER(Upgrades!$U$6,E216),1)*IF(Upgrades!$T$7="First Photons",POWER(Upgrades!$U$7,F216),1)*IF(Upgrades!$T$8="First Photons",POWER(Upgrades!$U$8,G216),1)*IF(Upgrades!$T$9="First Photons",POWER(Upgrades!$U$9,H216),1)*IF(Upgrades!$T$10="First Photons",POWER(Upgrades!$U$10,I216),1)*IF(Upgrades!$T$11="First Photons",POWER(Upgrades!$U$11,J216),1))*POWER(Upgrades!$P$6,E216)*POWER(Upgrades!$P$7,F216)*POWER(Upgrades!$P$8,G216)*POWER(Upgrades!$P$9,H216)*POWER(Upgrades!$P$10,I216)*POWER(Upgrades!$P$11,J216)*POWER(Upgrades!$P$12,K216)*60</f>
        <v/>
      </c>
      <c r="AF216" s="27">
        <f>Parameters!$B$9*POWER(Upgrades!$Q$6,E216)*POWER(Upgrades!$Q$7,F216)*POWER(Upgrades!$Q$8,G216)*POWER(Upgrades!$Q$9,H216)*POWER(Upgrades!$Q$10,I216)*POWER(Upgrades!$Q$11,J216)*POWER(Upgrades!$Q$12,K216)*(Parameters!$B$10*Parameters!$B$11+O216*60)</f>
        <v/>
      </c>
      <c r="AG216" s="22">
        <f>IF(E216&gt;=Upgrades!$E$6,"",Upgrades!$C$6*POWER(Upgrades!$D$6,E216))</f>
        <v/>
      </c>
      <c r="AH216" s="22">
        <f>IF(F216&gt;=Upgrades!$E$7,"",Upgrades!$C$7*POWER(Upgrades!$D$7,F216))</f>
        <v/>
      </c>
      <c r="AI216" s="22">
        <f>IF(G216&gt;=Upgrades!$E$8,"",Upgrades!$C$8*POWER(Upgrades!$D$8,G216))</f>
        <v/>
      </c>
      <c r="AJ216" s="22">
        <f>IF(H216&gt;=Upgrades!$E$9,"",Upgrades!$C$9*POWER(Upgrades!$D$9,H216))</f>
        <v/>
      </c>
      <c r="AK216" s="22">
        <f>IF(I216&gt;=Upgrades!$E$10,"",Upgrades!$C$10*POWER(Upgrades!$D$10,I216))</f>
        <v/>
      </c>
      <c r="AL216" s="22">
        <f>IF(J216&gt;=Upgrades!$E$11,"",Upgrades!$C$11*POWER(Upgrades!$D$11,J216))</f>
        <v/>
      </c>
      <c r="AM216" s="22">
        <f>IF(K216&gt;=Upgrades!$E$12,"",Upgrades!$C$12*POWER(Upgrades!$D$12,K216))</f>
        <v/>
      </c>
      <c r="AN216" s="26">
        <f>IF(AND(D216&gt;=Parameters!$B$18,(H216&gt;=Upgrades!$E$9)*(K216&gt;=Upgrades!$E$12)=1,L216=0),1,"")</f>
        <v/>
      </c>
      <c r="AO216" s="26">
        <f>IF(AND(D216&gt;=Parameters!$B$18,L216=0),1,"")</f>
        <v/>
      </c>
      <c r="AP216" s="22">
        <f>MIN(IF(ISNUMBER(AK216),AK216,9E15),IF(ISNUMBER(AL216),AL216,9E15),IF(ISNUMBER(AM216),AM216,9E15))</f>
        <v/>
      </c>
      <c r="AQ216" s="22">
        <f>MIN(IF(ISNUMBER(AG216),AG216,9E15),IF(ISNUMBER(AH216),AH216,9E15),IF(ISNUMBER(AI216),AI216,9E15),IF(ISNUMBER(AJ216),AJ216,9E15))</f>
        <v/>
      </c>
      <c r="AR216" s="29">
        <f>IF(AW216&gt;Parameters!$B$21*(MAX(IF(AND(NOT(AND(AO216=1,AN216&lt;&gt;1)),ISNUMBER(AG216),AG216&lt;=T216),AS216,0),IF(AND(NOT(AND(AO216=1,AN216&lt;&gt;1)),ISNUMBER(AH216),AH216&lt;=T216),AT216,0),IF(AND(NOT(AND(AO216=1,AN216&lt;&gt;1)),ISNUMBER(AI216),AI216&lt;=T216),AU216,0),IF(AND(ISNUMBER(AJ216),AJ216&lt;=T216),AV216,0))),TRUE,FALSE)</f>
        <v/>
      </c>
      <c r="AS216" s="32">
        <f>IFERROR(Upgrades!$H$6*(POWER(Upgrades!$P$6,E216)*POWER(Upgrades!$P$7,F216)*POWER(Upgrades!$P$8,G216)*POWER(Upgrades!$P$9,H216)*POWER(Upgrades!$P$10,I216)*POWER(Upgrades!$P$11,J216)*POWER(Upgrades!$P$12,K216))*(IF(Upgrades!$T$7="Solar Wind",POWER(Upgrades!$U$7,F216),1)*IF(Upgrades!$T$8="Solar Wind",POWER(Upgrades!$U$8,G216),1)*IF(Upgrades!$T$9="Solar Wind",POWER(Upgrades!$U$9,H216),1)*IF(Upgrades!$T$10="Solar Wind",POWER(Upgrades!$U$10,I216),1)*IF(Upgrades!$T$11="Solar Wind",POWER(Upgrades!$U$11,J216),1)*IF(Upgrades!$T$12="Solar Wind",POWER(Upgrades!$U$12,K216),1))/AG216,0)</f>
        <v/>
      </c>
      <c r="AT216" s="32">
        <f>IFERROR(Upgrades!$H$7*(POWER(Upgrades!$P$6,E216)*POWER(Upgrades!$P$7,F216)*POWER(Upgrades!$P$8,G216)*POWER(Upgrades!$P$9,H216)*POWER(Upgrades!$P$10,I216)*POWER(Upgrades!$P$11,J216)*POWER(Upgrades!$P$12,K216))*(IF(Upgrades!$T$6="Asteroid Belt",POWER(Upgrades!$U$6,E216),1)*IF(Upgrades!$T$8="Asteroid Belt",POWER(Upgrades!$U$8,G216),1)*IF(Upgrades!$T$9="Asteroid Belt",POWER(Upgrades!$U$9,H216),1)*IF(Upgrades!$T$10="Asteroid Belt",POWER(Upgrades!$U$10,I216),1)*IF(Upgrades!$T$11="Asteroid Belt",POWER(Upgrades!$U$11,J216),1)*IF(Upgrades!$T$12="Asteroid Belt",POWER(Upgrades!$U$12,K216),1))/AH216,0)</f>
        <v/>
      </c>
      <c r="AU216" s="32">
        <f>IFERROR(Upgrades!$K$8*(POWER(Upgrades!$Q$6,E216)*POWER(Upgrades!$Q$7,F216)*POWER(Upgrades!$Q$8,G216)*POWER(Upgrades!$Q$9,H216)*POWER(Upgrades!$Q$10,I216)*POWER(Upgrades!$Q$11,J216)*POWER(Upgrades!$Q$12,K216))*(IF(Upgrades!$T$6="Stellar Coupling",POWER(Upgrades!$U$6,E216),1)*IF(Upgrades!$T$7="Stellar Coupling",POWER(Upgrades!$U$7,F216),1)*IF(Upgrades!$T$9="Stellar Coupling",POWER(Upgrades!$U$9,H216),1)*IF(Upgrades!$T$10="Stellar Coupling",POWER(Upgrades!$U$10,I216),1)*IF(Upgrades!$T$11="Stellar Coupling",POWER(Upgrades!$U$11,J216),1)*IF(Upgrades!$T$12="Stellar Coupling",POWER(Upgrades!$U$12,K216),1))*Parameters!$B$10*Parameters!$B$11/60/AI216,0)</f>
        <v/>
      </c>
      <c r="AV216" s="32">
        <f>IFERROR(Upgrades!$H$9*(POWER(Upgrades!$P$6,E216)*POWER(Upgrades!$P$7,F216)*POWER(Upgrades!$P$8,G216)*POWER(Upgrades!$P$9,H216)*POWER(Upgrades!$P$10,I216)*POWER(Upgrades!$P$11,J216)*POWER(Upgrades!$P$12,K216))*(IF(Upgrades!$T$6="Magnetosphere",POWER(Upgrades!$U$6,E216),1)*IF(Upgrades!$T$7="Magnetosphere",POWER(Upgrades!$U$7,F216),1)*IF(Upgrades!$T$8="Magnetosphere",POWER(Upgrades!$U$8,G216),1)*IF(Upgrades!$T$10="Magnetosphere",POWER(Upgrades!$U$10,I216),1)*IF(Upgrades!$T$11="Magnetosphere",POWER(Upgrades!$U$11,J216),1)*IF(Upgrades!$T$12="Magnetosphere",POWER(Upgrades!$U$12,K216),1))/AJ216,0)</f>
        <v/>
      </c>
      <c r="AW216" s="32">
        <f>MAX(IF(I216&gt;0,0,IFERROR(0.25*N216/Upgrades!$C$10,0)),IF(J216&gt;0,0,IFERROR(0.5*((IF(G216=0,0,(Upgrades!$J$8+G216*Upgrades!$K$8)*POWER(Upgrades!$L$8,G216)))*(IF(Upgrades!$T$6="Stellar Coupling",POWER(Upgrades!$U$6,E216),1)*IF(Upgrades!$T$7="Stellar Coupling",POWER(Upgrades!$U$7,F216),1)*IF(Upgrades!$T$9="Stellar Coupling",POWER(Upgrades!$U$9,H216),1)*IF(Upgrades!$T$10="Stellar Coupling",POWER(Upgrades!$U$10,I216),1)*IF(Upgrades!$T$11="Stellar Coupling",POWER(Upgrades!$U$11,J216),1)*IF(Upgrades!$T$12="Stellar Coupling",POWER(Upgrades!$U$12,K216),1))*(POWER(Upgrades!$Q$6,E216)*POWER(Upgrades!$Q$7,F216)*POWER(Upgrades!$Q$8,G216)*POWER(Upgrades!$Q$9,H216)*POWER(Upgrades!$Q$10,I216)*POWER(Upgrades!$Q$11,J216)*POWER(Upgrades!$Q$12,K216))*Parameters!$B$10*Parameters!$B$11/60)/Upgrades!$C$11,0)),IF(K216&gt;0,0,IFERROR((1.0*(POWER(Upgrades!$P$6,E216)*POWER(Upgrades!$P$7,F216)*POWER(Upgrades!$P$8,G216)*POWER(Upgrades!$P$9,H216)*POWER(Upgrades!$P$10,I216)*POWER(Upgrades!$P$11,J216)*POWER(Upgrades!$P$12,K216))+0.20*M216*Parameters!$B$10*Parameters!$B$11/60)/Upgrades!$C$12,0)),IF(AND(ISNUMBER(AG216),AG216&gt;T216),AS216,0),IF(AND(ISNUMBER(AH216),AH216&gt;T216),AT216,0),IF(AND(ISNUMBER(AI216),AI216&gt;T216),AU216,0),IF(AND(ISNUMBER(AJ216),AJ216&gt;T216),AV216,0))</f>
        <v/>
      </c>
      <c r="AX216" s="29">
        <f>IF(AN216=1,"transition",IF(MIN(IF(AND(I216=0,ISNUMBER(AK216),AK216&lt;=T216),AK216,9E15),IF(AND(J216=0,ISNUMBER(AL216),AL216&lt;=T216),AL216,9E15),IF(AND(K216=0,ISNUMBER(AM216),AM216&lt;=T216),AM216,9E15))&lt;9E15,IF(AND(AND(I216=0,ISNUMBER(AK216),AK216&lt;=T216),AK216=MIN(IF(AND(I216=0,ISNUMBER(AK216),AK216&lt;=T216),AK216,9E15),IF(AND(J216=0,ISNUMBER(AL216),AL216&lt;=T216),AL216,9E15),IF(AND(K216=0,ISNUMBER(AM216),AM216&lt;=T216),AM216,9E15))),"OR",IF(AND(AND(J216=0,ISNUMBER(AL216),AL216&lt;=T216),AL216=MIN(IF(AND(I216=0,ISNUMBER(AK216),AK216&lt;=T216),AK216,9E15),IF(AND(J216=0,ISNUMBER(AL216),AL216&lt;=T216),AL216,9E15),IF(AND(K216=0,ISNUMBER(AM216),AM216&lt;=T216),AM216,9E15))),"HP","FP")),IF(AR216=TRUE,"",IF(MAX(IF(AND(NOT(AND(AO216=1,AN216&lt;&gt;1)),ISNUMBER(AG216),AG216&lt;=T216),AS216,0),IF(AND(NOT(AND(AO216=1,AN216&lt;&gt;1)),ISNUMBER(AH216),AH216&lt;=T216),AT216,0),IF(AND(NOT(AND(AO216=1,AN216&lt;&gt;1)),ISNUMBER(AI216),AI216&lt;=T216),AU216,0),IF(AND(ISNUMBER(AJ216),AJ216&lt;=T216),AV216,0))&lt;=0,"",IF(AND(IF(AND(NOT(AND(AO216=1,AN216&lt;&gt;1)),ISNUMBER(AG216),AG216&lt;=T216),AS216,0)&gt;0,IF(AND(NOT(AND(AO216=1,AN216&lt;&gt;1)),ISNUMBER(AG216),AG216&lt;=T216),AS216,0)=MAX(IF(AND(NOT(AND(AO216=1,AN216&lt;&gt;1)),ISNUMBER(AG216),AG216&lt;=T216),AS216,0),IF(AND(NOT(AND(AO216=1,AN216&lt;&gt;1)),ISNUMBER(AH216),AH216&lt;=T216),AT216,0),IF(AND(NOT(AND(AO216=1,AN216&lt;&gt;1)),ISNUMBER(AI216),AI216&lt;=T216),AU216,0),IF(AND(ISNUMBER(AJ216),AJ216&lt;=T216),AV216,0))),"SW",IF(AND(IF(AND(NOT(AND(AO216=1,AN216&lt;&gt;1)),ISNUMBER(AH216),AH216&lt;=T216),AT216,0)&gt;0,IF(AND(NOT(AND(AO216=1,AN216&lt;&gt;1)),ISNUMBER(AH216),AH216&lt;=T216),AT216,0)=MAX(IF(AND(NOT(AND(AO216=1,AN216&lt;&gt;1)),ISNUMBER(AG216),AG216&lt;=T216),AS216,0),IF(AND(NOT(AND(AO216=1,AN216&lt;&gt;1)),ISNUMBER(AH216),AH216&lt;=T216),AT216,0),IF(AND(NOT(AND(AO216=1,AN216&lt;&gt;1)),ISNUMBER(AI216),AI216&lt;=T216),AU216,0),IF(AND(ISNUMBER(AJ216),AJ216&lt;=T216),AV216,0))),"AB",IF(AND(IF(AND(NOT(AND(AO216=1,AN216&lt;&gt;1)),ISNUMBER(AI216),AI216&lt;=T216),AU216,0)&gt;0,IF(AND(NOT(AND(AO216=1,AN216&lt;&gt;1)),ISNUMBER(AI216),AI216&lt;=T216),AU216,0)=MAX(IF(AND(NOT(AND(AO216=1,AN216&lt;&gt;1)),ISNUMBER(AG216),AG216&lt;=T216),AS216,0),IF(AND(NOT(AND(AO216=1,AN216&lt;&gt;1)),ISNUMBER(AH216),AH216&lt;=T216),AT216,0),IF(AND(NOT(AND(AO216=1,AN216&lt;&gt;1)),ISNUMBER(AI216),AI216&lt;=T216),AU216,0),IF(AND(ISNUMBER(AJ216),AJ216&lt;=T216),AV216,0))),"SC","Mag")))))))</f>
        <v/>
      </c>
    </row>
    <row r="217">
      <c r="A217" s="26" t="n">
        <v>212</v>
      </c>
      <c r="B217" s="27">
        <f>A217*10/60</f>
        <v/>
      </c>
      <c r="C217" s="22">
        <f>X216</f>
        <v/>
      </c>
      <c r="D217" s="27">
        <f>D216+W216</f>
        <v/>
      </c>
      <c r="E217" s="26">
        <f>E216+IF(U216="SW",1,0)</f>
        <v/>
      </c>
      <c r="F217" s="26">
        <f>F216+IF(U216="AB",1,0)</f>
        <v/>
      </c>
      <c r="G217" s="26">
        <f>G216+IF(U216="SC",1,0)</f>
        <v/>
      </c>
      <c r="H217" s="26">
        <f>H216+IF(U216="Mag",1,0)</f>
        <v/>
      </c>
      <c r="I217" s="26">
        <f>MAX(I216,IF(U216="OR",1,0))</f>
        <v/>
      </c>
      <c r="J217" s="26">
        <f>MAX(J216,IF(U216="HP",1,0))</f>
        <v/>
      </c>
      <c r="K217" s="26">
        <f>MAX(K216,IF(U216="FP",1,0))</f>
        <v/>
      </c>
      <c r="L217" s="26">
        <f>MAX(L216,IF(U216="transition",1,0))</f>
        <v/>
      </c>
      <c r="M217" s="28">
        <f>(Parameters!$B$9+(IF(E217=0,0,(Upgrades!$J$6+E217*Upgrades!$K$6)*POWER(Upgrades!$L$6,E217)))*(IF(Upgrades!$T$7="Solar Wind",POWER(Upgrades!$U$7,F217),1)*IF(Upgrades!$T$8="Solar Wind",POWER(Upgrades!$U$8,G217),1)*IF(Upgrades!$T$9="Solar Wind",POWER(Upgrades!$U$9,H217),1)*IF(Upgrades!$T$10="Solar Wind",POWER(Upgrades!$U$10,I217),1)*IF(Upgrades!$T$11="Solar Wind",POWER(Upgrades!$U$11,J217),1)*IF(Upgrades!$T$12="Solar Wind",POWER(Upgrades!$U$12,K217),1))+(IF(F217=0,0,(Upgrades!$J$7+F217*Upgrades!$K$7)*POWER(Upgrades!$L$7,F217)))*(IF(Upgrades!$T$6="Asteroid Belt",POWER(Upgrades!$U$6,E217),1)*IF(Upgrades!$T$8="Asteroid Belt",POWER(Upgrades!$U$8,G217),1)*IF(Upgrades!$T$9="Asteroid Belt",POWER(Upgrades!$U$9,H217),1)*IF(Upgrades!$T$10="Asteroid Belt",POWER(Upgrades!$U$10,I217),1)*IF(Upgrades!$T$11="Asteroid Belt",POWER(Upgrades!$U$11,J217),1)*IF(Upgrades!$T$12="Asteroid Belt",POWER(Upgrades!$U$12,K217),1))+(IF(G217=0,0,(Upgrades!$J$8+G217*Upgrades!$K$8)*POWER(Upgrades!$L$8,G217)))*(IF(Upgrades!$T$6="Stellar Coupling",POWER(Upgrades!$U$6,E217),1)*IF(Upgrades!$T$7="Stellar Coupling",POWER(Upgrades!$U$7,F217),1)*IF(Upgrades!$T$9="Stellar Coupling",POWER(Upgrades!$U$9,H217),1)*IF(Upgrades!$T$10="Stellar Coupling",POWER(Upgrades!$U$10,I217),1)*IF(Upgrades!$T$11="Stellar Coupling",POWER(Upgrades!$U$11,J217),1)*IF(Upgrades!$T$12="Stellar Coupling",POWER(Upgrades!$U$12,K217),1))+(IF(H217=0,0,(Upgrades!$J$9+H217*Upgrades!$K$9)*POWER(Upgrades!$L$9,H217)))*(IF(Upgrades!$T$6="Magnetosphere",POWER(Upgrades!$U$6,E217),1)*IF(Upgrades!$T$7="Magnetosphere",POWER(Upgrades!$U$7,F217),1)*IF(Upgrades!$T$8="Magnetosphere",POWER(Upgrades!$U$8,G217),1)*IF(Upgrades!$T$10="Magnetosphere",POWER(Upgrades!$U$10,I217),1)*IF(Upgrades!$T$11="Magnetosphere",POWER(Upgrades!$U$11,J217),1)*IF(Upgrades!$T$12="Magnetosphere",POWER(Upgrades!$U$12,K217),1))+(IF(I217=0,0,(Upgrades!$J$10+I217*Upgrades!$K$10)*POWER(Upgrades!$L$10,I217)))*(IF(Upgrades!$T$6="Orbital Resonance",POWER(Upgrades!$U$6,E217),1)*IF(Upgrades!$T$7="Orbital Resonance",POWER(Upgrades!$U$7,F217),1)*IF(Upgrades!$T$8="Orbital Resonance",POWER(Upgrades!$U$8,G217),1)*IF(Upgrades!$T$9="Orbital Resonance",POWER(Upgrades!$U$9,H217),1)*IF(Upgrades!$T$11="Orbital Resonance",POWER(Upgrades!$U$11,J217),1)*IF(Upgrades!$T$12="Orbital Resonance",POWER(Upgrades!$U$12,K217),1))+(IF(J217=0,0,(Upgrades!$J$11+J217*Upgrades!$K$11)*POWER(Upgrades!$L$11,J217)))*(IF(Upgrades!$T$6="Heliopause",POWER(Upgrades!$U$6,E217),1)*IF(Upgrades!$T$7="Heliopause",POWER(Upgrades!$U$7,F217),1)*IF(Upgrades!$T$8="Heliopause",POWER(Upgrades!$U$8,G217),1)*IF(Upgrades!$T$9="Heliopause",POWER(Upgrades!$U$9,H217),1)*IF(Upgrades!$T$10="Heliopause",POWER(Upgrades!$U$10,I217),1)*IF(Upgrades!$T$12="Heliopause",POWER(Upgrades!$U$12,K217),1))+(IF(K217=0,0,(Upgrades!$J$12+K217*Upgrades!$K$12)*POWER(Upgrades!$L$12,K217)))*(IF(Upgrades!$T$6="First Photons",POWER(Upgrades!$U$6,E217),1)*IF(Upgrades!$T$7="First Photons",POWER(Upgrades!$U$7,F217),1)*IF(Upgrades!$T$8="First Photons",POWER(Upgrades!$U$8,G217),1)*IF(Upgrades!$T$9="First Photons",POWER(Upgrades!$U$9,H217),1)*IF(Upgrades!$T$10="First Photons",POWER(Upgrades!$U$10,I217),1)*IF(Upgrades!$T$11="First Photons",POWER(Upgrades!$U$11,J217),1)))*POWER(Upgrades!$Q$6,E217)*POWER(Upgrades!$Q$7,F217)*POWER(Upgrades!$Q$8,G217)*POWER(Upgrades!$Q$9,H217)*POWER(Upgrades!$Q$10,I217)*POWER(Upgrades!$Q$11,J217)*POWER(Upgrades!$Q$12,K217)</f>
        <v/>
      </c>
      <c r="N217" s="28">
        <f>((IF(E217=0,0,(Upgrades!$G$6+E217*Upgrades!$H$6)*POWER(Upgrades!$I$6,E217)))*(IF(Upgrades!$T$7="Solar Wind",POWER(Upgrades!$U$7,F217),1)*IF(Upgrades!$T$8="Solar Wind",POWER(Upgrades!$U$8,G217),1)*IF(Upgrades!$T$9="Solar Wind",POWER(Upgrades!$U$9,H217),1)*IF(Upgrades!$T$10="Solar Wind",POWER(Upgrades!$U$10,I217),1)*IF(Upgrades!$T$11="Solar Wind",POWER(Upgrades!$U$11,J217),1)*IF(Upgrades!$T$12="Solar Wind",POWER(Upgrades!$U$12,K217),1))+(IF(F217=0,0,(Upgrades!$G$7+F217*Upgrades!$H$7)*POWER(Upgrades!$I$7,F217)))*(IF(Upgrades!$T$6="Asteroid Belt",POWER(Upgrades!$U$6,E217),1)*IF(Upgrades!$T$8="Asteroid Belt",POWER(Upgrades!$U$8,G217),1)*IF(Upgrades!$T$9="Asteroid Belt",POWER(Upgrades!$U$9,H217),1)*IF(Upgrades!$T$10="Asteroid Belt",POWER(Upgrades!$U$10,I217),1)*IF(Upgrades!$T$11="Asteroid Belt",POWER(Upgrades!$U$11,J217),1)*IF(Upgrades!$T$12="Asteroid Belt",POWER(Upgrades!$U$12,K217),1))+(IF(G217=0,0,(Upgrades!$G$8+G217*Upgrades!$H$8)*POWER(Upgrades!$I$8,G217)))*(IF(Upgrades!$T$6="Stellar Coupling",POWER(Upgrades!$U$6,E217),1)*IF(Upgrades!$T$7="Stellar Coupling",POWER(Upgrades!$U$7,F217),1)*IF(Upgrades!$T$9="Stellar Coupling",POWER(Upgrades!$U$9,H217),1)*IF(Upgrades!$T$10="Stellar Coupling",POWER(Upgrades!$U$10,I217),1)*IF(Upgrades!$T$11="Stellar Coupling",POWER(Upgrades!$U$11,J217),1)*IF(Upgrades!$T$12="Stellar Coupling",POWER(Upgrades!$U$12,K217),1))+(IF(H217=0,0,(Upgrades!$G$9+H217*Upgrades!$H$9)*POWER(Upgrades!$I$9,H217)))*(IF(Upgrades!$T$6="Magnetosphere",POWER(Upgrades!$U$6,E217),1)*IF(Upgrades!$T$7="Magnetosphere",POWER(Upgrades!$U$7,F217),1)*IF(Upgrades!$T$8="Magnetosphere",POWER(Upgrades!$U$8,G217),1)*IF(Upgrades!$T$10="Magnetosphere",POWER(Upgrades!$U$10,I217),1)*IF(Upgrades!$T$11="Magnetosphere",POWER(Upgrades!$U$11,J217),1)*IF(Upgrades!$T$12="Magnetosphere",POWER(Upgrades!$U$12,K217),1))+(IF(I217=0,0,(Upgrades!$G$10+I217*Upgrades!$H$10)*POWER(Upgrades!$I$10,I217)))*(IF(Upgrades!$T$6="Orbital Resonance",POWER(Upgrades!$U$6,E217),1)*IF(Upgrades!$T$7="Orbital Resonance",POWER(Upgrades!$U$7,F217),1)*IF(Upgrades!$T$8="Orbital Resonance",POWER(Upgrades!$U$8,G217),1)*IF(Upgrades!$T$9="Orbital Resonance",POWER(Upgrades!$U$9,H217),1)*IF(Upgrades!$T$11="Orbital Resonance",POWER(Upgrades!$U$11,J217),1)*IF(Upgrades!$T$12="Orbital Resonance",POWER(Upgrades!$U$12,K217),1))+(IF(J217=0,0,(Upgrades!$G$11+J217*Upgrades!$H$11)*POWER(Upgrades!$I$11,J217)))*(IF(Upgrades!$T$6="Heliopause",POWER(Upgrades!$U$6,E217),1)*IF(Upgrades!$T$7="Heliopause",POWER(Upgrades!$U$7,F217),1)*IF(Upgrades!$T$8="Heliopause",POWER(Upgrades!$U$8,G217),1)*IF(Upgrades!$T$9="Heliopause",POWER(Upgrades!$U$9,H217),1)*IF(Upgrades!$T$10="Heliopause",POWER(Upgrades!$U$10,I217),1)*IF(Upgrades!$T$12="Heliopause",POWER(Upgrades!$U$12,K217),1))+(IF(K217=0,0,(Upgrades!$G$12+K217*Upgrades!$H$12)*POWER(Upgrades!$I$12,K217)))*(IF(Upgrades!$T$6="First Photons",POWER(Upgrades!$U$6,E217),1)*IF(Upgrades!$T$7="First Photons",POWER(Upgrades!$U$7,F217),1)*IF(Upgrades!$T$8="First Photons",POWER(Upgrades!$U$8,G217),1)*IF(Upgrades!$T$9="First Photons",POWER(Upgrades!$U$9,H217),1)*IF(Upgrades!$T$10="First Photons",POWER(Upgrades!$U$10,I217),1)*IF(Upgrades!$T$11="First Photons",POWER(Upgrades!$U$11,J217),1)))*POWER(Upgrades!$P$6,E217)*POWER(Upgrades!$P$7,F217)*POWER(Upgrades!$P$8,G217)*POWER(Upgrades!$P$9,H217)*POWER(Upgrades!$P$10,I217)*POWER(Upgrades!$P$11,J217)*POWER(Upgrades!$P$12,K217)</f>
        <v/>
      </c>
      <c r="O217" s="28">
        <f>((IF(E217=0,0,(Upgrades!$M$6+E217*Upgrades!$N$6)*POWER(Upgrades!$O$6,E217)))*(IF(Upgrades!$T$7="Solar Wind",POWER(Upgrades!$U$7,F217),1)*IF(Upgrades!$T$8="Solar Wind",POWER(Upgrades!$U$8,G217),1)*IF(Upgrades!$T$9="Solar Wind",POWER(Upgrades!$U$9,H217),1)*IF(Upgrades!$T$10="Solar Wind",POWER(Upgrades!$U$10,I217),1)*IF(Upgrades!$T$11="Solar Wind",POWER(Upgrades!$U$11,J217),1)*IF(Upgrades!$T$12="Solar Wind",POWER(Upgrades!$U$12,K217),1))+(IF(F217=0,0,(Upgrades!$M$7+F217*Upgrades!$N$7)*POWER(Upgrades!$O$7,F217)))*(IF(Upgrades!$T$6="Asteroid Belt",POWER(Upgrades!$U$6,E217),1)*IF(Upgrades!$T$8="Asteroid Belt",POWER(Upgrades!$U$8,G217),1)*IF(Upgrades!$T$9="Asteroid Belt",POWER(Upgrades!$U$9,H217),1)*IF(Upgrades!$T$10="Asteroid Belt",POWER(Upgrades!$U$10,I217),1)*IF(Upgrades!$T$11="Asteroid Belt",POWER(Upgrades!$U$11,J217),1)*IF(Upgrades!$T$12="Asteroid Belt",POWER(Upgrades!$U$12,K217),1))+(IF(G217=0,0,(Upgrades!$M$8+G217*Upgrades!$N$8)*POWER(Upgrades!$O$8,G217)))*(IF(Upgrades!$T$6="Stellar Coupling",POWER(Upgrades!$U$6,E217),1)*IF(Upgrades!$T$7="Stellar Coupling",POWER(Upgrades!$U$7,F217),1)*IF(Upgrades!$T$9="Stellar Coupling",POWER(Upgrades!$U$9,H217),1)*IF(Upgrades!$T$10="Stellar Coupling",POWER(Upgrades!$U$10,I217),1)*IF(Upgrades!$T$11="Stellar Coupling",POWER(Upgrades!$U$11,J217),1)*IF(Upgrades!$T$12="Stellar Coupling",POWER(Upgrades!$U$12,K217),1))+(IF(H217=0,0,(Upgrades!$M$9+H217*Upgrades!$N$9)*POWER(Upgrades!$O$9,H217)))*(IF(Upgrades!$T$6="Magnetosphere",POWER(Upgrades!$U$6,E217),1)*IF(Upgrades!$T$7="Magnetosphere",POWER(Upgrades!$U$7,F217),1)*IF(Upgrades!$T$8="Magnetosphere",POWER(Upgrades!$U$8,G217),1)*IF(Upgrades!$T$10="Magnetosphere",POWER(Upgrades!$U$10,I217),1)*IF(Upgrades!$T$11="Magnetosphere",POWER(Upgrades!$U$11,J217),1)*IF(Upgrades!$T$12="Magnetosphere",POWER(Upgrades!$U$12,K217),1))+(IF(I217=0,0,(Upgrades!$M$10+I217*Upgrades!$N$10)*POWER(Upgrades!$O$10,I217)))*(IF(Upgrades!$T$6="Orbital Resonance",POWER(Upgrades!$U$6,E217),1)*IF(Upgrades!$T$7="Orbital Resonance",POWER(Upgrades!$U$7,F217),1)*IF(Upgrades!$T$8="Orbital Resonance",POWER(Upgrades!$U$8,G217),1)*IF(Upgrades!$T$9="Orbital Resonance",POWER(Upgrades!$U$9,H217),1)*IF(Upgrades!$T$11="Orbital Resonance",POWER(Upgrades!$U$11,J217),1)*IF(Upgrades!$T$12="Orbital Resonance",POWER(Upgrades!$U$12,K217),1))+(IF(J217=0,0,(Upgrades!$M$11+J217*Upgrades!$N$11)*POWER(Upgrades!$O$11,J217)))*(IF(Upgrades!$T$6="Heliopause",POWER(Upgrades!$U$6,E217),1)*IF(Upgrades!$T$7="Heliopause",POWER(Upgrades!$U$7,F217),1)*IF(Upgrades!$T$8="Heliopause",POWER(Upgrades!$U$8,G217),1)*IF(Upgrades!$T$9="Heliopause",POWER(Upgrades!$U$9,H217),1)*IF(Upgrades!$T$10="Heliopause",POWER(Upgrades!$U$10,I217),1)*IF(Upgrades!$T$12="Heliopause",POWER(Upgrades!$U$12,K217),1))+(IF(K217=0,0,(Upgrades!$M$12+K217*Upgrades!$N$12)*POWER(Upgrades!$O$12,K217)))*(IF(Upgrades!$T$6="First Photons",POWER(Upgrades!$U$6,E217),1)*IF(Upgrades!$T$7="First Photons",POWER(Upgrades!$U$7,F217),1)*IF(Upgrades!$T$8="First Photons",POWER(Upgrades!$U$8,G217),1)*IF(Upgrades!$T$9="First Photons",POWER(Upgrades!$U$9,H217),1)*IF(Upgrades!$T$10="First Photons",POWER(Upgrades!$U$10,I217),1)*IF(Upgrades!$T$11="First Photons",POWER(Upgrades!$U$11,J217),1)))*POWER(Upgrades!$R$6,E217)*POWER(Upgrades!$R$7,F217)*POWER(Upgrades!$R$8,G217)*POWER(Upgrades!$R$9,H217)*POWER(Upgrades!$R$10,I217)*POWER(Upgrades!$R$11,J217)*POWER(Upgrades!$R$12,K217)</f>
        <v/>
      </c>
      <c r="P217" s="27">
        <f>IF(L217=1,0,M217*Parameters!$B$10/60*Parameters!$B$11*10)</f>
        <v/>
      </c>
      <c r="Q217" s="27">
        <f>IF(L217=1,0,O217*M217*10)</f>
        <v/>
      </c>
      <c r="R217" s="27">
        <f>IF(L217=1,0,N217*10)</f>
        <v/>
      </c>
      <c r="S217" s="27">
        <f>P217+Q217+R217</f>
        <v/>
      </c>
      <c r="T217" s="22">
        <f>C217+S217</f>
        <v/>
      </c>
      <c r="U217" s="33">
        <f>AX217</f>
        <v/>
      </c>
      <c r="V217" s="22">
        <f>IF(U217="",0,IF(U217="transition",0,IF(U217="SW",AG217,IF(U217="AB",AH217,IF(U217="SC",AI217,IF(U217="Mag",AJ217,IF(U217="OR",AK217,IF(U217="HP",AL217,IF(U217="FP",AM217,0)))))))))</f>
        <v/>
      </c>
      <c r="W217" s="27">
        <f>IF(U217="OR",Upgrades!$F$10,IF(U217="HP",Upgrades!$F$11,IF(U217="transition",-Parameters!$B$18,0)))</f>
        <v/>
      </c>
      <c r="X217" s="22">
        <f>T217-V217</f>
        <v/>
      </c>
      <c r="Y217" s="30">
        <f>M217*Parameters!$B$10/60*Parameters!$B$11+O217*M217+N217</f>
        <v/>
      </c>
      <c r="Z217" s="34">
        <f>IF(U217="transition","→ Tier 2 (Stellar Neighborhood)",IF(U217="FP","First Photons — light begins, system quickens",IF(U217="HP","Heliopause acquired",IF(U217="OR","Orbital Resonance — passive multiplier active",IF(AND(AO217=1,L217=0,AN217&lt;&gt;1),"Cohesion ready (waiting on completionist upgrades)","")))))</f>
        <v/>
      </c>
      <c r="AA217" s="27">
        <f>(IF(E217=0,0,(Upgrades!$G$6+E217*Upgrades!$H$6)*POWER(Upgrades!$I$6,E217)))*(IF(Upgrades!$T$7="Solar Wind",POWER(Upgrades!$U$7,F217),1)*IF(Upgrades!$T$8="Solar Wind",POWER(Upgrades!$U$8,G217),1)*IF(Upgrades!$T$9="Solar Wind",POWER(Upgrades!$U$9,H217),1)*IF(Upgrades!$T$10="Solar Wind",POWER(Upgrades!$U$10,I217),1)*IF(Upgrades!$T$11="Solar Wind",POWER(Upgrades!$U$11,J217),1)*IF(Upgrades!$T$12="Solar Wind",POWER(Upgrades!$U$12,K217),1))*POWER(Upgrades!$P$6,E217)*POWER(Upgrades!$P$7,F217)*POWER(Upgrades!$P$8,G217)*POWER(Upgrades!$P$9,H217)*POWER(Upgrades!$P$10,I217)*POWER(Upgrades!$P$11,J217)*POWER(Upgrades!$P$12,K217)*60</f>
        <v/>
      </c>
      <c r="AB217" s="27">
        <f>(IF(F217=0,0,(Upgrades!$G$7+F217*Upgrades!$H$7)*POWER(Upgrades!$I$7,F217)))*(IF(Upgrades!$T$6="Asteroid Belt",POWER(Upgrades!$U$6,E217),1)*IF(Upgrades!$T$8="Asteroid Belt",POWER(Upgrades!$U$8,G217),1)*IF(Upgrades!$T$9="Asteroid Belt",POWER(Upgrades!$U$9,H217),1)*IF(Upgrades!$T$10="Asteroid Belt",POWER(Upgrades!$U$10,I217),1)*IF(Upgrades!$T$11="Asteroid Belt",POWER(Upgrades!$U$11,J217),1)*IF(Upgrades!$T$12="Asteroid Belt",POWER(Upgrades!$U$12,K217),1))*POWER(Upgrades!$P$6,E217)*POWER(Upgrades!$P$7,F217)*POWER(Upgrades!$P$8,G217)*POWER(Upgrades!$P$9,H217)*POWER(Upgrades!$P$10,I217)*POWER(Upgrades!$P$11,J217)*POWER(Upgrades!$P$12,K217)*60</f>
        <v/>
      </c>
      <c r="AC217" s="27">
        <f>(IF(G217=0,0,(Upgrades!$J$8+G217*Upgrades!$K$8)*POWER(Upgrades!$L$8,G217)))*(IF(Upgrades!$T$6="Stellar Coupling",POWER(Upgrades!$U$6,E217),1)*IF(Upgrades!$T$7="Stellar Coupling",POWER(Upgrades!$U$7,F217),1)*IF(Upgrades!$T$9="Stellar Coupling",POWER(Upgrades!$U$9,H217),1)*IF(Upgrades!$T$10="Stellar Coupling",POWER(Upgrades!$U$10,I217),1)*IF(Upgrades!$T$11="Stellar Coupling",POWER(Upgrades!$U$11,J217),1)*IF(Upgrades!$T$12="Stellar Coupling",POWER(Upgrades!$U$12,K217),1))*POWER(Upgrades!$Q$6,E217)*POWER(Upgrades!$Q$7,F217)*POWER(Upgrades!$Q$8,G217)*POWER(Upgrades!$Q$9,H217)*POWER(Upgrades!$Q$10,I217)*POWER(Upgrades!$Q$11,J217)*POWER(Upgrades!$Q$12,K217)*Parameters!$B$10*Parameters!$B$11</f>
        <v/>
      </c>
      <c r="AD217" s="27">
        <f>(IF(H217=0,0,(Upgrades!$G$9+H217*Upgrades!$H$9)*POWER(Upgrades!$I$9,H217)))*(IF(Upgrades!$T$6="Magnetosphere",POWER(Upgrades!$U$6,E217),1)*IF(Upgrades!$T$7="Magnetosphere",POWER(Upgrades!$U$7,F217),1)*IF(Upgrades!$T$8="Magnetosphere",POWER(Upgrades!$U$8,G217),1)*IF(Upgrades!$T$10="Magnetosphere",POWER(Upgrades!$U$10,I217),1)*IF(Upgrades!$T$11="Magnetosphere",POWER(Upgrades!$U$11,J217),1)*IF(Upgrades!$T$12="Magnetosphere",POWER(Upgrades!$U$12,K217),1))*POWER(Upgrades!$P$6,E217)*POWER(Upgrades!$P$7,F217)*POWER(Upgrades!$P$8,G217)*POWER(Upgrades!$P$9,H217)*POWER(Upgrades!$P$10,I217)*POWER(Upgrades!$P$11,J217)*POWER(Upgrades!$P$12,K217)*60</f>
        <v/>
      </c>
      <c r="AE217" s="27">
        <f>(IF(K217=0,0,(Upgrades!$G$12+K217*Upgrades!$H$12)*POWER(Upgrades!$I$12,K217)))*(IF(Upgrades!$T$6="First Photons",POWER(Upgrades!$U$6,E217),1)*IF(Upgrades!$T$7="First Photons",POWER(Upgrades!$U$7,F217),1)*IF(Upgrades!$T$8="First Photons",POWER(Upgrades!$U$8,G217),1)*IF(Upgrades!$T$9="First Photons",POWER(Upgrades!$U$9,H217),1)*IF(Upgrades!$T$10="First Photons",POWER(Upgrades!$U$10,I217),1)*IF(Upgrades!$T$11="First Photons",POWER(Upgrades!$U$11,J217),1))*POWER(Upgrades!$P$6,E217)*POWER(Upgrades!$P$7,F217)*POWER(Upgrades!$P$8,G217)*POWER(Upgrades!$P$9,H217)*POWER(Upgrades!$P$10,I217)*POWER(Upgrades!$P$11,J217)*POWER(Upgrades!$P$12,K217)*60</f>
        <v/>
      </c>
      <c r="AF217" s="27">
        <f>Parameters!$B$9*POWER(Upgrades!$Q$6,E217)*POWER(Upgrades!$Q$7,F217)*POWER(Upgrades!$Q$8,G217)*POWER(Upgrades!$Q$9,H217)*POWER(Upgrades!$Q$10,I217)*POWER(Upgrades!$Q$11,J217)*POWER(Upgrades!$Q$12,K217)*(Parameters!$B$10*Parameters!$B$11+O217*60)</f>
        <v/>
      </c>
      <c r="AG217" s="22">
        <f>IF(E217&gt;=Upgrades!$E$6,"",Upgrades!$C$6*POWER(Upgrades!$D$6,E217))</f>
        <v/>
      </c>
      <c r="AH217" s="22">
        <f>IF(F217&gt;=Upgrades!$E$7,"",Upgrades!$C$7*POWER(Upgrades!$D$7,F217))</f>
        <v/>
      </c>
      <c r="AI217" s="22">
        <f>IF(G217&gt;=Upgrades!$E$8,"",Upgrades!$C$8*POWER(Upgrades!$D$8,G217))</f>
        <v/>
      </c>
      <c r="AJ217" s="22">
        <f>IF(H217&gt;=Upgrades!$E$9,"",Upgrades!$C$9*POWER(Upgrades!$D$9,H217))</f>
        <v/>
      </c>
      <c r="AK217" s="22">
        <f>IF(I217&gt;=Upgrades!$E$10,"",Upgrades!$C$10*POWER(Upgrades!$D$10,I217))</f>
        <v/>
      </c>
      <c r="AL217" s="22">
        <f>IF(J217&gt;=Upgrades!$E$11,"",Upgrades!$C$11*POWER(Upgrades!$D$11,J217))</f>
        <v/>
      </c>
      <c r="AM217" s="22">
        <f>IF(K217&gt;=Upgrades!$E$12,"",Upgrades!$C$12*POWER(Upgrades!$D$12,K217))</f>
        <v/>
      </c>
      <c r="AN217" s="26">
        <f>IF(AND(D217&gt;=Parameters!$B$18,(H217&gt;=Upgrades!$E$9)*(K217&gt;=Upgrades!$E$12)=1,L217=0),1,"")</f>
        <v/>
      </c>
      <c r="AO217" s="26">
        <f>IF(AND(D217&gt;=Parameters!$B$18,L217=0),1,"")</f>
        <v/>
      </c>
      <c r="AP217" s="22">
        <f>MIN(IF(ISNUMBER(AK217),AK217,9E15),IF(ISNUMBER(AL217),AL217,9E15),IF(ISNUMBER(AM217),AM217,9E15))</f>
        <v/>
      </c>
      <c r="AQ217" s="22">
        <f>MIN(IF(ISNUMBER(AG217),AG217,9E15),IF(ISNUMBER(AH217),AH217,9E15),IF(ISNUMBER(AI217),AI217,9E15),IF(ISNUMBER(AJ217),AJ217,9E15))</f>
        <v/>
      </c>
      <c r="AR217" s="29">
        <f>IF(AW217&gt;Parameters!$B$21*(MAX(IF(AND(NOT(AND(AO217=1,AN217&lt;&gt;1)),ISNUMBER(AG217),AG217&lt;=T217),AS217,0),IF(AND(NOT(AND(AO217=1,AN217&lt;&gt;1)),ISNUMBER(AH217),AH217&lt;=T217),AT217,0),IF(AND(NOT(AND(AO217=1,AN217&lt;&gt;1)),ISNUMBER(AI217),AI217&lt;=T217),AU217,0),IF(AND(ISNUMBER(AJ217),AJ217&lt;=T217),AV217,0))),TRUE,FALSE)</f>
        <v/>
      </c>
      <c r="AS217" s="32">
        <f>IFERROR(Upgrades!$H$6*(POWER(Upgrades!$P$6,E217)*POWER(Upgrades!$P$7,F217)*POWER(Upgrades!$P$8,G217)*POWER(Upgrades!$P$9,H217)*POWER(Upgrades!$P$10,I217)*POWER(Upgrades!$P$11,J217)*POWER(Upgrades!$P$12,K217))*(IF(Upgrades!$T$7="Solar Wind",POWER(Upgrades!$U$7,F217),1)*IF(Upgrades!$T$8="Solar Wind",POWER(Upgrades!$U$8,G217),1)*IF(Upgrades!$T$9="Solar Wind",POWER(Upgrades!$U$9,H217),1)*IF(Upgrades!$T$10="Solar Wind",POWER(Upgrades!$U$10,I217),1)*IF(Upgrades!$T$11="Solar Wind",POWER(Upgrades!$U$11,J217),1)*IF(Upgrades!$T$12="Solar Wind",POWER(Upgrades!$U$12,K217),1))/AG217,0)</f>
        <v/>
      </c>
      <c r="AT217" s="32">
        <f>IFERROR(Upgrades!$H$7*(POWER(Upgrades!$P$6,E217)*POWER(Upgrades!$P$7,F217)*POWER(Upgrades!$P$8,G217)*POWER(Upgrades!$P$9,H217)*POWER(Upgrades!$P$10,I217)*POWER(Upgrades!$P$11,J217)*POWER(Upgrades!$P$12,K217))*(IF(Upgrades!$T$6="Asteroid Belt",POWER(Upgrades!$U$6,E217),1)*IF(Upgrades!$T$8="Asteroid Belt",POWER(Upgrades!$U$8,G217),1)*IF(Upgrades!$T$9="Asteroid Belt",POWER(Upgrades!$U$9,H217),1)*IF(Upgrades!$T$10="Asteroid Belt",POWER(Upgrades!$U$10,I217),1)*IF(Upgrades!$T$11="Asteroid Belt",POWER(Upgrades!$U$11,J217),1)*IF(Upgrades!$T$12="Asteroid Belt",POWER(Upgrades!$U$12,K217),1))/AH217,0)</f>
        <v/>
      </c>
      <c r="AU217" s="32">
        <f>IFERROR(Upgrades!$K$8*(POWER(Upgrades!$Q$6,E217)*POWER(Upgrades!$Q$7,F217)*POWER(Upgrades!$Q$8,G217)*POWER(Upgrades!$Q$9,H217)*POWER(Upgrades!$Q$10,I217)*POWER(Upgrades!$Q$11,J217)*POWER(Upgrades!$Q$12,K217))*(IF(Upgrades!$T$6="Stellar Coupling",POWER(Upgrades!$U$6,E217),1)*IF(Upgrades!$T$7="Stellar Coupling",POWER(Upgrades!$U$7,F217),1)*IF(Upgrades!$T$9="Stellar Coupling",POWER(Upgrades!$U$9,H217),1)*IF(Upgrades!$T$10="Stellar Coupling",POWER(Upgrades!$U$10,I217),1)*IF(Upgrades!$T$11="Stellar Coupling",POWER(Upgrades!$U$11,J217),1)*IF(Upgrades!$T$12="Stellar Coupling",POWER(Upgrades!$U$12,K217),1))*Parameters!$B$10*Parameters!$B$11/60/AI217,0)</f>
        <v/>
      </c>
      <c r="AV217" s="32">
        <f>IFERROR(Upgrades!$H$9*(POWER(Upgrades!$P$6,E217)*POWER(Upgrades!$P$7,F217)*POWER(Upgrades!$P$8,G217)*POWER(Upgrades!$P$9,H217)*POWER(Upgrades!$P$10,I217)*POWER(Upgrades!$P$11,J217)*POWER(Upgrades!$P$12,K217))*(IF(Upgrades!$T$6="Magnetosphere",POWER(Upgrades!$U$6,E217),1)*IF(Upgrades!$T$7="Magnetosphere",POWER(Upgrades!$U$7,F217),1)*IF(Upgrades!$T$8="Magnetosphere",POWER(Upgrades!$U$8,G217),1)*IF(Upgrades!$T$10="Magnetosphere",POWER(Upgrades!$U$10,I217),1)*IF(Upgrades!$T$11="Magnetosphere",POWER(Upgrades!$U$11,J217),1)*IF(Upgrades!$T$12="Magnetosphere",POWER(Upgrades!$U$12,K217),1))/AJ217,0)</f>
        <v/>
      </c>
      <c r="AW217" s="32">
        <f>MAX(IF(I217&gt;0,0,IFERROR(0.25*N217/Upgrades!$C$10,0)),IF(J217&gt;0,0,IFERROR(0.5*((IF(G217=0,0,(Upgrades!$J$8+G217*Upgrades!$K$8)*POWER(Upgrades!$L$8,G217)))*(IF(Upgrades!$T$6="Stellar Coupling",POWER(Upgrades!$U$6,E217),1)*IF(Upgrades!$T$7="Stellar Coupling",POWER(Upgrades!$U$7,F217),1)*IF(Upgrades!$T$9="Stellar Coupling",POWER(Upgrades!$U$9,H217),1)*IF(Upgrades!$T$10="Stellar Coupling",POWER(Upgrades!$U$10,I217),1)*IF(Upgrades!$T$11="Stellar Coupling",POWER(Upgrades!$U$11,J217),1)*IF(Upgrades!$T$12="Stellar Coupling",POWER(Upgrades!$U$12,K217),1))*(POWER(Upgrades!$Q$6,E217)*POWER(Upgrades!$Q$7,F217)*POWER(Upgrades!$Q$8,G217)*POWER(Upgrades!$Q$9,H217)*POWER(Upgrades!$Q$10,I217)*POWER(Upgrades!$Q$11,J217)*POWER(Upgrades!$Q$12,K217))*Parameters!$B$10*Parameters!$B$11/60)/Upgrades!$C$11,0)),IF(K217&gt;0,0,IFERROR((1.0*(POWER(Upgrades!$P$6,E217)*POWER(Upgrades!$P$7,F217)*POWER(Upgrades!$P$8,G217)*POWER(Upgrades!$P$9,H217)*POWER(Upgrades!$P$10,I217)*POWER(Upgrades!$P$11,J217)*POWER(Upgrades!$P$12,K217))+0.20*M217*Parameters!$B$10*Parameters!$B$11/60)/Upgrades!$C$12,0)),IF(AND(ISNUMBER(AG217),AG217&gt;T217),AS217,0),IF(AND(ISNUMBER(AH217),AH217&gt;T217),AT217,0),IF(AND(ISNUMBER(AI217),AI217&gt;T217),AU217,0),IF(AND(ISNUMBER(AJ217),AJ217&gt;T217),AV217,0))</f>
        <v/>
      </c>
      <c r="AX217" s="29">
        <f>IF(AN217=1,"transition",IF(MIN(IF(AND(I217=0,ISNUMBER(AK217),AK217&lt;=T217),AK217,9E15),IF(AND(J217=0,ISNUMBER(AL217),AL217&lt;=T217),AL217,9E15),IF(AND(K217=0,ISNUMBER(AM217),AM217&lt;=T217),AM217,9E15))&lt;9E15,IF(AND(AND(I217=0,ISNUMBER(AK217),AK217&lt;=T217),AK217=MIN(IF(AND(I217=0,ISNUMBER(AK217),AK217&lt;=T217),AK217,9E15),IF(AND(J217=0,ISNUMBER(AL217),AL217&lt;=T217),AL217,9E15),IF(AND(K217=0,ISNUMBER(AM217),AM217&lt;=T217),AM217,9E15))),"OR",IF(AND(AND(J217=0,ISNUMBER(AL217),AL217&lt;=T217),AL217=MIN(IF(AND(I217=0,ISNUMBER(AK217),AK217&lt;=T217),AK217,9E15),IF(AND(J217=0,ISNUMBER(AL217),AL217&lt;=T217),AL217,9E15),IF(AND(K217=0,ISNUMBER(AM217),AM217&lt;=T217),AM217,9E15))),"HP","FP")),IF(AR217=TRUE,"",IF(MAX(IF(AND(NOT(AND(AO217=1,AN217&lt;&gt;1)),ISNUMBER(AG217),AG217&lt;=T217),AS217,0),IF(AND(NOT(AND(AO217=1,AN217&lt;&gt;1)),ISNUMBER(AH217),AH217&lt;=T217),AT217,0),IF(AND(NOT(AND(AO217=1,AN217&lt;&gt;1)),ISNUMBER(AI217),AI217&lt;=T217),AU217,0),IF(AND(ISNUMBER(AJ217),AJ217&lt;=T217),AV217,0))&lt;=0,"",IF(AND(IF(AND(NOT(AND(AO217=1,AN217&lt;&gt;1)),ISNUMBER(AG217),AG217&lt;=T217),AS217,0)&gt;0,IF(AND(NOT(AND(AO217=1,AN217&lt;&gt;1)),ISNUMBER(AG217),AG217&lt;=T217),AS217,0)=MAX(IF(AND(NOT(AND(AO217=1,AN217&lt;&gt;1)),ISNUMBER(AG217),AG217&lt;=T217),AS217,0),IF(AND(NOT(AND(AO217=1,AN217&lt;&gt;1)),ISNUMBER(AH217),AH217&lt;=T217),AT217,0),IF(AND(NOT(AND(AO217=1,AN217&lt;&gt;1)),ISNUMBER(AI217),AI217&lt;=T217),AU217,0),IF(AND(ISNUMBER(AJ217),AJ217&lt;=T217),AV217,0))),"SW",IF(AND(IF(AND(NOT(AND(AO217=1,AN217&lt;&gt;1)),ISNUMBER(AH217),AH217&lt;=T217),AT217,0)&gt;0,IF(AND(NOT(AND(AO217=1,AN217&lt;&gt;1)),ISNUMBER(AH217),AH217&lt;=T217),AT217,0)=MAX(IF(AND(NOT(AND(AO217=1,AN217&lt;&gt;1)),ISNUMBER(AG217),AG217&lt;=T217),AS217,0),IF(AND(NOT(AND(AO217=1,AN217&lt;&gt;1)),ISNUMBER(AH217),AH217&lt;=T217),AT217,0),IF(AND(NOT(AND(AO217=1,AN217&lt;&gt;1)),ISNUMBER(AI217),AI217&lt;=T217),AU217,0),IF(AND(ISNUMBER(AJ217),AJ217&lt;=T217),AV217,0))),"AB",IF(AND(IF(AND(NOT(AND(AO217=1,AN217&lt;&gt;1)),ISNUMBER(AI217),AI217&lt;=T217),AU217,0)&gt;0,IF(AND(NOT(AND(AO217=1,AN217&lt;&gt;1)),ISNUMBER(AI217),AI217&lt;=T217),AU217,0)=MAX(IF(AND(NOT(AND(AO217=1,AN217&lt;&gt;1)),ISNUMBER(AG217),AG217&lt;=T217),AS217,0),IF(AND(NOT(AND(AO217=1,AN217&lt;&gt;1)),ISNUMBER(AH217),AH217&lt;=T217),AT217,0),IF(AND(NOT(AND(AO217=1,AN217&lt;&gt;1)),ISNUMBER(AI217),AI217&lt;=T217),AU217,0),IF(AND(ISNUMBER(AJ217),AJ217&lt;=T217),AV217,0))),"SC","Mag")))))))</f>
        <v/>
      </c>
    </row>
    <row r="218">
      <c r="A218" s="26" t="n">
        <v>213</v>
      </c>
      <c r="B218" s="27">
        <f>A218*10/60</f>
        <v/>
      </c>
      <c r="C218" s="22">
        <f>X217</f>
        <v/>
      </c>
      <c r="D218" s="27">
        <f>D217+W217</f>
        <v/>
      </c>
      <c r="E218" s="26">
        <f>E217+IF(U217="SW",1,0)</f>
        <v/>
      </c>
      <c r="F218" s="26">
        <f>F217+IF(U217="AB",1,0)</f>
        <v/>
      </c>
      <c r="G218" s="26">
        <f>G217+IF(U217="SC",1,0)</f>
        <v/>
      </c>
      <c r="H218" s="26">
        <f>H217+IF(U217="Mag",1,0)</f>
        <v/>
      </c>
      <c r="I218" s="26">
        <f>MAX(I217,IF(U217="OR",1,0))</f>
        <v/>
      </c>
      <c r="J218" s="26">
        <f>MAX(J217,IF(U217="HP",1,0))</f>
        <v/>
      </c>
      <c r="K218" s="26">
        <f>MAX(K217,IF(U217="FP",1,0))</f>
        <v/>
      </c>
      <c r="L218" s="26">
        <f>MAX(L217,IF(U217="transition",1,0))</f>
        <v/>
      </c>
      <c r="M218" s="28">
        <f>(Parameters!$B$9+(IF(E218=0,0,(Upgrades!$J$6+E218*Upgrades!$K$6)*POWER(Upgrades!$L$6,E218)))*(IF(Upgrades!$T$7="Solar Wind",POWER(Upgrades!$U$7,F218),1)*IF(Upgrades!$T$8="Solar Wind",POWER(Upgrades!$U$8,G218),1)*IF(Upgrades!$T$9="Solar Wind",POWER(Upgrades!$U$9,H218),1)*IF(Upgrades!$T$10="Solar Wind",POWER(Upgrades!$U$10,I218),1)*IF(Upgrades!$T$11="Solar Wind",POWER(Upgrades!$U$11,J218),1)*IF(Upgrades!$T$12="Solar Wind",POWER(Upgrades!$U$12,K218),1))+(IF(F218=0,0,(Upgrades!$J$7+F218*Upgrades!$K$7)*POWER(Upgrades!$L$7,F218)))*(IF(Upgrades!$T$6="Asteroid Belt",POWER(Upgrades!$U$6,E218),1)*IF(Upgrades!$T$8="Asteroid Belt",POWER(Upgrades!$U$8,G218),1)*IF(Upgrades!$T$9="Asteroid Belt",POWER(Upgrades!$U$9,H218),1)*IF(Upgrades!$T$10="Asteroid Belt",POWER(Upgrades!$U$10,I218),1)*IF(Upgrades!$T$11="Asteroid Belt",POWER(Upgrades!$U$11,J218),1)*IF(Upgrades!$T$12="Asteroid Belt",POWER(Upgrades!$U$12,K218),1))+(IF(G218=0,0,(Upgrades!$J$8+G218*Upgrades!$K$8)*POWER(Upgrades!$L$8,G218)))*(IF(Upgrades!$T$6="Stellar Coupling",POWER(Upgrades!$U$6,E218),1)*IF(Upgrades!$T$7="Stellar Coupling",POWER(Upgrades!$U$7,F218),1)*IF(Upgrades!$T$9="Stellar Coupling",POWER(Upgrades!$U$9,H218),1)*IF(Upgrades!$T$10="Stellar Coupling",POWER(Upgrades!$U$10,I218),1)*IF(Upgrades!$T$11="Stellar Coupling",POWER(Upgrades!$U$11,J218),1)*IF(Upgrades!$T$12="Stellar Coupling",POWER(Upgrades!$U$12,K218),1))+(IF(H218=0,0,(Upgrades!$J$9+H218*Upgrades!$K$9)*POWER(Upgrades!$L$9,H218)))*(IF(Upgrades!$T$6="Magnetosphere",POWER(Upgrades!$U$6,E218),1)*IF(Upgrades!$T$7="Magnetosphere",POWER(Upgrades!$U$7,F218),1)*IF(Upgrades!$T$8="Magnetosphere",POWER(Upgrades!$U$8,G218),1)*IF(Upgrades!$T$10="Magnetosphere",POWER(Upgrades!$U$10,I218),1)*IF(Upgrades!$T$11="Magnetosphere",POWER(Upgrades!$U$11,J218),1)*IF(Upgrades!$T$12="Magnetosphere",POWER(Upgrades!$U$12,K218),1))+(IF(I218=0,0,(Upgrades!$J$10+I218*Upgrades!$K$10)*POWER(Upgrades!$L$10,I218)))*(IF(Upgrades!$T$6="Orbital Resonance",POWER(Upgrades!$U$6,E218),1)*IF(Upgrades!$T$7="Orbital Resonance",POWER(Upgrades!$U$7,F218),1)*IF(Upgrades!$T$8="Orbital Resonance",POWER(Upgrades!$U$8,G218),1)*IF(Upgrades!$T$9="Orbital Resonance",POWER(Upgrades!$U$9,H218),1)*IF(Upgrades!$T$11="Orbital Resonance",POWER(Upgrades!$U$11,J218),1)*IF(Upgrades!$T$12="Orbital Resonance",POWER(Upgrades!$U$12,K218),1))+(IF(J218=0,0,(Upgrades!$J$11+J218*Upgrades!$K$11)*POWER(Upgrades!$L$11,J218)))*(IF(Upgrades!$T$6="Heliopause",POWER(Upgrades!$U$6,E218),1)*IF(Upgrades!$T$7="Heliopause",POWER(Upgrades!$U$7,F218),1)*IF(Upgrades!$T$8="Heliopause",POWER(Upgrades!$U$8,G218),1)*IF(Upgrades!$T$9="Heliopause",POWER(Upgrades!$U$9,H218),1)*IF(Upgrades!$T$10="Heliopause",POWER(Upgrades!$U$10,I218),1)*IF(Upgrades!$T$12="Heliopause",POWER(Upgrades!$U$12,K218),1))+(IF(K218=0,0,(Upgrades!$J$12+K218*Upgrades!$K$12)*POWER(Upgrades!$L$12,K218)))*(IF(Upgrades!$T$6="First Photons",POWER(Upgrades!$U$6,E218),1)*IF(Upgrades!$T$7="First Photons",POWER(Upgrades!$U$7,F218),1)*IF(Upgrades!$T$8="First Photons",POWER(Upgrades!$U$8,G218),1)*IF(Upgrades!$T$9="First Photons",POWER(Upgrades!$U$9,H218),1)*IF(Upgrades!$T$10="First Photons",POWER(Upgrades!$U$10,I218),1)*IF(Upgrades!$T$11="First Photons",POWER(Upgrades!$U$11,J218),1)))*POWER(Upgrades!$Q$6,E218)*POWER(Upgrades!$Q$7,F218)*POWER(Upgrades!$Q$8,G218)*POWER(Upgrades!$Q$9,H218)*POWER(Upgrades!$Q$10,I218)*POWER(Upgrades!$Q$11,J218)*POWER(Upgrades!$Q$12,K218)</f>
        <v/>
      </c>
      <c r="N218" s="28">
        <f>((IF(E218=0,0,(Upgrades!$G$6+E218*Upgrades!$H$6)*POWER(Upgrades!$I$6,E218)))*(IF(Upgrades!$T$7="Solar Wind",POWER(Upgrades!$U$7,F218),1)*IF(Upgrades!$T$8="Solar Wind",POWER(Upgrades!$U$8,G218),1)*IF(Upgrades!$T$9="Solar Wind",POWER(Upgrades!$U$9,H218),1)*IF(Upgrades!$T$10="Solar Wind",POWER(Upgrades!$U$10,I218),1)*IF(Upgrades!$T$11="Solar Wind",POWER(Upgrades!$U$11,J218),1)*IF(Upgrades!$T$12="Solar Wind",POWER(Upgrades!$U$12,K218),1))+(IF(F218=0,0,(Upgrades!$G$7+F218*Upgrades!$H$7)*POWER(Upgrades!$I$7,F218)))*(IF(Upgrades!$T$6="Asteroid Belt",POWER(Upgrades!$U$6,E218),1)*IF(Upgrades!$T$8="Asteroid Belt",POWER(Upgrades!$U$8,G218),1)*IF(Upgrades!$T$9="Asteroid Belt",POWER(Upgrades!$U$9,H218),1)*IF(Upgrades!$T$10="Asteroid Belt",POWER(Upgrades!$U$10,I218),1)*IF(Upgrades!$T$11="Asteroid Belt",POWER(Upgrades!$U$11,J218),1)*IF(Upgrades!$T$12="Asteroid Belt",POWER(Upgrades!$U$12,K218),1))+(IF(G218=0,0,(Upgrades!$G$8+G218*Upgrades!$H$8)*POWER(Upgrades!$I$8,G218)))*(IF(Upgrades!$T$6="Stellar Coupling",POWER(Upgrades!$U$6,E218),1)*IF(Upgrades!$T$7="Stellar Coupling",POWER(Upgrades!$U$7,F218),1)*IF(Upgrades!$T$9="Stellar Coupling",POWER(Upgrades!$U$9,H218),1)*IF(Upgrades!$T$10="Stellar Coupling",POWER(Upgrades!$U$10,I218),1)*IF(Upgrades!$T$11="Stellar Coupling",POWER(Upgrades!$U$11,J218),1)*IF(Upgrades!$T$12="Stellar Coupling",POWER(Upgrades!$U$12,K218),1))+(IF(H218=0,0,(Upgrades!$G$9+H218*Upgrades!$H$9)*POWER(Upgrades!$I$9,H218)))*(IF(Upgrades!$T$6="Magnetosphere",POWER(Upgrades!$U$6,E218),1)*IF(Upgrades!$T$7="Magnetosphere",POWER(Upgrades!$U$7,F218),1)*IF(Upgrades!$T$8="Magnetosphere",POWER(Upgrades!$U$8,G218),1)*IF(Upgrades!$T$10="Magnetosphere",POWER(Upgrades!$U$10,I218),1)*IF(Upgrades!$T$11="Magnetosphere",POWER(Upgrades!$U$11,J218),1)*IF(Upgrades!$T$12="Magnetosphere",POWER(Upgrades!$U$12,K218),1))+(IF(I218=0,0,(Upgrades!$G$10+I218*Upgrades!$H$10)*POWER(Upgrades!$I$10,I218)))*(IF(Upgrades!$T$6="Orbital Resonance",POWER(Upgrades!$U$6,E218),1)*IF(Upgrades!$T$7="Orbital Resonance",POWER(Upgrades!$U$7,F218),1)*IF(Upgrades!$T$8="Orbital Resonance",POWER(Upgrades!$U$8,G218),1)*IF(Upgrades!$T$9="Orbital Resonance",POWER(Upgrades!$U$9,H218),1)*IF(Upgrades!$T$11="Orbital Resonance",POWER(Upgrades!$U$11,J218),1)*IF(Upgrades!$T$12="Orbital Resonance",POWER(Upgrades!$U$12,K218),1))+(IF(J218=0,0,(Upgrades!$G$11+J218*Upgrades!$H$11)*POWER(Upgrades!$I$11,J218)))*(IF(Upgrades!$T$6="Heliopause",POWER(Upgrades!$U$6,E218),1)*IF(Upgrades!$T$7="Heliopause",POWER(Upgrades!$U$7,F218),1)*IF(Upgrades!$T$8="Heliopause",POWER(Upgrades!$U$8,G218),1)*IF(Upgrades!$T$9="Heliopause",POWER(Upgrades!$U$9,H218),1)*IF(Upgrades!$T$10="Heliopause",POWER(Upgrades!$U$10,I218),1)*IF(Upgrades!$T$12="Heliopause",POWER(Upgrades!$U$12,K218),1))+(IF(K218=0,0,(Upgrades!$G$12+K218*Upgrades!$H$12)*POWER(Upgrades!$I$12,K218)))*(IF(Upgrades!$T$6="First Photons",POWER(Upgrades!$U$6,E218),1)*IF(Upgrades!$T$7="First Photons",POWER(Upgrades!$U$7,F218),1)*IF(Upgrades!$T$8="First Photons",POWER(Upgrades!$U$8,G218),1)*IF(Upgrades!$T$9="First Photons",POWER(Upgrades!$U$9,H218),1)*IF(Upgrades!$T$10="First Photons",POWER(Upgrades!$U$10,I218),1)*IF(Upgrades!$T$11="First Photons",POWER(Upgrades!$U$11,J218),1)))*POWER(Upgrades!$P$6,E218)*POWER(Upgrades!$P$7,F218)*POWER(Upgrades!$P$8,G218)*POWER(Upgrades!$P$9,H218)*POWER(Upgrades!$P$10,I218)*POWER(Upgrades!$P$11,J218)*POWER(Upgrades!$P$12,K218)</f>
        <v/>
      </c>
      <c r="O218" s="28">
        <f>((IF(E218=0,0,(Upgrades!$M$6+E218*Upgrades!$N$6)*POWER(Upgrades!$O$6,E218)))*(IF(Upgrades!$T$7="Solar Wind",POWER(Upgrades!$U$7,F218),1)*IF(Upgrades!$T$8="Solar Wind",POWER(Upgrades!$U$8,G218),1)*IF(Upgrades!$T$9="Solar Wind",POWER(Upgrades!$U$9,H218),1)*IF(Upgrades!$T$10="Solar Wind",POWER(Upgrades!$U$10,I218),1)*IF(Upgrades!$T$11="Solar Wind",POWER(Upgrades!$U$11,J218),1)*IF(Upgrades!$T$12="Solar Wind",POWER(Upgrades!$U$12,K218),1))+(IF(F218=0,0,(Upgrades!$M$7+F218*Upgrades!$N$7)*POWER(Upgrades!$O$7,F218)))*(IF(Upgrades!$T$6="Asteroid Belt",POWER(Upgrades!$U$6,E218),1)*IF(Upgrades!$T$8="Asteroid Belt",POWER(Upgrades!$U$8,G218),1)*IF(Upgrades!$T$9="Asteroid Belt",POWER(Upgrades!$U$9,H218),1)*IF(Upgrades!$T$10="Asteroid Belt",POWER(Upgrades!$U$10,I218),1)*IF(Upgrades!$T$11="Asteroid Belt",POWER(Upgrades!$U$11,J218),1)*IF(Upgrades!$T$12="Asteroid Belt",POWER(Upgrades!$U$12,K218),1))+(IF(G218=0,0,(Upgrades!$M$8+G218*Upgrades!$N$8)*POWER(Upgrades!$O$8,G218)))*(IF(Upgrades!$T$6="Stellar Coupling",POWER(Upgrades!$U$6,E218),1)*IF(Upgrades!$T$7="Stellar Coupling",POWER(Upgrades!$U$7,F218),1)*IF(Upgrades!$T$9="Stellar Coupling",POWER(Upgrades!$U$9,H218),1)*IF(Upgrades!$T$10="Stellar Coupling",POWER(Upgrades!$U$10,I218),1)*IF(Upgrades!$T$11="Stellar Coupling",POWER(Upgrades!$U$11,J218),1)*IF(Upgrades!$T$12="Stellar Coupling",POWER(Upgrades!$U$12,K218),1))+(IF(H218=0,0,(Upgrades!$M$9+H218*Upgrades!$N$9)*POWER(Upgrades!$O$9,H218)))*(IF(Upgrades!$T$6="Magnetosphere",POWER(Upgrades!$U$6,E218),1)*IF(Upgrades!$T$7="Magnetosphere",POWER(Upgrades!$U$7,F218),1)*IF(Upgrades!$T$8="Magnetosphere",POWER(Upgrades!$U$8,G218),1)*IF(Upgrades!$T$10="Magnetosphere",POWER(Upgrades!$U$10,I218),1)*IF(Upgrades!$T$11="Magnetosphere",POWER(Upgrades!$U$11,J218),1)*IF(Upgrades!$T$12="Magnetosphere",POWER(Upgrades!$U$12,K218),1))+(IF(I218=0,0,(Upgrades!$M$10+I218*Upgrades!$N$10)*POWER(Upgrades!$O$10,I218)))*(IF(Upgrades!$T$6="Orbital Resonance",POWER(Upgrades!$U$6,E218),1)*IF(Upgrades!$T$7="Orbital Resonance",POWER(Upgrades!$U$7,F218),1)*IF(Upgrades!$T$8="Orbital Resonance",POWER(Upgrades!$U$8,G218),1)*IF(Upgrades!$T$9="Orbital Resonance",POWER(Upgrades!$U$9,H218),1)*IF(Upgrades!$T$11="Orbital Resonance",POWER(Upgrades!$U$11,J218),1)*IF(Upgrades!$T$12="Orbital Resonance",POWER(Upgrades!$U$12,K218),1))+(IF(J218=0,0,(Upgrades!$M$11+J218*Upgrades!$N$11)*POWER(Upgrades!$O$11,J218)))*(IF(Upgrades!$T$6="Heliopause",POWER(Upgrades!$U$6,E218),1)*IF(Upgrades!$T$7="Heliopause",POWER(Upgrades!$U$7,F218),1)*IF(Upgrades!$T$8="Heliopause",POWER(Upgrades!$U$8,G218),1)*IF(Upgrades!$T$9="Heliopause",POWER(Upgrades!$U$9,H218),1)*IF(Upgrades!$T$10="Heliopause",POWER(Upgrades!$U$10,I218),1)*IF(Upgrades!$T$12="Heliopause",POWER(Upgrades!$U$12,K218),1))+(IF(K218=0,0,(Upgrades!$M$12+K218*Upgrades!$N$12)*POWER(Upgrades!$O$12,K218)))*(IF(Upgrades!$T$6="First Photons",POWER(Upgrades!$U$6,E218),1)*IF(Upgrades!$T$7="First Photons",POWER(Upgrades!$U$7,F218),1)*IF(Upgrades!$T$8="First Photons",POWER(Upgrades!$U$8,G218),1)*IF(Upgrades!$T$9="First Photons",POWER(Upgrades!$U$9,H218),1)*IF(Upgrades!$T$10="First Photons",POWER(Upgrades!$U$10,I218),1)*IF(Upgrades!$T$11="First Photons",POWER(Upgrades!$U$11,J218),1)))*POWER(Upgrades!$R$6,E218)*POWER(Upgrades!$R$7,F218)*POWER(Upgrades!$R$8,G218)*POWER(Upgrades!$R$9,H218)*POWER(Upgrades!$R$10,I218)*POWER(Upgrades!$R$11,J218)*POWER(Upgrades!$R$12,K218)</f>
        <v/>
      </c>
      <c r="P218" s="27">
        <f>IF(L218=1,0,M218*Parameters!$B$10/60*Parameters!$B$11*10)</f>
        <v/>
      </c>
      <c r="Q218" s="27">
        <f>IF(L218=1,0,O218*M218*10)</f>
        <v/>
      </c>
      <c r="R218" s="27">
        <f>IF(L218=1,0,N218*10)</f>
        <v/>
      </c>
      <c r="S218" s="27">
        <f>P218+Q218+R218</f>
        <v/>
      </c>
      <c r="T218" s="22">
        <f>C218+S218</f>
        <v/>
      </c>
      <c r="U218" s="33">
        <f>AX218</f>
        <v/>
      </c>
      <c r="V218" s="22">
        <f>IF(U218="",0,IF(U218="transition",0,IF(U218="SW",AG218,IF(U218="AB",AH218,IF(U218="SC",AI218,IF(U218="Mag",AJ218,IF(U218="OR",AK218,IF(U218="HP",AL218,IF(U218="FP",AM218,0)))))))))</f>
        <v/>
      </c>
      <c r="W218" s="27">
        <f>IF(U218="OR",Upgrades!$F$10,IF(U218="HP",Upgrades!$F$11,IF(U218="transition",-Parameters!$B$18,0)))</f>
        <v/>
      </c>
      <c r="X218" s="22">
        <f>T218-V218</f>
        <v/>
      </c>
      <c r="Y218" s="30">
        <f>M218*Parameters!$B$10/60*Parameters!$B$11+O218*M218+N218</f>
        <v/>
      </c>
      <c r="Z218" s="34">
        <f>IF(U218="transition","→ Tier 2 (Stellar Neighborhood)",IF(U218="FP","First Photons — light begins, system quickens",IF(U218="HP","Heliopause acquired",IF(U218="OR","Orbital Resonance — passive multiplier active",IF(AND(AO218=1,L218=0,AN218&lt;&gt;1),"Cohesion ready (waiting on completionist upgrades)","")))))</f>
        <v/>
      </c>
      <c r="AA218" s="27">
        <f>(IF(E218=0,0,(Upgrades!$G$6+E218*Upgrades!$H$6)*POWER(Upgrades!$I$6,E218)))*(IF(Upgrades!$T$7="Solar Wind",POWER(Upgrades!$U$7,F218),1)*IF(Upgrades!$T$8="Solar Wind",POWER(Upgrades!$U$8,G218),1)*IF(Upgrades!$T$9="Solar Wind",POWER(Upgrades!$U$9,H218),1)*IF(Upgrades!$T$10="Solar Wind",POWER(Upgrades!$U$10,I218),1)*IF(Upgrades!$T$11="Solar Wind",POWER(Upgrades!$U$11,J218),1)*IF(Upgrades!$T$12="Solar Wind",POWER(Upgrades!$U$12,K218),1))*POWER(Upgrades!$P$6,E218)*POWER(Upgrades!$P$7,F218)*POWER(Upgrades!$P$8,G218)*POWER(Upgrades!$P$9,H218)*POWER(Upgrades!$P$10,I218)*POWER(Upgrades!$P$11,J218)*POWER(Upgrades!$P$12,K218)*60</f>
        <v/>
      </c>
      <c r="AB218" s="27">
        <f>(IF(F218=0,0,(Upgrades!$G$7+F218*Upgrades!$H$7)*POWER(Upgrades!$I$7,F218)))*(IF(Upgrades!$T$6="Asteroid Belt",POWER(Upgrades!$U$6,E218),1)*IF(Upgrades!$T$8="Asteroid Belt",POWER(Upgrades!$U$8,G218),1)*IF(Upgrades!$T$9="Asteroid Belt",POWER(Upgrades!$U$9,H218),1)*IF(Upgrades!$T$10="Asteroid Belt",POWER(Upgrades!$U$10,I218),1)*IF(Upgrades!$T$11="Asteroid Belt",POWER(Upgrades!$U$11,J218),1)*IF(Upgrades!$T$12="Asteroid Belt",POWER(Upgrades!$U$12,K218),1))*POWER(Upgrades!$P$6,E218)*POWER(Upgrades!$P$7,F218)*POWER(Upgrades!$P$8,G218)*POWER(Upgrades!$P$9,H218)*POWER(Upgrades!$P$10,I218)*POWER(Upgrades!$P$11,J218)*POWER(Upgrades!$P$12,K218)*60</f>
        <v/>
      </c>
      <c r="AC218" s="27">
        <f>(IF(G218=0,0,(Upgrades!$J$8+G218*Upgrades!$K$8)*POWER(Upgrades!$L$8,G218)))*(IF(Upgrades!$T$6="Stellar Coupling",POWER(Upgrades!$U$6,E218),1)*IF(Upgrades!$T$7="Stellar Coupling",POWER(Upgrades!$U$7,F218),1)*IF(Upgrades!$T$9="Stellar Coupling",POWER(Upgrades!$U$9,H218),1)*IF(Upgrades!$T$10="Stellar Coupling",POWER(Upgrades!$U$10,I218),1)*IF(Upgrades!$T$11="Stellar Coupling",POWER(Upgrades!$U$11,J218),1)*IF(Upgrades!$T$12="Stellar Coupling",POWER(Upgrades!$U$12,K218),1))*POWER(Upgrades!$Q$6,E218)*POWER(Upgrades!$Q$7,F218)*POWER(Upgrades!$Q$8,G218)*POWER(Upgrades!$Q$9,H218)*POWER(Upgrades!$Q$10,I218)*POWER(Upgrades!$Q$11,J218)*POWER(Upgrades!$Q$12,K218)*Parameters!$B$10*Parameters!$B$11</f>
        <v/>
      </c>
      <c r="AD218" s="27">
        <f>(IF(H218=0,0,(Upgrades!$G$9+H218*Upgrades!$H$9)*POWER(Upgrades!$I$9,H218)))*(IF(Upgrades!$T$6="Magnetosphere",POWER(Upgrades!$U$6,E218),1)*IF(Upgrades!$T$7="Magnetosphere",POWER(Upgrades!$U$7,F218),1)*IF(Upgrades!$T$8="Magnetosphere",POWER(Upgrades!$U$8,G218),1)*IF(Upgrades!$T$10="Magnetosphere",POWER(Upgrades!$U$10,I218),1)*IF(Upgrades!$T$11="Magnetosphere",POWER(Upgrades!$U$11,J218),1)*IF(Upgrades!$T$12="Magnetosphere",POWER(Upgrades!$U$12,K218),1))*POWER(Upgrades!$P$6,E218)*POWER(Upgrades!$P$7,F218)*POWER(Upgrades!$P$8,G218)*POWER(Upgrades!$P$9,H218)*POWER(Upgrades!$P$10,I218)*POWER(Upgrades!$P$11,J218)*POWER(Upgrades!$P$12,K218)*60</f>
        <v/>
      </c>
      <c r="AE218" s="27">
        <f>(IF(K218=0,0,(Upgrades!$G$12+K218*Upgrades!$H$12)*POWER(Upgrades!$I$12,K218)))*(IF(Upgrades!$T$6="First Photons",POWER(Upgrades!$U$6,E218),1)*IF(Upgrades!$T$7="First Photons",POWER(Upgrades!$U$7,F218),1)*IF(Upgrades!$T$8="First Photons",POWER(Upgrades!$U$8,G218),1)*IF(Upgrades!$T$9="First Photons",POWER(Upgrades!$U$9,H218),1)*IF(Upgrades!$T$10="First Photons",POWER(Upgrades!$U$10,I218),1)*IF(Upgrades!$T$11="First Photons",POWER(Upgrades!$U$11,J218),1))*POWER(Upgrades!$P$6,E218)*POWER(Upgrades!$P$7,F218)*POWER(Upgrades!$P$8,G218)*POWER(Upgrades!$P$9,H218)*POWER(Upgrades!$P$10,I218)*POWER(Upgrades!$P$11,J218)*POWER(Upgrades!$P$12,K218)*60</f>
        <v/>
      </c>
      <c r="AF218" s="27">
        <f>Parameters!$B$9*POWER(Upgrades!$Q$6,E218)*POWER(Upgrades!$Q$7,F218)*POWER(Upgrades!$Q$8,G218)*POWER(Upgrades!$Q$9,H218)*POWER(Upgrades!$Q$10,I218)*POWER(Upgrades!$Q$11,J218)*POWER(Upgrades!$Q$12,K218)*(Parameters!$B$10*Parameters!$B$11+O218*60)</f>
        <v/>
      </c>
      <c r="AG218" s="22">
        <f>IF(E218&gt;=Upgrades!$E$6,"",Upgrades!$C$6*POWER(Upgrades!$D$6,E218))</f>
        <v/>
      </c>
      <c r="AH218" s="22">
        <f>IF(F218&gt;=Upgrades!$E$7,"",Upgrades!$C$7*POWER(Upgrades!$D$7,F218))</f>
        <v/>
      </c>
      <c r="AI218" s="22">
        <f>IF(G218&gt;=Upgrades!$E$8,"",Upgrades!$C$8*POWER(Upgrades!$D$8,G218))</f>
        <v/>
      </c>
      <c r="AJ218" s="22">
        <f>IF(H218&gt;=Upgrades!$E$9,"",Upgrades!$C$9*POWER(Upgrades!$D$9,H218))</f>
        <v/>
      </c>
      <c r="AK218" s="22">
        <f>IF(I218&gt;=Upgrades!$E$10,"",Upgrades!$C$10*POWER(Upgrades!$D$10,I218))</f>
        <v/>
      </c>
      <c r="AL218" s="22">
        <f>IF(J218&gt;=Upgrades!$E$11,"",Upgrades!$C$11*POWER(Upgrades!$D$11,J218))</f>
        <v/>
      </c>
      <c r="AM218" s="22">
        <f>IF(K218&gt;=Upgrades!$E$12,"",Upgrades!$C$12*POWER(Upgrades!$D$12,K218))</f>
        <v/>
      </c>
      <c r="AN218" s="26">
        <f>IF(AND(D218&gt;=Parameters!$B$18,(H218&gt;=Upgrades!$E$9)*(K218&gt;=Upgrades!$E$12)=1,L218=0),1,"")</f>
        <v/>
      </c>
      <c r="AO218" s="26">
        <f>IF(AND(D218&gt;=Parameters!$B$18,L218=0),1,"")</f>
        <v/>
      </c>
      <c r="AP218" s="22">
        <f>MIN(IF(ISNUMBER(AK218),AK218,9E15),IF(ISNUMBER(AL218),AL218,9E15),IF(ISNUMBER(AM218),AM218,9E15))</f>
        <v/>
      </c>
      <c r="AQ218" s="22">
        <f>MIN(IF(ISNUMBER(AG218),AG218,9E15),IF(ISNUMBER(AH218),AH218,9E15),IF(ISNUMBER(AI218),AI218,9E15),IF(ISNUMBER(AJ218),AJ218,9E15))</f>
        <v/>
      </c>
      <c r="AR218" s="29">
        <f>IF(AW218&gt;Parameters!$B$21*(MAX(IF(AND(NOT(AND(AO218=1,AN218&lt;&gt;1)),ISNUMBER(AG218),AG218&lt;=T218),AS218,0),IF(AND(NOT(AND(AO218=1,AN218&lt;&gt;1)),ISNUMBER(AH218),AH218&lt;=T218),AT218,0),IF(AND(NOT(AND(AO218=1,AN218&lt;&gt;1)),ISNUMBER(AI218),AI218&lt;=T218),AU218,0),IF(AND(ISNUMBER(AJ218),AJ218&lt;=T218),AV218,0))),TRUE,FALSE)</f>
        <v/>
      </c>
      <c r="AS218" s="32">
        <f>IFERROR(Upgrades!$H$6*(POWER(Upgrades!$P$6,E218)*POWER(Upgrades!$P$7,F218)*POWER(Upgrades!$P$8,G218)*POWER(Upgrades!$P$9,H218)*POWER(Upgrades!$P$10,I218)*POWER(Upgrades!$P$11,J218)*POWER(Upgrades!$P$12,K218))*(IF(Upgrades!$T$7="Solar Wind",POWER(Upgrades!$U$7,F218),1)*IF(Upgrades!$T$8="Solar Wind",POWER(Upgrades!$U$8,G218),1)*IF(Upgrades!$T$9="Solar Wind",POWER(Upgrades!$U$9,H218),1)*IF(Upgrades!$T$10="Solar Wind",POWER(Upgrades!$U$10,I218),1)*IF(Upgrades!$T$11="Solar Wind",POWER(Upgrades!$U$11,J218),1)*IF(Upgrades!$T$12="Solar Wind",POWER(Upgrades!$U$12,K218),1))/AG218,0)</f>
        <v/>
      </c>
      <c r="AT218" s="32">
        <f>IFERROR(Upgrades!$H$7*(POWER(Upgrades!$P$6,E218)*POWER(Upgrades!$P$7,F218)*POWER(Upgrades!$P$8,G218)*POWER(Upgrades!$P$9,H218)*POWER(Upgrades!$P$10,I218)*POWER(Upgrades!$P$11,J218)*POWER(Upgrades!$P$12,K218))*(IF(Upgrades!$T$6="Asteroid Belt",POWER(Upgrades!$U$6,E218),1)*IF(Upgrades!$T$8="Asteroid Belt",POWER(Upgrades!$U$8,G218),1)*IF(Upgrades!$T$9="Asteroid Belt",POWER(Upgrades!$U$9,H218),1)*IF(Upgrades!$T$10="Asteroid Belt",POWER(Upgrades!$U$10,I218),1)*IF(Upgrades!$T$11="Asteroid Belt",POWER(Upgrades!$U$11,J218),1)*IF(Upgrades!$T$12="Asteroid Belt",POWER(Upgrades!$U$12,K218),1))/AH218,0)</f>
        <v/>
      </c>
      <c r="AU218" s="32">
        <f>IFERROR(Upgrades!$K$8*(POWER(Upgrades!$Q$6,E218)*POWER(Upgrades!$Q$7,F218)*POWER(Upgrades!$Q$8,G218)*POWER(Upgrades!$Q$9,H218)*POWER(Upgrades!$Q$10,I218)*POWER(Upgrades!$Q$11,J218)*POWER(Upgrades!$Q$12,K218))*(IF(Upgrades!$T$6="Stellar Coupling",POWER(Upgrades!$U$6,E218),1)*IF(Upgrades!$T$7="Stellar Coupling",POWER(Upgrades!$U$7,F218),1)*IF(Upgrades!$T$9="Stellar Coupling",POWER(Upgrades!$U$9,H218),1)*IF(Upgrades!$T$10="Stellar Coupling",POWER(Upgrades!$U$10,I218),1)*IF(Upgrades!$T$11="Stellar Coupling",POWER(Upgrades!$U$11,J218),1)*IF(Upgrades!$T$12="Stellar Coupling",POWER(Upgrades!$U$12,K218),1))*Parameters!$B$10*Parameters!$B$11/60/AI218,0)</f>
        <v/>
      </c>
      <c r="AV218" s="32">
        <f>IFERROR(Upgrades!$H$9*(POWER(Upgrades!$P$6,E218)*POWER(Upgrades!$P$7,F218)*POWER(Upgrades!$P$8,G218)*POWER(Upgrades!$P$9,H218)*POWER(Upgrades!$P$10,I218)*POWER(Upgrades!$P$11,J218)*POWER(Upgrades!$P$12,K218))*(IF(Upgrades!$T$6="Magnetosphere",POWER(Upgrades!$U$6,E218),1)*IF(Upgrades!$T$7="Magnetosphere",POWER(Upgrades!$U$7,F218),1)*IF(Upgrades!$T$8="Magnetosphere",POWER(Upgrades!$U$8,G218),1)*IF(Upgrades!$T$10="Magnetosphere",POWER(Upgrades!$U$10,I218),1)*IF(Upgrades!$T$11="Magnetosphere",POWER(Upgrades!$U$11,J218),1)*IF(Upgrades!$T$12="Magnetosphere",POWER(Upgrades!$U$12,K218),1))/AJ218,0)</f>
        <v/>
      </c>
      <c r="AW218" s="32">
        <f>MAX(IF(I218&gt;0,0,IFERROR(0.25*N218/Upgrades!$C$10,0)),IF(J218&gt;0,0,IFERROR(0.5*((IF(G218=0,0,(Upgrades!$J$8+G218*Upgrades!$K$8)*POWER(Upgrades!$L$8,G218)))*(IF(Upgrades!$T$6="Stellar Coupling",POWER(Upgrades!$U$6,E218),1)*IF(Upgrades!$T$7="Stellar Coupling",POWER(Upgrades!$U$7,F218),1)*IF(Upgrades!$T$9="Stellar Coupling",POWER(Upgrades!$U$9,H218),1)*IF(Upgrades!$T$10="Stellar Coupling",POWER(Upgrades!$U$10,I218),1)*IF(Upgrades!$T$11="Stellar Coupling",POWER(Upgrades!$U$11,J218),1)*IF(Upgrades!$T$12="Stellar Coupling",POWER(Upgrades!$U$12,K218),1))*(POWER(Upgrades!$Q$6,E218)*POWER(Upgrades!$Q$7,F218)*POWER(Upgrades!$Q$8,G218)*POWER(Upgrades!$Q$9,H218)*POWER(Upgrades!$Q$10,I218)*POWER(Upgrades!$Q$11,J218)*POWER(Upgrades!$Q$12,K218))*Parameters!$B$10*Parameters!$B$11/60)/Upgrades!$C$11,0)),IF(K218&gt;0,0,IFERROR((1.0*(POWER(Upgrades!$P$6,E218)*POWER(Upgrades!$P$7,F218)*POWER(Upgrades!$P$8,G218)*POWER(Upgrades!$P$9,H218)*POWER(Upgrades!$P$10,I218)*POWER(Upgrades!$P$11,J218)*POWER(Upgrades!$P$12,K218))+0.20*M218*Parameters!$B$10*Parameters!$B$11/60)/Upgrades!$C$12,0)),IF(AND(ISNUMBER(AG218),AG218&gt;T218),AS218,0),IF(AND(ISNUMBER(AH218),AH218&gt;T218),AT218,0),IF(AND(ISNUMBER(AI218),AI218&gt;T218),AU218,0),IF(AND(ISNUMBER(AJ218),AJ218&gt;T218),AV218,0))</f>
        <v/>
      </c>
      <c r="AX218" s="29">
        <f>IF(AN218=1,"transition",IF(MIN(IF(AND(I218=0,ISNUMBER(AK218),AK218&lt;=T218),AK218,9E15),IF(AND(J218=0,ISNUMBER(AL218),AL218&lt;=T218),AL218,9E15),IF(AND(K218=0,ISNUMBER(AM218),AM218&lt;=T218),AM218,9E15))&lt;9E15,IF(AND(AND(I218=0,ISNUMBER(AK218),AK218&lt;=T218),AK218=MIN(IF(AND(I218=0,ISNUMBER(AK218),AK218&lt;=T218),AK218,9E15),IF(AND(J218=0,ISNUMBER(AL218),AL218&lt;=T218),AL218,9E15),IF(AND(K218=0,ISNUMBER(AM218),AM218&lt;=T218),AM218,9E15))),"OR",IF(AND(AND(J218=0,ISNUMBER(AL218),AL218&lt;=T218),AL218=MIN(IF(AND(I218=0,ISNUMBER(AK218),AK218&lt;=T218),AK218,9E15),IF(AND(J218=0,ISNUMBER(AL218),AL218&lt;=T218),AL218,9E15),IF(AND(K218=0,ISNUMBER(AM218),AM218&lt;=T218),AM218,9E15))),"HP","FP")),IF(AR218=TRUE,"",IF(MAX(IF(AND(NOT(AND(AO218=1,AN218&lt;&gt;1)),ISNUMBER(AG218),AG218&lt;=T218),AS218,0),IF(AND(NOT(AND(AO218=1,AN218&lt;&gt;1)),ISNUMBER(AH218),AH218&lt;=T218),AT218,0),IF(AND(NOT(AND(AO218=1,AN218&lt;&gt;1)),ISNUMBER(AI218),AI218&lt;=T218),AU218,0),IF(AND(ISNUMBER(AJ218),AJ218&lt;=T218),AV218,0))&lt;=0,"",IF(AND(IF(AND(NOT(AND(AO218=1,AN218&lt;&gt;1)),ISNUMBER(AG218),AG218&lt;=T218),AS218,0)&gt;0,IF(AND(NOT(AND(AO218=1,AN218&lt;&gt;1)),ISNUMBER(AG218),AG218&lt;=T218),AS218,0)=MAX(IF(AND(NOT(AND(AO218=1,AN218&lt;&gt;1)),ISNUMBER(AG218),AG218&lt;=T218),AS218,0),IF(AND(NOT(AND(AO218=1,AN218&lt;&gt;1)),ISNUMBER(AH218),AH218&lt;=T218),AT218,0),IF(AND(NOT(AND(AO218=1,AN218&lt;&gt;1)),ISNUMBER(AI218),AI218&lt;=T218),AU218,0),IF(AND(ISNUMBER(AJ218),AJ218&lt;=T218),AV218,0))),"SW",IF(AND(IF(AND(NOT(AND(AO218=1,AN218&lt;&gt;1)),ISNUMBER(AH218),AH218&lt;=T218),AT218,0)&gt;0,IF(AND(NOT(AND(AO218=1,AN218&lt;&gt;1)),ISNUMBER(AH218),AH218&lt;=T218),AT218,0)=MAX(IF(AND(NOT(AND(AO218=1,AN218&lt;&gt;1)),ISNUMBER(AG218),AG218&lt;=T218),AS218,0),IF(AND(NOT(AND(AO218=1,AN218&lt;&gt;1)),ISNUMBER(AH218),AH218&lt;=T218),AT218,0),IF(AND(NOT(AND(AO218=1,AN218&lt;&gt;1)),ISNUMBER(AI218),AI218&lt;=T218),AU218,0),IF(AND(ISNUMBER(AJ218),AJ218&lt;=T218),AV218,0))),"AB",IF(AND(IF(AND(NOT(AND(AO218=1,AN218&lt;&gt;1)),ISNUMBER(AI218),AI218&lt;=T218),AU218,0)&gt;0,IF(AND(NOT(AND(AO218=1,AN218&lt;&gt;1)),ISNUMBER(AI218),AI218&lt;=T218),AU218,0)=MAX(IF(AND(NOT(AND(AO218=1,AN218&lt;&gt;1)),ISNUMBER(AG218),AG218&lt;=T218),AS218,0),IF(AND(NOT(AND(AO218=1,AN218&lt;&gt;1)),ISNUMBER(AH218),AH218&lt;=T218),AT218,0),IF(AND(NOT(AND(AO218=1,AN218&lt;&gt;1)),ISNUMBER(AI218),AI218&lt;=T218),AU218,0),IF(AND(ISNUMBER(AJ218),AJ218&lt;=T218),AV218,0))),"SC","Mag")))))))</f>
        <v/>
      </c>
    </row>
    <row r="219">
      <c r="A219" s="26" t="n">
        <v>214</v>
      </c>
      <c r="B219" s="27">
        <f>A219*10/60</f>
        <v/>
      </c>
      <c r="C219" s="22">
        <f>X218</f>
        <v/>
      </c>
      <c r="D219" s="27">
        <f>D218+W218</f>
        <v/>
      </c>
      <c r="E219" s="26">
        <f>E218+IF(U218="SW",1,0)</f>
        <v/>
      </c>
      <c r="F219" s="26">
        <f>F218+IF(U218="AB",1,0)</f>
        <v/>
      </c>
      <c r="G219" s="26">
        <f>G218+IF(U218="SC",1,0)</f>
        <v/>
      </c>
      <c r="H219" s="26">
        <f>H218+IF(U218="Mag",1,0)</f>
        <v/>
      </c>
      <c r="I219" s="26">
        <f>MAX(I218,IF(U218="OR",1,0))</f>
        <v/>
      </c>
      <c r="J219" s="26">
        <f>MAX(J218,IF(U218="HP",1,0))</f>
        <v/>
      </c>
      <c r="K219" s="26">
        <f>MAX(K218,IF(U218="FP",1,0))</f>
        <v/>
      </c>
      <c r="L219" s="26">
        <f>MAX(L218,IF(U218="transition",1,0))</f>
        <v/>
      </c>
      <c r="M219" s="28">
        <f>(Parameters!$B$9+(IF(E219=0,0,(Upgrades!$J$6+E219*Upgrades!$K$6)*POWER(Upgrades!$L$6,E219)))*(IF(Upgrades!$T$7="Solar Wind",POWER(Upgrades!$U$7,F219),1)*IF(Upgrades!$T$8="Solar Wind",POWER(Upgrades!$U$8,G219),1)*IF(Upgrades!$T$9="Solar Wind",POWER(Upgrades!$U$9,H219),1)*IF(Upgrades!$T$10="Solar Wind",POWER(Upgrades!$U$10,I219),1)*IF(Upgrades!$T$11="Solar Wind",POWER(Upgrades!$U$11,J219),1)*IF(Upgrades!$T$12="Solar Wind",POWER(Upgrades!$U$12,K219),1))+(IF(F219=0,0,(Upgrades!$J$7+F219*Upgrades!$K$7)*POWER(Upgrades!$L$7,F219)))*(IF(Upgrades!$T$6="Asteroid Belt",POWER(Upgrades!$U$6,E219),1)*IF(Upgrades!$T$8="Asteroid Belt",POWER(Upgrades!$U$8,G219),1)*IF(Upgrades!$T$9="Asteroid Belt",POWER(Upgrades!$U$9,H219),1)*IF(Upgrades!$T$10="Asteroid Belt",POWER(Upgrades!$U$10,I219),1)*IF(Upgrades!$T$11="Asteroid Belt",POWER(Upgrades!$U$11,J219),1)*IF(Upgrades!$T$12="Asteroid Belt",POWER(Upgrades!$U$12,K219),1))+(IF(G219=0,0,(Upgrades!$J$8+G219*Upgrades!$K$8)*POWER(Upgrades!$L$8,G219)))*(IF(Upgrades!$T$6="Stellar Coupling",POWER(Upgrades!$U$6,E219),1)*IF(Upgrades!$T$7="Stellar Coupling",POWER(Upgrades!$U$7,F219),1)*IF(Upgrades!$T$9="Stellar Coupling",POWER(Upgrades!$U$9,H219),1)*IF(Upgrades!$T$10="Stellar Coupling",POWER(Upgrades!$U$10,I219),1)*IF(Upgrades!$T$11="Stellar Coupling",POWER(Upgrades!$U$11,J219),1)*IF(Upgrades!$T$12="Stellar Coupling",POWER(Upgrades!$U$12,K219),1))+(IF(H219=0,0,(Upgrades!$J$9+H219*Upgrades!$K$9)*POWER(Upgrades!$L$9,H219)))*(IF(Upgrades!$T$6="Magnetosphere",POWER(Upgrades!$U$6,E219),1)*IF(Upgrades!$T$7="Magnetosphere",POWER(Upgrades!$U$7,F219),1)*IF(Upgrades!$T$8="Magnetosphere",POWER(Upgrades!$U$8,G219),1)*IF(Upgrades!$T$10="Magnetosphere",POWER(Upgrades!$U$10,I219),1)*IF(Upgrades!$T$11="Magnetosphere",POWER(Upgrades!$U$11,J219),1)*IF(Upgrades!$T$12="Magnetosphere",POWER(Upgrades!$U$12,K219),1))+(IF(I219=0,0,(Upgrades!$J$10+I219*Upgrades!$K$10)*POWER(Upgrades!$L$10,I219)))*(IF(Upgrades!$T$6="Orbital Resonance",POWER(Upgrades!$U$6,E219),1)*IF(Upgrades!$T$7="Orbital Resonance",POWER(Upgrades!$U$7,F219),1)*IF(Upgrades!$T$8="Orbital Resonance",POWER(Upgrades!$U$8,G219),1)*IF(Upgrades!$T$9="Orbital Resonance",POWER(Upgrades!$U$9,H219),1)*IF(Upgrades!$T$11="Orbital Resonance",POWER(Upgrades!$U$11,J219),1)*IF(Upgrades!$T$12="Orbital Resonance",POWER(Upgrades!$U$12,K219),1))+(IF(J219=0,0,(Upgrades!$J$11+J219*Upgrades!$K$11)*POWER(Upgrades!$L$11,J219)))*(IF(Upgrades!$T$6="Heliopause",POWER(Upgrades!$U$6,E219),1)*IF(Upgrades!$T$7="Heliopause",POWER(Upgrades!$U$7,F219),1)*IF(Upgrades!$T$8="Heliopause",POWER(Upgrades!$U$8,G219),1)*IF(Upgrades!$T$9="Heliopause",POWER(Upgrades!$U$9,H219),1)*IF(Upgrades!$T$10="Heliopause",POWER(Upgrades!$U$10,I219),1)*IF(Upgrades!$T$12="Heliopause",POWER(Upgrades!$U$12,K219),1))+(IF(K219=0,0,(Upgrades!$J$12+K219*Upgrades!$K$12)*POWER(Upgrades!$L$12,K219)))*(IF(Upgrades!$T$6="First Photons",POWER(Upgrades!$U$6,E219),1)*IF(Upgrades!$T$7="First Photons",POWER(Upgrades!$U$7,F219),1)*IF(Upgrades!$T$8="First Photons",POWER(Upgrades!$U$8,G219),1)*IF(Upgrades!$T$9="First Photons",POWER(Upgrades!$U$9,H219),1)*IF(Upgrades!$T$10="First Photons",POWER(Upgrades!$U$10,I219),1)*IF(Upgrades!$T$11="First Photons",POWER(Upgrades!$U$11,J219),1)))*POWER(Upgrades!$Q$6,E219)*POWER(Upgrades!$Q$7,F219)*POWER(Upgrades!$Q$8,G219)*POWER(Upgrades!$Q$9,H219)*POWER(Upgrades!$Q$10,I219)*POWER(Upgrades!$Q$11,J219)*POWER(Upgrades!$Q$12,K219)</f>
        <v/>
      </c>
      <c r="N219" s="28">
        <f>((IF(E219=0,0,(Upgrades!$G$6+E219*Upgrades!$H$6)*POWER(Upgrades!$I$6,E219)))*(IF(Upgrades!$T$7="Solar Wind",POWER(Upgrades!$U$7,F219),1)*IF(Upgrades!$T$8="Solar Wind",POWER(Upgrades!$U$8,G219),1)*IF(Upgrades!$T$9="Solar Wind",POWER(Upgrades!$U$9,H219),1)*IF(Upgrades!$T$10="Solar Wind",POWER(Upgrades!$U$10,I219),1)*IF(Upgrades!$T$11="Solar Wind",POWER(Upgrades!$U$11,J219),1)*IF(Upgrades!$T$12="Solar Wind",POWER(Upgrades!$U$12,K219),1))+(IF(F219=0,0,(Upgrades!$G$7+F219*Upgrades!$H$7)*POWER(Upgrades!$I$7,F219)))*(IF(Upgrades!$T$6="Asteroid Belt",POWER(Upgrades!$U$6,E219),1)*IF(Upgrades!$T$8="Asteroid Belt",POWER(Upgrades!$U$8,G219),1)*IF(Upgrades!$T$9="Asteroid Belt",POWER(Upgrades!$U$9,H219),1)*IF(Upgrades!$T$10="Asteroid Belt",POWER(Upgrades!$U$10,I219),1)*IF(Upgrades!$T$11="Asteroid Belt",POWER(Upgrades!$U$11,J219),1)*IF(Upgrades!$T$12="Asteroid Belt",POWER(Upgrades!$U$12,K219),1))+(IF(G219=0,0,(Upgrades!$G$8+G219*Upgrades!$H$8)*POWER(Upgrades!$I$8,G219)))*(IF(Upgrades!$T$6="Stellar Coupling",POWER(Upgrades!$U$6,E219),1)*IF(Upgrades!$T$7="Stellar Coupling",POWER(Upgrades!$U$7,F219),1)*IF(Upgrades!$T$9="Stellar Coupling",POWER(Upgrades!$U$9,H219),1)*IF(Upgrades!$T$10="Stellar Coupling",POWER(Upgrades!$U$10,I219),1)*IF(Upgrades!$T$11="Stellar Coupling",POWER(Upgrades!$U$11,J219),1)*IF(Upgrades!$T$12="Stellar Coupling",POWER(Upgrades!$U$12,K219),1))+(IF(H219=0,0,(Upgrades!$G$9+H219*Upgrades!$H$9)*POWER(Upgrades!$I$9,H219)))*(IF(Upgrades!$T$6="Magnetosphere",POWER(Upgrades!$U$6,E219),1)*IF(Upgrades!$T$7="Magnetosphere",POWER(Upgrades!$U$7,F219),1)*IF(Upgrades!$T$8="Magnetosphere",POWER(Upgrades!$U$8,G219),1)*IF(Upgrades!$T$10="Magnetosphere",POWER(Upgrades!$U$10,I219),1)*IF(Upgrades!$T$11="Magnetosphere",POWER(Upgrades!$U$11,J219),1)*IF(Upgrades!$T$12="Magnetosphere",POWER(Upgrades!$U$12,K219),1))+(IF(I219=0,0,(Upgrades!$G$10+I219*Upgrades!$H$10)*POWER(Upgrades!$I$10,I219)))*(IF(Upgrades!$T$6="Orbital Resonance",POWER(Upgrades!$U$6,E219),1)*IF(Upgrades!$T$7="Orbital Resonance",POWER(Upgrades!$U$7,F219),1)*IF(Upgrades!$T$8="Orbital Resonance",POWER(Upgrades!$U$8,G219),1)*IF(Upgrades!$T$9="Orbital Resonance",POWER(Upgrades!$U$9,H219),1)*IF(Upgrades!$T$11="Orbital Resonance",POWER(Upgrades!$U$11,J219),1)*IF(Upgrades!$T$12="Orbital Resonance",POWER(Upgrades!$U$12,K219),1))+(IF(J219=0,0,(Upgrades!$G$11+J219*Upgrades!$H$11)*POWER(Upgrades!$I$11,J219)))*(IF(Upgrades!$T$6="Heliopause",POWER(Upgrades!$U$6,E219),1)*IF(Upgrades!$T$7="Heliopause",POWER(Upgrades!$U$7,F219),1)*IF(Upgrades!$T$8="Heliopause",POWER(Upgrades!$U$8,G219),1)*IF(Upgrades!$T$9="Heliopause",POWER(Upgrades!$U$9,H219),1)*IF(Upgrades!$T$10="Heliopause",POWER(Upgrades!$U$10,I219),1)*IF(Upgrades!$T$12="Heliopause",POWER(Upgrades!$U$12,K219),1))+(IF(K219=0,0,(Upgrades!$G$12+K219*Upgrades!$H$12)*POWER(Upgrades!$I$12,K219)))*(IF(Upgrades!$T$6="First Photons",POWER(Upgrades!$U$6,E219),1)*IF(Upgrades!$T$7="First Photons",POWER(Upgrades!$U$7,F219),1)*IF(Upgrades!$T$8="First Photons",POWER(Upgrades!$U$8,G219),1)*IF(Upgrades!$T$9="First Photons",POWER(Upgrades!$U$9,H219),1)*IF(Upgrades!$T$10="First Photons",POWER(Upgrades!$U$10,I219),1)*IF(Upgrades!$T$11="First Photons",POWER(Upgrades!$U$11,J219),1)))*POWER(Upgrades!$P$6,E219)*POWER(Upgrades!$P$7,F219)*POWER(Upgrades!$P$8,G219)*POWER(Upgrades!$P$9,H219)*POWER(Upgrades!$P$10,I219)*POWER(Upgrades!$P$11,J219)*POWER(Upgrades!$P$12,K219)</f>
        <v/>
      </c>
      <c r="O219" s="28">
        <f>((IF(E219=0,0,(Upgrades!$M$6+E219*Upgrades!$N$6)*POWER(Upgrades!$O$6,E219)))*(IF(Upgrades!$T$7="Solar Wind",POWER(Upgrades!$U$7,F219),1)*IF(Upgrades!$T$8="Solar Wind",POWER(Upgrades!$U$8,G219),1)*IF(Upgrades!$T$9="Solar Wind",POWER(Upgrades!$U$9,H219),1)*IF(Upgrades!$T$10="Solar Wind",POWER(Upgrades!$U$10,I219),1)*IF(Upgrades!$T$11="Solar Wind",POWER(Upgrades!$U$11,J219),1)*IF(Upgrades!$T$12="Solar Wind",POWER(Upgrades!$U$12,K219),1))+(IF(F219=0,0,(Upgrades!$M$7+F219*Upgrades!$N$7)*POWER(Upgrades!$O$7,F219)))*(IF(Upgrades!$T$6="Asteroid Belt",POWER(Upgrades!$U$6,E219),1)*IF(Upgrades!$T$8="Asteroid Belt",POWER(Upgrades!$U$8,G219),1)*IF(Upgrades!$T$9="Asteroid Belt",POWER(Upgrades!$U$9,H219),1)*IF(Upgrades!$T$10="Asteroid Belt",POWER(Upgrades!$U$10,I219),1)*IF(Upgrades!$T$11="Asteroid Belt",POWER(Upgrades!$U$11,J219),1)*IF(Upgrades!$T$12="Asteroid Belt",POWER(Upgrades!$U$12,K219),1))+(IF(G219=0,0,(Upgrades!$M$8+G219*Upgrades!$N$8)*POWER(Upgrades!$O$8,G219)))*(IF(Upgrades!$T$6="Stellar Coupling",POWER(Upgrades!$U$6,E219),1)*IF(Upgrades!$T$7="Stellar Coupling",POWER(Upgrades!$U$7,F219),1)*IF(Upgrades!$T$9="Stellar Coupling",POWER(Upgrades!$U$9,H219),1)*IF(Upgrades!$T$10="Stellar Coupling",POWER(Upgrades!$U$10,I219),1)*IF(Upgrades!$T$11="Stellar Coupling",POWER(Upgrades!$U$11,J219),1)*IF(Upgrades!$T$12="Stellar Coupling",POWER(Upgrades!$U$12,K219),1))+(IF(H219=0,0,(Upgrades!$M$9+H219*Upgrades!$N$9)*POWER(Upgrades!$O$9,H219)))*(IF(Upgrades!$T$6="Magnetosphere",POWER(Upgrades!$U$6,E219),1)*IF(Upgrades!$T$7="Magnetosphere",POWER(Upgrades!$U$7,F219),1)*IF(Upgrades!$T$8="Magnetosphere",POWER(Upgrades!$U$8,G219),1)*IF(Upgrades!$T$10="Magnetosphere",POWER(Upgrades!$U$10,I219),1)*IF(Upgrades!$T$11="Magnetosphere",POWER(Upgrades!$U$11,J219),1)*IF(Upgrades!$T$12="Magnetosphere",POWER(Upgrades!$U$12,K219),1))+(IF(I219=0,0,(Upgrades!$M$10+I219*Upgrades!$N$10)*POWER(Upgrades!$O$10,I219)))*(IF(Upgrades!$T$6="Orbital Resonance",POWER(Upgrades!$U$6,E219),1)*IF(Upgrades!$T$7="Orbital Resonance",POWER(Upgrades!$U$7,F219),1)*IF(Upgrades!$T$8="Orbital Resonance",POWER(Upgrades!$U$8,G219),1)*IF(Upgrades!$T$9="Orbital Resonance",POWER(Upgrades!$U$9,H219),1)*IF(Upgrades!$T$11="Orbital Resonance",POWER(Upgrades!$U$11,J219),1)*IF(Upgrades!$T$12="Orbital Resonance",POWER(Upgrades!$U$12,K219),1))+(IF(J219=0,0,(Upgrades!$M$11+J219*Upgrades!$N$11)*POWER(Upgrades!$O$11,J219)))*(IF(Upgrades!$T$6="Heliopause",POWER(Upgrades!$U$6,E219),1)*IF(Upgrades!$T$7="Heliopause",POWER(Upgrades!$U$7,F219),1)*IF(Upgrades!$T$8="Heliopause",POWER(Upgrades!$U$8,G219),1)*IF(Upgrades!$T$9="Heliopause",POWER(Upgrades!$U$9,H219),1)*IF(Upgrades!$T$10="Heliopause",POWER(Upgrades!$U$10,I219),1)*IF(Upgrades!$T$12="Heliopause",POWER(Upgrades!$U$12,K219),1))+(IF(K219=0,0,(Upgrades!$M$12+K219*Upgrades!$N$12)*POWER(Upgrades!$O$12,K219)))*(IF(Upgrades!$T$6="First Photons",POWER(Upgrades!$U$6,E219),1)*IF(Upgrades!$T$7="First Photons",POWER(Upgrades!$U$7,F219),1)*IF(Upgrades!$T$8="First Photons",POWER(Upgrades!$U$8,G219),1)*IF(Upgrades!$T$9="First Photons",POWER(Upgrades!$U$9,H219),1)*IF(Upgrades!$T$10="First Photons",POWER(Upgrades!$U$10,I219),1)*IF(Upgrades!$T$11="First Photons",POWER(Upgrades!$U$11,J219),1)))*POWER(Upgrades!$R$6,E219)*POWER(Upgrades!$R$7,F219)*POWER(Upgrades!$R$8,G219)*POWER(Upgrades!$R$9,H219)*POWER(Upgrades!$R$10,I219)*POWER(Upgrades!$R$11,J219)*POWER(Upgrades!$R$12,K219)</f>
        <v/>
      </c>
      <c r="P219" s="27">
        <f>IF(L219=1,0,M219*Parameters!$B$10/60*Parameters!$B$11*10)</f>
        <v/>
      </c>
      <c r="Q219" s="27">
        <f>IF(L219=1,0,O219*M219*10)</f>
        <v/>
      </c>
      <c r="R219" s="27">
        <f>IF(L219=1,0,N219*10)</f>
        <v/>
      </c>
      <c r="S219" s="27">
        <f>P219+Q219+R219</f>
        <v/>
      </c>
      <c r="T219" s="22">
        <f>C219+S219</f>
        <v/>
      </c>
      <c r="U219" s="33">
        <f>AX219</f>
        <v/>
      </c>
      <c r="V219" s="22">
        <f>IF(U219="",0,IF(U219="transition",0,IF(U219="SW",AG219,IF(U219="AB",AH219,IF(U219="SC",AI219,IF(U219="Mag",AJ219,IF(U219="OR",AK219,IF(U219="HP",AL219,IF(U219="FP",AM219,0)))))))))</f>
        <v/>
      </c>
      <c r="W219" s="27">
        <f>IF(U219="OR",Upgrades!$F$10,IF(U219="HP",Upgrades!$F$11,IF(U219="transition",-Parameters!$B$18,0)))</f>
        <v/>
      </c>
      <c r="X219" s="22">
        <f>T219-V219</f>
        <v/>
      </c>
      <c r="Y219" s="30">
        <f>M219*Parameters!$B$10/60*Parameters!$B$11+O219*M219+N219</f>
        <v/>
      </c>
      <c r="Z219" s="34">
        <f>IF(U219="transition","→ Tier 2 (Stellar Neighborhood)",IF(U219="FP","First Photons — light begins, system quickens",IF(U219="HP","Heliopause acquired",IF(U219="OR","Orbital Resonance — passive multiplier active",IF(AND(AO219=1,L219=0,AN219&lt;&gt;1),"Cohesion ready (waiting on completionist upgrades)","")))))</f>
        <v/>
      </c>
      <c r="AA219" s="27">
        <f>(IF(E219=0,0,(Upgrades!$G$6+E219*Upgrades!$H$6)*POWER(Upgrades!$I$6,E219)))*(IF(Upgrades!$T$7="Solar Wind",POWER(Upgrades!$U$7,F219),1)*IF(Upgrades!$T$8="Solar Wind",POWER(Upgrades!$U$8,G219),1)*IF(Upgrades!$T$9="Solar Wind",POWER(Upgrades!$U$9,H219),1)*IF(Upgrades!$T$10="Solar Wind",POWER(Upgrades!$U$10,I219),1)*IF(Upgrades!$T$11="Solar Wind",POWER(Upgrades!$U$11,J219),1)*IF(Upgrades!$T$12="Solar Wind",POWER(Upgrades!$U$12,K219),1))*POWER(Upgrades!$P$6,E219)*POWER(Upgrades!$P$7,F219)*POWER(Upgrades!$P$8,G219)*POWER(Upgrades!$P$9,H219)*POWER(Upgrades!$P$10,I219)*POWER(Upgrades!$P$11,J219)*POWER(Upgrades!$P$12,K219)*60</f>
        <v/>
      </c>
      <c r="AB219" s="27">
        <f>(IF(F219=0,0,(Upgrades!$G$7+F219*Upgrades!$H$7)*POWER(Upgrades!$I$7,F219)))*(IF(Upgrades!$T$6="Asteroid Belt",POWER(Upgrades!$U$6,E219),1)*IF(Upgrades!$T$8="Asteroid Belt",POWER(Upgrades!$U$8,G219),1)*IF(Upgrades!$T$9="Asteroid Belt",POWER(Upgrades!$U$9,H219),1)*IF(Upgrades!$T$10="Asteroid Belt",POWER(Upgrades!$U$10,I219),1)*IF(Upgrades!$T$11="Asteroid Belt",POWER(Upgrades!$U$11,J219),1)*IF(Upgrades!$T$12="Asteroid Belt",POWER(Upgrades!$U$12,K219),1))*POWER(Upgrades!$P$6,E219)*POWER(Upgrades!$P$7,F219)*POWER(Upgrades!$P$8,G219)*POWER(Upgrades!$P$9,H219)*POWER(Upgrades!$P$10,I219)*POWER(Upgrades!$P$11,J219)*POWER(Upgrades!$P$12,K219)*60</f>
        <v/>
      </c>
      <c r="AC219" s="27">
        <f>(IF(G219=0,0,(Upgrades!$J$8+G219*Upgrades!$K$8)*POWER(Upgrades!$L$8,G219)))*(IF(Upgrades!$T$6="Stellar Coupling",POWER(Upgrades!$U$6,E219),1)*IF(Upgrades!$T$7="Stellar Coupling",POWER(Upgrades!$U$7,F219),1)*IF(Upgrades!$T$9="Stellar Coupling",POWER(Upgrades!$U$9,H219),1)*IF(Upgrades!$T$10="Stellar Coupling",POWER(Upgrades!$U$10,I219),1)*IF(Upgrades!$T$11="Stellar Coupling",POWER(Upgrades!$U$11,J219),1)*IF(Upgrades!$T$12="Stellar Coupling",POWER(Upgrades!$U$12,K219),1))*POWER(Upgrades!$Q$6,E219)*POWER(Upgrades!$Q$7,F219)*POWER(Upgrades!$Q$8,G219)*POWER(Upgrades!$Q$9,H219)*POWER(Upgrades!$Q$10,I219)*POWER(Upgrades!$Q$11,J219)*POWER(Upgrades!$Q$12,K219)*Parameters!$B$10*Parameters!$B$11</f>
        <v/>
      </c>
      <c r="AD219" s="27">
        <f>(IF(H219=0,0,(Upgrades!$G$9+H219*Upgrades!$H$9)*POWER(Upgrades!$I$9,H219)))*(IF(Upgrades!$T$6="Magnetosphere",POWER(Upgrades!$U$6,E219),1)*IF(Upgrades!$T$7="Magnetosphere",POWER(Upgrades!$U$7,F219),1)*IF(Upgrades!$T$8="Magnetosphere",POWER(Upgrades!$U$8,G219),1)*IF(Upgrades!$T$10="Magnetosphere",POWER(Upgrades!$U$10,I219),1)*IF(Upgrades!$T$11="Magnetosphere",POWER(Upgrades!$U$11,J219),1)*IF(Upgrades!$T$12="Magnetosphere",POWER(Upgrades!$U$12,K219),1))*POWER(Upgrades!$P$6,E219)*POWER(Upgrades!$P$7,F219)*POWER(Upgrades!$P$8,G219)*POWER(Upgrades!$P$9,H219)*POWER(Upgrades!$P$10,I219)*POWER(Upgrades!$P$11,J219)*POWER(Upgrades!$P$12,K219)*60</f>
        <v/>
      </c>
      <c r="AE219" s="27">
        <f>(IF(K219=0,0,(Upgrades!$G$12+K219*Upgrades!$H$12)*POWER(Upgrades!$I$12,K219)))*(IF(Upgrades!$T$6="First Photons",POWER(Upgrades!$U$6,E219),1)*IF(Upgrades!$T$7="First Photons",POWER(Upgrades!$U$7,F219),1)*IF(Upgrades!$T$8="First Photons",POWER(Upgrades!$U$8,G219),1)*IF(Upgrades!$T$9="First Photons",POWER(Upgrades!$U$9,H219),1)*IF(Upgrades!$T$10="First Photons",POWER(Upgrades!$U$10,I219),1)*IF(Upgrades!$T$11="First Photons",POWER(Upgrades!$U$11,J219),1))*POWER(Upgrades!$P$6,E219)*POWER(Upgrades!$P$7,F219)*POWER(Upgrades!$P$8,G219)*POWER(Upgrades!$P$9,H219)*POWER(Upgrades!$P$10,I219)*POWER(Upgrades!$P$11,J219)*POWER(Upgrades!$P$12,K219)*60</f>
        <v/>
      </c>
      <c r="AF219" s="27">
        <f>Parameters!$B$9*POWER(Upgrades!$Q$6,E219)*POWER(Upgrades!$Q$7,F219)*POWER(Upgrades!$Q$8,G219)*POWER(Upgrades!$Q$9,H219)*POWER(Upgrades!$Q$10,I219)*POWER(Upgrades!$Q$11,J219)*POWER(Upgrades!$Q$12,K219)*(Parameters!$B$10*Parameters!$B$11+O219*60)</f>
        <v/>
      </c>
      <c r="AG219" s="22">
        <f>IF(E219&gt;=Upgrades!$E$6,"",Upgrades!$C$6*POWER(Upgrades!$D$6,E219))</f>
        <v/>
      </c>
      <c r="AH219" s="22">
        <f>IF(F219&gt;=Upgrades!$E$7,"",Upgrades!$C$7*POWER(Upgrades!$D$7,F219))</f>
        <v/>
      </c>
      <c r="AI219" s="22">
        <f>IF(G219&gt;=Upgrades!$E$8,"",Upgrades!$C$8*POWER(Upgrades!$D$8,G219))</f>
        <v/>
      </c>
      <c r="AJ219" s="22">
        <f>IF(H219&gt;=Upgrades!$E$9,"",Upgrades!$C$9*POWER(Upgrades!$D$9,H219))</f>
        <v/>
      </c>
      <c r="AK219" s="22">
        <f>IF(I219&gt;=Upgrades!$E$10,"",Upgrades!$C$10*POWER(Upgrades!$D$10,I219))</f>
        <v/>
      </c>
      <c r="AL219" s="22">
        <f>IF(J219&gt;=Upgrades!$E$11,"",Upgrades!$C$11*POWER(Upgrades!$D$11,J219))</f>
        <v/>
      </c>
      <c r="AM219" s="22">
        <f>IF(K219&gt;=Upgrades!$E$12,"",Upgrades!$C$12*POWER(Upgrades!$D$12,K219))</f>
        <v/>
      </c>
      <c r="AN219" s="26">
        <f>IF(AND(D219&gt;=Parameters!$B$18,(H219&gt;=Upgrades!$E$9)*(K219&gt;=Upgrades!$E$12)=1,L219=0),1,"")</f>
        <v/>
      </c>
      <c r="AO219" s="26">
        <f>IF(AND(D219&gt;=Parameters!$B$18,L219=0),1,"")</f>
        <v/>
      </c>
      <c r="AP219" s="22">
        <f>MIN(IF(ISNUMBER(AK219),AK219,9E15),IF(ISNUMBER(AL219),AL219,9E15),IF(ISNUMBER(AM219),AM219,9E15))</f>
        <v/>
      </c>
      <c r="AQ219" s="22">
        <f>MIN(IF(ISNUMBER(AG219),AG219,9E15),IF(ISNUMBER(AH219),AH219,9E15),IF(ISNUMBER(AI219),AI219,9E15),IF(ISNUMBER(AJ219),AJ219,9E15))</f>
        <v/>
      </c>
      <c r="AR219" s="29">
        <f>IF(AW219&gt;Parameters!$B$21*(MAX(IF(AND(NOT(AND(AO219=1,AN219&lt;&gt;1)),ISNUMBER(AG219),AG219&lt;=T219),AS219,0),IF(AND(NOT(AND(AO219=1,AN219&lt;&gt;1)),ISNUMBER(AH219),AH219&lt;=T219),AT219,0),IF(AND(NOT(AND(AO219=1,AN219&lt;&gt;1)),ISNUMBER(AI219),AI219&lt;=T219),AU219,0),IF(AND(ISNUMBER(AJ219),AJ219&lt;=T219),AV219,0))),TRUE,FALSE)</f>
        <v/>
      </c>
      <c r="AS219" s="32">
        <f>IFERROR(Upgrades!$H$6*(POWER(Upgrades!$P$6,E219)*POWER(Upgrades!$P$7,F219)*POWER(Upgrades!$P$8,G219)*POWER(Upgrades!$P$9,H219)*POWER(Upgrades!$P$10,I219)*POWER(Upgrades!$P$11,J219)*POWER(Upgrades!$P$12,K219))*(IF(Upgrades!$T$7="Solar Wind",POWER(Upgrades!$U$7,F219),1)*IF(Upgrades!$T$8="Solar Wind",POWER(Upgrades!$U$8,G219),1)*IF(Upgrades!$T$9="Solar Wind",POWER(Upgrades!$U$9,H219),1)*IF(Upgrades!$T$10="Solar Wind",POWER(Upgrades!$U$10,I219),1)*IF(Upgrades!$T$11="Solar Wind",POWER(Upgrades!$U$11,J219),1)*IF(Upgrades!$T$12="Solar Wind",POWER(Upgrades!$U$12,K219),1))/AG219,0)</f>
        <v/>
      </c>
      <c r="AT219" s="32">
        <f>IFERROR(Upgrades!$H$7*(POWER(Upgrades!$P$6,E219)*POWER(Upgrades!$P$7,F219)*POWER(Upgrades!$P$8,G219)*POWER(Upgrades!$P$9,H219)*POWER(Upgrades!$P$10,I219)*POWER(Upgrades!$P$11,J219)*POWER(Upgrades!$P$12,K219))*(IF(Upgrades!$T$6="Asteroid Belt",POWER(Upgrades!$U$6,E219),1)*IF(Upgrades!$T$8="Asteroid Belt",POWER(Upgrades!$U$8,G219),1)*IF(Upgrades!$T$9="Asteroid Belt",POWER(Upgrades!$U$9,H219),1)*IF(Upgrades!$T$10="Asteroid Belt",POWER(Upgrades!$U$10,I219),1)*IF(Upgrades!$T$11="Asteroid Belt",POWER(Upgrades!$U$11,J219),1)*IF(Upgrades!$T$12="Asteroid Belt",POWER(Upgrades!$U$12,K219),1))/AH219,0)</f>
        <v/>
      </c>
      <c r="AU219" s="32">
        <f>IFERROR(Upgrades!$K$8*(POWER(Upgrades!$Q$6,E219)*POWER(Upgrades!$Q$7,F219)*POWER(Upgrades!$Q$8,G219)*POWER(Upgrades!$Q$9,H219)*POWER(Upgrades!$Q$10,I219)*POWER(Upgrades!$Q$11,J219)*POWER(Upgrades!$Q$12,K219))*(IF(Upgrades!$T$6="Stellar Coupling",POWER(Upgrades!$U$6,E219),1)*IF(Upgrades!$T$7="Stellar Coupling",POWER(Upgrades!$U$7,F219),1)*IF(Upgrades!$T$9="Stellar Coupling",POWER(Upgrades!$U$9,H219),1)*IF(Upgrades!$T$10="Stellar Coupling",POWER(Upgrades!$U$10,I219),1)*IF(Upgrades!$T$11="Stellar Coupling",POWER(Upgrades!$U$11,J219),1)*IF(Upgrades!$T$12="Stellar Coupling",POWER(Upgrades!$U$12,K219),1))*Parameters!$B$10*Parameters!$B$11/60/AI219,0)</f>
        <v/>
      </c>
      <c r="AV219" s="32">
        <f>IFERROR(Upgrades!$H$9*(POWER(Upgrades!$P$6,E219)*POWER(Upgrades!$P$7,F219)*POWER(Upgrades!$P$8,G219)*POWER(Upgrades!$P$9,H219)*POWER(Upgrades!$P$10,I219)*POWER(Upgrades!$P$11,J219)*POWER(Upgrades!$P$12,K219))*(IF(Upgrades!$T$6="Magnetosphere",POWER(Upgrades!$U$6,E219),1)*IF(Upgrades!$T$7="Magnetosphere",POWER(Upgrades!$U$7,F219),1)*IF(Upgrades!$T$8="Magnetosphere",POWER(Upgrades!$U$8,G219),1)*IF(Upgrades!$T$10="Magnetosphere",POWER(Upgrades!$U$10,I219),1)*IF(Upgrades!$T$11="Magnetosphere",POWER(Upgrades!$U$11,J219),1)*IF(Upgrades!$T$12="Magnetosphere",POWER(Upgrades!$U$12,K219),1))/AJ219,0)</f>
        <v/>
      </c>
      <c r="AW219" s="32">
        <f>MAX(IF(I219&gt;0,0,IFERROR(0.25*N219/Upgrades!$C$10,0)),IF(J219&gt;0,0,IFERROR(0.5*((IF(G219=0,0,(Upgrades!$J$8+G219*Upgrades!$K$8)*POWER(Upgrades!$L$8,G219)))*(IF(Upgrades!$T$6="Stellar Coupling",POWER(Upgrades!$U$6,E219),1)*IF(Upgrades!$T$7="Stellar Coupling",POWER(Upgrades!$U$7,F219),1)*IF(Upgrades!$T$9="Stellar Coupling",POWER(Upgrades!$U$9,H219),1)*IF(Upgrades!$T$10="Stellar Coupling",POWER(Upgrades!$U$10,I219),1)*IF(Upgrades!$T$11="Stellar Coupling",POWER(Upgrades!$U$11,J219),1)*IF(Upgrades!$T$12="Stellar Coupling",POWER(Upgrades!$U$12,K219),1))*(POWER(Upgrades!$Q$6,E219)*POWER(Upgrades!$Q$7,F219)*POWER(Upgrades!$Q$8,G219)*POWER(Upgrades!$Q$9,H219)*POWER(Upgrades!$Q$10,I219)*POWER(Upgrades!$Q$11,J219)*POWER(Upgrades!$Q$12,K219))*Parameters!$B$10*Parameters!$B$11/60)/Upgrades!$C$11,0)),IF(K219&gt;0,0,IFERROR((1.0*(POWER(Upgrades!$P$6,E219)*POWER(Upgrades!$P$7,F219)*POWER(Upgrades!$P$8,G219)*POWER(Upgrades!$P$9,H219)*POWER(Upgrades!$P$10,I219)*POWER(Upgrades!$P$11,J219)*POWER(Upgrades!$P$12,K219))+0.20*M219*Parameters!$B$10*Parameters!$B$11/60)/Upgrades!$C$12,0)),IF(AND(ISNUMBER(AG219),AG219&gt;T219),AS219,0),IF(AND(ISNUMBER(AH219),AH219&gt;T219),AT219,0),IF(AND(ISNUMBER(AI219),AI219&gt;T219),AU219,0),IF(AND(ISNUMBER(AJ219),AJ219&gt;T219),AV219,0))</f>
        <v/>
      </c>
      <c r="AX219" s="29">
        <f>IF(AN219=1,"transition",IF(MIN(IF(AND(I219=0,ISNUMBER(AK219),AK219&lt;=T219),AK219,9E15),IF(AND(J219=0,ISNUMBER(AL219),AL219&lt;=T219),AL219,9E15),IF(AND(K219=0,ISNUMBER(AM219),AM219&lt;=T219),AM219,9E15))&lt;9E15,IF(AND(AND(I219=0,ISNUMBER(AK219),AK219&lt;=T219),AK219=MIN(IF(AND(I219=0,ISNUMBER(AK219),AK219&lt;=T219),AK219,9E15),IF(AND(J219=0,ISNUMBER(AL219),AL219&lt;=T219),AL219,9E15),IF(AND(K219=0,ISNUMBER(AM219),AM219&lt;=T219),AM219,9E15))),"OR",IF(AND(AND(J219=0,ISNUMBER(AL219),AL219&lt;=T219),AL219=MIN(IF(AND(I219=0,ISNUMBER(AK219),AK219&lt;=T219),AK219,9E15),IF(AND(J219=0,ISNUMBER(AL219),AL219&lt;=T219),AL219,9E15),IF(AND(K219=0,ISNUMBER(AM219),AM219&lt;=T219),AM219,9E15))),"HP","FP")),IF(AR219=TRUE,"",IF(MAX(IF(AND(NOT(AND(AO219=1,AN219&lt;&gt;1)),ISNUMBER(AG219),AG219&lt;=T219),AS219,0),IF(AND(NOT(AND(AO219=1,AN219&lt;&gt;1)),ISNUMBER(AH219),AH219&lt;=T219),AT219,0),IF(AND(NOT(AND(AO219=1,AN219&lt;&gt;1)),ISNUMBER(AI219),AI219&lt;=T219),AU219,0),IF(AND(ISNUMBER(AJ219),AJ219&lt;=T219),AV219,0))&lt;=0,"",IF(AND(IF(AND(NOT(AND(AO219=1,AN219&lt;&gt;1)),ISNUMBER(AG219),AG219&lt;=T219),AS219,0)&gt;0,IF(AND(NOT(AND(AO219=1,AN219&lt;&gt;1)),ISNUMBER(AG219),AG219&lt;=T219),AS219,0)=MAX(IF(AND(NOT(AND(AO219=1,AN219&lt;&gt;1)),ISNUMBER(AG219),AG219&lt;=T219),AS219,0),IF(AND(NOT(AND(AO219=1,AN219&lt;&gt;1)),ISNUMBER(AH219),AH219&lt;=T219),AT219,0),IF(AND(NOT(AND(AO219=1,AN219&lt;&gt;1)),ISNUMBER(AI219),AI219&lt;=T219),AU219,0),IF(AND(ISNUMBER(AJ219),AJ219&lt;=T219),AV219,0))),"SW",IF(AND(IF(AND(NOT(AND(AO219=1,AN219&lt;&gt;1)),ISNUMBER(AH219),AH219&lt;=T219),AT219,0)&gt;0,IF(AND(NOT(AND(AO219=1,AN219&lt;&gt;1)),ISNUMBER(AH219),AH219&lt;=T219),AT219,0)=MAX(IF(AND(NOT(AND(AO219=1,AN219&lt;&gt;1)),ISNUMBER(AG219),AG219&lt;=T219),AS219,0),IF(AND(NOT(AND(AO219=1,AN219&lt;&gt;1)),ISNUMBER(AH219),AH219&lt;=T219),AT219,0),IF(AND(NOT(AND(AO219=1,AN219&lt;&gt;1)),ISNUMBER(AI219),AI219&lt;=T219),AU219,0),IF(AND(ISNUMBER(AJ219),AJ219&lt;=T219),AV219,0))),"AB",IF(AND(IF(AND(NOT(AND(AO219=1,AN219&lt;&gt;1)),ISNUMBER(AI219),AI219&lt;=T219),AU219,0)&gt;0,IF(AND(NOT(AND(AO219=1,AN219&lt;&gt;1)),ISNUMBER(AI219),AI219&lt;=T219),AU219,0)=MAX(IF(AND(NOT(AND(AO219=1,AN219&lt;&gt;1)),ISNUMBER(AG219),AG219&lt;=T219),AS219,0),IF(AND(NOT(AND(AO219=1,AN219&lt;&gt;1)),ISNUMBER(AH219),AH219&lt;=T219),AT219,0),IF(AND(NOT(AND(AO219=1,AN219&lt;&gt;1)),ISNUMBER(AI219),AI219&lt;=T219),AU219,0),IF(AND(ISNUMBER(AJ219),AJ219&lt;=T219),AV219,0))),"SC","Mag")))))))</f>
        <v/>
      </c>
    </row>
    <row r="220">
      <c r="A220" s="26" t="n">
        <v>215</v>
      </c>
      <c r="B220" s="27">
        <f>A220*10/60</f>
        <v/>
      </c>
      <c r="C220" s="22">
        <f>X219</f>
        <v/>
      </c>
      <c r="D220" s="27">
        <f>D219+W219</f>
        <v/>
      </c>
      <c r="E220" s="26">
        <f>E219+IF(U219="SW",1,0)</f>
        <v/>
      </c>
      <c r="F220" s="26">
        <f>F219+IF(U219="AB",1,0)</f>
        <v/>
      </c>
      <c r="G220" s="26">
        <f>G219+IF(U219="SC",1,0)</f>
        <v/>
      </c>
      <c r="H220" s="26">
        <f>H219+IF(U219="Mag",1,0)</f>
        <v/>
      </c>
      <c r="I220" s="26">
        <f>MAX(I219,IF(U219="OR",1,0))</f>
        <v/>
      </c>
      <c r="J220" s="26">
        <f>MAX(J219,IF(U219="HP",1,0))</f>
        <v/>
      </c>
      <c r="K220" s="26">
        <f>MAX(K219,IF(U219="FP",1,0))</f>
        <v/>
      </c>
      <c r="L220" s="26">
        <f>MAX(L219,IF(U219="transition",1,0))</f>
        <v/>
      </c>
      <c r="M220" s="28">
        <f>(Parameters!$B$9+(IF(E220=0,0,(Upgrades!$J$6+E220*Upgrades!$K$6)*POWER(Upgrades!$L$6,E220)))*(IF(Upgrades!$T$7="Solar Wind",POWER(Upgrades!$U$7,F220),1)*IF(Upgrades!$T$8="Solar Wind",POWER(Upgrades!$U$8,G220),1)*IF(Upgrades!$T$9="Solar Wind",POWER(Upgrades!$U$9,H220),1)*IF(Upgrades!$T$10="Solar Wind",POWER(Upgrades!$U$10,I220),1)*IF(Upgrades!$T$11="Solar Wind",POWER(Upgrades!$U$11,J220),1)*IF(Upgrades!$T$12="Solar Wind",POWER(Upgrades!$U$12,K220),1))+(IF(F220=0,0,(Upgrades!$J$7+F220*Upgrades!$K$7)*POWER(Upgrades!$L$7,F220)))*(IF(Upgrades!$T$6="Asteroid Belt",POWER(Upgrades!$U$6,E220),1)*IF(Upgrades!$T$8="Asteroid Belt",POWER(Upgrades!$U$8,G220),1)*IF(Upgrades!$T$9="Asteroid Belt",POWER(Upgrades!$U$9,H220),1)*IF(Upgrades!$T$10="Asteroid Belt",POWER(Upgrades!$U$10,I220),1)*IF(Upgrades!$T$11="Asteroid Belt",POWER(Upgrades!$U$11,J220),1)*IF(Upgrades!$T$12="Asteroid Belt",POWER(Upgrades!$U$12,K220),1))+(IF(G220=0,0,(Upgrades!$J$8+G220*Upgrades!$K$8)*POWER(Upgrades!$L$8,G220)))*(IF(Upgrades!$T$6="Stellar Coupling",POWER(Upgrades!$U$6,E220),1)*IF(Upgrades!$T$7="Stellar Coupling",POWER(Upgrades!$U$7,F220),1)*IF(Upgrades!$T$9="Stellar Coupling",POWER(Upgrades!$U$9,H220),1)*IF(Upgrades!$T$10="Stellar Coupling",POWER(Upgrades!$U$10,I220),1)*IF(Upgrades!$T$11="Stellar Coupling",POWER(Upgrades!$U$11,J220),1)*IF(Upgrades!$T$12="Stellar Coupling",POWER(Upgrades!$U$12,K220),1))+(IF(H220=0,0,(Upgrades!$J$9+H220*Upgrades!$K$9)*POWER(Upgrades!$L$9,H220)))*(IF(Upgrades!$T$6="Magnetosphere",POWER(Upgrades!$U$6,E220),1)*IF(Upgrades!$T$7="Magnetosphere",POWER(Upgrades!$U$7,F220),1)*IF(Upgrades!$T$8="Magnetosphere",POWER(Upgrades!$U$8,G220),1)*IF(Upgrades!$T$10="Magnetosphere",POWER(Upgrades!$U$10,I220),1)*IF(Upgrades!$T$11="Magnetosphere",POWER(Upgrades!$U$11,J220),1)*IF(Upgrades!$T$12="Magnetosphere",POWER(Upgrades!$U$12,K220),1))+(IF(I220=0,0,(Upgrades!$J$10+I220*Upgrades!$K$10)*POWER(Upgrades!$L$10,I220)))*(IF(Upgrades!$T$6="Orbital Resonance",POWER(Upgrades!$U$6,E220),1)*IF(Upgrades!$T$7="Orbital Resonance",POWER(Upgrades!$U$7,F220),1)*IF(Upgrades!$T$8="Orbital Resonance",POWER(Upgrades!$U$8,G220),1)*IF(Upgrades!$T$9="Orbital Resonance",POWER(Upgrades!$U$9,H220),1)*IF(Upgrades!$T$11="Orbital Resonance",POWER(Upgrades!$U$11,J220),1)*IF(Upgrades!$T$12="Orbital Resonance",POWER(Upgrades!$U$12,K220),1))+(IF(J220=0,0,(Upgrades!$J$11+J220*Upgrades!$K$11)*POWER(Upgrades!$L$11,J220)))*(IF(Upgrades!$T$6="Heliopause",POWER(Upgrades!$U$6,E220),1)*IF(Upgrades!$T$7="Heliopause",POWER(Upgrades!$U$7,F220),1)*IF(Upgrades!$T$8="Heliopause",POWER(Upgrades!$U$8,G220),1)*IF(Upgrades!$T$9="Heliopause",POWER(Upgrades!$U$9,H220),1)*IF(Upgrades!$T$10="Heliopause",POWER(Upgrades!$U$10,I220),1)*IF(Upgrades!$T$12="Heliopause",POWER(Upgrades!$U$12,K220),1))+(IF(K220=0,0,(Upgrades!$J$12+K220*Upgrades!$K$12)*POWER(Upgrades!$L$12,K220)))*(IF(Upgrades!$T$6="First Photons",POWER(Upgrades!$U$6,E220),1)*IF(Upgrades!$T$7="First Photons",POWER(Upgrades!$U$7,F220),1)*IF(Upgrades!$T$8="First Photons",POWER(Upgrades!$U$8,G220),1)*IF(Upgrades!$T$9="First Photons",POWER(Upgrades!$U$9,H220),1)*IF(Upgrades!$T$10="First Photons",POWER(Upgrades!$U$10,I220),1)*IF(Upgrades!$T$11="First Photons",POWER(Upgrades!$U$11,J220),1)))*POWER(Upgrades!$Q$6,E220)*POWER(Upgrades!$Q$7,F220)*POWER(Upgrades!$Q$8,G220)*POWER(Upgrades!$Q$9,H220)*POWER(Upgrades!$Q$10,I220)*POWER(Upgrades!$Q$11,J220)*POWER(Upgrades!$Q$12,K220)</f>
        <v/>
      </c>
      <c r="N220" s="28">
        <f>((IF(E220=0,0,(Upgrades!$G$6+E220*Upgrades!$H$6)*POWER(Upgrades!$I$6,E220)))*(IF(Upgrades!$T$7="Solar Wind",POWER(Upgrades!$U$7,F220),1)*IF(Upgrades!$T$8="Solar Wind",POWER(Upgrades!$U$8,G220),1)*IF(Upgrades!$T$9="Solar Wind",POWER(Upgrades!$U$9,H220),1)*IF(Upgrades!$T$10="Solar Wind",POWER(Upgrades!$U$10,I220),1)*IF(Upgrades!$T$11="Solar Wind",POWER(Upgrades!$U$11,J220),1)*IF(Upgrades!$T$12="Solar Wind",POWER(Upgrades!$U$12,K220),1))+(IF(F220=0,0,(Upgrades!$G$7+F220*Upgrades!$H$7)*POWER(Upgrades!$I$7,F220)))*(IF(Upgrades!$T$6="Asteroid Belt",POWER(Upgrades!$U$6,E220),1)*IF(Upgrades!$T$8="Asteroid Belt",POWER(Upgrades!$U$8,G220),1)*IF(Upgrades!$T$9="Asteroid Belt",POWER(Upgrades!$U$9,H220),1)*IF(Upgrades!$T$10="Asteroid Belt",POWER(Upgrades!$U$10,I220),1)*IF(Upgrades!$T$11="Asteroid Belt",POWER(Upgrades!$U$11,J220),1)*IF(Upgrades!$T$12="Asteroid Belt",POWER(Upgrades!$U$12,K220),1))+(IF(G220=0,0,(Upgrades!$G$8+G220*Upgrades!$H$8)*POWER(Upgrades!$I$8,G220)))*(IF(Upgrades!$T$6="Stellar Coupling",POWER(Upgrades!$U$6,E220),1)*IF(Upgrades!$T$7="Stellar Coupling",POWER(Upgrades!$U$7,F220),1)*IF(Upgrades!$T$9="Stellar Coupling",POWER(Upgrades!$U$9,H220),1)*IF(Upgrades!$T$10="Stellar Coupling",POWER(Upgrades!$U$10,I220),1)*IF(Upgrades!$T$11="Stellar Coupling",POWER(Upgrades!$U$11,J220),1)*IF(Upgrades!$T$12="Stellar Coupling",POWER(Upgrades!$U$12,K220),1))+(IF(H220=0,0,(Upgrades!$G$9+H220*Upgrades!$H$9)*POWER(Upgrades!$I$9,H220)))*(IF(Upgrades!$T$6="Magnetosphere",POWER(Upgrades!$U$6,E220),1)*IF(Upgrades!$T$7="Magnetosphere",POWER(Upgrades!$U$7,F220),1)*IF(Upgrades!$T$8="Magnetosphere",POWER(Upgrades!$U$8,G220),1)*IF(Upgrades!$T$10="Magnetosphere",POWER(Upgrades!$U$10,I220),1)*IF(Upgrades!$T$11="Magnetosphere",POWER(Upgrades!$U$11,J220),1)*IF(Upgrades!$T$12="Magnetosphere",POWER(Upgrades!$U$12,K220),1))+(IF(I220=0,0,(Upgrades!$G$10+I220*Upgrades!$H$10)*POWER(Upgrades!$I$10,I220)))*(IF(Upgrades!$T$6="Orbital Resonance",POWER(Upgrades!$U$6,E220),1)*IF(Upgrades!$T$7="Orbital Resonance",POWER(Upgrades!$U$7,F220),1)*IF(Upgrades!$T$8="Orbital Resonance",POWER(Upgrades!$U$8,G220),1)*IF(Upgrades!$T$9="Orbital Resonance",POWER(Upgrades!$U$9,H220),1)*IF(Upgrades!$T$11="Orbital Resonance",POWER(Upgrades!$U$11,J220),1)*IF(Upgrades!$T$12="Orbital Resonance",POWER(Upgrades!$U$12,K220),1))+(IF(J220=0,0,(Upgrades!$G$11+J220*Upgrades!$H$11)*POWER(Upgrades!$I$11,J220)))*(IF(Upgrades!$T$6="Heliopause",POWER(Upgrades!$U$6,E220),1)*IF(Upgrades!$T$7="Heliopause",POWER(Upgrades!$U$7,F220),1)*IF(Upgrades!$T$8="Heliopause",POWER(Upgrades!$U$8,G220),1)*IF(Upgrades!$T$9="Heliopause",POWER(Upgrades!$U$9,H220),1)*IF(Upgrades!$T$10="Heliopause",POWER(Upgrades!$U$10,I220),1)*IF(Upgrades!$T$12="Heliopause",POWER(Upgrades!$U$12,K220),1))+(IF(K220=0,0,(Upgrades!$G$12+K220*Upgrades!$H$12)*POWER(Upgrades!$I$12,K220)))*(IF(Upgrades!$T$6="First Photons",POWER(Upgrades!$U$6,E220),1)*IF(Upgrades!$T$7="First Photons",POWER(Upgrades!$U$7,F220),1)*IF(Upgrades!$T$8="First Photons",POWER(Upgrades!$U$8,G220),1)*IF(Upgrades!$T$9="First Photons",POWER(Upgrades!$U$9,H220),1)*IF(Upgrades!$T$10="First Photons",POWER(Upgrades!$U$10,I220),1)*IF(Upgrades!$T$11="First Photons",POWER(Upgrades!$U$11,J220),1)))*POWER(Upgrades!$P$6,E220)*POWER(Upgrades!$P$7,F220)*POWER(Upgrades!$P$8,G220)*POWER(Upgrades!$P$9,H220)*POWER(Upgrades!$P$10,I220)*POWER(Upgrades!$P$11,J220)*POWER(Upgrades!$P$12,K220)</f>
        <v/>
      </c>
      <c r="O220" s="28">
        <f>((IF(E220=0,0,(Upgrades!$M$6+E220*Upgrades!$N$6)*POWER(Upgrades!$O$6,E220)))*(IF(Upgrades!$T$7="Solar Wind",POWER(Upgrades!$U$7,F220),1)*IF(Upgrades!$T$8="Solar Wind",POWER(Upgrades!$U$8,G220),1)*IF(Upgrades!$T$9="Solar Wind",POWER(Upgrades!$U$9,H220),1)*IF(Upgrades!$T$10="Solar Wind",POWER(Upgrades!$U$10,I220),1)*IF(Upgrades!$T$11="Solar Wind",POWER(Upgrades!$U$11,J220),1)*IF(Upgrades!$T$12="Solar Wind",POWER(Upgrades!$U$12,K220),1))+(IF(F220=0,0,(Upgrades!$M$7+F220*Upgrades!$N$7)*POWER(Upgrades!$O$7,F220)))*(IF(Upgrades!$T$6="Asteroid Belt",POWER(Upgrades!$U$6,E220),1)*IF(Upgrades!$T$8="Asteroid Belt",POWER(Upgrades!$U$8,G220),1)*IF(Upgrades!$T$9="Asteroid Belt",POWER(Upgrades!$U$9,H220),1)*IF(Upgrades!$T$10="Asteroid Belt",POWER(Upgrades!$U$10,I220),1)*IF(Upgrades!$T$11="Asteroid Belt",POWER(Upgrades!$U$11,J220),1)*IF(Upgrades!$T$12="Asteroid Belt",POWER(Upgrades!$U$12,K220),1))+(IF(G220=0,0,(Upgrades!$M$8+G220*Upgrades!$N$8)*POWER(Upgrades!$O$8,G220)))*(IF(Upgrades!$T$6="Stellar Coupling",POWER(Upgrades!$U$6,E220),1)*IF(Upgrades!$T$7="Stellar Coupling",POWER(Upgrades!$U$7,F220),1)*IF(Upgrades!$T$9="Stellar Coupling",POWER(Upgrades!$U$9,H220),1)*IF(Upgrades!$T$10="Stellar Coupling",POWER(Upgrades!$U$10,I220),1)*IF(Upgrades!$T$11="Stellar Coupling",POWER(Upgrades!$U$11,J220),1)*IF(Upgrades!$T$12="Stellar Coupling",POWER(Upgrades!$U$12,K220),1))+(IF(H220=0,0,(Upgrades!$M$9+H220*Upgrades!$N$9)*POWER(Upgrades!$O$9,H220)))*(IF(Upgrades!$T$6="Magnetosphere",POWER(Upgrades!$U$6,E220),1)*IF(Upgrades!$T$7="Magnetosphere",POWER(Upgrades!$U$7,F220),1)*IF(Upgrades!$T$8="Magnetosphere",POWER(Upgrades!$U$8,G220),1)*IF(Upgrades!$T$10="Magnetosphere",POWER(Upgrades!$U$10,I220),1)*IF(Upgrades!$T$11="Magnetosphere",POWER(Upgrades!$U$11,J220),1)*IF(Upgrades!$T$12="Magnetosphere",POWER(Upgrades!$U$12,K220),1))+(IF(I220=0,0,(Upgrades!$M$10+I220*Upgrades!$N$10)*POWER(Upgrades!$O$10,I220)))*(IF(Upgrades!$T$6="Orbital Resonance",POWER(Upgrades!$U$6,E220),1)*IF(Upgrades!$T$7="Orbital Resonance",POWER(Upgrades!$U$7,F220),1)*IF(Upgrades!$T$8="Orbital Resonance",POWER(Upgrades!$U$8,G220),1)*IF(Upgrades!$T$9="Orbital Resonance",POWER(Upgrades!$U$9,H220),1)*IF(Upgrades!$T$11="Orbital Resonance",POWER(Upgrades!$U$11,J220),1)*IF(Upgrades!$T$12="Orbital Resonance",POWER(Upgrades!$U$12,K220),1))+(IF(J220=0,0,(Upgrades!$M$11+J220*Upgrades!$N$11)*POWER(Upgrades!$O$11,J220)))*(IF(Upgrades!$T$6="Heliopause",POWER(Upgrades!$U$6,E220),1)*IF(Upgrades!$T$7="Heliopause",POWER(Upgrades!$U$7,F220),1)*IF(Upgrades!$T$8="Heliopause",POWER(Upgrades!$U$8,G220),1)*IF(Upgrades!$T$9="Heliopause",POWER(Upgrades!$U$9,H220),1)*IF(Upgrades!$T$10="Heliopause",POWER(Upgrades!$U$10,I220),1)*IF(Upgrades!$T$12="Heliopause",POWER(Upgrades!$U$12,K220),1))+(IF(K220=0,0,(Upgrades!$M$12+K220*Upgrades!$N$12)*POWER(Upgrades!$O$12,K220)))*(IF(Upgrades!$T$6="First Photons",POWER(Upgrades!$U$6,E220),1)*IF(Upgrades!$T$7="First Photons",POWER(Upgrades!$U$7,F220),1)*IF(Upgrades!$T$8="First Photons",POWER(Upgrades!$U$8,G220),1)*IF(Upgrades!$T$9="First Photons",POWER(Upgrades!$U$9,H220),1)*IF(Upgrades!$T$10="First Photons",POWER(Upgrades!$U$10,I220),1)*IF(Upgrades!$T$11="First Photons",POWER(Upgrades!$U$11,J220),1)))*POWER(Upgrades!$R$6,E220)*POWER(Upgrades!$R$7,F220)*POWER(Upgrades!$R$8,G220)*POWER(Upgrades!$R$9,H220)*POWER(Upgrades!$R$10,I220)*POWER(Upgrades!$R$11,J220)*POWER(Upgrades!$R$12,K220)</f>
        <v/>
      </c>
      <c r="P220" s="27">
        <f>IF(L220=1,0,M220*Parameters!$B$10/60*Parameters!$B$11*10)</f>
        <v/>
      </c>
      <c r="Q220" s="27">
        <f>IF(L220=1,0,O220*M220*10)</f>
        <v/>
      </c>
      <c r="R220" s="27">
        <f>IF(L220=1,0,N220*10)</f>
        <v/>
      </c>
      <c r="S220" s="27">
        <f>P220+Q220+R220</f>
        <v/>
      </c>
      <c r="T220" s="22">
        <f>C220+S220</f>
        <v/>
      </c>
      <c r="U220" s="33">
        <f>AX220</f>
        <v/>
      </c>
      <c r="V220" s="22">
        <f>IF(U220="",0,IF(U220="transition",0,IF(U220="SW",AG220,IF(U220="AB",AH220,IF(U220="SC",AI220,IF(U220="Mag",AJ220,IF(U220="OR",AK220,IF(U220="HP",AL220,IF(U220="FP",AM220,0)))))))))</f>
        <v/>
      </c>
      <c r="W220" s="27">
        <f>IF(U220="OR",Upgrades!$F$10,IF(U220="HP",Upgrades!$F$11,IF(U220="transition",-Parameters!$B$18,0)))</f>
        <v/>
      </c>
      <c r="X220" s="22">
        <f>T220-V220</f>
        <v/>
      </c>
      <c r="Y220" s="30">
        <f>M220*Parameters!$B$10/60*Parameters!$B$11+O220*M220+N220</f>
        <v/>
      </c>
      <c r="Z220" s="34">
        <f>IF(U220="transition","→ Tier 2 (Stellar Neighborhood)",IF(U220="FP","First Photons — light begins, system quickens",IF(U220="HP","Heliopause acquired",IF(U220="OR","Orbital Resonance — passive multiplier active",IF(AND(AO220=1,L220=0,AN220&lt;&gt;1),"Cohesion ready (waiting on completionist upgrades)","")))))</f>
        <v/>
      </c>
      <c r="AA220" s="27">
        <f>(IF(E220=0,0,(Upgrades!$G$6+E220*Upgrades!$H$6)*POWER(Upgrades!$I$6,E220)))*(IF(Upgrades!$T$7="Solar Wind",POWER(Upgrades!$U$7,F220),1)*IF(Upgrades!$T$8="Solar Wind",POWER(Upgrades!$U$8,G220),1)*IF(Upgrades!$T$9="Solar Wind",POWER(Upgrades!$U$9,H220),1)*IF(Upgrades!$T$10="Solar Wind",POWER(Upgrades!$U$10,I220),1)*IF(Upgrades!$T$11="Solar Wind",POWER(Upgrades!$U$11,J220),1)*IF(Upgrades!$T$12="Solar Wind",POWER(Upgrades!$U$12,K220),1))*POWER(Upgrades!$P$6,E220)*POWER(Upgrades!$P$7,F220)*POWER(Upgrades!$P$8,G220)*POWER(Upgrades!$P$9,H220)*POWER(Upgrades!$P$10,I220)*POWER(Upgrades!$P$11,J220)*POWER(Upgrades!$P$12,K220)*60</f>
        <v/>
      </c>
      <c r="AB220" s="27">
        <f>(IF(F220=0,0,(Upgrades!$G$7+F220*Upgrades!$H$7)*POWER(Upgrades!$I$7,F220)))*(IF(Upgrades!$T$6="Asteroid Belt",POWER(Upgrades!$U$6,E220),1)*IF(Upgrades!$T$8="Asteroid Belt",POWER(Upgrades!$U$8,G220),1)*IF(Upgrades!$T$9="Asteroid Belt",POWER(Upgrades!$U$9,H220),1)*IF(Upgrades!$T$10="Asteroid Belt",POWER(Upgrades!$U$10,I220),1)*IF(Upgrades!$T$11="Asteroid Belt",POWER(Upgrades!$U$11,J220),1)*IF(Upgrades!$T$12="Asteroid Belt",POWER(Upgrades!$U$12,K220),1))*POWER(Upgrades!$P$6,E220)*POWER(Upgrades!$P$7,F220)*POWER(Upgrades!$P$8,G220)*POWER(Upgrades!$P$9,H220)*POWER(Upgrades!$P$10,I220)*POWER(Upgrades!$P$11,J220)*POWER(Upgrades!$P$12,K220)*60</f>
        <v/>
      </c>
      <c r="AC220" s="27">
        <f>(IF(G220=0,0,(Upgrades!$J$8+G220*Upgrades!$K$8)*POWER(Upgrades!$L$8,G220)))*(IF(Upgrades!$T$6="Stellar Coupling",POWER(Upgrades!$U$6,E220),1)*IF(Upgrades!$T$7="Stellar Coupling",POWER(Upgrades!$U$7,F220),1)*IF(Upgrades!$T$9="Stellar Coupling",POWER(Upgrades!$U$9,H220),1)*IF(Upgrades!$T$10="Stellar Coupling",POWER(Upgrades!$U$10,I220),1)*IF(Upgrades!$T$11="Stellar Coupling",POWER(Upgrades!$U$11,J220),1)*IF(Upgrades!$T$12="Stellar Coupling",POWER(Upgrades!$U$12,K220),1))*POWER(Upgrades!$Q$6,E220)*POWER(Upgrades!$Q$7,F220)*POWER(Upgrades!$Q$8,G220)*POWER(Upgrades!$Q$9,H220)*POWER(Upgrades!$Q$10,I220)*POWER(Upgrades!$Q$11,J220)*POWER(Upgrades!$Q$12,K220)*Parameters!$B$10*Parameters!$B$11</f>
        <v/>
      </c>
      <c r="AD220" s="27">
        <f>(IF(H220=0,0,(Upgrades!$G$9+H220*Upgrades!$H$9)*POWER(Upgrades!$I$9,H220)))*(IF(Upgrades!$T$6="Magnetosphere",POWER(Upgrades!$U$6,E220),1)*IF(Upgrades!$T$7="Magnetosphere",POWER(Upgrades!$U$7,F220),1)*IF(Upgrades!$T$8="Magnetosphere",POWER(Upgrades!$U$8,G220),1)*IF(Upgrades!$T$10="Magnetosphere",POWER(Upgrades!$U$10,I220),1)*IF(Upgrades!$T$11="Magnetosphere",POWER(Upgrades!$U$11,J220),1)*IF(Upgrades!$T$12="Magnetosphere",POWER(Upgrades!$U$12,K220),1))*POWER(Upgrades!$P$6,E220)*POWER(Upgrades!$P$7,F220)*POWER(Upgrades!$P$8,G220)*POWER(Upgrades!$P$9,H220)*POWER(Upgrades!$P$10,I220)*POWER(Upgrades!$P$11,J220)*POWER(Upgrades!$P$12,K220)*60</f>
        <v/>
      </c>
      <c r="AE220" s="27">
        <f>(IF(K220=0,0,(Upgrades!$G$12+K220*Upgrades!$H$12)*POWER(Upgrades!$I$12,K220)))*(IF(Upgrades!$T$6="First Photons",POWER(Upgrades!$U$6,E220),1)*IF(Upgrades!$T$7="First Photons",POWER(Upgrades!$U$7,F220),1)*IF(Upgrades!$T$8="First Photons",POWER(Upgrades!$U$8,G220),1)*IF(Upgrades!$T$9="First Photons",POWER(Upgrades!$U$9,H220),1)*IF(Upgrades!$T$10="First Photons",POWER(Upgrades!$U$10,I220),1)*IF(Upgrades!$T$11="First Photons",POWER(Upgrades!$U$11,J220),1))*POWER(Upgrades!$P$6,E220)*POWER(Upgrades!$P$7,F220)*POWER(Upgrades!$P$8,G220)*POWER(Upgrades!$P$9,H220)*POWER(Upgrades!$P$10,I220)*POWER(Upgrades!$P$11,J220)*POWER(Upgrades!$P$12,K220)*60</f>
        <v/>
      </c>
      <c r="AF220" s="27">
        <f>Parameters!$B$9*POWER(Upgrades!$Q$6,E220)*POWER(Upgrades!$Q$7,F220)*POWER(Upgrades!$Q$8,G220)*POWER(Upgrades!$Q$9,H220)*POWER(Upgrades!$Q$10,I220)*POWER(Upgrades!$Q$11,J220)*POWER(Upgrades!$Q$12,K220)*(Parameters!$B$10*Parameters!$B$11+O220*60)</f>
        <v/>
      </c>
      <c r="AG220" s="22">
        <f>IF(E220&gt;=Upgrades!$E$6,"",Upgrades!$C$6*POWER(Upgrades!$D$6,E220))</f>
        <v/>
      </c>
      <c r="AH220" s="22">
        <f>IF(F220&gt;=Upgrades!$E$7,"",Upgrades!$C$7*POWER(Upgrades!$D$7,F220))</f>
        <v/>
      </c>
      <c r="AI220" s="22">
        <f>IF(G220&gt;=Upgrades!$E$8,"",Upgrades!$C$8*POWER(Upgrades!$D$8,G220))</f>
        <v/>
      </c>
      <c r="AJ220" s="22">
        <f>IF(H220&gt;=Upgrades!$E$9,"",Upgrades!$C$9*POWER(Upgrades!$D$9,H220))</f>
        <v/>
      </c>
      <c r="AK220" s="22">
        <f>IF(I220&gt;=Upgrades!$E$10,"",Upgrades!$C$10*POWER(Upgrades!$D$10,I220))</f>
        <v/>
      </c>
      <c r="AL220" s="22">
        <f>IF(J220&gt;=Upgrades!$E$11,"",Upgrades!$C$11*POWER(Upgrades!$D$11,J220))</f>
        <v/>
      </c>
      <c r="AM220" s="22">
        <f>IF(K220&gt;=Upgrades!$E$12,"",Upgrades!$C$12*POWER(Upgrades!$D$12,K220))</f>
        <v/>
      </c>
      <c r="AN220" s="26">
        <f>IF(AND(D220&gt;=Parameters!$B$18,(H220&gt;=Upgrades!$E$9)*(K220&gt;=Upgrades!$E$12)=1,L220=0),1,"")</f>
        <v/>
      </c>
      <c r="AO220" s="26">
        <f>IF(AND(D220&gt;=Parameters!$B$18,L220=0),1,"")</f>
        <v/>
      </c>
      <c r="AP220" s="22">
        <f>MIN(IF(ISNUMBER(AK220),AK220,9E15),IF(ISNUMBER(AL220),AL220,9E15),IF(ISNUMBER(AM220),AM220,9E15))</f>
        <v/>
      </c>
      <c r="AQ220" s="22">
        <f>MIN(IF(ISNUMBER(AG220),AG220,9E15),IF(ISNUMBER(AH220),AH220,9E15),IF(ISNUMBER(AI220),AI220,9E15),IF(ISNUMBER(AJ220),AJ220,9E15))</f>
        <v/>
      </c>
      <c r="AR220" s="29">
        <f>IF(AW220&gt;Parameters!$B$21*(MAX(IF(AND(NOT(AND(AO220=1,AN220&lt;&gt;1)),ISNUMBER(AG220),AG220&lt;=T220),AS220,0),IF(AND(NOT(AND(AO220=1,AN220&lt;&gt;1)),ISNUMBER(AH220),AH220&lt;=T220),AT220,0),IF(AND(NOT(AND(AO220=1,AN220&lt;&gt;1)),ISNUMBER(AI220),AI220&lt;=T220),AU220,0),IF(AND(ISNUMBER(AJ220),AJ220&lt;=T220),AV220,0))),TRUE,FALSE)</f>
        <v/>
      </c>
      <c r="AS220" s="32">
        <f>IFERROR(Upgrades!$H$6*(POWER(Upgrades!$P$6,E220)*POWER(Upgrades!$P$7,F220)*POWER(Upgrades!$P$8,G220)*POWER(Upgrades!$P$9,H220)*POWER(Upgrades!$P$10,I220)*POWER(Upgrades!$P$11,J220)*POWER(Upgrades!$P$12,K220))*(IF(Upgrades!$T$7="Solar Wind",POWER(Upgrades!$U$7,F220),1)*IF(Upgrades!$T$8="Solar Wind",POWER(Upgrades!$U$8,G220),1)*IF(Upgrades!$T$9="Solar Wind",POWER(Upgrades!$U$9,H220),1)*IF(Upgrades!$T$10="Solar Wind",POWER(Upgrades!$U$10,I220),1)*IF(Upgrades!$T$11="Solar Wind",POWER(Upgrades!$U$11,J220),1)*IF(Upgrades!$T$12="Solar Wind",POWER(Upgrades!$U$12,K220),1))/AG220,0)</f>
        <v/>
      </c>
      <c r="AT220" s="32">
        <f>IFERROR(Upgrades!$H$7*(POWER(Upgrades!$P$6,E220)*POWER(Upgrades!$P$7,F220)*POWER(Upgrades!$P$8,G220)*POWER(Upgrades!$P$9,H220)*POWER(Upgrades!$P$10,I220)*POWER(Upgrades!$P$11,J220)*POWER(Upgrades!$P$12,K220))*(IF(Upgrades!$T$6="Asteroid Belt",POWER(Upgrades!$U$6,E220),1)*IF(Upgrades!$T$8="Asteroid Belt",POWER(Upgrades!$U$8,G220),1)*IF(Upgrades!$T$9="Asteroid Belt",POWER(Upgrades!$U$9,H220),1)*IF(Upgrades!$T$10="Asteroid Belt",POWER(Upgrades!$U$10,I220),1)*IF(Upgrades!$T$11="Asteroid Belt",POWER(Upgrades!$U$11,J220),1)*IF(Upgrades!$T$12="Asteroid Belt",POWER(Upgrades!$U$12,K220),1))/AH220,0)</f>
        <v/>
      </c>
      <c r="AU220" s="32">
        <f>IFERROR(Upgrades!$K$8*(POWER(Upgrades!$Q$6,E220)*POWER(Upgrades!$Q$7,F220)*POWER(Upgrades!$Q$8,G220)*POWER(Upgrades!$Q$9,H220)*POWER(Upgrades!$Q$10,I220)*POWER(Upgrades!$Q$11,J220)*POWER(Upgrades!$Q$12,K220))*(IF(Upgrades!$T$6="Stellar Coupling",POWER(Upgrades!$U$6,E220),1)*IF(Upgrades!$T$7="Stellar Coupling",POWER(Upgrades!$U$7,F220),1)*IF(Upgrades!$T$9="Stellar Coupling",POWER(Upgrades!$U$9,H220),1)*IF(Upgrades!$T$10="Stellar Coupling",POWER(Upgrades!$U$10,I220),1)*IF(Upgrades!$T$11="Stellar Coupling",POWER(Upgrades!$U$11,J220),1)*IF(Upgrades!$T$12="Stellar Coupling",POWER(Upgrades!$U$12,K220),1))*Parameters!$B$10*Parameters!$B$11/60/AI220,0)</f>
        <v/>
      </c>
      <c r="AV220" s="32">
        <f>IFERROR(Upgrades!$H$9*(POWER(Upgrades!$P$6,E220)*POWER(Upgrades!$P$7,F220)*POWER(Upgrades!$P$8,G220)*POWER(Upgrades!$P$9,H220)*POWER(Upgrades!$P$10,I220)*POWER(Upgrades!$P$11,J220)*POWER(Upgrades!$P$12,K220))*(IF(Upgrades!$T$6="Magnetosphere",POWER(Upgrades!$U$6,E220),1)*IF(Upgrades!$T$7="Magnetosphere",POWER(Upgrades!$U$7,F220),1)*IF(Upgrades!$T$8="Magnetosphere",POWER(Upgrades!$U$8,G220),1)*IF(Upgrades!$T$10="Magnetosphere",POWER(Upgrades!$U$10,I220),1)*IF(Upgrades!$T$11="Magnetosphere",POWER(Upgrades!$U$11,J220),1)*IF(Upgrades!$T$12="Magnetosphere",POWER(Upgrades!$U$12,K220),1))/AJ220,0)</f>
        <v/>
      </c>
      <c r="AW220" s="32">
        <f>MAX(IF(I220&gt;0,0,IFERROR(0.25*N220/Upgrades!$C$10,0)),IF(J220&gt;0,0,IFERROR(0.5*((IF(G220=0,0,(Upgrades!$J$8+G220*Upgrades!$K$8)*POWER(Upgrades!$L$8,G220)))*(IF(Upgrades!$T$6="Stellar Coupling",POWER(Upgrades!$U$6,E220),1)*IF(Upgrades!$T$7="Stellar Coupling",POWER(Upgrades!$U$7,F220),1)*IF(Upgrades!$T$9="Stellar Coupling",POWER(Upgrades!$U$9,H220),1)*IF(Upgrades!$T$10="Stellar Coupling",POWER(Upgrades!$U$10,I220),1)*IF(Upgrades!$T$11="Stellar Coupling",POWER(Upgrades!$U$11,J220),1)*IF(Upgrades!$T$12="Stellar Coupling",POWER(Upgrades!$U$12,K220),1))*(POWER(Upgrades!$Q$6,E220)*POWER(Upgrades!$Q$7,F220)*POWER(Upgrades!$Q$8,G220)*POWER(Upgrades!$Q$9,H220)*POWER(Upgrades!$Q$10,I220)*POWER(Upgrades!$Q$11,J220)*POWER(Upgrades!$Q$12,K220))*Parameters!$B$10*Parameters!$B$11/60)/Upgrades!$C$11,0)),IF(K220&gt;0,0,IFERROR((1.0*(POWER(Upgrades!$P$6,E220)*POWER(Upgrades!$P$7,F220)*POWER(Upgrades!$P$8,G220)*POWER(Upgrades!$P$9,H220)*POWER(Upgrades!$P$10,I220)*POWER(Upgrades!$P$11,J220)*POWER(Upgrades!$P$12,K220))+0.20*M220*Parameters!$B$10*Parameters!$B$11/60)/Upgrades!$C$12,0)),IF(AND(ISNUMBER(AG220),AG220&gt;T220),AS220,0),IF(AND(ISNUMBER(AH220),AH220&gt;T220),AT220,0),IF(AND(ISNUMBER(AI220),AI220&gt;T220),AU220,0),IF(AND(ISNUMBER(AJ220),AJ220&gt;T220),AV220,0))</f>
        <v/>
      </c>
      <c r="AX220" s="29">
        <f>IF(AN220=1,"transition",IF(MIN(IF(AND(I220=0,ISNUMBER(AK220),AK220&lt;=T220),AK220,9E15),IF(AND(J220=0,ISNUMBER(AL220),AL220&lt;=T220),AL220,9E15),IF(AND(K220=0,ISNUMBER(AM220),AM220&lt;=T220),AM220,9E15))&lt;9E15,IF(AND(AND(I220=0,ISNUMBER(AK220),AK220&lt;=T220),AK220=MIN(IF(AND(I220=0,ISNUMBER(AK220),AK220&lt;=T220),AK220,9E15),IF(AND(J220=0,ISNUMBER(AL220),AL220&lt;=T220),AL220,9E15),IF(AND(K220=0,ISNUMBER(AM220),AM220&lt;=T220),AM220,9E15))),"OR",IF(AND(AND(J220=0,ISNUMBER(AL220),AL220&lt;=T220),AL220=MIN(IF(AND(I220=0,ISNUMBER(AK220),AK220&lt;=T220),AK220,9E15),IF(AND(J220=0,ISNUMBER(AL220),AL220&lt;=T220),AL220,9E15),IF(AND(K220=0,ISNUMBER(AM220),AM220&lt;=T220),AM220,9E15))),"HP","FP")),IF(AR220=TRUE,"",IF(MAX(IF(AND(NOT(AND(AO220=1,AN220&lt;&gt;1)),ISNUMBER(AG220),AG220&lt;=T220),AS220,0),IF(AND(NOT(AND(AO220=1,AN220&lt;&gt;1)),ISNUMBER(AH220),AH220&lt;=T220),AT220,0),IF(AND(NOT(AND(AO220=1,AN220&lt;&gt;1)),ISNUMBER(AI220),AI220&lt;=T220),AU220,0),IF(AND(ISNUMBER(AJ220),AJ220&lt;=T220),AV220,0))&lt;=0,"",IF(AND(IF(AND(NOT(AND(AO220=1,AN220&lt;&gt;1)),ISNUMBER(AG220),AG220&lt;=T220),AS220,0)&gt;0,IF(AND(NOT(AND(AO220=1,AN220&lt;&gt;1)),ISNUMBER(AG220),AG220&lt;=T220),AS220,0)=MAX(IF(AND(NOT(AND(AO220=1,AN220&lt;&gt;1)),ISNUMBER(AG220),AG220&lt;=T220),AS220,0),IF(AND(NOT(AND(AO220=1,AN220&lt;&gt;1)),ISNUMBER(AH220),AH220&lt;=T220),AT220,0),IF(AND(NOT(AND(AO220=1,AN220&lt;&gt;1)),ISNUMBER(AI220),AI220&lt;=T220),AU220,0),IF(AND(ISNUMBER(AJ220),AJ220&lt;=T220),AV220,0))),"SW",IF(AND(IF(AND(NOT(AND(AO220=1,AN220&lt;&gt;1)),ISNUMBER(AH220),AH220&lt;=T220),AT220,0)&gt;0,IF(AND(NOT(AND(AO220=1,AN220&lt;&gt;1)),ISNUMBER(AH220),AH220&lt;=T220),AT220,0)=MAX(IF(AND(NOT(AND(AO220=1,AN220&lt;&gt;1)),ISNUMBER(AG220),AG220&lt;=T220),AS220,0),IF(AND(NOT(AND(AO220=1,AN220&lt;&gt;1)),ISNUMBER(AH220),AH220&lt;=T220),AT220,0),IF(AND(NOT(AND(AO220=1,AN220&lt;&gt;1)),ISNUMBER(AI220),AI220&lt;=T220),AU220,0),IF(AND(ISNUMBER(AJ220),AJ220&lt;=T220),AV220,0))),"AB",IF(AND(IF(AND(NOT(AND(AO220=1,AN220&lt;&gt;1)),ISNUMBER(AI220),AI220&lt;=T220),AU220,0)&gt;0,IF(AND(NOT(AND(AO220=1,AN220&lt;&gt;1)),ISNUMBER(AI220),AI220&lt;=T220),AU220,0)=MAX(IF(AND(NOT(AND(AO220=1,AN220&lt;&gt;1)),ISNUMBER(AG220),AG220&lt;=T220),AS220,0),IF(AND(NOT(AND(AO220=1,AN220&lt;&gt;1)),ISNUMBER(AH220),AH220&lt;=T220),AT220,0),IF(AND(NOT(AND(AO220=1,AN220&lt;&gt;1)),ISNUMBER(AI220),AI220&lt;=T220),AU220,0),IF(AND(ISNUMBER(AJ220),AJ220&lt;=T220),AV220,0))),"SC","Mag")))))))</f>
        <v/>
      </c>
    </row>
    <row r="221">
      <c r="A221" s="26" t="n">
        <v>216</v>
      </c>
      <c r="B221" s="27">
        <f>A221*10/60</f>
        <v/>
      </c>
      <c r="C221" s="22">
        <f>X220</f>
        <v/>
      </c>
      <c r="D221" s="27">
        <f>D220+W220</f>
        <v/>
      </c>
      <c r="E221" s="26">
        <f>E220+IF(U220="SW",1,0)</f>
        <v/>
      </c>
      <c r="F221" s="26">
        <f>F220+IF(U220="AB",1,0)</f>
        <v/>
      </c>
      <c r="G221" s="26">
        <f>G220+IF(U220="SC",1,0)</f>
        <v/>
      </c>
      <c r="H221" s="26">
        <f>H220+IF(U220="Mag",1,0)</f>
        <v/>
      </c>
      <c r="I221" s="26">
        <f>MAX(I220,IF(U220="OR",1,0))</f>
        <v/>
      </c>
      <c r="J221" s="26">
        <f>MAX(J220,IF(U220="HP",1,0))</f>
        <v/>
      </c>
      <c r="K221" s="26">
        <f>MAX(K220,IF(U220="FP",1,0))</f>
        <v/>
      </c>
      <c r="L221" s="26">
        <f>MAX(L220,IF(U220="transition",1,0))</f>
        <v/>
      </c>
      <c r="M221" s="28">
        <f>(Parameters!$B$9+(IF(E221=0,0,(Upgrades!$J$6+E221*Upgrades!$K$6)*POWER(Upgrades!$L$6,E221)))*(IF(Upgrades!$T$7="Solar Wind",POWER(Upgrades!$U$7,F221),1)*IF(Upgrades!$T$8="Solar Wind",POWER(Upgrades!$U$8,G221),1)*IF(Upgrades!$T$9="Solar Wind",POWER(Upgrades!$U$9,H221),1)*IF(Upgrades!$T$10="Solar Wind",POWER(Upgrades!$U$10,I221),1)*IF(Upgrades!$T$11="Solar Wind",POWER(Upgrades!$U$11,J221),1)*IF(Upgrades!$T$12="Solar Wind",POWER(Upgrades!$U$12,K221),1))+(IF(F221=0,0,(Upgrades!$J$7+F221*Upgrades!$K$7)*POWER(Upgrades!$L$7,F221)))*(IF(Upgrades!$T$6="Asteroid Belt",POWER(Upgrades!$U$6,E221),1)*IF(Upgrades!$T$8="Asteroid Belt",POWER(Upgrades!$U$8,G221),1)*IF(Upgrades!$T$9="Asteroid Belt",POWER(Upgrades!$U$9,H221),1)*IF(Upgrades!$T$10="Asteroid Belt",POWER(Upgrades!$U$10,I221),1)*IF(Upgrades!$T$11="Asteroid Belt",POWER(Upgrades!$U$11,J221),1)*IF(Upgrades!$T$12="Asteroid Belt",POWER(Upgrades!$U$12,K221),1))+(IF(G221=0,0,(Upgrades!$J$8+G221*Upgrades!$K$8)*POWER(Upgrades!$L$8,G221)))*(IF(Upgrades!$T$6="Stellar Coupling",POWER(Upgrades!$U$6,E221),1)*IF(Upgrades!$T$7="Stellar Coupling",POWER(Upgrades!$U$7,F221),1)*IF(Upgrades!$T$9="Stellar Coupling",POWER(Upgrades!$U$9,H221),1)*IF(Upgrades!$T$10="Stellar Coupling",POWER(Upgrades!$U$10,I221),1)*IF(Upgrades!$T$11="Stellar Coupling",POWER(Upgrades!$U$11,J221),1)*IF(Upgrades!$T$12="Stellar Coupling",POWER(Upgrades!$U$12,K221),1))+(IF(H221=0,0,(Upgrades!$J$9+H221*Upgrades!$K$9)*POWER(Upgrades!$L$9,H221)))*(IF(Upgrades!$T$6="Magnetosphere",POWER(Upgrades!$U$6,E221),1)*IF(Upgrades!$T$7="Magnetosphere",POWER(Upgrades!$U$7,F221),1)*IF(Upgrades!$T$8="Magnetosphere",POWER(Upgrades!$U$8,G221),1)*IF(Upgrades!$T$10="Magnetosphere",POWER(Upgrades!$U$10,I221),1)*IF(Upgrades!$T$11="Magnetosphere",POWER(Upgrades!$U$11,J221),1)*IF(Upgrades!$T$12="Magnetosphere",POWER(Upgrades!$U$12,K221),1))+(IF(I221=0,0,(Upgrades!$J$10+I221*Upgrades!$K$10)*POWER(Upgrades!$L$10,I221)))*(IF(Upgrades!$T$6="Orbital Resonance",POWER(Upgrades!$U$6,E221),1)*IF(Upgrades!$T$7="Orbital Resonance",POWER(Upgrades!$U$7,F221),1)*IF(Upgrades!$T$8="Orbital Resonance",POWER(Upgrades!$U$8,G221),1)*IF(Upgrades!$T$9="Orbital Resonance",POWER(Upgrades!$U$9,H221),1)*IF(Upgrades!$T$11="Orbital Resonance",POWER(Upgrades!$U$11,J221),1)*IF(Upgrades!$T$12="Orbital Resonance",POWER(Upgrades!$U$12,K221),1))+(IF(J221=0,0,(Upgrades!$J$11+J221*Upgrades!$K$11)*POWER(Upgrades!$L$11,J221)))*(IF(Upgrades!$T$6="Heliopause",POWER(Upgrades!$U$6,E221),1)*IF(Upgrades!$T$7="Heliopause",POWER(Upgrades!$U$7,F221),1)*IF(Upgrades!$T$8="Heliopause",POWER(Upgrades!$U$8,G221),1)*IF(Upgrades!$T$9="Heliopause",POWER(Upgrades!$U$9,H221),1)*IF(Upgrades!$T$10="Heliopause",POWER(Upgrades!$U$10,I221),1)*IF(Upgrades!$T$12="Heliopause",POWER(Upgrades!$U$12,K221),1))+(IF(K221=0,0,(Upgrades!$J$12+K221*Upgrades!$K$12)*POWER(Upgrades!$L$12,K221)))*(IF(Upgrades!$T$6="First Photons",POWER(Upgrades!$U$6,E221),1)*IF(Upgrades!$T$7="First Photons",POWER(Upgrades!$U$7,F221),1)*IF(Upgrades!$T$8="First Photons",POWER(Upgrades!$U$8,G221),1)*IF(Upgrades!$T$9="First Photons",POWER(Upgrades!$U$9,H221),1)*IF(Upgrades!$T$10="First Photons",POWER(Upgrades!$U$10,I221),1)*IF(Upgrades!$T$11="First Photons",POWER(Upgrades!$U$11,J221),1)))*POWER(Upgrades!$Q$6,E221)*POWER(Upgrades!$Q$7,F221)*POWER(Upgrades!$Q$8,G221)*POWER(Upgrades!$Q$9,H221)*POWER(Upgrades!$Q$10,I221)*POWER(Upgrades!$Q$11,J221)*POWER(Upgrades!$Q$12,K221)</f>
        <v/>
      </c>
      <c r="N221" s="28">
        <f>((IF(E221=0,0,(Upgrades!$G$6+E221*Upgrades!$H$6)*POWER(Upgrades!$I$6,E221)))*(IF(Upgrades!$T$7="Solar Wind",POWER(Upgrades!$U$7,F221),1)*IF(Upgrades!$T$8="Solar Wind",POWER(Upgrades!$U$8,G221),1)*IF(Upgrades!$T$9="Solar Wind",POWER(Upgrades!$U$9,H221),1)*IF(Upgrades!$T$10="Solar Wind",POWER(Upgrades!$U$10,I221),1)*IF(Upgrades!$T$11="Solar Wind",POWER(Upgrades!$U$11,J221),1)*IF(Upgrades!$T$12="Solar Wind",POWER(Upgrades!$U$12,K221),1))+(IF(F221=0,0,(Upgrades!$G$7+F221*Upgrades!$H$7)*POWER(Upgrades!$I$7,F221)))*(IF(Upgrades!$T$6="Asteroid Belt",POWER(Upgrades!$U$6,E221),1)*IF(Upgrades!$T$8="Asteroid Belt",POWER(Upgrades!$U$8,G221),1)*IF(Upgrades!$T$9="Asteroid Belt",POWER(Upgrades!$U$9,H221),1)*IF(Upgrades!$T$10="Asteroid Belt",POWER(Upgrades!$U$10,I221),1)*IF(Upgrades!$T$11="Asteroid Belt",POWER(Upgrades!$U$11,J221),1)*IF(Upgrades!$T$12="Asteroid Belt",POWER(Upgrades!$U$12,K221),1))+(IF(G221=0,0,(Upgrades!$G$8+G221*Upgrades!$H$8)*POWER(Upgrades!$I$8,G221)))*(IF(Upgrades!$T$6="Stellar Coupling",POWER(Upgrades!$U$6,E221),1)*IF(Upgrades!$T$7="Stellar Coupling",POWER(Upgrades!$U$7,F221),1)*IF(Upgrades!$T$9="Stellar Coupling",POWER(Upgrades!$U$9,H221),1)*IF(Upgrades!$T$10="Stellar Coupling",POWER(Upgrades!$U$10,I221),1)*IF(Upgrades!$T$11="Stellar Coupling",POWER(Upgrades!$U$11,J221),1)*IF(Upgrades!$T$12="Stellar Coupling",POWER(Upgrades!$U$12,K221),1))+(IF(H221=0,0,(Upgrades!$G$9+H221*Upgrades!$H$9)*POWER(Upgrades!$I$9,H221)))*(IF(Upgrades!$T$6="Magnetosphere",POWER(Upgrades!$U$6,E221),1)*IF(Upgrades!$T$7="Magnetosphere",POWER(Upgrades!$U$7,F221),1)*IF(Upgrades!$T$8="Magnetosphere",POWER(Upgrades!$U$8,G221),1)*IF(Upgrades!$T$10="Magnetosphere",POWER(Upgrades!$U$10,I221),1)*IF(Upgrades!$T$11="Magnetosphere",POWER(Upgrades!$U$11,J221),1)*IF(Upgrades!$T$12="Magnetosphere",POWER(Upgrades!$U$12,K221),1))+(IF(I221=0,0,(Upgrades!$G$10+I221*Upgrades!$H$10)*POWER(Upgrades!$I$10,I221)))*(IF(Upgrades!$T$6="Orbital Resonance",POWER(Upgrades!$U$6,E221),1)*IF(Upgrades!$T$7="Orbital Resonance",POWER(Upgrades!$U$7,F221),1)*IF(Upgrades!$T$8="Orbital Resonance",POWER(Upgrades!$U$8,G221),1)*IF(Upgrades!$T$9="Orbital Resonance",POWER(Upgrades!$U$9,H221),1)*IF(Upgrades!$T$11="Orbital Resonance",POWER(Upgrades!$U$11,J221),1)*IF(Upgrades!$T$12="Orbital Resonance",POWER(Upgrades!$U$12,K221),1))+(IF(J221=0,0,(Upgrades!$G$11+J221*Upgrades!$H$11)*POWER(Upgrades!$I$11,J221)))*(IF(Upgrades!$T$6="Heliopause",POWER(Upgrades!$U$6,E221),1)*IF(Upgrades!$T$7="Heliopause",POWER(Upgrades!$U$7,F221),1)*IF(Upgrades!$T$8="Heliopause",POWER(Upgrades!$U$8,G221),1)*IF(Upgrades!$T$9="Heliopause",POWER(Upgrades!$U$9,H221),1)*IF(Upgrades!$T$10="Heliopause",POWER(Upgrades!$U$10,I221),1)*IF(Upgrades!$T$12="Heliopause",POWER(Upgrades!$U$12,K221),1))+(IF(K221=0,0,(Upgrades!$G$12+K221*Upgrades!$H$12)*POWER(Upgrades!$I$12,K221)))*(IF(Upgrades!$T$6="First Photons",POWER(Upgrades!$U$6,E221),1)*IF(Upgrades!$T$7="First Photons",POWER(Upgrades!$U$7,F221),1)*IF(Upgrades!$T$8="First Photons",POWER(Upgrades!$U$8,G221),1)*IF(Upgrades!$T$9="First Photons",POWER(Upgrades!$U$9,H221),1)*IF(Upgrades!$T$10="First Photons",POWER(Upgrades!$U$10,I221),1)*IF(Upgrades!$T$11="First Photons",POWER(Upgrades!$U$11,J221),1)))*POWER(Upgrades!$P$6,E221)*POWER(Upgrades!$P$7,F221)*POWER(Upgrades!$P$8,G221)*POWER(Upgrades!$P$9,H221)*POWER(Upgrades!$P$10,I221)*POWER(Upgrades!$P$11,J221)*POWER(Upgrades!$P$12,K221)</f>
        <v/>
      </c>
      <c r="O221" s="28">
        <f>((IF(E221=0,0,(Upgrades!$M$6+E221*Upgrades!$N$6)*POWER(Upgrades!$O$6,E221)))*(IF(Upgrades!$T$7="Solar Wind",POWER(Upgrades!$U$7,F221),1)*IF(Upgrades!$T$8="Solar Wind",POWER(Upgrades!$U$8,G221),1)*IF(Upgrades!$T$9="Solar Wind",POWER(Upgrades!$U$9,H221),1)*IF(Upgrades!$T$10="Solar Wind",POWER(Upgrades!$U$10,I221),1)*IF(Upgrades!$T$11="Solar Wind",POWER(Upgrades!$U$11,J221),1)*IF(Upgrades!$T$12="Solar Wind",POWER(Upgrades!$U$12,K221),1))+(IF(F221=0,0,(Upgrades!$M$7+F221*Upgrades!$N$7)*POWER(Upgrades!$O$7,F221)))*(IF(Upgrades!$T$6="Asteroid Belt",POWER(Upgrades!$U$6,E221),1)*IF(Upgrades!$T$8="Asteroid Belt",POWER(Upgrades!$U$8,G221),1)*IF(Upgrades!$T$9="Asteroid Belt",POWER(Upgrades!$U$9,H221),1)*IF(Upgrades!$T$10="Asteroid Belt",POWER(Upgrades!$U$10,I221),1)*IF(Upgrades!$T$11="Asteroid Belt",POWER(Upgrades!$U$11,J221),1)*IF(Upgrades!$T$12="Asteroid Belt",POWER(Upgrades!$U$12,K221),1))+(IF(G221=0,0,(Upgrades!$M$8+G221*Upgrades!$N$8)*POWER(Upgrades!$O$8,G221)))*(IF(Upgrades!$T$6="Stellar Coupling",POWER(Upgrades!$U$6,E221),1)*IF(Upgrades!$T$7="Stellar Coupling",POWER(Upgrades!$U$7,F221),1)*IF(Upgrades!$T$9="Stellar Coupling",POWER(Upgrades!$U$9,H221),1)*IF(Upgrades!$T$10="Stellar Coupling",POWER(Upgrades!$U$10,I221),1)*IF(Upgrades!$T$11="Stellar Coupling",POWER(Upgrades!$U$11,J221),1)*IF(Upgrades!$T$12="Stellar Coupling",POWER(Upgrades!$U$12,K221),1))+(IF(H221=0,0,(Upgrades!$M$9+H221*Upgrades!$N$9)*POWER(Upgrades!$O$9,H221)))*(IF(Upgrades!$T$6="Magnetosphere",POWER(Upgrades!$U$6,E221),1)*IF(Upgrades!$T$7="Magnetosphere",POWER(Upgrades!$U$7,F221),1)*IF(Upgrades!$T$8="Magnetosphere",POWER(Upgrades!$U$8,G221),1)*IF(Upgrades!$T$10="Magnetosphere",POWER(Upgrades!$U$10,I221),1)*IF(Upgrades!$T$11="Magnetosphere",POWER(Upgrades!$U$11,J221),1)*IF(Upgrades!$T$12="Magnetosphere",POWER(Upgrades!$U$12,K221),1))+(IF(I221=0,0,(Upgrades!$M$10+I221*Upgrades!$N$10)*POWER(Upgrades!$O$10,I221)))*(IF(Upgrades!$T$6="Orbital Resonance",POWER(Upgrades!$U$6,E221),1)*IF(Upgrades!$T$7="Orbital Resonance",POWER(Upgrades!$U$7,F221),1)*IF(Upgrades!$T$8="Orbital Resonance",POWER(Upgrades!$U$8,G221),1)*IF(Upgrades!$T$9="Orbital Resonance",POWER(Upgrades!$U$9,H221),1)*IF(Upgrades!$T$11="Orbital Resonance",POWER(Upgrades!$U$11,J221),1)*IF(Upgrades!$T$12="Orbital Resonance",POWER(Upgrades!$U$12,K221),1))+(IF(J221=0,0,(Upgrades!$M$11+J221*Upgrades!$N$11)*POWER(Upgrades!$O$11,J221)))*(IF(Upgrades!$T$6="Heliopause",POWER(Upgrades!$U$6,E221),1)*IF(Upgrades!$T$7="Heliopause",POWER(Upgrades!$U$7,F221),1)*IF(Upgrades!$T$8="Heliopause",POWER(Upgrades!$U$8,G221),1)*IF(Upgrades!$T$9="Heliopause",POWER(Upgrades!$U$9,H221),1)*IF(Upgrades!$T$10="Heliopause",POWER(Upgrades!$U$10,I221),1)*IF(Upgrades!$T$12="Heliopause",POWER(Upgrades!$U$12,K221),1))+(IF(K221=0,0,(Upgrades!$M$12+K221*Upgrades!$N$12)*POWER(Upgrades!$O$12,K221)))*(IF(Upgrades!$T$6="First Photons",POWER(Upgrades!$U$6,E221),1)*IF(Upgrades!$T$7="First Photons",POWER(Upgrades!$U$7,F221),1)*IF(Upgrades!$T$8="First Photons",POWER(Upgrades!$U$8,G221),1)*IF(Upgrades!$T$9="First Photons",POWER(Upgrades!$U$9,H221),1)*IF(Upgrades!$T$10="First Photons",POWER(Upgrades!$U$10,I221),1)*IF(Upgrades!$T$11="First Photons",POWER(Upgrades!$U$11,J221),1)))*POWER(Upgrades!$R$6,E221)*POWER(Upgrades!$R$7,F221)*POWER(Upgrades!$R$8,G221)*POWER(Upgrades!$R$9,H221)*POWER(Upgrades!$R$10,I221)*POWER(Upgrades!$R$11,J221)*POWER(Upgrades!$R$12,K221)</f>
        <v/>
      </c>
      <c r="P221" s="27">
        <f>IF(L221=1,0,M221*Parameters!$B$10/60*Parameters!$B$11*10)</f>
        <v/>
      </c>
      <c r="Q221" s="27">
        <f>IF(L221=1,0,O221*M221*10)</f>
        <v/>
      </c>
      <c r="R221" s="27">
        <f>IF(L221=1,0,N221*10)</f>
        <v/>
      </c>
      <c r="S221" s="27">
        <f>P221+Q221+R221</f>
        <v/>
      </c>
      <c r="T221" s="22">
        <f>C221+S221</f>
        <v/>
      </c>
      <c r="U221" s="33">
        <f>AX221</f>
        <v/>
      </c>
      <c r="V221" s="22">
        <f>IF(U221="",0,IF(U221="transition",0,IF(U221="SW",AG221,IF(U221="AB",AH221,IF(U221="SC",AI221,IF(U221="Mag",AJ221,IF(U221="OR",AK221,IF(U221="HP",AL221,IF(U221="FP",AM221,0)))))))))</f>
        <v/>
      </c>
      <c r="W221" s="27">
        <f>IF(U221="OR",Upgrades!$F$10,IF(U221="HP",Upgrades!$F$11,IF(U221="transition",-Parameters!$B$18,0)))</f>
        <v/>
      </c>
      <c r="X221" s="22">
        <f>T221-V221</f>
        <v/>
      </c>
      <c r="Y221" s="30">
        <f>M221*Parameters!$B$10/60*Parameters!$B$11+O221*M221+N221</f>
        <v/>
      </c>
      <c r="Z221" s="34">
        <f>IF(U221="transition","→ Tier 2 (Stellar Neighborhood)",IF(U221="FP","First Photons — light begins, system quickens",IF(U221="HP","Heliopause acquired",IF(U221="OR","Orbital Resonance — passive multiplier active",IF(AND(AO221=1,L221=0,AN221&lt;&gt;1),"Cohesion ready (waiting on completionist upgrades)","")))))</f>
        <v/>
      </c>
      <c r="AA221" s="27">
        <f>(IF(E221=0,0,(Upgrades!$G$6+E221*Upgrades!$H$6)*POWER(Upgrades!$I$6,E221)))*(IF(Upgrades!$T$7="Solar Wind",POWER(Upgrades!$U$7,F221),1)*IF(Upgrades!$T$8="Solar Wind",POWER(Upgrades!$U$8,G221),1)*IF(Upgrades!$T$9="Solar Wind",POWER(Upgrades!$U$9,H221),1)*IF(Upgrades!$T$10="Solar Wind",POWER(Upgrades!$U$10,I221),1)*IF(Upgrades!$T$11="Solar Wind",POWER(Upgrades!$U$11,J221),1)*IF(Upgrades!$T$12="Solar Wind",POWER(Upgrades!$U$12,K221),1))*POWER(Upgrades!$P$6,E221)*POWER(Upgrades!$P$7,F221)*POWER(Upgrades!$P$8,G221)*POWER(Upgrades!$P$9,H221)*POWER(Upgrades!$P$10,I221)*POWER(Upgrades!$P$11,J221)*POWER(Upgrades!$P$12,K221)*60</f>
        <v/>
      </c>
      <c r="AB221" s="27">
        <f>(IF(F221=0,0,(Upgrades!$G$7+F221*Upgrades!$H$7)*POWER(Upgrades!$I$7,F221)))*(IF(Upgrades!$T$6="Asteroid Belt",POWER(Upgrades!$U$6,E221),1)*IF(Upgrades!$T$8="Asteroid Belt",POWER(Upgrades!$U$8,G221),1)*IF(Upgrades!$T$9="Asteroid Belt",POWER(Upgrades!$U$9,H221),1)*IF(Upgrades!$T$10="Asteroid Belt",POWER(Upgrades!$U$10,I221),1)*IF(Upgrades!$T$11="Asteroid Belt",POWER(Upgrades!$U$11,J221),1)*IF(Upgrades!$T$12="Asteroid Belt",POWER(Upgrades!$U$12,K221),1))*POWER(Upgrades!$P$6,E221)*POWER(Upgrades!$P$7,F221)*POWER(Upgrades!$P$8,G221)*POWER(Upgrades!$P$9,H221)*POWER(Upgrades!$P$10,I221)*POWER(Upgrades!$P$11,J221)*POWER(Upgrades!$P$12,K221)*60</f>
        <v/>
      </c>
      <c r="AC221" s="27">
        <f>(IF(G221=0,0,(Upgrades!$J$8+G221*Upgrades!$K$8)*POWER(Upgrades!$L$8,G221)))*(IF(Upgrades!$T$6="Stellar Coupling",POWER(Upgrades!$U$6,E221),1)*IF(Upgrades!$T$7="Stellar Coupling",POWER(Upgrades!$U$7,F221),1)*IF(Upgrades!$T$9="Stellar Coupling",POWER(Upgrades!$U$9,H221),1)*IF(Upgrades!$T$10="Stellar Coupling",POWER(Upgrades!$U$10,I221),1)*IF(Upgrades!$T$11="Stellar Coupling",POWER(Upgrades!$U$11,J221),1)*IF(Upgrades!$T$12="Stellar Coupling",POWER(Upgrades!$U$12,K221),1))*POWER(Upgrades!$Q$6,E221)*POWER(Upgrades!$Q$7,F221)*POWER(Upgrades!$Q$8,G221)*POWER(Upgrades!$Q$9,H221)*POWER(Upgrades!$Q$10,I221)*POWER(Upgrades!$Q$11,J221)*POWER(Upgrades!$Q$12,K221)*Parameters!$B$10*Parameters!$B$11</f>
        <v/>
      </c>
      <c r="AD221" s="27">
        <f>(IF(H221=0,0,(Upgrades!$G$9+H221*Upgrades!$H$9)*POWER(Upgrades!$I$9,H221)))*(IF(Upgrades!$T$6="Magnetosphere",POWER(Upgrades!$U$6,E221),1)*IF(Upgrades!$T$7="Magnetosphere",POWER(Upgrades!$U$7,F221),1)*IF(Upgrades!$T$8="Magnetosphere",POWER(Upgrades!$U$8,G221),1)*IF(Upgrades!$T$10="Magnetosphere",POWER(Upgrades!$U$10,I221),1)*IF(Upgrades!$T$11="Magnetosphere",POWER(Upgrades!$U$11,J221),1)*IF(Upgrades!$T$12="Magnetosphere",POWER(Upgrades!$U$12,K221),1))*POWER(Upgrades!$P$6,E221)*POWER(Upgrades!$P$7,F221)*POWER(Upgrades!$P$8,G221)*POWER(Upgrades!$P$9,H221)*POWER(Upgrades!$P$10,I221)*POWER(Upgrades!$P$11,J221)*POWER(Upgrades!$P$12,K221)*60</f>
        <v/>
      </c>
      <c r="AE221" s="27">
        <f>(IF(K221=0,0,(Upgrades!$G$12+K221*Upgrades!$H$12)*POWER(Upgrades!$I$12,K221)))*(IF(Upgrades!$T$6="First Photons",POWER(Upgrades!$U$6,E221),1)*IF(Upgrades!$T$7="First Photons",POWER(Upgrades!$U$7,F221),1)*IF(Upgrades!$T$8="First Photons",POWER(Upgrades!$U$8,G221),1)*IF(Upgrades!$T$9="First Photons",POWER(Upgrades!$U$9,H221),1)*IF(Upgrades!$T$10="First Photons",POWER(Upgrades!$U$10,I221),1)*IF(Upgrades!$T$11="First Photons",POWER(Upgrades!$U$11,J221),1))*POWER(Upgrades!$P$6,E221)*POWER(Upgrades!$P$7,F221)*POWER(Upgrades!$P$8,G221)*POWER(Upgrades!$P$9,H221)*POWER(Upgrades!$P$10,I221)*POWER(Upgrades!$P$11,J221)*POWER(Upgrades!$P$12,K221)*60</f>
        <v/>
      </c>
      <c r="AF221" s="27">
        <f>Parameters!$B$9*POWER(Upgrades!$Q$6,E221)*POWER(Upgrades!$Q$7,F221)*POWER(Upgrades!$Q$8,G221)*POWER(Upgrades!$Q$9,H221)*POWER(Upgrades!$Q$10,I221)*POWER(Upgrades!$Q$11,J221)*POWER(Upgrades!$Q$12,K221)*(Parameters!$B$10*Parameters!$B$11+O221*60)</f>
        <v/>
      </c>
      <c r="AG221" s="22">
        <f>IF(E221&gt;=Upgrades!$E$6,"",Upgrades!$C$6*POWER(Upgrades!$D$6,E221))</f>
        <v/>
      </c>
      <c r="AH221" s="22">
        <f>IF(F221&gt;=Upgrades!$E$7,"",Upgrades!$C$7*POWER(Upgrades!$D$7,F221))</f>
        <v/>
      </c>
      <c r="AI221" s="22">
        <f>IF(G221&gt;=Upgrades!$E$8,"",Upgrades!$C$8*POWER(Upgrades!$D$8,G221))</f>
        <v/>
      </c>
      <c r="AJ221" s="22">
        <f>IF(H221&gt;=Upgrades!$E$9,"",Upgrades!$C$9*POWER(Upgrades!$D$9,H221))</f>
        <v/>
      </c>
      <c r="AK221" s="22">
        <f>IF(I221&gt;=Upgrades!$E$10,"",Upgrades!$C$10*POWER(Upgrades!$D$10,I221))</f>
        <v/>
      </c>
      <c r="AL221" s="22">
        <f>IF(J221&gt;=Upgrades!$E$11,"",Upgrades!$C$11*POWER(Upgrades!$D$11,J221))</f>
        <v/>
      </c>
      <c r="AM221" s="22">
        <f>IF(K221&gt;=Upgrades!$E$12,"",Upgrades!$C$12*POWER(Upgrades!$D$12,K221))</f>
        <v/>
      </c>
      <c r="AN221" s="26">
        <f>IF(AND(D221&gt;=Parameters!$B$18,(H221&gt;=Upgrades!$E$9)*(K221&gt;=Upgrades!$E$12)=1,L221=0),1,"")</f>
        <v/>
      </c>
      <c r="AO221" s="26">
        <f>IF(AND(D221&gt;=Parameters!$B$18,L221=0),1,"")</f>
        <v/>
      </c>
      <c r="AP221" s="22">
        <f>MIN(IF(ISNUMBER(AK221),AK221,9E15),IF(ISNUMBER(AL221),AL221,9E15),IF(ISNUMBER(AM221),AM221,9E15))</f>
        <v/>
      </c>
      <c r="AQ221" s="22">
        <f>MIN(IF(ISNUMBER(AG221),AG221,9E15),IF(ISNUMBER(AH221),AH221,9E15),IF(ISNUMBER(AI221),AI221,9E15),IF(ISNUMBER(AJ221),AJ221,9E15))</f>
        <v/>
      </c>
      <c r="AR221" s="29">
        <f>IF(AW221&gt;Parameters!$B$21*(MAX(IF(AND(NOT(AND(AO221=1,AN221&lt;&gt;1)),ISNUMBER(AG221),AG221&lt;=T221),AS221,0),IF(AND(NOT(AND(AO221=1,AN221&lt;&gt;1)),ISNUMBER(AH221),AH221&lt;=T221),AT221,0),IF(AND(NOT(AND(AO221=1,AN221&lt;&gt;1)),ISNUMBER(AI221),AI221&lt;=T221),AU221,0),IF(AND(ISNUMBER(AJ221),AJ221&lt;=T221),AV221,0))),TRUE,FALSE)</f>
        <v/>
      </c>
      <c r="AS221" s="32">
        <f>IFERROR(Upgrades!$H$6*(POWER(Upgrades!$P$6,E221)*POWER(Upgrades!$P$7,F221)*POWER(Upgrades!$P$8,G221)*POWER(Upgrades!$P$9,H221)*POWER(Upgrades!$P$10,I221)*POWER(Upgrades!$P$11,J221)*POWER(Upgrades!$P$12,K221))*(IF(Upgrades!$T$7="Solar Wind",POWER(Upgrades!$U$7,F221),1)*IF(Upgrades!$T$8="Solar Wind",POWER(Upgrades!$U$8,G221),1)*IF(Upgrades!$T$9="Solar Wind",POWER(Upgrades!$U$9,H221),1)*IF(Upgrades!$T$10="Solar Wind",POWER(Upgrades!$U$10,I221),1)*IF(Upgrades!$T$11="Solar Wind",POWER(Upgrades!$U$11,J221),1)*IF(Upgrades!$T$12="Solar Wind",POWER(Upgrades!$U$12,K221),1))/AG221,0)</f>
        <v/>
      </c>
      <c r="AT221" s="32">
        <f>IFERROR(Upgrades!$H$7*(POWER(Upgrades!$P$6,E221)*POWER(Upgrades!$P$7,F221)*POWER(Upgrades!$P$8,G221)*POWER(Upgrades!$P$9,H221)*POWER(Upgrades!$P$10,I221)*POWER(Upgrades!$P$11,J221)*POWER(Upgrades!$P$12,K221))*(IF(Upgrades!$T$6="Asteroid Belt",POWER(Upgrades!$U$6,E221),1)*IF(Upgrades!$T$8="Asteroid Belt",POWER(Upgrades!$U$8,G221),1)*IF(Upgrades!$T$9="Asteroid Belt",POWER(Upgrades!$U$9,H221),1)*IF(Upgrades!$T$10="Asteroid Belt",POWER(Upgrades!$U$10,I221),1)*IF(Upgrades!$T$11="Asteroid Belt",POWER(Upgrades!$U$11,J221),1)*IF(Upgrades!$T$12="Asteroid Belt",POWER(Upgrades!$U$12,K221),1))/AH221,0)</f>
        <v/>
      </c>
      <c r="AU221" s="32">
        <f>IFERROR(Upgrades!$K$8*(POWER(Upgrades!$Q$6,E221)*POWER(Upgrades!$Q$7,F221)*POWER(Upgrades!$Q$8,G221)*POWER(Upgrades!$Q$9,H221)*POWER(Upgrades!$Q$10,I221)*POWER(Upgrades!$Q$11,J221)*POWER(Upgrades!$Q$12,K221))*(IF(Upgrades!$T$6="Stellar Coupling",POWER(Upgrades!$U$6,E221),1)*IF(Upgrades!$T$7="Stellar Coupling",POWER(Upgrades!$U$7,F221),1)*IF(Upgrades!$T$9="Stellar Coupling",POWER(Upgrades!$U$9,H221),1)*IF(Upgrades!$T$10="Stellar Coupling",POWER(Upgrades!$U$10,I221),1)*IF(Upgrades!$T$11="Stellar Coupling",POWER(Upgrades!$U$11,J221),1)*IF(Upgrades!$T$12="Stellar Coupling",POWER(Upgrades!$U$12,K221),1))*Parameters!$B$10*Parameters!$B$11/60/AI221,0)</f>
        <v/>
      </c>
      <c r="AV221" s="32">
        <f>IFERROR(Upgrades!$H$9*(POWER(Upgrades!$P$6,E221)*POWER(Upgrades!$P$7,F221)*POWER(Upgrades!$P$8,G221)*POWER(Upgrades!$P$9,H221)*POWER(Upgrades!$P$10,I221)*POWER(Upgrades!$P$11,J221)*POWER(Upgrades!$P$12,K221))*(IF(Upgrades!$T$6="Magnetosphere",POWER(Upgrades!$U$6,E221),1)*IF(Upgrades!$T$7="Magnetosphere",POWER(Upgrades!$U$7,F221),1)*IF(Upgrades!$T$8="Magnetosphere",POWER(Upgrades!$U$8,G221),1)*IF(Upgrades!$T$10="Magnetosphere",POWER(Upgrades!$U$10,I221),1)*IF(Upgrades!$T$11="Magnetosphere",POWER(Upgrades!$U$11,J221),1)*IF(Upgrades!$T$12="Magnetosphere",POWER(Upgrades!$U$12,K221),1))/AJ221,0)</f>
        <v/>
      </c>
      <c r="AW221" s="32">
        <f>MAX(IF(I221&gt;0,0,IFERROR(0.25*N221/Upgrades!$C$10,0)),IF(J221&gt;0,0,IFERROR(0.5*((IF(G221=0,0,(Upgrades!$J$8+G221*Upgrades!$K$8)*POWER(Upgrades!$L$8,G221)))*(IF(Upgrades!$T$6="Stellar Coupling",POWER(Upgrades!$U$6,E221),1)*IF(Upgrades!$T$7="Stellar Coupling",POWER(Upgrades!$U$7,F221),1)*IF(Upgrades!$T$9="Stellar Coupling",POWER(Upgrades!$U$9,H221),1)*IF(Upgrades!$T$10="Stellar Coupling",POWER(Upgrades!$U$10,I221),1)*IF(Upgrades!$T$11="Stellar Coupling",POWER(Upgrades!$U$11,J221),1)*IF(Upgrades!$T$12="Stellar Coupling",POWER(Upgrades!$U$12,K221),1))*(POWER(Upgrades!$Q$6,E221)*POWER(Upgrades!$Q$7,F221)*POWER(Upgrades!$Q$8,G221)*POWER(Upgrades!$Q$9,H221)*POWER(Upgrades!$Q$10,I221)*POWER(Upgrades!$Q$11,J221)*POWER(Upgrades!$Q$12,K221))*Parameters!$B$10*Parameters!$B$11/60)/Upgrades!$C$11,0)),IF(K221&gt;0,0,IFERROR((1.0*(POWER(Upgrades!$P$6,E221)*POWER(Upgrades!$P$7,F221)*POWER(Upgrades!$P$8,G221)*POWER(Upgrades!$P$9,H221)*POWER(Upgrades!$P$10,I221)*POWER(Upgrades!$P$11,J221)*POWER(Upgrades!$P$12,K221))+0.20*M221*Parameters!$B$10*Parameters!$B$11/60)/Upgrades!$C$12,0)),IF(AND(ISNUMBER(AG221),AG221&gt;T221),AS221,0),IF(AND(ISNUMBER(AH221),AH221&gt;T221),AT221,0),IF(AND(ISNUMBER(AI221),AI221&gt;T221),AU221,0),IF(AND(ISNUMBER(AJ221),AJ221&gt;T221),AV221,0))</f>
        <v/>
      </c>
      <c r="AX221" s="29">
        <f>IF(AN221=1,"transition",IF(MIN(IF(AND(I221=0,ISNUMBER(AK221),AK221&lt;=T221),AK221,9E15),IF(AND(J221=0,ISNUMBER(AL221),AL221&lt;=T221),AL221,9E15),IF(AND(K221=0,ISNUMBER(AM221),AM221&lt;=T221),AM221,9E15))&lt;9E15,IF(AND(AND(I221=0,ISNUMBER(AK221),AK221&lt;=T221),AK221=MIN(IF(AND(I221=0,ISNUMBER(AK221),AK221&lt;=T221),AK221,9E15),IF(AND(J221=0,ISNUMBER(AL221),AL221&lt;=T221),AL221,9E15),IF(AND(K221=0,ISNUMBER(AM221),AM221&lt;=T221),AM221,9E15))),"OR",IF(AND(AND(J221=0,ISNUMBER(AL221),AL221&lt;=T221),AL221=MIN(IF(AND(I221=0,ISNUMBER(AK221),AK221&lt;=T221),AK221,9E15),IF(AND(J221=0,ISNUMBER(AL221),AL221&lt;=T221),AL221,9E15),IF(AND(K221=0,ISNUMBER(AM221),AM221&lt;=T221),AM221,9E15))),"HP","FP")),IF(AR221=TRUE,"",IF(MAX(IF(AND(NOT(AND(AO221=1,AN221&lt;&gt;1)),ISNUMBER(AG221),AG221&lt;=T221),AS221,0),IF(AND(NOT(AND(AO221=1,AN221&lt;&gt;1)),ISNUMBER(AH221),AH221&lt;=T221),AT221,0),IF(AND(NOT(AND(AO221=1,AN221&lt;&gt;1)),ISNUMBER(AI221),AI221&lt;=T221),AU221,0),IF(AND(ISNUMBER(AJ221),AJ221&lt;=T221),AV221,0))&lt;=0,"",IF(AND(IF(AND(NOT(AND(AO221=1,AN221&lt;&gt;1)),ISNUMBER(AG221),AG221&lt;=T221),AS221,0)&gt;0,IF(AND(NOT(AND(AO221=1,AN221&lt;&gt;1)),ISNUMBER(AG221),AG221&lt;=T221),AS221,0)=MAX(IF(AND(NOT(AND(AO221=1,AN221&lt;&gt;1)),ISNUMBER(AG221),AG221&lt;=T221),AS221,0),IF(AND(NOT(AND(AO221=1,AN221&lt;&gt;1)),ISNUMBER(AH221),AH221&lt;=T221),AT221,0),IF(AND(NOT(AND(AO221=1,AN221&lt;&gt;1)),ISNUMBER(AI221),AI221&lt;=T221),AU221,0),IF(AND(ISNUMBER(AJ221),AJ221&lt;=T221),AV221,0))),"SW",IF(AND(IF(AND(NOT(AND(AO221=1,AN221&lt;&gt;1)),ISNUMBER(AH221),AH221&lt;=T221),AT221,0)&gt;0,IF(AND(NOT(AND(AO221=1,AN221&lt;&gt;1)),ISNUMBER(AH221),AH221&lt;=T221),AT221,0)=MAX(IF(AND(NOT(AND(AO221=1,AN221&lt;&gt;1)),ISNUMBER(AG221),AG221&lt;=T221),AS221,0),IF(AND(NOT(AND(AO221=1,AN221&lt;&gt;1)),ISNUMBER(AH221),AH221&lt;=T221),AT221,0),IF(AND(NOT(AND(AO221=1,AN221&lt;&gt;1)),ISNUMBER(AI221),AI221&lt;=T221),AU221,0),IF(AND(ISNUMBER(AJ221),AJ221&lt;=T221),AV221,0))),"AB",IF(AND(IF(AND(NOT(AND(AO221=1,AN221&lt;&gt;1)),ISNUMBER(AI221),AI221&lt;=T221),AU221,0)&gt;0,IF(AND(NOT(AND(AO221=1,AN221&lt;&gt;1)),ISNUMBER(AI221),AI221&lt;=T221),AU221,0)=MAX(IF(AND(NOT(AND(AO221=1,AN221&lt;&gt;1)),ISNUMBER(AG221),AG221&lt;=T221),AS221,0),IF(AND(NOT(AND(AO221=1,AN221&lt;&gt;1)),ISNUMBER(AH221),AH221&lt;=T221),AT221,0),IF(AND(NOT(AND(AO221=1,AN221&lt;&gt;1)),ISNUMBER(AI221),AI221&lt;=T221),AU221,0),IF(AND(ISNUMBER(AJ221),AJ221&lt;=T221),AV221,0))),"SC","Mag")))))))</f>
        <v/>
      </c>
    </row>
    <row r="222">
      <c r="A222" s="26" t="n">
        <v>217</v>
      </c>
      <c r="B222" s="27">
        <f>A222*10/60</f>
        <v/>
      </c>
      <c r="C222" s="22">
        <f>X221</f>
        <v/>
      </c>
      <c r="D222" s="27">
        <f>D221+W221</f>
        <v/>
      </c>
      <c r="E222" s="26">
        <f>E221+IF(U221="SW",1,0)</f>
        <v/>
      </c>
      <c r="F222" s="26">
        <f>F221+IF(U221="AB",1,0)</f>
        <v/>
      </c>
      <c r="G222" s="26">
        <f>G221+IF(U221="SC",1,0)</f>
        <v/>
      </c>
      <c r="H222" s="26">
        <f>H221+IF(U221="Mag",1,0)</f>
        <v/>
      </c>
      <c r="I222" s="26">
        <f>MAX(I221,IF(U221="OR",1,0))</f>
        <v/>
      </c>
      <c r="J222" s="26">
        <f>MAX(J221,IF(U221="HP",1,0))</f>
        <v/>
      </c>
      <c r="K222" s="26">
        <f>MAX(K221,IF(U221="FP",1,0))</f>
        <v/>
      </c>
      <c r="L222" s="26">
        <f>MAX(L221,IF(U221="transition",1,0))</f>
        <v/>
      </c>
      <c r="M222" s="28">
        <f>(Parameters!$B$9+(IF(E222=0,0,(Upgrades!$J$6+E222*Upgrades!$K$6)*POWER(Upgrades!$L$6,E222)))*(IF(Upgrades!$T$7="Solar Wind",POWER(Upgrades!$U$7,F222),1)*IF(Upgrades!$T$8="Solar Wind",POWER(Upgrades!$U$8,G222),1)*IF(Upgrades!$T$9="Solar Wind",POWER(Upgrades!$U$9,H222),1)*IF(Upgrades!$T$10="Solar Wind",POWER(Upgrades!$U$10,I222),1)*IF(Upgrades!$T$11="Solar Wind",POWER(Upgrades!$U$11,J222),1)*IF(Upgrades!$T$12="Solar Wind",POWER(Upgrades!$U$12,K222),1))+(IF(F222=0,0,(Upgrades!$J$7+F222*Upgrades!$K$7)*POWER(Upgrades!$L$7,F222)))*(IF(Upgrades!$T$6="Asteroid Belt",POWER(Upgrades!$U$6,E222),1)*IF(Upgrades!$T$8="Asteroid Belt",POWER(Upgrades!$U$8,G222),1)*IF(Upgrades!$T$9="Asteroid Belt",POWER(Upgrades!$U$9,H222),1)*IF(Upgrades!$T$10="Asteroid Belt",POWER(Upgrades!$U$10,I222),1)*IF(Upgrades!$T$11="Asteroid Belt",POWER(Upgrades!$U$11,J222),1)*IF(Upgrades!$T$12="Asteroid Belt",POWER(Upgrades!$U$12,K222),1))+(IF(G222=0,0,(Upgrades!$J$8+G222*Upgrades!$K$8)*POWER(Upgrades!$L$8,G222)))*(IF(Upgrades!$T$6="Stellar Coupling",POWER(Upgrades!$U$6,E222),1)*IF(Upgrades!$T$7="Stellar Coupling",POWER(Upgrades!$U$7,F222),1)*IF(Upgrades!$T$9="Stellar Coupling",POWER(Upgrades!$U$9,H222),1)*IF(Upgrades!$T$10="Stellar Coupling",POWER(Upgrades!$U$10,I222),1)*IF(Upgrades!$T$11="Stellar Coupling",POWER(Upgrades!$U$11,J222),1)*IF(Upgrades!$T$12="Stellar Coupling",POWER(Upgrades!$U$12,K222),1))+(IF(H222=0,0,(Upgrades!$J$9+H222*Upgrades!$K$9)*POWER(Upgrades!$L$9,H222)))*(IF(Upgrades!$T$6="Magnetosphere",POWER(Upgrades!$U$6,E222),1)*IF(Upgrades!$T$7="Magnetosphere",POWER(Upgrades!$U$7,F222),1)*IF(Upgrades!$T$8="Magnetosphere",POWER(Upgrades!$U$8,G222),1)*IF(Upgrades!$T$10="Magnetosphere",POWER(Upgrades!$U$10,I222),1)*IF(Upgrades!$T$11="Magnetosphere",POWER(Upgrades!$U$11,J222),1)*IF(Upgrades!$T$12="Magnetosphere",POWER(Upgrades!$U$12,K222),1))+(IF(I222=0,0,(Upgrades!$J$10+I222*Upgrades!$K$10)*POWER(Upgrades!$L$10,I222)))*(IF(Upgrades!$T$6="Orbital Resonance",POWER(Upgrades!$U$6,E222),1)*IF(Upgrades!$T$7="Orbital Resonance",POWER(Upgrades!$U$7,F222),1)*IF(Upgrades!$T$8="Orbital Resonance",POWER(Upgrades!$U$8,G222),1)*IF(Upgrades!$T$9="Orbital Resonance",POWER(Upgrades!$U$9,H222),1)*IF(Upgrades!$T$11="Orbital Resonance",POWER(Upgrades!$U$11,J222),1)*IF(Upgrades!$T$12="Orbital Resonance",POWER(Upgrades!$U$12,K222),1))+(IF(J222=0,0,(Upgrades!$J$11+J222*Upgrades!$K$11)*POWER(Upgrades!$L$11,J222)))*(IF(Upgrades!$T$6="Heliopause",POWER(Upgrades!$U$6,E222),1)*IF(Upgrades!$T$7="Heliopause",POWER(Upgrades!$U$7,F222),1)*IF(Upgrades!$T$8="Heliopause",POWER(Upgrades!$U$8,G222),1)*IF(Upgrades!$T$9="Heliopause",POWER(Upgrades!$U$9,H222),1)*IF(Upgrades!$T$10="Heliopause",POWER(Upgrades!$U$10,I222),1)*IF(Upgrades!$T$12="Heliopause",POWER(Upgrades!$U$12,K222),1))+(IF(K222=0,0,(Upgrades!$J$12+K222*Upgrades!$K$12)*POWER(Upgrades!$L$12,K222)))*(IF(Upgrades!$T$6="First Photons",POWER(Upgrades!$U$6,E222),1)*IF(Upgrades!$T$7="First Photons",POWER(Upgrades!$U$7,F222),1)*IF(Upgrades!$T$8="First Photons",POWER(Upgrades!$U$8,G222),1)*IF(Upgrades!$T$9="First Photons",POWER(Upgrades!$U$9,H222),1)*IF(Upgrades!$T$10="First Photons",POWER(Upgrades!$U$10,I222),1)*IF(Upgrades!$T$11="First Photons",POWER(Upgrades!$U$11,J222),1)))*POWER(Upgrades!$Q$6,E222)*POWER(Upgrades!$Q$7,F222)*POWER(Upgrades!$Q$8,G222)*POWER(Upgrades!$Q$9,H222)*POWER(Upgrades!$Q$10,I222)*POWER(Upgrades!$Q$11,J222)*POWER(Upgrades!$Q$12,K222)</f>
        <v/>
      </c>
      <c r="N222" s="28">
        <f>((IF(E222=0,0,(Upgrades!$G$6+E222*Upgrades!$H$6)*POWER(Upgrades!$I$6,E222)))*(IF(Upgrades!$T$7="Solar Wind",POWER(Upgrades!$U$7,F222),1)*IF(Upgrades!$T$8="Solar Wind",POWER(Upgrades!$U$8,G222),1)*IF(Upgrades!$T$9="Solar Wind",POWER(Upgrades!$U$9,H222),1)*IF(Upgrades!$T$10="Solar Wind",POWER(Upgrades!$U$10,I222),1)*IF(Upgrades!$T$11="Solar Wind",POWER(Upgrades!$U$11,J222),1)*IF(Upgrades!$T$12="Solar Wind",POWER(Upgrades!$U$12,K222),1))+(IF(F222=0,0,(Upgrades!$G$7+F222*Upgrades!$H$7)*POWER(Upgrades!$I$7,F222)))*(IF(Upgrades!$T$6="Asteroid Belt",POWER(Upgrades!$U$6,E222),1)*IF(Upgrades!$T$8="Asteroid Belt",POWER(Upgrades!$U$8,G222),1)*IF(Upgrades!$T$9="Asteroid Belt",POWER(Upgrades!$U$9,H222),1)*IF(Upgrades!$T$10="Asteroid Belt",POWER(Upgrades!$U$10,I222),1)*IF(Upgrades!$T$11="Asteroid Belt",POWER(Upgrades!$U$11,J222),1)*IF(Upgrades!$T$12="Asteroid Belt",POWER(Upgrades!$U$12,K222),1))+(IF(G222=0,0,(Upgrades!$G$8+G222*Upgrades!$H$8)*POWER(Upgrades!$I$8,G222)))*(IF(Upgrades!$T$6="Stellar Coupling",POWER(Upgrades!$U$6,E222),1)*IF(Upgrades!$T$7="Stellar Coupling",POWER(Upgrades!$U$7,F222),1)*IF(Upgrades!$T$9="Stellar Coupling",POWER(Upgrades!$U$9,H222),1)*IF(Upgrades!$T$10="Stellar Coupling",POWER(Upgrades!$U$10,I222),1)*IF(Upgrades!$T$11="Stellar Coupling",POWER(Upgrades!$U$11,J222),1)*IF(Upgrades!$T$12="Stellar Coupling",POWER(Upgrades!$U$12,K222),1))+(IF(H222=0,0,(Upgrades!$G$9+H222*Upgrades!$H$9)*POWER(Upgrades!$I$9,H222)))*(IF(Upgrades!$T$6="Magnetosphere",POWER(Upgrades!$U$6,E222),1)*IF(Upgrades!$T$7="Magnetosphere",POWER(Upgrades!$U$7,F222),1)*IF(Upgrades!$T$8="Magnetosphere",POWER(Upgrades!$U$8,G222),1)*IF(Upgrades!$T$10="Magnetosphere",POWER(Upgrades!$U$10,I222),1)*IF(Upgrades!$T$11="Magnetosphere",POWER(Upgrades!$U$11,J222),1)*IF(Upgrades!$T$12="Magnetosphere",POWER(Upgrades!$U$12,K222),1))+(IF(I222=0,0,(Upgrades!$G$10+I222*Upgrades!$H$10)*POWER(Upgrades!$I$10,I222)))*(IF(Upgrades!$T$6="Orbital Resonance",POWER(Upgrades!$U$6,E222),1)*IF(Upgrades!$T$7="Orbital Resonance",POWER(Upgrades!$U$7,F222),1)*IF(Upgrades!$T$8="Orbital Resonance",POWER(Upgrades!$U$8,G222),1)*IF(Upgrades!$T$9="Orbital Resonance",POWER(Upgrades!$U$9,H222),1)*IF(Upgrades!$T$11="Orbital Resonance",POWER(Upgrades!$U$11,J222),1)*IF(Upgrades!$T$12="Orbital Resonance",POWER(Upgrades!$U$12,K222),1))+(IF(J222=0,0,(Upgrades!$G$11+J222*Upgrades!$H$11)*POWER(Upgrades!$I$11,J222)))*(IF(Upgrades!$T$6="Heliopause",POWER(Upgrades!$U$6,E222),1)*IF(Upgrades!$T$7="Heliopause",POWER(Upgrades!$U$7,F222),1)*IF(Upgrades!$T$8="Heliopause",POWER(Upgrades!$U$8,G222),1)*IF(Upgrades!$T$9="Heliopause",POWER(Upgrades!$U$9,H222),1)*IF(Upgrades!$T$10="Heliopause",POWER(Upgrades!$U$10,I222),1)*IF(Upgrades!$T$12="Heliopause",POWER(Upgrades!$U$12,K222),1))+(IF(K222=0,0,(Upgrades!$G$12+K222*Upgrades!$H$12)*POWER(Upgrades!$I$12,K222)))*(IF(Upgrades!$T$6="First Photons",POWER(Upgrades!$U$6,E222),1)*IF(Upgrades!$T$7="First Photons",POWER(Upgrades!$U$7,F222),1)*IF(Upgrades!$T$8="First Photons",POWER(Upgrades!$U$8,G222),1)*IF(Upgrades!$T$9="First Photons",POWER(Upgrades!$U$9,H222),1)*IF(Upgrades!$T$10="First Photons",POWER(Upgrades!$U$10,I222),1)*IF(Upgrades!$T$11="First Photons",POWER(Upgrades!$U$11,J222),1)))*POWER(Upgrades!$P$6,E222)*POWER(Upgrades!$P$7,F222)*POWER(Upgrades!$P$8,G222)*POWER(Upgrades!$P$9,H222)*POWER(Upgrades!$P$10,I222)*POWER(Upgrades!$P$11,J222)*POWER(Upgrades!$P$12,K222)</f>
        <v/>
      </c>
      <c r="O222" s="28">
        <f>((IF(E222=0,0,(Upgrades!$M$6+E222*Upgrades!$N$6)*POWER(Upgrades!$O$6,E222)))*(IF(Upgrades!$T$7="Solar Wind",POWER(Upgrades!$U$7,F222),1)*IF(Upgrades!$T$8="Solar Wind",POWER(Upgrades!$U$8,G222),1)*IF(Upgrades!$T$9="Solar Wind",POWER(Upgrades!$U$9,H222),1)*IF(Upgrades!$T$10="Solar Wind",POWER(Upgrades!$U$10,I222),1)*IF(Upgrades!$T$11="Solar Wind",POWER(Upgrades!$U$11,J222),1)*IF(Upgrades!$T$12="Solar Wind",POWER(Upgrades!$U$12,K222),1))+(IF(F222=0,0,(Upgrades!$M$7+F222*Upgrades!$N$7)*POWER(Upgrades!$O$7,F222)))*(IF(Upgrades!$T$6="Asteroid Belt",POWER(Upgrades!$U$6,E222),1)*IF(Upgrades!$T$8="Asteroid Belt",POWER(Upgrades!$U$8,G222),1)*IF(Upgrades!$T$9="Asteroid Belt",POWER(Upgrades!$U$9,H222),1)*IF(Upgrades!$T$10="Asteroid Belt",POWER(Upgrades!$U$10,I222),1)*IF(Upgrades!$T$11="Asteroid Belt",POWER(Upgrades!$U$11,J222),1)*IF(Upgrades!$T$12="Asteroid Belt",POWER(Upgrades!$U$12,K222),1))+(IF(G222=0,0,(Upgrades!$M$8+G222*Upgrades!$N$8)*POWER(Upgrades!$O$8,G222)))*(IF(Upgrades!$T$6="Stellar Coupling",POWER(Upgrades!$U$6,E222),1)*IF(Upgrades!$T$7="Stellar Coupling",POWER(Upgrades!$U$7,F222),1)*IF(Upgrades!$T$9="Stellar Coupling",POWER(Upgrades!$U$9,H222),1)*IF(Upgrades!$T$10="Stellar Coupling",POWER(Upgrades!$U$10,I222),1)*IF(Upgrades!$T$11="Stellar Coupling",POWER(Upgrades!$U$11,J222),1)*IF(Upgrades!$T$12="Stellar Coupling",POWER(Upgrades!$U$12,K222),1))+(IF(H222=0,0,(Upgrades!$M$9+H222*Upgrades!$N$9)*POWER(Upgrades!$O$9,H222)))*(IF(Upgrades!$T$6="Magnetosphere",POWER(Upgrades!$U$6,E222),1)*IF(Upgrades!$T$7="Magnetosphere",POWER(Upgrades!$U$7,F222),1)*IF(Upgrades!$T$8="Magnetosphere",POWER(Upgrades!$U$8,G222),1)*IF(Upgrades!$T$10="Magnetosphere",POWER(Upgrades!$U$10,I222),1)*IF(Upgrades!$T$11="Magnetosphere",POWER(Upgrades!$U$11,J222),1)*IF(Upgrades!$T$12="Magnetosphere",POWER(Upgrades!$U$12,K222),1))+(IF(I222=0,0,(Upgrades!$M$10+I222*Upgrades!$N$10)*POWER(Upgrades!$O$10,I222)))*(IF(Upgrades!$T$6="Orbital Resonance",POWER(Upgrades!$U$6,E222),1)*IF(Upgrades!$T$7="Orbital Resonance",POWER(Upgrades!$U$7,F222),1)*IF(Upgrades!$T$8="Orbital Resonance",POWER(Upgrades!$U$8,G222),1)*IF(Upgrades!$T$9="Orbital Resonance",POWER(Upgrades!$U$9,H222),1)*IF(Upgrades!$T$11="Orbital Resonance",POWER(Upgrades!$U$11,J222),1)*IF(Upgrades!$T$12="Orbital Resonance",POWER(Upgrades!$U$12,K222),1))+(IF(J222=0,0,(Upgrades!$M$11+J222*Upgrades!$N$11)*POWER(Upgrades!$O$11,J222)))*(IF(Upgrades!$T$6="Heliopause",POWER(Upgrades!$U$6,E222),1)*IF(Upgrades!$T$7="Heliopause",POWER(Upgrades!$U$7,F222),1)*IF(Upgrades!$T$8="Heliopause",POWER(Upgrades!$U$8,G222),1)*IF(Upgrades!$T$9="Heliopause",POWER(Upgrades!$U$9,H222),1)*IF(Upgrades!$T$10="Heliopause",POWER(Upgrades!$U$10,I222),1)*IF(Upgrades!$T$12="Heliopause",POWER(Upgrades!$U$12,K222),1))+(IF(K222=0,0,(Upgrades!$M$12+K222*Upgrades!$N$12)*POWER(Upgrades!$O$12,K222)))*(IF(Upgrades!$T$6="First Photons",POWER(Upgrades!$U$6,E222),1)*IF(Upgrades!$T$7="First Photons",POWER(Upgrades!$U$7,F222),1)*IF(Upgrades!$T$8="First Photons",POWER(Upgrades!$U$8,G222),1)*IF(Upgrades!$T$9="First Photons",POWER(Upgrades!$U$9,H222),1)*IF(Upgrades!$T$10="First Photons",POWER(Upgrades!$U$10,I222),1)*IF(Upgrades!$T$11="First Photons",POWER(Upgrades!$U$11,J222),1)))*POWER(Upgrades!$R$6,E222)*POWER(Upgrades!$R$7,F222)*POWER(Upgrades!$R$8,G222)*POWER(Upgrades!$R$9,H222)*POWER(Upgrades!$R$10,I222)*POWER(Upgrades!$R$11,J222)*POWER(Upgrades!$R$12,K222)</f>
        <v/>
      </c>
      <c r="P222" s="27">
        <f>IF(L222=1,0,M222*Parameters!$B$10/60*Parameters!$B$11*10)</f>
        <v/>
      </c>
      <c r="Q222" s="27">
        <f>IF(L222=1,0,O222*M222*10)</f>
        <v/>
      </c>
      <c r="R222" s="27">
        <f>IF(L222=1,0,N222*10)</f>
        <v/>
      </c>
      <c r="S222" s="27">
        <f>P222+Q222+R222</f>
        <v/>
      </c>
      <c r="T222" s="22">
        <f>C222+S222</f>
        <v/>
      </c>
      <c r="U222" s="33">
        <f>AX222</f>
        <v/>
      </c>
      <c r="V222" s="22">
        <f>IF(U222="",0,IF(U222="transition",0,IF(U222="SW",AG222,IF(U222="AB",AH222,IF(U222="SC",AI222,IF(U222="Mag",AJ222,IF(U222="OR",AK222,IF(U222="HP",AL222,IF(U222="FP",AM222,0)))))))))</f>
        <v/>
      </c>
      <c r="W222" s="27">
        <f>IF(U222="OR",Upgrades!$F$10,IF(U222="HP",Upgrades!$F$11,IF(U222="transition",-Parameters!$B$18,0)))</f>
        <v/>
      </c>
      <c r="X222" s="22">
        <f>T222-V222</f>
        <v/>
      </c>
      <c r="Y222" s="30">
        <f>M222*Parameters!$B$10/60*Parameters!$B$11+O222*M222+N222</f>
        <v/>
      </c>
      <c r="Z222" s="34">
        <f>IF(U222="transition","→ Tier 2 (Stellar Neighborhood)",IF(U222="FP","First Photons — light begins, system quickens",IF(U222="HP","Heliopause acquired",IF(U222="OR","Orbital Resonance — passive multiplier active",IF(AND(AO222=1,L222=0,AN222&lt;&gt;1),"Cohesion ready (waiting on completionist upgrades)","")))))</f>
        <v/>
      </c>
      <c r="AA222" s="27">
        <f>(IF(E222=0,0,(Upgrades!$G$6+E222*Upgrades!$H$6)*POWER(Upgrades!$I$6,E222)))*(IF(Upgrades!$T$7="Solar Wind",POWER(Upgrades!$U$7,F222),1)*IF(Upgrades!$T$8="Solar Wind",POWER(Upgrades!$U$8,G222),1)*IF(Upgrades!$T$9="Solar Wind",POWER(Upgrades!$U$9,H222),1)*IF(Upgrades!$T$10="Solar Wind",POWER(Upgrades!$U$10,I222),1)*IF(Upgrades!$T$11="Solar Wind",POWER(Upgrades!$U$11,J222),1)*IF(Upgrades!$T$12="Solar Wind",POWER(Upgrades!$U$12,K222),1))*POWER(Upgrades!$P$6,E222)*POWER(Upgrades!$P$7,F222)*POWER(Upgrades!$P$8,G222)*POWER(Upgrades!$P$9,H222)*POWER(Upgrades!$P$10,I222)*POWER(Upgrades!$P$11,J222)*POWER(Upgrades!$P$12,K222)*60</f>
        <v/>
      </c>
      <c r="AB222" s="27">
        <f>(IF(F222=0,0,(Upgrades!$G$7+F222*Upgrades!$H$7)*POWER(Upgrades!$I$7,F222)))*(IF(Upgrades!$T$6="Asteroid Belt",POWER(Upgrades!$U$6,E222),1)*IF(Upgrades!$T$8="Asteroid Belt",POWER(Upgrades!$U$8,G222),1)*IF(Upgrades!$T$9="Asteroid Belt",POWER(Upgrades!$U$9,H222),1)*IF(Upgrades!$T$10="Asteroid Belt",POWER(Upgrades!$U$10,I222),1)*IF(Upgrades!$T$11="Asteroid Belt",POWER(Upgrades!$U$11,J222),1)*IF(Upgrades!$T$12="Asteroid Belt",POWER(Upgrades!$U$12,K222),1))*POWER(Upgrades!$P$6,E222)*POWER(Upgrades!$P$7,F222)*POWER(Upgrades!$P$8,G222)*POWER(Upgrades!$P$9,H222)*POWER(Upgrades!$P$10,I222)*POWER(Upgrades!$P$11,J222)*POWER(Upgrades!$P$12,K222)*60</f>
        <v/>
      </c>
      <c r="AC222" s="27">
        <f>(IF(G222=0,0,(Upgrades!$J$8+G222*Upgrades!$K$8)*POWER(Upgrades!$L$8,G222)))*(IF(Upgrades!$T$6="Stellar Coupling",POWER(Upgrades!$U$6,E222),1)*IF(Upgrades!$T$7="Stellar Coupling",POWER(Upgrades!$U$7,F222),1)*IF(Upgrades!$T$9="Stellar Coupling",POWER(Upgrades!$U$9,H222),1)*IF(Upgrades!$T$10="Stellar Coupling",POWER(Upgrades!$U$10,I222),1)*IF(Upgrades!$T$11="Stellar Coupling",POWER(Upgrades!$U$11,J222),1)*IF(Upgrades!$T$12="Stellar Coupling",POWER(Upgrades!$U$12,K222),1))*POWER(Upgrades!$Q$6,E222)*POWER(Upgrades!$Q$7,F222)*POWER(Upgrades!$Q$8,G222)*POWER(Upgrades!$Q$9,H222)*POWER(Upgrades!$Q$10,I222)*POWER(Upgrades!$Q$11,J222)*POWER(Upgrades!$Q$12,K222)*Parameters!$B$10*Parameters!$B$11</f>
        <v/>
      </c>
      <c r="AD222" s="27">
        <f>(IF(H222=0,0,(Upgrades!$G$9+H222*Upgrades!$H$9)*POWER(Upgrades!$I$9,H222)))*(IF(Upgrades!$T$6="Magnetosphere",POWER(Upgrades!$U$6,E222),1)*IF(Upgrades!$T$7="Magnetosphere",POWER(Upgrades!$U$7,F222),1)*IF(Upgrades!$T$8="Magnetosphere",POWER(Upgrades!$U$8,G222),1)*IF(Upgrades!$T$10="Magnetosphere",POWER(Upgrades!$U$10,I222),1)*IF(Upgrades!$T$11="Magnetosphere",POWER(Upgrades!$U$11,J222),1)*IF(Upgrades!$T$12="Magnetosphere",POWER(Upgrades!$U$12,K222),1))*POWER(Upgrades!$P$6,E222)*POWER(Upgrades!$P$7,F222)*POWER(Upgrades!$P$8,G222)*POWER(Upgrades!$P$9,H222)*POWER(Upgrades!$P$10,I222)*POWER(Upgrades!$P$11,J222)*POWER(Upgrades!$P$12,K222)*60</f>
        <v/>
      </c>
      <c r="AE222" s="27">
        <f>(IF(K222=0,0,(Upgrades!$G$12+K222*Upgrades!$H$12)*POWER(Upgrades!$I$12,K222)))*(IF(Upgrades!$T$6="First Photons",POWER(Upgrades!$U$6,E222),1)*IF(Upgrades!$T$7="First Photons",POWER(Upgrades!$U$7,F222),1)*IF(Upgrades!$T$8="First Photons",POWER(Upgrades!$U$8,G222),1)*IF(Upgrades!$T$9="First Photons",POWER(Upgrades!$U$9,H222),1)*IF(Upgrades!$T$10="First Photons",POWER(Upgrades!$U$10,I222),1)*IF(Upgrades!$T$11="First Photons",POWER(Upgrades!$U$11,J222),1))*POWER(Upgrades!$P$6,E222)*POWER(Upgrades!$P$7,F222)*POWER(Upgrades!$P$8,G222)*POWER(Upgrades!$P$9,H222)*POWER(Upgrades!$P$10,I222)*POWER(Upgrades!$P$11,J222)*POWER(Upgrades!$P$12,K222)*60</f>
        <v/>
      </c>
      <c r="AF222" s="27">
        <f>Parameters!$B$9*POWER(Upgrades!$Q$6,E222)*POWER(Upgrades!$Q$7,F222)*POWER(Upgrades!$Q$8,G222)*POWER(Upgrades!$Q$9,H222)*POWER(Upgrades!$Q$10,I222)*POWER(Upgrades!$Q$11,J222)*POWER(Upgrades!$Q$12,K222)*(Parameters!$B$10*Parameters!$B$11+O222*60)</f>
        <v/>
      </c>
      <c r="AG222" s="22">
        <f>IF(E222&gt;=Upgrades!$E$6,"",Upgrades!$C$6*POWER(Upgrades!$D$6,E222))</f>
        <v/>
      </c>
      <c r="AH222" s="22">
        <f>IF(F222&gt;=Upgrades!$E$7,"",Upgrades!$C$7*POWER(Upgrades!$D$7,F222))</f>
        <v/>
      </c>
      <c r="AI222" s="22">
        <f>IF(G222&gt;=Upgrades!$E$8,"",Upgrades!$C$8*POWER(Upgrades!$D$8,G222))</f>
        <v/>
      </c>
      <c r="AJ222" s="22">
        <f>IF(H222&gt;=Upgrades!$E$9,"",Upgrades!$C$9*POWER(Upgrades!$D$9,H222))</f>
        <v/>
      </c>
      <c r="AK222" s="22">
        <f>IF(I222&gt;=Upgrades!$E$10,"",Upgrades!$C$10*POWER(Upgrades!$D$10,I222))</f>
        <v/>
      </c>
      <c r="AL222" s="22">
        <f>IF(J222&gt;=Upgrades!$E$11,"",Upgrades!$C$11*POWER(Upgrades!$D$11,J222))</f>
        <v/>
      </c>
      <c r="AM222" s="22">
        <f>IF(K222&gt;=Upgrades!$E$12,"",Upgrades!$C$12*POWER(Upgrades!$D$12,K222))</f>
        <v/>
      </c>
      <c r="AN222" s="26">
        <f>IF(AND(D222&gt;=Parameters!$B$18,(H222&gt;=Upgrades!$E$9)*(K222&gt;=Upgrades!$E$12)=1,L222=0),1,"")</f>
        <v/>
      </c>
      <c r="AO222" s="26">
        <f>IF(AND(D222&gt;=Parameters!$B$18,L222=0),1,"")</f>
        <v/>
      </c>
      <c r="AP222" s="22">
        <f>MIN(IF(ISNUMBER(AK222),AK222,9E15),IF(ISNUMBER(AL222),AL222,9E15),IF(ISNUMBER(AM222),AM222,9E15))</f>
        <v/>
      </c>
      <c r="AQ222" s="22">
        <f>MIN(IF(ISNUMBER(AG222),AG222,9E15),IF(ISNUMBER(AH222),AH222,9E15),IF(ISNUMBER(AI222),AI222,9E15),IF(ISNUMBER(AJ222),AJ222,9E15))</f>
        <v/>
      </c>
      <c r="AR222" s="29">
        <f>IF(AW222&gt;Parameters!$B$21*(MAX(IF(AND(NOT(AND(AO222=1,AN222&lt;&gt;1)),ISNUMBER(AG222),AG222&lt;=T222),AS222,0),IF(AND(NOT(AND(AO222=1,AN222&lt;&gt;1)),ISNUMBER(AH222),AH222&lt;=T222),AT222,0),IF(AND(NOT(AND(AO222=1,AN222&lt;&gt;1)),ISNUMBER(AI222),AI222&lt;=T222),AU222,0),IF(AND(ISNUMBER(AJ222),AJ222&lt;=T222),AV222,0))),TRUE,FALSE)</f>
        <v/>
      </c>
      <c r="AS222" s="32">
        <f>IFERROR(Upgrades!$H$6*(POWER(Upgrades!$P$6,E222)*POWER(Upgrades!$P$7,F222)*POWER(Upgrades!$P$8,G222)*POWER(Upgrades!$P$9,H222)*POWER(Upgrades!$P$10,I222)*POWER(Upgrades!$P$11,J222)*POWER(Upgrades!$P$12,K222))*(IF(Upgrades!$T$7="Solar Wind",POWER(Upgrades!$U$7,F222),1)*IF(Upgrades!$T$8="Solar Wind",POWER(Upgrades!$U$8,G222),1)*IF(Upgrades!$T$9="Solar Wind",POWER(Upgrades!$U$9,H222),1)*IF(Upgrades!$T$10="Solar Wind",POWER(Upgrades!$U$10,I222),1)*IF(Upgrades!$T$11="Solar Wind",POWER(Upgrades!$U$11,J222),1)*IF(Upgrades!$T$12="Solar Wind",POWER(Upgrades!$U$12,K222),1))/AG222,0)</f>
        <v/>
      </c>
      <c r="AT222" s="32">
        <f>IFERROR(Upgrades!$H$7*(POWER(Upgrades!$P$6,E222)*POWER(Upgrades!$P$7,F222)*POWER(Upgrades!$P$8,G222)*POWER(Upgrades!$P$9,H222)*POWER(Upgrades!$P$10,I222)*POWER(Upgrades!$P$11,J222)*POWER(Upgrades!$P$12,K222))*(IF(Upgrades!$T$6="Asteroid Belt",POWER(Upgrades!$U$6,E222),1)*IF(Upgrades!$T$8="Asteroid Belt",POWER(Upgrades!$U$8,G222),1)*IF(Upgrades!$T$9="Asteroid Belt",POWER(Upgrades!$U$9,H222),1)*IF(Upgrades!$T$10="Asteroid Belt",POWER(Upgrades!$U$10,I222),1)*IF(Upgrades!$T$11="Asteroid Belt",POWER(Upgrades!$U$11,J222),1)*IF(Upgrades!$T$12="Asteroid Belt",POWER(Upgrades!$U$12,K222),1))/AH222,0)</f>
        <v/>
      </c>
      <c r="AU222" s="32">
        <f>IFERROR(Upgrades!$K$8*(POWER(Upgrades!$Q$6,E222)*POWER(Upgrades!$Q$7,F222)*POWER(Upgrades!$Q$8,G222)*POWER(Upgrades!$Q$9,H222)*POWER(Upgrades!$Q$10,I222)*POWER(Upgrades!$Q$11,J222)*POWER(Upgrades!$Q$12,K222))*(IF(Upgrades!$T$6="Stellar Coupling",POWER(Upgrades!$U$6,E222),1)*IF(Upgrades!$T$7="Stellar Coupling",POWER(Upgrades!$U$7,F222),1)*IF(Upgrades!$T$9="Stellar Coupling",POWER(Upgrades!$U$9,H222),1)*IF(Upgrades!$T$10="Stellar Coupling",POWER(Upgrades!$U$10,I222),1)*IF(Upgrades!$T$11="Stellar Coupling",POWER(Upgrades!$U$11,J222),1)*IF(Upgrades!$T$12="Stellar Coupling",POWER(Upgrades!$U$12,K222),1))*Parameters!$B$10*Parameters!$B$11/60/AI222,0)</f>
        <v/>
      </c>
      <c r="AV222" s="32">
        <f>IFERROR(Upgrades!$H$9*(POWER(Upgrades!$P$6,E222)*POWER(Upgrades!$P$7,F222)*POWER(Upgrades!$P$8,G222)*POWER(Upgrades!$P$9,H222)*POWER(Upgrades!$P$10,I222)*POWER(Upgrades!$P$11,J222)*POWER(Upgrades!$P$12,K222))*(IF(Upgrades!$T$6="Magnetosphere",POWER(Upgrades!$U$6,E222),1)*IF(Upgrades!$T$7="Magnetosphere",POWER(Upgrades!$U$7,F222),1)*IF(Upgrades!$T$8="Magnetosphere",POWER(Upgrades!$U$8,G222),1)*IF(Upgrades!$T$10="Magnetosphere",POWER(Upgrades!$U$10,I222),1)*IF(Upgrades!$T$11="Magnetosphere",POWER(Upgrades!$U$11,J222),1)*IF(Upgrades!$T$12="Magnetosphere",POWER(Upgrades!$U$12,K222),1))/AJ222,0)</f>
        <v/>
      </c>
      <c r="AW222" s="32">
        <f>MAX(IF(I222&gt;0,0,IFERROR(0.25*N222/Upgrades!$C$10,0)),IF(J222&gt;0,0,IFERROR(0.5*((IF(G222=0,0,(Upgrades!$J$8+G222*Upgrades!$K$8)*POWER(Upgrades!$L$8,G222)))*(IF(Upgrades!$T$6="Stellar Coupling",POWER(Upgrades!$U$6,E222),1)*IF(Upgrades!$T$7="Stellar Coupling",POWER(Upgrades!$U$7,F222),1)*IF(Upgrades!$T$9="Stellar Coupling",POWER(Upgrades!$U$9,H222),1)*IF(Upgrades!$T$10="Stellar Coupling",POWER(Upgrades!$U$10,I222),1)*IF(Upgrades!$T$11="Stellar Coupling",POWER(Upgrades!$U$11,J222),1)*IF(Upgrades!$T$12="Stellar Coupling",POWER(Upgrades!$U$12,K222),1))*(POWER(Upgrades!$Q$6,E222)*POWER(Upgrades!$Q$7,F222)*POWER(Upgrades!$Q$8,G222)*POWER(Upgrades!$Q$9,H222)*POWER(Upgrades!$Q$10,I222)*POWER(Upgrades!$Q$11,J222)*POWER(Upgrades!$Q$12,K222))*Parameters!$B$10*Parameters!$B$11/60)/Upgrades!$C$11,0)),IF(K222&gt;0,0,IFERROR((1.0*(POWER(Upgrades!$P$6,E222)*POWER(Upgrades!$P$7,F222)*POWER(Upgrades!$P$8,G222)*POWER(Upgrades!$P$9,H222)*POWER(Upgrades!$P$10,I222)*POWER(Upgrades!$P$11,J222)*POWER(Upgrades!$P$12,K222))+0.20*M222*Parameters!$B$10*Parameters!$B$11/60)/Upgrades!$C$12,0)),IF(AND(ISNUMBER(AG222),AG222&gt;T222),AS222,0),IF(AND(ISNUMBER(AH222),AH222&gt;T222),AT222,0),IF(AND(ISNUMBER(AI222),AI222&gt;T222),AU222,0),IF(AND(ISNUMBER(AJ222),AJ222&gt;T222),AV222,0))</f>
        <v/>
      </c>
      <c r="AX222" s="29">
        <f>IF(AN222=1,"transition",IF(MIN(IF(AND(I222=0,ISNUMBER(AK222),AK222&lt;=T222),AK222,9E15),IF(AND(J222=0,ISNUMBER(AL222),AL222&lt;=T222),AL222,9E15),IF(AND(K222=0,ISNUMBER(AM222),AM222&lt;=T222),AM222,9E15))&lt;9E15,IF(AND(AND(I222=0,ISNUMBER(AK222),AK222&lt;=T222),AK222=MIN(IF(AND(I222=0,ISNUMBER(AK222),AK222&lt;=T222),AK222,9E15),IF(AND(J222=0,ISNUMBER(AL222),AL222&lt;=T222),AL222,9E15),IF(AND(K222=0,ISNUMBER(AM222),AM222&lt;=T222),AM222,9E15))),"OR",IF(AND(AND(J222=0,ISNUMBER(AL222),AL222&lt;=T222),AL222=MIN(IF(AND(I222=0,ISNUMBER(AK222),AK222&lt;=T222),AK222,9E15),IF(AND(J222=0,ISNUMBER(AL222),AL222&lt;=T222),AL222,9E15),IF(AND(K222=0,ISNUMBER(AM222),AM222&lt;=T222),AM222,9E15))),"HP","FP")),IF(AR222=TRUE,"",IF(MAX(IF(AND(NOT(AND(AO222=1,AN222&lt;&gt;1)),ISNUMBER(AG222),AG222&lt;=T222),AS222,0),IF(AND(NOT(AND(AO222=1,AN222&lt;&gt;1)),ISNUMBER(AH222),AH222&lt;=T222),AT222,0),IF(AND(NOT(AND(AO222=1,AN222&lt;&gt;1)),ISNUMBER(AI222),AI222&lt;=T222),AU222,0),IF(AND(ISNUMBER(AJ222),AJ222&lt;=T222),AV222,0))&lt;=0,"",IF(AND(IF(AND(NOT(AND(AO222=1,AN222&lt;&gt;1)),ISNUMBER(AG222),AG222&lt;=T222),AS222,0)&gt;0,IF(AND(NOT(AND(AO222=1,AN222&lt;&gt;1)),ISNUMBER(AG222),AG222&lt;=T222),AS222,0)=MAX(IF(AND(NOT(AND(AO222=1,AN222&lt;&gt;1)),ISNUMBER(AG222),AG222&lt;=T222),AS222,0),IF(AND(NOT(AND(AO222=1,AN222&lt;&gt;1)),ISNUMBER(AH222),AH222&lt;=T222),AT222,0),IF(AND(NOT(AND(AO222=1,AN222&lt;&gt;1)),ISNUMBER(AI222),AI222&lt;=T222),AU222,0),IF(AND(ISNUMBER(AJ222),AJ222&lt;=T222),AV222,0))),"SW",IF(AND(IF(AND(NOT(AND(AO222=1,AN222&lt;&gt;1)),ISNUMBER(AH222),AH222&lt;=T222),AT222,0)&gt;0,IF(AND(NOT(AND(AO222=1,AN222&lt;&gt;1)),ISNUMBER(AH222),AH222&lt;=T222),AT222,0)=MAX(IF(AND(NOT(AND(AO222=1,AN222&lt;&gt;1)),ISNUMBER(AG222),AG222&lt;=T222),AS222,0),IF(AND(NOT(AND(AO222=1,AN222&lt;&gt;1)),ISNUMBER(AH222),AH222&lt;=T222),AT222,0),IF(AND(NOT(AND(AO222=1,AN222&lt;&gt;1)),ISNUMBER(AI222),AI222&lt;=T222),AU222,0),IF(AND(ISNUMBER(AJ222),AJ222&lt;=T222),AV222,0))),"AB",IF(AND(IF(AND(NOT(AND(AO222=1,AN222&lt;&gt;1)),ISNUMBER(AI222),AI222&lt;=T222),AU222,0)&gt;0,IF(AND(NOT(AND(AO222=1,AN222&lt;&gt;1)),ISNUMBER(AI222),AI222&lt;=T222),AU222,0)=MAX(IF(AND(NOT(AND(AO222=1,AN222&lt;&gt;1)),ISNUMBER(AG222),AG222&lt;=T222),AS222,0),IF(AND(NOT(AND(AO222=1,AN222&lt;&gt;1)),ISNUMBER(AH222),AH222&lt;=T222),AT222,0),IF(AND(NOT(AND(AO222=1,AN222&lt;&gt;1)),ISNUMBER(AI222),AI222&lt;=T222),AU222,0),IF(AND(ISNUMBER(AJ222),AJ222&lt;=T222),AV222,0))),"SC","Mag")))))))</f>
        <v/>
      </c>
    </row>
    <row r="223">
      <c r="A223" s="26" t="n">
        <v>218</v>
      </c>
      <c r="B223" s="27">
        <f>A223*10/60</f>
        <v/>
      </c>
      <c r="C223" s="22">
        <f>X222</f>
        <v/>
      </c>
      <c r="D223" s="27">
        <f>D222+W222</f>
        <v/>
      </c>
      <c r="E223" s="26">
        <f>E222+IF(U222="SW",1,0)</f>
        <v/>
      </c>
      <c r="F223" s="26">
        <f>F222+IF(U222="AB",1,0)</f>
        <v/>
      </c>
      <c r="G223" s="26">
        <f>G222+IF(U222="SC",1,0)</f>
        <v/>
      </c>
      <c r="H223" s="26">
        <f>H222+IF(U222="Mag",1,0)</f>
        <v/>
      </c>
      <c r="I223" s="26">
        <f>MAX(I222,IF(U222="OR",1,0))</f>
        <v/>
      </c>
      <c r="J223" s="26">
        <f>MAX(J222,IF(U222="HP",1,0))</f>
        <v/>
      </c>
      <c r="K223" s="26">
        <f>MAX(K222,IF(U222="FP",1,0))</f>
        <v/>
      </c>
      <c r="L223" s="26">
        <f>MAX(L222,IF(U222="transition",1,0))</f>
        <v/>
      </c>
      <c r="M223" s="28">
        <f>(Parameters!$B$9+(IF(E223=0,0,(Upgrades!$J$6+E223*Upgrades!$K$6)*POWER(Upgrades!$L$6,E223)))*(IF(Upgrades!$T$7="Solar Wind",POWER(Upgrades!$U$7,F223),1)*IF(Upgrades!$T$8="Solar Wind",POWER(Upgrades!$U$8,G223),1)*IF(Upgrades!$T$9="Solar Wind",POWER(Upgrades!$U$9,H223),1)*IF(Upgrades!$T$10="Solar Wind",POWER(Upgrades!$U$10,I223),1)*IF(Upgrades!$T$11="Solar Wind",POWER(Upgrades!$U$11,J223),1)*IF(Upgrades!$T$12="Solar Wind",POWER(Upgrades!$U$12,K223),1))+(IF(F223=0,0,(Upgrades!$J$7+F223*Upgrades!$K$7)*POWER(Upgrades!$L$7,F223)))*(IF(Upgrades!$T$6="Asteroid Belt",POWER(Upgrades!$U$6,E223),1)*IF(Upgrades!$T$8="Asteroid Belt",POWER(Upgrades!$U$8,G223),1)*IF(Upgrades!$T$9="Asteroid Belt",POWER(Upgrades!$U$9,H223),1)*IF(Upgrades!$T$10="Asteroid Belt",POWER(Upgrades!$U$10,I223),1)*IF(Upgrades!$T$11="Asteroid Belt",POWER(Upgrades!$U$11,J223),1)*IF(Upgrades!$T$12="Asteroid Belt",POWER(Upgrades!$U$12,K223),1))+(IF(G223=0,0,(Upgrades!$J$8+G223*Upgrades!$K$8)*POWER(Upgrades!$L$8,G223)))*(IF(Upgrades!$T$6="Stellar Coupling",POWER(Upgrades!$U$6,E223),1)*IF(Upgrades!$T$7="Stellar Coupling",POWER(Upgrades!$U$7,F223),1)*IF(Upgrades!$T$9="Stellar Coupling",POWER(Upgrades!$U$9,H223),1)*IF(Upgrades!$T$10="Stellar Coupling",POWER(Upgrades!$U$10,I223),1)*IF(Upgrades!$T$11="Stellar Coupling",POWER(Upgrades!$U$11,J223),1)*IF(Upgrades!$T$12="Stellar Coupling",POWER(Upgrades!$U$12,K223),1))+(IF(H223=0,0,(Upgrades!$J$9+H223*Upgrades!$K$9)*POWER(Upgrades!$L$9,H223)))*(IF(Upgrades!$T$6="Magnetosphere",POWER(Upgrades!$U$6,E223),1)*IF(Upgrades!$T$7="Magnetosphere",POWER(Upgrades!$U$7,F223),1)*IF(Upgrades!$T$8="Magnetosphere",POWER(Upgrades!$U$8,G223),1)*IF(Upgrades!$T$10="Magnetosphere",POWER(Upgrades!$U$10,I223),1)*IF(Upgrades!$T$11="Magnetosphere",POWER(Upgrades!$U$11,J223),1)*IF(Upgrades!$T$12="Magnetosphere",POWER(Upgrades!$U$12,K223),1))+(IF(I223=0,0,(Upgrades!$J$10+I223*Upgrades!$K$10)*POWER(Upgrades!$L$10,I223)))*(IF(Upgrades!$T$6="Orbital Resonance",POWER(Upgrades!$U$6,E223),1)*IF(Upgrades!$T$7="Orbital Resonance",POWER(Upgrades!$U$7,F223),1)*IF(Upgrades!$T$8="Orbital Resonance",POWER(Upgrades!$U$8,G223),1)*IF(Upgrades!$T$9="Orbital Resonance",POWER(Upgrades!$U$9,H223),1)*IF(Upgrades!$T$11="Orbital Resonance",POWER(Upgrades!$U$11,J223),1)*IF(Upgrades!$T$12="Orbital Resonance",POWER(Upgrades!$U$12,K223),1))+(IF(J223=0,0,(Upgrades!$J$11+J223*Upgrades!$K$11)*POWER(Upgrades!$L$11,J223)))*(IF(Upgrades!$T$6="Heliopause",POWER(Upgrades!$U$6,E223),1)*IF(Upgrades!$T$7="Heliopause",POWER(Upgrades!$U$7,F223),1)*IF(Upgrades!$T$8="Heliopause",POWER(Upgrades!$U$8,G223),1)*IF(Upgrades!$T$9="Heliopause",POWER(Upgrades!$U$9,H223),1)*IF(Upgrades!$T$10="Heliopause",POWER(Upgrades!$U$10,I223),1)*IF(Upgrades!$T$12="Heliopause",POWER(Upgrades!$U$12,K223),1))+(IF(K223=0,0,(Upgrades!$J$12+K223*Upgrades!$K$12)*POWER(Upgrades!$L$12,K223)))*(IF(Upgrades!$T$6="First Photons",POWER(Upgrades!$U$6,E223),1)*IF(Upgrades!$T$7="First Photons",POWER(Upgrades!$U$7,F223),1)*IF(Upgrades!$T$8="First Photons",POWER(Upgrades!$U$8,G223),1)*IF(Upgrades!$T$9="First Photons",POWER(Upgrades!$U$9,H223),1)*IF(Upgrades!$T$10="First Photons",POWER(Upgrades!$U$10,I223),1)*IF(Upgrades!$T$11="First Photons",POWER(Upgrades!$U$11,J223),1)))*POWER(Upgrades!$Q$6,E223)*POWER(Upgrades!$Q$7,F223)*POWER(Upgrades!$Q$8,G223)*POWER(Upgrades!$Q$9,H223)*POWER(Upgrades!$Q$10,I223)*POWER(Upgrades!$Q$11,J223)*POWER(Upgrades!$Q$12,K223)</f>
        <v/>
      </c>
      <c r="N223" s="28">
        <f>((IF(E223=0,0,(Upgrades!$G$6+E223*Upgrades!$H$6)*POWER(Upgrades!$I$6,E223)))*(IF(Upgrades!$T$7="Solar Wind",POWER(Upgrades!$U$7,F223),1)*IF(Upgrades!$T$8="Solar Wind",POWER(Upgrades!$U$8,G223),1)*IF(Upgrades!$T$9="Solar Wind",POWER(Upgrades!$U$9,H223),1)*IF(Upgrades!$T$10="Solar Wind",POWER(Upgrades!$U$10,I223),1)*IF(Upgrades!$T$11="Solar Wind",POWER(Upgrades!$U$11,J223),1)*IF(Upgrades!$T$12="Solar Wind",POWER(Upgrades!$U$12,K223),1))+(IF(F223=0,0,(Upgrades!$G$7+F223*Upgrades!$H$7)*POWER(Upgrades!$I$7,F223)))*(IF(Upgrades!$T$6="Asteroid Belt",POWER(Upgrades!$U$6,E223),1)*IF(Upgrades!$T$8="Asteroid Belt",POWER(Upgrades!$U$8,G223),1)*IF(Upgrades!$T$9="Asteroid Belt",POWER(Upgrades!$U$9,H223),1)*IF(Upgrades!$T$10="Asteroid Belt",POWER(Upgrades!$U$10,I223),1)*IF(Upgrades!$T$11="Asteroid Belt",POWER(Upgrades!$U$11,J223),1)*IF(Upgrades!$T$12="Asteroid Belt",POWER(Upgrades!$U$12,K223),1))+(IF(G223=0,0,(Upgrades!$G$8+G223*Upgrades!$H$8)*POWER(Upgrades!$I$8,G223)))*(IF(Upgrades!$T$6="Stellar Coupling",POWER(Upgrades!$U$6,E223),1)*IF(Upgrades!$T$7="Stellar Coupling",POWER(Upgrades!$U$7,F223),1)*IF(Upgrades!$T$9="Stellar Coupling",POWER(Upgrades!$U$9,H223),1)*IF(Upgrades!$T$10="Stellar Coupling",POWER(Upgrades!$U$10,I223),1)*IF(Upgrades!$T$11="Stellar Coupling",POWER(Upgrades!$U$11,J223),1)*IF(Upgrades!$T$12="Stellar Coupling",POWER(Upgrades!$U$12,K223),1))+(IF(H223=0,0,(Upgrades!$G$9+H223*Upgrades!$H$9)*POWER(Upgrades!$I$9,H223)))*(IF(Upgrades!$T$6="Magnetosphere",POWER(Upgrades!$U$6,E223),1)*IF(Upgrades!$T$7="Magnetosphere",POWER(Upgrades!$U$7,F223),1)*IF(Upgrades!$T$8="Magnetosphere",POWER(Upgrades!$U$8,G223),1)*IF(Upgrades!$T$10="Magnetosphere",POWER(Upgrades!$U$10,I223),1)*IF(Upgrades!$T$11="Magnetosphere",POWER(Upgrades!$U$11,J223),1)*IF(Upgrades!$T$12="Magnetosphere",POWER(Upgrades!$U$12,K223),1))+(IF(I223=0,0,(Upgrades!$G$10+I223*Upgrades!$H$10)*POWER(Upgrades!$I$10,I223)))*(IF(Upgrades!$T$6="Orbital Resonance",POWER(Upgrades!$U$6,E223),1)*IF(Upgrades!$T$7="Orbital Resonance",POWER(Upgrades!$U$7,F223),1)*IF(Upgrades!$T$8="Orbital Resonance",POWER(Upgrades!$U$8,G223),1)*IF(Upgrades!$T$9="Orbital Resonance",POWER(Upgrades!$U$9,H223),1)*IF(Upgrades!$T$11="Orbital Resonance",POWER(Upgrades!$U$11,J223),1)*IF(Upgrades!$T$12="Orbital Resonance",POWER(Upgrades!$U$12,K223),1))+(IF(J223=0,0,(Upgrades!$G$11+J223*Upgrades!$H$11)*POWER(Upgrades!$I$11,J223)))*(IF(Upgrades!$T$6="Heliopause",POWER(Upgrades!$U$6,E223),1)*IF(Upgrades!$T$7="Heliopause",POWER(Upgrades!$U$7,F223),1)*IF(Upgrades!$T$8="Heliopause",POWER(Upgrades!$U$8,G223),1)*IF(Upgrades!$T$9="Heliopause",POWER(Upgrades!$U$9,H223),1)*IF(Upgrades!$T$10="Heliopause",POWER(Upgrades!$U$10,I223),1)*IF(Upgrades!$T$12="Heliopause",POWER(Upgrades!$U$12,K223),1))+(IF(K223=0,0,(Upgrades!$G$12+K223*Upgrades!$H$12)*POWER(Upgrades!$I$12,K223)))*(IF(Upgrades!$T$6="First Photons",POWER(Upgrades!$U$6,E223),1)*IF(Upgrades!$T$7="First Photons",POWER(Upgrades!$U$7,F223),1)*IF(Upgrades!$T$8="First Photons",POWER(Upgrades!$U$8,G223),1)*IF(Upgrades!$T$9="First Photons",POWER(Upgrades!$U$9,H223),1)*IF(Upgrades!$T$10="First Photons",POWER(Upgrades!$U$10,I223),1)*IF(Upgrades!$T$11="First Photons",POWER(Upgrades!$U$11,J223),1)))*POWER(Upgrades!$P$6,E223)*POWER(Upgrades!$P$7,F223)*POWER(Upgrades!$P$8,G223)*POWER(Upgrades!$P$9,H223)*POWER(Upgrades!$P$10,I223)*POWER(Upgrades!$P$11,J223)*POWER(Upgrades!$P$12,K223)</f>
        <v/>
      </c>
      <c r="O223" s="28">
        <f>((IF(E223=0,0,(Upgrades!$M$6+E223*Upgrades!$N$6)*POWER(Upgrades!$O$6,E223)))*(IF(Upgrades!$T$7="Solar Wind",POWER(Upgrades!$U$7,F223),1)*IF(Upgrades!$T$8="Solar Wind",POWER(Upgrades!$U$8,G223),1)*IF(Upgrades!$T$9="Solar Wind",POWER(Upgrades!$U$9,H223),1)*IF(Upgrades!$T$10="Solar Wind",POWER(Upgrades!$U$10,I223),1)*IF(Upgrades!$T$11="Solar Wind",POWER(Upgrades!$U$11,J223),1)*IF(Upgrades!$T$12="Solar Wind",POWER(Upgrades!$U$12,K223),1))+(IF(F223=0,0,(Upgrades!$M$7+F223*Upgrades!$N$7)*POWER(Upgrades!$O$7,F223)))*(IF(Upgrades!$T$6="Asteroid Belt",POWER(Upgrades!$U$6,E223),1)*IF(Upgrades!$T$8="Asteroid Belt",POWER(Upgrades!$U$8,G223),1)*IF(Upgrades!$T$9="Asteroid Belt",POWER(Upgrades!$U$9,H223),1)*IF(Upgrades!$T$10="Asteroid Belt",POWER(Upgrades!$U$10,I223),1)*IF(Upgrades!$T$11="Asteroid Belt",POWER(Upgrades!$U$11,J223),1)*IF(Upgrades!$T$12="Asteroid Belt",POWER(Upgrades!$U$12,K223),1))+(IF(G223=0,0,(Upgrades!$M$8+G223*Upgrades!$N$8)*POWER(Upgrades!$O$8,G223)))*(IF(Upgrades!$T$6="Stellar Coupling",POWER(Upgrades!$U$6,E223),1)*IF(Upgrades!$T$7="Stellar Coupling",POWER(Upgrades!$U$7,F223),1)*IF(Upgrades!$T$9="Stellar Coupling",POWER(Upgrades!$U$9,H223),1)*IF(Upgrades!$T$10="Stellar Coupling",POWER(Upgrades!$U$10,I223),1)*IF(Upgrades!$T$11="Stellar Coupling",POWER(Upgrades!$U$11,J223),1)*IF(Upgrades!$T$12="Stellar Coupling",POWER(Upgrades!$U$12,K223),1))+(IF(H223=0,0,(Upgrades!$M$9+H223*Upgrades!$N$9)*POWER(Upgrades!$O$9,H223)))*(IF(Upgrades!$T$6="Magnetosphere",POWER(Upgrades!$U$6,E223),1)*IF(Upgrades!$T$7="Magnetosphere",POWER(Upgrades!$U$7,F223),1)*IF(Upgrades!$T$8="Magnetosphere",POWER(Upgrades!$U$8,G223),1)*IF(Upgrades!$T$10="Magnetosphere",POWER(Upgrades!$U$10,I223),1)*IF(Upgrades!$T$11="Magnetosphere",POWER(Upgrades!$U$11,J223),1)*IF(Upgrades!$T$12="Magnetosphere",POWER(Upgrades!$U$12,K223),1))+(IF(I223=0,0,(Upgrades!$M$10+I223*Upgrades!$N$10)*POWER(Upgrades!$O$10,I223)))*(IF(Upgrades!$T$6="Orbital Resonance",POWER(Upgrades!$U$6,E223),1)*IF(Upgrades!$T$7="Orbital Resonance",POWER(Upgrades!$U$7,F223),1)*IF(Upgrades!$T$8="Orbital Resonance",POWER(Upgrades!$U$8,G223),1)*IF(Upgrades!$T$9="Orbital Resonance",POWER(Upgrades!$U$9,H223),1)*IF(Upgrades!$T$11="Orbital Resonance",POWER(Upgrades!$U$11,J223),1)*IF(Upgrades!$T$12="Orbital Resonance",POWER(Upgrades!$U$12,K223),1))+(IF(J223=0,0,(Upgrades!$M$11+J223*Upgrades!$N$11)*POWER(Upgrades!$O$11,J223)))*(IF(Upgrades!$T$6="Heliopause",POWER(Upgrades!$U$6,E223),1)*IF(Upgrades!$T$7="Heliopause",POWER(Upgrades!$U$7,F223),1)*IF(Upgrades!$T$8="Heliopause",POWER(Upgrades!$U$8,G223),1)*IF(Upgrades!$T$9="Heliopause",POWER(Upgrades!$U$9,H223),1)*IF(Upgrades!$T$10="Heliopause",POWER(Upgrades!$U$10,I223),1)*IF(Upgrades!$T$12="Heliopause",POWER(Upgrades!$U$12,K223),1))+(IF(K223=0,0,(Upgrades!$M$12+K223*Upgrades!$N$12)*POWER(Upgrades!$O$12,K223)))*(IF(Upgrades!$T$6="First Photons",POWER(Upgrades!$U$6,E223),1)*IF(Upgrades!$T$7="First Photons",POWER(Upgrades!$U$7,F223),1)*IF(Upgrades!$T$8="First Photons",POWER(Upgrades!$U$8,G223),1)*IF(Upgrades!$T$9="First Photons",POWER(Upgrades!$U$9,H223),1)*IF(Upgrades!$T$10="First Photons",POWER(Upgrades!$U$10,I223),1)*IF(Upgrades!$T$11="First Photons",POWER(Upgrades!$U$11,J223),1)))*POWER(Upgrades!$R$6,E223)*POWER(Upgrades!$R$7,F223)*POWER(Upgrades!$R$8,G223)*POWER(Upgrades!$R$9,H223)*POWER(Upgrades!$R$10,I223)*POWER(Upgrades!$R$11,J223)*POWER(Upgrades!$R$12,K223)</f>
        <v/>
      </c>
      <c r="P223" s="27">
        <f>IF(L223=1,0,M223*Parameters!$B$10/60*Parameters!$B$11*10)</f>
        <v/>
      </c>
      <c r="Q223" s="27">
        <f>IF(L223=1,0,O223*M223*10)</f>
        <v/>
      </c>
      <c r="R223" s="27">
        <f>IF(L223=1,0,N223*10)</f>
        <v/>
      </c>
      <c r="S223" s="27">
        <f>P223+Q223+R223</f>
        <v/>
      </c>
      <c r="T223" s="22">
        <f>C223+S223</f>
        <v/>
      </c>
      <c r="U223" s="33">
        <f>AX223</f>
        <v/>
      </c>
      <c r="V223" s="22">
        <f>IF(U223="",0,IF(U223="transition",0,IF(U223="SW",AG223,IF(U223="AB",AH223,IF(U223="SC",AI223,IF(U223="Mag",AJ223,IF(U223="OR",AK223,IF(U223="HP",AL223,IF(U223="FP",AM223,0)))))))))</f>
        <v/>
      </c>
      <c r="W223" s="27">
        <f>IF(U223="OR",Upgrades!$F$10,IF(U223="HP",Upgrades!$F$11,IF(U223="transition",-Parameters!$B$18,0)))</f>
        <v/>
      </c>
      <c r="X223" s="22">
        <f>T223-V223</f>
        <v/>
      </c>
      <c r="Y223" s="30">
        <f>M223*Parameters!$B$10/60*Parameters!$B$11+O223*M223+N223</f>
        <v/>
      </c>
      <c r="Z223" s="34">
        <f>IF(U223="transition","→ Tier 2 (Stellar Neighborhood)",IF(U223="FP","First Photons — light begins, system quickens",IF(U223="HP","Heliopause acquired",IF(U223="OR","Orbital Resonance — passive multiplier active",IF(AND(AO223=1,L223=0,AN223&lt;&gt;1),"Cohesion ready (waiting on completionist upgrades)","")))))</f>
        <v/>
      </c>
      <c r="AA223" s="27">
        <f>(IF(E223=0,0,(Upgrades!$G$6+E223*Upgrades!$H$6)*POWER(Upgrades!$I$6,E223)))*(IF(Upgrades!$T$7="Solar Wind",POWER(Upgrades!$U$7,F223),1)*IF(Upgrades!$T$8="Solar Wind",POWER(Upgrades!$U$8,G223),1)*IF(Upgrades!$T$9="Solar Wind",POWER(Upgrades!$U$9,H223),1)*IF(Upgrades!$T$10="Solar Wind",POWER(Upgrades!$U$10,I223),1)*IF(Upgrades!$T$11="Solar Wind",POWER(Upgrades!$U$11,J223),1)*IF(Upgrades!$T$12="Solar Wind",POWER(Upgrades!$U$12,K223),1))*POWER(Upgrades!$P$6,E223)*POWER(Upgrades!$P$7,F223)*POWER(Upgrades!$P$8,G223)*POWER(Upgrades!$P$9,H223)*POWER(Upgrades!$P$10,I223)*POWER(Upgrades!$P$11,J223)*POWER(Upgrades!$P$12,K223)*60</f>
        <v/>
      </c>
      <c r="AB223" s="27">
        <f>(IF(F223=0,0,(Upgrades!$G$7+F223*Upgrades!$H$7)*POWER(Upgrades!$I$7,F223)))*(IF(Upgrades!$T$6="Asteroid Belt",POWER(Upgrades!$U$6,E223),1)*IF(Upgrades!$T$8="Asteroid Belt",POWER(Upgrades!$U$8,G223),1)*IF(Upgrades!$T$9="Asteroid Belt",POWER(Upgrades!$U$9,H223),1)*IF(Upgrades!$T$10="Asteroid Belt",POWER(Upgrades!$U$10,I223),1)*IF(Upgrades!$T$11="Asteroid Belt",POWER(Upgrades!$U$11,J223),1)*IF(Upgrades!$T$12="Asteroid Belt",POWER(Upgrades!$U$12,K223),1))*POWER(Upgrades!$P$6,E223)*POWER(Upgrades!$P$7,F223)*POWER(Upgrades!$P$8,G223)*POWER(Upgrades!$P$9,H223)*POWER(Upgrades!$P$10,I223)*POWER(Upgrades!$P$11,J223)*POWER(Upgrades!$P$12,K223)*60</f>
        <v/>
      </c>
      <c r="AC223" s="27">
        <f>(IF(G223=0,0,(Upgrades!$J$8+G223*Upgrades!$K$8)*POWER(Upgrades!$L$8,G223)))*(IF(Upgrades!$T$6="Stellar Coupling",POWER(Upgrades!$U$6,E223),1)*IF(Upgrades!$T$7="Stellar Coupling",POWER(Upgrades!$U$7,F223),1)*IF(Upgrades!$T$9="Stellar Coupling",POWER(Upgrades!$U$9,H223),1)*IF(Upgrades!$T$10="Stellar Coupling",POWER(Upgrades!$U$10,I223),1)*IF(Upgrades!$T$11="Stellar Coupling",POWER(Upgrades!$U$11,J223),1)*IF(Upgrades!$T$12="Stellar Coupling",POWER(Upgrades!$U$12,K223),1))*POWER(Upgrades!$Q$6,E223)*POWER(Upgrades!$Q$7,F223)*POWER(Upgrades!$Q$8,G223)*POWER(Upgrades!$Q$9,H223)*POWER(Upgrades!$Q$10,I223)*POWER(Upgrades!$Q$11,J223)*POWER(Upgrades!$Q$12,K223)*Parameters!$B$10*Parameters!$B$11</f>
        <v/>
      </c>
      <c r="AD223" s="27">
        <f>(IF(H223=0,0,(Upgrades!$G$9+H223*Upgrades!$H$9)*POWER(Upgrades!$I$9,H223)))*(IF(Upgrades!$T$6="Magnetosphere",POWER(Upgrades!$U$6,E223),1)*IF(Upgrades!$T$7="Magnetosphere",POWER(Upgrades!$U$7,F223),1)*IF(Upgrades!$T$8="Magnetosphere",POWER(Upgrades!$U$8,G223),1)*IF(Upgrades!$T$10="Magnetosphere",POWER(Upgrades!$U$10,I223),1)*IF(Upgrades!$T$11="Magnetosphere",POWER(Upgrades!$U$11,J223),1)*IF(Upgrades!$T$12="Magnetosphere",POWER(Upgrades!$U$12,K223),1))*POWER(Upgrades!$P$6,E223)*POWER(Upgrades!$P$7,F223)*POWER(Upgrades!$P$8,G223)*POWER(Upgrades!$P$9,H223)*POWER(Upgrades!$P$10,I223)*POWER(Upgrades!$P$11,J223)*POWER(Upgrades!$P$12,K223)*60</f>
        <v/>
      </c>
      <c r="AE223" s="27">
        <f>(IF(K223=0,0,(Upgrades!$G$12+K223*Upgrades!$H$12)*POWER(Upgrades!$I$12,K223)))*(IF(Upgrades!$T$6="First Photons",POWER(Upgrades!$U$6,E223),1)*IF(Upgrades!$T$7="First Photons",POWER(Upgrades!$U$7,F223),1)*IF(Upgrades!$T$8="First Photons",POWER(Upgrades!$U$8,G223),1)*IF(Upgrades!$T$9="First Photons",POWER(Upgrades!$U$9,H223),1)*IF(Upgrades!$T$10="First Photons",POWER(Upgrades!$U$10,I223),1)*IF(Upgrades!$T$11="First Photons",POWER(Upgrades!$U$11,J223),1))*POWER(Upgrades!$P$6,E223)*POWER(Upgrades!$P$7,F223)*POWER(Upgrades!$P$8,G223)*POWER(Upgrades!$P$9,H223)*POWER(Upgrades!$P$10,I223)*POWER(Upgrades!$P$11,J223)*POWER(Upgrades!$P$12,K223)*60</f>
        <v/>
      </c>
      <c r="AF223" s="27">
        <f>Parameters!$B$9*POWER(Upgrades!$Q$6,E223)*POWER(Upgrades!$Q$7,F223)*POWER(Upgrades!$Q$8,G223)*POWER(Upgrades!$Q$9,H223)*POWER(Upgrades!$Q$10,I223)*POWER(Upgrades!$Q$11,J223)*POWER(Upgrades!$Q$12,K223)*(Parameters!$B$10*Parameters!$B$11+O223*60)</f>
        <v/>
      </c>
      <c r="AG223" s="22">
        <f>IF(E223&gt;=Upgrades!$E$6,"",Upgrades!$C$6*POWER(Upgrades!$D$6,E223))</f>
        <v/>
      </c>
      <c r="AH223" s="22">
        <f>IF(F223&gt;=Upgrades!$E$7,"",Upgrades!$C$7*POWER(Upgrades!$D$7,F223))</f>
        <v/>
      </c>
      <c r="AI223" s="22">
        <f>IF(G223&gt;=Upgrades!$E$8,"",Upgrades!$C$8*POWER(Upgrades!$D$8,G223))</f>
        <v/>
      </c>
      <c r="AJ223" s="22">
        <f>IF(H223&gt;=Upgrades!$E$9,"",Upgrades!$C$9*POWER(Upgrades!$D$9,H223))</f>
        <v/>
      </c>
      <c r="AK223" s="22">
        <f>IF(I223&gt;=Upgrades!$E$10,"",Upgrades!$C$10*POWER(Upgrades!$D$10,I223))</f>
        <v/>
      </c>
      <c r="AL223" s="22">
        <f>IF(J223&gt;=Upgrades!$E$11,"",Upgrades!$C$11*POWER(Upgrades!$D$11,J223))</f>
        <v/>
      </c>
      <c r="AM223" s="22">
        <f>IF(K223&gt;=Upgrades!$E$12,"",Upgrades!$C$12*POWER(Upgrades!$D$12,K223))</f>
        <v/>
      </c>
      <c r="AN223" s="26">
        <f>IF(AND(D223&gt;=Parameters!$B$18,(H223&gt;=Upgrades!$E$9)*(K223&gt;=Upgrades!$E$12)=1,L223=0),1,"")</f>
        <v/>
      </c>
      <c r="AO223" s="26">
        <f>IF(AND(D223&gt;=Parameters!$B$18,L223=0),1,"")</f>
        <v/>
      </c>
      <c r="AP223" s="22">
        <f>MIN(IF(ISNUMBER(AK223),AK223,9E15),IF(ISNUMBER(AL223),AL223,9E15),IF(ISNUMBER(AM223),AM223,9E15))</f>
        <v/>
      </c>
      <c r="AQ223" s="22">
        <f>MIN(IF(ISNUMBER(AG223),AG223,9E15),IF(ISNUMBER(AH223),AH223,9E15),IF(ISNUMBER(AI223),AI223,9E15),IF(ISNUMBER(AJ223),AJ223,9E15))</f>
        <v/>
      </c>
      <c r="AR223" s="29">
        <f>IF(AW223&gt;Parameters!$B$21*(MAX(IF(AND(NOT(AND(AO223=1,AN223&lt;&gt;1)),ISNUMBER(AG223),AG223&lt;=T223),AS223,0),IF(AND(NOT(AND(AO223=1,AN223&lt;&gt;1)),ISNUMBER(AH223),AH223&lt;=T223),AT223,0),IF(AND(NOT(AND(AO223=1,AN223&lt;&gt;1)),ISNUMBER(AI223),AI223&lt;=T223),AU223,0),IF(AND(ISNUMBER(AJ223),AJ223&lt;=T223),AV223,0))),TRUE,FALSE)</f>
        <v/>
      </c>
      <c r="AS223" s="32">
        <f>IFERROR(Upgrades!$H$6*(POWER(Upgrades!$P$6,E223)*POWER(Upgrades!$P$7,F223)*POWER(Upgrades!$P$8,G223)*POWER(Upgrades!$P$9,H223)*POWER(Upgrades!$P$10,I223)*POWER(Upgrades!$P$11,J223)*POWER(Upgrades!$P$12,K223))*(IF(Upgrades!$T$7="Solar Wind",POWER(Upgrades!$U$7,F223),1)*IF(Upgrades!$T$8="Solar Wind",POWER(Upgrades!$U$8,G223),1)*IF(Upgrades!$T$9="Solar Wind",POWER(Upgrades!$U$9,H223),1)*IF(Upgrades!$T$10="Solar Wind",POWER(Upgrades!$U$10,I223),1)*IF(Upgrades!$T$11="Solar Wind",POWER(Upgrades!$U$11,J223),1)*IF(Upgrades!$T$12="Solar Wind",POWER(Upgrades!$U$12,K223),1))/AG223,0)</f>
        <v/>
      </c>
      <c r="AT223" s="32">
        <f>IFERROR(Upgrades!$H$7*(POWER(Upgrades!$P$6,E223)*POWER(Upgrades!$P$7,F223)*POWER(Upgrades!$P$8,G223)*POWER(Upgrades!$P$9,H223)*POWER(Upgrades!$P$10,I223)*POWER(Upgrades!$P$11,J223)*POWER(Upgrades!$P$12,K223))*(IF(Upgrades!$T$6="Asteroid Belt",POWER(Upgrades!$U$6,E223),1)*IF(Upgrades!$T$8="Asteroid Belt",POWER(Upgrades!$U$8,G223),1)*IF(Upgrades!$T$9="Asteroid Belt",POWER(Upgrades!$U$9,H223),1)*IF(Upgrades!$T$10="Asteroid Belt",POWER(Upgrades!$U$10,I223),1)*IF(Upgrades!$T$11="Asteroid Belt",POWER(Upgrades!$U$11,J223),1)*IF(Upgrades!$T$12="Asteroid Belt",POWER(Upgrades!$U$12,K223),1))/AH223,0)</f>
        <v/>
      </c>
      <c r="AU223" s="32">
        <f>IFERROR(Upgrades!$K$8*(POWER(Upgrades!$Q$6,E223)*POWER(Upgrades!$Q$7,F223)*POWER(Upgrades!$Q$8,G223)*POWER(Upgrades!$Q$9,H223)*POWER(Upgrades!$Q$10,I223)*POWER(Upgrades!$Q$11,J223)*POWER(Upgrades!$Q$12,K223))*(IF(Upgrades!$T$6="Stellar Coupling",POWER(Upgrades!$U$6,E223),1)*IF(Upgrades!$T$7="Stellar Coupling",POWER(Upgrades!$U$7,F223),1)*IF(Upgrades!$T$9="Stellar Coupling",POWER(Upgrades!$U$9,H223),1)*IF(Upgrades!$T$10="Stellar Coupling",POWER(Upgrades!$U$10,I223),1)*IF(Upgrades!$T$11="Stellar Coupling",POWER(Upgrades!$U$11,J223),1)*IF(Upgrades!$T$12="Stellar Coupling",POWER(Upgrades!$U$12,K223),1))*Parameters!$B$10*Parameters!$B$11/60/AI223,0)</f>
        <v/>
      </c>
      <c r="AV223" s="32">
        <f>IFERROR(Upgrades!$H$9*(POWER(Upgrades!$P$6,E223)*POWER(Upgrades!$P$7,F223)*POWER(Upgrades!$P$8,G223)*POWER(Upgrades!$P$9,H223)*POWER(Upgrades!$P$10,I223)*POWER(Upgrades!$P$11,J223)*POWER(Upgrades!$P$12,K223))*(IF(Upgrades!$T$6="Magnetosphere",POWER(Upgrades!$U$6,E223),1)*IF(Upgrades!$T$7="Magnetosphere",POWER(Upgrades!$U$7,F223),1)*IF(Upgrades!$T$8="Magnetosphere",POWER(Upgrades!$U$8,G223),1)*IF(Upgrades!$T$10="Magnetosphere",POWER(Upgrades!$U$10,I223),1)*IF(Upgrades!$T$11="Magnetosphere",POWER(Upgrades!$U$11,J223),1)*IF(Upgrades!$T$12="Magnetosphere",POWER(Upgrades!$U$12,K223),1))/AJ223,0)</f>
        <v/>
      </c>
      <c r="AW223" s="32">
        <f>MAX(IF(I223&gt;0,0,IFERROR(0.25*N223/Upgrades!$C$10,0)),IF(J223&gt;0,0,IFERROR(0.5*((IF(G223=0,0,(Upgrades!$J$8+G223*Upgrades!$K$8)*POWER(Upgrades!$L$8,G223)))*(IF(Upgrades!$T$6="Stellar Coupling",POWER(Upgrades!$U$6,E223),1)*IF(Upgrades!$T$7="Stellar Coupling",POWER(Upgrades!$U$7,F223),1)*IF(Upgrades!$T$9="Stellar Coupling",POWER(Upgrades!$U$9,H223),1)*IF(Upgrades!$T$10="Stellar Coupling",POWER(Upgrades!$U$10,I223),1)*IF(Upgrades!$T$11="Stellar Coupling",POWER(Upgrades!$U$11,J223),1)*IF(Upgrades!$T$12="Stellar Coupling",POWER(Upgrades!$U$12,K223),1))*(POWER(Upgrades!$Q$6,E223)*POWER(Upgrades!$Q$7,F223)*POWER(Upgrades!$Q$8,G223)*POWER(Upgrades!$Q$9,H223)*POWER(Upgrades!$Q$10,I223)*POWER(Upgrades!$Q$11,J223)*POWER(Upgrades!$Q$12,K223))*Parameters!$B$10*Parameters!$B$11/60)/Upgrades!$C$11,0)),IF(K223&gt;0,0,IFERROR((1.0*(POWER(Upgrades!$P$6,E223)*POWER(Upgrades!$P$7,F223)*POWER(Upgrades!$P$8,G223)*POWER(Upgrades!$P$9,H223)*POWER(Upgrades!$P$10,I223)*POWER(Upgrades!$P$11,J223)*POWER(Upgrades!$P$12,K223))+0.20*M223*Parameters!$B$10*Parameters!$B$11/60)/Upgrades!$C$12,0)),IF(AND(ISNUMBER(AG223),AG223&gt;T223),AS223,0),IF(AND(ISNUMBER(AH223),AH223&gt;T223),AT223,0),IF(AND(ISNUMBER(AI223),AI223&gt;T223),AU223,0),IF(AND(ISNUMBER(AJ223),AJ223&gt;T223),AV223,0))</f>
        <v/>
      </c>
      <c r="AX223" s="29">
        <f>IF(AN223=1,"transition",IF(MIN(IF(AND(I223=0,ISNUMBER(AK223),AK223&lt;=T223),AK223,9E15),IF(AND(J223=0,ISNUMBER(AL223),AL223&lt;=T223),AL223,9E15),IF(AND(K223=0,ISNUMBER(AM223),AM223&lt;=T223),AM223,9E15))&lt;9E15,IF(AND(AND(I223=0,ISNUMBER(AK223),AK223&lt;=T223),AK223=MIN(IF(AND(I223=0,ISNUMBER(AK223),AK223&lt;=T223),AK223,9E15),IF(AND(J223=0,ISNUMBER(AL223),AL223&lt;=T223),AL223,9E15),IF(AND(K223=0,ISNUMBER(AM223),AM223&lt;=T223),AM223,9E15))),"OR",IF(AND(AND(J223=0,ISNUMBER(AL223),AL223&lt;=T223),AL223=MIN(IF(AND(I223=0,ISNUMBER(AK223),AK223&lt;=T223),AK223,9E15),IF(AND(J223=0,ISNUMBER(AL223),AL223&lt;=T223),AL223,9E15),IF(AND(K223=0,ISNUMBER(AM223),AM223&lt;=T223),AM223,9E15))),"HP","FP")),IF(AR223=TRUE,"",IF(MAX(IF(AND(NOT(AND(AO223=1,AN223&lt;&gt;1)),ISNUMBER(AG223),AG223&lt;=T223),AS223,0),IF(AND(NOT(AND(AO223=1,AN223&lt;&gt;1)),ISNUMBER(AH223),AH223&lt;=T223),AT223,0),IF(AND(NOT(AND(AO223=1,AN223&lt;&gt;1)),ISNUMBER(AI223),AI223&lt;=T223),AU223,0),IF(AND(ISNUMBER(AJ223),AJ223&lt;=T223),AV223,0))&lt;=0,"",IF(AND(IF(AND(NOT(AND(AO223=1,AN223&lt;&gt;1)),ISNUMBER(AG223),AG223&lt;=T223),AS223,0)&gt;0,IF(AND(NOT(AND(AO223=1,AN223&lt;&gt;1)),ISNUMBER(AG223),AG223&lt;=T223),AS223,0)=MAX(IF(AND(NOT(AND(AO223=1,AN223&lt;&gt;1)),ISNUMBER(AG223),AG223&lt;=T223),AS223,0),IF(AND(NOT(AND(AO223=1,AN223&lt;&gt;1)),ISNUMBER(AH223),AH223&lt;=T223),AT223,0),IF(AND(NOT(AND(AO223=1,AN223&lt;&gt;1)),ISNUMBER(AI223),AI223&lt;=T223),AU223,0),IF(AND(ISNUMBER(AJ223),AJ223&lt;=T223),AV223,0))),"SW",IF(AND(IF(AND(NOT(AND(AO223=1,AN223&lt;&gt;1)),ISNUMBER(AH223),AH223&lt;=T223),AT223,0)&gt;0,IF(AND(NOT(AND(AO223=1,AN223&lt;&gt;1)),ISNUMBER(AH223),AH223&lt;=T223),AT223,0)=MAX(IF(AND(NOT(AND(AO223=1,AN223&lt;&gt;1)),ISNUMBER(AG223),AG223&lt;=T223),AS223,0),IF(AND(NOT(AND(AO223=1,AN223&lt;&gt;1)),ISNUMBER(AH223),AH223&lt;=T223),AT223,0),IF(AND(NOT(AND(AO223=1,AN223&lt;&gt;1)),ISNUMBER(AI223),AI223&lt;=T223),AU223,0),IF(AND(ISNUMBER(AJ223),AJ223&lt;=T223),AV223,0))),"AB",IF(AND(IF(AND(NOT(AND(AO223=1,AN223&lt;&gt;1)),ISNUMBER(AI223),AI223&lt;=T223),AU223,0)&gt;0,IF(AND(NOT(AND(AO223=1,AN223&lt;&gt;1)),ISNUMBER(AI223),AI223&lt;=T223),AU223,0)=MAX(IF(AND(NOT(AND(AO223=1,AN223&lt;&gt;1)),ISNUMBER(AG223),AG223&lt;=T223),AS223,0),IF(AND(NOT(AND(AO223=1,AN223&lt;&gt;1)),ISNUMBER(AH223),AH223&lt;=T223),AT223,0),IF(AND(NOT(AND(AO223=1,AN223&lt;&gt;1)),ISNUMBER(AI223),AI223&lt;=T223),AU223,0),IF(AND(ISNUMBER(AJ223),AJ223&lt;=T223),AV223,0))),"SC","Mag")))))))</f>
        <v/>
      </c>
    </row>
    <row r="224">
      <c r="A224" s="26" t="n">
        <v>219</v>
      </c>
      <c r="B224" s="27">
        <f>A224*10/60</f>
        <v/>
      </c>
      <c r="C224" s="22">
        <f>X223</f>
        <v/>
      </c>
      <c r="D224" s="27">
        <f>D223+W223</f>
        <v/>
      </c>
      <c r="E224" s="26">
        <f>E223+IF(U223="SW",1,0)</f>
        <v/>
      </c>
      <c r="F224" s="26">
        <f>F223+IF(U223="AB",1,0)</f>
        <v/>
      </c>
      <c r="G224" s="26">
        <f>G223+IF(U223="SC",1,0)</f>
        <v/>
      </c>
      <c r="H224" s="26">
        <f>H223+IF(U223="Mag",1,0)</f>
        <v/>
      </c>
      <c r="I224" s="26">
        <f>MAX(I223,IF(U223="OR",1,0))</f>
        <v/>
      </c>
      <c r="J224" s="26">
        <f>MAX(J223,IF(U223="HP",1,0))</f>
        <v/>
      </c>
      <c r="K224" s="26">
        <f>MAX(K223,IF(U223="FP",1,0))</f>
        <v/>
      </c>
      <c r="L224" s="26">
        <f>MAX(L223,IF(U223="transition",1,0))</f>
        <v/>
      </c>
      <c r="M224" s="28">
        <f>(Parameters!$B$9+(IF(E224=0,0,(Upgrades!$J$6+E224*Upgrades!$K$6)*POWER(Upgrades!$L$6,E224)))*(IF(Upgrades!$T$7="Solar Wind",POWER(Upgrades!$U$7,F224),1)*IF(Upgrades!$T$8="Solar Wind",POWER(Upgrades!$U$8,G224),1)*IF(Upgrades!$T$9="Solar Wind",POWER(Upgrades!$U$9,H224),1)*IF(Upgrades!$T$10="Solar Wind",POWER(Upgrades!$U$10,I224),1)*IF(Upgrades!$T$11="Solar Wind",POWER(Upgrades!$U$11,J224),1)*IF(Upgrades!$T$12="Solar Wind",POWER(Upgrades!$U$12,K224),1))+(IF(F224=0,0,(Upgrades!$J$7+F224*Upgrades!$K$7)*POWER(Upgrades!$L$7,F224)))*(IF(Upgrades!$T$6="Asteroid Belt",POWER(Upgrades!$U$6,E224),1)*IF(Upgrades!$T$8="Asteroid Belt",POWER(Upgrades!$U$8,G224),1)*IF(Upgrades!$T$9="Asteroid Belt",POWER(Upgrades!$U$9,H224),1)*IF(Upgrades!$T$10="Asteroid Belt",POWER(Upgrades!$U$10,I224),1)*IF(Upgrades!$T$11="Asteroid Belt",POWER(Upgrades!$U$11,J224),1)*IF(Upgrades!$T$12="Asteroid Belt",POWER(Upgrades!$U$12,K224),1))+(IF(G224=0,0,(Upgrades!$J$8+G224*Upgrades!$K$8)*POWER(Upgrades!$L$8,G224)))*(IF(Upgrades!$T$6="Stellar Coupling",POWER(Upgrades!$U$6,E224),1)*IF(Upgrades!$T$7="Stellar Coupling",POWER(Upgrades!$U$7,F224),1)*IF(Upgrades!$T$9="Stellar Coupling",POWER(Upgrades!$U$9,H224),1)*IF(Upgrades!$T$10="Stellar Coupling",POWER(Upgrades!$U$10,I224),1)*IF(Upgrades!$T$11="Stellar Coupling",POWER(Upgrades!$U$11,J224),1)*IF(Upgrades!$T$12="Stellar Coupling",POWER(Upgrades!$U$12,K224),1))+(IF(H224=0,0,(Upgrades!$J$9+H224*Upgrades!$K$9)*POWER(Upgrades!$L$9,H224)))*(IF(Upgrades!$T$6="Magnetosphere",POWER(Upgrades!$U$6,E224),1)*IF(Upgrades!$T$7="Magnetosphere",POWER(Upgrades!$U$7,F224),1)*IF(Upgrades!$T$8="Magnetosphere",POWER(Upgrades!$U$8,G224),1)*IF(Upgrades!$T$10="Magnetosphere",POWER(Upgrades!$U$10,I224),1)*IF(Upgrades!$T$11="Magnetosphere",POWER(Upgrades!$U$11,J224),1)*IF(Upgrades!$T$12="Magnetosphere",POWER(Upgrades!$U$12,K224),1))+(IF(I224=0,0,(Upgrades!$J$10+I224*Upgrades!$K$10)*POWER(Upgrades!$L$10,I224)))*(IF(Upgrades!$T$6="Orbital Resonance",POWER(Upgrades!$U$6,E224),1)*IF(Upgrades!$T$7="Orbital Resonance",POWER(Upgrades!$U$7,F224),1)*IF(Upgrades!$T$8="Orbital Resonance",POWER(Upgrades!$U$8,G224),1)*IF(Upgrades!$T$9="Orbital Resonance",POWER(Upgrades!$U$9,H224),1)*IF(Upgrades!$T$11="Orbital Resonance",POWER(Upgrades!$U$11,J224),1)*IF(Upgrades!$T$12="Orbital Resonance",POWER(Upgrades!$U$12,K224),1))+(IF(J224=0,0,(Upgrades!$J$11+J224*Upgrades!$K$11)*POWER(Upgrades!$L$11,J224)))*(IF(Upgrades!$T$6="Heliopause",POWER(Upgrades!$U$6,E224),1)*IF(Upgrades!$T$7="Heliopause",POWER(Upgrades!$U$7,F224),1)*IF(Upgrades!$T$8="Heliopause",POWER(Upgrades!$U$8,G224),1)*IF(Upgrades!$T$9="Heliopause",POWER(Upgrades!$U$9,H224),1)*IF(Upgrades!$T$10="Heliopause",POWER(Upgrades!$U$10,I224),1)*IF(Upgrades!$T$12="Heliopause",POWER(Upgrades!$U$12,K224),1))+(IF(K224=0,0,(Upgrades!$J$12+K224*Upgrades!$K$12)*POWER(Upgrades!$L$12,K224)))*(IF(Upgrades!$T$6="First Photons",POWER(Upgrades!$U$6,E224),1)*IF(Upgrades!$T$7="First Photons",POWER(Upgrades!$U$7,F224),1)*IF(Upgrades!$T$8="First Photons",POWER(Upgrades!$U$8,G224),1)*IF(Upgrades!$T$9="First Photons",POWER(Upgrades!$U$9,H224),1)*IF(Upgrades!$T$10="First Photons",POWER(Upgrades!$U$10,I224),1)*IF(Upgrades!$T$11="First Photons",POWER(Upgrades!$U$11,J224),1)))*POWER(Upgrades!$Q$6,E224)*POWER(Upgrades!$Q$7,F224)*POWER(Upgrades!$Q$8,G224)*POWER(Upgrades!$Q$9,H224)*POWER(Upgrades!$Q$10,I224)*POWER(Upgrades!$Q$11,J224)*POWER(Upgrades!$Q$12,K224)</f>
        <v/>
      </c>
      <c r="N224" s="28">
        <f>((IF(E224=0,0,(Upgrades!$G$6+E224*Upgrades!$H$6)*POWER(Upgrades!$I$6,E224)))*(IF(Upgrades!$T$7="Solar Wind",POWER(Upgrades!$U$7,F224),1)*IF(Upgrades!$T$8="Solar Wind",POWER(Upgrades!$U$8,G224),1)*IF(Upgrades!$T$9="Solar Wind",POWER(Upgrades!$U$9,H224),1)*IF(Upgrades!$T$10="Solar Wind",POWER(Upgrades!$U$10,I224),1)*IF(Upgrades!$T$11="Solar Wind",POWER(Upgrades!$U$11,J224),1)*IF(Upgrades!$T$12="Solar Wind",POWER(Upgrades!$U$12,K224),1))+(IF(F224=0,0,(Upgrades!$G$7+F224*Upgrades!$H$7)*POWER(Upgrades!$I$7,F224)))*(IF(Upgrades!$T$6="Asteroid Belt",POWER(Upgrades!$U$6,E224),1)*IF(Upgrades!$T$8="Asteroid Belt",POWER(Upgrades!$U$8,G224),1)*IF(Upgrades!$T$9="Asteroid Belt",POWER(Upgrades!$U$9,H224),1)*IF(Upgrades!$T$10="Asteroid Belt",POWER(Upgrades!$U$10,I224),1)*IF(Upgrades!$T$11="Asteroid Belt",POWER(Upgrades!$U$11,J224),1)*IF(Upgrades!$T$12="Asteroid Belt",POWER(Upgrades!$U$12,K224),1))+(IF(G224=0,0,(Upgrades!$G$8+G224*Upgrades!$H$8)*POWER(Upgrades!$I$8,G224)))*(IF(Upgrades!$T$6="Stellar Coupling",POWER(Upgrades!$U$6,E224),1)*IF(Upgrades!$T$7="Stellar Coupling",POWER(Upgrades!$U$7,F224),1)*IF(Upgrades!$T$9="Stellar Coupling",POWER(Upgrades!$U$9,H224),1)*IF(Upgrades!$T$10="Stellar Coupling",POWER(Upgrades!$U$10,I224),1)*IF(Upgrades!$T$11="Stellar Coupling",POWER(Upgrades!$U$11,J224),1)*IF(Upgrades!$T$12="Stellar Coupling",POWER(Upgrades!$U$12,K224),1))+(IF(H224=0,0,(Upgrades!$G$9+H224*Upgrades!$H$9)*POWER(Upgrades!$I$9,H224)))*(IF(Upgrades!$T$6="Magnetosphere",POWER(Upgrades!$U$6,E224),1)*IF(Upgrades!$T$7="Magnetosphere",POWER(Upgrades!$U$7,F224),1)*IF(Upgrades!$T$8="Magnetosphere",POWER(Upgrades!$U$8,G224),1)*IF(Upgrades!$T$10="Magnetosphere",POWER(Upgrades!$U$10,I224),1)*IF(Upgrades!$T$11="Magnetosphere",POWER(Upgrades!$U$11,J224),1)*IF(Upgrades!$T$12="Magnetosphere",POWER(Upgrades!$U$12,K224),1))+(IF(I224=0,0,(Upgrades!$G$10+I224*Upgrades!$H$10)*POWER(Upgrades!$I$10,I224)))*(IF(Upgrades!$T$6="Orbital Resonance",POWER(Upgrades!$U$6,E224),1)*IF(Upgrades!$T$7="Orbital Resonance",POWER(Upgrades!$U$7,F224),1)*IF(Upgrades!$T$8="Orbital Resonance",POWER(Upgrades!$U$8,G224),1)*IF(Upgrades!$T$9="Orbital Resonance",POWER(Upgrades!$U$9,H224),1)*IF(Upgrades!$T$11="Orbital Resonance",POWER(Upgrades!$U$11,J224),1)*IF(Upgrades!$T$12="Orbital Resonance",POWER(Upgrades!$U$12,K224),1))+(IF(J224=0,0,(Upgrades!$G$11+J224*Upgrades!$H$11)*POWER(Upgrades!$I$11,J224)))*(IF(Upgrades!$T$6="Heliopause",POWER(Upgrades!$U$6,E224),1)*IF(Upgrades!$T$7="Heliopause",POWER(Upgrades!$U$7,F224),1)*IF(Upgrades!$T$8="Heliopause",POWER(Upgrades!$U$8,G224),1)*IF(Upgrades!$T$9="Heliopause",POWER(Upgrades!$U$9,H224),1)*IF(Upgrades!$T$10="Heliopause",POWER(Upgrades!$U$10,I224),1)*IF(Upgrades!$T$12="Heliopause",POWER(Upgrades!$U$12,K224),1))+(IF(K224=0,0,(Upgrades!$G$12+K224*Upgrades!$H$12)*POWER(Upgrades!$I$12,K224)))*(IF(Upgrades!$T$6="First Photons",POWER(Upgrades!$U$6,E224),1)*IF(Upgrades!$T$7="First Photons",POWER(Upgrades!$U$7,F224),1)*IF(Upgrades!$T$8="First Photons",POWER(Upgrades!$U$8,G224),1)*IF(Upgrades!$T$9="First Photons",POWER(Upgrades!$U$9,H224),1)*IF(Upgrades!$T$10="First Photons",POWER(Upgrades!$U$10,I224),1)*IF(Upgrades!$T$11="First Photons",POWER(Upgrades!$U$11,J224),1)))*POWER(Upgrades!$P$6,E224)*POWER(Upgrades!$P$7,F224)*POWER(Upgrades!$P$8,G224)*POWER(Upgrades!$P$9,H224)*POWER(Upgrades!$P$10,I224)*POWER(Upgrades!$P$11,J224)*POWER(Upgrades!$P$12,K224)</f>
        <v/>
      </c>
      <c r="O224" s="28">
        <f>((IF(E224=0,0,(Upgrades!$M$6+E224*Upgrades!$N$6)*POWER(Upgrades!$O$6,E224)))*(IF(Upgrades!$T$7="Solar Wind",POWER(Upgrades!$U$7,F224),1)*IF(Upgrades!$T$8="Solar Wind",POWER(Upgrades!$U$8,G224),1)*IF(Upgrades!$T$9="Solar Wind",POWER(Upgrades!$U$9,H224),1)*IF(Upgrades!$T$10="Solar Wind",POWER(Upgrades!$U$10,I224),1)*IF(Upgrades!$T$11="Solar Wind",POWER(Upgrades!$U$11,J224),1)*IF(Upgrades!$T$12="Solar Wind",POWER(Upgrades!$U$12,K224),1))+(IF(F224=0,0,(Upgrades!$M$7+F224*Upgrades!$N$7)*POWER(Upgrades!$O$7,F224)))*(IF(Upgrades!$T$6="Asteroid Belt",POWER(Upgrades!$U$6,E224),1)*IF(Upgrades!$T$8="Asteroid Belt",POWER(Upgrades!$U$8,G224),1)*IF(Upgrades!$T$9="Asteroid Belt",POWER(Upgrades!$U$9,H224),1)*IF(Upgrades!$T$10="Asteroid Belt",POWER(Upgrades!$U$10,I224),1)*IF(Upgrades!$T$11="Asteroid Belt",POWER(Upgrades!$U$11,J224),1)*IF(Upgrades!$T$12="Asteroid Belt",POWER(Upgrades!$U$12,K224),1))+(IF(G224=0,0,(Upgrades!$M$8+G224*Upgrades!$N$8)*POWER(Upgrades!$O$8,G224)))*(IF(Upgrades!$T$6="Stellar Coupling",POWER(Upgrades!$U$6,E224),1)*IF(Upgrades!$T$7="Stellar Coupling",POWER(Upgrades!$U$7,F224),1)*IF(Upgrades!$T$9="Stellar Coupling",POWER(Upgrades!$U$9,H224),1)*IF(Upgrades!$T$10="Stellar Coupling",POWER(Upgrades!$U$10,I224),1)*IF(Upgrades!$T$11="Stellar Coupling",POWER(Upgrades!$U$11,J224),1)*IF(Upgrades!$T$12="Stellar Coupling",POWER(Upgrades!$U$12,K224),1))+(IF(H224=0,0,(Upgrades!$M$9+H224*Upgrades!$N$9)*POWER(Upgrades!$O$9,H224)))*(IF(Upgrades!$T$6="Magnetosphere",POWER(Upgrades!$U$6,E224),1)*IF(Upgrades!$T$7="Magnetosphere",POWER(Upgrades!$U$7,F224),1)*IF(Upgrades!$T$8="Magnetosphere",POWER(Upgrades!$U$8,G224),1)*IF(Upgrades!$T$10="Magnetosphere",POWER(Upgrades!$U$10,I224),1)*IF(Upgrades!$T$11="Magnetosphere",POWER(Upgrades!$U$11,J224),1)*IF(Upgrades!$T$12="Magnetosphere",POWER(Upgrades!$U$12,K224),1))+(IF(I224=0,0,(Upgrades!$M$10+I224*Upgrades!$N$10)*POWER(Upgrades!$O$10,I224)))*(IF(Upgrades!$T$6="Orbital Resonance",POWER(Upgrades!$U$6,E224),1)*IF(Upgrades!$T$7="Orbital Resonance",POWER(Upgrades!$U$7,F224),1)*IF(Upgrades!$T$8="Orbital Resonance",POWER(Upgrades!$U$8,G224),1)*IF(Upgrades!$T$9="Orbital Resonance",POWER(Upgrades!$U$9,H224),1)*IF(Upgrades!$T$11="Orbital Resonance",POWER(Upgrades!$U$11,J224),1)*IF(Upgrades!$T$12="Orbital Resonance",POWER(Upgrades!$U$12,K224),1))+(IF(J224=0,0,(Upgrades!$M$11+J224*Upgrades!$N$11)*POWER(Upgrades!$O$11,J224)))*(IF(Upgrades!$T$6="Heliopause",POWER(Upgrades!$U$6,E224),1)*IF(Upgrades!$T$7="Heliopause",POWER(Upgrades!$U$7,F224),1)*IF(Upgrades!$T$8="Heliopause",POWER(Upgrades!$U$8,G224),1)*IF(Upgrades!$T$9="Heliopause",POWER(Upgrades!$U$9,H224),1)*IF(Upgrades!$T$10="Heliopause",POWER(Upgrades!$U$10,I224),1)*IF(Upgrades!$T$12="Heliopause",POWER(Upgrades!$U$12,K224),1))+(IF(K224=0,0,(Upgrades!$M$12+K224*Upgrades!$N$12)*POWER(Upgrades!$O$12,K224)))*(IF(Upgrades!$T$6="First Photons",POWER(Upgrades!$U$6,E224),1)*IF(Upgrades!$T$7="First Photons",POWER(Upgrades!$U$7,F224),1)*IF(Upgrades!$T$8="First Photons",POWER(Upgrades!$U$8,G224),1)*IF(Upgrades!$T$9="First Photons",POWER(Upgrades!$U$9,H224),1)*IF(Upgrades!$T$10="First Photons",POWER(Upgrades!$U$10,I224),1)*IF(Upgrades!$T$11="First Photons",POWER(Upgrades!$U$11,J224),1)))*POWER(Upgrades!$R$6,E224)*POWER(Upgrades!$R$7,F224)*POWER(Upgrades!$R$8,G224)*POWER(Upgrades!$R$9,H224)*POWER(Upgrades!$R$10,I224)*POWER(Upgrades!$R$11,J224)*POWER(Upgrades!$R$12,K224)</f>
        <v/>
      </c>
      <c r="P224" s="27">
        <f>IF(L224=1,0,M224*Parameters!$B$10/60*Parameters!$B$11*10)</f>
        <v/>
      </c>
      <c r="Q224" s="27">
        <f>IF(L224=1,0,O224*M224*10)</f>
        <v/>
      </c>
      <c r="R224" s="27">
        <f>IF(L224=1,0,N224*10)</f>
        <v/>
      </c>
      <c r="S224" s="27">
        <f>P224+Q224+R224</f>
        <v/>
      </c>
      <c r="T224" s="22">
        <f>C224+S224</f>
        <v/>
      </c>
      <c r="U224" s="33">
        <f>AX224</f>
        <v/>
      </c>
      <c r="V224" s="22">
        <f>IF(U224="",0,IF(U224="transition",0,IF(U224="SW",AG224,IF(U224="AB",AH224,IF(U224="SC",AI224,IF(U224="Mag",AJ224,IF(U224="OR",AK224,IF(U224="HP",AL224,IF(U224="FP",AM224,0)))))))))</f>
        <v/>
      </c>
      <c r="W224" s="27">
        <f>IF(U224="OR",Upgrades!$F$10,IF(U224="HP",Upgrades!$F$11,IF(U224="transition",-Parameters!$B$18,0)))</f>
        <v/>
      </c>
      <c r="X224" s="22">
        <f>T224-V224</f>
        <v/>
      </c>
      <c r="Y224" s="30">
        <f>M224*Parameters!$B$10/60*Parameters!$B$11+O224*M224+N224</f>
        <v/>
      </c>
      <c r="Z224" s="34">
        <f>IF(U224="transition","→ Tier 2 (Stellar Neighborhood)",IF(U224="FP","First Photons — light begins, system quickens",IF(U224="HP","Heliopause acquired",IF(U224="OR","Orbital Resonance — passive multiplier active",IF(AND(AO224=1,L224=0,AN224&lt;&gt;1),"Cohesion ready (waiting on completionist upgrades)","")))))</f>
        <v/>
      </c>
      <c r="AA224" s="27">
        <f>(IF(E224=0,0,(Upgrades!$G$6+E224*Upgrades!$H$6)*POWER(Upgrades!$I$6,E224)))*(IF(Upgrades!$T$7="Solar Wind",POWER(Upgrades!$U$7,F224),1)*IF(Upgrades!$T$8="Solar Wind",POWER(Upgrades!$U$8,G224),1)*IF(Upgrades!$T$9="Solar Wind",POWER(Upgrades!$U$9,H224),1)*IF(Upgrades!$T$10="Solar Wind",POWER(Upgrades!$U$10,I224),1)*IF(Upgrades!$T$11="Solar Wind",POWER(Upgrades!$U$11,J224),1)*IF(Upgrades!$T$12="Solar Wind",POWER(Upgrades!$U$12,K224),1))*POWER(Upgrades!$P$6,E224)*POWER(Upgrades!$P$7,F224)*POWER(Upgrades!$P$8,G224)*POWER(Upgrades!$P$9,H224)*POWER(Upgrades!$P$10,I224)*POWER(Upgrades!$P$11,J224)*POWER(Upgrades!$P$12,K224)*60</f>
        <v/>
      </c>
      <c r="AB224" s="27">
        <f>(IF(F224=0,0,(Upgrades!$G$7+F224*Upgrades!$H$7)*POWER(Upgrades!$I$7,F224)))*(IF(Upgrades!$T$6="Asteroid Belt",POWER(Upgrades!$U$6,E224),1)*IF(Upgrades!$T$8="Asteroid Belt",POWER(Upgrades!$U$8,G224),1)*IF(Upgrades!$T$9="Asteroid Belt",POWER(Upgrades!$U$9,H224),1)*IF(Upgrades!$T$10="Asteroid Belt",POWER(Upgrades!$U$10,I224),1)*IF(Upgrades!$T$11="Asteroid Belt",POWER(Upgrades!$U$11,J224),1)*IF(Upgrades!$T$12="Asteroid Belt",POWER(Upgrades!$U$12,K224),1))*POWER(Upgrades!$P$6,E224)*POWER(Upgrades!$P$7,F224)*POWER(Upgrades!$P$8,G224)*POWER(Upgrades!$P$9,H224)*POWER(Upgrades!$P$10,I224)*POWER(Upgrades!$P$11,J224)*POWER(Upgrades!$P$12,K224)*60</f>
        <v/>
      </c>
      <c r="AC224" s="27">
        <f>(IF(G224=0,0,(Upgrades!$J$8+G224*Upgrades!$K$8)*POWER(Upgrades!$L$8,G224)))*(IF(Upgrades!$T$6="Stellar Coupling",POWER(Upgrades!$U$6,E224),1)*IF(Upgrades!$T$7="Stellar Coupling",POWER(Upgrades!$U$7,F224),1)*IF(Upgrades!$T$9="Stellar Coupling",POWER(Upgrades!$U$9,H224),1)*IF(Upgrades!$T$10="Stellar Coupling",POWER(Upgrades!$U$10,I224),1)*IF(Upgrades!$T$11="Stellar Coupling",POWER(Upgrades!$U$11,J224),1)*IF(Upgrades!$T$12="Stellar Coupling",POWER(Upgrades!$U$12,K224),1))*POWER(Upgrades!$Q$6,E224)*POWER(Upgrades!$Q$7,F224)*POWER(Upgrades!$Q$8,G224)*POWER(Upgrades!$Q$9,H224)*POWER(Upgrades!$Q$10,I224)*POWER(Upgrades!$Q$11,J224)*POWER(Upgrades!$Q$12,K224)*Parameters!$B$10*Parameters!$B$11</f>
        <v/>
      </c>
      <c r="AD224" s="27">
        <f>(IF(H224=0,0,(Upgrades!$G$9+H224*Upgrades!$H$9)*POWER(Upgrades!$I$9,H224)))*(IF(Upgrades!$T$6="Magnetosphere",POWER(Upgrades!$U$6,E224),1)*IF(Upgrades!$T$7="Magnetosphere",POWER(Upgrades!$U$7,F224),1)*IF(Upgrades!$T$8="Magnetosphere",POWER(Upgrades!$U$8,G224),1)*IF(Upgrades!$T$10="Magnetosphere",POWER(Upgrades!$U$10,I224),1)*IF(Upgrades!$T$11="Magnetosphere",POWER(Upgrades!$U$11,J224),1)*IF(Upgrades!$T$12="Magnetosphere",POWER(Upgrades!$U$12,K224),1))*POWER(Upgrades!$P$6,E224)*POWER(Upgrades!$P$7,F224)*POWER(Upgrades!$P$8,G224)*POWER(Upgrades!$P$9,H224)*POWER(Upgrades!$P$10,I224)*POWER(Upgrades!$P$11,J224)*POWER(Upgrades!$P$12,K224)*60</f>
        <v/>
      </c>
      <c r="AE224" s="27">
        <f>(IF(K224=0,0,(Upgrades!$G$12+K224*Upgrades!$H$12)*POWER(Upgrades!$I$12,K224)))*(IF(Upgrades!$T$6="First Photons",POWER(Upgrades!$U$6,E224),1)*IF(Upgrades!$T$7="First Photons",POWER(Upgrades!$U$7,F224),1)*IF(Upgrades!$T$8="First Photons",POWER(Upgrades!$U$8,G224),1)*IF(Upgrades!$T$9="First Photons",POWER(Upgrades!$U$9,H224),1)*IF(Upgrades!$T$10="First Photons",POWER(Upgrades!$U$10,I224),1)*IF(Upgrades!$T$11="First Photons",POWER(Upgrades!$U$11,J224),1))*POWER(Upgrades!$P$6,E224)*POWER(Upgrades!$P$7,F224)*POWER(Upgrades!$P$8,G224)*POWER(Upgrades!$P$9,H224)*POWER(Upgrades!$P$10,I224)*POWER(Upgrades!$P$11,J224)*POWER(Upgrades!$P$12,K224)*60</f>
        <v/>
      </c>
      <c r="AF224" s="27">
        <f>Parameters!$B$9*POWER(Upgrades!$Q$6,E224)*POWER(Upgrades!$Q$7,F224)*POWER(Upgrades!$Q$8,G224)*POWER(Upgrades!$Q$9,H224)*POWER(Upgrades!$Q$10,I224)*POWER(Upgrades!$Q$11,J224)*POWER(Upgrades!$Q$12,K224)*(Parameters!$B$10*Parameters!$B$11+O224*60)</f>
        <v/>
      </c>
      <c r="AG224" s="22">
        <f>IF(E224&gt;=Upgrades!$E$6,"",Upgrades!$C$6*POWER(Upgrades!$D$6,E224))</f>
        <v/>
      </c>
      <c r="AH224" s="22">
        <f>IF(F224&gt;=Upgrades!$E$7,"",Upgrades!$C$7*POWER(Upgrades!$D$7,F224))</f>
        <v/>
      </c>
      <c r="AI224" s="22">
        <f>IF(G224&gt;=Upgrades!$E$8,"",Upgrades!$C$8*POWER(Upgrades!$D$8,G224))</f>
        <v/>
      </c>
      <c r="AJ224" s="22">
        <f>IF(H224&gt;=Upgrades!$E$9,"",Upgrades!$C$9*POWER(Upgrades!$D$9,H224))</f>
        <v/>
      </c>
      <c r="AK224" s="22">
        <f>IF(I224&gt;=Upgrades!$E$10,"",Upgrades!$C$10*POWER(Upgrades!$D$10,I224))</f>
        <v/>
      </c>
      <c r="AL224" s="22">
        <f>IF(J224&gt;=Upgrades!$E$11,"",Upgrades!$C$11*POWER(Upgrades!$D$11,J224))</f>
        <v/>
      </c>
      <c r="AM224" s="22">
        <f>IF(K224&gt;=Upgrades!$E$12,"",Upgrades!$C$12*POWER(Upgrades!$D$12,K224))</f>
        <v/>
      </c>
      <c r="AN224" s="26">
        <f>IF(AND(D224&gt;=Parameters!$B$18,(H224&gt;=Upgrades!$E$9)*(K224&gt;=Upgrades!$E$12)=1,L224=0),1,"")</f>
        <v/>
      </c>
      <c r="AO224" s="26">
        <f>IF(AND(D224&gt;=Parameters!$B$18,L224=0),1,"")</f>
        <v/>
      </c>
      <c r="AP224" s="22">
        <f>MIN(IF(ISNUMBER(AK224),AK224,9E15),IF(ISNUMBER(AL224),AL224,9E15),IF(ISNUMBER(AM224),AM224,9E15))</f>
        <v/>
      </c>
      <c r="AQ224" s="22">
        <f>MIN(IF(ISNUMBER(AG224),AG224,9E15),IF(ISNUMBER(AH224),AH224,9E15),IF(ISNUMBER(AI224),AI224,9E15),IF(ISNUMBER(AJ224),AJ224,9E15))</f>
        <v/>
      </c>
      <c r="AR224" s="29">
        <f>IF(AW224&gt;Parameters!$B$21*(MAX(IF(AND(NOT(AND(AO224=1,AN224&lt;&gt;1)),ISNUMBER(AG224),AG224&lt;=T224),AS224,0),IF(AND(NOT(AND(AO224=1,AN224&lt;&gt;1)),ISNUMBER(AH224),AH224&lt;=T224),AT224,0),IF(AND(NOT(AND(AO224=1,AN224&lt;&gt;1)),ISNUMBER(AI224),AI224&lt;=T224),AU224,0),IF(AND(ISNUMBER(AJ224),AJ224&lt;=T224),AV224,0))),TRUE,FALSE)</f>
        <v/>
      </c>
      <c r="AS224" s="32">
        <f>IFERROR(Upgrades!$H$6*(POWER(Upgrades!$P$6,E224)*POWER(Upgrades!$P$7,F224)*POWER(Upgrades!$P$8,G224)*POWER(Upgrades!$P$9,H224)*POWER(Upgrades!$P$10,I224)*POWER(Upgrades!$P$11,J224)*POWER(Upgrades!$P$12,K224))*(IF(Upgrades!$T$7="Solar Wind",POWER(Upgrades!$U$7,F224),1)*IF(Upgrades!$T$8="Solar Wind",POWER(Upgrades!$U$8,G224),1)*IF(Upgrades!$T$9="Solar Wind",POWER(Upgrades!$U$9,H224),1)*IF(Upgrades!$T$10="Solar Wind",POWER(Upgrades!$U$10,I224),1)*IF(Upgrades!$T$11="Solar Wind",POWER(Upgrades!$U$11,J224),1)*IF(Upgrades!$T$12="Solar Wind",POWER(Upgrades!$U$12,K224),1))/AG224,0)</f>
        <v/>
      </c>
      <c r="AT224" s="32">
        <f>IFERROR(Upgrades!$H$7*(POWER(Upgrades!$P$6,E224)*POWER(Upgrades!$P$7,F224)*POWER(Upgrades!$P$8,G224)*POWER(Upgrades!$P$9,H224)*POWER(Upgrades!$P$10,I224)*POWER(Upgrades!$P$11,J224)*POWER(Upgrades!$P$12,K224))*(IF(Upgrades!$T$6="Asteroid Belt",POWER(Upgrades!$U$6,E224),1)*IF(Upgrades!$T$8="Asteroid Belt",POWER(Upgrades!$U$8,G224),1)*IF(Upgrades!$T$9="Asteroid Belt",POWER(Upgrades!$U$9,H224),1)*IF(Upgrades!$T$10="Asteroid Belt",POWER(Upgrades!$U$10,I224),1)*IF(Upgrades!$T$11="Asteroid Belt",POWER(Upgrades!$U$11,J224),1)*IF(Upgrades!$T$12="Asteroid Belt",POWER(Upgrades!$U$12,K224),1))/AH224,0)</f>
        <v/>
      </c>
      <c r="AU224" s="32">
        <f>IFERROR(Upgrades!$K$8*(POWER(Upgrades!$Q$6,E224)*POWER(Upgrades!$Q$7,F224)*POWER(Upgrades!$Q$8,G224)*POWER(Upgrades!$Q$9,H224)*POWER(Upgrades!$Q$10,I224)*POWER(Upgrades!$Q$11,J224)*POWER(Upgrades!$Q$12,K224))*(IF(Upgrades!$T$6="Stellar Coupling",POWER(Upgrades!$U$6,E224),1)*IF(Upgrades!$T$7="Stellar Coupling",POWER(Upgrades!$U$7,F224),1)*IF(Upgrades!$T$9="Stellar Coupling",POWER(Upgrades!$U$9,H224),1)*IF(Upgrades!$T$10="Stellar Coupling",POWER(Upgrades!$U$10,I224),1)*IF(Upgrades!$T$11="Stellar Coupling",POWER(Upgrades!$U$11,J224),1)*IF(Upgrades!$T$12="Stellar Coupling",POWER(Upgrades!$U$12,K224),1))*Parameters!$B$10*Parameters!$B$11/60/AI224,0)</f>
        <v/>
      </c>
      <c r="AV224" s="32">
        <f>IFERROR(Upgrades!$H$9*(POWER(Upgrades!$P$6,E224)*POWER(Upgrades!$P$7,F224)*POWER(Upgrades!$P$8,G224)*POWER(Upgrades!$P$9,H224)*POWER(Upgrades!$P$10,I224)*POWER(Upgrades!$P$11,J224)*POWER(Upgrades!$P$12,K224))*(IF(Upgrades!$T$6="Magnetosphere",POWER(Upgrades!$U$6,E224),1)*IF(Upgrades!$T$7="Magnetosphere",POWER(Upgrades!$U$7,F224),1)*IF(Upgrades!$T$8="Magnetosphere",POWER(Upgrades!$U$8,G224),1)*IF(Upgrades!$T$10="Magnetosphere",POWER(Upgrades!$U$10,I224),1)*IF(Upgrades!$T$11="Magnetosphere",POWER(Upgrades!$U$11,J224),1)*IF(Upgrades!$T$12="Magnetosphere",POWER(Upgrades!$U$12,K224),1))/AJ224,0)</f>
        <v/>
      </c>
      <c r="AW224" s="32">
        <f>MAX(IF(I224&gt;0,0,IFERROR(0.25*N224/Upgrades!$C$10,0)),IF(J224&gt;0,0,IFERROR(0.5*((IF(G224=0,0,(Upgrades!$J$8+G224*Upgrades!$K$8)*POWER(Upgrades!$L$8,G224)))*(IF(Upgrades!$T$6="Stellar Coupling",POWER(Upgrades!$U$6,E224),1)*IF(Upgrades!$T$7="Stellar Coupling",POWER(Upgrades!$U$7,F224),1)*IF(Upgrades!$T$9="Stellar Coupling",POWER(Upgrades!$U$9,H224),1)*IF(Upgrades!$T$10="Stellar Coupling",POWER(Upgrades!$U$10,I224),1)*IF(Upgrades!$T$11="Stellar Coupling",POWER(Upgrades!$U$11,J224),1)*IF(Upgrades!$T$12="Stellar Coupling",POWER(Upgrades!$U$12,K224),1))*(POWER(Upgrades!$Q$6,E224)*POWER(Upgrades!$Q$7,F224)*POWER(Upgrades!$Q$8,G224)*POWER(Upgrades!$Q$9,H224)*POWER(Upgrades!$Q$10,I224)*POWER(Upgrades!$Q$11,J224)*POWER(Upgrades!$Q$12,K224))*Parameters!$B$10*Parameters!$B$11/60)/Upgrades!$C$11,0)),IF(K224&gt;0,0,IFERROR((1.0*(POWER(Upgrades!$P$6,E224)*POWER(Upgrades!$P$7,F224)*POWER(Upgrades!$P$8,G224)*POWER(Upgrades!$P$9,H224)*POWER(Upgrades!$P$10,I224)*POWER(Upgrades!$P$11,J224)*POWER(Upgrades!$P$12,K224))+0.20*M224*Parameters!$B$10*Parameters!$B$11/60)/Upgrades!$C$12,0)),IF(AND(ISNUMBER(AG224),AG224&gt;T224),AS224,0),IF(AND(ISNUMBER(AH224),AH224&gt;T224),AT224,0),IF(AND(ISNUMBER(AI224),AI224&gt;T224),AU224,0),IF(AND(ISNUMBER(AJ224),AJ224&gt;T224),AV224,0))</f>
        <v/>
      </c>
      <c r="AX224" s="29">
        <f>IF(AN224=1,"transition",IF(MIN(IF(AND(I224=0,ISNUMBER(AK224),AK224&lt;=T224),AK224,9E15),IF(AND(J224=0,ISNUMBER(AL224),AL224&lt;=T224),AL224,9E15),IF(AND(K224=0,ISNUMBER(AM224),AM224&lt;=T224),AM224,9E15))&lt;9E15,IF(AND(AND(I224=0,ISNUMBER(AK224),AK224&lt;=T224),AK224=MIN(IF(AND(I224=0,ISNUMBER(AK224),AK224&lt;=T224),AK224,9E15),IF(AND(J224=0,ISNUMBER(AL224),AL224&lt;=T224),AL224,9E15),IF(AND(K224=0,ISNUMBER(AM224),AM224&lt;=T224),AM224,9E15))),"OR",IF(AND(AND(J224=0,ISNUMBER(AL224),AL224&lt;=T224),AL224=MIN(IF(AND(I224=0,ISNUMBER(AK224),AK224&lt;=T224),AK224,9E15),IF(AND(J224=0,ISNUMBER(AL224),AL224&lt;=T224),AL224,9E15),IF(AND(K224=0,ISNUMBER(AM224),AM224&lt;=T224),AM224,9E15))),"HP","FP")),IF(AR224=TRUE,"",IF(MAX(IF(AND(NOT(AND(AO224=1,AN224&lt;&gt;1)),ISNUMBER(AG224),AG224&lt;=T224),AS224,0),IF(AND(NOT(AND(AO224=1,AN224&lt;&gt;1)),ISNUMBER(AH224),AH224&lt;=T224),AT224,0),IF(AND(NOT(AND(AO224=1,AN224&lt;&gt;1)),ISNUMBER(AI224),AI224&lt;=T224),AU224,0),IF(AND(ISNUMBER(AJ224),AJ224&lt;=T224),AV224,0))&lt;=0,"",IF(AND(IF(AND(NOT(AND(AO224=1,AN224&lt;&gt;1)),ISNUMBER(AG224),AG224&lt;=T224),AS224,0)&gt;0,IF(AND(NOT(AND(AO224=1,AN224&lt;&gt;1)),ISNUMBER(AG224),AG224&lt;=T224),AS224,0)=MAX(IF(AND(NOT(AND(AO224=1,AN224&lt;&gt;1)),ISNUMBER(AG224),AG224&lt;=T224),AS224,0),IF(AND(NOT(AND(AO224=1,AN224&lt;&gt;1)),ISNUMBER(AH224),AH224&lt;=T224),AT224,0),IF(AND(NOT(AND(AO224=1,AN224&lt;&gt;1)),ISNUMBER(AI224),AI224&lt;=T224),AU224,0),IF(AND(ISNUMBER(AJ224),AJ224&lt;=T224),AV224,0))),"SW",IF(AND(IF(AND(NOT(AND(AO224=1,AN224&lt;&gt;1)),ISNUMBER(AH224),AH224&lt;=T224),AT224,0)&gt;0,IF(AND(NOT(AND(AO224=1,AN224&lt;&gt;1)),ISNUMBER(AH224),AH224&lt;=T224),AT224,0)=MAX(IF(AND(NOT(AND(AO224=1,AN224&lt;&gt;1)),ISNUMBER(AG224),AG224&lt;=T224),AS224,0),IF(AND(NOT(AND(AO224=1,AN224&lt;&gt;1)),ISNUMBER(AH224),AH224&lt;=T224),AT224,0),IF(AND(NOT(AND(AO224=1,AN224&lt;&gt;1)),ISNUMBER(AI224),AI224&lt;=T224),AU224,0),IF(AND(ISNUMBER(AJ224),AJ224&lt;=T224),AV224,0))),"AB",IF(AND(IF(AND(NOT(AND(AO224=1,AN224&lt;&gt;1)),ISNUMBER(AI224),AI224&lt;=T224),AU224,0)&gt;0,IF(AND(NOT(AND(AO224=1,AN224&lt;&gt;1)),ISNUMBER(AI224),AI224&lt;=T224),AU224,0)=MAX(IF(AND(NOT(AND(AO224=1,AN224&lt;&gt;1)),ISNUMBER(AG224),AG224&lt;=T224),AS224,0),IF(AND(NOT(AND(AO224=1,AN224&lt;&gt;1)),ISNUMBER(AH224),AH224&lt;=T224),AT224,0),IF(AND(NOT(AND(AO224=1,AN224&lt;&gt;1)),ISNUMBER(AI224),AI224&lt;=T224),AU224,0),IF(AND(ISNUMBER(AJ224),AJ224&lt;=T224),AV224,0))),"SC","Mag")))))))</f>
        <v/>
      </c>
    </row>
    <row r="225">
      <c r="A225" s="26" t="n">
        <v>220</v>
      </c>
      <c r="B225" s="27">
        <f>A225*10/60</f>
        <v/>
      </c>
      <c r="C225" s="22">
        <f>X224</f>
        <v/>
      </c>
      <c r="D225" s="27">
        <f>D224+W224</f>
        <v/>
      </c>
      <c r="E225" s="26">
        <f>E224+IF(U224="SW",1,0)</f>
        <v/>
      </c>
      <c r="F225" s="26">
        <f>F224+IF(U224="AB",1,0)</f>
        <v/>
      </c>
      <c r="G225" s="26">
        <f>G224+IF(U224="SC",1,0)</f>
        <v/>
      </c>
      <c r="H225" s="26">
        <f>H224+IF(U224="Mag",1,0)</f>
        <v/>
      </c>
      <c r="I225" s="26">
        <f>MAX(I224,IF(U224="OR",1,0))</f>
        <v/>
      </c>
      <c r="J225" s="26">
        <f>MAX(J224,IF(U224="HP",1,0))</f>
        <v/>
      </c>
      <c r="K225" s="26">
        <f>MAX(K224,IF(U224="FP",1,0))</f>
        <v/>
      </c>
      <c r="L225" s="26">
        <f>MAX(L224,IF(U224="transition",1,0))</f>
        <v/>
      </c>
      <c r="M225" s="28">
        <f>(Parameters!$B$9+(IF(E225=0,0,(Upgrades!$J$6+E225*Upgrades!$K$6)*POWER(Upgrades!$L$6,E225)))*(IF(Upgrades!$T$7="Solar Wind",POWER(Upgrades!$U$7,F225),1)*IF(Upgrades!$T$8="Solar Wind",POWER(Upgrades!$U$8,G225),1)*IF(Upgrades!$T$9="Solar Wind",POWER(Upgrades!$U$9,H225),1)*IF(Upgrades!$T$10="Solar Wind",POWER(Upgrades!$U$10,I225),1)*IF(Upgrades!$T$11="Solar Wind",POWER(Upgrades!$U$11,J225),1)*IF(Upgrades!$T$12="Solar Wind",POWER(Upgrades!$U$12,K225),1))+(IF(F225=0,0,(Upgrades!$J$7+F225*Upgrades!$K$7)*POWER(Upgrades!$L$7,F225)))*(IF(Upgrades!$T$6="Asteroid Belt",POWER(Upgrades!$U$6,E225),1)*IF(Upgrades!$T$8="Asteroid Belt",POWER(Upgrades!$U$8,G225),1)*IF(Upgrades!$T$9="Asteroid Belt",POWER(Upgrades!$U$9,H225),1)*IF(Upgrades!$T$10="Asteroid Belt",POWER(Upgrades!$U$10,I225),1)*IF(Upgrades!$T$11="Asteroid Belt",POWER(Upgrades!$U$11,J225),1)*IF(Upgrades!$T$12="Asteroid Belt",POWER(Upgrades!$U$12,K225),1))+(IF(G225=0,0,(Upgrades!$J$8+G225*Upgrades!$K$8)*POWER(Upgrades!$L$8,G225)))*(IF(Upgrades!$T$6="Stellar Coupling",POWER(Upgrades!$U$6,E225),1)*IF(Upgrades!$T$7="Stellar Coupling",POWER(Upgrades!$U$7,F225),1)*IF(Upgrades!$T$9="Stellar Coupling",POWER(Upgrades!$U$9,H225),1)*IF(Upgrades!$T$10="Stellar Coupling",POWER(Upgrades!$U$10,I225),1)*IF(Upgrades!$T$11="Stellar Coupling",POWER(Upgrades!$U$11,J225),1)*IF(Upgrades!$T$12="Stellar Coupling",POWER(Upgrades!$U$12,K225),1))+(IF(H225=0,0,(Upgrades!$J$9+H225*Upgrades!$K$9)*POWER(Upgrades!$L$9,H225)))*(IF(Upgrades!$T$6="Magnetosphere",POWER(Upgrades!$U$6,E225),1)*IF(Upgrades!$T$7="Magnetosphere",POWER(Upgrades!$U$7,F225),1)*IF(Upgrades!$T$8="Magnetosphere",POWER(Upgrades!$U$8,G225),1)*IF(Upgrades!$T$10="Magnetosphere",POWER(Upgrades!$U$10,I225),1)*IF(Upgrades!$T$11="Magnetosphere",POWER(Upgrades!$U$11,J225),1)*IF(Upgrades!$T$12="Magnetosphere",POWER(Upgrades!$U$12,K225),1))+(IF(I225=0,0,(Upgrades!$J$10+I225*Upgrades!$K$10)*POWER(Upgrades!$L$10,I225)))*(IF(Upgrades!$T$6="Orbital Resonance",POWER(Upgrades!$U$6,E225),1)*IF(Upgrades!$T$7="Orbital Resonance",POWER(Upgrades!$U$7,F225),1)*IF(Upgrades!$T$8="Orbital Resonance",POWER(Upgrades!$U$8,G225),1)*IF(Upgrades!$T$9="Orbital Resonance",POWER(Upgrades!$U$9,H225),1)*IF(Upgrades!$T$11="Orbital Resonance",POWER(Upgrades!$U$11,J225),1)*IF(Upgrades!$T$12="Orbital Resonance",POWER(Upgrades!$U$12,K225),1))+(IF(J225=0,0,(Upgrades!$J$11+J225*Upgrades!$K$11)*POWER(Upgrades!$L$11,J225)))*(IF(Upgrades!$T$6="Heliopause",POWER(Upgrades!$U$6,E225),1)*IF(Upgrades!$T$7="Heliopause",POWER(Upgrades!$U$7,F225),1)*IF(Upgrades!$T$8="Heliopause",POWER(Upgrades!$U$8,G225),1)*IF(Upgrades!$T$9="Heliopause",POWER(Upgrades!$U$9,H225),1)*IF(Upgrades!$T$10="Heliopause",POWER(Upgrades!$U$10,I225),1)*IF(Upgrades!$T$12="Heliopause",POWER(Upgrades!$U$12,K225),1))+(IF(K225=0,0,(Upgrades!$J$12+K225*Upgrades!$K$12)*POWER(Upgrades!$L$12,K225)))*(IF(Upgrades!$T$6="First Photons",POWER(Upgrades!$U$6,E225),1)*IF(Upgrades!$T$7="First Photons",POWER(Upgrades!$U$7,F225),1)*IF(Upgrades!$T$8="First Photons",POWER(Upgrades!$U$8,G225),1)*IF(Upgrades!$T$9="First Photons",POWER(Upgrades!$U$9,H225),1)*IF(Upgrades!$T$10="First Photons",POWER(Upgrades!$U$10,I225),1)*IF(Upgrades!$T$11="First Photons",POWER(Upgrades!$U$11,J225),1)))*POWER(Upgrades!$Q$6,E225)*POWER(Upgrades!$Q$7,F225)*POWER(Upgrades!$Q$8,G225)*POWER(Upgrades!$Q$9,H225)*POWER(Upgrades!$Q$10,I225)*POWER(Upgrades!$Q$11,J225)*POWER(Upgrades!$Q$12,K225)</f>
        <v/>
      </c>
      <c r="N225" s="28">
        <f>((IF(E225=0,0,(Upgrades!$G$6+E225*Upgrades!$H$6)*POWER(Upgrades!$I$6,E225)))*(IF(Upgrades!$T$7="Solar Wind",POWER(Upgrades!$U$7,F225),1)*IF(Upgrades!$T$8="Solar Wind",POWER(Upgrades!$U$8,G225),1)*IF(Upgrades!$T$9="Solar Wind",POWER(Upgrades!$U$9,H225),1)*IF(Upgrades!$T$10="Solar Wind",POWER(Upgrades!$U$10,I225),1)*IF(Upgrades!$T$11="Solar Wind",POWER(Upgrades!$U$11,J225),1)*IF(Upgrades!$T$12="Solar Wind",POWER(Upgrades!$U$12,K225),1))+(IF(F225=0,0,(Upgrades!$G$7+F225*Upgrades!$H$7)*POWER(Upgrades!$I$7,F225)))*(IF(Upgrades!$T$6="Asteroid Belt",POWER(Upgrades!$U$6,E225),1)*IF(Upgrades!$T$8="Asteroid Belt",POWER(Upgrades!$U$8,G225),1)*IF(Upgrades!$T$9="Asteroid Belt",POWER(Upgrades!$U$9,H225),1)*IF(Upgrades!$T$10="Asteroid Belt",POWER(Upgrades!$U$10,I225),1)*IF(Upgrades!$T$11="Asteroid Belt",POWER(Upgrades!$U$11,J225),1)*IF(Upgrades!$T$12="Asteroid Belt",POWER(Upgrades!$U$12,K225),1))+(IF(G225=0,0,(Upgrades!$G$8+G225*Upgrades!$H$8)*POWER(Upgrades!$I$8,G225)))*(IF(Upgrades!$T$6="Stellar Coupling",POWER(Upgrades!$U$6,E225),1)*IF(Upgrades!$T$7="Stellar Coupling",POWER(Upgrades!$U$7,F225),1)*IF(Upgrades!$T$9="Stellar Coupling",POWER(Upgrades!$U$9,H225),1)*IF(Upgrades!$T$10="Stellar Coupling",POWER(Upgrades!$U$10,I225),1)*IF(Upgrades!$T$11="Stellar Coupling",POWER(Upgrades!$U$11,J225),1)*IF(Upgrades!$T$12="Stellar Coupling",POWER(Upgrades!$U$12,K225),1))+(IF(H225=0,0,(Upgrades!$G$9+H225*Upgrades!$H$9)*POWER(Upgrades!$I$9,H225)))*(IF(Upgrades!$T$6="Magnetosphere",POWER(Upgrades!$U$6,E225),1)*IF(Upgrades!$T$7="Magnetosphere",POWER(Upgrades!$U$7,F225),1)*IF(Upgrades!$T$8="Magnetosphere",POWER(Upgrades!$U$8,G225),1)*IF(Upgrades!$T$10="Magnetosphere",POWER(Upgrades!$U$10,I225),1)*IF(Upgrades!$T$11="Magnetosphere",POWER(Upgrades!$U$11,J225),1)*IF(Upgrades!$T$12="Magnetosphere",POWER(Upgrades!$U$12,K225),1))+(IF(I225=0,0,(Upgrades!$G$10+I225*Upgrades!$H$10)*POWER(Upgrades!$I$10,I225)))*(IF(Upgrades!$T$6="Orbital Resonance",POWER(Upgrades!$U$6,E225),1)*IF(Upgrades!$T$7="Orbital Resonance",POWER(Upgrades!$U$7,F225),1)*IF(Upgrades!$T$8="Orbital Resonance",POWER(Upgrades!$U$8,G225),1)*IF(Upgrades!$T$9="Orbital Resonance",POWER(Upgrades!$U$9,H225),1)*IF(Upgrades!$T$11="Orbital Resonance",POWER(Upgrades!$U$11,J225),1)*IF(Upgrades!$T$12="Orbital Resonance",POWER(Upgrades!$U$12,K225),1))+(IF(J225=0,0,(Upgrades!$G$11+J225*Upgrades!$H$11)*POWER(Upgrades!$I$11,J225)))*(IF(Upgrades!$T$6="Heliopause",POWER(Upgrades!$U$6,E225),1)*IF(Upgrades!$T$7="Heliopause",POWER(Upgrades!$U$7,F225),1)*IF(Upgrades!$T$8="Heliopause",POWER(Upgrades!$U$8,G225),1)*IF(Upgrades!$T$9="Heliopause",POWER(Upgrades!$U$9,H225),1)*IF(Upgrades!$T$10="Heliopause",POWER(Upgrades!$U$10,I225),1)*IF(Upgrades!$T$12="Heliopause",POWER(Upgrades!$U$12,K225),1))+(IF(K225=0,0,(Upgrades!$G$12+K225*Upgrades!$H$12)*POWER(Upgrades!$I$12,K225)))*(IF(Upgrades!$T$6="First Photons",POWER(Upgrades!$U$6,E225),1)*IF(Upgrades!$T$7="First Photons",POWER(Upgrades!$U$7,F225),1)*IF(Upgrades!$T$8="First Photons",POWER(Upgrades!$U$8,G225),1)*IF(Upgrades!$T$9="First Photons",POWER(Upgrades!$U$9,H225),1)*IF(Upgrades!$T$10="First Photons",POWER(Upgrades!$U$10,I225),1)*IF(Upgrades!$T$11="First Photons",POWER(Upgrades!$U$11,J225),1)))*POWER(Upgrades!$P$6,E225)*POWER(Upgrades!$P$7,F225)*POWER(Upgrades!$P$8,G225)*POWER(Upgrades!$P$9,H225)*POWER(Upgrades!$P$10,I225)*POWER(Upgrades!$P$11,J225)*POWER(Upgrades!$P$12,K225)</f>
        <v/>
      </c>
      <c r="O225" s="28">
        <f>((IF(E225=0,0,(Upgrades!$M$6+E225*Upgrades!$N$6)*POWER(Upgrades!$O$6,E225)))*(IF(Upgrades!$T$7="Solar Wind",POWER(Upgrades!$U$7,F225),1)*IF(Upgrades!$T$8="Solar Wind",POWER(Upgrades!$U$8,G225),1)*IF(Upgrades!$T$9="Solar Wind",POWER(Upgrades!$U$9,H225),1)*IF(Upgrades!$T$10="Solar Wind",POWER(Upgrades!$U$10,I225),1)*IF(Upgrades!$T$11="Solar Wind",POWER(Upgrades!$U$11,J225),1)*IF(Upgrades!$T$12="Solar Wind",POWER(Upgrades!$U$12,K225),1))+(IF(F225=0,0,(Upgrades!$M$7+F225*Upgrades!$N$7)*POWER(Upgrades!$O$7,F225)))*(IF(Upgrades!$T$6="Asteroid Belt",POWER(Upgrades!$U$6,E225),1)*IF(Upgrades!$T$8="Asteroid Belt",POWER(Upgrades!$U$8,G225),1)*IF(Upgrades!$T$9="Asteroid Belt",POWER(Upgrades!$U$9,H225),1)*IF(Upgrades!$T$10="Asteroid Belt",POWER(Upgrades!$U$10,I225),1)*IF(Upgrades!$T$11="Asteroid Belt",POWER(Upgrades!$U$11,J225),1)*IF(Upgrades!$T$12="Asteroid Belt",POWER(Upgrades!$U$12,K225),1))+(IF(G225=0,0,(Upgrades!$M$8+G225*Upgrades!$N$8)*POWER(Upgrades!$O$8,G225)))*(IF(Upgrades!$T$6="Stellar Coupling",POWER(Upgrades!$U$6,E225),1)*IF(Upgrades!$T$7="Stellar Coupling",POWER(Upgrades!$U$7,F225),1)*IF(Upgrades!$T$9="Stellar Coupling",POWER(Upgrades!$U$9,H225),1)*IF(Upgrades!$T$10="Stellar Coupling",POWER(Upgrades!$U$10,I225),1)*IF(Upgrades!$T$11="Stellar Coupling",POWER(Upgrades!$U$11,J225),1)*IF(Upgrades!$T$12="Stellar Coupling",POWER(Upgrades!$U$12,K225),1))+(IF(H225=0,0,(Upgrades!$M$9+H225*Upgrades!$N$9)*POWER(Upgrades!$O$9,H225)))*(IF(Upgrades!$T$6="Magnetosphere",POWER(Upgrades!$U$6,E225),1)*IF(Upgrades!$T$7="Magnetosphere",POWER(Upgrades!$U$7,F225),1)*IF(Upgrades!$T$8="Magnetosphere",POWER(Upgrades!$U$8,G225),1)*IF(Upgrades!$T$10="Magnetosphere",POWER(Upgrades!$U$10,I225),1)*IF(Upgrades!$T$11="Magnetosphere",POWER(Upgrades!$U$11,J225),1)*IF(Upgrades!$T$12="Magnetosphere",POWER(Upgrades!$U$12,K225),1))+(IF(I225=0,0,(Upgrades!$M$10+I225*Upgrades!$N$10)*POWER(Upgrades!$O$10,I225)))*(IF(Upgrades!$T$6="Orbital Resonance",POWER(Upgrades!$U$6,E225),1)*IF(Upgrades!$T$7="Orbital Resonance",POWER(Upgrades!$U$7,F225),1)*IF(Upgrades!$T$8="Orbital Resonance",POWER(Upgrades!$U$8,G225),1)*IF(Upgrades!$T$9="Orbital Resonance",POWER(Upgrades!$U$9,H225),1)*IF(Upgrades!$T$11="Orbital Resonance",POWER(Upgrades!$U$11,J225),1)*IF(Upgrades!$T$12="Orbital Resonance",POWER(Upgrades!$U$12,K225),1))+(IF(J225=0,0,(Upgrades!$M$11+J225*Upgrades!$N$11)*POWER(Upgrades!$O$11,J225)))*(IF(Upgrades!$T$6="Heliopause",POWER(Upgrades!$U$6,E225),1)*IF(Upgrades!$T$7="Heliopause",POWER(Upgrades!$U$7,F225),1)*IF(Upgrades!$T$8="Heliopause",POWER(Upgrades!$U$8,G225),1)*IF(Upgrades!$T$9="Heliopause",POWER(Upgrades!$U$9,H225),1)*IF(Upgrades!$T$10="Heliopause",POWER(Upgrades!$U$10,I225),1)*IF(Upgrades!$T$12="Heliopause",POWER(Upgrades!$U$12,K225),1))+(IF(K225=0,0,(Upgrades!$M$12+K225*Upgrades!$N$12)*POWER(Upgrades!$O$12,K225)))*(IF(Upgrades!$T$6="First Photons",POWER(Upgrades!$U$6,E225),1)*IF(Upgrades!$T$7="First Photons",POWER(Upgrades!$U$7,F225),1)*IF(Upgrades!$T$8="First Photons",POWER(Upgrades!$U$8,G225),1)*IF(Upgrades!$T$9="First Photons",POWER(Upgrades!$U$9,H225),1)*IF(Upgrades!$T$10="First Photons",POWER(Upgrades!$U$10,I225),1)*IF(Upgrades!$T$11="First Photons",POWER(Upgrades!$U$11,J225),1)))*POWER(Upgrades!$R$6,E225)*POWER(Upgrades!$R$7,F225)*POWER(Upgrades!$R$8,G225)*POWER(Upgrades!$R$9,H225)*POWER(Upgrades!$R$10,I225)*POWER(Upgrades!$R$11,J225)*POWER(Upgrades!$R$12,K225)</f>
        <v/>
      </c>
      <c r="P225" s="27">
        <f>IF(L225=1,0,M225*Parameters!$B$10/60*Parameters!$B$11*10)</f>
        <v/>
      </c>
      <c r="Q225" s="27">
        <f>IF(L225=1,0,O225*M225*10)</f>
        <v/>
      </c>
      <c r="R225" s="27">
        <f>IF(L225=1,0,N225*10)</f>
        <v/>
      </c>
      <c r="S225" s="27">
        <f>P225+Q225+R225</f>
        <v/>
      </c>
      <c r="T225" s="22">
        <f>C225+S225</f>
        <v/>
      </c>
      <c r="U225" s="33">
        <f>AX225</f>
        <v/>
      </c>
      <c r="V225" s="22">
        <f>IF(U225="",0,IF(U225="transition",0,IF(U225="SW",AG225,IF(U225="AB",AH225,IF(U225="SC",AI225,IF(U225="Mag",AJ225,IF(U225="OR",AK225,IF(U225="HP",AL225,IF(U225="FP",AM225,0)))))))))</f>
        <v/>
      </c>
      <c r="W225" s="27">
        <f>IF(U225="OR",Upgrades!$F$10,IF(U225="HP",Upgrades!$F$11,IF(U225="transition",-Parameters!$B$18,0)))</f>
        <v/>
      </c>
      <c r="X225" s="22">
        <f>T225-V225</f>
        <v/>
      </c>
      <c r="Y225" s="30">
        <f>M225*Parameters!$B$10/60*Parameters!$B$11+O225*M225+N225</f>
        <v/>
      </c>
      <c r="Z225" s="34">
        <f>IF(U225="transition","→ Tier 2 (Stellar Neighborhood)",IF(U225="FP","First Photons — light begins, system quickens",IF(U225="HP","Heliopause acquired",IF(U225="OR","Orbital Resonance — passive multiplier active",IF(AND(AO225=1,L225=0,AN225&lt;&gt;1),"Cohesion ready (waiting on completionist upgrades)","")))))</f>
        <v/>
      </c>
      <c r="AA225" s="27">
        <f>(IF(E225=0,0,(Upgrades!$G$6+E225*Upgrades!$H$6)*POWER(Upgrades!$I$6,E225)))*(IF(Upgrades!$T$7="Solar Wind",POWER(Upgrades!$U$7,F225),1)*IF(Upgrades!$T$8="Solar Wind",POWER(Upgrades!$U$8,G225),1)*IF(Upgrades!$T$9="Solar Wind",POWER(Upgrades!$U$9,H225),1)*IF(Upgrades!$T$10="Solar Wind",POWER(Upgrades!$U$10,I225),1)*IF(Upgrades!$T$11="Solar Wind",POWER(Upgrades!$U$11,J225),1)*IF(Upgrades!$T$12="Solar Wind",POWER(Upgrades!$U$12,K225),1))*POWER(Upgrades!$P$6,E225)*POWER(Upgrades!$P$7,F225)*POWER(Upgrades!$P$8,G225)*POWER(Upgrades!$P$9,H225)*POWER(Upgrades!$P$10,I225)*POWER(Upgrades!$P$11,J225)*POWER(Upgrades!$P$12,K225)*60</f>
        <v/>
      </c>
      <c r="AB225" s="27">
        <f>(IF(F225=0,0,(Upgrades!$G$7+F225*Upgrades!$H$7)*POWER(Upgrades!$I$7,F225)))*(IF(Upgrades!$T$6="Asteroid Belt",POWER(Upgrades!$U$6,E225),1)*IF(Upgrades!$T$8="Asteroid Belt",POWER(Upgrades!$U$8,G225),1)*IF(Upgrades!$T$9="Asteroid Belt",POWER(Upgrades!$U$9,H225),1)*IF(Upgrades!$T$10="Asteroid Belt",POWER(Upgrades!$U$10,I225),1)*IF(Upgrades!$T$11="Asteroid Belt",POWER(Upgrades!$U$11,J225),1)*IF(Upgrades!$T$12="Asteroid Belt",POWER(Upgrades!$U$12,K225),1))*POWER(Upgrades!$P$6,E225)*POWER(Upgrades!$P$7,F225)*POWER(Upgrades!$P$8,G225)*POWER(Upgrades!$P$9,H225)*POWER(Upgrades!$P$10,I225)*POWER(Upgrades!$P$11,J225)*POWER(Upgrades!$P$12,K225)*60</f>
        <v/>
      </c>
      <c r="AC225" s="27">
        <f>(IF(G225=0,0,(Upgrades!$J$8+G225*Upgrades!$K$8)*POWER(Upgrades!$L$8,G225)))*(IF(Upgrades!$T$6="Stellar Coupling",POWER(Upgrades!$U$6,E225),1)*IF(Upgrades!$T$7="Stellar Coupling",POWER(Upgrades!$U$7,F225),1)*IF(Upgrades!$T$9="Stellar Coupling",POWER(Upgrades!$U$9,H225),1)*IF(Upgrades!$T$10="Stellar Coupling",POWER(Upgrades!$U$10,I225),1)*IF(Upgrades!$T$11="Stellar Coupling",POWER(Upgrades!$U$11,J225),1)*IF(Upgrades!$T$12="Stellar Coupling",POWER(Upgrades!$U$12,K225),1))*POWER(Upgrades!$Q$6,E225)*POWER(Upgrades!$Q$7,F225)*POWER(Upgrades!$Q$8,G225)*POWER(Upgrades!$Q$9,H225)*POWER(Upgrades!$Q$10,I225)*POWER(Upgrades!$Q$11,J225)*POWER(Upgrades!$Q$12,K225)*Parameters!$B$10*Parameters!$B$11</f>
        <v/>
      </c>
      <c r="AD225" s="27">
        <f>(IF(H225=0,0,(Upgrades!$G$9+H225*Upgrades!$H$9)*POWER(Upgrades!$I$9,H225)))*(IF(Upgrades!$T$6="Magnetosphere",POWER(Upgrades!$U$6,E225),1)*IF(Upgrades!$T$7="Magnetosphere",POWER(Upgrades!$U$7,F225),1)*IF(Upgrades!$T$8="Magnetosphere",POWER(Upgrades!$U$8,G225),1)*IF(Upgrades!$T$10="Magnetosphere",POWER(Upgrades!$U$10,I225),1)*IF(Upgrades!$T$11="Magnetosphere",POWER(Upgrades!$U$11,J225),1)*IF(Upgrades!$T$12="Magnetosphere",POWER(Upgrades!$U$12,K225),1))*POWER(Upgrades!$P$6,E225)*POWER(Upgrades!$P$7,F225)*POWER(Upgrades!$P$8,G225)*POWER(Upgrades!$P$9,H225)*POWER(Upgrades!$P$10,I225)*POWER(Upgrades!$P$11,J225)*POWER(Upgrades!$P$12,K225)*60</f>
        <v/>
      </c>
      <c r="AE225" s="27">
        <f>(IF(K225=0,0,(Upgrades!$G$12+K225*Upgrades!$H$12)*POWER(Upgrades!$I$12,K225)))*(IF(Upgrades!$T$6="First Photons",POWER(Upgrades!$U$6,E225),1)*IF(Upgrades!$T$7="First Photons",POWER(Upgrades!$U$7,F225),1)*IF(Upgrades!$T$8="First Photons",POWER(Upgrades!$U$8,G225),1)*IF(Upgrades!$T$9="First Photons",POWER(Upgrades!$U$9,H225),1)*IF(Upgrades!$T$10="First Photons",POWER(Upgrades!$U$10,I225),1)*IF(Upgrades!$T$11="First Photons",POWER(Upgrades!$U$11,J225),1))*POWER(Upgrades!$P$6,E225)*POWER(Upgrades!$P$7,F225)*POWER(Upgrades!$P$8,G225)*POWER(Upgrades!$P$9,H225)*POWER(Upgrades!$P$10,I225)*POWER(Upgrades!$P$11,J225)*POWER(Upgrades!$P$12,K225)*60</f>
        <v/>
      </c>
      <c r="AF225" s="27">
        <f>Parameters!$B$9*POWER(Upgrades!$Q$6,E225)*POWER(Upgrades!$Q$7,F225)*POWER(Upgrades!$Q$8,G225)*POWER(Upgrades!$Q$9,H225)*POWER(Upgrades!$Q$10,I225)*POWER(Upgrades!$Q$11,J225)*POWER(Upgrades!$Q$12,K225)*(Parameters!$B$10*Parameters!$B$11+O225*60)</f>
        <v/>
      </c>
      <c r="AG225" s="22">
        <f>IF(E225&gt;=Upgrades!$E$6,"",Upgrades!$C$6*POWER(Upgrades!$D$6,E225))</f>
        <v/>
      </c>
      <c r="AH225" s="22">
        <f>IF(F225&gt;=Upgrades!$E$7,"",Upgrades!$C$7*POWER(Upgrades!$D$7,F225))</f>
        <v/>
      </c>
      <c r="AI225" s="22">
        <f>IF(G225&gt;=Upgrades!$E$8,"",Upgrades!$C$8*POWER(Upgrades!$D$8,G225))</f>
        <v/>
      </c>
      <c r="AJ225" s="22">
        <f>IF(H225&gt;=Upgrades!$E$9,"",Upgrades!$C$9*POWER(Upgrades!$D$9,H225))</f>
        <v/>
      </c>
      <c r="AK225" s="22">
        <f>IF(I225&gt;=Upgrades!$E$10,"",Upgrades!$C$10*POWER(Upgrades!$D$10,I225))</f>
        <v/>
      </c>
      <c r="AL225" s="22">
        <f>IF(J225&gt;=Upgrades!$E$11,"",Upgrades!$C$11*POWER(Upgrades!$D$11,J225))</f>
        <v/>
      </c>
      <c r="AM225" s="22">
        <f>IF(K225&gt;=Upgrades!$E$12,"",Upgrades!$C$12*POWER(Upgrades!$D$12,K225))</f>
        <v/>
      </c>
      <c r="AN225" s="26">
        <f>IF(AND(D225&gt;=Parameters!$B$18,(H225&gt;=Upgrades!$E$9)*(K225&gt;=Upgrades!$E$12)=1,L225=0),1,"")</f>
        <v/>
      </c>
      <c r="AO225" s="26">
        <f>IF(AND(D225&gt;=Parameters!$B$18,L225=0),1,"")</f>
        <v/>
      </c>
      <c r="AP225" s="22">
        <f>MIN(IF(ISNUMBER(AK225),AK225,9E15),IF(ISNUMBER(AL225),AL225,9E15),IF(ISNUMBER(AM225),AM225,9E15))</f>
        <v/>
      </c>
      <c r="AQ225" s="22">
        <f>MIN(IF(ISNUMBER(AG225),AG225,9E15),IF(ISNUMBER(AH225),AH225,9E15),IF(ISNUMBER(AI225),AI225,9E15),IF(ISNUMBER(AJ225),AJ225,9E15))</f>
        <v/>
      </c>
      <c r="AR225" s="29">
        <f>IF(AW225&gt;Parameters!$B$21*(MAX(IF(AND(NOT(AND(AO225=1,AN225&lt;&gt;1)),ISNUMBER(AG225),AG225&lt;=T225),AS225,0),IF(AND(NOT(AND(AO225=1,AN225&lt;&gt;1)),ISNUMBER(AH225),AH225&lt;=T225),AT225,0),IF(AND(NOT(AND(AO225=1,AN225&lt;&gt;1)),ISNUMBER(AI225),AI225&lt;=T225),AU225,0),IF(AND(ISNUMBER(AJ225),AJ225&lt;=T225),AV225,0))),TRUE,FALSE)</f>
        <v/>
      </c>
      <c r="AS225" s="32">
        <f>IFERROR(Upgrades!$H$6*(POWER(Upgrades!$P$6,E225)*POWER(Upgrades!$P$7,F225)*POWER(Upgrades!$P$8,G225)*POWER(Upgrades!$P$9,H225)*POWER(Upgrades!$P$10,I225)*POWER(Upgrades!$P$11,J225)*POWER(Upgrades!$P$12,K225))*(IF(Upgrades!$T$7="Solar Wind",POWER(Upgrades!$U$7,F225),1)*IF(Upgrades!$T$8="Solar Wind",POWER(Upgrades!$U$8,G225),1)*IF(Upgrades!$T$9="Solar Wind",POWER(Upgrades!$U$9,H225),1)*IF(Upgrades!$T$10="Solar Wind",POWER(Upgrades!$U$10,I225),1)*IF(Upgrades!$T$11="Solar Wind",POWER(Upgrades!$U$11,J225),1)*IF(Upgrades!$T$12="Solar Wind",POWER(Upgrades!$U$12,K225),1))/AG225,0)</f>
        <v/>
      </c>
      <c r="AT225" s="32">
        <f>IFERROR(Upgrades!$H$7*(POWER(Upgrades!$P$6,E225)*POWER(Upgrades!$P$7,F225)*POWER(Upgrades!$P$8,G225)*POWER(Upgrades!$P$9,H225)*POWER(Upgrades!$P$10,I225)*POWER(Upgrades!$P$11,J225)*POWER(Upgrades!$P$12,K225))*(IF(Upgrades!$T$6="Asteroid Belt",POWER(Upgrades!$U$6,E225),1)*IF(Upgrades!$T$8="Asteroid Belt",POWER(Upgrades!$U$8,G225),1)*IF(Upgrades!$T$9="Asteroid Belt",POWER(Upgrades!$U$9,H225),1)*IF(Upgrades!$T$10="Asteroid Belt",POWER(Upgrades!$U$10,I225),1)*IF(Upgrades!$T$11="Asteroid Belt",POWER(Upgrades!$U$11,J225),1)*IF(Upgrades!$T$12="Asteroid Belt",POWER(Upgrades!$U$12,K225),1))/AH225,0)</f>
        <v/>
      </c>
      <c r="AU225" s="32">
        <f>IFERROR(Upgrades!$K$8*(POWER(Upgrades!$Q$6,E225)*POWER(Upgrades!$Q$7,F225)*POWER(Upgrades!$Q$8,G225)*POWER(Upgrades!$Q$9,H225)*POWER(Upgrades!$Q$10,I225)*POWER(Upgrades!$Q$11,J225)*POWER(Upgrades!$Q$12,K225))*(IF(Upgrades!$T$6="Stellar Coupling",POWER(Upgrades!$U$6,E225),1)*IF(Upgrades!$T$7="Stellar Coupling",POWER(Upgrades!$U$7,F225),1)*IF(Upgrades!$T$9="Stellar Coupling",POWER(Upgrades!$U$9,H225),1)*IF(Upgrades!$T$10="Stellar Coupling",POWER(Upgrades!$U$10,I225),1)*IF(Upgrades!$T$11="Stellar Coupling",POWER(Upgrades!$U$11,J225),1)*IF(Upgrades!$T$12="Stellar Coupling",POWER(Upgrades!$U$12,K225),1))*Parameters!$B$10*Parameters!$B$11/60/AI225,0)</f>
        <v/>
      </c>
      <c r="AV225" s="32">
        <f>IFERROR(Upgrades!$H$9*(POWER(Upgrades!$P$6,E225)*POWER(Upgrades!$P$7,F225)*POWER(Upgrades!$P$8,G225)*POWER(Upgrades!$P$9,H225)*POWER(Upgrades!$P$10,I225)*POWER(Upgrades!$P$11,J225)*POWER(Upgrades!$P$12,K225))*(IF(Upgrades!$T$6="Magnetosphere",POWER(Upgrades!$U$6,E225),1)*IF(Upgrades!$T$7="Magnetosphere",POWER(Upgrades!$U$7,F225),1)*IF(Upgrades!$T$8="Magnetosphere",POWER(Upgrades!$U$8,G225),1)*IF(Upgrades!$T$10="Magnetosphere",POWER(Upgrades!$U$10,I225),1)*IF(Upgrades!$T$11="Magnetosphere",POWER(Upgrades!$U$11,J225),1)*IF(Upgrades!$T$12="Magnetosphere",POWER(Upgrades!$U$12,K225),1))/AJ225,0)</f>
        <v/>
      </c>
      <c r="AW225" s="32">
        <f>MAX(IF(I225&gt;0,0,IFERROR(0.25*N225/Upgrades!$C$10,0)),IF(J225&gt;0,0,IFERROR(0.5*((IF(G225=0,0,(Upgrades!$J$8+G225*Upgrades!$K$8)*POWER(Upgrades!$L$8,G225)))*(IF(Upgrades!$T$6="Stellar Coupling",POWER(Upgrades!$U$6,E225),1)*IF(Upgrades!$T$7="Stellar Coupling",POWER(Upgrades!$U$7,F225),1)*IF(Upgrades!$T$9="Stellar Coupling",POWER(Upgrades!$U$9,H225),1)*IF(Upgrades!$T$10="Stellar Coupling",POWER(Upgrades!$U$10,I225),1)*IF(Upgrades!$T$11="Stellar Coupling",POWER(Upgrades!$U$11,J225),1)*IF(Upgrades!$T$12="Stellar Coupling",POWER(Upgrades!$U$12,K225),1))*(POWER(Upgrades!$Q$6,E225)*POWER(Upgrades!$Q$7,F225)*POWER(Upgrades!$Q$8,G225)*POWER(Upgrades!$Q$9,H225)*POWER(Upgrades!$Q$10,I225)*POWER(Upgrades!$Q$11,J225)*POWER(Upgrades!$Q$12,K225))*Parameters!$B$10*Parameters!$B$11/60)/Upgrades!$C$11,0)),IF(K225&gt;0,0,IFERROR((1.0*(POWER(Upgrades!$P$6,E225)*POWER(Upgrades!$P$7,F225)*POWER(Upgrades!$P$8,G225)*POWER(Upgrades!$P$9,H225)*POWER(Upgrades!$P$10,I225)*POWER(Upgrades!$P$11,J225)*POWER(Upgrades!$P$12,K225))+0.20*M225*Parameters!$B$10*Parameters!$B$11/60)/Upgrades!$C$12,0)),IF(AND(ISNUMBER(AG225),AG225&gt;T225),AS225,0),IF(AND(ISNUMBER(AH225),AH225&gt;T225),AT225,0),IF(AND(ISNUMBER(AI225),AI225&gt;T225),AU225,0),IF(AND(ISNUMBER(AJ225),AJ225&gt;T225),AV225,0))</f>
        <v/>
      </c>
      <c r="AX225" s="29">
        <f>IF(AN225=1,"transition",IF(MIN(IF(AND(I225=0,ISNUMBER(AK225),AK225&lt;=T225),AK225,9E15),IF(AND(J225=0,ISNUMBER(AL225),AL225&lt;=T225),AL225,9E15),IF(AND(K225=0,ISNUMBER(AM225),AM225&lt;=T225),AM225,9E15))&lt;9E15,IF(AND(AND(I225=0,ISNUMBER(AK225),AK225&lt;=T225),AK225=MIN(IF(AND(I225=0,ISNUMBER(AK225),AK225&lt;=T225),AK225,9E15),IF(AND(J225=0,ISNUMBER(AL225),AL225&lt;=T225),AL225,9E15),IF(AND(K225=0,ISNUMBER(AM225),AM225&lt;=T225),AM225,9E15))),"OR",IF(AND(AND(J225=0,ISNUMBER(AL225),AL225&lt;=T225),AL225=MIN(IF(AND(I225=0,ISNUMBER(AK225),AK225&lt;=T225),AK225,9E15),IF(AND(J225=0,ISNUMBER(AL225),AL225&lt;=T225),AL225,9E15),IF(AND(K225=0,ISNUMBER(AM225),AM225&lt;=T225),AM225,9E15))),"HP","FP")),IF(AR225=TRUE,"",IF(MAX(IF(AND(NOT(AND(AO225=1,AN225&lt;&gt;1)),ISNUMBER(AG225),AG225&lt;=T225),AS225,0),IF(AND(NOT(AND(AO225=1,AN225&lt;&gt;1)),ISNUMBER(AH225),AH225&lt;=T225),AT225,0),IF(AND(NOT(AND(AO225=1,AN225&lt;&gt;1)),ISNUMBER(AI225),AI225&lt;=T225),AU225,0),IF(AND(ISNUMBER(AJ225),AJ225&lt;=T225),AV225,0))&lt;=0,"",IF(AND(IF(AND(NOT(AND(AO225=1,AN225&lt;&gt;1)),ISNUMBER(AG225),AG225&lt;=T225),AS225,0)&gt;0,IF(AND(NOT(AND(AO225=1,AN225&lt;&gt;1)),ISNUMBER(AG225),AG225&lt;=T225),AS225,0)=MAX(IF(AND(NOT(AND(AO225=1,AN225&lt;&gt;1)),ISNUMBER(AG225),AG225&lt;=T225),AS225,0),IF(AND(NOT(AND(AO225=1,AN225&lt;&gt;1)),ISNUMBER(AH225),AH225&lt;=T225),AT225,0),IF(AND(NOT(AND(AO225=1,AN225&lt;&gt;1)),ISNUMBER(AI225),AI225&lt;=T225),AU225,0),IF(AND(ISNUMBER(AJ225),AJ225&lt;=T225),AV225,0))),"SW",IF(AND(IF(AND(NOT(AND(AO225=1,AN225&lt;&gt;1)),ISNUMBER(AH225),AH225&lt;=T225),AT225,0)&gt;0,IF(AND(NOT(AND(AO225=1,AN225&lt;&gt;1)),ISNUMBER(AH225),AH225&lt;=T225),AT225,0)=MAX(IF(AND(NOT(AND(AO225=1,AN225&lt;&gt;1)),ISNUMBER(AG225),AG225&lt;=T225),AS225,0),IF(AND(NOT(AND(AO225=1,AN225&lt;&gt;1)),ISNUMBER(AH225),AH225&lt;=T225),AT225,0),IF(AND(NOT(AND(AO225=1,AN225&lt;&gt;1)),ISNUMBER(AI225),AI225&lt;=T225),AU225,0),IF(AND(ISNUMBER(AJ225),AJ225&lt;=T225),AV225,0))),"AB",IF(AND(IF(AND(NOT(AND(AO225=1,AN225&lt;&gt;1)),ISNUMBER(AI225),AI225&lt;=T225),AU225,0)&gt;0,IF(AND(NOT(AND(AO225=1,AN225&lt;&gt;1)),ISNUMBER(AI225),AI225&lt;=T225),AU225,0)=MAX(IF(AND(NOT(AND(AO225=1,AN225&lt;&gt;1)),ISNUMBER(AG225),AG225&lt;=T225),AS225,0),IF(AND(NOT(AND(AO225=1,AN225&lt;&gt;1)),ISNUMBER(AH225),AH225&lt;=T225),AT225,0),IF(AND(NOT(AND(AO225=1,AN225&lt;&gt;1)),ISNUMBER(AI225),AI225&lt;=T225),AU225,0),IF(AND(ISNUMBER(AJ225),AJ225&lt;=T225),AV225,0))),"SC","Mag")))))))</f>
        <v/>
      </c>
    </row>
    <row r="226">
      <c r="A226" s="26" t="n">
        <v>221</v>
      </c>
      <c r="B226" s="27">
        <f>A226*10/60</f>
        <v/>
      </c>
      <c r="C226" s="22">
        <f>X225</f>
        <v/>
      </c>
      <c r="D226" s="27">
        <f>D225+W225</f>
        <v/>
      </c>
      <c r="E226" s="26">
        <f>E225+IF(U225="SW",1,0)</f>
        <v/>
      </c>
      <c r="F226" s="26">
        <f>F225+IF(U225="AB",1,0)</f>
        <v/>
      </c>
      <c r="G226" s="26">
        <f>G225+IF(U225="SC",1,0)</f>
        <v/>
      </c>
      <c r="H226" s="26">
        <f>H225+IF(U225="Mag",1,0)</f>
        <v/>
      </c>
      <c r="I226" s="26">
        <f>MAX(I225,IF(U225="OR",1,0))</f>
        <v/>
      </c>
      <c r="J226" s="26">
        <f>MAX(J225,IF(U225="HP",1,0))</f>
        <v/>
      </c>
      <c r="K226" s="26">
        <f>MAX(K225,IF(U225="FP",1,0))</f>
        <v/>
      </c>
      <c r="L226" s="26">
        <f>MAX(L225,IF(U225="transition",1,0))</f>
        <v/>
      </c>
      <c r="M226" s="28">
        <f>(Parameters!$B$9+(IF(E226=0,0,(Upgrades!$J$6+E226*Upgrades!$K$6)*POWER(Upgrades!$L$6,E226)))*(IF(Upgrades!$T$7="Solar Wind",POWER(Upgrades!$U$7,F226),1)*IF(Upgrades!$T$8="Solar Wind",POWER(Upgrades!$U$8,G226),1)*IF(Upgrades!$T$9="Solar Wind",POWER(Upgrades!$U$9,H226),1)*IF(Upgrades!$T$10="Solar Wind",POWER(Upgrades!$U$10,I226),1)*IF(Upgrades!$T$11="Solar Wind",POWER(Upgrades!$U$11,J226),1)*IF(Upgrades!$T$12="Solar Wind",POWER(Upgrades!$U$12,K226),1))+(IF(F226=0,0,(Upgrades!$J$7+F226*Upgrades!$K$7)*POWER(Upgrades!$L$7,F226)))*(IF(Upgrades!$T$6="Asteroid Belt",POWER(Upgrades!$U$6,E226),1)*IF(Upgrades!$T$8="Asteroid Belt",POWER(Upgrades!$U$8,G226),1)*IF(Upgrades!$T$9="Asteroid Belt",POWER(Upgrades!$U$9,H226),1)*IF(Upgrades!$T$10="Asteroid Belt",POWER(Upgrades!$U$10,I226),1)*IF(Upgrades!$T$11="Asteroid Belt",POWER(Upgrades!$U$11,J226),1)*IF(Upgrades!$T$12="Asteroid Belt",POWER(Upgrades!$U$12,K226),1))+(IF(G226=0,0,(Upgrades!$J$8+G226*Upgrades!$K$8)*POWER(Upgrades!$L$8,G226)))*(IF(Upgrades!$T$6="Stellar Coupling",POWER(Upgrades!$U$6,E226),1)*IF(Upgrades!$T$7="Stellar Coupling",POWER(Upgrades!$U$7,F226),1)*IF(Upgrades!$T$9="Stellar Coupling",POWER(Upgrades!$U$9,H226),1)*IF(Upgrades!$T$10="Stellar Coupling",POWER(Upgrades!$U$10,I226),1)*IF(Upgrades!$T$11="Stellar Coupling",POWER(Upgrades!$U$11,J226),1)*IF(Upgrades!$T$12="Stellar Coupling",POWER(Upgrades!$U$12,K226),1))+(IF(H226=0,0,(Upgrades!$J$9+H226*Upgrades!$K$9)*POWER(Upgrades!$L$9,H226)))*(IF(Upgrades!$T$6="Magnetosphere",POWER(Upgrades!$U$6,E226),1)*IF(Upgrades!$T$7="Magnetosphere",POWER(Upgrades!$U$7,F226),1)*IF(Upgrades!$T$8="Magnetosphere",POWER(Upgrades!$U$8,G226),1)*IF(Upgrades!$T$10="Magnetosphere",POWER(Upgrades!$U$10,I226),1)*IF(Upgrades!$T$11="Magnetosphere",POWER(Upgrades!$U$11,J226),1)*IF(Upgrades!$T$12="Magnetosphere",POWER(Upgrades!$U$12,K226),1))+(IF(I226=0,0,(Upgrades!$J$10+I226*Upgrades!$K$10)*POWER(Upgrades!$L$10,I226)))*(IF(Upgrades!$T$6="Orbital Resonance",POWER(Upgrades!$U$6,E226),1)*IF(Upgrades!$T$7="Orbital Resonance",POWER(Upgrades!$U$7,F226),1)*IF(Upgrades!$T$8="Orbital Resonance",POWER(Upgrades!$U$8,G226),1)*IF(Upgrades!$T$9="Orbital Resonance",POWER(Upgrades!$U$9,H226),1)*IF(Upgrades!$T$11="Orbital Resonance",POWER(Upgrades!$U$11,J226),1)*IF(Upgrades!$T$12="Orbital Resonance",POWER(Upgrades!$U$12,K226),1))+(IF(J226=0,0,(Upgrades!$J$11+J226*Upgrades!$K$11)*POWER(Upgrades!$L$11,J226)))*(IF(Upgrades!$T$6="Heliopause",POWER(Upgrades!$U$6,E226),1)*IF(Upgrades!$T$7="Heliopause",POWER(Upgrades!$U$7,F226),1)*IF(Upgrades!$T$8="Heliopause",POWER(Upgrades!$U$8,G226),1)*IF(Upgrades!$T$9="Heliopause",POWER(Upgrades!$U$9,H226),1)*IF(Upgrades!$T$10="Heliopause",POWER(Upgrades!$U$10,I226),1)*IF(Upgrades!$T$12="Heliopause",POWER(Upgrades!$U$12,K226),1))+(IF(K226=0,0,(Upgrades!$J$12+K226*Upgrades!$K$12)*POWER(Upgrades!$L$12,K226)))*(IF(Upgrades!$T$6="First Photons",POWER(Upgrades!$U$6,E226),1)*IF(Upgrades!$T$7="First Photons",POWER(Upgrades!$U$7,F226),1)*IF(Upgrades!$T$8="First Photons",POWER(Upgrades!$U$8,G226),1)*IF(Upgrades!$T$9="First Photons",POWER(Upgrades!$U$9,H226),1)*IF(Upgrades!$T$10="First Photons",POWER(Upgrades!$U$10,I226),1)*IF(Upgrades!$T$11="First Photons",POWER(Upgrades!$U$11,J226),1)))*POWER(Upgrades!$Q$6,E226)*POWER(Upgrades!$Q$7,F226)*POWER(Upgrades!$Q$8,G226)*POWER(Upgrades!$Q$9,H226)*POWER(Upgrades!$Q$10,I226)*POWER(Upgrades!$Q$11,J226)*POWER(Upgrades!$Q$12,K226)</f>
        <v/>
      </c>
      <c r="N226" s="28">
        <f>((IF(E226=0,0,(Upgrades!$G$6+E226*Upgrades!$H$6)*POWER(Upgrades!$I$6,E226)))*(IF(Upgrades!$T$7="Solar Wind",POWER(Upgrades!$U$7,F226),1)*IF(Upgrades!$T$8="Solar Wind",POWER(Upgrades!$U$8,G226),1)*IF(Upgrades!$T$9="Solar Wind",POWER(Upgrades!$U$9,H226),1)*IF(Upgrades!$T$10="Solar Wind",POWER(Upgrades!$U$10,I226),1)*IF(Upgrades!$T$11="Solar Wind",POWER(Upgrades!$U$11,J226),1)*IF(Upgrades!$T$12="Solar Wind",POWER(Upgrades!$U$12,K226),1))+(IF(F226=0,0,(Upgrades!$G$7+F226*Upgrades!$H$7)*POWER(Upgrades!$I$7,F226)))*(IF(Upgrades!$T$6="Asteroid Belt",POWER(Upgrades!$U$6,E226),1)*IF(Upgrades!$T$8="Asteroid Belt",POWER(Upgrades!$U$8,G226),1)*IF(Upgrades!$T$9="Asteroid Belt",POWER(Upgrades!$U$9,H226),1)*IF(Upgrades!$T$10="Asteroid Belt",POWER(Upgrades!$U$10,I226),1)*IF(Upgrades!$T$11="Asteroid Belt",POWER(Upgrades!$U$11,J226),1)*IF(Upgrades!$T$12="Asteroid Belt",POWER(Upgrades!$U$12,K226),1))+(IF(G226=0,0,(Upgrades!$G$8+G226*Upgrades!$H$8)*POWER(Upgrades!$I$8,G226)))*(IF(Upgrades!$T$6="Stellar Coupling",POWER(Upgrades!$U$6,E226),1)*IF(Upgrades!$T$7="Stellar Coupling",POWER(Upgrades!$U$7,F226),1)*IF(Upgrades!$T$9="Stellar Coupling",POWER(Upgrades!$U$9,H226),1)*IF(Upgrades!$T$10="Stellar Coupling",POWER(Upgrades!$U$10,I226),1)*IF(Upgrades!$T$11="Stellar Coupling",POWER(Upgrades!$U$11,J226),1)*IF(Upgrades!$T$12="Stellar Coupling",POWER(Upgrades!$U$12,K226),1))+(IF(H226=0,0,(Upgrades!$G$9+H226*Upgrades!$H$9)*POWER(Upgrades!$I$9,H226)))*(IF(Upgrades!$T$6="Magnetosphere",POWER(Upgrades!$U$6,E226),1)*IF(Upgrades!$T$7="Magnetosphere",POWER(Upgrades!$U$7,F226),1)*IF(Upgrades!$T$8="Magnetosphere",POWER(Upgrades!$U$8,G226),1)*IF(Upgrades!$T$10="Magnetosphere",POWER(Upgrades!$U$10,I226),1)*IF(Upgrades!$T$11="Magnetosphere",POWER(Upgrades!$U$11,J226),1)*IF(Upgrades!$T$12="Magnetosphere",POWER(Upgrades!$U$12,K226),1))+(IF(I226=0,0,(Upgrades!$G$10+I226*Upgrades!$H$10)*POWER(Upgrades!$I$10,I226)))*(IF(Upgrades!$T$6="Orbital Resonance",POWER(Upgrades!$U$6,E226),1)*IF(Upgrades!$T$7="Orbital Resonance",POWER(Upgrades!$U$7,F226),1)*IF(Upgrades!$T$8="Orbital Resonance",POWER(Upgrades!$U$8,G226),1)*IF(Upgrades!$T$9="Orbital Resonance",POWER(Upgrades!$U$9,H226),1)*IF(Upgrades!$T$11="Orbital Resonance",POWER(Upgrades!$U$11,J226),1)*IF(Upgrades!$T$12="Orbital Resonance",POWER(Upgrades!$U$12,K226),1))+(IF(J226=0,0,(Upgrades!$G$11+J226*Upgrades!$H$11)*POWER(Upgrades!$I$11,J226)))*(IF(Upgrades!$T$6="Heliopause",POWER(Upgrades!$U$6,E226),1)*IF(Upgrades!$T$7="Heliopause",POWER(Upgrades!$U$7,F226),1)*IF(Upgrades!$T$8="Heliopause",POWER(Upgrades!$U$8,G226),1)*IF(Upgrades!$T$9="Heliopause",POWER(Upgrades!$U$9,H226),1)*IF(Upgrades!$T$10="Heliopause",POWER(Upgrades!$U$10,I226),1)*IF(Upgrades!$T$12="Heliopause",POWER(Upgrades!$U$12,K226),1))+(IF(K226=0,0,(Upgrades!$G$12+K226*Upgrades!$H$12)*POWER(Upgrades!$I$12,K226)))*(IF(Upgrades!$T$6="First Photons",POWER(Upgrades!$U$6,E226),1)*IF(Upgrades!$T$7="First Photons",POWER(Upgrades!$U$7,F226),1)*IF(Upgrades!$T$8="First Photons",POWER(Upgrades!$U$8,G226),1)*IF(Upgrades!$T$9="First Photons",POWER(Upgrades!$U$9,H226),1)*IF(Upgrades!$T$10="First Photons",POWER(Upgrades!$U$10,I226),1)*IF(Upgrades!$T$11="First Photons",POWER(Upgrades!$U$11,J226),1)))*POWER(Upgrades!$P$6,E226)*POWER(Upgrades!$P$7,F226)*POWER(Upgrades!$P$8,G226)*POWER(Upgrades!$P$9,H226)*POWER(Upgrades!$P$10,I226)*POWER(Upgrades!$P$11,J226)*POWER(Upgrades!$P$12,K226)</f>
        <v/>
      </c>
      <c r="O226" s="28">
        <f>((IF(E226=0,0,(Upgrades!$M$6+E226*Upgrades!$N$6)*POWER(Upgrades!$O$6,E226)))*(IF(Upgrades!$T$7="Solar Wind",POWER(Upgrades!$U$7,F226),1)*IF(Upgrades!$T$8="Solar Wind",POWER(Upgrades!$U$8,G226),1)*IF(Upgrades!$T$9="Solar Wind",POWER(Upgrades!$U$9,H226),1)*IF(Upgrades!$T$10="Solar Wind",POWER(Upgrades!$U$10,I226),1)*IF(Upgrades!$T$11="Solar Wind",POWER(Upgrades!$U$11,J226),1)*IF(Upgrades!$T$12="Solar Wind",POWER(Upgrades!$U$12,K226),1))+(IF(F226=0,0,(Upgrades!$M$7+F226*Upgrades!$N$7)*POWER(Upgrades!$O$7,F226)))*(IF(Upgrades!$T$6="Asteroid Belt",POWER(Upgrades!$U$6,E226),1)*IF(Upgrades!$T$8="Asteroid Belt",POWER(Upgrades!$U$8,G226),1)*IF(Upgrades!$T$9="Asteroid Belt",POWER(Upgrades!$U$9,H226),1)*IF(Upgrades!$T$10="Asteroid Belt",POWER(Upgrades!$U$10,I226),1)*IF(Upgrades!$T$11="Asteroid Belt",POWER(Upgrades!$U$11,J226),1)*IF(Upgrades!$T$12="Asteroid Belt",POWER(Upgrades!$U$12,K226),1))+(IF(G226=0,0,(Upgrades!$M$8+G226*Upgrades!$N$8)*POWER(Upgrades!$O$8,G226)))*(IF(Upgrades!$T$6="Stellar Coupling",POWER(Upgrades!$U$6,E226),1)*IF(Upgrades!$T$7="Stellar Coupling",POWER(Upgrades!$U$7,F226),1)*IF(Upgrades!$T$9="Stellar Coupling",POWER(Upgrades!$U$9,H226),1)*IF(Upgrades!$T$10="Stellar Coupling",POWER(Upgrades!$U$10,I226),1)*IF(Upgrades!$T$11="Stellar Coupling",POWER(Upgrades!$U$11,J226),1)*IF(Upgrades!$T$12="Stellar Coupling",POWER(Upgrades!$U$12,K226),1))+(IF(H226=0,0,(Upgrades!$M$9+H226*Upgrades!$N$9)*POWER(Upgrades!$O$9,H226)))*(IF(Upgrades!$T$6="Magnetosphere",POWER(Upgrades!$U$6,E226),1)*IF(Upgrades!$T$7="Magnetosphere",POWER(Upgrades!$U$7,F226),1)*IF(Upgrades!$T$8="Magnetosphere",POWER(Upgrades!$U$8,G226),1)*IF(Upgrades!$T$10="Magnetosphere",POWER(Upgrades!$U$10,I226),1)*IF(Upgrades!$T$11="Magnetosphere",POWER(Upgrades!$U$11,J226),1)*IF(Upgrades!$T$12="Magnetosphere",POWER(Upgrades!$U$12,K226),1))+(IF(I226=0,0,(Upgrades!$M$10+I226*Upgrades!$N$10)*POWER(Upgrades!$O$10,I226)))*(IF(Upgrades!$T$6="Orbital Resonance",POWER(Upgrades!$U$6,E226),1)*IF(Upgrades!$T$7="Orbital Resonance",POWER(Upgrades!$U$7,F226),1)*IF(Upgrades!$T$8="Orbital Resonance",POWER(Upgrades!$U$8,G226),1)*IF(Upgrades!$T$9="Orbital Resonance",POWER(Upgrades!$U$9,H226),1)*IF(Upgrades!$T$11="Orbital Resonance",POWER(Upgrades!$U$11,J226),1)*IF(Upgrades!$T$12="Orbital Resonance",POWER(Upgrades!$U$12,K226),1))+(IF(J226=0,0,(Upgrades!$M$11+J226*Upgrades!$N$11)*POWER(Upgrades!$O$11,J226)))*(IF(Upgrades!$T$6="Heliopause",POWER(Upgrades!$U$6,E226),1)*IF(Upgrades!$T$7="Heliopause",POWER(Upgrades!$U$7,F226),1)*IF(Upgrades!$T$8="Heliopause",POWER(Upgrades!$U$8,G226),1)*IF(Upgrades!$T$9="Heliopause",POWER(Upgrades!$U$9,H226),1)*IF(Upgrades!$T$10="Heliopause",POWER(Upgrades!$U$10,I226),1)*IF(Upgrades!$T$12="Heliopause",POWER(Upgrades!$U$12,K226),1))+(IF(K226=0,0,(Upgrades!$M$12+K226*Upgrades!$N$12)*POWER(Upgrades!$O$12,K226)))*(IF(Upgrades!$T$6="First Photons",POWER(Upgrades!$U$6,E226),1)*IF(Upgrades!$T$7="First Photons",POWER(Upgrades!$U$7,F226),1)*IF(Upgrades!$T$8="First Photons",POWER(Upgrades!$U$8,G226),1)*IF(Upgrades!$T$9="First Photons",POWER(Upgrades!$U$9,H226),1)*IF(Upgrades!$T$10="First Photons",POWER(Upgrades!$U$10,I226),1)*IF(Upgrades!$T$11="First Photons",POWER(Upgrades!$U$11,J226),1)))*POWER(Upgrades!$R$6,E226)*POWER(Upgrades!$R$7,F226)*POWER(Upgrades!$R$8,G226)*POWER(Upgrades!$R$9,H226)*POWER(Upgrades!$R$10,I226)*POWER(Upgrades!$R$11,J226)*POWER(Upgrades!$R$12,K226)</f>
        <v/>
      </c>
      <c r="P226" s="27">
        <f>IF(L226=1,0,M226*Parameters!$B$10/60*Parameters!$B$11*10)</f>
        <v/>
      </c>
      <c r="Q226" s="27">
        <f>IF(L226=1,0,O226*M226*10)</f>
        <v/>
      </c>
      <c r="R226" s="27">
        <f>IF(L226=1,0,N226*10)</f>
        <v/>
      </c>
      <c r="S226" s="27">
        <f>P226+Q226+R226</f>
        <v/>
      </c>
      <c r="T226" s="22">
        <f>C226+S226</f>
        <v/>
      </c>
      <c r="U226" s="33">
        <f>AX226</f>
        <v/>
      </c>
      <c r="V226" s="22">
        <f>IF(U226="",0,IF(U226="transition",0,IF(U226="SW",AG226,IF(U226="AB",AH226,IF(U226="SC",AI226,IF(U226="Mag",AJ226,IF(U226="OR",AK226,IF(U226="HP",AL226,IF(U226="FP",AM226,0)))))))))</f>
        <v/>
      </c>
      <c r="W226" s="27">
        <f>IF(U226="OR",Upgrades!$F$10,IF(U226="HP",Upgrades!$F$11,IF(U226="transition",-Parameters!$B$18,0)))</f>
        <v/>
      </c>
      <c r="X226" s="22">
        <f>T226-V226</f>
        <v/>
      </c>
      <c r="Y226" s="30">
        <f>M226*Parameters!$B$10/60*Parameters!$B$11+O226*M226+N226</f>
        <v/>
      </c>
      <c r="Z226" s="34">
        <f>IF(U226="transition","→ Tier 2 (Stellar Neighborhood)",IF(U226="FP","First Photons — light begins, system quickens",IF(U226="HP","Heliopause acquired",IF(U226="OR","Orbital Resonance — passive multiplier active",IF(AND(AO226=1,L226=0,AN226&lt;&gt;1),"Cohesion ready (waiting on completionist upgrades)","")))))</f>
        <v/>
      </c>
      <c r="AA226" s="27">
        <f>(IF(E226=0,0,(Upgrades!$G$6+E226*Upgrades!$H$6)*POWER(Upgrades!$I$6,E226)))*(IF(Upgrades!$T$7="Solar Wind",POWER(Upgrades!$U$7,F226),1)*IF(Upgrades!$T$8="Solar Wind",POWER(Upgrades!$U$8,G226),1)*IF(Upgrades!$T$9="Solar Wind",POWER(Upgrades!$U$9,H226),1)*IF(Upgrades!$T$10="Solar Wind",POWER(Upgrades!$U$10,I226),1)*IF(Upgrades!$T$11="Solar Wind",POWER(Upgrades!$U$11,J226),1)*IF(Upgrades!$T$12="Solar Wind",POWER(Upgrades!$U$12,K226),1))*POWER(Upgrades!$P$6,E226)*POWER(Upgrades!$P$7,F226)*POWER(Upgrades!$P$8,G226)*POWER(Upgrades!$P$9,H226)*POWER(Upgrades!$P$10,I226)*POWER(Upgrades!$P$11,J226)*POWER(Upgrades!$P$12,K226)*60</f>
        <v/>
      </c>
      <c r="AB226" s="27">
        <f>(IF(F226=0,0,(Upgrades!$G$7+F226*Upgrades!$H$7)*POWER(Upgrades!$I$7,F226)))*(IF(Upgrades!$T$6="Asteroid Belt",POWER(Upgrades!$U$6,E226),1)*IF(Upgrades!$T$8="Asteroid Belt",POWER(Upgrades!$U$8,G226),1)*IF(Upgrades!$T$9="Asteroid Belt",POWER(Upgrades!$U$9,H226),1)*IF(Upgrades!$T$10="Asteroid Belt",POWER(Upgrades!$U$10,I226),1)*IF(Upgrades!$T$11="Asteroid Belt",POWER(Upgrades!$U$11,J226),1)*IF(Upgrades!$T$12="Asteroid Belt",POWER(Upgrades!$U$12,K226),1))*POWER(Upgrades!$P$6,E226)*POWER(Upgrades!$P$7,F226)*POWER(Upgrades!$P$8,G226)*POWER(Upgrades!$P$9,H226)*POWER(Upgrades!$P$10,I226)*POWER(Upgrades!$P$11,J226)*POWER(Upgrades!$P$12,K226)*60</f>
        <v/>
      </c>
      <c r="AC226" s="27">
        <f>(IF(G226=0,0,(Upgrades!$J$8+G226*Upgrades!$K$8)*POWER(Upgrades!$L$8,G226)))*(IF(Upgrades!$T$6="Stellar Coupling",POWER(Upgrades!$U$6,E226),1)*IF(Upgrades!$T$7="Stellar Coupling",POWER(Upgrades!$U$7,F226),1)*IF(Upgrades!$T$9="Stellar Coupling",POWER(Upgrades!$U$9,H226),1)*IF(Upgrades!$T$10="Stellar Coupling",POWER(Upgrades!$U$10,I226),1)*IF(Upgrades!$T$11="Stellar Coupling",POWER(Upgrades!$U$11,J226),1)*IF(Upgrades!$T$12="Stellar Coupling",POWER(Upgrades!$U$12,K226),1))*POWER(Upgrades!$Q$6,E226)*POWER(Upgrades!$Q$7,F226)*POWER(Upgrades!$Q$8,G226)*POWER(Upgrades!$Q$9,H226)*POWER(Upgrades!$Q$10,I226)*POWER(Upgrades!$Q$11,J226)*POWER(Upgrades!$Q$12,K226)*Parameters!$B$10*Parameters!$B$11</f>
        <v/>
      </c>
      <c r="AD226" s="27">
        <f>(IF(H226=0,0,(Upgrades!$G$9+H226*Upgrades!$H$9)*POWER(Upgrades!$I$9,H226)))*(IF(Upgrades!$T$6="Magnetosphere",POWER(Upgrades!$U$6,E226),1)*IF(Upgrades!$T$7="Magnetosphere",POWER(Upgrades!$U$7,F226),1)*IF(Upgrades!$T$8="Magnetosphere",POWER(Upgrades!$U$8,G226),1)*IF(Upgrades!$T$10="Magnetosphere",POWER(Upgrades!$U$10,I226),1)*IF(Upgrades!$T$11="Magnetosphere",POWER(Upgrades!$U$11,J226),1)*IF(Upgrades!$T$12="Magnetosphere",POWER(Upgrades!$U$12,K226),1))*POWER(Upgrades!$P$6,E226)*POWER(Upgrades!$P$7,F226)*POWER(Upgrades!$P$8,G226)*POWER(Upgrades!$P$9,H226)*POWER(Upgrades!$P$10,I226)*POWER(Upgrades!$P$11,J226)*POWER(Upgrades!$P$12,K226)*60</f>
        <v/>
      </c>
      <c r="AE226" s="27">
        <f>(IF(K226=0,0,(Upgrades!$G$12+K226*Upgrades!$H$12)*POWER(Upgrades!$I$12,K226)))*(IF(Upgrades!$T$6="First Photons",POWER(Upgrades!$U$6,E226),1)*IF(Upgrades!$T$7="First Photons",POWER(Upgrades!$U$7,F226),1)*IF(Upgrades!$T$8="First Photons",POWER(Upgrades!$U$8,G226),1)*IF(Upgrades!$T$9="First Photons",POWER(Upgrades!$U$9,H226),1)*IF(Upgrades!$T$10="First Photons",POWER(Upgrades!$U$10,I226),1)*IF(Upgrades!$T$11="First Photons",POWER(Upgrades!$U$11,J226),1))*POWER(Upgrades!$P$6,E226)*POWER(Upgrades!$P$7,F226)*POWER(Upgrades!$P$8,G226)*POWER(Upgrades!$P$9,H226)*POWER(Upgrades!$P$10,I226)*POWER(Upgrades!$P$11,J226)*POWER(Upgrades!$P$12,K226)*60</f>
        <v/>
      </c>
      <c r="AF226" s="27">
        <f>Parameters!$B$9*POWER(Upgrades!$Q$6,E226)*POWER(Upgrades!$Q$7,F226)*POWER(Upgrades!$Q$8,G226)*POWER(Upgrades!$Q$9,H226)*POWER(Upgrades!$Q$10,I226)*POWER(Upgrades!$Q$11,J226)*POWER(Upgrades!$Q$12,K226)*(Parameters!$B$10*Parameters!$B$11+O226*60)</f>
        <v/>
      </c>
      <c r="AG226" s="22">
        <f>IF(E226&gt;=Upgrades!$E$6,"",Upgrades!$C$6*POWER(Upgrades!$D$6,E226))</f>
        <v/>
      </c>
      <c r="AH226" s="22">
        <f>IF(F226&gt;=Upgrades!$E$7,"",Upgrades!$C$7*POWER(Upgrades!$D$7,F226))</f>
        <v/>
      </c>
      <c r="AI226" s="22">
        <f>IF(G226&gt;=Upgrades!$E$8,"",Upgrades!$C$8*POWER(Upgrades!$D$8,G226))</f>
        <v/>
      </c>
      <c r="AJ226" s="22">
        <f>IF(H226&gt;=Upgrades!$E$9,"",Upgrades!$C$9*POWER(Upgrades!$D$9,H226))</f>
        <v/>
      </c>
      <c r="AK226" s="22">
        <f>IF(I226&gt;=Upgrades!$E$10,"",Upgrades!$C$10*POWER(Upgrades!$D$10,I226))</f>
        <v/>
      </c>
      <c r="AL226" s="22">
        <f>IF(J226&gt;=Upgrades!$E$11,"",Upgrades!$C$11*POWER(Upgrades!$D$11,J226))</f>
        <v/>
      </c>
      <c r="AM226" s="22">
        <f>IF(K226&gt;=Upgrades!$E$12,"",Upgrades!$C$12*POWER(Upgrades!$D$12,K226))</f>
        <v/>
      </c>
      <c r="AN226" s="26">
        <f>IF(AND(D226&gt;=Parameters!$B$18,(H226&gt;=Upgrades!$E$9)*(K226&gt;=Upgrades!$E$12)=1,L226=0),1,"")</f>
        <v/>
      </c>
      <c r="AO226" s="26">
        <f>IF(AND(D226&gt;=Parameters!$B$18,L226=0),1,"")</f>
        <v/>
      </c>
      <c r="AP226" s="22">
        <f>MIN(IF(ISNUMBER(AK226),AK226,9E15),IF(ISNUMBER(AL226),AL226,9E15),IF(ISNUMBER(AM226),AM226,9E15))</f>
        <v/>
      </c>
      <c r="AQ226" s="22">
        <f>MIN(IF(ISNUMBER(AG226),AG226,9E15),IF(ISNUMBER(AH226),AH226,9E15),IF(ISNUMBER(AI226),AI226,9E15),IF(ISNUMBER(AJ226),AJ226,9E15))</f>
        <v/>
      </c>
      <c r="AR226" s="29">
        <f>IF(AW226&gt;Parameters!$B$21*(MAX(IF(AND(NOT(AND(AO226=1,AN226&lt;&gt;1)),ISNUMBER(AG226),AG226&lt;=T226),AS226,0),IF(AND(NOT(AND(AO226=1,AN226&lt;&gt;1)),ISNUMBER(AH226),AH226&lt;=T226),AT226,0),IF(AND(NOT(AND(AO226=1,AN226&lt;&gt;1)),ISNUMBER(AI226),AI226&lt;=T226),AU226,0),IF(AND(ISNUMBER(AJ226),AJ226&lt;=T226),AV226,0))),TRUE,FALSE)</f>
        <v/>
      </c>
      <c r="AS226" s="32">
        <f>IFERROR(Upgrades!$H$6*(POWER(Upgrades!$P$6,E226)*POWER(Upgrades!$P$7,F226)*POWER(Upgrades!$P$8,G226)*POWER(Upgrades!$P$9,H226)*POWER(Upgrades!$P$10,I226)*POWER(Upgrades!$P$11,J226)*POWER(Upgrades!$P$12,K226))*(IF(Upgrades!$T$7="Solar Wind",POWER(Upgrades!$U$7,F226),1)*IF(Upgrades!$T$8="Solar Wind",POWER(Upgrades!$U$8,G226),1)*IF(Upgrades!$T$9="Solar Wind",POWER(Upgrades!$U$9,H226),1)*IF(Upgrades!$T$10="Solar Wind",POWER(Upgrades!$U$10,I226),1)*IF(Upgrades!$T$11="Solar Wind",POWER(Upgrades!$U$11,J226),1)*IF(Upgrades!$T$12="Solar Wind",POWER(Upgrades!$U$12,K226),1))/AG226,0)</f>
        <v/>
      </c>
      <c r="AT226" s="32">
        <f>IFERROR(Upgrades!$H$7*(POWER(Upgrades!$P$6,E226)*POWER(Upgrades!$P$7,F226)*POWER(Upgrades!$P$8,G226)*POWER(Upgrades!$P$9,H226)*POWER(Upgrades!$P$10,I226)*POWER(Upgrades!$P$11,J226)*POWER(Upgrades!$P$12,K226))*(IF(Upgrades!$T$6="Asteroid Belt",POWER(Upgrades!$U$6,E226),1)*IF(Upgrades!$T$8="Asteroid Belt",POWER(Upgrades!$U$8,G226),1)*IF(Upgrades!$T$9="Asteroid Belt",POWER(Upgrades!$U$9,H226),1)*IF(Upgrades!$T$10="Asteroid Belt",POWER(Upgrades!$U$10,I226),1)*IF(Upgrades!$T$11="Asteroid Belt",POWER(Upgrades!$U$11,J226),1)*IF(Upgrades!$T$12="Asteroid Belt",POWER(Upgrades!$U$12,K226),1))/AH226,0)</f>
        <v/>
      </c>
      <c r="AU226" s="32">
        <f>IFERROR(Upgrades!$K$8*(POWER(Upgrades!$Q$6,E226)*POWER(Upgrades!$Q$7,F226)*POWER(Upgrades!$Q$8,G226)*POWER(Upgrades!$Q$9,H226)*POWER(Upgrades!$Q$10,I226)*POWER(Upgrades!$Q$11,J226)*POWER(Upgrades!$Q$12,K226))*(IF(Upgrades!$T$6="Stellar Coupling",POWER(Upgrades!$U$6,E226),1)*IF(Upgrades!$T$7="Stellar Coupling",POWER(Upgrades!$U$7,F226),1)*IF(Upgrades!$T$9="Stellar Coupling",POWER(Upgrades!$U$9,H226),1)*IF(Upgrades!$T$10="Stellar Coupling",POWER(Upgrades!$U$10,I226),1)*IF(Upgrades!$T$11="Stellar Coupling",POWER(Upgrades!$U$11,J226),1)*IF(Upgrades!$T$12="Stellar Coupling",POWER(Upgrades!$U$12,K226),1))*Parameters!$B$10*Parameters!$B$11/60/AI226,0)</f>
        <v/>
      </c>
      <c r="AV226" s="32">
        <f>IFERROR(Upgrades!$H$9*(POWER(Upgrades!$P$6,E226)*POWER(Upgrades!$P$7,F226)*POWER(Upgrades!$P$8,G226)*POWER(Upgrades!$P$9,H226)*POWER(Upgrades!$P$10,I226)*POWER(Upgrades!$P$11,J226)*POWER(Upgrades!$P$12,K226))*(IF(Upgrades!$T$6="Magnetosphere",POWER(Upgrades!$U$6,E226),1)*IF(Upgrades!$T$7="Magnetosphere",POWER(Upgrades!$U$7,F226),1)*IF(Upgrades!$T$8="Magnetosphere",POWER(Upgrades!$U$8,G226),1)*IF(Upgrades!$T$10="Magnetosphere",POWER(Upgrades!$U$10,I226),1)*IF(Upgrades!$T$11="Magnetosphere",POWER(Upgrades!$U$11,J226),1)*IF(Upgrades!$T$12="Magnetosphere",POWER(Upgrades!$U$12,K226),1))/AJ226,0)</f>
        <v/>
      </c>
      <c r="AW226" s="32">
        <f>MAX(IF(I226&gt;0,0,IFERROR(0.25*N226/Upgrades!$C$10,0)),IF(J226&gt;0,0,IFERROR(0.5*((IF(G226=0,0,(Upgrades!$J$8+G226*Upgrades!$K$8)*POWER(Upgrades!$L$8,G226)))*(IF(Upgrades!$T$6="Stellar Coupling",POWER(Upgrades!$U$6,E226),1)*IF(Upgrades!$T$7="Stellar Coupling",POWER(Upgrades!$U$7,F226),1)*IF(Upgrades!$T$9="Stellar Coupling",POWER(Upgrades!$U$9,H226),1)*IF(Upgrades!$T$10="Stellar Coupling",POWER(Upgrades!$U$10,I226),1)*IF(Upgrades!$T$11="Stellar Coupling",POWER(Upgrades!$U$11,J226),1)*IF(Upgrades!$T$12="Stellar Coupling",POWER(Upgrades!$U$12,K226),1))*(POWER(Upgrades!$Q$6,E226)*POWER(Upgrades!$Q$7,F226)*POWER(Upgrades!$Q$8,G226)*POWER(Upgrades!$Q$9,H226)*POWER(Upgrades!$Q$10,I226)*POWER(Upgrades!$Q$11,J226)*POWER(Upgrades!$Q$12,K226))*Parameters!$B$10*Parameters!$B$11/60)/Upgrades!$C$11,0)),IF(K226&gt;0,0,IFERROR((1.0*(POWER(Upgrades!$P$6,E226)*POWER(Upgrades!$P$7,F226)*POWER(Upgrades!$P$8,G226)*POWER(Upgrades!$P$9,H226)*POWER(Upgrades!$P$10,I226)*POWER(Upgrades!$P$11,J226)*POWER(Upgrades!$P$12,K226))+0.20*M226*Parameters!$B$10*Parameters!$B$11/60)/Upgrades!$C$12,0)),IF(AND(ISNUMBER(AG226),AG226&gt;T226),AS226,0),IF(AND(ISNUMBER(AH226),AH226&gt;T226),AT226,0),IF(AND(ISNUMBER(AI226),AI226&gt;T226),AU226,0),IF(AND(ISNUMBER(AJ226),AJ226&gt;T226),AV226,0))</f>
        <v/>
      </c>
      <c r="AX226" s="29">
        <f>IF(AN226=1,"transition",IF(MIN(IF(AND(I226=0,ISNUMBER(AK226),AK226&lt;=T226),AK226,9E15),IF(AND(J226=0,ISNUMBER(AL226),AL226&lt;=T226),AL226,9E15),IF(AND(K226=0,ISNUMBER(AM226),AM226&lt;=T226),AM226,9E15))&lt;9E15,IF(AND(AND(I226=0,ISNUMBER(AK226),AK226&lt;=T226),AK226=MIN(IF(AND(I226=0,ISNUMBER(AK226),AK226&lt;=T226),AK226,9E15),IF(AND(J226=0,ISNUMBER(AL226),AL226&lt;=T226),AL226,9E15),IF(AND(K226=0,ISNUMBER(AM226),AM226&lt;=T226),AM226,9E15))),"OR",IF(AND(AND(J226=0,ISNUMBER(AL226),AL226&lt;=T226),AL226=MIN(IF(AND(I226=0,ISNUMBER(AK226),AK226&lt;=T226),AK226,9E15),IF(AND(J226=0,ISNUMBER(AL226),AL226&lt;=T226),AL226,9E15),IF(AND(K226=0,ISNUMBER(AM226),AM226&lt;=T226),AM226,9E15))),"HP","FP")),IF(AR226=TRUE,"",IF(MAX(IF(AND(NOT(AND(AO226=1,AN226&lt;&gt;1)),ISNUMBER(AG226),AG226&lt;=T226),AS226,0),IF(AND(NOT(AND(AO226=1,AN226&lt;&gt;1)),ISNUMBER(AH226),AH226&lt;=T226),AT226,0),IF(AND(NOT(AND(AO226=1,AN226&lt;&gt;1)),ISNUMBER(AI226),AI226&lt;=T226),AU226,0),IF(AND(ISNUMBER(AJ226),AJ226&lt;=T226),AV226,0))&lt;=0,"",IF(AND(IF(AND(NOT(AND(AO226=1,AN226&lt;&gt;1)),ISNUMBER(AG226),AG226&lt;=T226),AS226,0)&gt;0,IF(AND(NOT(AND(AO226=1,AN226&lt;&gt;1)),ISNUMBER(AG226),AG226&lt;=T226),AS226,0)=MAX(IF(AND(NOT(AND(AO226=1,AN226&lt;&gt;1)),ISNUMBER(AG226),AG226&lt;=T226),AS226,0),IF(AND(NOT(AND(AO226=1,AN226&lt;&gt;1)),ISNUMBER(AH226),AH226&lt;=T226),AT226,0),IF(AND(NOT(AND(AO226=1,AN226&lt;&gt;1)),ISNUMBER(AI226),AI226&lt;=T226),AU226,0),IF(AND(ISNUMBER(AJ226),AJ226&lt;=T226),AV226,0))),"SW",IF(AND(IF(AND(NOT(AND(AO226=1,AN226&lt;&gt;1)),ISNUMBER(AH226),AH226&lt;=T226),AT226,0)&gt;0,IF(AND(NOT(AND(AO226=1,AN226&lt;&gt;1)),ISNUMBER(AH226),AH226&lt;=T226),AT226,0)=MAX(IF(AND(NOT(AND(AO226=1,AN226&lt;&gt;1)),ISNUMBER(AG226),AG226&lt;=T226),AS226,0),IF(AND(NOT(AND(AO226=1,AN226&lt;&gt;1)),ISNUMBER(AH226),AH226&lt;=T226),AT226,0),IF(AND(NOT(AND(AO226=1,AN226&lt;&gt;1)),ISNUMBER(AI226),AI226&lt;=T226),AU226,0),IF(AND(ISNUMBER(AJ226),AJ226&lt;=T226),AV226,0))),"AB",IF(AND(IF(AND(NOT(AND(AO226=1,AN226&lt;&gt;1)),ISNUMBER(AI226),AI226&lt;=T226),AU226,0)&gt;0,IF(AND(NOT(AND(AO226=1,AN226&lt;&gt;1)),ISNUMBER(AI226),AI226&lt;=T226),AU226,0)=MAX(IF(AND(NOT(AND(AO226=1,AN226&lt;&gt;1)),ISNUMBER(AG226),AG226&lt;=T226),AS226,0),IF(AND(NOT(AND(AO226=1,AN226&lt;&gt;1)),ISNUMBER(AH226),AH226&lt;=T226),AT226,0),IF(AND(NOT(AND(AO226=1,AN226&lt;&gt;1)),ISNUMBER(AI226),AI226&lt;=T226),AU226,0),IF(AND(ISNUMBER(AJ226),AJ226&lt;=T226),AV226,0))),"SC","Mag")))))))</f>
        <v/>
      </c>
    </row>
    <row r="227">
      <c r="A227" s="26" t="n">
        <v>222</v>
      </c>
      <c r="B227" s="27">
        <f>A227*10/60</f>
        <v/>
      </c>
      <c r="C227" s="22">
        <f>X226</f>
        <v/>
      </c>
      <c r="D227" s="27">
        <f>D226+W226</f>
        <v/>
      </c>
      <c r="E227" s="26">
        <f>E226+IF(U226="SW",1,0)</f>
        <v/>
      </c>
      <c r="F227" s="26">
        <f>F226+IF(U226="AB",1,0)</f>
        <v/>
      </c>
      <c r="G227" s="26">
        <f>G226+IF(U226="SC",1,0)</f>
        <v/>
      </c>
      <c r="H227" s="26">
        <f>H226+IF(U226="Mag",1,0)</f>
        <v/>
      </c>
      <c r="I227" s="26">
        <f>MAX(I226,IF(U226="OR",1,0))</f>
        <v/>
      </c>
      <c r="J227" s="26">
        <f>MAX(J226,IF(U226="HP",1,0))</f>
        <v/>
      </c>
      <c r="K227" s="26">
        <f>MAX(K226,IF(U226="FP",1,0))</f>
        <v/>
      </c>
      <c r="L227" s="26">
        <f>MAX(L226,IF(U226="transition",1,0))</f>
        <v/>
      </c>
      <c r="M227" s="28">
        <f>(Parameters!$B$9+(IF(E227=0,0,(Upgrades!$J$6+E227*Upgrades!$K$6)*POWER(Upgrades!$L$6,E227)))*(IF(Upgrades!$T$7="Solar Wind",POWER(Upgrades!$U$7,F227),1)*IF(Upgrades!$T$8="Solar Wind",POWER(Upgrades!$U$8,G227),1)*IF(Upgrades!$T$9="Solar Wind",POWER(Upgrades!$U$9,H227),1)*IF(Upgrades!$T$10="Solar Wind",POWER(Upgrades!$U$10,I227),1)*IF(Upgrades!$T$11="Solar Wind",POWER(Upgrades!$U$11,J227),1)*IF(Upgrades!$T$12="Solar Wind",POWER(Upgrades!$U$12,K227),1))+(IF(F227=0,0,(Upgrades!$J$7+F227*Upgrades!$K$7)*POWER(Upgrades!$L$7,F227)))*(IF(Upgrades!$T$6="Asteroid Belt",POWER(Upgrades!$U$6,E227),1)*IF(Upgrades!$T$8="Asteroid Belt",POWER(Upgrades!$U$8,G227),1)*IF(Upgrades!$T$9="Asteroid Belt",POWER(Upgrades!$U$9,H227),1)*IF(Upgrades!$T$10="Asteroid Belt",POWER(Upgrades!$U$10,I227),1)*IF(Upgrades!$T$11="Asteroid Belt",POWER(Upgrades!$U$11,J227),1)*IF(Upgrades!$T$12="Asteroid Belt",POWER(Upgrades!$U$12,K227),1))+(IF(G227=0,0,(Upgrades!$J$8+G227*Upgrades!$K$8)*POWER(Upgrades!$L$8,G227)))*(IF(Upgrades!$T$6="Stellar Coupling",POWER(Upgrades!$U$6,E227),1)*IF(Upgrades!$T$7="Stellar Coupling",POWER(Upgrades!$U$7,F227),1)*IF(Upgrades!$T$9="Stellar Coupling",POWER(Upgrades!$U$9,H227),1)*IF(Upgrades!$T$10="Stellar Coupling",POWER(Upgrades!$U$10,I227),1)*IF(Upgrades!$T$11="Stellar Coupling",POWER(Upgrades!$U$11,J227),1)*IF(Upgrades!$T$12="Stellar Coupling",POWER(Upgrades!$U$12,K227),1))+(IF(H227=0,0,(Upgrades!$J$9+H227*Upgrades!$K$9)*POWER(Upgrades!$L$9,H227)))*(IF(Upgrades!$T$6="Magnetosphere",POWER(Upgrades!$U$6,E227),1)*IF(Upgrades!$T$7="Magnetosphere",POWER(Upgrades!$U$7,F227),1)*IF(Upgrades!$T$8="Magnetosphere",POWER(Upgrades!$U$8,G227),1)*IF(Upgrades!$T$10="Magnetosphere",POWER(Upgrades!$U$10,I227),1)*IF(Upgrades!$T$11="Magnetosphere",POWER(Upgrades!$U$11,J227),1)*IF(Upgrades!$T$12="Magnetosphere",POWER(Upgrades!$U$12,K227),1))+(IF(I227=0,0,(Upgrades!$J$10+I227*Upgrades!$K$10)*POWER(Upgrades!$L$10,I227)))*(IF(Upgrades!$T$6="Orbital Resonance",POWER(Upgrades!$U$6,E227),1)*IF(Upgrades!$T$7="Orbital Resonance",POWER(Upgrades!$U$7,F227),1)*IF(Upgrades!$T$8="Orbital Resonance",POWER(Upgrades!$U$8,G227),1)*IF(Upgrades!$T$9="Orbital Resonance",POWER(Upgrades!$U$9,H227),1)*IF(Upgrades!$T$11="Orbital Resonance",POWER(Upgrades!$U$11,J227),1)*IF(Upgrades!$T$12="Orbital Resonance",POWER(Upgrades!$U$12,K227),1))+(IF(J227=0,0,(Upgrades!$J$11+J227*Upgrades!$K$11)*POWER(Upgrades!$L$11,J227)))*(IF(Upgrades!$T$6="Heliopause",POWER(Upgrades!$U$6,E227),1)*IF(Upgrades!$T$7="Heliopause",POWER(Upgrades!$U$7,F227),1)*IF(Upgrades!$T$8="Heliopause",POWER(Upgrades!$U$8,G227),1)*IF(Upgrades!$T$9="Heliopause",POWER(Upgrades!$U$9,H227),1)*IF(Upgrades!$T$10="Heliopause",POWER(Upgrades!$U$10,I227),1)*IF(Upgrades!$T$12="Heliopause",POWER(Upgrades!$U$12,K227),1))+(IF(K227=0,0,(Upgrades!$J$12+K227*Upgrades!$K$12)*POWER(Upgrades!$L$12,K227)))*(IF(Upgrades!$T$6="First Photons",POWER(Upgrades!$U$6,E227),1)*IF(Upgrades!$T$7="First Photons",POWER(Upgrades!$U$7,F227),1)*IF(Upgrades!$T$8="First Photons",POWER(Upgrades!$U$8,G227),1)*IF(Upgrades!$T$9="First Photons",POWER(Upgrades!$U$9,H227),1)*IF(Upgrades!$T$10="First Photons",POWER(Upgrades!$U$10,I227),1)*IF(Upgrades!$T$11="First Photons",POWER(Upgrades!$U$11,J227),1)))*POWER(Upgrades!$Q$6,E227)*POWER(Upgrades!$Q$7,F227)*POWER(Upgrades!$Q$8,G227)*POWER(Upgrades!$Q$9,H227)*POWER(Upgrades!$Q$10,I227)*POWER(Upgrades!$Q$11,J227)*POWER(Upgrades!$Q$12,K227)</f>
        <v/>
      </c>
      <c r="N227" s="28">
        <f>((IF(E227=0,0,(Upgrades!$G$6+E227*Upgrades!$H$6)*POWER(Upgrades!$I$6,E227)))*(IF(Upgrades!$T$7="Solar Wind",POWER(Upgrades!$U$7,F227),1)*IF(Upgrades!$T$8="Solar Wind",POWER(Upgrades!$U$8,G227),1)*IF(Upgrades!$T$9="Solar Wind",POWER(Upgrades!$U$9,H227),1)*IF(Upgrades!$T$10="Solar Wind",POWER(Upgrades!$U$10,I227),1)*IF(Upgrades!$T$11="Solar Wind",POWER(Upgrades!$U$11,J227),1)*IF(Upgrades!$T$12="Solar Wind",POWER(Upgrades!$U$12,K227),1))+(IF(F227=0,0,(Upgrades!$G$7+F227*Upgrades!$H$7)*POWER(Upgrades!$I$7,F227)))*(IF(Upgrades!$T$6="Asteroid Belt",POWER(Upgrades!$U$6,E227),1)*IF(Upgrades!$T$8="Asteroid Belt",POWER(Upgrades!$U$8,G227),1)*IF(Upgrades!$T$9="Asteroid Belt",POWER(Upgrades!$U$9,H227),1)*IF(Upgrades!$T$10="Asteroid Belt",POWER(Upgrades!$U$10,I227),1)*IF(Upgrades!$T$11="Asteroid Belt",POWER(Upgrades!$U$11,J227),1)*IF(Upgrades!$T$12="Asteroid Belt",POWER(Upgrades!$U$12,K227),1))+(IF(G227=0,0,(Upgrades!$G$8+G227*Upgrades!$H$8)*POWER(Upgrades!$I$8,G227)))*(IF(Upgrades!$T$6="Stellar Coupling",POWER(Upgrades!$U$6,E227),1)*IF(Upgrades!$T$7="Stellar Coupling",POWER(Upgrades!$U$7,F227),1)*IF(Upgrades!$T$9="Stellar Coupling",POWER(Upgrades!$U$9,H227),1)*IF(Upgrades!$T$10="Stellar Coupling",POWER(Upgrades!$U$10,I227),1)*IF(Upgrades!$T$11="Stellar Coupling",POWER(Upgrades!$U$11,J227),1)*IF(Upgrades!$T$12="Stellar Coupling",POWER(Upgrades!$U$12,K227),1))+(IF(H227=0,0,(Upgrades!$G$9+H227*Upgrades!$H$9)*POWER(Upgrades!$I$9,H227)))*(IF(Upgrades!$T$6="Magnetosphere",POWER(Upgrades!$U$6,E227),1)*IF(Upgrades!$T$7="Magnetosphere",POWER(Upgrades!$U$7,F227),1)*IF(Upgrades!$T$8="Magnetosphere",POWER(Upgrades!$U$8,G227),1)*IF(Upgrades!$T$10="Magnetosphere",POWER(Upgrades!$U$10,I227),1)*IF(Upgrades!$T$11="Magnetosphere",POWER(Upgrades!$U$11,J227),1)*IF(Upgrades!$T$12="Magnetosphere",POWER(Upgrades!$U$12,K227),1))+(IF(I227=0,0,(Upgrades!$G$10+I227*Upgrades!$H$10)*POWER(Upgrades!$I$10,I227)))*(IF(Upgrades!$T$6="Orbital Resonance",POWER(Upgrades!$U$6,E227),1)*IF(Upgrades!$T$7="Orbital Resonance",POWER(Upgrades!$U$7,F227),1)*IF(Upgrades!$T$8="Orbital Resonance",POWER(Upgrades!$U$8,G227),1)*IF(Upgrades!$T$9="Orbital Resonance",POWER(Upgrades!$U$9,H227),1)*IF(Upgrades!$T$11="Orbital Resonance",POWER(Upgrades!$U$11,J227),1)*IF(Upgrades!$T$12="Orbital Resonance",POWER(Upgrades!$U$12,K227),1))+(IF(J227=0,0,(Upgrades!$G$11+J227*Upgrades!$H$11)*POWER(Upgrades!$I$11,J227)))*(IF(Upgrades!$T$6="Heliopause",POWER(Upgrades!$U$6,E227),1)*IF(Upgrades!$T$7="Heliopause",POWER(Upgrades!$U$7,F227),1)*IF(Upgrades!$T$8="Heliopause",POWER(Upgrades!$U$8,G227),1)*IF(Upgrades!$T$9="Heliopause",POWER(Upgrades!$U$9,H227),1)*IF(Upgrades!$T$10="Heliopause",POWER(Upgrades!$U$10,I227),1)*IF(Upgrades!$T$12="Heliopause",POWER(Upgrades!$U$12,K227),1))+(IF(K227=0,0,(Upgrades!$G$12+K227*Upgrades!$H$12)*POWER(Upgrades!$I$12,K227)))*(IF(Upgrades!$T$6="First Photons",POWER(Upgrades!$U$6,E227),1)*IF(Upgrades!$T$7="First Photons",POWER(Upgrades!$U$7,F227),1)*IF(Upgrades!$T$8="First Photons",POWER(Upgrades!$U$8,G227),1)*IF(Upgrades!$T$9="First Photons",POWER(Upgrades!$U$9,H227),1)*IF(Upgrades!$T$10="First Photons",POWER(Upgrades!$U$10,I227),1)*IF(Upgrades!$T$11="First Photons",POWER(Upgrades!$U$11,J227),1)))*POWER(Upgrades!$P$6,E227)*POWER(Upgrades!$P$7,F227)*POWER(Upgrades!$P$8,G227)*POWER(Upgrades!$P$9,H227)*POWER(Upgrades!$P$10,I227)*POWER(Upgrades!$P$11,J227)*POWER(Upgrades!$P$12,K227)</f>
        <v/>
      </c>
      <c r="O227" s="28">
        <f>((IF(E227=0,0,(Upgrades!$M$6+E227*Upgrades!$N$6)*POWER(Upgrades!$O$6,E227)))*(IF(Upgrades!$T$7="Solar Wind",POWER(Upgrades!$U$7,F227),1)*IF(Upgrades!$T$8="Solar Wind",POWER(Upgrades!$U$8,G227),1)*IF(Upgrades!$T$9="Solar Wind",POWER(Upgrades!$U$9,H227),1)*IF(Upgrades!$T$10="Solar Wind",POWER(Upgrades!$U$10,I227),1)*IF(Upgrades!$T$11="Solar Wind",POWER(Upgrades!$U$11,J227),1)*IF(Upgrades!$T$12="Solar Wind",POWER(Upgrades!$U$12,K227),1))+(IF(F227=0,0,(Upgrades!$M$7+F227*Upgrades!$N$7)*POWER(Upgrades!$O$7,F227)))*(IF(Upgrades!$T$6="Asteroid Belt",POWER(Upgrades!$U$6,E227),1)*IF(Upgrades!$T$8="Asteroid Belt",POWER(Upgrades!$U$8,G227),1)*IF(Upgrades!$T$9="Asteroid Belt",POWER(Upgrades!$U$9,H227),1)*IF(Upgrades!$T$10="Asteroid Belt",POWER(Upgrades!$U$10,I227),1)*IF(Upgrades!$T$11="Asteroid Belt",POWER(Upgrades!$U$11,J227),1)*IF(Upgrades!$T$12="Asteroid Belt",POWER(Upgrades!$U$12,K227),1))+(IF(G227=0,0,(Upgrades!$M$8+G227*Upgrades!$N$8)*POWER(Upgrades!$O$8,G227)))*(IF(Upgrades!$T$6="Stellar Coupling",POWER(Upgrades!$U$6,E227),1)*IF(Upgrades!$T$7="Stellar Coupling",POWER(Upgrades!$U$7,F227),1)*IF(Upgrades!$T$9="Stellar Coupling",POWER(Upgrades!$U$9,H227),1)*IF(Upgrades!$T$10="Stellar Coupling",POWER(Upgrades!$U$10,I227),1)*IF(Upgrades!$T$11="Stellar Coupling",POWER(Upgrades!$U$11,J227),1)*IF(Upgrades!$T$12="Stellar Coupling",POWER(Upgrades!$U$12,K227),1))+(IF(H227=0,0,(Upgrades!$M$9+H227*Upgrades!$N$9)*POWER(Upgrades!$O$9,H227)))*(IF(Upgrades!$T$6="Magnetosphere",POWER(Upgrades!$U$6,E227),1)*IF(Upgrades!$T$7="Magnetosphere",POWER(Upgrades!$U$7,F227),1)*IF(Upgrades!$T$8="Magnetosphere",POWER(Upgrades!$U$8,G227),1)*IF(Upgrades!$T$10="Magnetosphere",POWER(Upgrades!$U$10,I227),1)*IF(Upgrades!$T$11="Magnetosphere",POWER(Upgrades!$U$11,J227),1)*IF(Upgrades!$T$12="Magnetosphere",POWER(Upgrades!$U$12,K227),1))+(IF(I227=0,0,(Upgrades!$M$10+I227*Upgrades!$N$10)*POWER(Upgrades!$O$10,I227)))*(IF(Upgrades!$T$6="Orbital Resonance",POWER(Upgrades!$U$6,E227),1)*IF(Upgrades!$T$7="Orbital Resonance",POWER(Upgrades!$U$7,F227),1)*IF(Upgrades!$T$8="Orbital Resonance",POWER(Upgrades!$U$8,G227),1)*IF(Upgrades!$T$9="Orbital Resonance",POWER(Upgrades!$U$9,H227),1)*IF(Upgrades!$T$11="Orbital Resonance",POWER(Upgrades!$U$11,J227),1)*IF(Upgrades!$T$12="Orbital Resonance",POWER(Upgrades!$U$12,K227),1))+(IF(J227=0,0,(Upgrades!$M$11+J227*Upgrades!$N$11)*POWER(Upgrades!$O$11,J227)))*(IF(Upgrades!$T$6="Heliopause",POWER(Upgrades!$U$6,E227),1)*IF(Upgrades!$T$7="Heliopause",POWER(Upgrades!$U$7,F227),1)*IF(Upgrades!$T$8="Heliopause",POWER(Upgrades!$U$8,G227),1)*IF(Upgrades!$T$9="Heliopause",POWER(Upgrades!$U$9,H227),1)*IF(Upgrades!$T$10="Heliopause",POWER(Upgrades!$U$10,I227),1)*IF(Upgrades!$T$12="Heliopause",POWER(Upgrades!$U$12,K227),1))+(IF(K227=0,0,(Upgrades!$M$12+K227*Upgrades!$N$12)*POWER(Upgrades!$O$12,K227)))*(IF(Upgrades!$T$6="First Photons",POWER(Upgrades!$U$6,E227),1)*IF(Upgrades!$T$7="First Photons",POWER(Upgrades!$U$7,F227),1)*IF(Upgrades!$T$8="First Photons",POWER(Upgrades!$U$8,G227),1)*IF(Upgrades!$T$9="First Photons",POWER(Upgrades!$U$9,H227),1)*IF(Upgrades!$T$10="First Photons",POWER(Upgrades!$U$10,I227),1)*IF(Upgrades!$T$11="First Photons",POWER(Upgrades!$U$11,J227),1)))*POWER(Upgrades!$R$6,E227)*POWER(Upgrades!$R$7,F227)*POWER(Upgrades!$R$8,G227)*POWER(Upgrades!$R$9,H227)*POWER(Upgrades!$R$10,I227)*POWER(Upgrades!$R$11,J227)*POWER(Upgrades!$R$12,K227)</f>
        <v/>
      </c>
      <c r="P227" s="27">
        <f>IF(L227=1,0,M227*Parameters!$B$10/60*Parameters!$B$11*10)</f>
        <v/>
      </c>
      <c r="Q227" s="27">
        <f>IF(L227=1,0,O227*M227*10)</f>
        <v/>
      </c>
      <c r="R227" s="27">
        <f>IF(L227=1,0,N227*10)</f>
        <v/>
      </c>
      <c r="S227" s="27">
        <f>P227+Q227+R227</f>
        <v/>
      </c>
      <c r="T227" s="22">
        <f>C227+S227</f>
        <v/>
      </c>
      <c r="U227" s="33">
        <f>AX227</f>
        <v/>
      </c>
      <c r="V227" s="22">
        <f>IF(U227="",0,IF(U227="transition",0,IF(U227="SW",AG227,IF(U227="AB",AH227,IF(U227="SC",AI227,IF(U227="Mag",AJ227,IF(U227="OR",AK227,IF(U227="HP",AL227,IF(U227="FP",AM227,0)))))))))</f>
        <v/>
      </c>
      <c r="W227" s="27">
        <f>IF(U227="OR",Upgrades!$F$10,IF(U227="HP",Upgrades!$F$11,IF(U227="transition",-Parameters!$B$18,0)))</f>
        <v/>
      </c>
      <c r="X227" s="22">
        <f>T227-V227</f>
        <v/>
      </c>
      <c r="Y227" s="30">
        <f>M227*Parameters!$B$10/60*Parameters!$B$11+O227*M227+N227</f>
        <v/>
      </c>
      <c r="Z227" s="34">
        <f>IF(U227="transition","→ Tier 2 (Stellar Neighborhood)",IF(U227="FP","First Photons — light begins, system quickens",IF(U227="HP","Heliopause acquired",IF(U227="OR","Orbital Resonance — passive multiplier active",IF(AND(AO227=1,L227=0,AN227&lt;&gt;1),"Cohesion ready (waiting on completionist upgrades)","")))))</f>
        <v/>
      </c>
      <c r="AA227" s="27">
        <f>(IF(E227=0,0,(Upgrades!$G$6+E227*Upgrades!$H$6)*POWER(Upgrades!$I$6,E227)))*(IF(Upgrades!$T$7="Solar Wind",POWER(Upgrades!$U$7,F227),1)*IF(Upgrades!$T$8="Solar Wind",POWER(Upgrades!$U$8,G227),1)*IF(Upgrades!$T$9="Solar Wind",POWER(Upgrades!$U$9,H227),1)*IF(Upgrades!$T$10="Solar Wind",POWER(Upgrades!$U$10,I227),1)*IF(Upgrades!$T$11="Solar Wind",POWER(Upgrades!$U$11,J227),1)*IF(Upgrades!$T$12="Solar Wind",POWER(Upgrades!$U$12,K227),1))*POWER(Upgrades!$P$6,E227)*POWER(Upgrades!$P$7,F227)*POWER(Upgrades!$P$8,G227)*POWER(Upgrades!$P$9,H227)*POWER(Upgrades!$P$10,I227)*POWER(Upgrades!$P$11,J227)*POWER(Upgrades!$P$12,K227)*60</f>
        <v/>
      </c>
      <c r="AB227" s="27">
        <f>(IF(F227=0,0,(Upgrades!$G$7+F227*Upgrades!$H$7)*POWER(Upgrades!$I$7,F227)))*(IF(Upgrades!$T$6="Asteroid Belt",POWER(Upgrades!$U$6,E227),1)*IF(Upgrades!$T$8="Asteroid Belt",POWER(Upgrades!$U$8,G227),1)*IF(Upgrades!$T$9="Asteroid Belt",POWER(Upgrades!$U$9,H227),1)*IF(Upgrades!$T$10="Asteroid Belt",POWER(Upgrades!$U$10,I227),1)*IF(Upgrades!$T$11="Asteroid Belt",POWER(Upgrades!$U$11,J227),1)*IF(Upgrades!$T$12="Asteroid Belt",POWER(Upgrades!$U$12,K227),1))*POWER(Upgrades!$P$6,E227)*POWER(Upgrades!$P$7,F227)*POWER(Upgrades!$P$8,G227)*POWER(Upgrades!$P$9,H227)*POWER(Upgrades!$P$10,I227)*POWER(Upgrades!$P$11,J227)*POWER(Upgrades!$P$12,K227)*60</f>
        <v/>
      </c>
      <c r="AC227" s="27">
        <f>(IF(G227=0,0,(Upgrades!$J$8+G227*Upgrades!$K$8)*POWER(Upgrades!$L$8,G227)))*(IF(Upgrades!$T$6="Stellar Coupling",POWER(Upgrades!$U$6,E227),1)*IF(Upgrades!$T$7="Stellar Coupling",POWER(Upgrades!$U$7,F227),1)*IF(Upgrades!$T$9="Stellar Coupling",POWER(Upgrades!$U$9,H227),1)*IF(Upgrades!$T$10="Stellar Coupling",POWER(Upgrades!$U$10,I227),1)*IF(Upgrades!$T$11="Stellar Coupling",POWER(Upgrades!$U$11,J227),1)*IF(Upgrades!$T$12="Stellar Coupling",POWER(Upgrades!$U$12,K227),1))*POWER(Upgrades!$Q$6,E227)*POWER(Upgrades!$Q$7,F227)*POWER(Upgrades!$Q$8,G227)*POWER(Upgrades!$Q$9,H227)*POWER(Upgrades!$Q$10,I227)*POWER(Upgrades!$Q$11,J227)*POWER(Upgrades!$Q$12,K227)*Parameters!$B$10*Parameters!$B$11</f>
        <v/>
      </c>
      <c r="AD227" s="27">
        <f>(IF(H227=0,0,(Upgrades!$G$9+H227*Upgrades!$H$9)*POWER(Upgrades!$I$9,H227)))*(IF(Upgrades!$T$6="Magnetosphere",POWER(Upgrades!$U$6,E227),1)*IF(Upgrades!$T$7="Magnetosphere",POWER(Upgrades!$U$7,F227),1)*IF(Upgrades!$T$8="Magnetosphere",POWER(Upgrades!$U$8,G227),1)*IF(Upgrades!$T$10="Magnetosphere",POWER(Upgrades!$U$10,I227),1)*IF(Upgrades!$T$11="Magnetosphere",POWER(Upgrades!$U$11,J227),1)*IF(Upgrades!$T$12="Magnetosphere",POWER(Upgrades!$U$12,K227),1))*POWER(Upgrades!$P$6,E227)*POWER(Upgrades!$P$7,F227)*POWER(Upgrades!$P$8,G227)*POWER(Upgrades!$P$9,H227)*POWER(Upgrades!$P$10,I227)*POWER(Upgrades!$P$11,J227)*POWER(Upgrades!$P$12,K227)*60</f>
        <v/>
      </c>
      <c r="AE227" s="27">
        <f>(IF(K227=0,0,(Upgrades!$G$12+K227*Upgrades!$H$12)*POWER(Upgrades!$I$12,K227)))*(IF(Upgrades!$T$6="First Photons",POWER(Upgrades!$U$6,E227),1)*IF(Upgrades!$T$7="First Photons",POWER(Upgrades!$U$7,F227),1)*IF(Upgrades!$T$8="First Photons",POWER(Upgrades!$U$8,G227),1)*IF(Upgrades!$T$9="First Photons",POWER(Upgrades!$U$9,H227),1)*IF(Upgrades!$T$10="First Photons",POWER(Upgrades!$U$10,I227),1)*IF(Upgrades!$T$11="First Photons",POWER(Upgrades!$U$11,J227),1))*POWER(Upgrades!$P$6,E227)*POWER(Upgrades!$P$7,F227)*POWER(Upgrades!$P$8,G227)*POWER(Upgrades!$P$9,H227)*POWER(Upgrades!$P$10,I227)*POWER(Upgrades!$P$11,J227)*POWER(Upgrades!$P$12,K227)*60</f>
        <v/>
      </c>
      <c r="AF227" s="27">
        <f>Parameters!$B$9*POWER(Upgrades!$Q$6,E227)*POWER(Upgrades!$Q$7,F227)*POWER(Upgrades!$Q$8,G227)*POWER(Upgrades!$Q$9,H227)*POWER(Upgrades!$Q$10,I227)*POWER(Upgrades!$Q$11,J227)*POWER(Upgrades!$Q$12,K227)*(Parameters!$B$10*Parameters!$B$11+O227*60)</f>
        <v/>
      </c>
      <c r="AG227" s="22">
        <f>IF(E227&gt;=Upgrades!$E$6,"",Upgrades!$C$6*POWER(Upgrades!$D$6,E227))</f>
        <v/>
      </c>
      <c r="AH227" s="22">
        <f>IF(F227&gt;=Upgrades!$E$7,"",Upgrades!$C$7*POWER(Upgrades!$D$7,F227))</f>
        <v/>
      </c>
      <c r="AI227" s="22">
        <f>IF(G227&gt;=Upgrades!$E$8,"",Upgrades!$C$8*POWER(Upgrades!$D$8,G227))</f>
        <v/>
      </c>
      <c r="AJ227" s="22">
        <f>IF(H227&gt;=Upgrades!$E$9,"",Upgrades!$C$9*POWER(Upgrades!$D$9,H227))</f>
        <v/>
      </c>
      <c r="AK227" s="22">
        <f>IF(I227&gt;=Upgrades!$E$10,"",Upgrades!$C$10*POWER(Upgrades!$D$10,I227))</f>
        <v/>
      </c>
      <c r="AL227" s="22">
        <f>IF(J227&gt;=Upgrades!$E$11,"",Upgrades!$C$11*POWER(Upgrades!$D$11,J227))</f>
        <v/>
      </c>
      <c r="AM227" s="22">
        <f>IF(K227&gt;=Upgrades!$E$12,"",Upgrades!$C$12*POWER(Upgrades!$D$12,K227))</f>
        <v/>
      </c>
      <c r="AN227" s="26">
        <f>IF(AND(D227&gt;=Parameters!$B$18,(H227&gt;=Upgrades!$E$9)*(K227&gt;=Upgrades!$E$12)=1,L227=0),1,"")</f>
        <v/>
      </c>
      <c r="AO227" s="26">
        <f>IF(AND(D227&gt;=Parameters!$B$18,L227=0),1,"")</f>
        <v/>
      </c>
      <c r="AP227" s="22">
        <f>MIN(IF(ISNUMBER(AK227),AK227,9E15),IF(ISNUMBER(AL227),AL227,9E15),IF(ISNUMBER(AM227),AM227,9E15))</f>
        <v/>
      </c>
      <c r="AQ227" s="22">
        <f>MIN(IF(ISNUMBER(AG227),AG227,9E15),IF(ISNUMBER(AH227),AH227,9E15),IF(ISNUMBER(AI227),AI227,9E15),IF(ISNUMBER(AJ227),AJ227,9E15))</f>
        <v/>
      </c>
      <c r="AR227" s="29">
        <f>IF(AW227&gt;Parameters!$B$21*(MAX(IF(AND(NOT(AND(AO227=1,AN227&lt;&gt;1)),ISNUMBER(AG227),AG227&lt;=T227),AS227,0),IF(AND(NOT(AND(AO227=1,AN227&lt;&gt;1)),ISNUMBER(AH227),AH227&lt;=T227),AT227,0),IF(AND(NOT(AND(AO227=1,AN227&lt;&gt;1)),ISNUMBER(AI227),AI227&lt;=T227),AU227,0),IF(AND(ISNUMBER(AJ227),AJ227&lt;=T227),AV227,0))),TRUE,FALSE)</f>
        <v/>
      </c>
      <c r="AS227" s="32">
        <f>IFERROR(Upgrades!$H$6*(POWER(Upgrades!$P$6,E227)*POWER(Upgrades!$P$7,F227)*POWER(Upgrades!$P$8,G227)*POWER(Upgrades!$P$9,H227)*POWER(Upgrades!$P$10,I227)*POWER(Upgrades!$P$11,J227)*POWER(Upgrades!$P$12,K227))*(IF(Upgrades!$T$7="Solar Wind",POWER(Upgrades!$U$7,F227),1)*IF(Upgrades!$T$8="Solar Wind",POWER(Upgrades!$U$8,G227),1)*IF(Upgrades!$T$9="Solar Wind",POWER(Upgrades!$U$9,H227),1)*IF(Upgrades!$T$10="Solar Wind",POWER(Upgrades!$U$10,I227),1)*IF(Upgrades!$T$11="Solar Wind",POWER(Upgrades!$U$11,J227),1)*IF(Upgrades!$T$12="Solar Wind",POWER(Upgrades!$U$12,K227),1))/AG227,0)</f>
        <v/>
      </c>
      <c r="AT227" s="32">
        <f>IFERROR(Upgrades!$H$7*(POWER(Upgrades!$P$6,E227)*POWER(Upgrades!$P$7,F227)*POWER(Upgrades!$P$8,G227)*POWER(Upgrades!$P$9,H227)*POWER(Upgrades!$P$10,I227)*POWER(Upgrades!$P$11,J227)*POWER(Upgrades!$P$12,K227))*(IF(Upgrades!$T$6="Asteroid Belt",POWER(Upgrades!$U$6,E227),1)*IF(Upgrades!$T$8="Asteroid Belt",POWER(Upgrades!$U$8,G227),1)*IF(Upgrades!$T$9="Asteroid Belt",POWER(Upgrades!$U$9,H227),1)*IF(Upgrades!$T$10="Asteroid Belt",POWER(Upgrades!$U$10,I227),1)*IF(Upgrades!$T$11="Asteroid Belt",POWER(Upgrades!$U$11,J227),1)*IF(Upgrades!$T$12="Asteroid Belt",POWER(Upgrades!$U$12,K227),1))/AH227,0)</f>
        <v/>
      </c>
      <c r="AU227" s="32">
        <f>IFERROR(Upgrades!$K$8*(POWER(Upgrades!$Q$6,E227)*POWER(Upgrades!$Q$7,F227)*POWER(Upgrades!$Q$8,G227)*POWER(Upgrades!$Q$9,H227)*POWER(Upgrades!$Q$10,I227)*POWER(Upgrades!$Q$11,J227)*POWER(Upgrades!$Q$12,K227))*(IF(Upgrades!$T$6="Stellar Coupling",POWER(Upgrades!$U$6,E227),1)*IF(Upgrades!$T$7="Stellar Coupling",POWER(Upgrades!$U$7,F227),1)*IF(Upgrades!$T$9="Stellar Coupling",POWER(Upgrades!$U$9,H227),1)*IF(Upgrades!$T$10="Stellar Coupling",POWER(Upgrades!$U$10,I227),1)*IF(Upgrades!$T$11="Stellar Coupling",POWER(Upgrades!$U$11,J227),1)*IF(Upgrades!$T$12="Stellar Coupling",POWER(Upgrades!$U$12,K227),1))*Parameters!$B$10*Parameters!$B$11/60/AI227,0)</f>
        <v/>
      </c>
      <c r="AV227" s="32">
        <f>IFERROR(Upgrades!$H$9*(POWER(Upgrades!$P$6,E227)*POWER(Upgrades!$P$7,F227)*POWER(Upgrades!$P$8,G227)*POWER(Upgrades!$P$9,H227)*POWER(Upgrades!$P$10,I227)*POWER(Upgrades!$P$11,J227)*POWER(Upgrades!$P$12,K227))*(IF(Upgrades!$T$6="Magnetosphere",POWER(Upgrades!$U$6,E227),1)*IF(Upgrades!$T$7="Magnetosphere",POWER(Upgrades!$U$7,F227),1)*IF(Upgrades!$T$8="Magnetosphere",POWER(Upgrades!$U$8,G227),1)*IF(Upgrades!$T$10="Magnetosphere",POWER(Upgrades!$U$10,I227),1)*IF(Upgrades!$T$11="Magnetosphere",POWER(Upgrades!$U$11,J227),1)*IF(Upgrades!$T$12="Magnetosphere",POWER(Upgrades!$U$12,K227),1))/AJ227,0)</f>
        <v/>
      </c>
      <c r="AW227" s="32">
        <f>MAX(IF(I227&gt;0,0,IFERROR(0.25*N227/Upgrades!$C$10,0)),IF(J227&gt;0,0,IFERROR(0.5*((IF(G227=0,0,(Upgrades!$J$8+G227*Upgrades!$K$8)*POWER(Upgrades!$L$8,G227)))*(IF(Upgrades!$T$6="Stellar Coupling",POWER(Upgrades!$U$6,E227),1)*IF(Upgrades!$T$7="Stellar Coupling",POWER(Upgrades!$U$7,F227),1)*IF(Upgrades!$T$9="Stellar Coupling",POWER(Upgrades!$U$9,H227),1)*IF(Upgrades!$T$10="Stellar Coupling",POWER(Upgrades!$U$10,I227),1)*IF(Upgrades!$T$11="Stellar Coupling",POWER(Upgrades!$U$11,J227),1)*IF(Upgrades!$T$12="Stellar Coupling",POWER(Upgrades!$U$12,K227),1))*(POWER(Upgrades!$Q$6,E227)*POWER(Upgrades!$Q$7,F227)*POWER(Upgrades!$Q$8,G227)*POWER(Upgrades!$Q$9,H227)*POWER(Upgrades!$Q$10,I227)*POWER(Upgrades!$Q$11,J227)*POWER(Upgrades!$Q$12,K227))*Parameters!$B$10*Parameters!$B$11/60)/Upgrades!$C$11,0)),IF(K227&gt;0,0,IFERROR((1.0*(POWER(Upgrades!$P$6,E227)*POWER(Upgrades!$P$7,F227)*POWER(Upgrades!$P$8,G227)*POWER(Upgrades!$P$9,H227)*POWER(Upgrades!$P$10,I227)*POWER(Upgrades!$P$11,J227)*POWER(Upgrades!$P$12,K227))+0.20*M227*Parameters!$B$10*Parameters!$B$11/60)/Upgrades!$C$12,0)),IF(AND(ISNUMBER(AG227),AG227&gt;T227),AS227,0),IF(AND(ISNUMBER(AH227),AH227&gt;T227),AT227,0),IF(AND(ISNUMBER(AI227),AI227&gt;T227),AU227,0),IF(AND(ISNUMBER(AJ227),AJ227&gt;T227),AV227,0))</f>
        <v/>
      </c>
      <c r="AX227" s="29">
        <f>IF(AN227=1,"transition",IF(MIN(IF(AND(I227=0,ISNUMBER(AK227),AK227&lt;=T227),AK227,9E15),IF(AND(J227=0,ISNUMBER(AL227),AL227&lt;=T227),AL227,9E15),IF(AND(K227=0,ISNUMBER(AM227),AM227&lt;=T227),AM227,9E15))&lt;9E15,IF(AND(AND(I227=0,ISNUMBER(AK227),AK227&lt;=T227),AK227=MIN(IF(AND(I227=0,ISNUMBER(AK227),AK227&lt;=T227),AK227,9E15),IF(AND(J227=0,ISNUMBER(AL227),AL227&lt;=T227),AL227,9E15),IF(AND(K227=0,ISNUMBER(AM227),AM227&lt;=T227),AM227,9E15))),"OR",IF(AND(AND(J227=0,ISNUMBER(AL227),AL227&lt;=T227),AL227=MIN(IF(AND(I227=0,ISNUMBER(AK227),AK227&lt;=T227),AK227,9E15),IF(AND(J227=0,ISNUMBER(AL227),AL227&lt;=T227),AL227,9E15),IF(AND(K227=0,ISNUMBER(AM227),AM227&lt;=T227),AM227,9E15))),"HP","FP")),IF(AR227=TRUE,"",IF(MAX(IF(AND(NOT(AND(AO227=1,AN227&lt;&gt;1)),ISNUMBER(AG227),AG227&lt;=T227),AS227,0),IF(AND(NOT(AND(AO227=1,AN227&lt;&gt;1)),ISNUMBER(AH227),AH227&lt;=T227),AT227,0),IF(AND(NOT(AND(AO227=1,AN227&lt;&gt;1)),ISNUMBER(AI227),AI227&lt;=T227),AU227,0),IF(AND(ISNUMBER(AJ227),AJ227&lt;=T227),AV227,0))&lt;=0,"",IF(AND(IF(AND(NOT(AND(AO227=1,AN227&lt;&gt;1)),ISNUMBER(AG227),AG227&lt;=T227),AS227,0)&gt;0,IF(AND(NOT(AND(AO227=1,AN227&lt;&gt;1)),ISNUMBER(AG227),AG227&lt;=T227),AS227,0)=MAX(IF(AND(NOT(AND(AO227=1,AN227&lt;&gt;1)),ISNUMBER(AG227),AG227&lt;=T227),AS227,0),IF(AND(NOT(AND(AO227=1,AN227&lt;&gt;1)),ISNUMBER(AH227),AH227&lt;=T227),AT227,0),IF(AND(NOT(AND(AO227=1,AN227&lt;&gt;1)),ISNUMBER(AI227),AI227&lt;=T227),AU227,0),IF(AND(ISNUMBER(AJ227),AJ227&lt;=T227),AV227,0))),"SW",IF(AND(IF(AND(NOT(AND(AO227=1,AN227&lt;&gt;1)),ISNUMBER(AH227),AH227&lt;=T227),AT227,0)&gt;0,IF(AND(NOT(AND(AO227=1,AN227&lt;&gt;1)),ISNUMBER(AH227),AH227&lt;=T227),AT227,0)=MAX(IF(AND(NOT(AND(AO227=1,AN227&lt;&gt;1)),ISNUMBER(AG227),AG227&lt;=T227),AS227,0),IF(AND(NOT(AND(AO227=1,AN227&lt;&gt;1)),ISNUMBER(AH227),AH227&lt;=T227),AT227,0),IF(AND(NOT(AND(AO227=1,AN227&lt;&gt;1)),ISNUMBER(AI227),AI227&lt;=T227),AU227,0),IF(AND(ISNUMBER(AJ227),AJ227&lt;=T227),AV227,0))),"AB",IF(AND(IF(AND(NOT(AND(AO227=1,AN227&lt;&gt;1)),ISNUMBER(AI227),AI227&lt;=T227),AU227,0)&gt;0,IF(AND(NOT(AND(AO227=1,AN227&lt;&gt;1)),ISNUMBER(AI227),AI227&lt;=T227),AU227,0)=MAX(IF(AND(NOT(AND(AO227=1,AN227&lt;&gt;1)),ISNUMBER(AG227),AG227&lt;=T227),AS227,0),IF(AND(NOT(AND(AO227=1,AN227&lt;&gt;1)),ISNUMBER(AH227),AH227&lt;=T227),AT227,0),IF(AND(NOT(AND(AO227=1,AN227&lt;&gt;1)),ISNUMBER(AI227),AI227&lt;=T227),AU227,0),IF(AND(ISNUMBER(AJ227),AJ227&lt;=T227),AV227,0))),"SC","Mag")))))))</f>
        <v/>
      </c>
    </row>
    <row r="228">
      <c r="A228" s="26" t="n">
        <v>223</v>
      </c>
      <c r="B228" s="27">
        <f>A228*10/60</f>
        <v/>
      </c>
      <c r="C228" s="22">
        <f>X227</f>
        <v/>
      </c>
      <c r="D228" s="27">
        <f>D227+W227</f>
        <v/>
      </c>
      <c r="E228" s="26">
        <f>E227+IF(U227="SW",1,0)</f>
        <v/>
      </c>
      <c r="F228" s="26">
        <f>F227+IF(U227="AB",1,0)</f>
        <v/>
      </c>
      <c r="G228" s="26">
        <f>G227+IF(U227="SC",1,0)</f>
        <v/>
      </c>
      <c r="H228" s="26">
        <f>H227+IF(U227="Mag",1,0)</f>
        <v/>
      </c>
      <c r="I228" s="26">
        <f>MAX(I227,IF(U227="OR",1,0))</f>
        <v/>
      </c>
      <c r="J228" s="26">
        <f>MAX(J227,IF(U227="HP",1,0))</f>
        <v/>
      </c>
      <c r="K228" s="26">
        <f>MAX(K227,IF(U227="FP",1,0))</f>
        <v/>
      </c>
      <c r="L228" s="26">
        <f>MAX(L227,IF(U227="transition",1,0))</f>
        <v/>
      </c>
      <c r="M228" s="28">
        <f>(Parameters!$B$9+(IF(E228=0,0,(Upgrades!$J$6+E228*Upgrades!$K$6)*POWER(Upgrades!$L$6,E228)))*(IF(Upgrades!$T$7="Solar Wind",POWER(Upgrades!$U$7,F228),1)*IF(Upgrades!$T$8="Solar Wind",POWER(Upgrades!$U$8,G228),1)*IF(Upgrades!$T$9="Solar Wind",POWER(Upgrades!$U$9,H228),1)*IF(Upgrades!$T$10="Solar Wind",POWER(Upgrades!$U$10,I228),1)*IF(Upgrades!$T$11="Solar Wind",POWER(Upgrades!$U$11,J228),1)*IF(Upgrades!$T$12="Solar Wind",POWER(Upgrades!$U$12,K228),1))+(IF(F228=0,0,(Upgrades!$J$7+F228*Upgrades!$K$7)*POWER(Upgrades!$L$7,F228)))*(IF(Upgrades!$T$6="Asteroid Belt",POWER(Upgrades!$U$6,E228),1)*IF(Upgrades!$T$8="Asteroid Belt",POWER(Upgrades!$U$8,G228),1)*IF(Upgrades!$T$9="Asteroid Belt",POWER(Upgrades!$U$9,H228),1)*IF(Upgrades!$T$10="Asteroid Belt",POWER(Upgrades!$U$10,I228),1)*IF(Upgrades!$T$11="Asteroid Belt",POWER(Upgrades!$U$11,J228),1)*IF(Upgrades!$T$12="Asteroid Belt",POWER(Upgrades!$U$12,K228),1))+(IF(G228=0,0,(Upgrades!$J$8+G228*Upgrades!$K$8)*POWER(Upgrades!$L$8,G228)))*(IF(Upgrades!$T$6="Stellar Coupling",POWER(Upgrades!$U$6,E228),1)*IF(Upgrades!$T$7="Stellar Coupling",POWER(Upgrades!$U$7,F228),1)*IF(Upgrades!$T$9="Stellar Coupling",POWER(Upgrades!$U$9,H228),1)*IF(Upgrades!$T$10="Stellar Coupling",POWER(Upgrades!$U$10,I228),1)*IF(Upgrades!$T$11="Stellar Coupling",POWER(Upgrades!$U$11,J228),1)*IF(Upgrades!$T$12="Stellar Coupling",POWER(Upgrades!$U$12,K228),1))+(IF(H228=0,0,(Upgrades!$J$9+H228*Upgrades!$K$9)*POWER(Upgrades!$L$9,H228)))*(IF(Upgrades!$T$6="Magnetosphere",POWER(Upgrades!$U$6,E228),1)*IF(Upgrades!$T$7="Magnetosphere",POWER(Upgrades!$U$7,F228),1)*IF(Upgrades!$T$8="Magnetosphere",POWER(Upgrades!$U$8,G228),1)*IF(Upgrades!$T$10="Magnetosphere",POWER(Upgrades!$U$10,I228),1)*IF(Upgrades!$T$11="Magnetosphere",POWER(Upgrades!$U$11,J228),1)*IF(Upgrades!$T$12="Magnetosphere",POWER(Upgrades!$U$12,K228),1))+(IF(I228=0,0,(Upgrades!$J$10+I228*Upgrades!$K$10)*POWER(Upgrades!$L$10,I228)))*(IF(Upgrades!$T$6="Orbital Resonance",POWER(Upgrades!$U$6,E228),1)*IF(Upgrades!$T$7="Orbital Resonance",POWER(Upgrades!$U$7,F228),1)*IF(Upgrades!$T$8="Orbital Resonance",POWER(Upgrades!$U$8,G228),1)*IF(Upgrades!$T$9="Orbital Resonance",POWER(Upgrades!$U$9,H228),1)*IF(Upgrades!$T$11="Orbital Resonance",POWER(Upgrades!$U$11,J228),1)*IF(Upgrades!$T$12="Orbital Resonance",POWER(Upgrades!$U$12,K228),1))+(IF(J228=0,0,(Upgrades!$J$11+J228*Upgrades!$K$11)*POWER(Upgrades!$L$11,J228)))*(IF(Upgrades!$T$6="Heliopause",POWER(Upgrades!$U$6,E228),1)*IF(Upgrades!$T$7="Heliopause",POWER(Upgrades!$U$7,F228),1)*IF(Upgrades!$T$8="Heliopause",POWER(Upgrades!$U$8,G228),1)*IF(Upgrades!$T$9="Heliopause",POWER(Upgrades!$U$9,H228),1)*IF(Upgrades!$T$10="Heliopause",POWER(Upgrades!$U$10,I228),1)*IF(Upgrades!$T$12="Heliopause",POWER(Upgrades!$U$12,K228),1))+(IF(K228=0,0,(Upgrades!$J$12+K228*Upgrades!$K$12)*POWER(Upgrades!$L$12,K228)))*(IF(Upgrades!$T$6="First Photons",POWER(Upgrades!$U$6,E228),1)*IF(Upgrades!$T$7="First Photons",POWER(Upgrades!$U$7,F228),1)*IF(Upgrades!$T$8="First Photons",POWER(Upgrades!$U$8,G228),1)*IF(Upgrades!$T$9="First Photons",POWER(Upgrades!$U$9,H228),1)*IF(Upgrades!$T$10="First Photons",POWER(Upgrades!$U$10,I228),1)*IF(Upgrades!$T$11="First Photons",POWER(Upgrades!$U$11,J228),1)))*POWER(Upgrades!$Q$6,E228)*POWER(Upgrades!$Q$7,F228)*POWER(Upgrades!$Q$8,G228)*POWER(Upgrades!$Q$9,H228)*POWER(Upgrades!$Q$10,I228)*POWER(Upgrades!$Q$11,J228)*POWER(Upgrades!$Q$12,K228)</f>
        <v/>
      </c>
      <c r="N228" s="28">
        <f>((IF(E228=0,0,(Upgrades!$G$6+E228*Upgrades!$H$6)*POWER(Upgrades!$I$6,E228)))*(IF(Upgrades!$T$7="Solar Wind",POWER(Upgrades!$U$7,F228),1)*IF(Upgrades!$T$8="Solar Wind",POWER(Upgrades!$U$8,G228),1)*IF(Upgrades!$T$9="Solar Wind",POWER(Upgrades!$U$9,H228),1)*IF(Upgrades!$T$10="Solar Wind",POWER(Upgrades!$U$10,I228),1)*IF(Upgrades!$T$11="Solar Wind",POWER(Upgrades!$U$11,J228),1)*IF(Upgrades!$T$12="Solar Wind",POWER(Upgrades!$U$12,K228),1))+(IF(F228=0,0,(Upgrades!$G$7+F228*Upgrades!$H$7)*POWER(Upgrades!$I$7,F228)))*(IF(Upgrades!$T$6="Asteroid Belt",POWER(Upgrades!$U$6,E228),1)*IF(Upgrades!$T$8="Asteroid Belt",POWER(Upgrades!$U$8,G228),1)*IF(Upgrades!$T$9="Asteroid Belt",POWER(Upgrades!$U$9,H228),1)*IF(Upgrades!$T$10="Asteroid Belt",POWER(Upgrades!$U$10,I228),1)*IF(Upgrades!$T$11="Asteroid Belt",POWER(Upgrades!$U$11,J228),1)*IF(Upgrades!$T$12="Asteroid Belt",POWER(Upgrades!$U$12,K228),1))+(IF(G228=0,0,(Upgrades!$G$8+G228*Upgrades!$H$8)*POWER(Upgrades!$I$8,G228)))*(IF(Upgrades!$T$6="Stellar Coupling",POWER(Upgrades!$U$6,E228),1)*IF(Upgrades!$T$7="Stellar Coupling",POWER(Upgrades!$U$7,F228),1)*IF(Upgrades!$T$9="Stellar Coupling",POWER(Upgrades!$U$9,H228),1)*IF(Upgrades!$T$10="Stellar Coupling",POWER(Upgrades!$U$10,I228),1)*IF(Upgrades!$T$11="Stellar Coupling",POWER(Upgrades!$U$11,J228),1)*IF(Upgrades!$T$12="Stellar Coupling",POWER(Upgrades!$U$12,K228),1))+(IF(H228=0,0,(Upgrades!$G$9+H228*Upgrades!$H$9)*POWER(Upgrades!$I$9,H228)))*(IF(Upgrades!$T$6="Magnetosphere",POWER(Upgrades!$U$6,E228),1)*IF(Upgrades!$T$7="Magnetosphere",POWER(Upgrades!$U$7,F228),1)*IF(Upgrades!$T$8="Magnetosphere",POWER(Upgrades!$U$8,G228),1)*IF(Upgrades!$T$10="Magnetosphere",POWER(Upgrades!$U$10,I228),1)*IF(Upgrades!$T$11="Magnetosphere",POWER(Upgrades!$U$11,J228),1)*IF(Upgrades!$T$12="Magnetosphere",POWER(Upgrades!$U$12,K228),1))+(IF(I228=0,0,(Upgrades!$G$10+I228*Upgrades!$H$10)*POWER(Upgrades!$I$10,I228)))*(IF(Upgrades!$T$6="Orbital Resonance",POWER(Upgrades!$U$6,E228),1)*IF(Upgrades!$T$7="Orbital Resonance",POWER(Upgrades!$U$7,F228),1)*IF(Upgrades!$T$8="Orbital Resonance",POWER(Upgrades!$U$8,G228),1)*IF(Upgrades!$T$9="Orbital Resonance",POWER(Upgrades!$U$9,H228),1)*IF(Upgrades!$T$11="Orbital Resonance",POWER(Upgrades!$U$11,J228),1)*IF(Upgrades!$T$12="Orbital Resonance",POWER(Upgrades!$U$12,K228),1))+(IF(J228=0,0,(Upgrades!$G$11+J228*Upgrades!$H$11)*POWER(Upgrades!$I$11,J228)))*(IF(Upgrades!$T$6="Heliopause",POWER(Upgrades!$U$6,E228),1)*IF(Upgrades!$T$7="Heliopause",POWER(Upgrades!$U$7,F228),1)*IF(Upgrades!$T$8="Heliopause",POWER(Upgrades!$U$8,G228),1)*IF(Upgrades!$T$9="Heliopause",POWER(Upgrades!$U$9,H228),1)*IF(Upgrades!$T$10="Heliopause",POWER(Upgrades!$U$10,I228),1)*IF(Upgrades!$T$12="Heliopause",POWER(Upgrades!$U$12,K228),1))+(IF(K228=0,0,(Upgrades!$G$12+K228*Upgrades!$H$12)*POWER(Upgrades!$I$12,K228)))*(IF(Upgrades!$T$6="First Photons",POWER(Upgrades!$U$6,E228),1)*IF(Upgrades!$T$7="First Photons",POWER(Upgrades!$U$7,F228),1)*IF(Upgrades!$T$8="First Photons",POWER(Upgrades!$U$8,G228),1)*IF(Upgrades!$T$9="First Photons",POWER(Upgrades!$U$9,H228),1)*IF(Upgrades!$T$10="First Photons",POWER(Upgrades!$U$10,I228),1)*IF(Upgrades!$T$11="First Photons",POWER(Upgrades!$U$11,J228),1)))*POWER(Upgrades!$P$6,E228)*POWER(Upgrades!$P$7,F228)*POWER(Upgrades!$P$8,G228)*POWER(Upgrades!$P$9,H228)*POWER(Upgrades!$P$10,I228)*POWER(Upgrades!$P$11,J228)*POWER(Upgrades!$P$12,K228)</f>
        <v/>
      </c>
      <c r="O228" s="28">
        <f>((IF(E228=0,0,(Upgrades!$M$6+E228*Upgrades!$N$6)*POWER(Upgrades!$O$6,E228)))*(IF(Upgrades!$T$7="Solar Wind",POWER(Upgrades!$U$7,F228),1)*IF(Upgrades!$T$8="Solar Wind",POWER(Upgrades!$U$8,G228),1)*IF(Upgrades!$T$9="Solar Wind",POWER(Upgrades!$U$9,H228),1)*IF(Upgrades!$T$10="Solar Wind",POWER(Upgrades!$U$10,I228),1)*IF(Upgrades!$T$11="Solar Wind",POWER(Upgrades!$U$11,J228),1)*IF(Upgrades!$T$12="Solar Wind",POWER(Upgrades!$U$12,K228),1))+(IF(F228=0,0,(Upgrades!$M$7+F228*Upgrades!$N$7)*POWER(Upgrades!$O$7,F228)))*(IF(Upgrades!$T$6="Asteroid Belt",POWER(Upgrades!$U$6,E228),1)*IF(Upgrades!$T$8="Asteroid Belt",POWER(Upgrades!$U$8,G228),1)*IF(Upgrades!$T$9="Asteroid Belt",POWER(Upgrades!$U$9,H228),1)*IF(Upgrades!$T$10="Asteroid Belt",POWER(Upgrades!$U$10,I228),1)*IF(Upgrades!$T$11="Asteroid Belt",POWER(Upgrades!$U$11,J228),1)*IF(Upgrades!$T$12="Asteroid Belt",POWER(Upgrades!$U$12,K228),1))+(IF(G228=0,0,(Upgrades!$M$8+G228*Upgrades!$N$8)*POWER(Upgrades!$O$8,G228)))*(IF(Upgrades!$T$6="Stellar Coupling",POWER(Upgrades!$U$6,E228),1)*IF(Upgrades!$T$7="Stellar Coupling",POWER(Upgrades!$U$7,F228),1)*IF(Upgrades!$T$9="Stellar Coupling",POWER(Upgrades!$U$9,H228),1)*IF(Upgrades!$T$10="Stellar Coupling",POWER(Upgrades!$U$10,I228),1)*IF(Upgrades!$T$11="Stellar Coupling",POWER(Upgrades!$U$11,J228),1)*IF(Upgrades!$T$12="Stellar Coupling",POWER(Upgrades!$U$12,K228),1))+(IF(H228=0,0,(Upgrades!$M$9+H228*Upgrades!$N$9)*POWER(Upgrades!$O$9,H228)))*(IF(Upgrades!$T$6="Magnetosphere",POWER(Upgrades!$U$6,E228),1)*IF(Upgrades!$T$7="Magnetosphere",POWER(Upgrades!$U$7,F228),1)*IF(Upgrades!$T$8="Magnetosphere",POWER(Upgrades!$U$8,G228),1)*IF(Upgrades!$T$10="Magnetosphere",POWER(Upgrades!$U$10,I228),1)*IF(Upgrades!$T$11="Magnetosphere",POWER(Upgrades!$U$11,J228),1)*IF(Upgrades!$T$12="Magnetosphere",POWER(Upgrades!$U$12,K228),1))+(IF(I228=0,0,(Upgrades!$M$10+I228*Upgrades!$N$10)*POWER(Upgrades!$O$10,I228)))*(IF(Upgrades!$T$6="Orbital Resonance",POWER(Upgrades!$U$6,E228),1)*IF(Upgrades!$T$7="Orbital Resonance",POWER(Upgrades!$U$7,F228),1)*IF(Upgrades!$T$8="Orbital Resonance",POWER(Upgrades!$U$8,G228),1)*IF(Upgrades!$T$9="Orbital Resonance",POWER(Upgrades!$U$9,H228),1)*IF(Upgrades!$T$11="Orbital Resonance",POWER(Upgrades!$U$11,J228),1)*IF(Upgrades!$T$12="Orbital Resonance",POWER(Upgrades!$U$12,K228),1))+(IF(J228=0,0,(Upgrades!$M$11+J228*Upgrades!$N$11)*POWER(Upgrades!$O$11,J228)))*(IF(Upgrades!$T$6="Heliopause",POWER(Upgrades!$U$6,E228),1)*IF(Upgrades!$T$7="Heliopause",POWER(Upgrades!$U$7,F228),1)*IF(Upgrades!$T$8="Heliopause",POWER(Upgrades!$U$8,G228),1)*IF(Upgrades!$T$9="Heliopause",POWER(Upgrades!$U$9,H228),1)*IF(Upgrades!$T$10="Heliopause",POWER(Upgrades!$U$10,I228),1)*IF(Upgrades!$T$12="Heliopause",POWER(Upgrades!$U$12,K228),1))+(IF(K228=0,0,(Upgrades!$M$12+K228*Upgrades!$N$12)*POWER(Upgrades!$O$12,K228)))*(IF(Upgrades!$T$6="First Photons",POWER(Upgrades!$U$6,E228),1)*IF(Upgrades!$T$7="First Photons",POWER(Upgrades!$U$7,F228),1)*IF(Upgrades!$T$8="First Photons",POWER(Upgrades!$U$8,G228),1)*IF(Upgrades!$T$9="First Photons",POWER(Upgrades!$U$9,H228),1)*IF(Upgrades!$T$10="First Photons",POWER(Upgrades!$U$10,I228),1)*IF(Upgrades!$T$11="First Photons",POWER(Upgrades!$U$11,J228),1)))*POWER(Upgrades!$R$6,E228)*POWER(Upgrades!$R$7,F228)*POWER(Upgrades!$R$8,G228)*POWER(Upgrades!$R$9,H228)*POWER(Upgrades!$R$10,I228)*POWER(Upgrades!$R$11,J228)*POWER(Upgrades!$R$12,K228)</f>
        <v/>
      </c>
      <c r="P228" s="27">
        <f>IF(L228=1,0,M228*Parameters!$B$10/60*Parameters!$B$11*10)</f>
        <v/>
      </c>
      <c r="Q228" s="27">
        <f>IF(L228=1,0,O228*M228*10)</f>
        <v/>
      </c>
      <c r="R228" s="27">
        <f>IF(L228=1,0,N228*10)</f>
        <v/>
      </c>
      <c r="S228" s="27">
        <f>P228+Q228+R228</f>
        <v/>
      </c>
      <c r="T228" s="22">
        <f>C228+S228</f>
        <v/>
      </c>
      <c r="U228" s="33">
        <f>AX228</f>
        <v/>
      </c>
      <c r="V228" s="22">
        <f>IF(U228="",0,IF(U228="transition",0,IF(U228="SW",AG228,IF(U228="AB",AH228,IF(U228="SC",AI228,IF(U228="Mag",AJ228,IF(U228="OR",AK228,IF(U228="HP",AL228,IF(U228="FP",AM228,0)))))))))</f>
        <v/>
      </c>
      <c r="W228" s="27">
        <f>IF(U228="OR",Upgrades!$F$10,IF(U228="HP",Upgrades!$F$11,IF(U228="transition",-Parameters!$B$18,0)))</f>
        <v/>
      </c>
      <c r="X228" s="22">
        <f>T228-V228</f>
        <v/>
      </c>
      <c r="Y228" s="30">
        <f>M228*Parameters!$B$10/60*Parameters!$B$11+O228*M228+N228</f>
        <v/>
      </c>
      <c r="Z228" s="34">
        <f>IF(U228="transition","→ Tier 2 (Stellar Neighborhood)",IF(U228="FP","First Photons — light begins, system quickens",IF(U228="HP","Heliopause acquired",IF(U228="OR","Orbital Resonance — passive multiplier active",IF(AND(AO228=1,L228=0,AN228&lt;&gt;1),"Cohesion ready (waiting on completionist upgrades)","")))))</f>
        <v/>
      </c>
      <c r="AA228" s="27">
        <f>(IF(E228=0,0,(Upgrades!$G$6+E228*Upgrades!$H$6)*POWER(Upgrades!$I$6,E228)))*(IF(Upgrades!$T$7="Solar Wind",POWER(Upgrades!$U$7,F228),1)*IF(Upgrades!$T$8="Solar Wind",POWER(Upgrades!$U$8,G228),1)*IF(Upgrades!$T$9="Solar Wind",POWER(Upgrades!$U$9,H228),1)*IF(Upgrades!$T$10="Solar Wind",POWER(Upgrades!$U$10,I228),1)*IF(Upgrades!$T$11="Solar Wind",POWER(Upgrades!$U$11,J228),1)*IF(Upgrades!$T$12="Solar Wind",POWER(Upgrades!$U$12,K228),1))*POWER(Upgrades!$P$6,E228)*POWER(Upgrades!$P$7,F228)*POWER(Upgrades!$P$8,G228)*POWER(Upgrades!$P$9,H228)*POWER(Upgrades!$P$10,I228)*POWER(Upgrades!$P$11,J228)*POWER(Upgrades!$P$12,K228)*60</f>
        <v/>
      </c>
      <c r="AB228" s="27">
        <f>(IF(F228=0,0,(Upgrades!$G$7+F228*Upgrades!$H$7)*POWER(Upgrades!$I$7,F228)))*(IF(Upgrades!$T$6="Asteroid Belt",POWER(Upgrades!$U$6,E228),1)*IF(Upgrades!$T$8="Asteroid Belt",POWER(Upgrades!$U$8,G228),1)*IF(Upgrades!$T$9="Asteroid Belt",POWER(Upgrades!$U$9,H228),1)*IF(Upgrades!$T$10="Asteroid Belt",POWER(Upgrades!$U$10,I228),1)*IF(Upgrades!$T$11="Asteroid Belt",POWER(Upgrades!$U$11,J228),1)*IF(Upgrades!$T$12="Asteroid Belt",POWER(Upgrades!$U$12,K228),1))*POWER(Upgrades!$P$6,E228)*POWER(Upgrades!$P$7,F228)*POWER(Upgrades!$P$8,G228)*POWER(Upgrades!$P$9,H228)*POWER(Upgrades!$P$10,I228)*POWER(Upgrades!$P$11,J228)*POWER(Upgrades!$P$12,K228)*60</f>
        <v/>
      </c>
      <c r="AC228" s="27">
        <f>(IF(G228=0,0,(Upgrades!$J$8+G228*Upgrades!$K$8)*POWER(Upgrades!$L$8,G228)))*(IF(Upgrades!$T$6="Stellar Coupling",POWER(Upgrades!$U$6,E228),1)*IF(Upgrades!$T$7="Stellar Coupling",POWER(Upgrades!$U$7,F228),1)*IF(Upgrades!$T$9="Stellar Coupling",POWER(Upgrades!$U$9,H228),1)*IF(Upgrades!$T$10="Stellar Coupling",POWER(Upgrades!$U$10,I228),1)*IF(Upgrades!$T$11="Stellar Coupling",POWER(Upgrades!$U$11,J228),1)*IF(Upgrades!$T$12="Stellar Coupling",POWER(Upgrades!$U$12,K228),1))*POWER(Upgrades!$Q$6,E228)*POWER(Upgrades!$Q$7,F228)*POWER(Upgrades!$Q$8,G228)*POWER(Upgrades!$Q$9,H228)*POWER(Upgrades!$Q$10,I228)*POWER(Upgrades!$Q$11,J228)*POWER(Upgrades!$Q$12,K228)*Parameters!$B$10*Parameters!$B$11</f>
        <v/>
      </c>
      <c r="AD228" s="27">
        <f>(IF(H228=0,0,(Upgrades!$G$9+H228*Upgrades!$H$9)*POWER(Upgrades!$I$9,H228)))*(IF(Upgrades!$T$6="Magnetosphere",POWER(Upgrades!$U$6,E228),1)*IF(Upgrades!$T$7="Magnetosphere",POWER(Upgrades!$U$7,F228),1)*IF(Upgrades!$T$8="Magnetosphere",POWER(Upgrades!$U$8,G228),1)*IF(Upgrades!$T$10="Magnetosphere",POWER(Upgrades!$U$10,I228),1)*IF(Upgrades!$T$11="Magnetosphere",POWER(Upgrades!$U$11,J228),1)*IF(Upgrades!$T$12="Magnetosphere",POWER(Upgrades!$U$12,K228),1))*POWER(Upgrades!$P$6,E228)*POWER(Upgrades!$P$7,F228)*POWER(Upgrades!$P$8,G228)*POWER(Upgrades!$P$9,H228)*POWER(Upgrades!$P$10,I228)*POWER(Upgrades!$P$11,J228)*POWER(Upgrades!$P$12,K228)*60</f>
        <v/>
      </c>
      <c r="AE228" s="27">
        <f>(IF(K228=0,0,(Upgrades!$G$12+K228*Upgrades!$H$12)*POWER(Upgrades!$I$12,K228)))*(IF(Upgrades!$T$6="First Photons",POWER(Upgrades!$U$6,E228),1)*IF(Upgrades!$T$7="First Photons",POWER(Upgrades!$U$7,F228),1)*IF(Upgrades!$T$8="First Photons",POWER(Upgrades!$U$8,G228),1)*IF(Upgrades!$T$9="First Photons",POWER(Upgrades!$U$9,H228),1)*IF(Upgrades!$T$10="First Photons",POWER(Upgrades!$U$10,I228),1)*IF(Upgrades!$T$11="First Photons",POWER(Upgrades!$U$11,J228),1))*POWER(Upgrades!$P$6,E228)*POWER(Upgrades!$P$7,F228)*POWER(Upgrades!$P$8,G228)*POWER(Upgrades!$P$9,H228)*POWER(Upgrades!$P$10,I228)*POWER(Upgrades!$P$11,J228)*POWER(Upgrades!$P$12,K228)*60</f>
        <v/>
      </c>
      <c r="AF228" s="27">
        <f>Parameters!$B$9*POWER(Upgrades!$Q$6,E228)*POWER(Upgrades!$Q$7,F228)*POWER(Upgrades!$Q$8,G228)*POWER(Upgrades!$Q$9,H228)*POWER(Upgrades!$Q$10,I228)*POWER(Upgrades!$Q$11,J228)*POWER(Upgrades!$Q$12,K228)*(Parameters!$B$10*Parameters!$B$11+O228*60)</f>
        <v/>
      </c>
      <c r="AG228" s="22">
        <f>IF(E228&gt;=Upgrades!$E$6,"",Upgrades!$C$6*POWER(Upgrades!$D$6,E228))</f>
        <v/>
      </c>
      <c r="AH228" s="22">
        <f>IF(F228&gt;=Upgrades!$E$7,"",Upgrades!$C$7*POWER(Upgrades!$D$7,F228))</f>
        <v/>
      </c>
      <c r="AI228" s="22">
        <f>IF(G228&gt;=Upgrades!$E$8,"",Upgrades!$C$8*POWER(Upgrades!$D$8,G228))</f>
        <v/>
      </c>
      <c r="AJ228" s="22">
        <f>IF(H228&gt;=Upgrades!$E$9,"",Upgrades!$C$9*POWER(Upgrades!$D$9,H228))</f>
        <v/>
      </c>
      <c r="AK228" s="22">
        <f>IF(I228&gt;=Upgrades!$E$10,"",Upgrades!$C$10*POWER(Upgrades!$D$10,I228))</f>
        <v/>
      </c>
      <c r="AL228" s="22">
        <f>IF(J228&gt;=Upgrades!$E$11,"",Upgrades!$C$11*POWER(Upgrades!$D$11,J228))</f>
        <v/>
      </c>
      <c r="AM228" s="22">
        <f>IF(K228&gt;=Upgrades!$E$12,"",Upgrades!$C$12*POWER(Upgrades!$D$12,K228))</f>
        <v/>
      </c>
      <c r="AN228" s="26">
        <f>IF(AND(D228&gt;=Parameters!$B$18,(H228&gt;=Upgrades!$E$9)*(K228&gt;=Upgrades!$E$12)=1,L228=0),1,"")</f>
        <v/>
      </c>
      <c r="AO228" s="26">
        <f>IF(AND(D228&gt;=Parameters!$B$18,L228=0),1,"")</f>
        <v/>
      </c>
      <c r="AP228" s="22">
        <f>MIN(IF(ISNUMBER(AK228),AK228,9E15),IF(ISNUMBER(AL228),AL228,9E15),IF(ISNUMBER(AM228),AM228,9E15))</f>
        <v/>
      </c>
      <c r="AQ228" s="22">
        <f>MIN(IF(ISNUMBER(AG228),AG228,9E15),IF(ISNUMBER(AH228),AH228,9E15),IF(ISNUMBER(AI228),AI228,9E15),IF(ISNUMBER(AJ228),AJ228,9E15))</f>
        <v/>
      </c>
      <c r="AR228" s="29">
        <f>IF(AW228&gt;Parameters!$B$21*(MAX(IF(AND(NOT(AND(AO228=1,AN228&lt;&gt;1)),ISNUMBER(AG228),AG228&lt;=T228),AS228,0),IF(AND(NOT(AND(AO228=1,AN228&lt;&gt;1)),ISNUMBER(AH228),AH228&lt;=T228),AT228,0),IF(AND(NOT(AND(AO228=1,AN228&lt;&gt;1)),ISNUMBER(AI228),AI228&lt;=T228),AU228,0),IF(AND(ISNUMBER(AJ228),AJ228&lt;=T228),AV228,0))),TRUE,FALSE)</f>
        <v/>
      </c>
      <c r="AS228" s="32">
        <f>IFERROR(Upgrades!$H$6*(POWER(Upgrades!$P$6,E228)*POWER(Upgrades!$P$7,F228)*POWER(Upgrades!$P$8,G228)*POWER(Upgrades!$P$9,H228)*POWER(Upgrades!$P$10,I228)*POWER(Upgrades!$P$11,J228)*POWER(Upgrades!$P$12,K228))*(IF(Upgrades!$T$7="Solar Wind",POWER(Upgrades!$U$7,F228),1)*IF(Upgrades!$T$8="Solar Wind",POWER(Upgrades!$U$8,G228),1)*IF(Upgrades!$T$9="Solar Wind",POWER(Upgrades!$U$9,H228),1)*IF(Upgrades!$T$10="Solar Wind",POWER(Upgrades!$U$10,I228),1)*IF(Upgrades!$T$11="Solar Wind",POWER(Upgrades!$U$11,J228),1)*IF(Upgrades!$T$12="Solar Wind",POWER(Upgrades!$U$12,K228),1))/AG228,0)</f>
        <v/>
      </c>
      <c r="AT228" s="32">
        <f>IFERROR(Upgrades!$H$7*(POWER(Upgrades!$P$6,E228)*POWER(Upgrades!$P$7,F228)*POWER(Upgrades!$P$8,G228)*POWER(Upgrades!$P$9,H228)*POWER(Upgrades!$P$10,I228)*POWER(Upgrades!$P$11,J228)*POWER(Upgrades!$P$12,K228))*(IF(Upgrades!$T$6="Asteroid Belt",POWER(Upgrades!$U$6,E228),1)*IF(Upgrades!$T$8="Asteroid Belt",POWER(Upgrades!$U$8,G228),1)*IF(Upgrades!$T$9="Asteroid Belt",POWER(Upgrades!$U$9,H228),1)*IF(Upgrades!$T$10="Asteroid Belt",POWER(Upgrades!$U$10,I228),1)*IF(Upgrades!$T$11="Asteroid Belt",POWER(Upgrades!$U$11,J228),1)*IF(Upgrades!$T$12="Asteroid Belt",POWER(Upgrades!$U$12,K228),1))/AH228,0)</f>
        <v/>
      </c>
      <c r="AU228" s="32">
        <f>IFERROR(Upgrades!$K$8*(POWER(Upgrades!$Q$6,E228)*POWER(Upgrades!$Q$7,F228)*POWER(Upgrades!$Q$8,G228)*POWER(Upgrades!$Q$9,H228)*POWER(Upgrades!$Q$10,I228)*POWER(Upgrades!$Q$11,J228)*POWER(Upgrades!$Q$12,K228))*(IF(Upgrades!$T$6="Stellar Coupling",POWER(Upgrades!$U$6,E228),1)*IF(Upgrades!$T$7="Stellar Coupling",POWER(Upgrades!$U$7,F228),1)*IF(Upgrades!$T$9="Stellar Coupling",POWER(Upgrades!$U$9,H228),1)*IF(Upgrades!$T$10="Stellar Coupling",POWER(Upgrades!$U$10,I228),1)*IF(Upgrades!$T$11="Stellar Coupling",POWER(Upgrades!$U$11,J228),1)*IF(Upgrades!$T$12="Stellar Coupling",POWER(Upgrades!$U$12,K228),1))*Parameters!$B$10*Parameters!$B$11/60/AI228,0)</f>
        <v/>
      </c>
      <c r="AV228" s="32">
        <f>IFERROR(Upgrades!$H$9*(POWER(Upgrades!$P$6,E228)*POWER(Upgrades!$P$7,F228)*POWER(Upgrades!$P$8,G228)*POWER(Upgrades!$P$9,H228)*POWER(Upgrades!$P$10,I228)*POWER(Upgrades!$P$11,J228)*POWER(Upgrades!$P$12,K228))*(IF(Upgrades!$T$6="Magnetosphere",POWER(Upgrades!$U$6,E228),1)*IF(Upgrades!$T$7="Magnetosphere",POWER(Upgrades!$U$7,F228),1)*IF(Upgrades!$T$8="Magnetosphere",POWER(Upgrades!$U$8,G228),1)*IF(Upgrades!$T$10="Magnetosphere",POWER(Upgrades!$U$10,I228),1)*IF(Upgrades!$T$11="Magnetosphere",POWER(Upgrades!$U$11,J228),1)*IF(Upgrades!$T$12="Magnetosphere",POWER(Upgrades!$U$12,K228),1))/AJ228,0)</f>
        <v/>
      </c>
      <c r="AW228" s="32">
        <f>MAX(IF(I228&gt;0,0,IFERROR(0.25*N228/Upgrades!$C$10,0)),IF(J228&gt;0,0,IFERROR(0.5*((IF(G228=0,0,(Upgrades!$J$8+G228*Upgrades!$K$8)*POWER(Upgrades!$L$8,G228)))*(IF(Upgrades!$T$6="Stellar Coupling",POWER(Upgrades!$U$6,E228),1)*IF(Upgrades!$T$7="Stellar Coupling",POWER(Upgrades!$U$7,F228),1)*IF(Upgrades!$T$9="Stellar Coupling",POWER(Upgrades!$U$9,H228),1)*IF(Upgrades!$T$10="Stellar Coupling",POWER(Upgrades!$U$10,I228),1)*IF(Upgrades!$T$11="Stellar Coupling",POWER(Upgrades!$U$11,J228),1)*IF(Upgrades!$T$12="Stellar Coupling",POWER(Upgrades!$U$12,K228),1))*(POWER(Upgrades!$Q$6,E228)*POWER(Upgrades!$Q$7,F228)*POWER(Upgrades!$Q$8,G228)*POWER(Upgrades!$Q$9,H228)*POWER(Upgrades!$Q$10,I228)*POWER(Upgrades!$Q$11,J228)*POWER(Upgrades!$Q$12,K228))*Parameters!$B$10*Parameters!$B$11/60)/Upgrades!$C$11,0)),IF(K228&gt;0,0,IFERROR((1.0*(POWER(Upgrades!$P$6,E228)*POWER(Upgrades!$P$7,F228)*POWER(Upgrades!$P$8,G228)*POWER(Upgrades!$P$9,H228)*POWER(Upgrades!$P$10,I228)*POWER(Upgrades!$P$11,J228)*POWER(Upgrades!$P$12,K228))+0.20*M228*Parameters!$B$10*Parameters!$B$11/60)/Upgrades!$C$12,0)),IF(AND(ISNUMBER(AG228),AG228&gt;T228),AS228,0),IF(AND(ISNUMBER(AH228),AH228&gt;T228),AT228,0),IF(AND(ISNUMBER(AI228),AI228&gt;T228),AU228,0),IF(AND(ISNUMBER(AJ228),AJ228&gt;T228),AV228,0))</f>
        <v/>
      </c>
      <c r="AX228" s="29">
        <f>IF(AN228=1,"transition",IF(MIN(IF(AND(I228=0,ISNUMBER(AK228),AK228&lt;=T228),AK228,9E15),IF(AND(J228=0,ISNUMBER(AL228),AL228&lt;=T228),AL228,9E15),IF(AND(K228=0,ISNUMBER(AM228),AM228&lt;=T228),AM228,9E15))&lt;9E15,IF(AND(AND(I228=0,ISNUMBER(AK228),AK228&lt;=T228),AK228=MIN(IF(AND(I228=0,ISNUMBER(AK228),AK228&lt;=T228),AK228,9E15),IF(AND(J228=0,ISNUMBER(AL228),AL228&lt;=T228),AL228,9E15),IF(AND(K228=0,ISNUMBER(AM228),AM228&lt;=T228),AM228,9E15))),"OR",IF(AND(AND(J228=0,ISNUMBER(AL228),AL228&lt;=T228),AL228=MIN(IF(AND(I228=0,ISNUMBER(AK228),AK228&lt;=T228),AK228,9E15),IF(AND(J228=0,ISNUMBER(AL228),AL228&lt;=T228),AL228,9E15),IF(AND(K228=0,ISNUMBER(AM228),AM228&lt;=T228),AM228,9E15))),"HP","FP")),IF(AR228=TRUE,"",IF(MAX(IF(AND(NOT(AND(AO228=1,AN228&lt;&gt;1)),ISNUMBER(AG228),AG228&lt;=T228),AS228,0),IF(AND(NOT(AND(AO228=1,AN228&lt;&gt;1)),ISNUMBER(AH228),AH228&lt;=T228),AT228,0),IF(AND(NOT(AND(AO228=1,AN228&lt;&gt;1)),ISNUMBER(AI228),AI228&lt;=T228),AU228,0),IF(AND(ISNUMBER(AJ228),AJ228&lt;=T228),AV228,0))&lt;=0,"",IF(AND(IF(AND(NOT(AND(AO228=1,AN228&lt;&gt;1)),ISNUMBER(AG228),AG228&lt;=T228),AS228,0)&gt;0,IF(AND(NOT(AND(AO228=1,AN228&lt;&gt;1)),ISNUMBER(AG228),AG228&lt;=T228),AS228,0)=MAX(IF(AND(NOT(AND(AO228=1,AN228&lt;&gt;1)),ISNUMBER(AG228),AG228&lt;=T228),AS228,0),IF(AND(NOT(AND(AO228=1,AN228&lt;&gt;1)),ISNUMBER(AH228),AH228&lt;=T228),AT228,0),IF(AND(NOT(AND(AO228=1,AN228&lt;&gt;1)),ISNUMBER(AI228),AI228&lt;=T228),AU228,0),IF(AND(ISNUMBER(AJ228),AJ228&lt;=T228),AV228,0))),"SW",IF(AND(IF(AND(NOT(AND(AO228=1,AN228&lt;&gt;1)),ISNUMBER(AH228),AH228&lt;=T228),AT228,0)&gt;0,IF(AND(NOT(AND(AO228=1,AN228&lt;&gt;1)),ISNUMBER(AH228),AH228&lt;=T228),AT228,0)=MAX(IF(AND(NOT(AND(AO228=1,AN228&lt;&gt;1)),ISNUMBER(AG228),AG228&lt;=T228),AS228,0),IF(AND(NOT(AND(AO228=1,AN228&lt;&gt;1)),ISNUMBER(AH228),AH228&lt;=T228),AT228,0),IF(AND(NOT(AND(AO228=1,AN228&lt;&gt;1)),ISNUMBER(AI228),AI228&lt;=T228),AU228,0),IF(AND(ISNUMBER(AJ228),AJ228&lt;=T228),AV228,0))),"AB",IF(AND(IF(AND(NOT(AND(AO228=1,AN228&lt;&gt;1)),ISNUMBER(AI228),AI228&lt;=T228),AU228,0)&gt;0,IF(AND(NOT(AND(AO228=1,AN228&lt;&gt;1)),ISNUMBER(AI228),AI228&lt;=T228),AU228,0)=MAX(IF(AND(NOT(AND(AO228=1,AN228&lt;&gt;1)),ISNUMBER(AG228),AG228&lt;=T228),AS228,0),IF(AND(NOT(AND(AO228=1,AN228&lt;&gt;1)),ISNUMBER(AH228),AH228&lt;=T228),AT228,0),IF(AND(NOT(AND(AO228=1,AN228&lt;&gt;1)),ISNUMBER(AI228),AI228&lt;=T228),AU228,0),IF(AND(ISNUMBER(AJ228),AJ228&lt;=T228),AV228,0))),"SC","Mag")))))))</f>
        <v/>
      </c>
    </row>
    <row r="229">
      <c r="A229" s="26" t="n">
        <v>224</v>
      </c>
      <c r="B229" s="27">
        <f>A229*10/60</f>
        <v/>
      </c>
      <c r="C229" s="22">
        <f>X228</f>
        <v/>
      </c>
      <c r="D229" s="27">
        <f>D228+W228</f>
        <v/>
      </c>
      <c r="E229" s="26">
        <f>E228+IF(U228="SW",1,0)</f>
        <v/>
      </c>
      <c r="F229" s="26">
        <f>F228+IF(U228="AB",1,0)</f>
        <v/>
      </c>
      <c r="G229" s="26">
        <f>G228+IF(U228="SC",1,0)</f>
        <v/>
      </c>
      <c r="H229" s="26">
        <f>H228+IF(U228="Mag",1,0)</f>
        <v/>
      </c>
      <c r="I229" s="26">
        <f>MAX(I228,IF(U228="OR",1,0))</f>
        <v/>
      </c>
      <c r="J229" s="26">
        <f>MAX(J228,IF(U228="HP",1,0))</f>
        <v/>
      </c>
      <c r="K229" s="26">
        <f>MAX(K228,IF(U228="FP",1,0))</f>
        <v/>
      </c>
      <c r="L229" s="26">
        <f>MAX(L228,IF(U228="transition",1,0))</f>
        <v/>
      </c>
      <c r="M229" s="28">
        <f>(Parameters!$B$9+(IF(E229=0,0,(Upgrades!$J$6+E229*Upgrades!$K$6)*POWER(Upgrades!$L$6,E229)))*(IF(Upgrades!$T$7="Solar Wind",POWER(Upgrades!$U$7,F229),1)*IF(Upgrades!$T$8="Solar Wind",POWER(Upgrades!$U$8,G229),1)*IF(Upgrades!$T$9="Solar Wind",POWER(Upgrades!$U$9,H229),1)*IF(Upgrades!$T$10="Solar Wind",POWER(Upgrades!$U$10,I229),1)*IF(Upgrades!$T$11="Solar Wind",POWER(Upgrades!$U$11,J229),1)*IF(Upgrades!$T$12="Solar Wind",POWER(Upgrades!$U$12,K229),1))+(IF(F229=0,0,(Upgrades!$J$7+F229*Upgrades!$K$7)*POWER(Upgrades!$L$7,F229)))*(IF(Upgrades!$T$6="Asteroid Belt",POWER(Upgrades!$U$6,E229),1)*IF(Upgrades!$T$8="Asteroid Belt",POWER(Upgrades!$U$8,G229),1)*IF(Upgrades!$T$9="Asteroid Belt",POWER(Upgrades!$U$9,H229),1)*IF(Upgrades!$T$10="Asteroid Belt",POWER(Upgrades!$U$10,I229),1)*IF(Upgrades!$T$11="Asteroid Belt",POWER(Upgrades!$U$11,J229),1)*IF(Upgrades!$T$12="Asteroid Belt",POWER(Upgrades!$U$12,K229),1))+(IF(G229=0,0,(Upgrades!$J$8+G229*Upgrades!$K$8)*POWER(Upgrades!$L$8,G229)))*(IF(Upgrades!$T$6="Stellar Coupling",POWER(Upgrades!$U$6,E229),1)*IF(Upgrades!$T$7="Stellar Coupling",POWER(Upgrades!$U$7,F229),1)*IF(Upgrades!$T$9="Stellar Coupling",POWER(Upgrades!$U$9,H229),1)*IF(Upgrades!$T$10="Stellar Coupling",POWER(Upgrades!$U$10,I229),1)*IF(Upgrades!$T$11="Stellar Coupling",POWER(Upgrades!$U$11,J229),1)*IF(Upgrades!$T$12="Stellar Coupling",POWER(Upgrades!$U$12,K229),1))+(IF(H229=0,0,(Upgrades!$J$9+H229*Upgrades!$K$9)*POWER(Upgrades!$L$9,H229)))*(IF(Upgrades!$T$6="Magnetosphere",POWER(Upgrades!$U$6,E229),1)*IF(Upgrades!$T$7="Magnetosphere",POWER(Upgrades!$U$7,F229),1)*IF(Upgrades!$T$8="Magnetosphere",POWER(Upgrades!$U$8,G229),1)*IF(Upgrades!$T$10="Magnetosphere",POWER(Upgrades!$U$10,I229),1)*IF(Upgrades!$T$11="Magnetosphere",POWER(Upgrades!$U$11,J229),1)*IF(Upgrades!$T$12="Magnetosphere",POWER(Upgrades!$U$12,K229),1))+(IF(I229=0,0,(Upgrades!$J$10+I229*Upgrades!$K$10)*POWER(Upgrades!$L$10,I229)))*(IF(Upgrades!$T$6="Orbital Resonance",POWER(Upgrades!$U$6,E229),1)*IF(Upgrades!$T$7="Orbital Resonance",POWER(Upgrades!$U$7,F229),1)*IF(Upgrades!$T$8="Orbital Resonance",POWER(Upgrades!$U$8,G229),1)*IF(Upgrades!$T$9="Orbital Resonance",POWER(Upgrades!$U$9,H229),1)*IF(Upgrades!$T$11="Orbital Resonance",POWER(Upgrades!$U$11,J229),1)*IF(Upgrades!$T$12="Orbital Resonance",POWER(Upgrades!$U$12,K229),1))+(IF(J229=0,0,(Upgrades!$J$11+J229*Upgrades!$K$11)*POWER(Upgrades!$L$11,J229)))*(IF(Upgrades!$T$6="Heliopause",POWER(Upgrades!$U$6,E229),1)*IF(Upgrades!$T$7="Heliopause",POWER(Upgrades!$U$7,F229),1)*IF(Upgrades!$T$8="Heliopause",POWER(Upgrades!$U$8,G229),1)*IF(Upgrades!$T$9="Heliopause",POWER(Upgrades!$U$9,H229),1)*IF(Upgrades!$T$10="Heliopause",POWER(Upgrades!$U$10,I229),1)*IF(Upgrades!$T$12="Heliopause",POWER(Upgrades!$U$12,K229),1))+(IF(K229=0,0,(Upgrades!$J$12+K229*Upgrades!$K$12)*POWER(Upgrades!$L$12,K229)))*(IF(Upgrades!$T$6="First Photons",POWER(Upgrades!$U$6,E229),1)*IF(Upgrades!$T$7="First Photons",POWER(Upgrades!$U$7,F229),1)*IF(Upgrades!$T$8="First Photons",POWER(Upgrades!$U$8,G229),1)*IF(Upgrades!$T$9="First Photons",POWER(Upgrades!$U$9,H229),1)*IF(Upgrades!$T$10="First Photons",POWER(Upgrades!$U$10,I229),1)*IF(Upgrades!$T$11="First Photons",POWER(Upgrades!$U$11,J229),1)))*POWER(Upgrades!$Q$6,E229)*POWER(Upgrades!$Q$7,F229)*POWER(Upgrades!$Q$8,G229)*POWER(Upgrades!$Q$9,H229)*POWER(Upgrades!$Q$10,I229)*POWER(Upgrades!$Q$11,J229)*POWER(Upgrades!$Q$12,K229)</f>
        <v/>
      </c>
      <c r="N229" s="28">
        <f>((IF(E229=0,0,(Upgrades!$G$6+E229*Upgrades!$H$6)*POWER(Upgrades!$I$6,E229)))*(IF(Upgrades!$T$7="Solar Wind",POWER(Upgrades!$U$7,F229),1)*IF(Upgrades!$T$8="Solar Wind",POWER(Upgrades!$U$8,G229),1)*IF(Upgrades!$T$9="Solar Wind",POWER(Upgrades!$U$9,H229),1)*IF(Upgrades!$T$10="Solar Wind",POWER(Upgrades!$U$10,I229),1)*IF(Upgrades!$T$11="Solar Wind",POWER(Upgrades!$U$11,J229),1)*IF(Upgrades!$T$12="Solar Wind",POWER(Upgrades!$U$12,K229),1))+(IF(F229=0,0,(Upgrades!$G$7+F229*Upgrades!$H$7)*POWER(Upgrades!$I$7,F229)))*(IF(Upgrades!$T$6="Asteroid Belt",POWER(Upgrades!$U$6,E229),1)*IF(Upgrades!$T$8="Asteroid Belt",POWER(Upgrades!$U$8,G229),1)*IF(Upgrades!$T$9="Asteroid Belt",POWER(Upgrades!$U$9,H229),1)*IF(Upgrades!$T$10="Asteroid Belt",POWER(Upgrades!$U$10,I229),1)*IF(Upgrades!$T$11="Asteroid Belt",POWER(Upgrades!$U$11,J229),1)*IF(Upgrades!$T$12="Asteroid Belt",POWER(Upgrades!$U$12,K229),1))+(IF(G229=0,0,(Upgrades!$G$8+G229*Upgrades!$H$8)*POWER(Upgrades!$I$8,G229)))*(IF(Upgrades!$T$6="Stellar Coupling",POWER(Upgrades!$U$6,E229),1)*IF(Upgrades!$T$7="Stellar Coupling",POWER(Upgrades!$U$7,F229),1)*IF(Upgrades!$T$9="Stellar Coupling",POWER(Upgrades!$U$9,H229),1)*IF(Upgrades!$T$10="Stellar Coupling",POWER(Upgrades!$U$10,I229),1)*IF(Upgrades!$T$11="Stellar Coupling",POWER(Upgrades!$U$11,J229),1)*IF(Upgrades!$T$12="Stellar Coupling",POWER(Upgrades!$U$12,K229),1))+(IF(H229=0,0,(Upgrades!$G$9+H229*Upgrades!$H$9)*POWER(Upgrades!$I$9,H229)))*(IF(Upgrades!$T$6="Magnetosphere",POWER(Upgrades!$U$6,E229),1)*IF(Upgrades!$T$7="Magnetosphere",POWER(Upgrades!$U$7,F229),1)*IF(Upgrades!$T$8="Magnetosphere",POWER(Upgrades!$U$8,G229),1)*IF(Upgrades!$T$10="Magnetosphere",POWER(Upgrades!$U$10,I229),1)*IF(Upgrades!$T$11="Magnetosphere",POWER(Upgrades!$U$11,J229),1)*IF(Upgrades!$T$12="Magnetosphere",POWER(Upgrades!$U$12,K229),1))+(IF(I229=0,0,(Upgrades!$G$10+I229*Upgrades!$H$10)*POWER(Upgrades!$I$10,I229)))*(IF(Upgrades!$T$6="Orbital Resonance",POWER(Upgrades!$U$6,E229),1)*IF(Upgrades!$T$7="Orbital Resonance",POWER(Upgrades!$U$7,F229),1)*IF(Upgrades!$T$8="Orbital Resonance",POWER(Upgrades!$U$8,G229),1)*IF(Upgrades!$T$9="Orbital Resonance",POWER(Upgrades!$U$9,H229),1)*IF(Upgrades!$T$11="Orbital Resonance",POWER(Upgrades!$U$11,J229),1)*IF(Upgrades!$T$12="Orbital Resonance",POWER(Upgrades!$U$12,K229),1))+(IF(J229=0,0,(Upgrades!$G$11+J229*Upgrades!$H$11)*POWER(Upgrades!$I$11,J229)))*(IF(Upgrades!$T$6="Heliopause",POWER(Upgrades!$U$6,E229),1)*IF(Upgrades!$T$7="Heliopause",POWER(Upgrades!$U$7,F229),1)*IF(Upgrades!$T$8="Heliopause",POWER(Upgrades!$U$8,G229),1)*IF(Upgrades!$T$9="Heliopause",POWER(Upgrades!$U$9,H229),1)*IF(Upgrades!$T$10="Heliopause",POWER(Upgrades!$U$10,I229),1)*IF(Upgrades!$T$12="Heliopause",POWER(Upgrades!$U$12,K229),1))+(IF(K229=0,0,(Upgrades!$G$12+K229*Upgrades!$H$12)*POWER(Upgrades!$I$12,K229)))*(IF(Upgrades!$T$6="First Photons",POWER(Upgrades!$U$6,E229),1)*IF(Upgrades!$T$7="First Photons",POWER(Upgrades!$U$7,F229),1)*IF(Upgrades!$T$8="First Photons",POWER(Upgrades!$U$8,G229),1)*IF(Upgrades!$T$9="First Photons",POWER(Upgrades!$U$9,H229),1)*IF(Upgrades!$T$10="First Photons",POWER(Upgrades!$U$10,I229),1)*IF(Upgrades!$T$11="First Photons",POWER(Upgrades!$U$11,J229),1)))*POWER(Upgrades!$P$6,E229)*POWER(Upgrades!$P$7,F229)*POWER(Upgrades!$P$8,G229)*POWER(Upgrades!$P$9,H229)*POWER(Upgrades!$P$10,I229)*POWER(Upgrades!$P$11,J229)*POWER(Upgrades!$P$12,K229)</f>
        <v/>
      </c>
      <c r="O229" s="28">
        <f>((IF(E229=0,0,(Upgrades!$M$6+E229*Upgrades!$N$6)*POWER(Upgrades!$O$6,E229)))*(IF(Upgrades!$T$7="Solar Wind",POWER(Upgrades!$U$7,F229),1)*IF(Upgrades!$T$8="Solar Wind",POWER(Upgrades!$U$8,G229),1)*IF(Upgrades!$T$9="Solar Wind",POWER(Upgrades!$U$9,H229),1)*IF(Upgrades!$T$10="Solar Wind",POWER(Upgrades!$U$10,I229),1)*IF(Upgrades!$T$11="Solar Wind",POWER(Upgrades!$U$11,J229),1)*IF(Upgrades!$T$12="Solar Wind",POWER(Upgrades!$U$12,K229),1))+(IF(F229=0,0,(Upgrades!$M$7+F229*Upgrades!$N$7)*POWER(Upgrades!$O$7,F229)))*(IF(Upgrades!$T$6="Asteroid Belt",POWER(Upgrades!$U$6,E229),1)*IF(Upgrades!$T$8="Asteroid Belt",POWER(Upgrades!$U$8,G229),1)*IF(Upgrades!$T$9="Asteroid Belt",POWER(Upgrades!$U$9,H229),1)*IF(Upgrades!$T$10="Asteroid Belt",POWER(Upgrades!$U$10,I229),1)*IF(Upgrades!$T$11="Asteroid Belt",POWER(Upgrades!$U$11,J229),1)*IF(Upgrades!$T$12="Asteroid Belt",POWER(Upgrades!$U$12,K229),1))+(IF(G229=0,0,(Upgrades!$M$8+G229*Upgrades!$N$8)*POWER(Upgrades!$O$8,G229)))*(IF(Upgrades!$T$6="Stellar Coupling",POWER(Upgrades!$U$6,E229),1)*IF(Upgrades!$T$7="Stellar Coupling",POWER(Upgrades!$U$7,F229),1)*IF(Upgrades!$T$9="Stellar Coupling",POWER(Upgrades!$U$9,H229),1)*IF(Upgrades!$T$10="Stellar Coupling",POWER(Upgrades!$U$10,I229),1)*IF(Upgrades!$T$11="Stellar Coupling",POWER(Upgrades!$U$11,J229),1)*IF(Upgrades!$T$12="Stellar Coupling",POWER(Upgrades!$U$12,K229),1))+(IF(H229=0,0,(Upgrades!$M$9+H229*Upgrades!$N$9)*POWER(Upgrades!$O$9,H229)))*(IF(Upgrades!$T$6="Magnetosphere",POWER(Upgrades!$U$6,E229),1)*IF(Upgrades!$T$7="Magnetosphere",POWER(Upgrades!$U$7,F229),1)*IF(Upgrades!$T$8="Magnetosphere",POWER(Upgrades!$U$8,G229),1)*IF(Upgrades!$T$10="Magnetosphere",POWER(Upgrades!$U$10,I229),1)*IF(Upgrades!$T$11="Magnetosphere",POWER(Upgrades!$U$11,J229),1)*IF(Upgrades!$T$12="Magnetosphere",POWER(Upgrades!$U$12,K229),1))+(IF(I229=0,0,(Upgrades!$M$10+I229*Upgrades!$N$10)*POWER(Upgrades!$O$10,I229)))*(IF(Upgrades!$T$6="Orbital Resonance",POWER(Upgrades!$U$6,E229),1)*IF(Upgrades!$T$7="Orbital Resonance",POWER(Upgrades!$U$7,F229),1)*IF(Upgrades!$T$8="Orbital Resonance",POWER(Upgrades!$U$8,G229),1)*IF(Upgrades!$T$9="Orbital Resonance",POWER(Upgrades!$U$9,H229),1)*IF(Upgrades!$T$11="Orbital Resonance",POWER(Upgrades!$U$11,J229),1)*IF(Upgrades!$T$12="Orbital Resonance",POWER(Upgrades!$U$12,K229),1))+(IF(J229=0,0,(Upgrades!$M$11+J229*Upgrades!$N$11)*POWER(Upgrades!$O$11,J229)))*(IF(Upgrades!$T$6="Heliopause",POWER(Upgrades!$U$6,E229),1)*IF(Upgrades!$T$7="Heliopause",POWER(Upgrades!$U$7,F229),1)*IF(Upgrades!$T$8="Heliopause",POWER(Upgrades!$U$8,G229),1)*IF(Upgrades!$T$9="Heliopause",POWER(Upgrades!$U$9,H229),1)*IF(Upgrades!$T$10="Heliopause",POWER(Upgrades!$U$10,I229),1)*IF(Upgrades!$T$12="Heliopause",POWER(Upgrades!$U$12,K229),1))+(IF(K229=0,0,(Upgrades!$M$12+K229*Upgrades!$N$12)*POWER(Upgrades!$O$12,K229)))*(IF(Upgrades!$T$6="First Photons",POWER(Upgrades!$U$6,E229),1)*IF(Upgrades!$T$7="First Photons",POWER(Upgrades!$U$7,F229),1)*IF(Upgrades!$T$8="First Photons",POWER(Upgrades!$U$8,G229),1)*IF(Upgrades!$T$9="First Photons",POWER(Upgrades!$U$9,H229),1)*IF(Upgrades!$T$10="First Photons",POWER(Upgrades!$U$10,I229),1)*IF(Upgrades!$T$11="First Photons",POWER(Upgrades!$U$11,J229),1)))*POWER(Upgrades!$R$6,E229)*POWER(Upgrades!$R$7,F229)*POWER(Upgrades!$R$8,G229)*POWER(Upgrades!$R$9,H229)*POWER(Upgrades!$R$10,I229)*POWER(Upgrades!$R$11,J229)*POWER(Upgrades!$R$12,K229)</f>
        <v/>
      </c>
      <c r="P229" s="27">
        <f>IF(L229=1,0,M229*Parameters!$B$10/60*Parameters!$B$11*10)</f>
        <v/>
      </c>
      <c r="Q229" s="27">
        <f>IF(L229=1,0,O229*M229*10)</f>
        <v/>
      </c>
      <c r="R229" s="27">
        <f>IF(L229=1,0,N229*10)</f>
        <v/>
      </c>
      <c r="S229" s="27">
        <f>P229+Q229+R229</f>
        <v/>
      </c>
      <c r="T229" s="22">
        <f>C229+S229</f>
        <v/>
      </c>
      <c r="U229" s="33">
        <f>AX229</f>
        <v/>
      </c>
      <c r="V229" s="22">
        <f>IF(U229="",0,IF(U229="transition",0,IF(U229="SW",AG229,IF(U229="AB",AH229,IF(U229="SC",AI229,IF(U229="Mag",AJ229,IF(U229="OR",AK229,IF(U229="HP",AL229,IF(U229="FP",AM229,0)))))))))</f>
        <v/>
      </c>
      <c r="W229" s="27">
        <f>IF(U229="OR",Upgrades!$F$10,IF(U229="HP",Upgrades!$F$11,IF(U229="transition",-Parameters!$B$18,0)))</f>
        <v/>
      </c>
      <c r="X229" s="22">
        <f>T229-V229</f>
        <v/>
      </c>
      <c r="Y229" s="30">
        <f>M229*Parameters!$B$10/60*Parameters!$B$11+O229*M229+N229</f>
        <v/>
      </c>
      <c r="Z229" s="34">
        <f>IF(U229="transition","→ Tier 2 (Stellar Neighborhood)",IF(U229="FP","First Photons — light begins, system quickens",IF(U229="HP","Heliopause acquired",IF(U229="OR","Orbital Resonance — passive multiplier active",IF(AND(AO229=1,L229=0,AN229&lt;&gt;1),"Cohesion ready (waiting on completionist upgrades)","")))))</f>
        <v/>
      </c>
      <c r="AA229" s="27">
        <f>(IF(E229=0,0,(Upgrades!$G$6+E229*Upgrades!$H$6)*POWER(Upgrades!$I$6,E229)))*(IF(Upgrades!$T$7="Solar Wind",POWER(Upgrades!$U$7,F229),1)*IF(Upgrades!$T$8="Solar Wind",POWER(Upgrades!$U$8,G229),1)*IF(Upgrades!$T$9="Solar Wind",POWER(Upgrades!$U$9,H229),1)*IF(Upgrades!$T$10="Solar Wind",POWER(Upgrades!$U$10,I229),1)*IF(Upgrades!$T$11="Solar Wind",POWER(Upgrades!$U$11,J229),1)*IF(Upgrades!$T$12="Solar Wind",POWER(Upgrades!$U$12,K229),1))*POWER(Upgrades!$P$6,E229)*POWER(Upgrades!$P$7,F229)*POWER(Upgrades!$P$8,G229)*POWER(Upgrades!$P$9,H229)*POWER(Upgrades!$P$10,I229)*POWER(Upgrades!$P$11,J229)*POWER(Upgrades!$P$12,K229)*60</f>
        <v/>
      </c>
      <c r="AB229" s="27">
        <f>(IF(F229=0,0,(Upgrades!$G$7+F229*Upgrades!$H$7)*POWER(Upgrades!$I$7,F229)))*(IF(Upgrades!$T$6="Asteroid Belt",POWER(Upgrades!$U$6,E229),1)*IF(Upgrades!$T$8="Asteroid Belt",POWER(Upgrades!$U$8,G229),1)*IF(Upgrades!$T$9="Asteroid Belt",POWER(Upgrades!$U$9,H229),1)*IF(Upgrades!$T$10="Asteroid Belt",POWER(Upgrades!$U$10,I229),1)*IF(Upgrades!$T$11="Asteroid Belt",POWER(Upgrades!$U$11,J229),1)*IF(Upgrades!$T$12="Asteroid Belt",POWER(Upgrades!$U$12,K229),1))*POWER(Upgrades!$P$6,E229)*POWER(Upgrades!$P$7,F229)*POWER(Upgrades!$P$8,G229)*POWER(Upgrades!$P$9,H229)*POWER(Upgrades!$P$10,I229)*POWER(Upgrades!$P$11,J229)*POWER(Upgrades!$P$12,K229)*60</f>
        <v/>
      </c>
      <c r="AC229" s="27">
        <f>(IF(G229=0,0,(Upgrades!$J$8+G229*Upgrades!$K$8)*POWER(Upgrades!$L$8,G229)))*(IF(Upgrades!$T$6="Stellar Coupling",POWER(Upgrades!$U$6,E229),1)*IF(Upgrades!$T$7="Stellar Coupling",POWER(Upgrades!$U$7,F229),1)*IF(Upgrades!$T$9="Stellar Coupling",POWER(Upgrades!$U$9,H229),1)*IF(Upgrades!$T$10="Stellar Coupling",POWER(Upgrades!$U$10,I229),1)*IF(Upgrades!$T$11="Stellar Coupling",POWER(Upgrades!$U$11,J229),1)*IF(Upgrades!$T$12="Stellar Coupling",POWER(Upgrades!$U$12,K229),1))*POWER(Upgrades!$Q$6,E229)*POWER(Upgrades!$Q$7,F229)*POWER(Upgrades!$Q$8,G229)*POWER(Upgrades!$Q$9,H229)*POWER(Upgrades!$Q$10,I229)*POWER(Upgrades!$Q$11,J229)*POWER(Upgrades!$Q$12,K229)*Parameters!$B$10*Parameters!$B$11</f>
        <v/>
      </c>
      <c r="AD229" s="27">
        <f>(IF(H229=0,0,(Upgrades!$G$9+H229*Upgrades!$H$9)*POWER(Upgrades!$I$9,H229)))*(IF(Upgrades!$T$6="Magnetosphere",POWER(Upgrades!$U$6,E229),1)*IF(Upgrades!$T$7="Magnetosphere",POWER(Upgrades!$U$7,F229),1)*IF(Upgrades!$T$8="Magnetosphere",POWER(Upgrades!$U$8,G229),1)*IF(Upgrades!$T$10="Magnetosphere",POWER(Upgrades!$U$10,I229),1)*IF(Upgrades!$T$11="Magnetosphere",POWER(Upgrades!$U$11,J229),1)*IF(Upgrades!$T$12="Magnetosphere",POWER(Upgrades!$U$12,K229),1))*POWER(Upgrades!$P$6,E229)*POWER(Upgrades!$P$7,F229)*POWER(Upgrades!$P$8,G229)*POWER(Upgrades!$P$9,H229)*POWER(Upgrades!$P$10,I229)*POWER(Upgrades!$P$11,J229)*POWER(Upgrades!$P$12,K229)*60</f>
        <v/>
      </c>
      <c r="AE229" s="27">
        <f>(IF(K229=0,0,(Upgrades!$G$12+K229*Upgrades!$H$12)*POWER(Upgrades!$I$12,K229)))*(IF(Upgrades!$T$6="First Photons",POWER(Upgrades!$U$6,E229),1)*IF(Upgrades!$T$7="First Photons",POWER(Upgrades!$U$7,F229),1)*IF(Upgrades!$T$8="First Photons",POWER(Upgrades!$U$8,G229),1)*IF(Upgrades!$T$9="First Photons",POWER(Upgrades!$U$9,H229),1)*IF(Upgrades!$T$10="First Photons",POWER(Upgrades!$U$10,I229),1)*IF(Upgrades!$T$11="First Photons",POWER(Upgrades!$U$11,J229),1))*POWER(Upgrades!$P$6,E229)*POWER(Upgrades!$P$7,F229)*POWER(Upgrades!$P$8,G229)*POWER(Upgrades!$P$9,H229)*POWER(Upgrades!$P$10,I229)*POWER(Upgrades!$P$11,J229)*POWER(Upgrades!$P$12,K229)*60</f>
        <v/>
      </c>
      <c r="AF229" s="27">
        <f>Parameters!$B$9*POWER(Upgrades!$Q$6,E229)*POWER(Upgrades!$Q$7,F229)*POWER(Upgrades!$Q$8,G229)*POWER(Upgrades!$Q$9,H229)*POWER(Upgrades!$Q$10,I229)*POWER(Upgrades!$Q$11,J229)*POWER(Upgrades!$Q$12,K229)*(Parameters!$B$10*Parameters!$B$11+O229*60)</f>
        <v/>
      </c>
      <c r="AG229" s="22">
        <f>IF(E229&gt;=Upgrades!$E$6,"",Upgrades!$C$6*POWER(Upgrades!$D$6,E229))</f>
        <v/>
      </c>
      <c r="AH229" s="22">
        <f>IF(F229&gt;=Upgrades!$E$7,"",Upgrades!$C$7*POWER(Upgrades!$D$7,F229))</f>
        <v/>
      </c>
      <c r="AI229" s="22">
        <f>IF(G229&gt;=Upgrades!$E$8,"",Upgrades!$C$8*POWER(Upgrades!$D$8,G229))</f>
        <v/>
      </c>
      <c r="AJ229" s="22">
        <f>IF(H229&gt;=Upgrades!$E$9,"",Upgrades!$C$9*POWER(Upgrades!$D$9,H229))</f>
        <v/>
      </c>
      <c r="AK229" s="22">
        <f>IF(I229&gt;=Upgrades!$E$10,"",Upgrades!$C$10*POWER(Upgrades!$D$10,I229))</f>
        <v/>
      </c>
      <c r="AL229" s="22">
        <f>IF(J229&gt;=Upgrades!$E$11,"",Upgrades!$C$11*POWER(Upgrades!$D$11,J229))</f>
        <v/>
      </c>
      <c r="AM229" s="22">
        <f>IF(K229&gt;=Upgrades!$E$12,"",Upgrades!$C$12*POWER(Upgrades!$D$12,K229))</f>
        <v/>
      </c>
      <c r="AN229" s="26">
        <f>IF(AND(D229&gt;=Parameters!$B$18,(H229&gt;=Upgrades!$E$9)*(K229&gt;=Upgrades!$E$12)=1,L229=0),1,"")</f>
        <v/>
      </c>
      <c r="AO229" s="26">
        <f>IF(AND(D229&gt;=Parameters!$B$18,L229=0),1,"")</f>
        <v/>
      </c>
      <c r="AP229" s="22">
        <f>MIN(IF(ISNUMBER(AK229),AK229,9E15),IF(ISNUMBER(AL229),AL229,9E15),IF(ISNUMBER(AM229),AM229,9E15))</f>
        <v/>
      </c>
      <c r="AQ229" s="22">
        <f>MIN(IF(ISNUMBER(AG229),AG229,9E15),IF(ISNUMBER(AH229),AH229,9E15),IF(ISNUMBER(AI229),AI229,9E15),IF(ISNUMBER(AJ229),AJ229,9E15))</f>
        <v/>
      </c>
      <c r="AR229" s="29">
        <f>IF(AW229&gt;Parameters!$B$21*(MAX(IF(AND(NOT(AND(AO229=1,AN229&lt;&gt;1)),ISNUMBER(AG229),AG229&lt;=T229),AS229,0),IF(AND(NOT(AND(AO229=1,AN229&lt;&gt;1)),ISNUMBER(AH229),AH229&lt;=T229),AT229,0),IF(AND(NOT(AND(AO229=1,AN229&lt;&gt;1)),ISNUMBER(AI229),AI229&lt;=T229),AU229,0),IF(AND(ISNUMBER(AJ229),AJ229&lt;=T229),AV229,0))),TRUE,FALSE)</f>
        <v/>
      </c>
      <c r="AS229" s="32">
        <f>IFERROR(Upgrades!$H$6*(POWER(Upgrades!$P$6,E229)*POWER(Upgrades!$P$7,F229)*POWER(Upgrades!$P$8,G229)*POWER(Upgrades!$P$9,H229)*POWER(Upgrades!$P$10,I229)*POWER(Upgrades!$P$11,J229)*POWER(Upgrades!$P$12,K229))*(IF(Upgrades!$T$7="Solar Wind",POWER(Upgrades!$U$7,F229),1)*IF(Upgrades!$T$8="Solar Wind",POWER(Upgrades!$U$8,G229),1)*IF(Upgrades!$T$9="Solar Wind",POWER(Upgrades!$U$9,H229),1)*IF(Upgrades!$T$10="Solar Wind",POWER(Upgrades!$U$10,I229),1)*IF(Upgrades!$T$11="Solar Wind",POWER(Upgrades!$U$11,J229),1)*IF(Upgrades!$T$12="Solar Wind",POWER(Upgrades!$U$12,K229),1))/AG229,0)</f>
        <v/>
      </c>
      <c r="AT229" s="32">
        <f>IFERROR(Upgrades!$H$7*(POWER(Upgrades!$P$6,E229)*POWER(Upgrades!$P$7,F229)*POWER(Upgrades!$P$8,G229)*POWER(Upgrades!$P$9,H229)*POWER(Upgrades!$P$10,I229)*POWER(Upgrades!$P$11,J229)*POWER(Upgrades!$P$12,K229))*(IF(Upgrades!$T$6="Asteroid Belt",POWER(Upgrades!$U$6,E229),1)*IF(Upgrades!$T$8="Asteroid Belt",POWER(Upgrades!$U$8,G229),1)*IF(Upgrades!$T$9="Asteroid Belt",POWER(Upgrades!$U$9,H229),1)*IF(Upgrades!$T$10="Asteroid Belt",POWER(Upgrades!$U$10,I229),1)*IF(Upgrades!$T$11="Asteroid Belt",POWER(Upgrades!$U$11,J229),1)*IF(Upgrades!$T$12="Asteroid Belt",POWER(Upgrades!$U$12,K229),1))/AH229,0)</f>
        <v/>
      </c>
      <c r="AU229" s="32">
        <f>IFERROR(Upgrades!$K$8*(POWER(Upgrades!$Q$6,E229)*POWER(Upgrades!$Q$7,F229)*POWER(Upgrades!$Q$8,G229)*POWER(Upgrades!$Q$9,H229)*POWER(Upgrades!$Q$10,I229)*POWER(Upgrades!$Q$11,J229)*POWER(Upgrades!$Q$12,K229))*(IF(Upgrades!$T$6="Stellar Coupling",POWER(Upgrades!$U$6,E229),1)*IF(Upgrades!$T$7="Stellar Coupling",POWER(Upgrades!$U$7,F229),1)*IF(Upgrades!$T$9="Stellar Coupling",POWER(Upgrades!$U$9,H229),1)*IF(Upgrades!$T$10="Stellar Coupling",POWER(Upgrades!$U$10,I229),1)*IF(Upgrades!$T$11="Stellar Coupling",POWER(Upgrades!$U$11,J229),1)*IF(Upgrades!$T$12="Stellar Coupling",POWER(Upgrades!$U$12,K229),1))*Parameters!$B$10*Parameters!$B$11/60/AI229,0)</f>
        <v/>
      </c>
      <c r="AV229" s="32">
        <f>IFERROR(Upgrades!$H$9*(POWER(Upgrades!$P$6,E229)*POWER(Upgrades!$P$7,F229)*POWER(Upgrades!$P$8,G229)*POWER(Upgrades!$P$9,H229)*POWER(Upgrades!$P$10,I229)*POWER(Upgrades!$P$11,J229)*POWER(Upgrades!$P$12,K229))*(IF(Upgrades!$T$6="Magnetosphere",POWER(Upgrades!$U$6,E229),1)*IF(Upgrades!$T$7="Magnetosphere",POWER(Upgrades!$U$7,F229),1)*IF(Upgrades!$T$8="Magnetosphere",POWER(Upgrades!$U$8,G229),1)*IF(Upgrades!$T$10="Magnetosphere",POWER(Upgrades!$U$10,I229),1)*IF(Upgrades!$T$11="Magnetosphere",POWER(Upgrades!$U$11,J229),1)*IF(Upgrades!$T$12="Magnetosphere",POWER(Upgrades!$U$12,K229),1))/AJ229,0)</f>
        <v/>
      </c>
      <c r="AW229" s="32">
        <f>MAX(IF(I229&gt;0,0,IFERROR(0.25*N229/Upgrades!$C$10,0)),IF(J229&gt;0,0,IFERROR(0.5*((IF(G229=0,0,(Upgrades!$J$8+G229*Upgrades!$K$8)*POWER(Upgrades!$L$8,G229)))*(IF(Upgrades!$T$6="Stellar Coupling",POWER(Upgrades!$U$6,E229),1)*IF(Upgrades!$T$7="Stellar Coupling",POWER(Upgrades!$U$7,F229),1)*IF(Upgrades!$T$9="Stellar Coupling",POWER(Upgrades!$U$9,H229),1)*IF(Upgrades!$T$10="Stellar Coupling",POWER(Upgrades!$U$10,I229),1)*IF(Upgrades!$T$11="Stellar Coupling",POWER(Upgrades!$U$11,J229),1)*IF(Upgrades!$T$12="Stellar Coupling",POWER(Upgrades!$U$12,K229),1))*(POWER(Upgrades!$Q$6,E229)*POWER(Upgrades!$Q$7,F229)*POWER(Upgrades!$Q$8,G229)*POWER(Upgrades!$Q$9,H229)*POWER(Upgrades!$Q$10,I229)*POWER(Upgrades!$Q$11,J229)*POWER(Upgrades!$Q$12,K229))*Parameters!$B$10*Parameters!$B$11/60)/Upgrades!$C$11,0)),IF(K229&gt;0,0,IFERROR((1.0*(POWER(Upgrades!$P$6,E229)*POWER(Upgrades!$P$7,F229)*POWER(Upgrades!$P$8,G229)*POWER(Upgrades!$P$9,H229)*POWER(Upgrades!$P$10,I229)*POWER(Upgrades!$P$11,J229)*POWER(Upgrades!$P$12,K229))+0.20*M229*Parameters!$B$10*Parameters!$B$11/60)/Upgrades!$C$12,0)),IF(AND(ISNUMBER(AG229),AG229&gt;T229),AS229,0),IF(AND(ISNUMBER(AH229),AH229&gt;T229),AT229,0),IF(AND(ISNUMBER(AI229),AI229&gt;T229),AU229,0),IF(AND(ISNUMBER(AJ229),AJ229&gt;T229),AV229,0))</f>
        <v/>
      </c>
      <c r="AX229" s="29">
        <f>IF(AN229=1,"transition",IF(MIN(IF(AND(I229=0,ISNUMBER(AK229),AK229&lt;=T229),AK229,9E15),IF(AND(J229=0,ISNUMBER(AL229),AL229&lt;=T229),AL229,9E15),IF(AND(K229=0,ISNUMBER(AM229),AM229&lt;=T229),AM229,9E15))&lt;9E15,IF(AND(AND(I229=0,ISNUMBER(AK229),AK229&lt;=T229),AK229=MIN(IF(AND(I229=0,ISNUMBER(AK229),AK229&lt;=T229),AK229,9E15),IF(AND(J229=0,ISNUMBER(AL229),AL229&lt;=T229),AL229,9E15),IF(AND(K229=0,ISNUMBER(AM229),AM229&lt;=T229),AM229,9E15))),"OR",IF(AND(AND(J229=0,ISNUMBER(AL229),AL229&lt;=T229),AL229=MIN(IF(AND(I229=0,ISNUMBER(AK229),AK229&lt;=T229),AK229,9E15),IF(AND(J229=0,ISNUMBER(AL229),AL229&lt;=T229),AL229,9E15),IF(AND(K229=0,ISNUMBER(AM229),AM229&lt;=T229),AM229,9E15))),"HP","FP")),IF(AR229=TRUE,"",IF(MAX(IF(AND(NOT(AND(AO229=1,AN229&lt;&gt;1)),ISNUMBER(AG229),AG229&lt;=T229),AS229,0),IF(AND(NOT(AND(AO229=1,AN229&lt;&gt;1)),ISNUMBER(AH229),AH229&lt;=T229),AT229,0),IF(AND(NOT(AND(AO229=1,AN229&lt;&gt;1)),ISNUMBER(AI229),AI229&lt;=T229),AU229,0),IF(AND(ISNUMBER(AJ229),AJ229&lt;=T229),AV229,0))&lt;=0,"",IF(AND(IF(AND(NOT(AND(AO229=1,AN229&lt;&gt;1)),ISNUMBER(AG229),AG229&lt;=T229),AS229,0)&gt;0,IF(AND(NOT(AND(AO229=1,AN229&lt;&gt;1)),ISNUMBER(AG229),AG229&lt;=T229),AS229,0)=MAX(IF(AND(NOT(AND(AO229=1,AN229&lt;&gt;1)),ISNUMBER(AG229),AG229&lt;=T229),AS229,0),IF(AND(NOT(AND(AO229=1,AN229&lt;&gt;1)),ISNUMBER(AH229),AH229&lt;=T229),AT229,0),IF(AND(NOT(AND(AO229=1,AN229&lt;&gt;1)),ISNUMBER(AI229),AI229&lt;=T229),AU229,0),IF(AND(ISNUMBER(AJ229),AJ229&lt;=T229),AV229,0))),"SW",IF(AND(IF(AND(NOT(AND(AO229=1,AN229&lt;&gt;1)),ISNUMBER(AH229),AH229&lt;=T229),AT229,0)&gt;0,IF(AND(NOT(AND(AO229=1,AN229&lt;&gt;1)),ISNUMBER(AH229),AH229&lt;=T229),AT229,0)=MAX(IF(AND(NOT(AND(AO229=1,AN229&lt;&gt;1)),ISNUMBER(AG229),AG229&lt;=T229),AS229,0),IF(AND(NOT(AND(AO229=1,AN229&lt;&gt;1)),ISNUMBER(AH229),AH229&lt;=T229),AT229,0),IF(AND(NOT(AND(AO229=1,AN229&lt;&gt;1)),ISNUMBER(AI229),AI229&lt;=T229),AU229,0),IF(AND(ISNUMBER(AJ229),AJ229&lt;=T229),AV229,0))),"AB",IF(AND(IF(AND(NOT(AND(AO229=1,AN229&lt;&gt;1)),ISNUMBER(AI229),AI229&lt;=T229),AU229,0)&gt;0,IF(AND(NOT(AND(AO229=1,AN229&lt;&gt;1)),ISNUMBER(AI229),AI229&lt;=T229),AU229,0)=MAX(IF(AND(NOT(AND(AO229=1,AN229&lt;&gt;1)),ISNUMBER(AG229),AG229&lt;=T229),AS229,0),IF(AND(NOT(AND(AO229=1,AN229&lt;&gt;1)),ISNUMBER(AH229),AH229&lt;=T229),AT229,0),IF(AND(NOT(AND(AO229=1,AN229&lt;&gt;1)),ISNUMBER(AI229),AI229&lt;=T229),AU229,0),IF(AND(ISNUMBER(AJ229),AJ229&lt;=T229),AV229,0))),"SC","Mag")))))))</f>
        <v/>
      </c>
    </row>
    <row r="230">
      <c r="A230" s="26" t="n">
        <v>225</v>
      </c>
      <c r="B230" s="27">
        <f>A230*10/60</f>
        <v/>
      </c>
      <c r="C230" s="22">
        <f>X229</f>
        <v/>
      </c>
      <c r="D230" s="27">
        <f>D229+W229</f>
        <v/>
      </c>
      <c r="E230" s="26">
        <f>E229+IF(U229="SW",1,0)</f>
        <v/>
      </c>
      <c r="F230" s="26">
        <f>F229+IF(U229="AB",1,0)</f>
        <v/>
      </c>
      <c r="G230" s="26">
        <f>G229+IF(U229="SC",1,0)</f>
        <v/>
      </c>
      <c r="H230" s="26">
        <f>H229+IF(U229="Mag",1,0)</f>
        <v/>
      </c>
      <c r="I230" s="26">
        <f>MAX(I229,IF(U229="OR",1,0))</f>
        <v/>
      </c>
      <c r="J230" s="26">
        <f>MAX(J229,IF(U229="HP",1,0))</f>
        <v/>
      </c>
      <c r="K230" s="26">
        <f>MAX(K229,IF(U229="FP",1,0))</f>
        <v/>
      </c>
      <c r="L230" s="26">
        <f>MAX(L229,IF(U229="transition",1,0))</f>
        <v/>
      </c>
      <c r="M230" s="28">
        <f>(Parameters!$B$9+(IF(E230=0,0,(Upgrades!$J$6+E230*Upgrades!$K$6)*POWER(Upgrades!$L$6,E230)))*(IF(Upgrades!$T$7="Solar Wind",POWER(Upgrades!$U$7,F230),1)*IF(Upgrades!$T$8="Solar Wind",POWER(Upgrades!$U$8,G230),1)*IF(Upgrades!$T$9="Solar Wind",POWER(Upgrades!$U$9,H230),1)*IF(Upgrades!$T$10="Solar Wind",POWER(Upgrades!$U$10,I230),1)*IF(Upgrades!$T$11="Solar Wind",POWER(Upgrades!$U$11,J230),1)*IF(Upgrades!$T$12="Solar Wind",POWER(Upgrades!$U$12,K230),1))+(IF(F230=0,0,(Upgrades!$J$7+F230*Upgrades!$K$7)*POWER(Upgrades!$L$7,F230)))*(IF(Upgrades!$T$6="Asteroid Belt",POWER(Upgrades!$U$6,E230),1)*IF(Upgrades!$T$8="Asteroid Belt",POWER(Upgrades!$U$8,G230),1)*IF(Upgrades!$T$9="Asteroid Belt",POWER(Upgrades!$U$9,H230),1)*IF(Upgrades!$T$10="Asteroid Belt",POWER(Upgrades!$U$10,I230),1)*IF(Upgrades!$T$11="Asteroid Belt",POWER(Upgrades!$U$11,J230),1)*IF(Upgrades!$T$12="Asteroid Belt",POWER(Upgrades!$U$12,K230),1))+(IF(G230=0,0,(Upgrades!$J$8+G230*Upgrades!$K$8)*POWER(Upgrades!$L$8,G230)))*(IF(Upgrades!$T$6="Stellar Coupling",POWER(Upgrades!$U$6,E230),1)*IF(Upgrades!$T$7="Stellar Coupling",POWER(Upgrades!$U$7,F230),1)*IF(Upgrades!$T$9="Stellar Coupling",POWER(Upgrades!$U$9,H230),1)*IF(Upgrades!$T$10="Stellar Coupling",POWER(Upgrades!$U$10,I230),1)*IF(Upgrades!$T$11="Stellar Coupling",POWER(Upgrades!$U$11,J230),1)*IF(Upgrades!$T$12="Stellar Coupling",POWER(Upgrades!$U$12,K230),1))+(IF(H230=0,0,(Upgrades!$J$9+H230*Upgrades!$K$9)*POWER(Upgrades!$L$9,H230)))*(IF(Upgrades!$T$6="Magnetosphere",POWER(Upgrades!$U$6,E230),1)*IF(Upgrades!$T$7="Magnetosphere",POWER(Upgrades!$U$7,F230),1)*IF(Upgrades!$T$8="Magnetosphere",POWER(Upgrades!$U$8,G230),1)*IF(Upgrades!$T$10="Magnetosphere",POWER(Upgrades!$U$10,I230),1)*IF(Upgrades!$T$11="Magnetosphere",POWER(Upgrades!$U$11,J230),1)*IF(Upgrades!$T$12="Magnetosphere",POWER(Upgrades!$U$12,K230),1))+(IF(I230=0,0,(Upgrades!$J$10+I230*Upgrades!$K$10)*POWER(Upgrades!$L$10,I230)))*(IF(Upgrades!$T$6="Orbital Resonance",POWER(Upgrades!$U$6,E230),1)*IF(Upgrades!$T$7="Orbital Resonance",POWER(Upgrades!$U$7,F230),1)*IF(Upgrades!$T$8="Orbital Resonance",POWER(Upgrades!$U$8,G230),1)*IF(Upgrades!$T$9="Orbital Resonance",POWER(Upgrades!$U$9,H230),1)*IF(Upgrades!$T$11="Orbital Resonance",POWER(Upgrades!$U$11,J230),1)*IF(Upgrades!$T$12="Orbital Resonance",POWER(Upgrades!$U$12,K230),1))+(IF(J230=0,0,(Upgrades!$J$11+J230*Upgrades!$K$11)*POWER(Upgrades!$L$11,J230)))*(IF(Upgrades!$T$6="Heliopause",POWER(Upgrades!$U$6,E230),1)*IF(Upgrades!$T$7="Heliopause",POWER(Upgrades!$U$7,F230),1)*IF(Upgrades!$T$8="Heliopause",POWER(Upgrades!$U$8,G230),1)*IF(Upgrades!$T$9="Heliopause",POWER(Upgrades!$U$9,H230),1)*IF(Upgrades!$T$10="Heliopause",POWER(Upgrades!$U$10,I230),1)*IF(Upgrades!$T$12="Heliopause",POWER(Upgrades!$U$12,K230),1))+(IF(K230=0,0,(Upgrades!$J$12+K230*Upgrades!$K$12)*POWER(Upgrades!$L$12,K230)))*(IF(Upgrades!$T$6="First Photons",POWER(Upgrades!$U$6,E230),1)*IF(Upgrades!$T$7="First Photons",POWER(Upgrades!$U$7,F230),1)*IF(Upgrades!$T$8="First Photons",POWER(Upgrades!$U$8,G230),1)*IF(Upgrades!$T$9="First Photons",POWER(Upgrades!$U$9,H230),1)*IF(Upgrades!$T$10="First Photons",POWER(Upgrades!$U$10,I230),1)*IF(Upgrades!$T$11="First Photons",POWER(Upgrades!$U$11,J230),1)))*POWER(Upgrades!$Q$6,E230)*POWER(Upgrades!$Q$7,F230)*POWER(Upgrades!$Q$8,G230)*POWER(Upgrades!$Q$9,H230)*POWER(Upgrades!$Q$10,I230)*POWER(Upgrades!$Q$11,J230)*POWER(Upgrades!$Q$12,K230)</f>
        <v/>
      </c>
      <c r="N230" s="28">
        <f>((IF(E230=0,0,(Upgrades!$G$6+E230*Upgrades!$H$6)*POWER(Upgrades!$I$6,E230)))*(IF(Upgrades!$T$7="Solar Wind",POWER(Upgrades!$U$7,F230),1)*IF(Upgrades!$T$8="Solar Wind",POWER(Upgrades!$U$8,G230),1)*IF(Upgrades!$T$9="Solar Wind",POWER(Upgrades!$U$9,H230),1)*IF(Upgrades!$T$10="Solar Wind",POWER(Upgrades!$U$10,I230),1)*IF(Upgrades!$T$11="Solar Wind",POWER(Upgrades!$U$11,J230),1)*IF(Upgrades!$T$12="Solar Wind",POWER(Upgrades!$U$12,K230),1))+(IF(F230=0,0,(Upgrades!$G$7+F230*Upgrades!$H$7)*POWER(Upgrades!$I$7,F230)))*(IF(Upgrades!$T$6="Asteroid Belt",POWER(Upgrades!$U$6,E230),1)*IF(Upgrades!$T$8="Asteroid Belt",POWER(Upgrades!$U$8,G230),1)*IF(Upgrades!$T$9="Asteroid Belt",POWER(Upgrades!$U$9,H230),1)*IF(Upgrades!$T$10="Asteroid Belt",POWER(Upgrades!$U$10,I230),1)*IF(Upgrades!$T$11="Asteroid Belt",POWER(Upgrades!$U$11,J230),1)*IF(Upgrades!$T$12="Asteroid Belt",POWER(Upgrades!$U$12,K230),1))+(IF(G230=0,0,(Upgrades!$G$8+G230*Upgrades!$H$8)*POWER(Upgrades!$I$8,G230)))*(IF(Upgrades!$T$6="Stellar Coupling",POWER(Upgrades!$U$6,E230),1)*IF(Upgrades!$T$7="Stellar Coupling",POWER(Upgrades!$U$7,F230),1)*IF(Upgrades!$T$9="Stellar Coupling",POWER(Upgrades!$U$9,H230),1)*IF(Upgrades!$T$10="Stellar Coupling",POWER(Upgrades!$U$10,I230),1)*IF(Upgrades!$T$11="Stellar Coupling",POWER(Upgrades!$U$11,J230),1)*IF(Upgrades!$T$12="Stellar Coupling",POWER(Upgrades!$U$12,K230),1))+(IF(H230=0,0,(Upgrades!$G$9+H230*Upgrades!$H$9)*POWER(Upgrades!$I$9,H230)))*(IF(Upgrades!$T$6="Magnetosphere",POWER(Upgrades!$U$6,E230),1)*IF(Upgrades!$T$7="Magnetosphere",POWER(Upgrades!$U$7,F230),1)*IF(Upgrades!$T$8="Magnetosphere",POWER(Upgrades!$U$8,G230),1)*IF(Upgrades!$T$10="Magnetosphere",POWER(Upgrades!$U$10,I230),1)*IF(Upgrades!$T$11="Magnetosphere",POWER(Upgrades!$U$11,J230),1)*IF(Upgrades!$T$12="Magnetosphere",POWER(Upgrades!$U$12,K230),1))+(IF(I230=0,0,(Upgrades!$G$10+I230*Upgrades!$H$10)*POWER(Upgrades!$I$10,I230)))*(IF(Upgrades!$T$6="Orbital Resonance",POWER(Upgrades!$U$6,E230),1)*IF(Upgrades!$T$7="Orbital Resonance",POWER(Upgrades!$U$7,F230),1)*IF(Upgrades!$T$8="Orbital Resonance",POWER(Upgrades!$U$8,G230),1)*IF(Upgrades!$T$9="Orbital Resonance",POWER(Upgrades!$U$9,H230),1)*IF(Upgrades!$T$11="Orbital Resonance",POWER(Upgrades!$U$11,J230),1)*IF(Upgrades!$T$12="Orbital Resonance",POWER(Upgrades!$U$12,K230),1))+(IF(J230=0,0,(Upgrades!$G$11+J230*Upgrades!$H$11)*POWER(Upgrades!$I$11,J230)))*(IF(Upgrades!$T$6="Heliopause",POWER(Upgrades!$U$6,E230),1)*IF(Upgrades!$T$7="Heliopause",POWER(Upgrades!$U$7,F230),1)*IF(Upgrades!$T$8="Heliopause",POWER(Upgrades!$U$8,G230),1)*IF(Upgrades!$T$9="Heliopause",POWER(Upgrades!$U$9,H230),1)*IF(Upgrades!$T$10="Heliopause",POWER(Upgrades!$U$10,I230),1)*IF(Upgrades!$T$12="Heliopause",POWER(Upgrades!$U$12,K230),1))+(IF(K230=0,0,(Upgrades!$G$12+K230*Upgrades!$H$12)*POWER(Upgrades!$I$12,K230)))*(IF(Upgrades!$T$6="First Photons",POWER(Upgrades!$U$6,E230),1)*IF(Upgrades!$T$7="First Photons",POWER(Upgrades!$U$7,F230),1)*IF(Upgrades!$T$8="First Photons",POWER(Upgrades!$U$8,G230),1)*IF(Upgrades!$T$9="First Photons",POWER(Upgrades!$U$9,H230),1)*IF(Upgrades!$T$10="First Photons",POWER(Upgrades!$U$10,I230),1)*IF(Upgrades!$T$11="First Photons",POWER(Upgrades!$U$11,J230),1)))*POWER(Upgrades!$P$6,E230)*POWER(Upgrades!$P$7,F230)*POWER(Upgrades!$P$8,G230)*POWER(Upgrades!$P$9,H230)*POWER(Upgrades!$P$10,I230)*POWER(Upgrades!$P$11,J230)*POWER(Upgrades!$P$12,K230)</f>
        <v/>
      </c>
      <c r="O230" s="28">
        <f>((IF(E230=0,0,(Upgrades!$M$6+E230*Upgrades!$N$6)*POWER(Upgrades!$O$6,E230)))*(IF(Upgrades!$T$7="Solar Wind",POWER(Upgrades!$U$7,F230),1)*IF(Upgrades!$T$8="Solar Wind",POWER(Upgrades!$U$8,G230),1)*IF(Upgrades!$T$9="Solar Wind",POWER(Upgrades!$U$9,H230),1)*IF(Upgrades!$T$10="Solar Wind",POWER(Upgrades!$U$10,I230),1)*IF(Upgrades!$T$11="Solar Wind",POWER(Upgrades!$U$11,J230),1)*IF(Upgrades!$T$12="Solar Wind",POWER(Upgrades!$U$12,K230),1))+(IF(F230=0,0,(Upgrades!$M$7+F230*Upgrades!$N$7)*POWER(Upgrades!$O$7,F230)))*(IF(Upgrades!$T$6="Asteroid Belt",POWER(Upgrades!$U$6,E230),1)*IF(Upgrades!$T$8="Asteroid Belt",POWER(Upgrades!$U$8,G230),1)*IF(Upgrades!$T$9="Asteroid Belt",POWER(Upgrades!$U$9,H230),1)*IF(Upgrades!$T$10="Asteroid Belt",POWER(Upgrades!$U$10,I230),1)*IF(Upgrades!$T$11="Asteroid Belt",POWER(Upgrades!$U$11,J230),1)*IF(Upgrades!$T$12="Asteroid Belt",POWER(Upgrades!$U$12,K230),1))+(IF(G230=0,0,(Upgrades!$M$8+G230*Upgrades!$N$8)*POWER(Upgrades!$O$8,G230)))*(IF(Upgrades!$T$6="Stellar Coupling",POWER(Upgrades!$U$6,E230),1)*IF(Upgrades!$T$7="Stellar Coupling",POWER(Upgrades!$U$7,F230),1)*IF(Upgrades!$T$9="Stellar Coupling",POWER(Upgrades!$U$9,H230),1)*IF(Upgrades!$T$10="Stellar Coupling",POWER(Upgrades!$U$10,I230),1)*IF(Upgrades!$T$11="Stellar Coupling",POWER(Upgrades!$U$11,J230),1)*IF(Upgrades!$T$12="Stellar Coupling",POWER(Upgrades!$U$12,K230),1))+(IF(H230=0,0,(Upgrades!$M$9+H230*Upgrades!$N$9)*POWER(Upgrades!$O$9,H230)))*(IF(Upgrades!$T$6="Magnetosphere",POWER(Upgrades!$U$6,E230),1)*IF(Upgrades!$T$7="Magnetosphere",POWER(Upgrades!$U$7,F230),1)*IF(Upgrades!$T$8="Magnetosphere",POWER(Upgrades!$U$8,G230),1)*IF(Upgrades!$T$10="Magnetosphere",POWER(Upgrades!$U$10,I230),1)*IF(Upgrades!$T$11="Magnetosphere",POWER(Upgrades!$U$11,J230),1)*IF(Upgrades!$T$12="Magnetosphere",POWER(Upgrades!$U$12,K230),1))+(IF(I230=0,0,(Upgrades!$M$10+I230*Upgrades!$N$10)*POWER(Upgrades!$O$10,I230)))*(IF(Upgrades!$T$6="Orbital Resonance",POWER(Upgrades!$U$6,E230),1)*IF(Upgrades!$T$7="Orbital Resonance",POWER(Upgrades!$U$7,F230),1)*IF(Upgrades!$T$8="Orbital Resonance",POWER(Upgrades!$U$8,G230),1)*IF(Upgrades!$T$9="Orbital Resonance",POWER(Upgrades!$U$9,H230),1)*IF(Upgrades!$T$11="Orbital Resonance",POWER(Upgrades!$U$11,J230),1)*IF(Upgrades!$T$12="Orbital Resonance",POWER(Upgrades!$U$12,K230),1))+(IF(J230=0,0,(Upgrades!$M$11+J230*Upgrades!$N$11)*POWER(Upgrades!$O$11,J230)))*(IF(Upgrades!$T$6="Heliopause",POWER(Upgrades!$U$6,E230),1)*IF(Upgrades!$T$7="Heliopause",POWER(Upgrades!$U$7,F230),1)*IF(Upgrades!$T$8="Heliopause",POWER(Upgrades!$U$8,G230),1)*IF(Upgrades!$T$9="Heliopause",POWER(Upgrades!$U$9,H230),1)*IF(Upgrades!$T$10="Heliopause",POWER(Upgrades!$U$10,I230),1)*IF(Upgrades!$T$12="Heliopause",POWER(Upgrades!$U$12,K230),1))+(IF(K230=0,0,(Upgrades!$M$12+K230*Upgrades!$N$12)*POWER(Upgrades!$O$12,K230)))*(IF(Upgrades!$T$6="First Photons",POWER(Upgrades!$U$6,E230),1)*IF(Upgrades!$T$7="First Photons",POWER(Upgrades!$U$7,F230),1)*IF(Upgrades!$T$8="First Photons",POWER(Upgrades!$U$8,G230),1)*IF(Upgrades!$T$9="First Photons",POWER(Upgrades!$U$9,H230),1)*IF(Upgrades!$T$10="First Photons",POWER(Upgrades!$U$10,I230),1)*IF(Upgrades!$T$11="First Photons",POWER(Upgrades!$U$11,J230),1)))*POWER(Upgrades!$R$6,E230)*POWER(Upgrades!$R$7,F230)*POWER(Upgrades!$R$8,G230)*POWER(Upgrades!$R$9,H230)*POWER(Upgrades!$R$10,I230)*POWER(Upgrades!$R$11,J230)*POWER(Upgrades!$R$12,K230)</f>
        <v/>
      </c>
      <c r="P230" s="27">
        <f>IF(L230=1,0,M230*Parameters!$B$10/60*Parameters!$B$11*10)</f>
        <v/>
      </c>
      <c r="Q230" s="27">
        <f>IF(L230=1,0,O230*M230*10)</f>
        <v/>
      </c>
      <c r="R230" s="27">
        <f>IF(L230=1,0,N230*10)</f>
        <v/>
      </c>
      <c r="S230" s="27">
        <f>P230+Q230+R230</f>
        <v/>
      </c>
      <c r="T230" s="22">
        <f>C230+S230</f>
        <v/>
      </c>
      <c r="U230" s="33">
        <f>AX230</f>
        <v/>
      </c>
      <c r="V230" s="22">
        <f>IF(U230="",0,IF(U230="transition",0,IF(U230="SW",AG230,IF(U230="AB",AH230,IF(U230="SC",AI230,IF(U230="Mag",AJ230,IF(U230="OR",AK230,IF(U230="HP",AL230,IF(U230="FP",AM230,0)))))))))</f>
        <v/>
      </c>
      <c r="W230" s="27">
        <f>IF(U230="OR",Upgrades!$F$10,IF(U230="HP",Upgrades!$F$11,IF(U230="transition",-Parameters!$B$18,0)))</f>
        <v/>
      </c>
      <c r="X230" s="22">
        <f>T230-V230</f>
        <v/>
      </c>
      <c r="Y230" s="30">
        <f>M230*Parameters!$B$10/60*Parameters!$B$11+O230*M230+N230</f>
        <v/>
      </c>
      <c r="Z230" s="34">
        <f>IF(U230="transition","→ Tier 2 (Stellar Neighborhood)",IF(U230="FP","First Photons — light begins, system quickens",IF(U230="HP","Heliopause acquired",IF(U230="OR","Orbital Resonance — passive multiplier active",IF(AND(AO230=1,L230=0,AN230&lt;&gt;1),"Cohesion ready (waiting on completionist upgrades)","")))))</f>
        <v/>
      </c>
      <c r="AA230" s="27">
        <f>(IF(E230=0,0,(Upgrades!$G$6+E230*Upgrades!$H$6)*POWER(Upgrades!$I$6,E230)))*(IF(Upgrades!$T$7="Solar Wind",POWER(Upgrades!$U$7,F230),1)*IF(Upgrades!$T$8="Solar Wind",POWER(Upgrades!$U$8,G230),1)*IF(Upgrades!$T$9="Solar Wind",POWER(Upgrades!$U$9,H230),1)*IF(Upgrades!$T$10="Solar Wind",POWER(Upgrades!$U$10,I230),1)*IF(Upgrades!$T$11="Solar Wind",POWER(Upgrades!$U$11,J230),1)*IF(Upgrades!$T$12="Solar Wind",POWER(Upgrades!$U$12,K230),1))*POWER(Upgrades!$P$6,E230)*POWER(Upgrades!$P$7,F230)*POWER(Upgrades!$P$8,G230)*POWER(Upgrades!$P$9,H230)*POWER(Upgrades!$P$10,I230)*POWER(Upgrades!$P$11,J230)*POWER(Upgrades!$P$12,K230)*60</f>
        <v/>
      </c>
      <c r="AB230" s="27">
        <f>(IF(F230=0,0,(Upgrades!$G$7+F230*Upgrades!$H$7)*POWER(Upgrades!$I$7,F230)))*(IF(Upgrades!$T$6="Asteroid Belt",POWER(Upgrades!$U$6,E230),1)*IF(Upgrades!$T$8="Asteroid Belt",POWER(Upgrades!$U$8,G230),1)*IF(Upgrades!$T$9="Asteroid Belt",POWER(Upgrades!$U$9,H230),1)*IF(Upgrades!$T$10="Asteroid Belt",POWER(Upgrades!$U$10,I230),1)*IF(Upgrades!$T$11="Asteroid Belt",POWER(Upgrades!$U$11,J230),1)*IF(Upgrades!$T$12="Asteroid Belt",POWER(Upgrades!$U$12,K230),1))*POWER(Upgrades!$P$6,E230)*POWER(Upgrades!$P$7,F230)*POWER(Upgrades!$P$8,G230)*POWER(Upgrades!$P$9,H230)*POWER(Upgrades!$P$10,I230)*POWER(Upgrades!$P$11,J230)*POWER(Upgrades!$P$12,K230)*60</f>
        <v/>
      </c>
      <c r="AC230" s="27">
        <f>(IF(G230=0,0,(Upgrades!$J$8+G230*Upgrades!$K$8)*POWER(Upgrades!$L$8,G230)))*(IF(Upgrades!$T$6="Stellar Coupling",POWER(Upgrades!$U$6,E230),1)*IF(Upgrades!$T$7="Stellar Coupling",POWER(Upgrades!$U$7,F230),1)*IF(Upgrades!$T$9="Stellar Coupling",POWER(Upgrades!$U$9,H230),1)*IF(Upgrades!$T$10="Stellar Coupling",POWER(Upgrades!$U$10,I230),1)*IF(Upgrades!$T$11="Stellar Coupling",POWER(Upgrades!$U$11,J230),1)*IF(Upgrades!$T$12="Stellar Coupling",POWER(Upgrades!$U$12,K230),1))*POWER(Upgrades!$Q$6,E230)*POWER(Upgrades!$Q$7,F230)*POWER(Upgrades!$Q$8,G230)*POWER(Upgrades!$Q$9,H230)*POWER(Upgrades!$Q$10,I230)*POWER(Upgrades!$Q$11,J230)*POWER(Upgrades!$Q$12,K230)*Parameters!$B$10*Parameters!$B$11</f>
        <v/>
      </c>
      <c r="AD230" s="27">
        <f>(IF(H230=0,0,(Upgrades!$G$9+H230*Upgrades!$H$9)*POWER(Upgrades!$I$9,H230)))*(IF(Upgrades!$T$6="Magnetosphere",POWER(Upgrades!$U$6,E230),1)*IF(Upgrades!$T$7="Magnetosphere",POWER(Upgrades!$U$7,F230),1)*IF(Upgrades!$T$8="Magnetosphere",POWER(Upgrades!$U$8,G230),1)*IF(Upgrades!$T$10="Magnetosphere",POWER(Upgrades!$U$10,I230),1)*IF(Upgrades!$T$11="Magnetosphere",POWER(Upgrades!$U$11,J230),1)*IF(Upgrades!$T$12="Magnetosphere",POWER(Upgrades!$U$12,K230),1))*POWER(Upgrades!$P$6,E230)*POWER(Upgrades!$P$7,F230)*POWER(Upgrades!$P$8,G230)*POWER(Upgrades!$P$9,H230)*POWER(Upgrades!$P$10,I230)*POWER(Upgrades!$P$11,J230)*POWER(Upgrades!$P$12,K230)*60</f>
        <v/>
      </c>
      <c r="AE230" s="27">
        <f>(IF(K230=0,0,(Upgrades!$G$12+K230*Upgrades!$H$12)*POWER(Upgrades!$I$12,K230)))*(IF(Upgrades!$T$6="First Photons",POWER(Upgrades!$U$6,E230),1)*IF(Upgrades!$T$7="First Photons",POWER(Upgrades!$U$7,F230),1)*IF(Upgrades!$T$8="First Photons",POWER(Upgrades!$U$8,G230),1)*IF(Upgrades!$T$9="First Photons",POWER(Upgrades!$U$9,H230),1)*IF(Upgrades!$T$10="First Photons",POWER(Upgrades!$U$10,I230),1)*IF(Upgrades!$T$11="First Photons",POWER(Upgrades!$U$11,J230),1))*POWER(Upgrades!$P$6,E230)*POWER(Upgrades!$P$7,F230)*POWER(Upgrades!$P$8,G230)*POWER(Upgrades!$P$9,H230)*POWER(Upgrades!$P$10,I230)*POWER(Upgrades!$P$11,J230)*POWER(Upgrades!$P$12,K230)*60</f>
        <v/>
      </c>
      <c r="AF230" s="27">
        <f>Parameters!$B$9*POWER(Upgrades!$Q$6,E230)*POWER(Upgrades!$Q$7,F230)*POWER(Upgrades!$Q$8,G230)*POWER(Upgrades!$Q$9,H230)*POWER(Upgrades!$Q$10,I230)*POWER(Upgrades!$Q$11,J230)*POWER(Upgrades!$Q$12,K230)*(Parameters!$B$10*Parameters!$B$11+O230*60)</f>
        <v/>
      </c>
      <c r="AG230" s="22">
        <f>IF(E230&gt;=Upgrades!$E$6,"",Upgrades!$C$6*POWER(Upgrades!$D$6,E230))</f>
        <v/>
      </c>
      <c r="AH230" s="22">
        <f>IF(F230&gt;=Upgrades!$E$7,"",Upgrades!$C$7*POWER(Upgrades!$D$7,F230))</f>
        <v/>
      </c>
      <c r="AI230" s="22">
        <f>IF(G230&gt;=Upgrades!$E$8,"",Upgrades!$C$8*POWER(Upgrades!$D$8,G230))</f>
        <v/>
      </c>
      <c r="AJ230" s="22">
        <f>IF(H230&gt;=Upgrades!$E$9,"",Upgrades!$C$9*POWER(Upgrades!$D$9,H230))</f>
        <v/>
      </c>
      <c r="AK230" s="22">
        <f>IF(I230&gt;=Upgrades!$E$10,"",Upgrades!$C$10*POWER(Upgrades!$D$10,I230))</f>
        <v/>
      </c>
      <c r="AL230" s="22">
        <f>IF(J230&gt;=Upgrades!$E$11,"",Upgrades!$C$11*POWER(Upgrades!$D$11,J230))</f>
        <v/>
      </c>
      <c r="AM230" s="22">
        <f>IF(K230&gt;=Upgrades!$E$12,"",Upgrades!$C$12*POWER(Upgrades!$D$12,K230))</f>
        <v/>
      </c>
      <c r="AN230" s="26">
        <f>IF(AND(D230&gt;=Parameters!$B$18,(H230&gt;=Upgrades!$E$9)*(K230&gt;=Upgrades!$E$12)=1,L230=0),1,"")</f>
        <v/>
      </c>
      <c r="AO230" s="26">
        <f>IF(AND(D230&gt;=Parameters!$B$18,L230=0),1,"")</f>
        <v/>
      </c>
      <c r="AP230" s="22">
        <f>MIN(IF(ISNUMBER(AK230),AK230,9E15),IF(ISNUMBER(AL230),AL230,9E15),IF(ISNUMBER(AM230),AM230,9E15))</f>
        <v/>
      </c>
      <c r="AQ230" s="22">
        <f>MIN(IF(ISNUMBER(AG230),AG230,9E15),IF(ISNUMBER(AH230),AH230,9E15),IF(ISNUMBER(AI230),AI230,9E15),IF(ISNUMBER(AJ230),AJ230,9E15))</f>
        <v/>
      </c>
      <c r="AR230" s="29">
        <f>IF(AW230&gt;Parameters!$B$21*(MAX(IF(AND(NOT(AND(AO230=1,AN230&lt;&gt;1)),ISNUMBER(AG230),AG230&lt;=T230),AS230,0),IF(AND(NOT(AND(AO230=1,AN230&lt;&gt;1)),ISNUMBER(AH230),AH230&lt;=T230),AT230,0),IF(AND(NOT(AND(AO230=1,AN230&lt;&gt;1)),ISNUMBER(AI230),AI230&lt;=T230),AU230,0),IF(AND(ISNUMBER(AJ230),AJ230&lt;=T230),AV230,0))),TRUE,FALSE)</f>
        <v/>
      </c>
      <c r="AS230" s="32">
        <f>IFERROR(Upgrades!$H$6*(POWER(Upgrades!$P$6,E230)*POWER(Upgrades!$P$7,F230)*POWER(Upgrades!$P$8,G230)*POWER(Upgrades!$P$9,H230)*POWER(Upgrades!$P$10,I230)*POWER(Upgrades!$P$11,J230)*POWER(Upgrades!$P$12,K230))*(IF(Upgrades!$T$7="Solar Wind",POWER(Upgrades!$U$7,F230),1)*IF(Upgrades!$T$8="Solar Wind",POWER(Upgrades!$U$8,G230),1)*IF(Upgrades!$T$9="Solar Wind",POWER(Upgrades!$U$9,H230),1)*IF(Upgrades!$T$10="Solar Wind",POWER(Upgrades!$U$10,I230),1)*IF(Upgrades!$T$11="Solar Wind",POWER(Upgrades!$U$11,J230),1)*IF(Upgrades!$T$12="Solar Wind",POWER(Upgrades!$U$12,K230),1))/AG230,0)</f>
        <v/>
      </c>
      <c r="AT230" s="32">
        <f>IFERROR(Upgrades!$H$7*(POWER(Upgrades!$P$6,E230)*POWER(Upgrades!$P$7,F230)*POWER(Upgrades!$P$8,G230)*POWER(Upgrades!$P$9,H230)*POWER(Upgrades!$P$10,I230)*POWER(Upgrades!$P$11,J230)*POWER(Upgrades!$P$12,K230))*(IF(Upgrades!$T$6="Asteroid Belt",POWER(Upgrades!$U$6,E230),1)*IF(Upgrades!$T$8="Asteroid Belt",POWER(Upgrades!$U$8,G230),1)*IF(Upgrades!$T$9="Asteroid Belt",POWER(Upgrades!$U$9,H230),1)*IF(Upgrades!$T$10="Asteroid Belt",POWER(Upgrades!$U$10,I230),1)*IF(Upgrades!$T$11="Asteroid Belt",POWER(Upgrades!$U$11,J230),1)*IF(Upgrades!$T$12="Asteroid Belt",POWER(Upgrades!$U$12,K230),1))/AH230,0)</f>
        <v/>
      </c>
      <c r="AU230" s="32">
        <f>IFERROR(Upgrades!$K$8*(POWER(Upgrades!$Q$6,E230)*POWER(Upgrades!$Q$7,F230)*POWER(Upgrades!$Q$8,G230)*POWER(Upgrades!$Q$9,H230)*POWER(Upgrades!$Q$10,I230)*POWER(Upgrades!$Q$11,J230)*POWER(Upgrades!$Q$12,K230))*(IF(Upgrades!$T$6="Stellar Coupling",POWER(Upgrades!$U$6,E230),1)*IF(Upgrades!$T$7="Stellar Coupling",POWER(Upgrades!$U$7,F230),1)*IF(Upgrades!$T$9="Stellar Coupling",POWER(Upgrades!$U$9,H230),1)*IF(Upgrades!$T$10="Stellar Coupling",POWER(Upgrades!$U$10,I230),1)*IF(Upgrades!$T$11="Stellar Coupling",POWER(Upgrades!$U$11,J230),1)*IF(Upgrades!$T$12="Stellar Coupling",POWER(Upgrades!$U$12,K230),1))*Parameters!$B$10*Parameters!$B$11/60/AI230,0)</f>
        <v/>
      </c>
      <c r="AV230" s="32">
        <f>IFERROR(Upgrades!$H$9*(POWER(Upgrades!$P$6,E230)*POWER(Upgrades!$P$7,F230)*POWER(Upgrades!$P$8,G230)*POWER(Upgrades!$P$9,H230)*POWER(Upgrades!$P$10,I230)*POWER(Upgrades!$P$11,J230)*POWER(Upgrades!$P$12,K230))*(IF(Upgrades!$T$6="Magnetosphere",POWER(Upgrades!$U$6,E230),1)*IF(Upgrades!$T$7="Magnetosphere",POWER(Upgrades!$U$7,F230),1)*IF(Upgrades!$T$8="Magnetosphere",POWER(Upgrades!$U$8,G230),1)*IF(Upgrades!$T$10="Magnetosphere",POWER(Upgrades!$U$10,I230),1)*IF(Upgrades!$T$11="Magnetosphere",POWER(Upgrades!$U$11,J230),1)*IF(Upgrades!$T$12="Magnetosphere",POWER(Upgrades!$U$12,K230),1))/AJ230,0)</f>
        <v/>
      </c>
      <c r="AW230" s="32">
        <f>MAX(IF(I230&gt;0,0,IFERROR(0.25*N230/Upgrades!$C$10,0)),IF(J230&gt;0,0,IFERROR(0.5*((IF(G230=0,0,(Upgrades!$J$8+G230*Upgrades!$K$8)*POWER(Upgrades!$L$8,G230)))*(IF(Upgrades!$T$6="Stellar Coupling",POWER(Upgrades!$U$6,E230),1)*IF(Upgrades!$T$7="Stellar Coupling",POWER(Upgrades!$U$7,F230),1)*IF(Upgrades!$T$9="Stellar Coupling",POWER(Upgrades!$U$9,H230),1)*IF(Upgrades!$T$10="Stellar Coupling",POWER(Upgrades!$U$10,I230),1)*IF(Upgrades!$T$11="Stellar Coupling",POWER(Upgrades!$U$11,J230),1)*IF(Upgrades!$T$12="Stellar Coupling",POWER(Upgrades!$U$12,K230),1))*(POWER(Upgrades!$Q$6,E230)*POWER(Upgrades!$Q$7,F230)*POWER(Upgrades!$Q$8,G230)*POWER(Upgrades!$Q$9,H230)*POWER(Upgrades!$Q$10,I230)*POWER(Upgrades!$Q$11,J230)*POWER(Upgrades!$Q$12,K230))*Parameters!$B$10*Parameters!$B$11/60)/Upgrades!$C$11,0)),IF(K230&gt;0,0,IFERROR((1.0*(POWER(Upgrades!$P$6,E230)*POWER(Upgrades!$P$7,F230)*POWER(Upgrades!$P$8,G230)*POWER(Upgrades!$P$9,H230)*POWER(Upgrades!$P$10,I230)*POWER(Upgrades!$P$11,J230)*POWER(Upgrades!$P$12,K230))+0.20*M230*Parameters!$B$10*Parameters!$B$11/60)/Upgrades!$C$12,0)),IF(AND(ISNUMBER(AG230),AG230&gt;T230),AS230,0),IF(AND(ISNUMBER(AH230),AH230&gt;T230),AT230,0),IF(AND(ISNUMBER(AI230),AI230&gt;T230),AU230,0),IF(AND(ISNUMBER(AJ230),AJ230&gt;T230),AV230,0))</f>
        <v/>
      </c>
      <c r="AX230" s="29">
        <f>IF(AN230=1,"transition",IF(MIN(IF(AND(I230=0,ISNUMBER(AK230),AK230&lt;=T230),AK230,9E15),IF(AND(J230=0,ISNUMBER(AL230),AL230&lt;=T230),AL230,9E15),IF(AND(K230=0,ISNUMBER(AM230),AM230&lt;=T230),AM230,9E15))&lt;9E15,IF(AND(AND(I230=0,ISNUMBER(AK230),AK230&lt;=T230),AK230=MIN(IF(AND(I230=0,ISNUMBER(AK230),AK230&lt;=T230),AK230,9E15),IF(AND(J230=0,ISNUMBER(AL230),AL230&lt;=T230),AL230,9E15),IF(AND(K230=0,ISNUMBER(AM230),AM230&lt;=T230),AM230,9E15))),"OR",IF(AND(AND(J230=0,ISNUMBER(AL230),AL230&lt;=T230),AL230=MIN(IF(AND(I230=0,ISNUMBER(AK230),AK230&lt;=T230),AK230,9E15),IF(AND(J230=0,ISNUMBER(AL230),AL230&lt;=T230),AL230,9E15),IF(AND(K230=0,ISNUMBER(AM230),AM230&lt;=T230),AM230,9E15))),"HP","FP")),IF(AR230=TRUE,"",IF(MAX(IF(AND(NOT(AND(AO230=1,AN230&lt;&gt;1)),ISNUMBER(AG230),AG230&lt;=T230),AS230,0),IF(AND(NOT(AND(AO230=1,AN230&lt;&gt;1)),ISNUMBER(AH230),AH230&lt;=T230),AT230,0),IF(AND(NOT(AND(AO230=1,AN230&lt;&gt;1)),ISNUMBER(AI230),AI230&lt;=T230),AU230,0),IF(AND(ISNUMBER(AJ230),AJ230&lt;=T230),AV230,0))&lt;=0,"",IF(AND(IF(AND(NOT(AND(AO230=1,AN230&lt;&gt;1)),ISNUMBER(AG230),AG230&lt;=T230),AS230,0)&gt;0,IF(AND(NOT(AND(AO230=1,AN230&lt;&gt;1)),ISNUMBER(AG230),AG230&lt;=T230),AS230,0)=MAX(IF(AND(NOT(AND(AO230=1,AN230&lt;&gt;1)),ISNUMBER(AG230),AG230&lt;=T230),AS230,0),IF(AND(NOT(AND(AO230=1,AN230&lt;&gt;1)),ISNUMBER(AH230),AH230&lt;=T230),AT230,0),IF(AND(NOT(AND(AO230=1,AN230&lt;&gt;1)),ISNUMBER(AI230),AI230&lt;=T230),AU230,0),IF(AND(ISNUMBER(AJ230),AJ230&lt;=T230),AV230,0))),"SW",IF(AND(IF(AND(NOT(AND(AO230=1,AN230&lt;&gt;1)),ISNUMBER(AH230),AH230&lt;=T230),AT230,0)&gt;0,IF(AND(NOT(AND(AO230=1,AN230&lt;&gt;1)),ISNUMBER(AH230),AH230&lt;=T230),AT230,0)=MAX(IF(AND(NOT(AND(AO230=1,AN230&lt;&gt;1)),ISNUMBER(AG230),AG230&lt;=T230),AS230,0),IF(AND(NOT(AND(AO230=1,AN230&lt;&gt;1)),ISNUMBER(AH230),AH230&lt;=T230),AT230,0),IF(AND(NOT(AND(AO230=1,AN230&lt;&gt;1)),ISNUMBER(AI230),AI230&lt;=T230),AU230,0),IF(AND(ISNUMBER(AJ230),AJ230&lt;=T230),AV230,0))),"AB",IF(AND(IF(AND(NOT(AND(AO230=1,AN230&lt;&gt;1)),ISNUMBER(AI230),AI230&lt;=T230),AU230,0)&gt;0,IF(AND(NOT(AND(AO230=1,AN230&lt;&gt;1)),ISNUMBER(AI230),AI230&lt;=T230),AU230,0)=MAX(IF(AND(NOT(AND(AO230=1,AN230&lt;&gt;1)),ISNUMBER(AG230),AG230&lt;=T230),AS230,0),IF(AND(NOT(AND(AO230=1,AN230&lt;&gt;1)),ISNUMBER(AH230),AH230&lt;=T230),AT230,0),IF(AND(NOT(AND(AO230=1,AN230&lt;&gt;1)),ISNUMBER(AI230),AI230&lt;=T230),AU230,0),IF(AND(ISNUMBER(AJ230),AJ230&lt;=T230),AV230,0))),"SC","Mag")))))))</f>
        <v/>
      </c>
    </row>
    <row r="231">
      <c r="A231" s="26" t="n">
        <v>226</v>
      </c>
      <c r="B231" s="27">
        <f>A231*10/60</f>
        <v/>
      </c>
      <c r="C231" s="22">
        <f>X230</f>
        <v/>
      </c>
      <c r="D231" s="27">
        <f>D230+W230</f>
        <v/>
      </c>
      <c r="E231" s="26">
        <f>E230+IF(U230="SW",1,0)</f>
        <v/>
      </c>
      <c r="F231" s="26">
        <f>F230+IF(U230="AB",1,0)</f>
        <v/>
      </c>
      <c r="G231" s="26">
        <f>G230+IF(U230="SC",1,0)</f>
        <v/>
      </c>
      <c r="H231" s="26">
        <f>H230+IF(U230="Mag",1,0)</f>
        <v/>
      </c>
      <c r="I231" s="26">
        <f>MAX(I230,IF(U230="OR",1,0))</f>
        <v/>
      </c>
      <c r="J231" s="26">
        <f>MAX(J230,IF(U230="HP",1,0))</f>
        <v/>
      </c>
      <c r="K231" s="26">
        <f>MAX(K230,IF(U230="FP",1,0))</f>
        <v/>
      </c>
      <c r="L231" s="26">
        <f>MAX(L230,IF(U230="transition",1,0))</f>
        <v/>
      </c>
      <c r="M231" s="28">
        <f>(Parameters!$B$9+(IF(E231=0,0,(Upgrades!$J$6+E231*Upgrades!$K$6)*POWER(Upgrades!$L$6,E231)))*(IF(Upgrades!$T$7="Solar Wind",POWER(Upgrades!$U$7,F231),1)*IF(Upgrades!$T$8="Solar Wind",POWER(Upgrades!$U$8,G231),1)*IF(Upgrades!$T$9="Solar Wind",POWER(Upgrades!$U$9,H231),1)*IF(Upgrades!$T$10="Solar Wind",POWER(Upgrades!$U$10,I231),1)*IF(Upgrades!$T$11="Solar Wind",POWER(Upgrades!$U$11,J231),1)*IF(Upgrades!$T$12="Solar Wind",POWER(Upgrades!$U$12,K231),1))+(IF(F231=0,0,(Upgrades!$J$7+F231*Upgrades!$K$7)*POWER(Upgrades!$L$7,F231)))*(IF(Upgrades!$T$6="Asteroid Belt",POWER(Upgrades!$U$6,E231),1)*IF(Upgrades!$T$8="Asteroid Belt",POWER(Upgrades!$U$8,G231),1)*IF(Upgrades!$T$9="Asteroid Belt",POWER(Upgrades!$U$9,H231),1)*IF(Upgrades!$T$10="Asteroid Belt",POWER(Upgrades!$U$10,I231),1)*IF(Upgrades!$T$11="Asteroid Belt",POWER(Upgrades!$U$11,J231),1)*IF(Upgrades!$T$12="Asteroid Belt",POWER(Upgrades!$U$12,K231),1))+(IF(G231=0,0,(Upgrades!$J$8+G231*Upgrades!$K$8)*POWER(Upgrades!$L$8,G231)))*(IF(Upgrades!$T$6="Stellar Coupling",POWER(Upgrades!$U$6,E231),1)*IF(Upgrades!$T$7="Stellar Coupling",POWER(Upgrades!$U$7,F231),1)*IF(Upgrades!$T$9="Stellar Coupling",POWER(Upgrades!$U$9,H231),1)*IF(Upgrades!$T$10="Stellar Coupling",POWER(Upgrades!$U$10,I231),1)*IF(Upgrades!$T$11="Stellar Coupling",POWER(Upgrades!$U$11,J231),1)*IF(Upgrades!$T$12="Stellar Coupling",POWER(Upgrades!$U$12,K231),1))+(IF(H231=0,0,(Upgrades!$J$9+H231*Upgrades!$K$9)*POWER(Upgrades!$L$9,H231)))*(IF(Upgrades!$T$6="Magnetosphere",POWER(Upgrades!$U$6,E231),1)*IF(Upgrades!$T$7="Magnetosphere",POWER(Upgrades!$U$7,F231),1)*IF(Upgrades!$T$8="Magnetosphere",POWER(Upgrades!$U$8,G231),1)*IF(Upgrades!$T$10="Magnetosphere",POWER(Upgrades!$U$10,I231),1)*IF(Upgrades!$T$11="Magnetosphere",POWER(Upgrades!$U$11,J231),1)*IF(Upgrades!$T$12="Magnetosphere",POWER(Upgrades!$U$12,K231),1))+(IF(I231=0,0,(Upgrades!$J$10+I231*Upgrades!$K$10)*POWER(Upgrades!$L$10,I231)))*(IF(Upgrades!$T$6="Orbital Resonance",POWER(Upgrades!$U$6,E231),1)*IF(Upgrades!$T$7="Orbital Resonance",POWER(Upgrades!$U$7,F231),1)*IF(Upgrades!$T$8="Orbital Resonance",POWER(Upgrades!$U$8,G231),1)*IF(Upgrades!$T$9="Orbital Resonance",POWER(Upgrades!$U$9,H231),1)*IF(Upgrades!$T$11="Orbital Resonance",POWER(Upgrades!$U$11,J231),1)*IF(Upgrades!$T$12="Orbital Resonance",POWER(Upgrades!$U$12,K231),1))+(IF(J231=0,0,(Upgrades!$J$11+J231*Upgrades!$K$11)*POWER(Upgrades!$L$11,J231)))*(IF(Upgrades!$T$6="Heliopause",POWER(Upgrades!$U$6,E231),1)*IF(Upgrades!$T$7="Heliopause",POWER(Upgrades!$U$7,F231),1)*IF(Upgrades!$T$8="Heliopause",POWER(Upgrades!$U$8,G231),1)*IF(Upgrades!$T$9="Heliopause",POWER(Upgrades!$U$9,H231),1)*IF(Upgrades!$T$10="Heliopause",POWER(Upgrades!$U$10,I231),1)*IF(Upgrades!$T$12="Heliopause",POWER(Upgrades!$U$12,K231),1))+(IF(K231=0,0,(Upgrades!$J$12+K231*Upgrades!$K$12)*POWER(Upgrades!$L$12,K231)))*(IF(Upgrades!$T$6="First Photons",POWER(Upgrades!$U$6,E231),1)*IF(Upgrades!$T$7="First Photons",POWER(Upgrades!$U$7,F231),1)*IF(Upgrades!$T$8="First Photons",POWER(Upgrades!$U$8,G231),1)*IF(Upgrades!$T$9="First Photons",POWER(Upgrades!$U$9,H231),1)*IF(Upgrades!$T$10="First Photons",POWER(Upgrades!$U$10,I231),1)*IF(Upgrades!$T$11="First Photons",POWER(Upgrades!$U$11,J231),1)))*POWER(Upgrades!$Q$6,E231)*POWER(Upgrades!$Q$7,F231)*POWER(Upgrades!$Q$8,G231)*POWER(Upgrades!$Q$9,H231)*POWER(Upgrades!$Q$10,I231)*POWER(Upgrades!$Q$11,J231)*POWER(Upgrades!$Q$12,K231)</f>
        <v/>
      </c>
      <c r="N231" s="28">
        <f>((IF(E231=0,0,(Upgrades!$G$6+E231*Upgrades!$H$6)*POWER(Upgrades!$I$6,E231)))*(IF(Upgrades!$T$7="Solar Wind",POWER(Upgrades!$U$7,F231),1)*IF(Upgrades!$T$8="Solar Wind",POWER(Upgrades!$U$8,G231),1)*IF(Upgrades!$T$9="Solar Wind",POWER(Upgrades!$U$9,H231),1)*IF(Upgrades!$T$10="Solar Wind",POWER(Upgrades!$U$10,I231),1)*IF(Upgrades!$T$11="Solar Wind",POWER(Upgrades!$U$11,J231),1)*IF(Upgrades!$T$12="Solar Wind",POWER(Upgrades!$U$12,K231),1))+(IF(F231=0,0,(Upgrades!$G$7+F231*Upgrades!$H$7)*POWER(Upgrades!$I$7,F231)))*(IF(Upgrades!$T$6="Asteroid Belt",POWER(Upgrades!$U$6,E231),1)*IF(Upgrades!$T$8="Asteroid Belt",POWER(Upgrades!$U$8,G231),1)*IF(Upgrades!$T$9="Asteroid Belt",POWER(Upgrades!$U$9,H231),1)*IF(Upgrades!$T$10="Asteroid Belt",POWER(Upgrades!$U$10,I231),1)*IF(Upgrades!$T$11="Asteroid Belt",POWER(Upgrades!$U$11,J231),1)*IF(Upgrades!$T$12="Asteroid Belt",POWER(Upgrades!$U$12,K231),1))+(IF(G231=0,0,(Upgrades!$G$8+G231*Upgrades!$H$8)*POWER(Upgrades!$I$8,G231)))*(IF(Upgrades!$T$6="Stellar Coupling",POWER(Upgrades!$U$6,E231),1)*IF(Upgrades!$T$7="Stellar Coupling",POWER(Upgrades!$U$7,F231),1)*IF(Upgrades!$T$9="Stellar Coupling",POWER(Upgrades!$U$9,H231),1)*IF(Upgrades!$T$10="Stellar Coupling",POWER(Upgrades!$U$10,I231),1)*IF(Upgrades!$T$11="Stellar Coupling",POWER(Upgrades!$U$11,J231),1)*IF(Upgrades!$T$12="Stellar Coupling",POWER(Upgrades!$U$12,K231),1))+(IF(H231=0,0,(Upgrades!$G$9+H231*Upgrades!$H$9)*POWER(Upgrades!$I$9,H231)))*(IF(Upgrades!$T$6="Magnetosphere",POWER(Upgrades!$U$6,E231),1)*IF(Upgrades!$T$7="Magnetosphere",POWER(Upgrades!$U$7,F231),1)*IF(Upgrades!$T$8="Magnetosphere",POWER(Upgrades!$U$8,G231),1)*IF(Upgrades!$T$10="Magnetosphere",POWER(Upgrades!$U$10,I231),1)*IF(Upgrades!$T$11="Magnetosphere",POWER(Upgrades!$U$11,J231),1)*IF(Upgrades!$T$12="Magnetosphere",POWER(Upgrades!$U$12,K231),1))+(IF(I231=0,0,(Upgrades!$G$10+I231*Upgrades!$H$10)*POWER(Upgrades!$I$10,I231)))*(IF(Upgrades!$T$6="Orbital Resonance",POWER(Upgrades!$U$6,E231),1)*IF(Upgrades!$T$7="Orbital Resonance",POWER(Upgrades!$U$7,F231),1)*IF(Upgrades!$T$8="Orbital Resonance",POWER(Upgrades!$U$8,G231),1)*IF(Upgrades!$T$9="Orbital Resonance",POWER(Upgrades!$U$9,H231),1)*IF(Upgrades!$T$11="Orbital Resonance",POWER(Upgrades!$U$11,J231),1)*IF(Upgrades!$T$12="Orbital Resonance",POWER(Upgrades!$U$12,K231),1))+(IF(J231=0,0,(Upgrades!$G$11+J231*Upgrades!$H$11)*POWER(Upgrades!$I$11,J231)))*(IF(Upgrades!$T$6="Heliopause",POWER(Upgrades!$U$6,E231),1)*IF(Upgrades!$T$7="Heliopause",POWER(Upgrades!$U$7,F231),1)*IF(Upgrades!$T$8="Heliopause",POWER(Upgrades!$U$8,G231),1)*IF(Upgrades!$T$9="Heliopause",POWER(Upgrades!$U$9,H231),1)*IF(Upgrades!$T$10="Heliopause",POWER(Upgrades!$U$10,I231),1)*IF(Upgrades!$T$12="Heliopause",POWER(Upgrades!$U$12,K231),1))+(IF(K231=0,0,(Upgrades!$G$12+K231*Upgrades!$H$12)*POWER(Upgrades!$I$12,K231)))*(IF(Upgrades!$T$6="First Photons",POWER(Upgrades!$U$6,E231),1)*IF(Upgrades!$T$7="First Photons",POWER(Upgrades!$U$7,F231),1)*IF(Upgrades!$T$8="First Photons",POWER(Upgrades!$U$8,G231),1)*IF(Upgrades!$T$9="First Photons",POWER(Upgrades!$U$9,H231),1)*IF(Upgrades!$T$10="First Photons",POWER(Upgrades!$U$10,I231),1)*IF(Upgrades!$T$11="First Photons",POWER(Upgrades!$U$11,J231),1)))*POWER(Upgrades!$P$6,E231)*POWER(Upgrades!$P$7,F231)*POWER(Upgrades!$P$8,G231)*POWER(Upgrades!$P$9,H231)*POWER(Upgrades!$P$10,I231)*POWER(Upgrades!$P$11,J231)*POWER(Upgrades!$P$12,K231)</f>
        <v/>
      </c>
      <c r="O231" s="28">
        <f>((IF(E231=0,0,(Upgrades!$M$6+E231*Upgrades!$N$6)*POWER(Upgrades!$O$6,E231)))*(IF(Upgrades!$T$7="Solar Wind",POWER(Upgrades!$U$7,F231),1)*IF(Upgrades!$T$8="Solar Wind",POWER(Upgrades!$U$8,G231),1)*IF(Upgrades!$T$9="Solar Wind",POWER(Upgrades!$U$9,H231),1)*IF(Upgrades!$T$10="Solar Wind",POWER(Upgrades!$U$10,I231),1)*IF(Upgrades!$T$11="Solar Wind",POWER(Upgrades!$U$11,J231),1)*IF(Upgrades!$T$12="Solar Wind",POWER(Upgrades!$U$12,K231),1))+(IF(F231=0,0,(Upgrades!$M$7+F231*Upgrades!$N$7)*POWER(Upgrades!$O$7,F231)))*(IF(Upgrades!$T$6="Asteroid Belt",POWER(Upgrades!$U$6,E231),1)*IF(Upgrades!$T$8="Asteroid Belt",POWER(Upgrades!$U$8,G231),1)*IF(Upgrades!$T$9="Asteroid Belt",POWER(Upgrades!$U$9,H231),1)*IF(Upgrades!$T$10="Asteroid Belt",POWER(Upgrades!$U$10,I231),1)*IF(Upgrades!$T$11="Asteroid Belt",POWER(Upgrades!$U$11,J231),1)*IF(Upgrades!$T$12="Asteroid Belt",POWER(Upgrades!$U$12,K231),1))+(IF(G231=0,0,(Upgrades!$M$8+G231*Upgrades!$N$8)*POWER(Upgrades!$O$8,G231)))*(IF(Upgrades!$T$6="Stellar Coupling",POWER(Upgrades!$U$6,E231),1)*IF(Upgrades!$T$7="Stellar Coupling",POWER(Upgrades!$U$7,F231),1)*IF(Upgrades!$T$9="Stellar Coupling",POWER(Upgrades!$U$9,H231),1)*IF(Upgrades!$T$10="Stellar Coupling",POWER(Upgrades!$U$10,I231),1)*IF(Upgrades!$T$11="Stellar Coupling",POWER(Upgrades!$U$11,J231),1)*IF(Upgrades!$T$12="Stellar Coupling",POWER(Upgrades!$U$12,K231),1))+(IF(H231=0,0,(Upgrades!$M$9+H231*Upgrades!$N$9)*POWER(Upgrades!$O$9,H231)))*(IF(Upgrades!$T$6="Magnetosphere",POWER(Upgrades!$U$6,E231),1)*IF(Upgrades!$T$7="Magnetosphere",POWER(Upgrades!$U$7,F231),1)*IF(Upgrades!$T$8="Magnetosphere",POWER(Upgrades!$U$8,G231),1)*IF(Upgrades!$T$10="Magnetosphere",POWER(Upgrades!$U$10,I231),1)*IF(Upgrades!$T$11="Magnetosphere",POWER(Upgrades!$U$11,J231),1)*IF(Upgrades!$T$12="Magnetosphere",POWER(Upgrades!$U$12,K231),1))+(IF(I231=0,0,(Upgrades!$M$10+I231*Upgrades!$N$10)*POWER(Upgrades!$O$10,I231)))*(IF(Upgrades!$T$6="Orbital Resonance",POWER(Upgrades!$U$6,E231),1)*IF(Upgrades!$T$7="Orbital Resonance",POWER(Upgrades!$U$7,F231),1)*IF(Upgrades!$T$8="Orbital Resonance",POWER(Upgrades!$U$8,G231),1)*IF(Upgrades!$T$9="Orbital Resonance",POWER(Upgrades!$U$9,H231),1)*IF(Upgrades!$T$11="Orbital Resonance",POWER(Upgrades!$U$11,J231),1)*IF(Upgrades!$T$12="Orbital Resonance",POWER(Upgrades!$U$12,K231),1))+(IF(J231=0,0,(Upgrades!$M$11+J231*Upgrades!$N$11)*POWER(Upgrades!$O$11,J231)))*(IF(Upgrades!$T$6="Heliopause",POWER(Upgrades!$U$6,E231),1)*IF(Upgrades!$T$7="Heliopause",POWER(Upgrades!$U$7,F231),1)*IF(Upgrades!$T$8="Heliopause",POWER(Upgrades!$U$8,G231),1)*IF(Upgrades!$T$9="Heliopause",POWER(Upgrades!$U$9,H231),1)*IF(Upgrades!$T$10="Heliopause",POWER(Upgrades!$U$10,I231),1)*IF(Upgrades!$T$12="Heliopause",POWER(Upgrades!$U$12,K231),1))+(IF(K231=0,0,(Upgrades!$M$12+K231*Upgrades!$N$12)*POWER(Upgrades!$O$12,K231)))*(IF(Upgrades!$T$6="First Photons",POWER(Upgrades!$U$6,E231),1)*IF(Upgrades!$T$7="First Photons",POWER(Upgrades!$U$7,F231),1)*IF(Upgrades!$T$8="First Photons",POWER(Upgrades!$U$8,G231),1)*IF(Upgrades!$T$9="First Photons",POWER(Upgrades!$U$9,H231),1)*IF(Upgrades!$T$10="First Photons",POWER(Upgrades!$U$10,I231),1)*IF(Upgrades!$T$11="First Photons",POWER(Upgrades!$U$11,J231),1)))*POWER(Upgrades!$R$6,E231)*POWER(Upgrades!$R$7,F231)*POWER(Upgrades!$R$8,G231)*POWER(Upgrades!$R$9,H231)*POWER(Upgrades!$R$10,I231)*POWER(Upgrades!$R$11,J231)*POWER(Upgrades!$R$12,K231)</f>
        <v/>
      </c>
      <c r="P231" s="27">
        <f>IF(L231=1,0,M231*Parameters!$B$10/60*Parameters!$B$11*10)</f>
        <v/>
      </c>
      <c r="Q231" s="27">
        <f>IF(L231=1,0,O231*M231*10)</f>
        <v/>
      </c>
      <c r="R231" s="27">
        <f>IF(L231=1,0,N231*10)</f>
        <v/>
      </c>
      <c r="S231" s="27">
        <f>P231+Q231+R231</f>
        <v/>
      </c>
      <c r="T231" s="22">
        <f>C231+S231</f>
        <v/>
      </c>
      <c r="U231" s="33">
        <f>AX231</f>
        <v/>
      </c>
      <c r="V231" s="22">
        <f>IF(U231="",0,IF(U231="transition",0,IF(U231="SW",AG231,IF(U231="AB",AH231,IF(U231="SC",AI231,IF(U231="Mag",AJ231,IF(U231="OR",AK231,IF(U231="HP",AL231,IF(U231="FP",AM231,0)))))))))</f>
        <v/>
      </c>
      <c r="W231" s="27">
        <f>IF(U231="OR",Upgrades!$F$10,IF(U231="HP",Upgrades!$F$11,IF(U231="transition",-Parameters!$B$18,0)))</f>
        <v/>
      </c>
      <c r="X231" s="22">
        <f>T231-V231</f>
        <v/>
      </c>
      <c r="Y231" s="30">
        <f>M231*Parameters!$B$10/60*Parameters!$B$11+O231*M231+N231</f>
        <v/>
      </c>
      <c r="Z231" s="34">
        <f>IF(U231="transition","→ Tier 2 (Stellar Neighborhood)",IF(U231="FP","First Photons — light begins, system quickens",IF(U231="HP","Heliopause acquired",IF(U231="OR","Orbital Resonance — passive multiplier active",IF(AND(AO231=1,L231=0,AN231&lt;&gt;1),"Cohesion ready (waiting on completionist upgrades)","")))))</f>
        <v/>
      </c>
      <c r="AA231" s="27">
        <f>(IF(E231=0,0,(Upgrades!$G$6+E231*Upgrades!$H$6)*POWER(Upgrades!$I$6,E231)))*(IF(Upgrades!$T$7="Solar Wind",POWER(Upgrades!$U$7,F231),1)*IF(Upgrades!$T$8="Solar Wind",POWER(Upgrades!$U$8,G231),1)*IF(Upgrades!$T$9="Solar Wind",POWER(Upgrades!$U$9,H231),1)*IF(Upgrades!$T$10="Solar Wind",POWER(Upgrades!$U$10,I231),1)*IF(Upgrades!$T$11="Solar Wind",POWER(Upgrades!$U$11,J231),1)*IF(Upgrades!$T$12="Solar Wind",POWER(Upgrades!$U$12,K231),1))*POWER(Upgrades!$P$6,E231)*POWER(Upgrades!$P$7,F231)*POWER(Upgrades!$P$8,G231)*POWER(Upgrades!$P$9,H231)*POWER(Upgrades!$P$10,I231)*POWER(Upgrades!$P$11,J231)*POWER(Upgrades!$P$12,K231)*60</f>
        <v/>
      </c>
      <c r="AB231" s="27">
        <f>(IF(F231=0,0,(Upgrades!$G$7+F231*Upgrades!$H$7)*POWER(Upgrades!$I$7,F231)))*(IF(Upgrades!$T$6="Asteroid Belt",POWER(Upgrades!$U$6,E231),1)*IF(Upgrades!$T$8="Asteroid Belt",POWER(Upgrades!$U$8,G231),1)*IF(Upgrades!$T$9="Asteroid Belt",POWER(Upgrades!$U$9,H231),1)*IF(Upgrades!$T$10="Asteroid Belt",POWER(Upgrades!$U$10,I231),1)*IF(Upgrades!$T$11="Asteroid Belt",POWER(Upgrades!$U$11,J231),1)*IF(Upgrades!$T$12="Asteroid Belt",POWER(Upgrades!$U$12,K231),1))*POWER(Upgrades!$P$6,E231)*POWER(Upgrades!$P$7,F231)*POWER(Upgrades!$P$8,G231)*POWER(Upgrades!$P$9,H231)*POWER(Upgrades!$P$10,I231)*POWER(Upgrades!$P$11,J231)*POWER(Upgrades!$P$12,K231)*60</f>
        <v/>
      </c>
      <c r="AC231" s="27">
        <f>(IF(G231=0,0,(Upgrades!$J$8+G231*Upgrades!$K$8)*POWER(Upgrades!$L$8,G231)))*(IF(Upgrades!$T$6="Stellar Coupling",POWER(Upgrades!$U$6,E231),1)*IF(Upgrades!$T$7="Stellar Coupling",POWER(Upgrades!$U$7,F231),1)*IF(Upgrades!$T$9="Stellar Coupling",POWER(Upgrades!$U$9,H231),1)*IF(Upgrades!$T$10="Stellar Coupling",POWER(Upgrades!$U$10,I231),1)*IF(Upgrades!$T$11="Stellar Coupling",POWER(Upgrades!$U$11,J231),1)*IF(Upgrades!$T$12="Stellar Coupling",POWER(Upgrades!$U$12,K231),1))*POWER(Upgrades!$Q$6,E231)*POWER(Upgrades!$Q$7,F231)*POWER(Upgrades!$Q$8,G231)*POWER(Upgrades!$Q$9,H231)*POWER(Upgrades!$Q$10,I231)*POWER(Upgrades!$Q$11,J231)*POWER(Upgrades!$Q$12,K231)*Parameters!$B$10*Parameters!$B$11</f>
        <v/>
      </c>
      <c r="AD231" s="27">
        <f>(IF(H231=0,0,(Upgrades!$G$9+H231*Upgrades!$H$9)*POWER(Upgrades!$I$9,H231)))*(IF(Upgrades!$T$6="Magnetosphere",POWER(Upgrades!$U$6,E231),1)*IF(Upgrades!$T$7="Magnetosphere",POWER(Upgrades!$U$7,F231),1)*IF(Upgrades!$T$8="Magnetosphere",POWER(Upgrades!$U$8,G231),1)*IF(Upgrades!$T$10="Magnetosphere",POWER(Upgrades!$U$10,I231),1)*IF(Upgrades!$T$11="Magnetosphere",POWER(Upgrades!$U$11,J231),1)*IF(Upgrades!$T$12="Magnetosphere",POWER(Upgrades!$U$12,K231),1))*POWER(Upgrades!$P$6,E231)*POWER(Upgrades!$P$7,F231)*POWER(Upgrades!$P$8,G231)*POWER(Upgrades!$P$9,H231)*POWER(Upgrades!$P$10,I231)*POWER(Upgrades!$P$11,J231)*POWER(Upgrades!$P$12,K231)*60</f>
        <v/>
      </c>
      <c r="AE231" s="27">
        <f>(IF(K231=0,0,(Upgrades!$G$12+K231*Upgrades!$H$12)*POWER(Upgrades!$I$12,K231)))*(IF(Upgrades!$T$6="First Photons",POWER(Upgrades!$U$6,E231),1)*IF(Upgrades!$T$7="First Photons",POWER(Upgrades!$U$7,F231),1)*IF(Upgrades!$T$8="First Photons",POWER(Upgrades!$U$8,G231),1)*IF(Upgrades!$T$9="First Photons",POWER(Upgrades!$U$9,H231),1)*IF(Upgrades!$T$10="First Photons",POWER(Upgrades!$U$10,I231),1)*IF(Upgrades!$T$11="First Photons",POWER(Upgrades!$U$11,J231),1))*POWER(Upgrades!$P$6,E231)*POWER(Upgrades!$P$7,F231)*POWER(Upgrades!$P$8,G231)*POWER(Upgrades!$P$9,H231)*POWER(Upgrades!$P$10,I231)*POWER(Upgrades!$P$11,J231)*POWER(Upgrades!$P$12,K231)*60</f>
        <v/>
      </c>
      <c r="AF231" s="27">
        <f>Parameters!$B$9*POWER(Upgrades!$Q$6,E231)*POWER(Upgrades!$Q$7,F231)*POWER(Upgrades!$Q$8,G231)*POWER(Upgrades!$Q$9,H231)*POWER(Upgrades!$Q$10,I231)*POWER(Upgrades!$Q$11,J231)*POWER(Upgrades!$Q$12,K231)*(Parameters!$B$10*Parameters!$B$11+O231*60)</f>
        <v/>
      </c>
      <c r="AG231" s="22">
        <f>IF(E231&gt;=Upgrades!$E$6,"",Upgrades!$C$6*POWER(Upgrades!$D$6,E231))</f>
        <v/>
      </c>
      <c r="AH231" s="22">
        <f>IF(F231&gt;=Upgrades!$E$7,"",Upgrades!$C$7*POWER(Upgrades!$D$7,F231))</f>
        <v/>
      </c>
      <c r="AI231" s="22">
        <f>IF(G231&gt;=Upgrades!$E$8,"",Upgrades!$C$8*POWER(Upgrades!$D$8,G231))</f>
        <v/>
      </c>
      <c r="AJ231" s="22">
        <f>IF(H231&gt;=Upgrades!$E$9,"",Upgrades!$C$9*POWER(Upgrades!$D$9,H231))</f>
        <v/>
      </c>
      <c r="AK231" s="22">
        <f>IF(I231&gt;=Upgrades!$E$10,"",Upgrades!$C$10*POWER(Upgrades!$D$10,I231))</f>
        <v/>
      </c>
      <c r="AL231" s="22">
        <f>IF(J231&gt;=Upgrades!$E$11,"",Upgrades!$C$11*POWER(Upgrades!$D$11,J231))</f>
        <v/>
      </c>
      <c r="AM231" s="22">
        <f>IF(K231&gt;=Upgrades!$E$12,"",Upgrades!$C$12*POWER(Upgrades!$D$12,K231))</f>
        <v/>
      </c>
      <c r="AN231" s="26">
        <f>IF(AND(D231&gt;=Parameters!$B$18,(H231&gt;=Upgrades!$E$9)*(K231&gt;=Upgrades!$E$12)=1,L231=0),1,"")</f>
        <v/>
      </c>
      <c r="AO231" s="26">
        <f>IF(AND(D231&gt;=Parameters!$B$18,L231=0),1,"")</f>
        <v/>
      </c>
      <c r="AP231" s="22">
        <f>MIN(IF(ISNUMBER(AK231),AK231,9E15),IF(ISNUMBER(AL231),AL231,9E15),IF(ISNUMBER(AM231),AM231,9E15))</f>
        <v/>
      </c>
      <c r="AQ231" s="22">
        <f>MIN(IF(ISNUMBER(AG231),AG231,9E15),IF(ISNUMBER(AH231),AH231,9E15),IF(ISNUMBER(AI231),AI231,9E15),IF(ISNUMBER(AJ231),AJ231,9E15))</f>
        <v/>
      </c>
      <c r="AR231" s="29">
        <f>IF(AW231&gt;Parameters!$B$21*(MAX(IF(AND(NOT(AND(AO231=1,AN231&lt;&gt;1)),ISNUMBER(AG231),AG231&lt;=T231),AS231,0),IF(AND(NOT(AND(AO231=1,AN231&lt;&gt;1)),ISNUMBER(AH231),AH231&lt;=T231),AT231,0),IF(AND(NOT(AND(AO231=1,AN231&lt;&gt;1)),ISNUMBER(AI231),AI231&lt;=T231),AU231,0),IF(AND(ISNUMBER(AJ231),AJ231&lt;=T231),AV231,0))),TRUE,FALSE)</f>
        <v/>
      </c>
      <c r="AS231" s="32">
        <f>IFERROR(Upgrades!$H$6*(POWER(Upgrades!$P$6,E231)*POWER(Upgrades!$P$7,F231)*POWER(Upgrades!$P$8,G231)*POWER(Upgrades!$P$9,H231)*POWER(Upgrades!$P$10,I231)*POWER(Upgrades!$P$11,J231)*POWER(Upgrades!$P$12,K231))*(IF(Upgrades!$T$7="Solar Wind",POWER(Upgrades!$U$7,F231),1)*IF(Upgrades!$T$8="Solar Wind",POWER(Upgrades!$U$8,G231),1)*IF(Upgrades!$T$9="Solar Wind",POWER(Upgrades!$U$9,H231),1)*IF(Upgrades!$T$10="Solar Wind",POWER(Upgrades!$U$10,I231),1)*IF(Upgrades!$T$11="Solar Wind",POWER(Upgrades!$U$11,J231),1)*IF(Upgrades!$T$12="Solar Wind",POWER(Upgrades!$U$12,K231),1))/AG231,0)</f>
        <v/>
      </c>
      <c r="AT231" s="32">
        <f>IFERROR(Upgrades!$H$7*(POWER(Upgrades!$P$6,E231)*POWER(Upgrades!$P$7,F231)*POWER(Upgrades!$P$8,G231)*POWER(Upgrades!$P$9,H231)*POWER(Upgrades!$P$10,I231)*POWER(Upgrades!$P$11,J231)*POWER(Upgrades!$P$12,K231))*(IF(Upgrades!$T$6="Asteroid Belt",POWER(Upgrades!$U$6,E231),1)*IF(Upgrades!$T$8="Asteroid Belt",POWER(Upgrades!$U$8,G231),1)*IF(Upgrades!$T$9="Asteroid Belt",POWER(Upgrades!$U$9,H231),1)*IF(Upgrades!$T$10="Asteroid Belt",POWER(Upgrades!$U$10,I231),1)*IF(Upgrades!$T$11="Asteroid Belt",POWER(Upgrades!$U$11,J231),1)*IF(Upgrades!$T$12="Asteroid Belt",POWER(Upgrades!$U$12,K231),1))/AH231,0)</f>
        <v/>
      </c>
      <c r="AU231" s="32">
        <f>IFERROR(Upgrades!$K$8*(POWER(Upgrades!$Q$6,E231)*POWER(Upgrades!$Q$7,F231)*POWER(Upgrades!$Q$8,G231)*POWER(Upgrades!$Q$9,H231)*POWER(Upgrades!$Q$10,I231)*POWER(Upgrades!$Q$11,J231)*POWER(Upgrades!$Q$12,K231))*(IF(Upgrades!$T$6="Stellar Coupling",POWER(Upgrades!$U$6,E231),1)*IF(Upgrades!$T$7="Stellar Coupling",POWER(Upgrades!$U$7,F231),1)*IF(Upgrades!$T$9="Stellar Coupling",POWER(Upgrades!$U$9,H231),1)*IF(Upgrades!$T$10="Stellar Coupling",POWER(Upgrades!$U$10,I231),1)*IF(Upgrades!$T$11="Stellar Coupling",POWER(Upgrades!$U$11,J231),1)*IF(Upgrades!$T$12="Stellar Coupling",POWER(Upgrades!$U$12,K231),1))*Parameters!$B$10*Parameters!$B$11/60/AI231,0)</f>
        <v/>
      </c>
      <c r="AV231" s="32">
        <f>IFERROR(Upgrades!$H$9*(POWER(Upgrades!$P$6,E231)*POWER(Upgrades!$P$7,F231)*POWER(Upgrades!$P$8,G231)*POWER(Upgrades!$P$9,H231)*POWER(Upgrades!$P$10,I231)*POWER(Upgrades!$P$11,J231)*POWER(Upgrades!$P$12,K231))*(IF(Upgrades!$T$6="Magnetosphere",POWER(Upgrades!$U$6,E231),1)*IF(Upgrades!$T$7="Magnetosphere",POWER(Upgrades!$U$7,F231),1)*IF(Upgrades!$T$8="Magnetosphere",POWER(Upgrades!$U$8,G231),1)*IF(Upgrades!$T$10="Magnetosphere",POWER(Upgrades!$U$10,I231),1)*IF(Upgrades!$T$11="Magnetosphere",POWER(Upgrades!$U$11,J231),1)*IF(Upgrades!$T$12="Magnetosphere",POWER(Upgrades!$U$12,K231),1))/AJ231,0)</f>
        <v/>
      </c>
      <c r="AW231" s="32">
        <f>MAX(IF(I231&gt;0,0,IFERROR(0.25*N231/Upgrades!$C$10,0)),IF(J231&gt;0,0,IFERROR(0.5*((IF(G231=0,0,(Upgrades!$J$8+G231*Upgrades!$K$8)*POWER(Upgrades!$L$8,G231)))*(IF(Upgrades!$T$6="Stellar Coupling",POWER(Upgrades!$U$6,E231),1)*IF(Upgrades!$T$7="Stellar Coupling",POWER(Upgrades!$U$7,F231),1)*IF(Upgrades!$T$9="Stellar Coupling",POWER(Upgrades!$U$9,H231),1)*IF(Upgrades!$T$10="Stellar Coupling",POWER(Upgrades!$U$10,I231),1)*IF(Upgrades!$T$11="Stellar Coupling",POWER(Upgrades!$U$11,J231),1)*IF(Upgrades!$T$12="Stellar Coupling",POWER(Upgrades!$U$12,K231),1))*(POWER(Upgrades!$Q$6,E231)*POWER(Upgrades!$Q$7,F231)*POWER(Upgrades!$Q$8,G231)*POWER(Upgrades!$Q$9,H231)*POWER(Upgrades!$Q$10,I231)*POWER(Upgrades!$Q$11,J231)*POWER(Upgrades!$Q$12,K231))*Parameters!$B$10*Parameters!$B$11/60)/Upgrades!$C$11,0)),IF(K231&gt;0,0,IFERROR((1.0*(POWER(Upgrades!$P$6,E231)*POWER(Upgrades!$P$7,F231)*POWER(Upgrades!$P$8,G231)*POWER(Upgrades!$P$9,H231)*POWER(Upgrades!$P$10,I231)*POWER(Upgrades!$P$11,J231)*POWER(Upgrades!$P$12,K231))+0.20*M231*Parameters!$B$10*Parameters!$B$11/60)/Upgrades!$C$12,0)),IF(AND(ISNUMBER(AG231),AG231&gt;T231),AS231,0),IF(AND(ISNUMBER(AH231),AH231&gt;T231),AT231,0),IF(AND(ISNUMBER(AI231),AI231&gt;T231),AU231,0),IF(AND(ISNUMBER(AJ231),AJ231&gt;T231),AV231,0))</f>
        <v/>
      </c>
      <c r="AX231" s="29">
        <f>IF(AN231=1,"transition",IF(MIN(IF(AND(I231=0,ISNUMBER(AK231),AK231&lt;=T231),AK231,9E15),IF(AND(J231=0,ISNUMBER(AL231),AL231&lt;=T231),AL231,9E15),IF(AND(K231=0,ISNUMBER(AM231),AM231&lt;=T231),AM231,9E15))&lt;9E15,IF(AND(AND(I231=0,ISNUMBER(AK231),AK231&lt;=T231),AK231=MIN(IF(AND(I231=0,ISNUMBER(AK231),AK231&lt;=T231),AK231,9E15),IF(AND(J231=0,ISNUMBER(AL231),AL231&lt;=T231),AL231,9E15),IF(AND(K231=0,ISNUMBER(AM231),AM231&lt;=T231),AM231,9E15))),"OR",IF(AND(AND(J231=0,ISNUMBER(AL231),AL231&lt;=T231),AL231=MIN(IF(AND(I231=0,ISNUMBER(AK231),AK231&lt;=T231),AK231,9E15),IF(AND(J231=0,ISNUMBER(AL231),AL231&lt;=T231),AL231,9E15),IF(AND(K231=0,ISNUMBER(AM231),AM231&lt;=T231),AM231,9E15))),"HP","FP")),IF(AR231=TRUE,"",IF(MAX(IF(AND(NOT(AND(AO231=1,AN231&lt;&gt;1)),ISNUMBER(AG231),AG231&lt;=T231),AS231,0),IF(AND(NOT(AND(AO231=1,AN231&lt;&gt;1)),ISNUMBER(AH231),AH231&lt;=T231),AT231,0),IF(AND(NOT(AND(AO231=1,AN231&lt;&gt;1)),ISNUMBER(AI231),AI231&lt;=T231),AU231,0),IF(AND(ISNUMBER(AJ231),AJ231&lt;=T231),AV231,0))&lt;=0,"",IF(AND(IF(AND(NOT(AND(AO231=1,AN231&lt;&gt;1)),ISNUMBER(AG231),AG231&lt;=T231),AS231,0)&gt;0,IF(AND(NOT(AND(AO231=1,AN231&lt;&gt;1)),ISNUMBER(AG231),AG231&lt;=T231),AS231,0)=MAX(IF(AND(NOT(AND(AO231=1,AN231&lt;&gt;1)),ISNUMBER(AG231),AG231&lt;=T231),AS231,0),IF(AND(NOT(AND(AO231=1,AN231&lt;&gt;1)),ISNUMBER(AH231),AH231&lt;=T231),AT231,0),IF(AND(NOT(AND(AO231=1,AN231&lt;&gt;1)),ISNUMBER(AI231),AI231&lt;=T231),AU231,0),IF(AND(ISNUMBER(AJ231),AJ231&lt;=T231),AV231,0))),"SW",IF(AND(IF(AND(NOT(AND(AO231=1,AN231&lt;&gt;1)),ISNUMBER(AH231),AH231&lt;=T231),AT231,0)&gt;0,IF(AND(NOT(AND(AO231=1,AN231&lt;&gt;1)),ISNUMBER(AH231),AH231&lt;=T231),AT231,0)=MAX(IF(AND(NOT(AND(AO231=1,AN231&lt;&gt;1)),ISNUMBER(AG231),AG231&lt;=T231),AS231,0),IF(AND(NOT(AND(AO231=1,AN231&lt;&gt;1)),ISNUMBER(AH231),AH231&lt;=T231),AT231,0),IF(AND(NOT(AND(AO231=1,AN231&lt;&gt;1)),ISNUMBER(AI231),AI231&lt;=T231),AU231,0),IF(AND(ISNUMBER(AJ231),AJ231&lt;=T231),AV231,0))),"AB",IF(AND(IF(AND(NOT(AND(AO231=1,AN231&lt;&gt;1)),ISNUMBER(AI231),AI231&lt;=T231),AU231,0)&gt;0,IF(AND(NOT(AND(AO231=1,AN231&lt;&gt;1)),ISNUMBER(AI231),AI231&lt;=T231),AU231,0)=MAX(IF(AND(NOT(AND(AO231=1,AN231&lt;&gt;1)),ISNUMBER(AG231),AG231&lt;=T231),AS231,0),IF(AND(NOT(AND(AO231=1,AN231&lt;&gt;1)),ISNUMBER(AH231),AH231&lt;=T231),AT231,0),IF(AND(NOT(AND(AO231=1,AN231&lt;&gt;1)),ISNUMBER(AI231),AI231&lt;=T231),AU231,0),IF(AND(ISNUMBER(AJ231),AJ231&lt;=T231),AV231,0))),"SC","Mag")))))))</f>
        <v/>
      </c>
    </row>
    <row r="232">
      <c r="A232" s="26" t="n">
        <v>227</v>
      </c>
      <c r="B232" s="27">
        <f>A232*10/60</f>
        <v/>
      </c>
      <c r="C232" s="22">
        <f>X231</f>
        <v/>
      </c>
      <c r="D232" s="27">
        <f>D231+W231</f>
        <v/>
      </c>
      <c r="E232" s="26">
        <f>E231+IF(U231="SW",1,0)</f>
        <v/>
      </c>
      <c r="F232" s="26">
        <f>F231+IF(U231="AB",1,0)</f>
        <v/>
      </c>
      <c r="G232" s="26">
        <f>G231+IF(U231="SC",1,0)</f>
        <v/>
      </c>
      <c r="H232" s="26">
        <f>H231+IF(U231="Mag",1,0)</f>
        <v/>
      </c>
      <c r="I232" s="26">
        <f>MAX(I231,IF(U231="OR",1,0))</f>
        <v/>
      </c>
      <c r="J232" s="26">
        <f>MAX(J231,IF(U231="HP",1,0))</f>
        <v/>
      </c>
      <c r="K232" s="26">
        <f>MAX(K231,IF(U231="FP",1,0))</f>
        <v/>
      </c>
      <c r="L232" s="26">
        <f>MAX(L231,IF(U231="transition",1,0))</f>
        <v/>
      </c>
      <c r="M232" s="28">
        <f>(Parameters!$B$9+(IF(E232=0,0,(Upgrades!$J$6+E232*Upgrades!$K$6)*POWER(Upgrades!$L$6,E232)))*(IF(Upgrades!$T$7="Solar Wind",POWER(Upgrades!$U$7,F232),1)*IF(Upgrades!$T$8="Solar Wind",POWER(Upgrades!$U$8,G232),1)*IF(Upgrades!$T$9="Solar Wind",POWER(Upgrades!$U$9,H232),1)*IF(Upgrades!$T$10="Solar Wind",POWER(Upgrades!$U$10,I232),1)*IF(Upgrades!$T$11="Solar Wind",POWER(Upgrades!$U$11,J232),1)*IF(Upgrades!$T$12="Solar Wind",POWER(Upgrades!$U$12,K232),1))+(IF(F232=0,0,(Upgrades!$J$7+F232*Upgrades!$K$7)*POWER(Upgrades!$L$7,F232)))*(IF(Upgrades!$T$6="Asteroid Belt",POWER(Upgrades!$U$6,E232),1)*IF(Upgrades!$T$8="Asteroid Belt",POWER(Upgrades!$U$8,G232),1)*IF(Upgrades!$T$9="Asteroid Belt",POWER(Upgrades!$U$9,H232),1)*IF(Upgrades!$T$10="Asteroid Belt",POWER(Upgrades!$U$10,I232),1)*IF(Upgrades!$T$11="Asteroid Belt",POWER(Upgrades!$U$11,J232),1)*IF(Upgrades!$T$12="Asteroid Belt",POWER(Upgrades!$U$12,K232),1))+(IF(G232=0,0,(Upgrades!$J$8+G232*Upgrades!$K$8)*POWER(Upgrades!$L$8,G232)))*(IF(Upgrades!$T$6="Stellar Coupling",POWER(Upgrades!$U$6,E232),1)*IF(Upgrades!$T$7="Stellar Coupling",POWER(Upgrades!$U$7,F232),1)*IF(Upgrades!$T$9="Stellar Coupling",POWER(Upgrades!$U$9,H232),1)*IF(Upgrades!$T$10="Stellar Coupling",POWER(Upgrades!$U$10,I232),1)*IF(Upgrades!$T$11="Stellar Coupling",POWER(Upgrades!$U$11,J232),1)*IF(Upgrades!$T$12="Stellar Coupling",POWER(Upgrades!$U$12,K232),1))+(IF(H232=0,0,(Upgrades!$J$9+H232*Upgrades!$K$9)*POWER(Upgrades!$L$9,H232)))*(IF(Upgrades!$T$6="Magnetosphere",POWER(Upgrades!$U$6,E232),1)*IF(Upgrades!$T$7="Magnetosphere",POWER(Upgrades!$U$7,F232),1)*IF(Upgrades!$T$8="Magnetosphere",POWER(Upgrades!$U$8,G232),1)*IF(Upgrades!$T$10="Magnetosphere",POWER(Upgrades!$U$10,I232),1)*IF(Upgrades!$T$11="Magnetosphere",POWER(Upgrades!$U$11,J232),1)*IF(Upgrades!$T$12="Magnetosphere",POWER(Upgrades!$U$12,K232),1))+(IF(I232=0,0,(Upgrades!$J$10+I232*Upgrades!$K$10)*POWER(Upgrades!$L$10,I232)))*(IF(Upgrades!$T$6="Orbital Resonance",POWER(Upgrades!$U$6,E232),1)*IF(Upgrades!$T$7="Orbital Resonance",POWER(Upgrades!$U$7,F232),1)*IF(Upgrades!$T$8="Orbital Resonance",POWER(Upgrades!$U$8,G232),1)*IF(Upgrades!$T$9="Orbital Resonance",POWER(Upgrades!$U$9,H232),1)*IF(Upgrades!$T$11="Orbital Resonance",POWER(Upgrades!$U$11,J232),1)*IF(Upgrades!$T$12="Orbital Resonance",POWER(Upgrades!$U$12,K232),1))+(IF(J232=0,0,(Upgrades!$J$11+J232*Upgrades!$K$11)*POWER(Upgrades!$L$11,J232)))*(IF(Upgrades!$T$6="Heliopause",POWER(Upgrades!$U$6,E232),1)*IF(Upgrades!$T$7="Heliopause",POWER(Upgrades!$U$7,F232),1)*IF(Upgrades!$T$8="Heliopause",POWER(Upgrades!$U$8,G232),1)*IF(Upgrades!$T$9="Heliopause",POWER(Upgrades!$U$9,H232),1)*IF(Upgrades!$T$10="Heliopause",POWER(Upgrades!$U$10,I232),1)*IF(Upgrades!$T$12="Heliopause",POWER(Upgrades!$U$12,K232),1))+(IF(K232=0,0,(Upgrades!$J$12+K232*Upgrades!$K$12)*POWER(Upgrades!$L$12,K232)))*(IF(Upgrades!$T$6="First Photons",POWER(Upgrades!$U$6,E232),1)*IF(Upgrades!$T$7="First Photons",POWER(Upgrades!$U$7,F232),1)*IF(Upgrades!$T$8="First Photons",POWER(Upgrades!$U$8,G232),1)*IF(Upgrades!$T$9="First Photons",POWER(Upgrades!$U$9,H232),1)*IF(Upgrades!$T$10="First Photons",POWER(Upgrades!$U$10,I232),1)*IF(Upgrades!$T$11="First Photons",POWER(Upgrades!$U$11,J232),1)))*POWER(Upgrades!$Q$6,E232)*POWER(Upgrades!$Q$7,F232)*POWER(Upgrades!$Q$8,G232)*POWER(Upgrades!$Q$9,H232)*POWER(Upgrades!$Q$10,I232)*POWER(Upgrades!$Q$11,J232)*POWER(Upgrades!$Q$12,K232)</f>
        <v/>
      </c>
      <c r="N232" s="28">
        <f>((IF(E232=0,0,(Upgrades!$G$6+E232*Upgrades!$H$6)*POWER(Upgrades!$I$6,E232)))*(IF(Upgrades!$T$7="Solar Wind",POWER(Upgrades!$U$7,F232),1)*IF(Upgrades!$T$8="Solar Wind",POWER(Upgrades!$U$8,G232),1)*IF(Upgrades!$T$9="Solar Wind",POWER(Upgrades!$U$9,H232),1)*IF(Upgrades!$T$10="Solar Wind",POWER(Upgrades!$U$10,I232),1)*IF(Upgrades!$T$11="Solar Wind",POWER(Upgrades!$U$11,J232),1)*IF(Upgrades!$T$12="Solar Wind",POWER(Upgrades!$U$12,K232),1))+(IF(F232=0,0,(Upgrades!$G$7+F232*Upgrades!$H$7)*POWER(Upgrades!$I$7,F232)))*(IF(Upgrades!$T$6="Asteroid Belt",POWER(Upgrades!$U$6,E232),1)*IF(Upgrades!$T$8="Asteroid Belt",POWER(Upgrades!$U$8,G232),1)*IF(Upgrades!$T$9="Asteroid Belt",POWER(Upgrades!$U$9,H232),1)*IF(Upgrades!$T$10="Asteroid Belt",POWER(Upgrades!$U$10,I232),1)*IF(Upgrades!$T$11="Asteroid Belt",POWER(Upgrades!$U$11,J232),1)*IF(Upgrades!$T$12="Asteroid Belt",POWER(Upgrades!$U$12,K232),1))+(IF(G232=0,0,(Upgrades!$G$8+G232*Upgrades!$H$8)*POWER(Upgrades!$I$8,G232)))*(IF(Upgrades!$T$6="Stellar Coupling",POWER(Upgrades!$U$6,E232),1)*IF(Upgrades!$T$7="Stellar Coupling",POWER(Upgrades!$U$7,F232),1)*IF(Upgrades!$T$9="Stellar Coupling",POWER(Upgrades!$U$9,H232),1)*IF(Upgrades!$T$10="Stellar Coupling",POWER(Upgrades!$U$10,I232),1)*IF(Upgrades!$T$11="Stellar Coupling",POWER(Upgrades!$U$11,J232),1)*IF(Upgrades!$T$12="Stellar Coupling",POWER(Upgrades!$U$12,K232),1))+(IF(H232=0,0,(Upgrades!$G$9+H232*Upgrades!$H$9)*POWER(Upgrades!$I$9,H232)))*(IF(Upgrades!$T$6="Magnetosphere",POWER(Upgrades!$U$6,E232),1)*IF(Upgrades!$T$7="Magnetosphere",POWER(Upgrades!$U$7,F232),1)*IF(Upgrades!$T$8="Magnetosphere",POWER(Upgrades!$U$8,G232),1)*IF(Upgrades!$T$10="Magnetosphere",POWER(Upgrades!$U$10,I232),1)*IF(Upgrades!$T$11="Magnetosphere",POWER(Upgrades!$U$11,J232),1)*IF(Upgrades!$T$12="Magnetosphere",POWER(Upgrades!$U$12,K232),1))+(IF(I232=0,0,(Upgrades!$G$10+I232*Upgrades!$H$10)*POWER(Upgrades!$I$10,I232)))*(IF(Upgrades!$T$6="Orbital Resonance",POWER(Upgrades!$U$6,E232),1)*IF(Upgrades!$T$7="Orbital Resonance",POWER(Upgrades!$U$7,F232),1)*IF(Upgrades!$T$8="Orbital Resonance",POWER(Upgrades!$U$8,G232),1)*IF(Upgrades!$T$9="Orbital Resonance",POWER(Upgrades!$U$9,H232),1)*IF(Upgrades!$T$11="Orbital Resonance",POWER(Upgrades!$U$11,J232),1)*IF(Upgrades!$T$12="Orbital Resonance",POWER(Upgrades!$U$12,K232),1))+(IF(J232=0,0,(Upgrades!$G$11+J232*Upgrades!$H$11)*POWER(Upgrades!$I$11,J232)))*(IF(Upgrades!$T$6="Heliopause",POWER(Upgrades!$U$6,E232),1)*IF(Upgrades!$T$7="Heliopause",POWER(Upgrades!$U$7,F232),1)*IF(Upgrades!$T$8="Heliopause",POWER(Upgrades!$U$8,G232),1)*IF(Upgrades!$T$9="Heliopause",POWER(Upgrades!$U$9,H232),1)*IF(Upgrades!$T$10="Heliopause",POWER(Upgrades!$U$10,I232),1)*IF(Upgrades!$T$12="Heliopause",POWER(Upgrades!$U$12,K232),1))+(IF(K232=0,0,(Upgrades!$G$12+K232*Upgrades!$H$12)*POWER(Upgrades!$I$12,K232)))*(IF(Upgrades!$T$6="First Photons",POWER(Upgrades!$U$6,E232),1)*IF(Upgrades!$T$7="First Photons",POWER(Upgrades!$U$7,F232),1)*IF(Upgrades!$T$8="First Photons",POWER(Upgrades!$U$8,G232),1)*IF(Upgrades!$T$9="First Photons",POWER(Upgrades!$U$9,H232),1)*IF(Upgrades!$T$10="First Photons",POWER(Upgrades!$U$10,I232),1)*IF(Upgrades!$T$11="First Photons",POWER(Upgrades!$U$11,J232),1)))*POWER(Upgrades!$P$6,E232)*POWER(Upgrades!$P$7,F232)*POWER(Upgrades!$P$8,G232)*POWER(Upgrades!$P$9,H232)*POWER(Upgrades!$P$10,I232)*POWER(Upgrades!$P$11,J232)*POWER(Upgrades!$P$12,K232)</f>
        <v/>
      </c>
      <c r="O232" s="28">
        <f>((IF(E232=0,0,(Upgrades!$M$6+E232*Upgrades!$N$6)*POWER(Upgrades!$O$6,E232)))*(IF(Upgrades!$T$7="Solar Wind",POWER(Upgrades!$U$7,F232),1)*IF(Upgrades!$T$8="Solar Wind",POWER(Upgrades!$U$8,G232),1)*IF(Upgrades!$T$9="Solar Wind",POWER(Upgrades!$U$9,H232),1)*IF(Upgrades!$T$10="Solar Wind",POWER(Upgrades!$U$10,I232),1)*IF(Upgrades!$T$11="Solar Wind",POWER(Upgrades!$U$11,J232),1)*IF(Upgrades!$T$12="Solar Wind",POWER(Upgrades!$U$12,K232),1))+(IF(F232=0,0,(Upgrades!$M$7+F232*Upgrades!$N$7)*POWER(Upgrades!$O$7,F232)))*(IF(Upgrades!$T$6="Asteroid Belt",POWER(Upgrades!$U$6,E232),1)*IF(Upgrades!$T$8="Asteroid Belt",POWER(Upgrades!$U$8,G232),1)*IF(Upgrades!$T$9="Asteroid Belt",POWER(Upgrades!$U$9,H232),1)*IF(Upgrades!$T$10="Asteroid Belt",POWER(Upgrades!$U$10,I232),1)*IF(Upgrades!$T$11="Asteroid Belt",POWER(Upgrades!$U$11,J232),1)*IF(Upgrades!$T$12="Asteroid Belt",POWER(Upgrades!$U$12,K232),1))+(IF(G232=0,0,(Upgrades!$M$8+G232*Upgrades!$N$8)*POWER(Upgrades!$O$8,G232)))*(IF(Upgrades!$T$6="Stellar Coupling",POWER(Upgrades!$U$6,E232),1)*IF(Upgrades!$T$7="Stellar Coupling",POWER(Upgrades!$U$7,F232),1)*IF(Upgrades!$T$9="Stellar Coupling",POWER(Upgrades!$U$9,H232),1)*IF(Upgrades!$T$10="Stellar Coupling",POWER(Upgrades!$U$10,I232),1)*IF(Upgrades!$T$11="Stellar Coupling",POWER(Upgrades!$U$11,J232),1)*IF(Upgrades!$T$12="Stellar Coupling",POWER(Upgrades!$U$12,K232),1))+(IF(H232=0,0,(Upgrades!$M$9+H232*Upgrades!$N$9)*POWER(Upgrades!$O$9,H232)))*(IF(Upgrades!$T$6="Magnetosphere",POWER(Upgrades!$U$6,E232),1)*IF(Upgrades!$T$7="Magnetosphere",POWER(Upgrades!$U$7,F232),1)*IF(Upgrades!$T$8="Magnetosphere",POWER(Upgrades!$U$8,G232),1)*IF(Upgrades!$T$10="Magnetosphere",POWER(Upgrades!$U$10,I232),1)*IF(Upgrades!$T$11="Magnetosphere",POWER(Upgrades!$U$11,J232),1)*IF(Upgrades!$T$12="Magnetosphere",POWER(Upgrades!$U$12,K232),1))+(IF(I232=0,0,(Upgrades!$M$10+I232*Upgrades!$N$10)*POWER(Upgrades!$O$10,I232)))*(IF(Upgrades!$T$6="Orbital Resonance",POWER(Upgrades!$U$6,E232),1)*IF(Upgrades!$T$7="Orbital Resonance",POWER(Upgrades!$U$7,F232),1)*IF(Upgrades!$T$8="Orbital Resonance",POWER(Upgrades!$U$8,G232),1)*IF(Upgrades!$T$9="Orbital Resonance",POWER(Upgrades!$U$9,H232),1)*IF(Upgrades!$T$11="Orbital Resonance",POWER(Upgrades!$U$11,J232),1)*IF(Upgrades!$T$12="Orbital Resonance",POWER(Upgrades!$U$12,K232),1))+(IF(J232=0,0,(Upgrades!$M$11+J232*Upgrades!$N$11)*POWER(Upgrades!$O$11,J232)))*(IF(Upgrades!$T$6="Heliopause",POWER(Upgrades!$U$6,E232),1)*IF(Upgrades!$T$7="Heliopause",POWER(Upgrades!$U$7,F232),1)*IF(Upgrades!$T$8="Heliopause",POWER(Upgrades!$U$8,G232),1)*IF(Upgrades!$T$9="Heliopause",POWER(Upgrades!$U$9,H232),1)*IF(Upgrades!$T$10="Heliopause",POWER(Upgrades!$U$10,I232),1)*IF(Upgrades!$T$12="Heliopause",POWER(Upgrades!$U$12,K232),1))+(IF(K232=0,0,(Upgrades!$M$12+K232*Upgrades!$N$12)*POWER(Upgrades!$O$12,K232)))*(IF(Upgrades!$T$6="First Photons",POWER(Upgrades!$U$6,E232),1)*IF(Upgrades!$T$7="First Photons",POWER(Upgrades!$U$7,F232),1)*IF(Upgrades!$T$8="First Photons",POWER(Upgrades!$U$8,G232),1)*IF(Upgrades!$T$9="First Photons",POWER(Upgrades!$U$9,H232),1)*IF(Upgrades!$T$10="First Photons",POWER(Upgrades!$U$10,I232),1)*IF(Upgrades!$T$11="First Photons",POWER(Upgrades!$U$11,J232),1)))*POWER(Upgrades!$R$6,E232)*POWER(Upgrades!$R$7,F232)*POWER(Upgrades!$R$8,G232)*POWER(Upgrades!$R$9,H232)*POWER(Upgrades!$R$10,I232)*POWER(Upgrades!$R$11,J232)*POWER(Upgrades!$R$12,K232)</f>
        <v/>
      </c>
      <c r="P232" s="27">
        <f>IF(L232=1,0,M232*Parameters!$B$10/60*Parameters!$B$11*10)</f>
        <v/>
      </c>
      <c r="Q232" s="27">
        <f>IF(L232=1,0,O232*M232*10)</f>
        <v/>
      </c>
      <c r="R232" s="27">
        <f>IF(L232=1,0,N232*10)</f>
        <v/>
      </c>
      <c r="S232" s="27">
        <f>P232+Q232+R232</f>
        <v/>
      </c>
      <c r="T232" s="22">
        <f>C232+S232</f>
        <v/>
      </c>
      <c r="U232" s="33">
        <f>AX232</f>
        <v/>
      </c>
      <c r="V232" s="22">
        <f>IF(U232="",0,IF(U232="transition",0,IF(U232="SW",AG232,IF(U232="AB",AH232,IF(U232="SC",AI232,IF(U232="Mag",AJ232,IF(U232="OR",AK232,IF(U232="HP",AL232,IF(U232="FP",AM232,0)))))))))</f>
        <v/>
      </c>
      <c r="W232" s="27">
        <f>IF(U232="OR",Upgrades!$F$10,IF(U232="HP",Upgrades!$F$11,IF(U232="transition",-Parameters!$B$18,0)))</f>
        <v/>
      </c>
      <c r="X232" s="22">
        <f>T232-V232</f>
        <v/>
      </c>
      <c r="Y232" s="30">
        <f>M232*Parameters!$B$10/60*Parameters!$B$11+O232*M232+N232</f>
        <v/>
      </c>
      <c r="Z232" s="34">
        <f>IF(U232="transition","→ Tier 2 (Stellar Neighborhood)",IF(U232="FP","First Photons — light begins, system quickens",IF(U232="HP","Heliopause acquired",IF(U232="OR","Orbital Resonance — passive multiplier active",IF(AND(AO232=1,L232=0,AN232&lt;&gt;1),"Cohesion ready (waiting on completionist upgrades)","")))))</f>
        <v/>
      </c>
      <c r="AA232" s="27">
        <f>(IF(E232=0,0,(Upgrades!$G$6+E232*Upgrades!$H$6)*POWER(Upgrades!$I$6,E232)))*(IF(Upgrades!$T$7="Solar Wind",POWER(Upgrades!$U$7,F232),1)*IF(Upgrades!$T$8="Solar Wind",POWER(Upgrades!$U$8,G232),1)*IF(Upgrades!$T$9="Solar Wind",POWER(Upgrades!$U$9,H232),1)*IF(Upgrades!$T$10="Solar Wind",POWER(Upgrades!$U$10,I232),1)*IF(Upgrades!$T$11="Solar Wind",POWER(Upgrades!$U$11,J232),1)*IF(Upgrades!$T$12="Solar Wind",POWER(Upgrades!$U$12,K232),1))*POWER(Upgrades!$P$6,E232)*POWER(Upgrades!$P$7,F232)*POWER(Upgrades!$P$8,G232)*POWER(Upgrades!$P$9,H232)*POWER(Upgrades!$P$10,I232)*POWER(Upgrades!$P$11,J232)*POWER(Upgrades!$P$12,K232)*60</f>
        <v/>
      </c>
      <c r="AB232" s="27">
        <f>(IF(F232=0,0,(Upgrades!$G$7+F232*Upgrades!$H$7)*POWER(Upgrades!$I$7,F232)))*(IF(Upgrades!$T$6="Asteroid Belt",POWER(Upgrades!$U$6,E232),1)*IF(Upgrades!$T$8="Asteroid Belt",POWER(Upgrades!$U$8,G232),1)*IF(Upgrades!$T$9="Asteroid Belt",POWER(Upgrades!$U$9,H232),1)*IF(Upgrades!$T$10="Asteroid Belt",POWER(Upgrades!$U$10,I232),1)*IF(Upgrades!$T$11="Asteroid Belt",POWER(Upgrades!$U$11,J232),1)*IF(Upgrades!$T$12="Asteroid Belt",POWER(Upgrades!$U$12,K232),1))*POWER(Upgrades!$P$6,E232)*POWER(Upgrades!$P$7,F232)*POWER(Upgrades!$P$8,G232)*POWER(Upgrades!$P$9,H232)*POWER(Upgrades!$P$10,I232)*POWER(Upgrades!$P$11,J232)*POWER(Upgrades!$P$12,K232)*60</f>
        <v/>
      </c>
      <c r="AC232" s="27">
        <f>(IF(G232=0,0,(Upgrades!$J$8+G232*Upgrades!$K$8)*POWER(Upgrades!$L$8,G232)))*(IF(Upgrades!$T$6="Stellar Coupling",POWER(Upgrades!$U$6,E232),1)*IF(Upgrades!$T$7="Stellar Coupling",POWER(Upgrades!$U$7,F232),1)*IF(Upgrades!$T$9="Stellar Coupling",POWER(Upgrades!$U$9,H232),1)*IF(Upgrades!$T$10="Stellar Coupling",POWER(Upgrades!$U$10,I232),1)*IF(Upgrades!$T$11="Stellar Coupling",POWER(Upgrades!$U$11,J232),1)*IF(Upgrades!$T$12="Stellar Coupling",POWER(Upgrades!$U$12,K232),1))*POWER(Upgrades!$Q$6,E232)*POWER(Upgrades!$Q$7,F232)*POWER(Upgrades!$Q$8,G232)*POWER(Upgrades!$Q$9,H232)*POWER(Upgrades!$Q$10,I232)*POWER(Upgrades!$Q$11,J232)*POWER(Upgrades!$Q$12,K232)*Parameters!$B$10*Parameters!$B$11</f>
        <v/>
      </c>
      <c r="AD232" s="27">
        <f>(IF(H232=0,0,(Upgrades!$G$9+H232*Upgrades!$H$9)*POWER(Upgrades!$I$9,H232)))*(IF(Upgrades!$T$6="Magnetosphere",POWER(Upgrades!$U$6,E232),1)*IF(Upgrades!$T$7="Magnetosphere",POWER(Upgrades!$U$7,F232),1)*IF(Upgrades!$T$8="Magnetosphere",POWER(Upgrades!$U$8,G232),1)*IF(Upgrades!$T$10="Magnetosphere",POWER(Upgrades!$U$10,I232),1)*IF(Upgrades!$T$11="Magnetosphere",POWER(Upgrades!$U$11,J232),1)*IF(Upgrades!$T$12="Magnetosphere",POWER(Upgrades!$U$12,K232),1))*POWER(Upgrades!$P$6,E232)*POWER(Upgrades!$P$7,F232)*POWER(Upgrades!$P$8,G232)*POWER(Upgrades!$P$9,H232)*POWER(Upgrades!$P$10,I232)*POWER(Upgrades!$P$11,J232)*POWER(Upgrades!$P$12,K232)*60</f>
        <v/>
      </c>
      <c r="AE232" s="27">
        <f>(IF(K232=0,0,(Upgrades!$G$12+K232*Upgrades!$H$12)*POWER(Upgrades!$I$12,K232)))*(IF(Upgrades!$T$6="First Photons",POWER(Upgrades!$U$6,E232),1)*IF(Upgrades!$T$7="First Photons",POWER(Upgrades!$U$7,F232),1)*IF(Upgrades!$T$8="First Photons",POWER(Upgrades!$U$8,G232),1)*IF(Upgrades!$T$9="First Photons",POWER(Upgrades!$U$9,H232),1)*IF(Upgrades!$T$10="First Photons",POWER(Upgrades!$U$10,I232),1)*IF(Upgrades!$T$11="First Photons",POWER(Upgrades!$U$11,J232),1))*POWER(Upgrades!$P$6,E232)*POWER(Upgrades!$P$7,F232)*POWER(Upgrades!$P$8,G232)*POWER(Upgrades!$P$9,H232)*POWER(Upgrades!$P$10,I232)*POWER(Upgrades!$P$11,J232)*POWER(Upgrades!$P$12,K232)*60</f>
        <v/>
      </c>
      <c r="AF232" s="27">
        <f>Parameters!$B$9*POWER(Upgrades!$Q$6,E232)*POWER(Upgrades!$Q$7,F232)*POWER(Upgrades!$Q$8,G232)*POWER(Upgrades!$Q$9,H232)*POWER(Upgrades!$Q$10,I232)*POWER(Upgrades!$Q$11,J232)*POWER(Upgrades!$Q$12,K232)*(Parameters!$B$10*Parameters!$B$11+O232*60)</f>
        <v/>
      </c>
      <c r="AG232" s="22">
        <f>IF(E232&gt;=Upgrades!$E$6,"",Upgrades!$C$6*POWER(Upgrades!$D$6,E232))</f>
        <v/>
      </c>
      <c r="AH232" s="22">
        <f>IF(F232&gt;=Upgrades!$E$7,"",Upgrades!$C$7*POWER(Upgrades!$D$7,F232))</f>
        <v/>
      </c>
      <c r="AI232" s="22">
        <f>IF(G232&gt;=Upgrades!$E$8,"",Upgrades!$C$8*POWER(Upgrades!$D$8,G232))</f>
        <v/>
      </c>
      <c r="AJ232" s="22">
        <f>IF(H232&gt;=Upgrades!$E$9,"",Upgrades!$C$9*POWER(Upgrades!$D$9,H232))</f>
        <v/>
      </c>
      <c r="AK232" s="22">
        <f>IF(I232&gt;=Upgrades!$E$10,"",Upgrades!$C$10*POWER(Upgrades!$D$10,I232))</f>
        <v/>
      </c>
      <c r="AL232" s="22">
        <f>IF(J232&gt;=Upgrades!$E$11,"",Upgrades!$C$11*POWER(Upgrades!$D$11,J232))</f>
        <v/>
      </c>
      <c r="AM232" s="22">
        <f>IF(K232&gt;=Upgrades!$E$12,"",Upgrades!$C$12*POWER(Upgrades!$D$12,K232))</f>
        <v/>
      </c>
      <c r="AN232" s="26">
        <f>IF(AND(D232&gt;=Parameters!$B$18,(H232&gt;=Upgrades!$E$9)*(K232&gt;=Upgrades!$E$12)=1,L232=0),1,"")</f>
        <v/>
      </c>
      <c r="AO232" s="26">
        <f>IF(AND(D232&gt;=Parameters!$B$18,L232=0),1,"")</f>
        <v/>
      </c>
      <c r="AP232" s="22">
        <f>MIN(IF(ISNUMBER(AK232),AK232,9E15),IF(ISNUMBER(AL232),AL232,9E15),IF(ISNUMBER(AM232),AM232,9E15))</f>
        <v/>
      </c>
      <c r="AQ232" s="22">
        <f>MIN(IF(ISNUMBER(AG232),AG232,9E15),IF(ISNUMBER(AH232),AH232,9E15),IF(ISNUMBER(AI232),AI232,9E15),IF(ISNUMBER(AJ232),AJ232,9E15))</f>
        <v/>
      </c>
      <c r="AR232" s="29">
        <f>IF(AW232&gt;Parameters!$B$21*(MAX(IF(AND(NOT(AND(AO232=1,AN232&lt;&gt;1)),ISNUMBER(AG232),AG232&lt;=T232),AS232,0),IF(AND(NOT(AND(AO232=1,AN232&lt;&gt;1)),ISNUMBER(AH232),AH232&lt;=T232),AT232,0),IF(AND(NOT(AND(AO232=1,AN232&lt;&gt;1)),ISNUMBER(AI232),AI232&lt;=T232),AU232,0),IF(AND(ISNUMBER(AJ232),AJ232&lt;=T232),AV232,0))),TRUE,FALSE)</f>
        <v/>
      </c>
      <c r="AS232" s="32">
        <f>IFERROR(Upgrades!$H$6*(POWER(Upgrades!$P$6,E232)*POWER(Upgrades!$P$7,F232)*POWER(Upgrades!$P$8,G232)*POWER(Upgrades!$P$9,H232)*POWER(Upgrades!$P$10,I232)*POWER(Upgrades!$P$11,J232)*POWER(Upgrades!$P$12,K232))*(IF(Upgrades!$T$7="Solar Wind",POWER(Upgrades!$U$7,F232),1)*IF(Upgrades!$T$8="Solar Wind",POWER(Upgrades!$U$8,G232),1)*IF(Upgrades!$T$9="Solar Wind",POWER(Upgrades!$U$9,H232),1)*IF(Upgrades!$T$10="Solar Wind",POWER(Upgrades!$U$10,I232),1)*IF(Upgrades!$T$11="Solar Wind",POWER(Upgrades!$U$11,J232),1)*IF(Upgrades!$T$12="Solar Wind",POWER(Upgrades!$U$12,K232),1))/AG232,0)</f>
        <v/>
      </c>
      <c r="AT232" s="32">
        <f>IFERROR(Upgrades!$H$7*(POWER(Upgrades!$P$6,E232)*POWER(Upgrades!$P$7,F232)*POWER(Upgrades!$P$8,G232)*POWER(Upgrades!$P$9,H232)*POWER(Upgrades!$P$10,I232)*POWER(Upgrades!$P$11,J232)*POWER(Upgrades!$P$12,K232))*(IF(Upgrades!$T$6="Asteroid Belt",POWER(Upgrades!$U$6,E232),1)*IF(Upgrades!$T$8="Asteroid Belt",POWER(Upgrades!$U$8,G232),1)*IF(Upgrades!$T$9="Asteroid Belt",POWER(Upgrades!$U$9,H232),1)*IF(Upgrades!$T$10="Asteroid Belt",POWER(Upgrades!$U$10,I232),1)*IF(Upgrades!$T$11="Asteroid Belt",POWER(Upgrades!$U$11,J232),1)*IF(Upgrades!$T$12="Asteroid Belt",POWER(Upgrades!$U$12,K232),1))/AH232,0)</f>
        <v/>
      </c>
      <c r="AU232" s="32">
        <f>IFERROR(Upgrades!$K$8*(POWER(Upgrades!$Q$6,E232)*POWER(Upgrades!$Q$7,F232)*POWER(Upgrades!$Q$8,G232)*POWER(Upgrades!$Q$9,H232)*POWER(Upgrades!$Q$10,I232)*POWER(Upgrades!$Q$11,J232)*POWER(Upgrades!$Q$12,K232))*(IF(Upgrades!$T$6="Stellar Coupling",POWER(Upgrades!$U$6,E232),1)*IF(Upgrades!$T$7="Stellar Coupling",POWER(Upgrades!$U$7,F232),1)*IF(Upgrades!$T$9="Stellar Coupling",POWER(Upgrades!$U$9,H232),1)*IF(Upgrades!$T$10="Stellar Coupling",POWER(Upgrades!$U$10,I232),1)*IF(Upgrades!$T$11="Stellar Coupling",POWER(Upgrades!$U$11,J232),1)*IF(Upgrades!$T$12="Stellar Coupling",POWER(Upgrades!$U$12,K232),1))*Parameters!$B$10*Parameters!$B$11/60/AI232,0)</f>
        <v/>
      </c>
      <c r="AV232" s="32">
        <f>IFERROR(Upgrades!$H$9*(POWER(Upgrades!$P$6,E232)*POWER(Upgrades!$P$7,F232)*POWER(Upgrades!$P$8,G232)*POWER(Upgrades!$P$9,H232)*POWER(Upgrades!$P$10,I232)*POWER(Upgrades!$P$11,J232)*POWER(Upgrades!$P$12,K232))*(IF(Upgrades!$T$6="Magnetosphere",POWER(Upgrades!$U$6,E232),1)*IF(Upgrades!$T$7="Magnetosphere",POWER(Upgrades!$U$7,F232),1)*IF(Upgrades!$T$8="Magnetosphere",POWER(Upgrades!$U$8,G232),1)*IF(Upgrades!$T$10="Magnetosphere",POWER(Upgrades!$U$10,I232),1)*IF(Upgrades!$T$11="Magnetosphere",POWER(Upgrades!$U$11,J232),1)*IF(Upgrades!$T$12="Magnetosphere",POWER(Upgrades!$U$12,K232),1))/AJ232,0)</f>
        <v/>
      </c>
      <c r="AW232" s="32">
        <f>MAX(IF(I232&gt;0,0,IFERROR(0.25*N232/Upgrades!$C$10,0)),IF(J232&gt;0,0,IFERROR(0.5*((IF(G232=0,0,(Upgrades!$J$8+G232*Upgrades!$K$8)*POWER(Upgrades!$L$8,G232)))*(IF(Upgrades!$T$6="Stellar Coupling",POWER(Upgrades!$U$6,E232),1)*IF(Upgrades!$T$7="Stellar Coupling",POWER(Upgrades!$U$7,F232),1)*IF(Upgrades!$T$9="Stellar Coupling",POWER(Upgrades!$U$9,H232),1)*IF(Upgrades!$T$10="Stellar Coupling",POWER(Upgrades!$U$10,I232),1)*IF(Upgrades!$T$11="Stellar Coupling",POWER(Upgrades!$U$11,J232),1)*IF(Upgrades!$T$12="Stellar Coupling",POWER(Upgrades!$U$12,K232),1))*(POWER(Upgrades!$Q$6,E232)*POWER(Upgrades!$Q$7,F232)*POWER(Upgrades!$Q$8,G232)*POWER(Upgrades!$Q$9,H232)*POWER(Upgrades!$Q$10,I232)*POWER(Upgrades!$Q$11,J232)*POWER(Upgrades!$Q$12,K232))*Parameters!$B$10*Parameters!$B$11/60)/Upgrades!$C$11,0)),IF(K232&gt;0,0,IFERROR((1.0*(POWER(Upgrades!$P$6,E232)*POWER(Upgrades!$P$7,F232)*POWER(Upgrades!$P$8,G232)*POWER(Upgrades!$P$9,H232)*POWER(Upgrades!$P$10,I232)*POWER(Upgrades!$P$11,J232)*POWER(Upgrades!$P$12,K232))+0.20*M232*Parameters!$B$10*Parameters!$B$11/60)/Upgrades!$C$12,0)),IF(AND(ISNUMBER(AG232),AG232&gt;T232),AS232,0),IF(AND(ISNUMBER(AH232),AH232&gt;T232),AT232,0),IF(AND(ISNUMBER(AI232),AI232&gt;T232),AU232,0),IF(AND(ISNUMBER(AJ232),AJ232&gt;T232),AV232,0))</f>
        <v/>
      </c>
      <c r="AX232" s="29">
        <f>IF(AN232=1,"transition",IF(MIN(IF(AND(I232=0,ISNUMBER(AK232),AK232&lt;=T232),AK232,9E15),IF(AND(J232=0,ISNUMBER(AL232),AL232&lt;=T232),AL232,9E15),IF(AND(K232=0,ISNUMBER(AM232),AM232&lt;=T232),AM232,9E15))&lt;9E15,IF(AND(AND(I232=0,ISNUMBER(AK232),AK232&lt;=T232),AK232=MIN(IF(AND(I232=0,ISNUMBER(AK232),AK232&lt;=T232),AK232,9E15),IF(AND(J232=0,ISNUMBER(AL232),AL232&lt;=T232),AL232,9E15),IF(AND(K232=0,ISNUMBER(AM232),AM232&lt;=T232),AM232,9E15))),"OR",IF(AND(AND(J232=0,ISNUMBER(AL232),AL232&lt;=T232),AL232=MIN(IF(AND(I232=0,ISNUMBER(AK232),AK232&lt;=T232),AK232,9E15),IF(AND(J232=0,ISNUMBER(AL232),AL232&lt;=T232),AL232,9E15),IF(AND(K232=0,ISNUMBER(AM232),AM232&lt;=T232),AM232,9E15))),"HP","FP")),IF(AR232=TRUE,"",IF(MAX(IF(AND(NOT(AND(AO232=1,AN232&lt;&gt;1)),ISNUMBER(AG232),AG232&lt;=T232),AS232,0),IF(AND(NOT(AND(AO232=1,AN232&lt;&gt;1)),ISNUMBER(AH232),AH232&lt;=T232),AT232,0),IF(AND(NOT(AND(AO232=1,AN232&lt;&gt;1)),ISNUMBER(AI232),AI232&lt;=T232),AU232,0),IF(AND(ISNUMBER(AJ232),AJ232&lt;=T232),AV232,0))&lt;=0,"",IF(AND(IF(AND(NOT(AND(AO232=1,AN232&lt;&gt;1)),ISNUMBER(AG232),AG232&lt;=T232),AS232,0)&gt;0,IF(AND(NOT(AND(AO232=1,AN232&lt;&gt;1)),ISNUMBER(AG232),AG232&lt;=T232),AS232,0)=MAX(IF(AND(NOT(AND(AO232=1,AN232&lt;&gt;1)),ISNUMBER(AG232),AG232&lt;=T232),AS232,0),IF(AND(NOT(AND(AO232=1,AN232&lt;&gt;1)),ISNUMBER(AH232),AH232&lt;=T232),AT232,0),IF(AND(NOT(AND(AO232=1,AN232&lt;&gt;1)),ISNUMBER(AI232),AI232&lt;=T232),AU232,0),IF(AND(ISNUMBER(AJ232),AJ232&lt;=T232),AV232,0))),"SW",IF(AND(IF(AND(NOT(AND(AO232=1,AN232&lt;&gt;1)),ISNUMBER(AH232),AH232&lt;=T232),AT232,0)&gt;0,IF(AND(NOT(AND(AO232=1,AN232&lt;&gt;1)),ISNUMBER(AH232),AH232&lt;=T232),AT232,0)=MAX(IF(AND(NOT(AND(AO232=1,AN232&lt;&gt;1)),ISNUMBER(AG232),AG232&lt;=T232),AS232,0),IF(AND(NOT(AND(AO232=1,AN232&lt;&gt;1)),ISNUMBER(AH232),AH232&lt;=T232),AT232,0),IF(AND(NOT(AND(AO232=1,AN232&lt;&gt;1)),ISNUMBER(AI232),AI232&lt;=T232),AU232,0),IF(AND(ISNUMBER(AJ232),AJ232&lt;=T232),AV232,0))),"AB",IF(AND(IF(AND(NOT(AND(AO232=1,AN232&lt;&gt;1)),ISNUMBER(AI232),AI232&lt;=T232),AU232,0)&gt;0,IF(AND(NOT(AND(AO232=1,AN232&lt;&gt;1)),ISNUMBER(AI232),AI232&lt;=T232),AU232,0)=MAX(IF(AND(NOT(AND(AO232=1,AN232&lt;&gt;1)),ISNUMBER(AG232),AG232&lt;=T232),AS232,0),IF(AND(NOT(AND(AO232=1,AN232&lt;&gt;1)),ISNUMBER(AH232),AH232&lt;=T232),AT232,0),IF(AND(NOT(AND(AO232=1,AN232&lt;&gt;1)),ISNUMBER(AI232),AI232&lt;=T232),AU232,0),IF(AND(ISNUMBER(AJ232),AJ232&lt;=T232),AV232,0))),"SC","Mag")))))))</f>
        <v/>
      </c>
    </row>
    <row r="233">
      <c r="A233" s="26" t="n">
        <v>228</v>
      </c>
      <c r="B233" s="27">
        <f>A233*10/60</f>
        <v/>
      </c>
      <c r="C233" s="22">
        <f>X232</f>
        <v/>
      </c>
      <c r="D233" s="27">
        <f>D232+W232</f>
        <v/>
      </c>
      <c r="E233" s="26">
        <f>E232+IF(U232="SW",1,0)</f>
        <v/>
      </c>
      <c r="F233" s="26">
        <f>F232+IF(U232="AB",1,0)</f>
        <v/>
      </c>
      <c r="G233" s="26">
        <f>G232+IF(U232="SC",1,0)</f>
        <v/>
      </c>
      <c r="H233" s="26">
        <f>H232+IF(U232="Mag",1,0)</f>
        <v/>
      </c>
      <c r="I233" s="26">
        <f>MAX(I232,IF(U232="OR",1,0))</f>
        <v/>
      </c>
      <c r="J233" s="26">
        <f>MAX(J232,IF(U232="HP",1,0))</f>
        <v/>
      </c>
      <c r="K233" s="26">
        <f>MAX(K232,IF(U232="FP",1,0))</f>
        <v/>
      </c>
      <c r="L233" s="26">
        <f>MAX(L232,IF(U232="transition",1,0))</f>
        <v/>
      </c>
      <c r="M233" s="28">
        <f>(Parameters!$B$9+(IF(E233=0,0,(Upgrades!$J$6+E233*Upgrades!$K$6)*POWER(Upgrades!$L$6,E233)))*(IF(Upgrades!$T$7="Solar Wind",POWER(Upgrades!$U$7,F233),1)*IF(Upgrades!$T$8="Solar Wind",POWER(Upgrades!$U$8,G233),1)*IF(Upgrades!$T$9="Solar Wind",POWER(Upgrades!$U$9,H233),1)*IF(Upgrades!$T$10="Solar Wind",POWER(Upgrades!$U$10,I233),1)*IF(Upgrades!$T$11="Solar Wind",POWER(Upgrades!$U$11,J233),1)*IF(Upgrades!$T$12="Solar Wind",POWER(Upgrades!$U$12,K233),1))+(IF(F233=0,0,(Upgrades!$J$7+F233*Upgrades!$K$7)*POWER(Upgrades!$L$7,F233)))*(IF(Upgrades!$T$6="Asteroid Belt",POWER(Upgrades!$U$6,E233),1)*IF(Upgrades!$T$8="Asteroid Belt",POWER(Upgrades!$U$8,G233),1)*IF(Upgrades!$T$9="Asteroid Belt",POWER(Upgrades!$U$9,H233),1)*IF(Upgrades!$T$10="Asteroid Belt",POWER(Upgrades!$U$10,I233),1)*IF(Upgrades!$T$11="Asteroid Belt",POWER(Upgrades!$U$11,J233),1)*IF(Upgrades!$T$12="Asteroid Belt",POWER(Upgrades!$U$12,K233),1))+(IF(G233=0,0,(Upgrades!$J$8+G233*Upgrades!$K$8)*POWER(Upgrades!$L$8,G233)))*(IF(Upgrades!$T$6="Stellar Coupling",POWER(Upgrades!$U$6,E233),1)*IF(Upgrades!$T$7="Stellar Coupling",POWER(Upgrades!$U$7,F233),1)*IF(Upgrades!$T$9="Stellar Coupling",POWER(Upgrades!$U$9,H233),1)*IF(Upgrades!$T$10="Stellar Coupling",POWER(Upgrades!$U$10,I233),1)*IF(Upgrades!$T$11="Stellar Coupling",POWER(Upgrades!$U$11,J233),1)*IF(Upgrades!$T$12="Stellar Coupling",POWER(Upgrades!$U$12,K233),1))+(IF(H233=0,0,(Upgrades!$J$9+H233*Upgrades!$K$9)*POWER(Upgrades!$L$9,H233)))*(IF(Upgrades!$T$6="Magnetosphere",POWER(Upgrades!$U$6,E233),1)*IF(Upgrades!$T$7="Magnetosphere",POWER(Upgrades!$U$7,F233),1)*IF(Upgrades!$T$8="Magnetosphere",POWER(Upgrades!$U$8,G233),1)*IF(Upgrades!$T$10="Magnetosphere",POWER(Upgrades!$U$10,I233),1)*IF(Upgrades!$T$11="Magnetosphere",POWER(Upgrades!$U$11,J233),1)*IF(Upgrades!$T$12="Magnetosphere",POWER(Upgrades!$U$12,K233),1))+(IF(I233=0,0,(Upgrades!$J$10+I233*Upgrades!$K$10)*POWER(Upgrades!$L$10,I233)))*(IF(Upgrades!$T$6="Orbital Resonance",POWER(Upgrades!$U$6,E233),1)*IF(Upgrades!$T$7="Orbital Resonance",POWER(Upgrades!$U$7,F233),1)*IF(Upgrades!$T$8="Orbital Resonance",POWER(Upgrades!$U$8,G233),1)*IF(Upgrades!$T$9="Orbital Resonance",POWER(Upgrades!$U$9,H233),1)*IF(Upgrades!$T$11="Orbital Resonance",POWER(Upgrades!$U$11,J233),1)*IF(Upgrades!$T$12="Orbital Resonance",POWER(Upgrades!$U$12,K233),1))+(IF(J233=0,0,(Upgrades!$J$11+J233*Upgrades!$K$11)*POWER(Upgrades!$L$11,J233)))*(IF(Upgrades!$T$6="Heliopause",POWER(Upgrades!$U$6,E233),1)*IF(Upgrades!$T$7="Heliopause",POWER(Upgrades!$U$7,F233),1)*IF(Upgrades!$T$8="Heliopause",POWER(Upgrades!$U$8,G233),1)*IF(Upgrades!$T$9="Heliopause",POWER(Upgrades!$U$9,H233),1)*IF(Upgrades!$T$10="Heliopause",POWER(Upgrades!$U$10,I233),1)*IF(Upgrades!$T$12="Heliopause",POWER(Upgrades!$U$12,K233),1))+(IF(K233=0,0,(Upgrades!$J$12+K233*Upgrades!$K$12)*POWER(Upgrades!$L$12,K233)))*(IF(Upgrades!$T$6="First Photons",POWER(Upgrades!$U$6,E233),1)*IF(Upgrades!$T$7="First Photons",POWER(Upgrades!$U$7,F233),1)*IF(Upgrades!$T$8="First Photons",POWER(Upgrades!$U$8,G233),1)*IF(Upgrades!$T$9="First Photons",POWER(Upgrades!$U$9,H233),1)*IF(Upgrades!$T$10="First Photons",POWER(Upgrades!$U$10,I233),1)*IF(Upgrades!$T$11="First Photons",POWER(Upgrades!$U$11,J233),1)))*POWER(Upgrades!$Q$6,E233)*POWER(Upgrades!$Q$7,F233)*POWER(Upgrades!$Q$8,G233)*POWER(Upgrades!$Q$9,H233)*POWER(Upgrades!$Q$10,I233)*POWER(Upgrades!$Q$11,J233)*POWER(Upgrades!$Q$12,K233)</f>
        <v/>
      </c>
      <c r="N233" s="28">
        <f>((IF(E233=0,0,(Upgrades!$G$6+E233*Upgrades!$H$6)*POWER(Upgrades!$I$6,E233)))*(IF(Upgrades!$T$7="Solar Wind",POWER(Upgrades!$U$7,F233),1)*IF(Upgrades!$T$8="Solar Wind",POWER(Upgrades!$U$8,G233),1)*IF(Upgrades!$T$9="Solar Wind",POWER(Upgrades!$U$9,H233),1)*IF(Upgrades!$T$10="Solar Wind",POWER(Upgrades!$U$10,I233),1)*IF(Upgrades!$T$11="Solar Wind",POWER(Upgrades!$U$11,J233),1)*IF(Upgrades!$T$12="Solar Wind",POWER(Upgrades!$U$12,K233),1))+(IF(F233=0,0,(Upgrades!$G$7+F233*Upgrades!$H$7)*POWER(Upgrades!$I$7,F233)))*(IF(Upgrades!$T$6="Asteroid Belt",POWER(Upgrades!$U$6,E233),1)*IF(Upgrades!$T$8="Asteroid Belt",POWER(Upgrades!$U$8,G233),1)*IF(Upgrades!$T$9="Asteroid Belt",POWER(Upgrades!$U$9,H233),1)*IF(Upgrades!$T$10="Asteroid Belt",POWER(Upgrades!$U$10,I233),1)*IF(Upgrades!$T$11="Asteroid Belt",POWER(Upgrades!$U$11,J233),1)*IF(Upgrades!$T$12="Asteroid Belt",POWER(Upgrades!$U$12,K233),1))+(IF(G233=0,0,(Upgrades!$G$8+G233*Upgrades!$H$8)*POWER(Upgrades!$I$8,G233)))*(IF(Upgrades!$T$6="Stellar Coupling",POWER(Upgrades!$U$6,E233),1)*IF(Upgrades!$T$7="Stellar Coupling",POWER(Upgrades!$U$7,F233),1)*IF(Upgrades!$T$9="Stellar Coupling",POWER(Upgrades!$U$9,H233),1)*IF(Upgrades!$T$10="Stellar Coupling",POWER(Upgrades!$U$10,I233),1)*IF(Upgrades!$T$11="Stellar Coupling",POWER(Upgrades!$U$11,J233),1)*IF(Upgrades!$T$12="Stellar Coupling",POWER(Upgrades!$U$12,K233),1))+(IF(H233=0,0,(Upgrades!$G$9+H233*Upgrades!$H$9)*POWER(Upgrades!$I$9,H233)))*(IF(Upgrades!$T$6="Magnetosphere",POWER(Upgrades!$U$6,E233),1)*IF(Upgrades!$T$7="Magnetosphere",POWER(Upgrades!$U$7,F233),1)*IF(Upgrades!$T$8="Magnetosphere",POWER(Upgrades!$U$8,G233),1)*IF(Upgrades!$T$10="Magnetosphere",POWER(Upgrades!$U$10,I233),1)*IF(Upgrades!$T$11="Magnetosphere",POWER(Upgrades!$U$11,J233),1)*IF(Upgrades!$T$12="Magnetosphere",POWER(Upgrades!$U$12,K233),1))+(IF(I233=0,0,(Upgrades!$G$10+I233*Upgrades!$H$10)*POWER(Upgrades!$I$10,I233)))*(IF(Upgrades!$T$6="Orbital Resonance",POWER(Upgrades!$U$6,E233),1)*IF(Upgrades!$T$7="Orbital Resonance",POWER(Upgrades!$U$7,F233),1)*IF(Upgrades!$T$8="Orbital Resonance",POWER(Upgrades!$U$8,G233),1)*IF(Upgrades!$T$9="Orbital Resonance",POWER(Upgrades!$U$9,H233),1)*IF(Upgrades!$T$11="Orbital Resonance",POWER(Upgrades!$U$11,J233),1)*IF(Upgrades!$T$12="Orbital Resonance",POWER(Upgrades!$U$12,K233),1))+(IF(J233=0,0,(Upgrades!$G$11+J233*Upgrades!$H$11)*POWER(Upgrades!$I$11,J233)))*(IF(Upgrades!$T$6="Heliopause",POWER(Upgrades!$U$6,E233),1)*IF(Upgrades!$T$7="Heliopause",POWER(Upgrades!$U$7,F233),1)*IF(Upgrades!$T$8="Heliopause",POWER(Upgrades!$U$8,G233),1)*IF(Upgrades!$T$9="Heliopause",POWER(Upgrades!$U$9,H233),1)*IF(Upgrades!$T$10="Heliopause",POWER(Upgrades!$U$10,I233),1)*IF(Upgrades!$T$12="Heliopause",POWER(Upgrades!$U$12,K233),1))+(IF(K233=0,0,(Upgrades!$G$12+K233*Upgrades!$H$12)*POWER(Upgrades!$I$12,K233)))*(IF(Upgrades!$T$6="First Photons",POWER(Upgrades!$U$6,E233),1)*IF(Upgrades!$T$7="First Photons",POWER(Upgrades!$U$7,F233),1)*IF(Upgrades!$T$8="First Photons",POWER(Upgrades!$U$8,G233),1)*IF(Upgrades!$T$9="First Photons",POWER(Upgrades!$U$9,H233),1)*IF(Upgrades!$T$10="First Photons",POWER(Upgrades!$U$10,I233),1)*IF(Upgrades!$T$11="First Photons",POWER(Upgrades!$U$11,J233),1)))*POWER(Upgrades!$P$6,E233)*POWER(Upgrades!$P$7,F233)*POWER(Upgrades!$P$8,G233)*POWER(Upgrades!$P$9,H233)*POWER(Upgrades!$P$10,I233)*POWER(Upgrades!$P$11,J233)*POWER(Upgrades!$P$12,K233)</f>
        <v/>
      </c>
      <c r="O233" s="28">
        <f>((IF(E233=0,0,(Upgrades!$M$6+E233*Upgrades!$N$6)*POWER(Upgrades!$O$6,E233)))*(IF(Upgrades!$T$7="Solar Wind",POWER(Upgrades!$U$7,F233),1)*IF(Upgrades!$T$8="Solar Wind",POWER(Upgrades!$U$8,G233),1)*IF(Upgrades!$T$9="Solar Wind",POWER(Upgrades!$U$9,H233),1)*IF(Upgrades!$T$10="Solar Wind",POWER(Upgrades!$U$10,I233),1)*IF(Upgrades!$T$11="Solar Wind",POWER(Upgrades!$U$11,J233),1)*IF(Upgrades!$T$12="Solar Wind",POWER(Upgrades!$U$12,K233),1))+(IF(F233=0,0,(Upgrades!$M$7+F233*Upgrades!$N$7)*POWER(Upgrades!$O$7,F233)))*(IF(Upgrades!$T$6="Asteroid Belt",POWER(Upgrades!$U$6,E233),1)*IF(Upgrades!$T$8="Asteroid Belt",POWER(Upgrades!$U$8,G233),1)*IF(Upgrades!$T$9="Asteroid Belt",POWER(Upgrades!$U$9,H233),1)*IF(Upgrades!$T$10="Asteroid Belt",POWER(Upgrades!$U$10,I233),1)*IF(Upgrades!$T$11="Asteroid Belt",POWER(Upgrades!$U$11,J233),1)*IF(Upgrades!$T$12="Asteroid Belt",POWER(Upgrades!$U$12,K233),1))+(IF(G233=0,0,(Upgrades!$M$8+G233*Upgrades!$N$8)*POWER(Upgrades!$O$8,G233)))*(IF(Upgrades!$T$6="Stellar Coupling",POWER(Upgrades!$U$6,E233),1)*IF(Upgrades!$T$7="Stellar Coupling",POWER(Upgrades!$U$7,F233),1)*IF(Upgrades!$T$9="Stellar Coupling",POWER(Upgrades!$U$9,H233),1)*IF(Upgrades!$T$10="Stellar Coupling",POWER(Upgrades!$U$10,I233),1)*IF(Upgrades!$T$11="Stellar Coupling",POWER(Upgrades!$U$11,J233),1)*IF(Upgrades!$T$12="Stellar Coupling",POWER(Upgrades!$U$12,K233),1))+(IF(H233=0,0,(Upgrades!$M$9+H233*Upgrades!$N$9)*POWER(Upgrades!$O$9,H233)))*(IF(Upgrades!$T$6="Magnetosphere",POWER(Upgrades!$U$6,E233),1)*IF(Upgrades!$T$7="Magnetosphere",POWER(Upgrades!$U$7,F233),1)*IF(Upgrades!$T$8="Magnetosphere",POWER(Upgrades!$U$8,G233),1)*IF(Upgrades!$T$10="Magnetosphere",POWER(Upgrades!$U$10,I233),1)*IF(Upgrades!$T$11="Magnetosphere",POWER(Upgrades!$U$11,J233),1)*IF(Upgrades!$T$12="Magnetosphere",POWER(Upgrades!$U$12,K233),1))+(IF(I233=0,0,(Upgrades!$M$10+I233*Upgrades!$N$10)*POWER(Upgrades!$O$10,I233)))*(IF(Upgrades!$T$6="Orbital Resonance",POWER(Upgrades!$U$6,E233),1)*IF(Upgrades!$T$7="Orbital Resonance",POWER(Upgrades!$U$7,F233),1)*IF(Upgrades!$T$8="Orbital Resonance",POWER(Upgrades!$U$8,G233),1)*IF(Upgrades!$T$9="Orbital Resonance",POWER(Upgrades!$U$9,H233),1)*IF(Upgrades!$T$11="Orbital Resonance",POWER(Upgrades!$U$11,J233),1)*IF(Upgrades!$T$12="Orbital Resonance",POWER(Upgrades!$U$12,K233),1))+(IF(J233=0,0,(Upgrades!$M$11+J233*Upgrades!$N$11)*POWER(Upgrades!$O$11,J233)))*(IF(Upgrades!$T$6="Heliopause",POWER(Upgrades!$U$6,E233),1)*IF(Upgrades!$T$7="Heliopause",POWER(Upgrades!$U$7,F233),1)*IF(Upgrades!$T$8="Heliopause",POWER(Upgrades!$U$8,G233),1)*IF(Upgrades!$T$9="Heliopause",POWER(Upgrades!$U$9,H233),1)*IF(Upgrades!$T$10="Heliopause",POWER(Upgrades!$U$10,I233),1)*IF(Upgrades!$T$12="Heliopause",POWER(Upgrades!$U$12,K233),1))+(IF(K233=0,0,(Upgrades!$M$12+K233*Upgrades!$N$12)*POWER(Upgrades!$O$12,K233)))*(IF(Upgrades!$T$6="First Photons",POWER(Upgrades!$U$6,E233),1)*IF(Upgrades!$T$7="First Photons",POWER(Upgrades!$U$7,F233),1)*IF(Upgrades!$T$8="First Photons",POWER(Upgrades!$U$8,G233),1)*IF(Upgrades!$T$9="First Photons",POWER(Upgrades!$U$9,H233),1)*IF(Upgrades!$T$10="First Photons",POWER(Upgrades!$U$10,I233),1)*IF(Upgrades!$T$11="First Photons",POWER(Upgrades!$U$11,J233),1)))*POWER(Upgrades!$R$6,E233)*POWER(Upgrades!$R$7,F233)*POWER(Upgrades!$R$8,G233)*POWER(Upgrades!$R$9,H233)*POWER(Upgrades!$R$10,I233)*POWER(Upgrades!$R$11,J233)*POWER(Upgrades!$R$12,K233)</f>
        <v/>
      </c>
      <c r="P233" s="27">
        <f>IF(L233=1,0,M233*Parameters!$B$10/60*Parameters!$B$11*10)</f>
        <v/>
      </c>
      <c r="Q233" s="27">
        <f>IF(L233=1,0,O233*M233*10)</f>
        <v/>
      </c>
      <c r="R233" s="27">
        <f>IF(L233=1,0,N233*10)</f>
        <v/>
      </c>
      <c r="S233" s="27">
        <f>P233+Q233+R233</f>
        <v/>
      </c>
      <c r="T233" s="22">
        <f>C233+S233</f>
        <v/>
      </c>
      <c r="U233" s="33">
        <f>AX233</f>
        <v/>
      </c>
      <c r="V233" s="22">
        <f>IF(U233="",0,IF(U233="transition",0,IF(U233="SW",AG233,IF(U233="AB",AH233,IF(U233="SC",AI233,IF(U233="Mag",AJ233,IF(U233="OR",AK233,IF(U233="HP",AL233,IF(U233="FP",AM233,0)))))))))</f>
        <v/>
      </c>
      <c r="W233" s="27">
        <f>IF(U233="OR",Upgrades!$F$10,IF(U233="HP",Upgrades!$F$11,IF(U233="transition",-Parameters!$B$18,0)))</f>
        <v/>
      </c>
      <c r="X233" s="22">
        <f>T233-V233</f>
        <v/>
      </c>
      <c r="Y233" s="30">
        <f>M233*Parameters!$B$10/60*Parameters!$B$11+O233*M233+N233</f>
        <v/>
      </c>
      <c r="Z233" s="34">
        <f>IF(U233="transition","→ Tier 2 (Stellar Neighborhood)",IF(U233="FP","First Photons — light begins, system quickens",IF(U233="HP","Heliopause acquired",IF(U233="OR","Orbital Resonance — passive multiplier active",IF(AND(AO233=1,L233=0,AN233&lt;&gt;1),"Cohesion ready (waiting on completionist upgrades)","")))))</f>
        <v/>
      </c>
      <c r="AA233" s="27">
        <f>(IF(E233=0,0,(Upgrades!$G$6+E233*Upgrades!$H$6)*POWER(Upgrades!$I$6,E233)))*(IF(Upgrades!$T$7="Solar Wind",POWER(Upgrades!$U$7,F233),1)*IF(Upgrades!$T$8="Solar Wind",POWER(Upgrades!$U$8,G233),1)*IF(Upgrades!$T$9="Solar Wind",POWER(Upgrades!$U$9,H233),1)*IF(Upgrades!$T$10="Solar Wind",POWER(Upgrades!$U$10,I233),1)*IF(Upgrades!$T$11="Solar Wind",POWER(Upgrades!$U$11,J233),1)*IF(Upgrades!$T$12="Solar Wind",POWER(Upgrades!$U$12,K233),1))*POWER(Upgrades!$P$6,E233)*POWER(Upgrades!$P$7,F233)*POWER(Upgrades!$P$8,G233)*POWER(Upgrades!$P$9,H233)*POWER(Upgrades!$P$10,I233)*POWER(Upgrades!$P$11,J233)*POWER(Upgrades!$P$12,K233)*60</f>
        <v/>
      </c>
      <c r="AB233" s="27">
        <f>(IF(F233=0,0,(Upgrades!$G$7+F233*Upgrades!$H$7)*POWER(Upgrades!$I$7,F233)))*(IF(Upgrades!$T$6="Asteroid Belt",POWER(Upgrades!$U$6,E233),1)*IF(Upgrades!$T$8="Asteroid Belt",POWER(Upgrades!$U$8,G233),1)*IF(Upgrades!$T$9="Asteroid Belt",POWER(Upgrades!$U$9,H233),1)*IF(Upgrades!$T$10="Asteroid Belt",POWER(Upgrades!$U$10,I233),1)*IF(Upgrades!$T$11="Asteroid Belt",POWER(Upgrades!$U$11,J233),1)*IF(Upgrades!$T$12="Asteroid Belt",POWER(Upgrades!$U$12,K233),1))*POWER(Upgrades!$P$6,E233)*POWER(Upgrades!$P$7,F233)*POWER(Upgrades!$P$8,G233)*POWER(Upgrades!$P$9,H233)*POWER(Upgrades!$P$10,I233)*POWER(Upgrades!$P$11,J233)*POWER(Upgrades!$P$12,K233)*60</f>
        <v/>
      </c>
      <c r="AC233" s="27">
        <f>(IF(G233=0,0,(Upgrades!$J$8+G233*Upgrades!$K$8)*POWER(Upgrades!$L$8,G233)))*(IF(Upgrades!$T$6="Stellar Coupling",POWER(Upgrades!$U$6,E233),1)*IF(Upgrades!$T$7="Stellar Coupling",POWER(Upgrades!$U$7,F233),1)*IF(Upgrades!$T$9="Stellar Coupling",POWER(Upgrades!$U$9,H233),1)*IF(Upgrades!$T$10="Stellar Coupling",POWER(Upgrades!$U$10,I233),1)*IF(Upgrades!$T$11="Stellar Coupling",POWER(Upgrades!$U$11,J233),1)*IF(Upgrades!$T$12="Stellar Coupling",POWER(Upgrades!$U$12,K233),1))*POWER(Upgrades!$Q$6,E233)*POWER(Upgrades!$Q$7,F233)*POWER(Upgrades!$Q$8,G233)*POWER(Upgrades!$Q$9,H233)*POWER(Upgrades!$Q$10,I233)*POWER(Upgrades!$Q$11,J233)*POWER(Upgrades!$Q$12,K233)*Parameters!$B$10*Parameters!$B$11</f>
        <v/>
      </c>
      <c r="AD233" s="27">
        <f>(IF(H233=0,0,(Upgrades!$G$9+H233*Upgrades!$H$9)*POWER(Upgrades!$I$9,H233)))*(IF(Upgrades!$T$6="Magnetosphere",POWER(Upgrades!$U$6,E233),1)*IF(Upgrades!$T$7="Magnetosphere",POWER(Upgrades!$U$7,F233),1)*IF(Upgrades!$T$8="Magnetosphere",POWER(Upgrades!$U$8,G233),1)*IF(Upgrades!$T$10="Magnetosphere",POWER(Upgrades!$U$10,I233),1)*IF(Upgrades!$T$11="Magnetosphere",POWER(Upgrades!$U$11,J233),1)*IF(Upgrades!$T$12="Magnetosphere",POWER(Upgrades!$U$12,K233),1))*POWER(Upgrades!$P$6,E233)*POWER(Upgrades!$P$7,F233)*POWER(Upgrades!$P$8,G233)*POWER(Upgrades!$P$9,H233)*POWER(Upgrades!$P$10,I233)*POWER(Upgrades!$P$11,J233)*POWER(Upgrades!$P$12,K233)*60</f>
        <v/>
      </c>
      <c r="AE233" s="27">
        <f>(IF(K233=0,0,(Upgrades!$G$12+K233*Upgrades!$H$12)*POWER(Upgrades!$I$12,K233)))*(IF(Upgrades!$T$6="First Photons",POWER(Upgrades!$U$6,E233),1)*IF(Upgrades!$T$7="First Photons",POWER(Upgrades!$U$7,F233),1)*IF(Upgrades!$T$8="First Photons",POWER(Upgrades!$U$8,G233),1)*IF(Upgrades!$T$9="First Photons",POWER(Upgrades!$U$9,H233),1)*IF(Upgrades!$T$10="First Photons",POWER(Upgrades!$U$10,I233),1)*IF(Upgrades!$T$11="First Photons",POWER(Upgrades!$U$11,J233),1))*POWER(Upgrades!$P$6,E233)*POWER(Upgrades!$P$7,F233)*POWER(Upgrades!$P$8,G233)*POWER(Upgrades!$P$9,H233)*POWER(Upgrades!$P$10,I233)*POWER(Upgrades!$P$11,J233)*POWER(Upgrades!$P$12,K233)*60</f>
        <v/>
      </c>
      <c r="AF233" s="27">
        <f>Parameters!$B$9*POWER(Upgrades!$Q$6,E233)*POWER(Upgrades!$Q$7,F233)*POWER(Upgrades!$Q$8,G233)*POWER(Upgrades!$Q$9,H233)*POWER(Upgrades!$Q$10,I233)*POWER(Upgrades!$Q$11,J233)*POWER(Upgrades!$Q$12,K233)*(Parameters!$B$10*Parameters!$B$11+O233*60)</f>
        <v/>
      </c>
      <c r="AG233" s="22">
        <f>IF(E233&gt;=Upgrades!$E$6,"",Upgrades!$C$6*POWER(Upgrades!$D$6,E233))</f>
        <v/>
      </c>
      <c r="AH233" s="22">
        <f>IF(F233&gt;=Upgrades!$E$7,"",Upgrades!$C$7*POWER(Upgrades!$D$7,F233))</f>
        <v/>
      </c>
      <c r="AI233" s="22">
        <f>IF(G233&gt;=Upgrades!$E$8,"",Upgrades!$C$8*POWER(Upgrades!$D$8,G233))</f>
        <v/>
      </c>
      <c r="AJ233" s="22">
        <f>IF(H233&gt;=Upgrades!$E$9,"",Upgrades!$C$9*POWER(Upgrades!$D$9,H233))</f>
        <v/>
      </c>
      <c r="AK233" s="22">
        <f>IF(I233&gt;=Upgrades!$E$10,"",Upgrades!$C$10*POWER(Upgrades!$D$10,I233))</f>
        <v/>
      </c>
      <c r="AL233" s="22">
        <f>IF(J233&gt;=Upgrades!$E$11,"",Upgrades!$C$11*POWER(Upgrades!$D$11,J233))</f>
        <v/>
      </c>
      <c r="AM233" s="22">
        <f>IF(K233&gt;=Upgrades!$E$12,"",Upgrades!$C$12*POWER(Upgrades!$D$12,K233))</f>
        <v/>
      </c>
      <c r="AN233" s="26">
        <f>IF(AND(D233&gt;=Parameters!$B$18,(H233&gt;=Upgrades!$E$9)*(K233&gt;=Upgrades!$E$12)=1,L233=0),1,"")</f>
        <v/>
      </c>
      <c r="AO233" s="26">
        <f>IF(AND(D233&gt;=Parameters!$B$18,L233=0),1,"")</f>
        <v/>
      </c>
      <c r="AP233" s="22">
        <f>MIN(IF(ISNUMBER(AK233),AK233,9E15),IF(ISNUMBER(AL233),AL233,9E15),IF(ISNUMBER(AM233),AM233,9E15))</f>
        <v/>
      </c>
      <c r="AQ233" s="22">
        <f>MIN(IF(ISNUMBER(AG233),AG233,9E15),IF(ISNUMBER(AH233),AH233,9E15),IF(ISNUMBER(AI233),AI233,9E15),IF(ISNUMBER(AJ233),AJ233,9E15))</f>
        <v/>
      </c>
      <c r="AR233" s="29">
        <f>IF(AW233&gt;Parameters!$B$21*(MAX(IF(AND(NOT(AND(AO233=1,AN233&lt;&gt;1)),ISNUMBER(AG233),AG233&lt;=T233),AS233,0),IF(AND(NOT(AND(AO233=1,AN233&lt;&gt;1)),ISNUMBER(AH233),AH233&lt;=T233),AT233,0),IF(AND(NOT(AND(AO233=1,AN233&lt;&gt;1)),ISNUMBER(AI233),AI233&lt;=T233),AU233,0),IF(AND(ISNUMBER(AJ233),AJ233&lt;=T233),AV233,0))),TRUE,FALSE)</f>
        <v/>
      </c>
      <c r="AS233" s="32">
        <f>IFERROR(Upgrades!$H$6*(POWER(Upgrades!$P$6,E233)*POWER(Upgrades!$P$7,F233)*POWER(Upgrades!$P$8,G233)*POWER(Upgrades!$P$9,H233)*POWER(Upgrades!$P$10,I233)*POWER(Upgrades!$P$11,J233)*POWER(Upgrades!$P$12,K233))*(IF(Upgrades!$T$7="Solar Wind",POWER(Upgrades!$U$7,F233),1)*IF(Upgrades!$T$8="Solar Wind",POWER(Upgrades!$U$8,G233),1)*IF(Upgrades!$T$9="Solar Wind",POWER(Upgrades!$U$9,H233),1)*IF(Upgrades!$T$10="Solar Wind",POWER(Upgrades!$U$10,I233),1)*IF(Upgrades!$T$11="Solar Wind",POWER(Upgrades!$U$11,J233),1)*IF(Upgrades!$T$12="Solar Wind",POWER(Upgrades!$U$12,K233),1))/AG233,0)</f>
        <v/>
      </c>
      <c r="AT233" s="32">
        <f>IFERROR(Upgrades!$H$7*(POWER(Upgrades!$P$6,E233)*POWER(Upgrades!$P$7,F233)*POWER(Upgrades!$P$8,G233)*POWER(Upgrades!$P$9,H233)*POWER(Upgrades!$P$10,I233)*POWER(Upgrades!$P$11,J233)*POWER(Upgrades!$P$12,K233))*(IF(Upgrades!$T$6="Asteroid Belt",POWER(Upgrades!$U$6,E233),1)*IF(Upgrades!$T$8="Asteroid Belt",POWER(Upgrades!$U$8,G233),1)*IF(Upgrades!$T$9="Asteroid Belt",POWER(Upgrades!$U$9,H233),1)*IF(Upgrades!$T$10="Asteroid Belt",POWER(Upgrades!$U$10,I233),1)*IF(Upgrades!$T$11="Asteroid Belt",POWER(Upgrades!$U$11,J233),1)*IF(Upgrades!$T$12="Asteroid Belt",POWER(Upgrades!$U$12,K233),1))/AH233,0)</f>
        <v/>
      </c>
      <c r="AU233" s="32">
        <f>IFERROR(Upgrades!$K$8*(POWER(Upgrades!$Q$6,E233)*POWER(Upgrades!$Q$7,F233)*POWER(Upgrades!$Q$8,G233)*POWER(Upgrades!$Q$9,H233)*POWER(Upgrades!$Q$10,I233)*POWER(Upgrades!$Q$11,J233)*POWER(Upgrades!$Q$12,K233))*(IF(Upgrades!$T$6="Stellar Coupling",POWER(Upgrades!$U$6,E233),1)*IF(Upgrades!$T$7="Stellar Coupling",POWER(Upgrades!$U$7,F233),1)*IF(Upgrades!$T$9="Stellar Coupling",POWER(Upgrades!$U$9,H233),1)*IF(Upgrades!$T$10="Stellar Coupling",POWER(Upgrades!$U$10,I233),1)*IF(Upgrades!$T$11="Stellar Coupling",POWER(Upgrades!$U$11,J233),1)*IF(Upgrades!$T$12="Stellar Coupling",POWER(Upgrades!$U$12,K233),1))*Parameters!$B$10*Parameters!$B$11/60/AI233,0)</f>
        <v/>
      </c>
      <c r="AV233" s="32">
        <f>IFERROR(Upgrades!$H$9*(POWER(Upgrades!$P$6,E233)*POWER(Upgrades!$P$7,F233)*POWER(Upgrades!$P$8,G233)*POWER(Upgrades!$P$9,H233)*POWER(Upgrades!$P$10,I233)*POWER(Upgrades!$P$11,J233)*POWER(Upgrades!$P$12,K233))*(IF(Upgrades!$T$6="Magnetosphere",POWER(Upgrades!$U$6,E233),1)*IF(Upgrades!$T$7="Magnetosphere",POWER(Upgrades!$U$7,F233),1)*IF(Upgrades!$T$8="Magnetosphere",POWER(Upgrades!$U$8,G233),1)*IF(Upgrades!$T$10="Magnetosphere",POWER(Upgrades!$U$10,I233),1)*IF(Upgrades!$T$11="Magnetosphere",POWER(Upgrades!$U$11,J233),1)*IF(Upgrades!$T$12="Magnetosphere",POWER(Upgrades!$U$12,K233),1))/AJ233,0)</f>
        <v/>
      </c>
      <c r="AW233" s="32">
        <f>MAX(IF(I233&gt;0,0,IFERROR(0.25*N233/Upgrades!$C$10,0)),IF(J233&gt;0,0,IFERROR(0.5*((IF(G233=0,0,(Upgrades!$J$8+G233*Upgrades!$K$8)*POWER(Upgrades!$L$8,G233)))*(IF(Upgrades!$T$6="Stellar Coupling",POWER(Upgrades!$U$6,E233),1)*IF(Upgrades!$T$7="Stellar Coupling",POWER(Upgrades!$U$7,F233),1)*IF(Upgrades!$T$9="Stellar Coupling",POWER(Upgrades!$U$9,H233),1)*IF(Upgrades!$T$10="Stellar Coupling",POWER(Upgrades!$U$10,I233),1)*IF(Upgrades!$T$11="Stellar Coupling",POWER(Upgrades!$U$11,J233),1)*IF(Upgrades!$T$12="Stellar Coupling",POWER(Upgrades!$U$12,K233),1))*(POWER(Upgrades!$Q$6,E233)*POWER(Upgrades!$Q$7,F233)*POWER(Upgrades!$Q$8,G233)*POWER(Upgrades!$Q$9,H233)*POWER(Upgrades!$Q$10,I233)*POWER(Upgrades!$Q$11,J233)*POWER(Upgrades!$Q$12,K233))*Parameters!$B$10*Parameters!$B$11/60)/Upgrades!$C$11,0)),IF(K233&gt;0,0,IFERROR((1.0*(POWER(Upgrades!$P$6,E233)*POWER(Upgrades!$P$7,F233)*POWER(Upgrades!$P$8,G233)*POWER(Upgrades!$P$9,H233)*POWER(Upgrades!$P$10,I233)*POWER(Upgrades!$P$11,J233)*POWER(Upgrades!$P$12,K233))+0.20*M233*Parameters!$B$10*Parameters!$B$11/60)/Upgrades!$C$12,0)),IF(AND(ISNUMBER(AG233),AG233&gt;T233),AS233,0),IF(AND(ISNUMBER(AH233),AH233&gt;T233),AT233,0),IF(AND(ISNUMBER(AI233),AI233&gt;T233),AU233,0),IF(AND(ISNUMBER(AJ233),AJ233&gt;T233),AV233,0))</f>
        <v/>
      </c>
      <c r="AX233" s="29">
        <f>IF(AN233=1,"transition",IF(MIN(IF(AND(I233=0,ISNUMBER(AK233),AK233&lt;=T233),AK233,9E15),IF(AND(J233=0,ISNUMBER(AL233),AL233&lt;=T233),AL233,9E15),IF(AND(K233=0,ISNUMBER(AM233),AM233&lt;=T233),AM233,9E15))&lt;9E15,IF(AND(AND(I233=0,ISNUMBER(AK233),AK233&lt;=T233),AK233=MIN(IF(AND(I233=0,ISNUMBER(AK233),AK233&lt;=T233),AK233,9E15),IF(AND(J233=0,ISNUMBER(AL233),AL233&lt;=T233),AL233,9E15),IF(AND(K233=0,ISNUMBER(AM233),AM233&lt;=T233),AM233,9E15))),"OR",IF(AND(AND(J233=0,ISNUMBER(AL233),AL233&lt;=T233),AL233=MIN(IF(AND(I233=0,ISNUMBER(AK233),AK233&lt;=T233),AK233,9E15),IF(AND(J233=0,ISNUMBER(AL233),AL233&lt;=T233),AL233,9E15),IF(AND(K233=0,ISNUMBER(AM233),AM233&lt;=T233),AM233,9E15))),"HP","FP")),IF(AR233=TRUE,"",IF(MAX(IF(AND(NOT(AND(AO233=1,AN233&lt;&gt;1)),ISNUMBER(AG233),AG233&lt;=T233),AS233,0),IF(AND(NOT(AND(AO233=1,AN233&lt;&gt;1)),ISNUMBER(AH233),AH233&lt;=T233),AT233,0),IF(AND(NOT(AND(AO233=1,AN233&lt;&gt;1)),ISNUMBER(AI233),AI233&lt;=T233),AU233,0),IF(AND(ISNUMBER(AJ233),AJ233&lt;=T233),AV233,0))&lt;=0,"",IF(AND(IF(AND(NOT(AND(AO233=1,AN233&lt;&gt;1)),ISNUMBER(AG233),AG233&lt;=T233),AS233,0)&gt;0,IF(AND(NOT(AND(AO233=1,AN233&lt;&gt;1)),ISNUMBER(AG233),AG233&lt;=T233),AS233,0)=MAX(IF(AND(NOT(AND(AO233=1,AN233&lt;&gt;1)),ISNUMBER(AG233),AG233&lt;=T233),AS233,0),IF(AND(NOT(AND(AO233=1,AN233&lt;&gt;1)),ISNUMBER(AH233),AH233&lt;=T233),AT233,0),IF(AND(NOT(AND(AO233=1,AN233&lt;&gt;1)),ISNUMBER(AI233),AI233&lt;=T233),AU233,0),IF(AND(ISNUMBER(AJ233),AJ233&lt;=T233),AV233,0))),"SW",IF(AND(IF(AND(NOT(AND(AO233=1,AN233&lt;&gt;1)),ISNUMBER(AH233),AH233&lt;=T233),AT233,0)&gt;0,IF(AND(NOT(AND(AO233=1,AN233&lt;&gt;1)),ISNUMBER(AH233),AH233&lt;=T233),AT233,0)=MAX(IF(AND(NOT(AND(AO233=1,AN233&lt;&gt;1)),ISNUMBER(AG233),AG233&lt;=T233),AS233,0),IF(AND(NOT(AND(AO233=1,AN233&lt;&gt;1)),ISNUMBER(AH233),AH233&lt;=T233),AT233,0),IF(AND(NOT(AND(AO233=1,AN233&lt;&gt;1)),ISNUMBER(AI233),AI233&lt;=T233),AU233,0),IF(AND(ISNUMBER(AJ233),AJ233&lt;=T233),AV233,0))),"AB",IF(AND(IF(AND(NOT(AND(AO233=1,AN233&lt;&gt;1)),ISNUMBER(AI233),AI233&lt;=T233),AU233,0)&gt;0,IF(AND(NOT(AND(AO233=1,AN233&lt;&gt;1)),ISNUMBER(AI233),AI233&lt;=T233),AU233,0)=MAX(IF(AND(NOT(AND(AO233=1,AN233&lt;&gt;1)),ISNUMBER(AG233),AG233&lt;=T233),AS233,0),IF(AND(NOT(AND(AO233=1,AN233&lt;&gt;1)),ISNUMBER(AH233),AH233&lt;=T233),AT233,0),IF(AND(NOT(AND(AO233=1,AN233&lt;&gt;1)),ISNUMBER(AI233),AI233&lt;=T233),AU233,0),IF(AND(ISNUMBER(AJ233),AJ233&lt;=T233),AV233,0))),"SC","Mag")))))))</f>
        <v/>
      </c>
    </row>
    <row r="234">
      <c r="A234" s="26" t="n">
        <v>229</v>
      </c>
      <c r="B234" s="27">
        <f>A234*10/60</f>
        <v/>
      </c>
      <c r="C234" s="22">
        <f>X233</f>
        <v/>
      </c>
      <c r="D234" s="27">
        <f>D233+W233</f>
        <v/>
      </c>
      <c r="E234" s="26">
        <f>E233+IF(U233="SW",1,0)</f>
        <v/>
      </c>
      <c r="F234" s="26">
        <f>F233+IF(U233="AB",1,0)</f>
        <v/>
      </c>
      <c r="G234" s="26">
        <f>G233+IF(U233="SC",1,0)</f>
        <v/>
      </c>
      <c r="H234" s="26">
        <f>H233+IF(U233="Mag",1,0)</f>
        <v/>
      </c>
      <c r="I234" s="26">
        <f>MAX(I233,IF(U233="OR",1,0))</f>
        <v/>
      </c>
      <c r="J234" s="26">
        <f>MAX(J233,IF(U233="HP",1,0))</f>
        <v/>
      </c>
      <c r="K234" s="26">
        <f>MAX(K233,IF(U233="FP",1,0))</f>
        <v/>
      </c>
      <c r="L234" s="26">
        <f>MAX(L233,IF(U233="transition",1,0))</f>
        <v/>
      </c>
      <c r="M234" s="28">
        <f>(Parameters!$B$9+(IF(E234=0,0,(Upgrades!$J$6+E234*Upgrades!$K$6)*POWER(Upgrades!$L$6,E234)))*(IF(Upgrades!$T$7="Solar Wind",POWER(Upgrades!$U$7,F234),1)*IF(Upgrades!$T$8="Solar Wind",POWER(Upgrades!$U$8,G234),1)*IF(Upgrades!$T$9="Solar Wind",POWER(Upgrades!$U$9,H234),1)*IF(Upgrades!$T$10="Solar Wind",POWER(Upgrades!$U$10,I234),1)*IF(Upgrades!$T$11="Solar Wind",POWER(Upgrades!$U$11,J234),1)*IF(Upgrades!$T$12="Solar Wind",POWER(Upgrades!$U$12,K234),1))+(IF(F234=0,0,(Upgrades!$J$7+F234*Upgrades!$K$7)*POWER(Upgrades!$L$7,F234)))*(IF(Upgrades!$T$6="Asteroid Belt",POWER(Upgrades!$U$6,E234),1)*IF(Upgrades!$T$8="Asteroid Belt",POWER(Upgrades!$U$8,G234),1)*IF(Upgrades!$T$9="Asteroid Belt",POWER(Upgrades!$U$9,H234),1)*IF(Upgrades!$T$10="Asteroid Belt",POWER(Upgrades!$U$10,I234),1)*IF(Upgrades!$T$11="Asteroid Belt",POWER(Upgrades!$U$11,J234),1)*IF(Upgrades!$T$12="Asteroid Belt",POWER(Upgrades!$U$12,K234),1))+(IF(G234=0,0,(Upgrades!$J$8+G234*Upgrades!$K$8)*POWER(Upgrades!$L$8,G234)))*(IF(Upgrades!$T$6="Stellar Coupling",POWER(Upgrades!$U$6,E234),1)*IF(Upgrades!$T$7="Stellar Coupling",POWER(Upgrades!$U$7,F234),1)*IF(Upgrades!$T$9="Stellar Coupling",POWER(Upgrades!$U$9,H234),1)*IF(Upgrades!$T$10="Stellar Coupling",POWER(Upgrades!$U$10,I234),1)*IF(Upgrades!$T$11="Stellar Coupling",POWER(Upgrades!$U$11,J234),1)*IF(Upgrades!$T$12="Stellar Coupling",POWER(Upgrades!$U$12,K234),1))+(IF(H234=0,0,(Upgrades!$J$9+H234*Upgrades!$K$9)*POWER(Upgrades!$L$9,H234)))*(IF(Upgrades!$T$6="Magnetosphere",POWER(Upgrades!$U$6,E234),1)*IF(Upgrades!$T$7="Magnetosphere",POWER(Upgrades!$U$7,F234),1)*IF(Upgrades!$T$8="Magnetosphere",POWER(Upgrades!$U$8,G234),1)*IF(Upgrades!$T$10="Magnetosphere",POWER(Upgrades!$U$10,I234),1)*IF(Upgrades!$T$11="Magnetosphere",POWER(Upgrades!$U$11,J234),1)*IF(Upgrades!$T$12="Magnetosphere",POWER(Upgrades!$U$12,K234),1))+(IF(I234=0,0,(Upgrades!$J$10+I234*Upgrades!$K$10)*POWER(Upgrades!$L$10,I234)))*(IF(Upgrades!$T$6="Orbital Resonance",POWER(Upgrades!$U$6,E234),1)*IF(Upgrades!$T$7="Orbital Resonance",POWER(Upgrades!$U$7,F234),1)*IF(Upgrades!$T$8="Orbital Resonance",POWER(Upgrades!$U$8,G234),1)*IF(Upgrades!$T$9="Orbital Resonance",POWER(Upgrades!$U$9,H234),1)*IF(Upgrades!$T$11="Orbital Resonance",POWER(Upgrades!$U$11,J234),1)*IF(Upgrades!$T$12="Orbital Resonance",POWER(Upgrades!$U$12,K234),1))+(IF(J234=0,0,(Upgrades!$J$11+J234*Upgrades!$K$11)*POWER(Upgrades!$L$11,J234)))*(IF(Upgrades!$T$6="Heliopause",POWER(Upgrades!$U$6,E234),1)*IF(Upgrades!$T$7="Heliopause",POWER(Upgrades!$U$7,F234),1)*IF(Upgrades!$T$8="Heliopause",POWER(Upgrades!$U$8,G234),1)*IF(Upgrades!$T$9="Heliopause",POWER(Upgrades!$U$9,H234),1)*IF(Upgrades!$T$10="Heliopause",POWER(Upgrades!$U$10,I234),1)*IF(Upgrades!$T$12="Heliopause",POWER(Upgrades!$U$12,K234),1))+(IF(K234=0,0,(Upgrades!$J$12+K234*Upgrades!$K$12)*POWER(Upgrades!$L$12,K234)))*(IF(Upgrades!$T$6="First Photons",POWER(Upgrades!$U$6,E234),1)*IF(Upgrades!$T$7="First Photons",POWER(Upgrades!$U$7,F234),1)*IF(Upgrades!$T$8="First Photons",POWER(Upgrades!$U$8,G234),1)*IF(Upgrades!$T$9="First Photons",POWER(Upgrades!$U$9,H234),1)*IF(Upgrades!$T$10="First Photons",POWER(Upgrades!$U$10,I234),1)*IF(Upgrades!$T$11="First Photons",POWER(Upgrades!$U$11,J234),1)))*POWER(Upgrades!$Q$6,E234)*POWER(Upgrades!$Q$7,F234)*POWER(Upgrades!$Q$8,G234)*POWER(Upgrades!$Q$9,H234)*POWER(Upgrades!$Q$10,I234)*POWER(Upgrades!$Q$11,J234)*POWER(Upgrades!$Q$12,K234)</f>
        <v/>
      </c>
      <c r="N234" s="28">
        <f>((IF(E234=0,0,(Upgrades!$G$6+E234*Upgrades!$H$6)*POWER(Upgrades!$I$6,E234)))*(IF(Upgrades!$T$7="Solar Wind",POWER(Upgrades!$U$7,F234),1)*IF(Upgrades!$T$8="Solar Wind",POWER(Upgrades!$U$8,G234),1)*IF(Upgrades!$T$9="Solar Wind",POWER(Upgrades!$U$9,H234),1)*IF(Upgrades!$T$10="Solar Wind",POWER(Upgrades!$U$10,I234),1)*IF(Upgrades!$T$11="Solar Wind",POWER(Upgrades!$U$11,J234),1)*IF(Upgrades!$T$12="Solar Wind",POWER(Upgrades!$U$12,K234),1))+(IF(F234=0,0,(Upgrades!$G$7+F234*Upgrades!$H$7)*POWER(Upgrades!$I$7,F234)))*(IF(Upgrades!$T$6="Asteroid Belt",POWER(Upgrades!$U$6,E234),1)*IF(Upgrades!$T$8="Asteroid Belt",POWER(Upgrades!$U$8,G234),1)*IF(Upgrades!$T$9="Asteroid Belt",POWER(Upgrades!$U$9,H234),1)*IF(Upgrades!$T$10="Asteroid Belt",POWER(Upgrades!$U$10,I234),1)*IF(Upgrades!$T$11="Asteroid Belt",POWER(Upgrades!$U$11,J234),1)*IF(Upgrades!$T$12="Asteroid Belt",POWER(Upgrades!$U$12,K234),1))+(IF(G234=0,0,(Upgrades!$G$8+G234*Upgrades!$H$8)*POWER(Upgrades!$I$8,G234)))*(IF(Upgrades!$T$6="Stellar Coupling",POWER(Upgrades!$U$6,E234),1)*IF(Upgrades!$T$7="Stellar Coupling",POWER(Upgrades!$U$7,F234),1)*IF(Upgrades!$T$9="Stellar Coupling",POWER(Upgrades!$U$9,H234),1)*IF(Upgrades!$T$10="Stellar Coupling",POWER(Upgrades!$U$10,I234),1)*IF(Upgrades!$T$11="Stellar Coupling",POWER(Upgrades!$U$11,J234),1)*IF(Upgrades!$T$12="Stellar Coupling",POWER(Upgrades!$U$12,K234),1))+(IF(H234=0,0,(Upgrades!$G$9+H234*Upgrades!$H$9)*POWER(Upgrades!$I$9,H234)))*(IF(Upgrades!$T$6="Magnetosphere",POWER(Upgrades!$U$6,E234),1)*IF(Upgrades!$T$7="Magnetosphere",POWER(Upgrades!$U$7,F234),1)*IF(Upgrades!$T$8="Magnetosphere",POWER(Upgrades!$U$8,G234),1)*IF(Upgrades!$T$10="Magnetosphere",POWER(Upgrades!$U$10,I234),1)*IF(Upgrades!$T$11="Magnetosphere",POWER(Upgrades!$U$11,J234),1)*IF(Upgrades!$T$12="Magnetosphere",POWER(Upgrades!$U$12,K234),1))+(IF(I234=0,0,(Upgrades!$G$10+I234*Upgrades!$H$10)*POWER(Upgrades!$I$10,I234)))*(IF(Upgrades!$T$6="Orbital Resonance",POWER(Upgrades!$U$6,E234),1)*IF(Upgrades!$T$7="Orbital Resonance",POWER(Upgrades!$U$7,F234),1)*IF(Upgrades!$T$8="Orbital Resonance",POWER(Upgrades!$U$8,G234),1)*IF(Upgrades!$T$9="Orbital Resonance",POWER(Upgrades!$U$9,H234),1)*IF(Upgrades!$T$11="Orbital Resonance",POWER(Upgrades!$U$11,J234),1)*IF(Upgrades!$T$12="Orbital Resonance",POWER(Upgrades!$U$12,K234),1))+(IF(J234=0,0,(Upgrades!$G$11+J234*Upgrades!$H$11)*POWER(Upgrades!$I$11,J234)))*(IF(Upgrades!$T$6="Heliopause",POWER(Upgrades!$U$6,E234),1)*IF(Upgrades!$T$7="Heliopause",POWER(Upgrades!$U$7,F234),1)*IF(Upgrades!$T$8="Heliopause",POWER(Upgrades!$U$8,G234),1)*IF(Upgrades!$T$9="Heliopause",POWER(Upgrades!$U$9,H234),1)*IF(Upgrades!$T$10="Heliopause",POWER(Upgrades!$U$10,I234),1)*IF(Upgrades!$T$12="Heliopause",POWER(Upgrades!$U$12,K234),1))+(IF(K234=0,0,(Upgrades!$G$12+K234*Upgrades!$H$12)*POWER(Upgrades!$I$12,K234)))*(IF(Upgrades!$T$6="First Photons",POWER(Upgrades!$U$6,E234),1)*IF(Upgrades!$T$7="First Photons",POWER(Upgrades!$U$7,F234),1)*IF(Upgrades!$T$8="First Photons",POWER(Upgrades!$U$8,G234),1)*IF(Upgrades!$T$9="First Photons",POWER(Upgrades!$U$9,H234),1)*IF(Upgrades!$T$10="First Photons",POWER(Upgrades!$U$10,I234),1)*IF(Upgrades!$T$11="First Photons",POWER(Upgrades!$U$11,J234),1)))*POWER(Upgrades!$P$6,E234)*POWER(Upgrades!$P$7,F234)*POWER(Upgrades!$P$8,G234)*POWER(Upgrades!$P$9,H234)*POWER(Upgrades!$P$10,I234)*POWER(Upgrades!$P$11,J234)*POWER(Upgrades!$P$12,K234)</f>
        <v/>
      </c>
      <c r="O234" s="28">
        <f>((IF(E234=0,0,(Upgrades!$M$6+E234*Upgrades!$N$6)*POWER(Upgrades!$O$6,E234)))*(IF(Upgrades!$T$7="Solar Wind",POWER(Upgrades!$U$7,F234),1)*IF(Upgrades!$T$8="Solar Wind",POWER(Upgrades!$U$8,G234),1)*IF(Upgrades!$T$9="Solar Wind",POWER(Upgrades!$U$9,H234),1)*IF(Upgrades!$T$10="Solar Wind",POWER(Upgrades!$U$10,I234),1)*IF(Upgrades!$T$11="Solar Wind",POWER(Upgrades!$U$11,J234),1)*IF(Upgrades!$T$12="Solar Wind",POWER(Upgrades!$U$12,K234),1))+(IF(F234=0,0,(Upgrades!$M$7+F234*Upgrades!$N$7)*POWER(Upgrades!$O$7,F234)))*(IF(Upgrades!$T$6="Asteroid Belt",POWER(Upgrades!$U$6,E234),1)*IF(Upgrades!$T$8="Asteroid Belt",POWER(Upgrades!$U$8,G234),1)*IF(Upgrades!$T$9="Asteroid Belt",POWER(Upgrades!$U$9,H234),1)*IF(Upgrades!$T$10="Asteroid Belt",POWER(Upgrades!$U$10,I234),1)*IF(Upgrades!$T$11="Asteroid Belt",POWER(Upgrades!$U$11,J234),1)*IF(Upgrades!$T$12="Asteroid Belt",POWER(Upgrades!$U$12,K234),1))+(IF(G234=0,0,(Upgrades!$M$8+G234*Upgrades!$N$8)*POWER(Upgrades!$O$8,G234)))*(IF(Upgrades!$T$6="Stellar Coupling",POWER(Upgrades!$U$6,E234),1)*IF(Upgrades!$T$7="Stellar Coupling",POWER(Upgrades!$U$7,F234),1)*IF(Upgrades!$T$9="Stellar Coupling",POWER(Upgrades!$U$9,H234),1)*IF(Upgrades!$T$10="Stellar Coupling",POWER(Upgrades!$U$10,I234),1)*IF(Upgrades!$T$11="Stellar Coupling",POWER(Upgrades!$U$11,J234),1)*IF(Upgrades!$T$12="Stellar Coupling",POWER(Upgrades!$U$12,K234),1))+(IF(H234=0,0,(Upgrades!$M$9+H234*Upgrades!$N$9)*POWER(Upgrades!$O$9,H234)))*(IF(Upgrades!$T$6="Magnetosphere",POWER(Upgrades!$U$6,E234),1)*IF(Upgrades!$T$7="Magnetosphere",POWER(Upgrades!$U$7,F234),1)*IF(Upgrades!$T$8="Magnetosphere",POWER(Upgrades!$U$8,G234),1)*IF(Upgrades!$T$10="Magnetosphere",POWER(Upgrades!$U$10,I234),1)*IF(Upgrades!$T$11="Magnetosphere",POWER(Upgrades!$U$11,J234),1)*IF(Upgrades!$T$12="Magnetosphere",POWER(Upgrades!$U$12,K234),1))+(IF(I234=0,0,(Upgrades!$M$10+I234*Upgrades!$N$10)*POWER(Upgrades!$O$10,I234)))*(IF(Upgrades!$T$6="Orbital Resonance",POWER(Upgrades!$U$6,E234),1)*IF(Upgrades!$T$7="Orbital Resonance",POWER(Upgrades!$U$7,F234),1)*IF(Upgrades!$T$8="Orbital Resonance",POWER(Upgrades!$U$8,G234),1)*IF(Upgrades!$T$9="Orbital Resonance",POWER(Upgrades!$U$9,H234),1)*IF(Upgrades!$T$11="Orbital Resonance",POWER(Upgrades!$U$11,J234),1)*IF(Upgrades!$T$12="Orbital Resonance",POWER(Upgrades!$U$12,K234),1))+(IF(J234=0,0,(Upgrades!$M$11+J234*Upgrades!$N$11)*POWER(Upgrades!$O$11,J234)))*(IF(Upgrades!$T$6="Heliopause",POWER(Upgrades!$U$6,E234),1)*IF(Upgrades!$T$7="Heliopause",POWER(Upgrades!$U$7,F234),1)*IF(Upgrades!$T$8="Heliopause",POWER(Upgrades!$U$8,G234),1)*IF(Upgrades!$T$9="Heliopause",POWER(Upgrades!$U$9,H234),1)*IF(Upgrades!$T$10="Heliopause",POWER(Upgrades!$U$10,I234),1)*IF(Upgrades!$T$12="Heliopause",POWER(Upgrades!$U$12,K234),1))+(IF(K234=0,0,(Upgrades!$M$12+K234*Upgrades!$N$12)*POWER(Upgrades!$O$12,K234)))*(IF(Upgrades!$T$6="First Photons",POWER(Upgrades!$U$6,E234),1)*IF(Upgrades!$T$7="First Photons",POWER(Upgrades!$U$7,F234),1)*IF(Upgrades!$T$8="First Photons",POWER(Upgrades!$U$8,G234),1)*IF(Upgrades!$T$9="First Photons",POWER(Upgrades!$U$9,H234),1)*IF(Upgrades!$T$10="First Photons",POWER(Upgrades!$U$10,I234),1)*IF(Upgrades!$T$11="First Photons",POWER(Upgrades!$U$11,J234),1)))*POWER(Upgrades!$R$6,E234)*POWER(Upgrades!$R$7,F234)*POWER(Upgrades!$R$8,G234)*POWER(Upgrades!$R$9,H234)*POWER(Upgrades!$R$10,I234)*POWER(Upgrades!$R$11,J234)*POWER(Upgrades!$R$12,K234)</f>
        <v/>
      </c>
      <c r="P234" s="27">
        <f>IF(L234=1,0,M234*Parameters!$B$10/60*Parameters!$B$11*10)</f>
        <v/>
      </c>
      <c r="Q234" s="27">
        <f>IF(L234=1,0,O234*M234*10)</f>
        <v/>
      </c>
      <c r="R234" s="27">
        <f>IF(L234=1,0,N234*10)</f>
        <v/>
      </c>
      <c r="S234" s="27">
        <f>P234+Q234+R234</f>
        <v/>
      </c>
      <c r="T234" s="22">
        <f>C234+S234</f>
        <v/>
      </c>
      <c r="U234" s="33">
        <f>AX234</f>
        <v/>
      </c>
      <c r="V234" s="22">
        <f>IF(U234="",0,IF(U234="transition",0,IF(U234="SW",AG234,IF(U234="AB",AH234,IF(U234="SC",AI234,IF(U234="Mag",AJ234,IF(U234="OR",AK234,IF(U234="HP",AL234,IF(U234="FP",AM234,0)))))))))</f>
        <v/>
      </c>
      <c r="W234" s="27">
        <f>IF(U234="OR",Upgrades!$F$10,IF(U234="HP",Upgrades!$F$11,IF(U234="transition",-Parameters!$B$18,0)))</f>
        <v/>
      </c>
      <c r="X234" s="22">
        <f>T234-V234</f>
        <v/>
      </c>
      <c r="Y234" s="30">
        <f>M234*Parameters!$B$10/60*Parameters!$B$11+O234*M234+N234</f>
        <v/>
      </c>
      <c r="Z234" s="34">
        <f>IF(U234="transition","→ Tier 2 (Stellar Neighborhood)",IF(U234="FP","First Photons — light begins, system quickens",IF(U234="HP","Heliopause acquired",IF(U234="OR","Orbital Resonance — passive multiplier active",IF(AND(AO234=1,L234=0,AN234&lt;&gt;1),"Cohesion ready (waiting on completionist upgrades)","")))))</f>
        <v/>
      </c>
      <c r="AA234" s="27">
        <f>(IF(E234=0,0,(Upgrades!$G$6+E234*Upgrades!$H$6)*POWER(Upgrades!$I$6,E234)))*(IF(Upgrades!$T$7="Solar Wind",POWER(Upgrades!$U$7,F234),1)*IF(Upgrades!$T$8="Solar Wind",POWER(Upgrades!$U$8,G234),1)*IF(Upgrades!$T$9="Solar Wind",POWER(Upgrades!$U$9,H234),1)*IF(Upgrades!$T$10="Solar Wind",POWER(Upgrades!$U$10,I234),1)*IF(Upgrades!$T$11="Solar Wind",POWER(Upgrades!$U$11,J234),1)*IF(Upgrades!$T$12="Solar Wind",POWER(Upgrades!$U$12,K234),1))*POWER(Upgrades!$P$6,E234)*POWER(Upgrades!$P$7,F234)*POWER(Upgrades!$P$8,G234)*POWER(Upgrades!$P$9,H234)*POWER(Upgrades!$P$10,I234)*POWER(Upgrades!$P$11,J234)*POWER(Upgrades!$P$12,K234)*60</f>
        <v/>
      </c>
      <c r="AB234" s="27">
        <f>(IF(F234=0,0,(Upgrades!$G$7+F234*Upgrades!$H$7)*POWER(Upgrades!$I$7,F234)))*(IF(Upgrades!$T$6="Asteroid Belt",POWER(Upgrades!$U$6,E234),1)*IF(Upgrades!$T$8="Asteroid Belt",POWER(Upgrades!$U$8,G234),1)*IF(Upgrades!$T$9="Asteroid Belt",POWER(Upgrades!$U$9,H234),1)*IF(Upgrades!$T$10="Asteroid Belt",POWER(Upgrades!$U$10,I234),1)*IF(Upgrades!$T$11="Asteroid Belt",POWER(Upgrades!$U$11,J234),1)*IF(Upgrades!$T$12="Asteroid Belt",POWER(Upgrades!$U$12,K234),1))*POWER(Upgrades!$P$6,E234)*POWER(Upgrades!$P$7,F234)*POWER(Upgrades!$P$8,G234)*POWER(Upgrades!$P$9,H234)*POWER(Upgrades!$P$10,I234)*POWER(Upgrades!$P$11,J234)*POWER(Upgrades!$P$12,K234)*60</f>
        <v/>
      </c>
      <c r="AC234" s="27">
        <f>(IF(G234=0,0,(Upgrades!$J$8+G234*Upgrades!$K$8)*POWER(Upgrades!$L$8,G234)))*(IF(Upgrades!$T$6="Stellar Coupling",POWER(Upgrades!$U$6,E234),1)*IF(Upgrades!$T$7="Stellar Coupling",POWER(Upgrades!$U$7,F234),1)*IF(Upgrades!$T$9="Stellar Coupling",POWER(Upgrades!$U$9,H234),1)*IF(Upgrades!$T$10="Stellar Coupling",POWER(Upgrades!$U$10,I234),1)*IF(Upgrades!$T$11="Stellar Coupling",POWER(Upgrades!$U$11,J234),1)*IF(Upgrades!$T$12="Stellar Coupling",POWER(Upgrades!$U$12,K234),1))*POWER(Upgrades!$Q$6,E234)*POWER(Upgrades!$Q$7,F234)*POWER(Upgrades!$Q$8,G234)*POWER(Upgrades!$Q$9,H234)*POWER(Upgrades!$Q$10,I234)*POWER(Upgrades!$Q$11,J234)*POWER(Upgrades!$Q$12,K234)*Parameters!$B$10*Parameters!$B$11</f>
        <v/>
      </c>
      <c r="AD234" s="27">
        <f>(IF(H234=0,0,(Upgrades!$G$9+H234*Upgrades!$H$9)*POWER(Upgrades!$I$9,H234)))*(IF(Upgrades!$T$6="Magnetosphere",POWER(Upgrades!$U$6,E234),1)*IF(Upgrades!$T$7="Magnetosphere",POWER(Upgrades!$U$7,F234),1)*IF(Upgrades!$T$8="Magnetosphere",POWER(Upgrades!$U$8,G234),1)*IF(Upgrades!$T$10="Magnetosphere",POWER(Upgrades!$U$10,I234),1)*IF(Upgrades!$T$11="Magnetosphere",POWER(Upgrades!$U$11,J234),1)*IF(Upgrades!$T$12="Magnetosphere",POWER(Upgrades!$U$12,K234),1))*POWER(Upgrades!$P$6,E234)*POWER(Upgrades!$P$7,F234)*POWER(Upgrades!$P$8,G234)*POWER(Upgrades!$P$9,H234)*POWER(Upgrades!$P$10,I234)*POWER(Upgrades!$P$11,J234)*POWER(Upgrades!$P$12,K234)*60</f>
        <v/>
      </c>
      <c r="AE234" s="27">
        <f>(IF(K234=0,0,(Upgrades!$G$12+K234*Upgrades!$H$12)*POWER(Upgrades!$I$12,K234)))*(IF(Upgrades!$T$6="First Photons",POWER(Upgrades!$U$6,E234),1)*IF(Upgrades!$T$7="First Photons",POWER(Upgrades!$U$7,F234),1)*IF(Upgrades!$T$8="First Photons",POWER(Upgrades!$U$8,G234),1)*IF(Upgrades!$T$9="First Photons",POWER(Upgrades!$U$9,H234),1)*IF(Upgrades!$T$10="First Photons",POWER(Upgrades!$U$10,I234),1)*IF(Upgrades!$T$11="First Photons",POWER(Upgrades!$U$11,J234),1))*POWER(Upgrades!$P$6,E234)*POWER(Upgrades!$P$7,F234)*POWER(Upgrades!$P$8,G234)*POWER(Upgrades!$P$9,H234)*POWER(Upgrades!$P$10,I234)*POWER(Upgrades!$P$11,J234)*POWER(Upgrades!$P$12,K234)*60</f>
        <v/>
      </c>
      <c r="AF234" s="27">
        <f>Parameters!$B$9*POWER(Upgrades!$Q$6,E234)*POWER(Upgrades!$Q$7,F234)*POWER(Upgrades!$Q$8,G234)*POWER(Upgrades!$Q$9,H234)*POWER(Upgrades!$Q$10,I234)*POWER(Upgrades!$Q$11,J234)*POWER(Upgrades!$Q$12,K234)*(Parameters!$B$10*Parameters!$B$11+O234*60)</f>
        <v/>
      </c>
      <c r="AG234" s="22">
        <f>IF(E234&gt;=Upgrades!$E$6,"",Upgrades!$C$6*POWER(Upgrades!$D$6,E234))</f>
        <v/>
      </c>
      <c r="AH234" s="22">
        <f>IF(F234&gt;=Upgrades!$E$7,"",Upgrades!$C$7*POWER(Upgrades!$D$7,F234))</f>
        <v/>
      </c>
      <c r="AI234" s="22">
        <f>IF(G234&gt;=Upgrades!$E$8,"",Upgrades!$C$8*POWER(Upgrades!$D$8,G234))</f>
        <v/>
      </c>
      <c r="AJ234" s="22">
        <f>IF(H234&gt;=Upgrades!$E$9,"",Upgrades!$C$9*POWER(Upgrades!$D$9,H234))</f>
        <v/>
      </c>
      <c r="AK234" s="22">
        <f>IF(I234&gt;=Upgrades!$E$10,"",Upgrades!$C$10*POWER(Upgrades!$D$10,I234))</f>
        <v/>
      </c>
      <c r="AL234" s="22">
        <f>IF(J234&gt;=Upgrades!$E$11,"",Upgrades!$C$11*POWER(Upgrades!$D$11,J234))</f>
        <v/>
      </c>
      <c r="AM234" s="22">
        <f>IF(K234&gt;=Upgrades!$E$12,"",Upgrades!$C$12*POWER(Upgrades!$D$12,K234))</f>
        <v/>
      </c>
      <c r="AN234" s="26">
        <f>IF(AND(D234&gt;=Parameters!$B$18,(H234&gt;=Upgrades!$E$9)*(K234&gt;=Upgrades!$E$12)=1,L234=0),1,"")</f>
        <v/>
      </c>
      <c r="AO234" s="26">
        <f>IF(AND(D234&gt;=Parameters!$B$18,L234=0),1,"")</f>
        <v/>
      </c>
      <c r="AP234" s="22">
        <f>MIN(IF(ISNUMBER(AK234),AK234,9E15),IF(ISNUMBER(AL234),AL234,9E15),IF(ISNUMBER(AM234),AM234,9E15))</f>
        <v/>
      </c>
      <c r="AQ234" s="22">
        <f>MIN(IF(ISNUMBER(AG234),AG234,9E15),IF(ISNUMBER(AH234),AH234,9E15),IF(ISNUMBER(AI234),AI234,9E15),IF(ISNUMBER(AJ234),AJ234,9E15))</f>
        <v/>
      </c>
      <c r="AR234" s="29">
        <f>IF(AW234&gt;Parameters!$B$21*(MAX(IF(AND(NOT(AND(AO234=1,AN234&lt;&gt;1)),ISNUMBER(AG234),AG234&lt;=T234),AS234,0),IF(AND(NOT(AND(AO234=1,AN234&lt;&gt;1)),ISNUMBER(AH234),AH234&lt;=T234),AT234,0),IF(AND(NOT(AND(AO234=1,AN234&lt;&gt;1)),ISNUMBER(AI234),AI234&lt;=T234),AU234,0),IF(AND(ISNUMBER(AJ234),AJ234&lt;=T234),AV234,0))),TRUE,FALSE)</f>
        <v/>
      </c>
      <c r="AS234" s="32">
        <f>IFERROR(Upgrades!$H$6*(POWER(Upgrades!$P$6,E234)*POWER(Upgrades!$P$7,F234)*POWER(Upgrades!$P$8,G234)*POWER(Upgrades!$P$9,H234)*POWER(Upgrades!$P$10,I234)*POWER(Upgrades!$P$11,J234)*POWER(Upgrades!$P$12,K234))*(IF(Upgrades!$T$7="Solar Wind",POWER(Upgrades!$U$7,F234),1)*IF(Upgrades!$T$8="Solar Wind",POWER(Upgrades!$U$8,G234),1)*IF(Upgrades!$T$9="Solar Wind",POWER(Upgrades!$U$9,H234),1)*IF(Upgrades!$T$10="Solar Wind",POWER(Upgrades!$U$10,I234),1)*IF(Upgrades!$T$11="Solar Wind",POWER(Upgrades!$U$11,J234),1)*IF(Upgrades!$T$12="Solar Wind",POWER(Upgrades!$U$12,K234),1))/AG234,0)</f>
        <v/>
      </c>
      <c r="AT234" s="32">
        <f>IFERROR(Upgrades!$H$7*(POWER(Upgrades!$P$6,E234)*POWER(Upgrades!$P$7,F234)*POWER(Upgrades!$P$8,G234)*POWER(Upgrades!$P$9,H234)*POWER(Upgrades!$P$10,I234)*POWER(Upgrades!$P$11,J234)*POWER(Upgrades!$P$12,K234))*(IF(Upgrades!$T$6="Asteroid Belt",POWER(Upgrades!$U$6,E234),1)*IF(Upgrades!$T$8="Asteroid Belt",POWER(Upgrades!$U$8,G234),1)*IF(Upgrades!$T$9="Asteroid Belt",POWER(Upgrades!$U$9,H234),1)*IF(Upgrades!$T$10="Asteroid Belt",POWER(Upgrades!$U$10,I234),1)*IF(Upgrades!$T$11="Asteroid Belt",POWER(Upgrades!$U$11,J234),1)*IF(Upgrades!$T$12="Asteroid Belt",POWER(Upgrades!$U$12,K234),1))/AH234,0)</f>
        <v/>
      </c>
      <c r="AU234" s="32">
        <f>IFERROR(Upgrades!$K$8*(POWER(Upgrades!$Q$6,E234)*POWER(Upgrades!$Q$7,F234)*POWER(Upgrades!$Q$8,G234)*POWER(Upgrades!$Q$9,H234)*POWER(Upgrades!$Q$10,I234)*POWER(Upgrades!$Q$11,J234)*POWER(Upgrades!$Q$12,K234))*(IF(Upgrades!$T$6="Stellar Coupling",POWER(Upgrades!$U$6,E234),1)*IF(Upgrades!$T$7="Stellar Coupling",POWER(Upgrades!$U$7,F234),1)*IF(Upgrades!$T$9="Stellar Coupling",POWER(Upgrades!$U$9,H234),1)*IF(Upgrades!$T$10="Stellar Coupling",POWER(Upgrades!$U$10,I234),1)*IF(Upgrades!$T$11="Stellar Coupling",POWER(Upgrades!$U$11,J234),1)*IF(Upgrades!$T$12="Stellar Coupling",POWER(Upgrades!$U$12,K234),1))*Parameters!$B$10*Parameters!$B$11/60/AI234,0)</f>
        <v/>
      </c>
      <c r="AV234" s="32">
        <f>IFERROR(Upgrades!$H$9*(POWER(Upgrades!$P$6,E234)*POWER(Upgrades!$P$7,F234)*POWER(Upgrades!$P$8,G234)*POWER(Upgrades!$P$9,H234)*POWER(Upgrades!$P$10,I234)*POWER(Upgrades!$P$11,J234)*POWER(Upgrades!$P$12,K234))*(IF(Upgrades!$T$6="Magnetosphere",POWER(Upgrades!$U$6,E234),1)*IF(Upgrades!$T$7="Magnetosphere",POWER(Upgrades!$U$7,F234),1)*IF(Upgrades!$T$8="Magnetosphere",POWER(Upgrades!$U$8,G234),1)*IF(Upgrades!$T$10="Magnetosphere",POWER(Upgrades!$U$10,I234),1)*IF(Upgrades!$T$11="Magnetosphere",POWER(Upgrades!$U$11,J234),1)*IF(Upgrades!$T$12="Magnetosphere",POWER(Upgrades!$U$12,K234),1))/AJ234,0)</f>
        <v/>
      </c>
      <c r="AW234" s="32">
        <f>MAX(IF(I234&gt;0,0,IFERROR(0.25*N234/Upgrades!$C$10,0)),IF(J234&gt;0,0,IFERROR(0.5*((IF(G234=0,0,(Upgrades!$J$8+G234*Upgrades!$K$8)*POWER(Upgrades!$L$8,G234)))*(IF(Upgrades!$T$6="Stellar Coupling",POWER(Upgrades!$U$6,E234),1)*IF(Upgrades!$T$7="Stellar Coupling",POWER(Upgrades!$U$7,F234),1)*IF(Upgrades!$T$9="Stellar Coupling",POWER(Upgrades!$U$9,H234),1)*IF(Upgrades!$T$10="Stellar Coupling",POWER(Upgrades!$U$10,I234),1)*IF(Upgrades!$T$11="Stellar Coupling",POWER(Upgrades!$U$11,J234),1)*IF(Upgrades!$T$12="Stellar Coupling",POWER(Upgrades!$U$12,K234),1))*(POWER(Upgrades!$Q$6,E234)*POWER(Upgrades!$Q$7,F234)*POWER(Upgrades!$Q$8,G234)*POWER(Upgrades!$Q$9,H234)*POWER(Upgrades!$Q$10,I234)*POWER(Upgrades!$Q$11,J234)*POWER(Upgrades!$Q$12,K234))*Parameters!$B$10*Parameters!$B$11/60)/Upgrades!$C$11,0)),IF(K234&gt;0,0,IFERROR((1.0*(POWER(Upgrades!$P$6,E234)*POWER(Upgrades!$P$7,F234)*POWER(Upgrades!$P$8,G234)*POWER(Upgrades!$P$9,H234)*POWER(Upgrades!$P$10,I234)*POWER(Upgrades!$P$11,J234)*POWER(Upgrades!$P$12,K234))+0.20*M234*Parameters!$B$10*Parameters!$B$11/60)/Upgrades!$C$12,0)),IF(AND(ISNUMBER(AG234),AG234&gt;T234),AS234,0),IF(AND(ISNUMBER(AH234),AH234&gt;T234),AT234,0),IF(AND(ISNUMBER(AI234),AI234&gt;T234),AU234,0),IF(AND(ISNUMBER(AJ234),AJ234&gt;T234),AV234,0))</f>
        <v/>
      </c>
      <c r="AX234" s="29">
        <f>IF(AN234=1,"transition",IF(MIN(IF(AND(I234=0,ISNUMBER(AK234),AK234&lt;=T234),AK234,9E15),IF(AND(J234=0,ISNUMBER(AL234),AL234&lt;=T234),AL234,9E15),IF(AND(K234=0,ISNUMBER(AM234),AM234&lt;=T234),AM234,9E15))&lt;9E15,IF(AND(AND(I234=0,ISNUMBER(AK234),AK234&lt;=T234),AK234=MIN(IF(AND(I234=0,ISNUMBER(AK234),AK234&lt;=T234),AK234,9E15),IF(AND(J234=0,ISNUMBER(AL234),AL234&lt;=T234),AL234,9E15),IF(AND(K234=0,ISNUMBER(AM234),AM234&lt;=T234),AM234,9E15))),"OR",IF(AND(AND(J234=0,ISNUMBER(AL234),AL234&lt;=T234),AL234=MIN(IF(AND(I234=0,ISNUMBER(AK234),AK234&lt;=T234),AK234,9E15),IF(AND(J234=0,ISNUMBER(AL234),AL234&lt;=T234),AL234,9E15),IF(AND(K234=0,ISNUMBER(AM234),AM234&lt;=T234),AM234,9E15))),"HP","FP")),IF(AR234=TRUE,"",IF(MAX(IF(AND(NOT(AND(AO234=1,AN234&lt;&gt;1)),ISNUMBER(AG234),AG234&lt;=T234),AS234,0),IF(AND(NOT(AND(AO234=1,AN234&lt;&gt;1)),ISNUMBER(AH234),AH234&lt;=T234),AT234,0),IF(AND(NOT(AND(AO234=1,AN234&lt;&gt;1)),ISNUMBER(AI234),AI234&lt;=T234),AU234,0),IF(AND(ISNUMBER(AJ234),AJ234&lt;=T234),AV234,0))&lt;=0,"",IF(AND(IF(AND(NOT(AND(AO234=1,AN234&lt;&gt;1)),ISNUMBER(AG234),AG234&lt;=T234),AS234,0)&gt;0,IF(AND(NOT(AND(AO234=1,AN234&lt;&gt;1)),ISNUMBER(AG234),AG234&lt;=T234),AS234,0)=MAX(IF(AND(NOT(AND(AO234=1,AN234&lt;&gt;1)),ISNUMBER(AG234),AG234&lt;=T234),AS234,0),IF(AND(NOT(AND(AO234=1,AN234&lt;&gt;1)),ISNUMBER(AH234),AH234&lt;=T234),AT234,0),IF(AND(NOT(AND(AO234=1,AN234&lt;&gt;1)),ISNUMBER(AI234),AI234&lt;=T234),AU234,0),IF(AND(ISNUMBER(AJ234),AJ234&lt;=T234),AV234,0))),"SW",IF(AND(IF(AND(NOT(AND(AO234=1,AN234&lt;&gt;1)),ISNUMBER(AH234),AH234&lt;=T234),AT234,0)&gt;0,IF(AND(NOT(AND(AO234=1,AN234&lt;&gt;1)),ISNUMBER(AH234),AH234&lt;=T234),AT234,0)=MAX(IF(AND(NOT(AND(AO234=1,AN234&lt;&gt;1)),ISNUMBER(AG234),AG234&lt;=T234),AS234,0),IF(AND(NOT(AND(AO234=1,AN234&lt;&gt;1)),ISNUMBER(AH234),AH234&lt;=T234),AT234,0),IF(AND(NOT(AND(AO234=1,AN234&lt;&gt;1)),ISNUMBER(AI234),AI234&lt;=T234),AU234,0),IF(AND(ISNUMBER(AJ234),AJ234&lt;=T234),AV234,0))),"AB",IF(AND(IF(AND(NOT(AND(AO234=1,AN234&lt;&gt;1)),ISNUMBER(AI234),AI234&lt;=T234),AU234,0)&gt;0,IF(AND(NOT(AND(AO234=1,AN234&lt;&gt;1)),ISNUMBER(AI234),AI234&lt;=T234),AU234,0)=MAX(IF(AND(NOT(AND(AO234=1,AN234&lt;&gt;1)),ISNUMBER(AG234),AG234&lt;=T234),AS234,0),IF(AND(NOT(AND(AO234=1,AN234&lt;&gt;1)),ISNUMBER(AH234),AH234&lt;=T234),AT234,0),IF(AND(NOT(AND(AO234=1,AN234&lt;&gt;1)),ISNUMBER(AI234),AI234&lt;=T234),AU234,0),IF(AND(ISNUMBER(AJ234),AJ234&lt;=T234),AV234,0))),"SC","Mag")))))))</f>
        <v/>
      </c>
    </row>
    <row r="235">
      <c r="A235" s="26" t="n">
        <v>230</v>
      </c>
      <c r="B235" s="27">
        <f>A235*10/60</f>
        <v/>
      </c>
      <c r="C235" s="22">
        <f>X234</f>
        <v/>
      </c>
      <c r="D235" s="27">
        <f>D234+W234</f>
        <v/>
      </c>
      <c r="E235" s="26">
        <f>E234+IF(U234="SW",1,0)</f>
        <v/>
      </c>
      <c r="F235" s="26">
        <f>F234+IF(U234="AB",1,0)</f>
        <v/>
      </c>
      <c r="G235" s="26">
        <f>G234+IF(U234="SC",1,0)</f>
        <v/>
      </c>
      <c r="H235" s="26">
        <f>H234+IF(U234="Mag",1,0)</f>
        <v/>
      </c>
      <c r="I235" s="26">
        <f>MAX(I234,IF(U234="OR",1,0))</f>
        <v/>
      </c>
      <c r="J235" s="26">
        <f>MAX(J234,IF(U234="HP",1,0))</f>
        <v/>
      </c>
      <c r="K235" s="26">
        <f>MAX(K234,IF(U234="FP",1,0))</f>
        <v/>
      </c>
      <c r="L235" s="26">
        <f>MAX(L234,IF(U234="transition",1,0))</f>
        <v/>
      </c>
      <c r="M235" s="28">
        <f>(Parameters!$B$9+(IF(E235=0,0,(Upgrades!$J$6+E235*Upgrades!$K$6)*POWER(Upgrades!$L$6,E235)))*(IF(Upgrades!$T$7="Solar Wind",POWER(Upgrades!$U$7,F235),1)*IF(Upgrades!$T$8="Solar Wind",POWER(Upgrades!$U$8,G235),1)*IF(Upgrades!$T$9="Solar Wind",POWER(Upgrades!$U$9,H235),1)*IF(Upgrades!$T$10="Solar Wind",POWER(Upgrades!$U$10,I235),1)*IF(Upgrades!$T$11="Solar Wind",POWER(Upgrades!$U$11,J235),1)*IF(Upgrades!$T$12="Solar Wind",POWER(Upgrades!$U$12,K235),1))+(IF(F235=0,0,(Upgrades!$J$7+F235*Upgrades!$K$7)*POWER(Upgrades!$L$7,F235)))*(IF(Upgrades!$T$6="Asteroid Belt",POWER(Upgrades!$U$6,E235),1)*IF(Upgrades!$T$8="Asteroid Belt",POWER(Upgrades!$U$8,G235),1)*IF(Upgrades!$T$9="Asteroid Belt",POWER(Upgrades!$U$9,H235),1)*IF(Upgrades!$T$10="Asteroid Belt",POWER(Upgrades!$U$10,I235),1)*IF(Upgrades!$T$11="Asteroid Belt",POWER(Upgrades!$U$11,J235),1)*IF(Upgrades!$T$12="Asteroid Belt",POWER(Upgrades!$U$12,K235),1))+(IF(G235=0,0,(Upgrades!$J$8+G235*Upgrades!$K$8)*POWER(Upgrades!$L$8,G235)))*(IF(Upgrades!$T$6="Stellar Coupling",POWER(Upgrades!$U$6,E235),1)*IF(Upgrades!$T$7="Stellar Coupling",POWER(Upgrades!$U$7,F235),1)*IF(Upgrades!$T$9="Stellar Coupling",POWER(Upgrades!$U$9,H235),1)*IF(Upgrades!$T$10="Stellar Coupling",POWER(Upgrades!$U$10,I235),1)*IF(Upgrades!$T$11="Stellar Coupling",POWER(Upgrades!$U$11,J235),1)*IF(Upgrades!$T$12="Stellar Coupling",POWER(Upgrades!$U$12,K235),1))+(IF(H235=0,0,(Upgrades!$J$9+H235*Upgrades!$K$9)*POWER(Upgrades!$L$9,H235)))*(IF(Upgrades!$T$6="Magnetosphere",POWER(Upgrades!$U$6,E235),1)*IF(Upgrades!$T$7="Magnetosphere",POWER(Upgrades!$U$7,F235),1)*IF(Upgrades!$T$8="Magnetosphere",POWER(Upgrades!$U$8,G235),1)*IF(Upgrades!$T$10="Magnetosphere",POWER(Upgrades!$U$10,I235),1)*IF(Upgrades!$T$11="Magnetosphere",POWER(Upgrades!$U$11,J235),1)*IF(Upgrades!$T$12="Magnetosphere",POWER(Upgrades!$U$12,K235),1))+(IF(I235=0,0,(Upgrades!$J$10+I235*Upgrades!$K$10)*POWER(Upgrades!$L$10,I235)))*(IF(Upgrades!$T$6="Orbital Resonance",POWER(Upgrades!$U$6,E235),1)*IF(Upgrades!$T$7="Orbital Resonance",POWER(Upgrades!$U$7,F235),1)*IF(Upgrades!$T$8="Orbital Resonance",POWER(Upgrades!$U$8,G235),1)*IF(Upgrades!$T$9="Orbital Resonance",POWER(Upgrades!$U$9,H235),1)*IF(Upgrades!$T$11="Orbital Resonance",POWER(Upgrades!$U$11,J235),1)*IF(Upgrades!$T$12="Orbital Resonance",POWER(Upgrades!$U$12,K235),1))+(IF(J235=0,0,(Upgrades!$J$11+J235*Upgrades!$K$11)*POWER(Upgrades!$L$11,J235)))*(IF(Upgrades!$T$6="Heliopause",POWER(Upgrades!$U$6,E235),1)*IF(Upgrades!$T$7="Heliopause",POWER(Upgrades!$U$7,F235),1)*IF(Upgrades!$T$8="Heliopause",POWER(Upgrades!$U$8,G235),1)*IF(Upgrades!$T$9="Heliopause",POWER(Upgrades!$U$9,H235),1)*IF(Upgrades!$T$10="Heliopause",POWER(Upgrades!$U$10,I235),1)*IF(Upgrades!$T$12="Heliopause",POWER(Upgrades!$U$12,K235),1))+(IF(K235=0,0,(Upgrades!$J$12+K235*Upgrades!$K$12)*POWER(Upgrades!$L$12,K235)))*(IF(Upgrades!$T$6="First Photons",POWER(Upgrades!$U$6,E235),1)*IF(Upgrades!$T$7="First Photons",POWER(Upgrades!$U$7,F235),1)*IF(Upgrades!$T$8="First Photons",POWER(Upgrades!$U$8,G235),1)*IF(Upgrades!$T$9="First Photons",POWER(Upgrades!$U$9,H235),1)*IF(Upgrades!$T$10="First Photons",POWER(Upgrades!$U$10,I235),1)*IF(Upgrades!$T$11="First Photons",POWER(Upgrades!$U$11,J235),1)))*POWER(Upgrades!$Q$6,E235)*POWER(Upgrades!$Q$7,F235)*POWER(Upgrades!$Q$8,G235)*POWER(Upgrades!$Q$9,H235)*POWER(Upgrades!$Q$10,I235)*POWER(Upgrades!$Q$11,J235)*POWER(Upgrades!$Q$12,K235)</f>
        <v/>
      </c>
      <c r="N235" s="28">
        <f>((IF(E235=0,0,(Upgrades!$G$6+E235*Upgrades!$H$6)*POWER(Upgrades!$I$6,E235)))*(IF(Upgrades!$T$7="Solar Wind",POWER(Upgrades!$U$7,F235),1)*IF(Upgrades!$T$8="Solar Wind",POWER(Upgrades!$U$8,G235),1)*IF(Upgrades!$T$9="Solar Wind",POWER(Upgrades!$U$9,H235),1)*IF(Upgrades!$T$10="Solar Wind",POWER(Upgrades!$U$10,I235),1)*IF(Upgrades!$T$11="Solar Wind",POWER(Upgrades!$U$11,J235),1)*IF(Upgrades!$T$12="Solar Wind",POWER(Upgrades!$U$12,K235),1))+(IF(F235=0,0,(Upgrades!$G$7+F235*Upgrades!$H$7)*POWER(Upgrades!$I$7,F235)))*(IF(Upgrades!$T$6="Asteroid Belt",POWER(Upgrades!$U$6,E235),1)*IF(Upgrades!$T$8="Asteroid Belt",POWER(Upgrades!$U$8,G235),1)*IF(Upgrades!$T$9="Asteroid Belt",POWER(Upgrades!$U$9,H235),1)*IF(Upgrades!$T$10="Asteroid Belt",POWER(Upgrades!$U$10,I235),1)*IF(Upgrades!$T$11="Asteroid Belt",POWER(Upgrades!$U$11,J235),1)*IF(Upgrades!$T$12="Asteroid Belt",POWER(Upgrades!$U$12,K235),1))+(IF(G235=0,0,(Upgrades!$G$8+G235*Upgrades!$H$8)*POWER(Upgrades!$I$8,G235)))*(IF(Upgrades!$T$6="Stellar Coupling",POWER(Upgrades!$U$6,E235),1)*IF(Upgrades!$T$7="Stellar Coupling",POWER(Upgrades!$U$7,F235),1)*IF(Upgrades!$T$9="Stellar Coupling",POWER(Upgrades!$U$9,H235),1)*IF(Upgrades!$T$10="Stellar Coupling",POWER(Upgrades!$U$10,I235),1)*IF(Upgrades!$T$11="Stellar Coupling",POWER(Upgrades!$U$11,J235),1)*IF(Upgrades!$T$12="Stellar Coupling",POWER(Upgrades!$U$12,K235),1))+(IF(H235=0,0,(Upgrades!$G$9+H235*Upgrades!$H$9)*POWER(Upgrades!$I$9,H235)))*(IF(Upgrades!$T$6="Magnetosphere",POWER(Upgrades!$U$6,E235),1)*IF(Upgrades!$T$7="Magnetosphere",POWER(Upgrades!$U$7,F235),1)*IF(Upgrades!$T$8="Magnetosphere",POWER(Upgrades!$U$8,G235),1)*IF(Upgrades!$T$10="Magnetosphere",POWER(Upgrades!$U$10,I235),1)*IF(Upgrades!$T$11="Magnetosphere",POWER(Upgrades!$U$11,J235),1)*IF(Upgrades!$T$12="Magnetosphere",POWER(Upgrades!$U$12,K235),1))+(IF(I235=0,0,(Upgrades!$G$10+I235*Upgrades!$H$10)*POWER(Upgrades!$I$10,I235)))*(IF(Upgrades!$T$6="Orbital Resonance",POWER(Upgrades!$U$6,E235),1)*IF(Upgrades!$T$7="Orbital Resonance",POWER(Upgrades!$U$7,F235),1)*IF(Upgrades!$T$8="Orbital Resonance",POWER(Upgrades!$U$8,G235),1)*IF(Upgrades!$T$9="Orbital Resonance",POWER(Upgrades!$U$9,H235),1)*IF(Upgrades!$T$11="Orbital Resonance",POWER(Upgrades!$U$11,J235),1)*IF(Upgrades!$T$12="Orbital Resonance",POWER(Upgrades!$U$12,K235),1))+(IF(J235=0,0,(Upgrades!$G$11+J235*Upgrades!$H$11)*POWER(Upgrades!$I$11,J235)))*(IF(Upgrades!$T$6="Heliopause",POWER(Upgrades!$U$6,E235),1)*IF(Upgrades!$T$7="Heliopause",POWER(Upgrades!$U$7,F235),1)*IF(Upgrades!$T$8="Heliopause",POWER(Upgrades!$U$8,G235),1)*IF(Upgrades!$T$9="Heliopause",POWER(Upgrades!$U$9,H235),1)*IF(Upgrades!$T$10="Heliopause",POWER(Upgrades!$U$10,I235),1)*IF(Upgrades!$T$12="Heliopause",POWER(Upgrades!$U$12,K235),1))+(IF(K235=0,0,(Upgrades!$G$12+K235*Upgrades!$H$12)*POWER(Upgrades!$I$12,K235)))*(IF(Upgrades!$T$6="First Photons",POWER(Upgrades!$U$6,E235),1)*IF(Upgrades!$T$7="First Photons",POWER(Upgrades!$U$7,F235),1)*IF(Upgrades!$T$8="First Photons",POWER(Upgrades!$U$8,G235),1)*IF(Upgrades!$T$9="First Photons",POWER(Upgrades!$U$9,H235),1)*IF(Upgrades!$T$10="First Photons",POWER(Upgrades!$U$10,I235),1)*IF(Upgrades!$T$11="First Photons",POWER(Upgrades!$U$11,J235),1)))*POWER(Upgrades!$P$6,E235)*POWER(Upgrades!$P$7,F235)*POWER(Upgrades!$P$8,G235)*POWER(Upgrades!$P$9,H235)*POWER(Upgrades!$P$10,I235)*POWER(Upgrades!$P$11,J235)*POWER(Upgrades!$P$12,K235)</f>
        <v/>
      </c>
      <c r="O235" s="28">
        <f>((IF(E235=0,0,(Upgrades!$M$6+E235*Upgrades!$N$6)*POWER(Upgrades!$O$6,E235)))*(IF(Upgrades!$T$7="Solar Wind",POWER(Upgrades!$U$7,F235),1)*IF(Upgrades!$T$8="Solar Wind",POWER(Upgrades!$U$8,G235),1)*IF(Upgrades!$T$9="Solar Wind",POWER(Upgrades!$U$9,H235),1)*IF(Upgrades!$T$10="Solar Wind",POWER(Upgrades!$U$10,I235),1)*IF(Upgrades!$T$11="Solar Wind",POWER(Upgrades!$U$11,J235),1)*IF(Upgrades!$T$12="Solar Wind",POWER(Upgrades!$U$12,K235),1))+(IF(F235=0,0,(Upgrades!$M$7+F235*Upgrades!$N$7)*POWER(Upgrades!$O$7,F235)))*(IF(Upgrades!$T$6="Asteroid Belt",POWER(Upgrades!$U$6,E235),1)*IF(Upgrades!$T$8="Asteroid Belt",POWER(Upgrades!$U$8,G235),1)*IF(Upgrades!$T$9="Asteroid Belt",POWER(Upgrades!$U$9,H235),1)*IF(Upgrades!$T$10="Asteroid Belt",POWER(Upgrades!$U$10,I235),1)*IF(Upgrades!$T$11="Asteroid Belt",POWER(Upgrades!$U$11,J235),1)*IF(Upgrades!$T$12="Asteroid Belt",POWER(Upgrades!$U$12,K235),1))+(IF(G235=0,0,(Upgrades!$M$8+G235*Upgrades!$N$8)*POWER(Upgrades!$O$8,G235)))*(IF(Upgrades!$T$6="Stellar Coupling",POWER(Upgrades!$U$6,E235),1)*IF(Upgrades!$T$7="Stellar Coupling",POWER(Upgrades!$U$7,F235),1)*IF(Upgrades!$T$9="Stellar Coupling",POWER(Upgrades!$U$9,H235),1)*IF(Upgrades!$T$10="Stellar Coupling",POWER(Upgrades!$U$10,I235),1)*IF(Upgrades!$T$11="Stellar Coupling",POWER(Upgrades!$U$11,J235),1)*IF(Upgrades!$T$12="Stellar Coupling",POWER(Upgrades!$U$12,K235),1))+(IF(H235=0,0,(Upgrades!$M$9+H235*Upgrades!$N$9)*POWER(Upgrades!$O$9,H235)))*(IF(Upgrades!$T$6="Magnetosphere",POWER(Upgrades!$U$6,E235),1)*IF(Upgrades!$T$7="Magnetosphere",POWER(Upgrades!$U$7,F235),1)*IF(Upgrades!$T$8="Magnetosphere",POWER(Upgrades!$U$8,G235),1)*IF(Upgrades!$T$10="Magnetosphere",POWER(Upgrades!$U$10,I235),1)*IF(Upgrades!$T$11="Magnetosphere",POWER(Upgrades!$U$11,J235),1)*IF(Upgrades!$T$12="Magnetosphere",POWER(Upgrades!$U$12,K235),1))+(IF(I235=0,0,(Upgrades!$M$10+I235*Upgrades!$N$10)*POWER(Upgrades!$O$10,I235)))*(IF(Upgrades!$T$6="Orbital Resonance",POWER(Upgrades!$U$6,E235),1)*IF(Upgrades!$T$7="Orbital Resonance",POWER(Upgrades!$U$7,F235),1)*IF(Upgrades!$T$8="Orbital Resonance",POWER(Upgrades!$U$8,G235),1)*IF(Upgrades!$T$9="Orbital Resonance",POWER(Upgrades!$U$9,H235),1)*IF(Upgrades!$T$11="Orbital Resonance",POWER(Upgrades!$U$11,J235),1)*IF(Upgrades!$T$12="Orbital Resonance",POWER(Upgrades!$U$12,K235),1))+(IF(J235=0,0,(Upgrades!$M$11+J235*Upgrades!$N$11)*POWER(Upgrades!$O$11,J235)))*(IF(Upgrades!$T$6="Heliopause",POWER(Upgrades!$U$6,E235),1)*IF(Upgrades!$T$7="Heliopause",POWER(Upgrades!$U$7,F235),1)*IF(Upgrades!$T$8="Heliopause",POWER(Upgrades!$U$8,G235),1)*IF(Upgrades!$T$9="Heliopause",POWER(Upgrades!$U$9,H235),1)*IF(Upgrades!$T$10="Heliopause",POWER(Upgrades!$U$10,I235),1)*IF(Upgrades!$T$12="Heliopause",POWER(Upgrades!$U$12,K235),1))+(IF(K235=0,0,(Upgrades!$M$12+K235*Upgrades!$N$12)*POWER(Upgrades!$O$12,K235)))*(IF(Upgrades!$T$6="First Photons",POWER(Upgrades!$U$6,E235),1)*IF(Upgrades!$T$7="First Photons",POWER(Upgrades!$U$7,F235),1)*IF(Upgrades!$T$8="First Photons",POWER(Upgrades!$U$8,G235),1)*IF(Upgrades!$T$9="First Photons",POWER(Upgrades!$U$9,H235),1)*IF(Upgrades!$T$10="First Photons",POWER(Upgrades!$U$10,I235),1)*IF(Upgrades!$T$11="First Photons",POWER(Upgrades!$U$11,J235),1)))*POWER(Upgrades!$R$6,E235)*POWER(Upgrades!$R$7,F235)*POWER(Upgrades!$R$8,G235)*POWER(Upgrades!$R$9,H235)*POWER(Upgrades!$R$10,I235)*POWER(Upgrades!$R$11,J235)*POWER(Upgrades!$R$12,K235)</f>
        <v/>
      </c>
      <c r="P235" s="27">
        <f>IF(L235=1,0,M235*Parameters!$B$10/60*Parameters!$B$11*10)</f>
        <v/>
      </c>
      <c r="Q235" s="27">
        <f>IF(L235=1,0,O235*M235*10)</f>
        <v/>
      </c>
      <c r="R235" s="27">
        <f>IF(L235=1,0,N235*10)</f>
        <v/>
      </c>
      <c r="S235" s="27">
        <f>P235+Q235+R235</f>
        <v/>
      </c>
      <c r="T235" s="22">
        <f>C235+S235</f>
        <v/>
      </c>
      <c r="U235" s="33">
        <f>AX235</f>
        <v/>
      </c>
      <c r="V235" s="22">
        <f>IF(U235="",0,IF(U235="transition",0,IF(U235="SW",AG235,IF(U235="AB",AH235,IF(U235="SC",AI235,IF(U235="Mag",AJ235,IF(U235="OR",AK235,IF(U235="HP",AL235,IF(U235="FP",AM235,0)))))))))</f>
        <v/>
      </c>
      <c r="W235" s="27">
        <f>IF(U235="OR",Upgrades!$F$10,IF(U235="HP",Upgrades!$F$11,IF(U235="transition",-Parameters!$B$18,0)))</f>
        <v/>
      </c>
      <c r="X235" s="22">
        <f>T235-V235</f>
        <v/>
      </c>
      <c r="Y235" s="30">
        <f>M235*Parameters!$B$10/60*Parameters!$B$11+O235*M235+N235</f>
        <v/>
      </c>
      <c r="Z235" s="34">
        <f>IF(U235="transition","→ Tier 2 (Stellar Neighborhood)",IF(U235="FP","First Photons — light begins, system quickens",IF(U235="HP","Heliopause acquired",IF(U235="OR","Orbital Resonance — passive multiplier active",IF(AND(AO235=1,L235=0,AN235&lt;&gt;1),"Cohesion ready (waiting on completionist upgrades)","")))))</f>
        <v/>
      </c>
      <c r="AA235" s="27">
        <f>(IF(E235=0,0,(Upgrades!$G$6+E235*Upgrades!$H$6)*POWER(Upgrades!$I$6,E235)))*(IF(Upgrades!$T$7="Solar Wind",POWER(Upgrades!$U$7,F235),1)*IF(Upgrades!$T$8="Solar Wind",POWER(Upgrades!$U$8,G235),1)*IF(Upgrades!$T$9="Solar Wind",POWER(Upgrades!$U$9,H235),1)*IF(Upgrades!$T$10="Solar Wind",POWER(Upgrades!$U$10,I235),1)*IF(Upgrades!$T$11="Solar Wind",POWER(Upgrades!$U$11,J235),1)*IF(Upgrades!$T$12="Solar Wind",POWER(Upgrades!$U$12,K235),1))*POWER(Upgrades!$P$6,E235)*POWER(Upgrades!$P$7,F235)*POWER(Upgrades!$P$8,G235)*POWER(Upgrades!$P$9,H235)*POWER(Upgrades!$P$10,I235)*POWER(Upgrades!$P$11,J235)*POWER(Upgrades!$P$12,K235)*60</f>
        <v/>
      </c>
      <c r="AB235" s="27">
        <f>(IF(F235=0,0,(Upgrades!$G$7+F235*Upgrades!$H$7)*POWER(Upgrades!$I$7,F235)))*(IF(Upgrades!$T$6="Asteroid Belt",POWER(Upgrades!$U$6,E235),1)*IF(Upgrades!$T$8="Asteroid Belt",POWER(Upgrades!$U$8,G235),1)*IF(Upgrades!$T$9="Asteroid Belt",POWER(Upgrades!$U$9,H235),1)*IF(Upgrades!$T$10="Asteroid Belt",POWER(Upgrades!$U$10,I235),1)*IF(Upgrades!$T$11="Asteroid Belt",POWER(Upgrades!$U$11,J235),1)*IF(Upgrades!$T$12="Asteroid Belt",POWER(Upgrades!$U$12,K235),1))*POWER(Upgrades!$P$6,E235)*POWER(Upgrades!$P$7,F235)*POWER(Upgrades!$P$8,G235)*POWER(Upgrades!$P$9,H235)*POWER(Upgrades!$P$10,I235)*POWER(Upgrades!$P$11,J235)*POWER(Upgrades!$P$12,K235)*60</f>
        <v/>
      </c>
      <c r="AC235" s="27">
        <f>(IF(G235=0,0,(Upgrades!$J$8+G235*Upgrades!$K$8)*POWER(Upgrades!$L$8,G235)))*(IF(Upgrades!$T$6="Stellar Coupling",POWER(Upgrades!$U$6,E235),1)*IF(Upgrades!$T$7="Stellar Coupling",POWER(Upgrades!$U$7,F235),1)*IF(Upgrades!$T$9="Stellar Coupling",POWER(Upgrades!$U$9,H235),1)*IF(Upgrades!$T$10="Stellar Coupling",POWER(Upgrades!$U$10,I235),1)*IF(Upgrades!$T$11="Stellar Coupling",POWER(Upgrades!$U$11,J235),1)*IF(Upgrades!$T$12="Stellar Coupling",POWER(Upgrades!$U$12,K235),1))*POWER(Upgrades!$Q$6,E235)*POWER(Upgrades!$Q$7,F235)*POWER(Upgrades!$Q$8,G235)*POWER(Upgrades!$Q$9,H235)*POWER(Upgrades!$Q$10,I235)*POWER(Upgrades!$Q$11,J235)*POWER(Upgrades!$Q$12,K235)*Parameters!$B$10*Parameters!$B$11</f>
        <v/>
      </c>
      <c r="AD235" s="27">
        <f>(IF(H235=0,0,(Upgrades!$G$9+H235*Upgrades!$H$9)*POWER(Upgrades!$I$9,H235)))*(IF(Upgrades!$T$6="Magnetosphere",POWER(Upgrades!$U$6,E235),1)*IF(Upgrades!$T$7="Magnetosphere",POWER(Upgrades!$U$7,F235),1)*IF(Upgrades!$T$8="Magnetosphere",POWER(Upgrades!$U$8,G235),1)*IF(Upgrades!$T$10="Magnetosphere",POWER(Upgrades!$U$10,I235),1)*IF(Upgrades!$T$11="Magnetosphere",POWER(Upgrades!$U$11,J235),1)*IF(Upgrades!$T$12="Magnetosphere",POWER(Upgrades!$U$12,K235),1))*POWER(Upgrades!$P$6,E235)*POWER(Upgrades!$P$7,F235)*POWER(Upgrades!$P$8,G235)*POWER(Upgrades!$P$9,H235)*POWER(Upgrades!$P$10,I235)*POWER(Upgrades!$P$11,J235)*POWER(Upgrades!$P$12,K235)*60</f>
        <v/>
      </c>
      <c r="AE235" s="27">
        <f>(IF(K235=0,0,(Upgrades!$G$12+K235*Upgrades!$H$12)*POWER(Upgrades!$I$12,K235)))*(IF(Upgrades!$T$6="First Photons",POWER(Upgrades!$U$6,E235),1)*IF(Upgrades!$T$7="First Photons",POWER(Upgrades!$U$7,F235),1)*IF(Upgrades!$T$8="First Photons",POWER(Upgrades!$U$8,G235),1)*IF(Upgrades!$T$9="First Photons",POWER(Upgrades!$U$9,H235),1)*IF(Upgrades!$T$10="First Photons",POWER(Upgrades!$U$10,I235),1)*IF(Upgrades!$T$11="First Photons",POWER(Upgrades!$U$11,J235),1))*POWER(Upgrades!$P$6,E235)*POWER(Upgrades!$P$7,F235)*POWER(Upgrades!$P$8,G235)*POWER(Upgrades!$P$9,H235)*POWER(Upgrades!$P$10,I235)*POWER(Upgrades!$P$11,J235)*POWER(Upgrades!$P$12,K235)*60</f>
        <v/>
      </c>
      <c r="AF235" s="27">
        <f>Parameters!$B$9*POWER(Upgrades!$Q$6,E235)*POWER(Upgrades!$Q$7,F235)*POWER(Upgrades!$Q$8,G235)*POWER(Upgrades!$Q$9,H235)*POWER(Upgrades!$Q$10,I235)*POWER(Upgrades!$Q$11,J235)*POWER(Upgrades!$Q$12,K235)*(Parameters!$B$10*Parameters!$B$11+O235*60)</f>
        <v/>
      </c>
      <c r="AG235" s="22">
        <f>IF(E235&gt;=Upgrades!$E$6,"",Upgrades!$C$6*POWER(Upgrades!$D$6,E235))</f>
        <v/>
      </c>
      <c r="AH235" s="22">
        <f>IF(F235&gt;=Upgrades!$E$7,"",Upgrades!$C$7*POWER(Upgrades!$D$7,F235))</f>
        <v/>
      </c>
      <c r="AI235" s="22">
        <f>IF(G235&gt;=Upgrades!$E$8,"",Upgrades!$C$8*POWER(Upgrades!$D$8,G235))</f>
        <v/>
      </c>
      <c r="AJ235" s="22">
        <f>IF(H235&gt;=Upgrades!$E$9,"",Upgrades!$C$9*POWER(Upgrades!$D$9,H235))</f>
        <v/>
      </c>
      <c r="AK235" s="22">
        <f>IF(I235&gt;=Upgrades!$E$10,"",Upgrades!$C$10*POWER(Upgrades!$D$10,I235))</f>
        <v/>
      </c>
      <c r="AL235" s="22">
        <f>IF(J235&gt;=Upgrades!$E$11,"",Upgrades!$C$11*POWER(Upgrades!$D$11,J235))</f>
        <v/>
      </c>
      <c r="AM235" s="22">
        <f>IF(K235&gt;=Upgrades!$E$12,"",Upgrades!$C$12*POWER(Upgrades!$D$12,K235))</f>
        <v/>
      </c>
      <c r="AN235" s="26">
        <f>IF(AND(D235&gt;=Parameters!$B$18,(H235&gt;=Upgrades!$E$9)*(K235&gt;=Upgrades!$E$12)=1,L235=0),1,"")</f>
        <v/>
      </c>
      <c r="AO235" s="26">
        <f>IF(AND(D235&gt;=Parameters!$B$18,L235=0),1,"")</f>
        <v/>
      </c>
      <c r="AP235" s="22">
        <f>MIN(IF(ISNUMBER(AK235),AK235,9E15),IF(ISNUMBER(AL235),AL235,9E15),IF(ISNUMBER(AM235),AM235,9E15))</f>
        <v/>
      </c>
      <c r="AQ235" s="22">
        <f>MIN(IF(ISNUMBER(AG235),AG235,9E15),IF(ISNUMBER(AH235),AH235,9E15),IF(ISNUMBER(AI235),AI235,9E15),IF(ISNUMBER(AJ235),AJ235,9E15))</f>
        <v/>
      </c>
      <c r="AR235" s="29">
        <f>IF(AW235&gt;Parameters!$B$21*(MAX(IF(AND(NOT(AND(AO235=1,AN235&lt;&gt;1)),ISNUMBER(AG235),AG235&lt;=T235),AS235,0),IF(AND(NOT(AND(AO235=1,AN235&lt;&gt;1)),ISNUMBER(AH235),AH235&lt;=T235),AT235,0),IF(AND(NOT(AND(AO235=1,AN235&lt;&gt;1)),ISNUMBER(AI235),AI235&lt;=T235),AU235,0),IF(AND(ISNUMBER(AJ235),AJ235&lt;=T235),AV235,0))),TRUE,FALSE)</f>
        <v/>
      </c>
      <c r="AS235" s="32">
        <f>IFERROR(Upgrades!$H$6*(POWER(Upgrades!$P$6,E235)*POWER(Upgrades!$P$7,F235)*POWER(Upgrades!$P$8,G235)*POWER(Upgrades!$P$9,H235)*POWER(Upgrades!$P$10,I235)*POWER(Upgrades!$P$11,J235)*POWER(Upgrades!$P$12,K235))*(IF(Upgrades!$T$7="Solar Wind",POWER(Upgrades!$U$7,F235),1)*IF(Upgrades!$T$8="Solar Wind",POWER(Upgrades!$U$8,G235),1)*IF(Upgrades!$T$9="Solar Wind",POWER(Upgrades!$U$9,H235),1)*IF(Upgrades!$T$10="Solar Wind",POWER(Upgrades!$U$10,I235),1)*IF(Upgrades!$T$11="Solar Wind",POWER(Upgrades!$U$11,J235),1)*IF(Upgrades!$T$12="Solar Wind",POWER(Upgrades!$U$12,K235),1))/AG235,0)</f>
        <v/>
      </c>
      <c r="AT235" s="32">
        <f>IFERROR(Upgrades!$H$7*(POWER(Upgrades!$P$6,E235)*POWER(Upgrades!$P$7,F235)*POWER(Upgrades!$P$8,G235)*POWER(Upgrades!$P$9,H235)*POWER(Upgrades!$P$10,I235)*POWER(Upgrades!$P$11,J235)*POWER(Upgrades!$P$12,K235))*(IF(Upgrades!$T$6="Asteroid Belt",POWER(Upgrades!$U$6,E235),1)*IF(Upgrades!$T$8="Asteroid Belt",POWER(Upgrades!$U$8,G235),1)*IF(Upgrades!$T$9="Asteroid Belt",POWER(Upgrades!$U$9,H235),1)*IF(Upgrades!$T$10="Asteroid Belt",POWER(Upgrades!$U$10,I235),1)*IF(Upgrades!$T$11="Asteroid Belt",POWER(Upgrades!$U$11,J235),1)*IF(Upgrades!$T$12="Asteroid Belt",POWER(Upgrades!$U$12,K235),1))/AH235,0)</f>
        <v/>
      </c>
      <c r="AU235" s="32">
        <f>IFERROR(Upgrades!$K$8*(POWER(Upgrades!$Q$6,E235)*POWER(Upgrades!$Q$7,F235)*POWER(Upgrades!$Q$8,G235)*POWER(Upgrades!$Q$9,H235)*POWER(Upgrades!$Q$10,I235)*POWER(Upgrades!$Q$11,J235)*POWER(Upgrades!$Q$12,K235))*(IF(Upgrades!$T$6="Stellar Coupling",POWER(Upgrades!$U$6,E235),1)*IF(Upgrades!$T$7="Stellar Coupling",POWER(Upgrades!$U$7,F235),1)*IF(Upgrades!$T$9="Stellar Coupling",POWER(Upgrades!$U$9,H235),1)*IF(Upgrades!$T$10="Stellar Coupling",POWER(Upgrades!$U$10,I235),1)*IF(Upgrades!$T$11="Stellar Coupling",POWER(Upgrades!$U$11,J235),1)*IF(Upgrades!$T$12="Stellar Coupling",POWER(Upgrades!$U$12,K235),1))*Parameters!$B$10*Parameters!$B$11/60/AI235,0)</f>
        <v/>
      </c>
      <c r="AV235" s="32">
        <f>IFERROR(Upgrades!$H$9*(POWER(Upgrades!$P$6,E235)*POWER(Upgrades!$P$7,F235)*POWER(Upgrades!$P$8,G235)*POWER(Upgrades!$P$9,H235)*POWER(Upgrades!$P$10,I235)*POWER(Upgrades!$P$11,J235)*POWER(Upgrades!$P$12,K235))*(IF(Upgrades!$T$6="Magnetosphere",POWER(Upgrades!$U$6,E235),1)*IF(Upgrades!$T$7="Magnetosphere",POWER(Upgrades!$U$7,F235),1)*IF(Upgrades!$T$8="Magnetosphere",POWER(Upgrades!$U$8,G235),1)*IF(Upgrades!$T$10="Magnetosphere",POWER(Upgrades!$U$10,I235),1)*IF(Upgrades!$T$11="Magnetosphere",POWER(Upgrades!$U$11,J235),1)*IF(Upgrades!$T$12="Magnetosphere",POWER(Upgrades!$U$12,K235),1))/AJ235,0)</f>
        <v/>
      </c>
      <c r="AW235" s="32">
        <f>MAX(IF(I235&gt;0,0,IFERROR(0.25*N235/Upgrades!$C$10,0)),IF(J235&gt;0,0,IFERROR(0.5*((IF(G235=0,0,(Upgrades!$J$8+G235*Upgrades!$K$8)*POWER(Upgrades!$L$8,G235)))*(IF(Upgrades!$T$6="Stellar Coupling",POWER(Upgrades!$U$6,E235),1)*IF(Upgrades!$T$7="Stellar Coupling",POWER(Upgrades!$U$7,F235),1)*IF(Upgrades!$T$9="Stellar Coupling",POWER(Upgrades!$U$9,H235),1)*IF(Upgrades!$T$10="Stellar Coupling",POWER(Upgrades!$U$10,I235),1)*IF(Upgrades!$T$11="Stellar Coupling",POWER(Upgrades!$U$11,J235),1)*IF(Upgrades!$T$12="Stellar Coupling",POWER(Upgrades!$U$12,K235),1))*(POWER(Upgrades!$Q$6,E235)*POWER(Upgrades!$Q$7,F235)*POWER(Upgrades!$Q$8,G235)*POWER(Upgrades!$Q$9,H235)*POWER(Upgrades!$Q$10,I235)*POWER(Upgrades!$Q$11,J235)*POWER(Upgrades!$Q$12,K235))*Parameters!$B$10*Parameters!$B$11/60)/Upgrades!$C$11,0)),IF(K235&gt;0,0,IFERROR((1.0*(POWER(Upgrades!$P$6,E235)*POWER(Upgrades!$P$7,F235)*POWER(Upgrades!$P$8,G235)*POWER(Upgrades!$P$9,H235)*POWER(Upgrades!$P$10,I235)*POWER(Upgrades!$P$11,J235)*POWER(Upgrades!$P$12,K235))+0.20*M235*Parameters!$B$10*Parameters!$B$11/60)/Upgrades!$C$12,0)),IF(AND(ISNUMBER(AG235),AG235&gt;T235),AS235,0),IF(AND(ISNUMBER(AH235),AH235&gt;T235),AT235,0),IF(AND(ISNUMBER(AI235),AI235&gt;T235),AU235,0),IF(AND(ISNUMBER(AJ235),AJ235&gt;T235),AV235,0))</f>
        <v/>
      </c>
      <c r="AX235" s="29">
        <f>IF(AN235=1,"transition",IF(MIN(IF(AND(I235=0,ISNUMBER(AK235),AK235&lt;=T235),AK235,9E15),IF(AND(J235=0,ISNUMBER(AL235),AL235&lt;=T235),AL235,9E15),IF(AND(K235=0,ISNUMBER(AM235),AM235&lt;=T235),AM235,9E15))&lt;9E15,IF(AND(AND(I235=0,ISNUMBER(AK235),AK235&lt;=T235),AK235=MIN(IF(AND(I235=0,ISNUMBER(AK235),AK235&lt;=T235),AK235,9E15),IF(AND(J235=0,ISNUMBER(AL235),AL235&lt;=T235),AL235,9E15),IF(AND(K235=0,ISNUMBER(AM235),AM235&lt;=T235),AM235,9E15))),"OR",IF(AND(AND(J235=0,ISNUMBER(AL235),AL235&lt;=T235),AL235=MIN(IF(AND(I235=0,ISNUMBER(AK235),AK235&lt;=T235),AK235,9E15),IF(AND(J235=0,ISNUMBER(AL235),AL235&lt;=T235),AL235,9E15),IF(AND(K235=0,ISNUMBER(AM235),AM235&lt;=T235),AM235,9E15))),"HP","FP")),IF(AR235=TRUE,"",IF(MAX(IF(AND(NOT(AND(AO235=1,AN235&lt;&gt;1)),ISNUMBER(AG235),AG235&lt;=T235),AS235,0),IF(AND(NOT(AND(AO235=1,AN235&lt;&gt;1)),ISNUMBER(AH235),AH235&lt;=T235),AT235,0),IF(AND(NOT(AND(AO235=1,AN235&lt;&gt;1)),ISNUMBER(AI235),AI235&lt;=T235),AU235,0),IF(AND(ISNUMBER(AJ235),AJ235&lt;=T235),AV235,0))&lt;=0,"",IF(AND(IF(AND(NOT(AND(AO235=1,AN235&lt;&gt;1)),ISNUMBER(AG235),AG235&lt;=T235),AS235,0)&gt;0,IF(AND(NOT(AND(AO235=1,AN235&lt;&gt;1)),ISNUMBER(AG235),AG235&lt;=T235),AS235,0)=MAX(IF(AND(NOT(AND(AO235=1,AN235&lt;&gt;1)),ISNUMBER(AG235),AG235&lt;=T235),AS235,0),IF(AND(NOT(AND(AO235=1,AN235&lt;&gt;1)),ISNUMBER(AH235),AH235&lt;=T235),AT235,0),IF(AND(NOT(AND(AO235=1,AN235&lt;&gt;1)),ISNUMBER(AI235),AI235&lt;=T235),AU235,0),IF(AND(ISNUMBER(AJ235),AJ235&lt;=T235),AV235,0))),"SW",IF(AND(IF(AND(NOT(AND(AO235=1,AN235&lt;&gt;1)),ISNUMBER(AH235),AH235&lt;=T235),AT235,0)&gt;0,IF(AND(NOT(AND(AO235=1,AN235&lt;&gt;1)),ISNUMBER(AH235),AH235&lt;=T235),AT235,0)=MAX(IF(AND(NOT(AND(AO235=1,AN235&lt;&gt;1)),ISNUMBER(AG235),AG235&lt;=T235),AS235,0),IF(AND(NOT(AND(AO235=1,AN235&lt;&gt;1)),ISNUMBER(AH235),AH235&lt;=T235),AT235,0),IF(AND(NOT(AND(AO235=1,AN235&lt;&gt;1)),ISNUMBER(AI235),AI235&lt;=T235),AU235,0),IF(AND(ISNUMBER(AJ235),AJ235&lt;=T235),AV235,0))),"AB",IF(AND(IF(AND(NOT(AND(AO235=1,AN235&lt;&gt;1)),ISNUMBER(AI235),AI235&lt;=T235),AU235,0)&gt;0,IF(AND(NOT(AND(AO235=1,AN235&lt;&gt;1)),ISNUMBER(AI235),AI235&lt;=T235),AU235,0)=MAX(IF(AND(NOT(AND(AO235=1,AN235&lt;&gt;1)),ISNUMBER(AG235),AG235&lt;=T235),AS235,0),IF(AND(NOT(AND(AO235=1,AN235&lt;&gt;1)),ISNUMBER(AH235),AH235&lt;=T235),AT235,0),IF(AND(NOT(AND(AO235=1,AN235&lt;&gt;1)),ISNUMBER(AI235),AI235&lt;=T235),AU235,0),IF(AND(ISNUMBER(AJ235),AJ235&lt;=T235),AV235,0))),"SC","Mag")))))))</f>
        <v/>
      </c>
    </row>
    <row r="236">
      <c r="A236" s="26" t="n">
        <v>231</v>
      </c>
      <c r="B236" s="27">
        <f>A236*10/60</f>
        <v/>
      </c>
      <c r="C236" s="22">
        <f>X235</f>
        <v/>
      </c>
      <c r="D236" s="27">
        <f>D235+W235</f>
        <v/>
      </c>
      <c r="E236" s="26">
        <f>E235+IF(U235="SW",1,0)</f>
        <v/>
      </c>
      <c r="F236" s="26">
        <f>F235+IF(U235="AB",1,0)</f>
        <v/>
      </c>
      <c r="G236" s="26">
        <f>G235+IF(U235="SC",1,0)</f>
        <v/>
      </c>
      <c r="H236" s="26">
        <f>H235+IF(U235="Mag",1,0)</f>
        <v/>
      </c>
      <c r="I236" s="26">
        <f>MAX(I235,IF(U235="OR",1,0))</f>
        <v/>
      </c>
      <c r="J236" s="26">
        <f>MAX(J235,IF(U235="HP",1,0))</f>
        <v/>
      </c>
      <c r="K236" s="26">
        <f>MAX(K235,IF(U235="FP",1,0))</f>
        <v/>
      </c>
      <c r="L236" s="26">
        <f>MAX(L235,IF(U235="transition",1,0))</f>
        <v/>
      </c>
      <c r="M236" s="28">
        <f>(Parameters!$B$9+(IF(E236=0,0,(Upgrades!$J$6+E236*Upgrades!$K$6)*POWER(Upgrades!$L$6,E236)))*(IF(Upgrades!$T$7="Solar Wind",POWER(Upgrades!$U$7,F236),1)*IF(Upgrades!$T$8="Solar Wind",POWER(Upgrades!$U$8,G236),1)*IF(Upgrades!$T$9="Solar Wind",POWER(Upgrades!$U$9,H236),1)*IF(Upgrades!$T$10="Solar Wind",POWER(Upgrades!$U$10,I236),1)*IF(Upgrades!$T$11="Solar Wind",POWER(Upgrades!$U$11,J236),1)*IF(Upgrades!$T$12="Solar Wind",POWER(Upgrades!$U$12,K236),1))+(IF(F236=0,0,(Upgrades!$J$7+F236*Upgrades!$K$7)*POWER(Upgrades!$L$7,F236)))*(IF(Upgrades!$T$6="Asteroid Belt",POWER(Upgrades!$U$6,E236),1)*IF(Upgrades!$T$8="Asteroid Belt",POWER(Upgrades!$U$8,G236),1)*IF(Upgrades!$T$9="Asteroid Belt",POWER(Upgrades!$U$9,H236),1)*IF(Upgrades!$T$10="Asteroid Belt",POWER(Upgrades!$U$10,I236),1)*IF(Upgrades!$T$11="Asteroid Belt",POWER(Upgrades!$U$11,J236),1)*IF(Upgrades!$T$12="Asteroid Belt",POWER(Upgrades!$U$12,K236),1))+(IF(G236=0,0,(Upgrades!$J$8+G236*Upgrades!$K$8)*POWER(Upgrades!$L$8,G236)))*(IF(Upgrades!$T$6="Stellar Coupling",POWER(Upgrades!$U$6,E236),1)*IF(Upgrades!$T$7="Stellar Coupling",POWER(Upgrades!$U$7,F236),1)*IF(Upgrades!$T$9="Stellar Coupling",POWER(Upgrades!$U$9,H236),1)*IF(Upgrades!$T$10="Stellar Coupling",POWER(Upgrades!$U$10,I236),1)*IF(Upgrades!$T$11="Stellar Coupling",POWER(Upgrades!$U$11,J236),1)*IF(Upgrades!$T$12="Stellar Coupling",POWER(Upgrades!$U$12,K236),1))+(IF(H236=0,0,(Upgrades!$J$9+H236*Upgrades!$K$9)*POWER(Upgrades!$L$9,H236)))*(IF(Upgrades!$T$6="Magnetosphere",POWER(Upgrades!$U$6,E236),1)*IF(Upgrades!$T$7="Magnetosphere",POWER(Upgrades!$U$7,F236),1)*IF(Upgrades!$T$8="Magnetosphere",POWER(Upgrades!$U$8,G236),1)*IF(Upgrades!$T$10="Magnetosphere",POWER(Upgrades!$U$10,I236),1)*IF(Upgrades!$T$11="Magnetosphere",POWER(Upgrades!$U$11,J236),1)*IF(Upgrades!$T$12="Magnetosphere",POWER(Upgrades!$U$12,K236),1))+(IF(I236=0,0,(Upgrades!$J$10+I236*Upgrades!$K$10)*POWER(Upgrades!$L$10,I236)))*(IF(Upgrades!$T$6="Orbital Resonance",POWER(Upgrades!$U$6,E236),1)*IF(Upgrades!$T$7="Orbital Resonance",POWER(Upgrades!$U$7,F236),1)*IF(Upgrades!$T$8="Orbital Resonance",POWER(Upgrades!$U$8,G236),1)*IF(Upgrades!$T$9="Orbital Resonance",POWER(Upgrades!$U$9,H236),1)*IF(Upgrades!$T$11="Orbital Resonance",POWER(Upgrades!$U$11,J236),1)*IF(Upgrades!$T$12="Orbital Resonance",POWER(Upgrades!$U$12,K236),1))+(IF(J236=0,0,(Upgrades!$J$11+J236*Upgrades!$K$11)*POWER(Upgrades!$L$11,J236)))*(IF(Upgrades!$T$6="Heliopause",POWER(Upgrades!$U$6,E236),1)*IF(Upgrades!$T$7="Heliopause",POWER(Upgrades!$U$7,F236),1)*IF(Upgrades!$T$8="Heliopause",POWER(Upgrades!$U$8,G236),1)*IF(Upgrades!$T$9="Heliopause",POWER(Upgrades!$U$9,H236),1)*IF(Upgrades!$T$10="Heliopause",POWER(Upgrades!$U$10,I236),1)*IF(Upgrades!$T$12="Heliopause",POWER(Upgrades!$U$12,K236),1))+(IF(K236=0,0,(Upgrades!$J$12+K236*Upgrades!$K$12)*POWER(Upgrades!$L$12,K236)))*(IF(Upgrades!$T$6="First Photons",POWER(Upgrades!$U$6,E236),1)*IF(Upgrades!$T$7="First Photons",POWER(Upgrades!$U$7,F236),1)*IF(Upgrades!$T$8="First Photons",POWER(Upgrades!$U$8,G236),1)*IF(Upgrades!$T$9="First Photons",POWER(Upgrades!$U$9,H236),1)*IF(Upgrades!$T$10="First Photons",POWER(Upgrades!$U$10,I236),1)*IF(Upgrades!$T$11="First Photons",POWER(Upgrades!$U$11,J236),1)))*POWER(Upgrades!$Q$6,E236)*POWER(Upgrades!$Q$7,F236)*POWER(Upgrades!$Q$8,G236)*POWER(Upgrades!$Q$9,H236)*POWER(Upgrades!$Q$10,I236)*POWER(Upgrades!$Q$11,J236)*POWER(Upgrades!$Q$12,K236)</f>
        <v/>
      </c>
      <c r="N236" s="28">
        <f>((IF(E236=0,0,(Upgrades!$G$6+E236*Upgrades!$H$6)*POWER(Upgrades!$I$6,E236)))*(IF(Upgrades!$T$7="Solar Wind",POWER(Upgrades!$U$7,F236),1)*IF(Upgrades!$T$8="Solar Wind",POWER(Upgrades!$U$8,G236),1)*IF(Upgrades!$T$9="Solar Wind",POWER(Upgrades!$U$9,H236),1)*IF(Upgrades!$T$10="Solar Wind",POWER(Upgrades!$U$10,I236),1)*IF(Upgrades!$T$11="Solar Wind",POWER(Upgrades!$U$11,J236),1)*IF(Upgrades!$T$12="Solar Wind",POWER(Upgrades!$U$12,K236),1))+(IF(F236=0,0,(Upgrades!$G$7+F236*Upgrades!$H$7)*POWER(Upgrades!$I$7,F236)))*(IF(Upgrades!$T$6="Asteroid Belt",POWER(Upgrades!$U$6,E236),1)*IF(Upgrades!$T$8="Asteroid Belt",POWER(Upgrades!$U$8,G236),1)*IF(Upgrades!$T$9="Asteroid Belt",POWER(Upgrades!$U$9,H236),1)*IF(Upgrades!$T$10="Asteroid Belt",POWER(Upgrades!$U$10,I236),1)*IF(Upgrades!$T$11="Asteroid Belt",POWER(Upgrades!$U$11,J236),1)*IF(Upgrades!$T$12="Asteroid Belt",POWER(Upgrades!$U$12,K236),1))+(IF(G236=0,0,(Upgrades!$G$8+G236*Upgrades!$H$8)*POWER(Upgrades!$I$8,G236)))*(IF(Upgrades!$T$6="Stellar Coupling",POWER(Upgrades!$U$6,E236),1)*IF(Upgrades!$T$7="Stellar Coupling",POWER(Upgrades!$U$7,F236),1)*IF(Upgrades!$T$9="Stellar Coupling",POWER(Upgrades!$U$9,H236),1)*IF(Upgrades!$T$10="Stellar Coupling",POWER(Upgrades!$U$10,I236),1)*IF(Upgrades!$T$11="Stellar Coupling",POWER(Upgrades!$U$11,J236),1)*IF(Upgrades!$T$12="Stellar Coupling",POWER(Upgrades!$U$12,K236),1))+(IF(H236=0,0,(Upgrades!$G$9+H236*Upgrades!$H$9)*POWER(Upgrades!$I$9,H236)))*(IF(Upgrades!$T$6="Magnetosphere",POWER(Upgrades!$U$6,E236),1)*IF(Upgrades!$T$7="Magnetosphere",POWER(Upgrades!$U$7,F236),1)*IF(Upgrades!$T$8="Magnetosphere",POWER(Upgrades!$U$8,G236),1)*IF(Upgrades!$T$10="Magnetosphere",POWER(Upgrades!$U$10,I236),1)*IF(Upgrades!$T$11="Magnetosphere",POWER(Upgrades!$U$11,J236),1)*IF(Upgrades!$T$12="Magnetosphere",POWER(Upgrades!$U$12,K236),1))+(IF(I236=0,0,(Upgrades!$G$10+I236*Upgrades!$H$10)*POWER(Upgrades!$I$10,I236)))*(IF(Upgrades!$T$6="Orbital Resonance",POWER(Upgrades!$U$6,E236),1)*IF(Upgrades!$T$7="Orbital Resonance",POWER(Upgrades!$U$7,F236),1)*IF(Upgrades!$T$8="Orbital Resonance",POWER(Upgrades!$U$8,G236),1)*IF(Upgrades!$T$9="Orbital Resonance",POWER(Upgrades!$U$9,H236),1)*IF(Upgrades!$T$11="Orbital Resonance",POWER(Upgrades!$U$11,J236),1)*IF(Upgrades!$T$12="Orbital Resonance",POWER(Upgrades!$U$12,K236),1))+(IF(J236=0,0,(Upgrades!$G$11+J236*Upgrades!$H$11)*POWER(Upgrades!$I$11,J236)))*(IF(Upgrades!$T$6="Heliopause",POWER(Upgrades!$U$6,E236),1)*IF(Upgrades!$T$7="Heliopause",POWER(Upgrades!$U$7,F236),1)*IF(Upgrades!$T$8="Heliopause",POWER(Upgrades!$U$8,G236),1)*IF(Upgrades!$T$9="Heliopause",POWER(Upgrades!$U$9,H236),1)*IF(Upgrades!$T$10="Heliopause",POWER(Upgrades!$U$10,I236),1)*IF(Upgrades!$T$12="Heliopause",POWER(Upgrades!$U$12,K236),1))+(IF(K236=0,0,(Upgrades!$G$12+K236*Upgrades!$H$12)*POWER(Upgrades!$I$12,K236)))*(IF(Upgrades!$T$6="First Photons",POWER(Upgrades!$U$6,E236),1)*IF(Upgrades!$T$7="First Photons",POWER(Upgrades!$U$7,F236),1)*IF(Upgrades!$T$8="First Photons",POWER(Upgrades!$U$8,G236),1)*IF(Upgrades!$T$9="First Photons",POWER(Upgrades!$U$9,H236),1)*IF(Upgrades!$T$10="First Photons",POWER(Upgrades!$U$10,I236),1)*IF(Upgrades!$T$11="First Photons",POWER(Upgrades!$U$11,J236),1)))*POWER(Upgrades!$P$6,E236)*POWER(Upgrades!$P$7,F236)*POWER(Upgrades!$P$8,G236)*POWER(Upgrades!$P$9,H236)*POWER(Upgrades!$P$10,I236)*POWER(Upgrades!$P$11,J236)*POWER(Upgrades!$P$12,K236)</f>
        <v/>
      </c>
      <c r="O236" s="28">
        <f>((IF(E236=0,0,(Upgrades!$M$6+E236*Upgrades!$N$6)*POWER(Upgrades!$O$6,E236)))*(IF(Upgrades!$T$7="Solar Wind",POWER(Upgrades!$U$7,F236),1)*IF(Upgrades!$T$8="Solar Wind",POWER(Upgrades!$U$8,G236),1)*IF(Upgrades!$T$9="Solar Wind",POWER(Upgrades!$U$9,H236),1)*IF(Upgrades!$T$10="Solar Wind",POWER(Upgrades!$U$10,I236),1)*IF(Upgrades!$T$11="Solar Wind",POWER(Upgrades!$U$11,J236),1)*IF(Upgrades!$T$12="Solar Wind",POWER(Upgrades!$U$12,K236),1))+(IF(F236=0,0,(Upgrades!$M$7+F236*Upgrades!$N$7)*POWER(Upgrades!$O$7,F236)))*(IF(Upgrades!$T$6="Asteroid Belt",POWER(Upgrades!$U$6,E236),1)*IF(Upgrades!$T$8="Asteroid Belt",POWER(Upgrades!$U$8,G236),1)*IF(Upgrades!$T$9="Asteroid Belt",POWER(Upgrades!$U$9,H236),1)*IF(Upgrades!$T$10="Asteroid Belt",POWER(Upgrades!$U$10,I236),1)*IF(Upgrades!$T$11="Asteroid Belt",POWER(Upgrades!$U$11,J236),1)*IF(Upgrades!$T$12="Asteroid Belt",POWER(Upgrades!$U$12,K236),1))+(IF(G236=0,0,(Upgrades!$M$8+G236*Upgrades!$N$8)*POWER(Upgrades!$O$8,G236)))*(IF(Upgrades!$T$6="Stellar Coupling",POWER(Upgrades!$U$6,E236),1)*IF(Upgrades!$T$7="Stellar Coupling",POWER(Upgrades!$U$7,F236),1)*IF(Upgrades!$T$9="Stellar Coupling",POWER(Upgrades!$U$9,H236),1)*IF(Upgrades!$T$10="Stellar Coupling",POWER(Upgrades!$U$10,I236),1)*IF(Upgrades!$T$11="Stellar Coupling",POWER(Upgrades!$U$11,J236),1)*IF(Upgrades!$T$12="Stellar Coupling",POWER(Upgrades!$U$12,K236),1))+(IF(H236=0,0,(Upgrades!$M$9+H236*Upgrades!$N$9)*POWER(Upgrades!$O$9,H236)))*(IF(Upgrades!$T$6="Magnetosphere",POWER(Upgrades!$U$6,E236),1)*IF(Upgrades!$T$7="Magnetosphere",POWER(Upgrades!$U$7,F236),1)*IF(Upgrades!$T$8="Magnetosphere",POWER(Upgrades!$U$8,G236),1)*IF(Upgrades!$T$10="Magnetosphere",POWER(Upgrades!$U$10,I236),1)*IF(Upgrades!$T$11="Magnetosphere",POWER(Upgrades!$U$11,J236),1)*IF(Upgrades!$T$12="Magnetosphere",POWER(Upgrades!$U$12,K236),1))+(IF(I236=0,0,(Upgrades!$M$10+I236*Upgrades!$N$10)*POWER(Upgrades!$O$10,I236)))*(IF(Upgrades!$T$6="Orbital Resonance",POWER(Upgrades!$U$6,E236),1)*IF(Upgrades!$T$7="Orbital Resonance",POWER(Upgrades!$U$7,F236),1)*IF(Upgrades!$T$8="Orbital Resonance",POWER(Upgrades!$U$8,G236),1)*IF(Upgrades!$T$9="Orbital Resonance",POWER(Upgrades!$U$9,H236),1)*IF(Upgrades!$T$11="Orbital Resonance",POWER(Upgrades!$U$11,J236),1)*IF(Upgrades!$T$12="Orbital Resonance",POWER(Upgrades!$U$12,K236),1))+(IF(J236=0,0,(Upgrades!$M$11+J236*Upgrades!$N$11)*POWER(Upgrades!$O$11,J236)))*(IF(Upgrades!$T$6="Heliopause",POWER(Upgrades!$U$6,E236),1)*IF(Upgrades!$T$7="Heliopause",POWER(Upgrades!$U$7,F236),1)*IF(Upgrades!$T$8="Heliopause",POWER(Upgrades!$U$8,G236),1)*IF(Upgrades!$T$9="Heliopause",POWER(Upgrades!$U$9,H236),1)*IF(Upgrades!$T$10="Heliopause",POWER(Upgrades!$U$10,I236),1)*IF(Upgrades!$T$12="Heliopause",POWER(Upgrades!$U$12,K236),1))+(IF(K236=0,0,(Upgrades!$M$12+K236*Upgrades!$N$12)*POWER(Upgrades!$O$12,K236)))*(IF(Upgrades!$T$6="First Photons",POWER(Upgrades!$U$6,E236),1)*IF(Upgrades!$T$7="First Photons",POWER(Upgrades!$U$7,F236),1)*IF(Upgrades!$T$8="First Photons",POWER(Upgrades!$U$8,G236),1)*IF(Upgrades!$T$9="First Photons",POWER(Upgrades!$U$9,H236),1)*IF(Upgrades!$T$10="First Photons",POWER(Upgrades!$U$10,I236),1)*IF(Upgrades!$T$11="First Photons",POWER(Upgrades!$U$11,J236),1)))*POWER(Upgrades!$R$6,E236)*POWER(Upgrades!$R$7,F236)*POWER(Upgrades!$R$8,G236)*POWER(Upgrades!$R$9,H236)*POWER(Upgrades!$R$10,I236)*POWER(Upgrades!$R$11,J236)*POWER(Upgrades!$R$12,K236)</f>
        <v/>
      </c>
      <c r="P236" s="27">
        <f>IF(L236=1,0,M236*Parameters!$B$10/60*Parameters!$B$11*10)</f>
        <v/>
      </c>
      <c r="Q236" s="27">
        <f>IF(L236=1,0,O236*M236*10)</f>
        <v/>
      </c>
      <c r="R236" s="27">
        <f>IF(L236=1,0,N236*10)</f>
        <v/>
      </c>
      <c r="S236" s="27">
        <f>P236+Q236+R236</f>
        <v/>
      </c>
      <c r="T236" s="22">
        <f>C236+S236</f>
        <v/>
      </c>
      <c r="U236" s="33">
        <f>AX236</f>
        <v/>
      </c>
      <c r="V236" s="22">
        <f>IF(U236="",0,IF(U236="transition",0,IF(U236="SW",AG236,IF(U236="AB",AH236,IF(U236="SC",AI236,IF(U236="Mag",AJ236,IF(U236="OR",AK236,IF(U236="HP",AL236,IF(U236="FP",AM236,0)))))))))</f>
        <v/>
      </c>
      <c r="W236" s="27">
        <f>IF(U236="OR",Upgrades!$F$10,IF(U236="HP",Upgrades!$F$11,IF(U236="transition",-Parameters!$B$18,0)))</f>
        <v/>
      </c>
      <c r="X236" s="22">
        <f>T236-V236</f>
        <v/>
      </c>
      <c r="Y236" s="30">
        <f>M236*Parameters!$B$10/60*Parameters!$B$11+O236*M236+N236</f>
        <v/>
      </c>
      <c r="Z236" s="34">
        <f>IF(U236="transition","→ Tier 2 (Stellar Neighborhood)",IF(U236="FP","First Photons — light begins, system quickens",IF(U236="HP","Heliopause acquired",IF(U236="OR","Orbital Resonance — passive multiplier active",IF(AND(AO236=1,L236=0,AN236&lt;&gt;1),"Cohesion ready (waiting on completionist upgrades)","")))))</f>
        <v/>
      </c>
      <c r="AA236" s="27">
        <f>(IF(E236=0,0,(Upgrades!$G$6+E236*Upgrades!$H$6)*POWER(Upgrades!$I$6,E236)))*(IF(Upgrades!$T$7="Solar Wind",POWER(Upgrades!$U$7,F236),1)*IF(Upgrades!$T$8="Solar Wind",POWER(Upgrades!$U$8,G236),1)*IF(Upgrades!$T$9="Solar Wind",POWER(Upgrades!$U$9,H236),1)*IF(Upgrades!$T$10="Solar Wind",POWER(Upgrades!$U$10,I236),1)*IF(Upgrades!$T$11="Solar Wind",POWER(Upgrades!$U$11,J236),1)*IF(Upgrades!$T$12="Solar Wind",POWER(Upgrades!$U$12,K236),1))*POWER(Upgrades!$P$6,E236)*POWER(Upgrades!$P$7,F236)*POWER(Upgrades!$P$8,G236)*POWER(Upgrades!$P$9,H236)*POWER(Upgrades!$P$10,I236)*POWER(Upgrades!$P$11,J236)*POWER(Upgrades!$P$12,K236)*60</f>
        <v/>
      </c>
      <c r="AB236" s="27">
        <f>(IF(F236=0,0,(Upgrades!$G$7+F236*Upgrades!$H$7)*POWER(Upgrades!$I$7,F236)))*(IF(Upgrades!$T$6="Asteroid Belt",POWER(Upgrades!$U$6,E236),1)*IF(Upgrades!$T$8="Asteroid Belt",POWER(Upgrades!$U$8,G236),1)*IF(Upgrades!$T$9="Asteroid Belt",POWER(Upgrades!$U$9,H236),1)*IF(Upgrades!$T$10="Asteroid Belt",POWER(Upgrades!$U$10,I236),1)*IF(Upgrades!$T$11="Asteroid Belt",POWER(Upgrades!$U$11,J236),1)*IF(Upgrades!$T$12="Asteroid Belt",POWER(Upgrades!$U$12,K236),1))*POWER(Upgrades!$P$6,E236)*POWER(Upgrades!$P$7,F236)*POWER(Upgrades!$P$8,G236)*POWER(Upgrades!$P$9,H236)*POWER(Upgrades!$P$10,I236)*POWER(Upgrades!$P$11,J236)*POWER(Upgrades!$P$12,K236)*60</f>
        <v/>
      </c>
      <c r="AC236" s="27">
        <f>(IF(G236=0,0,(Upgrades!$J$8+G236*Upgrades!$K$8)*POWER(Upgrades!$L$8,G236)))*(IF(Upgrades!$T$6="Stellar Coupling",POWER(Upgrades!$U$6,E236),1)*IF(Upgrades!$T$7="Stellar Coupling",POWER(Upgrades!$U$7,F236),1)*IF(Upgrades!$T$9="Stellar Coupling",POWER(Upgrades!$U$9,H236),1)*IF(Upgrades!$T$10="Stellar Coupling",POWER(Upgrades!$U$10,I236),1)*IF(Upgrades!$T$11="Stellar Coupling",POWER(Upgrades!$U$11,J236),1)*IF(Upgrades!$T$12="Stellar Coupling",POWER(Upgrades!$U$12,K236),1))*POWER(Upgrades!$Q$6,E236)*POWER(Upgrades!$Q$7,F236)*POWER(Upgrades!$Q$8,G236)*POWER(Upgrades!$Q$9,H236)*POWER(Upgrades!$Q$10,I236)*POWER(Upgrades!$Q$11,J236)*POWER(Upgrades!$Q$12,K236)*Parameters!$B$10*Parameters!$B$11</f>
        <v/>
      </c>
      <c r="AD236" s="27">
        <f>(IF(H236=0,0,(Upgrades!$G$9+H236*Upgrades!$H$9)*POWER(Upgrades!$I$9,H236)))*(IF(Upgrades!$T$6="Magnetosphere",POWER(Upgrades!$U$6,E236),1)*IF(Upgrades!$T$7="Magnetosphere",POWER(Upgrades!$U$7,F236),1)*IF(Upgrades!$T$8="Magnetosphere",POWER(Upgrades!$U$8,G236),1)*IF(Upgrades!$T$10="Magnetosphere",POWER(Upgrades!$U$10,I236),1)*IF(Upgrades!$T$11="Magnetosphere",POWER(Upgrades!$U$11,J236),1)*IF(Upgrades!$T$12="Magnetosphere",POWER(Upgrades!$U$12,K236),1))*POWER(Upgrades!$P$6,E236)*POWER(Upgrades!$P$7,F236)*POWER(Upgrades!$P$8,G236)*POWER(Upgrades!$P$9,H236)*POWER(Upgrades!$P$10,I236)*POWER(Upgrades!$P$11,J236)*POWER(Upgrades!$P$12,K236)*60</f>
        <v/>
      </c>
      <c r="AE236" s="27">
        <f>(IF(K236=0,0,(Upgrades!$G$12+K236*Upgrades!$H$12)*POWER(Upgrades!$I$12,K236)))*(IF(Upgrades!$T$6="First Photons",POWER(Upgrades!$U$6,E236),1)*IF(Upgrades!$T$7="First Photons",POWER(Upgrades!$U$7,F236),1)*IF(Upgrades!$T$8="First Photons",POWER(Upgrades!$U$8,G236),1)*IF(Upgrades!$T$9="First Photons",POWER(Upgrades!$U$9,H236),1)*IF(Upgrades!$T$10="First Photons",POWER(Upgrades!$U$10,I236),1)*IF(Upgrades!$T$11="First Photons",POWER(Upgrades!$U$11,J236),1))*POWER(Upgrades!$P$6,E236)*POWER(Upgrades!$P$7,F236)*POWER(Upgrades!$P$8,G236)*POWER(Upgrades!$P$9,H236)*POWER(Upgrades!$P$10,I236)*POWER(Upgrades!$P$11,J236)*POWER(Upgrades!$P$12,K236)*60</f>
        <v/>
      </c>
      <c r="AF236" s="27">
        <f>Parameters!$B$9*POWER(Upgrades!$Q$6,E236)*POWER(Upgrades!$Q$7,F236)*POWER(Upgrades!$Q$8,G236)*POWER(Upgrades!$Q$9,H236)*POWER(Upgrades!$Q$10,I236)*POWER(Upgrades!$Q$11,J236)*POWER(Upgrades!$Q$12,K236)*(Parameters!$B$10*Parameters!$B$11+O236*60)</f>
        <v/>
      </c>
      <c r="AG236" s="22">
        <f>IF(E236&gt;=Upgrades!$E$6,"",Upgrades!$C$6*POWER(Upgrades!$D$6,E236))</f>
        <v/>
      </c>
      <c r="AH236" s="22">
        <f>IF(F236&gt;=Upgrades!$E$7,"",Upgrades!$C$7*POWER(Upgrades!$D$7,F236))</f>
        <v/>
      </c>
      <c r="AI236" s="22">
        <f>IF(G236&gt;=Upgrades!$E$8,"",Upgrades!$C$8*POWER(Upgrades!$D$8,G236))</f>
        <v/>
      </c>
      <c r="AJ236" s="22">
        <f>IF(H236&gt;=Upgrades!$E$9,"",Upgrades!$C$9*POWER(Upgrades!$D$9,H236))</f>
        <v/>
      </c>
      <c r="AK236" s="22">
        <f>IF(I236&gt;=Upgrades!$E$10,"",Upgrades!$C$10*POWER(Upgrades!$D$10,I236))</f>
        <v/>
      </c>
      <c r="AL236" s="22">
        <f>IF(J236&gt;=Upgrades!$E$11,"",Upgrades!$C$11*POWER(Upgrades!$D$11,J236))</f>
        <v/>
      </c>
      <c r="AM236" s="22">
        <f>IF(K236&gt;=Upgrades!$E$12,"",Upgrades!$C$12*POWER(Upgrades!$D$12,K236))</f>
        <v/>
      </c>
      <c r="AN236" s="26">
        <f>IF(AND(D236&gt;=Parameters!$B$18,(H236&gt;=Upgrades!$E$9)*(K236&gt;=Upgrades!$E$12)=1,L236=0),1,"")</f>
        <v/>
      </c>
      <c r="AO236" s="26">
        <f>IF(AND(D236&gt;=Parameters!$B$18,L236=0),1,"")</f>
        <v/>
      </c>
      <c r="AP236" s="22">
        <f>MIN(IF(ISNUMBER(AK236),AK236,9E15),IF(ISNUMBER(AL236),AL236,9E15),IF(ISNUMBER(AM236),AM236,9E15))</f>
        <v/>
      </c>
      <c r="AQ236" s="22">
        <f>MIN(IF(ISNUMBER(AG236),AG236,9E15),IF(ISNUMBER(AH236),AH236,9E15),IF(ISNUMBER(AI236),AI236,9E15),IF(ISNUMBER(AJ236),AJ236,9E15))</f>
        <v/>
      </c>
      <c r="AR236" s="29">
        <f>IF(AW236&gt;Parameters!$B$21*(MAX(IF(AND(NOT(AND(AO236=1,AN236&lt;&gt;1)),ISNUMBER(AG236),AG236&lt;=T236),AS236,0),IF(AND(NOT(AND(AO236=1,AN236&lt;&gt;1)),ISNUMBER(AH236),AH236&lt;=T236),AT236,0),IF(AND(NOT(AND(AO236=1,AN236&lt;&gt;1)),ISNUMBER(AI236),AI236&lt;=T236),AU236,0),IF(AND(ISNUMBER(AJ236),AJ236&lt;=T236),AV236,0))),TRUE,FALSE)</f>
        <v/>
      </c>
      <c r="AS236" s="32">
        <f>IFERROR(Upgrades!$H$6*(POWER(Upgrades!$P$6,E236)*POWER(Upgrades!$P$7,F236)*POWER(Upgrades!$P$8,G236)*POWER(Upgrades!$P$9,H236)*POWER(Upgrades!$P$10,I236)*POWER(Upgrades!$P$11,J236)*POWER(Upgrades!$P$12,K236))*(IF(Upgrades!$T$7="Solar Wind",POWER(Upgrades!$U$7,F236),1)*IF(Upgrades!$T$8="Solar Wind",POWER(Upgrades!$U$8,G236),1)*IF(Upgrades!$T$9="Solar Wind",POWER(Upgrades!$U$9,H236),1)*IF(Upgrades!$T$10="Solar Wind",POWER(Upgrades!$U$10,I236),1)*IF(Upgrades!$T$11="Solar Wind",POWER(Upgrades!$U$11,J236),1)*IF(Upgrades!$T$12="Solar Wind",POWER(Upgrades!$U$12,K236),1))/AG236,0)</f>
        <v/>
      </c>
      <c r="AT236" s="32">
        <f>IFERROR(Upgrades!$H$7*(POWER(Upgrades!$P$6,E236)*POWER(Upgrades!$P$7,F236)*POWER(Upgrades!$P$8,G236)*POWER(Upgrades!$P$9,H236)*POWER(Upgrades!$P$10,I236)*POWER(Upgrades!$P$11,J236)*POWER(Upgrades!$P$12,K236))*(IF(Upgrades!$T$6="Asteroid Belt",POWER(Upgrades!$U$6,E236),1)*IF(Upgrades!$T$8="Asteroid Belt",POWER(Upgrades!$U$8,G236),1)*IF(Upgrades!$T$9="Asteroid Belt",POWER(Upgrades!$U$9,H236),1)*IF(Upgrades!$T$10="Asteroid Belt",POWER(Upgrades!$U$10,I236),1)*IF(Upgrades!$T$11="Asteroid Belt",POWER(Upgrades!$U$11,J236),1)*IF(Upgrades!$T$12="Asteroid Belt",POWER(Upgrades!$U$12,K236),1))/AH236,0)</f>
        <v/>
      </c>
      <c r="AU236" s="32">
        <f>IFERROR(Upgrades!$K$8*(POWER(Upgrades!$Q$6,E236)*POWER(Upgrades!$Q$7,F236)*POWER(Upgrades!$Q$8,G236)*POWER(Upgrades!$Q$9,H236)*POWER(Upgrades!$Q$10,I236)*POWER(Upgrades!$Q$11,J236)*POWER(Upgrades!$Q$12,K236))*(IF(Upgrades!$T$6="Stellar Coupling",POWER(Upgrades!$U$6,E236),1)*IF(Upgrades!$T$7="Stellar Coupling",POWER(Upgrades!$U$7,F236),1)*IF(Upgrades!$T$9="Stellar Coupling",POWER(Upgrades!$U$9,H236),1)*IF(Upgrades!$T$10="Stellar Coupling",POWER(Upgrades!$U$10,I236),1)*IF(Upgrades!$T$11="Stellar Coupling",POWER(Upgrades!$U$11,J236),1)*IF(Upgrades!$T$12="Stellar Coupling",POWER(Upgrades!$U$12,K236),1))*Parameters!$B$10*Parameters!$B$11/60/AI236,0)</f>
        <v/>
      </c>
      <c r="AV236" s="32">
        <f>IFERROR(Upgrades!$H$9*(POWER(Upgrades!$P$6,E236)*POWER(Upgrades!$P$7,F236)*POWER(Upgrades!$P$8,G236)*POWER(Upgrades!$P$9,H236)*POWER(Upgrades!$P$10,I236)*POWER(Upgrades!$P$11,J236)*POWER(Upgrades!$P$12,K236))*(IF(Upgrades!$T$6="Magnetosphere",POWER(Upgrades!$U$6,E236),1)*IF(Upgrades!$T$7="Magnetosphere",POWER(Upgrades!$U$7,F236),1)*IF(Upgrades!$T$8="Magnetosphere",POWER(Upgrades!$U$8,G236),1)*IF(Upgrades!$T$10="Magnetosphere",POWER(Upgrades!$U$10,I236),1)*IF(Upgrades!$T$11="Magnetosphere",POWER(Upgrades!$U$11,J236),1)*IF(Upgrades!$T$12="Magnetosphere",POWER(Upgrades!$U$12,K236),1))/AJ236,0)</f>
        <v/>
      </c>
      <c r="AW236" s="32">
        <f>MAX(IF(I236&gt;0,0,IFERROR(0.25*N236/Upgrades!$C$10,0)),IF(J236&gt;0,0,IFERROR(0.5*((IF(G236=0,0,(Upgrades!$J$8+G236*Upgrades!$K$8)*POWER(Upgrades!$L$8,G236)))*(IF(Upgrades!$T$6="Stellar Coupling",POWER(Upgrades!$U$6,E236),1)*IF(Upgrades!$T$7="Stellar Coupling",POWER(Upgrades!$U$7,F236),1)*IF(Upgrades!$T$9="Stellar Coupling",POWER(Upgrades!$U$9,H236),1)*IF(Upgrades!$T$10="Stellar Coupling",POWER(Upgrades!$U$10,I236),1)*IF(Upgrades!$T$11="Stellar Coupling",POWER(Upgrades!$U$11,J236),1)*IF(Upgrades!$T$12="Stellar Coupling",POWER(Upgrades!$U$12,K236),1))*(POWER(Upgrades!$Q$6,E236)*POWER(Upgrades!$Q$7,F236)*POWER(Upgrades!$Q$8,G236)*POWER(Upgrades!$Q$9,H236)*POWER(Upgrades!$Q$10,I236)*POWER(Upgrades!$Q$11,J236)*POWER(Upgrades!$Q$12,K236))*Parameters!$B$10*Parameters!$B$11/60)/Upgrades!$C$11,0)),IF(K236&gt;0,0,IFERROR((1.0*(POWER(Upgrades!$P$6,E236)*POWER(Upgrades!$P$7,F236)*POWER(Upgrades!$P$8,G236)*POWER(Upgrades!$P$9,H236)*POWER(Upgrades!$P$10,I236)*POWER(Upgrades!$P$11,J236)*POWER(Upgrades!$P$12,K236))+0.20*M236*Parameters!$B$10*Parameters!$B$11/60)/Upgrades!$C$12,0)),IF(AND(ISNUMBER(AG236),AG236&gt;T236),AS236,0),IF(AND(ISNUMBER(AH236),AH236&gt;T236),AT236,0),IF(AND(ISNUMBER(AI236),AI236&gt;T236),AU236,0),IF(AND(ISNUMBER(AJ236),AJ236&gt;T236),AV236,0))</f>
        <v/>
      </c>
      <c r="AX236" s="29">
        <f>IF(AN236=1,"transition",IF(MIN(IF(AND(I236=0,ISNUMBER(AK236),AK236&lt;=T236),AK236,9E15),IF(AND(J236=0,ISNUMBER(AL236),AL236&lt;=T236),AL236,9E15),IF(AND(K236=0,ISNUMBER(AM236),AM236&lt;=T236),AM236,9E15))&lt;9E15,IF(AND(AND(I236=0,ISNUMBER(AK236),AK236&lt;=T236),AK236=MIN(IF(AND(I236=0,ISNUMBER(AK236),AK236&lt;=T236),AK236,9E15),IF(AND(J236=0,ISNUMBER(AL236),AL236&lt;=T236),AL236,9E15),IF(AND(K236=0,ISNUMBER(AM236),AM236&lt;=T236),AM236,9E15))),"OR",IF(AND(AND(J236=0,ISNUMBER(AL236),AL236&lt;=T236),AL236=MIN(IF(AND(I236=0,ISNUMBER(AK236),AK236&lt;=T236),AK236,9E15),IF(AND(J236=0,ISNUMBER(AL236),AL236&lt;=T236),AL236,9E15),IF(AND(K236=0,ISNUMBER(AM236),AM236&lt;=T236),AM236,9E15))),"HP","FP")),IF(AR236=TRUE,"",IF(MAX(IF(AND(NOT(AND(AO236=1,AN236&lt;&gt;1)),ISNUMBER(AG236),AG236&lt;=T236),AS236,0),IF(AND(NOT(AND(AO236=1,AN236&lt;&gt;1)),ISNUMBER(AH236),AH236&lt;=T236),AT236,0),IF(AND(NOT(AND(AO236=1,AN236&lt;&gt;1)),ISNUMBER(AI236),AI236&lt;=T236),AU236,0),IF(AND(ISNUMBER(AJ236),AJ236&lt;=T236),AV236,0))&lt;=0,"",IF(AND(IF(AND(NOT(AND(AO236=1,AN236&lt;&gt;1)),ISNUMBER(AG236),AG236&lt;=T236),AS236,0)&gt;0,IF(AND(NOT(AND(AO236=1,AN236&lt;&gt;1)),ISNUMBER(AG236),AG236&lt;=T236),AS236,0)=MAX(IF(AND(NOT(AND(AO236=1,AN236&lt;&gt;1)),ISNUMBER(AG236),AG236&lt;=T236),AS236,0),IF(AND(NOT(AND(AO236=1,AN236&lt;&gt;1)),ISNUMBER(AH236),AH236&lt;=T236),AT236,0),IF(AND(NOT(AND(AO236=1,AN236&lt;&gt;1)),ISNUMBER(AI236),AI236&lt;=T236),AU236,0),IF(AND(ISNUMBER(AJ236),AJ236&lt;=T236),AV236,0))),"SW",IF(AND(IF(AND(NOT(AND(AO236=1,AN236&lt;&gt;1)),ISNUMBER(AH236),AH236&lt;=T236),AT236,0)&gt;0,IF(AND(NOT(AND(AO236=1,AN236&lt;&gt;1)),ISNUMBER(AH236),AH236&lt;=T236),AT236,0)=MAX(IF(AND(NOT(AND(AO236=1,AN236&lt;&gt;1)),ISNUMBER(AG236),AG236&lt;=T236),AS236,0),IF(AND(NOT(AND(AO236=1,AN236&lt;&gt;1)),ISNUMBER(AH236),AH236&lt;=T236),AT236,0),IF(AND(NOT(AND(AO236=1,AN236&lt;&gt;1)),ISNUMBER(AI236),AI236&lt;=T236),AU236,0),IF(AND(ISNUMBER(AJ236),AJ236&lt;=T236),AV236,0))),"AB",IF(AND(IF(AND(NOT(AND(AO236=1,AN236&lt;&gt;1)),ISNUMBER(AI236),AI236&lt;=T236),AU236,0)&gt;0,IF(AND(NOT(AND(AO236=1,AN236&lt;&gt;1)),ISNUMBER(AI236),AI236&lt;=T236),AU236,0)=MAX(IF(AND(NOT(AND(AO236=1,AN236&lt;&gt;1)),ISNUMBER(AG236),AG236&lt;=T236),AS236,0),IF(AND(NOT(AND(AO236=1,AN236&lt;&gt;1)),ISNUMBER(AH236),AH236&lt;=T236),AT236,0),IF(AND(NOT(AND(AO236=1,AN236&lt;&gt;1)),ISNUMBER(AI236),AI236&lt;=T236),AU236,0),IF(AND(ISNUMBER(AJ236),AJ236&lt;=T236),AV236,0))),"SC","Mag")))))))</f>
        <v/>
      </c>
    </row>
    <row r="237">
      <c r="A237" s="26" t="n">
        <v>232</v>
      </c>
      <c r="B237" s="27">
        <f>A237*10/60</f>
        <v/>
      </c>
      <c r="C237" s="22">
        <f>X236</f>
        <v/>
      </c>
      <c r="D237" s="27">
        <f>D236+W236</f>
        <v/>
      </c>
      <c r="E237" s="26">
        <f>E236+IF(U236="SW",1,0)</f>
        <v/>
      </c>
      <c r="F237" s="26">
        <f>F236+IF(U236="AB",1,0)</f>
        <v/>
      </c>
      <c r="G237" s="26">
        <f>G236+IF(U236="SC",1,0)</f>
        <v/>
      </c>
      <c r="H237" s="26">
        <f>H236+IF(U236="Mag",1,0)</f>
        <v/>
      </c>
      <c r="I237" s="26">
        <f>MAX(I236,IF(U236="OR",1,0))</f>
        <v/>
      </c>
      <c r="J237" s="26">
        <f>MAX(J236,IF(U236="HP",1,0))</f>
        <v/>
      </c>
      <c r="K237" s="26">
        <f>MAX(K236,IF(U236="FP",1,0))</f>
        <v/>
      </c>
      <c r="L237" s="26">
        <f>MAX(L236,IF(U236="transition",1,0))</f>
        <v/>
      </c>
      <c r="M237" s="28">
        <f>(Parameters!$B$9+(IF(E237=0,0,(Upgrades!$J$6+E237*Upgrades!$K$6)*POWER(Upgrades!$L$6,E237)))*(IF(Upgrades!$T$7="Solar Wind",POWER(Upgrades!$U$7,F237),1)*IF(Upgrades!$T$8="Solar Wind",POWER(Upgrades!$U$8,G237),1)*IF(Upgrades!$T$9="Solar Wind",POWER(Upgrades!$U$9,H237),1)*IF(Upgrades!$T$10="Solar Wind",POWER(Upgrades!$U$10,I237),1)*IF(Upgrades!$T$11="Solar Wind",POWER(Upgrades!$U$11,J237),1)*IF(Upgrades!$T$12="Solar Wind",POWER(Upgrades!$U$12,K237),1))+(IF(F237=0,0,(Upgrades!$J$7+F237*Upgrades!$K$7)*POWER(Upgrades!$L$7,F237)))*(IF(Upgrades!$T$6="Asteroid Belt",POWER(Upgrades!$U$6,E237),1)*IF(Upgrades!$T$8="Asteroid Belt",POWER(Upgrades!$U$8,G237),1)*IF(Upgrades!$T$9="Asteroid Belt",POWER(Upgrades!$U$9,H237),1)*IF(Upgrades!$T$10="Asteroid Belt",POWER(Upgrades!$U$10,I237),1)*IF(Upgrades!$T$11="Asteroid Belt",POWER(Upgrades!$U$11,J237),1)*IF(Upgrades!$T$12="Asteroid Belt",POWER(Upgrades!$U$12,K237),1))+(IF(G237=0,0,(Upgrades!$J$8+G237*Upgrades!$K$8)*POWER(Upgrades!$L$8,G237)))*(IF(Upgrades!$T$6="Stellar Coupling",POWER(Upgrades!$U$6,E237),1)*IF(Upgrades!$T$7="Stellar Coupling",POWER(Upgrades!$U$7,F237),1)*IF(Upgrades!$T$9="Stellar Coupling",POWER(Upgrades!$U$9,H237),1)*IF(Upgrades!$T$10="Stellar Coupling",POWER(Upgrades!$U$10,I237),1)*IF(Upgrades!$T$11="Stellar Coupling",POWER(Upgrades!$U$11,J237),1)*IF(Upgrades!$T$12="Stellar Coupling",POWER(Upgrades!$U$12,K237),1))+(IF(H237=0,0,(Upgrades!$J$9+H237*Upgrades!$K$9)*POWER(Upgrades!$L$9,H237)))*(IF(Upgrades!$T$6="Magnetosphere",POWER(Upgrades!$U$6,E237),1)*IF(Upgrades!$T$7="Magnetosphere",POWER(Upgrades!$U$7,F237),1)*IF(Upgrades!$T$8="Magnetosphere",POWER(Upgrades!$U$8,G237),1)*IF(Upgrades!$T$10="Magnetosphere",POWER(Upgrades!$U$10,I237),1)*IF(Upgrades!$T$11="Magnetosphere",POWER(Upgrades!$U$11,J237),1)*IF(Upgrades!$T$12="Magnetosphere",POWER(Upgrades!$U$12,K237),1))+(IF(I237=0,0,(Upgrades!$J$10+I237*Upgrades!$K$10)*POWER(Upgrades!$L$10,I237)))*(IF(Upgrades!$T$6="Orbital Resonance",POWER(Upgrades!$U$6,E237),1)*IF(Upgrades!$T$7="Orbital Resonance",POWER(Upgrades!$U$7,F237),1)*IF(Upgrades!$T$8="Orbital Resonance",POWER(Upgrades!$U$8,G237),1)*IF(Upgrades!$T$9="Orbital Resonance",POWER(Upgrades!$U$9,H237),1)*IF(Upgrades!$T$11="Orbital Resonance",POWER(Upgrades!$U$11,J237),1)*IF(Upgrades!$T$12="Orbital Resonance",POWER(Upgrades!$U$12,K237),1))+(IF(J237=0,0,(Upgrades!$J$11+J237*Upgrades!$K$11)*POWER(Upgrades!$L$11,J237)))*(IF(Upgrades!$T$6="Heliopause",POWER(Upgrades!$U$6,E237),1)*IF(Upgrades!$T$7="Heliopause",POWER(Upgrades!$U$7,F237),1)*IF(Upgrades!$T$8="Heliopause",POWER(Upgrades!$U$8,G237),1)*IF(Upgrades!$T$9="Heliopause",POWER(Upgrades!$U$9,H237),1)*IF(Upgrades!$T$10="Heliopause",POWER(Upgrades!$U$10,I237),1)*IF(Upgrades!$T$12="Heliopause",POWER(Upgrades!$U$12,K237),1))+(IF(K237=0,0,(Upgrades!$J$12+K237*Upgrades!$K$12)*POWER(Upgrades!$L$12,K237)))*(IF(Upgrades!$T$6="First Photons",POWER(Upgrades!$U$6,E237),1)*IF(Upgrades!$T$7="First Photons",POWER(Upgrades!$U$7,F237),1)*IF(Upgrades!$T$8="First Photons",POWER(Upgrades!$U$8,G237),1)*IF(Upgrades!$T$9="First Photons",POWER(Upgrades!$U$9,H237),1)*IF(Upgrades!$T$10="First Photons",POWER(Upgrades!$U$10,I237),1)*IF(Upgrades!$T$11="First Photons",POWER(Upgrades!$U$11,J237),1)))*POWER(Upgrades!$Q$6,E237)*POWER(Upgrades!$Q$7,F237)*POWER(Upgrades!$Q$8,G237)*POWER(Upgrades!$Q$9,H237)*POWER(Upgrades!$Q$10,I237)*POWER(Upgrades!$Q$11,J237)*POWER(Upgrades!$Q$12,K237)</f>
        <v/>
      </c>
      <c r="N237" s="28">
        <f>((IF(E237=0,0,(Upgrades!$G$6+E237*Upgrades!$H$6)*POWER(Upgrades!$I$6,E237)))*(IF(Upgrades!$T$7="Solar Wind",POWER(Upgrades!$U$7,F237),1)*IF(Upgrades!$T$8="Solar Wind",POWER(Upgrades!$U$8,G237),1)*IF(Upgrades!$T$9="Solar Wind",POWER(Upgrades!$U$9,H237),1)*IF(Upgrades!$T$10="Solar Wind",POWER(Upgrades!$U$10,I237),1)*IF(Upgrades!$T$11="Solar Wind",POWER(Upgrades!$U$11,J237),1)*IF(Upgrades!$T$12="Solar Wind",POWER(Upgrades!$U$12,K237),1))+(IF(F237=0,0,(Upgrades!$G$7+F237*Upgrades!$H$7)*POWER(Upgrades!$I$7,F237)))*(IF(Upgrades!$T$6="Asteroid Belt",POWER(Upgrades!$U$6,E237),1)*IF(Upgrades!$T$8="Asteroid Belt",POWER(Upgrades!$U$8,G237),1)*IF(Upgrades!$T$9="Asteroid Belt",POWER(Upgrades!$U$9,H237),1)*IF(Upgrades!$T$10="Asteroid Belt",POWER(Upgrades!$U$10,I237),1)*IF(Upgrades!$T$11="Asteroid Belt",POWER(Upgrades!$U$11,J237),1)*IF(Upgrades!$T$12="Asteroid Belt",POWER(Upgrades!$U$12,K237),1))+(IF(G237=0,0,(Upgrades!$G$8+G237*Upgrades!$H$8)*POWER(Upgrades!$I$8,G237)))*(IF(Upgrades!$T$6="Stellar Coupling",POWER(Upgrades!$U$6,E237),1)*IF(Upgrades!$T$7="Stellar Coupling",POWER(Upgrades!$U$7,F237),1)*IF(Upgrades!$T$9="Stellar Coupling",POWER(Upgrades!$U$9,H237),1)*IF(Upgrades!$T$10="Stellar Coupling",POWER(Upgrades!$U$10,I237),1)*IF(Upgrades!$T$11="Stellar Coupling",POWER(Upgrades!$U$11,J237),1)*IF(Upgrades!$T$12="Stellar Coupling",POWER(Upgrades!$U$12,K237),1))+(IF(H237=0,0,(Upgrades!$G$9+H237*Upgrades!$H$9)*POWER(Upgrades!$I$9,H237)))*(IF(Upgrades!$T$6="Magnetosphere",POWER(Upgrades!$U$6,E237),1)*IF(Upgrades!$T$7="Magnetosphere",POWER(Upgrades!$U$7,F237),1)*IF(Upgrades!$T$8="Magnetosphere",POWER(Upgrades!$U$8,G237),1)*IF(Upgrades!$T$10="Magnetosphere",POWER(Upgrades!$U$10,I237),1)*IF(Upgrades!$T$11="Magnetosphere",POWER(Upgrades!$U$11,J237),1)*IF(Upgrades!$T$12="Magnetosphere",POWER(Upgrades!$U$12,K237),1))+(IF(I237=0,0,(Upgrades!$G$10+I237*Upgrades!$H$10)*POWER(Upgrades!$I$10,I237)))*(IF(Upgrades!$T$6="Orbital Resonance",POWER(Upgrades!$U$6,E237),1)*IF(Upgrades!$T$7="Orbital Resonance",POWER(Upgrades!$U$7,F237),1)*IF(Upgrades!$T$8="Orbital Resonance",POWER(Upgrades!$U$8,G237),1)*IF(Upgrades!$T$9="Orbital Resonance",POWER(Upgrades!$U$9,H237),1)*IF(Upgrades!$T$11="Orbital Resonance",POWER(Upgrades!$U$11,J237),1)*IF(Upgrades!$T$12="Orbital Resonance",POWER(Upgrades!$U$12,K237),1))+(IF(J237=0,0,(Upgrades!$G$11+J237*Upgrades!$H$11)*POWER(Upgrades!$I$11,J237)))*(IF(Upgrades!$T$6="Heliopause",POWER(Upgrades!$U$6,E237),1)*IF(Upgrades!$T$7="Heliopause",POWER(Upgrades!$U$7,F237),1)*IF(Upgrades!$T$8="Heliopause",POWER(Upgrades!$U$8,G237),1)*IF(Upgrades!$T$9="Heliopause",POWER(Upgrades!$U$9,H237),1)*IF(Upgrades!$T$10="Heliopause",POWER(Upgrades!$U$10,I237),1)*IF(Upgrades!$T$12="Heliopause",POWER(Upgrades!$U$12,K237),1))+(IF(K237=0,0,(Upgrades!$G$12+K237*Upgrades!$H$12)*POWER(Upgrades!$I$12,K237)))*(IF(Upgrades!$T$6="First Photons",POWER(Upgrades!$U$6,E237),1)*IF(Upgrades!$T$7="First Photons",POWER(Upgrades!$U$7,F237),1)*IF(Upgrades!$T$8="First Photons",POWER(Upgrades!$U$8,G237),1)*IF(Upgrades!$T$9="First Photons",POWER(Upgrades!$U$9,H237),1)*IF(Upgrades!$T$10="First Photons",POWER(Upgrades!$U$10,I237),1)*IF(Upgrades!$T$11="First Photons",POWER(Upgrades!$U$11,J237),1)))*POWER(Upgrades!$P$6,E237)*POWER(Upgrades!$P$7,F237)*POWER(Upgrades!$P$8,G237)*POWER(Upgrades!$P$9,H237)*POWER(Upgrades!$P$10,I237)*POWER(Upgrades!$P$11,J237)*POWER(Upgrades!$P$12,K237)</f>
        <v/>
      </c>
      <c r="O237" s="28">
        <f>((IF(E237=0,0,(Upgrades!$M$6+E237*Upgrades!$N$6)*POWER(Upgrades!$O$6,E237)))*(IF(Upgrades!$T$7="Solar Wind",POWER(Upgrades!$U$7,F237),1)*IF(Upgrades!$T$8="Solar Wind",POWER(Upgrades!$U$8,G237),1)*IF(Upgrades!$T$9="Solar Wind",POWER(Upgrades!$U$9,H237),1)*IF(Upgrades!$T$10="Solar Wind",POWER(Upgrades!$U$10,I237),1)*IF(Upgrades!$T$11="Solar Wind",POWER(Upgrades!$U$11,J237),1)*IF(Upgrades!$T$12="Solar Wind",POWER(Upgrades!$U$12,K237),1))+(IF(F237=0,0,(Upgrades!$M$7+F237*Upgrades!$N$7)*POWER(Upgrades!$O$7,F237)))*(IF(Upgrades!$T$6="Asteroid Belt",POWER(Upgrades!$U$6,E237),1)*IF(Upgrades!$T$8="Asteroid Belt",POWER(Upgrades!$U$8,G237),1)*IF(Upgrades!$T$9="Asteroid Belt",POWER(Upgrades!$U$9,H237),1)*IF(Upgrades!$T$10="Asteroid Belt",POWER(Upgrades!$U$10,I237),1)*IF(Upgrades!$T$11="Asteroid Belt",POWER(Upgrades!$U$11,J237),1)*IF(Upgrades!$T$12="Asteroid Belt",POWER(Upgrades!$U$12,K237),1))+(IF(G237=0,0,(Upgrades!$M$8+G237*Upgrades!$N$8)*POWER(Upgrades!$O$8,G237)))*(IF(Upgrades!$T$6="Stellar Coupling",POWER(Upgrades!$U$6,E237),1)*IF(Upgrades!$T$7="Stellar Coupling",POWER(Upgrades!$U$7,F237),1)*IF(Upgrades!$T$9="Stellar Coupling",POWER(Upgrades!$U$9,H237),1)*IF(Upgrades!$T$10="Stellar Coupling",POWER(Upgrades!$U$10,I237),1)*IF(Upgrades!$T$11="Stellar Coupling",POWER(Upgrades!$U$11,J237),1)*IF(Upgrades!$T$12="Stellar Coupling",POWER(Upgrades!$U$12,K237),1))+(IF(H237=0,0,(Upgrades!$M$9+H237*Upgrades!$N$9)*POWER(Upgrades!$O$9,H237)))*(IF(Upgrades!$T$6="Magnetosphere",POWER(Upgrades!$U$6,E237),1)*IF(Upgrades!$T$7="Magnetosphere",POWER(Upgrades!$U$7,F237),1)*IF(Upgrades!$T$8="Magnetosphere",POWER(Upgrades!$U$8,G237),1)*IF(Upgrades!$T$10="Magnetosphere",POWER(Upgrades!$U$10,I237),1)*IF(Upgrades!$T$11="Magnetosphere",POWER(Upgrades!$U$11,J237),1)*IF(Upgrades!$T$12="Magnetosphere",POWER(Upgrades!$U$12,K237),1))+(IF(I237=0,0,(Upgrades!$M$10+I237*Upgrades!$N$10)*POWER(Upgrades!$O$10,I237)))*(IF(Upgrades!$T$6="Orbital Resonance",POWER(Upgrades!$U$6,E237),1)*IF(Upgrades!$T$7="Orbital Resonance",POWER(Upgrades!$U$7,F237),1)*IF(Upgrades!$T$8="Orbital Resonance",POWER(Upgrades!$U$8,G237),1)*IF(Upgrades!$T$9="Orbital Resonance",POWER(Upgrades!$U$9,H237),1)*IF(Upgrades!$T$11="Orbital Resonance",POWER(Upgrades!$U$11,J237),1)*IF(Upgrades!$T$12="Orbital Resonance",POWER(Upgrades!$U$12,K237),1))+(IF(J237=0,0,(Upgrades!$M$11+J237*Upgrades!$N$11)*POWER(Upgrades!$O$11,J237)))*(IF(Upgrades!$T$6="Heliopause",POWER(Upgrades!$U$6,E237),1)*IF(Upgrades!$T$7="Heliopause",POWER(Upgrades!$U$7,F237),1)*IF(Upgrades!$T$8="Heliopause",POWER(Upgrades!$U$8,G237),1)*IF(Upgrades!$T$9="Heliopause",POWER(Upgrades!$U$9,H237),1)*IF(Upgrades!$T$10="Heliopause",POWER(Upgrades!$U$10,I237),1)*IF(Upgrades!$T$12="Heliopause",POWER(Upgrades!$U$12,K237),1))+(IF(K237=0,0,(Upgrades!$M$12+K237*Upgrades!$N$12)*POWER(Upgrades!$O$12,K237)))*(IF(Upgrades!$T$6="First Photons",POWER(Upgrades!$U$6,E237),1)*IF(Upgrades!$T$7="First Photons",POWER(Upgrades!$U$7,F237),1)*IF(Upgrades!$T$8="First Photons",POWER(Upgrades!$U$8,G237),1)*IF(Upgrades!$T$9="First Photons",POWER(Upgrades!$U$9,H237),1)*IF(Upgrades!$T$10="First Photons",POWER(Upgrades!$U$10,I237),1)*IF(Upgrades!$T$11="First Photons",POWER(Upgrades!$U$11,J237),1)))*POWER(Upgrades!$R$6,E237)*POWER(Upgrades!$R$7,F237)*POWER(Upgrades!$R$8,G237)*POWER(Upgrades!$R$9,H237)*POWER(Upgrades!$R$10,I237)*POWER(Upgrades!$R$11,J237)*POWER(Upgrades!$R$12,K237)</f>
        <v/>
      </c>
      <c r="P237" s="27">
        <f>IF(L237=1,0,M237*Parameters!$B$10/60*Parameters!$B$11*10)</f>
        <v/>
      </c>
      <c r="Q237" s="27">
        <f>IF(L237=1,0,O237*M237*10)</f>
        <v/>
      </c>
      <c r="R237" s="27">
        <f>IF(L237=1,0,N237*10)</f>
        <v/>
      </c>
      <c r="S237" s="27">
        <f>P237+Q237+R237</f>
        <v/>
      </c>
      <c r="T237" s="22">
        <f>C237+S237</f>
        <v/>
      </c>
      <c r="U237" s="33">
        <f>AX237</f>
        <v/>
      </c>
      <c r="V237" s="22">
        <f>IF(U237="",0,IF(U237="transition",0,IF(U237="SW",AG237,IF(U237="AB",AH237,IF(U237="SC",AI237,IF(U237="Mag",AJ237,IF(U237="OR",AK237,IF(U237="HP",AL237,IF(U237="FP",AM237,0)))))))))</f>
        <v/>
      </c>
      <c r="W237" s="27">
        <f>IF(U237="OR",Upgrades!$F$10,IF(U237="HP",Upgrades!$F$11,IF(U237="transition",-Parameters!$B$18,0)))</f>
        <v/>
      </c>
      <c r="X237" s="22">
        <f>T237-V237</f>
        <v/>
      </c>
      <c r="Y237" s="30">
        <f>M237*Parameters!$B$10/60*Parameters!$B$11+O237*M237+N237</f>
        <v/>
      </c>
      <c r="Z237" s="34">
        <f>IF(U237="transition","→ Tier 2 (Stellar Neighborhood)",IF(U237="FP","First Photons — light begins, system quickens",IF(U237="HP","Heliopause acquired",IF(U237="OR","Orbital Resonance — passive multiplier active",IF(AND(AO237=1,L237=0,AN237&lt;&gt;1),"Cohesion ready (waiting on completionist upgrades)","")))))</f>
        <v/>
      </c>
      <c r="AA237" s="27">
        <f>(IF(E237=0,0,(Upgrades!$G$6+E237*Upgrades!$H$6)*POWER(Upgrades!$I$6,E237)))*(IF(Upgrades!$T$7="Solar Wind",POWER(Upgrades!$U$7,F237),1)*IF(Upgrades!$T$8="Solar Wind",POWER(Upgrades!$U$8,G237),1)*IF(Upgrades!$T$9="Solar Wind",POWER(Upgrades!$U$9,H237),1)*IF(Upgrades!$T$10="Solar Wind",POWER(Upgrades!$U$10,I237),1)*IF(Upgrades!$T$11="Solar Wind",POWER(Upgrades!$U$11,J237),1)*IF(Upgrades!$T$12="Solar Wind",POWER(Upgrades!$U$12,K237),1))*POWER(Upgrades!$P$6,E237)*POWER(Upgrades!$P$7,F237)*POWER(Upgrades!$P$8,G237)*POWER(Upgrades!$P$9,H237)*POWER(Upgrades!$P$10,I237)*POWER(Upgrades!$P$11,J237)*POWER(Upgrades!$P$12,K237)*60</f>
        <v/>
      </c>
      <c r="AB237" s="27">
        <f>(IF(F237=0,0,(Upgrades!$G$7+F237*Upgrades!$H$7)*POWER(Upgrades!$I$7,F237)))*(IF(Upgrades!$T$6="Asteroid Belt",POWER(Upgrades!$U$6,E237),1)*IF(Upgrades!$T$8="Asteroid Belt",POWER(Upgrades!$U$8,G237),1)*IF(Upgrades!$T$9="Asteroid Belt",POWER(Upgrades!$U$9,H237),1)*IF(Upgrades!$T$10="Asteroid Belt",POWER(Upgrades!$U$10,I237),1)*IF(Upgrades!$T$11="Asteroid Belt",POWER(Upgrades!$U$11,J237),1)*IF(Upgrades!$T$12="Asteroid Belt",POWER(Upgrades!$U$12,K237),1))*POWER(Upgrades!$P$6,E237)*POWER(Upgrades!$P$7,F237)*POWER(Upgrades!$P$8,G237)*POWER(Upgrades!$P$9,H237)*POWER(Upgrades!$P$10,I237)*POWER(Upgrades!$P$11,J237)*POWER(Upgrades!$P$12,K237)*60</f>
        <v/>
      </c>
      <c r="AC237" s="27">
        <f>(IF(G237=0,0,(Upgrades!$J$8+G237*Upgrades!$K$8)*POWER(Upgrades!$L$8,G237)))*(IF(Upgrades!$T$6="Stellar Coupling",POWER(Upgrades!$U$6,E237),1)*IF(Upgrades!$T$7="Stellar Coupling",POWER(Upgrades!$U$7,F237),1)*IF(Upgrades!$T$9="Stellar Coupling",POWER(Upgrades!$U$9,H237),1)*IF(Upgrades!$T$10="Stellar Coupling",POWER(Upgrades!$U$10,I237),1)*IF(Upgrades!$T$11="Stellar Coupling",POWER(Upgrades!$U$11,J237),1)*IF(Upgrades!$T$12="Stellar Coupling",POWER(Upgrades!$U$12,K237),1))*POWER(Upgrades!$Q$6,E237)*POWER(Upgrades!$Q$7,F237)*POWER(Upgrades!$Q$8,G237)*POWER(Upgrades!$Q$9,H237)*POWER(Upgrades!$Q$10,I237)*POWER(Upgrades!$Q$11,J237)*POWER(Upgrades!$Q$12,K237)*Parameters!$B$10*Parameters!$B$11</f>
        <v/>
      </c>
      <c r="AD237" s="27">
        <f>(IF(H237=0,0,(Upgrades!$G$9+H237*Upgrades!$H$9)*POWER(Upgrades!$I$9,H237)))*(IF(Upgrades!$T$6="Magnetosphere",POWER(Upgrades!$U$6,E237),1)*IF(Upgrades!$T$7="Magnetosphere",POWER(Upgrades!$U$7,F237),1)*IF(Upgrades!$T$8="Magnetosphere",POWER(Upgrades!$U$8,G237),1)*IF(Upgrades!$T$10="Magnetosphere",POWER(Upgrades!$U$10,I237),1)*IF(Upgrades!$T$11="Magnetosphere",POWER(Upgrades!$U$11,J237),1)*IF(Upgrades!$T$12="Magnetosphere",POWER(Upgrades!$U$12,K237),1))*POWER(Upgrades!$P$6,E237)*POWER(Upgrades!$P$7,F237)*POWER(Upgrades!$P$8,G237)*POWER(Upgrades!$P$9,H237)*POWER(Upgrades!$P$10,I237)*POWER(Upgrades!$P$11,J237)*POWER(Upgrades!$P$12,K237)*60</f>
        <v/>
      </c>
      <c r="AE237" s="27">
        <f>(IF(K237=0,0,(Upgrades!$G$12+K237*Upgrades!$H$12)*POWER(Upgrades!$I$12,K237)))*(IF(Upgrades!$T$6="First Photons",POWER(Upgrades!$U$6,E237),1)*IF(Upgrades!$T$7="First Photons",POWER(Upgrades!$U$7,F237),1)*IF(Upgrades!$T$8="First Photons",POWER(Upgrades!$U$8,G237),1)*IF(Upgrades!$T$9="First Photons",POWER(Upgrades!$U$9,H237),1)*IF(Upgrades!$T$10="First Photons",POWER(Upgrades!$U$10,I237),1)*IF(Upgrades!$T$11="First Photons",POWER(Upgrades!$U$11,J237),1))*POWER(Upgrades!$P$6,E237)*POWER(Upgrades!$P$7,F237)*POWER(Upgrades!$P$8,G237)*POWER(Upgrades!$P$9,H237)*POWER(Upgrades!$P$10,I237)*POWER(Upgrades!$P$11,J237)*POWER(Upgrades!$P$12,K237)*60</f>
        <v/>
      </c>
      <c r="AF237" s="27">
        <f>Parameters!$B$9*POWER(Upgrades!$Q$6,E237)*POWER(Upgrades!$Q$7,F237)*POWER(Upgrades!$Q$8,G237)*POWER(Upgrades!$Q$9,H237)*POWER(Upgrades!$Q$10,I237)*POWER(Upgrades!$Q$11,J237)*POWER(Upgrades!$Q$12,K237)*(Parameters!$B$10*Parameters!$B$11+O237*60)</f>
        <v/>
      </c>
      <c r="AG237" s="22">
        <f>IF(E237&gt;=Upgrades!$E$6,"",Upgrades!$C$6*POWER(Upgrades!$D$6,E237))</f>
        <v/>
      </c>
      <c r="AH237" s="22">
        <f>IF(F237&gt;=Upgrades!$E$7,"",Upgrades!$C$7*POWER(Upgrades!$D$7,F237))</f>
        <v/>
      </c>
      <c r="AI237" s="22">
        <f>IF(G237&gt;=Upgrades!$E$8,"",Upgrades!$C$8*POWER(Upgrades!$D$8,G237))</f>
        <v/>
      </c>
      <c r="AJ237" s="22">
        <f>IF(H237&gt;=Upgrades!$E$9,"",Upgrades!$C$9*POWER(Upgrades!$D$9,H237))</f>
        <v/>
      </c>
      <c r="AK237" s="22">
        <f>IF(I237&gt;=Upgrades!$E$10,"",Upgrades!$C$10*POWER(Upgrades!$D$10,I237))</f>
        <v/>
      </c>
      <c r="AL237" s="22">
        <f>IF(J237&gt;=Upgrades!$E$11,"",Upgrades!$C$11*POWER(Upgrades!$D$11,J237))</f>
        <v/>
      </c>
      <c r="AM237" s="22">
        <f>IF(K237&gt;=Upgrades!$E$12,"",Upgrades!$C$12*POWER(Upgrades!$D$12,K237))</f>
        <v/>
      </c>
      <c r="AN237" s="26">
        <f>IF(AND(D237&gt;=Parameters!$B$18,(H237&gt;=Upgrades!$E$9)*(K237&gt;=Upgrades!$E$12)=1,L237=0),1,"")</f>
        <v/>
      </c>
      <c r="AO237" s="26">
        <f>IF(AND(D237&gt;=Parameters!$B$18,L237=0),1,"")</f>
        <v/>
      </c>
      <c r="AP237" s="22">
        <f>MIN(IF(ISNUMBER(AK237),AK237,9E15),IF(ISNUMBER(AL237),AL237,9E15),IF(ISNUMBER(AM237),AM237,9E15))</f>
        <v/>
      </c>
      <c r="AQ237" s="22">
        <f>MIN(IF(ISNUMBER(AG237),AG237,9E15),IF(ISNUMBER(AH237),AH237,9E15),IF(ISNUMBER(AI237),AI237,9E15),IF(ISNUMBER(AJ237),AJ237,9E15))</f>
        <v/>
      </c>
      <c r="AR237" s="29">
        <f>IF(AW237&gt;Parameters!$B$21*(MAX(IF(AND(NOT(AND(AO237=1,AN237&lt;&gt;1)),ISNUMBER(AG237),AG237&lt;=T237),AS237,0),IF(AND(NOT(AND(AO237=1,AN237&lt;&gt;1)),ISNUMBER(AH237),AH237&lt;=T237),AT237,0),IF(AND(NOT(AND(AO237=1,AN237&lt;&gt;1)),ISNUMBER(AI237),AI237&lt;=T237),AU237,0),IF(AND(ISNUMBER(AJ237),AJ237&lt;=T237),AV237,0))),TRUE,FALSE)</f>
        <v/>
      </c>
      <c r="AS237" s="32">
        <f>IFERROR(Upgrades!$H$6*(POWER(Upgrades!$P$6,E237)*POWER(Upgrades!$P$7,F237)*POWER(Upgrades!$P$8,G237)*POWER(Upgrades!$P$9,H237)*POWER(Upgrades!$P$10,I237)*POWER(Upgrades!$P$11,J237)*POWER(Upgrades!$P$12,K237))*(IF(Upgrades!$T$7="Solar Wind",POWER(Upgrades!$U$7,F237),1)*IF(Upgrades!$T$8="Solar Wind",POWER(Upgrades!$U$8,G237),1)*IF(Upgrades!$T$9="Solar Wind",POWER(Upgrades!$U$9,H237),1)*IF(Upgrades!$T$10="Solar Wind",POWER(Upgrades!$U$10,I237),1)*IF(Upgrades!$T$11="Solar Wind",POWER(Upgrades!$U$11,J237),1)*IF(Upgrades!$T$12="Solar Wind",POWER(Upgrades!$U$12,K237),1))/AG237,0)</f>
        <v/>
      </c>
      <c r="AT237" s="32">
        <f>IFERROR(Upgrades!$H$7*(POWER(Upgrades!$P$6,E237)*POWER(Upgrades!$P$7,F237)*POWER(Upgrades!$P$8,G237)*POWER(Upgrades!$P$9,H237)*POWER(Upgrades!$P$10,I237)*POWER(Upgrades!$P$11,J237)*POWER(Upgrades!$P$12,K237))*(IF(Upgrades!$T$6="Asteroid Belt",POWER(Upgrades!$U$6,E237),1)*IF(Upgrades!$T$8="Asteroid Belt",POWER(Upgrades!$U$8,G237),1)*IF(Upgrades!$T$9="Asteroid Belt",POWER(Upgrades!$U$9,H237),1)*IF(Upgrades!$T$10="Asteroid Belt",POWER(Upgrades!$U$10,I237),1)*IF(Upgrades!$T$11="Asteroid Belt",POWER(Upgrades!$U$11,J237),1)*IF(Upgrades!$T$12="Asteroid Belt",POWER(Upgrades!$U$12,K237),1))/AH237,0)</f>
        <v/>
      </c>
      <c r="AU237" s="32">
        <f>IFERROR(Upgrades!$K$8*(POWER(Upgrades!$Q$6,E237)*POWER(Upgrades!$Q$7,F237)*POWER(Upgrades!$Q$8,G237)*POWER(Upgrades!$Q$9,H237)*POWER(Upgrades!$Q$10,I237)*POWER(Upgrades!$Q$11,J237)*POWER(Upgrades!$Q$12,K237))*(IF(Upgrades!$T$6="Stellar Coupling",POWER(Upgrades!$U$6,E237),1)*IF(Upgrades!$T$7="Stellar Coupling",POWER(Upgrades!$U$7,F237),1)*IF(Upgrades!$T$9="Stellar Coupling",POWER(Upgrades!$U$9,H237),1)*IF(Upgrades!$T$10="Stellar Coupling",POWER(Upgrades!$U$10,I237),1)*IF(Upgrades!$T$11="Stellar Coupling",POWER(Upgrades!$U$11,J237),1)*IF(Upgrades!$T$12="Stellar Coupling",POWER(Upgrades!$U$12,K237),1))*Parameters!$B$10*Parameters!$B$11/60/AI237,0)</f>
        <v/>
      </c>
      <c r="AV237" s="32">
        <f>IFERROR(Upgrades!$H$9*(POWER(Upgrades!$P$6,E237)*POWER(Upgrades!$P$7,F237)*POWER(Upgrades!$P$8,G237)*POWER(Upgrades!$P$9,H237)*POWER(Upgrades!$P$10,I237)*POWER(Upgrades!$P$11,J237)*POWER(Upgrades!$P$12,K237))*(IF(Upgrades!$T$6="Magnetosphere",POWER(Upgrades!$U$6,E237),1)*IF(Upgrades!$T$7="Magnetosphere",POWER(Upgrades!$U$7,F237),1)*IF(Upgrades!$T$8="Magnetosphere",POWER(Upgrades!$U$8,G237),1)*IF(Upgrades!$T$10="Magnetosphere",POWER(Upgrades!$U$10,I237),1)*IF(Upgrades!$T$11="Magnetosphere",POWER(Upgrades!$U$11,J237),1)*IF(Upgrades!$T$12="Magnetosphere",POWER(Upgrades!$U$12,K237),1))/AJ237,0)</f>
        <v/>
      </c>
      <c r="AW237" s="32">
        <f>MAX(IF(I237&gt;0,0,IFERROR(0.25*N237/Upgrades!$C$10,0)),IF(J237&gt;0,0,IFERROR(0.5*((IF(G237=0,0,(Upgrades!$J$8+G237*Upgrades!$K$8)*POWER(Upgrades!$L$8,G237)))*(IF(Upgrades!$T$6="Stellar Coupling",POWER(Upgrades!$U$6,E237),1)*IF(Upgrades!$T$7="Stellar Coupling",POWER(Upgrades!$U$7,F237),1)*IF(Upgrades!$T$9="Stellar Coupling",POWER(Upgrades!$U$9,H237),1)*IF(Upgrades!$T$10="Stellar Coupling",POWER(Upgrades!$U$10,I237),1)*IF(Upgrades!$T$11="Stellar Coupling",POWER(Upgrades!$U$11,J237),1)*IF(Upgrades!$T$12="Stellar Coupling",POWER(Upgrades!$U$12,K237),1))*(POWER(Upgrades!$Q$6,E237)*POWER(Upgrades!$Q$7,F237)*POWER(Upgrades!$Q$8,G237)*POWER(Upgrades!$Q$9,H237)*POWER(Upgrades!$Q$10,I237)*POWER(Upgrades!$Q$11,J237)*POWER(Upgrades!$Q$12,K237))*Parameters!$B$10*Parameters!$B$11/60)/Upgrades!$C$11,0)),IF(K237&gt;0,0,IFERROR((1.0*(POWER(Upgrades!$P$6,E237)*POWER(Upgrades!$P$7,F237)*POWER(Upgrades!$P$8,G237)*POWER(Upgrades!$P$9,H237)*POWER(Upgrades!$P$10,I237)*POWER(Upgrades!$P$11,J237)*POWER(Upgrades!$P$12,K237))+0.20*M237*Parameters!$B$10*Parameters!$B$11/60)/Upgrades!$C$12,0)),IF(AND(ISNUMBER(AG237),AG237&gt;T237),AS237,0),IF(AND(ISNUMBER(AH237),AH237&gt;T237),AT237,0),IF(AND(ISNUMBER(AI237),AI237&gt;T237),AU237,0),IF(AND(ISNUMBER(AJ237),AJ237&gt;T237),AV237,0))</f>
        <v/>
      </c>
      <c r="AX237" s="29">
        <f>IF(AN237=1,"transition",IF(MIN(IF(AND(I237=0,ISNUMBER(AK237),AK237&lt;=T237),AK237,9E15),IF(AND(J237=0,ISNUMBER(AL237),AL237&lt;=T237),AL237,9E15),IF(AND(K237=0,ISNUMBER(AM237),AM237&lt;=T237),AM237,9E15))&lt;9E15,IF(AND(AND(I237=0,ISNUMBER(AK237),AK237&lt;=T237),AK237=MIN(IF(AND(I237=0,ISNUMBER(AK237),AK237&lt;=T237),AK237,9E15),IF(AND(J237=0,ISNUMBER(AL237),AL237&lt;=T237),AL237,9E15),IF(AND(K237=0,ISNUMBER(AM237),AM237&lt;=T237),AM237,9E15))),"OR",IF(AND(AND(J237=0,ISNUMBER(AL237),AL237&lt;=T237),AL237=MIN(IF(AND(I237=0,ISNUMBER(AK237),AK237&lt;=T237),AK237,9E15),IF(AND(J237=0,ISNUMBER(AL237),AL237&lt;=T237),AL237,9E15),IF(AND(K237=0,ISNUMBER(AM237),AM237&lt;=T237),AM237,9E15))),"HP","FP")),IF(AR237=TRUE,"",IF(MAX(IF(AND(NOT(AND(AO237=1,AN237&lt;&gt;1)),ISNUMBER(AG237),AG237&lt;=T237),AS237,0),IF(AND(NOT(AND(AO237=1,AN237&lt;&gt;1)),ISNUMBER(AH237),AH237&lt;=T237),AT237,0),IF(AND(NOT(AND(AO237=1,AN237&lt;&gt;1)),ISNUMBER(AI237),AI237&lt;=T237),AU237,0),IF(AND(ISNUMBER(AJ237),AJ237&lt;=T237),AV237,0))&lt;=0,"",IF(AND(IF(AND(NOT(AND(AO237=1,AN237&lt;&gt;1)),ISNUMBER(AG237),AG237&lt;=T237),AS237,0)&gt;0,IF(AND(NOT(AND(AO237=1,AN237&lt;&gt;1)),ISNUMBER(AG237),AG237&lt;=T237),AS237,0)=MAX(IF(AND(NOT(AND(AO237=1,AN237&lt;&gt;1)),ISNUMBER(AG237),AG237&lt;=T237),AS237,0),IF(AND(NOT(AND(AO237=1,AN237&lt;&gt;1)),ISNUMBER(AH237),AH237&lt;=T237),AT237,0),IF(AND(NOT(AND(AO237=1,AN237&lt;&gt;1)),ISNUMBER(AI237),AI237&lt;=T237),AU237,0),IF(AND(ISNUMBER(AJ237),AJ237&lt;=T237),AV237,0))),"SW",IF(AND(IF(AND(NOT(AND(AO237=1,AN237&lt;&gt;1)),ISNUMBER(AH237),AH237&lt;=T237),AT237,0)&gt;0,IF(AND(NOT(AND(AO237=1,AN237&lt;&gt;1)),ISNUMBER(AH237),AH237&lt;=T237),AT237,0)=MAX(IF(AND(NOT(AND(AO237=1,AN237&lt;&gt;1)),ISNUMBER(AG237),AG237&lt;=T237),AS237,0),IF(AND(NOT(AND(AO237=1,AN237&lt;&gt;1)),ISNUMBER(AH237),AH237&lt;=T237),AT237,0),IF(AND(NOT(AND(AO237=1,AN237&lt;&gt;1)),ISNUMBER(AI237),AI237&lt;=T237),AU237,0),IF(AND(ISNUMBER(AJ237),AJ237&lt;=T237),AV237,0))),"AB",IF(AND(IF(AND(NOT(AND(AO237=1,AN237&lt;&gt;1)),ISNUMBER(AI237),AI237&lt;=T237),AU237,0)&gt;0,IF(AND(NOT(AND(AO237=1,AN237&lt;&gt;1)),ISNUMBER(AI237),AI237&lt;=T237),AU237,0)=MAX(IF(AND(NOT(AND(AO237=1,AN237&lt;&gt;1)),ISNUMBER(AG237),AG237&lt;=T237),AS237,0),IF(AND(NOT(AND(AO237=1,AN237&lt;&gt;1)),ISNUMBER(AH237),AH237&lt;=T237),AT237,0),IF(AND(NOT(AND(AO237=1,AN237&lt;&gt;1)),ISNUMBER(AI237),AI237&lt;=T237),AU237,0),IF(AND(ISNUMBER(AJ237),AJ237&lt;=T237),AV237,0))),"SC","Mag")))))))</f>
        <v/>
      </c>
    </row>
    <row r="238">
      <c r="A238" s="26" t="n">
        <v>233</v>
      </c>
      <c r="B238" s="27">
        <f>A238*10/60</f>
        <v/>
      </c>
      <c r="C238" s="22">
        <f>X237</f>
        <v/>
      </c>
      <c r="D238" s="27">
        <f>D237+W237</f>
        <v/>
      </c>
      <c r="E238" s="26">
        <f>E237+IF(U237="SW",1,0)</f>
        <v/>
      </c>
      <c r="F238" s="26">
        <f>F237+IF(U237="AB",1,0)</f>
        <v/>
      </c>
      <c r="G238" s="26">
        <f>G237+IF(U237="SC",1,0)</f>
        <v/>
      </c>
      <c r="H238" s="26">
        <f>H237+IF(U237="Mag",1,0)</f>
        <v/>
      </c>
      <c r="I238" s="26">
        <f>MAX(I237,IF(U237="OR",1,0))</f>
        <v/>
      </c>
      <c r="J238" s="26">
        <f>MAX(J237,IF(U237="HP",1,0))</f>
        <v/>
      </c>
      <c r="K238" s="26">
        <f>MAX(K237,IF(U237="FP",1,0))</f>
        <v/>
      </c>
      <c r="L238" s="26">
        <f>MAX(L237,IF(U237="transition",1,0))</f>
        <v/>
      </c>
      <c r="M238" s="28">
        <f>(Parameters!$B$9+(IF(E238=0,0,(Upgrades!$J$6+E238*Upgrades!$K$6)*POWER(Upgrades!$L$6,E238)))*(IF(Upgrades!$T$7="Solar Wind",POWER(Upgrades!$U$7,F238),1)*IF(Upgrades!$T$8="Solar Wind",POWER(Upgrades!$U$8,G238),1)*IF(Upgrades!$T$9="Solar Wind",POWER(Upgrades!$U$9,H238),1)*IF(Upgrades!$T$10="Solar Wind",POWER(Upgrades!$U$10,I238),1)*IF(Upgrades!$T$11="Solar Wind",POWER(Upgrades!$U$11,J238),1)*IF(Upgrades!$T$12="Solar Wind",POWER(Upgrades!$U$12,K238),1))+(IF(F238=0,0,(Upgrades!$J$7+F238*Upgrades!$K$7)*POWER(Upgrades!$L$7,F238)))*(IF(Upgrades!$T$6="Asteroid Belt",POWER(Upgrades!$U$6,E238),1)*IF(Upgrades!$T$8="Asteroid Belt",POWER(Upgrades!$U$8,G238),1)*IF(Upgrades!$T$9="Asteroid Belt",POWER(Upgrades!$U$9,H238),1)*IF(Upgrades!$T$10="Asteroid Belt",POWER(Upgrades!$U$10,I238),1)*IF(Upgrades!$T$11="Asteroid Belt",POWER(Upgrades!$U$11,J238),1)*IF(Upgrades!$T$12="Asteroid Belt",POWER(Upgrades!$U$12,K238),1))+(IF(G238=0,0,(Upgrades!$J$8+G238*Upgrades!$K$8)*POWER(Upgrades!$L$8,G238)))*(IF(Upgrades!$T$6="Stellar Coupling",POWER(Upgrades!$U$6,E238),1)*IF(Upgrades!$T$7="Stellar Coupling",POWER(Upgrades!$U$7,F238),1)*IF(Upgrades!$T$9="Stellar Coupling",POWER(Upgrades!$U$9,H238),1)*IF(Upgrades!$T$10="Stellar Coupling",POWER(Upgrades!$U$10,I238),1)*IF(Upgrades!$T$11="Stellar Coupling",POWER(Upgrades!$U$11,J238),1)*IF(Upgrades!$T$12="Stellar Coupling",POWER(Upgrades!$U$12,K238),1))+(IF(H238=0,0,(Upgrades!$J$9+H238*Upgrades!$K$9)*POWER(Upgrades!$L$9,H238)))*(IF(Upgrades!$T$6="Magnetosphere",POWER(Upgrades!$U$6,E238),1)*IF(Upgrades!$T$7="Magnetosphere",POWER(Upgrades!$U$7,F238),1)*IF(Upgrades!$T$8="Magnetosphere",POWER(Upgrades!$U$8,G238),1)*IF(Upgrades!$T$10="Magnetosphere",POWER(Upgrades!$U$10,I238),1)*IF(Upgrades!$T$11="Magnetosphere",POWER(Upgrades!$U$11,J238),1)*IF(Upgrades!$T$12="Magnetosphere",POWER(Upgrades!$U$12,K238),1))+(IF(I238=0,0,(Upgrades!$J$10+I238*Upgrades!$K$10)*POWER(Upgrades!$L$10,I238)))*(IF(Upgrades!$T$6="Orbital Resonance",POWER(Upgrades!$U$6,E238),1)*IF(Upgrades!$T$7="Orbital Resonance",POWER(Upgrades!$U$7,F238),1)*IF(Upgrades!$T$8="Orbital Resonance",POWER(Upgrades!$U$8,G238),1)*IF(Upgrades!$T$9="Orbital Resonance",POWER(Upgrades!$U$9,H238),1)*IF(Upgrades!$T$11="Orbital Resonance",POWER(Upgrades!$U$11,J238),1)*IF(Upgrades!$T$12="Orbital Resonance",POWER(Upgrades!$U$12,K238),1))+(IF(J238=0,0,(Upgrades!$J$11+J238*Upgrades!$K$11)*POWER(Upgrades!$L$11,J238)))*(IF(Upgrades!$T$6="Heliopause",POWER(Upgrades!$U$6,E238),1)*IF(Upgrades!$T$7="Heliopause",POWER(Upgrades!$U$7,F238),1)*IF(Upgrades!$T$8="Heliopause",POWER(Upgrades!$U$8,G238),1)*IF(Upgrades!$T$9="Heliopause",POWER(Upgrades!$U$9,H238),1)*IF(Upgrades!$T$10="Heliopause",POWER(Upgrades!$U$10,I238),1)*IF(Upgrades!$T$12="Heliopause",POWER(Upgrades!$U$12,K238),1))+(IF(K238=0,0,(Upgrades!$J$12+K238*Upgrades!$K$12)*POWER(Upgrades!$L$12,K238)))*(IF(Upgrades!$T$6="First Photons",POWER(Upgrades!$U$6,E238),1)*IF(Upgrades!$T$7="First Photons",POWER(Upgrades!$U$7,F238),1)*IF(Upgrades!$T$8="First Photons",POWER(Upgrades!$U$8,G238),1)*IF(Upgrades!$T$9="First Photons",POWER(Upgrades!$U$9,H238),1)*IF(Upgrades!$T$10="First Photons",POWER(Upgrades!$U$10,I238),1)*IF(Upgrades!$T$11="First Photons",POWER(Upgrades!$U$11,J238),1)))*POWER(Upgrades!$Q$6,E238)*POWER(Upgrades!$Q$7,F238)*POWER(Upgrades!$Q$8,G238)*POWER(Upgrades!$Q$9,H238)*POWER(Upgrades!$Q$10,I238)*POWER(Upgrades!$Q$11,J238)*POWER(Upgrades!$Q$12,K238)</f>
        <v/>
      </c>
      <c r="N238" s="28">
        <f>((IF(E238=0,0,(Upgrades!$G$6+E238*Upgrades!$H$6)*POWER(Upgrades!$I$6,E238)))*(IF(Upgrades!$T$7="Solar Wind",POWER(Upgrades!$U$7,F238),1)*IF(Upgrades!$T$8="Solar Wind",POWER(Upgrades!$U$8,G238),1)*IF(Upgrades!$T$9="Solar Wind",POWER(Upgrades!$U$9,H238),1)*IF(Upgrades!$T$10="Solar Wind",POWER(Upgrades!$U$10,I238),1)*IF(Upgrades!$T$11="Solar Wind",POWER(Upgrades!$U$11,J238),1)*IF(Upgrades!$T$12="Solar Wind",POWER(Upgrades!$U$12,K238),1))+(IF(F238=0,0,(Upgrades!$G$7+F238*Upgrades!$H$7)*POWER(Upgrades!$I$7,F238)))*(IF(Upgrades!$T$6="Asteroid Belt",POWER(Upgrades!$U$6,E238),1)*IF(Upgrades!$T$8="Asteroid Belt",POWER(Upgrades!$U$8,G238),1)*IF(Upgrades!$T$9="Asteroid Belt",POWER(Upgrades!$U$9,H238),1)*IF(Upgrades!$T$10="Asteroid Belt",POWER(Upgrades!$U$10,I238),1)*IF(Upgrades!$T$11="Asteroid Belt",POWER(Upgrades!$U$11,J238),1)*IF(Upgrades!$T$12="Asteroid Belt",POWER(Upgrades!$U$12,K238),1))+(IF(G238=0,0,(Upgrades!$G$8+G238*Upgrades!$H$8)*POWER(Upgrades!$I$8,G238)))*(IF(Upgrades!$T$6="Stellar Coupling",POWER(Upgrades!$U$6,E238),1)*IF(Upgrades!$T$7="Stellar Coupling",POWER(Upgrades!$U$7,F238),1)*IF(Upgrades!$T$9="Stellar Coupling",POWER(Upgrades!$U$9,H238),1)*IF(Upgrades!$T$10="Stellar Coupling",POWER(Upgrades!$U$10,I238),1)*IF(Upgrades!$T$11="Stellar Coupling",POWER(Upgrades!$U$11,J238),1)*IF(Upgrades!$T$12="Stellar Coupling",POWER(Upgrades!$U$12,K238),1))+(IF(H238=0,0,(Upgrades!$G$9+H238*Upgrades!$H$9)*POWER(Upgrades!$I$9,H238)))*(IF(Upgrades!$T$6="Magnetosphere",POWER(Upgrades!$U$6,E238),1)*IF(Upgrades!$T$7="Magnetosphere",POWER(Upgrades!$U$7,F238),1)*IF(Upgrades!$T$8="Magnetosphere",POWER(Upgrades!$U$8,G238),1)*IF(Upgrades!$T$10="Magnetosphere",POWER(Upgrades!$U$10,I238),1)*IF(Upgrades!$T$11="Magnetosphere",POWER(Upgrades!$U$11,J238),1)*IF(Upgrades!$T$12="Magnetosphere",POWER(Upgrades!$U$12,K238),1))+(IF(I238=0,0,(Upgrades!$G$10+I238*Upgrades!$H$10)*POWER(Upgrades!$I$10,I238)))*(IF(Upgrades!$T$6="Orbital Resonance",POWER(Upgrades!$U$6,E238),1)*IF(Upgrades!$T$7="Orbital Resonance",POWER(Upgrades!$U$7,F238),1)*IF(Upgrades!$T$8="Orbital Resonance",POWER(Upgrades!$U$8,G238),1)*IF(Upgrades!$T$9="Orbital Resonance",POWER(Upgrades!$U$9,H238),1)*IF(Upgrades!$T$11="Orbital Resonance",POWER(Upgrades!$U$11,J238),1)*IF(Upgrades!$T$12="Orbital Resonance",POWER(Upgrades!$U$12,K238),1))+(IF(J238=0,0,(Upgrades!$G$11+J238*Upgrades!$H$11)*POWER(Upgrades!$I$11,J238)))*(IF(Upgrades!$T$6="Heliopause",POWER(Upgrades!$U$6,E238),1)*IF(Upgrades!$T$7="Heliopause",POWER(Upgrades!$U$7,F238),1)*IF(Upgrades!$T$8="Heliopause",POWER(Upgrades!$U$8,G238),1)*IF(Upgrades!$T$9="Heliopause",POWER(Upgrades!$U$9,H238),1)*IF(Upgrades!$T$10="Heliopause",POWER(Upgrades!$U$10,I238),1)*IF(Upgrades!$T$12="Heliopause",POWER(Upgrades!$U$12,K238),1))+(IF(K238=0,0,(Upgrades!$G$12+K238*Upgrades!$H$12)*POWER(Upgrades!$I$12,K238)))*(IF(Upgrades!$T$6="First Photons",POWER(Upgrades!$U$6,E238),1)*IF(Upgrades!$T$7="First Photons",POWER(Upgrades!$U$7,F238),1)*IF(Upgrades!$T$8="First Photons",POWER(Upgrades!$U$8,G238),1)*IF(Upgrades!$T$9="First Photons",POWER(Upgrades!$U$9,H238),1)*IF(Upgrades!$T$10="First Photons",POWER(Upgrades!$U$10,I238),1)*IF(Upgrades!$T$11="First Photons",POWER(Upgrades!$U$11,J238),1)))*POWER(Upgrades!$P$6,E238)*POWER(Upgrades!$P$7,F238)*POWER(Upgrades!$P$8,G238)*POWER(Upgrades!$P$9,H238)*POWER(Upgrades!$P$10,I238)*POWER(Upgrades!$P$11,J238)*POWER(Upgrades!$P$12,K238)</f>
        <v/>
      </c>
      <c r="O238" s="28">
        <f>((IF(E238=0,0,(Upgrades!$M$6+E238*Upgrades!$N$6)*POWER(Upgrades!$O$6,E238)))*(IF(Upgrades!$T$7="Solar Wind",POWER(Upgrades!$U$7,F238),1)*IF(Upgrades!$T$8="Solar Wind",POWER(Upgrades!$U$8,G238),1)*IF(Upgrades!$T$9="Solar Wind",POWER(Upgrades!$U$9,H238),1)*IF(Upgrades!$T$10="Solar Wind",POWER(Upgrades!$U$10,I238),1)*IF(Upgrades!$T$11="Solar Wind",POWER(Upgrades!$U$11,J238),1)*IF(Upgrades!$T$12="Solar Wind",POWER(Upgrades!$U$12,K238),1))+(IF(F238=0,0,(Upgrades!$M$7+F238*Upgrades!$N$7)*POWER(Upgrades!$O$7,F238)))*(IF(Upgrades!$T$6="Asteroid Belt",POWER(Upgrades!$U$6,E238),1)*IF(Upgrades!$T$8="Asteroid Belt",POWER(Upgrades!$U$8,G238),1)*IF(Upgrades!$T$9="Asteroid Belt",POWER(Upgrades!$U$9,H238),1)*IF(Upgrades!$T$10="Asteroid Belt",POWER(Upgrades!$U$10,I238),1)*IF(Upgrades!$T$11="Asteroid Belt",POWER(Upgrades!$U$11,J238),1)*IF(Upgrades!$T$12="Asteroid Belt",POWER(Upgrades!$U$12,K238),1))+(IF(G238=0,0,(Upgrades!$M$8+G238*Upgrades!$N$8)*POWER(Upgrades!$O$8,G238)))*(IF(Upgrades!$T$6="Stellar Coupling",POWER(Upgrades!$U$6,E238),1)*IF(Upgrades!$T$7="Stellar Coupling",POWER(Upgrades!$U$7,F238),1)*IF(Upgrades!$T$9="Stellar Coupling",POWER(Upgrades!$U$9,H238),1)*IF(Upgrades!$T$10="Stellar Coupling",POWER(Upgrades!$U$10,I238),1)*IF(Upgrades!$T$11="Stellar Coupling",POWER(Upgrades!$U$11,J238),1)*IF(Upgrades!$T$12="Stellar Coupling",POWER(Upgrades!$U$12,K238),1))+(IF(H238=0,0,(Upgrades!$M$9+H238*Upgrades!$N$9)*POWER(Upgrades!$O$9,H238)))*(IF(Upgrades!$T$6="Magnetosphere",POWER(Upgrades!$U$6,E238),1)*IF(Upgrades!$T$7="Magnetosphere",POWER(Upgrades!$U$7,F238),1)*IF(Upgrades!$T$8="Magnetosphere",POWER(Upgrades!$U$8,G238),1)*IF(Upgrades!$T$10="Magnetosphere",POWER(Upgrades!$U$10,I238),1)*IF(Upgrades!$T$11="Magnetosphere",POWER(Upgrades!$U$11,J238),1)*IF(Upgrades!$T$12="Magnetosphere",POWER(Upgrades!$U$12,K238),1))+(IF(I238=0,0,(Upgrades!$M$10+I238*Upgrades!$N$10)*POWER(Upgrades!$O$10,I238)))*(IF(Upgrades!$T$6="Orbital Resonance",POWER(Upgrades!$U$6,E238),1)*IF(Upgrades!$T$7="Orbital Resonance",POWER(Upgrades!$U$7,F238),1)*IF(Upgrades!$T$8="Orbital Resonance",POWER(Upgrades!$U$8,G238),1)*IF(Upgrades!$T$9="Orbital Resonance",POWER(Upgrades!$U$9,H238),1)*IF(Upgrades!$T$11="Orbital Resonance",POWER(Upgrades!$U$11,J238),1)*IF(Upgrades!$T$12="Orbital Resonance",POWER(Upgrades!$U$12,K238),1))+(IF(J238=0,0,(Upgrades!$M$11+J238*Upgrades!$N$11)*POWER(Upgrades!$O$11,J238)))*(IF(Upgrades!$T$6="Heliopause",POWER(Upgrades!$U$6,E238),1)*IF(Upgrades!$T$7="Heliopause",POWER(Upgrades!$U$7,F238),1)*IF(Upgrades!$T$8="Heliopause",POWER(Upgrades!$U$8,G238),1)*IF(Upgrades!$T$9="Heliopause",POWER(Upgrades!$U$9,H238),1)*IF(Upgrades!$T$10="Heliopause",POWER(Upgrades!$U$10,I238),1)*IF(Upgrades!$T$12="Heliopause",POWER(Upgrades!$U$12,K238),1))+(IF(K238=0,0,(Upgrades!$M$12+K238*Upgrades!$N$12)*POWER(Upgrades!$O$12,K238)))*(IF(Upgrades!$T$6="First Photons",POWER(Upgrades!$U$6,E238),1)*IF(Upgrades!$T$7="First Photons",POWER(Upgrades!$U$7,F238),1)*IF(Upgrades!$T$8="First Photons",POWER(Upgrades!$U$8,G238),1)*IF(Upgrades!$T$9="First Photons",POWER(Upgrades!$U$9,H238),1)*IF(Upgrades!$T$10="First Photons",POWER(Upgrades!$U$10,I238),1)*IF(Upgrades!$T$11="First Photons",POWER(Upgrades!$U$11,J238),1)))*POWER(Upgrades!$R$6,E238)*POWER(Upgrades!$R$7,F238)*POWER(Upgrades!$R$8,G238)*POWER(Upgrades!$R$9,H238)*POWER(Upgrades!$R$10,I238)*POWER(Upgrades!$R$11,J238)*POWER(Upgrades!$R$12,K238)</f>
        <v/>
      </c>
      <c r="P238" s="27">
        <f>IF(L238=1,0,M238*Parameters!$B$10/60*Parameters!$B$11*10)</f>
        <v/>
      </c>
      <c r="Q238" s="27">
        <f>IF(L238=1,0,O238*M238*10)</f>
        <v/>
      </c>
      <c r="R238" s="27">
        <f>IF(L238=1,0,N238*10)</f>
        <v/>
      </c>
      <c r="S238" s="27">
        <f>P238+Q238+R238</f>
        <v/>
      </c>
      <c r="T238" s="22">
        <f>C238+S238</f>
        <v/>
      </c>
      <c r="U238" s="33">
        <f>AX238</f>
        <v/>
      </c>
      <c r="V238" s="22">
        <f>IF(U238="",0,IF(U238="transition",0,IF(U238="SW",AG238,IF(U238="AB",AH238,IF(U238="SC",AI238,IF(U238="Mag",AJ238,IF(U238="OR",AK238,IF(U238="HP",AL238,IF(U238="FP",AM238,0)))))))))</f>
        <v/>
      </c>
      <c r="W238" s="27">
        <f>IF(U238="OR",Upgrades!$F$10,IF(U238="HP",Upgrades!$F$11,IF(U238="transition",-Parameters!$B$18,0)))</f>
        <v/>
      </c>
      <c r="X238" s="22">
        <f>T238-V238</f>
        <v/>
      </c>
      <c r="Y238" s="30">
        <f>M238*Parameters!$B$10/60*Parameters!$B$11+O238*M238+N238</f>
        <v/>
      </c>
      <c r="Z238" s="34">
        <f>IF(U238="transition","→ Tier 2 (Stellar Neighborhood)",IF(U238="FP","First Photons — light begins, system quickens",IF(U238="HP","Heliopause acquired",IF(U238="OR","Orbital Resonance — passive multiplier active",IF(AND(AO238=1,L238=0,AN238&lt;&gt;1),"Cohesion ready (waiting on completionist upgrades)","")))))</f>
        <v/>
      </c>
      <c r="AA238" s="27">
        <f>(IF(E238=0,0,(Upgrades!$G$6+E238*Upgrades!$H$6)*POWER(Upgrades!$I$6,E238)))*(IF(Upgrades!$T$7="Solar Wind",POWER(Upgrades!$U$7,F238),1)*IF(Upgrades!$T$8="Solar Wind",POWER(Upgrades!$U$8,G238),1)*IF(Upgrades!$T$9="Solar Wind",POWER(Upgrades!$U$9,H238),1)*IF(Upgrades!$T$10="Solar Wind",POWER(Upgrades!$U$10,I238),1)*IF(Upgrades!$T$11="Solar Wind",POWER(Upgrades!$U$11,J238),1)*IF(Upgrades!$T$12="Solar Wind",POWER(Upgrades!$U$12,K238),1))*POWER(Upgrades!$P$6,E238)*POWER(Upgrades!$P$7,F238)*POWER(Upgrades!$P$8,G238)*POWER(Upgrades!$P$9,H238)*POWER(Upgrades!$P$10,I238)*POWER(Upgrades!$P$11,J238)*POWER(Upgrades!$P$12,K238)*60</f>
        <v/>
      </c>
      <c r="AB238" s="27">
        <f>(IF(F238=0,0,(Upgrades!$G$7+F238*Upgrades!$H$7)*POWER(Upgrades!$I$7,F238)))*(IF(Upgrades!$T$6="Asteroid Belt",POWER(Upgrades!$U$6,E238),1)*IF(Upgrades!$T$8="Asteroid Belt",POWER(Upgrades!$U$8,G238),1)*IF(Upgrades!$T$9="Asteroid Belt",POWER(Upgrades!$U$9,H238),1)*IF(Upgrades!$T$10="Asteroid Belt",POWER(Upgrades!$U$10,I238),1)*IF(Upgrades!$T$11="Asteroid Belt",POWER(Upgrades!$U$11,J238),1)*IF(Upgrades!$T$12="Asteroid Belt",POWER(Upgrades!$U$12,K238),1))*POWER(Upgrades!$P$6,E238)*POWER(Upgrades!$P$7,F238)*POWER(Upgrades!$P$8,G238)*POWER(Upgrades!$P$9,H238)*POWER(Upgrades!$P$10,I238)*POWER(Upgrades!$P$11,J238)*POWER(Upgrades!$P$12,K238)*60</f>
        <v/>
      </c>
      <c r="AC238" s="27">
        <f>(IF(G238=0,0,(Upgrades!$J$8+G238*Upgrades!$K$8)*POWER(Upgrades!$L$8,G238)))*(IF(Upgrades!$T$6="Stellar Coupling",POWER(Upgrades!$U$6,E238),1)*IF(Upgrades!$T$7="Stellar Coupling",POWER(Upgrades!$U$7,F238),1)*IF(Upgrades!$T$9="Stellar Coupling",POWER(Upgrades!$U$9,H238),1)*IF(Upgrades!$T$10="Stellar Coupling",POWER(Upgrades!$U$10,I238),1)*IF(Upgrades!$T$11="Stellar Coupling",POWER(Upgrades!$U$11,J238),1)*IF(Upgrades!$T$12="Stellar Coupling",POWER(Upgrades!$U$12,K238),1))*POWER(Upgrades!$Q$6,E238)*POWER(Upgrades!$Q$7,F238)*POWER(Upgrades!$Q$8,G238)*POWER(Upgrades!$Q$9,H238)*POWER(Upgrades!$Q$10,I238)*POWER(Upgrades!$Q$11,J238)*POWER(Upgrades!$Q$12,K238)*Parameters!$B$10*Parameters!$B$11</f>
        <v/>
      </c>
      <c r="AD238" s="27">
        <f>(IF(H238=0,0,(Upgrades!$G$9+H238*Upgrades!$H$9)*POWER(Upgrades!$I$9,H238)))*(IF(Upgrades!$T$6="Magnetosphere",POWER(Upgrades!$U$6,E238),1)*IF(Upgrades!$T$7="Magnetosphere",POWER(Upgrades!$U$7,F238),1)*IF(Upgrades!$T$8="Magnetosphere",POWER(Upgrades!$U$8,G238),1)*IF(Upgrades!$T$10="Magnetosphere",POWER(Upgrades!$U$10,I238),1)*IF(Upgrades!$T$11="Magnetosphere",POWER(Upgrades!$U$11,J238),1)*IF(Upgrades!$T$12="Magnetosphere",POWER(Upgrades!$U$12,K238),1))*POWER(Upgrades!$P$6,E238)*POWER(Upgrades!$P$7,F238)*POWER(Upgrades!$P$8,G238)*POWER(Upgrades!$P$9,H238)*POWER(Upgrades!$P$10,I238)*POWER(Upgrades!$P$11,J238)*POWER(Upgrades!$P$12,K238)*60</f>
        <v/>
      </c>
      <c r="AE238" s="27">
        <f>(IF(K238=0,0,(Upgrades!$G$12+K238*Upgrades!$H$12)*POWER(Upgrades!$I$12,K238)))*(IF(Upgrades!$T$6="First Photons",POWER(Upgrades!$U$6,E238),1)*IF(Upgrades!$T$7="First Photons",POWER(Upgrades!$U$7,F238),1)*IF(Upgrades!$T$8="First Photons",POWER(Upgrades!$U$8,G238),1)*IF(Upgrades!$T$9="First Photons",POWER(Upgrades!$U$9,H238),1)*IF(Upgrades!$T$10="First Photons",POWER(Upgrades!$U$10,I238),1)*IF(Upgrades!$T$11="First Photons",POWER(Upgrades!$U$11,J238),1))*POWER(Upgrades!$P$6,E238)*POWER(Upgrades!$P$7,F238)*POWER(Upgrades!$P$8,G238)*POWER(Upgrades!$P$9,H238)*POWER(Upgrades!$P$10,I238)*POWER(Upgrades!$P$11,J238)*POWER(Upgrades!$P$12,K238)*60</f>
        <v/>
      </c>
      <c r="AF238" s="27">
        <f>Parameters!$B$9*POWER(Upgrades!$Q$6,E238)*POWER(Upgrades!$Q$7,F238)*POWER(Upgrades!$Q$8,G238)*POWER(Upgrades!$Q$9,H238)*POWER(Upgrades!$Q$10,I238)*POWER(Upgrades!$Q$11,J238)*POWER(Upgrades!$Q$12,K238)*(Parameters!$B$10*Parameters!$B$11+O238*60)</f>
        <v/>
      </c>
      <c r="AG238" s="22">
        <f>IF(E238&gt;=Upgrades!$E$6,"",Upgrades!$C$6*POWER(Upgrades!$D$6,E238))</f>
        <v/>
      </c>
      <c r="AH238" s="22">
        <f>IF(F238&gt;=Upgrades!$E$7,"",Upgrades!$C$7*POWER(Upgrades!$D$7,F238))</f>
        <v/>
      </c>
      <c r="AI238" s="22">
        <f>IF(G238&gt;=Upgrades!$E$8,"",Upgrades!$C$8*POWER(Upgrades!$D$8,G238))</f>
        <v/>
      </c>
      <c r="AJ238" s="22">
        <f>IF(H238&gt;=Upgrades!$E$9,"",Upgrades!$C$9*POWER(Upgrades!$D$9,H238))</f>
        <v/>
      </c>
      <c r="AK238" s="22">
        <f>IF(I238&gt;=Upgrades!$E$10,"",Upgrades!$C$10*POWER(Upgrades!$D$10,I238))</f>
        <v/>
      </c>
      <c r="AL238" s="22">
        <f>IF(J238&gt;=Upgrades!$E$11,"",Upgrades!$C$11*POWER(Upgrades!$D$11,J238))</f>
        <v/>
      </c>
      <c r="AM238" s="22">
        <f>IF(K238&gt;=Upgrades!$E$12,"",Upgrades!$C$12*POWER(Upgrades!$D$12,K238))</f>
        <v/>
      </c>
      <c r="AN238" s="26">
        <f>IF(AND(D238&gt;=Parameters!$B$18,(H238&gt;=Upgrades!$E$9)*(K238&gt;=Upgrades!$E$12)=1,L238=0),1,"")</f>
        <v/>
      </c>
      <c r="AO238" s="26">
        <f>IF(AND(D238&gt;=Parameters!$B$18,L238=0),1,"")</f>
        <v/>
      </c>
      <c r="AP238" s="22">
        <f>MIN(IF(ISNUMBER(AK238),AK238,9E15),IF(ISNUMBER(AL238),AL238,9E15),IF(ISNUMBER(AM238),AM238,9E15))</f>
        <v/>
      </c>
      <c r="AQ238" s="22">
        <f>MIN(IF(ISNUMBER(AG238),AG238,9E15),IF(ISNUMBER(AH238),AH238,9E15),IF(ISNUMBER(AI238),AI238,9E15),IF(ISNUMBER(AJ238),AJ238,9E15))</f>
        <v/>
      </c>
      <c r="AR238" s="29">
        <f>IF(AW238&gt;Parameters!$B$21*(MAX(IF(AND(NOT(AND(AO238=1,AN238&lt;&gt;1)),ISNUMBER(AG238),AG238&lt;=T238),AS238,0),IF(AND(NOT(AND(AO238=1,AN238&lt;&gt;1)),ISNUMBER(AH238),AH238&lt;=T238),AT238,0),IF(AND(NOT(AND(AO238=1,AN238&lt;&gt;1)),ISNUMBER(AI238),AI238&lt;=T238),AU238,0),IF(AND(ISNUMBER(AJ238),AJ238&lt;=T238),AV238,0))),TRUE,FALSE)</f>
        <v/>
      </c>
      <c r="AS238" s="32">
        <f>IFERROR(Upgrades!$H$6*(POWER(Upgrades!$P$6,E238)*POWER(Upgrades!$P$7,F238)*POWER(Upgrades!$P$8,G238)*POWER(Upgrades!$P$9,H238)*POWER(Upgrades!$P$10,I238)*POWER(Upgrades!$P$11,J238)*POWER(Upgrades!$P$12,K238))*(IF(Upgrades!$T$7="Solar Wind",POWER(Upgrades!$U$7,F238),1)*IF(Upgrades!$T$8="Solar Wind",POWER(Upgrades!$U$8,G238),1)*IF(Upgrades!$T$9="Solar Wind",POWER(Upgrades!$U$9,H238),1)*IF(Upgrades!$T$10="Solar Wind",POWER(Upgrades!$U$10,I238),1)*IF(Upgrades!$T$11="Solar Wind",POWER(Upgrades!$U$11,J238),1)*IF(Upgrades!$T$12="Solar Wind",POWER(Upgrades!$U$12,K238),1))/AG238,0)</f>
        <v/>
      </c>
      <c r="AT238" s="32">
        <f>IFERROR(Upgrades!$H$7*(POWER(Upgrades!$P$6,E238)*POWER(Upgrades!$P$7,F238)*POWER(Upgrades!$P$8,G238)*POWER(Upgrades!$P$9,H238)*POWER(Upgrades!$P$10,I238)*POWER(Upgrades!$P$11,J238)*POWER(Upgrades!$P$12,K238))*(IF(Upgrades!$T$6="Asteroid Belt",POWER(Upgrades!$U$6,E238),1)*IF(Upgrades!$T$8="Asteroid Belt",POWER(Upgrades!$U$8,G238),1)*IF(Upgrades!$T$9="Asteroid Belt",POWER(Upgrades!$U$9,H238),1)*IF(Upgrades!$T$10="Asteroid Belt",POWER(Upgrades!$U$10,I238),1)*IF(Upgrades!$T$11="Asteroid Belt",POWER(Upgrades!$U$11,J238),1)*IF(Upgrades!$T$12="Asteroid Belt",POWER(Upgrades!$U$12,K238),1))/AH238,0)</f>
        <v/>
      </c>
      <c r="AU238" s="32">
        <f>IFERROR(Upgrades!$K$8*(POWER(Upgrades!$Q$6,E238)*POWER(Upgrades!$Q$7,F238)*POWER(Upgrades!$Q$8,G238)*POWER(Upgrades!$Q$9,H238)*POWER(Upgrades!$Q$10,I238)*POWER(Upgrades!$Q$11,J238)*POWER(Upgrades!$Q$12,K238))*(IF(Upgrades!$T$6="Stellar Coupling",POWER(Upgrades!$U$6,E238),1)*IF(Upgrades!$T$7="Stellar Coupling",POWER(Upgrades!$U$7,F238),1)*IF(Upgrades!$T$9="Stellar Coupling",POWER(Upgrades!$U$9,H238),1)*IF(Upgrades!$T$10="Stellar Coupling",POWER(Upgrades!$U$10,I238),1)*IF(Upgrades!$T$11="Stellar Coupling",POWER(Upgrades!$U$11,J238),1)*IF(Upgrades!$T$12="Stellar Coupling",POWER(Upgrades!$U$12,K238),1))*Parameters!$B$10*Parameters!$B$11/60/AI238,0)</f>
        <v/>
      </c>
      <c r="AV238" s="32">
        <f>IFERROR(Upgrades!$H$9*(POWER(Upgrades!$P$6,E238)*POWER(Upgrades!$P$7,F238)*POWER(Upgrades!$P$8,G238)*POWER(Upgrades!$P$9,H238)*POWER(Upgrades!$P$10,I238)*POWER(Upgrades!$P$11,J238)*POWER(Upgrades!$P$12,K238))*(IF(Upgrades!$T$6="Magnetosphere",POWER(Upgrades!$U$6,E238),1)*IF(Upgrades!$T$7="Magnetosphere",POWER(Upgrades!$U$7,F238),1)*IF(Upgrades!$T$8="Magnetosphere",POWER(Upgrades!$U$8,G238),1)*IF(Upgrades!$T$10="Magnetosphere",POWER(Upgrades!$U$10,I238),1)*IF(Upgrades!$T$11="Magnetosphere",POWER(Upgrades!$U$11,J238),1)*IF(Upgrades!$T$12="Magnetosphere",POWER(Upgrades!$U$12,K238),1))/AJ238,0)</f>
        <v/>
      </c>
      <c r="AW238" s="32">
        <f>MAX(IF(I238&gt;0,0,IFERROR(0.25*N238/Upgrades!$C$10,0)),IF(J238&gt;0,0,IFERROR(0.5*((IF(G238=0,0,(Upgrades!$J$8+G238*Upgrades!$K$8)*POWER(Upgrades!$L$8,G238)))*(IF(Upgrades!$T$6="Stellar Coupling",POWER(Upgrades!$U$6,E238),1)*IF(Upgrades!$T$7="Stellar Coupling",POWER(Upgrades!$U$7,F238),1)*IF(Upgrades!$T$9="Stellar Coupling",POWER(Upgrades!$U$9,H238),1)*IF(Upgrades!$T$10="Stellar Coupling",POWER(Upgrades!$U$10,I238),1)*IF(Upgrades!$T$11="Stellar Coupling",POWER(Upgrades!$U$11,J238),1)*IF(Upgrades!$T$12="Stellar Coupling",POWER(Upgrades!$U$12,K238),1))*(POWER(Upgrades!$Q$6,E238)*POWER(Upgrades!$Q$7,F238)*POWER(Upgrades!$Q$8,G238)*POWER(Upgrades!$Q$9,H238)*POWER(Upgrades!$Q$10,I238)*POWER(Upgrades!$Q$11,J238)*POWER(Upgrades!$Q$12,K238))*Parameters!$B$10*Parameters!$B$11/60)/Upgrades!$C$11,0)),IF(K238&gt;0,0,IFERROR((1.0*(POWER(Upgrades!$P$6,E238)*POWER(Upgrades!$P$7,F238)*POWER(Upgrades!$P$8,G238)*POWER(Upgrades!$P$9,H238)*POWER(Upgrades!$P$10,I238)*POWER(Upgrades!$P$11,J238)*POWER(Upgrades!$P$12,K238))+0.20*M238*Parameters!$B$10*Parameters!$B$11/60)/Upgrades!$C$12,0)),IF(AND(ISNUMBER(AG238),AG238&gt;T238),AS238,0),IF(AND(ISNUMBER(AH238),AH238&gt;T238),AT238,0),IF(AND(ISNUMBER(AI238),AI238&gt;T238),AU238,0),IF(AND(ISNUMBER(AJ238),AJ238&gt;T238),AV238,0))</f>
        <v/>
      </c>
      <c r="AX238" s="29">
        <f>IF(AN238=1,"transition",IF(MIN(IF(AND(I238=0,ISNUMBER(AK238),AK238&lt;=T238),AK238,9E15),IF(AND(J238=0,ISNUMBER(AL238),AL238&lt;=T238),AL238,9E15),IF(AND(K238=0,ISNUMBER(AM238),AM238&lt;=T238),AM238,9E15))&lt;9E15,IF(AND(AND(I238=0,ISNUMBER(AK238),AK238&lt;=T238),AK238=MIN(IF(AND(I238=0,ISNUMBER(AK238),AK238&lt;=T238),AK238,9E15),IF(AND(J238=0,ISNUMBER(AL238),AL238&lt;=T238),AL238,9E15),IF(AND(K238=0,ISNUMBER(AM238),AM238&lt;=T238),AM238,9E15))),"OR",IF(AND(AND(J238=0,ISNUMBER(AL238),AL238&lt;=T238),AL238=MIN(IF(AND(I238=0,ISNUMBER(AK238),AK238&lt;=T238),AK238,9E15),IF(AND(J238=0,ISNUMBER(AL238),AL238&lt;=T238),AL238,9E15),IF(AND(K238=0,ISNUMBER(AM238),AM238&lt;=T238),AM238,9E15))),"HP","FP")),IF(AR238=TRUE,"",IF(MAX(IF(AND(NOT(AND(AO238=1,AN238&lt;&gt;1)),ISNUMBER(AG238),AG238&lt;=T238),AS238,0),IF(AND(NOT(AND(AO238=1,AN238&lt;&gt;1)),ISNUMBER(AH238),AH238&lt;=T238),AT238,0),IF(AND(NOT(AND(AO238=1,AN238&lt;&gt;1)),ISNUMBER(AI238),AI238&lt;=T238),AU238,0),IF(AND(ISNUMBER(AJ238),AJ238&lt;=T238),AV238,0))&lt;=0,"",IF(AND(IF(AND(NOT(AND(AO238=1,AN238&lt;&gt;1)),ISNUMBER(AG238),AG238&lt;=T238),AS238,0)&gt;0,IF(AND(NOT(AND(AO238=1,AN238&lt;&gt;1)),ISNUMBER(AG238),AG238&lt;=T238),AS238,0)=MAX(IF(AND(NOT(AND(AO238=1,AN238&lt;&gt;1)),ISNUMBER(AG238),AG238&lt;=T238),AS238,0),IF(AND(NOT(AND(AO238=1,AN238&lt;&gt;1)),ISNUMBER(AH238),AH238&lt;=T238),AT238,0),IF(AND(NOT(AND(AO238=1,AN238&lt;&gt;1)),ISNUMBER(AI238),AI238&lt;=T238),AU238,0),IF(AND(ISNUMBER(AJ238),AJ238&lt;=T238),AV238,0))),"SW",IF(AND(IF(AND(NOT(AND(AO238=1,AN238&lt;&gt;1)),ISNUMBER(AH238),AH238&lt;=T238),AT238,0)&gt;0,IF(AND(NOT(AND(AO238=1,AN238&lt;&gt;1)),ISNUMBER(AH238),AH238&lt;=T238),AT238,0)=MAX(IF(AND(NOT(AND(AO238=1,AN238&lt;&gt;1)),ISNUMBER(AG238),AG238&lt;=T238),AS238,0),IF(AND(NOT(AND(AO238=1,AN238&lt;&gt;1)),ISNUMBER(AH238),AH238&lt;=T238),AT238,0),IF(AND(NOT(AND(AO238=1,AN238&lt;&gt;1)),ISNUMBER(AI238),AI238&lt;=T238),AU238,0),IF(AND(ISNUMBER(AJ238),AJ238&lt;=T238),AV238,0))),"AB",IF(AND(IF(AND(NOT(AND(AO238=1,AN238&lt;&gt;1)),ISNUMBER(AI238),AI238&lt;=T238),AU238,0)&gt;0,IF(AND(NOT(AND(AO238=1,AN238&lt;&gt;1)),ISNUMBER(AI238),AI238&lt;=T238),AU238,0)=MAX(IF(AND(NOT(AND(AO238=1,AN238&lt;&gt;1)),ISNUMBER(AG238),AG238&lt;=T238),AS238,0),IF(AND(NOT(AND(AO238=1,AN238&lt;&gt;1)),ISNUMBER(AH238),AH238&lt;=T238),AT238,0),IF(AND(NOT(AND(AO238=1,AN238&lt;&gt;1)),ISNUMBER(AI238),AI238&lt;=T238),AU238,0),IF(AND(ISNUMBER(AJ238),AJ238&lt;=T238),AV238,0))),"SC","Mag")))))))</f>
        <v/>
      </c>
    </row>
    <row r="239">
      <c r="A239" s="26" t="n">
        <v>234</v>
      </c>
      <c r="B239" s="27">
        <f>A239*10/60</f>
        <v/>
      </c>
      <c r="C239" s="22">
        <f>X238</f>
        <v/>
      </c>
      <c r="D239" s="27">
        <f>D238+W238</f>
        <v/>
      </c>
      <c r="E239" s="26">
        <f>E238+IF(U238="SW",1,0)</f>
        <v/>
      </c>
      <c r="F239" s="26">
        <f>F238+IF(U238="AB",1,0)</f>
        <v/>
      </c>
      <c r="G239" s="26">
        <f>G238+IF(U238="SC",1,0)</f>
        <v/>
      </c>
      <c r="H239" s="26">
        <f>H238+IF(U238="Mag",1,0)</f>
        <v/>
      </c>
      <c r="I239" s="26">
        <f>MAX(I238,IF(U238="OR",1,0))</f>
        <v/>
      </c>
      <c r="J239" s="26">
        <f>MAX(J238,IF(U238="HP",1,0))</f>
        <v/>
      </c>
      <c r="K239" s="26">
        <f>MAX(K238,IF(U238="FP",1,0))</f>
        <v/>
      </c>
      <c r="L239" s="26">
        <f>MAX(L238,IF(U238="transition",1,0))</f>
        <v/>
      </c>
      <c r="M239" s="28">
        <f>(Parameters!$B$9+(IF(E239=0,0,(Upgrades!$J$6+E239*Upgrades!$K$6)*POWER(Upgrades!$L$6,E239)))*(IF(Upgrades!$T$7="Solar Wind",POWER(Upgrades!$U$7,F239),1)*IF(Upgrades!$T$8="Solar Wind",POWER(Upgrades!$U$8,G239),1)*IF(Upgrades!$T$9="Solar Wind",POWER(Upgrades!$U$9,H239),1)*IF(Upgrades!$T$10="Solar Wind",POWER(Upgrades!$U$10,I239),1)*IF(Upgrades!$T$11="Solar Wind",POWER(Upgrades!$U$11,J239),1)*IF(Upgrades!$T$12="Solar Wind",POWER(Upgrades!$U$12,K239),1))+(IF(F239=0,0,(Upgrades!$J$7+F239*Upgrades!$K$7)*POWER(Upgrades!$L$7,F239)))*(IF(Upgrades!$T$6="Asteroid Belt",POWER(Upgrades!$U$6,E239),1)*IF(Upgrades!$T$8="Asteroid Belt",POWER(Upgrades!$U$8,G239),1)*IF(Upgrades!$T$9="Asteroid Belt",POWER(Upgrades!$U$9,H239),1)*IF(Upgrades!$T$10="Asteroid Belt",POWER(Upgrades!$U$10,I239),1)*IF(Upgrades!$T$11="Asteroid Belt",POWER(Upgrades!$U$11,J239),1)*IF(Upgrades!$T$12="Asteroid Belt",POWER(Upgrades!$U$12,K239),1))+(IF(G239=0,0,(Upgrades!$J$8+G239*Upgrades!$K$8)*POWER(Upgrades!$L$8,G239)))*(IF(Upgrades!$T$6="Stellar Coupling",POWER(Upgrades!$U$6,E239),1)*IF(Upgrades!$T$7="Stellar Coupling",POWER(Upgrades!$U$7,F239),1)*IF(Upgrades!$T$9="Stellar Coupling",POWER(Upgrades!$U$9,H239),1)*IF(Upgrades!$T$10="Stellar Coupling",POWER(Upgrades!$U$10,I239),1)*IF(Upgrades!$T$11="Stellar Coupling",POWER(Upgrades!$U$11,J239),1)*IF(Upgrades!$T$12="Stellar Coupling",POWER(Upgrades!$U$12,K239),1))+(IF(H239=0,0,(Upgrades!$J$9+H239*Upgrades!$K$9)*POWER(Upgrades!$L$9,H239)))*(IF(Upgrades!$T$6="Magnetosphere",POWER(Upgrades!$U$6,E239),1)*IF(Upgrades!$T$7="Magnetosphere",POWER(Upgrades!$U$7,F239),1)*IF(Upgrades!$T$8="Magnetosphere",POWER(Upgrades!$U$8,G239),1)*IF(Upgrades!$T$10="Magnetosphere",POWER(Upgrades!$U$10,I239),1)*IF(Upgrades!$T$11="Magnetosphere",POWER(Upgrades!$U$11,J239),1)*IF(Upgrades!$T$12="Magnetosphere",POWER(Upgrades!$U$12,K239),1))+(IF(I239=0,0,(Upgrades!$J$10+I239*Upgrades!$K$10)*POWER(Upgrades!$L$10,I239)))*(IF(Upgrades!$T$6="Orbital Resonance",POWER(Upgrades!$U$6,E239),1)*IF(Upgrades!$T$7="Orbital Resonance",POWER(Upgrades!$U$7,F239),1)*IF(Upgrades!$T$8="Orbital Resonance",POWER(Upgrades!$U$8,G239),1)*IF(Upgrades!$T$9="Orbital Resonance",POWER(Upgrades!$U$9,H239),1)*IF(Upgrades!$T$11="Orbital Resonance",POWER(Upgrades!$U$11,J239),1)*IF(Upgrades!$T$12="Orbital Resonance",POWER(Upgrades!$U$12,K239),1))+(IF(J239=0,0,(Upgrades!$J$11+J239*Upgrades!$K$11)*POWER(Upgrades!$L$11,J239)))*(IF(Upgrades!$T$6="Heliopause",POWER(Upgrades!$U$6,E239),1)*IF(Upgrades!$T$7="Heliopause",POWER(Upgrades!$U$7,F239),1)*IF(Upgrades!$T$8="Heliopause",POWER(Upgrades!$U$8,G239),1)*IF(Upgrades!$T$9="Heliopause",POWER(Upgrades!$U$9,H239),1)*IF(Upgrades!$T$10="Heliopause",POWER(Upgrades!$U$10,I239),1)*IF(Upgrades!$T$12="Heliopause",POWER(Upgrades!$U$12,K239),1))+(IF(K239=0,0,(Upgrades!$J$12+K239*Upgrades!$K$12)*POWER(Upgrades!$L$12,K239)))*(IF(Upgrades!$T$6="First Photons",POWER(Upgrades!$U$6,E239),1)*IF(Upgrades!$T$7="First Photons",POWER(Upgrades!$U$7,F239),1)*IF(Upgrades!$T$8="First Photons",POWER(Upgrades!$U$8,G239),1)*IF(Upgrades!$T$9="First Photons",POWER(Upgrades!$U$9,H239),1)*IF(Upgrades!$T$10="First Photons",POWER(Upgrades!$U$10,I239),1)*IF(Upgrades!$T$11="First Photons",POWER(Upgrades!$U$11,J239),1)))*POWER(Upgrades!$Q$6,E239)*POWER(Upgrades!$Q$7,F239)*POWER(Upgrades!$Q$8,G239)*POWER(Upgrades!$Q$9,H239)*POWER(Upgrades!$Q$10,I239)*POWER(Upgrades!$Q$11,J239)*POWER(Upgrades!$Q$12,K239)</f>
        <v/>
      </c>
      <c r="N239" s="28">
        <f>((IF(E239=0,0,(Upgrades!$G$6+E239*Upgrades!$H$6)*POWER(Upgrades!$I$6,E239)))*(IF(Upgrades!$T$7="Solar Wind",POWER(Upgrades!$U$7,F239),1)*IF(Upgrades!$T$8="Solar Wind",POWER(Upgrades!$U$8,G239),1)*IF(Upgrades!$T$9="Solar Wind",POWER(Upgrades!$U$9,H239),1)*IF(Upgrades!$T$10="Solar Wind",POWER(Upgrades!$U$10,I239),1)*IF(Upgrades!$T$11="Solar Wind",POWER(Upgrades!$U$11,J239),1)*IF(Upgrades!$T$12="Solar Wind",POWER(Upgrades!$U$12,K239),1))+(IF(F239=0,0,(Upgrades!$G$7+F239*Upgrades!$H$7)*POWER(Upgrades!$I$7,F239)))*(IF(Upgrades!$T$6="Asteroid Belt",POWER(Upgrades!$U$6,E239),1)*IF(Upgrades!$T$8="Asteroid Belt",POWER(Upgrades!$U$8,G239),1)*IF(Upgrades!$T$9="Asteroid Belt",POWER(Upgrades!$U$9,H239),1)*IF(Upgrades!$T$10="Asteroid Belt",POWER(Upgrades!$U$10,I239),1)*IF(Upgrades!$T$11="Asteroid Belt",POWER(Upgrades!$U$11,J239),1)*IF(Upgrades!$T$12="Asteroid Belt",POWER(Upgrades!$U$12,K239),1))+(IF(G239=0,0,(Upgrades!$G$8+G239*Upgrades!$H$8)*POWER(Upgrades!$I$8,G239)))*(IF(Upgrades!$T$6="Stellar Coupling",POWER(Upgrades!$U$6,E239),1)*IF(Upgrades!$T$7="Stellar Coupling",POWER(Upgrades!$U$7,F239),1)*IF(Upgrades!$T$9="Stellar Coupling",POWER(Upgrades!$U$9,H239),1)*IF(Upgrades!$T$10="Stellar Coupling",POWER(Upgrades!$U$10,I239),1)*IF(Upgrades!$T$11="Stellar Coupling",POWER(Upgrades!$U$11,J239),1)*IF(Upgrades!$T$12="Stellar Coupling",POWER(Upgrades!$U$12,K239),1))+(IF(H239=0,0,(Upgrades!$G$9+H239*Upgrades!$H$9)*POWER(Upgrades!$I$9,H239)))*(IF(Upgrades!$T$6="Magnetosphere",POWER(Upgrades!$U$6,E239),1)*IF(Upgrades!$T$7="Magnetosphere",POWER(Upgrades!$U$7,F239),1)*IF(Upgrades!$T$8="Magnetosphere",POWER(Upgrades!$U$8,G239),1)*IF(Upgrades!$T$10="Magnetosphere",POWER(Upgrades!$U$10,I239),1)*IF(Upgrades!$T$11="Magnetosphere",POWER(Upgrades!$U$11,J239),1)*IF(Upgrades!$T$12="Magnetosphere",POWER(Upgrades!$U$12,K239),1))+(IF(I239=0,0,(Upgrades!$G$10+I239*Upgrades!$H$10)*POWER(Upgrades!$I$10,I239)))*(IF(Upgrades!$T$6="Orbital Resonance",POWER(Upgrades!$U$6,E239),1)*IF(Upgrades!$T$7="Orbital Resonance",POWER(Upgrades!$U$7,F239),1)*IF(Upgrades!$T$8="Orbital Resonance",POWER(Upgrades!$U$8,G239),1)*IF(Upgrades!$T$9="Orbital Resonance",POWER(Upgrades!$U$9,H239),1)*IF(Upgrades!$T$11="Orbital Resonance",POWER(Upgrades!$U$11,J239),1)*IF(Upgrades!$T$12="Orbital Resonance",POWER(Upgrades!$U$12,K239),1))+(IF(J239=0,0,(Upgrades!$G$11+J239*Upgrades!$H$11)*POWER(Upgrades!$I$11,J239)))*(IF(Upgrades!$T$6="Heliopause",POWER(Upgrades!$U$6,E239),1)*IF(Upgrades!$T$7="Heliopause",POWER(Upgrades!$U$7,F239),1)*IF(Upgrades!$T$8="Heliopause",POWER(Upgrades!$U$8,G239),1)*IF(Upgrades!$T$9="Heliopause",POWER(Upgrades!$U$9,H239),1)*IF(Upgrades!$T$10="Heliopause",POWER(Upgrades!$U$10,I239),1)*IF(Upgrades!$T$12="Heliopause",POWER(Upgrades!$U$12,K239),1))+(IF(K239=0,0,(Upgrades!$G$12+K239*Upgrades!$H$12)*POWER(Upgrades!$I$12,K239)))*(IF(Upgrades!$T$6="First Photons",POWER(Upgrades!$U$6,E239),1)*IF(Upgrades!$T$7="First Photons",POWER(Upgrades!$U$7,F239),1)*IF(Upgrades!$T$8="First Photons",POWER(Upgrades!$U$8,G239),1)*IF(Upgrades!$T$9="First Photons",POWER(Upgrades!$U$9,H239),1)*IF(Upgrades!$T$10="First Photons",POWER(Upgrades!$U$10,I239),1)*IF(Upgrades!$T$11="First Photons",POWER(Upgrades!$U$11,J239),1)))*POWER(Upgrades!$P$6,E239)*POWER(Upgrades!$P$7,F239)*POWER(Upgrades!$P$8,G239)*POWER(Upgrades!$P$9,H239)*POWER(Upgrades!$P$10,I239)*POWER(Upgrades!$P$11,J239)*POWER(Upgrades!$P$12,K239)</f>
        <v/>
      </c>
      <c r="O239" s="28">
        <f>((IF(E239=0,0,(Upgrades!$M$6+E239*Upgrades!$N$6)*POWER(Upgrades!$O$6,E239)))*(IF(Upgrades!$T$7="Solar Wind",POWER(Upgrades!$U$7,F239),1)*IF(Upgrades!$T$8="Solar Wind",POWER(Upgrades!$U$8,G239),1)*IF(Upgrades!$T$9="Solar Wind",POWER(Upgrades!$U$9,H239),1)*IF(Upgrades!$T$10="Solar Wind",POWER(Upgrades!$U$10,I239),1)*IF(Upgrades!$T$11="Solar Wind",POWER(Upgrades!$U$11,J239),1)*IF(Upgrades!$T$12="Solar Wind",POWER(Upgrades!$U$12,K239),1))+(IF(F239=0,0,(Upgrades!$M$7+F239*Upgrades!$N$7)*POWER(Upgrades!$O$7,F239)))*(IF(Upgrades!$T$6="Asteroid Belt",POWER(Upgrades!$U$6,E239),1)*IF(Upgrades!$T$8="Asteroid Belt",POWER(Upgrades!$U$8,G239),1)*IF(Upgrades!$T$9="Asteroid Belt",POWER(Upgrades!$U$9,H239),1)*IF(Upgrades!$T$10="Asteroid Belt",POWER(Upgrades!$U$10,I239),1)*IF(Upgrades!$T$11="Asteroid Belt",POWER(Upgrades!$U$11,J239),1)*IF(Upgrades!$T$12="Asteroid Belt",POWER(Upgrades!$U$12,K239),1))+(IF(G239=0,0,(Upgrades!$M$8+G239*Upgrades!$N$8)*POWER(Upgrades!$O$8,G239)))*(IF(Upgrades!$T$6="Stellar Coupling",POWER(Upgrades!$U$6,E239),1)*IF(Upgrades!$T$7="Stellar Coupling",POWER(Upgrades!$U$7,F239),1)*IF(Upgrades!$T$9="Stellar Coupling",POWER(Upgrades!$U$9,H239),1)*IF(Upgrades!$T$10="Stellar Coupling",POWER(Upgrades!$U$10,I239),1)*IF(Upgrades!$T$11="Stellar Coupling",POWER(Upgrades!$U$11,J239),1)*IF(Upgrades!$T$12="Stellar Coupling",POWER(Upgrades!$U$12,K239),1))+(IF(H239=0,0,(Upgrades!$M$9+H239*Upgrades!$N$9)*POWER(Upgrades!$O$9,H239)))*(IF(Upgrades!$T$6="Magnetosphere",POWER(Upgrades!$U$6,E239),1)*IF(Upgrades!$T$7="Magnetosphere",POWER(Upgrades!$U$7,F239),1)*IF(Upgrades!$T$8="Magnetosphere",POWER(Upgrades!$U$8,G239),1)*IF(Upgrades!$T$10="Magnetosphere",POWER(Upgrades!$U$10,I239),1)*IF(Upgrades!$T$11="Magnetosphere",POWER(Upgrades!$U$11,J239),1)*IF(Upgrades!$T$12="Magnetosphere",POWER(Upgrades!$U$12,K239),1))+(IF(I239=0,0,(Upgrades!$M$10+I239*Upgrades!$N$10)*POWER(Upgrades!$O$10,I239)))*(IF(Upgrades!$T$6="Orbital Resonance",POWER(Upgrades!$U$6,E239),1)*IF(Upgrades!$T$7="Orbital Resonance",POWER(Upgrades!$U$7,F239),1)*IF(Upgrades!$T$8="Orbital Resonance",POWER(Upgrades!$U$8,G239),1)*IF(Upgrades!$T$9="Orbital Resonance",POWER(Upgrades!$U$9,H239),1)*IF(Upgrades!$T$11="Orbital Resonance",POWER(Upgrades!$U$11,J239),1)*IF(Upgrades!$T$12="Orbital Resonance",POWER(Upgrades!$U$12,K239),1))+(IF(J239=0,0,(Upgrades!$M$11+J239*Upgrades!$N$11)*POWER(Upgrades!$O$11,J239)))*(IF(Upgrades!$T$6="Heliopause",POWER(Upgrades!$U$6,E239),1)*IF(Upgrades!$T$7="Heliopause",POWER(Upgrades!$U$7,F239),1)*IF(Upgrades!$T$8="Heliopause",POWER(Upgrades!$U$8,G239),1)*IF(Upgrades!$T$9="Heliopause",POWER(Upgrades!$U$9,H239),1)*IF(Upgrades!$T$10="Heliopause",POWER(Upgrades!$U$10,I239),1)*IF(Upgrades!$T$12="Heliopause",POWER(Upgrades!$U$12,K239),1))+(IF(K239=0,0,(Upgrades!$M$12+K239*Upgrades!$N$12)*POWER(Upgrades!$O$12,K239)))*(IF(Upgrades!$T$6="First Photons",POWER(Upgrades!$U$6,E239),1)*IF(Upgrades!$T$7="First Photons",POWER(Upgrades!$U$7,F239),1)*IF(Upgrades!$T$8="First Photons",POWER(Upgrades!$U$8,G239),1)*IF(Upgrades!$T$9="First Photons",POWER(Upgrades!$U$9,H239),1)*IF(Upgrades!$T$10="First Photons",POWER(Upgrades!$U$10,I239),1)*IF(Upgrades!$T$11="First Photons",POWER(Upgrades!$U$11,J239),1)))*POWER(Upgrades!$R$6,E239)*POWER(Upgrades!$R$7,F239)*POWER(Upgrades!$R$8,G239)*POWER(Upgrades!$R$9,H239)*POWER(Upgrades!$R$10,I239)*POWER(Upgrades!$R$11,J239)*POWER(Upgrades!$R$12,K239)</f>
        <v/>
      </c>
      <c r="P239" s="27">
        <f>IF(L239=1,0,M239*Parameters!$B$10/60*Parameters!$B$11*10)</f>
        <v/>
      </c>
      <c r="Q239" s="27">
        <f>IF(L239=1,0,O239*M239*10)</f>
        <v/>
      </c>
      <c r="R239" s="27">
        <f>IF(L239=1,0,N239*10)</f>
        <v/>
      </c>
      <c r="S239" s="27">
        <f>P239+Q239+R239</f>
        <v/>
      </c>
      <c r="T239" s="22">
        <f>C239+S239</f>
        <v/>
      </c>
      <c r="U239" s="33">
        <f>AX239</f>
        <v/>
      </c>
      <c r="V239" s="22">
        <f>IF(U239="",0,IF(U239="transition",0,IF(U239="SW",AG239,IF(U239="AB",AH239,IF(U239="SC",AI239,IF(U239="Mag",AJ239,IF(U239="OR",AK239,IF(U239="HP",AL239,IF(U239="FP",AM239,0)))))))))</f>
        <v/>
      </c>
      <c r="W239" s="27">
        <f>IF(U239="OR",Upgrades!$F$10,IF(U239="HP",Upgrades!$F$11,IF(U239="transition",-Parameters!$B$18,0)))</f>
        <v/>
      </c>
      <c r="X239" s="22">
        <f>T239-V239</f>
        <v/>
      </c>
      <c r="Y239" s="30">
        <f>M239*Parameters!$B$10/60*Parameters!$B$11+O239*M239+N239</f>
        <v/>
      </c>
      <c r="Z239" s="34">
        <f>IF(U239="transition","→ Tier 2 (Stellar Neighborhood)",IF(U239="FP","First Photons — light begins, system quickens",IF(U239="HP","Heliopause acquired",IF(U239="OR","Orbital Resonance — passive multiplier active",IF(AND(AO239=1,L239=0,AN239&lt;&gt;1),"Cohesion ready (waiting on completionist upgrades)","")))))</f>
        <v/>
      </c>
      <c r="AA239" s="27">
        <f>(IF(E239=0,0,(Upgrades!$G$6+E239*Upgrades!$H$6)*POWER(Upgrades!$I$6,E239)))*(IF(Upgrades!$T$7="Solar Wind",POWER(Upgrades!$U$7,F239),1)*IF(Upgrades!$T$8="Solar Wind",POWER(Upgrades!$U$8,G239),1)*IF(Upgrades!$T$9="Solar Wind",POWER(Upgrades!$U$9,H239),1)*IF(Upgrades!$T$10="Solar Wind",POWER(Upgrades!$U$10,I239),1)*IF(Upgrades!$T$11="Solar Wind",POWER(Upgrades!$U$11,J239),1)*IF(Upgrades!$T$12="Solar Wind",POWER(Upgrades!$U$12,K239),1))*POWER(Upgrades!$P$6,E239)*POWER(Upgrades!$P$7,F239)*POWER(Upgrades!$P$8,G239)*POWER(Upgrades!$P$9,H239)*POWER(Upgrades!$P$10,I239)*POWER(Upgrades!$P$11,J239)*POWER(Upgrades!$P$12,K239)*60</f>
        <v/>
      </c>
      <c r="AB239" s="27">
        <f>(IF(F239=0,0,(Upgrades!$G$7+F239*Upgrades!$H$7)*POWER(Upgrades!$I$7,F239)))*(IF(Upgrades!$T$6="Asteroid Belt",POWER(Upgrades!$U$6,E239),1)*IF(Upgrades!$T$8="Asteroid Belt",POWER(Upgrades!$U$8,G239),1)*IF(Upgrades!$T$9="Asteroid Belt",POWER(Upgrades!$U$9,H239),1)*IF(Upgrades!$T$10="Asteroid Belt",POWER(Upgrades!$U$10,I239),1)*IF(Upgrades!$T$11="Asteroid Belt",POWER(Upgrades!$U$11,J239),1)*IF(Upgrades!$T$12="Asteroid Belt",POWER(Upgrades!$U$12,K239),1))*POWER(Upgrades!$P$6,E239)*POWER(Upgrades!$P$7,F239)*POWER(Upgrades!$P$8,G239)*POWER(Upgrades!$P$9,H239)*POWER(Upgrades!$P$10,I239)*POWER(Upgrades!$P$11,J239)*POWER(Upgrades!$P$12,K239)*60</f>
        <v/>
      </c>
      <c r="AC239" s="27">
        <f>(IF(G239=0,0,(Upgrades!$J$8+G239*Upgrades!$K$8)*POWER(Upgrades!$L$8,G239)))*(IF(Upgrades!$T$6="Stellar Coupling",POWER(Upgrades!$U$6,E239),1)*IF(Upgrades!$T$7="Stellar Coupling",POWER(Upgrades!$U$7,F239),1)*IF(Upgrades!$T$9="Stellar Coupling",POWER(Upgrades!$U$9,H239),1)*IF(Upgrades!$T$10="Stellar Coupling",POWER(Upgrades!$U$10,I239),1)*IF(Upgrades!$T$11="Stellar Coupling",POWER(Upgrades!$U$11,J239),1)*IF(Upgrades!$T$12="Stellar Coupling",POWER(Upgrades!$U$12,K239),1))*POWER(Upgrades!$Q$6,E239)*POWER(Upgrades!$Q$7,F239)*POWER(Upgrades!$Q$8,G239)*POWER(Upgrades!$Q$9,H239)*POWER(Upgrades!$Q$10,I239)*POWER(Upgrades!$Q$11,J239)*POWER(Upgrades!$Q$12,K239)*Parameters!$B$10*Parameters!$B$11</f>
        <v/>
      </c>
      <c r="AD239" s="27">
        <f>(IF(H239=0,0,(Upgrades!$G$9+H239*Upgrades!$H$9)*POWER(Upgrades!$I$9,H239)))*(IF(Upgrades!$T$6="Magnetosphere",POWER(Upgrades!$U$6,E239),1)*IF(Upgrades!$T$7="Magnetosphere",POWER(Upgrades!$U$7,F239),1)*IF(Upgrades!$T$8="Magnetosphere",POWER(Upgrades!$U$8,G239),1)*IF(Upgrades!$T$10="Magnetosphere",POWER(Upgrades!$U$10,I239),1)*IF(Upgrades!$T$11="Magnetosphere",POWER(Upgrades!$U$11,J239),1)*IF(Upgrades!$T$12="Magnetosphere",POWER(Upgrades!$U$12,K239),1))*POWER(Upgrades!$P$6,E239)*POWER(Upgrades!$P$7,F239)*POWER(Upgrades!$P$8,G239)*POWER(Upgrades!$P$9,H239)*POWER(Upgrades!$P$10,I239)*POWER(Upgrades!$P$11,J239)*POWER(Upgrades!$P$12,K239)*60</f>
        <v/>
      </c>
      <c r="AE239" s="27">
        <f>(IF(K239=0,0,(Upgrades!$G$12+K239*Upgrades!$H$12)*POWER(Upgrades!$I$12,K239)))*(IF(Upgrades!$T$6="First Photons",POWER(Upgrades!$U$6,E239),1)*IF(Upgrades!$T$7="First Photons",POWER(Upgrades!$U$7,F239),1)*IF(Upgrades!$T$8="First Photons",POWER(Upgrades!$U$8,G239),1)*IF(Upgrades!$T$9="First Photons",POWER(Upgrades!$U$9,H239),1)*IF(Upgrades!$T$10="First Photons",POWER(Upgrades!$U$10,I239),1)*IF(Upgrades!$T$11="First Photons",POWER(Upgrades!$U$11,J239),1))*POWER(Upgrades!$P$6,E239)*POWER(Upgrades!$P$7,F239)*POWER(Upgrades!$P$8,G239)*POWER(Upgrades!$P$9,H239)*POWER(Upgrades!$P$10,I239)*POWER(Upgrades!$P$11,J239)*POWER(Upgrades!$P$12,K239)*60</f>
        <v/>
      </c>
      <c r="AF239" s="27">
        <f>Parameters!$B$9*POWER(Upgrades!$Q$6,E239)*POWER(Upgrades!$Q$7,F239)*POWER(Upgrades!$Q$8,G239)*POWER(Upgrades!$Q$9,H239)*POWER(Upgrades!$Q$10,I239)*POWER(Upgrades!$Q$11,J239)*POWER(Upgrades!$Q$12,K239)*(Parameters!$B$10*Parameters!$B$11+O239*60)</f>
        <v/>
      </c>
      <c r="AG239" s="22">
        <f>IF(E239&gt;=Upgrades!$E$6,"",Upgrades!$C$6*POWER(Upgrades!$D$6,E239))</f>
        <v/>
      </c>
      <c r="AH239" s="22">
        <f>IF(F239&gt;=Upgrades!$E$7,"",Upgrades!$C$7*POWER(Upgrades!$D$7,F239))</f>
        <v/>
      </c>
      <c r="AI239" s="22">
        <f>IF(G239&gt;=Upgrades!$E$8,"",Upgrades!$C$8*POWER(Upgrades!$D$8,G239))</f>
        <v/>
      </c>
      <c r="AJ239" s="22">
        <f>IF(H239&gt;=Upgrades!$E$9,"",Upgrades!$C$9*POWER(Upgrades!$D$9,H239))</f>
        <v/>
      </c>
      <c r="AK239" s="22">
        <f>IF(I239&gt;=Upgrades!$E$10,"",Upgrades!$C$10*POWER(Upgrades!$D$10,I239))</f>
        <v/>
      </c>
      <c r="AL239" s="22">
        <f>IF(J239&gt;=Upgrades!$E$11,"",Upgrades!$C$11*POWER(Upgrades!$D$11,J239))</f>
        <v/>
      </c>
      <c r="AM239" s="22">
        <f>IF(K239&gt;=Upgrades!$E$12,"",Upgrades!$C$12*POWER(Upgrades!$D$12,K239))</f>
        <v/>
      </c>
      <c r="AN239" s="26">
        <f>IF(AND(D239&gt;=Parameters!$B$18,(H239&gt;=Upgrades!$E$9)*(K239&gt;=Upgrades!$E$12)=1,L239=0),1,"")</f>
        <v/>
      </c>
      <c r="AO239" s="26">
        <f>IF(AND(D239&gt;=Parameters!$B$18,L239=0),1,"")</f>
        <v/>
      </c>
      <c r="AP239" s="22">
        <f>MIN(IF(ISNUMBER(AK239),AK239,9E15),IF(ISNUMBER(AL239),AL239,9E15),IF(ISNUMBER(AM239),AM239,9E15))</f>
        <v/>
      </c>
      <c r="AQ239" s="22">
        <f>MIN(IF(ISNUMBER(AG239),AG239,9E15),IF(ISNUMBER(AH239),AH239,9E15),IF(ISNUMBER(AI239),AI239,9E15),IF(ISNUMBER(AJ239),AJ239,9E15))</f>
        <v/>
      </c>
      <c r="AR239" s="29">
        <f>IF(AW239&gt;Parameters!$B$21*(MAX(IF(AND(NOT(AND(AO239=1,AN239&lt;&gt;1)),ISNUMBER(AG239),AG239&lt;=T239),AS239,0),IF(AND(NOT(AND(AO239=1,AN239&lt;&gt;1)),ISNUMBER(AH239),AH239&lt;=T239),AT239,0),IF(AND(NOT(AND(AO239=1,AN239&lt;&gt;1)),ISNUMBER(AI239),AI239&lt;=T239),AU239,0),IF(AND(ISNUMBER(AJ239),AJ239&lt;=T239),AV239,0))),TRUE,FALSE)</f>
        <v/>
      </c>
      <c r="AS239" s="32">
        <f>IFERROR(Upgrades!$H$6*(POWER(Upgrades!$P$6,E239)*POWER(Upgrades!$P$7,F239)*POWER(Upgrades!$P$8,G239)*POWER(Upgrades!$P$9,H239)*POWER(Upgrades!$P$10,I239)*POWER(Upgrades!$P$11,J239)*POWER(Upgrades!$P$12,K239))*(IF(Upgrades!$T$7="Solar Wind",POWER(Upgrades!$U$7,F239),1)*IF(Upgrades!$T$8="Solar Wind",POWER(Upgrades!$U$8,G239),1)*IF(Upgrades!$T$9="Solar Wind",POWER(Upgrades!$U$9,H239),1)*IF(Upgrades!$T$10="Solar Wind",POWER(Upgrades!$U$10,I239),1)*IF(Upgrades!$T$11="Solar Wind",POWER(Upgrades!$U$11,J239),1)*IF(Upgrades!$T$12="Solar Wind",POWER(Upgrades!$U$12,K239),1))/AG239,0)</f>
        <v/>
      </c>
      <c r="AT239" s="32">
        <f>IFERROR(Upgrades!$H$7*(POWER(Upgrades!$P$6,E239)*POWER(Upgrades!$P$7,F239)*POWER(Upgrades!$P$8,G239)*POWER(Upgrades!$P$9,H239)*POWER(Upgrades!$P$10,I239)*POWER(Upgrades!$P$11,J239)*POWER(Upgrades!$P$12,K239))*(IF(Upgrades!$T$6="Asteroid Belt",POWER(Upgrades!$U$6,E239),1)*IF(Upgrades!$T$8="Asteroid Belt",POWER(Upgrades!$U$8,G239),1)*IF(Upgrades!$T$9="Asteroid Belt",POWER(Upgrades!$U$9,H239),1)*IF(Upgrades!$T$10="Asteroid Belt",POWER(Upgrades!$U$10,I239),1)*IF(Upgrades!$T$11="Asteroid Belt",POWER(Upgrades!$U$11,J239),1)*IF(Upgrades!$T$12="Asteroid Belt",POWER(Upgrades!$U$12,K239),1))/AH239,0)</f>
        <v/>
      </c>
      <c r="AU239" s="32">
        <f>IFERROR(Upgrades!$K$8*(POWER(Upgrades!$Q$6,E239)*POWER(Upgrades!$Q$7,F239)*POWER(Upgrades!$Q$8,G239)*POWER(Upgrades!$Q$9,H239)*POWER(Upgrades!$Q$10,I239)*POWER(Upgrades!$Q$11,J239)*POWER(Upgrades!$Q$12,K239))*(IF(Upgrades!$T$6="Stellar Coupling",POWER(Upgrades!$U$6,E239),1)*IF(Upgrades!$T$7="Stellar Coupling",POWER(Upgrades!$U$7,F239),1)*IF(Upgrades!$T$9="Stellar Coupling",POWER(Upgrades!$U$9,H239),1)*IF(Upgrades!$T$10="Stellar Coupling",POWER(Upgrades!$U$10,I239),1)*IF(Upgrades!$T$11="Stellar Coupling",POWER(Upgrades!$U$11,J239),1)*IF(Upgrades!$T$12="Stellar Coupling",POWER(Upgrades!$U$12,K239),1))*Parameters!$B$10*Parameters!$B$11/60/AI239,0)</f>
        <v/>
      </c>
      <c r="AV239" s="32">
        <f>IFERROR(Upgrades!$H$9*(POWER(Upgrades!$P$6,E239)*POWER(Upgrades!$P$7,F239)*POWER(Upgrades!$P$8,G239)*POWER(Upgrades!$P$9,H239)*POWER(Upgrades!$P$10,I239)*POWER(Upgrades!$P$11,J239)*POWER(Upgrades!$P$12,K239))*(IF(Upgrades!$T$6="Magnetosphere",POWER(Upgrades!$U$6,E239),1)*IF(Upgrades!$T$7="Magnetosphere",POWER(Upgrades!$U$7,F239),1)*IF(Upgrades!$T$8="Magnetosphere",POWER(Upgrades!$U$8,G239),1)*IF(Upgrades!$T$10="Magnetosphere",POWER(Upgrades!$U$10,I239),1)*IF(Upgrades!$T$11="Magnetosphere",POWER(Upgrades!$U$11,J239),1)*IF(Upgrades!$T$12="Magnetosphere",POWER(Upgrades!$U$12,K239),1))/AJ239,0)</f>
        <v/>
      </c>
      <c r="AW239" s="32">
        <f>MAX(IF(I239&gt;0,0,IFERROR(0.25*N239/Upgrades!$C$10,0)),IF(J239&gt;0,0,IFERROR(0.5*((IF(G239=0,0,(Upgrades!$J$8+G239*Upgrades!$K$8)*POWER(Upgrades!$L$8,G239)))*(IF(Upgrades!$T$6="Stellar Coupling",POWER(Upgrades!$U$6,E239),1)*IF(Upgrades!$T$7="Stellar Coupling",POWER(Upgrades!$U$7,F239),1)*IF(Upgrades!$T$9="Stellar Coupling",POWER(Upgrades!$U$9,H239),1)*IF(Upgrades!$T$10="Stellar Coupling",POWER(Upgrades!$U$10,I239),1)*IF(Upgrades!$T$11="Stellar Coupling",POWER(Upgrades!$U$11,J239),1)*IF(Upgrades!$T$12="Stellar Coupling",POWER(Upgrades!$U$12,K239),1))*(POWER(Upgrades!$Q$6,E239)*POWER(Upgrades!$Q$7,F239)*POWER(Upgrades!$Q$8,G239)*POWER(Upgrades!$Q$9,H239)*POWER(Upgrades!$Q$10,I239)*POWER(Upgrades!$Q$11,J239)*POWER(Upgrades!$Q$12,K239))*Parameters!$B$10*Parameters!$B$11/60)/Upgrades!$C$11,0)),IF(K239&gt;0,0,IFERROR((1.0*(POWER(Upgrades!$P$6,E239)*POWER(Upgrades!$P$7,F239)*POWER(Upgrades!$P$8,G239)*POWER(Upgrades!$P$9,H239)*POWER(Upgrades!$P$10,I239)*POWER(Upgrades!$P$11,J239)*POWER(Upgrades!$P$12,K239))+0.20*M239*Parameters!$B$10*Parameters!$B$11/60)/Upgrades!$C$12,0)),IF(AND(ISNUMBER(AG239),AG239&gt;T239),AS239,0),IF(AND(ISNUMBER(AH239),AH239&gt;T239),AT239,0),IF(AND(ISNUMBER(AI239),AI239&gt;T239),AU239,0),IF(AND(ISNUMBER(AJ239),AJ239&gt;T239),AV239,0))</f>
        <v/>
      </c>
      <c r="AX239" s="29">
        <f>IF(AN239=1,"transition",IF(MIN(IF(AND(I239=0,ISNUMBER(AK239),AK239&lt;=T239),AK239,9E15),IF(AND(J239=0,ISNUMBER(AL239),AL239&lt;=T239),AL239,9E15),IF(AND(K239=0,ISNUMBER(AM239),AM239&lt;=T239),AM239,9E15))&lt;9E15,IF(AND(AND(I239=0,ISNUMBER(AK239),AK239&lt;=T239),AK239=MIN(IF(AND(I239=0,ISNUMBER(AK239),AK239&lt;=T239),AK239,9E15),IF(AND(J239=0,ISNUMBER(AL239),AL239&lt;=T239),AL239,9E15),IF(AND(K239=0,ISNUMBER(AM239),AM239&lt;=T239),AM239,9E15))),"OR",IF(AND(AND(J239=0,ISNUMBER(AL239),AL239&lt;=T239),AL239=MIN(IF(AND(I239=0,ISNUMBER(AK239),AK239&lt;=T239),AK239,9E15),IF(AND(J239=0,ISNUMBER(AL239),AL239&lt;=T239),AL239,9E15),IF(AND(K239=0,ISNUMBER(AM239),AM239&lt;=T239),AM239,9E15))),"HP","FP")),IF(AR239=TRUE,"",IF(MAX(IF(AND(NOT(AND(AO239=1,AN239&lt;&gt;1)),ISNUMBER(AG239),AG239&lt;=T239),AS239,0),IF(AND(NOT(AND(AO239=1,AN239&lt;&gt;1)),ISNUMBER(AH239),AH239&lt;=T239),AT239,0),IF(AND(NOT(AND(AO239=1,AN239&lt;&gt;1)),ISNUMBER(AI239),AI239&lt;=T239),AU239,0),IF(AND(ISNUMBER(AJ239),AJ239&lt;=T239),AV239,0))&lt;=0,"",IF(AND(IF(AND(NOT(AND(AO239=1,AN239&lt;&gt;1)),ISNUMBER(AG239),AG239&lt;=T239),AS239,0)&gt;0,IF(AND(NOT(AND(AO239=1,AN239&lt;&gt;1)),ISNUMBER(AG239),AG239&lt;=T239),AS239,0)=MAX(IF(AND(NOT(AND(AO239=1,AN239&lt;&gt;1)),ISNUMBER(AG239),AG239&lt;=T239),AS239,0),IF(AND(NOT(AND(AO239=1,AN239&lt;&gt;1)),ISNUMBER(AH239),AH239&lt;=T239),AT239,0),IF(AND(NOT(AND(AO239=1,AN239&lt;&gt;1)),ISNUMBER(AI239),AI239&lt;=T239),AU239,0),IF(AND(ISNUMBER(AJ239),AJ239&lt;=T239),AV239,0))),"SW",IF(AND(IF(AND(NOT(AND(AO239=1,AN239&lt;&gt;1)),ISNUMBER(AH239),AH239&lt;=T239),AT239,0)&gt;0,IF(AND(NOT(AND(AO239=1,AN239&lt;&gt;1)),ISNUMBER(AH239),AH239&lt;=T239),AT239,0)=MAX(IF(AND(NOT(AND(AO239=1,AN239&lt;&gt;1)),ISNUMBER(AG239),AG239&lt;=T239),AS239,0),IF(AND(NOT(AND(AO239=1,AN239&lt;&gt;1)),ISNUMBER(AH239),AH239&lt;=T239),AT239,0),IF(AND(NOT(AND(AO239=1,AN239&lt;&gt;1)),ISNUMBER(AI239),AI239&lt;=T239),AU239,0),IF(AND(ISNUMBER(AJ239),AJ239&lt;=T239),AV239,0))),"AB",IF(AND(IF(AND(NOT(AND(AO239=1,AN239&lt;&gt;1)),ISNUMBER(AI239),AI239&lt;=T239),AU239,0)&gt;0,IF(AND(NOT(AND(AO239=1,AN239&lt;&gt;1)),ISNUMBER(AI239),AI239&lt;=T239),AU239,0)=MAX(IF(AND(NOT(AND(AO239=1,AN239&lt;&gt;1)),ISNUMBER(AG239),AG239&lt;=T239),AS239,0),IF(AND(NOT(AND(AO239=1,AN239&lt;&gt;1)),ISNUMBER(AH239),AH239&lt;=T239),AT239,0),IF(AND(NOT(AND(AO239=1,AN239&lt;&gt;1)),ISNUMBER(AI239),AI239&lt;=T239),AU239,0),IF(AND(ISNUMBER(AJ239),AJ239&lt;=T239),AV239,0))),"SC","Mag")))))))</f>
        <v/>
      </c>
    </row>
    <row r="240">
      <c r="A240" s="26" t="n">
        <v>235</v>
      </c>
      <c r="B240" s="27">
        <f>A240*10/60</f>
        <v/>
      </c>
      <c r="C240" s="22">
        <f>X239</f>
        <v/>
      </c>
      <c r="D240" s="27">
        <f>D239+W239</f>
        <v/>
      </c>
      <c r="E240" s="26">
        <f>E239+IF(U239="SW",1,0)</f>
        <v/>
      </c>
      <c r="F240" s="26">
        <f>F239+IF(U239="AB",1,0)</f>
        <v/>
      </c>
      <c r="G240" s="26">
        <f>G239+IF(U239="SC",1,0)</f>
        <v/>
      </c>
      <c r="H240" s="26">
        <f>H239+IF(U239="Mag",1,0)</f>
        <v/>
      </c>
      <c r="I240" s="26">
        <f>MAX(I239,IF(U239="OR",1,0))</f>
        <v/>
      </c>
      <c r="J240" s="26">
        <f>MAX(J239,IF(U239="HP",1,0))</f>
        <v/>
      </c>
      <c r="K240" s="26">
        <f>MAX(K239,IF(U239="FP",1,0))</f>
        <v/>
      </c>
      <c r="L240" s="26">
        <f>MAX(L239,IF(U239="transition",1,0))</f>
        <v/>
      </c>
      <c r="M240" s="28">
        <f>(Parameters!$B$9+(IF(E240=0,0,(Upgrades!$J$6+E240*Upgrades!$K$6)*POWER(Upgrades!$L$6,E240)))*(IF(Upgrades!$T$7="Solar Wind",POWER(Upgrades!$U$7,F240),1)*IF(Upgrades!$T$8="Solar Wind",POWER(Upgrades!$U$8,G240),1)*IF(Upgrades!$T$9="Solar Wind",POWER(Upgrades!$U$9,H240),1)*IF(Upgrades!$T$10="Solar Wind",POWER(Upgrades!$U$10,I240),1)*IF(Upgrades!$T$11="Solar Wind",POWER(Upgrades!$U$11,J240),1)*IF(Upgrades!$T$12="Solar Wind",POWER(Upgrades!$U$12,K240),1))+(IF(F240=0,0,(Upgrades!$J$7+F240*Upgrades!$K$7)*POWER(Upgrades!$L$7,F240)))*(IF(Upgrades!$T$6="Asteroid Belt",POWER(Upgrades!$U$6,E240),1)*IF(Upgrades!$T$8="Asteroid Belt",POWER(Upgrades!$U$8,G240),1)*IF(Upgrades!$T$9="Asteroid Belt",POWER(Upgrades!$U$9,H240),1)*IF(Upgrades!$T$10="Asteroid Belt",POWER(Upgrades!$U$10,I240),1)*IF(Upgrades!$T$11="Asteroid Belt",POWER(Upgrades!$U$11,J240),1)*IF(Upgrades!$T$12="Asteroid Belt",POWER(Upgrades!$U$12,K240),1))+(IF(G240=0,0,(Upgrades!$J$8+G240*Upgrades!$K$8)*POWER(Upgrades!$L$8,G240)))*(IF(Upgrades!$T$6="Stellar Coupling",POWER(Upgrades!$U$6,E240),1)*IF(Upgrades!$T$7="Stellar Coupling",POWER(Upgrades!$U$7,F240),1)*IF(Upgrades!$T$9="Stellar Coupling",POWER(Upgrades!$U$9,H240),1)*IF(Upgrades!$T$10="Stellar Coupling",POWER(Upgrades!$U$10,I240),1)*IF(Upgrades!$T$11="Stellar Coupling",POWER(Upgrades!$U$11,J240),1)*IF(Upgrades!$T$12="Stellar Coupling",POWER(Upgrades!$U$12,K240),1))+(IF(H240=0,0,(Upgrades!$J$9+H240*Upgrades!$K$9)*POWER(Upgrades!$L$9,H240)))*(IF(Upgrades!$T$6="Magnetosphere",POWER(Upgrades!$U$6,E240),1)*IF(Upgrades!$T$7="Magnetosphere",POWER(Upgrades!$U$7,F240),1)*IF(Upgrades!$T$8="Magnetosphere",POWER(Upgrades!$U$8,G240),1)*IF(Upgrades!$T$10="Magnetosphere",POWER(Upgrades!$U$10,I240),1)*IF(Upgrades!$T$11="Magnetosphere",POWER(Upgrades!$U$11,J240),1)*IF(Upgrades!$T$12="Magnetosphere",POWER(Upgrades!$U$12,K240),1))+(IF(I240=0,0,(Upgrades!$J$10+I240*Upgrades!$K$10)*POWER(Upgrades!$L$10,I240)))*(IF(Upgrades!$T$6="Orbital Resonance",POWER(Upgrades!$U$6,E240),1)*IF(Upgrades!$T$7="Orbital Resonance",POWER(Upgrades!$U$7,F240),1)*IF(Upgrades!$T$8="Orbital Resonance",POWER(Upgrades!$U$8,G240),1)*IF(Upgrades!$T$9="Orbital Resonance",POWER(Upgrades!$U$9,H240),1)*IF(Upgrades!$T$11="Orbital Resonance",POWER(Upgrades!$U$11,J240),1)*IF(Upgrades!$T$12="Orbital Resonance",POWER(Upgrades!$U$12,K240),1))+(IF(J240=0,0,(Upgrades!$J$11+J240*Upgrades!$K$11)*POWER(Upgrades!$L$11,J240)))*(IF(Upgrades!$T$6="Heliopause",POWER(Upgrades!$U$6,E240),1)*IF(Upgrades!$T$7="Heliopause",POWER(Upgrades!$U$7,F240),1)*IF(Upgrades!$T$8="Heliopause",POWER(Upgrades!$U$8,G240),1)*IF(Upgrades!$T$9="Heliopause",POWER(Upgrades!$U$9,H240),1)*IF(Upgrades!$T$10="Heliopause",POWER(Upgrades!$U$10,I240),1)*IF(Upgrades!$T$12="Heliopause",POWER(Upgrades!$U$12,K240),1))+(IF(K240=0,0,(Upgrades!$J$12+K240*Upgrades!$K$12)*POWER(Upgrades!$L$12,K240)))*(IF(Upgrades!$T$6="First Photons",POWER(Upgrades!$U$6,E240),1)*IF(Upgrades!$T$7="First Photons",POWER(Upgrades!$U$7,F240),1)*IF(Upgrades!$T$8="First Photons",POWER(Upgrades!$U$8,G240),1)*IF(Upgrades!$T$9="First Photons",POWER(Upgrades!$U$9,H240),1)*IF(Upgrades!$T$10="First Photons",POWER(Upgrades!$U$10,I240),1)*IF(Upgrades!$T$11="First Photons",POWER(Upgrades!$U$11,J240),1)))*POWER(Upgrades!$Q$6,E240)*POWER(Upgrades!$Q$7,F240)*POWER(Upgrades!$Q$8,G240)*POWER(Upgrades!$Q$9,H240)*POWER(Upgrades!$Q$10,I240)*POWER(Upgrades!$Q$11,J240)*POWER(Upgrades!$Q$12,K240)</f>
        <v/>
      </c>
      <c r="N240" s="28">
        <f>((IF(E240=0,0,(Upgrades!$G$6+E240*Upgrades!$H$6)*POWER(Upgrades!$I$6,E240)))*(IF(Upgrades!$T$7="Solar Wind",POWER(Upgrades!$U$7,F240),1)*IF(Upgrades!$T$8="Solar Wind",POWER(Upgrades!$U$8,G240),1)*IF(Upgrades!$T$9="Solar Wind",POWER(Upgrades!$U$9,H240),1)*IF(Upgrades!$T$10="Solar Wind",POWER(Upgrades!$U$10,I240),1)*IF(Upgrades!$T$11="Solar Wind",POWER(Upgrades!$U$11,J240),1)*IF(Upgrades!$T$12="Solar Wind",POWER(Upgrades!$U$12,K240),1))+(IF(F240=0,0,(Upgrades!$G$7+F240*Upgrades!$H$7)*POWER(Upgrades!$I$7,F240)))*(IF(Upgrades!$T$6="Asteroid Belt",POWER(Upgrades!$U$6,E240),1)*IF(Upgrades!$T$8="Asteroid Belt",POWER(Upgrades!$U$8,G240),1)*IF(Upgrades!$T$9="Asteroid Belt",POWER(Upgrades!$U$9,H240),1)*IF(Upgrades!$T$10="Asteroid Belt",POWER(Upgrades!$U$10,I240),1)*IF(Upgrades!$T$11="Asteroid Belt",POWER(Upgrades!$U$11,J240),1)*IF(Upgrades!$T$12="Asteroid Belt",POWER(Upgrades!$U$12,K240),1))+(IF(G240=0,0,(Upgrades!$G$8+G240*Upgrades!$H$8)*POWER(Upgrades!$I$8,G240)))*(IF(Upgrades!$T$6="Stellar Coupling",POWER(Upgrades!$U$6,E240),1)*IF(Upgrades!$T$7="Stellar Coupling",POWER(Upgrades!$U$7,F240),1)*IF(Upgrades!$T$9="Stellar Coupling",POWER(Upgrades!$U$9,H240),1)*IF(Upgrades!$T$10="Stellar Coupling",POWER(Upgrades!$U$10,I240),1)*IF(Upgrades!$T$11="Stellar Coupling",POWER(Upgrades!$U$11,J240),1)*IF(Upgrades!$T$12="Stellar Coupling",POWER(Upgrades!$U$12,K240),1))+(IF(H240=0,0,(Upgrades!$G$9+H240*Upgrades!$H$9)*POWER(Upgrades!$I$9,H240)))*(IF(Upgrades!$T$6="Magnetosphere",POWER(Upgrades!$U$6,E240),1)*IF(Upgrades!$T$7="Magnetosphere",POWER(Upgrades!$U$7,F240),1)*IF(Upgrades!$T$8="Magnetosphere",POWER(Upgrades!$U$8,G240),1)*IF(Upgrades!$T$10="Magnetosphere",POWER(Upgrades!$U$10,I240),1)*IF(Upgrades!$T$11="Magnetosphere",POWER(Upgrades!$U$11,J240),1)*IF(Upgrades!$T$12="Magnetosphere",POWER(Upgrades!$U$12,K240),1))+(IF(I240=0,0,(Upgrades!$G$10+I240*Upgrades!$H$10)*POWER(Upgrades!$I$10,I240)))*(IF(Upgrades!$T$6="Orbital Resonance",POWER(Upgrades!$U$6,E240),1)*IF(Upgrades!$T$7="Orbital Resonance",POWER(Upgrades!$U$7,F240),1)*IF(Upgrades!$T$8="Orbital Resonance",POWER(Upgrades!$U$8,G240),1)*IF(Upgrades!$T$9="Orbital Resonance",POWER(Upgrades!$U$9,H240),1)*IF(Upgrades!$T$11="Orbital Resonance",POWER(Upgrades!$U$11,J240),1)*IF(Upgrades!$T$12="Orbital Resonance",POWER(Upgrades!$U$12,K240),1))+(IF(J240=0,0,(Upgrades!$G$11+J240*Upgrades!$H$11)*POWER(Upgrades!$I$11,J240)))*(IF(Upgrades!$T$6="Heliopause",POWER(Upgrades!$U$6,E240),1)*IF(Upgrades!$T$7="Heliopause",POWER(Upgrades!$U$7,F240),1)*IF(Upgrades!$T$8="Heliopause",POWER(Upgrades!$U$8,G240),1)*IF(Upgrades!$T$9="Heliopause",POWER(Upgrades!$U$9,H240),1)*IF(Upgrades!$T$10="Heliopause",POWER(Upgrades!$U$10,I240),1)*IF(Upgrades!$T$12="Heliopause",POWER(Upgrades!$U$12,K240),1))+(IF(K240=0,0,(Upgrades!$G$12+K240*Upgrades!$H$12)*POWER(Upgrades!$I$12,K240)))*(IF(Upgrades!$T$6="First Photons",POWER(Upgrades!$U$6,E240),1)*IF(Upgrades!$T$7="First Photons",POWER(Upgrades!$U$7,F240),1)*IF(Upgrades!$T$8="First Photons",POWER(Upgrades!$U$8,G240),1)*IF(Upgrades!$T$9="First Photons",POWER(Upgrades!$U$9,H240),1)*IF(Upgrades!$T$10="First Photons",POWER(Upgrades!$U$10,I240),1)*IF(Upgrades!$T$11="First Photons",POWER(Upgrades!$U$11,J240),1)))*POWER(Upgrades!$P$6,E240)*POWER(Upgrades!$P$7,F240)*POWER(Upgrades!$P$8,G240)*POWER(Upgrades!$P$9,H240)*POWER(Upgrades!$P$10,I240)*POWER(Upgrades!$P$11,J240)*POWER(Upgrades!$P$12,K240)</f>
        <v/>
      </c>
      <c r="O240" s="28">
        <f>((IF(E240=0,0,(Upgrades!$M$6+E240*Upgrades!$N$6)*POWER(Upgrades!$O$6,E240)))*(IF(Upgrades!$T$7="Solar Wind",POWER(Upgrades!$U$7,F240),1)*IF(Upgrades!$T$8="Solar Wind",POWER(Upgrades!$U$8,G240),1)*IF(Upgrades!$T$9="Solar Wind",POWER(Upgrades!$U$9,H240),1)*IF(Upgrades!$T$10="Solar Wind",POWER(Upgrades!$U$10,I240),1)*IF(Upgrades!$T$11="Solar Wind",POWER(Upgrades!$U$11,J240),1)*IF(Upgrades!$T$12="Solar Wind",POWER(Upgrades!$U$12,K240),1))+(IF(F240=0,0,(Upgrades!$M$7+F240*Upgrades!$N$7)*POWER(Upgrades!$O$7,F240)))*(IF(Upgrades!$T$6="Asteroid Belt",POWER(Upgrades!$U$6,E240),1)*IF(Upgrades!$T$8="Asteroid Belt",POWER(Upgrades!$U$8,G240),1)*IF(Upgrades!$T$9="Asteroid Belt",POWER(Upgrades!$U$9,H240),1)*IF(Upgrades!$T$10="Asteroid Belt",POWER(Upgrades!$U$10,I240),1)*IF(Upgrades!$T$11="Asteroid Belt",POWER(Upgrades!$U$11,J240),1)*IF(Upgrades!$T$12="Asteroid Belt",POWER(Upgrades!$U$12,K240),1))+(IF(G240=0,0,(Upgrades!$M$8+G240*Upgrades!$N$8)*POWER(Upgrades!$O$8,G240)))*(IF(Upgrades!$T$6="Stellar Coupling",POWER(Upgrades!$U$6,E240),1)*IF(Upgrades!$T$7="Stellar Coupling",POWER(Upgrades!$U$7,F240),1)*IF(Upgrades!$T$9="Stellar Coupling",POWER(Upgrades!$U$9,H240),1)*IF(Upgrades!$T$10="Stellar Coupling",POWER(Upgrades!$U$10,I240),1)*IF(Upgrades!$T$11="Stellar Coupling",POWER(Upgrades!$U$11,J240),1)*IF(Upgrades!$T$12="Stellar Coupling",POWER(Upgrades!$U$12,K240),1))+(IF(H240=0,0,(Upgrades!$M$9+H240*Upgrades!$N$9)*POWER(Upgrades!$O$9,H240)))*(IF(Upgrades!$T$6="Magnetosphere",POWER(Upgrades!$U$6,E240),1)*IF(Upgrades!$T$7="Magnetosphere",POWER(Upgrades!$U$7,F240),1)*IF(Upgrades!$T$8="Magnetosphere",POWER(Upgrades!$U$8,G240),1)*IF(Upgrades!$T$10="Magnetosphere",POWER(Upgrades!$U$10,I240),1)*IF(Upgrades!$T$11="Magnetosphere",POWER(Upgrades!$U$11,J240),1)*IF(Upgrades!$T$12="Magnetosphere",POWER(Upgrades!$U$12,K240),1))+(IF(I240=0,0,(Upgrades!$M$10+I240*Upgrades!$N$10)*POWER(Upgrades!$O$10,I240)))*(IF(Upgrades!$T$6="Orbital Resonance",POWER(Upgrades!$U$6,E240),1)*IF(Upgrades!$T$7="Orbital Resonance",POWER(Upgrades!$U$7,F240),1)*IF(Upgrades!$T$8="Orbital Resonance",POWER(Upgrades!$U$8,G240),1)*IF(Upgrades!$T$9="Orbital Resonance",POWER(Upgrades!$U$9,H240),1)*IF(Upgrades!$T$11="Orbital Resonance",POWER(Upgrades!$U$11,J240),1)*IF(Upgrades!$T$12="Orbital Resonance",POWER(Upgrades!$U$12,K240),1))+(IF(J240=0,0,(Upgrades!$M$11+J240*Upgrades!$N$11)*POWER(Upgrades!$O$11,J240)))*(IF(Upgrades!$T$6="Heliopause",POWER(Upgrades!$U$6,E240),1)*IF(Upgrades!$T$7="Heliopause",POWER(Upgrades!$U$7,F240),1)*IF(Upgrades!$T$8="Heliopause",POWER(Upgrades!$U$8,G240),1)*IF(Upgrades!$T$9="Heliopause",POWER(Upgrades!$U$9,H240),1)*IF(Upgrades!$T$10="Heliopause",POWER(Upgrades!$U$10,I240),1)*IF(Upgrades!$T$12="Heliopause",POWER(Upgrades!$U$12,K240),1))+(IF(K240=0,0,(Upgrades!$M$12+K240*Upgrades!$N$12)*POWER(Upgrades!$O$12,K240)))*(IF(Upgrades!$T$6="First Photons",POWER(Upgrades!$U$6,E240),1)*IF(Upgrades!$T$7="First Photons",POWER(Upgrades!$U$7,F240),1)*IF(Upgrades!$T$8="First Photons",POWER(Upgrades!$U$8,G240),1)*IF(Upgrades!$T$9="First Photons",POWER(Upgrades!$U$9,H240),1)*IF(Upgrades!$T$10="First Photons",POWER(Upgrades!$U$10,I240),1)*IF(Upgrades!$T$11="First Photons",POWER(Upgrades!$U$11,J240),1)))*POWER(Upgrades!$R$6,E240)*POWER(Upgrades!$R$7,F240)*POWER(Upgrades!$R$8,G240)*POWER(Upgrades!$R$9,H240)*POWER(Upgrades!$R$10,I240)*POWER(Upgrades!$R$11,J240)*POWER(Upgrades!$R$12,K240)</f>
        <v/>
      </c>
      <c r="P240" s="27">
        <f>IF(L240=1,0,M240*Parameters!$B$10/60*Parameters!$B$11*10)</f>
        <v/>
      </c>
      <c r="Q240" s="27">
        <f>IF(L240=1,0,O240*M240*10)</f>
        <v/>
      </c>
      <c r="R240" s="27">
        <f>IF(L240=1,0,N240*10)</f>
        <v/>
      </c>
      <c r="S240" s="27">
        <f>P240+Q240+R240</f>
        <v/>
      </c>
      <c r="T240" s="22">
        <f>C240+S240</f>
        <v/>
      </c>
      <c r="U240" s="33">
        <f>AX240</f>
        <v/>
      </c>
      <c r="V240" s="22">
        <f>IF(U240="",0,IF(U240="transition",0,IF(U240="SW",AG240,IF(U240="AB",AH240,IF(U240="SC",AI240,IF(U240="Mag",AJ240,IF(U240="OR",AK240,IF(U240="HP",AL240,IF(U240="FP",AM240,0)))))))))</f>
        <v/>
      </c>
      <c r="W240" s="27">
        <f>IF(U240="OR",Upgrades!$F$10,IF(U240="HP",Upgrades!$F$11,IF(U240="transition",-Parameters!$B$18,0)))</f>
        <v/>
      </c>
      <c r="X240" s="22">
        <f>T240-V240</f>
        <v/>
      </c>
      <c r="Y240" s="30">
        <f>M240*Parameters!$B$10/60*Parameters!$B$11+O240*M240+N240</f>
        <v/>
      </c>
      <c r="Z240" s="34">
        <f>IF(U240="transition","→ Tier 2 (Stellar Neighborhood)",IF(U240="FP","First Photons — light begins, system quickens",IF(U240="HP","Heliopause acquired",IF(U240="OR","Orbital Resonance — passive multiplier active",IF(AND(AO240=1,L240=0,AN240&lt;&gt;1),"Cohesion ready (waiting on completionist upgrades)","")))))</f>
        <v/>
      </c>
      <c r="AA240" s="27">
        <f>(IF(E240=0,0,(Upgrades!$G$6+E240*Upgrades!$H$6)*POWER(Upgrades!$I$6,E240)))*(IF(Upgrades!$T$7="Solar Wind",POWER(Upgrades!$U$7,F240),1)*IF(Upgrades!$T$8="Solar Wind",POWER(Upgrades!$U$8,G240),1)*IF(Upgrades!$T$9="Solar Wind",POWER(Upgrades!$U$9,H240),1)*IF(Upgrades!$T$10="Solar Wind",POWER(Upgrades!$U$10,I240),1)*IF(Upgrades!$T$11="Solar Wind",POWER(Upgrades!$U$11,J240),1)*IF(Upgrades!$T$12="Solar Wind",POWER(Upgrades!$U$12,K240),1))*POWER(Upgrades!$P$6,E240)*POWER(Upgrades!$P$7,F240)*POWER(Upgrades!$P$8,G240)*POWER(Upgrades!$P$9,H240)*POWER(Upgrades!$P$10,I240)*POWER(Upgrades!$P$11,J240)*POWER(Upgrades!$P$12,K240)*60</f>
        <v/>
      </c>
      <c r="AB240" s="27">
        <f>(IF(F240=0,0,(Upgrades!$G$7+F240*Upgrades!$H$7)*POWER(Upgrades!$I$7,F240)))*(IF(Upgrades!$T$6="Asteroid Belt",POWER(Upgrades!$U$6,E240),1)*IF(Upgrades!$T$8="Asteroid Belt",POWER(Upgrades!$U$8,G240),1)*IF(Upgrades!$T$9="Asteroid Belt",POWER(Upgrades!$U$9,H240),1)*IF(Upgrades!$T$10="Asteroid Belt",POWER(Upgrades!$U$10,I240),1)*IF(Upgrades!$T$11="Asteroid Belt",POWER(Upgrades!$U$11,J240),1)*IF(Upgrades!$T$12="Asteroid Belt",POWER(Upgrades!$U$12,K240),1))*POWER(Upgrades!$P$6,E240)*POWER(Upgrades!$P$7,F240)*POWER(Upgrades!$P$8,G240)*POWER(Upgrades!$P$9,H240)*POWER(Upgrades!$P$10,I240)*POWER(Upgrades!$P$11,J240)*POWER(Upgrades!$P$12,K240)*60</f>
        <v/>
      </c>
      <c r="AC240" s="27">
        <f>(IF(G240=0,0,(Upgrades!$J$8+G240*Upgrades!$K$8)*POWER(Upgrades!$L$8,G240)))*(IF(Upgrades!$T$6="Stellar Coupling",POWER(Upgrades!$U$6,E240),1)*IF(Upgrades!$T$7="Stellar Coupling",POWER(Upgrades!$U$7,F240),1)*IF(Upgrades!$T$9="Stellar Coupling",POWER(Upgrades!$U$9,H240),1)*IF(Upgrades!$T$10="Stellar Coupling",POWER(Upgrades!$U$10,I240),1)*IF(Upgrades!$T$11="Stellar Coupling",POWER(Upgrades!$U$11,J240),1)*IF(Upgrades!$T$12="Stellar Coupling",POWER(Upgrades!$U$12,K240),1))*POWER(Upgrades!$Q$6,E240)*POWER(Upgrades!$Q$7,F240)*POWER(Upgrades!$Q$8,G240)*POWER(Upgrades!$Q$9,H240)*POWER(Upgrades!$Q$10,I240)*POWER(Upgrades!$Q$11,J240)*POWER(Upgrades!$Q$12,K240)*Parameters!$B$10*Parameters!$B$11</f>
        <v/>
      </c>
      <c r="AD240" s="27">
        <f>(IF(H240=0,0,(Upgrades!$G$9+H240*Upgrades!$H$9)*POWER(Upgrades!$I$9,H240)))*(IF(Upgrades!$T$6="Magnetosphere",POWER(Upgrades!$U$6,E240),1)*IF(Upgrades!$T$7="Magnetosphere",POWER(Upgrades!$U$7,F240),1)*IF(Upgrades!$T$8="Magnetosphere",POWER(Upgrades!$U$8,G240),1)*IF(Upgrades!$T$10="Magnetosphere",POWER(Upgrades!$U$10,I240),1)*IF(Upgrades!$T$11="Magnetosphere",POWER(Upgrades!$U$11,J240),1)*IF(Upgrades!$T$12="Magnetosphere",POWER(Upgrades!$U$12,K240),1))*POWER(Upgrades!$P$6,E240)*POWER(Upgrades!$P$7,F240)*POWER(Upgrades!$P$8,G240)*POWER(Upgrades!$P$9,H240)*POWER(Upgrades!$P$10,I240)*POWER(Upgrades!$P$11,J240)*POWER(Upgrades!$P$12,K240)*60</f>
        <v/>
      </c>
      <c r="AE240" s="27">
        <f>(IF(K240=0,0,(Upgrades!$G$12+K240*Upgrades!$H$12)*POWER(Upgrades!$I$12,K240)))*(IF(Upgrades!$T$6="First Photons",POWER(Upgrades!$U$6,E240),1)*IF(Upgrades!$T$7="First Photons",POWER(Upgrades!$U$7,F240),1)*IF(Upgrades!$T$8="First Photons",POWER(Upgrades!$U$8,G240),1)*IF(Upgrades!$T$9="First Photons",POWER(Upgrades!$U$9,H240),1)*IF(Upgrades!$T$10="First Photons",POWER(Upgrades!$U$10,I240),1)*IF(Upgrades!$T$11="First Photons",POWER(Upgrades!$U$11,J240),1))*POWER(Upgrades!$P$6,E240)*POWER(Upgrades!$P$7,F240)*POWER(Upgrades!$P$8,G240)*POWER(Upgrades!$P$9,H240)*POWER(Upgrades!$P$10,I240)*POWER(Upgrades!$P$11,J240)*POWER(Upgrades!$P$12,K240)*60</f>
        <v/>
      </c>
      <c r="AF240" s="27">
        <f>Parameters!$B$9*POWER(Upgrades!$Q$6,E240)*POWER(Upgrades!$Q$7,F240)*POWER(Upgrades!$Q$8,G240)*POWER(Upgrades!$Q$9,H240)*POWER(Upgrades!$Q$10,I240)*POWER(Upgrades!$Q$11,J240)*POWER(Upgrades!$Q$12,K240)*(Parameters!$B$10*Parameters!$B$11+O240*60)</f>
        <v/>
      </c>
      <c r="AG240" s="22">
        <f>IF(E240&gt;=Upgrades!$E$6,"",Upgrades!$C$6*POWER(Upgrades!$D$6,E240))</f>
        <v/>
      </c>
      <c r="AH240" s="22">
        <f>IF(F240&gt;=Upgrades!$E$7,"",Upgrades!$C$7*POWER(Upgrades!$D$7,F240))</f>
        <v/>
      </c>
      <c r="AI240" s="22">
        <f>IF(G240&gt;=Upgrades!$E$8,"",Upgrades!$C$8*POWER(Upgrades!$D$8,G240))</f>
        <v/>
      </c>
      <c r="AJ240" s="22">
        <f>IF(H240&gt;=Upgrades!$E$9,"",Upgrades!$C$9*POWER(Upgrades!$D$9,H240))</f>
        <v/>
      </c>
      <c r="AK240" s="22">
        <f>IF(I240&gt;=Upgrades!$E$10,"",Upgrades!$C$10*POWER(Upgrades!$D$10,I240))</f>
        <v/>
      </c>
      <c r="AL240" s="22">
        <f>IF(J240&gt;=Upgrades!$E$11,"",Upgrades!$C$11*POWER(Upgrades!$D$11,J240))</f>
        <v/>
      </c>
      <c r="AM240" s="22">
        <f>IF(K240&gt;=Upgrades!$E$12,"",Upgrades!$C$12*POWER(Upgrades!$D$12,K240))</f>
        <v/>
      </c>
      <c r="AN240" s="26">
        <f>IF(AND(D240&gt;=Parameters!$B$18,(H240&gt;=Upgrades!$E$9)*(K240&gt;=Upgrades!$E$12)=1,L240=0),1,"")</f>
        <v/>
      </c>
      <c r="AO240" s="26">
        <f>IF(AND(D240&gt;=Parameters!$B$18,L240=0),1,"")</f>
        <v/>
      </c>
      <c r="AP240" s="22">
        <f>MIN(IF(ISNUMBER(AK240),AK240,9E15),IF(ISNUMBER(AL240),AL240,9E15),IF(ISNUMBER(AM240),AM240,9E15))</f>
        <v/>
      </c>
      <c r="AQ240" s="22">
        <f>MIN(IF(ISNUMBER(AG240),AG240,9E15),IF(ISNUMBER(AH240),AH240,9E15),IF(ISNUMBER(AI240),AI240,9E15),IF(ISNUMBER(AJ240),AJ240,9E15))</f>
        <v/>
      </c>
      <c r="AR240" s="29">
        <f>IF(AW240&gt;Parameters!$B$21*(MAX(IF(AND(NOT(AND(AO240=1,AN240&lt;&gt;1)),ISNUMBER(AG240),AG240&lt;=T240),AS240,0),IF(AND(NOT(AND(AO240=1,AN240&lt;&gt;1)),ISNUMBER(AH240),AH240&lt;=T240),AT240,0),IF(AND(NOT(AND(AO240=1,AN240&lt;&gt;1)),ISNUMBER(AI240),AI240&lt;=T240),AU240,0),IF(AND(ISNUMBER(AJ240),AJ240&lt;=T240),AV240,0))),TRUE,FALSE)</f>
        <v/>
      </c>
      <c r="AS240" s="32">
        <f>IFERROR(Upgrades!$H$6*(POWER(Upgrades!$P$6,E240)*POWER(Upgrades!$P$7,F240)*POWER(Upgrades!$P$8,G240)*POWER(Upgrades!$P$9,H240)*POWER(Upgrades!$P$10,I240)*POWER(Upgrades!$P$11,J240)*POWER(Upgrades!$P$12,K240))*(IF(Upgrades!$T$7="Solar Wind",POWER(Upgrades!$U$7,F240),1)*IF(Upgrades!$T$8="Solar Wind",POWER(Upgrades!$U$8,G240),1)*IF(Upgrades!$T$9="Solar Wind",POWER(Upgrades!$U$9,H240),1)*IF(Upgrades!$T$10="Solar Wind",POWER(Upgrades!$U$10,I240),1)*IF(Upgrades!$T$11="Solar Wind",POWER(Upgrades!$U$11,J240),1)*IF(Upgrades!$T$12="Solar Wind",POWER(Upgrades!$U$12,K240),1))/AG240,0)</f>
        <v/>
      </c>
      <c r="AT240" s="32">
        <f>IFERROR(Upgrades!$H$7*(POWER(Upgrades!$P$6,E240)*POWER(Upgrades!$P$7,F240)*POWER(Upgrades!$P$8,G240)*POWER(Upgrades!$P$9,H240)*POWER(Upgrades!$P$10,I240)*POWER(Upgrades!$P$11,J240)*POWER(Upgrades!$P$12,K240))*(IF(Upgrades!$T$6="Asteroid Belt",POWER(Upgrades!$U$6,E240),1)*IF(Upgrades!$T$8="Asteroid Belt",POWER(Upgrades!$U$8,G240),1)*IF(Upgrades!$T$9="Asteroid Belt",POWER(Upgrades!$U$9,H240),1)*IF(Upgrades!$T$10="Asteroid Belt",POWER(Upgrades!$U$10,I240),1)*IF(Upgrades!$T$11="Asteroid Belt",POWER(Upgrades!$U$11,J240),1)*IF(Upgrades!$T$12="Asteroid Belt",POWER(Upgrades!$U$12,K240),1))/AH240,0)</f>
        <v/>
      </c>
      <c r="AU240" s="32">
        <f>IFERROR(Upgrades!$K$8*(POWER(Upgrades!$Q$6,E240)*POWER(Upgrades!$Q$7,F240)*POWER(Upgrades!$Q$8,G240)*POWER(Upgrades!$Q$9,H240)*POWER(Upgrades!$Q$10,I240)*POWER(Upgrades!$Q$11,J240)*POWER(Upgrades!$Q$12,K240))*(IF(Upgrades!$T$6="Stellar Coupling",POWER(Upgrades!$U$6,E240),1)*IF(Upgrades!$T$7="Stellar Coupling",POWER(Upgrades!$U$7,F240),1)*IF(Upgrades!$T$9="Stellar Coupling",POWER(Upgrades!$U$9,H240),1)*IF(Upgrades!$T$10="Stellar Coupling",POWER(Upgrades!$U$10,I240),1)*IF(Upgrades!$T$11="Stellar Coupling",POWER(Upgrades!$U$11,J240),1)*IF(Upgrades!$T$12="Stellar Coupling",POWER(Upgrades!$U$12,K240),1))*Parameters!$B$10*Parameters!$B$11/60/AI240,0)</f>
        <v/>
      </c>
      <c r="AV240" s="32">
        <f>IFERROR(Upgrades!$H$9*(POWER(Upgrades!$P$6,E240)*POWER(Upgrades!$P$7,F240)*POWER(Upgrades!$P$8,G240)*POWER(Upgrades!$P$9,H240)*POWER(Upgrades!$P$10,I240)*POWER(Upgrades!$P$11,J240)*POWER(Upgrades!$P$12,K240))*(IF(Upgrades!$T$6="Magnetosphere",POWER(Upgrades!$U$6,E240),1)*IF(Upgrades!$T$7="Magnetosphere",POWER(Upgrades!$U$7,F240),1)*IF(Upgrades!$T$8="Magnetosphere",POWER(Upgrades!$U$8,G240),1)*IF(Upgrades!$T$10="Magnetosphere",POWER(Upgrades!$U$10,I240),1)*IF(Upgrades!$T$11="Magnetosphere",POWER(Upgrades!$U$11,J240),1)*IF(Upgrades!$T$12="Magnetosphere",POWER(Upgrades!$U$12,K240),1))/AJ240,0)</f>
        <v/>
      </c>
      <c r="AW240" s="32">
        <f>MAX(IF(I240&gt;0,0,IFERROR(0.25*N240/Upgrades!$C$10,0)),IF(J240&gt;0,0,IFERROR(0.5*((IF(G240=0,0,(Upgrades!$J$8+G240*Upgrades!$K$8)*POWER(Upgrades!$L$8,G240)))*(IF(Upgrades!$T$6="Stellar Coupling",POWER(Upgrades!$U$6,E240),1)*IF(Upgrades!$T$7="Stellar Coupling",POWER(Upgrades!$U$7,F240),1)*IF(Upgrades!$T$9="Stellar Coupling",POWER(Upgrades!$U$9,H240),1)*IF(Upgrades!$T$10="Stellar Coupling",POWER(Upgrades!$U$10,I240),1)*IF(Upgrades!$T$11="Stellar Coupling",POWER(Upgrades!$U$11,J240),1)*IF(Upgrades!$T$12="Stellar Coupling",POWER(Upgrades!$U$12,K240),1))*(POWER(Upgrades!$Q$6,E240)*POWER(Upgrades!$Q$7,F240)*POWER(Upgrades!$Q$8,G240)*POWER(Upgrades!$Q$9,H240)*POWER(Upgrades!$Q$10,I240)*POWER(Upgrades!$Q$11,J240)*POWER(Upgrades!$Q$12,K240))*Parameters!$B$10*Parameters!$B$11/60)/Upgrades!$C$11,0)),IF(K240&gt;0,0,IFERROR((1.0*(POWER(Upgrades!$P$6,E240)*POWER(Upgrades!$P$7,F240)*POWER(Upgrades!$P$8,G240)*POWER(Upgrades!$P$9,H240)*POWER(Upgrades!$P$10,I240)*POWER(Upgrades!$P$11,J240)*POWER(Upgrades!$P$12,K240))+0.20*M240*Parameters!$B$10*Parameters!$B$11/60)/Upgrades!$C$12,0)),IF(AND(ISNUMBER(AG240),AG240&gt;T240),AS240,0),IF(AND(ISNUMBER(AH240),AH240&gt;T240),AT240,0),IF(AND(ISNUMBER(AI240),AI240&gt;T240),AU240,0),IF(AND(ISNUMBER(AJ240),AJ240&gt;T240),AV240,0))</f>
        <v/>
      </c>
      <c r="AX240" s="29">
        <f>IF(AN240=1,"transition",IF(MIN(IF(AND(I240=0,ISNUMBER(AK240),AK240&lt;=T240),AK240,9E15),IF(AND(J240=0,ISNUMBER(AL240),AL240&lt;=T240),AL240,9E15),IF(AND(K240=0,ISNUMBER(AM240),AM240&lt;=T240),AM240,9E15))&lt;9E15,IF(AND(AND(I240=0,ISNUMBER(AK240),AK240&lt;=T240),AK240=MIN(IF(AND(I240=0,ISNUMBER(AK240),AK240&lt;=T240),AK240,9E15),IF(AND(J240=0,ISNUMBER(AL240),AL240&lt;=T240),AL240,9E15),IF(AND(K240=0,ISNUMBER(AM240),AM240&lt;=T240),AM240,9E15))),"OR",IF(AND(AND(J240=0,ISNUMBER(AL240),AL240&lt;=T240),AL240=MIN(IF(AND(I240=0,ISNUMBER(AK240),AK240&lt;=T240),AK240,9E15),IF(AND(J240=0,ISNUMBER(AL240),AL240&lt;=T240),AL240,9E15),IF(AND(K240=0,ISNUMBER(AM240),AM240&lt;=T240),AM240,9E15))),"HP","FP")),IF(AR240=TRUE,"",IF(MAX(IF(AND(NOT(AND(AO240=1,AN240&lt;&gt;1)),ISNUMBER(AG240),AG240&lt;=T240),AS240,0),IF(AND(NOT(AND(AO240=1,AN240&lt;&gt;1)),ISNUMBER(AH240),AH240&lt;=T240),AT240,0),IF(AND(NOT(AND(AO240=1,AN240&lt;&gt;1)),ISNUMBER(AI240),AI240&lt;=T240),AU240,0),IF(AND(ISNUMBER(AJ240),AJ240&lt;=T240),AV240,0))&lt;=0,"",IF(AND(IF(AND(NOT(AND(AO240=1,AN240&lt;&gt;1)),ISNUMBER(AG240),AG240&lt;=T240),AS240,0)&gt;0,IF(AND(NOT(AND(AO240=1,AN240&lt;&gt;1)),ISNUMBER(AG240),AG240&lt;=T240),AS240,0)=MAX(IF(AND(NOT(AND(AO240=1,AN240&lt;&gt;1)),ISNUMBER(AG240),AG240&lt;=T240),AS240,0),IF(AND(NOT(AND(AO240=1,AN240&lt;&gt;1)),ISNUMBER(AH240),AH240&lt;=T240),AT240,0),IF(AND(NOT(AND(AO240=1,AN240&lt;&gt;1)),ISNUMBER(AI240),AI240&lt;=T240),AU240,0),IF(AND(ISNUMBER(AJ240),AJ240&lt;=T240),AV240,0))),"SW",IF(AND(IF(AND(NOT(AND(AO240=1,AN240&lt;&gt;1)),ISNUMBER(AH240),AH240&lt;=T240),AT240,0)&gt;0,IF(AND(NOT(AND(AO240=1,AN240&lt;&gt;1)),ISNUMBER(AH240),AH240&lt;=T240),AT240,0)=MAX(IF(AND(NOT(AND(AO240=1,AN240&lt;&gt;1)),ISNUMBER(AG240),AG240&lt;=T240),AS240,0),IF(AND(NOT(AND(AO240=1,AN240&lt;&gt;1)),ISNUMBER(AH240),AH240&lt;=T240),AT240,0),IF(AND(NOT(AND(AO240=1,AN240&lt;&gt;1)),ISNUMBER(AI240),AI240&lt;=T240),AU240,0),IF(AND(ISNUMBER(AJ240),AJ240&lt;=T240),AV240,0))),"AB",IF(AND(IF(AND(NOT(AND(AO240=1,AN240&lt;&gt;1)),ISNUMBER(AI240),AI240&lt;=T240),AU240,0)&gt;0,IF(AND(NOT(AND(AO240=1,AN240&lt;&gt;1)),ISNUMBER(AI240),AI240&lt;=T240),AU240,0)=MAX(IF(AND(NOT(AND(AO240=1,AN240&lt;&gt;1)),ISNUMBER(AG240),AG240&lt;=T240),AS240,0),IF(AND(NOT(AND(AO240=1,AN240&lt;&gt;1)),ISNUMBER(AH240),AH240&lt;=T240),AT240,0),IF(AND(NOT(AND(AO240=1,AN240&lt;&gt;1)),ISNUMBER(AI240),AI240&lt;=T240),AU240,0),IF(AND(ISNUMBER(AJ240),AJ240&lt;=T240),AV240,0))),"SC","Mag")))))))</f>
        <v/>
      </c>
    </row>
    <row r="241">
      <c r="A241" s="26" t="n">
        <v>236</v>
      </c>
      <c r="B241" s="27">
        <f>A241*10/60</f>
        <v/>
      </c>
      <c r="C241" s="22">
        <f>X240</f>
        <v/>
      </c>
      <c r="D241" s="27">
        <f>D240+W240</f>
        <v/>
      </c>
      <c r="E241" s="26">
        <f>E240+IF(U240="SW",1,0)</f>
        <v/>
      </c>
      <c r="F241" s="26">
        <f>F240+IF(U240="AB",1,0)</f>
        <v/>
      </c>
      <c r="G241" s="26">
        <f>G240+IF(U240="SC",1,0)</f>
        <v/>
      </c>
      <c r="H241" s="26">
        <f>H240+IF(U240="Mag",1,0)</f>
        <v/>
      </c>
      <c r="I241" s="26">
        <f>MAX(I240,IF(U240="OR",1,0))</f>
        <v/>
      </c>
      <c r="J241" s="26">
        <f>MAX(J240,IF(U240="HP",1,0))</f>
        <v/>
      </c>
      <c r="K241" s="26">
        <f>MAX(K240,IF(U240="FP",1,0))</f>
        <v/>
      </c>
      <c r="L241" s="26">
        <f>MAX(L240,IF(U240="transition",1,0))</f>
        <v/>
      </c>
      <c r="M241" s="28">
        <f>(Parameters!$B$9+(IF(E241=0,0,(Upgrades!$J$6+E241*Upgrades!$K$6)*POWER(Upgrades!$L$6,E241)))*(IF(Upgrades!$T$7="Solar Wind",POWER(Upgrades!$U$7,F241),1)*IF(Upgrades!$T$8="Solar Wind",POWER(Upgrades!$U$8,G241),1)*IF(Upgrades!$T$9="Solar Wind",POWER(Upgrades!$U$9,H241),1)*IF(Upgrades!$T$10="Solar Wind",POWER(Upgrades!$U$10,I241),1)*IF(Upgrades!$T$11="Solar Wind",POWER(Upgrades!$U$11,J241),1)*IF(Upgrades!$T$12="Solar Wind",POWER(Upgrades!$U$12,K241),1))+(IF(F241=0,0,(Upgrades!$J$7+F241*Upgrades!$K$7)*POWER(Upgrades!$L$7,F241)))*(IF(Upgrades!$T$6="Asteroid Belt",POWER(Upgrades!$U$6,E241),1)*IF(Upgrades!$T$8="Asteroid Belt",POWER(Upgrades!$U$8,G241),1)*IF(Upgrades!$T$9="Asteroid Belt",POWER(Upgrades!$U$9,H241),1)*IF(Upgrades!$T$10="Asteroid Belt",POWER(Upgrades!$U$10,I241),1)*IF(Upgrades!$T$11="Asteroid Belt",POWER(Upgrades!$U$11,J241),1)*IF(Upgrades!$T$12="Asteroid Belt",POWER(Upgrades!$U$12,K241),1))+(IF(G241=0,0,(Upgrades!$J$8+G241*Upgrades!$K$8)*POWER(Upgrades!$L$8,G241)))*(IF(Upgrades!$T$6="Stellar Coupling",POWER(Upgrades!$U$6,E241),1)*IF(Upgrades!$T$7="Stellar Coupling",POWER(Upgrades!$U$7,F241),1)*IF(Upgrades!$T$9="Stellar Coupling",POWER(Upgrades!$U$9,H241),1)*IF(Upgrades!$T$10="Stellar Coupling",POWER(Upgrades!$U$10,I241),1)*IF(Upgrades!$T$11="Stellar Coupling",POWER(Upgrades!$U$11,J241),1)*IF(Upgrades!$T$12="Stellar Coupling",POWER(Upgrades!$U$12,K241),1))+(IF(H241=0,0,(Upgrades!$J$9+H241*Upgrades!$K$9)*POWER(Upgrades!$L$9,H241)))*(IF(Upgrades!$T$6="Magnetosphere",POWER(Upgrades!$U$6,E241),1)*IF(Upgrades!$T$7="Magnetosphere",POWER(Upgrades!$U$7,F241),1)*IF(Upgrades!$T$8="Magnetosphere",POWER(Upgrades!$U$8,G241),1)*IF(Upgrades!$T$10="Magnetosphere",POWER(Upgrades!$U$10,I241),1)*IF(Upgrades!$T$11="Magnetosphere",POWER(Upgrades!$U$11,J241),1)*IF(Upgrades!$T$12="Magnetosphere",POWER(Upgrades!$U$12,K241),1))+(IF(I241=0,0,(Upgrades!$J$10+I241*Upgrades!$K$10)*POWER(Upgrades!$L$10,I241)))*(IF(Upgrades!$T$6="Orbital Resonance",POWER(Upgrades!$U$6,E241),1)*IF(Upgrades!$T$7="Orbital Resonance",POWER(Upgrades!$U$7,F241),1)*IF(Upgrades!$T$8="Orbital Resonance",POWER(Upgrades!$U$8,G241),1)*IF(Upgrades!$T$9="Orbital Resonance",POWER(Upgrades!$U$9,H241),1)*IF(Upgrades!$T$11="Orbital Resonance",POWER(Upgrades!$U$11,J241),1)*IF(Upgrades!$T$12="Orbital Resonance",POWER(Upgrades!$U$12,K241),1))+(IF(J241=0,0,(Upgrades!$J$11+J241*Upgrades!$K$11)*POWER(Upgrades!$L$11,J241)))*(IF(Upgrades!$T$6="Heliopause",POWER(Upgrades!$U$6,E241),1)*IF(Upgrades!$T$7="Heliopause",POWER(Upgrades!$U$7,F241),1)*IF(Upgrades!$T$8="Heliopause",POWER(Upgrades!$U$8,G241),1)*IF(Upgrades!$T$9="Heliopause",POWER(Upgrades!$U$9,H241),1)*IF(Upgrades!$T$10="Heliopause",POWER(Upgrades!$U$10,I241),1)*IF(Upgrades!$T$12="Heliopause",POWER(Upgrades!$U$12,K241),1))+(IF(K241=0,0,(Upgrades!$J$12+K241*Upgrades!$K$12)*POWER(Upgrades!$L$12,K241)))*(IF(Upgrades!$T$6="First Photons",POWER(Upgrades!$U$6,E241),1)*IF(Upgrades!$T$7="First Photons",POWER(Upgrades!$U$7,F241),1)*IF(Upgrades!$T$8="First Photons",POWER(Upgrades!$U$8,G241),1)*IF(Upgrades!$T$9="First Photons",POWER(Upgrades!$U$9,H241),1)*IF(Upgrades!$T$10="First Photons",POWER(Upgrades!$U$10,I241),1)*IF(Upgrades!$T$11="First Photons",POWER(Upgrades!$U$11,J241),1)))*POWER(Upgrades!$Q$6,E241)*POWER(Upgrades!$Q$7,F241)*POWER(Upgrades!$Q$8,G241)*POWER(Upgrades!$Q$9,H241)*POWER(Upgrades!$Q$10,I241)*POWER(Upgrades!$Q$11,J241)*POWER(Upgrades!$Q$12,K241)</f>
        <v/>
      </c>
      <c r="N241" s="28">
        <f>((IF(E241=0,0,(Upgrades!$G$6+E241*Upgrades!$H$6)*POWER(Upgrades!$I$6,E241)))*(IF(Upgrades!$T$7="Solar Wind",POWER(Upgrades!$U$7,F241),1)*IF(Upgrades!$T$8="Solar Wind",POWER(Upgrades!$U$8,G241),1)*IF(Upgrades!$T$9="Solar Wind",POWER(Upgrades!$U$9,H241),1)*IF(Upgrades!$T$10="Solar Wind",POWER(Upgrades!$U$10,I241),1)*IF(Upgrades!$T$11="Solar Wind",POWER(Upgrades!$U$11,J241),1)*IF(Upgrades!$T$12="Solar Wind",POWER(Upgrades!$U$12,K241),1))+(IF(F241=0,0,(Upgrades!$G$7+F241*Upgrades!$H$7)*POWER(Upgrades!$I$7,F241)))*(IF(Upgrades!$T$6="Asteroid Belt",POWER(Upgrades!$U$6,E241),1)*IF(Upgrades!$T$8="Asteroid Belt",POWER(Upgrades!$U$8,G241),1)*IF(Upgrades!$T$9="Asteroid Belt",POWER(Upgrades!$U$9,H241),1)*IF(Upgrades!$T$10="Asteroid Belt",POWER(Upgrades!$U$10,I241),1)*IF(Upgrades!$T$11="Asteroid Belt",POWER(Upgrades!$U$11,J241),1)*IF(Upgrades!$T$12="Asteroid Belt",POWER(Upgrades!$U$12,K241),1))+(IF(G241=0,0,(Upgrades!$G$8+G241*Upgrades!$H$8)*POWER(Upgrades!$I$8,G241)))*(IF(Upgrades!$T$6="Stellar Coupling",POWER(Upgrades!$U$6,E241),1)*IF(Upgrades!$T$7="Stellar Coupling",POWER(Upgrades!$U$7,F241),1)*IF(Upgrades!$T$9="Stellar Coupling",POWER(Upgrades!$U$9,H241),1)*IF(Upgrades!$T$10="Stellar Coupling",POWER(Upgrades!$U$10,I241),1)*IF(Upgrades!$T$11="Stellar Coupling",POWER(Upgrades!$U$11,J241),1)*IF(Upgrades!$T$12="Stellar Coupling",POWER(Upgrades!$U$12,K241),1))+(IF(H241=0,0,(Upgrades!$G$9+H241*Upgrades!$H$9)*POWER(Upgrades!$I$9,H241)))*(IF(Upgrades!$T$6="Magnetosphere",POWER(Upgrades!$U$6,E241),1)*IF(Upgrades!$T$7="Magnetosphere",POWER(Upgrades!$U$7,F241),1)*IF(Upgrades!$T$8="Magnetosphere",POWER(Upgrades!$U$8,G241),1)*IF(Upgrades!$T$10="Magnetosphere",POWER(Upgrades!$U$10,I241),1)*IF(Upgrades!$T$11="Magnetosphere",POWER(Upgrades!$U$11,J241),1)*IF(Upgrades!$T$12="Magnetosphere",POWER(Upgrades!$U$12,K241),1))+(IF(I241=0,0,(Upgrades!$G$10+I241*Upgrades!$H$10)*POWER(Upgrades!$I$10,I241)))*(IF(Upgrades!$T$6="Orbital Resonance",POWER(Upgrades!$U$6,E241),1)*IF(Upgrades!$T$7="Orbital Resonance",POWER(Upgrades!$U$7,F241),1)*IF(Upgrades!$T$8="Orbital Resonance",POWER(Upgrades!$U$8,G241),1)*IF(Upgrades!$T$9="Orbital Resonance",POWER(Upgrades!$U$9,H241),1)*IF(Upgrades!$T$11="Orbital Resonance",POWER(Upgrades!$U$11,J241),1)*IF(Upgrades!$T$12="Orbital Resonance",POWER(Upgrades!$U$12,K241),1))+(IF(J241=0,0,(Upgrades!$G$11+J241*Upgrades!$H$11)*POWER(Upgrades!$I$11,J241)))*(IF(Upgrades!$T$6="Heliopause",POWER(Upgrades!$U$6,E241),1)*IF(Upgrades!$T$7="Heliopause",POWER(Upgrades!$U$7,F241),1)*IF(Upgrades!$T$8="Heliopause",POWER(Upgrades!$U$8,G241),1)*IF(Upgrades!$T$9="Heliopause",POWER(Upgrades!$U$9,H241),1)*IF(Upgrades!$T$10="Heliopause",POWER(Upgrades!$U$10,I241),1)*IF(Upgrades!$T$12="Heliopause",POWER(Upgrades!$U$12,K241),1))+(IF(K241=0,0,(Upgrades!$G$12+K241*Upgrades!$H$12)*POWER(Upgrades!$I$12,K241)))*(IF(Upgrades!$T$6="First Photons",POWER(Upgrades!$U$6,E241),1)*IF(Upgrades!$T$7="First Photons",POWER(Upgrades!$U$7,F241),1)*IF(Upgrades!$T$8="First Photons",POWER(Upgrades!$U$8,G241),1)*IF(Upgrades!$T$9="First Photons",POWER(Upgrades!$U$9,H241),1)*IF(Upgrades!$T$10="First Photons",POWER(Upgrades!$U$10,I241),1)*IF(Upgrades!$T$11="First Photons",POWER(Upgrades!$U$11,J241),1)))*POWER(Upgrades!$P$6,E241)*POWER(Upgrades!$P$7,F241)*POWER(Upgrades!$P$8,G241)*POWER(Upgrades!$P$9,H241)*POWER(Upgrades!$P$10,I241)*POWER(Upgrades!$P$11,J241)*POWER(Upgrades!$P$12,K241)</f>
        <v/>
      </c>
      <c r="O241" s="28">
        <f>((IF(E241=0,0,(Upgrades!$M$6+E241*Upgrades!$N$6)*POWER(Upgrades!$O$6,E241)))*(IF(Upgrades!$T$7="Solar Wind",POWER(Upgrades!$U$7,F241),1)*IF(Upgrades!$T$8="Solar Wind",POWER(Upgrades!$U$8,G241),1)*IF(Upgrades!$T$9="Solar Wind",POWER(Upgrades!$U$9,H241),1)*IF(Upgrades!$T$10="Solar Wind",POWER(Upgrades!$U$10,I241),1)*IF(Upgrades!$T$11="Solar Wind",POWER(Upgrades!$U$11,J241),1)*IF(Upgrades!$T$12="Solar Wind",POWER(Upgrades!$U$12,K241),1))+(IF(F241=0,0,(Upgrades!$M$7+F241*Upgrades!$N$7)*POWER(Upgrades!$O$7,F241)))*(IF(Upgrades!$T$6="Asteroid Belt",POWER(Upgrades!$U$6,E241),1)*IF(Upgrades!$T$8="Asteroid Belt",POWER(Upgrades!$U$8,G241),1)*IF(Upgrades!$T$9="Asteroid Belt",POWER(Upgrades!$U$9,H241),1)*IF(Upgrades!$T$10="Asteroid Belt",POWER(Upgrades!$U$10,I241),1)*IF(Upgrades!$T$11="Asteroid Belt",POWER(Upgrades!$U$11,J241),1)*IF(Upgrades!$T$12="Asteroid Belt",POWER(Upgrades!$U$12,K241),1))+(IF(G241=0,0,(Upgrades!$M$8+G241*Upgrades!$N$8)*POWER(Upgrades!$O$8,G241)))*(IF(Upgrades!$T$6="Stellar Coupling",POWER(Upgrades!$U$6,E241),1)*IF(Upgrades!$T$7="Stellar Coupling",POWER(Upgrades!$U$7,F241),1)*IF(Upgrades!$T$9="Stellar Coupling",POWER(Upgrades!$U$9,H241),1)*IF(Upgrades!$T$10="Stellar Coupling",POWER(Upgrades!$U$10,I241),1)*IF(Upgrades!$T$11="Stellar Coupling",POWER(Upgrades!$U$11,J241),1)*IF(Upgrades!$T$12="Stellar Coupling",POWER(Upgrades!$U$12,K241),1))+(IF(H241=0,0,(Upgrades!$M$9+H241*Upgrades!$N$9)*POWER(Upgrades!$O$9,H241)))*(IF(Upgrades!$T$6="Magnetosphere",POWER(Upgrades!$U$6,E241),1)*IF(Upgrades!$T$7="Magnetosphere",POWER(Upgrades!$U$7,F241),1)*IF(Upgrades!$T$8="Magnetosphere",POWER(Upgrades!$U$8,G241),1)*IF(Upgrades!$T$10="Magnetosphere",POWER(Upgrades!$U$10,I241),1)*IF(Upgrades!$T$11="Magnetosphere",POWER(Upgrades!$U$11,J241),1)*IF(Upgrades!$T$12="Magnetosphere",POWER(Upgrades!$U$12,K241),1))+(IF(I241=0,0,(Upgrades!$M$10+I241*Upgrades!$N$10)*POWER(Upgrades!$O$10,I241)))*(IF(Upgrades!$T$6="Orbital Resonance",POWER(Upgrades!$U$6,E241),1)*IF(Upgrades!$T$7="Orbital Resonance",POWER(Upgrades!$U$7,F241),1)*IF(Upgrades!$T$8="Orbital Resonance",POWER(Upgrades!$U$8,G241),1)*IF(Upgrades!$T$9="Orbital Resonance",POWER(Upgrades!$U$9,H241),1)*IF(Upgrades!$T$11="Orbital Resonance",POWER(Upgrades!$U$11,J241),1)*IF(Upgrades!$T$12="Orbital Resonance",POWER(Upgrades!$U$12,K241),1))+(IF(J241=0,0,(Upgrades!$M$11+J241*Upgrades!$N$11)*POWER(Upgrades!$O$11,J241)))*(IF(Upgrades!$T$6="Heliopause",POWER(Upgrades!$U$6,E241),1)*IF(Upgrades!$T$7="Heliopause",POWER(Upgrades!$U$7,F241),1)*IF(Upgrades!$T$8="Heliopause",POWER(Upgrades!$U$8,G241),1)*IF(Upgrades!$T$9="Heliopause",POWER(Upgrades!$U$9,H241),1)*IF(Upgrades!$T$10="Heliopause",POWER(Upgrades!$U$10,I241),1)*IF(Upgrades!$T$12="Heliopause",POWER(Upgrades!$U$12,K241),1))+(IF(K241=0,0,(Upgrades!$M$12+K241*Upgrades!$N$12)*POWER(Upgrades!$O$12,K241)))*(IF(Upgrades!$T$6="First Photons",POWER(Upgrades!$U$6,E241),1)*IF(Upgrades!$T$7="First Photons",POWER(Upgrades!$U$7,F241),1)*IF(Upgrades!$T$8="First Photons",POWER(Upgrades!$U$8,G241),1)*IF(Upgrades!$T$9="First Photons",POWER(Upgrades!$U$9,H241),1)*IF(Upgrades!$T$10="First Photons",POWER(Upgrades!$U$10,I241),1)*IF(Upgrades!$T$11="First Photons",POWER(Upgrades!$U$11,J241),1)))*POWER(Upgrades!$R$6,E241)*POWER(Upgrades!$R$7,F241)*POWER(Upgrades!$R$8,G241)*POWER(Upgrades!$R$9,H241)*POWER(Upgrades!$R$10,I241)*POWER(Upgrades!$R$11,J241)*POWER(Upgrades!$R$12,K241)</f>
        <v/>
      </c>
      <c r="P241" s="27">
        <f>IF(L241=1,0,M241*Parameters!$B$10/60*Parameters!$B$11*10)</f>
        <v/>
      </c>
      <c r="Q241" s="27">
        <f>IF(L241=1,0,O241*M241*10)</f>
        <v/>
      </c>
      <c r="R241" s="27">
        <f>IF(L241=1,0,N241*10)</f>
        <v/>
      </c>
      <c r="S241" s="27">
        <f>P241+Q241+R241</f>
        <v/>
      </c>
      <c r="T241" s="22">
        <f>C241+S241</f>
        <v/>
      </c>
      <c r="U241" s="33">
        <f>AX241</f>
        <v/>
      </c>
      <c r="V241" s="22">
        <f>IF(U241="",0,IF(U241="transition",0,IF(U241="SW",AG241,IF(U241="AB",AH241,IF(U241="SC",AI241,IF(U241="Mag",AJ241,IF(U241="OR",AK241,IF(U241="HP",AL241,IF(U241="FP",AM241,0)))))))))</f>
        <v/>
      </c>
      <c r="W241" s="27">
        <f>IF(U241="OR",Upgrades!$F$10,IF(U241="HP",Upgrades!$F$11,IF(U241="transition",-Parameters!$B$18,0)))</f>
        <v/>
      </c>
      <c r="X241" s="22">
        <f>T241-V241</f>
        <v/>
      </c>
      <c r="Y241" s="30">
        <f>M241*Parameters!$B$10/60*Parameters!$B$11+O241*M241+N241</f>
        <v/>
      </c>
      <c r="Z241" s="34">
        <f>IF(U241="transition","→ Tier 2 (Stellar Neighborhood)",IF(U241="FP","First Photons — light begins, system quickens",IF(U241="HP","Heliopause acquired",IF(U241="OR","Orbital Resonance — passive multiplier active",IF(AND(AO241=1,L241=0,AN241&lt;&gt;1),"Cohesion ready (waiting on completionist upgrades)","")))))</f>
        <v/>
      </c>
      <c r="AA241" s="27">
        <f>(IF(E241=0,0,(Upgrades!$G$6+E241*Upgrades!$H$6)*POWER(Upgrades!$I$6,E241)))*(IF(Upgrades!$T$7="Solar Wind",POWER(Upgrades!$U$7,F241),1)*IF(Upgrades!$T$8="Solar Wind",POWER(Upgrades!$U$8,G241),1)*IF(Upgrades!$T$9="Solar Wind",POWER(Upgrades!$U$9,H241),1)*IF(Upgrades!$T$10="Solar Wind",POWER(Upgrades!$U$10,I241),1)*IF(Upgrades!$T$11="Solar Wind",POWER(Upgrades!$U$11,J241),1)*IF(Upgrades!$T$12="Solar Wind",POWER(Upgrades!$U$12,K241),1))*POWER(Upgrades!$P$6,E241)*POWER(Upgrades!$P$7,F241)*POWER(Upgrades!$P$8,G241)*POWER(Upgrades!$P$9,H241)*POWER(Upgrades!$P$10,I241)*POWER(Upgrades!$P$11,J241)*POWER(Upgrades!$P$12,K241)*60</f>
        <v/>
      </c>
      <c r="AB241" s="27">
        <f>(IF(F241=0,0,(Upgrades!$G$7+F241*Upgrades!$H$7)*POWER(Upgrades!$I$7,F241)))*(IF(Upgrades!$T$6="Asteroid Belt",POWER(Upgrades!$U$6,E241),1)*IF(Upgrades!$T$8="Asteroid Belt",POWER(Upgrades!$U$8,G241),1)*IF(Upgrades!$T$9="Asteroid Belt",POWER(Upgrades!$U$9,H241),1)*IF(Upgrades!$T$10="Asteroid Belt",POWER(Upgrades!$U$10,I241),1)*IF(Upgrades!$T$11="Asteroid Belt",POWER(Upgrades!$U$11,J241),1)*IF(Upgrades!$T$12="Asteroid Belt",POWER(Upgrades!$U$12,K241),1))*POWER(Upgrades!$P$6,E241)*POWER(Upgrades!$P$7,F241)*POWER(Upgrades!$P$8,G241)*POWER(Upgrades!$P$9,H241)*POWER(Upgrades!$P$10,I241)*POWER(Upgrades!$P$11,J241)*POWER(Upgrades!$P$12,K241)*60</f>
        <v/>
      </c>
      <c r="AC241" s="27">
        <f>(IF(G241=0,0,(Upgrades!$J$8+G241*Upgrades!$K$8)*POWER(Upgrades!$L$8,G241)))*(IF(Upgrades!$T$6="Stellar Coupling",POWER(Upgrades!$U$6,E241),1)*IF(Upgrades!$T$7="Stellar Coupling",POWER(Upgrades!$U$7,F241),1)*IF(Upgrades!$T$9="Stellar Coupling",POWER(Upgrades!$U$9,H241),1)*IF(Upgrades!$T$10="Stellar Coupling",POWER(Upgrades!$U$10,I241),1)*IF(Upgrades!$T$11="Stellar Coupling",POWER(Upgrades!$U$11,J241),1)*IF(Upgrades!$T$12="Stellar Coupling",POWER(Upgrades!$U$12,K241),1))*POWER(Upgrades!$Q$6,E241)*POWER(Upgrades!$Q$7,F241)*POWER(Upgrades!$Q$8,G241)*POWER(Upgrades!$Q$9,H241)*POWER(Upgrades!$Q$10,I241)*POWER(Upgrades!$Q$11,J241)*POWER(Upgrades!$Q$12,K241)*Parameters!$B$10*Parameters!$B$11</f>
        <v/>
      </c>
      <c r="AD241" s="27">
        <f>(IF(H241=0,0,(Upgrades!$G$9+H241*Upgrades!$H$9)*POWER(Upgrades!$I$9,H241)))*(IF(Upgrades!$T$6="Magnetosphere",POWER(Upgrades!$U$6,E241),1)*IF(Upgrades!$T$7="Magnetosphere",POWER(Upgrades!$U$7,F241),1)*IF(Upgrades!$T$8="Magnetosphere",POWER(Upgrades!$U$8,G241),1)*IF(Upgrades!$T$10="Magnetosphere",POWER(Upgrades!$U$10,I241),1)*IF(Upgrades!$T$11="Magnetosphere",POWER(Upgrades!$U$11,J241),1)*IF(Upgrades!$T$12="Magnetosphere",POWER(Upgrades!$U$12,K241),1))*POWER(Upgrades!$P$6,E241)*POWER(Upgrades!$P$7,F241)*POWER(Upgrades!$P$8,G241)*POWER(Upgrades!$P$9,H241)*POWER(Upgrades!$P$10,I241)*POWER(Upgrades!$P$11,J241)*POWER(Upgrades!$P$12,K241)*60</f>
        <v/>
      </c>
      <c r="AE241" s="27">
        <f>(IF(K241=0,0,(Upgrades!$G$12+K241*Upgrades!$H$12)*POWER(Upgrades!$I$12,K241)))*(IF(Upgrades!$T$6="First Photons",POWER(Upgrades!$U$6,E241),1)*IF(Upgrades!$T$7="First Photons",POWER(Upgrades!$U$7,F241),1)*IF(Upgrades!$T$8="First Photons",POWER(Upgrades!$U$8,G241),1)*IF(Upgrades!$T$9="First Photons",POWER(Upgrades!$U$9,H241),1)*IF(Upgrades!$T$10="First Photons",POWER(Upgrades!$U$10,I241),1)*IF(Upgrades!$T$11="First Photons",POWER(Upgrades!$U$11,J241),1))*POWER(Upgrades!$P$6,E241)*POWER(Upgrades!$P$7,F241)*POWER(Upgrades!$P$8,G241)*POWER(Upgrades!$P$9,H241)*POWER(Upgrades!$P$10,I241)*POWER(Upgrades!$P$11,J241)*POWER(Upgrades!$P$12,K241)*60</f>
        <v/>
      </c>
      <c r="AF241" s="27">
        <f>Parameters!$B$9*POWER(Upgrades!$Q$6,E241)*POWER(Upgrades!$Q$7,F241)*POWER(Upgrades!$Q$8,G241)*POWER(Upgrades!$Q$9,H241)*POWER(Upgrades!$Q$10,I241)*POWER(Upgrades!$Q$11,J241)*POWER(Upgrades!$Q$12,K241)*(Parameters!$B$10*Parameters!$B$11+O241*60)</f>
        <v/>
      </c>
      <c r="AG241" s="22">
        <f>IF(E241&gt;=Upgrades!$E$6,"",Upgrades!$C$6*POWER(Upgrades!$D$6,E241))</f>
        <v/>
      </c>
      <c r="AH241" s="22">
        <f>IF(F241&gt;=Upgrades!$E$7,"",Upgrades!$C$7*POWER(Upgrades!$D$7,F241))</f>
        <v/>
      </c>
      <c r="AI241" s="22">
        <f>IF(G241&gt;=Upgrades!$E$8,"",Upgrades!$C$8*POWER(Upgrades!$D$8,G241))</f>
        <v/>
      </c>
      <c r="AJ241" s="22">
        <f>IF(H241&gt;=Upgrades!$E$9,"",Upgrades!$C$9*POWER(Upgrades!$D$9,H241))</f>
        <v/>
      </c>
      <c r="AK241" s="22">
        <f>IF(I241&gt;=Upgrades!$E$10,"",Upgrades!$C$10*POWER(Upgrades!$D$10,I241))</f>
        <v/>
      </c>
      <c r="AL241" s="22">
        <f>IF(J241&gt;=Upgrades!$E$11,"",Upgrades!$C$11*POWER(Upgrades!$D$11,J241))</f>
        <v/>
      </c>
      <c r="AM241" s="22">
        <f>IF(K241&gt;=Upgrades!$E$12,"",Upgrades!$C$12*POWER(Upgrades!$D$12,K241))</f>
        <v/>
      </c>
      <c r="AN241" s="26">
        <f>IF(AND(D241&gt;=Parameters!$B$18,(H241&gt;=Upgrades!$E$9)*(K241&gt;=Upgrades!$E$12)=1,L241=0),1,"")</f>
        <v/>
      </c>
      <c r="AO241" s="26">
        <f>IF(AND(D241&gt;=Parameters!$B$18,L241=0),1,"")</f>
        <v/>
      </c>
      <c r="AP241" s="22">
        <f>MIN(IF(ISNUMBER(AK241),AK241,9E15),IF(ISNUMBER(AL241),AL241,9E15),IF(ISNUMBER(AM241),AM241,9E15))</f>
        <v/>
      </c>
      <c r="AQ241" s="22">
        <f>MIN(IF(ISNUMBER(AG241),AG241,9E15),IF(ISNUMBER(AH241),AH241,9E15),IF(ISNUMBER(AI241),AI241,9E15),IF(ISNUMBER(AJ241),AJ241,9E15))</f>
        <v/>
      </c>
      <c r="AR241" s="29">
        <f>IF(AW241&gt;Parameters!$B$21*(MAX(IF(AND(NOT(AND(AO241=1,AN241&lt;&gt;1)),ISNUMBER(AG241),AG241&lt;=T241),AS241,0),IF(AND(NOT(AND(AO241=1,AN241&lt;&gt;1)),ISNUMBER(AH241),AH241&lt;=T241),AT241,0),IF(AND(NOT(AND(AO241=1,AN241&lt;&gt;1)),ISNUMBER(AI241),AI241&lt;=T241),AU241,0),IF(AND(ISNUMBER(AJ241),AJ241&lt;=T241),AV241,0))),TRUE,FALSE)</f>
        <v/>
      </c>
      <c r="AS241" s="32">
        <f>IFERROR(Upgrades!$H$6*(POWER(Upgrades!$P$6,E241)*POWER(Upgrades!$P$7,F241)*POWER(Upgrades!$P$8,G241)*POWER(Upgrades!$P$9,H241)*POWER(Upgrades!$P$10,I241)*POWER(Upgrades!$P$11,J241)*POWER(Upgrades!$P$12,K241))*(IF(Upgrades!$T$7="Solar Wind",POWER(Upgrades!$U$7,F241),1)*IF(Upgrades!$T$8="Solar Wind",POWER(Upgrades!$U$8,G241),1)*IF(Upgrades!$T$9="Solar Wind",POWER(Upgrades!$U$9,H241),1)*IF(Upgrades!$T$10="Solar Wind",POWER(Upgrades!$U$10,I241),1)*IF(Upgrades!$T$11="Solar Wind",POWER(Upgrades!$U$11,J241),1)*IF(Upgrades!$T$12="Solar Wind",POWER(Upgrades!$U$12,K241),1))/AG241,0)</f>
        <v/>
      </c>
      <c r="AT241" s="32">
        <f>IFERROR(Upgrades!$H$7*(POWER(Upgrades!$P$6,E241)*POWER(Upgrades!$P$7,F241)*POWER(Upgrades!$P$8,G241)*POWER(Upgrades!$P$9,H241)*POWER(Upgrades!$P$10,I241)*POWER(Upgrades!$P$11,J241)*POWER(Upgrades!$P$12,K241))*(IF(Upgrades!$T$6="Asteroid Belt",POWER(Upgrades!$U$6,E241),1)*IF(Upgrades!$T$8="Asteroid Belt",POWER(Upgrades!$U$8,G241),1)*IF(Upgrades!$T$9="Asteroid Belt",POWER(Upgrades!$U$9,H241),1)*IF(Upgrades!$T$10="Asteroid Belt",POWER(Upgrades!$U$10,I241),1)*IF(Upgrades!$T$11="Asteroid Belt",POWER(Upgrades!$U$11,J241),1)*IF(Upgrades!$T$12="Asteroid Belt",POWER(Upgrades!$U$12,K241),1))/AH241,0)</f>
        <v/>
      </c>
      <c r="AU241" s="32">
        <f>IFERROR(Upgrades!$K$8*(POWER(Upgrades!$Q$6,E241)*POWER(Upgrades!$Q$7,F241)*POWER(Upgrades!$Q$8,G241)*POWER(Upgrades!$Q$9,H241)*POWER(Upgrades!$Q$10,I241)*POWER(Upgrades!$Q$11,J241)*POWER(Upgrades!$Q$12,K241))*(IF(Upgrades!$T$6="Stellar Coupling",POWER(Upgrades!$U$6,E241),1)*IF(Upgrades!$T$7="Stellar Coupling",POWER(Upgrades!$U$7,F241),1)*IF(Upgrades!$T$9="Stellar Coupling",POWER(Upgrades!$U$9,H241),1)*IF(Upgrades!$T$10="Stellar Coupling",POWER(Upgrades!$U$10,I241),1)*IF(Upgrades!$T$11="Stellar Coupling",POWER(Upgrades!$U$11,J241),1)*IF(Upgrades!$T$12="Stellar Coupling",POWER(Upgrades!$U$12,K241),1))*Parameters!$B$10*Parameters!$B$11/60/AI241,0)</f>
        <v/>
      </c>
      <c r="AV241" s="32">
        <f>IFERROR(Upgrades!$H$9*(POWER(Upgrades!$P$6,E241)*POWER(Upgrades!$P$7,F241)*POWER(Upgrades!$P$8,G241)*POWER(Upgrades!$P$9,H241)*POWER(Upgrades!$P$10,I241)*POWER(Upgrades!$P$11,J241)*POWER(Upgrades!$P$12,K241))*(IF(Upgrades!$T$6="Magnetosphere",POWER(Upgrades!$U$6,E241),1)*IF(Upgrades!$T$7="Magnetosphere",POWER(Upgrades!$U$7,F241),1)*IF(Upgrades!$T$8="Magnetosphere",POWER(Upgrades!$U$8,G241),1)*IF(Upgrades!$T$10="Magnetosphere",POWER(Upgrades!$U$10,I241),1)*IF(Upgrades!$T$11="Magnetosphere",POWER(Upgrades!$U$11,J241),1)*IF(Upgrades!$T$12="Magnetosphere",POWER(Upgrades!$U$12,K241),1))/AJ241,0)</f>
        <v/>
      </c>
      <c r="AW241" s="32">
        <f>MAX(IF(I241&gt;0,0,IFERROR(0.25*N241/Upgrades!$C$10,0)),IF(J241&gt;0,0,IFERROR(0.5*((IF(G241=0,0,(Upgrades!$J$8+G241*Upgrades!$K$8)*POWER(Upgrades!$L$8,G241)))*(IF(Upgrades!$T$6="Stellar Coupling",POWER(Upgrades!$U$6,E241),1)*IF(Upgrades!$T$7="Stellar Coupling",POWER(Upgrades!$U$7,F241),1)*IF(Upgrades!$T$9="Stellar Coupling",POWER(Upgrades!$U$9,H241),1)*IF(Upgrades!$T$10="Stellar Coupling",POWER(Upgrades!$U$10,I241),1)*IF(Upgrades!$T$11="Stellar Coupling",POWER(Upgrades!$U$11,J241),1)*IF(Upgrades!$T$12="Stellar Coupling",POWER(Upgrades!$U$12,K241),1))*(POWER(Upgrades!$Q$6,E241)*POWER(Upgrades!$Q$7,F241)*POWER(Upgrades!$Q$8,G241)*POWER(Upgrades!$Q$9,H241)*POWER(Upgrades!$Q$10,I241)*POWER(Upgrades!$Q$11,J241)*POWER(Upgrades!$Q$12,K241))*Parameters!$B$10*Parameters!$B$11/60)/Upgrades!$C$11,0)),IF(K241&gt;0,0,IFERROR((1.0*(POWER(Upgrades!$P$6,E241)*POWER(Upgrades!$P$7,F241)*POWER(Upgrades!$P$8,G241)*POWER(Upgrades!$P$9,H241)*POWER(Upgrades!$P$10,I241)*POWER(Upgrades!$P$11,J241)*POWER(Upgrades!$P$12,K241))+0.20*M241*Parameters!$B$10*Parameters!$B$11/60)/Upgrades!$C$12,0)),IF(AND(ISNUMBER(AG241),AG241&gt;T241),AS241,0),IF(AND(ISNUMBER(AH241),AH241&gt;T241),AT241,0),IF(AND(ISNUMBER(AI241),AI241&gt;T241),AU241,0),IF(AND(ISNUMBER(AJ241),AJ241&gt;T241),AV241,0))</f>
        <v/>
      </c>
      <c r="AX241" s="29">
        <f>IF(AN241=1,"transition",IF(MIN(IF(AND(I241=0,ISNUMBER(AK241),AK241&lt;=T241),AK241,9E15),IF(AND(J241=0,ISNUMBER(AL241),AL241&lt;=T241),AL241,9E15),IF(AND(K241=0,ISNUMBER(AM241),AM241&lt;=T241),AM241,9E15))&lt;9E15,IF(AND(AND(I241=0,ISNUMBER(AK241),AK241&lt;=T241),AK241=MIN(IF(AND(I241=0,ISNUMBER(AK241),AK241&lt;=T241),AK241,9E15),IF(AND(J241=0,ISNUMBER(AL241),AL241&lt;=T241),AL241,9E15),IF(AND(K241=0,ISNUMBER(AM241),AM241&lt;=T241),AM241,9E15))),"OR",IF(AND(AND(J241=0,ISNUMBER(AL241),AL241&lt;=T241),AL241=MIN(IF(AND(I241=0,ISNUMBER(AK241),AK241&lt;=T241),AK241,9E15),IF(AND(J241=0,ISNUMBER(AL241),AL241&lt;=T241),AL241,9E15),IF(AND(K241=0,ISNUMBER(AM241),AM241&lt;=T241),AM241,9E15))),"HP","FP")),IF(AR241=TRUE,"",IF(MAX(IF(AND(NOT(AND(AO241=1,AN241&lt;&gt;1)),ISNUMBER(AG241),AG241&lt;=T241),AS241,0),IF(AND(NOT(AND(AO241=1,AN241&lt;&gt;1)),ISNUMBER(AH241),AH241&lt;=T241),AT241,0),IF(AND(NOT(AND(AO241=1,AN241&lt;&gt;1)),ISNUMBER(AI241),AI241&lt;=T241),AU241,0),IF(AND(ISNUMBER(AJ241),AJ241&lt;=T241),AV241,0))&lt;=0,"",IF(AND(IF(AND(NOT(AND(AO241=1,AN241&lt;&gt;1)),ISNUMBER(AG241),AG241&lt;=T241),AS241,0)&gt;0,IF(AND(NOT(AND(AO241=1,AN241&lt;&gt;1)),ISNUMBER(AG241),AG241&lt;=T241),AS241,0)=MAX(IF(AND(NOT(AND(AO241=1,AN241&lt;&gt;1)),ISNUMBER(AG241),AG241&lt;=T241),AS241,0),IF(AND(NOT(AND(AO241=1,AN241&lt;&gt;1)),ISNUMBER(AH241),AH241&lt;=T241),AT241,0),IF(AND(NOT(AND(AO241=1,AN241&lt;&gt;1)),ISNUMBER(AI241),AI241&lt;=T241),AU241,0),IF(AND(ISNUMBER(AJ241),AJ241&lt;=T241),AV241,0))),"SW",IF(AND(IF(AND(NOT(AND(AO241=1,AN241&lt;&gt;1)),ISNUMBER(AH241),AH241&lt;=T241),AT241,0)&gt;0,IF(AND(NOT(AND(AO241=1,AN241&lt;&gt;1)),ISNUMBER(AH241),AH241&lt;=T241),AT241,0)=MAX(IF(AND(NOT(AND(AO241=1,AN241&lt;&gt;1)),ISNUMBER(AG241),AG241&lt;=T241),AS241,0),IF(AND(NOT(AND(AO241=1,AN241&lt;&gt;1)),ISNUMBER(AH241),AH241&lt;=T241),AT241,0),IF(AND(NOT(AND(AO241=1,AN241&lt;&gt;1)),ISNUMBER(AI241),AI241&lt;=T241),AU241,0),IF(AND(ISNUMBER(AJ241),AJ241&lt;=T241),AV241,0))),"AB",IF(AND(IF(AND(NOT(AND(AO241=1,AN241&lt;&gt;1)),ISNUMBER(AI241),AI241&lt;=T241),AU241,0)&gt;0,IF(AND(NOT(AND(AO241=1,AN241&lt;&gt;1)),ISNUMBER(AI241),AI241&lt;=T241),AU241,0)=MAX(IF(AND(NOT(AND(AO241=1,AN241&lt;&gt;1)),ISNUMBER(AG241),AG241&lt;=T241),AS241,0),IF(AND(NOT(AND(AO241=1,AN241&lt;&gt;1)),ISNUMBER(AH241),AH241&lt;=T241),AT241,0),IF(AND(NOT(AND(AO241=1,AN241&lt;&gt;1)),ISNUMBER(AI241),AI241&lt;=T241),AU241,0),IF(AND(ISNUMBER(AJ241),AJ241&lt;=T241),AV241,0))),"SC","Mag")))))))</f>
        <v/>
      </c>
    </row>
    <row r="242">
      <c r="A242" s="26" t="n">
        <v>237</v>
      </c>
      <c r="B242" s="27">
        <f>A242*10/60</f>
        <v/>
      </c>
      <c r="C242" s="22">
        <f>X241</f>
        <v/>
      </c>
      <c r="D242" s="27">
        <f>D241+W241</f>
        <v/>
      </c>
      <c r="E242" s="26">
        <f>E241+IF(U241="SW",1,0)</f>
        <v/>
      </c>
      <c r="F242" s="26">
        <f>F241+IF(U241="AB",1,0)</f>
        <v/>
      </c>
      <c r="G242" s="26">
        <f>G241+IF(U241="SC",1,0)</f>
        <v/>
      </c>
      <c r="H242" s="26">
        <f>H241+IF(U241="Mag",1,0)</f>
        <v/>
      </c>
      <c r="I242" s="26">
        <f>MAX(I241,IF(U241="OR",1,0))</f>
        <v/>
      </c>
      <c r="J242" s="26">
        <f>MAX(J241,IF(U241="HP",1,0))</f>
        <v/>
      </c>
      <c r="K242" s="26">
        <f>MAX(K241,IF(U241="FP",1,0))</f>
        <v/>
      </c>
      <c r="L242" s="26">
        <f>MAX(L241,IF(U241="transition",1,0))</f>
        <v/>
      </c>
      <c r="M242" s="28">
        <f>(Parameters!$B$9+(IF(E242=0,0,(Upgrades!$J$6+E242*Upgrades!$K$6)*POWER(Upgrades!$L$6,E242)))*(IF(Upgrades!$T$7="Solar Wind",POWER(Upgrades!$U$7,F242),1)*IF(Upgrades!$T$8="Solar Wind",POWER(Upgrades!$U$8,G242),1)*IF(Upgrades!$T$9="Solar Wind",POWER(Upgrades!$U$9,H242),1)*IF(Upgrades!$T$10="Solar Wind",POWER(Upgrades!$U$10,I242),1)*IF(Upgrades!$T$11="Solar Wind",POWER(Upgrades!$U$11,J242),1)*IF(Upgrades!$T$12="Solar Wind",POWER(Upgrades!$U$12,K242),1))+(IF(F242=0,0,(Upgrades!$J$7+F242*Upgrades!$K$7)*POWER(Upgrades!$L$7,F242)))*(IF(Upgrades!$T$6="Asteroid Belt",POWER(Upgrades!$U$6,E242),1)*IF(Upgrades!$T$8="Asteroid Belt",POWER(Upgrades!$U$8,G242),1)*IF(Upgrades!$T$9="Asteroid Belt",POWER(Upgrades!$U$9,H242),1)*IF(Upgrades!$T$10="Asteroid Belt",POWER(Upgrades!$U$10,I242),1)*IF(Upgrades!$T$11="Asteroid Belt",POWER(Upgrades!$U$11,J242),1)*IF(Upgrades!$T$12="Asteroid Belt",POWER(Upgrades!$U$12,K242),1))+(IF(G242=0,0,(Upgrades!$J$8+G242*Upgrades!$K$8)*POWER(Upgrades!$L$8,G242)))*(IF(Upgrades!$T$6="Stellar Coupling",POWER(Upgrades!$U$6,E242),1)*IF(Upgrades!$T$7="Stellar Coupling",POWER(Upgrades!$U$7,F242),1)*IF(Upgrades!$T$9="Stellar Coupling",POWER(Upgrades!$U$9,H242),1)*IF(Upgrades!$T$10="Stellar Coupling",POWER(Upgrades!$U$10,I242),1)*IF(Upgrades!$T$11="Stellar Coupling",POWER(Upgrades!$U$11,J242),1)*IF(Upgrades!$T$12="Stellar Coupling",POWER(Upgrades!$U$12,K242),1))+(IF(H242=0,0,(Upgrades!$J$9+H242*Upgrades!$K$9)*POWER(Upgrades!$L$9,H242)))*(IF(Upgrades!$T$6="Magnetosphere",POWER(Upgrades!$U$6,E242),1)*IF(Upgrades!$T$7="Magnetosphere",POWER(Upgrades!$U$7,F242),1)*IF(Upgrades!$T$8="Magnetosphere",POWER(Upgrades!$U$8,G242),1)*IF(Upgrades!$T$10="Magnetosphere",POWER(Upgrades!$U$10,I242),1)*IF(Upgrades!$T$11="Magnetosphere",POWER(Upgrades!$U$11,J242),1)*IF(Upgrades!$T$12="Magnetosphere",POWER(Upgrades!$U$12,K242),1))+(IF(I242=0,0,(Upgrades!$J$10+I242*Upgrades!$K$10)*POWER(Upgrades!$L$10,I242)))*(IF(Upgrades!$T$6="Orbital Resonance",POWER(Upgrades!$U$6,E242),1)*IF(Upgrades!$T$7="Orbital Resonance",POWER(Upgrades!$U$7,F242),1)*IF(Upgrades!$T$8="Orbital Resonance",POWER(Upgrades!$U$8,G242),1)*IF(Upgrades!$T$9="Orbital Resonance",POWER(Upgrades!$U$9,H242),1)*IF(Upgrades!$T$11="Orbital Resonance",POWER(Upgrades!$U$11,J242),1)*IF(Upgrades!$T$12="Orbital Resonance",POWER(Upgrades!$U$12,K242),1))+(IF(J242=0,0,(Upgrades!$J$11+J242*Upgrades!$K$11)*POWER(Upgrades!$L$11,J242)))*(IF(Upgrades!$T$6="Heliopause",POWER(Upgrades!$U$6,E242),1)*IF(Upgrades!$T$7="Heliopause",POWER(Upgrades!$U$7,F242),1)*IF(Upgrades!$T$8="Heliopause",POWER(Upgrades!$U$8,G242),1)*IF(Upgrades!$T$9="Heliopause",POWER(Upgrades!$U$9,H242),1)*IF(Upgrades!$T$10="Heliopause",POWER(Upgrades!$U$10,I242),1)*IF(Upgrades!$T$12="Heliopause",POWER(Upgrades!$U$12,K242),1))+(IF(K242=0,0,(Upgrades!$J$12+K242*Upgrades!$K$12)*POWER(Upgrades!$L$12,K242)))*(IF(Upgrades!$T$6="First Photons",POWER(Upgrades!$U$6,E242),1)*IF(Upgrades!$T$7="First Photons",POWER(Upgrades!$U$7,F242),1)*IF(Upgrades!$T$8="First Photons",POWER(Upgrades!$U$8,G242),1)*IF(Upgrades!$T$9="First Photons",POWER(Upgrades!$U$9,H242),1)*IF(Upgrades!$T$10="First Photons",POWER(Upgrades!$U$10,I242),1)*IF(Upgrades!$T$11="First Photons",POWER(Upgrades!$U$11,J242),1)))*POWER(Upgrades!$Q$6,E242)*POWER(Upgrades!$Q$7,F242)*POWER(Upgrades!$Q$8,G242)*POWER(Upgrades!$Q$9,H242)*POWER(Upgrades!$Q$10,I242)*POWER(Upgrades!$Q$11,J242)*POWER(Upgrades!$Q$12,K242)</f>
        <v/>
      </c>
      <c r="N242" s="28">
        <f>((IF(E242=0,0,(Upgrades!$G$6+E242*Upgrades!$H$6)*POWER(Upgrades!$I$6,E242)))*(IF(Upgrades!$T$7="Solar Wind",POWER(Upgrades!$U$7,F242),1)*IF(Upgrades!$T$8="Solar Wind",POWER(Upgrades!$U$8,G242),1)*IF(Upgrades!$T$9="Solar Wind",POWER(Upgrades!$U$9,H242),1)*IF(Upgrades!$T$10="Solar Wind",POWER(Upgrades!$U$10,I242),1)*IF(Upgrades!$T$11="Solar Wind",POWER(Upgrades!$U$11,J242),1)*IF(Upgrades!$T$12="Solar Wind",POWER(Upgrades!$U$12,K242),1))+(IF(F242=0,0,(Upgrades!$G$7+F242*Upgrades!$H$7)*POWER(Upgrades!$I$7,F242)))*(IF(Upgrades!$T$6="Asteroid Belt",POWER(Upgrades!$U$6,E242),1)*IF(Upgrades!$T$8="Asteroid Belt",POWER(Upgrades!$U$8,G242),1)*IF(Upgrades!$T$9="Asteroid Belt",POWER(Upgrades!$U$9,H242),1)*IF(Upgrades!$T$10="Asteroid Belt",POWER(Upgrades!$U$10,I242),1)*IF(Upgrades!$T$11="Asteroid Belt",POWER(Upgrades!$U$11,J242),1)*IF(Upgrades!$T$12="Asteroid Belt",POWER(Upgrades!$U$12,K242),1))+(IF(G242=0,0,(Upgrades!$G$8+G242*Upgrades!$H$8)*POWER(Upgrades!$I$8,G242)))*(IF(Upgrades!$T$6="Stellar Coupling",POWER(Upgrades!$U$6,E242),1)*IF(Upgrades!$T$7="Stellar Coupling",POWER(Upgrades!$U$7,F242),1)*IF(Upgrades!$T$9="Stellar Coupling",POWER(Upgrades!$U$9,H242),1)*IF(Upgrades!$T$10="Stellar Coupling",POWER(Upgrades!$U$10,I242),1)*IF(Upgrades!$T$11="Stellar Coupling",POWER(Upgrades!$U$11,J242),1)*IF(Upgrades!$T$12="Stellar Coupling",POWER(Upgrades!$U$12,K242),1))+(IF(H242=0,0,(Upgrades!$G$9+H242*Upgrades!$H$9)*POWER(Upgrades!$I$9,H242)))*(IF(Upgrades!$T$6="Magnetosphere",POWER(Upgrades!$U$6,E242),1)*IF(Upgrades!$T$7="Magnetosphere",POWER(Upgrades!$U$7,F242),1)*IF(Upgrades!$T$8="Magnetosphere",POWER(Upgrades!$U$8,G242),1)*IF(Upgrades!$T$10="Magnetosphere",POWER(Upgrades!$U$10,I242),1)*IF(Upgrades!$T$11="Magnetosphere",POWER(Upgrades!$U$11,J242),1)*IF(Upgrades!$T$12="Magnetosphere",POWER(Upgrades!$U$12,K242),1))+(IF(I242=0,0,(Upgrades!$G$10+I242*Upgrades!$H$10)*POWER(Upgrades!$I$10,I242)))*(IF(Upgrades!$T$6="Orbital Resonance",POWER(Upgrades!$U$6,E242),1)*IF(Upgrades!$T$7="Orbital Resonance",POWER(Upgrades!$U$7,F242),1)*IF(Upgrades!$T$8="Orbital Resonance",POWER(Upgrades!$U$8,G242),1)*IF(Upgrades!$T$9="Orbital Resonance",POWER(Upgrades!$U$9,H242),1)*IF(Upgrades!$T$11="Orbital Resonance",POWER(Upgrades!$U$11,J242),1)*IF(Upgrades!$T$12="Orbital Resonance",POWER(Upgrades!$U$12,K242),1))+(IF(J242=0,0,(Upgrades!$G$11+J242*Upgrades!$H$11)*POWER(Upgrades!$I$11,J242)))*(IF(Upgrades!$T$6="Heliopause",POWER(Upgrades!$U$6,E242),1)*IF(Upgrades!$T$7="Heliopause",POWER(Upgrades!$U$7,F242),1)*IF(Upgrades!$T$8="Heliopause",POWER(Upgrades!$U$8,G242),1)*IF(Upgrades!$T$9="Heliopause",POWER(Upgrades!$U$9,H242),1)*IF(Upgrades!$T$10="Heliopause",POWER(Upgrades!$U$10,I242),1)*IF(Upgrades!$T$12="Heliopause",POWER(Upgrades!$U$12,K242),1))+(IF(K242=0,0,(Upgrades!$G$12+K242*Upgrades!$H$12)*POWER(Upgrades!$I$12,K242)))*(IF(Upgrades!$T$6="First Photons",POWER(Upgrades!$U$6,E242),1)*IF(Upgrades!$T$7="First Photons",POWER(Upgrades!$U$7,F242),1)*IF(Upgrades!$T$8="First Photons",POWER(Upgrades!$U$8,G242),1)*IF(Upgrades!$T$9="First Photons",POWER(Upgrades!$U$9,H242),1)*IF(Upgrades!$T$10="First Photons",POWER(Upgrades!$U$10,I242),1)*IF(Upgrades!$T$11="First Photons",POWER(Upgrades!$U$11,J242),1)))*POWER(Upgrades!$P$6,E242)*POWER(Upgrades!$P$7,F242)*POWER(Upgrades!$P$8,G242)*POWER(Upgrades!$P$9,H242)*POWER(Upgrades!$P$10,I242)*POWER(Upgrades!$P$11,J242)*POWER(Upgrades!$P$12,K242)</f>
        <v/>
      </c>
      <c r="O242" s="28">
        <f>((IF(E242=0,0,(Upgrades!$M$6+E242*Upgrades!$N$6)*POWER(Upgrades!$O$6,E242)))*(IF(Upgrades!$T$7="Solar Wind",POWER(Upgrades!$U$7,F242),1)*IF(Upgrades!$T$8="Solar Wind",POWER(Upgrades!$U$8,G242),1)*IF(Upgrades!$T$9="Solar Wind",POWER(Upgrades!$U$9,H242),1)*IF(Upgrades!$T$10="Solar Wind",POWER(Upgrades!$U$10,I242),1)*IF(Upgrades!$T$11="Solar Wind",POWER(Upgrades!$U$11,J242),1)*IF(Upgrades!$T$12="Solar Wind",POWER(Upgrades!$U$12,K242),1))+(IF(F242=0,0,(Upgrades!$M$7+F242*Upgrades!$N$7)*POWER(Upgrades!$O$7,F242)))*(IF(Upgrades!$T$6="Asteroid Belt",POWER(Upgrades!$U$6,E242),1)*IF(Upgrades!$T$8="Asteroid Belt",POWER(Upgrades!$U$8,G242),1)*IF(Upgrades!$T$9="Asteroid Belt",POWER(Upgrades!$U$9,H242),1)*IF(Upgrades!$T$10="Asteroid Belt",POWER(Upgrades!$U$10,I242),1)*IF(Upgrades!$T$11="Asteroid Belt",POWER(Upgrades!$U$11,J242),1)*IF(Upgrades!$T$12="Asteroid Belt",POWER(Upgrades!$U$12,K242),1))+(IF(G242=0,0,(Upgrades!$M$8+G242*Upgrades!$N$8)*POWER(Upgrades!$O$8,G242)))*(IF(Upgrades!$T$6="Stellar Coupling",POWER(Upgrades!$U$6,E242),1)*IF(Upgrades!$T$7="Stellar Coupling",POWER(Upgrades!$U$7,F242),1)*IF(Upgrades!$T$9="Stellar Coupling",POWER(Upgrades!$U$9,H242),1)*IF(Upgrades!$T$10="Stellar Coupling",POWER(Upgrades!$U$10,I242),1)*IF(Upgrades!$T$11="Stellar Coupling",POWER(Upgrades!$U$11,J242),1)*IF(Upgrades!$T$12="Stellar Coupling",POWER(Upgrades!$U$12,K242),1))+(IF(H242=0,0,(Upgrades!$M$9+H242*Upgrades!$N$9)*POWER(Upgrades!$O$9,H242)))*(IF(Upgrades!$T$6="Magnetosphere",POWER(Upgrades!$U$6,E242),1)*IF(Upgrades!$T$7="Magnetosphere",POWER(Upgrades!$U$7,F242),1)*IF(Upgrades!$T$8="Magnetosphere",POWER(Upgrades!$U$8,G242),1)*IF(Upgrades!$T$10="Magnetosphere",POWER(Upgrades!$U$10,I242),1)*IF(Upgrades!$T$11="Magnetosphere",POWER(Upgrades!$U$11,J242),1)*IF(Upgrades!$T$12="Magnetosphere",POWER(Upgrades!$U$12,K242),1))+(IF(I242=0,0,(Upgrades!$M$10+I242*Upgrades!$N$10)*POWER(Upgrades!$O$10,I242)))*(IF(Upgrades!$T$6="Orbital Resonance",POWER(Upgrades!$U$6,E242),1)*IF(Upgrades!$T$7="Orbital Resonance",POWER(Upgrades!$U$7,F242),1)*IF(Upgrades!$T$8="Orbital Resonance",POWER(Upgrades!$U$8,G242),1)*IF(Upgrades!$T$9="Orbital Resonance",POWER(Upgrades!$U$9,H242),1)*IF(Upgrades!$T$11="Orbital Resonance",POWER(Upgrades!$U$11,J242),1)*IF(Upgrades!$T$12="Orbital Resonance",POWER(Upgrades!$U$12,K242),1))+(IF(J242=0,0,(Upgrades!$M$11+J242*Upgrades!$N$11)*POWER(Upgrades!$O$11,J242)))*(IF(Upgrades!$T$6="Heliopause",POWER(Upgrades!$U$6,E242),1)*IF(Upgrades!$T$7="Heliopause",POWER(Upgrades!$U$7,F242),1)*IF(Upgrades!$T$8="Heliopause",POWER(Upgrades!$U$8,G242),1)*IF(Upgrades!$T$9="Heliopause",POWER(Upgrades!$U$9,H242),1)*IF(Upgrades!$T$10="Heliopause",POWER(Upgrades!$U$10,I242),1)*IF(Upgrades!$T$12="Heliopause",POWER(Upgrades!$U$12,K242),1))+(IF(K242=0,0,(Upgrades!$M$12+K242*Upgrades!$N$12)*POWER(Upgrades!$O$12,K242)))*(IF(Upgrades!$T$6="First Photons",POWER(Upgrades!$U$6,E242),1)*IF(Upgrades!$T$7="First Photons",POWER(Upgrades!$U$7,F242),1)*IF(Upgrades!$T$8="First Photons",POWER(Upgrades!$U$8,G242),1)*IF(Upgrades!$T$9="First Photons",POWER(Upgrades!$U$9,H242),1)*IF(Upgrades!$T$10="First Photons",POWER(Upgrades!$U$10,I242),1)*IF(Upgrades!$T$11="First Photons",POWER(Upgrades!$U$11,J242),1)))*POWER(Upgrades!$R$6,E242)*POWER(Upgrades!$R$7,F242)*POWER(Upgrades!$R$8,G242)*POWER(Upgrades!$R$9,H242)*POWER(Upgrades!$R$10,I242)*POWER(Upgrades!$R$11,J242)*POWER(Upgrades!$R$12,K242)</f>
        <v/>
      </c>
      <c r="P242" s="27">
        <f>IF(L242=1,0,M242*Parameters!$B$10/60*Parameters!$B$11*10)</f>
        <v/>
      </c>
      <c r="Q242" s="27">
        <f>IF(L242=1,0,O242*M242*10)</f>
        <v/>
      </c>
      <c r="R242" s="27">
        <f>IF(L242=1,0,N242*10)</f>
        <v/>
      </c>
      <c r="S242" s="27">
        <f>P242+Q242+R242</f>
        <v/>
      </c>
      <c r="T242" s="22">
        <f>C242+S242</f>
        <v/>
      </c>
      <c r="U242" s="33">
        <f>AX242</f>
        <v/>
      </c>
      <c r="V242" s="22">
        <f>IF(U242="",0,IF(U242="transition",0,IF(U242="SW",AG242,IF(U242="AB",AH242,IF(U242="SC",AI242,IF(U242="Mag",AJ242,IF(U242="OR",AK242,IF(U242="HP",AL242,IF(U242="FP",AM242,0)))))))))</f>
        <v/>
      </c>
      <c r="W242" s="27">
        <f>IF(U242="OR",Upgrades!$F$10,IF(U242="HP",Upgrades!$F$11,IF(U242="transition",-Parameters!$B$18,0)))</f>
        <v/>
      </c>
      <c r="X242" s="22">
        <f>T242-V242</f>
        <v/>
      </c>
      <c r="Y242" s="30">
        <f>M242*Parameters!$B$10/60*Parameters!$B$11+O242*M242+N242</f>
        <v/>
      </c>
      <c r="Z242" s="34">
        <f>IF(U242="transition","→ Tier 2 (Stellar Neighborhood)",IF(U242="FP","First Photons — light begins, system quickens",IF(U242="HP","Heliopause acquired",IF(U242="OR","Orbital Resonance — passive multiplier active",IF(AND(AO242=1,L242=0,AN242&lt;&gt;1),"Cohesion ready (waiting on completionist upgrades)","")))))</f>
        <v/>
      </c>
      <c r="AA242" s="27">
        <f>(IF(E242=0,0,(Upgrades!$G$6+E242*Upgrades!$H$6)*POWER(Upgrades!$I$6,E242)))*(IF(Upgrades!$T$7="Solar Wind",POWER(Upgrades!$U$7,F242),1)*IF(Upgrades!$T$8="Solar Wind",POWER(Upgrades!$U$8,G242),1)*IF(Upgrades!$T$9="Solar Wind",POWER(Upgrades!$U$9,H242),1)*IF(Upgrades!$T$10="Solar Wind",POWER(Upgrades!$U$10,I242),1)*IF(Upgrades!$T$11="Solar Wind",POWER(Upgrades!$U$11,J242),1)*IF(Upgrades!$T$12="Solar Wind",POWER(Upgrades!$U$12,K242),1))*POWER(Upgrades!$P$6,E242)*POWER(Upgrades!$P$7,F242)*POWER(Upgrades!$P$8,G242)*POWER(Upgrades!$P$9,H242)*POWER(Upgrades!$P$10,I242)*POWER(Upgrades!$P$11,J242)*POWER(Upgrades!$P$12,K242)*60</f>
        <v/>
      </c>
      <c r="AB242" s="27">
        <f>(IF(F242=0,0,(Upgrades!$G$7+F242*Upgrades!$H$7)*POWER(Upgrades!$I$7,F242)))*(IF(Upgrades!$T$6="Asteroid Belt",POWER(Upgrades!$U$6,E242),1)*IF(Upgrades!$T$8="Asteroid Belt",POWER(Upgrades!$U$8,G242),1)*IF(Upgrades!$T$9="Asteroid Belt",POWER(Upgrades!$U$9,H242),1)*IF(Upgrades!$T$10="Asteroid Belt",POWER(Upgrades!$U$10,I242),1)*IF(Upgrades!$T$11="Asteroid Belt",POWER(Upgrades!$U$11,J242),1)*IF(Upgrades!$T$12="Asteroid Belt",POWER(Upgrades!$U$12,K242),1))*POWER(Upgrades!$P$6,E242)*POWER(Upgrades!$P$7,F242)*POWER(Upgrades!$P$8,G242)*POWER(Upgrades!$P$9,H242)*POWER(Upgrades!$P$10,I242)*POWER(Upgrades!$P$11,J242)*POWER(Upgrades!$P$12,K242)*60</f>
        <v/>
      </c>
      <c r="AC242" s="27">
        <f>(IF(G242=0,0,(Upgrades!$J$8+G242*Upgrades!$K$8)*POWER(Upgrades!$L$8,G242)))*(IF(Upgrades!$T$6="Stellar Coupling",POWER(Upgrades!$U$6,E242),1)*IF(Upgrades!$T$7="Stellar Coupling",POWER(Upgrades!$U$7,F242),1)*IF(Upgrades!$T$9="Stellar Coupling",POWER(Upgrades!$U$9,H242),1)*IF(Upgrades!$T$10="Stellar Coupling",POWER(Upgrades!$U$10,I242),1)*IF(Upgrades!$T$11="Stellar Coupling",POWER(Upgrades!$U$11,J242),1)*IF(Upgrades!$T$12="Stellar Coupling",POWER(Upgrades!$U$12,K242),1))*POWER(Upgrades!$Q$6,E242)*POWER(Upgrades!$Q$7,F242)*POWER(Upgrades!$Q$8,G242)*POWER(Upgrades!$Q$9,H242)*POWER(Upgrades!$Q$10,I242)*POWER(Upgrades!$Q$11,J242)*POWER(Upgrades!$Q$12,K242)*Parameters!$B$10*Parameters!$B$11</f>
        <v/>
      </c>
      <c r="AD242" s="27">
        <f>(IF(H242=0,0,(Upgrades!$G$9+H242*Upgrades!$H$9)*POWER(Upgrades!$I$9,H242)))*(IF(Upgrades!$T$6="Magnetosphere",POWER(Upgrades!$U$6,E242),1)*IF(Upgrades!$T$7="Magnetosphere",POWER(Upgrades!$U$7,F242),1)*IF(Upgrades!$T$8="Magnetosphere",POWER(Upgrades!$U$8,G242),1)*IF(Upgrades!$T$10="Magnetosphere",POWER(Upgrades!$U$10,I242),1)*IF(Upgrades!$T$11="Magnetosphere",POWER(Upgrades!$U$11,J242),1)*IF(Upgrades!$T$12="Magnetosphere",POWER(Upgrades!$U$12,K242),1))*POWER(Upgrades!$P$6,E242)*POWER(Upgrades!$P$7,F242)*POWER(Upgrades!$P$8,G242)*POWER(Upgrades!$P$9,H242)*POWER(Upgrades!$P$10,I242)*POWER(Upgrades!$P$11,J242)*POWER(Upgrades!$P$12,K242)*60</f>
        <v/>
      </c>
      <c r="AE242" s="27">
        <f>(IF(K242=0,0,(Upgrades!$G$12+K242*Upgrades!$H$12)*POWER(Upgrades!$I$12,K242)))*(IF(Upgrades!$T$6="First Photons",POWER(Upgrades!$U$6,E242),1)*IF(Upgrades!$T$7="First Photons",POWER(Upgrades!$U$7,F242),1)*IF(Upgrades!$T$8="First Photons",POWER(Upgrades!$U$8,G242),1)*IF(Upgrades!$T$9="First Photons",POWER(Upgrades!$U$9,H242),1)*IF(Upgrades!$T$10="First Photons",POWER(Upgrades!$U$10,I242),1)*IF(Upgrades!$T$11="First Photons",POWER(Upgrades!$U$11,J242),1))*POWER(Upgrades!$P$6,E242)*POWER(Upgrades!$P$7,F242)*POWER(Upgrades!$P$8,G242)*POWER(Upgrades!$P$9,H242)*POWER(Upgrades!$P$10,I242)*POWER(Upgrades!$P$11,J242)*POWER(Upgrades!$P$12,K242)*60</f>
        <v/>
      </c>
      <c r="AF242" s="27">
        <f>Parameters!$B$9*POWER(Upgrades!$Q$6,E242)*POWER(Upgrades!$Q$7,F242)*POWER(Upgrades!$Q$8,G242)*POWER(Upgrades!$Q$9,H242)*POWER(Upgrades!$Q$10,I242)*POWER(Upgrades!$Q$11,J242)*POWER(Upgrades!$Q$12,K242)*(Parameters!$B$10*Parameters!$B$11+O242*60)</f>
        <v/>
      </c>
      <c r="AG242" s="22">
        <f>IF(E242&gt;=Upgrades!$E$6,"",Upgrades!$C$6*POWER(Upgrades!$D$6,E242))</f>
        <v/>
      </c>
      <c r="AH242" s="22">
        <f>IF(F242&gt;=Upgrades!$E$7,"",Upgrades!$C$7*POWER(Upgrades!$D$7,F242))</f>
        <v/>
      </c>
      <c r="AI242" s="22">
        <f>IF(G242&gt;=Upgrades!$E$8,"",Upgrades!$C$8*POWER(Upgrades!$D$8,G242))</f>
        <v/>
      </c>
      <c r="AJ242" s="22">
        <f>IF(H242&gt;=Upgrades!$E$9,"",Upgrades!$C$9*POWER(Upgrades!$D$9,H242))</f>
        <v/>
      </c>
      <c r="AK242" s="22">
        <f>IF(I242&gt;=Upgrades!$E$10,"",Upgrades!$C$10*POWER(Upgrades!$D$10,I242))</f>
        <v/>
      </c>
      <c r="AL242" s="22">
        <f>IF(J242&gt;=Upgrades!$E$11,"",Upgrades!$C$11*POWER(Upgrades!$D$11,J242))</f>
        <v/>
      </c>
      <c r="AM242" s="22">
        <f>IF(K242&gt;=Upgrades!$E$12,"",Upgrades!$C$12*POWER(Upgrades!$D$12,K242))</f>
        <v/>
      </c>
      <c r="AN242" s="26">
        <f>IF(AND(D242&gt;=Parameters!$B$18,(H242&gt;=Upgrades!$E$9)*(K242&gt;=Upgrades!$E$12)=1,L242=0),1,"")</f>
        <v/>
      </c>
      <c r="AO242" s="26">
        <f>IF(AND(D242&gt;=Parameters!$B$18,L242=0),1,"")</f>
        <v/>
      </c>
      <c r="AP242" s="22">
        <f>MIN(IF(ISNUMBER(AK242),AK242,9E15),IF(ISNUMBER(AL242),AL242,9E15),IF(ISNUMBER(AM242),AM242,9E15))</f>
        <v/>
      </c>
      <c r="AQ242" s="22">
        <f>MIN(IF(ISNUMBER(AG242),AG242,9E15),IF(ISNUMBER(AH242),AH242,9E15),IF(ISNUMBER(AI242),AI242,9E15),IF(ISNUMBER(AJ242),AJ242,9E15))</f>
        <v/>
      </c>
      <c r="AR242" s="29">
        <f>IF(AW242&gt;Parameters!$B$21*(MAX(IF(AND(NOT(AND(AO242=1,AN242&lt;&gt;1)),ISNUMBER(AG242),AG242&lt;=T242),AS242,0),IF(AND(NOT(AND(AO242=1,AN242&lt;&gt;1)),ISNUMBER(AH242),AH242&lt;=T242),AT242,0),IF(AND(NOT(AND(AO242=1,AN242&lt;&gt;1)),ISNUMBER(AI242),AI242&lt;=T242),AU242,0),IF(AND(ISNUMBER(AJ242),AJ242&lt;=T242),AV242,0))),TRUE,FALSE)</f>
        <v/>
      </c>
      <c r="AS242" s="32">
        <f>IFERROR(Upgrades!$H$6*(POWER(Upgrades!$P$6,E242)*POWER(Upgrades!$P$7,F242)*POWER(Upgrades!$P$8,G242)*POWER(Upgrades!$P$9,H242)*POWER(Upgrades!$P$10,I242)*POWER(Upgrades!$P$11,J242)*POWER(Upgrades!$P$12,K242))*(IF(Upgrades!$T$7="Solar Wind",POWER(Upgrades!$U$7,F242),1)*IF(Upgrades!$T$8="Solar Wind",POWER(Upgrades!$U$8,G242),1)*IF(Upgrades!$T$9="Solar Wind",POWER(Upgrades!$U$9,H242),1)*IF(Upgrades!$T$10="Solar Wind",POWER(Upgrades!$U$10,I242),1)*IF(Upgrades!$T$11="Solar Wind",POWER(Upgrades!$U$11,J242),1)*IF(Upgrades!$T$12="Solar Wind",POWER(Upgrades!$U$12,K242),1))/AG242,0)</f>
        <v/>
      </c>
      <c r="AT242" s="32">
        <f>IFERROR(Upgrades!$H$7*(POWER(Upgrades!$P$6,E242)*POWER(Upgrades!$P$7,F242)*POWER(Upgrades!$P$8,G242)*POWER(Upgrades!$P$9,H242)*POWER(Upgrades!$P$10,I242)*POWER(Upgrades!$P$11,J242)*POWER(Upgrades!$P$12,K242))*(IF(Upgrades!$T$6="Asteroid Belt",POWER(Upgrades!$U$6,E242),1)*IF(Upgrades!$T$8="Asteroid Belt",POWER(Upgrades!$U$8,G242),1)*IF(Upgrades!$T$9="Asteroid Belt",POWER(Upgrades!$U$9,H242),1)*IF(Upgrades!$T$10="Asteroid Belt",POWER(Upgrades!$U$10,I242),1)*IF(Upgrades!$T$11="Asteroid Belt",POWER(Upgrades!$U$11,J242),1)*IF(Upgrades!$T$12="Asteroid Belt",POWER(Upgrades!$U$12,K242),1))/AH242,0)</f>
        <v/>
      </c>
      <c r="AU242" s="32">
        <f>IFERROR(Upgrades!$K$8*(POWER(Upgrades!$Q$6,E242)*POWER(Upgrades!$Q$7,F242)*POWER(Upgrades!$Q$8,G242)*POWER(Upgrades!$Q$9,H242)*POWER(Upgrades!$Q$10,I242)*POWER(Upgrades!$Q$11,J242)*POWER(Upgrades!$Q$12,K242))*(IF(Upgrades!$T$6="Stellar Coupling",POWER(Upgrades!$U$6,E242),1)*IF(Upgrades!$T$7="Stellar Coupling",POWER(Upgrades!$U$7,F242),1)*IF(Upgrades!$T$9="Stellar Coupling",POWER(Upgrades!$U$9,H242),1)*IF(Upgrades!$T$10="Stellar Coupling",POWER(Upgrades!$U$10,I242),1)*IF(Upgrades!$T$11="Stellar Coupling",POWER(Upgrades!$U$11,J242),1)*IF(Upgrades!$T$12="Stellar Coupling",POWER(Upgrades!$U$12,K242),1))*Parameters!$B$10*Parameters!$B$11/60/AI242,0)</f>
        <v/>
      </c>
      <c r="AV242" s="32">
        <f>IFERROR(Upgrades!$H$9*(POWER(Upgrades!$P$6,E242)*POWER(Upgrades!$P$7,F242)*POWER(Upgrades!$P$8,G242)*POWER(Upgrades!$P$9,H242)*POWER(Upgrades!$P$10,I242)*POWER(Upgrades!$P$11,J242)*POWER(Upgrades!$P$12,K242))*(IF(Upgrades!$T$6="Magnetosphere",POWER(Upgrades!$U$6,E242),1)*IF(Upgrades!$T$7="Magnetosphere",POWER(Upgrades!$U$7,F242),1)*IF(Upgrades!$T$8="Magnetosphere",POWER(Upgrades!$U$8,G242),1)*IF(Upgrades!$T$10="Magnetosphere",POWER(Upgrades!$U$10,I242),1)*IF(Upgrades!$T$11="Magnetosphere",POWER(Upgrades!$U$11,J242),1)*IF(Upgrades!$T$12="Magnetosphere",POWER(Upgrades!$U$12,K242),1))/AJ242,0)</f>
        <v/>
      </c>
      <c r="AW242" s="32">
        <f>MAX(IF(I242&gt;0,0,IFERROR(0.25*N242/Upgrades!$C$10,0)),IF(J242&gt;0,0,IFERROR(0.5*((IF(G242=0,0,(Upgrades!$J$8+G242*Upgrades!$K$8)*POWER(Upgrades!$L$8,G242)))*(IF(Upgrades!$T$6="Stellar Coupling",POWER(Upgrades!$U$6,E242),1)*IF(Upgrades!$T$7="Stellar Coupling",POWER(Upgrades!$U$7,F242),1)*IF(Upgrades!$T$9="Stellar Coupling",POWER(Upgrades!$U$9,H242),1)*IF(Upgrades!$T$10="Stellar Coupling",POWER(Upgrades!$U$10,I242),1)*IF(Upgrades!$T$11="Stellar Coupling",POWER(Upgrades!$U$11,J242),1)*IF(Upgrades!$T$12="Stellar Coupling",POWER(Upgrades!$U$12,K242),1))*(POWER(Upgrades!$Q$6,E242)*POWER(Upgrades!$Q$7,F242)*POWER(Upgrades!$Q$8,G242)*POWER(Upgrades!$Q$9,H242)*POWER(Upgrades!$Q$10,I242)*POWER(Upgrades!$Q$11,J242)*POWER(Upgrades!$Q$12,K242))*Parameters!$B$10*Parameters!$B$11/60)/Upgrades!$C$11,0)),IF(K242&gt;0,0,IFERROR((1.0*(POWER(Upgrades!$P$6,E242)*POWER(Upgrades!$P$7,F242)*POWER(Upgrades!$P$8,G242)*POWER(Upgrades!$P$9,H242)*POWER(Upgrades!$P$10,I242)*POWER(Upgrades!$P$11,J242)*POWER(Upgrades!$P$12,K242))+0.20*M242*Parameters!$B$10*Parameters!$B$11/60)/Upgrades!$C$12,0)),IF(AND(ISNUMBER(AG242),AG242&gt;T242),AS242,0),IF(AND(ISNUMBER(AH242),AH242&gt;T242),AT242,0),IF(AND(ISNUMBER(AI242),AI242&gt;T242),AU242,0),IF(AND(ISNUMBER(AJ242),AJ242&gt;T242),AV242,0))</f>
        <v/>
      </c>
      <c r="AX242" s="29">
        <f>IF(AN242=1,"transition",IF(MIN(IF(AND(I242=0,ISNUMBER(AK242),AK242&lt;=T242),AK242,9E15),IF(AND(J242=0,ISNUMBER(AL242),AL242&lt;=T242),AL242,9E15),IF(AND(K242=0,ISNUMBER(AM242),AM242&lt;=T242),AM242,9E15))&lt;9E15,IF(AND(AND(I242=0,ISNUMBER(AK242),AK242&lt;=T242),AK242=MIN(IF(AND(I242=0,ISNUMBER(AK242),AK242&lt;=T242),AK242,9E15),IF(AND(J242=0,ISNUMBER(AL242),AL242&lt;=T242),AL242,9E15),IF(AND(K242=0,ISNUMBER(AM242),AM242&lt;=T242),AM242,9E15))),"OR",IF(AND(AND(J242=0,ISNUMBER(AL242),AL242&lt;=T242),AL242=MIN(IF(AND(I242=0,ISNUMBER(AK242),AK242&lt;=T242),AK242,9E15),IF(AND(J242=0,ISNUMBER(AL242),AL242&lt;=T242),AL242,9E15),IF(AND(K242=0,ISNUMBER(AM242),AM242&lt;=T242),AM242,9E15))),"HP","FP")),IF(AR242=TRUE,"",IF(MAX(IF(AND(NOT(AND(AO242=1,AN242&lt;&gt;1)),ISNUMBER(AG242),AG242&lt;=T242),AS242,0),IF(AND(NOT(AND(AO242=1,AN242&lt;&gt;1)),ISNUMBER(AH242),AH242&lt;=T242),AT242,0),IF(AND(NOT(AND(AO242=1,AN242&lt;&gt;1)),ISNUMBER(AI242),AI242&lt;=T242),AU242,0),IF(AND(ISNUMBER(AJ242),AJ242&lt;=T242),AV242,0))&lt;=0,"",IF(AND(IF(AND(NOT(AND(AO242=1,AN242&lt;&gt;1)),ISNUMBER(AG242),AG242&lt;=T242),AS242,0)&gt;0,IF(AND(NOT(AND(AO242=1,AN242&lt;&gt;1)),ISNUMBER(AG242),AG242&lt;=T242),AS242,0)=MAX(IF(AND(NOT(AND(AO242=1,AN242&lt;&gt;1)),ISNUMBER(AG242),AG242&lt;=T242),AS242,0),IF(AND(NOT(AND(AO242=1,AN242&lt;&gt;1)),ISNUMBER(AH242),AH242&lt;=T242),AT242,0),IF(AND(NOT(AND(AO242=1,AN242&lt;&gt;1)),ISNUMBER(AI242),AI242&lt;=T242),AU242,0),IF(AND(ISNUMBER(AJ242),AJ242&lt;=T242),AV242,0))),"SW",IF(AND(IF(AND(NOT(AND(AO242=1,AN242&lt;&gt;1)),ISNUMBER(AH242),AH242&lt;=T242),AT242,0)&gt;0,IF(AND(NOT(AND(AO242=1,AN242&lt;&gt;1)),ISNUMBER(AH242),AH242&lt;=T242),AT242,0)=MAX(IF(AND(NOT(AND(AO242=1,AN242&lt;&gt;1)),ISNUMBER(AG242),AG242&lt;=T242),AS242,0),IF(AND(NOT(AND(AO242=1,AN242&lt;&gt;1)),ISNUMBER(AH242),AH242&lt;=T242),AT242,0),IF(AND(NOT(AND(AO242=1,AN242&lt;&gt;1)),ISNUMBER(AI242),AI242&lt;=T242),AU242,0),IF(AND(ISNUMBER(AJ242),AJ242&lt;=T242),AV242,0))),"AB",IF(AND(IF(AND(NOT(AND(AO242=1,AN242&lt;&gt;1)),ISNUMBER(AI242),AI242&lt;=T242),AU242,0)&gt;0,IF(AND(NOT(AND(AO242=1,AN242&lt;&gt;1)),ISNUMBER(AI242),AI242&lt;=T242),AU242,0)=MAX(IF(AND(NOT(AND(AO242=1,AN242&lt;&gt;1)),ISNUMBER(AG242),AG242&lt;=T242),AS242,0),IF(AND(NOT(AND(AO242=1,AN242&lt;&gt;1)),ISNUMBER(AH242),AH242&lt;=T242),AT242,0),IF(AND(NOT(AND(AO242=1,AN242&lt;&gt;1)),ISNUMBER(AI242),AI242&lt;=T242),AU242,0),IF(AND(ISNUMBER(AJ242),AJ242&lt;=T242),AV242,0))),"SC","Mag")))))))</f>
        <v/>
      </c>
    </row>
    <row r="243">
      <c r="A243" s="26" t="n">
        <v>238</v>
      </c>
      <c r="B243" s="27">
        <f>A243*10/60</f>
        <v/>
      </c>
      <c r="C243" s="22">
        <f>X242</f>
        <v/>
      </c>
      <c r="D243" s="27">
        <f>D242+W242</f>
        <v/>
      </c>
      <c r="E243" s="26">
        <f>E242+IF(U242="SW",1,0)</f>
        <v/>
      </c>
      <c r="F243" s="26">
        <f>F242+IF(U242="AB",1,0)</f>
        <v/>
      </c>
      <c r="G243" s="26">
        <f>G242+IF(U242="SC",1,0)</f>
        <v/>
      </c>
      <c r="H243" s="26">
        <f>H242+IF(U242="Mag",1,0)</f>
        <v/>
      </c>
      <c r="I243" s="26">
        <f>MAX(I242,IF(U242="OR",1,0))</f>
        <v/>
      </c>
      <c r="J243" s="26">
        <f>MAX(J242,IF(U242="HP",1,0))</f>
        <v/>
      </c>
      <c r="K243" s="26">
        <f>MAX(K242,IF(U242="FP",1,0))</f>
        <v/>
      </c>
      <c r="L243" s="26">
        <f>MAX(L242,IF(U242="transition",1,0))</f>
        <v/>
      </c>
      <c r="M243" s="28">
        <f>(Parameters!$B$9+(IF(E243=0,0,(Upgrades!$J$6+E243*Upgrades!$K$6)*POWER(Upgrades!$L$6,E243)))*(IF(Upgrades!$T$7="Solar Wind",POWER(Upgrades!$U$7,F243),1)*IF(Upgrades!$T$8="Solar Wind",POWER(Upgrades!$U$8,G243),1)*IF(Upgrades!$T$9="Solar Wind",POWER(Upgrades!$U$9,H243),1)*IF(Upgrades!$T$10="Solar Wind",POWER(Upgrades!$U$10,I243),1)*IF(Upgrades!$T$11="Solar Wind",POWER(Upgrades!$U$11,J243),1)*IF(Upgrades!$T$12="Solar Wind",POWER(Upgrades!$U$12,K243),1))+(IF(F243=0,0,(Upgrades!$J$7+F243*Upgrades!$K$7)*POWER(Upgrades!$L$7,F243)))*(IF(Upgrades!$T$6="Asteroid Belt",POWER(Upgrades!$U$6,E243),1)*IF(Upgrades!$T$8="Asteroid Belt",POWER(Upgrades!$U$8,G243),1)*IF(Upgrades!$T$9="Asteroid Belt",POWER(Upgrades!$U$9,H243),1)*IF(Upgrades!$T$10="Asteroid Belt",POWER(Upgrades!$U$10,I243),1)*IF(Upgrades!$T$11="Asteroid Belt",POWER(Upgrades!$U$11,J243),1)*IF(Upgrades!$T$12="Asteroid Belt",POWER(Upgrades!$U$12,K243),1))+(IF(G243=0,0,(Upgrades!$J$8+G243*Upgrades!$K$8)*POWER(Upgrades!$L$8,G243)))*(IF(Upgrades!$T$6="Stellar Coupling",POWER(Upgrades!$U$6,E243),1)*IF(Upgrades!$T$7="Stellar Coupling",POWER(Upgrades!$U$7,F243),1)*IF(Upgrades!$T$9="Stellar Coupling",POWER(Upgrades!$U$9,H243),1)*IF(Upgrades!$T$10="Stellar Coupling",POWER(Upgrades!$U$10,I243),1)*IF(Upgrades!$T$11="Stellar Coupling",POWER(Upgrades!$U$11,J243),1)*IF(Upgrades!$T$12="Stellar Coupling",POWER(Upgrades!$U$12,K243),1))+(IF(H243=0,0,(Upgrades!$J$9+H243*Upgrades!$K$9)*POWER(Upgrades!$L$9,H243)))*(IF(Upgrades!$T$6="Magnetosphere",POWER(Upgrades!$U$6,E243),1)*IF(Upgrades!$T$7="Magnetosphere",POWER(Upgrades!$U$7,F243),1)*IF(Upgrades!$T$8="Magnetosphere",POWER(Upgrades!$U$8,G243),1)*IF(Upgrades!$T$10="Magnetosphere",POWER(Upgrades!$U$10,I243),1)*IF(Upgrades!$T$11="Magnetosphere",POWER(Upgrades!$U$11,J243),1)*IF(Upgrades!$T$12="Magnetosphere",POWER(Upgrades!$U$12,K243),1))+(IF(I243=0,0,(Upgrades!$J$10+I243*Upgrades!$K$10)*POWER(Upgrades!$L$10,I243)))*(IF(Upgrades!$T$6="Orbital Resonance",POWER(Upgrades!$U$6,E243),1)*IF(Upgrades!$T$7="Orbital Resonance",POWER(Upgrades!$U$7,F243),1)*IF(Upgrades!$T$8="Orbital Resonance",POWER(Upgrades!$U$8,G243),1)*IF(Upgrades!$T$9="Orbital Resonance",POWER(Upgrades!$U$9,H243),1)*IF(Upgrades!$T$11="Orbital Resonance",POWER(Upgrades!$U$11,J243),1)*IF(Upgrades!$T$12="Orbital Resonance",POWER(Upgrades!$U$12,K243),1))+(IF(J243=0,0,(Upgrades!$J$11+J243*Upgrades!$K$11)*POWER(Upgrades!$L$11,J243)))*(IF(Upgrades!$T$6="Heliopause",POWER(Upgrades!$U$6,E243),1)*IF(Upgrades!$T$7="Heliopause",POWER(Upgrades!$U$7,F243),1)*IF(Upgrades!$T$8="Heliopause",POWER(Upgrades!$U$8,G243),1)*IF(Upgrades!$T$9="Heliopause",POWER(Upgrades!$U$9,H243),1)*IF(Upgrades!$T$10="Heliopause",POWER(Upgrades!$U$10,I243),1)*IF(Upgrades!$T$12="Heliopause",POWER(Upgrades!$U$12,K243),1))+(IF(K243=0,0,(Upgrades!$J$12+K243*Upgrades!$K$12)*POWER(Upgrades!$L$12,K243)))*(IF(Upgrades!$T$6="First Photons",POWER(Upgrades!$U$6,E243),1)*IF(Upgrades!$T$7="First Photons",POWER(Upgrades!$U$7,F243),1)*IF(Upgrades!$T$8="First Photons",POWER(Upgrades!$U$8,G243),1)*IF(Upgrades!$T$9="First Photons",POWER(Upgrades!$U$9,H243),1)*IF(Upgrades!$T$10="First Photons",POWER(Upgrades!$U$10,I243),1)*IF(Upgrades!$T$11="First Photons",POWER(Upgrades!$U$11,J243),1)))*POWER(Upgrades!$Q$6,E243)*POWER(Upgrades!$Q$7,F243)*POWER(Upgrades!$Q$8,G243)*POWER(Upgrades!$Q$9,H243)*POWER(Upgrades!$Q$10,I243)*POWER(Upgrades!$Q$11,J243)*POWER(Upgrades!$Q$12,K243)</f>
        <v/>
      </c>
      <c r="N243" s="28">
        <f>((IF(E243=0,0,(Upgrades!$G$6+E243*Upgrades!$H$6)*POWER(Upgrades!$I$6,E243)))*(IF(Upgrades!$T$7="Solar Wind",POWER(Upgrades!$U$7,F243),1)*IF(Upgrades!$T$8="Solar Wind",POWER(Upgrades!$U$8,G243),1)*IF(Upgrades!$T$9="Solar Wind",POWER(Upgrades!$U$9,H243),1)*IF(Upgrades!$T$10="Solar Wind",POWER(Upgrades!$U$10,I243),1)*IF(Upgrades!$T$11="Solar Wind",POWER(Upgrades!$U$11,J243),1)*IF(Upgrades!$T$12="Solar Wind",POWER(Upgrades!$U$12,K243),1))+(IF(F243=0,0,(Upgrades!$G$7+F243*Upgrades!$H$7)*POWER(Upgrades!$I$7,F243)))*(IF(Upgrades!$T$6="Asteroid Belt",POWER(Upgrades!$U$6,E243),1)*IF(Upgrades!$T$8="Asteroid Belt",POWER(Upgrades!$U$8,G243),1)*IF(Upgrades!$T$9="Asteroid Belt",POWER(Upgrades!$U$9,H243),1)*IF(Upgrades!$T$10="Asteroid Belt",POWER(Upgrades!$U$10,I243),1)*IF(Upgrades!$T$11="Asteroid Belt",POWER(Upgrades!$U$11,J243),1)*IF(Upgrades!$T$12="Asteroid Belt",POWER(Upgrades!$U$12,K243),1))+(IF(G243=0,0,(Upgrades!$G$8+G243*Upgrades!$H$8)*POWER(Upgrades!$I$8,G243)))*(IF(Upgrades!$T$6="Stellar Coupling",POWER(Upgrades!$U$6,E243),1)*IF(Upgrades!$T$7="Stellar Coupling",POWER(Upgrades!$U$7,F243),1)*IF(Upgrades!$T$9="Stellar Coupling",POWER(Upgrades!$U$9,H243),1)*IF(Upgrades!$T$10="Stellar Coupling",POWER(Upgrades!$U$10,I243),1)*IF(Upgrades!$T$11="Stellar Coupling",POWER(Upgrades!$U$11,J243),1)*IF(Upgrades!$T$12="Stellar Coupling",POWER(Upgrades!$U$12,K243),1))+(IF(H243=0,0,(Upgrades!$G$9+H243*Upgrades!$H$9)*POWER(Upgrades!$I$9,H243)))*(IF(Upgrades!$T$6="Magnetosphere",POWER(Upgrades!$U$6,E243),1)*IF(Upgrades!$T$7="Magnetosphere",POWER(Upgrades!$U$7,F243),1)*IF(Upgrades!$T$8="Magnetosphere",POWER(Upgrades!$U$8,G243),1)*IF(Upgrades!$T$10="Magnetosphere",POWER(Upgrades!$U$10,I243),1)*IF(Upgrades!$T$11="Magnetosphere",POWER(Upgrades!$U$11,J243),1)*IF(Upgrades!$T$12="Magnetosphere",POWER(Upgrades!$U$12,K243),1))+(IF(I243=0,0,(Upgrades!$G$10+I243*Upgrades!$H$10)*POWER(Upgrades!$I$10,I243)))*(IF(Upgrades!$T$6="Orbital Resonance",POWER(Upgrades!$U$6,E243),1)*IF(Upgrades!$T$7="Orbital Resonance",POWER(Upgrades!$U$7,F243),1)*IF(Upgrades!$T$8="Orbital Resonance",POWER(Upgrades!$U$8,G243),1)*IF(Upgrades!$T$9="Orbital Resonance",POWER(Upgrades!$U$9,H243),1)*IF(Upgrades!$T$11="Orbital Resonance",POWER(Upgrades!$U$11,J243),1)*IF(Upgrades!$T$12="Orbital Resonance",POWER(Upgrades!$U$12,K243),1))+(IF(J243=0,0,(Upgrades!$G$11+J243*Upgrades!$H$11)*POWER(Upgrades!$I$11,J243)))*(IF(Upgrades!$T$6="Heliopause",POWER(Upgrades!$U$6,E243),1)*IF(Upgrades!$T$7="Heliopause",POWER(Upgrades!$U$7,F243),1)*IF(Upgrades!$T$8="Heliopause",POWER(Upgrades!$U$8,G243),1)*IF(Upgrades!$T$9="Heliopause",POWER(Upgrades!$U$9,H243),1)*IF(Upgrades!$T$10="Heliopause",POWER(Upgrades!$U$10,I243),1)*IF(Upgrades!$T$12="Heliopause",POWER(Upgrades!$U$12,K243),1))+(IF(K243=0,0,(Upgrades!$G$12+K243*Upgrades!$H$12)*POWER(Upgrades!$I$12,K243)))*(IF(Upgrades!$T$6="First Photons",POWER(Upgrades!$U$6,E243),1)*IF(Upgrades!$T$7="First Photons",POWER(Upgrades!$U$7,F243),1)*IF(Upgrades!$T$8="First Photons",POWER(Upgrades!$U$8,G243),1)*IF(Upgrades!$T$9="First Photons",POWER(Upgrades!$U$9,H243),1)*IF(Upgrades!$T$10="First Photons",POWER(Upgrades!$U$10,I243),1)*IF(Upgrades!$T$11="First Photons",POWER(Upgrades!$U$11,J243),1)))*POWER(Upgrades!$P$6,E243)*POWER(Upgrades!$P$7,F243)*POWER(Upgrades!$P$8,G243)*POWER(Upgrades!$P$9,H243)*POWER(Upgrades!$P$10,I243)*POWER(Upgrades!$P$11,J243)*POWER(Upgrades!$P$12,K243)</f>
        <v/>
      </c>
      <c r="O243" s="28">
        <f>((IF(E243=0,0,(Upgrades!$M$6+E243*Upgrades!$N$6)*POWER(Upgrades!$O$6,E243)))*(IF(Upgrades!$T$7="Solar Wind",POWER(Upgrades!$U$7,F243),1)*IF(Upgrades!$T$8="Solar Wind",POWER(Upgrades!$U$8,G243),1)*IF(Upgrades!$T$9="Solar Wind",POWER(Upgrades!$U$9,H243),1)*IF(Upgrades!$T$10="Solar Wind",POWER(Upgrades!$U$10,I243),1)*IF(Upgrades!$T$11="Solar Wind",POWER(Upgrades!$U$11,J243),1)*IF(Upgrades!$T$12="Solar Wind",POWER(Upgrades!$U$12,K243),1))+(IF(F243=0,0,(Upgrades!$M$7+F243*Upgrades!$N$7)*POWER(Upgrades!$O$7,F243)))*(IF(Upgrades!$T$6="Asteroid Belt",POWER(Upgrades!$U$6,E243),1)*IF(Upgrades!$T$8="Asteroid Belt",POWER(Upgrades!$U$8,G243),1)*IF(Upgrades!$T$9="Asteroid Belt",POWER(Upgrades!$U$9,H243),1)*IF(Upgrades!$T$10="Asteroid Belt",POWER(Upgrades!$U$10,I243),1)*IF(Upgrades!$T$11="Asteroid Belt",POWER(Upgrades!$U$11,J243),1)*IF(Upgrades!$T$12="Asteroid Belt",POWER(Upgrades!$U$12,K243),1))+(IF(G243=0,0,(Upgrades!$M$8+G243*Upgrades!$N$8)*POWER(Upgrades!$O$8,G243)))*(IF(Upgrades!$T$6="Stellar Coupling",POWER(Upgrades!$U$6,E243),1)*IF(Upgrades!$T$7="Stellar Coupling",POWER(Upgrades!$U$7,F243),1)*IF(Upgrades!$T$9="Stellar Coupling",POWER(Upgrades!$U$9,H243),1)*IF(Upgrades!$T$10="Stellar Coupling",POWER(Upgrades!$U$10,I243),1)*IF(Upgrades!$T$11="Stellar Coupling",POWER(Upgrades!$U$11,J243),1)*IF(Upgrades!$T$12="Stellar Coupling",POWER(Upgrades!$U$12,K243),1))+(IF(H243=0,0,(Upgrades!$M$9+H243*Upgrades!$N$9)*POWER(Upgrades!$O$9,H243)))*(IF(Upgrades!$T$6="Magnetosphere",POWER(Upgrades!$U$6,E243),1)*IF(Upgrades!$T$7="Magnetosphere",POWER(Upgrades!$U$7,F243),1)*IF(Upgrades!$T$8="Magnetosphere",POWER(Upgrades!$U$8,G243),1)*IF(Upgrades!$T$10="Magnetosphere",POWER(Upgrades!$U$10,I243),1)*IF(Upgrades!$T$11="Magnetosphere",POWER(Upgrades!$U$11,J243),1)*IF(Upgrades!$T$12="Magnetosphere",POWER(Upgrades!$U$12,K243),1))+(IF(I243=0,0,(Upgrades!$M$10+I243*Upgrades!$N$10)*POWER(Upgrades!$O$10,I243)))*(IF(Upgrades!$T$6="Orbital Resonance",POWER(Upgrades!$U$6,E243),1)*IF(Upgrades!$T$7="Orbital Resonance",POWER(Upgrades!$U$7,F243),1)*IF(Upgrades!$T$8="Orbital Resonance",POWER(Upgrades!$U$8,G243),1)*IF(Upgrades!$T$9="Orbital Resonance",POWER(Upgrades!$U$9,H243),1)*IF(Upgrades!$T$11="Orbital Resonance",POWER(Upgrades!$U$11,J243),1)*IF(Upgrades!$T$12="Orbital Resonance",POWER(Upgrades!$U$12,K243),1))+(IF(J243=0,0,(Upgrades!$M$11+J243*Upgrades!$N$11)*POWER(Upgrades!$O$11,J243)))*(IF(Upgrades!$T$6="Heliopause",POWER(Upgrades!$U$6,E243),1)*IF(Upgrades!$T$7="Heliopause",POWER(Upgrades!$U$7,F243),1)*IF(Upgrades!$T$8="Heliopause",POWER(Upgrades!$U$8,G243),1)*IF(Upgrades!$T$9="Heliopause",POWER(Upgrades!$U$9,H243),1)*IF(Upgrades!$T$10="Heliopause",POWER(Upgrades!$U$10,I243),1)*IF(Upgrades!$T$12="Heliopause",POWER(Upgrades!$U$12,K243),1))+(IF(K243=0,0,(Upgrades!$M$12+K243*Upgrades!$N$12)*POWER(Upgrades!$O$12,K243)))*(IF(Upgrades!$T$6="First Photons",POWER(Upgrades!$U$6,E243),1)*IF(Upgrades!$T$7="First Photons",POWER(Upgrades!$U$7,F243),1)*IF(Upgrades!$T$8="First Photons",POWER(Upgrades!$U$8,G243),1)*IF(Upgrades!$T$9="First Photons",POWER(Upgrades!$U$9,H243),1)*IF(Upgrades!$T$10="First Photons",POWER(Upgrades!$U$10,I243),1)*IF(Upgrades!$T$11="First Photons",POWER(Upgrades!$U$11,J243),1)))*POWER(Upgrades!$R$6,E243)*POWER(Upgrades!$R$7,F243)*POWER(Upgrades!$R$8,G243)*POWER(Upgrades!$R$9,H243)*POWER(Upgrades!$R$10,I243)*POWER(Upgrades!$R$11,J243)*POWER(Upgrades!$R$12,K243)</f>
        <v/>
      </c>
      <c r="P243" s="27">
        <f>IF(L243=1,0,M243*Parameters!$B$10/60*Parameters!$B$11*10)</f>
        <v/>
      </c>
      <c r="Q243" s="27">
        <f>IF(L243=1,0,O243*M243*10)</f>
        <v/>
      </c>
      <c r="R243" s="27">
        <f>IF(L243=1,0,N243*10)</f>
        <v/>
      </c>
      <c r="S243" s="27">
        <f>P243+Q243+R243</f>
        <v/>
      </c>
      <c r="T243" s="22">
        <f>C243+S243</f>
        <v/>
      </c>
      <c r="U243" s="33">
        <f>AX243</f>
        <v/>
      </c>
      <c r="V243" s="22">
        <f>IF(U243="",0,IF(U243="transition",0,IF(U243="SW",AG243,IF(U243="AB",AH243,IF(U243="SC",AI243,IF(U243="Mag",AJ243,IF(U243="OR",AK243,IF(U243="HP",AL243,IF(U243="FP",AM243,0)))))))))</f>
        <v/>
      </c>
      <c r="W243" s="27">
        <f>IF(U243="OR",Upgrades!$F$10,IF(U243="HP",Upgrades!$F$11,IF(U243="transition",-Parameters!$B$18,0)))</f>
        <v/>
      </c>
      <c r="X243" s="22">
        <f>T243-V243</f>
        <v/>
      </c>
      <c r="Y243" s="30">
        <f>M243*Parameters!$B$10/60*Parameters!$B$11+O243*M243+N243</f>
        <v/>
      </c>
      <c r="Z243" s="34">
        <f>IF(U243="transition","→ Tier 2 (Stellar Neighborhood)",IF(U243="FP","First Photons — light begins, system quickens",IF(U243="HP","Heliopause acquired",IF(U243="OR","Orbital Resonance — passive multiplier active",IF(AND(AO243=1,L243=0,AN243&lt;&gt;1),"Cohesion ready (waiting on completionist upgrades)","")))))</f>
        <v/>
      </c>
      <c r="AA243" s="27">
        <f>(IF(E243=0,0,(Upgrades!$G$6+E243*Upgrades!$H$6)*POWER(Upgrades!$I$6,E243)))*(IF(Upgrades!$T$7="Solar Wind",POWER(Upgrades!$U$7,F243),1)*IF(Upgrades!$T$8="Solar Wind",POWER(Upgrades!$U$8,G243),1)*IF(Upgrades!$T$9="Solar Wind",POWER(Upgrades!$U$9,H243),1)*IF(Upgrades!$T$10="Solar Wind",POWER(Upgrades!$U$10,I243),1)*IF(Upgrades!$T$11="Solar Wind",POWER(Upgrades!$U$11,J243),1)*IF(Upgrades!$T$12="Solar Wind",POWER(Upgrades!$U$12,K243),1))*POWER(Upgrades!$P$6,E243)*POWER(Upgrades!$P$7,F243)*POWER(Upgrades!$P$8,G243)*POWER(Upgrades!$P$9,H243)*POWER(Upgrades!$P$10,I243)*POWER(Upgrades!$P$11,J243)*POWER(Upgrades!$P$12,K243)*60</f>
        <v/>
      </c>
      <c r="AB243" s="27">
        <f>(IF(F243=0,0,(Upgrades!$G$7+F243*Upgrades!$H$7)*POWER(Upgrades!$I$7,F243)))*(IF(Upgrades!$T$6="Asteroid Belt",POWER(Upgrades!$U$6,E243),1)*IF(Upgrades!$T$8="Asteroid Belt",POWER(Upgrades!$U$8,G243),1)*IF(Upgrades!$T$9="Asteroid Belt",POWER(Upgrades!$U$9,H243),1)*IF(Upgrades!$T$10="Asteroid Belt",POWER(Upgrades!$U$10,I243),1)*IF(Upgrades!$T$11="Asteroid Belt",POWER(Upgrades!$U$11,J243),1)*IF(Upgrades!$T$12="Asteroid Belt",POWER(Upgrades!$U$12,K243),1))*POWER(Upgrades!$P$6,E243)*POWER(Upgrades!$P$7,F243)*POWER(Upgrades!$P$8,G243)*POWER(Upgrades!$P$9,H243)*POWER(Upgrades!$P$10,I243)*POWER(Upgrades!$P$11,J243)*POWER(Upgrades!$P$12,K243)*60</f>
        <v/>
      </c>
      <c r="AC243" s="27">
        <f>(IF(G243=0,0,(Upgrades!$J$8+G243*Upgrades!$K$8)*POWER(Upgrades!$L$8,G243)))*(IF(Upgrades!$T$6="Stellar Coupling",POWER(Upgrades!$U$6,E243),1)*IF(Upgrades!$T$7="Stellar Coupling",POWER(Upgrades!$U$7,F243),1)*IF(Upgrades!$T$9="Stellar Coupling",POWER(Upgrades!$U$9,H243),1)*IF(Upgrades!$T$10="Stellar Coupling",POWER(Upgrades!$U$10,I243),1)*IF(Upgrades!$T$11="Stellar Coupling",POWER(Upgrades!$U$11,J243),1)*IF(Upgrades!$T$12="Stellar Coupling",POWER(Upgrades!$U$12,K243),1))*POWER(Upgrades!$Q$6,E243)*POWER(Upgrades!$Q$7,F243)*POWER(Upgrades!$Q$8,G243)*POWER(Upgrades!$Q$9,H243)*POWER(Upgrades!$Q$10,I243)*POWER(Upgrades!$Q$11,J243)*POWER(Upgrades!$Q$12,K243)*Parameters!$B$10*Parameters!$B$11</f>
        <v/>
      </c>
      <c r="AD243" s="27">
        <f>(IF(H243=0,0,(Upgrades!$G$9+H243*Upgrades!$H$9)*POWER(Upgrades!$I$9,H243)))*(IF(Upgrades!$T$6="Magnetosphere",POWER(Upgrades!$U$6,E243),1)*IF(Upgrades!$T$7="Magnetosphere",POWER(Upgrades!$U$7,F243),1)*IF(Upgrades!$T$8="Magnetosphere",POWER(Upgrades!$U$8,G243),1)*IF(Upgrades!$T$10="Magnetosphere",POWER(Upgrades!$U$10,I243),1)*IF(Upgrades!$T$11="Magnetosphere",POWER(Upgrades!$U$11,J243),1)*IF(Upgrades!$T$12="Magnetosphere",POWER(Upgrades!$U$12,K243),1))*POWER(Upgrades!$P$6,E243)*POWER(Upgrades!$P$7,F243)*POWER(Upgrades!$P$8,G243)*POWER(Upgrades!$P$9,H243)*POWER(Upgrades!$P$10,I243)*POWER(Upgrades!$P$11,J243)*POWER(Upgrades!$P$12,K243)*60</f>
        <v/>
      </c>
      <c r="AE243" s="27">
        <f>(IF(K243=0,0,(Upgrades!$G$12+K243*Upgrades!$H$12)*POWER(Upgrades!$I$12,K243)))*(IF(Upgrades!$T$6="First Photons",POWER(Upgrades!$U$6,E243),1)*IF(Upgrades!$T$7="First Photons",POWER(Upgrades!$U$7,F243),1)*IF(Upgrades!$T$8="First Photons",POWER(Upgrades!$U$8,G243),1)*IF(Upgrades!$T$9="First Photons",POWER(Upgrades!$U$9,H243),1)*IF(Upgrades!$T$10="First Photons",POWER(Upgrades!$U$10,I243),1)*IF(Upgrades!$T$11="First Photons",POWER(Upgrades!$U$11,J243),1))*POWER(Upgrades!$P$6,E243)*POWER(Upgrades!$P$7,F243)*POWER(Upgrades!$P$8,G243)*POWER(Upgrades!$P$9,H243)*POWER(Upgrades!$P$10,I243)*POWER(Upgrades!$P$11,J243)*POWER(Upgrades!$P$12,K243)*60</f>
        <v/>
      </c>
      <c r="AF243" s="27">
        <f>Parameters!$B$9*POWER(Upgrades!$Q$6,E243)*POWER(Upgrades!$Q$7,F243)*POWER(Upgrades!$Q$8,G243)*POWER(Upgrades!$Q$9,H243)*POWER(Upgrades!$Q$10,I243)*POWER(Upgrades!$Q$11,J243)*POWER(Upgrades!$Q$12,K243)*(Parameters!$B$10*Parameters!$B$11+O243*60)</f>
        <v/>
      </c>
      <c r="AG243" s="22">
        <f>IF(E243&gt;=Upgrades!$E$6,"",Upgrades!$C$6*POWER(Upgrades!$D$6,E243))</f>
        <v/>
      </c>
      <c r="AH243" s="22">
        <f>IF(F243&gt;=Upgrades!$E$7,"",Upgrades!$C$7*POWER(Upgrades!$D$7,F243))</f>
        <v/>
      </c>
      <c r="AI243" s="22">
        <f>IF(G243&gt;=Upgrades!$E$8,"",Upgrades!$C$8*POWER(Upgrades!$D$8,G243))</f>
        <v/>
      </c>
      <c r="AJ243" s="22">
        <f>IF(H243&gt;=Upgrades!$E$9,"",Upgrades!$C$9*POWER(Upgrades!$D$9,H243))</f>
        <v/>
      </c>
      <c r="AK243" s="22">
        <f>IF(I243&gt;=Upgrades!$E$10,"",Upgrades!$C$10*POWER(Upgrades!$D$10,I243))</f>
        <v/>
      </c>
      <c r="AL243" s="22">
        <f>IF(J243&gt;=Upgrades!$E$11,"",Upgrades!$C$11*POWER(Upgrades!$D$11,J243))</f>
        <v/>
      </c>
      <c r="AM243" s="22">
        <f>IF(K243&gt;=Upgrades!$E$12,"",Upgrades!$C$12*POWER(Upgrades!$D$12,K243))</f>
        <v/>
      </c>
      <c r="AN243" s="26">
        <f>IF(AND(D243&gt;=Parameters!$B$18,(H243&gt;=Upgrades!$E$9)*(K243&gt;=Upgrades!$E$12)=1,L243=0),1,"")</f>
        <v/>
      </c>
      <c r="AO243" s="26">
        <f>IF(AND(D243&gt;=Parameters!$B$18,L243=0),1,"")</f>
        <v/>
      </c>
      <c r="AP243" s="22">
        <f>MIN(IF(ISNUMBER(AK243),AK243,9E15),IF(ISNUMBER(AL243),AL243,9E15),IF(ISNUMBER(AM243),AM243,9E15))</f>
        <v/>
      </c>
      <c r="AQ243" s="22">
        <f>MIN(IF(ISNUMBER(AG243),AG243,9E15),IF(ISNUMBER(AH243),AH243,9E15),IF(ISNUMBER(AI243),AI243,9E15),IF(ISNUMBER(AJ243),AJ243,9E15))</f>
        <v/>
      </c>
      <c r="AR243" s="29">
        <f>IF(AW243&gt;Parameters!$B$21*(MAX(IF(AND(NOT(AND(AO243=1,AN243&lt;&gt;1)),ISNUMBER(AG243),AG243&lt;=T243),AS243,0),IF(AND(NOT(AND(AO243=1,AN243&lt;&gt;1)),ISNUMBER(AH243),AH243&lt;=T243),AT243,0),IF(AND(NOT(AND(AO243=1,AN243&lt;&gt;1)),ISNUMBER(AI243),AI243&lt;=T243),AU243,0),IF(AND(ISNUMBER(AJ243),AJ243&lt;=T243),AV243,0))),TRUE,FALSE)</f>
        <v/>
      </c>
      <c r="AS243" s="32">
        <f>IFERROR(Upgrades!$H$6*(POWER(Upgrades!$P$6,E243)*POWER(Upgrades!$P$7,F243)*POWER(Upgrades!$P$8,G243)*POWER(Upgrades!$P$9,H243)*POWER(Upgrades!$P$10,I243)*POWER(Upgrades!$P$11,J243)*POWER(Upgrades!$P$12,K243))*(IF(Upgrades!$T$7="Solar Wind",POWER(Upgrades!$U$7,F243),1)*IF(Upgrades!$T$8="Solar Wind",POWER(Upgrades!$U$8,G243),1)*IF(Upgrades!$T$9="Solar Wind",POWER(Upgrades!$U$9,H243),1)*IF(Upgrades!$T$10="Solar Wind",POWER(Upgrades!$U$10,I243),1)*IF(Upgrades!$T$11="Solar Wind",POWER(Upgrades!$U$11,J243),1)*IF(Upgrades!$T$12="Solar Wind",POWER(Upgrades!$U$12,K243),1))/AG243,0)</f>
        <v/>
      </c>
      <c r="AT243" s="32">
        <f>IFERROR(Upgrades!$H$7*(POWER(Upgrades!$P$6,E243)*POWER(Upgrades!$P$7,F243)*POWER(Upgrades!$P$8,G243)*POWER(Upgrades!$P$9,H243)*POWER(Upgrades!$P$10,I243)*POWER(Upgrades!$P$11,J243)*POWER(Upgrades!$P$12,K243))*(IF(Upgrades!$T$6="Asteroid Belt",POWER(Upgrades!$U$6,E243),1)*IF(Upgrades!$T$8="Asteroid Belt",POWER(Upgrades!$U$8,G243),1)*IF(Upgrades!$T$9="Asteroid Belt",POWER(Upgrades!$U$9,H243),1)*IF(Upgrades!$T$10="Asteroid Belt",POWER(Upgrades!$U$10,I243),1)*IF(Upgrades!$T$11="Asteroid Belt",POWER(Upgrades!$U$11,J243),1)*IF(Upgrades!$T$12="Asteroid Belt",POWER(Upgrades!$U$12,K243),1))/AH243,0)</f>
        <v/>
      </c>
      <c r="AU243" s="32">
        <f>IFERROR(Upgrades!$K$8*(POWER(Upgrades!$Q$6,E243)*POWER(Upgrades!$Q$7,F243)*POWER(Upgrades!$Q$8,G243)*POWER(Upgrades!$Q$9,H243)*POWER(Upgrades!$Q$10,I243)*POWER(Upgrades!$Q$11,J243)*POWER(Upgrades!$Q$12,K243))*(IF(Upgrades!$T$6="Stellar Coupling",POWER(Upgrades!$U$6,E243),1)*IF(Upgrades!$T$7="Stellar Coupling",POWER(Upgrades!$U$7,F243),1)*IF(Upgrades!$T$9="Stellar Coupling",POWER(Upgrades!$U$9,H243),1)*IF(Upgrades!$T$10="Stellar Coupling",POWER(Upgrades!$U$10,I243),1)*IF(Upgrades!$T$11="Stellar Coupling",POWER(Upgrades!$U$11,J243),1)*IF(Upgrades!$T$12="Stellar Coupling",POWER(Upgrades!$U$12,K243),1))*Parameters!$B$10*Parameters!$B$11/60/AI243,0)</f>
        <v/>
      </c>
      <c r="AV243" s="32">
        <f>IFERROR(Upgrades!$H$9*(POWER(Upgrades!$P$6,E243)*POWER(Upgrades!$P$7,F243)*POWER(Upgrades!$P$8,G243)*POWER(Upgrades!$P$9,H243)*POWER(Upgrades!$P$10,I243)*POWER(Upgrades!$P$11,J243)*POWER(Upgrades!$P$12,K243))*(IF(Upgrades!$T$6="Magnetosphere",POWER(Upgrades!$U$6,E243),1)*IF(Upgrades!$T$7="Magnetosphere",POWER(Upgrades!$U$7,F243),1)*IF(Upgrades!$T$8="Magnetosphere",POWER(Upgrades!$U$8,G243),1)*IF(Upgrades!$T$10="Magnetosphere",POWER(Upgrades!$U$10,I243),1)*IF(Upgrades!$T$11="Magnetosphere",POWER(Upgrades!$U$11,J243),1)*IF(Upgrades!$T$12="Magnetosphere",POWER(Upgrades!$U$12,K243),1))/AJ243,0)</f>
        <v/>
      </c>
      <c r="AW243" s="32">
        <f>MAX(IF(I243&gt;0,0,IFERROR(0.25*N243/Upgrades!$C$10,0)),IF(J243&gt;0,0,IFERROR(0.5*((IF(G243=0,0,(Upgrades!$J$8+G243*Upgrades!$K$8)*POWER(Upgrades!$L$8,G243)))*(IF(Upgrades!$T$6="Stellar Coupling",POWER(Upgrades!$U$6,E243),1)*IF(Upgrades!$T$7="Stellar Coupling",POWER(Upgrades!$U$7,F243),1)*IF(Upgrades!$T$9="Stellar Coupling",POWER(Upgrades!$U$9,H243),1)*IF(Upgrades!$T$10="Stellar Coupling",POWER(Upgrades!$U$10,I243),1)*IF(Upgrades!$T$11="Stellar Coupling",POWER(Upgrades!$U$11,J243),1)*IF(Upgrades!$T$12="Stellar Coupling",POWER(Upgrades!$U$12,K243),1))*(POWER(Upgrades!$Q$6,E243)*POWER(Upgrades!$Q$7,F243)*POWER(Upgrades!$Q$8,G243)*POWER(Upgrades!$Q$9,H243)*POWER(Upgrades!$Q$10,I243)*POWER(Upgrades!$Q$11,J243)*POWER(Upgrades!$Q$12,K243))*Parameters!$B$10*Parameters!$B$11/60)/Upgrades!$C$11,0)),IF(K243&gt;0,0,IFERROR((1.0*(POWER(Upgrades!$P$6,E243)*POWER(Upgrades!$P$7,F243)*POWER(Upgrades!$P$8,G243)*POWER(Upgrades!$P$9,H243)*POWER(Upgrades!$P$10,I243)*POWER(Upgrades!$P$11,J243)*POWER(Upgrades!$P$12,K243))+0.20*M243*Parameters!$B$10*Parameters!$B$11/60)/Upgrades!$C$12,0)),IF(AND(ISNUMBER(AG243),AG243&gt;T243),AS243,0),IF(AND(ISNUMBER(AH243),AH243&gt;T243),AT243,0),IF(AND(ISNUMBER(AI243),AI243&gt;T243),AU243,0),IF(AND(ISNUMBER(AJ243),AJ243&gt;T243),AV243,0))</f>
        <v/>
      </c>
      <c r="AX243" s="29">
        <f>IF(AN243=1,"transition",IF(MIN(IF(AND(I243=0,ISNUMBER(AK243),AK243&lt;=T243),AK243,9E15),IF(AND(J243=0,ISNUMBER(AL243),AL243&lt;=T243),AL243,9E15),IF(AND(K243=0,ISNUMBER(AM243),AM243&lt;=T243),AM243,9E15))&lt;9E15,IF(AND(AND(I243=0,ISNUMBER(AK243),AK243&lt;=T243),AK243=MIN(IF(AND(I243=0,ISNUMBER(AK243),AK243&lt;=T243),AK243,9E15),IF(AND(J243=0,ISNUMBER(AL243),AL243&lt;=T243),AL243,9E15),IF(AND(K243=0,ISNUMBER(AM243),AM243&lt;=T243),AM243,9E15))),"OR",IF(AND(AND(J243=0,ISNUMBER(AL243),AL243&lt;=T243),AL243=MIN(IF(AND(I243=0,ISNUMBER(AK243),AK243&lt;=T243),AK243,9E15),IF(AND(J243=0,ISNUMBER(AL243),AL243&lt;=T243),AL243,9E15),IF(AND(K243=0,ISNUMBER(AM243),AM243&lt;=T243),AM243,9E15))),"HP","FP")),IF(AR243=TRUE,"",IF(MAX(IF(AND(NOT(AND(AO243=1,AN243&lt;&gt;1)),ISNUMBER(AG243),AG243&lt;=T243),AS243,0),IF(AND(NOT(AND(AO243=1,AN243&lt;&gt;1)),ISNUMBER(AH243),AH243&lt;=T243),AT243,0),IF(AND(NOT(AND(AO243=1,AN243&lt;&gt;1)),ISNUMBER(AI243),AI243&lt;=T243),AU243,0),IF(AND(ISNUMBER(AJ243),AJ243&lt;=T243),AV243,0))&lt;=0,"",IF(AND(IF(AND(NOT(AND(AO243=1,AN243&lt;&gt;1)),ISNUMBER(AG243),AG243&lt;=T243),AS243,0)&gt;0,IF(AND(NOT(AND(AO243=1,AN243&lt;&gt;1)),ISNUMBER(AG243),AG243&lt;=T243),AS243,0)=MAX(IF(AND(NOT(AND(AO243=1,AN243&lt;&gt;1)),ISNUMBER(AG243),AG243&lt;=T243),AS243,0),IF(AND(NOT(AND(AO243=1,AN243&lt;&gt;1)),ISNUMBER(AH243),AH243&lt;=T243),AT243,0),IF(AND(NOT(AND(AO243=1,AN243&lt;&gt;1)),ISNUMBER(AI243),AI243&lt;=T243),AU243,0),IF(AND(ISNUMBER(AJ243),AJ243&lt;=T243),AV243,0))),"SW",IF(AND(IF(AND(NOT(AND(AO243=1,AN243&lt;&gt;1)),ISNUMBER(AH243),AH243&lt;=T243),AT243,0)&gt;0,IF(AND(NOT(AND(AO243=1,AN243&lt;&gt;1)),ISNUMBER(AH243),AH243&lt;=T243),AT243,0)=MAX(IF(AND(NOT(AND(AO243=1,AN243&lt;&gt;1)),ISNUMBER(AG243),AG243&lt;=T243),AS243,0),IF(AND(NOT(AND(AO243=1,AN243&lt;&gt;1)),ISNUMBER(AH243),AH243&lt;=T243),AT243,0),IF(AND(NOT(AND(AO243=1,AN243&lt;&gt;1)),ISNUMBER(AI243),AI243&lt;=T243),AU243,0),IF(AND(ISNUMBER(AJ243),AJ243&lt;=T243),AV243,0))),"AB",IF(AND(IF(AND(NOT(AND(AO243=1,AN243&lt;&gt;1)),ISNUMBER(AI243),AI243&lt;=T243),AU243,0)&gt;0,IF(AND(NOT(AND(AO243=1,AN243&lt;&gt;1)),ISNUMBER(AI243),AI243&lt;=T243),AU243,0)=MAX(IF(AND(NOT(AND(AO243=1,AN243&lt;&gt;1)),ISNUMBER(AG243),AG243&lt;=T243),AS243,0),IF(AND(NOT(AND(AO243=1,AN243&lt;&gt;1)),ISNUMBER(AH243),AH243&lt;=T243),AT243,0),IF(AND(NOT(AND(AO243=1,AN243&lt;&gt;1)),ISNUMBER(AI243),AI243&lt;=T243),AU243,0),IF(AND(ISNUMBER(AJ243),AJ243&lt;=T243),AV243,0))),"SC","Mag")))))))</f>
        <v/>
      </c>
    </row>
    <row r="244">
      <c r="A244" s="26" t="n">
        <v>239</v>
      </c>
      <c r="B244" s="27">
        <f>A244*10/60</f>
        <v/>
      </c>
      <c r="C244" s="22">
        <f>X243</f>
        <v/>
      </c>
      <c r="D244" s="27">
        <f>D243+W243</f>
        <v/>
      </c>
      <c r="E244" s="26">
        <f>E243+IF(U243="SW",1,0)</f>
        <v/>
      </c>
      <c r="F244" s="26">
        <f>F243+IF(U243="AB",1,0)</f>
        <v/>
      </c>
      <c r="G244" s="26">
        <f>G243+IF(U243="SC",1,0)</f>
        <v/>
      </c>
      <c r="H244" s="26">
        <f>H243+IF(U243="Mag",1,0)</f>
        <v/>
      </c>
      <c r="I244" s="26">
        <f>MAX(I243,IF(U243="OR",1,0))</f>
        <v/>
      </c>
      <c r="J244" s="26">
        <f>MAX(J243,IF(U243="HP",1,0))</f>
        <v/>
      </c>
      <c r="K244" s="26">
        <f>MAX(K243,IF(U243="FP",1,0))</f>
        <v/>
      </c>
      <c r="L244" s="26">
        <f>MAX(L243,IF(U243="transition",1,0))</f>
        <v/>
      </c>
      <c r="M244" s="28">
        <f>(Parameters!$B$9+(IF(E244=0,0,(Upgrades!$J$6+E244*Upgrades!$K$6)*POWER(Upgrades!$L$6,E244)))*(IF(Upgrades!$T$7="Solar Wind",POWER(Upgrades!$U$7,F244),1)*IF(Upgrades!$T$8="Solar Wind",POWER(Upgrades!$U$8,G244),1)*IF(Upgrades!$T$9="Solar Wind",POWER(Upgrades!$U$9,H244),1)*IF(Upgrades!$T$10="Solar Wind",POWER(Upgrades!$U$10,I244),1)*IF(Upgrades!$T$11="Solar Wind",POWER(Upgrades!$U$11,J244),1)*IF(Upgrades!$T$12="Solar Wind",POWER(Upgrades!$U$12,K244),1))+(IF(F244=0,0,(Upgrades!$J$7+F244*Upgrades!$K$7)*POWER(Upgrades!$L$7,F244)))*(IF(Upgrades!$T$6="Asteroid Belt",POWER(Upgrades!$U$6,E244),1)*IF(Upgrades!$T$8="Asteroid Belt",POWER(Upgrades!$U$8,G244),1)*IF(Upgrades!$T$9="Asteroid Belt",POWER(Upgrades!$U$9,H244),1)*IF(Upgrades!$T$10="Asteroid Belt",POWER(Upgrades!$U$10,I244),1)*IF(Upgrades!$T$11="Asteroid Belt",POWER(Upgrades!$U$11,J244),1)*IF(Upgrades!$T$12="Asteroid Belt",POWER(Upgrades!$U$12,K244),1))+(IF(G244=0,0,(Upgrades!$J$8+G244*Upgrades!$K$8)*POWER(Upgrades!$L$8,G244)))*(IF(Upgrades!$T$6="Stellar Coupling",POWER(Upgrades!$U$6,E244),1)*IF(Upgrades!$T$7="Stellar Coupling",POWER(Upgrades!$U$7,F244),1)*IF(Upgrades!$T$9="Stellar Coupling",POWER(Upgrades!$U$9,H244),1)*IF(Upgrades!$T$10="Stellar Coupling",POWER(Upgrades!$U$10,I244),1)*IF(Upgrades!$T$11="Stellar Coupling",POWER(Upgrades!$U$11,J244),1)*IF(Upgrades!$T$12="Stellar Coupling",POWER(Upgrades!$U$12,K244),1))+(IF(H244=0,0,(Upgrades!$J$9+H244*Upgrades!$K$9)*POWER(Upgrades!$L$9,H244)))*(IF(Upgrades!$T$6="Magnetosphere",POWER(Upgrades!$U$6,E244),1)*IF(Upgrades!$T$7="Magnetosphere",POWER(Upgrades!$U$7,F244),1)*IF(Upgrades!$T$8="Magnetosphere",POWER(Upgrades!$U$8,G244),1)*IF(Upgrades!$T$10="Magnetosphere",POWER(Upgrades!$U$10,I244),1)*IF(Upgrades!$T$11="Magnetosphere",POWER(Upgrades!$U$11,J244),1)*IF(Upgrades!$T$12="Magnetosphere",POWER(Upgrades!$U$12,K244),1))+(IF(I244=0,0,(Upgrades!$J$10+I244*Upgrades!$K$10)*POWER(Upgrades!$L$10,I244)))*(IF(Upgrades!$T$6="Orbital Resonance",POWER(Upgrades!$U$6,E244),1)*IF(Upgrades!$T$7="Orbital Resonance",POWER(Upgrades!$U$7,F244),1)*IF(Upgrades!$T$8="Orbital Resonance",POWER(Upgrades!$U$8,G244),1)*IF(Upgrades!$T$9="Orbital Resonance",POWER(Upgrades!$U$9,H244),1)*IF(Upgrades!$T$11="Orbital Resonance",POWER(Upgrades!$U$11,J244),1)*IF(Upgrades!$T$12="Orbital Resonance",POWER(Upgrades!$U$12,K244),1))+(IF(J244=0,0,(Upgrades!$J$11+J244*Upgrades!$K$11)*POWER(Upgrades!$L$11,J244)))*(IF(Upgrades!$T$6="Heliopause",POWER(Upgrades!$U$6,E244),1)*IF(Upgrades!$T$7="Heliopause",POWER(Upgrades!$U$7,F244),1)*IF(Upgrades!$T$8="Heliopause",POWER(Upgrades!$U$8,G244),1)*IF(Upgrades!$T$9="Heliopause",POWER(Upgrades!$U$9,H244),1)*IF(Upgrades!$T$10="Heliopause",POWER(Upgrades!$U$10,I244),1)*IF(Upgrades!$T$12="Heliopause",POWER(Upgrades!$U$12,K244),1))+(IF(K244=0,0,(Upgrades!$J$12+K244*Upgrades!$K$12)*POWER(Upgrades!$L$12,K244)))*(IF(Upgrades!$T$6="First Photons",POWER(Upgrades!$U$6,E244),1)*IF(Upgrades!$T$7="First Photons",POWER(Upgrades!$U$7,F244),1)*IF(Upgrades!$T$8="First Photons",POWER(Upgrades!$U$8,G244),1)*IF(Upgrades!$T$9="First Photons",POWER(Upgrades!$U$9,H244),1)*IF(Upgrades!$T$10="First Photons",POWER(Upgrades!$U$10,I244),1)*IF(Upgrades!$T$11="First Photons",POWER(Upgrades!$U$11,J244),1)))*POWER(Upgrades!$Q$6,E244)*POWER(Upgrades!$Q$7,F244)*POWER(Upgrades!$Q$8,G244)*POWER(Upgrades!$Q$9,H244)*POWER(Upgrades!$Q$10,I244)*POWER(Upgrades!$Q$11,J244)*POWER(Upgrades!$Q$12,K244)</f>
        <v/>
      </c>
      <c r="N244" s="28">
        <f>((IF(E244=0,0,(Upgrades!$G$6+E244*Upgrades!$H$6)*POWER(Upgrades!$I$6,E244)))*(IF(Upgrades!$T$7="Solar Wind",POWER(Upgrades!$U$7,F244),1)*IF(Upgrades!$T$8="Solar Wind",POWER(Upgrades!$U$8,G244),1)*IF(Upgrades!$T$9="Solar Wind",POWER(Upgrades!$U$9,H244),1)*IF(Upgrades!$T$10="Solar Wind",POWER(Upgrades!$U$10,I244),1)*IF(Upgrades!$T$11="Solar Wind",POWER(Upgrades!$U$11,J244),1)*IF(Upgrades!$T$12="Solar Wind",POWER(Upgrades!$U$12,K244),1))+(IF(F244=0,0,(Upgrades!$G$7+F244*Upgrades!$H$7)*POWER(Upgrades!$I$7,F244)))*(IF(Upgrades!$T$6="Asteroid Belt",POWER(Upgrades!$U$6,E244),1)*IF(Upgrades!$T$8="Asteroid Belt",POWER(Upgrades!$U$8,G244),1)*IF(Upgrades!$T$9="Asteroid Belt",POWER(Upgrades!$U$9,H244),1)*IF(Upgrades!$T$10="Asteroid Belt",POWER(Upgrades!$U$10,I244),1)*IF(Upgrades!$T$11="Asteroid Belt",POWER(Upgrades!$U$11,J244),1)*IF(Upgrades!$T$12="Asteroid Belt",POWER(Upgrades!$U$12,K244),1))+(IF(G244=0,0,(Upgrades!$G$8+G244*Upgrades!$H$8)*POWER(Upgrades!$I$8,G244)))*(IF(Upgrades!$T$6="Stellar Coupling",POWER(Upgrades!$U$6,E244),1)*IF(Upgrades!$T$7="Stellar Coupling",POWER(Upgrades!$U$7,F244),1)*IF(Upgrades!$T$9="Stellar Coupling",POWER(Upgrades!$U$9,H244),1)*IF(Upgrades!$T$10="Stellar Coupling",POWER(Upgrades!$U$10,I244),1)*IF(Upgrades!$T$11="Stellar Coupling",POWER(Upgrades!$U$11,J244),1)*IF(Upgrades!$T$12="Stellar Coupling",POWER(Upgrades!$U$12,K244),1))+(IF(H244=0,0,(Upgrades!$G$9+H244*Upgrades!$H$9)*POWER(Upgrades!$I$9,H244)))*(IF(Upgrades!$T$6="Magnetosphere",POWER(Upgrades!$U$6,E244),1)*IF(Upgrades!$T$7="Magnetosphere",POWER(Upgrades!$U$7,F244),1)*IF(Upgrades!$T$8="Magnetosphere",POWER(Upgrades!$U$8,G244),1)*IF(Upgrades!$T$10="Magnetosphere",POWER(Upgrades!$U$10,I244),1)*IF(Upgrades!$T$11="Magnetosphere",POWER(Upgrades!$U$11,J244),1)*IF(Upgrades!$T$12="Magnetosphere",POWER(Upgrades!$U$12,K244),1))+(IF(I244=0,0,(Upgrades!$G$10+I244*Upgrades!$H$10)*POWER(Upgrades!$I$10,I244)))*(IF(Upgrades!$T$6="Orbital Resonance",POWER(Upgrades!$U$6,E244),1)*IF(Upgrades!$T$7="Orbital Resonance",POWER(Upgrades!$U$7,F244),1)*IF(Upgrades!$T$8="Orbital Resonance",POWER(Upgrades!$U$8,G244),1)*IF(Upgrades!$T$9="Orbital Resonance",POWER(Upgrades!$U$9,H244),1)*IF(Upgrades!$T$11="Orbital Resonance",POWER(Upgrades!$U$11,J244),1)*IF(Upgrades!$T$12="Orbital Resonance",POWER(Upgrades!$U$12,K244),1))+(IF(J244=0,0,(Upgrades!$G$11+J244*Upgrades!$H$11)*POWER(Upgrades!$I$11,J244)))*(IF(Upgrades!$T$6="Heliopause",POWER(Upgrades!$U$6,E244),1)*IF(Upgrades!$T$7="Heliopause",POWER(Upgrades!$U$7,F244),1)*IF(Upgrades!$T$8="Heliopause",POWER(Upgrades!$U$8,G244),1)*IF(Upgrades!$T$9="Heliopause",POWER(Upgrades!$U$9,H244),1)*IF(Upgrades!$T$10="Heliopause",POWER(Upgrades!$U$10,I244),1)*IF(Upgrades!$T$12="Heliopause",POWER(Upgrades!$U$12,K244),1))+(IF(K244=0,0,(Upgrades!$G$12+K244*Upgrades!$H$12)*POWER(Upgrades!$I$12,K244)))*(IF(Upgrades!$T$6="First Photons",POWER(Upgrades!$U$6,E244),1)*IF(Upgrades!$T$7="First Photons",POWER(Upgrades!$U$7,F244),1)*IF(Upgrades!$T$8="First Photons",POWER(Upgrades!$U$8,G244),1)*IF(Upgrades!$T$9="First Photons",POWER(Upgrades!$U$9,H244),1)*IF(Upgrades!$T$10="First Photons",POWER(Upgrades!$U$10,I244),1)*IF(Upgrades!$T$11="First Photons",POWER(Upgrades!$U$11,J244),1)))*POWER(Upgrades!$P$6,E244)*POWER(Upgrades!$P$7,F244)*POWER(Upgrades!$P$8,G244)*POWER(Upgrades!$P$9,H244)*POWER(Upgrades!$P$10,I244)*POWER(Upgrades!$P$11,J244)*POWER(Upgrades!$P$12,K244)</f>
        <v/>
      </c>
      <c r="O244" s="28">
        <f>((IF(E244=0,0,(Upgrades!$M$6+E244*Upgrades!$N$6)*POWER(Upgrades!$O$6,E244)))*(IF(Upgrades!$T$7="Solar Wind",POWER(Upgrades!$U$7,F244),1)*IF(Upgrades!$T$8="Solar Wind",POWER(Upgrades!$U$8,G244),1)*IF(Upgrades!$T$9="Solar Wind",POWER(Upgrades!$U$9,H244),1)*IF(Upgrades!$T$10="Solar Wind",POWER(Upgrades!$U$10,I244),1)*IF(Upgrades!$T$11="Solar Wind",POWER(Upgrades!$U$11,J244),1)*IF(Upgrades!$T$12="Solar Wind",POWER(Upgrades!$U$12,K244),1))+(IF(F244=0,0,(Upgrades!$M$7+F244*Upgrades!$N$7)*POWER(Upgrades!$O$7,F244)))*(IF(Upgrades!$T$6="Asteroid Belt",POWER(Upgrades!$U$6,E244),1)*IF(Upgrades!$T$8="Asteroid Belt",POWER(Upgrades!$U$8,G244),1)*IF(Upgrades!$T$9="Asteroid Belt",POWER(Upgrades!$U$9,H244),1)*IF(Upgrades!$T$10="Asteroid Belt",POWER(Upgrades!$U$10,I244),1)*IF(Upgrades!$T$11="Asteroid Belt",POWER(Upgrades!$U$11,J244),1)*IF(Upgrades!$T$12="Asteroid Belt",POWER(Upgrades!$U$12,K244),1))+(IF(G244=0,0,(Upgrades!$M$8+G244*Upgrades!$N$8)*POWER(Upgrades!$O$8,G244)))*(IF(Upgrades!$T$6="Stellar Coupling",POWER(Upgrades!$U$6,E244),1)*IF(Upgrades!$T$7="Stellar Coupling",POWER(Upgrades!$U$7,F244),1)*IF(Upgrades!$T$9="Stellar Coupling",POWER(Upgrades!$U$9,H244),1)*IF(Upgrades!$T$10="Stellar Coupling",POWER(Upgrades!$U$10,I244),1)*IF(Upgrades!$T$11="Stellar Coupling",POWER(Upgrades!$U$11,J244),1)*IF(Upgrades!$T$12="Stellar Coupling",POWER(Upgrades!$U$12,K244),1))+(IF(H244=0,0,(Upgrades!$M$9+H244*Upgrades!$N$9)*POWER(Upgrades!$O$9,H244)))*(IF(Upgrades!$T$6="Magnetosphere",POWER(Upgrades!$U$6,E244),1)*IF(Upgrades!$T$7="Magnetosphere",POWER(Upgrades!$U$7,F244),1)*IF(Upgrades!$T$8="Magnetosphere",POWER(Upgrades!$U$8,G244),1)*IF(Upgrades!$T$10="Magnetosphere",POWER(Upgrades!$U$10,I244),1)*IF(Upgrades!$T$11="Magnetosphere",POWER(Upgrades!$U$11,J244),1)*IF(Upgrades!$T$12="Magnetosphere",POWER(Upgrades!$U$12,K244),1))+(IF(I244=0,0,(Upgrades!$M$10+I244*Upgrades!$N$10)*POWER(Upgrades!$O$10,I244)))*(IF(Upgrades!$T$6="Orbital Resonance",POWER(Upgrades!$U$6,E244),1)*IF(Upgrades!$T$7="Orbital Resonance",POWER(Upgrades!$U$7,F244),1)*IF(Upgrades!$T$8="Orbital Resonance",POWER(Upgrades!$U$8,G244),1)*IF(Upgrades!$T$9="Orbital Resonance",POWER(Upgrades!$U$9,H244),1)*IF(Upgrades!$T$11="Orbital Resonance",POWER(Upgrades!$U$11,J244),1)*IF(Upgrades!$T$12="Orbital Resonance",POWER(Upgrades!$U$12,K244),1))+(IF(J244=0,0,(Upgrades!$M$11+J244*Upgrades!$N$11)*POWER(Upgrades!$O$11,J244)))*(IF(Upgrades!$T$6="Heliopause",POWER(Upgrades!$U$6,E244),1)*IF(Upgrades!$T$7="Heliopause",POWER(Upgrades!$U$7,F244),1)*IF(Upgrades!$T$8="Heliopause",POWER(Upgrades!$U$8,G244),1)*IF(Upgrades!$T$9="Heliopause",POWER(Upgrades!$U$9,H244),1)*IF(Upgrades!$T$10="Heliopause",POWER(Upgrades!$U$10,I244),1)*IF(Upgrades!$T$12="Heliopause",POWER(Upgrades!$U$12,K244),1))+(IF(K244=0,0,(Upgrades!$M$12+K244*Upgrades!$N$12)*POWER(Upgrades!$O$12,K244)))*(IF(Upgrades!$T$6="First Photons",POWER(Upgrades!$U$6,E244),1)*IF(Upgrades!$T$7="First Photons",POWER(Upgrades!$U$7,F244),1)*IF(Upgrades!$T$8="First Photons",POWER(Upgrades!$U$8,G244),1)*IF(Upgrades!$T$9="First Photons",POWER(Upgrades!$U$9,H244),1)*IF(Upgrades!$T$10="First Photons",POWER(Upgrades!$U$10,I244),1)*IF(Upgrades!$T$11="First Photons",POWER(Upgrades!$U$11,J244),1)))*POWER(Upgrades!$R$6,E244)*POWER(Upgrades!$R$7,F244)*POWER(Upgrades!$R$8,G244)*POWER(Upgrades!$R$9,H244)*POWER(Upgrades!$R$10,I244)*POWER(Upgrades!$R$11,J244)*POWER(Upgrades!$R$12,K244)</f>
        <v/>
      </c>
      <c r="P244" s="27">
        <f>IF(L244=1,0,M244*Parameters!$B$10/60*Parameters!$B$11*10)</f>
        <v/>
      </c>
      <c r="Q244" s="27">
        <f>IF(L244=1,0,O244*M244*10)</f>
        <v/>
      </c>
      <c r="R244" s="27">
        <f>IF(L244=1,0,N244*10)</f>
        <v/>
      </c>
      <c r="S244" s="27">
        <f>P244+Q244+R244</f>
        <v/>
      </c>
      <c r="T244" s="22">
        <f>C244+S244</f>
        <v/>
      </c>
      <c r="U244" s="33">
        <f>AX244</f>
        <v/>
      </c>
      <c r="V244" s="22">
        <f>IF(U244="",0,IF(U244="transition",0,IF(U244="SW",AG244,IF(U244="AB",AH244,IF(U244="SC",AI244,IF(U244="Mag",AJ244,IF(U244="OR",AK244,IF(U244="HP",AL244,IF(U244="FP",AM244,0)))))))))</f>
        <v/>
      </c>
      <c r="W244" s="27">
        <f>IF(U244="OR",Upgrades!$F$10,IF(U244="HP",Upgrades!$F$11,IF(U244="transition",-Parameters!$B$18,0)))</f>
        <v/>
      </c>
      <c r="X244" s="22">
        <f>T244-V244</f>
        <v/>
      </c>
      <c r="Y244" s="30">
        <f>M244*Parameters!$B$10/60*Parameters!$B$11+O244*M244+N244</f>
        <v/>
      </c>
      <c r="Z244" s="34">
        <f>IF(U244="transition","→ Tier 2 (Stellar Neighborhood)",IF(U244="FP","First Photons — light begins, system quickens",IF(U244="HP","Heliopause acquired",IF(U244="OR","Orbital Resonance — passive multiplier active",IF(AND(AO244=1,L244=0,AN244&lt;&gt;1),"Cohesion ready (waiting on completionist upgrades)","")))))</f>
        <v/>
      </c>
      <c r="AA244" s="27">
        <f>(IF(E244=0,0,(Upgrades!$G$6+E244*Upgrades!$H$6)*POWER(Upgrades!$I$6,E244)))*(IF(Upgrades!$T$7="Solar Wind",POWER(Upgrades!$U$7,F244),1)*IF(Upgrades!$T$8="Solar Wind",POWER(Upgrades!$U$8,G244),1)*IF(Upgrades!$T$9="Solar Wind",POWER(Upgrades!$U$9,H244),1)*IF(Upgrades!$T$10="Solar Wind",POWER(Upgrades!$U$10,I244),1)*IF(Upgrades!$T$11="Solar Wind",POWER(Upgrades!$U$11,J244),1)*IF(Upgrades!$T$12="Solar Wind",POWER(Upgrades!$U$12,K244),1))*POWER(Upgrades!$P$6,E244)*POWER(Upgrades!$P$7,F244)*POWER(Upgrades!$P$8,G244)*POWER(Upgrades!$P$9,H244)*POWER(Upgrades!$P$10,I244)*POWER(Upgrades!$P$11,J244)*POWER(Upgrades!$P$12,K244)*60</f>
        <v/>
      </c>
      <c r="AB244" s="27">
        <f>(IF(F244=0,0,(Upgrades!$G$7+F244*Upgrades!$H$7)*POWER(Upgrades!$I$7,F244)))*(IF(Upgrades!$T$6="Asteroid Belt",POWER(Upgrades!$U$6,E244),1)*IF(Upgrades!$T$8="Asteroid Belt",POWER(Upgrades!$U$8,G244),1)*IF(Upgrades!$T$9="Asteroid Belt",POWER(Upgrades!$U$9,H244),1)*IF(Upgrades!$T$10="Asteroid Belt",POWER(Upgrades!$U$10,I244),1)*IF(Upgrades!$T$11="Asteroid Belt",POWER(Upgrades!$U$11,J244),1)*IF(Upgrades!$T$12="Asteroid Belt",POWER(Upgrades!$U$12,K244),1))*POWER(Upgrades!$P$6,E244)*POWER(Upgrades!$P$7,F244)*POWER(Upgrades!$P$8,G244)*POWER(Upgrades!$P$9,H244)*POWER(Upgrades!$P$10,I244)*POWER(Upgrades!$P$11,J244)*POWER(Upgrades!$P$12,K244)*60</f>
        <v/>
      </c>
      <c r="AC244" s="27">
        <f>(IF(G244=0,0,(Upgrades!$J$8+G244*Upgrades!$K$8)*POWER(Upgrades!$L$8,G244)))*(IF(Upgrades!$T$6="Stellar Coupling",POWER(Upgrades!$U$6,E244),1)*IF(Upgrades!$T$7="Stellar Coupling",POWER(Upgrades!$U$7,F244),1)*IF(Upgrades!$T$9="Stellar Coupling",POWER(Upgrades!$U$9,H244),1)*IF(Upgrades!$T$10="Stellar Coupling",POWER(Upgrades!$U$10,I244),1)*IF(Upgrades!$T$11="Stellar Coupling",POWER(Upgrades!$U$11,J244),1)*IF(Upgrades!$T$12="Stellar Coupling",POWER(Upgrades!$U$12,K244),1))*POWER(Upgrades!$Q$6,E244)*POWER(Upgrades!$Q$7,F244)*POWER(Upgrades!$Q$8,G244)*POWER(Upgrades!$Q$9,H244)*POWER(Upgrades!$Q$10,I244)*POWER(Upgrades!$Q$11,J244)*POWER(Upgrades!$Q$12,K244)*Parameters!$B$10*Parameters!$B$11</f>
        <v/>
      </c>
      <c r="AD244" s="27">
        <f>(IF(H244=0,0,(Upgrades!$G$9+H244*Upgrades!$H$9)*POWER(Upgrades!$I$9,H244)))*(IF(Upgrades!$T$6="Magnetosphere",POWER(Upgrades!$U$6,E244),1)*IF(Upgrades!$T$7="Magnetosphere",POWER(Upgrades!$U$7,F244),1)*IF(Upgrades!$T$8="Magnetosphere",POWER(Upgrades!$U$8,G244),1)*IF(Upgrades!$T$10="Magnetosphere",POWER(Upgrades!$U$10,I244),1)*IF(Upgrades!$T$11="Magnetosphere",POWER(Upgrades!$U$11,J244),1)*IF(Upgrades!$T$12="Magnetosphere",POWER(Upgrades!$U$12,K244),1))*POWER(Upgrades!$P$6,E244)*POWER(Upgrades!$P$7,F244)*POWER(Upgrades!$P$8,G244)*POWER(Upgrades!$P$9,H244)*POWER(Upgrades!$P$10,I244)*POWER(Upgrades!$P$11,J244)*POWER(Upgrades!$P$12,K244)*60</f>
        <v/>
      </c>
      <c r="AE244" s="27">
        <f>(IF(K244=0,0,(Upgrades!$G$12+K244*Upgrades!$H$12)*POWER(Upgrades!$I$12,K244)))*(IF(Upgrades!$T$6="First Photons",POWER(Upgrades!$U$6,E244),1)*IF(Upgrades!$T$7="First Photons",POWER(Upgrades!$U$7,F244),1)*IF(Upgrades!$T$8="First Photons",POWER(Upgrades!$U$8,G244),1)*IF(Upgrades!$T$9="First Photons",POWER(Upgrades!$U$9,H244),1)*IF(Upgrades!$T$10="First Photons",POWER(Upgrades!$U$10,I244),1)*IF(Upgrades!$T$11="First Photons",POWER(Upgrades!$U$11,J244),1))*POWER(Upgrades!$P$6,E244)*POWER(Upgrades!$P$7,F244)*POWER(Upgrades!$P$8,G244)*POWER(Upgrades!$P$9,H244)*POWER(Upgrades!$P$10,I244)*POWER(Upgrades!$P$11,J244)*POWER(Upgrades!$P$12,K244)*60</f>
        <v/>
      </c>
      <c r="AF244" s="27">
        <f>Parameters!$B$9*POWER(Upgrades!$Q$6,E244)*POWER(Upgrades!$Q$7,F244)*POWER(Upgrades!$Q$8,G244)*POWER(Upgrades!$Q$9,H244)*POWER(Upgrades!$Q$10,I244)*POWER(Upgrades!$Q$11,J244)*POWER(Upgrades!$Q$12,K244)*(Parameters!$B$10*Parameters!$B$11+O244*60)</f>
        <v/>
      </c>
      <c r="AG244" s="22">
        <f>IF(E244&gt;=Upgrades!$E$6,"",Upgrades!$C$6*POWER(Upgrades!$D$6,E244))</f>
        <v/>
      </c>
      <c r="AH244" s="22">
        <f>IF(F244&gt;=Upgrades!$E$7,"",Upgrades!$C$7*POWER(Upgrades!$D$7,F244))</f>
        <v/>
      </c>
      <c r="AI244" s="22">
        <f>IF(G244&gt;=Upgrades!$E$8,"",Upgrades!$C$8*POWER(Upgrades!$D$8,G244))</f>
        <v/>
      </c>
      <c r="AJ244" s="22">
        <f>IF(H244&gt;=Upgrades!$E$9,"",Upgrades!$C$9*POWER(Upgrades!$D$9,H244))</f>
        <v/>
      </c>
      <c r="AK244" s="22">
        <f>IF(I244&gt;=Upgrades!$E$10,"",Upgrades!$C$10*POWER(Upgrades!$D$10,I244))</f>
        <v/>
      </c>
      <c r="AL244" s="22">
        <f>IF(J244&gt;=Upgrades!$E$11,"",Upgrades!$C$11*POWER(Upgrades!$D$11,J244))</f>
        <v/>
      </c>
      <c r="AM244" s="22">
        <f>IF(K244&gt;=Upgrades!$E$12,"",Upgrades!$C$12*POWER(Upgrades!$D$12,K244))</f>
        <v/>
      </c>
      <c r="AN244" s="26">
        <f>IF(AND(D244&gt;=Parameters!$B$18,(H244&gt;=Upgrades!$E$9)*(K244&gt;=Upgrades!$E$12)=1,L244=0),1,"")</f>
        <v/>
      </c>
      <c r="AO244" s="26">
        <f>IF(AND(D244&gt;=Parameters!$B$18,L244=0),1,"")</f>
        <v/>
      </c>
      <c r="AP244" s="22">
        <f>MIN(IF(ISNUMBER(AK244),AK244,9E15),IF(ISNUMBER(AL244),AL244,9E15),IF(ISNUMBER(AM244),AM244,9E15))</f>
        <v/>
      </c>
      <c r="AQ244" s="22">
        <f>MIN(IF(ISNUMBER(AG244),AG244,9E15),IF(ISNUMBER(AH244),AH244,9E15),IF(ISNUMBER(AI244),AI244,9E15),IF(ISNUMBER(AJ244),AJ244,9E15))</f>
        <v/>
      </c>
      <c r="AR244" s="29">
        <f>IF(AW244&gt;Parameters!$B$21*(MAX(IF(AND(NOT(AND(AO244=1,AN244&lt;&gt;1)),ISNUMBER(AG244),AG244&lt;=T244),AS244,0),IF(AND(NOT(AND(AO244=1,AN244&lt;&gt;1)),ISNUMBER(AH244),AH244&lt;=T244),AT244,0),IF(AND(NOT(AND(AO244=1,AN244&lt;&gt;1)),ISNUMBER(AI244),AI244&lt;=T244),AU244,0),IF(AND(ISNUMBER(AJ244),AJ244&lt;=T244),AV244,0))),TRUE,FALSE)</f>
        <v/>
      </c>
      <c r="AS244" s="32">
        <f>IFERROR(Upgrades!$H$6*(POWER(Upgrades!$P$6,E244)*POWER(Upgrades!$P$7,F244)*POWER(Upgrades!$P$8,G244)*POWER(Upgrades!$P$9,H244)*POWER(Upgrades!$P$10,I244)*POWER(Upgrades!$P$11,J244)*POWER(Upgrades!$P$12,K244))*(IF(Upgrades!$T$7="Solar Wind",POWER(Upgrades!$U$7,F244),1)*IF(Upgrades!$T$8="Solar Wind",POWER(Upgrades!$U$8,G244),1)*IF(Upgrades!$T$9="Solar Wind",POWER(Upgrades!$U$9,H244),1)*IF(Upgrades!$T$10="Solar Wind",POWER(Upgrades!$U$10,I244),1)*IF(Upgrades!$T$11="Solar Wind",POWER(Upgrades!$U$11,J244),1)*IF(Upgrades!$T$12="Solar Wind",POWER(Upgrades!$U$12,K244),1))/AG244,0)</f>
        <v/>
      </c>
      <c r="AT244" s="32">
        <f>IFERROR(Upgrades!$H$7*(POWER(Upgrades!$P$6,E244)*POWER(Upgrades!$P$7,F244)*POWER(Upgrades!$P$8,G244)*POWER(Upgrades!$P$9,H244)*POWER(Upgrades!$P$10,I244)*POWER(Upgrades!$P$11,J244)*POWER(Upgrades!$P$12,K244))*(IF(Upgrades!$T$6="Asteroid Belt",POWER(Upgrades!$U$6,E244),1)*IF(Upgrades!$T$8="Asteroid Belt",POWER(Upgrades!$U$8,G244),1)*IF(Upgrades!$T$9="Asteroid Belt",POWER(Upgrades!$U$9,H244),1)*IF(Upgrades!$T$10="Asteroid Belt",POWER(Upgrades!$U$10,I244),1)*IF(Upgrades!$T$11="Asteroid Belt",POWER(Upgrades!$U$11,J244),1)*IF(Upgrades!$T$12="Asteroid Belt",POWER(Upgrades!$U$12,K244),1))/AH244,0)</f>
        <v/>
      </c>
      <c r="AU244" s="32">
        <f>IFERROR(Upgrades!$K$8*(POWER(Upgrades!$Q$6,E244)*POWER(Upgrades!$Q$7,F244)*POWER(Upgrades!$Q$8,G244)*POWER(Upgrades!$Q$9,H244)*POWER(Upgrades!$Q$10,I244)*POWER(Upgrades!$Q$11,J244)*POWER(Upgrades!$Q$12,K244))*(IF(Upgrades!$T$6="Stellar Coupling",POWER(Upgrades!$U$6,E244),1)*IF(Upgrades!$T$7="Stellar Coupling",POWER(Upgrades!$U$7,F244),1)*IF(Upgrades!$T$9="Stellar Coupling",POWER(Upgrades!$U$9,H244),1)*IF(Upgrades!$T$10="Stellar Coupling",POWER(Upgrades!$U$10,I244),1)*IF(Upgrades!$T$11="Stellar Coupling",POWER(Upgrades!$U$11,J244),1)*IF(Upgrades!$T$12="Stellar Coupling",POWER(Upgrades!$U$12,K244),1))*Parameters!$B$10*Parameters!$B$11/60/AI244,0)</f>
        <v/>
      </c>
      <c r="AV244" s="32">
        <f>IFERROR(Upgrades!$H$9*(POWER(Upgrades!$P$6,E244)*POWER(Upgrades!$P$7,F244)*POWER(Upgrades!$P$8,G244)*POWER(Upgrades!$P$9,H244)*POWER(Upgrades!$P$10,I244)*POWER(Upgrades!$P$11,J244)*POWER(Upgrades!$P$12,K244))*(IF(Upgrades!$T$6="Magnetosphere",POWER(Upgrades!$U$6,E244),1)*IF(Upgrades!$T$7="Magnetosphere",POWER(Upgrades!$U$7,F244),1)*IF(Upgrades!$T$8="Magnetosphere",POWER(Upgrades!$U$8,G244),1)*IF(Upgrades!$T$10="Magnetosphere",POWER(Upgrades!$U$10,I244),1)*IF(Upgrades!$T$11="Magnetosphere",POWER(Upgrades!$U$11,J244),1)*IF(Upgrades!$T$12="Magnetosphere",POWER(Upgrades!$U$12,K244),1))/AJ244,0)</f>
        <v/>
      </c>
      <c r="AW244" s="32">
        <f>MAX(IF(I244&gt;0,0,IFERROR(0.25*N244/Upgrades!$C$10,0)),IF(J244&gt;0,0,IFERROR(0.5*((IF(G244=0,0,(Upgrades!$J$8+G244*Upgrades!$K$8)*POWER(Upgrades!$L$8,G244)))*(IF(Upgrades!$T$6="Stellar Coupling",POWER(Upgrades!$U$6,E244),1)*IF(Upgrades!$T$7="Stellar Coupling",POWER(Upgrades!$U$7,F244),1)*IF(Upgrades!$T$9="Stellar Coupling",POWER(Upgrades!$U$9,H244),1)*IF(Upgrades!$T$10="Stellar Coupling",POWER(Upgrades!$U$10,I244),1)*IF(Upgrades!$T$11="Stellar Coupling",POWER(Upgrades!$U$11,J244),1)*IF(Upgrades!$T$12="Stellar Coupling",POWER(Upgrades!$U$12,K244),1))*(POWER(Upgrades!$Q$6,E244)*POWER(Upgrades!$Q$7,F244)*POWER(Upgrades!$Q$8,G244)*POWER(Upgrades!$Q$9,H244)*POWER(Upgrades!$Q$10,I244)*POWER(Upgrades!$Q$11,J244)*POWER(Upgrades!$Q$12,K244))*Parameters!$B$10*Parameters!$B$11/60)/Upgrades!$C$11,0)),IF(K244&gt;0,0,IFERROR((1.0*(POWER(Upgrades!$P$6,E244)*POWER(Upgrades!$P$7,F244)*POWER(Upgrades!$P$8,G244)*POWER(Upgrades!$P$9,H244)*POWER(Upgrades!$P$10,I244)*POWER(Upgrades!$P$11,J244)*POWER(Upgrades!$P$12,K244))+0.20*M244*Parameters!$B$10*Parameters!$B$11/60)/Upgrades!$C$12,0)),IF(AND(ISNUMBER(AG244),AG244&gt;T244),AS244,0),IF(AND(ISNUMBER(AH244),AH244&gt;T244),AT244,0),IF(AND(ISNUMBER(AI244),AI244&gt;T244),AU244,0),IF(AND(ISNUMBER(AJ244),AJ244&gt;T244),AV244,0))</f>
        <v/>
      </c>
      <c r="AX244" s="29">
        <f>IF(AN244=1,"transition",IF(MIN(IF(AND(I244=0,ISNUMBER(AK244),AK244&lt;=T244),AK244,9E15),IF(AND(J244=0,ISNUMBER(AL244),AL244&lt;=T244),AL244,9E15),IF(AND(K244=0,ISNUMBER(AM244),AM244&lt;=T244),AM244,9E15))&lt;9E15,IF(AND(AND(I244=0,ISNUMBER(AK244),AK244&lt;=T244),AK244=MIN(IF(AND(I244=0,ISNUMBER(AK244),AK244&lt;=T244),AK244,9E15),IF(AND(J244=0,ISNUMBER(AL244),AL244&lt;=T244),AL244,9E15),IF(AND(K244=0,ISNUMBER(AM244),AM244&lt;=T244),AM244,9E15))),"OR",IF(AND(AND(J244=0,ISNUMBER(AL244),AL244&lt;=T244),AL244=MIN(IF(AND(I244=0,ISNUMBER(AK244),AK244&lt;=T244),AK244,9E15),IF(AND(J244=0,ISNUMBER(AL244),AL244&lt;=T244),AL244,9E15),IF(AND(K244=0,ISNUMBER(AM244),AM244&lt;=T244),AM244,9E15))),"HP","FP")),IF(AR244=TRUE,"",IF(MAX(IF(AND(NOT(AND(AO244=1,AN244&lt;&gt;1)),ISNUMBER(AG244),AG244&lt;=T244),AS244,0),IF(AND(NOT(AND(AO244=1,AN244&lt;&gt;1)),ISNUMBER(AH244),AH244&lt;=T244),AT244,0),IF(AND(NOT(AND(AO244=1,AN244&lt;&gt;1)),ISNUMBER(AI244),AI244&lt;=T244),AU244,0),IF(AND(ISNUMBER(AJ244),AJ244&lt;=T244),AV244,0))&lt;=0,"",IF(AND(IF(AND(NOT(AND(AO244=1,AN244&lt;&gt;1)),ISNUMBER(AG244),AG244&lt;=T244),AS244,0)&gt;0,IF(AND(NOT(AND(AO244=1,AN244&lt;&gt;1)),ISNUMBER(AG244),AG244&lt;=T244),AS244,0)=MAX(IF(AND(NOT(AND(AO244=1,AN244&lt;&gt;1)),ISNUMBER(AG244),AG244&lt;=T244),AS244,0),IF(AND(NOT(AND(AO244=1,AN244&lt;&gt;1)),ISNUMBER(AH244),AH244&lt;=T244),AT244,0),IF(AND(NOT(AND(AO244=1,AN244&lt;&gt;1)),ISNUMBER(AI244),AI244&lt;=T244),AU244,0),IF(AND(ISNUMBER(AJ244),AJ244&lt;=T244),AV244,0))),"SW",IF(AND(IF(AND(NOT(AND(AO244=1,AN244&lt;&gt;1)),ISNUMBER(AH244),AH244&lt;=T244),AT244,0)&gt;0,IF(AND(NOT(AND(AO244=1,AN244&lt;&gt;1)),ISNUMBER(AH244),AH244&lt;=T244),AT244,0)=MAX(IF(AND(NOT(AND(AO244=1,AN244&lt;&gt;1)),ISNUMBER(AG244),AG244&lt;=T244),AS244,0),IF(AND(NOT(AND(AO244=1,AN244&lt;&gt;1)),ISNUMBER(AH244),AH244&lt;=T244),AT244,0),IF(AND(NOT(AND(AO244=1,AN244&lt;&gt;1)),ISNUMBER(AI244),AI244&lt;=T244),AU244,0),IF(AND(ISNUMBER(AJ244),AJ244&lt;=T244),AV244,0))),"AB",IF(AND(IF(AND(NOT(AND(AO244=1,AN244&lt;&gt;1)),ISNUMBER(AI244),AI244&lt;=T244),AU244,0)&gt;0,IF(AND(NOT(AND(AO244=1,AN244&lt;&gt;1)),ISNUMBER(AI244),AI244&lt;=T244),AU244,0)=MAX(IF(AND(NOT(AND(AO244=1,AN244&lt;&gt;1)),ISNUMBER(AG244),AG244&lt;=T244),AS244,0),IF(AND(NOT(AND(AO244=1,AN244&lt;&gt;1)),ISNUMBER(AH244),AH244&lt;=T244),AT244,0),IF(AND(NOT(AND(AO244=1,AN244&lt;&gt;1)),ISNUMBER(AI244),AI244&lt;=T244),AU244,0),IF(AND(ISNUMBER(AJ244),AJ244&lt;=T244),AV244,0))),"SC","Mag")))))))</f>
        <v/>
      </c>
    </row>
    <row r="245">
      <c r="A245" s="26" t="n">
        <v>240</v>
      </c>
      <c r="B245" s="27">
        <f>A245*10/60</f>
        <v/>
      </c>
      <c r="C245" s="22">
        <f>X244</f>
        <v/>
      </c>
      <c r="D245" s="27">
        <f>D244+W244</f>
        <v/>
      </c>
      <c r="E245" s="26">
        <f>E244+IF(U244="SW",1,0)</f>
        <v/>
      </c>
      <c r="F245" s="26">
        <f>F244+IF(U244="AB",1,0)</f>
        <v/>
      </c>
      <c r="G245" s="26">
        <f>G244+IF(U244="SC",1,0)</f>
        <v/>
      </c>
      <c r="H245" s="26">
        <f>H244+IF(U244="Mag",1,0)</f>
        <v/>
      </c>
      <c r="I245" s="26">
        <f>MAX(I244,IF(U244="OR",1,0))</f>
        <v/>
      </c>
      <c r="J245" s="26">
        <f>MAX(J244,IF(U244="HP",1,0))</f>
        <v/>
      </c>
      <c r="K245" s="26">
        <f>MAX(K244,IF(U244="FP",1,0))</f>
        <v/>
      </c>
      <c r="L245" s="26">
        <f>MAX(L244,IF(U244="transition",1,0))</f>
        <v/>
      </c>
      <c r="M245" s="28">
        <f>(Parameters!$B$9+(IF(E245=0,0,(Upgrades!$J$6+E245*Upgrades!$K$6)*POWER(Upgrades!$L$6,E245)))*(IF(Upgrades!$T$7="Solar Wind",POWER(Upgrades!$U$7,F245),1)*IF(Upgrades!$T$8="Solar Wind",POWER(Upgrades!$U$8,G245),1)*IF(Upgrades!$T$9="Solar Wind",POWER(Upgrades!$U$9,H245),1)*IF(Upgrades!$T$10="Solar Wind",POWER(Upgrades!$U$10,I245),1)*IF(Upgrades!$T$11="Solar Wind",POWER(Upgrades!$U$11,J245),1)*IF(Upgrades!$T$12="Solar Wind",POWER(Upgrades!$U$12,K245),1))+(IF(F245=0,0,(Upgrades!$J$7+F245*Upgrades!$K$7)*POWER(Upgrades!$L$7,F245)))*(IF(Upgrades!$T$6="Asteroid Belt",POWER(Upgrades!$U$6,E245),1)*IF(Upgrades!$T$8="Asteroid Belt",POWER(Upgrades!$U$8,G245),1)*IF(Upgrades!$T$9="Asteroid Belt",POWER(Upgrades!$U$9,H245),1)*IF(Upgrades!$T$10="Asteroid Belt",POWER(Upgrades!$U$10,I245),1)*IF(Upgrades!$T$11="Asteroid Belt",POWER(Upgrades!$U$11,J245),1)*IF(Upgrades!$T$12="Asteroid Belt",POWER(Upgrades!$U$12,K245),1))+(IF(G245=0,0,(Upgrades!$J$8+G245*Upgrades!$K$8)*POWER(Upgrades!$L$8,G245)))*(IF(Upgrades!$T$6="Stellar Coupling",POWER(Upgrades!$U$6,E245),1)*IF(Upgrades!$T$7="Stellar Coupling",POWER(Upgrades!$U$7,F245),1)*IF(Upgrades!$T$9="Stellar Coupling",POWER(Upgrades!$U$9,H245),1)*IF(Upgrades!$T$10="Stellar Coupling",POWER(Upgrades!$U$10,I245),1)*IF(Upgrades!$T$11="Stellar Coupling",POWER(Upgrades!$U$11,J245),1)*IF(Upgrades!$T$12="Stellar Coupling",POWER(Upgrades!$U$12,K245),1))+(IF(H245=0,0,(Upgrades!$J$9+H245*Upgrades!$K$9)*POWER(Upgrades!$L$9,H245)))*(IF(Upgrades!$T$6="Magnetosphere",POWER(Upgrades!$U$6,E245),1)*IF(Upgrades!$T$7="Magnetosphere",POWER(Upgrades!$U$7,F245),1)*IF(Upgrades!$T$8="Magnetosphere",POWER(Upgrades!$U$8,G245),1)*IF(Upgrades!$T$10="Magnetosphere",POWER(Upgrades!$U$10,I245),1)*IF(Upgrades!$T$11="Magnetosphere",POWER(Upgrades!$U$11,J245),1)*IF(Upgrades!$T$12="Magnetosphere",POWER(Upgrades!$U$12,K245),1))+(IF(I245=0,0,(Upgrades!$J$10+I245*Upgrades!$K$10)*POWER(Upgrades!$L$10,I245)))*(IF(Upgrades!$T$6="Orbital Resonance",POWER(Upgrades!$U$6,E245),1)*IF(Upgrades!$T$7="Orbital Resonance",POWER(Upgrades!$U$7,F245),1)*IF(Upgrades!$T$8="Orbital Resonance",POWER(Upgrades!$U$8,G245),1)*IF(Upgrades!$T$9="Orbital Resonance",POWER(Upgrades!$U$9,H245),1)*IF(Upgrades!$T$11="Orbital Resonance",POWER(Upgrades!$U$11,J245),1)*IF(Upgrades!$T$12="Orbital Resonance",POWER(Upgrades!$U$12,K245),1))+(IF(J245=0,0,(Upgrades!$J$11+J245*Upgrades!$K$11)*POWER(Upgrades!$L$11,J245)))*(IF(Upgrades!$T$6="Heliopause",POWER(Upgrades!$U$6,E245),1)*IF(Upgrades!$T$7="Heliopause",POWER(Upgrades!$U$7,F245),1)*IF(Upgrades!$T$8="Heliopause",POWER(Upgrades!$U$8,G245),1)*IF(Upgrades!$T$9="Heliopause",POWER(Upgrades!$U$9,H245),1)*IF(Upgrades!$T$10="Heliopause",POWER(Upgrades!$U$10,I245),1)*IF(Upgrades!$T$12="Heliopause",POWER(Upgrades!$U$12,K245),1))+(IF(K245=0,0,(Upgrades!$J$12+K245*Upgrades!$K$12)*POWER(Upgrades!$L$12,K245)))*(IF(Upgrades!$T$6="First Photons",POWER(Upgrades!$U$6,E245),1)*IF(Upgrades!$T$7="First Photons",POWER(Upgrades!$U$7,F245),1)*IF(Upgrades!$T$8="First Photons",POWER(Upgrades!$U$8,G245),1)*IF(Upgrades!$T$9="First Photons",POWER(Upgrades!$U$9,H245),1)*IF(Upgrades!$T$10="First Photons",POWER(Upgrades!$U$10,I245),1)*IF(Upgrades!$T$11="First Photons",POWER(Upgrades!$U$11,J245),1)))*POWER(Upgrades!$Q$6,E245)*POWER(Upgrades!$Q$7,F245)*POWER(Upgrades!$Q$8,G245)*POWER(Upgrades!$Q$9,H245)*POWER(Upgrades!$Q$10,I245)*POWER(Upgrades!$Q$11,J245)*POWER(Upgrades!$Q$12,K245)</f>
        <v/>
      </c>
      <c r="N245" s="28">
        <f>((IF(E245=0,0,(Upgrades!$G$6+E245*Upgrades!$H$6)*POWER(Upgrades!$I$6,E245)))*(IF(Upgrades!$T$7="Solar Wind",POWER(Upgrades!$U$7,F245),1)*IF(Upgrades!$T$8="Solar Wind",POWER(Upgrades!$U$8,G245),1)*IF(Upgrades!$T$9="Solar Wind",POWER(Upgrades!$U$9,H245),1)*IF(Upgrades!$T$10="Solar Wind",POWER(Upgrades!$U$10,I245),1)*IF(Upgrades!$T$11="Solar Wind",POWER(Upgrades!$U$11,J245),1)*IF(Upgrades!$T$12="Solar Wind",POWER(Upgrades!$U$12,K245),1))+(IF(F245=0,0,(Upgrades!$G$7+F245*Upgrades!$H$7)*POWER(Upgrades!$I$7,F245)))*(IF(Upgrades!$T$6="Asteroid Belt",POWER(Upgrades!$U$6,E245),1)*IF(Upgrades!$T$8="Asteroid Belt",POWER(Upgrades!$U$8,G245),1)*IF(Upgrades!$T$9="Asteroid Belt",POWER(Upgrades!$U$9,H245),1)*IF(Upgrades!$T$10="Asteroid Belt",POWER(Upgrades!$U$10,I245),1)*IF(Upgrades!$T$11="Asteroid Belt",POWER(Upgrades!$U$11,J245),1)*IF(Upgrades!$T$12="Asteroid Belt",POWER(Upgrades!$U$12,K245),1))+(IF(G245=0,0,(Upgrades!$G$8+G245*Upgrades!$H$8)*POWER(Upgrades!$I$8,G245)))*(IF(Upgrades!$T$6="Stellar Coupling",POWER(Upgrades!$U$6,E245),1)*IF(Upgrades!$T$7="Stellar Coupling",POWER(Upgrades!$U$7,F245),1)*IF(Upgrades!$T$9="Stellar Coupling",POWER(Upgrades!$U$9,H245),1)*IF(Upgrades!$T$10="Stellar Coupling",POWER(Upgrades!$U$10,I245),1)*IF(Upgrades!$T$11="Stellar Coupling",POWER(Upgrades!$U$11,J245),1)*IF(Upgrades!$T$12="Stellar Coupling",POWER(Upgrades!$U$12,K245),1))+(IF(H245=0,0,(Upgrades!$G$9+H245*Upgrades!$H$9)*POWER(Upgrades!$I$9,H245)))*(IF(Upgrades!$T$6="Magnetosphere",POWER(Upgrades!$U$6,E245),1)*IF(Upgrades!$T$7="Magnetosphere",POWER(Upgrades!$U$7,F245),1)*IF(Upgrades!$T$8="Magnetosphere",POWER(Upgrades!$U$8,G245),1)*IF(Upgrades!$T$10="Magnetosphere",POWER(Upgrades!$U$10,I245),1)*IF(Upgrades!$T$11="Magnetosphere",POWER(Upgrades!$U$11,J245),1)*IF(Upgrades!$T$12="Magnetosphere",POWER(Upgrades!$U$12,K245),1))+(IF(I245=0,0,(Upgrades!$G$10+I245*Upgrades!$H$10)*POWER(Upgrades!$I$10,I245)))*(IF(Upgrades!$T$6="Orbital Resonance",POWER(Upgrades!$U$6,E245),1)*IF(Upgrades!$T$7="Orbital Resonance",POWER(Upgrades!$U$7,F245),1)*IF(Upgrades!$T$8="Orbital Resonance",POWER(Upgrades!$U$8,G245),1)*IF(Upgrades!$T$9="Orbital Resonance",POWER(Upgrades!$U$9,H245),1)*IF(Upgrades!$T$11="Orbital Resonance",POWER(Upgrades!$U$11,J245),1)*IF(Upgrades!$T$12="Orbital Resonance",POWER(Upgrades!$U$12,K245),1))+(IF(J245=0,0,(Upgrades!$G$11+J245*Upgrades!$H$11)*POWER(Upgrades!$I$11,J245)))*(IF(Upgrades!$T$6="Heliopause",POWER(Upgrades!$U$6,E245),1)*IF(Upgrades!$T$7="Heliopause",POWER(Upgrades!$U$7,F245),1)*IF(Upgrades!$T$8="Heliopause",POWER(Upgrades!$U$8,G245),1)*IF(Upgrades!$T$9="Heliopause",POWER(Upgrades!$U$9,H245),1)*IF(Upgrades!$T$10="Heliopause",POWER(Upgrades!$U$10,I245),1)*IF(Upgrades!$T$12="Heliopause",POWER(Upgrades!$U$12,K245),1))+(IF(K245=0,0,(Upgrades!$G$12+K245*Upgrades!$H$12)*POWER(Upgrades!$I$12,K245)))*(IF(Upgrades!$T$6="First Photons",POWER(Upgrades!$U$6,E245),1)*IF(Upgrades!$T$7="First Photons",POWER(Upgrades!$U$7,F245),1)*IF(Upgrades!$T$8="First Photons",POWER(Upgrades!$U$8,G245),1)*IF(Upgrades!$T$9="First Photons",POWER(Upgrades!$U$9,H245),1)*IF(Upgrades!$T$10="First Photons",POWER(Upgrades!$U$10,I245),1)*IF(Upgrades!$T$11="First Photons",POWER(Upgrades!$U$11,J245),1)))*POWER(Upgrades!$P$6,E245)*POWER(Upgrades!$P$7,F245)*POWER(Upgrades!$P$8,G245)*POWER(Upgrades!$P$9,H245)*POWER(Upgrades!$P$10,I245)*POWER(Upgrades!$P$11,J245)*POWER(Upgrades!$P$12,K245)</f>
        <v/>
      </c>
      <c r="O245" s="28">
        <f>((IF(E245=0,0,(Upgrades!$M$6+E245*Upgrades!$N$6)*POWER(Upgrades!$O$6,E245)))*(IF(Upgrades!$T$7="Solar Wind",POWER(Upgrades!$U$7,F245),1)*IF(Upgrades!$T$8="Solar Wind",POWER(Upgrades!$U$8,G245),1)*IF(Upgrades!$T$9="Solar Wind",POWER(Upgrades!$U$9,H245),1)*IF(Upgrades!$T$10="Solar Wind",POWER(Upgrades!$U$10,I245),1)*IF(Upgrades!$T$11="Solar Wind",POWER(Upgrades!$U$11,J245),1)*IF(Upgrades!$T$12="Solar Wind",POWER(Upgrades!$U$12,K245),1))+(IF(F245=0,0,(Upgrades!$M$7+F245*Upgrades!$N$7)*POWER(Upgrades!$O$7,F245)))*(IF(Upgrades!$T$6="Asteroid Belt",POWER(Upgrades!$U$6,E245),1)*IF(Upgrades!$T$8="Asteroid Belt",POWER(Upgrades!$U$8,G245),1)*IF(Upgrades!$T$9="Asteroid Belt",POWER(Upgrades!$U$9,H245),1)*IF(Upgrades!$T$10="Asteroid Belt",POWER(Upgrades!$U$10,I245),1)*IF(Upgrades!$T$11="Asteroid Belt",POWER(Upgrades!$U$11,J245),1)*IF(Upgrades!$T$12="Asteroid Belt",POWER(Upgrades!$U$12,K245),1))+(IF(G245=0,0,(Upgrades!$M$8+G245*Upgrades!$N$8)*POWER(Upgrades!$O$8,G245)))*(IF(Upgrades!$T$6="Stellar Coupling",POWER(Upgrades!$U$6,E245),1)*IF(Upgrades!$T$7="Stellar Coupling",POWER(Upgrades!$U$7,F245),1)*IF(Upgrades!$T$9="Stellar Coupling",POWER(Upgrades!$U$9,H245),1)*IF(Upgrades!$T$10="Stellar Coupling",POWER(Upgrades!$U$10,I245),1)*IF(Upgrades!$T$11="Stellar Coupling",POWER(Upgrades!$U$11,J245),1)*IF(Upgrades!$T$12="Stellar Coupling",POWER(Upgrades!$U$12,K245),1))+(IF(H245=0,0,(Upgrades!$M$9+H245*Upgrades!$N$9)*POWER(Upgrades!$O$9,H245)))*(IF(Upgrades!$T$6="Magnetosphere",POWER(Upgrades!$U$6,E245),1)*IF(Upgrades!$T$7="Magnetosphere",POWER(Upgrades!$U$7,F245),1)*IF(Upgrades!$T$8="Magnetosphere",POWER(Upgrades!$U$8,G245),1)*IF(Upgrades!$T$10="Magnetosphere",POWER(Upgrades!$U$10,I245),1)*IF(Upgrades!$T$11="Magnetosphere",POWER(Upgrades!$U$11,J245),1)*IF(Upgrades!$T$12="Magnetosphere",POWER(Upgrades!$U$12,K245),1))+(IF(I245=0,0,(Upgrades!$M$10+I245*Upgrades!$N$10)*POWER(Upgrades!$O$10,I245)))*(IF(Upgrades!$T$6="Orbital Resonance",POWER(Upgrades!$U$6,E245),1)*IF(Upgrades!$T$7="Orbital Resonance",POWER(Upgrades!$U$7,F245),1)*IF(Upgrades!$T$8="Orbital Resonance",POWER(Upgrades!$U$8,G245),1)*IF(Upgrades!$T$9="Orbital Resonance",POWER(Upgrades!$U$9,H245),1)*IF(Upgrades!$T$11="Orbital Resonance",POWER(Upgrades!$U$11,J245),1)*IF(Upgrades!$T$12="Orbital Resonance",POWER(Upgrades!$U$12,K245),1))+(IF(J245=0,0,(Upgrades!$M$11+J245*Upgrades!$N$11)*POWER(Upgrades!$O$11,J245)))*(IF(Upgrades!$T$6="Heliopause",POWER(Upgrades!$U$6,E245),1)*IF(Upgrades!$T$7="Heliopause",POWER(Upgrades!$U$7,F245),1)*IF(Upgrades!$T$8="Heliopause",POWER(Upgrades!$U$8,G245),1)*IF(Upgrades!$T$9="Heliopause",POWER(Upgrades!$U$9,H245),1)*IF(Upgrades!$T$10="Heliopause",POWER(Upgrades!$U$10,I245),1)*IF(Upgrades!$T$12="Heliopause",POWER(Upgrades!$U$12,K245),1))+(IF(K245=0,0,(Upgrades!$M$12+K245*Upgrades!$N$12)*POWER(Upgrades!$O$12,K245)))*(IF(Upgrades!$T$6="First Photons",POWER(Upgrades!$U$6,E245),1)*IF(Upgrades!$T$7="First Photons",POWER(Upgrades!$U$7,F245),1)*IF(Upgrades!$T$8="First Photons",POWER(Upgrades!$U$8,G245),1)*IF(Upgrades!$T$9="First Photons",POWER(Upgrades!$U$9,H245),1)*IF(Upgrades!$T$10="First Photons",POWER(Upgrades!$U$10,I245),1)*IF(Upgrades!$T$11="First Photons",POWER(Upgrades!$U$11,J245),1)))*POWER(Upgrades!$R$6,E245)*POWER(Upgrades!$R$7,F245)*POWER(Upgrades!$R$8,G245)*POWER(Upgrades!$R$9,H245)*POWER(Upgrades!$R$10,I245)*POWER(Upgrades!$R$11,J245)*POWER(Upgrades!$R$12,K245)</f>
        <v/>
      </c>
      <c r="P245" s="27">
        <f>IF(L245=1,0,M245*Parameters!$B$10/60*Parameters!$B$11*10)</f>
        <v/>
      </c>
      <c r="Q245" s="27">
        <f>IF(L245=1,0,O245*M245*10)</f>
        <v/>
      </c>
      <c r="R245" s="27">
        <f>IF(L245=1,0,N245*10)</f>
        <v/>
      </c>
      <c r="S245" s="27">
        <f>P245+Q245+R245</f>
        <v/>
      </c>
      <c r="T245" s="22">
        <f>C245+S245</f>
        <v/>
      </c>
      <c r="U245" s="33">
        <f>AX245</f>
        <v/>
      </c>
      <c r="V245" s="22">
        <f>IF(U245="",0,IF(U245="transition",0,IF(U245="SW",AG245,IF(U245="AB",AH245,IF(U245="SC",AI245,IF(U245="Mag",AJ245,IF(U245="OR",AK245,IF(U245="HP",AL245,IF(U245="FP",AM245,0)))))))))</f>
        <v/>
      </c>
      <c r="W245" s="27">
        <f>IF(U245="OR",Upgrades!$F$10,IF(U245="HP",Upgrades!$F$11,IF(U245="transition",-Parameters!$B$18,0)))</f>
        <v/>
      </c>
      <c r="X245" s="22">
        <f>T245-V245</f>
        <v/>
      </c>
      <c r="Y245" s="30">
        <f>M245*Parameters!$B$10/60*Parameters!$B$11+O245*M245+N245</f>
        <v/>
      </c>
      <c r="Z245" s="34">
        <f>IF(U245="transition","→ Tier 2 (Stellar Neighborhood)",IF(U245="FP","First Photons — light begins, system quickens",IF(U245="HP","Heliopause acquired",IF(U245="OR","Orbital Resonance — passive multiplier active",IF(AND(AO245=1,L245=0,AN245&lt;&gt;1),"Cohesion ready (waiting on completionist upgrades)","")))))</f>
        <v/>
      </c>
      <c r="AA245" s="27">
        <f>(IF(E245=0,0,(Upgrades!$G$6+E245*Upgrades!$H$6)*POWER(Upgrades!$I$6,E245)))*(IF(Upgrades!$T$7="Solar Wind",POWER(Upgrades!$U$7,F245),1)*IF(Upgrades!$T$8="Solar Wind",POWER(Upgrades!$U$8,G245),1)*IF(Upgrades!$T$9="Solar Wind",POWER(Upgrades!$U$9,H245),1)*IF(Upgrades!$T$10="Solar Wind",POWER(Upgrades!$U$10,I245),1)*IF(Upgrades!$T$11="Solar Wind",POWER(Upgrades!$U$11,J245),1)*IF(Upgrades!$T$12="Solar Wind",POWER(Upgrades!$U$12,K245),1))*POWER(Upgrades!$P$6,E245)*POWER(Upgrades!$P$7,F245)*POWER(Upgrades!$P$8,G245)*POWER(Upgrades!$P$9,H245)*POWER(Upgrades!$P$10,I245)*POWER(Upgrades!$P$11,J245)*POWER(Upgrades!$P$12,K245)*60</f>
        <v/>
      </c>
      <c r="AB245" s="27">
        <f>(IF(F245=0,0,(Upgrades!$G$7+F245*Upgrades!$H$7)*POWER(Upgrades!$I$7,F245)))*(IF(Upgrades!$T$6="Asteroid Belt",POWER(Upgrades!$U$6,E245),1)*IF(Upgrades!$T$8="Asteroid Belt",POWER(Upgrades!$U$8,G245),1)*IF(Upgrades!$T$9="Asteroid Belt",POWER(Upgrades!$U$9,H245),1)*IF(Upgrades!$T$10="Asteroid Belt",POWER(Upgrades!$U$10,I245),1)*IF(Upgrades!$T$11="Asteroid Belt",POWER(Upgrades!$U$11,J245),1)*IF(Upgrades!$T$12="Asteroid Belt",POWER(Upgrades!$U$12,K245),1))*POWER(Upgrades!$P$6,E245)*POWER(Upgrades!$P$7,F245)*POWER(Upgrades!$P$8,G245)*POWER(Upgrades!$P$9,H245)*POWER(Upgrades!$P$10,I245)*POWER(Upgrades!$P$11,J245)*POWER(Upgrades!$P$12,K245)*60</f>
        <v/>
      </c>
      <c r="AC245" s="27">
        <f>(IF(G245=0,0,(Upgrades!$J$8+G245*Upgrades!$K$8)*POWER(Upgrades!$L$8,G245)))*(IF(Upgrades!$T$6="Stellar Coupling",POWER(Upgrades!$U$6,E245),1)*IF(Upgrades!$T$7="Stellar Coupling",POWER(Upgrades!$U$7,F245),1)*IF(Upgrades!$T$9="Stellar Coupling",POWER(Upgrades!$U$9,H245),1)*IF(Upgrades!$T$10="Stellar Coupling",POWER(Upgrades!$U$10,I245),1)*IF(Upgrades!$T$11="Stellar Coupling",POWER(Upgrades!$U$11,J245),1)*IF(Upgrades!$T$12="Stellar Coupling",POWER(Upgrades!$U$12,K245),1))*POWER(Upgrades!$Q$6,E245)*POWER(Upgrades!$Q$7,F245)*POWER(Upgrades!$Q$8,G245)*POWER(Upgrades!$Q$9,H245)*POWER(Upgrades!$Q$10,I245)*POWER(Upgrades!$Q$11,J245)*POWER(Upgrades!$Q$12,K245)*Parameters!$B$10*Parameters!$B$11</f>
        <v/>
      </c>
      <c r="AD245" s="27">
        <f>(IF(H245=0,0,(Upgrades!$G$9+H245*Upgrades!$H$9)*POWER(Upgrades!$I$9,H245)))*(IF(Upgrades!$T$6="Magnetosphere",POWER(Upgrades!$U$6,E245),1)*IF(Upgrades!$T$7="Magnetosphere",POWER(Upgrades!$U$7,F245),1)*IF(Upgrades!$T$8="Magnetosphere",POWER(Upgrades!$U$8,G245),1)*IF(Upgrades!$T$10="Magnetosphere",POWER(Upgrades!$U$10,I245),1)*IF(Upgrades!$T$11="Magnetosphere",POWER(Upgrades!$U$11,J245),1)*IF(Upgrades!$T$12="Magnetosphere",POWER(Upgrades!$U$12,K245),1))*POWER(Upgrades!$P$6,E245)*POWER(Upgrades!$P$7,F245)*POWER(Upgrades!$P$8,G245)*POWER(Upgrades!$P$9,H245)*POWER(Upgrades!$P$10,I245)*POWER(Upgrades!$P$11,J245)*POWER(Upgrades!$P$12,K245)*60</f>
        <v/>
      </c>
      <c r="AE245" s="27">
        <f>(IF(K245=0,0,(Upgrades!$G$12+K245*Upgrades!$H$12)*POWER(Upgrades!$I$12,K245)))*(IF(Upgrades!$T$6="First Photons",POWER(Upgrades!$U$6,E245),1)*IF(Upgrades!$T$7="First Photons",POWER(Upgrades!$U$7,F245),1)*IF(Upgrades!$T$8="First Photons",POWER(Upgrades!$U$8,G245),1)*IF(Upgrades!$T$9="First Photons",POWER(Upgrades!$U$9,H245),1)*IF(Upgrades!$T$10="First Photons",POWER(Upgrades!$U$10,I245),1)*IF(Upgrades!$T$11="First Photons",POWER(Upgrades!$U$11,J245),1))*POWER(Upgrades!$P$6,E245)*POWER(Upgrades!$P$7,F245)*POWER(Upgrades!$P$8,G245)*POWER(Upgrades!$P$9,H245)*POWER(Upgrades!$P$10,I245)*POWER(Upgrades!$P$11,J245)*POWER(Upgrades!$P$12,K245)*60</f>
        <v/>
      </c>
      <c r="AF245" s="27">
        <f>Parameters!$B$9*POWER(Upgrades!$Q$6,E245)*POWER(Upgrades!$Q$7,F245)*POWER(Upgrades!$Q$8,G245)*POWER(Upgrades!$Q$9,H245)*POWER(Upgrades!$Q$10,I245)*POWER(Upgrades!$Q$11,J245)*POWER(Upgrades!$Q$12,K245)*(Parameters!$B$10*Parameters!$B$11+O245*60)</f>
        <v/>
      </c>
      <c r="AG245" s="22">
        <f>IF(E245&gt;=Upgrades!$E$6,"",Upgrades!$C$6*POWER(Upgrades!$D$6,E245))</f>
        <v/>
      </c>
      <c r="AH245" s="22">
        <f>IF(F245&gt;=Upgrades!$E$7,"",Upgrades!$C$7*POWER(Upgrades!$D$7,F245))</f>
        <v/>
      </c>
      <c r="AI245" s="22">
        <f>IF(G245&gt;=Upgrades!$E$8,"",Upgrades!$C$8*POWER(Upgrades!$D$8,G245))</f>
        <v/>
      </c>
      <c r="AJ245" s="22">
        <f>IF(H245&gt;=Upgrades!$E$9,"",Upgrades!$C$9*POWER(Upgrades!$D$9,H245))</f>
        <v/>
      </c>
      <c r="AK245" s="22">
        <f>IF(I245&gt;=Upgrades!$E$10,"",Upgrades!$C$10*POWER(Upgrades!$D$10,I245))</f>
        <v/>
      </c>
      <c r="AL245" s="22">
        <f>IF(J245&gt;=Upgrades!$E$11,"",Upgrades!$C$11*POWER(Upgrades!$D$11,J245))</f>
        <v/>
      </c>
      <c r="AM245" s="22">
        <f>IF(K245&gt;=Upgrades!$E$12,"",Upgrades!$C$12*POWER(Upgrades!$D$12,K245))</f>
        <v/>
      </c>
      <c r="AN245" s="26">
        <f>IF(AND(D245&gt;=Parameters!$B$18,(H245&gt;=Upgrades!$E$9)*(K245&gt;=Upgrades!$E$12)=1,L245=0),1,"")</f>
        <v/>
      </c>
      <c r="AO245" s="26">
        <f>IF(AND(D245&gt;=Parameters!$B$18,L245=0),1,"")</f>
        <v/>
      </c>
      <c r="AP245" s="22">
        <f>MIN(IF(ISNUMBER(AK245),AK245,9E15),IF(ISNUMBER(AL245),AL245,9E15),IF(ISNUMBER(AM245),AM245,9E15))</f>
        <v/>
      </c>
      <c r="AQ245" s="22">
        <f>MIN(IF(ISNUMBER(AG245),AG245,9E15),IF(ISNUMBER(AH245),AH245,9E15),IF(ISNUMBER(AI245),AI245,9E15),IF(ISNUMBER(AJ245),AJ245,9E15))</f>
        <v/>
      </c>
      <c r="AR245" s="29">
        <f>IF(AW245&gt;Parameters!$B$21*(MAX(IF(AND(NOT(AND(AO245=1,AN245&lt;&gt;1)),ISNUMBER(AG245),AG245&lt;=T245),AS245,0),IF(AND(NOT(AND(AO245=1,AN245&lt;&gt;1)),ISNUMBER(AH245),AH245&lt;=T245),AT245,0),IF(AND(NOT(AND(AO245=1,AN245&lt;&gt;1)),ISNUMBER(AI245),AI245&lt;=T245),AU245,0),IF(AND(ISNUMBER(AJ245),AJ245&lt;=T245),AV245,0))),TRUE,FALSE)</f>
        <v/>
      </c>
      <c r="AS245" s="32">
        <f>IFERROR(Upgrades!$H$6*(POWER(Upgrades!$P$6,E245)*POWER(Upgrades!$P$7,F245)*POWER(Upgrades!$P$8,G245)*POWER(Upgrades!$P$9,H245)*POWER(Upgrades!$P$10,I245)*POWER(Upgrades!$P$11,J245)*POWER(Upgrades!$P$12,K245))*(IF(Upgrades!$T$7="Solar Wind",POWER(Upgrades!$U$7,F245),1)*IF(Upgrades!$T$8="Solar Wind",POWER(Upgrades!$U$8,G245),1)*IF(Upgrades!$T$9="Solar Wind",POWER(Upgrades!$U$9,H245),1)*IF(Upgrades!$T$10="Solar Wind",POWER(Upgrades!$U$10,I245),1)*IF(Upgrades!$T$11="Solar Wind",POWER(Upgrades!$U$11,J245),1)*IF(Upgrades!$T$12="Solar Wind",POWER(Upgrades!$U$12,K245),1))/AG245,0)</f>
        <v/>
      </c>
      <c r="AT245" s="32">
        <f>IFERROR(Upgrades!$H$7*(POWER(Upgrades!$P$6,E245)*POWER(Upgrades!$P$7,F245)*POWER(Upgrades!$P$8,G245)*POWER(Upgrades!$P$9,H245)*POWER(Upgrades!$P$10,I245)*POWER(Upgrades!$P$11,J245)*POWER(Upgrades!$P$12,K245))*(IF(Upgrades!$T$6="Asteroid Belt",POWER(Upgrades!$U$6,E245),1)*IF(Upgrades!$T$8="Asteroid Belt",POWER(Upgrades!$U$8,G245),1)*IF(Upgrades!$T$9="Asteroid Belt",POWER(Upgrades!$U$9,H245),1)*IF(Upgrades!$T$10="Asteroid Belt",POWER(Upgrades!$U$10,I245),1)*IF(Upgrades!$T$11="Asteroid Belt",POWER(Upgrades!$U$11,J245),1)*IF(Upgrades!$T$12="Asteroid Belt",POWER(Upgrades!$U$12,K245),1))/AH245,0)</f>
        <v/>
      </c>
      <c r="AU245" s="32">
        <f>IFERROR(Upgrades!$K$8*(POWER(Upgrades!$Q$6,E245)*POWER(Upgrades!$Q$7,F245)*POWER(Upgrades!$Q$8,G245)*POWER(Upgrades!$Q$9,H245)*POWER(Upgrades!$Q$10,I245)*POWER(Upgrades!$Q$11,J245)*POWER(Upgrades!$Q$12,K245))*(IF(Upgrades!$T$6="Stellar Coupling",POWER(Upgrades!$U$6,E245),1)*IF(Upgrades!$T$7="Stellar Coupling",POWER(Upgrades!$U$7,F245),1)*IF(Upgrades!$T$9="Stellar Coupling",POWER(Upgrades!$U$9,H245),1)*IF(Upgrades!$T$10="Stellar Coupling",POWER(Upgrades!$U$10,I245),1)*IF(Upgrades!$T$11="Stellar Coupling",POWER(Upgrades!$U$11,J245),1)*IF(Upgrades!$T$12="Stellar Coupling",POWER(Upgrades!$U$12,K245),1))*Parameters!$B$10*Parameters!$B$11/60/AI245,0)</f>
        <v/>
      </c>
      <c r="AV245" s="32">
        <f>IFERROR(Upgrades!$H$9*(POWER(Upgrades!$P$6,E245)*POWER(Upgrades!$P$7,F245)*POWER(Upgrades!$P$8,G245)*POWER(Upgrades!$P$9,H245)*POWER(Upgrades!$P$10,I245)*POWER(Upgrades!$P$11,J245)*POWER(Upgrades!$P$12,K245))*(IF(Upgrades!$T$6="Magnetosphere",POWER(Upgrades!$U$6,E245),1)*IF(Upgrades!$T$7="Magnetosphere",POWER(Upgrades!$U$7,F245),1)*IF(Upgrades!$T$8="Magnetosphere",POWER(Upgrades!$U$8,G245),1)*IF(Upgrades!$T$10="Magnetosphere",POWER(Upgrades!$U$10,I245),1)*IF(Upgrades!$T$11="Magnetosphere",POWER(Upgrades!$U$11,J245),1)*IF(Upgrades!$T$12="Magnetosphere",POWER(Upgrades!$U$12,K245),1))/AJ245,0)</f>
        <v/>
      </c>
      <c r="AW245" s="32">
        <f>MAX(IF(I245&gt;0,0,IFERROR(0.25*N245/Upgrades!$C$10,0)),IF(J245&gt;0,0,IFERROR(0.5*((IF(G245=0,0,(Upgrades!$J$8+G245*Upgrades!$K$8)*POWER(Upgrades!$L$8,G245)))*(IF(Upgrades!$T$6="Stellar Coupling",POWER(Upgrades!$U$6,E245),1)*IF(Upgrades!$T$7="Stellar Coupling",POWER(Upgrades!$U$7,F245),1)*IF(Upgrades!$T$9="Stellar Coupling",POWER(Upgrades!$U$9,H245),1)*IF(Upgrades!$T$10="Stellar Coupling",POWER(Upgrades!$U$10,I245),1)*IF(Upgrades!$T$11="Stellar Coupling",POWER(Upgrades!$U$11,J245),1)*IF(Upgrades!$T$12="Stellar Coupling",POWER(Upgrades!$U$12,K245),1))*(POWER(Upgrades!$Q$6,E245)*POWER(Upgrades!$Q$7,F245)*POWER(Upgrades!$Q$8,G245)*POWER(Upgrades!$Q$9,H245)*POWER(Upgrades!$Q$10,I245)*POWER(Upgrades!$Q$11,J245)*POWER(Upgrades!$Q$12,K245))*Parameters!$B$10*Parameters!$B$11/60)/Upgrades!$C$11,0)),IF(K245&gt;0,0,IFERROR((1.0*(POWER(Upgrades!$P$6,E245)*POWER(Upgrades!$P$7,F245)*POWER(Upgrades!$P$8,G245)*POWER(Upgrades!$P$9,H245)*POWER(Upgrades!$P$10,I245)*POWER(Upgrades!$P$11,J245)*POWER(Upgrades!$P$12,K245))+0.20*M245*Parameters!$B$10*Parameters!$B$11/60)/Upgrades!$C$12,0)),IF(AND(ISNUMBER(AG245),AG245&gt;T245),AS245,0),IF(AND(ISNUMBER(AH245),AH245&gt;T245),AT245,0),IF(AND(ISNUMBER(AI245),AI245&gt;T245),AU245,0),IF(AND(ISNUMBER(AJ245),AJ245&gt;T245),AV245,0))</f>
        <v/>
      </c>
      <c r="AX245" s="29">
        <f>IF(AN245=1,"transition",IF(MIN(IF(AND(I245=0,ISNUMBER(AK245),AK245&lt;=T245),AK245,9E15),IF(AND(J245=0,ISNUMBER(AL245),AL245&lt;=T245),AL245,9E15),IF(AND(K245=0,ISNUMBER(AM245),AM245&lt;=T245),AM245,9E15))&lt;9E15,IF(AND(AND(I245=0,ISNUMBER(AK245),AK245&lt;=T245),AK245=MIN(IF(AND(I245=0,ISNUMBER(AK245),AK245&lt;=T245),AK245,9E15),IF(AND(J245=0,ISNUMBER(AL245),AL245&lt;=T245),AL245,9E15),IF(AND(K245=0,ISNUMBER(AM245),AM245&lt;=T245),AM245,9E15))),"OR",IF(AND(AND(J245=0,ISNUMBER(AL245),AL245&lt;=T245),AL245=MIN(IF(AND(I245=0,ISNUMBER(AK245),AK245&lt;=T245),AK245,9E15),IF(AND(J245=0,ISNUMBER(AL245),AL245&lt;=T245),AL245,9E15),IF(AND(K245=0,ISNUMBER(AM245),AM245&lt;=T245),AM245,9E15))),"HP","FP")),IF(AR245=TRUE,"",IF(MAX(IF(AND(NOT(AND(AO245=1,AN245&lt;&gt;1)),ISNUMBER(AG245),AG245&lt;=T245),AS245,0),IF(AND(NOT(AND(AO245=1,AN245&lt;&gt;1)),ISNUMBER(AH245),AH245&lt;=T245),AT245,0),IF(AND(NOT(AND(AO245=1,AN245&lt;&gt;1)),ISNUMBER(AI245),AI245&lt;=T245),AU245,0),IF(AND(ISNUMBER(AJ245),AJ245&lt;=T245),AV245,0))&lt;=0,"",IF(AND(IF(AND(NOT(AND(AO245=1,AN245&lt;&gt;1)),ISNUMBER(AG245),AG245&lt;=T245),AS245,0)&gt;0,IF(AND(NOT(AND(AO245=1,AN245&lt;&gt;1)),ISNUMBER(AG245),AG245&lt;=T245),AS245,0)=MAX(IF(AND(NOT(AND(AO245=1,AN245&lt;&gt;1)),ISNUMBER(AG245),AG245&lt;=T245),AS245,0),IF(AND(NOT(AND(AO245=1,AN245&lt;&gt;1)),ISNUMBER(AH245),AH245&lt;=T245),AT245,0),IF(AND(NOT(AND(AO245=1,AN245&lt;&gt;1)),ISNUMBER(AI245),AI245&lt;=T245),AU245,0),IF(AND(ISNUMBER(AJ245),AJ245&lt;=T245),AV245,0))),"SW",IF(AND(IF(AND(NOT(AND(AO245=1,AN245&lt;&gt;1)),ISNUMBER(AH245),AH245&lt;=T245),AT245,0)&gt;0,IF(AND(NOT(AND(AO245=1,AN245&lt;&gt;1)),ISNUMBER(AH245),AH245&lt;=T245),AT245,0)=MAX(IF(AND(NOT(AND(AO245=1,AN245&lt;&gt;1)),ISNUMBER(AG245),AG245&lt;=T245),AS245,0),IF(AND(NOT(AND(AO245=1,AN245&lt;&gt;1)),ISNUMBER(AH245),AH245&lt;=T245),AT245,0),IF(AND(NOT(AND(AO245=1,AN245&lt;&gt;1)),ISNUMBER(AI245),AI245&lt;=T245),AU245,0),IF(AND(ISNUMBER(AJ245),AJ245&lt;=T245),AV245,0))),"AB",IF(AND(IF(AND(NOT(AND(AO245=1,AN245&lt;&gt;1)),ISNUMBER(AI245),AI245&lt;=T245),AU245,0)&gt;0,IF(AND(NOT(AND(AO245=1,AN245&lt;&gt;1)),ISNUMBER(AI245),AI245&lt;=T245),AU245,0)=MAX(IF(AND(NOT(AND(AO245=1,AN245&lt;&gt;1)),ISNUMBER(AG245),AG245&lt;=T245),AS245,0),IF(AND(NOT(AND(AO245=1,AN245&lt;&gt;1)),ISNUMBER(AH245),AH245&lt;=T245),AT245,0),IF(AND(NOT(AND(AO245=1,AN245&lt;&gt;1)),ISNUMBER(AI245),AI245&lt;=T245),AU245,0),IF(AND(ISNUMBER(AJ245),AJ245&lt;=T245),AV245,0))),"SC","Mag")))))))</f>
        <v/>
      </c>
    </row>
    <row r="246">
      <c r="A246" s="26" t="n">
        <v>241</v>
      </c>
      <c r="B246" s="27">
        <f>A246*10/60</f>
        <v/>
      </c>
      <c r="C246" s="22">
        <f>X245</f>
        <v/>
      </c>
      <c r="D246" s="27">
        <f>D245+W245</f>
        <v/>
      </c>
      <c r="E246" s="26">
        <f>E245+IF(U245="SW",1,0)</f>
        <v/>
      </c>
      <c r="F246" s="26">
        <f>F245+IF(U245="AB",1,0)</f>
        <v/>
      </c>
      <c r="G246" s="26">
        <f>G245+IF(U245="SC",1,0)</f>
        <v/>
      </c>
      <c r="H246" s="26">
        <f>H245+IF(U245="Mag",1,0)</f>
        <v/>
      </c>
      <c r="I246" s="26">
        <f>MAX(I245,IF(U245="OR",1,0))</f>
        <v/>
      </c>
      <c r="J246" s="26">
        <f>MAX(J245,IF(U245="HP",1,0))</f>
        <v/>
      </c>
      <c r="K246" s="26">
        <f>MAX(K245,IF(U245="FP",1,0))</f>
        <v/>
      </c>
      <c r="L246" s="26">
        <f>MAX(L245,IF(U245="transition",1,0))</f>
        <v/>
      </c>
      <c r="M246" s="28">
        <f>(Parameters!$B$9+(IF(E246=0,0,(Upgrades!$J$6+E246*Upgrades!$K$6)*POWER(Upgrades!$L$6,E246)))*(IF(Upgrades!$T$7="Solar Wind",POWER(Upgrades!$U$7,F246),1)*IF(Upgrades!$T$8="Solar Wind",POWER(Upgrades!$U$8,G246),1)*IF(Upgrades!$T$9="Solar Wind",POWER(Upgrades!$U$9,H246),1)*IF(Upgrades!$T$10="Solar Wind",POWER(Upgrades!$U$10,I246),1)*IF(Upgrades!$T$11="Solar Wind",POWER(Upgrades!$U$11,J246),1)*IF(Upgrades!$T$12="Solar Wind",POWER(Upgrades!$U$12,K246),1))+(IF(F246=0,0,(Upgrades!$J$7+F246*Upgrades!$K$7)*POWER(Upgrades!$L$7,F246)))*(IF(Upgrades!$T$6="Asteroid Belt",POWER(Upgrades!$U$6,E246),1)*IF(Upgrades!$T$8="Asteroid Belt",POWER(Upgrades!$U$8,G246),1)*IF(Upgrades!$T$9="Asteroid Belt",POWER(Upgrades!$U$9,H246),1)*IF(Upgrades!$T$10="Asteroid Belt",POWER(Upgrades!$U$10,I246),1)*IF(Upgrades!$T$11="Asteroid Belt",POWER(Upgrades!$U$11,J246),1)*IF(Upgrades!$T$12="Asteroid Belt",POWER(Upgrades!$U$12,K246),1))+(IF(G246=0,0,(Upgrades!$J$8+G246*Upgrades!$K$8)*POWER(Upgrades!$L$8,G246)))*(IF(Upgrades!$T$6="Stellar Coupling",POWER(Upgrades!$U$6,E246),1)*IF(Upgrades!$T$7="Stellar Coupling",POWER(Upgrades!$U$7,F246),1)*IF(Upgrades!$T$9="Stellar Coupling",POWER(Upgrades!$U$9,H246),1)*IF(Upgrades!$T$10="Stellar Coupling",POWER(Upgrades!$U$10,I246),1)*IF(Upgrades!$T$11="Stellar Coupling",POWER(Upgrades!$U$11,J246),1)*IF(Upgrades!$T$12="Stellar Coupling",POWER(Upgrades!$U$12,K246),1))+(IF(H246=0,0,(Upgrades!$J$9+H246*Upgrades!$K$9)*POWER(Upgrades!$L$9,H246)))*(IF(Upgrades!$T$6="Magnetosphere",POWER(Upgrades!$U$6,E246),1)*IF(Upgrades!$T$7="Magnetosphere",POWER(Upgrades!$U$7,F246),1)*IF(Upgrades!$T$8="Magnetosphere",POWER(Upgrades!$U$8,G246),1)*IF(Upgrades!$T$10="Magnetosphere",POWER(Upgrades!$U$10,I246),1)*IF(Upgrades!$T$11="Magnetosphere",POWER(Upgrades!$U$11,J246),1)*IF(Upgrades!$T$12="Magnetosphere",POWER(Upgrades!$U$12,K246),1))+(IF(I246=0,0,(Upgrades!$J$10+I246*Upgrades!$K$10)*POWER(Upgrades!$L$10,I246)))*(IF(Upgrades!$T$6="Orbital Resonance",POWER(Upgrades!$U$6,E246),1)*IF(Upgrades!$T$7="Orbital Resonance",POWER(Upgrades!$U$7,F246),1)*IF(Upgrades!$T$8="Orbital Resonance",POWER(Upgrades!$U$8,G246),1)*IF(Upgrades!$T$9="Orbital Resonance",POWER(Upgrades!$U$9,H246),1)*IF(Upgrades!$T$11="Orbital Resonance",POWER(Upgrades!$U$11,J246),1)*IF(Upgrades!$T$12="Orbital Resonance",POWER(Upgrades!$U$12,K246),1))+(IF(J246=0,0,(Upgrades!$J$11+J246*Upgrades!$K$11)*POWER(Upgrades!$L$11,J246)))*(IF(Upgrades!$T$6="Heliopause",POWER(Upgrades!$U$6,E246),1)*IF(Upgrades!$T$7="Heliopause",POWER(Upgrades!$U$7,F246),1)*IF(Upgrades!$T$8="Heliopause",POWER(Upgrades!$U$8,G246),1)*IF(Upgrades!$T$9="Heliopause",POWER(Upgrades!$U$9,H246),1)*IF(Upgrades!$T$10="Heliopause",POWER(Upgrades!$U$10,I246),1)*IF(Upgrades!$T$12="Heliopause",POWER(Upgrades!$U$12,K246),1))+(IF(K246=0,0,(Upgrades!$J$12+K246*Upgrades!$K$12)*POWER(Upgrades!$L$12,K246)))*(IF(Upgrades!$T$6="First Photons",POWER(Upgrades!$U$6,E246),1)*IF(Upgrades!$T$7="First Photons",POWER(Upgrades!$U$7,F246),1)*IF(Upgrades!$T$8="First Photons",POWER(Upgrades!$U$8,G246),1)*IF(Upgrades!$T$9="First Photons",POWER(Upgrades!$U$9,H246),1)*IF(Upgrades!$T$10="First Photons",POWER(Upgrades!$U$10,I246),1)*IF(Upgrades!$T$11="First Photons",POWER(Upgrades!$U$11,J246),1)))*POWER(Upgrades!$Q$6,E246)*POWER(Upgrades!$Q$7,F246)*POWER(Upgrades!$Q$8,G246)*POWER(Upgrades!$Q$9,H246)*POWER(Upgrades!$Q$10,I246)*POWER(Upgrades!$Q$11,J246)*POWER(Upgrades!$Q$12,K246)</f>
        <v/>
      </c>
      <c r="N246" s="28">
        <f>((IF(E246=0,0,(Upgrades!$G$6+E246*Upgrades!$H$6)*POWER(Upgrades!$I$6,E246)))*(IF(Upgrades!$T$7="Solar Wind",POWER(Upgrades!$U$7,F246),1)*IF(Upgrades!$T$8="Solar Wind",POWER(Upgrades!$U$8,G246),1)*IF(Upgrades!$T$9="Solar Wind",POWER(Upgrades!$U$9,H246),1)*IF(Upgrades!$T$10="Solar Wind",POWER(Upgrades!$U$10,I246),1)*IF(Upgrades!$T$11="Solar Wind",POWER(Upgrades!$U$11,J246),1)*IF(Upgrades!$T$12="Solar Wind",POWER(Upgrades!$U$12,K246),1))+(IF(F246=0,0,(Upgrades!$G$7+F246*Upgrades!$H$7)*POWER(Upgrades!$I$7,F246)))*(IF(Upgrades!$T$6="Asteroid Belt",POWER(Upgrades!$U$6,E246),1)*IF(Upgrades!$T$8="Asteroid Belt",POWER(Upgrades!$U$8,G246),1)*IF(Upgrades!$T$9="Asteroid Belt",POWER(Upgrades!$U$9,H246),1)*IF(Upgrades!$T$10="Asteroid Belt",POWER(Upgrades!$U$10,I246),1)*IF(Upgrades!$T$11="Asteroid Belt",POWER(Upgrades!$U$11,J246),1)*IF(Upgrades!$T$12="Asteroid Belt",POWER(Upgrades!$U$12,K246),1))+(IF(G246=0,0,(Upgrades!$G$8+G246*Upgrades!$H$8)*POWER(Upgrades!$I$8,G246)))*(IF(Upgrades!$T$6="Stellar Coupling",POWER(Upgrades!$U$6,E246),1)*IF(Upgrades!$T$7="Stellar Coupling",POWER(Upgrades!$U$7,F246),1)*IF(Upgrades!$T$9="Stellar Coupling",POWER(Upgrades!$U$9,H246),1)*IF(Upgrades!$T$10="Stellar Coupling",POWER(Upgrades!$U$10,I246),1)*IF(Upgrades!$T$11="Stellar Coupling",POWER(Upgrades!$U$11,J246),1)*IF(Upgrades!$T$12="Stellar Coupling",POWER(Upgrades!$U$12,K246),1))+(IF(H246=0,0,(Upgrades!$G$9+H246*Upgrades!$H$9)*POWER(Upgrades!$I$9,H246)))*(IF(Upgrades!$T$6="Magnetosphere",POWER(Upgrades!$U$6,E246),1)*IF(Upgrades!$T$7="Magnetosphere",POWER(Upgrades!$U$7,F246),1)*IF(Upgrades!$T$8="Magnetosphere",POWER(Upgrades!$U$8,G246),1)*IF(Upgrades!$T$10="Magnetosphere",POWER(Upgrades!$U$10,I246),1)*IF(Upgrades!$T$11="Magnetosphere",POWER(Upgrades!$U$11,J246),1)*IF(Upgrades!$T$12="Magnetosphere",POWER(Upgrades!$U$12,K246),1))+(IF(I246=0,0,(Upgrades!$G$10+I246*Upgrades!$H$10)*POWER(Upgrades!$I$10,I246)))*(IF(Upgrades!$T$6="Orbital Resonance",POWER(Upgrades!$U$6,E246),1)*IF(Upgrades!$T$7="Orbital Resonance",POWER(Upgrades!$U$7,F246),1)*IF(Upgrades!$T$8="Orbital Resonance",POWER(Upgrades!$U$8,G246),1)*IF(Upgrades!$T$9="Orbital Resonance",POWER(Upgrades!$U$9,H246),1)*IF(Upgrades!$T$11="Orbital Resonance",POWER(Upgrades!$U$11,J246),1)*IF(Upgrades!$T$12="Orbital Resonance",POWER(Upgrades!$U$12,K246),1))+(IF(J246=0,0,(Upgrades!$G$11+J246*Upgrades!$H$11)*POWER(Upgrades!$I$11,J246)))*(IF(Upgrades!$T$6="Heliopause",POWER(Upgrades!$U$6,E246),1)*IF(Upgrades!$T$7="Heliopause",POWER(Upgrades!$U$7,F246),1)*IF(Upgrades!$T$8="Heliopause",POWER(Upgrades!$U$8,G246),1)*IF(Upgrades!$T$9="Heliopause",POWER(Upgrades!$U$9,H246),1)*IF(Upgrades!$T$10="Heliopause",POWER(Upgrades!$U$10,I246),1)*IF(Upgrades!$T$12="Heliopause",POWER(Upgrades!$U$12,K246),1))+(IF(K246=0,0,(Upgrades!$G$12+K246*Upgrades!$H$12)*POWER(Upgrades!$I$12,K246)))*(IF(Upgrades!$T$6="First Photons",POWER(Upgrades!$U$6,E246),1)*IF(Upgrades!$T$7="First Photons",POWER(Upgrades!$U$7,F246),1)*IF(Upgrades!$T$8="First Photons",POWER(Upgrades!$U$8,G246),1)*IF(Upgrades!$T$9="First Photons",POWER(Upgrades!$U$9,H246),1)*IF(Upgrades!$T$10="First Photons",POWER(Upgrades!$U$10,I246),1)*IF(Upgrades!$T$11="First Photons",POWER(Upgrades!$U$11,J246),1)))*POWER(Upgrades!$P$6,E246)*POWER(Upgrades!$P$7,F246)*POWER(Upgrades!$P$8,G246)*POWER(Upgrades!$P$9,H246)*POWER(Upgrades!$P$10,I246)*POWER(Upgrades!$P$11,J246)*POWER(Upgrades!$P$12,K246)</f>
        <v/>
      </c>
      <c r="O246" s="28">
        <f>((IF(E246=0,0,(Upgrades!$M$6+E246*Upgrades!$N$6)*POWER(Upgrades!$O$6,E246)))*(IF(Upgrades!$T$7="Solar Wind",POWER(Upgrades!$U$7,F246),1)*IF(Upgrades!$T$8="Solar Wind",POWER(Upgrades!$U$8,G246),1)*IF(Upgrades!$T$9="Solar Wind",POWER(Upgrades!$U$9,H246),1)*IF(Upgrades!$T$10="Solar Wind",POWER(Upgrades!$U$10,I246),1)*IF(Upgrades!$T$11="Solar Wind",POWER(Upgrades!$U$11,J246),1)*IF(Upgrades!$T$12="Solar Wind",POWER(Upgrades!$U$12,K246),1))+(IF(F246=0,0,(Upgrades!$M$7+F246*Upgrades!$N$7)*POWER(Upgrades!$O$7,F246)))*(IF(Upgrades!$T$6="Asteroid Belt",POWER(Upgrades!$U$6,E246),1)*IF(Upgrades!$T$8="Asteroid Belt",POWER(Upgrades!$U$8,G246),1)*IF(Upgrades!$T$9="Asteroid Belt",POWER(Upgrades!$U$9,H246),1)*IF(Upgrades!$T$10="Asteroid Belt",POWER(Upgrades!$U$10,I246),1)*IF(Upgrades!$T$11="Asteroid Belt",POWER(Upgrades!$U$11,J246),1)*IF(Upgrades!$T$12="Asteroid Belt",POWER(Upgrades!$U$12,K246),1))+(IF(G246=0,0,(Upgrades!$M$8+G246*Upgrades!$N$8)*POWER(Upgrades!$O$8,G246)))*(IF(Upgrades!$T$6="Stellar Coupling",POWER(Upgrades!$U$6,E246),1)*IF(Upgrades!$T$7="Stellar Coupling",POWER(Upgrades!$U$7,F246),1)*IF(Upgrades!$T$9="Stellar Coupling",POWER(Upgrades!$U$9,H246),1)*IF(Upgrades!$T$10="Stellar Coupling",POWER(Upgrades!$U$10,I246),1)*IF(Upgrades!$T$11="Stellar Coupling",POWER(Upgrades!$U$11,J246),1)*IF(Upgrades!$T$12="Stellar Coupling",POWER(Upgrades!$U$12,K246),1))+(IF(H246=0,0,(Upgrades!$M$9+H246*Upgrades!$N$9)*POWER(Upgrades!$O$9,H246)))*(IF(Upgrades!$T$6="Magnetosphere",POWER(Upgrades!$U$6,E246),1)*IF(Upgrades!$T$7="Magnetosphere",POWER(Upgrades!$U$7,F246),1)*IF(Upgrades!$T$8="Magnetosphere",POWER(Upgrades!$U$8,G246),1)*IF(Upgrades!$T$10="Magnetosphere",POWER(Upgrades!$U$10,I246),1)*IF(Upgrades!$T$11="Magnetosphere",POWER(Upgrades!$U$11,J246),1)*IF(Upgrades!$T$12="Magnetosphere",POWER(Upgrades!$U$12,K246),1))+(IF(I246=0,0,(Upgrades!$M$10+I246*Upgrades!$N$10)*POWER(Upgrades!$O$10,I246)))*(IF(Upgrades!$T$6="Orbital Resonance",POWER(Upgrades!$U$6,E246),1)*IF(Upgrades!$T$7="Orbital Resonance",POWER(Upgrades!$U$7,F246),1)*IF(Upgrades!$T$8="Orbital Resonance",POWER(Upgrades!$U$8,G246),1)*IF(Upgrades!$T$9="Orbital Resonance",POWER(Upgrades!$U$9,H246),1)*IF(Upgrades!$T$11="Orbital Resonance",POWER(Upgrades!$U$11,J246),1)*IF(Upgrades!$T$12="Orbital Resonance",POWER(Upgrades!$U$12,K246),1))+(IF(J246=0,0,(Upgrades!$M$11+J246*Upgrades!$N$11)*POWER(Upgrades!$O$11,J246)))*(IF(Upgrades!$T$6="Heliopause",POWER(Upgrades!$U$6,E246),1)*IF(Upgrades!$T$7="Heliopause",POWER(Upgrades!$U$7,F246),1)*IF(Upgrades!$T$8="Heliopause",POWER(Upgrades!$U$8,G246),1)*IF(Upgrades!$T$9="Heliopause",POWER(Upgrades!$U$9,H246),1)*IF(Upgrades!$T$10="Heliopause",POWER(Upgrades!$U$10,I246),1)*IF(Upgrades!$T$12="Heliopause",POWER(Upgrades!$U$12,K246),1))+(IF(K246=0,0,(Upgrades!$M$12+K246*Upgrades!$N$12)*POWER(Upgrades!$O$12,K246)))*(IF(Upgrades!$T$6="First Photons",POWER(Upgrades!$U$6,E246),1)*IF(Upgrades!$T$7="First Photons",POWER(Upgrades!$U$7,F246),1)*IF(Upgrades!$T$8="First Photons",POWER(Upgrades!$U$8,G246),1)*IF(Upgrades!$T$9="First Photons",POWER(Upgrades!$U$9,H246),1)*IF(Upgrades!$T$10="First Photons",POWER(Upgrades!$U$10,I246),1)*IF(Upgrades!$T$11="First Photons",POWER(Upgrades!$U$11,J246),1)))*POWER(Upgrades!$R$6,E246)*POWER(Upgrades!$R$7,F246)*POWER(Upgrades!$R$8,G246)*POWER(Upgrades!$R$9,H246)*POWER(Upgrades!$R$10,I246)*POWER(Upgrades!$R$11,J246)*POWER(Upgrades!$R$12,K246)</f>
        <v/>
      </c>
      <c r="P246" s="27">
        <f>IF(L246=1,0,M246*Parameters!$B$10/60*Parameters!$B$11*10)</f>
        <v/>
      </c>
      <c r="Q246" s="27">
        <f>IF(L246=1,0,O246*M246*10)</f>
        <v/>
      </c>
      <c r="R246" s="27">
        <f>IF(L246=1,0,N246*10)</f>
        <v/>
      </c>
      <c r="S246" s="27">
        <f>P246+Q246+R246</f>
        <v/>
      </c>
      <c r="T246" s="22">
        <f>C246+S246</f>
        <v/>
      </c>
      <c r="U246" s="33">
        <f>AX246</f>
        <v/>
      </c>
      <c r="V246" s="22">
        <f>IF(U246="",0,IF(U246="transition",0,IF(U246="SW",AG246,IF(U246="AB",AH246,IF(U246="SC",AI246,IF(U246="Mag",AJ246,IF(U246="OR",AK246,IF(U246="HP",AL246,IF(U246="FP",AM246,0)))))))))</f>
        <v/>
      </c>
      <c r="W246" s="27">
        <f>IF(U246="OR",Upgrades!$F$10,IF(U246="HP",Upgrades!$F$11,IF(U246="transition",-Parameters!$B$18,0)))</f>
        <v/>
      </c>
      <c r="X246" s="22">
        <f>T246-V246</f>
        <v/>
      </c>
      <c r="Y246" s="30">
        <f>M246*Parameters!$B$10/60*Parameters!$B$11+O246*M246+N246</f>
        <v/>
      </c>
      <c r="Z246" s="34">
        <f>IF(U246="transition","→ Tier 2 (Stellar Neighborhood)",IF(U246="FP","First Photons — light begins, system quickens",IF(U246="HP","Heliopause acquired",IF(U246="OR","Orbital Resonance — passive multiplier active",IF(AND(AO246=1,L246=0,AN246&lt;&gt;1),"Cohesion ready (waiting on completionist upgrades)","")))))</f>
        <v/>
      </c>
      <c r="AA246" s="27">
        <f>(IF(E246=0,0,(Upgrades!$G$6+E246*Upgrades!$H$6)*POWER(Upgrades!$I$6,E246)))*(IF(Upgrades!$T$7="Solar Wind",POWER(Upgrades!$U$7,F246),1)*IF(Upgrades!$T$8="Solar Wind",POWER(Upgrades!$U$8,G246),1)*IF(Upgrades!$T$9="Solar Wind",POWER(Upgrades!$U$9,H246),1)*IF(Upgrades!$T$10="Solar Wind",POWER(Upgrades!$U$10,I246),1)*IF(Upgrades!$T$11="Solar Wind",POWER(Upgrades!$U$11,J246),1)*IF(Upgrades!$T$12="Solar Wind",POWER(Upgrades!$U$12,K246),1))*POWER(Upgrades!$P$6,E246)*POWER(Upgrades!$P$7,F246)*POWER(Upgrades!$P$8,G246)*POWER(Upgrades!$P$9,H246)*POWER(Upgrades!$P$10,I246)*POWER(Upgrades!$P$11,J246)*POWER(Upgrades!$P$12,K246)*60</f>
        <v/>
      </c>
      <c r="AB246" s="27">
        <f>(IF(F246=0,0,(Upgrades!$G$7+F246*Upgrades!$H$7)*POWER(Upgrades!$I$7,F246)))*(IF(Upgrades!$T$6="Asteroid Belt",POWER(Upgrades!$U$6,E246),1)*IF(Upgrades!$T$8="Asteroid Belt",POWER(Upgrades!$U$8,G246),1)*IF(Upgrades!$T$9="Asteroid Belt",POWER(Upgrades!$U$9,H246),1)*IF(Upgrades!$T$10="Asteroid Belt",POWER(Upgrades!$U$10,I246),1)*IF(Upgrades!$T$11="Asteroid Belt",POWER(Upgrades!$U$11,J246),1)*IF(Upgrades!$T$12="Asteroid Belt",POWER(Upgrades!$U$12,K246),1))*POWER(Upgrades!$P$6,E246)*POWER(Upgrades!$P$7,F246)*POWER(Upgrades!$P$8,G246)*POWER(Upgrades!$P$9,H246)*POWER(Upgrades!$P$10,I246)*POWER(Upgrades!$P$11,J246)*POWER(Upgrades!$P$12,K246)*60</f>
        <v/>
      </c>
      <c r="AC246" s="27">
        <f>(IF(G246=0,0,(Upgrades!$J$8+G246*Upgrades!$K$8)*POWER(Upgrades!$L$8,G246)))*(IF(Upgrades!$T$6="Stellar Coupling",POWER(Upgrades!$U$6,E246),1)*IF(Upgrades!$T$7="Stellar Coupling",POWER(Upgrades!$U$7,F246),1)*IF(Upgrades!$T$9="Stellar Coupling",POWER(Upgrades!$U$9,H246),1)*IF(Upgrades!$T$10="Stellar Coupling",POWER(Upgrades!$U$10,I246),1)*IF(Upgrades!$T$11="Stellar Coupling",POWER(Upgrades!$U$11,J246),1)*IF(Upgrades!$T$12="Stellar Coupling",POWER(Upgrades!$U$12,K246),1))*POWER(Upgrades!$Q$6,E246)*POWER(Upgrades!$Q$7,F246)*POWER(Upgrades!$Q$8,G246)*POWER(Upgrades!$Q$9,H246)*POWER(Upgrades!$Q$10,I246)*POWER(Upgrades!$Q$11,J246)*POWER(Upgrades!$Q$12,K246)*Parameters!$B$10*Parameters!$B$11</f>
        <v/>
      </c>
      <c r="AD246" s="27">
        <f>(IF(H246=0,0,(Upgrades!$G$9+H246*Upgrades!$H$9)*POWER(Upgrades!$I$9,H246)))*(IF(Upgrades!$T$6="Magnetosphere",POWER(Upgrades!$U$6,E246),1)*IF(Upgrades!$T$7="Magnetosphere",POWER(Upgrades!$U$7,F246),1)*IF(Upgrades!$T$8="Magnetosphere",POWER(Upgrades!$U$8,G246),1)*IF(Upgrades!$T$10="Magnetosphere",POWER(Upgrades!$U$10,I246),1)*IF(Upgrades!$T$11="Magnetosphere",POWER(Upgrades!$U$11,J246),1)*IF(Upgrades!$T$12="Magnetosphere",POWER(Upgrades!$U$12,K246),1))*POWER(Upgrades!$P$6,E246)*POWER(Upgrades!$P$7,F246)*POWER(Upgrades!$P$8,G246)*POWER(Upgrades!$P$9,H246)*POWER(Upgrades!$P$10,I246)*POWER(Upgrades!$P$11,J246)*POWER(Upgrades!$P$12,K246)*60</f>
        <v/>
      </c>
      <c r="AE246" s="27">
        <f>(IF(K246=0,0,(Upgrades!$G$12+K246*Upgrades!$H$12)*POWER(Upgrades!$I$12,K246)))*(IF(Upgrades!$T$6="First Photons",POWER(Upgrades!$U$6,E246),1)*IF(Upgrades!$T$7="First Photons",POWER(Upgrades!$U$7,F246),1)*IF(Upgrades!$T$8="First Photons",POWER(Upgrades!$U$8,G246),1)*IF(Upgrades!$T$9="First Photons",POWER(Upgrades!$U$9,H246),1)*IF(Upgrades!$T$10="First Photons",POWER(Upgrades!$U$10,I246),1)*IF(Upgrades!$T$11="First Photons",POWER(Upgrades!$U$11,J246),1))*POWER(Upgrades!$P$6,E246)*POWER(Upgrades!$P$7,F246)*POWER(Upgrades!$P$8,G246)*POWER(Upgrades!$P$9,H246)*POWER(Upgrades!$P$10,I246)*POWER(Upgrades!$P$11,J246)*POWER(Upgrades!$P$12,K246)*60</f>
        <v/>
      </c>
      <c r="AF246" s="27">
        <f>Parameters!$B$9*POWER(Upgrades!$Q$6,E246)*POWER(Upgrades!$Q$7,F246)*POWER(Upgrades!$Q$8,G246)*POWER(Upgrades!$Q$9,H246)*POWER(Upgrades!$Q$10,I246)*POWER(Upgrades!$Q$11,J246)*POWER(Upgrades!$Q$12,K246)*(Parameters!$B$10*Parameters!$B$11+O246*60)</f>
        <v/>
      </c>
      <c r="AG246" s="22">
        <f>IF(E246&gt;=Upgrades!$E$6,"",Upgrades!$C$6*POWER(Upgrades!$D$6,E246))</f>
        <v/>
      </c>
      <c r="AH246" s="22">
        <f>IF(F246&gt;=Upgrades!$E$7,"",Upgrades!$C$7*POWER(Upgrades!$D$7,F246))</f>
        <v/>
      </c>
      <c r="AI246" s="22">
        <f>IF(G246&gt;=Upgrades!$E$8,"",Upgrades!$C$8*POWER(Upgrades!$D$8,G246))</f>
        <v/>
      </c>
      <c r="AJ246" s="22">
        <f>IF(H246&gt;=Upgrades!$E$9,"",Upgrades!$C$9*POWER(Upgrades!$D$9,H246))</f>
        <v/>
      </c>
      <c r="AK246" s="22">
        <f>IF(I246&gt;=Upgrades!$E$10,"",Upgrades!$C$10*POWER(Upgrades!$D$10,I246))</f>
        <v/>
      </c>
      <c r="AL246" s="22">
        <f>IF(J246&gt;=Upgrades!$E$11,"",Upgrades!$C$11*POWER(Upgrades!$D$11,J246))</f>
        <v/>
      </c>
      <c r="AM246" s="22">
        <f>IF(K246&gt;=Upgrades!$E$12,"",Upgrades!$C$12*POWER(Upgrades!$D$12,K246))</f>
        <v/>
      </c>
      <c r="AN246" s="26">
        <f>IF(AND(D246&gt;=Parameters!$B$18,(H246&gt;=Upgrades!$E$9)*(K246&gt;=Upgrades!$E$12)=1,L246=0),1,"")</f>
        <v/>
      </c>
      <c r="AO246" s="26">
        <f>IF(AND(D246&gt;=Parameters!$B$18,L246=0),1,"")</f>
        <v/>
      </c>
      <c r="AP246" s="22">
        <f>MIN(IF(ISNUMBER(AK246),AK246,9E15),IF(ISNUMBER(AL246),AL246,9E15),IF(ISNUMBER(AM246),AM246,9E15))</f>
        <v/>
      </c>
      <c r="AQ246" s="22">
        <f>MIN(IF(ISNUMBER(AG246),AG246,9E15),IF(ISNUMBER(AH246),AH246,9E15),IF(ISNUMBER(AI246),AI246,9E15),IF(ISNUMBER(AJ246),AJ246,9E15))</f>
        <v/>
      </c>
      <c r="AR246" s="29">
        <f>IF(AW246&gt;Parameters!$B$21*(MAX(IF(AND(NOT(AND(AO246=1,AN246&lt;&gt;1)),ISNUMBER(AG246),AG246&lt;=T246),AS246,0),IF(AND(NOT(AND(AO246=1,AN246&lt;&gt;1)),ISNUMBER(AH246),AH246&lt;=T246),AT246,0),IF(AND(NOT(AND(AO246=1,AN246&lt;&gt;1)),ISNUMBER(AI246),AI246&lt;=T246),AU246,0),IF(AND(ISNUMBER(AJ246),AJ246&lt;=T246),AV246,0))),TRUE,FALSE)</f>
        <v/>
      </c>
      <c r="AS246" s="32">
        <f>IFERROR(Upgrades!$H$6*(POWER(Upgrades!$P$6,E246)*POWER(Upgrades!$P$7,F246)*POWER(Upgrades!$P$8,G246)*POWER(Upgrades!$P$9,H246)*POWER(Upgrades!$P$10,I246)*POWER(Upgrades!$P$11,J246)*POWER(Upgrades!$P$12,K246))*(IF(Upgrades!$T$7="Solar Wind",POWER(Upgrades!$U$7,F246),1)*IF(Upgrades!$T$8="Solar Wind",POWER(Upgrades!$U$8,G246),1)*IF(Upgrades!$T$9="Solar Wind",POWER(Upgrades!$U$9,H246),1)*IF(Upgrades!$T$10="Solar Wind",POWER(Upgrades!$U$10,I246),1)*IF(Upgrades!$T$11="Solar Wind",POWER(Upgrades!$U$11,J246),1)*IF(Upgrades!$T$12="Solar Wind",POWER(Upgrades!$U$12,K246),1))/AG246,0)</f>
        <v/>
      </c>
      <c r="AT246" s="32">
        <f>IFERROR(Upgrades!$H$7*(POWER(Upgrades!$P$6,E246)*POWER(Upgrades!$P$7,F246)*POWER(Upgrades!$P$8,G246)*POWER(Upgrades!$P$9,H246)*POWER(Upgrades!$P$10,I246)*POWER(Upgrades!$P$11,J246)*POWER(Upgrades!$P$12,K246))*(IF(Upgrades!$T$6="Asteroid Belt",POWER(Upgrades!$U$6,E246),1)*IF(Upgrades!$T$8="Asteroid Belt",POWER(Upgrades!$U$8,G246),1)*IF(Upgrades!$T$9="Asteroid Belt",POWER(Upgrades!$U$9,H246),1)*IF(Upgrades!$T$10="Asteroid Belt",POWER(Upgrades!$U$10,I246),1)*IF(Upgrades!$T$11="Asteroid Belt",POWER(Upgrades!$U$11,J246),1)*IF(Upgrades!$T$12="Asteroid Belt",POWER(Upgrades!$U$12,K246),1))/AH246,0)</f>
        <v/>
      </c>
      <c r="AU246" s="32">
        <f>IFERROR(Upgrades!$K$8*(POWER(Upgrades!$Q$6,E246)*POWER(Upgrades!$Q$7,F246)*POWER(Upgrades!$Q$8,G246)*POWER(Upgrades!$Q$9,H246)*POWER(Upgrades!$Q$10,I246)*POWER(Upgrades!$Q$11,J246)*POWER(Upgrades!$Q$12,K246))*(IF(Upgrades!$T$6="Stellar Coupling",POWER(Upgrades!$U$6,E246),1)*IF(Upgrades!$T$7="Stellar Coupling",POWER(Upgrades!$U$7,F246),1)*IF(Upgrades!$T$9="Stellar Coupling",POWER(Upgrades!$U$9,H246),1)*IF(Upgrades!$T$10="Stellar Coupling",POWER(Upgrades!$U$10,I246),1)*IF(Upgrades!$T$11="Stellar Coupling",POWER(Upgrades!$U$11,J246),1)*IF(Upgrades!$T$12="Stellar Coupling",POWER(Upgrades!$U$12,K246),1))*Parameters!$B$10*Parameters!$B$11/60/AI246,0)</f>
        <v/>
      </c>
      <c r="AV246" s="32">
        <f>IFERROR(Upgrades!$H$9*(POWER(Upgrades!$P$6,E246)*POWER(Upgrades!$P$7,F246)*POWER(Upgrades!$P$8,G246)*POWER(Upgrades!$P$9,H246)*POWER(Upgrades!$P$10,I246)*POWER(Upgrades!$P$11,J246)*POWER(Upgrades!$P$12,K246))*(IF(Upgrades!$T$6="Magnetosphere",POWER(Upgrades!$U$6,E246),1)*IF(Upgrades!$T$7="Magnetosphere",POWER(Upgrades!$U$7,F246),1)*IF(Upgrades!$T$8="Magnetosphere",POWER(Upgrades!$U$8,G246),1)*IF(Upgrades!$T$10="Magnetosphere",POWER(Upgrades!$U$10,I246),1)*IF(Upgrades!$T$11="Magnetosphere",POWER(Upgrades!$U$11,J246),1)*IF(Upgrades!$T$12="Magnetosphere",POWER(Upgrades!$U$12,K246),1))/AJ246,0)</f>
        <v/>
      </c>
      <c r="AW246" s="32">
        <f>MAX(IF(I246&gt;0,0,IFERROR(0.25*N246/Upgrades!$C$10,0)),IF(J246&gt;0,0,IFERROR(0.5*((IF(G246=0,0,(Upgrades!$J$8+G246*Upgrades!$K$8)*POWER(Upgrades!$L$8,G246)))*(IF(Upgrades!$T$6="Stellar Coupling",POWER(Upgrades!$U$6,E246),1)*IF(Upgrades!$T$7="Stellar Coupling",POWER(Upgrades!$U$7,F246),1)*IF(Upgrades!$T$9="Stellar Coupling",POWER(Upgrades!$U$9,H246),1)*IF(Upgrades!$T$10="Stellar Coupling",POWER(Upgrades!$U$10,I246),1)*IF(Upgrades!$T$11="Stellar Coupling",POWER(Upgrades!$U$11,J246),1)*IF(Upgrades!$T$12="Stellar Coupling",POWER(Upgrades!$U$12,K246),1))*(POWER(Upgrades!$Q$6,E246)*POWER(Upgrades!$Q$7,F246)*POWER(Upgrades!$Q$8,G246)*POWER(Upgrades!$Q$9,H246)*POWER(Upgrades!$Q$10,I246)*POWER(Upgrades!$Q$11,J246)*POWER(Upgrades!$Q$12,K246))*Parameters!$B$10*Parameters!$B$11/60)/Upgrades!$C$11,0)),IF(K246&gt;0,0,IFERROR((1.0*(POWER(Upgrades!$P$6,E246)*POWER(Upgrades!$P$7,F246)*POWER(Upgrades!$P$8,G246)*POWER(Upgrades!$P$9,H246)*POWER(Upgrades!$P$10,I246)*POWER(Upgrades!$P$11,J246)*POWER(Upgrades!$P$12,K246))+0.20*M246*Parameters!$B$10*Parameters!$B$11/60)/Upgrades!$C$12,0)),IF(AND(ISNUMBER(AG246),AG246&gt;T246),AS246,0),IF(AND(ISNUMBER(AH246),AH246&gt;T246),AT246,0),IF(AND(ISNUMBER(AI246),AI246&gt;T246),AU246,0),IF(AND(ISNUMBER(AJ246),AJ246&gt;T246),AV246,0))</f>
        <v/>
      </c>
      <c r="AX246" s="29">
        <f>IF(AN246=1,"transition",IF(MIN(IF(AND(I246=0,ISNUMBER(AK246),AK246&lt;=T246),AK246,9E15),IF(AND(J246=0,ISNUMBER(AL246),AL246&lt;=T246),AL246,9E15),IF(AND(K246=0,ISNUMBER(AM246),AM246&lt;=T246),AM246,9E15))&lt;9E15,IF(AND(AND(I246=0,ISNUMBER(AK246),AK246&lt;=T246),AK246=MIN(IF(AND(I246=0,ISNUMBER(AK246),AK246&lt;=T246),AK246,9E15),IF(AND(J246=0,ISNUMBER(AL246),AL246&lt;=T246),AL246,9E15),IF(AND(K246=0,ISNUMBER(AM246),AM246&lt;=T246),AM246,9E15))),"OR",IF(AND(AND(J246=0,ISNUMBER(AL246),AL246&lt;=T246),AL246=MIN(IF(AND(I246=0,ISNUMBER(AK246),AK246&lt;=T246),AK246,9E15),IF(AND(J246=0,ISNUMBER(AL246),AL246&lt;=T246),AL246,9E15),IF(AND(K246=0,ISNUMBER(AM246),AM246&lt;=T246),AM246,9E15))),"HP","FP")),IF(AR246=TRUE,"",IF(MAX(IF(AND(NOT(AND(AO246=1,AN246&lt;&gt;1)),ISNUMBER(AG246),AG246&lt;=T246),AS246,0),IF(AND(NOT(AND(AO246=1,AN246&lt;&gt;1)),ISNUMBER(AH246),AH246&lt;=T246),AT246,0),IF(AND(NOT(AND(AO246=1,AN246&lt;&gt;1)),ISNUMBER(AI246),AI246&lt;=T246),AU246,0),IF(AND(ISNUMBER(AJ246),AJ246&lt;=T246),AV246,0))&lt;=0,"",IF(AND(IF(AND(NOT(AND(AO246=1,AN246&lt;&gt;1)),ISNUMBER(AG246),AG246&lt;=T246),AS246,0)&gt;0,IF(AND(NOT(AND(AO246=1,AN246&lt;&gt;1)),ISNUMBER(AG246),AG246&lt;=T246),AS246,0)=MAX(IF(AND(NOT(AND(AO246=1,AN246&lt;&gt;1)),ISNUMBER(AG246),AG246&lt;=T246),AS246,0),IF(AND(NOT(AND(AO246=1,AN246&lt;&gt;1)),ISNUMBER(AH246),AH246&lt;=T246),AT246,0),IF(AND(NOT(AND(AO246=1,AN246&lt;&gt;1)),ISNUMBER(AI246),AI246&lt;=T246),AU246,0),IF(AND(ISNUMBER(AJ246),AJ246&lt;=T246),AV246,0))),"SW",IF(AND(IF(AND(NOT(AND(AO246=1,AN246&lt;&gt;1)),ISNUMBER(AH246),AH246&lt;=T246),AT246,0)&gt;0,IF(AND(NOT(AND(AO246=1,AN246&lt;&gt;1)),ISNUMBER(AH246),AH246&lt;=T246),AT246,0)=MAX(IF(AND(NOT(AND(AO246=1,AN246&lt;&gt;1)),ISNUMBER(AG246),AG246&lt;=T246),AS246,0),IF(AND(NOT(AND(AO246=1,AN246&lt;&gt;1)),ISNUMBER(AH246),AH246&lt;=T246),AT246,0),IF(AND(NOT(AND(AO246=1,AN246&lt;&gt;1)),ISNUMBER(AI246),AI246&lt;=T246),AU246,0),IF(AND(ISNUMBER(AJ246),AJ246&lt;=T246),AV246,0))),"AB",IF(AND(IF(AND(NOT(AND(AO246=1,AN246&lt;&gt;1)),ISNUMBER(AI246),AI246&lt;=T246),AU246,0)&gt;0,IF(AND(NOT(AND(AO246=1,AN246&lt;&gt;1)),ISNUMBER(AI246),AI246&lt;=T246),AU246,0)=MAX(IF(AND(NOT(AND(AO246=1,AN246&lt;&gt;1)),ISNUMBER(AG246),AG246&lt;=T246),AS246,0),IF(AND(NOT(AND(AO246=1,AN246&lt;&gt;1)),ISNUMBER(AH246),AH246&lt;=T246),AT246,0),IF(AND(NOT(AND(AO246=1,AN246&lt;&gt;1)),ISNUMBER(AI246),AI246&lt;=T246),AU246,0),IF(AND(ISNUMBER(AJ246),AJ246&lt;=T246),AV246,0))),"SC","Mag")))))))</f>
        <v/>
      </c>
    </row>
    <row r="247">
      <c r="A247" s="26" t="n">
        <v>242</v>
      </c>
      <c r="B247" s="27">
        <f>A247*10/60</f>
        <v/>
      </c>
      <c r="C247" s="22">
        <f>X246</f>
        <v/>
      </c>
      <c r="D247" s="27">
        <f>D246+W246</f>
        <v/>
      </c>
      <c r="E247" s="26">
        <f>E246+IF(U246="SW",1,0)</f>
        <v/>
      </c>
      <c r="F247" s="26">
        <f>F246+IF(U246="AB",1,0)</f>
        <v/>
      </c>
      <c r="G247" s="26">
        <f>G246+IF(U246="SC",1,0)</f>
        <v/>
      </c>
      <c r="H247" s="26">
        <f>H246+IF(U246="Mag",1,0)</f>
        <v/>
      </c>
      <c r="I247" s="26">
        <f>MAX(I246,IF(U246="OR",1,0))</f>
        <v/>
      </c>
      <c r="J247" s="26">
        <f>MAX(J246,IF(U246="HP",1,0))</f>
        <v/>
      </c>
      <c r="K247" s="26">
        <f>MAX(K246,IF(U246="FP",1,0))</f>
        <v/>
      </c>
      <c r="L247" s="26">
        <f>MAX(L246,IF(U246="transition",1,0))</f>
        <v/>
      </c>
      <c r="M247" s="28">
        <f>(Parameters!$B$9+(IF(E247=0,0,(Upgrades!$J$6+E247*Upgrades!$K$6)*POWER(Upgrades!$L$6,E247)))*(IF(Upgrades!$T$7="Solar Wind",POWER(Upgrades!$U$7,F247),1)*IF(Upgrades!$T$8="Solar Wind",POWER(Upgrades!$U$8,G247),1)*IF(Upgrades!$T$9="Solar Wind",POWER(Upgrades!$U$9,H247),1)*IF(Upgrades!$T$10="Solar Wind",POWER(Upgrades!$U$10,I247),1)*IF(Upgrades!$T$11="Solar Wind",POWER(Upgrades!$U$11,J247),1)*IF(Upgrades!$T$12="Solar Wind",POWER(Upgrades!$U$12,K247),1))+(IF(F247=0,0,(Upgrades!$J$7+F247*Upgrades!$K$7)*POWER(Upgrades!$L$7,F247)))*(IF(Upgrades!$T$6="Asteroid Belt",POWER(Upgrades!$U$6,E247),1)*IF(Upgrades!$T$8="Asteroid Belt",POWER(Upgrades!$U$8,G247),1)*IF(Upgrades!$T$9="Asteroid Belt",POWER(Upgrades!$U$9,H247),1)*IF(Upgrades!$T$10="Asteroid Belt",POWER(Upgrades!$U$10,I247),1)*IF(Upgrades!$T$11="Asteroid Belt",POWER(Upgrades!$U$11,J247),1)*IF(Upgrades!$T$12="Asteroid Belt",POWER(Upgrades!$U$12,K247),1))+(IF(G247=0,0,(Upgrades!$J$8+G247*Upgrades!$K$8)*POWER(Upgrades!$L$8,G247)))*(IF(Upgrades!$T$6="Stellar Coupling",POWER(Upgrades!$U$6,E247),1)*IF(Upgrades!$T$7="Stellar Coupling",POWER(Upgrades!$U$7,F247),1)*IF(Upgrades!$T$9="Stellar Coupling",POWER(Upgrades!$U$9,H247),1)*IF(Upgrades!$T$10="Stellar Coupling",POWER(Upgrades!$U$10,I247),1)*IF(Upgrades!$T$11="Stellar Coupling",POWER(Upgrades!$U$11,J247),1)*IF(Upgrades!$T$12="Stellar Coupling",POWER(Upgrades!$U$12,K247),1))+(IF(H247=0,0,(Upgrades!$J$9+H247*Upgrades!$K$9)*POWER(Upgrades!$L$9,H247)))*(IF(Upgrades!$T$6="Magnetosphere",POWER(Upgrades!$U$6,E247),1)*IF(Upgrades!$T$7="Magnetosphere",POWER(Upgrades!$U$7,F247),1)*IF(Upgrades!$T$8="Magnetosphere",POWER(Upgrades!$U$8,G247),1)*IF(Upgrades!$T$10="Magnetosphere",POWER(Upgrades!$U$10,I247),1)*IF(Upgrades!$T$11="Magnetosphere",POWER(Upgrades!$U$11,J247),1)*IF(Upgrades!$T$12="Magnetosphere",POWER(Upgrades!$U$12,K247),1))+(IF(I247=0,0,(Upgrades!$J$10+I247*Upgrades!$K$10)*POWER(Upgrades!$L$10,I247)))*(IF(Upgrades!$T$6="Orbital Resonance",POWER(Upgrades!$U$6,E247),1)*IF(Upgrades!$T$7="Orbital Resonance",POWER(Upgrades!$U$7,F247),1)*IF(Upgrades!$T$8="Orbital Resonance",POWER(Upgrades!$U$8,G247),1)*IF(Upgrades!$T$9="Orbital Resonance",POWER(Upgrades!$U$9,H247),1)*IF(Upgrades!$T$11="Orbital Resonance",POWER(Upgrades!$U$11,J247),1)*IF(Upgrades!$T$12="Orbital Resonance",POWER(Upgrades!$U$12,K247),1))+(IF(J247=0,0,(Upgrades!$J$11+J247*Upgrades!$K$11)*POWER(Upgrades!$L$11,J247)))*(IF(Upgrades!$T$6="Heliopause",POWER(Upgrades!$U$6,E247),1)*IF(Upgrades!$T$7="Heliopause",POWER(Upgrades!$U$7,F247),1)*IF(Upgrades!$T$8="Heliopause",POWER(Upgrades!$U$8,G247),1)*IF(Upgrades!$T$9="Heliopause",POWER(Upgrades!$U$9,H247),1)*IF(Upgrades!$T$10="Heliopause",POWER(Upgrades!$U$10,I247),1)*IF(Upgrades!$T$12="Heliopause",POWER(Upgrades!$U$12,K247),1))+(IF(K247=0,0,(Upgrades!$J$12+K247*Upgrades!$K$12)*POWER(Upgrades!$L$12,K247)))*(IF(Upgrades!$T$6="First Photons",POWER(Upgrades!$U$6,E247),1)*IF(Upgrades!$T$7="First Photons",POWER(Upgrades!$U$7,F247),1)*IF(Upgrades!$T$8="First Photons",POWER(Upgrades!$U$8,G247),1)*IF(Upgrades!$T$9="First Photons",POWER(Upgrades!$U$9,H247),1)*IF(Upgrades!$T$10="First Photons",POWER(Upgrades!$U$10,I247),1)*IF(Upgrades!$T$11="First Photons",POWER(Upgrades!$U$11,J247),1)))*POWER(Upgrades!$Q$6,E247)*POWER(Upgrades!$Q$7,F247)*POWER(Upgrades!$Q$8,G247)*POWER(Upgrades!$Q$9,H247)*POWER(Upgrades!$Q$10,I247)*POWER(Upgrades!$Q$11,J247)*POWER(Upgrades!$Q$12,K247)</f>
        <v/>
      </c>
      <c r="N247" s="28">
        <f>((IF(E247=0,0,(Upgrades!$G$6+E247*Upgrades!$H$6)*POWER(Upgrades!$I$6,E247)))*(IF(Upgrades!$T$7="Solar Wind",POWER(Upgrades!$U$7,F247),1)*IF(Upgrades!$T$8="Solar Wind",POWER(Upgrades!$U$8,G247),1)*IF(Upgrades!$T$9="Solar Wind",POWER(Upgrades!$U$9,H247),1)*IF(Upgrades!$T$10="Solar Wind",POWER(Upgrades!$U$10,I247),1)*IF(Upgrades!$T$11="Solar Wind",POWER(Upgrades!$U$11,J247),1)*IF(Upgrades!$T$12="Solar Wind",POWER(Upgrades!$U$12,K247),1))+(IF(F247=0,0,(Upgrades!$G$7+F247*Upgrades!$H$7)*POWER(Upgrades!$I$7,F247)))*(IF(Upgrades!$T$6="Asteroid Belt",POWER(Upgrades!$U$6,E247),1)*IF(Upgrades!$T$8="Asteroid Belt",POWER(Upgrades!$U$8,G247),1)*IF(Upgrades!$T$9="Asteroid Belt",POWER(Upgrades!$U$9,H247),1)*IF(Upgrades!$T$10="Asteroid Belt",POWER(Upgrades!$U$10,I247),1)*IF(Upgrades!$T$11="Asteroid Belt",POWER(Upgrades!$U$11,J247),1)*IF(Upgrades!$T$12="Asteroid Belt",POWER(Upgrades!$U$12,K247),1))+(IF(G247=0,0,(Upgrades!$G$8+G247*Upgrades!$H$8)*POWER(Upgrades!$I$8,G247)))*(IF(Upgrades!$T$6="Stellar Coupling",POWER(Upgrades!$U$6,E247),1)*IF(Upgrades!$T$7="Stellar Coupling",POWER(Upgrades!$U$7,F247),1)*IF(Upgrades!$T$9="Stellar Coupling",POWER(Upgrades!$U$9,H247),1)*IF(Upgrades!$T$10="Stellar Coupling",POWER(Upgrades!$U$10,I247),1)*IF(Upgrades!$T$11="Stellar Coupling",POWER(Upgrades!$U$11,J247),1)*IF(Upgrades!$T$12="Stellar Coupling",POWER(Upgrades!$U$12,K247),1))+(IF(H247=0,0,(Upgrades!$G$9+H247*Upgrades!$H$9)*POWER(Upgrades!$I$9,H247)))*(IF(Upgrades!$T$6="Magnetosphere",POWER(Upgrades!$U$6,E247),1)*IF(Upgrades!$T$7="Magnetosphere",POWER(Upgrades!$U$7,F247),1)*IF(Upgrades!$T$8="Magnetosphere",POWER(Upgrades!$U$8,G247),1)*IF(Upgrades!$T$10="Magnetosphere",POWER(Upgrades!$U$10,I247),1)*IF(Upgrades!$T$11="Magnetosphere",POWER(Upgrades!$U$11,J247),1)*IF(Upgrades!$T$12="Magnetosphere",POWER(Upgrades!$U$12,K247),1))+(IF(I247=0,0,(Upgrades!$G$10+I247*Upgrades!$H$10)*POWER(Upgrades!$I$10,I247)))*(IF(Upgrades!$T$6="Orbital Resonance",POWER(Upgrades!$U$6,E247),1)*IF(Upgrades!$T$7="Orbital Resonance",POWER(Upgrades!$U$7,F247),1)*IF(Upgrades!$T$8="Orbital Resonance",POWER(Upgrades!$U$8,G247),1)*IF(Upgrades!$T$9="Orbital Resonance",POWER(Upgrades!$U$9,H247),1)*IF(Upgrades!$T$11="Orbital Resonance",POWER(Upgrades!$U$11,J247),1)*IF(Upgrades!$T$12="Orbital Resonance",POWER(Upgrades!$U$12,K247),1))+(IF(J247=0,0,(Upgrades!$G$11+J247*Upgrades!$H$11)*POWER(Upgrades!$I$11,J247)))*(IF(Upgrades!$T$6="Heliopause",POWER(Upgrades!$U$6,E247),1)*IF(Upgrades!$T$7="Heliopause",POWER(Upgrades!$U$7,F247),1)*IF(Upgrades!$T$8="Heliopause",POWER(Upgrades!$U$8,G247),1)*IF(Upgrades!$T$9="Heliopause",POWER(Upgrades!$U$9,H247),1)*IF(Upgrades!$T$10="Heliopause",POWER(Upgrades!$U$10,I247),1)*IF(Upgrades!$T$12="Heliopause",POWER(Upgrades!$U$12,K247),1))+(IF(K247=0,0,(Upgrades!$G$12+K247*Upgrades!$H$12)*POWER(Upgrades!$I$12,K247)))*(IF(Upgrades!$T$6="First Photons",POWER(Upgrades!$U$6,E247),1)*IF(Upgrades!$T$7="First Photons",POWER(Upgrades!$U$7,F247),1)*IF(Upgrades!$T$8="First Photons",POWER(Upgrades!$U$8,G247),1)*IF(Upgrades!$T$9="First Photons",POWER(Upgrades!$U$9,H247),1)*IF(Upgrades!$T$10="First Photons",POWER(Upgrades!$U$10,I247),1)*IF(Upgrades!$T$11="First Photons",POWER(Upgrades!$U$11,J247),1)))*POWER(Upgrades!$P$6,E247)*POWER(Upgrades!$P$7,F247)*POWER(Upgrades!$P$8,G247)*POWER(Upgrades!$P$9,H247)*POWER(Upgrades!$P$10,I247)*POWER(Upgrades!$P$11,J247)*POWER(Upgrades!$P$12,K247)</f>
        <v/>
      </c>
      <c r="O247" s="28">
        <f>((IF(E247=0,0,(Upgrades!$M$6+E247*Upgrades!$N$6)*POWER(Upgrades!$O$6,E247)))*(IF(Upgrades!$T$7="Solar Wind",POWER(Upgrades!$U$7,F247),1)*IF(Upgrades!$T$8="Solar Wind",POWER(Upgrades!$U$8,G247),1)*IF(Upgrades!$T$9="Solar Wind",POWER(Upgrades!$U$9,H247),1)*IF(Upgrades!$T$10="Solar Wind",POWER(Upgrades!$U$10,I247),1)*IF(Upgrades!$T$11="Solar Wind",POWER(Upgrades!$U$11,J247),1)*IF(Upgrades!$T$12="Solar Wind",POWER(Upgrades!$U$12,K247),1))+(IF(F247=0,0,(Upgrades!$M$7+F247*Upgrades!$N$7)*POWER(Upgrades!$O$7,F247)))*(IF(Upgrades!$T$6="Asteroid Belt",POWER(Upgrades!$U$6,E247),1)*IF(Upgrades!$T$8="Asteroid Belt",POWER(Upgrades!$U$8,G247),1)*IF(Upgrades!$T$9="Asteroid Belt",POWER(Upgrades!$U$9,H247),1)*IF(Upgrades!$T$10="Asteroid Belt",POWER(Upgrades!$U$10,I247),1)*IF(Upgrades!$T$11="Asteroid Belt",POWER(Upgrades!$U$11,J247),1)*IF(Upgrades!$T$12="Asteroid Belt",POWER(Upgrades!$U$12,K247),1))+(IF(G247=0,0,(Upgrades!$M$8+G247*Upgrades!$N$8)*POWER(Upgrades!$O$8,G247)))*(IF(Upgrades!$T$6="Stellar Coupling",POWER(Upgrades!$U$6,E247),1)*IF(Upgrades!$T$7="Stellar Coupling",POWER(Upgrades!$U$7,F247),1)*IF(Upgrades!$T$9="Stellar Coupling",POWER(Upgrades!$U$9,H247),1)*IF(Upgrades!$T$10="Stellar Coupling",POWER(Upgrades!$U$10,I247),1)*IF(Upgrades!$T$11="Stellar Coupling",POWER(Upgrades!$U$11,J247),1)*IF(Upgrades!$T$12="Stellar Coupling",POWER(Upgrades!$U$12,K247),1))+(IF(H247=0,0,(Upgrades!$M$9+H247*Upgrades!$N$9)*POWER(Upgrades!$O$9,H247)))*(IF(Upgrades!$T$6="Magnetosphere",POWER(Upgrades!$U$6,E247),1)*IF(Upgrades!$T$7="Magnetosphere",POWER(Upgrades!$U$7,F247),1)*IF(Upgrades!$T$8="Magnetosphere",POWER(Upgrades!$U$8,G247),1)*IF(Upgrades!$T$10="Magnetosphere",POWER(Upgrades!$U$10,I247),1)*IF(Upgrades!$T$11="Magnetosphere",POWER(Upgrades!$U$11,J247),1)*IF(Upgrades!$T$12="Magnetosphere",POWER(Upgrades!$U$12,K247),1))+(IF(I247=0,0,(Upgrades!$M$10+I247*Upgrades!$N$10)*POWER(Upgrades!$O$10,I247)))*(IF(Upgrades!$T$6="Orbital Resonance",POWER(Upgrades!$U$6,E247),1)*IF(Upgrades!$T$7="Orbital Resonance",POWER(Upgrades!$U$7,F247),1)*IF(Upgrades!$T$8="Orbital Resonance",POWER(Upgrades!$U$8,G247),1)*IF(Upgrades!$T$9="Orbital Resonance",POWER(Upgrades!$U$9,H247),1)*IF(Upgrades!$T$11="Orbital Resonance",POWER(Upgrades!$U$11,J247),1)*IF(Upgrades!$T$12="Orbital Resonance",POWER(Upgrades!$U$12,K247),1))+(IF(J247=0,0,(Upgrades!$M$11+J247*Upgrades!$N$11)*POWER(Upgrades!$O$11,J247)))*(IF(Upgrades!$T$6="Heliopause",POWER(Upgrades!$U$6,E247),1)*IF(Upgrades!$T$7="Heliopause",POWER(Upgrades!$U$7,F247),1)*IF(Upgrades!$T$8="Heliopause",POWER(Upgrades!$U$8,G247),1)*IF(Upgrades!$T$9="Heliopause",POWER(Upgrades!$U$9,H247),1)*IF(Upgrades!$T$10="Heliopause",POWER(Upgrades!$U$10,I247),1)*IF(Upgrades!$T$12="Heliopause",POWER(Upgrades!$U$12,K247),1))+(IF(K247=0,0,(Upgrades!$M$12+K247*Upgrades!$N$12)*POWER(Upgrades!$O$12,K247)))*(IF(Upgrades!$T$6="First Photons",POWER(Upgrades!$U$6,E247),1)*IF(Upgrades!$T$7="First Photons",POWER(Upgrades!$U$7,F247),1)*IF(Upgrades!$T$8="First Photons",POWER(Upgrades!$U$8,G247),1)*IF(Upgrades!$T$9="First Photons",POWER(Upgrades!$U$9,H247),1)*IF(Upgrades!$T$10="First Photons",POWER(Upgrades!$U$10,I247),1)*IF(Upgrades!$T$11="First Photons",POWER(Upgrades!$U$11,J247),1)))*POWER(Upgrades!$R$6,E247)*POWER(Upgrades!$R$7,F247)*POWER(Upgrades!$R$8,G247)*POWER(Upgrades!$R$9,H247)*POWER(Upgrades!$R$10,I247)*POWER(Upgrades!$R$11,J247)*POWER(Upgrades!$R$12,K247)</f>
        <v/>
      </c>
      <c r="P247" s="27">
        <f>IF(L247=1,0,M247*Parameters!$B$10/60*Parameters!$B$11*10)</f>
        <v/>
      </c>
      <c r="Q247" s="27">
        <f>IF(L247=1,0,O247*M247*10)</f>
        <v/>
      </c>
      <c r="R247" s="27">
        <f>IF(L247=1,0,N247*10)</f>
        <v/>
      </c>
      <c r="S247" s="27">
        <f>P247+Q247+R247</f>
        <v/>
      </c>
      <c r="T247" s="22">
        <f>C247+S247</f>
        <v/>
      </c>
      <c r="U247" s="33">
        <f>AX247</f>
        <v/>
      </c>
      <c r="V247" s="22">
        <f>IF(U247="",0,IF(U247="transition",0,IF(U247="SW",AG247,IF(U247="AB",AH247,IF(U247="SC",AI247,IF(U247="Mag",AJ247,IF(U247="OR",AK247,IF(U247="HP",AL247,IF(U247="FP",AM247,0)))))))))</f>
        <v/>
      </c>
      <c r="W247" s="27">
        <f>IF(U247="OR",Upgrades!$F$10,IF(U247="HP",Upgrades!$F$11,IF(U247="transition",-Parameters!$B$18,0)))</f>
        <v/>
      </c>
      <c r="X247" s="22">
        <f>T247-V247</f>
        <v/>
      </c>
      <c r="Y247" s="30">
        <f>M247*Parameters!$B$10/60*Parameters!$B$11+O247*M247+N247</f>
        <v/>
      </c>
      <c r="Z247" s="34">
        <f>IF(U247="transition","→ Tier 2 (Stellar Neighborhood)",IF(U247="FP","First Photons — light begins, system quickens",IF(U247="HP","Heliopause acquired",IF(U247="OR","Orbital Resonance — passive multiplier active",IF(AND(AO247=1,L247=0,AN247&lt;&gt;1),"Cohesion ready (waiting on completionist upgrades)","")))))</f>
        <v/>
      </c>
      <c r="AA247" s="27">
        <f>(IF(E247=0,0,(Upgrades!$G$6+E247*Upgrades!$H$6)*POWER(Upgrades!$I$6,E247)))*(IF(Upgrades!$T$7="Solar Wind",POWER(Upgrades!$U$7,F247),1)*IF(Upgrades!$T$8="Solar Wind",POWER(Upgrades!$U$8,G247),1)*IF(Upgrades!$T$9="Solar Wind",POWER(Upgrades!$U$9,H247),1)*IF(Upgrades!$T$10="Solar Wind",POWER(Upgrades!$U$10,I247),1)*IF(Upgrades!$T$11="Solar Wind",POWER(Upgrades!$U$11,J247),1)*IF(Upgrades!$T$12="Solar Wind",POWER(Upgrades!$U$12,K247),1))*POWER(Upgrades!$P$6,E247)*POWER(Upgrades!$P$7,F247)*POWER(Upgrades!$P$8,G247)*POWER(Upgrades!$P$9,H247)*POWER(Upgrades!$P$10,I247)*POWER(Upgrades!$P$11,J247)*POWER(Upgrades!$P$12,K247)*60</f>
        <v/>
      </c>
      <c r="AB247" s="27">
        <f>(IF(F247=0,0,(Upgrades!$G$7+F247*Upgrades!$H$7)*POWER(Upgrades!$I$7,F247)))*(IF(Upgrades!$T$6="Asteroid Belt",POWER(Upgrades!$U$6,E247),1)*IF(Upgrades!$T$8="Asteroid Belt",POWER(Upgrades!$U$8,G247),1)*IF(Upgrades!$T$9="Asteroid Belt",POWER(Upgrades!$U$9,H247),1)*IF(Upgrades!$T$10="Asteroid Belt",POWER(Upgrades!$U$10,I247),1)*IF(Upgrades!$T$11="Asteroid Belt",POWER(Upgrades!$U$11,J247),1)*IF(Upgrades!$T$12="Asteroid Belt",POWER(Upgrades!$U$12,K247),1))*POWER(Upgrades!$P$6,E247)*POWER(Upgrades!$P$7,F247)*POWER(Upgrades!$P$8,G247)*POWER(Upgrades!$P$9,H247)*POWER(Upgrades!$P$10,I247)*POWER(Upgrades!$P$11,J247)*POWER(Upgrades!$P$12,K247)*60</f>
        <v/>
      </c>
      <c r="AC247" s="27">
        <f>(IF(G247=0,0,(Upgrades!$J$8+G247*Upgrades!$K$8)*POWER(Upgrades!$L$8,G247)))*(IF(Upgrades!$T$6="Stellar Coupling",POWER(Upgrades!$U$6,E247),1)*IF(Upgrades!$T$7="Stellar Coupling",POWER(Upgrades!$U$7,F247),1)*IF(Upgrades!$T$9="Stellar Coupling",POWER(Upgrades!$U$9,H247),1)*IF(Upgrades!$T$10="Stellar Coupling",POWER(Upgrades!$U$10,I247),1)*IF(Upgrades!$T$11="Stellar Coupling",POWER(Upgrades!$U$11,J247),1)*IF(Upgrades!$T$12="Stellar Coupling",POWER(Upgrades!$U$12,K247),1))*POWER(Upgrades!$Q$6,E247)*POWER(Upgrades!$Q$7,F247)*POWER(Upgrades!$Q$8,G247)*POWER(Upgrades!$Q$9,H247)*POWER(Upgrades!$Q$10,I247)*POWER(Upgrades!$Q$11,J247)*POWER(Upgrades!$Q$12,K247)*Parameters!$B$10*Parameters!$B$11</f>
        <v/>
      </c>
      <c r="AD247" s="27">
        <f>(IF(H247=0,0,(Upgrades!$G$9+H247*Upgrades!$H$9)*POWER(Upgrades!$I$9,H247)))*(IF(Upgrades!$T$6="Magnetosphere",POWER(Upgrades!$U$6,E247),1)*IF(Upgrades!$T$7="Magnetosphere",POWER(Upgrades!$U$7,F247),1)*IF(Upgrades!$T$8="Magnetosphere",POWER(Upgrades!$U$8,G247),1)*IF(Upgrades!$T$10="Magnetosphere",POWER(Upgrades!$U$10,I247),1)*IF(Upgrades!$T$11="Magnetosphere",POWER(Upgrades!$U$11,J247),1)*IF(Upgrades!$T$12="Magnetosphere",POWER(Upgrades!$U$12,K247),1))*POWER(Upgrades!$P$6,E247)*POWER(Upgrades!$P$7,F247)*POWER(Upgrades!$P$8,G247)*POWER(Upgrades!$P$9,H247)*POWER(Upgrades!$P$10,I247)*POWER(Upgrades!$P$11,J247)*POWER(Upgrades!$P$12,K247)*60</f>
        <v/>
      </c>
      <c r="AE247" s="27">
        <f>(IF(K247=0,0,(Upgrades!$G$12+K247*Upgrades!$H$12)*POWER(Upgrades!$I$12,K247)))*(IF(Upgrades!$T$6="First Photons",POWER(Upgrades!$U$6,E247),1)*IF(Upgrades!$T$7="First Photons",POWER(Upgrades!$U$7,F247),1)*IF(Upgrades!$T$8="First Photons",POWER(Upgrades!$U$8,G247),1)*IF(Upgrades!$T$9="First Photons",POWER(Upgrades!$U$9,H247),1)*IF(Upgrades!$T$10="First Photons",POWER(Upgrades!$U$10,I247),1)*IF(Upgrades!$T$11="First Photons",POWER(Upgrades!$U$11,J247),1))*POWER(Upgrades!$P$6,E247)*POWER(Upgrades!$P$7,F247)*POWER(Upgrades!$P$8,G247)*POWER(Upgrades!$P$9,H247)*POWER(Upgrades!$P$10,I247)*POWER(Upgrades!$P$11,J247)*POWER(Upgrades!$P$12,K247)*60</f>
        <v/>
      </c>
      <c r="AF247" s="27">
        <f>Parameters!$B$9*POWER(Upgrades!$Q$6,E247)*POWER(Upgrades!$Q$7,F247)*POWER(Upgrades!$Q$8,G247)*POWER(Upgrades!$Q$9,H247)*POWER(Upgrades!$Q$10,I247)*POWER(Upgrades!$Q$11,J247)*POWER(Upgrades!$Q$12,K247)*(Parameters!$B$10*Parameters!$B$11+O247*60)</f>
        <v/>
      </c>
      <c r="AG247" s="22">
        <f>IF(E247&gt;=Upgrades!$E$6,"",Upgrades!$C$6*POWER(Upgrades!$D$6,E247))</f>
        <v/>
      </c>
      <c r="AH247" s="22">
        <f>IF(F247&gt;=Upgrades!$E$7,"",Upgrades!$C$7*POWER(Upgrades!$D$7,F247))</f>
        <v/>
      </c>
      <c r="AI247" s="22">
        <f>IF(G247&gt;=Upgrades!$E$8,"",Upgrades!$C$8*POWER(Upgrades!$D$8,G247))</f>
        <v/>
      </c>
      <c r="AJ247" s="22">
        <f>IF(H247&gt;=Upgrades!$E$9,"",Upgrades!$C$9*POWER(Upgrades!$D$9,H247))</f>
        <v/>
      </c>
      <c r="AK247" s="22">
        <f>IF(I247&gt;=Upgrades!$E$10,"",Upgrades!$C$10*POWER(Upgrades!$D$10,I247))</f>
        <v/>
      </c>
      <c r="AL247" s="22">
        <f>IF(J247&gt;=Upgrades!$E$11,"",Upgrades!$C$11*POWER(Upgrades!$D$11,J247))</f>
        <v/>
      </c>
      <c r="AM247" s="22">
        <f>IF(K247&gt;=Upgrades!$E$12,"",Upgrades!$C$12*POWER(Upgrades!$D$12,K247))</f>
        <v/>
      </c>
      <c r="AN247" s="26">
        <f>IF(AND(D247&gt;=Parameters!$B$18,(H247&gt;=Upgrades!$E$9)*(K247&gt;=Upgrades!$E$12)=1,L247=0),1,"")</f>
        <v/>
      </c>
      <c r="AO247" s="26">
        <f>IF(AND(D247&gt;=Parameters!$B$18,L247=0),1,"")</f>
        <v/>
      </c>
      <c r="AP247" s="22">
        <f>MIN(IF(ISNUMBER(AK247),AK247,9E15),IF(ISNUMBER(AL247),AL247,9E15),IF(ISNUMBER(AM247),AM247,9E15))</f>
        <v/>
      </c>
      <c r="AQ247" s="22">
        <f>MIN(IF(ISNUMBER(AG247),AG247,9E15),IF(ISNUMBER(AH247),AH247,9E15),IF(ISNUMBER(AI247),AI247,9E15),IF(ISNUMBER(AJ247),AJ247,9E15))</f>
        <v/>
      </c>
      <c r="AR247" s="29">
        <f>IF(AW247&gt;Parameters!$B$21*(MAX(IF(AND(NOT(AND(AO247=1,AN247&lt;&gt;1)),ISNUMBER(AG247),AG247&lt;=T247),AS247,0),IF(AND(NOT(AND(AO247=1,AN247&lt;&gt;1)),ISNUMBER(AH247),AH247&lt;=T247),AT247,0),IF(AND(NOT(AND(AO247=1,AN247&lt;&gt;1)),ISNUMBER(AI247),AI247&lt;=T247),AU247,0),IF(AND(ISNUMBER(AJ247),AJ247&lt;=T247),AV247,0))),TRUE,FALSE)</f>
        <v/>
      </c>
      <c r="AS247" s="32">
        <f>IFERROR(Upgrades!$H$6*(POWER(Upgrades!$P$6,E247)*POWER(Upgrades!$P$7,F247)*POWER(Upgrades!$P$8,G247)*POWER(Upgrades!$P$9,H247)*POWER(Upgrades!$P$10,I247)*POWER(Upgrades!$P$11,J247)*POWER(Upgrades!$P$12,K247))*(IF(Upgrades!$T$7="Solar Wind",POWER(Upgrades!$U$7,F247),1)*IF(Upgrades!$T$8="Solar Wind",POWER(Upgrades!$U$8,G247),1)*IF(Upgrades!$T$9="Solar Wind",POWER(Upgrades!$U$9,H247),1)*IF(Upgrades!$T$10="Solar Wind",POWER(Upgrades!$U$10,I247),1)*IF(Upgrades!$T$11="Solar Wind",POWER(Upgrades!$U$11,J247),1)*IF(Upgrades!$T$12="Solar Wind",POWER(Upgrades!$U$12,K247),1))/AG247,0)</f>
        <v/>
      </c>
      <c r="AT247" s="32">
        <f>IFERROR(Upgrades!$H$7*(POWER(Upgrades!$P$6,E247)*POWER(Upgrades!$P$7,F247)*POWER(Upgrades!$P$8,G247)*POWER(Upgrades!$P$9,H247)*POWER(Upgrades!$P$10,I247)*POWER(Upgrades!$P$11,J247)*POWER(Upgrades!$P$12,K247))*(IF(Upgrades!$T$6="Asteroid Belt",POWER(Upgrades!$U$6,E247),1)*IF(Upgrades!$T$8="Asteroid Belt",POWER(Upgrades!$U$8,G247),1)*IF(Upgrades!$T$9="Asteroid Belt",POWER(Upgrades!$U$9,H247),1)*IF(Upgrades!$T$10="Asteroid Belt",POWER(Upgrades!$U$10,I247),1)*IF(Upgrades!$T$11="Asteroid Belt",POWER(Upgrades!$U$11,J247),1)*IF(Upgrades!$T$12="Asteroid Belt",POWER(Upgrades!$U$12,K247),1))/AH247,0)</f>
        <v/>
      </c>
      <c r="AU247" s="32">
        <f>IFERROR(Upgrades!$K$8*(POWER(Upgrades!$Q$6,E247)*POWER(Upgrades!$Q$7,F247)*POWER(Upgrades!$Q$8,G247)*POWER(Upgrades!$Q$9,H247)*POWER(Upgrades!$Q$10,I247)*POWER(Upgrades!$Q$11,J247)*POWER(Upgrades!$Q$12,K247))*(IF(Upgrades!$T$6="Stellar Coupling",POWER(Upgrades!$U$6,E247),1)*IF(Upgrades!$T$7="Stellar Coupling",POWER(Upgrades!$U$7,F247),1)*IF(Upgrades!$T$9="Stellar Coupling",POWER(Upgrades!$U$9,H247),1)*IF(Upgrades!$T$10="Stellar Coupling",POWER(Upgrades!$U$10,I247),1)*IF(Upgrades!$T$11="Stellar Coupling",POWER(Upgrades!$U$11,J247),1)*IF(Upgrades!$T$12="Stellar Coupling",POWER(Upgrades!$U$12,K247),1))*Parameters!$B$10*Parameters!$B$11/60/AI247,0)</f>
        <v/>
      </c>
      <c r="AV247" s="32">
        <f>IFERROR(Upgrades!$H$9*(POWER(Upgrades!$P$6,E247)*POWER(Upgrades!$P$7,F247)*POWER(Upgrades!$P$8,G247)*POWER(Upgrades!$P$9,H247)*POWER(Upgrades!$P$10,I247)*POWER(Upgrades!$P$11,J247)*POWER(Upgrades!$P$12,K247))*(IF(Upgrades!$T$6="Magnetosphere",POWER(Upgrades!$U$6,E247),1)*IF(Upgrades!$T$7="Magnetosphere",POWER(Upgrades!$U$7,F247),1)*IF(Upgrades!$T$8="Magnetosphere",POWER(Upgrades!$U$8,G247),1)*IF(Upgrades!$T$10="Magnetosphere",POWER(Upgrades!$U$10,I247),1)*IF(Upgrades!$T$11="Magnetosphere",POWER(Upgrades!$U$11,J247),1)*IF(Upgrades!$T$12="Magnetosphere",POWER(Upgrades!$U$12,K247),1))/AJ247,0)</f>
        <v/>
      </c>
      <c r="AW247" s="32">
        <f>MAX(IF(I247&gt;0,0,IFERROR(0.25*N247/Upgrades!$C$10,0)),IF(J247&gt;0,0,IFERROR(0.5*((IF(G247=0,0,(Upgrades!$J$8+G247*Upgrades!$K$8)*POWER(Upgrades!$L$8,G247)))*(IF(Upgrades!$T$6="Stellar Coupling",POWER(Upgrades!$U$6,E247),1)*IF(Upgrades!$T$7="Stellar Coupling",POWER(Upgrades!$U$7,F247),1)*IF(Upgrades!$T$9="Stellar Coupling",POWER(Upgrades!$U$9,H247),1)*IF(Upgrades!$T$10="Stellar Coupling",POWER(Upgrades!$U$10,I247),1)*IF(Upgrades!$T$11="Stellar Coupling",POWER(Upgrades!$U$11,J247),1)*IF(Upgrades!$T$12="Stellar Coupling",POWER(Upgrades!$U$12,K247),1))*(POWER(Upgrades!$Q$6,E247)*POWER(Upgrades!$Q$7,F247)*POWER(Upgrades!$Q$8,G247)*POWER(Upgrades!$Q$9,H247)*POWER(Upgrades!$Q$10,I247)*POWER(Upgrades!$Q$11,J247)*POWER(Upgrades!$Q$12,K247))*Parameters!$B$10*Parameters!$B$11/60)/Upgrades!$C$11,0)),IF(K247&gt;0,0,IFERROR((1.0*(POWER(Upgrades!$P$6,E247)*POWER(Upgrades!$P$7,F247)*POWER(Upgrades!$P$8,G247)*POWER(Upgrades!$P$9,H247)*POWER(Upgrades!$P$10,I247)*POWER(Upgrades!$P$11,J247)*POWER(Upgrades!$P$12,K247))+0.20*M247*Parameters!$B$10*Parameters!$B$11/60)/Upgrades!$C$12,0)),IF(AND(ISNUMBER(AG247),AG247&gt;T247),AS247,0),IF(AND(ISNUMBER(AH247),AH247&gt;T247),AT247,0),IF(AND(ISNUMBER(AI247),AI247&gt;T247),AU247,0),IF(AND(ISNUMBER(AJ247),AJ247&gt;T247),AV247,0))</f>
        <v/>
      </c>
      <c r="AX247" s="29">
        <f>IF(AN247=1,"transition",IF(MIN(IF(AND(I247=0,ISNUMBER(AK247),AK247&lt;=T247),AK247,9E15),IF(AND(J247=0,ISNUMBER(AL247),AL247&lt;=T247),AL247,9E15),IF(AND(K247=0,ISNUMBER(AM247),AM247&lt;=T247),AM247,9E15))&lt;9E15,IF(AND(AND(I247=0,ISNUMBER(AK247),AK247&lt;=T247),AK247=MIN(IF(AND(I247=0,ISNUMBER(AK247),AK247&lt;=T247),AK247,9E15),IF(AND(J247=0,ISNUMBER(AL247),AL247&lt;=T247),AL247,9E15),IF(AND(K247=0,ISNUMBER(AM247),AM247&lt;=T247),AM247,9E15))),"OR",IF(AND(AND(J247=0,ISNUMBER(AL247),AL247&lt;=T247),AL247=MIN(IF(AND(I247=0,ISNUMBER(AK247),AK247&lt;=T247),AK247,9E15),IF(AND(J247=0,ISNUMBER(AL247),AL247&lt;=T247),AL247,9E15),IF(AND(K247=0,ISNUMBER(AM247),AM247&lt;=T247),AM247,9E15))),"HP","FP")),IF(AR247=TRUE,"",IF(MAX(IF(AND(NOT(AND(AO247=1,AN247&lt;&gt;1)),ISNUMBER(AG247),AG247&lt;=T247),AS247,0),IF(AND(NOT(AND(AO247=1,AN247&lt;&gt;1)),ISNUMBER(AH247),AH247&lt;=T247),AT247,0),IF(AND(NOT(AND(AO247=1,AN247&lt;&gt;1)),ISNUMBER(AI247),AI247&lt;=T247),AU247,0),IF(AND(ISNUMBER(AJ247),AJ247&lt;=T247),AV247,0))&lt;=0,"",IF(AND(IF(AND(NOT(AND(AO247=1,AN247&lt;&gt;1)),ISNUMBER(AG247),AG247&lt;=T247),AS247,0)&gt;0,IF(AND(NOT(AND(AO247=1,AN247&lt;&gt;1)),ISNUMBER(AG247),AG247&lt;=T247),AS247,0)=MAX(IF(AND(NOT(AND(AO247=1,AN247&lt;&gt;1)),ISNUMBER(AG247),AG247&lt;=T247),AS247,0),IF(AND(NOT(AND(AO247=1,AN247&lt;&gt;1)),ISNUMBER(AH247),AH247&lt;=T247),AT247,0),IF(AND(NOT(AND(AO247=1,AN247&lt;&gt;1)),ISNUMBER(AI247),AI247&lt;=T247),AU247,0),IF(AND(ISNUMBER(AJ247),AJ247&lt;=T247),AV247,0))),"SW",IF(AND(IF(AND(NOT(AND(AO247=1,AN247&lt;&gt;1)),ISNUMBER(AH247),AH247&lt;=T247),AT247,0)&gt;0,IF(AND(NOT(AND(AO247=1,AN247&lt;&gt;1)),ISNUMBER(AH247),AH247&lt;=T247),AT247,0)=MAX(IF(AND(NOT(AND(AO247=1,AN247&lt;&gt;1)),ISNUMBER(AG247),AG247&lt;=T247),AS247,0),IF(AND(NOT(AND(AO247=1,AN247&lt;&gt;1)),ISNUMBER(AH247),AH247&lt;=T247),AT247,0),IF(AND(NOT(AND(AO247=1,AN247&lt;&gt;1)),ISNUMBER(AI247),AI247&lt;=T247),AU247,0),IF(AND(ISNUMBER(AJ247),AJ247&lt;=T247),AV247,0))),"AB",IF(AND(IF(AND(NOT(AND(AO247=1,AN247&lt;&gt;1)),ISNUMBER(AI247),AI247&lt;=T247),AU247,0)&gt;0,IF(AND(NOT(AND(AO247=1,AN247&lt;&gt;1)),ISNUMBER(AI247),AI247&lt;=T247),AU247,0)=MAX(IF(AND(NOT(AND(AO247=1,AN247&lt;&gt;1)),ISNUMBER(AG247),AG247&lt;=T247),AS247,0),IF(AND(NOT(AND(AO247=1,AN247&lt;&gt;1)),ISNUMBER(AH247),AH247&lt;=T247),AT247,0),IF(AND(NOT(AND(AO247=1,AN247&lt;&gt;1)),ISNUMBER(AI247),AI247&lt;=T247),AU247,0),IF(AND(ISNUMBER(AJ247),AJ247&lt;=T247),AV247,0))),"SC","Mag")))))))</f>
        <v/>
      </c>
    </row>
    <row r="248">
      <c r="A248" s="26" t="n">
        <v>243</v>
      </c>
      <c r="B248" s="27">
        <f>A248*10/60</f>
        <v/>
      </c>
      <c r="C248" s="22">
        <f>X247</f>
        <v/>
      </c>
      <c r="D248" s="27">
        <f>D247+W247</f>
        <v/>
      </c>
      <c r="E248" s="26">
        <f>E247+IF(U247="SW",1,0)</f>
        <v/>
      </c>
      <c r="F248" s="26">
        <f>F247+IF(U247="AB",1,0)</f>
        <v/>
      </c>
      <c r="G248" s="26">
        <f>G247+IF(U247="SC",1,0)</f>
        <v/>
      </c>
      <c r="H248" s="26">
        <f>H247+IF(U247="Mag",1,0)</f>
        <v/>
      </c>
      <c r="I248" s="26">
        <f>MAX(I247,IF(U247="OR",1,0))</f>
        <v/>
      </c>
      <c r="J248" s="26">
        <f>MAX(J247,IF(U247="HP",1,0))</f>
        <v/>
      </c>
      <c r="K248" s="26">
        <f>MAX(K247,IF(U247="FP",1,0))</f>
        <v/>
      </c>
      <c r="L248" s="26">
        <f>MAX(L247,IF(U247="transition",1,0))</f>
        <v/>
      </c>
      <c r="M248" s="28">
        <f>(Parameters!$B$9+(IF(E248=0,0,(Upgrades!$J$6+E248*Upgrades!$K$6)*POWER(Upgrades!$L$6,E248)))*(IF(Upgrades!$T$7="Solar Wind",POWER(Upgrades!$U$7,F248),1)*IF(Upgrades!$T$8="Solar Wind",POWER(Upgrades!$U$8,G248),1)*IF(Upgrades!$T$9="Solar Wind",POWER(Upgrades!$U$9,H248),1)*IF(Upgrades!$T$10="Solar Wind",POWER(Upgrades!$U$10,I248),1)*IF(Upgrades!$T$11="Solar Wind",POWER(Upgrades!$U$11,J248),1)*IF(Upgrades!$T$12="Solar Wind",POWER(Upgrades!$U$12,K248),1))+(IF(F248=0,0,(Upgrades!$J$7+F248*Upgrades!$K$7)*POWER(Upgrades!$L$7,F248)))*(IF(Upgrades!$T$6="Asteroid Belt",POWER(Upgrades!$U$6,E248),1)*IF(Upgrades!$T$8="Asteroid Belt",POWER(Upgrades!$U$8,G248),1)*IF(Upgrades!$T$9="Asteroid Belt",POWER(Upgrades!$U$9,H248),1)*IF(Upgrades!$T$10="Asteroid Belt",POWER(Upgrades!$U$10,I248),1)*IF(Upgrades!$T$11="Asteroid Belt",POWER(Upgrades!$U$11,J248),1)*IF(Upgrades!$T$12="Asteroid Belt",POWER(Upgrades!$U$12,K248),1))+(IF(G248=0,0,(Upgrades!$J$8+G248*Upgrades!$K$8)*POWER(Upgrades!$L$8,G248)))*(IF(Upgrades!$T$6="Stellar Coupling",POWER(Upgrades!$U$6,E248),1)*IF(Upgrades!$T$7="Stellar Coupling",POWER(Upgrades!$U$7,F248),1)*IF(Upgrades!$T$9="Stellar Coupling",POWER(Upgrades!$U$9,H248),1)*IF(Upgrades!$T$10="Stellar Coupling",POWER(Upgrades!$U$10,I248),1)*IF(Upgrades!$T$11="Stellar Coupling",POWER(Upgrades!$U$11,J248),1)*IF(Upgrades!$T$12="Stellar Coupling",POWER(Upgrades!$U$12,K248),1))+(IF(H248=0,0,(Upgrades!$J$9+H248*Upgrades!$K$9)*POWER(Upgrades!$L$9,H248)))*(IF(Upgrades!$T$6="Magnetosphere",POWER(Upgrades!$U$6,E248),1)*IF(Upgrades!$T$7="Magnetosphere",POWER(Upgrades!$U$7,F248),1)*IF(Upgrades!$T$8="Magnetosphere",POWER(Upgrades!$U$8,G248),1)*IF(Upgrades!$T$10="Magnetosphere",POWER(Upgrades!$U$10,I248),1)*IF(Upgrades!$T$11="Magnetosphere",POWER(Upgrades!$U$11,J248),1)*IF(Upgrades!$T$12="Magnetosphere",POWER(Upgrades!$U$12,K248),1))+(IF(I248=0,0,(Upgrades!$J$10+I248*Upgrades!$K$10)*POWER(Upgrades!$L$10,I248)))*(IF(Upgrades!$T$6="Orbital Resonance",POWER(Upgrades!$U$6,E248),1)*IF(Upgrades!$T$7="Orbital Resonance",POWER(Upgrades!$U$7,F248),1)*IF(Upgrades!$T$8="Orbital Resonance",POWER(Upgrades!$U$8,G248),1)*IF(Upgrades!$T$9="Orbital Resonance",POWER(Upgrades!$U$9,H248),1)*IF(Upgrades!$T$11="Orbital Resonance",POWER(Upgrades!$U$11,J248),1)*IF(Upgrades!$T$12="Orbital Resonance",POWER(Upgrades!$U$12,K248),1))+(IF(J248=0,0,(Upgrades!$J$11+J248*Upgrades!$K$11)*POWER(Upgrades!$L$11,J248)))*(IF(Upgrades!$T$6="Heliopause",POWER(Upgrades!$U$6,E248),1)*IF(Upgrades!$T$7="Heliopause",POWER(Upgrades!$U$7,F248),1)*IF(Upgrades!$T$8="Heliopause",POWER(Upgrades!$U$8,G248),1)*IF(Upgrades!$T$9="Heliopause",POWER(Upgrades!$U$9,H248),1)*IF(Upgrades!$T$10="Heliopause",POWER(Upgrades!$U$10,I248),1)*IF(Upgrades!$T$12="Heliopause",POWER(Upgrades!$U$12,K248),1))+(IF(K248=0,0,(Upgrades!$J$12+K248*Upgrades!$K$12)*POWER(Upgrades!$L$12,K248)))*(IF(Upgrades!$T$6="First Photons",POWER(Upgrades!$U$6,E248),1)*IF(Upgrades!$T$7="First Photons",POWER(Upgrades!$U$7,F248),1)*IF(Upgrades!$T$8="First Photons",POWER(Upgrades!$U$8,G248),1)*IF(Upgrades!$T$9="First Photons",POWER(Upgrades!$U$9,H248),1)*IF(Upgrades!$T$10="First Photons",POWER(Upgrades!$U$10,I248),1)*IF(Upgrades!$T$11="First Photons",POWER(Upgrades!$U$11,J248),1)))*POWER(Upgrades!$Q$6,E248)*POWER(Upgrades!$Q$7,F248)*POWER(Upgrades!$Q$8,G248)*POWER(Upgrades!$Q$9,H248)*POWER(Upgrades!$Q$10,I248)*POWER(Upgrades!$Q$11,J248)*POWER(Upgrades!$Q$12,K248)</f>
        <v/>
      </c>
      <c r="N248" s="28">
        <f>((IF(E248=0,0,(Upgrades!$G$6+E248*Upgrades!$H$6)*POWER(Upgrades!$I$6,E248)))*(IF(Upgrades!$T$7="Solar Wind",POWER(Upgrades!$U$7,F248),1)*IF(Upgrades!$T$8="Solar Wind",POWER(Upgrades!$U$8,G248),1)*IF(Upgrades!$T$9="Solar Wind",POWER(Upgrades!$U$9,H248),1)*IF(Upgrades!$T$10="Solar Wind",POWER(Upgrades!$U$10,I248),1)*IF(Upgrades!$T$11="Solar Wind",POWER(Upgrades!$U$11,J248),1)*IF(Upgrades!$T$12="Solar Wind",POWER(Upgrades!$U$12,K248),1))+(IF(F248=0,0,(Upgrades!$G$7+F248*Upgrades!$H$7)*POWER(Upgrades!$I$7,F248)))*(IF(Upgrades!$T$6="Asteroid Belt",POWER(Upgrades!$U$6,E248),1)*IF(Upgrades!$T$8="Asteroid Belt",POWER(Upgrades!$U$8,G248),1)*IF(Upgrades!$T$9="Asteroid Belt",POWER(Upgrades!$U$9,H248),1)*IF(Upgrades!$T$10="Asteroid Belt",POWER(Upgrades!$U$10,I248),1)*IF(Upgrades!$T$11="Asteroid Belt",POWER(Upgrades!$U$11,J248),1)*IF(Upgrades!$T$12="Asteroid Belt",POWER(Upgrades!$U$12,K248),1))+(IF(G248=0,0,(Upgrades!$G$8+G248*Upgrades!$H$8)*POWER(Upgrades!$I$8,G248)))*(IF(Upgrades!$T$6="Stellar Coupling",POWER(Upgrades!$U$6,E248),1)*IF(Upgrades!$T$7="Stellar Coupling",POWER(Upgrades!$U$7,F248),1)*IF(Upgrades!$T$9="Stellar Coupling",POWER(Upgrades!$U$9,H248),1)*IF(Upgrades!$T$10="Stellar Coupling",POWER(Upgrades!$U$10,I248),1)*IF(Upgrades!$T$11="Stellar Coupling",POWER(Upgrades!$U$11,J248),1)*IF(Upgrades!$T$12="Stellar Coupling",POWER(Upgrades!$U$12,K248),1))+(IF(H248=0,0,(Upgrades!$G$9+H248*Upgrades!$H$9)*POWER(Upgrades!$I$9,H248)))*(IF(Upgrades!$T$6="Magnetosphere",POWER(Upgrades!$U$6,E248),1)*IF(Upgrades!$T$7="Magnetosphere",POWER(Upgrades!$U$7,F248),1)*IF(Upgrades!$T$8="Magnetosphere",POWER(Upgrades!$U$8,G248),1)*IF(Upgrades!$T$10="Magnetosphere",POWER(Upgrades!$U$10,I248),1)*IF(Upgrades!$T$11="Magnetosphere",POWER(Upgrades!$U$11,J248),1)*IF(Upgrades!$T$12="Magnetosphere",POWER(Upgrades!$U$12,K248),1))+(IF(I248=0,0,(Upgrades!$G$10+I248*Upgrades!$H$10)*POWER(Upgrades!$I$10,I248)))*(IF(Upgrades!$T$6="Orbital Resonance",POWER(Upgrades!$U$6,E248),1)*IF(Upgrades!$T$7="Orbital Resonance",POWER(Upgrades!$U$7,F248),1)*IF(Upgrades!$T$8="Orbital Resonance",POWER(Upgrades!$U$8,G248),1)*IF(Upgrades!$T$9="Orbital Resonance",POWER(Upgrades!$U$9,H248),1)*IF(Upgrades!$T$11="Orbital Resonance",POWER(Upgrades!$U$11,J248),1)*IF(Upgrades!$T$12="Orbital Resonance",POWER(Upgrades!$U$12,K248),1))+(IF(J248=0,0,(Upgrades!$G$11+J248*Upgrades!$H$11)*POWER(Upgrades!$I$11,J248)))*(IF(Upgrades!$T$6="Heliopause",POWER(Upgrades!$U$6,E248),1)*IF(Upgrades!$T$7="Heliopause",POWER(Upgrades!$U$7,F248),1)*IF(Upgrades!$T$8="Heliopause",POWER(Upgrades!$U$8,G248),1)*IF(Upgrades!$T$9="Heliopause",POWER(Upgrades!$U$9,H248),1)*IF(Upgrades!$T$10="Heliopause",POWER(Upgrades!$U$10,I248),1)*IF(Upgrades!$T$12="Heliopause",POWER(Upgrades!$U$12,K248),1))+(IF(K248=0,0,(Upgrades!$G$12+K248*Upgrades!$H$12)*POWER(Upgrades!$I$12,K248)))*(IF(Upgrades!$T$6="First Photons",POWER(Upgrades!$U$6,E248),1)*IF(Upgrades!$T$7="First Photons",POWER(Upgrades!$U$7,F248),1)*IF(Upgrades!$T$8="First Photons",POWER(Upgrades!$U$8,G248),1)*IF(Upgrades!$T$9="First Photons",POWER(Upgrades!$U$9,H248),1)*IF(Upgrades!$T$10="First Photons",POWER(Upgrades!$U$10,I248),1)*IF(Upgrades!$T$11="First Photons",POWER(Upgrades!$U$11,J248),1)))*POWER(Upgrades!$P$6,E248)*POWER(Upgrades!$P$7,F248)*POWER(Upgrades!$P$8,G248)*POWER(Upgrades!$P$9,H248)*POWER(Upgrades!$P$10,I248)*POWER(Upgrades!$P$11,J248)*POWER(Upgrades!$P$12,K248)</f>
        <v/>
      </c>
      <c r="O248" s="28">
        <f>((IF(E248=0,0,(Upgrades!$M$6+E248*Upgrades!$N$6)*POWER(Upgrades!$O$6,E248)))*(IF(Upgrades!$T$7="Solar Wind",POWER(Upgrades!$U$7,F248),1)*IF(Upgrades!$T$8="Solar Wind",POWER(Upgrades!$U$8,G248),1)*IF(Upgrades!$T$9="Solar Wind",POWER(Upgrades!$U$9,H248),1)*IF(Upgrades!$T$10="Solar Wind",POWER(Upgrades!$U$10,I248),1)*IF(Upgrades!$T$11="Solar Wind",POWER(Upgrades!$U$11,J248),1)*IF(Upgrades!$T$12="Solar Wind",POWER(Upgrades!$U$12,K248),1))+(IF(F248=0,0,(Upgrades!$M$7+F248*Upgrades!$N$7)*POWER(Upgrades!$O$7,F248)))*(IF(Upgrades!$T$6="Asteroid Belt",POWER(Upgrades!$U$6,E248),1)*IF(Upgrades!$T$8="Asteroid Belt",POWER(Upgrades!$U$8,G248),1)*IF(Upgrades!$T$9="Asteroid Belt",POWER(Upgrades!$U$9,H248),1)*IF(Upgrades!$T$10="Asteroid Belt",POWER(Upgrades!$U$10,I248),1)*IF(Upgrades!$T$11="Asteroid Belt",POWER(Upgrades!$U$11,J248),1)*IF(Upgrades!$T$12="Asteroid Belt",POWER(Upgrades!$U$12,K248),1))+(IF(G248=0,0,(Upgrades!$M$8+G248*Upgrades!$N$8)*POWER(Upgrades!$O$8,G248)))*(IF(Upgrades!$T$6="Stellar Coupling",POWER(Upgrades!$U$6,E248),1)*IF(Upgrades!$T$7="Stellar Coupling",POWER(Upgrades!$U$7,F248),1)*IF(Upgrades!$T$9="Stellar Coupling",POWER(Upgrades!$U$9,H248),1)*IF(Upgrades!$T$10="Stellar Coupling",POWER(Upgrades!$U$10,I248),1)*IF(Upgrades!$T$11="Stellar Coupling",POWER(Upgrades!$U$11,J248),1)*IF(Upgrades!$T$12="Stellar Coupling",POWER(Upgrades!$U$12,K248),1))+(IF(H248=0,0,(Upgrades!$M$9+H248*Upgrades!$N$9)*POWER(Upgrades!$O$9,H248)))*(IF(Upgrades!$T$6="Magnetosphere",POWER(Upgrades!$U$6,E248),1)*IF(Upgrades!$T$7="Magnetosphere",POWER(Upgrades!$U$7,F248),1)*IF(Upgrades!$T$8="Magnetosphere",POWER(Upgrades!$U$8,G248),1)*IF(Upgrades!$T$10="Magnetosphere",POWER(Upgrades!$U$10,I248),1)*IF(Upgrades!$T$11="Magnetosphere",POWER(Upgrades!$U$11,J248),1)*IF(Upgrades!$T$12="Magnetosphere",POWER(Upgrades!$U$12,K248),1))+(IF(I248=0,0,(Upgrades!$M$10+I248*Upgrades!$N$10)*POWER(Upgrades!$O$10,I248)))*(IF(Upgrades!$T$6="Orbital Resonance",POWER(Upgrades!$U$6,E248),1)*IF(Upgrades!$T$7="Orbital Resonance",POWER(Upgrades!$U$7,F248),1)*IF(Upgrades!$T$8="Orbital Resonance",POWER(Upgrades!$U$8,G248),1)*IF(Upgrades!$T$9="Orbital Resonance",POWER(Upgrades!$U$9,H248),1)*IF(Upgrades!$T$11="Orbital Resonance",POWER(Upgrades!$U$11,J248),1)*IF(Upgrades!$T$12="Orbital Resonance",POWER(Upgrades!$U$12,K248),1))+(IF(J248=0,0,(Upgrades!$M$11+J248*Upgrades!$N$11)*POWER(Upgrades!$O$11,J248)))*(IF(Upgrades!$T$6="Heliopause",POWER(Upgrades!$U$6,E248),1)*IF(Upgrades!$T$7="Heliopause",POWER(Upgrades!$U$7,F248),1)*IF(Upgrades!$T$8="Heliopause",POWER(Upgrades!$U$8,G248),1)*IF(Upgrades!$T$9="Heliopause",POWER(Upgrades!$U$9,H248),1)*IF(Upgrades!$T$10="Heliopause",POWER(Upgrades!$U$10,I248),1)*IF(Upgrades!$T$12="Heliopause",POWER(Upgrades!$U$12,K248),1))+(IF(K248=0,0,(Upgrades!$M$12+K248*Upgrades!$N$12)*POWER(Upgrades!$O$12,K248)))*(IF(Upgrades!$T$6="First Photons",POWER(Upgrades!$U$6,E248),1)*IF(Upgrades!$T$7="First Photons",POWER(Upgrades!$U$7,F248),1)*IF(Upgrades!$T$8="First Photons",POWER(Upgrades!$U$8,G248),1)*IF(Upgrades!$T$9="First Photons",POWER(Upgrades!$U$9,H248),1)*IF(Upgrades!$T$10="First Photons",POWER(Upgrades!$U$10,I248),1)*IF(Upgrades!$T$11="First Photons",POWER(Upgrades!$U$11,J248),1)))*POWER(Upgrades!$R$6,E248)*POWER(Upgrades!$R$7,F248)*POWER(Upgrades!$R$8,G248)*POWER(Upgrades!$R$9,H248)*POWER(Upgrades!$R$10,I248)*POWER(Upgrades!$R$11,J248)*POWER(Upgrades!$R$12,K248)</f>
        <v/>
      </c>
      <c r="P248" s="27">
        <f>IF(L248=1,0,M248*Parameters!$B$10/60*Parameters!$B$11*10)</f>
        <v/>
      </c>
      <c r="Q248" s="27">
        <f>IF(L248=1,0,O248*M248*10)</f>
        <v/>
      </c>
      <c r="R248" s="27">
        <f>IF(L248=1,0,N248*10)</f>
        <v/>
      </c>
      <c r="S248" s="27">
        <f>P248+Q248+R248</f>
        <v/>
      </c>
      <c r="T248" s="22">
        <f>C248+S248</f>
        <v/>
      </c>
      <c r="U248" s="33">
        <f>AX248</f>
        <v/>
      </c>
      <c r="V248" s="22">
        <f>IF(U248="",0,IF(U248="transition",0,IF(U248="SW",AG248,IF(U248="AB",AH248,IF(U248="SC",AI248,IF(U248="Mag",AJ248,IF(U248="OR",AK248,IF(U248="HP",AL248,IF(U248="FP",AM248,0)))))))))</f>
        <v/>
      </c>
      <c r="W248" s="27">
        <f>IF(U248="OR",Upgrades!$F$10,IF(U248="HP",Upgrades!$F$11,IF(U248="transition",-Parameters!$B$18,0)))</f>
        <v/>
      </c>
      <c r="X248" s="22">
        <f>T248-V248</f>
        <v/>
      </c>
      <c r="Y248" s="30">
        <f>M248*Parameters!$B$10/60*Parameters!$B$11+O248*M248+N248</f>
        <v/>
      </c>
      <c r="Z248" s="34">
        <f>IF(U248="transition","→ Tier 2 (Stellar Neighborhood)",IF(U248="FP","First Photons — light begins, system quickens",IF(U248="HP","Heliopause acquired",IF(U248="OR","Orbital Resonance — passive multiplier active",IF(AND(AO248=1,L248=0,AN248&lt;&gt;1),"Cohesion ready (waiting on completionist upgrades)","")))))</f>
        <v/>
      </c>
      <c r="AA248" s="27">
        <f>(IF(E248=0,0,(Upgrades!$G$6+E248*Upgrades!$H$6)*POWER(Upgrades!$I$6,E248)))*(IF(Upgrades!$T$7="Solar Wind",POWER(Upgrades!$U$7,F248),1)*IF(Upgrades!$T$8="Solar Wind",POWER(Upgrades!$U$8,G248),1)*IF(Upgrades!$T$9="Solar Wind",POWER(Upgrades!$U$9,H248),1)*IF(Upgrades!$T$10="Solar Wind",POWER(Upgrades!$U$10,I248),1)*IF(Upgrades!$T$11="Solar Wind",POWER(Upgrades!$U$11,J248),1)*IF(Upgrades!$T$12="Solar Wind",POWER(Upgrades!$U$12,K248),1))*POWER(Upgrades!$P$6,E248)*POWER(Upgrades!$P$7,F248)*POWER(Upgrades!$P$8,G248)*POWER(Upgrades!$P$9,H248)*POWER(Upgrades!$P$10,I248)*POWER(Upgrades!$P$11,J248)*POWER(Upgrades!$P$12,K248)*60</f>
        <v/>
      </c>
      <c r="AB248" s="27">
        <f>(IF(F248=0,0,(Upgrades!$G$7+F248*Upgrades!$H$7)*POWER(Upgrades!$I$7,F248)))*(IF(Upgrades!$T$6="Asteroid Belt",POWER(Upgrades!$U$6,E248),1)*IF(Upgrades!$T$8="Asteroid Belt",POWER(Upgrades!$U$8,G248),1)*IF(Upgrades!$T$9="Asteroid Belt",POWER(Upgrades!$U$9,H248),1)*IF(Upgrades!$T$10="Asteroid Belt",POWER(Upgrades!$U$10,I248),1)*IF(Upgrades!$T$11="Asteroid Belt",POWER(Upgrades!$U$11,J248),1)*IF(Upgrades!$T$12="Asteroid Belt",POWER(Upgrades!$U$12,K248),1))*POWER(Upgrades!$P$6,E248)*POWER(Upgrades!$P$7,F248)*POWER(Upgrades!$P$8,G248)*POWER(Upgrades!$P$9,H248)*POWER(Upgrades!$P$10,I248)*POWER(Upgrades!$P$11,J248)*POWER(Upgrades!$P$12,K248)*60</f>
        <v/>
      </c>
      <c r="AC248" s="27">
        <f>(IF(G248=0,0,(Upgrades!$J$8+G248*Upgrades!$K$8)*POWER(Upgrades!$L$8,G248)))*(IF(Upgrades!$T$6="Stellar Coupling",POWER(Upgrades!$U$6,E248),1)*IF(Upgrades!$T$7="Stellar Coupling",POWER(Upgrades!$U$7,F248),1)*IF(Upgrades!$T$9="Stellar Coupling",POWER(Upgrades!$U$9,H248),1)*IF(Upgrades!$T$10="Stellar Coupling",POWER(Upgrades!$U$10,I248),1)*IF(Upgrades!$T$11="Stellar Coupling",POWER(Upgrades!$U$11,J248),1)*IF(Upgrades!$T$12="Stellar Coupling",POWER(Upgrades!$U$12,K248),1))*POWER(Upgrades!$Q$6,E248)*POWER(Upgrades!$Q$7,F248)*POWER(Upgrades!$Q$8,G248)*POWER(Upgrades!$Q$9,H248)*POWER(Upgrades!$Q$10,I248)*POWER(Upgrades!$Q$11,J248)*POWER(Upgrades!$Q$12,K248)*Parameters!$B$10*Parameters!$B$11</f>
        <v/>
      </c>
      <c r="AD248" s="27">
        <f>(IF(H248=0,0,(Upgrades!$G$9+H248*Upgrades!$H$9)*POWER(Upgrades!$I$9,H248)))*(IF(Upgrades!$T$6="Magnetosphere",POWER(Upgrades!$U$6,E248),1)*IF(Upgrades!$T$7="Magnetosphere",POWER(Upgrades!$U$7,F248),1)*IF(Upgrades!$T$8="Magnetosphere",POWER(Upgrades!$U$8,G248),1)*IF(Upgrades!$T$10="Magnetosphere",POWER(Upgrades!$U$10,I248),1)*IF(Upgrades!$T$11="Magnetosphere",POWER(Upgrades!$U$11,J248),1)*IF(Upgrades!$T$12="Magnetosphere",POWER(Upgrades!$U$12,K248),1))*POWER(Upgrades!$P$6,E248)*POWER(Upgrades!$P$7,F248)*POWER(Upgrades!$P$8,G248)*POWER(Upgrades!$P$9,H248)*POWER(Upgrades!$P$10,I248)*POWER(Upgrades!$P$11,J248)*POWER(Upgrades!$P$12,K248)*60</f>
        <v/>
      </c>
      <c r="AE248" s="27">
        <f>(IF(K248=0,0,(Upgrades!$G$12+K248*Upgrades!$H$12)*POWER(Upgrades!$I$12,K248)))*(IF(Upgrades!$T$6="First Photons",POWER(Upgrades!$U$6,E248),1)*IF(Upgrades!$T$7="First Photons",POWER(Upgrades!$U$7,F248),1)*IF(Upgrades!$T$8="First Photons",POWER(Upgrades!$U$8,G248),1)*IF(Upgrades!$T$9="First Photons",POWER(Upgrades!$U$9,H248),1)*IF(Upgrades!$T$10="First Photons",POWER(Upgrades!$U$10,I248),1)*IF(Upgrades!$T$11="First Photons",POWER(Upgrades!$U$11,J248),1))*POWER(Upgrades!$P$6,E248)*POWER(Upgrades!$P$7,F248)*POWER(Upgrades!$P$8,G248)*POWER(Upgrades!$P$9,H248)*POWER(Upgrades!$P$10,I248)*POWER(Upgrades!$P$11,J248)*POWER(Upgrades!$P$12,K248)*60</f>
        <v/>
      </c>
      <c r="AF248" s="27">
        <f>Parameters!$B$9*POWER(Upgrades!$Q$6,E248)*POWER(Upgrades!$Q$7,F248)*POWER(Upgrades!$Q$8,G248)*POWER(Upgrades!$Q$9,H248)*POWER(Upgrades!$Q$10,I248)*POWER(Upgrades!$Q$11,J248)*POWER(Upgrades!$Q$12,K248)*(Parameters!$B$10*Parameters!$B$11+O248*60)</f>
        <v/>
      </c>
      <c r="AG248" s="22">
        <f>IF(E248&gt;=Upgrades!$E$6,"",Upgrades!$C$6*POWER(Upgrades!$D$6,E248))</f>
        <v/>
      </c>
      <c r="AH248" s="22">
        <f>IF(F248&gt;=Upgrades!$E$7,"",Upgrades!$C$7*POWER(Upgrades!$D$7,F248))</f>
        <v/>
      </c>
      <c r="AI248" s="22">
        <f>IF(G248&gt;=Upgrades!$E$8,"",Upgrades!$C$8*POWER(Upgrades!$D$8,G248))</f>
        <v/>
      </c>
      <c r="AJ248" s="22">
        <f>IF(H248&gt;=Upgrades!$E$9,"",Upgrades!$C$9*POWER(Upgrades!$D$9,H248))</f>
        <v/>
      </c>
      <c r="AK248" s="22">
        <f>IF(I248&gt;=Upgrades!$E$10,"",Upgrades!$C$10*POWER(Upgrades!$D$10,I248))</f>
        <v/>
      </c>
      <c r="AL248" s="22">
        <f>IF(J248&gt;=Upgrades!$E$11,"",Upgrades!$C$11*POWER(Upgrades!$D$11,J248))</f>
        <v/>
      </c>
      <c r="AM248" s="22">
        <f>IF(K248&gt;=Upgrades!$E$12,"",Upgrades!$C$12*POWER(Upgrades!$D$12,K248))</f>
        <v/>
      </c>
      <c r="AN248" s="26">
        <f>IF(AND(D248&gt;=Parameters!$B$18,(H248&gt;=Upgrades!$E$9)*(K248&gt;=Upgrades!$E$12)=1,L248=0),1,"")</f>
        <v/>
      </c>
      <c r="AO248" s="26">
        <f>IF(AND(D248&gt;=Parameters!$B$18,L248=0),1,"")</f>
        <v/>
      </c>
      <c r="AP248" s="22">
        <f>MIN(IF(ISNUMBER(AK248),AK248,9E15),IF(ISNUMBER(AL248),AL248,9E15),IF(ISNUMBER(AM248),AM248,9E15))</f>
        <v/>
      </c>
      <c r="AQ248" s="22">
        <f>MIN(IF(ISNUMBER(AG248),AG248,9E15),IF(ISNUMBER(AH248),AH248,9E15),IF(ISNUMBER(AI248),AI248,9E15),IF(ISNUMBER(AJ248),AJ248,9E15))</f>
        <v/>
      </c>
      <c r="AR248" s="29">
        <f>IF(AW248&gt;Parameters!$B$21*(MAX(IF(AND(NOT(AND(AO248=1,AN248&lt;&gt;1)),ISNUMBER(AG248),AG248&lt;=T248),AS248,0),IF(AND(NOT(AND(AO248=1,AN248&lt;&gt;1)),ISNUMBER(AH248),AH248&lt;=T248),AT248,0),IF(AND(NOT(AND(AO248=1,AN248&lt;&gt;1)),ISNUMBER(AI248),AI248&lt;=T248),AU248,0),IF(AND(ISNUMBER(AJ248),AJ248&lt;=T248),AV248,0))),TRUE,FALSE)</f>
        <v/>
      </c>
      <c r="AS248" s="32">
        <f>IFERROR(Upgrades!$H$6*(POWER(Upgrades!$P$6,E248)*POWER(Upgrades!$P$7,F248)*POWER(Upgrades!$P$8,G248)*POWER(Upgrades!$P$9,H248)*POWER(Upgrades!$P$10,I248)*POWER(Upgrades!$P$11,J248)*POWER(Upgrades!$P$12,K248))*(IF(Upgrades!$T$7="Solar Wind",POWER(Upgrades!$U$7,F248),1)*IF(Upgrades!$T$8="Solar Wind",POWER(Upgrades!$U$8,G248),1)*IF(Upgrades!$T$9="Solar Wind",POWER(Upgrades!$U$9,H248),1)*IF(Upgrades!$T$10="Solar Wind",POWER(Upgrades!$U$10,I248),1)*IF(Upgrades!$T$11="Solar Wind",POWER(Upgrades!$U$11,J248),1)*IF(Upgrades!$T$12="Solar Wind",POWER(Upgrades!$U$12,K248),1))/AG248,0)</f>
        <v/>
      </c>
      <c r="AT248" s="32">
        <f>IFERROR(Upgrades!$H$7*(POWER(Upgrades!$P$6,E248)*POWER(Upgrades!$P$7,F248)*POWER(Upgrades!$P$8,G248)*POWER(Upgrades!$P$9,H248)*POWER(Upgrades!$P$10,I248)*POWER(Upgrades!$P$11,J248)*POWER(Upgrades!$P$12,K248))*(IF(Upgrades!$T$6="Asteroid Belt",POWER(Upgrades!$U$6,E248),1)*IF(Upgrades!$T$8="Asteroid Belt",POWER(Upgrades!$U$8,G248),1)*IF(Upgrades!$T$9="Asteroid Belt",POWER(Upgrades!$U$9,H248),1)*IF(Upgrades!$T$10="Asteroid Belt",POWER(Upgrades!$U$10,I248),1)*IF(Upgrades!$T$11="Asteroid Belt",POWER(Upgrades!$U$11,J248),1)*IF(Upgrades!$T$12="Asteroid Belt",POWER(Upgrades!$U$12,K248),1))/AH248,0)</f>
        <v/>
      </c>
      <c r="AU248" s="32">
        <f>IFERROR(Upgrades!$K$8*(POWER(Upgrades!$Q$6,E248)*POWER(Upgrades!$Q$7,F248)*POWER(Upgrades!$Q$8,G248)*POWER(Upgrades!$Q$9,H248)*POWER(Upgrades!$Q$10,I248)*POWER(Upgrades!$Q$11,J248)*POWER(Upgrades!$Q$12,K248))*(IF(Upgrades!$T$6="Stellar Coupling",POWER(Upgrades!$U$6,E248),1)*IF(Upgrades!$T$7="Stellar Coupling",POWER(Upgrades!$U$7,F248),1)*IF(Upgrades!$T$9="Stellar Coupling",POWER(Upgrades!$U$9,H248),1)*IF(Upgrades!$T$10="Stellar Coupling",POWER(Upgrades!$U$10,I248),1)*IF(Upgrades!$T$11="Stellar Coupling",POWER(Upgrades!$U$11,J248),1)*IF(Upgrades!$T$12="Stellar Coupling",POWER(Upgrades!$U$12,K248),1))*Parameters!$B$10*Parameters!$B$11/60/AI248,0)</f>
        <v/>
      </c>
      <c r="AV248" s="32">
        <f>IFERROR(Upgrades!$H$9*(POWER(Upgrades!$P$6,E248)*POWER(Upgrades!$P$7,F248)*POWER(Upgrades!$P$8,G248)*POWER(Upgrades!$P$9,H248)*POWER(Upgrades!$P$10,I248)*POWER(Upgrades!$P$11,J248)*POWER(Upgrades!$P$12,K248))*(IF(Upgrades!$T$6="Magnetosphere",POWER(Upgrades!$U$6,E248),1)*IF(Upgrades!$T$7="Magnetosphere",POWER(Upgrades!$U$7,F248),1)*IF(Upgrades!$T$8="Magnetosphere",POWER(Upgrades!$U$8,G248),1)*IF(Upgrades!$T$10="Magnetosphere",POWER(Upgrades!$U$10,I248),1)*IF(Upgrades!$T$11="Magnetosphere",POWER(Upgrades!$U$11,J248),1)*IF(Upgrades!$T$12="Magnetosphere",POWER(Upgrades!$U$12,K248),1))/AJ248,0)</f>
        <v/>
      </c>
      <c r="AW248" s="32">
        <f>MAX(IF(I248&gt;0,0,IFERROR(0.25*N248/Upgrades!$C$10,0)),IF(J248&gt;0,0,IFERROR(0.5*((IF(G248=0,0,(Upgrades!$J$8+G248*Upgrades!$K$8)*POWER(Upgrades!$L$8,G248)))*(IF(Upgrades!$T$6="Stellar Coupling",POWER(Upgrades!$U$6,E248),1)*IF(Upgrades!$T$7="Stellar Coupling",POWER(Upgrades!$U$7,F248),1)*IF(Upgrades!$T$9="Stellar Coupling",POWER(Upgrades!$U$9,H248),1)*IF(Upgrades!$T$10="Stellar Coupling",POWER(Upgrades!$U$10,I248),1)*IF(Upgrades!$T$11="Stellar Coupling",POWER(Upgrades!$U$11,J248),1)*IF(Upgrades!$T$12="Stellar Coupling",POWER(Upgrades!$U$12,K248),1))*(POWER(Upgrades!$Q$6,E248)*POWER(Upgrades!$Q$7,F248)*POWER(Upgrades!$Q$8,G248)*POWER(Upgrades!$Q$9,H248)*POWER(Upgrades!$Q$10,I248)*POWER(Upgrades!$Q$11,J248)*POWER(Upgrades!$Q$12,K248))*Parameters!$B$10*Parameters!$B$11/60)/Upgrades!$C$11,0)),IF(K248&gt;0,0,IFERROR((1.0*(POWER(Upgrades!$P$6,E248)*POWER(Upgrades!$P$7,F248)*POWER(Upgrades!$P$8,G248)*POWER(Upgrades!$P$9,H248)*POWER(Upgrades!$P$10,I248)*POWER(Upgrades!$P$11,J248)*POWER(Upgrades!$P$12,K248))+0.20*M248*Parameters!$B$10*Parameters!$B$11/60)/Upgrades!$C$12,0)),IF(AND(ISNUMBER(AG248),AG248&gt;T248),AS248,0),IF(AND(ISNUMBER(AH248),AH248&gt;T248),AT248,0),IF(AND(ISNUMBER(AI248),AI248&gt;T248),AU248,0),IF(AND(ISNUMBER(AJ248),AJ248&gt;T248),AV248,0))</f>
        <v/>
      </c>
      <c r="AX248" s="29">
        <f>IF(AN248=1,"transition",IF(MIN(IF(AND(I248=0,ISNUMBER(AK248),AK248&lt;=T248),AK248,9E15),IF(AND(J248=0,ISNUMBER(AL248),AL248&lt;=T248),AL248,9E15),IF(AND(K248=0,ISNUMBER(AM248),AM248&lt;=T248),AM248,9E15))&lt;9E15,IF(AND(AND(I248=0,ISNUMBER(AK248),AK248&lt;=T248),AK248=MIN(IF(AND(I248=0,ISNUMBER(AK248),AK248&lt;=T248),AK248,9E15),IF(AND(J248=0,ISNUMBER(AL248),AL248&lt;=T248),AL248,9E15),IF(AND(K248=0,ISNUMBER(AM248),AM248&lt;=T248),AM248,9E15))),"OR",IF(AND(AND(J248=0,ISNUMBER(AL248),AL248&lt;=T248),AL248=MIN(IF(AND(I248=0,ISNUMBER(AK248),AK248&lt;=T248),AK248,9E15),IF(AND(J248=0,ISNUMBER(AL248),AL248&lt;=T248),AL248,9E15),IF(AND(K248=0,ISNUMBER(AM248),AM248&lt;=T248),AM248,9E15))),"HP","FP")),IF(AR248=TRUE,"",IF(MAX(IF(AND(NOT(AND(AO248=1,AN248&lt;&gt;1)),ISNUMBER(AG248),AG248&lt;=T248),AS248,0),IF(AND(NOT(AND(AO248=1,AN248&lt;&gt;1)),ISNUMBER(AH248),AH248&lt;=T248),AT248,0),IF(AND(NOT(AND(AO248=1,AN248&lt;&gt;1)),ISNUMBER(AI248),AI248&lt;=T248),AU248,0),IF(AND(ISNUMBER(AJ248),AJ248&lt;=T248),AV248,0))&lt;=0,"",IF(AND(IF(AND(NOT(AND(AO248=1,AN248&lt;&gt;1)),ISNUMBER(AG248),AG248&lt;=T248),AS248,0)&gt;0,IF(AND(NOT(AND(AO248=1,AN248&lt;&gt;1)),ISNUMBER(AG248),AG248&lt;=T248),AS248,0)=MAX(IF(AND(NOT(AND(AO248=1,AN248&lt;&gt;1)),ISNUMBER(AG248),AG248&lt;=T248),AS248,0),IF(AND(NOT(AND(AO248=1,AN248&lt;&gt;1)),ISNUMBER(AH248),AH248&lt;=T248),AT248,0),IF(AND(NOT(AND(AO248=1,AN248&lt;&gt;1)),ISNUMBER(AI248),AI248&lt;=T248),AU248,0),IF(AND(ISNUMBER(AJ248),AJ248&lt;=T248),AV248,0))),"SW",IF(AND(IF(AND(NOT(AND(AO248=1,AN248&lt;&gt;1)),ISNUMBER(AH248),AH248&lt;=T248),AT248,0)&gt;0,IF(AND(NOT(AND(AO248=1,AN248&lt;&gt;1)),ISNUMBER(AH248),AH248&lt;=T248),AT248,0)=MAX(IF(AND(NOT(AND(AO248=1,AN248&lt;&gt;1)),ISNUMBER(AG248),AG248&lt;=T248),AS248,0),IF(AND(NOT(AND(AO248=1,AN248&lt;&gt;1)),ISNUMBER(AH248),AH248&lt;=T248),AT248,0),IF(AND(NOT(AND(AO248=1,AN248&lt;&gt;1)),ISNUMBER(AI248),AI248&lt;=T248),AU248,0),IF(AND(ISNUMBER(AJ248),AJ248&lt;=T248),AV248,0))),"AB",IF(AND(IF(AND(NOT(AND(AO248=1,AN248&lt;&gt;1)),ISNUMBER(AI248),AI248&lt;=T248),AU248,0)&gt;0,IF(AND(NOT(AND(AO248=1,AN248&lt;&gt;1)),ISNUMBER(AI248),AI248&lt;=T248),AU248,0)=MAX(IF(AND(NOT(AND(AO248=1,AN248&lt;&gt;1)),ISNUMBER(AG248),AG248&lt;=T248),AS248,0),IF(AND(NOT(AND(AO248=1,AN248&lt;&gt;1)),ISNUMBER(AH248),AH248&lt;=T248),AT248,0),IF(AND(NOT(AND(AO248=1,AN248&lt;&gt;1)),ISNUMBER(AI248),AI248&lt;=T248),AU248,0),IF(AND(ISNUMBER(AJ248),AJ248&lt;=T248),AV248,0))),"SC","Mag")))))))</f>
        <v/>
      </c>
    </row>
    <row r="249">
      <c r="A249" s="26" t="n">
        <v>244</v>
      </c>
      <c r="B249" s="27">
        <f>A249*10/60</f>
        <v/>
      </c>
      <c r="C249" s="22">
        <f>X248</f>
        <v/>
      </c>
      <c r="D249" s="27">
        <f>D248+W248</f>
        <v/>
      </c>
      <c r="E249" s="26">
        <f>E248+IF(U248="SW",1,0)</f>
        <v/>
      </c>
      <c r="F249" s="26">
        <f>F248+IF(U248="AB",1,0)</f>
        <v/>
      </c>
      <c r="G249" s="26">
        <f>G248+IF(U248="SC",1,0)</f>
        <v/>
      </c>
      <c r="H249" s="26">
        <f>H248+IF(U248="Mag",1,0)</f>
        <v/>
      </c>
      <c r="I249" s="26">
        <f>MAX(I248,IF(U248="OR",1,0))</f>
        <v/>
      </c>
      <c r="J249" s="26">
        <f>MAX(J248,IF(U248="HP",1,0))</f>
        <v/>
      </c>
      <c r="K249" s="26">
        <f>MAX(K248,IF(U248="FP",1,0))</f>
        <v/>
      </c>
      <c r="L249" s="26">
        <f>MAX(L248,IF(U248="transition",1,0))</f>
        <v/>
      </c>
      <c r="M249" s="28">
        <f>(Parameters!$B$9+(IF(E249=0,0,(Upgrades!$J$6+E249*Upgrades!$K$6)*POWER(Upgrades!$L$6,E249)))*(IF(Upgrades!$T$7="Solar Wind",POWER(Upgrades!$U$7,F249),1)*IF(Upgrades!$T$8="Solar Wind",POWER(Upgrades!$U$8,G249),1)*IF(Upgrades!$T$9="Solar Wind",POWER(Upgrades!$U$9,H249),1)*IF(Upgrades!$T$10="Solar Wind",POWER(Upgrades!$U$10,I249),1)*IF(Upgrades!$T$11="Solar Wind",POWER(Upgrades!$U$11,J249),1)*IF(Upgrades!$T$12="Solar Wind",POWER(Upgrades!$U$12,K249),1))+(IF(F249=0,0,(Upgrades!$J$7+F249*Upgrades!$K$7)*POWER(Upgrades!$L$7,F249)))*(IF(Upgrades!$T$6="Asteroid Belt",POWER(Upgrades!$U$6,E249),1)*IF(Upgrades!$T$8="Asteroid Belt",POWER(Upgrades!$U$8,G249),1)*IF(Upgrades!$T$9="Asteroid Belt",POWER(Upgrades!$U$9,H249),1)*IF(Upgrades!$T$10="Asteroid Belt",POWER(Upgrades!$U$10,I249),1)*IF(Upgrades!$T$11="Asteroid Belt",POWER(Upgrades!$U$11,J249),1)*IF(Upgrades!$T$12="Asteroid Belt",POWER(Upgrades!$U$12,K249),1))+(IF(G249=0,0,(Upgrades!$J$8+G249*Upgrades!$K$8)*POWER(Upgrades!$L$8,G249)))*(IF(Upgrades!$T$6="Stellar Coupling",POWER(Upgrades!$U$6,E249),1)*IF(Upgrades!$T$7="Stellar Coupling",POWER(Upgrades!$U$7,F249),1)*IF(Upgrades!$T$9="Stellar Coupling",POWER(Upgrades!$U$9,H249),1)*IF(Upgrades!$T$10="Stellar Coupling",POWER(Upgrades!$U$10,I249),1)*IF(Upgrades!$T$11="Stellar Coupling",POWER(Upgrades!$U$11,J249),1)*IF(Upgrades!$T$12="Stellar Coupling",POWER(Upgrades!$U$12,K249),1))+(IF(H249=0,0,(Upgrades!$J$9+H249*Upgrades!$K$9)*POWER(Upgrades!$L$9,H249)))*(IF(Upgrades!$T$6="Magnetosphere",POWER(Upgrades!$U$6,E249),1)*IF(Upgrades!$T$7="Magnetosphere",POWER(Upgrades!$U$7,F249),1)*IF(Upgrades!$T$8="Magnetosphere",POWER(Upgrades!$U$8,G249),1)*IF(Upgrades!$T$10="Magnetosphere",POWER(Upgrades!$U$10,I249),1)*IF(Upgrades!$T$11="Magnetosphere",POWER(Upgrades!$U$11,J249),1)*IF(Upgrades!$T$12="Magnetosphere",POWER(Upgrades!$U$12,K249),1))+(IF(I249=0,0,(Upgrades!$J$10+I249*Upgrades!$K$10)*POWER(Upgrades!$L$10,I249)))*(IF(Upgrades!$T$6="Orbital Resonance",POWER(Upgrades!$U$6,E249),1)*IF(Upgrades!$T$7="Orbital Resonance",POWER(Upgrades!$U$7,F249),1)*IF(Upgrades!$T$8="Orbital Resonance",POWER(Upgrades!$U$8,G249),1)*IF(Upgrades!$T$9="Orbital Resonance",POWER(Upgrades!$U$9,H249),1)*IF(Upgrades!$T$11="Orbital Resonance",POWER(Upgrades!$U$11,J249),1)*IF(Upgrades!$T$12="Orbital Resonance",POWER(Upgrades!$U$12,K249),1))+(IF(J249=0,0,(Upgrades!$J$11+J249*Upgrades!$K$11)*POWER(Upgrades!$L$11,J249)))*(IF(Upgrades!$T$6="Heliopause",POWER(Upgrades!$U$6,E249),1)*IF(Upgrades!$T$7="Heliopause",POWER(Upgrades!$U$7,F249),1)*IF(Upgrades!$T$8="Heliopause",POWER(Upgrades!$U$8,G249),1)*IF(Upgrades!$T$9="Heliopause",POWER(Upgrades!$U$9,H249),1)*IF(Upgrades!$T$10="Heliopause",POWER(Upgrades!$U$10,I249),1)*IF(Upgrades!$T$12="Heliopause",POWER(Upgrades!$U$12,K249),1))+(IF(K249=0,0,(Upgrades!$J$12+K249*Upgrades!$K$12)*POWER(Upgrades!$L$12,K249)))*(IF(Upgrades!$T$6="First Photons",POWER(Upgrades!$U$6,E249),1)*IF(Upgrades!$T$7="First Photons",POWER(Upgrades!$U$7,F249),1)*IF(Upgrades!$T$8="First Photons",POWER(Upgrades!$U$8,G249),1)*IF(Upgrades!$T$9="First Photons",POWER(Upgrades!$U$9,H249),1)*IF(Upgrades!$T$10="First Photons",POWER(Upgrades!$U$10,I249),1)*IF(Upgrades!$T$11="First Photons",POWER(Upgrades!$U$11,J249),1)))*POWER(Upgrades!$Q$6,E249)*POWER(Upgrades!$Q$7,F249)*POWER(Upgrades!$Q$8,G249)*POWER(Upgrades!$Q$9,H249)*POWER(Upgrades!$Q$10,I249)*POWER(Upgrades!$Q$11,J249)*POWER(Upgrades!$Q$12,K249)</f>
        <v/>
      </c>
      <c r="N249" s="28">
        <f>((IF(E249=0,0,(Upgrades!$G$6+E249*Upgrades!$H$6)*POWER(Upgrades!$I$6,E249)))*(IF(Upgrades!$T$7="Solar Wind",POWER(Upgrades!$U$7,F249),1)*IF(Upgrades!$T$8="Solar Wind",POWER(Upgrades!$U$8,G249),1)*IF(Upgrades!$T$9="Solar Wind",POWER(Upgrades!$U$9,H249),1)*IF(Upgrades!$T$10="Solar Wind",POWER(Upgrades!$U$10,I249),1)*IF(Upgrades!$T$11="Solar Wind",POWER(Upgrades!$U$11,J249),1)*IF(Upgrades!$T$12="Solar Wind",POWER(Upgrades!$U$12,K249),1))+(IF(F249=0,0,(Upgrades!$G$7+F249*Upgrades!$H$7)*POWER(Upgrades!$I$7,F249)))*(IF(Upgrades!$T$6="Asteroid Belt",POWER(Upgrades!$U$6,E249),1)*IF(Upgrades!$T$8="Asteroid Belt",POWER(Upgrades!$U$8,G249),1)*IF(Upgrades!$T$9="Asteroid Belt",POWER(Upgrades!$U$9,H249),1)*IF(Upgrades!$T$10="Asteroid Belt",POWER(Upgrades!$U$10,I249),1)*IF(Upgrades!$T$11="Asteroid Belt",POWER(Upgrades!$U$11,J249),1)*IF(Upgrades!$T$12="Asteroid Belt",POWER(Upgrades!$U$12,K249),1))+(IF(G249=0,0,(Upgrades!$G$8+G249*Upgrades!$H$8)*POWER(Upgrades!$I$8,G249)))*(IF(Upgrades!$T$6="Stellar Coupling",POWER(Upgrades!$U$6,E249),1)*IF(Upgrades!$T$7="Stellar Coupling",POWER(Upgrades!$U$7,F249),1)*IF(Upgrades!$T$9="Stellar Coupling",POWER(Upgrades!$U$9,H249),1)*IF(Upgrades!$T$10="Stellar Coupling",POWER(Upgrades!$U$10,I249),1)*IF(Upgrades!$T$11="Stellar Coupling",POWER(Upgrades!$U$11,J249),1)*IF(Upgrades!$T$12="Stellar Coupling",POWER(Upgrades!$U$12,K249),1))+(IF(H249=0,0,(Upgrades!$G$9+H249*Upgrades!$H$9)*POWER(Upgrades!$I$9,H249)))*(IF(Upgrades!$T$6="Magnetosphere",POWER(Upgrades!$U$6,E249),1)*IF(Upgrades!$T$7="Magnetosphere",POWER(Upgrades!$U$7,F249),1)*IF(Upgrades!$T$8="Magnetosphere",POWER(Upgrades!$U$8,G249),1)*IF(Upgrades!$T$10="Magnetosphere",POWER(Upgrades!$U$10,I249),1)*IF(Upgrades!$T$11="Magnetosphere",POWER(Upgrades!$U$11,J249),1)*IF(Upgrades!$T$12="Magnetosphere",POWER(Upgrades!$U$12,K249),1))+(IF(I249=0,0,(Upgrades!$G$10+I249*Upgrades!$H$10)*POWER(Upgrades!$I$10,I249)))*(IF(Upgrades!$T$6="Orbital Resonance",POWER(Upgrades!$U$6,E249),1)*IF(Upgrades!$T$7="Orbital Resonance",POWER(Upgrades!$U$7,F249),1)*IF(Upgrades!$T$8="Orbital Resonance",POWER(Upgrades!$U$8,G249),1)*IF(Upgrades!$T$9="Orbital Resonance",POWER(Upgrades!$U$9,H249),1)*IF(Upgrades!$T$11="Orbital Resonance",POWER(Upgrades!$U$11,J249),1)*IF(Upgrades!$T$12="Orbital Resonance",POWER(Upgrades!$U$12,K249),1))+(IF(J249=0,0,(Upgrades!$G$11+J249*Upgrades!$H$11)*POWER(Upgrades!$I$11,J249)))*(IF(Upgrades!$T$6="Heliopause",POWER(Upgrades!$U$6,E249),1)*IF(Upgrades!$T$7="Heliopause",POWER(Upgrades!$U$7,F249),1)*IF(Upgrades!$T$8="Heliopause",POWER(Upgrades!$U$8,G249),1)*IF(Upgrades!$T$9="Heliopause",POWER(Upgrades!$U$9,H249),1)*IF(Upgrades!$T$10="Heliopause",POWER(Upgrades!$U$10,I249),1)*IF(Upgrades!$T$12="Heliopause",POWER(Upgrades!$U$12,K249),1))+(IF(K249=0,0,(Upgrades!$G$12+K249*Upgrades!$H$12)*POWER(Upgrades!$I$12,K249)))*(IF(Upgrades!$T$6="First Photons",POWER(Upgrades!$U$6,E249),1)*IF(Upgrades!$T$7="First Photons",POWER(Upgrades!$U$7,F249),1)*IF(Upgrades!$T$8="First Photons",POWER(Upgrades!$U$8,G249),1)*IF(Upgrades!$T$9="First Photons",POWER(Upgrades!$U$9,H249),1)*IF(Upgrades!$T$10="First Photons",POWER(Upgrades!$U$10,I249),1)*IF(Upgrades!$T$11="First Photons",POWER(Upgrades!$U$11,J249),1)))*POWER(Upgrades!$P$6,E249)*POWER(Upgrades!$P$7,F249)*POWER(Upgrades!$P$8,G249)*POWER(Upgrades!$P$9,H249)*POWER(Upgrades!$P$10,I249)*POWER(Upgrades!$P$11,J249)*POWER(Upgrades!$P$12,K249)</f>
        <v/>
      </c>
      <c r="O249" s="28">
        <f>((IF(E249=0,0,(Upgrades!$M$6+E249*Upgrades!$N$6)*POWER(Upgrades!$O$6,E249)))*(IF(Upgrades!$T$7="Solar Wind",POWER(Upgrades!$U$7,F249),1)*IF(Upgrades!$T$8="Solar Wind",POWER(Upgrades!$U$8,G249),1)*IF(Upgrades!$T$9="Solar Wind",POWER(Upgrades!$U$9,H249),1)*IF(Upgrades!$T$10="Solar Wind",POWER(Upgrades!$U$10,I249),1)*IF(Upgrades!$T$11="Solar Wind",POWER(Upgrades!$U$11,J249),1)*IF(Upgrades!$T$12="Solar Wind",POWER(Upgrades!$U$12,K249),1))+(IF(F249=0,0,(Upgrades!$M$7+F249*Upgrades!$N$7)*POWER(Upgrades!$O$7,F249)))*(IF(Upgrades!$T$6="Asteroid Belt",POWER(Upgrades!$U$6,E249),1)*IF(Upgrades!$T$8="Asteroid Belt",POWER(Upgrades!$U$8,G249),1)*IF(Upgrades!$T$9="Asteroid Belt",POWER(Upgrades!$U$9,H249),1)*IF(Upgrades!$T$10="Asteroid Belt",POWER(Upgrades!$U$10,I249),1)*IF(Upgrades!$T$11="Asteroid Belt",POWER(Upgrades!$U$11,J249),1)*IF(Upgrades!$T$12="Asteroid Belt",POWER(Upgrades!$U$12,K249),1))+(IF(G249=0,0,(Upgrades!$M$8+G249*Upgrades!$N$8)*POWER(Upgrades!$O$8,G249)))*(IF(Upgrades!$T$6="Stellar Coupling",POWER(Upgrades!$U$6,E249),1)*IF(Upgrades!$T$7="Stellar Coupling",POWER(Upgrades!$U$7,F249),1)*IF(Upgrades!$T$9="Stellar Coupling",POWER(Upgrades!$U$9,H249),1)*IF(Upgrades!$T$10="Stellar Coupling",POWER(Upgrades!$U$10,I249),1)*IF(Upgrades!$T$11="Stellar Coupling",POWER(Upgrades!$U$11,J249),1)*IF(Upgrades!$T$12="Stellar Coupling",POWER(Upgrades!$U$12,K249),1))+(IF(H249=0,0,(Upgrades!$M$9+H249*Upgrades!$N$9)*POWER(Upgrades!$O$9,H249)))*(IF(Upgrades!$T$6="Magnetosphere",POWER(Upgrades!$U$6,E249),1)*IF(Upgrades!$T$7="Magnetosphere",POWER(Upgrades!$U$7,F249),1)*IF(Upgrades!$T$8="Magnetosphere",POWER(Upgrades!$U$8,G249),1)*IF(Upgrades!$T$10="Magnetosphere",POWER(Upgrades!$U$10,I249),1)*IF(Upgrades!$T$11="Magnetosphere",POWER(Upgrades!$U$11,J249),1)*IF(Upgrades!$T$12="Magnetosphere",POWER(Upgrades!$U$12,K249),1))+(IF(I249=0,0,(Upgrades!$M$10+I249*Upgrades!$N$10)*POWER(Upgrades!$O$10,I249)))*(IF(Upgrades!$T$6="Orbital Resonance",POWER(Upgrades!$U$6,E249),1)*IF(Upgrades!$T$7="Orbital Resonance",POWER(Upgrades!$U$7,F249),1)*IF(Upgrades!$T$8="Orbital Resonance",POWER(Upgrades!$U$8,G249),1)*IF(Upgrades!$T$9="Orbital Resonance",POWER(Upgrades!$U$9,H249),1)*IF(Upgrades!$T$11="Orbital Resonance",POWER(Upgrades!$U$11,J249),1)*IF(Upgrades!$T$12="Orbital Resonance",POWER(Upgrades!$U$12,K249),1))+(IF(J249=0,0,(Upgrades!$M$11+J249*Upgrades!$N$11)*POWER(Upgrades!$O$11,J249)))*(IF(Upgrades!$T$6="Heliopause",POWER(Upgrades!$U$6,E249),1)*IF(Upgrades!$T$7="Heliopause",POWER(Upgrades!$U$7,F249),1)*IF(Upgrades!$T$8="Heliopause",POWER(Upgrades!$U$8,G249),1)*IF(Upgrades!$T$9="Heliopause",POWER(Upgrades!$U$9,H249),1)*IF(Upgrades!$T$10="Heliopause",POWER(Upgrades!$U$10,I249),1)*IF(Upgrades!$T$12="Heliopause",POWER(Upgrades!$U$12,K249),1))+(IF(K249=0,0,(Upgrades!$M$12+K249*Upgrades!$N$12)*POWER(Upgrades!$O$12,K249)))*(IF(Upgrades!$T$6="First Photons",POWER(Upgrades!$U$6,E249),1)*IF(Upgrades!$T$7="First Photons",POWER(Upgrades!$U$7,F249),1)*IF(Upgrades!$T$8="First Photons",POWER(Upgrades!$U$8,G249),1)*IF(Upgrades!$T$9="First Photons",POWER(Upgrades!$U$9,H249),1)*IF(Upgrades!$T$10="First Photons",POWER(Upgrades!$U$10,I249),1)*IF(Upgrades!$T$11="First Photons",POWER(Upgrades!$U$11,J249),1)))*POWER(Upgrades!$R$6,E249)*POWER(Upgrades!$R$7,F249)*POWER(Upgrades!$R$8,G249)*POWER(Upgrades!$R$9,H249)*POWER(Upgrades!$R$10,I249)*POWER(Upgrades!$R$11,J249)*POWER(Upgrades!$R$12,K249)</f>
        <v/>
      </c>
      <c r="P249" s="27">
        <f>IF(L249=1,0,M249*Parameters!$B$10/60*Parameters!$B$11*10)</f>
        <v/>
      </c>
      <c r="Q249" s="27">
        <f>IF(L249=1,0,O249*M249*10)</f>
        <v/>
      </c>
      <c r="R249" s="27">
        <f>IF(L249=1,0,N249*10)</f>
        <v/>
      </c>
      <c r="S249" s="27">
        <f>P249+Q249+R249</f>
        <v/>
      </c>
      <c r="T249" s="22">
        <f>C249+S249</f>
        <v/>
      </c>
      <c r="U249" s="33">
        <f>AX249</f>
        <v/>
      </c>
      <c r="V249" s="22">
        <f>IF(U249="",0,IF(U249="transition",0,IF(U249="SW",AG249,IF(U249="AB",AH249,IF(U249="SC",AI249,IF(U249="Mag",AJ249,IF(U249="OR",AK249,IF(U249="HP",AL249,IF(U249="FP",AM249,0)))))))))</f>
        <v/>
      </c>
      <c r="W249" s="27">
        <f>IF(U249="OR",Upgrades!$F$10,IF(U249="HP",Upgrades!$F$11,IF(U249="transition",-Parameters!$B$18,0)))</f>
        <v/>
      </c>
      <c r="X249" s="22">
        <f>T249-V249</f>
        <v/>
      </c>
      <c r="Y249" s="30">
        <f>M249*Parameters!$B$10/60*Parameters!$B$11+O249*M249+N249</f>
        <v/>
      </c>
      <c r="Z249" s="34">
        <f>IF(U249="transition","→ Tier 2 (Stellar Neighborhood)",IF(U249="FP","First Photons — light begins, system quickens",IF(U249="HP","Heliopause acquired",IF(U249="OR","Orbital Resonance — passive multiplier active",IF(AND(AO249=1,L249=0,AN249&lt;&gt;1),"Cohesion ready (waiting on completionist upgrades)","")))))</f>
        <v/>
      </c>
      <c r="AA249" s="27">
        <f>(IF(E249=0,0,(Upgrades!$G$6+E249*Upgrades!$H$6)*POWER(Upgrades!$I$6,E249)))*(IF(Upgrades!$T$7="Solar Wind",POWER(Upgrades!$U$7,F249),1)*IF(Upgrades!$T$8="Solar Wind",POWER(Upgrades!$U$8,G249),1)*IF(Upgrades!$T$9="Solar Wind",POWER(Upgrades!$U$9,H249),1)*IF(Upgrades!$T$10="Solar Wind",POWER(Upgrades!$U$10,I249),1)*IF(Upgrades!$T$11="Solar Wind",POWER(Upgrades!$U$11,J249),1)*IF(Upgrades!$T$12="Solar Wind",POWER(Upgrades!$U$12,K249),1))*POWER(Upgrades!$P$6,E249)*POWER(Upgrades!$P$7,F249)*POWER(Upgrades!$P$8,G249)*POWER(Upgrades!$P$9,H249)*POWER(Upgrades!$P$10,I249)*POWER(Upgrades!$P$11,J249)*POWER(Upgrades!$P$12,K249)*60</f>
        <v/>
      </c>
      <c r="AB249" s="27">
        <f>(IF(F249=0,0,(Upgrades!$G$7+F249*Upgrades!$H$7)*POWER(Upgrades!$I$7,F249)))*(IF(Upgrades!$T$6="Asteroid Belt",POWER(Upgrades!$U$6,E249),1)*IF(Upgrades!$T$8="Asteroid Belt",POWER(Upgrades!$U$8,G249),1)*IF(Upgrades!$T$9="Asteroid Belt",POWER(Upgrades!$U$9,H249),1)*IF(Upgrades!$T$10="Asteroid Belt",POWER(Upgrades!$U$10,I249),1)*IF(Upgrades!$T$11="Asteroid Belt",POWER(Upgrades!$U$11,J249),1)*IF(Upgrades!$T$12="Asteroid Belt",POWER(Upgrades!$U$12,K249),1))*POWER(Upgrades!$P$6,E249)*POWER(Upgrades!$P$7,F249)*POWER(Upgrades!$P$8,G249)*POWER(Upgrades!$P$9,H249)*POWER(Upgrades!$P$10,I249)*POWER(Upgrades!$P$11,J249)*POWER(Upgrades!$P$12,K249)*60</f>
        <v/>
      </c>
      <c r="AC249" s="27">
        <f>(IF(G249=0,0,(Upgrades!$J$8+G249*Upgrades!$K$8)*POWER(Upgrades!$L$8,G249)))*(IF(Upgrades!$T$6="Stellar Coupling",POWER(Upgrades!$U$6,E249),1)*IF(Upgrades!$T$7="Stellar Coupling",POWER(Upgrades!$U$7,F249),1)*IF(Upgrades!$T$9="Stellar Coupling",POWER(Upgrades!$U$9,H249),1)*IF(Upgrades!$T$10="Stellar Coupling",POWER(Upgrades!$U$10,I249),1)*IF(Upgrades!$T$11="Stellar Coupling",POWER(Upgrades!$U$11,J249),1)*IF(Upgrades!$T$12="Stellar Coupling",POWER(Upgrades!$U$12,K249),1))*POWER(Upgrades!$Q$6,E249)*POWER(Upgrades!$Q$7,F249)*POWER(Upgrades!$Q$8,G249)*POWER(Upgrades!$Q$9,H249)*POWER(Upgrades!$Q$10,I249)*POWER(Upgrades!$Q$11,J249)*POWER(Upgrades!$Q$12,K249)*Parameters!$B$10*Parameters!$B$11</f>
        <v/>
      </c>
      <c r="AD249" s="27">
        <f>(IF(H249=0,0,(Upgrades!$G$9+H249*Upgrades!$H$9)*POWER(Upgrades!$I$9,H249)))*(IF(Upgrades!$T$6="Magnetosphere",POWER(Upgrades!$U$6,E249),1)*IF(Upgrades!$T$7="Magnetosphere",POWER(Upgrades!$U$7,F249),1)*IF(Upgrades!$T$8="Magnetosphere",POWER(Upgrades!$U$8,G249),1)*IF(Upgrades!$T$10="Magnetosphere",POWER(Upgrades!$U$10,I249),1)*IF(Upgrades!$T$11="Magnetosphere",POWER(Upgrades!$U$11,J249),1)*IF(Upgrades!$T$12="Magnetosphere",POWER(Upgrades!$U$12,K249),1))*POWER(Upgrades!$P$6,E249)*POWER(Upgrades!$P$7,F249)*POWER(Upgrades!$P$8,G249)*POWER(Upgrades!$P$9,H249)*POWER(Upgrades!$P$10,I249)*POWER(Upgrades!$P$11,J249)*POWER(Upgrades!$P$12,K249)*60</f>
        <v/>
      </c>
      <c r="AE249" s="27">
        <f>(IF(K249=0,0,(Upgrades!$G$12+K249*Upgrades!$H$12)*POWER(Upgrades!$I$12,K249)))*(IF(Upgrades!$T$6="First Photons",POWER(Upgrades!$U$6,E249),1)*IF(Upgrades!$T$7="First Photons",POWER(Upgrades!$U$7,F249),1)*IF(Upgrades!$T$8="First Photons",POWER(Upgrades!$U$8,G249),1)*IF(Upgrades!$T$9="First Photons",POWER(Upgrades!$U$9,H249),1)*IF(Upgrades!$T$10="First Photons",POWER(Upgrades!$U$10,I249),1)*IF(Upgrades!$T$11="First Photons",POWER(Upgrades!$U$11,J249),1))*POWER(Upgrades!$P$6,E249)*POWER(Upgrades!$P$7,F249)*POWER(Upgrades!$P$8,G249)*POWER(Upgrades!$P$9,H249)*POWER(Upgrades!$P$10,I249)*POWER(Upgrades!$P$11,J249)*POWER(Upgrades!$P$12,K249)*60</f>
        <v/>
      </c>
      <c r="AF249" s="27">
        <f>Parameters!$B$9*POWER(Upgrades!$Q$6,E249)*POWER(Upgrades!$Q$7,F249)*POWER(Upgrades!$Q$8,G249)*POWER(Upgrades!$Q$9,H249)*POWER(Upgrades!$Q$10,I249)*POWER(Upgrades!$Q$11,J249)*POWER(Upgrades!$Q$12,K249)*(Parameters!$B$10*Parameters!$B$11+O249*60)</f>
        <v/>
      </c>
      <c r="AG249" s="22">
        <f>IF(E249&gt;=Upgrades!$E$6,"",Upgrades!$C$6*POWER(Upgrades!$D$6,E249))</f>
        <v/>
      </c>
      <c r="AH249" s="22">
        <f>IF(F249&gt;=Upgrades!$E$7,"",Upgrades!$C$7*POWER(Upgrades!$D$7,F249))</f>
        <v/>
      </c>
      <c r="AI249" s="22">
        <f>IF(G249&gt;=Upgrades!$E$8,"",Upgrades!$C$8*POWER(Upgrades!$D$8,G249))</f>
        <v/>
      </c>
      <c r="AJ249" s="22">
        <f>IF(H249&gt;=Upgrades!$E$9,"",Upgrades!$C$9*POWER(Upgrades!$D$9,H249))</f>
        <v/>
      </c>
      <c r="AK249" s="22">
        <f>IF(I249&gt;=Upgrades!$E$10,"",Upgrades!$C$10*POWER(Upgrades!$D$10,I249))</f>
        <v/>
      </c>
      <c r="AL249" s="22">
        <f>IF(J249&gt;=Upgrades!$E$11,"",Upgrades!$C$11*POWER(Upgrades!$D$11,J249))</f>
        <v/>
      </c>
      <c r="AM249" s="22">
        <f>IF(K249&gt;=Upgrades!$E$12,"",Upgrades!$C$12*POWER(Upgrades!$D$12,K249))</f>
        <v/>
      </c>
      <c r="AN249" s="26">
        <f>IF(AND(D249&gt;=Parameters!$B$18,(H249&gt;=Upgrades!$E$9)*(K249&gt;=Upgrades!$E$12)=1,L249=0),1,"")</f>
        <v/>
      </c>
      <c r="AO249" s="26">
        <f>IF(AND(D249&gt;=Parameters!$B$18,L249=0),1,"")</f>
        <v/>
      </c>
      <c r="AP249" s="22">
        <f>MIN(IF(ISNUMBER(AK249),AK249,9E15),IF(ISNUMBER(AL249),AL249,9E15),IF(ISNUMBER(AM249),AM249,9E15))</f>
        <v/>
      </c>
      <c r="AQ249" s="22">
        <f>MIN(IF(ISNUMBER(AG249),AG249,9E15),IF(ISNUMBER(AH249),AH249,9E15),IF(ISNUMBER(AI249),AI249,9E15),IF(ISNUMBER(AJ249),AJ249,9E15))</f>
        <v/>
      </c>
      <c r="AR249" s="29">
        <f>IF(AW249&gt;Parameters!$B$21*(MAX(IF(AND(NOT(AND(AO249=1,AN249&lt;&gt;1)),ISNUMBER(AG249),AG249&lt;=T249),AS249,0),IF(AND(NOT(AND(AO249=1,AN249&lt;&gt;1)),ISNUMBER(AH249),AH249&lt;=T249),AT249,0),IF(AND(NOT(AND(AO249=1,AN249&lt;&gt;1)),ISNUMBER(AI249),AI249&lt;=T249),AU249,0),IF(AND(ISNUMBER(AJ249),AJ249&lt;=T249),AV249,0))),TRUE,FALSE)</f>
        <v/>
      </c>
      <c r="AS249" s="32">
        <f>IFERROR(Upgrades!$H$6*(POWER(Upgrades!$P$6,E249)*POWER(Upgrades!$P$7,F249)*POWER(Upgrades!$P$8,G249)*POWER(Upgrades!$P$9,H249)*POWER(Upgrades!$P$10,I249)*POWER(Upgrades!$P$11,J249)*POWER(Upgrades!$P$12,K249))*(IF(Upgrades!$T$7="Solar Wind",POWER(Upgrades!$U$7,F249),1)*IF(Upgrades!$T$8="Solar Wind",POWER(Upgrades!$U$8,G249),1)*IF(Upgrades!$T$9="Solar Wind",POWER(Upgrades!$U$9,H249),1)*IF(Upgrades!$T$10="Solar Wind",POWER(Upgrades!$U$10,I249),1)*IF(Upgrades!$T$11="Solar Wind",POWER(Upgrades!$U$11,J249),1)*IF(Upgrades!$T$12="Solar Wind",POWER(Upgrades!$U$12,K249),1))/AG249,0)</f>
        <v/>
      </c>
      <c r="AT249" s="32">
        <f>IFERROR(Upgrades!$H$7*(POWER(Upgrades!$P$6,E249)*POWER(Upgrades!$P$7,F249)*POWER(Upgrades!$P$8,G249)*POWER(Upgrades!$P$9,H249)*POWER(Upgrades!$P$10,I249)*POWER(Upgrades!$P$11,J249)*POWER(Upgrades!$P$12,K249))*(IF(Upgrades!$T$6="Asteroid Belt",POWER(Upgrades!$U$6,E249),1)*IF(Upgrades!$T$8="Asteroid Belt",POWER(Upgrades!$U$8,G249),1)*IF(Upgrades!$T$9="Asteroid Belt",POWER(Upgrades!$U$9,H249),1)*IF(Upgrades!$T$10="Asteroid Belt",POWER(Upgrades!$U$10,I249),1)*IF(Upgrades!$T$11="Asteroid Belt",POWER(Upgrades!$U$11,J249),1)*IF(Upgrades!$T$12="Asteroid Belt",POWER(Upgrades!$U$12,K249),1))/AH249,0)</f>
        <v/>
      </c>
      <c r="AU249" s="32">
        <f>IFERROR(Upgrades!$K$8*(POWER(Upgrades!$Q$6,E249)*POWER(Upgrades!$Q$7,F249)*POWER(Upgrades!$Q$8,G249)*POWER(Upgrades!$Q$9,H249)*POWER(Upgrades!$Q$10,I249)*POWER(Upgrades!$Q$11,J249)*POWER(Upgrades!$Q$12,K249))*(IF(Upgrades!$T$6="Stellar Coupling",POWER(Upgrades!$U$6,E249),1)*IF(Upgrades!$T$7="Stellar Coupling",POWER(Upgrades!$U$7,F249),1)*IF(Upgrades!$T$9="Stellar Coupling",POWER(Upgrades!$U$9,H249),1)*IF(Upgrades!$T$10="Stellar Coupling",POWER(Upgrades!$U$10,I249),1)*IF(Upgrades!$T$11="Stellar Coupling",POWER(Upgrades!$U$11,J249),1)*IF(Upgrades!$T$12="Stellar Coupling",POWER(Upgrades!$U$12,K249),1))*Parameters!$B$10*Parameters!$B$11/60/AI249,0)</f>
        <v/>
      </c>
      <c r="AV249" s="32">
        <f>IFERROR(Upgrades!$H$9*(POWER(Upgrades!$P$6,E249)*POWER(Upgrades!$P$7,F249)*POWER(Upgrades!$P$8,G249)*POWER(Upgrades!$P$9,H249)*POWER(Upgrades!$P$10,I249)*POWER(Upgrades!$P$11,J249)*POWER(Upgrades!$P$12,K249))*(IF(Upgrades!$T$6="Magnetosphere",POWER(Upgrades!$U$6,E249),1)*IF(Upgrades!$T$7="Magnetosphere",POWER(Upgrades!$U$7,F249),1)*IF(Upgrades!$T$8="Magnetosphere",POWER(Upgrades!$U$8,G249),1)*IF(Upgrades!$T$10="Magnetosphere",POWER(Upgrades!$U$10,I249),1)*IF(Upgrades!$T$11="Magnetosphere",POWER(Upgrades!$U$11,J249),1)*IF(Upgrades!$T$12="Magnetosphere",POWER(Upgrades!$U$12,K249),1))/AJ249,0)</f>
        <v/>
      </c>
      <c r="AW249" s="32">
        <f>MAX(IF(I249&gt;0,0,IFERROR(0.25*N249/Upgrades!$C$10,0)),IF(J249&gt;0,0,IFERROR(0.5*((IF(G249=0,0,(Upgrades!$J$8+G249*Upgrades!$K$8)*POWER(Upgrades!$L$8,G249)))*(IF(Upgrades!$T$6="Stellar Coupling",POWER(Upgrades!$U$6,E249),1)*IF(Upgrades!$T$7="Stellar Coupling",POWER(Upgrades!$U$7,F249),1)*IF(Upgrades!$T$9="Stellar Coupling",POWER(Upgrades!$U$9,H249),1)*IF(Upgrades!$T$10="Stellar Coupling",POWER(Upgrades!$U$10,I249),1)*IF(Upgrades!$T$11="Stellar Coupling",POWER(Upgrades!$U$11,J249),1)*IF(Upgrades!$T$12="Stellar Coupling",POWER(Upgrades!$U$12,K249),1))*(POWER(Upgrades!$Q$6,E249)*POWER(Upgrades!$Q$7,F249)*POWER(Upgrades!$Q$8,G249)*POWER(Upgrades!$Q$9,H249)*POWER(Upgrades!$Q$10,I249)*POWER(Upgrades!$Q$11,J249)*POWER(Upgrades!$Q$12,K249))*Parameters!$B$10*Parameters!$B$11/60)/Upgrades!$C$11,0)),IF(K249&gt;0,0,IFERROR((1.0*(POWER(Upgrades!$P$6,E249)*POWER(Upgrades!$P$7,F249)*POWER(Upgrades!$P$8,G249)*POWER(Upgrades!$P$9,H249)*POWER(Upgrades!$P$10,I249)*POWER(Upgrades!$P$11,J249)*POWER(Upgrades!$P$12,K249))+0.20*M249*Parameters!$B$10*Parameters!$B$11/60)/Upgrades!$C$12,0)),IF(AND(ISNUMBER(AG249),AG249&gt;T249),AS249,0),IF(AND(ISNUMBER(AH249),AH249&gt;T249),AT249,0),IF(AND(ISNUMBER(AI249),AI249&gt;T249),AU249,0),IF(AND(ISNUMBER(AJ249),AJ249&gt;T249),AV249,0))</f>
        <v/>
      </c>
      <c r="AX249" s="29">
        <f>IF(AN249=1,"transition",IF(MIN(IF(AND(I249=0,ISNUMBER(AK249),AK249&lt;=T249),AK249,9E15),IF(AND(J249=0,ISNUMBER(AL249),AL249&lt;=T249),AL249,9E15),IF(AND(K249=0,ISNUMBER(AM249),AM249&lt;=T249),AM249,9E15))&lt;9E15,IF(AND(AND(I249=0,ISNUMBER(AK249),AK249&lt;=T249),AK249=MIN(IF(AND(I249=0,ISNUMBER(AK249),AK249&lt;=T249),AK249,9E15),IF(AND(J249=0,ISNUMBER(AL249),AL249&lt;=T249),AL249,9E15),IF(AND(K249=0,ISNUMBER(AM249),AM249&lt;=T249),AM249,9E15))),"OR",IF(AND(AND(J249=0,ISNUMBER(AL249),AL249&lt;=T249),AL249=MIN(IF(AND(I249=0,ISNUMBER(AK249),AK249&lt;=T249),AK249,9E15),IF(AND(J249=0,ISNUMBER(AL249),AL249&lt;=T249),AL249,9E15),IF(AND(K249=0,ISNUMBER(AM249),AM249&lt;=T249),AM249,9E15))),"HP","FP")),IF(AR249=TRUE,"",IF(MAX(IF(AND(NOT(AND(AO249=1,AN249&lt;&gt;1)),ISNUMBER(AG249),AG249&lt;=T249),AS249,0),IF(AND(NOT(AND(AO249=1,AN249&lt;&gt;1)),ISNUMBER(AH249),AH249&lt;=T249),AT249,0),IF(AND(NOT(AND(AO249=1,AN249&lt;&gt;1)),ISNUMBER(AI249),AI249&lt;=T249),AU249,0),IF(AND(ISNUMBER(AJ249),AJ249&lt;=T249),AV249,0))&lt;=0,"",IF(AND(IF(AND(NOT(AND(AO249=1,AN249&lt;&gt;1)),ISNUMBER(AG249),AG249&lt;=T249),AS249,0)&gt;0,IF(AND(NOT(AND(AO249=1,AN249&lt;&gt;1)),ISNUMBER(AG249),AG249&lt;=T249),AS249,0)=MAX(IF(AND(NOT(AND(AO249=1,AN249&lt;&gt;1)),ISNUMBER(AG249),AG249&lt;=T249),AS249,0),IF(AND(NOT(AND(AO249=1,AN249&lt;&gt;1)),ISNUMBER(AH249),AH249&lt;=T249),AT249,0),IF(AND(NOT(AND(AO249=1,AN249&lt;&gt;1)),ISNUMBER(AI249),AI249&lt;=T249),AU249,0),IF(AND(ISNUMBER(AJ249),AJ249&lt;=T249),AV249,0))),"SW",IF(AND(IF(AND(NOT(AND(AO249=1,AN249&lt;&gt;1)),ISNUMBER(AH249),AH249&lt;=T249),AT249,0)&gt;0,IF(AND(NOT(AND(AO249=1,AN249&lt;&gt;1)),ISNUMBER(AH249),AH249&lt;=T249),AT249,0)=MAX(IF(AND(NOT(AND(AO249=1,AN249&lt;&gt;1)),ISNUMBER(AG249),AG249&lt;=T249),AS249,0),IF(AND(NOT(AND(AO249=1,AN249&lt;&gt;1)),ISNUMBER(AH249),AH249&lt;=T249),AT249,0),IF(AND(NOT(AND(AO249=1,AN249&lt;&gt;1)),ISNUMBER(AI249),AI249&lt;=T249),AU249,0),IF(AND(ISNUMBER(AJ249),AJ249&lt;=T249),AV249,0))),"AB",IF(AND(IF(AND(NOT(AND(AO249=1,AN249&lt;&gt;1)),ISNUMBER(AI249),AI249&lt;=T249),AU249,0)&gt;0,IF(AND(NOT(AND(AO249=1,AN249&lt;&gt;1)),ISNUMBER(AI249),AI249&lt;=T249),AU249,0)=MAX(IF(AND(NOT(AND(AO249=1,AN249&lt;&gt;1)),ISNUMBER(AG249),AG249&lt;=T249),AS249,0),IF(AND(NOT(AND(AO249=1,AN249&lt;&gt;1)),ISNUMBER(AH249),AH249&lt;=T249),AT249,0),IF(AND(NOT(AND(AO249=1,AN249&lt;&gt;1)),ISNUMBER(AI249),AI249&lt;=T249),AU249,0),IF(AND(ISNUMBER(AJ249),AJ249&lt;=T249),AV249,0))),"SC","Mag")))))))</f>
        <v/>
      </c>
    </row>
    <row r="250">
      <c r="A250" s="26" t="n">
        <v>245</v>
      </c>
      <c r="B250" s="27">
        <f>A250*10/60</f>
        <v/>
      </c>
      <c r="C250" s="22">
        <f>X249</f>
        <v/>
      </c>
      <c r="D250" s="27">
        <f>D249+W249</f>
        <v/>
      </c>
      <c r="E250" s="26">
        <f>E249+IF(U249="SW",1,0)</f>
        <v/>
      </c>
      <c r="F250" s="26">
        <f>F249+IF(U249="AB",1,0)</f>
        <v/>
      </c>
      <c r="G250" s="26">
        <f>G249+IF(U249="SC",1,0)</f>
        <v/>
      </c>
      <c r="H250" s="26">
        <f>H249+IF(U249="Mag",1,0)</f>
        <v/>
      </c>
      <c r="I250" s="26">
        <f>MAX(I249,IF(U249="OR",1,0))</f>
        <v/>
      </c>
      <c r="J250" s="26">
        <f>MAX(J249,IF(U249="HP",1,0))</f>
        <v/>
      </c>
      <c r="K250" s="26">
        <f>MAX(K249,IF(U249="FP",1,0))</f>
        <v/>
      </c>
      <c r="L250" s="26">
        <f>MAX(L249,IF(U249="transition",1,0))</f>
        <v/>
      </c>
      <c r="M250" s="28">
        <f>(Parameters!$B$9+(IF(E250=0,0,(Upgrades!$J$6+E250*Upgrades!$K$6)*POWER(Upgrades!$L$6,E250)))*(IF(Upgrades!$T$7="Solar Wind",POWER(Upgrades!$U$7,F250),1)*IF(Upgrades!$T$8="Solar Wind",POWER(Upgrades!$U$8,G250),1)*IF(Upgrades!$T$9="Solar Wind",POWER(Upgrades!$U$9,H250),1)*IF(Upgrades!$T$10="Solar Wind",POWER(Upgrades!$U$10,I250),1)*IF(Upgrades!$T$11="Solar Wind",POWER(Upgrades!$U$11,J250),1)*IF(Upgrades!$T$12="Solar Wind",POWER(Upgrades!$U$12,K250),1))+(IF(F250=0,0,(Upgrades!$J$7+F250*Upgrades!$K$7)*POWER(Upgrades!$L$7,F250)))*(IF(Upgrades!$T$6="Asteroid Belt",POWER(Upgrades!$U$6,E250),1)*IF(Upgrades!$T$8="Asteroid Belt",POWER(Upgrades!$U$8,G250),1)*IF(Upgrades!$T$9="Asteroid Belt",POWER(Upgrades!$U$9,H250),1)*IF(Upgrades!$T$10="Asteroid Belt",POWER(Upgrades!$U$10,I250),1)*IF(Upgrades!$T$11="Asteroid Belt",POWER(Upgrades!$U$11,J250),1)*IF(Upgrades!$T$12="Asteroid Belt",POWER(Upgrades!$U$12,K250),1))+(IF(G250=0,0,(Upgrades!$J$8+G250*Upgrades!$K$8)*POWER(Upgrades!$L$8,G250)))*(IF(Upgrades!$T$6="Stellar Coupling",POWER(Upgrades!$U$6,E250),1)*IF(Upgrades!$T$7="Stellar Coupling",POWER(Upgrades!$U$7,F250),1)*IF(Upgrades!$T$9="Stellar Coupling",POWER(Upgrades!$U$9,H250),1)*IF(Upgrades!$T$10="Stellar Coupling",POWER(Upgrades!$U$10,I250),1)*IF(Upgrades!$T$11="Stellar Coupling",POWER(Upgrades!$U$11,J250),1)*IF(Upgrades!$T$12="Stellar Coupling",POWER(Upgrades!$U$12,K250),1))+(IF(H250=0,0,(Upgrades!$J$9+H250*Upgrades!$K$9)*POWER(Upgrades!$L$9,H250)))*(IF(Upgrades!$T$6="Magnetosphere",POWER(Upgrades!$U$6,E250),1)*IF(Upgrades!$T$7="Magnetosphere",POWER(Upgrades!$U$7,F250),1)*IF(Upgrades!$T$8="Magnetosphere",POWER(Upgrades!$U$8,G250),1)*IF(Upgrades!$T$10="Magnetosphere",POWER(Upgrades!$U$10,I250),1)*IF(Upgrades!$T$11="Magnetosphere",POWER(Upgrades!$U$11,J250),1)*IF(Upgrades!$T$12="Magnetosphere",POWER(Upgrades!$U$12,K250),1))+(IF(I250=0,0,(Upgrades!$J$10+I250*Upgrades!$K$10)*POWER(Upgrades!$L$10,I250)))*(IF(Upgrades!$T$6="Orbital Resonance",POWER(Upgrades!$U$6,E250),1)*IF(Upgrades!$T$7="Orbital Resonance",POWER(Upgrades!$U$7,F250),1)*IF(Upgrades!$T$8="Orbital Resonance",POWER(Upgrades!$U$8,G250),1)*IF(Upgrades!$T$9="Orbital Resonance",POWER(Upgrades!$U$9,H250),1)*IF(Upgrades!$T$11="Orbital Resonance",POWER(Upgrades!$U$11,J250),1)*IF(Upgrades!$T$12="Orbital Resonance",POWER(Upgrades!$U$12,K250),1))+(IF(J250=0,0,(Upgrades!$J$11+J250*Upgrades!$K$11)*POWER(Upgrades!$L$11,J250)))*(IF(Upgrades!$T$6="Heliopause",POWER(Upgrades!$U$6,E250),1)*IF(Upgrades!$T$7="Heliopause",POWER(Upgrades!$U$7,F250),1)*IF(Upgrades!$T$8="Heliopause",POWER(Upgrades!$U$8,G250),1)*IF(Upgrades!$T$9="Heliopause",POWER(Upgrades!$U$9,H250),1)*IF(Upgrades!$T$10="Heliopause",POWER(Upgrades!$U$10,I250),1)*IF(Upgrades!$T$12="Heliopause",POWER(Upgrades!$U$12,K250),1))+(IF(K250=0,0,(Upgrades!$J$12+K250*Upgrades!$K$12)*POWER(Upgrades!$L$12,K250)))*(IF(Upgrades!$T$6="First Photons",POWER(Upgrades!$U$6,E250),1)*IF(Upgrades!$T$7="First Photons",POWER(Upgrades!$U$7,F250),1)*IF(Upgrades!$T$8="First Photons",POWER(Upgrades!$U$8,G250),1)*IF(Upgrades!$T$9="First Photons",POWER(Upgrades!$U$9,H250),1)*IF(Upgrades!$T$10="First Photons",POWER(Upgrades!$U$10,I250),1)*IF(Upgrades!$T$11="First Photons",POWER(Upgrades!$U$11,J250),1)))*POWER(Upgrades!$Q$6,E250)*POWER(Upgrades!$Q$7,F250)*POWER(Upgrades!$Q$8,G250)*POWER(Upgrades!$Q$9,H250)*POWER(Upgrades!$Q$10,I250)*POWER(Upgrades!$Q$11,J250)*POWER(Upgrades!$Q$12,K250)</f>
        <v/>
      </c>
      <c r="N250" s="28">
        <f>((IF(E250=0,0,(Upgrades!$G$6+E250*Upgrades!$H$6)*POWER(Upgrades!$I$6,E250)))*(IF(Upgrades!$T$7="Solar Wind",POWER(Upgrades!$U$7,F250),1)*IF(Upgrades!$T$8="Solar Wind",POWER(Upgrades!$U$8,G250),1)*IF(Upgrades!$T$9="Solar Wind",POWER(Upgrades!$U$9,H250),1)*IF(Upgrades!$T$10="Solar Wind",POWER(Upgrades!$U$10,I250),1)*IF(Upgrades!$T$11="Solar Wind",POWER(Upgrades!$U$11,J250),1)*IF(Upgrades!$T$12="Solar Wind",POWER(Upgrades!$U$12,K250),1))+(IF(F250=0,0,(Upgrades!$G$7+F250*Upgrades!$H$7)*POWER(Upgrades!$I$7,F250)))*(IF(Upgrades!$T$6="Asteroid Belt",POWER(Upgrades!$U$6,E250),1)*IF(Upgrades!$T$8="Asteroid Belt",POWER(Upgrades!$U$8,G250),1)*IF(Upgrades!$T$9="Asteroid Belt",POWER(Upgrades!$U$9,H250),1)*IF(Upgrades!$T$10="Asteroid Belt",POWER(Upgrades!$U$10,I250),1)*IF(Upgrades!$T$11="Asteroid Belt",POWER(Upgrades!$U$11,J250),1)*IF(Upgrades!$T$12="Asteroid Belt",POWER(Upgrades!$U$12,K250),1))+(IF(G250=0,0,(Upgrades!$G$8+G250*Upgrades!$H$8)*POWER(Upgrades!$I$8,G250)))*(IF(Upgrades!$T$6="Stellar Coupling",POWER(Upgrades!$U$6,E250),1)*IF(Upgrades!$T$7="Stellar Coupling",POWER(Upgrades!$U$7,F250),1)*IF(Upgrades!$T$9="Stellar Coupling",POWER(Upgrades!$U$9,H250),1)*IF(Upgrades!$T$10="Stellar Coupling",POWER(Upgrades!$U$10,I250),1)*IF(Upgrades!$T$11="Stellar Coupling",POWER(Upgrades!$U$11,J250),1)*IF(Upgrades!$T$12="Stellar Coupling",POWER(Upgrades!$U$12,K250),1))+(IF(H250=0,0,(Upgrades!$G$9+H250*Upgrades!$H$9)*POWER(Upgrades!$I$9,H250)))*(IF(Upgrades!$T$6="Magnetosphere",POWER(Upgrades!$U$6,E250),1)*IF(Upgrades!$T$7="Magnetosphere",POWER(Upgrades!$U$7,F250),1)*IF(Upgrades!$T$8="Magnetosphere",POWER(Upgrades!$U$8,G250),1)*IF(Upgrades!$T$10="Magnetosphere",POWER(Upgrades!$U$10,I250),1)*IF(Upgrades!$T$11="Magnetosphere",POWER(Upgrades!$U$11,J250),1)*IF(Upgrades!$T$12="Magnetosphere",POWER(Upgrades!$U$12,K250),1))+(IF(I250=0,0,(Upgrades!$G$10+I250*Upgrades!$H$10)*POWER(Upgrades!$I$10,I250)))*(IF(Upgrades!$T$6="Orbital Resonance",POWER(Upgrades!$U$6,E250),1)*IF(Upgrades!$T$7="Orbital Resonance",POWER(Upgrades!$U$7,F250),1)*IF(Upgrades!$T$8="Orbital Resonance",POWER(Upgrades!$U$8,G250),1)*IF(Upgrades!$T$9="Orbital Resonance",POWER(Upgrades!$U$9,H250),1)*IF(Upgrades!$T$11="Orbital Resonance",POWER(Upgrades!$U$11,J250),1)*IF(Upgrades!$T$12="Orbital Resonance",POWER(Upgrades!$U$12,K250),1))+(IF(J250=0,0,(Upgrades!$G$11+J250*Upgrades!$H$11)*POWER(Upgrades!$I$11,J250)))*(IF(Upgrades!$T$6="Heliopause",POWER(Upgrades!$U$6,E250),1)*IF(Upgrades!$T$7="Heliopause",POWER(Upgrades!$U$7,F250),1)*IF(Upgrades!$T$8="Heliopause",POWER(Upgrades!$U$8,G250),1)*IF(Upgrades!$T$9="Heliopause",POWER(Upgrades!$U$9,H250),1)*IF(Upgrades!$T$10="Heliopause",POWER(Upgrades!$U$10,I250),1)*IF(Upgrades!$T$12="Heliopause",POWER(Upgrades!$U$12,K250),1))+(IF(K250=0,0,(Upgrades!$G$12+K250*Upgrades!$H$12)*POWER(Upgrades!$I$12,K250)))*(IF(Upgrades!$T$6="First Photons",POWER(Upgrades!$U$6,E250),1)*IF(Upgrades!$T$7="First Photons",POWER(Upgrades!$U$7,F250),1)*IF(Upgrades!$T$8="First Photons",POWER(Upgrades!$U$8,G250),1)*IF(Upgrades!$T$9="First Photons",POWER(Upgrades!$U$9,H250),1)*IF(Upgrades!$T$10="First Photons",POWER(Upgrades!$U$10,I250),1)*IF(Upgrades!$T$11="First Photons",POWER(Upgrades!$U$11,J250),1)))*POWER(Upgrades!$P$6,E250)*POWER(Upgrades!$P$7,F250)*POWER(Upgrades!$P$8,G250)*POWER(Upgrades!$P$9,H250)*POWER(Upgrades!$P$10,I250)*POWER(Upgrades!$P$11,J250)*POWER(Upgrades!$P$12,K250)</f>
        <v/>
      </c>
      <c r="O250" s="28">
        <f>((IF(E250=0,0,(Upgrades!$M$6+E250*Upgrades!$N$6)*POWER(Upgrades!$O$6,E250)))*(IF(Upgrades!$T$7="Solar Wind",POWER(Upgrades!$U$7,F250),1)*IF(Upgrades!$T$8="Solar Wind",POWER(Upgrades!$U$8,G250),1)*IF(Upgrades!$T$9="Solar Wind",POWER(Upgrades!$U$9,H250),1)*IF(Upgrades!$T$10="Solar Wind",POWER(Upgrades!$U$10,I250),1)*IF(Upgrades!$T$11="Solar Wind",POWER(Upgrades!$U$11,J250),1)*IF(Upgrades!$T$12="Solar Wind",POWER(Upgrades!$U$12,K250),1))+(IF(F250=0,0,(Upgrades!$M$7+F250*Upgrades!$N$7)*POWER(Upgrades!$O$7,F250)))*(IF(Upgrades!$T$6="Asteroid Belt",POWER(Upgrades!$U$6,E250),1)*IF(Upgrades!$T$8="Asteroid Belt",POWER(Upgrades!$U$8,G250),1)*IF(Upgrades!$T$9="Asteroid Belt",POWER(Upgrades!$U$9,H250),1)*IF(Upgrades!$T$10="Asteroid Belt",POWER(Upgrades!$U$10,I250),1)*IF(Upgrades!$T$11="Asteroid Belt",POWER(Upgrades!$U$11,J250),1)*IF(Upgrades!$T$12="Asteroid Belt",POWER(Upgrades!$U$12,K250),1))+(IF(G250=0,0,(Upgrades!$M$8+G250*Upgrades!$N$8)*POWER(Upgrades!$O$8,G250)))*(IF(Upgrades!$T$6="Stellar Coupling",POWER(Upgrades!$U$6,E250),1)*IF(Upgrades!$T$7="Stellar Coupling",POWER(Upgrades!$U$7,F250),1)*IF(Upgrades!$T$9="Stellar Coupling",POWER(Upgrades!$U$9,H250),1)*IF(Upgrades!$T$10="Stellar Coupling",POWER(Upgrades!$U$10,I250),1)*IF(Upgrades!$T$11="Stellar Coupling",POWER(Upgrades!$U$11,J250),1)*IF(Upgrades!$T$12="Stellar Coupling",POWER(Upgrades!$U$12,K250),1))+(IF(H250=0,0,(Upgrades!$M$9+H250*Upgrades!$N$9)*POWER(Upgrades!$O$9,H250)))*(IF(Upgrades!$T$6="Magnetosphere",POWER(Upgrades!$U$6,E250),1)*IF(Upgrades!$T$7="Magnetosphere",POWER(Upgrades!$U$7,F250),1)*IF(Upgrades!$T$8="Magnetosphere",POWER(Upgrades!$U$8,G250),1)*IF(Upgrades!$T$10="Magnetosphere",POWER(Upgrades!$U$10,I250),1)*IF(Upgrades!$T$11="Magnetosphere",POWER(Upgrades!$U$11,J250),1)*IF(Upgrades!$T$12="Magnetosphere",POWER(Upgrades!$U$12,K250),1))+(IF(I250=0,0,(Upgrades!$M$10+I250*Upgrades!$N$10)*POWER(Upgrades!$O$10,I250)))*(IF(Upgrades!$T$6="Orbital Resonance",POWER(Upgrades!$U$6,E250),1)*IF(Upgrades!$T$7="Orbital Resonance",POWER(Upgrades!$U$7,F250),1)*IF(Upgrades!$T$8="Orbital Resonance",POWER(Upgrades!$U$8,G250),1)*IF(Upgrades!$T$9="Orbital Resonance",POWER(Upgrades!$U$9,H250),1)*IF(Upgrades!$T$11="Orbital Resonance",POWER(Upgrades!$U$11,J250),1)*IF(Upgrades!$T$12="Orbital Resonance",POWER(Upgrades!$U$12,K250),1))+(IF(J250=0,0,(Upgrades!$M$11+J250*Upgrades!$N$11)*POWER(Upgrades!$O$11,J250)))*(IF(Upgrades!$T$6="Heliopause",POWER(Upgrades!$U$6,E250),1)*IF(Upgrades!$T$7="Heliopause",POWER(Upgrades!$U$7,F250),1)*IF(Upgrades!$T$8="Heliopause",POWER(Upgrades!$U$8,G250),1)*IF(Upgrades!$T$9="Heliopause",POWER(Upgrades!$U$9,H250),1)*IF(Upgrades!$T$10="Heliopause",POWER(Upgrades!$U$10,I250),1)*IF(Upgrades!$T$12="Heliopause",POWER(Upgrades!$U$12,K250),1))+(IF(K250=0,0,(Upgrades!$M$12+K250*Upgrades!$N$12)*POWER(Upgrades!$O$12,K250)))*(IF(Upgrades!$T$6="First Photons",POWER(Upgrades!$U$6,E250),1)*IF(Upgrades!$T$7="First Photons",POWER(Upgrades!$U$7,F250),1)*IF(Upgrades!$T$8="First Photons",POWER(Upgrades!$U$8,G250),1)*IF(Upgrades!$T$9="First Photons",POWER(Upgrades!$U$9,H250),1)*IF(Upgrades!$T$10="First Photons",POWER(Upgrades!$U$10,I250),1)*IF(Upgrades!$T$11="First Photons",POWER(Upgrades!$U$11,J250),1)))*POWER(Upgrades!$R$6,E250)*POWER(Upgrades!$R$7,F250)*POWER(Upgrades!$R$8,G250)*POWER(Upgrades!$R$9,H250)*POWER(Upgrades!$R$10,I250)*POWER(Upgrades!$R$11,J250)*POWER(Upgrades!$R$12,K250)</f>
        <v/>
      </c>
      <c r="P250" s="27">
        <f>IF(L250=1,0,M250*Parameters!$B$10/60*Parameters!$B$11*10)</f>
        <v/>
      </c>
      <c r="Q250" s="27">
        <f>IF(L250=1,0,O250*M250*10)</f>
        <v/>
      </c>
      <c r="R250" s="27">
        <f>IF(L250=1,0,N250*10)</f>
        <v/>
      </c>
      <c r="S250" s="27">
        <f>P250+Q250+R250</f>
        <v/>
      </c>
      <c r="T250" s="22">
        <f>C250+S250</f>
        <v/>
      </c>
      <c r="U250" s="33">
        <f>AX250</f>
        <v/>
      </c>
      <c r="V250" s="22">
        <f>IF(U250="",0,IF(U250="transition",0,IF(U250="SW",AG250,IF(U250="AB",AH250,IF(U250="SC",AI250,IF(U250="Mag",AJ250,IF(U250="OR",AK250,IF(U250="HP",AL250,IF(U250="FP",AM250,0)))))))))</f>
        <v/>
      </c>
      <c r="W250" s="27">
        <f>IF(U250="OR",Upgrades!$F$10,IF(U250="HP",Upgrades!$F$11,IF(U250="transition",-Parameters!$B$18,0)))</f>
        <v/>
      </c>
      <c r="X250" s="22">
        <f>T250-V250</f>
        <v/>
      </c>
      <c r="Y250" s="30">
        <f>M250*Parameters!$B$10/60*Parameters!$B$11+O250*M250+N250</f>
        <v/>
      </c>
      <c r="Z250" s="34">
        <f>IF(U250="transition","→ Tier 2 (Stellar Neighborhood)",IF(U250="FP","First Photons — light begins, system quickens",IF(U250="HP","Heliopause acquired",IF(U250="OR","Orbital Resonance — passive multiplier active",IF(AND(AO250=1,L250=0,AN250&lt;&gt;1),"Cohesion ready (waiting on completionist upgrades)","")))))</f>
        <v/>
      </c>
      <c r="AA250" s="27">
        <f>(IF(E250=0,0,(Upgrades!$G$6+E250*Upgrades!$H$6)*POWER(Upgrades!$I$6,E250)))*(IF(Upgrades!$T$7="Solar Wind",POWER(Upgrades!$U$7,F250),1)*IF(Upgrades!$T$8="Solar Wind",POWER(Upgrades!$U$8,G250),1)*IF(Upgrades!$T$9="Solar Wind",POWER(Upgrades!$U$9,H250),1)*IF(Upgrades!$T$10="Solar Wind",POWER(Upgrades!$U$10,I250),1)*IF(Upgrades!$T$11="Solar Wind",POWER(Upgrades!$U$11,J250),1)*IF(Upgrades!$T$12="Solar Wind",POWER(Upgrades!$U$12,K250),1))*POWER(Upgrades!$P$6,E250)*POWER(Upgrades!$P$7,F250)*POWER(Upgrades!$P$8,G250)*POWER(Upgrades!$P$9,H250)*POWER(Upgrades!$P$10,I250)*POWER(Upgrades!$P$11,J250)*POWER(Upgrades!$P$12,K250)*60</f>
        <v/>
      </c>
      <c r="AB250" s="27">
        <f>(IF(F250=0,0,(Upgrades!$G$7+F250*Upgrades!$H$7)*POWER(Upgrades!$I$7,F250)))*(IF(Upgrades!$T$6="Asteroid Belt",POWER(Upgrades!$U$6,E250),1)*IF(Upgrades!$T$8="Asteroid Belt",POWER(Upgrades!$U$8,G250),1)*IF(Upgrades!$T$9="Asteroid Belt",POWER(Upgrades!$U$9,H250),1)*IF(Upgrades!$T$10="Asteroid Belt",POWER(Upgrades!$U$10,I250),1)*IF(Upgrades!$T$11="Asteroid Belt",POWER(Upgrades!$U$11,J250),1)*IF(Upgrades!$T$12="Asteroid Belt",POWER(Upgrades!$U$12,K250),1))*POWER(Upgrades!$P$6,E250)*POWER(Upgrades!$P$7,F250)*POWER(Upgrades!$P$8,G250)*POWER(Upgrades!$P$9,H250)*POWER(Upgrades!$P$10,I250)*POWER(Upgrades!$P$11,J250)*POWER(Upgrades!$P$12,K250)*60</f>
        <v/>
      </c>
      <c r="AC250" s="27">
        <f>(IF(G250=0,0,(Upgrades!$J$8+G250*Upgrades!$K$8)*POWER(Upgrades!$L$8,G250)))*(IF(Upgrades!$T$6="Stellar Coupling",POWER(Upgrades!$U$6,E250),1)*IF(Upgrades!$T$7="Stellar Coupling",POWER(Upgrades!$U$7,F250),1)*IF(Upgrades!$T$9="Stellar Coupling",POWER(Upgrades!$U$9,H250),1)*IF(Upgrades!$T$10="Stellar Coupling",POWER(Upgrades!$U$10,I250),1)*IF(Upgrades!$T$11="Stellar Coupling",POWER(Upgrades!$U$11,J250),1)*IF(Upgrades!$T$12="Stellar Coupling",POWER(Upgrades!$U$12,K250),1))*POWER(Upgrades!$Q$6,E250)*POWER(Upgrades!$Q$7,F250)*POWER(Upgrades!$Q$8,G250)*POWER(Upgrades!$Q$9,H250)*POWER(Upgrades!$Q$10,I250)*POWER(Upgrades!$Q$11,J250)*POWER(Upgrades!$Q$12,K250)*Parameters!$B$10*Parameters!$B$11</f>
        <v/>
      </c>
      <c r="AD250" s="27">
        <f>(IF(H250=0,0,(Upgrades!$G$9+H250*Upgrades!$H$9)*POWER(Upgrades!$I$9,H250)))*(IF(Upgrades!$T$6="Magnetosphere",POWER(Upgrades!$U$6,E250),1)*IF(Upgrades!$T$7="Magnetosphere",POWER(Upgrades!$U$7,F250),1)*IF(Upgrades!$T$8="Magnetosphere",POWER(Upgrades!$U$8,G250),1)*IF(Upgrades!$T$10="Magnetosphere",POWER(Upgrades!$U$10,I250),1)*IF(Upgrades!$T$11="Magnetosphere",POWER(Upgrades!$U$11,J250),1)*IF(Upgrades!$T$12="Magnetosphere",POWER(Upgrades!$U$12,K250),1))*POWER(Upgrades!$P$6,E250)*POWER(Upgrades!$P$7,F250)*POWER(Upgrades!$P$8,G250)*POWER(Upgrades!$P$9,H250)*POWER(Upgrades!$P$10,I250)*POWER(Upgrades!$P$11,J250)*POWER(Upgrades!$P$12,K250)*60</f>
        <v/>
      </c>
      <c r="AE250" s="27">
        <f>(IF(K250=0,0,(Upgrades!$G$12+K250*Upgrades!$H$12)*POWER(Upgrades!$I$12,K250)))*(IF(Upgrades!$T$6="First Photons",POWER(Upgrades!$U$6,E250),1)*IF(Upgrades!$T$7="First Photons",POWER(Upgrades!$U$7,F250),1)*IF(Upgrades!$T$8="First Photons",POWER(Upgrades!$U$8,G250),1)*IF(Upgrades!$T$9="First Photons",POWER(Upgrades!$U$9,H250),1)*IF(Upgrades!$T$10="First Photons",POWER(Upgrades!$U$10,I250),1)*IF(Upgrades!$T$11="First Photons",POWER(Upgrades!$U$11,J250),1))*POWER(Upgrades!$P$6,E250)*POWER(Upgrades!$P$7,F250)*POWER(Upgrades!$P$8,G250)*POWER(Upgrades!$P$9,H250)*POWER(Upgrades!$P$10,I250)*POWER(Upgrades!$P$11,J250)*POWER(Upgrades!$P$12,K250)*60</f>
        <v/>
      </c>
      <c r="AF250" s="27">
        <f>Parameters!$B$9*POWER(Upgrades!$Q$6,E250)*POWER(Upgrades!$Q$7,F250)*POWER(Upgrades!$Q$8,G250)*POWER(Upgrades!$Q$9,H250)*POWER(Upgrades!$Q$10,I250)*POWER(Upgrades!$Q$11,J250)*POWER(Upgrades!$Q$12,K250)*(Parameters!$B$10*Parameters!$B$11+O250*60)</f>
        <v/>
      </c>
      <c r="AG250" s="22">
        <f>IF(E250&gt;=Upgrades!$E$6,"",Upgrades!$C$6*POWER(Upgrades!$D$6,E250))</f>
        <v/>
      </c>
      <c r="AH250" s="22">
        <f>IF(F250&gt;=Upgrades!$E$7,"",Upgrades!$C$7*POWER(Upgrades!$D$7,F250))</f>
        <v/>
      </c>
      <c r="AI250" s="22">
        <f>IF(G250&gt;=Upgrades!$E$8,"",Upgrades!$C$8*POWER(Upgrades!$D$8,G250))</f>
        <v/>
      </c>
      <c r="AJ250" s="22">
        <f>IF(H250&gt;=Upgrades!$E$9,"",Upgrades!$C$9*POWER(Upgrades!$D$9,H250))</f>
        <v/>
      </c>
      <c r="AK250" s="22">
        <f>IF(I250&gt;=Upgrades!$E$10,"",Upgrades!$C$10*POWER(Upgrades!$D$10,I250))</f>
        <v/>
      </c>
      <c r="AL250" s="22">
        <f>IF(J250&gt;=Upgrades!$E$11,"",Upgrades!$C$11*POWER(Upgrades!$D$11,J250))</f>
        <v/>
      </c>
      <c r="AM250" s="22">
        <f>IF(K250&gt;=Upgrades!$E$12,"",Upgrades!$C$12*POWER(Upgrades!$D$12,K250))</f>
        <v/>
      </c>
      <c r="AN250" s="26">
        <f>IF(AND(D250&gt;=Parameters!$B$18,(H250&gt;=Upgrades!$E$9)*(K250&gt;=Upgrades!$E$12)=1,L250=0),1,"")</f>
        <v/>
      </c>
      <c r="AO250" s="26">
        <f>IF(AND(D250&gt;=Parameters!$B$18,L250=0),1,"")</f>
        <v/>
      </c>
      <c r="AP250" s="22">
        <f>MIN(IF(ISNUMBER(AK250),AK250,9E15),IF(ISNUMBER(AL250),AL250,9E15),IF(ISNUMBER(AM250),AM250,9E15))</f>
        <v/>
      </c>
      <c r="AQ250" s="22">
        <f>MIN(IF(ISNUMBER(AG250),AG250,9E15),IF(ISNUMBER(AH250),AH250,9E15),IF(ISNUMBER(AI250),AI250,9E15),IF(ISNUMBER(AJ250),AJ250,9E15))</f>
        <v/>
      </c>
      <c r="AR250" s="29">
        <f>IF(AW250&gt;Parameters!$B$21*(MAX(IF(AND(NOT(AND(AO250=1,AN250&lt;&gt;1)),ISNUMBER(AG250),AG250&lt;=T250),AS250,0),IF(AND(NOT(AND(AO250=1,AN250&lt;&gt;1)),ISNUMBER(AH250),AH250&lt;=T250),AT250,0),IF(AND(NOT(AND(AO250=1,AN250&lt;&gt;1)),ISNUMBER(AI250),AI250&lt;=T250),AU250,0),IF(AND(ISNUMBER(AJ250),AJ250&lt;=T250),AV250,0))),TRUE,FALSE)</f>
        <v/>
      </c>
      <c r="AS250" s="32">
        <f>IFERROR(Upgrades!$H$6*(POWER(Upgrades!$P$6,E250)*POWER(Upgrades!$P$7,F250)*POWER(Upgrades!$P$8,G250)*POWER(Upgrades!$P$9,H250)*POWER(Upgrades!$P$10,I250)*POWER(Upgrades!$P$11,J250)*POWER(Upgrades!$P$12,K250))*(IF(Upgrades!$T$7="Solar Wind",POWER(Upgrades!$U$7,F250),1)*IF(Upgrades!$T$8="Solar Wind",POWER(Upgrades!$U$8,G250),1)*IF(Upgrades!$T$9="Solar Wind",POWER(Upgrades!$U$9,H250),1)*IF(Upgrades!$T$10="Solar Wind",POWER(Upgrades!$U$10,I250),1)*IF(Upgrades!$T$11="Solar Wind",POWER(Upgrades!$U$11,J250),1)*IF(Upgrades!$T$12="Solar Wind",POWER(Upgrades!$U$12,K250),1))/AG250,0)</f>
        <v/>
      </c>
      <c r="AT250" s="32">
        <f>IFERROR(Upgrades!$H$7*(POWER(Upgrades!$P$6,E250)*POWER(Upgrades!$P$7,F250)*POWER(Upgrades!$P$8,G250)*POWER(Upgrades!$P$9,H250)*POWER(Upgrades!$P$10,I250)*POWER(Upgrades!$P$11,J250)*POWER(Upgrades!$P$12,K250))*(IF(Upgrades!$T$6="Asteroid Belt",POWER(Upgrades!$U$6,E250),1)*IF(Upgrades!$T$8="Asteroid Belt",POWER(Upgrades!$U$8,G250),1)*IF(Upgrades!$T$9="Asteroid Belt",POWER(Upgrades!$U$9,H250),1)*IF(Upgrades!$T$10="Asteroid Belt",POWER(Upgrades!$U$10,I250),1)*IF(Upgrades!$T$11="Asteroid Belt",POWER(Upgrades!$U$11,J250),1)*IF(Upgrades!$T$12="Asteroid Belt",POWER(Upgrades!$U$12,K250),1))/AH250,0)</f>
        <v/>
      </c>
      <c r="AU250" s="32">
        <f>IFERROR(Upgrades!$K$8*(POWER(Upgrades!$Q$6,E250)*POWER(Upgrades!$Q$7,F250)*POWER(Upgrades!$Q$8,G250)*POWER(Upgrades!$Q$9,H250)*POWER(Upgrades!$Q$10,I250)*POWER(Upgrades!$Q$11,J250)*POWER(Upgrades!$Q$12,K250))*(IF(Upgrades!$T$6="Stellar Coupling",POWER(Upgrades!$U$6,E250),1)*IF(Upgrades!$T$7="Stellar Coupling",POWER(Upgrades!$U$7,F250),1)*IF(Upgrades!$T$9="Stellar Coupling",POWER(Upgrades!$U$9,H250),1)*IF(Upgrades!$T$10="Stellar Coupling",POWER(Upgrades!$U$10,I250),1)*IF(Upgrades!$T$11="Stellar Coupling",POWER(Upgrades!$U$11,J250),1)*IF(Upgrades!$T$12="Stellar Coupling",POWER(Upgrades!$U$12,K250),1))*Parameters!$B$10*Parameters!$B$11/60/AI250,0)</f>
        <v/>
      </c>
      <c r="AV250" s="32">
        <f>IFERROR(Upgrades!$H$9*(POWER(Upgrades!$P$6,E250)*POWER(Upgrades!$P$7,F250)*POWER(Upgrades!$P$8,G250)*POWER(Upgrades!$P$9,H250)*POWER(Upgrades!$P$10,I250)*POWER(Upgrades!$P$11,J250)*POWER(Upgrades!$P$12,K250))*(IF(Upgrades!$T$6="Magnetosphere",POWER(Upgrades!$U$6,E250),1)*IF(Upgrades!$T$7="Magnetosphere",POWER(Upgrades!$U$7,F250),1)*IF(Upgrades!$T$8="Magnetosphere",POWER(Upgrades!$U$8,G250),1)*IF(Upgrades!$T$10="Magnetosphere",POWER(Upgrades!$U$10,I250),1)*IF(Upgrades!$T$11="Magnetosphere",POWER(Upgrades!$U$11,J250),1)*IF(Upgrades!$T$12="Magnetosphere",POWER(Upgrades!$U$12,K250),1))/AJ250,0)</f>
        <v/>
      </c>
      <c r="AW250" s="32">
        <f>MAX(IF(I250&gt;0,0,IFERROR(0.25*N250/Upgrades!$C$10,0)),IF(J250&gt;0,0,IFERROR(0.5*((IF(G250=0,0,(Upgrades!$J$8+G250*Upgrades!$K$8)*POWER(Upgrades!$L$8,G250)))*(IF(Upgrades!$T$6="Stellar Coupling",POWER(Upgrades!$U$6,E250),1)*IF(Upgrades!$T$7="Stellar Coupling",POWER(Upgrades!$U$7,F250),1)*IF(Upgrades!$T$9="Stellar Coupling",POWER(Upgrades!$U$9,H250),1)*IF(Upgrades!$T$10="Stellar Coupling",POWER(Upgrades!$U$10,I250),1)*IF(Upgrades!$T$11="Stellar Coupling",POWER(Upgrades!$U$11,J250),1)*IF(Upgrades!$T$12="Stellar Coupling",POWER(Upgrades!$U$12,K250),1))*(POWER(Upgrades!$Q$6,E250)*POWER(Upgrades!$Q$7,F250)*POWER(Upgrades!$Q$8,G250)*POWER(Upgrades!$Q$9,H250)*POWER(Upgrades!$Q$10,I250)*POWER(Upgrades!$Q$11,J250)*POWER(Upgrades!$Q$12,K250))*Parameters!$B$10*Parameters!$B$11/60)/Upgrades!$C$11,0)),IF(K250&gt;0,0,IFERROR((1.0*(POWER(Upgrades!$P$6,E250)*POWER(Upgrades!$P$7,F250)*POWER(Upgrades!$P$8,G250)*POWER(Upgrades!$P$9,H250)*POWER(Upgrades!$P$10,I250)*POWER(Upgrades!$P$11,J250)*POWER(Upgrades!$P$12,K250))+0.20*M250*Parameters!$B$10*Parameters!$B$11/60)/Upgrades!$C$12,0)),IF(AND(ISNUMBER(AG250),AG250&gt;T250),AS250,0),IF(AND(ISNUMBER(AH250),AH250&gt;T250),AT250,0),IF(AND(ISNUMBER(AI250),AI250&gt;T250),AU250,0),IF(AND(ISNUMBER(AJ250),AJ250&gt;T250),AV250,0))</f>
        <v/>
      </c>
      <c r="AX250" s="29">
        <f>IF(AN250=1,"transition",IF(MIN(IF(AND(I250=0,ISNUMBER(AK250),AK250&lt;=T250),AK250,9E15),IF(AND(J250=0,ISNUMBER(AL250),AL250&lt;=T250),AL250,9E15),IF(AND(K250=0,ISNUMBER(AM250),AM250&lt;=T250),AM250,9E15))&lt;9E15,IF(AND(AND(I250=0,ISNUMBER(AK250),AK250&lt;=T250),AK250=MIN(IF(AND(I250=0,ISNUMBER(AK250),AK250&lt;=T250),AK250,9E15),IF(AND(J250=0,ISNUMBER(AL250),AL250&lt;=T250),AL250,9E15),IF(AND(K250=0,ISNUMBER(AM250),AM250&lt;=T250),AM250,9E15))),"OR",IF(AND(AND(J250=0,ISNUMBER(AL250),AL250&lt;=T250),AL250=MIN(IF(AND(I250=0,ISNUMBER(AK250),AK250&lt;=T250),AK250,9E15),IF(AND(J250=0,ISNUMBER(AL250),AL250&lt;=T250),AL250,9E15),IF(AND(K250=0,ISNUMBER(AM250),AM250&lt;=T250),AM250,9E15))),"HP","FP")),IF(AR250=TRUE,"",IF(MAX(IF(AND(NOT(AND(AO250=1,AN250&lt;&gt;1)),ISNUMBER(AG250),AG250&lt;=T250),AS250,0),IF(AND(NOT(AND(AO250=1,AN250&lt;&gt;1)),ISNUMBER(AH250),AH250&lt;=T250),AT250,0),IF(AND(NOT(AND(AO250=1,AN250&lt;&gt;1)),ISNUMBER(AI250),AI250&lt;=T250),AU250,0),IF(AND(ISNUMBER(AJ250),AJ250&lt;=T250),AV250,0))&lt;=0,"",IF(AND(IF(AND(NOT(AND(AO250=1,AN250&lt;&gt;1)),ISNUMBER(AG250),AG250&lt;=T250),AS250,0)&gt;0,IF(AND(NOT(AND(AO250=1,AN250&lt;&gt;1)),ISNUMBER(AG250),AG250&lt;=T250),AS250,0)=MAX(IF(AND(NOT(AND(AO250=1,AN250&lt;&gt;1)),ISNUMBER(AG250),AG250&lt;=T250),AS250,0),IF(AND(NOT(AND(AO250=1,AN250&lt;&gt;1)),ISNUMBER(AH250),AH250&lt;=T250),AT250,0),IF(AND(NOT(AND(AO250=1,AN250&lt;&gt;1)),ISNUMBER(AI250),AI250&lt;=T250),AU250,0),IF(AND(ISNUMBER(AJ250),AJ250&lt;=T250),AV250,0))),"SW",IF(AND(IF(AND(NOT(AND(AO250=1,AN250&lt;&gt;1)),ISNUMBER(AH250),AH250&lt;=T250),AT250,0)&gt;0,IF(AND(NOT(AND(AO250=1,AN250&lt;&gt;1)),ISNUMBER(AH250),AH250&lt;=T250),AT250,0)=MAX(IF(AND(NOT(AND(AO250=1,AN250&lt;&gt;1)),ISNUMBER(AG250),AG250&lt;=T250),AS250,0),IF(AND(NOT(AND(AO250=1,AN250&lt;&gt;1)),ISNUMBER(AH250),AH250&lt;=T250),AT250,0),IF(AND(NOT(AND(AO250=1,AN250&lt;&gt;1)),ISNUMBER(AI250),AI250&lt;=T250),AU250,0),IF(AND(ISNUMBER(AJ250),AJ250&lt;=T250),AV250,0))),"AB",IF(AND(IF(AND(NOT(AND(AO250=1,AN250&lt;&gt;1)),ISNUMBER(AI250),AI250&lt;=T250),AU250,0)&gt;0,IF(AND(NOT(AND(AO250=1,AN250&lt;&gt;1)),ISNUMBER(AI250),AI250&lt;=T250),AU250,0)=MAX(IF(AND(NOT(AND(AO250=1,AN250&lt;&gt;1)),ISNUMBER(AG250),AG250&lt;=T250),AS250,0),IF(AND(NOT(AND(AO250=1,AN250&lt;&gt;1)),ISNUMBER(AH250),AH250&lt;=T250),AT250,0),IF(AND(NOT(AND(AO250=1,AN250&lt;&gt;1)),ISNUMBER(AI250),AI250&lt;=T250),AU250,0),IF(AND(ISNUMBER(AJ250),AJ250&lt;=T250),AV250,0))),"SC","Mag")))))))</f>
        <v/>
      </c>
    </row>
    <row r="251">
      <c r="A251" s="26" t="n">
        <v>246</v>
      </c>
      <c r="B251" s="27">
        <f>A251*10/60</f>
        <v/>
      </c>
      <c r="C251" s="22">
        <f>X250</f>
        <v/>
      </c>
      <c r="D251" s="27">
        <f>D250+W250</f>
        <v/>
      </c>
      <c r="E251" s="26">
        <f>E250+IF(U250="SW",1,0)</f>
        <v/>
      </c>
      <c r="F251" s="26">
        <f>F250+IF(U250="AB",1,0)</f>
        <v/>
      </c>
      <c r="G251" s="26">
        <f>G250+IF(U250="SC",1,0)</f>
        <v/>
      </c>
      <c r="H251" s="26">
        <f>H250+IF(U250="Mag",1,0)</f>
        <v/>
      </c>
      <c r="I251" s="26">
        <f>MAX(I250,IF(U250="OR",1,0))</f>
        <v/>
      </c>
      <c r="J251" s="26">
        <f>MAX(J250,IF(U250="HP",1,0))</f>
        <v/>
      </c>
      <c r="K251" s="26">
        <f>MAX(K250,IF(U250="FP",1,0))</f>
        <v/>
      </c>
      <c r="L251" s="26">
        <f>MAX(L250,IF(U250="transition",1,0))</f>
        <v/>
      </c>
      <c r="M251" s="28">
        <f>(Parameters!$B$9+(IF(E251=0,0,(Upgrades!$J$6+E251*Upgrades!$K$6)*POWER(Upgrades!$L$6,E251)))*(IF(Upgrades!$T$7="Solar Wind",POWER(Upgrades!$U$7,F251),1)*IF(Upgrades!$T$8="Solar Wind",POWER(Upgrades!$U$8,G251),1)*IF(Upgrades!$T$9="Solar Wind",POWER(Upgrades!$U$9,H251),1)*IF(Upgrades!$T$10="Solar Wind",POWER(Upgrades!$U$10,I251),1)*IF(Upgrades!$T$11="Solar Wind",POWER(Upgrades!$U$11,J251),1)*IF(Upgrades!$T$12="Solar Wind",POWER(Upgrades!$U$12,K251),1))+(IF(F251=0,0,(Upgrades!$J$7+F251*Upgrades!$K$7)*POWER(Upgrades!$L$7,F251)))*(IF(Upgrades!$T$6="Asteroid Belt",POWER(Upgrades!$U$6,E251),1)*IF(Upgrades!$T$8="Asteroid Belt",POWER(Upgrades!$U$8,G251),1)*IF(Upgrades!$T$9="Asteroid Belt",POWER(Upgrades!$U$9,H251),1)*IF(Upgrades!$T$10="Asteroid Belt",POWER(Upgrades!$U$10,I251),1)*IF(Upgrades!$T$11="Asteroid Belt",POWER(Upgrades!$U$11,J251),1)*IF(Upgrades!$T$12="Asteroid Belt",POWER(Upgrades!$U$12,K251),1))+(IF(G251=0,0,(Upgrades!$J$8+G251*Upgrades!$K$8)*POWER(Upgrades!$L$8,G251)))*(IF(Upgrades!$T$6="Stellar Coupling",POWER(Upgrades!$U$6,E251),1)*IF(Upgrades!$T$7="Stellar Coupling",POWER(Upgrades!$U$7,F251),1)*IF(Upgrades!$T$9="Stellar Coupling",POWER(Upgrades!$U$9,H251),1)*IF(Upgrades!$T$10="Stellar Coupling",POWER(Upgrades!$U$10,I251),1)*IF(Upgrades!$T$11="Stellar Coupling",POWER(Upgrades!$U$11,J251),1)*IF(Upgrades!$T$12="Stellar Coupling",POWER(Upgrades!$U$12,K251),1))+(IF(H251=0,0,(Upgrades!$J$9+H251*Upgrades!$K$9)*POWER(Upgrades!$L$9,H251)))*(IF(Upgrades!$T$6="Magnetosphere",POWER(Upgrades!$U$6,E251),1)*IF(Upgrades!$T$7="Magnetosphere",POWER(Upgrades!$U$7,F251),1)*IF(Upgrades!$T$8="Magnetosphere",POWER(Upgrades!$U$8,G251),1)*IF(Upgrades!$T$10="Magnetosphere",POWER(Upgrades!$U$10,I251),1)*IF(Upgrades!$T$11="Magnetosphere",POWER(Upgrades!$U$11,J251),1)*IF(Upgrades!$T$12="Magnetosphere",POWER(Upgrades!$U$12,K251),1))+(IF(I251=0,0,(Upgrades!$J$10+I251*Upgrades!$K$10)*POWER(Upgrades!$L$10,I251)))*(IF(Upgrades!$T$6="Orbital Resonance",POWER(Upgrades!$U$6,E251),1)*IF(Upgrades!$T$7="Orbital Resonance",POWER(Upgrades!$U$7,F251),1)*IF(Upgrades!$T$8="Orbital Resonance",POWER(Upgrades!$U$8,G251),1)*IF(Upgrades!$T$9="Orbital Resonance",POWER(Upgrades!$U$9,H251),1)*IF(Upgrades!$T$11="Orbital Resonance",POWER(Upgrades!$U$11,J251),1)*IF(Upgrades!$T$12="Orbital Resonance",POWER(Upgrades!$U$12,K251),1))+(IF(J251=0,0,(Upgrades!$J$11+J251*Upgrades!$K$11)*POWER(Upgrades!$L$11,J251)))*(IF(Upgrades!$T$6="Heliopause",POWER(Upgrades!$U$6,E251),1)*IF(Upgrades!$T$7="Heliopause",POWER(Upgrades!$U$7,F251),1)*IF(Upgrades!$T$8="Heliopause",POWER(Upgrades!$U$8,G251),1)*IF(Upgrades!$T$9="Heliopause",POWER(Upgrades!$U$9,H251),1)*IF(Upgrades!$T$10="Heliopause",POWER(Upgrades!$U$10,I251),1)*IF(Upgrades!$T$12="Heliopause",POWER(Upgrades!$U$12,K251),1))+(IF(K251=0,0,(Upgrades!$J$12+K251*Upgrades!$K$12)*POWER(Upgrades!$L$12,K251)))*(IF(Upgrades!$T$6="First Photons",POWER(Upgrades!$U$6,E251),1)*IF(Upgrades!$T$7="First Photons",POWER(Upgrades!$U$7,F251),1)*IF(Upgrades!$T$8="First Photons",POWER(Upgrades!$U$8,G251),1)*IF(Upgrades!$T$9="First Photons",POWER(Upgrades!$U$9,H251),1)*IF(Upgrades!$T$10="First Photons",POWER(Upgrades!$U$10,I251),1)*IF(Upgrades!$T$11="First Photons",POWER(Upgrades!$U$11,J251),1)))*POWER(Upgrades!$Q$6,E251)*POWER(Upgrades!$Q$7,F251)*POWER(Upgrades!$Q$8,G251)*POWER(Upgrades!$Q$9,H251)*POWER(Upgrades!$Q$10,I251)*POWER(Upgrades!$Q$11,J251)*POWER(Upgrades!$Q$12,K251)</f>
        <v/>
      </c>
      <c r="N251" s="28">
        <f>((IF(E251=0,0,(Upgrades!$G$6+E251*Upgrades!$H$6)*POWER(Upgrades!$I$6,E251)))*(IF(Upgrades!$T$7="Solar Wind",POWER(Upgrades!$U$7,F251),1)*IF(Upgrades!$T$8="Solar Wind",POWER(Upgrades!$U$8,G251),1)*IF(Upgrades!$T$9="Solar Wind",POWER(Upgrades!$U$9,H251),1)*IF(Upgrades!$T$10="Solar Wind",POWER(Upgrades!$U$10,I251),1)*IF(Upgrades!$T$11="Solar Wind",POWER(Upgrades!$U$11,J251),1)*IF(Upgrades!$T$12="Solar Wind",POWER(Upgrades!$U$12,K251),1))+(IF(F251=0,0,(Upgrades!$G$7+F251*Upgrades!$H$7)*POWER(Upgrades!$I$7,F251)))*(IF(Upgrades!$T$6="Asteroid Belt",POWER(Upgrades!$U$6,E251),1)*IF(Upgrades!$T$8="Asteroid Belt",POWER(Upgrades!$U$8,G251),1)*IF(Upgrades!$T$9="Asteroid Belt",POWER(Upgrades!$U$9,H251),1)*IF(Upgrades!$T$10="Asteroid Belt",POWER(Upgrades!$U$10,I251),1)*IF(Upgrades!$T$11="Asteroid Belt",POWER(Upgrades!$U$11,J251),1)*IF(Upgrades!$T$12="Asteroid Belt",POWER(Upgrades!$U$12,K251),1))+(IF(G251=0,0,(Upgrades!$G$8+G251*Upgrades!$H$8)*POWER(Upgrades!$I$8,G251)))*(IF(Upgrades!$T$6="Stellar Coupling",POWER(Upgrades!$U$6,E251),1)*IF(Upgrades!$T$7="Stellar Coupling",POWER(Upgrades!$U$7,F251),1)*IF(Upgrades!$T$9="Stellar Coupling",POWER(Upgrades!$U$9,H251),1)*IF(Upgrades!$T$10="Stellar Coupling",POWER(Upgrades!$U$10,I251),1)*IF(Upgrades!$T$11="Stellar Coupling",POWER(Upgrades!$U$11,J251),1)*IF(Upgrades!$T$12="Stellar Coupling",POWER(Upgrades!$U$12,K251),1))+(IF(H251=0,0,(Upgrades!$G$9+H251*Upgrades!$H$9)*POWER(Upgrades!$I$9,H251)))*(IF(Upgrades!$T$6="Magnetosphere",POWER(Upgrades!$U$6,E251),1)*IF(Upgrades!$T$7="Magnetosphere",POWER(Upgrades!$U$7,F251),1)*IF(Upgrades!$T$8="Magnetosphere",POWER(Upgrades!$U$8,G251),1)*IF(Upgrades!$T$10="Magnetosphere",POWER(Upgrades!$U$10,I251),1)*IF(Upgrades!$T$11="Magnetosphere",POWER(Upgrades!$U$11,J251),1)*IF(Upgrades!$T$12="Magnetosphere",POWER(Upgrades!$U$12,K251),1))+(IF(I251=0,0,(Upgrades!$G$10+I251*Upgrades!$H$10)*POWER(Upgrades!$I$10,I251)))*(IF(Upgrades!$T$6="Orbital Resonance",POWER(Upgrades!$U$6,E251),1)*IF(Upgrades!$T$7="Orbital Resonance",POWER(Upgrades!$U$7,F251),1)*IF(Upgrades!$T$8="Orbital Resonance",POWER(Upgrades!$U$8,G251),1)*IF(Upgrades!$T$9="Orbital Resonance",POWER(Upgrades!$U$9,H251),1)*IF(Upgrades!$T$11="Orbital Resonance",POWER(Upgrades!$U$11,J251),1)*IF(Upgrades!$T$12="Orbital Resonance",POWER(Upgrades!$U$12,K251),1))+(IF(J251=0,0,(Upgrades!$G$11+J251*Upgrades!$H$11)*POWER(Upgrades!$I$11,J251)))*(IF(Upgrades!$T$6="Heliopause",POWER(Upgrades!$U$6,E251),1)*IF(Upgrades!$T$7="Heliopause",POWER(Upgrades!$U$7,F251),1)*IF(Upgrades!$T$8="Heliopause",POWER(Upgrades!$U$8,G251),1)*IF(Upgrades!$T$9="Heliopause",POWER(Upgrades!$U$9,H251),1)*IF(Upgrades!$T$10="Heliopause",POWER(Upgrades!$U$10,I251),1)*IF(Upgrades!$T$12="Heliopause",POWER(Upgrades!$U$12,K251),1))+(IF(K251=0,0,(Upgrades!$G$12+K251*Upgrades!$H$12)*POWER(Upgrades!$I$12,K251)))*(IF(Upgrades!$T$6="First Photons",POWER(Upgrades!$U$6,E251),1)*IF(Upgrades!$T$7="First Photons",POWER(Upgrades!$U$7,F251),1)*IF(Upgrades!$T$8="First Photons",POWER(Upgrades!$U$8,G251),1)*IF(Upgrades!$T$9="First Photons",POWER(Upgrades!$U$9,H251),1)*IF(Upgrades!$T$10="First Photons",POWER(Upgrades!$U$10,I251),1)*IF(Upgrades!$T$11="First Photons",POWER(Upgrades!$U$11,J251),1)))*POWER(Upgrades!$P$6,E251)*POWER(Upgrades!$P$7,F251)*POWER(Upgrades!$P$8,G251)*POWER(Upgrades!$P$9,H251)*POWER(Upgrades!$P$10,I251)*POWER(Upgrades!$P$11,J251)*POWER(Upgrades!$P$12,K251)</f>
        <v/>
      </c>
      <c r="O251" s="28">
        <f>((IF(E251=0,0,(Upgrades!$M$6+E251*Upgrades!$N$6)*POWER(Upgrades!$O$6,E251)))*(IF(Upgrades!$T$7="Solar Wind",POWER(Upgrades!$U$7,F251),1)*IF(Upgrades!$T$8="Solar Wind",POWER(Upgrades!$U$8,G251),1)*IF(Upgrades!$T$9="Solar Wind",POWER(Upgrades!$U$9,H251),1)*IF(Upgrades!$T$10="Solar Wind",POWER(Upgrades!$U$10,I251),1)*IF(Upgrades!$T$11="Solar Wind",POWER(Upgrades!$U$11,J251),1)*IF(Upgrades!$T$12="Solar Wind",POWER(Upgrades!$U$12,K251),1))+(IF(F251=0,0,(Upgrades!$M$7+F251*Upgrades!$N$7)*POWER(Upgrades!$O$7,F251)))*(IF(Upgrades!$T$6="Asteroid Belt",POWER(Upgrades!$U$6,E251),1)*IF(Upgrades!$T$8="Asteroid Belt",POWER(Upgrades!$U$8,G251),1)*IF(Upgrades!$T$9="Asteroid Belt",POWER(Upgrades!$U$9,H251),1)*IF(Upgrades!$T$10="Asteroid Belt",POWER(Upgrades!$U$10,I251),1)*IF(Upgrades!$T$11="Asteroid Belt",POWER(Upgrades!$U$11,J251),1)*IF(Upgrades!$T$12="Asteroid Belt",POWER(Upgrades!$U$12,K251),1))+(IF(G251=0,0,(Upgrades!$M$8+G251*Upgrades!$N$8)*POWER(Upgrades!$O$8,G251)))*(IF(Upgrades!$T$6="Stellar Coupling",POWER(Upgrades!$U$6,E251),1)*IF(Upgrades!$T$7="Stellar Coupling",POWER(Upgrades!$U$7,F251),1)*IF(Upgrades!$T$9="Stellar Coupling",POWER(Upgrades!$U$9,H251),1)*IF(Upgrades!$T$10="Stellar Coupling",POWER(Upgrades!$U$10,I251),1)*IF(Upgrades!$T$11="Stellar Coupling",POWER(Upgrades!$U$11,J251),1)*IF(Upgrades!$T$12="Stellar Coupling",POWER(Upgrades!$U$12,K251),1))+(IF(H251=0,0,(Upgrades!$M$9+H251*Upgrades!$N$9)*POWER(Upgrades!$O$9,H251)))*(IF(Upgrades!$T$6="Magnetosphere",POWER(Upgrades!$U$6,E251),1)*IF(Upgrades!$T$7="Magnetosphere",POWER(Upgrades!$U$7,F251),1)*IF(Upgrades!$T$8="Magnetosphere",POWER(Upgrades!$U$8,G251),1)*IF(Upgrades!$T$10="Magnetosphere",POWER(Upgrades!$U$10,I251),1)*IF(Upgrades!$T$11="Magnetosphere",POWER(Upgrades!$U$11,J251),1)*IF(Upgrades!$T$12="Magnetosphere",POWER(Upgrades!$U$12,K251),1))+(IF(I251=0,0,(Upgrades!$M$10+I251*Upgrades!$N$10)*POWER(Upgrades!$O$10,I251)))*(IF(Upgrades!$T$6="Orbital Resonance",POWER(Upgrades!$U$6,E251),1)*IF(Upgrades!$T$7="Orbital Resonance",POWER(Upgrades!$U$7,F251),1)*IF(Upgrades!$T$8="Orbital Resonance",POWER(Upgrades!$U$8,G251),1)*IF(Upgrades!$T$9="Orbital Resonance",POWER(Upgrades!$U$9,H251),1)*IF(Upgrades!$T$11="Orbital Resonance",POWER(Upgrades!$U$11,J251),1)*IF(Upgrades!$T$12="Orbital Resonance",POWER(Upgrades!$U$12,K251),1))+(IF(J251=0,0,(Upgrades!$M$11+J251*Upgrades!$N$11)*POWER(Upgrades!$O$11,J251)))*(IF(Upgrades!$T$6="Heliopause",POWER(Upgrades!$U$6,E251),1)*IF(Upgrades!$T$7="Heliopause",POWER(Upgrades!$U$7,F251),1)*IF(Upgrades!$T$8="Heliopause",POWER(Upgrades!$U$8,G251),1)*IF(Upgrades!$T$9="Heliopause",POWER(Upgrades!$U$9,H251),1)*IF(Upgrades!$T$10="Heliopause",POWER(Upgrades!$U$10,I251),1)*IF(Upgrades!$T$12="Heliopause",POWER(Upgrades!$U$12,K251),1))+(IF(K251=0,0,(Upgrades!$M$12+K251*Upgrades!$N$12)*POWER(Upgrades!$O$12,K251)))*(IF(Upgrades!$T$6="First Photons",POWER(Upgrades!$U$6,E251),1)*IF(Upgrades!$T$7="First Photons",POWER(Upgrades!$U$7,F251),1)*IF(Upgrades!$T$8="First Photons",POWER(Upgrades!$U$8,G251),1)*IF(Upgrades!$T$9="First Photons",POWER(Upgrades!$U$9,H251),1)*IF(Upgrades!$T$10="First Photons",POWER(Upgrades!$U$10,I251),1)*IF(Upgrades!$T$11="First Photons",POWER(Upgrades!$U$11,J251),1)))*POWER(Upgrades!$R$6,E251)*POWER(Upgrades!$R$7,F251)*POWER(Upgrades!$R$8,G251)*POWER(Upgrades!$R$9,H251)*POWER(Upgrades!$R$10,I251)*POWER(Upgrades!$R$11,J251)*POWER(Upgrades!$R$12,K251)</f>
        <v/>
      </c>
      <c r="P251" s="27">
        <f>IF(L251=1,0,M251*Parameters!$B$10/60*Parameters!$B$11*10)</f>
        <v/>
      </c>
      <c r="Q251" s="27">
        <f>IF(L251=1,0,O251*M251*10)</f>
        <v/>
      </c>
      <c r="R251" s="27">
        <f>IF(L251=1,0,N251*10)</f>
        <v/>
      </c>
      <c r="S251" s="27">
        <f>P251+Q251+R251</f>
        <v/>
      </c>
      <c r="T251" s="22">
        <f>C251+S251</f>
        <v/>
      </c>
      <c r="U251" s="33">
        <f>AX251</f>
        <v/>
      </c>
      <c r="V251" s="22">
        <f>IF(U251="",0,IF(U251="transition",0,IF(U251="SW",AG251,IF(U251="AB",AH251,IF(U251="SC",AI251,IF(U251="Mag",AJ251,IF(U251="OR",AK251,IF(U251="HP",AL251,IF(U251="FP",AM251,0)))))))))</f>
        <v/>
      </c>
      <c r="W251" s="27">
        <f>IF(U251="OR",Upgrades!$F$10,IF(U251="HP",Upgrades!$F$11,IF(U251="transition",-Parameters!$B$18,0)))</f>
        <v/>
      </c>
      <c r="X251" s="22">
        <f>T251-V251</f>
        <v/>
      </c>
      <c r="Y251" s="30">
        <f>M251*Parameters!$B$10/60*Parameters!$B$11+O251*M251+N251</f>
        <v/>
      </c>
      <c r="Z251" s="34">
        <f>IF(U251="transition","→ Tier 2 (Stellar Neighborhood)",IF(U251="FP","First Photons — light begins, system quickens",IF(U251="HP","Heliopause acquired",IF(U251="OR","Orbital Resonance — passive multiplier active",IF(AND(AO251=1,L251=0,AN251&lt;&gt;1),"Cohesion ready (waiting on completionist upgrades)","")))))</f>
        <v/>
      </c>
      <c r="AA251" s="27">
        <f>(IF(E251=0,0,(Upgrades!$G$6+E251*Upgrades!$H$6)*POWER(Upgrades!$I$6,E251)))*(IF(Upgrades!$T$7="Solar Wind",POWER(Upgrades!$U$7,F251),1)*IF(Upgrades!$T$8="Solar Wind",POWER(Upgrades!$U$8,G251),1)*IF(Upgrades!$T$9="Solar Wind",POWER(Upgrades!$U$9,H251),1)*IF(Upgrades!$T$10="Solar Wind",POWER(Upgrades!$U$10,I251),1)*IF(Upgrades!$T$11="Solar Wind",POWER(Upgrades!$U$11,J251),1)*IF(Upgrades!$T$12="Solar Wind",POWER(Upgrades!$U$12,K251),1))*POWER(Upgrades!$P$6,E251)*POWER(Upgrades!$P$7,F251)*POWER(Upgrades!$P$8,G251)*POWER(Upgrades!$P$9,H251)*POWER(Upgrades!$P$10,I251)*POWER(Upgrades!$P$11,J251)*POWER(Upgrades!$P$12,K251)*60</f>
        <v/>
      </c>
      <c r="AB251" s="27">
        <f>(IF(F251=0,0,(Upgrades!$G$7+F251*Upgrades!$H$7)*POWER(Upgrades!$I$7,F251)))*(IF(Upgrades!$T$6="Asteroid Belt",POWER(Upgrades!$U$6,E251),1)*IF(Upgrades!$T$8="Asteroid Belt",POWER(Upgrades!$U$8,G251),1)*IF(Upgrades!$T$9="Asteroid Belt",POWER(Upgrades!$U$9,H251),1)*IF(Upgrades!$T$10="Asteroid Belt",POWER(Upgrades!$U$10,I251),1)*IF(Upgrades!$T$11="Asteroid Belt",POWER(Upgrades!$U$11,J251),1)*IF(Upgrades!$T$12="Asteroid Belt",POWER(Upgrades!$U$12,K251),1))*POWER(Upgrades!$P$6,E251)*POWER(Upgrades!$P$7,F251)*POWER(Upgrades!$P$8,G251)*POWER(Upgrades!$P$9,H251)*POWER(Upgrades!$P$10,I251)*POWER(Upgrades!$P$11,J251)*POWER(Upgrades!$P$12,K251)*60</f>
        <v/>
      </c>
      <c r="AC251" s="27">
        <f>(IF(G251=0,0,(Upgrades!$J$8+G251*Upgrades!$K$8)*POWER(Upgrades!$L$8,G251)))*(IF(Upgrades!$T$6="Stellar Coupling",POWER(Upgrades!$U$6,E251),1)*IF(Upgrades!$T$7="Stellar Coupling",POWER(Upgrades!$U$7,F251),1)*IF(Upgrades!$T$9="Stellar Coupling",POWER(Upgrades!$U$9,H251),1)*IF(Upgrades!$T$10="Stellar Coupling",POWER(Upgrades!$U$10,I251),1)*IF(Upgrades!$T$11="Stellar Coupling",POWER(Upgrades!$U$11,J251),1)*IF(Upgrades!$T$12="Stellar Coupling",POWER(Upgrades!$U$12,K251),1))*POWER(Upgrades!$Q$6,E251)*POWER(Upgrades!$Q$7,F251)*POWER(Upgrades!$Q$8,G251)*POWER(Upgrades!$Q$9,H251)*POWER(Upgrades!$Q$10,I251)*POWER(Upgrades!$Q$11,J251)*POWER(Upgrades!$Q$12,K251)*Parameters!$B$10*Parameters!$B$11</f>
        <v/>
      </c>
      <c r="AD251" s="27">
        <f>(IF(H251=0,0,(Upgrades!$G$9+H251*Upgrades!$H$9)*POWER(Upgrades!$I$9,H251)))*(IF(Upgrades!$T$6="Magnetosphere",POWER(Upgrades!$U$6,E251),1)*IF(Upgrades!$T$7="Magnetosphere",POWER(Upgrades!$U$7,F251),1)*IF(Upgrades!$T$8="Magnetosphere",POWER(Upgrades!$U$8,G251),1)*IF(Upgrades!$T$10="Magnetosphere",POWER(Upgrades!$U$10,I251),1)*IF(Upgrades!$T$11="Magnetosphere",POWER(Upgrades!$U$11,J251),1)*IF(Upgrades!$T$12="Magnetosphere",POWER(Upgrades!$U$12,K251),1))*POWER(Upgrades!$P$6,E251)*POWER(Upgrades!$P$7,F251)*POWER(Upgrades!$P$8,G251)*POWER(Upgrades!$P$9,H251)*POWER(Upgrades!$P$10,I251)*POWER(Upgrades!$P$11,J251)*POWER(Upgrades!$P$12,K251)*60</f>
        <v/>
      </c>
      <c r="AE251" s="27">
        <f>(IF(K251=0,0,(Upgrades!$G$12+K251*Upgrades!$H$12)*POWER(Upgrades!$I$12,K251)))*(IF(Upgrades!$T$6="First Photons",POWER(Upgrades!$U$6,E251),1)*IF(Upgrades!$T$7="First Photons",POWER(Upgrades!$U$7,F251),1)*IF(Upgrades!$T$8="First Photons",POWER(Upgrades!$U$8,G251),1)*IF(Upgrades!$T$9="First Photons",POWER(Upgrades!$U$9,H251),1)*IF(Upgrades!$T$10="First Photons",POWER(Upgrades!$U$10,I251),1)*IF(Upgrades!$T$11="First Photons",POWER(Upgrades!$U$11,J251),1))*POWER(Upgrades!$P$6,E251)*POWER(Upgrades!$P$7,F251)*POWER(Upgrades!$P$8,G251)*POWER(Upgrades!$P$9,H251)*POWER(Upgrades!$P$10,I251)*POWER(Upgrades!$P$11,J251)*POWER(Upgrades!$P$12,K251)*60</f>
        <v/>
      </c>
      <c r="AF251" s="27">
        <f>Parameters!$B$9*POWER(Upgrades!$Q$6,E251)*POWER(Upgrades!$Q$7,F251)*POWER(Upgrades!$Q$8,G251)*POWER(Upgrades!$Q$9,H251)*POWER(Upgrades!$Q$10,I251)*POWER(Upgrades!$Q$11,J251)*POWER(Upgrades!$Q$12,K251)*(Parameters!$B$10*Parameters!$B$11+O251*60)</f>
        <v/>
      </c>
      <c r="AG251" s="22">
        <f>IF(E251&gt;=Upgrades!$E$6,"",Upgrades!$C$6*POWER(Upgrades!$D$6,E251))</f>
        <v/>
      </c>
      <c r="AH251" s="22">
        <f>IF(F251&gt;=Upgrades!$E$7,"",Upgrades!$C$7*POWER(Upgrades!$D$7,F251))</f>
        <v/>
      </c>
      <c r="AI251" s="22">
        <f>IF(G251&gt;=Upgrades!$E$8,"",Upgrades!$C$8*POWER(Upgrades!$D$8,G251))</f>
        <v/>
      </c>
      <c r="AJ251" s="22">
        <f>IF(H251&gt;=Upgrades!$E$9,"",Upgrades!$C$9*POWER(Upgrades!$D$9,H251))</f>
        <v/>
      </c>
      <c r="AK251" s="22">
        <f>IF(I251&gt;=Upgrades!$E$10,"",Upgrades!$C$10*POWER(Upgrades!$D$10,I251))</f>
        <v/>
      </c>
      <c r="AL251" s="22">
        <f>IF(J251&gt;=Upgrades!$E$11,"",Upgrades!$C$11*POWER(Upgrades!$D$11,J251))</f>
        <v/>
      </c>
      <c r="AM251" s="22">
        <f>IF(K251&gt;=Upgrades!$E$12,"",Upgrades!$C$12*POWER(Upgrades!$D$12,K251))</f>
        <v/>
      </c>
      <c r="AN251" s="26">
        <f>IF(AND(D251&gt;=Parameters!$B$18,(H251&gt;=Upgrades!$E$9)*(K251&gt;=Upgrades!$E$12)=1,L251=0),1,"")</f>
        <v/>
      </c>
      <c r="AO251" s="26">
        <f>IF(AND(D251&gt;=Parameters!$B$18,L251=0),1,"")</f>
        <v/>
      </c>
      <c r="AP251" s="22">
        <f>MIN(IF(ISNUMBER(AK251),AK251,9E15),IF(ISNUMBER(AL251),AL251,9E15),IF(ISNUMBER(AM251),AM251,9E15))</f>
        <v/>
      </c>
      <c r="AQ251" s="22">
        <f>MIN(IF(ISNUMBER(AG251),AG251,9E15),IF(ISNUMBER(AH251),AH251,9E15),IF(ISNUMBER(AI251),AI251,9E15),IF(ISNUMBER(AJ251),AJ251,9E15))</f>
        <v/>
      </c>
      <c r="AR251" s="29">
        <f>IF(AW251&gt;Parameters!$B$21*(MAX(IF(AND(NOT(AND(AO251=1,AN251&lt;&gt;1)),ISNUMBER(AG251),AG251&lt;=T251),AS251,0),IF(AND(NOT(AND(AO251=1,AN251&lt;&gt;1)),ISNUMBER(AH251),AH251&lt;=T251),AT251,0),IF(AND(NOT(AND(AO251=1,AN251&lt;&gt;1)),ISNUMBER(AI251),AI251&lt;=T251),AU251,0),IF(AND(ISNUMBER(AJ251),AJ251&lt;=T251),AV251,0))),TRUE,FALSE)</f>
        <v/>
      </c>
      <c r="AS251" s="32">
        <f>IFERROR(Upgrades!$H$6*(POWER(Upgrades!$P$6,E251)*POWER(Upgrades!$P$7,F251)*POWER(Upgrades!$P$8,G251)*POWER(Upgrades!$P$9,H251)*POWER(Upgrades!$P$10,I251)*POWER(Upgrades!$P$11,J251)*POWER(Upgrades!$P$12,K251))*(IF(Upgrades!$T$7="Solar Wind",POWER(Upgrades!$U$7,F251),1)*IF(Upgrades!$T$8="Solar Wind",POWER(Upgrades!$U$8,G251),1)*IF(Upgrades!$T$9="Solar Wind",POWER(Upgrades!$U$9,H251),1)*IF(Upgrades!$T$10="Solar Wind",POWER(Upgrades!$U$10,I251),1)*IF(Upgrades!$T$11="Solar Wind",POWER(Upgrades!$U$11,J251),1)*IF(Upgrades!$T$12="Solar Wind",POWER(Upgrades!$U$12,K251),1))/AG251,0)</f>
        <v/>
      </c>
      <c r="AT251" s="32">
        <f>IFERROR(Upgrades!$H$7*(POWER(Upgrades!$P$6,E251)*POWER(Upgrades!$P$7,F251)*POWER(Upgrades!$P$8,G251)*POWER(Upgrades!$P$9,H251)*POWER(Upgrades!$P$10,I251)*POWER(Upgrades!$P$11,J251)*POWER(Upgrades!$P$12,K251))*(IF(Upgrades!$T$6="Asteroid Belt",POWER(Upgrades!$U$6,E251),1)*IF(Upgrades!$T$8="Asteroid Belt",POWER(Upgrades!$U$8,G251),1)*IF(Upgrades!$T$9="Asteroid Belt",POWER(Upgrades!$U$9,H251),1)*IF(Upgrades!$T$10="Asteroid Belt",POWER(Upgrades!$U$10,I251),1)*IF(Upgrades!$T$11="Asteroid Belt",POWER(Upgrades!$U$11,J251),1)*IF(Upgrades!$T$12="Asteroid Belt",POWER(Upgrades!$U$12,K251),1))/AH251,0)</f>
        <v/>
      </c>
      <c r="AU251" s="32">
        <f>IFERROR(Upgrades!$K$8*(POWER(Upgrades!$Q$6,E251)*POWER(Upgrades!$Q$7,F251)*POWER(Upgrades!$Q$8,G251)*POWER(Upgrades!$Q$9,H251)*POWER(Upgrades!$Q$10,I251)*POWER(Upgrades!$Q$11,J251)*POWER(Upgrades!$Q$12,K251))*(IF(Upgrades!$T$6="Stellar Coupling",POWER(Upgrades!$U$6,E251),1)*IF(Upgrades!$T$7="Stellar Coupling",POWER(Upgrades!$U$7,F251),1)*IF(Upgrades!$T$9="Stellar Coupling",POWER(Upgrades!$U$9,H251),1)*IF(Upgrades!$T$10="Stellar Coupling",POWER(Upgrades!$U$10,I251),1)*IF(Upgrades!$T$11="Stellar Coupling",POWER(Upgrades!$U$11,J251),1)*IF(Upgrades!$T$12="Stellar Coupling",POWER(Upgrades!$U$12,K251),1))*Parameters!$B$10*Parameters!$B$11/60/AI251,0)</f>
        <v/>
      </c>
      <c r="AV251" s="32">
        <f>IFERROR(Upgrades!$H$9*(POWER(Upgrades!$P$6,E251)*POWER(Upgrades!$P$7,F251)*POWER(Upgrades!$P$8,G251)*POWER(Upgrades!$P$9,H251)*POWER(Upgrades!$P$10,I251)*POWER(Upgrades!$P$11,J251)*POWER(Upgrades!$P$12,K251))*(IF(Upgrades!$T$6="Magnetosphere",POWER(Upgrades!$U$6,E251),1)*IF(Upgrades!$T$7="Magnetosphere",POWER(Upgrades!$U$7,F251),1)*IF(Upgrades!$T$8="Magnetosphere",POWER(Upgrades!$U$8,G251),1)*IF(Upgrades!$T$10="Magnetosphere",POWER(Upgrades!$U$10,I251),1)*IF(Upgrades!$T$11="Magnetosphere",POWER(Upgrades!$U$11,J251),1)*IF(Upgrades!$T$12="Magnetosphere",POWER(Upgrades!$U$12,K251),1))/AJ251,0)</f>
        <v/>
      </c>
      <c r="AW251" s="32">
        <f>MAX(IF(I251&gt;0,0,IFERROR(0.25*N251/Upgrades!$C$10,0)),IF(J251&gt;0,0,IFERROR(0.5*((IF(G251=0,0,(Upgrades!$J$8+G251*Upgrades!$K$8)*POWER(Upgrades!$L$8,G251)))*(IF(Upgrades!$T$6="Stellar Coupling",POWER(Upgrades!$U$6,E251),1)*IF(Upgrades!$T$7="Stellar Coupling",POWER(Upgrades!$U$7,F251),1)*IF(Upgrades!$T$9="Stellar Coupling",POWER(Upgrades!$U$9,H251),1)*IF(Upgrades!$T$10="Stellar Coupling",POWER(Upgrades!$U$10,I251),1)*IF(Upgrades!$T$11="Stellar Coupling",POWER(Upgrades!$U$11,J251),1)*IF(Upgrades!$T$12="Stellar Coupling",POWER(Upgrades!$U$12,K251),1))*(POWER(Upgrades!$Q$6,E251)*POWER(Upgrades!$Q$7,F251)*POWER(Upgrades!$Q$8,G251)*POWER(Upgrades!$Q$9,H251)*POWER(Upgrades!$Q$10,I251)*POWER(Upgrades!$Q$11,J251)*POWER(Upgrades!$Q$12,K251))*Parameters!$B$10*Parameters!$B$11/60)/Upgrades!$C$11,0)),IF(K251&gt;0,0,IFERROR((1.0*(POWER(Upgrades!$P$6,E251)*POWER(Upgrades!$P$7,F251)*POWER(Upgrades!$P$8,G251)*POWER(Upgrades!$P$9,H251)*POWER(Upgrades!$P$10,I251)*POWER(Upgrades!$P$11,J251)*POWER(Upgrades!$P$12,K251))+0.20*M251*Parameters!$B$10*Parameters!$B$11/60)/Upgrades!$C$12,0)),IF(AND(ISNUMBER(AG251),AG251&gt;T251),AS251,0),IF(AND(ISNUMBER(AH251),AH251&gt;T251),AT251,0),IF(AND(ISNUMBER(AI251),AI251&gt;T251),AU251,0),IF(AND(ISNUMBER(AJ251),AJ251&gt;T251),AV251,0))</f>
        <v/>
      </c>
      <c r="AX251" s="29">
        <f>IF(AN251=1,"transition",IF(MIN(IF(AND(I251=0,ISNUMBER(AK251),AK251&lt;=T251),AK251,9E15),IF(AND(J251=0,ISNUMBER(AL251),AL251&lt;=T251),AL251,9E15),IF(AND(K251=0,ISNUMBER(AM251),AM251&lt;=T251),AM251,9E15))&lt;9E15,IF(AND(AND(I251=0,ISNUMBER(AK251),AK251&lt;=T251),AK251=MIN(IF(AND(I251=0,ISNUMBER(AK251),AK251&lt;=T251),AK251,9E15),IF(AND(J251=0,ISNUMBER(AL251),AL251&lt;=T251),AL251,9E15),IF(AND(K251=0,ISNUMBER(AM251),AM251&lt;=T251),AM251,9E15))),"OR",IF(AND(AND(J251=0,ISNUMBER(AL251),AL251&lt;=T251),AL251=MIN(IF(AND(I251=0,ISNUMBER(AK251),AK251&lt;=T251),AK251,9E15),IF(AND(J251=0,ISNUMBER(AL251),AL251&lt;=T251),AL251,9E15),IF(AND(K251=0,ISNUMBER(AM251),AM251&lt;=T251),AM251,9E15))),"HP","FP")),IF(AR251=TRUE,"",IF(MAX(IF(AND(NOT(AND(AO251=1,AN251&lt;&gt;1)),ISNUMBER(AG251),AG251&lt;=T251),AS251,0),IF(AND(NOT(AND(AO251=1,AN251&lt;&gt;1)),ISNUMBER(AH251),AH251&lt;=T251),AT251,0),IF(AND(NOT(AND(AO251=1,AN251&lt;&gt;1)),ISNUMBER(AI251),AI251&lt;=T251),AU251,0),IF(AND(ISNUMBER(AJ251),AJ251&lt;=T251),AV251,0))&lt;=0,"",IF(AND(IF(AND(NOT(AND(AO251=1,AN251&lt;&gt;1)),ISNUMBER(AG251),AG251&lt;=T251),AS251,0)&gt;0,IF(AND(NOT(AND(AO251=1,AN251&lt;&gt;1)),ISNUMBER(AG251),AG251&lt;=T251),AS251,0)=MAX(IF(AND(NOT(AND(AO251=1,AN251&lt;&gt;1)),ISNUMBER(AG251),AG251&lt;=T251),AS251,0),IF(AND(NOT(AND(AO251=1,AN251&lt;&gt;1)),ISNUMBER(AH251),AH251&lt;=T251),AT251,0),IF(AND(NOT(AND(AO251=1,AN251&lt;&gt;1)),ISNUMBER(AI251),AI251&lt;=T251),AU251,0),IF(AND(ISNUMBER(AJ251),AJ251&lt;=T251),AV251,0))),"SW",IF(AND(IF(AND(NOT(AND(AO251=1,AN251&lt;&gt;1)),ISNUMBER(AH251),AH251&lt;=T251),AT251,0)&gt;0,IF(AND(NOT(AND(AO251=1,AN251&lt;&gt;1)),ISNUMBER(AH251),AH251&lt;=T251),AT251,0)=MAX(IF(AND(NOT(AND(AO251=1,AN251&lt;&gt;1)),ISNUMBER(AG251),AG251&lt;=T251),AS251,0),IF(AND(NOT(AND(AO251=1,AN251&lt;&gt;1)),ISNUMBER(AH251),AH251&lt;=T251),AT251,0),IF(AND(NOT(AND(AO251=1,AN251&lt;&gt;1)),ISNUMBER(AI251),AI251&lt;=T251),AU251,0),IF(AND(ISNUMBER(AJ251),AJ251&lt;=T251),AV251,0))),"AB",IF(AND(IF(AND(NOT(AND(AO251=1,AN251&lt;&gt;1)),ISNUMBER(AI251),AI251&lt;=T251),AU251,0)&gt;0,IF(AND(NOT(AND(AO251=1,AN251&lt;&gt;1)),ISNUMBER(AI251),AI251&lt;=T251),AU251,0)=MAX(IF(AND(NOT(AND(AO251=1,AN251&lt;&gt;1)),ISNUMBER(AG251),AG251&lt;=T251),AS251,0),IF(AND(NOT(AND(AO251=1,AN251&lt;&gt;1)),ISNUMBER(AH251),AH251&lt;=T251),AT251,0),IF(AND(NOT(AND(AO251=1,AN251&lt;&gt;1)),ISNUMBER(AI251),AI251&lt;=T251),AU251,0),IF(AND(ISNUMBER(AJ251),AJ251&lt;=T251),AV251,0))),"SC","Mag")))))))</f>
        <v/>
      </c>
    </row>
    <row r="252">
      <c r="A252" s="26" t="n">
        <v>247</v>
      </c>
      <c r="B252" s="27">
        <f>A252*10/60</f>
        <v/>
      </c>
      <c r="C252" s="22">
        <f>X251</f>
        <v/>
      </c>
      <c r="D252" s="27">
        <f>D251+W251</f>
        <v/>
      </c>
      <c r="E252" s="26">
        <f>E251+IF(U251="SW",1,0)</f>
        <v/>
      </c>
      <c r="F252" s="26">
        <f>F251+IF(U251="AB",1,0)</f>
        <v/>
      </c>
      <c r="G252" s="26">
        <f>G251+IF(U251="SC",1,0)</f>
        <v/>
      </c>
      <c r="H252" s="26">
        <f>H251+IF(U251="Mag",1,0)</f>
        <v/>
      </c>
      <c r="I252" s="26">
        <f>MAX(I251,IF(U251="OR",1,0))</f>
        <v/>
      </c>
      <c r="J252" s="26">
        <f>MAX(J251,IF(U251="HP",1,0))</f>
        <v/>
      </c>
      <c r="K252" s="26">
        <f>MAX(K251,IF(U251="FP",1,0))</f>
        <v/>
      </c>
      <c r="L252" s="26">
        <f>MAX(L251,IF(U251="transition",1,0))</f>
        <v/>
      </c>
      <c r="M252" s="28">
        <f>(Parameters!$B$9+(IF(E252=0,0,(Upgrades!$J$6+E252*Upgrades!$K$6)*POWER(Upgrades!$L$6,E252)))*(IF(Upgrades!$T$7="Solar Wind",POWER(Upgrades!$U$7,F252),1)*IF(Upgrades!$T$8="Solar Wind",POWER(Upgrades!$U$8,G252),1)*IF(Upgrades!$T$9="Solar Wind",POWER(Upgrades!$U$9,H252),1)*IF(Upgrades!$T$10="Solar Wind",POWER(Upgrades!$U$10,I252),1)*IF(Upgrades!$T$11="Solar Wind",POWER(Upgrades!$U$11,J252),1)*IF(Upgrades!$T$12="Solar Wind",POWER(Upgrades!$U$12,K252),1))+(IF(F252=0,0,(Upgrades!$J$7+F252*Upgrades!$K$7)*POWER(Upgrades!$L$7,F252)))*(IF(Upgrades!$T$6="Asteroid Belt",POWER(Upgrades!$U$6,E252),1)*IF(Upgrades!$T$8="Asteroid Belt",POWER(Upgrades!$U$8,G252),1)*IF(Upgrades!$T$9="Asteroid Belt",POWER(Upgrades!$U$9,H252),1)*IF(Upgrades!$T$10="Asteroid Belt",POWER(Upgrades!$U$10,I252),1)*IF(Upgrades!$T$11="Asteroid Belt",POWER(Upgrades!$U$11,J252),1)*IF(Upgrades!$T$12="Asteroid Belt",POWER(Upgrades!$U$12,K252),1))+(IF(G252=0,0,(Upgrades!$J$8+G252*Upgrades!$K$8)*POWER(Upgrades!$L$8,G252)))*(IF(Upgrades!$T$6="Stellar Coupling",POWER(Upgrades!$U$6,E252),1)*IF(Upgrades!$T$7="Stellar Coupling",POWER(Upgrades!$U$7,F252),1)*IF(Upgrades!$T$9="Stellar Coupling",POWER(Upgrades!$U$9,H252),1)*IF(Upgrades!$T$10="Stellar Coupling",POWER(Upgrades!$U$10,I252),1)*IF(Upgrades!$T$11="Stellar Coupling",POWER(Upgrades!$U$11,J252),1)*IF(Upgrades!$T$12="Stellar Coupling",POWER(Upgrades!$U$12,K252),1))+(IF(H252=0,0,(Upgrades!$J$9+H252*Upgrades!$K$9)*POWER(Upgrades!$L$9,H252)))*(IF(Upgrades!$T$6="Magnetosphere",POWER(Upgrades!$U$6,E252),1)*IF(Upgrades!$T$7="Magnetosphere",POWER(Upgrades!$U$7,F252),1)*IF(Upgrades!$T$8="Magnetosphere",POWER(Upgrades!$U$8,G252),1)*IF(Upgrades!$T$10="Magnetosphere",POWER(Upgrades!$U$10,I252),1)*IF(Upgrades!$T$11="Magnetosphere",POWER(Upgrades!$U$11,J252),1)*IF(Upgrades!$T$12="Magnetosphere",POWER(Upgrades!$U$12,K252),1))+(IF(I252=0,0,(Upgrades!$J$10+I252*Upgrades!$K$10)*POWER(Upgrades!$L$10,I252)))*(IF(Upgrades!$T$6="Orbital Resonance",POWER(Upgrades!$U$6,E252),1)*IF(Upgrades!$T$7="Orbital Resonance",POWER(Upgrades!$U$7,F252),1)*IF(Upgrades!$T$8="Orbital Resonance",POWER(Upgrades!$U$8,G252),1)*IF(Upgrades!$T$9="Orbital Resonance",POWER(Upgrades!$U$9,H252),1)*IF(Upgrades!$T$11="Orbital Resonance",POWER(Upgrades!$U$11,J252),1)*IF(Upgrades!$T$12="Orbital Resonance",POWER(Upgrades!$U$12,K252),1))+(IF(J252=0,0,(Upgrades!$J$11+J252*Upgrades!$K$11)*POWER(Upgrades!$L$11,J252)))*(IF(Upgrades!$T$6="Heliopause",POWER(Upgrades!$U$6,E252),1)*IF(Upgrades!$T$7="Heliopause",POWER(Upgrades!$U$7,F252),1)*IF(Upgrades!$T$8="Heliopause",POWER(Upgrades!$U$8,G252),1)*IF(Upgrades!$T$9="Heliopause",POWER(Upgrades!$U$9,H252),1)*IF(Upgrades!$T$10="Heliopause",POWER(Upgrades!$U$10,I252),1)*IF(Upgrades!$T$12="Heliopause",POWER(Upgrades!$U$12,K252),1))+(IF(K252=0,0,(Upgrades!$J$12+K252*Upgrades!$K$12)*POWER(Upgrades!$L$12,K252)))*(IF(Upgrades!$T$6="First Photons",POWER(Upgrades!$U$6,E252),1)*IF(Upgrades!$T$7="First Photons",POWER(Upgrades!$U$7,F252),1)*IF(Upgrades!$T$8="First Photons",POWER(Upgrades!$U$8,G252),1)*IF(Upgrades!$T$9="First Photons",POWER(Upgrades!$U$9,H252),1)*IF(Upgrades!$T$10="First Photons",POWER(Upgrades!$U$10,I252),1)*IF(Upgrades!$T$11="First Photons",POWER(Upgrades!$U$11,J252),1)))*POWER(Upgrades!$Q$6,E252)*POWER(Upgrades!$Q$7,F252)*POWER(Upgrades!$Q$8,G252)*POWER(Upgrades!$Q$9,H252)*POWER(Upgrades!$Q$10,I252)*POWER(Upgrades!$Q$11,J252)*POWER(Upgrades!$Q$12,K252)</f>
        <v/>
      </c>
      <c r="N252" s="28">
        <f>((IF(E252=0,0,(Upgrades!$G$6+E252*Upgrades!$H$6)*POWER(Upgrades!$I$6,E252)))*(IF(Upgrades!$T$7="Solar Wind",POWER(Upgrades!$U$7,F252),1)*IF(Upgrades!$T$8="Solar Wind",POWER(Upgrades!$U$8,G252),1)*IF(Upgrades!$T$9="Solar Wind",POWER(Upgrades!$U$9,H252),1)*IF(Upgrades!$T$10="Solar Wind",POWER(Upgrades!$U$10,I252),1)*IF(Upgrades!$T$11="Solar Wind",POWER(Upgrades!$U$11,J252),1)*IF(Upgrades!$T$12="Solar Wind",POWER(Upgrades!$U$12,K252),1))+(IF(F252=0,0,(Upgrades!$G$7+F252*Upgrades!$H$7)*POWER(Upgrades!$I$7,F252)))*(IF(Upgrades!$T$6="Asteroid Belt",POWER(Upgrades!$U$6,E252),1)*IF(Upgrades!$T$8="Asteroid Belt",POWER(Upgrades!$U$8,G252),1)*IF(Upgrades!$T$9="Asteroid Belt",POWER(Upgrades!$U$9,H252),1)*IF(Upgrades!$T$10="Asteroid Belt",POWER(Upgrades!$U$10,I252),1)*IF(Upgrades!$T$11="Asteroid Belt",POWER(Upgrades!$U$11,J252),1)*IF(Upgrades!$T$12="Asteroid Belt",POWER(Upgrades!$U$12,K252),1))+(IF(G252=0,0,(Upgrades!$G$8+G252*Upgrades!$H$8)*POWER(Upgrades!$I$8,G252)))*(IF(Upgrades!$T$6="Stellar Coupling",POWER(Upgrades!$U$6,E252),1)*IF(Upgrades!$T$7="Stellar Coupling",POWER(Upgrades!$U$7,F252),1)*IF(Upgrades!$T$9="Stellar Coupling",POWER(Upgrades!$U$9,H252),1)*IF(Upgrades!$T$10="Stellar Coupling",POWER(Upgrades!$U$10,I252),1)*IF(Upgrades!$T$11="Stellar Coupling",POWER(Upgrades!$U$11,J252),1)*IF(Upgrades!$T$12="Stellar Coupling",POWER(Upgrades!$U$12,K252),1))+(IF(H252=0,0,(Upgrades!$G$9+H252*Upgrades!$H$9)*POWER(Upgrades!$I$9,H252)))*(IF(Upgrades!$T$6="Magnetosphere",POWER(Upgrades!$U$6,E252),1)*IF(Upgrades!$T$7="Magnetosphere",POWER(Upgrades!$U$7,F252),1)*IF(Upgrades!$T$8="Magnetosphere",POWER(Upgrades!$U$8,G252),1)*IF(Upgrades!$T$10="Magnetosphere",POWER(Upgrades!$U$10,I252),1)*IF(Upgrades!$T$11="Magnetosphere",POWER(Upgrades!$U$11,J252),1)*IF(Upgrades!$T$12="Magnetosphere",POWER(Upgrades!$U$12,K252),1))+(IF(I252=0,0,(Upgrades!$G$10+I252*Upgrades!$H$10)*POWER(Upgrades!$I$10,I252)))*(IF(Upgrades!$T$6="Orbital Resonance",POWER(Upgrades!$U$6,E252),1)*IF(Upgrades!$T$7="Orbital Resonance",POWER(Upgrades!$U$7,F252),1)*IF(Upgrades!$T$8="Orbital Resonance",POWER(Upgrades!$U$8,G252),1)*IF(Upgrades!$T$9="Orbital Resonance",POWER(Upgrades!$U$9,H252),1)*IF(Upgrades!$T$11="Orbital Resonance",POWER(Upgrades!$U$11,J252),1)*IF(Upgrades!$T$12="Orbital Resonance",POWER(Upgrades!$U$12,K252),1))+(IF(J252=0,0,(Upgrades!$G$11+J252*Upgrades!$H$11)*POWER(Upgrades!$I$11,J252)))*(IF(Upgrades!$T$6="Heliopause",POWER(Upgrades!$U$6,E252),1)*IF(Upgrades!$T$7="Heliopause",POWER(Upgrades!$U$7,F252),1)*IF(Upgrades!$T$8="Heliopause",POWER(Upgrades!$U$8,G252),1)*IF(Upgrades!$T$9="Heliopause",POWER(Upgrades!$U$9,H252),1)*IF(Upgrades!$T$10="Heliopause",POWER(Upgrades!$U$10,I252),1)*IF(Upgrades!$T$12="Heliopause",POWER(Upgrades!$U$12,K252),1))+(IF(K252=0,0,(Upgrades!$G$12+K252*Upgrades!$H$12)*POWER(Upgrades!$I$12,K252)))*(IF(Upgrades!$T$6="First Photons",POWER(Upgrades!$U$6,E252),1)*IF(Upgrades!$T$7="First Photons",POWER(Upgrades!$U$7,F252),1)*IF(Upgrades!$T$8="First Photons",POWER(Upgrades!$U$8,G252),1)*IF(Upgrades!$T$9="First Photons",POWER(Upgrades!$U$9,H252),1)*IF(Upgrades!$T$10="First Photons",POWER(Upgrades!$U$10,I252),1)*IF(Upgrades!$T$11="First Photons",POWER(Upgrades!$U$11,J252),1)))*POWER(Upgrades!$P$6,E252)*POWER(Upgrades!$P$7,F252)*POWER(Upgrades!$P$8,G252)*POWER(Upgrades!$P$9,H252)*POWER(Upgrades!$P$10,I252)*POWER(Upgrades!$P$11,J252)*POWER(Upgrades!$P$12,K252)</f>
        <v/>
      </c>
      <c r="O252" s="28">
        <f>((IF(E252=0,0,(Upgrades!$M$6+E252*Upgrades!$N$6)*POWER(Upgrades!$O$6,E252)))*(IF(Upgrades!$T$7="Solar Wind",POWER(Upgrades!$U$7,F252),1)*IF(Upgrades!$T$8="Solar Wind",POWER(Upgrades!$U$8,G252),1)*IF(Upgrades!$T$9="Solar Wind",POWER(Upgrades!$U$9,H252),1)*IF(Upgrades!$T$10="Solar Wind",POWER(Upgrades!$U$10,I252),1)*IF(Upgrades!$T$11="Solar Wind",POWER(Upgrades!$U$11,J252),1)*IF(Upgrades!$T$12="Solar Wind",POWER(Upgrades!$U$12,K252),1))+(IF(F252=0,0,(Upgrades!$M$7+F252*Upgrades!$N$7)*POWER(Upgrades!$O$7,F252)))*(IF(Upgrades!$T$6="Asteroid Belt",POWER(Upgrades!$U$6,E252),1)*IF(Upgrades!$T$8="Asteroid Belt",POWER(Upgrades!$U$8,G252),1)*IF(Upgrades!$T$9="Asteroid Belt",POWER(Upgrades!$U$9,H252),1)*IF(Upgrades!$T$10="Asteroid Belt",POWER(Upgrades!$U$10,I252),1)*IF(Upgrades!$T$11="Asteroid Belt",POWER(Upgrades!$U$11,J252),1)*IF(Upgrades!$T$12="Asteroid Belt",POWER(Upgrades!$U$12,K252),1))+(IF(G252=0,0,(Upgrades!$M$8+G252*Upgrades!$N$8)*POWER(Upgrades!$O$8,G252)))*(IF(Upgrades!$T$6="Stellar Coupling",POWER(Upgrades!$U$6,E252),1)*IF(Upgrades!$T$7="Stellar Coupling",POWER(Upgrades!$U$7,F252),1)*IF(Upgrades!$T$9="Stellar Coupling",POWER(Upgrades!$U$9,H252),1)*IF(Upgrades!$T$10="Stellar Coupling",POWER(Upgrades!$U$10,I252),1)*IF(Upgrades!$T$11="Stellar Coupling",POWER(Upgrades!$U$11,J252),1)*IF(Upgrades!$T$12="Stellar Coupling",POWER(Upgrades!$U$12,K252),1))+(IF(H252=0,0,(Upgrades!$M$9+H252*Upgrades!$N$9)*POWER(Upgrades!$O$9,H252)))*(IF(Upgrades!$T$6="Magnetosphere",POWER(Upgrades!$U$6,E252),1)*IF(Upgrades!$T$7="Magnetosphere",POWER(Upgrades!$U$7,F252),1)*IF(Upgrades!$T$8="Magnetosphere",POWER(Upgrades!$U$8,G252),1)*IF(Upgrades!$T$10="Magnetosphere",POWER(Upgrades!$U$10,I252),1)*IF(Upgrades!$T$11="Magnetosphere",POWER(Upgrades!$U$11,J252),1)*IF(Upgrades!$T$12="Magnetosphere",POWER(Upgrades!$U$12,K252),1))+(IF(I252=0,0,(Upgrades!$M$10+I252*Upgrades!$N$10)*POWER(Upgrades!$O$10,I252)))*(IF(Upgrades!$T$6="Orbital Resonance",POWER(Upgrades!$U$6,E252),1)*IF(Upgrades!$T$7="Orbital Resonance",POWER(Upgrades!$U$7,F252),1)*IF(Upgrades!$T$8="Orbital Resonance",POWER(Upgrades!$U$8,G252),1)*IF(Upgrades!$T$9="Orbital Resonance",POWER(Upgrades!$U$9,H252),1)*IF(Upgrades!$T$11="Orbital Resonance",POWER(Upgrades!$U$11,J252),1)*IF(Upgrades!$T$12="Orbital Resonance",POWER(Upgrades!$U$12,K252),1))+(IF(J252=0,0,(Upgrades!$M$11+J252*Upgrades!$N$11)*POWER(Upgrades!$O$11,J252)))*(IF(Upgrades!$T$6="Heliopause",POWER(Upgrades!$U$6,E252),1)*IF(Upgrades!$T$7="Heliopause",POWER(Upgrades!$U$7,F252),1)*IF(Upgrades!$T$8="Heliopause",POWER(Upgrades!$U$8,G252),1)*IF(Upgrades!$T$9="Heliopause",POWER(Upgrades!$U$9,H252),1)*IF(Upgrades!$T$10="Heliopause",POWER(Upgrades!$U$10,I252),1)*IF(Upgrades!$T$12="Heliopause",POWER(Upgrades!$U$12,K252),1))+(IF(K252=0,0,(Upgrades!$M$12+K252*Upgrades!$N$12)*POWER(Upgrades!$O$12,K252)))*(IF(Upgrades!$T$6="First Photons",POWER(Upgrades!$U$6,E252),1)*IF(Upgrades!$T$7="First Photons",POWER(Upgrades!$U$7,F252),1)*IF(Upgrades!$T$8="First Photons",POWER(Upgrades!$U$8,G252),1)*IF(Upgrades!$T$9="First Photons",POWER(Upgrades!$U$9,H252),1)*IF(Upgrades!$T$10="First Photons",POWER(Upgrades!$U$10,I252),1)*IF(Upgrades!$T$11="First Photons",POWER(Upgrades!$U$11,J252),1)))*POWER(Upgrades!$R$6,E252)*POWER(Upgrades!$R$7,F252)*POWER(Upgrades!$R$8,G252)*POWER(Upgrades!$R$9,H252)*POWER(Upgrades!$R$10,I252)*POWER(Upgrades!$R$11,J252)*POWER(Upgrades!$R$12,K252)</f>
        <v/>
      </c>
      <c r="P252" s="27">
        <f>IF(L252=1,0,M252*Parameters!$B$10/60*Parameters!$B$11*10)</f>
        <v/>
      </c>
      <c r="Q252" s="27">
        <f>IF(L252=1,0,O252*M252*10)</f>
        <v/>
      </c>
      <c r="R252" s="27">
        <f>IF(L252=1,0,N252*10)</f>
        <v/>
      </c>
      <c r="S252" s="27">
        <f>P252+Q252+R252</f>
        <v/>
      </c>
      <c r="T252" s="22">
        <f>C252+S252</f>
        <v/>
      </c>
      <c r="U252" s="33">
        <f>AX252</f>
        <v/>
      </c>
      <c r="V252" s="22">
        <f>IF(U252="",0,IF(U252="transition",0,IF(U252="SW",AG252,IF(U252="AB",AH252,IF(U252="SC",AI252,IF(U252="Mag",AJ252,IF(U252="OR",AK252,IF(U252="HP",AL252,IF(U252="FP",AM252,0)))))))))</f>
        <v/>
      </c>
      <c r="W252" s="27">
        <f>IF(U252="OR",Upgrades!$F$10,IF(U252="HP",Upgrades!$F$11,IF(U252="transition",-Parameters!$B$18,0)))</f>
        <v/>
      </c>
      <c r="X252" s="22">
        <f>T252-V252</f>
        <v/>
      </c>
      <c r="Y252" s="30">
        <f>M252*Parameters!$B$10/60*Parameters!$B$11+O252*M252+N252</f>
        <v/>
      </c>
      <c r="Z252" s="34">
        <f>IF(U252="transition","→ Tier 2 (Stellar Neighborhood)",IF(U252="FP","First Photons — light begins, system quickens",IF(U252="HP","Heliopause acquired",IF(U252="OR","Orbital Resonance — passive multiplier active",IF(AND(AO252=1,L252=0,AN252&lt;&gt;1),"Cohesion ready (waiting on completionist upgrades)","")))))</f>
        <v/>
      </c>
      <c r="AA252" s="27">
        <f>(IF(E252=0,0,(Upgrades!$G$6+E252*Upgrades!$H$6)*POWER(Upgrades!$I$6,E252)))*(IF(Upgrades!$T$7="Solar Wind",POWER(Upgrades!$U$7,F252),1)*IF(Upgrades!$T$8="Solar Wind",POWER(Upgrades!$U$8,G252),1)*IF(Upgrades!$T$9="Solar Wind",POWER(Upgrades!$U$9,H252),1)*IF(Upgrades!$T$10="Solar Wind",POWER(Upgrades!$U$10,I252),1)*IF(Upgrades!$T$11="Solar Wind",POWER(Upgrades!$U$11,J252),1)*IF(Upgrades!$T$12="Solar Wind",POWER(Upgrades!$U$12,K252),1))*POWER(Upgrades!$P$6,E252)*POWER(Upgrades!$P$7,F252)*POWER(Upgrades!$P$8,G252)*POWER(Upgrades!$P$9,H252)*POWER(Upgrades!$P$10,I252)*POWER(Upgrades!$P$11,J252)*POWER(Upgrades!$P$12,K252)*60</f>
        <v/>
      </c>
      <c r="AB252" s="27">
        <f>(IF(F252=0,0,(Upgrades!$G$7+F252*Upgrades!$H$7)*POWER(Upgrades!$I$7,F252)))*(IF(Upgrades!$T$6="Asteroid Belt",POWER(Upgrades!$U$6,E252),1)*IF(Upgrades!$T$8="Asteroid Belt",POWER(Upgrades!$U$8,G252),1)*IF(Upgrades!$T$9="Asteroid Belt",POWER(Upgrades!$U$9,H252),1)*IF(Upgrades!$T$10="Asteroid Belt",POWER(Upgrades!$U$10,I252),1)*IF(Upgrades!$T$11="Asteroid Belt",POWER(Upgrades!$U$11,J252),1)*IF(Upgrades!$T$12="Asteroid Belt",POWER(Upgrades!$U$12,K252),1))*POWER(Upgrades!$P$6,E252)*POWER(Upgrades!$P$7,F252)*POWER(Upgrades!$P$8,G252)*POWER(Upgrades!$P$9,H252)*POWER(Upgrades!$P$10,I252)*POWER(Upgrades!$P$11,J252)*POWER(Upgrades!$P$12,K252)*60</f>
        <v/>
      </c>
      <c r="AC252" s="27">
        <f>(IF(G252=0,0,(Upgrades!$J$8+G252*Upgrades!$K$8)*POWER(Upgrades!$L$8,G252)))*(IF(Upgrades!$T$6="Stellar Coupling",POWER(Upgrades!$U$6,E252),1)*IF(Upgrades!$T$7="Stellar Coupling",POWER(Upgrades!$U$7,F252),1)*IF(Upgrades!$T$9="Stellar Coupling",POWER(Upgrades!$U$9,H252),1)*IF(Upgrades!$T$10="Stellar Coupling",POWER(Upgrades!$U$10,I252),1)*IF(Upgrades!$T$11="Stellar Coupling",POWER(Upgrades!$U$11,J252),1)*IF(Upgrades!$T$12="Stellar Coupling",POWER(Upgrades!$U$12,K252),1))*POWER(Upgrades!$Q$6,E252)*POWER(Upgrades!$Q$7,F252)*POWER(Upgrades!$Q$8,G252)*POWER(Upgrades!$Q$9,H252)*POWER(Upgrades!$Q$10,I252)*POWER(Upgrades!$Q$11,J252)*POWER(Upgrades!$Q$12,K252)*Parameters!$B$10*Parameters!$B$11</f>
        <v/>
      </c>
      <c r="AD252" s="27">
        <f>(IF(H252=0,0,(Upgrades!$G$9+H252*Upgrades!$H$9)*POWER(Upgrades!$I$9,H252)))*(IF(Upgrades!$T$6="Magnetosphere",POWER(Upgrades!$U$6,E252),1)*IF(Upgrades!$T$7="Magnetosphere",POWER(Upgrades!$U$7,F252),1)*IF(Upgrades!$T$8="Magnetosphere",POWER(Upgrades!$U$8,G252),1)*IF(Upgrades!$T$10="Magnetosphere",POWER(Upgrades!$U$10,I252),1)*IF(Upgrades!$T$11="Magnetosphere",POWER(Upgrades!$U$11,J252),1)*IF(Upgrades!$T$12="Magnetosphere",POWER(Upgrades!$U$12,K252),1))*POWER(Upgrades!$P$6,E252)*POWER(Upgrades!$P$7,F252)*POWER(Upgrades!$P$8,G252)*POWER(Upgrades!$P$9,H252)*POWER(Upgrades!$P$10,I252)*POWER(Upgrades!$P$11,J252)*POWER(Upgrades!$P$12,K252)*60</f>
        <v/>
      </c>
      <c r="AE252" s="27">
        <f>(IF(K252=0,0,(Upgrades!$G$12+K252*Upgrades!$H$12)*POWER(Upgrades!$I$12,K252)))*(IF(Upgrades!$T$6="First Photons",POWER(Upgrades!$U$6,E252),1)*IF(Upgrades!$T$7="First Photons",POWER(Upgrades!$U$7,F252),1)*IF(Upgrades!$T$8="First Photons",POWER(Upgrades!$U$8,G252),1)*IF(Upgrades!$T$9="First Photons",POWER(Upgrades!$U$9,H252),1)*IF(Upgrades!$T$10="First Photons",POWER(Upgrades!$U$10,I252),1)*IF(Upgrades!$T$11="First Photons",POWER(Upgrades!$U$11,J252),1))*POWER(Upgrades!$P$6,E252)*POWER(Upgrades!$P$7,F252)*POWER(Upgrades!$P$8,G252)*POWER(Upgrades!$P$9,H252)*POWER(Upgrades!$P$10,I252)*POWER(Upgrades!$P$11,J252)*POWER(Upgrades!$P$12,K252)*60</f>
        <v/>
      </c>
      <c r="AF252" s="27">
        <f>Parameters!$B$9*POWER(Upgrades!$Q$6,E252)*POWER(Upgrades!$Q$7,F252)*POWER(Upgrades!$Q$8,G252)*POWER(Upgrades!$Q$9,H252)*POWER(Upgrades!$Q$10,I252)*POWER(Upgrades!$Q$11,J252)*POWER(Upgrades!$Q$12,K252)*(Parameters!$B$10*Parameters!$B$11+O252*60)</f>
        <v/>
      </c>
      <c r="AG252" s="22">
        <f>IF(E252&gt;=Upgrades!$E$6,"",Upgrades!$C$6*POWER(Upgrades!$D$6,E252))</f>
        <v/>
      </c>
      <c r="AH252" s="22">
        <f>IF(F252&gt;=Upgrades!$E$7,"",Upgrades!$C$7*POWER(Upgrades!$D$7,F252))</f>
        <v/>
      </c>
      <c r="AI252" s="22">
        <f>IF(G252&gt;=Upgrades!$E$8,"",Upgrades!$C$8*POWER(Upgrades!$D$8,G252))</f>
        <v/>
      </c>
      <c r="AJ252" s="22">
        <f>IF(H252&gt;=Upgrades!$E$9,"",Upgrades!$C$9*POWER(Upgrades!$D$9,H252))</f>
        <v/>
      </c>
      <c r="AK252" s="22">
        <f>IF(I252&gt;=Upgrades!$E$10,"",Upgrades!$C$10*POWER(Upgrades!$D$10,I252))</f>
        <v/>
      </c>
      <c r="AL252" s="22">
        <f>IF(J252&gt;=Upgrades!$E$11,"",Upgrades!$C$11*POWER(Upgrades!$D$11,J252))</f>
        <v/>
      </c>
      <c r="AM252" s="22">
        <f>IF(K252&gt;=Upgrades!$E$12,"",Upgrades!$C$12*POWER(Upgrades!$D$12,K252))</f>
        <v/>
      </c>
      <c r="AN252" s="26">
        <f>IF(AND(D252&gt;=Parameters!$B$18,(H252&gt;=Upgrades!$E$9)*(K252&gt;=Upgrades!$E$12)=1,L252=0),1,"")</f>
        <v/>
      </c>
      <c r="AO252" s="26">
        <f>IF(AND(D252&gt;=Parameters!$B$18,L252=0),1,"")</f>
        <v/>
      </c>
      <c r="AP252" s="22">
        <f>MIN(IF(ISNUMBER(AK252),AK252,9E15),IF(ISNUMBER(AL252),AL252,9E15),IF(ISNUMBER(AM252),AM252,9E15))</f>
        <v/>
      </c>
      <c r="AQ252" s="22">
        <f>MIN(IF(ISNUMBER(AG252),AG252,9E15),IF(ISNUMBER(AH252),AH252,9E15),IF(ISNUMBER(AI252),AI252,9E15),IF(ISNUMBER(AJ252),AJ252,9E15))</f>
        <v/>
      </c>
      <c r="AR252" s="29">
        <f>IF(AW252&gt;Parameters!$B$21*(MAX(IF(AND(NOT(AND(AO252=1,AN252&lt;&gt;1)),ISNUMBER(AG252),AG252&lt;=T252),AS252,0),IF(AND(NOT(AND(AO252=1,AN252&lt;&gt;1)),ISNUMBER(AH252),AH252&lt;=T252),AT252,0),IF(AND(NOT(AND(AO252=1,AN252&lt;&gt;1)),ISNUMBER(AI252),AI252&lt;=T252),AU252,0),IF(AND(ISNUMBER(AJ252),AJ252&lt;=T252),AV252,0))),TRUE,FALSE)</f>
        <v/>
      </c>
      <c r="AS252" s="32">
        <f>IFERROR(Upgrades!$H$6*(POWER(Upgrades!$P$6,E252)*POWER(Upgrades!$P$7,F252)*POWER(Upgrades!$P$8,G252)*POWER(Upgrades!$P$9,H252)*POWER(Upgrades!$P$10,I252)*POWER(Upgrades!$P$11,J252)*POWER(Upgrades!$P$12,K252))*(IF(Upgrades!$T$7="Solar Wind",POWER(Upgrades!$U$7,F252),1)*IF(Upgrades!$T$8="Solar Wind",POWER(Upgrades!$U$8,G252),1)*IF(Upgrades!$T$9="Solar Wind",POWER(Upgrades!$U$9,H252),1)*IF(Upgrades!$T$10="Solar Wind",POWER(Upgrades!$U$10,I252),1)*IF(Upgrades!$T$11="Solar Wind",POWER(Upgrades!$U$11,J252),1)*IF(Upgrades!$T$12="Solar Wind",POWER(Upgrades!$U$12,K252),1))/AG252,0)</f>
        <v/>
      </c>
      <c r="AT252" s="32">
        <f>IFERROR(Upgrades!$H$7*(POWER(Upgrades!$P$6,E252)*POWER(Upgrades!$P$7,F252)*POWER(Upgrades!$P$8,G252)*POWER(Upgrades!$P$9,H252)*POWER(Upgrades!$P$10,I252)*POWER(Upgrades!$P$11,J252)*POWER(Upgrades!$P$12,K252))*(IF(Upgrades!$T$6="Asteroid Belt",POWER(Upgrades!$U$6,E252),1)*IF(Upgrades!$T$8="Asteroid Belt",POWER(Upgrades!$U$8,G252),1)*IF(Upgrades!$T$9="Asteroid Belt",POWER(Upgrades!$U$9,H252),1)*IF(Upgrades!$T$10="Asteroid Belt",POWER(Upgrades!$U$10,I252),1)*IF(Upgrades!$T$11="Asteroid Belt",POWER(Upgrades!$U$11,J252),1)*IF(Upgrades!$T$12="Asteroid Belt",POWER(Upgrades!$U$12,K252),1))/AH252,0)</f>
        <v/>
      </c>
      <c r="AU252" s="32">
        <f>IFERROR(Upgrades!$K$8*(POWER(Upgrades!$Q$6,E252)*POWER(Upgrades!$Q$7,F252)*POWER(Upgrades!$Q$8,G252)*POWER(Upgrades!$Q$9,H252)*POWER(Upgrades!$Q$10,I252)*POWER(Upgrades!$Q$11,J252)*POWER(Upgrades!$Q$12,K252))*(IF(Upgrades!$T$6="Stellar Coupling",POWER(Upgrades!$U$6,E252),1)*IF(Upgrades!$T$7="Stellar Coupling",POWER(Upgrades!$U$7,F252),1)*IF(Upgrades!$T$9="Stellar Coupling",POWER(Upgrades!$U$9,H252),1)*IF(Upgrades!$T$10="Stellar Coupling",POWER(Upgrades!$U$10,I252),1)*IF(Upgrades!$T$11="Stellar Coupling",POWER(Upgrades!$U$11,J252),1)*IF(Upgrades!$T$12="Stellar Coupling",POWER(Upgrades!$U$12,K252),1))*Parameters!$B$10*Parameters!$B$11/60/AI252,0)</f>
        <v/>
      </c>
      <c r="AV252" s="32">
        <f>IFERROR(Upgrades!$H$9*(POWER(Upgrades!$P$6,E252)*POWER(Upgrades!$P$7,F252)*POWER(Upgrades!$P$8,G252)*POWER(Upgrades!$P$9,H252)*POWER(Upgrades!$P$10,I252)*POWER(Upgrades!$P$11,J252)*POWER(Upgrades!$P$12,K252))*(IF(Upgrades!$T$6="Magnetosphere",POWER(Upgrades!$U$6,E252),1)*IF(Upgrades!$T$7="Magnetosphere",POWER(Upgrades!$U$7,F252),1)*IF(Upgrades!$T$8="Magnetosphere",POWER(Upgrades!$U$8,G252),1)*IF(Upgrades!$T$10="Magnetosphere",POWER(Upgrades!$U$10,I252),1)*IF(Upgrades!$T$11="Magnetosphere",POWER(Upgrades!$U$11,J252),1)*IF(Upgrades!$T$12="Magnetosphere",POWER(Upgrades!$U$12,K252),1))/AJ252,0)</f>
        <v/>
      </c>
      <c r="AW252" s="32">
        <f>MAX(IF(I252&gt;0,0,IFERROR(0.25*N252/Upgrades!$C$10,0)),IF(J252&gt;0,0,IFERROR(0.5*((IF(G252=0,0,(Upgrades!$J$8+G252*Upgrades!$K$8)*POWER(Upgrades!$L$8,G252)))*(IF(Upgrades!$T$6="Stellar Coupling",POWER(Upgrades!$U$6,E252),1)*IF(Upgrades!$T$7="Stellar Coupling",POWER(Upgrades!$U$7,F252),1)*IF(Upgrades!$T$9="Stellar Coupling",POWER(Upgrades!$U$9,H252),1)*IF(Upgrades!$T$10="Stellar Coupling",POWER(Upgrades!$U$10,I252),1)*IF(Upgrades!$T$11="Stellar Coupling",POWER(Upgrades!$U$11,J252),1)*IF(Upgrades!$T$12="Stellar Coupling",POWER(Upgrades!$U$12,K252),1))*(POWER(Upgrades!$Q$6,E252)*POWER(Upgrades!$Q$7,F252)*POWER(Upgrades!$Q$8,G252)*POWER(Upgrades!$Q$9,H252)*POWER(Upgrades!$Q$10,I252)*POWER(Upgrades!$Q$11,J252)*POWER(Upgrades!$Q$12,K252))*Parameters!$B$10*Parameters!$B$11/60)/Upgrades!$C$11,0)),IF(K252&gt;0,0,IFERROR((1.0*(POWER(Upgrades!$P$6,E252)*POWER(Upgrades!$P$7,F252)*POWER(Upgrades!$P$8,G252)*POWER(Upgrades!$P$9,H252)*POWER(Upgrades!$P$10,I252)*POWER(Upgrades!$P$11,J252)*POWER(Upgrades!$P$12,K252))+0.20*M252*Parameters!$B$10*Parameters!$B$11/60)/Upgrades!$C$12,0)),IF(AND(ISNUMBER(AG252),AG252&gt;T252),AS252,0),IF(AND(ISNUMBER(AH252),AH252&gt;T252),AT252,0),IF(AND(ISNUMBER(AI252),AI252&gt;T252),AU252,0),IF(AND(ISNUMBER(AJ252),AJ252&gt;T252),AV252,0))</f>
        <v/>
      </c>
      <c r="AX252" s="29">
        <f>IF(AN252=1,"transition",IF(MIN(IF(AND(I252=0,ISNUMBER(AK252),AK252&lt;=T252),AK252,9E15),IF(AND(J252=0,ISNUMBER(AL252),AL252&lt;=T252),AL252,9E15),IF(AND(K252=0,ISNUMBER(AM252),AM252&lt;=T252),AM252,9E15))&lt;9E15,IF(AND(AND(I252=0,ISNUMBER(AK252),AK252&lt;=T252),AK252=MIN(IF(AND(I252=0,ISNUMBER(AK252),AK252&lt;=T252),AK252,9E15),IF(AND(J252=0,ISNUMBER(AL252),AL252&lt;=T252),AL252,9E15),IF(AND(K252=0,ISNUMBER(AM252),AM252&lt;=T252),AM252,9E15))),"OR",IF(AND(AND(J252=0,ISNUMBER(AL252),AL252&lt;=T252),AL252=MIN(IF(AND(I252=0,ISNUMBER(AK252),AK252&lt;=T252),AK252,9E15),IF(AND(J252=0,ISNUMBER(AL252),AL252&lt;=T252),AL252,9E15),IF(AND(K252=0,ISNUMBER(AM252),AM252&lt;=T252),AM252,9E15))),"HP","FP")),IF(AR252=TRUE,"",IF(MAX(IF(AND(NOT(AND(AO252=1,AN252&lt;&gt;1)),ISNUMBER(AG252),AG252&lt;=T252),AS252,0),IF(AND(NOT(AND(AO252=1,AN252&lt;&gt;1)),ISNUMBER(AH252),AH252&lt;=T252),AT252,0),IF(AND(NOT(AND(AO252=1,AN252&lt;&gt;1)),ISNUMBER(AI252),AI252&lt;=T252),AU252,0),IF(AND(ISNUMBER(AJ252),AJ252&lt;=T252),AV252,0))&lt;=0,"",IF(AND(IF(AND(NOT(AND(AO252=1,AN252&lt;&gt;1)),ISNUMBER(AG252),AG252&lt;=T252),AS252,0)&gt;0,IF(AND(NOT(AND(AO252=1,AN252&lt;&gt;1)),ISNUMBER(AG252),AG252&lt;=T252),AS252,0)=MAX(IF(AND(NOT(AND(AO252=1,AN252&lt;&gt;1)),ISNUMBER(AG252),AG252&lt;=T252),AS252,0),IF(AND(NOT(AND(AO252=1,AN252&lt;&gt;1)),ISNUMBER(AH252),AH252&lt;=T252),AT252,0),IF(AND(NOT(AND(AO252=1,AN252&lt;&gt;1)),ISNUMBER(AI252),AI252&lt;=T252),AU252,0),IF(AND(ISNUMBER(AJ252),AJ252&lt;=T252),AV252,0))),"SW",IF(AND(IF(AND(NOT(AND(AO252=1,AN252&lt;&gt;1)),ISNUMBER(AH252),AH252&lt;=T252),AT252,0)&gt;0,IF(AND(NOT(AND(AO252=1,AN252&lt;&gt;1)),ISNUMBER(AH252),AH252&lt;=T252),AT252,0)=MAX(IF(AND(NOT(AND(AO252=1,AN252&lt;&gt;1)),ISNUMBER(AG252),AG252&lt;=T252),AS252,0),IF(AND(NOT(AND(AO252=1,AN252&lt;&gt;1)),ISNUMBER(AH252),AH252&lt;=T252),AT252,0),IF(AND(NOT(AND(AO252=1,AN252&lt;&gt;1)),ISNUMBER(AI252),AI252&lt;=T252),AU252,0),IF(AND(ISNUMBER(AJ252),AJ252&lt;=T252),AV252,0))),"AB",IF(AND(IF(AND(NOT(AND(AO252=1,AN252&lt;&gt;1)),ISNUMBER(AI252),AI252&lt;=T252),AU252,0)&gt;0,IF(AND(NOT(AND(AO252=1,AN252&lt;&gt;1)),ISNUMBER(AI252),AI252&lt;=T252),AU252,0)=MAX(IF(AND(NOT(AND(AO252=1,AN252&lt;&gt;1)),ISNUMBER(AG252),AG252&lt;=T252),AS252,0),IF(AND(NOT(AND(AO252=1,AN252&lt;&gt;1)),ISNUMBER(AH252),AH252&lt;=T252),AT252,0),IF(AND(NOT(AND(AO252=1,AN252&lt;&gt;1)),ISNUMBER(AI252),AI252&lt;=T252),AU252,0),IF(AND(ISNUMBER(AJ252),AJ252&lt;=T252),AV252,0))),"SC","Mag")))))))</f>
        <v/>
      </c>
    </row>
    <row r="253">
      <c r="A253" s="26" t="n">
        <v>248</v>
      </c>
      <c r="B253" s="27">
        <f>A253*10/60</f>
        <v/>
      </c>
      <c r="C253" s="22">
        <f>X252</f>
        <v/>
      </c>
      <c r="D253" s="27">
        <f>D252+W252</f>
        <v/>
      </c>
      <c r="E253" s="26">
        <f>E252+IF(U252="SW",1,0)</f>
        <v/>
      </c>
      <c r="F253" s="26">
        <f>F252+IF(U252="AB",1,0)</f>
        <v/>
      </c>
      <c r="G253" s="26">
        <f>G252+IF(U252="SC",1,0)</f>
        <v/>
      </c>
      <c r="H253" s="26">
        <f>H252+IF(U252="Mag",1,0)</f>
        <v/>
      </c>
      <c r="I253" s="26">
        <f>MAX(I252,IF(U252="OR",1,0))</f>
        <v/>
      </c>
      <c r="J253" s="26">
        <f>MAX(J252,IF(U252="HP",1,0))</f>
        <v/>
      </c>
      <c r="K253" s="26">
        <f>MAX(K252,IF(U252="FP",1,0))</f>
        <v/>
      </c>
      <c r="L253" s="26">
        <f>MAX(L252,IF(U252="transition",1,0))</f>
        <v/>
      </c>
      <c r="M253" s="28">
        <f>(Parameters!$B$9+(IF(E253=0,0,(Upgrades!$J$6+E253*Upgrades!$K$6)*POWER(Upgrades!$L$6,E253)))*(IF(Upgrades!$T$7="Solar Wind",POWER(Upgrades!$U$7,F253),1)*IF(Upgrades!$T$8="Solar Wind",POWER(Upgrades!$U$8,G253),1)*IF(Upgrades!$T$9="Solar Wind",POWER(Upgrades!$U$9,H253),1)*IF(Upgrades!$T$10="Solar Wind",POWER(Upgrades!$U$10,I253),1)*IF(Upgrades!$T$11="Solar Wind",POWER(Upgrades!$U$11,J253),1)*IF(Upgrades!$T$12="Solar Wind",POWER(Upgrades!$U$12,K253),1))+(IF(F253=0,0,(Upgrades!$J$7+F253*Upgrades!$K$7)*POWER(Upgrades!$L$7,F253)))*(IF(Upgrades!$T$6="Asteroid Belt",POWER(Upgrades!$U$6,E253),1)*IF(Upgrades!$T$8="Asteroid Belt",POWER(Upgrades!$U$8,G253),1)*IF(Upgrades!$T$9="Asteroid Belt",POWER(Upgrades!$U$9,H253),1)*IF(Upgrades!$T$10="Asteroid Belt",POWER(Upgrades!$U$10,I253),1)*IF(Upgrades!$T$11="Asteroid Belt",POWER(Upgrades!$U$11,J253),1)*IF(Upgrades!$T$12="Asteroid Belt",POWER(Upgrades!$U$12,K253),1))+(IF(G253=0,0,(Upgrades!$J$8+G253*Upgrades!$K$8)*POWER(Upgrades!$L$8,G253)))*(IF(Upgrades!$T$6="Stellar Coupling",POWER(Upgrades!$U$6,E253),1)*IF(Upgrades!$T$7="Stellar Coupling",POWER(Upgrades!$U$7,F253),1)*IF(Upgrades!$T$9="Stellar Coupling",POWER(Upgrades!$U$9,H253),1)*IF(Upgrades!$T$10="Stellar Coupling",POWER(Upgrades!$U$10,I253),1)*IF(Upgrades!$T$11="Stellar Coupling",POWER(Upgrades!$U$11,J253),1)*IF(Upgrades!$T$12="Stellar Coupling",POWER(Upgrades!$U$12,K253),1))+(IF(H253=0,0,(Upgrades!$J$9+H253*Upgrades!$K$9)*POWER(Upgrades!$L$9,H253)))*(IF(Upgrades!$T$6="Magnetosphere",POWER(Upgrades!$U$6,E253),1)*IF(Upgrades!$T$7="Magnetosphere",POWER(Upgrades!$U$7,F253),1)*IF(Upgrades!$T$8="Magnetosphere",POWER(Upgrades!$U$8,G253),1)*IF(Upgrades!$T$10="Magnetosphere",POWER(Upgrades!$U$10,I253),1)*IF(Upgrades!$T$11="Magnetosphere",POWER(Upgrades!$U$11,J253),1)*IF(Upgrades!$T$12="Magnetosphere",POWER(Upgrades!$U$12,K253),1))+(IF(I253=0,0,(Upgrades!$J$10+I253*Upgrades!$K$10)*POWER(Upgrades!$L$10,I253)))*(IF(Upgrades!$T$6="Orbital Resonance",POWER(Upgrades!$U$6,E253),1)*IF(Upgrades!$T$7="Orbital Resonance",POWER(Upgrades!$U$7,F253),1)*IF(Upgrades!$T$8="Orbital Resonance",POWER(Upgrades!$U$8,G253),1)*IF(Upgrades!$T$9="Orbital Resonance",POWER(Upgrades!$U$9,H253),1)*IF(Upgrades!$T$11="Orbital Resonance",POWER(Upgrades!$U$11,J253),1)*IF(Upgrades!$T$12="Orbital Resonance",POWER(Upgrades!$U$12,K253),1))+(IF(J253=0,0,(Upgrades!$J$11+J253*Upgrades!$K$11)*POWER(Upgrades!$L$11,J253)))*(IF(Upgrades!$T$6="Heliopause",POWER(Upgrades!$U$6,E253),1)*IF(Upgrades!$T$7="Heliopause",POWER(Upgrades!$U$7,F253),1)*IF(Upgrades!$T$8="Heliopause",POWER(Upgrades!$U$8,G253),1)*IF(Upgrades!$T$9="Heliopause",POWER(Upgrades!$U$9,H253),1)*IF(Upgrades!$T$10="Heliopause",POWER(Upgrades!$U$10,I253),1)*IF(Upgrades!$T$12="Heliopause",POWER(Upgrades!$U$12,K253),1))+(IF(K253=0,0,(Upgrades!$J$12+K253*Upgrades!$K$12)*POWER(Upgrades!$L$12,K253)))*(IF(Upgrades!$T$6="First Photons",POWER(Upgrades!$U$6,E253),1)*IF(Upgrades!$T$7="First Photons",POWER(Upgrades!$U$7,F253),1)*IF(Upgrades!$T$8="First Photons",POWER(Upgrades!$U$8,G253),1)*IF(Upgrades!$T$9="First Photons",POWER(Upgrades!$U$9,H253),1)*IF(Upgrades!$T$10="First Photons",POWER(Upgrades!$U$10,I253),1)*IF(Upgrades!$T$11="First Photons",POWER(Upgrades!$U$11,J253),1)))*POWER(Upgrades!$Q$6,E253)*POWER(Upgrades!$Q$7,F253)*POWER(Upgrades!$Q$8,G253)*POWER(Upgrades!$Q$9,H253)*POWER(Upgrades!$Q$10,I253)*POWER(Upgrades!$Q$11,J253)*POWER(Upgrades!$Q$12,K253)</f>
        <v/>
      </c>
      <c r="N253" s="28">
        <f>((IF(E253=0,0,(Upgrades!$G$6+E253*Upgrades!$H$6)*POWER(Upgrades!$I$6,E253)))*(IF(Upgrades!$T$7="Solar Wind",POWER(Upgrades!$U$7,F253),1)*IF(Upgrades!$T$8="Solar Wind",POWER(Upgrades!$U$8,G253),1)*IF(Upgrades!$T$9="Solar Wind",POWER(Upgrades!$U$9,H253),1)*IF(Upgrades!$T$10="Solar Wind",POWER(Upgrades!$U$10,I253),1)*IF(Upgrades!$T$11="Solar Wind",POWER(Upgrades!$U$11,J253),1)*IF(Upgrades!$T$12="Solar Wind",POWER(Upgrades!$U$12,K253),1))+(IF(F253=0,0,(Upgrades!$G$7+F253*Upgrades!$H$7)*POWER(Upgrades!$I$7,F253)))*(IF(Upgrades!$T$6="Asteroid Belt",POWER(Upgrades!$U$6,E253),1)*IF(Upgrades!$T$8="Asteroid Belt",POWER(Upgrades!$U$8,G253),1)*IF(Upgrades!$T$9="Asteroid Belt",POWER(Upgrades!$U$9,H253),1)*IF(Upgrades!$T$10="Asteroid Belt",POWER(Upgrades!$U$10,I253),1)*IF(Upgrades!$T$11="Asteroid Belt",POWER(Upgrades!$U$11,J253),1)*IF(Upgrades!$T$12="Asteroid Belt",POWER(Upgrades!$U$12,K253),1))+(IF(G253=0,0,(Upgrades!$G$8+G253*Upgrades!$H$8)*POWER(Upgrades!$I$8,G253)))*(IF(Upgrades!$T$6="Stellar Coupling",POWER(Upgrades!$U$6,E253),1)*IF(Upgrades!$T$7="Stellar Coupling",POWER(Upgrades!$U$7,F253),1)*IF(Upgrades!$T$9="Stellar Coupling",POWER(Upgrades!$U$9,H253),1)*IF(Upgrades!$T$10="Stellar Coupling",POWER(Upgrades!$U$10,I253),1)*IF(Upgrades!$T$11="Stellar Coupling",POWER(Upgrades!$U$11,J253),1)*IF(Upgrades!$T$12="Stellar Coupling",POWER(Upgrades!$U$12,K253),1))+(IF(H253=0,0,(Upgrades!$G$9+H253*Upgrades!$H$9)*POWER(Upgrades!$I$9,H253)))*(IF(Upgrades!$T$6="Magnetosphere",POWER(Upgrades!$U$6,E253),1)*IF(Upgrades!$T$7="Magnetosphere",POWER(Upgrades!$U$7,F253),1)*IF(Upgrades!$T$8="Magnetosphere",POWER(Upgrades!$U$8,G253),1)*IF(Upgrades!$T$10="Magnetosphere",POWER(Upgrades!$U$10,I253),1)*IF(Upgrades!$T$11="Magnetosphere",POWER(Upgrades!$U$11,J253),1)*IF(Upgrades!$T$12="Magnetosphere",POWER(Upgrades!$U$12,K253),1))+(IF(I253=0,0,(Upgrades!$G$10+I253*Upgrades!$H$10)*POWER(Upgrades!$I$10,I253)))*(IF(Upgrades!$T$6="Orbital Resonance",POWER(Upgrades!$U$6,E253),1)*IF(Upgrades!$T$7="Orbital Resonance",POWER(Upgrades!$U$7,F253),1)*IF(Upgrades!$T$8="Orbital Resonance",POWER(Upgrades!$U$8,G253),1)*IF(Upgrades!$T$9="Orbital Resonance",POWER(Upgrades!$U$9,H253),1)*IF(Upgrades!$T$11="Orbital Resonance",POWER(Upgrades!$U$11,J253),1)*IF(Upgrades!$T$12="Orbital Resonance",POWER(Upgrades!$U$12,K253),1))+(IF(J253=0,0,(Upgrades!$G$11+J253*Upgrades!$H$11)*POWER(Upgrades!$I$11,J253)))*(IF(Upgrades!$T$6="Heliopause",POWER(Upgrades!$U$6,E253),1)*IF(Upgrades!$T$7="Heliopause",POWER(Upgrades!$U$7,F253),1)*IF(Upgrades!$T$8="Heliopause",POWER(Upgrades!$U$8,G253),1)*IF(Upgrades!$T$9="Heliopause",POWER(Upgrades!$U$9,H253),1)*IF(Upgrades!$T$10="Heliopause",POWER(Upgrades!$U$10,I253),1)*IF(Upgrades!$T$12="Heliopause",POWER(Upgrades!$U$12,K253),1))+(IF(K253=0,0,(Upgrades!$G$12+K253*Upgrades!$H$12)*POWER(Upgrades!$I$12,K253)))*(IF(Upgrades!$T$6="First Photons",POWER(Upgrades!$U$6,E253),1)*IF(Upgrades!$T$7="First Photons",POWER(Upgrades!$U$7,F253),1)*IF(Upgrades!$T$8="First Photons",POWER(Upgrades!$U$8,G253),1)*IF(Upgrades!$T$9="First Photons",POWER(Upgrades!$U$9,H253),1)*IF(Upgrades!$T$10="First Photons",POWER(Upgrades!$U$10,I253),1)*IF(Upgrades!$T$11="First Photons",POWER(Upgrades!$U$11,J253),1)))*POWER(Upgrades!$P$6,E253)*POWER(Upgrades!$P$7,F253)*POWER(Upgrades!$P$8,G253)*POWER(Upgrades!$P$9,H253)*POWER(Upgrades!$P$10,I253)*POWER(Upgrades!$P$11,J253)*POWER(Upgrades!$P$12,K253)</f>
        <v/>
      </c>
      <c r="O253" s="28">
        <f>((IF(E253=0,0,(Upgrades!$M$6+E253*Upgrades!$N$6)*POWER(Upgrades!$O$6,E253)))*(IF(Upgrades!$T$7="Solar Wind",POWER(Upgrades!$U$7,F253),1)*IF(Upgrades!$T$8="Solar Wind",POWER(Upgrades!$U$8,G253),1)*IF(Upgrades!$T$9="Solar Wind",POWER(Upgrades!$U$9,H253),1)*IF(Upgrades!$T$10="Solar Wind",POWER(Upgrades!$U$10,I253),1)*IF(Upgrades!$T$11="Solar Wind",POWER(Upgrades!$U$11,J253),1)*IF(Upgrades!$T$12="Solar Wind",POWER(Upgrades!$U$12,K253),1))+(IF(F253=0,0,(Upgrades!$M$7+F253*Upgrades!$N$7)*POWER(Upgrades!$O$7,F253)))*(IF(Upgrades!$T$6="Asteroid Belt",POWER(Upgrades!$U$6,E253),1)*IF(Upgrades!$T$8="Asteroid Belt",POWER(Upgrades!$U$8,G253),1)*IF(Upgrades!$T$9="Asteroid Belt",POWER(Upgrades!$U$9,H253),1)*IF(Upgrades!$T$10="Asteroid Belt",POWER(Upgrades!$U$10,I253),1)*IF(Upgrades!$T$11="Asteroid Belt",POWER(Upgrades!$U$11,J253),1)*IF(Upgrades!$T$12="Asteroid Belt",POWER(Upgrades!$U$12,K253),1))+(IF(G253=0,0,(Upgrades!$M$8+G253*Upgrades!$N$8)*POWER(Upgrades!$O$8,G253)))*(IF(Upgrades!$T$6="Stellar Coupling",POWER(Upgrades!$U$6,E253),1)*IF(Upgrades!$T$7="Stellar Coupling",POWER(Upgrades!$U$7,F253),1)*IF(Upgrades!$T$9="Stellar Coupling",POWER(Upgrades!$U$9,H253),1)*IF(Upgrades!$T$10="Stellar Coupling",POWER(Upgrades!$U$10,I253),1)*IF(Upgrades!$T$11="Stellar Coupling",POWER(Upgrades!$U$11,J253),1)*IF(Upgrades!$T$12="Stellar Coupling",POWER(Upgrades!$U$12,K253),1))+(IF(H253=0,0,(Upgrades!$M$9+H253*Upgrades!$N$9)*POWER(Upgrades!$O$9,H253)))*(IF(Upgrades!$T$6="Magnetosphere",POWER(Upgrades!$U$6,E253),1)*IF(Upgrades!$T$7="Magnetosphere",POWER(Upgrades!$U$7,F253),1)*IF(Upgrades!$T$8="Magnetosphere",POWER(Upgrades!$U$8,G253),1)*IF(Upgrades!$T$10="Magnetosphere",POWER(Upgrades!$U$10,I253),1)*IF(Upgrades!$T$11="Magnetosphere",POWER(Upgrades!$U$11,J253),1)*IF(Upgrades!$T$12="Magnetosphere",POWER(Upgrades!$U$12,K253),1))+(IF(I253=0,0,(Upgrades!$M$10+I253*Upgrades!$N$10)*POWER(Upgrades!$O$10,I253)))*(IF(Upgrades!$T$6="Orbital Resonance",POWER(Upgrades!$U$6,E253),1)*IF(Upgrades!$T$7="Orbital Resonance",POWER(Upgrades!$U$7,F253),1)*IF(Upgrades!$T$8="Orbital Resonance",POWER(Upgrades!$U$8,G253),1)*IF(Upgrades!$T$9="Orbital Resonance",POWER(Upgrades!$U$9,H253),1)*IF(Upgrades!$T$11="Orbital Resonance",POWER(Upgrades!$U$11,J253),1)*IF(Upgrades!$T$12="Orbital Resonance",POWER(Upgrades!$U$12,K253),1))+(IF(J253=0,0,(Upgrades!$M$11+J253*Upgrades!$N$11)*POWER(Upgrades!$O$11,J253)))*(IF(Upgrades!$T$6="Heliopause",POWER(Upgrades!$U$6,E253),1)*IF(Upgrades!$T$7="Heliopause",POWER(Upgrades!$U$7,F253),1)*IF(Upgrades!$T$8="Heliopause",POWER(Upgrades!$U$8,G253),1)*IF(Upgrades!$T$9="Heliopause",POWER(Upgrades!$U$9,H253),1)*IF(Upgrades!$T$10="Heliopause",POWER(Upgrades!$U$10,I253),1)*IF(Upgrades!$T$12="Heliopause",POWER(Upgrades!$U$12,K253),1))+(IF(K253=0,0,(Upgrades!$M$12+K253*Upgrades!$N$12)*POWER(Upgrades!$O$12,K253)))*(IF(Upgrades!$T$6="First Photons",POWER(Upgrades!$U$6,E253),1)*IF(Upgrades!$T$7="First Photons",POWER(Upgrades!$U$7,F253),1)*IF(Upgrades!$T$8="First Photons",POWER(Upgrades!$U$8,G253),1)*IF(Upgrades!$T$9="First Photons",POWER(Upgrades!$U$9,H253),1)*IF(Upgrades!$T$10="First Photons",POWER(Upgrades!$U$10,I253),1)*IF(Upgrades!$T$11="First Photons",POWER(Upgrades!$U$11,J253),1)))*POWER(Upgrades!$R$6,E253)*POWER(Upgrades!$R$7,F253)*POWER(Upgrades!$R$8,G253)*POWER(Upgrades!$R$9,H253)*POWER(Upgrades!$R$10,I253)*POWER(Upgrades!$R$11,J253)*POWER(Upgrades!$R$12,K253)</f>
        <v/>
      </c>
      <c r="P253" s="27">
        <f>IF(L253=1,0,M253*Parameters!$B$10/60*Parameters!$B$11*10)</f>
        <v/>
      </c>
      <c r="Q253" s="27">
        <f>IF(L253=1,0,O253*M253*10)</f>
        <v/>
      </c>
      <c r="R253" s="27">
        <f>IF(L253=1,0,N253*10)</f>
        <v/>
      </c>
      <c r="S253" s="27">
        <f>P253+Q253+R253</f>
        <v/>
      </c>
      <c r="T253" s="22">
        <f>C253+S253</f>
        <v/>
      </c>
      <c r="U253" s="33">
        <f>AX253</f>
        <v/>
      </c>
      <c r="V253" s="22">
        <f>IF(U253="",0,IF(U253="transition",0,IF(U253="SW",AG253,IF(U253="AB",AH253,IF(U253="SC",AI253,IF(U253="Mag",AJ253,IF(U253="OR",AK253,IF(U253="HP",AL253,IF(U253="FP",AM253,0)))))))))</f>
        <v/>
      </c>
      <c r="W253" s="27">
        <f>IF(U253="OR",Upgrades!$F$10,IF(U253="HP",Upgrades!$F$11,IF(U253="transition",-Parameters!$B$18,0)))</f>
        <v/>
      </c>
      <c r="X253" s="22">
        <f>T253-V253</f>
        <v/>
      </c>
      <c r="Y253" s="30">
        <f>M253*Parameters!$B$10/60*Parameters!$B$11+O253*M253+N253</f>
        <v/>
      </c>
      <c r="Z253" s="34">
        <f>IF(U253="transition","→ Tier 2 (Stellar Neighborhood)",IF(U253="FP","First Photons — light begins, system quickens",IF(U253="HP","Heliopause acquired",IF(U253="OR","Orbital Resonance — passive multiplier active",IF(AND(AO253=1,L253=0,AN253&lt;&gt;1),"Cohesion ready (waiting on completionist upgrades)","")))))</f>
        <v/>
      </c>
      <c r="AA253" s="27">
        <f>(IF(E253=0,0,(Upgrades!$G$6+E253*Upgrades!$H$6)*POWER(Upgrades!$I$6,E253)))*(IF(Upgrades!$T$7="Solar Wind",POWER(Upgrades!$U$7,F253),1)*IF(Upgrades!$T$8="Solar Wind",POWER(Upgrades!$U$8,G253),1)*IF(Upgrades!$T$9="Solar Wind",POWER(Upgrades!$U$9,H253),1)*IF(Upgrades!$T$10="Solar Wind",POWER(Upgrades!$U$10,I253),1)*IF(Upgrades!$T$11="Solar Wind",POWER(Upgrades!$U$11,J253),1)*IF(Upgrades!$T$12="Solar Wind",POWER(Upgrades!$U$12,K253),1))*POWER(Upgrades!$P$6,E253)*POWER(Upgrades!$P$7,F253)*POWER(Upgrades!$P$8,G253)*POWER(Upgrades!$P$9,H253)*POWER(Upgrades!$P$10,I253)*POWER(Upgrades!$P$11,J253)*POWER(Upgrades!$P$12,K253)*60</f>
        <v/>
      </c>
      <c r="AB253" s="27">
        <f>(IF(F253=0,0,(Upgrades!$G$7+F253*Upgrades!$H$7)*POWER(Upgrades!$I$7,F253)))*(IF(Upgrades!$T$6="Asteroid Belt",POWER(Upgrades!$U$6,E253),1)*IF(Upgrades!$T$8="Asteroid Belt",POWER(Upgrades!$U$8,G253),1)*IF(Upgrades!$T$9="Asteroid Belt",POWER(Upgrades!$U$9,H253),1)*IF(Upgrades!$T$10="Asteroid Belt",POWER(Upgrades!$U$10,I253),1)*IF(Upgrades!$T$11="Asteroid Belt",POWER(Upgrades!$U$11,J253),1)*IF(Upgrades!$T$12="Asteroid Belt",POWER(Upgrades!$U$12,K253),1))*POWER(Upgrades!$P$6,E253)*POWER(Upgrades!$P$7,F253)*POWER(Upgrades!$P$8,G253)*POWER(Upgrades!$P$9,H253)*POWER(Upgrades!$P$10,I253)*POWER(Upgrades!$P$11,J253)*POWER(Upgrades!$P$12,K253)*60</f>
        <v/>
      </c>
      <c r="AC253" s="27">
        <f>(IF(G253=0,0,(Upgrades!$J$8+G253*Upgrades!$K$8)*POWER(Upgrades!$L$8,G253)))*(IF(Upgrades!$T$6="Stellar Coupling",POWER(Upgrades!$U$6,E253),1)*IF(Upgrades!$T$7="Stellar Coupling",POWER(Upgrades!$U$7,F253),1)*IF(Upgrades!$T$9="Stellar Coupling",POWER(Upgrades!$U$9,H253),1)*IF(Upgrades!$T$10="Stellar Coupling",POWER(Upgrades!$U$10,I253),1)*IF(Upgrades!$T$11="Stellar Coupling",POWER(Upgrades!$U$11,J253),1)*IF(Upgrades!$T$12="Stellar Coupling",POWER(Upgrades!$U$12,K253),1))*POWER(Upgrades!$Q$6,E253)*POWER(Upgrades!$Q$7,F253)*POWER(Upgrades!$Q$8,G253)*POWER(Upgrades!$Q$9,H253)*POWER(Upgrades!$Q$10,I253)*POWER(Upgrades!$Q$11,J253)*POWER(Upgrades!$Q$12,K253)*Parameters!$B$10*Parameters!$B$11</f>
        <v/>
      </c>
      <c r="AD253" s="27">
        <f>(IF(H253=0,0,(Upgrades!$G$9+H253*Upgrades!$H$9)*POWER(Upgrades!$I$9,H253)))*(IF(Upgrades!$T$6="Magnetosphere",POWER(Upgrades!$U$6,E253),1)*IF(Upgrades!$T$7="Magnetosphere",POWER(Upgrades!$U$7,F253),1)*IF(Upgrades!$T$8="Magnetosphere",POWER(Upgrades!$U$8,G253),1)*IF(Upgrades!$T$10="Magnetosphere",POWER(Upgrades!$U$10,I253),1)*IF(Upgrades!$T$11="Magnetosphere",POWER(Upgrades!$U$11,J253),1)*IF(Upgrades!$T$12="Magnetosphere",POWER(Upgrades!$U$12,K253),1))*POWER(Upgrades!$P$6,E253)*POWER(Upgrades!$P$7,F253)*POWER(Upgrades!$P$8,G253)*POWER(Upgrades!$P$9,H253)*POWER(Upgrades!$P$10,I253)*POWER(Upgrades!$P$11,J253)*POWER(Upgrades!$P$12,K253)*60</f>
        <v/>
      </c>
      <c r="AE253" s="27">
        <f>(IF(K253=0,0,(Upgrades!$G$12+K253*Upgrades!$H$12)*POWER(Upgrades!$I$12,K253)))*(IF(Upgrades!$T$6="First Photons",POWER(Upgrades!$U$6,E253),1)*IF(Upgrades!$T$7="First Photons",POWER(Upgrades!$U$7,F253),1)*IF(Upgrades!$T$8="First Photons",POWER(Upgrades!$U$8,G253),1)*IF(Upgrades!$T$9="First Photons",POWER(Upgrades!$U$9,H253),1)*IF(Upgrades!$T$10="First Photons",POWER(Upgrades!$U$10,I253),1)*IF(Upgrades!$T$11="First Photons",POWER(Upgrades!$U$11,J253),1))*POWER(Upgrades!$P$6,E253)*POWER(Upgrades!$P$7,F253)*POWER(Upgrades!$P$8,G253)*POWER(Upgrades!$P$9,H253)*POWER(Upgrades!$P$10,I253)*POWER(Upgrades!$P$11,J253)*POWER(Upgrades!$P$12,K253)*60</f>
        <v/>
      </c>
      <c r="AF253" s="27">
        <f>Parameters!$B$9*POWER(Upgrades!$Q$6,E253)*POWER(Upgrades!$Q$7,F253)*POWER(Upgrades!$Q$8,G253)*POWER(Upgrades!$Q$9,H253)*POWER(Upgrades!$Q$10,I253)*POWER(Upgrades!$Q$11,J253)*POWER(Upgrades!$Q$12,K253)*(Parameters!$B$10*Parameters!$B$11+O253*60)</f>
        <v/>
      </c>
      <c r="AG253" s="22">
        <f>IF(E253&gt;=Upgrades!$E$6,"",Upgrades!$C$6*POWER(Upgrades!$D$6,E253))</f>
        <v/>
      </c>
      <c r="AH253" s="22">
        <f>IF(F253&gt;=Upgrades!$E$7,"",Upgrades!$C$7*POWER(Upgrades!$D$7,F253))</f>
        <v/>
      </c>
      <c r="AI253" s="22">
        <f>IF(G253&gt;=Upgrades!$E$8,"",Upgrades!$C$8*POWER(Upgrades!$D$8,G253))</f>
        <v/>
      </c>
      <c r="AJ253" s="22">
        <f>IF(H253&gt;=Upgrades!$E$9,"",Upgrades!$C$9*POWER(Upgrades!$D$9,H253))</f>
        <v/>
      </c>
      <c r="AK253" s="22">
        <f>IF(I253&gt;=Upgrades!$E$10,"",Upgrades!$C$10*POWER(Upgrades!$D$10,I253))</f>
        <v/>
      </c>
      <c r="AL253" s="22">
        <f>IF(J253&gt;=Upgrades!$E$11,"",Upgrades!$C$11*POWER(Upgrades!$D$11,J253))</f>
        <v/>
      </c>
      <c r="AM253" s="22">
        <f>IF(K253&gt;=Upgrades!$E$12,"",Upgrades!$C$12*POWER(Upgrades!$D$12,K253))</f>
        <v/>
      </c>
      <c r="AN253" s="26">
        <f>IF(AND(D253&gt;=Parameters!$B$18,(H253&gt;=Upgrades!$E$9)*(K253&gt;=Upgrades!$E$12)=1,L253=0),1,"")</f>
        <v/>
      </c>
      <c r="AO253" s="26">
        <f>IF(AND(D253&gt;=Parameters!$B$18,L253=0),1,"")</f>
        <v/>
      </c>
      <c r="AP253" s="22">
        <f>MIN(IF(ISNUMBER(AK253),AK253,9E15),IF(ISNUMBER(AL253),AL253,9E15),IF(ISNUMBER(AM253),AM253,9E15))</f>
        <v/>
      </c>
      <c r="AQ253" s="22">
        <f>MIN(IF(ISNUMBER(AG253),AG253,9E15),IF(ISNUMBER(AH253),AH253,9E15),IF(ISNUMBER(AI253),AI253,9E15),IF(ISNUMBER(AJ253),AJ253,9E15))</f>
        <v/>
      </c>
      <c r="AR253" s="29">
        <f>IF(AW253&gt;Parameters!$B$21*(MAX(IF(AND(NOT(AND(AO253=1,AN253&lt;&gt;1)),ISNUMBER(AG253),AG253&lt;=T253),AS253,0),IF(AND(NOT(AND(AO253=1,AN253&lt;&gt;1)),ISNUMBER(AH253),AH253&lt;=T253),AT253,0),IF(AND(NOT(AND(AO253=1,AN253&lt;&gt;1)),ISNUMBER(AI253),AI253&lt;=T253),AU253,0),IF(AND(ISNUMBER(AJ253),AJ253&lt;=T253),AV253,0))),TRUE,FALSE)</f>
        <v/>
      </c>
      <c r="AS253" s="32">
        <f>IFERROR(Upgrades!$H$6*(POWER(Upgrades!$P$6,E253)*POWER(Upgrades!$P$7,F253)*POWER(Upgrades!$P$8,G253)*POWER(Upgrades!$P$9,H253)*POWER(Upgrades!$P$10,I253)*POWER(Upgrades!$P$11,J253)*POWER(Upgrades!$P$12,K253))*(IF(Upgrades!$T$7="Solar Wind",POWER(Upgrades!$U$7,F253),1)*IF(Upgrades!$T$8="Solar Wind",POWER(Upgrades!$U$8,G253),1)*IF(Upgrades!$T$9="Solar Wind",POWER(Upgrades!$U$9,H253),1)*IF(Upgrades!$T$10="Solar Wind",POWER(Upgrades!$U$10,I253),1)*IF(Upgrades!$T$11="Solar Wind",POWER(Upgrades!$U$11,J253),1)*IF(Upgrades!$T$12="Solar Wind",POWER(Upgrades!$U$12,K253),1))/AG253,0)</f>
        <v/>
      </c>
      <c r="AT253" s="32">
        <f>IFERROR(Upgrades!$H$7*(POWER(Upgrades!$P$6,E253)*POWER(Upgrades!$P$7,F253)*POWER(Upgrades!$P$8,G253)*POWER(Upgrades!$P$9,H253)*POWER(Upgrades!$P$10,I253)*POWER(Upgrades!$P$11,J253)*POWER(Upgrades!$P$12,K253))*(IF(Upgrades!$T$6="Asteroid Belt",POWER(Upgrades!$U$6,E253),1)*IF(Upgrades!$T$8="Asteroid Belt",POWER(Upgrades!$U$8,G253),1)*IF(Upgrades!$T$9="Asteroid Belt",POWER(Upgrades!$U$9,H253),1)*IF(Upgrades!$T$10="Asteroid Belt",POWER(Upgrades!$U$10,I253),1)*IF(Upgrades!$T$11="Asteroid Belt",POWER(Upgrades!$U$11,J253),1)*IF(Upgrades!$T$12="Asteroid Belt",POWER(Upgrades!$U$12,K253),1))/AH253,0)</f>
        <v/>
      </c>
      <c r="AU253" s="32">
        <f>IFERROR(Upgrades!$K$8*(POWER(Upgrades!$Q$6,E253)*POWER(Upgrades!$Q$7,F253)*POWER(Upgrades!$Q$8,G253)*POWER(Upgrades!$Q$9,H253)*POWER(Upgrades!$Q$10,I253)*POWER(Upgrades!$Q$11,J253)*POWER(Upgrades!$Q$12,K253))*(IF(Upgrades!$T$6="Stellar Coupling",POWER(Upgrades!$U$6,E253),1)*IF(Upgrades!$T$7="Stellar Coupling",POWER(Upgrades!$U$7,F253),1)*IF(Upgrades!$T$9="Stellar Coupling",POWER(Upgrades!$U$9,H253),1)*IF(Upgrades!$T$10="Stellar Coupling",POWER(Upgrades!$U$10,I253),1)*IF(Upgrades!$T$11="Stellar Coupling",POWER(Upgrades!$U$11,J253),1)*IF(Upgrades!$T$12="Stellar Coupling",POWER(Upgrades!$U$12,K253),1))*Parameters!$B$10*Parameters!$B$11/60/AI253,0)</f>
        <v/>
      </c>
      <c r="AV253" s="32">
        <f>IFERROR(Upgrades!$H$9*(POWER(Upgrades!$P$6,E253)*POWER(Upgrades!$P$7,F253)*POWER(Upgrades!$P$8,G253)*POWER(Upgrades!$P$9,H253)*POWER(Upgrades!$P$10,I253)*POWER(Upgrades!$P$11,J253)*POWER(Upgrades!$P$12,K253))*(IF(Upgrades!$T$6="Magnetosphere",POWER(Upgrades!$U$6,E253),1)*IF(Upgrades!$T$7="Magnetosphere",POWER(Upgrades!$U$7,F253),1)*IF(Upgrades!$T$8="Magnetosphere",POWER(Upgrades!$U$8,G253),1)*IF(Upgrades!$T$10="Magnetosphere",POWER(Upgrades!$U$10,I253),1)*IF(Upgrades!$T$11="Magnetosphere",POWER(Upgrades!$U$11,J253),1)*IF(Upgrades!$T$12="Magnetosphere",POWER(Upgrades!$U$12,K253),1))/AJ253,0)</f>
        <v/>
      </c>
      <c r="AW253" s="32">
        <f>MAX(IF(I253&gt;0,0,IFERROR(0.25*N253/Upgrades!$C$10,0)),IF(J253&gt;0,0,IFERROR(0.5*((IF(G253=0,0,(Upgrades!$J$8+G253*Upgrades!$K$8)*POWER(Upgrades!$L$8,G253)))*(IF(Upgrades!$T$6="Stellar Coupling",POWER(Upgrades!$U$6,E253),1)*IF(Upgrades!$T$7="Stellar Coupling",POWER(Upgrades!$U$7,F253),1)*IF(Upgrades!$T$9="Stellar Coupling",POWER(Upgrades!$U$9,H253),1)*IF(Upgrades!$T$10="Stellar Coupling",POWER(Upgrades!$U$10,I253),1)*IF(Upgrades!$T$11="Stellar Coupling",POWER(Upgrades!$U$11,J253),1)*IF(Upgrades!$T$12="Stellar Coupling",POWER(Upgrades!$U$12,K253),1))*(POWER(Upgrades!$Q$6,E253)*POWER(Upgrades!$Q$7,F253)*POWER(Upgrades!$Q$8,G253)*POWER(Upgrades!$Q$9,H253)*POWER(Upgrades!$Q$10,I253)*POWER(Upgrades!$Q$11,J253)*POWER(Upgrades!$Q$12,K253))*Parameters!$B$10*Parameters!$B$11/60)/Upgrades!$C$11,0)),IF(K253&gt;0,0,IFERROR((1.0*(POWER(Upgrades!$P$6,E253)*POWER(Upgrades!$P$7,F253)*POWER(Upgrades!$P$8,G253)*POWER(Upgrades!$P$9,H253)*POWER(Upgrades!$P$10,I253)*POWER(Upgrades!$P$11,J253)*POWER(Upgrades!$P$12,K253))+0.20*M253*Parameters!$B$10*Parameters!$B$11/60)/Upgrades!$C$12,0)),IF(AND(ISNUMBER(AG253),AG253&gt;T253),AS253,0),IF(AND(ISNUMBER(AH253),AH253&gt;T253),AT253,0),IF(AND(ISNUMBER(AI253),AI253&gt;T253),AU253,0),IF(AND(ISNUMBER(AJ253),AJ253&gt;T253),AV253,0))</f>
        <v/>
      </c>
      <c r="AX253" s="29">
        <f>IF(AN253=1,"transition",IF(MIN(IF(AND(I253=0,ISNUMBER(AK253),AK253&lt;=T253),AK253,9E15),IF(AND(J253=0,ISNUMBER(AL253),AL253&lt;=T253),AL253,9E15),IF(AND(K253=0,ISNUMBER(AM253),AM253&lt;=T253),AM253,9E15))&lt;9E15,IF(AND(AND(I253=0,ISNUMBER(AK253),AK253&lt;=T253),AK253=MIN(IF(AND(I253=0,ISNUMBER(AK253),AK253&lt;=T253),AK253,9E15),IF(AND(J253=0,ISNUMBER(AL253),AL253&lt;=T253),AL253,9E15),IF(AND(K253=0,ISNUMBER(AM253),AM253&lt;=T253),AM253,9E15))),"OR",IF(AND(AND(J253=0,ISNUMBER(AL253),AL253&lt;=T253),AL253=MIN(IF(AND(I253=0,ISNUMBER(AK253),AK253&lt;=T253),AK253,9E15),IF(AND(J253=0,ISNUMBER(AL253),AL253&lt;=T253),AL253,9E15),IF(AND(K253=0,ISNUMBER(AM253),AM253&lt;=T253),AM253,9E15))),"HP","FP")),IF(AR253=TRUE,"",IF(MAX(IF(AND(NOT(AND(AO253=1,AN253&lt;&gt;1)),ISNUMBER(AG253),AG253&lt;=T253),AS253,0),IF(AND(NOT(AND(AO253=1,AN253&lt;&gt;1)),ISNUMBER(AH253),AH253&lt;=T253),AT253,0),IF(AND(NOT(AND(AO253=1,AN253&lt;&gt;1)),ISNUMBER(AI253),AI253&lt;=T253),AU253,0),IF(AND(ISNUMBER(AJ253),AJ253&lt;=T253),AV253,0))&lt;=0,"",IF(AND(IF(AND(NOT(AND(AO253=1,AN253&lt;&gt;1)),ISNUMBER(AG253),AG253&lt;=T253),AS253,0)&gt;0,IF(AND(NOT(AND(AO253=1,AN253&lt;&gt;1)),ISNUMBER(AG253),AG253&lt;=T253),AS253,0)=MAX(IF(AND(NOT(AND(AO253=1,AN253&lt;&gt;1)),ISNUMBER(AG253),AG253&lt;=T253),AS253,0),IF(AND(NOT(AND(AO253=1,AN253&lt;&gt;1)),ISNUMBER(AH253),AH253&lt;=T253),AT253,0),IF(AND(NOT(AND(AO253=1,AN253&lt;&gt;1)),ISNUMBER(AI253),AI253&lt;=T253),AU253,0),IF(AND(ISNUMBER(AJ253),AJ253&lt;=T253),AV253,0))),"SW",IF(AND(IF(AND(NOT(AND(AO253=1,AN253&lt;&gt;1)),ISNUMBER(AH253),AH253&lt;=T253),AT253,0)&gt;0,IF(AND(NOT(AND(AO253=1,AN253&lt;&gt;1)),ISNUMBER(AH253),AH253&lt;=T253),AT253,0)=MAX(IF(AND(NOT(AND(AO253=1,AN253&lt;&gt;1)),ISNUMBER(AG253),AG253&lt;=T253),AS253,0),IF(AND(NOT(AND(AO253=1,AN253&lt;&gt;1)),ISNUMBER(AH253),AH253&lt;=T253),AT253,0),IF(AND(NOT(AND(AO253=1,AN253&lt;&gt;1)),ISNUMBER(AI253),AI253&lt;=T253),AU253,0),IF(AND(ISNUMBER(AJ253),AJ253&lt;=T253),AV253,0))),"AB",IF(AND(IF(AND(NOT(AND(AO253=1,AN253&lt;&gt;1)),ISNUMBER(AI253),AI253&lt;=T253),AU253,0)&gt;0,IF(AND(NOT(AND(AO253=1,AN253&lt;&gt;1)),ISNUMBER(AI253),AI253&lt;=T253),AU253,0)=MAX(IF(AND(NOT(AND(AO253=1,AN253&lt;&gt;1)),ISNUMBER(AG253),AG253&lt;=T253),AS253,0),IF(AND(NOT(AND(AO253=1,AN253&lt;&gt;1)),ISNUMBER(AH253),AH253&lt;=T253),AT253,0),IF(AND(NOT(AND(AO253=1,AN253&lt;&gt;1)),ISNUMBER(AI253),AI253&lt;=T253),AU253,0),IF(AND(ISNUMBER(AJ253),AJ253&lt;=T253),AV253,0))),"SC","Mag")))))))</f>
        <v/>
      </c>
    </row>
    <row r="254">
      <c r="A254" s="26" t="n">
        <v>249</v>
      </c>
      <c r="B254" s="27">
        <f>A254*10/60</f>
        <v/>
      </c>
      <c r="C254" s="22">
        <f>X253</f>
        <v/>
      </c>
      <c r="D254" s="27">
        <f>D253+W253</f>
        <v/>
      </c>
      <c r="E254" s="26">
        <f>E253+IF(U253="SW",1,0)</f>
        <v/>
      </c>
      <c r="F254" s="26">
        <f>F253+IF(U253="AB",1,0)</f>
        <v/>
      </c>
      <c r="G254" s="26">
        <f>G253+IF(U253="SC",1,0)</f>
        <v/>
      </c>
      <c r="H254" s="26">
        <f>H253+IF(U253="Mag",1,0)</f>
        <v/>
      </c>
      <c r="I254" s="26">
        <f>MAX(I253,IF(U253="OR",1,0))</f>
        <v/>
      </c>
      <c r="J254" s="26">
        <f>MAX(J253,IF(U253="HP",1,0))</f>
        <v/>
      </c>
      <c r="K254" s="26">
        <f>MAX(K253,IF(U253="FP",1,0))</f>
        <v/>
      </c>
      <c r="L254" s="26">
        <f>MAX(L253,IF(U253="transition",1,0))</f>
        <v/>
      </c>
      <c r="M254" s="28">
        <f>(Parameters!$B$9+(IF(E254=0,0,(Upgrades!$J$6+E254*Upgrades!$K$6)*POWER(Upgrades!$L$6,E254)))*(IF(Upgrades!$T$7="Solar Wind",POWER(Upgrades!$U$7,F254),1)*IF(Upgrades!$T$8="Solar Wind",POWER(Upgrades!$U$8,G254),1)*IF(Upgrades!$T$9="Solar Wind",POWER(Upgrades!$U$9,H254),1)*IF(Upgrades!$T$10="Solar Wind",POWER(Upgrades!$U$10,I254),1)*IF(Upgrades!$T$11="Solar Wind",POWER(Upgrades!$U$11,J254),1)*IF(Upgrades!$T$12="Solar Wind",POWER(Upgrades!$U$12,K254),1))+(IF(F254=0,0,(Upgrades!$J$7+F254*Upgrades!$K$7)*POWER(Upgrades!$L$7,F254)))*(IF(Upgrades!$T$6="Asteroid Belt",POWER(Upgrades!$U$6,E254),1)*IF(Upgrades!$T$8="Asteroid Belt",POWER(Upgrades!$U$8,G254),1)*IF(Upgrades!$T$9="Asteroid Belt",POWER(Upgrades!$U$9,H254),1)*IF(Upgrades!$T$10="Asteroid Belt",POWER(Upgrades!$U$10,I254),1)*IF(Upgrades!$T$11="Asteroid Belt",POWER(Upgrades!$U$11,J254),1)*IF(Upgrades!$T$12="Asteroid Belt",POWER(Upgrades!$U$12,K254),1))+(IF(G254=0,0,(Upgrades!$J$8+G254*Upgrades!$K$8)*POWER(Upgrades!$L$8,G254)))*(IF(Upgrades!$T$6="Stellar Coupling",POWER(Upgrades!$U$6,E254),1)*IF(Upgrades!$T$7="Stellar Coupling",POWER(Upgrades!$U$7,F254),1)*IF(Upgrades!$T$9="Stellar Coupling",POWER(Upgrades!$U$9,H254),1)*IF(Upgrades!$T$10="Stellar Coupling",POWER(Upgrades!$U$10,I254),1)*IF(Upgrades!$T$11="Stellar Coupling",POWER(Upgrades!$U$11,J254),1)*IF(Upgrades!$T$12="Stellar Coupling",POWER(Upgrades!$U$12,K254),1))+(IF(H254=0,0,(Upgrades!$J$9+H254*Upgrades!$K$9)*POWER(Upgrades!$L$9,H254)))*(IF(Upgrades!$T$6="Magnetosphere",POWER(Upgrades!$U$6,E254),1)*IF(Upgrades!$T$7="Magnetosphere",POWER(Upgrades!$U$7,F254),1)*IF(Upgrades!$T$8="Magnetosphere",POWER(Upgrades!$U$8,G254),1)*IF(Upgrades!$T$10="Magnetosphere",POWER(Upgrades!$U$10,I254),1)*IF(Upgrades!$T$11="Magnetosphere",POWER(Upgrades!$U$11,J254),1)*IF(Upgrades!$T$12="Magnetosphere",POWER(Upgrades!$U$12,K254),1))+(IF(I254=0,0,(Upgrades!$J$10+I254*Upgrades!$K$10)*POWER(Upgrades!$L$10,I254)))*(IF(Upgrades!$T$6="Orbital Resonance",POWER(Upgrades!$U$6,E254),1)*IF(Upgrades!$T$7="Orbital Resonance",POWER(Upgrades!$U$7,F254),1)*IF(Upgrades!$T$8="Orbital Resonance",POWER(Upgrades!$U$8,G254),1)*IF(Upgrades!$T$9="Orbital Resonance",POWER(Upgrades!$U$9,H254),1)*IF(Upgrades!$T$11="Orbital Resonance",POWER(Upgrades!$U$11,J254),1)*IF(Upgrades!$T$12="Orbital Resonance",POWER(Upgrades!$U$12,K254),1))+(IF(J254=0,0,(Upgrades!$J$11+J254*Upgrades!$K$11)*POWER(Upgrades!$L$11,J254)))*(IF(Upgrades!$T$6="Heliopause",POWER(Upgrades!$U$6,E254),1)*IF(Upgrades!$T$7="Heliopause",POWER(Upgrades!$U$7,F254),1)*IF(Upgrades!$T$8="Heliopause",POWER(Upgrades!$U$8,G254),1)*IF(Upgrades!$T$9="Heliopause",POWER(Upgrades!$U$9,H254),1)*IF(Upgrades!$T$10="Heliopause",POWER(Upgrades!$U$10,I254),1)*IF(Upgrades!$T$12="Heliopause",POWER(Upgrades!$U$12,K254),1))+(IF(K254=0,0,(Upgrades!$J$12+K254*Upgrades!$K$12)*POWER(Upgrades!$L$12,K254)))*(IF(Upgrades!$T$6="First Photons",POWER(Upgrades!$U$6,E254),1)*IF(Upgrades!$T$7="First Photons",POWER(Upgrades!$U$7,F254),1)*IF(Upgrades!$T$8="First Photons",POWER(Upgrades!$U$8,G254),1)*IF(Upgrades!$T$9="First Photons",POWER(Upgrades!$U$9,H254),1)*IF(Upgrades!$T$10="First Photons",POWER(Upgrades!$U$10,I254),1)*IF(Upgrades!$T$11="First Photons",POWER(Upgrades!$U$11,J254),1)))*POWER(Upgrades!$Q$6,E254)*POWER(Upgrades!$Q$7,F254)*POWER(Upgrades!$Q$8,G254)*POWER(Upgrades!$Q$9,H254)*POWER(Upgrades!$Q$10,I254)*POWER(Upgrades!$Q$11,J254)*POWER(Upgrades!$Q$12,K254)</f>
        <v/>
      </c>
      <c r="N254" s="28">
        <f>((IF(E254=0,0,(Upgrades!$G$6+E254*Upgrades!$H$6)*POWER(Upgrades!$I$6,E254)))*(IF(Upgrades!$T$7="Solar Wind",POWER(Upgrades!$U$7,F254),1)*IF(Upgrades!$T$8="Solar Wind",POWER(Upgrades!$U$8,G254),1)*IF(Upgrades!$T$9="Solar Wind",POWER(Upgrades!$U$9,H254),1)*IF(Upgrades!$T$10="Solar Wind",POWER(Upgrades!$U$10,I254),1)*IF(Upgrades!$T$11="Solar Wind",POWER(Upgrades!$U$11,J254),1)*IF(Upgrades!$T$12="Solar Wind",POWER(Upgrades!$U$12,K254),1))+(IF(F254=0,0,(Upgrades!$G$7+F254*Upgrades!$H$7)*POWER(Upgrades!$I$7,F254)))*(IF(Upgrades!$T$6="Asteroid Belt",POWER(Upgrades!$U$6,E254),1)*IF(Upgrades!$T$8="Asteroid Belt",POWER(Upgrades!$U$8,G254),1)*IF(Upgrades!$T$9="Asteroid Belt",POWER(Upgrades!$U$9,H254),1)*IF(Upgrades!$T$10="Asteroid Belt",POWER(Upgrades!$U$10,I254),1)*IF(Upgrades!$T$11="Asteroid Belt",POWER(Upgrades!$U$11,J254),1)*IF(Upgrades!$T$12="Asteroid Belt",POWER(Upgrades!$U$12,K254),1))+(IF(G254=0,0,(Upgrades!$G$8+G254*Upgrades!$H$8)*POWER(Upgrades!$I$8,G254)))*(IF(Upgrades!$T$6="Stellar Coupling",POWER(Upgrades!$U$6,E254),1)*IF(Upgrades!$T$7="Stellar Coupling",POWER(Upgrades!$U$7,F254),1)*IF(Upgrades!$T$9="Stellar Coupling",POWER(Upgrades!$U$9,H254),1)*IF(Upgrades!$T$10="Stellar Coupling",POWER(Upgrades!$U$10,I254),1)*IF(Upgrades!$T$11="Stellar Coupling",POWER(Upgrades!$U$11,J254),1)*IF(Upgrades!$T$12="Stellar Coupling",POWER(Upgrades!$U$12,K254),1))+(IF(H254=0,0,(Upgrades!$G$9+H254*Upgrades!$H$9)*POWER(Upgrades!$I$9,H254)))*(IF(Upgrades!$T$6="Magnetosphere",POWER(Upgrades!$U$6,E254),1)*IF(Upgrades!$T$7="Magnetosphere",POWER(Upgrades!$U$7,F254),1)*IF(Upgrades!$T$8="Magnetosphere",POWER(Upgrades!$U$8,G254),1)*IF(Upgrades!$T$10="Magnetosphere",POWER(Upgrades!$U$10,I254),1)*IF(Upgrades!$T$11="Magnetosphere",POWER(Upgrades!$U$11,J254),1)*IF(Upgrades!$T$12="Magnetosphere",POWER(Upgrades!$U$12,K254),1))+(IF(I254=0,0,(Upgrades!$G$10+I254*Upgrades!$H$10)*POWER(Upgrades!$I$10,I254)))*(IF(Upgrades!$T$6="Orbital Resonance",POWER(Upgrades!$U$6,E254),1)*IF(Upgrades!$T$7="Orbital Resonance",POWER(Upgrades!$U$7,F254),1)*IF(Upgrades!$T$8="Orbital Resonance",POWER(Upgrades!$U$8,G254),1)*IF(Upgrades!$T$9="Orbital Resonance",POWER(Upgrades!$U$9,H254),1)*IF(Upgrades!$T$11="Orbital Resonance",POWER(Upgrades!$U$11,J254),1)*IF(Upgrades!$T$12="Orbital Resonance",POWER(Upgrades!$U$12,K254),1))+(IF(J254=0,0,(Upgrades!$G$11+J254*Upgrades!$H$11)*POWER(Upgrades!$I$11,J254)))*(IF(Upgrades!$T$6="Heliopause",POWER(Upgrades!$U$6,E254),1)*IF(Upgrades!$T$7="Heliopause",POWER(Upgrades!$U$7,F254),1)*IF(Upgrades!$T$8="Heliopause",POWER(Upgrades!$U$8,G254),1)*IF(Upgrades!$T$9="Heliopause",POWER(Upgrades!$U$9,H254),1)*IF(Upgrades!$T$10="Heliopause",POWER(Upgrades!$U$10,I254),1)*IF(Upgrades!$T$12="Heliopause",POWER(Upgrades!$U$12,K254),1))+(IF(K254=0,0,(Upgrades!$G$12+K254*Upgrades!$H$12)*POWER(Upgrades!$I$12,K254)))*(IF(Upgrades!$T$6="First Photons",POWER(Upgrades!$U$6,E254),1)*IF(Upgrades!$T$7="First Photons",POWER(Upgrades!$U$7,F254),1)*IF(Upgrades!$T$8="First Photons",POWER(Upgrades!$U$8,G254),1)*IF(Upgrades!$T$9="First Photons",POWER(Upgrades!$U$9,H254),1)*IF(Upgrades!$T$10="First Photons",POWER(Upgrades!$U$10,I254),1)*IF(Upgrades!$T$11="First Photons",POWER(Upgrades!$U$11,J254),1)))*POWER(Upgrades!$P$6,E254)*POWER(Upgrades!$P$7,F254)*POWER(Upgrades!$P$8,G254)*POWER(Upgrades!$P$9,H254)*POWER(Upgrades!$P$10,I254)*POWER(Upgrades!$P$11,J254)*POWER(Upgrades!$P$12,K254)</f>
        <v/>
      </c>
      <c r="O254" s="28">
        <f>((IF(E254=0,0,(Upgrades!$M$6+E254*Upgrades!$N$6)*POWER(Upgrades!$O$6,E254)))*(IF(Upgrades!$T$7="Solar Wind",POWER(Upgrades!$U$7,F254),1)*IF(Upgrades!$T$8="Solar Wind",POWER(Upgrades!$U$8,G254),1)*IF(Upgrades!$T$9="Solar Wind",POWER(Upgrades!$U$9,H254),1)*IF(Upgrades!$T$10="Solar Wind",POWER(Upgrades!$U$10,I254),1)*IF(Upgrades!$T$11="Solar Wind",POWER(Upgrades!$U$11,J254),1)*IF(Upgrades!$T$12="Solar Wind",POWER(Upgrades!$U$12,K254),1))+(IF(F254=0,0,(Upgrades!$M$7+F254*Upgrades!$N$7)*POWER(Upgrades!$O$7,F254)))*(IF(Upgrades!$T$6="Asteroid Belt",POWER(Upgrades!$U$6,E254),1)*IF(Upgrades!$T$8="Asteroid Belt",POWER(Upgrades!$U$8,G254),1)*IF(Upgrades!$T$9="Asteroid Belt",POWER(Upgrades!$U$9,H254),1)*IF(Upgrades!$T$10="Asteroid Belt",POWER(Upgrades!$U$10,I254),1)*IF(Upgrades!$T$11="Asteroid Belt",POWER(Upgrades!$U$11,J254),1)*IF(Upgrades!$T$12="Asteroid Belt",POWER(Upgrades!$U$12,K254),1))+(IF(G254=0,0,(Upgrades!$M$8+G254*Upgrades!$N$8)*POWER(Upgrades!$O$8,G254)))*(IF(Upgrades!$T$6="Stellar Coupling",POWER(Upgrades!$U$6,E254),1)*IF(Upgrades!$T$7="Stellar Coupling",POWER(Upgrades!$U$7,F254),1)*IF(Upgrades!$T$9="Stellar Coupling",POWER(Upgrades!$U$9,H254),1)*IF(Upgrades!$T$10="Stellar Coupling",POWER(Upgrades!$U$10,I254),1)*IF(Upgrades!$T$11="Stellar Coupling",POWER(Upgrades!$U$11,J254),1)*IF(Upgrades!$T$12="Stellar Coupling",POWER(Upgrades!$U$12,K254),1))+(IF(H254=0,0,(Upgrades!$M$9+H254*Upgrades!$N$9)*POWER(Upgrades!$O$9,H254)))*(IF(Upgrades!$T$6="Magnetosphere",POWER(Upgrades!$U$6,E254),1)*IF(Upgrades!$T$7="Magnetosphere",POWER(Upgrades!$U$7,F254),1)*IF(Upgrades!$T$8="Magnetosphere",POWER(Upgrades!$U$8,G254),1)*IF(Upgrades!$T$10="Magnetosphere",POWER(Upgrades!$U$10,I254),1)*IF(Upgrades!$T$11="Magnetosphere",POWER(Upgrades!$U$11,J254),1)*IF(Upgrades!$T$12="Magnetosphere",POWER(Upgrades!$U$12,K254),1))+(IF(I254=0,0,(Upgrades!$M$10+I254*Upgrades!$N$10)*POWER(Upgrades!$O$10,I254)))*(IF(Upgrades!$T$6="Orbital Resonance",POWER(Upgrades!$U$6,E254),1)*IF(Upgrades!$T$7="Orbital Resonance",POWER(Upgrades!$U$7,F254),1)*IF(Upgrades!$T$8="Orbital Resonance",POWER(Upgrades!$U$8,G254),1)*IF(Upgrades!$T$9="Orbital Resonance",POWER(Upgrades!$U$9,H254),1)*IF(Upgrades!$T$11="Orbital Resonance",POWER(Upgrades!$U$11,J254),1)*IF(Upgrades!$T$12="Orbital Resonance",POWER(Upgrades!$U$12,K254),1))+(IF(J254=0,0,(Upgrades!$M$11+J254*Upgrades!$N$11)*POWER(Upgrades!$O$11,J254)))*(IF(Upgrades!$T$6="Heliopause",POWER(Upgrades!$U$6,E254),1)*IF(Upgrades!$T$7="Heliopause",POWER(Upgrades!$U$7,F254),1)*IF(Upgrades!$T$8="Heliopause",POWER(Upgrades!$U$8,G254),1)*IF(Upgrades!$T$9="Heliopause",POWER(Upgrades!$U$9,H254),1)*IF(Upgrades!$T$10="Heliopause",POWER(Upgrades!$U$10,I254),1)*IF(Upgrades!$T$12="Heliopause",POWER(Upgrades!$U$12,K254),1))+(IF(K254=0,0,(Upgrades!$M$12+K254*Upgrades!$N$12)*POWER(Upgrades!$O$12,K254)))*(IF(Upgrades!$T$6="First Photons",POWER(Upgrades!$U$6,E254),1)*IF(Upgrades!$T$7="First Photons",POWER(Upgrades!$U$7,F254),1)*IF(Upgrades!$T$8="First Photons",POWER(Upgrades!$U$8,G254),1)*IF(Upgrades!$T$9="First Photons",POWER(Upgrades!$U$9,H254),1)*IF(Upgrades!$T$10="First Photons",POWER(Upgrades!$U$10,I254),1)*IF(Upgrades!$T$11="First Photons",POWER(Upgrades!$U$11,J254),1)))*POWER(Upgrades!$R$6,E254)*POWER(Upgrades!$R$7,F254)*POWER(Upgrades!$R$8,G254)*POWER(Upgrades!$R$9,H254)*POWER(Upgrades!$R$10,I254)*POWER(Upgrades!$R$11,J254)*POWER(Upgrades!$R$12,K254)</f>
        <v/>
      </c>
      <c r="P254" s="27">
        <f>IF(L254=1,0,M254*Parameters!$B$10/60*Parameters!$B$11*10)</f>
        <v/>
      </c>
      <c r="Q254" s="27">
        <f>IF(L254=1,0,O254*M254*10)</f>
        <v/>
      </c>
      <c r="R254" s="27">
        <f>IF(L254=1,0,N254*10)</f>
        <v/>
      </c>
      <c r="S254" s="27">
        <f>P254+Q254+R254</f>
        <v/>
      </c>
      <c r="T254" s="22">
        <f>C254+S254</f>
        <v/>
      </c>
      <c r="U254" s="33">
        <f>AX254</f>
        <v/>
      </c>
      <c r="V254" s="22">
        <f>IF(U254="",0,IF(U254="transition",0,IF(U254="SW",AG254,IF(U254="AB",AH254,IF(U254="SC",AI254,IF(U254="Mag",AJ254,IF(U254="OR",AK254,IF(U254="HP",AL254,IF(U254="FP",AM254,0)))))))))</f>
        <v/>
      </c>
      <c r="W254" s="27">
        <f>IF(U254="OR",Upgrades!$F$10,IF(U254="HP",Upgrades!$F$11,IF(U254="transition",-Parameters!$B$18,0)))</f>
        <v/>
      </c>
      <c r="X254" s="22">
        <f>T254-V254</f>
        <v/>
      </c>
      <c r="Y254" s="30">
        <f>M254*Parameters!$B$10/60*Parameters!$B$11+O254*M254+N254</f>
        <v/>
      </c>
      <c r="Z254" s="34">
        <f>IF(U254="transition","→ Tier 2 (Stellar Neighborhood)",IF(U254="FP","First Photons — light begins, system quickens",IF(U254="HP","Heliopause acquired",IF(U254="OR","Orbital Resonance — passive multiplier active",IF(AND(AO254=1,L254=0,AN254&lt;&gt;1),"Cohesion ready (waiting on completionist upgrades)","")))))</f>
        <v/>
      </c>
      <c r="AA254" s="27">
        <f>(IF(E254=0,0,(Upgrades!$G$6+E254*Upgrades!$H$6)*POWER(Upgrades!$I$6,E254)))*(IF(Upgrades!$T$7="Solar Wind",POWER(Upgrades!$U$7,F254),1)*IF(Upgrades!$T$8="Solar Wind",POWER(Upgrades!$U$8,G254),1)*IF(Upgrades!$T$9="Solar Wind",POWER(Upgrades!$U$9,H254),1)*IF(Upgrades!$T$10="Solar Wind",POWER(Upgrades!$U$10,I254),1)*IF(Upgrades!$T$11="Solar Wind",POWER(Upgrades!$U$11,J254),1)*IF(Upgrades!$T$12="Solar Wind",POWER(Upgrades!$U$12,K254),1))*POWER(Upgrades!$P$6,E254)*POWER(Upgrades!$P$7,F254)*POWER(Upgrades!$P$8,G254)*POWER(Upgrades!$P$9,H254)*POWER(Upgrades!$P$10,I254)*POWER(Upgrades!$P$11,J254)*POWER(Upgrades!$P$12,K254)*60</f>
        <v/>
      </c>
      <c r="AB254" s="27">
        <f>(IF(F254=0,0,(Upgrades!$G$7+F254*Upgrades!$H$7)*POWER(Upgrades!$I$7,F254)))*(IF(Upgrades!$T$6="Asteroid Belt",POWER(Upgrades!$U$6,E254),1)*IF(Upgrades!$T$8="Asteroid Belt",POWER(Upgrades!$U$8,G254),1)*IF(Upgrades!$T$9="Asteroid Belt",POWER(Upgrades!$U$9,H254),1)*IF(Upgrades!$T$10="Asteroid Belt",POWER(Upgrades!$U$10,I254),1)*IF(Upgrades!$T$11="Asteroid Belt",POWER(Upgrades!$U$11,J254),1)*IF(Upgrades!$T$12="Asteroid Belt",POWER(Upgrades!$U$12,K254),1))*POWER(Upgrades!$P$6,E254)*POWER(Upgrades!$P$7,F254)*POWER(Upgrades!$P$8,G254)*POWER(Upgrades!$P$9,H254)*POWER(Upgrades!$P$10,I254)*POWER(Upgrades!$P$11,J254)*POWER(Upgrades!$P$12,K254)*60</f>
        <v/>
      </c>
      <c r="AC254" s="27">
        <f>(IF(G254=0,0,(Upgrades!$J$8+G254*Upgrades!$K$8)*POWER(Upgrades!$L$8,G254)))*(IF(Upgrades!$T$6="Stellar Coupling",POWER(Upgrades!$U$6,E254),1)*IF(Upgrades!$T$7="Stellar Coupling",POWER(Upgrades!$U$7,F254),1)*IF(Upgrades!$T$9="Stellar Coupling",POWER(Upgrades!$U$9,H254),1)*IF(Upgrades!$T$10="Stellar Coupling",POWER(Upgrades!$U$10,I254),1)*IF(Upgrades!$T$11="Stellar Coupling",POWER(Upgrades!$U$11,J254),1)*IF(Upgrades!$T$12="Stellar Coupling",POWER(Upgrades!$U$12,K254),1))*POWER(Upgrades!$Q$6,E254)*POWER(Upgrades!$Q$7,F254)*POWER(Upgrades!$Q$8,G254)*POWER(Upgrades!$Q$9,H254)*POWER(Upgrades!$Q$10,I254)*POWER(Upgrades!$Q$11,J254)*POWER(Upgrades!$Q$12,K254)*Parameters!$B$10*Parameters!$B$11</f>
        <v/>
      </c>
      <c r="AD254" s="27">
        <f>(IF(H254=0,0,(Upgrades!$G$9+H254*Upgrades!$H$9)*POWER(Upgrades!$I$9,H254)))*(IF(Upgrades!$T$6="Magnetosphere",POWER(Upgrades!$U$6,E254),1)*IF(Upgrades!$T$7="Magnetosphere",POWER(Upgrades!$U$7,F254),1)*IF(Upgrades!$T$8="Magnetosphere",POWER(Upgrades!$U$8,G254),1)*IF(Upgrades!$T$10="Magnetosphere",POWER(Upgrades!$U$10,I254),1)*IF(Upgrades!$T$11="Magnetosphere",POWER(Upgrades!$U$11,J254),1)*IF(Upgrades!$T$12="Magnetosphere",POWER(Upgrades!$U$12,K254),1))*POWER(Upgrades!$P$6,E254)*POWER(Upgrades!$P$7,F254)*POWER(Upgrades!$P$8,G254)*POWER(Upgrades!$P$9,H254)*POWER(Upgrades!$P$10,I254)*POWER(Upgrades!$P$11,J254)*POWER(Upgrades!$P$12,K254)*60</f>
        <v/>
      </c>
      <c r="AE254" s="27">
        <f>(IF(K254=0,0,(Upgrades!$G$12+K254*Upgrades!$H$12)*POWER(Upgrades!$I$12,K254)))*(IF(Upgrades!$T$6="First Photons",POWER(Upgrades!$U$6,E254),1)*IF(Upgrades!$T$7="First Photons",POWER(Upgrades!$U$7,F254),1)*IF(Upgrades!$T$8="First Photons",POWER(Upgrades!$U$8,G254),1)*IF(Upgrades!$T$9="First Photons",POWER(Upgrades!$U$9,H254),1)*IF(Upgrades!$T$10="First Photons",POWER(Upgrades!$U$10,I254),1)*IF(Upgrades!$T$11="First Photons",POWER(Upgrades!$U$11,J254),1))*POWER(Upgrades!$P$6,E254)*POWER(Upgrades!$P$7,F254)*POWER(Upgrades!$P$8,G254)*POWER(Upgrades!$P$9,H254)*POWER(Upgrades!$P$10,I254)*POWER(Upgrades!$P$11,J254)*POWER(Upgrades!$P$12,K254)*60</f>
        <v/>
      </c>
      <c r="AF254" s="27">
        <f>Parameters!$B$9*POWER(Upgrades!$Q$6,E254)*POWER(Upgrades!$Q$7,F254)*POWER(Upgrades!$Q$8,G254)*POWER(Upgrades!$Q$9,H254)*POWER(Upgrades!$Q$10,I254)*POWER(Upgrades!$Q$11,J254)*POWER(Upgrades!$Q$12,K254)*(Parameters!$B$10*Parameters!$B$11+O254*60)</f>
        <v/>
      </c>
      <c r="AG254" s="22">
        <f>IF(E254&gt;=Upgrades!$E$6,"",Upgrades!$C$6*POWER(Upgrades!$D$6,E254))</f>
        <v/>
      </c>
      <c r="AH254" s="22">
        <f>IF(F254&gt;=Upgrades!$E$7,"",Upgrades!$C$7*POWER(Upgrades!$D$7,F254))</f>
        <v/>
      </c>
      <c r="AI254" s="22">
        <f>IF(G254&gt;=Upgrades!$E$8,"",Upgrades!$C$8*POWER(Upgrades!$D$8,G254))</f>
        <v/>
      </c>
      <c r="AJ254" s="22">
        <f>IF(H254&gt;=Upgrades!$E$9,"",Upgrades!$C$9*POWER(Upgrades!$D$9,H254))</f>
        <v/>
      </c>
      <c r="AK254" s="22">
        <f>IF(I254&gt;=Upgrades!$E$10,"",Upgrades!$C$10*POWER(Upgrades!$D$10,I254))</f>
        <v/>
      </c>
      <c r="AL254" s="22">
        <f>IF(J254&gt;=Upgrades!$E$11,"",Upgrades!$C$11*POWER(Upgrades!$D$11,J254))</f>
        <v/>
      </c>
      <c r="AM254" s="22">
        <f>IF(K254&gt;=Upgrades!$E$12,"",Upgrades!$C$12*POWER(Upgrades!$D$12,K254))</f>
        <v/>
      </c>
      <c r="AN254" s="26">
        <f>IF(AND(D254&gt;=Parameters!$B$18,(H254&gt;=Upgrades!$E$9)*(K254&gt;=Upgrades!$E$12)=1,L254=0),1,"")</f>
        <v/>
      </c>
      <c r="AO254" s="26">
        <f>IF(AND(D254&gt;=Parameters!$B$18,L254=0),1,"")</f>
        <v/>
      </c>
      <c r="AP254" s="22">
        <f>MIN(IF(ISNUMBER(AK254),AK254,9E15),IF(ISNUMBER(AL254),AL254,9E15),IF(ISNUMBER(AM254),AM254,9E15))</f>
        <v/>
      </c>
      <c r="AQ254" s="22">
        <f>MIN(IF(ISNUMBER(AG254),AG254,9E15),IF(ISNUMBER(AH254),AH254,9E15),IF(ISNUMBER(AI254),AI254,9E15),IF(ISNUMBER(AJ254),AJ254,9E15))</f>
        <v/>
      </c>
      <c r="AR254" s="29">
        <f>IF(AW254&gt;Parameters!$B$21*(MAX(IF(AND(NOT(AND(AO254=1,AN254&lt;&gt;1)),ISNUMBER(AG254),AG254&lt;=T254),AS254,0),IF(AND(NOT(AND(AO254=1,AN254&lt;&gt;1)),ISNUMBER(AH254),AH254&lt;=T254),AT254,0),IF(AND(NOT(AND(AO254=1,AN254&lt;&gt;1)),ISNUMBER(AI254),AI254&lt;=T254),AU254,0),IF(AND(ISNUMBER(AJ254),AJ254&lt;=T254),AV254,0))),TRUE,FALSE)</f>
        <v/>
      </c>
      <c r="AS254" s="32">
        <f>IFERROR(Upgrades!$H$6*(POWER(Upgrades!$P$6,E254)*POWER(Upgrades!$P$7,F254)*POWER(Upgrades!$P$8,G254)*POWER(Upgrades!$P$9,H254)*POWER(Upgrades!$P$10,I254)*POWER(Upgrades!$P$11,J254)*POWER(Upgrades!$P$12,K254))*(IF(Upgrades!$T$7="Solar Wind",POWER(Upgrades!$U$7,F254),1)*IF(Upgrades!$T$8="Solar Wind",POWER(Upgrades!$U$8,G254),1)*IF(Upgrades!$T$9="Solar Wind",POWER(Upgrades!$U$9,H254),1)*IF(Upgrades!$T$10="Solar Wind",POWER(Upgrades!$U$10,I254),1)*IF(Upgrades!$T$11="Solar Wind",POWER(Upgrades!$U$11,J254),1)*IF(Upgrades!$T$12="Solar Wind",POWER(Upgrades!$U$12,K254),1))/AG254,0)</f>
        <v/>
      </c>
      <c r="AT254" s="32">
        <f>IFERROR(Upgrades!$H$7*(POWER(Upgrades!$P$6,E254)*POWER(Upgrades!$P$7,F254)*POWER(Upgrades!$P$8,G254)*POWER(Upgrades!$P$9,H254)*POWER(Upgrades!$P$10,I254)*POWER(Upgrades!$P$11,J254)*POWER(Upgrades!$P$12,K254))*(IF(Upgrades!$T$6="Asteroid Belt",POWER(Upgrades!$U$6,E254),1)*IF(Upgrades!$T$8="Asteroid Belt",POWER(Upgrades!$U$8,G254),1)*IF(Upgrades!$T$9="Asteroid Belt",POWER(Upgrades!$U$9,H254),1)*IF(Upgrades!$T$10="Asteroid Belt",POWER(Upgrades!$U$10,I254),1)*IF(Upgrades!$T$11="Asteroid Belt",POWER(Upgrades!$U$11,J254),1)*IF(Upgrades!$T$12="Asteroid Belt",POWER(Upgrades!$U$12,K254),1))/AH254,0)</f>
        <v/>
      </c>
      <c r="AU254" s="32">
        <f>IFERROR(Upgrades!$K$8*(POWER(Upgrades!$Q$6,E254)*POWER(Upgrades!$Q$7,F254)*POWER(Upgrades!$Q$8,G254)*POWER(Upgrades!$Q$9,H254)*POWER(Upgrades!$Q$10,I254)*POWER(Upgrades!$Q$11,J254)*POWER(Upgrades!$Q$12,K254))*(IF(Upgrades!$T$6="Stellar Coupling",POWER(Upgrades!$U$6,E254),1)*IF(Upgrades!$T$7="Stellar Coupling",POWER(Upgrades!$U$7,F254),1)*IF(Upgrades!$T$9="Stellar Coupling",POWER(Upgrades!$U$9,H254),1)*IF(Upgrades!$T$10="Stellar Coupling",POWER(Upgrades!$U$10,I254),1)*IF(Upgrades!$T$11="Stellar Coupling",POWER(Upgrades!$U$11,J254),1)*IF(Upgrades!$T$12="Stellar Coupling",POWER(Upgrades!$U$12,K254),1))*Parameters!$B$10*Parameters!$B$11/60/AI254,0)</f>
        <v/>
      </c>
      <c r="AV254" s="32">
        <f>IFERROR(Upgrades!$H$9*(POWER(Upgrades!$P$6,E254)*POWER(Upgrades!$P$7,F254)*POWER(Upgrades!$P$8,G254)*POWER(Upgrades!$P$9,H254)*POWER(Upgrades!$P$10,I254)*POWER(Upgrades!$P$11,J254)*POWER(Upgrades!$P$12,K254))*(IF(Upgrades!$T$6="Magnetosphere",POWER(Upgrades!$U$6,E254),1)*IF(Upgrades!$T$7="Magnetosphere",POWER(Upgrades!$U$7,F254),1)*IF(Upgrades!$T$8="Magnetosphere",POWER(Upgrades!$U$8,G254),1)*IF(Upgrades!$T$10="Magnetosphere",POWER(Upgrades!$U$10,I254),1)*IF(Upgrades!$T$11="Magnetosphere",POWER(Upgrades!$U$11,J254),1)*IF(Upgrades!$T$12="Magnetosphere",POWER(Upgrades!$U$12,K254),1))/AJ254,0)</f>
        <v/>
      </c>
      <c r="AW254" s="32">
        <f>MAX(IF(I254&gt;0,0,IFERROR(0.25*N254/Upgrades!$C$10,0)),IF(J254&gt;0,0,IFERROR(0.5*((IF(G254=0,0,(Upgrades!$J$8+G254*Upgrades!$K$8)*POWER(Upgrades!$L$8,G254)))*(IF(Upgrades!$T$6="Stellar Coupling",POWER(Upgrades!$U$6,E254),1)*IF(Upgrades!$T$7="Stellar Coupling",POWER(Upgrades!$U$7,F254),1)*IF(Upgrades!$T$9="Stellar Coupling",POWER(Upgrades!$U$9,H254),1)*IF(Upgrades!$T$10="Stellar Coupling",POWER(Upgrades!$U$10,I254),1)*IF(Upgrades!$T$11="Stellar Coupling",POWER(Upgrades!$U$11,J254),1)*IF(Upgrades!$T$12="Stellar Coupling",POWER(Upgrades!$U$12,K254),1))*(POWER(Upgrades!$Q$6,E254)*POWER(Upgrades!$Q$7,F254)*POWER(Upgrades!$Q$8,G254)*POWER(Upgrades!$Q$9,H254)*POWER(Upgrades!$Q$10,I254)*POWER(Upgrades!$Q$11,J254)*POWER(Upgrades!$Q$12,K254))*Parameters!$B$10*Parameters!$B$11/60)/Upgrades!$C$11,0)),IF(K254&gt;0,0,IFERROR((1.0*(POWER(Upgrades!$P$6,E254)*POWER(Upgrades!$P$7,F254)*POWER(Upgrades!$P$8,G254)*POWER(Upgrades!$P$9,H254)*POWER(Upgrades!$P$10,I254)*POWER(Upgrades!$P$11,J254)*POWER(Upgrades!$P$12,K254))+0.20*M254*Parameters!$B$10*Parameters!$B$11/60)/Upgrades!$C$12,0)),IF(AND(ISNUMBER(AG254),AG254&gt;T254),AS254,0),IF(AND(ISNUMBER(AH254),AH254&gt;T254),AT254,0),IF(AND(ISNUMBER(AI254),AI254&gt;T254),AU254,0),IF(AND(ISNUMBER(AJ254),AJ254&gt;T254),AV254,0))</f>
        <v/>
      </c>
      <c r="AX254" s="29">
        <f>IF(AN254=1,"transition",IF(MIN(IF(AND(I254=0,ISNUMBER(AK254),AK254&lt;=T254),AK254,9E15),IF(AND(J254=0,ISNUMBER(AL254),AL254&lt;=T254),AL254,9E15),IF(AND(K254=0,ISNUMBER(AM254),AM254&lt;=T254),AM254,9E15))&lt;9E15,IF(AND(AND(I254=0,ISNUMBER(AK254),AK254&lt;=T254),AK254=MIN(IF(AND(I254=0,ISNUMBER(AK254),AK254&lt;=T254),AK254,9E15),IF(AND(J254=0,ISNUMBER(AL254),AL254&lt;=T254),AL254,9E15),IF(AND(K254=0,ISNUMBER(AM254),AM254&lt;=T254),AM254,9E15))),"OR",IF(AND(AND(J254=0,ISNUMBER(AL254),AL254&lt;=T254),AL254=MIN(IF(AND(I254=0,ISNUMBER(AK254),AK254&lt;=T254),AK254,9E15),IF(AND(J254=0,ISNUMBER(AL254),AL254&lt;=T254),AL254,9E15),IF(AND(K254=0,ISNUMBER(AM254),AM254&lt;=T254),AM254,9E15))),"HP","FP")),IF(AR254=TRUE,"",IF(MAX(IF(AND(NOT(AND(AO254=1,AN254&lt;&gt;1)),ISNUMBER(AG254),AG254&lt;=T254),AS254,0),IF(AND(NOT(AND(AO254=1,AN254&lt;&gt;1)),ISNUMBER(AH254),AH254&lt;=T254),AT254,0),IF(AND(NOT(AND(AO254=1,AN254&lt;&gt;1)),ISNUMBER(AI254),AI254&lt;=T254),AU254,0),IF(AND(ISNUMBER(AJ254),AJ254&lt;=T254),AV254,0))&lt;=0,"",IF(AND(IF(AND(NOT(AND(AO254=1,AN254&lt;&gt;1)),ISNUMBER(AG254),AG254&lt;=T254),AS254,0)&gt;0,IF(AND(NOT(AND(AO254=1,AN254&lt;&gt;1)),ISNUMBER(AG254),AG254&lt;=T254),AS254,0)=MAX(IF(AND(NOT(AND(AO254=1,AN254&lt;&gt;1)),ISNUMBER(AG254),AG254&lt;=T254),AS254,0),IF(AND(NOT(AND(AO254=1,AN254&lt;&gt;1)),ISNUMBER(AH254),AH254&lt;=T254),AT254,0),IF(AND(NOT(AND(AO254=1,AN254&lt;&gt;1)),ISNUMBER(AI254),AI254&lt;=T254),AU254,0),IF(AND(ISNUMBER(AJ254),AJ254&lt;=T254),AV254,0))),"SW",IF(AND(IF(AND(NOT(AND(AO254=1,AN254&lt;&gt;1)),ISNUMBER(AH254),AH254&lt;=T254),AT254,0)&gt;0,IF(AND(NOT(AND(AO254=1,AN254&lt;&gt;1)),ISNUMBER(AH254),AH254&lt;=T254),AT254,0)=MAX(IF(AND(NOT(AND(AO254=1,AN254&lt;&gt;1)),ISNUMBER(AG254),AG254&lt;=T254),AS254,0),IF(AND(NOT(AND(AO254=1,AN254&lt;&gt;1)),ISNUMBER(AH254),AH254&lt;=T254),AT254,0),IF(AND(NOT(AND(AO254=1,AN254&lt;&gt;1)),ISNUMBER(AI254),AI254&lt;=T254),AU254,0),IF(AND(ISNUMBER(AJ254),AJ254&lt;=T254),AV254,0))),"AB",IF(AND(IF(AND(NOT(AND(AO254=1,AN254&lt;&gt;1)),ISNUMBER(AI254),AI254&lt;=T254),AU254,0)&gt;0,IF(AND(NOT(AND(AO254=1,AN254&lt;&gt;1)),ISNUMBER(AI254),AI254&lt;=T254),AU254,0)=MAX(IF(AND(NOT(AND(AO254=1,AN254&lt;&gt;1)),ISNUMBER(AG254),AG254&lt;=T254),AS254,0),IF(AND(NOT(AND(AO254=1,AN254&lt;&gt;1)),ISNUMBER(AH254),AH254&lt;=T254),AT254,0),IF(AND(NOT(AND(AO254=1,AN254&lt;&gt;1)),ISNUMBER(AI254),AI254&lt;=T254),AU254,0),IF(AND(ISNUMBER(AJ254),AJ254&lt;=T254),AV254,0))),"SC","Mag")))))))</f>
        <v/>
      </c>
    </row>
    <row r="255">
      <c r="A255" s="26" t="n">
        <v>250</v>
      </c>
      <c r="B255" s="27">
        <f>A255*10/60</f>
        <v/>
      </c>
      <c r="C255" s="22">
        <f>X254</f>
        <v/>
      </c>
      <c r="D255" s="27">
        <f>D254+W254</f>
        <v/>
      </c>
      <c r="E255" s="26">
        <f>E254+IF(U254="SW",1,0)</f>
        <v/>
      </c>
      <c r="F255" s="26">
        <f>F254+IF(U254="AB",1,0)</f>
        <v/>
      </c>
      <c r="G255" s="26">
        <f>G254+IF(U254="SC",1,0)</f>
        <v/>
      </c>
      <c r="H255" s="26">
        <f>H254+IF(U254="Mag",1,0)</f>
        <v/>
      </c>
      <c r="I255" s="26">
        <f>MAX(I254,IF(U254="OR",1,0))</f>
        <v/>
      </c>
      <c r="J255" s="26">
        <f>MAX(J254,IF(U254="HP",1,0))</f>
        <v/>
      </c>
      <c r="K255" s="26">
        <f>MAX(K254,IF(U254="FP",1,0))</f>
        <v/>
      </c>
      <c r="L255" s="26">
        <f>MAX(L254,IF(U254="transition",1,0))</f>
        <v/>
      </c>
      <c r="M255" s="28">
        <f>(Parameters!$B$9+(IF(E255=0,0,(Upgrades!$J$6+E255*Upgrades!$K$6)*POWER(Upgrades!$L$6,E255)))*(IF(Upgrades!$T$7="Solar Wind",POWER(Upgrades!$U$7,F255),1)*IF(Upgrades!$T$8="Solar Wind",POWER(Upgrades!$U$8,G255),1)*IF(Upgrades!$T$9="Solar Wind",POWER(Upgrades!$U$9,H255),1)*IF(Upgrades!$T$10="Solar Wind",POWER(Upgrades!$U$10,I255),1)*IF(Upgrades!$T$11="Solar Wind",POWER(Upgrades!$U$11,J255),1)*IF(Upgrades!$T$12="Solar Wind",POWER(Upgrades!$U$12,K255),1))+(IF(F255=0,0,(Upgrades!$J$7+F255*Upgrades!$K$7)*POWER(Upgrades!$L$7,F255)))*(IF(Upgrades!$T$6="Asteroid Belt",POWER(Upgrades!$U$6,E255),1)*IF(Upgrades!$T$8="Asteroid Belt",POWER(Upgrades!$U$8,G255),1)*IF(Upgrades!$T$9="Asteroid Belt",POWER(Upgrades!$U$9,H255),1)*IF(Upgrades!$T$10="Asteroid Belt",POWER(Upgrades!$U$10,I255),1)*IF(Upgrades!$T$11="Asteroid Belt",POWER(Upgrades!$U$11,J255),1)*IF(Upgrades!$T$12="Asteroid Belt",POWER(Upgrades!$U$12,K255),1))+(IF(G255=0,0,(Upgrades!$J$8+G255*Upgrades!$K$8)*POWER(Upgrades!$L$8,G255)))*(IF(Upgrades!$T$6="Stellar Coupling",POWER(Upgrades!$U$6,E255),1)*IF(Upgrades!$T$7="Stellar Coupling",POWER(Upgrades!$U$7,F255),1)*IF(Upgrades!$T$9="Stellar Coupling",POWER(Upgrades!$U$9,H255),1)*IF(Upgrades!$T$10="Stellar Coupling",POWER(Upgrades!$U$10,I255),1)*IF(Upgrades!$T$11="Stellar Coupling",POWER(Upgrades!$U$11,J255),1)*IF(Upgrades!$T$12="Stellar Coupling",POWER(Upgrades!$U$12,K255),1))+(IF(H255=0,0,(Upgrades!$J$9+H255*Upgrades!$K$9)*POWER(Upgrades!$L$9,H255)))*(IF(Upgrades!$T$6="Magnetosphere",POWER(Upgrades!$U$6,E255),1)*IF(Upgrades!$T$7="Magnetosphere",POWER(Upgrades!$U$7,F255),1)*IF(Upgrades!$T$8="Magnetosphere",POWER(Upgrades!$U$8,G255),1)*IF(Upgrades!$T$10="Magnetosphere",POWER(Upgrades!$U$10,I255),1)*IF(Upgrades!$T$11="Magnetosphere",POWER(Upgrades!$U$11,J255),1)*IF(Upgrades!$T$12="Magnetosphere",POWER(Upgrades!$U$12,K255),1))+(IF(I255=0,0,(Upgrades!$J$10+I255*Upgrades!$K$10)*POWER(Upgrades!$L$10,I255)))*(IF(Upgrades!$T$6="Orbital Resonance",POWER(Upgrades!$U$6,E255),1)*IF(Upgrades!$T$7="Orbital Resonance",POWER(Upgrades!$U$7,F255),1)*IF(Upgrades!$T$8="Orbital Resonance",POWER(Upgrades!$U$8,G255),1)*IF(Upgrades!$T$9="Orbital Resonance",POWER(Upgrades!$U$9,H255),1)*IF(Upgrades!$T$11="Orbital Resonance",POWER(Upgrades!$U$11,J255),1)*IF(Upgrades!$T$12="Orbital Resonance",POWER(Upgrades!$U$12,K255),1))+(IF(J255=0,0,(Upgrades!$J$11+J255*Upgrades!$K$11)*POWER(Upgrades!$L$11,J255)))*(IF(Upgrades!$T$6="Heliopause",POWER(Upgrades!$U$6,E255),1)*IF(Upgrades!$T$7="Heliopause",POWER(Upgrades!$U$7,F255),1)*IF(Upgrades!$T$8="Heliopause",POWER(Upgrades!$U$8,G255),1)*IF(Upgrades!$T$9="Heliopause",POWER(Upgrades!$U$9,H255),1)*IF(Upgrades!$T$10="Heliopause",POWER(Upgrades!$U$10,I255),1)*IF(Upgrades!$T$12="Heliopause",POWER(Upgrades!$U$12,K255),1))+(IF(K255=0,0,(Upgrades!$J$12+K255*Upgrades!$K$12)*POWER(Upgrades!$L$12,K255)))*(IF(Upgrades!$T$6="First Photons",POWER(Upgrades!$U$6,E255),1)*IF(Upgrades!$T$7="First Photons",POWER(Upgrades!$U$7,F255),1)*IF(Upgrades!$T$8="First Photons",POWER(Upgrades!$U$8,G255),1)*IF(Upgrades!$T$9="First Photons",POWER(Upgrades!$U$9,H255),1)*IF(Upgrades!$T$10="First Photons",POWER(Upgrades!$U$10,I255),1)*IF(Upgrades!$T$11="First Photons",POWER(Upgrades!$U$11,J255),1)))*POWER(Upgrades!$Q$6,E255)*POWER(Upgrades!$Q$7,F255)*POWER(Upgrades!$Q$8,G255)*POWER(Upgrades!$Q$9,H255)*POWER(Upgrades!$Q$10,I255)*POWER(Upgrades!$Q$11,J255)*POWER(Upgrades!$Q$12,K255)</f>
        <v/>
      </c>
      <c r="N255" s="28">
        <f>((IF(E255=0,0,(Upgrades!$G$6+E255*Upgrades!$H$6)*POWER(Upgrades!$I$6,E255)))*(IF(Upgrades!$T$7="Solar Wind",POWER(Upgrades!$U$7,F255),1)*IF(Upgrades!$T$8="Solar Wind",POWER(Upgrades!$U$8,G255),1)*IF(Upgrades!$T$9="Solar Wind",POWER(Upgrades!$U$9,H255),1)*IF(Upgrades!$T$10="Solar Wind",POWER(Upgrades!$U$10,I255),1)*IF(Upgrades!$T$11="Solar Wind",POWER(Upgrades!$U$11,J255),1)*IF(Upgrades!$T$12="Solar Wind",POWER(Upgrades!$U$12,K255),1))+(IF(F255=0,0,(Upgrades!$G$7+F255*Upgrades!$H$7)*POWER(Upgrades!$I$7,F255)))*(IF(Upgrades!$T$6="Asteroid Belt",POWER(Upgrades!$U$6,E255),1)*IF(Upgrades!$T$8="Asteroid Belt",POWER(Upgrades!$U$8,G255),1)*IF(Upgrades!$T$9="Asteroid Belt",POWER(Upgrades!$U$9,H255),1)*IF(Upgrades!$T$10="Asteroid Belt",POWER(Upgrades!$U$10,I255),1)*IF(Upgrades!$T$11="Asteroid Belt",POWER(Upgrades!$U$11,J255),1)*IF(Upgrades!$T$12="Asteroid Belt",POWER(Upgrades!$U$12,K255),1))+(IF(G255=0,0,(Upgrades!$G$8+G255*Upgrades!$H$8)*POWER(Upgrades!$I$8,G255)))*(IF(Upgrades!$T$6="Stellar Coupling",POWER(Upgrades!$U$6,E255),1)*IF(Upgrades!$T$7="Stellar Coupling",POWER(Upgrades!$U$7,F255),1)*IF(Upgrades!$T$9="Stellar Coupling",POWER(Upgrades!$U$9,H255),1)*IF(Upgrades!$T$10="Stellar Coupling",POWER(Upgrades!$U$10,I255),1)*IF(Upgrades!$T$11="Stellar Coupling",POWER(Upgrades!$U$11,J255),1)*IF(Upgrades!$T$12="Stellar Coupling",POWER(Upgrades!$U$12,K255),1))+(IF(H255=0,0,(Upgrades!$G$9+H255*Upgrades!$H$9)*POWER(Upgrades!$I$9,H255)))*(IF(Upgrades!$T$6="Magnetosphere",POWER(Upgrades!$U$6,E255),1)*IF(Upgrades!$T$7="Magnetosphere",POWER(Upgrades!$U$7,F255),1)*IF(Upgrades!$T$8="Magnetosphere",POWER(Upgrades!$U$8,G255),1)*IF(Upgrades!$T$10="Magnetosphere",POWER(Upgrades!$U$10,I255),1)*IF(Upgrades!$T$11="Magnetosphere",POWER(Upgrades!$U$11,J255),1)*IF(Upgrades!$T$12="Magnetosphere",POWER(Upgrades!$U$12,K255),1))+(IF(I255=0,0,(Upgrades!$G$10+I255*Upgrades!$H$10)*POWER(Upgrades!$I$10,I255)))*(IF(Upgrades!$T$6="Orbital Resonance",POWER(Upgrades!$U$6,E255),1)*IF(Upgrades!$T$7="Orbital Resonance",POWER(Upgrades!$U$7,F255),1)*IF(Upgrades!$T$8="Orbital Resonance",POWER(Upgrades!$U$8,G255),1)*IF(Upgrades!$T$9="Orbital Resonance",POWER(Upgrades!$U$9,H255),1)*IF(Upgrades!$T$11="Orbital Resonance",POWER(Upgrades!$U$11,J255),1)*IF(Upgrades!$T$12="Orbital Resonance",POWER(Upgrades!$U$12,K255),1))+(IF(J255=0,0,(Upgrades!$G$11+J255*Upgrades!$H$11)*POWER(Upgrades!$I$11,J255)))*(IF(Upgrades!$T$6="Heliopause",POWER(Upgrades!$U$6,E255),1)*IF(Upgrades!$T$7="Heliopause",POWER(Upgrades!$U$7,F255),1)*IF(Upgrades!$T$8="Heliopause",POWER(Upgrades!$U$8,G255),1)*IF(Upgrades!$T$9="Heliopause",POWER(Upgrades!$U$9,H255),1)*IF(Upgrades!$T$10="Heliopause",POWER(Upgrades!$U$10,I255),1)*IF(Upgrades!$T$12="Heliopause",POWER(Upgrades!$U$12,K255),1))+(IF(K255=0,0,(Upgrades!$G$12+K255*Upgrades!$H$12)*POWER(Upgrades!$I$12,K255)))*(IF(Upgrades!$T$6="First Photons",POWER(Upgrades!$U$6,E255),1)*IF(Upgrades!$T$7="First Photons",POWER(Upgrades!$U$7,F255),1)*IF(Upgrades!$T$8="First Photons",POWER(Upgrades!$U$8,G255),1)*IF(Upgrades!$T$9="First Photons",POWER(Upgrades!$U$9,H255),1)*IF(Upgrades!$T$10="First Photons",POWER(Upgrades!$U$10,I255),1)*IF(Upgrades!$T$11="First Photons",POWER(Upgrades!$U$11,J255),1)))*POWER(Upgrades!$P$6,E255)*POWER(Upgrades!$P$7,F255)*POWER(Upgrades!$P$8,G255)*POWER(Upgrades!$P$9,H255)*POWER(Upgrades!$P$10,I255)*POWER(Upgrades!$P$11,J255)*POWER(Upgrades!$P$12,K255)</f>
        <v/>
      </c>
      <c r="O255" s="28">
        <f>((IF(E255=0,0,(Upgrades!$M$6+E255*Upgrades!$N$6)*POWER(Upgrades!$O$6,E255)))*(IF(Upgrades!$T$7="Solar Wind",POWER(Upgrades!$U$7,F255),1)*IF(Upgrades!$T$8="Solar Wind",POWER(Upgrades!$U$8,G255),1)*IF(Upgrades!$T$9="Solar Wind",POWER(Upgrades!$U$9,H255),1)*IF(Upgrades!$T$10="Solar Wind",POWER(Upgrades!$U$10,I255),1)*IF(Upgrades!$T$11="Solar Wind",POWER(Upgrades!$U$11,J255),1)*IF(Upgrades!$T$12="Solar Wind",POWER(Upgrades!$U$12,K255),1))+(IF(F255=0,0,(Upgrades!$M$7+F255*Upgrades!$N$7)*POWER(Upgrades!$O$7,F255)))*(IF(Upgrades!$T$6="Asteroid Belt",POWER(Upgrades!$U$6,E255),1)*IF(Upgrades!$T$8="Asteroid Belt",POWER(Upgrades!$U$8,G255),1)*IF(Upgrades!$T$9="Asteroid Belt",POWER(Upgrades!$U$9,H255),1)*IF(Upgrades!$T$10="Asteroid Belt",POWER(Upgrades!$U$10,I255),1)*IF(Upgrades!$T$11="Asteroid Belt",POWER(Upgrades!$U$11,J255),1)*IF(Upgrades!$T$12="Asteroid Belt",POWER(Upgrades!$U$12,K255),1))+(IF(G255=0,0,(Upgrades!$M$8+G255*Upgrades!$N$8)*POWER(Upgrades!$O$8,G255)))*(IF(Upgrades!$T$6="Stellar Coupling",POWER(Upgrades!$U$6,E255),1)*IF(Upgrades!$T$7="Stellar Coupling",POWER(Upgrades!$U$7,F255),1)*IF(Upgrades!$T$9="Stellar Coupling",POWER(Upgrades!$U$9,H255),1)*IF(Upgrades!$T$10="Stellar Coupling",POWER(Upgrades!$U$10,I255),1)*IF(Upgrades!$T$11="Stellar Coupling",POWER(Upgrades!$U$11,J255),1)*IF(Upgrades!$T$12="Stellar Coupling",POWER(Upgrades!$U$12,K255),1))+(IF(H255=0,0,(Upgrades!$M$9+H255*Upgrades!$N$9)*POWER(Upgrades!$O$9,H255)))*(IF(Upgrades!$T$6="Magnetosphere",POWER(Upgrades!$U$6,E255),1)*IF(Upgrades!$T$7="Magnetosphere",POWER(Upgrades!$U$7,F255),1)*IF(Upgrades!$T$8="Magnetosphere",POWER(Upgrades!$U$8,G255),1)*IF(Upgrades!$T$10="Magnetosphere",POWER(Upgrades!$U$10,I255),1)*IF(Upgrades!$T$11="Magnetosphere",POWER(Upgrades!$U$11,J255),1)*IF(Upgrades!$T$12="Magnetosphere",POWER(Upgrades!$U$12,K255),1))+(IF(I255=0,0,(Upgrades!$M$10+I255*Upgrades!$N$10)*POWER(Upgrades!$O$10,I255)))*(IF(Upgrades!$T$6="Orbital Resonance",POWER(Upgrades!$U$6,E255),1)*IF(Upgrades!$T$7="Orbital Resonance",POWER(Upgrades!$U$7,F255),1)*IF(Upgrades!$T$8="Orbital Resonance",POWER(Upgrades!$U$8,G255),1)*IF(Upgrades!$T$9="Orbital Resonance",POWER(Upgrades!$U$9,H255),1)*IF(Upgrades!$T$11="Orbital Resonance",POWER(Upgrades!$U$11,J255),1)*IF(Upgrades!$T$12="Orbital Resonance",POWER(Upgrades!$U$12,K255),1))+(IF(J255=0,0,(Upgrades!$M$11+J255*Upgrades!$N$11)*POWER(Upgrades!$O$11,J255)))*(IF(Upgrades!$T$6="Heliopause",POWER(Upgrades!$U$6,E255),1)*IF(Upgrades!$T$7="Heliopause",POWER(Upgrades!$U$7,F255),1)*IF(Upgrades!$T$8="Heliopause",POWER(Upgrades!$U$8,G255),1)*IF(Upgrades!$T$9="Heliopause",POWER(Upgrades!$U$9,H255),1)*IF(Upgrades!$T$10="Heliopause",POWER(Upgrades!$U$10,I255),1)*IF(Upgrades!$T$12="Heliopause",POWER(Upgrades!$U$12,K255),1))+(IF(K255=0,0,(Upgrades!$M$12+K255*Upgrades!$N$12)*POWER(Upgrades!$O$12,K255)))*(IF(Upgrades!$T$6="First Photons",POWER(Upgrades!$U$6,E255),1)*IF(Upgrades!$T$7="First Photons",POWER(Upgrades!$U$7,F255),1)*IF(Upgrades!$T$8="First Photons",POWER(Upgrades!$U$8,G255),1)*IF(Upgrades!$T$9="First Photons",POWER(Upgrades!$U$9,H255),1)*IF(Upgrades!$T$10="First Photons",POWER(Upgrades!$U$10,I255),1)*IF(Upgrades!$T$11="First Photons",POWER(Upgrades!$U$11,J255),1)))*POWER(Upgrades!$R$6,E255)*POWER(Upgrades!$R$7,F255)*POWER(Upgrades!$R$8,G255)*POWER(Upgrades!$R$9,H255)*POWER(Upgrades!$R$10,I255)*POWER(Upgrades!$R$11,J255)*POWER(Upgrades!$R$12,K255)</f>
        <v/>
      </c>
      <c r="P255" s="27">
        <f>IF(L255=1,0,M255*Parameters!$B$10/60*Parameters!$B$11*10)</f>
        <v/>
      </c>
      <c r="Q255" s="27">
        <f>IF(L255=1,0,O255*M255*10)</f>
        <v/>
      </c>
      <c r="R255" s="27">
        <f>IF(L255=1,0,N255*10)</f>
        <v/>
      </c>
      <c r="S255" s="27">
        <f>P255+Q255+R255</f>
        <v/>
      </c>
      <c r="T255" s="22">
        <f>C255+S255</f>
        <v/>
      </c>
      <c r="U255" s="33">
        <f>AX255</f>
        <v/>
      </c>
      <c r="V255" s="22">
        <f>IF(U255="",0,IF(U255="transition",0,IF(U255="SW",AG255,IF(U255="AB",AH255,IF(U255="SC",AI255,IF(U255="Mag",AJ255,IF(U255="OR",AK255,IF(U255="HP",AL255,IF(U255="FP",AM255,0)))))))))</f>
        <v/>
      </c>
      <c r="W255" s="27">
        <f>IF(U255="OR",Upgrades!$F$10,IF(U255="HP",Upgrades!$F$11,IF(U255="transition",-Parameters!$B$18,0)))</f>
        <v/>
      </c>
      <c r="X255" s="22">
        <f>T255-V255</f>
        <v/>
      </c>
      <c r="Y255" s="30">
        <f>M255*Parameters!$B$10/60*Parameters!$B$11+O255*M255+N255</f>
        <v/>
      </c>
      <c r="Z255" s="34">
        <f>IF(U255="transition","→ Tier 2 (Stellar Neighborhood)",IF(U255="FP","First Photons — light begins, system quickens",IF(U255="HP","Heliopause acquired",IF(U255="OR","Orbital Resonance — passive multiplier active",IF(AND(AO255=1,L255=0,AN255&lt;&gt;1),"Cohesion ready (waiting on completionist upgrades)","")))))</f>
        <v/>
      </c>
      <c r="AA255" s="27">
        <f>(IF(E255=0,0,(Upgrades!$G$6+E255*Upgrades!$H$6)*POWER(Upgrades!$I$6,E255)))*(IF(Upgrades!$T$7="Solar Wind",POWER(Upgrades!$U$7,F255),1)*IF(Upgrades!$T$8="Solar Wind",POWER(Upgrades!$U$8,G255),1)*IF(Upgrades!$T$9="Solar Wind",POWER(Upgrades!$U$9,H255),1)*IF(Upgrades!$T$10="Solar Wind",POWER(Upgrades!$U$10,I255),1)*IF(Upgrades!$T$11="Solar Wind",POWER(Upgrades!$U$11,J255),1)*IF(Upgrades!$T$12="Solar Wind",POWER(Upgrades!$U$12,K255),1))*POWER(Upgrades!$P$6,E255)*POWER(Upgrades!$P$7,F255)*POWER(Upgrades!$P$8,G255)*POWER(Upgrades!$P$9,H255)*POWER(Upgrades!$P$10,I255)*POWER(Upgrades!$P$11,J255)*POWER(Upgrades!$P$12,K255)*60</f>
        <v/>
      </c>
      <c r="AB255" s="27">
        <f>(IF(F255=0,0,(Upgrades!$G$7+F255*Upgrades!$H$7)*POWER(Upgrades!$I$7,F255)))*(IF(Upgrades!$T$6="Asteroid Belt",POWER(Upgrades!$U$6,E255),1)*IF(Upgrades!$T$8="Asteroid Belt",POWER(Upgrades!$U$8,G255),1)*IF(Upgrades!$T$9="Asteroid Belt",POWER(Upgrades!$U$9,H255),1)*IF(Upgrades!$T$10="Asteroid Belt",POWER(Upgrades!$U$10,I255),1)*IF(Upgrades!$T$11="Asteroid Belt",POWER(Upgrades!$U$11,J255),1)*IF(Upgrades!$T$12="Asteroid Belt",POWER(Upgrades!$U$12,K255),1))*POWER(Upgrades!$P$6,E255)*POWER(Upgrades!$P$7,F255)*POWER(Upgrades!$P$8,G255)*POWER(Upgrades!$P$9,H255)*POWER(Upgrades!$P$10,I255)*POWER(Upgrades!$P$11,J255)*POWER(Upgrades!$P$12,K255)*60</f>
        <v/>
      </c>
      <c r="AC255" s="27">
        <f>(IF(G255=0,0,(Upgrades!$J$8+G255*Upgrades!$K$8)*POWER(Upgrades!$L$8,G255)))*(IF(Upgrades!$T$6="Stellar Coupling",POWER(Upgrades!$U$6,E255),1)*IF(Upgrades!$T$7="Stellar Coupling",POWER(Upgrades!$U$7,F255),1)*IF(Upgrades!$T$9="Stellar Coupling",POWER(Upgrades!$U$9,H255),1)*IF(Upgrades!$T$10="Stellar Coupling",POWER(Upgrades!$U$10,I255),1)*IF(Upgrades!$T$11="Stellar Coupling",POWER(Upgrades!$U$11,J255),1)*IF(Upgrades!$T$12="Stellar Coupling",POWER(Upgrades!$U$12,K255),1))*POWER(Upgrades!$Q$6,E255)*POWER(Upgrades!$Q$7,F255)*POWER(Upgrades!$Q$8,G255)*POWER(Upgrades!$Q$9,H255)*POWER(Upgrades!$Q$10,I255)*POWER(Upgrades!$Q$11,J255)*POWER(Upgrades!$Q$12,K255)*Parameters!$B$10*Parameters!$B$11</f>
        <v/>
      </c>
      <c r="AD255" s="27">
        <f>(IF(H255=0,0,(Upgrades!$G$9+H255*Upgrades!$H$9)*POWER(Upgrades!$I$9,H255)))*(IF(Upgrades!$T$6="Magnetosphere",POWER(Upgrades!$U$6,E255),1)*IF(Upgrades!$T$7="Magnetosphere",POWER(Upgrades!$U$7,F255),1)*IF(Upgrades!$T$8="Magnetosphere",POWER(Upgrades!$U$8,G255),1)*IF(Upgrades!$T$10="Magnetosphere",POWER(Upgrades!$U$10,I255),1)*IF(Upgrades!$T$11="Magnetosphere",POWER(Upgrades!$U$11,J255),1)*IF(Upgrades!$T$12="Magnetosphere",POWER(Upgrades!$U$12,K255),1))*POWER(Upgrades!$P$6,E255)*POWER(Upgrades!$P$7,F255)*POWER(Upgrades!$P$8,G255)*POWER(Upgrades!$P$9,H255)*POWER(Upgrades!$P$10,I255)*POWER(Upgrades!$P$11,J255)*POWER(Upgrades!$P$12,K255)*60</f>
        <v/>
      </c>
      <c r="AE255" s="27">
        <f>(IF(K255=0,0,(Upgrades!$G$12+K255*Upgrades!$H$12)*POWER(Upgrades!$I$12,K255)))*(IF(Upgrades!$T$6="First Photons",POWER(Upgrades!$U$6,E255),1)*IF(Upgrades!$T$7="First Photons",POWER(Upgrades!$U$7,F255),1)*IF(Upgrades!$T$8="First Photons",POWER(Upgrades!$U$8,G255),1)*IF(Upgrades!$T$9="First Photons",POWER(Upgrades!$U$9,H255),1)*IF(Upgrades!$T$10="First Photons",POWER(Upgrades!$U$10,I255),1)*IF(Upgrades!$T$11="First Photons",POWER(Upgrades!$U$11,J255),1))*POWER(Upgrades!$P$6,E255)*POWER(Upgrades!$P$7,F255)*POWER(Upgrades!$P$8,G255)*POWER(Upgrades!$P$9,H255)*POWER(Upgrades!$P$10,I255)*POWER(Upgrades!$P$11,J255)*POWER(Upgrades!$P$12,K255)*60</f>
        <v/>
      </c>
      <c r="AF255" s="27">
        <f>Parameters!$B$9*POWER(Upgrades!$Q$6,E255)*POWER(Upgrades!$Q$7,F255)*POWER(Upgrades!$Q$8,G255)*POWER(Upgrades!$Q$9,H255)*POWER(Upgrades!$Q$10,I255)*POWER(Upgrades!$Q$11,J255)*POWER(Upgrades!$Q$12,K255)*(Parameters!$B$10*Parameters!$B$11+O255*60)</f>
        <v/>
      </c>
      <c r="AG255" s="22">
        <f>IF(E255&gt;=Upgrades!$E$6,"",Upgrades!$C$6*POWER(Upgrades!$D$6,E255))</f>
        <v/>
      </c>
      <c r="AH255" s="22">
        <f>IF(F255&gt;=Upgrades!$E$7,"",Upgrades!$C$7*POWER(Upgrades!$D$7,F255))</f>
        <v/>
      </c>
      <c r="AI255" s="22">
        <f>IF(G255&gt;=Upgrades!$E$8,"",Upgrades!$C$8*POWER(Upgrades!$D$8,G255))</f>
        <v/>
      </c>
      <c r="AJ255" s="22">
        <f>IF(H255&gt;=Upgrades!$E$9,"",Upgrades!$C$9*POWER(Upgrades!$D$9,H255))</f>
        <v/>
      </c>
      <c r="AK255" s="22">
        <f>IF(I255&gt;=Upgrades!$E$10,"",Upgrades!$C$10*POWER(Upgrades!$D$10,I255))</f>
        <v/>
      </c>
      <c r="AL255" s="22">
        <f>IF(J255&gt;=Upgrades!$E$11,"",Upgrades!$C$11*POWER(Upgrades!$D$11,J255))</f>
        <v/>
      </c>
      <c r="AM255" s="22">
        <f>IF(K255&gt;=Upgrades!$E$12,"",Upgrades!$C$12*POWER(Upgrades!$D$12,K255))</f>
        <v/>
      </c>
      <c r="AN255" s="26">
        <f>IF(AND(D255&gt;=Parameters!$B$18,(H255&gt;=Upgrades!$E$9)*(K255&gt;=Upgrades!$E$12)=1,L255=0),1,"")</f>
        <v/>
      </c>
      <c r="AO255" s="26">
        <f>IF(AND(D255&gt;=Parameters!$B$18,L255=0),1,"")</f>
        <v/>
      </c>
      <c r="AP255" s="22">
        <f>MIN(IF(ISNUMBER(AK255),AK255,9E15),IF(ISNUMBER(AL255),AL255,9E15),IF(ISNUMBER(AM255),AM255,9E15))</f>
        <v/>
      </c>
      <c r="AQ255" s="22">
        <f>MIN(IF(ISNUMBER(AG255),AG255,9E15),IF(ISNUMBER(AH255),AH255,9E15),IF(ISNUMBER(AI255),AI255,9E15),IF(ISNUMBER(AJ255),AJ255,9E15))</f>
        <v/>
      </c>
      <c r="AR255" s="29">
        <f>IF(AW255&gt;Parameters!$B$21*(MAX(IF(AND(NOT(AND(AO255=1,AN255&lt;&gt;1)),ISNUMBER(AG255),AG255&lt;=T255),AS255,0),IF(AND(NOT(AND(AO255=1,AN255&lt;&gt;1)),ISNUMBER(AH255),AH255&lt;=T255),AT255,0),IF(AND(NOT(AND(AO255=1,AN255&lt;&gt;1)),ISNUMBER(AI255),AI255&lt;=T255),AU255,0),IF(AND(ISNUMBER(AJ255),AJ255&lt;=T255),AV255,0))),TRUE,FALSE)</f>
        <v/>
      </c>
      <c r="AS255" s="32">
        <f>IFERROR(Upgrades!$H$6*(POWER(Upgrades!$P$6,E255)*POWER(Upgrades!$P$7,F255)*POWER(Upgrades!$P$8,G255)*POWER(Upgrades!$P$9,H255)*POWER(Upgrades!$P$10,I255)*POWER(Upgrades!$P$11,J255)*POWER(Upgrades!$P$12,K255))*(IF(Upgrades!$T$7="Solar Wind",POWER(Upgrades!$U$7,F255),1)*IF(Upgrades!$T$8="Solar Wind",POWER(Upgrades!$U$8,G255),1)*IF(Upgrades!$T$9="Solar Wind",POWER(Upgrades!$U$9,H255),1)*IF(Upgrades!$T$10="Solar Wind",POWER(Upgrades!$U$10,I255),1)*IF(Upgrades!$T$11="Solar Wind",POWER(Upgrades!$U$11,J255),1)*IF(Upgrades!$T$12="Solar Wind",POWER(Upgrades!$U$12,K255),1))/AG255,0)</f>
        <v/>
      </c>
      <c r="AT255" s="32">
        <f>IFERROR(Upgrades!$H$7*(POWER(Upgrades!$P$6,E255)*POWER(Upgrades!$P$7,F255)*POWER(Upgrades!$P$8,G255)*POWER(Upgrades!$P$9,H255)*POWER(Upgrades!$P$10,I255)*POWER(Upgrades!$P$11,J255)*POWER(Upgrades!$P$12,K255))*(IF(Upgrades!$T$6="Asteroid Belt",POWER(Upgrades!$U$6,E255),1)*IF(Upgrades!$T$8="Asteroid Belt",POWER(Upgrades!$U$8,G255),1)*IF(Upgrades!$T$9="Asteroid Belt",POWER(Upgrades!$U$9,H255),1)*IF(Upgrades!$T$10="Asteroid Belt",POWER(Upgrades!$U$10,I255),1)*IF(Upgrades!$T$11="Asteroid Belt",POWER(Upgrades!$U$11,J255),1)*IF(Upgrades!$T$12="Asteroid Belt",POWER(Upgrades!$U$12,K255),1))/AH255,0)</f>
        <v/>
      </c>
      <c r="AU255" s="32">
        <f>IFERROR(Upgrades!$K$8*(POWER(Upgrades!$Q$6,E255)*POWER(Upgrades!$Q$7,F255)*POWER(Upgrades!$Q$8,G255)*POWER(Upgrades!$Q$9,H255)*POWER(Upgrades!$Q$10,I255)*POWER(Upgrades!$Q$11,J255)*POWER(Upgrades!$Q$12,K255))*(IF(Upgrades!$T$6="Stellar Coupling",POWER(Upgrades!$U$6,E255),1)*IF(Upgrades!$T$7="Stellar Coupling",POWER(Upgrades!$U$7,F255),1)*IF(Upgrades!$T$9="Stellar Coupling",POWER(Upgrades!$U$9,H255),1)*IF(Upgrades!$T$10="Stellar Coupling",POWER(Upgrades!$U$10,I255),1)*IF(Upgrades!$T$11="Stellar Coupling",POWER(Upgrades!$U$11,J255),1)*IF(Upgrades!$T$12="Stellar Coupling",POWER(Upgrades!$U$12,K255),1))*Parameters!$B$10*Parameters!$B$11/60/AI255,0)</f>
        <v/>
      </c>
      <c r="AV255" s="32">
        <f>IFERROR(Upgrades!$H$9*(POWER(Upgrades!$P$6,E255)*POWER(Upgrades!$P$7,F255)*POWER(Upgrades!$P$8,G255)*POWER(Upgrades!$P$9,H255)*POWER(Upgrades!$P$10,I255)*POWER(Upgrades!$P$11,J255)*POWER(Upgrades!$P$12,K255))*(IF(Upgrades!$T$6="Magnetosphere",POWER(Upgrades!$U$6,E255),1)*IF(Upgrades!$T$7="Magnetosphere",POWER(Upgrades!$U$7,F255),1)*IF(Upgrades!$T$8="Magnetosphere",POWER(Upgrades!$U$8,G255),1)*IF(Upgrades!$T$10="Magnetosphere",POWER(Upgrades!$U$10,I255),1)*IF(Upgrades!$T$11="Magnetosphere",POWER(Upgrades!$U$11,J255),1)*IF(Upgrades!$T$12="Magnetosphere",POWER(Upgrades!$U$12,K255),1))/AJ255,0)</f>
        <v/>
      </c>
      <c r="AW255" s="32">
        <f>MAX(IF(I255&gt;0,0,IFERROR(0.25*N255/Upgrades!$C$10,0)),IF(J255&gt;0,0,IFERROR(0.5*((IF(G255=0,0,(Upgrades!$J$8+G255*Upgrades!$K$8)*POWER(Upgrades!$L$8,G255)))*(IF(Upgrades!$T$6="Stellar Coupling",POWER(Upgrades!$U$6,E255),1)*IF(Upgrades!$T$7="Stellar Coupling",POWER(Upgrades!$U$7,F255),1)*IF(Upgrades!$T$9="Stellar Coupling",POWER(Upgrades!$U$9,H255),1)*IF(Upgrades!$T$10="Stellar Coupling",POWER(Upgrades!$U$10,I255),1)*IF(Upgrades!$T$11="Stellar Coupling",POWER(Upgrades!$U$11,J255),1)*IF(Upgrades!$T$12="Stellar Coupling",POWER(Upgrades!$U$12,K255),1))*(POWER(Upgrades!$Q$6,E255)*POWER(Upgrades!$Q$7,F255)*POWER(Upgrades!$Q$8,G255)*POWER(Upgrades!$Q$9,H255)*POWER(Upgrades!$Q$10,I255)*POWER(Upgrades!$Q$11,J255)*POWER(Upgrades!$Q$12,K255))*Parameters!$B$10*Parameters!$B$11/60)/Upgrades!$C$11,0)),IF(K255&gt;0,0,IFERROR((1.0*(POWER(Upgrades!$P$6,E255)*POWER(Upgrades!$P$7,F255)*POWER(Upgrades!$P$8,G255)*POWER(Upgrades!$P$9,H255)*POWER(Upgrades!$P$10,I255)*POWER(Upgrades!$P$11,J255)*POWER(Upgrades!$P$12,K255))+0.20*M255*Parameters!$B$10*Parameters!$B$11/60)/Upgrades!$C$12,0)),IF(AND(ISNUMBER(AG255),AG255&gt;T255),AS255,0),IF(AND(ISNUMBER(AH255),AH255&gt;T255),AT255,0),IF(AND(ISNUMBER(AI255),AI255&gt;T255),AU255,0),IF(AND(ISNUMBER(AJ255),AJ255&gt;T255),AV255,0))</f>
        <v/>
      </c>
      <c r="AX255" s="29">
        <f>IF(AN255=1,"transition",IF(MIN(IF(AND(I255=0,ISNUMBER(AK255),AK255&lt;=T255),AK255,9E15),IF(AND(J255=0,ISNUMBER(AL255),AL255&lt;=T255),AL255,9E15),IF(AND(K255=0,ISNUMBER(AM255),AM255&lt;=T255),AM255,9E15))&lt;9E15,IF(AND(AND(I255=0,ISNUMBER(AK255),AK255&lt;=T255),AK255=MIN(IF(AND(I255=0,ISNUMBER(AK255),AK255&lt;=T255),AK255,9E15),IF(AND(J255=0,ISNUMBER(AL255),AL255&lt;=T255),AL255,9E15),IF(AND(K255=0,ISNUMBER(AM255),AM255&lt;=T255),AM255,9E15))),"OR",IF(AND(AND(J255=0,ISNUMBER(AL255),AL255&lt;=T255),AL255=MIN(IF(AND(I255=0,ISNUMBER(AK255),AK255&lt;=T255),AK255,9E15),IF(AND(J255=0,ISNUMBER(AL255),AL255&lt;=T255),AL255,9E15),IF(AND(K255=0,ISNUMBER(AM255),AM255&lt;=T255),AM255,9E15))),"HP","FP")),IF(AR255=TRUE,"",IF(MAX(IF(AND(NOT(AND(AO255=1,AN255&lt;&gt;1)),ISNUMBER(AG255),AG255&lt;=T255),AS255,0),IF(AND(NOT(AND(AO255=1,AN255&lt;&gt;1)),ISNUMBER(AH255),AH255&lt;=T255),AT255,0),IF(AND(NOT(AND(AO255=1,AN255&lt;&gt;1)),ISNUMBER(AI255),AI255&lt;=T255),AU255,0),IF(AND(ISNUMBER(AJ255),AJ255&lt;=T255),AV255,0))&lt;=0,"",IF(AND(IF(AND(NOT(AND(AO255=1,AN255&lt;&gt;1)),ISNUMBER(AG255),AG255&lt;=T255),AS255,0)&gt;0,IF(AND(NOT(AND(AO255=1,AN255&lt;&gt;1)),ISNUMBER(AG255),AG255&lt;=T255),AS255,0)=MAX(IF(AND(NOT(AND(AO255=1,AN255&lt;&gt;1)),ISNUMBER(AG255),AG255&lt;=T255),AS255,0),IF(AND(NOT(AND(AO255=1,AN255&lt;&gt;1)),ISNUMBER(AH255),AH255&lt;=T255),AT255,0),IF(AND(NOT(AND(AO255=1,AN255&lt;&gt;1)),ISNUMBER(AI255),AI255&lt;=T255),AU255,0),IF(AND(ISNUMBER(AJ255),AJ255&lt;=T255),AV255,0))),"SW",IF(AND(IF(AND(NOT(AND(AO255=1,AN255&lt;&gt;1)),ISNUMBER(AH255),AH255&lt;=T255),AT255,0)&gt;0,IF(AND(NOT(AND(AO255=1,AN255&lt;&gt;1)),ISNUMBER(AH255),AH255&lt;=T255),AT255,0)=MAX(IF(AND(NOT(AND(AO255=1,AN255&lt;&gt;1)),ISNUMBER(AG255),AG255&lt;=T255),AS255,0),IF(AND(NOT(AND(AO255=1,AN255&lt;&gt;1)),ISNUMBER(AH255),AH255&lt;=T255),AT255,0),IF(AND(NOT(AND(AO255=1,AN255&lt;&gt;1)),ISNUMBER(AI255),AI255&lt;=T255),AU255,0),IF(AND(ISNUMBER(AJ255),AJ255&lt;=T255),AV255,0))),"AB",IF(AND(IF(AND(NOT(AND(AO255=1,AN255&lt;&gt;1)),ISNUMBER(AI255),AI255&lt;=T255),AU255,0)&gt;0,IF(AND(NOT(AND(AO255=1,AN255&lt;&gt;1)),ISNUMBER(AI255),AI255&lt;=T255),AU255,0)=MAX(IF(AND(NOT(AND(AO255=1,AN255&lt;&gt;1)),ISNUMBER(AG255),AG255&lt;=T255),AS255,0),IF(AND(NOT(AND(AO255=1,AN255&lt;&gt;1)),ISNUMBER(AH255),AH255&lt;=T255),AT255,0),IF(AND(NOT(AND(AO255=1,AN255&lt;&gt;1)),ISNUMBER(AI255),AI255&lt;=T255),AU255,0),IF(AND(ISNUMBER(AJ255),AJ255&lt;=T255),AV255,0))),"SC","Mag")))))))</f>
        <v/>
      </c>
    </row>
    <row r="256">
      <c r="A256" s="26" t="n">
        <v>251</v>
      </c>
      <c r="B256" s="27">
        <f>A256*10/60</f>
        <v/>
      </c>
      <c r="C256" s="22">
        <f>X255</f>
        <v/>
      </c>
      <c r="D256" s="27">
        <f>D255+W255</f>
        <v/>
      </c>
      <c r="E256" s="26">
        <f>E255+IF(U255="SW",1,0)</f>
        <v/>
      </c>
      <c r="F256" s="26">
        <f>F255+IF(U255="AB",1,0)</f>
        <v/>
      </c>
      <c r="G256" s="26">
        <f>G255+IF(U255="SC",1,0)</f>
        <v/>
      </c>
      <c r="H256" s="26">
        <f>H255+IF(U255="Mag",1,0)</f>
        <v/>
      </c>
      <c r="I256" s="26">
        <f>MAX(I255,IF(U255="OR",1,0))</f>
        <v/>
      </c>
      <c r="J256" s="26">
        <f>MAX(J255,IF(U255="HP",1,0))</f>
        <v/>
      </c>
      <c r="K256" s="26">
        <f>MAX(K255,IF(U255="FP",1,0))</f>
        <v/>
      </c>
      <c r="L256" s="26">
        <f>MAX(L255,IF(U255="transition",1,0))</f>
        <v/>
      </c>
      <c r="M256" s="28">
        <f>(Parameters!$B$9+(IF(E256=0,0,(Upgrades!$J$6+E256*Upgrades!$K$6)*POWER(Upgrades!$L$6,E256)))*(IF(Upgrades!$T$7="Solar Wind",POWER(Upgrades!$U$7,F256),1)*IF(Upgrades!$T$8="Solar Wind",POWER(Upgrades!$U$8,G256),1)*IF(Upgrades!$T$9="Solar Wind",POWER(Upgrades!$U$9,H256),1)*IF(Upgrades!$T$10="Solar Wind",POWER(Upgrades!$U$10,I256),1)*IF(Upgrades!$T$11="Solar Wind",POWER(Upgrades!$U$11,J256),1)*IF(Upgrades!$T$12="Solar Wind",POWER(Upgrades!$U$12,K256),1))+(IF(F256=0,0,(Upgrades!$J$7+F256*Upgrades!$K$7)*POWER(Upgrades!$L$7,F256)))*(IF(Upgrades!$T$6="Asteroid Belt",POWER(Upgrades!$U$6,E256),1)*IF(Upgrades!$T$8="Asteroid Belt",POWER(Upgrades!$U$8,G256),1)*IF(Upgrades!$T$9="Asteroid Belt",POWER(Upgrades!$U$9,H256),1)*IF(Upgrades!$T$10="Asteroid Belt",POWER(Upgrades!$U$10,I256),1)*IF(Upgrades!$T$11="Asteroid Belt",POWER(Upgrades!$U$11,J256),1)*IF(Upgrades!$T$12="Asteroid Belt",POWER(Upgrades!$U$12,K256),1))+(IF(G256=0,0,(Upgrades!$J$8+G256*Upgrades!$K$8)*POWER(Upgrades!$L$8,G256)))*(IF(Upgrades!$T$6="Stellar Coupling",POWER(Upgrades!$U$6,E256),1)*IF(Upgrades!$T$7="Stellar Coupling",POWER(Upgrades!$U$7,F256),1)*IF(Upgrades!$T$9="Stellar Coupling",POWER(Upgrades!$U$9,H256),1)*IF(Upgrades!$T$10="Stellar Coupling",POWER(Upgrades!$U$10,I256),1)*IF(Upgrades!$T$11="Stellar Coupling",POWER(Upgrades!$U$11,J256),1)*IF(Upgrades!$T$12="Stellar Coupling",POWER(Upgrades!$U$12,K256),1))+(IF(H256=0,0,(Upgrades!$J$9+H256*Upgrades!$K$9)*POWER(Upgrades!$L$9,H256)))*(IF(Upgrades!$T$6="Magnetosphere",POWER(Upgrades!$U$6,E256),1)*IF(Upgrades!$T$7="Magnetosphere",POWER(Upgrades!$U$7,F256),1)*IF(Upgrades!$T$8="Magnetosphere",POWER(Upgrades!$U$8,G256),1)*IF(Upgrades!$T$10="Magnetosphere",POWER(Upgrades!$U$10,I256),1)*IF(Upgrades!$T$11="Magnetosphere",POWER(Upgrades!$U$11,J256),1)*IF(Upgrades!$T$12="Magnetosphere",POWER(Upgrades!$U$12,K256),1))+(IF(I256=0,0,(Upgrades!$J$10+I256*Upgrades!$K$10)*POWER(Upgrades!$L$10,I256)))*(IF(Upgrades!$T$6="Orbital Resonance",POWER(Upgrades!$U$6,E256),1)*IF(Upgrades!$T$7="Orbital Resonance",POWER(Upgrades!$U$7,F256),1)*IF(Upgrades!$T$8="Orbital Resonance",POWER(Upgrades!$U$8,G256),1)*IF(Upgrades!$T$9="Orbital Resonance",POWER(Upgrades!$U$9,H256),1)*IF(Upgrades!$T$11="Orbital Resonance",POWER(Upgrades!$U$11,J256),1)*IF(Upgrades!$T$12="Orbital Resonance",POWER(Upgrades!$U$12,K256),1))+(IF(J256=0,0,(Upgrades!$J$11+J256*Upgrades!$K$11)*POWER(Upgrades!$L$11,J256)))*(IF(Upgrades!$T$6="Heliopause",POWER(Upgrades!$U$6,E256),1)*IF(Upgrades!$T$7="Heliopause",POWER(Upgrades!$U$7,F256),1)*IF(Upgrades!$T$8="Heliopause",POWER(Upgrades!$U$8,G256),1)*IF(Upgrades!$T$9="Heliopause",POWER(Upgrades!$U$9,H256),1)*IF(Upgrades!$T$10="Heliopause",POWER(Upgrades!$U$10,I256),1)*IF(Upgrades!$T$12="Heliopause",POWER(Upgrades!$U$12,K256),1))+(IF(K256=0,0,(Upgrades!$J$12+K256*Upgrades!$K$12)*POWER(Upgrades!$L$12,K256)))*(IF(Upgrades!$T$6="First Photons",POWER(Upgrades!$U$6,E256),1)*IF(Upgrades!$T$7="First Photons",POWER(Upgrades!$U$7,F256),1)*IF(Upgrades!$T$8="First Photons",POWER(Upgrades!$U$8,G256),1)*IF(Upgrades!$T$9="First Photons",POWER(Upgrades!$U$9,H256),1)*IF(Upgrades!$T$10="First Photons",POWER(Upgrades!$U$10,I256),1)*IF(Upgrades!$T$11="First Photons",POWER(Upgrades!$U$11,J256),1)))*POWER(Upgrades!$Q$6,E256)*POWER(Upgrades!$Q$7,F256)*POWER(Upgrades!$Q$8,G256)*POWER(Upgrades!$Q$9,H256)*POWER(Upgrades!$Q$10,I256)*POWER(Upgrades!$Q$11,J256)*POWER(Upgrades!$Q$12,K256)</f>
        <v/>
      </c>
      <c r="N256" s="28">
        <f>((IF(E256=0,0,(Upgrades!$G$6+E256*Upgrades!$H$6)*POWER(Upgrades!$I$6,E256)))*(IF(Upgrades!$T$7="Solar Wind",POWER(Upgrades!$U$7,F256),1)*IF(Upgrades!$T$8="Solar Wind",POWER(Upgrades!$U$8,G256),1)*IF(Upgrades!$T$9="Solar Wind",POWER(Upgrades!$U$9,H256),1)*IF(Upgrades!$T$10="Solar Wind",POWER(Upgrades!$U$10,I256),1)*IF(Upgrades!$T$11="Solar Wind",POWER(Upgrades!$U$11,J256),1)*IF(Upgrades!$T$12="Solar Wind",POWER(Upgrades!$U$12,K256),1))+(IF(F256=0,0,(Upgrades!$G$7+F256*Upgrades!$H$7)*POWER(Upgrades!$I$7,F256)))*(IF(Upgrades!$T$6="Asteroid Belt",POWER(Upgrades!$U$6,E256),1)*IF(Upgrades!$T$8="Asteroid Belt",POWER(Upgrades!$U$8,G256),1)*IF(Upgrades!$T$9="Asteroid Belt",POWER(Upgrades!$U$9,H256),1)*IF(Upgrades!$T$10="Asteroid Belt",POWER(Upgrades!$U$10,I256),1)*IF(Upgrades!$T$11="Asteroid Belt",POWER(Upgrades!$U$11,J256),1)*IF(Upgrades!$T$12="Asteroid Belt",POWER(Upgrades!$U$12,K256),1))+(IF(G256=0,0,(Upgrades!$G$8+G256*Upgrades!$H$8)*POWER(Upgrades!$I$8,G256)))*(IF(Upgrades!$T$6="Stellar Coupling",POWER(Upgrades!$U$6,E256),1)*IF(Upgrades!$T$7="Stellar Coupling",POWER(Upgrades!$U$7,F256),1)*IF(Upgrades!$T$9="Stellar Coupling",POWER(Upgrades!$U$9,H256),1)*IF(Upgrades!$T$10="Stellar Coupling",POWER(Upgrades!$U$10,I256),1)*IF(Upgrades!$T$11="Stellar Coupling",POWER(Upgrades!$U$11,J256),1)*IF(Upgrades!$T$12="Stellar Coupling",POWER(Upgrades!$U$12,K256),1))+(IF(H256=0,0,(Upgrades!$G$9+H256*Upgrades!$H$9)*POWER(Upgrades!$I$9,H256)))*(IF(Upgrades!$T$6="Magnetosphere",POWER(Upgrades!$U$6,E256),1)*IF(Upgrades!$T$7="Magnetosphere",POWER(Upgrades!$U$7,F256),1)*IF(Upgrades!$T$8="Magnetosphere",POWER(Upgrades!$U$8,G256),1)*IF(Upgrades!$T$10="Magnetosphere",POWER(Upgrades!$U$10,I256),1)*IF(Upgrades!$T$11="Magnetosphere",POWER(Upgrades!$U$11,J256),1)*IF(Upgrades!$T$12="Magnetosphere",POWER(Upgrades!$U$12,K256),1))+(IF(I256=0,0,(Upgrades!$G$10+I256*Upgrades!$H$10)*POWER(Upgrades!$I$10,I256)))*(IF(Upgrades!$T$6="Orbital Resonance",POWER(Upgrades!$U$6,E256),1)*IF(Upgrades!$T$7="Orbital Resonance",POWER(Upgrades!$U$7,F256),1)*IF(Upgrades!$T$8="Orbital Resonance",POWER(Upgrades!$U$8,G256),1)*IF(Upgrades!$T$9="Orbital Resonance",POWER(Upgrades!$U$9,H256),1)*IF(Upgrades!$T$11="Orbital Resonance",POWER(Upgrades!$U$11,J256),1)*IF(Upgrades!$T$12="Orbital Resonance",POWER(Upgrades!$U$12,K256),1))+(IF(J256=0,0,(Upgrades!$G$11+J256*Upgrades!$H$11)*POWER(Upgrades!$I$11,J256)))*(IF(Upgrades!$T$6="Heliopause",POWER(Upgrades!$U$6,E256),1)*IF(Upgrades!$T$7="Heliopause",POWER(Upgrades!$U$7,F256),1)*IF(Upgrades!$T$8="Heliopause",POWER(Upgrades!$U$8,G256),1)*IF(Upgrades!$T$9="Heliopause",POWER(Upgrades!$U$9,H256),1)*IF(Upgrades!$T$10="Heliopause",POWER(Upgrades!$U$10,I256),1)*IF(Upgrades!$T$12="Heliopause",POWER(Upgrades!$U$12,K256),1))+(IF(K256=0,0,(Upgrades!$G$12+K256*Upgrades!$H$12)*POWER(Upgrades!$I$12,K256)))*(IF(Upgrades!$T$6="First Photons",POWER(Upgrades!$U$6,E256),1)*IF(Upgrades!$T$7="First Photons",POWER(Upgrades!$U$7,F256),1)*IF(Upgrades!$T$8="First Photons",POWER(Upgrades!$U$8,G256),1)*IF(Upgrades!$T$9="First Photons",POWER(Upgrades!$U$9,H256),1)*IF(Upgrades!$T$10="First Photons",POWER(Upgrades!$U$10,I256),1)*IF(Upgrades!$T$11="First Photons",POWER(Upgrades!$U$11,J256),1)))*POWER(Upgrades!$P$6,E256)*POWER(Upgrades!$P$7,F256)*POWER(Upgrades!$P$8,G256)*POWER(Upgrades!$P$9,H256)*POWER(Upgrades!$P$10,I256)*POWER(Upgrades!$P$11,J256)*POWER(Upgrades!$P$12,K256)</f>
        <v/>
      </c>
      <c r="O256" s="28">
        <f>((IF(E256=0,0,(Upgrades!$M$6+E256*Upgrades!$N$6)*POWER(Upgrades!$O$6,E256)))*(IF(Upgrades!$T$7="Solar Wind",POWER(Upgrades!$U$7,F256),1)*IF(Upgrades!$T$8="Solar Wind",POWER(Upgrades!$U$8,G256),1)*IF(Upgrades!$T$9="Solar Wind",POWER(Upgrades!$U$9,H256),1)*IF(Upgrades!$T$10="Solar Wind",POWER(Upgrades!$U$10,I256),1)*IF(Upgrades!$T$11="Solar Wind",POWER(Upgrades!$U$11,J256),1)*IF(Upgrades!$T$12="Solar Wind",POWER(Upgrades!$U$12,K256),1))+(IF(F256=0,0,(Upgrades!$M$7+F256*Upgrades!$N$7)*POWER(Upgrades!$O$7,F256)))*(IF(Upgrades!$T$6="Asteroid Belt",POWER(Upgrades!$U$6,E256),1)*IF(Upgrades!$T$8="Asteroid Belt",POWER(Upgrades!$U$8,G256),1)*IF(Upgrades!$T$9="Asteroid Belt",POWER(Upgrades!$U$9,H256),1)*IF(Upgrades!$T$10="Asteroid Belt",POWER(Upgrades!$U$10,I256),1)*IF(Upgrades!$T$11="Asteroid Belt",POWER(Upgrades!$U$11,J256),1)*IF(Upgrades!$T$12="Asteroid Belt",POWER(Upgrades!$U$12,K256),1))+(IF(G256=0,0,(Upgrades!$M$8+G256*Upgrades!$N$8)*POWER(Upgrades!$O$8,G256)))*(IF(Upgrades!$T$6="Stellar Coupling",POWER(Upgrades!$U$6,E256),1)*IF(Upgrades!$T$7="Stellar Coupling",POWER(Upgrades!$U$7,F256),1)*IF(Upgrades!$T$9="Stellar Coupling",POWER(Upgrades!$U$9,H256),1)*IF(Upgrades!$T$10="Stellar Coupling",POWER(Upgrades!$U$10,I256),1)*IF(Upgrades!$T$11="Stellar Coupling",POWER(Upgrades!$U$11,J256),1)*IF(Upgrades!$T$12="Stellar Coupling",POWER(Upgrades!$U$12,K256),1))+(IF(H256=0,0,(Upgrades!$M$9+H256*Upgrades!$N$9)*POWER(Upgrades!$O$9,H256)))*(IF(Upgrades!$T$6="Magnetosphere",POWER(Upgrades!$U$6,E256),1)*IF(Upgrades!$T$7="Magnetosphere",POWER(Upgrades!$U$7,F256),1)*IF(Upgrades!$T$8="Magnetosphere",POWER(Upgrades!$U$8,G256),1)*IF(Upgrades!$T$10="Magnetosphere",POWER(Upgrades!$U$10,I256),1)*IF(Upgrades!$T$11="Magnetosphere",POWER(Upgrades!$U$11,J256),1)*IF(Upgrades!$T$12="Magnetosphere",POWER(Upgrades!$U$12,K256),1))+(IF(I256=0,0,(Upgrades!$M$10+I256*Upgrades!$N$10)*POWER(Upgrades!$O$10,I256)))*(IF(Upgrades!$T$6="Orbital Resonance",POWER(Upgrades!$U$6,E256),1)*IF(Upgrades!$T$7="Orbital Resonance",POWER(Upgrades!$U$7,F256),1)*IF(Upgrades!$T$8="Orbital Resonance",POWER(Upgrades!$U$8,G256),1)*IF(Upgrades!$T$9="Orbital Resonance",POWER(Upgrades!$U$9,H256),1)*IF(Upgrades!$T$11="Orbital Resonance",POWER(Upgrades!$U$11,J256),1)*IF(Upgrades!$T$12="Orbital Resonance",POWER(Upgrades!$U$12,K256),1))+(IF(J256=0,0,(Upgrades!$M$11+J256*Upgrades!$N$11)*POWER(Upgrades!$O$11,J256)))*(IF(Upgrades!$T$6="Heliopause",POWER(Upgrades!$U$6,E256),1)*IF(Upgrades!$T$7="Heliopause",POWER(Upgrades!$U$7,F256),1)*IF(Upgrades!$T$8="Heliopause",POWER(Upgrades!$U$8,G256),1)*IF(Upgrades!$T$9="Heliopause",POWER(Upgrades!$U$9,H256),1)*IF(Upgrades!$T$10="Heliopause",POWER(Upgrades!$U$10,I256),1)*IF(Upgrades!$T$12="Heliopause",POWER(Upgrades!$U$12,K256),1))+(IF(K256=0,0,(Upgrades!$M$12+K256*Upgrades!$N$12)*POWER(Upgrades!$O$12,K256)))*(IF(Upgrades!$T$6="First Photons",POWER(Upgrades!$U$6,E256),1)*IF(Upgrades!$T$7="First Photons",POWER(Upgrades!$U$7,F256),1)*IF(Upgrades!$T$8="First Photons",POWER(Upgrades!$U$8,G256),1)*IF(Upgrades!$T$9="First Photons",POWER(Upgrades!$U$9,H256),1)*IF(Upgrades!$T$10="First Photons",POWER(Upgrades!$U$10,I256),1)*IF(Upgrades!$T$11="First Photons",POWER(Upgrades!$U$11,J256),1)))*POWER(Upgrades!$R$6,E256)*POWER(Upgrades!$R$7,F256)*POWER(Upgrades!$R$8,G256)*POWER(Upgrades!$R$9,H256)*POWER(Upgrades!$R$10,I256)*POWER(Upgrades!$R$11,J256)*POWER(Upgrades!$R$12,K256)</f>
        <v/>
      </c>
      <c r="P256" s="27">
        <f>IF(L256=1,0,M256*Parameters!$B$10/60*Parameters!$B$11*10)</f>
        <v/>
      </c>
      <c r="Q256" s="27">
        <f>IF(L256=1,0,O256*M256*10)</f>
        <v/>
      </c>
      <c r="R256" s="27">
        <f>IF(L256=1,0,N256*10)</f>
        <v/>
      </c>
      <c r="S256" s="27">
        <f>P256+Q256+R256</f>
        <v/>
      </c>
      <c r="T256" s="22">
        <f>C256+S256</f>
        <v/>
      </c>
      <c r="U256" s="33">
        <f>AX256</f>
        <v/>
      </c>
      <c r="V256" s="22">
        <f>IF(U256="",0,IF(U256="transition",0,IF(U256="SW",AG256,IF(U256="AB",AH256,IF(U256="SC",AI256,IF(U256="Mag",AJ256,IF(U256="OR",AK256,IF(U256="HP",AL256,IF(U256="FP",AM256,0)))))))))</f>
        <v/>
      </c>
      <c r="W256" s="27">
        <f>IF(U256="OR",Upgrades!$F$10,IF(U256="HP",Upgrades!$F$11,IF(U256="transition",-Parameters!$B$18,0)))</f>
        <v/>
      </c>
      <c r="X256" s="22">
        <f>T256-V256</f>
        <v/>
      </c>
      <c r="Y256" s="30">
        <f>M256*Parameters!$B$10/60*Parameters!$B$11+O256*M256+N256</f>
        <v/>
      </c>
      <c r="Z256" s="34">
        <f>IF(U256="transition","→ Tier 2 (Stellar Neighborhood)",IF(U256="FP","First Photons — light begins, system quickens",IF(U256="HP","Heliopause acquired",IF(U256="OR","Orbital Resonance — passive multiplier active",IF(AND(AO256=1,L256=0,AN256&lt;&gt;1),"Cohesion ready (waiting on completionist upgrades)","")))))</f>
        <v/>
      </c>
      <c r="AA256" s="27">
        <f>(IF(E256=0,0,(Upgrades!$G$6+E256*Upgrades!$H$6)*POWER(Upgrades!$I$6,E256)))*(IF(Upgrades!$T$7="Solar Wind",POWER(Upgrades!$U$7,F256),1)*IF(Upgrades!$T$8="Solar Wind",POWER(Upgrades!$U$8,G256),1)*IF(Upgrades!$T$9="Solar Wind",POWER(Upgrades!$U$9,H256),1)*IF(Upgrades!$T$10="Solar Wind",POWER(Upgrades!$U$10,I256),1)*IF(Upgrades!$T$11="Solar Wind",POWER(Upgrades!$U$11,J256),1)*IF(Upgrades!$T$12="Solar Wind",POWER(Upgrades!$U$12,K256),1))*POWER(Upgrades!$P$6,E256)*POWER(Upgrades!$P$7,F256)*POWER(Upgrades!$P$8,G256)*POWER(Upgrades!$P$9,H256)*POWER(Upgrades!$P$10,I256)*POWER(Upgrades!$P$11,J256)*POWER(Upgrades!$P$12,K256)*60</f>
        <v/>
      </c>
      <c r="AB256" s="27">
        <f>(IF(F256=0,0,(Upgrades!$G$7+F256*Upgrades!$H$7)*POWER(Upgrades!$I$7,F256)))*(IF(Upgrades!$T$6="Asteroid Belt",POWER(Upgrades!$U$6,E256),1)*IF(Upgrades!$T$8="Asteroid Belt",POWER(Upgrades!$U$8,G256),1)*IF(Upgrades!$T$9="Asteroid Belt",POWER(Upgrades!$U$9,H256),1)*IF(Upgrades!$T$10="Asteroid Belt",POWER(Upgrades!$U$10,I256),1)*IF(Upgrades!$T$11="Asteroid Belt",POWER(Upgrades!$U$11,J256),1)*IF(Upgrades!$T$12="Asteroid Belt",POWER(Upgrades!$U$12,K256),1))*POWER(Upgrades!$P$6,E256)*POWER(Upgrades!$P$7,F256)*POWER(Upgrades!$P$8,G256)*POWER(Upgrades!$P$9,H256)*POWER(Upgrades!$P$10,I256)*POWER(Upgrades!$P$11,J256)*POWER(Upgrades!$P$12,K256)*60</f>
        <v/>
      </c>
      <c r="AC256" s="27">
        <f>(IF(G256=0,0,(Upgrades!$J$8+G256*Upgrades!$K$8)*POWER(Upgrades!$L$8,G256)))*(IF(Upgrades!$T$6="Stellar Coupling",POWER(Upgrades!$U$6,E256),1)*IF(Upgrades!$T$7="Stellar Coupling",POWER(Upgrades!$U$7,F256),1)*IF(Upgrades!$T$9="Stellar Coupling",POWER(Upgrades!$U$9,H256),1)*IF(Upgrades!$T$10="Stellar Coupling",POWER(Upgrades!$U$10,I256),1)*IF(Upgrades!$T$11="Stellar Coupling",POWER(Upgrades!$U$11,J256),1)*IF(Upgrades!$T$12="Stellar Coupling",POWER(Upgrades!$U$12,K256),1))*POWER(Upgrades!$Q$6,E256)*POWER(Upgrades!$Q$7,F256)*POWER(Upgrades!$Q$8,G256)*POWER(Upgrades!$Q$9,H256)*POWER(Upgrades!$Q$10,I256)*POWER(Upgrades!$Q$11,J256)*POWER(Upgrades!$Q$12,K256)*Parameters!$B$10*Parameters!$B$11</f>
        <v/>
      </c>
      <c r="AD256" s="27">
        <f>(IF(H256=0,0,(Upgrades!$G$9+H256*Upgrades!$H$9)*POWER(Upgrades!$I$9,H256)))*(IF(Upgrades!$T$6="Magnetosphere",POWER(Upgrades!$U$6,E256),1)*IF(Upgrades!$T$7="Magnetosphere",POWER(Upgrades!$U$7,F256),1)*IF(Upgrades!$T$8="Magnetosphere",POWER(Upgrades!$U$8,G256),1)*IF(Upgrades!$T$10="Magnetosphere",POWER(Upgrades!$U$10,I256),1)*IF(Upgrades!$T$11="Magnetosphere",POWER(Upgrades!$U$11,J256),1)*IF(Upgrades!$T$12="Magnetosphere",POWER(Upgrades!$U$12,K256),1))*POWER(Upgrades!$P$6,E256)*POWER(Upgrades!$P$7,F256)*POWER(Upgrades!$P$8,G256)*POWER(Upgrades!$P$9,H256)*POWER(Upgrades!$P$10,I256)*POWER(Upgrades!$P$11,J256)*POWER(Upgrades!$P$12,K256)*60</f>
        <v/>
      </c>
      <c r="AE256" s="27">
        <f>(IF(K256=0,0,(Upgrades!$G$12+K256*Upgrades!$H$12)*POWER(Upgrades!$I$12,K256)))*(IF(Upgrades!$T$6="First Photons",POWER(Upgrades!$U$6,E256),1)*IF(Upgrades!$T$7="First Photons",POWER(Upgrades!$U$7,F256),1)*IF(Upgrades!$T$8="First Photons",POWER(Upgrades!$U$8,G256),1)*IF(Upgrades!$T$9="First Photons",POWER(Upgrades!$U$9,H256),1)*IF(Upgrades!$T$10="First Photons",POWER(Upgrades!$U$10,I256),1)*IF(Upgrades!$T$11="First Photons",POWER(Upgrades!$U$11,J256),1))*POWER(Upgrades!$P$6,E256)*POWER(Upgrades!$P$7,F256)*POWER(Upgrades!$P$8,G256)*POWER(Upgrades!$P$9,H256)*POWER(Upgrades!$P$10,I256)*POWER(Upgrades!$P$11,J256)*POWER(Upgrades!$P$12,K256)*60</f>
        <v/>
      </c>
      <c r="AF256" s="27">
        <f>Parameters!$B$9*POWER(Upgrades!$Q$6,E256)*POWER(Upgrades!$Q$7,F256)*POWER(Upgrades!$Q$8,G256)*POWER(Upgrades!$Q$9,H256)*POWER(Upgrades!$Q$10,I256)*POWER(Upgrades!$Q$11,J256)*POWER(Upgrades!$Q$12,K256)*(Parameters!$B$10*Parameters!$B$11+O256*60)</f>
        <v/>
      </c>
      <c r="AG256" s="22">
        <f>IF(E256&gt;=Upgrades!$E$6,"",Upgrades!$C$6*POWER(Upgrades!$D$6,E256))</f>
        <v/>
      </c>
      <c r="AH256" s="22">
        <f>IF(F256&gt;=Upgrades!$E$7,"",Upgrades!$C$7*POWER(Upgrades!$D$7,F256))</f>
        <v/>
      </c>
      <c r="AI256" s="22">
        <f>IF(G256&gt;=Upgrades!$E$8,"",Upgrades!$C$8*POWER(Upgrades!$D$8,G256))</f>
        <v/>
      </c>
      <c r="AJ256" s="22">
        <f>IF(H256&gt;=Upgrades!$E$9,"",Upgrades!$C$9*POWER(Upgrades!$D$9,H256))</f>
        <v/>
      </c>
      <c r="AK256" s="22">
        <f>IF(I256&gt;=Upgrades!$E$10,"",Upgrades!$C$10*POWER(Upgrades!$D$10,I256))</f>
        <v/>
      </c>
      <c r="AL256" s="22">
        <f>IF(J256&gt;=Upgrades!$E$11,"",Upgrades!$C$11*POWER(Upgrades!$D$11,J256))</f>
        <v/>
      </c>
      <c r="AM256" s="22">
        <f>IF(K256&gt;=Upgrades!$E$12,"",Upgrades!$C$12*POWER(Upgrades!$D$12,K256))</f>
        <v/>
      </c>
      <c r="AN256" s="26">
        <f>IF(AND(D256&gt;=Parameters!$B$18,(H256&gt;=Upgrades!$E$9)*(K256&gt;=Upgrades!$E$12)=1,L256=0),1,"")</f>
        <v/>
      </c>
      <c r="AO256" s="26">
        <f>IF(AND(D256&gt;=Parameters!$B$18,L256=0),1,"")</f>
        <v/>
      </c>
      <c r="AP256" s="22">
        <f>MIN(IF(ISNUMBER(AK256),AK256,9E15),IF(ISNUMBER(AL256),AL256,9E15),IF(ISNUMBER(AM256),AM256,9E15))</f>
        <v/>
      </c>
      <c r="AQ256" s="22">
        <f>MIN(IF(ISNUMBER(AG256),AG256,9E15),IF(ISNUMBER(AH256),AH256,9E15),IF(ISNUMBER(AI256),AI256,9E15),IF(ISNUMBER(AJ256),AJ256,9E15))</f>
        <v/>
      </c>
      <c r="AR256" s="29">
        <f>IF(AW256&gt;Parameters!$B$21*(MAX(IF(AND(NOT(AND(AO256=1,AN256&lt;&gt;1)),ISNUMBER(AG256),AG256&lt;=T256),AS256,0),IF(AND(NOT(AND(AO256=1,AN256&lt;&gt;1)),ISNUMBER(AH256),AH256&lt;=T256),AT256,0),IF(AND(NOT(AND(AO256=1,AN256&lt;&gt;1)),ISNUMBER(AI256),AI256&lt;=T256),AU256,0),IF(AND(ISNUMBER(AJ256),AJ256&lt;=T256),AV256,0))),TRUE,FALSE)</f>
        <v/>
      </c>
      <c r="AS256" s="32">
        <f>IFERROR(Upgrades!$H$6*(POWER(Upgrades!$P$6,E256)*POWER(Upgrades!$P$7,F256)*POWER(Upgrades!$P$8,G256)*POWER(Upgrades!$P$9,H256)*POWER(Upgrades!$P$10,I256)*POWER(Upgrades!$P$11,J256)*POWER(Upgrades!$P$12,K256))*(IF(Upgrades!$T$7="Solar Wind",POWER(Upgrades!$U$7,F256),1)*IF(Upgrades!$T$8="Solar Wind",POWER(Upgrades!$U$8,G256),1)*IF(Upgrades!$T$9="Solar Wind",POWER(Upgrades!$U$9,H256),1)*IF(Upgrades!$T$10="Solar Wind",POWER(Upgrades!$U$10,I256),1)*IF(Upgrades!$T$11="Solar Wind",POWER(Upgrades!$U$11,J256),1)*IF(Upgrades!$T$12="Solar Wind",POWER(Upgrades!$U$12,K256),1))/AG256,0)</f>
        <v/>
      </c>
      <c r="AT256" s="32">
        <f>IFERROR(Upgrades!$H$7*(POWER(Upgrades!$P$6,E256)*POWER(Upgrades!$P$7,F256)*POWER(Upgrades!$P$8,G256)*POWER(Upgrades!$P$9,H256)*POWER(Upgrades!$P$10,I256)*POWER(Upgrades!$P$11,J256)*POWER(Upgrades!$P$12,K256))*(IF(Upgrades!$T$6="Asteroid Belt",POWER(Upgrades!$U$6,E256),1)*IF(Upgrades!$T$8="Asteroid Belt",POWER(Upgrades!$U$8,G256),1)*IF(Upgrades!$T$9="Asteroid Belt",POWER(Upgrades!$U$9,H256),1)*IF(Upgrades!$T$10="Asteroid Belt",POWER(Upgrades!$U$10,I256),1)*IF(Upgrades!$T$11="Asteroid Belt",POWER(Upgrades!$U$11,J256),1)*IF(Upgrades!$T$12="Asteroid Belt",POWER(Upgrades!$U$12,K256),1))/AH256,0)</f>
        <v/>
      </c>
      <c r="AU256" s="32">
        <f>IFERROR(Upgrades!$K$8*(POWER(Upgrades!$Q$6,E256)*POWER(Upgrades!$Q$7,F256)*POWER(Upgrades!$Q$8,G256)*POWER(Upgrades!$Q$9,H256)*POWER(Upgrades!$Q$10,I256)*POWER(Upgrades!$Q$11,J256)*POWER(Upgrades!$Q$12,K256))*(IF(Upgrades!$T$6="Stellar Coupling",POWER(Upgrades!$U$6,E256),1)*IF(Upgrades!$T$7="Stellar Coupling",POWER(Upgrades!$U$7,F256),1)*IF(Upgrades!$T$9="Stellar Coupling",POWER(Upgrades!$U$9,H256),1)*IF(Upgrades!$T$10="Stellar Coupling",POWER(Upgrades!$U$10,I256),1)*IF(Upgrades!$T$11="Stellar Coupling",POWER(Upgrades!$U$11,J256),1)*IF(Upgrades!$T$12="Stellar Coupling",POWER(Upgrades!$U$12,K256),1))*Parameters!$B$10*Parameters!$B$11/60/AI256,0)</f>
        <v/>
      </c>
      <c r="AV256" s="32">
        <f>IFERROR(Upgrades!$H$9*(POWER(Upgrades!$P$6,E256)*POWER(Upgrades!$P$7,F256)*POWER(Upgrades!$P$8,G256)*POWER(Upgrades!$P$9,H256)*POWER(Upgrades!$P$10,I256)*POWER(Upgrades!$P$11,J256)*POWER(Upgrades!$P$12,K256))*(IF(Upgrades!$T$6="Magnetosphere",POWER(Upgrades!$U$6,E256),1)*IF(Upgrades!$T$7="Magnetosphere",POWER(Upgrades!$U$7,F256),1)*IF(Upgrades!$T$8="Magnetosphere",POWER(Upgrades!$U$8,G256),1)*IF(Upgrades!$T$10="Magnetosphere",POWER(Upgrades!$U$10,I256),1)*IF(Upgrades!$T$11="Magnetosphere",POWER(Upgrades!$U$11,J256),1)*IF(Upgrades!$T$12="Magnetosphere",POWER(Upgrades!$U$12,K256),1))/AJ256,0)</f>
        <v/>
      </c>
      <c r="AW256" s="32">
        <f>MAX(IF(I256&gt;0,0,IFERROR(0.25*N256/Upgrades!$C$10,0)),IF(J256&gt;0,0,IFERROR(0.5*((IF(G256=0,0,(Upgrades!$J$8+G256*Upgrades!$K$8)*POWER(Upgrades!$L$8,G256)))*(IF(Upgrades!$T$6="Stellar Coupling",POWER(Upgrades!$U$6,E256),1)*IF(Upgrades!$T$7="Stellar Coupling",POWER(Upgrades!$U$7,F256),1)*IF(Upgrades!$T$9="Stellar Coupling",POWER(Upgrades!$U$9,H256),1)*IF(Upgrades!$T$10="Stellar Coupling",POWER(Upgrades!$U$10,I256),1)*IF(Upgrades!$T$11="Stellar Coupling",POWER(Upgrades!$U$11,J256),1)*IF(Upgrades!$T$12="Stellar Coupling",POWER(Upgrades!$U$12,K256),1))*(POWER(Upgrades!$Q$6,E256)*POWER(Upgrades!$Q$7,F256)*POWER(Upgrades!$Q$8,G256)*POWER(Upgrades!$Q$9,H256)*POWER(Upgrades!$Q$10,I256)*POWER(Upgrades!$Q$11,J256)*POWER(Upgrades!$Q$12,K256))*Parameters!$B$10*Parameters!$B$11/60)/Upgrades!$C$11,0)),IF(K256&gt;0,0,IFERROR((1.0*(POWER(Upgrades!$P$6,E256)*POWER(Upgrades!$P$7,F256)*POWER(Upgrades!$P$8,G256)*POWER(Upgrades!$P$9,H256)*POWER(Upgrades!$P$10,I256)*POWER(Upgrades!$P$11,J256)*POWER(Upgrades!$P$12,K256))+0.20*M256*Parameters!$B$10*Parameters!$B$11/60)/Upgrades!$C$12,0)),IF(AND(ISNUMBER(AG256),AG256&gt;T256),AS256,0),IF(AND(ISNUMBER(AH256),AH256&gt;T256),AT256,0),IF(AND(ISNUMBER(AI256),AI256&gt;T256),AU256,0),IF(AND(ISNUMBER(AJ256),AJ256&gt;T256),AV256,0))</f>
        <v/>
      </c>
      <c r="AX256" s="29">
        <f>IF(AN256=1,"transition",IF(MIN(IF(AND(I256=0,ISNUMBER(AK256),AK256&lt;=T256),AK256,9E15),IF(AND(J256=0,ISNUMBER(AL256),AL256&lt;=T256),AL256,9E15),IF(AND(K256=0,ISNUMBER(AM256),AM256&lt;=T256),AM256,9E15))&lt;9E15,IF(AND(AND(I256=0,ISNUMBER(AK256),AK256&lt;=T256),AK256=MIN(IF(AND(I256=0,ISNUMBER(AK256),AK256&lt;=T256),AK256,9E15),IF(AND(J256=0,ISNUMBER(AL256),AL256&lt;=T256),AL256,9E15),IF(AND(K256=0,ISNUMBER(AM256),AM256&lt;=T256),AM256,9E15))),"OR",IF(AND(AND(J256=0,ISNUMBER(AL256),AL256&lt;=T256),AL256=MIN(IF(AND(I256=0,ISNUMBER(AK256),AK256&lt;=T256),AK256,9E15),IF(AND(J256=0,ISNUMBER(AL256),AL256&lt;=T256),AL256,9E15),IF(AND(K256=0,ISNUMBER(AM256),AM256&lt;=T256),AM256,9E15))),"HP","FP")),IF(AR256=TRUE,"",IF(MAX(IF(AND(NOT(AND(AO256=1,AN256&lt;&gt;1)),ISNUMBER(AG256),AG256&lt;=T256),AS256,0),IF(AND(NOT(AND(AO256=1,AN256&lt;&gt;1)),ISNUMBER(AH256),AH256&lt;=T256),AT256,0),IF(AND(NOT(AND(AO256=1,AN256&lt;&gt;1)),ISNUMBER(AI256),AI256&lt;=T256),AU256,0),IF(AND(ISNUMBER(AJ256),AJ256&lt;=T256),AV256,0))&lt;=0,"",IF(AND(IF(AND(NOT(AND(AO256=1,AN256&lt;&gt;1)),ISNUMBER(AG256),AG256&lt;=T256),AS256,0)&gt;0,IF(AND(NOT(AND(AO256=1,AN256&lt;&gt;1)),ISNUMBER(AG256),AG256&lt;=T256),AS256,0)=MAX(IF(AND(NOT(AND(AO256=1,AN256&lt;&gt;1)),ISNUMBER(AG256),AG256&lt;=T256),AS256,0),IF(AND(NOT(AND(AO256=1,AN256&lt;&gt;1)),ISNUMBER(AH256),AH256&lt;=T256),AT256,0),IF(AND(NOT(AND(AO256=1,AN256&lt;&gt;1)),ISNUMBER(AI256),AI256&lt;=T256),AU256,0),IF(AND(ISNUMBER(AJ256),AJ256&lt;=T256),AV256,0))),"SW",IF(AND(IF(AND(NOT(AND(AO256=1,AN256&lt;&gt;1)),ISNUMBER(AH256),AH256&lt;=T256),AT256,0)&gt;0,IF(AND(NOT(AND(AO256=1,AN256&lt;&gt;1)),ISNUMBER(AH256),AH256&lt;=T256),AT256,0)=MAX(IF(AND(NOT(AND(AO256=1,AN256&lt;&gt;1)),ISNUMBER(AG256),AG256&lt;=T256),AS256,0),IF(AND(NOT(AND(AO256=1,AN256&lt;&gt;1)),ISNUMBER(AH256),AH256&lt;=T256),AT256,0),IF(AND(NOT(AND(AO256=1,AN256&lt;&gt;1)),ISNUMBER(AI256),AI256&lt;=T256),AU256,0),IF(AND(ISNUMBER(AJ256),AJ256&lt;=T256),AV256,0))),"AB",IF(AND(IF(AND(NOT(AND(AO256=1,AN256&lt;&gt;1)),ISNUMBER(AI256),AI256&lt;=T256),AU256,0)&gt;0,IF(AND(NOT(AND(AO256=1,AN256&lt;&gt;1)),ISNUMBER(AI256),AI256&lt;=T256),AU256,0)=MAX(IF(AND(NOT(AND(AO256=1,AN256&lt;&gt;1)),ISNUMBER(AG256),AG256&lt;=T256),AS256,0),IF(AND(NOT(AND(AO256=1,AN256&lt;&gt;1)),ISNUMBER(AH256),AH256&lt;=T256),AT256,0),IF(AND(NOT(AND(AO256=1,AN256&lt;&gt;1)),ISNUMBER(AI256),AI256&lt;=T256),AU256,0),IF(AND(ISNUMBER(AJ256),AJ256&lt;=T256),AV256,0))),"SC","Mag")))))))</f>
        <v/>
      </c>
    </row>
    <row r="257">
      <c r="A257" s="26" t="n">
        <v>252</v>
      </c>
      <c r="B257" s="27">
        <f>A257*10/60</f>
        <v/>
      </c>
      <c r="C257" s="22">
        <f>X256</f>
        <v/>
      </c>
      <c r="D257" s="27">
        <f>D256+W256</f>
        <v/>
      </c>
      <c r="E257" s="26">
        <f>E256+IF(U256="SW",1,0)</f>
        <v/>
      </c>
      <c r="F257" s="26">
        <f>F256+IF(U256="AB",1,0)</f>
        <v/>
      </c>
      <c r="G257" s="26">
        <f>G256+IF(U256="SC",1,0)</f>
        <v/>
      </c>
      <c r="H257" s="26">
        <f>H256+IF(U256="Mag",1,0)</f>
        <v/>
      </c>
      <c r="I257" s="26">
        <f>MAX(I256,IF(U256="OR",1,0))</f>
        <v/>
      </c>
      <c r="J257" s="26">
        <f>MAX(J256,IF(U256="HP",1,0))</f>
        <v/>
      </c>
      <c r="K257" s="26">
        <f>MAX(K256,IF(U256="FP",1,0))</f>
        <v/>
      </c>
      <c r="L257" s="26">
        <f>MAX(L256,IF(U256="transition",1,0))</f>
        <v/>
      </c>
      <c r="M257" s="28">
        <f>(Parameters!$B$9+(IF(E257=0,0,(Upgrades!$J$6+E257*Upgrades!$K$6)*POWER(Upgrades!$L$6,E257)))*(IF(Upgrades!$T$7="Solar Wind",POWER(Upgrades!$U$7,F257),1)*IF(Upgrades!$T$8="Solar Wind",POWER(Upgrades!$U$8,G257),1)*IF(Upgrades!$T$9="Solar Wind",POWER(Upgrades!$U$9,H257),1)*IF(Upgrades!$T$10="Solar Wind",POWER(Upgrades!$U$10,I257),1)*IF(Upgrades!$T$11="Solar Wind",POWER(Upgrades!$U$11,J257),1)*IF(Upgrades!$T$12="Solar Wind",POWER(Upgrades!$U$12,K257),1))+(IF(F257=0,0,(Upgrades!$J$7+F257*Upgrades!$K$7)*POWER(Upgrades!$L$7,F257)))*(IF(Upgrades!$T$6="Asteroid Belt",POWER(Upgrades!$U$6,E257),1)*IF(Upgrades!$T$8="Asteroid Belt",POWER(Upgrades!$U$8,G257),1)*IF(Upgrades!$T$9="Asteroid Belt",POWER(Upgrades!$U$9,H257),1)*IF(Upgrades!$T$10="Asteroid Belt",POWER(Upgrades!$U$10,I257),1)*IF(Upgrades!$T$11="Asteroid Belt",POWER(Upgrades!$U$11,J257),1)*IF(Upgrades!$T$12="Asteroid Belt",POWER(Upgrades!$U$12,K257),1))+(IF(G257=0,0,(Upgrades!$J$8+G257*Upgrades!$K$8)*POWER(Upgrades!$L$8,G257)))*(IF(Upgrades!$T$6="Stellar Coupling",POWER(Upgrades!$U$6,E257),1)*IF(Upgrades!$T$7="Stellar Coupling",POWER(Upgrades!$U$7,F257),1)*IF(Upgrades!$T$9="Stellar Coupling",POWER(Upgrades!$U$9,H257),1)*IF(Upgrades!$T$10="Stellar Coupling",POWER(Upgrades!$U$10,I257),1)*IF(Upgrades!$T$11="Stellar Coupling",POWER(Upgrades!$U$11,J257),1)*IF(Upgrades!$T$12="Stellar Coupling",POWER(Upgrades!$U$12,K257),1))+(IF(H257=0,0,(Upgrades!$J$9+H257*Upgrades!$K$9)*POWER(Upgrades!$L$9,H257)))*(IF(Upgrades!$T$6="Magnetosphere",POWER(Upgrades!$U$6,E257),1)*IF(Upgrades!$T$7="Magnetosphere",POWER(Upgrades!$U$7,F257),1)*IF(Upgrades!$T$8="Magnetosphere",POWER(Upgrades!$U$8,G257),1)*IF(Upgrades!$T$10="Magnetosphere",POWER(Upgrades!$U$10,I257),1)*IF(Upgrades!$T$11="Magnetosphere",POWER(Upgrades!$U$11,J257),1)*IF(Upgrades!$T$12="Magnetosphere",POWER(Upgrades!$U$12,K257),1))+(IF(I257=0,0,(Upgrades!$J$10+I257*Upgrades!$K$10)*POWER(Upgrades!$L$10,I257)))*(IF(Upgrades!$T$6="Orbital Resonance",POWER(Upgrades!$U$6,E257),1)*IF(Upgrades!$T$7="Orbital Resonance",POWER(Upgrades!$U$7,F257),1)*IF(Upgrades!$T$8="Orbital Resonance",POWER(Upgrades!$U$8,G257),1)*IF(Upgrades!$T$9="Orbital Resonance",POWER(Upgrades!$U$9,H257),1)*IF(Upgrades!$T$11="Orbital Resonance",POWER(Upgrades!$U$11,J257),1)*IF(Upgrades!$T$12="Orbital Resonance",POWER(Upgrades!$U$12,K257),1))+(IF(J257=0,0,(Upgrades!$J$11+J257*Upgrades!$K$11)*POWER(Upgrades!$L$11,J257)))*(IF(Upgrades!$T$6="Heliopause",POWER(Upgrades!$U$6,E257),1)*IF(Upgrades!$T$7="Heliopause",POWER(Upgrades!$U$7,F257),1)*IF(Upgrades!$T$8="Heliopause",POWER(Upgrades!$U$8,G257),1)*IF(Upgrades!$T$9="Heliopause",POWER(Upgrades!$U$9,H257),1)*IF(Upgrades!$T$10="Heliopause",POWER(Upgrades!$U$10,I257),1)*IF(Upgrades!$T$12="Heliopause",POWER(Upgrades!$U$12,K257),1))+(IF(K257=0,0,(Upgrades!$J$12+K257*Upgrades!$K$12)*POWER(Upgrades!$L$12,K257)))*(IF(Upgrades!$T$6="First Photons",POWER(Upgrades!$U$6,E257),1)*IF(Upgrades!$T$7="First Photons",POWER(Upgrades!$U$7,F257),1)*IF(Upgrades!$T$8="First Photons",POWER(Upgrades!$U$8,G257),1)*IF(Upgrades!$T$9="First Photons",POWER(Upgrades!$U$9,H257),1)*IF(Upgrades!$T$10="First Photons",POWER(Upgrades!$U$10,I257),1)*IF(Upgrades!$T$11="First Photons",POWER(Upgrades!$U$11,J257),1)))*POWER(Upgrades!$Q$6,E257)*POWER(Upgrades!$Q$7,F257)*POWER(Upgrades!$Q$8,G257)*POWER(Upgrades!$Q$9,H257)*POWER(Upgrades!$Q$10,I257)*POWER(Upgrades!$Q$11,J257)*POWER(Upgrades!$Q$12,K257)</f>
        <v/>
      </c>
      <c r="N257" s="28">
        <f>((IF(E257=0,0,(Upgrades!$G$6+E257*Upgrades!$H$6)*POWER(Upgrades!$I$6,E257)))*(IF(Upgrades!$T$7="Solar Wind",POWER(Upgrades!$U$7,F257),1)*IF(Upgrades!$T$8="Solar Wind",POWER(Upgrades!$U$8,G257),1)*IF(Upgrades!$T$9="Solar Wind",POWER(Upgrades!$U$9,H257),1)*IF(Upgrades!$T$10="Solar Wind",POWER(Upgrades!$U$10,I257),1)*IF(Upgrades!$T$11="Solar Wind",POWER(Upgrades!$U$11,J257),1)*IF(Upgrades!$T$12="Solar Wind",POWER(Upgrades!$U$12,K257),1))+(IF(F257=0,0,(Upgrades!$G$7+F257*Upgrades!$H$7)*POWER(Upgrades!$I$7,F257)))*(IF(Upgrades!$T$6="Asteroid Belt",POWER(Upgrades!$U$6,E257),1)*IF(Upgrades!$T$8="Asteroid Belt",POWER(Upgrades!$U$8,G257),1)*IF(Upgrades!$T$9="Asteroid Belt",POWER(Upgrades!$U$9,H257),1)*IF(Upgrades!$T$10="Asteroid Belt",POWER(Upgrades!$U$10,I257),1)*IF(Upgrades!$T$11="Asteroid Belt",POWER(Upgrades!$U$11,J257),1)*IF(Upgrades!$T$12="Asteroid Belt",POWER(Upgrades!$U$12,K257),1))+(IF(G257=0,0,(Upgrades!$G$8+G257*Upgrades!$H$8)*POWER(Upgrades!$I$8,G257)))*(IF(Upgrades!$T$6="Stellar Coupling",POWER(Upgrades!$U$6,E257),1)*IF(Upgrades!$T$7="Stellar Coupling",POWER(Upgrades!$U$7,F257),1)*IF(Upgrades!$T$9="Stellar Coupling",POWER(Upgrades!$U$9,H257),1)*IF(Upgrades!$T$10="Stellar Coupling",POWER(Upgrades!$U$10,I257),1)*IF(Upgrades!$T$11="Stellar Coupling",POWER(Upgrades!$U$11,J257),1)*IF(Upgrades!$T$12="Stellar Coupling",POWER(Upgrades!$U$12,K257),1))+(IF(H257=0,0,(Upgrades!$G$9+H257*Upgrades!$H$9)*POWER(Upgrades!$I$9,H257)))*(IF(Upgrades!$T$6="Magnetosphere",POWER(Upgrades!$U$6,E257),1)*IF(Upgrades!$T$7="Magnetosphere",POWER(Upgrades!$U$7,F257),1)*IF(Upgrades!$T$8="Magnetosphere",POWER(Upgrades!$U$8,G257),1)*IF(Upgrades!$T$10="Magnetosphere",POWER(Upgrades!$U$10,I257),1)*IF(Upgrades!$T$11="Magnetosphere",POWER(Upgrades!$U$11,J257),1)*IF(Upgrades!$T$12="Magnetosphere",POWER(Upgrades!$U$12,K257),1))+(IF(I257=0,0,(Upgrades!$G$10+I257*Upgrades!$H$10)*POWER(Upgrades!$I$10,I257)))*(IF(Upgrades!$T$6="Orbital Resonance",POWER(Upgrades!$U$6,E257),1)*IF(Upgrades!$T$7="Orbital Resonance",POWER(Upgrades!$U$7,F257),1)*IF(Upgrades!$T$8="Orbital Resonance",POWER(Upgrades!$U$8,G257),1)*IF(Upgrades!$T$9="Orbital Resonance",POWER(Upgrades!$U$9,H257),1)*IF(Upgrades!$T$11="Orbital Resonance",POWER(Upgrades!$U$11,J257),1)*IF(Upgrades!$T$12="Orbital Resonance",POWER(Upgrades!$U$12,K257),1))+(IF(J257=0,0,(Upgrades!$G$11+J257*Upgrades!$H$11)*POWER(Upgrades!$I$11,J257)))*(IF(Upgrades!$T$6="Heliopause",POWER(Upgrades!$U$6,E257),1)*IF(Upgrades!$T$7="Heliopause",POWER(Upgrades!$U$7,F257),1)*IF(Upgrades!$T$8="Heliopause",POWER(Upgrades!$U$8,G257),1)*IF(Upgrades!$T$9="Heliopause",POWER(Upgrades!$U$9,H257),1)*IF(Upgrades!$T$10="Heliopause",POWER(Upgrades!$U$10,I257),1)*IF(Upgrades!$T$12="Heliopause",POWER(Upgrades!$U$12,K257),1))+(IF(K257=0,0,(Upgrades!$G$12+K257*Upgrades!$H$12)*POWER(Upgrades!$I$12,K257)))*(IF(Upgrades!$T$6="First Photons",POWER(Upgrades!$U$6,E257),1)*IF(Upgrades!$T$7="First Photons",POWER(Upgrades!$U$7,F257),1)*IF(Upgrades!$T$8="First Photons",POWER(Upgrades!$U$8,G257),1)*IF(Upgrades!$T$9="First Photons",POWER(Upgrades!$U$9,H257),1)*IF(Upgrades!$T$10="First Photons",POWER(Upgrades!$U$10,I257),1)*IF(Upgrades!$T$11="First Photons",POWER(Upgrades!$U$11,J257),1)))*POWER(Upgrades!$P$6,E257)*POWER(Upgrades!$P$7,F257)*POWER(Upgrades!$P$8,G257)*POWER(Upgrades!$P$9,H257)*POWER(Upgrades!$P$10,I257)*POWER(Upgrades!$P$11,J257)*POWER(Upgrades!$P$12,K257)</f>
        <v/>
      </c>
      <c r="O257" s="28">
        <f>((IF(E257=0,0,(Upgrades!$M$6+E257*Upgrades!$N$6)*POWER(Upgrades!$O$6,E257)))*(IF(Upgrades!$T$7="Solar Wind",POWER(Upgrades!$U$7,F257),1)*IF(Upgrades!$T$8="Solar Wind",POWER(Upgrades!$U$8,G257),1)*IF(Upgrades!$T$9="Solar Wind",POWER(Upgrades!$U$9,H257),1)*IF(Upgrades!$T$10="Solar Wind",POWER(Upgrades!$U$10,I257),1)*IF(Upgrades!$T$11="Solar Wind",POWER(Upgrades!$U$11,J257),1)*IF(Upgrades!$T$12="Solar Wind",POWER(Upgrades!$U$12,K257),1))+(IF(F257=0,0,(Upgrades!$M$7+F257*Upgrades!$N$7)*POWER(Upgrades!$O$7,F257)))*(IF(Upgrades!$T$6="Asteroid Belt",POWER(Upgrades!$U$6,E257),1)*IF(Upgrades!$T$8="Asteroid Belt",POWER(Upgrades!$U$8,G257),1)*IF(Upgrades!$T$9="Asteroid Belt",POWER(Upgrades!$U$9,H257),1)*IF(Upgrades!$T$10="Asteroid Belt",POWER(Upgrades!$U$10,I257),1)*IF(Upgrades!$T$11="Asteroid Belt",POWER(Upgrades!$U$11,J257),1)*IF(Upgrades!$T$12="Asteroid Belt",POWER(Upgrades!$U$12,K257),1))+(IF(G257=0,0,(Upgrades!$M$8+G257*Upgrades!$N$8)*POWER(Upgrades!$O$8,G257)))*(IF(Upgrades!$T$6="Stellar Coupling",POWER(Upgrades!$U$6,E257),1)*IF(Upgrades!$T$7="Stellar Coupling",POWER(Upgrades!$U$7,F257),1)*IF(Upgrades!$T$9="Stellar Coupling",POWER(Upgrades!$U$9,H257),1)*IF(Upgrades!$T$10="Stellar Coupling",POWER(Upgrades!$U$10,I257),1)*IF(Upgrades!$T$11="Stellar Coupling",POWER(Upgrades!$U$11,J257),1)*IF(Upgrades!$T$12="Stellar Coupling",POWER(Upgrades!$U$12,K257),1))+(IF(H257=0,0,(Upgrades!$M$9+H257*Upgrades!$N$9)*POWER(Upgrades!$O$9,H257)))*(IF(Upgrades!$T$6="Magnetosphere",POWER(Upgrades!$U$6,E257),1)*IF(Upgrades!$T$7="Magnetosphere",POWER(Upgrades!$U$7,F257),1)*IF(Upgrades!$T$8="Magnetosphere",POWER(Upgrades!$U$8,G257),1)*IF(Upgrades!$T$10="Magnetosphere",POWER(Upgrades!$U$10,I257),1)*IF(Upgrades!$T$11="Magnetosphere",POWER(Upgrades!$U$11,J257),1)*IF(Upgrades!$T$12="Magnetosphere",POWER(Upgrades!$U$12,K257),1))+(IF(I257=0,0,(Upgrades!$M$10+I257*Upgrades!$N$10)*POWER(Upgrades!$O$10,I257)))*(IF(Upgrades!$T$6="Orbital Resonance",POWER(Upgrades!$U$6,E257),1)*IF(Upgrades!$T$7="Orbital Resonance",POWER(Upgrades!$U$7,F257),1)*IF(Upgrades!$T$8="Orbital Resonance",POWER(Upgrades!$U$8,G257),1)*IF(Upgrades!$T$9="Orbital Resonance",POWER(Upgrades!$U$9,H257),1)*IF(Upgrades!$T$11="Orbital Resonance",POWER(Upgrades!$U$11,J257),1)*IF(Upgrades!$T$12="Orbital Resonance",POWER(Upgrades!$U$12,K257),1))+(IF(J257=0,0,(Upgrades!$M$11+J257*Upgrades!$N$11)*POWER(Upgrades!$O$11,J257)))*(IF(Upgrades!$T$6="Heliopause",POWER(Upgrades!$U$6,E257),1)*IF(Upgrades!$T$7="Heliopause",POWER(Upgrades!$U$7,F257),1)*IF(Upgrades!$T$8="Heliopause",POWER(Upgrades!$U$8,G257),1)*IF(Upgrades!$T$9="Heliopause",POWER(Upgrades!$U$9,H257),1)*IF(Upgrades!$T$10="Heliopause",POWER(Upgrades!$U$10,I257),1)*IF(Upgrades!$T$12="Heliopause",POWER(Upgrades!$U$12,K257),1))+(IF(K257=0,0,(Upgrades!$M$12+K257*Upgrades!$N$12)*POWER(Upgrades!$O$12,K257)))*(IF(Upgrades!$T$6="First Photons",POWER(Upgrades!$U$6,E257),1)*IF(Upgrades!$T$7="First Photons",POWER(Upgrades!$U$7,F257),1)*IF(Upgrades!$T$8="First Photons",POWER(Upgrades!$U$8,G257),1)*IF(Upgrades!$T$9="First Photons",POWER(Upgrades!$U$9,H257),1)*IF(Upgrades!$T$10="First Photons",POWER(Upgrades!$U$10,I257),1)*IF(Upgrades!$T$11="First Photons",POWER(Upgrades!$U$11,J257),1)))*POWER(Upgrades!$R$6,E257)*POWER(Upgrades!$R$7,F257)*POWER(Upgrades!$R$8,G257)*POWER(Upgrades!$R$9,H257)*POWER(Upgrades!$R$10,I257)*POWER(Upgrades!$R$11,J257)*POWER(Upgrades!$R$12,K257)</f>
        <v/>
      </c>
      <c r="P257" s="27">
        <f>IF(L257=1,0,M257*Parameters!$B$10/60*Parameters!$B$11*10)</f>
        <v/>
      </c>
      <c r="Q257" s="27">
        <f>IF(L257=1,0,O257*M257*10)</f>
        <v/>
      </c>
      <c r="R257" s="27">
        <f>IF(L257=1,0,N257*10)</f>
        <v/>
      </c>
      <c r="S257" s="27">
        <f>P257+Q257+R257</f>
        <v/>
      </c>
      <c r="T257" s="22">
        <f>C257+S257</f>
        <v/>
      </c>
      <c r="U257" s="33">
        <f>AX257</f>
        <v/>
      </c>
      <c r="V257" s="22">
        <f>IF(U257="",0,IF(U257="transition",0,IF(U257="SW",AG257,IF(U257="AB",AH257,IF(U257="SC",AI257,IF(U257="Mag",AJ257,IF(U257="OR",AK257,IF(U257="HP",AL257,IF(U257="FP",AM257,0)))))))))</f>
        <v/>
      </c>
      <c r="W257" s="27">
        <f>IF(U257="OR",Upgrades!$F$10,IF(U257="HP",Upgrades!$F$11,IF(U257="transition",-Parameters!$B$18,0)))</f>
        <v/>
      </c>
      <c r="X257" s="22">
        <f>T257-V257</f>
        <v/>
      </c>
      <c r="Y257" s="30">
        <f>M257*Parameters!$B$10/60*Parameters!$B$11+O257*M257+N257</f>
        <v/>
      </c>
      <c r="Z257" s="34">
        <f>IF(U257="transition","→ Tier 2 (Stellar Neighborhood)",IF(U257="FP","First Photons — light begins, system quickens",IF(U257="HP","Heliopause acquired",IF(U257="OR","Orbital Resonance — passive multiplier active",IF(AND(AO257=1,L257=0,AN257&lt;&gt;1),"Cohesion ready (waiting on completionist upgrades)","")))))</f>
        <v/>
      </c>
      <c r="AA257" s="27">
        <f>(IF(E257=0,0,(Upgrades!$G$6+E257*Upgrades!$H$6)*POWER(Upgrades!$I$6,E257)))*(IF(Upgrades!$T$7="Solar Wind",POWER(Upgrades!$U$7,F257),1)*IF(Upgrades!$T$8="Solar Wind",POWER(Upgrades!$U$8,G257),1)*IF(Upgrades!$T$9="Solar Wind",POWER(Upgrades!$U$9,H257),1)*IF(Upgrades!$T$10="Solar Wind",POWER(Upgrades!$U$10,I257),1)*IF(Upgrades!$T$11="Solar Wind",POWER(Upgrades!$U$11,J257),1)*IF(Upgrades!$T$12="Solar Wind",POWER(Upgrades!$U$12,K257),1))*POWER(Upgrades!$P$6,E257)*POWER(Upgrades!$P$7,F257)*POWER(Upgrades!$P$8,G257)*POWER(Upgrades!$P$9,H257)*POWER(Upgrades!$P$10,I257)*POWER(Upgrades!$P$11,J257)*POWER(Upgrades!$P$12,K257)*60</f>
        <v/>
      </c>
      <c r="AB257" s="27">
        <f>(IF(F257=0,0,(Upgrades!$G$7+F257*Upgrades!$H$7)*POWER(Upgrades!$I$7,F257)))*(IF(Upgrades!$T$6="Asteroid Belt",POWER(Upgrades!$U$6,E257),1)*IF(Upgrades!$T$8="Asteroid Belt",POWER(Upgrades!$U$8,G257),1)*IF(Upgrades!$T$9="Asteroid Belt",POWER(Upgrades!$U$9,H257),1)*IF(Upgrades!$T$10="Asteroid Belt",POWER(Upgrades!$U$10,I257),1)*IF(Upgrades!$T$11="Asteroid Belt",POWER(Upgrades!$U$11,J257),1)*IF(Upgrades!$T$12="Asteroid Belt",POWER(Upgrades!$U$12,K257),1))*POWER(Upgrades!$P$6,E257)*POWER(Upgrades!$P$7,F257)*POWER(Upgrades!$P$8,G257)*POWER(Upgrades!$P$9,H257)*POWER(Upgrades!$P$10,I257)*POWER(Upgrades!$P$11,J257)*POWER(Upgrades!$P$12,K257)*60</f>
        <v/>
      </c>
      <c r="AC257" s="27">
        <f>(IF(G257=0,0,(Upgrades!$J$8+G257*Upgrades!$K$8)*POWER(Upgrades!$L$8,G257)))*(IF(Upgrades!$T$6="Stellar Coupling",POWER(Upgrades!$U$6,E257),1)*IF(Upgrades!$T$7="Stellar Coupling",POWER(Upgrades!$U$7,F257),1)*IF(Upgrades!$T$9="Stellar Coupling",POWER(Upgrades!$U$9,H257),1)*IF(Upgrades!$T$10="Stellar Coupling",POWER(Upgrades!$U$10,I257),1)*IF(Upgrades!$T$11="Stellar Coupling",POWER(Upgrades!$U$11,J257),1)*IF(Upgrades!$T$12="Stellar Coupling",POWER(Upgrades!$U$12,K257),1))*POWER(Upgrades!$Q$6,E257)*POWER(Upgrades!$Q$7,F257)*POWER(Upgrades!$Q$8,G257)*POWER(Upgrades!$Q$9,H257)*POWER(Upgrades!$Q$10,I257)*POWER(Upgrades!$Q$11,J257)*POWER(Upgrades!$Q$12,K257)*Parameters!$B$10*Parameters!$B$11</f>
        <v/>
      </c>
      <c r="AD257" s="27">
        <f>(IF(H257=0,0,(Upgrades!$G$9+H257*Upgrades!$H$9)*POWER(Upgrades!$I$9,H257)))*(IF(Upgrades!$T$6="Magnetosphere",POWER(Upgrades!$U$6,E257),1)*IF(Upgrades!$T$7="Magnetosphere",POWER(Upgrades!$U$7,F257),1)*IF(Upgrades!$T$8="Magnetosphere",POWER(Upgrades!$U$8,G257),1)*IF(Upgrades!$T$10="Magnetosphere",POWER(Upgrades!$U$10,I257),1)*IF(Upgrades!$T$11="Magnetosphere",POWER(Upgrades!$U$11,J257),1)*IF(Upgrades!$T$12="Magnetosphere",POWER(Upgrades!$U$12,K257),1))*POWER(Upgrades!$P$6,E257)*POWER(Upgrades!$P$7,F257)*POWER(Upgrades!$P$8,G257)*POWER(Upgrades!$P$9,H257)*POWER(Upgrades!$P$10,I257)*POWER(Upgrades!$P$11,J257)*POWER(Upgrades!$P$12,K257)*60</f>
        <v/>
      </c>
      <c r="AE257" s="27">
        <f>(IF(K257=0,0,(Upgrades!$G$12+K257*Upgrades!$H$12)*POWER(Upgrades!$I$12,K257)))*(IF(Upgrades!$T$6="First Photons",POWER(Upgrades!$U$6,E257),1)*IF(Upgrades!$T$7="First Photons",POWER(Upgrades!$U$7,F257),1)*IF(Upgrades!$T$8="First Photons",POWER(Upgrades!$U$8,G257),1)*IF(Upgrades!$T$9="First Photons",POWER(Upgrades!$U$9,H257),1)*IF(Upgrades!$T$10="First Photons",POWER(Upgrades!$U$10,I257),1)*IF(Upgrades!$T$11="First Photons",POWER(Upgrades!$U$11,J257),1))*POWER(Upgrades!$P$6,E257)*POWER(Upgrades!$P$7,F257)*POWER(Upgrades!$P$8,G257)*POWER(Upgrades!$P$9,H257)*POWER(Upgrades!$P$10,I257)*POWER(Upgrades!$P$11,J257)*POWER(Upgrades!$P$12,K257)*60</f>
        <v/>
      </c>
      <c r="AF257" s="27">
        <f>Parameters!$B$9*POWER(Upgrades!$Q$6,E257)*POWER(Upgrades!$Q$7,F257)*POWER(Upgrades!$Q$8,G257)*POWER(Upgrades!$Q$9,H257)*POWER(Upgrades!$Q$10,I257)*POWER(Upgrades!$Q$11,J257)*POWER(Upgrades!$Q$12,K257)*(Parameters!$B$10*Parameters!$B$11+O257*60)</f>
        <v/>
      </c>
      <c r="AG257" s="22">
        <f>IF(E257&gt;=Upgrades!$E$6,"",Upgrades!$C$6*POWER(Upgrades!$D$6,E257))</f>
        <v/>
      </c>
      <c r="AH257" s="22">
        <f>IF(F257&gt;=Upgrades!$E$7,"",Upgrades!$C$7*POWER(Upgrades!$D$7,F257))</f>
        <v/>
      </c>
      <c r="AI257" s="22">
        <f>IF(G257&gt;=Upgrades!$E$8,"",Upgrades!$C$8*POWER(Upgrades!$D$8,G257))</f>
        <v/>
      </c>
      <c r="AJ257" s="22">
        <f>IF(H257&gt;=Upgrades!$E$9,"",Upgrades!$C$9*POWER(Upgrades!$D$9,H257))</f>
        <v/>
      </c>
      <c r="AK257" s="22">
        <f>IF(I257&gt;=Upgrades!$E$10,"",Upgrades!$C$10*POWER(Upgrades!$D$10,I257))</f>
        <v/>
      </c>
      <c r="AL257" s="22">
        <f>IF(J257&gt;=Upgrades!$E$11,"",Upgrades!$C$11*POWER(Upgrades!$D$11,J257))</f>
        <v/>
      </c>
      <c r="AM257" s="22">
        <f>IF(K257&gt;=Upgrades!$E$12,"",Upgrades!$C$12*POWER(Upgrades!$D$12,K257))</f>
        <v/>
      </c>
      <c r="AN257" s="26">
        <f>IF(AND(D257&gt;=Parameters!$B$18,(H257&gt;=Upgrades!$E$9)*(K257&gt;=Upgrades!$E$12)=1,L257=0),1,"")</f>
        <v/>
      </c>
      <c r="AO257" s="26">
        <f>IF(AND(D257&gt;=Parameters!$B$18,L257=0),1,"")</f>
        <v/>
      </c>
      <c r="AP257" s="22">
        <f>MIN(IF(ISNUMBER(AK257),AK257,9E15),IF(ISNUMBER(AL257),AL257,9E15),IF(ISNUMBER(AM257),AM257,9E15))</f>
        <v/>
      </c>
      <c r="AQ257" s="22">
        <f>MIN(IF(ISNUMBER(AG257),AG257,9E15),IF(ISNUMBER(AH257),AH257,9E15),IF(ISNUMBER(AI257),AI257,9E15),IF(ISNUMBER(AJ257),AJ257,9E15))</f>
        <v/>
      </c>
      <c r="AR257" s="29">
        <f>IF(AW257&gt;Parameters!$B$21*(MAX(IF(AND(NOT(AND(AO257=1,AN257&lt;&gt;1)),ISNUMBER(AG257),AG257&lt;=T257),AS257,0),IF(AND(NOT(AND(AO257=1,AN257&lt;&gt;1)),ISNUMBER(AH257),AH257&lt;=T257),AT257,0),IF(AND(NOT(AND(AO257=1,AN257&lt;&gt;1)),ISNUMBER(AI257),AI257&lt;=T257),AU257,0),IF(AND(ISNUMBER(AJ257),AJ257&lt;=T257),AV257,0))),TRUE,FALSE)</f>
        <v/>
      </c>
      <c r="AS257" s="32">
        <f>IFERROR(Upgrades!$H$6*(POWER(Upgrades!$P$6,E257)*POWER(Upgrades!$P$7,F257)*POWER(Upgrades!$P$8,G257)*POWER(Upgrades!$P$9,H257)*POWER(Upgrades!$P$10,I257)*POWER(Upgrades!$P$11,J257)*POWER(Upgrades!$P$12,K257))*(IF(Upgrades!$T$7="Solar Wind",POWER(Upgrades!$U$7,F257),1)*IF(Upgrades!$T$8="Solar Wind",POWER(Upgrades!$U$8,G257),1)*IF(Upgrades!$T$9="Solar Wind",POWER(Upgrades!$U$9,H257),1)*IF(Upgrades!$T$10="Solar Wind",POWER(Upgrades!$U$10,I257),1)*IF(Upgrades!$T$11="Solar Wind",POWER(Upgrades!$U$11,J257),1)*IF(Upgrades!$T$12="Solar Wind",POWER(Upgrades!$U$12,K257),1))/AG257,0)</f>
        <v/>
      </c>
      <c r="AT257" s="32">
        <f>IFERROR(Upgrades!$H$7*(POWER(Upgrades!$P$6,E257)*POWER(Upgrades!$P$7,F257)*POWER(Upgrades!$P$8,G257)*POWER(Upgrades!$P$9,H257)*POWER(Upgrades!$P$10,I257)*POWER(Upgrades!$P$11,J257)*POWER(Upgrades!$P$12,K257))*(IF(Upgrades!$T$6="Asteroid Belt",POWER(Upgrades!$U$6,E257),1)*IF(Upgrades!$T$8="Asteroid Belt",POWER(Upgrades!$U$8,G257),1)*IF(Upgrades!$T$9="Asteroid Belt",POWER(Upgrades!$U$9,H257),1)*IF(Upgrades!$T$10="Asteroid Belt",POWER(Upgrades!$U$10,I257),1)*IF(Upgrades!$T$11="Asteroid Belt",POWER(Upgrades!$U$11,J257),1)*IF(Upgrades!$T$12="Asteroid Belt",POWER(Upgrades!$U$12,K257),1))/AH257,0)</f>
        <v/>
      </c>
      <c r="AU257" s="32">
        <f>IFERROR(Upgrades!$K$8*(POWER(Upgrades!$Q$6,E257)*POWER(Upgrades!$Q$7,F257)*POWER(Upgrades!$Q$8,G257)*POWER(Upgrades!$Q$9,H257)*POWER(Upgrades!$Q$10,I257)*POWER(Upgrades!$Q$11,J257)*POWER(Upgrades!$Q$12,K257))*(IF(Upgrades!$T$6="Stellar Coupling",POWER(Upgrades!$U$6,E257),1)*IF(Upgrades!$T$7="Stellar Coupling",POWER(Upgrades!$U$7,F257),1)*IF(Upgrades!$T$9="Stellar Coupling",POWER(Upgrades!$U$9,H257),1)*IF(Upgrades!$T$10="Stellar Coupling",POWER(Upgrades!$U$10,I257),1)*IF(Upgrades!$T$11="Stellar Coupling",POWER(Upgrades!$U$11,J257),1)*IF(Upgrades!$T$12="Stellar Coupling",POWER(Upgrades!$U$12,K257),1))*Parameters!$B$10*Parameters!$B$11/60/AI257,0)</f>
        <v/>
      </c>
      <c r="AV257" s="32">
        <f>IFERROR(Upgrades!$H$9*(POWER(Upgrades!$P$6,E257)*POWER(Upgrades!$P$7,F257)*POWER(Upgrades!$P$8,G257)*POWER(Upgrades!$P$9,H257)*POWER(Upgrades!$P$10,I257)*POWER(Upgrades!$P$11,J257)*POWER(Upgrades!$P$12,K257))*(IF(Upgrades!$T$6="Magnetosphere",POWER(Upgrades!$U$6,E257),1)*IF(Upgrades!$T$7="Magnetosphere",POWER(Upgrades!$U$7,F257),1)*IF(Upgrades!$T$8="Magnetosphere",POWER(Upgrades!$U$8,G257),1)*IF(Upgrades!$T$10="Magnetosphere",POWER(Upgrades!$U$10,I257),1)*IF(Upgrades!$T$11="Magnetosphere",POWER(Upgrades!$U$11,J257),1)*IF(Upgrades!$T$12="Magnetosphere",POWER(Upgrades!$U$12,K257),1))/AJ257,0)</f>
        <v/>
      </c>
      <c r="AW257" s="32">
        <f>MAX(IF(I257&gt;0,0,IFERROR(0.25*N257/Upgrades!$C$10,0)),IF(J257&gt;0,0,IFERROR(0.5*((IF(G257=0,0,(Upgrades!$J$8+G257*Upgrades!$K$8)*POWER(Upgrades!$L$8,G257)))*(IF(Upgrades!$T$6="Stellar Coupling",POWER(Upgrades!$U$6,E257),1)*IF(Upgrades!$T$7="Stellar Coupling",POWER(Upgrades!$U$7,F257),1)*IF(Upgrades!$T$9="Stellar Coupling",POWER(Upgrades!$U$9,H257),1)*IF(Upgrades!$T$10="Stellar Coupling",POWER(Upgrades!$U$10,I257),1)*IF(Upgrades!$T$11="Stellar Coupling",POWER(Upgrades!$U$11,J257),1)*IF(Upgrades!$T$12="Stellar Coupling",POWER(Upgrades!$U$12,K257),1))*(POWER(Upgrades!$Q$6,E257)*POWER(Upgrades!$Q$7,F257)*POWER(Upgrades!$Q$8,G257)*POWER(Upgrades!$Q$9,H257)*POWER(Upgrades!$Q$10,I257)*POWER(Upgrades!$Q$11,J257)*POWER(Upgrades!$Q$12,K257))*Parameters!$B$10*Parameters!$B$11/60)/Upgrades!$C$11,0)),IF(K257&gt;0,0,IFERROR((1.0*(POWER(Upgrades!$P$6,E257)*POWER(Upgrades!$P$7,F257)*POWER(Upgrades!$P$8,G257)*POWER(Upgrades!$P$9,H257)*POWER(Upgrades!$P$10,I257)*POWER(Upgrades!$P$11,J257)*POWER(Upgrades!$P$12,K257))+0.20*M257*Parameters!$B$10*Parameters!$B$11/60)/Upgrades!$C$12,0)),IF(AND(ISNUMBER(AG257),AG257&gt;T257),AS257,0),IF(AND(ISNUMBER(AH257),AH257&gt;T257),AT257,0),IF(AND(ISNUMBER(AI257),AI257&gt;T257),AU257,0),IF(AND(ISNUMBER(AJ257),AJ257&gt;T257),AV257,0))</f>
        <v/>
      </c>
      <c r="AX257" s="29">
        <f>IF(AN257=1,"transition",IF(MIN(IF(AND(I257=0,ISNUMBER(AK257),AK257&lt;=T257),AK257,9E15),IF(AND(J257=0,ISNUMBER(AL257),AL257&lt;=T257),AL257,9E15),IF(AND(K257=0,ISNUMBER(AM257),AM257&lt;=T257),AM257,9E15))&lt;9E15,IF(AND(AND(I257=0,ISNUMBER(AK257),AK257&lt;=T257),AK257=MIN(IF(AND(I257=0,ISNUMBER(AK257),AK257&lt;=T257),AK257,9E15),IF(AND(J257=0,ISNUMBER(AL257),AL257&lt;=T257),AL257,9E15),IF(AND(K257=0,ISNUMBER(AM257),AM257&lt;=T257),AM257,9E15))),"OR",IF(AND(AND(J257=0,ISNUMBER(AL257),AL257&lt;=T257),AL257=MIN(IF(AND(I257=0,ISNUMBER(AK257),AK257&lt;=T257),AK257,9E15),IF(AND(J257=0,ISNUMBER(AL257),AL257&lt;=T257),AL257,9E15),IF(AND(K257=0,ISNUMBER(AM257),AM257&lt;=T257),AM257,9E15))),"HP","FP")),IF(AR257=TRUE,"",IF(MAX(IF(AND(NOT(AND(AO257=1,AN257&lt;&gt;1)),ISNUMBER(AG257),AG257&lt;=T257),AS257,0),IF(AND(NOT(AND(AO257=1,AN257&lt;&gt;1)),ISNUMBER(AH257),AH257&lt;=T257),AT257,0),IF(AND(NOT(AND(AO257=1,AN257&lt;&gt;1)),ISNUMBER(AI257),AI257&lt;=T257),AU257,0),IF(AND(ISNUMBER(AJ257),AJ257&lt;=T257),AV257,0))&lt;=0,"",IF(AND(IF(AND(NOT(AND(AO257=1,AN257&lt;&gt;1)),ISNUMBER(AG257),AG257&lt;=T257),AS257,0)&gt;0,IF(AND(NOT(AND(AO257=1,AN257&lt;&gt;1)),ISNUMBER(AG257),AG257&lt;=T257),AS257,0)=MAX(IF(AND(NOT(AND(AO257=1,AN257&lt;&gt;1)),ISNUMBER(AG257),AG257&lt;=T257),AS257,0),IF(AND(NOT(AND(AO257=1,AN257&lt;&gt;1)),ISNUMBER(AH257),AH257&lt;=T257),AT257,0),IF(AND(NOT(AND(AO257=1,AN257&lt;&gt;1)),ISNUMBER(AI257),AI257&lt;=T257),AU257,0),IF(AND(ISNUMBER(AJ257),AJ257&lt;=T257),AV257,0))),"SW",IF(AND(IF(AND(NOT(AND(AO257=1,AN257&lt;&gt;1)),ISNUMBER(AH257),AH257&lt;=T257),AT257,0)&gt;0,IF(AND(NOT(AND(AO257=1,AN257&lt;&gt;1)),ISNUMBER(AH257),AH257&lt;=T257),AT257,0)=MAX(IF(AND(NOT(AND(AO257=1,AN257&lt;&gt;1)),ISNUMBER(AG257),AG257&lt;=T257),AS257,0),IF(AND(NOT(AND(AO257=1,AN257&lt;&gt;1)),ISNUMBER(AH257),AH257&lt;=T257),AT257,0),IF(AND(NOT(AND(AO257=1,AN257&lt;&gt;1)),ISNUMBER(AI257),AI257&lt;=T257),AU257,0),IF(AND(ISNUMBER(AJ257),AJ257&lt;=T257),AV257,0))),"AB",IF(AND(IF(AND(NOT(AND(AO257=1,AN257&lt;&gt;1)),ISNUMBER(AI257),AI257&lt;=T257),AU257,0)&gt;0,IF(AND(NOT(AND(AO257=1,AN257&lt;&gt;1)),ISNUMBER(AI257),AI257&lt;=T257),AU257,0)=MAX(IF(AND(NOT(AND(AO257=1,AN257&lt;&gt;1)),ISNUMBER(AG257),AG257&lt;=T257),AS257,0),IF(AND(NOT(AND(AO257=1,AN257&lt;&gt;1)),ISNUMBER(AH257),AH257&lt;=T257),AT257,0),IF(AND(NOT(AND(AO257=1,AN257&lt;&gt;1)),ISNUMBER(AI257),AI257&lt;=T257),AU257,0),IF(AND(ISNUMBER(AJ257),AJ257&lt;=T257),AV257,0))),"SC","Mag")))))))</f>
        <v/>
      </c>
    </row>
    <row r="258">
      <c r="A258" s="26" t="n">
        <v>253</v>
      </c>
      <c r="B258" s="27">
        <f>A258*10/60</f>
        <v/>
      </c>
      <c r="C258" s="22">
        <f>X257</f>
        <v/>
      </c>
      <c r="D258" s="27">
        <f>D257+W257</f>
        <v/>
      </c>
      <c r="E258" s="26">
        <f>E257+IF(U257="SW",1,0)</f>
        <v/>
      </c>
      <c r="F258" s="26">
        <f>F257+IF(U257="AB",1,0)</f>
        <v/>
      </c>
      <c r="G258" s="26">
        <f>G257+IF(U257="SC",1,0)</f>
        <v/>
      </c>
      <c r="H258" s="26">
        <f>H257+IF(U257="Mag",1,0)</f>
        <v/>
      </c>
      <c r="I258" s="26">
        <f>MAX(I257,IF(U257="OR",1,0))</f>
        <v/>
      </c>
      <c r="J258" s="26">
        <f>MAX(J257,IF(U257="HP",1,0))</f>
        <v/>
      </c>
      <c r="K258" s="26">
        <f>MAX(K257,IF(U257="FP",1,0))</f>
        <v/>
      </c>
      <c r="L258" s="26">
        <f>MAX(L257,IF(U257="transition",1,0))</f>
        <v/>
      </c>
      <c r="M258" s="28">
        <f>(Parameters!$B$9+(IF(E258=0,0,(Upgrades!$J$6+E258*Upgrades!$K$6)*POWER(Upgrades!$L$6,E258)))*(IF(Upgrades!$T$7="Solar Wind",POWER(Upgrades!$U$7,F258),1)*IF(Upgrades!$T$8="Solar Wind",POWER(Upgrades!$U$8,G258),1)*IF(Upgrades!$T$9="Solar Wind",POWER(Upgrades!$U$9,H258),1)*IF(Upgrades!$T$10="Solar Wind",POWER(Upgrades!$U$10,I258),1)*IF(Upgrades!$T$11="Solar Wind",POWER(Upgrades!$U$11,J258),1)*IF(Upgrades!$T$12="Solar Wind",POWER(Upgrades!$U$12,K258),1))+(IF(F258=0,0,(Upgrades!$J$7+F258*Upgrades!$K$7)*POWER(Upgrades!$L$7,F258)))*(IF(Upgrades!$T$6="Asteroid Belt",POWER(Upgrades!$U$6,E258),1)*IF(Upgrades!$T$8="Asteroid Belt",POWER(Upgrades!$U$8,G258),1)*IF(Upgrades!$T$9="Asteroid Belt",POWER(Upgrades!$U$9,H258),1)*IF(Upgrades!$T$10="Asteroid Belt",POWER(Upgrades!$U$10,I258),1)*IF(Upgrades!$T$11="Asteroid Belt",POWER(Upgrades!$U$11,J258),1)*IF(Upgrades!$T$12="Asteroid Belt",POWER(Upgrades!$U$12,K258),1))+(IF(G258=0,0,(Upgrades!$J$8+G258*Upgrades!$K$8)*POWER(Upgrades!$L$8,G258)))*(IF(Upgrades!$T$6="Stellar Coupling",POWER(Upgrades!$U$6,E258),1)*IF(Upgrades!$T$7="Stellar Coupling",POWER(Upgrades!$U$7,F258),1)*IF(Upgrades!$T$9="Stellar Coupling",POWER(Upgrades!$U$9,H258),1)*IF(Upgrades!$T$10="Stellar Coupling",POWER(Upgrades!$U$10,I258),1)*IF(Upgrades!$T$11="Stellar Coupling",POWER(Upgrades!$U$11,J258),1)*IF(Upgrades!$T$12="Stellar Coupling",POWER(Upgrades!$U$12,K258),1))+(IF(H258=0,0,(Upgrades!$J$9+H258*Upgrades!$K$9)*POWER(Upgrades!$L$9,H258)))*(IF(Upgrades!$T$6="Magnetosphere",POWER(Upgrades!$U$6,E258),1)*IF(Upgrades!$T$7="Magnetosphere",POWER(Upgrades!$U$7,F258),1)*IF(Upgrades!$T$8="Magnetosphere",POWER(Upgrades!$U$8,G258),1)*IF(Upgrades!$T$10="Magnetosphere",POWER(Upgrades!$U$10,I258),1)*IF(Upgrades!$T$11="Magnetosphere",POWER(Upgrades!$U$11,J258),1)*IF(Upgrades!$T$12="Magnetosphere",POWER(Upgrades!$U$12,K258),1))+(IF(I258=0,0,(Upgrades!$J$10+I258*Upgrades!$K$10)*POWER(Upgrades!$L$10,I258)))*(IF(Upgrades!$T$6="Orbital Resonance",POWER(Upgrades!$U$6,E258),1)*IF(Upgrades!$T$7="Orbital Resonance",POWER(Upgrades!$U$7,F258),1)*IF(Upgrades!$T$8="Orbital Resonance",POWER(Upgrades!$U$8,G258),1)*IF(Upgrades!$T$9="Orbital Resonance",POWER(Upgrades!$U$9,H258),1)*IF(Upgrades!$T$11="Orbital Resonance",POWER(Upgrades!$U$11,J258),1)*IF(Upgrades!$T$12="Orbital Resonance",POWER(Upgrades!$U$12,K258),1))+(IF(J258=0,0,(Upgrades!$J$11+J258*Upgrades!$K$11)*POWER(Upgrades!$L$11,J258)))*(IF(Upgrades!$T$6="Heliopause",POWER(Upgrades!$U$6,E258),1)*IF(Upgrades!$T$7="Heliopause",POWER(Upgrades!$U$7,F258),1)*IF(Upgrades!$T$8="Heliopause",POWER(Upgrades!$U$8,G258),1)*IF(Upgrades!$T$9="Heliopause",POWER(Upgrades!$U$9,H258),1)*IF(Upgrades!$T$10="Heliopause",POWER(Upgrades!$U$10,I258),1)*IF(Upgrades!$T$12="Heliopause",POWER(Upgrades!$U$12,K258),1))+(IF(K258=0,0,(Upgrades!$J$12+K258*Upgrades!$K$12)*POWER(Upgrades!$L$12,K258)))*(IF(Upgrades!$T$6="First Photons",POWER(Upgrades!$U$6,E258),1)*IF(Upgrades!$T$7="First Photons",POWER(Upgrades!$U$7,F258),1)*IF(Upgrades!$T$8="First Photons",POWER(Upgrades!$U$8,G258),1)*IF(Upgrades!$T$9="First Photons",POWER(Upgrades!$U$9,H258),1)*IF(Upgrades!$T$10="First Photons",POWER(Upgrades!$U$10,I258),1)*IF(Upgrades!$T$11="First Photons",POWER(Upgrades!$U$11,J258),1)))*POWER(Upgrades!$Q$6,E258)*POWER(Upgrades!$Q$7,F258)*POWER(Upgrades!$Q$8,G258)*POWER(Upgrades!$Q$9,H258)*POWER(Upgrades!$Q$10,I258)*POWER(Upgrades!$Q$11,J258)*POWER(Upgrades!$Q$12,K258)</f>
        <v/>
      </c>
      <c r="N258" s="28">
        <f>((IF(E258=0,0,(Upgrades!$G$6+E258*Upgrades!$H$6)*POWER(Upgrades!$I$6,E258)))*(IF(Upgrades!$T$7="Solar Wind",POWER(Upgrades!$U$7,F258),1)*IF(Upgrades!$T$8="Solar Wind",POWER(Upgrades!$U$8,G258),1)*IF(Upgrades!$T$9="Solar Wind",POWER(Upgrades!$U$9,H258),1)*IF(Upgrades!$T$10="Solar Wind",POWER(Upgrades!$U$10,I258),1)*IF(Upgrades!$T$11="Solar Wind",POWER(Upgrades!$U$11,J258),1)*IF(Upgrades!$T$12="Solar Wind",POWER(Upgrades!$U$12,K258),1))+(IF(F258=0,0,(Upgrades!$G$7+F258*Upgrades!$H$7)*POWER(Upgrades!$I$7,F258)))*(IF(Upgrades!$T$6="Asteroid Belt",POWER(Upgrades!$U$6,E258),1)*IF(Upgrades!$T$8="Asteroid Belt",POWER(Upgrades!$U$8,G258),1)*IF(Upgrades!$T$9="Asteroid Belt",POWER(Upgrades!$U$9,H258),1)*IF(Upgrades!$T$10="Asteroid Belt",POWER(Upgrades!$U$10,I258),1)*IF(Upgrades!$T$11="Asteroid Belt",POWER(Upgrades!$U$11,J258),1)*IF(Upgrades!$T$12="Asteroid Belt",POWER(Upgrades!$U$12,K258),1))+(IF(G258=0,0,(Upgrades!$G$8+G258*Upgrades!$H$8)*POWER(Upgrades!$I$8,G258)))*(IF(Upgrades!$T$6="Stellar Coupling",POWER(Upgrades!$U$6,E258),1)*IF(Upgrades!$T$7="Stellar Coupling",POWER(Upgrades!$U$7,F258),1)*IF(Upgrades!$T$9="Stellar Coupling",POWER(Upgrades!$U$9,H258),1)*IF(Upgrades!$T$10="Stellar Coupling",POWER(Upgrades!$U$10,I258),1)*IF(Upgrades!$T$11="Stellar Coupling",POWER(Upgrades!$U$11,J258),1)*IF(Upgrades!$T$12="Stellar Coupling",POWER(Upgrades!$U$12,K258),1))+(IF(H258=0,0,(Upgrades!$G$9+H258*Upgrades!$H$9)*POWER(Upgrades!$I$9,H258)))*(IF(Upgrades!$T$6="Magnetosphere",POWER(Upgrades!$U$6,E258),1)*IF(Upgrades!$T$7="Magnetosphere",POWER(Upgrades!$U$7,F258),1)*IF(Upgrades!$T$8="Magnetosphere",POWER(Upgrades!$U$8,G258),1)*IF(Upgrades!$T$10="Magnetosphere",POWER(Upgrades!$U$10,I258),1)*IF(Upgrades!$T$11="Magnetosphere",POWER(Upgrades!$U$11,J258),1)*IF(Upgrades!$T$12="Magnetosphere",POWER(Upgrades!$U$12,K258),1))+(IF(I258=0,0,(Upgrades!$G$10+I258*Upgrades!$H$10)*POWER(Upgrades!$I$10,I258)))*(IF(Upgrades!$T$6="Orbital Resonance",POWER(Upgrades!$U$6,E258),1)*IF(Upgrades!$T$7="Orbital Resonance",POWER(Upgrades!$U$7,F258),1)*IF(Upgrades!$T$8="Orbital Resonance",POWER(Upgrades!$U$8,G258),1)*IF(Upgrades!$T$9="Orbital Resonance",POWER(Upgrades!$U$9,H258),1)*IF(Upgrades!$T$11="Orbital Resonance",POWER(Upgrades!$U$11,J258),1)*IF(Upgrades!$T$12="Orbital Resonance",POWER(Upgrades!$U$12,K258),1))+(IF(J258=0,0,(Upgrades!$G$11+J258*Upgrades!$H$11)*POWER(Upgrades!$I$11,J258)))*(IF(Upgrades!$T$6="Heliopause",POWER(Upgrades!$U$6,E258),1)*IF(Upgrades!$T$7="Heliopause",POWER(Upgrades!$U$7,F258),1)*IF(Upgrades!$T$8="Heliopause",POWER(Upgrades!$U$8,G258),1)*IF(Upgrades!$T$9="Heliopause",POWER(Upgrades!$U$9,H258),1)*IF(Upgrades!$T$10="Heliopause",POWER(Upgrades!$U$10,I258),1)*IF(Upgrades!$T$12="Heliopause",POWER(Upgrades!$U$12,K258),1))+(IF(K258=0,0,(Upgrades!$G$12+K258*Upgrades!$H$12)*POWER(Upgrades!$I$12,K258)))*(IF(Upgrades!$T$6="First Photons",POWER(Upgrades!$U$6,E258),1)*IF(Upgrades!$T$7="First Photons",POWER(Upgrades!$U$7,F258),1)*IF(Upgrades!$T$8="First Photons",POWER(Upgrades!$U$8,G258),1)*IF(Upgrades!$T$9="First Photons",POWER(Upgrades!$U$9,H258),1)*IF(Upgrades!$T$10="First Photons",POWER(Upgrades!$U$10,I258),1)*IF(Upgrades!$T$11="First Photons",POWER(Upgrades!$U$11,J258),1)))*POWER(Upgrades!$P$6,E258)*POWER(Upgrades!$P$7,F258)*POWER(Upgrades!$P$8,G258)*POWER(Upgrades!$P$9,H258)*POWER(Upgrades!$P$10,I258)*POWER(Upgrades!$P$11,J258)*POWER(Upgrades!$P$12,K258)</f>
        <v/>
      </c>
      <c r="O258" s="28">
        <f>((IF(E258=0,0,(Upgrades!$M$6+E258*Upgrades!$N$6)*POWER(Upgrades!$O$6,E258)))*(IF(Upgrades!$T$7="Solar Wind",POWER(Upgrades!$U$7,F258),1)*IF(Upgrades!$T$8="Solar Wind",POWER(Upgrades!$U$8,G258),1)*IF(Upgrades!$T$9="Solar Wind",POWER(Upgrades!$U$9,H258),1)*IF(Upgrades!$T$10="Solar Wind",POWER(Upgrades!$U$10,I258),1)*IF(Upgrades!$T$11="Solar Wind",POWER(Upgrades!$U$11,J258),1)*IF(Upgrades!$T$12="Solar Wind",POWER(Upgrades!$U$12,K258),1))+(IF(F258=0,0,(Upgrades!$M$7+F258*Upgrades!$N$7)*POWER(Upgrades!$O$7,F258)))*(IF(Upgrades!$T$6="Asteroid Belt",POWER(Upgrades!$U$6,E258),1)*IF(Upgrades!$T$8="Asteroid Belt",POWER(Upgrades!$U$8,G258),1)*IF(Upgrades!$T$9="Asteroid Belt",POWER(Upgrades!$U$9,H258),1)*IF(Upgrades!$T$10="Asteroid Belt",POWER(Upgrades!$U$10,I258),1)*IF(Upgrades!$T$11="Asteroid Belt",POWER(Upgrades!$U$11,J258),1)*IF(Upgrades!$T$12="Asteroid Belt",POWER(Upgrades!$U$12,K258),1))+(IF(G258=0,0,(Upgrades!$M$8+G258*Upgrades!$N$8)*POWER(Upgrades!$O$8,G258)))*(IF(Upgrades!$T$6="Stellar Coupling",POWER(Upgrades!$U$6,E258),1)*IF(Upgrades!$T$7="Stellar Coupling",POWER(Upgrades!$U$7,F258),1)*IF(Upgrades!$T$9="Stellar Coupling",POWER(Upgrades!$U$9,H258),1)*IF(Upgrades!$T$10="Stellar Coupling",POWER(Upgrades!$U$10,I258),1)*IF(Upgrades!$T$11="Stellar Coupling",POWER(Upgrades!$U$11,J258),1)*IF(Upgrades!$T$12="Stellar Coupling",POWER(Upgrades!$U$12,K258),1))+(IF(H258=0,0,(Upgrades!$M$9+H258*Upgrades!$N$9)*POWER(Upgrades!$O$9,H258)))*(IF(Upgrades!$T$6="Magnetosphere",POWER(Upgrades!$U$6,E258),1)*IF(Upgrades!$T$7="Magnetosphere",POWER(Upgrades!$U$7,F258),1)*IF(Upgrades!$T$8="Magnetosphere",POWER(Upgrades!$U$8,G258),1)*IF(Upgrades!$T$10="Magnetosphere",POWER(Upgrades!$U$10,I258),1)*IF(Upgrades!$T$11="Magnetosphere",POWER(Upgrades!$U$11,J258),1)*IF(Upgrades!$T$12="Magnetosphere",POWER(Upgrades!$U$12,K258),1))+(IF(I258=0,0,(Upgrades!$M$10+I258*Upgrades!$N$10)*POWER(Upgrades!$O$10,I258)))*(IF(Upgrades!$T$6="Orbital Resonance",POWER(Upgrades!$U$6,E258),1)*IF(Upgrades!$T$7="Orbital Resonance",POWER(Upgrades!$U$7,F258),1)*IF(Upgrades!$T$8="Orbital Resonance",POWER(Upgrades!$U$8,G258),1)*IF(Upgrades!$T$9="Orbital Resonance",POWER(Upgrades!$U$9,H258),1)*IF(Upgrades!$T$11="Orbital Resonance",POWER(Upgrades!$U$11,J258),1)*IF(Upgrades!$T$12="Orbital Resonance",POWER(Upgrades!$U$12,K258),1))+(IF(J258=0,0,(Upgrades!$M$11+J258*Upgrades!$N$11)*POWER(Upgrades!$O$11,J258)))*(IF(Upgrades!$T$6="Heliopause",POWER(Upgrades!$U$6,E258),1)*IF(Upgrades!$T$7="Heliopause",POWER(Upgrades!$U$7,F258),1)*IF(Upgrades!$T$8="Heliopause",POWER(Upgrades!$U$8,G258),1)*IF(Upgrades!$T$9="Heliopause",POWER(Upgrades!$U$9,H258),1)*IF(Upgrades!$T$10="Heliopause",POWER(Upgrades!$U$10,I258),1)*IF(Upgrades!$T$12="Heliopause",POWER(Upgrades!$U$12,K258),1))+(IF(K258=0,0,(Upgrades!$M$12+K258*Upgrades!$N$12)*POWER(Upgrades!$O$12,K258)))*(IF(Upgrades!$T$6="First Photons",POWER(Upgrades!$U$6,E258),1)*IF(Upgrades!$T$7="First Photons",POWER(Upgrades!$U$7,F258),1)*IF(Upgrades!$T$8="First Photons",POWER(Upgrades!$U$8,G258),1)*IF(Upgrades!$T$9="First Photons",POWER(Upgrades!$U$9,H258),1)*IF(Upgrades!$T$10="First Photons",POWER(Upgrades!$U$10,I258),1)*IF(Upgrades!$T$11="First Photons",POWER(Upgrades!$U$11,J258),1)))*POWER(Upgrades!$R$6,E258)*POWER(Upgrades!$R$7,F258)*POWER(Upgrades!$R$8,G258)*POWER(Upgrades!$R$9,H258)*POWER(Upgrades!$R$10,I258)*POWER(Upgrades!$R$11,J258)*POWER(Upgrades!$R$12,K258)</f>
        <v/>
      </c>
      <c r="P258" s="27">
        <f>IF(L258=1,0,M258*Parameters!$B$10/60*Parameters!$B$11*10)</f>
        <v/>
      </c>
      <c r="Q258" s="27">
        <f>IF(L258=1,0,O258*M258*10)</f>
        <v/>
      </c>
      <c r="R258" s="27">
        <f>IF(L258=1,0,N258*10)</f>
        <v/>
      </c>
      <c r="S258" s="27">
        <f>P258+Q258+R258</f>
        <v/>
      </c>
      <c r="T258" s="22">
        <f>C258+S258</f>
        <v/>
      </c>
      <c r="U258" s="33">
        <f>AX258</f>
        <v/>
      </c>
      <c r="V258" s="22">
        <f>IF(U258="",0,IF(U258="transition",0,IF(U258="SW",AG258,IF(U258="AB",AH258,IF(U258="SC",AI258,IF(U258="Mag",AJ258,IF(U258="OR",AK258,IF(U258="HP",AL258,IF(U258="FP",AM258,0)))))))))</f>
        <v/>
      </c>
      <c r="W258" s="27">
        <f>IF(U258="OR",Upgrades!$F$10,IF(U258="HP",Upgrades!$F$11,IF(U258="transition",-Parameters!$B$18,0)))</f>
        <v/>
      </c>
      <c r="X258" s="22">
        <f>T258-V258</f>
        <v/>
      </c>
      <c r="Y258" s="30">
        <f>M258*Parameters!$B$10/60*Parameters!$B$11+O258*M258+N258</f>
        <v/>
      </c>
      <c r="Z258" s="34">
        <f>IF(U258="transition","→ Tier 2 (Stellar Neighborhood)",IF(U258="FP","First Photons — light begins, system quickens",IF(U258="HP","Heliopause acquired",IF(U258="OR","Orbital Resonance — passive multiplier active",IF(AND(AO258=1,L258=0,AN258&lt;&gt;1),"Cohesion ready (waiting on completionist upgrades)","")))))</f>
        <v/>
      </c>
      <c r="AA258" s="27">
        <f>(IF(E258=0,0,(Upgrades!$G$6+E258*Upgrades!$H$6)*POWER(Upgrades!$I$6,E258)))*(IF(Upgrades!$T$7="Solar Wind",POWER(Upgrades!$U$7,F258),1)*IF(Upgrades!$T$8="Solar Wind",POWER(Upgrades!$U$8,G258),1)*IF(Upgrades!$T$9="Solar Wind",POWER(Upgrades!$U$9,H258),1)*IF(Upgrades!$T$10="Solar Wind",POWER(Upgrades!$U$10,I258),1)*IF(Upgrades!$T$11="Solar Wind",POWER(Upgrades!$U$11,J258),1)*IF(Upgrades!$T$12="Solar Wind",POWER(Upgrades!$U$12,K258),1))*POWER(Upgrades!$P$6,E258)*POWER(Upgrades!$P$7,F258)*POWER(Upgrades!$P$8,G258)*POWER(Upgrades!$P$9,H258)*POWER(Upgrades!$P$10,I258)*POWER(Upgrades!$P$11,J258)*POWER(Upgrades!$P$12,K258)*60</f>
        <v/>
      </c>
      <c r="AB258" s="27">
        <f>(IF(F258=0,0,(Upgrades!$G$7+F258*Upgrades!$H$7)*POWER(Upgrades!$I$7,F258)))*(IF(Upgrades!$T$6="Asteroid Belt",POWER(Upgrades!$U$6,E258),1)*IF(Upgrades!$T$8="Asteroid Belt",POWER(Upgrades!$U$8,G258),1)*IF(Upgrades!$T$9="Asteroid Belt",POWER(Upgrades!$U$9,H258),1)*IF(Upgrades!$T$10="Asteroid Belt",POWER(Upgrades!$U$10,I258),1)*IF(Upgrades!$T$11="Asteroid Belt",POWER(Upgrades!$U$11,J258),1)*IF(Upgrades!$T$12="Asteroid Belt",POWER(Upgrades!$U$12,K258),1))*POWER(Upgrades!$P$6,E258)*POWER(Upgrades!$P$7,F258)*POWER(Upgrades!$P$8,G258)*POWER(Upgrades!$P$9,H258)*POWER(Upgrades!$P$10,I258)*POWER(Upgrades!$P$11,J258)*POWER(Upgrades!$P$12,K258)*60</f>
        <v/>
      </c>
      <c r="AC258" s="27">
        <f>(IF(G258=0,0,(Upgrades!$J$8+G258*Upgrades!$K$8)*POWER(Upgrades!$L$8,G258)))*(IF(Upgrades!$T$6="Stellar Coupling",POWER(Upgrades!$U$6,E258),1)*IF(Upgrades!$T$7="Stellar Coupling",POWER(Upgrades!$U$7,F258),1)*IF(Upgrades!$T$9="Stellar Coupling",POWER(Upgrades!$U$9,H258),1)*IF(Upgrades!$T$10="Stellar Coupling",POWER(Upgrades!$U$10,I258),1)*IF(Upgrades!$T$11="Stellar Coupling",POWER(Upgrades!$U$11,J258),1)*IF(Upgrades!$T$12="Stellar Coupling",POWER(Upgrades!$U$12,K258),1))*POWER(Upgrades!$Q$6,E258)*POWER(Upgrades!$Q$7,F258)*POWER(Upgrades!$Q$8,G258)*POWER(Upgrades!$Q$9,H258)*POWER(Upgrades!$Q$10,I258)*POWER(Upgrades!$Q$11,J258)*POWER(Upgrades!$Q$12,K258)*Parameters!$B$10*Parameters!$B$11</f>
        <v/>
      </c>
      <c r="AD258" s="27">
        <f>(IF(H258=0,0,(Upgrades!$G$9+H258*Upgrades!$H$9)*POWER(Upgrades!$I$9,H258)))*(IF(Upgrades!$T$6="Magnetosphere",POWER(Upgrades!$U$6,E258),1)*IF(Upgrades!$T$7="Magnetosphere",POWER(Upgrades!$U$7,F258),1)*IF(Upgrades!$T$8="Magnetosphere",POWER(Upgrades!$U$8,G258),1)*IF(Upgrades!$T$10="Magnetosphere",POWER(Upgrades!$U$10,I258),1)*IF(Upgrades!$T$11="Magnetosphere",POWER(Upgrades!$U$11,J258),1)*IF(Upgrades!$T$12="Magnetosphere",POWER(Upgrades!$U$12,K258),1))*POWER(Upgrades!$P$6,E258)*POWER(Upgrades!$P$7,F258)*POWER(Upgrades!$P$8,G258)*POWER(Upgrades!$P$9,H258)*POWER(Upgrades!$P$10,I258)*POWER(Upgrades!$P$11,J258)*POWER(Upgrades!$P$12,K258)*60</f>
        <v/>
      </c>
      <c r="AE258" s="27">
        <f>(IF(K258=0,0,(Upgrades!$G$12+K258*Upgrades!$H$12)*POWER(Upgrades!$I$12,K258)))*(IF(Upgrades!$T$6="First Photons",POWER(Upgrades!$U$6,E258),1)*IF(Upgrades!$T$7="First Photons",POWER(Upgrades!$U$7,F258),1)*IF(Upgrades!$T$8="First Photons",POWER(Upgrades!$U$8,G258),1)*IF(Upgrades!$T$9="First Photons",POWER(Upgrades!$U$9,H258),1)*IF(Upgrades!$T$10="First Photons",POWER(Upgrades!$U$10,I258),1)*IF(Upgrades!$T$11="First Photons",POWER(Upgrades!$U$11,J258),1))*POWER(Upgrades!$P$6,E258)*POWER(Upgrades!$P$7,F258)*POWER(Upgrades!$P$8,G258)*POWER(Upgrades!$P$9,H258)*POWER(Upgrades!$P$10,I258)*POWER(Upgrades!$P$11,J258)*POWER(Upgrades!$P$12,K258)*60</f>
        <v/>
      </c>
      <c r="AF258" s="27">
        <f>Parameters!$B$9*POWER(Upgrades!$Q$6,E258)*POWER(Upgrades!$Q$7,F258)*POWER(Upgrades!$Q$8,G258)*POWER(Upgrades!$Q$9,H258)*POWER(Upgrades!$Q$10,I258)*POWER(Upgrades!$Q$11,J258)*POWER(Upgrades!$Q$12,K258)*(Parameters!$B$10*Parameters!$B$11+O258*60)</f>
        <v/>
      </c>
      <c r="AG258" s="22">
        <f>IF(E258&gt;=Upgrades!$E$6,"",Upgrades!$C$6*POWER(Upgrades!$D$6,E258))</f>
        <v/>
      </c>
      <c r="AH258" s="22">
        <f>IF(F258&gt;=Upgrades!$E$7,"",Upgrades!$C$7*POWER(Upgrades!$D$7,F258))</f>
        <v/>
      </c>
      <c r="AI258" s="22">
        <f>IF(G258&gt;=Upgrades!$E$8,"",Upgrades!$C$8*POWER(Upgrades!$D$8,G258))</f>
        <v/>
      </c>
      <c r="AJ258" s="22">
        <f>IF(H258&gt;=Upgrades!$E$9,"",Upgrades!$C$9*POWER(Upgrades!$D$9,H258))</f>
        <v/>
      </c>
      <c r="AK258" s="22">
        <f>IF(I258&gt;=Upgrades!$E$10,"",Upgrades!$C$10*POWER(Upgrades!$D$10,I258))</f>
        <v/>
      </c>
      <c r="AL258" s="22">
        <f>IF(J258&gt;=Upgrades!$E$11,"",Upgrades!$C$11*POWER(Upgrades!$D$11,J258))</f>
        <v/>
      </c>
      <c r="AM258" s="22">
        <f>IF(K258&gt;=Upgrades!$E$12,"",Upgrades!$C$12*POWER(Upgrades!$D$12,K258))</f>
        <v/>
      </c>
      <c r="AN258" s="26">
        <f>IF(AND(D258&gt;=Parameters!$B$18,(H258&gt;=Upgrades!$E$9)*(K258&gt;=Upgrades!$E$12)=1,L258=0),1,"")</f>
        <v/>
      </c>
      <c r="AO258" s="26">
        <f>IF(AND(D258&gt;=Parameters!$B$18,L258=0),1,"")</f>
        <v/>
      </c>
      <c r="AP258" s="22">
        <f>MIN(IF(ISNUMBER(AK258),AK258,9E15),IF(ISNUMBER(AL258),AL258,9E15),IF(ISNUMBER(AM258),AM258,9E15))</f>
        <v/>
      </c>
      <c r="AQ258" s="22">
        <f>MIN(IF(ISNUMBER(AG258),AG258,9E15),IF(ISNUMBER(AH258),AH258,9E15),IF(ISNUMBER(AI258),AI258,9E15),IF(ISNUMBER(AJ258),AJ258,9E15))</f>
        <v/>
      </c>
      <c r="AR258" s="29">
        <f>IF(AW258&gt;Parameters!$B$21*(MAX(IF(AND(NOT(AND(AO258=1,AN258&lt;&gt;1)),ISNUMBER(AG258),AG258&lt;=T258),AS258,0),IF(AND(NOT(AND(AO258=1,AN258&lt;&gt;1)),ISNUMBER(AH258),AH258&lt;=T258),AT258,0),IF(AND(NOT(AND(AO258=1,AN258&lt;&gt;1)),ISNUMBER(AI258),AI258&lt;=T258),AU258,0),IF(AND(ISNUMBER(AJ258),AJ258&lt;=T258),AV258,0))),TRUE,FALSE)</f>
        <v/>
      </c>
      <c r="AS258" s="32">
        <f>IFERROR(Upgrades!$H$6*(POWER(Upgrades!$P$6,E258)*POWER(Upgrades!$P$7,F258)*POWER(Upgrades!$P$8,G258)*POWER(Upgrades!$P$9,H258)*POWER(Upgrades!$P$10,I258)*POWER(Upgrades!$P$11,J258)*POWER(Upgrades!$P$12,K258))*(IF(Upgrades!$T$7="Solar Wind",POWER(Upgrades!$U$7,F258),1)*IF(Upgrades!$T$8="Solar Wind",POWER(Upgrades!$U$8,G258),1)*IF(Upgrades!$T$9="Solar Wind",POWER(Upgrades!$U$9,H258),1)*IF(Upgrades!$T$10="Solar Wind",POWER(Upgrades!$U$10,I258),1)*IF(Upgrades!$T$11="Solar Wind",POWER(Upgrades!$U$11,J258),1)*IF(Upgrades!$T$12="Solar Wind",POWER(Upgrades!$U$12,K258),1))/AG258,0)</f>
        <v/>
      </c>
      <c r="AT258" s="32">
        <f>IFERROR(Upgrades!$H$7*(POWER(Upgrades!$P$6,E258)*POWER(Upgrades!$P$7,F258)*POWER(Upgrades!$P$8,G258)*POWER(Upgrades!$P$9,H258)*POWER(Upgrades!$P$10,I258)*POWER(Upgrades!$P$11,J258)*POWER(Upgrades!$P$12,K258))*(IF(Upgrades!$T$6="Asteroid Belt",POWER(Upgrades!$U$6,E258),1)*IF(Upgrades!$T$8="Asteroid Belt",POWER(Upgrades!$U$8,G258),1)*IF(Upgrades!$T$9="Asteroid Belt",POWER(Upgrades!$U$9,H258),1)*IF(Upgrades!$T$10="Asteroid Belt",POWER(Upgrades!$U$10,I258),1)*IF(Upgrades!$T$11="Asteroid Belt",POWER(Upgrades!$U$11,J258),1)*IF(Upgrades!$T$12="Asteroid Belt",POWER(Upgrades!$U$12,K258),1))/AH258,0)</f>
        <v/>
      </c>
      <c r="AU258" s="32">
        <f>IFERROR(Upgrades!$K$8*(POWER(Upgrades!$Q$6,E258)*POWER(Upgrades!$Q$7,F258)*POWER(Upgrades!$Q$8,G258)*POWER(Upgrades!$Q$9,H258)*POWER(Upgrades!$Q$10,I258)*POWER(Upgrades!$Q$11,J258)*POWER(Upgrades!$Q$12,K258))*(IF(Upgrades!$T$6="Stellar Coupling",POWER(Upgrades!$U$6,E258),1)*IF(Upgrades!$T$7="Stellar Coupling",POWER(Upgrades!$U$7,F258),1)*IF(Upgrades!$T$9="Stellar Coupling",POWER(Upgrades!$U$9,H258),1)*IF(Upgrades!$T$10="Stellar Coupling",POWER(Upgrades!$U$10,I258),1)*IF(Upgrades!$T$11="Stellar Coupling",POWER(Upgrades!$U$11,J258),1)*IF(Upgrades!$T$12="Stellar Coupling",POWER(Upgrades!$U$12,K258),1))*Parameters!$B$10*Parameters!$B$11/60/AI258,0)</f>
        <v/>
      </c>
      <c r="AV258" s="32">
        <f>IFERROR(Upgrades!$H$9*(POWER(Upgrades!$P$6,E258)*POWER(Upgrades!$P$7,F258)*POWER(Upgrades!$P$8,G258)*POWER(Upgrades!$P$9,H258)*POWER(Upgrades!$P$10,I258)*POWER(Upgrades!$P$11,J258)*POWER(Upgrades!$P$12,K258))*(IF(Upgrades!$T$6="Magnetosphere",POWER(Upgrades!$U$6,E258),1)*IF(Upgrades!$T$7="Magnetosphere",POWER(Upgrades!$U$7,F258),1)*IF(Upgrades!$T$8="Magnetosphere",POWER(Upgrades!$U$8,G258),1)*IF(Upgrades!$T$10="Magnetosphere",POWER(Upgrades!$U$10,I258),1)*IF(Upgrades!$T$11="Magnetosphere",POWER(Upgrades!$U$11,J258),1)*IF(Upgrades!$T$12="Magnetosphere",POWER(Upgrades!$U$12,K258),1))/AJ258,0)</f>
        <v/>
      </c>
      <c r="AW258" s="32">
        <f>MAX(IF(I258&gt;0,0,IFERROR(0.25*N258/Upgrades!$C$10,0)),IF(J258&gt;0,0,IFERROR(0.5*((IF(G258=0,0,(Upgrades!$J$8+G258*Upgrades!$K$8)*POWER(Upgrades!$L$8,G258)))*(IF(Upgrades!$T$6="Stellar Coupling",POWER(Upgrades!$U$6,E258),1)*IF(Upgrades!$T$7="Stellar Coupling",POWER(Upgrades!$U$7,F258),1)*IF(Upgrades!$T$9="Stellar Coupling",POWER(Upgrades!$U$9,H258),1)*IF(Upgrades!$T$10="Stellar Coupling",POWER(Upgrades!$U$10,I258),1)*IF(Upgrades!$T$11="Stellar Coupling",POWER(Upgrades!$U$11,J258),1)*IF(Upgrades!$T$12="Stellar Coupling",POWER(Upgrades!$U$12,K258),1))*(POWER(Upgrades!$Q$6,E258)*POWER(Upgrades!$Q$7,F258)*POWER(Upgrades!$Q$8,G258)*POWER(Upgrades!$Q$9,H258)*POWER(Upgrades!$Q$10,I258)*POWER(Upgrades!$Q$11,J258)*POWER(Upgrades!$Q$12,K258))*Parameters!$B$10*Parameters!$B$11/60)/Upgrades!$C$11,0)),IF(K258&gt;0,0,IFERROR((1.0*(POWER(Upgrades!$P$6,E258)*POWER(Upgrades!$P$7,F258)*POWER(Upgrades!$P$8,G258)*POWER(Upgrades!$P$9,H258)*POWER(Upgrades!$P$10,I258)*POWER(Upgrades!$P$11,J258)*POWER(Upgrades!$P$12,K258))+0.20*M258*Parameters!$B$10*Parameters!$B$11/60)/Upgrades!$C$12,0)),IF(AND(ISNUMBER(AG258),AG258&gt;T258),AS258,0),IF(AND(ISNUMBER(AH258),AH258&gt;T258),AT258,0),IF(AND(ISNUMBER(AI258),AI258&gt;T258),AU258,0),IF(AND(ISNUMBER(AJ258),AJ258&gt;T258),AV258,0))</f>
        <v/>
      </c>
      <c r="AX258" s="29">
        <f>IF(AN258=1,"transition",IF(MIN(IF(AND(I258=0,ISNUMBER(AK258),AK258&lt;=T258),AK258,9E15),IF(AND(J258=0,ISNUMBER(AL258),AL258&lt;=T258),AL258,9E15),IF(AND(K258=0,ISNUMBER(AM258),AM258&lt;=T258),AM258,9E15))&lt;9E15,IF(AND(AND(I258=0,ISNUMBER(AK258),AK258&lt;=T258),AK258=MIN(IF(AND(I258=0,ISNUMBER(AK258),AK258&lt;=T258),AK258,9E15),IF(AND(J258=0,ISNUMBER(AL258),AL258&lt;=T258),AL258,9E15),IF(AND(K258=0,ISNUMBER(AM258),AM258&lt;=T258),AM258,9E15))),"OR",IF(AND(AND(J258=0,ISNUMBER(AL258),AL258&lt;=T258),AL258=MIN(IF(AND(I258=0,ISNUMBER(AK258),AK258&lt;=T258),AK258,9E15),IF(AND(J258=0,ISNUMBER(AL258),AL258&lt;=T258),AL258,9E15),IF(AND(K258=0,ISNUMBER(AM258),AM258&lt;=T258),AM258,9E15))),"HP","FP")),IF(AR258=TRUE,"",IF(MAX(IF(AND(NOT(AND(AO258=1,AN258&lt;&gt;1)),ISNUMBER(AG258),AG258&lt;=T258),AS258,0),IF(AND(NOT(AND(AO258=1,AN258&lt;&gt;1)),ISNUMBER(AH258),AH258&lt;=T258),AT258,0),IF(AND(NOT(AND(AO258=1,AN258&lt;&gt;1)),ISNUMBER(AI258),AI258&lt;=T258),AU258,0),IF(AND(ISNUMBER(AJ258),AJ258&lt;=T258),AV258,0))&lt;=0,"",IF(AND(IF(AND(NOT(AND(AO258=1,AN258&lt;&gt;1)),ISNUMBER(AG258),AG258&lt;=T258),AS258,0)&gt;0,IF(AND(NOT(AND(AO258=1,AN258&lt;&gt;1)),ISNUMBER(AG258),AG258&lt;=T258),AS258,0)=MAX(IF(AND(NOT(AND(AO258=1,AN258&lt;&gt;1)),ISNUMBER(AG258),AG258&lt;=T258),AS258,0),IF(AND(NOT(AND(AO258=1,AN258&lt;&gt;1)),ISNUMBER(AH258),AH258&lt;=T258),AT258,0),IF(AND(NOT(AND(AO258=1,AN258&lt;&gt;1)),ISNUMBER(AI258),AI258&lt;=T258),AU258,0),IF(AND(ISNUMBER(AJ258),AJ258&lt;=T258),AV258,0))),"SW",IF(AND(IF(AND(NOT(AND(AO258=1,AN258&lt;&gt;1)),ISNUMBER(AH258),AH258&lt;=T258),AT258,0)&gt;0,IF(AND(NOT(AND(AO258=1,AN258&lt;&gt;1)),ISNUMBER(AH258),AH258&lt;=T258),AT258,0)=MAX(IF(AND(NOT(AND(AO258=1,AN258&lt;&gt;1)),ISNUMBER(AG258),AG258&lt;=T258),AS258,0),IF(AND(NOT(AND(AO258=1,AN258&lt;&gt;1)),ISNUMBER(AH258),AH258&lt;=T258),AT258,0),IF(AND(NOT(AND(AO258=1,AN258&lt;&gt;1)),ISNUMBER(AI258),AI258&lt;=T258),AU258,0),IF(AND(ISNUMBER(AJ258),AJ258&lt;=T258),AV258,0))),"AB",IF(AND(IF(AND(NOT(AND(AO258=1,AN258&lt;&gt;1)),ISNUMBER(AI258),AI258&lt;=T258),AU258,0)&gt;0,IF(AND(NOT(AND(AO258=1,AN258&lt;&gt;1)),ISNUMBER(AI258),AI258&lt;=T258),AU258,0)=MAX(IF(AND(NOT(AND(AO258=1,AN258&lt;&gt;1)),ISNUMBER(AG258),AG258&lt;=T258),AS258,0),IF(AND(NOT(AND(AO258=1,AN258&lt;&gt;1)),ISNUMBER(AH258),AH258&lt;=T258),AT258,0),IF(AND(NOT(AND(AO258=1,AN258&lt;&gt;1)),ISNUMBER(AI258),AI258&lt;=T258),AU258,0),IF(AND(ISNUMBER(AJ258),AJ258&lt;=T258),AV258,0))),"SC","Mag")))))))</f>
        <v/>
      </c>
    </row>
    <row r="259">
      <c r="A259" s="26" t="n">
        <v>254</v>
      </c>
      <c r="B259" s="27">
        <f>A259*10/60</f>
        <v/>
      </c>
      <c r="C259" s="22">
        <f>X258</f>
        <v/>
      </c>
      <c r="D259" s="27">
        <f>D258+W258</f>
        <v/>
      </c>
      <c r="E259" s="26">
        <f>E258+IF(U258="SW",1,0)</f>
        <v/>
      </c>
      <c r="F259" s="26">
        <f>F258+IF(U258="AB",1,0)</f>
        <v/>
      </c>
      <c r="G259" s="26">
        <f>G258+IF(U258="SC",1,0)</f>
        <v/>
      </c>
      <c r="H259" s="26">
        <f>H258+IF(U258="Mag",1,0)</f>
        <v/>
      </c>
      <c r="I259" s="26">
        <f>MAX(I258,IF(U258="OR",1,0))</f>
        <v/>
      </c>
      <c r="J259" s="26">
        <f>MAX(J258,IF(U258="HP",1,0))</f>
        <v/>
      </c>
      <c r="K259" s="26">
        <f>MAX(K258,IF(U258="FP",1,0))</f>
        <v/>
      </c>
      <c r="L259" s="26">
        <f>MAX(L258,IF(U258="transition",1,0))</f>
        <v/>
      </c>
      <c r="M259" s="28">
        <f>(Parameters!$B$9+(IF(E259=0,0,(Upgrades!$J$6+E259*Upgrades!$K$6)*POWER(Upgrades!$L$6,E259)))*(IF(Upgrades!$T$7="Solar Wind",POWER(Upgrades!$U$7,F259),1)*IF(Upgrades!$T$8="Solar Wind",POWER(Upgrades!$U$8,G259),1)*IF(Upgrades!$T$9="Solar Wind",POWER(Upgrades!$U$9,H259),1)*IF(Upgrades!$T$10="Solar Wind",POWER(Upgrades!$U$10,I259),1)*IF(Upgrades!$T$11="Solar Wind",POWER(Upgrades!$U$11,J259),1)*IF(Upgrades!$T$12="Solar Wind",POWER(Upgrades!$U$12,K259),1))+(IF(F259=0,0,(Upgrades!$J$7+F259*Upgrades!$K$7)*POWER(Upgrades!$L$7,F259)))*(IF(Upgrades!$T$6="Asteroid Belt",POWER(Upgrades!$U$6,E259),1)*IF(Upgrades!$T$8="Asteroid Belt",POWER(Upgrades!$U$8,G259),1)*IF(Upgrades!$T$9="Asteroid Belt",POWER(Upgrades!$U$9,H259),1)*IF(Upgrades!$T$10="Asteroid Belt",POWER(Upgrades!$U$10,I259),1)*IF(Upgrades!$T$11="Asteroid Belt",POWER(Upgrades!$U$11,J259),1)*IF(Upgrades!$T$12="Asteroid Belt",POWER(Upgrades!$U$12,K259),1))+(IF(G259=0,0,(Upgrades!$J$8+G259*Upgrades!$K$8)*POWER(Upgrades!$L$8,G259)))*(IF(Upgrades!$T$6="Stellar Coupling",POWER(Upgrades!$U$6,E259),1)*IF(Upgrades!$T$7="Stellar Coupling",POWER(Upgrades!$U$7,F259),1)*IF(Upgrades!$T$9="Stellar Coupling",POWER(Upgrades!$U$9,H259),1)*IF(Upgrades!$T$10="Stellar Coupling",POWER(Upgrades!$U$10,I259),1)*IF(Upgrades!$T$11="Stellar Coupling",POWER(Upgrades!$U$11,J259),1)*IF(Upgrades!$T$12="Stellar Coupling",POWER(Upgrades!$U$12,K259),1))+(IF(H259=0,0,(Upgrades!$J$9+H259*Upgrades!$K$9)*POWER(Upgrades!$L$9,H259)))*(IF(Upgrades!$T$6="Magnetosphere",POWER(Upgrades!$U$6,E259),1)*IF(Upgrades!$T$7="Magnetosphere",POWER(Upgrades!$U$7,F259),1)*IF(Upgrades!$T$8="Magnetosphere",POWER(Upgrades!$U$8,G259),1)*IF(Upgrades!$T$10="Magnetosphere",POWER(Upgrades!$U$10,I259),1)*IF(Upgrades!$T$11="Magnetosphere",POWER(Upgrades!$U$11,J259),1)*IF(Upgrades!$T$12="Magnetosphere",POWER(Upgrades!$U$12,K259),1))+(IF(I259=0,0,(Upgrades!$J$10+I259*Upgrades!$K$10)*POWER(Upgrades!$L$10,I259)))*(IF(Upgrades!$T$6="Orbital Resonance",POWER(Upgrades!$U$6,E259),1)*IF(Upgrades!$T$7="Orbital Resonance",POWER(Upgrades!$U$7,F259),1)*IF(Upgrades!$T$8="Orbital Resonance",POWER(Upgrades!$U$8,G259),1)*IF(Upgrades!$T$9="Orbital Resonance",POWER(Upgrades!$U$9,H259),1)*IF(Upgrades!$T$11="Orbital Resonance",POWER(Upgrades!$U$11,J259),1)*IF(Upgrades!$T$12="Orbital Resonance",POWER(Upgrades!$U$12,K259),1))+(IF(J259=0,0,(Upgrades!$J$11+J259*Upgrades!$K$11)*POWER(Upgrades!$L$11,J259)))*(IF(Upgrades!$T$6="Heliopause",POWER(Upgrades!$U$6,E259),1)*IF(Upgrades!$T$7="Heliopause",POWER(Upgrades!$U$7,F259),1)*IF(Upgrades!$T$8="Heliopause",POWER(Upgrades!$U$8,G259),1)*IF(Upgrades!$T$9="Heliopause",POWER(Upgrades!$U$9,H259),1)*IF(Upgrades!$T$10="Heliopause",POWER(Upgrades!$U$10,I259),1)*IF(Upgrades!$T$12="Heliopause",POWER(Upgrades!$U$12,K259),1))+(IF(K259=0,0,(Upgrades!$J$12+K259*Upgrades!$K$12)*POWER(Upgrades!$L$12,K259)))*(IF(Upgrades!$T$6="First Photons",POWER(Upgrades!$U$6,E259),1)*IF(Upgrades!$T$7="First Photons",POWER(Upgrades!$U$7,F259),1)*IF(Upgrades!$T$8="First Photons",POWER(Upgrades!$U$8,G259),1)*IF(Upgrades!$T$9="First Photons",POWER(Upgrades!$U$9,H259),1)*IF(Upgrades!$T$10="First Photons",POWER(Upgrades!$U$10,I259),1)*IF(Upgrades!$T$11="First Photons",POWER(Upgrades!$U$11,J259),1)))*POWER(Upgrades!$Q$6,E259)*POWER(Upgrades!$Q$7,F259)*POWER(Upgrades!$Q$8,G259)*POWER(Upgrades!$Q$9,H259)*POWER(Upgrades!$Q$10,I259)*POWER(Upgrades!$Q$11,J259)*POWER(Upgrades!$Q$12,K259)</f>
        <v/>
      </c>
      <c r="N259" s="28">
        <f>((IF(E259=0,0,(Upgrades!$G$6+E259*Upgrades!$H$6)*POWER(Upgrades!$I$6,E259)))*(IF(Upgrades!$T$7="Solar Wind",POWER(Upgrades!$U$7,F259),1)*IF(Upgrades!$T$8="Solar Wind",POWER(Upgrades!$U$8,G259),1)*IF(Upgrades!$T$9="Solar Wind",POWER(Upgrades!$U$9,H259),1)*IF(Upgrades!$T$10="Solar Wind",POWER(Upgrades!$U$10,I259),1)*IF(Upgrades!$T$11="Solar Wind",POWER(Upgrades!$U$11,J259),1)*IF(Upgrades!$T$12="Solar Wind",POWER(Upgrades!$U$12,K259),1))+(IF(F259=0,0,(Upgrades!$G$7+F259*Upgrades!$H$7)*POWER(Upgrades!$I$7,F259)))*(IF(Upgrades!$T$6="Asteroid Belt",POWER(Upgrades!$U$6,E259),1)*IF(Upgrades!$T$8="Asteroid Belt",POWER(Upgrades!$U$8,G259),1)*IF(Upgrades!$T$9="Asteroid Belt",POWER(Upgrades!$U$9,H259),1)*IF(Upgrades!$T$10="Asteroid Belt",POWER(Upgrades!$U$10,I259),1)*IF(Upgrades!$T$11="Asteroid Belt",POWER(Upgrades!$U$11,J259),1)*IF(Upgrades!$T$12="Asteroid Belt",POWER(Upgrades!$U$12,K259),1))+(IF(G259=0,0,(Upgrades!$G$8+G259*Upgrades!$H$8)*POWER(Upgrades!$I$8,G259)))*(IF(Upgrades!$T$6="Stellar Coupling",POWER(Upgrades!$U$6,E259),1)*IF(Upgrades!$T$7="Stellar Coupling",POWER(Upgrades!$U$7,F259),1)*IF(Upgrades!$T$9="Stellar Coupling",POWER(Upgrades!$U$9,H259),1)*IF(Upgrades!$T$10="Stellar Coupling",POWER(Upgrades!$U$10,I259),1)*IF(Upgrades!$T$11="Stellar Coupling",POWER(Upgrades!$U$11,J259),1)*IF(Upgrades!$T$12="Stellar Coupling",POWER(Upgrades!$U$12,K259),1))+(IF(H259=0,0,(Upgrades!$G$9+H259*Upgrades!$H$9)*POWER(Upgrades!$I$9,H259)))*(IF(Upgrades!$T$6="Magnetosphere",POWER(Upgrades!$U$6,E259),1)*IF(Upgrades!$T$7="Magnetosphere",POWER(Upgrades!$U$7,F259),1)*IF(Upgrades!$T$8="Magnetosphere",POWER(Upgrades!$U$8,G259),1)*IF(Upgrades!$T$10="Magnetosphere",POWER(Upgrades!$U$10,I259),1)*IF(Upgrades!$T$11="Magnetosphere",POWER(Upgrades!$U$11,J259),1)*IF(Upgrades!$T$12="Magnetosphere",POWER(Upgrades!$U$12,K259),1))+(IF(I259=0,0,(Upgrades!$G$10+I259*Upgrades!$H$10)*POWER(Upgrades!$I$10,I259)))*(IF(Upgrades!$T$6="Orbital Resonance",POWER(Upgrades!$U$6,E259),1)*IF(Upgrades!$T$7="Orbital Resonance",POWER(Upgrades!$U$7,F259),1)*IF(Upgrades!$T$8="Orbital Resonance",POWER(Upgrades!$U$8,G259),1)*IF(Upgrades!$T$9="Orbital Resonance",POWER(Upgrades!$U$9,H259),1)*IF(Upgrades!$T$11="Orbital Resonance",POWER(Upgrades!$U$11,J259),1)*IF(Upgrades!$T$12="Orbital Resonance",POWER(Upgrades!$U$12,K259),1))+(IF(J259=0,0,(Upgrades!$G$11+J259*Upgrades!$H$11)*POWER(Upgrades!$I$11,J259)))*(IF(Upgrades!$T$6="Heliopause",POWER(Upgrades!$U$6,E259),1)*IF(Upgrades!$T$7="Heliopause",POWER(Upgrades!$U$7,F259),1)*IF(Upgrades!$T$8="Heliopause",POWER(Upgrades!$U$8,G259),1)*IF(Upgrades!$T$9="Heliopause",POWER(Upgrades!$U$9,H259),1)*IF(Upgrades!$T$10="Heliopause",POWER(Upgrades!$U$10,I259),1)*IF(Upgrades!$T$12="Heliopause",POWER(Upgrades!$U$12,K259),1))+(IF(K259=0,0,(Upgrades!$G$12+K259*Upgrades!$H$12)*POWER(Upgrades!$I$12,K259)))*(IF(Upgrades!$T$6="First Photons",POWER(Upgrades!$U$6,E259),1)*IF(Upgrades!$T$7="First Photons",POWER(Upgrades!$U$7,F259),1)*IF(Upgrades!$T$8="First Photons",POWER(Upgrades!$U$8,G259),1)*IF(Upgrades!$T$9="First Photons",POWER(Upgrades!$U$9,H259),1)*IF(Upgrades!$T$10="First Photons",POWER(Upgrades!$U$10,I259),1)*IF(Upgrades!$T$11="First Photons",POWER(Upgrades!$U$11,J259),1)))*POWER(Upgrades!$P$6,E259)*POWER(Upgrades!$P$7,F259)*POWER(Upgrades!$P$8,G259)*POWER(Upgrades!$P$9,H259)*POWER(Upgrades!$P$10,I259)*POWER(Upgrades!$P$11,J259)*POWER(Upgrades!$P$12,K259)</f>
        <v/>
      </c>
      <c r="O259" s="28">
        <f>((IF(E259=0,0,(Upgrades!$M$6+E259*Upgrades!$N$6)*POWER(Upgrades!$O$6,E259)))*(IF(Upgrades!$T$7="Solar Wind",POWER(Upgrades!$U$7,F259),1)*IF(Upgrades!$T$8="Solar Wind",POWER(Upgrades!$U$8,G259),1)*IF(Upgrades!$T$9="Solar Wind",POWER(Upgrades!$U$9,H259),1)*IF(Upgrades!$T$10="Solar Wind",POWER(Upgrades!$U$10,I259),1)*IF(Upgrades!$T$11="Solar Wind",POWER(Upgrades!$U$11,J259),1)*IF(Upgrades!$T$12="Solar Wind",POWER(Upgrades!$U$12,K259),1))+(IF(F259=0,0,(Upgrades!$M$7+F259*Upgrades!$N$7)*POWER(Upgrades!$O$7,F259)))*(IF(Upgrades!$T$6="Asteroid Belt",POWER(Upgrades!$U$6,E259),1)*IF(Upgrades!$T$8="Asteroid Belt",POWER(Upgrades!$U$8,G259),1)*IF(Upgrades!$T$9="Asteroid Belt",POWER(Upgrades!$U$9,H259),1)*IF(Upgrades!$T$10="Asteroid Belt",POWER(Upgrades!$U$10,I259),1)*IF(Upgrades!$T$11="Asteroid Belt",POWER(Upgrades!$U$11,J259),1)*IF(Upgrades!$T$12="Asteroid Belt",POWER(Upgrades!$U$12,K259),1))+(IF(G259=0,0,(Upgrades!$M$8+G259*Upgrades!$N$8)*POWER(Upgrades!$O$8,G259)))*(IF(Upgrades!$T$6="Stellar Coupling",POWER(Upgrades!$U$6,E259),1)*IF(Upgrades!$T$7="Stellar Coupling",POWER(Upgrades!$U$7,F259),1)*IF(Upgrades!$T$9="Stellar Coupling",POWER(Upgrades!$U$9,H259),1)*IF(Upgrades!$T$10="Stellar Coupling",POWER(Upgrades!$U$10,I259),1)*IF(Upgrades!$T$11="Stellar Coupling",POWER(Upgrades!$U$11,J259),1)*IF(Upgrades!$T$12="Stellar Coupling",POWER(Upgrades!$U$12,K259),1))+(IF(H259=0,0,(Upgrades!$M$9+H259*Upgrades!$N$9)*POWER(Upgrades!$O$9,H259)))*(IF(Upgrades!$T$6="Magnetosphere",POWER(Upgrades!$U$6,E259),1)*IF(Upgrades!$T$7="Magnetosphere",POWER(Upgrades!$U$7,F259),1)*IF(Upgrades!$T$8="Magnetosphere",POWER(Upgrades!$U$8,G259),1)*IF(Upgrades!$T$10="Magnetosphere",POWER(Upgrades!$U$10,I259),1)*IF(Upgrades!$T$11="Magnetosphere",POWER(Upgrades!$U$11,J259),1)*IF(Upgrades!$T$12="Magnetosphere",POWER(Upgrades!$U$12,K259),1))+(IF(I259=0,0,(Upgrades!$M$10+I259*Upgrades!$N$10)*POWER(Upgrades!$O$10,I259)))*(IF(Upgrades!$T$6="Orbital Resonance",POWER(Upgrades!$U$6,E259),1)*IF(Upgrades!$T$7="Orbital Resonance",POWER(Upgrades!$U$7,F259),1)*IF(Upgrades!$T$8="Orbital Resonance",POWER(Upgrades!$U$8,G259),1)*IF(Upgrades!$T$9="Orbital Resonance",POWER(Upgrades!$U$9,H259),1)*IF(Upgrades!$T$11="Orbital Resonance",POWER(Upgrades!$U$11,J259),1)*IF(Upgrades!$T$12="Orbital Resonance",POWER(Upgrades!$U$12,K259),1))+(IF(J259=0,0,(Upgrades!$M$11+J259*Upgrades!$N$11)*POWER(Upgrades!$O$11,J259)))*(IF(Upgrades!$T$6="Heliopause",POWER(Upgrades!$U$6,E259),1)*IF(Upgrades!$T$7="Heliopause",POWER(Upgrades!$U$7,F259),1)*IF(Upgrades!$T$8="Heliopause",POWER(Upgrades!$U$8,G259),1)*IF(Upgrades!$T$9="Heliopause",POWER(Upgrades!$U$9,H259),1)*IF(Upgrades!$T$10="Heliopause",POWER(Upgrades!$U$10,I259),1)*IF(Upgrades!$T$12="Heliopause",POWER(Upgrades!$U$12,K259),1))+(IF(K259=0,0,(Upgrades!$M$12+K259*Upgrades!$N$12)*POWER(Upgrades!$O$12,K259)))*(IF(Upgrades!$T$6="First Photons",POWER(Upgrades!$U$6,E259),1)*IF(Upgrades!$T$7="First Photons",POWER(Upgrades!$U$7,F259),1)*IF(Upgrades!$T$8="First Photons",POWER(Upgrades!$U$8,G259),1)*IF(Upgrades!$T$9="First Photons",POWER(Upgrades!$U$9,H259),1)*IF(Upgrades!$T$10="First Photons",POWER(Upgrades!$U$10,I259),1)*IF(Upgrades!$T$11="First Photons",POWER(Upgrades!$U$11,J259),1)))*POWER(Upgrades!$R$6,E259)*POWER(Upgrades!$R$7,F259)*POWER(Upgrades!$R$8,G259)*POWER(Upgrades!$R$9,H259)*POWER(Upgrades!$R$10,I259)*POWER(Upgrades!$R$11,J259)*POWER(Upgrades!$R$12,K259)</f>
        <v/>
      </c>
      <c r="P259" s="27">
        <f>IF(L259=1,0,M259*Parameters!$B$10/60*Parameters!$B$11*10)</f>
        <v/>
      </c>
      <c r="Q259" s="27">
        <f>IF(L259=1,0,O259*M259*10)</f>
        <v/>
      </c>
      <c r="R259" s="27">
        <f>IF(L259=1,0,N259*10)</f>
        <v/>
      </c>
      <c r="S259" s="27">
        <f>P259+Q259+R259</f>
        <v/>
      </c>
      <c r="T259" s="22">
        <f>C259+S259</f>
        <v/>
      </c>
      <c r="U259" s="33">
        <f>AX259</f>
        <v/>
      </c>
      <c r="V259" s="22">
        <f>IF(U259="",0,IF(U259="transition",0,IF(U259="SW",AG259,IF(U259="AB",AH259,IF(U259="SC",AI259,IF(U259="Mag",AJ259,IF(U259="OR",AK259,IF(U259="HP",AL259,IF(U259="FP",AM259,0)))))))))</f>
        <v/>
      </c>
      <c r="W259" s="27">
        <f>IF(U259="OR",Upgrades!$F$10,IF(U259="HP",Upgrades!$F$11,IF(U259="transition",-Parameters!$B$18,0)))</f>
        <v/>
      </c>
      <c r="X259" s="22">
        <f>T259-V259</f>
        <v/>
      </c>
      <c r="Y259" s="30">
        <f>M259*Parameters!$B$10/60*Parameters!$B$11+O259*M259+N259</f>
        <v/>
      </c>
      <c r="Z259" s="34">
        <f>IF(U259="transition","→ Tier 2 (Stellar Neighborhood)",IF(U259="FP","First Photons — light begins, system quickens",IF(U259="HP","Heliopause acquired",IF(U259="OR","Orbital Resonance — passive multiplier active",IF(AND(AO259=1,L259=0,AN259&lt;&gt;1),"Cohesion ready (waiting on completionist upgrades)","")))))</f>
        <v/>
      </c>
      <c r="AA259" s="27">
        <f>(IF(E259=0,0,(Upgrades!$G$6+E259*Upgrades!$H$6)*POWER(Upgrades!$I$6,E259)))*(IF(Upgrades!$T$7="Solar Wind",POWER(Upgrades!$U$7,F259),1)*IF(Upgrades!$T$8="Solar Wind",POWER(Upgrades!$U$8,G259),1)*IF(Upgrades!$T$9="Solar Wind",POWER(Upgrades!$U$9,H259),1)*IF(Upgrades!$T$10="Solar Wind",POWER(Upgrades!$U$10,I259),1)*IF(Upgrades!$T$11="Solar Wind",POWER(Upgrades!$U$11,J259),1)*IF(Upgrades!$T$12="Solar Wind",POWER(Upgrades!$U$12,K259),1))*POWER(Upgrades!$P$6,E259)*POWER(Upgrades!$P$7,F259)*POWER(Upgrades!$P$8,G259)*POWER(Upgrades!$P$9,H259)*POWER(Upgrades!$P$10,I259)*POWER(Upgrades!$P$11,J259)*POWER(Upgrades!$P$12,K259)*60</f>
        <v/>
      </c>
      <c r="AB259" s="27">
        <f>(IF(F259=0,0,(Upgrades!$G$7+F259*Upgrades!$H$7)*POWER(Upgrades!$I$7,F259)))*(IF(Upgrades!$T$6="Asteroid Belt",POWER(Upgrades!$U$6,E259),1)*IF(Upgrades!$T$8="Asteroid Belt",POWER(Upgrades!$U$8,G259),1)*IF(Upgrades!$T$9="Asteroid Belt",POWER(Upgrades!$U$9,H259),1)*IF(Upgrades!$T$10="Asteroid Belt",POWER(Upgrades!$U$10,I259),1)*IF(Upgrades!$T$11="Asteroid Belt",POWER(Upgrades!$U$11,J259),1)*IF(Upgrades!$T$12="Asteroid Belt",POWER(Upgrades!$U$12,K259),1))*POWER(Upgrades!$P$6,E259)*POWER(Upgrades!$P$7,F259)*POWER(Upgrades!$P$8,G259)*POWER(Upgrades!$P$9,H259)*POWER(Upgrades!$P$10,I259)*POWER(Upgrades!$P$11,J259)*POWER(Upgrades!$P$12,K259)*60</f>
        <v/>
      </c>
      <c r="AC259" s="27">
        <f>(IF(G259=0,0,(Upgrades!$J$8+G259*Upgrades!$K$8)*POWER(Upgrades!$L$8,G259)))*(IF(Upgrades!$T$6="Stellar Coupling",POWER(Upgrades!$U$6,E259),1)*IF(Upgrades!$T$7="Stellar Coupling",POWER(Upgrades!$U$7,F259),1)*IF(Upgrades!$T$9="Stellar Coupling",POWER(Upgrades!$U$9,H259),1)*IF(Upgrades!$T$10="Stellar Coupling",POWER(Upgrades!$U$10,I259),1)*IF(Upgrades!$T$11="Stellar Coupling",POWER(Upgrades!$U$11,J259),1)*IF(Upgrades!$T$12="Stellar Coupling",POWER(Upgrades!$U$12,K259),1))*POWER(Upgrades!$Q$6,E259)*POWER(Upgrades!$Q$7,F259)*POWER(Upgrades!$Q$8,G259)*POWER(Upgrades!$Q$9,H259)*POWER(Upgrades!$Q$10,I259)*POWER(Upgrades!$Q$11,J259)*POWER(Upgrades!$Q$12,K259)*Parameters!$B$10*Parameters!$B$11</f>
        <v/>
      </c>
      <c r="AD259" s="27">
        <f>(IF(H259=0,0,(Upgrades!$G$9+H259*Upgrades!$H$9)*POWER(Upgrades!$I$9,H259)))*(IF(Upgrades!$T$6="Magnetosphere",POWER(Upgrades!$U$6,E259),1)*IF(Upgrades!$T$7="Magnetosphere",POWER(Upgrades!$U$7,F259),1)*IF(Upgrades!$T$8="Magnetosphere",POWER(Upgrades!$U$8,G259),1)*IF(Upgrades!$T$10="Magnetosphere",POWER(Upgrades!$U$10,I259),1)*IF(Upgrades!$T$11="Magnetosphere",POWER(Upgrades!$U$11,J259),1)*IF(Upgrades!$T$12="Magnetosphere",POWER(Upgrades!$U$12,K259),1))*POWER(Upgrades!$P$6,E259)*POWER(Upgrades!$P$7,F259)*POWER(Upgrades!$P$8,G259)*POWER(Upgrades!$P$9,H259)*POWER(Upgrades!$P$10,I259)*POWER(Upgrades!$P$11,J259)*POWER(Upgrades!$P$12,K259)*60</f>
        <v/>
      </c>
      <c r="AE259" s="27">
        <f>(IF(K259=0,0,(Upgrades!$G$12+K259*Upgrades!$H$12)*POWER(Upgrades!$I$12,K259)))*(IF(Upgrades!$T$6="First Photons",POWER(Upgrades!$U$6,E259),1)*IF(Upgrades!$T$7="First Photons",POWER(Upgrades!$U$7,F259),1)*IF(Upgrades!$T$8="First Photons",POWER(Upgrades!$U$8,G259),1)*IF(Upgrades!$T$9="First Photons",POWER(Upgrades!$U$9,H259),1)*IF(Upgrades!$T$10="First Photons",POWER(Upgrades!$U$10,I259),1)*IF(Upgrades!$T$11="First Photons",POWER(Upgrades!$U$11,J259),1))*POWER(Upgrades!$P$6,E259)*POWER(Upgrades!$P$7,F259)*POWER(Upgrades!$P$8,G259)*POWER(Upgrades!$P$9,H259)*POWER(Upgrades!$P$10,I259)*POWER(Upgrades!$P$11,J259)*POWER(Upgrades!$P$12,K259)*60</f>
        <v/>
      </c>
      <c r="AF259" s="27">
        <f>Parameters!$B$9*POWER(Upgrades!$Q$6,E259)*POWER(Upgrades!$Q$7,F259)*POWER(Upgrades!$Q$8,G259)*POWER(Upgrades!$Q$9,H259)*POWER(Upgrades!$Q$10,I259)*POWER(Upgrades!$Q$11,J259)*POWER(Upgrades!$Q$12,K259)*(Parameters!$B$10*Parameters!$B$11+O259*60)</f>
        <v/>
      </c>
      <c r="AG259" s="22">
        <f>IF(E259&gt;=Upgrades!$E$6,"",Upgrades!$C$6*POWER(Upgrades!$D$6,E259))</f>
        <v/>
      </c>
      <c r="AH259" s="22">
        <f>IF(F259&gt;=Upgrades!$E$7,"",Upgrades!$C$7*POWER(Upgrades!$D$7,F259))</f>
        <v/>
      </c>
      <c r="AI259" s="22">
        <f>IF(G259&gt;=Upgrades!$E$8,"",Upgrades!$C$8*POWER(Upgrades!$D$8,G259))</f>
        <v/>
      </c>
      <c r="AJ259" s="22">
        <f>IF(H259&gt;=Upgrades!$E$9,"",Upgrades!$C$9*POWER(Upgrades!$D$9,H259))</f>
        <v/>
      </c>
      <c r="AK259" s="22">
        <f>IF(I259&gt;=Upgrades!$E$10,"",Upgrades!$C$10*POWER(Upgrades!$D$10,I259))</f>
        <v/>
      </c>
      <c r="AL259" s="22">
        <f>IF(J259&gt;=Upgrades!$E$11,"",Upgrades!$C$11*POWER(Upgrades!$D$11,J259))</f>
        <v/>
      </c>
      <c r="AM259" s="22">
        <f>IF(K259&gt;=Upgrades!$E$12,"",Upgrades!$C$12*POWER(Upgrades!$D$12,K259))</f>
        <v/>
      </c>
      <c r="AN259" s="26">
        <f>IF(AND(D259&gt;=Parameters!$B$18,(H259&gt;=Upgrades!$E$9)*(K259&gt;=Upgrades!$E$12)=1,L259=0),1,"")</f>
        <v/>
      </c>
      <c r="AO259" s="26">
        <f>IF(AND(D259&gt;=Parameters!$B$18,L259=0),1,"")</f>
        <v/>
      </c>
      <c r="AP259" s="22">
        <f>MIN(IF(ISNUMBER(AK259),AK259,9E15),IF(ISNUMBER(AL259),AL259,9E15),IF(ISNUMBER(AM259),AM259,9E15))</f>
        <v/>
      </c>
      <c r="AQ259" s="22">
        <f>MIN(IF(ISNUMBER(AG259),AG259,9E15),IF(ISNUMBER(AH259),AH259,9E15),IF(ISNUMBER(AI259),AI259,9E15),IF(ISNUMBER(AJ259),AJ259,9E15))</f>
        <v/>
      </c>
      <c r="AR259" s="29">
        <f>IF(AW259&gt;Parameters!$B$21*(MAX(IF(AND(NOT(AND(AO259=1,AN259&lt;&gt;1)),ISNUMBER(AG259),AG259&lt;=T259),AS259,0),IF(AND(NOT(AND(AO259=1,AN259&lt;&gt;1)),ISNUMBER(AH259),AH259&lt;=T259),AT259,0),IF(AND(NOT(AND(AO259=1,AN259&lt;&gt;1)),ISNUMBER(AI259),AI259&lt;=T259),AU259,0),IF(AND(ISNUMBER(AJ259),AJ259&lt;=T259),AV259,0))),TRUE,FALSE)</f>
        <v/>
      </c>
      <c r="AS259" s="32">
        <f>IFERROR(Upgrades!$H$6*(POWER(Upgrades!$P$6,E259)*POWER(Upgrades!$P$7,F259)*POWER(Upgrades!$P$8,G259)*POWER(Upgrades!$P$9,H259)*POWER(Upgrades!$P$10,I259)*POWER(Upgrades!$P$11,J259)*POWER(Upgrades!$P$12,K259))*(IF(Upgrades!$T$7="Solar Wind",POWER(Upgrades!$U$7,F259),1)*IF(Upgrades!$T$8="Solar Wind",POWER(Upgrades!$U$8,G259),1)*IF(Upgrades!$T$9="Solar Wind",POWER(Upgrades!$U$9,H259),1)*IF(Upgrades!$T$10="Solar Wind",POWER(Upgrades!$U$10,I259),1)*IF(Upgrades!$T$11="Solar Wind",POWER(Upgrades!$U$11,J259),1)*IF(Upgrades!$T$12="Solar Wind",POWER(Upgrades!$U$12,K259),1))/AG259,0)</f>
        <v/>
      </c>
      <c r="AT259" s="32">
        <f>IFERROR(Upgrades!$H$7*(POWER(Upgrades!$P$6,E259)*POWER(Upgrades!$P$7,F259)*POWER(Upgrades!$P$8,G259)*POWER(Upgrades!$P$9,H259)*POWER(Upgrades!$P$10,I259)*POWER(Upgrades!$P$11,J259)*POWER(Upgrades!$P$12,K259))*(IF(Upgrades!$T$6="Asteroid Belt",POWER(Upgrades!$U$6,E259),1)*IF(Upgrades!$T$8="Asteroid Belt",POWER(Upgrades!$U$8,G259),1)*IF(Upgrades!$T$9="Asteroid Belt",POWER(Upgrades!$U$9,H259),1)*IF(Upgrades!$T$10="Asteroid Belt",POWER(Upgrades!$U$10,I259),1)*IF(Upgrades!$T$11="Asteroid Belt",POWER(Upgrades!$U$11,J259),1)*IF(Upgrades!$T$12="Asteroid Belt",POWER(Upgrades!$U$12,K259),1))/AH259,0)</f>
        <v/>
      </c>
      <c r="AU259" s="32">
        <f>IFERROR(Upgrades!$K$8*(POWER(Upgrades!$Q$6,E259)*POWER(Upgrades!$Q$7,F259)*POWER(Upgrades!$Q$8,G259)*POWER(Upgrades!$Q$9,H259)*POWER(Upgrades!$Q$10,I259)*POWER(Upgrades!$Q$11,J259)*POWER(Upgrades!$Q$12,K259))*(IF(Upgrades!$T$6="Stellar Coupling",POWER(Upgrades!$U$6,E259),1)*IF(Upgrades!$T$7="Stellar Coupling",POWER(Upgrades!$U$7,F259),1)*IF(Upgrades!$T$9="Stellar Coupling",POWER(Upgrades!$U$9,H259),1)*IF(Upgrades!$T$10="Stellar Coupling",POWER(Upgrades!$U$10,I259),1)*IF(Upgrades!$T$11="Stellar Coupling",POWER(Upgrades!$U$11,J259),1)*IF(Upgrades!$T$12="Stellar Coupling",POWER(Upgrades!$U$12,K259),1))*Parameters!$B$10*Parameters!$B$11/60/AI259,0)</f>
        <v/>
      </c>
      <c r="AV259" s="32">
        <f>IFERROR(Upgrades!$H$9*(POWER(Upgrades!$P$6,E259)*POWER(Upgrades!$P$7,F259)*POWER(Upgrades!$P$8,G259)*POWER(Upgrades!$P$9,H259)*POWER(Upgrades!$P$10,I259)*POWER(Upgrades!$P$11,J259)*POWER(Upgrades!$P$12,K259))*(IF(Upgrades!$T$6="Magnetosphere",POWER(Upgrades!$U$6,E259),1)*IF(Upgrades!$T$7="Magnetosphere",POWER(Upgrades!$U$7,F259),1)*IF(Upgrades!$T$8="Magnetosphere",POWER(Upgrades!$U$8,G259),1)*IF(Upgrades!$T$10="Magnetosphere",POWER(Upgrades!$U$10,I259),1)*IF(Upgrades!$T$11="Magnetosphere",POWER(Upgrades!$U$11,J259),1)*IF(Upgrades!$T$12="Magnetosphere",POWER(Upgrades!$U$12,K259),1))/AJ259,0)</f>
        <v/>
      </c>
      <c r="AW259" s="32">
        <f>MAX(IF(I259&gt;0,0,IFERROR(0.25*N259/Upgrades!$C$10,0)),IF(J259&gt;0,0,IFERROR(0.5*((IF(G259=0,0,(Upgrades!$J$8+G259*Upgrades!$K$8)*POWER(Upgrades!$L$8,G259)))*(IF(Upgrades!$T$6="Stellar Coupling",POWER(Upgrades!$U$6,E259),1)*IF(Upgrades!$T$7="Stellar Coupling",POWER(Upgrades!$U$7,F259),1)*IF(Upgrades!$T$9="Stellar Coupling",POWER(Upgrades!$U$9,H259),1)*IF(Upgrades!$T$10="Stellar Coupling",POWER(Upgrades!$U$10,I259),1)*IF(Upgrades!$T$11="Stellar Coupling",POWER(Upgrades!$U$11,J259),1)*IF(Upgrades!$T$12="Stellar Coupling",POWER(Upgrades!$U$12,K259),1))*(POWER(Upgrades!$Q$6,E259)*POWER(Upgrades!$Q$7,F259)*POWER(Upgrades!$Q$8,G259)*POWER(Upgrades!$Q$9,H259)*POWER(Upgrades!$Q$10,I259)*POWER(Upgrades!$Q$11,J259)*POWER(Upgrades!$Q$12,K259))*Parameters!$B$10*Parameters!$B$11/60)/Upgrades!$C$11,0)),IF(K259&gt;0,0,IFERROR((1.0*(POWER(Upgrades!$P$6,E259)*POWER(Upgrades!$P$7,F259)*POWER(Upgrades!$P$8,G259)*POWER(Upgrades!$P$9,H259)*POWER(Upgrades!$P$10,I259)*POWER(Upgrades!$P$11,J259)*POWER(Upgrades!$P$12,K259))+0.20*M259*Parameters!$B$10*Parameters!$B$11/60)/Upgrades!$C$12,0)),IF(AND(ISNUMBER(AG259),AG259&gt;T259),AS259,0),IF(AND(ISNUMBER(AH259),AH259&gt;T259),AT259,0),IF(AND(ISNUMBER(AI259),AI259&gt;T259),AU259,0),IF(AND(ISNUMBER(AJ259),AJ259&gt;T259),AV259,0))</f>
        <v/>
      </c>
      <c r="AX259" s="29">
        <f>IF(AN259=1,"transition",IF(MIN(IF(AND(I259=0,ISNUMBER(AK259),AK259&lt;=T259),AK259,9E15),IF(AND(J259=0,ISNUMBER(AL259),AL259&lt;=T259),AL259,9E15),IF(AND(K259=0,ISNUMBER(AM259),AM259&lt;=T259),AM259,9E15))&lt;9E15,IF(AND(AND(I259=0,ISNUMBER(AK259),AK259&lt;=T259),AK259=MIN(IF(AND(I259=0,ISNUMBER(AK259),AK259&lt;=T259),AK259,9E15),IF(AND(J259=0,ISNUMBER(AL259),AL259&lt;=T259),AL259,9E15),IF(AND(K259=0,ISNUMBER(AM259),AM259&lt;=T259),AM259,9E15))),"OR",IF(AND(AND(J259=0,ISNUMBER(AL259),AL259&lt;=T259),AL259=MIN(IF(AND(I259=0,ISNUMBER(AK259),AK259&lt;=T259),AK259,9E15),IF(AND(J259=0,ISNUMBER(AL259),AL259&lt;=T259),AL259,9E15),IF(AND(K259=0,ISNUMBER(AM259),AM259&lt;=T259),AM259,9E15))),"HP","FP")),IF(AR259=TRUE,"",IF(MAX(IF(AND(NOT(AND(AO259=1,AN259&lt;&gt;1)),ISNUMBER(AG259),AG259&lt;=T259),AS259,0),IF(AND(NOT(AND(AO259=1,AN259&lt;&gt;1)),ISNUMBER(AH259),AH259&lt;=T259),AT259,0),IF(AND(NOT(AND(AO259=1,AN259&lt;&gt;1)),ISNUMBER(AI259),AI259&lt;=T259),AU259,0),IF(AND(ISNUMBER(AJ259),AJ259&lt;=T259),AV259,0))&lt;=0,"",IF(AND(IF(AND(NOT(AND(AO259=1,AN259&lt;&gt;1)),ISNUMBER(AG259),AG259&lt;=T259),AS259,0)&gt;0,IF(AND(NOT(AND(AO259=1,AN259&lt;&gt;1)),ISNUMBER(AG259),AG259&lt;=T259),AS259,0)=MAX(IF(AND(NOT(AND(AO259=1,AN259&lt;&gt;1)),ISNUMBER(AG259),AG259&lt;=T259),AS259,0),IF(AND(NOT(AND(AO259=1,AN259&lt;&gt;1)),ISNUMBER(AH259),AH259&lt;=T259),AT259,0),IF(AND(NOT(AND(AO259=1,AN259&lt;&gt;1)),ISNUMBER(AI259),AI259&lt;=T259),AU259,0),IF(AND(ISNUMBER(AJ259),AJ259&lt;=T259),AV259,0))),"SW",IF(AND(IF(AND(NOT(AND(AO259=1,AN259&lt;&gt;1)),ISNUMBER(AH259),AH259&lt;=T259),AT259,0)&gt;0,IF(AND(NOT(AND(AO259=1,AN259&lt;&gt;1)),ISNUMBER(AH259),AH259&lt;=T259),AT259,0)=MAX(IF(AND(NOT(AND(AO259=1,AN259&lt;&gt;1)),ISNUMBER(AG259),AG259&lt;=T259),AS259,0),IF(AND(NOT(AND(AO259=1,AN259&lt;&gt;1)),ISNUMBER(AH259),AH259&lt;=T259),AT259,0),IF(AND(NOT(AND(AO259=1,AN259&lt;&gt;1)),ISNUMBER(AI259),AI259&lt;=T259),AU259,0),IF(AND(ISNUMBER(AJ259),AJ259&lt;=T259),AV259,0))),"AB",IF(AND(IF(AND(NOT(AND(AO259=1,AN259&lt;&gt;1)),ISNUMBER(AI259),AI259&lt;=T259),AU259,0)&gt;0,IF(AND(NOT(AND(AO259=1,AN259&lt;&gt;1)),ISNUMBER(AI259),AI259&lt;=T259),AU259,0)=MAX(IF(AND(NOT(AND(AO259=1,AN259&lt;&gt;1)),ISNUMBER(AG259),AG259&lt;=T259),AS259,0),IF(AND(NOT(AND(AO259=1,AN259&lt;&gt;1)),ISNUMBER(AH259),AH259&lt;=T259),AT259,0),IF(AND(NOT(AND(AO259=1,AN259&lt;&gt;1)),ISNUMBER(AI259),AI259&lt;=T259),AU259,0),IF(AND(ISNUMBER(AJ259),AJ259&lt;=T259),AV259,0))),"SC","Mag")))))))</f>
        <v/>
      </c>
    </row>
    <row r="260">
      <c r="A260" s="26" t="n">
        <v>255</v>
      </c>
      <c r="B260" s="27">
        <f>A260*10/60</f>
        <v/>
      </c>
      <c r="C260" s="22">
        <f>X259</f>
        <v/>
      </c>
      <c r="D260" s="27">
        <f>D259+W259</f>
        <v/>
      </c>
      <c r="E260" s="26">
        <f>E259+IF(U259="SW",1,0)</f>
        <v/>
      </c>
      <c r="F260" s="26">
        <f>F259+IF(U259="AB",1,0)</f>
        <v/>
      </c>
      <c r="G260" s="26">
        <f>G259+IF(U259="SC",1,0)</f>
        <v/>
      </c>
      <c r="H260" s="26">
        <f>H259+IF(U259="Mag",1,0)</f>
        <v/>
      </c>
      <c r="I260" s="26">
        <f>MAX(I259,IF(U259="OR",1,0))</f>
        <v/>
      </c>
      <c r="J260" s="26">
        <f>MAX(J259,IF(U259="HP",1,0))</f>
        <v/>
      </c>
      <c r="K260" s="26">
        <f>MAX(K259,IF(U259="FP",1,0))</f>
        <v/>
      </c>
      <c r="L260" s="26">
        <f>MAX(L259,IF(U259="transition",1,0))</f>
        <v/>
      </c>
      <c r="M260" s="28">
        <f>(Parameters!$B$9+(IF(E260=0,0,(Upgrades!$J$6+E260*Upgrades!$K$6)*POWER(Upgrades!$L$6,E260)))*(IF(Upgrades!$T$7="Solar Wind",POWER(Upgrades!$U$7,F260),1)*IF(Upgrades!$T$8="Solar Wind",POWER(Upgrades!$U$8,G260),1)*IF(Upgrades!$T$9="Solar Wind",POWER(Upgrades!$U$9,H260),1)*IF(Upgrades!$T$10="Solar Wind",POWER(Upgrades!$U$10,I260),1)*IF(Upgrades!$T$11="Solar Wind",POWER(Upgrades!$U$11,J260),1)*IF(Upgrades!$T$12="Solar Wind",POWER(Upgrades!$U$12,K260),1))+(IF(F260=0,0,(Upgrades!$J$7+F260*Upgrades!$K$7)*POWER(Upgrades!$L$7,F260)))*(IF(Upgrades!$T$6="Asteroid Belt",POWER(Upgrades!$U$6,E260),1)*IF(Upgrades!$T$8="Asteroid Belt",POWER(Upgrades!$U$8,G260),1)*IF(Upgrades!$T$9="Asteroid Belt",POWER(Upgrades!$U$9,H260),1)*IF(Upgrades!$T$10="Asteroid Belt",POWER(Upgrades!$U$10,I260),1)*IF(Upgrades!$T$11="Asteroid Belt",POWER(Upgrades!$U$11,J260),1)*IF(Upgrades!$T$12="Asteroid Belt",POWER(Upgrades!$U$12,K260),1))+(IF(G260=0,0,(Upgrades!$J$8+G260*Upgrades!$K$8)*POWER(Upgrades!$L$8,G260)))*(IF(Upgrades!$T$6="Stellar Coupling",POWER(Upgrades!$U$6,E260),1)*IF(Upgrades!$T$7="Stellar Coupling",POWER(Upgrades!$U$7,F260),1)*IF(Upgrades!$T$9="Stellar Coupling",POWER(Upgrades!$U$9,H260),1)*IF(Upgrades!$T$10="Stellar Coupling",POWER(Upgrades!$U$10,I260),1)*IF(Upgrades!$T$11="Stellar Coupling",POWER(Upgrades!$U$11,J260),1)*IF(Upgrades!$T$12="Stellar Coupling",POWER(Upgrades!$U$12,K260),1))+(IF(H260=0,0,(Upgrades!$J$9+H260*Upgrades!$K$9)*POWER(Upgrades!$L$9,H260)))*(IF(Upgrades!$T$6="Magnetosphere",POWER(Upgrades!$U$6,E260),1)*IF(Upgrades!$T$7="Magnetosphere",POWER(Upgrades!$U$7,F260),1)*IF(Upgrades!$T$8="Magnetosphere",POWER(Upgrades!$U$8,G260),1)*IF(Upgrades!$T$10="Magnetosphere",POWER(Upgrades!$U$10,I260),1)*IF(Upgrades!$T$11="Magnetosphere",POWER(Upgrades!$U$11,J260),1)*IF(Upgrades!$T$12="Magnetosphere",POWER(Upgrades!$U$12,K260),1))+(IF(I260=0,0,(Upgrades!$J$10+I260*Upgrades!$K$10)*POWER(Upgrades!$L$10,I260)))*(IF(Upgrades!$T$6="Orbital Resonance",POWER(Upgrades!$U$6,E260),1)*IF(Upgrades!$T$7="Orbital Resonance",POWER(Upgrades!$U$7,F260),1)*IF(Upgrades!$T$8="Orbital Resonance",POWER(Upgrades!$U$8,G260),1)*IF(Upgrades!$T$9="Orbital Resonance",POWER(Upgrades!$U$9,H260),1)*IF(Upgrades!$T$11="Orbital Resonance",POWER(Upgrades!$U$11,J260),1)*IF(Upgrades!$T$12="Orbital Resonance",POWER(Upgrades!$U$12,K260),1))+(IF(J260=0,0,(Upgrades!$J$11+J260*Upgrades!$K$11)*POWER(Upgrades!$L$11,J260)))*(IF(Upgrades!$T$6="Heliopause",POWER(Upgrades!$U$6,E260),1)*IF(Upgrades!$T$7="Heliopause",POWER(Upgrades!$U$7,F260),1)*IF(Upgrades!$T$8="Heliopause",POWER(Upgrades!$U$8,G260),1)*IF(Upgrades!$T$9="Heliopause",POWER(Upgrades!$U$9,H260),1)*IF(Upgrades!$T$10="Heliopause",POWER(Upgrades!$U$10,I260),1)*IF(Upgrades!$T$12="Heliopause",POWER(Upgrades!$U$12,K260),1))+(IF(K260=0,0,(Upgrades!$J$12+K260*Upgrades!$K$12)*POWER(Upgrades!$L$12,K260)))*(IF(Upgrades!$T$6="First Photons",POWER(Upgrades!$U$6,E260),1)*IF(Upgrades!$T$7="First Photons",POWER(Upgrades!$U$7,F260),1)*IF(Upgrades!$T$8="First Photons",POWER(Upgrades!$U$8,G260),1)*IF(Upgrades!$T$9="First Photons",POWER(Upgrades!$U$9,H260),1)*IF(Upgrades!$T$10="First Photons",POWER(Upgrades!$U$10,I260),1)*IF(Upgrades!$T$11="First Photons",POWER(Upgrades!$U$11,J260),1)))*POWER(Upgrades!$Q$6,E260)*POWER(Upgrades!$Q$7,F260)*POWER(Upgrades!$Q$8,G260)*POWER(Upgrades!$Q$9,H260)*POWER(Upgrades!$Q$10,I260)*POWER(Upgrades!$Q$11,J260)*POWER(Upgrades!$Q$12,K260)</f>
        <v/>
      </c>
      <c r="N260" s="28">
        <f>((IF(E260=0,0,(Upgrades!$G$6+E260*Upgrades!$H$6)*POWER(Upgrades!$I$6,E260)))*(IF(Upgrades!$T$7="Solar Wind",POWER(Upgrades!$U$7,F260),1)*IF(Upgrades!$T$8="Solar Wind",POWER(Upgrades!$U$8,G260),1)*IF(Upgrades!$T$9="Solar Wind",POWER(Upgrades!$U$9,H260),1)*IF(Upgrades!$T$10="Solar Wind",POWER(Upgrades!$U$10,I260),1)*IF(Upgrades!$T$11="Solar Wind",POWER(Upgrades!$U$11,J260),1)*IF(Upgrades!$T$12="Solar Wind",POWER(Upgrades!$U$12,K260),1))+(IF(F260=0,0,(Upgrades!$G$7+F260*Upgrades!$H$7)*POWER(Upgrades!$I$7,F260)))*(IF(Upgrades!$T$6="Asteroid Belt",POWER(Upgrades!$U$6,E260),1)*IF(Upgrades!$T$8="Asteroid Belt",POWER(Upgrades!$U$8,G260),1)*IF(Upgrades!$T$9="Asteroid Belt",POWER(Upgrades!$U$9,H260),1)*IF(Upgrades!$T$10="Asteroid Belt",POWER(Upgrades!$U$10,I260),1)*IF(Upgrades!$T$11="Asteroid Belt",POWER(Upgrades!$U$11,J260),1)*IF(Upgrades!$T$12="Asteroid Belt",POWER(Upgrades!$U$12,K260),1))+(IF(G260=0,0,(Upgrades!$G$8+G260*Upgrades!$H$8)*POWER(Upgrades!$I$8,G260)))*(IF(Upgrades!$T$6="Stellar Coupling",POWER(Upgrades!$U$6,E260),1)*IF(Upgrades!$T$7="Stellar Coupling",POWER(Upgrades!$U$7,F260),1)*IF(Upgrades!$T$9="Stellar Coupling",POWER(Upgrades!$U$9,H260),1)*IF(Upgrades!$T$10="Stellar Coupling",POWER(Upgrades!$U$10,I260),1)*IF(Upgrades!$T$11="Stellar Coupling",POWER(Upgrades!$U$11,J260),1)*IF(Upgrades!$T$12="Stellar Coupling",POWER(Upgrades!$U$12,K260),1))+(IF(H260=0,0,(Upgrades!$G$9+H260*Upgrades!$H$9)*POWER(Upgrades!$I$9,H260)))*(IF(Upgrades!$T$6="Magnetosphere",POWER(Upgrades!$U$6,E260),1)*IF(Upgrades!$T$7="Magnetosphere",POWER(Upgrades!$U$7,F260),1)*IF(Upgrades!$T$8="Magnetosphere",POWER(Upgrades!$U$8,G260),1)*IF(Upgrades!$T$10="Magnetosphere",POWER(Upgrades!$U$10,I260),1)*IF(Upgrades!$T$11="Magnetosphere",POWER(Upgrades!$U$11,J260),1)*IF(Upgrades!$T$12="Magnetosphere",POWER(Upgrades!$U$12,K260),1))+(IF(I260=0,0,(Upgrades!$G$10+I260*Upgrades!$H$10)*POWER(Upgrades!$I$10,I260)))*(IF(Upgrades!$T$6="Orbital Resonance",POWER(Upgrades!$U$6,E260),1)*IF(Upgrades!$T$7="Orbital Resonance",POWER(Upgrades!$U$7,F260),1)*IF(Upgrades!$T$8="Orbital Resonance",POWER(Upgrades!$U$8,G260),1)*IF(Upgrades!$T$9="Orbital Resonance",POWER(Upgrades!$U$9,H260),1)*IF(Upgrades!$T$11="Orbital Resonance",POWER(Upgrades!$U$11,J260),1)*IF(Upgrades!$T$12="Orbital Resonance",POWER(Upgrades!$U$12,K260),1))+(IF(J260=0,0,(Upgrades!$G$11+J260*Upgrades!$H$11)*POWER(Upgrades!$I$11,J260)))*(IF(Upgrades!$T$6="Heliopause",POWER(Upgrades!$U$6,E260),1)*IF(Upgrades!$T$7="Heliopause",POWER(Upgrades!$U$7,F260),1)*IF(Upgrades!$T$8="Heliopause",POWER(Upgrades!$U$8,G260),1)*IF(Upgrades!$T$9="Heliopause",POWER(Upgrades!$U$9,H260),1)*IF(Upgrades!$T$10="Heliopause",POWER(Upgrades!$U$10,I260),1)*IF(Upgrades!$T$12="Heliopause",POWER(Upgrades!$U$12,K260),1))+(IF(K260=0,0,(Upgrades!$G$12+K260*Upgrades!$H$12)*POWER(Upgrades!$I$12,K260)))*(IF(Upgrades!$T$6="First Photons",POWER(Upgrades!$U$6,E260),1)*IF(Upgrades!$T$7="First Photons",POWER(Upgrades!$U$7,F260),1)*IF(Upgrades!$T$8="First Photons",POWER(Upgrades!$U$8,G260),1)*IF(Upgrades!$T$9="First Photons",POWER(Upgrades!$U$9,H260),1)*IF(Upgrades!$T$10="First Photons",POWER(Upgrades!$U$10,I260),1)*IF(Upgrades!$T$11="First Photons",POWER(Upgrades!$U$11,J260),1)))*POWER(Upgrades!$P$6,E260)*POWER(Upgrades!$P$7,F260)*POWER(Upgrades!$P$8,G260)*POWER(Upgrades!$P$9,H260)*POWER(Upgrades!$P$10,I260)*POWER(Upgrades!$P$11,J260)*POWER(Upgrades!$P$12,K260)</f>
        <v/>
      </c>
      <c r="O260" s="28">
        <f>((IF(E260=0,0,(Upgrades!$M$6+E260*Upgrades!$N$6)*POWER(Upgrades!$O$6,E260)))*(IF(Upgrades!$T$7="Solar Wind",POWER(Upgrades!$U$7,F260),1)*IF(Upgrades!$T$8="Solar Wind",POWER(Upgrades!$U$8,G260),1)*IF(Upgrades!$T$9="Solar Wind",POWER(Upgrades!$U$9,H260),1)*IF(Upgrades!$T$10="Solar Wind",POWER(Upgrades!$U$10,I260),1)*IF(Upgrades!$T$11="Solar Wind",POWER(Upgrades!$U$11,J260),1)*IF(Upgrades!$T$12="Solar Wind",POWER(Upgrades!$U$12,K260),1))+(IF(F260=0,0,(Upgrades!$M$7+F260*Upgrades!$N$7)*POWER(Upgrades!$O$7,F260)))*(IF(Upgrades!$T$6="Asteroid Belt",POWER(Upgrades!$U$6,E260),1)*IF(Upgrades!$T$8="Asteroid Belt",POWER(Upgrades!$U$8,G260),1)*IF(Upgrades!$T$9="Asteroid Belt",POWER(Upgrades!$U$9,H260),1)*IF(Upgrades!$T$10="Asteroid Belt",POWER(Upgrades!$U$10,I260),1)*IF(Upgrades!$T$11="Asteroid Belt",POWER(Upgrades!$U$11,J260),1)*IF(Upgrades!$T$12="Asteroid Belt",POWER(Upgrades!$U$12,K260),1))+(IF(G260=0,0,(Upgrades!$M$8+G260*Upgrades!$N$8)*POWER(Upgrades!$O$8,G260)))*(IF(Upgrades!$T$6="Stellar Coupling",POWER(Upgrades!$U$6,E260),1)*IF(Upgrades!$T$7="Stellar Coupling",POWER(Upgrades!$U$7,F260),1)*IF(Upgrades!$T$9="Stellar Coupling",POWER(Upgrades!$U$9,H260),1)*IF(Upgrades!$T$10="Stellar Coupling",POWER(Upgrades!$U$10,I260),1)*IF(Upgrades!$T$11="Stellar Coupling",POWER(Upgrades!$U$11,J260),1)*IF(Upgrades!$T$12="Stellar Coupling",POWER(Upgrades!$U$12,K260),1))+(IF(H260=0,0,(Upgrades!$M$9+H260*Upgrades!$N$9)*POWER(Upgrades!$O$9,H260)))*(IF(Upgrades!$T$6="Magnetosphere",POWER(Upgrades!$U$6,E260),1)*IF(Upgrades!$T$7="Magnetosphere",POWER(Upgrades!$U$7,F260),1)*IF(Upgrades!$T$8="Magnetosphere",POWER(Upgrades!$U$8,G260),1)*IF(Upgrades!$T$10="Magnetosphere",POWER(Upgrades!$U$10,I260),1)*IF(Upgrades!$T$11="Magnetosphere",POWER(Upgrades!$U$11,J260),1)*IF(Upgrades!$T$12="Magnetosphere",POWER(Upgrades!$U$12,K260),1))+(IF(I260=0,0,(Upgrades!$M$10+I260*Upgrades!$N$10)*POWER(Upgrades!$O$10,I260)))*(IF(Upgrades!$T$6="Orbital Resonance",POWER(Upgrades!$U$6,E260),1)*IF(Upgrades!$T$7="Orbital Resonance",POWER(Upgrades!$U$7,F260),1)*IF(Upgrades!$T$8="Orbital Resonance",POWER(Upgrades!$U$8,G260),1)*IF(Upgrades!$T$9="Orbital Resonance",POWER(Upgrades!$U$9,H260),1)*IF(Upgrades!$T$11="Orbital Resonance",POWER(Upgrades!$U$11,J260),1)*IF(Upgrades!$T$12="Orbital Resonance",POWER(Upgrades!$U$12,K260),1))+(IF(J260=0,0,(Upgrades!$M$11+J260*Upgrades!$N$11)*POWER(Upgrades!$O$11,J260)))*(IF(Upgrades!$T$6="Heliopause",POWER(Upgrades!$U$6,E260),1)*IF(Upgrades!$T$7="Heliopause",POWER(Upgrades!$U$7,F260),1)*IF(Upgrades!$T$8="Heliopause",POWER(Upgrades!$U$8,G260),1)*IF(Upgrades!$T$9="Heliopause",POWER(Upgrades!$U$9,H260),1)*IF(Upgrades!$T$10="Heliopause",POWER(Upgrades!$U$10,I260),1)*IF(Upgrades!$T$12="Heliopause",POWER(Upgrades!$U$12,K260),1))+(IF(K260=0,0,(Upgrades!$M$12+K260*Upgrades!$N$12)*POWER(Upgrades!$O$12,K260)))*(IF(Upgrades!$T$6="First Photons",POWER(Upgrades!$U$6,E260),1)*IF(Upgrades!$T$7="First Photons",POWER(Upgrades!$U$7,F260),1)*IF(Upgrades!$T$8="First Photons",POWER(Upgrades!$U$8,G260),1)*IF(Upgrades!$T$9="First Photons",POWER(Upgrades!$U$9,H260),1)*IF(Upgrades!$T$10="First Photons",POWER(Upgrades!$U$10,I260),1)*IF(Upgrades!$T$11="First Photons",POWER(Upgrades!$U$11,J260),1)))*POWER(Upgrades!$R$6,E260)*POWER(Upgrades!$R$7,F260)*POWER(Upgrades!$R$8,G260)*POWER(Upgrades!$R$9,H260)*POWER(Upgrades!$R$10,I260)*POWER(Upgrades!$R$11,J260)*POWER(Upgrades!$R$12,K260)</f>
        <v/>
      </c>
      <c r="P260" s="27">
        <f>IF(L260=1,0,M260*Parameters!$B$10/60*Parameters!$B$11*10)</f>
        <v/>
      </c>
      <c r="Q260" s="27">
        <f>IF(L260=1,0,O260*M260*10)</f>
        <v/>
      </c>
      <c r="R260" s="27">
        <f>IF(L260=1,0,N260*10)</f>
        <v/>
      </c>
      <c r="S260" s="27">
        <f>P260+Q260+R260</f>
        <v/>
      </c>
      <c r="T260" s="22">
        <f>C260+S260</f>
        <v/>
      </c>
      <c r="U260" s="33">
        <f>AX260</f>
        <v/>
      </c>
      <c r="V260" s="22">
        <f>IF(U260="",0,IF(U260="transition",0,IF(U260="SW",AG260,IF(U260="AB",AH260,IF(U260="SC",AI260,IF(U260="Mag",AJ260,IF(U260="OR",AK260,IF(U260="HP",AL260,IF(U260="FP",AM260,0)))))))))</f>
        <v/>
      </c>
      <c r="W260" s="27">
        <f>IF(U260="OR",Upgrades!$F$10,IF(U260="HP",Upgrades!$F$11,IF(U260="transition",-Parameters!$B$18,0)))</f>
        <v/>
      </c>
      <c r="X260" s="22">
        <f>T260-V260</f>
        <v/>
      </c>
      <c r="Y260" s="30">
        <f>M260*Parameters!$B$10/60*Parameters!$B$11+O260*M260+N260</f>
        <v/>
      </c>
      <c r="Z260" s="34">
        <f>IF(U260="transition","→ Tier 2 (Stellar Neighborhood)",IF(U260="FP","First Photons — light begins, system quickens",IF(U260="HP","Heliopause acquired",IF(U260="OR","Orbital Resonance — passive multiplier active",IF(AND(AO260=1,L260=0,AN260&lt;&gt;1),"Cohesion ready (waiting on completionist upgrades)","")))))</f>
        <v/>
      </c>
      <c r="AA260" s="27">
        <f>(IF(E260=0,0,(Upgrades!$G$6+E260*Upgrades!$H$6)*POWER(Upgrades!$I$6,E260)))*(IF(Upgrades!$T$7="Solar Wind",POWER(Upgrades!$U$7,F260),1)*IF(Upgrades!$T$8="Solar Wind",POWER(Upgrades!$U$8,G260),1)*IF(Upgrades!$T$9="Solar Wind",POWER(Upgrades!$U$9,H260),1)*IF(Upgrades!$T$10="Solar Wind",POWER(Upgrades!$U$10,I260),1)*IF(Upgrades!$T$11="Solar Wind",POWER(Upgrades!$U$11,J260),1)*IF(Upgrades!$T$12="Solar Wind",POWER(Upgrades!$U$12,K260),1))*POWER(Upgrades!$P$6,E260)*POWER(Upgrades!$P$7,F260)*POWER(Upgrades!$P$8,G260)*POWER(Upgrades!$P$9,H260)*POWER(Upgrades!$P$10,I260)*POWER(Upgrades!$P$11,J260)*POWER(Upgrades!$P$12,K260)*60</f>
        <v/>
      </c>
      <c r="AB260" s="27">
        <f>(IF(F260=0,0,(Upgrades!$G$7+F260*Upgrades!$H$7)*POWER(Upgrades!$I$7,F260)))*(IF(Upgrades!$T$6="Asteroid Belt",POWER(Upgrades!$U$6,E260),1)*IF(Upgrades!$T$8="Asteroid Belt",POWER(Upgrades!$U$8,G260),1)*IF(Upgrades!$T$9="Asteroid Belt",POWER(Upgrades!$U$9,H260),1)*IF(Upgrades!$T$10="Asteroid Belt",POWER(Upgrades!$U$10,I260),1)*IF(Upgrades!$T$11="Asteroid Belt",POWER(Upgrades!$U$11,J260),1)*IF(Upgrades!$T$12="Asteroid Belt",POWER(Upgrades!$U$12,K260),1))*POWER(Upgrades!$P$6,E260)*POWER(Upgrades!$P$7,F260)*POWER(Upgrades!$P$8,G260)*POWER(Upgrades!$P$9,H260)*POWER(Upgrades!$P$10,I260)*POWER(Upgrades!$P$11,J260)*POWER(Upgrades!$P$12,K260)*60</f>
        <v/>
      </c>
      <c r="AC260" s="27">
        <f>(IF(G260=0,0,(Upgrades!$J$8+G260*Upgrades!$K$8)*POWER(Upgrades!$L$8,G260)))*(IF(Upgrades!$T$6="Stellar Coupling",POWER(Upgrades!$U$6,E260),1)*IF(Upgrades!$T$7="Stellar Coupling",POWER(Upgrades!$U$7,F260),1)*IF(Upgrades!$T$9="Stellar Coupling",POWER(Upgrades!$U$9,H260),1)*IF(Upgrades!$T$10="Stellar Coupling",POWER(Upgrades!$U$10,I260),1)*IF(Upgrades!$T$11="Stellar Coupling",POWER(Upgrades!$U$11,J260),1)*IF(Upgrades!$T$12="Stellar Coupling",POWER(Upgrades!$U$12,K260),1))*POWER(Upgrades!$Q$6,E260)*POWER(Upgrades!$Q$7,F260)*POWER(Upgrades!$Q$8,G260)*POWER(Upgrades!$Q$9,H260)*POWER(Upgrades!$Q$10,I260)*POWER(Upgrades!$Q$11,J260)*POWER(Upgrades!$Q$12,K260)*Parameters!$B$10*Parameters!$B$11</f>
        <v/>
      </c>
      <c r="AD260" s="27">
        <f>(IF(H260=0,0,(Upgrades!$G$9+H260*Upgrades!$H$9)*POWER(Upgrades!$I$9,H260)))*(IF(Upgrades!$T$6="Magnetosphere",POWER(Upgrades!$U$6,E260),1)*IF(Upgrades!$T$7="Magnetosphere",POWER(Upgrades!$U$7,F260),1)*IF(Upgrades!$T$8="Magnetosphere",POWER(Upgrades!$U$8,G260),1)*IF(Upgrades!$T$10="Magnetosphere",POWER(Upgrades!$U$10,I260),1)*IF(Upgrades!$T$11="Magnetosphere",POWER(Upgrades!$U$11,J260),1)*IF(Upgrades!$T$12="Magnetosphere",POWER(Upgrades!$U$12,K260),1))*POWER(Upgrades!$P$6,E260)*POWER(Upgrades!$P$7,F260)*POWER(Upgrades!$P$8,G260)*POWER(Upgrades!$P$9,H260)*POWER(Upgrades!$P$10,I260)*POWER(Upgrades!$P$11,J260)*POWER(Upgrades!$P$12,K260)*60</f>
        <v/>
      </c>
      <c r="AE260" s="27">
        <f>(IF(K260=0,0,(Upgrades!$G$12+K260*Upgrades!$H$12)*POWER(Upgrades!$I$12,K260)))*(IF(Upgrades!$T$6="First Photons",POWER(Upgrades!$U$6,E260),1)*IF(Upgrades!$T$7="First Photons",POWER(Upgrades!$U$7,F260),1)*IF(Upgrades!$T$8="First Photons",POWER(Upgrades!$U$8,G260),1)*IF(Upgrades!$T$9="First Photons",POWER(Upgrades!$U$9,H260),1)*IF(Upgrades!$T$10="First Photons",POWER(Upgrades!$U$10,I260),1)*IF(Upgrades!$T$11="First Photons",POWER(Upgrades!$U$11,J260),1))*POWER(Upgrades!$P$6,E260)*POWER(Upgrades!$P$7,F260)*POWER(Upgrades!$P$8,G260)*POWER(Upgrades!$P$9,H260)*POWER(Upgrades!$P$10,I260)*POWER(Upgrades!$P$11,J260)*POWER(Upgrades!$P$12,K260)*60</f>
        <v/>
      </c>
      <c r="AF260" s="27">
        <f>Parameters!$B$9*POWER(Upgrades!$Q$6,E260)*POWER(Upgrades!$Q$7,F260)*POWER(Upgrades!$Q$8,G260)*POWER(Upgrades!$Q$9,H260)*POWER(Upgrades!$Q$10,I260)*POWER(Upgrades!$Q$11,J260)*POWER(Upgrades!$Q$12,K260)*(Parameters!$B$10*Parameters!$B$11+O260*60)</f>
        <v/>
      </c>
      <c r="AG260" s="22">
        <f>IF(E260&gt;=Upgrades!$E$6,"",Upgrades!$C$6*POWER(Upgrades!$D$6,E260))</f>
        <v/>
      </c>
      <c r="AH260" s="22">
        <f>IF(F260&gt;=Upgrades!$E$7,"",Upgrades!$C$7*POWER(Upgrades!$D$7,F260))</f>
        <v/>
      </c>
      <c r="AI260" s="22">
        <f>IF(G260&gt;=Upgrades!$E$8,"",Upgrades!$C$8*POWER(Upgrades!$D$8,G260))</f>
        <v/>
      </c>
      <c r="AJ260" s="22">
        <f>IF(H260&gt;=Upgrades!$E$9,"",Upgrades!$C$9*POWER(Upgrades!$D$9,H260))</f>
        <v/>
      </c>
      <c r="AK260" s="22">
        <f>IF(I260&gt;=Upgrades!$E$10,"",Upgrades!$C$10*POWER(Upgrades!$D$10,I260))</f>
        <v/>
      </c>
      <c r="AL260" s="22">
        <f>IF(J260&gt;=Upgrades!$E$11,"",Upgrades!$C$11*POWER(Upgrades!$D$11,J260))</f>
        <v/>
      </c>
      <c r="AM260" s="22">
        <f>IF(K260&gt;=Upgrades!$E$12,"",Upgrades!$C$12*POWER(Upgrades!$D$12,K260))</f>
        <v/>
      </c>
      <c r="AN260" s="26">
        <f>IF(AND(D260&gt;=Parameters!$B$18,(H260&gt;=Upgrades!$E$9)*(K260&gt;=Upgrades!$E$12)=1,L260=0),1,"")</f>
        <v/>
      </c>
      <c r="AO260" s="26">
        <f>IF(AND(D260&gt;=Parameters!$B$18,L260=0),1,"")</f>
        <v/>
      </c>
      <c r="AP260" s="22">
        <f>MIN(IF(ISNUMBER(AK260),AK260,9E15),IF(ISNUMBER(AL260),AL260,9E15),IF(ISNUMBER(AM260),AM260,9E15))</f>
        <v/>
      </c>
      <c r="AQ260" s="22">
        <f>MIN(IF(ISNUMBER(AG260),AG260,9E15),IF(ISNUMBER(AH260),AH260,9E15),IF(ISNUMBER(AI260),AI260,9E15),IF(ISNUMBER(AJ260),AJ260,9E15))</f>
        <v/>
      </c>
      <c r="AR260" s="29">
        <f>IF(AW260&gt;Parameters!$B$21*(MAX(IF(AND(NOT(AND(AO260=1,AN260&lt;&gt;1)),ISNUMBER(AG260),AG260&lt;=T260),AS260,0),IF(AND(NOT(AND(AO260=1,AN260&lt;&gt;1)),ISNUMBER(AH260),AH260&lt;=T260),AT260,0),IF(AND(NOT(AND(AO260=1,AN260&lt;&gt;1)),ISNUMBER(AI260),AI260&lt;=T260),AU260,0),IF(AND(ISNUMBER(AJ260),AJ260&lt;=T260),AV260,0))),TRUE,FALSE)</f>
        <v/>
      </c>
      <c r="AS260" s="32">
        <f>IFERROR(Upgrades!$H$6*(POWER(Upgrades!$P$6,E260)*POWER(Upgrades!$P$7,F260)*POWER(Upgrades!$P$8,G260)*POWER(Upgrades!$P$9,H260)*POWER(Upgrades!$P$10,I260)*POWER(Upgrades!$P$11,J260)*POWER(Upgrades!$P$12,K260))*(IF(Upgrades!$T$7="Solar Wind",POWER(Upgrades!$U$7,F260),1)*IF(Upgrades!$T$8="Solar Wind",POWER(Upgrades!$U$8,G260),1)*IF(Upgrades!$T$9="Solar Wind",POWER(Upgrades!$U$9,H260),1)*IF(Upgrades!$T$10="Solar Wind",POWER(Upgrades!$U$10,I260),1)*IF(Upgrades!$T$11="Solar Wind",POWER(Upgrades!$U$11,J260),1)*IF(Upgrades!$T$12="Solar Wind",POWER(Upgrades!$U$12,K260),1))/AG260,0)</f>
        <v/>
      </c>
      <c r="AT260" s="32">
        <f>IFERROR(Upgrades!$H$7*(POWER(Upgrades!$P$6,E260)*POWER(Upgrades!$P$7,F260)*POWER(Upgrades!$P$8,G260)*POWER(Upgrades!$P$9,H260)*POWER(Upgrades!$P$10,I260)*POWER(Upgrades!$P$11,J260)*POWER(Upgrades!$P$12,K260))*(IF(Upgrades!$T$6="Asteroid Belt",POWER(Upgrades!$U$6,E260),1)*IF(Upgrades!$T$8="Asteroid Belt",POWER(Upgrades!$U$8,G260),1)*IF(Upgrades!$T$9="Asteroid Belt",POWER(Upgrades!$U$9,H260),1)*IF(Upgrades!$T$10="Asteroid Belt",POWER(Upgrades!$U$10,I260),1)*IF(Upgrades!$T$11="Asteroid Belt",POWER(Upgrades!$U$11,J260),1)*IF(Upgrades!$T$12="Asteroid Belt",POWER(Upgrades!$U$12,K260),1))/AH260,0)</f>
        <v/>
      </c>
      <c r="AU260" s="32">
        <f>IFERROR(Upgrades!$K$8*(POWER(Upgrades!$Q$6,E260)*POWER(Upgrades!$Q$7,F260)*POWER(Upgrades!$Q$8,G260)*POWER(Upgrades!$Q$9,H260)*POWER(Upgrades!$Q$10,I260)*POWER(Upgrades!$Q$11,J260)*POWER(Upgrades!$Q$12,K260))*(IF(Upgrades!$T$6="Stellar Coupling",POWER(Upgrades!$U$6,E260),1)*IF(Upgrades!$T$7="Stellar Coupling",POWER(Upgrades!$U$7,F260),1)*IF(Upgrades!$T$9="Stellar Coupling",POWER(Upgrades!$U$9,H260),1)*IF(Upgrades!$T$10="Stellar Coupling",POWER(Upgrades!$U$10,I260),1)*IF(Upgrades!$T$11="Stellar Coupling",POWER(Upgrades!$U$11,J260),1)*IF(Upgrades!$T$12="Stellar Coupling",POWER(Upgrades!$U$12,K260),1))*Parameters!$B$10*Parameters!$B$11/60/AI260,0)</f>
        <v/>
      </c>
      <c r="AV260" s="32">
        <f>IFERROR(Upgrades!$H$9*(POWER(Upgrades!$P$6,E260)*POWER(Upgrades!$P$7,F260)*POWER(Upgrades!$P$8,G260)*POWER(Upgrades!$P$9,H260)*POWER(Upgrades!$P$10,I260)*POWER(Upgrades!$P$11,J260)*POWER(Upgrades!$P$12,K260))*(IF(Upgrades!$T$6="Magnetosphere",POWER(Upgrades!$U$6,E260),1)*IF(Upgrades!$T$7="Magnetosphere",POWER(Upgrades!$U$7,F260),1)*IF(Upgrades!$T$8="Magnetosphere",POWER(Upgrades!$U$8,G260),1)*IF(Upgrades!$T$10="Magnetosphere",POWER(Upgrades!$U$10,I260),1)*IF(Upgrades!$T$11="Magnetosphere",POWER(Upgrades!$U$11,J260),1)*IF(Upgrades!$T$12="Magnetosphere",POWER(Upgrades!$U$12,K260),1))/AJ260,0)</f>
        <v/>
      </c>
      <c r="AW260" s="32">
        <f>MAX(IF(I260&gt;0,0,IFERROR(0.25*N260/Upgrades!$C$10,0)),IF(J260&gt;0,0,IFERROR(0.5*((IF(G260=0,0,(Upgrades!$J$8+G260*Upgrades!$K$8)*POWER(Upgrades!$L$8,G260)))*(IF(Upgrades!$T$6="Stellar Coupling",POWER(Upgrades!$U$6,E260),1)*IF(Upgrades!$T$7="Stellar Coupling",POWER(Upgrades!$U$7,F260),1)*IF(Upgrades!$T$9="Stellar Coupling",POWER(Upgrades!$U$9,H260),1)*IF(Upgrades!$T$10="Stellar Coupling",POWER(Upgrades!$U$10,I260),1)*IF(Upgrades!$T$11="Stellar Coupling",POWER(Upgrades!$U$11,J260),1)*IF(Upgrades!$T$12="Stellar Coupling",POWER(Upgrades!$U$12,K260),1))*(POWER(Upgrades!$Q$6,E260)*POWER(Upgrades!$Q$7,F260)*POWER(Upgrades!$Q$8,G260)*POWER(Upgrades!$Q$9,H260)*POWER(Upgrades!$Q$10,I260)*POWER(Upgrades!$Q$11,J260)*POWER(Upgrades!$Q$12,K260))*Parameters!$B$10*Parameters!$B$11/60)/Upgrades!$C$11,0)),IF(K260&gt;0,0,IFERROR((1.0*(POWER(Upgrades!$P$6,E260)*POWER(Upgrades!$P$7,F260)*POWER(Upgrades!$P$8,G260)*POWER(Upgrades!$P$9,H260)*POWER(Upgrades!$P$10,I260)*POWER(Upgrades!$P$11,J260)*POWER(Upgrades!$P$12,K260))+0.20*M260*Parameters!$B$10*Parameters!$B$11/60)/Upgrades!$C$12,0)),IF(AND(ISNUMBER(AG260),AG260&gt;T260),AS260,0),IF(AND(ISNUMBER(AH260),AH260&gt;T260),AT260,0),IF(AND(ISNUMBER(AI260),AI260&gt;T260),AU260,0),IF(AND(ISNUMBER(AJ260),AJ260&gt;T260),AV260,0))</f>
        <v/>
      </c>
      <c r="AX260" s="29">
        <f>IF(AN260=1,"transition",IF(MIN(IF(AND(I260=0,ISNUMBER(AK260),AK260&lt;=T260),AK260,9E15),IF(AND(J260=0,ISNUMBER(AL260),AL260&lt;=T260),AL260,9E15),IF(AND(K260=0,ISNUMBER(AM260),AM260&lt;=T260),AM260,9E15))&lt;9E15,IF(AND(AND(I260=0,ISNUMBER(AK260),AK260&lt;=T260),AK260=MIN(IF(AND(I260=0,ISNUMBER(AK260),AK260&lt;=T260),AK260,9E15),IF(AND(J260=0,ISNUMBER(AL260),AL260&lt;=T260),AL260,9E15),IF(AND(K260=0,ISNUMBER(AM260),AM260&lt;=T260),AM260,9E15))),"OR",IF(AND(AND(J260=0,ISNUMBER(AL260),AL260&lt;=T260),AL260=MIN(IF(AND(I260=0,ISNUMBER(AK260),AK260&lt;=T260),AK260,9E15),IF(AND(J260=0,ISNUMBER(AL260),AL260&lt;=T260),AL260,9E15),IF(AND(K260=0,ISNUMBER(AM260),AM260&lt;=T260),AM260,9E15))),"HP","FP")),IF(AR260=TRUE,"",IF(MAX(IF(AND(NOT(AND(AO260=1,AN260&lt;&gt;1)),ISNUMBER(AG260),AG260&lt;=T260),AS260,0),IF(AND(NOT(AND(AO260=1,AN260&lt;&gt;1)),ISNUMBER(AH260),AH260&lt;=T260),AT260,0),IF(AND(NOT(AND(AO260=1,AN260&lt;&gt;1)),ISNUMBER(AI260),AI260&lt;=T260),AU260,0),IF(AND(ISNUMBER(AJ260),AJ260&lt;=T260),AV260,0))&lt;=0,"",IF(AND(IF(AND(NOT(AND(AO260=1,AN260&lt;&gt;1)),ISNUMBER(AG260),AG260&lt;=T260),AS260,0)&gt;0,IF(AND(NOT(AND(AO260=1,AN260&lt;&gt;1)),ISNUMBER(AG260),AG260&lt;=T260),AS260,0)=MAX(IF(AND(NOT(AND(AO260=1,AN260&lt;&gt;1)),ISNUMBER(AG260),AG260&lt;=T260),AS260,0),IF(AND(NOT(AND(AO260=1,AN260&lt;&gt;1)),ISNUMBER(AH260),AH260&lt;=T260),AT260,0),IF(AND(NOT(AND(AO260=1,AN260&lt;&gt;1)),ISNUMBER(AI260),AI260&lt;=T260),AU260,0),IF(AND(ISNUMBER(AJ260),AJ260&lt;=T260),AV260,0))),"SW",IF(AND(IF(AND(NOT(AND(AO260=1,AN260&lt;&gt;1)),ISNUMBER(AH260),AH260&lt;=T260),AT260,0)&gt;0,IF(AND(NOT(AND(AO260=1,AN260&lt;&gt;1)),ISNUMBER(AH260),AH260&lt;=T260),AT260,0)=MAX(IF(AND(NOT(AND(AO260=1,AN260&lt;&gt;1)),ISNUMBER(AG260),AG260&lt;=T260),AS260,0),IF(AND(NOT(AND(AO260=1,AN260&lt;&gt;1)),ISNUMBER(AH260),AH260&lt;=T260),AT260,0),IF(AND(NOT(AND(AO260=1,AN260&lt;&gt;1)),ISNUMBER(AI260),AI260&lt;=T260),AU260,0),IF(AND(ISNUMBER(AJ260),AJ260&lt;=T260),AV260,0))),"AB",IF(AND(IF(AND(NOT(AND(AO260=1,AN260&lt;&gt;1)),ISNUMBER(AI260),AI260&lt;=T260),AU260,0)&gt;0,IF(AND(NOT(AND(AO260=1,AN260&lt;&gt;1)),ISNUMBER(AI260),AI260&lt;=T260),AU260,0)=MAX(IF(AND(NOT(AND(AO260=1,AN260&lt;&gt;1)),ISNUMBER(AG260),AG260&lt;=T260),AS260,0),IF(AND(NOT(AND(AO260=1,AN260&lt;&gt;1)),ISNUMBER(AH260),AH260&lt;=T260),AT260,0),IF(AND(NOT(AND(AO260=1,AN260&lt;&gt;1)),ISNUMBER(AI260),AI260&lt;=T260),AU260,0),IF(AND(ISNUMBER(AJ260),AJ260&lt;=T260),AV260,0))),"SC","Mag")))))))</f>
        <v/>
      </c>
    </row>
    <row r="261">
      <c r="A261" s="26" t="n">
        <v>256</v>
      </c>
      <c r="B261" s="27">
        <f>A261*10/60</f>
        <v/>
      </c>
      <c r="C261" s="22">
        <f>X260</f>
        <v/>
      </c>
      <c r="D261" s="27">
        <f>D260+W260</f>
        <v/>
      </c>
      <c r="E261" s="26">
        <f>E260+IF(U260="SW",1,0)</f>
        <v/>
      </c>
      <c r="F261" s="26">
        <f>F260+IF(U260="AB",1,0)</f>
        <v/>
      </c>
      <c r="G261" s="26">
        <f>G260+IF(U260="SC",1,0)</f>
        <v/>
      </c>
      <c r="H261" s="26">
        <f>H260+IF(U260="Mag",1,0)</f>
        <v/>
      </c>
      <c r="I261" s="26">
        <f>MAX(I260,IF(U260="OR",1,0))</f>
        <v/>
      </c>
      <c r="J261" s="26">
        <f>MAX(J260,IF(U260="HP",1,0))</f>
        <v/>
      </c>
      <c r="K261" s="26">
        <f>MAX(K260,IF(U260="FP",1,0))</f>
        <v/>
      </c>
      <c r="L261" s="26">
        <f>MAX(L260,IF(U260="transition",1,0))</f>
        <v/>
      </c>
      <c r="M261" s="28">
        <f>(Parameters!$B$9+(IF(E261=0,0,(Upgrades!$J$6+E261*Upgrades!$K$6)*POWER(Upgrades!$L$6,E261)))*(IF(Upgrades!$T$7="Solar Wind",POWER(Upgrades!$U$7,F261),1)*IF(Upgrades!$T$8="Solar Wind",POWER(Upgrades!$U$8,G261),1)*IF(Upgrades!$T$9="Solar Wind",POWER(Upgrades!$U$9,H261),1)*IF(Upgrades!$T$10="Solar Wind",POWER(Upgrades!$U$10,I261),1)*IF(Upgrades!$T$11="Solar Wind",POWER(Upgrades!$U$11,J261),1)*IF(Upgrades!$T$12="Solar Wind",POWER(Upgrades!$U$12,K261),1))+(IF(F261=0,0,(Upgrades!$J$7+F261*Upgrades!$K$7)*POWER(Upgrades!$L$7,F261)))*(IF(Upgrades!$T$6="Asteroid Belt",POWER(Upgrades!$U$6,E261),1)*IF(Upgrades!$T$8="Asteroid Belt",POWER(Upgrades!$U$8,G261),1)*IF(Upgrades!$T$9="Asteroid Belt",POWER(Upgrades!$U$9,H261),1)*IF(Upgrades!$T$10="Asteroid Belt",POWER(Upgrades!$U$10,I261),1)*IF(Upgrades!$T$11="Asteroid Belt",POWER(Upgrades!$U$11,J261),1)*IF(Upgrades!$T$12="Asteroid Belt",POWER(Upgrades!$U$12,K261),1))+(IF(G261=0,0,(Upgrades!$J$8+G261*Upgrades!$K$8)*POWER(Upgrades!$L$8,G261)))*(IF(Upgrades!$T$6="Stellar Coupling",POWER(Upgrades!$U$6,E261),1)*IF(Upgrades!$T$7="Stellar Coupling",POWER(Upgrades!$U$7,F261),1)*IF(Upgrades!$T$9="Stellar Coupling",POWER(Upgrades!$U$9,H261),1)*IF(Upgrades!$T$10="Stellar Coupling",POWER(Upgrades!$U$10,I261),1)*IF(Upgrades!$T$11="Stellar Coupling",POWER(Upgrades!$U$11,J261),1)*IF(Upgrades!$T$12="Stellar Coupling",POWER(Upgrades!$U$12,K261),1))+(IF(H261=0,0,(Upgrades!$J$9+H261*Upgrades!$K$9)*POWER(Upgrades!$L$9,H261)))*(IF(Upgrades!$T$6="Magnetosphere",POWER(Upgrades!$U$6,E261),1)*IF(Upgrades!$T$7="Magnetosphere",POWER(Upgrades!$U$7,F261),1)*IF(Upgrades!$T$8="Magnetosphere",POWER(Upgrades!$U$8,G261),1)*IF(Upgrades!$T$10="Magnetosphere",POWER(Upgrades!$U$10,I261),1)*IF(Upgrades!$T$11="Magnetosphere",POWER(Upgrades!$U$11,J261),1)*IF(Upgrades!$T$12="Magnetosphere",POWER(Upgrades!$U$12,K261),1))+(IF(I261=0,0,(Upgrades!$J$10+I261*Upgrades!$K$10)*POWER(Upgrades!$L$10,I261)))*(IF(Upgrades!$T$6="Orbital Resonance",POWER(Upgrades!$U$6,E261),1)*IF(Upgrades!$T$7="Orbital Resonance",POWER(Upgrades!$U$7,F261),1)*IF(Upgrades!$T$8="Orbital Resonance",POWER(Upgrades!$U$8,G261),1)*IF(Upgrades!$T$9="Orbital Resonance",POWER(Upgrades!$U$9,H261),1)*IF(Upgrades!$T$11="Orbital Resonance",POWER(Upgrades!$U$11,J261),1)*IF(Upgrades!$T$12="Orbital Resonance",POWER(Upgrades!$U$12,K261),1))+(IF(J261=0,0,(Upgrades!$J$11+J261*Upgrades!$K$11)*POWER(Upgrades!$L$11,J261)))*(IF(Upgrades!$T$6="Heliopause",POWER(Upgrades!$U$6,E261),1)*IF(Upgrades!$T$7="Heliopause",POWER(Upgrades!$U$7,F261),1)*IF(Upgrades!$T$8="Heliopause",POWER(Upgrades!$U$8,G261),1)*IF(Upgrades!$T$9="Heliopause",POWER(Upgrades!$U$9,H261),1)*IF(Upgrades!$T$10="Heliopause",POWER(Upgrades!$U$10,I261),1)*IF(Upgrades!$T$12="Heliopause",POWER(Upgrades!$U$12,K261),1))+(IF(K261=0,0,(Upgrades!$J$12+K261*Upgrades!$K$12)*POWER(Upgrades!$L$12,K261)))*(IF(Upgrades!$T$6="First Photons",POWER(Upgrades!$U$6,E261),1)*IF(Upgrades!$T$7="First Photons",POWER(Upgrades!$U$7,F261),1)*IF(Upgrades!$T$8="First Photons",POWER(Upgrades!$U$8,G261),1)*IF(Upgrades!$T$9="First Photons",POWER(Upgrades!$U$9,H261),1)*IF(Upgrades!$T$10="First Photons",POWER(Upgrades!$U$10,I261),1)*IF(Upgrades!$T$11="First Photons",POWER(Upgrades!$U$11,J261),1)))*POWER(Upgrades!$Q$6,E261)*POWER(Upgrades!$Q$7,F261)*POWER(Upgrades!$Q$8,G261)*POWER(Upgrades!$Q$9,H261)*POWER(Upgrades!$Q$10,I261)*POWER(Upgrades!$Q$11,J261)*POWER(Upgrades!$Q$12,K261)</f>
        <v/>
      </c>
      <c r="N261" s="28">
        <f>((IF(E261=0,0,(Upgrades!$G$6+E261*Upgrades!$H$6)*POWER(Upgrades!$I$6,E261)))*(IF(Upgrades!$T$7="Solar Wind",POWER(Upgrades!$U$7,F261),1)*IF(Upgrades!$T$8="Solar Wind",POWER(Upgrades!$U$8,G261),1)*IF(Upgrades!$T$9="Solar Wind",POWER(Upgrades!$U$9,H261),1)*IF(Upgrades!$T$10="Solar Wind",POWER(Upgrades!$U$10,I261),1)*IF(Upgrades!$T$11="Solar Wind",POWER(Upgrades!$U$11,J261),1)*IF(Upgrades!$T$12="Solar Wind",POWER(Upgrades!$U$12,K261),1))+(IF(F261=0,0,(Upgrades!$G$7+F261*Upgrades!$H$7)*POWER(Upgrades!$I$7,F261)))*(IF(Upgrades!$T$6="Asteroid Belt",POWER(Upgrades!$U$6,E261),1)*IF(Upgrades!$T$8="Asteroid Belt",POWER(Upgrades!$U$8,G261),1)*IF(Upgrades!$T$9="Asteroid Belt",POWER(Upgrades!$U$9,H261),1)*IF(Upgrades!$T$10="Asteroid Belt",POWER(Upgrades!$U$10,I261),1)*IF(Upgrades!$T$11="Asteroid Belt",POWER(Upgrades!$U$11,J261),1)*IF(Upgrades!$T$12="Asteroid Belt",POWER(Upgrades!$U$12,K261),1))+(IF(G261=0,0,(Upgrades!$G$8+G261*Upgrades!$H$8)*POWER(Upgrades!$I$8,G261)))*(IF(Upgrades!$T$6="Stellar Coupling",POWER(Upgrades!$U$6,E261),1)*IF(Upgrades!$T$7="Stellar Coupling",POWER(Upgrades!$U$7,F261),1)*IF(Upgrades!$T$9="Stellar Coupling",POWER(Upgrades!$U$9,H261),1)*IF(Upgrades!$T$10="Stellar Coupling",POWER(Upgrades!$U$10,I261),1)*IF(Upgrades!$T$11="Stellar Coupling",POWER(Upgrades!$U$11,J261),1)*IF(Upgrades!$T$12="Stellar Coupling",POWER(Upgrades!$U$12,K261),1))+(IF(H261=0,0,(Upgrades!$G$9+H261*Upgrades!$H$9)*POWER(Upgrades!$I$9,H261)))*(IF(Upgrades!$T$6="Magnetosphere",POWER(Upgrades!$U$6,E261),1)*IF(Upgrades!$T$7="Magnetosphere",POWER(Upgrades!$U$7,F261),1)*IF(Upgrades!$T$8="Magnetosphere",POWER(Upgrades!$U$8,G261),1)*IF(Upgrades!$T$10="Magnetosphere",POWER(Upgrades!$U$10,I261),1)*IF(Upgrades!$T$11="Magnetosphere",POWER(Upgrades!$U$11,J261),1)*IF(Upgrades!$T$12="Magnetosphere",POWER(Upgrades!$U$12,K261),1))+(IF(I261=0,0,(Upgrades!$G$10+I261*Upgrades!$H$10)*POWER(Upgrades!$I$10,I261)))*(IF(Upgrades!$T$6="Orbital Resonance",POWER(Upgrades!$U$6,E261),1)*IF(Upgrades!$T$7="Orbital Resonance",POWER(Upgrades!$U$7,F261),1)*IF(Upgrades!$T$8="Orbital Resonance",POWER(Upgrades!$U$8,G261),1)*IF(Upgrades!$T$9="Orbital Resonance",POWER(Upgrades!$U$9,H261),1)*IF(Upgrades!$T$11="Orbital Resonance",POWER(Upgrades!$U$11,J261),1)*IF(Upgrades!$T$12="Orbital Resonance",POWER(Upgrades!$U$12,K261),1))+(IF(J261=0,0,(Upgrades!$G$11+J261*Upgrades!$H$11)*POWER(Upgrades!$I$11,J261)))*(IF(Upgrades!$T$6="Heliopause",POWER(Upgrades!$U$6,E261),1)*IF(Upgrades!$T$7="Heliopause",POWER(Upgrades!$U$7,F261),1)*IF(Upgrades!$T$8="Heliopause",POWER(Upgrades!$U$8,G261),1)*IF(Upgrades!$T$9="Heliopause",POWER(Upgrades!$U$9,H261),1)*IF(Upgrades!$T$10="Heliopause",POWER(Upgrades!$U$10,I261),1)*IF(Upgrades!$T$12="Heliopause",POWER(Upgrades!$U$12,K261),1))+(IF(K261=0,0,(Upgrades!$G$12+K261*Upgrades!$H$12)*POWER(Upgrades!$I$12,K261)))*(IF(Upgrades!$T$6="First Photons",POWER(Upgrades!$U$6,E261),1)*IF(Upgrades!$T$7="First Photons",POWER(Upgrades!$U$7,F261),1)*IF(Upgrades!$T$8="First Photons",POWER(Upgrades!$U$8,G261),1)*IF(Upgrades!$T$9="First Photons",POWER(Upgrades!$U$9,H261),1)*IF(Upgrades!$T$10="First Photons",POWER(Upgrades!$U$10,I261),1)*IF(Upgrades!$T$11="First Photons",POWER(Upgrades!$U$11,J261),1)))*POWER(Upgrades!$P$6,E261)*POWER(Upgrades!$P$7,F261)*POWER(Upgrades!$P$8,G261)*POWER(Upgrades!$P$9,H261)*POWER(Upgrades!$P$10,I261)*POWER(Upgrades!$P$11,J261)*POWER(Upgrades!$P$12,K261)</f>
        <v/>
      </c>
      <c r="O261" s="28">
        <f>((IF(E261=0,0,(Upgrades!$M$6+E261*Upgrades!$N$6)*POWER(Upgrades!$O$6,E261)))*(IF(Upgrades!$T$7="Solar Wind",POWER(Upgrades!$U$7,F261),1)*IF(Upgrades!$T$8="Solar Wind",POWER(Upgrades!$U$8,G261),1)*IF(Upgrades!$T$9="Solar Wind",POWER(Upgrades!$U$9,H261),1)*IF(Upgrades!$T$10="Solar Wind",POWER(Upgrades!$U$10,I261),1)*IF(Upgrades!$T$11="Solar Wind",POWER(Upgrades!$U$11,J261),1)*IF(Upgrades!$T$12="Solar Wind",POWER(Upgrades!$U$12,K261),1))+(IF(F261=0,0,(Upgrades!$M$7+F261*Upgrades!$N$7)*POWER(Upgrades!$O$7,F261)))*(IF(Upgrades!$T$6="Asteroid Belt",POWER(Upgrades!$U$6,E261),1)*IF(Upgrades!$T$8="Asteroid Belt",POWER(Upgrades!$U$8,G261),1)*IF(Upgrades!$T$9="Asteroid Belt",POWER(Upgrades!$U$9,H261),1)*IF(Upgrades!$T$10="Asteroid Belt",POWER(Upgrades!$U$10,I261),1)*IF(Upgrades!$T$11="Asteroid Belt",POWER(Upgrades!$U$11,J261),1)*IF(Upgrades!$T$12="Asteroid Belt",POWER(Upgrades!$U$12,K261),1))+(IF(G261=0,0,(Upgrades!$M$8+G261*Upgrades!$N$8)*POWER(Upgrades!$O$8,G261)))*(IF(Upgrades!$T$6="Stellar Coupling",POWER(Upgrades!$U$6,E261),1)*IF(Upgrades!$T$7="Stellar Coupling",POWER(Upgrades!$U$7,F261),1)*IF(Upgrades!$T$9="Stellar Coupling",POWER(Upgrades!$U$9,H261),1)*IF(Upgrades!$T$10="Stellar Coupling",POWER(Upgrades!$U$10,I261),1)*IF(Upgrades!$T$11="Stellar Coupling",POWER(Upgrades!$U$11,J261),1)*IF(Upgrades!$T$12="Stellar Coupling",POWER(Upgrades!$U$12,K261),1))+(IF(H261=0,0,(Upgrades!$M$9+H261*Upgrades!$N$9)*POWER(Upgrades!$O$9,H261)))*(IF(Upgrades!$T$6="Magnetosphere",POWER(Upgrades!$U$6,E261),1)*IF(Upgrades!$T$7="Magnetosphere",POWER(Upgrades!$U$7,F261),1)*IF(Upgrades!$T$8="Magnetosphere",POWER(Upgrades!$U$8,G261),1)*IF(Upgrades!$T$10="Magnetosphere",POWER(Upgrades!$U$10,I261),1)*IF(Upgrades!$T$11="Magnetosphere",POWER(Upgrades!$U$11,J261),1)*IF(Upgrades!$T$12="Magnetosphere",POWER(Upgrades!$U$12,K261),1))+(IF(I261=0,0,(Upgrades!$M$10+I261*Upgrades!$N$10)*POWER(Upgrades!$O$10,I261)))*(IF(Upgrades!$T$6="Orbital Resonance",POWER(Upgrades!$U$6,E261),1)*IF(Upgrades!$T$7="Orbital Resonance",POWER(Upgrades!$U$7,F261),1)*IF(Upgrades!$T$8="Orbital Resonance",POWER(Upgrades!$U$8,G261),1)*IF(Upgrades!$T$9="Orbital Resonance",POWER(Upgrades!$U$9,H261),1)*IF(Upgrades!$T$11="Orbital Resonance",POWER(Upgrades!$U$11,J261),1)*IF(Upgrades!$T$12="Orbital Resonance",POWER(Upgrades!$U$12,K261),1))+(IF(J261=0,0,(Upgrades!$M$11+J261*Upgrades!$N$11)*POWER(Upgrades!$O$11,J261)))*(IF(Upgrades!$T$6="Heliopause",POWER(Upgrades!$U$6,E261),1)*IF(Upgrades!$T$7="Heliopause",POWER(Upgrades!$U$7,F261),1)*IF(Upgrades!$T$8="Heliopause",POWER(Upgrades!$U$8,G261),1)*IF(Upgrades!$T$9="Heliopause",POWER(Upgrades!$U$9,H261),1)*IF(Upgrades!$T$10="Heliopause",POWER(Upgrades!$U$10,I261),1)*IF(Upgrades!$T$12="Heliopause",POWER(Upgrades!$U$12,K261),1))+(IF(K261=0,0,(Upgrades!$M$12+K261*Upgrades!$N$12)*POWER(Upgrades!$O$12,K261)))*(IF(Upgrades!$T$6="First Photons",POWER(Upgrades!$U$6,E261),1)*IF(Upgrades!$T$7="First Photons",POWER(Upgrades!$U$7,F261),1)*IF(Upgrades!$T$8="First Photons",POWER(Upgrades!$U$8,G261),1)*IF(Upgrades!$T$9="First Photons",POWER(Upgrades!$U$9,H261),1)*IF(Upgrades!$T$10="First Photons",POWER(Upgrades!$U$10,I261),1)*IF(Upgrades!$T$11="First Photons",POWER(Upgrades!$U$11,J261),1)))*POWER(Upgrades!$R$6,E261)*POWER(Upgrades!$R$7,F261)*POWER(Upgrades!$R$8,G261)*POWER(Upgrades!$R$9,H261)*POWER(Upgrades!$R$10,I261)*POWER(Upgrades!$R$11,J261)*POWER(Upgrades!$R$12,K261)</f>
        <v/>
      </c>
      <c r="P261" s="27">
        <f>IF(L261=1,0,M261*Parameters!$B$10/60*Parameters!$B$11*10)</f>
        <v/>
      </c>
      <c r="Q261" s="27">
        <f>IF(L261=1,0,O261*M261*10)</f>
        <v/>
      </c>
      <c r="R261" s="27">
        <f>IF(L261=1,0,N261*10)</f>
        <v/>
      </c>
      <c r="S261" s="27">
        <f>P261+Q261+R261</f>
        <v/>
      </c>
      <c r="T261" s="22">
        <f>C261+S261</f>
        <v/>
      </c>
      <c r="U261" s="33">
        <f>AX261</f>
        <v/>
      </c>
      <c r="V261" s="22">
        <f>IF(U261="",0,IF(U261="transition",0,IF(U261="SW",AG261,IF(U261="AB",AH261,IF(U261="SC",AI261,IF(U261="Mag",AJ261,IF(U261="OR",AK261,IF(U261="HP",AL261,IF(U261="FP",AM261,0)))))))))</f>
        <v/>
      </c>
      <c r="W261" s="27">
        <f>IF(U261="OR",Upgrades!$F$10,IF(U261="HP",Upgrades!$F$11,IF(U261="transition",-Parameters!$B$18,0)))</f>
        <v/>
      </c>
      <c r="X261" s="22">
        <f>T261-V261</f>
        <v/>
      </c>
      <c r="Y261" s="30">
        <f>M261*Parameters!$B$10/60*Parameters!$B$11+O261*M261+N261</f>
        <v/>
      </c>
      <c r="Z261" s="34">
        <f>IF(U261="transition","→ Tier 2 (Stellar Neighborhood)",IF(U261="FP","First Photons — light begins, system quickens",IF(U261="HP","Heliopause acquired",IF(U261="OR","Orbital Resonance — passive multiplier active",IF(AND(AO261=1,L261=0,AN261&lt;&gt;1),"Cohesion ready (waiting on completionist upgrades)","")))))</f>
        <v/>
      </c>
      <c r="AA261" s="27">
        <f>(IF(E261=0,0,(Upgrades!$G$6+E261*Upgrades!$H$6)*POWER(Upgrades!$I$6,E261)))*(IF(Upgrades!$T$7="Solar Wind",POWER(Upgrades!$U$7,F261),1)*IF(Upgrades!$T$8="Solar Wind",POWER(Upgrades!$U$8,G261),1)*IF(Upgrades!$T$9="Solar Wind",POWER(Upgrades!$U$9,H261),1)*IF(Upgrades!$T$10="Solar Wind",POWER(Upgrades!$U$10,I261),1)*IF(Upgrades!$T$11="Solar Wind",POWER(Upgrades!$U$11,J261),1)*IF(Upgrades!$T$12="Solar Wind",POWER(Upgrades!$U$12,K261),1))*POWER(Upgrades!$P$6,E261)*POWER(Upgrades!$P$7,F261)*POWER(Upgrades!$P$8,G261)*POWER(Upgrades!$P$9,H261)*POWER(Upgrades!$P$10,I261)*POWER(Upgrades!$P$11,J261)*POWER(Upgrades!$P$12,K261)*60</f>
        <v/>
      </c>
      <c r="AB261" s="27">
        <f>(IF(F261=0,0,(Upgrades!$G$7+F261*Upgrades!$H$7)*POWER(Upgrades!$I$7,F261)))*(IF(Upgrades!$T$6="Asteroid Belt",POWER(Upgrades!$U$6,E261),1)*IF(Upgrades!$T$8="Asteroid Belt",POWER(Upgrades!$U$8,G261),1)*IF(Upgrades!$T$9="Asteroid Belt",POWER(Upgrades!$U$9,H261),1)*IF(Upgrades!$T$10="Asteroid Belt",POWER(Upgrades!$U$10,I261),1)*IF(Upgrades!$T$11="Asteroid Belt",POWER(Upgrades!$U$11,J261),1)*IF(Upgrades!$T$12="Asteroid Belt",POWER(Upgrades!$U$12,K261),1))*POWER(Upgrades!$P$6,E261)*POWER(Upgrades!$P$7,F261)*POWER(Upgrades!$P$8,G261)*POWER(Upgrades!$P$9,H261)*POWER(Upgrades!$P$10,I261)*POWER(Upgrades!$P$11,J261)*POWER(Upgrades!$P$12,K261)*60</f>
        <v/>
      </c>
      <c r="AC261" s="27">
        <f>(IF(G261=0,0,(Upgrades!$J$8+G261*Upgrades!$K$8)*POWER(Upgrades!$L$8,G261)))*(IF(Upgrades!$T$6="Stellar Coupling",POWER(Upgrades!$U$6,E261),1)*IF(Upgrades!$T$7="Stellar Coupling",POWER(Upgrades!$U$7,F261),1)*IF(Upgrades!$T$9="Stellar Coupling",POWER(Upgrades!$U$9,H261),1)*IF(Upgrades!$T$10="Stellar Coupling",POWER(Upgrades!$U$10,I261),1)*IF(Upgrades!$T$11="Stellar Coupling",POWER(Upgrades!$U$11,J261),1)*IF(Upgrades!$T$12="Stellar Coupling",POWER(Upgrades!$U$12,K261),1))*POWER(Upgrades!$Q$6,E261)*POWER(Upgrades!$Q$7,F261)*POWER(Upgrades!$Q$8,G261)*POWER(Upgrades!$Q$9,H261)*POWER(Upgrades!$Q$10,I261)*POWER(Upgrades!$Q$11,J261)*POWER(Upgrades!$Q$12,K261)*Parameters!$B$10*Parameters!$B$11</f>
        <v/>
      </c>
      <c r="AD261" s="27">
        <f>(IF(H261=0,0,(Upgrades!$G$9+H261*Upgrades!$H$9)*POWER(Upgrades!$I$9,H261)))*(IF(Upgrades!$T$6="Magnetosphere",POWER(Upgrades!$U$6,E261),1)*IF(Upgrades!$T$7="Magnetosphere",POWER(Upgrades!$U$7,F261),1)*IF(Upgrades!$T$8="Magnetosphere",POWER(Upgrades!$U$8,G261),1)*IF(Upgrades!$T$10="Magnetosphere",POWER(Upgrades!$U$10,I261),1)*IF(Upgrades!$T$11="Magnetosphere",POWER(Upgrades!$U$11,J261),1)*IF(Upgrades!$T$12="Magnetosphere",POWER(Upgrades!$U$12,K261),1))*POWER(Upgrades!$P$6,E261)*POWER(Upgrades!$P$7,F261)*POWER(Upgrades!$P$8,G261)*POWER(Upgrades!$P$9,H261)*POWER(Upgrades!$P$10,I261)*POWER(Upgrades!$P$11,J261)*POWER(Upgrades!$P$12,K261)*60</f>
        <v/>
      </c>
      <c r="AE261" s="27">
        <f>(IF(K261=0,0,(Upgrades!$G$12+K261*Upgrades!$H$12)*POWER(Upgrades!$I$12,K261)))*(IF(Upgrades!$T$6="First Photons",POWER(Upgrades!$U$6,E261),1)*IF(Upgrades!$T$7="First Photons",POWER(Upgrades!$U$7,F261),1)*IF(Upgrades!$T$8="First Photons",POWER(Upgrades!$U$8,G261),1)*IF(Upgrades!$T$9="First Photons",POWER(Upgrades!$U$9,H261),1)*IF(Upgrades!$T$10="First Photons",POWER(Upgrades!$U$10,I261),1)*IF(Upgrades!$T$11="First Photons",POWER(Upgrades!$U$11,J261),1))*POWER(Upgrades!$P$6,E261)*POWER(Upgrades!$P$7,F261)*POWER(Upgrades!$P$8,G261)*POWER(Upgrades!$P$9,H261)*POWER(Upgrades!$P$10,I261)*POWER(Upgrades!$P$11,J261)*POWER(Upgrades!$P$12,K261)*60</f>
        <v/>
      </c>
      <c r="AF261" s="27">
        <f>Parameters!$B$9*POWER(Upgrades!$Q$6,E261)*POWER(Upgrades!$Q$7,F261)*POWER(Upgrades!$Q$8,G261)*POWER(Upgrades!$Q$9,H261)*POWER(Upgrades!$Q$10,I261)*POWER(Upgrades!$Q$11,J261)*POWER(Upgrades!$Q$12,K261)*(Parameters!$B$10*Parameters!$B$11+O261*60)</f>
        <v/>
      </c>
      <c r="AG261" s="22">
        <f>IF(E261&gt;=Upgrades!$E$6,"",Upgrades!$C$6*POWER(Upgrades!$D$6,E261))</f>
        <v/>
      </c>
      <c r="AH261" s="22">
        <f>IF(F261&gt;=Upgrades!$E$7,"",Upgrades!$C$7*POWER(Upgrades!$D$7,F261))</f>
        <v/>
      </c>
      <c r="AI261" s="22">
        <f>IF(G261&gt;=Upgrades!$E$8,"",Upgrades!$C$8*POWER(Upgrades!$D$8,G261))</f>
        <v/>
      </c>
      <c r="AJ261" s="22">
        <f>IF(H261&gt;=Upgrades!$E$9,"",Upgrades!$C$9*POWER(Upgrades!$D$9,H261))</f>
        <v/>
      </c>
      <c r="AK261" s="22">
        <f>IF(I261&gt;=Upgrades!$E$10,"",Upgrades!$C$10*POWER(Upgrades!$D$10,I261))</f>
        <v/>
      </c>
      <c r="AL261" s="22">
        <f>IF(J261&gt;=Upgrades!$E$11,"",Upgrades!$C$11*POWER(Upgrades!$D$11,J261))</f>
        <v/>
      </c>
      <c r="AM261" s="22">
        <f>IF(K261&gt;=Upgrades!$E$12,"",Upgrades!$C$12*POWER(Upgrades!$D$12,K261))</f>
        <v/>
      </c>
      <c r="AN261" s="26">
        <f>IF(AND(D261&gt;=Parameters!$B$18,(H261&gt;=Upgrades!$E$9)*(K261&gt;=Upgrades!$E$12)=1,L261=0),1,"")</f>
        <v/>
      </c>
      <c r="AO261" s="26">
        <f>IF(AND(D261&gt;=Parameters!$B$18,L261=0),1,"")</f>
        <v/>
      </c>
      <c r="AP261" s="22">
        <f>MIN(IF(ISNUMBER(AK261),AK261,9E15),IF(ISNUMBER(AL261),AL261,9E15),IF(ISNUMBER(AM261),AM261,9E15))</f>
        <v/>
      </c>
      <c r="AQ261" s="22">
        <f>MIN(IF(ISNUMBER(AG261),AG261,9E15),IF(ISNUMBER(AH261),AH261,9E15),IF(ISNUMBER(AI261),AI261,9E15),IF(ISNUMBER(AJ261),AJ261,9E15))</f>
        <v/>
      </c>
      <c r="AR261" s="29">
        <f>IF(AW261&gt;Parameters!$B$21*(MAX(IF(AND(NOT(AND(AO261=1,AN261&lt;&gt;1)),ISNUMBER(AG261),AG261&lt;=T261),AS261,0),IF(AND(NOT(AND(AO261=1,AN261&lt;&gt;1)),ISNUMBER(AH261),AH261&lt;=T261),AT261,0),IF(AND(NOT(AND(AO261=1,AN261&lt;&gt;1)),ISNUMBER(AI261),AI261&lt;=T261),AU261,0),IF(AND(ISNUMBER(AJ261),AJ261&lt;=T261),AV261,0))),TRUE,FALSE)</f>
        <v/>
      </c>
      <c r="AS261" s="32">
        <f>IFERROR(Upgrades!$H$6*(POWER(Upgrades!$P$6,E261)*POWER(Upgrades!$P$7,F261)*POWER(Upgrades!$P$8,G261)*POWER(Upgrades!$P$9,H261)*POWER(Upgrades!$P$10,I261)*POWER(Upgrades!$P$11,J261)*POWER(Upgrades!$P$12,K261))*(IF(Upgrades!$T$7="Solar Wind",POWER(Upgrades!$U$7,F261),1)*IF(Upgrades!$T$8="Solar Wind",POWER(Upgrades!$U$8,G261),1)*IF(Upgrades!$T$9="Solar Wind",POWER(Upgrades!$U$9,H261),1)*IF(Upgrades!$T$10="Solar Wind",POWER(Upgrades!$U$10,I261),1)*IF(Upgrades!$T$11="Solar Wind",POWER(Upgrades!$U$11,J261),1)*IF(Upgrades!$T$12="Solar Wind",POWER(Upgrades!$U$12,K261),1))/AG261,0)</f>
        <v/>
      </c>
      <c r="AT261" s="32">
        <f>IFERROR(Upgrades!$H$7*(POWER(Upgrades!$P$6,E261)*POWER(Upgrades!$P$7,F261)*POWER(Upgrades!$P$8,G261)*POWER(Upgrades!$P$9,H261)*POWER(Upgrades!$P$10,I261)*POWER(Upgrades!$P$11,J261)*POWER(Upgrades!$P$12,K261))*(IF(Upgrades!$T$6="Asteroid Belt",POWER(Upgrades!$U$6,E261),1)*IF(Upgrades!$T$8="Asteroid Belt",POWER(Upgrades!$U$8,G261),1)*IF(Upgrades!$T$9="Asteroid Belt",POWER(Upgrades!$U$9,H261),1)*IF(Upgrades!$T$10="Asteroid Belt",POWER(Upgrades!$U$10,I261),1)*IF(Upgrades!$T$11="Asteroid Belt",POWER(Upgrades!$U$11,J261),1)*IF(Upgrades!$T$12="Asteroid Belt",POWER(Upgrades!$U$12,K261),1))/AH261,0)</f>
        <v/>
      </c>
      <c r="AU261" s="32">
        <f>IFERROR(Upgrades!$K$8*(POWER(Upgrades!$Q$6,E261)*POWER(Upgrades!$Q$7,F261)*POWER(Upgrades!$Q$8,G261)*POWER(Upgrades!$Q$9,H261)*POWER(Upgrades!$Q$10,I261)*POWER(Upgrades!$Q$11,J261)*POWER(Upgrades!$Q$12,K261))*(IF(Upgrades!$T$6="Stellar Coupling",POWER(Upgrades!$U$6,E261),1)*IF(Upgrades!$T$7="Stellar Coupling",POWER(Upgrades!$U$7,F261),1)*IF(Upgrades!$T$9="Stellar Coupling",POWER(Upgrades!$U$9,H261),1)*IF(Upgrades!$T$10="Stellar Coupling",POWER(Upgrades!$U$10,I261),1)*IF(Upgrades!$T$11="Stellar Coupling",POWER(Upgrades!$U$11,J261),1)*IF(Upgrades!$T$12="Stellar Coupling",POWER(Upgrades!$U$12,K261),1))*Parameters!$B$10*Parameters!$B$11/60/AI261,0)</f>
        <v/>
      </c>
      <c r="AV261" s="32">
        <f>IFERROR(Upgrades!$H$9*(POWER(Upgrades!$P$6,E261)*POWER(Upgrades!$P$7,F261)*POWER(Upgrades!$P$8,G261)*POWER(Upgrades!$P$9,H261)*POWER(Upgrades!$P$10,I261)*POWER(Upgrades!$P$11,J261)*POWER(Upgrades!$P$12,K261))*(IF(Upgrades!$T$6="Magnetosphere",POWER(Upgrades!$U$6,E261),1)*IF(Upgrades!$T$7="Magnetosphere",POWER(Upgrades!$U$7,F261),1)*IF(Upgrades!$T$8="Magnetosphere",POWER(Upgrades!$U$8,G261),1)*IF(Upgrades!$T$10="Magnetosphere",POWER(Upgrades!$U$10,I261),1)*IF(Upgrades!$T$11="Magnetosphere",POWER(Upgrades!$U$11,J261),1)*IF(Upgrades!$T$12="Magnetosphere",POWER(Upgrades!$U$12,K261),1))/AJ261,0)</f>
        <v/>
      </c>
      <c r="AW261" s="32">
        <f>MAX(IF(I261&gt;0,0,IFERROR(0.25*N261/Upgrades!$C$10,0)),IF(J261&gt;0,0,IFERROR(0.5*((IF(G261=0,0,(Upgrades!$J$8+G261*Upgrades!$K$8)*POWER(Upgrades!$L$8,G261)))*(IF(Upgrades!$T$6="Stellar Coupling",POWER(Upgrades!$U$6,E261),1)*IF(Upgrades!$T$7="Stellar Coupling",POWER(Upgrades!$U$7,F261),1)*IF(Upgrades!$T$9="Stellar Coupling",POWER(Upgrades!$U$9,H261),1)*IF(Upgrades!$T$10="Stellar Coupling",POWER(Upgrades!$U$10,I261),1)*IF(Upgrades!$T$11="Stellar Coupling",POWER(Upgrades!$U$11,J261),1)*IF(Upgrades!$T$12="Stellar Coupling",POWER(Upgrades!$U$12,K261),1))*(POWER(Upgrades!$Q$6,E261)*POWER(Upgrades!$Q$7,F261)*POWER(Upgrades!$Q$8,G261)*POWER(Upgrades!$Q$9,H261)*POWER(Upgrades!$Q$10,I261)*POWER(Upgrades!$Q$11,J261)*POWER(Upgrades!$Q$12,K261))*Parameters!$B$10*Parameters!$B$11/60)/Upgrades!$C$11,0)),IF(K261&gt;0,0,IFERROR((1.0*(POWER(Upgrades!$P$6,E261)*POWER(Upgrades!$P$7,F261)*POWER(Upgrades!$P$8,G261)*POWER(Upgrades!$P$9,H261)*POWER(Upgrades!$P$10,I261)*POWER(Upgrades!$P$11,J261)*POWER(Upgrades!$P$12,K261))+0.20*M261*Parameters!$B$10*Parameters!$B$11/60)/Upgrades!$C$12,0)),IF(AND(ISNUMBER(AG261),AG261&gt;T261),AS261,0),IF(AND(ISNUMBER(AH261),AH261&gt;T261),AT261,0),IF(AND(ISNUMBER(AI261),AI261&gt;T261),AU261,0),IF(AND(ISNUMBER(AJ261),AJ261&gt;T261),AV261,0))</f>
        <v/>
      </c>
      <c r="AX261" s="29">
        <f>IF(AN261=1,"transition",IF(MIN(IF(AND(I261=0,ISNUMBER(AK261),AK261&lt;=T261),AK261,9E15),IF(AND(J261=0,ISNUMBER(AL261),AL261&lt;=T261),AL261,9E15),IF(AND(K261=0,ISNUMBER(AM261),AM261&lt;=T261),AM261,9E15))&lt;9E15,IF(AND(AND(I261=0,ISNUMBER(AK261),AK261&lt;=T261),AK261=MIN(IF(AND(I261=0,ISNUMBER(AK261),AK261&lt;=T261),AK261,9E15),IF(AND(J261=0,ISNUMBER(AL261),AL261&lt;=T261),AL261,9E15),IF(AND(K261=0,ISNUMBER(AM261),AM261&lt;=T261),AM261,9E15))),"OR",IF(AND(AND(J261=0,ISNUMBER(AL261),AL261&lt;=T261),AL261=MIN(IF(AND(I261=0,ISNUMBER(AK261),AK261&lt;=T261),AK261,9E15),IF(AND(J261=0,ISNUMBER(AL261),AL261&lt;=T261),AL261,9E15),IF(AND(K261=0,ISNUMBER(AM261),AM261&lt;=T261),AM261,9E15))),"HP","FP")),IF(AR261=TRUE,"",IF(MAX(IF(AND(NOT(AND(AO261=1,AN261&lt;&gt;1)),ISNUMBER(AG261),AG261&lt;=T261),AS261,0),IF(AND(NOT(AND(AO261=1,AN261&lt;&gt;1)),ISNUMBER(AH261),AH261&lt;=T261),AT261,0),IF(AND(NOT(AND(AO261=1,AN261&lt;&gt;1)),ISNUMBER(AI261),AI261&lt;=T261),AU261,0),IF(AND(ISNUMBER(AJ261),AJ261&lt;=T261),AV261,0))&lt;=0,"",IF(AND(IF(AND(NOT(AND(AO261=1,AN261&lt;&gt;1)),ISNUMBER(AG261),AG261&lt;=T261),AS261,0)&gt;0,IF(AND(NOT(AND(AO261=1,AN261&lt;&gt;1)),ISNUMBER(AG261),AG261&lt;=T261),AS261,0)=MAX(IF(AND(NOT(AND(AO261=1,AN261&lt;&gt;1)),ISNUMBER(AG261),AG261&lt;=T261),AS261,0),IF(AND(NOT(AND(AO261=1,AN261&lt;&gt;1)),ISNUMBER(AH261),AH261&lt;=T261),AT261,0),IF(AND(NOT(AND(AO261=1,AN261&lt;&gt;1)),ISNUMBER(AI261),AI261&lt;=T261),AU261,0),IF(AND(ISNUMBER(AJ261),AJ261&lt;=T261),AV261,0))),"SW",IF(AND(IF(AND(NOT(AND(AO261=1,AN261&lt;&gt;1)),ISNUMBER(AH261),AH261&lt;=T261),AT261,0)&gt;0,IF(AND(NOT(AND(AO261=1,AN261&lt;&gt;1)),ISNUMBER(AH261),AH261&lt;=T261),AT261,0)=MAX(IF(AND(NOT(AND(AO261=1,AN261&lt;&gt;1)),ISNUMBER(AG261),AG261&lt;=T261),AS261,0),IF(AND(NOT(AND(AO261=1,AN261&lt;&gt;1)),ISNUMBER(AH261),AH261&lt;=T261),AT261,0),IF(AND(NOT(AND(AO261=1,AN261&lt;&gt;1)),ISNUMBER(AI261),AI261&lt;=T261),AU261,0),IF(AND(ISNUMBER(AJ261),AJ261&lt;=T261),AV261,0))),"AB",IF(AND(IF(AND(NOT(AND(AO261=1,AN261&lt;&gt;1)),ISNUMBER(AI261),AI261&lt;=T261),AU261,0)&gt;0,IF(AND(NOT(AND(AO261=1,AN261&lt;&gt;1)),ISNUMBER(AI261),AI261&lt;=T261),AU261,0)=MAX(IF(AND(NOT(AND(AO261=1,AN261&lt;&gt;1)),ISNUMBER(AG261),AG261&lt;=T261),AS261,0),IF(AND(NOT(AND(AO261=1,AN261&lt;&gt;1)),ISNUMBER(AH261),AH261&lt;=T261),AT261,0),IF(AND(NOT(AND(AO261=1,AN261&lt;&gt;1)),ISNUMBER(AI261),AI261&lt;=T261),AU261,0),IF(AND(ISNUMBER(AJ261),AJ261&lt;=T261),AV261,0))),"SC","Mag")))))))</f>
        <v/>
      </c>
    </row>
    <row r="262">
      <c r="A262" s="26" t="n">
        <v>257</v>
      </c>
      <c r="B262" s="27">
        <f>A262*10/60</f>
        <v/>
      </c>
      <c r="C262" s="22">
        <f>X261</f>
        <v/>
      </c>
      <c r="D262" s="27">
        <f>D261+W261</f>
        <v/>
      </c>
      <c r="E262" s="26">
        <f>E261+IF(U261="SW",1,0)</f>
        <v/>
      </c>
      <c r="F262" s="26">
        <f>F261+IF(U261="AB",1,0)</f>
        <v/>
      </c>
      <c r="G262" s="26">
        <f>G261+IF(U261="SC",1,0)</f>
        <v/>
      </c>
      <c r="H262" s="26">
        <f>H261+IF(U261="Mag",1,0)</f>
        <v/>
      </c>
      <c r="I262" s="26">
        <f>MAX(I261,IF(U261="OR",1,0))</f>
        <v/>
      </c>
      <c r="J262" s="26">
        <f>MAX(J261,IF(U261="HP",1,0))</f>
        <v/>
      </c>
      <c r="K262" s="26">
        <f>MAX(K261,IF(U261="FP",1,0))</f>
        <v/>
      </c>
      <c r="L262" s="26">
        <f>MAX(L261,IF(U261="transition",1,0))</f>
        <v/>
      </c>
      <c r="M262" s="28">
        <f>(Parameters!$B$9+(IF(E262=0,0,(Upgrades!$J$6+E262*Upgrades!$K$6)*POWER(Upgrades!$L$6,E262)))*(IF(Upgrades!$T$7="Solar Wind",POWER(Upgrades!$U$7,F262),1)*IF(Upgrades!$T$8="Solar Wind",POWER(Upgrades!$U$8,G262),1)*IF(Upgrades!$T$9="Solar Wind",POWER(Upgrades!$U$9,H262),1)*IF(Upgrades!$T$10="Solar Wind",POWER(Upgrades!$U$10,I262),1)*IF(Upgrades!$T$11="Solar Wind",POWER(Upgrades!$U$11,J262),1)*IF(Upgrades!$T$12="Solar Wind",POWER(Upgrades!$U$12,K262),1))+(IF(F262=0,0,(Upgrades!$J$7+F262*Upgrades!$K$7)*POWER(Upgrades!$L$7,F262)))*(IF(Upgrades!$T$6="Asteroid Belt",POWER(Upgrades!$U$6,E262),1)*IF(Upgrades!$T$8="Asteroid Belt",POWER(Upgrades!$U$8,G262),1)*IF(Upgrades!$T$9="Asteroid Belt",POWER(Upgrades!$U$9,H262),1)*IF(Upgrades!$T$10="Asteroid Belt",POWER(Upgrades!$U$10,I262),1)*IF(Upgrades!$T$11="Asteroid Belt",POWER(Upgrades!$U$11,J262),1)*IF(Upgrades!$T$12="Asteroid Belt",POWER(Upgrades!$U$12,K262),1))+(IF(G262=0,0,(Upgrades!$J$8+G262*Upgrades!$K$8)*POWER(Upgrades!$L$8,G262)))*(IF(Upgrades!$T$6="Stellar Coupling",POWER(Upgrades!$U$6,E262),1)*IF(Upgrades!$T$7="Stellar Coupling",POWER(Upgrades!$U$7,F262),1)*IF(Upgrades!$T$9="Stellar Coupling",POWER(Upgrades!$U$9,H262),1)*IF(Upgrades!$T$10="Stellar Coupling",POWER(Upgrades!$U$10,I262),1)*IF(Upgrades!$T$11="Stellar Coupling",POWER(Upgrades!$U$11,J262),1)*IF(Upgrades!$T$12="Stellar Coupling",POWER(Upgrades!$U$12,K262),1))+(IF(H262=0,0,(Upgrades!$J$9+H262*Upgrades!$K$9)*POWER(Upgrades!$L$9,H262)))*(IF(Upgrades!$T$6="Magnetosphere",POWER(Upgrades!$U$6,E262),1)*IF(Upgrades!$T$7="Magnetosphere",POWER(Upgrades!$U$7,F262),1)*IF(Upgrades!$T$8="Magnetosphere",POWER(Upgrades!$U$8,G262),1)*IF(Upgrades!$T$10="Magnetosphere",POWER(Upgrades!$U$10,I262),1)*IF(Upgrades!$T$11="Magnetosphere",POWER(Upgrades!$U$11,J262),1)*IF(Upgrades!$T$12="Magnetosphere",POWER(Upgrades!$U$12,K262),1))+(IF(I262=0,0,(Upgrades!$J$10+I262*Upgrades!$K$10)*POWER(Upgrades!$L$10,I262)))*(IF(Upgrades!$T$6="Orbital Resonance",POWER(Upgrades!$U$6,E262),1)*IF(Upgrades!$T$7="Orbital Resonance",POWER(Upgrades!$U$7,F262),1)*IF(Upgrades!$T$8="Orbital Resonance",POWER(Upgrades!$U$8,G262),1)*IF(Upgrades!$T$9="Orbital Resonance",POWER(Upgrades!$U$9,H262),1)*IF(Upgrades!$T$11="Orbital Resonance",POWER(Upgrades!$U$11,J262),1)*IF(Upgrades!$T$12="Orbital Resonance",POWER(Upgrades!$U$12,K262),1))+(IF(J262=0,0,(Upgrades!$J$11+J262*Upgrades!$K$11)*POWER(Upgrades!$L$11,J262)))*(IF(Upgrades!$T$6="Heliopause",POWER(Upgrades!$U$6,E262),1)*IF(Upgrades!$T$7="Heliopause",POWER(Upgrades!$U$7,F262),1)*IF(Upgrades!$T$8="Heliopause",POWER(Upgrades!$U$8,G262),1)*IF(Upgrades!$T$9="Heliopause",POWER(Upgrades!$U$9,H262),1)*IF(Upgrades!$T$10="Heliopause",POWER(Upgrades!$U$10,I262),1)*IF(Upgrades!$T$12="Heliopause",POWER(Upgrades!$U$12,K262),1))+(IF(K262=0,0,(Upgrades!$J$12+K262*Upgrades!$K$12)*POWER(Upgrades!$L$12,K262)))*(IF(Upgrades!$T$6="First Photons",POWER(Upgrades!$U$6,E262),1)*IF(Upgrades!$T$7="First Photons",POWER(Upgrades!$U$7,F262),1)*IF(Upgrades!$T$8="First Photons",POWER(Upgrades!$U$8,G262),1)*IF(Upgrades!$T$9="First Photons",POWER(Upgrades!$U$9,H262),1)*IF(Upgrades!$T$10="First Photons",POWER(Upgrades!$U$10,I262),1)*IF(Upgrades!$T$11="First Photons",POWER(Upgrades!$U$11,J262),1)))*POWER(Upgrades!$Q$6,E262)*POWER(Upgrades!$Q$7,F262)*POWER(Upgrades!$Q$8,G262)*POWER(Upgrades!$Q$9,H262)*POWER(Upgrades!$Q$10,I262)*POWER(Upgrades!$Q$11,J262)*POWER(Upgrades!$Q$12,K262)</f>
        <v/>
      </c>
      <c r="N262" s="28">
        <f>((IF(E262=0,0,(Upgrades!$G$6+E262*Upgrades!$H$6)*POWER(Upgrades!$I$6,E262)))*(IF(Upgrades!$T$7="Solar Wind",POWER(Upgrades!$U$7,F262),1)*IF(Upgrades!$T$8="Solar Wind",POWER(Upgrades!$U$8,G262),1)*IF(Upgrades!$T$9="Solar Wind",POWER(Upgrades!$U$9,H262),1)*IF(Upgrades!$T$10="Solar Wind",POWER(Upgrades!$U$10,I262),1)*IF(Upgrades!$T$11="Solar Wind",POWER(Upgrades!$U$11,J262),1)*IF(Upgrades!$T$12="Solar Wind",POWER(Upgrades!$U$12,K262),1))+(IF(F262=0,0,(Upgrades!$G$7+F262*Upgrades!$H$7)*POWER(Upgrades!$I$7,F262)))*(IF(Upgrades!$T$6="Asteroid Belt",POWER(Upgrades!$U$6,E262),1)*IF(Upgrades!$T$8="Asteroid Belt",POWER(Upgrades!$U$8,G262),1)*IF(Upgrades!$T$9="Asteroid Belt",POWER(Upgrades!$U$9,H262),1)*IF(Upgrades!$T$10="Asteroid Belt",POWER(Upgrades!$U$10,I262),1)*IF(Upgrades!$T$11="Asteroid Belt",POWER(Upgrades!$U$11,J262),1)*IF(Upgrades!$T$12="Asteroid Belt",POWER(Upgrades!$U$12,K262),1))+(IF(G262=0,0,(Upgrades!$G$8+G262*Upgrades!$H$8)*POWER(Upgrades!$I$8,G262)))*(IF(Upgrades!$T$6="Stellar Coupling",POWER(Upgrades!$U$6,E262),1)*IF(Upgrades!$T$7="Stellar Coupling",POWER(Upgrades!$U$7,F262),1)*IF(Upgrades!$T$9="Stellar Coupling",POWER(Upgrades!$U$9,H262),1)*IF(Upgrades!$T$10="Stellar Coupling",POWER(Upgrades!$U$10,I262),1)*IF(Upgrades!$T$11="Stellar Coupling",POWER(Upgrades!$U$11,J262),1)*IF(Upgrades!$T$12="Stellar Coupling",POWER(Upgrades!$U$12,K262),1))+(IF(H262=0,0,(Upgrades!$G$9+H262*Upgrades!$H$9)*POWER(Upgrades!$I$9,H262)))*(IF(Upgrades!$T$6="Magnetosphere",POWER(Upgrades!$U$6,E262),1)*IF(Upgrades!$T$7="Magnetosphere",POWER(Upgrades!$U$7,F262),1)*IF(Upgrades!$T$8="Magnetosphere",POWER(Upgrades!$U$8,G262),1)*IF(Upgrades!$T$10="Magnetosphere",POWER(Upgrades!$U$10,I262),1)*IF(Upgrades!$T$11="Magnetosphere",POWER(Upgrades!$U$11,J262),1)*IF(Upgrades!$T$12="Magnetosphere",POWER(Upgrades!$U$12,K262),1))+(IF(I262=0,0,(Upgrades!$G$10+I262*Upgrades!$H$10)*POWER(Upgrades!$I$10,I262)))*(IF(Upgrades!$T$6="Orbital Resonance",POWER(Upgrades!$U$6,E262),1)*IF(Upgrades!$T$7="Orbital Resonance",POWER(Upgrades!$U$7,F262),1)*IF(Upgrades!$T$8="Orbital Resonance",POWER(Upgrades!$U$8,G262),1)*IF(Upgrades!$T$9="Orbital Resonance",POWER(Upgrades!$U$9,H262),1)*IF(Upgrades!$T$11="Orbital Resonance",POWER(Upgrades!$U$11,J262),1)*IF(Upgrades!$T$12="Orbital Resonance",POWER(Upgrades!$U$12,K262),1))+(IF(J262=0,0,(Upgrades!$G$11+J262*Upgrades!$H$11)*POWER(Upgrades!$I$11,J262)))*(IF(Upgrades!$T$6="Heliopause",POWER(Upgrades!$U$6,E262),1)*IF(Upgrades!$T$7="Heliopause",POWER(Upgrades!$U$7,F262),1)*IF(Upgrades!$T$8="Heliopause",POWER(Upgrades!$U$8,G262),1)*IF(Upgrades!$T$9="Heliopause",POWER(Upgrades!$U$9,H262),1)*IF(Upgrades!$T$10="Heliopause",POWER(Upgrades!$U$10,I262),1)*IF(Upgrades!$T$12="Heliopause",POWER(Upgrades!$U$12,K262),1))+(IF(K262=0,0,(Upgrades!$G$12+K262*Upgrades!$H$12)*POWER(Upgrades!$I$12,K262)))*(IF(Upgrades!$T$6="First Photons",POWER(Upgrades!$U$6,E262),1)*IF(Upgrades!$T$7="First Photons",POWER(Upgrades!$U$7,F262),1)*IF(Upgrades!$T$8="First Photons",POWER(Upgrades!$U$8,G262),1)*IF(Upgrades!$T$9="First Photons",POWER(Upgrades!$U$9,H262),1)*IF(Upgrades!$T$10="First Photons",POWER(Upgrades!$U$10,I262),1)*IF(Upgrades!$T$11="First Photons",POWER(Upgrades!$U$11,J262),1)))*POWER(Upgrades!$P$6,E262)*POWER(Upgrades!$P$7,F262)*POWER(Upgrades!$P$8,G262)*POWER(Upgrades!$P$9,H262)*POWER(Upgrades!$P$10,I262)*POWER(Upgrades!$P$11,J262)*POWER(Upgrades!$P$12,K262)</f>
        <v/>
      </c>
      <c r="O262" s="28">
        <f>((IF(E262=0,0,(Upgrades!$M$6+E262*Upgrades!$N$6)*POWER(Upgrades!$O$6,E262)))*(IF(Upgrades!$T$7="Solar Wind",POWER(Upgrades!$U$7,F262),1)*IF(Upgrades!$T$8="Solar Wind",POWER(Upgrades!$U$8,G262),1)*IF(Upgrades!$T$9="Solar Wind",POWER(Upgrades!$U$9,H262),1)*IF(Upgrades!$T$10="Solar Wind",POWER(Upgrades!$U$10,I262),1)*IF(Upgrades!$T$11="Solar Wind",POWER(Upgrades!$U$11,J262),1)*IF(Upgrades!$T$12="Solar Wind",POWER(Upgrades!$U$12,K262),1))+(IF(F262=0,0,(Upgrades!$M$7+F262*Upgrades!$N$7)*POWER(Upgrades!$O$7,F262)))*(IF(Upgrades!$T$6="Asteroid Belt",POWER(Upgrades!$U$6,E262),1)*IF(Upgrades!$T$8="Asteroid Belt",POWER(Upgrades!$U$8,G262),1)*IF(Upgrades!$T$9="Asteroid Belt",POWER(Upgrades!$U$9,H262),1)*IF(Upgrades!$T$10="Asteroid Belt",POWER(Upgrades!$U$10,I262),1)*IF(Upgrades!$T$11="Asteroid Belt",POWER(Upgrades!$U$11,J262),1)*IF(Upgrades!$T$12="Asteroid Belt",POWER(Upgrades!$U$12,K262),1))+(IF(G262=0,0,(Upgrades!$M$8+G262*Upgrades!$N$8)*POWER(Upgrades!$O$8,G262)))*(IF(Upgrades!$T$6="Stellar Coupling",POWER(Upgrades!$U$6,E262),1)*IF(Upgrades!$T$7="Stellar Coupling",POWER(Upgrades!$U$7,F262),1)*IF(Upgrades!$T$9="Stellar Coupling",POWER(Upgrades!$U$9,H262),1)*IF(Upgrades!$T$10="Stellar Coupling",POWER(Upgrades!$U$10,I262),1)*IF(Upgrades!$T$11="Stellar Coupling",POWER(Upgrades!$U$11,J262),1)*IF(Upgrades!$T$12="Stellar Coupling",POWER(Upgrades!$U$12,K262),1))+(IF(H262=0,0,(Upgrades!$M$9+H262*Upgrades!$N$9)*POWER(Upgrades!$O$9,H262)))*(IF(Upgrades!$T$6="Magnetosphere",POWER(Upgrades!$U$6,E262),1)*IF(Upgrades!$T$7="Magnetosphere",POWER(Upgrades!$U$7,F262),1)*IF(Upgrades!$T$8="Magnetosphere",POWER(Upgrades!$U$8,G262),1)*IF(Upgrades!$T$10="Magnetosphere",POWER(Upgrades!$U$10,I262),1)*IF(Upgrades!$T$11="Magnetosphere",POWER(Upgrades!$U$11,J262),1)*IF(Upgrades!$T$12="Magnetosphere",POWER(Upgrades!$U$12,K262),1))+(IF(I262=0,0,(Upgrades!$M$10+I262*Upgrades!$N$10)*POWER(Upgrades!$O$10,I262)))*(IF(Upgrades!$T$6="Orbital Resonance",POWER(Upgrades!$U$6,E262),1)*IF(Upgrades!$T$7="Orbital Resonance",POWER(Upgrades!$U$7,F262),1)*IF(Upgrades!$T$8="Orbital Resonance",POWER(Upgrades!$U$8,G262),1)*IF(Upgrades!$T$9="Orbital Resonance",POWER(Upgrades!$U$9,H262),1)*IF(Upgrades!$T$11="Orbital Resonance",POWER(Upgrades!$U$11,J262),1)*IF(Upgrades!$T$12="Orbital Resonance",POWER(Upgrades!$U$12,K262),1))+(IF(J262=0,0,(Upgrades!$M$11+J262*Upgrades!$N$11)*POWER(Upgrades!$O$11,J262)))*(IF(Upgrades!$T$6="Heliopause",POWER(Upgrades!$U$6,E262),1)*IF(Upgrades!$T$7="Heliopause",POWER(Upgrades!$U$7,F262),1)*IF(Upgrades!$T$8="Heliopause",POWER(Upgrades!$U$8,G262),1)*IF(Upgrades!$T$9="Heliopause",POWER(Upgrades!$U$9,H262),1)*IF(Upgrades!$T$10="Heliopause",POWER(Upgrades!$U$10,I262),1)*IF(Upgrades!$T$12="Heliopause",POWER(Upgrades!$U$12,K262),1))+(IF(K262=0,0,(Upgrades!$M$12+K262*Upgrades!$N$12)*POWER(Upgrades!$O$12,K262)))*(IF(Upgrades!$T$6="First Photons",POWER(Upgrades!$U$6,E262),1)*IF(Upgrades!$T$7="First Photons",POWER(Upgrades!$U$7,F262),1)*IF(Upgrades!$T$8="First Photons",POWER(Upgrades!$U$8,G262),1)*IF(Upgrades!$T$9="First Photons",POWER(Upgrades!$U$9,H262),1)*IF(Upgrades!$T$10="First Photons",POWER(Upgrades!$U$10,I262),1)*IF(Upgrades!$T$11="First Photons",POWER(Upgrades!$U$11,J262),1)))*POWER(Upgrades!$R$6,E262)*POWER(Upgrades!$R$7,F262)*POWER(Upgrades!$R$8,G262)*POWER(Upgrades!$R$9,H262)*POWER(Upgrades!$R$10,I262)*POWER(Upgrades!$R$11,J262)*POWER(Upgrades!$R$12,K262)</f>
        <v/>
      </c>
      <c r="P262" s="27">
        <f>IF(L262=1,0,M262*Parameters!$B$10/60*Parameters!$B$11*10)</f>
        <v/>
      </c>
      <c r="Q262" s="27">
        <f>IF(L262=1,0,O262*M262*10)</f>
        <v/>
      </c>
      <c r="R262" s="27">
        <f>IF(L262=1,0,N262*10)</f>
        <v/>
      </c>
      <c r="S262" s="27">
        <f>P262+Q262+R262</f>
        <v/>
      </c>
      <c r="T262" s="22">
        <f>C262+S262</f>
        <v/>
      </c>
      <c r="U262" s="33">
        <f>AX262</f>
        <v/>
      </c>
      <c r="V262" s="22">
        <f>IF(U262="",0,IF(U262="transition",0,IF(U262="SW",AG262,IF(U262="AB",AH262,IF(U262="SC",AI262,IF(U262="Mag",AJ262,IF(U262="OR",AK262,IF(U262="HP",AL262,IF(U262="FP",AM262,0)))))))))</f>
        <v/>
      </c>
      <c r="W262" s="27">
        <f>IF(U262="OR",Upgrades!$F$10,IF(U262="HP",Upgrades!$F$11,IF(U262="transition",-Parameters!$B$18,0)))</f>
        <v/>
      </c>
      <c r="X262" s="22">
        <f>T262-V262</f>
        <v/>
      </c>
      <c r="Y262" s="30">
        <f>M262*Parameters!$B$10/60*Parameters!$B$11+O262*M262+N262</f>
        <v/>
      </c>
      <c r="Z262" s="34">
        <f>IF(U262="transition","→ Tier 2 (Stellar Neighborhood)",IF(U262="FP","First Photons — light begins, system quickens",IF(U262="HP","Heliopause acquired",IF(U262="OR","Orbital Resonance — passive multiplier active",IF(AND(AO262=1,L262=0,AN262&lt;&gt;1),"Cohesion ready (waiting on completionist upgrades)","")))))</f>
        <v/>
      </c>
      <c r="AA262" s="27">
        <f>(IF(E262=0,0,(Upgrades!$G$6+E262*Upgrades!$H$6)*POWER(Upgrades!$I$6,E262)))*(IF(Upgrades!$T$7="Solar Wind",POWER(Upgrades!$U$7,F262),1)*IF(Upgrades!$T$8="Solar Wind",POWER(Upgrades!$U$8,G262),1)*IF(Upgrades!$T$9="Solar Wind",POWER(Upgrades!$U$9,H262),1)*IF(Upgrades!$T$10="Solar Wind",POWER(Upgrades!$U$10,I262),1)*IF(Upgrades!$T$11="Solar Wind",POWER(Upgrades!$U$11,J262),1)*IF(Upgrades!$T$12="Solar Wind",POWER(Upgrades!$U$12,K262),1))*POWER(Upgrades!$P$6,E262)*POWER(Upgrades!$P$7,F262)*POWER(Upgrades!$P$8,G262)*POWER(Upgrades!$P$9,H262)*POWER(Upgrades!$P$10,I262)*POWER(Upgrades!$P$11,J262)*POWER(Upgrades!$P$12,K262)*60</f>
        <v/>
      </c>
      <c r="AB262" s="27">
        <f>(IF(F262=0,0,(Upgrades!$G$7+F262*Upgrades!$H$7)*POWER(Upgrades!$I$7,F262)))*(IF(Upgrades!$T$6="Asteroid Belt",POWER(Upgrades!$U$6,E262),1)*IF(Upgrades!$T$8="Asteroid Belt",POWER(Upgrades!$U$8,G262),1)*IF(Upgrades!$T$9="Asteroid Belt",POWER(Upgrades!$U$9,H262),1)*IF(Upgrades!$T$10="Asteroid Belt",POWER(Upgrades!$U$10,I262),1)*IF(Upgrades!$T$11="Asteroid Belt",POWER(Upgrades!$U$11,J262),1)*IF(Upgrades!$T$12="Asteroid Belt",POWER(Upgrades!$U$12,K262),1))*POWER(Upgrades!$P$6,E262)*POWER(Upgrades!$P$7,F262)*POWER(Upgrades!$P$8,G262)*POWER(Upgrades!$P$9,H262)*POWER(Upgrades!$P$10,I262)*POWER(Upgrades!$P$11,J262)*POWER(Upgrades!$P$12,K262)*60</f>
        <v/>
      </c>
      <c r="AC262" s="27">
        <f>(IF(G262=0,0,(Upgrades!$J$8+G262*Upgrades!$K$8)*POWER(Upgrades!$L$8,G262)))*(IF(Upgrades!$T$6="Stellar Coupling",POWER(Upgrades!$U$6,E262),1)*IF(Upgrades!$T$7="Stellar Coupling",POWER(Upgrades!$U$7,F262),1)*IF(Upgrades!$T$9="Stellar Coupling",POWER(Upgrades!$U$9,H262),1)*IF(Upgrades!$T$10="Stellar Coupling",POWER(Upgrades!$U$10,I262),1)*IF(Upgrades!$T$11="Stellar Coupling",POWER(Upgrades!$U$11,J262),1)*IF(Upgrades!$T$12="Stellar Coupling",POWER(Upgrades!$U$12,K262),1))*POWER(Upgrades!$Q$6,E262)*POWER(Upgrades!$Q$7,F262)*POWER(Upgrades!$Q$8,G262)*POWER(Upgrades!$Q$9,H262)*POWER(Upgrades!$Q$10,I262)*POWER(Upgrades!$Q$11,J262)*POWER(Upgrades!$Q$12,K262)*Parameters!$B$10*Parameters!$B$11</f>
        <v/>
      </c>
      <c r="AD262" s="27">
        <f>(IF(H262=0,0,(Upgrades!$G$9+H262*Upgrades!$H$9)*POWER(Upgrades!$I$9,H262)))*(IF(Upgrades!$T$6="Magnetosphere",POWER(Upgrades!$U$6,E262),1)*IF(Upgrades!$T$7="Magnetosphere",POWER(Upgrades!$U$7,F262),1)*IF(Upgrades!$T$8="Magnetosphere",POWER(Upgrades!$U$8,G262),1)*IF(Upgrades!$T$10="Magnetosphere",POWER(Upgrades!$U$10,I262),1)*IF(Upgrades!$T$11="Magnetosphere",POWER(Upgrades!$U$11,J262),1)*IF(Upgrades!$T$12="Magnetosphere",POWER(Upgrades!$U$12,K262),1))*POWER(Upgrades!$P$6,E262)*POWER(Upgrades!$P$7,F262)*POWER(Upgrades!$P$8,G262)*POWER(Upgrades!$P$9,H262)*POWER(Upgrades!$P$10,I262)*POWER(Upgrades!$P$11,J262)*POWER(Upgrades!$P$12,K262)*60</f>
        <v/>
      </c>
      <c r="AE262" s="27">
        <f>(IF(K262=0,0,(Upgrades!$G$12+K262*Upgrades!$H$12)*POWER(Upgrades!$I$12,K262)))*(IF(Upgrades!$T$6="First Photons",POWER(Upgrades!$U$6,E262),1)*IF(Upgrades!$T$7="First Photons",POWER(Upgrades!$U$7,F262),1)*IF(Upgrades!$T$8="First Photons",POWER(Upgrades!$U$8,G262),1)*IF(Upgrades!$T$9="First Photons",POWER(Upgrades!$U$9,H262),1)*IF(Upgrades!$T$10="First Photons",POWER(Upgrades!$U$10,I262),1)*IF(Upgrades!$T$11="First Photons",POWER(Upgrades!$U$11,J262),1))*POWER(Upgrades!$P$6,E262)*POWER(Upgrades!$P$7,F262)*POWER(Upgrades!$P$8,G262)*POWER(Upgrades!$P$9,H262)*POWER(Upgrades!$P$10,I262)*POWER(Upgrades!$P$11,J262)*POWER(Upgrades!$P$12,K262)*60</f>
        <v/>
      </c>
      <c r="AF262" s="27">
        <f>Parameters!$B$9*POWER(Upgrades!$Q$6,E262)*POWER(Upgrades!$Q$7,F262)*POWER(Upgrades!$Q$8,G262)*POWER(Upgrades!$Q$9,H262)*POWER(Upgrades!$Q$10,I262)*POWER(Upgrades!$Q$11,J262)*POWER(Upgrades!$Q$12,K262)*(Parameters!$B$10*Parameters!$B$11+O262*60)</f>
        <v/>
      </c>
      <c r="AG262" s="22">
        <f>IF(E262&gt;=Upgrades!$E$6,"",Upgrades!$C$6*POWER(Upgrades!$D$6,E262))</f>
        <v/>
      </c>
      <c r="AH262" s="22">
        <f>IF(F262&gt;=Upgrades!$E$7,"",Upgrades!$C$7*POWER(Upgrades!$D$7,F262))</f>
        <v/>
      </c>
      <c r="AI262" s="22">
        <f>IF(G262&gt;=Upgrades!$E$8,"",Upgrades!$C$8*POWER(Upgrades!$D$8,G262))</f>
        <v/>
      </c>
      <c r="AJ262" s="22">
        <f>IF(H262&gt;=Upgrades!$E$9,"",Upgrades!$C$9*POWER(Upgrades!$D$9,H262))</f>
        <v/>
      </c>
      <c r="AK262" s="22">
        <f>IF(I262&gt;=Upgrades!$E$10,"",Upgrades!$C$10*POWER(Upgrades!$D$10,I262))</f>
        <v/>
      </c>
      <c r="AL262" s="22">
        <f>IF(J262&gt;=Upgrades!$E$11,"",Upgrades!$C$11*POWER(Upgrades!$D$11,J262))</f>
        <v/>
      </c>
      <c r="AM262" s="22">
        <f>IF(K262&gt;=Upgrades!$E$12,"",Upgrades!$C$12*POWER(Upgrades!$D$12,K262))</f>
        <v/>
      </c>
      <c r="AN262" s="26">
        <f>IF(AND(D262&gt;=Parameters!$B$18,(H262&gt;=Upgrades!$E$9)*(K262&gt;=Upgrades!$E$12)=1,L262=0),1,"")</f>
        <v/>
      </c>
      <c r="AO262" s="26">
        <f>IF(AND(D262&gt;=Parameters!$B$18,L262=0),1,"")</f>
        <v/>
      </c>
      <c r="AP262" s="22">
        <f>MIN(IF(ISNUMBER(AK262),AK262,9E15),IF(ISNUMBER(AL262),AL262,9E15),IF(ISNUMBER(AM262),AM262,9E15))</f>
        <v/>
      </c>
      <c r="AQ262" s="22">
        <f>MIN(IF(ISNUMBER(AG262),AG262,9E15),IF(ISNUMBER(AH262),AH262,9E15),IF(ISNUMBER(AI262),AI262,9E15),IF(ISNUMBER(AJ262),AJ262,9E15))</f>
        <v/>
      </c>
      <c r="AR262" s="29">
        <f>IF(AW262&gt;Parameters!$B$21*(MAX(IF(AND(NOT(AND(AO262=1,AN262&lt;&gt;1)),ISNUMBER(AG262),AG262&lt;=T262),AS262,0),IF(AND(NOT(AND(AO262=1,AN262&lt;&gt;1)),ISNUMBER(AH262),AH262&lt;=T262),AT262,0),IF(AND(NOT(AND(AO262=1,AN262&lt;&gt;1)),ISNUMBER(AI262),AI262&lt;=T262),AU262,0),IF(AND(ISNUMBER(AJ262),AJ262&lt;=T262),AV262,0))),TRUE,FALSE)</f>
        <v/>
      </c>
      <c r="AS262" s="32">
        <f>IFERROR(Upgrades!$H$6*(POWER(Upgrades!$P$6,E262)*POWER(Upgrades!$P$7,F262)*POWER(Upgrades!$P$8,G262)*POWER(Upgrades!$P$9,H262)*POWER(Upgrades!$P$10,I262)*POWER(Upgrades!$P$11,J262)*POWER(Upgrades!$P$12,K262))*(IF(Upgrades!$T$7="Solar Wind",POWER(Upgrades!$U$7,F262),1)*IF(Upgrades!$T$8="Solar Wind",POWER(Upgrades!$U$8,G262),1)*IF(Upgrades!$T$9="Solar Wind",POWER(Upgrades!$U$9,H262),1)*IF(Upgrades!$T$10="Solar Wind",POWER(Upgrades!$U$10,I262),1)*IF(Upgrades!$T$11="Solar Wind",POWER(Upgrades!$U$11,J262),1)*IF(Upgrades!$T$12="Solar Wind",POWER(Upgrades!$U$12,K262),1))/AG262,0)</f>
        <v/>
      </c>
      <c r="AT262" s="32">
        <f>IFERROR(Upgrades!$H$7*(POWER(Upgrades!$P$6,E262)*POWER(Upgrades!$P$7,F262)*POWER(Upgrades!$P$8,G262)*POWER(Upgrades!$P$9,H262)*POWER(Upgrades!$P$10,I262)*POWER(Upgrades!$P$11,J262)*POWER(Upgrades!$P$12,K262))*(IF(Upgrades!$T$6="Asteroid Belt",POWER(Upgrades!$U$6,E262),1)*IF(Upgrades!$T$8="Asteroid Belt",POWER(Upgrades!$U$8,G262),1)*IF(Upgrades!$T$9="Asteroid Belt",POWER(Upgrades!$U$9,H262),1)*IF(Upgrades!$T$10="Asteroid Belt",POWER(Upgrades!$U$10,I262),1)*IF(Upgrades!$T$11="Asteroid Belt",POWER(Upgrades!$U$11,J262),1)*IF(Upgrades!$T$12="Asteroid Belt",POWER(Upgrades!$U$12,K262),1))/AH262,0)</f>
        <v/>
      </c>
      <c r="AU262" s="32">
        <f>IFERROR(Upgrades!$K$8*(POWER(Upgrades!$Q$6,E262)*POWER(Upgrades!$Q$7,F262)*POWER(Upgrades!$Q$8,G262)*POWER(Upgrades!$Q$9,H262)*POWER(Upgrades!$Q$10,I262)*POWER(Upgrades!$Q$11,J262)*POWER(Upgrades!$Q$12,K262))*(IF(Upgrades!$T$6="Stellar Coupling",POWER(Upgrades!$U$6,E262),1)*IF(Upgrades!$T$7="Stellar Coupling",POWER(Upgrades!$U$7,F262),1)*IF(Upgrades!$T$9="Stellar Coupling",POWER(Upgrades!$U$9,H262),1)*IF(Upgrades!$T$10="Stellar Coupling",POWER(Upgrades!$U$10,I262),1)*IF(Upgrades!$T$11="Stellar Coupling",POWER(Upgrades!$U$11,J262),1)*IF(Upgrades!$T$12="Stellar Coupling",POWER(Upgrades!$U$12,K262),1))*Parameters!$B$10*Parameters!$B$11/60/AI262,0)</f>
        <v/>
      </c>
      <c r="AV262" s="32">
        <f>IFERROR(Upgrades!$H$9*(POWER(Upgrades!$P$6,E262)*POWER(Upgrades!$P$7,F262)*POWER(Upgrades!$P$8,G262)*POWER(Upgrades!$P$9,H262)*POWER(Upgrades!$P$10,I262)*POWER(Upgrades!$P$11,J262)*POWER(Upgrades!$P$12,K262))*(IF(Upgrades!$T$6="Magnetosphere",POWER(Upgrades!$U$6,E262),1)*IF(Upgrades!$T$7="Magnetosphere",POWER(Upgrades!$U$7,F262),1)*IF(Upgrades!$T$8="Magnetosphere",POWER(Upgrades!$U$8,G262),1)*IF(Upgrades!$T$10="Magnetosphere",POWER(Upgrades!$U$10,I262),1)*IF(Upgrades!$T$11="Magnetosphere",POWER(Upgrades!$U$11,J262),1)*IF(Upgrades!$T$12="Magnetosphere",POWER(Upgrades!$U$12,K262),1))/AJ262,0)</f>
        <v/>
      </c>
      <c r="AW262" s="32">
        <f>MAX(IF(I262&gt;0,0,IFERROR(0.25*N262/Upgrades!$C$10,0)),IF(J262&gt;0,0,IFERROR(0.5*((IF(G262=0,0,(Upgrades!$J$8+G262*Upgrades!$K$8)*POWER(Upgrades!$L$8,G262)))*(IF(Upgrades!$T$6="Stellar Coupling",POWER(Upgrades!$U$6,E262),1)*IF(Upgrades!$T$7="Stellar Coupling",POWER(Upgrades!$U$7,F262),1)*IF(Upgrades!$T$9="Stellar Coupling",POWER(Upgrades!$U$9,H262),1)*IF(Upgrades!$T$10="Stellar Coupling",POWER(Upgrades!$U$10,I262),1)*IF(Upgrades!$T$11="Stellar Coupling",POWER(Upgrades!$U$11,J262),1)*IF(Upgrades!$T$12="Stellar Coupling",POWER(Upgrades!$U$12,K262),1))*(POWER(Upgrades!$Q$6,E262)*POWER(Upgrades!$Q$7,F262)*POWER(Upgrades!$Q$8,G262)*POWER(Upgrades!$Q$9,H262)*POWER(Upgrades!$Q$10,I262)*POWER(Upgrades!$Q$11,J262)*POWER(Upgrades!$Q$12,K262))*Parameters!$B$10*Parameters!$B$11/60)/Upgrades!$C$11,0)),IF(K262&gt;0,0,IFERROR((1.0*(POWER(Upgrades!$P$6,E262)*POWER(Upgrades!$P$7,F262)*POWER(Upgrades!$P$8,G262)*POWER(Upgrades!$P$9,H262)*POWER(Upgrades!$P$10,I262)*POWER(Upgrades!$P$11,J262)*POWER(Upgrades!$P$12,K262))+0.20*M262*Parameters!$B$10*Parameters!$B$11/60)/Upgrades!$C$12,0)),IF(AND(ISNUMBER(AG262),AG262&gt;T262),AS262,0),IF(AND(ISNUMBER(AH262),AH262&gt;T262),AT262,0),IF(AND(ISNUMBER(AI262),AI262&gt;T262),AU262,0),IF(AND(ISNUMBER(AJ262),AJ262&gt;T262),AV262,0))</f>
        <v/>
      </c>
      <c r="AX262" s="29">
        <f>IF(AN262=1,"transition",IF(MIN(IF(AND(I262=0,ISNUMBER(AK262),AK262&lt;=T262),AK262,9E15),IF(AND(J262=0,ISNUMBER(AL262),AL262&lt;=T262),AL262,9E15),IF(AND(K262=0,ISNUMBER(AM262),AM262&lt;=T262),AM262,9E15))&lt;9E15,IF(AND(AND(I262=0,ISNUMBER(AK262),AK262&lt;=T262),AK262=MIN(IF(AND(I262=0,ISNUMBER(AK262),AK262&lt;=T262),AK262,9E15),IF(AND(J262=0,ISNUMBER(AL262),AL262&lt;=T262),AL262,9E15),IF(AND(K262=0,ISNUMBER(AM262),AM262&lt;=T262),AM262,9E15))),"OR",IF(AND(AND(J262=0,ISNUMBER(AL262),AL262&lt;=T262),AL262=MIN(IF(AND(I262=0,ISNUMBER(AK262),AK262&lt;=T262),AK262,9E15),IF(AND(J262=0,ISNUMBER(AL262),AL262&lt;=T262),AL262,9E15),IF(AND(K262=0,ISNUMBER(AM262),AM262&lt;=T262),AM262,9E15))),"HP","FP")),IF(AR262=TRUE,"",IF(MAX(IF(AND(NOT(AND(AO262=1,AN262&lt;&gt;1)),ISNUMBER(AG262),AG262&lt;=T262),AS262,0),IF(AND(NOT(AND(AO262=1,AN262&lt;&gt;1)),ISNUMBER(AH262),AH262&lt;=T262),AT262,0),IF(AND(NOT(AND(AO262=1,AN262&lt;&gt;1)),ISNUMBER(AI262),AI262&lt;=T262),AU262,0),IF(AND(ISNUMBER(AJ262),AJ262&lt;=T262),AV262,0))&lt;=0,"",IF(AND(IF(AND(NOT(AND(AO262=1,AN262&lt;&gt;1)),ISNUMBER(AG262),AG262&lt;=T262),AS262,0)&gt;0,IF(AND(NOT(AND(AO262=1,AN262&lt;&gt;1)),ISNUMBER(AG262),AG262&lt;=T262),AS262,0)=MAX(IF(AND(NOT(AND(AO262=1,AN262&lt;&gt;1)),ISNUMBER(AG262),AG262&lt;=T262),AS262,0),IF(AND(NOT(AND(AO262=1,AN262&lt;&gt;1)),ISNUMBER(AH262),AH262&lt;=T262),AT262,0),IF(AND(NOT(AND(AO262=1,AN262&lt;&gt;1)),ISNUMBER(AI262),AI262&lt;=T262),AU262,0),IF(AND(ISNUMBER(AJ262),AJ262&lt;=T262),AV262,0))),"SW",IF(AND(IF(AND(NOT(AND(AO262=1,AN262&lt;&gt;1)),ISNUMBER(AH262),AH262&lt;=T262),AT262,0)&gt;0,IF(AND(NOT(AND(AO262=1,AN262&lt;&gt;1)),ISNUMBER(AH262),AH262&lt;=T262),AT262,0)=MAX(IF(AND(NOT(AND(AO262=1,AN262&lt;&gt;1)),ISNUMBER(AG262),AG262&lt;=T262),AS262,0),IF(AND(NOT(AND(AO262=1,AN262&lt;&gt;1)),ISNUMBER(AH262),AH262&lt;=T262),AT262,0),IF(AND(NOT(AND(AO262=1,AN262&lt;&gt;1)),ISNUMBER(AI262),AI262&lt;=T262),AU262,0),IF(AND(ISNUMBER(AJ262),AJ262&lt;=T262),AV262,0))),"AB",IF(AND(IF(AND(NOT(AND(AO262=1,AN262&lt;&gt;1)),ISNUMBER(AI262),AI262&lt;=T262),AU262,0)&gt;0,IF(AND(NOT(AND(AO262=1,AN262&lt;&gt;1)),ISNUMBER(AI262),AI262&lt;=T262),AU262,0)=MAX(IF(AND(NOT(AND(AO262=1,AN262&lt;&gt;1)),ISNUMBER(AG262),AG262&lt;=T262),AS262,0),IF(AND(NOT(AND(AO262=1,AN262&lt;&gt;1)),ISNUMBER(AH262),AH262&lt;=T262),AT262,0),IF(AND(NOT(AND(AO262=1,AN262&lt;&gt;1)),ISNUMBER(AI262),AI262&lt;=T262),AU262,0),IF(AND(ISNUMBER(AJ262),AJ262&lt;=T262),AV262,0))),"SC","Mag")))))))</f>
        <v/>
      </c>
    </row>
    <row r="263">
      <c r="A263" s="26" t="n">
        <v>258</v>
      </c>
      <c r="B263" s="27">
        <f>A263*10/60</f>
        <v/>
      </c>
      <c r="C263" s="22">
        <f>X262</f>
        <v/>
      </c>
      <c r="D263" s="27">
        <f>D262+W262</f>
        <v/>
      </c>
      <c r="E263" s="26">
        <f>E262+IF(U262="SW",1,0)</f>
        <v/>
      </c>
      <c r="F263" s="26">
        <f>F262+IF(U262="AB",1,0)</f>
        <v/>
      </c>
      <c r="G263" s="26">
        <f>G262+IF(U262="SC",1,0)</f>
        <v/>
      </c>
      <c r="H263" s="26">
        <f>H262+IF(U262="Mag",1,0)</f>
        <v/>
      </c>
      <c r="I263" s="26">
        <f>MAX(I262,IF(U262="OR",1,0))</f>
        <v/>
      </c>
      <c r="J263" s="26">
        <f>MAX(J262,IF(U262="HP",1,0))</f>
        <v/>
      </c>
      <c r="K263" s="26">
        <f>MAX(K262,IF(U262="FP",1,0))</f>
        <v/>
      </c>
      <c r="L263" s="26">
        <f>MAX(L262,IF(U262="transition",1,0))</f>
        <v/>
      </c>
      <c r="M263" s="28">
        <f>(Parameters!$B$9+(IF(E263=0,0,(Upgrades!$J$6+E263*Upgrades!$K$6)*POWER(Upgrades!$L$6,E263)))*(IF(Upgrades!$T$7="Solar Wind",POWER(Upgrades!$U$7,F263),1)*IF(Upgrades!$T$8="Solar Wind",POWER(Upgrades!$U$8,G263),1)*IF(Upgrades!$T$9="Solar Wind",POWER(Upgrades!$U$9,H263),1)*IF(Upgrades!$T$10="Solar Wind",POWER(Upgrades!$U$10,I263),1)*IF(Upgrades!$T$11="Solar Wind",POWER(Upgrades!$U$11,J263),1)*IF(Upgrades!$T$12="Solar Wind",POWER(Upgrades!$U$12,K263),1))+(IF(F263=0,0,(Upgrades!$J$7+F263*Upgrades!$K$7)*POWER(Upgrades!$L$7,F263)))*(IF(Upgrades!$T$6="Asteroid Belt",POWER(Upgrades!$U$6,E263),1)*IF(Upgrades!$T$8="Asteroid Belt",POWER(Upgrades!$U$8,G263),1)*IF(Upgrades!$T$9="Asteroid Belt",POWER(Upgrades!$U$9,H263),1)*IF(Upgrades!$T$10="Asteroid Belt",POWER(Upgrades!$U$10,I263),1)*IF(Upgrades!$T$11="Asteroid Belt",POWER(Upgrades!$U$11,J263),1)*IF(Upgrades!$T$12="Asteroid Belt",POWER(Upgrades!$U$12,K263),1))+(IF(G263=0,0,(Upgrades!$J$8+G263*Upgrades!$K$8)*POWER(Upgrades!$L$8,G263)))*(IF(Upgrades!$T$6="Stellar Coupling",POWER(Upgrades!$U$6,E263),1)*IF(Upgrades!$T$7="Stellar Coupling",POWER(Upgrades!$U$7,F263),1)*IF(Upgrades!$T$9="Stellar Coupling",POWER(Upgrades!$U$9,H263),1)*IF(Upgrades!$T$10="Stellar Coupling",POWER(Upgrades!$U$10,I263),1)*IF(Upgrades!$T$11="Stellar Coupling",POWER(Upgrades!$U$11,J263),1)*IF(Upgrades!$T$12="Stellar Coupling",POWER(Upgrades!$U$12,K263),1))+(IF(H263=0,0,(Upgrades!$J$9+H263*Upgrades!$K$9)*POWER(Upgrades!$L$9,H263)))*(IF(Upgrades!$T$6="Magnetosphere",POWER(Upgrades!$U$6,E263),1)*IF(Upgrades!$T$7="Magnetosphere",POWER(Upgrades!$U$7,F263),1)*IF(Upgrades!$T$8="Magnetosphere",POWER(Upgrades!$U$8,G263),1)*IF(Upgrades!$T$10="Magnetosphere",POWER(Upgrades!$U$10,I263),1)*IF(Upgrades!$T$11="Magnetosphere",POWER(Upgrades!$U$11,J263),1)*IF(Upgrades!$T$12="Magnetosphere",POWER(Upgrades!$U$12,K263),1))+(IF(I263=0,0,(Upgrades!$J$10+I263*Upgrades!$K$10)*POWER(Upgrades!$L$10,I263)))*(IF(Upgrades!$T$6="Orbital Resonance",POWER(Upgrades!$U$6,E263),1)*IF(Upgrades!$T$7="Orbital Resonance",POWER(Upgrades!$U$7,F263),1)*IF(Upgrades!$T$8="Orbital Resonance",POWER(Upgrades!$U$8,G263),1)*IF(Upgrades!$T$9="Orbital Resonance",POWER(Upgrades!$U$9,H263),1)*IF(Upgrades!$T$11="Orbital Resonance",POWER(Upgrades!$U$11,J263),1)*IF(Upgrades!$T$12="Orbital Resonance",POWER(Upgrades!$U$12,K263),1))+(IF(J263=0,0,(Upgrades!$J$11+J263*Upgrades!$K$11)*POWER(Upgrades!$L$11,J263)))*(IF(Upgrades!$T$6="Heliopause",POWER(Upgrades!$U$6,E263),1)*IF(Upgrades!$T$7="Heliopause",POWER(Upgrades!$U$7,F263),1)*IF(Upgrades!$T$8="Heliopause",POWER(Upgrades!$U$8,G263),1)*IF(Upgrades!$T$9="Heliopause",POWER(Upgrades!$U$9,H263),1)*IF(Upgrades!$T$10="Heliopause",POWER(Upgrades!$U$10,I263),1)*IF(Upgrades!$T$12="Heliopause",POWER(Upgrades!$U$12,K263),1))+(IF(K263=0,0,(Upgrades!$J$12+K263*Upgrades!$K$12)*POWER(Upgrades!$L$12,K263)))*(IF(Upgrades!$T$6="First Photons",POWER(Upgrades!$U$6,E263),1)*IF(Upgrades!$T$7="First Photons",POWER(Upgrades!$U$7,F263),1)*IF(Upgrades!$T$8="First Photons",POWER(Upgrades!$U$8,G263),1)*IF(Upgrades!$T$9="First Photons",POWER(Upgrades!$U$9,H263),1)*IF(Upgrades!$T$10="First Photons",POWER(Upgrades!$U$10,I263),1)*IF(Upgrades!$T$11="First Photons",POWER(Upgrades!$U$11,J263),1)))*POWER(Upgrades!$Q$6,E263)*POWER(Upgrades!$Q$7,F263)*POWER(Upgrades!$Q$8,G263)*POWER(Upgrades!$Q$9,H263)*POWER(Upgrades!$Q$10,I263)*POWER(Upgrades!$Q$11,J263)*POWER(Upgrades!$Q$12,K263)</f>
        <v/>
      </c>
      <c r="N263" s="28">
        <f>((IF(E263=0,0,(Upgrades!$G$6+E263*Upgrades!$H$6)*POWER(Upgrades!$I$6,E263)))*(IF(Upgrades!$T$7="Solar Wind",POWER(Upgrades!$U$7,F263),1)*IF(Upgrades!$T$8="Solar Wind",POWER(Upgrades!$U$8,G263),1)*IF(Upgrades!$T$9="Solar Wind",POWER(Upgrades!$U$9,H263),1)*IF(Upgrades!$T$10="Solar Wind",POWER(Upgrades!$U$10,I263),1)*IF(Upgrades!$T$11="Solar Wind",POWER(Upgrades!$U$11,J263),1)*IF(Upgrades!$T$12="Solar Wind",POWER(Upgrades!$U$12,K263),1))+(IF(F263=0,0,(Upgrades!$G$7+F263*Upgrades!$H$7)*POWER(Upgrades!$I$7,F263)))*(IF(Upgrades!$T$6="Asteroid Belt",POWER(Upgrades!$U$6,E263),1)*IF(Upgrades!$T$8="Asteroid Belt",POWER(Upgrades!$U$8,G263),1)*IF(Upgrades!$T$9="Asteroid Belt",POWER(Upgrades!$U$9,H263),1)*IF(Upgrades!$T$10="Asteroid Belt",POWER(Upgrades!$U$10,I263),1)*IF(Upgrades!$T$11="Asteroid Belt",POWER(Upgrades!$U$11,J263),1)*IF(Upgrades!$T$12="Asteroid Belt",POWER(Upgrades!$U$12,K263),1))+(IF(G263=0,0,(Upgrades!$G$8+G263*Upgrades!$H$8)*POWER(Upgrades!$I$8,G263)))*(IF(Upgrades!$T$6="Stellar Coupling",POWER(Upgrades!$U$6,E263),1)*IF(Upgrades!$T$7="Stellar Coupling",POWER(Upgrades!$U$7,F263),1)*IF(Upgrades!$T$9="Stellar Coupling",POWER(Upgrades!$U$9,H263),1)*IF(Upgrades!$T$10="Stellar Coupling",POWER(Upgrades!$U$10,I263),1)*IF(Upgrades!$T$11="Stellar Coupling",POWER(Upgrades!$U$11,J263),1)*IF(Upgrades!$T$12="Stellar Coupling",POWER(Upgrades!$U$12,K263),1))+(IF(H263=0,0,(Upgrades!$G$9+H263*Upgrades!$H$9)*POWER(Upgrades!$I$9,H263)))*(IF(Upgrades!$T$6="Magnetosphere",POWER(Upgrades!$U$6,E263),1)*IF(Upgrades!$T$7="Magnetosphere",POWER(Upgrades!$U$7,F263),1)*IF(Upgrades!$T$8="Magnetosphere",POWER(Upgrades!$U$8,G263),1)*IF(Upgrades!$T$10="Magnetosphere",POWER(Upgrades!$U$10,I263),1)*IF(Upgrades!$T$11="Magnetosphere",POWER(Upgrades!$U$11,J263),1)*IF(Upgrades!$T$12="Magnetosphere",POWER(Upgrades!$U$12,K263),1))+(IF(I263=0,0,(Upgrades!$G$10+I263*Upgrades!$H$10)*POWER(Upgrades!$I$10,I263)))*(IF(Upgrades!$T$6="Orbital Resonance",POWER(Upgrades!$U$6,E263),1)*IF(Upgrades!$T$7="Orbital Resonance",POWER(Upgrades!$U$7,F263),1)*IF(Upgrades!$T$8="Orbital Resonance",POWER(Upgrades!$U$8,G263),1)*IF(Upgrades!$T$9="Orbital Resonance",POWER(Upgrades!$U$9,H263),1)*IF(Upgrades!$T$11="Orbital Resonance",POWER(Upgrades!$U$11,J263),1)*IF(Upgrades!$T$12="Orbital Resonance",POWER(Upgrades!$U$12,K263),1))+(IF(J263=0,0,(Upgrades!$G$11+J263*Upgrades!$H$11)*POWER(Upgrades!$I$11,J263)))*(IF(Upgrades!$T$6="Heliopause",POWER(Upgrades!$U$6,E263),1)*IF(Upgrades!$T$7="Heliopause",POWER(Upgrades!$U$7,F263),1)*IF(Upgrades!$T$8="Heliopause",POWER(Upgrades!$U$8,G263),1)*IF(Upgrades!$T$9="Heliopause",POWER(Upgrades!$U$9,H263),1)*IF(Upgrades!$T$10="Heliopause",POWER(Upgrades!$U$10,I263),1)*IF(Upgrades!$T$12="Heliopause",POWER(Upgrades!$U$12,K263),1))+(IF(K263=0,0,(Upgrades!$G$12+K263*Upgrades!$H$12)*POWER(Upgrades!$I$12,K263)))*(IF(Upgrades!$T$6="First Photons",POWER(Upgrades!$U$6,E263),1)*IF(Upgrades!$T$7="First Photons",POWER(Upgrades!$U$7,F263),1)*IF(Upgrades!$T$8="First Photons",POWER(Upgrades!$U$8,G263),1)*IF(Upgrades!$T$9="First Photons",POWER(Upgrades!$U$9,H263),1)*IF(Upgrades!$T$10="First Photons",POWER(Upgrades!$U$10,I263),1)*IF(Upgrades!$T$11="First Photons",POWER(Upgrades!$U$11,J263),1)))*POWER(Upgrades!$P$6,E263)*POWER(Upgrades!$P$7,F263)*POWER(Upgrades!$P$8,G263)*POWER(Upgrades!$P$9,H263)*POWER(Upgrades!$P$10,I263)*POWER(Upgrades!$P$11,J263)*POWER(Upgrades!$P$12,K263)</f>
        <v/>
      </c>
      <c r="O263" s="28">
        <f>((IF(E263=0,0,(Upgrades!$M$6+E263*Upgrades!$N$6)*POWER(Upgrades!$O$6,E263)))*(IF(Upgrades!$T$7="Solar Wind",POWER(Upgrades!$U$7,F263),1)*IF(Upgrades!$T$8="Solar Wind",POWER(Upgrades!$U$8,G263),1)*IF(Upgrades!$T$9="Solar Wind",POWER(Upgrades!$U$9,H263),1)*IF(Upgrades!$T$10="Solar Wind",POWER(Upgrades!$U$10,I263),1)*IF(Upgrades!$T$11="Solar Wind",POWER(Upgrades!$U$11,J263),1)*IF(Upgrades!$T$12="Solar Wind",POWER(Upgrades!$U$12,K263),1))+(IF(F263=0,0,(Upgrades!$M$7+F263*Upgrades!$N$7)*POWER(Upgrades!$O$7,F263)))*(IF(Upgrades!$T$6="Asteroid Belt",POWER(Upgrades!$U$6,E263),1)*IF(Upgrades!$T$8="Asteroid Belt",POWER(Upgrades!$U$8,G263),1)*IF(Upgrades!$T$9="Asteroid Belt",POWER(Upgrades!$U$9,H263),1)*IF(Upgrades!$T$10="Asteroid Belt",POWER(Upgrades!$U$10,I263),1)*IF(Upgrades!$T$11="Asteroid Belt",POWER(Upgrades!$U$11,J263),1)*IF(Upgrades!$T$12="Asteroid Belt",POWER(Upgrades!$U$12,K263),1))+(IF(G263=0,0,(Upgrades!$M$8+G263*Upgrades!$N$8)*POWER(Upgrades!$O$8,G263)))*(IF(Upgrades!$T$6="Stellar Coupling",POWER(Upgrades!$U$6,E263),1)*IF(Upgrades!$T$7="Stellar Coupling",POWER(Upgrades!$U$7,F263),1)*IF(Upgrades!$T$9="Stellar Coupling",POWER(Upgrades!$U$9,H263),1)*IF(Upgrades!$T$10="Stellar Coupling",POWER(Upgrades!$U$10,I263),1)*IF(Upgrades!$T$11="Stellar Coupling",POWER(Upgrades!$U$11,J263),1)*IF(Upgrades!$T$12="Stellar Coupling",POWER(Upgrades!$U$12,K263),1))+(IF(H263=0,0,(Upgrades!$M$9+H263*Upgrades!$N$9)*POWER(Upgrades!$O$9,H263)))*(IF(Upgrades!$T$6="Magnetosphere",POWER(Upgrades!$U$6,E263),1)*IF(Upgrades!$T$7="Magnetosphere",POWER(Upgrades!$U$7,F263),1)*IF(Upgrades!$T$8="Magnetosphere",POWER(Upgrades!$U$8,G263),1)*IF(Upgrades!$T$10="Magnetosphere",POWER(Upgrades!$U$10,I263),1)*IF(Upgrades!$T$11="Magnetosphere",POWER(Upgrades!$U$11,J263),1)*IF(Upgrades!$T$12="Magnetosphere",POWER(Upgrades!$U$12,K263),1))+(IF(I263=0,0,(Upgrades!$M$10+I263*Upgrades!$N$10)*POWER(Upgrades!$O$10,I263)))*(IF(Upgrades!$T$6="Orbital Resonance",POWER(Upgrades!$U$6,E263),1)*IF(Upgrades!$T$7="Orbital Resonance",POWER(Upgrades!$U$7,F263),1)*IF(Upgrades!$T$8="Orbital Resonance",POWER(Upgrades!$U$8,G263),1)*IF(Upgrades!$T$9="Orbital Resonance",POWER(Upgrades!$U$9,H263),1)*IF(Upgrades!$T$11="Orbital Resonance",POWER(Upgrades!$U$11,J263),1)*IF(Upgrades!$T$12="Orbital Resonance",POWER(Upgrades!$U$12,K263),1))+(IF(J263=0,0,(Upgrades!$M$11+J263*Upgrades!$N$11)*POWER(Upgrades!$O$11,J263)))*(IF(Upgrades!$T$6="Heliopause",POWER(Upgrades!$U$6,E263),1)*IF(Upgrades!$T$7="Heliopause",POWER(Upgrades!$U$7,F263),1)*IF(Upgrades!$T$8="Heliopause",POWER(Upgrades!$U$8,G263),1)*IF(Upgrades!$T$9="Heliopause",POWER(Upgrades!$U$9,H263),1)*IF(Upgrades!$T$10="Heliopause",POWER(Upgrades!$U$10,I263),1)*IF(Upgrades!$T$12="Heliopause",POWER(Upgrades!$U$12,K263),1))+(IF(K263=0,0,(Upgrades!$M$12+K263*Upgrades!$N$12)*POWER(Upgrades!$O$12,K263)))*(IF(Upgrades!$T$6="First Photons",POWER(Upgrades!$U$6,E263),1)*IF(Upgrades!$T$7="First Photons",POWER(Upgrades!$U$7,F263),1)*IF(Upgrades!$T$8="First Photons",POWER(Upgrades!$U$8,G263),1)*IF(Upgrades!$T$9="First Photons",POWER(Upgrades!$U$9,H263),1)*IF(Upgrades!$T$10="First Photons",POWER(Upgrades!$U$10,I263),1)*IF(Upgrades!$T$11="First Photons",POWER(Upgrades!$U$11,J263),1)))*POWER(Upgrades!$R$6,E263)*POWER(Upgrades!$R$7,F263)*POWER(Upgrades!$R$8,G263)*POWER(Upgrades!$R$9,H263)*POWER(Upgrades!$R$10,I263)*POWER(Upgrades!$R$11,J263)*POWER(Upgrades!$R$12,K263)</f>
        <v/>
      </c>
      <c r="P263" s="27">
        <f>IF(L263=1,0,M263*Parameters!$B$10/60*Parameters!$B$11*10)</f>
        <v/>
      </c>
      <c r="Q263" s="27">
        <f>IF(L263=1,0,O263*M263*10)</f>
        <v/>
      </c>
      <c r="R263" s="27">
        <f>IF(L263=1,0,N263*10)</f>
        <v/>
      </c>
      <c r="S263" s="27">
        <f>P263+Q263+R263</f>
        <v/>
      </c>
      <c r="T263" s="22">
        <f>C263+S263</f>
        <v/>
      </c>
      <c r="U263" s="33">
        <f>AX263</f>
        <v/>
      </c>
      <c r="V263" s="22">
        <f>IF(U263="",0,IF(U263="transition",0,IF(U263="SW",AG263,IF(U263="AB",AH263,IF(U263="SC",AI263,IF(U263="Mag",AJ263,IF(U263="OR",AK263,IF(U263="HP",AL263,IF(U263="FP",AM263,0)))))))))</f>
        <v/>
      </c>
      <c r="W263" s="27">
        <f>IF(U263="OR",Upgrades!$F$10,IF(U263="HP",Upgrades!$F$11,IF(U263="transition",-Parameters!$B$18,0)))</f>
        <v/>
      </c>
      <c r="X263" s="22">
        <f>T263-V263</f>
        <v/>
      </c>
      <c r="Y263" s="30">
        <f>M263*Parameters!$B$10/60*Parameters!$B$11+O263*M263+N263</f>
        <v/>
      </c>
      <c r="Z263" s="34">
        <f>IF(U263="transition","→ Tier 2 (Stellar Neighborhood)",IF(U263="FP","First Photons — light begins, system quickens",IF(U263="HP","Heliopause acquired",IF(U263="OR","Orbital Resonance — passive multiplier active",IF(AND(AO263=1,L263=0,AN263&lt;&gt;1),"Cohesion ready (waiting on completionist upgrades)","")))))</f>
        <v/>
      </c>
      <c r="AA263" s="27">
        <f>(IF(E263=0,0,(Upgrades!$G$6+E263*Upgrades!$H$6)*POWER(Upgrades!$I$6,E263)))*(IF(Upgrades!$T$7="Solar Wind",POWER(Upgrades!$U$7,F263),1)*IF(Upgrades!$T$8="Solar Wind",POWER(Upgrades!$U$8,G263),1)*IF(Upgrades!$T$9="Solar Wind",POWER(Upgrades!$U$9,H263),1)*IF(Upgrades!$T$10="Solar Wind",POWER(Upgrades!$U$10,I263),1)*IF(Upgrades!$T$11="Solar Wind",POWER(Upgrades!$U$11,J263),1)*IF(Upgrades!$T$12="Solar Wind",POWER(Upgrades!$U$12,K263),1))*POWER(Upgrades!$P$6,E263)*POWER(Upgrades!$P$7,F263)*POWER(Upgrades!$P$8,G263)*POWER(Upgrades!$P$9,H263)*POWER(Upgrades!$P$10,I263)*POWER(Upgrades!$P$11,J263)*POWER(Upgrades!$P$12,K263)*60</f>
        <v/>
      </c>
      <c r="AB263" s="27">
        <f>(IF(F263=0,0,(Upgrades!$G$7+F263*Upgrades!$H$7)*POWER(Upgrades!$I$7,F263)))*(IF(Upgrades!$T$6="Asteroid Belt",POWER(Upgrades!$U$6,E263),1)*IF(Upgrades!$T$8="Asteroid Belt",POWER(Upgrades!$U$8,G263),1)*IF(Upgrades!$T$9="Asteroid Belt",POWER(Upgrades!$U$9,H263),1)*IF(Upgrades!$T$10="Asteroid Belt",POWER(Upgrades!$U$10,I263),1)*IF(Upgrades!$T$11="Asteroid Belt",POWER(Upgrades!$U$11,J263),1)*IF(Upgrades!$T$12="Asteroid Belt",POWER(Upgrades!$U$12,K263),1))*POWER(Upgrades!$P$6,E263)*POWER(Upgrades!$P$7,F263)*POWER(Upgrades!$P$8,G263)*POWER(Upgrades!$P$9,H263)*POWER(Upgrades!$P$10,I263)*POWER(Upgrades!$P$11,J263)*POWER(Upgrades!$P$12,K263)*60</f>
        <v/>
      </c>
      <c r="AC263" s="27">
        <f>(IF(G263=0,0,(Upgrades!$J$8+G263*Upgrades!$K$8)*POWER(Upgrades!$L$8,G263)))*(IF(Upgrades!$T$6="Stellar Coupling",POWER(Upgrades!$U$6,E263),1)*IF(Upgrades!$T$7="Stellar Coupling",POWER(Upgrades!$U$7,F263),1)*IF(Upgrades!$T$9="Stellar Coupling",POWER(Upgrades!$U$9,H263),1)*IF(Upgrades!$T$10="Stellar Coupling",POWER(Upgrades!$U$10,I263),1)*IF(Upgrades!$T$11="Stellar Coupling",POWER(Upgrades!$U$11,J263),1)*IF(Upgrades!$T$12="Stellar Coupling",POWER(Upgrades!$U$12,K263),1))*POWER(Upgrades!$Q$6,E263)*POWER(Upgrades!$Q$7,F263)*POWER(Upgrades!$Q$8,G263)*POWER(Upgrades!$Q$9,H263)*POWER(Upgrades!$Q$10,I263)*POWER(Upgrades!$Q$11,J263)*POWER(Upgrades!$Q$12,K263)*Parameters!$B$10*Parameters!$B$11</f>
        <v/>
      </c>
      <c r="AD263" s="27">
        <f>(IF(H263=0,0,(Upgrades!$G$9+H263*Upgrades!$H$9)*POWER(Upgrades!$I$9,H263)))*(IF(Upgrades!$T$6="Magnetosphere",POWER(Upgrades!$U$6,E263),1)*IF(Upgrades!$T$7="Magnetosphere",POWER(Upgrades!$U$7,F263),1)*IF(Upgrades!$T$8="Magnetosphere",POWER(Upgrades!$U$8,G263),1)*IF(Upgrades!$T$10="Magnetosphere",POWER(Upgrades!$U$10,I263),1)*IF(Upgrades!$T$11="Magnetosphere",POWER(Upgrades!$U$11,J263),1)*IF(Upgrades!$T$12="Magnetosphere",POWER(Upgrades!$U$12,K263),1))*POWER(Upgrades!$P$6,E263)*POWER(Upgrades!$P$7,F263)*POWER(Upgrades!$P$8,G263)*POWER(Upgrades!$P$9,H263)*POWER(Upgrades!$P$10,I263)*POWER(Upgrades!$P$11,J263)*POWER(Upgrades!$P$12,K263)*60</f>
        <v/>
      </c>
      <c r="AE263" s="27">
        <f>(IF(K263=0,0,(Upgrades!$G$12+K263*Upgrades!$H$12)*POWER(Upgrades!$I$12,K263)))*(IF(Upgrades!$T$6="First Photons",POWER(Upgrades!$U$6,E263),1)*IF(Upgrades!$T$7="First Photons",POWER(Upgrades!$U$7,F263),1)*IF(Upgrades!$T$8="First Photons",POWER(Upgrades!$U$8,G263),1)*IF(Upgrades!$T$9="First Photons",POWER(Upgrades!$U$9,H263),1)*IF(Upgrades!$T$10="First Photons",POWER(Upgrades!$U$10,I263),1)*IF(Upgrades!$T$11="First Photons",POWER(Upgrades!$U$11,J263),1))*POWER(Upgrades!$P$6,E263)*POWER(Upgrades!$P$7,F263)*POWER(Upgrades!$P$8,G263)*POWER(Upgrades!$P$9,H263)*POWER(Upgrades!$P$10,I263)*POWER(Upgrades!$P$11,J263)*POWER(Upgrades!$P$12,K263)*60</f>
        <v/>
      </c>
      <c r="AF263" s="27">
        <f>Parameters!$B$9*POWER(Upgrades!$Q$6,E263)*POWER(Upgrades!$Q$7,F263)*POWER(Upgrades!$Q$8,G263)*POWER(Upgrades!$Q$9,H263)*POWER(Upgrades!$Q$10,I263)*POWER(Upgrades!$Q$11,J263)*POWER(Upgrades!$Q$12,K263)*(Parameters!$B$10*Parameters!$B$11+O263*60)</f>
        <v/>
      </c>
      <c r="AG263" s="22">
        <f>IF(E263&gt;=Upgrades!$E$6,"",Upgrades!$C$6*POWER(Upgrades!$D$6,E263))</f>
        <v/>
      </c>
      <c r="AH263" s="22">
        <f>IF(F263&gt;=Upgrades!$E$7,"",Upgrades!$C$7*POWER(Upgrades!$D$7,F263))</f>
        <v/>
      </c>
      <c r="AI263" s="22">
        <f>IF(G263&gt;=Upgrades!$E$8,"",Upgrades!$C$8*POWER(Upgrades!$D$8,G263))</f>
        <v/>
      </c>
      <c r="AJ263" s="22">
        <f>IF(H263&gt;=Upgrades!$E$9,"",Upgrades!$C$9*POWER(Upgrades!$D$9,H263))</f>
        <v/>
      </c>
      <c r="AK263" s="22">
        <f>IF(I263&gt;=Upgrades!$E$10,"",Upgrades!$C$10*POWER(Upgrades!$D$10,I263))</f>
        <v/>
      </c>
      <c r="AL263" s="22">
        <f>IF(J263&gt;=Upgrades!$E$11,"",Upgrades!$C$11*POWER(Upgrades!$D$11,J263))</f>
        <v/>
      </c>
      <c r="AM263" s="22">
        <f>IF(K263&gt;=Upgrades!$E$12,"",Upgrades!$C$12*POWER(Upgrades!$D$12,K263))</f>
        <v/>
      </c>
      <c r="AN263" s="26">
        <f>IF(AND(D263&gt;=Parameters!$B$18,(H263&gt;=Upgrades!$E$9)*(K263&gt;=Upgrades!$E$12)=1,L263=0),1,"")</f>
        <v/>
      </c>
      <c r="AO263" s="26">
        <f>IF(AND(D263&gt;=Parameters!$B$18,L263=0),1,"")</f>
        <v/>
      </c>
      <c r="AP263" s="22">
        <f>MIN(IF(ISNUMBER(AK263),AK263,9E15),IF(ISNUMBER(AL263),AL263,9E15),IF(ISNUMBER(AM263),AM263,9E15))</f>
        <v/>
      </c>
      <c r="AQ263" s="22">
        <f>MIN(IF(ISNUMBER(AG263),AG263,9E15),IF(ISNUMBER(AH263),AH263,9E15),IF(ISNUMBER(AI263),AI263,9E15),IF(ISNUMBER(AJ263),AJ263,9E15))</f>
        <v/>
      </c>
      <c r="AR263" s="29">
        <f>IF(AW263&gt;Parameters!$B$21*(MAX(IF(AND(NOT(AND(AO263=1,AN263&lt;&gt;1)),ISNUMBER(AG263),AG263&lt;=T263),AS263,0),IF(AND(NOT(AND(AO263=1,AN263&lt;&gt;1)),ISNUMBER(AH263),AH263&lt;=T263),AT263,0),IF(AND(NOT(AND(AO263=1,AN263&lt;&gt;1)),ISNUMBER(AI263),AI263&lt;=T263),AU263,0),IF(AND(ISNUMBER(AJ263),AJ263&lt;=T263),AV263,0))),TRUE,FALSE)</f>
        <v/>
      </c>
      <c r="AS263" s="32">
        <f>IFERROR(Upgrades!$H$6*(POWER(Upgrades!$P$6,E263)*POWER(Upgrades!$P$7,F263)*POWER(Upgrades!$P$8,G263)*POWER(Upgrades!$P$9,H263)*POWER(Upgrades!$P$10,I263)*POWER(Upgrades!$P$11,J263)*POWER(Upgrades!$P$12,K263))*(IF(Upgrades!$T$7="Solar Wind",POWER(Upgrades!$U$7,F263),1)*IF(Upgrades!$T$8="Solar Wind",POWER(Upgrades!$U$8,G263),1)*IF(Upgrades!$T$9="Solar Wind",POWER(Upgrades!$U$9,H263),1)*IF(Upgrades!$T$10="Solar Wind",POWER(Upgrades!$U$10,I263),1)*IF(Upgrades!$T$11="Solar Wind",POWER(Upgrades!$U$11,J263),1)*IF(Upgrades!$T$12="Solar Wind",POWER(Upgrades!$U$12,K263),1))/AG263,0)</f>
        <v/>
      </c>
      <c r="AT263" s="32">
        <f>IFERROR(Upgrades!$H$7*(POWER(Upgrades!$P$6,E263)*POWER(Upgrades!$P$7,F263)*POWER(Upgrades!$P$8,G263)*POWER(Upgrades!$P$9,H263)*POWER(Upgrades!$P$10,I263)*POWER(Upgrades!$P$11,J263)*POWER(Upgrades!$P$12,K263))*(IF(Upgrades!$T$6="Asteroid Belt",POWER(Upgrades!$U$6,E263),1)*IF(Upgrades!$T$8="Asteroid Belt",POWER(Upgrades!$U$8,G263),1)*IF(Upgrades!$T$9="Asteroid Belt",POWER(Upgrades!$U$9,H263),1)*IF(Upgrades!$T$10="Asteroid Belt",POWER(Upgrades!$U$10,I263),1)*IF(Upgrades!$T$11="Asteroid Belt",POWER(Upgrades!$U$11,J263),1)*IF(Upgrades!$T$12="Asteroid Belt",POWER(Upgrades!$U$12,K263),1))/AH263,0)</f>
        <v/>
      </c>
      <c r="AU263" s="32">
        <f>IFERROR(Upgrades!$K$8*(POWER(Upgrades!$Q$6,E263)*POWER(Upgrades!$Q$7,F263)*POWER(Upgrades!$Q$8,G263)*POWER(Upgrades!$Q$9,H263)*POWER(Upgrades!$Q$10,I263)*POWER(Upgrades!$Q$11,J263)*POWER(Upgrades!$Q$12,K263))*(IF(Upgrades!$T$6="Stellar Coupling",POWER(Upgrades!$U$6,E263),1)*IF(Upgrades!$T$7="Stellar Coupling",POWER(Upgrades!$U$7,F263),1)*IF(Upgrades!$T$9="Stellar Coupling",POWER(Upgrades!$U$9,H263),1)*IF(Upgrades!$T$10="Stellar Coupling",POWER(Upgrades!$U$10,I263),1)*IF(Upgrades!$T$11="Stellar Coupling",POWER(Upgrades!$U$11,J263),1)*IF(Upgrades!$T$12="Stellar Coupling",POWER(Upgrades!$U$12,K263),1))*Parameters!$B$10*Parameters!$B$11/60/AI263,0)</f>
        <v/>
      </c>
      <c r="AV263" s="32">
        <f>IFERROR(Upgrades!$H$9*(POWER(Upgrades!$P$6,E263)*POWER(Upgrades!$P$7,F263)*POWER(Upgrades!$P$8,G263)*POWER(Upgrades!$P$9,H263)*POWER(Upgrades!$P$10,I263)*POWER(Upgrades!$P$11,J263)*POWER(Upgrades!$P$12,K263))*(IF(Upgrades!$T$6="Magnetosphere",POWER(Upgrades!$U$6,E263),1)*IF(Upgrades!$T$7="Magnetosphere",POWER(Upgrades!$U$7,F263),1)*IF(Upgrades!$T$8="Magnetosphere",POWER(Upgrades!$U$8,G263),1)*IF(Upgrades!$T$10="Magnetosphere",POWER(Upgrades!$U$10,I263),1)*IF(Upgrades!$T$11="Magnetosphere",POWER(Upgrades!$U$11,J263),1)*IF(Upgrades!$T$12="Magnetosphere",POWER(Upgrades!$U$12,K263),1))/AJ263,0)</f>
        <v/>
      </c>
      <c r="AW263" s="32">
        <f>MAX(IF(I263&gt;0,0,IFERROR(0.25*N263/Upgrades!$C$10,0)),IF(J263&gt;0,0,IFERROR(0.5*((IF(G263=0,0,(Upgrades!$J$8+G263*Upgrades!$K$8)*POWER(Upgrades!$L$8,G263)))*(IF(Upgrades!$T$6="Stellar Coupling",POWER(Upgrades!$U$6,E263),1)*IF(Upgrades!$T$7="Stellar Coupling",POWER(Upgrades!$U$7,F263),1)*IF(Upgrades!$T$9="Stellar Coupling",POWER(Upgrades!$U$9,H263),1)*IF(Upgrades!$T$10="Stellar Coupling",POWER(Upgrades!$U$10,I263),1)*IF(Upgrades!$T$11="Stellar Coupling",POWER(Upgrades!$U$11,J263),1)*IF(Upgrades!$T$12="Stellar Coupling",POWER(Upgrades!$U$12,K263),1))*(POWER(Upgrades!$Q$6,E263)*POWER(Upgrades!$Q$7,F263)*POWER(Upgrades!$Q$8,G263)*POWER(Upgrades!$Q$9,H263)*POWER(Upgrades!$Q$10,I263)*POWER(Upgrades!$Q$11,J263)*POWER(Upgrades!$Q$12,K263))*Parameters!$B$10*Parameters!$B$11/60)/Upgrades!$C$11,0)),IF(K263&gt;0,0,IFERROR((1.0*(POWER(Upgrades!$P$6,E263)*POWER(Upgrades!$P$7,F263)*POWER(Upgrades!$P$8,G263)*POWER(Upgrades!$P$9,H263)*POWER(Upgrades!$P$10,I263)*POWER(Upgrades!$P$11,J263)*POWER(Upgrades!$P$12,K263))+0.20*M263*Parameters!$B$10*Parameters!$B$11/60)/Upgrades!$C$12,0)),IF(AND(ISNUMBER(AG263),AG263&gt;T263),AS263,0),IF(AND(ISNUMBER(AH263),AH263&gt;T263),AT263,0),IF(AND(ISNUMBER(AI263),AI263&gt;T263),AU263,0),IF(AND(ISNUMBER(AJ263),AJ263&gt;T263),AV263,0))</f>
        <v/>
      </c>
      <c r="AX263" s="29">
        <f>IF(AN263=1,"transition",IF(MIN(IF(AND(I263=0,ISNUMBER(AK263),AK263&lt;=T263),AK263,9E15),IF(AND(J263=0,ISNUMBER(AL263),AL263&lt;=T263),AL263,9E15),IF(AND(K263=0,ISNUMBER(AM263),AM263&lt;=T263),AM263,9E15))&lt;9E15,IF(AND(AND(I263=0,ISNUMBER(AK263),AK263&lt;=T263),AK263=MIN(IF(AND(I263=0,ISNUMBER(AK263),AK263&lt;=T263),AK263,9E15),IF(AND(J263=0,ISNUMBER(AL263),AL263&lt;=T263),AL263,9E15),IF(AND(K263=0,ISNUMBER(AM263),AM263&lt;=T263),AM263,9E15))),"OR",IF(AND(AND(J263=0,ISNUMBER(AL263),AL263&lt;=T263),AL263=MIN(IF(AND(I263=0,ISNUMBER(AK263),AK263&lt;=T263),AK263,9E15),IF(AND(J263=0,ISNUMBER(AL263),AL263&lt;=T263),AL263,9E15),IF(AND(K263=0,ISNUMBER(AM263),AM263&lt;=T263),AM263,9E15))),"HP","FP")),IF(AR263=TRUE,"",IF(MAX(IF(AND(NOT(AND(AO263=1,AN263&lt;&gt;1)),ISNUMBER(AG263),AG263&lt;=T263),AS263,0),IF(AND(NOT(AND(AO263=1,AN263&lt;&gt;1)),ISNUMBER(AH263),AH263&lt;=T263),AT263,0),IF(AND(NOT(AND(AO263=1,AN263&lt;&gt;1)),ISNUMBER(AI263),AI263&lt;=T263),AU263,0),IF(AND(ISNUMBER(AJ263),AJ263&lt;=T263),AV263,0))&lt;=0,"",IF(AND(IF(AND(NOT(AND(AO263=1,AN263&lt;&gt;1)),ISNUMBER(AG263),AG263&lt;=T263),AS263,0)&gt;0,IF(AND(NOT(AND(AO263=1,AN263&lt;&gt;1)),ISNUMBER(AG263),AG263&lt;=T263),AS263,0)=MAX(IF(AND(NOT(AND(AO263=1,AN263&lt;&gt;1)),ISNUMBER(AG263),AG263&lt;=T263),AS263,0),IF(AND(NOT(AND(AO263=1,AN263&lt;&gt;1)),ISNUMBER(AH263),AH263&lt;=T263),AT263,0),IF(AND(NOT(AND(AO263=1,AN263&lt;&gt;1)),ISNUMBER(AI263),AI263&lt;=T263),AU263,0),IF(AND(ISNUMBER(AJ263),AJ263&lt;=T263),AV263,0))),"SW",IF(AND(IF(AND(NOT(AND(AO263=1,AN263&lt;&gt;1)),ISNUMBER(AH263),AH263&lt;=T263),AT263,0)&gt;0,IF(AND(NOT(AND(AO263=1,AN263&lt;&gt;1)),ISNUMBER(AH263),AH263&lt;=T263),AT263,0)=MAX(IF(AND(NOT(AND(AO263=1,AN263&lt;&gt;1)),ISNUMBER(AG263),AG263&lt;=T263),AS263,0),IF(AND(NOT(AND(AO263=1,AN263&lt;&gt;1)),ISNUMBER(AH263),AH263&lt;=T263),AT263,0),IF(AND(NOT(AND(AO263=1,AN263&lt;&gt;1)),ISNUMBER(AI263),AI263&lt;=T263),AU263,0),IF(AND(ISNUMBER(AJ263),AJ263&lt;=T263),AV263,0))),"AB",IF(AND(IF(AND(NOT(AND(AO263=1,AN263&lt;&gt;1)),ISNUMBER(AI263),AI263&lt;=T263),AU263,0)&gt;0,IF(AND(NOT(AND(AO263=1,AN263&lt;&gt;1)),ISNUMBER(AI263),AI263&lt;=T263),AU263,0)=MAX(IF(AND(NOT(AND(AO263=1,AN263&lt;&gt;1)),ISNUMBER(AG263),AG263&lt;=T263),AS263,0),IF(AND(NOT(AND(AO263=1,AN263&lt;&gt;1)),ISNUMBER(AH263),AH263&lt;=T263),AT263,0),IF(AND(NOT(AND(AO263=1,AN263&lt;&gt;1)),ISNUMBER(AI263),AI263&lt;=T263),AU263,0),IF(AND(ISNUMBER(AJ263),AJ263&lt;=T263),AV263,0))),"SC","Mag")))))))</f>
        <v/>
      </c>
    </row>
    <row r="264">
      <c r="A264" s="26" t="n">
        <v>259</v>
      </c>
      <c r="B264" s="27">
        <f>A264*10/60</f>
        <v/>
      </c>
      <c r="C264" s="22">
        <f>X263</f>
        <v/>
      </c>
      <c r="D264" s="27">
        <f>D263+W263</f>
        <v/>
      </c>
      <c r="E264" s="26">
        <f>E263+IF(U263="SW",1,0)</f>
        <v/>
      </c>
      <c r="F264" s="26">
        <f>F263+IF(U263="AB",1,0)</f>
        <v/>
      </c>
      <c r="G264" s="26">
        <f>G263+IF(U263="SC",1,0)</f>
        <v/>
      </c>
      <c r="H264" s="26">
        <f>H263+IF(U263="Mag",1,0)</f>
        <v/>
      </c>
      <c r="I264" s="26">
        <f>MAX(I263,IF(U263="OR",1,0))</f>
        <v/>
      </c>
      <c r="J264" s="26">
        <f>MAX(J263,IF(U263="HP",1,0))</f>
        <v/>
      </c>
      <c r="K264" s="26">
        <f>MAX(K263,IF(U263="FP",1,0))</f>
        <v/>
      </c>
      <c r="L264" s="26">
        <f>MAX(L263,IF(U263="transition",1,0))</f>
        <v/>
      </c>
      <c r="M264" s="28">
        <f>(Parameters!$B$9+(IF(E264=0,0,(Upgrades!$J$6+E264*Upgrades!$K$6)*POWER(Upgrades!$L$6,E264)))*(IF(Upgrades!$T$7="Solar Wind",POWER(Upgrades!$U$7,F264),1)*IF(Upgrades!$T$8="Solar Wind",POWER(Upgrades!$U$8,G264),1)*IF(Upgrades!$T$9="Solar Wind",POWER(Upgrades!$U$9,H264),1)*IF(Upgrades!$T$10="Solar Wind",POWER(Upgrades!$U$10,I264),1)*IF(Upgrades!$T$11="Solar Wind",POWER(Upgrades!$U$11,J264),1)*IF(Upgrades!$T$12="Solar Wind",POWER(Upgrades!$U$12,K264),1))+(IF(F264=0,0,(Upgrades!$J$7+F264*Upgrades!$K$7)*POWER(Upgrades!$L$7,F264)))*(IF(Upgrades!$T$6="Asteroid Belt",POWER(Upgrades!$U$6,E264),1)*IF(Upgrades!$T$8="Asteroid Belt",POWER(Upgrades!$U$8,G264),1)*IF(Upgrades!$T$9="Asteroid Belt",POWER(Upgrades!$U$9,H264),1)*IF(Upgrades!$T$10="Asteroid Belt",POWER(Upgrades!$U$10,I264),1)*IF(Upgrades!$T$11="Asteroid Belt",POWER(Upgrades!$U$11,J264),1)*IF(Upgrades!$T$12="Asteroid Belt",POWER(Upgrades!$U$12,K264),1))+(IF(G264=0,0,(Upgrades!$J$8+G264*Upgrades!$K$8)*POWER(Upgrades!$L$8,G264)))*(IF(Upgrades!$T$6="Stellar Coupling",POWER(Upgrades!$U$6,E264),1)*IF(Upgrades!$T$7="Stellar Coupling",POWER(Upgrades!$U$7,F264),1)*IF(Upgrades!$T$9="Stellar Coupling",POWER(Upgrades!$U$9,H264),1)*IF(Upgrades!$T$10="Stellar Coupling",POWER(Upgrades!$U$10,I264),1)*IF(Upgrades!$T$11="Stellar Coupling",POWER(Upgrades!$U$11,J264),1)*IF(Upgrades!$T$12="Stellar Coupling",POWER(Upgrades!$U$12,K264),1))+(IF(H264=0,0,(Upgrades!$J$9+H264*Upgrades!$K$9)*POWER(Upgrades!$L$9,H264)))*(IF(Upgrades!$T$6="Magnetosphere",POWER(Upgrades!$U$6,E264),1)*IF(Upgrades!$T$7="Magnetosphere",POWER(Upgrades!$U$7,F264),1)*IF(Upgrades!$T$8="Magnetosphere",POWER(Upgrades!$U$8,G264),1)*IF(Upgrades!$T$10="Magnetosphere",POWER(Upgrades!$U$10,I264),1)*IF(Upgrades!$T$11="Magnetosphere",POWER(Upgrades!$U$11,J264),1)*IF(Upgrades!$T$12="Magnetosphere",POWER(Upgrades!$U$12,K264),1))+(IF(I264=0,0,(Upgrades!$J$10+I264*Upgrades!$K$10)*POWER(Upgrades!$L$10,I264)))*(IF(Upgrades!$T$6="Orbital Resonance",POWER(Upgrades!$U$6,E264),1)*IF(Upgrades!$T$7="Orbital Resonance",POWER(Upgrades!$U$7,F264),1)*IF(Upgrades!$T$8="Orbital Resonance",POWER(Upgrades!$U$8,G264),1)*IF(Upgrades!$T$9="Orbital Resonance",POWER(Upgrades!$U$9,H264),1)*IF(Upgrades!$T$11="Orbital Resonance",POWER(Upgrades!$U$11,J264),1)*IF(Upgrades!$T$12="Orbital Resonance",POWER(Upgrades!$U$12,K264),1))+(IF(J264=0,0,(Upgrades!$J$11+J264*Upgrades!$K$11)*POWER(Upgrades!$L$11,J264)))*(IF(Upgrades!$T$6="Heliopause",POWER(Upgrades!$U$6,E264),1)*IF(Upgrades!$T$7="Heliopause",POWER(Upgrades!$U$7,F264),1)*IF(Upgrades!$T$8="Heliopause",POWER(Upgrades!$U$8,G264),1)*IF(Upgrades!$T$9="Heliopause",POWER(Upgrades!$U$9,H264),1)*IF(Upgrades!$T$10="Heliopause",POWER(Upgrades!$U$10,I264),1)*IF(Upgrades!$T$12="Heliopause",POWER(Upgrades!$U$12,K264),1))+(IF(K264=0,0,(Upgrades!$J$12+K264*Upgrades!$K$12)*POWER(Upgrades!$L$12,K264)))*(IF(Upgrades!$T$6="First Photons",POWER(Upgrades!$U$6,E264),1)*IF(Upgrades!$T$7="First Photons",POWER(Upgrades!$U$7,F264),1)*IF(Upgrades!$T$8="First Photons",POWER(Upgrades!$U$8,G264),1)*IF(Upgrades!$T$9="First Photons",POWER(Upgrades!$U$9,H264),1)*IF(Upgrades!$T$10="First Photons",POWER(Upgrades!$U$10,I264),1)*IF(Upgrades!$T$11="First Photons",POWER(Upgrades!$U$11,J264),1)))*POWER(Upgrades!$Q$6,E264)*POWER(Upgrades!$Q$7,F264)*POWER(Upgrades!$Q$8,G264)*POWER(Upgrades!$Q$9,H264)*POWER(Upgrades!$Q$10,I264)*POWER(Upgrades!$Q$11,J264)*POWER(Upgrades!$Q$12,K264)</f>
        <v/>
      </c>
      <c r="N264" s="28">
        <f>((IF(E264=0,0,(Upgrades!$G$6+E264*Upgrades!$H$6)*POWER(Upgrades!$I$6,E264)))*(IF(Upgrades!$T$7="Solar Wind",POWER(Upgrades!$U$7,F264),1)*IF(Upgrades!$T$8="Solar Wind",POWER(Upgrades!$U$8,G264),1)*IF(Upgrades!$T$9="Solar Wind",POWER(Upgrades!$U$9,H264),1)*IF(Upgrades!$T$10="Solar Wind",POWER(Upgrades!$U$10,I264),1)*IF(Upgrades!$T$11="Solar Wind",POWER(Upgrades!$U$11,J264),1)*IF(Upgrades!$T$12="Solar Wind",POWER(Upgrades!$U$12,K264),1))+(IF(F264=0,0,(Upgrades!$G$7+F264*Upgrades!$H$7)*POWER(Upgrades!$I$7,F264)))*(IF(Upgrades!$T$6="Asteroid Belt",POWER(Upgrades!$U$6,E264),1)*IF(Upgrades!$T$8="Asteroid Belt",POWER(Upgrades!$U$8,G264),1)*IF(Upgrades!$T$9="Asteroid Belt",POWER(Upgrades!$U$9,H264),1)*IF(Upgrades!$T$10="Asteroid Belt",POWER(Upgrades!$U$10,I264),1)*IF(Upgrades!$T$11="Asteroid Belt",POWER(Upgrades!$U$11,J264),1)*IF(Upgrades!$T$12="Asteroid Belt",POWER(Upgrades!$U$12,K264),1))+(IF(G264=0,0,(Upgrades!$G$8+G264*Upgrades!$H$8)*POWER(Upgrades!$I$8,G264)))*(IF(Upgrades!$T$6="Stellar Coupling",POWER(Upgrades!$U$6,E264),1)*IF(Upgrades!$T$7="Stellar Coupling",POWER(Upgrades!$U$7,F264),1)*IF(Upgrades!$T$9="Stellar Coupling",POWER(Upgrades!$U$9,H264),1)*IF(Upgrades!$T$10="Stellar Coupling",POWER(Upgrades!$U$10,I264),1)*IF(Upgrades!$T$11="Stellar Coupling",POWER(Upgrades!$U$11,J264),1)*IF(Upgrades!$T$12="Stellar Coupling",POWER(Upgrades!$U$12,K264),1))+(IF(H264=0,0,(Upgrades!$G$9+H264*Upgrades!$H$9)*POWER(Upgrades!$I$9,H264)))*(IF(Upgrades!$T$6="Magnetosphere",POWER(Upgrades!$U$6,E264),1)*IF(Upgrades!$T$7="Magnetosphere",POWER(Upgrades!$U$7,F264),1)*IF(Upgrades!$T$8="Magnetosphere",POWER(Upgrades!$U$8,G264),1)*IF(Upgrades!$T$10="Magnetosphere",POWER(Upgrades!$U$10,I264),1)*IF(Upgrades!$T$11="Magnetosphere",POWER(Upgrades!$U$11,J264),1)*IF(Upgrades!$T$12="Magnetosphere",POWER(Upgrades!$U$12,K264),1))+(IF(I264=0,0,(Upgrades!$G$10+I264*Upgrades!$H$10)*POWER(Upgrades!$I$10,I264)))*(IF(Upgrades!$T$6="Orbital Resonance",POWER(Upgrades!$U$6,E264),1)*IF(Upgrades!$T$7="Orbital Resonance",POWER(Upgrades!$U$7,F264),1)*IF(Upgrades!$T$8="Orbital Resonance",POWER(Upgrades!$U$8,G264),1)*IF(Upgrades!$T$9="Orbital Resonance",POWER(Upgrades!$U$9,H264),1)*IF(Upgrades!$T$11="Orbital Resonance",POWER(Upgrades!$U$11,J264),1)*IF(Upgrades!$T$12="Orbital Resonance",POWER(Upgrades!$U$12,K264),1))+(IF(J264=0,0,(Upgrades!$G$11+J264*Upgrades!$H$11)*POWER(Upgrades!$I$11,J264)))*(IF(Upgrades!$T$6="Heliopause",POWER(Upgrades!$U$6,E264),1)*IF(Upgrades!$T$7="Heliopause",POWER(Upgrades!$U$7,F264),1)*IF(Upgrades!$T$8="Heliopause",POWER(Upgrades!$U$8,G264),1)*IF(Upgrades!$T$9="Heliopause",POWER(Upgrades!$U$9,H264),1)*IF(Upgrades!$T$10="Heliopause",POWER(Upgrades!$U$10,I264),1)*IF(Upgrades!$T$12="Heliopause",POWER(Upgrades!$U$12,K264),1))+(IF(K264=0,0,(Upgrades!$G$12+K264*Upgrades!$H$12)*POWER(Upgrades!$I$12,K264)))*(IF(Upgrades!$T$6="First Photons",POWER(Upgrades!$U$6,E264),1)*IF(Upgrades!$T$7="First Photons",POWER(Upgrades!$U$7,F264),1)*IF(Upgrades!$T$8="First Photons",POWER(Upgrades!$U$8,G264),1)*IF(Upgrades!$T$9="First Photons",POWER(Upgrades!$U$9,H264),1)*IF(Upgrades!$T$10="First Photons",POWER(Upgrades!$U$10,I264),1)*IF(Upgrades!$T$11="First Photons",POWER(Upgrades!$U$11,J264),1)))*POWER(Upgrades!$P$6,E264)*POWER(Upgrades!$P$7,F264)*POWER(Upgrades!$P$8,G264)*POWER(Upgrades!$P$9,H264)*POWER(Upgrades!$P$10,I264)*POWER(Upgrades!$P$11,J264)*POWER(Upgrades!$P$12,K264)</f>
        <v/>
      </c>
      <c r="O264" s="28">
        <f>((IF(E264=0,0,(Upgrades!$M$6+E264*Upgrades!$N$6)*POWER(Upgrades!$O$6,E264)))*(IF(Upgrades!$T$7="Solar Wind",POWER(Upgrades!$U$7,F264),1)*IF(Upgrades!$T$8="Solar Wind",POWER(Upgrades!$U$8,G264),1)*IF(Upgrades!$T$9="Solar Wind",POWER(Upgrades!$U$9,H264),1)*IF(Upgrades!$T$10="Solar Wind",POWER(Upgrades!$U$10,I264),1)*IF(Upgrades!$T$11="Solar Wind",POWER(Upgrades!$U$11,J264),1)*IF(Upgrades!$T$12="Solar Wind",POWER(Upgrades!$U$12,K264),1))+(IF(F264=0,0,(Upgrades!$M$7+F264*Upgrades!$N$7)*POWER(Upgrades!$O$7,F264)))*(IF(Upgrades!$T$6="Asteroid Belt",POWER(Upgrades!$U$6,E264),1)*IF(Upgrades!$T$8="Asteroid Belt",POWER(Upgrades!$U$8,G264),1)*IF(Upgrades!$T$9="Asteroid Belt",POWER(Upgrades!$U$9,H264),1)*IF(Upgrades!$T$10="Asteroid Belt",POWER(Upgrades!$U$10,I264),1)*IF(Upgrades!$T$11="Asteroid Belt",POWER(Upgrades!$U$11,J264),1)*IF(Upgrades!$T$12="Asteroid Belt",POWER(Upgrades!$U$12,K264),1))+(IF(G264=0,0,(Upgrades!$M$8+G264*Upgrades!$N$8)*POWER(Upgrades!$O$8,G264)))*(IF(Upgrades!$T$6="Stellar Coupling",POWER(Upgrades!$U$6,E264),1)*IF(Upgrades!$T$7="Stellar Coupling",POWER(Upgrades!$U$7,F264),1)*IF(Upgrades!$T$9="Stellar Coupling",POWER(Upgrades!$U$9,H264),1)*IF(Upgrades!$T$10="Stellar Coupling",POWER(Upgrades!$U$10,I264),1)*IF(Upgrades!$T$11="Stellar Coupling",POWER(Upgrades!$U$11,J264),1)*IF(Upgrades!$T$12="Stellar Coupling",POWER(Upgrades!$U$12,K264),1))+(IF(H264=0,0,(Upgrades!$M$9+H264*Upgrades!$N$9)*POWER(Upgrades!$O$9,H264)))*(IF(Upgrades!$T$6="Magnetosphere",POWER(Upgrades!$U$6,E264),1)*IF(Upgrades!$T$7="Magnetosphere",POWER(Upgrades!$U$7,F264),1)*IF(Upgrades!$T$8="Magnetosphere",POWER(Upgrades!$U$8,G264),1)*IF(Upgrades!$T$10="Magnetosphere",POWER(Upgrades!$U$10,I264),1)*IF(Upgrades!$T$11="Magnetosphere",POWER(Upgrades!$U$11,J264),1)*IF(Upgrades!$T$12="Magnetosphere",POWER(Upgrades!$U$12,K264),1))+(IF(I264=0,0,(Upgrades!$M$10+I264*Upgrades!$N$10)*POWER(Upgrades!$O$10,I264)))*(IF(Upgrades!$T$6="Orbital Resonance",POWER(Upgrades!$U$6,E264),1)*IF(Upgrades!$T$7="Orbital Resonance",POWER(Upgrades!$U$7,F264),1)*IF(Upgrades!$T$8="Orbital Resonance",POWER(Upgrades!$U$8,G264),1)*IF(Upgrades!$T$9="Orbital Resonance",POWER(Upgrades!$U$9,H264),1)*IF(Upgrades!$T$11="Orbital Resonance",POWER(Upgrades!$U$11,J264),1)*IF(Upgrades!$T$12="Orbital Resonance",POWER(Upgrades!$U$12,K264),1))+(IF(J264=0,0,(Upgrades!$M$11+J264*Upgrades!$N$11)*POWER(Upgrades!$O$11,J264)))*(IF(Upgrades!$T$6="Heliopause",POWER(Upgrades!$U$6,E264),1)*IF(Upgrades!$T$7="Heliopause",POWER(Upgrades!$U$7,F264),1)*IF(Upgrades!$T$8="Heliopause",POWER(Upgrades!$U$8,G264),1)*IF(Upgrades!$T$9="Heliopause",POWER(Upgrades!$U$9,H264),1)*IF(Upgrades!$T$10="Heliopause",POWER(Upgrades!$U$10,I264),1)*IF(Upgrades!$T$12="Heliopause",POWER(Upgrades!$U$12,K264),1))+(IF(K264=0,0,(Upgrades!$M$12+K264*Upgrades!$N$12)*POWER(Upgrades!$O$12,K264)))*(IF(Upgrades!$T$6="First Photons",POWER(Upgrades!$U$6,E264),1)*IF(Upgrades!$T$7="First Photons",POWER(Upgrades!$U$7,F264),1)*IF(Upgrades!$T$8="First Photons",POWER(Upgrades!$U$8,G264),1)*IF(Upgrades!$T$9="First Photons",POWER(Upgrades!$U$9,H264),1)*IF(Upgrades!$T$10="First Photons",POWER(Upgrades!$U$10,I264),1)*IF(Upgrades!$T$11="First Photons",POWER(Upgrades!$U$11,J264),1)))*POWER(Upgrades!$R$6,E264)*POWER(Upgrades!$R$7,F264)*POWER(Upgrades!$R$8,G264)*POWER(Upgrades!$R$9,H264)*POWER(Upgrades!$R$10,I264)*POWER(Upgrades!$R$11,J264)*POWER(Upgrades!$R$12,K264)</f>
        <v/>
      </c>
      <c r="P264" s="27">
        <f>IF(L264=1,0,M264*Parameters!$B$10/60*Parameters!$B$11*10)</f>
        <v/>
      </c>
      <c r="Q264" s="27">
        <f>IF(L264=1,0,O264*M264*10)</f>
        <v/>
      </c>
      <c r="R264" s="27">
        <f>IF(L264=1,0,N264*10)</f>
        <v/>
      </c>
      <c r="S264" s="27">
        <f>P264+Q264+R264</f>
        <v/>
      </c>
      <c r="T264" s="22">
        <f>C264+S264</f>
        <v/>
      </c>
      <c r="U264" s="33">
        <f>AX264</f>
        <v/>
      </c>
      <c r="V264" s="22">
        <f>IF(U264="",0,IF(U264="transition",0,IF(U264="SW",AG264,IF(U264="AB",AH264,IF(U264="SC",AI264,IF(U264="Mag",AJ264,IF(U264="OR",AK264,IF(U264="HP",AL264,IF(U264="FP",AM264,0)))))))))</f>
        <v/>
      </c>
      <c r="W264" s="27">
        <f>IF(U264="OR",Upgrades!$F$10,IF(U264="HP",Upgrades!$F$11,IF(U264="transition",-Parameters!$B$18,0)))</f>
        <v/>
      </c>
      <c r="X264" s="22">
        <f>T264-V264</f>
        <v/>
      </c>
      <c r="Y264" s="30">
        <f>M264*Parameters!$B$10/60*Parameters!$B$11+O264*M264+N264</f>
        <v/>
      </c>
      <c r="Z264" s="34">
        <f>IF(U264="transition","→ Tier 2 (Stellar Neighborhood)",IF(U264="FP","First Photons — light begins, system quickens",IF(U264="HP","Heliopause acquired",IF(U264="OR","Orbital Resonance — passive multiplier active",IF(AND(AO264=1,L264=0,AN264&lt;&gt;1),"Cohesion ready (waiting on completionist upgrades)","")))))</f>
        <v/>
      </c>
      <c r="AA264" s="27">
        <f>(IF(E264=0,0,(Upgrades!$G$6+E264*Upgrades!$H$6)*POWER(Upgrades!$I$6,E264)))*(IF(Upgrades!$T$7="Solar Wind",POWER(Upgrades!$U$7,F264),1)*IF(Upgrades!$T$8="Solar Wind",POWER(Upgrades!$U$8,G264),1)*IF(Upgrades!$T$9="Solar Wind",POWER(Upgrades!$U$9,H264),1)*IF(Upgrades!$T$10="Solar Wind",POWER(Upgrades!$U$10,I264),1)*IF(Upgrades!$T$11="Solar Wind",POWER(Upgrades!$U$11,J264),1)*IF(Upgrades!$T$12="Solar Wind",POWER(Upgrades!$U$12,K264),1))*POWER(Upgrades!$P$6,E264)*POWER(Upgrades!$P$7,F264)*POWER(Upgrades!$P$8,G264)*POWER(Upgrades!$P$9,H264)*POWER(Upgrades!$P$10,I264)*POWER(Upgrades!$P$11,J264)*POWER(Upgrades!$P$12,K264)*60</f>
        <v/>
      </c>
      <c r="AB264" s="27">
        <f>(IF(F264=0,0,(Upgrades!$G$7+F264*Upgrades!$H$7)*POWER(Upgrades!$I$7,F264)))*(IF(Upgrades!$T$6="Asteroid Belt",POWER(Upgrades!$U$6,E264),1)*IF(Upgrades!$T$8="Asteroid Belt",POWER(Upgrades!$U$8,G264),1)*IF(Upgrades!$T$9="Asteroid Belt",POWER(Upgrades!$U$9,H264),1)*IF(Upgrades!$T$10="Asteroid Belt",POWER(Upgrades!$U$10,I264),1)*IF(Upgrades!$T$11="Asteroid Belt",POWER(Upgrades!$U$11,J264),1)*IF(Upgrades!$T$12="Asteroid Belt",POWER(Upgrades!$U$12,K264),1))*POWER(Upgrades!$P$6,E264)*POWER(Upgrades!$P$7,F264)*POWER(Upgrades!$P$8,G264)*POWER(Upgrades!$P$9,H264)*POWER(Upgrades!$P$10,I264)*POWER(Upgrades!$P$11,J264)*POWER(Upgrades!$P$12,K264)*60</f>
        <v/>
      </c>
      <c r="AC264" s="27">
        <f>(IF(G264=0,0,(Upgrades!$J$8+G264*Upgrades!$K$8)*POWER(Upgrades!$L$8,G264)))*(IF(Upgrades!$T$6="Stellar Coupling",POWER(Upgrades!$U$6,E264),1)*IF(Upgrades!$T$7="Stellar Coupling",POWER(Upgrades!$U$7,F264),1)*IF(Upgrades!$T$9="Stellar Coupling",POWER(Upgrades!$U$9,H264),1)*IF(Upgrades!$T$10="Stellar Coupling",POWER(Upgrades!$U$10,I264),1)*IF(Upgrades!$T$11="Stellar Coupling",POWER(Upgrades!$U$11,J264),1)*IF(Upgrades!$T$12="Stellar Coupling",POWER(Upgrades!$U$12,K264),1))*POWER(Upgrades!$Q$6,E264)*POWER(Upgrades!$Q$7,F264)*POWER(Upgrades!$Q$8,G264)*POWER(Upgrades!$Q$9,H264)*POWER(Upgrades!$Q$10,I264)*POWER(Upgrades!$Q$11,J264)*POWER(Upgrades!$Q$12,K264)*Parameters!$B$10*Parameters!$B$11</f>
        <v/>
      </c>
      <c r="AD264" s="27">
        <f>(IF(H264=0,0,(Upgrades!$G$9+H264*Upgrades!$H$9)*POWER(Upgrades!$I$9,H264)))*(IF(Upgrades!$T$6="Magnetosphere",POWER(Upgrades!$U$6,E264),1)*IF(Upgrades!$T$7="Magnetosphere",POWER(Upgrades!$U$7,F264),1)*IF(Upgrades!$T$8="Magnetosphere",POWER(Upgrades!$U$8,G264),1)*IF(Upgrades!$T$10="Magnetosphere",POWER(Upgrades!$U$10,I264),1)*IF(Upgrades!$T$11="Magnetosphere",POWER(Upgrades!$U$11,J264),1)*IF(Upgrades!$T$12="Magnetosphere",POWER(Upgrades!$U$12,K264),1))*POWER(Upgrades!$P$6,E264)*POWER(Upgrades!$P$7,F264)*POWER(Upgrades!$P$8,G264)*POWER(Upgrades!$P$9,H264)*POWER(Upgrades!$P$10,I264)*POWER(Upgrades!$P$11,J264)*POWER(Upgrades!$P$12,K264)*60</f>
        <v/>
      </c>
      <c r="AE264" s="27">
        <f>(IF(K264=0,0,(Upgrades!$G$12+K264*Upgrades!$H$12)*POWER(Upgrades!$I$12,K264)))*(IF(Upgrades!$T$6="First Photons",POWER(Upgrades!$U$6,E264),1)*IF(Upgrades!$T$7="First Photons",POWER(Upgrades!$U$7,F264),1)*IF(Upgrades!$T$8="First Photons",POWER(Upgrades!$U$8,G264),1)*IF(Upgrades!$T$9="First Photons",POWER(Upgrades!$U$9,H264),1)*IF(Upgrades!$T$10="First Photons",POWER(Upgrades!$U$10,I264),1)*IF(Upgrades!$T$11="First Photons",POWER(Upgrades!$U$11,J264),1))*POWER(Upgrades!$P$6,E264)*POWER(Upgrades!$P$7,F264)*POWER(Upgrades!$P$8,G264)*POWER(Upgrades!$P$9,H264)*POWER(Upgrades!$P$10,I264)*POWER(Upgrades!$P$11,J264)*POWER(Upgrades!$P$12,K264)*60</f>
        <v/>
      </c>
      <c r="AF264" s="27">
        <f>Parameters!$B$9*POWER(Upgrades!$Q$6,E264)*POWER(Upgrades!$Q$7,F264)*POWER(Upgrades!$Q$8,G264)*POWER(Upgrades!$Q$9,H264)*POWER(Upgrades!$Q$10,I264)*POWER(Upgrades!$Q$11,J264)*POWER(Upgrades!$Q$12,K264)*(Parameters!$B$10*Parameters!$B$11+O264*60)</f>
        <v/>
      </c>
      <c r="AG264" s="22">
        <f>IF(E264&gt;=Upgrades!$E$6,"",Upgrades!$C$6*POWER(Upgrades!$D$6,E264))</f>
        <v/>
      </c>
      <c r="AH264" s="22">
        <f>IF(F264&gt;=Upgrades!$E$7,"",Upgrades!$C$7*POWER(Upgrades!$D$7,F264))</f>
        <v/>
      </c>
      <c r="AI264" s="22">
        <f>IF(G264&gt;=Upgrades!$E$8,"",Upgrades!$C$8*POWER(Upgrades!$D$8,G264))</f>
        <v/>
      </c>
      <c r="AJ264" s="22">
        <f>IF(H264&gt;=Upgrades!$E$9,"",Upgrades!$C$9*POWER(Upgrades!$D$9,H264))</f>
        <v/>
      </c>
      <c r="AK264" s="22">
        <f>IF(I264&gt;=Upgrades!$E$10,"",Upgrades!$C$10*POWER(Upgrades!$D$10,I264))</f>
        <v/>
      </c>
      <c r="AL264" s="22">
        <f>IF(J264&gt;=Upgrades!$E$11,"",Upgrades!$C$11*POWER(Upgrades!$D$11,J264))</f>
        <v/>
      </c>
      <c r="AM264" s="22">
        <f>IF(K264&gt;=Upgrades!$E$12,"",Upgrades!$C$12*POWER(Upgrades!$D$12,K264))</f>
        <v/>
      </c>
      <c r="AN264" s="26">
        <f>IF(AND(D264&gt;=Parameters!$B$18,(H264&gt;=Upgrades!$E$9)*(K264&gt;=Upgrades!$E$12)=1,L264=0),1,"")</f>
        <v/>
      </c>
      <c r="AO264" s="26">
        <f>IF(AND(D264&gt;=Parameters!$B$18,L264=0),1,"")</f>
        <v/>
      </c>
      <c r="AP264" s="22">
        <f>MIN(IF(ISNUMBER(AK264),AK264,9E15),IF(ISNUMBER(AL264),AL264,9E15),IF(ISNUMBER(AM264),AM264,9E15))</f>
        <v/>
      </c>
      <c r="AQ264" s="22">
        <f>MIN(IF(ISNUMBER(AG264),AG264,9E15),IF(ISNUMBER(AH264),AH264,9E15),IF(ISNUMBER(AI264),AI264,9E15),IF(ISNUMBER(AJ264),AJ264,9E15))</f>
        <v/>
      </c>
      <c r="AR264" s="29">
        <f>IF(AW264&gt;Parameters!$B$21*(MAX(IF(AND(NOT(AND(AO264=1,AN264&lt;&gt;1)),ISNUMBER(AG264),AG264&lt;=T264),AS264,0),IF(AND(NOT(AND(AO264=1,AN264&lt;&gt;1)),ISNUMBER(AH264),AH264&lt;=T264),AT264,0),IF(AND(NOT(AND(AO264=1,AN264&lt;&gt;1)),ISNUMBER(AI264),AI264&lt;=T264),AU264,0),IF(AND(ISNUMBER(AJ264),AJ264&lt;=T264),AV264,0))),TRUE,FALSE)</f>
        <v/>
      </c>
      <c r="AS264" s="32">
        <f>IFERROR(Upgrades!$H$6*(POWER(Upgrades!$P$6,E264)*POWER(Upgrades!$P$7,F264)*POWER(Upgrades!$P$8,G264)*POWER(Upgrades!$P$9,H264)*POWER(Upgrades!$P$10,I264)*POWER(Upgrades!$P$11,J264)*POWER(Upgrades!$P$12,K264))*(IF(Upgrades!$T$7="Solar Wind",POWER(Upgrades!$U$7,F264),1)*IF(Upgrades!$T$8="Solar Wind",POWER(Upgrades!$U$8,G264),1)*IF(Upgrades!$T$9="Solar Wind",POWER(Upgrades!$U$9,H264),1)*IF(Upgrades!$T$10="Solar Wind",POWER(Upgrades!$U$10,I264),1)*IF(Upgrades!$T$11="Solar Wind",POWER(Upgrades!$U$11,J264),1)*IF(Upgrades!$T$12="Solar Wind",POWER(Upgrades!$U$12,K264),1))/AG264,0)</f>
        <v/>
      </c>
      <c r="AT264" s="32">
        <f>IFERROR(Upgrades!$H$7*(POWER(Upgrades!$P$6,E264)*POWER(Upgrades!$P$7,F264)*POWER(Upgrades!$P$8,G264)*POWER(Upgrades!$P$9,H264)*POWER(Upgrades!$P$10,I264)*POWER(Upgrades!$P$11,J264)*POWER(Upgrades!$P$12,K264))*(IF(Upgrades!$T$6="Asteroid Belt",POWER(Upgrades!$U$6,E264),1)*IF(Upgrades!$T$8="Asteroid Belt",POWER(Upgrades!$U$8,G264),1)*IF(Upgrades!$T$9="Asteroid Belt",POWER(Upgrades!$U$9,H264),1)*IF(Upgrades!$T$10="Asteroid Belt",POWER(Upgrades!$U$10,I264),1)*IF(Upgrades!$T$11="Asteroid Belt",POWER(Upgrades!$U$11,J264),1)*IF(Upgrades!$T$12="Asteroid Belt",POWER(Upgrades!$U$12,K264),1))/AH264,0)</f>
        <v/>
      </c>
      <c r="AU264" s="32">
        <f>IFERROR(Upgrades!$K$8*(POWER(Upgrades!$Q$6,E264)*POWER(Upgrades!$Q$7,F264)*POWER(Upgrades!$Q$8,G264)*POWER(Upgrades!$Q$9,H264)*POWER(Upgrades!$Q$10,I264)*POWER(Upgrades!$Q$11,J264)*POWER(Upgrades!$Q$12,K264))*(IF(Upgrades!$T$6="Stellar Coupling",POWER(Upgrades!$U$6,E264),1)*IF(Upgrades!$T$7="Stellar Coupling",POWER(Upgrades!$U$7,F264),1)*IF(Upgrades!$T$9="Stellar Coupling",POWER(Upgrades!$U$9,H264),1)*IF(Upgrades!$T$10="Stellar Coupling",POWER(Upgrades!$U$10,I264),1)*IF(Upgrades!$T$11="Stellar Coupling",POWER(Upgrades!$U$11,J264),1)*IF(Upgrades!$T$12="Stellar Coupling",POWER(Upgrades!$U$12,K264),1))*Parameters!$B$10*Parameters!$B$11/60/AI264,0)</f>
        <v/>
      </c>
      <c r="AV264" s="32">
        <f>IFERROR(Upgrades!$H$9*(POWER(Upgrades!$P$6,E264)*POWER(Upgrades!$P$7,F264)*POWER(Upgrades!$P$8,G264)*POWER(Upgrades!$P$9,H264)*POWER(Upgrades!$P$10,I264)*POWER(Upgrades!$P$11,J264)*POWER(Upgrades!$P$12,K264))*(IF(Upgrades!$T$6="Magnetosphere",POWER(Upgrades!$U$6,E264),1)*IF(Upgrades!$T$7="Magnetosphere",POWER(Upgrades!$U$7,F264),1)*IF(Upgrades!$T$8="Magnetosphere",POWER(Upgrades!$U$8,G264),1)*IF(Upgrades!$T$10="Magnetosphere",POWER(Upgrades!$U$10,I264),1)*IF(Upgrades!$T$11="Magnetosphere",POWER(Upgrades!$U$11,J264),1)*IF(Upgrades!$T$12="Magnetosphere",POWER(Upgrades!$U$12,K264),1))/AJ264,0)</f>
        <v/>
      </c>
      <c r="AW264" s="32">
        <f>MAX(IF(I264&gt;0,0,IFERROR(0.25*N264/Upgrades!$C$10,0)),IF(J264&gt;0,0,IFERROR(0.5*((IF(G264=0,0,(Upgrades!$J$8+G264*Upgrades!$K$8)*POWER(Upgrades!$L$8,G264)))*(IF(Upgrades!$T$6="Stellar Coupling",POWER(Upgrades!$U$6,E264),1)*IF(Upgrades!$T$7="Stellar Coupling",POWER(Upgrades!$U$7,F264),1)*IF(Upgrades!$T$9="Stellar Coupling",POWER(Upgrades!$U$9,H264),1)*IF(Upgrades!$T$10="Stellar Coupling",POWER(Upgrades!$U$10,I264),1)*IF(Upgrades!$T$11="Stellar Coupling",POWER(Upgrades!$U$11,J264),1)*IF(Upgrades!$T$12="Stellar Coupling",POWER(Upgrades!$U$12,K264),1))*(POWER(Upgrades!$Q$6,E264)*POWER(Upgrades!$Q$7,F264)*POWER(Upgrades!$Q$8,G264)*POWER(Upgrades!$Q$9,H264)*POWER(Upgrades!$Q$10,I264)*POWER(Upgrades!$Q$11,J264)*POWER(Upgrades!$Q$12,K264))*Parameters!$B$10*Parameters!$B$11/60)/Upgrades!$C$11,0)),IF(K264&gt;0,0,IFERROR((1.0*(POWER(Upgrades!$P$6,E264)*POWER(Upgrades!$P$7,F264)*POWER(Upgrades!$P$8,G264)*POWER(Upgrades!$P$9,H264)*POWER(Upgrades!$P$10,I264)*POWER(Upgrades!$P$11,J264)*POWER(Upgrades!$P$12,K264))+0.20*M264*Parameters!$B$10*Parameters!$B$11/60)/Upgrades!$C$12,0)),IF(AND(ISNUMBER(AG264),AG264&gt;T264),AS264,0),IF(AND(ISNUMBER(AH264),AH264&gt;T264),AT264,0),IF(AND(ISNUMBER(AI264),AI264&gt;T264),AU264,0),IF(AND(ISNUMBER(AJ264),AJ264&gt;T264),AV264,0))</f>
        <v/>
      </c>
      <c r="AX264" s="29">
        <f>IF(AN264=1,"transition",IF(MIN(IF(AND(I264=0,ISNUMBER(AK264),AK264&lt;=T264),AK264,9E15),IF(AND(J264=0,ISNUMBER(AL264),AL264&lt;=T264),AL264,9E15),IF(AND(K264=0,ISNUMBER(AM264),AM264&lt;=T264),AM264,9E15))&lt;9E15,IF(AND(AND(I264=0,ISNUMBER(AK264),AK264&lt;=T264),AK264=MIN(IF(AND(I264=0,ISNUMBER(AK264),AK264&lt;=T264),AK264,9E15),IF(AND(J264=0,ISNUMBER(AL264),AL264&lt;=T264),AL264,9E15),IF(AND(K264=0,ISNUMBER(AM264),AM264&lt;=T264),AM264,9E15))),"OR",IF(AND(AND(J264=0,ISNUMBER(AL264),AL264&lt;=T264),AL264=MIN(IF(AND(I264=0,ISNUMBER(AK264),AK264&lt;=T264),AK264,9E15),IF(AND(J264=0,ISNUMBER(AL264),AL264&lt;=T264),AL264,9E15),IF(AND(K264=0,ISNUMBER(AM264),AM264&lt;=T264),AM264,9E15))),"HP","FP")),IF(AR264=TRUE,"",IF(MAX(IF(AND(NOT(AND(AO264=1,AN264&lt;&gt;1)),ISNUMBER(AG264),AG264&lt;=T264),AS264,0),IF(AND(NOT(AND(AO264=1,AN264&lt;&gt;1)),ISNUMBER(AH264),AH264&lt;=T264),AT264,0),IF(AND(NOT(AND(AO264=1,AN264&lt;&gt;1)),ISNUMBER(AI264),AI264&lt;=T264),AU264,0),IF(AND(ISNUMBER(AJ264),AJ264&lt;=T264),AV264,0))&lt;=0,"",IF(AND(IF(AND(NOT(AND(AO264=1,AN264&lt;&gt;1)),ISNUMBER(AG264),AG264&lt;=T264),AS264,0)&gt;0,IF(AND(NOT(AND(AO264=1,AN264&lt;&gt;1)),ISNUMBER(AG264),AG264&lt;=T264),AS264,0)=MAX(IF(AND(NOT(AND(AO264=1,AN264&lt;&gt;1)),ISNUMBER(AG264),AG264&lt;=T264),AS264,0),IF(AND(NOT(AND(AO264=1,AN264&lt;&gt;1)),ISNUMBER(AH264),AH264&lt;=T264),AT264,0),IF(AND(NOT(AND(AO264=1,AN264&lt;&gt;1)),ISNUMBER(AI264),AI264&lt;=T264),AU264,0),IF(AND(ISNUMBER(AJ264),AJ264&lt;=T264),AV264,0))),"SW",IF(AND(IF(AND(NOT(AND(AO264=1,AN264&lt;&gt;1)),ISNUMBER(AH264),AH264&lt;=T264),AT264,0)&gt;0,IF(AND(NOT(AND(AO264=1,AN264&lt;&gt;1)),ISNUMBER(AH264),AH264&lt;=T264),AT264,0)=MAX(IF(AND(NOT(AND(AO264=1,AN264&lt;&gt;1)),ISNUMBER(AG264),AG264&lt;=T264),AS264,0),IF(AND(NOT(AND(AO264=1,AN264&lt;&gt;1)),ISNUMBER(AH264),AH264&lt;=T264),AT264,0),IF(AND(NOT(AND(AO264=1,AN264&lt;&gt;1)),ISNUMBER(AI264),AI264&lt;=T264),AU264,0),IF(AND(ISNUMBER(AJ264),AJ264&lt;=T264),AV264,0))),"AB",IF(AND(IF(AND(NOT(AND(AO264=1,AN264&lt;&gt;1)),ISNUMBER(AI264),AI264&lt;=T264),AU264,0)&gt;0,IF(AND(NOT(AND(AO264=1,AN264&lt;&gt;1)),ISNUMBER(AI264),AI264&lt;=T264),AU264,0)=MAX(IF(AND(NOT(AND(AO264=1,AN264&lt;&gt;1)),ISNUMBER(AG264),AG264&lt;=T264),AS264,0),IF(AND(NOT(AND(AO264=1,AN264&lt;&gt;1)),ISNUMBER(AH264),AH264&lt;=T264),AT264,0),IF(AND(NOT(AND(AO264=1,AN264&lt;&gt;1)),ISNUMBER(AI264),AI264&lt;=T264),AU264,0),IF(AND(ISNUMBER(AJ264),AJ264&lt;=T264),AV264,0))),"SC","Mag")))))))</f>
        <v/>
      </c>
    </row>
    <row r="265">
      <c r="A265" s="26" t="n">
        <v>260</v>
      </c>
      <c r="B265" s="27">
        <f>A265*10/60</f>
        <v/>
      </c>
      <c r="C265" s="22">
        <f>X264</f>
        <v/>
      </c>
      <c r="D265" s="27">
        <f>D264+W264</f>
        <v/>
      </c>
      <c r="E265" s="26">
        <f>E264+IF(U264="SW",1,0)</f>
        <v/>
      </c>
      <c r="F265" s="26">
        <f>F264+IF(U264="AB",1,0)</f>
        <v/>
      </c>
      <c r="G265" s="26">
        <f>G264+IF(U264="SC",1,0)</f>
        <v/>
      </c>
      <c r="H265" s="26">
        <f>H264+IF(U264="Mag",1,0)</f>
        <v/>
      </c>
      <c r="I265" s="26">
        <f>MAX(I264,IF(U264="OR",1,0))</f>
        <v/>
      </c>
      <c r="J265" s="26">
        <f>MAX(J264,IF(U264="HP",1,0))</f>
        <v/>
      </c>
      <c r="K265" s="26">
        <f>MAX(K264,IF(U264="FP",1,0))</f>
        <v/>
      </c>
      <c r="L265" s="26">
        <f>MAX(L264,IF(U264="transition",1,0))</f>
        <v/>
      </c>
      <c r="M265" s="28">
        <f>(Parameters!$B$9+(IF(E265=0,0,(Upgrades!$J$6+E265*Upgrades!$K$6)*POWER(Upgrades!$L$6,E265)))*(IF(Upgrades!$T$7="Solar Wind",POWER(Upgrades!$U$7,F265),1)*IF(Upgrades!$T$8="Solar Wind",POWER(Upgrades!$U$8,G265),1)*IF(Upgrades!$T$9="Solar Wind",POWER(Upgrades!$U$9,H265),1)*IF(Upgrades!$T$10="Solar Wind",POWER(Upgrades!$U$10,I265),1)*IF(Upgrades!$T$11="Solar Wind",POWER(Upgrades!$U$11,J265),1)*IF(Upgrades!$T$12="Solar Wind",POWER(Upgrades!$U$12,K265),1))+(IF(F265=0,0,(Upgrades!$J$7+F265*Upgrades!$K$7)*POWER(Upgrades!$L$7,F265)))*(IF(Upgrades!$T$6="Asteroid Belt",POWER(Upgrades!$U$6,E265),1)*IF(Upgrades!$T$8="Asteroid Belt",POWER(Upgrades!$U$8,G265),1)*IF(Upgrades!$T$9="Asteroid Belt",POWER(Upgrades!$U$9,H265),1)*IF(Upgrades!$T$10="Asteroid Belt",POWER(Upgrades!$U$10,I265),1)*IF(Upgrades!$T$11="Asteroid Belt",POWER(Upgrades!$U$11,J265),1)*IF(Upgrades!$T$12="Asteroid Belt",POWER(Upgrades!$U$12,K265),1))+(IF(G265=0,0,(Upgrades!$J$8+G265*Upgrades!$K$8)*POWER(Upgrades!$L$8,G265)))*(IF(Upgrades!$T$6="Stellar Coupling",POWER(Upgrades!$U$6,E265),1)*IF(Upgrades!$T$7="Stellar Coupling",POWER(Upgrades!$U$7,F265),1)*IF(Upgrades!$T$9="Stellar Coupling",POWER(Upgrades!$U$9,H265),1)*IF(Upgrades!$T$10="Stellar Coupling",POWER(Upgrades!$U$10,I265),1)*IF(Upgrades!$T$11="Stellar Coupling",POWER(Upgrades!$U$11,J265),1)*IF(Upgrades!$T$12="Stellar Coupling",POWER(Upgrades!$U$12,K265),1))+(IF(H265=0,0,(Upgrades!$J$9+H265*Upgrades!$K$9)*POWER(Upgrades!$L$9,H265)))*(IF(Upgrades!$T$6="Magnetosphere",POWER(Upgrades!$U$6,E265),1)*IF(Upgrades!$T$7="Magnetosphere",POWER(Upgrades!$U$7,F265),1)*IF(Upgrades!$T$8="Magnetosphere",POWER(Upgrades!$U$8,G265),1)*IF(Upgrades!$T$10="Magnetosphere",POWER(Upgrades!$U$10,I265),1)*IF(Upgrades!$T$11="Magnetosphere",POWER(Upgrades!$U$11,J265),1)*IF(Upgrades!$T$12="Magnetosphere",POWER(Upgrades!$U$12,K265),1))+(IF(I265=0,0,(Upgrades!$J$10+I265*Upgrades!$K$10)*POWER(Upgrades!$L$10,I265)))*(IF(Upgrades!$T$6="Orbital Resonance",POWER(Upgrades!$U$6,E265),1)*IF(Upgrades!$T$7="Orbital Resonance",POWER(Upgrades!$U$7,F265),1)*IF(Upgrades!$T$8="Orbital Resonance",POWER(Upgrades!$U$8,G265),1)*IF(Upgrades!$T$9="Orbital Resonance",POWER(Upgrades!$U$9,H265),1)*IF(Upgrades!$T$11="Orbital Resonance",POWER(Upgrades!$U$11,J265),1)*IF(Upgrades!$T$12="Orbital Resonance",POWER(Upgrades!$U$12,K265),1))+(IF(J265=0,0,(Upgrades!$J$11+J265*Upgrades!$K$11)*POWER(Upgrades!$L$11,J265)))*(IF(Upgrades!$T$6="Heliopause",POWER(Upgrades!$U$6,E265),1)*IF(Upgrades!$T$7="Heliopause",POWER(Upgrades!$U$7,F265),1)*IF(Upgrades!$T$8="Heliopause",POWER(Upgrades!$U$8,G265),1)*IF(Upgrades!$T$9="Heliopause",POWER(Upgrades!$U$9,H265),1)*IF(Upgrades!$T$10="Heliopause",POWER(Upgrades!$U$10,I265),1)*IF(Upgrades!$T$12="Heliopause",POWER(Upgrades!$U$12,K265),1))+(IF(K265=0,0,(Upgrades!$J$12+K265*Upgrades!$K$12)*POWER(Upgrades!$L$12,K265)))*(IF(Upgrades!$T$6="First Photons",POWER(Upgrades!$U$6,E265),1)*IF(Upgrades!$T$7="First Photons",POWER(Upgrades!$U$7,F265),1)*IF(Upgrades!$T$8="First Photons",POWER(Upgrades!$U$8,G265),1)*IF(Upgrades!$T$9="First Photons",POWER(Upgrades!$U$9,H265),1)*IF(Upgrades!$T$10="First Photons",POWER(Upgrades!$U$10,I265),1)*IF(Upgrades!$T$11="First Photons",POWER(Upgrades!$U$11,J265),1)))*POWER(Upgrades!$Q$6,E265)*POWER(Upgrades!$Q$7,F265)*POWER(Upgrades!$Q$8,G265)*POWER(Upgrades!$Q$9,H265)*POWER(Upgrades!$Q$10,I265)*POWER(Upgrades!$Q$11,J265)*POWER(Upgrades!$Q$12,K265)</f>
        <v/>
      </c>
      <c r="N265" s="28">
        <f>((IF(E265=0,0,(Upgrades!$G$6+E265*Upgrades!$H$6)*POWER(Upgrades!$I$6,E265)))*(IF(Upgrades!$T$7="Solar Wind",POWER(Upgrades!$U$7,F265),1)*IF(Upgrades!$T$8="Solar Wind",POWER(Upgrades!$U$8,G265),1)*IF(Upgrades!$T$9="Solar Wind",POWER(Upgrades!$U$9,H265),1)*IF(Upgrades!$T$10="Solar Wind",POWER(Upgrades!$U$10,I265),1)*IF(Upgrades!$T$11="Solar Wind",POWER(Upgrades!$U$11,J265),1)*IF(Upgrades!$T$12="Solar Wind",POWER(Upgrades!$U$12,K265),1))+(IF(F265=0,0,(Upgrades!$G$7+F265*Upgrades!$H$7)*POWER(Upgrades!$I$7,F265)))*(IF(Upgrades!$T$6="Asteroid Belt",POWER(Upgrades!$U$6,E265),1)*IF(Upgrades!$T$8="Asteroid Belt",POWER(Upgrades!$U$8,G265),1)*IF(Upgrades!$T$9="Asteroid Belt",POWER(Upgrades!$U$9,H265),1)*IF(Upgrades!$T$10="Asteroid Belt",POWER(Upgrades!$U$10,I265),1)*IF(Upgrades!$T$11="Asteroid Belt",POWER(Upgrades!$U$11,J265),1)*IF(Upgrades!$T$12="Asteroid Belt",POWER(Upgrades!$U$12,K265),1))+(IF(G265=0,0,(Upgrades!$G$8+G265*Upgrades!$H$8)*POWER(Upgrades!$I$8,G265)))*(IF(Upgrades!$T$6="Stellar Coupling",POWER(Upgrades!$U$6,E265),1)*IF(Upgrades!$T$7="Stellar Coupling",POWER(Upgrades!$U$7,F265),1)*IF(Upgrades!$T$9="Stellar Coupling",POWER(Upgrades!$U$9,H265),1)*IF(Upgrades!$T$10="Stellar Coupling",POWER(Upgrades!$U$10,I265),1)*IF(Upgrades!$T$11="Stellar Coupling",POWER(Upgrades!$U$11,J265),1)*IF(Upgrades!$T$12="Stellar Coupling",POWER(Upgrades!$U$12,K265),1))+(IF(H265=0,0,(Upgrades!$G$9+H265*Upgrades!$H$9)*POWER(Upgrades!$I$9,H265)))*(IF(Upgrades!$T$6="Magnetosphere",POWER(Upgrades!$U$6,E265),1)*IF(Upgrades!$T$7="Magnetosphere",POWER(Upgrades!$U$7,F265),1)*IF(Upgrades!$T$8="Magnetosphere",POWER(Upgrades!$U$8,G265),1)*IF(Upgrades!$T$10="Magnetosphere",POWER(Upgrades!$U$10,I265),1)*IF(Upgrades!$T$11="Magnetosphere",POWER(Upgrades!$U$11,J265),1)*IF(Upgrades!$T$12="Magnetosphere",POWER(Upgrades!$U$12,K265),1))+(IF(I265=0,0,(Upgrades!$G$10+I265*Upgrades!$H$10)*POWER(Upgrades!$I$10,I265)))*(IF(Upgrades!$T$6="Orbital Resonance",POWER(Upgrades!$U$6,E265),1)*IF(Upgrades!$T$7="Orbital Resonance",POWER(Upgrades!$U$7,F265),1)*IF(Upgrades!$T$8="Orbital Resonance",POWER(Upgrades!$U$8,G265),1)*IF(Upgrades!$T$9="Orbital Resonance",POWER(Upgrades!$U$9,H265),1)*IF(Upgrades!$T$11="Orbital Resonance",POWER(Upgrades!$U$11,J265),1)*IF(Upgrades!$T$12="Orbital Resonance",POWER(Upgrades!$U$12,K265),1))+(IF(J265=0,0,(Upgrades!$G$11+J265*Upgrades!$H$11)*POWER(Upgrades!$I$11,J265)))*(IF(Upgrades!$T$6="Heliopause",POWER(Upgrades!$U$6,E265),1)*IF(Upgrades!$T$7="Heliopause",POWER(Upgrades!$U$7,F265),1)*IF(Upgrades!$T$8="Heliopause",POWER(Upgrades!$U$8,G265),1)*IF(Upgrades!$T$9="Heliopause",POWER(Upgrades!$U$9,H265),1)*IF(Upgrades!$T$10="Heliopause",POWER(Upgrades!$U$10,I265),1)*IF(Upgrades!$T$12="Heliopause",POWER(Upgrades!$U$12,K265),1))+(IF(K265=0,0,(Upgrades!$G$12+K265*Upgrades!$H$12)*POWER(Upgrades!$I$12,K265)))*(IF(Upgrades!$T$6="First Photons",POWER(Upgrades!$U$6,E265),1)*IF(Upgrades!$T$7="First Photons",POWER(Upgrades!$U$7,F265),1)*IF(Upgrades!$T$8="First Photons",POWER(Upgrades!$U$8,G265),1)*IF(Upgrades!$T$9="First Photons",POWER(Upgrades!$U$9,H265),1)*IF(Upgrades!$T$10="First Photons",POWER(Upgrades!$U$10,I265),1)*IF(Upgrades!$T$11="First Photons",POWER(Upgrades!$U$11,J265),1)))*POWER(Upgrades!$P$6,E265)*POWER(Upgrades!$P$7,F265)*POWER(Upgrades!$P$8,G265)*POWER(Upgrades!$P$9,H265)*POWER(Upgrades!$P$10,I265)*POWER(Upgrades!$P$11,J265)*POWER(Upgrades!$P$12,K265)</f>
        <v/>
      </c>
      <c r="O265" s="28">
        <f>((IF(E265=0,0,(Upgrades!$M$6+E265*Upgrades!$N$6)*POWER(Upgrades!$O$6,E265)))*(IF(Upgrades!$T$7="Solar Wind",POWER(Upgrades!$U$7,F265),1)*IF(Upgrades!$T$8="Solar Wind",POWER(Upgrades!$U$8,G265),1)*IF(Upgrades!$T$9="Solar Wind",POWER(Upgrades!$U$9,H265),1)*IF(Upgrades!$T$10="Solar Wind",POWER(Upgrades!$U$10,I265),1)*IF(Upgrades!$T$11="Solar Wind",POWER(Upgrades!$U$11,J265),1)*IF(Upgrades!$T$12="Solar Wind",POWER(Upgrades!$U$12,K265),1))+(IF(F265=0,0,(Upgrades!$M$7+F265*Upgrades!$N$7)*POWER(Upgrades!$O$7,F265)))*(IF(Upgrades!$T$6="Asteroid Belt",POWER(Upgrades!$U$6,E265),1)*IF(Upgrades!$T$8="Asteroid Belt",POWER(Upgrades!$U$8,G265),1)*IF(Upgrades!$T$9="Asteroid Belt",POWER(Upgrades!$U$9,H265),1)*IF(Upgrades!$T$10="Asteroid Belt",POWER(Upgrades!$U$10,I265),1)*IF(Upgrades!$T$11="Asteroid Belt",POWER(Upgrades!$U$11,J265),1)*IF(Upgrades!$T$12="Asteroid Belt",POWER(Upgrades!$U$12,K265),1))+(IF(G265=0,0,(Upgrades!$M$8+G265*Upgrades!$N$8)*POWER(Upgrades!$O$8,G265)))*(IF(Upgrades!$T$6="Stellar Coupling",POWER(Upgrades!$U$6,E265),1)*IF(Upgrades!$T$7="Stellar Coupling",POWER(Upgrades!$U$7,F265),1)*IF(Upgrades!$T$9="Stellar Coupling",POWER(Upgrades!$U$9,H265),1)*IF(Upgrades!$T$10="Stellar Coupling",POWER(Upgrades!$U$10,I265),1)*IF(Upgrades!$T$11="Stellar Coupling",POWER(Upgrades!$U$11,J265),1)*IF(Upgrades!$T$12="Stellar Coupling",POWER(Upgrades!$U$12,K265),1))+(IF(H265=0,0,(Upgrades!$M$9+H265*Upgrades!$N$9)*POWER(Upgrades!$O$9,H265)))*(IF(Upgrades!$T$6="Magnetosphere",POWER(Upgrades!$U$6,E265),1)*IF(Upgrades!$T$7="Magnetosphere",POWER(Upgrades!$U$7,F265),1)*IF(Upgrades!$T$8="Magnetosphere",POWER(Upgrades!$U$8,G265),1)*IF(Upgrades!$T$10="Magnetosphere",POWER(Upgrades!$U$10,I265),1)*IF(Upgrades!$T$11="Magnetosphere",POWER(Upgrades!$U$11,J265),1)*IF(Upgrades!$T$12="Magnetosphere",POWER(Upgrades!$U$12,K265),1))+(IF(I265=0,0,(Upgrades!$M$10+I265*Upgrades!$N$10)*POWER(Upgrades!$O$10,I265)))*(IF(Upgrades!$T$6="Orbital Resonance",POWER(Upgrades!$U$6,E265),1)*IF(Upgrades!$T$7="Orbital Resonance",POWER(Upgrades!$U$7,F265),1)*IF(Upgrades!$T$8="Orbital Resonance",POWER(Upgrades!$U$8,G265),1)*IF(Upgrades!$T$9="Orbital Resonance",POWER(Upgrades!$U$9,H265),1)*IF(Upgrades!$T$11="Orbital Resonance",POWER(Upgrades!$U$11,J265),1)*IF(Upgrades!$T$12="Orbital Resonance",POWER(Upgrades!$U$12,K265),1))+(IF(J265=0,0,(Upgrades!$M$11+J265*Upgrades!$N$11)*POWER(Upgrades!$O$11,J265)))*(IF(Upgrades!$T$6="Heliopause",POWER(Upgrades!$U$6,E265),1)*IF(Upgrades!$T$7="Heliopause",POWER(Upgrades!$U$7,F265),1)*IF(Upgrades!$T$8="Heliopause",POWER(Upgrades!$U$8,G265),1)*IF(Upgrades!$T$9="Heliopause",POWER(Upgrades!$U$9,H265),1)*IF(Upgrades!$T$10="Heliopause",POWER(Upgrades!$U$10,I265),1)*IF(Upgrades!$T$12="Heliopause",POWER(Upgrades!$U$12,K265),1))+(IF(K265=0,0,(Upgrades!$M$12+K265*Upgrades!$N$12)*POWER(Upgrades!$O$12,K265)))*(IF(Upgrades!$T$6="First Photons",POWER(Upgrades!$U$6,E265),1)*IF(Upgrades!$T$7="First Photons",POWER(Upgrades!$U$7,F265),1)*IF(Upgrades!$T$8="First Photons",POWER(Upgrades!$U$8,G265),1)*IF(Upgrades!$T$9="First Photons",POWER(Upgrades!$U$9,H265),1)*IF(Upgrades!$T$10="First Photons",POWER(Upgrades!$U$10,I265),1)*IF(Upgrades!$T$11="First Photons",POWER(Upgrades!$U$11,J265),1)))*POWER(Upgrades!$R$6,E265)*POWER(Upgrades!$R$7,F265)*POWER(Upgrades!$R$8,G265)*POWER(Upgrades!$R$9,H265)*POWER(Upgrades!$R$10,I265)*POWER(Upgrades!$R$11,J265)*POWER(Upgrades!$R$12,K265)</f>
        <v/>
      </c>
      <c r="P265" s="27">
        <f>IF(L265=1,0,M265*Parameters!$B$10/60*Parameters!$B$11*10)</f>
        <v/>
      </c>
      <c r="Q265" s="27">
        <f>IF(L265=1,0,O265*M265*10)</f>
        <v/>
      </c>
      <c r="R265" s="27">
        <f>IF(L265=1,0,N265*10)</f>
        <v/>
      </c>
      <c r="S265" s="27">
        <f>P265+Q265+R265</f>
        <v/>
      </c>
      <c r="T265" s="22">
        <f>C265+S265</f>
        <v/>
      </c>
      <c r="U265" s="33">
        <f>AX265</f>
        <v/>
      </c>
      <c r="V265" s="22">
        <f>IF(U265="",0,IF(U265="transition",0,IF(U265="SW",AG265,IF(U265="AB",AH265,IF(U265="SC",AI265,IF(U265="Mag",AJ265,IF(U265="OR",AK265,IF(U265="HP",AL265,IF(U265="FP",AM265,0)))))))))</f>
        <v/>
      </c>
      <c r="W265" s="27">
        <f>IF(U265="OR",Upgrades!$F$10,IF(U265="HP",Upgrades!$F$11,IF(U265="transition",-Parameters!$B$18,0)))</f>
        <v/>
      </c>
      <c r="X265" s="22">
        <f>T265-V265</f>
        <v/>
      </c>
      <c r="Y265" s="30">
        <f>M265*Parameters!$B$10/60*Parameters!$B$11+O265*M265+N265</f>
        <v/>
      </c>
      <c r="Z265" s="34">
        <f>IF(U265="transition","→ Tier 2 (Stellar Neighborhood)",IF(U265="FP","First Photons — light begins, system quickens",IF(U265="HP","Heliopause acquired",IF(U265="OR","Orbital Resonance — passive multiplier active",IF(AND(AO265=1,L265=0,AN265&lt;&gt;1),"Cohesion ready (waiting on completionist upgrades)","")))))</f>
        <v/>
      </c>
      <c r="AA265" s="27">
        <f>(IF(E265=0,0,(Upgrades!$G$6+E265*Upgrades!$H$6)*POWER(Upgrades!$I$6,E265)))*(IF(Upgrades!$T$7="Solar Wind",POWER(Upgrades!$U$7,F265),1)*IF(Upgrades!$T$8="Solar Wind",POWER(Upgrades!$U$8,G265),1)*IF(Upgrades!$T$9="Solar Wind",POWER(Upgrades!$U$9,H265),1)*IF(Upgrades!$T$10="Solar Wind",POWER(Upgrades!$U$10,I265),1)*IF(Upgrades!$T$11="Solar Wind",POWER(Upgrades!$U$11,J265),1)*IF(Upgrades!$T$12="Solar Wind",POWER(Upgrades!$U$12,K265),1))*POWER(Upgrades!$P$6,E265)*POWER(Upgrades!$P$7,F265)*POWER(Upgrades!$P$8,G265)*POWER(Upgrades!$P$9,H265)*POWER(Upgrades!$P$10,I265)*POWER(Upgrades!$P$11,J265)*POWER(Upgrades!$P$12,K265)*60</f>
        <v/>
      </c>
      <c r="AB265" s="27">
        <f>(IF(F265=0,0,(Upgrades!$G$7+F265*Upgrades!$H$7)*POWER(Upgrades!$I$7,F265)))*(IF(Upgrades!$T$6="Asteroid Belt",POWER(Upgrades!$U$6,E265),1)*IF(Upgrades!$T$8="Asteroid Belt",POWER(Upgrades!$U$8,G265),1)*IF(Upgrades!$T$9="Asteroid Belt",POWER(Upgrades!$U$9,H265),1)*IF(Upgrades!$T$10="Asteroid Belt",POWER(Upgrades!$U$10,I265),1)*IF(Upgrades!$T$11="Asteroid Belt",POWER(Upgrades!$U$11,J265),1)*IF(Upgrades!$T$12="Asteroid Belt",POWER(Upgrades!$U$12,K265),1))*POWER(Upgrades!$P$6,E265)*POWER(Upgrades!$P$7,F265)*POWER(Upgrades!$P$8,G265)*POWER(Upgrades!$P$9,H265)*POWER(Upgrades!$P$10,I265)*POWER(Upgrades!$P$11,J265)*POWER(Upgrades!$P$12,K265)*60</f>
        <v/>
      </c>
      <c r="AC265" s="27">
        <f>(IF(G265=0,0,(Upgrades!$J$8+G265*Upgrades!$K$8)*POWER(Upgrades!$L$8,G265)))*(IF(Upgrades!$T$6="Stellar Coupling",POWER(Upgrades!$U$6,E265),1)*IF(Upgrades!$T$7="Stellar Coupling",POWER(Upgrades!$U$7,F265),1)*IF(Upgrades!$T$9="Stellar Coupling",POWER(Upgrades!$U$9,H265),1)*IF(Upgrades!$T$10="Stellar Coupling",POWER(Upgrades!$U$10,I265),1)*IF(Upgrades!$T$11="Stellar Coupling",POWER(Upgrades!$U$11,J265),1)*IF(Upgrades!$T$12="Stellar Coupling",POWER(Upgrades!$U$12,K265),1))*POWER(Upgrades!$Q$6,E265)*POWER(Upgrades!$Q$7,F265)*POWER(Upgrades!$Q$8,G265)*POWER(Upgrades!$Q$9,H265)*POWER(Upgrades!$Q$10,I265)*POWER(Upgrades!$Q$11,J265)*POWER(Upgrades!$Q$12,K265)*Parameters!$B$10*Parameters!$B$11</f>
        <v/>
      </c>
      <c r="AD265" s="27">
        <f>(IF(H265=0,0,(Upgrades!$G$9+H265*Upgrades!$H$9)*POWER(Upgrades!$I$9,H265)))*(IF(Upgrades!$T$6="Magnetosphere",POWER(Upgrades!$U$6,E265),1)*IF(Upgrades!$T$7="Magnetosphere",POWER(Upgrades!$U$7,F265),1)*IF(Upgrades!$T$8="Magnetosphere",POWER(Upgrades!$U$8,G265),1)*IF(Upgrades!$T$10="Magnetosphere",POWER(Upgrades!$U$10,I265),1)*IF(Upgrades!$T$11="Magnetosphere",POWER(Upgrades!$U$11,J265),1)*IF(Upgrades!$T$12="Magnetosphere",POWER(Upgrades!$U$12,K265),1))*POWER(Upgrades!$P$6,E265)*POWER(Upgrades!$P$7,F265)*POWER(Upgrades!$P$8,G265)*POWER(Upgrades!$P$9,H265)*POWER(Upgrades!$P$10,I265)*POWER(Upgrades!$P$11,J265)*POWER(Upgrades!$P$12,K265)*60</f>
        <v/>
      </c>
      <c r="AE265" s="27">
        <f>(IF(K265=0,0,(Upgrades!$G$12+K265*Upgrades!$H$12)*POWER(Upgrades!$I$12,K265)))*(IF(Upgrades!$T$6="First Photons",POWER(Upgrades!$U$6,E265),1)*IF(Upgrades!$T$7="First Photons",POWER(Upgrades!$U$7,F265),1)*IF(Upgrades!$T$8="First Photons",POWER(Upgrades!$U$8,G265),1)*IF(Upgrades!$T$9="First Photons",POWER(Upgrades!$U$9,H265),1)*IF(Upgrades!$T$10="First Photons",POWER(Upgrades!$U$10,I265),1)*IF(Upgrades!$T$11="First Photons",POWER(Upgrades!$U$11,J265),1))*POWER(Upgrades!$P$6,E265)*POWER(Upgrades!$P$7,F265)*POWER(Upgrades!$P$8,G265)*POWER(Upgrades!$P$9,H265)*POWER(Upgrades!$P$10,I265)*POWER(Upgrades!$P$11,J265)*POWER(Upgrades!$P$12,K265)*60</f>
        <v/>
      </c>
      <c r="AF265" s="27">
        <f>Parameters!$B$9*POWER(Upgrades!$Q$6,E265)*POWER(Upgrades!$Q$7,F265)*POWER(Upgrades!$Q$8,G265)*POWER(Upgrades!$Q$9,H265)*POWER(Upgrades!$Q$10,I265)*POWER(Upgrades!$Q$11,J265)*POWER(Upgrades!$Q$12,K265)*(Parameters!$B$10*Parameters!$B$11+O265*60)</f>
        <v/>
      </c>
      <c r="AG265" s="22">
        <f>IF(E265&gt;=Upgrades!$E$6,"",Upgrades!$C$6*POWER(Upgrades!$D$6,E265))</f>
        <v/>
      </c>
      <c r="AH265" s="22">
        <f>IF(F265&gt;=Upgrades!$E$7,"",Upgrades!$C$7*POWER(Upgrades!$D$7,F265))</f>
        <v/>
      </c>
      <c r="AI265" s="22">
        <f>IF(G265&gt;=Upgrades!$E$8,"",Upgrades!$C$8*POWER(Upgrades!$D$8,G265))</f>
        <v/>
      </c>
      <c r="AJ265" s="22">
        <f>IF(H265&gt;=Upgrades!$E$9,"",Upgrades!$C$9*POWER(Upgrades!$D$9,H265))</f>
        <v/>
      </c>
      <c r="AK265" s="22">
        <f>IF(I265&gt;=Upgrades!$E$10,"",Upgrades!$C$10*POWER(Upgrades!$D$10,I265))</f>
        <v/>
      </c>
      <c r="AL265" s="22">
        <f>IF(J265&gt;=Upgrades!$E$11,"",Upgrades!$C$11*POWER(Upgrades!$D$11,J265))</f>
        <v/>
      </c>
      <c r="AM265" s="22">
        <f>IF(K265&gt;=Upgrades!$E$12,"",Upgrades!$C$12*POWER(Upgrades!$D$12,K265))</f>
        <v/>
      </c>
      <c r="AN265" s="26">
        <f>IF(AND(D265&gt;=Parameters!$B$18,(H265&gt;=Upgrades!$E$9)*(K265&gt;=Upgrades!$E$12)=1,L265=0),1,"")</f>
        <v/>
      </c>
      <c r="AO265" s="26">
        <f>IF(AND(D265&gt;=Parameters!$B$18,L265=0),1,"")</f>
        <v/>
      </c>
      <c r="AP265" s="22">
        <f>MIN(IF(ISNUMBER(AK265),AK265,9E15),IF(ISNUMBER(AL265),AL265,9E15),IF(ISNUMBER(AM265),AM265,9E15))</f>
        <v/>
      </c>
      <c r="AQ265" s="22">
        <f>MIN(IF(ISNUMBER(AG265),AG265,9E15),IF(ISNUMBER(AH265),AH265,9E15),IF(ISNUMBER(AI265),AI265,9E15),IF(ISNUMBER(AJ265),AJ265,9E15))</f>
        <v/>
      </c>
      <c r="AR265" s="29">
        <f>IF(AW265&gt;Parameters!$B$21*(MAX(IF(AND(NOT(AND(AO265=1,AN265&lt;&gt;1)),ISNUMBER(AG265),AG265&lt;=T265),AS265,0),IF(AND(NOT(AND(AO265=1,AN265&lt;&gt;1)),ISNUMBER(AH265),AH265&lt;=T265),AT265,0),IF(AND(NOT(AND(AO265=1,AN265&lt;&gt;1)),ISNUMBER(AI265),AI265&lt;=T265),AU265,0),IF(AND(ISNUMBER(AJ265),AJ265&lt;=T265),AV265,0))),TRUE,FALSE)</f>
        <v/>
      </c>
      <c r="AS265" s="32">
        <f>IFERROR(Upgrades!$H$6*(POWER(Upgrades!$P$6,E265)*POWER(Upgrades!$P$7,F265)*POWER(Upgrades!$P$8,G265)*POWER(Upgrades!$P$9,H265)*POWER(Upgrades!$P$10,I265)*POWER(Upgrades!$P$11,J265)*POWER(Upgrades!$P$12,K265))*(IF(Upgrades!$T$7="Solar Wind",POWER(Upgrades!$U$7,F265),1)*IF(Upgrades!$T$8="Solar Wind",POWER(Upgrades!$U$8,G265),1)*IF(Upgrades!$T$9="Solar Wind",POWER(Upgrades!$U$9,H265),1)*IF(Upgrades!$T$10="Solar Wind",POWER(Upgrades!$U$10,I265),1)*IF(Upgrades!$T$11="Solar Wind",POWER(Upgrades!$U$11,J265),1)*IF(Upgrades!$T$12="Solar Wind",POWER(Upgrades!$U$12,K265),1))/AG265,0)</f>
        <v/>
      </c>
      <c r="AT265" s="32">
        <f>IFERROR(Upgrades!$H$7*(POWER(Upgrades!$P$6,E265)*POWER(Upgrades!$P$7,F265)*POWER(Upgrades!$P$8,G265)*POWER(Upgrades!$P$9,H265)*POWER(Upgrades!$P$10,I265)*POWER(Upgrades!$P$11,J265)*POWER(Upgrades!$P$12,K265))*(IF(Upgrades!$T$6="Asteroid Belt",POWER(Upgrades!$U$6,E265),1)*IF(Upgrades!$T$8="Asteroid Belt",POWER(Upgrades!$U$8,G265),1)*IF(Upgrades!$T$9="Asteroid Belt",POWER(Upgrades!$U$9,H265),1)*IF(Upgrades!$T$10="Asteroid Belt",POWER(Upgrades!$U$10,I265),1)*IF(Upgrades!$T$11="Asteroid Belt",POWER(Upgrades!$U$11,J265),1)*IF(Upgrades!$T$12="Asteroid Belt",POWER(Upgrades!$U$12,K265),1))/AH265,0)</f>
        <v/>
      </c>
      <c r="AU265" s="32">
        <f>IFERROR(Upgrades!$K$8*(POWER(Upgrades!$Q$6,E265)*POWER(Upgrades!$Q$7,F265)*POWER(Upgrades!$Q$8,G265)*POWER(Upgrades!$Q$9,H265)*POWER(Upgrades!$Q$10,I265)*POWER(Upgrades!$Q$11,J265)*POWER(Upgrades!$Q$12,K265))*(IF(Upgrades!$T$6="Stellar Coupling",POWER(Upgrades!$U$6,E265),1)*IF(Upgrades!$T$7="Stellar Coupling",POWER(Upgrades!$U$7,F265),1)*IF(Upgrades!$T$9="Stellar Coupling",POWER(Upgrades!$U$9,H265),1)*IF(Upgrades!$T$10="Stellar Coupling",POWER(Upgrades!$U$10,I265),1)*IF(Upgrades!$T$11="Stellar Coupling",POWER(Upgrades!$U$11,J265),1)*IF(Upgrades!$T$12="Stellar Coupling",POWER(Upgrades!$U$12,K265),1))*Parameters!$B$10*Parameters!$B$11/60/AI265,0)</f>
        <v/>
      </c>
      <c r="AV265" s="32">
        <f>IFERROR(Upgrades!$H$9*(POWER(Upgrades!$P$6,E265)*POWER(Upgrades!$P$7,F265)*POWER(Upgrades!$P$8,G265)*POWER(Upgrades!$P$9,H265)*POWER(Upgrades!$P$10,I265)*POWER(Upgrades!$P$11,J265)*POWER(Upgrades!$P$12,K265))*(IF(Upgrades!$T$6="Magnetosphere",POWER(Upgrades!$U$6,E265),1)*IF(Upgrades!$T$7="Magnetosphere",POWER(Upgrades!$U$7,F265),1)*IF(Upgrades!$T$8="Magnetosphere",POWER(Upgrades!$U$8,G265),1)*IF(Upgrades!$T$10="Magnetosphere",POWER(Upgrades!$U$10,I265),1)*IF(Upgrades!$T$11="Magnetosphere",POWER(Upgrades!$U$11,J265),1)*IF(Upgrades!$T$12="Magnetosphere",POWER(Upgrades!$U$12,K265),1))/AJ265,0)</f>
        <v/>
      </c>
      <c r="AW265" s="32">
        <f>MAX(IF(I265&gt;0,0,IFERROR(0.25*N265/Upgrades!$C$10,0)),IF(J265&gt;0,0,IFERROR(0.5*((IF(G265=0,0,(Upgrades!$J$8+G265*Upgrades!$K$8)*POWER(Upgrades!$L$8,G265)))*(IF(Upgrades!$T$6="Stellar Coupling",POWER(Upgrades!$U$6,E265),1)*IF(Upgrades!$T$7="Stellar Coupling",POWER(Upgrades!$U$7,F265),1)*IF(Upgrades!$T$9="Stellar Coupling",POWER(Upgrades!$U$9,H265),1)*IF(Upgrades!$T$10="Stellar Coupling",POWER(Upgrades!$U$10,I265),1)*IF(Upgrades!$T$11="Stellar Coupling",POWER(Upgrades!$U$11,J265),1)*IF(Upgrades!$T$12="Stellar Coupling",POWER(Upgrades!$U$12,K265),1))*(POWER(Upgrades!$Q$6,E265)*POWER(Upgrades!$Q$7,F265)*POWER(Upgrades!$Q$8,G265)*POWER(Upgrades!$Q$9,H265)*POWER(Upgrades!$Q$10,I265)*POWER(Upgrades!$Q$11,J265)*POWER(Upgrades!$Q$12,K265))*Parameters!$B$10*Parameters!$B$11/60)/Upgrades!$C$11,0)),IF(K265&gt;0,0,IFERROR((1.0*(POWER(Upgrades!$P$6,E265)*POWER(Upgrades!$P$7,F265)*POWER(Upgrades!$P$8,G265)*POWER(Upgrades!$P$9,H265)*POWER(Upgrades!$P$10,I265)*POWER(Upgrades!$P$11,J265)*POWER(Upgrades!$P$12,K265))+0.20*M265*Parameters!$B$10*Parameters!$B$11/60)/Upgrades!$C$12,0)),IF(AND(ISNUMBER(AG265),AG265&gt;T265),AS265,0),IF(AND(ISNUMBER(AH265),AH265&gt;T265),AT265,0),IF(AND(ISNUMBER(AI265),AI265&gt;T265),AU265,0),IF(AND(ISNUMBER(AJ265),AJ265&gt;T265),AV265,0))</f>
        <v/>
      </c>
      <c r="AX265" s="29">
        <f>IF(AN265=1,"transition",IF(MIN(IF(AND(I265=0,ISNUMBER(AK265),AK265&lt;=T265),AK265,9E15),IF(AND(J265=0,ISNUMBER(AL265),AL265&lt;=T265),AL265,9E15),IF(AND(K265=0,ISNUMBER(AM265),AM265&lt;=T265),AM265,9E15))&lt;9E15,IF(AND(AND(I265=0,ISNUMBER(AK265),AK265&lt;=T265),AK265=MIN(IF(AND(I265=0,ISNUMBER(AK265),AK265&lt;=T265),AK265,9E15),IF(AND(J265=0,ISNUMBER(AL265),AL265&lt;=T265),AL265,9E15),IF(AND(K265=0,ISNUMBER(AM265),AM265&lt;=T265),AM265,9E15))),"OR",IF(AND(AND(J265=0,ISNUMBER(AL265),AL265&lt;=T265),AL265=MIN(IF(AND(I265=0,ISNUMBER(AK265),AK265&lt;=T265),AK265,9E15),IF(AND(J265=0,ISNUMBER(AL265),AL265&lt;=T265),AL265,9E15),IF(AND(K265=0,ISNUMBER(AM265),AM265&lt;=T265),AM265,9E15))),"HP","FP")),IF(AR265=TRUE,"",IF(MAX(IF(AND(NOT(AND(AO265=1,AN265&lt;&gt;1)),ISNUMBER(AG265),AG265&lt;=T265),AS265,0),IF(AND(NOT(AND(AO265=1,AN265&lt;&gt;1)),ISNUMBER(AH265),AH265&lt;=T265),AT265,0),IF(AND(NOT(AND(AO265=1,AN265&lt;&gt;1)),ISNUMBER(AI265),AI265&lt;=T265),AU265,0),IF(AND(ISNUMBER(AJ265),AJ265&lt;=T265),AV265,0))&lt;=0,"",IF(AND(IF(AND(NOT(AND(AO265=1,AN265&lt;&gt;1)),ISNUMBER(AG265),AG265&lt;=T265),AS265,0)&gt;0,IF(AND(NOT(AND(AO265=1,AN265&lt;&gt;1)),ISNUMBER(AG265),AG265&lt;=T265),AS265,0)=MAX(IF(AND(NOT(AND(AO265=1,AN265&lt;&gt;1)),ISNUMBER(AG265),AG265&lt;=T265),AS265,0),IF(AND(NOT(AND(AO265=1,AN265&lt;&gt;1)),ISNUMBER(AH265),AH265&lt;=T265),AT265,0),IF(AND(NOT(AND(AO265=1,AN265&lt;&gt;1)),ISNUMBER(AI265),AI265&lt;=T265),AU265,0),IF(AND(ISNUMBER(AJ265),AJ265&lt;=T265),AV265,0))),"SW",IF(AND(IF(AND(NOT(AND(AO265=1,AN265&lt;&gt;1)),ISNUMBER(AH265),AH265&lt;=T265),AT265,0)&gt;0,IF(AND(NOT(AND(AO265=1,AN265&lt;&gt;1)),ISNUMBER(AH265),AH265&lt;=T265),AT265,0)=MAX(IF(AND(NOT(AND(AO265=1,AN265&lt;&gt;1)),ISNUMBER(AG265),AG265&lt;=T265),AS265,0),IF(AND(NOT(AND(AO265=1,AN265&lt;&gt;1)),ISNUMBER(AH265),AH265&lt;=T265),AT265,0),IF(AND(NOT(AND(AO265=1,AN265&lt;&gt;1)),ISNUMBER(AI265),AI265&lt;=T265),AU265,0),IF(AND(ISNUMBER(AJ265),AJ265&lt;=T265),AV265,0))),"AB",IF(AND(IF(AND(NOT(AND(AO265=1,AN265&lt;&gt;1)),ISNUMBER(AI265),AI265&lt;=T265),AU265,0)&gt;0,IF(AND(NOT(AND(AO265=1,AN265&lt;&gt;1)),ISNUMBER(AI265),AI265&lt;=T265),AU265,0)=MAX(IF(AND(NOT(AND(AO265=1,AN265&lt;&gt;1)),ISNUMBER(AG265),AG265&lt;=T265),AS265,0),IF(AND(NOT(AND(AO265=1,AN265&lt;&gt;1)),ISNUMBER(AH265),AH265&lt;=T265),AT265,0),IF(AND(NOT(AND(AO265=1,AN265&lt;&gt;1)),ISNUMBER(AI265),AI265&lt;=T265),AU265,0),IF(AND(ISNUMBER(AJ265),AJ265&lt;=T265),AV265,0))),"SC","Mag")))))))</f>
        <v/>
      </c>
    </row>
    <row r="266">
      <c r="A266" s="26" t="n">
        <v>261</v>
      </c>
      <c r="B266" s="27">
        <f>A266*10/60</f>
        <v/>
      </c>
      <c r="C266" s="22">
        <f>X265</f>
        <v/>
      </c>
      <c r="D266" s="27">
        <f>D265+W265</f>
        <v/>
      </c>
      <c r="E266" s="26">
        <f>E265+IF(U265="SW",1,0)</f>
        <v/>
      </c>
      <c r="F266" s="26">
        <f>F265+IF(U265="AB",1,0)</f>
        <v/>
      </c>
      <c r="G266" s="26">
        <f>G265+IF(U265="SC",1,0)</f>
        <v/>
      </c>
      <c r="H266" s="26">
        <f>H265+IF(U265="Mag",1,0)</f>
        <v/>
      </c>
      <c r="I266" s="26">
        <f>MAX(I265,IF(U265="OR",1,0))</f>
        <v/>
      </c>
      <c r="J266" s="26">
        <f>MAX(J265,IF(U265="HP",1,0))</f>
        <v/>
      </c>
      <c r="K266" s="26">
        <f>MAX(K265,IF(U265="FP",1,0))</f>
        <v/>
      </c>
      <c r="L266" s="26">
        <f>MAX(L265,IF(U265="transition",1,0))</f>
        <v/>
      </c>
      <c r="M266" s="28">
        <f>(Parameters!$B$9+(IF(E266=0,0,(Upgrades!$J$6+E266*Upgrades!$K$6)*POWER(Upgrades!$L$6,E266)))*(IF(Upgrades!$T$7="Solar Wind",POWER(Upgrades!$U$7,F266),1)*IF(Upgrades!$T$8="Solar Wind",POWER(Upgrades!$U$8,G266),1)*IF(Upgrades!$T$9="Solar Wind",POWER(Upgrades!$U$9,H266),1)*IF(Upgrades!$T$10="Solar Wind",POWER(Upgrades!$U$10,I266),1)*IF(Upgrades!$T$11="Solar Wind",POWER(Upgrades!$U$11,J266),1)*IF(Upgrades!$T$12="Solar Wind",POWER(Upgrades!$U$12,K266),1))+(IF(F266=0,0,(Upgrades!$J$7+F266*Upgrades!$K$7)*POWER(Upgrades!$L$7,F266)))*(IF(Upgrades!$T$6="Asteroid Belt",POWER(Upgrades!$U$6,E266),1)*IF(Upgrades!$T$8="Asteroid Belt",POWER(Upgrades!$U$8,G266),1)*IF(Upgrades!$T$9="Asteroid Belt",POWER(Upgrades!$U$9,H266),1)*IF(Upgrades!$T$10="Asteroid Belt",POWER(Upgrades!$U$10,I266),1)*IF(Upgrades!$T$11="Asteroid Belt",POWER(Upgrades!$U$11,J266),1)*IF(Upgrades!$T$12="Asteroid Belt",POWER(Upgrades!$U$12,K266),1))+(IF(G266=0,0,(Upgrades!$J$8+G266*Upgrades!$K$8)*POWER(Upgrades!$L$8,G266)))*(IF(Upgrades!$T$6="Stellar Coupling",POWER(Upgrades!$U$6,E266),1)*IF(Upgrades!$T$7="Stellar Coupling",POWER(Upgrades!$U$7,F266),1)*IF(Upgrades!$T$9="Stellar Coupling",POWER(Upgrades!$U$9,H266),1)*IF(Upgrades!$T$10="Stellar Coupling",POWER(Upgrades!$U$10,I266),1)*IF(Upgrades!$T$11="Stellar Coupling",POWER(Upgrades!$U$11,J266),1)*IF(Upgrades!$T$12="Stellar Coupling",POWER(Upgrades!$U$12,K266),1))+(IF(H266=0,0,(Upgrades!$J$9+H266*Upgrades!$K$9)*POWER(Upgrades!$L$9,H266)))*(IF(Upgrades!$T$6="Magnetosphere",POWER(Upgrades!$U$6,E266),1)*IF(Upgrades!$T$7="Magnetosphere",POWER(Upgrades!$U$7,F266),1)*IF(Upgrades!$T$8="Magnetosphere",POWER(Upgrades!$U$8,G266),1)*IF(Upgrades!$T$10="Magnetosphere",POWER(Upgrades!$U$10,I266),1)*IF(Upgrades!$T$11="Magnetosphere",POWER(Upgrades!$U$11,J266),1)*IF(Upgrades!$T$12="Magnetosphere",POWER(Upgrades!$U$12,K266),1))+(IF(I266=0,0,(Upgrades!$J$10+I266*Upgrades!$K$10)*POWER(Upgrades!$L$10,I266)))*(IF(Upgrades!$T$6="Orbital Resonance",POWER(Upgrades!$U$6,E266),1)*IF(Upgrades!$T$7="Orbital Resonance",POWER(Upgrades!$U$7,F266),1)*IF(Upgrades!$T$8="Orbital Resonance",POWER(Upgrades!$U$8,G266),1)*IF(Upgrades!$T$9="Orbital Resonance",POWER(Upgrades!$U$9,H266),1)*IF(Upgrades!$T$11="Orbital Resonance",POWER(Upgrades!$U$11,J266),1)*IF(Upgrades!$T$12="Orbital Resonance",POWER(Upgrades!$U$12,K266),1))+(IF(J266=0,0,(Upgrades!$J$11+J266*Upgrades!$K$11)*POWER(Upgrades!$L$11,J266)))*(IF(Upgrades!$T$6="Heliopause",POWER(Upgrades!$U$6,E266),1)*IF(Upgrades!$T$7="Heliopause",POWER(Upgrades!$U$7,F266),1)*IF(Upgrades!$T$8="Heliopause",POWER(Upgrades!$U$8,G266),1)*IF(Upgrades!$T$9="Heliopause",POWER(Upgrades!$U$9,H266),1)*IF(Upgrades!$T$10="Heliopause",POWER(Upgrades!$U$10,I266),1)*IF(Upgrades!$T$12="Heliopause",POWER(Upgrades!$U$12,K266),1))+(IF(K266=0,0,(Upgrades!$J$12+K266*Upgrades!$K$12)*POWER(Upgrades!$L$12,K266)))*(IF(Upgrades!$T$6="First Photons",POWER(Upgrades!$U$6,E266),1)*IF(Upgrades!$T$7="First Photons",POWER(Upgrades!$U$7,F266),1)*IF(Upgrades!$T$8="First Photons",POWER(Upgrades!$U$8,G266),1)*IF(Upgrades!$T$9="First Photons",POWER(Upgrades!$U$9,H266),1)*IF(Upgrades!$T$10="First Photons",POWER(Upgrades!$U$10,I266),1)*IF(Upgrades!$T$11="First Photons",POWER(Upgrades!$U$11,J266),1)))*POWER(Upgrades!$Q$6,E266)*POWER(Upgrades!$Q$7,F266)*POWER(Upgrades!$Q$8,G266)*POWER(Upgrades!$Q$9,H266)*POWER(Upgrades!$Q$10,I266)*POWER(Upgrades!$Q$11,J266)*POWER(Upgrades!$Q$12,K266)</f>
        <v/>
      </c>
      <c r="N266" s="28">
        <f>((IF(E266=0,0,(Upgrades!$G$6+E266*Upgrades!$H$6)*POWER(Upgrades!$I$6,E266)))*(IF(Upgrades!$T$7="Solar Wind",POWER(Upgrades!$U$7,F266),1)*IF(Upgrades!$T$8="Solar Wind",POWER(Upgrades!$U$8,G266),1)*IF(Upgrades!$T$9="Solar Wind",POWER(Upgrades!$U$9,H266),1)*IF(Upgrades!$T$10="Solar Wind",POWER(Upgrades!$U$10,I266),1)*IF(Upgrades!$T$11="Solar Wind",POWER(Upgrades!$U$11,J266),1)*IF(Upgrades!$T$12="Solar Wind",POWER(Upgrades!$U$12,K266),1))+(IF(F266=0,0,(Upgrades!$G$7+F266*Upgrades!$H$7)*POWER(Upgrades!$I$7,F266)))*(IF(Upgrades!$T$6="Asteroid Belt",POWER(Upgrades!$U$6,E266),1)*IF(Upgrades!$T$8="Asteroid Belt",POWER(Upgrades!$U$8,G266),1)*IF(Upgrades!$T$9="Asteroid Belt",POWER(Upgrades!$U$9,H266),1)*IF(Upgrades!$T$10="Asteroid Belt",POWER(Upgrades!$U$10,I266),1)*IF(Upgrades!$T$11="Asteroid Belt",POWER(Upgrades!$U$11,J266),1)*IF(Upgrades!$T$12="Asteroid Belt",POWER(Upgrades!$U$12,K266),1))+(IF(G266=0,0,(Upgrades!$G$8+G266*Upgrades!$H$8)*POWER(Upgrades!$I$8,G266)))*(IF(Upgrades!$T$6="Stellar Coupling",POWER(Upgrades!$U$6,E266),1)*IF(Upgrades!$T$7="Stellar Coupling",POWER(Upgrades!$U$7,F266),1)*IF(Upgrades!$T$9="Stellar Coupling",POWER(Upgrades!$U$9,H266),1)*IF(Upgrades!$T$10="Stellar Coupling",POWER(Upgrades!$U$10,I266),1)*IF(Upgrades!$T$11="Stellar Coupling",POWER(Upgrades!$U$11,J266),1)*IF(Upgrades!$T$12="Stellar Coupling",POWER(Upgrades!$U$12,K266),1))+(IF(H266=0,0,(Upgrades!$G$9+H266*Upgrades!$H$9)*POWER(Upgrades!$I$9,H266)))*(IF(Upgrades!$T$6="Magnetosphere",POWER(Upgrades!$U$6,E266),1)*IF(Upgrades!$T$7="Magnetosphere",POWER(Upgrades!$U$7,F266),1)*IF(Upgrades!$T$8="Magnetosphere",POWER(Upgrades!$U$8,G266),1)*IF(Upgrades!$T$10="Magnetosphere",POWER(Upgrades!$U$10,I266),1)*IF(Upgrades!$T$11="Magnetosphere",POWER(Upgrades!$U$11,J266),1)*IF(Upgrades!$T$12="Magnetosphere",POWER(Upgrades!$U$12,K266),1))+(IF(I266=0,0,(Upgrades!$G$10+I266*Upgrades!$H$10)*POWER(Upgrades!$I$10,I266)))*(IF(Upgrades!$T$6="Orbital Resonance",POWER(Upgrades!$U$6,E266),1)*IF(Upgrades!$T$7="Orbital Resonance",POWER(Upgrades!$U$7,F266),1)*IF(Upgrades!$T$8="Orbital Resonance",POWER(Upgrades!$U$8,G266),1)*IF(Upgrades!$T$9="Orbital Resonance",POWER(Upgrades!$U$9,H266),1)*IF(Upgrades!$T$11="Orbital Resonance",POWER(Upgrades!$U$11,J266),1)*IF(Upgrades!$T$12="Orbital Resonance",POWER(Upgrades!$U$12,K266),1))+(IF(J266=0,0,(Upgrades!$G$11+J266*Upgrades!$H$11)*POWER(Upgrades!$I$11,J266)))*(IF(Upgrades!$T$6="Heliopause",POWER(Upgrades!$U$6,E266),1)*IF(Upgrades!$T$7="Heliopause",POWER(Upgrades!$U$7,F266),1)*IF(Upgrades!$T$8="Heliopause",POWER(Upgrades!$U$8,G266),1)*IF(Upgrades!$T$9="Heliopause",POWER(Upgrades!$U$9,H266),1)*IF(Upgrades!$T$10="Heliopause",POWER(Upgrades!$U$10,I266),1)*IF(Upgrades!$T$12="Heliopause",POWER(Upgrades!$U$12,K266),1))+(IF(K266=0,0,(Upgrades!$G$12+K266*Upgrades!$H$12)*POWER(Upgrades!$I$12,K266)))*(IF(Upgrades!$T$6="First Photons",POWER(Upgrades!$U$6,E266),1)*IF(Upgrades!$T$7="First Photons",POWER(Upgrades!$U$7,F266),1)*IF(Upgrades!$T$8="First Photons",POWER(Upgrades!$U$8,G266),1)*IF(Upgrades!$T$9="First Photons",POWER(Upgrades!$U$9,H266),1)*IF(Upgrades!$T$10="First Photons",POWER(Upgrades!$U$10,I266),1)*IF(Upgrades!$T$11="First Photons",POWER(Upgrades!$U$11,J266),1)))*POWER(Upgrades!$P$6,E266)*POWER(Upgrades!$P$7,F266)*POWER(Upgrades!$P$8,G266)*POWER(Upgrades!$P$9,H266)*POWER(Upgrades!$P$10,I266)*POWER(Upgrades!$P$11,J266)*POWER(Upgrades!$P$12,K266)</f>
        <v/>
      </c>
      <c r="O266" s="28">
        <f>((IF(E266=0,0,(Upgrades!$M$6+E266*Upgrades!$N$6)*POWER(Upgrades!$O$6,E266)))*(IF(Upgrades!$T$7="Solar Wind",POWER(Upgrades!$U$7,F266),1)*IF(Upgrades!$T$8="Solar Wind",POWER(Upgrades!$U$8,G266),1)*IF(Upgrades!$T$9="Solar Wind",POWER(Upgrades!$U$9,H266),1)*IF(Upgrades!$T$10="Solar Wind",POWER(Upgrades!$U$10,I266),1)*IF(Upgrades!$T$11="Solar Wind",POWER(Upgrades!$U$11,J266),1)*IF(Upgrades!$T$12="Solar Wind",POWER(Upgrades!$U$12,K266),1))+(IF(F266=0,0,(Upgrades!$M$7+F266*Upgrades!$N$7)*POWER(Upgrades!$O$7,F266)))*(IF(Upgrades!$T$6="Asteroid Belt",POWER(Upgrades!$U$6,E266),1)*IF(Upgrades!$T$8="Asteroid Belt",POWER(Upgrades!$U$8,G266),1)*IF(Upgrades!$T$9="Asteroid Belt",POWER(Upgrades!$U$9,H266),1)*IF(Upgrades!$T$10="Asteroid Belt",POWER(Upgrades!$U$10,I266),1)*IF(Upgrades!$T$11="Asteroid Belt",POWER(Upgrades!$U$11,J266),1)*IF(Upgrades!$T$12="Asteroid Belt",POWER(Upgrades!$U$12,K266),1))+(IF(G266=0,0,(Upgrades!$M$8+G266*Upgrades!$N$8)*POWER(Upgrades!$O$8,G266)))*(IF(Upgrades!$T$6="Stellar Coupling",POWER(Upgrades!$U$6,E266),1)*IF(Upgrades!$T$7="Stellar Coupling",POWER(Upgrades!$U$7,F266),1)*IF(Upgrades!$T$9="Stellar Coupling",POWER(Upgrades!$U$9,H266),1)*IF(Upgrades!$T$10="Stellar Coupling",POWER(Upgrades!$U$10,I266),1)*IF(Upgrades!$T$11="Stellar Coupling",POWER(Upgrades!$U$11,J266),1)*IF(Upgrades!$T$12="Stellar Coupling",POWER(Upgrades!$U$12,K266),1))+(IF(H266=0,0,(Upgrades!$M$9+H266*Upgrades!$N$9)*POWER(Upgrades!$O$9,H266)))*(IF(Upgrades!$T$6="Magnetosphere",POWER(Upgrades!$U$6,E266),1)*IF(Upgrades!$T$7="Magnetosphere",POWER(Upgrades!$U$7,F266),1)*IF(Upgrades!$T$8="Magnetosphere",POWER(Upgrades!$U$8,G266),1)*IF(Upgrades!$T$10="Magnetosphere",POWER(Upgrades!$U$10,I266),1)*IF(Upgrades!$T$11="Magnetosphere",POWER(Upgrades!$U$11,J266),1)*IF(Upgrades!$T$12="Magnetosphere",POWER(Upgrades!$U$12,K266),1))+(IF(I266=0,0,(Upgrades!$M$10+I266*Upgrades!$N$10)*POWER(Upgrades!$O$10,I266)))*(IF(Upgrades!$T$6="Orbital Resonance",POWER(Upgrades!$U$6,E266),1)*IF(Upgrades!$T$7="Orbital Resonance",POWER(Upgrades!$U$7,F266),1)*IF(Upgrades!$T$8="Orbital Resonance",POWER(Upgrades!$U$8,G266),1)*IF(Upgrades!$T$9="Orbital Resonance",POWER(Upgrades!$U$9,H266),1)*IF(Upgrades!$T$11="Orbital Resonance",POWER(Upgrades!$U$11,J266),1)*IF(Upgrades!$T$12="Orbital Resonance",POWER(Upgrades!$U$12,K266),1))+(IF(J266=0,0,(Upgrades!$M$11+J266*Upgrades!$N$11)*POWER(Upgrades!$O$11,J266)))*(IF(Upgrades!$T$6="Heliopause",POWER(Upgrades!$U$6,E266),1)*IF(Upgrades!$T$7="Heliopause",POWER(Upgrades!$U$7,F266),1)*IF(Upgrades!$T$8="Heliopause",POWER(Upgrades!$U$8,G266),1)*IF(Upgrades!$T$9="Heliopause",POWER(Upgrades!$U$9,H266),1)*IF(Upgrades!$T$10="Heliopause",POWER(Upgrades!$U$10,I266),1)*IF(Upgrades!$T$12="Heliopause",POWER(Upgrades!$U$12,K266),1))+(IF(K266=0,0,(Upgrades!$M$12+K266*Upgrades!$N$12)*POWER(Upgrades!$O$12,K266)))*(IF(Upgrades!$T$6="First Photons",POWER(Upgrades!$U$6,E266),1)*IF(Upgrades!$T$7="First Photons",POWER(Upgrades!$U$7,F266),1)*IF(Upgrades!$T$8="First Photons",POWER(Upgrades!$U$8,G266),1)*IF(Upgrades!$T$9="First Photons",POWER(Upgrades!$U$9,H266),1)*IF(Upgrades!$T$10="First Photons",POWER(Upgrades!$U$10,I266),1)*IF(Upgrades!$T$11="First Photons",POWER(Upgrades!$U$11,J266),1)))*POWER(Upgrades!$R$6,E266)*POWER(Upgrades!$R$7,F266)*POWER(Upgrades!$R$8,G266)*POWER(Upgrades!$R$9,H266)*POWER(Upgrades!$R$10,I266)*POWER(Upgrades!$R$11,J266)*POWER(Upgrades!$R$12,K266)</f>
        <v/>
      </c>
      <c r="P266" s="27">
        <f>IF(L266=1,0,M266*Parameters!$B$10/60*Parameters!$B$11*10)</f>
        <v/>
      </c>
      <c r="Q266" s="27">
        <f>IF(L266=1,0,O266*M266*10)</f>
        <v/>
      </c>
      <c r="R266" s="27">
        <f>IF(L266=1,0,N266*10)</f>
        <v/>
      </c>
      <c r="S266" s="27">
        <f>P266+Q266+R266</f>
        <v/>
      </c>
      <c r="T266" s="22">
        <f>C266+S266</f>
        <v/>
      </c>
      <c r="U266" s="33">
        <f>AX266</f>
        <v/>
      </c>
      <c r="V266" s="22">
        <f>IF(U266="",0,IF(U266="transition",0,IF(U266="SW",AG266,IF(U266="AB",AH266,IF(U266="SC",AI266,IF(U266="Mag",AJ266,IF(U266="OR",AK266,IF(U266="HP",AL266,IF(U266="FP",AM266,0)))))))))</f>
        <v/>
      </c>
      <c r="W266" s="27">
        <f>IF(U266="OR",Upgrades!$F$10,IF(U266="HP",Upgrades!$F$11,IF(U266="transition",-Parameters!$B$18,0)))</f>
        <v/>
      </c>
      <c r="X266" s="22">
        <f>T266-V266</f>
        <v/>
      </c>
      <c r="Y266" s="30">
        <f>M266*Parameters!$B$10/60*Parameters!$B$11+O266*M266+N266</f>
        <v/>
      </c>
      <c r="Z266" s="34">
        <f>IF(U266="transition","→ Tier 2 (Stellar Neighborhood)",IF(U266="FP","First Photons — light begins, system quickens",IF(U266="HP","Heliopause acquired",IF(U266="OR","Orbital Resonance — passive multiplier active",IF(AND(AO266=1,L266=0,AN266&lt;&gt;1),"Cohesion ready (waiting on completionist upgrades)","")))))</f>
        <v/>
      </c>
      <c r="AA266" s="27">
        <f>(IF(E266=0,0,(Upgrades!$G$6+E266*Upgrades!$H$6)*POWER(Upgrades!$I$6,E266)))*(IF(Upgrades!$T$7="Solar Wind",POWER(Upgrades!$U$7,F266),1)*IF(Upgrades!$T$8="Solar Wind",POWER(Upgrades!$U$8,G266),1)*IF(Upgrades!$T$9="Solar Wind",POWER(Upgrades!$U$9,H266),1)*IF(Upgrades!$T$10="Solar Wind",POWER(Upgrades!$U$10,I266),1)*IF(Upgrades!$T$11="Solar Wind",POWER(Upgrades!$U$11,J266),1)*IF(Upgrades!$T$12="Solar Wind",POWER(Upgrades!$U$12,K266),1))*POWER(Upgrades!$P$6,E266)*POWER(Upgrades!$P$7,F266)*POWER(Upgrades!$P$8,G266)*POWER(Upgrades!$P$9,H266)*POWER(Upgrades!$P$10,I266)*POWER(Upgrades!$P$11,J266)*POWER(Upgrades!$P$12,K266)*60</f>
        <v/>
      </c>
      <c r="AB266" s="27">
        <f>(IF(F266=0,0,(Upgrades!$G$7+F266*Upgrades!$H$7)*POWER(Upgrades!$I$7,F266)))*(IF(Upgrades!$T$6="Asteroid Belt",POWER(Upgrades!$U$6,E266),1)*IF(Upgrades!$T$8="Asteroid Belt",POWER(Upgrades!$U$8,G266),1)*IF(Upgrades!$T$9="Asteroid Belt",POWER(Upgrades!$U$9,H266),1)*IF(Upgrades!$T$10="Asteroid Belt",POWER(Upgrades!$U$10,I266),1)*IF(Upgrades!$T$11="Asteroid Belt",POWER(Upgrades!$U$11,J266),1)*IF(Upgrades!$T$12="Asteroid Belt",POWER(Upgrades!$U$12,K266),1))*POWER(Upgrades!$P$6,E266)*POWER(Upgrades!$P$7,F266)*POWER(Upgrades!$P$8,G266)*POWER(Upgrades!$P$9,H266)*POWER(Upgrades!$P$10,I266)*POWER(Upgrades!$P$11,J266)*POWER(Upgrades!$P$12,K266)*60</f>
        <v/>
      </c>
      <c r="AC266" s="27">
        <f>(IF(G266=0,0,(Upgrades!$J$8+G266*Upgrades!$K$8)*POWER(Upgrades!$L$8,G266)))*(IF(Upgrades!$T$6="Stellar Coupling",POWER(Upgrades!$U$6,E266),1)*IF(Upgrades!$T$7="Stellar Coupling",POWER(Upgrades!$U$7,F266),1)*IF(Upgrades!$T$9="Stellar Coupling",POWER(Upgrades!$U$9,H266),1)*IF(Upgrades!$T$10="Stellar Coupling",POWER(Upgrades!$U$10,I266),1)*IF(Upgrades!$T$11="Stellar Coupling",POWER(Upgrades!$U$11,J266),1)*IF(Upgrades!$T$12="Stellar Coupling",POWER(Upgrades!$U$12,K266),1))*POWER(Upgrades!$Q$6,E266)*POWER(Upgrades!$Q$7,F266)*POWER(Upgrades!$Q$8,G266)*POWER(Upgrades!$Q$9,H266)*POWER(Upgrades!$Q$10,I266)*POWER(Upgrades!$Q$11,J266)*POWER(Upgrades!$Q$12,K266)*Parameters!$B$10*Parameters!$B$11</f>
        <v/>
      </c>
      <c r="AD266" s="27">
        <f>(IF(H266=0,0,(Upgrades!$G$9+H266*Upgrades!$H$9)*POWER(Upgrades!$I$9,H266)))*(IF(Upgrades!$T$6="Magnetosphere",POWER(Upgrades!$U$6,E266),1)*IF(Upgrades!$T$7="Magnetosphere",POWER(Upgrades!$U$7,F266),1)*IF(Upgrades!$T$8="Magnetosphere",POWER(Upgrades!$U$8,G266),1)*IF(Upgrades!$T$10="Magnetosphere",POWER(Upgrades!$U$10,I266),1)*IF(Upgrades!$T$11="Magnetosphere",POWER(Upgrades!$U$11,J266),1)*IF(Upgrades!$T$12="Magnetosphere",POWER(Upgrades!$U$12,K266),1))*POWER(Upgrades!$P$6,E266)*POWER(Upgrades!$P$7,F266)*POWER(Upgrades!$P$8,G266)*POWER(Upgrades!$P$9,H266)*POWER(Upgrades!$P$10,I266)*POWER(Upgrades!$P$11,J266)*POWER(Upgrades!$P$12,K266)*60</f>
        <v/>
      </c>
      <c r="AE266" s="27">
        <f>(IF(K266=0,0,(Upgrades!$G$12+K266*Upgrades!$H$12)*POWER(Upgrades!$I$12,K266)))*(IF(Upgrades!$T$6="First Photons",POWER(Upgrades!$U$6,E266),1)*IF(Upgrades!$T$7="First Photons",POWER(Upgrades!$U$7,F266),1)*IF(Upgrades!$T$8="First Photons",POWER(Upgrades!$U$8,G266),1)*IF(Upgrades!$T$9="First Photons",POWER(Upgrades!$U$9,H266),1)*IF(Upgrades!$T$10="First Photons",POWER(Upgrades!$U$10,I266),1)*IF(Upgrades!$T$11="First Photons",POWER(Upgrades!$U$11,J266),1))*POWER(Upgrades!$P$6,E266)*POWER(Upgrades!$P$7,F266)*POWER(Upgrades!$P$8,G266)*POWER(Upgrades!$P$9,H266)*POWER(Upgrades!$P$10,I266)*POWER(Upgrades!$P$11,J266)*POWER(Upgrades!$P$12,K266)*60</f>
        <v/>
      </c>
      <c r="AF266" s="27">
        <f>Parameters!$B$9*POWER(Upgrades!$Q$6,E266)*POWER(Upgrades!$Q$7,F266)*POWER(Upgrades!$Q$8,G266)*POWER(Upgrades!$Q$9,H266)*POWER(Upgrades!$Q$10,I266)*POWER(Upgrades!$Q$11,J266)*POWER(Upgrades!$Q$12,K266)*(Parameters!$B$10*Parameters!$B$11+O266*60)</f>
        <v/>
      </c>
      <c r="AG266" s="22">
        <f>IF(E266&gt;=Upgrades!$E$6,"",Upgrades!$C$6*POWER(Upgrades!$D$6,E266))</f>
        <v/>
      </c>
      <c r="AH266" s="22">
        <f>IF(F266&gt;=Upgrades!$E$7,"",Upgrades!$C$7*POWER(Upgrades!$D$7,F266))</f>
        <v/>
      </c>
      <c r="AI266" s="22">
        <f>IF(G266&gt;=Upgrades!$E$8,"",Upgrades!$C$8*POWER(Upgrades!$D$8,G266))</f>
        <v/>
      </c>
      <c r="AJ266" s="22">
        <f>IF(H266&gt;=Upgrades!$E$9,"",Upgrades!$C$9*POWER(Upgrades!$D$9,H266))</f>
        <v/>
      </c>
      <c r="AK266" s="22">
        <f>IF(I266&gt;=Upgrades!$E$10,"",Upgrades!$C$10*POWER(Upgrades!$D$10,I266))</f>
        <v/>
      </c>
      <c r="AL266" s="22">
        <f>IF(J266&gt;=Upgrades!$E$11,"",Upgrades!$C$11*POWER(Upgrades!$D$11,J266))</f>
        <v/>
      </c>
      <c r="AM266" s="22">
        <f>IF(K266&gt;=Upgrades!$E$12,"",Upgrades!$C$12*POWER(Upgrades!$D$12,K266))</f>
        <v/>
      </c>
      <c r="AN266" s="26">
        <f>IF(AND(D266&gt;=Parameters!$B$18,(H266&gt;=Upgrades!$E$9)*(K266&gt;=Upgrades!$E$12)=1,L266=0),1,"")</f>
        <v/>
      </c>
      <c r="AO266" s="26">
        <f>IF(AND(D266&gt;=Parameters!$B$18,L266=0),1,"")</f>
        <v/>
      </c>
      <c r="AP266" s="22">
        <f>MIN(IF(ISNUMBER(AK266),AK266,9E15),IF(ISNUMBER(AL266),AL266,9E15),IF(ISNUMBER(AM266),AM266,9E15))</f>
        <v/>
      </c>
      <c r="AQ266" s="22">
        <f>MIN(IF(ISNUMBER(AG266),AG266,9E15),IF(ISNUMBER(AH266),AH266,9E15),IF(ISNUMBER(AI266),AI266,9E15),IF(ISNUMBER(AJ266),AJ266,9E15))</f>
        <v/>
      </c>
      <c r="AR266" s="29">
        <f>IF(AW266&gt;Parameters!$B$21*(MAX(IF(AND(NOT(AND(AO266=1,AN266&lt;&gt;1)),ISNUMBER(AG266),AG266&lt;=T266),AS266,0),IF(AND(NOT(AND(AO266=1,AN266&lt;&gt;1)),ISNUMBER(AH266),AH266&lt;=T266),AT266,0),IF(AND(NOT(AND(AO266=1,AN266&lt;&gt;1)),ISNUMBER(AI266),AI266&lt;=T266),AU266,0),IF(AND(ISNUMBER(AJ266),AJ266&lt;=T266),AV266,0))),TRUE,FALSE)</f>
        <v/>
      </c>
      <c r="AS266" s="32">
        <f>IFERROR(Upgrades!$H$6*(POWER(Upgrades!$P$6,E266)*POWER(Upgrades!$P$7,F266)*POWER(Upgrades!$P$8,G266)*POWER(Upgrades!$P$9,H266)*POWER(Upgrades!$P$10,I266)*POWER(Upgrades!$P$11,J266)*POWER(Upgrades!$P$12,K266))*(IF(Upgrades!$T$7="Solar Wind",POWER(Upgrades!$U$7,F266),1)*IF(Upgrades!$T$8="Solar Wind",POWER(Upgrades!$U$8,G266),1)*IF(Upgrades!$T$9="Solar Wind",POWER(Upgrades!$U$9,H266),1)*IF(Upgrades!$T$10="Solar Wind",POWER(Upgrades!$U$10,I266),1)*IF(Upgrades!$T$11="Solar Wind",POWER(Upgrades!$U$11,J266),1)*IF(Upgrades!$T$12="Solar Wind",POWER(Upgrades!$U$12,K266),1))/AG266,0)</f>
        <v/>
      </c>
      <c r="AT266" s="32">
        <f>IFERROR(Upgrades!$H$7*(POWER(Upgrades!$P$6,E266)*POWER(Upgrades!$P$7,F266)*POWER(Upgrades!$P$8,G266)*POWER(Upgrades!$P$9,H266)*POWER(Upgrades!$P$10,I266)*POWER(Upgrades!$P$11,J266)*POWER(Upgrades!$P$12,K266))*(IF(Upgrades!$T$6="Asteroid Belt",POWER(Upgrades!$U$6,E266),1)*IF(Upgrades!$T$8="Asteroid Belt",POWER(Upgrades!$U$8,G266),1)*IF(Upgrades!$T$9="Asteroid Belt",POWER(Upgrades!$U$9,H266),1)*IF(Upgrades!$T$10="Asteroid Belt",POWER(Upgrades!$U$10,I266),1)*IF(Upgrades!$T$11="Asteroid Belt",POWER(Upgrades!$U$11,J266),1)*IF(Upgrades!$T$12="Asteroid Belt",POWER(Upgrades!$U$12,K266),1))/AH266,0)</f>
        <v/>
      </c>
      <c r="AU266" s="32">
        <f>IFERROR(Upgrades!$K$8*(POWER(Upgrades!$Q$6,E266)*POWER(Upgrades!$Q$7,F266)*POWER(Upgrades!$Q$8,G266)*POWER(Upgrades!$Q$9,H266)*POWER(Upgrades!$Q$10,I266)*POWER(Upgrades!$Q$11,J266)*POWER(Upgrades!$Q$12,K266))*(IF(Upgrades!$T$6="Stellar Coupling",POWER(Upgrades!$U$6,E266),1)*IF(Upgrades!$T$7="Stellar Coupling",POWER(Upgrades!$U$7,F266),1)*IF(Upgrades!$T$9="Stellar Coupling",POWER(Upgrades!$U$9,H266),1)*IF(Upgrades!$T$10="Stellar Coupling",POWER(Upgrades!$U$10,I266),1)*IF(Upgrades!$T$11="Stellar Coupling",POWER(Upgrades!$U$11,J266),1)*IF(Upgrades!$T$12="Stellar Coupling",POWER(Upgrades!$U$12,K266),1))*Parameters!$B$10*Parameters!$B$11/60/AI266,0)</f>
        <v/>
      </c>
      <c r="AV266" s="32">
        <f>IFERROR(Upgrades!$H$9*(POWER(Upgrades!$P$6,E266)*POWER(Upgrades!$P$7,F266)*POWER(Upgrades!$P$8,G266)*POWER(Upgrades!$P$9,H266)*POWER(Upgrades!$P$10,I266)*POWER(Upgrades!$P$11,J266)*POWER(Upgrades!$P$12,K266))*(IF(Upgrades!$T$6="Magnetosphere",POWER(Upgrades!$U$6,E266),1)*IF(Upgrades!$T$7="Magnetosphere",POWER(Upgrades!$U$7,F266),1)*IF(Upgrades!$T$8="Magnetosphere",POWER(Upgrades!$U$8,G266),1)*IF(Upgrades!$T$10="Magnetosphere",POWER(Upgrades!$U$10,I266),1)*IF(Upgrades!$T$11="Magnetosphere",POWER(Upgrades!$U$11,J266),1)*IF(Upgrades!$T$12="Magnetosphere",POWER(Upgrades!$U$12,K266),1))/AJ266,0)</f>
        <v/>
      </c>
      <c r="AW266" s="32">
        <f>MAX(IF(I266&gt;0,0,IFERROR(0.25*N266/Upgrades!$C$10,0)),IF(J266&gt;0,0,IFERROR(0.5*((IF(G266=0,0,(Upgrades!$J$8+G266*Upgrades!$K$8)*POWER(Upgrades!$L$8,G266)))*(IF(Upgrades!$T$6="Stellar Coupling",POWER(Upgrades!$U$6,E266),1)*IF(Upgrades!$T$7="Stellar Coupling",POWER(Upgrades!$U$7,F266),1)*IF(Upgrades!$T$9="Stellar Coupling",POWER(Upgrades!$U$9,H266),1)*IF(Upgrades!$T$10="Stellar Coupling",POWER(Upgrades!$U$10,I266),1)*IF(Upgrades!$T$11="Stellar Coupling",POWER(Upgrades!$U$11,J266),1)*IF(Upgrades!$T$12="Stellar Coupling",POWER(Upgrades!$U$12,K266),1))*(POWER(Upgrades!$Q$6,E266)*POWER(Upgrades!$Q$7,F266)*POWER(Upgrades!$Q$8,G266)*POWER(Upgrades!$Q$9,H266)*POWER(Upgrades!$Q$10,I266)*POWER(Upgrades!$Q$11,J266)*POWER(Upgrades!$Q$12,K266))*Parameters!$B$10*Parameters!$B$11/60)/Upgrades!$C$11,0)),IF(K266&gt;0,0,IFERROR((1.0*(POWER(Upgrades!$P$6,E266)*POWER(Upgrades!$P$7,F266)*POWER(Upgrades!$P$8,G266)*POWER(Upgrades!$P$9,H266)*POWER(Upgrades!$P$10,I266)*POWER(Upgrades!$P$11,J266)*POWER(Upgrades!$P$12,K266))+0.20*M266*Parameters!$B$10*Parameters!$B$11/60)/Upgrades!$C$12,0)),IF(AND(ISNUMBER(AG266),AG266&gt;T266),AS266,0),IF(AND(ISNUMBER(AH266),AH266&gt;T266),AT266,0),IF(AND(ISNUMBER(AI266),AI266&gt;T266),AU266,0),IF(AND(ISNUMBER(AJ266),AJ266&gt;T266),AV266,0))</f>
        <v/>
      </c>
      <c r="AX266" s="29">
        <f>IF(AN266=1,"transition",IF(MIN(IF(AND(I266=0,ISNUMBER(AK266),AK266&lt;=T266),AK266,9E15),IF(AND(J266=0,ISNUMBER(AL266),AL266&lt;=T266),AL266,9E15),IF(AND(K266=0,ISNUMBER(AM266),AM266&lt;=T266),AM266,9E15))&lt;9E15,IF(AND(AND(I266=0,ISNUMBER(AK266),AK266&lt;=T266),AK266=MIN(IF(AND(I266=0,ISNUMBER(AK266),AK266&lt;=T266),AK266,9E15),IF(AND(J266=0,ISNUMBER(AL266),AL266&lt;=T266),AL266,9E15),IF(AND(K266=0,ISNUMBER(AM266),AM266&lt;=T266),AM266,9E15))),"OR",IF(AND(AND(J266=0,ISNUMBER(AL266),AL266&lt;=T266),AL266=MIN(IF(AND(I266=0,ISNUMBER(AK266),AK266&lt;=T266),AK266,9E15),IF(AND(J266=0,ISNUMBER(AL266),AL266&lt;=T266),AL266,9E15),IF(AND(K266=0,ISNUMBER(AM266),AM266&lt;=T266),AM266,9E15))),"HP","FP")),IF(AR266=TRUE,"",IF(MAX(IF(AND(NOT(AND(AO266=1,AN266&lt;&gt;1)),ISNUMBER(AG266),AG266&lt;=T266),AS266,0),IF(AND(NOT(AND(AO266=1,AN266&lt;&gt;1)),ISNUMBER(AH266),AH266&lt;=T266),AT266,0),IF(AND(NOT(AND(AO266=1,AN266&lt;&gt;1)),ISNUMBER(AI266),AI266&lt;=T266),AU266,0),IF(AND(ISNUMBER(AJ266),AJ266&lt;=T266),AV266,0))&lt;=0,"",IF(AND(IF(AND(NOT(AND(AO266=1,AN266&lt;&gt;1)),ISNUMBER(AG266),AG266&lt;=T266),AS266,0)&gt;0,IF(AND(NOT(AND(AO266=1,AN266&lt;&gt;1)),ISNUMBER(AG266),AG266&lt;=T266),AS266,0)=MAX(IF(AND(NOT(AND(AO266=1,AN266&lt;&gt;1)),ISNUMBER(AG266),AG266&lt;=T266),AS266,0),IF(AND(NOT(AND(AO266=1,AN266&lt;&gt;1)),ISNUMBER(AH266),AH266&lt;=T266),AT266,0),IF(AND(NOT(AND(AO266=1,AN266&lt;&gt;1)),ISNUMBER(AI266),AI266&lt;=T266),AU266,0),IF(AND(ISNUMBER(AJ266),AJ266&lt;=T266),AV266,0))),"SW",IF(AND(IF(AND(NOT(AND(AO266=1,AN266&lt;&gt;1)),ISNUMBER(AH266),AH266&lt;=T266),AT266,0)&gt;0,IF(AND(NOT(AND(AO266=1,AN266&lt;&gt;1)),ISNUMBER(AH266),AH266&lt;=T266),AT266,0)=MAX(IF(AND(NOT(AND(AO266=1,AN266&lt;&gt;1)),ISNUMBER(AG266),AG266&lt;=T266),AS266,0),IF(AND(NOT(AND(AO266=1,AN266&lt;&gt;1)),ISNUMBER(AH266),AH266&lt;=T266),AT266,0),IF(AND(NOT(AND(AO266=1,AN266&lt;&gt;1)),ISNUMBER(AI266),AI266&lt;=T266),AU266,0),IF(AND(ISNUMBER(AJ266),AJ266&lt;=T266),AV266,0))),"AB",IF(AND(IF(AND(NOT(AND(AO266=1,AN266&lt;&gt;1)),ISNUMBER(AI266),AI266&lt;=T266),AU266,0)&gt;0,IF(AND(NOT(AND(AO266=1,AN266&lt;&gt;1)),ISNUMBER(AI266),AI266&lt;=T266),AU266,0)=MAX(IF(AND(NOT(AND(AO266=1,AN266&lt;&gt;1)),ISNUMBER(AG266),AG266&lt;=T266),AS266,0),IF(AND(NOT(AND(AO266=1,AN266&lt;&gt;1)),ISNUMBER(AH266),AH266&lt;=T266),AT266,0),IF(AND(NOT(AND(AO266=1,AN266&lt;&gt;1)),ISNUMBER(AI266),AI266&lt;=T266),AU266,0),IF(AND(ISNUMBER(AJ266),AJ266&lt;=T266),AV266,0))),"SC","Mag")))))))</f>
        <v/>
      </c>
    </row>
    <row r="267">
      <c r="A267" s="26" t="n">
        <v>262</v>
      </c>
      <c r="B267" s="27">
        <f>A267*10/60</f>
        <v/>
      </c>
      <c r="C267" s="22">
        <f>X266</f>
        <v/>
      </c>
      <c r="D267" s="27">
        <f>D266+W266</f>
        <v/>
      </c>
      <c r="E267" s="26">
        <f>E266+IF(U266="SW",1,0)</f>
        <v/>
      </c>
      <c r="F267" s="26">
        <f>F266+IF(U266="AB",1,0)</f>
        <v/>
      </c>
      <c r="G267" s="26">
        <f>G266+IF(U266="SC",1,0)</f>
        <v/>
      </c>
      <c r="H267" s="26">
        <f>H266+IF(U266="Mag",1,0)</f>
        <v/>
      </c>
      <c r="I267" s="26">
        <f>MAX(I266,IF(U266="OR",1,0))</f>
        <v/>
      </c>
      <c r="J267" s="26">
        <f>MAX(J266,IF(U266="HP",1,0))</f>
        <v/>
      </c>
      <c r="K267" s="26">
        <f>MAX(K266,IF(U266="FP",1,0))</f>
        <v/>
      </c>
      <c r="L267" s="26">
        <f>MAX(L266,IF(U266="transition",1,0))</f>
        <v/>
      </c>
      <c r="M267" s="28">
        <f>(Parameters!$B$9+(IF(E267=0,0,(Upgrades!$J$6+E267*Upgrades!$K$6)*POWER(Upgrades!$L$6,E267)))*(IF(Upgrades!$T$7="Solar Wind",POWER(Upgrades!$U$7,F267),1)*IF(Upgrades!$T$8="Solar Wind",POWER(Upgrades!$U$8,G267),1)*IF(Upgrades!$T$9="Solar Wind",POWER(Upgrades!$U$9,H267),1)*IF(Upgrades!$T$10="Solar Wind",POWER(Upgrades!$U$10,I267),1)*IF(Upgrades!$T$11="Solar Wind",POWER(Upgrades!$U$11,J267),1)*IF(Upgrades!$T$12="Solar Wind",POWER(Upgrades!$U$12,K267),1))+(IF(F267=0,0,(Upgrades!$J$7+F267*Upgrades!$K$7)*POWER(Upgrades!$L$7,F267)))*(IF(Upgrades!$T$6="Asteroid Belt",POWER(Upgrades!$U$6,E267),1)*IF(Upgrades!$T$8="Asteroid Belt",POWER(Upgrades!$U$8,G267),1)*IF(Upgrades!$T$9="Asteroid Belt",POWER(Upgrades!$U$9,H267),1)*IF(Upgrades!$T$10="Asteroid Belt",POWER(Upgrades!$U$10,I267),1)*IF(Upgrades!$T$11="Asteroid Belt",POWER(Upgrades!$U$11,J267),1)*IF(Upgrades!$T$12="Asteroid Belt",POWER(Upgrades!$U$12,K267),1))+(IF(G267=0,0,(Upgrades!$J$8+G267*Upgrades!$K$8)*POWER(Upgrades!$L$8,G267)))*(IF(Upgrades!$T$6="Stellar Coupling",POWER(Upgrades!$U$6,E267),1)*IF(Upgrades!$T$7="Stellar Coupling",POWER(Upgrades!$U$7,F267),1)*IF(Upgrades!$T$9="Stellar Coupling",POWER(Upgrades!$U$9,H267),1)*IF(Upgrades!$T$10="Stellar Coupling",POWER(Upgrades!$U$10,I267),1)*IF(Upgrades!$T$11="Stellar Coupling",POWER(Upgrades!$U$11,J267),1)*IF(Upgrades!$T$12="Stellar Coupling",POWER(Upgrades!$U$12,K267),1))+(IF(H267=0,0,(Upgrades!$J$9+H267*Upgrades!$K$9)*POWER(Upgrades!$L$9,H267)))*(IF(Upgrades!$T$6="Magnetosphere",POWER(Upgrades!$U$6,E267),1)*IF(Upgrades!$T$7="Magnetosphere",POWER(Upgrades!$U$7,F267),1)*IF(Upgrades!$T$8="Magnetosphere",POWER(Upgrades!$U$8,G267),1)*IF(Upgrades!$T$10="Magnetosphere",POWER(Upgrades!$U$10,I267),1)*IF(Upgrades!$T$11="Magnetosphere",POWER(Upgrades!$U$11,J267),1)*IF(Upgrades!$T$12="Magnetosphere",POWER(Upgrades!$U$12,K267),1))+(IF(I267=0,0,(Upgrades!$J$10+I267*Upgrades!$K$10)*POWER(Upgrades!$L$10,I267)))*(IF(Upgrades!$T$6="Orbital Resonance",POWER(Upgrades!$U$6,E267),1)*IF(Upgrades!$T$7="Orbital Resonance",POWER(Upgrades!$U$7,F267),1)*IF(Upgrades!$T$8="Orbital Resonance",POWER(Upgrades!$U$8,G267),1)*IF(Upgrades!$T$9="Orbital Resonance",POWER(Upgrades!$U$9,H267),1)*IF(Upgrades!$T$11="Orbital Resonance",POWER(Upgrades!$U$11,J267),1)*IF(Upgrades!$T$12="Orbital Resonance",POWER(Upgrades!$U$12,K267),1))+(IF(J267=0,0,(Upgrades!$J$11+J267*Upgrades!$K$11)*POWER(Upgrades!$L$11,J267)))*(IF(Upgrades!$T$6="Heliopause",POWER(Upgrades!$U$6,E267),1)*IF(Upgrades!$T$7="Heliopause",POWER(Upgrades!$U$7,F267),1)*IF(Upgrades!$T$8="Heliopause",POWER(Upgrades!$U$8,G267),1)*IF(Upgrades!$T$9="Heliopause",POWER(Upgrades!$U$9,H267),1)*IF(Upgrades!$T$10="Heliopause",POWER(Upgrades!$U$10,I267),1)*IF(Upgrades!$T$12="Heliopause",POWER(Upgrades!$U$12,K267),1))+(IF(K267=0,0,(Upgrades!$J$12+K267*Upgrades!$K$12)*POWER(Upgrades!$L$12,K267)))*(IF(Upgrades!$T$6="First Photons",POWER(Upgrades!$U$6,E267),1)*IF(Upgrades!$T$7="First Photons",POWER(Upgrades!$U$7,F267),1)*IF(Upgrades!$T$8="First Photons",POWER(Upgrades!$U$8,G267),1)*IF(Upgrades!$T$9="First Photons",POWER(Upgrades!$U$9,H267),1)*IF(Upgrades!$T$10="First Photons",POWER(Upgrades!$U$10,I267),1)*IF(Upgrades!$T$11="First Photons",POWER(Upgrades!$U$11,J267),1)))*POWER(Upgrades!$Q$6,E267)*POWER(Upgrades!$Q$7,F267)*POWER(Upgrades!$Q$8,G267)*POWER(Upgrades!$Q$9,H267)*POWER(Upgrades!$Q$10,I267)*POWER(Upgrades!$Q$11,J267)*POWER(Upgrades!$Q$12,K267)</f>
        <v/>
      </c>
      <c r="N267" s="28">
        <f>((IF(E267=0,0,(Upgrades!$G$6+E267*Upgrades!$H$6)*POWER(Upgrades!$I$6,E267)))*(IF(Upgrades!$T$7="Solar Wind",POWER(Upgrades!$U$7,F267),1)*IF(Upgrades!$T$8="Solar Wind",POWER(Upgrades!$U$8,G267),1)*IF(Upgrades!$T$9="Solar Wind",POWER(Upgrades!$U$9,H267),1)*IF(Upgrades!$T$10="Solar Wind",POWER(Upgrades!$U$10,I267),1)*IF(Upgrades!$T$11="Solar Wind",POWER(Upgrades!$U$11,J267),1)*IF(Upgrades!$T$12="Solar Wind",POWER(Upgrades!$U$12,K267),1))+(IF(F267=0,0,(Upgrades!$G$7+F267*Upgrades!$H$7)*POWER(Upgrades!$I$7,F267)))*(IF(Upgrades!$T$6="Asteroid Belt",POWER(Upgrades!$U$6,E267),1)*IF(Upgrades!$T$8="Asteroid Belt",POWER(Upgrades!$U$8,G267),1)*IF(Upgrades!$T$9="Asteroid Belt",POWER(Upgrades!$U$9,H267),1)*IF(Upgrades!$T$10="Asteroid Belt",POWER(Upgrades!$U$10,I267),1)*IF(Upgrades!$T$11="Asteroid Belt",POWER(Upgrades!$U$11,J267),1)*IF(Upgrades!$T$12="Asteroid Belt",POWER(Upgrades!$U$12,K267),1))+(IF(G267=0,0,(Upgrades!$G$8+G267*Upgrades!$H$8)*POWER(Upgrades!$I$8,G267)))*(IF(Upgrades!$T$6="Stellar Coupling",POWER(Upgrades!$U$6,E267),1)*IF(Upgrades!$T$7="Stellar Coupling",POWER(Upgrades!$U$7,F267),1)*IF(Upgrades!$T$9="Stellar Coupling",POWER(Upgrades!$U$9,H267),1)*IF(Upgrades!$T$10="Stellar Coupling",POWER(Upgrades!$U$10,I267),1)*IF(Upgrades!$T$11="Stellar Coupling",POWER(Upgrades!$U$11,J267),1)*IF(Upgrades!$T$12="Stellar Coupling",POWER(Upgrades!$U$12,K267),1))+(IF(H267=0,0,(Upgrades!$G$9+H267*Upgrades!$H$9)*POWER(Upgrades!$I$9,H267)))*(IF(Upgrades!$T$6="Magnetosphere",POWER(Upgrades!$U$6,E267),1)*IF(Upgrades!$T$7="Magnetosphere",POWER(Upgrades!$U$7,F267),1)*IF(Upgrades!$T$8="Magnetosphere",POWER(Upgrades!$U$8,G267),1)*IF(Upgrades!$T$10="Magnetosphere",POWER(Upgrades!$U$10,I267),1)*IF(Upgrades!$T$11="Magnetosphere",POWER(Upgrades!$U$11,J267),1)*IF(Upgrades!$T$12="Magnetosphere",POWER(Upgrades!$U$12,K267),1))+(IF(I267=0,0,(Upgrades!$G$10+I267*Upgrades!$H$10)*POWER(Upgrades!$I$10,I267)))*(IF(Upgrades!$T$6="Orbital Resonance",POWER(Upgrades!$U$6,E267),1)*IF(Upgrades!$T$7="Orbital Resonance",POWER(Upgrades!$U$7,F267),1)*IF(Upgrades!$T$8="Orbital Resonance",POWER(Upgrades!$U$8,G267),1)*IF(Upgrades!$T$9="Orbital Resonance",POWER(Upgrades!$U$9,H267),1)*IF(Upgrades!$T$11="Orbital Resonance",POWER(Upgrades!$U$11,J267),1)*IF(Upgrades!$T$12="Orbital Resonance",POWER(Upgrades!$U$12,K267),1))+(IF(J267=0,0,(Upgrades!$G$11+J267*Upgrades!$H$11)*POWER(Upgrades!$I$11,J267)))*(IF(Upgrades!$T$6="Heliopause",POWER(Upgrades!$U$6,E267),1)*IF(Upgrades!$T$7="Heliopause",POWER(Upgrades!$U$7,F267),1)*IF(Upgrades!$T$8="Heliopause",POWER(Upgrades!$U$8,G267),1)*IF(Upgrades!$T$9="Heliopause",POWER(Upgrades!$U$9,H267),1)*IF(Upgrades!$T$10="Heliopause",POWER(Upgrades!$U$10,I267),1)*IF(Upgrades!$T$12="Heliopause",POWER(Upgrades!$U$12,K267),1))+(IF(K267=0,0,(Upgrades!$G$12+K267*Upgrades!$H$12)*POWER(Upgrades!$I$12,K267)))*(IF(Upgrades!$T$6="First Photons",POWER(Upgrades!$U$6,E267),1)*IF(Upgrades!$T$7="First Photons",POWER(Upgrades!$U$7,F267),1)*IF(Upgrades!$T$8="First Photons",POWER(Upgrades!$U$8,G267),1)*IF(Upgrades!$T$9="First Photons",POWER(Upgrades!$U$9,H267),1)*IF(Upgrades!$T$10="First Photons",POWER(Upgrades!$U$10,I267),1)*IF(Upgrades!$T$11="First Photons",POWER(Upgrades!$U$11,J267),1)))*POWER(Upgrades!$P$6,E267)*POWER(Upgrades!$P$7,F267)*POWER(Upgrades!$P$8,G267)*POWER(Upgrades!$P$9,H267)*POWER(Upgrades!$P$10,I267)*POWER(Upgrades!$P$11,J267)*POWER(Upgrades!$P$12,K267)</f>
        <v/>
      </c>
      <c r="O267" s="28">
        <f>((IF(E267=0,0,(Upgrades!$M$6+E267*Upgrades!$N$6)*POWER(Upgrades!$O$6,E267)))*(IF(Upgrades!$T$7="Solar Wind",POWER(Upgrades!$U$7,F267),1)*IF(Upgrades!$T$8="Solar Wind",POWER(Upgrades!$U$8,G267),1)*IF(Upgrades!$T$9="Solar Wind",POWER(Upgrades!$U$9,H267),1)*IF(Upgrades!$T$10="Solar Wind",POWER(Upgrades!$U$10,I267),1)*IF(Upgrades!$T$11="Solar Wind",POWER(Upgrades!$U$11,J267),1)*IF(Upgrades!$T$12="Solar Wind",POWER(Upgrades!$U$12,K267),1))+(IF(F267=0,0,(Upgrades!$M$7+F267*Upgrades!$N$7)*POWER(Upgrades!$O$7,F267)))*(IF(Upgrades!$T$6="Asteroid Belt",POWER(Upgrades!$U$6,E267),1)*IF(Upgrades!$T$8="Asteroid Belt",POWER(Upgrades!$U$8,G267),1)*IF(Upgrades!$T$9="Asteroid Belt",POWER(Upgrades!$U$9,H267),1)*IF(Upgrades!$T$10="Asteroid Belt",POWER(Upgrades!$U$10,I267),1)*IF(Upgrades!$T$11="Asteroid Belt",POWER(Upgrades!$U$11,J267),1)*IF(Upgrades!$T$12="Asteroid Belt",POWER(Upgrades!$U$12,K267),1))+(IF(G267=0,0,(Upgrades!$M$8+G267*Upgrades!$N$8)*POWER(Upgrades!$O$8,G267)))*(IF(Upgrades!$T$6="Stellar Coupling",POWER(Upgrades!$U$6,E267),1)*IF(Upgrades!$T$7="Stellar Coupling",POWER(Upgrades!$U$7,F267),1)*IF(Upgrades!$T$9="Stellar Coupling",POWER(Upgrades!$U$9,H267),1)*IF(Upgrades!$T$10="Stellar Coupling",POWER(Upgrades!$U$10,I267),1)*IF(Upgrades!$T$11="Stellar Coupling",POWER(Upgrades!$U$11,J267),1)*IF(Upgrades!$T$12="Stellar Coupling",POWER(Upgrades!$U$12,K267),1))+(IF(H267=0,0,(Upgrades!$M$9+H267*Upgrades!$N$9)*POWER(Upgrades!$O$9,H267)))*(IF(Upgrades!$T$6="Magnetosphere",POWER(Upgrades!$U$6,E267),1)*IF(Upgrades!$T$7="Magnetosphere",POWER(Upgrades!$U$7,F267),1)*IF(Upgrades!$T$8="Magnetosphere",POWER(Upgrades!$U$8,G267),1)*IF(Upgrades!$T$10="Magnetosphere",POWER(Upgrades!$U$10,I267),1)*IF(Upgrades!$T$11="Magnetosphere",POWER(Upgrades!$U$11,J267),1)*IF(Upgrades!$T$12="Magnetosphere",POWER(Upgrades!$U$12,K267),1))+(IF(I267=0,0,(Upgrades!$M$10+I267*Upgrades!$N$10)*POWER(Upgrades!$O$10,I267)))*(IF(Upgrades!$T$6="Orbital Resonance",POWER(Upgrades!$U$6,E267),1)*IF(Upgrades!$T$7="Orbital Resonance",POWER(Upgrades!$U$7,F267),1)*IF(Upgrades!$T$8="Orbital Resonance",POWER(Upgrades!$U$8,G267),1)*IF(Upgrades!$T$9="Orbital Resonance",POWER(Upgrades!$U$9,H267),1)*IF(Upgrades!$T$11="Orbital Resonance",POWER(Upgrades!$U$11,J267),1)*IF(Upgrades!$T$12="Orbital Resonance",POWER(Upgrades!$U$12,K267),1))+(IF(J267=0,0,(Upgrades!$M$11+J267*Upgrades!$N$11)*POWER(Upgrades!$O$11,J267)))*(IF(Upgrades!$T$6="Heliopause",POWER(Upgrades!$U$6,E267),1)*IF(Upgrades!$T$7="Heliopause",POWER(Upgrades!$U$7,F267),1)*IF(Upgrades!$T$8="Heliopause",POWER(Upgrades!$U$8,G267),1)*IF(Upgrades!$T$9="Heliopause",POWER(Upgrades!$U$9,H267),1)*IF(Upgrades!$T$10="Heliopause",POWER(Upgrades!$U$10,I267),1)*IF(Upgrades!$T$12="Heliopause",POWER(Upgrades!$U$12,K267),1))+(IF(K267=0,0,(Upgrades!$M$12+K267*Upgrades!$N$12)*POWER(Upgrades!$O$12,K267)))*(IF(Upgrades!$T$6="First Photons",POWER(Upgrades!$U$6,E267),1)*IF(Upgrades!$T$7="First Photons",POWER(Upgrades!$U$7,F267),1)*IF(Upgrades!$T$8="First Photons",POWER(Upgrades!$U$8,G267),1)*IF(Upgrades!$T$9="First Photons",POWER(Upgrades!$U$9,H267),1)*IF(Upgrades!$T$10="First Photons",POWER(Upgrades!$U$10,I267),1)*IF(Upgrades!$T$11="First Photons",POWER(Upgrades!$U$11,J267),1)))*POWER(Upgrades!$R$6,E267)*POWER(Upgrades!$R$7,F267)*POWER(Upgrades!$R$8,G267)*POWER(Upgrades!$R$9,H267)*POWER(Upgrades!$R$10,I267)*POWER(Upgrades!$R$11,J267)*POWER(Upgrades!$R$12,K267)</f>
        <v/>
      </c>
      <c r="P267" s="27">
        <f>IF(L267=1,0,M267*Parameters!$B$10/60*Parameters!$B$11*10)</f>
        <v/>
      </c>
      <c r="Q267" s="27">
        <f>IF(L267=1,0,O267*M267*10)</f>
        <v/>
      </c>
      <c r="R267" s="27">
        <f>IF(L267=1,0,N267*10)</f>
        <v/>
      </c>
      <c r="S267" s="27">
        <f>P267+Q267+R267</f>
        <v/>
      </c>
      <c r="T267" s="22">
        <f>C267+S267</f>
        <v/>
      </c>
      <c r="U267" s="33">
        <f>AX267</f>
        <v/>
      </c>
      <c r="V267" s="22">
        <f>IF(U267="",0,IF(U267="transition",0,IF(U267="SW",AG267,IF(U267="AB",AH267,IF(U267="SC",AI267,IF(U267="Mag",AJ267,IF(U267="OR",AK267,IF(U267="HP",AL267,IF(U267="FP",AM267,0)))))))))</f>
        <v/>
      </c>
      <c r="W267" s="27">
        <f>IF(U267="OR",Upgrades!$F$10,IF(U267="HP",Upgrades!$F$11,IF(U267="transition",-Parameters!$B$18,0)))</f>
        <v/>
      </c>
      <c r="X267" s="22">
        <f>T267-V267</f>
        <v/>
      </c>
      <c r="Y267" s="30">
        <f>M267*Parameters!$B$10/60*Parameters!$B$11+O267*M267+N267</f>
        <v/>
      </c>
      <c r="Z267" s="34">
        <f>IF(U267="transition","→ Tier 2 (Stellar Neighborhood)",IF(U267="FP","First Photons — light begins, system quickens",IF(U267="HP","Heliopause acquired",IF(U267="OR","Orbital Resonance — passive multiplier active",IF(AND(AO267=1,L267=0,AN267&lt;&gt;1),"Cohesion ready (waiting on completionist upgrades)","")))))</f>
        <v/>
      </c>
      <c r="AA267" s="27">
        <f>(IF(E267=0,0,(Upgrades!$G$6+E267*Upgrades!$H$6)*POWER(Upgrades!$I$6,E267)))*(IF(Upgrades!$T$7="Solar Wind",POWER(Upgrades!$U$7,F267),1)*IF(Upgrades!$T$8="Solar Wind",POWER(Upgrades!$U$8,G267),1)*IF(Upgrades!$T$9="Solar Wind",POWER(Upgrades!$U$9,H267),1)*IF(Upgrades!$T$10="Solar Wind",POWER(Upgrades!$U$10,I267),1)*IF(Upgrades!$T$11="Solar Wind",POWER(Upgrades!$U$11,J267),1)*IF(Upgrades!$T$12="Solar Wind",POWER(Upgrades!$U$12,K267),1))*POWER(Upgrades!$P$6,E267)*POWER(Upgrades!$P$7,F267)*POWER(Upgrades!$P$8,G267)*POWER(Upgrades!$P$9,H267)*POWER(Upgrades!$P$10,I267)*POWER(Upgrades!$P$11,J267)*POWER(Upgrades!$P$12,K267)*60</f>
        <v/>
      </c>
      <c r="AB267" s="27">
        <f>(IF(F267=0,0,(Upgrades!$G$7+F267*Upgrades!$H$7)*POWER(Upgrades!$I$7,F267)))*(IF(Upgrades!$T$6="Asteroid Belt",POWER(Upgrades!$U$6,E267),1)*IF(Upgrades!$T$8="Asteroid Belt",POWER(Upgrades!$U$8,G267),1)*IF(Upgrades!$T$9="Asteroid Belt",POWER(Upgrades!$U$9,H267),1)*IF(Upgrades!$T$10="Asteroid Belt",POWER(Upgrades!$U$10,I267),1)*IF(Upgrades!$T$11="Asteroid Belt",POWER(Upgrades!$U$11,J267),1)*IF(Upgrades!$T$12="Asteroid Belt",POWER(Upgrades!$U$12,K267),1))*POWER(Upgrades!$P$6,E267)*POWER(Upgrades!$P$7,F267)*POWER(Upgrades!$P$8,G267)*POWER(Upgrades!$P$9,H267)*POWER(Upgrades!$P$10,I267)*POWER(Upgrades!$P$11,J267)*POWER(Upgrades!$P$12,K267)*60</f>
        <v/>
      </c>
      <c r="AC267" s="27">
        <f>(IF(G267=0,0,(Upgrades!$J$8+G267*Upgrades!$K$8)*POWER(Upgrades!$L$8,G267)))*(IF(Upgrades!$T$6="Stellar Coupling",POWER(Upgrades!$U$6,E267),1)*IF(Upgrades!$T$7="Stellar Coupling",POWER(Upgrades!$U$7,F267),1)*IF(Upgrades!$T$9="Stellar Coupling",POWER(Upgrades!$U$9,H267),1)*IF(Upgrades!$T$10="Stellar Coupling",POWER(Upgrades!$U$10,I267),1)*IF(Upgrades!$T$11="Stellar Coupling",POWER(Upgrades!$U$11,J267),1)*IF(Upgrades!$T$12="Stellar Coupling",POWER(Upgrades!$U$12,K267),1))*POWER(Upgrades!$Q$6,E267)*POWER(Upgrades!$Q$7,F267)*POWER(Upgrades!$Q$8,G267)*POWER(Upgrades!$Q$9,H267)*POWER(Upgrades!$Q$10,I267)*POWER(Upgrades!$Q$11,J267)*POWER(Upgrades!$Q$12,K267)*Parameters!$B$10*Parameters!$B$11</f>
        <v/>
      </c>
      <c r="AD267" s="27">
        <f>(IF(H267=0,0,(Upgrades!$G$9+H267*Upgrades!$H$9)*POWER(Upgrades!$I$9,H267)))*(IF(Upgrades!$T$6="Magnetosphere",POWER(Upgrades!$U$6,E267),1)*IF(Upgrades!$T$7="Magnetosphere",POWER(Upgrades!$U$7,F267),1)*IF(Upgrades!$T$8="Magnetosphere",POWER(Upgrades!$U$8,G267),1)*IF(Upgrades!$T$10="Magnetosphere",POWER(Upgrades!$U$10,I267),1)*IF(Upgrades!$T$11="Magnetosphere",POWER(Upgrades!$U$11,J267),1)*IF(Upgrades!$T$12="Magnetosphere",POWER(Upgrades!$U$12,K267),1))*POWER(Upgrades!$P$6,E267)*POWER(Upgrades!$P$7,F267)*POWER(Upgrades!$P$8,G267)*POWER(Upgrades!$P$9,H267)*POWER(Upgrades!$P$10,I267)*POWER(Upgrades!$P$11,J267)*POWER(Upgrades!$P$12,K267)*60</f>
        <v/>
      </c>
      <c r="AE267" s="27">
        <f>(IF(K267=0,0,(Upgrades!$G$12+K267*Upgrades!$H$12)*POWER(Upgrades!$I$12,K267)))*(IF(Upgrades!$T$6="First Photons",POWER(Upgrades!$U$6,E267),1)*IF(Upgrades!$T$7="First Photons",POWER(Upgrades!$U$7,F267),1)*IF(Upgrades!$T$8="First Photons",POWER(Upgrades!$U$8,G267),1)*IF(Upgrades!$T$9="First Photons",POWER(Upgrades!$U$9,H267),1)*IF(Upgrades!$T$10="First Photons",POWER(Upgrades!$U$10,I267),1)*IF(Upgrades!$T$11="First Photons",POWER(Upgrades!$U$11,J267),1))*POWER(Upgrades!$P$6,E267)*POWER(Upgrades!$P$7,F267)*POWER(Upgrades!$P$8,G267)*POWER(Upgrades!$P$9,H267)*POWER(Upgrades!$P$10,I267)*POWER(Upgrades!$P$11,J267)*POWER(Upgrades!$P$12,K267)*60</f>
        <v/>
      </c>
      <c r="AF267" s="27">
        <f>Parameters!$B$9*POWER(Upgrades!$Q$6,E267)*POWER(Upgrades!$Q$7,F267)*POWER(Upgrades!$Q$8,G267)*POWER(Upgrades!$Q$9,H267)*POWER(Upgrades!$Q$10,I267)*POWER(Upgrades!$Q$11,J267)*POWER(Upgrades!$Q$12,K267)*(Parameters!$B$10*Parameters!$B$11+O267*60)</f>
        <v/>
      </c>
      <c r="AG267" s="22">
        <f>IF(E267&gt;=Upgrades!$E$6,"",Upgrades!$C$6*POWER(Upgrades!$D$6,E267))</f>
        <v/>
      </c>
      <c r="AH267" s="22">
        <f>IF(F267&gt;=Upgrades!$E$7,"",Upgrades!$C$7*POWER(Upgrades!$D$7,F267))</f>
        <v/>
      </c>
      <c r="AI267" s="22">
        <f>IF(G267&gt;=Upgrades!$E$8,"",Upgrades!$C$8*POWER(Upgrades!$D$8,G267))</f>
        <v/>
      </c>
      <c r="AJ267" s="22">
        <f>IF(H267&gt;=Upgrades!$E$9,"",Upgrades!$C$9*POWER(Upgrades!$D$9,H267))</f>
        <v/>
      </c>
      <c r="AK267" s="22">
        <f>IF(I267&gt;=Upgrades!$E$10,"",Upgrades!$C$10*POWER(Upgrades!$D$10,I267))</f>
        <v/>
      </c>
      <c r="AL267" s="22">
        <f>IF(J267&gt;=Upgrades!$E$11,"",Upgrades!$C$11*POWER(Upgrades!$D$11,J267))</f>
        <v/>
      </c>
      <c r="AM267" s="22">
        <f>IF(K267&gt;=Upgrades!$E$12,"",Upgrades!$C$12*POWER(Upgrades!$D$12,K267))</f>
        <v/>
      </c>
      <c r="AN267" s="26">
        <f>IF(AND(D267&gt;=Parameters!$B$18,(H267&gt;=Upgrades!$E$9)*(K267&gt;=Upgrades!$E$12)=1,L267=0),1,"")</f>
        <v/>
      </c>
      <c r="AO267" s="26">
        <f>IF(AND(D267&gt;=Parameters!$B$18,L267=0),1,"")</f>
        <v/>
      </c>
      <c r="AP267" s="22">
        <f>MIN(IF(ISNUMBER(AK267),AK267,9E15),IF(ISNUMBER(AL267),AL267,9E15),IF(ISNUMBER(AM267),AM267,9E15))</f>
        <v/>
      </c>
      <c r="AQ267" s="22">
        <f>MIN(IF(ISNUMBER(AG267),AG267,9E15),IF(ISNUMBER(AH267),AH267,9E15),IF(ISNUMBER(AI267),AI267,9E15),IF(ISNUMBER(AJ267),AJ267,9E15))</f>
        <v/>
      </c>
      <c r="AR267" s="29">
        <f>IF(AW267&gt;Parameters!$B$21*(MAX(IF(AND(NOT(AND(AO267=1,AN267&lt;&gt;1)),ISNUMBER(AG267),AG267&lt;=T267),AS267,0),IF(AND(NOT(AND(AO267=1,AN267&lt;&gt;1)),ISNUMBER(AH267),AH267&lt;=T267),AT267,0),IF(AND(NOT(AND(AO267=1,AN267&lt;&gt;1)),ISNUMBER(AI267),AI267&lt;=T267),AU267,0),IF(AND(ISNUMBER(AJ267),AJ267&lt;=T267),AV267,0))),TRUE,FALSE)</f>
        <v/>
      </c>
      <c r="AS267" s="32">
        <f>IFERROR(Upgrades!$H$6*(POWER(Upgrades!$P$6,E267)*POWER(Upgrades!$P$7,F267)*POWER(Upgrades!$P$8,G267)*POWER(Upgrades!$P$9,H267)*POWER(Upgrades!$P$10,I267)*POWER(Upgrades!$P$11,J267)*POWER(Upgrades!$P$12,K267))*(IF(Upgrades!$T$7="Solar Wind",POWER(Upgrades!$U$7,F267),1)*IF(Upgrades!$T$8="Solar Wind",POWER(Upgrades!$U$8,G267),1)*IF(Upgrades!$T$9="Solar Wind",POWER(Upgrades!$U$9,H267),1)*IF(Upgrades!$T$10="Solar Wind",POWER(Upgrades!$U$10,I267),1)*IF(Upgrades!$T$11="Solar Wind",POWER(Upgrades!$U$11,J267),1)*IF(Upgrades!$T$12="Solar Wind",POWER(Upgrades!$U$12,K267),1))/AG267,0)</f>
        <v/>
      </c>
      <c r="AT267" s="32">
        <f>IFERROR(Upgrades!$H$7*(POWER(Upgrades!$P$6,E267)*POWER(Upgrades!$P$7,F267)*POWER(Upgrades!$P$8,G267)*POWER(Upgrades!$P$9,H267)*POWER(Upgrades!$P$10,I267)*POWER(Upgrades!$P$11,J267)*POWER(Upgrades!$P$12,K267))*(IF(Upgrades!$T$6="Asteroid Belt",POWER(Upgrades!$U$6,E267),1)*IF(Upgrades!$T$8="Asteroid Belt",POWER(Upgrades!$U$8,G267),1)*IF(Upgrades!$T$9="Asteroid Belt",POWER(Upgrades!$U$9,H267),1)*IF(Upgrades!$T$10="Asteroid Belt",POWER(Upgrades!$U$10,I267),1)*IF(Upgrades!$T$11="Asteroid Belt",POWER(Upgrades!$U$11,J267),1)*IF(Upgrades!$T$12="Asteroid Belt",POWER(Upgrades!$U$12,K267),1))/AH267,0)</f>
        <v/>
      </c>
      <c r="AU267" s="32">
        <f>IFERROR(Upgrades!$K$8*(POWER(Upgrades!$Q$6,E267)*POWER(Upgrades!$Q$7,F267)*POWER(Upgrades!$Q$8,G267)*POWER(Upgrades!$Q$9,H267)*POWER(Upgrades!$Q$10,I267)*POWER(Upgrades!$Q$11,J267)*POWER(Upgrades!$Q$12,K267))*(IF(Upgrades!$T$6="Stellar Coupling",POWER(Upgrades!$U$6,E267),1)*IF(Upgrades!$T$7="Stellar Coupling",POWER(Upgrades!$U$7,F267),1)*IF(Upgrades!$T$9="Stellar Coupling",POWER(Upgrades!$U$9,H267),1)*IF(Upgrades!$T$10="Stellar Coupling",POWER(Upgrades!$U$10,I267),1)*IF(Upgrades!$T$11="Stellar Coupling",POWER(Upgrades!$U$11,J267),1)*IF(Upgrades!$T$12="Stellar Coupling",POWER(Upgrades!$U$12,K267),1))*Parameters!$B$10*Parameters!$B$11/60/AI267,0)</f>
        <v/>
      </c>
      <c r="AV267" s="32">
        <f>IFERROR(Upgrades!$H$9*(POWER(Upgrades!$P$6,E267)*POWER(Upgrades!$P$7,F267)*POWER(Upgrades!$P$8,G267)*POWER(Upgrades!$P$9,H267)*POWER(Upgrades!$P$10,I267)*POWER(Upgrades!$P$11,J267)*POWER(Upgrades!$P$12,K267))*(IF(Upgrades!$T$6="Magnetosphere",POWER(Upgrades!$U$6,E267),1)*IF(Upgrades!$T$7="Magnetosphere",POWER(Upgrades!$U$7,F267),1)*IF(Upgrades!$T$8="Magnetosphere",POWER(Upgrades!$U$8,G267),1)*IF(Upgrades!$T$10="Magnetosphere",POWER(Upgrades!$U$10,I267),1)*IF(Upgrades!$T$11="Magnetosphere",POWER(Upgrades!$U$11,J267),1)*IF(Upgrades!$T$12="Magnetosphere",POWER(Upgrades!$U$12,K267),1))/AJ267,0)</f>
        <v/>
      </c>
      <c r="AW267" s="32">
        <f>MAX(IF(I267&gt;0,0,IFERROR(0.25*N267/Upgrades!$C$10,0)),IF(J267&gt;0,0,IFERROR(0.5*((IF(G267=0,0,(Upgrades!$J$8+G267*Upgrades!$K$8)*POWER(Upgrades!$L$8,G267)))*(IF(Upgrades!$T$6="Stellar Coupling",POWER(Upgrades!$U$6,E267),1)*IF(Upgrades!$T$7="Stellar Coupling",POWER(Upgrades!$U$7,F267),1)*IF(Upgrades!$T$9="Stellar Coupling",POWER(Upgrades!$U$9,H267),1)*IF(Upgrades!$T$10="Stellar Coupling",POWER(Upgrades!$U$10,I267),1)*IF(Upgrades!$T$11="Stellar Coupling",POWER(Upgrades!$U$11,J267),1)*IF(Upgrades!$T$12="Stellar Coupling",POWER(Upgrades!$U$12,K267),1))*(POWER(Upgrades!$Q$6,E267)*POWER(Upgrades!$Q$7,F267)*POWER(Upgrades!$Q$8,G267)*POWER(Upgrades!$Q$9,H267)*POWER(Upgrades!$Q$10,I267)*POWER(Upgrades!$Q$11,J267)*POWER(Upgrades!$Q$12,K267))*Parameters!$B$10*Parameters!$B$11/60)/Upgrades!$C$11,0)),IF(K267&gt;0,0,IFERROR((1.0*(POWER(Upgrades!$P$6,E267)*POWER(Upgrades!$P$7,F267)*POWER(Upgrades!$P$8,G267)*POWER(Upgrades!$P$9,H267)*POWER(Upgrades!$P$10,I267)*POWER(Upgrades!$P$11,J267)*POWER(Upgrades!$P$12,K267))+0.20*M267*Parameters!$B$10*Parameters!$B$11/60)/Upgrades!$C$12,0)),IF(AND(ISNUMBER(AG267),AG267&gt;T267),AS267,0),IF(AND(ISNUMBER(AH267),AH267&gt;T267),AT267,0),IF(AND(ISNUMBER(AI267),AI267&gt;T267),AU267,0),IF(AND(ISNUMBER(AJ267),AJ267&gt;T267),AV267,0))</f>
        <v/>
      </c>
      <c r="AX267" s="29">
        <f>IF(AN267=1,"transition",IF(MIN(IF(AND(I267=0,ISNUMBER(AK267),AK267&lt;=T267),AK267,9E15),IF(AND(J267=0,ISNUMBER(AL267),AL267&lt;=T267),AL267,9E15),IF(AND(K267=0,ISNUMBER(AM267),AM267&lt;=T267),AM267,9E15))&lt;9E15,IF(AND(AND(I267=0,ISNUMBER(AK267),AK267&lt;=T267),AK267=MIN(IF(AND(I267=0,ISNUMBER(AK267),AK267&lt;=T267),AK267,9E15),IF(AND(J267=0,ISNUMBER(AL267),AL267&lt;=T267),AL267,9E15),IF(AND(K267=0,ISNUMBER(AM267),AM267&lt;=T267),AM267,9E15))),"OR",IF(AND(AND(J267=0,ISNUMBER(AL267),AL267&lt;=T267),AL267=MIN(IF(AND(I267=0,ISNUMBER(AK267),AK267&lt;=T267),AK267,9E15),IF(AND(J267=0,ISNUMBER(AL267),AL267&lt;=T267),AL267,9E15),IF(AND(K267=0,ISNUMBER(AM267),AM267&lt;=T267),AM267,9E15))),"HP","FP")),IF(AR267=TRUE,"",IF(MAX(IF(AND(NOT(AND(AO267=1,AN267&lt;&gt;1)),ISNUMBER(AG267),AG267&lt;=T267),AS267,0),IF(AND(NOT(AND(AO267=1,AN267&lt;&gt;1)),ISNUMBER(AH267),AH267&lt;=T267),AT267,0),IF(AND(NOT(AND(AO267=1,AN267&lt;&gt;1)),ISNUMBER(AI267),AI267&lt;=T267),AU267,0),IF(AND(ISNUMBER(AJ267),AJ267&lt;=T267),AV267,0))&lt;=0,"",IF(AND(IF(AND(NOT(AND(AO267=1,AN267&lt;&gt;1)),ISNUMBER(AG267),AG267&lt;=T267),AS267,0)&gt;0,IF(AND(NOT(AND(AO267=1,AN267&lt;&gt;1)),ISNUMBER(AG267),AG267&lt;=T267),AS267,0)=MAX(IF(AND(NOT(AND(AO267=1,AN267&lt;&gt;1)),ISNUMBER(AG267),AG267&lt;=T267),AS267,0),IF(AND(NOT(AND(AO267=1,AN267&lt;&gt;1)),ISNUMBER(AH267),AH267&lt;=T267),AT267,0),IF(AND(NOT(AND(AO267=1,AN267&lt;&gt;1)),ISNUMBER(AI267),AI267&lt;=T267),AU267,0),IF(AND(ISNUMBER(AJ267),AJ267&lt;=T267),AV267,0))),"SW",IF(AND(IF(AND(NOT(AND(AO267=1,AN267&lt;&gt;1)),ISNUMBER(AH267),AH267&lt;=T267),AT267,0)&gt;0,IF(AND(NOT(AND(AO267=1,AN267&lt;&gt;1)),ISNUMBER(AH267),AH267&lt;=T267),AT267,0)=MAX(IF(AND(NOT(AND(AO267=1,AN267&lt;&gt;1)),ISNUMBER(AG267),AG267&lt;=T267),AS267,0),IF(AND(NOT(AND(AO267=1,AN267&lt;&gt;1)),ISNUMBER(AH267),AH267&lt;=T267),AT267,0),IF(AND(NOT(AND(AO267=1,AN267&lt;&gt;1)),ISNUMBER(AI267),AI267&lt;=T267),AU267,0),IF(AND(ISNUMBER(AJ267),AJ267&lt;=T267),AV267,0))),"AB",IF(AND(IF(AND(NOT(AND(AO267=1,AN267&lt;&gt;1)),ISNUMBER(AI267),AI267&lt;=T267),AU267,0)&gt;0,IF(AND(NOT(AND(AO267=1,AN267&lt;&gt;1)),ISNUMBER(AI267),AI267&lt;=T267),AU267,0)=MAX(IF(AND(NOT(AND(AO267=1,AN267&lt;&gt;1)),ISNUMBER(AG267),AG267&lt;=T267),AS267,0),IF(AND(NOT(AND(AO267=1,AN267&lt;&gt;1)),ISNUMBER(AH267),AH267&lt;=T267),AT267,0),IF(AND(NOT(AND(AO267=1,AN267&lt;&gt;1)),ISNUMBER(AI267),AI267&lt;=T267),AU267,0),IF(AND(ISNUMBER(AJ267),AJ267&lt;=T267),AV267,0))),"SC","Mag")))))))</f>
        <v/>
      </c>
    </row>
    <row r="268">
      <c r="A268" s="26" t="n">
        <v>263</v>
      </c>
      <c r="B268" s="27">
        <f>A268*10/60</f>
        <v/>
      </c>
      <c r="C268" s="22">
        <f>X267</f>
        <v/>
      </c>
      <c r="D268" s="27">
        <f>D267+W267</f>
        <v/>
      </c>
      <c r="E268" s="26">
        <f>E267+IF(U267="SW",1,0)</f>
        <v/>
      </c>
      <c r="F268" s="26">
        <f>F267+IF(U267="AB",1,0)</f>
        <v/>
      </c>
      <c r="G268" s="26">
        <f>G267+IF(U267="SC",1,0)</f>
        <v/>
      </c>
      <c r="H268" s="26">
        <f>H267+IF(U267="Mag",1,0)</f>
        <v/>
      </c>
      <c r="I268" s="26">
        <f>MAX(I267,IF(U267="OR",1,0))</f>
        <v/>
      </c>
      <c r="J268" s="26">
        <f>MAX(J267,IF(U267="HP",1,0))</f>
        <v/>
      </c>
      <c r="K268" s="26">
        <f>MAX(K267,IF(U267="FP",1,0))</f>
        <v/>
      </c>
      <c r="L268" s="26">
        <f>MAX(L267,IF(U267="transition",1,0))</f>
        <v/>
      </c>
      <c r="M268" s="28">
        <f>(Parameters!$B$9+(IF(E268=0,0,(Upgrades!$J$6+E268*Upgrades!$K$6)*POWER(Upgrades!$L$6,E268)))*(IF(Upgrades!$T$7="Solar Wind",POWER(Upgrades!$U$7,F268),1)*IF(Upgrades!$T$8="Solar Wind",POWER(Upgrades!$U$8,G268),1)*IF(Upgrades!$T$9="Solar Wind",POWER(Upgrades!$U$9,H268),1)*IF(Upgrades!$T$10="Solar Wind",POWER(Upgrades!$U$10,I268),1)*IF(Upgrades!$T$11="Solar Wind",POWER(Upgrades!$U$11,J268),1)*IF(Upgrades!$T$12="Solar Wind",POWER(Upgrades!$U$12,K268),1))+(IF(F268=0,0,(Upgrades!$J$7+F268*Upgrades!$K$7)*POWER(Upgrades!$L$7,F268)))*(IF(Upgrades!$T$6="Asteroid Belt",POWER(Upgrades!$U$6,E268),1)*IF(Upgrades!$T$8="Asteroid Belt",POWER(Upgrades!$U$8,G268),1)*IF(Upgrades!$T$9="Asteroid Belt",POWER(Upgrades!$U$9,H268),1)*IF(Upgrades!$T$10="Asteroid Belt",POWER(Upgrades!$U$10,I268),1)*IF(Upgrades!$T$11="Asteroid Belt",POWER(Upgrades!$U$11,J268),1)*IF(Upgrades!$T$12="Asteroid Belt",POWER(Upgrades!$U$12,K268),1))+(IF(G268=0,0,(Upgrades!$J$8+G268*Upgrades!$K$8)*POWER(Upgrades!$L$8,G268)))*(IF(Upgrades!$T$6="Stellar Coupling",POWER(Upgrades!$U$6,E268),1)*IF(Upgrades!$T$7="Stellar Coupling",POWER(Upgrades!$U$7,F268),1)*IF(Upgrades!$T$9="Stellar Coupling",POWER(Upgrades!$U$9,H268),1)*IF(Upgrades!$T$10="Stellar Coupling",POWER(Upgrades!$U$10,I268),1)*IF(Upgrades!$T$11="Stellar Coupling",POWER(Upgrades!$U$11,J268),1)*IF(Upgrades!$T$12="Stellar Coupling",POWER(Upgrades!$U$12,K268),1))+(IF(H268=0,0,(Upgrades!$J$9+H268*Upgrades!$K$9)*POWER(Upgrades!$L$9,H268)))*(IF(Upgrades!$T$6="Magnetosphere",POWER(Upgrades!$U$6,E268),1)*IF(Upgrades!$T$7="Magnetosphere",POWER(Upgrades!$U$7,F268),1)*IF(Upgrades!$T$8="Magnetosphere",POWER(Upgrades!$U$8,G268),1)*IF(Upgrades!$T$10="Magnetosphere",POWER(Upgrades!$U$10,I268),1)*IF(Upgrades!$T$11="Magnetosphere",POWER(Upgrades!$U$11,J268),1)*IF(Upgrades!$T$12="Magnetosphere",POWER(Upgrades!$U$12,K268),1))+(IF(I268=0,0,(Upgrades!$J$10+I268*Upgrades!$K$10)*POWER(Upgrades!$L$10,I268)))*(IF(Upgrades!$T$6="Orbital Resonance",POWER(Upgrades!$U$6,E268),1)*IF(Upgrades!$T$7="Orbital Resonance",POWER(Upgrades!$U$7,F268),1)*IF(Upgrades!$T$8="Orbital Resonance",POWER(Upgrades!$U$8,G268),1)*IF(Upgrades!$T$9="Orbital Resonance",POWER(Upgrades!$U$9,H268),1)*IF(Upgrades!$T$11="Orbital Resonance",POWER(Upgrades!$U$11,J268),1)*IF(Upgrades!$T$12="Orbital Resonance",POWER(Upgrades!$U$12,K268),1))+(IF(J268=0,0,(Upgrades!$J$11+J268*Upgrades!$K$11)*POWER(Upgrades!$L$11,J268)))*(IF(Upgrades!$T$6="Heliopause",POWER(Upgrades!$U$6,E268),1)*IF(Upgrades!$T$7="Heliopause",POWER(Upgrades!$U$7,F268),1)*IF(Upgrades!$T$8="Heliopause",POWER(Upgrades!$U$8,G268),1)*IF(Upgrades!$T$9="Heliopause",POWER(Upgrades!$U$9,H268),1)*IF(Upgrades!$T$10="Heliopause",POWER(Upgrades!$U$10,I268),1)*IF(Upgrades!$T$12="Heliopause",POWER(Upgrades!$U$12,K268),1))+(IF(K268=0,0,(Upgrades!$J$12+K268*Upgrades!$K$12)*POWER(Upgrades!$L$12,K268)))*(IF(Upgrades!$T$6="First Photons",POWER(Upgrades!$U$6,E268),1)*IF(Upgrades!$T$7="First Photons",POWER(Upgrades!$U$7,F268),1)*IF(Upgrades!$T$8="First Photons",POWER(Upgrades!$U$8,G268),1)*IF(Upgrades!$T$9="First Photons",POWER(Upgrades!$U$9,H268),1)*IF(Upgrades!$T$10="First Photons",POWER(Upgrades!$U$10,I268),1)*IF(Upgrades!$T$11="First Photons",POWER(Upgrades!$U$11,J268),1)))*POWER(Upgrades!$Q$6,E268)*POWER(Upgrades!$Q$7,F268)*POWER(Upgrades!$Q$8,G268)*POWER(Upgrades!$Q$9,H268)*POWER(Upgrades!$Q$10,I268)*POWER(Upgrades!$Q$11,J268)*POWER(Upgrades!$Q$12,K268)</f>
        <v/>
      </c>
      <c r="N268" s="28">
        <f>((IF(E268=0,0,(Upgrades!$G$6+E268*Upgrades!$H$6)*POWER(Upgrades!$I$6,E268)))*(IF(Upgrades!$T$7="Solar Wind",POWER(Upgrades!$U$7,F268),1)*IF(Upgrades!$T$8="Solar Wind",POWER(Upgrades!$U$8,G268),1)*IF(Upgrades!$T$9="Solar Wind",POWER(Upgrades!$U$9,H268),1)*IF(Upgrades!$T$10="Solar Wind",POWER(Upgrades!$U$10,I268),1)*IF(Upgrades!$T$11="Solar Wind",POWER(Upgrades!$U$11,J268),1)*IF(Upgrades!$T$12="Solar Wind",POWER(Upgrades!$U$12,K268),1))+(IF(F268=0,0,(Upgrades!$G$7+F268*Upgrades!$H$7)*POWER(Upgrades!$I$7,F268)))*(IF(Upgrades!$T$6="Asteroid Belt",POWER(Upgrades!$U$6,E268),1)*IF(Upgrades!$T$8="Asteroid Belt",POWER(Upgrades!$U$8,G268),1)*IF(Upgrades!$T$9="Asteroid Belt",POWER(Upgrades!$U$9,H268),1)*IF(Upgrades!$T$10="Asteroid Belt",POWER(Upgrades!$U$10,I268),1)*IF(Upgrades!$T$11="Asteroid Belt",POWER(Upgrades!$U$11,J268),1)*IF(Upgrades!$T$12="Asteroid Belt",POWER(Upgrades!$U$12,K268),1))+(IF(G268=0,0,(Upgrades!$G$8+G268*Upgrades!$H$8)*POWER(Upgrades!$I$8,G268)))*(IF(Upgrades!$T$6="Stellar Coupling",POWER(Upgrades!$U$6,E268),1)*IF(Upgrades!$T$7="Stellar Coupling",POWER(Upgrades!$U$7,F268),1)*IF(Upgrades!$T$9="Stellar Coupling",POWER(Upgrades!$U$9,H268),1)*IF(Upgrades!$T$10="Stellar Coupling",POWER(Upgrades!$U$10,I268),1)*IF(Upgrades!$T$11="Stellar Coupling",POWER(Upgrades!$U$11,J268),1)*IF(Upgrades!$T$12="Stellar Coupling",POWER(Upgrades!$U$12,K268),1))+(IF(H268=0,0,(Upgrades!$G$9+H268*Upgrades!$H$9)*POWER(Upgrades!$I$9,H268)))*(IF(Upgrades!$T$6="Magnetosphere",POWER(Upgrades!$U$6,E268),1)*IF(Upgrades!$T$7="Magnetosphere",POWER(Upgrades!$U$7,F268),1)*IF(Upgrades!$T$8="Magnetosphere",POWER(Upgrades!$U$8,G268),1)*IF(Upgrades!$T$10="Magnetosphere",POWER(Upgrades!$U$10,I268),1)*IF(Upgrades!$T$11="Magnetosphere",POWER(Upgrades!$U$11,J268),1)*IF(Upgrades!$T$12="Magnetosphere",POWER(Upgrades!$U$12,K268),1))+(IF(I268=0,0,(Upgrades!$G$10+I268*Upgrades!$H$10)*POWER(Upgrades!$I$10,I268)))*(IF(Upgrades!$T$6="Orbital Resonance",POWER(Upgrades!$U$6,E268),1)*IF(Upgrades!$T$7="Orbital Resonance",POWER(Upgrades!$U$7,F268),1)*IF(Upgrades!$T$8="Orbital Resonance",POWER(Upgrades!$U$8,G268),1)*IF(Upgrades!$T$9="Orbital Resonance",POWER(Upgrades!$U$9,H268),1)*IF(Upgrades!$T$11="Orbital Resonance",POWER(Upgrades!$U$11,J268),1)*IF(Upgrades!$T$12="Orbital Resonance",POWER(Upgrades!$U$12,K268),1))+(IF(J268=0,0,(Upgrades!$G$11+J268*Upgrades!$H$11)*POWER(Upgrades!$I$11,J268)))*(IF(Upgrades!$T$6="Heliopause",POWER(Upgrades!$U$6,E268),1)*IF(Upgrades!$T$7="Heliopause",POWER(Upgrades!$U$7,F268),1)*IF(Upgrades!$T$8="Heliopause",POWER(Upgrades!$U$8,G268),1)*IF(Upgrades!$T$9="Heliopause",POWER(Upgrades!$U$9,H268),1)*IF(Upgrades!$T$10="Heliopause",POWER(Upgrades!$U$10,I268),1)*IF(Upgrades!$T$12="Heliopause",POWER(Upgrades!$U$12,K268),1))+(IF(K268=0,0,(Upgrades!$G$12+K268*Upgrades!$H$12)*POWER(Upgrades!$I$12,K268)))*(IF(Upgrades!$T$6="First Photons",POWER(Upgrades!$U$6,E268),1)*IF(Upgrades!$T$7="First Photons",POWER(Upgrades!$U$7,F268),1)*IF(Upgrades!$T$8="First Photons",POWER(Upgrades!$U$8,G268),1)*IF(Upgrades!$T$9="First Photons",POWER(Upgrades!$U$9,H268),1)*IF(Upgrades!$T$10="First Photons",POWER(Upgrades!$U$10,I268),1)*IF(Upgrades!$T$11="First Photons",POWER(Upgrades!$U$11,J268),1)))*POWER(Upgrades!$P$6,E268)*POWER(Upgrades!$P$7,F268)*POWER(Upgrades!$P$8,G268)*POWER(Upgrades!$P$9,H268)*POWER(Upgrades!$P$10,I268)*POWER(Upgrades!$P$11,J268)*POWER(Upgrades!$P$12,K268)</f>
        <v/>
      </c>
      <c r="O268" s="28">
        <f>((IF(E268=0,0,(Upgrades!$M$6+E268*Upgrades!$N$6)*POWER(Upgrades!$O$6,E268)))*(IF(Upgrades!$T$7="Solar Wind",POWER(Upgrades!$U$7,F268),1)*IF(Upgrades!$T$8="Solar Wind",POWER(Upgrades!$U$8,G268),1)*IF(Upgrades!$T$9="Solar Wind",POWER(Upgrades!$U$9,H268),1)*IF(Upgrades!$T$10="Solar Wind",POWER(Upgrades!$U$10,I268),1)*IF(Upgrades!$T$11="Solar Wind",POWER(Upgrades!$U$11,J268),1)*IF(Upgrades!$T$12="Solar Wind",POWER(Upgrades!$U$12,K268),1))+(IF(F268=0,0,(Upgrades!$M$7+F268*Upgrades!$N$7)*POWER(Upgrades!$O$7,F268)))*(IF(Upgrades!$T$6="Asteroid Belt",POWER(Upgrades!$U$6,E268),1)*IF(Upgrades!$T$8="Asteroid Belt",POWER(Upgrades!$U$8,G268),1)*IF(Upgrades!$T$9="Asteroid Belt",POWER(Upgrades!$U$9,H268),1)*IF(Upgrades!$T$10="Asteroid Belt",POWER(Upgrades!$U$10,I268),1)*IF(Upgrades!$T$11="Asteroid Belt",POWER(Upgrades!$U$11,J268),1)*IF(Upgrades!$T$12="Asteroid Belt",POWER(Upgrades!$U$12,K268),1))+(IF(G268=0,0,(Upgrades!$M$8+G268*Upgrades!$N$8)*POWER(Upgrades!$O$8,G268)))*(IF(Upgrades!$T$6="Stellar Coupling",POWER(Upgrades!$U$6,E268),1)*IF(Upgrades!$T$7="Stellar Coupling",POWER(Upgrades!$U$7,F268),1)*IF(Upgrades!$T$9="Stellar Coupling",POWER(Upgrades!$U$9,H268),1)*IF(Upgrades!$T$10="Stellar Coupling",POWER(Upgrades!$U$10,I268),1)*IF(Upgrades!$T$11="Stellar Coupling",POWER(Upgrades!$U$11,J268),1)*IF(Upgrades!$T$12="Stellar Coupling",POWER(Upgrades!$U$12,K268),1))+(IF(H268=0,0,(Upgrades!$M$9+H268*Upgrades!$N$9)*POWER(Upgrades!$O$9,H268)))*(IF(Upgrades!$T$6="Magnetosphere",POWER(Upgrades!$U$6,E268),1)*IF(Upgrades!$T$7="Magnetosphere",POWER(Upgrades!$U$7,F268),1)*IF(Upgrades!$T$8="Magnetosphere",POWER(Upgrades!$U$8,G268),1)*IF(Upgrades!$T$10="Magnetosphere",POWER(Upgrades!$U$10,I268),1)*IF(Upgrades!$T$11="Magnetosphere",POWER(Upgrades!$U$11,J268),1)*IF(Upgrades!$T$12="Magnetosphere",POWER(Upgrades!$U$12,K268),1))+(IF(I268=0,0,(Upgrades!$M$10+I268*Upgrades!$N$10)*POWER(Upgrades!$O$10,I268)))*(IF(Upgrades!$T$6="Orbital Resonance",POWER(Upgrades!$U$6,E268),1)*IF(Upgrades!$T$7="Orbital Resonance",POWER(Upgrades!$U$7,F268),1)*IF(Upgrades!$T$8="Orbital Resonance",POWER(Upgrades!$U$8,G268),1)*IF(Upgrades!$T$9="Orbital Resonance",POWER(Upgrades!$U$9,H268),1)*IF(Upgrades!$T$11="Orbital Resonance",POWER(Upgrades!$U$11,J268),1)*IF(Upgrades!$T$12="Orbital Resonance",POWER(Upgrades!$U$12,K268),1))+(IF(J268=0,0,(Upgrades!$M$11+J268*Upgrades!$N$11)*POWER(Upgrades!$O$11,J268)))*(IF(Upgrades!$T$6="Heliopause",POWER(Upgrades!$U$6,E268),1)*IF(Upgrades!$T$7="Heliopause",POWER(Upgrades!$U$7,F268),1)*IF(Upgrades!$T$8="Heliopause",POWER(Upgrades!$U$8,G268),1)*IF(Upgrades!$T$9="Heliopause",POWER(Upgrades!$U$9,H268),1)*IF(Upgrades!$T$10="Heliopause",POWER(Upgrades!$U$10,I268),1)*IF(Upgrades!$T$12="Heliopause",POWER(Upgrades!$U$12,K268),1))+(IF(K268=0,0,(Upgrades!$M$12+K268*Upgrades!$N$12)*POWER(Upgrades!$O$12,K268)))*(IF(Upgrades!$T$6="First Photons",POWER(Upgrades!$U$6,E268),1)*IF(Upgrades!$T$7="First Photons",POWER(Upgrades!$U$7,F268),1)*IF(Upgrades!$T$8="First Photons",POWER(Upgrades!$U$8,G268),1)*IF(Upgrades!$T$9="First Photons",POWER(Upgrades!$U$9,H268),1)*IF(Upgrades!$T$10="First Photons",POWER(Upgrades!$U$10,I268),1)*IF(Upgrades!$T$11="First Photons",POWER(Upgrades!$U$11,J268),1)))*POWER(Upgrades!$R$6,E268)*POWER(Upgrades!$R$7,F268)*POWER(Upgrades!$R$8,G268)*POWER(Upgrades!$R$9,H268)*POWER(Upgrades!$R$10,I268)*POWER(Upgrades!$R$11,J268)*POWER(Upgrades!$R$12,K268)</f>
        <v/>
      </c>
      <c r="P268" s="27">
        <f>IF(L268=1,0,M268*Parameters!$B$10/60*Parameters!$B$11*10)</f>
        <v/>
      </c>
      <c r="Q268" s="27">
        <f>IF(L268=1,0,O268*M268*10)</f>
        <v/>
      </c>
      <c r="R268" s="27">
        <f>IF(L268=1,0,N268*10)</f>
        <v/>
      </c>
      <c r="S268" s="27">
        <f>P268+Q268+R268</f>
        <v/>
      </c>
      <c r="T268" s="22">
        <f>C268+S268</f>
        <v/>
      </c>
      <c r="U268" s="33">
        <f>AX268</f>
        <v/>
      </c>
      <c r="V268" s="22">
        <f>IF(U268="",0,IF(U268="transition",0,IF(U268="SW",AG268,IF(U268="AB",AH268,IF(U268="SC",AI268,IF(U268="Mag",AJ268,IF(U268="OR",AK268,IF(U268="HP",AL268,IF(U268="FP",AM268,0)))))))))</f>
        <v/>
      </c>
      <c r="W268" s="27">
        <f>IF(U268="OR",Upgrades!$F$10,IF(U268="HP",Upgrades!$F$11,IF(U268="transition",-Parameters!$B$18,0)))</f>
        <v/>
      </c>
      <c r="X268" s="22">
        <f>T268-V268</f>
        <v/>
      </c>
      <c r="Y268" s="30">
        <f>M268*Parameters!$B$10/60*Parameters!$B$11+O268*M268+N268</f>
        <v/>
      </c>
      <c r="Z268" s="34">
        <f>IF(U268="transition","→ Tier 2 (Stellar Neighborhood)",IF(U268="FP","First Photons — light begins, system quickens",IF(U268="HP","Heliopause acquired",IF(U268="OR","Orbital Resonance — passive multiplier active",IF(AND(AO268=1,L268=0,AN268&lt;&gt;1),"Cohesion ready (waiting on completionist upgrades)","")))))</f>
        <v/>
      </c>
      <c r="AA268" s="27">
        <f>(IF(E268=0,0,(Upgrades!$G$6+E268*Upgrades!$H$6)*POWER(Upgrades!$I$6,E268)))*(IF(Upgrades!$T$7="Solar Wind",POWER(Upgrades!$U$7,F268),1)*IF(Upgrades!$T$8="Solar Wind",POWER(Upgrades!$U$8,G268),1)*IF(Upgrades!$T$9="Solar Wind",POWER(Upgrades!$U$9,H268),1)*IF(Upgrades!$T$10="Solar Wind",POWER(Upgrades!$U$10,I268),1)*IF(Upgrades!$T$11="Solar Wind",POWER(Upgrades!$U$11,J268),1)*IF(Upgrades!$T$12="Solar Wind",POWER(Upgrades!$U$12,K268),1))*POWER(Upgrades!$P$6,E268)*POWER(Upgrades!$P$7,F268)*POWER(Upgrades!$P$8,G268)*POWER(Upgrades!$P$9,H268)*POWER(Upgrades!$P$10,I268)*POWER(Upgrades!$P$11,J268)*POWER(Upgrades!$P$12,K268)*60</f>
        <v/>
      </c>
      <c r="AB268" s="27">
        <f>(IF(F268=0,0,(Upgrades!$G$7+F268*Upgrades!$H$7)*POWER(Upgrades!$I$7,F268)))*(IF(Upgrades!$T$6="Asteroid Belt",POWER(Upgrades!$U$6,E268),1)*IF(Upgrades!$T$8="Asteroid Belt",POWER(Upgrades!$U$8,G268),1)*IF(Upgrades!$T$9="Asteroid Belt",POWER(Upgrades!$U$9,H268),1)*IF(Upgrades!$T$10="Asteroid Belt",POWER(Upgrades!$U$10,I268),1)*IF(Upgrades!$T$11="Asteroid Belt",POWER(Upgrades!$U$11,J268),1)*IF(Upgrades!$T$12="Asteroid Belt",POWER(Upgrades!$U$12,K268),1))*POWER(Upgrades!$P$6,E268)*POWER(Upgrades!$P$7,F268)*POWER(Upgrades!$P$8,G268)*POWER(Upgrades!$P$9,H268)*POWER(Upgrades!$P$10,I268)*POWER(Upgrades!$P$11,J268)*POWER(Upgrades!$P$12,K268)*60</f>
        <v/>
      </c>
      <c r="AC268" s="27">
        <f>(IF(G268=0,0,(Upgrades!$J$8+G268*Upgrades!$K$8)*POWER(Upgrades!$L$8,G268)))*(IF(Upgrades!$T$6="Stellar Coupling",POWER(Upgrades!$U$6,E268),1)*IF(Upgrades!$T$7="Stellar Coupling",POWER(Upgrades!$U$7,F268),1)*IF(Upgrades!$T$9="Stellar Coupling",POWER(Upgrades!$U$9,H268),1)*IF(Upgrades!$T$10="Stellar Coupling",POWER(Upgrades!$U$10,I268),1)*IF(Upgrades!$T$11="Stellar Coupling",POWER(Upgrades!$U$11,J268),1)*IF(Upgrades!$T$12="Stellar Coupling",POWER(Upgrades!$U$12,K268),1))*POWER(Upgrades!$Q$6,E268)*POWER(Upgrades!$Q$7,F268)*POWER(Upgrades!$Q$8,G268)*POWER(Upgrades!$Q$9,H268)*POWER(Upgrades!$Q$10,I268)*POWER(Upgrades!$Q$11,J268)*POWER(Upgrades!$Q$12,K268)*Parameters!$B$10*Parameters!$B$11</f>
        <v/>
      </c>
      <c r="AD268" s="27">
        <f>(IF(H268=0,0,(Upgrades!$G$9+H268*Upgrades!$H$9)*POWER(Upgrades!$I$9,H268)))*(IF(Upgrades!$T$6="Magnetosphere",POWER(Upgrades!$U$6,E268),1)*IF(Upgrades!$T$7="Magnetosphere",POWER(Upgrades!$U$7,F268),1)*IF(Upgrades!$T$8="Magnetosphere",POWER(Upgrades!$U$8,G268),1)*IF(Upgrades!$T$10="Magnetosphere",POWER(Upgrades!$U$10,I268),1)*IF(Upgrades!$T$11="Magnetosphere",POWER(Upgrades!$U$11,J268),1)*IF(Upgrades!$T$12="Magnetosphere",POWER(Upgrades!$U$12,K268),1))*POWER(Upgrades!$P$6,E268)*POWER(Upgrades!$P$7,F268)*POWER(Upgrades!$P$8,G268)*POWER(Upgrades!$P$9,H268)*POWER(Upgrades!$P$10,I268)*POWER(Upgrades!$P$11,J268)*POWER(Upgrades!$P$12,K268)*60</f>
        <v/>
      </c>
      <c r="AE268" s="27">
        <f>(IF(K268=0,0,(Upgrades!$G$12+K268*Upgrades!$H$12)*POWER(Upgrades!$I$12,K268)))*(IF(Upgrades!$T$6="First Photons",POWER(Upgrades!$U$6,E268),1)*IF(Upgrades!$T$7="First Photons",POWER(Upgrades!$U$7,F268),1)*IF(Upgrades!$T$8="First Photons",POWER(Upgrades!$U$8,G268),1)*IF(Upgrades!$T$9="First Photons",POWER(Upgrades!$U$9,H268),1)*IF(Upgrades!$T$10="First Photons",POWER(Upgrades!$U$10,I268),1)*IF(Upgrades!$T$11="First Photons",POWER(Upgrades!$U$11,J268),1))*POWER(Upgrades!$P$6,E268)*POWER(Upgrades!$P$7,F268)*POWER(Upgrades!$P$8,G268)*POWER(Upgrades!$P$9,H268)*POWER(Upgrades!$P$10,I268)*POWER(Upgrades!$P$11,J268)*POWER(Upgrades!$P$12,K268)*60</f>
        <v/>
      </c>
      <c r="AF268" s="27">
        <f>Parameters!$B$9*POWER(Upgrades!$Q$6,E268)*POWER(Upgrades!$Q$7,F268)*POWER(Upgrades!$Q$8,G268)*POWER(Upgrades!$Q$9,H268)*POWER(Upgrades!$Q$10,I268)*POWER(Upgrades!$Q$11,J268)*POWER(Upgrades!$Q$12,K268)*(Parameters!$B$10*Parameters!$B$11+O268*60)</f>
        <v/>
      </c>
      <c r="AG268" s="22">
        <f>IF(E268&gt;=Upgrades!$E$6,"",Upgrades!$C$6*POWER(Upgrades!$D$6,E268))</f>
        <v/>
      </c>
      <c r="AH268" s="22">
        <f>IF(F268&gt;=Upgrades!$E$7,"",Upgrades!$C$7*POWER(Upgrades!$D$7,F268))</f>
        <v/>
      </c>
      <c r="AI268" s="22">
        <f>IF(G268&gt;=Upgrades!$E$8,"",Upgrades!$C$8*POWER(Upgrades!$D$8,G268))</f>
        <v/>
      </c>
      <c r="AJ268" s="22">
        <f>IF(H268&gt;=Upgrades!$E$9,"",Upgrades!$C$9*POWER(Upgrades!$D$9,H268))</f>
        <v/>
      </c>
      <c r="AK268" s="22">
        <f>IF(I268&gt;=Upgrades!$E$10,"",Upgrades!$C$10*POWER(Upgrades!$D$10,I268))</f>
        <v/>
      </c>
      <c r="AL268" s="22">
        <f>IF(J268&gt;=Upgrades!$E$11,"",Upgrades!$C$11*POWER(Upgrades!$D$11,J268))</f>
        <v/>
      </c>
      <c r="AM268" s="22">
        <f>IF(K268&gt;=Upgrades!$E$12,"",Upgrades!$C$12*POWER(Upgrades!$D$12,K268))</f>
        <v/>
      </c>
      <c r="AN268" s="26">
        <f>IF(AND(D268&gt;=Parameters!$B$18,(H268&gt;=Upgrades!$E$9)*(K268&gt;=Upgrades!$E$12)=1,L268=0),1,"")</f>
        <v/>
      </c>
      <c r="AO268" s="26">
        <f>IF(AND(D268&gt;=Parameters!$B$18,L268=0),1,"")</f>
        <v/>
      </c>
      <c r="AP268" s="22">
        <f>MIN(IF(ISNUMBER(AK268),AK268,9E15),IF(ISNUMBER(AL268),AL268,9E15),IF(ISNUMBER(AM268),AM268,9E15))</f>
        <v/>
      </c>
      <c r="AQ268" s="22">
        <f>MIN(IF(ISNUMBER(AG268),AG268,9E15),IF(ISNUMBER(AH268),AH268,9E15),IF(ISNUMBER(AI268),AI268,9E15),IF(ISNUMBER(AJ268),AJ268,9E15))</f>
        <v/>
      </c>
      <c r="AR268" s="29">
        <f>IF(AW268&gt;Parameters!$B$21*(MAX(IF(AND(NOT(AND(AO268=1,AN268&lt;&gt;1)),ISNUMBER(AG268),AG268&lt;=T268),AS268,0),IF(AND(NOT(AND(AO268=1,AN268&lt;&gt;1)),ISNUMBER(AH268),AH268&lt;=T268),AT268,0),IF(AND(NOT(AND(AO268=1,AN268&lt;&gt;1)),ISNUMBER(AI268),AI268&lt;=T268),AU268,0),IF(AND(ISNUMBER(AJ268),AJ268&lt;=T268),AV268,0))),TRUE,FALSE)</f>
        <v/>
      </c>
      <c r="AS268" s="32">
        <f>IFERROR(Upgrades!$H$6*(POWER(Upgrades!$P$6,E268)*POWER(Upgrades!$P$7,F268)*POWER(Upgrades!$P$8,G268)*POWER(Upgrades!$P$9,H268)*POWER(Upgrades!$P$10,I268)*POWER(Upgrades!$P$11,J268)*POWER(Upgrades!$P$12,K268))*(IF(Upgrades!$T$7="Solar Wind",POWER(Upgrades!$U$7,F268),1)*IF(Upgrades!$T$8="Solar Wind",POWER(Upgrades!$U$8,G268),1)*IF(Upgrades!$T$9="Solar Wind",POWER(Upgrades!$U$9,H268),1)*IF(Upgrades!$T$10="Solar Wind",POWER(Upgrades!$U$10,I268),1)*IF(Upgrades!$T$11="Solar Wind",POWER(Upgrades!$U$11,J268),1)*IF(Upgrades!$T$12="Solar Wind",POWER(Upgrades!$U$12,K268),1))/AG268,0)</f>
        <v/>
      </c>
      <c r="AT268" s="32">
        <f>IFERROR(Upgrades!$H$7*(POWER(Upgrades!$P$6,E268)*POWER(Upgrades!$P$7,F268)*POWER(Upgrades!$P$8,G268)*POWER(Upgrades!$P$9,H268)*POWER(Upgrades!$P$10,I268)*POWER(Upgrades!$P$11,J268)*POWER(Upgrades!$P$12,K268))*(IF(Upgrades!$T$6="Asteroid Belt",POWER(Upgrades!$U$6,E268),1)*IF(Upgrades!$T$8="Asteroid Belt",POWER(Upgrades!$U$8,G268),1)*IF(Upgrades!$T$9="Asteroid Belt",POWER(Upgrades!$U$9,H268),1)*IF(Upgrades!$T$10="Asteroid Belt",POWER(Upgrades!$U$10,I268),1)*IF(Upgrades!$T$11="Asteroid Belt",POWER(Upgrades!$U$11,J268),1)*IF(Upgrades!$T$12="Asteroid Belt",POWER(Upgrades!$U$12,K268),1))/AH268,0)</f>
        <v/>
      </c>
      <c r="AU268" s="32">
        <f>IFERROR(Upgrades!$K$8*(POWER(Upgrades!$Q$6,E268)*POWER(Upgrades!$Q$7,F268)*POWER(Upgrades!$Q$8,G268)*POWER(Upgrades!$Q$9,H268)*POWER(Upgrades!$Q$10,I268)*POWER(Upgrades!$Q$11,J268)*POWER(Upgrades!$Q$12,K268))*(IF(Upgrades!$T$6="Stellar Coupling",POWER(Upgrades!$U$6,E268),1)*IF(Upgrades!$T$7="Stellar Coupling",POWER(Upgrades!$U$7,F268),1)*IF(Upgrades!$T$9="Stellar Coupling",POWER(Upgrades!$U$9,H268),1)*IF(Upgrades!$T$10="Stellar Coupling",POWER(Upgrades!$U$10,I268),1)*IF(Upgrades!$T$11="Stellar Coupling",POWER(Upgrades!$U$11,J268),1)*IF(Upgrades!$T$12="Stellar Coupling",POWER(Upgrades!$U$12,K268),1))*Parameters!$B$10*Parameters!$B$11/60/AI268,0)</f>
        <v/>
      </c>
      <c r="AV268" s="32">
        <f>IFERROR(Upgrades!$H$9*(POWER(Upgrades!$P$6,E268)*POWER(Upgrades!$P$7,F268)*POWER(Upgrades!$P$8,G268)*POWER(Upgrades!$P$9,H268)*POWER(Upgrades!$P$10,I268)*POWER(Upgrades!$P$11,J268)*POWER(Upgrades!$P$12,K268))*(IF(Upgrades!$T$6="Magnetosphere",POWER(Upgrades!$U$6,E268),1)*IF(Upgrades!$T$7="Magnetosphere",POWER(Upgrades!$U$7,F268),1)*IF(Upgrades!$T$8="Magnetosphere",POWER(Upgrades!$U$8,G268),1)*IF(Upgrades!$T$10="Magnetosphere",POWER(Upgrades!$U$10,I268),1)*IF(Upgrades!$T$11="Magnetosphere",POWER(Upgrades!$U$11,J268),1)*IF(Upgrades!$T$12="Magnetosphere",POWER(Upgrades!$U$12,K268),1))/AJ268,0)</f>
        <v/>
      </c>
      <c r="AW268" s="32">
        <f>MAX(IF(I268&gt;0,0,IFERROR(0.25*N268/Upgrades!$C$10,0)),IF(J268&gt;0,0,IFERROR(0.5*((IF(G268=0,0,(Upgrades!$J$8+G268*Upgrades!$K$8)*POWER(Upgrades!$L$8,G268)))*(IF(Upgrades!$T$6="Stellar Coupling",POWER(Upgrades!$U$6,E268),1)*IF(Upgrades!$T$7="Stellar Coupling",POWER(Upgrades!$U$7,F268),1)*IF(Upgrades!$T$9="Stellar Coupling",POWER(Upgrades!$U$9,H268),1)*IF(Upgrades!$T$10="Stellar Coupling",POWER(Upgrades!$U$10,I268),1)*IF(Upgrades!$T$11="Stellar Coupling",POWER(Upgrades!$U$11,J268),1)*IF(Upgrades!$T$12="Stellar Coupling",POWER(Upgrades!$U$12,K268),1))*(POWER(Upgrades!$Q$6,E268)*POWER(Upgrades!$Q$7,F268)*POWER(Upgrades!$Q$8,G268)*POWER(Upgrades!$Q$9,H268)*POWER(Upgrades!$Q$10,I268)*POWER(Upgrades!$Q$11,J268)*POWER(Upgrades!$Q$12,K268))*Parameters!$B$10*Parameters!$B$11/60)/Upgrades!$C$11,0)),IF(K268&gt;0,0,IFERROR((1.0*(POWER(Upgrades!$P$6,E268)*POWER(Upgrades!$P$7,F268)*POWER(Upgrades!$P$8,G268)*POWER(Upgrades!$P$9,H268)*POWER(Upgrades!$P$10,I268)*POWER(Upgrades!$P$11,J268)*POWER(Upgrades!$P$12,K268))+0.20*M268*Parameters!$B$10*Parameters!$B$11/60)/Upgrades!$C$12,0)),IF(AND(ISNUMBER(AG268),AG268&gt;T268),AS268,0),IF(AND(ISNUMBER(AH268),AH268&gt;T268),AT268,0),IF(AND(ISNUMBER(AI268),AI268&gt;T268),AU268,0),IF(AND(ISNUMBER(AJ268),AJ268&gt;T268),AV268,0))</f>
        <v/>
      </c>
      <c r="AX268" s="29">
        <f>IF(AN268=1,"transition",IF(MIN(IF(AND(I268=0,ISNUMBER(AK268),AK268&lt;=T268),AK268,9E15),IF(AND(J268=0,ISNUMBER(AL268),AL268&lt;=T268),AL268,9E15),IF(AND(K268=0,ISNUMBER(AM268),AM268&lt;=T268),AM268,9E15))&lt;9E15,IF(AND(AND(I268=0,ISNUMBER(AK268),AK268&lt;=T268),AK268=MIN(IF(AND(I268=0,ISNUMBER(AK268),AK268&lt;=T268),AK268,9E15),IF(AND(J268=0,ISNUMBER(AL268),AL268&lt;=T268),AL268,9E15),IF(AND(K268=0,ISNUMBER(AM268),AM268&lt;=T268),AM268,9E15))),"OR",IF(AND(AND(J268=0,ISNUMBER(AL268),AL268&lt;=T268),AL268=MIN(IF(AND(I268=0,ISNUMBER(AK268),AK268&lt;=T268),AK268,9E15),IF(AND(J268=0,ISNUMBER(AL268),AL268&lt;=T268),AL268,9E15),IF(AND(K268=0,ISNUMBER(AM268),AM268&lt;=T268),AM268,9E15))),"HP","FP")),IF(AR268=TRUE,"",IF(MAX(IF(AND(NOT(AND(AO268=1,AN268&lt;&gt;1)),ISNUMBER(AG268),AG268&lt;=T268),AS268,0),IF(AND(NOT(AND(AO268=1,AN268&lt;&gt;1)),ISNUMBER(AH268),AH268&lt;=T268),AT268,0),IF(AND(NOT(AND(AO268=1,AN268&lt;&gt;1)),ISNUMBER(AI268),AI268&lt;=T268),AU268,0),IF(AND(ISNUMBER(AJ268),AJ268&lt;=T268),AV268,0))&lt;=0,"",IF(AND(IF(AND(NOT(AND(AO268=1,AN268&lt;&gt;1)),ISNUMBER(AG268),AG268&lt;=T268),AS268,0)&gt;0,IF(AND(NOT(AND(AO268=1,AN268&lt;&gt;1)),ISNUMBER(AG268),AG268&lt;=T268),AS268,0)=MAX(IF(AND(NOT(AND(AO268=1,AN268&lt;&gt;1)),ISNUMBER(AG268),AG268&lt;=T268),AS268,0),IF(AND(NOT(AND(AO268=1,AN268&lt;&gt;1)),ISNUMBER(AH268),AH268&lt;=T268),AT268,0),IF(AND(NOT(AND(AO268=1,AN268&lt;&gt;1)),ISNUMBER(AI268),AI268&lt;=T268),AU268,0),IF(AND(ISNUMBER(AJ268),AJ268&lt;=T268),AV268,0))),"SW",IF(AND(IF(AND(NOT(AND(AO268=1,AN268&lt;&gt;1)),ISNUMBER(AH268),AH268&lt;=T268),AT268,0)&gt;0,IF(AND(NOT(AND(AO268=1,AN268&lt;&gt;1)),ISNUMBER(AH268),AH268&lt;=T268),AT268,0)=MAX(IF(AND(NOT(AND(AO268=1,AN268&lt;&gt;1)),ISNUMBER(AG268),AG268&lt;=T268),AS268,0),IF(AND(NOT(AND(AO268=1,AN268&lt;&gt;1)),ISNUMBER(AH268),AH268&lt;=T268),AT268,0),IF(AND(NOT(AND(AO268=1,AN268&lt;&gt;1)),ISNUMBER(AI268),AI268&lt;=T268),AU268,0),IF(AND(ISNUMBER(AJ268),AJ268&lt;=T268),AV268,0))),"AB",IF(AND(IF(AND(NOT(AND(AO268=1,AN268&lt;&gt;1)),ISNUMBER(AI268),AI268&lt;=T268),AU268,0)&gt;0,IF(AND(NOT(AND(AO268=1,AN268&lt;&gt;1)),ISNUMBER(AI268),AI268&lt;=T268),AU268,0)=MAX(IF(AND(NOT(AND(AO268=1,AN268&lt;&gt;1)),ISNUMBER(AG268),AG268&lt;=T268),AS268,0),IF(AND(NOT(AND(AO268=1,AN268&lt;&gt;1)),ISNUMBER(AH268),AH268&lt;=T268),AT268,0),IF(AND(NOT(AND(AO268=1,AN268&lt;&gt;1)),ISNUMBER(AI268),AI268&lt;=T268),AU268,0),IF(AND(ISNUMBER(AJ268),AJ268&lt;=T268),AV268,0))),"SC","Mag")))))))</f>
        <v/>
      </c>
    </row>
    <row r="269">
      <c r="A269" s="26" t="n">
        <v>264</v>
      </c>
      <c r="B269" s="27">
        <f>A269*10/60</f>
        <v/>
      </c>
      <c r="C269" s="22">
        <f>X268</f>
        <v/>
      </c>
      <c r="D269" s="27">
        <f>D268+W268</f>
        <v/>
      </c>
      <c r="E269" s="26">
        <f>E268+IF(U268="SW",1,0)</f>
        <v/>
      </c>
      <c r="F269" s="26">
        <f>F268+IF(U268="AB",1,0)</f>
        <v/>
      </c>
      <c r="G269" s="26">
        <f>G268+IF(U268="SC",1,0)</f>
        <v/>
      </c>
      <c r="H269" s="26">
        <f>H268+IF(U268="Mag",1,0)</f>
        <v/>
      </c>
      <c r="I269" s="26">
        <f>MAX(I268,IF(U268="OR",1,0))</f>
        <v/>
      </c>
      <c r="J269" s="26">
        <f>MAX(J268,IF(U268="HP",1,0))</f>
        <v/>
      </c>
      <c r="K269" s="26">
        <f>MAX(K268,IF(U268="FP",1,0))</f>
        <v/>
      </c>
      <c r="L269" s="26">
        <f>MAX(L268,IF(U268="transition",1,0))</f>
        <v/>
      </c>
      <c r="M269" s="28">
        <f>(Parameters!$B$9+(IF(E269=0,0,(Upgrades!$J$6+E269*Upgrades!$K$6)*POWER(Upgrades!$L$6,E269)))*(IF(Upgrades!$T$7="Solar Wind",POWER(Upgrades!$U$7,F269),1)*IF(Upgrades!$T$8="Solar Wind",POWER(Upgrades!$U$8,G269),1)*IF(Upgrades!$T$9="Solar Wind",POWER(Upgrades!$U$9,H269),1)*IF(Upgrades!$T$10="Solar Wind",POWER(Upgrades!$U$10,I269),1)*IF(Upgrades!$T$11="Solar Wind",POWER(Upgrades!$U$11,J269),1)*IF(Upgrades!$T$12="Solar Wind",POWER(Upgrades!$U$12,K269),1))+(IF(F269=0,0,(Upgrades!$J$7+F269*Upgrades!$K$7)*POWER(Upgrades!$L$7,F269)))*(IF(Upgrades!$T$6="Asteroid Belt",POWER(Upgrades!$U$6,E269),1)*IF(Upgrades!$T$8="Asteroid Belt",POWER(Upgrades!$U$8,G269),1)*IF(Upgrades!$T$9="Asteroid Belt",POWER(Upgrades!$U$9,H269),1)*IF(Upgrades!$T$10="Asteroid Belt",POWER(Upgrades!$U$10,I269),1)*IF(Upgrades!$T$11="Asteroid Belt",POWER(Upgrades!$U$11,J269),1)*IF(Upgrades!$T$12="Asteroid Belt",POWER(Upgrades!$U$12,K269),1))+(IF(G269=0,0,(Upgrades!$J$8+G269*Upgrades!$K$8)*POWER(Upgrades!$L$8,G269)))*(IF(Upgrades!$T$6="Stellar Coupling",POWER(Upgrades!$U$6,E269),1)*IF(Upgrades!$T$7="Stellar Coupling",POWER(Upgrades!$U$7,F269),1)*IF(Upgrades!$T$9="Stellar Coupling",POWER(Upgrades!$U$9,H269),1)*IF(Upgrades!$T$10="Stellar Coupling",POWER(Upgrades!$U$10,I269),1)*IF(Upgrades!$T$11="Stellar Coupling",POWER(Upgrades!$U$11,J269),1)*IF(Upgrades!$T$12="Stellar Coupling",POWER(Upgrades!$U$12,K269),1))+(IF(H269=0,0,(Upgrades!$J$9+H269*Upgrades!$K$9)*POWER(Upgrades!$L$9,H269)))*(IF(Upgrades!$T$6="Magnetosphere",POWER(Upgrades!$U$6,E269),1)*IF(Upgrades!$T$7="Magnetosphere",POWER(Upgrades!$U$7,F269),1)*IF(Upgrades!$T$8="Magnetosphere",POWER(Upgrades!$U$8,G269),1)*IF(Upgrades!$T$10="Magnetosphere",POWER(Upgrades!$U$10,I269),1)*IF(Upgrades!$T$11="Magnetosphere",POWER(Upgrades!$U$11,J269),1)*IF(Upgrades!$T$12="Magnetosphere",POWER(Upgrades!$U$12,K269),1))+(IF(I269=0,0,(Upgrades!$J$10+I269*Upgrades!$K$10)*POWER(Upgrades!$L$10,I269)))*(IF(Upgrades!$T$6="Orbital Resonance",POWER(Upgrades!$U$6,E269),1)*IF(Upgrades!$T$7="Orbital Resonance",POWER(Upgrades!$U$7,F269),1)*IF(Upgrades!$T$8="Orbital Resonance",POWER(Upgrades!$U$8,G269),1)*IF(Upgrades!$T$9="Orbital Resonance",POWER(Upgrades!$U$9,H269),1)*IF(Upgrades!$T$11="Orbital Resonance",POWER(Upgrades!$U$11,J269),1)*IF(Upgrades!$T$12="Orbital Resonance",POWER(Upgrades!$U$12,K269),1))+(IF(J269=0,0,(Upgrades!$J$11+J269*Upgrades!$K$11)*POWER(Upgrades!$L$11,J269)))*(IF(Upgrades!$T$6="Heliopause",POWER(Upgrades!$U$6,E269),1)*IF(Upgrades!$T$7="Heliopause",POWER(Upgrades!$U$7,F269),1)*IF(Upgrades!$T$8="Heliopause",POWER(Upgrades!$U$8,G269),1)*IF(Upgrades!$T$9="Heliopause",POWER(Upgrades!$U$9,H269),1)*IF(Upgrades!$T$10="Heliopause",POWER(Upgrades!$U$10,I269),1)*IF(Upgrades!$T$12="Heliopause",POWER(Upgrades!$U$12,K269),1))+(IF(K269=0,0,(Upgrades!$J$12+K269*Upgrades!$K$12)*POWER(Upgrades!$L$12,K269)))*(IF(Upgrades!$T$6="First Photons",POWER(Upgrades!$U$6,E269),1)*IF(Upgrades!$T$7="First Photons",POWER(Upgrades!$U$7,F269),1)*IF(Upgrades!$T$8="First Photons",POWER(Upgrades!$U$8,G269),1)*IF(Upgrades!$T$9="First Photons",POWER(Upgrades!$U$9,H269),1)*IF(Upgrades!$T$10="First Photons",POWER(Upgrades!$U$10,I269),1)*IF(Upgrades!$T$11="First Photons",POWER(Upgrades!$U$11,J269),1)))*POWER(Upgrades!$Q$6,E269)*POWER(Upgrades!$Q$7,F269)*POWER(Upgrades!$Q$8,G269)*POWER(Upgrades!$Q$9,H269)*POWER(Upgrades!$Q$10,I269)*POWER(Upgrades!$Q$11,J269)*POWER(Upgrades!$Q$12,K269)</f>
        <v/>
      </c>
      <c r="N269" s="28">
        <f>((IF(E269=0,0,(Upgrades!$G$6+E269*Upgrades!$H$6)*POWER(Upgrades!$I$6,E269)))*(IF(Upgrades!$T$7="Solar Wind",POWER(Upgrades!$U$7,F269),1)*IF(Upgrades!$T$8="Solar Wind",POWER(Upgrades!$U$8,G269),1)*IF(Upgrades!$T$9="Solar Wind",POWER(Upgrades!$U$9,H269),1)*IF(Upgrades!$T$10="Solar Wind",POWER(Upgrades!$U$10,I269),1)*IF(Upgrades!$T$11="Solar Wind",POWER(Upgrades!$U$11,J269),1)*IF(Upgrades!$T$12="Solar Wind",POWER(Upgrades!$U$12,K269),1))+(IF(F269=0,0,(Upgrades!$G$7+F269*Upgrades!$H$7)*POWER(Upgrades!$I$7,F269)))*(IF(Upgrades!$T$6="Asteroid Belt",POWER(Upgrades!$U$6,E269),1)*IF(Upgrades!$T$8="Asteroid Belt",POWER(Upgrades!$U$8,G269),1)*IF(Upgrades!$T$9="Asteroid Belt",POWER(Upgrades!$U$9,H269),1)*IF(Upgrades!$T$10="Asteroid Belt",POWER(Upgrades!$U$10,I269),1)*IF(Upgrades!$T$11="Asteroid Belt",POWER(Upgrades!$U$11,J269),1)*IF(Upgrades!$T$12="Asteroid Belt",POWER(Upgrades!$U$12,K269),1))+(IF(G269=0,0,(Upgrades!$G$8+G269*Upgrades!$H$8)*POWER(Upgrades!$I$8,G269)))*(IF(Upgrades!$T$6="Stellar Coupling",POWER(Upgrades!$U$6,E269),1)*IF(Upgrades!$T$7="Stellar Coupling",POWER(Upgrades!$U$7,F269),1)*IF(Upgrades!$T$9="Stellar Coupling",POWER(Upgrades!$U$9,H269),1)*IF(Upgrades!$T$10="Stellar Coupling",POWER(Upgrades!$U$10,I269),1)*IF(Upgrades!$T$11="Stellar Coupling",POWER(Upgrades!$U$11,J269),1)*IF(Upgrades!$T$12="Stellar Coupling",POWER(Upgrades!$U$12,K269),1))+(IF(H269=0,0,(Upgrades!$G$9+H269*Upgrades!$H$9)*POWER(Upgrades!$I$9,H269)))*(IF(Upgrades!$T$6="Magnetosphere",POWER(Upgrades!$U$6,E269),1)*IF(Upgrades!$T$7="Magnetosphere",POWER(Upgrades!$U$7,F269),1)*IF(Upgrades!$T$8="Magnetosphere",POWER(Upgrades!$U$8,G269),1)*IF(Upgrades!$T$10="Magnetosphere",POWER(Upgrades!$U$10,I269),1)*IF(Upgrades!$T$11="Magnetosphere",POWER(Upgrades!$U$11,J269),1)*IF(Upgrades!$T$12="Magnetosphere",POWER(Upgrades!$U$12,K269),1))+(IF(I269=0,0,(Upgrades!$G$10+I269*Upgrades!$H$10)*POWER(Upgrades!$I$10,I269)))*(IF(Upgrades!$T$6="Orbital Resonance",POWER(Upgrades!$U$6,E269),1)*IF(Upgrades!$T$7="Orbital Resonance",POWER(Upgrades!$U$7,F269),1)*IF(Upgrades!$T$8="Orbital Resonance",POWER(Upgrades!$U$8,G269),1)*IF(Upgrades!$T$9="Orbital Resonance",POWER(Upgrades!$U$9,H269),1)*IF(Upgrades!$T$11="Orbital Resonance",POWER(Upgrades!$U$11,J269),1)*IF(Upgrades!$T$12="Orbital Resonance",POWER(Upgrades!$U$12,K269),1))+(IF(J269=0,0,(Upgrades!$G$11+J269*Upgrades!$H$11)*POWER(Upgrades!$I$11,J269)))*(IF(Upgrades!$T$6="Heliopause",POWER(Upgrades!$U$6,E269),1)*IF(Upgrades!$T$7="Heliopause",POWER(Upgrades!$U$7,F269),1)*IF(Upgrades!$T$8="Heliopause",POWER(Upgrades!$U$8,G269),1)*IF(Upgrades!$T$9="Heliopause",POWER(Upgrades!$U$9,H269),1)*IF(Upgrades!$T$10="Heliopause",POWER(Upgrades!$U$10,I269),1)*IF(Upgrades!$T$12="Heliopause",POWER(Upgrades!$U$12,K269),1))+(IF(K269=0,0,(Upgrades!$G$12+K269*Upgrades!$H$12)*POWER(Upgrades!$I$12,K269)))*(IF(Upgrades!$T$6="First Photons",POWER(Upgrades!$U$6,E269),1)*IF(Upgrades!$T$7="First Photons",POWER(Upgrades!$U$7,F269),1)*IF(Upgrades!$T$8="First Photons",POWER(Upgrades!$U$8,G269),1)*IF(Upgrades!$T$9="First Photons",POWER(Upgrades!$U$9,H269),1)*IF(Upgrades!$T$10="First Photons",POWER(Upgrades!$U$10,I269),1)*IF(Upgrades!$T$11="First Photons",POWER(Upgrades!$U$11,J269),1)))*POWER(Upgrades!$P$6,E269)*POWER(Upgrades!$P$7,F269)*POWER(Upgrades!$P$8,G269)*POWER(Upgrades!$P$9,H269)*POWER(Upgrades!$P$10,I269)*POWER(Upgrades!$P$11,J269)*POWER(Upgrades!$P$12,K269)</f>
        <v/>
      </c>
      <c r="O269" s="28">
        <f>((IF(E269=0,0,(Upgrades!$M$6+E269*Upgrades!$N$6)*POWER(Upgrades!$O$6,E269)))*(IF(Upgrades!$T$7="Solar Wind",POWER(Upgrades!$U$7,F269),1)*IF(Upgrades!$T$8="Solar Wind",POWER(Upgrades!$U$8,G269),1)*IF(Upgrades!$T$9="Solar Wind",POWER(Upgrades!$U$9,H269),1)*IF(Upgrades!$T$10="Solar Wind",POWER(Upgrades!$U$10,I269),1)*IF(Upgrades!$T$11="Solar Wind",POWER(Upgrades!$U$11,J269),1)*IF(Upgrades!$T$12="Solar Wind",POWER(Upgrades!$U$12,K269),1))+(IF(F269=0,0,(Upgrades!$M$7+F269*Upgrades!$N$7)*POWER(Upgrades!$O$7,F269)))*(IF(Upgrades!$T$6="Asteroid Belt",POWER(Upgrades!$U$6,E269),1)*IF(Upgrades!$T$8="Asteroid Belt",POWER(Upgrades!$U$8,G269),1)*IF(Upgrades!$T$9="Asteroid Belt",POWER(Upgrades!$U$9,H269),1)*IF(Upgrades!$T$10="Asteroid Belt",POWER(Upgrades!$U$10,I269),1)*IF(Upgrades!$T$11="Asteroid Belt",POWER(Upgrades!$U$11,J269),1)*IF(Upgrades!$T$12="Asteroid Belt",POWER(Upgrades!$U$12,K269),1))+(IF(G269=0,0,(Upgrades!$M$8+G269*Upgrades!$N$8)*POWER(Upgrades!$O$8,G269)))*(IF(Upgrades!$T$6="Stellar Coupling",POWER(Upgrades!$U$6,E269),1)*IF(Upgrades!$T$7="Stellar Coupling",POWER(Upgrades!$U$7,F269),1)*IF(Upgrades!$T$9="Stellar Coupling",POWER(Upgrades!$U$9,H269),1)*IF(Upgrades!$T$10="Stellar Coupling",POWER(Upgrades!$U$10,I269),1)*IF(Upgrades!$T$11="Stellar Coupling",POWER(Upgrades!$U$11,J269),1)*IF(Upgrades!$T$12="Stellar Coupling",POWER(Upgrades!$U$12,K269),1))+(IF(H269=0,0,(Upgrades!$M$9+H269*Upgrades!$N$9)*POWER(Upgrades!$O$9,H269)))*(IF(Upgrades!$T$6="Magnetosphere",POWER(Upgrades!$U$6,E269),1)*IF(Upgrades!$T$7="Magnetosphere",POWER(Upgrades!$U$7,F269),1)*IF(Upgrades!$T$8="Magnetosphere",POWER(Upgrades!$U$8,G269),1)*IF(Upgrades!$T$10="Magnetosphere",POWER(Upgrades!$U$10,I269),1)*IF(Upgrades!$T$11="Magnetosphere",POWER(Upgrades!$U$11,J269),1)*IF(Upgrades!$T$12="Magnetosphere",POWER(Upgrades!$U$12,K269),1))+(IF(I269=0,0,(Upgrades!$M$10+I269*Upgrades!$N$10)*POWER(Upgrades!$O$10,I269)))*(IF(Upgrades!$T$6="Orbital Resonance",POWER(Upgrades!$U$6,E269),1)*IF(Upgrades!$T$7="Orbital Resonance",POWER(Upgrades!$U$7,F269),1)*IF(Upgrades!$T$8="Orbital Resonance",POWER(Upgrades!$U$8,G269),1)*IF(Upgrades!$T$9="Orbital Resonance",POWER(Upgrades!$U$9,H269),1)*IF(Upgrades!$T$11="Orbital Resonance",POWER(Upgrades!$U$11,J269),1)*IF(Upgrades!$T$12="Orbital Resonance",POWER(Upgrades!$U$12,K269),1))+(IF(J269=0,0,(Upgrades!$M$11+J269*Upgrades!$N$11)*POWER(Upgrades!$O$11,J269)))*(IF(Upgrades!$T$6="Heliopause",POWER(Upgrades!$U$6,E269),1)*IF(Upgrades!$T$7="Heliopause",POWER(Upgrades!$U$7,F269),1)*IF(Upgrades!$T$8="Heliopause",POWER(Upgrades!$U$8,G269),1)*IF(Upgrades!$T$9="Heliopause",POWER(Upgrades!$U$9,H269),1)*IF(Upgrades!$T$10="Heliopause",POWER(Upgrades!$U$10,I269),1)*IF(Upgrades!$T$12="Heliopause",POWER(Upgrades!$U$12,K269),1))+(IF(K269=0,0,(Upgrades!$M$12+K269*Upgrades!$N$12)*POWER(Upgrades!$O$12,K269)))*(IF(Upgrades!$T$6="First Photons",POWER(Upgrades!$U$6,E269),1)*IF(Upgrades!$T$7="First Photons",POWER(Upgrades!$U$7,F269),1)*IF(Upgrades!$T$8="First Photons",POWER(Upgrades!$U$8,G269),1)*IF(Upgrades!$T$9="First Photons",POWER(Upgrades!$U$9,H269),1)*IF(Upgrades!$T$10="First Photons",POWER(Upgrades!$U$10,I269),1)*IF(Upgrades!$T$11="First Photons",POWER(Upgrades!$U$11,J269),1)))*POWER(Upgrades!$R$6,E269)*POWER(Upgrades!$R$7,F269)*POWER(Upgrades!$R$8,G269)*POWER(Upgrades!$R$9,H269)*POWER(Upgrades!$R$10,I269)*POWER(Upgrades!$R$11,J269)*POWER(Upgrades!$R$12,K269)</f>
        <v/>
      </c>
      <c r="P269" s="27">
        <f>IF(L269=1,0,M269*Parameters!$B$10/60*Parameters!$B$11*10)</f>
        <v/>
      </c>
      <c r="Q269" s="27">
        <f>IF(L269=1,0,O269*M269*10)</f>
        <v/>
      </c>
      <c r="R269" s="27">
        <f>IF(L269=1,0,N269*10)</f>
        <v/>
      </c>
      <c r="S269" s="27">
        <f>P269+Q269+R269</f>
        <v/>
      </c>
      <c r="T269" s="22">
        <f>C269+S269</f>
        <v/>
      </c>
      <c r="U269" s="33">
        <f>AX269</f>
        <v/>
      </c>
      <c r="V269" s="22">
        <f>IF(U269="",0,IF(U269="transition",0,IF(U269="SW",AG269,IF(U269="AB",AH269,IF(U269="SC",AI269,IF(U269="Mag",AJ269,IF(U269="OR",AK269,IF(U269="HP",AL269,IF(U269="FP",AM269,0)))))))))</f>
        <v/>
      </c>
      <c r="W269" s="27">
        <f>IF(U269="OR",Upgrades!$F$10,IF(U269="HP",Upgrades!$F$11,IF(U269="transition",-Parameters!$B$18,0)))</f>
        <v/>
      </c>
      <c r="X269" s="22">
        <f>T269-V269</f>
        <v/>
      </c>
      <c r="Y269" s="30">
        <f>M269*Parameters!$B$10/60*Parameters!$B$11+O269*M269+N269</f>
        <v/>
      </c>
      <c r="Z269" s="34">
        <f>IF(U269="transition","→ Tier 2 (Stellar Neighborhood)",IF(U269="FP","First Photons — light begins, system quickens",IF(U269="HP","Heliopause acquired",IF(U269="OR","Orbital Resonance — passive multiplier active",IF(AND(AO269=1,L269=0,AN269&lt;&gt;1),"Cohesion ready (waiting on completionist upgrades)","")))))</f>
        <v/>
      </c>
      <c r="AA269" s="27">
        <f>(IF(E269=0,0,(Upgrades!$G$6+E269*Upgrades!$H$6)*POWER(Upgrades!$I$6,E269)))*(IF(Upgrades!$T$7="Solar Wind",POWER(Upgrades!$U$7,F269),1)*IF(Upgrades!$T$8="Solar Wind",POWER(Upgrades!$U$8,G269),1)*IF(Upgrades!$T$9="Solar Wind",POWER(Upgrades!$U$9,H269),1)*IF(Upgrades!$T$10="Solar Wind",POWER(Upgrades!$U$10,I269),1)*IF(Upgrades!$T$11="Solar Wind",POWER(Upgrades!$U$11,J269),1)*IF(Upgrades!$T$12="Solar Wind",POWER(Upgrades!$U$12,K269),1))*POWER(Upgrades!$P$6,E269)*POWER(Upgrades!$P$7,F269)*POWER(Upgrades!$P$8,G269)*POWER(Upgrades!$P$9,H269)*POWER(Upgrades!$P$10,I269)*POWER(Upgrades!$P$11,J269)*POWER(Upgrades!$P$12,K269)*60</f>
        <v/>
      </c>
      <c r="AB269" s="27">
        <f>(IF(F269=0,0,(Upgrades!$G$7+F269*Upgrades!$H$7)*POWER(Upgrades!$I$7,F269)))*(IF(Upgrades!$T$6="Asteroid Belt",POWER(Upgrades!$U$6,E269),1)*IF(Upgrades!$T$8="Asteroid Belt",POWER(Upgrades!$U$8,G269),1)*IF(Upgrades!$T$9="Asteroid Belt",POWER(Upgrades!$U$9,H269),1)*IF(Upgrades!$T$10="Asteroid Belt",POWER(Upgrades!$U$10,I269),1)*IF(Upgrades!$T$11="Asteroid Belt",POWER(Upgrades!$U$11,J269),1)*IF(Upgrades!$T$12="Asteroid Belt",POWER(Upgrades!$U$12,K269),1))*POWER(Upgrades!$P$6,E269)*POWER(Upgrades!$P$7,F269)*POWER(Upgrades!$P$8,G269)*POWER(Upgrades!$P$9,H269)*POWER(Upgrades!$P$10,I269)*POWER(Upgrades!$P$11,J269)*POWER(Upgrades!$P$12,K269)*60</f>
        <v/>
      </c>
      <c r="AC269" s="27">
        <f>(IF(G269=0,0,(Upgrades!$J$8+G269*Upgrades!$K$8)*POWER(Upgrades!$L$8,G269)))*(IF(Upgrades!$T$6="Stellar Coupling",POWER(Upgrades!$U$6,E269),1)*IF(Upgrades!$T$7="Stellar Coupling",POWER(Upgrades!$U$7,F269),1)*IF(Upgrades!$T$9="Stellar Coupling",POWER(Upgrades!$U$9,H269),1)*IF(Upgrades!$T$10="Stellar Coupling",POWER(Upgrades!$U$10,I269),1)*IF(Upgrades!$T$11="Stellar Coupling",POWER(Upgrades!$U$11,J269),1)*IF(Upgrades!$T$12="Stellar Coupling",POWER(Upgrades!$U$12,K269),1))*POWER(Upgrades!$Q$6,E269)*POWER(Upgrades!$Q$7,F269)*POWER(Upgrades!$Q$8,G269)*POWER(Upgrades!$Q$9,H269)*POWER(Upgrades!$Q$10,I269)*POWER(Upgrades!$Q$11,J269)*POWER(Upgrades!$Q$12,K269)*Parameters!$B$10*Parameters!$B$11</f>
        <v/>
      </c>
      <c r="AD269" s="27">
        <f>(IF(H269=0,0,(Upgrades!$G$9+H269*Upgrades!$H$9)*POWER(Upgrades!$I$9,H269)))*(IF(Upgrades!$T$6="Magnetosphere",POWER(Upgrades!$U$6,E269),1)*IF(Upgrades!$T$7="Magnetosphere",POWER(Upgrades!$U$7,F269),1)*IF(Upgrades!$T$8="Magnetosphere",POWER(Upgrades!$U$8,G269),1)*IF(Upgrades!$T$10="Magnetosphere",POWER(Upgrades!$U$10,I269),1)*IF(Upgrades!$T$11="Magnetosphere",POWER(Upgrades!$U$11,J269),1)*IF(Upgrades!$T$12="Magnetosphere",POWER(Upgrades!$U$12,K269),1))*POWER(Upgrades!$P$6,E269)*POWER(Upgrades!$P$7,F269)*POWER(Upgrades!$P$8,G269)*POWER(Upgrades!$P$9,H269)*POWER(Upgrades!$P$10,I269)*POWER(Upgrades!$P$11,J269)*POWER(Upgrades!$P$12,K269)*60</f>
        <v/>
      </c>
      <c r="AE269" s="27">
        <f>(IF(K269=0,0,(Upgrades!$G$12+K269*Upgrades!$H$12)*POWER(Upgrades!$I$12,K269)))*(IF(Upgrades!$T$6="First Photons",POWER(Upgrades!$U$6,E269),1)*IF(Upgrades!$T$7="First Photons",POWER(Upgrades!$U$7,F269),1)*IF(Upgrades!$T$8="First Photons",POWER(Upgrades!$U$8,G269),1)*IF(Upgrades!$T$9="First Photons",POWER(Upgrades!$U$9,H269),1)*IF(Upgrades!$T$10="First Photons",POWER(Upgrades!$U$10,I269),1)*IF(Upgrades!$T$11="First Photons",POWER(Upgrades!$U$11,J269),1))*POWER(Upgrades!$P$6,E269)*POWER(Upgrades!$P$7,F269)*POWER(Upgrades!$P$8,G269)*POWER(Upgrades!$P$9,H269)*POWER(Upgrades!$P$10,I269)*POWER(Upgrades!$P$11,J269)*POWER(Upgrades!$P$12,K269)*60</f>
        <v/>
      </c>
      <c r="AF269" s="27">
        <f>Parameters!$B$9*POWER(Upgrades!$Q$6,E269)*POWER(Upgrades!$Q$7,F269)*POWER(Upgrades!$Q$8,G269)*POWER(Upgrades!$Q$9,H269)*POWER(Upgrades!$Q$10,I269)*POWER(Upgrades!$Q$11,J269)*POWER(Upgrades!$Q$12,K269)*(Parameters!$B$10*Parameters!$B$11+O269*60)</f>
        <v/>
      </c>
      <c r="AG269" s="22">
        <f>IF(E269&gt;=Upgrades!$E$6,"",Upgrades!$C$6*POWER(Upgrades!$D$6,E269))</f>
        <v/>
      </c>
      <c r="AH269" s="22">
        <f>IF(F269&gt;=Upgrades!$E$7,"",Upgrades!$C$7*POWER(Upgrades!$D$7,F269))</f>
        <v/>
      </c>
      <c r="AI269" s="22">
        <f>IF(G269&gt;=Upgrades!$E$8,"",Upgrades!$C$8*POWER(Upgrades!$D$8,G269))</f>
        <v/>
      </c>
      <c r="AJ269" s="22">
        <f>IF(H269&gt;=Upgrades!$E$9,"",Upgrades!$C$9*POWER(Upgrades!$D$9,H269))</f>
        <v/>
      </c>
      <c r="AK269" s="22">
        <f>IF(I269&gt;=Upgrades!$E$10,"",Upgrades!$C$10*POWER(Upgrades!$D$10,I269))</f>
        <v/>
      </c>
      <c r="AL269" s="22">
        <f>IF(J269&gt;=Upgrades!$E$11,"",Upgrades!$C$11*POWER(Upgrades!$D$11,J269))</f>
        <v/>
      </c>
      <c r="AM269" s="22">
        <f>IF(K269&gt;=Upgrades!$E$12,"",Upgrades!$C$12*POWER(Upgrades!$D$12,K269))</f>
        <v/>
      </c>
      <c r="AN269" s="26">
        <f>IF(AND(D269&gt;=Parameters!$B$18,(H269&gt;=Upgrades!$E$9)*(K269&gt;=Upgrades!$E$12)=1,L269=0),1,"")</f>
        <v/>
      </c>
      <c r="AO269" s="26">
        <f>IF(AND(D269&gt;=Parameters!$B$18,L269=0),1,"")</f>
        <v/>
      </c>
      <c r="AP269" s="22">
        <f>MIN(IF(ISNUMBER(AK269),AK269,9E15),IF(ISNUMBER(AL269),AL269,9E15),IF(ISNUMBER(AM269),AM269,9E15))</f>
        <v/>
      </c>
      <c r="AQ269" s="22">
        <f>MIN(IF(ISNUMBER(AG269),AG269,9E15),IF(ISNUMBER(AH269),AH269,9E15),IF(ISNUMBER(AI269),AI269,9E15),IF(ISNUMBER(AJ269),AJ269,9E15))</f>
        <v/>
      </c>
      <c r="AR269" s="29">
        <f>IF(AW269&gt;Parameters!$B$21*(MAX(IF(AND(NOT(AND(AO269=1,AN269&lt;&gt;1)),ISNUMBER(AG269),AG269&lt;=T269),AS269,0),IF(AND(NOT(AND(AO269=1,AN269&lt;&gt;1)),ISNUMBER(AH269),AH269&lt;=T269),AT269,0),IF(AND(NOT(AND(AO269=1,AN269&lt;&gt;1)),ISNUMBER(AI269),AI269&lt;=T269),AU269,0),IF(AND(ISNUMBER(AJ269),AJ269&lt;=T269),AV269,0))),TRUE,FALSE)</f>
        <v/>
      </c>
      <c r="AS269" s="32">
        <f>IFERROR(Upgrades!$H$6*(POWER(Upgrades!$P$6,E269)*POWER(Upgrades!$P$7,F269)*POWER(Upgrades!$P$8,G269)*POWER(Upgrades!$P$9,H269)*POWER(Upgrades!$P$10,I269)*POWER(Upgrades!$P$11,J269)*POWER(Upgrades!$P$12,K269))*(IF(Upgrades!$T$7="Solar Wind",POWER(Upgrades!$U$7,F269),1)*IF(Upgrades!$T$8="Solar Wind",POWER(Upgrades!$U$8,G269),1)*IF(Upgrades!$T$9="Solar Wind",POWER(Upgrades!$U$9,H269),1)*IF(Upgrades!$T$10="Solar Wind",POWER(Upgrades!$U$10,I269),1)*IF(Upgrades!$T$11="Solar Wind",POWER(Upgrades!$U$11,J269),1)*IF(Upgrades!$T$12="Solar Wind",POWER(Upgrades!$U$12,K269),1))/AG269,0)</f>
        <v/>
      </c>
      <c r="AT269" s="32">
        <f>IFERROR(Upgrades!$H$7*(POWER(Upgrades!$P$6,E269)*POWER(Upgrades!$P$7,F269)*POWER(Upgrades!$P$8,G269)*POWER(Upgrades!$P$9,H269)*POWER(Upgrades!$P$10,I269)*POWER(Upgrades!$P$11,J269)*POWER(Upgrades!$P$12,K269))*(IF(Upgrades!$T$6="Asteroid Belt",POWER(Upgrades!$U$6,E269),1)*IF(Upgrades!$T$8="Asteroid Belt",POWER(Upgrades!$U$8,G269),1)*IF(Upgrades!$T$9="Asteroid Belt",POWER(Upgrades!$U$9,H269),1)*IF(Upgrades!$T$10="Asteroid Belt",POWER(Upgrades!$U$10,I269),1)*IF(Upgrades!$T$11="Asteroid Belt",POWER(Upgrades!$U$11,J269),1)*IF(Upgrades!$T$12="Asteroid Belt",POWER(Upgrades!$U$12,K269),1))/AH269,0)</f>
        <v/>
      </c>
      <c r="AU269" s="32">
        <f>IFERROR(Upgrades!$K$8*(POWER(Upgrades!$Q$6,E269)*POWER(Upgrades!$Q$7,F269)*POWER(Upgrades!$Q$8,G269)*POWER(Upgrades!$Q$9,H269)*POWER(Upgrades!$Q$10,I269)*POWER(Upgrades!$Q$11,J269)*POWER(Upgrades!$Q$12,K269))*(IF(Upgrades!$T$6="Stellar Coupling",POWER(Upgrades!$U$6,E269),1)*IF(Upgrades!$T$7="Stellar Coupling",POWER(Upgrades!$U$7,F269),1)*IF(Upgrades!$T$9="Stellar Coupling",POWER(Upgrades!$U$9,H269),1)*IF(Upgrades!$T$10="Stellar Coupling",POWER(Upgrades!$U$10,I269),1)*IF(Upgrades!$T$11="Stellar Coupling",POWER(Upgrades!$U$11,J269),1)*IF(Upgrades!$T$12="Stellar Coupling",POWER(Upgrades!$U$12,K269),1))*Parameters!$B$10*Parameters!$B$11/60/AI269,0)</f>
        <v/>
      </c>
      <c r="AV269" s="32">
        <f>IFERROR(Upgrades!$H$9*(POWER(Upgrades!$P$6,E269)*POWER(Upgrades!$P$7,F269)*POWER(Upgrades!$P$8,G269)*POWER(Upgrades!$P$9,H269)*POWER(Upgrades!$P$10,I269)*POWER(Upgrades!$P$11,J269)*POWER(Upgrades!$P$12,K269))*(IF(Upgrades!$T$6="Magnetosphere",POWER(Upgrades!$U$6,E269),1)*IF(Upgrades!$T$7="Magnetosphere",POWER(Upgrades!$U$7,F269),1)*IF(Upgrades!$T$8="Magnetosphere",POWER(Upgrades!$U$8,G269),1)*IF(Upgrades!$T$10="Magnetosphere",POWER(Upgrades!$U$10,I269),1)*IF(Upgrades!$T$11="Magnetosphere",POWER(Upgrades!$U$11,J269),1)*IF(Upgrades!$T$12="Magnetosphere",POWER(Upgrades!$U$12,K269),1))/AJ269,0)</f>
        <v/>
      </c>
      <c r="AW269" s="32">
        <f>MAX(IF(I269&gt;0,0,IFERROR(0.25*N269/Upgrades!$C$10,0)),IF(J269&gt;0,0,IFERROR(0.5*((IF(G269=0,0,(Upgrades!$J$8+G269*Upgrades!$K$8)*POWER(Upgrades!$L$8,G269)))*(IF(Upgrades!$T$6="Stellar Coupling",POWER(Upgrades!$U$6,E269),1)*IF(Upgrades!$T$7="Stellar Coupling",POWER(Upgrades!$U$7,F269),1)*IF(Upgrades!$T$9="Stellar Coupling",POWER(Upgrades!$U$9,H269),1)*IF(Upgrades!$T$10="Stellar Coupling",POWER(Upgrades!$U$10,I269),1)*IF(Upgrades!$T$11="Stellar Coupling",POWER(Upgrades!$U$11,J269),1)*IF(Upgrades!$T$12="Stellar Coupling",POWER(Upgrades!$U$12,K269),1))*(POWER(Upgrades!$Q$6,E269)*POWER(Upgrades!$Q$7,F269)*POWER(Upgrades!$Q$8,G269)*POWER(Upgrades!$Q$9,H269)*POWER(Upgrades!$Q$10,I269)*POWER(Upgrades!$Q$11,J269)*POWER(Upgrades!$Q$12,K269))*Parameters!$B$10*Parameters!$B$11/60)/Upgrades!$C$11,0)),IF(K269&gt;0,0,IFERROR((1.0*(POWER(Upgrades!$P$6,E269)*POWER(Upgrades!$P$7,F269)*POWER(Upgrades!$P$8,G269)*POWER(Upgrades!$P$9,H269)*POWER(Upgrades!$P$10,I269)*POWER(Upgrades!$P$11,J269)*POWER(Upgrades!$P$12,K269))+0.20*M269*Parameters!$B$10*Parameters!$B$11/60)/Upgrades!$C$12,0)),IF(AND(ISNUMBER(AG269),AG269&gt;T269),AS269,0),IF(AND(ISNUMBER(AH269),AH269&gt;T269),AT269,0),IF(AND(ISNUMBER(AI269),AI269&gt;T269),AU269,0),IF(AND(ISNUMBER(AJ269),AJ269&gt;T269),AV269,0))</f>
        <v/>
      </c>
      <c r="AX269" s="29">
        <f>IF(AN269=1,"transition",IF(MIN(IF(AND(I269=0,ISNUMBER(AK269),AK269&lt;=T269),AK269,9E15),IF(AND(J269=0,ISNUMBER(AL269),AL269&lt;=T269),AL269,9E15),IF(AND(K269=0,ISNUMBER(AM269),AM269&lt;=T269),AM269,9E15))&lt;9E15,IF(AND(AND(I269=0,ISNUMBER(AK269),AK269&lt;=T269),AK269=MIN(IF(AND(I269=0,ISNUMBER(AK269),AK269&lt;=T269),AK269,9E15),IF(AND(J269=0,ISNUMBER(AL269),AL269&lt;=T269),AL269,9E15),IF(AND(K269=0,ISNUMBER(AM269),AM269&lt;=T269),AM269,9E15))),"OR",IF(AND(AND(J269=0,ISNUMBER(AL269),AL269&lt;=T269),AL269=MIN(IF(AND(I269=0,ISNUMBER(AK269),AK269&lt;=T269),AK269,9E15),IF(AND(J269=0,ISNUMBER(AL269),AL269&lt;=T269),AL269,9E15),IF(AND(K269=0,ISNUMBER(AM269),AM269&lt;=T269),AM269,9E15))),"HP","FP")),IF(AR269=TRUE,"",IF(MAX(IF(AND(NOT(AND(AO269=1,AN269&lt;&gt;1)),ISNUMBER(AG269),AG269&lt;=T269),AS269,0),IF(AND(NOT(AND(AO269=1,AN269&lt;&gt;1)),ISNUMBER(AH269),AH269&lt;=T269),AT269,0),IF(AND(NOT(AND(AO269=1,AN269&lt;&gt;1)),ISNUMBER(AI269),AI269&lt;=T269),AU269,0),IF(AND(ISNUMBER(AJ269),AJ269&lt;=T269),AV269,0))&lt;=0,"",IF(AND(IF(AND(NOT(AND(AO269=1,AN269&lt;&gt;1)),ISNUMBER(AG269),AG269&lt;=T269),AS269,0)&gt;0,IF(AND(NOT(AND(AO269=1,AN269&lt;&gt;1)),ISNUMBER(AG269),AG269&lt;=T269),AS269,0)=MAX(IF(AND(NOT(AND(AO269=1,AN269&lt;&gt;1)),ISNUMBER(AG269),AG269&lt;=T269),AS269,0),IF(AND(NOT(AND(AO269=1,AN269&lt;&gt;1)),ISNUMBER(AH269),AH269&lt;=T269),AT269,0),IF(AND(NOT(AND(AO269=1,AN269&lt;&gt;1)),ISNUMBER(AI269),AI269&lt;=T269),AU269,0),IF(AND(ISNUMBER(AJ269),AJ269&lt;=T269),AV269,0))),"SW",IF(AND(IF(AND(NOT(AND(AO269=1,AN269&lt;&gt;1)),ISNUMBER(AH269),AH269&lt;=T269),AT269,0)&gt;0,IF(AND(NOT(AND(AO269=1,AN269&lt;&gt;1)),ISNUMBER(AH269),AH269&lt;=T269),AT269,0)=MAX(IF(AND(NOT(AND(AO269=1,AN269&lt;&gt;1)),ISNUMBER(AG269),AG269&lt;=T269),AS269,0),IF(AND(NOT(AND(AO269=1,AN269&lt;&gt;1)),ISNUMBER(AH269),AH269&lt;=T269),AT269,0),IF(AND(NOT(AND(AO269=1,AN269&lt;&gt;1)),ISNUMBER(AI269),AI269&lt;=T269),AU269,0),IF(AND(ISNUMBER(AJ269),AJ269&lt;=T269),AV269,0))),"AB",IF(AND(IF(AND(NOT(AND(AO269=1,AN269&lt;&gt;1)),ISNUMBER(AI269),AI269&lt;=T269),AU269,0)&gt;0,IF(AND(NOT(AND(AO269=1,AN269&lt;&gt;1)),ISNUMBER(AI269),AI269&lt;=T269),AU269,0)=MAX(IF(AND(NOT(AND(AO269=1,AN269&lt;&gt;1)),ISNUMBER(AG269),AG269&lt;=T269),AS269,0),IF(AND(NOT(AND(AO269=1,AN269&lt;&gt;1)),ISNUMBER(AH269),AH269&lt;=T269),AT269,0),IF(AND(NOT(AND(AO269=1,AN269&lt;&gt;1)),ISNUMBER(AI269),AI269&lt;=T269),AU269,0),IF(AND(ISNUMBER(AJ269),AJ269&lt;=T269),AV269,0))),"SC","Mag")))))))</f>
        <v/>
      </c>
    </row>
    <row r="270">
      <c r="A270" s="26" t="n">
        <v>265</v>
      </c>
      <c r="B270" s="27">
        <f>A270*10/60</f>
        <v/>
      </c>
      <c r="C270" s="22">
        <f>X269</f>
        <v/>
      </c>
      <c r="D270" s="27">
        <f>D269+W269</f>
        <v/>
      </c>
      <c r="E270" s="26">
        <f>E269+IF(U269="SW",1,0)</f>
        <v/>
      </c>
      <c r="F270" s="26">
        <f>F269+IF(U269="AB",1,0)</f>
        <v/>
      </c>
      <c r="G270" s="26">
        <f>G269+IF(U269="SC",1,0)</f>
        <v/>
      </c>
      <c r="H270" s="26">
        <f>H269+IF(U269="Mag",1,0)</f>
        <v/>
      </c>
      <c r="I270" s="26">
        <f>MAX(I269,IF(U269="OR",1,0))</f>
        <v/>
      </c>
      <c r="J270" s="26">
        <f>MAX(J269,IF(U269="HP",1,0))</f>
        <v/>
      </c>
      <c r="K270" s="26">
        <f>MAX(K269,IF(U269="FP",1,0))</f>
        <v/>
      </c>
      <c r="L270" s="26">
        <f>MAX(L269,IF(U269="transition",1,0))</f>
        <v/>
      </c>
      <c r="M270" s="28">
        <f>(Parameters!$B$9+(IF(E270=0,0,(Upgrades!$J$6+E270*Upgrades!$K$6)*POWER(Upgrades!$L$6,E270)))*(IF(Upgrades!$T$7="Solar Wind",POWER(Upgrades!$U$7,F270),1)*IF(Upgrades!$T$8="Solar Wind",POWER(Upgrades!$U$8,G270),1)*IF(Upgrades!$T$9="Solar Wind",POWER(Upgrades!$U$9,H270),1)*IF(Upgrades!$T$10="Solar Wind",POWER(Upgrades!$U$10,I270),1)*IF(Upgrades!$T$11="Solar Wind",POWER(Upgrades!$U$11,J270),1)*IF(Upgrades!$T$12="Solar Wind",POWER(Upgrades!$U$12,K270),1))+(IF(F270=0,0,(Upgrades!$J$7+F270*Upgrades!$K$7)*POWER(Upgrades!$L$7,F270)))*(IF(Upgrades!$T$6="Asteroid Belt",POWER(Upgrades!$U$6,E270),1)*IF(Upgrades!$T$8="Asteroid Belt",POWER(Upgrades!$U$8,G270),1)*IF(Upgrades!$T$9="Asteroid Belt",POWER(Upgrades!$U$9,H270),1)*IF(Upgrades!$T$10="Asteroid Belt",POWER(Upgrades!$U$10,I270),1)*IF(Upgrades!$T$11="Asteroid Belt",POWER(Upgrades!$U$11,J270),1)*IF(Upgrades!$T$12="Asteroid Belt",POWER(Upgrades!$U$12,K270),1))+(IF(G270=0,0,(Upgrades!$J$8+G270*Upgrades!$K$8)*POWER(Upgrades!$L$8,G270)))*(IF(Upgrades!$T$6="Stellar Coupling",POWER(Upgrades!$U$6,E270),1)*IF(Upgrades!$T$7="Stellar Coupling",POWER(Upgrades!$U$7,F270),1)*IF(Upgrades!$T$9="Stellar Coupling",POWER(Upgrades!$U$9,H270),1)*IF(Upgrades!$T$10="Stellar Coupling",POWER(Upgrades!$U$10,I270),1)*IF(Upgrades!$T$11="Stellar Coupling",POWER(Upgrades!$U$11,J270),1)*IF(Upgrades!$T$12="Stellar Coupling",POWER(Upgrades!$U$12,K270),1))+(IF(H270=0,0,(Upgrades!$J$9+H270*Upgrades!$K$9)*POWER(Upgrades!$L$9,H270)))*(IF(Upgrades!$T$6="Magnetosphere",POWER(Upgrades!$U$6,E270),1)*IF(Upgrades!$T$7="Magnetosphere",POWER(Upgrades!$U$7,F270),1)*IF(Upgrades!$T$8="Magnetosphere",POWER(Upgrades!$U$8,G270),1)*IF(Upgrades!$T$10="Magnetosphere",POWER(Upgrades!$U$10,I270),1)*IF(Upgrades!$T$11="Magnetosphere",POWER(Upgrades!$U$11,J270),1)*IF(Upgrades!$T$12="Magnetosphere",POWER(Upgrades!$U$12,K270),1))+(IF(I270=0,0,(Upgrades!$J$10+I270*Upgrades!$K$10)*POWER(Upgrades!$L$10,I270)))*(IF(Upgrades!$T$6="Orbital Resonance",POWER(Upgrades!$U$6,E270),1)*IF(Upgrades!$T$7="Orbital Resonance",POWER(Upgrades!$U$7,F270),1)*IF(Upgrades!$T$8="Orbital Resonance",POWER(Upgrades!$U$8,G270),1)*IF(Upgrades!$T$9="Orbital Resonance",POWER(Upgrades!$U$9,H270),1)*IF(Upgrades!$T$11="Orbital Resonance",POWER(Upgrades!$U$11,J270),1)*IF(Upgrades!$T$12="Orbital Resonance",POWER(Upgrades!$U$12,K270),1))+(IF(J270=0,0,(Upgrades!$J$11+J270*Upgrades!$K$11)*POWER(Upgrades!$L$11,J270)))*(IF(Upgrades!$T$6="Heliopause",POWER(Upgrades!$U$6,E270),1)*IF(Upgrades!$T$7="Heliopause",POWER(Upgrades!$U$7,F270),1)*IF(Upgrades!$T$8="Heliopause",POWER(Upgrades!$U$8,G270),1)*IF(Upgrades!$T$9="Heliopause",POWER(Upgrades!$U$9,H270),1)*IF(Upgrades!$T$10="Heliopause",POWER(Upgrades!$U$10,I270),1)*IF(Upgrades!$T$12="Heliopause",POWER(Upgrades!$U$12,K270),1))+(IF(K270=0,0,(Upgrades!$J$12+K270*Upgrades!$K$12)*POWER(Upgrades!$L$12,K270)))*(IF(Upgrades!$T$6="First Photons",POWER(Upgrades!$U$6,E270),1)*IF(Upgrades!$T$7="First Photons",POWER(Upgrades!$U$7,F270),1)*IF(Upgrades!$T$8="First Photons",POWER(Upgrades!$U$8,G270),1)*IF(Upgrades!$T$9="First Photons",POWER(Upgrades!$U$9,H270),1)*IF(Upgrades!$T$10="First Photons",POWER(Upgrades!$U$10,I270),1)*IF(Upgrades!$T$11="First Photons",POWER(Upgrades!$U$11,J270),1)))*POWER(Upgrades!$Q$6,E270)*POWER(Upgrades!$Q$7,F270)*POWER(Upgrades!$Q$8,G270)*POWER(Upgrades!$Q$9,H270)*POWER(Upgrades!$Q$10,I270)*POWER(Upgrades!$Q$11,J270)*POWER(Upgrades!$Q$12,K270)</f>
        <v/>
      </c>
      <c r="N270" s="28">
        <f>((IF(E270=0,0,(Upgrades!$G$6+E270*Upgrades!$H$6)*POWER(Upgrades!$I$6,E270)))*(IF(Upgrades!$T$7="Solar Wind",POWER(Upgrades!$U$7,F270),1)*IF(Upgrades!$T$8="Solar Wind",POWER(Upgrades!$U$8,G270),1)*IF(Upgrades!$T$9="Solar Wind",POWER(Upgrades!$U$9,H270),1)*IF(Upgrades!$T$10="Solar Wind",POWER(Upgrades!$U$10,I270),1)*IF(Upgrades!$T$11="Solar Wind",POWER(Upgrades!$U$11,J270),1)*IF(Upgrades!$T$12="Solar Wind",POWER(Upgrades!$U$12,K270),1))+(IF(F270=0,0,(Upgrades!$G$7+F270*Upgrades!$H$7)*POWER(Upgrades!$I$7,F270)))*(IF(Upgrades!$T$6="Asteroid Belt",POWER(Upgrades!$U$6,E270),1)*IF(Upgrades!$T$8="Asteroid Belt",POWER(Upgrades!$U$8,G270),1)*IF(Upgrades!$T$9="Asteroid Belt",POWER(Upgrades!$U$9,H270),1)*IF(Upgrades!$T$10="Asteroid Belt",POWER(Upgrades!$U$10,I270),1)*IF(Upgrades!$T$11="Asteroid Belt",POWER(Upgrades!$U$11,J270),1)*IF(Upgrades!$T$12="Asteroid Belt",POWER(Upgrades!$U$12,K270),1))+(IF(G270=0,0,(Upgrades!$G$8+G270*Upgrades!$H$8)*POWER(Upgrades!$I$8,G270)))*(IF(Upgrades!$T$6="Stellar Coupling",POWER(Upgrades!$U$6,E270),1)*IF(Upgrades!$T$7="Stellar Coupling",POWER(Upgrades!$U$7,F270),1)*IF(Upgrades!$T$9="Stellar Coupling",POWER(Upgrades!$U$9,H270),1)*IF(Upgrades!$T$10="Stellar Coupling",POWER(Upgrades!$U$10,I270),1)*IF(Upgrades!$T$11="Stellar Coupling",POWER(Upgrades!$U$11,J270),1)*IF(Upgrades!$T$12="Stellar Coupling",POWER(Upgrades!$U$12,K270),1))+(IF(H270=0,0,(Upgrades!$G$9+H270*Upgrades!$H$9)*POWER(Upgrades!$I$9,H270)))*(IF(Upgrades!$T$6="Magnetosphere",POWER(Upgrades!$U$6,E270),1)*IF(Upgrades!$T$7="Magnetosphere",POWER(Upgrades!$U$7,F270),1)*IF(Upgrades!$T$8="Magnetosphere",POWER(Upgrades!$U$8,G270),1)*IF(Upgrades!$T$10="Magnetosphere",POWER(Upgrades!$U$10,I270),1)*IF(Upgrades!$T$11="Magnetosphere",POWER(Upgrades!$U$11,J270),1)*IF(Upgrades!$T$12="Magnetosphere",POWER(Upgrades!$U$12,K270),1))+(IF(I270=0,0,(Upgrades!$G$10+I270*Upgrades!$H$10)*POWER(Upgrades!$I$10,I270)))*(IF(Upgrades!$T$6="Orbital Resonance",POWER(Upgrades!$U$6,E270),1)*IF(Upgrades!$T$7="Orbital Resonance",POWER(Upgrades!$U$7,F270),1)*IF(Upgrades!$T$8="Orbital Resonance",POWER(Upgrades!$U$8,G270),1)*IF(Upgrades!$T$9="Orbital Resonance",POWER(Upgrades!$U$9,H270),1)*IF(Upgrades!$T$11="Orbital Resonance",POWER(Upgrades!$U$11,J270),1)*IF(Upgrades!$T$12="Orbital Resonance",POWER(Upgrades!$U$12,K270),1))+(IF(J270=0,0,(Upgrades!$G$11+J270*Upgrades!$H$11)*POWER(Upgrades!$I$11,J270)))*(IF(Upgrades!$T$6="Heliopause",POWER(Upgrades!$U$6,E270),1)*IF(Upgrades!$T$7="Heliopause",POWER(Upgrades!$U$7,F270),1)*IF(Upgrades!$T$8="Heliopause",POWER(Upgrades!$U$8,G270),1)*IF(Upgrades!$T$9="Heliopause",POWER(Upgrades!$U$9,H270),1)*IF(Upgrades!$T$10="Heliopause",POWER(Upgrades!$U$10,I270),1)*IF(Upgrades!$T$12="Heliopause",POWER(Upgrades!$U$12,K270),1))+(IF(K270=0,0,(Upgrades!$G$12+K270*Upgrades!$H$12)*POWER(Upgrades!$I$12,K270)))*(IF(Upgrades!$T$6="First Photons",POWER(Upgrades!$U$6,E270),1)*IF(Upgrades!$T$7="First Photons",POWER(Upgrades!$U$7,F270),1)*IF(Upgrades!$T$8="First Photons",POWER(Upgrades!$U$8,G270),1)*IF(Upgrades!$T$9="First Photons",POWER(Upgrades!$U$9,H270),1)*IF(Upgrades!$T$10="First Photons",POWER(Upgrades!$U$10,I270),1)*IF(Upgrades!$T$11="First Photons",POWER(Upgrades!$U$11,J270),1)))*POWER(Upgrades!$P$6,E270)*POWER(Upgrades!$P$7,F270)*POWER(Upgrades!$P$8,G270)*POWER(Upgrades!$P$9,H270)*POWER(Upgrades!$P$10,I270)*POWER(Upgrades!$P$11,J270)*POWER(Upgrades!$P$12,K270)</f>
        <v/>
      </c>
      <c r="O270" s="28">
        <f>((IF(E270=0,0,(Upgrades!$M$6+E270*Upgrades!$N$6)*POWER(Upgrades!$O$6,E270)))*(IF(Upgrades!$T$7="Solar Wind",POWER(Upgrades!$U$7,F270),1)*IF(Upgrades!$T$8="Solar Wind",POWER(Upgrades!$U$8,G270),1)*IF(Upgrades!$T$9="Solar Wind",POWER(Upgrades!$U$9,H270),1)*IF(Upgrades!$T$10="Solar Wind",POWER(Upgrades!$U$10,I270),1)*IF(Upgrades!$T$11="Solar Wind",POWER(Upgrades!$U$11,J270),1)*IF(Upgrades!$T$12="Solar Wind",POWER(Upgrades!$U$12,K270),1))+(IF(F270=0,0,(Upgrades!$M$7+F270*Upgrades!$N$7)*POWER(Upgrades!$O$7,F270)))*(IF(Upgrades!$T$6="Asteroid Belt",POWER(Upgrades!$U$6,E270),1)*IF(Upgrades!$T$8="Asteroid Belt",POWER(Upgrades!$U$8,G270),1)*IF(Upgrades!$T$9="Asteroid Belt",POWER(Upgrades!$U$9,H270),1)*IF(Upgrades!$T$10="Asteroid Belt",POWER(Upgrades!$U$10,I270),1)*IF(Upgrades!$T$11="Asteroid Belt",POWER(Upgrades!$U$11,J270),1)*IF(Upgrades!$T$12="Asteroid Belt",POWER(Upgrades!$U$12,K270),1))+(IF(G270=0,0,(Upgrades!$M$8+G270*Upgrades!$N$8)*POWER(Upgrades!$O$8,G270)))*(IF(Upgrades!$T$6="Stellar Coupling",POWER(Upgrades!$U$6,E270),1)*IF(Upgrades!$T$7="Stellar Coupling",POWER(Upgrades!$U$7,F270),1)*IF(Upgrades!$T$9="Stellar Coupling",POWER(Upgrades!$U$9,H270),1)*IF(Upgrades!$T$10="Stellar Coupling",POWER(Upgrades!$U$10,I270),1)*IF(Upgrades!$T$11="Stellar Coupling",POWER(Upgrades!$U$11,J270),1)*IF(Upgrades!$T$12="Stellar Coupling",POWER(Upgrades!$U$12,K270),1))+(IF(H270=0,0,(Upgrades!$M$9+H270*Upgrades!$N$9)*POWER(Upgrades!$O$9,H270)))*(IF(Upgrades!$T$6="Magnetosphere",POWER(Upgrades!$U$6,E270),1)*IF(Upgrades!$T$7="Magnetosphere",POWER(Upgrades!$U$7,F270),1)*IF(Upgrades!$T$8="Magnetosphere",POWER(Upgrades!$U$8,G270),1)*IF(Upgrades!$T$10="Magnetosphere",POWER(Upgrades!$U$10,I270),1)*IF(Upgrades!$T$11="Magnetosphere",POWER(Upgrades!$U$11,J270),1)*IF(Upgrades!$T$12="Magnetosphere",POWER(Upgrades!$U$12,K270),1))+(IF(I270=0,0,(Upgrades!$M$10+I270*Upgrades!$N$10)*POWER(Upgrades!$O$10,I270)))*(IF(Upgrades!$T$6="Orbital Resonance",POWER(Upgrades!$U$6,E270),1)*IF(Upgrades!$T$7="Orbital Resonance",POWER(Upgrades!$U$7,F270),1)*IF(Upgrades!$T$8="Orbital Resonance",POWER(Upgrades!$U$8,G270),1)*IF(Upgrades!$T$9="Orbital Resonance",POWER(Upgrades!$U$9,H270),1)*IF(Upgrades!$T$11="Orbital Resonance",POWER(Upgrades!$U$11,J270),1)*IF(Upgrades!$T$12="Orbital Resonance",POWER(Upgrades!$U$12,K270),1))+(IF(J270=0,0,(Upgrades!$M$11+J270*Upgrades!$N$11)*POWER(Upgrades!$O$11,J270)))*(IF(Upgrades!$T$6="Heliopause",POWER(Upgrades!$U$6,E270),1)*IF(Upgrades!$T$7="Heliopause",POWER(Upgrades!$U$7,F270),1)*IF(Upgrades!$T$8="Heliopause",POWER(Upgrades!$U$8,G270),1)*IF(Upgrades!$T$9="Heliopause",POWER(Upgrades!$U$9,H270),1)*IF(Upgrades!$T$10="Heliopause",POWER(Upgrades!$U$10,I270),1)*IF(Upgrades!$T$12="Heliopause",POWER(Upgrades!$U$12,K270),1))+(IF(K270=0,0,(Upgrades!$M$12+K270*Upgrades!$N$12)*POWER(Upgrades!$O$12,K270)))*(IF(Upgrades!$T$6="First Photons",POWER(Upgrades!$U$6,E270),1)*IF(Upgrades!$T$7="First Photons",POWER(Upgrades!$U$7,F270),1)*IF(Upgrades!$T$8="First Photons",POWER(Upgrades!$U$8,G270),1)*IF(Upgrades!$T$9="First Photons",POWER(Upgrades!$U$9,H270),1)*IF(Upgrades!$T$10="First Photons",POWER(Upgrades!$U$10,I270),1)*IF(Upgrades!$T$11="First Photons",POWER(Upgrades!$U$11,J270),1)))*POWER(Upgrades!$R$6,E270)*POWER(Upgrades!$R$7,F270)*POWER(Upgrades!$R$8,G270)*POWER(Upgrades!$R$9,H270)*POWER(Upgrades!$R$10,I270)*POWER(Upgrades!$R$11,J270)*POWER(Upgrades!$R$12,K270)</f>
        <v/>
      </c>
      <c r="P270" s="27">
        <f>IF(L270=1,0,M270*Parameters!$B$10/60*Parameters!$B$11*10)</f>
        <v/>
      </c>
      <c r="Q270" s="27">
        <f>IF(L270=1,0,O270*M270*10)</f>
        <v/>
      </c>
      <c r="R270" s="27">
        <f>IF(L270=1,0,N270*10)</f>
        <v/>
      </c>
      <c r="S270" s="27">
        <f>P270+Q270+R270</f>
        <v/>
      </c>
      <c r="T270" s="22">
        <f>C270+S270</f>
        <v/>
      </c>
      <c r="U270" s="33">
        <f>AX270</f>
        <v/>
      </c>
      <c r="V270" s="22">
        <f>IF(U270="",0,IF(U270="transition",0,IF(U270="SW",AG270,IF(U270="AB",AH270,IF(U270="SC",AI270,IF(U270="Mag",AJ270,IF(U270="OR",AK270,IF(U270="HP",AL270,IF(U270="FP",AM270,0)))))))))</f>
        <v/>
      </c>
      <c r="W270" s="27">
        <f>IF(U270="OR",Upgrades!$F$10,IF(U270="HP",Upgrades!$F$11,IF(U270="transition",-Parameters!$B$18,0)))</f>
        <v/>
      </c>
      <c r="X270" s="22">
        <f>T270-V270</f>
        <v/>
      </c>
      <c r="Y270" s="30">
        <f>M270*Parameters!$B$10/60*Parameters!$B$11+O270*M270+N270</f>
        <v/>
      </c>
      <c r="Z270" s="34">
        <f>IF(U270="transition","→ Tier 2 (Stellar Neighborhood)",IF(U270="FP","First Photons — light begins, system quickens",IF(U270="HP","Heliopause acquired",IF(U270="OR","Orbital Resonance — passive multiplier active",IF(AND(AO270=1,L270=0,AN270&lt;&gt;1),"Cohesion ready (waiting on completionist upgrades)","")))))</f>
        <v/>
      </c>
      <c r="AA270" s="27">
        <f>(IF(E270=0,0,(Upgrades!$G$6+E270*Upgrades!$H$6)*POWER(Upgrades!$I$6,E270)))*(IF(Upgrades!$T$7="Solar Wind",POWER(Upgrades!$U$7,F270),1)*IF(Upgrades!$T$8="Solar Wind",POWER(Upgrades!$U$8,G270),1)*IF(Upgrades!$T$9="Solar Wind",POWER(Upgrades!$U$9,H270),1)*IF(Upgrades!$T$10="Solar Wind",POWER(Upgrades!$U$10,I270),1)*IF(Upgrades!$T$11="Solar Wind",POWER(Upgrades!$U$11,J270),1)*IF(Upgrades!$T$12="Solar Wind",POWER(Upgrades!$U$12,K270),1))*POWER(Upgrades!$P$6,E270)*POWER(Upgrades!$P$7,F270)*POWER(Upgrades!$P$8,G270)*POWER(Upgrades!$P$9,H270)*POWER(Upgrades!$P$10,I270)*POWER(Upgrades!$P$11,J270)*POWER(Upgrades!$P$12,K270)*60</f>
        <v/>
      </c>
      <c r="AB270" s="27">
        <f>(IF(F270=0,0,(Upgrades!$G$7+F270*Upgrades!$H$7)*POWER(Upgrades!$I$7,F270)))*(IF(Upgrades!$T$6="Asteroid Belt",POWER(Upgrades!$U$6,E270),1)*IF(Upgrades!$T$8="Asteroid Belt",POWER(Upgrades!$U$8,G270),1)*IF(Upgrades!$T$9="Asteroid Belt",POWER(Upgrades!$U$9,H270),1)*IF(Upgrades!$T$10="Asteroid Belt",POWER(Upgrades!$U$10,I270),1)*IF(Upgrades!$T$11="Asteroid Belt",POWER(Upgrades!$U$11,J270),1)*IF(Upgrades!$T$12="Asteroid Belt",POWER(Upgrades!$U$12,K270),1))*POWER(Upgrades!$P$6,E270)*POWER(Upgrades!$P$7,F270)*POWER(Upgrades!$P$8,G270)*POWER(Upgrades!$P$9,H270)*POWER(Upgrades!$P$10,I270)*POWER(Upgrades!$P$11,J270)*POWER(Upgrades!$P$12,K270)*60</f>
        <v/>
      </c>
      <c r="AC270" s="27">
        <f>(IF(G270=0,0,(Upgrades!$J$8+G270*Upgrades!$K$8)*POWER(Upgrades!$L$8,G270)))*(IF(Upgrades!$T$6="Stellar Coupling",POWER(Upgrades!$U$6,E270),1)*IF(Upgrades!$T$7="Stellar Coupling",POWER(Upgrades!$U$7,F270),1)*IF(Upgrades!$T$9="Stellar Coupling",POWER(Upgrades!$U$9,H270),1)*IF(Upgrades!$T$10="Stellar Coupling",POWER(Upgrades!$U$10,I270),1)*IF(Upgrades!$T$11="Stellar Coupling",POWER(Upgrades!$U$11,J270),1)*IF(Upgrades!$T$12="Stellar Coupling",POWER(Upgrades!$U$12,K270),1))*POWER(Upgrades!$Q$6,E270)*POWER(Upgrades!$Q$7,F270)*POWER(Upgrades!$Q$8,G270)*POWER(Upgrades!$Q$9,H270)*POWER(Upgrades!$Q$10,I270)*POWER(Upgrades!$Q$11,J270)*POWER(Upgrades!$Q$12,K270)*Parameters!$B$10*Parameters!$B$11</f>
        <v/>
      </c>
      <c r="AD270" s="27">
        <f>(IF(H270=0,0,(Upgrades!$G$9+H270*Upgrades!$H$9)*POWER(Upgrades!$I$9,H270)))*(IF(Upgrades!$T$6="Magnetosphere",POWER(Upgrades!$U$6,E270),1)*IF(Upgrades!$T$7="Magnetosphere",POWER(Upgrades!$U$7,F270),1)*IF(Upgrades!$T$8="Magnetosphere",POWER(Upgrades!$U$8,G270),1)*IF(Upgrades!$T$10="Magnetosphere",POWER(Upgrades!$U$10,I270),1)*IF(Upgrades!$T$11="Magnetosphere",POWER(Upgrades!$U$11,J270),1)*IF(Upgrades!$T$12="Magnetosphere",POWER(Upgrades!$U$12,K270),1))*POWER(Upgrades!$P$6,E270)*POWER(Upgrades!$P$7,F270)*POWER(Upgrades!$P$8,G270)*POWER(Upgrades!$P$9,H270)*POWER(Upgrades!$P$10,I270)*POWER(Upgrades!$P$11,J270)*POWER(Upgrades!$P$12,K270)*60</f>
        <v/>
      </c>
      <c r="AE270" s="27">
        <f>(IF(K270=0,0,(Upgrades!$G$12+K270*Upgrades!$H$12)*POWER(Upgrades!$I$12,K270)))*(IF(Upgrades!$T$6="First Photons",POWER(Upgrades!$U$6,E270),1)*IF(Upgrades!$T$7="First Photons",POWER(Upgrades!$U$7,F270),1)*IF(Upgrades!$T$8="First Photons",POWER(Upgrades!$U$8,G270),1)*IF(Upgrades!$T$9="First Photons",POWER(Upgrades!$U$9,H270),1)*IF(Upgrades!$T$10="First Photons",POWER(Upgrades!$U$10,I270),1)*IF(Upgrades!$T$11="First Photons",POWER(Upgrades!$U$11,J270),1))*POWER(Upgrades!$P$6,E270)*POWER(Upgrades!$P$7,F270)*POWER(Upgrades!$P$8,G270)*POWER(Upgrades!$P$9,H270)*POWER(Upgrades!$P$10,I270)*POWER(Upgrades!$P$11,J270)*POWER(Upgrades!$P$12,K270)*60</f>
        <v/>
      </c>
      <c r="AF270" s="27">
        <f>Parameters!$B$9*POWER(Upgrades!$Q$6,E270)*POWER(Upgrades!$Q$7,F270)*POWER(Upgrades!$Q$8,G270)*POWER(Upgrades!$Q$9,H270)*POWER(Upgrades!$Q$10,I270)*POWER(Upgrades!$Q$11,J270)*POWER(Upgrades!$Q$12,K270)*(Parameters!$B$10*Parameters!$B$11+O270*60)</f>
        <v/>
      </c>
      <c r="AG270" s="22">
        <f>IF(E270&gt;=Upgrades!$E$6,"",Upgrades!$C$6*POWER(Upgrades!$D$6,E270))</f>
        <v/>
      </c>
      <c r="AH270" s="22">
        <f>IF(F270&gt;=Upgrades!$E$7,"",Upgrades!$C$7*POWER(Upgrades!$D$7,F270))</f>
        <v/>
      </c>
      <c r="AI270" s="22">
        <f>IF(G270&gt;=Upgrades!$E$8,"",Upgrades!$C$8*POWER(Upgrades!$D$8,G270))</f>
        <v/>
      </c>
      <c r="AJ270" s="22">
        <f>IF(H270&gt;=Upgrades!$E$9,"",Upgrades!$C$9*POWER(Upgrades!$D$9,H270))</f>
        <v/>
      </c>
      <c r="AK270" s="22">
        <f>IF(I270&gt;=Upgrades!$E$10,"",Upgrades!$C$10*POWER(Upgrades!$D$10,I270))</f>
        <v/>
      </c>
      <c r="AL270" s="22">
        <f>IF(J270&gt;=Upgrades!$E$11,"",Upgrades!$C$11*POWER(Upgrades!$D$11,J270))</f>
        <v/>
      </c>
      <c r="AM270" s="22">
        <f>IF(K270&gt;=Upgrades!$E$12,"",Upgrades!$C$12*POWER(Upgrades!$D$12,K270))</f>
        <v/>
      </c>
      <c r="AN270" s="26">
        <f>IF(AND(D270&gt;=Parameters!$B$18,(H270&gt;=Upgrades!$E$9)*(K270&gt;=Upgrades!$E$12)=1,L270=0),1,"")</f>
        <v/>
      </c>
      <c r="AO270" s="26">
        <f>IF(AND(D270&gt;=Parameters!$B$18,L270=0),1,"")</f>
        <v/>
      </c>
      <c r="AP270" s="22">
        <f>MIN(IF(ISNUMBER(AK270),AK270,9E15),IF(ISNUMBER(AL270),AL270,9E15),IF(ISNUMBER(AM270),AM270,9E15))</f>
        <v/>
      </c>
      <c r="AQ270" s="22">
        <f>MIN(IF(ISNUMBER(AG270),AG270,9E15),IF(ISNUMBER(AH270),AH270,9E15),IF(ISNUMBER(AI270),AI270,9E15),IF(ISNUMBER(AJ270),AJ270,9E15))</f>
        <v/>
      </c>
      <c r="AR270" s="29">
        <f>IF(AW270&gt;Parameters!$B$21*(MAX(IF(AND(NOT(AND(AO270=1,AN270&lt;&gt;1)),ISNUMBER(AG270),AG270&lt;=T270),AS270,0),IF(AND(NOT(AND(AO270=1,AN270&lt;&gt;1)),ISNUMBER(AH270),AH270&lt;=T270),AT270,0),IF(AND(NOT(AND(AO270=1,AN270&lt;&gt;1)),ISNUMBER(AI270),AI270&lt;=T270),AU270,0),IF(AND(ISNUMBER(AJ270),AJ270&lt;=T270),AV270,0))),TRUE,FALSE)</f>
        <v/>
      </c>
      <c r="AS270" s="32">
        <f>IFERROR(Upgrades!$H$6*(POWER(Upgrades!$P$6,E270)*POWER(Upgrades!$P$7,F270)*POWER(Upgrades!$P$8,G270)*POWER(Upgrades!$P$9,H270)*POWER(Upgrades!$P$10,I270)*POWER(Upgrades!$P$11,J270)*POWER(Upgrades!$P$12,K270))*(IF(Upgrades!$T$7="Solar Wind",POWER(Upgrades!$U$7,F270),1)*IF(Upgrades!$T$8="Solar Wind",POWER(Upgrades!$U$8,G270),1)*IF(Upgrades!$T$9="Solar Wind",POWER(Upgrades!$U$9,H270),1)*IF(Upgrades!$T$10="Solar Wind",POWER(Upgrades!$U$10,I270),1)*IF(Upgrades!$T$11="Solar Wind",POWER(Upgrades!$U$11,J270),1)*IF(Upgrades!$T$12="Solar Wind",POWER(Upgrades!$U$12,K270),1))/AG270,0)</f>
        <v/>
      </c>
      <c r="AT270" s="32">
        <f>IFERROR(Upgrades!$H$7*(POWER(Upgrades!$P$6,E270)*POWER(Upgrades!$P$7,F270)*POWER(Upgrades!$P$8,G270)*POWER(Upgrades!$P$9,H270)*POWER(Upgrades!$P$10,I270)*POWER(Upgrades!$P$11,J270)*POWER(Upgrades!$P$12,K270))*(IF(Upgrades!$T$6="Asteroid Belt",POWER(Upgrades!$U$6,E270),1)*IF(Upgrades!$T$8="Asteroid Belt",POWER(Upgrades!$U$8,G270),1)*IF(Upgrades!$T$9="Asteroid Belt",POWER(Upgrades!$U$9,H270),1)*IF(Upgrades!$T$10="Asteroid Belt",POWER(Upgrades!$U$10,I270),1)*IF(Upgrades!$T$11="Asteroid Belt",POWER(Upgrades!$U$11,J270),1)*IF(Upgrades!$T$12="Asteroid Belt",POWER(Upgrades!$U$12,K270),1))/AH270,0)</f>
        <v/>
      </c>
      <c r="AU270" s="32">
        <f>IFERROR(Upgrades!$K$8*(POWER(Upgrades!$Q$6,E270)*POWER(Upgrades!$Q$7,F270)*POWER(Upgrades!$Q$8,G270)*POWER(Upgrades!$Q$9,H270)*POWER(Upgrades!$Q$10,I270)*POWER(Upgrades!$Q$11,J270)*POWER(Upgrades!$Q$12,K270))*(IF(Upgrades!$T$6="Stellar Coupling",POWER(Upgrades!$U$6,E270),1)*IF(Upgrades!$T$7="Stellar Coupling",POWER(Upgrades!$U$7,F270),1)*IF(Upgrades!$T$9="Stellar Coupling",POWER(Upgrades!$U$9,H270),1)*IF(Upgrades!$T$10="Stellar Coupling",POWER(Upgrades!$U$10,I270),1)*IF(Upgrades!$T$11="Stellar Coupling",POWER(Upgrades!$U$11,J270),1)*IF(Upgrades!$T$12="Stellar Coupling",POWER(Upgrades!$U$12,K270),1))*Parameters!$B$10*Parameters!$B$11/60/AI270,0)</f>
        <v/>
      </c>
      <c r="AV270" s="32">
        <f>IFERROR(Upgrades!$H$9*(POWER(Upgrades!$P$6,E270)*POWER(Upgrades!$P$7,F270)*POWER(Upgrades!$P$8,G270)*POWER(Upgrades!$P$9,H270)*POWER(Upgrades!$P$10,I270)*POWER(Upgrades!$P$11,J270)*POWER(Upgrades!$P$12,K270))*(IF(Upgrades!$T$6="Magnetosphere",POWER(Upgrades!$U$6,E270),1)*IF(Upgrades!$T$7="Magnetosphere",POWER(Upgrades!$U$7,F270),1)*IF(Upgrades!$T$8="Magnetosphere",POWER(Upgrades!$U$8,G270),1)*IF(Upgrades!$T$10="Magnetosphere",POWER(Upgrades!$U$10,I270),1)*IF(Upgrades!$T$11="Magnetosphere",POWER(Upgrades!$U$11,J270),1)*IF(Upgrades!$T$12="Magnetosphere",POWER(Upgrades!$U$12,K270),1))/AJ270,0)</f>
        <v/>
      </c>
      <c r="AW270" s="32">
        <f>MAX(IF(I270&gt;0,0,IFERROR(0.25*N270/Upgrades!$C$10,0)),IF(J270&gt;0,0,IFERROR(0.5*((IF(G270=0,0,(Upgrades!$J$8+G270*Upgrades!$K$8)*POWER(Upgrades!$L$8,G270)))*(IF(Upgrades!$T$6="Stellar Coupling",POWER(Upgrades!$U$6,E270),1)*IF(Upgrades!$T$7="Stellar Coupling",POWER(Upgrades!$U$7,F270),1)*IF(Upgrades!$T$9="Stellar Coupling",POWER(Upgrades!$U$9,H270),1)*IF(Upgrades!$T$10="Stellar Coupling",POWER(Upgrades!$U$10,I270),1)*IF(Upgrades!$T$11="Stellar Coupling",POWER(Upgrades!$U$11,J270),1)*IF(Upgrades!$T$12="Stellar Coupling",POWER(Upgrades!$U$12,K270),1))*(POWER(Upgrades!$Q$6,E270)*POWER(Upgrades!$Q$7,F270)*POWER(Upgrades!$Q$8,G270)*POWER(Upgrades!$Q$9,H270)*POWER(Upgrades!$Q$10,I270)*POWER(Upgrades!$Q$11,J270)*POWER(Upgrades!$Q$12,K270))*Parameters!$B$10*Parameters!$B$11/60)/Upgrades!$C$11,0)),IF(K270&gt;0,0,IFERROR((1.0*(POWER(Upgrades!$P$6,E270)*POWER(Upgrades!$P$7,F270)*POWER(Upgrades!$P$8,G270)*POWER(Upgrades!$P$9,H270)*POWER(Upgrades!$P$10,I270)*POWER(Upgrades!$P$11,J270)*POWER(Upgrades!$P$12,K270))+0.20*M270*Parameters!$B$10*Parameters!$B$11/60)/Upgrades!$C$12,0)),IF(AND(ISNUMBER(AG270),AG270&gt;T270),AS270,0),IF(AND(ISNUMBER(AH270),AH270&gt;T270),AT270,0),IF(AND(ISNUMBER(AI270),AI270&gt;T270),AU270,0),IF(AND(ISNUMBER(AJ270),AJ270&gt;T270),AV270,0))</f>
        <v/>
      </c>
      <c r="AX270" s="29">
        <f>IF(AN270=1,"transition",IF(MIN(IF(AND(I270=0,ISNUMBER(AK270),AK270&lt;=T270),AK270,9E15),IF(AND(J270=0,ISNUMBER(AL270),AL270&lt;=T270),AL270,9E15),IF(AND(K270=0,ISNUMBER(AM270),AM270&lt;=T270),AM270,9E15))&lt;9E15,IF(AND(AND(I270=0,ISNUMBER(AK270),AK270&lt;=T270),AK270=MIN(IF(AND(I270=0,ISNUMBER(AK270),AK270&lt;=T270),AK270,9E15),IF(AND(J270=0,ISNUMBER(AL270),AL270&lt;=T270),AL270,9E15),IF(AND(K270=0,ISNUMBER(AM270),AM270&lt;=T270),AM270,9E15))),"OR",IF(AND(AND(J270=0,ISNUMBER(AL270),AL270&lt;=T270),AL270=MIN(IF(AND(I270=0,ISNUMBER(AK270),AK270&lt;=T270),AK270,9E15),IF(AND(J270=0,ISNUMBER(AL270),AL270&lt;=T270),AL270,9E15),IF(AND(K270=0,ISNUMBER(AM270),AM270&lt;=T270),AM270,9E15))),"HP","FP")),IF(AR270=TRUE,"",IF(MAX(IF(AND(NOT(AND(AO270=1,AN270&lt;&gt;1)),ISNUMBER(AG270),AG270&lt;=T270),AS270,0),IF(AND(NOT(AND(AO270=1,AN270&lt;&gt;1)),ISNUMBER(AH270),AH270&lt;=T270),AT270,0),IF(AND(NOT(AND(AO270=1,AN270&lt;&gt;1)),ISNUMBER(AI270),AI270&lt;=T270),AU270,0),IF(AND(ISNUMBER(AJ270),AJ270&lt;=T270),AV270,0))&lt;=0,"",IF(AND(IF(AND(NOT(AND(AO270=1,AN270&lt;&gt;1)),ISNUMBER(AG270),AG270&lt;=T270),AS270,0)&gt;0,IF(AND(NOT(AND(AO270=1,AN270&lt;&gt;1)),ISNUMBER(AG270),AG270&lt;=T270),AS270,0)=MAX(IF(AND(NOT(AND(AO270=1,AN270&lt;&gt;1)),ISNUMBER(AG270),AG270&lt;=T270),AS270,0),IF(AND(NOT(AND(AO270=1,AN270&lt;&gt;1)),ISNUMBER(AH270),AH270&lt;=T270),AT270,0),IF(AND(NOT(AND(AO270=1,AN270&lt;&gt;1)),ISNUMBER(AI270),AI270&lt;=T270),AU270,0),IF(AND(ISNUMBER(AJ270),AJ270&lt;=T270),AV270,0))),"SW",IF(AND(IF(AND(NOT(AND(AO270=1,AN270&lt;&gt;1)),ISNUMBER(AH270),AH270&lt;=T270),AT270,0)&gt;0,IF(AND(NOT(AND(AO270=1,AN270&lt;&gt;1)),ISNUMBER(AH270),AH270&lt;=T270),AT270,0)=MAX(IF(AND(NOT(AND(AO270=1,AN270&lt;&gt;1)),ISNUMBER(AG270),AG270&lt;=T270),AS270,0),IF(AND(NOT(AND(AO270=1,AN270&lt;&gt;1)),ISNUMBER(AH270),AH270&lt;=T270),AT270,0),IF(AND(NOT(AND(AO270=1,AN270&lt;&gt;1)),ISNUMBER(AI270),AI270&lt;=T270),AU270,0),IF(AND(ISNUMBER(AJ270),AJ270&lt;=T270),AV270,0))),"AB",IF(AND(IF(AND(NOT(AND(AO270=1,AN270&lt;&gt;1)),ISNUMBER(AI270),AI270&lt;=T270),AU270,0)&gt;0,IF(AND(NOT(AND(AO270=1,AN270&lt;&gt;1)),ISNUMBER(AI270),AI270&lt;=T270),AU270,0)=MAX(IF(AND(NOT(AND(AO270=1,AN270&lt;&gt;1)),ISNUMBER(AG270),AG270&lt;=T270),AS270,0),IF(AND(NOT(AND(AO270=1,AN270&lt;&gt;1)),ISNUMBER(AH270),AH270&lt;=T270),AT270,0),IF(AND(NOT(AND(AO270=1,AN270&lt;&gt;1)),ISNUMBER(AI270),AI270&lt;=T270),AU270,0),IF(AND(ISNUMBER(AJ270),AJ270&lt;=T270),AV270,0))),"SC","Mag")))))))</f>
        <v/>
      </c>
    </row>
    <row r="271">
      <c r="A271" s="26" t="n">
        <v>266</v>
      </c>
      <c r="B271" s="27">
        <f>A271*10/60</f>
        <v/>
      </c>
      <c r="C271" s="22">
        <f>X270</f>
        <v/>
      </c>
      <c r="D271" s="27">
        <f>D270+W270</f>
        <v/>
      </c>
      <c r="E271" s="26">
        <f>E270+IF(U270="SW",1,0)</f>
        <v/>
      </c>
      <c r="F271" s="26">
        <f>F270+IF(U270="AB",1,0)</f>
        <v/>
      </c>
      <c r="G271" s="26">
        <f>G270+IF(U270="SC",1,0)</f>
        <v/>
      </c>
      <c r="H271" s="26">
        <f>H270+IF(U270="Mag",1,0)</f>
        <v/>
      </c>
      <c r="I271" s="26">
        <f>MAX(I270,IF(U270="OR",1,0))</f>
        <v/>
      </c>
      <c r="J271" s="26">
        <f>MAX(J270,IF(U270="HP",1,0))</f>
        <v/>
      </c>
      <c r="K271" s="26">
        <f>MAX(K270,IF(U270="FP",1,0))</f>
        <v/>
      </c>
      <c r="L271" s="26">
        <f>MAX(L270,IF(U270="transition",1,0))</f>
        <v/>
      </c>
      <c r="M271" s="28">
        <f>(Parameters!$B$9+(IF(E271=0,0,(Upgrades!$J$6+E271*Upgrades!$K$6)*POWER(Upgrades!$L$6,E271)))*(IF(Upgrades!$T$7="Solar Wind",POWER(Upgrades!$U$7,F271),1)*IF(Upgrades!$T$8="Solar Wind",POWER(Upgrades!$U$8,G271),1)*IF(Upgrades!$T$9="Solar Wind",POWER(Upgrades!$U$9,H271),1)*IF(Upgrades!$T$10="Solar Wind",POWER(Upgrades!$U$10,I271),1)*IF(Upgrades!$T$11="Solar Wind",POWER(Upgrades!$U$11,J271),1)*IF(Upgrades!$T$12="Solar Wind",POWER(Upgrades!$U$12,K271),1))+(IF(F271=0,0,(Upgrades!$J$7+F271*Upgrades!$K$7)*POWER(Upgrades!$L$7,F271)))*(IF(Upgrades!$T$6="Asteroid Belt",POWER(Upgrades!$U$6,E271),1)*IF(Upgrades!$T$8="Asteroid Belt",POWER(Upgrades!$U$8,G271),1)*IF(Upgrades!$T$9="Asteroid Belt",POWER(Upgrades!$U$9,H271),1)*IF(Upgrades!$T$10="Asteroid Belt",POWER(Upgrades!$U$10,I271),1)*IF(Upgrades!$T$11="Asteroid Belt",POWER(Upgrades!$U$11,J271),1)*IF(Upgrades!$T$12="Asteroid Belt",POWER(Upgrades!$U$12,K271),1))+(IF(G271=0,0,(Upgrades!$J$8+G271*Upgrades!$K$8)*POWER(Upgrades!$L$8,G271)))*(IF(Upgrades!$T$6="Stellar Coupling",POWER(Upgrades!$U$6,E271),1)*IF(Upgrades!$T$7="Stellar Coupling",POWER(Upgrades!$U$7,F271),1)*IF(Upgrades!$T$9="Stellar Coupling",POWER(Upgrades!$U$9,H271),1)*IF(Upgrades!$T$10="Stellar Coupling",POWER(Upgrades!$U$10,I271),1)*IF(Upgrades!$T$11="Stellar Coupling",POWER(Upgrades!$U$11,J271),1)*IF(Upgrades!$T$12="Stellar Coupling",POWER(Upgrades!$U$12,K271),1))+(IF(H271=0,0,(Upgrades!$J$9+H271*Upgrades!$K$9)*POWER(Upgrades!$L$9,H271)))*(IF(Upgrades!$T$6="Magnetosphere",POWER(Upgrades!$U$6,E271),1)*IF(Upgrades!$T$7="Magnetosphere",POWER(Upgrades!$U$7,F271),1)*IF(Upgrades!$T$8="Magnetosphere",POWER(Upgrades!$U$8,G271),1)*IF(Upgrades!$T$10="Magnetosphere",POWER(Upgrades!$U$10,I271),1)*IF(Upgrades!$T$11="Magnetosphere",POWER(Upgrades!$U$11,J271),1)*IF(Upgrades!$T$12="Magnetosphere",POWER(Upgrades!$U$12,K271),1))+(IF(I271=0,0,(Upgrades!$J$10+I271*Upgrades!$K$10)*POWER(Upgrades!$L$10,I271)))*(IF(Upgrades!$T$6="Orbital Resonance",POWER(Upgrades!$U$6,E271),1)*IF(Upgrades!$T$7="Orbital Resonance",POWER(Upgrades!$U$7,F271),1)*IF(Upgrades!$T$8="Orbital Resonance",POWER(Upgrades!$U$8,G271),1)*IF(Upgrades!$T$9="Orbital Resonance",POWER(Upgrades!$U$9,H271),1)*IF(Upgrades!$T$11="Orbital Resonance",POWER(Upgrades!$U$11,J271),1)*IF(Upgrades!$T$12="Orbital Resonance",POWER(Upgrades!$U$12,K271),1))+(IF(J271=0,0,(Upgrades!$J$11+J271*Upgrades!$K$11)*POWER(Upgrades!$L$11,J271)))*(IF(Upgrades!$T$6="Heliopause",POWER(Upgrades!$U$6,E271),1)*IF(Upgrades!$T$7="Heliopause",POWER(Upgrades!$U$7,F271),1)*IF(Upgrades!$T$8="Heliopause",POWER(Upgrades!$U$8,G271),1)*IF(Upgrades!$T$9="Heliopause",POWER(Upgrades!$U$9,H271),1)*IF(Upgrades!$T$10="Heliopause",POWER(Upgrades!$U$10,I271),1)*IF(Upgrades!$T$12="Heliopause",POWER(Upgrades!$U$12,K271),1))+(IF(K271=0,0,(Upgrades!$J$12+K271*Upgrades!$K$12)*POWER(Upgrades!$L$12,K271)))*(IF(Upgrades!$T$6="First Photons",POWER(Upgrades!$U$6,E271),1)*IF(Upgrades!$T$7="First Photons",POWER(Upgrades!$U$7,F271),1)*IF(Upgrades!$T$8="First Photons",POWER(Upgrades!$U$8,G271),1)*IF(Upgrades!$T$9="First Photons",POWER(Upgrades!$U$9,H271),1)*IF(Upgrades!$T$10="First Photons",POWER(Upgrades!$U$10,I271),1)*IF(Upgrades!$T$11="First Photons",POWER(Upgrades!$U$11,J271),1)))*POWER(Upgrades!$Q$6,E271)*POWER(Upgrades!$Q$7,F271)*POWER(Upgrades!$Q$8,G271)*POWER(Upgrades!$Q$9,H271)*POWER(Upgrades!$Q$10,I271)*POWER(Upgrades!$Q$11,J271)*POWER(Upgrades!$Q$12,K271)</f>
        <v/>
      </c>
      <c r="N271" s="28">
        <f>((IF(E271=0,0,(Upgrades!$G$6+E271*Upgrades!$H$6)*POWER(Upgrades!$I$6,E271)))*(IF(Upgrades!$T$7="Solar Wind",POWER(Upgrades!$U$7,F271),1)*IF(Upgrades!$T$8="Solar Wind",POWER(Upgrades!$U$8,G271),1)*IF(Upgrades!$T$9="Solar Wind",POWER(Upgrades!$U$9,H271),1)*IF(Upgrades!$T$10="Solar Wind",POWER(Upgrades!$U$10,I271),1)*IF(Upgrades!$T$11="Solar Wind",POWER(Upgrades!$U$11,J271),1)*IF(Upgrades!$T$12="Solar Wind",POWER(Upgrades!$U$12,K271),1))+(IF(F271=0,0,(Upgrades!$G$7+F271*Upgrades!$H$7)*POWER(Upgrades!$I$7,F271)))*(IF(Upgrades!$T$6="Asteroid Belt",POWER(Upgrades!$U$6,E271),1)*IF(Upgrades!$T$8="Asteroid Belt",POWER(Upgrades!$U$8,G271),1)*IF(Upgrades!$T$9="Asteroid Belt",POWER(Upgrades!$U$9,H271),1)*IF(Upgrades!$T$10="Asteroid Belt",POWER(Upgrades!$U$10,I271),1)*IF(Upgrades!$T$11="Asteroid Belt",POWER(Upgrades!$U$11,J271),1)*IF(Upgrades!$T$12="Asteroid Belt",POWER(Upgrades!$U$12,K271),1))+(IF(G271=0,0,(Upgrades!$G$8+G271*Upgrades!$H$8)*POWER(Upgrades!$I$8,G271)))*(IF(Upgrades!$T$6="Stellar Coupling",POWER(Upgrades!$U$6,E271),1)*IF(Upgrades!$T$7="Stellar Coupling",POWER(Upgrades!$U$7,F271),1)*IF(Upgrades!$T$9="Stellar Coupling",POWER(Upgrades!$U$9,H271),1)*IF(Upgrades!$T$10="Stellar Coupling",POWER(Upgrades!$U$10,I271),1)*IF(Upgrades!$T$11="Stellar Coupling",POWER(Upgrades!$U$11,J271),1)*IF(Upgrades!$T$12="Stellar Coupling",POWER(Upgrades!$U$12,K271),1))+(IF(H271=0,0,(Upgrades!$G$9+H271*Upgrades!$H$9)*POWER(Upgrades!$I$9,H271)))*(IF(Upgrades!$T$6="Magnetosphere",POWER(Upgrades!$U$6,E271),1)*IF(Upgrades!$T$7="Magnetosphere",POWER(Upgrades!$U$7,F271),1)*IF(Upgrades!$T$8="Magnetosphere",POWER(Upgrades!$U$8,G271),1)*IF(Upgrades!$T$10="Magnetosphere",POWER(Upgrades!$U$10,I271),1)*IF(Upgrades!$T$11="Magnetosphere",POWER(Upgrades!$U$11,J271),1)*IF(Upgrades!$T$12="Magnetosphere",POWER(Upgrades!$U$12,K271),1))+(IF(I271=0,0,(Upgrades!$G$10+I271*Upgrades!$H$10)*POWER(Upgrades!$I$10,I271)))*(IF(Upgrades!$T$6="Orbital Resonance",POWER(Upgrades!$U$6,E271),1)*IF(Upgrades!$T$7="Orbital Resonance",POWER(Upgrades!$U$7,F271),1)*IF(Upgrades!$T$8="Orbital Resonance",POWER(Upgrades!$U$8,G271),1)*IF(Upgrades!$T$9="Orbital Resonance",POWER(Upgrades!$U$9,H271),1)*IF(Upgrades!$T$11="Orbital Resonance",POWER(Upgrades!$U$11,J271),1)*IF(Upgrades!$T$12="Orbital Resonance",POWER(Upgrades!$U$12,K271),1))+(IF(J271=0,0,(Upgrades!$G$11+J271*Upgrades!$H$11)*POWER(Upgrades!$I$11,J271)))*(IF(Upgrades!$T$6="Heliopause",POWER(Upgrades!$U$6,E271),1)*IF(Upgrades!$T$7="Heliopause",POWER(Upgrades!$U$7,F271),1)*IF(Upgrades!$T$8="Heliopause",POWER(Upgrades!$U$8,G271),1)*IF(Upgrades!$T$9="Heliopause",POWER(Upgrades!$U$9,H271),1)*IF(Upgrades!$T$10="Heliopause",POWER(Upgrades!$U$10,I271),1)*IF(Upgrades!$T$12="Heliopause",POWER(Upgrades!$U$12,K271),1))+(IF(K271=0,0,(Upgrades!$G$12+K271*Upgrades!$H$12)*POWER(Upgrades!$I$12,K271)))*(IF(Upgrades!$T$6="First Photons",POWER(Upgrades!$U$6,E271),1)*IF(Upgrades!$T$7="First Photons",POWER(Upgrades!$U$7,F271),1)*IF(Upgrades!$T$8="First Photons",POWER(Upgrades!$U$8,G271),1)*IF(Upgrades!$T$9="First Photons",POWER(Upgrades!$U$9,H271),1)*IF(Upgrades!$T$10="First Photons",POWER(Upgrades!$U$10,I271),1)*IF(Upgrades!$T$11="First Photons",POWER(Upgrades!$U$11,J271),1)))*POWER(Upgrades!$P$6,E271)*POWER(Upgrades!$P$7,F271)*POWER(Upgrades!$P$8,G271)*POWER(Upgrades!$P$9,H271)*POWER(Upgrades!$P$10,I271)*POWER(Upgrades!$P$11,J271)*POWER(Upgrades!$P$12,K271)</f>
        <v/>
      </c>
      <c r="O271" s="28">
        <f>((IF(E271=0,0,(Upgrades!$M$6+E271*Upgrades!$N$6)*POWER(Upgrades!$O$6,E271)))*(IF(Upgrades!$T$7="Solar Wind",POWER(Upgrades!$U$7,F271),1)*IF(Upgrades!$T$8="Solar Wind",POWER(Upgrades!$U$8,G271),1)*IF(Upgrades!$T$9="Solar Wind",POWER(Upgrades!$U$9,H271),1)*IF(Upgrades!$T$10="Solar Wind",POWER(Upgrades!$U$10,I271),1)*IF(Upgrades!$T$11="Solar Wind",POWER(Upgrades!$U$11,J271),1)*IF(Upgrades!$T$12="Solar Wind",POWER(Upgrades!$U$12,K271),1))+(IF(F271=0,0,(Upgrades!$M$7+F271*Upgrades!$N$7)*POWER(Upgrades!$O$7,F271)))*(IF(Upgrades!$T$6="Asteroid Belt",POWER(Upgrades!$U$6,E271),1)*IF(Upgrades!$T$8="Asteroid Belt",POWER(Upgrades!$U$8,G271),1)*IF(Upgrades!$T$9="Asteroid Belt",POWER(Upgrades!$U$9,H271),1)*IF(Upgrades!$T$10="Asteroid Belt",POWER(Upgrades!$U$10,I271),1)*IF(Upgrades!$T$11="Asteroid Belt",POWER(Upgrades!$U$11,J271),1)*IF(Upgrades!$T$12="Asteroid Belt",POWER(Upgrades!$U$12,K271),1))+(IF(G271=0,0,(Upgrades!$M$8+G271*Upgrades!$N$8)*POWER(Upgrades!$O$8,G271)))*(IF(Upgrades!$T$6="Stellar Coupling",POWER(Upgrades!$U$6,E271),1)*IF(Upgrades!$T$7="Stellar Coupling",POWER(Upgrades!$U$7,F271),1)*IF(Upgrades!$T$9="Stellar Coupling",POWER(Upgrades!$U$9,H271),1)*IF(Upgrades!$T$10="Stellar Coupling",POWER(Upgrades!$U$10,I271),1)*IF(Upgrades!$T$11="Stellar Coupling",POWER(Upgrades!$U$11,J271),1)*IF(Upgrades!$T$12="Stellar Coupling",POWER(Upgrades!$U$12,K271),1))+(IF(H271=0,0,(Upgrades!$M$9+H271*Upgrades!$N$9)*POWER(Upgrades!$O$9,H271)))*(IF(Upgrades!$T$6="Magnetosphere",POWER(Upgrades!$U$6,E271),1)*IF(Upgrades!$T$7="Magnetosphere",POWER(Upgrades!$U$7,F271),1)*IF(Upgrades!$T$8="Magnetosphere",POWER(Upgrades!$U$8,G271),1)*IF(Upgrades!$T$10="Magnetosphere",POWER(Upgrades!$U$10,I271),1)*IF(Upgrades!$T$11="Magnetosphere",POWER(Upgrades!$U$11,J271),1)*IF(Upgrades!$T$12="Magnetosphere",POWER(Upgrades!$U$12,K271),1))+(IF(I271=0,0,(Upgrades!$M$10+I271*Upgrades!$N$10)*POWER(Upgrades!$O$10,I271)))*(IF(Upgrades!$T$6="Orbital Resonance",POWER(Upgrades!$U$6,E271),1)*IF(Upgrades!$T$7="Orbital Resonance",POWER(Upgrades!$U$7,F271),1)*IF(Upgrades!$T$8="Orbital Resonance",POWER(Upgrades!$U$8,G271),1)*IF(Upgrades!$T$9="Orbital Resonance",POWER(Upgrades!$U$9,H271),1)*IF(Upgrades!$T$11="Orbital Resonance",POWER(Upgrades!$U$11,J271),1)*IF(Upgrades!$T$12="Orbital Resonance",POWER(Upgrades!$U$12,K271),1))+(IF(J271=0,0,(Upgrades!$M$11+J271*Upgrades!$N$11)*POWER(Upgrades!$O$11,J271)))*(IF(Upgrades!$T$6="Heliopause",POWER(Upgrades!$U$6,E271),1)*IF(Upgrades!$T$7="Heliopause",POWER(Upgrades!$U$7,F271),1)*IF(Upgrades!$T$8="Heliopause",POWER(Upgrades!$U$8,G271),1)*IF(Upgrades!$T$9="Heliopause",POWER(Upgrades!$U$9,H271),1)*IF(Upgrades!$T$10="Heliopause",POWER(Upgrades!$U$10,I271),1)*IF(Upgrades!$T$12="Heliopause",POWER(Upgrades!$U$12,K271),1))+(IF(K271=0,0,(Upgrades!$M$12+K271*Upgrades!$N$12)*POWER(Upgrades!$O$12,K271)))*(IF(Upgrades!$T$6="First Photons",POWER(Upgrades!$U$6,E271),1)*IF(Upgrades!$T$7="First Photons",POWER(Upgrades!$U$7,F271),1)*IF(Upgrades!$T$8="First Photons",POWER(Upgrades!$U$8,G271),1)*IF(Upgrades!$T$9="First Photons",POWER(Upgrades!$U$9,H271),1)*IF(Upgrades!$T$10="First Photons",POWER(Upgrades!$U$10,I271),1)*IF(Upgrades!$T$11="First Photons",POWER(Upgrades!$U$11,J271),1)))*POWER(Upgrades!$R$6,E271)*POWER(Upgrades!$R$7,F271)*POWER(Upgrades!$R$8,G271)*POWER(Upgrades!$R$9,H271)*POWER(Upgrades!$R$10,I271)*POWER(Upgrades!$R$11,J271)*POWER(Upgrades!$R$12,K271)</f>
        <v/>
      </c>
      <c r="P271" s="27">
        <f>IF(L271=1,0,M271*Parameters!$B$10/60*Parameters!$B$11*10)</f>
        <v/>
      </c>
      <c r="Q271" s="27">
        <f>IF(L271=1,0,O271*M271*10)</f>
        <v/>
      </c>
      <c r="R271" s="27">
        <f>IF(L271=1,0,N271*10)</f>
        <v/>
      </c>
      <c r="S271" s="27">
        <f>P271+Q271+R271</f>
        <v/>
      </c>
      <c r="T271" s="22">
        <f>C271+S271</f>
        <v/>
      </c>
      <c r="U271" s="33">
        <f>AX271</f>
        <v/>
      </c>
      <c r="V271" s="22">
        <f>IF(U271="",0,IF(U271="transition",0,IF(U271="SW",AG271,IF(U271="AB",AH271,IF(U271="SC",AI271,IF(U271="Mag",AJ271,IF(U271="OR",AK271,IF(U271="HP",AL271,IF(U271="FP",AM271,0)))))))))</f>
        <v/>
      </c>
      <c r="W271" s="27">
        <f>IF(U271="OR",Upgrades!$F$10,IF(U271="HP",Upgrades!$F$11,IF(U271="transition",-Parameters!$B$18,0)))</f>
        <v/>
      </c>
      <c r="X271" s="22">
        <f>T271-V271</f>
        <v/>
      </c>
      <c r="Y271" s="30">
        <f>M271*Parameters!$B$10/60*Parameters!$B$11+O271*M271+N271</f>
        <v/>
      </c>
      <c r="Z271" s="34">
        <f>IF(U271="transition","→ Tier 2 (Stellar Neighborhood)",IF(U271="FP","First Photons — light begins, system quickens",IF(U271="HP","Heliopause acquired",IF(U271="OR","Orbital Resonance — passive multiplier active",IF(AND(AO271=1,L271=0,AN271&lt;&gt;1),"Cohesion ready (waiting on completionist upgrades)","")))))</f>
        <v/>
      </c>
      <c r="AA271" s="27">
        <f>(IF(E271=0,0,(Upgrades!$G$6+E271*Upgrades!$H$6)*POWER(Upgrades!$I$6,E271)))*(IF(Upgrades!$T$7="Solar Wind",POWER(Upgrades!$U$7,F271),1)*IF(Upgrades!$T$8="Solar Wind",POWER(Upgrades!$U$8,G271),1)*IF(Upgrades!$T$9="Solar Wind",POWER(Upgrades!$U$9,H271),1)*IF(Upgrades!$T$10="Solar Wind",POWER(Upgrades!$U$10,I271),1)*IF(Upgrades!$T$11="Solar Wind",POWER(Upgrades!$U$11,J271),1)*IF(Upgrades!$T$12="Solar Wind",POWER(Upgrades!$U$12,K271),1))*POWER(Upgrades!$P$6,E271)*POWER(Upgrades!$P$7,F271)*POWER(Upgrades!$P$8,G271)*POWER(Upgrades!$P$9,H271)*POWER(Upgrades!$P$10,I271)*POWER(Upgrades!$P$11,J271)*POWER(Upgrades!$P$12,K271)*60</f>
        <v/>
      </c>
      <c r="AB271" s="27">
        <f>(IF(F271=0,0,(Upgrades!$G$7+F271*Upgrades!$H$7)*POWER(Upgrades!$I$7,F271)))*(IF(Upgrades!$T$6="Asteroid Belt",POWER(Upgrades!$U$6,E271),1)*IF(Upgrades!$T$8="Asteroid Belt",POWER(Upgrades!$U$8,G271),1)*IF(Upgrades!$T$9="Asteroid Belt",POWER(Upgrades!$U$9,H271),1)*IF(Upgrades!$T$10="Asteroid Belt",POWER(Upgrades!$U$10,I271),1)*IF(Upgrades!$T$11="Asteroid Belt",POWER(Upgrades!$U$11,J271),1)*IF(Upgrades!$T$12="Asteroid Belt",POWER(Upgrades!$U$12,K271),1))*POWER(Upgrades!$P$6,E271)*POWER(Upgrades!$P$7,F271)*POWER(Upgrades!$P$8,G271)*POWER(Upgrades!$P$9,H271)*POWER(Upgrades!$P$10,I271)*POWER(Upgrades!$P$11,J271)*POWER(Upgrades!$P$12,K271)*60</f>
        <v/>
      </c>
      <c r="AC271" s="27">
        <f>(IF(G271=0,0,(Upgrades!$J$8+G271*Upgrades!$K$8)*POWER(Upgrades!$L$8,G271)))*(IF(Upgrades!$T$6="Stellar Coupling",POWER(Upgrades!$U$6,E271),1)*IF(Upgrades!$T$7="Stellar Coupling",POWER(Upgrades!$U$7,F271),1)*IF(Upgrades!$T$9="Stellar Coupling",POWER(Upgrades!$U$9,H271),1)*IF(Upgrades!$T$10="Stellar Coupling",POWER(Upgrades!$U$10,I271),1)*IF(Upgrades!$T$11="Stellar Coupling",POWER(Upgrades!$U$11,J271),1)*IF(Upgrades!$T$12="Stellar Coupling",POWER(Upgrades!$U$12,K271),1))*POWER(Upgrades!$Q$6,E271)*POWER(Upgrades!$Q$7,F271)*POWER(Upgrades!$Q$8,G271)*POWER(Upgrades!$Q$9,H271)*POWER(Upgrades!$Q$10,I271)*POWER(Upgrades!$Q$11,J271)*POWER(Upgrades!$Q$12,K271)*Parameters!$B$10*Parameters!$B$11</f>
        <v/>
      </c>
      <c r="AD271" s="27">
        <f>(IF(H271=0,0,(Upgrades!$G$9+H271*Upgrades!$H$9)*POWER(Upgrades!$I$9,H271)))*(IF(Upgrades!$T$6="Magnetosphere",POWER(Upgrades!$U$6,E271),1)*IF(Upgrades!$T$7="Magnetosphere",POWER(Upgrades!$U$7,F271),1)*IF(Upgrades!$T$8="Magnetosphere",POWER(Upgrades!$U$8,G271),1)*IF(Upgrades!$T$10="Magnetosphere",POWER(Upgrades!$U$10,I271),1)*IF(Upgrades!$T$11="Magnetosphere",POWER(Upgrades!$U$11,J271),1)*IF(Upgrades!$T$12="Magnetosphere",POWER(Upgrades!$U$12,K271),1))*POWER(Upgrades!$P$6,E271)*POWER(Upgrades!$P$7,F271)*POWER(Upgrades!$P$8,G271)*POWER(Upgrades!$P$9,H271)*POWER(Upgrades!$P$10,I271)*POWER(Upgrades!$P$11,J271)*POWER(Upgrades!$P$12,K271)*60</f>
        <v/>
      </c>
      <c r="AE271" s="27">
        <f>(IF(K271=0,0,(Upgrades!$G$12+K271*Upgrades!$H$12)*POWER(Upgrades!$I$12,K271)))*(IF(Upgrades!$T$6="First Photons",POWER(Upgrades!$U$6,E271),1)*IF(Upgrades!$T$7="First Photons",POWER(Upgrades!$U$7,F271),1)*IF(Upgrades!$T$8="First Photons",POWER(Upgrades!$U$8,G271),1)*IF(Upgrades!$T$9="First Photons",POWER(Upgrades!$U$9,H271),1)*IF(Upgrades!$T$10="First Photons",POWER(Upgrades!$U$10,I271),1)*IF(Upgrades!$T$11="First Photons",POWER(Upgrades!$U$11,J271),1))*POWER(Upgrades!$P$6,E271)*POWER(Upgrades!$P$7,F271)*POWER(Upgrades!$P$8,G271)*POWER(Upgrades!$P$9,H271)*POWER(Upgrades!$P$10,I271)*POWER(Upgrades!$P$11,J271)*POWER(Upgrades!$P$12,K271)*60</f>
        <v/>
      </c>
      <c r="AF271" s="27">
        <f>Parameters!$B$9*POWER(Upgrades!$Q$6,E271)*POWER(Upgrades!$Q$7,F271)*POWER(Upgrades!$Q$8,G271)*POWER(Upgrades!$Q$9,H271)*POWER(Upgrades!$Q$10,I271)*POWER(Upgrades!$Q$11,J271)*POWER(Upgrades!$Q$12,K271)*(Parameters!$B$10*Parameters!$B$11+O271*60)</f>
        <v/>
      </c>
      <c r="AG271" s="22">
        <f>IF(E271&gt;=Upgrades!$E$6,"",Upgrades!$C$6*POWER(Upgrades!$D$6,E271))</f>
        <v/>
      </c>
      <c r="AH271" s="22">
        <f>IF(F271&gt;=Upgrades!$E$7,"",Upgrades!$C$7*POWER(Upgrades!$D$7,F271))</f>
        <v/>
      </c>
      <c r="AI271" s="22">
        <f>IF(G271&gt;=Upgrades!$E$8,"",Upgrades!$C$8*POWER(Upgrades!$D$8,G271))</f>
        <v/>
      </c>
      <c r="AJ271" s="22">
        <f>IF(H271&gt;=Upgrades!$E$9,"",Upgrades!$C$9*POWER(Upgrades!$D$9,H271))</f>
        <v/>
      </c>
      <c r="AK271" s="22">
        <f>IF(I271&gt;=Upgrades!$E$10,"",Upgrades!$C$10*POWER(Upgrades!$D$10,I271))</f>
        <v/>
      </c>
      <c r="AL271" s="22">
        <f>IF(J271&gt;=Upgrades!$E$11,"",Upgrades!$C$11*POWER(Upgrades!$D$11,J271))</f>
        <v/>
      </c>
      <c r="AM271" s="22">
        <f>IF(K271&gt;=Upgrades!$E$12,"",Upgrades!$C$12*POWER(Upgrades!$D$12,K271))</f>
        <v/>
      </c>
      <c r="AN271" s="26">
        <f>IF(AND(D271&gt;=Parameters!$B$18,(H271&gt;=Upgrades!$E$9)*(K271&gt;=Upgrades!$E$12)=1,L271=0),1,"")</f>
        <v/>
      </c>
      <c r="AO271" s="26">
        <f>IF(AND(D271&gt;=Parameters!$B$18,L271=0),1,"")</f>
        <v/>
      </c>
      <c r="AP271" s="22">
        <f>MIN(IF(ISNUMBER(AK271),AK271,9E15),IF(ISNUMBER(AL271),AL271,9E15),IF(ISNUMBER(AM271),AM271,9E15))</f>
        <v/>
      </c>
      <c r="AQ271" s="22">
        <f>MIN(IF(ISNUMBER(AG271),AG271,9E15),IF(ISNUMBER(AH271),AH271,9E15),IF(ISNUMBER(AI271),AI271,9E15),IF(ISNUMBER(AJ271),AJ271,9E15))</f>
        <v/>
      </c>
      <c r="AR271" s="29">
        <f>IF(AW271&gt;Parameters!$B$21*(MAX(IF(AND(NOT(AND(AO271=1,AN271&lt;&gt;1)),ISNUMBER(AG271),AG271&lt;=T271),AS271,0),IF(AND(NOT(AND(AO271=1,AN271&lt;&gt;1)),ISNUMBER(AH271),AH271&lt;=T271),AT271,0),IF(AND(NOT(AND(AO271=1,AN271&lt;&gt;1)),ISNUMBER(AI271),AI271&lt;=T271),AU271,0),IF(AND(ISNUMBER(AJ271),AJ271&lt;=T271),AV271,0))),TRUE,FALSE)</f>
        <v/>
      </c>
      <c r="AS271" s="32">
        <f>IFERROR(Upgrades!$H$6*(POWER(Upgrades!$P$6,E271)*POWER(Upgrades!$P$7,F271)*POWER(Upgrades!$P$8,G271)*POWER(Upgrades!$P$9,H271)*POWER(Upgrades!$P$10,I271)*POWER(Upgrades!$P$11,J271)*POWER(Upgrades!$P$12,K271))*(IF(Upgrades!$T$7="Solar Wind",POWER(Upgrades!$U$7,F271),1)*IF(Upgrades!$T$8="Solar Wind",POWER(Upgrades!$U$8,G271),1)*IF(Upgrades!$T$9="Solar Wind",POWER(Upgrades!$U$9,H271),1)*IF(Upgrades!$T$10="Solar Wind",POWER(Upgrades!$U$10,I271),1)*IF(Upgrades!$T$11="Solar Wind",POWER(Upgrades!$U$11,J271),1)*IF(Upgrades!$T$12="Solar Wind",POWER(Upgrades!$U$12,K271),1))/AG271,0)</f>
        <v/>
      </c>
      <c r="AT271" s="32">
        <f>IFERROR(Upgrades!$H$7*(POWER(Upgrades!$P$6,E271)*POWER(Upgrades!$P$7,F271)*POWER(Upgrades!$P$8,G271)*POWER(Upgrades!$P$9,H271)*POWER(Upgrades!$P$10,I271)*POWER(Upgrades!$P$11,J271)*POWER(Upgrades!$P$12,K271))*(IF(Upgrades!$T$6="Asteroid Belt",POWER(Upgrades!$U$6,E271),1)*IF(Upgrades!$T$8="Asteroid Belt",POWER(Upgrades!$U$8,G271),1)*IF(Upgrades!$T$9="Asteroid Belt",POWER(Upgrades!$U$9,H271),1)*IF(Upgrades!$T$10="Asteroid Belt",POWER(Upgrades!$U$10,I271),1)*IF(Upgrades!$T$11="Asteroid Belt",POWER(Upgrades!$U$11,J271),1)*IF(Upgrades!$T$12="Asteroid Belt",POWER(Upgrades!$U$12,K271),1))/AH271,0)</f>
        <v/>
      </c>
      <c r="AU271" s="32">
        <f>IFERROR(Upgrades!$K$8*(POWER(Upgrades!$Q$6,E271)*POWER(Upgrades!$Q$7,F271)*POWER(Upgrades!$Q$8,G271)*POWER(Upgrades!$Q$9,H271)*POWER(Upgrades!$Q$10,I271)*POWER(Upgrades!$Q$11,J271)*POWER(Upgrades!$Q$12,K271))*(IF(Upgrades!$T$6="Stellar Coupling",POWER(Upgrades!$U$6,E271),1)*IF(Upgrades!$T$7="Stellar Coupling",POWER(Upgrades!$U$7,F271),1)*IF(Upgrades!$T$9="Stellar Coupling",POWER(Upgrades!$U$9,H271),1)*IF(Upgrades!$T$10="Stellar Coupling",POWER(Upgrades!$U$10,I271),1)*IF(Upgrades!$T$11="Stellar Coupling",POWER(Upgrades!$U$11,J271),1)*IF(Upgrades!$T$12="Stellar Coupling",POWER(Upgrades!$U$12,K271),1))*Parameters!$B$10*Parameters!$B$11/60/AI271,0)</f>
        <v/>
      </c>
      <c r="AV271" s="32">
        <f>IFERROR(Upgrades!$H$9*(POWER(Upgrades!$P$6,E271)*POWER(Upgrades!$P$7,F271)*POWER(Upgrades!$P$8,G271)*POWER(Upgrades!$P$9,H271)*POWER(Upgrades!$P$10,I271)*POWER(Upgrades!$P$11,J271)*POWER(Upgrades!$P$12,K271))*(IF(Upgrades!$T$6="Magnetosphere",POWER(Upgrades!$U$6,E271),1)*IF(Upgrades!$T$7="Magnetosphere",POWER(Upgrades!$U$7,F271),1)*IF(Upgrades!$T$8="Magnetosphere",POWER(Upgrades!$U$8,G271),1)*IF(Upgrades!$T$10="Magnetosphere",POWER(Upgrades!$U$10,I271),1)*IF(Upgrades!$T$11="Magnetosphere",POWER(Upgrades!$U$11,J271),1)*IF(Upgrades!$T$12="Magnetosphere",POWER(Upgrades!$U$12,K271),1))/AJ271,0)</f>
        <v/>
      </c>
      <c r="AW271" s="32">
        <f>MAX(IF(I271&gt;0,0,IFERROR(0.25*N271/Upgrades!$C$10,0)),IF(J271&gt;0,0,IFERROR(0.5*((IF(G271=0,0,(Upgrades!$J$8+G271*Upgrades!$K$8)*POWER(Upgrades!$L$8,G271)))*(IF(Upgrades!$T$6="Stellar Coupling",POWER(Upgrades!$U$6,E271),1)*IF(Upgrades!$T$7="Stellar Coupling",POWER(Upgrades!$U$7,F271),1)*IF(Upgrades!$T$9="Stellar Coupling",POWER(Upgrades!$U$9,H271),1)*IF(Upgrades!$T$10="Stellar Coupling",POWER(Upgrades!$U$10,I271),1)*IF(Upgrades!$T$11="Stellar Coupling",POWER(Upgrades!$U$11,J271),1)*IF(Upgrades!$T$12="Stellar Coupling",POWER(Upgrades!$U$12,K271),1))*(POWER(Upgrades!$Q$6,E271)*POWER(Upgrades!$Q$7,F271)*POWER(Upgrades!$Q$8,G271)*POWER(Upgrades!$Q$9,H271)*POWER(Upgrades!$Q$10,I271)*POWER(Upgrades!$Q$11,J271)*POWER(Upgrades!$Q$12,K271))*Parameters!$B$10*Parameters!$B$11/60)/Upgrades!$C$11,0)),IF(K271&gt;0,0,IFERROR((1.0*(POWER(Upgrades!$P$6,E271)*POWER(Upgrades!$P$7,F271)*POWER(Upgrades!$P$8,G271)*POWER(Upgrades!$P$9,H271)*POWER(Upgrades!$P$10,I271)*POWER(Upgrades!$P$11,J271)*POWER(Upgrades!$P$12,K271))+0.20*M271*Parameters!$B$10*Parameters!$B$11/60)/Upgrades!$C$12,0)),IF(AND(ISNUMBER(AG271),AG271&gt;T271),AS271,0),IF(AND(ISNUMBER(AH271),AH271&gt;T271),AT271,0),IF(AND(ISNUMBER(AI271),AI271&gt;T271),AU271,0),IF(AND(ISNUMBER(AJ271),AJ271&gt;T271),AV271,0))</f>
        <v/>
      </c>
      <c r="AX271" s="29">
        <f>IF(AN271=1,"transition",IF(MIN(IF(AND(I271=0,ISNUMBER(AK271),AK271&lt;=T271),AK271,9E15),IF(AND(J271=0,ISNUMBER(AL271),AL271&lt;=T271),AL271,9E15),IF(AND(K271=0,ISNUMBER(AM271),AM271&lt;=T271),AM271,9E15))&lt;9E15,IF(AND(AND(I271=0,ISNUMBER(AK271),AK271&lt;=T271),AK271=MIN(IF(AND(I271=0,ISNUMBER(AK271),AK271&lt;=T271),AK271,9E15),IF(AND(J271=0,ISNUMBER(AL271),AL271&lt;=T271),AL271,9E15),IF(AND(K271=0,ISNUMBER(AM271),AM271&lt;=T271),AM271,9E15))),"OR",IF(AND(AND(J271=0,ISNUMBER(AL271),AL271&lt;=T271),AL271=MIN(IF(AND(I271=0,ISNUMBER(AK271),AK271&lt;=T271),AK271,9E15),IF(AND(J271=0,ISNUMBER(AL271),AL271&lt;=T271),AL271,9E15),IF(AND(K271=0,ISNUMBER(AM271),AM271&lt;=T271),AM271,9E15))),"HP","FP")),IF(AR271=TRUE,"",IF(MAX(IF(AND(NOT(AND(AO271=1,AN271&lt;&gt;1)),ISNUMBER(AG271),AG271&lt;=T271),AS271,0),IF(AND(NOT(AND(AO271=1,AN271&lt;&gt;1)),ISNUMBER(AH271),AH271&lt;=T271),AT271,0),IF(AND(NOT(AND(AO271=1,AN271&lt;&gt;1)),ISNUMBER(AI271),AI271&lt;=T271),AU271,0),IF(AND(ISNUMBER(AJ271),AJ271&lt;=T271),AV271,0))&lt;=0,"",IF(AND(IF(AND(NOT(AND(AO271=1,AN271&lt;&gt;1)),ISNUMBER(AG271),AG271&lt;=T271),AS271,0)&gt;0,IF(AND(NOT(AND(AO271=1,AN271&lt;&gt;1)),ISNUMBER(AG271),AG271&lt;=T271),AS271,0)=MAX(IF(AND(NOT(AND(AO271=1,AN271&lt;&gt;1)),ISNUMBER(AG271),AG271&lt;=T271),AS271,0),IF(AND(NOT(AND(AO271=1,AN271&lt;&gt;1)),ISNUMBER(AH271),AH271&lt;=T271),AT271,0),IF(AND(NOT(AND(AO271=1,AN271&lt;&gt;1)),ISNUMBER(AI271),AI271&lt;=T271),AU271,0),IF(AND(ISNUMBER(AJ271),AJ271&lt;=T271),AV271,0))),"SW",IF(AND(IF(AND(NOT(AND(AO271=1,AN271&lt;&gt;1)),ISNUMBER(AH271),AH271&lt;=T271),AT271,0)&gt;0,IF(AND(NOT(AND(AO271=1,AN271&lt;&gt;1)),ISNUMBER(AH271),AH271&lt;=T271),AT271,0)=MAX(IF(AND(NOT(AND(AO271=1,AN271&lt;&gt;1)),ISNUMBER(AG271),AG271&lt;=T271),AS271,0),IF(AND(NOT(AND(AO271=1,AN271&lt;&gt;1)),ISNUMBER(AH271),AH271&lt;=T271),AT271,0),IF(AND(NOT(AND(AO271=1,AN271&lt;&gt;1)),ISNUMBER(AI271),AI271&lt;=T271),AU271,0),IF(AND(ISNUMBER(AJ271),AJ271&lt;=T271),AV271,0))),"AB",IF(AND(IF(AND(NOT(AND(AO271=1,AN271&lt;&gt;1)),ISNUMBER(AI271),AI271&lt;=T271),AU271,0)&gt;0,IF(AND(NOT(AND(AO271=1,AN271&lt;&gt;1)),ISNUMBER(AI271),AI271&lt;=T271),AU271,0)=MAX(IF(AND(NOT(AND(AO271=1,AN271&lt;&gt;1)),ISNUMBER(AG271),AG271&lt;=T271),AS271,0),IF(AND(NOT(AND(AO271=1,AN271&lt;&gt;1)),ISNUMBER(AH271),AH271&lt;=T271),AT271,0),IF(AND(NOT(AND(AO271=1,AN271&lt;&gt;1)),ISNUMBER(AI271),AI271&lt;=T271),AU271,0),IF(AND(ISNUMBER(AJ271),AJ271&lt;=T271),AV271,0))),"SC","Mag")))))))</f>
        <v/>
      </c>
    </row>
    <row r="272">
      <c r="A272" s="26" t="n">
        <v>267</v>
      </c>
      <c r="B272" s="27">
        <f>A272*10/60</f>
        <v/>
      </c>
      <c r="C272" s="22">
        <f>X271</f>
        <v/>
      </c>
      <c r="D272" s="27">
        <f>D271+W271</f>
        <v/>
      </c>
      <c r="E272" s="26">
        <f>E271+IF(U271="SW",1,0)</f>
        <v/>
      </c>
      <c r="F272" s="26">
        <f>F271+IF(U271="AB",1,0)</f>
        <v/>
      </c>
      <c r="G272" s="26">
        <f>G271+IF(U271="SC",1,0)</f>
        <v/>
      </c>
      <c r="H272" s="26">
        <f>H271+IF(U271="Mag",1,0)</f>
        <v/>
      </c>
      <c r="I272" s="26">
        <f>MAX(I271,IF(U271="OR",1,0))</f>
        <v/>
      </c>
      <c r="J272" s="26">
        <f>MAX(J271,IF(U271="HP",1,0))</f>
        <v/>
      </c>
      <c r="K272" s="26">
        <f>MAX(K271,IF(U271="FP",1,0))</f>
        <v/>
      </c>
      <c r="L272" s="26">
        <f>MAX(L271,IF(U271="transition",1,0))</f>
        <v/>
      </c>
      <c r="M272" s="28">
        <f>(Parameters!$B$9+(IF(E272=0,0,(Upgrades!$J$6+E272*Upgrades!$K$6)*POWER(Upgrades!$L$6,E272)))*(IF(Upgrades!$T$7="Solar Wind",POWER(Upgrades!$U$7,F272),1)*IF(Upgrades!$T$8="Solar Wind",POWER(Upgrades!$U$8,G272),1)*IF(Upgrades!$T$9="Solar Wind",POWER(Upgrades!$U$9,H272),1)*IF(Upgrades!$T$10="Solar Wind",POWER(Upgrades!$U$10,I272),1)*IF(Upgrades!$T$11="Solar Wind",POWER(Upgrades!$U$11,J272),1)*IF(Upgrades!$T$12="Solar Wind",POWER(Upgrades!$U$12,K272),1))+(IF(F272=0,0,(Upgrades!$J$7+F272*Upgrades!$K$7)*POWER(Upgrades!$L$7,F272)))*(IF(Upgrades!$T$6="Asteroid Belt",POWER(Upgrades!$U$6,E272),1)*IF(Upgrades!$T$8="Asteroid Belt",POWER(Upgrades!$U$8,G272),1)*IF(Upgrades!$T$9="Asteroid Belt",POWER(Upgrades!$U$9,H272),1)*IF(Upgrades!$T$10="Asteroid Belt",POWER(Upgrades!$U$10,I272),1)*IF(Upgrades!$T$11="Asteroid Belt",POWER(Upgrades!$U$11,J272),1)*IF(Upgrades!$T$12="Asteroid Belt",POWER(Upgrades!$U$12,K272),1))+(IF(G272=0,0,(Upgrades!$J$8+G272*Upgrades!$K$8)*POWER(Upgrades!$L$8,G272)))*(IF(Upgrades!$T$6="Stellar Coupling",POWER(Upgrades!$U$6,E272),1)*IF(Upgrades!$T$7="Stellar Coupling",POWER(Upgrades!$U$7,F272),1)*IF(Upgrades!$T$9="Stellar Coupling",POWER(Upgrades!$U$9,H272),1)*IF(Upgrades!$T$10="Stellar Coupling",POWER(Upgrades!$U$10,I272),1)*IF(Upgrades!$T$11="Stellar Coupling",POWER(Upgrades!$U$11,J272),1)*IF(Upgrades!$T$12="Stellar Coupling",POWER(Upgrades!$U$12,K272),1))+(IF(H272=0,0,(Upgrades!$J$9+H272*Upgrades!$K$9)*POWER(Upgrades!$L$9,H272)))*(IF(Upgrades!$T$6="Magnetosphere",POWER(Upgrades!$U$6,E272),1)*IF(Upgrades!$T$7="Magnetosphere",POWER(Upgrades!$U$7,F272),1)*IF(Upgrades!$T$8="Magnetosphere",POWER(Upgrades!$U$8,G272),1)*IF(Upgrades!$T$10="Magnetosphere",POWER(Upgrades!$U$10,I272),1)*IF(Upgrades!$T$11="Magnetosphere",POWER(Upgrades!$U$11,J272),1)*IF(Upgrades!$T$12="Magnetosphere",POWER(Upgrades!$U$12,K272),1))+(IF(I272=0,0,(Upgrades!$J$10+I272*Upgrades!$K$10)*POWER(Upgrades!$L$10,I272)))*(IF(Upgrades!$T$6="Orbital Resonance",POWER(Upgrades!$U$6,E272),1)*IF(Upgrades!$T$7="Orbital Resonance",POWER(Upgrades!$U$7,F272),1)*IF(Upgrades!$T$8="Orbital Resonance",POWER(Upgrades!$U$8,G272),1)*IF(Upgrades!$T$9="Orbital Resonance",POWER(Upgrades!$U$9,H272),1)*IF(Upgrades!$T$11="Orbital Resonance",POWER(Upgrades!$U$11,J272),1)*IF(Upgrades!$T$12="Orbital Resonance",POWER(Upgrades!$U$12,K272),1))+(IF(J272=0,0,(Upgrades!$J$11+J272*Upgrades!$K$11)*POWER(Upgrades!$L$11,J272)))*(IF(Upgrades!$T$6="Heliopause",POWER(Upgrades!$U$6,E272),1)*IF(Upgrades!$T$7="Heliopause",POWER(Upgrades!$U$7,F272),1)*IF(Upgrades!$T$8="Heliopause",POWER(Upgrades!$U$8,G272),1)*IF(Upgrades!$T$9="Heliopause",POWER(Upgrades!$U$9,H272),1)*IF(Upgrades!$T$10="Heliopause",POWER(Upgrades!$U$10,I272),1)*IF(Upgrades!$T$12="Heliopause",POWER(Upgrades!$U$12,K272),1))+(IF(K272=0,0,(Upgrades!$J$12+K272*Upgrades!$K$12)*POWER(Upgrades!$L$12,K272)))*(IF(Upgrades!$T$6="First Photons",POWER(Upgrades!$U$6,E272),1)*IF(Upgrades!$T$7="First Photons",POWER(Upgrades!$U$7,F272),1)*IF(Upgrades!$T$8="First Photons",POWER(Upgrades!$U$8,G272),1)*IF(Upgrades!$T$9="First Photons",POWER(Upgrades!$U$9,H272),1)*IF(Upgrades!$T$10="First Photons",POWER(Upgrades!$U$10,I272),1)*IF(Upgrades!$T$11="First Photons",POWER(Upgrades!$U$11,J272),1)))*POWER(Upgrades!$Q$6,E272)*POWER(Upgrades!$Q$7,F272)*POWER(Upgrades!$Q$8,G272)*POWER(Upgrades!$Q$9,H272)*POWER(Upgrades!$Q$10,I272)*POWER(Upgrades!$Q$11,J272)*POWER(Upgrades!$Q$12,K272)</f>
        <v/>
      </c>
      <c r="N272" s="28">
        <f>((IF(E272=0,0,(Upgrades!$G$6+E272*Upgrades!$H$6)*POWER(Upgrades!$I$6,E272)))*(IF(Upgrades!$T$7="Solar Wind",POWER(Upgrades!$U$7,F272),1)*IF(Upgrades!$T$8="Solar Wind",POWER(Upgrades!$U$8,G272),1)*IF(Upgrades!$T$9="Solar Wind",POWER(Upgrades!$U$9,H272),1)*IF(Upgrades!$T$10="Solar Wind",POWER(Upgrades!$U$10,I272),1)*IF(Upgrades!$T$11="Solar Wind",POWER(Upgrades!$U$11,J272),1)*IF(Upgrades!$T$12="Solar Wind",POWER(Upgrades!$U$12,K272),1))+(IF(F272=0,0,(Upgrades!$G$7+F272*Upgrades!$H$7)*POWER(Upgrades!$I$7,F272)))*(IF(Upgrades!$T$6="Asteroid Belt",POWER(Upgrades!$U$6,E272),1)*IF(Upgrades!$T$8="Asteroid Belt",POWER(Upgrades!$U$8,G272),1)*IF(Upgrades!$T$9="Asteroid Belt",POWER(Upgrades!$U$9,H272),1)*IF(Upgrades!$T$10="Asteroid Belt",POWER(Upgrades!$U$10,I272),1)*IF(Upgrades!$T$11="Asteroid Belt",POWER(Upgrades!$U$11,J272),1)*IF(Upgrades!$T$12="Asteroid Belt",POWER(Upgrades!$U$12,K272),1))+(IF(G272=0,0,(Upgrades!$G$8+G272*Upgrades!$H$8)*POWER(Upgrades!$I$8,G272)))*(IF(Upgrades!$T$6="Stellar Coupling",POWER(Upgrades!$U$6,E272),1)*IF(Upgrades!$T$7="Stellar Coupling",POWER(Upgrades!$U$7,F272),1)*IF(Upgrades!$T$9="Stellar Coupling",POWER(Upgrades!$U$9,H272),1)*IF(Upgrades!$T$10="Stellar Coupling",POWER(Upgrades!$U$10,I272),1)*IF(Upgrades!$T$11="Stellar Coupling",POWER(Upgrades!$U$11,J272),1)*IF(Upgrades!$T$12="Stellar Coupling",POWER(Upgrades!$U$12,K272),1))+(IF(H272=0,0,(Upgrades!$G$9+H272*Upgrades!$H$9)*POWER(Upgrades!$I$9,H272)))*(IF(Upgrades!$T$6="Magnetosphere",POWER(Upgrades!$U$6,E272),1)*IF(Upgrades!$T$7="Magnetosphere",POWER(Upgrades!$U$7,F272),1)*IF(Upgrades!$T$8="Magnetosphere",POWER(Upgrades!$U$8,G272),1)*IF(Upgrades!$T$10="Magnetosphere",POWER(Upgrades!$U$10,I272),1)*IF(Upgrades!$T$11="Magnetosphere",POWER(Upgrades!$U$11,J272),1)*IF(Upgrades!$T$12="Magnetosphere",POWER(Upgrades!$U$12,K272),1))+(IF(I272=0,0,(Upgrades!$G$10+I272*Upgrades!$H$10)*POWER(Upgrades!$I$10,I272)))*(IF(Upgrades!$T$6="Orbital Resonance",POWER(Upgrades!$U$6,E272),1)*IF(Upgrades!$T$7="Orbital Resonance",POWER(Upgrades!$U$7,F272),1)*IF(Upgrades!$T$8="Orbital Resonance",POWER(Upgrades!$U$8,G272),1)*IF(Upgrades!$T$9="Orbital Resonance",POWER(Upgrades!$U$9,H272),1)*IF(Upgrades!$T$11="Orbital Resonance",POWER(Upgrades!$U$11,J272),1)*IF(Upgrades!$T$12="Orbital Resonance",POWER(Upgrades!$U$12,K272),1))+(IF(J272=0,0,(Upgrades!$G$11+J272*Upgrades!$H$11)*POWER(Upgrades!$I$11,J272)))*(IF(Upgrades!$T$6="Heliopause",POWER(Upgrades!$U$6,E272),1)*IF(Upgrades!$T$7="Heliopause",POWER(Upgrades!$U$7,F272),1)*IF(Upgrades!$T$8="Heliopause",POWER(Upgrades!$U$8,G272),1)*IF(Upgrades!$T$9="Heliopause",POWER(Upgrades!$U$9,H272),1)*IF(Upgrades!$T$10="Heliopause",POWER(Upgrades!$U$10,I272),1)*IF(Upgrades!$T$12="Heliopause",POWER(Upgrades!$U$12,K272),1))+(IF(K272=0,0,(Upgrades!$G$12+K272*Upgrades!$H$12)*POWER(Upgrades!$I$12,K272)))*(IF(Upgrades!$T$6="First Photons",POWER(Upgrades!$U$6,E272),1)*IF(Upgrades!$T$7="First Photons",POWER(Upgrades!$U$7,F272),1)*IF(Upgrades!$T$8="First Photons",POWER(Upgrades!$U$8,G272),1)*IF(Upgrades!$T$9="First Photons",POWER(Upgrades!$U$9,H272),1)*IF(Upgrades!$T$10="First Photons",POWER(Upgrades!$U$10,I272),1)*IF(Upgrades!$T$11="First Photons",POWER(Upgrades!$U$11,J272),1)))*POWER(Upgrades!$P$6,E272)*POWER(Upgrades!$P$7,F272)*POWER(Upgrades!$P$8,G272)*POWER(Upgrades!$P$9,H272)*POWER(Upgrades!$P$10,I272)*POWER(Upgrades!$P$11,J272)*POWER(Upgrades!$P$12,K272)</f>
        <v/>
      </c>
      <c r="O272" s="28">
        <f>((IF(E272=0,0,(Upgrades!$M$6+E272*Upgrades!$N$6)*POWER(Upgrades!$O$6,E272)))*(IF(Upgrades!$T$7="Solar Wind",POWER(Upgrades!$U$7,F272),1)*IF(Upgrades!$T$8="Solar Wind",POWER(Upgrades!$U$8,G272),1)*IF(Upgrades!$T$9="Solar Wind",POWER(Upgrades!$U$9,H272),1)*IF(Upgrades!$T$10="Solar Wind",POWER(Upgrades!$U$10,I272),1)*IF(Upgrades!$T$11="Solar Wind",POWER(Upgrades!$U$11,J272),1)*IF(Upgrades!$T$12="Solar Wind",POWER(Upgrades!$U$12,K272),1))+(IF(F272=0,0,(Upgrades!$M$7+F272*Upgrades!$N$7)*POWER(Upgrades!$O$7,F272)))*(IF(Upgrades!$T$6="Asteroid Belt",POWER(Upgrades!$U$6,E272),1)*IF(Upgrades!$T$8="Asteroid Belt",POWER(Upgrades!$U$8,G272),1)*IF(Upgrades!$T$9="Asteroid Belt",POWER(Upgrades!$U$9,H272),1)*IF(Upgrades!$T$10="Asteroid Belt",POWER(Upgrades!$U$10,I272),1)*IF(Upgrades!$T$11="Asteroid Belt",POWER(Upgrades!$U$11,J272),1)*IF(Upgrades!$T$12="Asteroid Belt",POWER(Upgrades!$U$12,K272),1))+(IF(G272=0,0,(Upgrades!$M$8+G272*Upgrades!$N$8)*POWER(Upgrades!$O$8,G272)))*(IF(Upgrades!$T$6="Stellar Coupling",POWER(Upgrades!$U$6,E272),1)*IF(Upgrades!$T$7="Stellar Coupling",POWER(Upgrades!$U$7,F272),1)*IF(Upgrades!$T$9="Stellar Coupling",POWER(Upgrades!$U$9,H272),1)*IF(Upgrades!$T$10="Stellar Coupling",POWER(Upgrades!$U$10,I272),1)*IF(Upgrades!$T$11="Stellar Coupling",POWER(Upgrades!$U$11,J272),1)*IF(Upgrades!$T$12="Stellar Coupling",POWER(Upgrades!$U$12,K272),1))+(IF(H272=0,0,(Upgrades!$M$9+H272*Upgrades!$N$9)*POWER(Upgrades!$O$9,H272)))*(IF(Upgrades!$T$6="Magnetosphere",POWER(Upgrades!$U$6,E272),1)*IF(Upgrades!$T$7="Magnetosphere",POWER(Upgrades!$U$7,F272),1)*IF(Upgrades!$T$8="Magnetosphere",POWER(Upgrades!$U$8,G272),1)*IF(Upgrades!$T$10="Magnetosphere",POWER(Upgrades!$U$10,I272),1)*IF(Upgrades!$T$11="Magnetosphere",POWER(Upgrades!$U$11,J272),1)*IF(Upgrades!$T$12="Magnetosphere",POWER(Upgrades!$U$12,K272),1))+(IF(I272=0,0,(Upgrades!$M$10+I272*Upgrades!$N$10)*POWER(Upgrades!$O$10,I272)))*(IF(Upgrades!$T$6="Orbital Resonance",POWER(Upgrades!$U$6,E272),1)*IF(Upgrades!$T$7="Orbital Resonance",POWER(Upgrades!$U$7,F272),1)*IF(Upgrades!$T$8="Orbital Resonance",POWER(Upgrades!$U$8,G272),1)*IF(Upgrades!$T$9="Orbital Resonance",POWER(Upgrades!$U$9,H272),1)*IF(Upgrades!$T$11="Orbital Resonance",POWER(Upgrades!$U$11,J272),1)*IF(Upgrades!$T$12="Orbital Resonance",POWER(Upgrades!$U$12,K272),1))+(IF(J272=0,0,(Upgrades!$M$11+J272*Upgrades!$N$11)*POWER(Upgrades!$O$11,J272)))*(IF(Upgrades!$T$6="Heliopause",POWER(Upgrades!$U$6,E272),1)*IF(Upgrades!$T$7="Heliopause",POWER(Upgrades!$U$7,F272),1)*IF(Upgrades!$T$8="Heliopause",POWER(Upgrades!$U$8,G272),1)*IF(Upgrades!$T$9="Heliopause",POWER(Upgrades!$U$9,H272),1)*IF(Upgrades!$T$10="Heliopause",POWER(Upgrades!$U$10,I272),1)*IF(Upgrades!$T$12="Heliopause",POWER(Upgrades!$U$12,K272),1))+(IF(K272=0,0,(Upgrades!$M$12+K272*Upgrades!$N$12)*POWER(Upgrades!$O$12,K272)))*(IF(Upgrades!$T$6="First Photons",POWER(Upgrades!$U$6,E272),1)*IF(Upgrades!$T$7="First Photons",POWER(Upgrades!$U$7,F272),1)*IF(Upgrades!$T$8="First Photons",POWER(Upgrades!$U$8,G272),1)*IF(Upgrades!$T$9="First Photons",POWER(Upgrades!$U$9,H272),1)*IF(Upgrades!$T$10="First Photons",POWER(Upgrades!$U$10,I272),1)*IF(Upgrades!$T$11="First Photons",POWER(Upgrades!$U$11,J272),1)))*POWER(Upgrades!$R$6,E272)*POWER(Upgrades!$R$7,F272)*POWER(Upgrades!$R$8,G272)*POWER(Upgrades!$R$9,H272)*POWER(Upgrades!$R$10,I272)*POWER(Upgrades!$R$11,J272)*POWER(Upgrades!$R$12,K272)</f>
        <v/>
      </c>
      <c r="P272" s="27">
        <f>IF(L272=1,0,M272*Parameters!$B$10/60*Parameters!$B$11*10)</f>
        <v/>
      </c>
      <c r="Q272" s="27">
        <f>IF(L272=1,0,O272*M272*10)</f>
        <v/>
      </c>
      <c r="R272" s="27">
        <f>IF(L272=1,0,N272*10)</f>
        <v/>
      </c>
      <c r="S272" s="27">
        <f>P272+Q272+R272</f>
        <v/>
      </c>
      <c r="T272" s="22">
        <f>C272+S272</f>
        <v/>
      </c>
      <c r="U272" s="33">
        <f>AX272</f>
        <v/>
      </c>
      <c r="V272" s="22">
        <f>IF(U272="",0,IF(U272="transition",0,IF(U272="SW",AG272,IF(U272="AB",AH272,IF(U272="SC",AI272,IF(U272="Mag",AJ272,IF(U272="OR",AK272,IF(U272="HP",AL272,IF(U272="FP",AM272,0)))))))))</f>
        <v/>
      </c>
      <c r="W272" s="27">
        <f>IF(U272="OR",Upgrades!$F$10,IF(U272="HP",Upgrades!$F$11,IF(U272="transition",-Parameters!$B$18,0)))</f>
        <v/>
      </c>
      <c r="X272" s="22">
        <f>T272-V272</f>
        <v/>
      </c>
      <c r="Y272" s="30">
        <f>M272*Parameters!$B$10/60*Parameters!$B$11+O272*M272+N272</f>
        <v/>
      </c>
      <c r="Z272" s="34">
        <f>IF(U272="transition","→ Tier 2 (Stellar Neighborhood)",IF(U272="FP","First Photons — light begins, system quickens",IF(U272="HP","Heliopause acquired",IF(U272="OR","Orbital Resonance — passive multiplier active",IF(AND(AO272=1,L272=0,AN272&lt;&gt;1),"Cohesion ready (waiting on completionist upgrades)","")))))</f>
        <v/>
      </c>
      <c r="AA272" s="27">
        <f>(IF(E272=0,0,(Upgrades!$G$6+E272*Upgrades!$H$6)*POWER(Upgrades!$I$6,E272)))*(IF(Upgrades!$T$7="Solar Wind",POWER(Upgrades!$U$7,F272),1)*IF(Upgrades!$T$8="Solar Wind",POWER(Upgrades!$U$8,G272),1)*IF(Upgrades!$T$9="Solar Wind",POWER(Upgrades!$U$9,H272),1)*IF(Upgrades!$T$10="Solar Wind",POWER(Upgrades!$U$10,I272),1)*IF(Upgrades!$T$11="Solar Wind",POWER(Upgrades!$U$11,J272),1)*IF(Upgrades!$T$12="Solar Wind",POWER(Upgrades!$U$12,K272),1))*POWER(Upgrades!$P$6,E272)*POWER(Upgrades!$P$7,F272)*POWER(Upgrades!$P$8,G272)*POWER(Upgrades!$P$9,H272)*POWER(Upgrades!$P$10,I272)*POWER(Upgrades!$P$11,J272)*POWER(Upgrades!$P$12,K272)*60</f>
        <v/>
      </c>
      <c r="AB272" s="27">
        <f>(IF(F272=0,0,(Upgrades!$G$7+F272*Upgrades!$H$7)*POWER(Upgrades!$I$7,F272)))*(IF(Upgrades!$T$6="Asteroid Belt",POWER(Upgrades!$U$6,E272),1)*IF(Upgrades!$T$8="Asteroid Belt",POWER(Upgrades!$U$8,G272),1)*IF(Upgrades!$T$9="Asteroid Belt",POWER(Upgrades!$U$9,H272),1)*IF(Upgrades!$T$10="Asteroid Belt",POWER(Upgrades!$U$10,I272),1)*IF(Upgrades!$T$11="Asteroid Belt",POWER(Upgrades!$U$11,J272),1)*IF(Upgrades!$T$12="Asteroid Belt",POWER(Upgrades!$U$12,K272),1))*POWER(Upgrades!$P$6,E272)*POWER(Upgrades!$P$7,F272)*POWER(Upgrades!$P$8,G272)*POWER(Upgrades!$P$9,H272)*POWER(Upgrades!$P$10,I272)*POWER(Upgrades!$P$11,J272)*POWER(Upgrades!$P$12,K272)*60</f>
        <v/>
      </c>
      <c r="AC272" s="27">
        <f>(IF(G272=0,0,(Upgrades!$J$8+G272*Upgrades!$K$8)*POWER(Upgrades!$L$8,G272)))*(IF(Upgrades!$T$6="Stellar Coupling",POWER(Upgrades!$U$6,E272),1)*IF(Upgrades!$T$7="Stellar Coupling",POWER(Upgrades!$U$7,F272),1)*IF(Upgrades!$T$9="Stellar Coupling",POWER(Upgrades!$U$9,H272),1)*IF(Upgrades!$T$10="Stellar Coupling",POWER(Upgrades!$U$10,I272),1)*IF(Upgrades!$T$11="Stellar Coupling",POWER(Upgrades!$U$11,J272),1)*IF(Upgrades!$T$12="Stellar Coupling",POWER(Upgrades!$U$12,K272),1))*POWER(Upgrades!$Q$6,E272)*POWER(Upgrades!$Q$7,F272)*POWER(Upgrades!$Q$8,G272)*POWER(Upgrades!$Q$9,H272)*POWER(Upgrades!$Q$10,I272)*POWER(Upgrades!$Q$11,J272)*POWER(Upgrades!$Q$12,K272)*Parameters!$B$10*Parameters!$B$11</f>
        <v/>
      </c>
      <c r="AD272" s="27">
        <f>(IF(H272=0,0,(Upgrades!$G$9+H272*Upgrades!$H$9)*POWER(Upgrades!$I$9,H272)))*(IF(Upgrades!$T$6="Magnetosphere",POWER(Upgrades!$U$6,E272),1)*IF(Upgrades!$T$7="Magnetosphere",POWER(Upgrades!$U$7,F272),1)*IF(Upgrades!$T$8="Magnetosphere",POWER(Upgrades!$U$8,G272),1)*IF(Upgrades!$T$10="Magnetosphere",POWER(Upgrades!$U$10,I272),1)*IF(Upgrades!$T$11="Magnetosphere",POWER(Upgrades!$U$11,J272),1)*IF(Upgrades!$T$12="Magnetosphere",POWER(Upgrades!$U$12,K272),1))*POWER(Upgrades!$P$6,E272)*POWER(Upgrades!$P$7,F272)*POWER(Upgrades!$P$8,G272)*POWER(Upgrades!$P$9,H272)*POWER(Upgrades!$P$10,I272)*POWER(Upgrades!$P$11,J272)*POWER(Upgrades!$P$12,K272)*60</f>
        <v/>
      </c>
      <c r="AE272" s="27">
        <f>(IF(K272=0,0,(Upgrades!$G$12+K272*Upgrades!$H$12)*POWER(Upgrades!$I$12,K272)))*(IF(Upgrades!$T$6="First Photons",POWER(Upgrades!$U$6,E272),1)*IF(Upgrades!$T$7="First Photons",POWER(Upgrades!$U$7,F272),1)*IF(Upgrades!$T$8="First Photons",POWER(Upgrades!$U$8,G272),1)*IF(Upgrades!$T$9="First Photons",POWER(Upgrades!$U$9,H272),1)*IF(Upgrades!$T$10="First Photons",POWER(Upgrades!$U$10,I272),1)*IF(Upgrades!$T$11="First Photons",POWER(Upgrades!$U$11,J272),1))*POWER(Upgrades!$P$6,E272)*POWER(Upgrades!$P$7,F272)*POWER(Upgrades!$P$8,G272)*POWER(Upgrades!$P$9,H272)*POWER(Upgrades!$P$10,I272)*POWER(Upgrades!$P$11,J272)*POWER(Upgrades!$P$12,K272)*60</f>
        <v/>
      </c>
      <c r="AF272" s="27">
        <f>Parameters!$B$9*POWER(Upgrades!$Q$6,E272)*POWER(Upgrades!$Q$7,F272)*POWER(Upgrades!$Q$8,G272)*POWER(Upgrades!$Q$9,H272)*POWER(Upgrades!$Q$10,I272)*POWER(Upgrades!$Q$11,J272)*POWER(Upgrades!$Q$12,K272)*(Parameters!$B$10*Parameters!$B$11+O272*60)</f>
        <v/>
      </c>
      <c r="AG272" s="22">
        <f>IF(E272&gt;=Upgrades!$E$6,"",Upgrades!$C$6*POWER(Upgrades!$D$6,E272))</f>
        <v/>
      </c>
      <c r="AH272" s="22">
        <f>IF(F272&gt;=Upgrades!$E$7,"",Upgrades!$C$7*POWER(Upgrades!$D$7,F272))</f>
        <v/>
      </c>
      <c r="AI272" s="22">
        <f>IF(G272&gt;=Upgrades!$E$8,"",Upgrades!$C$8*POWER(Upgrades!$D$8,G272))</f>
        <v/>
      </c>
      <c r="AJ272" s="22">
        <f>IF(H272&gt;=Upgrades!$E$9,"",Upgrades!$C$9*POWER(Upgrades!$D$9,H272))</f>
        <v/>
      </c>
      <c r="AK272" s="22">
        <f>IF(I272&gt;=Upgrades!$E$10,"",Upgrades!$C$10*POWER(Upgrades!$D$10,I272))</f>
        <v/>
      </c>
      <c r="AL272" s="22">
        <f>IF(J272&gt;=Upgrades!$E$11,"",Upgrades!$C$11*POWER(Upgrades!$D$11,J272))</f>
        <v/>
      </c>
      <c r="AM272" s="22">
        <f>IF(K272&gt;=Upgrades!$E$12,"",Upgrades!$C$12*POWER(Upgrades!$D$12,K272))</f>
        <v/>
      </c>
      <c r="AN272" s="26">
        <f>IF(AND(D272&gt;=Parameters!$B$18,(H272&gt;=Upgrades!$E$9)*(K272&gt;=Upgrades!$E$12)=1,L272=0),1,"")</f>
        <v/>
      </c>
      <c r="AO272" s="26">
        <f>IF(AND(D272&gt;=Parameters!$B$18,L272=0),1,"")</f>
        <v/>
      </c>
      <c r="AP272" s="22">
        <f>MIN(IF(ISNUMBER(AK272),AK272,9E15),IF(ISNUMBER(AL272),AL272,9E15),IF(ISNUMBER(AM272),AM272,9E15))</f>
        <v/>
      </c>
      <c r="AQ272" s="22">
        <f>MIN(IF(ISNUMBER(AG272),AG272,9E15),IF(ISNUMBER(AH272),AH272,9E15),IF(ISNUMBER(AI272),AI272,9E15),IF(ISNUMBER(AJ272),AJ272,9E15))</f>
        <v/>
      </c>
      <c r="AR272" s="29">
        <f>IF(AW272&gt;Parameters!$B$21*(MAX(IF(AND(NOT(AND(AO272=1,AN272&lt;&gt;1)),ISNUMBER(AG272),AG272&lt;=T272),AS272,0),IF(AND(NOT(AND(AO272=1,AN272&lt;&gt;1)),ISNUMBER(AH272),AH272&lt;=T272),AT272,0),IF(AND(NOT(AND(AO272=1,AN272&lt;&gt;1)),ISNUMBER(AI272),AI272&lt;=T272),AU272,0),IF(AND(ISNUMBER(AJ272),AJ272&lt;=T272),AV272,0))),TRUE,FALSE)</f>
        <v/>
      </c>
      <c r="AS272" s="32">
        <f>IFERROR(Upgrades!$H$6*(POWER(Upgrades!$P$6,E272)*POWER(Upgrades!$P$7,F272)*POWER(Upgrades!$P$8,G272)*POWER(Upgrades!$P$9,H272)*POWER(Upgrades!$P$10,I272)*POWER(Upgrades!$P$11,J272)*POWER(Upgrades!$P$12,K272))*(IF(Upgrades!$T$7="Solar Wind",POWER(Upgrades!$U$7,F272),1)*IF(Upgrades!$T$8="Solar Wind",POWER(Upgrades!$U$8,G272),1)*IF(Upgrades!$T$9="Solar Wind",POWER(Upgrades!$U$9,H272),1)*IF(Upgrades!$T$10="Solar Wind",POWER(Upgrades!$U$10,I272),1)*IF(Upgrades!$T$11="Solar Wind",POWER(Upgrades!$U$11,J272),1)*IF(Upgrades!$T$12="Solar Wind",POWER(Upgrades!$U$12,K272),1))/AG272,0)</f>
        <v/>
      </c>
      <c r="AT272" s="32">
        <f>IFERROR(Upgrades!$H$7*(POWER(Upgrades!$P$6,E272)*POWER(Upgrades!$P$7,F272)*POWER(Upgrades!$P$8,G272)*POWER(Upgrades!$P$9,H272)*POWER(Upgrades!$P$10,I272)*POWER(Upgrades!$P$11,J272)*POWER(Upgrades!$P$12,K272))*(IF(Upgrades!$T$6="Asteroid Belt",POWER(Upgrades!$U$6,E272),1)*IF(Upgrades!$T$8="Asteroid Belt",POWER(Upgrades!$U$8,G272),1)*IF(Upgrades!$T$9="Asteroid Belt",POWER(Upgrades!$U$9,H272),1)*IF(Upgrades!$T$10="Asteroid Belt",POWER(Upgrades!$U$10,I272),1)*IF(Upgrades!$T$11="Asteroid Belt",POWER(Upgrades!$U$11,J272),1)*IF(Upgrades!$T$12="Asteroid Belt",POWER(Upgrades!$U$12,K272),1))/AH272,0)</f>
        <v/>
      </c>
      <c r="AU272" s="32">
        <f>IFERROR(Upgrades!$K$8*(POWER(Upgrades!$Q$6,E272)*POWER(Upgrades!$Q$7,F272)*POWER(Upgrades!$Q$8,G272)*POWER(Upgrades!$Q$9,H272)*POWER(Upgrades!$Q$10,I272)*POWER(Upgrades!$Q$11,J272)*POWER(Upgrades!$Q$12,K272))*(IF(Upgrades!$T$6="Stellar Coupling",POWER(Upgrades!$U$6,E272),1)*IF(Upgrades!$T$7="Stellar Coupling",POWER(Upgrades!$U$7,F272),1)*IF(Upgrades!$T$9="Stellar Coupling",POWER(Upgrades!$U$9,H272),1)*IF(Upgrades!$T$10="Stellar Coupling",POWER(Upgrades!$U$10,I272),1)*IF(Upgrades!$T$11="Stellar Coupling",POWER(Upgrades!$U$11,J272),1)*IF(Upgrades!$T$12="Stellar Coupling",POWER(Upgrades!$U$12,K272),1))*Parameters!$B$10*Parameters!$B$11/60/AI272,0)</f>
        <v/>
      </c>
      <c r="AV272" s="32">
        <f>IFERROR(Upgrades!$H$9*(POWER(Upgrades!$P$6,E272)*POWER(Upgrades!$P$7,F272)*POWER(Upgrades!$P$8,G272)*POWER(Upgrades!$P$9,H272)*POWER(Upgrades!$P$10,I272)*POWER(Upgrades!$P$11,J272)*POWER(Upgrades!$P$12,K272))*(IF(Upgrades!$T$6="Magnetosphere",POWER(Upgrades!$U$6,E272),1)*IF(Upgrades!$T$7="Magnetosphere",POWER(Upgrades!$U$7,F272),1)*IF(Upgrades!$T$8="Magnetosphere",POWER(Upgrades!$U$8,G272),1)*IF(Upgrades!$T$10="Magnetosphere",POWER(Upgrades!$U$10,I272),1)*IF(Upgrades!$T$11="Magnetosphere",POWER(Upgrades!$U$11,J272),1)*IF(Upgrades!$T$12="Magnetosphere",POWER(Upgrades!$U$12,K272),1))/AJ272,0)</f>
        <v/>
      </c>
      <c r="AW272" s="32">
        <f>MAX(IF(I272&gt;0,0,IFERROR(0.25*N272/Upgrades!$C$10,0)),IF(J272&gt;0,0,IFERROR(0.5*((IF(G272=0,0,(Upgrades!$J$8+G272*Upgrades!$K$8)*POWER(Upgrades!$L$8,G272)))*(IF(Upgrades!$T$6="Stellar Coupling",POWER(Upgrades!$U$6,E272),1)*IF(Upgrades!$T$7="Stellar Coupling",POWER(Upgrades!$U$7,F272),1)*IF(Upgrades!$T$9="Stellar Coupling",POWER(Upgrades!$U$9,H272),1)*IF(Upgrades!$T$10="Stellar Coupling",POWER(Upgrades!$U$10,I272),1)*IF(Upgrades!$T$11="Stellar Coupling",POWER(Upgrades!$U$11,J272),1)*IF(Upgrades!$T$12="Stellar Coupling",POWER(Upgrades!$U$12,K272),1))*(POWER(Upgrades!$Q$6,E272)*POWER(Upgrades!$Q$7,F272)*POWER(Upgrades!$Q$8,G272)*POWER(Upgrades!$Q$9,H272)*POWER(Upgrades!$Q$10,I272)*POWER(Upgrades!$Q$11,J272)*POWER(Upgrades!$Q$12,K272))*Parameters!$B$10*Parameters!$B$11/60)/Upgrades!$C$11,0)),IF(K272&gt;0,0,IFERROR((1.0*(POWER(Upgrades!$P$6,E272)*POWER(Upgrades!$P$7,F272)*POWER(Upgrades!$P$8,G272)*POWER(Upgrades!$P$9,H272)*POWER(Upgrades!$P$10,I272)*POWER(Upgrades!$P$11,J272)*POWER(Upgrades!$P$12,K272))+0.20*M272*Parameters!$B$10*Parameters!$B$11/60)/Upgrades!$C$12,0)),IF(AND(ISNUMBER(AG272),AG272&gt;T272),AS272,0),IF(AND(ISNUMBER(AH272),AH272&gt;T272),AT272,0),IF(AND(ISNUMBER(AI272),AI272&gt;T272),AU272,0),IF(AND(ISNUMBER(AJ272),AJ272&gt;T272),AV272,0))</f>
        <v/>
      </c>
      <c r="AX272" s="29">
        <f>IF(AN272=1,"transition",IF(MIN(IF(AND(I272=0,ISNUMBER(AK272),AK272&lt;=T272),AK272,9E15),IF(AND(J272=0,ISNUMBER(AL272),AL272&lt;=T272),AL272,9E15),IF(AND(K272=0,ISNUMBER(AM272),AM272&lt;=T272),AM272,9E15))&lt;9E15,IF(AND(AND(I272=0,ISNUMBER(AK272),AK272&lt;=T272),AK272=MIN(IF(AND(I272=0,ISNUMBER(AK272),AK272&lt;=T272),AK272,9E15),IF(AND(J272=0,ISNUMBER(AL272),AL272&lt;=T272),AL272,9E15),IF(AND(K272=0,ISNUMBER(AM272),AM272&lt;=T272),AM272,9E15))),"OR",IF(AND(AND(J272=0,ISNUMBER(AL272),AL272&lt;=T272),AL272=MIN(IF(AND(I272=0,ISNUMBER(AK272),AK272&lt;=T272),AK272,9E15),IF(AND(J272=0,ISNUMBER(AL272),AL272&lt;=T272),AL272,9E15),IF(AND(K272=0,ISNUMBER(AM272),AM272&lt;=T272),AM272,9E15))),"HP","FP")),IF(AR272=TRUE,"",IF(MAX(IF(AND(NOT(AND(AO272=1,AN272&lt;&gt;1)),ISNUMBER(AG272),AG272&lt;=T272),AS272,0),IF(AND(NOT(AND(AO272=1,AN272&lt;&gt;1)),ISNUMBER(AH272),AH272&lt;=T272),AT272,0),IF(AND(NOT(AND(AO272=1,AN272&lt;&gt;1)),ISNUMBER(AI272),AI272&lt;=T272),AU272,0),IF(AND(ISNUMBER(AJ272),AJ272&lt;=T272),AV272,0))&lt;=0,"",IF(AND(IF(AND(NOT(AND(AO272=1,AN272&lt;&gt;1)),ISNUMBER(AG272),AG272&lt;=T272),AS272,0)&gt;0,IF(AND(NOT(AND(AO272=1,AN272&lt;&gt;1)),ISNUMBER(AG272),AG272&lt;=T272),AS272,0)=MAX(IF(AND(NOT(AND(AO272=1,AN272&lt;&gt;1)),ISNUMBER(AG272),AG272&lt;=T272),AS272,0),IF(AND(NOT(AND(AO272=1,AN272&lt;&gt;1)),ISNUMBER(AH272),AH272&lt;=T272),AT272,0),IF(AND(NOT(AND(AO272=1,AN272&lt;&gt;1)),ISNUMBER(AI272),AI272&lt;=T272),AU272,0),IF(AND(ISNUMBER(AJ272),AJ272&lt;=T272),AV272,0))),"SW",IF(AND(IF(AND(NOT(AND(AO272=1,AN272&lt;&gt;1)),ISNUMBER(AH272),AH272&lt;=T272),AT272,0)&gt;0,IF(AND(NOT(AND(AO272=1,AN272&lt;&gt;1)),ISNUMBER(AH272),AH272&lt;=T272),AT272,0)=MAX(IF(AND(NOT(AND(AO272=1,AN272&lt;&gt;1)),ISNUMBER(AG272),AG272&lt;=T272),AS272,0),IF(AND(NOT(AND(AO272=1,AN272&lt;&gt;1)),ISNUMBER(AH272),AH272&lt;=T272),AT272,0),IF(AND(NOT(AND(AO272=1,AN272&lt;&gt;1)),ISNUMBER(AI272),AI272&lt;=T272),AU272,0),IF(AND(ISNUMBER(AJ272),AJ272&lt;=T272),AV272,0))),"AB",IF(AND(IF(AND(NOT(AND(AO272=1,AN272&lt;&gt;1)),ISNUMBER(AI272),AI272&lt;=T272),AU272,0)&gt;0,IF(AND(NOT(AND(AO272=1,AN272&lt;&gt;1)),ISNUMBER(AI272),AI272&lt;=T272),AU272,0)=MAX(IF(AND(NOT(AND(AO272=1,AN272&lt;&gt;1)),ISNUMBER(AG272),AG272&lt;=T272),AS272,0),IF(AND(NOT(AND(AO272=1,AN272&lt;&gt;1)),ISNUMBER(AH272),AH272&lt;=T272),AT272,0),IF(AND(NOT(AND(AO272=1,AN272&lt;&gt;1)),ISNUMBER(AI272),AI272&lt;=T272),AU272,0),IF(AND(ISNUMBER(AJ272),AJ272&lt;=T272),AV272,0))),"SC","Mag")))))))</f>
        <v/>
      </c>
    </row>
    <row r="273">
      <c r="A273" s="26" t="n">
        <v>268</v>
      </c>
      <c r="B273" s="27">
        <f>A273*10/60</f>
        <v/>
      </c>
      <c r="C273" s="22">
        <f>X272</f>
        <v/>
      </c>
      <c r="D273" s="27">
        <f>D272+W272</f>
        <v/>
      </c>
      <c r="E273" s="26">
        <f>E272+IF(U272="SW",1,0)</f>
        <v/>
      </c>
      <c r="F273" s="26">
        <f>F272+IF(U272="AB",1,0)</f>
        <v/>
      </c>
      <c r="G273" s="26">
        <f>G272+IF(U272="SC",1,0)</f>
        <v/>
      </c>
      <c r="H273" s="26">
        <f>H272+IF(U272="Mag",1,0)</f>
        <v/>
      </c>
      <c r="I273" s="26">
        <f>MAX(I272,IF(U272="OR",1,0))</f>
        <v/>
      </c>
      <c r="J273" s="26">
        <f>MAX(J272,IF(U272="HP",1,0))</f>
        <v/>
      </c>
      <c r="K273" s="26">
        <f>MAX(K272,IF(U272="FP",1,0))</f>
        <v/>
      </c>
      <c r="L273" s="26">
        <f>MAX(L272,IF(U272="transition",1,0))</f>
        <v/>
      </c>
      <c r="M273" s="28">
        <f>(Parameters!$B$9+(IF(E273=0,0,(Upgrades!$J$6+E273*Upgrades!$K$6)*POWER(Upgrades!$L$6,E273)))*(IF(Upgrades!$T$7="Solar Wind",POWER(Upgrades!$U$7,F273),1)*IF(Upgrades!$T$8="Solar Wind",POWER(Upgrades!$U$8,G273),1)*IF(Upgrades!$T$9="Solar Wind",POWER(Upgrades!$U$9,H273),1)*IF(Upgrades!$T$10="Solar Wind",POWER(Upgrades!$U$10,I273),1)*IF(Upgrades!$T$11="Solar Wind",POWER(Upgrades!$U$11,J273),1)*IF(Upgrades!$T$12="Solar Wind",POWER(Upgrades!$U$12,K273),1))+(IF(F273=0,0,(Upgrades!$J$7+F273*Upgrades!$K$7)*POWER(Upgrades!$L$7,F273)))*(IF(Upgrades!$T$6="Asteroid Belt",POWER(Upgrades!$U$6,E273),1)*IF(Upgrades!$T$8="Asteroid Belt",POWER(Upgrades!$U$8,G273),1)*IF(Upgrades!$T$9="Asteroid Belt",POWER(Upgrades!$U$9,H273),1)*IF(Upgrades!$T$10="Asteroid Belt",POWER(Upgrades!$U$10,I273),1)*IF(Upgrades!$T$11="Asteroid Belt",POWER(Upgrades!$U$11,J273),1)*IF(Upgrades!$T$12="Asteroid Belt",POWER(Upgrades!$U$12,K273),1))+(IF(G273=0,0,(Upgrades!$J$8+G273*Upgrades!$K$8)*POWER(Upgrades!$L$8,G273)))*(IF(Upgrades!$T$6="Stellar Coupling",POWER(Upgrades!$U$6,E273),1)*IF(Upgrades!$T$7="Stellar Coupling",POWER(Upgrades!$U$7,F273),1)*IF(Upgrades!$T$9="Stellar Coupling",POWER(Upgrades!$U$9,H273),1)*IF(Upgrades!$T$10="Stellar Coupling",POWER(Upgrades!$U$10,I273),1)*IF(Upgrades!$T$11="Stellar Coupling",POWER(Upgrades!$U$11,J273),1)*IF(Upgrades!$T$12="Stellar Coupling",POWER(Upgrades!$U$12,K273),1))+(IF(H273=0,0,(Upgrades!$J$9+H273*Upgrades!$K$9)*POWER(Upgrades!$L$9,H273)))*(IF(Upgrades!$T$6="Magnetosphere",POWER(Upgrades!$U$6,E273),1)*IF(Upgrades!$T$7="Magnetosphere",POWER(Upgrades!$U$7,F273),1)*IF(Upgrades!$T$8="Magnetosphere",POWER(Upgrades!$U$8,G273),1)*IF(Upgrades!$T$10="Magnetosphere",POWER(Upgrades!$U$10,I273),1)*IF(Upgrades!$T$11="Magnetosphere",POWER(Upgrades!$U$11,J273),1)*IF(Upgrades!$T$12="Magnetosphere",POWER(Upgrades!$U$12,K273),1))+(IF(I273=0,0,(Upgrades!$J$10+I273*Upgrades!$K$10)*POWER(Upgrades!$L$10,I273)))*(IF(Upgrades!$T$6="Orbital Resonance",POWER(Upgrades!$U$6,E273),1)*IF(Upgrades!$T$7="Orbital Resonance",POWER(Upgrades!$U$7,F273),1)*IF(Upgrades!$T$8="Orbital Resonance",POWER(Upgrades!$U$8,G273),1)*IF(Upgrades!$T$9="Orbital Resonance",POWER(Upgrades!$U$9,H273),1)*IF(Upgrades!$T$11="Orbital Resonance",POWER(Upgrades!$U$11,J273),1)*IF(Upgrades!$T$12="Orbital Resonance",POWER(Upgrades!$U$12,K273),1))+(IF(J273=0,0,(Upgrades!$J$11+J273*Upgrades!$K$11)*POWER(Upgrades!$L$11,J273)))*(IF(Upgrades!$T$6="Heliopause",POWER(Upgrades!$U$6,E273),1)*IF(Upgrades!$T$7="Heliopause",POWER(Upgrades!$U$7,F273),1)*IF(Upgrades!$T$8="Heliopause",POWER(Upgrades!$U$8,G273),1)*IF(Upgrades!$T$9="Heliopause",POWER(Upgrades!$U$9,H273),1)*IF(Upgrades!$T$10="Heliopause",POWER(Upgrades!$U$10,I273),1)*IF(Upgrades!$T$12="Heliopause",POWER(Upgrades!$U$12,K273),1))+(IF(K273=0,0,(Upgrades!$J$12+K273*Upgrades!$K$12)*POWER(Upgrades!$L$12,K273)))*(IF(Upgrades!$T$6="First Photons",POWER(Upgrades!$U$6,E273),1)*IF(Upgrades!$T$7="First Photons",POWER(Upgrades!$U$7,F273),1)*IF(Upgrades!$T$8="First Photons",POWER(Upgrades!$U$8,G273),1)*IF(Upgrades!$T$9="First Photons",POWER(Upgrades!$U$9,H273),1)*IF(Upgrades!$T$10="First Photons",POWER(Upgrades!$U$10,I273),1)*IF(Upgrades!$T$11="First Photons",POWER(Upgrades!$U$11,J273),1)))*POWER(Upgrades!$Q$6,E273)*POWER(Upgrades!$Q$7,F273)*POWER(Upgrades!$Q$8,G273)*POWER(Upgrades!$Q$9,H273)*POWER(Upgrades!$Q$10,I273)*POWER(Upgrades!$Q$11,J273)*POWER(Upgrades!$Q$12,K273)</f>
        <v/>
      </c>
      <c r="N273" s="28">
        <f>((IF(E273=0,0,(Upgrades!$G$6+E273*Upgrades!$H$6)*POWER(Upgrades!$I$6,E273)))*(IF(Upgrades!$T$7="Solar Wind",POWER(Upgrades!$U$7,F273),1)*IF(Upgrades!$T$8="Solar Wind",POWER(Upgrades!$U$8,G273),1)*IF(Upgrades!$T$9="Solar Wind",POWER(Upgrades!$U$9,H273),1)*IF(Upgrades!$T$10="Solar Wind",POWER(Upgrades!$U$10,I273),1)*IF(Upgrades!$T$11="Solar Wind",POWER(Upgrades!$U$11,J273),1)*IF(Upgrades!$T$12="Solar Wind",POWER(Upgrades!$U$12,K273),1))+(IF(F273=0,0,(Upgrades!$G$7+F273*Upgrades!$H$7)*POWER(Upgrades!$I$7,F273)))*(IF(Upgrades!$T$6="Asteroid Belt",POWER(Upgrades!$U$6,E273),1)*IF(Upgrades!$T$8="Asteroid Belt",POWER(Upgrades!$U$8,G273),1)*IF(Upgrades!$T$9="Asteroid Belt",POWER(Upgrades!$U$9,H273),1)*IF(Upgrades!$T$10="Asteroid Belt",POWER(Upgrades!$U$10,I273),1)*IF(Upgrades!$T$11="Asteroid Belt",POWER(Upgrades!$U$11,J273),1)*IF(Upgrades!$T$12="Asteroid Belt",POWER(Upgrades!$U$12,K273),1))+(IF(G273=0,0,(Upgrades!$G$8+G273*Upgrades!$H$8)*POWER(Upgrades!$I$8,G273)))*(IF(Upgrades!$T$6="Stellar Coupling",POWER(Upgrades!$U$6,E273),1)*IF(Upgrades!$T$7="Stellar Coupling",POWER(Upgrades!$U$7,F273),1)*IF(Upgrades!$T$9="Stellar Coupling",POWER(Upgrades!$U$9,H273),1)*IF(Upgrades!$T$10="Stellar Coupling",POWER(Upgrades!$U$10,I273),1)*IF(Upgrades!$T$11="Stellar Coupling",POWER(Upgrades!$U$11,J273),1)*IF(Upgrades!$T$12="Stellar Coupling",POWER(Upgrades!$U$12,K273),1))+(IF(H273=0,0,(Upgrades!$G$9+H273*Upgrades!$H$9)*POWER(Upgrades!$I$9,H273)))*(IF(Upgrades!$T$6="Magnetosphere",POWER(Upgrades!$U$6,E273),1)*IF(Upgrades!$T$7="Magnetosphere",POWER(Upgrades!$U$7,F273),1)*IF(Upgrades!$T$8="Magnetosphere",POWER(Upgrades!$U$8,G273),1)*IF(Upgrades!$T$10="Magnetosphere",POWER(Upgrades!$U$10,I273),1)*IF(Upgrades!$T$11="Magnetosphere",POWER(Upgrades!$U$11,J273),1)*IF(Upgrades!$T$12="Magnetosphere",POWER(Upgrades!$U$12,K273),1))+(IF(I273=0,0,(Upgrades!$G$10+I273*Upgrades!$H$10)*POWER(Upgrades!$I$10,I273)))*(IF(Upgrades!$T$6="Orbital Resonance",POWER(Upgrades!$U$6,E273),1)*IF(Upgrades!$T$7="Orbital Resonance",POWER(Upgrades!$U$7,F273),1)*IF(Upgrades!$T$8="Orbital Resonance",POWER(Upgrades!$U$8,G273),1)*IF(Upgrades!$T$9="Orbital Resonance",POWER(Upgrades!$U$9,H273),1)*IF(Upgrades!$T$11="Orbital Resonance",POWER(Upgrades!$U$11,J273),1)*IF(Upgrades!$T$12="Orbital Resonance",POWER(Upgrades!$U$12,K273),1))+(IF(J273=0,0,(Upgrades!$G$11+J273*Upgrades!$H$11)*POWER(Upgrades!$I$11,J273)))*(IF(Upgrades!$T$6="Heliopause",POWER(Upgrades!$U$6,E273),1)*IF(Upgrades!$T$7="Heliopause",POWER(Upgrades!$U$7,F273),1)*IF(Upgrades!$T$8="Heliopause",POWER(Upgrades!$U$8,G273),1)*IF(Upgrades!$T$9="Heliopause",POWER(Upgrades!$U$9,H273),1)*IF(Upgrades!$T$10="Heliopause",POWER(Upgrades!$U$10,I273),1)*IF(Upgrades!$T$12="Heliopause",POWER(Upgrades!$U$12,K273),1))+(IF(K273=0,0,(Upgrades!$G$12+K273*Upgrades!$H$12)*POWER(Upgrades!$I$12,K273)))*(IF(Upgrades!$T$6="First Photons",POWER(Upgrades!$U$6,E273),1)*IF(Upgrades!$T$7="First Photons",POWER(Upgrades!$U$7,F273),1)*IF(Upgrades!$T$8="First Photons",POWER(Upgrades!$U$8,G273),1)*IF(Upgrades!$T$9="First Photons",POWER(Upgrades!$U$9,H273),1)*IF(Upgrades!$T$10="First Photons",POWER(Upgrades!$U$10,I273),1)*IF(Upgrades!$T$11="First Photons",POWER(Upgrades!$U$11,J273),1)))*POWER(Upgrades!$P$6,E273)*POWER(Upgrades!$P$7,F273)*POWER(Upgrades!$P$8,G273)*POWER(Upgrades!$P$9,H273)*POWER(Upgrades!$P$10,I273)*POWER(Upgrades!$P$11,J273)*POWER(Upgrades!$P$12,K273)</f>
        <v/>
      </c>
      <c r="O273" s="28">
        <f>((IF(E273=0,0,(Upgrades!$M$6+E273*Upgrades!$N$6)*POWER(Upgrades!$O$6,E273)))*(IF(Upgrades!$T$7="Solar Wind",POWER(Upgrades!$U$7,F273),1)*IF(Upgrades!$T$8="Solar Wind",POWER(Upgrades!$U$8,G273),1)*IF(Upgrades!$T$9="Solar Wind",POWER(Upgrades!$U$9,H273),1)*IF(Upgrades!$T$10="Solar Wind",POWER(Upgrades!$U$10,I273),1)*IF(Upgrades!$T$11="Solar Wind",POWER(Upgrades!$U$11,J273),1)*IF(Upgrades!$T$12="Solar Wind",POWER(Upgrades!$U$12,K273),1))+(IF(F273=0,0,(Upgrades!$M$7+F273*Upgrades!$N$7)*POWER(Upgrades!$O$7,F273)))*(IF(Upgrades!$T$6="Asteroid Belt",POWER(Upgrades!$U$6,E273),1)*IF(Upgrades!$T$8="Asteroid Belt",POWER(Upgrades!$U$8,G273),1)*IF(Upgrades!$T$9="Asteroid Belt",POWER(Upgrades!$U$9,H273),1)*IF(Upgrades!$T$10="Asteroid Belt",POWER(Upgrades!$U$10,I273),1)*IF(Upgrades!$T$11="Asteroid Belt",POWER(Upgrades!$U$11,J273),1)*IF(Upgrades!$T$12="Asteroid Belt",POWER(Upgrades!$U$12,K273),1))+(IF(G273=0,0,(Upgrades!$M$8+G273*Upgrades!$N$8)*POWER(Upgrades!$O$8,G273)))*(IF(Upgrades!$T$6="Stellar Coupling",POWER(Upgrades!$U$6,E273),1)*IF(Upgrades!$T$7="Stellar Coupling",POWER(Upgrades!$U$7,F273),1)*IF(Upgrades!$T$9="Stellar Coupling",POWER(Upgrades!$U$9,H273),1)*IF(Upgrades!$T$10="Stellar Coupling",POWER(Upgrades!$U$10,I273),1)*IF(Upgrades!$T$11="Stellar Coupling",POWER(Upgrades!$U$11,J273),1)*IF(Upgrades!$T$12="Stellar Coupling",POWER(Upgrades!$U$12,K273),1))+(IF(H273=0,0,(Upgrades!$M$9+H273*Upgrades!$N$9)*POWER(Upgrades!$O$9,H273)))*(IF(Upgrades!$T$6="Magnetosphere",POWER(Upgrades!$U$6,E273),1)*IF(Upgrades!$T$7="Magnetosphere",POWER(Upgrades!$U$7,F273),1)*IF(Upgrades!$T$8="Magnetosphere",POWER(Upgrades!$U$8,G273),1)*IF(Upgrades!$T$10="Magnetosphere",POWER(Upgrades!$U$10,I273),1)*IF(Upgrades!$T$11="Magnetosphere",POWER(Upgrades!$U$11,J273),1)*IF(Upgrades!$T$12="Magnetosphere",POWER(Upgrades!$U$12,K273),1))+(IF(I273=0,0,(Upgrades!$M$10+I273*Upgrades!$N$10)*POWER(Upgrades!$O$10,I273)))*(IF(Upgrades!$T$6="Orbital Resonance",POWER(Upgrades!$U$6,E273),1)*IF(Upgrades!$T$7="Orbital Resonance",POWER(Upgrades!$U$7,F273),1)*IF(Upgrades!$T$8="Orbital Resonance",POWER(Upgrades!$U$8,G273),1)*IF(Upgrades!$T$9="Orbital Resonance",POWER(Upgrades!$U$9,H273),1)*IF(Upgrades!$T$11="Orbital Resonance",POWER(Upgrades!$U$11,J273),1)*IF(Upgrades!$T$12="Orbital Resonance",POWER(Upgrades!$U$12,K273),1))+(IF(J273=0,0,(Upgrades!$M$11+J273*Upgrades!$N$11)*POWER(Upgrades!$O$11,J273)))*(IF(Upgrades!$T$6="Heliopause",POWER(Upgrades!$U$6,E273),1)*IF(Upgrades!$T$7="Heliopause",POWER(Upgrades!$U$7,F273),1)*IF(Upgrades!$T$8="Heliopause",POWER(Upgrades!$U$8,G273),1)*IF(Upgrades!$T$9="Heliopause",POWER(Upgrades!$U$9,H273),1)*IF(Upgrades!$T$10="Heliopause",POWER(Upgrades!$U$10,I273),1)*IF(Upgrades!$T$12="Heliopause",POWER(Upgrades!$U$12,K273),1))+(IF(K273=0,0,(Upgrades!$M$12+K273*Upgrades!$N$12)*POWER(Upgrades!$O$12,K273)))*(IF(Upgrades!$T$6="First Photons",POWER(Upgrades!$U$6,E273),1)*IF(Upgrades!$T$7="First Photons",POWER(Upgrades!$U$7,F273),1)*IF(Upgrades!$T$8="First Photons",POWER(Upgrades!$U$8,G273),1)*IF(Upgrades!$T$9="First Photons",POWER(Upgrades!$U$9,H273),1)*IF(Upgrades!$T$10="First Photons",POWER(Upgrades!$U$10,I273),1)*IF(Upgrades!$T$11="First Photons",POWER(Upgrades!$U$11,J273),1)))*POWER(Upgrades!$R$6,E273)*POWER(Upgrades!$R$7,F273)*POWER(Upgrades!$R$8,G273)*POWER(Upgrades!$R$9,H273)*POWER(Upgrades!$R$10,I273)*POWER(Upgrades!$R$11,J273)*POWER(Upgrades!$R$12,K273)</f>
        <v/>
      </c>
      <c r="P273" s="27">
        <f>IF(L273=1,0,M273*Parameters!$B$10/60*Parameters!$B$11*10)</f>
        <v/>
      </c>
      <c r="Q273" s="27">
        <f>IF(L273=1,0,O273*M273*10)</f>
        <v/>
      </c>
      <c r="R273" s="27">
        <f>IF(L273=1,0,N273*10)</f>
        <v/>
      </c>
      <c r="S273" s="27">
        <f>P273+Q273+R273</f>
        <v/>
      </c>
      <c r="T273" s="22">
        <f>C273+S273</f>
        <v/>
      </c>
      <c r="U273" s="33">
        <f>AX273</f>
        <v/>
      </c>
      <c r="V273" s="22">
        <f>IF(U273="",0,IF(U273="transition",0,IF(U273="SW",AG273,IF(U273="AB",AH273,IF(U273="SC",AI273,IF(U273="Mag",AJ273,IF(U273="OR",AK273,IF(U273="HP",AL273,IF(U273="FP",AM273,0)))))))))</f>
        <v/>
      </c>
      <c r="W273" s="27">
        <f>IF(U273="OR",Upgrades!$F$10,IF(U273="HP",Upgrades!$F$11,IF(U273="transition",-Parameters!$B$18,0)))</f>
        <v/>
      </c>
      <c r="X273" s="22">
        <f>T273-V273</f>
        <v/>
      </c>
      <c r="Y273" s="30">
        <f>M273*Parameters!$B$10/60*Parameters!$B$11+O273*M273+N273</f>
        <v/>
      </c>
      <c r="Z273" s="34">
        <f>IF(U273="transition","→ Tier 2 (Stellar Neighborhood)",IF(U273="FP","First Photons — light begins, system quickens",IF(U273="HP","Heliopause acquired",IF(U273="OR","Orbital Resonance — passive multiplier active",IF(AND(AO273=1,L273=0,AN273&lt;&gt;1),"Cohesion ready (waiting on completionist upgrades)","")))))</f>
        <v/>
      </c>
      <c r="AA273" s="27">
        <f>(IF(E273=0,0,(Upgrades!$G$6+E273*Upgrades!$H$6)*POWER(Upgrades!$I$6,E273)))*(IF(Upgrades!$T$7="Solar Wind",POWER(Upgrades!$U$7,F273),1)*IF(Upgrades!$T$8="Solar Wind",POWER(Upgrades!$U$8,G273),1)*IF(Upgrades!$T$9="Solar Wind",POWER(Upgrades!$U$9,H273),1)*IF(Upgrades!$T$10="Solar Wind",POWER(Upgrades!$U$10,I273),1)*IF(Upgrades!$T$11="Solar Wind",POWER(Upgrades!$U$11,J273),1)*IF(Upgrades!$T$12="Solar Wind",POWER(Upgrades!$U$12,K273),1))*POWER(Upgrades!$P$6,E273)*POWER(Upgrades!$P$7,F273)*POWER(Upgrades!$P$8,G273)*POWER(Upgrades!$P$9,H273)*POWER(Upgrades!$P$10,I273)*POWER(Upgrades!$P$11,J273)*POWER(Upgrades!$P$12,K273)*60</f>
        <v/>
      </c>
      <c r="AB273" s="27">
        <f>(IF(F273=0,0,(Upgrades!$G$7+F273*Upgrades!$H$7)*POWER(Upgrades!$I$7,F273)))*(IF(Upgrades!$T$6="Asteroid Belt",POWER(Upgrades!$U$6,E273),1)*IF(Upgrades!$T$8="Asteroid Belt",POWER(Upgrades!$U$8,G273),1)*IF(Upgrades!$T$9="Asteroid Belt",POWER(Upgrades!$U$9,H273),1)*IF(Upgrades!$T$10="Asteroid Belt",POWER(Upgrades!$U$10,I273),1)*IF(Upgrades!$T$11="Asteroid Belt",POWER(Upgrades!$U$11,J273),1)*IF(Upgrades!$T$12="Asteroid Belt",POWER(Upgrades!$U$12,K273),1))*POWER(Upgrades!$P$6,E273)*POWER(Upgrades!$P$7,F273)*POWER(Upgrades!$P$8,G273)*POWER(Upgrades!$P$9,H273)*POWER(Upgrades!$P$10,I273)*POWER(Upgrades!$P$11,J273)*POWER(Upgrades!$P$12,K273)*60</f>
        <v/>
      </c>
      <c r="AC273" s="27">
        <f>(IF(G273=0,0,(Upgrades!$J$8+G273*Upgrades!$K$8)*POWER(Upgrades!$L$8,G273)))*(IF(Upgrades!$T$6="Stellar Coupling",POWER(Upgrades!$U$6,E273),1)*IF(Upgrades!$T$7="Stellar Coupling",POWER(Upgrades!$U$7,F273),1)*IF(Upgrades!$T$9="Stellar Coupling",POWER(Upgrades!$U$9,H273),1)*IF(Upgrades!$T$10="Stellar Coupling",POWER(Upgrades!$U$10,I273),1)*IF(Upgrades!$T$11="Stellar Coupling",POWER(Upgrades!$U$11,J273),1)*IF(Upgrades!$T$12="Stellar Coupling",POWER(Upgrades!$U$12,K273),1))*POWER(Upgrades!$Q$6,E273)*POWER(Upgrades!$Q$7,F273)*POWER(Upgrades!$Q$8,G273)*POWER(Upgrades!$Q$9,H273)*POWER(Upgrades!$Q$10,I273)*POWER(Upgrades!$Q$11,J273)*POWER(Upgrades!$Q$12,K273)*Parameters!$B$10*Parameters!$B$11</f>
        <v/>
      </c>
      <c r="AD273" s="27">
        <f>(IF(H273=0,0,(Upgrades!$G$9+H273*Upgrades!$H$9)*POWER(Upgrades!$I$9,H273)))*(IF(Upgrades!$T$6="Magnetosphere",POWER(Upgrades!$U$6,E273),1)*IF(Upgrades!$T$7="Magnetosphere",POWER(Upgrades!$U$7,F273),1)*IF(Upgrades!$T$8="Magnetosphere",POWER(Upgrades!$U$8,G273),1)*IF(Upgrades!$T$10="Magnetosphere",POWER(Upgrades!$U$10,I273),1)*IF(Upgrades!$T$11="Magnetosphere",POWER(Upgrades!$U$11,J273),1)*IF(Upgrades!$T$12="Magnetosphere",POWER(Upgrades!$U$12,K273),1))*POWER(Upgrades!$P$6,E273)*POWER(Upgrades!$P$7,F273)*POWER(Upgrades!$P$8,G273)*POWER(Upgrades!$P$9,H273)*POWER(Upgrades!$P$10,I273)*POWER(Upgrades!$P$11,J273)*POWER(Upgrades!$P$12,K273)*60</f>
        <v/>
      </c>
      <c r="AE273" s="27">
        <f>(IF(K273=0,0,(Upgrades!$G$12+K273*Upgrades!$H$12)*POWER(Upgrades!$I$12,K273)))*(IF(Upgrades!$T$6="First Photons",POWER(Upgrades!$U$6,E273),1)*IF(Upgrades!$T$7="First Photons",POWER(Upgrades!$U$7,F273),1)*IF(Upgrades!$T$8="First Photons",POWER(Upgrades!$U$8,G273),1)*IF(Upgrades!$T$9="First Photons",POWER(Upgrades!$U$9,H273),1)*IF(Upgrades!$T$10="First Photons",POWER(Upgrades!$U$10,I273),1)*IF(Upgrades!$T$11="First Photons",POWER(Upgrades!$U$11,J273),1))*POWER(Upgrades!$P$6,E273)*POWER(Upgrades!$P$7,F273)*POWER(Upgrades!$P$8,G273)*POWER(Upgrades!$P$9,H273)*POWER(Upgrades!$P$10,I273)*POWER(Upgrades!$P$11,J273)*POWER(Upgrades!$P$12,K273)*60</f>
        <v/>
      </c>
      <c r="AF273" s="27">
        <f>Parameters!$B$9*POWER(Upgrades!$Q$6,E273)*POWER(Upgrades!$Q$7,F273)*POWER(Upgrades!$Q$8,G273)*POWER(Upgrades!$Q$9,H273)*POWER(Upgrades!$Q$10,I273)*POWER(Upgrades!$Q$11,J273)*POWER(Upgrades!$Q$12,K273)*(Parameters!$B$10*Parameters!$B$11+O273*60)</f>
        <v/>
      </c>
      <c r="AG273" s="22">
        <f>IF(E273&gt;=Upgrades!$E$6,"",Upgrades!$C$6*POWER(Upgrades!$D$6,E273))</f>
        <v/>
      </c>
      <c r="AH273" s="22">
        <f>IF(F273&gt;=Upgrades!$E$7,"",Upgrades!$C$7*POWER(Upgrades!$D$7,F273))</f>
        <v/>
      </c>
      <c r="AI273" s="22">
        <f>IF(G273&gt;=Upgrades!$E$8,"",Upgrades!$C$8*POWER(Upgrades!$D$8,G273))</f>
        <v/>
      </c>
      <c r="AJ273" s="22">
        <f>IF(H273&gt;=Upgrades!$E$9,"",Upgrades!$C$9*POWER(Upgrades!$D$9,H273))</f>
        <v/>
      </c>
      <c r="AK273" s="22">
        <f>IF(I273&gt;=Upgrades!$E$10,"",Upgrades!$C$10*POWER(Upgrades!$D$10,I273))</f>
        <v/>
      </c>
      <c r="AL273" s="22">
        <f>IF(J273&gt;=Upgrades!$E$11,"",Upgrades!$C$11*POWER(Upgrades!$D$11,J273))</f>
        <v/>
      </c>
      <c r="AM273" s="22">
        <f>IF(K273&gt;=Upgrades!$E$12,"",Upgrades!$C$12*POWER(Upgrades!$D$12,K273))</f>
        <v/>
      </c>
      <c r="AN273" s="26">
        <f>IF(AND(D273&gt;=Parameters!$B$18,(H273&gt;=Upgrades!$E$9)*(K273&gt;=Upgrades!$E$12)=1,L273=0),1,"")</f>
        <v/>
      </c>
      <c r="AO273" s="26">
        <f>IF(AND(D273&gt;=Parameters!$B$18,L273=0),1,"")</f>
        <v/>
      </c>
      <c r="AP273" s="22">
        <f>MIN(IF(ISNUMBER(AK273),AK273,9E15),IF(ISNUMBER(AL273),AL273,9E15),IF(ISNUMBER(AM273),AM273,9E15))</f>
        <v/>
      </c>
      <c r="AQ273" s="22">
        <f>MIN(IF(ISNUMBER(AG273),AG273,9E15),IF(ISNUMBER(AH273),AH273,9E15),IF(ISNUMBER(AI273),AI273,9E15),IF(ISNUMBER(AJ273),AJ273,9E15))</f>
        <v/>
      </c>
      <c r="AR273" s="29">
        <f>IF(AW273&gt;Parameters!$B$21*(MAX(IF(AND(NOT(AND(AO273=1,AN273&lt;&gt;1)),ISNUMBER(AG273),AG273&lt;=T273),AS273,0),IF(AND(NOT(AND(AO273=1,AN273&lt;&gt;1)),ISNUMBER(AH273),AH273&lt;=T273),AT273,0),IF(AND(NOT(AND(AO273=1,AN273&lt;&gt;1)),ISNUMBER(AI273),AI273&lt;=T273),AU273,0),IF(AND(ISNUMBER(AJ273),AJ273&lt;=T273),AV273,0))),TRUE,FALSE)</f>
        <v/>
      </c>
      <c r="AS273" s="32">
        <f>IFERROR(Upgrades!$H$6*(POWER(Upgrades!$P$6,E273)*POWER(Upgrades!$P$7,F273)*POWER(Upgrades!$P$8,G273)*POWER(Upgrades!$P$9,H273)*POWER(Upgrades!$P$10,I273)*POWER(Upgrades!$P$11,J273)*POWER(Upgrades!$P$12,K273))*(IF(Upgrades!$T$7="Solar Wind",POWER(Upgrades!$U$7,F273),1)*IF(Upgrades!$T$8="Solar Wind",POWER(Upgrades!$U$8,G273),1)*IF(Upgrades!$T$9="Solar Wind",POWER(Upgrades!$U$9,H273),1)*IF(Upgrades!$T$10="Solar Wind",POWER(Upgrades!$U$10,I273),1)*IF(Upgrades!$T$11="Solar Wind",POWER(Upgrades!$U$11,J273),1)*IF(Upgrades!$T$12="Solar Wind",POWER(Upgrades!$U$12,K273),1))/AG273,0)</f>
        <v/>
      </c>
      <c r="AT273" s="32">
        <f>IFERROR(Upgrades!$H$7*(POWER(Upgrades!$P$6,E273)*POWER(Upgrades!$P$7,F273)*POWER(Upgrades!$P$8,G273)*POWER(Upgrades!$P$9,H273)*POWER(Upgrades!$P$10,I273)*POWER(Upgrades!$P$11,J273)*POWER(Upgrades!$P$12,K273))*(IF(Upgrades!$T$6="Asteroid Belt",POWER(Upgrades!$U$6,E273),1)*IF(Upgrades!$T$8="Asteroid Belt",POWER(Upgrades!$U$8,G273),1)*IF(Upgrades!$T$9="Asteroid Belt",POWER(Upgrades!$U$9,H273),1)*IF(Upgrades!$T$10="Asteroid Belt",POWER(Upgrades!$U$10,I273),1)*IF(Upgrades!$T$11="Asteroid Belt",POWER(Upgrades!$U$11,J273),1)*IF(Upgrades!$T$12="Asteroid Belt",POWER(Upgrades!$U$12,K273),1))/AH273,0)</f>
        <v/>
      </c>
      <c r="AU273" s="32">
        <f>IFERROR(Upgrades!$K$8*(POWER(Upgrades!$Q$6,E273)*POWER(Upgrades!$Q$7,F273)*POWER(Upgrades!$Q$8,G273)*POWER(Upgrades!$Q$9,H273)*POWER(Upgrades!$Q$10,I273)*POWER(Upgrades!$Q$11,J273)*POWER(Upgrades!$Q$12,K273))*(IF(Upgrades!$T$6="Stellar Coupling",POWER(Upgrades!$U$6,E273),1)*IF(Upgrades!$T$7="Stellar Coupling",POWER(Upgrades!$U$7,F273),1)*IF(Upgrades!$T$9="Stellar Coupling",POWER(Upgrades!$U$9,H273),1)*IF(Upgrades!$T$10="Stellar Coupling",POWER(Upgrades!$U$10,I273),1)*IF(Upgrades!$T$11="Stellar Coupling",POWER(Upgrades!$U$11,J273),1)*IF(Upgrades!$T$12="Stellar Coupling",POWER(Upgrades!$U$12,K273),1))*Parameters!$B$10*Parameters!$B$11/60/AI273,0)</f>
        <v/>
      </c>
      <c r="AV273" s="32">
        <f>IFERROR(Upgrades!$H$9*(POWER(Upgrades!$P$6,E273)*POWER(Upgrades!$P$7,F273)*POWER(Upgrades!$P$8,G273)*POWER(Upgrades!$P$9,H273)*POWER(Upgrades!$P$10,I273)*POWER(Upgrades!$P$11,J273)*POWER(Upgrades!$P$12,K273))*(IF(Upgrades!$T$6="Magnetosphere",POWER(Upgrades!$U$6,E273),1)*IF(Upgrades!$T$7="Magnetosphere",POWER(Upgrades!$U$7,F273),1)*IF(Upgrades!$T$8="Magnetosphere",POWER(Upgrades!$U$8,G273),1)*IF(Upgrades!$T$10="Magnetosphere",POWER(Upgrades!$U$10,I273),1)*IF(Upgrades!$T$11="Magnetosphere",POWER(Upgrades!$U$11,J273),1)*IF(Upgrades!$T$12="Magnetosphere",POWER(Upgrades!$U$12,K273),1))/AJ273,0)</f>
        <v/>
      </c>
      <c r="AW273" s="32">
        <f>MAX(IF(I273&gt;0,0,IFERROR(0.25*N273/Upgrades!$C$10,0)),IF(J273&gt;0,0,IFERROR(0.5*((IF(G273=0,0,(Upgrades!$J$8+G273*Upgrades!$K$8)*POWER(Upgrades!$L$8,G273)))*(IF(Upgrades!$T$6="Stellar Coupling",POWER(Upgrades!$U$6,E273),1)*IF(Upgrades!$T$7="Stellar Coupling",POWER(Upgrades!$U$7,F273),1)*IF(Upgrades!$T$9="Stellar Coupling",POWER(Upgrades!$U$9,H273),1)*IF(Upgrades!$T$10="Stellar Coupling",POWER(Upgrades!$U$10,I273),1)*IF(Upgrades!$T$11="Stellar Coupling",POWER(Upgrades!$U$11,J273),1)*IF(Upgrades!$T$12="Stellar Coupling",POWER(Upgrades!$U$12,K273),1))*(POWER(Upgrades!$Q$6,E273)*POWER(Upgrades!$Q$7,F273)*POWER(Upgrades!$Q$8,G273)*POWER(Upgrades!$Q$9,H273)*POWER(Upgrades!$Q$10,I273)*POWER(Upgrades!$Q$11,J273)*POWER(Upgrades!$Q$12,K273))*Parameters!$B$10*Parameters!$B$11/60)/Upgrades!$C$11,0)),IF(K273&gt;0,0,IFERROR((1.0*(POWER(Upgrades!$P$6,E273)*POWER(Upgrades!$P$7,F273)*POWER(Upgrades!$P$8,G273)*POWER(Upgrades!$P$9,H273)*POWER(Upgrades!$P$10,I273)*POWER(Upgrades!$P$11,J273)*POWER(Upgrades!$P$12,K273))+0.20*M273*Parameters!$B$10*Parameters!$B$11/60)/Upgrades!$C$12,0)),IF(AND(ISNUMBER(AG273),AG273&gt;T273),AS273,0),IF(AND(ISNUMBER(AH273),AH273&gt;T273),AT273,0),IF(AND(ISNUMBER(AI273),AI273&gt;T273),AU273,0),IF(AND(ISNUMBER(AJ273),AJ273&gt;T273),AV273,0))</f>
        <v/>
      </c>
      <c r="AX273" s="29">
        <f>IF(AN273=1,"transition",IF(MIN(IF(AND(I273=0,ISNUMBER(AK273),AK273&lt;=T273),AK273,9E15),IF(AND(J273=0,ISNUMBER(AL273),AL273&lt;=T273),AL273,9E15),IF(AND(K273=0,ISNUMBER(AM273),AM273&lt;=T273),AM273,9E15))&lt;9E15,IF(AND(AND(I273=0,ISNUMBER(AK273),AK273&lt;=T273),AK273=MIN(IF(AND(I273=0,ISNUMBER(AK273),AK273&lt;=T273),AK273,9E15),IF(AND(J273=0,ISNUMBER(AL273),AL273&lt;=T273),AL273,9E15),IF(AND(K273=0,ISNUMBER(AM273),AM273&lt;=T273),AM273,9E15))),"OR",IF(AND(AND(J273=0,ISNUMBER(AL273),AL273&lt;=T273),AL273=MIN(IF(AND(I273=0,ISNUMBER(AK273),AK273&lt;=T273),AK273,9E15),IF(AND(J273=0,ISNUMBER(AL273),AL273&lt;=T273),AL273,9E15),IF(AND(K273=0,ISNUMBER(AM273),AM273&lt;=T273),AM273,9E15))),"HP","FP")),IF(AR273=TRUE,"",IF(MAX(IF(AND(NOT(AND(AO273=1,AN273&lt;&gt;1)),ISNUMBER(AG273),AG273&lt;=T273),AS273,0),IF(AND(NOT(AND(AO273=1,AN273&lt;&gt;1)),ISNUMBER(AH273),AH273&lt;=T273),AT273,0),IF(AND(NOT(AND(AO273=1,AN273&lt;&gt;1)),ISNUMBER(AI273),AI273&lt;=T273),AU273,0),IF(AND(ISNUMBER(AJ273),AJ273&lt;=T273),AV273,0))&lt;=0,"",IF(AND(IF(AND(NOT(AND(AO273=1,AN273&lt;&gt;1)),ISNUMBER(AG273),AG273&lt;=T273),AS273,0)&gt;0,IF(AND(NOT(AND(AO273=1,AN273&lt;&gt;1)),ISNUMBER(AG273),AG273&lt;=T273),AS273,0)=MAX(IF(AND(NOT(AND(AO273=1,AN273&lt;&gt;1)),ISNUMBER(AG273),AG273&lt;=T273),AS273,0),IF(AND(NOT(AND(AO273=1,AN273&lt;&gt;1)),ISNUMBER(AH273),AH273&lt;=T273),AT273,0),IF(AND(NOT(AND(AO273=1,AN273&lt;&gt;1)),ISNUMBER(AI273),AI273&lt;=T273),AU273,0),IF(AND(ISNUMBER(AJ273),AJ273&lt;=T273),AV273,0))),"SW",IF(AND(IF(AND(NOT(AND(AO273=1,AN273&lt;&gt;1)),ISNUMBER(AH273),AH273&lt;=T273),AT273,0)&gt;0,IF(AND(NOT(AND(AO273=1,AN273&lt;&gt;1)),ISNUMBER(AH273),AH273&lt;=T273),AT273,0)=MAX(IF(AND(NOT(AND(AO273=1,AN273&lt;&gt;1)),ISNUMBER(AG273),AG273&lt;=T273),AS273,0),IF(AND(NOT(AND(AO273=1,AN273&lt;&gt;1)),ISNUMBER(AH273),AH273&lt;=T273),AT273,0),IF(AND(NOT(AND(AO273=1,AN273&lt;&gt;1)),ISNUMBER(AI273),AI273&lt;=T273),AU273,0),IF(AND(ISNUMBER(AJ273),AJ273&lt;=T273),AV273,0))),"AB",IF(AND(IF(AND(NOT(AND(AO273=1,AN273&lt;&gt;1)),ISNUMBER(AI273),AI273&lt;=T273),AU273,0)&gt;0,IF(AND(NOT(AND(AO273=1,AN273&lt;&gt;1)),ISNUMBER(AI273),AI273&lt;=T273),AU273,0)=MAX(IF(AND(NOT(AND(AO273=1,AN273&lt;&gt;1)),ISNUMBER(AG273),AG273&lt;=T273),AS273,0),IF(AND(NOT(AND(AO273=1,AN273&lt;&gt;1)),ISNUMBER(AH273),AH273&lt;=T273),AT273,0),IF(AND(NOT(AND(AO273=1,AN273&lt;&gt;1)),ISNUMBER(AI273),AI273&lt;=T273),AU273,0),IF(AND(ISNUMBER(AJ273),AJ273&lt;=T273),AV273,0))),"SC","Mag")))))))</f>
        <v/>
      </c>
    </row>
    <row r="274">
      <c r="A274" s="26" t="n">
        <v>269</v>
      </c>
      <c r="B274" s="27">
        <f>A274*10/60</f>
        <v/>
      </c>
      <c r="C274" s="22">
        <f>X273</f>
        <v/>
      </c>
      <c r="D274" s="27">
        <f>D273+W273</f>
        <v/>
      </c>
      <c r="E274" s="26">
        <f>E273+IF(U273="SW",1,0)</f>
        <v/>
      </c>
      <c r="F274" s="26">
        <f>F273+IF(U273="AB",1,0)</f>
        <v/>
      </c>
      <c r="G274" s="26">
        <f>G273+IF(U273="SC",1,0)</f>
        <v/>
      </c>
      <c r="H274" s="26">
        <f>H273+IF(U273="Mag",1,0)</f>
        <v/>
      </c>
      <c r="I274" s="26">
        <f>MAX(I273,IF(U273="OR",1,0))</f>
        <v/>
      </c>
      <c r="J274" s="26">
        <f>MAX(J273,IF(U273="HP",1,0))</f>
        <v/>
      </c>
      <c r="K274" s="26">
        <f>MAX(K273,IF(U273="FP",1,0))</f>
        <v/>
      </c>
      <c r="L274" s="26">
        <f>MAX(L273,IF(U273="transition",1,0))</f>
        <v/>
      </c>
      <c r="M274" s="28">
        <f>(Parameters!$B$9+(IF(E274=0,0,(Upgrades!$J$6+E274*Upgrades!$K$6)*POWER(Upgrades!$L$6,E274)))*(IF(Upgrades!$T$7="Solar Wind",POWER(Upgrades!$U$7,F274),1)*IF(Upgrades!$T$8="Solar Wind",POWER(Upgrades!$U$8,G274),1)*IF(Upgrades!$T$9="Solar Wind",POWER(Upgrades!$U$9,H274),1)*IF(Upgrades!$T$10="Solar Wind",POWER(Upgrades!$U$10,I274),1)*IF(Upgrades!$T$11="Solar Wind",POWER(Upgrades!$U$11,J274),1)*IF(Upgrades!$T$12="Solar Wind",POWER(Upgrades!$U$12,K274),1))+(IF(F274=0,0,(Upgrades!$J$7+F274*Upgrades!$K$7)*POWER(Upgrades!$L$7,F274)))*(IF(Upgrades!$T$6="Asteroid Belt",POWER(Upgrades!$U$6,E274),1)*IF(Upgrades!$T$8="Asteroid Belt",POWER(Upgrades!$U$8,G274),1)*IF(Upgrades!$T$9="Asteroid Belt",POWER(Upgrades!$U$9,H274),1)*IF(Upgrades!$T$10="Asteroid Belt",POWER(Upgrades!$U$10,I274),1)*IF(Upgrades!$T$11="Asteroid Belt",POWER(Upgrades!$U$11,J274),1)*IF(Upgrades!$T$12="Asteroid Belt",POWER(Upgrades!$U$12,K274),1))+(IF(G274=0,0,(Upgrades!$J$8+G274*Upgrades!$K$8)*POWER(Upgrades!$L$8,G274)))*(IF(Upgrades!$T$6="Stellar Coupling",POWER(Upgrades!$U$6,E274),1)*IF(Upgrades!$T$7="Stellar Coupling",POWER(Upgrades!$U$7,F274),1)*IF(Upgrades!$T$9="Stellar Coupling",POWER(Upgrades!$U$9,H274),1)*IF(Upgrades!$T$10="Stellar Coupling",POWER(Upgrades!$U$10,I274),1)*IF(Upgrades!$T$11="Stellar Coupling",POWER(Upgrades!$U$11,J274),1)*IF(Upgrades!$T$12="Stellar Coupling",POWER(Upgrades!$U$12,K274),1))+(IF(H274=0,0,(Upgrades!$J$9+H274*Upgrades!$K$9)*POWER(Upgrades!$L$9,H274)))*(IF(Upgrades!$T$6="Magnetosphere",POWER(Upgrades!$U$6,E274),1)*IF(Upgrades!$T$7="Magnetosphere",POWER(Upgrades!$U$7,F274),1)*IF(Upgrades!$T$8="Magnetosphere",POWER(Upgrades!$U$8,G274),1)*IF(Upgrades!$T$10="Magnetosphere",POWER(Upgrades!$U$10,I274),1)*IF(Upgrades!$T$11="Magnetosphere",POWER(Upgrades!$U$11,J274),1)*IF(Upgrades!$T$12="Magnetosphere",POWER(Upgrades!$U$12,K274),1))+(IF(I274=0,0,(Upgrades!$J$10+I274*Upgrades!$K$10)*POWER(Upgrades!$L$10,I274)))*(IF(Upgrades!$T$6="Orbital Resonance",POWER(Upgrades!$U$6,E274),1)*IF(Upgrades!$T$7="Orbital Resonance",POWER(Upgrades!$U$7,F274),1)*IF(Upgrades!$T$8="Orbital Resonance",POWER(Upgrades!$U$8,G274),1)*IF(Upgrades!$T$9="Orbital Resonance",POWER(Upgrades!$U$9,H274),1)*IF(Upgrades!$T$11="Orbital Resonance",POWER(Upgrades!$U$11,J274),1)*IF(Upgrades!$T$12="Orbital Resonance",POWER(Upgrades!$U$12,K274),1))+(IF(J274=0,0,(Upgrades!$J$11+J274*Upgrades!$K$11)*POWER(Upgrades!$L$11,J274)))*(IF(Upgrades!$T$6="Heliopause",POWER(Upgrades!$U$6,E274),1)*IF(Upgrades!$T$7="Heliopause",POWER(Upgrades!$U$7,F274),1)*IF(Upgrades!$T$8="Heliopause",POWER(Upgrades!$U$8,G274),1)*IF(Upgrades!$T$9="Heliopause",POWER(Upgrades!$U$9,H274),1)*IF(Upgrades!$T$10="Heliopause",POWER(Upgrades!$U$10,I274),1)*IF(Upgrades!$T$12="Heliopause",POWER(Upgrades!$U$12,K274),1))+(IF(K274=0,0,(Upgrades!$J$12+K274*Upgrades!$K$12)*POWER(Upgrades!$L$12,K274)))*(IF(Upgrades!$T$6="First Photons",POWER(Upgrades!$U$6,E274),1)*IF(Upgrades!$T$7="First Photons",POWER(Upgrades!$U$7,F274),1)*IF(Upgrades!$T$8="First Photons",POWER(Upgrades!$U$8,G274),1)*IF(Upgrades!$T$9="First Photons",POWER(Upgrades!$U$9,H274),1)*IF(Upgrades!$T$10="First Photons",POWER(Upgrades!$U$10,I274),1)*IF(Upgrades!$T$11="First Photons",POWER(Upgrades!$U$11,J274),1)))*POWER(Upgrades!$Q$6,E274)*POWER(Upgrades!$Q$7,F274)*POWER(Upgrades!$Q$8,G274)*POWER(Upgrades!$Q$9,H274)*POWER(Upgrades!$Q$10,I274)*POWER(Upgrades!$Q$11,J274)*POWER(Upgrades!$Q$12,K274)</f>
        <v/>
      </c>
      <c r="N274" s="28">
        <f>((IF(E274=0,0,(Upgrades!$G$6+E274*Upgrades!$H$6)*POWER(Upgrades!$I$6,E274)))*(IF(Upgrades!$T$7="Solar Wind",POWER(Upgrades!$U$7,F274),1)*IF(Upgrades!$T$8="Solar Wind",POWER(Upgrades!$U$8,G274),1)*IF(Upgrades!$T$9="Solar Wind",POWER(Upgrades!$U$9,H274),1)*IF(Upgrades!$T$10="Solar Wind",POWER(Upgrades!$U$10,I274),1)*IF(Upgrades!$T$11="Solar Wind",POWER(Upgrades!$U$11,J274),1)*IF(Upgrades!$T$12="Solar Wind",POWER(Upgrades!$U$12,K274),1))+(IF(F274=0,0,(Upgrades!$G$7+F274*Upgrades!$H$7)*POWER(Upgrades!$I$7,F274)))*(IF(Upgrades!$T$6="Asteroid Belt",POWER(Upgrades!$U$6,E274),1)*IF(Upgrades!$T$8="Asteroid Belt",POWER(Upgrades!$U$8,G274),1)*IF(Upgrades!$T$9="Asteroid Belt",POWER(Upgrades!$U$9,H274),1)*IF(Upgrades!$T$10="Asteroid Belt",POWER(Upgrades!$U$10,I274),1)*IF(Upgrades!$T$11="Asteroid Belt",POWER(Upgrades!$U$11,J274),1)*IF(Upgrades!$T$12="Asteroid Belt",POWER(Upgrades!$U$12,K274),1))+(IF(G274=0,0,(Upgrades!$G$8+G274*Upgrades!$H$8)*POWER(Upgrades!$I$8,G274)))*(IF(Upgrades!$T$6="Stellar Coupling",POWER(Upgrades!$U$6,E274),1)*IF(Upgrades!$T$7="Stellar Coupling",POWER(Upgrades!$U$7,F274),1)*IF(Upgrades!$T$9="Stellar Coupling",POWER(Upgrades!$U$9,H274),1)*IF(Upgrades!$T$10="Stellar Coupling",POWER(Upgrades!$U$10,I274),1)*IF(Upgrades!$T$11="Stellar Coupling",POWER(Upgrades!$U$11,J274),1)*IF(Upgrades!$T$12="Stellar Coupling",POWER(Upgrades!$U$12,K274),1))+(IF(H274=0,0,(Upgrades!$G$9+H274*Upgrades!$H$9)*POWER(Upgrades!$I$9,H274)))*(IF(Upgrades!$T$6="Magnetosphere",POWER(Upgrades!$U$6,E274),1)*IF(Upgrades!$T$7="Magnetosphere",POWER(Upgrades!$U$7,F274),1)*IF(Upgrades!$T$8="Magnetosphere",POWER(Upgrades!$U$8,G274),1)*IF(Upgrades!$T$10="Magnetosphere",POWER(Upgrades!$U$10,I274),1)*IF(Upgrades!$T$11="Magnetosphere",POWER(Upgrades!$U$11,J274),1)*IF(Upgrades!$T$12="Magnetosphere",POWER(Upgrades!$U$12,K274),1))+(IF(I274=0,0,(Upgrades!$G$10+I274*Upgrades!$H$10)*POWER(Upgrades!$I$10,I274)))*(IF(Upgrades!$T$6="Orbital Resonance",POWER(Upgrades!$U$6,E274),1)*IF(Upgrades!$T$7="Orbital Resonance",POWER(Upgrades!$U$7,F274),1)*IF(Upgrades!$T$8="Orbital Resonance",POWER(Upgrades!$U$8,G274),1)*IF(Upgrades!$T$9="Orbital Resonance",POWER(Upgrades!$U$9,H274),1)*IF(Upgrades!$T$11="Orbital Resonance",POWER(Upgrades!$U$11,J274),1)*IF(Upgrades!$T$12="Orbital Resonance",POWER(Upgrades!$U$12,K274),1))+(IF(J274=0,0,(Upgrades!$G$11+J274*Upgrades!$H$11)*POWER(Upgrades!$I$11,J274)))*(IF(Upgrades!$T$6="Heliopause",POWER(Upgrades!$U$6,E274),1)*IF(Upgrades!$T$7="Heliopause",POWER(Upgrades!$U$7,F274),1)*IF(Upgrades!$T$8="Heliopause",POWER(Upgrades!$U$8,G274),1)*IF(Upgrades!$T$9="Heliopause",POWER(Upgrades!$U$9,H274),1)*IF(Upgrades!$T$10="Heliopause",POWER(Upgrades!$U$10,I274),1)*IF(Upgrades!$T$12="Heliopause",POWER(Upgrades!$U$12,K274),1))+(IF(K274=0,0,(Upgrades!$G$12+K274*Upgrades!$H$12)*POWER(Upgrades!$I$12,K274)))*(IF(Upgrades!$T$6="First Photons",POWER(Upgrades!$U$6,E274),1)*IF(Upgrades!$T$7="First Photons",POWER(Upgrades!$U$7,F274),1)*IF(Upgrades!$T$8="First Photons",POWER(Upgrades!$U$8,G274),1)*IF(Upgrades!$T$9="First Photons",POWER(Upgrades!$U$9,H274),1)*IF(Upgrades!$T$10="First Photons",POWER(Upgrades!$U$10,I274),1)*IF(Upgrades!$T$11="First Photons",POWER(Upgrades!$U$11,J274),1)))*POWER(Upgrades!$P$6,E274)*POWER(Upgrades!$P$7,F274)*POWER(Upgrades!$P$8,G274)*POWER(Upgrades!$P$9,H274)*POWER(Upgrades!$P$10,I274)*POWER(Upgrades!$P$11,J274)*POWER(Upgrades!$P$12,K274)</f>
        <v/>
      </c>
      <c r="O274" s="28">
        <f>((IF(E274=0,0,(Upgrades!$M$6+E274*Upgrades!$N$6)*POWER(Upgrades!$O$6,E274)))*(IF(Upgrades!$T$7="Solar Wind",POWER(Upgrades!$U$7,F274),1)*IF(Upgrades!$T$8="Solar Wind",POWER(Upgrades!$U$8,G274),1)*IF(Upgrades!$T$9="Solar Wind",POWER(Upgrades!$U$9,H274),1)*IF(Upgrades!$T$10="Solar Wind",POWER(Upgrades!$U$10,I274),1)*IF(Upgrades!$T$11="Solar Wind",POWER(Upgrades!$U$11,J274),1)*IF(Upgrades!$T$12="Solar Wind",POWER(Upgrades!$U$12,K274),1))+(IF(F274=0,0,(Upgrades!$M$7+F274*Upgrades!$N$7)*POWER(Upgrades!$O$7,F274)))*(IF(Upgrades!$T$6="Asteroid Belt",POWER(Upgrades!$U$6,E274),1)*IF(Upgrades!$T$8="Asteroid Belt",POWER(Upgrades!$U$8,G274),1)*IF(Upgrades!$T$9="Asteroid Belt",POWER(Upgrades!$U$9,H274),1)*IF(Upgrades!$T$10="Asteroid Belt",POWER(Upgrades!$U$10,I274),1)*IF(Upgrades!$T$11="Asteroid Belt",POWER(Upgrades!$U$11,J274),1)*IF(Upgrades!$T$12="Asteroid Belt",POWER(Upgrades!$U$12,K274),1))+(IF(G274=0,0,(Upgrades!$M$8+G274*Upgrades!$N$8)*POWER(Upgrades!$O$8,G274)))*(IF(Upgrades!$T$6="Stellar Coupling",POWER(Upgrades!$U$6,E274),1)*IF(Upgrades!$T$7="Stellar Coupling",POWER(Upgrades!$U$7,F274),1)*IF(Upgrades!$T$9="Stellar Coupling",POWER(Upgrades!$U$9,H274),1)*IF(Upgrades!$T$10="Stellar Coupling",POWER(Upgrades!$U$10,I274),1)*IF(Upgrades!$T$11="Stellar Coupling",POWER(Upgrades!$U$11,J274),1)*IF(Upgrades!$T$12="Stellar Coupling",POWER(Upgrades!$U$12,K274),1))+(IF(H274=0,0,(Upgrades!$M$9+H274*Upgrades!$N$9)*POWER(Upgrades!$O$9,H274)))*(IF(Upgrades!$T$6="Magnetosphere",POWER(Upgrades!$U$6,E274),1)*IF(Upgrades!$T$7="Magnetosphere",POWER(Upgrades!$U$7,F274),1)*IF(Upgrades!$T$8="Magnetosphere",POWER(Upgrades!$U$8,G274),1)*IF(Upgrades!$T$10="Magnetosphere",POWER(Upgrades!$U$10,I274),1)*IF(Upgrades!$T$11="Magnetosphere",POWER(Upgrades!$U$11,J274),1)*IF(Upgrades!$T$12="Magnetosphere",POWER(Upgrades!$U$12,K274),1))+(IF(I274=0,0,(Upgrades!$M$10+I274*Upgrades!$N$10)*POWER(Upgrades!$O$10,I274)))*(IF(Upgrades!$T$6="Orbital Resonance",POWER(Upgrades!$U$6,E274),1)*IF(Upgrades!$T$7="Orbital Resonance",POWER(Upgrades!$U$7,F274),1)*IF(Upgrades!$T$8="Orbital Resonance",POWER(Upgrades!$U$8,G274),1)*IF(Upgrades!$T$9="Orbital Resonance",POWER(Upgrades!$U$9,H274),1)*IF(Upgrades!$T$11="Orbital Resonance",POWER(Upgrades!$U$11,J274),1)*IF(Upgrades!$T$12="Orbital Resonance",POWER(Upgrades!$U$12,K274),1))+(IF(J274=0,0,(Upgrades!$M$11+J274*Upgrades!$N$11)*POWER(Upgrades!$O$11,J274)))*(IF(Upgrades!$T$6="Heliopause",POWER(Upgrades!$U$6,E274),1)*IF(Upgrades!$T$7="Heliopause",POWER(Upgrades!$U$7,F274),1)*IF(Upgrades!$T$8="Heliopause",POWER(Upgrades!$U$8,G274),1)*IF(Upgrades!$T$9="Heliopause",POWER(Upgrades!$U$9,H274),1)*IF(Upgrades!$T$10="Heliopause",POWER(Upgrades!$U$10,I274),1)*IF(Upgrades!$T$12="Heliopause",POWER(Upgrades!$U$12,K274),1))+(IF(K274=0,0,(Upgrades!$M$12+K274*Upgrades!$N$12)*POWER(Upgrades!$O$12,K274)))*(IF(Upgrades!$T$6="First Photons",POWER(Upgrades!$U$6,E274),1)*IF(Upgrades!$T$7="First Photons",POWER(Upgrades!$U$7,F274),1)*IF(Upgrades!$T$8="First Photons",POWER(Upgrades!$U$8,G274),1)*IF(Upgrades!$T$9="First Photons",POWER(Upgrades!$U$9,H274),1)*IF(Upgrades!$T$10="First Photons",POWER(Upgrades!$U$10,I274),1)*IF(Upgrades!$T$11="First Photons",POWER(Upgrades!$U$11,J274),1)))*POWER(Upgrades!$R$6,E274)*POWER(Upgrades!$R$7,F274)*POWER(Upgrades!$R$8,G274)*POWER(Upgrades!$R$9,H274)*POWER(Upgrades!$R$10,I274)*POWER(Upgrades!$R$11,J274)*POWER(Upgrades!$R$12,K274)</f>
        <v/>
      </c>
      <c r="P274" s="27">
        <f>IF(L274=1,0,M274*Parameters!$B$10/60*Parameters!$B$11*10)</f>
        <v/>
      </c>
      <c r="Q274" s="27">
        <f>IF(L274=1,0,O274*M274*10)</f>
        <v/>
      </c>
      <c r="R274" s="27">
        <f>IF(L274=1,0,N274*10)</f>
        <v/>
      </c>
      <c r="S274" s="27">
        <f>P274+Q274+R274</f>
        <v/>
      </c>
      <c r="T274" s="22">
        <f>C274+S274</f>
        <v/>
      </c>
      <c r="U274" s="33">
        <f>AX274</f>
        <v/>
      </c>
      <c r="V274" s="22">
        <f>IF(U274="",0,IF(U274="transition",0,IF(U274="SW",AG274,IF(U274="AB",AH274,IF(U274="SC",AI274,IF(U274="Mag",AJ274,IF(U274="OR",AK274,IF(U274="HP",AL274,IF(U274="FP",AM274,0)))))))))</f>
        <v/>
      </c>
      <c r="W274" s="27">
        <f>IF(U274="OR",Upgrades!$F$10,IF(U274="HP",Upgrades!$F$11,IF(U274="transition",-Parameters!$B$18,0)))</f>
        <v/>
      </c>
      <c r="X274" s="22">
        <f>T274-V274</f>
        <v/>
      </c>
      <c r="Y274" s="30">
        <f>M274*Parameters!$B$10/60*Parameters!$B$11+O274*M274+N274</f>
        <v/>
      </c>
      <c r="Z274" s="34">
        <f>IF(U274="transition","→ Tier 2 (Stellar Neighborhood)",IF(U274="FP","First Photons — light begins, system quickens",IF(U274="HP","Heliopause acquired",IF(U274="OR","Orbital Resonance — passive multiplier active",IF(AND(AO274=1,L274=0,AN274&lt;&gt;1),"Cohesion ready (waiting on completionist upgrades)","")))))</f>
        <v/>
      </c>
      <c r="AA274" s="27">
        <f>(IF(E274=0,0,(Upgrades!$G$6+E274*Upgrades!$H$6)*POWER(Upgrades!$I$6,E274)))*(IF(Upgrades!$T$7="Solar Wind",POWER(Upgrades!$U$7,F274),1)*IF(Upgrades!$T$8="Solar Wind",POWER(Upgrades!$U$8,G274),1)*IF(Upgrades!$T$9="Solar Wind",POWER(Upgrades!$U$9,H274),1)*IF(Upgrades!$T$10="Solar Wind",POWER(Upgrades!$U$10,I274),1)*IF(Upgrades!$T$11="Solar Wind",POWER(Upgrades!$U$11,J274),1)*IF(Upgrades!$T$12="Solar Wind",POWER(Upgrades!$U$12,K274),1))*POWER(Upgrades!$P$6,E274)*POWER(Upgrades!$P$7,F274)*POWER(Upgrades!$P$8,G274)*POWER(Upgrades!$P$9,H274)*POWER(Upgrades!$P$10,I274)*POWER(Upgrades!$P$11,J274)*POWER(Upgrades!$P$12,K274)*60</f>
        <v/>
      </c>
      <c r="AB274" s="27">
        <f>(IF(F274=0,0,(Upgrades!$G$7+F274*Upgrades!$H$7)*POWER(Upgrades!$I$7,F274)))*(IF(Upgrades!$T$6="Asteroid Belt",POWER(Upgrades!$U$6,E274),1)*IF(Upgrades!$T$8="Asteroid Belt",POWER(Upgrades!$U$8,G274),1)*IF(Upgrades!$T$9="Asteroid Belt",POWER(Upgrades!$U$9,H274),1)*IF(Upgrades!$T$10="Asteroid Belt",POWER(Upgrades!$U$10,I274),1)*IF(Upgrades!$T$11="Asteroid Belt",POWER(Upgrades!$U$11,J274),1)*IF(Upgrades!$T$12="Asteroid Belt",POWER(Upgrades!$U$12,K274),1))*POWER(Upgrades!$P$6,E274)*POWER(Upgrades!$P$7,F274)*POWER(Upgrades!$P$8,G274)*POWER(Upgrades!$P$9,H274)*POWER(Upgrades!$P$10,I274)*POWER(Upgrades!$P$11,J274)*POWER(Upgrades!$P$12,K274)*60</f>
        <v/>
      </c>
      <c r="AC274" s="27">
        <f>(IF(G274=0,0,(Upgrades!$J$8+G274*Upgrades!$K$8)*POWER(Upgrades!$L$8,G274)))*(IF(Upgrades!$T$6="Stellar Coupling",POWER(Upgrades!$U$6,E274),1)*IF(Upgrades!$T$7="Stellar Coupling",POWER(Upgrades!$U$7,F274),1)*IF(Upgrades!$T$9="Stellar Coupling",POWER(Upgrades!$U$9,H274),1)*IF(Upgrades!$T$10="Stellar Coupling",POWER(Upgrades!$U$10,I274),1)*IF(Upgrades!$T$11="Stellar Coupling",POWER(Upgrades!$U$11,J274),1)*IF(Upgrades!$T$12="Stellar Coupling",POWER(Upgrades!$U$12,K274),1))*POWER(Upgrades!$Q$6,E274)*POWER(Upgrades!$Q$7,F274)*POWER(Upgrades!$Q$8,G274)*POWER(Upgrades!$Q$9,H274)*POWER(Upgrades!$Q$10,I274)*POWER(Upgrades!$Q$11,J274)*POWER(Upgrades!$Q$12,K274)*Parameters!$B$10*Parameters!$B$11</f>
        <v/>
      </c>
      <c r="AD274" s="27">
        <f>(IF(H274=0,0,(Upgrades!$G$9+H274*Upgrades!$H$9)*POWER(Upgrades!$I$9,H274)))*(IF(Upgrades!$T$6="Magnetosphere",POWER(Upgrades!$U$6,E274),1)*IF(Upgrades!$T$7="Magnetosphere",POWER(Upgrades!$U$7,F274),1)*IF(Upgrades!$T$8="Magnetosphere",POWER(Upgrades!$U$8,G274),1)*IF(Upgrades!$T$10="Magnetosphere",POWER(Upgrades!$U$10,I274),1)*IF(Upgrades!$T$11="Magnetosphere",POWER(Upgrades!$U$11,J274),1)*IF(Upgrades!$T$12="Magnetosphere",POWER(Upgrades!$U$12,K274),1))*POWER(Upgrades!$P$6,E274)*POWER(Upgrades!$P$7,F274)*POWER(Upgrades!$P$8,G274)*POWER(Upgrades!$P$9,H274)*POWER(Upgrades!$P$10,I274)*POWER(Upgrades!$P$11,J274)*POWER(Upgrades!$P$12,K274)*60</f>
        <v/>
      </c>
      <c r="AE274" s="27">
        <f>(IF(K274=0,0,(Upgrades!$G$12+K274*Upgrades!$H$12)*POWER(Upgrades!$I$12,K274)))*(IF(Upgrades!$T$6="First Photons",POWER(Upgrades!$U$6,E274),1)*IF(Upgrades!$T$7="First Photons",POWER(Upgrades!$U$7,F274),1)*IF(Upgrades!$T$8="First Photons",POWER(Upgrades!$U$8,G274),1)*IF(Upgrades!$T$9="First Photons",POWER(Upgrades!$U$9,H274),1)*IF(Upgrades!$T$10="First Photons",POWER(Upgrades!$U$10,I274),1)*IF(Upgrades!$T$11="First Photons",POWER(Upgrades!$U$11,J274),1))*POWER(Upgrades!$P$6,E274)*POWER(Upgrades!$P$7,F274)*POWER(Upgrades!$P$8,G274)*POWER(Upgrades!$P$9,H274)*POWER(Upgrades!$P$10,I274)*POWER(Upgrades!$P$11,J274)*POWER(Upgrades!$P$12,K274)*60</f>
        <v/>
      </c>
      <c r="AF274" s="27">
        <f>Parameters!$B$9*POWER(Upgrades!$Q$6,E274)*POWER(Upgrades!$Q$7,F274)*POWER(Upgrades!$Q$8,G274)*POWER(Upgrades!$Q$9,H274)*POWER(Upgrades!$Q$10,I274)*POWER(Upgrades!$Q$11,J274)*POWER(Upgrades!$Q$12,K274)*(Parameters!$B$10*Parameters!$B$11+O274*60)</f>
        <v/>
      </c>
      <c r="AG274" s="22">
        <f>IF(E274&gt;=Upgrades!$E$6,"",Upgrades!$C$6*POWER(Upgrades!$D$6,E274))</f>
        <v/>
      </c>
      <c r="AH274" s="22">
        <f>IF(F274&gt;=Upgrades!$E$7,"",Upgrades!$C$7*POWER(Upgrades!$D$7,F274))</f>
        <v/>
      </c>
      <c r="AI274" s="22">
        <f>IF(G274&gt;=Upgrades!$E$8,"",Upgrades!$C$8*POWER(Upgrades!$D$8,G274))</f>
        <v/>
      </c>
      <c r="AJ274" s="22">
        <f>IF(H274&gt;=Upgrades!$E$9,"",Upgrades!$C$9*POWER(Upgrades!$D$9,H274))</f>
        <v/>
      </c>
      <c r="AK274" s="22">
        <f>IF(I274&gt;=Upgrades!$E$10,"",Upgrades!$C$10*POWER(Upgrades!$D$10,I274))</f>
        <v/>
      </c>
      <c r="AL274" s="22">
        <f>IF(J274&gt;=Upgrades!$E$11,"",Upgrades!$C$11*POWER(Upgrades!$D$11,J274))</f>
        <v/>
      </c>
      <c r="AM274" s="22">
        <f>IF(K274&gt;=Upgrades!$E$12,"",Upgrades!$C$12*POWER(Upgrades!$D$12,K274))</f>
        <v/>
      </c>
      <c r="AN274" s="26">
        <f>IF(AND(D274&gt;=Parameters!$B$18,(H274&gt;=Upgrades!$E$9)*(K274&gt;=Upgrades!$E$12)=1,L274=0),1,"")</f>
        <v/>
      </c>
      <c r="AO274" s="26">
        <f>IF(AND(D274&gt;=Parameters!$B$18,L274=0),1,"")</f>
        <v/>
      </c>
      <c r="AP274" s="22">
        <f>MIN(IF(ISNUMBER(AK274),AK274,9E15),IF(ISNUMBER(AL274),AL274,9E15),IF(ISNUMBER(AM274),AM274,9E15))</f>
        <v/>
      </c>
      <c r="AQ274" s="22">
        <f>MIN(IF(ISNUMBER(AG274),AG274,9E15),IF(ISNUMBER(AH274),AH274,9E15),IF(ISNUMBER(AI274),AI274,9E15),IF(ISNUMBER(AJ274),AJ274,9E15))</f>
        <v/>
      </c>
      <c r="AR274" s="29">
        <f>IF(AW274&gt;Parameters!$B$21*(MAX(IF(AND(NOT(AND(AO274=1,AN274&lt;&gt;1)),ISNUMBER(AG274),AG274&lt;=T274),AS274,0),IF(AND(NOT(AND(AO274=1,AN274&lt;&gt;1)),ISNUMBER(AH274),AH274&lt;=T274),AT274,0),IF(AND(NOT(AND(AO274=1,AN274&lt;&gt;1)),ISNUMBER(AI274),AI274&lt;=T274),AU274,0),IF(AND(ISNUMBER(AJ274),AJ274&lt;=T274),AV274,0))),TRUE,FALSE)</f>
        <v/>
      </c>
      <c r="AS274" s="32">
        <f>IFERROR(Upgrades!$H$6*(POWER(Upgrades!$P$6,E274)*POWER(Upgrades!$P$7,F274)*POWER(Upgrades!$P$8,G274)*POWER(Upgrades!$P$9,H274)*POWER(Upgrades!$P$10,I274)*POWER(Upgrades!$P$11,J274)*POWER(Upgrades!$P$12,K274))*(IF(Upgrades!$T$7="Solar Wind",POWER(Upgrades!$U$7,F274),1)*IF(Upgrades!$T$8="Solar Wind",POWER(Upgrades!$U$8,G274),1)*IF(Upgrades!$T$9="Solar Wind",POWER(Upgrades!$U$9,H274),1)*IF(Upgrades!$T$10="Solar Wind",POWER(Upgrades!$U$10,I274),1)*IF(Upgrades!$T$11="Solar Wind",POWER(Upgrades!$U$11,J274),1)*IF(Upgrades!$T$12="Solar Wind",POWER(Upgrades!$U$12,K274),1))/AG274,0)</f>
        <v/>
      </c>
      <c r="AT274" s="32">
        <f>IFERROR(Upgrades!$H$7*(POWER(Upgrades!$P$6,E274)*POWER(Upgrades!$P$7,F274)*POWER(Upgrades!$P$8,G274)*POWER(Upgrades!$P$9,H274)*POWER(Upgrades!$P$10,I274)*POWER(Upgrades!$P$11,J274)*POWER(Upgrades!$P$12,K274))*(IF(Upgrades!$T$6="Asteroid Belt",POWER(Upgrades!$U$6,E274),1)*IF(Upgrades!$T$8="Asteroid Belt",POWER(Upgrades!$U$8,G274),1)*IF(Upgrades!$T$9="Asteroid Belt",POWER(Upgrades!$U$9,H274),1)*IF(Upgrades!$T$10="Asteroid Belt",POWER(Upgrades!$U$10,I274),1)*IF(Upgrades!$T$11="Asteroid Belt",POWER(Upgrades!$U$11,J274),1)*IF(Upgrades!$T$12="Asteroid Belt",POWER(Upgrades!$U$12,K274),1))/AH274,0)</f>
        <v/>
      </c>
      <c r="AU274" s="32">
        <f>IFERROR(Upgrades!$K$8*(POWER(Upgrades!$Q$6,E274)*POWER(Upgrades!$Q$7,F274)*POWER(Upgrades!$Q$8,G274)*POWER(Upgrades!$Q$9,H274)*POWER(Upgrades!$Q$10,I274)*POWER(Upgrades!$Q$11,J274)*POWER(Upgrades!$Q$12,K274))*(IF(Upgrades!$T$6="Stellar Coupling",POWER(Upgrades!$U$6,E274),1)*IF(Upgrades!$T$7="Stellar Coupling",POWER(Upgrades!$U$7,F274),1)*IF(Upgrades!$T$9="Stellar Coupling",POWER(Upgrades!$U$9,H274),1)*IF(Upgrades!$T$10="Stellar Coupling",POWER(Upgrades!$U$10,I274),1)*IF(Upgrades!$T$11="Stellar Coupling",POWER(Upgrades!$U$11,J274),1)*IF(Upgrades!$T$12="Stellar Coupling",POWER(Upgrades!$U$12,K274),1))*Parameters!$B$10*Parameters!$B$11/60/AI274,0)</f>
        <v/>
      </c>
      <c r="AV274" s="32">
        <f>IFERROR(Upgrades!$H$9*(POWER(Upgrades!$P$6,E274)*POWER(Upgrades!$P$7,F274)*POWER(Upgrades!$P$8,G274)*POWER(Upgrades!$P$9,H274)*POWER(Upgrades!$P$10,I274)*POWER(Upgrades!$P$11,J274)*POWER(Upgrades!$P$12,K274))*(IF(Upgrades!$T$6="Magnetosphere",POWER(Upgrades!$U$6,E274),1)*IF(Upgrades!$T$7="Magnetosphere",POWER(Upgrades!$U$7,F274),1)*IF(Upgrades!$T$8="Magnetosphere",POWER(Upgrades!$U$8,G274),1)*IF(Upgrades!$T$10="Magnetosphere",POWER(Upgrades!$U$10,I274),1)*IF(Upgrades!$T$11="Magnetosphere",POWER(Upgrades!$U$11,J274),1)*IF(Upgrades!$T$12="Magnetosphere",POWER(Upgrades!$U$12,K274),1))/AJ274,0)</f>
        <v/>
      </c>
      <c r="AW274" s="32">
        <f>MAX(IF(I274&gt;0,0,IFERROR(0.25*N274/Upgrades!$C$10,0)),IF(J274&gt;0,0,IFERROR(0.5*((IF(G274=0,0,(Upgrades!$J$8+G274*Upgrades!$K$8)*POWER(Upgrades!$L$8,G274)))*(IF(Upgrades!$T$6="Stellar Coupling",POWER(Upgrades!$U$6,E274),1)*IF(Upgrades!$T$7="Stellar Coupling",POWER(Upgrades!$U$7,F274),1)*IF(Upgrades!$T$9="Stellar Coupling",POWER(Upgrades!$U$9,H274),1)*IF(Upgrades!$T$10="Stellar Coupling",POWER(Upgrades!$U$10,I274),1)*IF(Upgrades!$T$11="Stellar Coupling",POWER(Upgrades!$U$11,J274),1)*IF(Upgrades!$T$12="Stellar Coupling",POWER(Upgrades!$U$12,K274),1))*(POWER(Upgrades!$Q$6,E274)*POWER(Upgrades!$Q$7,F274)*POWER(Upgrades!$Q$8,G274)*POWER(Upgrades!$Q$9,H274)*POWER(Upgrades!$Q$10,I274)*POWER(Upgrades!$Q$11,J274)*POWER(Upgrades!$Q$12,K274))*Parameters!$B$10*Parameters!$B$11/60)/Upgrades!$C$11,0)),IF(K274&gt;0,0,IFERROR((1.0*(POWER(Upgrades!$P$6,E274)*POWER(Upgrades!$P$7,F274)*POWER(Upgrades!$P$8,G274)*POWER(Upgrades!$P$9,H274)*POWER(Upgrades!$P$10,I274)*POWER(Upgrades!$P$11,J274)*POWER(Upgrades!$P$12,K274))+0.20*M274*Parameters!$B$10*Parameters!$B$11/60)/Upgrades!$C$12,0)),IF(AND(ISNUMBER(AG274),AG274&gt;T274),AS274,0),IF(AND(ISNUMBER(AH274),AH274&gt;T274),AT274,0),IF(AND(ISNUMBER(AI274),AI274&gt;T274),AU274,0),IF(AND(ISNUMBER(AJ274),AJ274&gt;T274),AV274,0))</f>
        <v/>
      </c>
      <c r="AX274" s="29">
        <f>IF(AN274=1,"transition",IF(MIN(IF(AND(I274=0,ISNUMBER(AK274),AK274&lt;=T274),AK274,9E15),IF(AND(J274=0,ISNUMBER(AL274),AL274&lt;=T274),AL274,9E15),IF(AND(K274=0,ISNUMBER(AM274),AM274&lt;=T274),AM274,9E15))&lt;9E15,IF(AND(AND(I274=0,ISNUMBER(AK274),AK274&lt;=T274),AK274=MIN(IF(AND(I274=0,ISNUMBER(AK274),AK274&lt;=T274),AK274,9E15),IF(AND(J274=0,ISNUMBER(AL274),AL274&lt;=T274),AL274,9E15),IF(AND(K274=0,ISNUMBER(AM274),AM274&lt;=T274),AM274,9E15))),"OR",IF(AND(AND(J274=0,ISNUMBER(AL274),AL274&lt;=T274),AL274=MIN(IF(AND(I274=0,ISNUMBER(AK274),AK274&lt;=T274),AK274,9E15),IF(AND(J274=0,ISNUMBER(AL274),AL274&lt;=T274),AL274,9E15),IF(AND(K274=0,ISNUMBER(AM274),AM274&lt;=T274),AM274,9E15))),"HP","FP")),IF(AR274=TRUE,"",IF(MAX(IF(AND(NOT(AND(AO274=1,AN274&lt;&gt;1)),ISNUMBER(AG274),AG274&lt;=T274),AS274,0),IF(AND(NOT(AND(AO274=1,AN274&lt;&gt;1)),ISNUMBER(AH274),AH274&lt;=T274),AT274,0),IF(AND(NOT(AND(AO274=1,AN274&lt;&gt;1)),ISNUMBER(AI274),AI274&lt;=T274),AU274,0),IF(AND(ISNUMBER(AJ274),AJ274&lt;=T274),AV274,0))&lt;=0,"",IF(AND(IF(AND(NOT(AND(AO274=1,AN274&lt;&gt;1)),ISNUMBER(AG274),AG274&lt;=T274),AS274,0)&gt;0,IF(AND(NOT(AND(AO274=1,AN274&lt;&gt;1)),ISNUMBER(AG274),AG274&lt;=T274),AS274,0)=MAX(IF(AND(NOT(AND(AO274=1,AN274&lt;&gt;1)),ISNUMBER(AG274),AG274&lt;=T274),AS274,0),IF(AND(NOT(AND(AO274=1,AN274&lt;&gt;1)),ISNUMBER(AH274),AH274&lt;=T274),AT274,0),IF(AND(NOT(AND(AO274=1,AN274&lt;&gt;1)),ISNUMBER(AI274),AI274&lt;=T274),AU274,0),IF(AND(ISNUMBER(AJ274),AJ274&lt;=T274),AV274,0))),"SW",IF(AND(IF(AND(NOT(AND(AO274=1,AN274&lt;&gt;1)),ISNUMBER(AH274),AH274&lt;=T274),AT274,0)&gt;0,IF(AND(NOT(AND(AO274=1,AN274&lt;&gt;1)),ISNUMBER(AH274),AH274&lt;=T274),AT274,0)=MAX(IF(AND(NOT(AND(AO274=1,AN274&lt;&gt;1)),ISNUMBER(AG274),AG274&lt;=T274),AS274,0),IF(AND(NOT(AND(AO274=1,AN274&lt;&gt;1)),ISNUMBER(AH274),AH274&lt;=T274),AT274,0),IF(AND(NOT(AND(AO274=1,AN274&lt;&gt;1)),ISNUMBER(AI274),AI274&lt;=T274),AU274,0),IF(AND(ISNUMBER(AJ274),AJ274&lt;=T274),AV274,0))),"AB",IF(AND(IF(AND(NOT(AND(AO274=1,AN274&lt;&gt;1)),ISNUMBER(AI274),AI274&lt;=T274),AU274,0)&gt;0,IF(AND(NOT(AND(AO274=1,AN274&lt;&gt;1)),ISNUMBER(AI274),AI274&lt;=T274),AU274,0)=MAX(IF(AND(NOT(AND(AO274=1,AN274&lt;&gt;1)),ISNUMBER(AG274),AG274&lt;=T274),AS274,0),IF(AND(NOT(AND(AO274=1,AN274&lt;&gt;1)),ISNUMBER(AH274),AH274&lt;=T274),AT274,0),IF(AND(NOT(AND(AO274=1,AN274&lt;&gt;1)),ISNUMBER(AI274),AI274&lt;=T274),AU274,0),IF(AND(ISNUMBER(AJ274),AJ274&lt;=T274),AV274,0))),"SC","Mag")))))))</f>
        <v/>
      </c>
    </row>
    <row r="275">
      <c r="A275" s="26" t="n">
        <v>270</v>
      </c>
      <c r="B275" s="27">
        <f>A275*10/60</f>
        <v/>
      </c>
      <c r="C275" s="22">
        <f>X274</f>
        <v/>
      </c>
      <c r="D275" s="27">
        <f>D274+W274</f>
        <v/>
      </c>
      <c r="E275" s="26">
        <f>E274+IF(U274="SW",1,0)</f>
        <v/>
      </c>
      <c r="F275" s="26">
        <f>F274+IF(U274="AB",1,0)</f>
        <v/>
      </c>
      <c r="G275" s="26">
        <f>G274+IF(U274="SC",1,0)</f>
        <v/>
      </c>
      <c r="H275" s="26">
        <f>H274+IF(U274="Mag",1,0)</f>
        <v/>
      </c>
      <c r="I275" s="26">
        <f>MAX(I274,IF(U274="OR",1,0))</f>
        <v/>
      </c>
      <c r="J275" s="26">
        <f>MAX(J274,IF(U274="HP",1,0))</f>
        <v/>
      </c>
      <c r="K275" s="26">
        <f>MAX(K274,IF(U274="FP",1,0))</f>
        <v/>
      </c>
      <c r="L275" s="26">
        <f>MAX(L274,IF(U274="transition",1,0))</f>
        <v/>
      </c>
      <c r="M275" s="28">
        <f>(Parameters!$B$9+(IF(E275=0,0,(Upgrades!$J$6+E275*Upgrades!$K$6)*POWER(Upgrades!$L$6,E275)))*(IF(Upgrades!$T$7="Solar Wind",POWER(Upgrades!$U$7,F275),1)*IF(Upgrades!$T$8="Solar Wind",POWER(Upgrades!$U$8,G275),1)*IF(Upgrades!$T$9="Solar Wind",POWER(Upgrades!$U$9,H275),1)*IF(Upgrades!$T$10="Solar Wind",POWER(Upgrades!$U$10,I275),1)*IF(Upgrades!$T$11="Solar Wind",POWER(Upgrades!$U$11,J275),1)*IF(Upgrades!$T$12="Solar Wind",POWER(Upgrades!$U$12,K275),1))+(IF(F275=0,0,(Upgrades!$J$7+F275*Upgrades!$K$7)*POWER(Upgrades!$L$7,F275)))*(IF(Upgrades!$T$6="Asteroid Belt",POWER(Upgrades!$U$6,E275),1)*IF(Upgrades!$T$8="Asteroid Belt",POWER(Upgrades!$U$8,G275),1)*IF(Upgrades!$T$9="Asteroid Belt",POWER(Upgrades!$U$9,H275),1)*IF(Upgrades!$T$10="Asteroid Belt",POWER(Upgrades!$U$10,I275),1)*IF(Upgrades!$T$11="Asteroid Belt",POWER(Upgrades!$U$11,J275),1)*IF(Upgrades!$T$12="Asteroid Belt",POWER(Upgrades!$U$12,K275),1))+(IF(G275=0,0,(Upgrades!$J$8+G275*Upgrades!$K$8)*POWER(Upgrades!$L$8,G275)))*(IF(Upgrades!$T$6="Stellar Coupling",POWER(Upgrades!$U$6,E275),1)*IF(Upgrades!$T$7="Stellar Coupling",POWER(Upgrades!$U$7,F275),1)*IF(Upgrades!$T$9="Stellar Coupling",POWER(Upgrades!$U$9,H275),1)*IF(Upgrades!$T$10="Stellar Coupling",POWER(Upgrades!$U$10,I275),1)*IF(Upgrades!$T$11="Stellar Coupling",POWER(Upgrades!$U$11,J275),1)*IF(Upgrades!$T$12="Stellar Coupling",POWER(Upgrades!$U$12,K275),1))+(IF(H275=0,0,(Upgrades!$J$9+H275*Upgrades!$K$9)*POWER(Upgrades!$L$9,H275)))*(IF(Upgrades!$T$6="Magnetosphere",POWER(Upgrades!$U$6,E275),1)*IF(Upgrades!$T$7="Magnetosphere",POWER(Upgrades!$U$7,F275),1)*IF(Upgrades!$T$8="Magnetosphere",POWER(Upgrades!$U$8,G275),1)*IF(Upgrades!$T$10="Magnetosphere",POWER(Upgrades!$U$10,I275),1)*IF(Upgrades!$T$11="Magnetosphere",POWER(Upgrades!$U$11,J275),1)*IF(Upgrades!$T$12="Magnetosphere",POWER(Upgrades!$U$12,K275),1))+(IF(I275=0,0,(Upgrades!$J$10+I275*Upgrades!$K$10)*POWER(Upgrades!$L$10,I275)))*(IF(Upgrades!$T$6="Orbital Resonance",POWER(Upgrades!$U$6,E275),1)*IF(Upgrades!$T$7="Orbital Resonance",POWER(Upgrades!$U$7,F275),1)*IF(Upgrades!$T$8="Orbital Resonance",POWER(Upgrades!$U$8,G275),1)*IF(Upgrades!$T$9="Orbital Resonance",POWER(Upgrades!$U$9,H275),1)*IF(Upgrades!$T$11="Orbital Resonance",POWER(Upgrades!$U$11,J275),1)*IF(Upgrades!$T$12="Orbital Resonance",POWER(Upgrades!$U$12,K275),1))+(IF(J275=0,0,(Upgrades!$J$11+J275*Upgrades!$K$11)*POWER(Upgrades!$L$11,J275)))*(IF(Upgrades!$T$6="Heliopause",POWER(Upgrades!$U$6,E275),1)*IF(Upgrades!$T$7="Heliopause",POWER(Upgrades!$U$7,F275),1)*IF(Upgrades!$T$8="Heliopause",POWER(Upgrades!$U$8,G275),1)*IF(Upgrades!$T$9="Heliopause",POWER(Upgrades!$U$9,H275),1)*IF(Upgrades!$T$10="Heliopause",POWER(Upgrades!$U$10,I275),1)*IF(Upgrades!$T$12="Heliopause",POWER(Upgrades!$U$12,K275),1))+(IF(K275=0,0,(Upgrades!$J$12+K275*Upgrades!$K$12)*POWER(Upgrades!$L$12,K275)))*(IF(Upgrades!$T$6="First Photons",POWER(Upgrades!$U$6,E275),1)*IF(Upgrades!$T$7="First Photons",POWER(Upgrades!$U$7,F275),1)*IF(Upgrades!$T$8="First Photons",POWER(Upgrades!$U$8,G275),1)*IF(Upgrades!$T$9="First Photons",POWER(Upgrades!$U$9,H275),1)*IF(Upgrades!$T$10="First Photons",POWER(Upgrades!$U$10,I275),1)*IF(Upgrades!$T$11="First Photons",POWER(Upgrades!$U$11,J275),1)))*POWER(Upgrades!$Q$6,E275)*POWER(Upgrades!$Q$7,F275)*POWER(Upgrades!$Q$8,G275)*POWER(Upgrades!$Q$9,H275)*POWER(Upgrades!$Q$10,I275)*POWER(Upgrades!$Q$11,J275)*POWER(Upgrades!$Q$12,K275)</f>
        <v/>
      </c>
      <c r="N275" s="28">
        <f>((IF(E275=0,0,(Upgrades!$G$6+E275*Upgrades!$H$6)*POWER(Upgrades!$I$6,E275)))*(IF(Upgrades!$T$7="Solar Wind",POWER(Upgrades!$U$7,F275),1)*IF(Upgrades!$T$8="Solar Wind",POWER(Upgrades!$U$8,G275),1)*IF(Upgrades!$T$9="Solar Wind",POWER(Upgrades!$U$9,H275),1)*IF(Upgrades!$T$10="Solar Wind",POWER(Upgrades!$U$10,I275),1)*IF(Upgrades!$T$11="Solar Wind",POWER(Upgrades!$U$11,J275),1)*IF(Upgrades!$T$12="Solar Wind",POWER(Upgrades!$U$12,K275),1))+(IF(F275=0,0,(Upgrades!$G$7+F275*Upgrades!$H$7)*POWER(Upgrades!$I$7,F275)))*(IF(Upgrades!$T$6="Asteroid Belt",POWER(Upgrades!$U$6,E275),1)*IF(Upgrades!$T$8="Asteroid Belt",POWER(Upgrades!$U$8,G275),1)*IF(Upgrades!$T$9="Asteroid Belt",POWER(Upgrades!$U$9,H275),1)*IF(Upgrades!$T$10="Asteroid Belt",POWER(Upgrades!$U$10,I275),1)*IF(Upgrades!$T$11="Asteroid Belt",POWER(Upgrades!$U$11,J275),1)*IF(Upgrades!$T$12="Asteroid Belt",POWER(Upgrades!$U$12,K275),1))+(IF(G275=0,0,(Upgrades!$G$8+G275*Upgrades!$H$8)*POWER(Upgrades!$I$8,G275)))*(IF(Upgrades!$T$6="Stellar Coupling",POWER(Upgrades!$U$6,E275),1)*IF(Upgrades!$T$7="Stellar Coupling",POWER(Upgrades!$U$7,F275),1)*IF(Upgrades!$T$9="Stellar Coupling",POWER(Upgrades!$U$9,H275),1)*IF(Upgrades!$T$10="Stellar Coupling",POWER(Upgrades!$U$10,I275),1)*IF(Upgrades!$T$11="Stellar Coupling",POWER(Upgrades!$U$11,J275),1)*IF(Upgrades!$T$12="Stellar Coupling",POWER(Upgrades!$U$12,K275),1))+(IF(H275=0,0,(Upgrades!$G$9+H275*Upgrades!$H$9)*POWER(Upgrades!$I$9,H275)))*(IF(Upgrades!$T$6="Magnetosphere",POWER(Upgrades!$U$6,E275),1)*IF(Upgrades!$T$7="Magnetosphere",POWER(Upgrades!$U$7,F275),1)*IF(Upgrades!$T$8="Magnetosphere",POWER(Upgrades!$U$8,G275),1)*IF(Upgrades!$T$10="Magnetosphere",POWER(Upgrades!$U$10,I275),1)*IF(Upgrades!$T$11="Magnetosphere",POWER(Upgrades!$U$11,J275),1)*IF(Upgrades!$T$12="Magnetosphere",POWER(Upgrades!$U$12,K275),1))+(IF(I275=0,0,(Upgrades!$G$10+I275*Upgrades!$H$10)*POWER(Upgrades!$I$10,I275)))*(IF(Upgrades!$T$6="Orbital Resonance",POWER(Upgrades!$U$6,E275),1)*IF(Upgrades!$T$7="Orbital Resonance",POWER(Upgrades!$U$7,F275),1)*IF(Upgrades!$T$8="Orbital Resonance",POWER(Upgrades!$U$8,G275),1)*IF(Upgrades!$T$9="Orbital Resonance",POWER(Upgrades!$U$9,H275),1)*IF(Upgrades!$T$11="Orbital Resonance",POWER(Upgrades!$U$11,J275),1)*IF(Upgrades!$T$12="Orbital Resonance",POWER(Upgrades!$U$12,K275),1))+(IF(J275=0,0,(Upgrades!$G$11+J275*Upgrades!$H$11)*POWER(Upgrades!$I$11,J275)))*(IF(Upgrades!$T$6="Heliopause",POWER(Upgrades!$U$6,E275),1)*IF(Upgrades!$T$7="Heliopause",POWER(Upgrades!$U$7,F275),1)*IF(Upgrades!$T$8="Heliopause",POWER(Upgrades!$U$8,G275),1)*IF(Upgrades!$T$9="Heliopause",POWER(Upgrades!$U$9,H275),1)*IF(Upgrades!$T$10="Heliopause",POWER(Upgrades!$U$10,I275),1)*IF(Upgrades!$T$12="Heliopause",POWER(Upgrades!$U$12,K275),1))+(IF(K275=0,0,(Upgrades!$G$12+K275*Upgrades!$H$12)*POWER(Upgrades!$I$12,K275)))*(IF(Upgrades!$T$6="First Photons",POWER(Upgrades!$U$6,E275),1)*IF(Upgrades!$T$7="First Photons",POWER(Upgrades!$U$7,F275),1)*IF(Upgrades!$T$8="First Photons",POWER(Upgrades!$U$8,G275),1)*IF(Upgrades!$T$9="First Photons",POWER(Upgrades!$U$9,H275),1)*IF(Upgrades!$T$10="First Photons",POWER(Upgrades!$U$10,I275),1)*IF(Upgrades!$T$11="First Photons",POWER(Upgrades!$U$11,J275),1)))*POWER(Upgrades!$P$6,E275)*POWER(Upgrades!$P$7,F275)*POWER(Upgrades!$P$8,G275)*POWER(Upgrades!$P$9,H275)*POWER(Upgrades!$P$10,I275)*POWER(Upgrades!$P$11,J275)*POWER(Upgrades!$P$12,K275)</f>
        <v/>
      </c>
      <c r="O275" s="28">
        <f>((IF(E275=0,0,(Upgrades!$M$6+E275*Upgrades!$N$6)*POWER(Upgrades!$O$6,E275)))*(IF(Upgrades!$T$7="Solar Wind",POWER(Upgrades!$U$7,F275),1)*IF(Upgrades!$T$8="Solar Wind",POWER(Upgrades!$U$8,G275),1)*IF(Upgrades!$T$9="Solar Wind",POWER(Upgrades!$U$9,H275),1)*IF(Upgrades!$T$10="Solar Wind",POWER(Upgrades!$U$10,I275),1)*IF(Upgrades!$T$11="Solar Wind",POWER(Upgrades!$U$11,J275),1)*IF(Upgrades!$T$12="Solar Wind",POWER(Upgrades!$U$12,K275),1))+(IF(F275=0,0,(Upgrades!$M$7+F275*Upgrades!$N$7)*POWER(Upgrades!$O$7,F275)))*(IF(Upgrades!$T$6="Asteroid Belt",POWER(Upgrades!$U$6,E275),1)*IF(Upgrades!$T$8="Asteroid Belt",POWER(Upgrades!$U$8,G275),1)*IF(Upgrades!$T$9="Asteroid Belt",POWER(Upgrades!$U$9,H275),1)*IF(Upgrades!$T$10="Asteroid Belt",POWER(Upgrades!$U$10,I275),1)*IF(Upgrades!$T$11="Asteroid Belt",POWER(Upgrades!$U$11,J275),1)*IF(Upgrades!$T$12="Asteroid Belt",POWER(Upgrades!$U$12,K275),1))+(IF(G275=0,0,(Upgrades!$M$8+G275*Upgrades!$N$8)*POWER(Upgrades!$O$8,G275)))*(IF(Upgrades!$T$6="Stellar Coupling",POWER(Upgrades!$U$6,E275),1)*IF(Upgrades!$T$7="Stellar Coupling",POWER(Upgrades!$U$7,F275),1)*IF(Upgrades!$T$9="Stellar Coupling",POWER(Upgrades!$U$9,H275),1)*IF(Upgrades!$T$10="Stellar Coupling",POWER(Upgrades!$U$10,I275),1)*IF(Upgrades!$T$11="Stellar Coupling",POWER(Upgrades!$U$11,J275),1)*IF(Upgrades!$T$12="Stellar Coupling",POWER(Upgrades!$U$12,K275),1))+(IF(H275=0,0,(Upgrades!$M$9+H275*Upgrades!$N$9)*POWER(Upgrades!$O$9,H275)))*(IF(Upgrades!$T$6="Magnetosphere",POWER(Upgrades!$U$6,E275),1)*IF(Upgrades!$T$7="Magnetosphere",POWER(Upgrades!$U$7,F275),1)*IF(Upgrades!$T$8="Magnetosphere",POWER(Upgrades!$U$8,G275),1)*IF(Upgrades!$T$10="Magnetosphere",POWER(Upgrades!$U$10,I275),1)*IF(Upgrades!$T$11="Magnetosphere",POWER(Upgrades!$U$11,J275),1)*IF(Upgrades!$T$12="Magnetosphere",POWER(Upgrades!$U$12,K275),1))+(IF(I275=0,0,(Upgrades!$M$10+I275*Upgrades!$N$10)*POWER(Upgrades!$O$10,I275)))*(IF(Upgrades!$T$6="Orbital Resonance",POWER(Upgrades!$U$6,E275),1)*IF(Upgrades!$T$7="Orbital Resonance",POWER(Upgrades!$U$7,F275),1)*IF(Upgrades!$T$8="Orbital Resonance",POWER(Upgrades!$U$8,G275),1)*IF(Upgrades!$T$9="Orbital Resonance",POWER(Upgrades!$U$9,H275),1)*IF(Upgrades!$T$11="Orbital Resonance",POWER(Upgrades!$U$11,J275),1)*IF(Upgrades!$T$12="Orbital Resonance",POWER(Upgrades!$U$12,K275),1))+(IF(J275=0,0,(Upgrades!$M$11+J275*Upgrades!$N$11)*POWER(Upgrades!$O$11,J275)))*(IF(Upgrades!$T$6="Heliopause",POWER(Upgrades!$U$6,E275),1)*IF(Upgrades!$T$7="Heliopause",POWER(Upgrades!$U$7,F275),1)*IF(Upgrades!$T$8="Heliopause",POWER(Upgrades!$U$8,G275),1)*IF(Upgrades!$T$9="Heliopause",POWER(Upgrades!$U$9,H275),1)*IF(Upgrades!$T$10="Heliopause",POWER(Upgrades!$U$10,I275),1)*IF(Upgrades!$T$12="Heliopause",POWER(Upgrades!$U$12,K275),1))+(IF(K275=0,0,(Upgrades!$M$12+K275*Upgrades!$N$12)*POWER(Upgrades!$O$12,K275)))*(IF(Upgrades!$T$6="First Photons",POWER(Upgrades!$U$6,E275),1)*IF(Upgrades!$T$7="First Photons",POWER(Upgrades!$U$7,F275),1)*IF(Upgrades!$T$8="First Photons",POWER(Upgrades!$U$8,G275),1)*IF(Upgrades!$T$9="First Photons",POWER(Upgrades!$U$9,H275),1)*IF(Upgrades!$T$10="First Photons",POWER(Upgrades!$U$10,I275),1)*IF(Upgrades!$T$11="First Photons",POWER(Upgrades!$U$11,J275),1)))*POWER(Upgrades!$R$6,E275)*POWER(Upgrades!$R$7,F275)*POWER(Upgrades!$R$8,G275)*POWER(Upgrades!$R$9,H275)*POWER(Upgrades!$R$10,I275)*POWER(Upgrades!$R$11,J275)*POWER(Upgrades!$R$12,K275)</f>
        <v/>
      </c>
      <c r="P275" s="27">
        <f>IF(L275=1,0,M275*Parameters!$B$10/60*Parameters!$B$11*10)</f>
        <v/>
      </c>
      <c r="Q275" s="27">
        <f>IF(L275=1,0,O275*M275*10)</f>
        <v/>
      </c>
      <c r="R275" s="27">
        <f>IF(L275=1,0,N275*10)</f>
        <v/>
      </c>
      <c r="S275" s="27">
        <f>P275+Q275+R275</f>
        <v/>
      </c>
      <c r="T275" s="22">
        <f>C275+S275</f>
        <v/>
      </c>
      <c r="U275" s="33">
        <f>AX275</f>
        <v/>
      </c>
      <c r="V275" s="22">
        <f>IF(U275="",0,IF(U275="transition",0,IF(U275="SW",AG275,IF(U275="AB",AH275,IF(U275="SC",AI275,IF(U275="Mag",AJ275,IF(U275="OR",AK275,IF(U275="HP",AL275,IF(U275="FP",AM275,0)))))))))</f>
        <v/>
      </c>
      <c r="W275" s="27">
        <f>IF(U275="OR",Upgrades!$F$10,IF(U275="HP",Upgrades!$F$11,IF(U275="transition",-Parameters!$B$18,0)))</f>
        <v/>
      </c>
      <c r="X275" s="22">
        <f>T275-V275</f>
        <v/>
      </c>
      <c r="Y275" s="30">
        <f>M275*Parameters!$B$10/60*Parameters!$B$11+O275*M275+N275</f>
        <v/>
      </c>
      <c r="Z275" s="34">
        <f>IF(U275="transition","→ Tier 2 (Stellar Neighborhood)",IF(U275="FP","First Photons — light begins, system quickens",IF(U275="HP","Heliopause acquired",IF(U275="OR","Orbital Resonance — passive multiplier active",IF(AND(AO275=1,L275=0,AN275&lt;&gt;1),"Cohesion ready (waiting on completionist upgrades)","")))))</f>
        <v/>
      </c>
      <c r="AA275" s="27">
        <f>(IF(E275=0,0,(Upgrades!$G$6+E275*Upgrades!$H$6)*POWER(Upgrades!$I$6,E275)))*(IF(Upgrades!$T$7="Solar Wind",POWER(Upgrades!$U$7,F275),1)*IF(Upgrades!$T$8="Solar Wind",POWER(Upgrades!$U$8,G275),1)*IF(Upgrades!$T$9="Solar Wind",POWER(Upgrades!$U$9,H275),1)*IF(Upgrades!$T$10="Solar Wind",POWER(Upgrades!$U$10,I275),1)*IF(Upgrades!$T$11="Solar Wind",POWER(Upgrades!$U$11,J275),1)*IF(Upgrades!$T$12="Solar Wind",POWER(Upgrades!$U$12,K275),1))*POWER(Upgrades!$P$6,E275)*POWER(Upgrades!$P$7,F275)*POWER(Upgrades!$P$8,G275)*POWER(Upgrades!$P$9,H275)*POWER(Upgrades!$P$10,I275)*POWER(Upgrades!$P$11,J275)*POWER(Upgrades!$P$12,K275)*60</f>
        <v/>
      </c>
      <c r="AB275" s="27">
        <f>(IF(F275=0,0,(Upgrades!$G$7+F275*Upgrades!$H$7)*POWER(Upgrades!$I$7,F275)))*(IF(Upgrades!$T$6="Asteroid Belt",POWER(Upgrades!$U$6,E275),1)*IF(Upgrades!$T$8="Asteroid Belt",POWER(Upgrades!$U$8,G275),1)*IF(Upgrades!$T$9="Asteroid Belt",POWER(Upgrades!$U$9,H275),1)*IF(Upgrades!$T$10="Asteroid Belt",POWER(Upgrades!$U$10,I275),1)*IF(Upgrades!$T$11="Asteroid Belt",POWER(Upgrades!$U$11,J275),1)*IF(Upgrades!$T$12="Asteroid Belt",POWER(Upgrades!$U$12,K275),1))*POWER(Upgrades!$P$6,E275)*POWER(Upgrades!$P$7,F275)*POWER(Upgrades!$P$8,G275)*POWER(Upgrades!$P$9,H275)*POWER(Upgrades!$P$10,I275)*POWER(Upgrades!$P$11,J275)*POWER(Upgrades!$P$12,K275)*60</f>
        <v/>
      </c>
      <c r="AC275" s="27">
        <f>(IF(G275=0,0,(Upgrades!$J$8+G275*Upgrades!$K$8)*POWER(Upgrades!$L$8,G275)))*(IF(Upgrades!$T$6="Stellar Coupling",POWER(Upgrades!$U$6,E275),1)*IF(Upgrades!$T$7="Stellar Coupling",POWER(Upgrades!$U$7,F275),1)*IF(Upgrades!$T$9="Stellar Coupling",POWER(Upgrades!$U$9,H275),1)*IF(Upgrades!$T$10="Stellar Coupling",POWER(Upgrades!$U$10,I275),1)*IF(Upgrades!$T$11="Stellar Coupling",POWER(Upgrades!$U$11,J275),1)*IF(Upgrades!$T$12="Stellar Coupling",POWER(Upgrades!$U$12,K275),1))*POWER(Upgrades!$Q$6,E275)*POWER(Upgrades!$Q$7,F275)*POWER(Upgrades!$Q$8,G275)*POWER(Upgrades!$Q$9,H275)*POWER(Upgrades!$Q$10,I275)*POWER(Upgrades!$Q$11,J275)*POWER(Upgrades!$Q$12,K275)*Parameters!$B$10*Parameters!$B$11</f>
        <v/>
      </c>
      <c r="AD275" s="27">
        <f>(IF(H275=0,0,(Upgrades!$G$9+H275*Upgrades!$H$9)*POWER(Upgrades!$I$9,H275)))*(IF(Upgrades!$T$6="Magnetosphere",POWER(Upgrades!$U$6,E275),1)*IF(Upgrades!$T$7="Magnetosphere",POWER(Upgrades!$U$7,F275),1)*IF(Upgrades!$T$8="Magnetosphere",POWER(Upgrades!$U$8,G275),1)*IF(Upgrades!$T$10="Magnetosphere",POWER(Upgrades!$U$10,I275),1)*IF(Upgrades!$T$11="Magnetosphere",POWER(Upgrades!$U$11,J275),1)*IF(Upgrades!$T$12="Magnetosphere",POWER(Upgrades!$U$12,K275),1))*POWER(Upgrades!$P$6,E275)*POWER(Upgrades!$P$7,F275)*POWER(Upgrades!$P$8,G275)*POWER(Upgrades!$P$9,H275)*POWER(Upgrades!$P$10,I275)*POWER(Upgrades!$P$11,J275)*POWER(Upgrades!$P$12,K275)*60</f>
        <v/>
      </c>
      <c r="AE275" s="27">
        <f>(IF(K275=0,0,(Upgrades!$G$12+K275*Upgrades!$H$12)*POWER(Upgrades!$I$12,K275)))*(IF(Upgrades!$T$6="First Photons",POWER(Upgrades!$U$6,E275),1)*IF(Upgrades!$T$7="First Photons",POWER(Upgrades!$U$7,F275),1)*IF(Upgrades!$T$8="First Photons",POWER(Upgrades!$U$8,G275),1)*IF(Upgrades!$T$9="First Photons",POWER(Upgrades!$U$9,H275),1)*IF(Upgrades!$T$10="First Photons",POWER(Upgrades!$U$10,I275),1)*IF(Upgrades!$T$11="First Photons",POWER(Upgrades!$U$11,J275),1))*POWER(Upgrades!$P$6,E275)*POWER(Upgrades!$P$7,F275)*POWER(Upgrades!$P$8,G275)*POWER(Upgrades!$P$9,H275)*POWER(Upgrades!$P$10,I275)*POWER(Upgrades!$P$11,J275)*POWER(Upgrades!$P$12,K275)*60</f>
        <v/>
      </c>
      <c r="AF275" s="27">
        <f>Parameters!$B$9*POWER(Upgrades!$Q$6,E275)*POWER(Upgrades!$Q$7,F275)*POWER(Upgrades!$Q$8,G275)*POWER(Upgrades!$Q$9,H275)*POWER(Upgrades!$Q$10,I275)*POWER(Upgrades!$Q$11,J275)*POWER(Upgrades!$Q$12,K275)*(Parameters!$B$10*Parameters!$B$11+O275*60)</f>
        <v/>
      </c>
      <c r="AG275" s="22">
        <f>IF(E275&gt;=Upgrades!$E$6,"",Upgrades!$C$6*POWER(Upgrades!$D$6,E275))</f>
        <v/>
      </c>
      <c r="AH275" s="22">
        <f>IF(F275&gt;=Upgrades!$E$7,"",Upgrades!$C$7*POWER(Upgrades!$D$7,F275))</f>
        <v/>
      </c>
      <c r="AI275" s="22">
        <f>IF(G275&gt;=Upgrades!$E$8,"",Upgrades!$C$8*POWER(Upgrades!$D$8,G275))</f>
        <v/>
      </c>
      <c r="AJ275" s="22">
        <f>IF(H275&gt;=Upgrades!$E$9,"",Upgrades!$C$9*POWER(Upgrades!$D$9,H275))</f>
        <v/>
      </c>
      <c r="AK275" s="22">
        <f>IF(I275&gt;=Upgrades!$E$10,"",Upgrades!$C$10*POWER(Upgrades!$D$10,I275))</f>
        <v/>
      </c>
      <c r="AL275" s="22">
        <f>IF(J275&gt;=Upgrades!$E$11,"",Upgrades!$C$11*POWER(Upgrades!$D$11,J275))</f>
        <v/>
      </c>
      <c r="AM275" s="22">
        <f>IF(K275&gt;=Upgrades!$E$12,"",Upgrades!$C$12*POWER(Upgrades!$D$12,K275))</f>
        <v/>
      </c>
      <c r="AN275" s="26">
        <f>IF(AND(D275&gt;=Parameters!$B$18,(H275&gt;=Upgrades!$E$9)*(K275&gt;=Upgrades!$E$12)=1,L275=0),1,"")</f>
        <v/>
      </c>
      <c r="AO275" s="26">
        <f>IF(AND(D275&gt;=Parameters!$B$18,L275=0),1,"")</f>
        <v/>
      </c>
      <c r="AP275" s="22">
        <f>MIN(IF(ISNUMBER(AK275),AK275,9E15),IF(ISNUMBER(AL275),AL275,9E15),IF(ISNUMBER(AM275),AM275,9E15))</f>
        <v/>
      </c>
      <c r="AQ275" s="22">
        <f>MIN(IF(ISNUMBER(AG275),AG275,9E15),IF(ISNUMBER(AH275),AH275,9E15),IF(ISNUMBER(AI275),AI275,9E15),IF(ISNUMBER(AJ275),AJ275,9E15))</f>
        <v/>
      </c>
      <c r="AR275" s="29">
        <f>IF(AW275&gt;Parameters!$B$21*(MAX(IF(AND(NOT(AND(AO275=1,AN275&lt;&gt;1)),ISNUMBER(AG275),AG275&lt;=T275),AS275,0),IF(AND(NOT(AND(AO275=1,AN275&lt;&gt;1)),ISNUMBER(AH275),AH275&lt;=T275),AT275,0),IF(AND(NOT(AND(AO275=1,AN275&lt;&gt;1)),ISNUMBER(AI275),AI275&lt;=T275),AU275,0),IF(AND(ISNUMBER(AJ275),AJ275&lt;=T275),AV275,0))),TRUE,FALSE)</f>
        <v/>
      </c>
      <c r="AS275" s="32">
        <f>IFERROR(Upgrades!$H$6*(POWER(Upgrades!$P$6,E275)*POWER(Upgrades!$P$7,F275)*POWER(Upgrades!$P$8,G275)*POWER(Upgrades!$P$9,H275)*POWER(Upgrades!$P$10,I275)*POWER(Upgrades!$P$11,J275)*POWER(Upgrades!$P$12,K275))*(IF(Upgrades!$T$7="Solar Wind",POWER(Upgrades!$U$7,F275),1)*IF(Upgrades!$T$8="Solar Wind",POWER(Upgrades!$U$8,G275),1)*IF(Upgrades!$T$9="Solar Wind",POWER(Upgrades!$U$9,H275),1)*IF(Upgrades!$T$10="Solar Wind",POWER(Upgrades!$U$10,I275),1)*IF(Upgrades!$T$11="Solar Wind",POWER(Upgrades!$U$11,J275),1)*IF(Upgrades!$T$12="Solar Wind",POWER(Upgrades!$U$12,K275),1))/AG275,0)</f>
        <v/>
      </c>
      <c r="AT275" s="32">
        <f>IFERROR(Upgrades!$H$7*(POWER(Upgrades!$P$6,E275)*POWER(Upgrades!$P$7,F275)*POWER(Upgrades!$P$8,G275)*POWER(Upgrades!$P$9,H275)*POWER(Upgrades!$P$10,I275)*POWER(Upgrades!$P$11,J275)*POWER(Upgrades!$P$12,K275))*(IF(Upgrades!$T$6="Asteroid Belt",POWER(Upgrades!$U$6,E275),1)*IF(Upgrades!$T$8="Asteroid Belt",POWER(Upgrades!$U$8,G275),1)*IF(Upgrades!$T$9="Asteroid Belt",POWER(Upgrades!$U$9,H275),1)*IF(Upgrades!$T$10="Asteroid Belt",POWER(Upgrades!$U$10,I275),1)*IF(Upgrades!$T$11="Asteroid Belt",POWER(Upgrades!$U$11,J275),1)*IF(Upgrades!$T$12="Asteroid Belt",POWER(Upgrades!$U$12,K275),1))/AH275,0)</f>
        <v/>
      </c>
      <c r="AU275" s="32">
        <f>IFERROR(Upgrades!$K$8*(POWER(Upgrades!$Q$6,E275)*POWER(Upgrades!$Q$7,F275)*POWER(Upgrades!$Q$8,G275)*POWER(Upgrades!$Q$9,H275)*POWER(Upgrades!$Q$10,I275)*POWER(Upgrades!$Q$11,J275)*POWER(Upgrades!$Q$12,K275))*(IF(Upgrades!$T$6="Stellar Coupling",POWER(Upgrades!$U$6,E275),1)*IF(Upgrades!$T$7="Stellar Coupling",POWER(Upgrades!$U$7,F275),1)*IF(Upgrades!$T$9="Stellar Coupling",POWER(Upgrades!$U$9,H275),1)*IF(Upgrades!$T$10="Stellar Coupling",POWER(Upgrades!$U$10,I275),1)*IF(Upgrades!$T$11="Stellar Coupling",POWER(Upgrades!$U$11,J275),1)*IF(Upgrades!$T$12="Stellar Coupling",POWER(Upgrades!$U$12,K275),1))*Parameters!$B$10*Parameters!$B$11/60/AI275,0)</f>
        <v/>
      </c>
      <c r="AV275" s="32">
        <f>IFERROR(Upgrades!$H$9*(POWER(Upgrades!$P$6,E275)*POWER(Upgrades!$P$7,F275)*POWER(Upgrades!$P$8,G275)*POWER(Upgrades!$P$9,H275)*POWER(Upgrades!$P$10,I275)*POWER(Upgrades!$P$11,J275)*POWER(Upgrades!$P$12,K275))*(IF(Upgrades!$T$6="Magnetosphere",POWER(Upgrades!$U$6,E275),1)*IF(Upgrades!$T$7="Magnetosphere",POWER(Upgrades!$U$7,F275),1)*IF(Upgrades!$T$8="Magnetosphere",POWER(Upgrades!$U$8,G275),1)*IF(Upgrades!$T$10="Magnetosphere",POWER(Upgrades!$U$10,I275),1)*IF(Upgrades!$T$11="Magnetosphere",POWER(Upgrades!$U$11,J275),1)*IF(Upgrades!$T$12="Magnetosphere",POWER(Upgrades!$U$12,K275),1))/AJ275,0)</f>
        <v/>
      </c>
      <c r="AW275" s="32">
        <f>MAX(IF(I275&gt;0,0,IFERROR(0.25*N275/Upgrades!$C$10,0)),IF(J275&gt;0,0,IFERROR(0.5*((IF(G275=0,0,(Upgrades!$J$8+G275*Upgrades!$K$8)*POWER(Upgrades!$L$8,G275)))*(IF(Upgrades!$T$6="Stellar Coupling",POWER(Upgrades!$U$6,E275),1)*IF(Upgrades!$T$7="Stellar Coupling",POWER(Upgrades!$U$7,F275),1)*IF(Upgrades!$T$9="Stellar Coupling",POWER(Upgrades!$U$9,H275),1)*IF(Upgrades!$T$10="Stellar Coupling",POWER(Upgrades!$U$10,I275),1)*IF(Upgrades!$T$11="Stellar Coupling",POWER(Upgrades!$U$11,J275),1)*IF(Upgrades!$T$12="Stellar Coupling",POWER(Upgrades!$U$12,K275),1))*(POWER(Upgrades!$Q$6,E275)*POWER(Upgrades!$Q$7,F275)*POWER(Upgrades!$Q$8,G275)*POWER(Upgrades!$Q$9,H275)*POWER(Upgrades!$Q$10,I275)*POWER(Upgrades!$Q$11,J275)*POWER(Upgrades!$Q$12,K275))*Parameters!$B$10*Parameters!$B$11/60)/Upgrades!$C$11,0)),IF(K275&gt;0,0,IFERROR((1.0*(POWER(Upgrades!$P$6,E275)*POWER(Upgrades!$P$7,F275)*POWER(Upgrades!$P$8,G275)*POWER(Upgrades!$P$9,H275)*POWER(Upgrades!$P$10,I275)*POWER(Upgrades!$P$11,J275)*POWER(Upgrades!$P$12,K275))+0.20*M275*Parameters!$B$10*Parameters!$B$11/60)/Upgrades!$C$12,0)),IF(AND(ISNUMBER(AG275),AG275&gt;T275),AS275,0),IF(AND(ISNUMBER(AH275),AH275&gt;T275),AT275,0),IF(AND(ISNUMBER(AI275),AI275&gt;T275),AU275,0),IF(AND(ISNUMBER(AJ275),AJ275&gt;T275),AV275,0))</f>
        <v/>
      </c>
      <c r="AX275" s="29">
        <f>IF(AN275=1,"transition",IF(MIN(IF(AND(I275=0,ISNUMBER(AK275),AK275&lt;=T275),AK275,9E15),IF(AND(J275=0,ISNUMBER(AL275),AL275&lt;=T275),AL275,9E15),IF(AND(K275=0,ISNUMBER(AM275),AM275&lt;=T275),AM275,9E15))&lt;9E15,IF(AND(AND(I275=0,ISNUMBER(AK275),AK275&lt;=T275),AK275=MIN(IF(AND(I275=0,ISNUMBER(AK275),AK275&lt;=T275),AK275,9E15),IF(AND(J275=0,ISNUMBER(AL275),AL275&lt;=T275),AL275,9E15),IF(AND(K275=0,ISNUMBER(AM275),AM275&lt;=T275),AM275,9E15))),"OR",IF(AND(AND(J275=0,ISNUMBER(AL275),AL275&lt;=T275),AL275=MIN(IF(AND(I275=0,ISNUMBER(AK275),AK275&lt;=T275),AK275,9E15),IF(AND(J275=0,ISNUMBER(AL275),AL275&lt;=T275),AL275,9E15),IF(AND(K275=0,ISNUMBER(AM275),AM275&lt;=T275),AM275,9E15))),"HP","FP")),IF(AR275=TRUE,"",IF(MAX(IF(AND(NOT(AND(AO275=1,AN275&lt;&gt;1)),ISNUMBER(AG275),AG275&lt;=T275),AS275,0),IF(AND(NOT(AND(AO275=1,AN275&lt;&gt;1)),ISNUMBER(AH275),AH275&lt;=T275),AT275,0),IF(AND(NOT(AND(AO275=1,AN275&lt;&gt;1)),ISNUMBER(AI275),AI275&lt;=T275),AU275,0),IF(AND(ISNUMBER(AJ275),AJ275&lt;=T275),AV275,0))&lt;=0,"",IF(AND(IF(AND(NOT(AND(AO275=1,AN275&lt;&gt;1)),ISNUMBER(AG275),AG275&lt;=T275),AS275,0)&gt;0,IF(AND(NOT(AND(AO275=1,AN275&lt;&gt;1)),ISNUMBER(AG275),AG275&lt;=T275),AS275,0)=MAX(IF(AND(NOT(AND(AO275=1,AN275&lt;&gt;1)),ISNUMBER(AG275),AG275&lt;=T275),AS275,0),IF(AND(NOT(AND(AO275=1,AN275&lt;&gt;1)),ISNUMBER(AH275),AH275&lt;=T275),AT275,0),IF(AND(NOT(AND(AO275=1,AN275&lt;&gt;1)),ISNUMBER(AI275),AI275&lt;=T275),AU275,0),IF(AND(ISNUMBER(AJ275),AJ275&lt;=T275),AV275,0))),"SW",IF(AND(IF(AND(NOT(AND(AO275=1,AN275&lt;&gt;1)),ISNUMBER(AH275),AH275&lt;=T275),AT275,0)&gt;0,IF(AND(NOT(AND(AO275=1,AN275&lt;&gt;1)),ISNUMBER(AH275),AH275&lt;=T275),AT275,0)=MAX(IF(AND(NOT(AND(AO275=1,AN275&lt;&gt;1)),ISNUMBER(AG275),AG275&lt;=T275),AS275,0),IF(AND(NOT(AND(AO275=1,AN275&lt;&gt;1)),ISNUMBER(AH275),AH275&lt;=T275),AT275,0),IF(AND(NOT(AND(AO275=1,AN275&lt;&gt;1)),ISNUMBER(AI275),AI275&lt;=T275),AU275,0),IF(AND(ISNUMBER(AJ275),AJ275&lt;=T275),AV275,0))),"AB",IF(AND(IF(AND(NOT(AND(AO275=1,AN275&lt;&gt;1)),ISNUMBER(AI275),AI275&lt;=T275),AU275,0)&gt;0,IF(AND(NOT(AND(AO275=1,AN275&lt;&gt;1)),ISNUMBER(AI275),AI275&lt;=T275),AU275,0)=MAX(IF(AND(NOT(AND(AO275=1,AN275&lt;&gt;1)),ISNUMBER(AG275),AG275&lt;=T275),AS275,0),IF(AND(NOT(AND(AO275=1,AN275&lt;&gt;1)),ISNUMBER(AH275),AH275&lt;=T275),AT275,0),IF(AND(NOT(AND(AO275=1,AN275&lt;&gt;1)),ISNUMBER(AI275),AI275&lt;=T275),AU275,0),IF(AND(ISNUMBER(AJ275),AJ275&lt;=T275),AV275,0))),"SC","Mag")))))))</f>
        <v/>
      </c>
    </row>
    <row r="276">
      <c r="A276" s="26" t="n">
        <v>271</v>
      </c>
      <c r="B276" s="27">
        <f>A276*10/60</f>
        <v/>
      </c>
      <c r="C276" s="22">
        <f>X275</f>
        <v/>
      </c>
      <c r="D276" s="27">
        <f>D275+W275</f>
        <v/>
      </c>
      <c r="E276" s="26">
        <f>E275+IF(U275="SW",1,0)</f>
        <v/>
      </c>
      <c r="F276" s="26">
        <f>F275+IF(U275="AB",1,0)</f>
        <v/>
      </c>
      <c r="G276" s="26">
        <f>G275+IF(U275="SC",1,0)</f>
        <v/>
      </c>
      <c r="H276" s="26">
        <f>H275+IF(U275="Mag",1,0)</f>
        <v/>
      </c>
      <c r="I276" s="26">
        <f>MAX(I275,IF(U275="OR",1,0))</f>
        <v/>
      </c>
      <c r="J276" s="26">
        <f>MAX(J275,IF(U275="HP",1,0))</f>
        <v/>
      </c>
      <c r="K276" s="26">
        <f>MAX(K275,IF(U275="FP",1,0))</f>
        <v/>
      </c>
      <c r="L276" s="26">
        <f>MAX(L275,IF(U275="transition",1,0))</f>
        <v/>
      </c>
      <c r="M276" s="28">
        <f>(Parameters!$B$9+(IF(E276=0,0,(Upgrades!$J$6+E276*Upgrades!$K$6)*POWER(Upgrades!$L$6,E276)))*(IF(Upgrades!$T$7="Solar Wind",POWER(Upgrades!$U$7,F276),1)*IF(Upgrades!$T$8="Solar Wind",POWER(Upgrades!$U$8,G276),1)*IF(Upgrades!$T$9="Solar Wind",POWER(Upgrades!$U$9,H276),1)*IF(Upgrades!$T$10="Solar Wind",POWER(Upgrades!$U$10,I276),1)*IF(Upgrades!$T$11="Solar Wind",POWER(Upgrades!$U$11,J276),1)*IF(Upgrades!$T$12="Solar Wind",POWER(Upgrades!$U$12,K276),1))+(IF(F276=0,0,(Upgrades!$J$7+F276*Upgrades!$K$7)*POWER(Upgrades!$L$7,F276)))*(IF(Upgrades!$T$6="Asteroid Belt",POWER(Upgrades!$U$6,E276),1)*IF(Upgrades!$T$8="Asteroid Belt",POWER(Upgrades!$U$8,G276),1)*IF(Upgrades!$T$9="Asteroid Belt",POWER(Upgrades!$U$9,H276),1)*IF(Upgrades!$T$10="Asteroid Belt",POWER(Upgrades!$U$10,I276),1)*IF(Upgrades!$T$11="Asteroid Belt",POWER(Upgrades!$U$11,J276),1)*IF(Upgrades!$T$12="Asteroid Belt",POWER(Upgrades!$U$12,K276),1))+(IF(G276=0,0,(Upgrades!$J$8+G276*Upgrades!$K$8)*POWER(Upgrades!$L$8,G276)))*(IF(Upgrades!$T$6="Stellar Coupling",POWER(Upgrades!$U$6,E276),1)*IF(Upgrades!$T$7="Stellar Coupling",POWER(Upgrades!$U$7,F276),1)*IF(Upgrades!$T$9="Stellar Coupling",POWER(Upgrades!$U$9,H276),1)*IF(Upgrades!$T$10="Stellar Coupling",POWER(Upgrades!$U$10,I276),1)*IF(Upgrades!$T$11="Stellar Coupling",POWER(Upgrades!$U$11,J276),1)*IF(Upgrades!$T$12="Stellar Coupling",POWER(Upgrades!$U$12,K276),1))+(IF(H276=0,0,(Upgrades!$J$9+H276*Upgrades!$K$9)*POWER(Upgrades!$L$9,H276)))*(IF(Upgrades!$T$6="Magnetosphere",POWER(Upgrades!$U$6,E276),1)*IF(Upgrades!$T$7="Magnetosphere",POWER(Upgrades!$U$7,F276),1)*IF(Upgrades!$T$8="Magnetosphere",POWER(Upgrades!$U$8,G276),1)*IF(Upgrades!$T$10="Magnetosphere",POWER(Upgrades!$U$10,I276),1)*IF(Upgrades!$T$11="Magnetosphere",POWER(Upgrades!$U$11,J276),1)*IF(Upgrades!$T$12="Magnetosphere",POWER(Upgrades!$U$12,K276),1))+(IF(I276=0,0,(Upgrades!$J$10+I276*Upgrades!$K$10)*POWER(Upgrades!$L$10,I276)))*(IF(Upgrades!$T$6="Orbital Resonance",POWER(Upgrades!$U$6,E276),1)*IF(Upgrades!$T$7="Orbital Resonance",POWER(Upgrades!$U$7,F276),1)*IF(Upgrades!$T$8="Orbital Resonance",POWER(Upgrades!$U$8,G276),1)*IF(Upgrades!$T$9="Orbital Resonance",POWER(Upgrades!$U$9,H276),1)*IF(Upgrades!$T$11="Orbital Resonance",POWER(Upgrades!$U$11,J276),1)*IF(Upgrades!$T$12="Orbital Resonance",POWER(Upgrades!$U$12,K276),1))+(IF(J276=0,0,(Upgrades!$J$11+J276*Upgrades!$K$11)*POWER(Upgrades!$L$11,J276)))*(IF(Upgrades!$T$6="Heliopause",POWER(Upgrades!$U$6,E276),1)*IF(Upgrades!$T$7="Heliopause",POWER(Upgrades!$U$7,F276),1)*IF(Upgrades!$T$8="Heliopause",POWER(Upgrades!$U$8,G276),1)*IF(Upgrades!$T$9="Heliopause",POWER(Upgrades!$U$9,H276),1)*IF(Upgrades!$T$10="Heliopause",POWER(Upgrades!$U$10,I276),1)*IF(Upgrades!$T$12="Heliopause",POWER(Upgrades!$U$12,K276),1))+(IF(K276=0,0,(Upgrades!$J$12+K276*Upgrades!$K$12)*POWER(Upgrades!$L$12,K276)))*(IF(Upgrades!$T$6="First Photons",POWER(Upgrades!$U$6,E276),1)*IF(Upgrades!$T$7="First Photons",POWER(Upgrades!$U$7,F276),1)*IF(Upgrades!$T$8="First Photons",POWER(Upgrades!$U$8,G276),1)*IF(Upgrades!$T$9="First Photons",POWER(Upgrades!$U$9,H276),1)*IF(Upgrades!$T$10="First Photons",POWER(Upgrades!$U$10,I276),1)*IF(Upgrades!$T$11="First Photons",POWER(Upgrades!$U$11,J276),1)))*POWER(Upgrades!$Q$6,E276)*POWER(Upgrades!$Q$7,F276)*POWER(Upgrades!$Q$8,G276)*POWER(Upgrades!$Q$9,H276)*POWER(Upgrades!$Q$10,I276)*POWER(Upgrades!$Q$11,J276)*POWER(Upgrades!$Q$12,K276)</f>
        <v/>
      </c>
      <c r="N276" s="28">
        <f>((IF(E276=0,0,(Upgrades!$G$6+E276*Upgrades!$H$6)*POWER(Upgrades!$I$6,E276)))*(IF(Upgrades!$T$7="Solar Wind",POWER(Upgrades!$U$7,F276),1)*IF(Upgrades!$T$8="Solar Wind",POWER(Upgrades!$U$8,G276),1)*IF(Upgrades!$T$9="Solar Wind",POWER(Upgrades!$U$9,H276),1)*IF(Upgrades!$T$10="Solar Wind",POWER(Upgrades!$U$10,I276),1)*IF(Upgrades!$T$11="Solar Wind",POWER(Upgrades!$U$11,J276),1)*IF(Upgrades!$T$12="Solar Wind",POWER(Upgrades!$U$12,K276),1))+(IF(F276=0,0,(Upgrades!$G$7+F276*Upgrades!$H$7)*POWER(Upgrades!$I$7,F276)))*(IF(Upgrades!$T$6="Asteroid Belt",POWER(Upgrades!$U$6,E276),1)*IF(Upgrades!$T$8="Asteroid Belt",POWER(Upgrades!$U$8,G276),1)*IF(Upgrades!$T$9="Asteroid Belt",POWER(Upgrades!$U$9,H276),1)*IF(Upgrades!$T$10="Asteroid Belt",POWER(Upgrades!$U$10,I276),1)*IF(Upgrades!$T$11="Asteroid Belt",POWER(Upgrades!$U$11,J276),1)*IF(Upgrades!$T$12="Asteroid Belt",POWER(Upgrades!$U$12,K276),1))+(IF(G276=0,0,(Upgrades!$G$8+G276*Upgrades!$H$8)*POWER(Upgrades!$I$8,G276)))*(IF(Upgrades!$T$6="Stellar Coupling",POWER(Upgrades!$U$6,E276),1)*IF(Upgrades!$T$7="Stellar Coupling",POWER(Upgrades!$U$7,F276),1)*IF(Upgrades!$T$9="Stellar Coupling",POWER(Upgrades!$U$9,H276),1)*IF(Upgrades!$T$10="Stellar Coupling",POWER(Upgrades!$U$10,I276),1)*IF(Upgrades!$T$11="Stellar Coupling",POWER(Upgrades!$U$11,J276),1)*IF(Upgrades!$T$12="Stellar Coupling",POWER(Upgrades!$U$12,K276),1))+(IF(H276=0,0,(Upgrades!$G$9+H276*Upgrades!$H$9)*POWER(Upgrades!$I$9,H276)))*(IF(Upgrades!$T$6="Magnetosphere",POWER(Upgrades!$U$6,E276),1)*IF(Upgrades!$T$7="Magnetosphere",POWER(Upgrades!$U$7,F276),1)*IF(Upgrades!$T$8="Magnetosphere",POWER(Upgrades!$U$8,G276),1)*IF(Upgrades!$T$10="Magnetosphere",POWER(Upgrades!$U$10,I276),1)*IF(Upgrades!$T$11="Magnetosphere",POWER(Upgrades!$U$11,J276),1)*IF(Upgrades!$T$12="Magnetosphere",POWER(Upgrades!$U$12,K276),1))+(IF(I276=0,0,(Upgrades!$G$10+I276*Upgrades!$H$10)*POWER(Upgrades!$I$10,I276)))*(IF(Upgrades!$T$6="Orbital Resonance",POWER(Upgrades!$U$6,E276),1)*IF(Upgrades!$T$7="Orbital Resonance",POWER(Upgrades!$U$7,F276),1)*IF(Upgrades!$T$8="Orbital Resonance",POWER(Upgrades!$U$8,G276),1)*IF(Upgrades!$T$9="Orbital Resonance",POWER(Upgrades!$U$9,H276),1)*IF(Upgrades!$T$11="Orbital Resonance",POWER(Upgrades!$U$11,J276),1)*IF(Upgrades!$T$12="Orbital Resonance",POWER(Upgrades!$U$12,K276),1))+(IF(J276=0,0,(Upgrades!$G$11+J276*Upgrades!$H$11)*POWER(Upgrades!$I$11,J276)))*(IF(Upgrades!$T$6="Heliopause",POWER(Upgrades!$U$6,E276),1)*IF(Upgrades!$T$7="Heliopause",POWER(Upgrades!$U$7,F276),1)*IF(Upgrades!$T$8="Heliopause",POWER(Upgrades!$U$8,G276),1)*IF(Upgrades!$T$9="Heliopause",POWER(Upgrades!$U$9,H276),1)*IF(Upgrades!$T$10="Heliopause",POWER(Upgrades!$U$10,I276),1)*IF(Upgrades!$T$12="Heliopause",POWER(Upgrades!$U$12,K276),1))+(IF(K276=0,0,(Upgrades!$G$12+K276*Upgrades!$H$12)*POWER(Upgrades!$I$12,K276)))*(IF(Upgrades!$T$6="First Photons",POWER(Upgrades!$U$6,E276),1)*IF(Upgrades!$T$7="First Photons",POWER(Upgrades!$U$7,F276),1)*IF(Upgrades!$T$8="First Photons",POWER(Upgrades!$U$8,G276),1)*IF(Upgrades!$T$9="First Photons",POWER(Upgrades!$U$9,H276),1)*IF(Upgrades!$T$10="First Photons",POWER(Upgrades!$U$10,I276),1)*IF(Upgrades!$T$11="First Photons",POWER(Upgrades!$U$11,J276),1)))*POWER(Upgrades!$P$6,E276)*POWER(Upgrades!$P$7,F276)*POWER(Upgrades!$P$8,G276)*POWER(Upgrades!$P$9,H276)*POWER(Upgrades!$P$10,I276)*POWER(Upgrades!$P$11,J276)*POWER(Upgrades!$P$12,K276)</f>
        <v/>
      </c>
      <c r="O276" s="28">
        <f>((IF(E276=0,0,(Upgrades!$M$6+E276*Upgrades!$N$6)*POWER(Upgrades!$O$6,E276)))*(IF(Upgrades!$T$7="Solar Wind",POWER(Upgrades!$U$7,F276),1)*IF(Upgrades!$T$8="Solar Wind",POWER(Upgrades!$U$8,G276),1)*IF(Upgrades!$T$9="Solar Wind",POWER(Upgrades!$U$9,H276),1)*IF(Upgrades!$T$10="Solar Wind",POWER(Upgrades!$U$10,I276),1)*IF(Upgrades!$T$11="Solar Wind",POWER(Upgrades!$U$11,J276),1)*IF(Upgrades!$T$12="Solar Wind",POWER(Upgrades!$U$12,K276),1))+(IF(F276=0,0,(Upgrades!$M$7+F276*Upgrades!$N$7)*POWER(Upgrades!$O$7,F276)))*(IF(Upgrades!$T$6="Asteroid Belt",POWER(Upgrades!$U$6,E276),1)*IF(Upgrades!$T$8="Asteroid Belt",POWER(Upgrades!$U$8,G276),1)*IF(Upgrades!$T$9="Asteroid Belt",POWER(Upgrades!$U$9,H276),1)*IF(Upgrades!$T$10="Asteroid Belt",POWER(Upgrades!$U$10,I276),1)*IF(Upgrades!$T$11="Asteroid Belt",POWER(Upgrades!$U$11,J276),1)*IF(Upgrades!$T$12="Asteroid Belt",POWER(Upgrades!$U$12,K276),1))+(IF(G276=0,0,(Upgrades!$M$8+G276*Upgrades!$N$8)*POWER(Upgrades!$O$8,G276)))*(IF(Upgrades!$T$6="Stellar Coupling",POWER(Upgrades!$U$6,E276),1)*IF(Upgrades!$T$7="Stellar Coupling",POWER(Upgrades!$U$7,F276),1)*IF(Upgrades!$T$9="Stellar Coupling",POWER(Upgrades!$U$9,H276),1)*IF(Upgrades!$T$10="Stellar Coupling",POWER(Upgrades!$U$10,I276),1)*IF(Upgrades!$T$11="Stellar Coupling",POWER(Upgrades!$U$11,J276),1)*IF(Upgrades!$T$12="Stellar Coupling",POWER(Upgrades!$U$12,K276),1))+(IF(H276=0,0,(Upgrades!$M$9+H276*Upgrades!$N$9)*POWER(Upgrades!$O$9,H276)))*(IF(Upgrades!$T$6="Magnetosphere",POWER(Upgrades!$U$6,E276),1)*IF(Upgrades!$T$7="Magnetosphere",POWER(Upgrades!$U$7,F276),1)*IF(Upgrades!$T$8="Magnetosphere",POWER(Upgrades!$U$8,G276),1)*IF(Upgrades!$T$10="Magnetosphere",POWER(Upgrades!$U$10,I276),1)*IF(Upgrades!$T$11="Magnetosphere",POWER(Upgrades!$U$11,J276),1)*IF(Upgrades!$T$12="Magnetosphere",POWER(Upgrades!$U$12,K276),1))+(IF(I276=0,0,(Upgrades!$M$10+I276*Upgrades!$N$10)*POWER(Upgrades!$O$10,I276)))*(IF(Upgrades!$T$6="Orbital Resonance",POWER(Upgrades!$U$6,E276),1)*IF(Upgrades!$T$7="Orbital Resonance",POWER(Upgrades!$U$7,F276),1)*IF(Upgrades!$T$8="Orbital Resonance",POWER(Upgrades!$U$8,G276),1)*IF(Upgrades!$T$9="Orbital Resonance",POWER(Upgrades!$U$9,H276),1)*IF(Upgrades!$T$11="Orbital Resonance",POWER(Upgrades!$U$11,J276),1)*IF(Upgrades!$T$12="Orbital Resonance",POWER(Upgrades!$U$12,K276),1))+(IF(J276=0,0,(Upgrades!$M$11+J276*Upgrades!$N$11)*POWER(Upgrades!$O$11,J276)))*(IF(Upgrades!$T$6="Heliopause",POWER(Upgrades!$U$6,E276),1)*IF(Upgrades!$T$7="Heliopause",POWER(Upgrades!$U$7,F276),1)*IF(Upgrades!$T$8="Heliopause",POWER(Upgrades!$U$8,G276),1)*IF(Upgrades!$T$9="Heliopause",POWER(Upgrades!$U$9,H276),1)*IF(Upgrades!$T$10="Heliopause",POWER(Upgrades!$U$10,I276),1)*IF(Upgrades!$T$12="Heliopause",POWER(Upgrades!$U$12,K276),1))+(IF(K276=0,0,(Upgrades!$M$12+K276*Upgrades!$N$12)*POWER(Upgrades!$O$12,K276)))*(IF(Upgrades!$T$6="First Photons",POWER(Upgrades!$U$6,E276),1)*IF(Upgrades!$T$7="First Photons",POWER(Upgrades!$U$7,F276),1)*IF(Upgrades!$T$8="First Photons",POWER(Upgrades!$U$8,G276),1)*IF(Upgrades!$T$9="First Photons",POWER(Upgrades!$U$9,H276),1)*IF(Upgrades!$T$10="First Photons",POWER(Upgrades!$U$10,I276),1)*IF(Upgrades!$T$11="First Photons",POWER(Upgrades!$U$11,J276),1)))*POWER(Upgrades!$R$6,E276)*POWER(Upgrades!$R$7,F276)*POWER(Upgrades!$R$8,G276)*POWER(Upgrades!$R$9,H276)*POWER(Upgrades!$R$10,I276)*POWER(Upgrades!$R$11,J276)*POWER(Upgrades!$R$12,K276)</f>
        <v/>
      </c>
      <c r="P276" s="27">
        <f>IF(L276=1,0,M276*Parameters!$B$10/60*Parameters!$B$11*10)</f>
        <v/>
      </c>
      <c r="Q276" s="27">
        <f>IF(L276=1,0,O276*M276*10)</f>
        <v/>
      </c>
      <c r="R276" s="27">
        <f>IF(L276=1,0,N276*10)</f>
        <v/>
      </c>
      <c r="S276" s="27">
        <f>P276+Q276+R276</f>
        <v/>
      </c>
      <c r="T276" s="22">
        <f>C276+S276</f>
        <v/>
      </c>
      <c r="U276" s="33">
        <f>AX276</f>
        <v/>
      </c>
      <c r="V276" s="22">
        <f>IF(U276="",0,IF(U276="transition",0,IF(U276="SW",AG276,IF(U276="AB",AH276,IF(U276="SC",AI276,IF(U276="Mag",AJ276,IF(U276="OR",AK276,IF(U276="HP",AL276,IF(U276="FP",AM276,0)))))))))</f>
        <v/>
      </c>
      <c r="W276" s="27">
        <f>IF(U276="OR",Upgrades!$F$10,IF(U276="HP",Upgrades!$F$11,IF(U276="transition",-Parameters!$B$18,0)))</f>
        <v/>
      </c>
      <c r="X276" s="22">
        <f>T276-V276</f>
        <v/>
      </c>
      <c r="Y276" s="30">
        <f>M276*Parameters!$B$10/60*Parameters!$B$11+O276*M276+N276</f>
        <v/>
      </c>
      <c r="Z276" s="34">
        <f>IF(U276="transition","→ Tier 2 (Stellar Neighborhood)",IF(U276="FP","First Photons — light begins, system quickens",IF(U276="HP","Heliopause acquired",IF(U276="OR","Orbital Resonance — passive multiplier active",IF(AND(AO276=1,L276=0,AN276&lt;&gt;1),"Cohesion ready (waiting on completionist upgrades)","")))))</f>
        <v/>
      </c>
      <c r="AA276" s="27">
        <f>(IF(E276=0,0,(Upgrades!$G$6+E276*Upgrades!$H$6)*POWER(Upgrades!$I$6,E276)))*(IF(Upgrades!$T$7="Solar Wind",POWER(Upgrades!$U$7,F276),1)*IF(Upgrades!$T$8="Solar Wind",POWER(Upgrades!$U$8,G276),1)*IF(Upgrades!$T$9="Solar Wind",POWER(Upgrades!$U$9,H276),1)*IF(Upgrades!$T$10="Solar Wind",POWER(Upgrades!$U$10,I276),1)*IF(Upgrades!$T$11="Solar Wind",POWER(Upgrades!$U$11,J276),1)*IF(Upgrades!$T$12="Solar Wind",POWER(Upgrades!$U$12,K276),1))*POWER(Upgrades!$P$6,E276)*POWER(Upgrades!$P$7,F276)*POWER(Upgrades!$P$8,G276)*POWER(Upgrades!$P$9,H276)*POWER(Upgrades!$P$10,I276)*POWER(Upgrades!$P$11,J276)*POWER(Upgrades!$P$12,K276)*60</f>
        <v/>
      </c>
      <c r="AB276" s="27">
        <f>(IF(F276=0,0,(Upgrades!$G$7+F276*Upgrades!$H$7)*POWER(Upgrades!$I$7,F276)))*(IF(Upgrades!$T$6="Asteroid Belt",POWER(Upgrades!$U$6,E276),1)*IF(Upgrades!$T$8="Asteroid Belt",POWER(Upgrades!$U$8,G276),1)*IF(Upgrades!$T$9="Asteroid Belt",POWER(Upgrades!$U$9,H276),1)*IF(Upgrades!$T$10="Asteroid Belt",POWER(Upgrades!$U$10,I276),1)*IF(Upgrades!$T$11="Asteroid Belt",POWER(Upgrades!$U$11,J276),1)*IF(Upgrades!$T$12="Asteroid Belt",POWER(Upgrades!$U$12,K276),1))*POWER(Upgrades!$P$6,E276)*POWER(Upgrades!$P$7,F276)*POWER(Upgrades!$P$8,G276)*POWER(Upgrades!$P$9,H276)*POWER(Upgrades!$P$10,I276)*POWER(Upgrades!$P$11,J276)*POWER(Upgrades!$P$12,K276)*60</f>
        <v/>
      </c>
      <c r="AC276" s="27">
        <f>(IF(G276=0,0,(Upgrades!$J$8+G276*Upgrades!$K$8)*POWER(Upgrades!$L$8,G276)))*(IF(Upgrades!$T$6="Stellar Coupling",POWER(Upgrades!$U$6,E276),1)*IF(Upgrades!$T$7="Stellar Coupling",POWER(Upgrades!$U$7,F276),1)*IF(Upgrades!$T$9="Stellar Coupling",POWER(Upgrades!$U$9,H276),1)*IF(Upgrades!$T$10="Stellar Coupling",POWER(Upgrades!$U$10,I276),1)*IF(Upgrades!$T$11="Stellar Coupling",POWER(Upgrades!$U$11,J276),1)*IF(Upgrades!$T$12="Stellar Coupling",POWER(Upgrades!$U$12,K276),1))*POWER(Upgrades!$Q$6,E276)*POWER(Upgrades!$Q$7,F276)*POWER(Upgrades!$Q$8,G276)*POWER(Upgrades!$Q$9,H276)*POWER(Upgrades!$Q$10,I276)*POWER(Upgrades!$Q$11,J276)*POWER(Upgrades!$Q$12,K276)*Parameters!$B$10*Parameters!$B$11</f>
        <v/>
      </c>
      <c r="AD276" s="27">
        <f>(IF(H276=0,0,(Upgrades!$G$9+H276*Upgrades!$H$9)*POWER(Upgrades!$I$9,H276)))*(IF(Upgrades!$T$6="Magnetosphere",POWER(Upgrades!$U$6,E276),1)*IF(Upgrades!$T$7="Magnetosphere",POWER(Upgrades!$U$7,F276),1)*IF(Upgrades!$T$8="Magnetosphere",POWER(Upgrades!$U$8,G276),1)*IF(Upgrades!$T$10="Magnetosphere",POWER(Upgrades!$U$10,I276),1)*IF(Upgrades!$T$11="Magnetosphere",POWER(Upgrades!$U$11,J276),1)*IF(Upgrades!$T$12="Magnetosphere",POWER(Upgrades!$U$12,K276),1))*POWER(Upgrades!$P$6,E276)*POWER(Upgrades!$P$7,F276)*POWER(Upgrades!$P$8,G276)*POWER(Upgrades!$P$9,H276)*POWER(Upgrades!$P$10,I276)*POWER(Upgrades!$P$11,J276)*POWER(Upgrades!$P$12,K276)*60</f>
        <v/>
      </c>
      <c r="AE276" s="27">
        <f>(IF(K276=0,0,(Upgrades!$G$12+K276*Upgrades!$H$12)*POWER(Upgrades!$I$12,K276)))*(IF(Upgrades!$T$6="First Photons",POWER(Upgrades!$U$6,E276),1)*IF(Upgrades!$T$7="First Photons",POWER(Upgrades!$U$7,F276),1)*IF(Upgrades!$T$8="First Photons",POWER(Upgrades!$U$8,G276),1)*IF(Upgrades!$T$9="First Photons",POWER(Upgrades!$U$9,H276),1)*IF(Upgrades!$T$10="First Photons",POWER(Upgrades!$U$10,I276),1)*IF(Upgrades!$T$11="First Photons",POWER(Upgrades!$U$11,J276),1))*POWER(Upgrades!$P$6,E276)*POWER(Upgrades!$P$7,F276)*POWER(Upgrades!$P$8,G276)*POWER(Upgrades!$P$9,H276)*POWER(Upgrades!$P$10,I276)*POWER(Upgrades!$P$11,J276)*POWER(Upgrades!$P$12,K276)*60</f>
        <v/>
      </c>
      <c r="AF276" s="27">
        <f>Parameters!$B$9*POWER(Upgrades!$Q$6,E276)*POWER(Upgrades!$Q$7,F276)*POWER(Upgrades!$Q$8,G276)*POWER(Upgrades!$Q$9,H276)*POWER(Upgrades!$Q$10,I276)*POWER(Upgrades!$Q$11,J276)*POWER(Upgrades!$Q$12,K276)*(Parameters!$B$10*Parameters!$B$11+O276*60)</f>
        <v/>
      </c>
      <c r="AG276" s="22">
        <f>IF(E276&gt;=Upgrades!$E$6,"",Upgrades!$C$6*POWER(Upgrades!$D$6,E276))</f>
        <v/>
      </c>
      <c r="AH276" s="22">
        <f>IF(F276&gt;=Upgrades!$E$7,"",Upgrades!$C$7*POWER(Upgrades!$D$7,F276))</f>
        <v/>
      </c>
      <c r="AI276" s="22">
        <f>IF(G276&gt;=Upgrades!$E$8,"",Upgrades!$C$8*POWER(Upgrades!$D$8,G276))</f>
        <v/>
      </c>
      <c r="AJ276" s="22">
        <f>IF(H276&gt;=Upgrades!$E$9,"",Upgrades!$C$9*POWER(Upgrades!$D$9,H276))</f>
        <v/>
      </c>
      <c r="AK276" s="22">
        <f>IF(I276&gt;=Upgrades!$E$10,"",Upgrades!$C$10*POWER(Upgrades!$D$10,I276))</f>
        <v/>
      </c>
      <c r="AL276" s="22">
        <f>IF(J276&gt;=Upgrades!$E$11,"",Upgrades!$C$11*POWER(Upgrades!$D$11,J276))</f>
        <v/>
      </c>
      <c r="AM276" s="22">
        <f>IF(K276&gt;=Upgrades!$E$12,"",Upgrades!$C$12*POWER(Upgrades!$D$12,K276))</f>
        <v/>
      </c>
      <c r="AN276" s="26">
        <f>IF(AND(D276&gt;=Parameters!$B$18,(H276&gt;=Upgrades!$E$9)*(K276&gt;=Upgrades!$E$12)=1,L276=0),1,"")</f>
        <v/>
      </c>
      <c r="AO276" s="26">
        <f>IF(AND(D276&gt;=Parameters!$B$18,L276=0),1,"")</f>
        <v/>
      </c>
      <c r="AP276" s="22">
        <f>MIN(IF(ISNUMBER(AK276),AK276,9E15),IF(ISNUMBER(AL276),AL276,9E15),IF(ISNUMBER(AM276),AM276,9E15))</f>
        <v/>
      </c>
      <c r="AQ276" s="22">
        <f>MIN(IF(ISNUMBER(AG276),AG276,9E15),IF(ISNUMBER(AH276),AH276,9E15),IF(ISNUMBER(AI276),AI276,9E15),IF(ISNUMBER(AJ276),AJ276,9E15))</f>
        <v/>
      </c>
      <c r="AR276" s="29">
        <f>IF(AW276&gt;Parameters!$B$21*(MAX(IF(AND(NOT(AND(AO276=1,AN276&lt;&gt;1)),ISNUMBER(AG276),AG276&lt;=T276),AS276,0),IF(AND(NOT(AND(AO276=1,AN276&lt;&gt;1)),ISNUMBER(AH276),AH276&lt;=T276),AT276,0),IF(AND(NOT(AND(AO276=1,AN276&lt;&gt;1)),ISNUMBER(AI276),AI276&lt;=T276),AU276,0),IF(AND(ISNUMBER(AJ276),AJ276&lt;=T276),AV276,0))),TRUE,FALSE)</f>
        <v/>
      </c>
      <c r="AS276" s="32">
        <f>IFERROR(Upgrades!$H$6*(POWER(Upgrades!$P$6,E276)*POWER(Upgrades!$P$7,F276)*POWER(Upgrades!$P$8,G276)*POWER(Upgrades!$P$9,H276)*POWER(Upgrades!$P$10,I276)*POWER(Upgrades!$P$11,J276)*POWER(Upgrades!$P$12,K276))*(IF(Upgrades!$T$7="Solar Wind",POWER(Upgrades!$U$7,F276),1)*IF(Upgrades!$T$8="Solar Wind",POWER(Upgrades!$U$8,G276),1)*IF(Upgrades!$T$9="Solar Wind",POWER(Upgrades!$U$9,H276),1)*IF(Upgrades!$T$10="Solar Wind",POWER(Upgrades!$U$10,I276),1)*IF(Upgrades!$T$11="Solar Wind",POWER(Upgrades!$U$11,J276),1)*IF(Upgrades!$T$12="Solar Wind",POWER(Upgrades!$U$12,K276),1))/AG276,0)</f>
        <v/>
      </c>
      <c r="AT276" s="32">
        <f>IFERROR(Upgrades!$H$7*(POWER(Upgrades!$P$6,E276)*POWER(Upgrades!$P$7,F276)*POWER(Upgrades!$P$8,G276)*POWER(Upgrades!$P$9,H276)*POWER(Upgrades!$P$10,I276)*POWER(Upgrades!$P$11,J276)*POWER(Upgrades!$P$12,K276))*(IF(Upgrades!$T$6="Asteroid Belt",POWER(Upgrades!$U$6,E276),1)*IF(Upgrades!$T$8="Asteroid Belt",POWER(Upgrades!$U$8,G276),1)*IF(Upgrades!$T$9="Asteroid Belt",POWER(Upgrades!$U$9,H276),1)*IF(Upgrades!$T$10="Asteroid Belt",POWER(Upgrades!$U$10,I276),1)*IF(Upgrades!$T$11="Asteroid Belt",POWER(Upgrades!$U$11,J276),1)*IF(Upgrades!$T$12="Asteroid Belt",POWER(Upgrades!$U$12,K276),1))/AH276,0)</f>
        <v/>
      </c>
      <c r="AU276" s="32">
        <f>IFERROR(Upgrades!$K$8*(POWER(Upgrades!$Q$6,E276)*POWER(Upgrades!$Q$7,F276)*POWER(Upgrades!$Q$8,G276)*POWER(Upgrades!$Q$9,H276)*POWER(Upgrades!$Q$10,I276)*POWER(Upgrades!$Q$11,J276)*POWER(Upgrades!$Q$12,K276))*(IF(Upgrades!$T$6="Stellar Coupling",POWER(Upgrades!$U$6,E276),1)*IF(Upgrades!$T$7="Stellar Coupling",POWER(Upgrades!$U$7,F276),1)*IF(Upgrades!$T$9="Stellar Coupling",POWER(Upgrades!$U$9,H276),1)*IF(Upgrades!$T$10="Stellar Coupling",POWER(Upgrades!$U$10,I276),1)*IF(Upgrades!$T$11="Stellar Coupling",POWER(Upgrades!$U$11,J276),1)*IF(Upgrades!$T$12="Stellar Coupling",POWER(Upgrades!$U$12,K276),1))*Parameters!$B$10*Parameters!$B$11/60/AI276,0)</f>
        <v/>
      </c>
      <c r="AV276" s="32">
        <f>IFERROR(Upgrades!$H$9*(POWER(Upgrades!$P$6,E276)*POWER(Upgrades!$P$7,F276)*POWER(Upgrades!$P$8,G276)*POWER(Upgrades!$P$9,H276)*POWER(Upgrades!$P$10,I276)*POWER(Upgrades!$P$11,J276)*POWER(Upgrades!$P$12,K276))*(IF(Upgrades!$T$6="Magnetosphere",POWER(Upgrades!$U$6,E276),1)*IF(Upgrades!$T$7="Magnetosphere",POWER(Upgrades!$U$7,F276),1)*IF(Upgrades!$T$8="Magnetosphere",POWER(Upgrades!$U$8,G276),1)*IF(Upgrades!$T$10="Magnetosphere",POWER(Upgrades!$U$10,I276),1)*IF(Upgrades!$T$11="Magnetosphere",POWER(Upgrades!$U$11,J276),1)*IF(Upgrades!$T$12="Magnetosphere",POWER(Upgrades!$U$12,K276),1))/AJ276,0)</f>
        <v/>
      </c>
      <c r="AW276" s="32">
        <f>MAX(IF(I276&gt;0,0,IFERROR(0.25*N276/Upgrades!$C$10,0)),IF(J276&gt;0,0,IFERROR(0.5*((IF(G276=0,0,(Upgrades!$J$8+G276*Upgrades!$K$8)*POWER(Upgrades!$L$8,G276)))*(IF(Upgrades!$T$6="Stellar Coupling",POWER(Upgrades!$U$6,E276),1)*IF(Upgrades!$T$7="Stellar Coupling",POWER(Upgrades!$U$7,F276),1)*IF(Upgrades!$T$9="Stellar Coupling",POWER(Upgrades!$U$9,H276),1)*IF(Upgrades!$T$10="Stellar Coupling",POWER(Upgrades!$U$10,I276),1)*IF(Upgrades!$T$11="Stellar Coupling",POWER(Upgrades!$U$11,J276),1)*IF(Upgrades!$T$12="Stellar Coupling",POWER(Upgrades!$U$12,K276),1))*(POWER(Upgrades!$Q$6,E276)*POWER(Upgrades!$Q$7,F276)*POWER(Upgrades!$Q$8,G276)*POWER(Upgrades!$Q$9,H276)*POWER(Upgrades!$Q$10,I276)*POWER(Upgrades!$Q$11,J276)*POWER(Upgrades!$Q$12,K276))*Parameters!$B$10*Parameters!$B$11/60)/Upgrades!$C$11,0)),IF(K276&gt;0,0,IFERROR((1.0*(POWER(Upgrades!$P$6,E276)*POWER(Upgrades!$P$7,F276)*POWER(Upgrades!$P$8,G276)*POWER(Upgrades!$P$9,H276)*POWER(Upgrades!$P$10,I276)*POWER(Upgrades!$P$11,J276)*POWER(Upgrades!$P$12,K276))+0.20*M276*Parameters!$B$10*Parameters!$B$11/60)/Upgrades!$C$12,0)),IF(AND(ISNUMBER(AG276),AG276&gt;T276),AS276,0),IF(AND(ISNUMBER(AH276),AH276&gt;T276),AT276,0),IF(AND(ISNUMBER(AI276),AI276&gt;T276),AU276,0),IF(AND(ISNUMBER(AJ276),AJ276&gt;T276),AV276,0))</f>
        <v/>
      </c>
      <c r="AX276" s="29">
        <f>IF(AN276=1,"transition",IF(MIN(IF(AND(I276=0,ISNUMBER(AK276),AK276&lt;=T276),AK276,9E15),IF(AND(J276=0,ISNUMBER(AL276),AL276&lt;=T276),AL276,9E15),IF(AND(K276=0,ISNUMBER(AM276),AM276&lt;=T276),AM276,9E15))&lt;9E15,IF(AND(AND(I276=0,ISNUMBER(AK276),AK276&lt;=T276),AK276=MIN(IF(AND(I276=0,ISNUMBER(AK276),AK276&lt;=T276),AK276,9E15),IF(AND(J276=0,ISNUMBER(AL276),AL276&lt;=T276),AL276,9E15),IF(AND(K276=0,ISNUMBER(AM276),AM276&lt;=T276),AM276,9E15))),"OR",IF(AND(AND(J276=0,ISNUMBER(AL276),AL276&lt;=T276),AL276=MIN(IF(AND(I276=0,ISNUMBER(AK276),AK276&lt;=T276),AK276,9E15),IF(AND(J276=0,ISNUMBER(AL276),AL276&lt;=T276),AL276,9E15),IF(AND(K276=0,ISNUMBER(AM276),AM276&lt;=T276),AM276,9E15))),"HP","FP")),IF(AR276=TRUE,"",IF(MAX(IF(AND(NOT(AND(AO276=1,AN276&lt;&gt;1)),ISNUMBER(AG276),AG276&lt;=T276),AS276,0),IF(AND(NOT(AND(AO276=1,AN276&lt;&gt;1)),ISNUMBER(AH276),AH276&lt;=T276),AT276,0),IF(AND(NOT(AND(AO276=1,AN276&lt;&gt;1)),ISNUMBER(AI276),AI276&lt;=T276),AU276,0),IF(AND(ISNUMBER(AJ276),AJ276&lt;=T276),AV276,0))&lt;=0,"",IF(AND(IF(AND(NOT(AND(AO276=1,AN276&lt;&gt;1)),ISNUMBER(AG276),AG276&lt;=T276),AS276,0)&gt;0,IF(AND(NOT(AND(AO276=1,AN276&lt;&gt;1)),ISNUMBER(AG276),AG276&lt;=T276),AS276,0)=MAX(IF(AND(NOT(AND(AO276=1,AN276&lt;&gt;1)),ISNUMBER(AG276),AG276&lt;=T276),AS276,0),IF(AND(NOT(AND(AO276=1,AN276&lt;&gt;1)),ISNUMBER(AH276),AH276&lt;=T276),AT276,0),IF(AND(NOT(AND(AO276=1,AN276&lt;&gt;1)),ISNUMBER(AI276),AI276&lt;=T276),AU276,0),IF(AND(ISNUMBER(AJ276),AJ276&lt;=T276),AV276,0))),"SW",IF(AND(IF(AND(NOT(AND(AO276=1,AN276&lt;&gt;1)),ISNUMBER(AH276),AH276&lt;=T276),AT276,0)&gt;0,IF(AND(NOT(AND(AO276=1,AN276&lt;&gt;1)),ISNUMBER(AH276),AH276&lt;=T276),AT276,0)=MAX(IF(AND(NOT(AND(AO276=1,AN276&lt;&gt;1)),ISNUMBER(AG276),AG276&lt;=T276),AS276,0),IF(AND(NOT(AND(AO276=1,AN276&lt;&gt;1)),ISNUMBER(AH276),AH276&lt;=T276),AT276,0),IF(AND(NOT(AND(AO276=1,AN276&lt;&gt;1)),ISNUMBER(AI276),AI276&lt;=T276),AU276,0),IF(AND(ISNUMBER(AJ276),AJ276&lt;=T276),AV276,0))),"AB",IF(AND(IF(AND(NOT(AND(AO276=1,AN276&lt;&gt;1)),ISNUMBER(AI276),AI276&lt;=T276),AU276,0)&gt;0,IF(AND(NOT(AND(AO276=1,AN276&lt;&gt;1)),ISNUMBER(AI276),AI276&lt;=T276),AU276,0)=MAX(IF(AND(NOT(AND(AO276=1,AN276&lt;&gt;1)),ISNUMBER(AG276),AG276&lt;=T276),AS276,0),IF(AND(NOT(AND(AO276=1,AN276&lt;&gt;1)),ISNUMBER(AH276),AH276&lt;=T276),AT276,0),IF(AND(NOT(AND(AO276=1,AN276&lt;&gt;1)),ISNUMBER(AI276),AI276&lt;=T276),AU276,0),IF(AND(ISNUMBER(AJ276),AJ276&lt;=T276),AV276,0))),"SC","Mag")))))))</f>
        <v/>
      </c>
    </row>
    <row r="277">
      <c r="A277" s="26" t="n">
        <v>272</v>
      </c>
      <c r="B277" s="27">
        <f>A277*10/60</f>
        <v/>
      </c>
      <c r="C277" s="22">
        <f>X276</f>
        <v/>
      </c>
      <c r="D277" s="27">
        <f>D276+W276</f>
        <v/>
      </c>
      <c r="E277" s="26">
        <f>E276+IF(U276="SW",1,0)</f>
        <v/>
      </c>
      <c r="F277" s="26">
        <f>F276+IF(U276="AB",1,0)</f>
        <v/>
      </c>
      <c r="G277" s="26">
        <f>G276+IF(U276="SC",1,0)</f>
        <v/>
      </c>
      <c r="H277" s="26">
        <f>H276+IF(U276="Mag",1,0)</f>
        <v/>
      </c>
      <c r="I277" s="26">
        <f>MAX(I276,IF(U276="OR",1,0))</f>
        <v/>
      </c>
      <c r="J277" s="26">
        <f>MAX(J276,IF(U276="HP",1,0))</f>
        <v/>
      </c>
      <c r="K277" s="26">
        <f>MAX(K276,IF(U276="FP",1,0))</f>
        <v/>
      </c>
      <c r="L277" s="26">
        <f>MAX(L276,IF(U276="transition",1,0))</f>
        <v/>
      </c>
      <c r="M277" s="28">
        <f>(Parameters!$B$9+(IF(E277=0,0,(Upgrades!$J$6+E277*Upgrades!$K$6)*POWER(Upgrades!$L$6,E277)))*(IF(Upgrades!$T$7="Solar Wind",POWER(Upgrades!$U$7,F277),1)*IF(Upgrades!$T$8="Solar Wind",POWER(Upgrades!$U$8,G277),1)*IF(Upgrades!$T$9="Solar Wind",POWER(Upgrades!$U$9,H277),1)*IF(Upgrades!$T$10="Solar Wind",POWER(Upgrades!$U$10,I277),1)*IF(Upgrades!$T$11="Solar Wind",POWER(Upgrades!$U$11,J277),1)*IF(Upgrades!$T$12="Solar Wind",POWER(Upgrades!$U$12,K277),1))+(IF(F277=0,0,(Upgrades!$J$7+F277*Upgrades!$K$7)*POWER(Upgrades!$L$7,F277)))*(IF(Upgrades!$T$6="Asteroid Belt",POWER(Upgrades!$U$6,E277),1)*IF(Upgrades!$T$8="Asteroid Belt",POWER(Upgrades!$U$8,G277),1)*IF(Upgrades!$T$9="Asteroid Belt",POWER(Upgrades!$U$9,H277),1)*IF(Upgrades!$T$10="Asteroid Belt",POWER(Upgrades!$U$10,I277),1)*IF(Upgrades!$T$11="Asteroid Belt",POWER(Upgrades!$U$11,J277),1)*IF(Upgrades!$T$12="Asteroid Belt",POWER(Upgrades!$U$12,K277),1))+(IF(G277=0,0,(Upgrades!$J$8+G277*Upgrades!$K$8)*POWER(Upgrades!$L$8,G277)))*(IF(Upgrades!$T$6="Stellar Coupling",POWER(Upgrades!$U$6,E277),1)*IF(Upgrades!$T$7="Stellar Coupling",POWER(Upgrades!$U$7,F277),1)*IF(Upgrades!$T$9="Stellar Coupling",POWER(Upgrades!$U$9,H277),1)*IF(Upgrades!$T$10="Stellar Coupling",POWER(Upgrades!$U$10,I277),1)*IF(Upgrades!$T$11="Stellar Coupling",POWER(Upgrades!$U$11,J277),1)*IF(Upgrades!$T$12="Stellar Coupling",POWER(Upgrades!$U$12,K277),1))+(IF(H277=0,0,(Upgrades!$J$9+H277*Upgrades!$K$9)*POWER(Upgrades!$L$9,H277)))*(IF(Upgrades!$T$6="Magnetosphere",POWER(Upgrades!$U$6,E277),1)*IF(Upgrades!$T$7="Magnetosphere",POWER(Upgrades!$U$7,F277),1)*IF(Upgrades!$T$8="Magnetosphere",POWER(Upgrades!$U$8,G277),1)*IF(Upgrades!$T$10="Magnetosphere",POWER(Upgrades!$U$10,I277),1)*IF(Upgrades!$T$11="Magnetosphere",POWER(Upgrades!$U$11,J277),1)*IF(Upgrades!$T$12="Magnetosphere",POWER(Upgrades!$U$12,K277),1))+(IF(I277=0,0,(Upgrades!$J$10+I277*Upgrades!$K$10)*POWER(Upgrades!$L$10,I277)))*(IF(Upgrades!$T$6="Orbital Resonance",POWER(Upgrades!$U$6,E277),1)*IF(Upgrades!$T$7="Orbital Resonance",POWER(Upgrades!$U$7,F277),1)*IF(Upgrades!$T$8="Orbital Resonance",POWER(Upgrades!$U$8,G277),1)*IF(Upgrades!$T$9="Orbital Resonance",POWER(Upgrades!$U$9,H277),1)*IF(Upgrades!$T$11="Orbital Resonance",POWER(Upgrades!$U$11,J277),1)*IF(Upgrades!$T$12="Orbital Resonance",POWER(Upgrades!$U$12,K277),1))+(IF(J277=0,0,(Upgrades!$J$11+J277*Upgrades!$K$11)*POWER(Upgrades!$L$11,J277)))*(IF(Upgrades!$T$6="Heliopause",POWER(Upgrades!$U$6,E277),1)*IF(Upgrades!$T$7="Heliopause",POWER(Upgrades!$U$7,F277),1)*IF(Upgrades!$T$8="Heliopause",POWER(Upgrades!$U$8,G277),1)*IF(Upgrades!$T$9="Heliopause",POWER(Upgrades!$U$9,H277),1)*IF(Upgrades!$T$10="Heliopause",POWER(Upgrades!$U$10,I277),1)*IF(Upgrades!$T$12="Heliopause",POWER(Upgrades!$U$12,K277),1))+(IF(K277=0,0,(Upgrades!$J$12+K277*Upgrades!$K$12)*POWER(Upgrades!$L$12,K277)))*(IF(Upgrades!$T$6="First Photons",POWER(Upgrades!$U$6,E277),1)*IF(Upgrades!$T$7="First Photons",POWER(Upgrades!$U$7,F277),1)*IF(Upgrades!$T$8="First Photons",POWER(Upgrades!$U$8,G277),1)*IF(Upgrades!$T$9="First Photons",POWER(Upgrades!$U$9,H277),1)*IF(Upgrades!$T$10="First Photons",POWER(Upgrades!$U$10,I277),1)*IF(Upgrades!$T$11="First Photons",POWER(Upgrades!$U$11,J277),1)))*POWER(Upgrades!$Q$6,E277)*POWER(Upgrades!$Q$7,F277)*POWER(Upgrades!$Q$8,G277)*POWER(Upgrades!$Q$9,H277)*POWER(Upgrades!$Q$10,I277)*POWER(Upgrades!$Q$11,J277)*POWER(Upgrades!$Q$12,K277)</f>
        <v/>
      </c>
      <c r="N277" s="28">
        <f>((IF(E277=0,0,(Upgrades!$G$6+E277*Upgrades!$H$6)*POWER(Upgrades!$I$6,E277)))*(IF(Upgrades!$T$7="Solar Wind",POWER(Upgrades!$U$7,F277),1)*IF(Upgrades!$T$8="Solar Wind",POWER(Upgrades!$U$8,G277),1)*IF(Upgrades!$T$9="Solar Wind",POWER(Upgrades!$U$9,H277),1)*IF(Upgrades!$T$10="Solar Wind",POWER(Upgrades!$U$10,I277),1)*IF(Upgrades!$T$11="Solar Wind",POWER(Upgrades!$U$11,J277),1)*IF(Upgrades!$T$12="Solar Wind",POWER(Upgrades!$U$12,K277),1))+(IF(F277=0,0,(Upgrades!$G$7+F277*Upgrades!$H$7)*POWER(Upgrades!$I$7,F277)))*(IF(Upgrades!$T$6="Asteroid Belt",POWER(Upgrades!$U$6,E277),1)*IF(Upgrades!$T$8="Asteroid Belt",POWER(Upgrades!$U$8,G277),1)*IF(Upgrades!$T$9="Asteroid Belt",POWER(Upgrades!$U$9,H277),1)*IF(Upgrades!$T$10="Asteroid Belt",POWER(Upgrades!$U$10,I277),1)*IF(Upgrades!$T$11="Asteroid Belt",POWER(Upgrades!$U$11,J277),1)*IF(Upgrades!$T$12="Asteroid Belt",POWER(Upgrades!$U$12,K277),1))+(IF(G277=0,0,(Upgrades!$G$8+G277*Upgrades!$H$8)*POWER(Upgrades!$I$8,G277)))*(IF(Upgrades!$T$6="Stellar Coupling",POWER(Upgrades!$U$6,E277),1)*IF(Upgrades!$T$7="Stellar Coupling",POWER(Upgrades!$U$7,F277),1)*IF(Upgrades!$T$9="Stellar Coupling",POWER(Upgrades!$U$9,H277),1)*IF(Upgrades!$T$10="Stellar Coupling",POWER(Upgrades!$U$10,I277),1)*IF(Upgrades!$T$11="Stellar Coupling",POWER(Upgrades!$U$11,J277),1)*IF(Upgrades!$T$12="Stellar Coupling",POWER(Upgrades!$U$12,K277),1))+(IF(H277=0,0,(Upgrades!$G$9+H277*Upgrades!$H$9)*POWER(Upgrades!$I$9,H277)))*(IF(Upgrades!$T$6="Magnetosphere",POWER(Upgrades!$U$6,E277),1)*IF(Upgrades!$T$7="Magnetosphere",POWER(Upgrades!$U$7,F277),1)*IF(Upgrades!$T$8="Magnetosphere",POWER(Upgrades!$U$8,G277),1)*IF(Upgrades!$T$10="Magnetosphere",POWER(Upgrades!$U$10,I277),1)*IF(Upgrades!$T$11="Magnetosphere",POWER(Upgrades!$U$11,J277),1)*IF(Upgrades!$T$12="Magnetosphere",POWER(Upgrades!$U$12,K277),1))+(IF(I277=0,0,(Upgrades!$G$10+I277*Upgrades!$H$10)*POWER(Upgrades!$I$10,I277)))*(IF(Upgrades!$T$6="Orbital Resonance",POWER(Upgrades!$U$6,E277),1)*IF(Upgrades!$T$7="Orbital Resonance",POWER(Upgrades!$U$7,F277),1)*IF(Upgrades!$T$8="Orbital Resonance",POWER(Upgrades!$U$8,G277),1)*IF(Upgrades!$T$9="Orbital Resonance",POWER(Upgrades!$U$9,H277),1)*IF(Upgrades!$T$11="Orbital Resonance",POWER(Upgrades!$U$11,J277),1)*IF(Upgrades!$T$12="Orbital Resonance",POWER(Upgrades!$U$12,K277),1))+(IF(J277=0,0,(Upgrades!$G$11+J277*Upgrades!$H$11)*POWER(Upgrades!$I$11,J277)))*(IF(Upgrades!$T$6="Heliopause",POWER(Upgrades!$U$6,E277),1)*IF(Upgrades!$T$7="Heliopause",POWER(Upgrades!$U$7,F277),1)*IF(Upgrades!$T$8="Heliopause",POWER(Upgrades!$U$8,G277),1)*IF(Upgrades!$T$9="Heliopause",POWER(Upgrades!$U$9,H277),1)*IF(Upgrades!$T$10="Heliopause",POWER(Upgrades!$U$10,I277),1)*IF(Upgrades!$T$12="Heliopause",POWER(Upgrades!$U$12,K277),1))+(IF(K277=0,0,(Upgrades!$G$12+K277*Upgrades!$H$12)*POWER(Upgrades!$I$12,K277)))*(IF(Upgrades!$T$6="First Photons",POWER(Upgrades!$U$6,E277),1)*IF(Upgrades!$T$7="First Photons",POWER(Upgrades!$U$7,F277),1)*IF(Upgrades!$T$8="First Photons",POWER(Upgrades!$U$8,G277),1)*IF(Upgrades!$T$9="First Photons",POWER(Upgrades!$U$9,H277),1)*IF(Upgrades!$T$10="First Photons",POWER(Upgrades!$U$10,I277),1)*IF(Upgrades!$T$11="First Photons",POWER(Upgrades!$U$11,J277),1)))*POWER(Upgrades!$P$6,E277)*POWER(Upgrades!$P$7,F277)*POWER(Upgrades!$P$8,G277)*POWER(Upgrades!$P$9,H277)*POWER(Upgrades!$P$10,I277)*POWER(Upgrades!$P$11,J277)*POWER(Upgrades!$P$12,K277)</f>
        <v/>
      </c>
      <c r="O277" s="28">
        <f>((IF(E277=0,0,(Upgrades!$M$6+E277*Upgrades!$N$6)*POWER(Upgrades!$O$6,E277)))*(IF(Upgrades!$T$7="Solar Wind",POWER(Upgrades!$U$7,F277),1)*IF(Upgrades!$T$8="Solar Wind",POWER(Upgrades!$U$8,G277),1)*IF(Upgrades!$T$9="Solar Wind",POWER(Upgrades!$U$9,H277),1)*IF(Upgrades!$T$10="Solar Wind",POWER(Upgrades!$U$10,I277),1)*IF(Upgrades!$T$11="Solar Wind",POWER(Upgrades!$U$11,J277),1)*IF(Upgrades!$T$12="Solar Wind",POWER(Upgrades!$U$12,K277),1))+(IF(F277=0,0,(Upgrades!$M$7+F277*Upgrades!$N$7)*POWER(Upgrades!$O$7,F277)))*(IF(Upgrades!$T$6="Asteroid Belt",POWER(Upgrades!$U$6,E277),1)*IF(Upgrades!$T$8="Asteroid Belt",POWER(Upgrades!$U$8,G277),1)*IF(Upgrades!$T$9="Asteroid Belt",POWER(Upgrades!$U$9,H277),1)*IF(Upgrades!$T$10="Asteroid Belt",POWER(Upgrades!$U$10,I277),1)*IF(Upgrades!$T$11="Asteroid Belt",POWER(Upgrades!$U$11,J277),1)*IF(Upgrades!$T$12="Asteroid Belt",POWER(Upgrades!$U$12,K277),1))+(IF(G277=0,0,(Upgrades!$M$8+G277*Upgrades!$N$8)*POWER(Upgrades!$O$8,G277)))*(IF(Upgrades!$T$6="Stellar Coupling",POWER(Upgrades!$U$6,E277),1)*IF(Upgrades!$T$7="Stellar Coupling",POWER(Upgrades!$U$7,F277),1)*IF(Upgrades!$T$9="Stellar Coupling",POWER(Upgrades!$U$9,H277),1)*IF(Upgrades!$T$10="Stellar Coupling",POWER(Upgrades!$U$10,I277),1)*IF(Upgrades!$T$11="Stellar Coupling",POWER(Upgrades!$U$11,J277),1)*IF(Upgrades!$T$12="Stellar Coupling",POWER(Upgrades!$U$12,K277),1))+(IF(H277=0,0,(Upgrades!$M$9+H277*Upgrades!$N$9)*POWER(Upgrades!$O$9,H277)))*(IF(Upgrades!$T$6="Magnetosphere",POWER(Upgrades!$U$6,E277),1)*IF(Upgrades!$T$7="Magnetosphere",POWER(Upgrades!$U$7,F277),1)*IF(Upgrades!$T$8="Magnetosphere",POWER(Upgrades!$U$8,G277),1)*IF(Upgrades!$T$10="Magnetosphere",POWER(Upgrades!$U$10,I277),1)*IF(Upgrades!$T$11="Magnetosphere",POWER(Upgrades!$U$11,J277),1)*IF(Upgrades!$T$12="Magnetosphere",POWER(Upgrades!$U$12,K277),1))+(IF(I277=0,0,(Upgrades!$M$10+I277*Upgrades!$N$10)*POWER(Upgrades!$O$10,I277)))*(IF(Upgrades!$T$6="Orbital Resonance",POWER(Upgrades!$U$6,E277),1)*IF(Upgrades!$T$7="Orbital Resonance",POWER(Upgrades!$U$7,F277),1)*IF(Upgrades!$T$8="Orbital Resonance",POWER(Upgrades!$U$8,G277),1)*IF(Upgrades!$T$9="Orbital Resonance",POWER(Upgrades!$U$9,H277),1)*IF(Upgrades!$T$11="Orbital Resonance",POWER(Upgrades!$U$11,J277),1)*IF(Upgrades!$T$12="Orbital Resonance",POWER(Upgrades!$U$12,K277),1))+(IF(J277=0,0,(Upgrades!$M$11+J277*Upgrades!$N$11)*POWER(Upgrades!$O$11,J277)))*(IF(Upgrades!$T$6="Heliopause",POWER(Upgrades!$U$6,E277),1)*IF(Upgrades!$T$7="Heliopause",POWER(Upgrades!$U$7,F277),1)*IF(Upgrades!$T$8="Heliopause",POWER(Upgrades!$U$8,G277),1)*IF(Upgrades!$T$9="Heliopause",POWER(Upgrades!$U$9,H277),1)*IF(Upgrades!$T$10="Heliopause",POWER(Upgrades!$U$10,I277),1)*IF(Upgrades!$T$12="Heliopause",POWER(Upgrades!$U$12,K277),1))+(IF(K277=0,0,(Upgrades!$M$12+K277*Upgrades!$N$12)*POWER(Upgrades!$O$12,K277)))*(IF(Upgrades!$T$6="First Photons",POWER(Upgrades!$U$6,E277),1)*IF(Upgrades!$T$7="First Photons",POWER(Upgrades!$U$7,F277),1)*IF(Upgrades!$T$8="First Photons",POWER(Upgrades!$U$8,G277),1)*IF(Upgrades!$T$9="First Photons",POWER(Upgrades!$U$9,H277),1)*IF(Upgrades!$T$10="First Photons",POWER(Upgrades!$U$10,I277),1)*IF(Upgrades!$T$11="First Photons",POWER(Upgrades!$U$11,J277),1)))*POWER(Upgrades!$R$6,E277)*POWER(Upgrades!$R$7,F277)*POWER(Upgrades!$R$8,G277)*POWER(Upgrades!$R$9,H277)*POWER(Upgrades!$R$10,I277)*POWER(Upgrades!$R$11,J277)*POWER(Upgrades!$R$12,K277)</f>
        <v/>
      </c>
      <c r="P277" s="27">
        <f>IF(L277=1,0,M277*Parameters!$B$10/60*Parameters!$B$11*10)</f>
        <v/>
      </c>
      <c r="Q277" s="27">
        <f>IF(L277=1,0,O277*M277*10)</f>
        <v/>
      </c>
      <c r="R277" s="27">
        <f>IF(L277=1,0,N277*10)</f>
        <v/>
      </c>
      <c r="S277" s="27">
        <f>P277+Q277+R277</f>
        <v/>
      </c>
      <c r="T277" s="22">
        <f>C277+S277</f>
        <v/>
      </c>
      <c r="U277" s="33">
        <f>AX277</f>
        <v/>
      </c>
      <c r="V277" s="22">
        <f>IF(U277="",0,IF(U277="transition",0,IF(U277="SW",AG277,IF(U277="AB",AH277,IF(U277="SC",AI277,IF(U277="Mag",AJ277,IF(U277="OR",AK277,IF(U277="HP",AL277,IF(U277="FP",AM277,0)))))))))</f>
        <v/>
      </c>
      <c r="W277" s="27">
        <f>IF(U277="OR",Upgrades!$F$10,IF(U277="HP",Upgrades!$F$11,IF(U277="transition",-Parameters!$B$18,0)))</f>
        <v/>
      </c>
      <c r="X277" s="22">
        <f>T277-V277</f>
        <v/>
      </c>
      <c r="Y277" s="30">
        <f>M277*Parameters!$B$10/60*Parameters!$B$11+O277*M277+N277</f>
        <v/>
      </c>
      <c r="Z277" s="34">
        <f>IF(U277="transition","→ Tier 2 (Stellar Neighborhood)",IF(U277="FP","First Photons — light begins, system quickens",IF(U277="HP","Heliopause acquired",IF(U277="OR","Orbital Resonance — passive multiplier active",IF(AND(AO277=1,L277=0,AN277&lt;&gt;1),"Cohesion ready (waiting on completionist upgrades)","")))))</f>
        <v/>
      </c>
      <c r="AA277" s="27">
        <f>(IF(E277=0,0,(Upgrades!$G$6+E277*Upgrades!$H$6)*POWER(Upgrades!$I$6,E277)))*(IF(Upgrades!$T$7="Solar Wind",POWER(Upgrades!$U$7,F277),1)*IF(Upgrades!$T$8="Solar Wind",POWER(Upgrades!$U$8,G277),1)*IF(Upgrades!$T$9="Solar Wind",POWER(Upgrades!$U$9,H277),1)*IF(Upgrades!$T$10="Solar Wind",POWER(Upgrades!$U$10,I277),1)*IF(Upgrades!$T$11="Solar Wind",POWER(Upgrades!$U$11,J277),1)*IF(Upgrades!$T$12="Solar Wind",POWER(Upgrades!$U$12,K277),1))*POWER(Upgrades!$P$6,E277)*POWER(Upgrades!$P$7,F277)*POWER(Upgrades!$P$8,G277)*POWER(Upgrades!$P$9,H277)*POWER(Upgrades!$P$10,I277)*POWER(Upgrades!$P$11,J277)*POWER(Upgrades!$P$12,K277)*60</f>
        <v/>
      </c>
      <c r="AB277" s="27">
        <f>(IF(F277=0,0,(Upgrades!$G$7+F277*Upgrades!$H$7)*POWER(Upgrades!$I$7,F277)))*(IF(Upgrades!$T$6="Asteroid Belt",POWER(Upgrades!$U$6,E277),1)*IF(Upgrades!$T$8="Asteroid Belt",POWER(Upgrades!$U$8,G277),1)*IF(Upgrades!$T$9="Asteroid Belt",POWER(Upgrades!$U$9,H277),1)*IF(Upgrades!$T$10="Asteroid Belt",POWER(Upgrades!$U$10,I277),1)*IF(Upgrades!$T$11="Asteroid Belt",POWER(Upgrades!$U$11,J277),1)*IF(Upgrades!$T$12="Asteroid Belt",POWER(Upgrades!$U$12,K277),1))*POWER(Upgrades!$P$6,E277)*POWER(Upgrades!$P$7,F277)*POWER(Upgrades!$P$8,G277)*POWER(Upgrades!$P$9,H277)*POWER(Upgrades!$P$10,I277)*POWER(Upgrades!$P$11,J277)*POWER(Upgrades!$P$12,K277)*60</f>
        <v/>
      </c>
      <c r="AC277" s="27">
        <f>(IF(G277=0,0,(Upgrades!$J$8+G277*Upgrades!$K$8)*POWER(Upgrades!$L$8,G277)))*(IF(Upgrades!$T$6="Stellar Coupling",POWER(Upgrades!$U$6,E277),1)*IF(Upgrades!$T$7="Stellar Coupling",POWER(Upgrades!$U$7,F277),1)*IF(Upgrades!$T$9="Stellar Coupling",POWER(Upgrades!$U$9,H277),1)*IF(Upgrades!$T$10="Stellar Coupling",POWER(Upgrades!$U$10,I277),1)*IF(Upgrades!$T$11="Stellar Coupling",POWER(Upgrades!$U$11,J277),1)*IF(Upgrades!$T$12="Stellar Coupling",POWER(Upgrades!$U$12,K277),1))*POWER(Upgrades!$Q$6,E277)*POWER(Upgrades!$Q$7,F277)*POWER(Upgrades!$Q$8,G277)*POWER(Upgrades!$Q$9,H277)*POWER(Upgrades!$Q$10,I277)*POWER(Upgrades!$Q$11,J277)*POWER(Upgrades!$Q$12,K277)*Parameters!$B$10*Parameters!$B$11</f>
        <v/>
      </c>
      <c r="AD277" s="27">
        <f>(IF(H277=0,0,(Upgrades!$G$9+H277*Upgrades!$H$9)*POWER(Upgrades!$I$9,H277)))*(IF(Upgrades!$T$6="Magnetosphere",POWER(Upgrades!$U$6,E277),1)*IF(Upgrades!$T$7="Magnetosphere",POWER(Upgrades!$U$7,F277),1)*IF(Upgrades!$T$8="Magnetosphere",POWER(Upgrades!$U$8,G277),1)*IF(Upgrades!$T$10="Magnetosphere",POWER(Upgrades!$U$10,I277),1)*IF(Upgrades!$T$11="Magnetosphere",POWER(Upgrades!$U$11,J277),1)*IF(Upgrades!$T$12="Magnetosphere",POWER(Upgrades!$U$12,K277),1))*POWER(Upgrades!$P$6,E277)*POWER(Upgrades!$P$7,F277)*POWER(Upgrades!$P$8,G277)*POWER(Upgrades!$P$9,H277)*POWER(Upgrades!$P$10,I277)*POWER(Upgrades!$P$11,J277)*POWER(Upgrades!$P$12,K277)*60</f>
        <v/>
      </c>
      <c r="AE277" s="27">
        <f>(IF(K277=0,0,(Upgrades!$G$12+K277*Upgrades!$H$12)*POWER(Upgrades!$I$12,K277)))*(IF(Upgrades!$T$6="First Photons",POWER(Upgrades!$U$6,E277),1)*IF(Upgrades!$T$7="First Photons",POWER(Upgrades!$U$7,F277),1)*IF(Upgrades!$T$8="First Photons",POWER(Upgrades!$U$8,G277),1)*IF(Upgrades!$T$9="First Photons",POWER(Upgrades!$U$9,H277),1)*IF(Upgrades!$T$10="First Photons",POWER(Upgrades!$U$10,I277),1)*IF(Upgrades!$T$11="First Photons",POWER(Upgrades!$U$11,J277),1))*POWER(Upgrades!$P$6,E277)*POWER(Upgrades!$P$7,F277)*POWER(Upgrades!$P$8,G277)*POWER(Upgrades!$P$9,H277)*POWER(Upgrades!$P$10,I277)*POWER(Upgrades!$P$11,J277)*POWER(Upgrades!$P$12,K277)*60</f>
        <v/>
      </c>
      <c r="AF277" s="27">
        <f>Parameters!$B$9*POWER(Upgrades!$Q$6,E277)*POWER(Upgrades!$Q$7,F277)*POWER(Upgrades!$Q$8,G277)*POWER(Upgrades!$Q$9,H277)*POWER(Upgrades!$Q$10,I277)*POWER(Upgrades!$Q$11,J277)*POWER(Upgrades!$Q$12,K277)*(Parameters!$B$10*Parameters!$B$11+O277*60)</f>
        <v/>
      </c>
      <c r="AG277" s="22">
        <f>IF(E277&gt;=Upgrades!$E$6,"",Upgrades!$C$6*POWER(Upgrades!$D$6,E277))</f>
        <v/>
      </c>
      <c r="AH277" s="22">
        <f>IF(F277&gt;=Upgrades!$E$7,"",Upgrades!$C$7*POWER(Upgrades!$D$7,F277))</f>
        <v/>
      </c>
      <c r="AI277" s="22">
        <f>IF(G277&gt;=Upgrades!$E$8,"",Upgrades!$C$8*POWER(Upgrades!$D$8,G277))</f>
        <v/>
      </c>
      <c r="AJ277" s="22">
        <f>IF(H277&gt;=Upgrades!$E$9,"",Upgrades!$C$9*POWER(Upgrades!$D$9,H277))</f>
        <v/>
      </c>
      <c r="AK277" s="22">
        <f>IF(I277&gt;=Upgrades!$E$10,"",Upgrades!$C$10*POWER(Upgrades!$D$10,I277))</f>
        <v/>
      </c>
      <c r="AL277" s="22">
        <f>IF(J277&gt;=Upgrades!$E$11,"",Upgrades!$C$11*POWER(Upgrades!$D$11,J277))</f>
        <v/>
      </c>
      <c r="AM277" s="22">
        <f>IF(K277&gt;=Upgrades!$E$12,"",Upgrades!$C$12*POWER(Upgrades!$D$12,K277))</f>
        <v/>
      </c>
      <c r="AN277" s="26">
        <f>IF(AND(D277&gt;=Parameters!$B$18,(H277&gt;=Upgrades!$E$9)*(K277&gt;=Upgrades!$E$12)=1,L277=0),1,"")</f>
        <v/>
      </c>
      <c r="AO277" s="26">
        <f>IF(AND(D277&gt;=Parameters!$B$18,L277=0),1,"")</f>
        <v/>
      </c>
      <c r="AP277" s="22">
        <f>MIN(IF(ISNUMBER(AK277),AK277,9E15),IF(ISNUMBER(AL277),AL277,9E15),IF(ISNUMBER(AM277),AM277,9E15))</f>
        <v/>
      </c>
      <c r="AQ277" s="22">
        <f>MIN(IF(ISNUMBER(AG277),AG277,9E15),IF(ISNUMBER(AH277),AH277,9E15),IF(ISNUMBER(AI277),AI277,9E15),IF(ISNUMBER(AJ277),AJ277,9E15))</f>
        <v/>
      </c>
      <c r="AR277" s="29">
        <f>IF(AW277&gt;Parameters!$B$21*(MAX(IF(AND(NOT(AND(AO277=1,AN277&lt;&gt;1)),ISNUMBER(AG277),AG277&lt;=T277),AS277,0),IF(AND(NOT(AND(AO277=1,AN277&lt;&gt;1)),ISNUMBER(AH277),AH277&lt;=T277),AT277,0),IF(AND(NOT(AND(AO277=1,AN277&lt;&gt;1)),ISNUMBER(AI277),AI277&lt;=T277),AU277,0),IF(AND(ISNUMBER(AJ277),AJ277&lt;=T277),AV277,0))),TRUE,FALSE)</f>
        <v/>
      </c>
      <c r="AS277" s="32">
        <f>IFERROR(Upgrades!$H$6*(POWER(Upgrades!$P$6,E277)*POWER(Upgrades!$P$7,F277)*POWER(Upgrades!$P$8,G277)*POWER(Upgrades!$P$9,H277)*POWER(Upgrades!$P$10,I277)*POWER(Upgrades!$P$11,J277)*POWER(Upgrades!$P$12,K277))*(IF(Upgrades!$T$7="Solar Wind",POWER(Upgrades!$U$7,F277),1)*IF(Upgrades!$T$8="Solar Wind",POWER(Upgrades!$U$8,G277),1)*IF(Upgrades!$T$9="Solar Wind",POWER(Upgrades!$U$9,H277),1)*IF(Upgrades!$T$10="Solar Wind",POWER(Upgrades!$U$10,I277),1)*IF(Upgrades!$T$11="Solar Wind",POWER(Upgrades!$U$11,J277),1)*IF(Upgrades!$T$12="Solar Wind",POWER(Upgrades!$U$12,K277),1))/AG277,0)</f>
        <v/>
      </c>
      <c r="AT277" s="32">
        <f>IFERROR(Upgrades!$H$7*(POWER(Upgrades!$P$6,E277)*POWER(Upgrades!$P$7,F277)*POWER(Upgrades!$P$8,G277)*POWER(Upgrades!$P$9,H277)*POWER(Upgrades!$P$10,I277)*POWER(Upgrades!$P$11,J277)*POWER(Upgrades!$P$12,K277))*(IF(Upgrades!$T$6="Asteroid Belt",POWER(Upgrades!$U$6,E277),1)*IF(Upgrades!$T$8="Asteroid Belt",POWER(Upgrades!$U$8,G277),1)*IF(Upgrades!$T$9="Asteroid Belt",POWER(Upgrades!$U$9,H277),1)*IF(Upgrades!$T$10="Asteroid Belt",POWER(Upgrades!$U$10,I277),1)*IF(Upgrades!$T$11="Asteroid Belt",POWER(Upgrades!$U$11,J277),1)*IF(Upgrades!$T$12="Asteroid Belt",POWER(Upgrades!$U$12,K277),1))/AH277,0)</f>
        <v/>
      </c>
      <c r="AU277" s="32">
        <f>IFERROR(Upgrades!$K$8*(POWER(Upgrades!$Q$6,E277)*POWER(Upgrades!$Q$7,F277)*POWER(Upgrades!$Q$8,G277)*POWER(Upgrades!$Q$9,H277)*POWER(Upgrades!$Q$10,I277)*POWER(Upgrades!$Q$11,J277)*POWER(Upgrades!$Q$12,K277))*(IF(Upgrades!$T$6="Stellar Coupling",POWER(Upgrades!$U$6,E277),1)*IF(Upgrades!$T$7="Stellar Coupling",POWER(Upgrades!$U$7,F277),1)*IF(Upgrades!$T$9="Stellar Coupling",POWER(Upgrades!$U$9,H277),1)*IF(Upgrades!$T$10="Stellar Coupling",POWER(Upgrades!$U$10,I277),1)*IF(Upgrades!$T$11="Stellar Coupling",POWER(Upgrades!$U$11,J277),1)*IF(Upgrades!$T$12="Stellar Coupling",POWER(Upgrades!$U$12,K277),1))*Parameters!$B$10*Parameters!$B$11/60/AI277,0)</f>
        <v/>
      </c>
      <c r="AV277" s="32">
        <f>IFERROR(Upgrades!$H$9*(POWER(Upgrades!$P$6,E277)*POWER(Upgrades!$P$7,F277)*POWER(Upgrades!$P$8,G277)*POWER(Upgrades!$P$9,H277)*POWER(Upgrades!$P$10,I277)*POWER(Upgrades!$P$11,J277)*POWER(Upgrades!$P$12,K277))*(IF(Upgrades!$T$6="Magnetosphere",POWER(Upgrades!$U$6,E277),1)*IF(Upgrades!$T$7="Magnetosphere",POWER(Upgrades!$U$7,F277),1)*IF(Upgrades!$T$8="Magnetosphere",POWER(Upgrades!$U$8,G277),1)*IF(Upgrades!$T$10="Magnetosphere",POWER(Upgrades!$U$10,I277),1)*IF(Upgrades!$T$11="Magnetosphere",POWER(Upgrades!$U$11,J277),1)*IF(Upgrades!$T$12="Magnetosphere",POWER(Upgrades!$U$12,K277),1))/AJ277,0)</f>
        <v/>
      </c>
      <c r="AW277" s="32">
        <f>MAX(IF(I277&gt;0,0,IFERROR(0.25*N277/Upgrades!$C$10,0)),IF(J277&gt;0,0,IFERROR(0.5*((IF(G277=0,0,(Upgrades!$J$8+G277*Upgrades!$K$8)*POWER(Upgrades!$L$8,G277)))*(IF(Upgrades!$T$6="Stellar Coupling",POWER(Upgrades!$U$6,E277),1)*IF(Upgrades!$T$7="Stellar Coupling",POWER(Upgrades!$U$7,F277),1)*IF(Upgrades!$T$9="Stellar Coupling",POWER(Upgrades!$U$9,H277),1)*IF(Upgrades!$T$10="Stellar Coupling",POWER(Upgrades!$U$10,I277),1)*IF(Upgrades!$T$11="Stellar Coupling",POWER(Upgrades!$U$11,J277),1)*IF(Upgrades!$T$12="Stellar Coupling",POWER(Upgrades!$U$12,K277),1))*(POWER(Upgrades!$Q$6,E277)*POWER(Upgrades!$Q$7,F277)*POWER(Upgrades!$Q$8,G277)*POWER(Upgrades!$Q$9,H277)*POWER(Upgrades!$Q$10,I277)*POWER(Upgrades!$Q$11,J277)*POWER(Upgrades!$Q$12,K277))*Parameters!$B$10*Parameters!$B$11/60)/Upgrades!$C$11,0)),IF(K277&gt;0,0,IFERROR((1.0*(POWER(Upgrades!$P$6,E277)*POWER(Upgrades!$P$7,F277)*POWER(Upgrades!$P$8,G277)*POWER(Upgrades!$P$9,H277)*POWER(Upgrades!$P$10,I277)*POWER(Upgrades!$P$11,J277)*POWER(Upgrades!$P$12,K277))+0.20*M277*Parameters!$B$10*Parameters!$B$11/60)/Upgrades!$C$12,0)),IF(AND(ISNUMBER(AG277),AG277&gt;T277),AS277,0),IF(AND(ISNUMBER(AH277),AH277&gt;T277),AT277,0),IF(AND(ISNUMBER(AI277),AI277&gt;T277),AU277,0),IF(AND(ISNUMBER(AJ277),AJ277&gt;T277),AV277,0))</f>
        <v/>
      </c>
      <c r="AX277" s="29">
        <f>IF(AN277=1,"transition",IF(MIN(IF(AND(I277=0,ISNUMBER(AK277),AK277&lt;=T277),AK277,9E15),IF(AND(J277=0,ISNUMBER(AL277),AL277&lt;=T277),AL277,9E15),IF(AND(K277=0,ISNUMBER(AM277),AM277&lt;=T277),AM277,9E15))&lt;9E15,IF(AND(AND(I277=0,ISNUMBER(AK277),AK277&lt;=T277),AK277=MIN(IF(AND(I277=0,ISNUMBER(AK277),AK277&lt;=T277),AK277,9E15),IF(AND(J277=0,ISNUMBER(AL277),AL277&lt;=T277),AL277,9E15),IF(AND(K277=0,ISNUMBER(AM277),AM277&lt;=T277),AM277,9E15))),"OR",IF(AND(AND(J277=0,ISNUMBER(AL277),AL277&lt;=T277),AL277=MIN(IF(AND(I277=0,ISNUMBER(AK277),AK277&lt;=T277),AK277,9E15),IF(AND(J277=0,ISNUMBER(AL277),AL277&lt;=T277),AL277,9E15),IF(AND(K277=0,ISNUMBER(AM277),AM277&lt;=T277),AM277,9E15))),"HP","FP")),IF(AR277=TRUE,"",IF(MAX(IF(AND(NOT(AND(AO277=1,AN277&lt;&gt;1)),ISNUMBER(AG277),AG277&lt;=T277),AS277,0),IF(AND(NOT(AND(AO277=1,AN277&lt;&gt;1)),ISNUMBER(AH277),AH277&lt;=T277),AT277,0),IF(AND(NOT(AND(AO277=1,AN277&lt;&gt;1)),ISNUMBER(AI277),AI277&lt;=T277),AU277,0),IF(AND(ISNUMBER(AJ277),AJ277&lt;=T277),AV277,0))&lt;=0,"",IF(AND(IF(AND(NOT(AND(AO277=1,AN277&lt;&gt;1)),ISNUMBER(AG277),AG277&lt;=T277),AS277,0)&gt;0,IF(AND(NOT(AND(AO277=1,AN277&lt;&gt;1)),ISNUMBER(AG277),AG277&lt;=T277),AS277,0)=MAX(IF(AND(NOT(AND(AO277=1,AN277&lt;&gt;1)),ISNUMBER(AG277),AG277&lt;=T277),AS277,0),IF(AND(NOT(AND(AO277=1,AN277&lt;&gt;1)),ISNUMBER(AH277),AH277&lt;=T277),AT277,0),IF(AND(NOT(AND(AO277=1,AN277&lt;&gt;1)),ISNUMBER(AI277),AI277&lt;=T277),AU277,0),IF(AND(ISNUMBER(AJ277),AJ277&lt;=T277),AV277,0))),"SW",IF(AND(IF(AND(NOT(AND(AO277=1,AN277&lt;&gt;1)),ISNUMBER(AH277),AH277&lt;=T277),AT277,0)&gt;0,IF(AND(NOT(AND(AO277=1,AN277&lt;&gt;1)),ISNUMBER(AH277),AH277&lt;=T277),AT277,0)=MAX(IF(AND(NOT(AND(AO277=1,AN277&lt;&gt;1)),ISNUMBER(AG277),AG277&lt;=T277),AS277,0),IF(AND(NOT(AND(AO277=1,AN277&lt;&gt;1)),ISNUMBER(AH277),AH277&lt;=T277),AT277,0),IF(AND(NOT(AND(AO277=1,AN277&lt;&gt;1)),ISNUMBER(AI277),AI277&lt;=T277),AU277,0),IF(AND(ISNUMBER(AJ277),AJ277&lt;=T277),AV277,0))),"AB",IF(AND(IF(AND(NOT(AND(AO277=1,AN277&lt;&gt;1)),ISNUMBER(AI277),AI277&lt;=T277),AU277,0)&gt;0,IF(AND(NOT(AND(AO277=1,AN277&lt;&gt;1)),ISNUMBER(AI277),AI277&lt;=T277),AU277,0)=MAX(IF(AND(NOT(AND(AO277=1,AN277&lt;&gt;1)),ISNUMBER(AG277),AG277&lt;=T277),AS277,0),IF(AND(NOT(AND(AO277=1,AN277&lt;&gt;1)),ISNUMBER(AH277),AH277&lt;=T277),AT277,0),IF(AND(NOT(AND(AO277=1,AN277&lt;&gt;1)),ISNUMBER(AI277),AI277&lt;=T277),AU277,0),IF(AND(ISNUMBER(AJ277),AJ277&lt;=T277),AV277,0))),"SC","Mag")))))))</f>
        <v/>
      </c>
    </row>
    <row r="278">
      <c r="A278" s="26" t="n">
        <v>273</v>
      </c>
      <c r="B278" s="27">
        <f>A278*10/60</f>
        <v/>
      </c>
      <c r="C278" s="22">
        <f>X277</f>
        <v/>
      </c>
      <c r="D278" s="27">
        <f>D277+W277</f>
        <v/>
      </c>
      <c r="E278" s="26">
        <f>E277+IF(U277="SW",1,0)</f>
        <v/>
      </c>
      <c r="F278" s="26">
        <f>F277+IF(U277="AB",1,0)</f>
        <v/>
      </c>
      <c r="G278" s="26">
        <f>G277+IF(U277="SC",1,0)</f>
        <v/>
      </c>
      <c r="H278" s="26">
        <f>H277+IF(U277="Mag",1,0)</f>
        <v/>
      </c>
      <c r="I278" s="26">
        <f>MAX(I277,IF(U277="OR",1,0))</f>
        <v/>
      </c>
      <c r="J278" s="26">
        <f>MAX(J277,IF(U277="HP",1,0))</f>
        <v/>
      </c>
      <c r="K278" s="26">
        <f>MAX(K277,IF(U277="FP",1,0))</f>
        <v/>
      </c>
      <c r="L278" s="26">
        <f>MAX(L277,IF(U277="transition",1,0))</f>
        <v/>
      </c>
      <c r="M278" s="28">
        <f>(Parameters!$B$9+(IF(E278=0,0,(Upgrades!$J$6+E278*Upgrades!$K$6)*POWER(Upgrades!$L$6,E278)))*(IF(Upgrades!$T$7="Solar Wind",POWER(Upgrades!$U$7,F278),1)*IF(Upgrades!$T$8="Solar Wind",POWER(Upgrades!$U$8,G278),1)*IF(Upgrades!$T$9="Solar Wind",POWER(Upgrades!$U$9,H278),1)*IF(Upgrades!$T$10="Solar Wind",POWER(Upgrades!$U$10,I278),1)*IF(Upgrades!$T$11="Solar Wind",POWER(Upgrades!$U$11,J278),1)*IF(Upgrades!$T$12="Solar Wind",POWER(Upgrades!$U$12,K278),1))+(IF(F278=0,0,(Upgrades!$J$7+F278*Upgrades!$K$7)*POWER(Upgrades!$L$7,F278)))*(IF(Upgrades!$T$6="Asteroid Belt",POWER(Upgrades!$U$6,E278),1)*IF(Upgrades!$T$8="Asteroid Belt",POWER(Upgrades!$U$8,G278),1)*IF(Upgrades!$T$9="Asteroid Belt",POWER(Upgrades!$U$9,H278),1)*IF(Upgrades!$T$10="Asteroid Belt",POWER(Upgrades!$U$10,I278),1)*IF(Upgrades!$T$11="Asteroid Belt",POWER(Upgrades!$U$11,J278),1)*IF(Upgrades!$T$12="Asteroid Belt",POWER(Upgrades!$U$12,K278),1))+(IF(G278=0,0,(Upgrades!$J$8+G278*Upgrades!$K$8)*POWER(Upgrades!$L$8,G278)))*(IF(Upgrades!$T$6="Stellar Coupling",POWER(Upgrades!$U$6,E278),1)*IF(Upgrades!$T$7="Stellar Coupling",POWER(Upgrades!$U$7,F278),1)*IF(Upgrades!$T$9="Stellar Coupling",POWER(Upgrades!$U$9,H278),1)*IF(Upgrades!$T$10="Stellar Coupling",POWER(Upgrades!$U$10,I278),1)*IF(Upgrades!$T$11="Stellar Coupling",POWER(Upgrades!$U$11,J278),1)*IF(Upgrades!$T$12="Stellar Coupling",POWER(Upgrades!$U$12,K278),1))+(IF(H278=0,0,(Upgrades!$J$9+H278*Upgrades!$K$9)*POWER(Upgrades!$L$9,H278)))*(IF(Upgrades!$T$6="Magnetosphere",POWER(Upgrades!$U$6,E278),1)*IF(Upgrades!$T$7="Magnetosphere",POWER(Upgrades!$U$7,F278),1)*IF(Upgrades!$T$8="Magnetosphere",POWER(Upgrades!$U$8,G278),1)*IF(Upgrades!$T$10="Magnetosphere",POWER(Upgrades!$U$10,I278),1)*IF(Upgrades!$T$11="Magnetosphere",POWER(Upgrades!$U$11,J278),1)*IF(Upgrades!$T$12="Magnetosphere",POWER(Upgrades!$U$12,K278),1))+(IF(I278=0,0,(Upgrades!$J$10+I278*Upgrades!$K$10)*POWER(Upgrades!$L$10,I278)))*(IF(Upgrades!$T$6="Orbital Resonance",POWER(Upgrades!$U$6,E278),1)*IF(Upgrades!$T$7="Orbital Resonance",POWER(Upgrades!$U$7,F278),1)*IF(Upgrades!$T$8="Orbital Resonance",POWER(Upgrades!$U$8,G278),1)*IF(Upgrades!$T$9="Orbital Resonance",POWER(Upgrades!$U$9,H278),1)*IF(Upgrades!$T$11="Orbital Resonance",POWER(Upgrades!$U$11,J278),1)*IF(Upgrades!$T$12="Orbital Resonance",POWER(Upgrades!$U$12,K278),1))+(IF(J278=0,0,(Upgrades!$J$11+J278*Upgrades!$K$11)*POWER(Upgrades!$L$11,J278)))*(IF(Upgrades!$T$6="Heliopause",POWER(Upgrades!$U$6,E278),1)*IF(Upgrades!$T$7="Heliopause",POWER(Upgrades!$U$7,F278),1)*IF(Upgrades!$T$8="Heliopause",POWER(Upgrades!$U$8,G278),1)*IF(Upgrades!$T$9="Heliopause",POWER(Upgrades!$U$9,H278),1)*IF(Upgrades!$T$10="Heliopause",POWER(Upgrades!$U$10,I278),1)*IF(Upgrades!$T$12="Heliopause",POWER(Upgrades!$U$12,K278),1))+(IF(K278=0,0,(Upgrades!$J$12+K278*Upgrades!$K$12)*POWER(Upgrades!$L$12,K278)))*(IF(Upgrades!$T$6="First Photons",POWER(Upgrades!$U$6,E278),1)*IF(Upgrades!$T$7="First Photons",POWER(Upgrades!$U$7,F278),1)*IF(Upgrades!$T$8="First Photons",POWER(Upgrades!$U$8,G278),1)*IF(Upgrades!$T$9="First Photons",POWER(Upgrades!$U$9,H278),1)*IF(Upgrades!$T$10="First Photons",POWER(Upgrades!$U$10,I278),1)*IF(Upgrades!$T$11="First Photons",POWER(Upgrades!$U$11,J278),1)))*POWER(Upgrades!$Q$6,E278)*POWER(Upgrades!$Q$7,F278)*POWER(Upgrades!$Q$8,G278)*POWER(Upgrades!$Q$9,H278)*POWER(Upgrades!$Q$10,I278)*POWER(Upgrades!$Q$11,J278)*POWER(Upgrades!$Q$12,K278)</f>
        <v/>
      </c>
      <c r="N278" s="28">
        <f>((IF(E278=0,0,(Upgrades!$G$6+E278*Upgrades!$H$6)*POWER(Upgrades!$I$6,E278)))*(IF(Upgrades!$T$7="Solar Wind",POWER(Upgrades!$U$7,F278),1)*IF(Upgrades!$T$8="Solar Wind",POWER(Upgrades!$U$8,G278),1)*IF(Upgrades!$T$9="Solar Wind",POWER(Upgrades!$U$9,H278),1)*IF(Upgrades!$T$10="Solar Wind",POWER(Upgrades!$U$10,I278),1)*IF(Upgrades!$T$11="Solar Wind",POWER(Upgrades!$U$11,J278),1)*IF(Upgrades!$T$12="Solar Wind",POWER(Upgrades!$U$12,K278),1))+(IF(F278=0,0,(Upgrades!$G$7+F278*Upgrades!$H$7)*POWER(Upgrades!$I$7,F278)))*(IF(Upgrades!$T$6="Asteroid Belt",POWER(Upgrades!$U$6,E278),1)*IF(Upgrades!$T$8="Asteroid Belt",POWER(Upgrades!$U$8,G278),1)*IF(Upgrades!$T$9="Asteroid Belt",POWER(Upgrades!$U$9,H278),1)*IF(Upgrades!$T$10="Asteroid Belt",POWER(Upgrades!$U$10,I278),1)*IF(Upgrades!$T$11="Asteroid Belt",POWER(Upgrades!$U$11,J278),1)*IF(Upgrades!$T$12="Asteroid Belt",POWER(Upgrades!$U$12,K278),1))+(IF(G278=0,0,(Upgrades!$G$8+G278*Upgrades!$H$8)*POWER(Upgrades!$I$8,G278)))*(IF(Upgrades!$T$6="Stellar Coupling",POWER(Upgrades!$U$6,E278),1)*IF(Upgrades!$T$7="Stellar Coupling",POWER(Upgrades!$U$7,F278),1)*IF(Upgrades!$T$9="Stellar Coupling",POWER(Upgrades!$U$9,H278),1)*IF(Upgrades!$T$10="Stellar Coupling",POWER(Upgrades!$U$10,I278),1)*IF(Upgrades!$T$11="Stellar Coupling",POWER(Upgrades!$U$11,J278),1)*IF(Upgrades!$T$12="Stellar Coupling",POWER(Upgrades!$U$12,K278),1))+(IF(H278=0,0,(Upgrades!$G$9+H278*Upgrades!$H$9)*POWER(Upgrades!$I$9,H278)))*(IF(Upgrades!$T$6="Magnetosphere",POWER(Upgrades!$U$6,E278),1)*IF(Upgrades!$T$7="Magnetosphere",POWER(Upgrades!$U$7,F278),1)*IF(Upgrades!$T$8="Magnetosphere",POWER(Upgrades!$U$8,G278),1)*IF(Upgrades!$T$10="Magnetosphere",POWER(Upgrades!$U$10,I278),1)*IF(Upgrades!$T$11="Magnetosphere",POWER(Upgrades!$U$11,J278),1)*IF(Upgrades!$T$12="Magnetosphere",POWER(Upgrades!$U$12,K278),1))+(IF(I278=0,0,(Upgrades!$G$10+I278*Upgrades!$H$10)*POWER(Upgrades!$I$10,I278)))*(IF(Upgrades!$T$6="Orbital Resonance",POWER(Upgrades!$U$6,E278),1)*IF(Upgrades!$T$7="Orbital Resonance",POWER(Upgrades!$U$7,F278),1)*IF(Upgrades!$T$8="Orbital Resonance",POWER(Upgrades!$U$8,G278),1)*IF(Upgrades!$T$9="Orbital Resonance",POWER(Upgrades!$U$9,H278),1)*IF(Upgrades!$T$11="Orbital Resonance",POWER(Upgrades!$U$11,J278),1)*IF(Upgrades!$T$12="Orbital Resonance",POWER(Upgrades!$U$12,K278),1))+(IF(J278=0,0,(Upgrades!$G$11+J278*Upgrades!$H$11)*POWER(Upgrades!$I$11,J278)))*(IF(Upgrades!$T$6="Heliopause",POWER(Upgrades!$U$6,E278),1)*IF(Upgrades!$T$7="Heliopause",POWER(Upgrades!$U$7,F278),1)*IF(Upgrades!$T$8="Heliopause",POWER(Upgrades!$U$8,G278),1)*IF(Upgrades!$T$9="Heliopause",POWER(Upgrades!$U$9,H278),1)*IF(Upgrades!$T$10="Heliopause",POWER(Upgrades!$U$10,I278),1)*IF(Upgrades!$T$12="Heliopause",POWER(Upgrades!$U$12,K278),1))+(IF(K278=0,0,(Upgrades!$G$12+K278*Upgrades!$H$12)*POWER(Upgrades!$I$12,K278)))*(IF(Upgrades!$T$6="First Photons",POWER(Upgrades!$U$6,E278),1)*IF(Upgrades!$T$7="First Photons",POWER(Upgrades!$U$7,F278),1)*IF(Upgrades!$T$8="First Photons",POWER(Upgrades!$U$8,G278),1)*IF(Upgrades!$T$9="First Photons",POWER(Upgrades!$U$9,H278),1)*IF(Upgrades!$T$10="First Photons",POWER(Upgrades!$U$10,I278),1)*IF(Upgrades!$T$11="First Photons",POWER(Upgrades!$U$11,J278),1)))*POWER(Upgrades!$P$6,E278)*POWER(Upgrades!$P$7,F278)*POWER(Upgrades!$P$8,G278)*POWER(Upgrades!$P$9,H278)*POWER(Upgrades!$P$10,I278)*POWER(Upgrades!$P$11,J278)*POWER(Upgrades!$P$12,K278)</f>
        <v/>
      </c>
      <c r="O278" s="28">
        <f>((IF(E278=0,0,(Upgrades!$M$6+E278*Upgrades!$N$6)*POWER(Upgrades!$O$6,E278)))*(IF(Upgrades!$T$7="Solar Wind",POWER(Upgrades!$U$7,F278),1)*IF(Upgrades!$T$8="Solar Wind",POWER(Upgrades!$U$8,G278),1)*IF(Upgrades!$T$9="Solar Wind",POWER(Upgrades!$U$9,H278),1)*IF(Upgrades!$T$10="Solar Wind",POWER(Upgrades!$U$10,I278),1)*IF(Upgrades!$T$11="Solar Wind",POWER(Upgrades!$U$11,J278),1)*IF(Upgrades!$T$12="Solar Wind",POWER(Upgrades!$U$12,K278),1))+(IF(F278=0,0,(Upgrades!$M$7+F278*Upgrades!$N$7)*POWER(Upgrades!$O$7,F278)))*(IF(Upgrades!$T$6="Asteroid Belt",POWER(Upgrades!$U$6,E278),1)*IF(Upgrades!$T$8="Asteroid Belt",POWER(Upgrades!$U$8,G278),1)*IF(Upgrades!$T$9="Asteroid Belt",POWER(Upgrades!$U$9,H278),1)*IF(Upgrades!$T$10="Asteroid Belt",POWER(Upgrades!$U$10,I278),1)*IF(Upgrades!$T$11="Asteroid Belt",POWER(Upgrades!$U$11,J278),1)*IF(Upgrades!$T$12="Asteroid Belt",POWER(Upgrades!$U$12,K278),1))+(IF(G278=0,0,(Upgrades!$M$8+G278*Upgrades!$N$8)*POWER(Upgrades!$O$8,G278)))*(IF(Upgrades!$T$6="Stellar Coupling",POWER(Upgrades!$U$6,E278),1)*IF(Upgrades!$T$7="Stellar Coupling",POWER(Upgrades!$U$7,F278),1)*IF(Upgrades!$T$9="Stellar Coupling",POWER(Upgrades!$U$9,H278),1)*IF(Upgrades!$T$10="Stellar Coupling",POWER(Upgrades!$U$10,I278),1)*IF(Upgrades!$T$11="Stellar Coupling",POWER(Upgrades!$U$11,J278),1)*IF(Upgrades!$T$12="Stellar Coupling",POWER(Upgrades!$U$12,K278),1))+(IF(H278=0,0,(Upgrades!$M$9+H278*Upgrades!$N$9)*POWER(Upgrades!$O$9,H278)))*(IF(Upgrades!$T$6="Magnetosphere",POWER(Upgrades!$U$6,E278),1)*IF(Upgrades!$T$7="Magnetosphere",POWER(Upgrades!$U$7,F278),1)*IF(Upgrades!$T$8="Magnetosphere",POWER(Upgrades!$U$8,G278),1)*IF(Upgrades!$T$10="Magnetosphere",POWER(Upgrades!$U$10,I278),1)*IF(Upgrades!$T$11="Magnetosphere",POWER(Upgrades!$U$11,J278),1)*IF(Upgrades!$T$12="Magnetosphere",POWER(Upgrades!$U$12,K278),1))+(IF(I278=0,0,(Upgrades!$M$10+I278*Upgrades!$N$10)*POWER(Upgrades!$O$10,I278)))*(IF(Upgrades!$T$6="Orbital Resonance",POWER(Upgrades!$U$6,E278),1)*IF(Upgrades!$T$7="Orbital Resonance",POWER(Upgrades!$U$7,F278),1)*IF(Upgrades!$T$8="Orbital Resonance",POWER(Upgrades!$U$8,G278),1)*IF(Upgrades!$T$9="Orbital Resonance",POWER(Upgrades!$U$9,H278),1)*IF(Upgrades!$T$11="Orbital Resonance",POWER(Upgrades!$U$11,J278),1)*IF(Upgrades!$T$12="Orbital Resonance",POWER(Upgrades!$U$12,K278),1))+(IF(J278=0,0,(Upgrades!$M$11+J278*Upgrades!$N$11)*POWER(Upgrades!$O$11,J278)))*(IF(Upgrades!$T$6="Heliopause",POWER(Upgrades!$U$6,E278),1)*IF(Upgrades!$T$7="Heliopause",POWER(Upgrades!$U$7,F278),1)*IF(Upgrades!$T$8="Heliopause",POWER(Upgrades!$U$8,G278),1)*IF(Upgrades!$T$9="Heliopause",POWER(Upgrades!$U$9,H278),1)*IF(Upgrades!$T$10="Heliopause",POWER(Upgrades!$U$10,I278),1)*IF(Upgrades!$T$12="Heliopause",POWER(Upgrades!$U$12,K278),1))+(IF(K278=0,0,(Upgrades!$M$12+K278*Upgrades!$N$12)*POWER(Upgrades!$O$12,K278)))*(IF(Upgrades!$T$6="First Photons",POWER(Upgrades!$U$6,E278),1)*IF(Upgrades!$T$7="First Photons",POWER(Upgrades!$U$7,F278),1)*IF(Upgrades!$T$8="First Photons",POWER(Upgrades!$U$8,G278),1)*IF(Upgrades!$T$9="First Photons",POWER(Upgrades!$U$9,H278),1)*IF(Upgrades!$T$10="First Photons",POWER(Upgrades!$U$10,I278),1)*IF(Upgrades!$T$11="First Photons",POWER(Upgrades!$U$11,J278),1)))*POWER(Upgrades!$R$6,E278)*POWER(Upgrades!$R$7,F278)*POWER(Upgrades!$R$8,G278)*POWER(Upgrades!$R$9,H278)*POWER(Upgrades!$R$10,I278)*POWER(Upgrades!$R$11,J278)*POWER(Upgrades!$R$12,K278)</f>
        <v/>
      </c>
      <c r="P278" s="27">
        <f>IF(L278=1,0,M278*Parameters!$B$10/60*Parameters!$B$11*10)</f>
        <v/>
      </c>
      <c r="Q278" s="27">
        <f>IF(L278=1,0,O278*M278*10)</f>
        <v/>
      </c>
      <c r="R278" s="27">
        <f>IF(L278=1,0,N278*10)</f>
        <v/>
      </c>
      <c r="S278" s="27">
        <f>P278+Q278+R278</f>
        <v/>
      </c>
      <c r="T278" s="22">
        <f>C278+S278</f>
        <v/>
      </c>
      <c r="U278" s="33">
        <f>AX278</f>
        <v/>
      </c>
      <c r="V278" s="22">
        <f>IF(U278="",0,IF(U278="transition",0,IF(U278="SW",AG278,IF(U278="AB",AH278,IF(U278="SC",AI278,IF(U278="Mag",AJ278,IF(U278="OR",AK278,IF(U278="HP",AL278,IF(U278="FP",AM278,0)))))))))</f>
        <v/>
      </c>
      <c r="W278" s="27">
        <f>IF(U278="OR",Upgrades!$F$10,IF(U278="HP",Upgrades!$F$11,IF(U278="transition",-Parameters!$B$18,0)))</f>
        <v/>
      </c>
      <c r="X278" s="22">
        <f>T278-V278</f>
        <v/>
      </c>
      <c r="Y278" s="30">
        <f>M278*Parameters!$B$10/60*Parameters!$B$11+O278*M278+N278</f>
        <v/>
      </c>
      <c r="Z278" s="34">
        <f>IF(U278="transition","→ Tier 2 (Stellar Neighborhood)",IF(U278="FP","First Photons — light begins, system quickens",IF(U278="HP","Heliopause acquired",IF(U278="OR","Orbital Resonance — passive multiplier active",IF(AND(AO278=1,L278=0,AN278&lt;&gt;1),"Cohesion ready (waiting on completionist upgrades)","")))))</f>
        <v/>
      </c>
      <c r="AA278" s="27">
        <f>(IF(E278=0,0,(Upgrades!$G$6+E278*Upgrades!$H$6)*POWER(Upgrades!$I$6,E278)))*(IF(Upgrades!$T$7="Solar Wind",POWER(Upgrades!$U$7,F278),1)*IF(Upgrades!$T$8="Solar Wind",POWER(Upgrades!$U$8,G278),1)*IF(Upgrades!$T$9="Solar Wind",POWER(Upgrades!$U$9,H278),1)*IF(Upgrades!$T$10="Solar Wind",POWER(Upgrades!$U$10,I278),1)*IF(Upgrades!$T$11="Solar Wind",POWER(Upgrades!$U$11,J278),1)*IF(Upgrades!$T$12="Solar Wind",POWER(Upgrades!$U$12,K278),1))*POWER(Upgrades!$P$6,E278)*POWER(Upgrades!$P$7,F278)*POWER(Upgrades!$P$8,G278)*POWER(Upgrades!$P$9,H278)*POWER(Upgrades!$P$10,I278)*POWER(Upgrades!$P$11,J278)*POWER(Upgrades!$P$12,K278)*60</f>
        <v/>
      </c>
      <c r="AB278" s="27">
        <f>(IF(F278=0,0,(Upgrades!$G$7+F278*Upgrades!$H$7)*POWER(Upgrades!$I$7,F278)))*(IF(Upgrades!$T$6="Asteroid Belt",POWER(Upgrades!$U$6,E278),1)*IF(Upgrades!$T$8="Asteroid Belt",POWER(Upgrades!$U$8,G278),1)*IF(Upgrades!$T$9="Asteroid Belt",POWER(Upgrades!$U$9,H278),1)*IF(Upgrades!$T$10="Asteroid Belt",POWER(Upgrades!$U$10,I278),1)*IF(Upgrades!$T$11="Asteroid Belt",POWER(Upgrades!$U$11,J278),1)*IF(Upgrades!$T$12="Asteroid Belt",POWER(Upgrades!$U$12,K278),1))*POWER(Upgrades!$P$6,E278)*POWER(Upgrades!$P$7,F278)*POWER(Upgrades!$P$8,G278)*POWER(Upgrades!$P$9,H278)*POWER(Upgrades!$P$10,I278)*POWER(Upgrades!$P$11,J278)*POWER(Upgrades!$P$12,K278)*60</f>
        <v/>
      </c>
      <c r="AC278" s="27">
        <f>(IF(G278=0,0,(Upgrades!$J$8+G278*Upgrades!$K$8)*POWER(Upgrades!$L$8,G278)))*(IF(Upgrades!$T$6="Stellar Coupling",POWER(Upgrades!$U$6,E278),1)*IF(Upgrades!$T$7="Stellar Coupling",POWER(Upgrades!$U$7,F278),1)*IF(Upgrades!$T$9="Stellar Coupling",POWER(Upgrades!$U$9,H278),1)*IF(Upgrades!$T$10="Stellar Coupling",POWER(Upgrades!$U$10,I278),1)*IF(Upgrades!$T$11="Stellar Coupling",POWER(Upgrades!$U$11,J278),1)*IF(Upgrades!$T$12="Stellar Coupling",POWER(Upgrades!$U$12,K278),1))*POWER(Upgrades!$Q$6,E278)*POWER(Upgrades!$Q$7,F278)*POWER(Upgrades!$Q$8,G278)*POWER(Upgrades!$Q$9,H278)*POWER(Upgrades!$Q$10,I278)*POWER(Upgrades!$Q$11,J278)*POWER(Upgrades!$Q$12,K278)*Parameters!$B$10*Parameters!$B$11</f>
        <v/>
      </c>
      <c r="AD278" s="27">
        <f>(IF(H278=0,0,(Upgrades!$G$9+H278*Upgrades!$H$9)*POWER(Upgrades!$I$9,H278)))*(IF(Upgrades!$T$6="Magnetosphere",POWER(Upgrades!$U$6,E278),1)*IF(Upgrades!$T$7="Magnetosphere",POWER(Upgrades!$U$7,F278),1)*IF(Upgrades!$T$8="Magnetosphere",POWER(Upgrades!$U$8,G278),1)*IF(Upgrades!$T$10="Magnetosphere",POWER(Upgrades!$U$10,I278),1)*IF(Upgrades!$T$11="Magnetosphere",POWER(Upgrades!$U$11,J278),1)*IF(Upgrades!$T$12="Magnetosphere",POWER(Upgrades!$U$12,K278),1))*POWER(Upgrades!$P$6,E278)*POWER(Upgrades!$P$7,F278)*POWER(Upgrades!$P$8,G278)*POWER(Upgrades!$P$9,H278)*POWER(Upgrades!$P$10,I278)*POWER(Upgrades!$P$11,J278)*POWER(Upgrades!$P$12,K278)*60</f>
        <v/>
      </c>
      <c r="AE278" s="27">
        <f>(IF(K278=0,0,(Upgrades!$G$12+K278*Upgrades!$H$12)*POWER(Upgrades!$I$12,K278)))*(IF(Upgrades!$T$6="First Photons",POWER(Upgrades!$U$6,E278),1)*IF(Upgrades!$T$7="First Photons",POWER(Upgrades!$U$7,F278),1)*IF(Upgrades!$T$8="First Photons",POWER(Upgrades!$U$8,G278),1)*IF(Upgrades!$T$9="First Photons",POWER(Upgrades!$U$9,H278),1)*IF(Upgrades!$T$10="First Photons",POWER(Upgrades!$U$10,I278),1)*IF(Upgrades!$T$11="First Photons",POWER(Upgrades!$U$11,J278),1))*POWER(Upgrades!$P$6,E278)*POWER(Upgrades!$P$7,F278)*POWER(Upgrades!$P$8,G278)*POWER(Upgrades!$P$9,H278)*POWER(Upgrades!$P$10,I278)*POWER(Upgrades!$P$11,J278)*POWER(Upgrades!$P$12,K278)*60</f>
        <v/>
      </c>
      <c r="AF278" s="27">
        <f>Parameters!$B$9*POWER(Upgrades!$Q$6,E278)*POWER(Upgrades!$Q$7,F278)*POWER(Upgrades!$Q$8,G278)*POWER(Upgrades!$Q$9,H278)*POWER(Upgrades!$Q$10,I278)*POWER(Upgrades!$Q$11,J278)*POWER(Upgrades!$Q$12,K278)*(Parameters!$B$10*Parameters!$B$11+O278*60)</f>
        <v/>
      </c>
      <c r="AG278" s="22">
        <f>IF(E278&gt;=Upgrades!$E$6,"",Upgrades!$C$6*POWER(Upgrades!$D$6,E278))</f>
        <v/>
      </c>
      <c r="AH278" s="22">
        <f>IF(F278&gt;=Upgrades!$E$7,"",Upgrades!$C$7*POWER(Upgrades!$D$7,F278))</f>
        <v/>
      </c>
      <c r="AI278" s="22">
        <f>IF(G278&gt;=Upgrades!$E$8,"",Upgrades!$C$8*POWER(Upgrades!$D$8,G278))</f>
        <v/>
      </c>
      <c r="AJ278" s="22">
        <f>IF(H278&gt;=Upgrades!$E$9,"",Upgrades!$C$9*POWER(Upgrades!$D$9,H278))</f>
        <v/>
      </c>
      <c r="AK278" s="22">
        <f>IF(I278&gt;=Upgrades!$E$10,"",Upgrades!$C$10*POWER(Upgrades!$D$10,I278))</f>
        <v/>
      </c>
      <c r="AL278" s="22">
        <f>IF(J278&gt;=Upgrades!$E$11,"",Upgrades!$C$11*POWER(Upgrades!$D$11,J278))</f>
        <v/>
      </c>
      <c r="AM278" s="22">
        <f>IF(K278&gt;=Upgrades!$E$12,"",Upgrades!$C$12*POWER(Upgrades!$D$12,K278))</f>
        <v/>
      </c>
      <c r="AN278" s="26">
        <f>IF(AND(D278&gt;=Parameters!$B$18,(H278&gt;=Upgrades!$E$9)*(K278&gt;=Upgrades!$E$12)=1,L278=0),1,"")</f>
        <v/>
      </c>
      <c r="AO278" s="26">
        <f>IF(AND(D278&gt;=Parameters!$B$18,L278=0),1,"")</f>
        <v/>
      </c>
      <c r="AP278" s="22">
        <f>MIN(IF(ISNUMBER(AK278),AK278,9E15),IF(ISNUMBER(AL278),AL278,9E15),IF(ISNUMBER(AM278),AM278,9E15))</f>
        <v/>
      </c>
      <c r="AQ278" s="22">
        <f>MIN(IF(ISNUMBER(AG278),AG278,9E15),IF(ISNUMBER(AH278),AH278,9E15),IF(ISNUMBER(AI278),AI278,9E15),IF(ISNUMBER(AJ278),AJ278,9E15))</f>
        <v/>
      </c>
      <c r="AR278" s="29">
        <f>IF(AW278&gt;Parameters!$B$21*(MAX(IF(AND(NOT(AND(AO278=1,AN278&lt;&gt;1)),ISNUMBER(AG278),AG278&lt;=T278),AS278,0),IF(AND(NOT(AND(AO278=1,AN278&lt;&gt;1)),ISNUMBER(AH278),AH278&lt;=T278),AT278,0),IF(AND(NOT(AND(AO278=1,AN278&lt;&gt;1)),ISNUMBER(AI278),AI278&lt;=T278),AU278,0),IF(AND(ISNUMBER(AJ278),AJ278&lt;=T278),AV278,0))),TRUE,FALSE)</f>
        <v/>
      </c>
      <c r="AS278" s="32">
        <f>IFERROR(Upgrades!$H$6*(POWER(Upgrades!$P$6,E278)*POWER(Upgrades!$P$7,F278)*POWER(Upgrades!$P$8,G278)*POWER(Upgrades!$P$9,H278)*POWER(Upgrades!$P$10,I278)*POWER(Upgrades!$P$11,J278)*POWER(Upgrades!$P$12,K278))*(IF(Upgrades!$T$7="Solar Wind",POWER(Upgrades!$U$7,F278),1)*IF(Upgrades!$T$8="Solar Wind",POWER(Upgrades!$U$8,G278),1)*IF(Upgrades!$T$9="Solar Wind",POWER(Upgrades!$U$9,H278),1)*IF(Upgrades!$T$10="Solar Wind",POWER(Upgrades!$U$10,I278),1)*IF(Upgrades!$T$11="Solar Wind",POWER(Upgrades!$U$11,J278),1)*IF(Upgrades!$T$12="Solar Wind",POWER(Upgrades!$U$12,K278),1))/AG278,0)</f>
        <v/>
      </c>
      <c r="AT278" s="32">
        <f>IFERROR(Upgrades!$H$7*(POWER(Upgrades!$P$6,E278)*POWER(Upgrades!$P$7,F278)*POWER(Upgrades!$P$8,G278)*POWER(Upgrades!$P$9,H278)*POWER(Upgrades!$P$10,I278)*POWER(Upgrades!$P$11,J278)*POWER(Upgrades!$P$12,K278))*(IF(Upgrades!$T$6="Asteroid Belt",POWER(Upgrades!$U$6,E278),1)*IF(Upgrades!$T$8="Asteroid Belt",POWER(Upgrades!$U$8,G278),1)*IF(Upgrades!$T$9="Asteroid Belt",POWER(Upgrades!$U$9,H278),1)*IF(Upgrades!$T$10="Asteroid Belt",POWER(Upgrades!$U$10,I278),1)*IF(Upgrades!$T$11="Asteroid Belt",POWER(Upgrades!$U$11,J278),1)*IF(Upgrades!$T$12="Asteroid Belt",POWER(Upgrades!$U$12,K278),1))/AH278,0)</f>
        <v/>
      </c>
      <c r="AU278" s="32">
        <f>IFERROR(Upgrades!$K$8*(POWER(Upgrades!$Q$6,E278)*POWER(Upgrades!$Q$7,F278)*POWER(Upgrades!$Q$8,G278)*POWER(Upgrades!$Q$9,H278)*POWER(Upgrades!$Q$10,I278)*POWER(Upgrades!$Q$11,J278)*POWER(Upgrades!$Q$12,K278))*(IF(Upgrades!$T$6="Stellar Coupling",POWER(Upgrades!$U$6,E278),1)*IF(Upgrades!$T$7="Stellar Coupling",POWER(Upgrades!$U$7,F278),1)*IF(Upgrades!$T$9="Stellar Coupling",POWER(Upgrades!$U$9,H278),1)*IF(Upgrades!$T$10="Stellar Coupling",POWER(Upgrades!$U$10,I278),1)*IF(Upgrades!$T$11="Stellar Coupling",POWER(Upgrades!$U$11,J278),1)*IF(Upgrades!$T$12="Stellar Coupling",POWER(Upgrades!$U$12,K278),1))*Parameters!$B$10*Parameters!$B$11/60/AI278,0)</f>
        <v/>
      </c>
      <c r="AV278" s="32">
        <f>IFERROR(Upgrades!$H$9*(POWER(Upgrades!$P$6,E278)*POWER(Upgrades!$P$7,F278)*POWER(Upgrades!$P$8,G278)*POWER(Upgrades!$P$9,H278)*POWER(Upgrades!$P$10,I278)*POWER(Upgrades!$P$11,J278)*POWER(Upgrades!$P$12,K278))*(IF(Upgrades!$T$6="Magnetosphere",POWER(Upgrades!$U$6,E278),1)*IF(Upgrades!$T$7="Magnetosphere",POWER(Upgrades!$U$7,F278),1)*IF(Upgrades!$T$8="Magnetosphere",POWER(Upgrades!$U$8,G278),1)*IF(Upgrades!$T$10="Magnetosphere",POWER(Upgrades!$U$10,I278),1)*IF(Upgrades!$T$11="Magnetosphere",POWER(Upgrades!$U$11,J278),1)*IF(Upgrades!$T$12="Magnetosphere",POWER(Upgrades!$U$12,K278),1))/AJ278,0)</f>
        <v/>
      </c>
      <c r="AW278" s="32">
        <f>MAX(IF(I278&gt;0,0,IFERROR(0.25*N278/Upgrades!$C$10,0)),IF(J278&gt;0,0,IFERROR(0.5*((IF(G278=0,0,(Upgrades!$J$8+G278*Upgrades!$K$8)*POWER(Upgrades!$L$8,G278)))*(IF(Upgrades!$T$6="Stellar Coupling",POWER(Upgrades!$U$6,E278),1)*IF(Upgrades!$T$7="Stellar Coupling",POWER(Upgrades!$U$7,F278),1)*IF(Upgrades!$T$9="Stellar Coupling",POWER(Upgrades!$U$9,H278),1)*IF(Upgrades!$T$10="Stellar Coupling",POWER(Upgrades!$U$10,I278),1)*IF(Upgrades!$T$11="Stellar Coupling",POWER(Upgrades!$U$11,J278),1)*IF(Upgrades!$T$12="Stellar Coupling",POWER(Upgrades!$U$12,K278),1))*(POWER(Upgrades!$Q$6,E278)*POWER(Upgrades!$Q$7,F278)*POWER(Upgrades!$Q$8,G278)*POWER(Upgrades!$Q$9,H278)*POWER(Upgrades!$Q$10,I278)*POWER(Upgrades!$Q$11,J278)*POWER(Upgrades!$Q$12,K278))*Parameters!$B$10*Parameters!$B$11/60)/Upgrades!$C$11,0)),IF(K278&gt;0,0,IFERROR((1.0*(POWER(Upgrades!$P$6,E278)*POWER(Upgrades!$P$7,F278)*POWER(Upgrades!$P$8,G278)*POWER(Upgrades!$P$9,H278)*POWER(Upgrades!$P$10,I278)*POWER(Upgrades!$P$11,J278)*POWER(Upgrades!$P$12,K278))+0.20*M278*Parameters!$B$10*Parameters!$B$11/60)/Upgrades!$C$12,0)),IF(AND(ISNUMBER(AG278),AG278&gt;T278),AS278,0),IF(AND(ISNUMBER(AH278),AH278&gt;T278),AT278,0),IF(AND(ISNUMBER(AI278),AI278&gt;T278),AU278,0),IF(AND(ISNUMBER(AJ278),AJ278&gt;T278),AV278,0))</f>
        <v/>
      </c>
      <c r="AX278" s="29">
        <f>IF(AN278=1,"transition",IF(MIN(IF(AND(I278=0,ISNUMBER(AK278),AK278&lt;=T278),AK278,9E15),IF(AND(J278=0,ISNUMBER(AL278),AL278&lt;=T278),AL278,9E15),IF(AND(K278=0,ISNUMBER(AM278),AM278&lt;=T278),AM278,9E15))&lt;9E15,IF(AND(AND(I278=0,ISNUMBER(AK278),AK278&lt;=T278),AK278=MIN(IF(AND(I278=0,ISNUMBER(AK278),AK278&lt;=T278),AK278,9E15),IF(AND(J278=0,ISNUMBER(AL278),AL278&lt;=T278),AL278,9E15),IF(AND(K278=0,ISNUMBER(AM278),AM278&lt;=T278),AM278,9E15))),"OR",IF(AND(AND(J278=0,ISNUMBER(AL278),AL278&lt;=T278),AL278=MIN(IF(AND(I278=0,ISNUMBER(AK278),AK278&lt;=T278),AK278,9E15),IF(AND(J278=0,ISNUMBER(AL278),AL278&lt;=T278),AL278,9E15),IF(AND(K278=0,ISNUMBER(AM278),AM278&lt;=T278),AM278,9E15))),"HP","FP")),IF(AR278=TRUE,"",IF(MAX(IF(AND(NOT(AND(AO278=1,AN278&lt;&gt;1)),ISNUMBER(AG278),AG278&lt;=T278),AS278,0),IF(AND(NOT(AND(AO278=1,AN278&lt;&gt;1)),ISNUMBER(AH278),AH278&lt;=T278),AT278,0),IF(AND(NOT(AND(AO278=1,AN278&lt;&gt;1)),ISNUMBER(AI278),AI278&lt;=T278),AU278,0),IF(AND(ISNUMBER(AJ278),AJ278&lt;=T278),AV278,0))&lt;=0,"",IF(AND(IF(AND(NOT(AND(AO278=1,AN278&lt;&gt;1)),ISNUMBER(AG278),AG278&lt;=T278),AS278,0)&gt;0,IF(AND(NOT(AND(AO278=1,AN278&lt;&gt;1)),ISNUMBER(AG278),AG278&lt;=T278),AS278,0)=MAX(IF(AND(NOT(AND(AO278=1,AN278&lt;&gt;1)),ISNUMBER(AG278),AG278&lt;=T278),AS278,0),IF(AND(NOT(AND(AO278=1,AN278&lt;&gt;1)),ISNUMBER(AH278),AH278&lt;=T278),AT278,0),IF(AND(NOT(AND(AO278=1,AN278&lt;&gt;1)),ISNUMBER(AI278),AI278&lt;=T278),AU278,0),IF(AND(ISNUMBER(AJ278),AJ278&lt;=T278),AV278,0))),"SW",IF(AND(IF(AND(NOT(AND(AO278=1,AN278&lt;&gt;1)),ISNUMBER(AH278),AH278&lt;=T278),AT278,0)&gt;0,IF(AND(NOT(AND(AO278=1,AN278&lt;&gt;1)),ISNUMBER(AH278),AH278&lt;=T278),AT278,0)=MAX(IF(AND(NOT(AND(AO278=1,AN278&lt;&gt;1)),ISNUMBER(AG278),AG278&lt;=T278),AS278,0),IF(AND(NOT(AND(AO278=1,AN278&lt;&gt;1)),ISNUMBER(AH278),AH278&lt;=T278),AT278,0),IF(AND(NOT(AND(AO278=1,AN278&lt;&gt;1)),ISNUMBER(AI278),AI278&lt;=T278),AU278,0),IF(AND(ISNUMBER(AJ278),AJ278&lt;=T278),AV278,0))),"AB",IF(AND(IF(AND(NOT(AND(AO278=1,AN278&lt;&gt;1)),ISNUMBER(AI278),AI278&lt;=T278),AU278,0)&gt;0,IF(AND(NOT(AND(AO278=1,AN278&lt;&gt;1)),ISNUMBER(AI278),AI278&lt;=T278),AU278,0)=MAX(IF(AND(NOT(AND(AO278=1,AN278&lt;&gt;1)),ISNUMBER(AG278),AG278&lt;=T278),AS278,0),IF(AND(NOT(AND(AO278=1,AN278&lt;&gt;1)),ISNUMBER(AH278),AH278&lt;=T278),AT278,0),IF(AND(NOT(AND(AO278=1,AN278&lt;&gt;1)),ISNUMBER(AI278),AI278&lt;=T278),AU278,0),IF(AND(ISNUMBER(AJ278),AJ278&lt;=T278),AV278,0))),"SC","Mag")))))))</f>
        <v/>
      </c>
    </row>
    <row r="279">
      <c r="A279" s="26" t="n">
        <v>274</v>
      </c>
      <c r="B279" s="27">
        <f>A279*10/60</f>
        <v/>
      </c>
      <c r="C279" s="22">
        <f>X278</f>
        <v/>
      </c>
      <c r="D279" s="27">
        <f>D278+W278</f>
        <v/>
      </c>
      <c r="E279" s="26">
        <f>E278+IF(U278="SW",1,0)</f>
        <v/>
      </c>
      <c r="F279" s="26">
        <f>F278+IF(U278="AB",1,0)</f>
        <v/>
      </c>
      <c r="G279" s="26">
        <f>G278+IF(U278="SC",1,0)</f>
        <v/>
      </c>
      <c r="H279" s="26">
        <f>H278+IF(U278="Mag",1,0)</f>
        <v/>
      </c>
      <c r="I279" s="26">
        <f>MAX(I278,IF(U278="OR",1,0))</f>
        <v/>
      </c>
      <c r="J279" s="26">
        <f>MAX(J278,IF(U278="HP",1,0))</f>
        <v/>
      </c>
      <c r="K279" s="26">
        <f>MAX(K278,IF(U278="FP",1,0))</f>
        <v/>
      </c>
      <c r="L279" s="26">
        <f>MAX(L278,IF(U278="transition",1,0))</f>
        <v/>
      </c>
      <c r="M279" s="28">
        <f>(Parameters!$B$9+(IF(E279=0,0,(Upgrades!$J$6+E279*Upgrades!$K$6)*POWER(Upgrades!$L$6,E279)))*(IF(Upgrades!$T$7="Solar Wind",POWER(Upgrades!$U$7,F279),1)*IF(Upgrades!$T$8="Solar Wind",POWER(Upgrades!$U$8,G279),1)*IF(Upgrades!$T$9="Solar Wind",POWER(Upgrades!$U$9,H279),1)*IF(Upgrades!$T$10="Solar Wind",POWER(Upgrades!$U$10,I279),1)*IF(Upgrades!$T$11="Solar Wind",POWER(Upgrades!$U$11,J279),1)*IF(Upgrades!$T$12="Solar Wind",POWER(Upgrades!$U$12,K279),1))+(IF(F279=0,0,(Upgrades!$J$7+F279*Upgrades!$K$7)*POWER(Upgrades!$L$7,F279)))*(IF(Upgrades!$T$6="Asteroid Belt",POWER(Upgrades!$U$6,E279),1)*IF(Upgrades!$T$8="Asteroid Belt",POWER(Upgrades!$U$8,G279),1)*IF(Upgrades!$T$9="Asteroid Belt",POWER(Upgrades!$U$9,H279),1)*IF(Upgrades!$T$10="Asteroid Belt",POWER(Upgrades!$U$10,I279),1)*IF(Upgrades!$T$11="Asteroid Belt",POWER(Upgrades!$U$11,J279),1)*IF(Upgrades!$T$12="Asteroid Belt",POWER(Upgrades!$U$12,K279),1))+(IF(G279=0,0,(Upgrades!$J$8+G279*Upgrades!$K$8)*POWER(Upgrades!$L$8,G279)))*(IF(Upgrades!$T$6="Stellar Coupling",POWER(Upgrades!$U$6,E279),1)*IF(Upgrades!$T$7="Stellar Coupling",POWER(Upgrades!$U$7,F279),1)*IF(Upgrades!$T$9="Stellar Coupling",POWER(Upgrades!$U$9,H279),1)*IF(Upgrades!$T$10="Stellar Coupling",POWER(Upgrades!$U$10,I279),1)*IF(Upgrades!$T$11="Stellar Coupling",POWER(Upgrades!$U$11,J279),1)*IF(Upgrades!$T$12="Stellar Coupling",POWER(Upgrades!$U$12,K279),1))+(IF(H279=0,0,(Upgrades!$J$9+H279*Upgrades!$K$9)*POWER(Upgrades!$L$9,H279)))*(IF(Upgrades!$T$6="Magnetosphere",POWER(Upgrades!$U$6,E279),1)*IF(Upgrades!$T$7="Magnetosphere",POWER(Upgrades!$U$7,F279),1)*IF(Upgrades!$T$8="Magnetosphere",POWER(Upgrades!$U$8,G279),1)*IF(Upgrades!$T$10="Magnetosphere",POWER(Upgrades!$U$10,I279),1)*IF(Upgrades!$T$11="Magnetosphere",POWER(Upgrades!$U$11,J279),1)*IF(Upgrades!$T$12="Magnetosphere",POWER(Upgrades!$U$12,K279),1))+(IF(I279=0,0,(Upgrades!$J$10+I279*Upgrades!$K$10)*POWER(Upgrades!$L$10,I279)))*(IF(Upgrades!$T$6="Orbital Resonance",POWER(Upgrades!$U$6,E279),1)*IF(Upgrades!$T$7="Orbital Resonance",POWER(Upgrades!$U$7,F279),1)*IF(Upgrades!$T$8="Orbital Resonance",POWER(Upgrades!$U$8,G279),1)*IF(Upgrades!$T$9="Orbital Resonance",POWER(Upgrades!$U$9,H279),1)*IF(Upgrades!$T$11="Orbital Resonance",POWER(Upgrades!$U$11,J279),1)*IF(Upgrades!$T$12="Orbital Resonance",POWER(Upgrades!$U$12,K279),1))+(IF(J279=0,0,(Upgrades!$J$11+J279*Upgrades!$K$11)*POWER(Upgrades!$L$11,J279)))*(IF(Upgrades!$T$6="Heliopause",POWER(Upgrades!$U$6,E279),1)*IF(Upgrades!$T$7="Heliopause",POWER(Upgrades!$U$7,F279),1)*IF(Upgrades!$T$8="Heliopause",POWER(Upgrades!$U$8,G279),1)*IF(Upgrades!$T$9="Heliopause",POWER(Upgrades!$U$9,H279),1)*IF(Upgrades!$T$10="Heliopause",POWER(Upgrades!$U$10,I279),1)*IF(Upgrades!$T$12="Heliopause",POWER(Upgrades!$U$12,K279),1))+(IF(K279=0,0,(Upgrades!$J$12+K279*Upgrades!$K$12)*POWER(Upgrades!$L$12,K279)))*(IF(Upgrades!$T$6="First Photons",POWER(Upgrades!$U$6,E279),1)*IF(Upgrades!$T$7="First Photons",POWER(Upgrades!$U$7,F279),1)*IF(Upgrades!$T$8="First Photons",POWER(Upgrades!$U$8,G279),1)*IF(Upgrades!$T$9="First Photons",POWER(Upgrades!$U$9,H279),1)*IF(Upgrades!$T$10="First Photons",POWER(Upgrades!$U$10,I279),1)*IF(Upgrades!$T$11="First Photons",POWER(Upgrades!$U$11,J279),1)))*POWER(Upgrades!$Q$6,E279)*POWER(Upgrades!$Q$7,F279)*POWER(Upgrades!$Q$8,G279)*POWER(Upgrades!$Q$9,H279)*POWER(Upgrades!$Q$10,I279)*POWER(Upgrades!$Q$11,J279)*POWER(Upgrades!$Q$12,K279)</f>
        <v/>
      </c>
      <c r="N279" s="28">
        <f>((IF(E279=0,0,(Upgrades!$G$6+E279*Upgrades!$H$6)*POWER(Upgrades!$I$6,E279)))*(IF(Upgrades!$T$7="Solar Wind",POWER(Upgrades!$U$7,F279),1)*IF(Upgrades!$T$8="Solar Wind",POWER(Upgrades!$U$8,G279),1)*IF(Upgrades!$T$9="Solar Wind",POWER(Upgrades!$U$9,H279),1)*IF(Upgrades!$T$10="Solar Wind",POWER(Upgrades!$U$10,I279),1)*IF(Upgrades!$T$11="Solar Wind",POWER(Upgrades!$U$11,J279),1)*IF(Upgrades!$T$12="Solar Wind",POWER(Upgrades!$U$12,K279),1))+(IF(F279=0,0,(Upgrades!$G$7+F279*Upgrades!$H$7)*POWER(Upgrades!$I$7,F279)))*(IF(Upgrades!$T$6="Asteroid Belt",POWER(Upgrades!$U$6,E279),1)*IF(Upgrades!$T$8="Asteroid Belt",POWER(Upgrades!$U$8,G279),1)*IF(Upgrades!$T$9="Asteroid Belt",POWER(Upgrades!$U$9,H279),1)*IF(Upgrades!$T$10="Asteroid Belt",POWER(Upgrades!$U$10,I279),1)*IF(Upgrades!$T$11="Asteroid Belt",POWER(Upgrades!$U$11,J279),1)*IF(Upgrades!$T$12="Asteroid Belt",POWER(Upgrades!$U$12,K279),1))+(IF(G279=0,0,(Upgrades!$G$8+G279*Upgrades!$H$8)*POWER(Upgrades!$I$8,G279)))*(IF(Upgrades!$T$6="Stellar Coupling",POWER(Upgrades!$U$6,E279),1)*IF(Upgrades!$T$7="Stellar Coupling",POWER(Upgrades!$U$7,F279),1)*IF(Upgrades!$T$9="Stellar Coupling",POWER(Upgrades!$U$9,H279),1)*IF(Upgrades!$T$10="Stellar Coupling",POWER(Upgrades!$U$10,I279),1)*IF(Upgrades!$T$11="Stellar Coupling",POWER(Upgrades!$U$11,J279),1)*IF(Upgrades!$T$12="Stellar Coupling",POWER(Upgrades!$U$12,K279),1))+(IF(H279=0,0,(Upgrades!$G$9+H279*Upgrades!$H$9)*POWER(Upgrades!$I$9,H279)))*(IF(Upgrades!$T$6="Magnetosphere",POWER(Upgrades!$U$6,E279),1)*IF(Upgrades!$T$7="Magnetosphere",POWER(Upgrades!$U$7,F279),1)*IF(Upgrades!$T$8="Magnetosphere",POWER(Upgrades!$U$8,G279),1)*IF(Upgrades!$T$10="Magnetosphere",POWER(Upgrades!$U$10,I279),1)*IF(Upgrades!$T$11="Magnetosphere",POWER(Upgrades!$U$11,J279),1)*IF(Upgrades!$T$12="Magnetosphere",POWER(Upgrades!$U$12,K279),1))+(IF(I279=0,0,(Upgrades!$G$10+I279*Upgrades!$H$10)*POWER(Upgrades!$I$10,I279)))*(IF(Upgrades!$T$6="Orbital Resonance",POWER(Upgrades!$U$6,E279),1)*IF(Upgrades!$T$7="Orbital Resonance",POWER(Upgrades!$U$7,F279),1)*IF(Upgrades!$T$8="Orbital Resonance",POWER(Upgrades!$U$8,G279),1)*IF(Upgrades!$T$9="Orbital Resonance",POWER(Upgrades!$U$9,H279),1)*IF(Upgrades!$T$11="Orbital Resonance",POWER(Upgrades!$U$11,J279),1)*IF(Upgrades!$T$12="Orbital Resonance",POWER(Upgrades!$U$12,K279),1))+(IF(J279=0,0,(Upgrades!$G$11+J279*Upgrades!$H$11)*POWER(Upgrades!$I$11,J279)))*(IF(Upgrades!$T$6="Heliopause",POWER(Upgrades!$U$6,E279),1)*IF(Upgrades!$T$7="Heliopause",POWER(Upgrades!$U$7,F279),1)*IF(Upgrades!$T$8="Heliopause",POWER(Upgrades!$U$8,G279),1)*IF(Upgrades!$T$9="Heliopause",POWER(Upgrades!$U$9,H279),1)*IF(Upgrades!$T$10="Heliopause",POWER(Upgrades!$U$10,I279),1)*IF(Upgrades!$T$12="Heliopause",POWER(Upgrades!$U$12,K279),1))+(IF(K279=0,0,(Upgrades!$G$12+K279*Upgrades!$H$12)*POWER(Upgrades!$I$12,K279)))*(IF(Upgrades!$T$6="First Photons",POWER(Upgrades!$U$6,E279),1)*IF(Upgrades!$T$7="First Photons",POWER(Upgrades!$U$7,F279),1)*IF(Upgrades!$T$8="First Photons",POWER(Upgrades!$U$8,G279),1)*IF(Upgrades!$T$9="First Photons",POWER(Upgrades!$U$9,H279),1)*IF(Upgrades!$T$10="First Photons",POWER(Upgrades!$U$10,I279),1)*IF(Upgrades!$T$11="First Photons",POWER(Upgrades!$U$11,J279),1)))*POWER(Upgrades!$P$6,E279)*POWER(Upgrades!$P$7,F279)*POWER(Upgrades!$P$8,G279)*POWER(Upgrades!$P$9,H279)*POWER(Upgrades!$P$10,I279)*POWER(Upgrades!$P$11,J279)*POWER(Upgrades!$P$12,K279)</f>
        <v/>
      </c>
      <c r="O279" s="28">
        <f>((IF(E279=0,0,(Upgrades!$M$6+E279*Upgrades!$N$6)*POWER(Upgrades!$O$6,E279)))*(IF(Upgrades!$T$7="Solar Wind",POWER(Upgrades!$U$7,F279),1)*IF(Upgrades!$T$8="Solar Wind",POWER(Upgrades!$U$8,G279),1)*IF(Upgrades!$T$9="Solar Wind",POWER(Upgrades!$U$9,H279),1)*IF(Upgrades!$T$10="Solar Wind",POWER(Upgrades!$U$10,I279),1)*IF(Upgrades!$T$11="Solar Wind",POWER(Upgrades!$U$11,J279),1)*IF(Upgrades!$T$12="Solar Wind",POWER(Upgrades!$U$12,K279),1))+(IF(F279=0,0,(Upgrades!$M$7+F279*Upgrades!$N$7)*POWER(Upgrades!$O$7,F279)))*(IF(Upgrades!$T$6="Asteroid Belt",POWER(Upgrades!$U$6,E279),1)*IF(Upgrades!$T$8="Asteroid Belt",POWER(Upgrades!$U$8,G279),1)*IF(Upgrades!$T$9="Asteroid Belt",POWER(Upgrades!$U$9,H279),1)*IF(Upgrades!$T$10="Asteroid Belt",POWER(Upgrades!$U$10,I279),1)*IF(Upgrades!$T$11="Asteroid Belt",POWER(Upgrades!$U$11,J279),1)*IF(Upgrades!$T$12="Asteroid Belt",POWER(Upgrades!$U$12,K279),1))+(IF(G279=0,0,(Upgrades!$M$8+G279*Upgrades!$N$8)*POWER(Upgrades!$O$8,G279)))*(IF(Upgrades!$T$6="Stellar Coupling",POWER(Upgrades!$U$6,E279),1)*IF(Upgrades!$T$7="Stellar Coupling",POWER(Upgrades!$U$7,F279),1)*IF(Upgrades!$T$9="Stellar Coupling",POWER(Upgrades!$U$9,H279),1)*IF(Upgrades!$T$10="Stellar Coupling",POWER(Upgrades!$U$10,I279),1)*IF(Upgrades!$T$11="Stellar Coupling",POWER(Upgrades!$U$11,J279),1)*IF(Upgrades!$T$12="Stellar Coupling",POWER(Upgrades!$U$12,K279),1))+(IF(H279=0,0,(Upgrades!$M$9+H279*Upgrades!$N$9)*POWER(Upgrades!$O$9,H279)))*(IF(Upgrades!$T$6="Magnetosphere",POWER(Upgrades!$U$6,E279),1)*IF(Upgrades!$T$7="Magnetosphere",POWER(Upgrades!$U$7,F279),1)*IF(Upgrades!$T$8="Magnetosphere",POWER(Upgrades!$U$8,G279),1)*IF(Upgrades!$T$10="Magnetosphere",POWER(Upgrades!$U$10,I279),1)*IF(Upgrades!$T$11="Magnetosphere",POWER(Upgrades!$U$11,J279),1)*IF(Upgrades!$T$12="Magnetosphere",POWER(Upgrades!$U$12,K279),1))+(IF(I279=0,0,(Upgrades!$M$10+I279*Upgrades!$N$10)*POWER(Upgrades!$O$10,I279)))*(IF(Upgrades!$T$6="Orbital Resonance",POWER(Upgrades!$U$6,E279),1)*IF(Upgrades!$T$7="Orbital Resonance",POWER(Upgrades!$U$7,F279),1)*IF(Upgrades!$T$8="Orbital Resonance",POWER(Upgrades!$U$8,G279),1)*IF(Upgrades!$T$9="Orbital Resonance",POWER(Upgrades!$U$9,H279),1)*IF(Upgrades!$T$11="Orbital Resonance",POWER(Upgrades!$U$11,J279),1)*IF(Upgrades!$T$12="Orbital Resonance",POWER(Upgrades!$U$12,K279),1))+(IF(J279=0,0,(Upgrades!$M$11+J279*Upgrades!$N$11)*POWER(Upgrades!$O$11,J279)))*(IF(Upgrades!$T$6="Heliopause",POWER(Upgrades!$U$6,E279),1)*IF(Upgrades!$T$7="Heliopause",POWER(Upgrades!$U$7,F279),1)*IF(Upgrades!$T$8="Heliopause",POWER(Upgrades!$U$8,G279),1)*IF(Upgrades!$T$9="Heliopause",POWER(Upgrades!$U$9,H279),1)*IF(Upgrades!$T$10="Heliopause",POWER(Upgrades!$U$10,I279),1)*IF(Upgrades!$T$12="Heliopause",POWER(Upgrades!$U$12,K279),1))+(IF(K279=0,0,(Upgrades!$M$12+K279*Upgrades!$N$12)*POWER(Upgrades!$O$12,K279)))*(IF(Upgrades!$T$6="First Photons",POWER(Upgrades!$U$6,E279),1)*IF(Upgrades!$T$7="First Photons",POWER(Upgrades!$U$7,F279),1)*IF(Upgrades!$T$8="First Photons",POWER(Upgrades!$U$8,G279),1)*IF(Upgrades!$T$9="First Photons",POWER(Upgrades!$U$9,H279),1)*IF(Upgrades!$T$10="First Photons",POWER(Upgrades!$U$10,I279),1)*IF(Upgrades!$T$11="First Photons",POWER(Upgrades!$U$11,J279),1)))*POWER(Upgrades!$R$6,E279)*POWER(Upgrades!$R$7,F279)*POWER(Upgrades!$R$8,G279)*POWER(Upgrades!$R$9,H279)*POWER(Upgrades!$R$10,I279)*POWER(Upgrades!$R$11,J279)*POWER(Upgrades!$R$12,K279)</f>
        <v/>
      </c>
      <c r="P279" s="27">
        <f>IF(L279=1,0,M279*Parameters!$B$10/60*Parameters!$B$11*10)</f>
        <v/>
      </c>
      <c r="Q279" s="27">
        <f>IF(L279=1,0,O279*M279*10)</f>
        <v/>
      </c>
      <c r="R279" s="27">
        <f>IF(L279=1,0,N279*10)</f>
        <v/>
      </c>
      <c r="S279" s="27">
        <f>P279+Q279+R279</f>
        <v/>
      </c>
      <c r="T279" s="22">
        <f>C279+S279</f>
        <v/>
      </c>
      <c r="U279" s="33">
        <f>AX279</f>
        <v/>
      </c>
      <c r="V279" s="22">
        <f>IF(U279="",0,IF(U279="transition",0,IF(U279="SW",AG279,IF(U279="AB",AH279,IF(U279="SC",AI279,IF(U279="Mag",AJ279,IF(U279="OR",AK279,IF(U279="HP",AL279,IF(U279="FP",AM279,0)))))))))</f>
        <v/>
      </c>
      <c r="W279" s="27">
        <f>IF(U279="OR",Upgrades!$F$10,IF(U279="HP",Upgrades!$F$11,IF(U279="transition",-Parameters!$B$18,0)))</f>
        <v/>
      </c>
      <c r="X279" s="22">
        <f>T279-V279</f>
        <v/>
      </c>
      <c r="Y279" s="30">
        <f>M279*Parameters!$B$10/60*Parameters!$B$11+O279*M279+N279</f>
        <v/>
      </c>
      <c r="Z279" s="34">
        <f>IF(U279="transition","→ Tier 2 (Stellar Neighborhood)",IF(U279="FP","First Photons — light begins, system quickens",IF(U279="HP","Heliopause acquired",IF(U279="OR","Orbital Resonance — passive multiplier active",IF(AND(AO279=1,L279=0,AN279&lt;&gt;1),"Cohesion ready (waiting on completionist upgrades)","")))))</f>
        <v/>
      </c>
      <c r="AA279" s="27">
        <f>(IF(E279=0,0,(Upgrades!$G$6+E279*Upgrades!$H$6)*POWER(Upgrades!$I$6,E279)))*(IF(Upgrades!$T$7="Solar Wind",POWER(Upgrades!$U$7,F279),1)*IF(Upgrades!$T$8="Solar Wind",POWER(Upgrades!$U$8,G279),1)*IF(Upgrades!$T$9="Solar Wind",POWER(Upgrades!$U$9,H279),1)*IF(Upgrades!$T$10="Solar Wind",POWER(Upgrades!$U$10,I279),1)*IF(Upgrades!$T$11="Solar Wind",POWER(Upgrades!$U$11,J279),1)*IF(Upgrades!$T$12="Solar Wind",POWER(Upgrades!$U$12,K279),1))*POWER(Upgrades!$P$6,E279)*POWER(Upgrades!$P$7,F279)*POWER(Upgrades!$P$8,G279)*POWER(Upgrades!$P$9,H279)*POWER(Upgrades!$P$10,I279)*POWER(Upgrades!$P$11,J279)*POWER(Upgrades!$P$12,K279)*60</f>
        <v/>
      </c>
      <c r="AB279" s="27">
        <f>(IF(F279=0,0,(Upgrades!$G$7+F279*Upgrades!$H$7)*POWER(Upgrades!$I$7,F279)))*(IF(Upgrades!$T$6="Asteroid Belt",POWER(Upgrades!$U$6,E279),1)*IF(Upgrades!$T$8="Asteroid Belt",POWER(Upgrades!$U$8,G279),1)*IF(Upgrades!$T$9="Asteroid Belt",POWER(Upgrades!$U$9,H279),1)*IF(Upgrades!$T$10="Asteroid Belt",POWER(Upgrades!$U$10,I279),1)*IF(Upgrades!$T$11="Asteroid Belt",POWER(Upgrades!$U$11,J279),1)*IF(Upgrades!$T$12="Asteroid Belt",POWER(Upgrades!$U$12,K279),1))*POWER(Upgrades!$P$6,E279)*POWER(Upgrades!$P$7,F279)*POWER(Upgrades!$P$8,G279)*POWER(Upgrades!$P$9,H279)*POWER(Upgrades!$P$10,I279)*POWER(Upgrades!$P$11,J279)*POWER(Upgrades!$P$12,K279)*60</f>
        <v/>
      </c>
      <c r="AC279" s="27">
        <f>(IF(G279=0,0,(Upgrades!$J$8+G279*Upgrades!$K$8)*POWER(Upgrades!$L$8,G279)))*(IF(Upgrades!$T$6="Stellar Coupling",POWER(Upgrades!$U$6,E279),1)*IF(Upgrades!$T$7="Stellar Coupling",POWER(Upgrades!$U$7,F279),1)*IF(Upgrades!$T$9="Stellar Coupling",POWER(Upgrades!$U$9,H279),1)*IF(Upgrades!$T$10="Stellar Coupling",POWER(Upgrades!$U$10,I279),1)*IF(Upgrades!$T$11="Stellar Coupling",POWER(Upgrades!$U$11,J279),1)*IF(Upgrades!$T$12="Stellar Coupling",POWER(Upgrades!$U$12,K279),1))*POWER(Upgrades!$Q$6,E279)*POWER(Upgrades!$Q$7,F279)*POWER(Upgrades!$Q$8,G279)*POWER(Upgrades!$Q$9,H279)*POWER(Upgrades!$Q$10,I279)*POWER(Upgrades!$Q$11,J279)*POWER(Upgrades!$Q$12,K279)*Parameters!$B$10*Parameters!$B$11</f>
        <v/>
      </c>
      <c r="AD279" s="27">
        <f>(IF(H279=0,0,(Upgrades!$G$9+H279*Upgrades!$H$9)*POWER(Upgrades!$I$9,H279)))*(IF(Upgrades!$T$6="Magnetosphere",POWER(Upgrades!$U$6,E279),1)*IF(Upgrades!$T$7="Magnetosphere",POWER(Upgrades!$U$7,F279),1)*IF(Upgrades!$T$8="Magnetosphere",POWER(Upgrades!$U$8,G279),1)*IF(Upgrades!$T$10="Magnetosphere",POWER(Upgrades!$U$10,I279),1)*IF(Upgrades!$T$11="Magnetosphere",POWER(Upgrades!$U$11,J279),1)*IF(Upgrades!$T$12="Magnetosphere",POWER(Upgrades!$U$12,K279),1))*POWER(Upgrades!$P$6,E279)*POWER(Upgrades!$P$7,F279)*POWER(Upgrades!$P$8,G279)*POWER(Upgrades!$P$9,H279)*POWER(Upgrades!$P$10,I279)*POWER(Upgrades!$P$11,J279)*POWER(Upgrades!$P$12,K279)*60</f>
        <v/>
      </c>
      <c r="AE279" s="27">
        <f>(IF(K279=0,0,(Upgrades!$G$12+K279*Upgrades!$H$12)*POWER(Upgrades!$I$12,K279)))*(IF(Upgrades!$T$6="First Photons",POWER(Upgrades!$U$6,E279),1)*IF(Upgrades!$T$7="First Photons",POWER(Upgrades!$U$7,F279),1)*IF(Upgrades!$T$8="First Photons",POWER(Upgrades!$U$8,G279),1)*IF(Upgrades!$T$9="First Photons",POWER(Upgrades!$U$9,H279),1)*IF(Upgrades!$T$10="First Photons",POWER(Upgrades!$U$10,I279),1)*IF(Upgrades!$T$11="First Photons",POWER(Upgrades!$U$11,J279),1))*POWER(Upgrades!$P$6,E279)*POWER(Upgrades!$P$7,F279)*POWER(Upgrades!$P$8,G279)*POWER(Upgrades!$P$9,H279)*POWER(Upgrades!$P$10,I279)*POWER(Upgrades!$P$11,J279)*POWER(Upgrades!$P$12,K279)*60</f>
        <v/>
      </c>
      <c r="AF279" s="27">
        <f>Parameters!$B$9*POWER(Upgrades!$Q$6,E279)*POWER(Upgrades!$Q$7,F279)*POWER(Upgrades!$Q$8,G279)*POWER(Upgrades!$Q$9,H279)*POWER(Upgrades!$Q$10,I279)*POWER(Upgrades!$Q$11,J279)*POWER(Upgrades!$Q$12,K279)*(Parameters!$B$10*Parameters!$B$11+O279*60)</f>
        <v/>
      </c>
      <c r="AG279" s="22">
        <f>IF(E279&gt;=Upgrades!$E$6,"",Upgrades!$C$6*POWER(Upgrades!$D$6,E279))</f>
        <v/>
      </c>
      <c r="AH279" s="22">
        <f>IF(F279&gt;=Upgrades!$E$7,"",Upgrades!$C$7*POWER(Upgrades!$D$7,F279))</f>
        <v/>
      </c>
      <c r="AI279" s="22">
        <f>IF(G279&gt;=Upgrades!$E$8,"",Upgrades!$C$8*POWER(Upgrades!$D$8,G279))</f>
        <v/>
      </c>
      <c r="AJ279" s="22">
        <f>IF(H279&gt;=Upgrades!$E$9,"",Upgrades!$C$9*POWER(Upgrades!$D$9,H279))</f>
        <v/>
      </c>
      <c r="AK279" s="22">
        <f>IF(I279&gt;=Upgrades!$E$10,"",Upgrades!$C$10*POWER(Upgrades!$D$10,I279))</f>
        <v/>
      </c>
      <c r="AL279" s="22">
        <f>IF(J279&gt;=Upgrades!$E$11,"",Upgrades!$C$11*POWER(Upgrades!$D$11,J279))</f>
        <v/>
      </c>
      <c r="AM279" s="22">
        <f>IF(K279&gt;=Upgrades!$E$12,"",Upgrades!$C$12*POWER(Upgrades!$D$12,K279))</f>
        <v/>
      </c>
      <c r="AN279" s="26">
        <f>IF(AND(D279&gt;=Parameters!$B$18,(H279&gt;=Upgrades!$E$9)*(K279&gt;=Upgrades!$E$12)=1,L279=0),1,"")</f>
        <v/>
      </c>
      <c r="AO279" s="26">
        <f>IF(AND(D279&gt;=Parameters!$B$18,L279=0),1,"")</f>
        <v/>
      </c>
      <c r="AP279" s="22">
        <f>MIN(IF(ISNUMBER(AK279),AK279,9E15),IF(ISNUMBER(AL279),AL279,9E15),IF(ISNUMBER(AM279),AM279,9E15))</f>
        <v/>
      </c>
      <c r="AQ279" s="22">
        <f>MIN(IF(ISNUMBER(AG279),AG279,9E15),IF(ISNUMBER(AH279),AH279,9E15),IF(ISNUMBER(AI279),AI279,9E15),IF(ISNUMBER(AJ279),AJ279,9E15))</f>
        <v/>
      </c>
      <c r="AR279" s="29">
        <f>IF(AW279&gt;Parameters!$B$21*(MAX(IF(AND(NOT(AND(AO279=1,AN279&lt;&gt;1)),ISNUMBER(AG279),AG279&lt;=T279),AS279,0),IF(AND(NOT(AND(AO279=1,AN279&lt;&gt;1)),ISNUMBER(AH279),AH279&lt;=T279),AT279,0),IF(AND(NOT(AND(AO279=1,AN279&lt;&gt;1)),ISNUMBER(AI279),AI279&lt;=T279),AU279,0),IF(AND(ISNUMBER(AJ279),AJ279&lt;=T279),AV279,0))),TRUE,FALSE)</f>
        <v/>
      </c>
      <c r="AS279" s="32">
        <f>IFERROR(Upgrades!$H$6*(POWER(Upgrades!$P$6,E279)*POWER(Upgrades!$P$7,F279)*POWER(Upgrades!$P$8,G279)*POWER(Upgrades!$P$9,H279)*POWER(Upgrades!$P$10,I279)*POWER(Upgrades!$P$11,J279)*POWER(Upgrades!$P$12,K279))*(IF(Upgrades!$T$7="Solar Wind",POWER(Upgrades!$U$7,F279),1)*IF(Upgrades!$T$8="Solar Wind",POWER(Upgrades!$U$8,G279),1)*IF(Upgrades!$T$9="Solar Wind",POWER(Upgrades!$U$9,H279),1)*IF(Upgrades!$T$10="Solar Wind",POWER(Upgrades!$U$10,I279),1)*IF(Upgrades!$T$11="Solar Wind",POWER(Upgrades!$U$11,J279),1)*IF(Upgrades!$T$12="Solar Wind",POWER(Upgrades!$U$12,K279),1))/AG279,0)</f>
        <v/>
      </c>
      <c r="AT279" s="32">
        <f>IFERROR(Upgrades!$H$7*(POWER(Upgrades!$P$6,E279)*POWER(Upgrades!$P$7,F279)*POWER(Upgrades!$P$8,G279)*POWER(Upgrades!$P$9,H279)*POWER(Upgrades!$P$10,I279)*POWER(Upgrades!$P$11,J279)*POWER(Upgrades!$P$12,K279))*(IF(Upgrades!$T$6="Asteroid Belt",POWER(Upgrades!$U$6,E279),1)*IF(Upgrades!$T$8="Asteroid Belt",POWER(Upgrades!$U$8,G279),1)*IF(Upgrades!$T$9="Asteroid Belt",POWER(Upgrades!$U$9,H279),1)*IF(Upgrades!$T$10="Asteroid Belt",POWER(Upgrades!$U$10,I279),1)*IF(Upgrades!$T$11="Asteroid Belt",POWER(Upgrades!$U$11,J279),1)*IF(Upgrades!$T$12="Asteroid Belt",POWER(Upgrades!$U$12,K279),1))/AH279,0)</f>
        <v/>
      </c>
      <c r="AU279" s="32">
        <f>IFERROR(Upgrades!$K$8*(POWER(Upgrades!$Q$6,E279)*POWER(Upgrades!$Q$7,F279)*POWER(Upgrades!$Q$8,G279)*POWER(Upgrades!$Q$9,H279)*POWER(Upgrades!$Q$10,I279)*POWER(Upgrades!$Q$11,J279)*POWER(Upgrades!$Q$12,K279))*(IF(Upgrades!$T$6="Stellar Coupling",POWER(Upgrades!$U$6,E279),1)*IF(Upgrades!$T$7="Stellar Coupling",POWER(Upgrades!$U$7,F279),1)*IF(Upgrades!$T$9="Stellar Coupling",POWER(Upgrades!$U$9,H279),1)*IF(Upgrades!$T$10="Stellar Coupling",POWER(Upgrades!$U$10,I279),1)*IF(Upgrades!$T$11="Stellar Coupling",POWER(Upgrades!$U$11,J279),1)*IF(Upgrades!$T$12="Stellar Coupling",POWER(Upgrades!$U$12,K279),1))*Parameters!$B$10*Parameters!$B$11/60/AI279,0)</f>
        <v/>
      </c>
      <c r="AV279" s="32">
        <f>IFERROR(Upgrades!$H$9*(POWER(Upgrades!$P$6,E279)*POWER(Upgrades!$P$7,F279)*POWER(Upgrades!$P$8,G279)*POWER(Upgrades!$P$9,H279)*POWER(Upgrades!$P$10,I279)*POWER(Upgrades!$P$11,J279)*POWER(Upgrades!$P$12,K279))*(IF(Upgrades!$T$6="Magnetosphere",POWER(Upgrades!$U$6,E279),1)*IF(Upgrades!$T$7="Magnetosphere",POWER(Upgrades!$U$7,F279),1)*IF(Upgrades!$T$8="Magnetosphere",POWER(Upgrades!$U$8,G279),1)*IF(Upgrades!$T$10="Magnetosphere",POWER(Upgrades!$U$10,I279),1)*IF(Upgrades!$T$11="Magnetosphere",POWER(Upgrades!$U$11,J279),1)*IF(Upgrades!$T$12="Magnetosphere",POWER(Upgrades!$U$12,K279),1))/AJ279,0)</f>
        <v/>
      </c>
      <c r="AW279" s="32">
        <f>MAX(IF(I279&gt;0,0,IFERROR(0.25*N279/Upgrades!$C$10,0)),IF(J279&gt;0,0,IFERROR(0.5*((IF(G279=0,0,(Upgrades!$J$8+G279*Upgrades!$K$8)*POWER(Upgrades!$L$8,G279)))*(IF(Upgrades!$T$6="Stellar Coupling",POWER(Upgrades!$U$6,E279),1)*IF(Upgrades!$T$7="Stellar Coupling",POWER(Upgrades!$U$7,F279),1)*IF(Upgrades!$T$9="Stellar Coupling",POWER(Upgrades!$U$9,H279),1)*IF(Upgrades!$T$10="Stellar Coupling",POWER(Upgrades!$U$10,I279),1)*IF(Upgrades!$T$11="Stellar Coupling",POWER(Upgrades!$U$11,J279),1)*IF(Upgrades!$T$12="Stellar Coupling",POWER(Upgrades!$U$12,K279),1))*(POWER(Upgrades!$Q$6,E279)*POWER(Upgrades!$Q$7,F279)*POWER(Upgrades!$Q$8,G279)*POWER(Upgrades!$Q$9,H279)*POWER(Upgrades!$Q$10,I279)*POWER(Upgrades!$Q$11,J279)*POWER(Upgrades!$Q$12,K279))*Parameters!$B$10*Parameters!$B$11/60)/Upgrades!$C$11,0)),IF(K279&gt;0,0,IFERROR((1.0*(POWER(Upgrades!$P$6,E279)*POWER(Upgrades!$P$7,F279)*POWER(Upgrades!$P$8,G279)*POWER(Upgrades!$P$9,H279)*POWER(Upgrades!$P$10,I279)*POWER(Upgrades!$P$11,J279)*POWER(Upgrades!$P$12,K279))+0.20*M279*Parameters!$B$10*Parameters!$B$11/60)/Upgrades!$C$12,0)),IF(AND(ISNUMBER(AG279),AG279&gt;T279),AS279,0),IF(AND(ISNUMBER(AH279),AH279&gt;T279),AT279,0),IF(AND(ISNUMBER(AI279),AI279&gt;T279),AU279,0),IF(AND(ISNUMBER(AJ279),AJ279&gt;T279),AV279,0))</f>
        <v/>
      </c>
      <c r="AX279" s="29">
        <f>IF(AN279=1,"transition",IF(MIN(IF(AND(I279=0,ISNUMBER(AK279),AK279&lt;=T279),AK279,9E15),IF(AND(J279=0,ISNUMBER(AL279),AL279&lt;=T279),AL279,9E15),IF(AND(K279=0,ISNUMBER(AM279),AM279&lt;=T279),AM279,9E15))&lt;9E15,IF(AND(AND(I279=0,ISNUMBER(AK279),AK279&lt;=T279),AK279=MIN(IF(AND(I279=0,ISNUMBER(AK279),AK279&lt;=T279),AK279,9E15),IF(AND(J279=0,ISNUMBER(AL279),AL279&lt;=T279),AL279,9E15),IF(AND(K279=0,ISNUMBER(AM279),AM279&lt;=T279),AM279,9E15))),"OR",IF(AND(AND(J279=0,ISNUMBER(AL279),AL279&lt;=T279),AL279=MIN(IF(AND(I279=0,ISNUMBER(AK279),AK279&lt;=T279),AK279,9E15),IF(AND(J279=0,ISNUMBER(AL279),AL279&lt;=T279),AL279,9E15),IF(AND(K279=0,ISNUMBER(AM279),AM279&lt;=T279),AM279,9E15))),"HP","FP")),IF(AR279=TRUE,"",IF(MAX(IF(AND(NOT(AND(AO279=1,AN279&lt;&gt;1)),ISNUMBER(AG279),AG279&lt;=T279),AS279,0),IF(AND(NOT(AND(AO279=1,AN279&lt;&gt;1)),ISNUMBER(AH279),AH279&lt;=T279),AT279,0),IF(AND(NOT(AND(AO279=1,AN279&lt;&gt;1)),ISNUMBER(AI279),AI279&lt;=T279),AU279,0),IF(AND(ISNUMBER(AJ279),AJ279&lt;=T279),AV279,0))&lt;=0,"",IF(AND(IF(AND(NOT(AND(AO279=1,AN279&lt;&gt;1)),ISNUMBER(AG279),AG279&lt;=T279),AS279,0)&gt;0,IF(AND(NOT(AND(AO279=1,AN279&lt;&gt;1)),ISNUMBER(AG279),AG279&lt;=T279),AS279,0)=MAX(IF(AND(NOT(AND(AO279=1,AN279&lt;&gt;1)),ISNUMBER(AG279),AG279&lt;=T279),AS279,0),IF(AND(NOT(AND(AO279=1,AN279&lt;&gt;1)),ISNUMBER(AH279),AH279&lt;=T279),AT279,0),IF(AND(NOT(AND(AO279=1,AN279&lt;&gt;1)),ISNUMBER(AI279),AI279&lt;=T279),AU279,0),IF(AND(ISNUMBER(AJ279),AJ279&lt;=T279),AV279,0))),"SW",IF(AND(IF(AND(NOT(AND(AO279=1,AN279&lt;&gt;1)),ISNUMBER(AH279),AH279&lt;=T279),AT279,0)&gt;0,IF(AND(NOT(AND(AO279=1,AN279&lt;&gt;1)),ISNUMBER(AH279),AH279&lt;=T279),AT279,0)=MAX(IF(AND(NOT(AND(AO279=1,AN279&lt;&gt;1)),ISNUMBER(AG279),AG279&lt;=T279),AS279,0),IF(AND(NOT(AND(AO279=1,AN279&lt;&gt;1)),ISNUMBER(AH279),AH279&lt;=T279),AT279,0),IF(AND(NOT(AND(AO279=1,AN279&lt;&gt;1)),ISNUMBER(AI279),AI279&lt;=T279),AU279,0),IF(AND(ISNUMBER(AJ279),AJ279&lt;=T279),AV279,0))),"AB",IF(AND(IF(AND(NOT(AND(AO279=1,AN279&lt;&gt;1)),ISNUMBER(AI279),AI279&lt;=T279),AU279,0)&gt;0,IF(AND(NOT(AND(AO279=1,AN279&lt;&gt;1)),ISNUMBER(AI279),AI279&lt;=T279),AU279,0)=MAX(IF(AND(NOT(AND(AO279=1,AN279&lt;&gt;1)),ISNUMBER(AG279),AG279&lt;=T279),AS279,0),IF(AND(NOT(AND(AO279=1,AN279&lt;&gt;1)),ISNUMBER(AH279),AH279&lt;=T279),AT279,0),IF(AND(NOT(AND(AO279=1,AN279&lt;&gt;1)),ISNUMBER(AI279),AI279&lt;=T279),AU279,0),IF(AND(ISNUMBER(AJ279),AJ279&lt;=T279),AV279,0))),"SC","Mag")))))))</f>
        <v/>
      </c>
    </row>
    <row r="280">
      <c r="A280" s="26" t="n">
        <v>275</v>
      </c>
      <c r="B280" s="27">
        <f>A280*10/60</f>
        <v/>
      </c>
      <c r="C280" s="22">
        <f>X279</f>
        <v/>
      </c>
      <c r="D280" s="27">
        <f>D279+W279</f>
        <v/>
      </c>
      <c r="E280" s="26">
        <f>E279+IF(U279="SW",1,0)</f>
        <v/>
      </c>
      <c r="F280" s="26">
        <f>F279+IF(U279="AB",1,0)</f>
        <v/>
      </c>
      <c r="G280" s="26">
        <f>G279+IF(U279="SC",1,0)</f>
        <v/>
      </c>
      <c r="H280" s="26">
        <f>H279+IF(U279="Mag",1,0)</f>
        <v/>
      </c>
      <c r="I280" s="26">
        <f>MAX(I279,IF(U279="OR",1,0))</f>
        <v/>
      </c>
      <c r="J280" s="26">
        <f>MAX(J279,IF(U279="HP",1,0))</f>
        <v/>
      </c>
      <c r="K280" s="26">
        <f>MAX(K279,IF(U279="FP",1,0))</f>
        <v/>
      </c>
      <c r="L280" s="26">
        <f>MAX(L279,IF(U279="transition",1,0))</f>
        <v/>
      </c>
      <c r="M280" s="28">
        <f>(Parameters!$B$9+(IF(E280=0,0,(Upgrades!$J$6+E280*Upgrades!$K$6)*POWER(Upgrades!$L$6,E280)))*(IF(Upgrades!$T$7="Solar Wind",POWER(Upgrades!$U$7,F280),1)*IF(Upgrades!$T$8="Solar Wind",POWER(Upgrades!$U$8,G280),1)*IF(Upgrades!$T$9="Solar Wind",POWER(Upgrades!$U$9,H280),1)*IF(Upgrades!$T$10="Solar Wind",POWER(Upgrades!$U$10,I280),1)*IF(Upgrades!$T$11="Solar Wind",POWER(Upgrades!$U$11,J280),1)*IF(Upgrades!$T$12="Solar Wind",POWER(Upgrades!$U$12,K280),1))+(IF(F280=0,0,(Upgrades!$J$7+F280*Upgrades!$K$7)*POWER(Upgrades!$L$7,F280)))*(IF(Upgrades!$T$6="Asteroid Belt",POWER(Upgrades!$U$6,E280),1)*IF(Upgrades!$T$8="Asteroid Belt",POWER(Upgrades!$U$8,G280),1)*IF(Upgrades!$T$9="Asteroid Belt",POWER(Upgrades!$U$9,H280),1)*IF(Upgrades!$T$10="Asteroid Belt",POWER(Upgrades!$U$10,I280),1)*IF(Upgrades!$T$11="Asteroid Belt",POWER(Upgrades!$U$11,J280),1)*IF(Upgrades!$T$12="Asteroid Belt",POWER(Upgrades!$U$12,K280),1))+(IF(G280=0,0,(Upgrades!$J$8+G280*Upgrades!$K$8)*POWER(Upgrades!$L$8,G280)))*(IF(Upgrades!$T$6="Stellar Coupling",POWER(Upgrades!$U$6,E280),1)*IF(Upgrades!$T$7="Stellar Coupling",POWER(Upgrades!$U$7,F280),1)*IF(Upgrades!$T$9="Stellar Coupling",POWER(Upgrades!$U$9,H280),1)*IF(Upgrades!$T$10="Stellar Coupling",POWER(Upgrades!$U$10,I280),1)*IF(Upgrades!$T$11="Stellar Coupling",POWER(Upgrades!$U$11,J280),1)*IF(Upgrades!$T$12="Stellar Coupling",POWER(Upgrades!$U$12,K280),1))+(IF(H280=0,0,(Upgrades!$J$9+H280*Upgrades!$K$9)*POWER(Upgrades!$L$9,H280)))*(IF(Upgrades!$T$6="Magnetosphere",POWER(Upgrades!$U$6,E280),1)*IF(Upgrades!$T$7="Magnetosphere",POWER(Upgrades!$U$7,F280),1)*IF(Upgrades!$T$8="Magnetosphere",POWER(Upgrades!$U$8,G280),1)*IF(Upgrades!$T$10="Magnetosphere",POWER(Upgrades!$U$10,I280),1)*IF(Upgrades!$T$11="Magnetosphere",POWER(Upgrades!$U$11,J280),1)*IF(Upgrades!$T$12="Magnetosphere",POWER(Upgrades!$U$12,K280),1))+(IF(I280=0,0,(Upgrades!$J$10+I280*Upgrades!$K$10)*POWER(Upgrades!$L$10,I280)))*(IF(Upgrades!$T$6="Orbital Resonance",POWER(Upgrades!$U$6,E280),1)*IF(Upgrades!$T$7="Orbital Resonance",POWER(Upgrades!$U$7,F280),1)*IF(Upgrades!$T$8="Orbital Resonance",POWER(Upgrades!$U$8,G280),1)*IF(Upgrades!$T$9="Orbital Resonance",POWER(Upgrades!$U$9,H280),1)*IF(Upgrades!$T$11="Orbital Resonance",POWER(Upgrades!$U$11,J280),1)*IF(Upgrades!$T$12="Orbital Resonance",POWER(Upgrades!$U$12,K280),1))+(IF(J280=0,0,(Upgrades!$J$11+J280*Upgrades!$K$11)*POWER(Upgrades!$L$11,J280)))*(IF(Upgrades!$T$6="Heliopause",POWER(Upgrades!$U$6,E280),1)*IF(Upgrades!$T$7="Heliopause",POWER(Upgrades!$U$7,F280),1)*IF(Upgrades!$T$8="Heliopause",POWER(Upgrades!$U$8,G280),1)*IF(Upgrades!$T$9="Heliopause",POWER(Upgrades!$U$9,H280),1)*IF(Upgrades!$T$10="Heliopause",POWER(Upgrades!$U$10,I280),1)*IF(Upgrades!$T$12="Heliopause",POWER(Upgrades!$U$12,K280),1))+(IF(K280=0,0,(Upgrades!$J$12+K280*Upgrades!$K$12)*POWER(Upgrades!$L$12,K280)))*(IF(Upgrades!$T$6="First Photons",POWER(Upgrades!$U$6,E280),1)*IF(Upgrades!$T$7="First Photons",POWER(Upgrades!$U$7,F280),1)*IF(Upgrades!$T$8="First Photons",POWER(Upgrades!$U$8,G280),1)*IF(Upgrades!$T$9="First Photons",POWER(Upgrades!$U$9,H280),1)*IF(Upgrades!$T$10="First Photons",POWER(Upgrades!$U$10,I280),1)*IF(Upgrades!$T$11="First Photons",POWER(Upgrades!$U$11,J280),1)))*POWER(Upgrades!$Q$6,E280)*POWER(Upgrades!$Q$7,F280)*POWER(Upgrades!$Q$8,G280)*POWER(Upgrades!$Q$9,H280)*POWER(Upgrades!$Q$10,I280)*POWER(Upgrades!$Q$11,J280)*POWER(Upgrades!$Q$12,K280)</f>
        <v/>
      </c>
      <c r="N280" s="28">
        <f>((IF(E280=0,0,(Upgrades!$G$6+E280*Upgrades!$H$6)*POWER(Upgrades!$I$6,E280)))*(IF(Upgrades!$T$7="Solar Wind",POWER(Upgrades!$U$7,F280),1)*IF(Upgrades!$T$8="Solar Wind",POWER(Upgrades!$U$8,G280),1)*IF(Upgrades!$T$9="Solar Wind",POWER(Upgrades!$U$9,H280),1)*IF(Upgrades!$T$10="Solar Wind",POWER(Upgrades!$U$10,I280),1)*IF(Upgrades!$T$11="Solar Wind",POWER(Upgrades!$U$11,J280),1)*IF(Upgrades!$T$12="Solar Wind",POWER(Upgrades!$U$12,K280),1))+(IF(F280=0,0,(Upgrades!$G$7+F280*Upgrades!$H$7)*POWER(Upgrades!$I$7,F280)))*(IF(Upgrades!$T$6="Asteroid Belt",POWER(Upgrades!$U$6,E280),1)*IF(Upgrades!$T$8="Asteroid Belt",POWER(Upgrades!$U$8,G280),1)*IF(Upgrades!$T$9="Asteroid Belt",POWER(Upgrades!$U$9,H280),1)*IF(Upgrades!$T$10="Asteroid Belt",POWER(Upgrades!$U$10,I280),1)*IF(Upgrades!$T$11="Asteroid Belt",POWER(Upgrades!$U$11,J280),1)*IF(Upgrades!$T$12="Asteroid Belt",POWER(Upgrades!$U$12,K280),1))+(IF(G280=0,0,(Upgrades!$G$8+G280*Upgrades!$H$8)*POWER(Upgrades!$I$8,G280)))*(IF(Upgrades!$T$6="Stellar Coupling",POWER(Upgrades!$U$6,E280),1)*IF(Upgrades!$T$7="Stellar Coupling",POWER(Upgrades!$U$7,F280),1)*IF(Upgrades!$T$9="Stellar Coupling",POWER(Upgrades!$U$9,H280),1)*IF(Upgrades!$T$10="Stellar Coupling",POWER(Upgrades!$U$10,I280),1)*IF(Upgrades!$T$11="Stellar Coupling",POWER(Upgrades!$U$11,J280),1)*IF(Upgrades!$T$12="Stellar Coupling",POWER(Upgrades!$U$12,K280),1))+(IF(H280=0,0,(Upgrades!$G$9+H280*Upgrades!$H$9)*POWER(Upgrades!$I$9,H280)))*(IF(Upgrades!$T$6="Magnetosphere",POWER(Upgrades!$U$6,E280),1)*IF(Upgrades!$T$7="Magnetosphere",POWER(Upgrades!$U$7,F280),1)*IF(Upgrades!$T$8="Magnetosphere",POWER(Upgrades!$U$8,G280),1)*IF(Upgrades!$T$10="Magnetosphere",POWER(Upgrades!$U$10,I280),1)*IF(Upgrades!$T$11="Magnetosphere",POWER(Upgrades!$U$11,J280),1)*IF(Upgrades!$T$12="Magnetosphere",POWER(Upgrades!$U$12,K280),1))+(IF(I280=0,0,(Upgrades!$G$10+I280*Upgrades!$H$10)*POWER(Upgrades!$I$10,I280)))*(IF(Upgrades!$T$6="Orbital Resonance",POWER(Upgrades!$U$6,E280),1)*IF(Upgrades!$T$7="Orbital Resonance",POWER(Upgrades!$U$7,F280),1)*IF(Upgrades!$T$8="Orbital Resonance",POWER(Upgrades!$U$8,G280),1)*IF(Upgrades!$T$9="Orbital Resonance",POWER(Upgrades!$U$9,H280),1)*IF(Upgrades!$T$11="Orbital Resonance",POWER(Upgrades!$U$11,J280),1)*IF(Upgrades!$T$12="Orbital Resonance",POWER(Upgrades!$U$12,K280),1))+(IF(J280=0,0,(Upgrades!$G$11+J280*Upgrades!$H$11)*POWER(Upgrades!$I$11,J280)))*(IF(Upgrades!$T$6="Heliopause",POWER(Upgrades!$U$6,E280),1)*IF(Upgrades!$T$7="Heliopause",POWER(Upgrades!$U$7,F280),1)*IF(Upgrades!$T$8="Heliopause",POWER(Upgrades!$U$8,G280),1)*IF(Upgrades!$T$9="Heliopause",POWER(Upgrades!$U$9,H280),1)*IF(Upgrades!$T$10="Heliopause",POWER(Upgrades!$U$10,I280),1)*IF(Upgrades!$T$12="Heliopause",POWER(Upgrades!$U$12,K280),1))+(IF(K280=0,0,(Upgrades!$G$12+K280*Upgrades!$H$12)*POWER(Upgrades!$I$12,K280)))*(IF(Upgrades!$T$6="First Photons",POWER(Upgrades!$U$6,E280),1)*IF(Upgrades!$T$7="First Photons",POWER(Upgrades!$U$7,F280),1)*IF(Upgrades!$T$8="First Photons",POWER(Upgrades!$U$8,G280),1)*IF(Upgrades!$T$9="First Photons",POWER(Upgrades!$U$9,H280),1)*IF(Upgrades!$T$10="First Photons",POWER(Upgrades!$U$10,I280),1)*IF(Upgrades!$T$11="First Photons",POWER(Upgrades!$U$11,J280),1)))*POWER(Upgrades!$P$6,E280)*POWER(Upgrades!$P$7,F280)*POWER(Upgrades!$P$8,G280)*POWER(Upgrades!$P$9,H280)*POWER(Upgrades!$P$10,I280)*POWER(Upgrades!$P$11,J280)*POWER(Upgrades!$P$12,K280)</f>
        <v/>
      </c>
      <c r="O280" s="28">
        <f>((IF(E280=0,0,(Upgrades!$M$6+E280*Upgrades!$N$6)*POWER(Upgrades!$O$6,E280)))*(IF(Upgrades!$T$7="Solar Wind",POWER(Upgrades!$U$7,F280),1)*IF(Upgrades!$T$8="Solar Wind",POWER(Upgrades!$U$8,G280),1)*IF(Upgrades!$T$9="Solar Wind",POWER(Upgrades!$U$9,H280),1)*IF(Upgrades!$T$10="Solar Wind",POWER(Upgrades!$U$10,I280),1)*IF(Upgrades!$T$11="Solar Wind",POWER(Upgrades!$U$11,J280),1)*IF(Upgrades!$T$12="Solar Wind",POWER(Upgrades!$U$12,K280),1))+(IF(F280=0,0,(Upgrades!$M$7+F280*Upgrades!$N$7)*POWER(Upgrades!$O$7,F280)))*(IF(Upgrades!$T$6="Asteroid Belt",POWER(Upgrades!$U$6,E280),1)*IF(Upgrades!$T$8="Asteroid Belt",POWER(Upgrades!$U$8,G280),1)*IF(Upgrades!$T$9="Asteroid Belt",POWER(Upgrades!$U$9,H280),1)*IF(Upgrades!$T$10="Asteroid Belt",POWER(Upgrades!$U$10,I280),1)*IF(Upgrades!$T$11="Asteroid Belt",POWER(Upgrades!$U$11,J280),1)*IF(Upgrades!$T$12="Asteroid Belt",POWER(Upgrades!$U$12,K280),1))+(IF(G280=0,0,(Upgrades!$M$8+G280*Upgrades!$N$8)*POWER(Upgrades!$O$8,G280)))*(IF(Upgrades!$T$6="Stellar Coupling",POWER(Upgrades!$U$6,E280),1)*IF(Upgrades!$T$7="Stellar Coupling",POWER(Upgrades!$U$7,F280),1)*IF(Upgrades!$T$9="Stellar Coupling",POWER(Upgrades!$U$9,H280),1)*IF(Upgrades!$T$10="Stellar Coupling",POWER(Upgrades!$U$10,I280),1)*IF(Upgrades!$T$11="Stellar Coupling",POWER(Upgrades!$U$11,J280),1)*IF(Upgrades!$T$12="Stellar Coupling",POWER(Upgrades!$U$12,K280),1))+(IF(H280=0,0,(Upgrades!$M$9+H280*Upgrades!$N$9)*POWER(Upgrades!$O$9,H280)))*(IF(Upgrades!$T$6="Magnetosphere",POWER(Upgrades!$U$6,E280),1)*IF(Upgrades!$T$7="Magnetosphere",POWER(Upgrades!$U$7,F280),1)*IF(Upgrades!$T$8="Magnetosphere",POWER(Upgrades!$U$8,G280),1)*IF(Upgrades!$T$10="Magnetosphere",POWER(Upgrades!$U$10,I280),1)*IF(Upgrades!$T$11="Magnetosphere",POWER(Upgrades!$U$11,J280),1)*IF(Upgrades!$T$12="Magnetosphere",POWER(Upgrades!$U$12,K280),1))+(IF(I280=0,0,(Upgrades!$M$10+I280*Upgrades!$N$10)*POWER(Upgrades!$O$10,I280)))*(IF(Upgrades!$T$6="Orbital Resonance",POWER(Upgrades!$U$6,E280),1)*IF(Upgrades!$T$7="Orbital Resonance",POWER(Upgrades!$U$7,F280),1)*IF(Upgrades!$T$8="Orbital Resonance",POWER(Upgrades!$U$8,G280),1)*IF(Upgrades!$T$9="Orbital Resonance",POWER(Upgrades!$U$9,H280),1)*IF(Upgrades!$T$11="Orbital Resonance",POWER(Upgrades!$U$11,J280),1)*IF(Upgrades!$T$12="Orbital Resonance",POWER(Upgrades!$U$12,K280),1))+(IF(J280=0,0,(Upgrades!$M$11+J280*Upgrades!$N$11)*POWER(Upgrades!$O$11,J280)))*(IF(Upgrades!$T$6="Heliopause",POWER(Upgrades!$U$6,E280),1)*IF(Upgrades!$T$7="Heliopause",POWER(Upgrades!$U$7,F280),1)*IF(Upgrades!$T$8="Heliopause",POWER(Upgrades!$U$8,G280),1)*IF(Upgrades!$T$9="Heliopause",POWER(Upgrades!$U$9,H280),1)*IF(Upgrades!$T$10="Heliopause",POWER(Upgrades!$U$10,I280),1)*IF(Upgrades!$T$12="Heliopause",POWER(Upgrades!$U$12,K280),1))+(IF(K280=0,0,(Upgrades!$M$12+K280*Upgrades!$N$12)*POWER(Upgrades!$O$12,K280)))*(IF(Upgrades!$T$6="First Photons",POWER(Upgrades!$U$6,E280),1)*IF(Upgrades!$T$7="First Photons",POWER(Upgrades!$U$7,F280),1)*IF(Upgrades!$T$8="First Photons",POWER(Upgrades!$U$8,G280),1)*IF(Upgrades!$T$9="First Photons",POWER(Upgrades!$U$9,H280),1)*IF(Upgrades!$T$10="First Photons",POWER(Upgrades!$U$10,I280),1)*IF(Upgrades!$T$11="First Photons",POWER(Upgrades!$U$11,J280),1)))*POWER(Upgrades!$R$6,E280)*POWER(Upgrades!$R$7,F280)*POWER(Upgrades!$R$8,G280)*POWER(Upgrades!$R$9,H280)*POWER(Upgrades!$R$10,I280)*POWER(Upgrades!$R$11,J280)*POWER(Upgrades!$R$12,K280)</f>
        <v/>
      </c>
      <c r="P280" s="27">
        <f>IF(L280=1,0,M280*Parameters!$B$10/60*Parameters!$B$11*10)</f>
        <v/>
      </c>
      <c r="Q280" s="27">
        <f>IF(L280=1,0,O280*M280*10)</f>
        <v/>
      </c>
      <c r="R280" s="27">
        <f>IF(L280=1,0,N280*10)</f>
        <v/>
      </c>
      <c r="S280" s="27">
        <f>P280+Q280+R280</f>
        <v/>
      </c>
      <c r="T280" s="22">
        <f>C280+S280</f>
        <v/>
      </c>
      <c r="U280" s="33">
        <f>AX280</f>
        <v/>
      </c>
      <c r="V280" s="22">
        <f>IF(U280="",0,IF(U280="transition",0,IF(U280="SW",AG280,IF(U280="AB",AH280,IF(U280="SC",AI280,IF(U280="Mag",AJ280,IF(U280="OR",AK280,IF(U280="HP",AL280,IF(U280="FP",AM280,0)))))))))</f>
        <v/>
      </c>
      <c r="W280" s="27">
        <f>IF(U280="OR",Upgrades!$F$10,IF(U280="HP",Upgrades!$F$11,IF(U280="transition",-Parameters!$B$18,0)))</f>
        <v/>
      </c>
      <c r="X280" s="22">
        <f>T280-V280</f>
        <v/>
      </c>
      <c r="Y280" s="30">
        <f>M280*Parameters!$B$10/60*Parameters!$B$11+O280*M280+N280</f>
        <v/>
      </c>
      <c r="Z280" s="34">
        <f>IF(U280="transition","→ Tier 2 (Stellar Neighborhood)",IF(U280="FP","First Photons — light begins, system quickens",IF(U280="HP","Heliopause acquired",IF(U280="OR","Orbital Resonance — passive multiplier active",IF(AND(AO280=1,L280=0,AN280&lt;&gt;1),"Cohesion ready (waiting on completionist upgrades)","")))))</f>
        <v/>
      </c>
      <c r="AA280" s="27">
        <f>(IF(E280=0,0,(Upgrades!$G$6+E280*Upgrades!$H$6)*POWER(Upgrades!$I$6,E280)))*(IF(Upgrades!$T$7="Solar Wind",POWER(Upgrades!$U$7,F280),1)*IF(Upgrades!$T$8="Solar Wind",POWER(Upgrades!$U$8,G280),1)*IF(Upgrades!$T$9="Solar Wind",POWER(Upgrades!$U$9,H280),1)*IF(Upgrades!$T$10="Solar Wind",POWER(Upgrades!$U$10,I280),1)*IF(Upgrades!$T$11="Solar Wind",POWER(Upgrades!$U$11,J280),1)*IF(Upgrades!$T$12="Solar Wind",POWER(Upgrades!$U$12,K280),1))*POWER(Upgrades!$P$6,E280)*POWER(Upgrades!$P$7,F280)*POWER(Upgrades!$P$8,G280)*POWER(Upgrades!$P$9,H280)*POWER(Upgrades!$P$10,I280)*POWER(Upgrades!$P$11,J280)*POWER(Upgrades!$P$12,K280)*60</f>
        <v/>
      </c>
      <c r="AB280" s="27">
        <f>(IF(F280=0,0,(Upgrades!$G$7+F280*Upgrades!$H$7)*POWER(Upgrades!$I$7,F280)))*(IF(Upgrades!$T$6="Asteroid Belt",POWER(Upgrades!$U$6,E280),1)*IF(Upgrades!$T$8="Asteroid Belt",POWER(Upgrades!$U$8,G280),1)*IF(Upgrades!$T$9="Asteroid Belt",POWER(Upgrades!$U$9,H280),1)*IF(Upgrades!$T$10="Asteroid Belt",POWER(Upgrades!$U$10,I280),1)*IF(Upgrades!$T$11="Asteroid Belt",POWER(Upgrades!$U$11,J280),1)*IF(Upgrades!$T$12="Asteroid Belt",POWER(Upgrades!$U$12,K280),1))*POWER(Upgrades!$P$6,E280)*POWER(Upgrades!$P$7,F280)*POWER(Upgrades!$P$8,G280)*POWER(Upgrades!$P$9,H280)*POWER(Upgrades!$P$10,I280)*POWER(Upgrades!$P$11,J280)*POWER(Upgrades!$P$12,K280)*60</f>
        <v/>
      </c>
      <c r="AC280" s="27">
        <f>(IF(G280=0,0,(Upgrades!$J$8+G280*Upgrades!$K$8)*POWER(Upgrades!$L$8,G280)))*(IF(Upgrades!$T$6="Stellar Coupling",POWER(Upgrades!$U$6,E280),1)*IF(Upgrades!$T$7="Stellar Coupling",POWER(Upgrades!$U$7,F280),1)*IF(Upgrades!$T$9="Stellar Coupling",POWER(Upgrades!$U$9,H280),1)*IF(Upgrades!$T$10="Stellar Coupling",POWER(Upgrades!$U$10,I280),1)*IF(Upgrades!$T$11="Stellar Coupling",POWER(Upgrades!$U$11,J280),1)*IF(Upgrades!$T$12="Stellar Coupling",POWER(Upgrades!$U$12,K280),1))*POWER(Upgrades!$Q$6,E280)*POWER(Upgrades!$Q$7,F280)*POWER(Upgrades!$Q$8,G280)*POWER(Upgrades!$Q$9,H280)*POWER(Upgrades!$Q$10,I280)*POWER(Upgrades!$Q$11,J280)*POWER(Upgrades!$Q$12,K280)*Parameters!$B$10*Parameters!$B$11</f>
        <v/>
      </c>
      <c r="AD280" s="27">
        <f>(IF(H280=0,0,(Upgrades!$G$9+H280*Upgrades!$H$9)*POWER(Upgrades!$I$9,H280)))*(IF(Upgrades!$T$6="Magnetosphere",POWER(Upgrades!$U$6,E280),1)*IF(Upgrades!$T$7="Magnetosphere",POWER(Upgrades!$U$7,F280),1)*IF(Upgrades!$T$8="Magnetosphere",POWER(Upgrades!$U$8,G280),1)*IF(Upgrades!$T$10="Magnetosphere",POWER(Upgrades!$U$10,I280),1)*IF(Upgrades!$T$11="Magnetosphere",POWER(Upgrades!$U$11,J280),1)*IF(Upgrades!$T$12="Magnetosphere",POWER(Upgrades!$U$12,K280),1))*POWER(Upgrades!$P$6,E280)*POWER(Upgrades!$P$7,F280)*POWER(Upgrades!$P$8,G280)*POWER(Upgrades!$P$9,H280)*POWER(Upgrades!$P$10,I280)*POWER(Upgrades!$P$11,J280)*POWER(Upgrades!$P$12,K280)*60</f>
        <v/>
      </c>
      <c r="AE280" s="27">
        <f>(IF(K280=0,0,(Upgrades!$G$12+K280*Upgrades!$H$12)*POWER(Upgrades!$I$12,K280)))*(IF(Upgrades!$T$6="First Photons",POWER(Upgrades!$U$6,E280),1)*IF(Upgrades!$T$7="First Photons",POWER(Upgrades!$U$7,F280),1)*IF(Upgrades!$T$8="First Photons",POWER(Upgrades!$U$8,G280),1)*IF(Upgrades!$T$9="First Photons",POWER(Upgrades!$U$9,H280),1)*IF(Upgrades!$T$10="First Photons",POWER(Upgrades!$U$10,I280),1)*IF(Upgrades!$T$11="First Photons",POWER(Upgrades!$U$11,J280),1))*POWER(Upgrades!$P$6,E280)*POWER(Upgrades!$P$7,F280)*POWER(Upgrades!$P$8,G280)*POWER(Upgrades!$P$9,H280)*POWER(Upgrades!$P$10,I280)*POWER(Upgrades!$P$11,J280)*POWER(Upgrades!$P$12,K280)*60</f>
        <v/>
      </c>
      <c r="AF280" s="27">
        <f>Parameters!$B$9*POWER(Upgrades!$Q$6,E280)*POWER(Upgrades!$Q$7,F280)*POWER(Upgrades!$Q$8,G280)*POWER(Upgrades!$Q$9,H280)*POWER(Upgrades!$Q$10,I280)*POWER(Upgrades!$Q$11,J280)*POWER(Upgrades!$Q$12,K280)*(Parameters!$B$10*Parameters!$B$11+O280*60)</f>
        <v/>
      </c>
      <c r="AG280" s="22">
        <f>IF(E280&gt;=Upgrades!$E$6,"",Upgrades!$C$6*POWER(Upgrades!$D$6,E280))</f>
        <v/>
      </c>
      <c r="AH280" s="22">
        <f>IF(F280&gt;=Upgrades!$E$7,"",Upgrades!$C$7*POWER(Upgrades!$D$7,F280))</f>
        <v/>
      </c>
      <c r="AI280" s="22">
        <f>IF(G280&gt;=Upgrades!$E$8,"",Upgrades!$C$8*POWER(Upgrades!$D$8,G280))</f>
        <v/>
      </c>
      <c r="AJ280" s="22">
        <f>IF(H280&gt;=Upgrades!$E$9,"",Upgrades!$C$9*POWER(Upgrades!$D$9,H280))</f>
        <v/>
      </c>
      <c r="AK280" s="22">
        <f>IF(I280&gt;=Upgrades!$E$10,"",Upgrades!$C$10*POWER(Upgrades!$D$10,I280))</f>
        <v/>
      </c>
      <c r="AL280" s="22">
        <f>IF(J280&gt;=Upgrades!$E$11,"",Upgrades!$C$11*POWER(Upgrades!$D$11,J280))</f>
        <v/>
      </c>
      <c r="AM280" s="22">
        <f>IF(K280&gt;=Upgrades!$E$12,"",Upgrades!$C$12*POWER(Upgrades!$D$12,K280))</f>
        <v/>
      </c>
      <c r="AN280" s="26">
        <f>IF(AND(D280&gt;=Parameters!$B$18,(H280&gt;=Upgrades!$E$9)*(K280&gt;=Upgrades!$E$12)=1,L280=0),1,"")</f>
        <v/>
      </c>
      <c r="AO280" s="26">
        <f>IF(AND(D280&gt;=Parameters!$B$18,L280=0),1,"")</f>
        <v/>
      </c>
      <c r="AP280" s="22">
        <f>MIN(IF(ISNUMBER(AK280),AK280,9E15),IF(ISNUMBER(AL280),AL280,9E15),IF(ISNUMBER(AM280),AM280,9E15))</f>
        <v/>
      </c>
      <c r="AQ280" s="22">
        <f>MIN(IF(ISNUMBER(AG280),AG280,9E15),IF(ISNUMBER(AH280),AH280,9E15),IF(ISNUMBER(AI280),AI280,9E15),IF(ISNUMBER(AJ280),AJ280,9E15))</f>
        <v/>
      </c>
      <c r="AR280" s="29">
        <f>IF(AW280&gt;Parameters!$B$21*(MAX(IF(AND(NOT(AND(AO280=1,AN280&lt;&gt;1)),ISNUMBER(AG280),AG280&lt;=T280),AS280,0),IF(AND(NOT(AND(AO280=1,AN280&lt;&gt;1)),ISNUMBER(AH280),AH280&lt;=T280),AT280,0),IF(AND(NOT(AND(AO280=1,AN280&lt;&gt;1)),ISNUMBER(AI280),AI280&lt;=T280),AU280,0),IF(AND(ISNUMBER(AJ280),AJ280&lt;=T280),AV280,0))),TRUE,FALSE)</f>
        <v/>
      </c>
      <c r="AS280" s="32">
        <f>IFERROR(Upgrades!$H$6*(POWER(Upgrades!$P$6,E280)*POWER(Upgrades!$P$7,F280)*POWER(Upgrades!$P$8,G280)*POWER(Upgrades!$P$9,H280)*POWER(Upgrades!$P$10,I280)*POWER(Upgrades!$P$11,J280)*POWER(Upgrades!$P$12,K280))*(IF(Upgrades!$T$7="Solar Wind",POWER(Upgrades!$U$7,F280),1)*IF(Upgrades!$T$8="Solar Wind",POWER(Upgrades!$U$8,G280),1)*IF(Upgrades!$T$9="Solar Wind",POWER(Upgrades!$U$9,H280),1)*IF(Upgrades!$T$10="Solar Wind",POWER(Upgrades!$U$10,I280),1)*IF(Upgrades!$T$11="Solar Wind",POWER(Upgrades!$U$11,J280),1)*IF(Upgrades!$T$12="Solar Wind",POWER(Upgrades!$U$12,K280),1))/AG280,0)</f>
        <v/>
      </c>
      <c r="AT280" s="32">
        <f>IFERROR(Upgrades!$H$7*(POWER(Upgrades!$P$6,E280)*POWER(Upgrades!$P$7,F280)*POWER(Upgrades!$P$8,G280)*POWER(Upgrades!$P$9,H280)*POWER(Upgrades!$P$10,I280)*POWER(Upgrades!$P$11,J280)*POWER(Upgrades!$P$12,K280))*(IF(Upgrades!$T$6="Asteroid Belt",POWER(Upgrades!$U$6,E280),1)*IF(Upgrades!$T$8="Asteroid Belt",POWER(Upgrades!$U$8,G280),1)*IF(Upgrades!$T$9="Asteroid Belt",POWER(Upgrades!$U$9,H280),1)*IF(Upgrades!$T$10="Asteroid Belt",POWER(Upgrades!$U$10,I280),1)*IF(Upgrades!$T$11="Asteroid Belt",POWER(Upgrades!$U$11,J280),1)*IF(Upgrades!$T$12="Asteroid Belt",POWER(Upgrades!$U$12,K280),1))/AH280,0)</f>
        <v/>
      </c>
      <c r="AU280" s="32">
        <f>IFERROR(Upgrades!$K$8*(POWER(Upgrades!$Q$6,E280)*POWER(Upgrades!$Q$7,F280)*POWER(Upgrades!$Q$8,G280)*POWER(Upgrades!$Q$9,H280)*POWER(Upgrades!$Q$10,I280)*POWER(Upgrades!$Q$11,J280)*POWER(Upgrades!$Q$12,K280))*(IF(Upgrades!$T$6="Stellar Coupling",POWER(Upgrades!$U$6,E280),1)*IF(Upgrades!$T$7="Stellar Coupling",POWER(Upgrades!$U$7,F280),1)*IF(Upgrades!$T$9="Stellar Coupling",POWER(Upgrades!$U$9,H280),1)*IF(Upgrades!$T$10="Stellar Coupling",POWER(Upgrades!$U$10,I280),1)*IF(Upgrades!$T$11="Stellar Coupling",POWER(Upgrades!$U$11,J280),1)*IF(Upgrades!$T$12="Stellar Coupling",POWER(Upgrades!$U$12,K280),1))*Parameters!$B$10*Parameters!$B$11/60/AI280,0)</f>
        <v/>
      </c>
      <c r="AV280" s="32">
        <f>IFERROR(Upgrades!$H$9*(POWER(Upgrades!$P$6,E280)*POWER(Upgrades!$P$7,F280)*POWER(Upgrades!$P$8,G280)*POWER(Upgrades!$P$9,H280)*POWER(Upgrades!$P$10,I280)*POWER(Upgrades!$P$11,J280)*POWER(Upgrades!$P$12,K280))*(IF(Upgrades!$T$6="Magnetosphere",POWER(Upgrades!$U$6,E280),1)*IF(Upgrades!$T$7="Magnetosphere",POWER(Upgrades!$U$7,F280),1)*IF(Upgrades!$T$8="Magnetosphere",POWER(Upgrades!$U$8,G280),1)*IF(Upgrades!$T$10="Magnetosphere",POWER(Upgrades!$U$10,I280),1)*IF(Upgrades!$T$11="Magnetosphere",POWER(Upgrades!$U$11,J280),1)*IF(Upgrades!$T$12="Magnetosphere",POWER(Upgrades!$U$12,K280),1))/AJ280,0)</f>
        <v/>
      </c>
      <c r="AW280" s="32">
        <f>MAX(IF(I280&gt;0,0,IFERROR(0.25*N280/Upgrades!$C$10,0)),IF(J280&gt;0,0,IFERROR(0.5*((IF(G280=0,0,(Upgrades!$J$8+G280*Upgrades!$K$8)*POWER(Upgrades!$L$8,G280)))*(IF(Upgrades!$T$6="Stellar Coupling",POWER(Upgrades!$U$6,E280),1)*IF(Upgrades!$T$7="Stellar Coupling",POWER(Upgrades!$U$7,F280),1)*IF(Upgrades!$T$9="Stellar Coupling",POWER(Upgrades!$U$9,H280),1)*IF(Upgrades!$T$10="Stellar Coupling",POWER(Upgrades!$U$10,I280),1)*IF(Upgrades!$T$11="Stellar Coupling",POWER(Upgrades!$U$11,J280),1)*IF(Upgrades!$T$12="Stellar Coupling",POWER(Upgrades!$U$12,K280),1))*(POWER(Upgrades!$Q$6,E280)*POWER(Upgrades!$Q$7,F280)*POWER(Upgrades!$Q$8,G280)*POWER(Upgrades!$Q$9,H280)*POWER(Upgrades!$Q$10,I280)*POWER(Upgrades!$Q$11,J280)*POWER(Upgrades!$Q$12,K280))*Parameters!$B$10*Parameters!$B$11/60)/Upgrades!$C$11,0)),IF(K280&gt;0,0,IFERROR((1.0*(POWER(Upgrades!$P$6,E280)*POWER(Upgrades!$P$7,F280)*POWER(Upgrades!$P$8,G280)*POWER(Upgrades!$P$9,H280)*POWER(Upgrades!$P$10,I280)*POWER(Upgrades!$P$11,J280)*POWER(Upgrades!$P$12,K280))+0.20*M280*Parameters!$B$10*Parameters!$B$11/60)/Upgrades!$C$12,0)),IF(AND(ISNUMBER(AG280),AG280&gt;T280),AS280,0),IF(AND(ISNUMBER(AH280),AH280&gt;T280),AT280,0),IF(AND(ISNUMBER(AI280),AI280&gt;T280),AU280,0),IF(AND(ISNUMBER(AJ280),AJ280&gt;T280),AV280,0))</f>
        <v/>
      </c>
      <c r="AX280" s="29">
        <f>IF(AN280=1,"transition",IF(MIN(IF(AND(I280=0,ISNUMBER(AK280),AK280&lt;=T280),AK280,9E15),IF(AND(J280=0,ISNUMBER(AL280),AL280&lt;=T280),AL280,9E15),IF(AND(K280=0,ISNUMBER(AM280),AM280&lt;=T280),AM280,9E15))&lt;9E15,IF(AND(AND(I280=0,ISNUMBER(AK280),AK280&lt;=T280),AK280=MIN(IF(AND(I280=0,ISNUMBER(AK280),AK280&lt;=T280),AK280,9E15),IF(AND(J280=0,ISNUMBER(AL280),AL280&lt;=T280),AL280,9E15),IF(AND(K280=0,ISNUMBER(AM280),AM280&lt;=T280),AM280,9E15))),"OR",IF(AND(AND(J280=0,ISNUMBER(AL280),AL280&lt;=T280),AL280=MIN(IF(AND(I280=0,ISNUMBER(AK280),AK280&lt;=T280),AK280,9E15),IF(AND(J280=0,ISNUMBER(AL280),AL280&lt;=T280),AL280,9E15),IF(AND(K280=0,ISNUMBER(AM280),AM280&lt;=T280),AM280,9E15))),"HP","FP")),IF(AR280=TRUE,"",IF(MAX(IF(AND(NOT(AND(AO280=1,AN280&lt;&gt;1)),ISNUMBER(AG280),AG280&lt;=T280),AS280,0),IF(AND(NOT(AND(AO280=1,AN280&lt;&gt;1)),ISNUMBER(AH280),AH280&lt;=T280),AT280,0),IF(AND(NOT(AND(AO280=1,AN280&lt;&gt;1)),ISNUMBER(AI280),AI280&lt;=T280),AU280,0),IF(AND(ISNUMBER(AJ280),AJ280&lt;=T280),AV280,0))&lt;=0,"",IF(AND(IF(AND(NOT(AND(AO280=1,AN280&lt;&gt;1)),ISNUMBER(AG280),AG280&lt;=T280),AS280,0)&gt;0,IF(AND(NOT(AND(AO280=1,AN280&lt;&gt;1)),ISNUMBER(AG280),AG280&lt;=T280),AS280,0)=MAX(IF(AND(NOT(AND(AO280=1,AN280&lt;&gt;1)),ISNUMBER(AG280),AG280&lt;=T280),AS280,0),IF(AND(NOT(AND(AO280=1,AN280&lt;&gt;1)),ISNUMBER(AH280),AH280&lt;=T280),AT280,0),IF(AND(NOT(AND(AO280=1,AN280&lt;&gt;1)),ISNUMBER(AI280),AI280&lt;=T280),AU280,0),IF(AND(ISNUMBER(AJ280),AJ280&lt;=T280),AV280,0))),"SW",IF(AND(IF(AND(NOT(AND(AO280=1,AN280&lt;&gt;1)),ISNUMBER(AH280),AH280&lt;=T280),AT280,0)&gt;0,IF(AND(NOT(AND(AO280=1,AN280&lt;&gt;1)),ISNUMBER(AH280),AH280&lt;=T280),AT280,0)=MAX(IF(AND(NOT(AND(AO280=1,AN280&lt;&gt;1)),ISNUMBER(AG280),AG280&lt;=T280),AS280,0),IF(AND(NOT(AND(AO280=1,AN280&lt;&gt;1)),ISNUMBER(AH280),AH280&lt;=T280),AT280,0),IF(AND(NOT(AND(AO280=1,AN280&lt;&gt;1)),ISNUMBER(AI280),AI280&lt;=T280),AU280,0),IF(AND(ISNUMBER(AJ280),AJ280&lt;=T280),AV280,0))),"AB",IF(AND(IF(AND(NOT(AND(AO280=1,AN280&lt;&gt;1)),ISNUMBER(AI280),AI280&lt;=T280),AU280,0)&gt;0,IF(AND(NOT(AND(AO280=1,AN280&lt;&gt;1)),ISNUMBER(AI280),AI280&lt;=T280),AU280,0)=MAX(IF(AND(NOT(AND(AO280=1,AN280&lt;&gt;1)),ISNUMBER(AG280),AG280&lt;=T280),AS280,0),IF(AND(NOT(AND(AO280=1,AN280&lt;&gt;1)),ISNUMBER(AH280),AH280&lt;=T280),AT280,0),IF(AND(NOT(AND(AO280=1,AN280&lt;&gt;1)),ISNUMBER(AI280),AI280&lt;=T280),AU280,0),IF(AND(ISNUMBER(AJ280),AJ280&lt;=T280),AV280,0))),"SC","Mag")))))))</f>
        <v/>
      </c>
    </row>
    <row r="281">
      <c r="A281" s="26" t="n">
        <v>276</v>
      </c>
      <c r="B281" s="27">
        <f>A281*10/60</f>
        <v/>
      </c>
      <c r="C281" s="22">
        <f>X280</f>
        <v/>
      </c>
      <c r="D281" s="27">
        <f>D280+W280</f>
        <v/>
      </c>
      <c r="E281" s="26">
        <f>E280+IF(U280="SW",1,0)</f>
        <v/>
      </c>
      <c r="F281" s="26">
        <f>F280+IF(U280="AB",1,0)</f>
        <v/>
      </c>
      <c r="G281" s="26">
        <f>G280+IF(U280="SC",1,0)</f>
        <v/>
      </c>
      <c r="H281" s="26">
        <f>H280+IF(U280="Mag",1,0)</f>
        <v/>
      </c>
      <c r="I281" s="26">
        <f>MAX(I280,IF(U280="OR",1,0))</f>
        <v/>
      </c>
      <c r="J281" s="26">
        <f>MAX(J280,IF(U280="HP",1,0))</f>
        <v/>
      </c>
      <c r="K281" s="26">
        <f>MAX(K280,IF(U280="FP",1,0))</f>
        <v/>
      </c>
      <c r="L281" s="26">
        <f>MAX(L280,IF(U280="transition",1,0))</f>
        <v/>
      </c>
      <c r="M281" s="28">
        <f>(Parameters!$B$9+(IF(E281=0,0,(Upgrades!$J$6+E281*Upgrades!$K$6)*POWER(Upgrades!$L$6,E281)))*(IF(Upgrades!$T$7="Solar Wind",POWER(Upgrades!$U$7,F281),1)*IF(Upgrades!$T$8="Solar Wind",POWER(Upgrades!$U$8,G281),1)*IF(Upgrades!$T$9="Solar Wind",POWER(Upgrades!$U$9,H281),1)*IF(Upgrades!$T$10="Solar Wind",POWER(Upgrades!$U$10,I281),1)*IF(Upgrades!$T$11="Solar Wind",POWER(Upgrades!$U$11,J281),1)*IF(Upgrades!$T$12="Solar Wind",POWER(Upgrades!$U$12,K281),1))+(IF(F281=0,0,(Upgrades!$J$7+F281*Upgrades!$K$7)*POWER(Upgrades!$L$7,F281)))*(IF(Upgrades!$T$6="Asteroid Belt",POWER(Upgrades!$U$6,E281),1)*IF(Upgrades!$T$8="Asteroid Belt",POWER(Upgrades!$U$8,G281),1)*IF(Upgrades!$T$9="Asteroid Belt",POWER(Upgrades!$U$9,H281),1)*IF(Upgrades!$T$10="Asteroid Belt",POWER(Upgrades!$U$10,I281),1)*IF(Upgrades!$T$11="Asteroid Belt",POWER(Upgrades!$U$11,J281),1)*IF(Upgrades!$T$12="Asteroid Belt",POWER(Upgrades!$U$12,K281),1))+(IF(G281=0,0,(Upgrades!$J$8+G281*Upgrades!$K$8)*POWER(Upgrades!$L$8,G281)))*(IF(Upgrades!$T$6="Stellar Coupling",POWER(Upgrades!$U$6,E281),1)*IF(Upgrades!$T$7="Stellar Coupling",POWER(Upgrades!$U$7,F281),1)*IF(Upgrades!$T$9="Stellar Coupling",POWER(Upgrades!$U$9,H281),1)*IF(Upgrades!$T$10="Stellar Coupling",POWER(Upgrades!$U$10,I281),1)*IF(Upgrades!$T$11="Stellar Coupling",POWER(Upgrades!$U$11,J281),1)*IF(Upgrades!$T$12="Stellar Coupling",POWER(Upgrades!$U$12,K281),1))+(IF(H281=0,0,(Upgrades!$J$9+H281*Upgrades!$K$9)*POWER(Upgrades!$L$9,H281)))*(IF(Upgrades!$T$6="Magnetosphere",POWER(Upgrades!$U$6,E281),1)*IF(Upgrades!$T$7="Magnetosphere",POWER(Upgrades!$U$7,F281),1)*IF(Upgrades!$T$8="Magnetosphere",POWER(Upgrades!$U$8,G281),1)*IF(Upgrades!$T$10="Magnetosphere",POWER(Upgrades!$U$10,I281),1)*IF(Upgrades!$T$11="Magnetosphere",POWER(Upgrades!$U$11,J281),1)*IF(Upgrades!$T$12="Magnetosphere",POWER(Upgrades!$U$12,K281),1))+(IF(I281=0,0,(Upgrades!$J$10+I281*Upgrades!$K$10)*POWER(Upgrades!$L$10,I281)))*(IF(Upgrades!$T$6="Orbital Resonance",POWER(Upgrades!$U$6,E281),1)*IF(Upgrades!$T$7="Orbital Resonance",POWER(Upgrades!$U$7,F281),1)*IF(Upgrades!$T$8="Orbital Resonance",POWER(Upgrades!$U$8,G281),1)*IF(Upgrades!$T$9="Orbital Resonance",POWER(Upgrades!$U$9,H281),1)*IF(Upgrades!$T$11="Orbital Resonance",POWER(Upgrades!$U$11,J281),1)*IF(Upgrades!$T$12="Orbital Resonance",POWER(Upgrades!$U$12,K281),1))+(IF(J281=0,0,(Upgrades!$J$11+J281*Upgrades!$K$11)*POWER(Upgrades!$L$11,J281)))*(IF(Upgrades!$T$6="Heliopause",POWER(Upgrades!$U$6,E281),1)*IF(Upgrades!$T$7="Heliopause",POWER(Upgrades!$U$7,F281),1)*IF(Upgrades!$T$8="Heliopause",POWER(Upgrades!$U$8,G281),1)*IF(Upgrades!$T$9="Heliopause",POWER(Upgrades!$U$9,H281),1)*IF(Upgrades!$T$10="Heliopause",POWER(Upgrades!$U$10,I281),1)*IF(Upgrades!$T$12="Heliopause",POWER(Upgrades!$U$12,K281),1))+(IF(K281=0,0,(Upgrades!$J$12+K281*Upgrades!$K$12)*POWER(Upgrades!$L$12,K281)))*(IF(Upgrades!$T$6="First Photons",POWER(Upgrades!$U$6,E281),1)*IF(Upgrades!$T$7="First Photons",POWER(Upgrades!$U$7,F281),1)*IF(Upgrades!$T$8="First Photons",POWER(Upgrades!$U$8,G281),1)*IF(Upgrades!$T$9="First Photons",POWER(Upgrades!$U$9,H281),1)*IF(Upgrades!$T$10="First Photons",POWER(Upgrades!$U$10,I281),1)*IF(Upgrades!$T$11="First Photons",POWER(Upgrades!$U$11,J281),1)))*POWER(Upgrades!$Q$6,E281)*POWER(Upgrades!$Q$7,F281)*POWER(Upgrades!$Q$8,G281)*POWER(Upgrades!$Q$9,H281)*POWER(Upgrades!$Q$10,I281)*POWER(Upgrades!$Q$11,J281)*POWER(Upgrades!$Q$12,K281)</f>
        <v/>
      </c>
      <c r="N281" s="28">
        <f>((IF(E281=0,0,(Upgrades!$G$6+E281*Upgrades!$H$6)*POWER(Upgrades!$I$6,E281)))*(IF(Upgrades!$T$7="Solar Wind",POWER(Upgrades!$U$7,F281),1)*IF(Upgrades!$T$8="Solar Wind",POWER(Upgrades!$U$8,G281),1)*IF(Upgrades!$T$9="Solar Wind",POWER(Upgrades!$U$9,H281),1)*IF(Upgrades!$T$10="Solar Wind",POWER(Upgrades!$U$10,I281),1)*IF(Upgrades!$T$11="Solar Wind",POWER(Upgrades!$U$11,J281),1)*IF(Upgrades!$T$12="Solar Wind",POWER(Upgrades!$U$12,K281),1))+(IF(F281=0,0,(Upgrades!$G$7+F281*Upgrades!$H$7)*POWER(Upgrades!$I$7,F281)))*(IF(Upgrades!$T$6="Asteroid Belt",POWER(Upgrades!$U$6,E281),1)*IF(Upgrades!$T$8="Asteroid Belt",POWER(Upgrades!$U$8,G281),1)*IF(Upgrades!$T$9="Asteroid Belt",POWER(Upgrades!$U$9,H281),1)*IF(Upgrades!$T$10="Asteroid Belt",POWER(Upgrades!$U$10,I281),1)*IF(Upgrades!$T$11="Asteroid Belt",POWER(Upgrades!$U$11,J281),1)*IF(Upgrades!$T$12="Asteroid Belt",POWER(Upgrades!$U$12,K281),1))+(IF(G281=0,0,(Upgrades!$G$8+G281*Upgrades!$H$8)*POWER(Upgrades!$I$8,G281)))*(IF(Upgrades!$T$6="Stellar Coupling",POWER(Upgrades!$U$6,E281),1)*IF(Upgrades!$T$7="Stellar Coupling",POWER(Upgrades!$U$7,F281),1)*IF(Upgrades!$T$9="Stellar Coupling",POWER(Upgrades!$U$9,H281),1)*IF(Upgrades!$T$10="Stellar Coupling",POWER(Upgrades!$U$10,I281),1)*IF(Upgrades!$T$11="Stellar Coupling",POWER(Upgrades!$U$11,J281),1)*IF(Upgrades!$T$12="Stellar Coupling",POWER(Upgrades!$U$12,K281),1))+(IF(H281=0,0,(Upgrades!$G$9+H281*Upgrades!$H$9)*POWER(Upgrades!$I$9,H281)))*(IF(Upgrades!$T$6="Magnetosphere",POWER(Upgrades!$U$6,E281),1)*IF(Upgrades!$T$7="Magnetosphere",POWER(Upgrades!$U$7,F281),1)*IF(Upgrades!$T$8="Magnetosphere",POWER(Upgrades!$U$8,G281),1)*IF(Upgrades!$T$10="Magnetosphere",POWER(Upgrades!$U$10,I281),1)*IF(Upgrades!$T$11="Magnetosphere",POWER(Upgrades!$U$11,J281),1)*IF(Upgrades!$T$12="Magnetosphere",POWER(Upgrades!$U$12,K281),1))+(IF(I281=0,0,(Upgrades!$G$10+I281*Upgrades!$H$10)*POWER(Upgrades!$I$10,I281)))*(IF(Upgrades!$T$6="Orbital Resonance",POWER(Upgrades!$U$6,E281),1)*IF(Upgrades!$T$7="Orbital Resonance",POWER(Upgrades!$U$7,F281),1)*IF(Upgrades!$T$8="Orbital Resonance",POWER(Upgrades!$U$8,G281),1)*IF(Upgrades!$T$9="Orbital Resonance",POWER(Upgrades!$U$9,H281),1)*IF(Upgrades!$T$11="Orbital Resonance",POWER(Upgrades!$U$11,J281),1)*IF(Upgrades!$T$12="Orbital Resonance",POWER(Upgrades!$U$12,K281),1))+(IF(J281=0,0,(Upgrades!$G$11+J281*Upgrades!$H$11)*POWER(Upgrades!$I$11,J281)))*(IF(Upgrades!$T$6="Heliopause",POWER(Upgrades!$U$6,E281),1)*IF(Upgrades!$T$7="Heliopause",POWER(Upgrades!$U$7,F281),1)*IF(Upgrades!$T$8="Heliopause",POWER(Upgrades!$U$8,G281),1)*IF(Upgrades!$T$9="Heliopause",POWER(Upgrades!$U$9,H281),1)*IF(Upgrades!$T$10="Heliopause",POWER(Upgrades!$U$10,I281),1)*IF(Upgrades!$T$12="Heliopause",POWER(Upgrades!$U$12,K281),1))+(IF(K281=0,0,(Upgrades!$G$12+K281*Upgrades!$H$12)*POWER(Upgrades!$I$12,K281)))*(IF(Upgrades!$T$6="First Photons",POWER(Upgrades!$U$6,E281),1)*IF(Upgrades!$T$7="First Photons",POWER(Upgrades!$U$7,F281),1)*IF(Upgrades!$T$8="First Photons",POWER(Upgrades!$U$8,G281),1)*IF(Upgrades!$T$9="First Photons",POWER(Upgrades!$U$9,H281),1)*IF(Upgrades!$T$10="First Photons",POWER(Upgrades!$U$10,I281),1)*IF(Upgrades!$T$11="First Photons",POWER(Upgrades!$U$11,J281),1)))*POWER(Upgrades!$P$6,E281)*POWER(Upgrades!$P$7,F281)*POWER(Upgrades!$P$8,G281)*POWER(Upgrades!$P$9,H281)*POWER(Upgrades!$P$10,I281)*POWER(Upgrades!$P$11,J281)*POWER(Upgrades!$P$12,K281)</f>
        <v/>
      </c>
      <c r="O281" s="28">
        <f>((IF(E281=0,0,(Upgrades!$M$6+E281*Upgrades!$N$6)*POWER(Upgrades!$O$6,E281)))*(IF(Upgrades!$T$7="Solar Wind",POWER(Upgrades!$U$7,F281),1)*IF(Upgrades!$T$8="Solar Wind",POWER(Upgrades!$U$8,G281),1)*IF(Upgrades!$T$9="Solar Wind",POWER(Upgrades!$U$9,H281),1)*IF(Upgrades!$T$10="Solar Wind",POWER(Upgrades!$U$10,I281),1)*IF(Upgrades!$T$11="Solar Wind",POWER(Upgrades!$U$11,J281),1)*IF(Upgrades!$T$12="Solar Wind",POWER(Upgrades!$U$12,K281),1))+(IF(F281=0,0,(Upgrades!$M$7+F281*Upgrades!$N$7)*POWER(Upgrades!$O$7,F281)))*(IF(Upgrades!$T$6="Asteroid Belt",POWER(Upgrades!$U$6,E281),1)*IF(Upgrades!$T$8="Asteroid Belt",POWER(Upgrades!$U$8,G281),1)*IF(Upgrades!$T$9="Asteroid Belt",POWER(Upgrades!$U$9,H281),1)*IF(Upgrades!$T$10="Asteroid Belt",POWER(Upgrades!$U$10,I281),1)*IF(Upgrades!$T$11="Asteroid Belt",POWER(Upgrades!$U$11,J281),1)*IF(Upgrades!$T$12="Asteroid Belt",POWER(Upgrades!$U$12,K281),1))+(IF(G281=0,0,(Upgrades!$M$8+G281*Upgrades!$N$8)*POWER(Upgrades!$O$8,G281)))*(IF(Upgrades!$T$6="Stellar Coupling",POWER(Upgrades!$U$6,E281),1)*IF(Upgrades!$T$7="Stellar Coupling",POWER(Upgrades!$U$7,F281),1)*IF(Upgrades!$T$9="Stellar Coupling",POWER(Upgrades!$U$9,H281),1)*IF(Upgrades!$T$10="Stellar Coupling",POWER(Upgrades!$U$10,I281),1)*IF(Upgrades!$T$11="Stellar Coupling",POWER(Upgrades!$U$11,J281),1)*IF(Upgrades!$T$12="Stellar Coupling",POWER(Upgrades!$U$12,K281),1))+(IF(H281=0,0,(Upgrades!$M$9+H281*Upgrades!$N$9)*POWER(Upgrades!$O$9,H281)))*(IF(Upgrades!$T$6="Magnetosphere",POWER(Upgrades!$U$6,E281),1)*IF(Upgrades!$T$7="Magnetosphere",POWER(Upgrades!$U$7,F281),1)*IF(Upgrades!$T$8="Magnetosphere",POWER(Upgrades!$U$8,G281),1)*IF(Upgrades!$T$10="Magnetosphere",POWER(Upgrades!$U$10,I281),1)*IF(Upgrades!$T$11="Magnetosphere",POWER(Upgrades!$U$11,J281),1)*IF(Upgrades!$T$12="Magnetosphere",POWER(Upgrades!$U$12,K281),1))+(IF(I281=0,0,(Upgrades!$M$10+I281*Upgrades!$N$10)*POWER(Upgrades!$O$10,I281)))*(IF(Upgrades!$T$6="Orbital Resonance",POWER(Upgrades!$U$6,E281),1)*IF(Upgrades!$T$7="Orbital Resonance",POWER(Upgrades!$U$7,F281),1)*IF(Upgrades!$T$8="Orbital Resonance",POWER(Upgrades!$U$8,G281),1)*IF(Upgrades!$T$9="Orbital Resonance",POWER(Upgrades!$U$9,H281),1)*IF(Upgrades!$T$11="Orbital Resonance",POWER(Upgrades!$U$11,J281),1)*IF(Upgrades!$T$12="Orbital Resonance",POWER(Upgrades!$U$12,K281),1))+(IF(J281=0,0,(Upgrades!$M$11+J281*Upgrades!$N$11)*POWER(Upgrades!$O$11,J281)))*(IF(Upgrades!$T$6="Heliopause",POWER(Upgrades!$U$6,E281),1)*IF(Upgrades!$T$7="Heliopause",POWER(Upgrades!$U$7,F281),1)*IF(Upgrades!$T$8="Heliopause",POWER(Upgrades!$U$8,G281),1)*IF(Upgrades!$T$9="Heliopause",POWER(Upgrades!$U$9,H281),1)*IF(Upgrades!$T$10="Heliopause",POWER(Upgrades!$U$10,I281),1)*IF(Upgrades!$T$12="Heliopause",POWER(Upgrades!$U$12,K281),1))+(IF(K281=0,0,(Upgrades!$M$12+K281*Upgrades!$N$12)*POWER(Upgrades!$O$12,K281)))*(IF(Upgrades!$T$6="First Photons",POWER(Upgrades!$U$6,E281),1)*IF(Upgrades!$T$7="First Photons",POWER(Upgrades!$U$7,F281),1)*IF(Upgrades!$T$8="First Photons",POWER(Upgrades!$U$8,G281),1)*IF(Upgrades!$T$9="First Photons",POWER(Upgrades!$U$9,H281),1)*IF(Upgrades!$T$10="First Photons",POWER(Upgrades!$U$10,I281),1)*IF(Upgrades!$T$11="First Photons",POWER(Upgrades!$U$11,J281),1)))*POWER(Upgrades!$R$6,E281)*POWER(Upgrades!$R$7,F281)*POWER(Upgrades!$R$8,G281)*POWER(Upgrades!$R$9,H281)*POWER(Upgrades!$R$10,I281)*POWER(Upgrades!$R$11,J281)*POWER(Upgrades!$R$12,K281)</f>
        <v/>
      </c>
      <c r="P281" s="27">
        <f>IF(L281=1,0,M281*Parameters!$B$10/60*Parameters!$B$11*10)</f>
        <v/>
      </c>
      <c r="Q281" s="27">
        <f>IF(L281=1,0,O281*M281*10)</f>
        <v/>
      </c>
      <c r="R281" s="27">
        <f>IF(L281=1,0,N281*10)</f>
        <v/>
      </c>
      <c r="S281" s="27">
        <f>P281+Q281+R281</f>
        <v/>
      </c>
      <c r="T281" s="22">
        <f>C281+S281</f>
        <v/>
      </c>
      <c r="U281" s="33">
        <f>AX281</f>
        <v/>
      </c>
      <c r="V281" s="22">
        <f>IF(U281="",0,IF(U281="transition",0,IF(U281="SW",AG281,IF(U281="AB",AH281,IF(U281="SC",AI281,IF(U281="Mag",AJ281,IF(U281="OR",AK281,IF(U281="HP",AL281,IF(U281="FP",AM281,0)))))))))</f>
        <v/>
      </c>
      <c r="W281" s="27">
        <f>IF(U281="OR",Upgrades!$F$10,IF(U281="HP",Upgrades!$F$11,IF(U281="transition",-Parameters!$B$18,0)))</f>
        <v/>
      </c>
      <c r="X281" s="22">
        <f>T281-V281</f>
        <v/>
      </c>
      <c r="Y281" s="30">
        <f>M281*Parameters!$B$10/60*Parameters!$B$11+O281*M281+N281</f>
        <v/>
      </c>
      <c r="Z281" s="34">
        <f>IF(U281="transition","→ Tier 2 (Stellar Neighborhood)",IF(U281="FP","First Photons — light begins, system quickens",IF(U281="HP","Heliopause acquired",IF(U281="OR","Orbital Resonance — passive multiplier active",IF(AND(AO281=1,L281=0,AN281&lt;&gt;1),"Cohesion ready (waiting on completionist upgrades)","")))))</f>
        <v/>
      </c>
      <c r="AA281" s="27">
        <f>(IF(E281=0,0,(Upgrades!$G$6+E281*Upgrades!$H$6)*POWER(Upgrades!$I$6,E281)))*(IF(Upgrades!$T$7="Solar Wind",POWER(Upgrades!$U$7,F281),1)*IF(Upgrades!$T$8="Solar Wind",POWER(Upgrades!$U$8,G281),1)*IF(Upgrades!$T$9="Solar Wind",POWER(Upgrades!$U$9,H281),1)*IF(Upgrades!$T$10="Solar Wind",POWER(Upgrades!$U$10,I281),1)*IF(Upgrades!$T$11="Solar Wind",POWER(Upgrades!$U$11,J281),1)*IF(Upgrades!$T$12="Solar Wind",POWER(Upgrades!$U$12,K281),1))*POWER(Upgrades!$P$6,E281)*POWER(Upgrades!$P$7,F281)*POWER(Upgrades!$P$8,G281)*POWER(Upgrades!$P$9,H281)*POWER(Upgrades!$P$10,I281)*POWER(Upgrades!$P$11,J281)*POWER(Upgrades!$P$12,K281)*60</f>
        <v/>
      </c>
      <c r="AB281" s="27">
        <f>(IF(F281=0,0,(Upgrades!$G$7+F281*Upgrades!$H$7)*POWER(Upgrades!$I$7,F281)))*(IF(Upgrades!$T$6="Asteroid Belt",POWER(Upgrades!$U$6,E281),1)*IF(Upgrades!$T$8="Asteroid Belt",POWER(Upgrades!$U$8,G281),1)*IF(Upgrades!$T$9="Asteroid Belt",POWER(Upgrades!$U$9,H281),1)*IF(Upgrades!$T$10="Asteroid Belt",POWER(Upgrades!$U$10,I281),1)*IF(Upgrades!$T$11="Asteroid Belt",POWER(Upgrades!$U$11,J281),1)*IF(Upgrades!$T$12="Asteroid Belt",POWER(Upgrades!$U$12,K281),1))*POWER(Upgrades!$P$6,E281)*POWER(Upgrades!$P$7,F281)*POWER(Upgrades!$P$8,G281)*POWER(Upgrades!$P$9,H281)*POWER(Upgrades!$P$10,I281)*POWER(Upgrades!$P$11,J281)*POWER(Upgrades!$P$12,K281)*60</f>
        <v/>
      </c>
      <c r="AC281" s="27">
        <f>(IF(G281=0,0,(Upgrades!$J$8+G281*Upgrades!$K$8)*POWER(Upgrades!$L$8,G281)))*(IF(Upgrades!$T$6="Stellar Coupling",POWER(Upgrades!$U$6,E281),1)*IF(Upgrades!$T$7="Stellar Coupling",POWER(Upgrades!$U$7,F281),1)*IF(Upgrades!$T$9="Stellar Coupling",POWER(Upgrades!$U$9,H281),1)*IF(Upgrades!$T$10="Stellar Coupling",POWER(Upgrades!$U$10,I281),1)*IF(Upgrades!$T$11="Stellar Coupling",POWER(Upgrades!$U$11,J281),1)*IF(Upgrades!$T$12="Stellar Coupling",POWER(Upgrades!$U$12,K281),1))*POWER(Upgrades!$Q$6,E281)*POWER(Upgrades!$Q$7,F281)*POWER(Upgrades!$Q$8,G281)*POWER(Upgrades!$Q$9,H281)*POWER(Upgrades!$Q$10,I281)*POWER(Upgrades!$Q$11,J281)*POWER(Upgrades!$Q$12,K281)*Parameters!$B$10*Parameters!$B$11</f>
        <v/>
      </c>
      <c r="AD281" s="27">
        <f>(IF(H281=0,0,(Upgrades!$G$9+H281*Upgrades!$H$9)*POWER(Upgrades!$I$9,H281)))*(IF(Upgrades!$T$6="Magnetosphere",POWER(Upgrades!$U$6,E281),1)*IF(Upgrades!$T$7="Magnetosphere",POWER(Upgrades!$U$7,F281),1)*IF(Upgrades!$T$8="Magnetosphere",POWER(Upgrades!$U$8,G281),1)*IF(Upgrades!$T$10="Magnetosphere",POWER(Upgrades!$U$10,I281),1)*IF(Upgrades!$T$11="Magnetosphere",POWER(Upgrades!$U$11,J281),1)*IF(Upgrades!$T$12="Magnetosphere",POWER(Upgrades!$U$12,K281),1))*POWER(Upgrades!$P$6,E281)*POWER(Upgrades!$P$7,F281)*POWER(Upgrades!$P$8,G281)*POWER(Upgrades!$P$9,H281)*POWER(Upgrades!$P$10,I281)*POWER(Upgrades!$P$11,J281)*POWER(Upgrades!$P$12,K281)*60</f>
        <v/>
      </c>
      <c r="AE281" s="27">
        <f>(IF(K281=0,0,(Upgrades!$G$12+K281*Upgrades!$H$12)*POWER(Upgrades!$I$12,K281)))*(IF(Upgrades!$T$6="First Photons",POWER(Upgrades!$U$6,E281),1)*IF(Upgrades!$T$7="First Photons",POWER(Upgrades!$U$7,F281),1)*IF(Upgrades!$T$8="First Photons",POWER(Upgrades!$U$8,G281),1)*IF(Upgrades!$T$9="First Photons",POWER(Upgrades!$U$9,H281),1)*IF(Upgrades!$T$10="First Photons",POWER(Upgrades!$U$10,I281),1)*IF(Upgrades!$T$11="First Photons",POWER(Upgrades!$U$11,J281),1))*POWER(Upgrades!$P$6,E281)*POWER(Upgrades!$P$7,F281)*POWER(Upgrades!$P$8,G281)*POWER(Upgrades!$P$9,H281)*POWER(Upgrades!$P$10,I281)*POWER(Upgrades!$P$11,J281)*POWER(Upgrades!$P$12,K281)*60</f>
        <v/>
      </c>
      <c r="AF281" s="27">
        <f>Parameters!$B$9*POWER(Upgrades!$Q$6,E281)*POWER(Upgrades!$Q$7,F281)*POWER(Upgrades!$Q$8,G281)*POWER(Upgrades!$Q$9,H281)*POWER(Upgrades!$Q$10,I281)*POWER(Upgrades!$Q$11,J281)*POWER(Upgrades!$Q$12,K281)*(Parameters!$B$10*Parameters!$B$11+O281*60)</f>
        <v/>
      </c>
      <c r="AG281" s="22">
        <f>IF(E281&gt;=Upgrades!$E$6,"",Upgrades!$C$6*POWER(Upgrades!$D$6,E281))</f>
        <v/>
      </c>
      <c r="AH281" s="22">
        <f>IF(F281&gt;=Upgrades!$E$7,"",Upgrades!$C$7*POWER(Upgrades!$D$7,F281))</f>
        <v/>
      </c>
      <c r="AI281" s="22">
        <f>IF(G281&gt;=Upgrades!$E$8,"",Upgrades!$C$8*POWER(Upgrades!$D$8,G281))</f>
        <v/>
      </c>
      <c r="AJ281" s="22">
        <f>IF(H281&gt;=Upgrades!$E$9,"",Upgrades!$C$9*POWER(Upgrades!$D$9,H281))</f>
        <v/>
      </c>
      <c r="AK281" s="22">
        <f>IF(I281&gt;=Upgrades!$E$10,"",Upgrades!$C$10*POWER(Upgrades!$D$10,I281))</f>
        <v/>
      </c>
      <c r="AL281" s="22">
        <f>IF(J281&gt;=Upgrades!$E$11,"",Upgrades!$C$11*POWER(Upgrades!$D$11,J281))</f>
        <v/>
      </c>
      <c r="AM281" s="22">
        <f>IF(K281&gt;=Upgrades!$E$12,"",Upgrades!$C$12*POWER(Upgrades!$D$12,K281))</f>
        <v/>
      </c>
      <c r="AN281" s="26">
        <f>IF(AND(D281&gt;=Parameters!$B$18,(H281&gt;=Upgrades!$E$9)*(K281&gt;=Upgrades!$E$12)=1,L281=0),1,"")</f>
        <v/>
      </c>
      <c r="AO281" s="26">
        <f>IF(AND(D281&gt;=Parameters!$B$18,L281=0),1,"")</f>
        <v/>
      </c>
      <c r="AP281" s="22">
        <f>MIN(IF(ISNUMBER(AK281),AK281,9E15),IF(ISNUMBER(AL281),AL281,9E15),IF(ISNUMBER(AM281),AM281,9E15))</f>
        <v/>
      </c>
      <c r="AQ281" s="22">
        <f>MIN(IF(ISNUMBER(AG281),AG281,9E15),IF(ISNUMBER(AH281),AH281,9E15),IF(ISNUMBER(AI281),AI281,9E15),IF(ISNUMBER(AJ281),AJ281,9E15))</f>
        <v/>
      </c>
      <c r="AR281" s="29">
        <f>IF(AW281&gt;Parameters!$B$21*(MAX(IF(AND(NOT(AND(AO281=1,AN281&lt;&gt;1)),ISNUMBER(AG281),AG281&lt;=T281),AS281,0),IF(AND(NOT(AND(AO281=1,AN281&lt;&gt;1)),ISNUMBER(AH281),AH281&lt;=T281),AT281,0),IF(AND(NOT(AND(AO281=1,AN281&lt;&gt;1)),ISNUMBER(AI281),AI281&lt;=T281),AU281,0),IF(AND(ISNUMBER(AJ281),AJ281&lt;=T281),AV281,0))),TRUE,FALSE)</f>
        <v/>
      </c>
      <c r="AS281" s="32">
        <f>IFERROR(Upgrades!$H$6*(POWER(Upgrades!$P$6,E281)*POWER(Upgrades!$P$7,F281)*POWER(Upgrades!$P$8,G281)*POWER(Upgrades!$P$9,H281)*POWER(Upgrades!$P$10,I281)*POWER(Upgrades!$P$11,J281)*POWER(Upgrades!$P$12,K281))*(IF(Upgrades!$T$7="Solar Wind",POWER(Upgrades!$U$7,F281),1)*IF(Upgrades!$T$8="Solar Wind",POWER(Upgrades!$U$8,G281),1)*IF(Upgrades!$T$9="Solar Wind",POWER(Upgrades!$U$9,H281),1)*IF(Upgrades!$T$10="Solar Wind",POWER(Upgrades!$U$10,I281),1)*IF(Upgrades!$T$11="Solar Wind",POWER(Upgrades!$U$11,J281),1)*IF(Upgrades!$T$12="Solar Wind",POWER(Upgrades!$U$12,K281),1))/AG281,0)</f>
        <v/>
      </c>
      <c r="AT281" s="32">
        <f>IFERROR(Upgrades!$H$7*(POWER(Upgrades!$P$6,E281)*POWER(Upgrades!$P$7,F281)*POWER(Upgrades!$P$8,G281)*POWER(Upgrades!$P$9,H281)*POWER(Upgrades!$P$10,I281)*POWER(Upgrades!$P$11,J281)*POWER(Upgrades!$P$12,K281))*(IF(Upgrades!$T$6="Asteroid Belt",POWER(Upgrades!$U$6,E281),1)*IF(Upgrades!$T$8="Asteroid Belt",POWER(Upgrades!$U$8,G281),1)*IF(Upgrades!$T$9="Asteroid Belt",POWER(Upgrades!$U$9,H281),1)*IF(Upgrades!$T$10="Asteroid Belt",POWER(Upgrades!$U$10,I281),1)*IF(Upgrades!$T$11="Asteroid Belt",POWER(Upgrades!$U$11,J281),1)*IF(Upgrades!$T$12="Asteroid Belt",POWER(Upgrades!$U$12,K281),1))/AH281,0)</f>
        <v/>
      </c>
      <c r="AU281" s="32">
        <f>IFERROR(Upgrades!$K$8*(POWER(Upgrades!$Q$6,E281)*POWER(Upgrades!$Q$7,F281)*POWER(Upgrades!$Q$8,G281)*POWER(Upgrades!$Q$9,H281)*POWER(Upgrades!$Q$10,I281)*POWER(Upgrades!$Q$11,J281)*POWER(Upgrades!$Q$12,K281))*(IF(Upgrades!$T$6="Stellar Coupling",POWER(Upgrades!$U$6,E281),1)*IF(Upgrades!$T$7="Stellar Coupling",POWER(Upgrades!$U$7,F281),1)*IF(Upgrades!$T$9="Stellar Coupling",POWER(Upgrades!$U$9,H281),1)*IF(Upgrades!$T$10="Stellar Coupling",POWER(Upgrades!$U$10,I281),1)*IF(Upgrades!$T$11="Stellar Coupling",POWER(Upgrades!$U$11,J281),1)*IF(Upgrades!$T$12="Stellar Coupling",POWER(Upgrades!$U$12,K281),1))*Parameters!$B$10*Parameters!$B$11/60/AI281,0)</f>
        <v/>
      </c>
      <c r="AV281" s="32">
        <f>IFERROR(Upgrades!$H$9*(POWER(Upgrades!$P$6,E281)*POWER(Upgrades!$P$7,F281)*POWER(Upgrades!$P$8,G281)*POWER(Upgrades!$P$9,H281)*POWER(Upgrades!$P$10,I281)*POWER(Upgrades!$P$11,J281)*POWER(Upgrades!$P$12,K281))*(IF(Upgrades!$T$6="Magnetosphere",POWER(Upgrades!$U$6,E281),1)*IF(Upgrades!$T$7="Magnetosphere",POWER(Upgrades!$U$7,F281),1)*IF(Upgrades!$T$8="Magnetosphere",POWER(Upgrades!$U$8,G281),1)*IF(Upgrades!$T$10="Magnetosphere",POWER(Upgrades!$U$10,I281),1)*IF(Upgrades!$T$11="Magnetosphere",POWER(Upgrades!$U$11,J281),1)*IF(Upgrades!$T$12="Magnetosphere",POWER(Upgrades!$U$12,K281),1))/AJ281,0)</f>
        <v/>
      </c>
      <c r="AW281" s="32">
        <f>MAX(IF(I281&gt;0,0,IFERROR(0.25*N281/Upgrades!$C$10,0)),IF(J281&gt;0,0,IFERROR(0.5*((IF(G281=0,0,(Upgrades!$J$8+G281*Upgrades!$K$8)*POWER(Upgrades!$L$8,G281)))*(IF(Upgrades!$T$6="Stellar Coupling",POWER(Upgrades!$U$6,E281),1)*IF(Upgrades!$T$7="Stellar Coupling",POWER(Upgrades!$U$7,F281),1)*IF(Upgrades!$T$9="Stellar Coupling",POWER(Upgrades!$U$9,H281),1)*IF(Upgrades!$T$10="Stellar Coupling",POWER(Upgrades!$U$10,I281),1)*IF(Upgrades!$T$11="Stellar Coupling",POWER(Upgrades!$U$11,J281),1)*IF(Upgrades!$T$12="Stellar Coupling",POWER(Upgrades!$U$12,K281),1))*(POWER(Upgrades!$Q$6,E281)*POWER(Upgrades!$Q$7,F281)*POWER(Upgrades!$Q$8,G281)*POWER(Upgrades!$Q$9,H281)*POWER(Upgrades!$Q$10,I281)*POWER(Upgrades!$Q$11,J281)*POWER(Upgrades!$Q$12,K281))*Parameters!$B$10*Parameters!$B$11/60)/Upgrades!$C$11,0)),IF(K281&gt;0,0,IFERROR((1.0*(POWER(Upgrades!$P$6,E281)*POWER(Upgrades!$P$7,F281)*POWER(Upgrades!$P$8,G281)*POWER(Upgrades!$P$9,H281)*POWER(Upgrades!$P$10,I281)*POWER(Upgrades!$P$11,J281)*POWER(Upgrades!$P$12,K281))+0.20*M281*Parameters!$B$10*Parameters!$B$11/60)/Upgrades!$C$12,0)),IF(AND(ISNUMBER(AG281),AG281&gt;T281),AS281,0),IF(AND(ISNUMBER(AH281),AH281&gt;T281),AT281,0),IF(AND(ISNUMBER(AI281),AI281&gt;T281),AU281,0),IF(AND(ISNUMBER(AJ281),AJ281&gt;T281),AV281,0))</f>
        <v/>
      </c>
      <c r="AX281" s="29">
        <f>IF(AN281=1,"transition",IF(MIN(IF(AND(I281=0,ISNUMBER(AK281),AK281&lt;=T281),AK281,9E15),IF(AND(J281=0,ISNUMBER(AL281),AL281&lt;=T281),AL281,9E15),IF(AND(K281=0,ISNUMBER(AM281),AM281&lt;=T281),AM281,9E15))&lt;9E15,IF(AND(AND(I281=0,ISNUMBER(AK281),AK281&lt;=T281),AK281=MIN(IF(AND(I281=0,ISNUMBER(AK281),AK281&lt;=T281),AK281,9E15),IF(AND(J281=0,ISNUMBER(AL281),AL281&lt;=T281),AL281,9E15),IF(AND(K281=0,ISNUMBER(AM281),AM281&lt;=T281),AM281,9E15))),"OR",IF(AND(AND(J281=0,ISNUMBER(AL281),AL281&lt;=T281),AL281=MIN(IF(AND(I281=0,ISNUMBER(AK281),AK281&lt;=T281),AK281,9E15),IF(AND(J281=0,ISNUMBER(AL281),AL281&lt;=T281),AL281,9E15),IF(AND(K281=0,ISNUMBER(AM281),AM281&lt;=T281),AM281,9E15))),"HP","FP")),IF(AR281=TRUE,"",IF(MAX(IF(AND(NOT(AND(AO281=1,AN281&lt;&gt;1)),ISNUMBER(AG281),AG281&lt;=T281),AS281,0),IF(AND(NOT(AND(AO281=1,AN281&lt;&gt;1)),ISNUMBER(AH281),AH281&lt;=T281),AT281,0),IF(AND(NOT(AND(AO281=1,AN281&lt;&gt;1)),ISNUMBER(AI281),AI281&lt;=T281),AU281,0),IF(AND(ISNUMBER(AJ281),AJ281&lt;=T281),AV281,0))&lt;=0,"",IF(AND(IF(AND(NOT(AND(AO281=1,AN281&lt;&gt;1)),ISNUMBER(AG281),AG281&lt;=T281),AS281,0)&gt;0,IF(AND(NOT(AND(AO281=1,AN281&lt;&gt;1)),ISNUMBER(AG281),AG281&lt;=T281),AS281,0)=MAX(IF(AND(NOT(AND(AO281=1,AN281&lt;&gt;1)),ISNUMBER(AG281),AG281&lt;=T281),AS281,0),IF(AND(NOT(AND(AO281=1,AN281&lt;&gt;1)),ISNUMBER(AH281),AH281&lt;=T281),AT281,0),IF(AND(NOT(AND(AO281=1,AN281&lt;&gt;1)),ISNUMBER(AI281),AI281&lt;=T281),AU281,0),IF(AND(ISNUMBER(AJ281),AJ281&lt;=T281),AV281,0))),"SW",IF(AND(IF(AND(NOT(AND(AO281=1,AN281&lt;&gt;1)),ISNUMBER(AH281),AH281&lt;=T281),AT281,0)&gt;0,IF(AND(NOT(AND(AO281=1,AN281&lt;&gt;1)),ISNUMBER(AH281),AH281&lt;=T281),AT281,0)=MAX(IF(AND(NOT(AND(AO281=1,AN281&lt;&gt;1)),ISNUMBER(AG281),AG281&lt;=T281),AS281,0),IF(AND(NOT(AND(AO281=1,AN281&lt;&gt;1)),ISNUMBER(AH281),AH281&lt;=T281),AT281,0),IF(AND(NOT(AND(AO281=1,AN281&lt;&gt;1)),ISNUMBER(AI281),AI281&lt;=T281),AU281,0),IF(AND(ISNUMBER(AJ281),AJ281&lt;=T281),AV281,0))),"AB",IF(AND(IF(AND(NOT(AND(AO281=1,AN281&lt;&gt;1)),ISNUMBER(AI281),AI281&lt;=T281),AU281,0)&gt;0,IF(AND(NOT(AND(AO281=1,AN281&lt;&gt;1)),ISNUMBER(AI281),AI281&lt;=T281),AU281,0)=MAX(IF(AND(NOT(AND(AO281=1,AN281&lt;&gt;1)),ISNUMBER(AG281),AG281&lt;=T281),AS281,0),IF(AND(NOT(AND(AO281=1,AN281&lt;&gt;1)),ISNUMBER(AH281),AH281&lt;=T281),AT281,0),IF(AND(NOT(AND(AO281=1,AN281&lt;&gt;1)),ISNUMBER(AI281),AI281&lt;=T281),AU281,0),IF(AND(ISNUMBER(AJ281),AJ281&lt;=T281),AV281,0))),"SC","Mag")))))))</f>
        <v/>
      </c>
    </row>
    <row r="282">
      <c r="A282" s="26" t="n">
        <v>277</v>
      </c>
      <c r="B282" s="27">
        <f>A282*10/60</f>
        <v/>
      </c>
      <c r="C282" s="22">
        <f>X281</f>
        <v/>
      </c>
      <c r="D282" s="27">
        <f>D281+W281</f>
        <v/>
      </c>
      <c r="E282" s="26">
        <f>E281+IF(U281="SW",1,0)</f>
        <v/>
      </c>
      <c r="F282" s="26">
        <f>F281+IF(U281="AB",1,0)</f>
        <v/>
      </c>
      <c r="G282" s="26">
        <f>G281+IF(U281="SC",1,0)</f>
        <v/>
      </c>
      <c r="H282" s="26">
        <f>H281+IF(U281="Mag",1,0)</f>
        <v/>
      </c>
      <c r="I282" s="26">
        <f>MAX(I281,IF(U281="OR",1,0))</f>
        <v/>
      </c>
      <c r="J282" s="26">
        <f>MAX(J281,IF(U281="HP",1,0))</f>
        <v/>
      </c>
      <c r="K282" s="26">
        <f>MAX(K281,IF(U281="FP",1,0))</f>
        <v/>
      </c>
      <c r="L282" s="26">
        <f>MAX(L281,IF(U281="transition",1,0))</f>
        <v/>
      </c>
      <c r="M282" s="28">
        <f>(Parameters!$B$9+(IF(E282=0,0,(Upgrades!$J$6+E282*Upgrades!$K$6)*POWER(Upgrades!$L$6,E282)))*(IF(Upgrades!$T$7="Solar Wind",POWER(Upgrades!$U$7,F282),1)*IF(Upgrades!$T$8="Solar Wind",POWER(Upgrades!$U$8,G282),1)*IF(Upgrades!$T$9="Solar Wind",POWER(Upgrades!$U$9,H282),1)*IF(Upgrades!$T$10="Solar Wind",POWER(Upgrades!$U$10,I282),1)*IF(Upgrades!$T$11="Solar Wind",POWER(Upgrades!$U$11,J282),1)*IF(Upgrades!$T$12="Solar Wind",POWER(Upgrades!$U$12,K282),1))+(IF(F282=0,0,(Upgrades!$J$7+F282*Upgrades!$K$7)*POWER(Upgrades!$L$7,F282)))*(IF(Upgrades!$T$6="Asteroid Belt",POWER(Upgrades!$U$6,E282),1)*IF(Upgrades!$T$8="Asteroid Belt",POWER(Upgrades!$U$8,G282),1)*IF(Upgrades!$T$9="Asteroid Belt",POWER(Upgrades!$U$9,H282),1)*IF(Upgrades!$T$10="Asteroid Belt",POWER(Upgrades!$U$10,I282),1)*IF(Upgrades!$T$11="Asteroid Belt",POWER(Upgrades!$U$11,J282),1)*IF(Upgrades!$T$12="Asteroid Belt",POWER(Upgrades!$U$12,K282),1))+(IF(G282=0,0,(Upgrades!$J$8+G282*Upgrades!$K$8)*POWER(Upgrades!$L$8,G282)))*(IF(Upgrades!$T$6="Stellar Coupling",POWER(Upgrades!$U$6,E282),1)*IF(Upgrades!$T$7="Stellar Coupling",POWER(Upgrades!$U$7,F282),1)*IF(Upgrades!$T$9="Stellar Coupling",POWER(Upgrades!$U$9,H282),1)*IF(Upgrades!$T$10="Stellar Coupling",POWER(Upgrades!$U$10,I282),1)*IF(Upgrades!$T$11="Stellar Coupling",POWER(Upgrades!$U$11,J282),1)*IF(Upgrades!$T$12="Stellar Coupling",POWER(Upgrades!$U$12,K282),1))+(IF(H282=0,0,(Upgrades!$J$9+H282*Upgrades!$K$9)*POWER(Upgrades!$L$9,H282)))*(IF(Upgrades!$T$6="Magnetosphere",POWER(Upgrades!$U$6,E282),1)*IF(Upgrades!$T$7="Magnetosphere",POWER(Upgrades!$U$7,F282),1)*IF(Upgrades!$T$8="Magnetosphere",POWER(Upgrades!$U$8,G282),1)*IF(Upgrades!$T$10="Magnetosphere",POWER(Upgrades!$U$10,I282),1)*IF(Upgrades!$T$11="Magnetosphere",POWER(Upgrades!$U$11,J282),1)*IF(Upgrades!$T$12="Magnetosphere",POWER(Upgrades!$U$12,K282),1))+(IF(I282=0,0,(Upgrades!$J$10+I282*Upgrades!$K$10)*POWER(Upgrades!$L$10,I282)))*(IF(Upgrades!$T$6="Orbital Resonance",POWER(Upgrades!$U$6,E282),1)*IF(Upgrades!$T$7="Orbital Resonance",POWER(Upgrades!$U$7,F282),1)*IF(Upgrades!$T$8="Orbital Resonance",POWER(Upgrades!$U$8,G282),1)*IF(Upgrades!$T$9="Orbital Resonance",POWER(Upgrades!$U$9,H282),1)*IF(Upgrades!$T$11="Orbital Resonance",POWER(Upgrades!$U$11,J282),1)*IF(Upgrades!$T$12="Orbital Resonance",POWER(Upgrades!$U$12,K282),1))+(IF(J282=0,0,(Upgrades!$J$11+J282*Upgrades!$K$11)*POWER(Upgrades!$L$11,J282)))*(IF(Upgrades!$T$6="Heliopause",POWER(Upgrades!$U$6,E282),1)*IF(Upgrades!$T$7="Heliopause",POWER(Upgrades!$U$7,F282),1)*IF(Upgrades!$T$8="Heliopause",POWER(Upgrades!$U$8,G282),1)*IF(Upgrades!$T$9="Heliopause",POWER(Upgrades!$U$9,H282),1)*IF(Upgrades!$T$10="Heliopause",POWER(Upgrades!$U$10,I282),1)*IF(Upgrades!$T$12="Heliopause",POWER(Upgrades!$U$12,K282),1))+(IF(K282=0,0,(Upgrades!$J$12+K282*Upgrades!$K$12)*POWER(Upgrades!$L$12,K282)))*(IF(Upgrades!$T$6="First Photons",POWER(Upgrades!$U$6,E282),1)*IF(Upgrades!$T$7="First Photons",POWER(Upgrades!$U$7,F282),1)*IF(Upgrades!$T$8="First Photons",POWER(Upgrades!$U$8,G282),1)*IF(Upgrades!$T$9="First Photons",POWER(Upgrades!$U$9,H282),1)*IF(Upgrades!$T$10="First Photons",POWER(Upgrades!$U$10,I282),1)*IF(Upgrades!$T$11="First Photons",POWER(Upgrades!$U$11,J282),1)))*POWER(Upgrades!$Q$6,E282)*POWER(Upgrades!$Q$7,F282)*POWER(Upgrades!$Q$8,G282)*POWER(Upgrades!$Q$9,H282)*POWER(Upgrades!$Q$10,I282)*POWER(Upgrades!$Q$11,J282)*POWER(Upgrades!$Q$12,K282)</f>
        <v/>
      </c>
      <c r="N282" s="28">
        <f>((IF(E282=0,0,(Upgrades!$G$6+E282*Upgrades!$H$6)*POWER(Upgrades!$I$6,E282)))*(IF(Upgrades!$T$7="Solar Wind",POWER(Upgrades!$U$7,F282),1)*IF(Upgrades!$T$8="Solar Wind",POWER(Upgrades!$U$8,G282),1)*IF(Upgrades!$T$9="Solar Wind",POWER(Upgrades!$U$9,H282),1)*IF(Upgrades!$T$10="Solar Wind",POWER(Upgrades!$U$10,I282),1)*IF(Upgrades!$T$11="Solar Wind",POWER(Upgrades!$U$11,J282),1)*IF(Upgrades!$T$12="Solar Wind",POWER(Upgrades!$U$12,K282),1))+(IF(F282=0,0,(Upgrades!$G$7+F282*Upgrades!$H$7)*POWER(Upgrades!$I$7,F282)))*(IF(Upgrades!$T$6="Asteroid Belt",POWER(Upgrades!$U$6,E282),1)*IF(Upgrades!$T$8="Asteroid Belt",POWER(Upgrades!$U$8,G282),1)*IF(Upgrades!$T$9="Asteroid Belt",POWER(Upgrades!$U$9,H282),1)*IF(Upgrades!$T$10="Asteroid Belt",POWER(Upgrades!$U$10,I282),1)*IF(Upgrades!$T$11="Asteroid Belt",POWER(Upgrades!$U$11,J282),1)*IF(Upgrades!$T$12="Asteroid Belt",POWER(Upgrades!$U$12,K282),1))+(IF(G282=0,0,(Upgrades!$G$8+G282*Upgrades!$H$8)*POWER(Upgrades!$I$8,G282)))*(IF(Upgrades!$T$6="Stellar Coupling",POWER(Upgrades!$U$6,E282),1)*IF(Upgrades!$T$7="Stellar Coupling",POWER(Upgrades!$U$7,F282),1)*IF(Upgrades!$T$9="Stellar Coupling",POWER(Upgrades!$U$9,H282),1)*IF(Upgrades!$T$10="Stellar Coupling",POWER(Upgrades!$U$10,I282),1)*IF(Upgrades!$T$11="Stellar Coupling",POWER(Upgrades!$U$11,J282),1)*IF(Upgrades!$T$12="Stellar Coupling",POWER(Upgrades!$U$12,K282),1))+(IF(H282=0,0,(Upgrades!$G$9+H282*Upgrades!$H$9)*POWER(Upgrades!$I$9,H282)))*(IF(Upgrades!$T$6="Magnetosphere",POWER(Upgrades!$U$6,E282),1)*IF(Upgrades!$T$7="Magnetosphere",POWER(Upgrades!$U$7,F282),1)*IF(Upgrades!$T$8="Magnetosphere",POWER(Upgrades!$U$8,G282),1)*IF(Upgrades!$T$10="Magnetosphere",POWER(Upgrades!$U$10,I282),1)*IF(Upgrades!$T$11="Magnetosphere",POWER(Upgrades!$U$11,J282),1)*IF(Upgrades!$T$12="Magnetosphere",POWER(Upgrades!$U$12,K282),1))+(IF(I282=0,0,(Upgrades!$G$10+I282*Upgrades!$H$10)*POWER(Upgrades!$I$10,I282)))*(IF(Upgrades!$T$6="Orbital Resonance",POWER(Upgrades!$U$6,E282),1)*IF(Upgrades!$T$7="Orbital Resonance",POWER(Upgrades!$U$7,F282),1)*IF(Upgrades!$T$8="Orbital Resonance",POWER(Upgrades!$U$8,G282),1)*IF(Upgrades!$T$9="Orbital Resonance",POWER(Upgrades!$U$9,H282),1)*IF(Upgrades!$T$11="Orbital Resonance",POWER(Upgrades!$U$11,J282),1)*IF(Upgrades!$T$12="Orbital Resonance",POWER(Upgrades!$U$12,K282),1))+(IF(J282=0,0,(Upgrades!$G$11+J282*Upgrades!$H$11)*POWER(Upgrades!$I$11,J282)))*(IF(Upgrades!$T$6="Heliopause",POWER(Upgrades!$U$6,E282),1)*IF(Upgrades!$T$7="Heliopause",POWER(Upgrades!$U$7,F282),1)*IF(Upgrades!$T$8="Heliopause",POWER(Upgrades!$U$8,G282),1)*IF(Upgrades!$T$9="Heliopause",POWER(Upgrades!$U$9,H282),1)*IF(Upgrades!$T$10="Heliopause",POWER(Upgrades!$U$10,I282),1)*IF(Upgrades!$T$12="Heliopause",POWER(Upgrades!$U$12,K282),1))+(IF(K282=0,0,(Upgrades!$G$12+K282*Upgrades!$H$12)*POWER(Upgrades!$I$12,K282)))*(IF(Upgrades!$T$6="First Photons",POWER(Upgrades!$U$6,E282),1)*IF(Upgrades!$T$7="First Photons",POWER(Upgrades!$U$7,F282),1)*IF(Upgrades!$T$8="First Photons",POWER(Upgrades!$U$8,G282),1)*IF(Upgrades!$T$9="First Photons",POWER(Upgrades!$U$9,H282),1)*IF(Upgrades!$T$10="First Photons",POWER(Upgrades!$U$10,I282),1)*IF(Upgrades!$T$11="First Photons",POWER(Upgrades!$U$11,J282),1)))*POWER(Upgrades!$P$6,E282)*POWER(Upgrades!$P$7,F282)*POWER(Upgrades!$P$8,G282)*POWER(Upgrades!$P$9,H282)*POWER(Upgrades!$P$10,I282)*POWER(Upgrades!$P$11,J282)*POWER(Upgrades!$P$12,K282)</f>
        <v/>
      </c>
      <c r="O282" s="28">
        <f>((IF(E282=0,0,(Upgrades!$M$6+E282*Upgrades!$N$6)*POWER(Upgrades!$O$6,E282)))*(IF(Upgrades!$T$7="Solar Wind",POWER(Upgrades!$U$7,F282),1)*IF(Upgrades!$T$8="Solar Wind",POWER(Upgrades!$U$8,G282),1)*IF(Upgrades!$T$9="Solar Wind",POWER(Upgrades!$U$9,H282),1)*IF(Upgrades!$T$10="Solar Wind",POWER(Upgrades!$U$10,I282),1)*IF(Upgrades!$T$11="Solar Wind",POWER(Upgrades!$U$11,J282),1)*IF(Upgrades!$T$12="Solar Wind",POWER(Upgrades!$U$12,K282),1))+(IF(F282=0,0,(Upgrades!$M$7+F282*Upgrades!$N$7)*POWER(Upgrades!$O$7,F282)))*(IF(Upgrades!$T$6="Asteroid Belt",POWER(Upgrades!$U$6,E282),1)*IF(Upgrades!$T$8="Asteroid Belt",POWER(Upgrades!$U$8,G282),1)*IF(Upgrades!$T$9="Asteroid Belt",POWER(Upgrades!$U$9,H282),1)*IF(Upgrades!$T$10="Asteroid Belt",POWER(Upgrades!$U$10,I282),1)*IF(Upgrades!$T$11="Asteroid Belt",POWER(Upgrades!$U$11,J282),1)*IF(Upgrades!$T$12="Asteroid Belt",POWER(Upgrades!$U$12,K282),1))+(IF(G282=0,0,(Upgrades!$M$8+G282*Upgrades!$N$8)*POWER(Upgrades!$O$8,G282)))*(IF(Upgrades!$T$6="Stellar Coupling",POWER(Upgrades!$U$6,E282),1)*IF(Upgrades!$T$7="Stellar Coupling",POWER(Upgrades!$U$7,F282),1)*IF(Upgrades!$T$9="Stellar Coupling",POWER(Upgrades!$U$9,H282),1)*IF(Upgrades!$T$10="Stellar Coupling",POWER(Upgrades!$U$10,I282),1)*IF(Upgrades!$T$11="Stellar Coupling",POWER(Upgrades!$U$11,J282),1)*IF(Upgrades!$T$12="Stellar Coupling",POWER(Upgrades!$U$12,K282),1))+(IF(H282=0,0,(Upgrades!$M$9+H282*Upgrades!$N$9)*POWER(Upgrades!$O$9,H282)))*(IF(Upgrades!$T$6="Magnetosphere",POWER(Upgrades!$U$6,E282),1)*IF(Upgrades!$T$7="Magnetosphere",POWER(Upgrades!$U$7,F282),1)*IF(Upgrades!$T$8="Magnetosphere",POWER(Upgrades!$U$8,G282),1)*IF(Upgrades!$T$10="Magnetosphere",POWER(Upgrades!$U$10,I282),1)*IF(Upgrades!$T$11="Magnetosphere",POWER(Upgrades!$U$11,J282),1)*IF(Upgrades!$T$12="Magnetosphere",POWER(Upgrades!$U$12,K282),1))+(IF(I282=0,0,(Upgrades!$M$10+I282*Upgrades!$N$10)*POWER(Upgrades!$O$10,I282)))*(IF(Upgrades!$T$6="Orbital Resonance",POWER(Upgrades!$U$6,E282),1)*IF(Upgrades!$T$7="Orbital Resonance",POWER(Upgrades!$U$7,F282),1)*IF(Upgrades!$T$8="Orbital Resonance",POWER(Upgrades!$U$8,G282),1)*IF(Upgrades!$T$9="Orbital Resonance",POWER(Upgrades!$U$9,H282),1)*IF(Upgrades!$T$11="Orbital Resonance",POWER(Upgrades!$U$11,J282),1)*IF(Upgrades!$T$12="Orbital Resonance",POWER(Upgrades!$U$12,K282),1))+(IF(J282=0,0,(Upgrades!$M$11+J282*Upgrades!$N$11)*POWER(Upgrades!$O$11,J282)))*(IF(Upgrades!$T$6="Heliopause",POWER(Upgrades!$U$6,E282),1)*IF(Upgrades!$T$7="Heliopause",POWER(Upgrades!$U$7,F282),1)*IF(Upgrades!$T$8="Heliopause",POWER(Upgrades!$U$8,G282),1)*IF(Upgrades!$T$9="Heliopause",POWER(Upgrades!$U$9,H282),1)*IF(Upgrades!$T$10="Heliopause",POWER(Upgrades!$U$10,I282),1)*IF(Upgrades!$T$12="Heliopause",POWER(Upgrades!$U$12,K282),1))+(IF(K282=0,0,(Upgrades!$M$12+K282*Upgrades!$N$12)*POWER(Upgrades!$O$12,K282)))*(IF(Upgrades!$T$6="First Photons",POWER(Upgrades!$U$6,E282),1)*IF(Upgrades!$T$7="First Photons",POWER(Upgrades!$U$7,F282),1)*IF(Upgrades!$T$8="First Photons",POWER(Upgrades!$U$8,G282),1)*IF(Upgrades!$T$9="First Photons",POWER(Upgrades!$U$9,H282),1)*IF(Upgrades!$T$10="First Photons",POWER(Upgrades!$U$10,I282),1)*IF(Upgrades!$T$11="First Photons",POWER(Upgrades!$U$11,J282),1)))*POWER(Upgrades!$R$6,E282)*POWER(Upgrades!$R$7,F282)*POWER(Upgrades!$R$8,G282)*POWER(Upgrades!$R$9,H282)*POWER(Upgrades!$R$10,I282)*POWER(Upgrades!$R$11,J282)*POWER(Upgrades!$R$12,K282)</f>
        <v/>
      </c>
      <c r="P282" s="27">
        <f>IF(L282=1,0,M282*Parameters!$B$10/60*Parameters!$B$11*10)</f>
        <v/>
      </c>
      <c r="Q282" s="27">
        <f>IF(L282=1,0,O282*M282*10)</f>
        <v/>
      </c>
      <c r="R282" s="27">
        <f>IF(L282=1,0,N282*10)</f>
        <v/>
      </c>
      <c r="S282" s="27">
        <f>P282+Q282+R282</f>
        <v/>
      </c>
      <c r="T282" s="22">
        <f>C282+S282</f>
        <v/>
      </c>
      <c r="U282" s="33">
        <f>AX282</f>
        <v/>
      </c>
      <c r="V282" s="22">
        <f>IF(U282="",0,IF(U282="transition",0,IF(U282="SW",AG282,IF(U282="AB",AH282,IF(U282="SC",AI282,IF(U282="Mag",AJ282,IF(U282="OR",AK282,IF(U282="HP",AL282,IF(U282="FP",AM282,0)))))))))</f>
        <v/>
      </c>
      <c r="W282" s="27">
        <f>IF(U282="OR",Upgrades!$F$10,IF(U282="HP",Upgrades!$F$11,IF(U282="transition",-Parameters!$B$18,0)))</f>
        <v/>
      </c>
      <c r="X282" s="22">
        <f>T282-V282</f>
        <v/>
      </c>
      <c r="Y282" s="30">
        <f>M282*Parameters!$B$10/60*Parameters!$B$11+O282*M282+N282</f>
        <v/>
      </c>
      <c r="Z282" s="34">
        <f>IF(U282="transition","→ Tier 2 (Stellar Neighborhood)",IF(U282="FP","First Photons — light begins, system quickens",IF(U282="HP","Heliopause acquired",IF(U282="OR","Orbital Resonance — passive multiplier active",IF(AND(AO282=1,L282=0,AN282&lt;&gt;1),"Cohesion ready (waiting on completionist upgrades)","")))))</f>
        <v/>
      </c>
      <c r="AA282" s="27">
        <f>(IF(E282=0,0,(Upgrades!$G$6+E282*Upgrades!$H$6)*POWER(Upgrades!$I$6,E282)))*(IF(Upgrades!$T$7="Solar Wind",POWER(Upgrades!$U$7,F282),1)*IF(Upgrades!$T$8="Solar Wind",POWER(Upgrades!$U$8,G282),1)*IF(Upgrades!$T$9="Solar Wind",POWER(Upgrades!$U$9,H282),1)*IF(Upgrades!$T$10="Solar Wind",POWER(Upgrades!$U$10,I282),1)*IF(Upgrades!$T$11="Solar Wind",POWER(Upgrades!$U$11,J282),1)*IF(Upgrades!$T$12="Solar Wind",POWER(Upgrades!$U$12,K282),1))*POWER(Upgrades!$P$6,E282)*POWER(Upgrades!$P$7,F282)*POWER(Upgrades!$P$8,G282)*POWER(Upgrades!$P$9,H282)*POWER(Upgrades!$P$10,I282)*POWER(Upgrades!$P$11,J282)*POWER(Upgrades!$P$12,K282)*60</f>
        <v/>
      </c>
      <c r="AB282" s="27">
        <f>(IF(F282=0,0,(Upgrades!$G$7+F282*Upgrades!$H$7)*POWER(Upgrades!$I$7,F282)))*(IF(Upgrades!$T$6="Asteroid Belt",POWER(Upgrades!$U$6,E282),1)*IF(Upgrades!$T$8="Asteroid Belt",POWER(Upgrades!$U$8,G282),1)*IF(Upgrades!$T$9="Asteroid Belt",POWER(Upgrades!$U$9,H282),1)*IF(Upgrades!$T$10="Asteroid Belt",POWER(Upgrades!$U$10,I282),1)*IF(Upgrades!$T$11="Asteroid Belt",POWER(Upgrades!$U$11,J282),1)*IF(Upgrades!$T$12="Asteroid Belt",POWER(Upgrades!$U$12,K282),1))*POWER(Upgrades!$P$6,E282)*POWER(Upgrades!$P$7,F282)*POWER(Upgrades!$P$8,G282)*POWER(Upgrades!$P$9,H282)*POWER(Upgrades!$P$10,I282)*POWER(Upgrades!$P$11,J282)*POWER(Upgrades!$P$12,K282)*60</f>
        <v/>
      </c>
      <c r="AC282" s="27">
        <f>(IF(G282=0,0,(Upgrades!$J$8+G282*Upgrades!$K$8)*POWER(Upgrades!$L$8,G282)))*(IF(Upgrades!$T$6="Stellar Coupling",POWER(Upgrades!$U$6,E282),1)*IF(Upgrades!$T$7="Stellar Coupling",POWER(Upgrades!$U$7,F282),1)*IF(Upgrades!$T$9="Stellar Coupling",POWER(Upgrades!$U$9,H282),1)*IF(Upgrades!$T$10="Stellar Coupling",POWER(Upgrades!$U$10,I282),1)*IF(Upgrades!$T$11="Stellar Coupling",POWER(Upgrades!$U$11,J282),1)*IF(Upgrades!$T$12="Stellar Coupling",POWER(Upgrades!$U$12,K282),1))*POWER(Upgrades!$Q$6,E282)*POWER(Upgrades!$Q$7,F282)*POWER(Upgrades!$Q$8,G282)*POWER(Upgrades!$Q$9,H282)*POWER(Upgrades!$Q$10,I282)*POWER(Upgrades!$Q$11,J282)*POWER(Upgrades!$Q$12,K282)*Parameters!$B$10*Parameters!$B$11</f>
        <v/>
      </c>
      <c r="AD282" s="27">
        <f>(IF(H282=0,0,(Upgrades!$G$9+H282*Upgrades!$H$9)*POWER(Upgrades!$I$9,H282)))*(IF(Upgrades!$T$6="Magnetosphere",POWER(Upgrades!$U$6,E282),1)*IF(Upgrades!$T$7="Magnetosphere",POWER(Upgrades!$U$7,F282),1)*IF(Upgrades!$T$8="Magnetosphere",POWER(Upgrades!$U$8,G282),1)*IF(Upgrades!$T$10="Magnetosphere",POWER(Upgrades!$U$10,I282),1)*IF(Upgrades!$T$11="Magnetosphere",POWER(Upgrades!$U$11,J282),1)*IF(Upgrades!$T$12="Magnetosphere",POWER(Upgrades!$U$12,K282),1))*POWER(Upgrades!$P$6,E282)*POWER(Upgrades!$P$7,F282)*POWER(Upgrades!$P$8,G282)*POWER(Upgrades!$P$9,H282)*POWER(Upgrades!$P$10,I282)*POWER(Upgrades!$P$11,J282)*POWER(Upgrades!$P$12,K282)*60</f>
        <v/>
      </c>
      <c r="AE282" s="27">
        <f>(IF(K282=0,0,(Upgrades!$G$12+K282*Upgrades!$H$12)*POWER(Upgrades!$I$12,K282)))*(IF(Upgrades!$T$6="First Photons",POWER(Upgrades!$U$6,E282),1)*IF(Upgrades!$T$7="First Photons",POWER(Upgrades!$U$7,F282),1)*IF(Upgrades!$T$8="First Photons",POWER(Upgrades!$U$8,G282),1)*IF(Upgrades!$T$9="First Photons",POWER(Upgrades!$U$9,H282),1)*IF(Upgrades!$T$10="First Photons",POWER(Upgrades!$U$10,I282),1)*IF(Upgrades!$T$11="First Photons",POWER(Upgrades!$U$11,J282),1))*POWER(Upgrades!$P$6,E282)*POWER(Upgrades!$P$7,F282)*POWER(Upgrades!$P$8,G282)*POWER(Upgrades!$P$9,H282)*POWER(Upgrades!$P$10,I282)*POWER(Upgrades!$P$11,J282)*POWER(Upgrades!$P$12,K282)*60</f>
        <v/>
      </c>
      <c r="AF282" s="27">
        <f>Parameters!$B$9*POWER(Upgrades!$Q$6,E282)*POWER(Upgrades!$Q$7,F282)*POWER(Upgrades!$Q$8,G282)*POWER(Upgrades!$Q$9,H282)*POWER(Upgrades!$Q$10,I282)*POWER(Upgrades!$Q$11,J282)*POWER(Upgrades!$Q$12,K282)*(Parameters!$B$10*Parameters!$B$11+O282*60)</f>
        <v/>
      </c>
      <c r="AG282" s="22">
        <f>IF(E282&gt;=Upgrades!$E$6,"",Upgrades!$C$6*POWER(Upgrades!$D$6,E282))</f>
        <v/>
      </c>
      <c r="AH282" s="22">
        <f>IF(F282&gt;=Upgrades!$E$7,"",Upgrades!$C$7*POWER(Upgrades!$D$7,F282))</f>
        <v/>
      </c>
      <c r="AI282" s="22">
        <f>IF(G282&gt;=Upgrades!$E$8,"",Upgrades!$C$8*POWER(Upgrades!$D$8,G282))</f>
        <v/>
      </c>
      <c r="AJ282" s="22">
        <f>IF(H282&gt;=Upgrades!$E$9,"",Upgrades!$C$9*POWER(Upgrades!$D$9,H282))</f>
        <v/>
      </c>
      <c r="AK282" s="22">
        <f>IF(I282&gt;=Upgrades!$E$10,"",Upgrades!$C$10*POWER(Upgrades!$D$10,I282))</f>
        <v/>
      </c>
      <c r="AL282" s="22">
        <f>IF(J282&gt;=Upgrades!$E$11,"",Upgrades!$C$11*POWER(Upgrades!$D$11,J282))</f>
        <v/>
      </c>
      <c r="AM282" s="22">
        <f>IF(K282&gt;=Upgrades!$E$12,"",Upgrades!$C$12*POWER(Upgrades!$D$12,K282))</f>
        <v/>
      </c>
      <c r="AN282" s="26">
        <f>IF(AND(D282&gt;=Parameters!$B$18,(H282&gt;=Upgrades!$E$9)*(K282&gt;=Upgrades!$E$12)=1,L282=0),1,"")</f>
        <v/>
      </c>
      <c r="AO282" s="26">
        <f>IF(AND(D282&gt;=Parameters!$B$18,L282=0),1,"")</f>
        <v/>
      </c>
      <c r="AP282" s="22">
        <f>MIN(IF(ISNUMBER(AK282),AK282,9E15),IF(ISNUMBER(AL282),AL282,9E15),IF(ISNUMBER(AM282),AM282,9E15))</f>
        <v/>
      </c>
      <c r="AQ282" s="22">
        <f>MIN(IF(ISNUMBER(AG282),AG282,9E15),IF(ISNUMBER(AH282),AH282,9E15),IF(ISNUMBER(AI282),AI282,9E15),IF(ISNUMBER(AJ282),AJ282,9E15))</f>
        <v/>
      </c>
      <c r="AR282" s="29">
        <f>IF(AW282&gt;Parameters!$B$21*(MAX(IF(AND(NOT(AND(AO282=1,AN282&lt;&gt;1)),ISNUMBER(AG282),AG282&lt;=T282),AS282,0),IF(AND(NOT(AND(AO282=1,AN282&lt;&gt;1)),ISNUMBER(AH282),AH282&lt;=T282),AT282,0),IF(AND(NOT(AND(AO282=1,AN282&lt;&gt;1)),ISNUMBER(AI282),AI282&lt;=T282),AU282,0),IF(AND(ISNUMBER(AJ282),AJ282&lt;=T282),AV282,0))),TRUE,FALSE)</f>
        <v/>
      </c>
      <c r="AS282" s="32">
        <f>IFERROR(Upgrades!$H$6*(POWER(Upgrades!$P$6,E282)*POWER(Upgrades!$P$7,F282)*POWER(Upgrades!$P$8,G282)*POWER(Upgrades!$P$9,H282)*POWER(Upgrades!$P$10,I282)*POWER(Upgrades!$P$11,J282)*POWER(Upgrades!$P$12,K282))*(IF(Upgrades!$T$7="Solar Wind",POWER(Upgrades!$U$7,F282),1)*IF(Upgrades!$T$8="Solar Wind",POWER(Upgrades!$U$8,G282),1)*IF(Upgrades!$T$9="Solar Wind",POWER(Upgrades!$U$9,H282),1)*IF(Upgrades!$T$10="Solar Wind",POWER(Upgrades!$U$10,I282),1)*IF(Upgrades!$T$11="Solar Wind",POWER(Upgrades!$U$11,J282),1)*IF(Upgrades!$T$12="Solar Wind",POWER(Upgrades!$U$12,K282),1))/AG282,0)</f>
        <v/>
      </c>
      <c r="AT282" s="32">
        <f>IFERROR(Upgrades!$H$7*(POWER(Upgrades!$P$6,E282)*POWER(Upgrades!$P$7,F282)*POWER(Upgrades!$P$8,G282)*POWER(Upgrades!$P$9,H282)*POWER(Upgrades!$P$10,I282)*POWER(Upgrades!$P$11,J282)*POWER(Upgrades!$P$12,K282))*(IF(Upgrades!$T$6="Asteroid Belt",POWER(Upgrades!$U$6,E282),1)*IF(Upgrades!$T$8="Asteroid Belt",POWER(Upgrades!$U$8,G282),1)*IF(Upgrades!$T$9="Asteroid Belt",POWER(Upgrades!$U$9,H282),1)*IF(Upgrades!$T$10="Asteroid Belt",POWER(Upgrades!$U$10,I282),1)*IF(Upgrades!$T$11="Asteroid Belt",POWER(Upgrades!$U$11,J282),1)*IF(Upgrades!$T$12="Asteroid Belt",POWER(Upgrades!$U$12,K282),1))/AH282,0)</f>
        <v/>
      </c>
      <c r="AU282" s="32">
        <f>IFERROR(Upgrades!$K$8*(POWER(Upgrades!$Q$6,E282)*POWER(Upgrades!$Q$7,F282)*POWER(Upgrades!$Q$8,G282)*POWER(Upgrades!$Q$9,H282)*POWER(Upgrades!$Q$10,I282)*POWER(Upgrades!$Q$11,J282)*POWER(Upgrades!$Q$12,K282))*(IF(Upgrades!$T$6="Stellar Coupling",POWER(Upgrades!$U$6,E282),1)*IF(Upgrades!$T$7="Stellar Coupling",POWER(Upgrades!$U$7,F282),1)*IF(Upgrades!$T$9="Stellar Coupling",POWER(Upgrades!$U$9,H282),1)*IF(Upgrades!$T$10="Stellar Coupling",POWER(Upgrades!$U$10,I282),1)*IF(Upgrades!$T$11="Stellar Coupling",POWER(Upgrades!$U$11,J282),1)*IF(Upgrades!$T$12="Stellar Coupling",POWER(Upgrades!$U$12,K282),1))*Parameters!$B$10*Parameters!$B$11/60/AI282,0)</f>
        <v/>
      </c>
      <c r="AV282" s="32">
        <f>IFERROR(Upgrades!$H$9*(POWER(Upgrades!$P$6,E282)*POWER(Upgrades!$P$7,F282)*POWER(Upgrades!$P$8,G282)*POWER(Upgrades!$P$9,H282)*POWER(Upgrades!$P$10,I282)*POWER(Upgrades!$P$11,J282)*POWER(Upgrades!$P$12,K282))*(IF(Upgrades!$T$6="Magnetosphere",POWER(Upgrades!$U$6,E282),1)*IF(Upgrades!$T$7="Magnetosphere",POWER(Upgrades!$U$7,F282),1)*IF(Upgrades!$T$8="Magnetosphere",POWER(Upgrades!$U$8,G282),1)*IF(Upgrades!$T$10="Magnetosphere",POWER(Upgrades!$U$10,I282),1)*IF(Upgrades!$T$11="Magnetosphere",POWER(Upgrades!$U$11,J282),1)*IF(Upgrades!$T$12="Magnetosphere",POWER(Upgrades!$U$12,K282),1))/AJ282,0)</f>
        <v/>
      </c>
      <c r="AW282" s="32">
        <f>MAX(IF(I282&gt;0,0,IFERROR(0.25*N282/Upgrades!$C$10,0)),IF(J282&gt;0,0,IFERROR(0.5*((IF(G282=0,0,(Upgrades!$J$8+G282*Upgrades!$K$8)*POWER(Upgrades!$L$8,G282)))*(IF(Upgrades!$T$6="Stellar Coupling",POWER(Upgrades!$U$6,E282),1)*IF(Upgrades!$T$7="Stellar Coupling",POWER(Upgrades!$U$7,F282),1)*IF(Upgrades!$T$9="Stellar Coupling",POWER(Upgrades!$U$9,H282),1)*IF(Upgrades!$T$10="Stellar Coupling",POWER(Upgrades!$U$10,I282),1)*IF(Upgrades!$T$11="Stellar Coupling",POWER(Upgrades!$U$11,J282),1)*IF(Upgrades!$T$12="Stellar Coupling",POWER(Upgrades!$U$12,K282),1))*(POWER(Upgrades!$Q$6,E282)*POWER(Upgrades!$Q$7,F282)*POWER(Upgrades!$Q$8,G282)*POWER(Upgrades!$Q$9,H282)*POWER(Upgrades!$Q$10,I282)*POWER(Upgrades!$Q$11,J282)*POWER(Upgrades!$Q$12,K282))*Parameters!$B$10*Parameters!$B$11/60)/Upgrades!$C$11,0)),IF(K282&gt;0,0,IFERROR((1.0*(POWER(Upgrades!$P$6,E282)*POWER(Upgrades!$P$7,F282)*POWER(Upgrades!$P$8,G282)*POWER(Upgrades!$P$9,H282)*POWER(Upgrades!$P$10,I282)*POWER(Upgrades!$P$11,J282)*POWER(Upgrades!$P$12,K282))+0.20*M282*Parameters!$B$10*Parameters!$B$11/60)/Upgrades!$C$12,0)),IF(AND(ISNUMBER(AG282),AG282&gt;T282),AS282,0),IF(AND(ISNUMBER(AH282),AH282&gt;T282),AT282,0),IF(AND(ISNUMBER(AI282),AI282&gt;T282),AU282,0),IF(AND(ISNUMBER(AJ282),AJ282&gt;T282),AV282,0))</f>
        <v/>
      </c>
      <c r="AX282" s="29">
        <f>IF(AN282=1,"transition",IF(MIN(IF(AND(I282=0,ISNUMBER(AK282),AK282&lt;=T282),AK282,9E15),IF(AND(J282=0,ISNUMBER(AL282),AL282&lt;=T282),AL282,9E15),IF(AND(K282=0,ISNUMBER(AM282),AM282&lt;=T282),AM282,9E15))&lt;9E15,IF(AND(AND(I282=0,ISNUMBER(AK282),AK282&lt;=T282),AK282=MIN(IF(AND(I282=0,ISNUMBER(AK282),AK282&lt;=T282),AK282,9E15),IF(AND(J282=0,ISNUMBER(AL282),AL282&lt;=T282),AL282,9E15),IF(AND(K282=0,ISNUMBER(AM282),AM282&lt;=T282),AM282,9E15))),"OR",IF(AND(AND(J282=0,ISNUMBER(AL282),AL282&lt;=T282),AL282=MIN(IF(AND(I282=0,ISNUMBER(AK282),AK282&lt;=T282),AK282,9E15),IF(AND(J282=0,ISNUMBER(AL282),AL282&lt;=T282),AL282,9E15),IF(AND(K282=0,ISNUMBER(AM282),AM282&lt;=T282),AM282,9E15))),"HP","FP")),IF(AR282=TRUE,"",IF(MAX(IF(AND(NOT(AND(AO282=1,AN282&lt;&gt;1)),ISNUMBER(AG282),AG282&lt;=T282),AS282,0),IF(AND(NOT(AND(AO282=1,AN282&lt;&gt;1)),ISNUMBER(AH282),AH282&lt;=T282),AT282,0),IF(AND(NOT(AND(AO282=1,AN282&lt;&gt;1)),ISNUMBER(AI282),AI282&lt;=T282),AU282,0),IF(AND(ISNUMBER(AJ282),AJ282&lt;=T282),AV282,0))&lt;=0,"",IF(AND(IF(AND(NOT(AND(AO282=1,AN282&lt;&gt;1)),ISNUMBER(AG282),AG282&lt;=T282),AS282,0)&gt;0,IF(AND(NOT(AND(AO282=1,AN282&lt;&gt;1)),ISNUMBER(AG282),AG282&lt;=T282),AS282,0)=MAX(IF(AND(NOT(AND(AO282=1,AN282&lt;&gt;1)),ISNUMBER(AG282),AG282&lt;=T282),AS282,0),IF(AND(NOT(AND(AO282=1,AN282&lt;&gt;1)),ISNUMBER(AH282),AH282&lt;=T282),AT282,0),IF(AND(NOT(AND(AO282=1,AN282&lt;&gt;1)),ISNUMBER(AI282),AI282&lt;=T282),AU282,0),IF(AND(ISNUMBER(AJ282),AJ282&lt;=T282),AV282,0))),"SW",IF(AND(IF(AND(NOT(AND(AO282=1,AN282&lt;&gt;1)),ISNUMBER(AH282),AH282&lt;=T282),AT282,0)&gt;0,IF(AND(NOT(AND(AO282=1,AN282&lt;&gt;1)),ISNUMBER(AH282),AH282&lt;=T282),AT282,0)=MAX(IF(AND(NOT(AND(AO282=1,AN282&lt;&gt;1)),ISNUMBER(AG282),AG282&lt;=T282),AS282,0),IF(AND(NOT(AND(AO282=1,AN282&lt;&gt;1)),ISNUMBER(AH282),AH282&lt;=T282),AT282,0),IF(AND(NOT(AND(AO282=1,AN282&lt;&gt;1)),ISNUMBER(AI282),AI282&lt;=T282),AU282,0),IF(AND(ISNUMBER(AJ282),AJ282&lt;=T282),AV282,0))),"AB",IF(AND(IF(AND(NOT(AND(AO282=1,AN282&lt;&gt;1)),ISNUMBER(AI282),AI282&lt;=T282),AU282,0)&gt;0,IF(AND(NOT(AND(AO282=1,AN282&lt;&gt;1)),ISNUMBER(AI282),AI282&lt;=T282),AU282,0)=MAX(IF(AND(NOT(AND(AO282=1,AN282&lt;&gt;1)),ISNUMBER(AG282),AG282&lt;=T282),AS282,0),IF(AND(NOT(AND(AO282=1,AN282&lt;&gt;1)),ISNUMBER(AH282),AH282&lt;=T282),AT282,0),IF(AND(NOT(AND(AO282=1,AN282&lt;&gt;1)),ISNUMBER(AI282),AI282&lt;=T282),AU282,0),IF(AND(ISNUMBER(AJ282),AJ282&lt;=T282),AV282,0))),"SC","Mag")))))))</f>
        <v/>
      </c>
    </row>
    <row r="283">
      <c r="A283" s="26" t="n">
        <v>278</v>
      </c>
      <c r="B283" s="27">
        <f>A283*10/60</f>
        <v/>
      </c>
      <c r="C283" s="22">
        <f>X282</f>
        <v/>
      </c>
      <c r="D283" s="27">
        <f>D282+W282</f>
        <v/>
      </c>
      <c r="E283" s="26">
        <f>E282+IF(U282="SW",1,0)</f>
        <v/>
      </c>
      <c r="F283" s="26">
        <f>F282+IF(U282="AB",1,0)</f>
        <v/>
      </c>
      <c r="G283" s="26">
        <f>G282+IF(U282="SC",1,0)</f>
        <v/>
      </c>
      <c r="H283" s="26">
        <f>H282+IF(U282="Mag",1,0)</f>
        <v/>
      </c>
      <c r="I283" s="26">
        <f>MAX(I282,IF(U282="OR",1,0))</f>
        <v/>
      </c>
      <c r="J283" s="26">
        <f>MAX(J282,IF(U282="HP",1,0))</f>
        <v/>
      </c>
      <c r="K283" s="26">
        <f>MAX(K282,IF(U282="FP",1,0))</f>
        <v/>
      </c>
      <c r="L283" s="26">
        <f>MAX(L282,IF(U282="transition",1,0))</f>
        <v/>
      </c>
      <c r="M283" s="28">
        <f>(Parameters!$B$9+(IF(E283=0,0,(Upgrades!$J$6+E283*Upgrades!$K$6)*POWER(Upgrades!$L$6,E283)))*(IF(Upgrades!$T$7="Solar Wind",POWER(Upgrades!$U$7,F283),1)*IF(Upgrades!$T$8="Solar Wind",POWER(Upgrades!$U$8,G283),1)*IF(Upgrades!$T$9="Solar Wind",POWER(Upgrades!$U$9,H283),1)*IF(Upgrades!$T$10="Solar Wind",POWER(Upgrades!$U$10,I283),1)*IF(Upgrades!$T$11="Solar Wind",POWER(Upgrades!$U$11,J283),1)*IF(Upgrades!$T$12="Solar Wind",POWER(Upgrades!$U$12,K283),1))+(IF(F283=0,0,(Upgrades!$J$7+F283*Upgrades!$K$7)*POWER(Upgrades!$L$7,F283)))*(IF(Upgrades!$T$6="Asteroid Belt",POWER(Upgrades!$U$6,E283),1)*IF(Upgrades!$T$8="Asteroid Belt",POWER(Upgrades!$U$8,G283),1)*IF(Upgrades!$T$9="Asteroid Belt",POWER(Upgrades!$U$9,H283),1)*IF(Upgrades!$T$10="Asteroid Belt",POWER(Upgrades!$U$10,I283),1)*IF(Upgrades!$T$11="Asteroid Belt",POWER(Upgrades!$U$11,J283),1)*IF(Upgrades!$T$12="Asteroid Belt",POWER(Upgrades!$U$12,K283),1))+(IF(G283=0,0,(Upgrades!$J$8+G283*Upgrades!$K$8)*POWER(Upgrades!$L$8,G283)))*(IF(Upgrades!$T$6="Stellar Coupling",POWER(Upgrades!$U$6,E283),1)*IF(Upgrades!$T$7="Stellar Coupling",POWER(Upgrades!$U$7,F283),1)*IF(Upgrades!$T$9="Stellar Coupling",POWER(Upgrades!$U$9,H283),1)*IF(Upgrades!$T$10="Stellar Coupling",POWER(Upgrades!$U$10,I283),1)*IF(Upgrades!$T$11="Stellar Coupling",POWER(Upgrades!$U$11,J283),1)*IF(Upgrades!$T$12="Stellar Coupling",POWER(Upgrades!$U$12,K283),1))+(IF(H283=0,0,(Upgrades!$J$9+H283*Upgrades!$K$9)*POWER(Upgrades!$L$9,H283)))*(IF(Upgrades!$T$6="Magnetosphere",POWER(Upgrades!$U$6,E283),1)*IF(Upgrades!$T$7="Magnetosphere",POWER(Upgrades!$U$7,F283),1)*IF(Upgrades!$T$8="Magnetosphere",POWER(Upgrades!$U$8,G283),1)*IF(Upgrades!$T$10="Magnetosphere",POWER(Upgrades!$U$10,I283),1)*IF(Upgrades!$T$11="Magnetosphere",POWER(Upgrades!$U$11,J283),1)*IF(Upgrades!$T$12="Magnetosphere",POWER(Upgrades!$U$12,K283),1))+(IF(I283=0,0,(Upgrades!$J$10+I283*Upgrades!$K$10)*POWER(Upgrades!$L$10,I283)))*(IF(Upgrades!$T$6="Orbital Resonance",POWER(Upgrades!$U$6,E283),1)*IF(Upgrades!$T$7="Orbital Resonance",POWER(Upgrades!$U$7,F283),1)*IF(Upgrades!$T$8="Orbital Resonance",POWER(Upgrades!$U$8,G283),1)*IF(Upgrades!$T$9="Orbital Resonance",POWER(Upgrades!$U$9,H283),1)*IF(Upgrades!$T$11="Orbital Resonance",POWER(Upgrades!$U$11,J283),1)*IF(Upgrades!$T$12="Orbital Resonance",POWER(Upgrades!$U$12,K283),1))+(IF(J283=0,0,(Upgrades!$J$11+J283*Upgrades!$K$11)*POWER(Upgrades!$L$11,J283)))*(IF(Upgrades!$T$6="Heliopause",POWER(Upgrades!$U$6,E283),1)*IF(Upgrades!$T$7="Heliopause",POWER(Upgrades!$U$7,F283),1)*IF(Upgrades!$T$8="Heliopause",POWER(Upgrades!$U$8,G283),1)*IF(Upgrades!$T$9="Heliopause",POWER(Upgrades!$U$9,H283),1)*IF(Upgrades!$T$10="Heliopause",POWER(Upgrades!$U$10,I283),1)*IF(Upgrades!$T$12="Heliopause",POWER(Upgrades!$U$12,K283),1))+(IF(K283=0,0,(Upgrades!$J$12+K283*Upgrades!$K$12)*POWER(Upgrades!$L$12,K283)))*(IF(Upgrades!$T$6="First Photons",POWER(Upgrades!$U$6,E283),1)*IF(Upgrades!$T$7="First Photons",POWER(Upgrades!$U$7,F283),1)*IF(Upgrades!$T$8="First Photons",POWER(Upgrades!$U$8,G283),1)*IF(Upgrades!$T$9="First Photons",POWER(Upgrades!$U$9,H283),1)*IF(Upgrades!$T$10="First Photons",POWER(Upgrades!$U$10,I283),1)*IF(Upgrades!$T$11="First Photons",POWER(Upgrades!$U$11,J283),1)))*POWER(Upgrades!$Q$6,E283)*POWER(Upgrades!$Q$7,F283)*POWER(Upgrades!$Q$8,G283)*POWER(Upgrades!$Q$9,H283)*POWER(Upgrades!$Q$10,I283)*POWER(Upgrades!$Q$11,J283)*POWER(Upgrades!$Q$12,K283)</f>
        <v/>
      </c>
      <c r="N283" s="28">
        <f>((IF(E283=0,0,(Upgrades!$G$6+E283*Upgrades!$H$6)*POWER(Upgrades!$I$6,E283)))*(IF(Upgrades!$T$7="Solar Wind",POWER(Upgrades!$U$7,F283),1)*IF(Upgrades!$T$8="Solar Wind",POWER(Upgrades!$U$8,G283),1)*IF(Upgrades!$T$9="Solar Wind",POWER(Upgrades!$U$9,H283),1)*IF(Upgrades!$T$10="Solar Wind",POWER(Upgrades!$U$10,I283),1)*IF(Upgrades!$T$11="Solar Wind",POWER(Upgrades!$U$11,J283),1)*IF(Upgrades!$T$12="Solar Wind",POWER(Upgrades!$U$12,K283),1))+(IF(F283=0,0,(Upgrades!$G$7+F283*Upgrades!$H$7)*POWER(Upgrades!$I$7,F283)))*(IF(Upgrades!$T$6="Asteroid Belt",POWER(Upgrades!$U$6,E283),1)*IF(Upgrades!$T$8="Asteroid Belt",POWER(Upgrades!$U$8,G283),1)*IF(Upgrades!$T$9="Asteroid Belt",POWER(Upgrades!$U$9,H283),1)*IF(Upgrades!$T$10="Asteroid Belt",POWER(Upgrades!$U$10,I283),1)*IF(Upgrades!$T$11="Asteroid Belt",POWER(Upgrades!$U$11,J283),1)*IF(Upgrades!$T$12="Asteroid Belt",POWER(Upgrades!$U$12,K283),1))+(IF(G283=0,0,(Upgrades!$G$8+G283*Upgrades!$H$8)*POWER(Upgrades!$I$8,G283)))*(IF(Upgrades!$T$6="Stellar Coupling",POWER(Upgrades!$U$6,E283),1)*IF(Upgrades!$T$7="Stellar Coupling",POWER(Upgrades!$U$7,F283),1)*IF(Upgrades!$T$9="Stellar Coupling",POWER(Upgrades!$U$9,H283),1)*IF(Upgrades!$T$10="Stellar Coupling",POWER(Upgrades!$U$10,I283),1)*IF(Upgrades!$T$11="Stellar Coupling",POWER(Upgrades!$U$11,J283),1)*IF(Upgrades!$T$12="Stellar Coupling",POWER(Upgrades!$U$12,K283),1))+(IF(H283=0,0,(Upgrades!$G$9+H283*Upgrades!$H$9)*POWER(Upgrades!$I$9,H283)))*(IF(Upgrades!$T$6="Magnetosphere",POWER(Upgrades!$U$6,E283),1)*IF(Upgrades!$T$7="Magnetosphere",POWER(Upgrades!$U$7,F283),1)*IF(Upgrades!$T$8="Magnetosphere",POWER(Upgrades!$U$8,G283),1)*IF(Upgrades!$T$10="Magnetosphere",POWER(Upgrades!$U$10,I283),1)*IF(Upgrades!$T$11="Magnetosphere",POWER(Upgrades!$U$11,J283),1)*IF(Upgrades!$T$12="Magnetosphere",POWER(Upgrades!$U$12,K283),1))+(IF(I283=0,0,(Upgrades!$G$10+I283*Upgrades!$H$10)*POWER(Upgrades!$I$10,I283)))*(IF(Upgrades!$T$6="Orbital Resonance",POWER(Upgrades!$U$6,E283),1)*IF(Upgrades!$T$7="Orbital Resonance",POWER(Upgrades!$U$7,F283),1)*IF(Upgrades!$T$8="Orbital Resonance",POWER(Upgrades!$U$8,G283),1)*IF(Upgrades!$T$9="Orbital Resonance",POWER(Upgrades!$U$9,H283),1)*IF(Upgrades!$T$11="Orbital Resonance",POWER(Upgrades!$U$11,J283),1)*IF(Upgrades!$T$12="Orbital Resonance",POWER(Upgrades!$U$12,K283),1))+(IF(J283=0,0,(Upgrades!$G$11+J283*Upgrades!$H$11)*POWER(Upgrades!$I$11,J283)))*(IF(Upgrades!$T$6="Heliopause",POWER(Upgrades!$U$6,E283),1)*IF(Upgrades!$T$7="Heliopause",POWER(Upgrades!$U$7,F283),1)*IF(Upgrades!$T$8="Heliopause",POWER(Upgrades!$U$8,G283),1)*IF(Upgrades!$T$9="Heliopause",POWER(Upgrades!$U$9,H283),1)*IF(Upgrades!$T$10="Heliopause",POWER(Upgrades!$U$10,I283),1)*IF(Upgrades!$T$12="Heliopause",POWER(Upgrades!$U$12,K283),1))+(IF(K283=0,0,(Upgrades!$G$12+K283*Upgrades!$H$12)*POWER(Upgrades!$I$12,K283)))*(IF(Upgrades!$T$6="First Photons",POWER(Upgrades!$U$6,E283),1)*IF(Upgrades!$T$7="First Photons",POWER(Upgrades!$U$7,F283),1)*IF(Upgrades!$T$8="First Photons",POWER(Upgrades!$U$8,G283),1)*IF(Upgrades!$T$9="First Photons",POWER(Upgrades!$U$9,H283),1)*IF(Upgrades!$T$10="First Photons",POWER(Upgrades!$U$10,I283),1)*IF(Upgrades!$T$11="First Photons",POWER(Upgrades!$U$11,J283),1)))*POWER(Upgrades!$P$6,E283)*POWER(Upgrades!$P$7,F283)*POWER(Upgrades!$P$8,G283)*POWER(Upgrades!$P$9,H283)*POWER(Upgrades!$P$10,I283)*POWER(Upgrades!$P$11,J283)*POWER(Upgrades!$P$12,K283)</f>
        <v/>
      </c>
      <c r="O283" s="28">
        <f>((IF(E283=0,0,(Upgrades!$M$6+E283*Upgrades!$N$6)*POWER(Upgrades!$O$6,E283)))*(IF(Upgrades!$T$7="Solar Wind",POWER(Upgrades!$U$7,F283),1)*IF(Upgrades!$T$8="Solar Wind",POWER(Upgrades!$U$8,G283),1)*IF(Upgrades!$T$9="Solar Wind",POWER(Upgrades!$U$9,H283),1)*IF(Upgrades!$T$10="Solar Wind",POWER(Upgrades!$U$10,I283),1)*IF(Upgrades!$T$11="Solar Wind",POWER(Upgrades!$U$11,J283),1)*IF(Upgrades!$T$12="Solar Wind",POWER(Upgrades!$U$12,K283),1))+(IF(F283=0,0,(Upgrades!$M$7+F283*Upgrades!$N$7)*POWER(Upgrades!$O$7,F283)))*(IF(Upgrades!$T$6="Asteroid Belt",POWER(Upgrades!$U$6,E283),1)*IF(Upgrades!$T$8="Asteroid Belt",POWER(Upgrades!$U$8,G283),1)*IF(Upgrades!$T$9="Asteroid Belt",POWER(Upgrades!$U$9,H283),1)*IF(Upgrades!$T$10="Asteroid Belt",POWER(Upgrades!$U$10,I283),1)*IF(Upgrades!$T$11="Asteroid Belt",POWER(Upgrades!$U$11,J283),1)*IF(Upgrades!$T$12="Asteroid Belt",POWER(Upgrades!$U$12,K283),1))+(IF(G283=0,0,(Upgrades!$M$8+G283*Upgrades!$N$8)*POWER(Upgrades!$O$8,G283)))*(IF(Upgrades!$T$6="Stellar Coupling",POWER(Upgrades!$U$6,E283),1)*IF(Upgrades!$T$7="Stellar Coupling",POWER(Upgrades!$U$7,F283),1)*IF(Upgrades!$T$9="Stellar Coupling",POWER(Upgrades!$U$9,H283),1)*IF(Upgrades!$T$10="Stellar Coupling",POWER(Upgrades!$U$10,I283),1)*IF(Upgrades!$T$11="Stellar Coupling",POWER(Upgrades!$U$11,J283),1)*IF(Upgrades!$T$12="Stellar Coupling",POWER(Upgrades!$U$12,K283),1))+(IF(H283=0,0,(Upgrades!$M$9+H283*Upgrades!$N$9)*POWER(Upgrades!$O$9,H283)))*(IF(Upgrades!$T$6="Magnetosphere",POWER(Upgrades!$U$6,E283),1)*IF(Upgrades!$T$7="Magnetosphere",POWER(Upgrades!$U$7,F283),1)*IF(Upgrades!$T$8="Magnetosphere",POWER(Upgrades!$U$8,G283),1)*IF(Upgrades!$T$10="Magnetosphere",POWER(Upgrades!$U$10,I283),1)*IF(Upgrades!$T$11="Magnetosphere",POWER(Upgrades!$U$11,J283),1)*IF(Upgrades!$T$12="Magnetosphere",POWER(Upgrades!$U$12,K283),1))+(IF(I283=0,0,(Upgrades!$M$10+I283*Upgrades!$N$10)*POWER(Upgrades!$O$10,I283)))*(IF(Upgrades!$T$6="Orbital Resonance",POWER(Upgrades!$U$6,E283),1)*IF(Upgrades!$T$7="Orbital Resonance",POWER(Upgrades!$U$7,F283),1)*IF(Upgrades!$T$8="Orbital Resonance",POWER(Upgrades!$U$8,G283),1)*IF(Upgrades!$T$9="Orbital Resonance",POWER(Upgrades!$U$9,H283),1)*IF(Upgrades!$T$11="Orbital Resonance",POWER(Upgrades!$U$11,J283),1)*IF(Upgrades!$T$12="Orbital Resonance",POWER(Upgrades!$U$12,K283),1))+(IF(J283=0,0,(Upgrades!$M$11+J283*Upgrades!$N$11)*POWER(Upgrades!$O$11,J283)))*(IF(Upgrades!$T$6="Heliopause",POWER(Upgrades!$U$6,E283),1)*IF(Upgrades!$T$7="Heliopause",POWER(Upgrades!$U$7,F283),1)*IF(Upgrades!$T$8="Heliopause",POWER(Upgrades!$U$8,G283),1)*IF(Upgrades!$T$9="Heliopause",POWER(Upgrades!$U$9,H283),1)*IF(Upgrades!$T$10="Heliopause",POWER(Upgrades!$U$10,I283),1)*IF(Upgrades!$T$12="Heliopause",POWER(Upgrades!$U$12,K283),1))+(IF(K283=0,0,(Upgrades!$M$12+K283*Upgrades!$N$12)*POWER(Upgrades!$O$12,K283)))*(IF(Upgrades!$T$6="First Photons",POWER(Upgrades!$U$6,E283),1)*IF(Upgrades!$T$7="First Photons",POWER(Upgrades!$U$7,F283),1)*IF(Upgrades!$T$8="First Photons",POWER(Upgrades!$U$8,G283),1)*IF(Upgrades!$T$9="First Photons",POWER(Upgrades!$U$9,H283),1)*IF(Upgrades!$T$10="First Photons",POWER(Upgrades!$U$10,I283),1)*IF(Upgrades!$T$11="First Photons",POWER(Upgrades!$U$11,J283),1)))*POWER(Upgrades!$R$6,E283)*POWER(Upgrades!$R$7,F283)*POWER(Upgrades!$R$8,G283)*POWER(Upgrades!$R$9,H283)*POWER(Upgrades!$R$10,I283)*POWER(Upgrades!$R$11,J283)*POWER(Upgrades!$R$12,K283)</f>
        <v/>
      </c>
      <c r="P283" s="27">
        <f>IF(L283=1,0,M283*Parameters!$B$10/60*Parameters!$B$11*10)</f>
        <v/>
      </c>
      <c r="Q283" s="27">
        <f>IF(L283=1,0,O283*M283*10)</f>
        <v/>
      </c>
      <c r="R283" s="27">
        <f>IF(L283=1,0,N283*10)</f>
        <v/>
      </c>
      <c r="S283" s="27">
        <f>P283+Q283+R283</f>
        <v/>
      </c>
      <c r="T283" s="22">
        <f>C283+S283</f>
        <v/>
      </c>
      <c r="U283" s="33">
        <f>AX283</f>
        <v/>
      </c>
      <c r="V283" s="22">
        <f>IF(U283="",0,IF(U283="transition",0,IF(U283="SW",AG283,IF(U283="AB",AH283,IF(U283="SC",AI283,IF(U283="Mag",AJ283,IF(U283="OR",AK283,IF(U283="HP",AL283,IF(U283="FP",AM283,0)))))))))</f>
        <v/>
      </c>
      <c r="W283" s="27">
        <f>IF(U283="OR",Upgrades!$F$10,IF(U283="HP",Upgrades!$F$11,IF(U283="transition",-Parameters!$B$18,0)))</f>
        <v/>
      </c>
      <c r="X283" s="22">
        <f>T283-V283</f>
        <v/>
      </c>
      <c r="Y283" s="30">
        <f>M283*Parameters!$B$10/60*Parameters!$B$11+O283*M283+N283</f>
        <v/>
      </c>
      <c r="Z283" s="34">
        <f>IF(U283="transition","→ Tier 2 (Stellar Neighborhood)",IF(U283="FP","First Photons — light begins, system quickens",IF(U283="HP","Heliopause acquired",IF(U283="OR","Orbital Resonance — passive multiplier active",IF(AND(AO283=1,L283=0,AN283&lt;&gt;1),"Cohesion ready (waiting on completionist upgrades)","")))))</f>
        <v/>
      </c>
      <c r="AA283" s="27">
        <f>(IF(E283=0,0,(Upgrades!$G$6+E283*Upgrades!$H$6)*POWER(Upgrades!$I$6,E283)))*(IF(Upgrades!$T$7="Solar Wind",POWER(Upgrades!$U$7,F283),1)*IF(Upgrades!$T$8="Solar Wind",POWER(Upgrades!$U$8,G283),1)*IF(Upgrades!$T$9="Solar Wind",POWER(Upgrades!$U$9,H283),1)*IF(Upgrades!$T$10="Solar Wind",POWER(Upgrades!$U$10,I283),1)*IF(Upgrades!$T$11="Solar Wind",POWER(Upgrades!$U$11,J283),1)*IF(Upgrades!$T$12="Solar Wind",POWER(Upgrades!$U$12,K283),1))*POWER(Upgrades!$P$6,E283)*POWER(Upgrades!$P$7,F283)*POWER(Upgrades!$P$8,G283)*POWER(Upgrades!$P$9,H283)*POWER(Upgrades!$P$10,I283)*POWER(Upgrades!$P$11,J283)*POWER(Upgrades!$P$12,K283)*60</f>
        <v/>
      </c>
      <c r="AB283" s="27">
        <f>(IF(F283=0,0,(Upgrades!$G$7+F283*Upgrades!$H$7)*POWER(Upgrades!$I$7,F283)))*(IF(Upgrades!$T$6="Asteroid Belt",POWER(Upgrades!$U$6,E283),1)*IF(Upgrades!$T$8="Asteroid Belt",POWER(Upgrades!$U$8,G283),1)*IF(Upgrades!$T$9="Asteroid Belt",POWER(Upgrades!$U$9,H283),1)*IF(Upgrades!$T$10="Asteroid Belt",POWER(Upgrades!$U$10,I283),1)*IF(Upgrades!$T$11="Asteroid Belt",POWER(Upgrades!$U$11,J283),1)*IF(Upgrades!$T$12="Asteroid Belt",POWER(Upgrades!$U$12,K283),1))*POWER(Upgrades!$P$6,E283)*POWER(Upgrades!$P$7,F283)*POWER(Upgrades!$P$8,G283)*POWER(Upgrades!$P$9,H283)*POWER(Upgrades!$P$10,I283)*POWER(Upgrades!$P$11,J283)*POWER(Upgrades!$P$12,K283)*60</f>
        <v/>
      </c>
      <c r="AC283" s="27">
        <f>(IF(G283=0,0,(Upgrades!$J$8+G283*Upgrades!$K$8)*POWER(Upgrades!$L$8,G283)))*(IF(Upgrades!$T$6="Stellar Coupling",POWER(Upgrades!$U$6,E283),1)*IF(Upgrades!$T$7="Stellar Coupling",POWER(Upgrades!$U$7,F283),1)*IF(Upgrades!$T$9="Stellar Coupling",POWER(Upgrades!$U$9,H283),1)*IF(Upgrades!$T$10="Stellar Coupling",POWER(Upgrades!$U$10,I283),1)*IF(Upgrades!$T$11="Stellar Coupling",POWER(Upgrades!$U$11,J283),1)*IF(Upgrades!$T$12="Stellar Coupling",POWER(Upgrades!$U$12,K283),1))*POWER(Upgrades!$Q$6,E283)*POWER(Upgrades!$Q$7,F283)*POWER(Upgrades!$Q$8,G283)*POWER(Upgrades!$Q$9,H283)*POWER(Upgrades!$Q$10,I283)*POWER(Upgrades!$Q$11,J283)*POWER(Upgrades!$Q$12,K283)*Parameters!$B$10*Parameters!$B$11</f>
        <v/>
      </c>
      <c r="AD283" s="27">
        <f>(IF(H283=0,0,(Upgrades!$G$9+H283*Upgrades!$H$9)*POWER(Upgrades!$I$9,H283)))*(IF(Upgrades!$T$6="Magnetosphere",POWER(Upgrades!$U$6,E283),1)*IF(Upgrades!$T$7="Magnetosphere",POWER(Upgrades!$U$7,F283),1)*IF(Upgrades!$T$8="Magnetosphere",POWER(Upgrades!$U$8,G283),1)*IF(Upgrades!$T$10="Magnetosphere",POWER(Upgrades!$U$10,I283),1)*IF(Upgrades!$T$11="Magnetosphere",POWER(Upgrades!$U$11,J283),1)*IF(Upgrades!$T$12="Magnetosphere",POWER(Upgrades!$U$12,K283),1))*POWER(Upgrades!$P$6,E283)*POWER(Upgrades!$P$7,F283)*POWER(Upgrades!$P$8,G283)*POWER(Upgrades!$P$9,H283)*POWER(Upgrades!$P$10,I283)*POWER(Upgrades!$P$11,J283)*POWER(Upgrades!$P$12,K283)*60</f>
        <v/>
      </c>
      <c r="AE283" s="27">
        <f>(IF(K283=0,0,(Upgrades!$G$12+K283*Upgrades!$H$12)*POWER(Upgrades!$I$12,K283)))*(IF(Upgrades!$T$6="First Photons",POWER(Upgrades!$U$6,E283),1)*IF(Upgrades!$T$7="First Photons",POWER(Upgrades!$U$7,F283),1)*IF(Upgrades!$T$8="First Photons",POWER(Upgrades!$U$8,G283),1)*IF(Upgrades!$T$9="First Photons",POWER(Upgrades!$U$9,H283),1)*IF(Upgrades!$T$10="First Photons",POWER(Upgrades!$U$10,I283),1)*IF(Upgrades!$T$11="First Photons",POWER(Upgrades!$U$11,J283),1))*POWER(Upgrades!$P$6,E283)*POWER(Upgrades!$P$7,F283)*POWER(Upgrades!$P$8,G283)*POWER(Upgrades!$P$9,H283)*POWER(Upgrades!$P$10,I283)*POWER(Upgrades!$P$11,J283)*POWER(Upgrades!$P$12,K283)*60</f>
        <v/>
      </c>
      <c r="AF283" s="27">
        <f>Parameters!$B$9*POWER(Upgrades!$Q$6,E283)*POWER(Upgrades!$Q$7,F283)*POWER(Upgrades!$Q$8,G283)*POWER(Upgrades!$Q$9,H283)*POWER(Upgrades!$Q$10,I283)*POWER(Upgrades!$Q$11,J283)*POWER(Upgrades!$Q$12,K283)*(Parameters!$B$10*Parameters!$B$11+O283*60)</f>
        <v/>
      </c>
      <c r="AG283" s="22">
        <f>IF(E283&gt;=Upgrades!$E$6,"",Upgrades!$C$6*POWER(Upgrades!$D$6,E283))</f>
        <v/>
      </c>
      <c r="AH283" s="22">
        <f>IF(F283&gt;=Upgrades!$E$7,"",Upgrades!$C$7*POWER(Upgrades!$D$7,F283))</f>
        <v/>
      </c>
      <c r="AI283" s="22">
        <f>IF(G283&gt;=Upgrades!$E$8,"",Upgrades!$C$8*POWER(Upgrades!$D$8,G283))</f>
        <v/>
      </c>
      <c r="AJ283" s="22">
        <f>IF(H283&gt;=Upgrades!$E$9,"",Upgrades!$C$9*POWER(Upgrades!$D$9,H283))</f>
        <v/>
      </c>
      <c r="AK283" s="22">
        <f>IF(I283&gt;=Upgrades!$E$10,"",Upgrades!$C$10*POWER(Upgrades!$D$10,I283))</f>
        <v/>
      </c>
      <c r="AL283" s="22">
        <f>IF(J283&gt;=Upgrades!$E$11,"",Upgrades!$C$11*POWER(Upgrades!$D$11,J283))</f>
        <v/>
      </c>
      <c r="AM283" s="22">
        <f>IF(K283&gt;=Upgrades!$E$12,"",Upgrades!$C$12*POWER(Upgrades!$D$12,K283))</f>
        <v/>
      </c>
      <c r="AN283" s="26">
        <f>IF(AND(D283&gt;=Parameters!$B$18,(H283&gt;=Upgrades!$E$9)*(K283&gt;=Upgrades!$E$12)=1,L283=0),1,"")</f>
        <v/>
      </c>
      <c r="AO283" s="26">
        <f>IF(AND(D283&gt;=Parameters!$B$18,L283=0),1,"")</f>
        <v/>
      </c>
      <c r="AP283" s="22">
        <f>MIN(IF(ISNUMBER(AK283),AK283,9E15),IF(ISNUMBER(AL283),AL283,9E15),IF(ISNUMBER(AM283),AM283,9E15))</f>
        <v/>
      </c>
      <c r="AQ283" s="22">
        <f>MIN(IF(ISNUMBER(AG283),AG283,9E15),IF(ISNUMBER(AH283),AH283,9E15),IF(ISNUMBER(AI283),AI283,9E15),IF(ISNUMBER(AJ283),AJ283,9E15))</f>
        <v/>
      </c>
      <c r="AR283" s="29">
        <f>IF(AW283&gt;Parameters!$B$21*(MAX(IF(AND(NOT(AND(AO283=1,AN283&lt;&gt;1)),ISNUMBER(AG283),AG283&lt;=T283),AS283,0),IF(AND(NOT(AND(AO283=1,AN283&lt;&gt;1)),ISNUMBER(AH283),AH283&lt;=T283),AT283,0),IF(AND(NOT(AND(AO283=1,AN283&lt;&gt;1)),ISNUMBER(AI283),AI283&lt;=T283),AU283,0),IF(AND(ISNUMBER(AJ283),AJ283&lt;=T283),AV283,0))),TRUE,FALSE)</f>
        <v/>
      </c>
      <c r="AS283" s="32">
        <f>IFERROR(Upgrades!$H$6*(POWER(Upgrades!$P$6,E283)*POWER(Upgrades!$P$7,F283)*POWER(Upgrades!$P$8,G283)*POWER(Upgrades!$P$9,H283)*POWER(Upgrades!$P$10,I283)*POWER(Upgrades!$P$11,J283)*POWER(Upgrades!$P$12,K283))*(IF(Upgrades!$T$7="Solar Wind",POWER(Upgrades!$U$7,F283),1)*IF(Upgrades!$T$8="Solar Wind",POWER(Upgrades!$U$8,G283),1)*IF(Upgrades!$T$9="Solar Wind",POWER(Upgrades!$U$9,H283),1)*IF(Upgrades!$T$10="Solar Wind",POWER(Upgrades!$U$10,I283),1)*IF(Upgrades!$T$11="Solar Wind",POWER(Upgrades!$U$11,J283),1)*IF(Upgrades!$T$12="Solar Wind",POWER(Upgrades!$U$12,K283),1))/AG283,0)</f>
        <v/>
      </c>
      <c r="AT283" s="32">
        <f>IFERROR(Upgrades!$H$7*(POWER(Upgrades!$P$6,E283)*POWER(Upgrades!$P$7,F283)*POWER(Upgrades!$P$8,G283)*POWER(Upgrades!$P$9,H283)*POWER(Upgrades!$P$10,I283)*POWER(Upgrades!$P$11,J283)*POWER(Upgrades!$P$12,K283))*(IF(Upgrades!$T$6="Asteroid Belt",POWER(Upgrades!$U$6,E283),1)*IF(Upgrades!$T$8="Asteroid Belt",POWER(Upgrades!$U$8,G283),1)*IF(Upgrades!$T$9="Asteroid Belt",POWER(Upgrades!$U$9,H283),1)*IF(Upgrades!$T$10="Asteroid Belt",POWER(Upgrades!$U$10,I283),1)*IF(Upgrades!$T$11="Asteroid Belt",POWER(Upgrades!$U$11,J283),1)*IF(Upgrades!$T$12="Asteroid Belt",POWER(Upgrades!$U$12,K283),1))/AH283,0)</f>
        <v/>
      </c>
      <c r="AU283" s="32">
        <f>IFERROR(Upgrades!$K$8*(POWER(Upgrades!$Q$6,E283)*POWER(Upgrades!$Q$7,F283)*POWER(Upgrades!$Q$8,G283)*POWER(Upgrades!$Q$9,H283)*POWER(Upgrades!$Q$10,I283)*POWER(Upgrades!$Q$11,J283)*POWER(Upgrades!$Q$12,K283))*(IF(Upgrades!$T$6="Stellar Coupling",POWER(Upgrades!$U$6,E283),1)*IF(Upgrades!$T$7="Stellar Coupling",POWER(Upgrades!$U$7,F283),1)*IF(Upgrades!$T$9="Stellar Coupling",POWER(Upgrades!$U$9,H283),1)*IF(Upgrades!$T$10="Stellar Coupling",POWER(Upgrades!$U$10,I283),1)*IF(Upgrades!$T$11="Stellar Coupling",POWER(Upgrades!$U$11,J283),1)*IF(Upgrades!$T$12="Stellar Coupling",POWER(Upgrades!$U$12,K283),1))*Parameters!$B$10*Parameters!$B$11/60/AI283,0)</f>
        <v/>
      </c>
      <c r="AV283" s="32">
        <f>IFERROR(Upgrades!$H$9*(POWER(Upgrades!$P$6,E283)*POWER(Upgrades!$P$7,F283)*POWER(Upgrades!$P$8,G283)*POWER(Upgrades!$P$9,H283)*POWER(Upgrades!$P$10,I283)*POWER(Upgrades!$P$11,J283)*POWER(Upgrades!$P$12,K283))*(IF(Upgrades!$T$6="Magnetosphere",POWER(Upgrades!$U$6,E283),1)*IF(Upgrades!$T$7="Magnetosphere",POWER(Upgrades!$U$7,F283),1)*IF(Upgrades!$T$8="Magnetosphere",POWER(Upgrades!$U$8,G283),1)*IF(Upgrades!$T$10="Magnetosphere",POWER(Upgrades!$U$10,I283),1)*IF(Upgrades!$T$11="Magnetosphere",POWER(Upgrades!$U$11,J283),1)*IF(Upgrades!$T$12="Magnetosphere",POWER(Upgrades!$U$12,K283),1))/AJ283,0)</f>
        <v/>
      </c>
      <c r="AW283" s="32">
        <f>MAX(IF(I283&gt;0,0,IFERROR(0.25*N283/Upgrades!$C$10,0)),IF(J283&gt;0,0,IFERROR(0.5*((IF(G283=0,0,(Upgrades!$J$8+G283*Upgrades!$K$8)*POWER(Upgrades!$L$8,G283)))*(IF(Upgrades!$T$6="Stellar Coupling",POWER(Upgrades!$U$6,E283),1)*IF(Upgrades!$T$7="Stellar Coupling",POWER(Upgrades!$U$7,F283),1)*IF(Upgrades!$T$9="Stellar Coupling",POWER(Upgrades!$U$9,H283),1)*IF(Upgrades!$T$10="Stellar Coupling",POWER(Upgrades!$U$10,I283),1)*IF(Upgrades!$T$11="Stellar Coupling",POWER(Upgrades!$U$11,J283),1)*IF(Upgrades!$T$12="Stellar Coupling",POWER(Upgrades!$U$12,K283),1))*(POWER(Upgrades!$Q$6,E283)*POWER(Upgrades!$Q$7,F283)*POWER(Upgrades!$Q$8,G283)*POWER(Upgrades!$Q$9,H283)*POWER(Upgrades!$Q$10,I283)*POWER(Upgrades!$Q$11,J283)*POWER(Upgrades!$Q$12,K283))*Parameters!$B$10*Parameters!$B$11/60)/Upgrades!$C$11,0)),IF(K283&gt;0,0,IFERROR((1.0*(POWER(Upgrades!$P$6,E283)*POWER(Upgrades!$P$7,F283)*POWER(Upgrades!$P$8,G283)*POWER(Upgrades!$P$9,H283)*POWER(Upgrades!$P$10,I283)*POWER(Upgrades!$P$11,J283)*POWER(Upgrades!$P$12,K283))+0.20*M283*Parameters!$B$10*Parameters!$B$11/60)/Upgrades!$C$12,0)),IF(AND(ISNUMBER(AG283),AG283&gt;T283),AS283,0),IF(AND(ISNUMBER(AH283),AH283&gt;T283),AT283,0),IF(AND(ISNUMBER(AI283),AI283&gt;T283),AU283,0),IF(AND(ISNUMBER(AJ283),AJ283&gt;T283),AV283,0))</f>
        <v/>
      </c>
      <c r="AX283" s="29">
        <f>IF(AN283=1,"transition",IF(MIN(IF(AND(I283=0,ISNUMBER(AK283),AK283&lt;=T283),AK283,9E15),IF(AND(J283=0,ISNUMBER(AL283),AL283&lt;=T283),AL283,9E15),IF(AND(K283=0,ISNUMBER(AM283),AM283&lt;=T283),AM283,9E15))&lt;9E15,IF(AND(AND(I283=0,ISNUMBER(AK283),AK283&lt;=T283),AK283=MIN(IF(AND(I283=0,ISNUMBER(AK283),AK283&lt;=T283),AK283,9E15),IF(AND(J283=0,ISNUMBER(AL283),AL283&lt;=T283),AL283,9E15),IF(AND(K283=0,ISNUMBER(AM283),AM283&lt;=T283),AM283,9E15))),"OR",IF(AND(AND(J283=0,ISNUMBER(AL283),AL283&lt;=T283),AL283=MIN(IF(AND(I283=0,ISNUMBER(AK283),AK283&lt;=T283),AK283,9E15),IF(AND(J283=0,ISNUMBER(AL283),AL283&lt;=T283),AL283,9E15),IF(AND(K283=0,ISNUMBER(AM283),AM283&lt;=T283),AM283,9E15))),"HP","FP")),IF(AR283=TRUE,"",IF(MAX(IF(AND(NOT(AND(AO283=1,AN283&lt;&gt;1)),ISNUMBER(AG283),AG283&lt;=T283),AS283,0),IF(AND(NOT(AND(AO283=1,AN283&lt;&gt;1)),ISNUMBER(AH283),AH283&lt;=T283),AT283,0),IF(AND(NOT(AND(AO283=1,AN283&lt;&gt;1)),ISNUMBER(AI283),AI283&lt;=T283),AU283,0),IF(AND(ISNUMBER(AJ283),AJ283&lt;=T283),AV283,0))&lt;=0,"",IF(AND(IF(AND(NOT(AND(AO283=1,AN283&lt;&gt;1)),ISNUMBER(AG283),AG283&lt;=T283),AS283,0)&gt;0,IF(AND(NOT(AND(AO283=1,AN283&lt;&gt;1)),ISNUMBER(AG283),AG283&lt;=T283),AS283,0)=MAX(IF(AND(NOT(AND(AO283=1,AN283&lt;&gt;1)),ISNUMBER(AG283),AG283&lt;=T283),AS283,0),IF(AND(NOT(AND(AO283=1,AN283&lt;&gt;1)),ISNUMBER(AH283),AH283&lt;=T283),AT283,0),IF(AND(NOT(AND(AO283=1,AN283&lt;&gt;1)),ISNUMBER(AI283),AI283&lt;=T283),AU283,0),IF(AND(ISNUMBER(AJ283),AJ283&lt;=T283),AV283,0))),"SW",IF(AND(IF(AND(NOT(AND(AO283=1,AN283&lt;&gt;1)),ISNUMBER(AH283),AH283&lt;=T283),AT283,0)&gt;0,IF(AND(NOT(AND(AO283=1,AN283&lt;&gt;1)),ISNUMBER(AH283),AH283&lt;=T283),AT283,0)=MAX(IF(AND(NOT(AND(AO283=1,AN283&lt;&gt;1)),ISNUMBER(AG283),AG283&lt;=T283),AS283,0),IF(AND(NOT(AND(AO283=1,AN283&lt;&gt;1)),ISNUMBER(AH283),AH283&lt;=T283),AT283,0),IF(AND(NOT(AND(AO283=1,AN283&lt;&gt;1)),ISNUMBER(AI283),AI283&lt;=T283),AU283,0),IF(AND(ISNUMBER(AJ283),AJ283&lt;=T283),AV283,0))),"AB",IF(AND(IF(AND(NOT(AND(AO283=1,AN283&lt;&gt;1)),ISNUMBER(AI283),AI283&lt;=T283),AU283,0)&gt;0,IF(AND(NOT(AND(AO283=1,AN283&lt;&gt;1)),ISNUMBER(AI283),AI283&lt;=T283),AU283,0)=MAX(IF(AND(NOT(AND(AO283=1,AN283&lt;&gt;1)),ISNUMBER(AG283),AG283&lt;=T283),AS283,0),IF(AND(NOT(AND(AO283=1,AN283&lt;&gt;1)),ISNUMBER(AH283),AH283&lt;=T283),AT283,0),IF(AND(NOT(AND(AO283=1,AN283&lt;&gt;1)),ISNUMBER(AI283),AI283&lt;=T283),AU283,0),IF(AND(ISNUMBER(AJ283),AJ283&lt;=T283),AV283,0))),"SC","Mag")))))))</f>
        <v/>
      </c>
    </row>
    <row r="284">
      <c r="A284" s="26" t="n">
        <v>279</v>
      </c>
      <c r="B284" s="27">
        <f>A284*10/60</f>
        <v/>
      </c>
      <c r="C284" s="22">
        <f>X283</f>
        <v/>
      </c>
      <c r="D284" s="27">
        <f>D283+W283</f>
        <v/>
      </c>
      <c r="E284" s="26">
        <f>E283+IF(U283="SW",1,0)</f>
        <v/>
      </c>
      <c r="F284" s="26">
        <f>F283+IF(U283="AB",1,0)</f>
        <v/>
      </c>
      <c r="G284" s="26">
        <f>G283+IF(U283="SC",1,0)</f>
        <v/>
      </c>
      <c r="H284" s="26">
        <f>H283+IF(U283="Mag",1,0)</f>
        <v/>
      </c>
      <c r="I284" s="26">
        <f>MAX(I283,IF(U283="OR",1,0))</f>
        <v/>
      </c>
      <c r="J284" s="26">
        <f>MAX(J283,IF(U283="HP",1,0))</f>
        <v/>
      </c>
      <c r="K284" s="26">
        <f>MAX(K283,IF(U283="FP",1,0))</f>
        <v/>
      </c>
      <c r="L284" s="26">
        <f>MAX(L283,IF(U283="transition",1,0))</f>
        <v/>
      </c>
      <c r="M284" s="28">
        <f>(Parameters!$B$9+(IF(E284=0,0,(Upgrades!$J$6+E284*Upgrades!$K$6)*POWER(Upgrades!$L$6,E284)))*(IF(Upgrades!$T$7="Solar Wind",POWER(Upgrades!$U$7,F284),1)*IF(Upgrades!$T$8="Solar Wind",POWER(Upgrades!$U$8,G284),1)*IF(Upgrades!$T$9="Solar Wind",POWER(Upgrades!$U$9,H284),1)*IF(Upgrades!$T$10="Solar Wind",POWER(Upgrades!$U$10,I284),1)*IF(Upgrades!$T$11="Solar Wind",POWER(Upgrades!$U$11,J284),1)*IF(Upgrades!$T$12="Solar Wind",POWER(Upgrades!$U$12,K284),1))+(IF(F284=0,0,(Upgrades!$J$7+F284*Upgrades!$K$7)*POWER(Upgrades!$L$7,F284)))*(IF(Upgrades!$T$6="Asteroid Belt",POWER(Upgrades!$U$6,E284),1)*IF(Upgrades!$T$8="Asteroid Belt",POWER(Upgrades!$U$8,G284),1)*IF(Upgrades!$T$9="Asteroid Belt",POWER(Upgrades!$U$9,H284),1)*IF(Upgrades!$T$10="Asteroid Belt",POWER(Upgrades!$U$10,I284),1)*IF(Upgrades!$T$11="Asteroid Belt",POWER(Upgrades!$U$11,J284),1)*IF(Upgrades!$T$12="Asteroid Belt",POWER(Upgrades!$U$12,K284),1))+(IF(G284=0,0,(Upgrades!$J$8+G284*Upgrades!$K$8)*POWER(Upgrades!$L$8,G284)))*(IF(Upgrades!$T$6="Stellar Coupling",POWER(Upgrades!$U$6,E284),1)*IF(Upgrades!$T$7="Stellar Coupling",POWER(Upgrades!$U$7,F284),1)*IF(Upgrades!$T$9="Stellar Coupling",POWER(Upgrades!$U$9,H284),1)*IF(Upgrades!$T$10="Stellar Coupling",POWER(Upgrades!$U$10,I284),1)*IF(Upgrades!$T$11="Stellar Coupling",POWER(Upgrades!$U$11,J284),1)*IF(Upgrades!$T$12="Stellar Coupling",POWER(Upgrades!$U$12,K284),1))+(IF(H284=0,0,(Upgrades!$J$9+H284*Upgrades!$K$9)*POWER(Upgrades!$L$9,H284)))*(IF(Upgrades!$T$6="Magnetosphere",POWER(Upgrades!$U$6,E284),1)*IF(Upgrades!$T$7="Magnetosphere",POWER(Upgrades!$U$7,F284),1)*IF(Upgrades!$T$8="Magnetosphere",POWER(Upgrades!$U$8,G284),1)*IF(Upgrades!$T$10="Magnetosphere",POWER(Upgrades!$U$10,I284),1)*IF(Upgrades!$T$11="Magnetosphere",POWER(Upgrades!$U$11,J284),1)*IF(Upgrades!$T$12="Magnetosphere",POWER(Upgrades!$U$12,K284),1))+(IF(I284=0,0,(Upgrades!$J$10+I284*Upgrades!$K$10)*POWER(Upgrades!$L$10,I284)))*(IF(Upgrades!$T$6="Orbital Resonance",POWER(Upgrades!$U$6,E284),1)*IF(Upgrades!$T$7="Orbital Resonance",POWER(Upgrades!$U$7,F284),1)*IF(Upgrades!$T$8="Orbital Resonance",POWER(Upgrades!$U$8,G284),1)*IF(Upgrades!$T$9="Orbital Resonance",POWER(Upgrades!$U$9,H284),1)*IF(Upgrades!$T$11="Orbital Resonance",POWER(Upgrades!$U$11,J284),1)*IF(Upgrades!$T$12="Orbital Resonance",POWER(Upgrades!$U$12,K284),1))+(IF(J284=0,0,(Upgrades!$J$11+J284*Upgrades!$K$11)*POWER(Upgrades!$L$11,J284)))*(IF(Upgrades!$T$6="Heliopause",POWER(Upgrades!$U$6,E284),1)*IF(Upgrades!$T$7="Heliopause",POWER(Upgrades!$U$7,F284),1)*IF(Upgrades!$T$8="Heliopause",POWER(Upgrades!$U$8,G284),1)*IF(Upgrades!$T$9="Heliopause",POWER(Upgrades!$U$9,H284),1)*IF(Upgrades!$T$10="Heliopause",POWER(Upgrades!$U$10,I284),1)*IF(Upgrades!$T$12="Heliopause",POWER(Upgrades!$U$12,K284),1))+(IF(K284=0,0,(Upgrades!$J$12+K284*Upgrades!$K$12)*POWER(Upgrades!$L$12,K284)))*(IF(Upgrades!$T$6="First Photons",POWER(Upgrades!$U$6,E284),1)*IF(Upgrades!$T$7="First Photons",POWER(Upgrades!$U$7,F284),1)*IF(Upgrades!$T$8="First Photons",POWER(Upgrades!$U$8,G284),1)*IF(Upgrades!$T$9="First Photons",POWER(Upgrades!$U$9,H284),1)*IF(Upgrades!$T$10="First Photons",POWER(Upgrades!$U$10,I284),1)*IF(Upgrades!$T$11="First Photons",POWER(Upgrades!$U$11,J284),1)))*POWER(Upgrades!$Q$6,E284)*POWER(Upgrades!$Q$7,F284)*POWER(Upgrades!$Q$8,G284)*POWER(Upgrades!$Q$9,H284)*POWER(Upgrades!$Q$10,I284)*POWER(Upgrades!$Q$11,J284)*POWER(Upgrades!$Q$12,K284)</f>
        <v/>
      </c>
      <c r="N284" s="28">
        <f>((IF(E284=0,0,(Upgrades!$G$6+E284*Upgrades!$H$6)*POWER(Upgrades!$I$6,E284)))*(IF(Upgrades!$T$7="Solar Wind",POWER(Upgrades!$U$7,F284),1)*IF(Upgrades!$T$8="Solar Wind",POWER(Upgrades!$U$8,G284),1)*IF(Upgrades!$T$9="Solar Wind",POWER(Upgrades!$U$9,H284),1)*IF(Upgrades!$T$10="Solar Wind",POWER(Upgrades!$U$10,I284),1)*IF(Upgrades!$T$11="Solar Wind",POWER(Upgrades!$U$11,J284),1)*IF(Upgrades!$T$12="Solar Wind",POWER(Upgrades!$U$12,K284),1))+(IF(F284=0,0,(Upgrades!$G$7+F284*Upgrades!$H$7)*POWER(Upgrades!$I$7,F284)))*(IF(Upgrades!$T$6="Asteroid Belt",POWER(Upgrades!$U$6,E284),1)*IF(Upgrades!$T$8="Asteroid Belt",POWER(Upgrades!$U$8,G284),1)*IF(Upgrades!$T$9="Asteroid Belt",POWER(Upgrades!$U$9,H284),1)*IF(Upgrades!$T$10="Asteroid Belt",POWER(Upgrades!$U$10,I284),1)*IF(Upgrades!$T$11="Asteroid Belt",POWER(Upgrades!$U$11,J284),1)*IF(Upgrades!$T$12="Asteroid Belt",POWER(Upgrades!$U$12,K284),1))+(IF(G284=0,0,(Upgrades!$G$8+G284*Upgrades!$H$8)*POWER(Upgrades!$I$8,G284)))*(IF(Upgrades!$T$6="Stellar Coupling",POWER(Upgrades!$U$6,E284),1)*IF(Upgrades!$T$7="Stellar Coupling",POWER(Upgrades!$U$7,F284),1)*IF(Upgrades!$T$9="Stellar Coupling",POWER(Upgrades!$U$9,H284),1)*IF(Upgrades!$T$10="Stellar Coupling",POWER(Upgrades!$U$10,I284),1)*IF(Upgrades!$T$11="Stellar Coupling",POWER(Upgrades!$U$11,J284),1)*IF(Upgrades!$T$12="Stellar Coupling",POWER(Upgrades!$U$12,K284),1))+(IF(H284=0,0,(Upgrades!$G$9+H284*Upgrades!$H$9)*POWER(Upgrades!$I$9,H284)))*(IF(Upgrades!$T$6="Magnetosphere",POWER(Upgrades!$U$6,E284),1)*IF(Upgrades!$T$7="Magnetosphere",POWER(Upgrades!$U$7,F284),1)*IF(Upgrades!$T$8="Magnetosphere",POWER(Upgrades!$U$8,G284),1)*IF(Upgrades!$T$10="Magnetosphere",POWER(Upgrades!$U$10,I284),1)*IF(Upgrades!$T$11="Magnetosphere",POWER(Upgrades!$U$11,J284),1)*IF(Upgrades!$T$12="Magnetosphere",POWER(Upgrades!$U$12,K284),1))+(IF(I284=0,0,(Upgrades!$G$10+I284*Upgrades!$H$10)*POWER(Upgrades!$I$10,I284)))*(IF(Upgrades!$T$6="Orbital Resonance",POWER(Upgrades!$U$6,E284),1)*IF(Upgrades!$T$7="Orbital Resonance",POWER(Upgrades!$U$7,F284),1)*IF(Upgrades!$T$8="Orbital Resonance",POWER(Upgrades!$U$8,G284),1)*IF(Upgrades!$T$9="Orbital Resonance",POWER(Upgrades!$U$9,H284),1)*IF(Upgrades!$T$11="Orbital Resonance",POWER(Upgrades!$U$11,J284),1)*IF(Upgrades!$T$12="Orbital Resonance",POWER(Upgrades!$U$12,K284),1))+(IF(J284=0,0,(Upgrades!$G$11+J284*Upgrades!$H$11)*POWER(Upgrades!$I$11,J284)))*(IF(Upgrades!$T$6="Heliopause",POWER(Upgrades!$U$6,E284),1)*IF(Upgrades!$T$7="Heliopause",POWER(Upgrades!$U$7,F284),1)*IF(Upgrades!$T$8="Heliopause",POWER(Upgrades!$U$8,G284),1)*IF(Upgrades!$T$9="Heliopause",POWER(Upgrades!$U$9,H284),1)*IF(Upgrades!$T$10="Heliopause",POWER(Upgrades!$U$10,I284),1)*IF(Upgrades!$T$12="Heliopause",POWER(Upgrades!$U$12,K284),1))+(IF(K284=0,0,(Upgrades!$G$12+K284*Upgrades!$H$12)*POWER(Upgrades!$I$12,K284)))*(IF(Upgrades!$T$6="First Photons",POWER(Upgrades!$U$6,E284),1)*IF(Upgrades!$T$7="First Photons",POWER(Upgrades!$U$7,F284),1)*IF(Upgrades!$T$8="First Photons",POWER(Upgrades!$U$8,G284),1)*IF(Upgrades!$T$9="First Photons",POWER(Upgrades!$U$9,H284),1)*IF(Upgrades!$T$10="First Photons",POWER(Upgrades!$U$10,I284),1)*IF(Upgrades!$T$11="First Photons",POWER(Upgrades!$U$11,J284),1)))*POWER(Upgrades!$P$6,E284)*POWER(Upgrades!$P$7,F284)*POWER(Upgrades!$P$8,G284)*POWER(Upgrades!$P$9,H284)*POWER(Upgrades!$P$10,I284)*POWER(Upgrades!$P$11,J284)*POWER(Upgrades!$P$12,K284)</f>
        <v/>
      </c>
      <c r="O284" s="28">
        <f>((IF(E284=0,0,(Upgrades!$M$6+E284*Upgrades!$N$6)*POWER(Upgrades!$O$6,E284)))*(IF(Upgrades!$T$7="Solar Wind",POWER(Upgrades!$U$7,F284),1)*IF(Upgrades!$T$8="Solar Wind",POWER(Upgrades!$U$8,G284),1)*IF(Upgrades!$T$9="Solar Wind",POWER(Upgrades!$U$9,H284),1)*IF(Upgrades!$T$10="Solar Wind",POWER(Upgrades!$U$10,I284),1)*IF(Upgrades!$T$11="Solar Wind",POWER(Upgrades!$U$11,J284),1)*IF(Upgrades!$T$12="Solar Wind",POWER(Upgrades!$U$12,K284),1))+(IF(F284=0,0,(Upgrades!$M$7+F284*Upgrades!$N$7)*POWER(Upgrades!$O$7,F284)))*(IF(Upgrades!$T$6="Asteroid Belt",POWER(Upgrades!$U$6,E284),1)*IF(Upgrades!$T$8="Asteroid Belt",POWER(Upgrades!$U$8,G284),1)*IF(Upgrades!$T$9="Asteroid Belt",POWER(Upgrades!$U$9,H284),1)*IF(Upgrades!$T$10="Asteroid Belt",POWER(Upgrades!$U$10,I284),1)*IF(Upgrades!$T$11="Asteroid Belt",POWER(Upgrades!$U$11,J284),1)*IF(Upgrades!$T$12="Asteroid Belt",POWER(Upgrades!$U$12,K284),1))+(IF(G284=0,0,(Upgrades!$M$8+G284*Upgrades!$N$8)*POWER(Upgrades!$O$8,G284)))*(IF(Upgrades!$T$6="Stellar Coupling",POWER(Upgrades!$U$6,E284),1)*IF(Upgrades!$T$7="Stellar Coupling",POWER(Upgrades!$U$7,F284),1)*IF(Upgrades!$T$9="Stellar Coupling",POWER(Upgrades!$U$9,H284),1)*IF(Upgrades!$T$10="Stellar Coupling",POWER(Upgrades!$U$10,I284),1)*IF(Upgrades!$T$11="Stellar Coupling",POWER(Upgrades!$U$11,J284),1)*IF(Upgrades!$T$12="Stellar Coupling",POWER(Upgrades!$U$12,K284),1))+(IF(H284=0,0,(Upgrades!$M$9+H284*Upgrades!$N$9)*POWER(Upgrades!$O$9,H284)))*(IF(Upgrades!$T$6="Magnetosphere",POWER(Upgrades!$U$6,E284),1)*IF(Upgrades!$T$7="Magnetosphere",POWER(Upgrades!$U$7,F284),1)*IF(Upgrades!$T$8="Magnetosphere",POWER(Upgrades!$U$8,G284),1)*IF(Upgrades!$T$10="Magnetosphere",POWER(Upgrades!$U$10,I284),1)*IF(Upgrades!$T$11="Magnetosphere",POWER(Upgrades!$U$11,J284),1)*IF(Upgrades!$T$12="Magnetosphere",POWER(Upgrades!$U$12,K284),1))+(IF(I284=0,0,(Upgrades!$M$10+I284*Upgrades!$N$10)*POWER(Upgrades!$O$10,I284)))*(IF(Upgrades!$T$6="Orbital Resonance",POWER(Upgrades!$U$6,E284),1)*IF(Upgrades!$T$7="Orbital Resonance",POWER(Upgrades!$U$7,F284),1)*IF(Upgrades!$T$8="Orbital Resonance",POWER(Upgrades!$U$8,G284),1)*IF(Upgrades!$T$9="Orbital Resonance",POWER(Upgrades!$U$9,H284),1)*IF(Upgrades!$T$11="Orbital Resonance",POWER(Upgrades!$U$11,J284),1)*IF(Upgrades!$T$12="Orbital Resonance",POWER(Upgrades!$U$12,K284),1))+(IF(J284=0,0,(Upgrades!$M$11+J284*Upgrades!$N$11)*POWER(Upgrades!$O$11,J284)))*(IF(Upgrades!$T$6="Heliopause",POWER(Upgrades!$U$6,E284),1)*IF(Upgrades!$T$7="Heliopause",POWER(Upgrades!$U$7,F284),1)*IF(Upgrades!$T$8="Heliopause",POWER(Upgrades!$U$8,G284),1)*IF(Upgrades!$T$9="Heliopause",POWER(Upgrades!$U$9,H284),1)*IF(Upgrades!$T$10="Heliopause",POWER(Upgrades!$U$10,I284),1)*IF(Upgrades!$T$12="Heliopause",POWER(Upgrades!$U$12,K284),1))+(IF(K284=0,0,(Upgrades!$M$12+K284*Upgrades!$N$12)*POWER(Upgrades!$O$12,K284)))*(IF(Upgrades!$T$6="First Photons",POWER(Upgrades!$U$6,E284),1)*IF(Upgrades!$T$7="First Photons",POWER(Upgrades!$U$7,F284),1)*IF(Upgrades!$T$8="First Photons",POWER(Upgrades!$U$8,G284),1)*IF(Upgrades!$T$9="First Photons",POWER(Upgrades!$U$9,H284),1)*IF(Upgrades!$T$10="First Photons",POWER(Upgrades!$U$10,I284),1)*IF(Upgrades!$T$11="First Photons",POWER(Upgrades!$U$11,J284),1)))*POWER(Upgrades!$R$6,E284)*POWER(Upgrades!$R$7,F284)*POWER(Upgrades!$R$8,G284)*POWER(Upgrades!$R$9,H284)*POWER(Upgrades!$R$10,I284)*POWER(Upgrades!$R$11,J284)*POWER(Upgrades!$R$12,K284)</f>
        <v/>
      </c>
      <c r="P284" s="27">
        <f>IF(L284=1,0,M284*Parameters!$B$10/60*Parameters!$B$11*10)</f>
        <v/>
      </c>
      <c r="Q284" s="27">
        <f>IF(L284=1,0,O284*M284*10)</f>
        <v/>
      </c>
      <c r="R284" s="27">
        <f>IF(L284=1,0,N284*10)</f>
        <v/>
      </c>
      <c r="S284" s="27">
        <f>P284+Q284+R284</f>
        <v/>
      </c>
      <c r="T284" s="22">
        <f>C284+S284</f>
        <v/>
      </c>
      <c r="U284" s="33">
        <f>AX284</f>
        <v/>
      </c>
      <c r="V284" s="22">
        <f>IF(U284="",0,IF(U284="transition",0,IF(U284="SW",AG284,IF(U284="AB",AH284,IF(U284="SC",AI284,IF(U284="Mag",AJ284,IF(U284="OR",AK284,IF(U284="HP",AL284,IF(U284="FP",AM284,0)))))))))</f>
        <v/>
      </c>
      <c r="W284" s="27">
        <f>IF(U284="OR",Upgrades!$F$10,IF(U284="HP",Upgrades!$F$11,IF(U284="transition",-Parameters!$B$18,0)))</f>
        <v/>
      </c>
      <c r="X284" s="22">
        <f>T284-V284</f>
        <v/>
      </c>
      <c r="Y284" s="30">
        <f>M284*Parameters!$B$10/60*Parameters!$B$11+O284*M284+N284</f>
        <v/>
      </c>
      <c r="Z284" s="34">
        <f>IF(U284="transition","→ Tier 2 (Stellar Neighborhood)",IF(U284="FP","First Photons — light begins, system quickens",IF(U284="HP","Heliopause acquired",IF(U284="OR","Orbital Resonance — passive multiplier active",IF(AND(AO284=1,L284=0,AN284&lt;&gt;1),"Cohesion ready (waiting on completionist upgrades)","")))))</f>
        <v/>
      </c>
      <c r="AA284" s="27">
        <f>(IF(E284=0,0,(Upgrades!$G$6+E284*Upgrades!$H$6)*POWER(Upgrades!$I$6,E284)))*(IF(Upgrades!$T$7="Solar Wind",POWER(Upgrades!$U$7,F284),1)*IF(Upgrades!$T$8="Solar Wind",POWER(Upgrades!$U$8,G284),1)*IF(Upgrades!$T$9="Solar Wind",POWER(Upgrades!$U$9,H284),1)*IF(Upgrades!$T$10="Solar Wind",POWER(Upgrades!$U$10,I284),1)*IF(Upgrades!$T$11="Solar Wind",POWER(Upgrades!$U$11,J284),1)*IF(Upgrades!$T$12="Solar Wind",POWER(Upgrades!$U$12,K284),1))*POWER(Upgrades!$P$6,E284)*POWER(Upgrades!$P$7,F284)*POWER(Upgrades!$P$8,G284)*POWER(Upgrades!$P$9,H284)*POWER(Upgrades!$P$10,I284)*POWER(Upgrades!$P$11,J284)*POWER(Upgrades!$P$12,K284)*60</f>
        <v/>
      </c>
      <c r="AB284" s="27">
        <f>(IF(F284=0,0,(Upgrades!$G$7+F284*Upgrades!$H$7)*POWER(Upgrades!$I$7,F284)))*(IF(Upgrades!$T$6="Asteroid Belt",POWER(Upgrades!$U$6,E284),1)*IF(Upgrades!$T$8="Asteroid Belt",POWER(Upgrades!$U$8,G284),1)*IF(Upgrades!$T$9="Asteroid Belt",POWER(Upgrades!$U$9,H284),1)*IF(Upgrades!$T$10="Asteroid Belt",POWER(Upgrades!$U$10,I284),1)*IF(Upgrades!$T$11="Asteroid Belt",POWER(Upgrades!$U$11,J284),1)*IF(Upgrades!$T$12="Asteroid Belt",POWER(Upgrades!$U$12,K284),1))*POWER(Upgrades!$P$6,E284)*POWER(Upgrades!$P$7,F284)*POWER(Upgrades!$P$8,G284)*POWER(Upgrades!$P$9,H284)*POWER(Upgrades!$P$10,I284)*POWER(Upgrades!$P$11,J284)*POWER(Upgrades!$P$12,K284)*60</f>
        <v/>
      </c>
      <c r="AC284" s="27">
        <f>(IF(G284=0,0,(Upgrades!$J$8+G284*Upgrades!$K$8)*POWER(Upgrades!$L$8,G284)))*(IF(Upgrades!$T$6="Stellar Coupling",POWER(Upgrades!$U$6,E284),1)*IF(Upgrades!$T$7="Stellar Coupling",POWER(Upgrades!$U$7,F284),1)*IF(Upgrades!$T$9="Stellar Coupling",POWER(Upgrades!$U$9,H284),1)*IF(Upgrades!$T$10="Stellar Coupling",POWER(Upgrades!$U$10,I284),1)*IF(Upgrades!$T$11="Stellar Coupling",POWER(Upgrades!$U$11,J284),1)*IF(Upgrades!$T$12="Stellar Coupling",POWER(Upgrades!$U$12,K284),1))*POWER(Upgrades!$Q$6,E284)*POWER(Upgrades!$Q$7,F284)*POWER(Upgrades!$Q$8,G284)*POWER(Upgrades!$Q$9,H284)*POWER(Upgrades!$Q$10,I284)*POWER(Upgrades!$Q$11,J284)*POWER(Upgrades!$Q$12,K284)*Parameters!$B$10*Parameters!$B$11</f>
        <v/>
      </c>
      <c r="AD284" s="27">
        <f>(IF(H284=0,0,(Upgrades!$G$9+H284*Upgrades!$H$9)*POWER(Upgrades!$I$9,H284)))*(IF(Upgrades!$T$6="Magnetosphere",POWER(Upgrades!$U$6,E284),1)*IF(Upgrades!$T$7="Magnetosphere",POWER(Upgrades!$U$7,F284),1)*IF(Upgrades!$T$8="Magnetosphere",POWER(Upgrades!$U$8,G284),1)*IF(Upgrades!$T$10="Magnetosphere",POWER(Upgrades!$U$10,I284),1)*IF(Upgrades!$T$11="Magnetosphere",POWER(Upgrades!$U$11,J284),1)*IF(Upgrades!$T$12="Magnetosphere",POWER(Upgrades!$U$12,K284),1))*POWER(Upgrades!$P$6,E284)*POWER(Upgrades!$P$7,F284)*POWER(Upgrades!$P$8,G284)*POWER(Upgrades!$P$9,H284)*POWER(Upgrades!$P$10,I284)*POWER(Upgrades!$P$11,J284)*POWER(Upgrades!$P$12,K284)*60</f>
        <v/>
      </c>
      <c r="AE284" s="27">
        <f>(IF(K284=0,0,(Upgrades!$G$12+K284*Upgrades!$H$12)*POWER(Upgrades!$I$12,K284)))*(IF(Upgrades!$T$6="First Photons",POWER(Upgrades!$U$6,E284),1)*IF(Upgrades!$T$7="First Photons",POWER(Upgrades!$U$7,F284),1)*IF(Upgrades!$T$8="First Photons",POWER(Upgrades!$U$8,G284),1)*IF(Upgrades!$T$9="First Photons",POWER(Upgrades!$U$9,H284),1)*IF(Upgrades!$T$10="First Photons",POWER(Upgrades!$U$10,I284),1)*IF(Upgrades!$T$11="First Photons",POWER(Upgrades!$U$11,J284),1))*POWER(Upgrades!$P$6,E284)*POWER(Upgrades!$P$7,F284)*POWER(Upgrades!$P$8,G284)*POWER(Upgrades!$P$9,H284)*POWER(Upgrades!$P$10,I284)*POWER(Upgrades!$P$11,J284)*POWER(Upgrades!$P$12,K284)*60</f>
        <v/>
      </c>
      <c r="AF284" s="27">
        <f>Parameters!$B$9*POWER(Upgrades!$Q$6,E284)*POWER(Upgrades!$Q$7,F284)*POWER(Upgrades!$Q$8,G284)*POWER(Upgrades!$Q$9,H284)*POWER(Upgrades!$Q$10,I284)*POWER(Upgrades!$Q$11,J284)*POWER(Upgrades!$Q$12,K284)*(Parameters!$B$10*Parameters!$B$11+O284*60)</f>
        <v/>
      </c>
      <c r="AG284" s="22">
        <f>IF(E284&gt;=Upgrades!$E$6,"",Upgrades!$C$6*POWER(Upgrades!$D$6,E284))</f>
        <v/>
      </c>
      <c r="AH284" s="22">
        <f>IF(F284&gt;=Upgrades!$E$7,"",Upgrades!$C$7*POWER(Upgrades!$D$7,F284))</f>
        <v/>
      </c>
      <c r="AI284" s="22">
        <f>IF(G284&gt;=Upgrades!$E$8,"",Upgrades!$C$8*POWER(Upgrades!$D$8,G284))</f>
        <v/>
      </c>
      <c r="AJ284" s="22">
        <f>IF(H284&gt;=Upgrades!$E$9,"",Upgrades!$C$9*POWER(Upgrades!$D$9,H284))</f>
        <v/>
      </c>
      <c r="AK284" s="22">
        <f>IF(I284&gt;=Upgrades!$E$10,"",Upgrades!$C$10*POWER(Upgrades!$D$10,I284))</f>
        <v/>
      </c>
      <c r="AL284" s="22">
        <f>IF(J284&gt;=Upgrades!$E$11,"",Upgrades!$C$11*POWER(Upgrades!$D$11,J284))</f>
        <v/>
      </c>
      <c r="AM284" s="22">
        <f>IF(K284&gt;=Upgrades!$E$12,"",Upgrades!$C$12*POWER(Upgrades!$D$12,K284))</f>
        <v/>
      </c>
      <c r="AN284" s="26">
        <f>IF(AND(D284&gt;=Parameters!$B$18,(H284&gt;=Upgrades!$E$9)*(K284&gt;=Upgrades!$E$12)=1,L284=0),1,"")</f>
        <v/>
      </c>
      <c r="AO284" s="26">
        <f>IF(AND(D284&gt;=Parameters!$B$18,L284=0),1,"")</f>
        <v/>
      </c>
      <c r="AP284" s="22">
        <f>MIN(IF(ISNUMBER(AK284),AK284,9E15),IF(ISNUMBER(AL284),AL284,9E15),IF(ISNUMBER(AM284),AM284,9E15))</f>
        <v/>
      </c>
      <c r="AQ284" s="22">
        <f>MIN(IF(ISNUMBER(AG284),AG284,9E15),IF(ISNUMBER(AH284),AH284,9E15),IF(ISNUMBER(AI284),AI284,9E15),IF(ISNUMBER(AJ284),AJ284,9E15))</f>
        <v/>
      </c>
      <c r="AR284" s="29">
        <f>IF(AW284&gt;Parameters!$B$21*(MAX(IF(AND(NOT(AND(AO284=1,AN284&lt;&gt;1)),ISNUMBER(AG284),AG284&lt;=T284),AS284,0),IF(AND(NOT(AND(AO284=1,AN284&lt;&gt;1)),ISNUMBER(AH284),AH284&lt;=T284),AT284,0),IF(AND(NOT(AND(AO284=1,AN284&lt;&gt;1)),ISNUMBER(AI284),AI284&lt;=T284),AU284,0),IF(AND(ISNUMBER(AJ284),AJ284&lt;=T284),AV284,0))),TRUE,FALSE)</f>
        <v/>
      </c>
      <c r="AS284" s="32">
        <f>IFERROR(Upgrades!$H$6*(POWER(Upgrades!$P$6,E284)*POWER(Upgrades!$P$7,F284)*POWER(Upgrades!$P$8,G284)*POWER(Upgrades!$P$9,H284)*POWER(Upgrades!$P$10,I284)*POWER(Upgrades!$P$11,J284)*POWER(Upgrades!$P$12,K284))*(IF(Upgrades!$T$7="Solar Wind",POWER(Upgrades!$U$7,F284),1)*IF(Upgrades!$T$8="Solar Wind",POWER(Upgrades!$U$8,G284),1)*IF(Upgrades!$T$9="Solar Wind",POWER(Upgrades!$U$9,H284),1)*IF(Upgrades!$T$10="Solar Wind",POWER(Upgrades!$U$10,I284),1)*IF(Upgrades!$T$11="Solar Wind",POWER(Upgrades!$U$11,J284),1)*IF(Upgrades!$T$12="Solar Wind",POWER(Upgrades!$U$12,K284),1))/AG284,0)</f>
        <v/>
      </c>
      <c r="AT284" s="32">
        <f>IFERROR(Upgrades!$H$7*(POWER(Upgrades!$P$6,E284)*POWER(Upgrades!$P$7,F284)*POWER(Upgrades!$P$8,G284)*POWER(Upgrades!$P$9,H284)*POWER(Upgrades!$P$10,I284)*POWER(Upgrades!$P$11,J284)*POWER(Upgrades!$P$12,K284))*(IF(Upgrades!$T$6="Asteroid Belt",POWER(Upgrades!$U$6,E284),1)*IF(Upgrades!$T$8="Asteroid Belt",POWER(Upgrades!$U$8,G284),1)*IF(Upgrades!$T$9="Asteroid Belt",POWER(Upgrades!$U$9,H284),1)*IF(Upgrades!$T$10="Asteroid Belt",POWER(Upgrades!$U$10,I284),1)*IF(Upgrades!$T$11="Asteroid Belt",POWER(Upgrades!$U$11,J284),1)*IF(Upgrades!$T$12="Asteroid Belt",POWER(Upgrades!$U$12,K284),1))/AH284,0)</f>
        <v/>
      </c>
      <c r="AU284" s="32">
        <f>IFERROR(Upgrades!$K$8*(POWER(Upgrades!$Q$6,E284)*POWER(Upgrades!$Q$7,F284)*POWER(Upgrades!$Q$8,G284)*POWER(Upgrades!$Q$9,H284)*POWER(Upgrades!$Q$10,I284)*POWER(Upgrades!$Q$11,J284)*POWER(Upgrades!$Q$12,K284))*(IF(Upgrades!$T$6="Stellar Coupling",POWER(Upgrades!$U$6,E284),1)*IF(Upgrades!$T$7="Stellar Coupling",POWER(Upgrades!$U$7,F284),1)*IF(Upgrades!$T$9="Stellar Coupling",POWER(Upgrades!$U$9,H284),1)*IF(Upgrades!$T$10="Stellar Coupling",POWER(Upgrades!$U$10,I284),1)*IF(Upgrades!$T$11="Stellar Coupling",POWER(Upgrades!$U$11,J284),1)*IF(Upgrades!$T$12="Stellar Coupling",POWER(Upgrades!$U$12,K284),1))*Parameters!$B$10*Parameters!$B$11/60/AI284,0)</f>
        <v/>
      </c>
      <c r="AV284" s="32">
        <f>IFERROR(Upgrades!$H$9*(POWER(Upgrades!$P$6,E284)*POWER(Upgrades!$P$7,F284)*POWER(Upgrades!$P$8,G284)*POWER(Upgrades!$P$9,H284)*POWER(Upgrades!$P$10,I284)*POWER(Upgrades!$P$11,J284)*POWER(Upgrades!$P$12,K284))*(IF(Upgrades!$T$6="Magnetosphere",POWER(Upgrades!$U$6,E284),1)*IF(Upgrades!$T$7="Magnetosphere",POWER(Upgrades!$U$7,F284),1)*IF(Upgrades!$T$8="Magnetosphere",POWER(Upgrades!$U$8,G284),1)*IF(Upgrades!$T$10="Magnetosphere",POWER(Upgrades!$U$10,I284),1)*IF(Upgrades!$T$11="Magnetosphere",POWER(Upgrades!$U$11,J284),1)*IF(Upgrades!$T$12="Magnetosphere",POWER(Upgrades!$U$12,K284),1))/AJ284,0)</f>
        <v/>
      </c>
      <c r="AW284" s="32">
        <f>MAX(IF(I284&gt;0,0,IFERROR(0.25*N284/Upgrades!$C$10,0)),IF(J284&gt;0,0,IFERROR(0.5*((IF(G284=0,0,(Upgrades!$J$8+G284*Upgrades!$K$8)*POWER(Upgrades!$L$8,G284)))*(IF(Upgrades!$T$6="Stellar Coupling",POWER(Upgrades!$U$6,E284),1)*IF(Upgrades!$T$7="Stellar Coupling",POWER(Upgrades!$U$7,F284),1)*IF(Upgrades!$T$9="Stellar Coupling",POWER(Upgrades!$U$9,H284),1)*IF(Upgrades!$T$10="Stellar Coupling",POWER(Upgrades!$U$10,I284),1)*IF(Upgrades!$T$11="Stellar Coupling",POWER(Upgrades!$U$11,J284),1)*IF(Upgrades!$T$12="Stellar Coupling",POWER(Upgrades!$U$12,K284),1))*(POWER(Upgrades!$Q$6,E284)*POWER(Upgrades!$Q$7,F284)*POWER(Upgrades!$Q$8,G284)*POWER(Upgrades!$Q$9,H284)*POWER(Upgrades!$Q$10,I284)*POWER(Upgrades!$Q$11,J284)*POWER(Upgrades!$Q$12,K284))*Parameters!$B$10*Parameters!$B$11/60)/Upgrades!$C$11,0)),IF(K284&gt;0,0,IFERROR((1.0*(POWER(Upgrades!$P$6,E284)*POWER(Upgrades!$P$7,F284)*POWER(Upgrades!$P$8,G284)*POWER(Upgrades!$P$9,H284)*POWER(Upgrades!$P$10,I284)*POWER(Upgrades!$P$11,J284)*POWER(Upgrades!$P$12,K284))+0.20*M284*Parameters!$B$10*Parameters!$B$11/60)/Upgrades!$C$12,0)),IF(AND(ISNUMBER(AG284),AG284&gt;T284),AS284,0),IF(AND(ISNUMBER(AH284),AH284&gt;T284),AT284,0),IF(AND(ISNUMBER(AI284),AI284&gt;T284),AU284,0),IF(AND(ISNUMBER(AJ284),AJ284&gt;T284),AV284,0))</f>
        <v/>
      </c>
      <c r="AX284" s="29">
        <f>IF(AN284=1,"transition",IF(MIN(IF(AND(I284=0,ISNUMBER(AK284),AK284&lt;=T284),AK284,9E15),IF(AND(J284=0,ISNUMBER(AL284),AL284&lt;=T284),AL284,9E15),IF(AND(K284=0,ISNUMBER(AM284),AM284&lt;=T284),AM284,9E15))&lt;9E15,IF(AND(AND(I284=0,ISNUMBER(AK284),AK284&lt;=T284),AK284=MIN(IF(AND(I284=0,ISNUMBER(AK284),AK284&lt;=T284),AK284,9E15),IF(AND(J284=0,ISNUMBER(AL284),AL284&lt;=T284),AL284,9E15),IF(AND(K284=0,ISNUMBER(AM284),AM284&lt;=T284),AM284,9E15))),"OR",IF(AND(AND(J284=0,ISNUMBER(AL284),AL284&lt;=T284),AL284=MIN(IF(AND(I284=0,ISNUMBER(AK284),AK284&lt;=T284),AK284,9E15),IF(AND(J284=0,ISNUMBER(AL284),AL284&lt;=T284),AL284,9E15),IF(AND(K284=0,ISNUMBER(AM284),AM284&lt;=T284),AM284,9E15))),"HP","FP")),IF(AR284=TRUE,"",IF(MAX(IF(AND(NOT(AND(AO284=1,AN284&lt;&gt;1)),ISNUMBER(AG284),AG284&lt;=T284),AS284,0),IF(AND(NOT(AND(AO284=1,AN284&lt;&gt;1)),ISNUMBER(AH284),AH284&lt;=T284),AT284,0),IF(AND(NOT(AND(AO284=1,AN284&lt;&gt;1)),ISNUMBER(AI284),AI284&lt;=T284),AU284,0),IF(AND(ISNUMBER(AJ284),AJ284&lt;=T284),AV284,0))&lt;=0,"",IF(AND(IF(AND(NOT(AND(AO284=1,AN284&lt;&gt;1)),ISNUMBER(AG284),AG284&lt;=T284),AS284,0)&gt;0,IF(AND(NOT(AND(AO284=1,AN284&lt;&gt;1)),ISNUMBER(AG284),AG284&lt;=T284),AS284,0)=MAX(IF(AND(NOT(AND(AO284=1,AN284&lt;&gt;1)),ISNUMBER(AG284),AG284&lt;=T284),AS284,0),IF(AND(NOT(AND(AO284=1,AN284&lt;&gt;1)),ISNUMBER(AH284),AH284&lt;=T284),AT284,0),IF(AND(NOT(AND(AO284=1,AN284&lt;&gt;1)),ISNUMBER(AI284),AI284&lt;=T284),AU284,0),IF(AND(ISNUMBER(AJ284),AJ284&lt;=T284),AV284,0))),"SW",IF(AND(IF(AND(NOT(AND(AO284=1,AN284&lt;&gt;1)),ISNUMBER(AH284),AH284&lt;=T284),AT284,0)&gt;0,IF(AND(NOT(AND(AO284=1,AN284&lt;&gt;1)),ISNUMBER(AH284),AH284&lt;=T284),AT284,0)=MAX(IF(AND(NOT(AND(AO284=1,AN284&lt;&gt;1)),ISNUMBER(AG284),AG284&lt;=T284),AS284,0),IF(AND(NOT(AND(AO284=1,AN284&lt;&gt;1)),ISNUMBER(AH284),AH284&lt;=T284),AT284,0),IF(AND(NOT(AND(AO284=1,AN284&lt;&gt;1)),ISNUMBER(AI284),AI284&lt;=T284),AU284,0),IF(AND(ISNUMBER(AJ284),AJ284&lt;=T284),AV284,0))),"AB",IF(AND(IF(AND(NOT(AND(AO284=1,AN284&lt;&gt;1)),ISNUMBER(AI284),AI284&lt;=T284),AU284,0)&gt;0,IF(AND(NOT(AND(AO284=1,AN284&lt;&gt;1)),ISNUMBER(AI284),AI284&lt;=T284),AU284,0)=MAX(IF(AND(NOT(AND(AO284=1,AN284&lt;&gt;1)),ISNUMBER(AG284),AG284&lt;=T284),AS284,0),IF(AND(NOT(AND(AO284=1,AN284&lt;&gt;1)),ISNUMBER(AH284),AH284&lt;=T284),AT284,0),IF(AND(NOT(AND(AO284=1,AN284&lt;&gt;1)),ISNUMBER(AI284),AI284&lt;=T284),AU284,0),IF(AND(ISNUMBER(AJ284),AJ284&lt;=T284),AV284,0))),"SC","Mag")))))))</f>
        <v/>
      </c>
    </row>
    <row r="285">
      <c r="A285" s="26" t="n">
        <v>280</v>
      </c>
      <c r="B285" s="27">
        <f>A285*10/60</f>
        <v/>
      </c>
      <c r="C285" s="22">
        <f>X284</f>
        <v/>
      </c>
      <c r="D285" s="27">
        <f>D284+W284</f>
        <v/>
      </c>
      <c r="E285" s="26">
        <f>E284+IF(U284="SW",1,0)</f>
        <v/>
      </c>
      <c r="F285" s="26">
        <f>F284+IF(U284="AB",1,0)</f>
        <v/>
      </c>
      <c r="G285" s="26">
        <f>G284+IF(U284="SC",1,0)</f>
        <v/>
      </c>
      <c r="H285" s="26">
        <f>H284+IF(U284="Mag",1,0)</f>
        <v/>
      </c>
      <c r="I285" s="26">
        <f>MAX(I284,IF(U284="OR",1,0))</f>
        <v/>
      </c>
      <c r="J285" s="26">
        <f>MAX(J284,IF(U284="HP",1,0))</f>
        <v/>
      </c>
      <c r="K285" s="26">
        <f>MAX(K284,IF(U284="FP",1,0))</f>
        <v/>
      </c>
      <c r="L285" s="26">
        <f>MAX(L284,IF(U284="transition",1,0))</f>
        <v/>
      </c>
      <c r="M285" s="28">
        <f>(Parameters!$B$9+(IF(E285=0,0,(Upgrades!$J$6+E285*Upgrades!$K$6)*POWER(Upgrades!$L$6,E285)))*(IF(Upgrades!$T$7="Solar Wind",POWER(Upgrades!$U$7,F285),1)*IF(Upgrades!$T$8="Solar Wind",POWER(Upgrades!$U$8,G285),1)*IF(Upgrades!$T$9="Solar Wind",POWER(Upgrades!$U$9,H285),1)*IF(Upgrades!$T$10="Solar Wind",POWER(Upgrades!$U$10,I285),1)*IF(Upgrades!$T$11="Solar Wind",POWER(Upgrades!$U$11,J285),1)*IF(Upgrades!$T$12="Solar Wind",POWER(Upgrades!$U$12,K285),1))+(IF(F285=0,0,(Upgrades!$J$7+F285*Upgrades!$K$7)*POWER(Upgrades!$L$7,F285)))*(IF(Upgrades!$T$6="Asteroid Belt",POWER(Upgrades!$U$6,E285),1)*IF(Upgrades!$T$8="Asteroid Belt",POWER(Upgrades!$U$8,G285),1)*IF(Upgrades!$T$9="Asteroid Belt",POWER(Upgrades!$U$9,H285),1)*IF(Upgrades!$T$10="Asteroid Belt",POWER(Upgrades!$U$10,I285),1)*IF(Upgrades!$T$11="Asteroid Belt",POWER(Upgrades!$U$11,J285),1)*IF(Upgrades!$T$12="Asteroid Belt",POWER(Upgrades!$U$12,K285),1))+(IF(G285=0,0,(Upgrades!$J$8+G285*Upgrades!$K$8)*POWER(Upgrades!$L$8,G285)))*(IF(Upgrades!$T$6="Stellar Coupling",POWER(Upgrades!$U$6,E285),1)*IF(Upgrades!$T$7="Stellar Coupling",POWER(Upgrades!$U$7,F285),1)*IF(Upgrades!$T$9="Stellar Coupling",POWER(Upgrades!$U$9,H285),1)*IF(Upgrades!$T$10="Stellar Coupling",POWER(Upgrades!$U$10,I285),1)*IF(Upgrades!$T$11="Stellar Coupling",POWER(Upgrades!$U$11,J285),1)*IF(Upgrades!$T$12="Stellar Coupling",POWER(Upgrades!$U$12,K285),1))+(IF(H285=0,0,(Upgrades!$J$9+H285*Upgrades!$K$9)*POWER(Upgrades!$L$9,H285)))*(IF(Upgrades!$T$6="Magnetosphere",POWER(Upgrades!$U$6,E285),1)*IF(Upgrades!$T$7="Magnetosphere",POWER(Upgrades!$U$7,F285),1)*IF(Upgrades!$T$8="Magnetosphere",POWER(Upgrades!$U$8,G285),1)*IF(Upgrades!$T$10="Magnetosphere",POWER(Upgrades!$U$10,I285),1)*IF(Upgrades!$T$11="Magnetosphere",POWER(Upgrades!$U$11,J285),1)*IF(Upgrades!$T$12="Magnetosphere",POWER(Upgrades!$U$12,K285),1))+(IF(I285=0,0,(Upgrades!$J$10+I285*Upgrades!$K$10)*POWER(Upgrades!$L$10,I285)))*(IF(Upgrades!$T$6="Orbital Resonance",POWER(Upgrades!$U$6,E285),1)*IF(Upgrades!$T$7="Orbital Resonance",POWER(Upgrades!$U$7,F285),1)*IF(Upgrades!$T$8="Orbital Resonance",POWER(Upgrades!$U$8,G285),1)*IF(Upgrades!$T$9="Orbital Resonance",POWER(Upgrades!$U$9,H285),1)*IF(Upgrades!$T$11="Orbital Resonance",POWER(Upgrades!$U$11,J285),1)*IF(Upgrades!$T$12="Orbital Resonance",POWER(Upgrades!$U$12,K285),1))+(IF(J285=0,0,(Upgrades!$J$11+J285*Upgrades!$K$11)*POWER(Upgrades!$L$11,J285)))*(IF(Upgrades!$T$6="Heliopause",POWER(Upgrades!$U$6,E285),1)*IF(Upgrades!$T$7="Heliopause",POWER(Upgrades!$U$7,F285),1)*IF(Upgrades!$T$8="Heliopause",POWER(Upgrades!$U$8,G285),1)*IF(Upgrades!$T$9="Heliopause",POWER(Upgrades!$U$9,H285),1)*IF(Upgrades!$T$10="Heliopause",POWER(Upgrades!$U$10,I285),1)*IF(Upgrades!$T$12="Heliopause",POWER(Upgrades!$U$12,K285),1))+(IF(K285=0,0,(Upgrades!$J$12+K285*Upgrades!$K$12)*POWER(Upgrades!$L$12,K285)))*(IF(Upgrades!$T$6="First Photons",POWER(Upgrades!$U$6,E285),1)*IF(Upgrades!$T$7="First Photons",POWER(Upgrades!$U$7,F285),1)*IF(Upgrades!$T$8="First Photons",POWER(Upgrades!$U$8,G285),1)*IF(Upgrades!$T$9="First Photons",POWER(Upgrades!$U$9,H285),1)*IF(Upgrades!$T$10="First Photons",POWER(Upgrades!$U$10,I285),1)*IF(Upgrades!$T$11="First Photons",POWER(Upgrades!$U$11,J285),1)))*POWER(Upgrades!$Q$6,E285)*POWER(Upgrades!$Q$7,F285)*POWER(Upgrades!$Q$8,G285)*POWER(Upgrades!$Q$9,H285)*POWER(Upgrades!$Q$10,I285)*POWER(Upgrades!$Q$11,J285)*POWER(Upgrades!$Q$12,K285)</f>
        <v/>
      </c>
      <c r="N285" s="28">
        <f>((IF(E285=0,0,(Upgrades!$G$6+E285*Upgrades!$H$6)*POWER(Upgrades!$I$6,E285)))*(IF(Upgrades!$T$7="Solar Wind",POWER(Upgrades!$U$7,F285),1)*IF(Upgrades!$T$8="Solar Wind",POWER(Upgrades!$U$8,G285),1)*IF(Upgrades!$T$9="Solar Wind",POWER(Upgrades!$U$9,H285),1)*IF(Upgrades!$T$10="Solar Wind",POWER(Upgrades!$U$10,I285),1)*IF(Upgrades!$T$11="Solar Wind",POWER(Upgrades!$U$11,J285),1)*IF(Upgrades!$T$12="Solar Wind",POWER(Upgrades!$U$12,K285),1))+(IF(F285=0,0,(Upgrades!$G$7+F285*Upgrades!$H$7)*POWER(Upgrades!$I$7,F285)))*(IF(Upgrades!$T$6="Asteroid Belt",POWER(Upgrades!$U$6,E285),1)*IF(Upgrades!$T$8="Asteroid Belt",POWER(Upgrades!$U$8,G285),1)*IF(Upgrades!$T$9="Asteroid Belt",POWER(Upgrades!$U$9,H285),1)*IF(Upgrades!$T$10="Asteroid Belt",POWER(Upgrades!$U$10,I285),1)*IF(Upgrades!$T$11="Asteroid Belt",POWER(Upgrades!$U$11,J285),1)*IF(Upgrades!$T$12="Asteroid Belt",POWER(Upgrades!$U$12,K285),1))+(IF(G285=0,0,(Upgrades!$G$8+G285*Upgrades!$H$8)*POWER(Upgrades!$I$8,G285)))*(IF(Upgrades!$T$6="Stellar Coupling",POWER(Upgrades!$U$6,E285),1)*IF(Upgrades!$T$7="Stellar Coupling",POWER(Upgrades!$U$7,F285),1)*IF(Upgrades!$T$9="Stellar Coupling",POWER(Upgrades!$U$9,H285),1)*IF(Upgrades!$T$10="Stellar Coupling",POWER(Upgrades!$U$10,I285),1)*IF(Upgrades!$T$11="Stellar Coupling",POWER(Upgrades!$U$11,J285),1)*IF(Upgrades!$T$12="Stellar Coupling",POWER(Upgrades!$U$12,K285),1))+(IF(H285=0,0,(Upgrades!$G$9+H285*Upgrades!$H$9)*POWER(Upgrades!$I$9,H285)))*(IF(Upgrades!$T$6="Magnetosphere",POWER(Upgrades!$U$6,E285),1)*IF(Upgrades!$T$7="Magnetosphere",POWER(Upgrades!$U$7,F285),1)*IF(Upgrades!$T$8="Magnetosphere",POWER(Upgrades!$U$8,G285),1)*IF(Upgrades!$T$10="Magnetosphere",POWER(Upgrades!$U$10,I285),1)*IF(Upgrades!$T$11="Magnetosphere",POWER(Upgrades!$U$11,J285),1)*IF(Upgrades!$T$12="Magnetosphere",POWER(Upgrades!$U$12,K285),1))+(IF(I285=0,0,(Upgrades!$G$10+I285*Upgrades!$H$10)*POWER(Upgrades!$I$10,I285)))*(IF(Upgrades!$T$6="Orbital Resonance",POWER(Upgrades!$U$6,E285),1)*IF(Upgrades!$T$7="Orbital Resonance",POWER(Upgrades!$U$7,F285),1)*IF(Upgrades!$T$8="Orbital Resonance",POWER(Upgrades!$U$8,G285),1)*IF(Upgrades!$T$9="Orbital Resonance",POWER(Upgrades!$U$9,H285),1)*IF(Upgrades!$T$11="Orbital Resonance",POWER(Upgrades!$U$11,J285),1)*IF(Upgrades!$T$12="Orbital Resonance",POWER(Upgrades!$U$12,K285),1))+(IF(J285=0,0,(Upgrades!$G$11+J285*Upgrades!$H$11)*POWER(Upgrades!$I$11,J285)))*(IF(Upgrades!$T$6="Heliopause",POWER(Upgrades!$U$6,E285),1)*IF(Upgrades!$T$7="Heliopause",POWER(Upgrades!$U$7,F285),1)*IF(Upgrades!$T$8="Heliopause",POWER(Upgrades!$U$8,G285),1)*IF(Upgrades!$T$9="Heliopause",POWER(Upgrades!$U$9,H285),1)*IF(Upgrades!$T$10="Heliopause",POWER(Upgrades!$U$10,I285),1)*IF(Upgrades!$T$12="Heliopause",POWER(Upgrades!$U$12,K285),1))+(IF(K285=0,0,(Upgrades!$G$12+K285*Upgrades!$H$12)*POWER(Upgrades!$I$12,K285)))*(IF(Upgrades!$T$6="First Photons",POWER(Upgrades!$U$6,E285),1)*IF(Upgrades!$T$7="First Photons",POWER(Upgrades!$U$7,F285),1)*IF(Upgrades!$T$8="First Photons",POWER(Upgrades!$U$8,G285),1)*IF(Upgrades!$T$9="First Photons",POWER(Upgrades!$U$9,H285),1)*IF(Upgrades!$T$10="First Photons",POWER(Upgrades!$U$10,I285),1)*IF(Upgrades!$T$11="First Photons",POWER(Upgrades!$U$11,J285),1)))*POWER(Upgrades!$P$6,E285)*POWER(Upgrades!$P$7,F285)*POWER(Upgrades!$P$8,G285)*POWER(Upgrades!$P$9,H285)*POWER(Upgrades!$P$10,I285)*POWER(Upgrades!$P$11,J285)*POWER(Upgrades!$P$12,K285)</f>
        <v/>
      </c>
      <c r="O285" s="28">
        <f>((IF(E285=0,0,(Upgrades!$M$6+E285*Upgrades!$N$6)*POWER(Upgrades!$O$6,E285)))*(IF(Upgrades!$T$7="Solar Wind",POWER(Upgrades!$U$7,F285),1)*IF(Upgrades!$T$8="Solar Wind",POWER(Upgrades!$U$8,G285),1)*IF(Upgrades!$T$9="Solar Wind",POWER(Upgrades!$U$9,H285),1)*IF(Upgrades!$T$10="Solar Wind",POWER(Upgrades!$U$10,I285),1)*IF(Upgrades!$T$11="Solar Wind",POWER(Upgrades!$U$11,J285),1)*IF(Upgrades!$T$12="Solar Wind",POWER(Upgrades!$U$12,K285),1))+(IF(F285=0,0,(Upgrades!$M$7+F285*Upgrades!$N$7)*POWER(Upgrades!$O$7,F285)))*(IF(Upgrades!$T$6="Asteroid Belt",POWER(Upgrades!$U$6,E285),1)*IF(Upgrades!$T$8="Asteroid Belt",POWER(Upgrades!$U$8,G285),1)*IF(Upgrades!$T$9="Asteroid Belt",POWER(Upgrades!$U$9,H285),1)*IF(Upgrades!$T$10="Asteroid Belt",POWER(Upgrades!$U$10,I285),1)*IF(Upgrades!$T$11="Asteroid Belt",POWER(Upgrades!$U$11,J285),1)*IF(Upgrades!$T$12="Asteroid Belt",POWER(Upgrades!$U$12,K285),1))+(IF(G285=0,0,(Upgrades!$M$8+G285*Upgrades!$N$8)*POWER(Upgrades!$O$8,G285)))*(IF(Upgrades!$T$6="Stellar Coupling",POWER(Upgrades!$U$6,E285),1)*IF(Upgrades!$T$7="Stellar Coupling",POWER(Upgrades!$U$7,F285),1)*IF(Upgrades!$T$9="Stellar Coupling",POWER(Upgrades!$U$9,H285),1)*IF(Upgrades!$T$10="Stellar Coupling",POWER(Upgrades!$U$10,I285),1)*IF(Upgrades!$T$11="Stellar Coupling",POWER(Upgrades!$U$11,J285),1)*IF(Upgrades!$T$12="Stellar Coupling",POWER(Upgrades!$U$12,K285),1))+(IF(H285=0,0,(Upgrades!$M$9+H285*Upgrades!$N$9)*POWER(Upgrades!$O$9,H285)))*(IF(Upgrades!$T$6="Magnetosphere",POWER(Upgrades!$U$6,E285),1)*IF(Upgrades!$T$7="Magnetosphere",POWER(Upgrades!$U$7,F285),1)*IF(Upgrades!$T$8="Magnetosphere",POWER(Upgrades!$U$8,G285),1)*IF(Upgrades!$T$10="Magnetosphere",POWER(Upgrades!$U$10,I285),1)*IF(Upgrades!$T$11="Magnetosphere",POWER(Upgrades!$U$11,J285),1)*IF(Upgrades!$T$12="Magnetosphere",POWER(Upgrades!$U$12,K285),1))+(IF(I285=0,0,(Upgrades!$M$10+I285*Upgrades!$N$10)*POWER(Upgrades!$O$10,I285)))*(IF(Upgrades!$T$6="Orbital Resonance",POWER(Upgrades!$U$6,E285),1)*IF(Upgrades!$T$7="Orbital Resonance",POWER(Upgrades!$U$7,F285),1)*IF(Upgrades!$T$8="Orbital Resonance",POWER(Upgrades!$U$8,G285),1)*IF(Upgrades!$T$9="Orbital Resonance",POWER(Upgrades!$U$9,H285),1)*IF(Upgrades!$T$11="Orbital Resonance",POWER(Upgrades!$U$11,J285),1)*IF(Upgrades!$T$12="Orbital Resonance",POWER(Upgrades!$U$12,K285),1))+(IF(J285=0,0,(Upgrades!$M$11+J285*Upgrades!$N$11)*POWER(Upgrades!$O$11,J285)))*(IF(Upgrades!$T$6="Heliopause",POWER(Upgrades!$U$6,E285),1)*IF(Upgrades!$T$7="Heliopause",POWER(Upgrades!$U$7,F285),1)*IF(Upgrades!$T$8="Heliopause",POWER(Upgrades!$U$8,G285),1)*IF(Upgrades!$T$9="Heliopause",POWER(Upgrades!$U$9,H285),1)*IF(Upgrades!$T$10="Heliopause",POWER(Upgrades!$U$10,I285),1)*IF(Upgrades!$T$12="Heliopause",POWER(Upgrades!$U$12,K285),1))+(IF(K285=0,0,(Upgrades!$M$12+K285*Upgrades!$N$12)*POWER(Upgrades!$O$12,K285)))*(IF(Upgrades!$T$6="First Photons",POWER(Upgrades!$U$6,E285),1)*IF(Upgrades!$T$7="First Photons",POWER(Upgrades!$U$7,F285),1)*IF(Upgrades!$T$8="First Photons",POWER(Upgrades!$U$8,G285),1)*IF(Upgrades!$T$9="First Photons",POWER(Upgrades!$U$9,H285),1)*IF(Upgrades!$T$10="First Photons",POWER(Upgrades!$U$10,I285),1)*IF(Upgrades!$T$11="First Photons",POWER(Upgrades!$U$11,J285),1)))*POWER(Upgrades!$R$6,E285)*POWER(Upgrades!$R$7,F285)*POWER(Upgrades!$R$8,G285)*POWER(Upgrades!$R$9,H285)*POWER(Upgrades!$R$10,I285)*POWER(Upgrades!$R$11,J285)*POWER(Upgrades!$R$12,K285)</f>
        <v/>
      </c>
      <c r="P285" s="27">
        <f>IF(L285=1,0,M285*Parameters!$B$10/60*Parameters!$B$11*10)</f>
        <v/>
      </c>
      <c r="Q285" s="27">
        <f>IF(L285=1,0,O285*M285*10)</f>
        <v/>
      </c>
      <c r="R285" s="27">
        <f>IF(L285=1,0,N285*10)</f>
        <v/>
      </c>
      <c r="S285" s="27">
        <f>P285+Q285+R285</f>
        <v/>
      </c>
      <c r="T285" s="22">
        <f>C285+S285</f>
        <v/>
      </c>
      <c r="U285" s="33">
        <f>AX285</f>
        <v/>
      </c>
      <c r="V285" s="22">
        <f>IF(U285="",0,IF(U285="transition",0,IF(U285="SW",AG285,IF(U285="AB",AH285,IF(U285="SC",AI285,IF(U285="Mag",AJ285,IF(U285="OR",AK285,IF(U285="HP",AL285,IF(U285="FP",AM285,0)))))))))</f>
        <v/>
      </c>
      <c r="W285" s="27">
        <f>IF(U285="OR",Upgrades!$F$10,IF(U285="HP",Upgrades!$F$11,IF(U285="transition",-Parameters!$B$18,0)))</f>
        <v/>
      </c>
      <c r="X285" s="22">
        <f>T285-V285</f>
        <v/>
      </c>
      <c r="Y285" s="30">
        <f>M285*Parameters!$B$10/60*Parameters!$B$11+O285*M285+N285</f>
        <v/>
      </c>
      <c r="Z285" s="34">
        <f>IF(U285="transition","→ Tier 2 (Stellar Neighborhood)",IF(U285="FP","First Photons — light begins, system quickens",IF(U285="HP","Heliopause acquired",IF(U285="OR","Orbital Resonance — passive multiplier active",IF(AND(AO285=1,L285=0,AN285&lt;&gt;1),"Cohesion ready (waiting on completionist upgrades)","")))))</f>
        <v/>
      </c>
      <c r="AA285" s="27">
        <f>(IF(E285=0,0,(Upgrades!$G$6+E285*Upgrades!$H$6)*POWER(Upgrades!$I$6,E285)))*(IF(Upgrades!$T$7="Solar Wind",POWER(Upgrades!$U$7,F285),1)*IF(Upgrades!$T$8="Solar Wind",POWER(Upgrades!$U$8,G285),1)*IF(Upgrades!$T$9="Solar Wind",POWER(Upgrades!$U$9,H285),1)*IF(Upgrades!$T$10="Solar Wind",POWER(Upgrades!$U$10,I285),1)*IF(Upgrades!$T$11="Solar Wind",POWER(Upgrades!$U$11,J285),1)*IF(Upgrades!$T$12="Solar Wind",POWER(Upgrades!$U$12,K285),1))*POWER(Upgrades!$P$6,E285)*POWER(Upgrades!$P$7,F285)*POWER(Upgrades!$P$8,G285)*POWER(Upgrades!$P$9,H285)*POWER(Upgrades!$P$10,I285)*POWER(Upgrades!$P$11,J285)*POWER(Upgrades!$P$12,K285)*60</f>
        <v/>
      </c>
      <c r="AB285" s="27">
        <f>(IF(F285=0,0,(Upgrades!$G$7+F285*Upgrades!$H$7)*POWER(Upgrades!$I$7,F285)))*(IF(Upgrades!$T$6="Asteroid Belt",POWER(Upgrades!$U$6,E285),1)*IF(Upgrades!$T$8="Asteroid Belt",POWER(Upgrades!$U$8,G285),1)*IF(Upgrades!$T$9="Asteroid Belt",POWER(Upgrades!$U$9,H285),1)*IF(Upgrades!$T$10="Asteroid Belt",POWER(Upgrades!$U$10,I285),1)*IF(Upgrades!$T$11="Asteroid Belt",POWER(Upgrades!$U$11,J285),1)*IF(Upgrades!$T$12="Asteroid Belt",POWER(Upgrades!$U$12,K285),1))*POWER(Upgrades!$P$6,E285)*POWER(Upgrades!$P$7,F285)*POWER(Upgrades!$P$8,G285)*POWER(Upgrades!$P$9,H285)*POWER(Upgrades!$P$10,I285)*POWER(Upgrades!$P$11,J285)*POWER(Upgrades!$P$12,K285)*60</f>
        <v/>
      </c>
      <c r="AC285" s="27">
        <f>(IF(G285=0,0,(Upgrades!$J$8+G285*Upgrades!$K$8)*POWER(Upgrades!$L$8,G285)))*(IF(Upgrades!$T$6="Stellar Coupling",POWER(Upgrades!$U$6,E285),1)*IF(Upgrades!$T$7="Stellar Coupling",POWER(Upgrades!$U$7,F285),1)*IF(Upgrades!$T$9="Stellar Coupling",POWER(Upgrades!$U$9,H285),1)*IF(Upgrades!$T$10="Stellar Coupling",POWER(Upgrades!$U$10,I285),1)*IF(Upgrades!$T$11="Stellar Coupling",POWER(Upgrades!$U$11,J285),1)*IF(Upgrades!$T$12="Stellar Coupling",POWER(Upgrades!$U$12,K285),1))*POWER(Upgrades!$Q$6,E285)*POWER(Upgrades!$Q$7,F285)*POWER(Upgrades!$Q$8,G285)*POWER(Upgrades!$Q$9,H285)*POWER(Upgrades!$Q$10,I285)*POWER(Upgrades!$Q$11,J285)*POWER(Upgrades!$Q$12,K285)*Parameters!$B$10*Parameters!$B$11</f>
        <v/>
      </c>
      <c r="AD285" s="27">
        <f>(IF(H285=0,0,(Upgrades!$G$9+H285*Upgrades!$H$9)*POWER(Upgrades!$I$9,H285)))*(IF(Upgrades!$T$6="Magnetosphere",POWER(Upgrades!$U$6,E285),1)*IF(Upgrades!$T$7="Magnetosphere",POWER(Upgrades!$U$7,F285),1)*IF(Upgrades!$T$8="Magnetosphere",POWER(Upgrades!$U$8,G285),1)*IF(Upgrades!$T$10="Magnetosphere",POWER(Upgrades!$U$10,I285),1)*IF(Upgrades!$T$11="Magnetosphere",POWER(Upgrades!$U$11,J285),1)*IF(Upgrades!$T$12="Magnetosphere",POWER(Upgrades!$U$12,K285),1))*POWER(Upgrades!$P$6,E285)*POWER(Upgrades!$P$7,F285)*POWER(Upgrades!$P$8,G285)*POWER(Upgrades!$P$9,H285)*POWER(Upgrades!$P$10,I285)*POWER(Upgrades!$P$11,J285)*POWER(Upgrades!$P$12,K285)*60</f>
        <v/>
      </c>
      <c r="AE285" s="27">
        <f>(IF(K285=0,0,(Upgrades!$G$12+K285*Upgrades!$H$12)*POWER(Upgrades!$I$12,K285)))*(IF(Upgrades!$T$6="First Photons",POWER(Upgrades!$U$6,E285),1)*IF(Upgrades!$T$7="First Photons",POWER(Upgrades!$U$7,F285),1)*IF(Upgrades!$T$8="First Photons",POWER(Upgrades!$U$8,G285),1)*IF(Upgrades!$T$9="First Photons",POWER(Upgrades!$U$9,H285),1)*IF(Upgrades!$T$10="First Photons",POWER(Upgrades!$U$10,I285),1)*IF(Upgrades!$T$11="First Photons",POWER(Upgrades!$U$11,J285),1))*POWER(Upgrades!$P$6,E285)*POWER(Upgrades!$P$7,F285)*POWER(Upgrades!$P$8,G285)*POWER(Upgrades!$P$9,H285)*POWER(Upgrades!$P$10,I285)*POWER(Upgrades!$P$11,J285)*POWER(Upgrades!$P$12,K285)*60</f>
        <v/>
      </c>
      <c r="AF285" s="27">
        <f>Parameters!$B$9*POWER(Upgrades!$Q$6,E285)*POWER(Upgrades!$Q$7,F285)*POWER(Upgrades!$Q$8,G285)*POWER(Upgrades!$Q$9,H285)*POWER(Upgrades!$Q$10,I285)*POWER(Upgrades!$Q$11,J285)*POWER(Upgrades!$Q$12,K285)*(Parameters!$B$10*Parameters!$B$11+O285*60)</f>
        <v/>
      </c>
      <c r="AG285" s="22">
        <f>IF(E285&gt;=Upgrades!$E$6,"",Upgrades!$C$6*POWER(Upgrades!$D$6,E285))</f>
        <v/>
      </c>
      <c r="AH285" s="22">
        <f>IF(F285&gt;=Upgrades!$E$7,"",Upgrades!$C$7*POWER(Upgrades!$D$7,F285))</f>
        <v/>
      </c>
      <c r="AI285" s="22">
        <f>IF(G285&gt;=Upgrades!$E$8,"",Upgrades!$C$8*POWER(Upgrades!$D$8,G285))</f>
        <v/>
      </c>
      <c r="AJ285" s="22">
        <f>IF(H285&gt;=Upgrades!$E$9,"",Upgrades!$C$9*POWER(Upgrades!$D$9,H285))</f>
        <v/>
      </c>
      <c r="AK285" s="22">
        <f>IF(I285&gt;=Upgrades!$E$10,"",Upgrades!$C$10*POWER(Upgrades!$D$10,I285))</f>
        <v/>
      </c>
      <c r="AL285" s="22">
        <f>IF(J285&gt;=Upgrades!$E$11,"",Upgrades!$C$11*POWER(Upgrades!$D$11,J285))</f>
        <v/>
      </c>
      <c r="AM285" s="22">
        <f>IF(K285&gt;=Upgrades!$E$12,"",Upgrades!$C$12*POWER(Upgrades!$D$12,K285))</f>
        <v/>
      </c>
      <c r="AN285" s="26">
        <f>IF(AND(D285&gt;=Parameters!$B$18,(H285&gt;=Upgrades!$E$9)*(K285&gt;=Upgrades!$E$12)=1,L285=0),1,"")</f>
        <v/>
      </c>
      <c r="AO285" s="26">
        <f>IF(AND(D285&gt;=Parameters!$B$18,L285=0),1,"")</f>
        <v/>
      </c>
      <c r="AP285" s="22">
        <f>MIN(IF(ISNUMBER(AK285),AK285,9E15),IF(ISNUMBER(AL285),AL285,9E15),IF(ISNUMBER(AM285),AM285,9E15))</f>
        <v/>
      </c>
      <c r="AQ285" s="22">
        <f>MIN(IF(ISNUMBER(AG285),AG285,9E15),IF(ISNUMBER(AH285),AH285,9E15),IF(ISNUMBER(AI285),AI285,9E15),IF(ISNUMBER(AJ285),AJ285,9E15))</f>
        <v/>
      </c>
      <c r="AR285" s="29">
        <f>IF(AW285&gt;Parameters!$B$21*(MAX(IF(AND(NOT(AND(AO285=1,AN285&lt;&gt;1)),ISNUMBER(AG285),AG285&lt;=T285),AS285,0),IF(AND(NOT(AND(AO285=1,AN285&lt;&gt;1)),ISNUMBER(AH285),AH285&lt;=T285),AT285,0),IF(AND(NOT(AND(AO285=1,AN285&lt;&gt;1)),ISNUMBER(AI285),AI285&lt;=T285),AU285,0),IF(AND(ISNUMBER(AJ285),AJ285&lt;=T285),AV285,0))),TRUE,FALSE)</f>
        <v/>
      </c>
      <c r="AS285" s="32">
        <f>IFERROR(Upgrades!$H$6*(POWER(Upgrades!$P$6,E285)*POWER(Upgrades!$P$7,F285)*POWER(Upgrades!$P$8,G285)*POWER(Upgrades!$P$9,H285)*POWER(Upgrades!$P$10,I285)*POWER(Upgrades!$P$11,J285)*POWER(Upgrades!$P$12,K285))*(IF(Upgrades!$T$7="Solar Wind",POWER(Upgrades!$U$7,F285),1)*IF(Upgrades!$T$8="Solar Wind",POWER(Upgrades!$U$8,G285),1)*IF(Upgrades!$T$9="Solar Wind",POWER(Upgrades!$U$9,H285),1)*IF(Upgrades!$T$10="Solar Wind",POWER(Upgrades!$U$10,I285),1)*IF(Upgrades!$T$11="Solar Wind",POWER(Upgrades!$U$11,J285),1)*IF(Upgrades!$T$12="Solar Wind",POWER(Upgrades!$U$12,K285),1))/AG285,0)</f>
        <v/>
      </c>
      <c r="AT285" s="32">
        <f>IFERROR(Upgrades!$H$7*(POWER(Upgrades!$P$6,E285)*POWER(Upgrades!$P$7,F285)*POWER(Upgrades!$P$8,G285)*POWER(Upgrades!$P$9,H285)*POWER(Upgrades!$P$10,I285)*POWER(Upgrades!$P$11,J285)*POWER(Upgrades!$P$12,K285))*(IF(Upgrades!$T$6="Asteroid Belt",POWER(Upgrades!$U$6,E285),1)*IF(Upgrades!$T$8="Asteroid Belt",POWER(Upgrades!$U$8,G285),1)*IF(Upgrades!$T$9="Asteroid Belt",POWER(Upgrades!$U$9,H285),1)*IF(Upgrades!$T$10="Asteroid Belt",POWER(Upgrades!$U$10,I285),1)*IF(Upgrades!$T$11="Asteroid Belt",POWER(Upgrades!$U$11,J285),1)*IF(Upgrades!$T$12="Asteroid Belt",POWER(Upgrades!$U$12,K285),1))/AH285,0)</f>
        <v/>
      </c>
      <c r="AU285" s="32">
        <f>IFERROR(Upgrades!$K$8*(POWER(Upgrades!$Q$6,E285)*POWER(Upgrades!$Q$7,F285)*POWER(Upgrades!$Q$8,G285)*POWER(Upgrades!$Q$9,H285)*POWER(Upgrades!$Q$10,I285)*POWER(Upgrades!$Q$11,J285)*POWER(Upgrades!$Q$12,K285))*(IF(Upgrades!$T$6="Stellar Coupling",POWER(Upgrades!$U$6,E285),1)*IF(Upgrades!$T$7="Stellar Coupling",POWER(Upgrades!$U$7,F285),1)*IF(Upgrades!$T$9="Stellar Coupling",POWER(Upgrades!$U$9,H285),1)*IF(Upgrades!$T$10="Stellar Coupling",POWER(Upgrades!$U$10,I285),1)*IF(Upgrades!$T$11="Stellar Coupling",POWER(Upgrades!$U$11,J285),1)*IF(Upgrades!$T$12="Stellar Coupling",POWER(Upgrades!$U$12,K285),1))*Parameters!$B$10*Parameters!$B$11/60/AI285,0)</f>
        <v/>
      </c>
      <c r="AV285" s="32">
        <f>IFERROR(Upgrades!$H$9*(POWER(Upgrades!$P$6,E285)*POWER(Upgrades!$P$7,F285)*POWER(Upgrades!$P$8,G285)*POWER(Upgrades!$P$9,H285)*POWER(Upgrades!$P$10,I285)*POWER(Upgrades!$P$11,J285)*POWER(Upgrades!$P$12,K285))*(IF(Upgrades!$T$6="Magnetosphere",POWER(Upgrades!$U$6,E285),1)*IF(Upgrades!$T$7="Magnetosphere",POWER(Upgrades!$U$7,F285),1)*IF(Upgrades!$T$8="Magnetosphere",POWER(Upgrades!$U$8,G285),1)*IF(Upgrades!$T$10="Magnetosphere",POWER(Upgrades!$U$10,I285),1)*IF(Upgrades!$T$11="Magnetosphere",POWER(Upgrades!$U$11,J285),1)*IF(Upgrades!$T$12="Magnetosphere",POWER(Upgrades!$U$12,K285),1))/AJ285,0)</f>
        <v/>
      </c>
      <c r="AW285" s="32">
        <f>MAX(IF(I285&gt;0,0,IFERROR(0.25*N285/Upgrades!$C$10,0)),IF(J285&gt;0,0,IFERROR(0.5*((IF(G285=0,0,(Upgrades!$J$8+G285*Upgrades!$K$8)*POWER(Upgrades!$L$8,G285)))*(IF(Upgrades!$T$6="Stellar Coupling",POWER(Upgrades!$U$6,E285),1)*IF(Upgrades!$T$7="Stellar Coupling",POWER(Upgrades!$U$7,F285),1)*IF(Upgrades!$T$9="Stellar Coupling",POWER(Upgrades!$U$9,H285),1)*IF(Upgrades!$T$10="Stellar Coupling",POWER(Upgrades!$U$10,I285),1)*IF(Upgrades!$T$11="Stellar Coupling",POWER(Upgrades!$U$11,J285),1)*IF(Upgrades!$T$12="Stellar Coupling",POWER(Upgrades!$U$12,K285),1))*(POWER(Upgrades!$Q$6,E285)*POWER(Upgrades!$Q$7,F285)*POWER(Upgrades!$Q$8,G285)*POWER(Upgrades!$Q$9,H285)*POWER(Upgrades!$Q$10,I285)*POWER(Upgrades!$Q$11,J285)*POWER(Upgrades!$Q$12,K285))*Parameters!$B$10*Parameters!$B$11/60)/Upgrades!$C$11,0)),IF(K285&gt;0,0,IFERROR((1.0*(POWER(Upgrades!$P$6,E285)*POWER(Upgrades!$P$7,F285)*POWER(Upgrades!$P$8,G285)*POWER(Upgrades!$P$9,H285)*POWER(Upgrades!$P$10,I285)*POWER(Upgrades!$P$11,J285)*POWER(Upgrades!$P$12,K285))+0.20*M285*Parameters!$B$10*Parameters!$B$11/60)/Upgrades!$C$12,0)),IF(AND(ISNUMBER(AG285),AG285&gt;T285),AS285,0),IF(AND(ISNUMBER(AH285),AH285&gt;T285),AT285,0),IF(AND(ISNUMBER(AI285),AI285&gt;T285),AU285,0),IF(AND(ISNUMBER(AJ285),AJ285&gt;T285),AV285,0))</f>
        <v/>
      </c>
      <c r="AX285" s="29">
        <f>IF(AN285=1,"transition",IF(MIN(IF(AND(I285=0,ISNUMBER(AK285),AK285&lt;=T285),AK285,9E15),IF(AND(J285=0,ISNUMBER(AL285),AL285&lt;=T285),AL285,9E15),IF(AND(K285=0,ISNUMBER(AM285),AM285&lt;=T285),AM285,9E15))&lt;9E15,IF(AND(AND(I285=0,ISNUMBER(AK285),AK285&lt;=T285),AK285=MIN(IF(AND(I285=0,ISNUMBER(AK285),AK285&lt;=T285),AK285,9E15),IF(AND(J285=0,ISNUMBER(AL285),AL285&lt;=T285),AL285,9E15),IF(AND(K285=0,ISNUMBER(AM285),AM285&lt;=T285),AM285,9E15))),"OR",IF(AND(AND(J285=0,ISNUMBER(AL285),AL285&lt;=T285),AL285=MIN(IF(AND(I285=0,ISNUMBER(AK285),AK285&lt;=T285),AK285,9E15),IF(AND(J285=0,ISNUMBER(AL285),AL285&lt;=T285),AL285,9E15),IF(AND(K285=0,ISNUMBER(AM285),AM285&lt;=T285),AM285,9E15))),"HP","FP")),IF(AR285=TRUE,"",IF(MAX(IF(AND(NOT(AND(AO285=1,AN285&lt;&gt;1)),ISNUMBER(AG285),AG285&lt;=T285),AS285,0),IF(AND(NOT(AND(AO285=1,AN285&lt;&gt;1)),ISNUMBER(AH285),AH285&lt;=T285),AT285,0),IF(AND(NOT(AND(AO285=1,AN285&lt;&gt;1)),ISNUMBER(AI285),AI285&lt;=T285),AU285,0),IF(AND(ISNUMBER(AJ285),AJ285&lt;=T285),AV285,0))&lt;=0,"",IF(AND(IF(AND(NOT(AND(AO285=1,AN285&lt;&gt;1)),ISNUMBER(AG285),AG285&lt;=T285),AS285,0)&gt;0,IF(AND(NOT(AND(AO285=1,AN285&lt;&gt;1)),ISNUMBER(AG285),AG285&lt;=T285),AS285,0)=MAX(IF(AND(NOT(AND(AO285=1,AN285&lt;&gt;1)),ISNUMBER(AG285),AG285&lt;=T285),AS285,0),IF(AND(NOT(AND(AO285=1,AN285&lt;&gt;1)),ISNUMBER(AH285),AH285&lt;=T285),AT285,0),IF(AND(NOT(AND(AO285=1,AN285&lt;&gt;1)),ISNUMBER(AI285),AI285&lt;=T285),AU285,0),IF(AND(ISNUMBER(AJ285),AJ285&lt;=T285),AV285,0))),"SW",IF(AND(IF(AND(NOT(AND(AO285=1,AN285&lt;&gt;1)),ISNUMBER(AH285),AH285&lt;=T285),AT285,0)&gt;0,IF(AND(NOT(AND(AO285=1,AN285&lt;&gt;1)),ISNUMBER(AH285),AH285&lt;=T285),AT285,0)=MAX(IF(AND(NOT(AND(AO285=1,AN285&lt;&gt;1)),ISNUMBER(AG285),AG285&lt;=T285),AS285,0),IF(AND(NOT(AND(AO285=1,AN285&lt;&gt;1)),ISNUMBER(AH285),AH285&lt;=T285),AT285,0),IF(AND(NOT(AND(AO285=1,AN285&lt;&gt;1)),ISNUMBER(AI285),AI285&lt;=T285),AU285,0),IF(AND(ISNUMBER(AJ285),AJ285&lt;=T285),AV285,0))),"AB",IF(AND(IF(AND(NOT(AND(AO285=1,AN285&lt;&gt;1)),ISNUMBER(AI285),AI285&lt;=T285),AU285,0)&gt;0,IF(AND(NOT(AND(AO285=1,AN285&lt;&gt;1)),ISNUMBER(AI285),AI285&lt;=T285),AU285,0)=MAX(IF(AND(NOT(AND(AO285=1,AN285&lt;&gt;1)),ISNUMBER(AG285),AG285&lt;=T285),AS285,0),IF(AND(NOT(AND(AO285=1,AN285&lt;&gt;1)),ISNUMBER(AH285),AH285&lt;=T285),AT285,0),IF(AND(NOT(AND(AO285=1,AN285&lt;&gt;1)),ISNUMBER(AI285),AI285&lt;=T285),AU285,0),IF(AND(ISNUMBER(AJ285),AJ285&lt;=T285),AV285,0))),"SC","Mag")))))))</f>
        <v/>
      </c>
    </row>
    <row r="286">
      <c r="A286" s="26" t="n">
        <v>281</v>
      </c>
      <c r="B286" s="27">
        <f>A286*10/60</f>
        <v/>
      </c>
      <c r="C286" s="22">
        <f>X285</f>
        <v/>
      </c>
      <c r="D286" s="27">
        <f>D285+W285</f>
        <v/>
      </c>
      <c r="E286" s="26">
        <f>E285+IF(U285="SW",1,0)</f>
        <v/>
      </c>
      <c r="F286" s="26">
        <f>F285+IF(U285="AB",1,0)</f>
        <v/>
      </c>
      <c r="G286" s="26">
        <f>G285+IF(U285="SC",1,0)</f>
        <v/>
      </c>
      <c r="H286" s="26">
        <f>H285+IF(U285="Mag",1,0)</f>
        <v/>
      </c>
      <c r="I286" s="26">
        <f>MAX(I285,IF(U285="OR",1,0))</f>
        <v/>
      </c>
      <c r="J286" s="26">
        <f>MAX(J285,IF(U285="HP",1,0))</f>
        <v/>
      </c>
      <c r="K286" s="26">
        <f>MAX(K285,IF(U285="FP",1,0))</f>
        <v/>
      </c>
      <c r="L286" s="26">
        <f>MAX(L285,IF(U285="transition",1,0))</f>
        <v/>
      </c>
      <c r="M286" s="28">
        <f>(Parameters!$B$9+(IF(E286=0,0,(Upgrades!$J$6+E286*Upgrades!$K$6)*POWER(Upgrades!$L$6,E286)))*(IF(Upgrades!$T$7="Solar Wind",POWER(Upgrades!$U$7,F286),1)*IF(Upgrades!$T$8="Solar Wind",POWER(Upgrades!$U$8,G286),1)*IF(Upgrades!$T$9="Solar Wind",POWER(Upgrades!$U$9,H286),1)*IF(Upgrades!$T$10="Solar Wind",POWER(Upgrades!$U$10,I286),1)*IF(Upgrades!$T$11="Solar Wind",POWER(Upgrades!$U$11,J286),1)*IF(Upgrades!$T$12="Solar Wind",POWER(Upgrades!$U$12,K286),1))+(IF(F286=0,0,(Upgrades!$J$7+F286*Upgrades!$K$7)*POWER(Upgrades!$L$7,F286)))*(IF(Upgrades!$T$6="Asteroid Belt",POWER(Upgrades!$U$6,E286),1)*IF(Upgrades!$T$8="Asteroid Belt",POWER(Upgrades!$U$8,G286),1)*IF(Upgrades!$T$9="Asteroid Belt",POWER(Upgrades!$U$9,H286),1)*IF(Upgrades!$T$10="Asteroid Belt",POWER(Upgrades!$U$10,I286),1)*IF(Upgrades!$T$11="Asteroid Belt",POWER(Upgrades!$U$11,J286),1)*IF(Upgrades!$T$12="Asteroid Belt",POWER(Upgrades!$U$12,K286),1))+(IF(G286=0,0,(Upgrades!$J$8+G286*Upgrades!$K$8)*POWER(Upgrades!$L$8,G286)))*(IF(Upgrades!$T$6="Stellar Coupling",POWER(Upgrades!$U$6,E286),1)*IF(Upgrades!$T$7="Stellar Coupling",POWER(Upgrades!$U$7,F286),1)*IF(Upgrades!$T$9="Stellar Coupling",POWER(Upgrades!$U$9,H286),1)*IF(Upgrades!$T$10="Stellar Coupling",POWER(Upgrades!$U$10,I286),1)*IF(Upgrades!$T$11="Stellar Coupling",POWER(Upgrades!$U$11,J286),1)*IF(Upgrades!$T$12="Stellar Coupling",POWER(Upgrades!$U$12,K286),1))+(IF(H286=0,0,(Upgrades!$J$9+H286*Upgrades!$K$9)*POWER(Upgrades!$L$9,H286)))*(IF(Upgrades!$T$6="Magnetosphere",POWER(Upgrades!$U$6,E286),1)*IF(Upgrades!$T$7="Magnetosphere",POWER(Upgrades!$U$7,F286),1)*IF(Upgrades!$T$8="Magnetosphere",POWER(Upgrades!$U$8,G286),1)*IF(Upgrades!$T$10="Magnetosphere",POWER(Upgrades!$U$10,I286),1)*IF(Upgrades!$T$11="Magnetosphere",POWER(Upgrades!$U$11,J286),1)*IF(Upgrades!$T$12="Magnetosphere",POWER(Upgrades!$U$12,K286),1))+(IF(I286=0,0,(Upgrades!$J$10+I286*Upgrades!$K$10)*POWER(Upgrades!$L$10,I286)))*(IF(Upgrades!$T$6="Orbital Resonance",POWER(Upgrades!$U$6,E286),1)*IF(Upgrades!$T$7="Orbital Resonance",POWER(Upgrades!$U$7,F286),1)*IF(Upgrades!$T$8="Orbital Resonance",POWER(Upgrades!$U$8,G286),1)*IF(Upgrades!$T$9="Orbital Resonance",POWER(Upgrades!$U$9,H286),1)*IF(Upgrades!$T$11="Orbital Resonance",POWER(Upgrades!$U$11,J286),1)*IF(Upgrades!$T$12="Orbital Resonance",POWER(Upgrades!$U$12,K286),1))+(IF(J286=0,0,(Upgrades!$J$11+J286*Upgrades!$K$11)*POWER(Upgrades!$L$11,J286)))*(IF(Upgrades!$T$6="Heliopause",POWER(Upgrades!$U$6,E286),1)*IF(Upgrades!$T$7="Heliopause",POWER(Upgrades!$U$7,F286),1)*IF(Upgrades!$T$8="Heliopause",POWER(Upgrades!$U$8,G286),1)*IF(Upgrades!$T$9="Heliopause",POWER(Upgrades!$U$9,H286),1)*IF(Upgrades!$T$10="Heliopause",POWER(Upgrades!$U$10,I286),1)*IF(Upgrades!$T$12="Heliopause",POWER(Upgrades!$U$12,K286),1))+(IF(K286=0,0,(Upgrades!$J$12+K286*Upgrades!$K$12)*POWER(Upgrades!$L$12,K286)))*(IF(Upgrades!$T$6="First Photons",POWER(Upgrades!$U$6,E286),1)*IF(Upgrades!$T$7="First Photons",POWER(Upgrades!$U$7,F286),1)*IF(Upgrades!$T$8="First Photons",POWER(Upgrades!$U$8,G286),1)*IF(Upgrades!$T$9="First Photons",POWER(Upgrades!$U$9,H286),1)*IF(Upgrades!$T$10="First Photons",POWER(Upgrades!$U$10,I286),1)*IF(Upgrades!$T$11="First Photons",POWER(Upgrades!$U$11,J286),1)))*POWER(Upgrades!$Q$6,E286)*POWER(Upgrades!$Q$7,F286)*POWER(Upgrades!$Q$8,G286)*POWER(Upgrades!$Q$9,H286)*POWER(Upgrades!$Q$10,I286)*POWER(Upgrades!$Q$11,J286)*POWER(Upgrades!$Q$12,K286)</f>
        <v/>
      </c>
      <c r="N286" s="28">
        <f>((IF(E286=0,0,(Upgrades!$G$6+E286*Upgrades!$H$6)*POWER(Upgrades!$I$6,E286)))*(IF(Upgrades!$T$7="Solar Wind",POWER(Upgrades!$U$7,F286),1)*IF(Upgrades!$T$8="Solar Wind",POWER(Upgrades!$U$8,G286),1)*IF(Upgrades!$T$9="Solar Wind",POWER(Upgrades!$U$9,H286),1)*IF(Upgrades!$T$10="Solar Wind",POWER(Upgrades!$U$10,I286),1)*IF(Upgrades!$T$11="Solar Wind",POWER(Upgrades!$U$11,J286),1)*IF(Upgrades!$T$12="Solar Wind",POWER(Upgrades!$U$12,K286),1))+(IF(F286=0,0,(Upgrades!$G$7+F286*Upgrades!$H$7)*POWER(Upgrades!$I$7,F286)))*(IF(Upgrades!$T$6="Asteroid Belt",POWER(Upgrades!$U$6,E286),1)*IF(Upgrades!$T$8="Asteroid Belt",POWER(Upgrades!$U$8,G286),1)*IF(Upgrades!$T$9="Asteroid Belt",POWER(Upgrades!$U$9,H286),1)*IF(Upgrades!$T$10="Asteroid Belt",POWER(Upgrades!$U$10,I286),1)*IF(Upgrades!$T$11="Asteroid Belt",POWER(Upgrades!$U$11,J286),1)*IF(Upgrades!$T$12="Asteroid Belt",POWER(Upgrades!$U$12,K286),1))+(IF(G286=0,0,(Upgrades!$G$8+G286*Upgrades!$H$8)*POWER(Upgrades!$I$8,G286)))*(IF(Upgrades!$T$6="Stellar Coupling",POWER(Upgrades!$U$6,E286),1)*IF(Upgrades!$T$7="Stellar Coupling",POWER(Upgrades!$U$7,F286),1)*IF(Upgrades!$T$9="Stellar Coupling",POWER(Upgrades!$U$9,H286),1)*IF(Upgrades!$T$10="Stellar Coupling",POWER(Upgrades!$U$10,I286),1)*IF(Upgrades!$T$11="Stellar Coupling",POWER(Upgrades!$U$11,J286),1)*IF(Upgrades!$T$12="Stellar Coupling",POWER(Upgrades!$U$12,K286),1))+(IF(H286=0,0,(Upgrades!$G$9+H286*Upgrades!$H$9)*POWER(Upgrades!$I$9,H286)))*(IF(Upgrades!$T$6="Magnetosphere",POWER(Upgrades!$U$6,E286),1)*IF(Upgrades!$T$7="Magnetosphere",POWER(Upgrades!$U$7,F286),1)*IF(Upgrades!$T$8="Magnetosphere",POWER(Upgrades!$U$8,G286),1)*IF(Upgrades!$T$10="Magnetosphere",POWER(Upgrades!$U$10,I286),1)*IF(Upgrades!$T$11="Magnetosphere",POWER(Upgrades!$U$11,J286),1)*IF(Upgrades!$T$12="Magnetosphere",POWER(Upgrades!$U$12,K286),1))+(IF(I286=0,0,(Upgrades!$G$10+I286*Upgrades!$H$10)*POWER(Upgrades!$I$10,I286)))*(IF(Upgrades!$T$6="Orbital Resonance",POWER(Upgrades!$U$6,E286),1)*IF(Upgrades!$T$7="Orbital Resonance",POWER(Upgrades!$U$7,F286),1)*IF(Upgrades!$T$8="Orbital Resonance",POWER(Upgrades!$U$8,G286),1)*IF(Upgrades!$T$9="Orbital Resonance",POWER(Upgrades!$U$9,H286),1)*IF(Upgrades!$T$11="Orbital Resonance",POWER(Upgrades!$U$11,J286),1)*IF(Upgrades!$T$12="Orbital Resonance",POWER(Upgrades!$U$12,K286),1))+(IF(J286=0,0,(Upgrades!$G$11+J286*Upgrades!$H$11)*POWER(Upgrades!$I$11,J286)))*(IF(Upgrades!$T$6="Heliopause",POWER(Upgrades!$U$6,E286),1)*IF(Upgrades!$T$7="Heliopause",POWER(Upgrades!$U$7,F286),1)*IF(Upgrades!$T$8="Heliopause",POWER(Upgrades!$U$8,G286),1)*IF(Upgrades!$T$9="Heliopause",POWER(Upgrades!$U$9,H286),1)*IF(Upgrades!$T$10="Heliopause",POWER(Upgrades!$U$10,I286),1)*IF(Upgrades!$T$12="Heliopause",POWER(Upgrades!$U$12,K286),1))+(IF(K286=0,0,(Upgrades!$G$12+K286*Upgrades!$H$12)*POWER(Upgrades!$I$12,K286)))*(IF(Upgrades!$T$6="First Photons",POWER(Upgrades!$U$6,E286),1)*IF(Upgrades!$T$7="First Photons",POWER(Upgrades!$U$7,F286),1)*IF(Upgrades!$T$8="First Photons",POWER(Upgrades!$U$8,G286),1)*IF(Upgrades!$T$9="First Photons",POWER(Upgrades!$U$9,H286),1)*IF(Upgrades!$T$10="First Photons",POWER(Upgrades!$U$10,I286),1)*IF(Upgrades!$T$11="First Photons",POWER(Upgrades!$U$11,J286),1)))*POWER(Upgrades!$P$6,E286)*POWER(Upgrades!$P$7,F286)*POWER(Upgrades!$P$8,G286)*POWER(Upgrades!$P$9,H286)*POWER(Upgrades!$P$10,I286)*POWER(Upgrades!$P$11,J286)*POWER(Upgrades!$P$12,K286)</f>
        <v/>
      </c>
      <c r="O286" s="28">
        <f>((IF(E286=0,0,(Upgrades!$M$6+E286*Upgrades!$N$6)*POWER(Upgrades!$O$6,E286)))*(IF(Upgrades!$T$7="Solar Wind",POWER(Upgrades!$U$7,F286),1)*IF(Upgrades!$T$8="Solar Wind",POWER(Upgrades!$U$8,G286),1)*IF(Upgrades!$T$9="Solar Wind",POWER(Upgrades!$U$9,H286),1)*IF(Upgrades!$T$10="Solar Wind",POWER(Upgrades!$U$10,I286),1)*IF(Upgrades!$T$11="Solar Wind",POWER(Upgrades!$U$11,J286),1)*IF(Upgrades!$T$12="Solar Wind",POWER(Upgrades!$U$12,K286),1))+(IF(F286=0,0,(Upgrades!$M$7+F286*Upgrades!$N$7)*POWER(Upgrades!$O$7,F286)))*(IF(Upgrades!$T$6="Asteroid Belt",POWER(Upgrades!$U$6,E286),1)*IF(Upgrades!$T$8="Asteroid Belt",POWER(Upgrades!$U$8,G286),1)*IF(Upgrades!$T$9="Asteroid Belt",POWER(Upgrades!$U$9,H286),1)*IF(Upgrades!$T$10="Asteroid Belt",POWER(Upgrades!$U$10,I286),1)*IF(Upgrades!$T$11="Asteroid Belt",POWER(Upgrades!$U$11,J286),1)*IF(Upgrades!$T$12="Asteroid Belt",POWER(Upgrades!$U$12,K286),1))+(IF(G286=0,0,(Upgrades!$M$8+G286*Upgrades!$N$8)*POWER(Upgrades!$O$8,G286)))*(IF(Upgrades!$T$6="Stellar Coupling",POWER(Upgrades!$U$6,E286),1)*IF(Upgrades!$T$7="Stellar Coupling",POWER(Upgrades!$U$7,F286),1)*IF(Upgrades!$T$9="Stellar Coupling",POWER(Upgrades!$U$9,H286),1)*IF(Upgrades!$T$10="Stellar Coupling",POWER(Upgrades!$U$10,I286),1)*IF(Upgrades!$T$11="Stellar Coupling",POWER(Upgrades!$U$11,J286),1)*IF(Upgrades!$T$12="Stellar Coupling",POWER(Upgrades!$U$12,K286),1))+(IF(H286=0,0,(Upgrades!$M$9+H286*Upgrades!$N$9)*POWER(Upgrades!$O$9,H286)))*(IF(Upgrades!$T$6="Magnetosphere",POWER(Upgrades!$U$6,E286),1)*IF(Upgrades!$T$7="Magnetosphere",POWER(Upgrades!$U$7,F286),1)*IF(Upgrades!$T$8="Magnetosphere",POWER(Upgrades!$U$8,G286),1)*IF(Upgrades!$T$10="Magnetosphere",POWER(Upgrades!$U$10,I286),1)*IF(Upgrades!$T$11="Magnetosphere",POWER(Upgrades!$U$11,J286),1)*IF(Upgrades!$T$12="Magnetosphere",POWER(Upgrades!$U$12,K286),1))+(IF(I286=0,0,(Upgrades!$M$10+I286*Upgrades!$N$10)*POWER(Upgrades!$O$10,I286)))*(IF(Upgrades!$T$6="Orbital Resonance",POWER(Upgrades!$U$6,E286),1)*IF(Upgrades!$T$7="Orbital Resonance",POWER(Upgrades!$U$7,F286),1)*IF(Upgrades!$T$8="Orbital Resonance",POWER(Upgrades!$U$8,G286),1)*IF(Upgrades!$T$9="Orbital Resonance",POWER(Upgrades!$U$9,H286),1)*IF(Upgrades!$T$11="Orbital Resonance",POWER(Upgrades!$U$11,J286),1)*IF(Upgrades!$T$12="Orbital Resonance",POWER(Upgrades!$U$12,K286),1))+(IF(J286=0,0,(Upgrades!$M$11+J286*Upgrades!$N$11)*POWER(Upgrades!$O$11,J286)))*(IF(Upgrades!$T$6="Heliopause",POWER(Upgrades!$U$6,E286),1)*IF(Upgrades!$T$7="Heliopause",POWER(Upgrades!$U$7,F286),1)*IF(Upgrades!$T$8="Heliopause",POWER(Upgrades!$U$8,G286),1)*IF(Upgrades!$T$9="Heliopause",POWER(Upgrades!$U$9,H286),1)*IF(Upgrades!$T$10="Heliopause",POWER(Upgrades!$U$10,I286),1)*IF(Upgrades!$T$12="Heliopause",POWER(Upgrades!$U$12,K286),1))+(IF(K286=0,0,(Upgrades!$M$12+K286*Upgrades!$N$12)*POWER(Upgrades!$O$12,K286)))*(IF(Upgrades!$T$6="First Photons",POWER(Upgrades!$U$6,E286),1)*IF(Upgrades!$T$7="First Photons",POWER(Upgrades!$U$7,F286),1)*IF(Upgrades!$T$8="First Photons",POWER(Upgrades!$U$8,G286),1)*IF(Upgrades!$T$9="First Photons",POWER(Upgrades!$U$9,H286),1)*IF(Upgrades!$T$10="First Photons",POWER(Upgrades!$U$10,I286),1)*IF(Upgrades!$T$11="First Photons",POWER(Upgrades!$U$11,J286),1)))*POWER(Upgrades!$R$6,E286)*POWER(Upgrades!$R$7,F286)*POWER(Upgrades!$R$8,G286)*POWER(Upgrades!$R$9,H286)*POWER(Upgrades!$R$10,I286)*POWER(Upgrades!$R$11,J286)*POWER(Upgrades!$R$12,K286)</f>
        <v/>
      </c>
      <c r="P286" s="27">
        <f>IF(L286=1,0,M286*Parameters!$B$10/60*Parameters!$B$11*10)</f>
        <v/>
      </c>
      <c r="Q286" s="27">
        <f>IF(L286=1,0,O286*M286*10)</f>
        <v/>
      </c>
      <c r="R286" s="27">
        <f>IF(L286=1,0,N286*10)</f>
        <v/>
      </c>
      <c r="S286" s="27">
        <f>P286+Q286+R286</f>
        <v/>
      </c>
      <c r="T286" s="22">
        <f>C286+S286</f>
        <v/>
      </c>
      <c r="U286" s="33">
        <f>AX286</f>
        <v/>
      </c>
      <c r="V286" s="22">
        <f>IF(U286="",0,IF(U286="transition",0,IF(U286="SW",AG286,IF(U286="AB",AH286,IF(U286="SC",AI286,IF(U286="Mag",AJ286,IF(U286="OR",AK286,IF(U286="HP",AL286,IF(U286="FP",AM286,0)))))))))</f>
        <v/>
      </c>
      <c r="W286" s="27">
        <f>IF(U286="OR",Upgrades!$F$10,IF(U286="HP",Upgrades!$F$11,IF(U286="transition",-Parameters!$B$18,0)))</f>
        <v/>
      </c>
      <c r="X286" s="22">
        <f>T286-V286</f>
        <v/>
      </c>
      <c r="Y286" s="30">
        <f>M286*Parameters!$B$10/60*Parameters!$B$11+O286*M286+N286</f>
        <v/>
      </c>
      <c r="Z286" s="34">
        <f>IF(U286="transition","→ Tier 2 (Stellar Neighborhood)",IF(U286="FP","First Photons — light begins, system quickens",IF(U286="HP","Heliopause acquired",IF(U286="OR","Orbital Resonance — passive multiplier active",IF(AND(AO286=1,L286=0,AN286&lt;&gt;1),"Cohesion ready (waiting on completionist upgrades)","")))))</f>
        <v/>
      </c>
      <c r="AA286" s="27">
        <f>(IF(E286=0,0,(Upgrades!$G$6+E286*Upgrades!$H$6)*POWER(Upgrades!$I$6,E286)))*(IF(Upgrades!$T$7="Solar Wind",POWER(Upgrades!$U$7,F286),1)*IF(Upgrades!$T$8="Solar Wind",POWER(Upgrades!$U$8,G286),1)*IF(Upgrades!$T$9="Solar Wind",POWER(Upgrades!$U$9,H286),1)*IF(Upgrades!$T$10="Solar Wind",POWER(Upgrades!$U$10,I286),1)*IF(Upgrades!$T$11="Solar Wind",POWER(Upgrades!$U$11,J286),1)*IF(Upgrades!$T$12="Solar Wind",POWER(Upgrades!$U$12,K286),1))*POWER(Upgrades!$P$6,E286)*POWER(Upgrades!$P$7,F286)*POWER(Upgrades!$P$8,G286)*POWER(Upgrades!$P$9,H286)*POWER(Upgrades!$P$10,I286)*POWER(Upgrades!$P$11,J286)*POWER(Upgrades!$P$12,K286)*60</f>
        <v/>
      </c>
      <c r="AB286" s="27">
        <f>(IF(F286=0,0,(Upgrades!$G$7+F286*Upgrades!$H$7)*POWER(Upgrades!$I$7,F286)))*(IF(Upgrades!$T$6="Asteroid Belt",POWER(Upgrades!$U$6,E286),1)*IF(Upgrades!$T$8="Asteroid Belt",POWER(Upgrades!$U$8,G286),1)*IF(Upgrades!$T$9="Asteroid Belt",POWER(Upgrades!$U$9,H286),1)*IF(Upgrades!$T$10="Asteroid Belt",POWER(Upgrades!$U$10,I286),1)*IF(Upgrades!$T$11="Asteroid Belt",POWER(Upgrades!$U$11,J286),1)*IF(Upgrades!$T$12="Asteroid Belt",POWER(Upgrades!$U$12,K286),1))*POWER(Upgrades!$P$6,E286)*POWER(Upgrades!$P$7,F286)*POWER(Upgrades!$P$8,G286)*POWER(Upgrades!$P$9,H286)*POWER(Upgrades!$P$10,I286)*POWER(Upgrades!$P$11,J286)*POWER(Upgrades!$P$12,K286)*60</f>
        <v/>
      </c>
      <c r="AC286" s="27">
        <f>(IF(G286=0,0,(Upgrades!$J$8+G286*Upgrades!$K$8)*POWER(Upgrades!$L$8,G286)))*(IF(Upgrades!$T$6="Stellar Coupling",POWER(Upgrades!$U$6,E286),1)*IF(Upgrades!$T$7="Stellar Coupling",POWER(Upgrades!$U$7,F286),1)*IF(Upgrades!$T$9="Stellar Coupling",POWER(Upgrades!$U$9,H286),1)*IF(Upgrades!$T$10="Stellar Coupling",POWER(Upgrades!$U$10,I286),1)*IF(Upgrades!$T$11="Stellar Coupling",POWER(Upgrades!$U$11,J286),1)*IF(Upgrades!$T$12="Stellar Coupling",POWER(Upgrades!$U$12,K286),1))*POWER(Upgrades!$Q$6,E286)*POWER(Upgrades!$Q$7,F286)*POWER(Upgrades!$Q$8,G286)*POWER(Upgrades!$Q$9,H286)*POWER(Upgrades!$Q$10,I286)*POWER(Upgrades!$Q$11,J286)*POWER(Upgrades!$Q$12,K286)*Parameters!$B$10*Parameters!$B$11</f>
        <v/>
      </c>
      <c r="AD286" s="27">
        <f>(IF(H286=0,0,(Upgrades!$G$9+H286*Upgrades!$H$9)*POWER(Upgrades!$I$9,H286)))*(IF(Upgrades!$T$6="Magnetosphere",POWER(Upgrades!$U$6,E286),1)*IF(Upgrades!$T$7="Magnetosphere",POWER(Upgrades!$U$7,F286),1)*IF(Upgrades!$T$8="Magnetosphere",POWER(Upgrades!$U$8,G286),1)*IF(Upgrades!$T$10="Magnetosphere",POWER(Upgrades!$U$10,I286),1)*IF(Upgrades!$T$11="Magnetosphere",POWER(Upgrades!$U$11,J286),1)*IF(Upgrades!$T$12="Magnetosphere",POWER(Upgrades!$U$12,K286),1))*POWER(Upgrades!$P$6,E286)*POWER(Upgrades!$P$7,F286)*POWER(Upgrades!$P$8,G286)*POWER(Upgrades!$P$9,H286)*POWER(Upgrades!$P$10,I286)*POWER(Upgrades!$P$11,J286)*POWER(Upgrades!$P$12,K286)*60</f>
        <v/>
      </c>
      <c r="AE286" s="27">
        <f>(IF(K286=0,0,(Upgrades!$G$12+K286*Upgrades!$H$12)*POWER(Upgrades!$I$12,K286)))*(IF(Upgrades!$T$6="First Photons",POWER(Upgrades!$U$6,E286),1)*IF(Upgrades!$T$7="First Photons",POWER(Upgrades!$U$7,F286),1)*IF(Upgrades!$T$8="First Photons",POWER(Upgrades!$U$8,G286),1)*IF(Upgrades!$T$9="First Photons",POWER(Upgrades!$U$9,H286),1)*IF(Upgrades!$T$10="First Photons",POWER(Upgrades!$U$10,I286),1)*IF(Upgrades!$T$11="First Photons",POWER(Upgrades!$U$11,J286),1))*POWER(Upgrades!$P$6,E286)*POWER(Upgrades!$P$7,F286)*POWER(Upgrades!$P$8,G286)*POWER(Upgrades!$P$9,H286)*POWER(Upgrades!$P$10,I286)*POWER(Upgrades!$P$11,J286)*POWER(Upgrades!$P$12,K286)*60</f>
        <v/>
      </c>
      <c r="AF286" s="27">
        <f>Parameters!$B$9*POWER(Upgrades!$Q$6,E286)*POWER(Upgrades!$Q$7,F286)*POWER(Upgrades!$Q$8,G286)*POWER(Upgrades!$Q$9,H286)*POWER(Upgrades!$Q$10,I286)*POWER(Upgrades!$Q$11,J286)*POWER(Upgrades!$Q$12,K286)*(Parameters!$B$10*Parameters!$B$11+O286*60)</f>
        <v/>
      </c>
      <c r="AG286" s="22">
        <f>IF(E286&gt;=Upgrades!$E$6,"",Upgrades!$C$6*POWER(Upgrades!$D$6,E286))</f>
        <v/>
      </c>
      <c r="AH286" s="22">
        <f>IF(F286&gt;=Upgrades!$E$7,"",Upgrades!$C$7*POWER(Upgrades!$D$7,F286))</f>
        <v/>
      </c>
      <c r="AI286" s="22">
        <f>IF(G286&gt;=Upgrades!$E$8,"",Upgrades!$C$8*POWER(Upgrades!$D$8,G286))</f>
        <v/>
      </c>
      <c r="AJ286" s="22">
        <f>IF(H286&gt;=Upgrades!$E$9,"",Upgrades!$C$9*POWER(Upgrades!$D$9,H286))</f>
        <v/>
      </c>
      <c r="AK286" s="22">
        <f>IF(I286&gt;=Upgrades!$E$10,"",Upgrades!$C$10*POWER(Upgrades!$D$10,I286))</f>
        <v/>
      </c>
      <c r="AL286" s="22">
        <f>IF(J286&gt;=Upgrades!$E$11,"",Upgrades!$C$11*POWER(Upgrades!$D$11,J286))</f>
        <v/>
      </c>
      <c r="AM286" s="22">
        <f>IF(K286&gt;=Upgrades!$E$12,"",Upgrades!$C$12*POWER(Upgrades!$D$12,K286))</f>
        <v/>
      </c>
      <c r="AN286" s="26">
        <f>IF(AND(D286&gt;=Parameters!$B$18,(H286&gt;=Upgrades!$E$9)*(K286&gt;=Upgrades!$E$12)=1,L286=0),1,"")</f>
        <v/>
      </c>
      <c r="AO286" s="26">
        <f>IF(AND(D286&gt;=Parameters!$B$18,L286=0),1,"")</f>
        <v/>
      </c>
      <c r="AP286" s="22">
        <f>MIN(IF(ISNUMBER(AK286),AK286,9E15),IF(ISNUMBER(AL286),AL286,9E15),IF(ISNUMBER(AM286),AM286,9E15))</f>
        <v/>
      </c>
      <c r="AQ286" s="22">
        <f>MIN(IF(ISNUMBER(AG286),AG286,9E15),IF(ISNUMBER(AH286),AH286,9E15),IF(ISNUMBER(AI286),AI286,9E15),IF(ISNUMBER(AJ286),AJ286,9E15))</f>
        <v/>
      </c>
      <c r="AR286" s="29">
        <f>IF(AW286&gt;Parameters!$B$21*(MAX(IF(AND(NOT(AND(AO286=1,AN286&lt;&gt;1)),ISNUMBER(AG286),AG286&lt;=T286),AS286,0),IF(AND(NOT(AND(AO286=1,AN286&lt;&gt;1)),ISNUMBER(AH286),AH286&lt;=T286),AT286,0),IF(AND(NOT(AND(AO286=1,AN286&lt;&gt;1)),ISNUMBER(AI286),AI286&lt;=T286),AU286,0),IF(AND(ISNUMBER(AJ286),AJ286&lt;=T286),AV286,0))),TRUE,FALSE)</f>
        <v/>
      </c>
      <c r="AS286" s="32">
        <f>IFERROR(Upgrades!$H$6*(POWER(Upgrades!$P$6,E286)*POWER(Upgrades!$P$7,F286)*POWER(Upgrades!$P$8,G286)*POWER(Upgrades!$P$9,H286)*POWER(Upgrades!$P$10,I286)*POWER(Upgrades!$P$11,J286)*POWER(Upgrades!$P$12,K286))*(IF(Upgrades!$T$7="Solar Wind",POWER(Upgrades!$U$7,F286),1)*IF(Upgrades!$T$8="Solar Wind",POWER(Upgrades!$U$8,G286),1)*IF(Upgrades!$T$9="Solar Wind",POWER(Upgrades!$U$9,H286),1)*IF(Upgrades!$T$10="Solar Wind",POWER(Upgrades!$U$10,I286),1)*IF(Upgrades!$T$11="Solar Wind",POWER(Upgrades!$U$11,J286),1)*IF(Upgrades!$T$12="Solar Wind",POWER(Upgrades!$U$12,K286),1))/AG286,0)</f>
        <v/>
      </c>
      <c r="AT286" s="32">
        <f>IFERROR(Upgrades!$H$7*(POWER(Upgrades!$P$6,E286)*POWER(Upgrades!$P$7,F286)*POWER(Upgrades!$P$8,G286)*POWER(Upgrades!$P$9,H286)*POWER(Upgrades!$P$10,I286)*POWER(Upgrades!$P$11,J286)*POWER(Upgrades!$P$12,K286))*(IF(Upgrades!$T$6="Asteroid Belt",POWER(Upgrades!$U$6,E286),1)*IF(Upgrades!$T$8="Asteroid Belt",POWER(Upgrades!$U$8,G286),1)*IF(Upgrades!$T$9="Asteroid Belt",POWER(Upgrades!$U$9,H286),1)*IF(Upgrades!$T$10="Asteroid Belt",POWER(Upgrades!$U$10,I286),1)*IF(Upgrades!$T$11="Asteroid Belt",POWER(Upgrades!$U$11,J286),1)*IF(Upgrades!$T$12="Asteroid Belt",POWER(Upgrades!$U$12,K286),1))/AH286,0)</f>
        <v/>
      </c>
      <c r="AU286" s="32">
        <f>IFERROR(Upgrades!$K$8*(POWER(Upgrades!$Q$6,E286)*POWER(Upgrades!$Q$7,F286)*POWER(Upgrades!$Q$8,G286)*POWER(Upgrades!$Q$9,H286)*POWER(Upgrades!$Q$10,I286)*POWER(Upgrades!$Q$11,J286)*POWER(Upgrades!$Q$12,K286))*(IF(Upgrades!$T$6="Stellar Coupling",POWER(Upgrades!$U$6,E286),1)*IF(Upgrades!$T$7="Stellar Coupling",POWER(Upgrades!$U$7,F286),1)*IF(Upgrades!$T$9="Stellar Coupling",POWER(Upgrades!$U$9,H286),1)*IF(Upgrades!$T$10="Stellar Coupling",POWER(Upgrades!$U$10,I286),1)*IF(Upgrades!$T$11="Stellar Coupling",POWER(Upgrades!$U$11,J286),1)*IF(Upgrades!$T$12="Stellar Coupling",POWER(Upgrades!$U$12,K286),1))*Parameters!$B$10*Parameters!$B$11/60/AI286,0)</f>
        <v/>
      </c>
      <c r="AV286" s="32">
        <f>IFERROR(Upgrades!$H$9*(POWER(Upgrades!$P$6,E286)*POWER(Upgrades!$P$7,F286)*POWER(Upgrades!$P$8,G286)*POWER(Upgrades!$P$9,H286)*POWER(Upgrades!$P$10,I286)*POWER(Upgrades!$P$11,J286)*POWER(Upgrades!$P$12,K286))*(IF(Upgrades!$T$6="Magnetosphere",POWER(Upgrades!$U$6,E286),1)*IF(Upgrades!$T$7="Magnetosphere",POWER(Upgrades!$U$7,F286),1)*IF(Upgrades!$T$8="Magnetosphere",POWER(Upgrades!$U$8,G286),1)*IF(Upgrades!$T$10="Magnetosphere",POWER(Upgrades!$U$10,I286),1)*IF(Upgrades!$T$11="Magnetosphere",POWER(Upgrades!$U$11,J286),1)*IF(Upgrades!$T$12="Magnetosphere",POWER(Upgrades!$U$12,K286),1))/AJ286,0)</f>
        <v/>
      </c>
      <c r="AW286" s="32">
        <f>MAX(IF(I286&gt;0,0,IFERROR(0.25*N286/Upgrades!$C$10,0)),IF(J286&gt;0,0,IFERROR(0.5*((IF(G286=0,0,(Upgrades!$J$8+G286*Upgrades!$K$8)*POWER(Upgrades!$L$8,G286)))*(IF(Upgrades!$T$6="Stellar Coupling",POWER(Upgrades!$U$6,E286),1)*IF(Upgrades!$T$7="Stellar Coupling",POWER(Upgrades!$U$7,F286),1)*IF(Upgrades!$T$9="Stellar Coupling",POWER(Upgrades!$U$9,H286),1)*IF(Upgrades!$T$10="Stellar Coupling",POWER(Upgrades!$U$10,I286),1)*IF(Upgrades!$T$11="Stellar Coupling",POWER(Upgrades!$U$11,J286),1)*IF(Upgrades!$T$12="Stellar Coupling",POWER(Upgrades!$U$12,K286),1))*(POWER(Upgrades!$Q$6,E286)*POWER(Upgrades!$Q$7,F286)*POWER(Upgrades!$Q$8,G286)*POWER(Upgrades!$Q$9,H286)*POWER(Upgrades!$Q$10,I286)*POWER(Upgrades!$Q$11,J286)*POWER(Upgrades!$Q$12,K286))*Parameters!$B$10*Parameters!$B$11/60)/Upgrades!$C$11,0)),IF(K286&gt;0,0,IFERROR((1.0*(POWER(Upgrades!$P$6,E286)*POWER(Upgrades!$P$7,F286)*POWER(Upgrades!$P$8,G286)*POWER(Upgrades!$P$9,H286)*POWER(Upgrades!$P$10,I286)*POWER(Upgrades!$P$11,J286)*POWER(Upgrades!$P$12,K286))+0.20*M286*Parameters!$B$10*Parameters!$B$11/60)/Upgrades!$C$12,0)),IF(AND(ISNUMBER(AG286),AG286&gt;T286),AS286,0),IF(AND(ISNUMBER(AH286),AH286&gt;T286),AT286,0),IF(AND(ISNUMBER(AI286),AI286&gt;T286),AU286,0),IF(AND(ISNUMBER(AJ286),AJ286&gt;T286),AV286,0))</f>
        <v/>
      </c>
      <c r="AX286" s="29">
        <f>IF(AN286=1,"transition",IF(MIN(IF(AND(I286=0,ISNUMBER(AK286),AK286&lt;=T286),AK286,9E15),IF(AND(J286=0,ISNUMBER(AL286),AL286&lt;=T286),AL286,9E15),IF(AND(K286=0,ISNUMBER(AM286),AM286&lt;=T286),AM286,9E15))&lt;9E15,IF(AND(AND(I286=0,ISNUMBER(AK286),AK286&lt;=T286),AK286=MIN(IF(AND(I286=0,ISNUMBER(AK286),AK286&lt;=T286),AK286,9E15),IF(AND(J286=0,ISNUMBER(AL286),AL286&lt;=T286),AL286,9E15),IF(AND(K286=0,ISNUMBER(AM286),AM286&lt;=T286),AM286,9E15))),"OR",IF(AND(AND(J286=0,ISNUMBER(AL286),AL286&lt;=T286),AL286=MIN(IF(AND(I286=0,ISNUMBER(AK286),AK286&lt;=T286),AK286,9E15),IF(AND(J286=0,ISNUMBER(AL286),AL286&lt;=T286),AL286,9E15),IF(AND(K286=0,ISNUMBER(AM286),AM286&lt;=T286),AM286,9E15))),"HP","FP")),IF(AR286=TRUE,"",IF(MAX(IF(AND(NOT(AND(AO286=1,AN286&lt;&gt;1)),ISNUMBER(AG286),AG286&lt;=T286),AS286,0),IF(AND(NOT(AND(AO286=1,AN286&lt;&gt;1)),ISNUMBER(AH286),AH286&lt;=T286),AT286,0),IF(AND(NOT(AND(AO286=1,AN286&lt;&gt;1)),ISNUMBER(AI286),AI286&lt;=T286),AU286,0),IF(AND(ISNUMBER(AJ286),AJ286&lt;=T286),AV286,0))&lt;=0,"",IF(AND(IF(AND(NOT(AND(AO286=1,AN286&lt;&gt;1)),ISNUMBER(AG286),AG286&lt;=T286),AS286,0)&gt;0,IF(AND(NOT(AND(AO286=1,AN286&lt;&gt;1)),ISNUMBER(AG286),AG286&lt;=T286),AS286,0)=MAX(IF(AND(NOT(AND(AO286=1,AN286&lt;&gt;1)),ISNUMBER(AG286),AG286&lt;=T286),AS286,0),IF(AND(NOT(AND(AO286=1,AN286&lt;&gt;1)),ISNUMBER(AH286),AH286&lt;=T286),AT286,0),IF(AND(NOT(AND(AO286=1,AN286&lt;&gt;1)),ISNUMBER(AI286),AI286&lt;=T286),AU286,0),IF(AND(ISNUMBER(AJ286),AJ286&lt;=T286),AV286,0))),"SW",IF(AND(IF(AND(NOT(AND(AO286=1,AN286&lt;&gt;1)),ISNUMBER(AH286),AH286&lt;=T286),AT286,0)&gt;0,IF(AND(NOT(AND(AO286=1,AN286&lt;&gt;1)),ISNUMBER(AH286),AH286&lt;=T286),AT286,0)=MAX(IF(AND(NOT(AND(AO286=1,AN286&lt;&gt;1)),ISNUMBER(AG286),AG286&lt;=T286),AS286,0),IF(AND(NOT(AND(AO286=1,AN286&lt;&gt;1)),ISNUMBER(AH286),AH286&lt;=T286),AT286,0),IF(AND(NOT(AND(AO286=1,AN286&lt;&gt;1)),ISNUMBER(AI286),AI286&lt;=T286),AU286,0),IF(AND(ISNUMBER(AJ286),AJ286&lt;=T286),AV286,0))),"AB",IF(AND(IF(AND(NOT(AND(AO286=1,AN286&lt;&gt;1)),ISNUMBER(AI286),AI286&lt;=T286),AU286,0)&gt;0,IF(AND(NOT(AND(AO286=1,AN286&lt;&gt;1)),ISNUMBER(AI286),AI286&lt;=T286),AU286,0)=MAX(IF(AND(NOT(AND(AO286=1,AN286&lt;&gt;1)),ISNUMBER(AG286),AG286&lt;=T286),AS286,0),IF(AND(NOT(AND(AO286=1,AN286&lt;&gt;1)),ISNUMBER(AH286),AH286&lt;=T286),AT286,0),IF(AND(NOT(AND(AO286=1,AN286&lt;&gt;1)),ISNUMBER(AI286),AI286&lt;=T286),AU286,0),IF(AND(ISNUMBER(AJ286),AJ286&lt;=T286),AV286,0))),"SC","Mag")))))))</f>
        <v/>
      </c>
    </row>
    <row r="287">
      <c r="A287" s="26" t="n">
        <v>282</v>
      </c>
      <c r="B287" s="27">
        <f>A287*10/60</f>
        <v/>
      </c>
      <c r="C287" s="22">
        <f>X286</f>
        <v/>
      </c>
      <c r="D287" s="27">
        <f>D286+W286</f>
        <v/>
      </c>
      <c r="E287" s="26">
        <f>E286+IF(U286="SW",1,0)</f>
        <v/>
      </c>
      <c r="F287" s="26">
        <f>F286+IF(U286="AB",1,0)</f>
        <v/>
      </c>
      <c r="G287" s="26">
        <f>G286+IF(U286="SC",1,0)</f>
        <v/>
      </c>
      <c r="H287" s="26">
        <f>H286+IF(U286="Mag",1,0)</f>
        <v/>
      </c>
      <c r="I287" s="26">
        <f>MAX(I286,IF(U286="OR",1,0))</f>
        <v/>
      </c>
      <c r="J287" s="26">
        <f>MAX(J286,IF(U286="HP",1,0))</f>
        <v/>
      </c>
      <c r="K287" s="26">
        <f>MAX(K286,IF(U286="FP",1,0))</f>
        <v/>
      </c>
      <c r="L287" s="26">
        <f>MAX(L286,IF(U286="transition",1,0))</f>
        <v/>
      </c>
      <c r="M287" s="28">
        <f>(Parameters!$B$9+(IF(E287=0,0,(Upgrades!$J$6+E287*Upgrades!$K$6)*POWER(Upgrades!$L$6,E287)))*(IF(Upgrades!$T$7="Solar Wind",POWER(Upgrades!$U$7,F287),1)*IF(Upgrades!$T$8="Solar Wind",POWER(Upgrades!$U$8,G287),1)*IF(Upgrades!$T$9="Solar Wind",POWER(Upgrades!$U$9,H287),1)*IF(Upgrades!$T$10="Solar Wind",POWER(Upgrades!$U$10,I287),1)*IF(Upgrades!$T$11="Solar Wind",POWER(Upgrades!$U$11,J287),1)*IF(Upgrades!$T$12="Solar Wind",POWER(Upgrades!$U$12,K287),1))+(IF(F287=0,0,(Upgrades!$J$7+F287*Upgrades!$K$7)*POWER(Upgrades!$L$7,F287)))*(IF(Upgrades!$T$6="Asteroid Belt",POWER(Upgrades!$U$6,E287),1)*IF(Upgrades!$T$8="Asteroid Belt",POWER(Upgrades!$U$8,G287),1)*IF(Upgrades!$T$9="Asteroid Belt",POWER(Upgrades!$U$9,H287),1)*IF(Upgrades!$T$10="Asteroid Belt",POWER(Upgrades!$U$10,I287),1)*IF(Upgrades!$T$11="Asteroid Belt",POWER(Upgrades!$U$11,J287),1)*IF(Upgrades!$T$12="Asteroid Belt",POWER(Upgrades!$U$12,K287),1))+(IF(G287=0,0,(Upgrades!$J$8+G287*Upgrades!$K$8)*POWER(Upgrades!$L$8,G287)))*(IF(Upgrades!$T$6="Stellar Coupling",POWER(Upgrades!$U$6,E287),1)*IF(Upgrades!$T$7="Stellar Coupling",POWER(Upgrades!$U$7,F287),1)*IF(Upgrades!$T$9="Stellar Coupling",POWER(Upgrades!$U$9,H287),1)*IF(Upgrades!$T$10="Stellar Coupling",POWER(Upgrades!$U$10,I287),1)*IF(Upgrades!$T$11="Stellar Coupling",POWER(Upgrades!$U$11,J287),1)*IF(Upgrades!$T$12="Stellar Coupling",POWER(Upgrades!$U$12,K287),1))+(IF(H287=0,0,(Upgrades!$J$9+H287*Upgrades!$K$9)*POWER(Upgrades!$L$9,H287)))*(IF(Upgrades!$T$6="Magnetosphere",POWER(Upgrades!$U$6,E287),1)*IF(Upgrades!$T$7="Magnetosphere",POWER(Upgrades!$U$7,F287),1)*IF(Upgrades!$T$8="Magnetosphere",POWER(Upgrades!$U$8,G287),1)*IF(Upgrades!$T$10="Magnetosphere",POWER(Upgrades!$U$10,I287),1)*IF(Upgrades!$T$11="Magnetosphere",POWER(Upgrades!$U$11,J287),1)*IF(Upgrades!$T$12="Magnetosphere",POWER(Upgrades!$U$12,K287),1))+(IF(I287=0,0,(Upgrades!$J$10+I287*Upgrades!$K$10)*POWER(Upgrades!$L$10,I287)))*(IF(Upgrades!$T$6="Orbital Resonance",POWER(Upgrades!$U$6,E287),1)*IF(Upgrades!$T$7="Orbital Resonance",POWER(Upgrades!$U$7,F287),1)*IF(Upgrades!$T$8="Orbital Resonance",POWER(Upgrades!$U$8,G287),1)*IF(Upgrades!$T$9="Orbital Resonance",POWER(Upgrades!$U$9,H287),1)*IF(Upgrades!$T$11="Orbital Resonance",POWER(Upgrades!$U$11,J287),1)*IF(Upgrades!$T$12="Orbital Resonance",POWER(Upgrades!$U$12,K287),1))+(IF(J287=0,0,(Upgrades!$J$11+J287*Upgrades!$K$11)*POWER(Upgrades!$L$11,J287)))*(IF(Upgrades!$T$6="Heliopause",POWER(Upgrades!$U$6,E287),1)*IF(Upgrades!$T$7="Heliopause",POWER(Upgrades!$U$7,F287),1)*IF(Upgrades!$T$8="Heliopause",POWER(Upgrades!$U$8,G287),1)*IF(Upgrades!$T$9="Heliopause",POWER(Upgrades!$U$9,H287),1)*IF(Upgrades!$T$10="Heliopause",POWER(Upgrades!$U$10,I287),1)*IF(Upgrades!$T$12="Heliopause",POWER(Upgrades!$U$12,K287),1))+(IF(K287=0,0,(Upgrades!$J$12+K287*Upgrades!$K$12)*POWER(Upgrades!$L$12,K287)))*(IF(Upgrades!$T$6="First Photons",POWER(Upgrades!$U$6,E287),1)*IF(Upgrades!$T$7="First Photons",POWER(Upgrades!$U$7,F287),1)*IF(Upgrades!$T$8="First Photons",POWER(Upgrades!$U$8,G287),1)*IF(Upgrades!$T$9="First Photons",POWER(Upgrades!$U$9,H287),1)*IF(Upgrades!$T$10="First Photons",POWER(Upgrades!$U$10,I287),1)*IF(Upgrades!$T$11="First Photons",POWER(Upgrades!$U$11,J287),1)))*POWER(Upgrades!$Q$6,E287)*POWER(Upgrades!$Q$7,F287)*POWER(Upgrades!$Q$8,G287)*POWER(Upgrades!$Q$9,H287)*POWER(Upgrades!$Q$10,I287)*POWER(Upgrades!$Q$11,J287)*POWER(Upgrades!$Q$12,K287)</f>
        <v/>
      </c>
      <c r="N287" s="28">
        <f>((IF(E287=0,0,(Upgrades!$G$6+E287*Upgrades!$H$6)*POWER(Upgrades!$I$6,E287)))*(IF(Upgrades!$T$7="Solar Wind",POWER(Upgrades!$U$7,F287),1)*IF(Upgrades!$T$8="Solar Wind",POWER(Upgrades!$U$8,G287),1)*IF(Upgrades!$T$9="Solar Wind",POWER(Upgrades!$U$9,H287),1)*IF(Upgrades!$T$10="Solar Wind",POWER(Upgrades!$U$10,I287),1)*IF(Upgrades!$T$11="Solar Wind",POWER(Upgrades!$U$11,J287),1)*IF(Upgrades!$T$12="Solar Wind",POWER(Upgrades!$U$12,K287),1))+(IF(F287=0,0,(Upgrades!$G$7+F287*Upgrades!$H$7)*POWER(Upgrades!$I$7,F287)))*(IF(Upgrades!$T$6="Asteroid Belt",POWER(Upgrades!$U$6,E287),1)*IF(Upgrades!$T$8="Asteroid Belt",POWER(Upgrades!$U$8,G287),1)*IF(Upgrades!$T$9="Asteroid Belt",POWER(Upgrades!$U$9,H287),1)*IF(Upgrades!$T$10="Asteroid Belt",POWER(Upgrades!$U$10,I287),1)*IF(Upgrades!$T$11="Asteroid Belt",POWER(Upgrades!$U$11,J287),1)*IF(Upgrades!$T$12="Asteroid Belt",POWER(Upgrades!$U$12,K287),1))+(IF(G287=0,0,(Upgrades!$G$8+G287*Upgrades!$H$8)*POWER(Upgrades!$I$8,G287)))*(IF(Upgrades!$T$6="Stellar Coupling",POWER(Upgrades!$U$6,E287),1)*IF(Upgrades!$T$7="Stellar Coupling",POWER(Upgrades!$U$7,F287),1)*IF(Upgrades!$T$9="Stellar Coupling",POWER(Upgrades!$U$9,H287),1)*IF(Upgrades!$T$10="Stellar Coupling",POWER(Upgrades!$U$10,I287),1)*IF(Upgrades!$T$11="Stellar Coupling",POWER(Upgrades!$U$11,J287),1)*IF(Upgrades!$T$12="Stellar Coupling",POWER(Upgrades!$U$12,K287),1))+(IF(H287=0,0,(Upgrades!$G$9+H287*Upgrades!$H$9)*POWER(Upgrades!$I$9,H287)))*(IF(Upgrades!$T$6="Magnetosphere",POWER(Upgrades!$U$6,E287),1)*IF(Upgrades!$T$7="Magnetosphere",POWER(Upgrades!$U$7,F287),1)*IF(Upgrades!$T$8="Magnetosphere",POWER(Upgrades!$U$8,G287),1)*IF(Upgrades!$T$10="Magnetosphere",POWER(Upgrades!$U$10,I287),1)*IF(Upgrades!$T$11="Magnetosphere",POWER(Upgrades!$U$11,J287),1)*IF(Upgrades!$T$12="Magnetosphere",POWER(Upgrades!$U$12,K287),1))+(IF(I287=0,0,(Upgrades!$G$10+I287*Upgrades!$H$10)*POWER(Upgrades!$I$10,I287)))*(IF(Upgrades!$T$6="Orbital Resonance",POWER(Upgrades!$U$6,E287),1)*IF(Upgrades!$T$7="Orbital Resonance",POWER(Upgrades!$U$7,F287),1)*IF(Upgrades!$T$8="Orbital Resonance",POWER(Upgrades!$U$8,G287),1)*IF(Upgrades!$T$9="Orbital Resonance",POWER(Upgrades!$U$9,H287),1)*IF(Upgrades!$T$11="Orbital Resonance",POWER(Upgrades!$U$11,J287),1)*IF(Upgrades!$T$12="Orbital Resonance",POWER(Upgrades!$U$12,K287),1))+(IF(J287=0,0,(Upgrades!$G$11+J287*Upgrades!$H$11)*POWER(Upgrades!$I$11,J287)))*(IF(Upgrades!$T$6="Heliopause",POWER(Upgrades!$U$6,E287),1)*IF(Upgrades!$T$7="Heliopause",POWER(Upgrades!$U$7,F287),1)*IF(Upgrades!$T$8="Heliopause",POWER(Upgrades!$U$8,G287),1)*IF(Upgrades!$T$9="Heliopause",POWER(Upgrades!$U$9,H287),1)*IF(Upgrades!$T$10="Heliopause",POWER(Upgrades!$U$10,I287),1)*IF(Upgrades!$T$12="Heliopause",POWER(Upgrades!$U$12,K287),1))+(IF(K287=0,0,(Upgrades!$G$12+K287*Upgrades!$H$12)*POWER(Upgrades!$I$12,K287)))*(IF(Upgrades!$T$6="First Photons",POWER(Upgrades!$U$6,E287),1)*IF(Upgrades!$T$7="First Photons",POWER(Upgrades!$U$7,F287),1)*IF(Upgrades!$T$8="First Photons",POWER(Upgrades!$U$8,G287),1)*IF(Upgrades!$T$9="First Photons",POWER(Upgrades!$U$9,H287),1)*IF(Upgrades!$T$10="First Photons",POWER(Upgrades!$U$10,I287),1)*IF(Upgrades!$T$11="First Photons",POWER(Upgrades!$U$11,J287),1)))*POWER(Upgrades!$P$6,E287)*POWER(Upgrades!$P$7,F287)*POWER(Upgrades!$P$8,G287)*POWER(Upgrades!$P$9,H287)*POWER(Upgrades!$P$10,I287)*POWER(Upgrades!$P$11,J287)*POWER(Upgrades!$P$12,K287)</f>
        <v/>
      </c>
      <c r="O287" s="28">
        <f>((IF(E287=0,0,(Upgrades!$M$6+E287*Upgrades!$N$6)*POWER(Upgrades!$O$6,E287)))*(IF(Upgrades!$T$7="Solar Wind",POWER(Upgrades!$U$7,F287),1)*IF(Upgrades!$T$8="Solar Wind",POWER(Upgrades!$U$8,G287),1)*IF(Upgrades!$T$9="Solar Wind",POWER(Upgrades!$U$9,H287),1)*IF(Upgrades!$T$10="Solar Wind",POWER(Upgrades!$U$10,I287),1)*IF(Upgrades!$T$11="Solar Wind",POWER(Upgrades!$U$11,J287),1)*IF(Upgrades!$T$12="Solar Wind",POWER(Upgrades!$U$12,K287),1))+(IF(F287=0,0,(Upgrades!$M$7+F287*Upgrades!$N$7)*POWER(Upgrades!$O$7,F287)))*(IF(Upgrades!$T$6="Asteroid Belt",POWER(Upgrades!$U$6,E287),1)*IF(Upgrades!$T$8="Asteroid Belt",POWER(Upgrades!$U$8,G287),1)*IF(Upgrades!$T$9="Asteroid Belt",POWER(Upgrades!$U$9,H287),1)*IF(Upgrades!$T$10="Asteroid Belt",POWER(Upgrades!$U$10,I287),1)*IF(Upgrades!$T$11="Asteroid Belt",POWER(Upgrades!$U$11,J287),1)*IF(Upgrades!$T$12="Asteroid Belt",POWER(Upgrades!$U$12,K287),1))+(IF(G287=0,0,(Upgrades!$M$8+G287*Upgrades!$N$8)*POWER(Upgrades!$O$8,G287)))*(IF(Upgrades!$T$6="Stellar Coupling",POWER(Upgrades!$U$6,E287),1)*IF(Upgrades!$T$7="Stellar Coupling",POWER(Upgrades!$U$7,F287),1)*IF(Upgrades!$T$9="Stellar Coupling",POWER(Upgrades!$U$9,H287),1)*IF(Upgrades!$T$10="Stellar Coupling",POWER(Upgrades!$U$10,I287),1)*IF(Upgrades!$T$11="Stellar Coupling",POWER(Upgrades!$U$11,J287),1)*IF(Upgrades!$T$12="Stellar Coupling",POWER(Upgrades!$U$12,K287),1))+(IF(H287=0,0,(Upgrades!$M$9+H287*Upgrades!$N$9)*POWER(Upgrades!$O$9,H287)))*(IF(Upgrades!$T$6="Magnetosphere",POWER(Upgrades!$U$6,E287),1)*IF(Upgrades!$T$7="Magnetosphere",POWER(Upgrades!$U$7,F287),1)*IF(Upgrades!$T$8="Magnetosphere",POWER(Upgrades!$U$8,G287),1)*IF(Upgrades!$T$10="Magnetosphere",POWER(Upgrades!$U$10,I287),1)*IF(Upgrades!$T$11="Magnetosphere",POWER(Upgrades!$U$11,J287),1)*IF(Upgrades!$T$12="Magnetosphere",POWER(Upgrades!$U$12,K287),1))+(IF(I287=0,0,(Upgrades!$M$10+I287*Upgrades!$N$10)*POWER(Upgrades!$O$10,I287)))*(IF(Upgrades!$T$6="Orbital Resonance",POWER(Upgrades!$U$6,E287),1)*IF(Upgrades!$T$7="Orbital Resonance",POWER(Upgrades!$U$7,F287),1)*IF(Upgrades!$T$8="Orbital Resonance",POWER(Upgrades!$U$8,G287),1)*IF(Upgrades!$T$9="Orbital Resonance",POWER(Upgrades!$U$9,H287),1)*IF(Upgrades!$T$11="Orbital Resonance",POWER(Upgrades!$U$11,J287),1)*IF(Upgrades!$T$12="Orbital Resonance",POWER(Upgrades!$U$12,K287),1))+(IF(J287=0,0,(Upgrades!$M$11+J287*Upgrades!$N$11)*POWER(Upgrades!$O$11,J287)))*(IF(Upgrades!$T$6="Heliopause",POWER(Upgrades!$U$6,E287),1)*IF(Upgrades!$T$7="Heliopause",POWER(Upgrades!$U$7,F287),1)*IF(Upgrades!$T$8="Heliopause",POWER(Upgrades!$U$8,G287),1)*IF(Upgrades!$T$9="Heliopause",POWER(Upgrades!$U$9,H287),1)*IF(Upgrades!$T$10="Heliopause",POWER(Upgrades!$U$10,I287),1)*IF(Upgrades!$T$12="Heliopause",POWER(Upgrades!$U$12,K287),1))+(IF(K287=0,0,(Upgrades!$M$12+K287*Upgrades!$N$12)*POWER(Upgrades!$O$12,K287)))*(IF(Upgrades!$T$6="First Photons",POWER(Upgrades!$U$6,E287),1)*IF(Upgrades!$T$7="First Photons",POWER(Upgrades!$U$7,F287),1)*IF(Upgrades!$T$8="First Photons",POWER(Upgrades!$U$8,G287),1)*IF(Upgrades!$T$9="First Photons",POWER(Upgrades!$U$9,H287),1)*IF(Upgrades!$T$10="First Photons",POWER(Upgrades!$U$10,I287),1)*IF(Upgrades!$T$11="First Photons",POWER(Upgrades!$U$11,J287),1)))*POWER(Upgrades!$R$6,E287)*POWER(Upgrades!$R$7,F287)*POWER(Upgrades!$R$8,G287)*POWER(Upgrades!$R$9,H287)*POWER(Upgrades!$R$10,I287)*POWER(Upgrades!$R$11,J287)*POWER(Upgrades!$R$12,K287)</f>
        <v/>
      </c>
      <c r="P287" s="27">
        <f>IF(L287=1,0,M287*Parameters!$B$10/60*Parameters!$B$11*10)</f>
        <v/>
      </c>
      <c r="Q287" s="27">
        <f>IF(L287=1,0,O287*M287*10)</f>
        <v/>
      </c>
      <c r="R287" s="27">
        <f>IF(L287=1,0,N287*10)</f>
        <v/>
      </c>
      <c r="S287" s="27">
        <f>P287+Q287+R287</f>
        <v/>
      </c>
      <c r="T287" s="22">
        <f>C287+S287</f>
        <v/>
      </c>
      <c r="U287" s="33">
        <f>AX287</f>
        <v/>
      </c>
      <c r="V287" s="22">
        <f>IF(U287="",0,IF(U287="transition",0,IF(U287="SW",AG287,IF(U287="AB",AH287,IF(U287="SC",AI287,IF(U287="Mag",AJ287,IF(U287="OR",AK287,IF(U287="HP",AL287,IF(U287="FP",AM287,0)))))))))</f>
        <v/>
      </c>
      <c r="W287" s="27">
        <f>IF(U287="OR",Upgrades!$F$10,IF(U287="HP",Upgrades!$F$11,IF(U287="transition",-Parameters!$B$18,0)))</f>
        <v/>
      </c>
      <c r="X287" s="22">
        <f>T287-V287</f>
        <v/>
      </c>
      <c r="Y287" s="30">
        <f>M287*Parameters!$B$10/60*Parameters!$B$11+O287*M287+N287</f>
        <v/>
      </c>
      <c r="Z287" s="34">
        <f>IF(U287="transition","→ Tier 2 (Stellar Neighborhood)",IF(U287="FP","First Photons — light begins, system quickens",IF(U287="HP","Heliopause acquired",IF(U287="OR","Orbital Resonance — passive multiplier active",IF(AND(AO287=1,L287=0,AN287&lt;&gt;1),"Cohesion ready (waiting on completionist upgrades)","")))))</f>
        <v/>
      </c>
      <c r="AA287" s="27">
        <f>(IF(E287=0,0,(Upgrades!$G$6+E287*Upgrades!$H$6)*POWER(Upgrades!$I$6,E287)))*(IF(Upgrades!$T$7="Solar Wind",POWER(Upgrades!$U$7,F287),1)*IF(Upgrades!$T$8="Solar Wind",POWER(Upgrades!$U$8,G287),1)*IF(Upgrades!$T$9="Solar Wind",POWER(Upgrades!$U$9,H287),1)*IF(Upgrades!$T$10="Solar Wind",POWER(Upgrades!$U$10,I287),1)*IF(Upgrades!$T$11="Solar Wind",POWER(Upgrades!$U$11,J287),1)*IF(Upgrades!$T$12="Solar Wind",POWER(Upgrades!$U$12,K287),1))*POWER(Upgrades!$P$6,E287)*POWER(Upgrades!$P$7,F287)*POWER(Upgrades!$P$8,G287)*POWER(Upgrades!$P$9,H287)*POWER(Upgrades!$P$10,I287)*POWER(Upgrades!$P$11,J287)*POWER(Upgrades!$P$12,K287)*60</f>
        <v/>
      </c>
      <c r="AB287" s="27">
        <f>(IF(F287=0,0,(Upgrades!$G$7+F287*Upgrades!$H$7)*POWER(Upgrades!$I$7,F287)))*(IF(Upgrades!$T$6="Asteroid Belt",POWER(Upgrades!$U$6,E287),1)*IF(Upgrades!$T$8="Asteroid Belt",POWER(Upgrades!$U$8,G287),1)*IF(Upgrades!$T$9="Asteroid Belt",POWER(Upgrades!$U$9,H287),1)*IF(Upgrades!$T$10="Asteroid Belt",POWER(Upgrades!$U$10,I287),1)*IF(Upgrades!$T$11="Asteroid Belt",POWER(Upgrades!$U$11,J287),1)*IF(Upgrades!$T$12="Asteroid Belt",POWER(Upgrades!$U$12,K287),1))*POWER(Upgrades!$P$6,E287)*POWER(Upgrades!$P$7,F287)*POWER(Upgrades!$P$8,G287)*POWER(Upgrades!$P$9,H287)*POWER(Upgrades!$P$10,I287)*POWER(Upgrades!$P$11,J287)*POWER(Upgrades!$P$12,K287)*60</f>
        <v/>
      </c>
      <c r="AC287" s="27">
        <f>(IF(G287=0,0,(Upgrades!$J$8+G287*Upgrades!$K$8)*POWER(Upgrades!$L$8,G287)))*(IF(Upgrades!$T$6="Stellar Coupling",POWER(Upgrades!$U$6,E287),1)*IF(Upgrades!$T$7="Stellar Coupling",POWER(Upgrades!$U$7,F287),1)*IF(Upgrades!$T$9="Stellar Coupling",POWER(Upgrades!$U$9,H287),1)*IF(Upgrades!$T$10="Stellar Coupling",POWER(Upgrades!$U$10,I287),1)*IF(Upgrades!$T$11="Stellar Coupling",POWER(Upgrades!$U$11,J287),1)*IF(Upgrades!$T$12="Stellar Coupling",POWER(Upgrades!$U$12,K287),1))*POWER(Upgrades!$Q$6,E287)*POWER(Upgrades!$Q$7,F287)*POWER(Upgrades!$Q$8,G287)*POWER(Upgrades!$Q$9,H287)*POWER(Upgrades!$Q$10,I287)*POWER(Upgrades!$Q$11,J287)*POWER(Upgrades!$Q$12,K287)*Parameters!$B$10*Parameters!$B$11</f>
        <v/>
      </c>
      <c r="AD287" s="27">
        <f>(IF(H287=0,0,(Upgrades!$G$9+H287*Upgrades!$H$9)*POWER(Upgrades!$I$9,H287)))*(IF(Upgrades!$T$6="Magnetosphere",POWER(Upgrades!$U$6,E287),1)*IF(Upgrades!$T$7="Magnetosphere",POWER(Upgrades!$U$7,F287),1)*IF(Upgrades!$T$8="Magnetosphere",POWER(Upgrades!$U$8,G287),1)*IF(Upgrades!$T$10="Magnetosphere",POWER(Upgrades!$U$10,I287),1)*IF(Upgrades!$T$11="Magnetosphere",POWER(Upgrades!$U$11,J287),1)*IF(Upgrades!$T$12="Magnetosphere",POWER(Upgrades!$U$12,K287),1))*POWER(Upgrades!$P$6,E287)*POWER(Upgrades!$P$7,F287)*POWER(Upgrades!$P$8,G287)*POWER(Upgrades!$P$9,H287)*POWER(Upgrades!$P$10,I287)*POWER(Upgrades!$P$11,J287)*POWER(Upgrades!$P$12,K287)*60</f>
        <v/>
      </c>
      <c r="AE287" s="27">
        <f>(IF(K287=0,0,(Upgrades!$G$12+K287*Upgrades!$H$12)*POWER(Upgrades!$I$12,K287)))*(IF(Upgrades!$T$6="First Photons",POWER(Upgrades!$U$6,E287),1)*IF(Upgrades!$T$7="First Photons",POWER(Upgrades!$U$7,F287),1)*IF(Upgrades!$T$8="First Photons",POWER(Upgrades!$U$8,G287),1)*IF(Upgrades!$T$9="First Photons",POWER(Upgrades!$U$9,H287),1)*IF(Upgrades!$T$10="First Photons",POWER(Upgrades!$U$10,I287),1)*IF(Upgrades!$T$11="First Photons",POWER(Upgrades!$U$11,J287),1))*POWER(Upgrades!$P$6,E287)*POWER(Upgrades!$P$7,F287)*POWER(Upgrades!$P$8,G287)*POWER(Upgrades!$P$9,H287)*POWER(Upgrades!$P$10,I287)*POWER(Upgrades!$P$11,J287)*POWER(Upgrades!$P$12,K287)*60</f>
        <v/>
      </c>
      <c r="AF287" s="27">
        <f>Parameters!$B$9*POWER(Upgrades!$Q$6,E287)*POWER(Upgrades!$Q$7,F287)*POWER(Upgrades!$Q$8,G287)*POWER(Upgrades!$Q$9,H287)*POWER(Upgrades!$Q$10,I287)*POWER(Upgrades!$Q$11,J287)*POWER(Upgrades!$Q$12,K287)*(Parameters!$B$10*Parameters!$B$11+O287*60)</f>
        <v/>
      </c>
      <c r="AG287" s="22">
        <f>IF(E287&gt;=Upgrades!$E$6,"",Upgrades!$C$6*POWER(Upgrades!$D$6,E287))</f>
        <v/>
      </c>
      <c r="AH287" s="22">
        <f>IF(F287&gt;=Upgrades!$E$7,"",Upgrades!$C$7*POWER(Upgrades!$D$7,F287))</f>
        <v/>
      </c>
      <c r="AI287" s="22">
        <f>IF(G287&gt;=Upgrades!$E$8,"",Upgrades!$C$8*POWER(Upgrades!$D$8,G287))</f>
        <v/>
      </c>
      <c r="AJ287" s="22">
        <f>IF(H287&gt;=Upgrades!$E$9,"",Upgrades!$C$9*POWER(Upgrades!$D$9,H287))</f>
        <v/>
      </c>
      <c r="AK287" s="22">
        <f>IF(I287&gt;=Upgrades!$E$10,"",Upgrades!$C$10*POWER(Upgrades!$D$10,I287))</f>
        <v/>
      </c>
      <c r="AL287" s="22">
        <f>IF(J287&gt;=Upgrades!$E$11,"",Upgrades!$C$11*POWER(Upgrades!$D$11,J287))</f>
        <v/>
      </c>
      <c r="AM287" s="22">
        <f>IF(K287&gt;=Upgrades!$E$12,"",Upgrades!$C$12*POWER(Upgrades!$D$12,K287))</f>
        <v/>
      </c>
      <c r="AN287" s="26">
        <f>IF(AND(D287&gt;=Parameters!$B$18,(H287&gt;=Upgrades!$E$9)*(K287&gt;=Upgrades!$E$12)=1,L287=0),1,"")</f>
        <v/>
      </c>
      <c r="AO287" s="26">
        <f>IF(AND(D287&gt;=Parameters!$B$18,L287=0),1,"")</f>
        <v/>
      </c>
      <c r="AP287" s="22">
        <f>MIN(IF(ISNUMBER(AK287),AK287,9E15),IF(ISNUMBER(AL287),AL287,9E15),IF(ISNUMBER(AM287),AM287,9E15))</f>
        <v/>
      </c>
      <c r="AQ287" s="22">
        <f>MIN(IF(ISNUMBER(AG287),AG287,9E15),IF(ISNUMBER(AH287),AH287,9E15),IF(ISNUMBER(AI287),AI287,9E15),IF(ISNUMBER(AJ287),AJ287,9E15))</f>
        <v/>
      </c>
      <c r="AR287" s="29">
        <f>IF(AW287&gt;Parameters!$B$21*(MAX(IF(AND(NOT(AND(AO287=1,AN287&lt;&gt;1)),ISNUMBER(AG287),AG287&lt;=T287),AS287,0),IF(AND(NOT(AND(AO287=1,AN287&lt;&gt;1)),ISNUMBER(AH287),AH287&lt;=T287),AT287,0),IF(AND(NOT(AND(AO287=1,AN287&lt;&gt;1)),ISNUMBER(AI287),AI287&lt;=T287),AU287,0),IF(AND(ISNUMBER(AJ287),AJ287&lt;=T287),AV287,0))),TRUE,FALSE)</f>
        <v/>
      </c>
      <c r="AS287" s="32">
        <f>IFERROR(Upgrades!$H$6*(POWER(Upgrades!$P$6,E287)*POWER(Upgrades!$P$7,F287)*POWER(Upgrades!$P$8,G287)*POWER(Upgrades!$P$9,H287)*POWER(Upgrades!$P$10,I287)*POWER(Upgrades!$P$11,J287)*POWER(Upgrades!$P$12,K287))*(IF(Upgrades!$T$7="Solar Wind",POWER(Upgrades!$U$7,F287),1)*IF(Upgrades!$T$8="Solar Wind",POWER(Upgrades!$U$8,G287),1)*IF(Upgrades!$T$9="Solar Wind",POWER(Upgrades!$U$9,H287),1)*IF(Upgrades!$T$10="Solar Wind",POWER(Upgrades!$U$10,I287),1)*IF(Upgrades!$T$11="Solar Wind",POWER(Upgrades!$U$11,J287),1)*IF(Upgrades!$T$12="Solar Wind",POWER(Upgrades!$U$12,K287),1))/AG287,0)</f>
        <v/>
      </c>
      <c r="AT287" s="32">
        <f>IFERROR(Upgrades!$H$7*(POWER(Upgrades!$P$6,E287)*POWER(Upgrades!$P$7,F287)*POWER(Upgrades!$P$8,G287)*POWER(Upgrades!$P$9,H287)*POWER(Upgrades!$P$10,I287)*POWER(Upgrades!$P$11,J287)*POWER(Upgrades!$P$12,K287))*(IF(Upgrades!$T$6="Asteroid Belt",POWER(Upgrades!$U$6,E287),1)*IF(Upgrades!$T$8="Asteroid Belt",POWER(Upgrades!$U$8,G287),1)*IF(Upgrades!$T$9="Asteroid Belt",POWER(Upgrades!$U$9,H287),1)*IF(Upgrades!$T$10="Asteroid Belt",POWER(Upgrades!$U$10,I287),1)*IF(Upgrades!$T$11="Asteroid Belt",POWER(Upgrades!$U$11,J287),1)*IF(Upgrades!$T$12="Asteroid Belt",POWER(Upgrades!$U$12,K287),1))/AH287,0)</f>
        <v/>
      </c>
      <c r="AU287" s="32">
        <f>IFERROR(Upgrades!$K$8*(POWER(Upgrades!$Q$6,E287)*POWER(Upgrades!$Q$7,F287)*POWER(Upgrades!$Q$8,G287)*POWER(Upgrades!$Q$9,H287)*POWER(Upgrades!$Q$10,I287)*POWER(Upgrades!$Q$11,J287)*POWER(Upgrades!$Q$12,K287))*(IF(Upgrades!$T$6="Stellar Coupling",POWER(Upgrades!$U$6,E287),1)*IF(Upgrades!$T$7="Stellar Coupling",POWER(Upgrades!$U$7,F287),1)*IF(Upgrades!$T$9="Stellar Coupling",POWER(Upgrades!$U$9,H287),1)*IF(Upgrades!$T$10="Stellar Coupling",POWER(Upgrades!$U$10,I287),1)*IF(Upgrades!$T$11="Stellar Coupling",POWER(Upgrades!$U$11,J287),1)*IF(Upgrades!$T$12="Stellar Coupling",POWER(Upgrades!$U$12,K287),1))*Parameters!$B$10*Parameters!$B$11/60/AI287,0)</f>
        <v/>
      </c>
      <c r="AV287" s="32">
        <f>IFERROR(Upgrades!$H$9*(POWER(Upgrades!$P$6,E287)*POWER(Upgrades!$P$7,F287)*POWER(Upgrades!$P$8,G287)*POWER(Upgrades!$P$9,H287)*POWER(Upgrades!$P$10,I287)*POWER(Upgrades!$P$11,J287)*POWER(Upgrades!$P$12,K287))*(IF(Upgrades!$T$6="Magnetosphere",POWER(Upgrades!$U$6,E287),1)*IF(Upgrades!$T$7="Magnetosphere",POWER(Upgrades!$U$7,F287),1)*IF(Upgrades!$T$8="Magnetosphere",POWER(Upgrades!$U$8,G287),1)*IF(Upgrades!$T$10="Magnetosphere",POWER(Upgrades!$U$10,I287),1)*IF(Upgrades!$T$11="Magnetosphere",POWER(Upgrades!$U$11,J287),1)*IF(Upgrades!$T$12="Magnetosphere",POWER(Upgrades!$U$12,K287),1))/AJ287,0)</f>
        <v/>
      </c>
      <c r="AW287" s="32">
        <f>MAX(IF(I287&gt;0,0,IFERROR(0.25*N287/Upgrades!$C$10,0)),IF(J287&gt;0,0,IFERROR(0.5*((IF(G287=0,0,(Upgrades!$J$8+G287*Upgrades!$K$8)*POWER(Upgrades!$L$8,G287)))*(IF(Upgrades!$T$6="Stellar Coupling",POWER(Upgrades!$U$6,E287),1)*IF(Upgrades!$T$7="Stellar Coupling",POWER(Upgrades!$U$7,F287),1)*IF(Upgrades!$T$9="Stellar Coupling",POWER(Upgrades!$U$9,H287),1)*IF(Upgrades!$T$10="Stellar Coupling",POWER(Upgrades!$U$10,I287),1)*IF(Upgrades!$T$11="Stellar Coupling",POWER(Upgrades!$U$11,J287),1)*IF(Upgrades!$T$12="Stellar Coupling",POWER(Upgrades!$U$12,K287),1))*(POWER(Upgrades!$Q$6,E287)*POWER(Upgrades!$Q$7,F287)*POWER(Upgrades!$Q$8,G287)*POWER(Upgrades!$Q$9,H287)*POWER(Upgrades!$Q$10,I287)*POWER(Upgrades!$Q$11,J287)*POWER(Upgrades!$Q$12,K287))*Parameters!$B$10*Parameters!$B$11/60)/Upgrades!$C$11,0)),IF(K287&gt;0,0,IFERROR((1.0*(POWER(Upgrades!$P$6,E287)*POWER(Upgrades!$P$7,F287)*POWER(Upgrades!$P$8,G287)*POWER(Upgrades!$P$9,H287)*POWER(Upgrades!$P$10,I287)*POWER(Upgrades!$P$11,J287)*POWER(Upgrades!$P$12,K287))+0.20*M287*Parameters!$B$10*Parameters!$B$11/60)/Upgrades!$C$12,0)),IF(AND(ISNUMBER(AG287),AG287&gt;T287),AS287,0),IF(AND(ISNUMBER(AH287),AH287&gt;T287),AT287,0),IF(AND(ISNUMBER(AI287),AI287&gt;T287),AU287,0),IF(AND(ISNUMBER(AJ287),AJ287&gt;T287),AV287,0))</f>
        <v/>
      </c>
      <c r="AX287" s="29">
        <f>IF(AN287=1,"transition",IF(MIN(IF(AND(I287=0,ISNUMBER(AK287),AK287&lt;=T287),AK287,9E15),IF(AND(J287=0,ISNUMBER(AL287),AL287&lt;=T287),AL287,9E15),IF(AND(K287=0,ISNUMBER(AM287),AM287&lt;=T287),AM287,9E15))&lt;9E15,IF(AND(AND(I287=0,ISNUMBER(AK287),AK287&lt;=T287),AK287=MIN(IF(AND(I287=0,ISNUMBER(AK287),AK287&lt;=T287),AK287,9E15),IF(AND(J287=0,ISNUMBER(AL287),AL287&lt;=T287),AL287,9E15),IF(AND(K287=0,ISNUMBER(AM287),AM287&lt;=T287),AM287,9E15))),"OR",IF(AND(AND(J287=0,ISNUMBER(AL287),AL287&lt;=T287),AL287=MIN(IF(AND(I287=0,ISNUMBER(AK287),AK287&lt;=T287),AK287,9E15),IF(AND(J287=0,ISNUMBER(AL287),AL287&lt;=T287),AL287,9E15),IF(AND(K287=0,ISNUMBER(AM287),AM287&lt;=T287),AM287,9E15))),"HP","FP")),IF(AR287=TRUE,"",IF(MAX(IF(AND(NOT(AND(AO287=1,AN287&lt;&gt;1)),ISNUMBER(AG287),AG287&lt;=T287),AS287,0),IF(AND(NOT(AND(AO287=1,AN287&lt;&gt;1)),ISNUMBER(AH287),AH287&lt;=T287),AT287,0),IF(AND(NOT(AND(AO287=1,AN287&lt;&gt;1)),ISNUMBER(AI287),AI287&lt;=T287),AU287,0),IF(AND(ISNUMBER(AJ287),AJ287&lt;=T287),AV287,0))&lt;=0,"",IF(AND(IF(AND(NOT(AND(AO287=1,AN287&lt;&gt;1)),ISNUMBER(AG287),AG287&lt;=T287),AS287,0)&gt;0,IF(AND(NOT(AND(AO287=1,AN287&lt;&gt;1)),ISNUMBER(AG287),AG287&lt;=T287),AS287,0)=MAX(IF(AND(NOT(AND(AO287=1,AN287&lt;&gt;1)),ISNUMBER(AG287),AG287&lt;=T287),AS287,0),IF(AND(NOT(AND(AO287=1,AN287&lt;&gt;1)),ISNUMBER(AH287),AH287&lt;=T287),AT287,0),IF(AND(NOT(AND(AO287=1,AN287&lt;&gt;1)),ISNUMBER(AI287),AI287&lt;=T287),AU287,0),IF(AND(ISNUMBER(AJ287),AJ287&lt;=T287),AV287,0))),"SW",IF(AND(IF(AND(NOT(AND(AO287=1,AN287&lt;&gt;1)),ISNUMBER(AH287),AH287&lt;=T287),AT287,0)&gt;0,IF(AND(NOT(AND(AO287=1,AN287&lt;&gt;1)),ISNUMBER(AH287),AH287&lt;=T287),AT287,0)=MAX(IF(AND(NOT(AND(AO287=1,AN287&lt;&gt;1)),ISNUMBER(AG287),AG287&lt;=T287),AS287,0),IF(AND(NOT(AND(AO287=1,AN287&lt;&gt;1)),ISNUMBER(AH287),AH287&lt;=T287),AT287,0),IF(AND(NOT(AND(AO287=1,AN287&lt;&gt;1)),ISNUMBER(AI287),AI287&lt;=T287),AU287,0),IF(AND(ISNUMBER(AJ287),AJ287&lt;=T287),AV287,0))),"AB",IF(AND(IF(AND(NOT(AND(AO287=1,AN287&lt;&gt;1)),ISNUMBER(AI287),AI287&lt;=T287),AU287,0)&gt;0,IF(AND(NOT(AND(AO287=1,AN287&lt;&gt;1)),ISNUMBER(AI287),AI287&lt;=T287),AU287,0)=MAX(IF(AND(NOT(AND(AO287=1,AN287&lt;&gt;1)),ISNUMBER(AG287),AG287&lt;=T287),AS287,0),IF(AND(NOT(AND(AO287=1,AN287&lt;&gt;1)),ISNUMBER(AH287),AH287&lt;=T287),AT287,0),IF(AND(NOT(AND(AO287=1,AN287&lt;&gt;1)),ISNUMBER(AI287),AI287&lt;=T287),AU287,0),IF(AND(ISNUMBER(AJ287),AJ287&lt;=T287),AV287,0))),"SC","Mag")))))))</f>
        <v/>
      </c>
    </row>
    <row r="288">
      <c r="A288" s="26" t="n">
        <v>283</v>
      </c>
      <c r="B288" s="27">
        <f>A288*10/60</f>
        <v/>
      </c>
      <c r="C288" s="22">
        <f>X287</f>
        <v/>
      </c>
      <c r="D288" s="27">
        <f>D287+W287</f>
        <v/>
      </c>
      <c r="E288" s="26">
        <f>E287+IF(U287="SW",1,0)</f>
        <v/>
      </c>
      <c r="F288" s="26">
        <f>F287+IF(U287="AB",1,0)</f>
        <v/>
      </c>
      <c r="G288" s="26">
        <f>G287+IF(U287="SC",1,0)</f>
        <v/>
      </c>
      <c r="H288" s="26">
        <f>H287+IF(U287="Mag",1,0)</f>
        <v/>
      </c>
      <c r="I288" s="26">
        <f>MAX(I287,IF(U287="OR",1,0))</f>
        <v/>
      </c>
      <c r="J288" s="26">
        <f>MAX(J287,IF(U287="HP",1,0))</f>
        <v/>
      </c>
      <c r="K288" s="26">
        <f>MAX(K287,IF(U287="FP",1,0))</f>
        <v/>
      </c>
      <c r="L288" s="26">
        <f>MAX(L287,IF(U287="transition",1,0))</f>
        <v/>
      </c>
      <c r="M288" s="28">
        <f>(Parameters!$B$9+(IF(E288=0,0,(Upgrades!$J$6+E288*Upgrades!$K$6)*POWER(Upgrades!$L$6,E288)))*(IF(Upgrades!$T$7="Solar Wind",POWER(Upgrades!$U$7,F288),1)*IF(Upgrades!$T$8="Solar Wind",POWER(Upgrades!$U$8,G288),1)*IF(Upgrades!$T$9="Solar Wind",POWER(Upgrades!$U$9,H288),1)*IF(Upgrades!$T$10="Solar Wind",POWER(Upgrades!$U$10,I288),1)*IF(Upgrades!$T$11="Solar Wind",POWER(Upgrades!$U$11,J288),1)*IF(Upgrades!$T$12="Solar Wind",POWER(Upgrades!$U$12,K288),1))+(IF(F288=0,0,(Upgrades!$J$7+F288*Upgrades!$K$7)*POWER(Upgrades!$L$7,F288)))*(IF(Upgrades!$T$6="Asteroid Belt",POWER(Upgrades!$U$6,E288),1)*IF(Upgrades!$T$8="Asteroid Belt",POWER(Upgrades!$U$8,G288),1)*IF(Upgrades!$T$9="Asteroid Belt",POWER(Upgrades!$U$9,H288),1)*IF(Upgrades!$T$10="Asteroid Belt",POWER(Upgrades!$U$10,I288),1)*IF(Upgrades!$T$11="Asteroid Belt",POWER(Upgrades!$U$11,J288),1)*IF(Upgrades!$T$12="Asteroid Belt",POWER(Upgrades!$U$12,K288),1))+(IF(G288=0,0,(Upgrades!$J$8+G288*Upgrades!$K$8)*POWER(Upgrades!$L$8,G288)))*(IF(Upgrades!$T$6="Stellar Coupling",POWER(Upgrades!$U$6,E288),1)*IF(Upgrades!$T$7="Stellar Coupling",POWER(Upgrades!$U$7,F288),1)*IF(Upgrades!$T$9="Stellar Coupling",POWER(Upgrades!$U$9,H288),1)*IF(Upgrades!$T$10="Stellar Coupling",POWER(Upgrades!$U$10,I288),1)*IF(Upgrades!$T$11="Stellar Coupling",POWER(Upgrades!$U$11,J288),1)*IF(Upgrades!$T$12="Stellar Coupling",POWER(Upgrades!$U$12,K288),1))+(IF(H288=0,0,(Upgrades!$J$9+H288*Upgrades!$K$9)*POWER(Upgrades!$L$9,H288)))*(IF(Upgrades!$T$6="Magnetosphere",POWER(Upgrades!$U$6,E288),1)*IF(Upgrades!$T$7="Magnetosphere",POWER(Upgrades!$U$7,F288),1)*IF(Upgrades!$T$8="Magnetosphere",POWER(Upgrades!$U$8,G288),1)*IF(Upgrades!$T$10="Magnetosphere",POWER(Upgrades!$U$10,I288),1)*IF(Upgrades!$T$11="Magnetosphere",POWER(Upgrades!$U$11,J288),1)*IF(Upgrades!$T$12="Magnetosphere",POWER(Upgrades!$U$12,K288),1))+(IF(I288=0,0,(Upgrades!$J$10+I288*Upgrades!$K$10)*POWER(Upgrades!$L$10,I288)))*(IF(Upgrades!$T$6="Orbital Resonance",POWER(Upgrades!$U$6,E288),1)*IF(Upgrades!$T$7="Orbital Resonance",POWER(Upgrades!$U$7,F288),1)*IF(Upgrades!$T$8="Orbital Resonance",POWER(Upgrades!$U$8,G288),1)*IF(Upgrades!$T$9="Orbital Resonance",POWER(Upgrades!$U$9,H288),1)*IF(Upgrades!$T$11="Orbital Resonance",POWER(Upgrades!$U$11,J288),1)*IF(Upgrades!$T$12="Orbital Resonance",POWER(Upgrades!$U$12,K288),1))+(IF(J288=0,0,(Upgrades!$J$11+J288*Upgrades!$K$11)*POWER(Upgrades!$L$11,J288)))*(IF(Upgrades!$T$6="Heliopause",POWER(Upgrades!$U$6,E288),1)*IF(Upgrades!$T$7="Heliopause",POWER(Upgrades!$U$7,F288),1)*IF(Upgrades!$T$8="Heliopause",POWER(Upgrades!$U$8,G288),1)*IF(Upgrades!$T$9="Heliopause",POWER(Upgrades!$U$9,H288),1)*IF(Upgrades!$T$10="Heliopause",POWER(Upgrades!$U$10,I288),1)*IF(Upgrades!$T$12="Heliopause",POWER(Upgrades!$U$12,K288),1))+(IF(K288=0,0,(Upgrades!$J$12+K288*Upgrades!$K$12)*POWER(Upgrades!$L$12,K288)))*(IF(Upgrades!$T$6="First Photons",POWER(Upgrades!$U$6,E288),1)*IF(Upgrades!$T$7="First Photons",POWER(Upgrades!$U$7,F288),1)*IF(Upgrades!$T$8="First Photons",POWER(Upgrades!$U$8,G288),1)*IF(Upgrades!$T$9="First Photons",POWER(Upgrades!$U$9,H288),1)*IF(Upgrades!$T$10="First Photons",POWER(Upgrades!$U$10,I288),1)*IF(Upgrades!$T$11="First Photons",POWER(Upgrades!$U$11,J288),1)))*POWER(Upgrades!$Q$6,E288)*POWER(Upgrades!$Q$7,F288)*POWER(Upgrades!$Q$8,G288)*POWER(Upgrades!$Q$9,H288)*POWER(Upgrades!$Q$10,I288)*POWER(Upgrades!$Q$11,J288)*POWER(Upgrades!$Q$12,K288)</f>
        <v/>
      </c>
      <c r="N288" s="28">
        <f>((IF(E288=0,0,(Upgrades!$G$6+E288*Upgrades!$H$6)*POWER(Upgrades!$I$6,E288)))*(IF(Upgrades!$T$7="Solar Wind",POWER(Upgrades!$U$7,F288),1)*IF(Upgrades!$T$8="Solar Wind",POWER(Upgrades!$U$8,G288),1)*IF(Upgrades!$T$9="Solar Wind",POWER(Upgrades!$U$9,H288),1)*IF(Upgrades!$T$10="Solar Wind",POWER(Upgrades!$U$10,I288),1)*IF(Upgrades!$T$11="Solar Wind",POWER(Upgrades!$U$11,J288),1)*IF(Upgrades!$T$12="Solar Wind",POWER(Upgrades!$U$12,K288),1))+(IF(F288=0,0,(Upgrades!$G$7+F288*Upgrades!$H$7)*POWER(Upgrades!$I$7,F288)))*(IF(Upgrades!$T$6="Asteroid Belt",POWER(Upgrades!$U$6,E288),1)*IF(Upgrades!$T$8="Asteroid Belt",POWER(Upgrades!$U$8,G288),1)*IF(Upgrades!$T$9="Asteroid Belt",POWER(Upgrades!$U$9,H288),1)*IF(Upgrades!$T$10="Asteroid Belt",POWER(Upgrades!$U$10,I288),1)*IF(Upgrades!$T$11="Asteroid Belt",POWER(Upgrades!$U$11,J288),1)*IF(Upgrades!$T$12="Asteroid Belt",POWER(Upgrades!$U$12,K288),1))+(IF(G288=0,0,(Upgrades!$G$8+G288*Upgrades!$H$8)*POWER(Upgrades!$I$8,G288)))*(IF(Upgrades!$T$6="Stellar Coupling",POWER(Upgrades!$U$6,E288),1)*IF(Upgrades!$T$7="Stellar Coupling",POWER(Upgrades!$U$7,F288),1)*IF(Upgrades!$T$9="Stellar Coupling",POWER(Upgrades!$U$9,H288),1)*IF(Upgrades!$T$10="Stellar Coupling",POWER(Upgrades!$U$10,I288),1)*IF(Upgrades!$T$11="Stellar Coupling",POWER(Upgrades!$U$11,J288),1)*IF(Upgrades!$T$12="Stellar Coupling",POWER(Upgrades!$U$12,K288),1))+(IF(H288=0,0,(Upgrades!$G$9+H288*Upgrades!$H$9)*POWER(Upgrades!$I$9,H288)))*(IF(Upgrades!$T$6="Magnetosphere",POWER(Upgrades!$U$6,E288),1)*IF(Upgrades!$T$7="Magnetosphere",POWER(Upgrades!$U$7,F288),1)*IF(Upgrades!$T$8="Magnetosphere",POWER(Upgrades!$U$8,G288),1)*IF(Upgrades!$T$10="Magnetosphere",POWER(Upgrades!$U$10,I288),1)*IF(Upgrades!$T$11="Magnetosphere",POWER(Upgrades!$U$11,J288),1)*IF(Upgrades!$T$12="Magnetosphere",POWER(Upgrades!$U$12,K288),1))+(IF(I288=0,0,(Upgrades!$G$10+I288*Upgrades!$H$10)*POWER(Upgrades!$I$10,I288)))*(IF(Upgrades!$T$6="Orbital Resonance",POWER(Upgrades!$U$6,E288),1)*IF(Upgrades!$T$7="Orbital Resonance",POWER(Upgrades!$U$7,F288),1)*IF(Upgrades!$T$8="Orbital Resonance",POWER(Upgrades!$U$8,G288),1)*IF(Upgrades!$T$9="Orbital Resonance",POWER(Upgrades!$U$9,H288),1)*IF(Upgrades!$T$11="Orbital Resonance",POWER(Upgrades!$U$11,J288),1)*IF(Upgrades!$T$12="Orbital Resonance",POWER(Upgrades!$U$12,K288),1))+(IF(J288=0,0,(Upgrades!$G$11+J288*Upgrades!$H$11)*POWER(Upgrades!$I$11,J288)))*(IF(Upgrades!$T$6="Heliopause",POWER(Upgrades!$U$6,E288),1)*IF(Upgrades!$T$7="Heliopause",POWER(Upgrades!$U$7,F288),1)*IF(Upgrades!$T$8="Heliopause",POWER(Upgrades!$U$8,G288),1)*IF(Upgrades!$T$9="Heliopause",POWER(Upgrades!$U$9,H288),1)*IF(Upgrades!$T$10="Heliopause",POWER(Upgrades!$U$10,I288),1)*IF(Upgrades!$T$12="Heliopause",POWER(Upgrades!$U$12,K288),1))+(IF(K288=0,0,(Upgrades!$G$12+K288*Upgrades!$H$12)*POWER(Upgrades!$I$12,K288)))*(IF(Upgrades!$T$6="First Photons",POWER(Upgrades!$U$6,E288),1)*IF(Upgrades!$T$7="First Photons",POWER(Upgrades!$U$7,F288),1)*IF(Upgrades!$T$8="First Photons",POWER(Upgrades!$U$8,G288),1)*IF(Upgrades!$T$9="First Photons",POWER(Upgrades!$U$9,H288),1)*IF(Upgrades!$T$10="First Photons",POWER(Upgrades!$U$10,I288),1)*IF(Upgrades!$T$11="First Photons",POWER(Upgrades!$U$11,J288),1)))*POWER(Upgrades!$P$6,E288)*POWER(Upgrades!$P$7,F288)*POWER(Upgrades!$P$8,G288)*POWER(Upgrades!$P$9,H288)*POWER(Upgrades!$P$10,I288)*POWER(Upgrades!$P$11,J288)*POWER(Upgrades!$P$12,K288)</f>
        <v/>
      </c>
      <c r="O288" s="28">
        <f>((IF(E288=0,0,(Upgrades!$M$6+E288*Upgrades!$N$6)*POWER(Upgrades!$O$6,E288)))*(IF(Upgrades!$T$7="Solar Wind",POWER(Upgrades!$U$7,F288),1)*IF(Upgrades!$T$8="Solar Wind",POWER(Upgrades!$U$8,G288),1)*IF(Upgrades!$T$9="Solar Wind",POWER(Upgrades!$U$9,H288),1)*IF(Upgrades!$T$10="Solar Wind",POWER(Upgrades!$U$10,I288),1)*IF(Upgrades!$T$11="Solar Wind",POWER(Upgrades!$U$11,J288),1)*IF(Upgrades!$T$12="Solar Wind",POWER(Upgrades!$U$12,K288),1))+(IF(F288=0,0,(Upgrades!$M$7+F288*Upgrades!$N$7)*POWER(Upgrades!$O$7,F288)))*(IF(Upgrades!$T$6="Asteroid Belt",POWER(Upgrades!$U$6,E288),1)*IF(Upgrades!$T$8="Asteroid Belt",POWER(Upgrades!$U$8,G288),1)*IF(Upgrades!$T$9="Asteroid Belt",POWER(Upgrades!$U$9,H288),1)*IF(Upgrades!$T$10="Asteroid Belt",POWER(Upgrades!$U$10,I288),1)*IF(Upgrades!$T$11="Asteroid Belt",POWER(Upgrades!$U$11,J288),1)*IF(Upgrades!$T$12="Asteroid Belt",POWER(Upgrades!$U$12,K288),1))+(IF(G288=0,0,(Upgrades!$M$8+G288*Upgrades!$N$8)*POWER(Upgrades!$O$8,G288)))*(IF(Upgrades!$T$6="Stellar Coupling",POWER(Upgrades!$U$6,E288),1)*IF(Upgrades!$T$7="Stellar Coupling",POWER(Upgrades!$U$7,F288),1)*IF(Upgrades!$T$9="Stellar Coupling",POWER(Upgrades!$U$9,H288),1)*IF(Upgrades!$T$10="Stellar Coupling",POWER(Upgrades!$U$10,I288),1)*IF(Upgrades!$T$11="Stellar Coupling",POWER(Upgrades!$U$11,J288),1)*IF(Upgrades!$T$12="Stellar Coupling",POWER(Upgrades!$U$12,K288),1))+(IF(H288=0,0,(Upgrades!$M$9+H288*Upgrades!$N$9)*POWER(Upgrades!$O$9,H288)))*(IF(Upgrades!$T$6="Magnetosphere",POWER(Upgrades!$U$6,E288),1)*IF(Upgrades!$T$7="Magnetosphere",POWER(Upgrades!$U$7,F288),1)*IF(Upgrades!$T$8="Magnetosphere",POWER(Upgrades!$U$8,G288),1)*IF(Upgrades!$T$10="Magnetosphere",POWER(Upgrades!$U$10,I288),1)*IF(Upgrades!$T$11="Magnetosphere",POWER(Upgrades!$U$11,J288),1)*IF(Upgrades!$T$12="Magnetosphere",POWER(Upgrades!$U$12,K288),1))+(IF(I288=0,0,(Upgrades!$M$10+I288*Upgrades!$N$10)*POWER(Upgrades!$O$10,I288)))*(IF(Upgrades!$T$6="Orbital Resonance",POWER(Upgrades!$U$6,E288),1)*IF(Upgrades!$T$7="Orbital Resonance",POWER(Upgrades!$U$7,F288),1)*IF(Upgrades!$T$8="Orbital Resonance",POWER(Upgrades!$U$8,G288),1)*IF(Upgrades!$T$9="Orbital Resonance",POWER(Upgrades!$U$9,H288),1)*IF(Upgrades!$T$11="Orbital Resonance",POWER(Upgrades!$U$11,J288),1)*IF(Upgrades!$T$12="Orbital Resonance",POWER(Upgrades!$U$12,K288),1))+(IF(J288=0,0,(Upgrades!$M$11+J288*Upgrades!$N$11)*POWER(Upgrades!$O$11,J288)))*(IF(Upgrades!$T$6="Heliopause",POWER(Upgrades!$U$6,E288),1)*IF(Upgrades!$T$7="Heliopause",POWER(Upgrades!$U$7,F288),1)*IF(Upgrades!$T$8="Heliopause",POWER(Upgrades!$U$8,G288),1)*IF(Upgrades!$T$9="Heliopause",POWER(Upgrades!$U$9,H288),1)*IF(Upgrades!$T$10="Heliopause",POWER(Upgrades!$U$10,I288),1)*IF(Upgrades!$T$12="Heliopause",POWER(Upgrades!$U$12,K288),1))+(IF(K288=0,0,(Upgrades!$M$12+K288*Upgrades!$N$12)*POWER(Upgrades!$O$12,K288)))*(IF(Upgrades!$T$6="First Photons",POWER(Upgrades!$U$6,E288),1)*IF(Upgrades!$T$7="First Photons",POWER(Upgrades!$U$7,F288),1)*IF(Upgrades!$T$8="First Photons",POWER(Upgrades!$U$8,G288),1)*IF(Upgrades!$T$9="First Photons",POWER(Upgrades!$U$9,H288),1)*IF(Upgrades!$T$10="First Photons",POWER(Upgrades!$U$10,I288),1)*IF(Upgrades!$T$11="First Photons",POWER(Upgrades!$U$11,J288),1)))*POWER(Upgrades!$R$6,E288)*POWER(Upgrades!$R$7,F288)*POWER(Upgrades!$R$8,G288)*POWER(Upgrades!$R$9,H288)*POWER(Upgrades!$R$10,I288)*POWER(Upgrades!$R$11,J288)*POWER(Upgrades!$R$12,K288)</f>
        <v/>
      </c>
      <c r="P288" s="27">
        <f>IF(L288=1,0,M288*Parameters!$B$10/60*Parameters!$B$11*10)</f>
        <v/>
      </c>
      <c r="Q288" s="27">
        <f>IF(L288=1,0,O288*M288*10)</f>
        <v/>
      </c>
      <c r="R288" s="27">
        <f>IF(L288=1,0,N288*10)</f>
        <v/>
      </c>
      <c r="S288" s="27">
        <f>P288+Q288+R288</f>
        <v/>
      </c>
      <c r="T288" s="22">
        <f>C288+S288</f>
        <v/>
      </c>
      <c r="U288" s="33">
        <f>AX288</f>
        <v/>
      </c>
      <c r="V288" s="22">
        <f>IF(U288="",0,IF(U288="transition",0,IF(U288="SW",AG288,IF(U288="AB",AH288,IF(U288="SC",AI288,IF(U288="Mag",AJ288,IF(U288="OR",AK288,IF(U288="HP",AL288,IF(U288="FP",AM288,0)))))))))</f>
        <v/>
      </c>
      <c r="W288" s="27">
        <f>IF(U288="OR",Upgrades!$F$10,IF(U288="HP",Upgrades!$F$11,IF(U288="transition",-Parameters!$B$18,0)))</f>
        <v/>
      </c>
      <c r="X288" s="22">
        <f>T288-V288</f>
        <v/>
      </c>
      <c r="Y288" s="30">
        <f>M288*Parameters!$B$10/60*Parameters!$B$11+O288*M288+N288</f>
        <v/>
      </c>
      <c r="Z288" s="34">
        <f>IF(U288="transition","→ Tier 2 (Stellar Neighborhood)",IF(U288="FP","First Photons — light begins, system quickens",IF(U288="HP","Heliopause acquired",IF(U288="OR","Orbital Resonance — passive multiplier active",IF(AND(AO288=1,L288=0,AN288&lt;&gt;1),"Cohesion ready (waiting on completionist upgrades)","")))))</f>
        <v/>
      </c>
      <c r="AA288" s="27">
        <f>(IF(E288=0,0,(Upgrades!$G$6+E288*Upgrades!$H$6)*POWER(Upgrades!$I$6,E288)))*(IF(Upgrades!$T$7="Solar Wind",POWER(Upgrades!$U$7,F288),1)*IF(Upgrades!$T$8="Solar Wind",POWER(Upgrades!$U$8,G288),1)*IF(Upgrades!$T$9="Solar Wind",POWER(Upgrades!$U$9,H288),1)*IF(Upgrades!$T$10="Solar Wind",POWER(Upgrades!$U$10,I288),1)*IF(Upgrades!$T$11="Solar Wind",POWER(Upgrades!$U$11,J288),1)*IF(Upgrades!$T$12="Solar Wind",POWER(Upgrades!$U$12,K288),1))*POWER(Upgrades!$P$6,E288)*POWER(Upgrades!$P$7,F288)*POWER(Upgrades!$P$8,G288)*POWER(Upgrades!$P$9,H288)*POWER(Upgrades!$P$10,I288)*POWER(Upgrades!$P$11,J288)*POWER(Upgrades!$P$12,K288)*60</f>
        <v/>
      </c>
      <c r="AB288" s="27">
        <f>(IF(F288=0,0,(Upgrades!$G$7+F288*Upgrades!$H$7)*POWER(Upgrades!$I$7,F288)))*(IF(Upgrades!$T$6="Asteroid Belt",POWER(Upgrades!$U$6,E288),1)*IF(Upgrades!$T$8="Asteroid Belt",POWER(Upgrades!$U$8,G288),1)*IF(Upgrades!$T$9="Asteroid Belt",POWER(Upgrades!$U$9,H288),1)*IF(Upgrades!$T$10="Asteroid Belt",POWER(Upgrades!$U$10,I288),1)*IF(Upgrades!$T$11="Asteroid Belt",POWER(Upgrades!$U$11,J288),1)*IF(Upgrades!$T$12="Asteroid Belt",POWER(Upgrades!$U$12,K288),1))*POWER(Upgrades!$P$6,E288)*POWER(Upgrades!$P$7,F288)*POWER(Upgrades!$P$8,G288)*POWER(Upgrades!$P$9,H288)*POWER(Upgrades!$P$10,I288)*POWER(Upgrades!$P$11,J288)*POWER(Upgrades!$P$12,K288)*60</f>
        <v/>
      </c>
      <c r="AC288" s="27">
        <f>(IF(G288=0,0,(Upgrades!$J$8+G288*Upgrades!$K$8)*POWER(Upgrades!$L$8,G288)))*(IF(Upgrades!$T$6="Stellar Coupling",POWER(Upgrades!$U$6,E288),1)*IF(Upgrades!$T$7="Stellar Coupling",POWER(Upgrades!$U$7,F288),1)*IF(Upgrades!$T$9="Stellar Coupling",POWER(Upgrades!$U$9,H288),1)*IF(Upgrades!$T$10="Stellar Coupling",POWER(Upgrades!$U$10,I288),1)*IF(Upgrades!$T$11="Stellar Coupling",POWER(Upgrades!$U$11,J288),1)*IF(Upgrades!$T$12="Stellar Coupling",POWER(Upgrades!$U$12,K288),1))*POWER(Upgrades!$Q$6,E288)*POWER(Upgrades!$Q$7,F288)*POWER(Upgrades!$Q$8,G288)*POWER(Upgrades!$Q$9,H288)*POWER(Upgrades!$Q$10,I288)*POWER(Upgrades!$Q$11,J288)*POWER(Upgrades!$Q$12,K288)*Parameters!$B$10*Parameters!$B$11</f>
        <v/>
      </c>
      <c r="AD288" s="27">
        <f>(IF(H288=0,0,(Upgrades!$G$9+H288*Upgrades!$H$9)*POWER(Upgrades!$I$9,H288)))*(IF(Upgrades!$T$6="Magnetosphere",POWER(Upgrades!$U$6,E288),1)*IF(Upgrades!$T$7="Magnetosphere",POWER(Upgrades!$U$7,F288),1)*IF(Upgrades!$T$8="Magnetosphere",POWER(Upgrades!$U$8,G288),1)*IF(Upgrades!$T$10="Magnetosphere",POWER(Upgrades!$U$10,I288),1)*IF(Upgrades!$T$11="Magnetosphere",POWER(Upgrades!$U$11,J288),1)*IF(Upgrades!$T$12="Magnetosphere",POWER(Upgrades!$U$12,K288),1))*POWER(Upgrades!$P$6,E288)*POWER(Upgrades!$P$7,F288)*POWER(Upgrades!$P$8,G288)*POWER(Upgrades!$P$9,H288)*POWER(Upgrades!$P$10,I288)*POWER(Upgrades!$P$11,J288)*POWER(Upgrades!$P$12,K288)*60</f>
        <v/>
      </c>
      <c r="AE288" s="27">
        <f>(IF(K288=0,0,(Upgrades!$G$12+K288*Upgrades!$H$12)*POWER(Upgrades!$I$12,K288)))*(IF(Upgrades!$T$6="First Photons",POWER(Upgrades!$U$6,E288),1)*IF(Upgrades!$T$7="First Photons",POWER(Upgrades!$U$7,F288),1)*IF(Upgrades!$T$8="First Photons",POWER(Upgrades!$U$8,G288),1)*IF(Upgrades!$T$9="First Photons",POWER(Upgrades!$U$9,H288),1)*IF(Upgrades!$T$10="First Photons",POWER(Upgrades!$U$10,I288),1)*IF(Upgrades!$T$11="First Photons",POWER(Upgrades!$U$11,J288),1))*POWER(Upgrades!$P$6,E288)*POWER(Upgrades!$P$7,F288)*POWER(Upgrades!$P$8,G288)*POWER(Upgrades!$P$9,H288)*POWER(Upgrades!$P$10,I288)*POWER(Upgrades!$P$11,J288)*POWER(Upgrades!$P$12,K288)*60</f>
        <v/>
      </c>
      <c r="AF288" s="27">
        <f>Parameters!$B$9*POWER(Upgrades!$Q$6,E288)*POWER(Upgrades!$Q$7,F288)*POWER(Upgrades!$Q$8,G288)*POWER(Upgrades!$Q$9,H288)*POWER(Upgrades!$Q$10,I288)*POWER(Upgrades!$Q$11,J288)*POWER(Upgrades!$Q$12,K288)*(Parameters!$B$10*Parameters!$B$11+O288*60)</f>
        <v/>
      </c>
      <c r="AG288" s="22">
        <f>IF(E288&gt;=Upgrades!$E$6,"",Upgrades!$C$6*POWER(Upgrades!$D$6,E288))</f>
        <v/>
      </c>
      <c r="AH288" s="22">
        <f>IF(F288&gt;=Upgrades!$E$7,"",Upgrades!$C$7*POWER(Upgrades!$D$7,F288))</f>
        <v/>
      </c>
      <c r="AI288" s="22">
        <f>IF(G288&gt;=Upgrades!$E$8,"",Upgrades!$C$8*POWER(Upgrades!$D$8,G288))</f>
        <v/>
      </c>
      <c r="AJ288" s="22">
        <f>IF(H288&gt;=Upgrades!$E$9,"",Upgrades!$C$9*POWER(Upgrades!$D$9,H288))</f>
        <v/>
      </c>
      <c r="AK288" s="22">
        <f>IF(I288&gt;=Upgrades!$E$10,"",Upgrades!$C$10*POWER(Upgrades!$D$10,I288))</f>
        <v/>
      </c>
      <c r="AL288" s="22">
        <f>IF(J288&gt;=Upgrades!$E$11,"",Upgrades!$C$11*POWER(Upgrades!$D$11,J288))</f>
        <v/>
      </c>
      <c r="AM288" s="22">
        <f>IF(K288&gt;=Upgrades!$E$12,"",Upgrades!$C$12*POWER(Upgrades!$D$12,K288))</f>
        <v/>
      </c>
      <c r="AN288" s="26">
        <f>IF(AND(D288&gt;=Parameters!$B$18,(H288&gt;=Upgrades!$E$9)*(K288&gt;=Upgrades!$E$12)=1,L288=0),1,"")</f>
        <v/>
      </c>
      <c r="AO288" s="26">
        <f>IF(AND(D288&gt;=Parameters!$B$18,L288=0),1,"")</f>
        <v/>
      </c>
      <c r="AP288" s="22">
        <f>MIN(IF(ISNUMBER(AK288),AK288,9E15),IF(ISNUMBER(AL288),AL288,9E15),IF(ISNUMBER(AM288),AM288,9E15))</f>
        <v/>
      </c>
      <c r="AQ288" s="22">
        <f>MIN(IF(ISNUMBER(AG288),AG288,9E15),IF(ISNUMBER(AH288),AH288,9E15),IF(ISNUMBER(AI288),AI288,9E15),IF(ISNUMBER(AJ288),AJ288,9E15))</f>
        <v/>
      </c>
      <c r="AR288" s="29">
        <f>IF(AW288&gt;Parameters!$B$21*(MAX(IF(AND(NOT(AND(AO288=1,AN288&lt;&gt;1)),ISNUMBER(AG288),AG288&lt;=T288),AS288,0),IF(AND(NOT(AND(AO288=1,AN288&lt;&gt;1)),ISNUMBER(AH288),AH288&lt;=T288),AT288,0),IF(AND(NOT(AND(AO288=1,AN288&lt;&gt;1)),ISNUMBER(AI288),AI288&lt;=T288),AU288,0),IF(AND(ISNUMBER(AJ288),AJ288&lt;=T288),AV288,0))),TRUE,FALSE)</f>
        <v/>
      </c>
      <c r="AS288" s="32">
        <f>IFERROR(Upgrades!$H$6*(POWER(Upgrades!$P$6,E288)*POWER(Upgrades!$P$7,F288)*POWER(Upgrades!$P$8,G288)*POWER(Upgrades!$P$9,H288)*POWER(Upgrades!$P$10,I288)*POWER(Upgrades!$P$11,J288)*POWER(Upgrades!$P$12,K288))*(IF(Upgrades!$T$7="Solar Wind",POWER(Upgrades!$U$7,F288),1)*IF(Upgrades!$T$8="Solar Wind",POWER(Upgrades!$U$8,G288),1)*IF(Upgrades!$T$9="Solar Wind",POWER(Upgrades!$U$9,H288),1)*IF(Upgrades!$T$10="Solar Wind",POWER(Upgrades!$U$10,I288),1)*IF(Upgrades!$T$11="Solar Wind",POWER(Upgrades!$U$11,J288),1)*IF(Upgrades!$T$12="Solar Wind",POWER(Upgrades!$U$12,K288),1))/AG288,0)</f>
        <v/>
      </c>
      <c r="AT288" s="32">
        <f>IFERROR(Upgrades!$H$7*(POWER(Upgrades!$P$6,E288)*POWER(Upgrades!$P$7,F288)*POWER(Upgrades!$P$8,G288)*POWER(Upgrades!$P$9,H288)*POWER(Upgrades!$P$10,I288)*POWER(Upgrades!$P$11,J288)*POWER(Upgrades!$P$12,K288))*(IF(Upgrades!$T$6="Asteroid Belt",POWER(Upgrades!$U$6,E288),1)*IF(Upgrades!$T$8="Asteroid Belt",POWER(Upgrades!$U$8,G288),1)*IF(Upgrades!$T$9="Asteroid Belt",POWER(Upgrades!$U$9,H288),1)*IF(Upgrades!$T$10="Asteroid Belt",POWER(Upgrades!$U$10,I288),1)*IF(Upgrades!$T$11="Asteroid Belt",POWER(Upgrades!$U$11,J288),1)*IF(Upgrades!$T$12="Asteroid Belt",POWER(Upgrades!$U$12,K288),1))/AH288,0)</f>
        <v/>
      </c>
      <c r="AU288" s="32">
        <f>IFERROR(Upgrades!$K$8*(POWER(Upgrades!$Q$6,E288)*POWER(Upgrades!$Q$7,F288)*POWER(Upgrades!$Q$8,G288)*POWER(Upgrades!$Q$9,H288)*POWER(Upgrades!$Q$10,I288)*POWER(Upgrades!$Q$11,J288)*POWER(Upgrades!$Q$12,K288))*(IF(Upgrades!$T$6="Stellar Coupling",POWER(Upgrades!$U$6,E288),1)*IF(Upgrades!$T$7="Stellar Coupling",POWER(Upgrades!$U$7,F288),1)*IF(Upgrades!$T$9="Stellar Coupling",POWER(Upgrades!$U$9,H288),1)*IF(Upgrades!$T$10="Stellar Coupling",POWER(Upgrades!$U$10,I288),1)*IF(Upgrades!$T$11="Stellar Coupling",POWER(Upgrades!$U$11,J288),1)*IF(Upgrades!$T$12="Stellar Coupling",POWER(Upgrades!$U$12,K288),1))*Parameters!$B$10*Parameters!$B$11/60/AI288,0)</f>
        <v/>
      </c>
      <c r="AV288" s="32">
        <f>IFERROR(Upgrades!$H$9*(POWER(Upgrades!$P$6,E288)*POWER(Upgrades!$P$7,F288)*POWER(Upgrades!$P$8,G288)*POWER(Upgrades!$P$9,H288)*POWER(Upgrades!$P$10,I288)*POWER(Upgrades!$P$11,J288)*POWER(Upgrades!$P$12,K288))*(IF(Upgrades!$T$6="Magnetosphere",POWER(Upgrades!$U$6,E288),1)*IF(Upgrades!$T$7="Magnetosphere",POWER(Upgrades!$U$7,F288),1)*IF(Upgrades!$T$8="Magnetosphere",POWER(Upgrades!$U$8,G288),1)*IF(Upgrades!$T$10="Magnetosphere",POWER(Upgrades!$U$10,I288),1)*IF(Upgrades!$T$11="Magnetosphere",POWER(Upgrades!$U$11,J288),1)*IF(Upgrades!$T$12="Magnetosphere",POWER(Upgrades!$U$12,K288),1))/AJ288,0)</f>
        <v/>
      </c>
      <c r="AW288" s="32">
        <f>MAX(IF(I288&gt;0,0,IFERROR(0.25*N288/Upgrades!$C$10,0)),IF(J288&gt;0,0,IFERROR(0.5*((IF(G288=0,0,(Upgrades!$J$8+G288*Upgrades!$K$8)*POWER(Upgrades!$L$8,G288)))*(IF(Upgrades!$T$6="Stellar Coupling",POWER(Upgrades!$U$6,E288),1)*IF(Upgrades!$T$7="Stellar Coupling",POWER(Upgrades!$U$7,F288),1)*IF(Upgrades!$T$9="Stellar Coupling",POWER(Upgrades!$U$9,H288),1)*IF(Upgrades!$T$10="Stellar Coupling",POWER(Upgrades!$U$10,I288),1)*IF(Upgrades!$T$11="Stellar Coupling",POWER(Upgrades!$U$11,J288),1)*IF(Upgrades!$T$12="Stellar Coupling",POWER(Upgrades!$U$12,K288),1))*(POWER(Upgrades!$Q$6,E288)*POWER(Upgrades!$Q$7,F288)*POWER(Upgrades!$Q$8,G288)*POWER(Upgrades!$Q$9,H288)*POWER(Upgrades!$Q$10,I288)*POWER(Upgrades!$Q$11,J288)*POWER(Upgrades!$Q$12,K288))*Parameters!$B$10*Parameters!$B$11/60)/Upgrades!$C$11,0)),IF(K288&gt;0,0,IFERROR((1.0*(POWER(Upgrades!$P$6,E288)*POWER(Upgrades!$P$7,F288)*POWER(Upgrades!$P$8,G288)*POWER(Upgrades!$P$9,H288)*POWER(Upgrades!$P$10,I288)*POWER(Upgrades!$P$11,J288)*POWER(Upgrades!$P$12,K288))+0.20*M288*Parameters!$B$10*Parameters!$B$11/60)/Upgrades!$C$12,0)),IF(AND(ISNUMBER(AG288),AG288&gt;T288),AS288,0),IF(AND(ISNUMBER(AH288),AH288&gt;T288),AT288,0),IF(AND(ISNUMBER(AI288),AI288&gt;T288),AU288,0),IF(AND(ISNUMBER(AJ288),AJ288&gt;T288),AV288,0))</f>
        <v/>
      </c>
      <c r="AX288" s="29">
        <f>IF(AN288=1,"transition",IF(MIN(IF(AND(I288=0,ISNUMBER(AK288),AK288&lt;=T288),AK288,9E15),IF(AND(J288=0,ISNUMBER(AL288),AL288&lt;=T288),AL288,9E15),IF(AND(K288=0,ISNUMBER(AM288),AM288&lt;=T288),AM288,9E15))&lt;9E15,IF(AND(AND(I288=0,ISNUMBER(AK288),AK288&lt;=T288),AK288=MIN(IF(AND(I288=0,ISNUMBER(AK288),AK288&lt;=T288),AK288,9E15),IF(AND(J288=0,ISNUMBER(AL288),AL288&lt;=T288),AL288,9E15),IF(AND(K288=0,ISNUMBER(AM288),AM288&lt;=T288),AM288,9E15))),"OR",IF(AND(AND(J288=0,ISNUMBER(AL288),AL288&lt;=T288),AL288=MIN(IF(AND(I288=0,ISNUMBER(AK288),AK288&lt;=T288),AK288,9E15),IF(AND(J288=0,ISNUMBER(AL288),AL288&lt;=T288),AL288,9E15),IF(AND(K288=0,ISNUMBER(AM288),AM288&lt;=T288),AM288,9E15))),"HP","FP")),IF(AR288=TRUE,"",IF(MAX(IF(AND(NOT(AND(AO288=1,AN288&lt;&gt;1)),ISNUMBER(AG288),AG288&lt;=T288),AS288,0),IF(AND(NOT(AND(AO288=1,AN288&lt;&gt;1)),ISNUMBER(AH288),AH288&lt;=T288),AT288,0),IF(AND(NOT(AND(AO288=1,AN288&lt;&gt;1)),ISNUMBER(AI288),AI288&lt;=T288),AU288,0),IF(AND(ISNUMBER(AJ288),AJ288&lt;=T288),AV288,0))&lt;=0,"",IF(AND(IF(AND(NOT(AND(AO288=1,AN288&lt;&gt;1)),ISNUMBER(AG288),AG288&lt;=T288),AS288,0)&gt;0,IF(AND(NOT(AND(AO288=1,AN288&lt;&gt;1)),ISNUMBER(AG288),AG288&lt;=T288),AS288,0)=MAX(IF(AND(NOT(AND(AO288=1,AN288&lt;&gt;1)),ISNUMBER(AG288),AG288&lt;=T288),AS288,0),IF(AND(NOT(AND(AO288=1,AN288&lt;&gt;1)),ISNUMBER(AH288),AH288&lt;=T288),AT288,0),IF(AND(NOT(AND(AO288=1,AN288&lt;&gt;1)),ISNUMBER(AI288),AI288&lt;=T288),AU288,0),IF(AND(ISNUMBER(AJ288),AJ288&lt;=T288),AV288,0))),"SW",IF(AND(IF(AND(NOT(AND(AO288=1,AN288&lt;&gt;1)),ISNUMBER(AH288),AH288&lt;=T288),AT288,0)&gt;0,IF(AND(NOT(AND(AO288=1,AN288&lt;&gt;1)),ISNUMBER(AH288),AH288&lt;=T288),AT288,0)=MAX(IF(AND(NOT(AND(AO288=1,AN288&lt;&gt;1)),ISNUMBER(AG288),AG288&lt;=T288),AS288,0),IF(AND(NOT(AND(AO288=1,AN288&lt;&gt;1)),ISNUMBER(AH288),AH288&lt;=T288),AT288,0),IF(AND(NOT(AND(AO288=1,AN288&lt;&gt;1)),ISNUMBER(AI288),AI288&lt;=T288),AU288,0),IF(AND(ISNUMBER(AJ288),AJ288&lt;=T288),AV288,0))),"AB",IF(AND(IF(AND(NOT(AND(AO288=1,AN288&lt;&gt;1)),ISNUMBER(AI288),AI288&lt;=T288),AU288,0)&gt;0,IF(AND(NOT(AND(AO288=1,AN288&lt;&gt;1)),ISNUMBER(AI288),AI288&lt;=T288),AU288,0)=MAX(IF(AND(NOT(AND(AO288=1,AN288&lt;&gt;1)),ISNUMBER(AG288),AG288&lt;=T288),AS288,0),IF(AND(NOT(AND(AO288=1,AN288&lt;&gt;1)),ISNUMBER(AH288),AH288&lt;=T288),AT288,0),IF(AND(NOT(AND(AO288=1,AN288&lt;&gt;1)),ISNUMBER(AI288),AI288&lt;=T288),AU288,0),IF(AND(ISNUMBER(AJ288),AJ288&lt;=T288),AV288,0))),"SC","Mag")))))))</f>
        <v/>
      </c>
    </row>
    <row r="289">
      <c r="A289" s="26" t="n">
        <v>284</v>
      </c>
      <c r="B289" s="27">
        <f>A289*10/60</f>
        <v/>
      </c>
      <c r="C289" s="22">
        <f>X288</f>
        <v/>
      </c>
      <c r="D289" s="27">
        <f>D288+W288</f>
        <v/>
      </c>
      <c r="E289" s="26">
        <f>E288+IF(U288="SW",1,0)</f>
        <v/>
      </c>
      <c r="F289" s="26">
        <f>F288+IF(U288="AB",1,0)</f>
        <v/>
      </c>
      <c r="G289" s="26">
        <f>G288+IF(U288="SC",1,0)</f>
        <v/>
      </c>
      <c r="H289" s="26">
        <f>H288+IF(U288="Mag",1,0)</f>
        <v/>
      </c>
      <c r="I289" s="26">
        <f>MAX(I288,IF(U288="OR",1,0))</f>
        <v/>
      </c>
      <c r="J289" s="26">
        <f>MAX(J288,IF(U288="HP",1,0))</f>
        <v/>
      </c>
      <c r="K289" s="26">
        <f>MAX(K288,IF(U288="FP",1,0))</f>
        <v/>
      </c>
      <c r="L289" s="26">
        <f>MAX(L288,IF(U288="transition",1,0))</f>
        <v/>
      </c>
      <c r="M289" s="28">
        <f>(Parameters!$B$9+(IF(E289=0,0,(Upgrades!$J$6+E289*Upgrades!$K$6)*POWER(Upgrades!$L$6,E289)))*(IF(Upgrades!$T$7="Solar Wind",POWER(Upgrades!$U$7,F289),1)*IF(Upgrades!$T$8="Solar Wind",POWER(Upgrades!$U$8,G289),1)*IF(Upgrades!$T$9="Solar Wind",POWER(Upgrades!$U$9,H289),1)*IF(Upgrades!$T$10="Solar Wind",POWER(Upgrades!$U$10,I289),1)*IF(Upgrades!$T$11="Solar Wind",POWER(Upgrades!$U$11,J289),1)*IF(Upgrades!$T$12="Solar Wind",POWER(Upgrades!$U$12,K289),1))+(IF(F289=0,0,(Upgrades!$J$7+F289*Upgrades!$K$7)*POWER(Upgrades!$L$7,F289)))*(IF(Upgrades!$T$6="Asteroid Belt",POWER(Upgrades!$U$6,E289),1)*IF(Upgrades!$T$8="Asteroid Belt",POWER(Upgrades!$U$8,G289),1)*IF(Upgrades!$T$9="Asteroid Belt",POWER(Upgrades!$U$9,H289),1)*IF(Upgrades!$T$10="Asteroid Belt",POWER(Upgrades!$U$10,I289),1)*IF(Upgrades!$T$11="Asteroid Belt",POWER(Upgrades!$U$11,J289),1)*IF(Upgrades!$T$12="Asteroid Belt",POWER(Upgrades!$U$12,K289),1))+(IF(G289=0,0,(Upgrades!$J$8+G289*Upgrades!$K$8)*POWER(Upgrades!$L$8,G289)))*(IF(Upgrades!$T$6="Stellar Coupling",POWER(Upgrades!$U$6,E289),1)*IF(Upgrades!$T$7="Stellar Coupling",POWER(Upgrades!$U$7,F289),1)*IF(Upgrades!$T$9="Stellar Coupling",POWER(Upgrades!$U$9,H289),1)*IF(Upgrades!$T$10="Stellar Coupling",POWER(Upgrades!$U$10,I289),1)*IF(Upgrades!$T$11="Stellar Coupling",POWER(Upgrades!$U$11,J289),1)*IF(Upgrades!$T$12="Stellar Coupling",POWER(Upgrades!$U$12,K289),1))+(IF(H289=0,0,(Upgrades!$J$9+H289*Upgrades!$K$9)*POWER(Upgrades!$L$9,H289)))*(IF(Upgrades!$T$6="Magnetosphere",POWER(Upgrades!$U$6,E289),1)*IF(Upgrades!$T$7="Magnetosphere",POWER(Upgrades!$U$7,F289),1)*IF(Upgrades!$T$8="Magnetosphere",POWER(Upgrades!$U$8,G289),1)*IF(Upgrades!$T$10="Magnetosphere",POWER(Upgrades!$U$10,I289),1)*IF(Upgrades!$T$11="Magnetosphere",POWER(Upgrades!$U$11,J289),1)*IF(Upgrades!$T$12="Magnetosphere",POWER(Upgrades!$U$12,K289),1))+(IF(I289=0,0,(Upgrades!$J$10+I289*Upgrades!$K$10)*POWER(Upgrades!$L$10,I289)))*(IF(Upgrades!$T$6="Orbital Resonance",POWER(Upgrades!$U$6,E289),1)*IF(Upgrades!$T$7="Orbital Resonance",POWER(Upgrades!$U$7,F289),1)*IF(Upgrades!$T$8="Orbital Resonance",POWER(Upgrades!$U$8,G289),1)*IF(Upgrades!$T$9="Orbital Resonance",POWER(Upgrades!$U$9,H289),1)*IF(Upgrades!$T$11="Orbital Resonance",POWER(Upgrades!$U$11,J289),1)*IF(Upgrades!$T$12="Orbital Resonance",POWER(Upgrades!$U$12,K289),1))+(IF(J289=0,0,(Upgrades!$J$11+J289*Upgrades!$K$11)*POWER(Upgrades!$L$11,J289)))*(IF(Upgrades!$T$6="Heliopause",POWER(Upgrades!$U$6,E289),1)*IF(Upgrades!$T$7="Heliopause",POWER(Upgrades!$U$7,F289),1)*IF(Upgrades!$T$8="Heliopause",POWER(Upgrades!$U$8,G289),1)*IF(Upgrades!$T$9="Heliopause",POWER(Upgrades!$U$9,H289),1)*IF(Upgrades!$T$10="Heliopause",POWER(Upgrades!$U$10,I289),1)*IF(Upgrades!$T$12="Heliopause",POWER(Upgrades!$U$12,K289),1))+(IF(K289=0,0,(Upgrades!$J$12+K289*Upgrades!$K$12)*POWER(Upgrades!$L$12,K289)))*(IF(Upgrades!$T$6="First Photons",POWER(Upgrades!$U$6,E289),1)*IF(Upgrades!$T$7="First Photons",POWER(Upgrades!$U$7,F289),1)*IF(Upgrades!$T$8="First Photons",POWER(Upgrades!$U$8,G289),1)*IF(Upgrades!$T$9="First Photons",POWER(Upgrades!$U$9,H289),1)*IF(Upgrades!$T$10="First Photons",POWER(Upgrades!$U$10,I289),1)*IF(Upgrades!$T$11="First Photons",POWER(Upgrades!$U$11,J289),1)))*POWER(Upgrades!$Q$6,E289)*POWER(Upgrades!$Q$7,F289)*POWER(Upgrades!$Q$8,G289)*POWER(Upgrades!$Q$9,H289)*POWER(Upgrades!$Q$10,I289)*POWER(Upgrades!$Q$11,J289)*POWER(Upgrades!$Q$12,K289)</f>
        <v/>
      </c>
      <c r="N289" s="28">
        <f>((IF(E289=0,0,(Upgrades!$G$6+E289*Upgrades!$H$6)*POWER(Upgrades!$I$6,E289)))*(IF(Upgrades!$T$7="Solar Wind",POWER(Upgrades!$U$7,F289),1)*IF(Upgrades!$T$8="Solar Wind",POWER(Upgrades!$U$8,G289),1)*IF(Upgrades!$T$9="Solar Wind",POWER(Upgrades!$U$9,H289),1)*IF(Upgrades!$T$10="Solar Wind",POWER(Upgrades!$U$10,I289),1)*IF(Upgrades!$T$11="Solar Wind",POWER(Upgrades!$U$11,J289),1)*IF(Upgrades!$T$12="Solar Wind",POWER(Upgrades!$U$12,K289),1))+(IF(F289=0,0,(Upgrades!$G$7+F289*Upgrades!$H$7)*POWER(Upgrades!$I$7,F289)))*(IF(Upgrades!$T$6="Asteroid Belt",POWER(Upgrades!$U$6,E289),1)*IF(Upgrades!$T$8="Asteroid Belt",POWER(Upgrades!$U$8,G289),1)*IF(Upgrades!$T$9="Asteroid Belt",POWER(Upgrades!$U$9,H289),1)*IF(Upgrades!$T$10="Asteroid Belt",POWER(Upgrades!$U$10,I289),1)*IF(Upgrades!$T$11="Asteroid Belt",POWER(Upgrades!$U$11,J289),1)*IF(Upgrades!$T$12="Asteroid Belt",POWER(Upgrades!$U$12,K289),1))+(IF(G289=0,0,(Upgrades!$G$8+G289*Upgrades!$H$8)*POWER(Upgrades!$I$8,G289)))*(IF(Upgrades!$T$6="Stellar Coupling",POWER(Upgrades!$U$6,E289),1)*IF(Upgrades!$T$7="Stellar Coupling",POWER(Upgrades!$U$7,F289),1)*IF(Upgrades!$T$9="Stellar Coupling",POWER(Upgrades!$U$9,H289),1)*IF(Upgrades!$T$10="Stellar Coupling",POWER(Upgrades!$U$10,I289),1)*IF(Upgrades!$T$11="Stellar Coupling",POWER(Upgrades!$U$11,J289),1)*IF(Upgrades!$T$12="Stellar Coupling",POWER(Upgrades!$U$12,K289),1))+(IF(H289=0,0,(Upgrades!$G$9+H289*Upgrades!$H$9)*POWER(Upgrades!$I$9,H289)))*(IF(Upgrades!$T$6="Magnetosphere",POWER(Upgrades!$U$6,E289),1)*IF(Upgrades!$T$7="Magnetosphere",POWER(Upgrades!$U$7,F289),1)*IF(Upgrades!$T$8="Magnetosphere",POWER(Upgrades!$U$8,G289),1)*IF(Upgrades!$T$10="Magnetosphere",POWER(Upgrades!$U$10,I289),1)*IF(Upgrades!$T$11="Magnetosphere",POWER(Upgrades!$U$11,J289),1)*IF(Upgrades!$T$12="Magnetosphere",POWER(Upgrades!$U$12,K289),1))+(IF(I289=0,0,(Upgrades!$G$10+I289*Upgrades!$H$10)*POWER(Upgrades!$I$10,I289)))*(IF(Upgrades!$T$6="Orbital Resonance",POWER(Upgrades!$U$6,E289),1)*IF(Upgrades!$T$7="Orbital Resonance",POWER(Upgrades!$U$7,F289),1)*IF(Upgrades!$T$8="Orbital Resonance",POWER(Upgrades!$U$8,G289),1)*IF(Upgrades!$T$9="Orbital Resonance",POWER(Upgrades!$U$9,H289),1)*IF(Upgrades!$T$11="Orbital Resonance",POWER(Upgrades!$U$11,J289),1)*IF(Upgrades!$T$12="Orbital Resonance",POWER(Upgrades!$U$12,K289),1))+(IF(J289=0,0,(Upgrades!$G$11+J289*Upgrades!$H$11)*POWER(Upgrades!$I$11,J289)))*(IF(Upgrades!$T$6="Heliopause",POWER(Upgrades!$U$6,E289),1)*IF(Upgrades!$T$7="Heliopause",POWER(Upgrades!$U$7,F289),1)*IF(Upgrades!$T$8="Heliopause",POWER(Upgrades!$U$8,G289),1)*IF(Upgrades!$T$9="Heliopause",POWER(Upgrades!$U$9,H289),1)*IF(Upgrades!$T$10="Heliopause",POWER(Upgrades!$U$10,I289),1)*IF(Upgrades!$T$12="Heliopause",POWER(Upgrades!$U$12,K289),1))+(IF(K289=0,0,(Upgrades!$G$12+K289*Upgrades!$H$12)*POWER(Upgrades!$I$12,K289)))*(IF(Upgrades!$T$6="First Photons",POWER(Upgrades!$U$6,E289),1)*IF(Upgrades!$T$7="First Photons",POWER(Upgrades!$U$7,F289),1)*IF(Upgrades!$T$8="First Photons",POWER(Upgrades!$U$8,G289),1)*IF(Upgrades!$T$9="First Photons",POWER(Upgrades!$U$9,H289),1)*IF(Upgrades!$T$10="First Photons",POWER(Upgrades!$U$10,I289),1)*IF(Upgrades!$T$11="First Photons",POWER(Upgrades!$U$11,J289),1)))*POWER(Upgrades!$P$6,E289)*POWER(Upgrades!$P$7,F289)*POWER(Upgrades!$P$8,G289)*POWER(Upgrades!$P$9,H289)*POWER(Upgrades!$P$10,I289)*POWER(Upgrades!$P$11,J289)*POWER(Upgrades!$P$12,K289)</f>
        <v/>
      </c>
      <c r="O289" s="28">
        <f>((IF(E289=0,0,(Upgrades!$M$6+E289*Upgrades!$N$6)*POWER(Upgrades!$O$6,E289)))*(IF(Upgrades!$T$7="Solar Wind",POWER(Upgrades!$U$7,F289),1)*IF(Upgrades!$T$8="Solar Wind",POWER(Upgrades!$U$8,G289),1)*IF(Upgrades!$T$9="Solar Wind",POWER(Upgrades!$U$9,H289),1)*IF(Upgrades!$T$10="Solar Wind",POWER(Upgrades!$U$10,I289),1)*IF(Upgrades!$T$11="Solar Wind",POWER(Upgrades!$U$11,J289),1)*IF(Upgrades!$T$12="Solar Wind",POWER(Upgrades!$U$12,K289),1))+(IF(F289=0,0,(Upgrades!$M$7+F289*Upgrades!$N$7)*POWER(Upgrades!$O$7,F289)))*(IF(Upgrades!$T$6="Asteroid Belt",POWER(Upgrades!$U$6,E289),1)*IF(Upgrades!$T$8="Asteroid Belt",POWER(Upgrades!$U$8,G289),1)*IF(Upgrades!$T$9="Asteroid Belt",POWER(Upgrades!$U$9,H289),1)*IF(Upgrades!$T$10="Asteroid Belt",POWER(Upgrades!$U$10,I289),1)*IF(Upgrades!$T$11="Asteroid Belt",POWER(Upgrades!$U$11,J289),1)*IF(Upgrades!$T$12="Asteroid Belt",POWER(Upgrades!$U$12,K289),1))+(IF(G289=0,0,(Upgrades!$M$8+G289*Upgrades!$N$8)*POWER(Upgrades!$O$8,G289)))*(IF(Upgrades!$T$6="Stellar Coupling",POWER(Upgrades!$U$6,E289),1)*IF(Upgrades!$T$7="Stellar Coupling",POWER(Upgrades!$U$7,F289),1)*IF(Upgrades!$T$9="Stellar Coupling",POWER(Upgrades!$U$9,H289),1)*IF(Upgrades!$T$10="Stellar Coupling",POWER(Upgrades!$U$10,I289),1)*IF(Upgrades!$T$11="Stellar Coupling",POWER(Upgrades!$U$11,J289),1)*IF(Upgrades!$T$12="Stellar Coupling",POWER(Upgrades!$U$12,K289),1))+(IF(H289=0,0,(Upgrades!$M$9+H289*Upgrades!$N$9)*POWER(Upgrades!$O$9,H289)))*(IF(Upgrades!$T$6="Magnetosphere",POWER(Upgrades!$U$6,E289),1)*IF(Upgrades!$T$7="Magnetosphere",POWER(Upgrades!$U$7,F289),1)*IF(Upgrades!$T$8="Magnetosphere",POWER(Upgrades!$U$8,G289),1)*IF(Upgrades!$T$10="Magnetosphere",POWER(Upgrades!$U$10,I289),1)*IF(Upgrades!$T$11="Magnetosphere",POWER(Upgrades!$U$11,J289),1)*IF(Upgrades!$T$12="Magnetosphere",POWER(Upgrades!$U$12,K289),1))+(IF(I289=0,0,(Upgrades!$M$10+I289*Upgrades!$N$10)*POWER(Upgrades!$O$10,I289)))*(IF(Upgrades!$T$6="Orbital Resonance",POWER(Upgrades!$U$6,E289),1)*IF(Upgrades!$T$7="Orbital Resonance",POWER(Upgrades!$U$7,F289),1)*IF(Upgrades!$T$8="Orbital Resonance",POWER(Upgrades!$U$8,G289),1)*IF(Upgrades!$T$9="Orbital Resonance",POWER(Upgrades!$U$9,H289),1)*IF(Upgrades!$T$11="Orbital Resonance",POWER(Upgrades!$U$11,J289),1)*IF(Upgrades!$T$12="Orbital Resonance",POWER(Upgrades!$U$12,K289),1))+(IF(J289=0,0,(Upgrades!$M$11+J289*Upgrades!$N$11)*POWER(Upgrades!$O$11,J289)))*(IF(Upgrades!$T$6="Heliopause",POWER(Upgrades!$U$6,E289),1)*IF(Upgrades!$T$7="Heliopause",POWER(Upgrades!$U$7,F289),1)*IF(Upgrades!$T$8="Heliopause",POWER(Upgrades!$U$8,G289),1)*IF(Upgrades!$T$9="Heliopause",POWER(Upgrades!$U$9,H289),1)*IF(Upgrades!$T$10="Heliopause",POWER(Upgrades!$U$10,I289),1)*IF(Upgrades!$T$12="Heliopause",POWER(Upgrades!$U$12,K289),1))+(IF(K289=0,0,(Upgrades!$M$12+K289*Upgrades!$N$12)*POWER(Upgrades!$O$12,K289)))*(IF(Upgrades!$T$6="First Photons",POWER(Upgrades!$U$6,E289),1)*IF(Upgrades!$T$7="First Photons",POWER(Upgrades!$U$7,F289),1)*IF(Upgrades!$T$8="First Photons",POWER(Upgrades!$U$8,G289),1)*IF(Upgrades!$T$9="First Photons",POWER(Upgrades!$U$9,H289),1)*IF(Upgrades!$T$10="First Photons",POWER(Upgrades!$U$10,I289),1)*IF(Upgrades!$T$11="First Photons",POWER(Upgrades!$U$11,J289),1)))*POWER(Upgrades!$R$6,E289)*POWER(Upgrades!$R$7,F289)*POWER(Upgrades!$R$8,G289)*POWER(Upgrades!$R$9,H289)*POWER(Upgrades!$R$10,I289)*POWER(Upgrades!$R$11,J289)*POWER(Upgrades!$R$12,K289)</f>
        <v/>
      </c>
      <c r="P289" s="27">
        <f>IF(L289=1,0,M289*Parameters!$B$10/60*Parameters!$B$11*10)</f>
        <v/>
      </c>
      <c r="Q289" s="27">
        <f>IF(L289=1,0,O289*M289*10)</f>
        <v/>
      </c>
      <c r="R289" s="27">
        <f>IF(L289=1,0,N289*10)</f>
        <v/>
      </c>
      <c r="S289" s="27">
        <f>P289+Q289+R289</f>
        <v/>
      </c>
      <c r="T289" s="22">
        <f>C289+S289</f>
        <v/>
      </c>
      <c r="U289" s="33">
        <f>AX289</f>
        <v/>
      </c>
      <c r="V289" s="22">
        <f>IF(U289="",0,IF(U289="transition",0,IF(U289="SW",AG289,IF(U289="AB",AH289,IF(U289="SC",AI289,IF(U289="Mag",AJ289,IF(U289="OR",AK289,IF(U289="HP",AL289,IF(U289="FP",AM289,0)))))))))</f>
        <v/>
      </c>
      <c r="W289" s="27">
        <f>IF(U289="OR",Upgrades!$F$10,IF(U289="HP",Upgrades!$F$11,IF(U289="transition",-Parameters!$B$18,0)))</f>
        <v/>
      </c>
      <c r="X289" s="22">
        <f>T289-V289</f>
        <v/>
      </c>
      <c r="Y289" s="30">
        <f>M289*Parameters!$B$10/60*Parameters!$B$11+O289*M289+N289</f>
        <v/>
      </c>
      <c r="Z289" s="34">
        <f>IF(U289="transition","→ Tier 2 (Stellar Neighborhood)",IF(U289="FP","First Photons — light begins, system quickens",IF(U289="HP","Heliopause acquired",IF(U289="OR","Orbital Resonance — passive multiplier active",IF(AND(AO289=1,L289=0,AN289&lt;&gt;1),"Cohesion ready (waiting on completionist upgrades)","")))))</f>
        <v/>
      </c>
      <c r="AA289" s="27">
        <f>(IF(E289=0,0,(Upgrades!$G$6+E289*Upgrades!$H$6)*POWER(Upgrades!$I$6,E289)))*(IF(Upgrades!$T$7="Solar Wind",POWER(Upgrades!$U$7,F289),1)*IF(Upgrades!$T$8="Solar Wind",POWER(Upgrades!$U$8,G289),1)*IF(Upgrades!$T$9="Solar Wind",POWER(Upgrades!$U$9,H289),1)*IF(Upgrades!$T$10="Solar Wind",POWER(Upgrades!$U$10,I289),1)*IF(Upgrades!$T$11="Solar Wind",POWER(Upgrades!$U$11,J289),1)*IF(Upgrades!$T$12="Solar Wind",POWER(Upgrades!$U$12,K289),1))*POWER(Upgrades!$P$6,E289)*POWER(Upgrades!$P$7,F289)*POWER(Upgrades!$P$8,G289)*POWER(Upgrades!$P$9,H289)*POWER(Upgrades!$P$10,I289)*POWER(Upgrades!$P$11,J289)*POWER(Upgrades!$P$12,K289)*60</f>
        <v/>
      </c>
      <c r="AB289" s="27">
        <f>(IF(F289=0,0,(Upgrades!$G$7+F289*Upgrades!$H$7)*POWER(Upgrades!$I$7,F289)))*(IF(Upgrades!$T$6="Asteroid Belt",POWER(Upgrades!$U$6,E289),1)*IF(Upgrades!$T$8="Asteroid Belt",POWER(Upgrades!$U$8,G289),1)*IF(Upgrades!$T$9="Asteroid Belt",POWER(Upgrades!$U$9,H289),1)*IF(Upgrades!$T$10="Asteroid Belt",POWER(Upgrades!$U$10,I289),1)*IF(Upgrades!$T$11="Asteroid Belt",POWER(Upgrades!$U$11,J289),1)*IF(Upgrades!$T$12="Asteroid Belt",POWER(Upgrades!$U$12,K289),1))*POWER(Upgrades!$P$6,E289)*POWER(Upgrades!$P$7,F289)*POWER(Upgrades!$P$8,G289)*POWER(Upgrades!$P$9,H289)*POWER(Upgrades!$P$10,I289)*POWER(Upgrades!$P$11,J289)*POWER(Upgrades!$P$12,K289)*60</f>
        <v/>
      </c>
      <c r="AC289" s="27">
        <f>(IF(G289=0,0,(Upgrades!$J$8+G289*Upgrades!$K$8)*POWER(Upgrades!$L$8,G289)))*(IF(Upgrades!$T$6="Stellar Coupling",POWER(Upgrades!$U$6,E289),1)*IF(Upgrades!$T$7="Stellar Coupling",POWER(Upgrades!$U$7,F289),1)*IF(Upgrades!$T$9="Stellar Coupling",POWER(Upgrades!$U$9,H289),1)*IF(Upgrades!$T$10="Stellar Coupling",POWER(Upgrades!$U$10,I289),1)*IF(Upgrades!$T$11="Stellar Coupling",POWER(Upgrades!$U$11,J289),1)*IF(Upgrades!$T$12="Stellar Coupling",POWER(Upgrades!$U$12,K289),1))*POWER(Upgrades!$Q$6,E289)*POWER(Upgrades!$Q$7,F289)*POWER(Upgrades!$Q$8,G289)*POWER(Upgrades!$Q$9,H289)*POWER(Upgrades!$Q$10,I289)*POWER(Upgrades!$Q$11,J289)*POWER(Upgrades!$Q$12,K289)*Parameters!$B$10*Parameters!$B$11</f>
        <v/>
      </c>
      <c r="AD289" s="27">
        <f>(IF(H289=0,0,(Upgrades!$G$9+H289*Upgrades!$H$9)*POWER(Upgrades!$I$9,H289)))*(IF(Upgrades!$T$6="Magnetosphere",POWER(Upgrades!$U$6,E289),1)*IF(Upgrades!$T$7="Magnetosphere",POWER(Upgrades!$U$7,F289),1)*IF(Upgrades!$T$8="Magnetosphere",POWER(Upgrades!$U$8,G289),1)*IF(Upgrades!$T$10="Magnetosphere",POWER(Upgrades!$U$10,I289),1)*IF(Upgrades!$T$11="Magnetosphere",POWER(Upgrades!$U$11,J289),1)*IF(Upgrades!$T$12="Magnetosphere",POWER(Upgrades!$U$12,K289),1))*POWER(Upgrades!$P$6,E289)*POWER(Upgrades!$P$7,F289)*POWER(Upgrades!$P$8,G289)*POWER(Upgrades!$P$9,H289)*POWER(Upgrades!$P$10,I289)*POWER(Upgrades!$P$11,J289)*POWER(Upgrades!$P$12,K289)*60</f>
        <v/>
      </c>
      <c r="AE289" s="27">
        <f>(IF(K289=0,0,(Upgrades!$G$12+K289*Upgrades!$H$12)*POWER(Upgrades!$I$12,K289)))*(IF(Upgrades!$T$6="First Photons",POWER(Upgrades!$U$6,E289),1)*IF(Upgrades!$T$7="First Photons",POWER(Upgrades!$U$7,F289),1)*IF(Upgrades!$T$8="First Photons",POWER(Upgrades!$U$8,G289),1)*IF(Upgrades!$T$9="First Photons",POWER(Upgrades!$U$9,H289),1)*IF(Upgrades!$T$10="First Photons",POWER(Upgrades!$U$10,I289),1)*IF(Upgrades!$T$11="First Photons",POWER(Upgrades!$U$11,J289),1))*POWER(Upgrades!$P$6,E289)*POWER(Upgrades!$P$7,F289)*POWER(Upgrades!$P$8,G289)*POWER(Upgrades!$P$9,H289)*POWER(Upgrades!$P$10,I289)*POWER(Upgrades!$P$11,J289)*POWER(Upgrades!$P$12,K289)*60</f>
        <v/>
      </c>
      <c r="AF289" s="27">
        <f>Parameters!$B$9*POWER(Upgrades!$Q$6,E289)*POWER(Upgrades!$Q$7,F289)*POWER(Upgrades!$Q$8,G289)*POWER(Upgrades!$Q$9,H289)*POWER(Upgrades!$Q$10,I289)*POWER(Upgrades!$Q$11,J289)*POWER(Upgrades!$Q$12,K289)*(Parameters!$B$10*Parameters!$B$11+O289*60)</f>
        <v/>
      </c>
      <c r="AG289" s="22">
        <f>IF(E289&gt;=Upgrades!$E$6,"",Upgrades!$C$6*POWER(Upgrades!$D$6,E289))</f>
        <v/>
      </c>
      <c r="AH289" s="22">
        <f>IF(F289&gt;=Upgrades!$E$7,"",Upgrades!$C$7*POWER(Upgrades!$D$7,F289))</f>
        <v/>
      </c>
      <c r="AI289" s="22">
        <f>IF(G289&gt;=Upgrades!$E$8,"",Upgrades!$C$8*POWER(Upgrades!$D$8,G289))</f>
        <v/>
      </c>
      <c r="AJ289" s="22">
        <f>IF(H289&gt;=Upgrades!$E$9,"",Upgrades!$C$9*POWER(Upgrades!$D$9,H289))</f>
        <v/>
      </c>
      <c r="AK289" s="22">
        <f>IF(I289&gt;=Upgrades!$E$10,"",Upgrades!$C$10*POWER(Upgrades!$D$10,I289))</f>
        <v/>
      </c>
      <c r="AL289" s="22">
        <f>IF(J289&gt;=Upgrades!$E$11,"",Upgrades!$C$11*POWER(Upgrades!$D$11,J289))</f>
        <v/>
      </c>
      <c r="AM289" s="22">
        <f>IF(K289&gt;=Upgrades!$E$12,"",Upgrades!$C$12*POWER(Upgrades!$D$12,K289))</f>
        <v/>
      </c>
      <c r="AN289" s="26">
        <f>IF(AND(D289&gt;=Parameters!$B$18,(H289&gt;=Upgrades!$E$9)*(K289&gt;=Upgrades!$E$12)=1,L289=0),1,"")</f>
        <v/>
      </c>
      <c r="AO289" s="26">
        <f>IF(AND(D289&gt;=Parameters!$B$18,L289=0),1,"")</f>
        <v/>
      </c>
      <c r="AP289" s="22">
        <f>MIN(IF(ISNUMBER(AK289),AK289,9E15),IF(ISNUMBER(AL289),AL289,9E15),IF(ISNUMBER(AM289),AM289,9E15))</f>
        <v/>
      </c>
      <c r="AQ289" s="22">
        <f>MIN(IF(ISNUMBER(AG289),AG289,9E15),IF(ISNUMBER(AH289),AH289,9E15),IF(ISNUMBER(AI289),AI289,9E15),IF(ISNUMBER(AJ289),AJ289,9E15))</f>
        <v/>
      </c>
      <c r="AR289" s="29">
        <f>IF(AW289&gt;Parameters!$B$21*(MAX(IF(AND(NOT(AND(AO289=1,AN289&lt;&gt;1)),ISNUMBER(AG289),AG289&lt;=T289),AS289,0),IF(AND(NOT(AND(AO289=1,AN289&lt;&gt;1)),ISNUMBER(AH289),AH289&lt;=T289),AT289,0),IF(AND(NOT(AND(AO289=1,AN289&lt;&gt;1)),ISNUMBER(AI289),AI289&lt;=T289),AU289,0),IF(AND(ISNUMBER(AJ289),AJ289&lt;=T289),AV289,0))),TRUE,FALSE)</f>
        <v/>
      </c>
      <c r="AS289" s="32">
        <f>IFERROR(Upgrades!$H$6*(POWER(Upgrades!$P$6,E289)*POWER(Upgrades!$P$7,F289)*POWER(Upgrades!$P$8,G289)*POWER(Upgrades!$P$9,H289)*POWER(Upgrades!$P$10,I289)*POWER(Upgrades!$P$11,J289)*POWER(Upgrades!$P$12,K289))*(IF(Upgrades!$T$7="Solar Wind",POWER(Upgrades!$U$7,F289),1)*IF(Upgrades!$T$8="Solar Wind",POWER(Upgrades!$U$8,G289),1)*IF(Upgrades!$T$9="Solar Wind",POWER(Upgrades!$U$9,H289),1)*IF(Upgrades!$T$10="Solar Wind",POWER(Upgrades!$U$10,I289),1)*IF(Upgrades!$T$11="Solar Wind",POWER(Upgrades!$U$11,J289),1)*IF(Upgrades!$T$12="Solar Wind",POWER(Upgrades!$U$12,K289),1))/AG289,0)</f>
        <v/>
      </c>
      <c r="AT289" s="32">
        <f>IFERROR(Upgrades!$H$7*(POWER(Upgrades!$P$6,E289)*POWER(Upgrades!$P$7,F289)*POWER(Upgrades!$P$8,G289)*POWER(Upgrades!$P$9,H289)*POWER(Upgrades!$P$10,I289)*POWER(Upgrades!$P$11,J289)*POWER(Upgrades!$P$12,K289))*(IF(Upgrades!$T$6="Asteroid Belt",POWER(Upgrades!$U$6,E289),1)*IF(Upgrades!$T$8="Asteroid Belt",POWER(Upgrades!$U$8,G289),1)*IF(Upgrades!$T$9="Asteroid Belt",POWER(Upgrades!$U$9,H289),1)*IF(Upgrades!$T$10="Asteroid Belt",POWER(Upgrades!$U$10,I289),1)*IF(Upgrades!$T$11="Asteroid Belt",POWER(Upgrades!$U$11,J289),1)*IF(Upgrades!$T$12="Asteroid Belt",POWER(Upgrades!$U$12,K289),1))/AH289,0)</f>
        <v/>
      </c>
      <c r="AU289" s="32">
        <f>IFERROR(Upgrades!$K$8*(POWER(Upgrades!$Q$6,E289)*POWER(Upgrades!$Q$7,F289)*POWER(Upgrades!$Q$8,G289)*POWER(Upgrades!$Q$9,H289)*POWER(Upgrades!$Q$10,I289)*POWER(Upgrades!$Q$11,J289)*POWER(Upgrades!$Q$12,K289))*(IF(Upgrades!$T$6="Stellar Coupling",POWER(Upgrades!$U$6,E289),1)*IF(Upgrades!$T$7="Stellar Coupling",POWER(Upgrades!$U$7,F289),1)*IF(Upgrades!$T$9="Stellar Coupling",POWER(Upgrades!$U$9,H289),1)*IF(Upgrades!$T$10="Stellar Coupling",POWER(Upgrades!$U$10,I289),1)*IF(Upgrades!$T$11="Stellar Coupling",POWER(Upgrades!$U$11,J289),1)*IF(Upgrades!$T$12="Stellar Coupling",POWER(Upgrades!$U$12,K289),1))*Parameters!$B$10*Parameters!$B$11/60/AI289,0)</f>
        <v/>
      </c>
      <c r="AV289" s="32">
        <f>IFERROR(Upgrades!$H$9*(POWER(Upgrades!$P$6,E289)*POWER(Upgrades!$P$7,F289)*POWER(Upgrades!$P$8,G289)*POWER(Upgrades!$P$9,H289)*POWER(Upgrades!$P$10,I289)*POWER(Upgrades!$P$11,J289)*POWER(Upgrades!$P$12,K289))*(IF(Upgrades!$T$6="Magnetosphere",POWER(Upgrades!$U$6,E289),1)*IF(Upgrades!$T$7="Magnetosphere",POWER(Upgrades!$U$7,F289),1)*IF(Upgrades!$T$8="Magnetosphere",POWER(Upgrades!$U$8,G289),1)*IF(Upgrades!$T$10="Magnetosphere",POWER(Upgrades!$U$10,I289),1)*IF(Upgrades!$T$11="Magnetosphere",POWER(Upgrades!$U$11,J289),1)*IF(Upgrades!$T$12="Magnetosphere",POWER(Upgrades!$U$12,K289),1))/AJ289,0)</f>
        <v/>
      </c>
      <c r="AW289" s="32">
        <f>MAX(IF(I289&gt;0,0,IFERROR(0.25*N289/Upgrades!$C$10,0)),IF(J289&gt;0,0,IFERROR(0.5*((IF(G289=0,0,(Upgrades!$J$8+G289*Upgrades!$K$8)*POWER(Upgrades!$L$8,G289)))*(IF(Upgrades!$T$6="Stellar Coupling",POWER(Upgrades!$U$6,E289),1)*IF(Upgrades!$T$7="Stellar Coupling",POWER(Upgrades!$U$7,F289),1)*IF(Upgrades!$T$9="Stellar Coupling",POWER(Upgrades!$U$9,H289),1)*IF(Upgrades!$T$10="Stellar Coupling",POWER(Upgrades!$U$10,I289),1)*IF(Upgrades!$T$11="Stellar Coupling",POWER(Upgrades!$U$11,J289),1)*IF(Upgrades!$T$12="Stellar Coupling",POWER(Upgrades!$U$12,K289),1))*(POWER(Upgrades!$Q$6,E289)*POWER(Upgrades!$Q$7,F289)*POWER(Upgrades!$Q$8,G289)*POWER(Upgrades!$Q$9,H289)*POWER(Upgrades!$Q$10,I289)*POWER(Upgrades!$Q$11,J289)*POWER(Upgrades!$Q$12,K289))*Parameters!$B$10*Parameters!$B$11/60)/Upgrades!$C$11,0)),IF(K289&gt;0,0,IFERROR((1.0*(POWER(Upgrades!$P$6,E289)*POWER(Upgrades!$P$7,F289)*POWER(Upgrades!$P$8,G289)*POWER(Upgrades!$P$9,H289)*POWER(Upgrades!$P$10,I289)*POWER(Upgrades!$P$11,J289)*POWER(Upgrades!$P$12,K289))+0.20*M289*Parameters!$B$10*Parameters!$B$11/60)/Upgrades!$C$12,0)),IF(AND(ISNUMBER(AG289),AG289&gt;T289),AS289,0),IF(AND(ISNUMBER(AH289),AH289&gt;T289),AT289,0),IF(AND(ISNUMBER(AI289),AI289&gt;T289),AU289,0),IF(AND(ISNUMBER(AJ289),AJ289&gt;T289),AV289,0))</f>
        <v/>
      </c>
      <c r="AX289" s="29">
        <f>IF(AN289=1,"transition",IF(MIN(IF(AND(I289=0,ISNUMBER(AK289),AK289&lt;=T289),AK289,9E15),IF(AND(J289=0,ISNUMBER(AL289),AL289&lt;=T289),AL289,9E15),IF(AND(K289=0,ISNUMBER(AM289),AM289&lt;=T289),AM289,9E15))&lt;9E15,IF(AND(AND(I289=0,ISNUMBER(AK289),AK289&lt;=T289),AK289=MIN(IF(AND(I289=0,ISNUMBER(AK289),AK289&lt;=T289),AK289,9E15),IF(AND(J289=0,ISNUMBER(AL289),AL289&lt;=T289),AL289,9E15),IF(AND(K289=0,ISNUMBER(AM289),AM289&lt;=T289),AM289,9E15))),"OR",IF(AND(AND(J289=0,ISNUMBER(AL289),AL289&lt;=T289),AL289=MIN(IF(AND(I289=0,ISNUMBER(AK289),AK289&lt;=T289),AK289,9E15),IF(AND(J289=0,ISNUMBER(AL289),AL289&lt;=T289),AL289,9E15),IF(AND(K289=0,ISNUMBER(AM289),AM289&lt;=T289),AM289,9E15))),"HP","FP")),IF(AR289=TRUE,"",IF(MAX(IF(AND(NOT(AND(AO289=1,AN289&lt;&gt;1)),ISNUMBER(AG289),AG289&lt;=T289),AS289,0),IF(AND(NOT(AND(AO289=1,AN289&lt;&gt;1)),ISNUMBER(AH289),AH289&lt;=T289),AT289,0),IF(AND(NOT(AND(AO289=1,AN289&lt;&gt;1)),ISNUMBER(AI289),AI289&lt;=T289),AU289,0),IF(AND(ISNUMBER(AJ289),AJ289&lt;=T289),AV289,0))&lt;=0,"",IF(AND(IF(AND(NOT(AND(AO289=1,AN289&lt;&gt;1)),ISNUMBER(AG289),AG289&lt;=T289),AS289,0)&gt;0,IF(AND(NOT(AND(AO289=1,AN289&lt;&gt;1)),ISNUMBER(AG289),AG289&lt;=T289),AS289,0)=MAX(IF(AND(NOT(AND(AO289=1,AN289&lt;&gt;1)),ISNUMBER(AG289),AG289&lt;=T289),AS289,0),IF(AND(NOT(AND(AO289=1,AN289&lt;&gt;1)),ISNUMBER(AH289),AH289&lt;=T289),AT289,0),IF(AND(NOT(AND(AO289=1,AN289&lt;&gt;1)),ISNUMBER(AI289),AI289&lt;=T289),AU289,0),IF(AND(ISNUMBER(AJ289),AJ289&lt;=T289),AV289,0))),"SW",IF(AND(IF(AND(NOT(AND(AO289=1,AN289&lt;&gt;1)),ISNUMBER(AH289),AH289&lt;=T289),AT289,0)&gt;0,IF(AND(NOT(AND(AO289=1,AN289&lt;&gt;1)),ISNUMBER(AH289),AH289&lt;=T289),AT289,0)=MAX(IF(AND(NOT(AND(AO289=1,AN289&lt;&gt;1)),ISNUMBER(AG289),AG289&lt;=T289),AS289,0),IF(AND(NOT(AND(AO289=1,AN289&lt;&gt;1)),ISNUMBER(AH289),AH289&lt;=T289),AT289,0),IF(AND(NOT(AND(AO289=1,AN289&lt;&gt;1)),ISNUMBER(AI289),AI289&lt;=T289),AU289,0),IF(AND(ISNUMBER(AJ289),AJ289&lt;=T289),AV289,0))),"AB",IF(AND(IF(AND(NOT(AND(AO289=1,AN289&lt;&gt;1)),ISNUMBER(AI289),AI289&lt;=T289),AU289,0)&gt;0,IF(AND(NOT(AND(AO289=1,AN289&lt;&gt;1)),ISNUMBER(AI289),AI289&lt;=T289),AU289,0)=MAX(IF(AND(NOT(AND(AO289=1,AN289&lt;&gt;1)),ISNUMBER(AG289),AG289&lt;=T289),AS289,0),IF(AND(NOT(AND(AO289=1,AN289&lt;&gt;1)),ISNUMBER(AH289),AH289&lt;=T289),AT289,0),IF(AND(NOT(AND(AO289=1,AN289&lt;&gt;1)),ISNUMBER(AI289),AI289&lt;=T289),AU289,0),IF(AND(ISNUMBER(AJ289),AJ289&lt;=T289),AV289,0))),"SC","Mag")))))))</f>
        <v/>
      </c>
    </row>
    <row r="290">
      <c r="A290" s="26" t="n">
        <v>285</v>
      </c>
      <c r="B290" s="27">
        <f>A290*10/60</f>
        <v/>
      </c>
      <c r="C290" s="22">
        <f>X289</f>
        <v/>
      </c>
      <c r="D290" s="27">
        <f>D289+W289</f>
        <v/>
      </c>
      <c r="E290" s="26">
        <f>E289+IF(U289="SW",1,0)</f>
        <v/>
      </c>
      <c r="F290" s="26">
        <f>F289+IF(U289="AB",1,0)</f>
        <v/>
      </c>
      <c r="G290" s="26">
        <f>G289+IF(U289="SC",1,0)</f>
        <v/>
      </c>
      <c r="H290" s="26">
        <f>H289+IF(U289="Mag",1,0)</f>
        <v/>
      </c>
      <c r="I290" s="26">
        <f>MAX(I289,IF(U289="OR",1,0))</f>
        <v/>
      </c>
      <c r="J290" s="26">
        <f>MAX(J289,IF(U289="HP",1,0))</f>
        <v/>
      </c>
      <c r="K290" s="26">
        <f>MAX(K289,IF(U289="FP",1,0))</f>
        <v/>
      </c>
      <c r="L290" s="26">
        <f>MAX(L289,IF(U289="transition",1,0))</f>
        <v/>
      </c>
      <c r="M290" s="28">
        <f>(Parameters!$B$9+(IF(E290=0,0,(Upgrades!$J$6+E290*Upgrades!$K$6)*POWER(Upgrades!$L$6,E290)))*(IF(Upgrades!$T$7="Solar Wind",POWER(Upgrades!$U$7,F290),1)*IF(Upgrades!$T$8="Solar Wind",POWER(Upgrades!$U$8,G290),1)*IF(Upgrades!$T$9="Solar Wind",POWER(Upgrades!$U$9,H290),1)*IF(Upgrades!$T$10="Solar Wind",POWER(Upgrades!$U$10,I290),1)*IF(Upgrades!$T$11="Solar Wind",POWER(Upgrades!$U$11,J290),1)*IF(Upgrades!$T$12="Solar Wind",POWER(Upgrades!$U$12,K290),1))+(IF(F290=0,0,(Upgrades!$J$7+F290*Upgrades!$K$7)*POWER(Upgrades!$L$7,F290)))*(IF(Upgrades!$T$6="Asteroid Belt",POWER(Upgrades!$U$6,E290),1)*IF(Upgrades!$T$8="Asteroid Belt",POWER(Upgrades!$U$8,G290),1)*IF(Upgrades!$T$9="Asteroid Belt",POWER(Upgrades!$U$9,H290),1)*IF(Upgrades!$T$10="Asteroid Belt",POWER(Upgrades!$U$10,I290),1)*IF(Upgrades!$T$11="Asteroid Belt",POWER(Upgrades!$U$11,J290),1)*IF(Upgrades!$T$12="Asteroid Belt",POWER(Upgrades!$U$12,K290),1))+(IF(G290=0,0,(Upgrades!$J$8+G290*Upgrades!$K$8)*POWER(Upgrades!$L$8,G290)))*(IF(Upgrades!$T$6="Stellar Coupling",POWER(Upgrades!$U$6,E290),1)*IF(Upgrades!$T$7="Stellar Coupling",POWER(Upgrades!$U$7,F290),1)*IF(Upgrades!$T$9="Stellar Coupling",POWER(Upgrades!$U$9,H290),1)*IF(Upgrades!$T$10="Stellar Coupling",POWER(Upgrades!$U$10,I290),1)*IF(Upgrades!$T$11="Stellar Coupling",POWER(Upgrades!$U$11,J290),1)*IF(Upgrades!$T$12="Stellar Coupling",POWER(Upgrades!$U$12,K290),1))+(IF(H290=0,0,(Upgrades!$J$9+H290*Upgrades!$K$9)*POWER(Upgrades!$L$9,H290)))*(IF(Upgrades!$T$6="Magnetosphere",POWER(Upgrades!$U$6,E290),1)*IF(Upgrades!$T$7="Magnetosphere",POWER(Upgrades!$U$7,F290),1)*IF(Upgrades!$T$8="Magnetosphere",POWER(Upgrades!$U$8,G290),1)*IF(Upgrades!$T$10="Magnetosphere",POWER(Upgrades!$U$10,I290),1)*IF(Upgrades!$T$11="Magnetosphere",POWER(Upgrades!$U$11,J290),1)*IF(Upgrades!$T$12="Magnetosphere",POWER(Upgrades!$U$12,K290),1))+(IF(I290=0,0,(Upgrades!$J$10+I290*Upgrades!$K$10)*POWER(Upgrades!$L$10,I290)))*(IF(Upgrades!$T$6="Orbital Resonance",POWER(Upgrades!$U$6,E290),1)*IF(Upgrades!$T$7="Orbital Resonance",POWER(Upgrades!$U$7,F290),1)*IF(Upgrades!$T$8="Orbital Resonance",POWER(Upgrades!$U$8,G290),1)*IF(Upgrades!$T$9="Orbital Resonance",POWER(Upgrades!$U$9,H290),1)*IF(Upgrades!$T$11="Orbital Resonance",POWER(Upgrades!$U$11,J290),1)*IF(Upgrades!$T$12="Orbital Resonance",POWER(Upgrades!$U$12,K290),1))+(IF(J290=0,0,(Upgrades!$J$11+J290*Upgrades!$K$11)*POWER(Upgrades!$L$11,J290)))*(IF(Upgrades!$T$6="Heliopause",POWER(Upgrades!$U$6,E290),1)*IF(Upgrades!$T$7="Heliopause",POWER(Upgrades!$U$7,F290),1)*IF(Upgrades!$T$8="Heliopause",POWER(Upgrades!$U$8,G290),1)*IF(Upgrades!$T$9="Heliopause",POWER(Upgrades!$U$9,H290),1)*IF(Upgrades!$T$10="Heliopause",POWER(Upgrades!$U$10,I290),1)*IF(Upgrades!$T$12="Heliopause",POWER(Upgrades!$U$12,K290),1))+(IF(K290=0,0,(Upgrades!$J$12+K290*Upgrades!$K$12)*POWER(Upgrades!$L$12,K290)))*(IF(Upgrades!$T$6="First Photons",POWER(Upgrades!$U$6,E290),1)*IF(Upgrades!$T$7="First Photons",POWER(Upgrades!$U$7,F290),1)*IF(Upgrades!$T$8="First Photons",POWER(Upgrades!$U$8,G290),1)*IF(Upgrades!$T$9="First Photons",POWER(Upgrades!$U$9,H290),1)*IF(Upgrades!$T$10="First Photons",POWER(Upgrades!$U$10,I290),1)*IF(Upgrades!$T$11="First Photons",POWER(Upgrades!$U$11,J290),1)))*POWER(Upgrades!$Q$6,E290)*POWER(Upgrades!$Q$7,F290)*POWER(Upgrades!$Q$8,G290)*POWER(Upgrades!$Q$9,H290)*POWER(Upgrades!$Q$10,I290)*POWER(Upgrades!$Q$11,J290)*POWER(Upgrades!$Q$12,K290)</f>
        <v/>
      </c>
      <c r="N290" s="28">
        <f>((IF(E290=0,0,(Upgrades!$G$6+E290*Upgrades!$H$6)*POWER(Upgrades!$I$6,E290)))*(IF(Upgrades!$T$7="Solar Wind",POWER(Upgrades!$U$7,F290),1)*IF(Upgrades!$T$8="Solar Wind",POWER(Upgrades!$U$8,G290),1)*IF(Upgrades!$T$9="Solar Wind",POWER(Upgrades!$U$9,H290),1)*IF(Upgrades!$T$10="Solar Wind",POWER(Upgrades!$U$10,I290),1)*IF(Upgrades!$T$11="Solar Wind",POWER(Upgrades!$U$11,J290),1)*IF(Upgrades!$T$12="Solar Wind",POWER(Upgrades!$U$12,K290),1))+(IF(F290=0,0,(Upgrades!$G$7+F290*Upgrades!$H$7)*POWER(Upgrades!$I$7,F290)))*(IF(Upgrades!$T$6="Asteroid Belt",POWER(Upgrades!$U$6,E290),1)*IF(Upgrades!$T$8="Asteroid Belt",POWER(Upgrades!$U$8,G290),1)*IF(Upgrades!$T$9="Asteroid Belt",POWER(Upgrades!$U$9,H290),1)*IF(Upgrades!$T$10="Asteroid Belt",POWER(Upgrades!$U$10,I290),1)*IF(Upgrades!$T$11="Asteroid Belt",POWER(Upgrades!$U$11,J290),1)*IF(Upgrades!$T$12="Asteroid Belt",POWER(Upgrades!$U$12,K290),1))+(IF(G290=0,0,(Upgrades!$G$8+G290*Upgrades!$H$8)*POWER(Upgrades!$I$8,G290)))*(IF(Upgrades!$T$6="Stellar Coupling",POWER(Upgrades!$U$6,E290),1)*IF(Upgrades!$T$7="Stellar Coupling",POWER(Upgrades!$U$7,F290),1)*IF(Upgrades!$T$9="Stellar Coupling",POWER(Upgrades!$U$9,H290),1)*IF(Upgrades!$T$10="Stellar Coupling",POWER(Upgrades!$U$10,I290),1)*IF(Upgrades!$T$11="Stellar Coupling",POWER(Upgrades!$U$11,J290),1)*IF(Upgrades!$T$12="Stellar Coupling",POWER(Upgrades!$U$12,K290),1))+(IF(H290=0,0,(Upgrades!$G$9+H290*Upgrades!$H$9)*POWER(Upgrades!$I$9,H290)))*(IF(Upgrades!$T$6="Magnetosphere",POWER(Upgrades!$U$6,E290),1)*IF(Upgrades!$T$7="Magnetosphere",POWER(Upgrades!$U$7,F290),1)*IF(Upgrades!$T$8="Magnetosphere",POWER(Upgrades!$U$8,G290),1)*IF(Upgrades!$T$10="Magnetosphere",POWER(Upgrades!$U$10,I290),1)*IF(Upgrades!$T$11="Magnetosphere",POWER(Upgrades!$U$11,J290),1)*IF(Upgrades!$T$12="Magnetosphere",POWER(Upgrades!$U$12,K290),1))+(IF(I290=0,0,(Upgrades!$G$10+I290*Upgrades!$H$10)*POWER(Upgrades!$I$10,I290)))*(IF(Upgrades!$T$6="Orbital Resonance",POWER(Upgrades!$U$6,E290),1)*IF(Upgrades!$T$7="Orbital Resonance",POWER(Upgrades!$U$7,F290),1)*IF(Upgrades!$T$8="Orbital Resonance",POWER(Upgrades!$U$8,G290),1)*IF(Upgrades!$T$9="Orbital Resonance",POWER(Upgrades!$U$9,H290),1)*IF(Upgrades!$T$11="Orbital Resonance",POWER(Upgrades!$U$11,J290),1)*IF(Upgrades!$T$12="Orbital Resonance",POWER(Upgrades!$U$12,K290),1))+(IF(J290=0,0,(Upgrades!$G$11+J290*Upgrades!$H$11)*POWER(Upgrades!$I$11,J290)))*(IF(Upgrades!$T$6="Heliopause",POWER(Upgrades!$U$6,E290),1)*IF(Upgrades!$T$7="Heliopause",POWER(Upgrades!$U$7,F290),1)*IF(Upgrades!$T$8="Heliopause",POWER(Upgrades!$U$8,G290),1)*IF(Upgrades!$T$9="Heliopause",POWER(Upgrades!$U$9,H290),1)*IF(Upgrades!$T$10="Heliopause",POWER(Upgrades!$U$10,I290),1)*IF(Upgrades!$T$12="Heliopause",POWER(Upgrades!$U$12,K290),1))+(IF(K290=0,0,(Upgrades!$G$12+K290*Upgrades!$H$12)*POWER(Upgrades!$I$12,K290)))*(IF(Upgrades!$T$6="First Photons",POWER(Upgrades!$U$6,E290),1)*IF(Upgrades!$T$7="First Photons",POWER(Upgrades!$U$7,F290),1)*IF(Upgrades!$T$8="First Photons",POWER(Upgrades!$U$8,G290),1)*IF(Upgrades!$T$9="First Photons",POWER(Upgrades!$U$9,H290),1)*IF(Upgrades!$T$10="First Photons",POWER(Upgrades!$U$10,I290),1)*IF(Upgrades!$T$11="First Photons",POWER(Upgrades!$U$11,J290),1)))*POWER(Upgrades!$P$6,E290)*POWER(Upgrades!$P$7,F290)*POWER(Upgrades!$P$8,G290)*POWER(Upgrades!$P$9,H290)*POWER(Upgrades!$P$10,I290)*POWER(Upgrades!$P$11,J290)*POWER(Upgrades!$P$12,K290)</f>
        <v/>
      </c>
      <c r="O290" s="28">
        <f>((IF(E290=0,0,(Upgrades!$M$6+E290*Upgrades!$N$6)*POWER(Upgrades!$O$6,E290)))*(IF(Upgrades!$T$7="Solar Wind",POWER(Upgrades!$U$7,F290),1)*IF(Upgrades!$T$8="Solar Wind",POWER(Upgrades!$U$8,G290),1)*IF(Upgrades!$T$9="Solar Wind",POWER(Upgrades!$U$9,H290),1)*IF(Upgrades!$T$10="Solar Wind",POWER(Upgrades!$U$10,I290),1)*IF(Upgrades!$T$11="Solar Wind",POWER(Upgrades!$U$11,J290),1)*IF(Upgrades!$T$12="Solar Wind",POWER(Upgrades!$U$12,K290),1))+(IF(F290=0,0,(Upgrades!$M$7+F290*Upgrades!$N$7)*POWER(Upgrades!$O$7,F290)))*(IF(Upgrades!$T$6="Asteroid Belt",POWER(Upgrades!$U$6,E290),1)*IF(Upgrades!$T$8="Asteroid Belt",POWER(Upgrades!$U$8,G290),1)*IF(Upgrades!$T$9="Asteroid Belt",POWER(Upgrades!$U$9,H290),1)*IF(Upgrades!$T$10="Asteroid Belt",POWER(Upgrades!$U$10,I290),1)*IF(Upgrades!$T$11="Asteroid Belt",POWER(Upgrades!$U$11,J290),1)*IF(Upgrades!$T$12="Asteroid Belt",POWER(Upgrades!$U$12,K290),1))+(IF(G290=0,0,(Upgrades!$M$8+G290*Upgrades!$N$8)*POWER(Upgrades!$O$8,G290)))*(IF(Upgrades!$T$6="Stellar Coupling",POWER(Upgrades!$U$6,E290),1)*IF(Upgrades!$T$7="Stellar Coupling",POWER(Upgrades!$U$7,F290),1)*IF(Upgrades!$T$9="Stellar Coupling",POWER(Upgrades!$U$9,H290),1)*IF(Upgrades!$T$10="Stellar Coupling",POWER(Upgrades!$U$10,I290),1)*IF(Upgrades!$T$11="Stellar Coupling",POWER(Upgrades!$U$11,J290),1)*IF(Upgrades!$T$12="Stellar Coupling",POWER(Upgrades!$U$12,K290),1))+(IF(H290=0,0,(Upgrades!$M$9+H290*Upgrades!$N$9)*POWER(Upgrades!$O$9,H290)))*(IF(Upgrades!$T$6="Magnetosphere",POWER(Upgrades!$U$6,E290),1)*IF(Upgrades!$T$7="Magnetosphere",POWER(Upgrades!$U$7,F290),1)*IF(Upgrades!$T$8="Magnetosphere",POWER(Upgrades!$U$8,G290),1)*IF(Upgrades!$T$10="Magnetosphere",POWER(Upgrades!$U$10,I290),1)*IF(Upgrades!$T$11="Magnetosphere",POWER(Upgrades!$U$11,J290),1)*IF(Upgrades!$T$12="Magnetosphere",POWER(Upgrades!$U$12,K290),1))+(IF(I290=0,0,(Upgrades!$M$10+I290*Upgrades!$N$10)*POWER(Upgrades!$O$10,I290)))*(IF(Upgrades!$T$6="Orbital Resonance",POWER(Upgrades!$U$6,E290),1)*IF(Upgrades!$T$7="Orbital Resonance",POWER(Upgrades!$U$7,F290),1)*IF(Upgrades!$T$8="Orbital Resonance",POWER(Upgrades!$U$8,G290),1)*IF(Upgrades!$T$9="Orbital Resonance",POWER(Upgrades!$U$9,H290),1)*IF(Upgrades!$T$11="Orbital Resonance",POWER(Upgrades!$U$11,J290),1)*IF(Upgrades!$T$12="Orbital Resonance",POWER(Upgrades!$U$12,K290),1))+(IF(J290=0,0,(Upgrades!$M$11+J290*Upgrades!$N$11)*POWER(Upgrades!$O$11,J290)))*(IF(Upgrades!$T$6="Heliopause",POWER(Upgrades!$U$6,E290),1)*IF(Upgrades!$T$7="Heliopause",POWER(Upgrades!$U$7,F290),1)*IF(Upgrades!$T$8="Heliopause",POWER(Upgrades!$U$8,G290),1)*IF(Upgrades!$T$9="Heliopause",POWER(Upgrades!$U$9,H290),1)*IF(Upgrades!$T$10="Heliopause",POWER(Upgrades!$U$10,I290),1)*IF(Upgrades!$T$12="Heliopause",POWER(Upgrades!$U$12,K290),1))+(IF(K290=0,0,(Upgrades!$M$12+K290*Upgrades!$N$12)*POWER(Upgrades!$O$12,K290)))*(IF(Upgrades!$T$6="First Photons",POWER(Upgrades!$U$6,E290),1)*IF(Upgrades!$T$7="First Photons",POWER(Upgrades!$U$7,F290),1)*IF(Upgrades!$T$8="First Photons",POWER(Upgrades!$U$8,G290),1)*IF(Upgrades!$T$9="First Photons",POWER(Upgrades!$U$9,H290),1)*IF(Upgrades!$T$10="First Photons",POWER(Upgrades!$U$10,I290),1)*IF(Upgrades!$T$11="First Photons",POWER(Upgrades!$U$11,J290),1)))*POWER(Upgrades!$R$6,E290)*POWER(Upgrades!$R$7,F290)*POWER(Upgrades!$R$8,G290)*POWER(Upgrades!$R$9,H290)*POWER(Upgrades!$R$10,I290)*POWER(Upgrades!$R$11,J290)*POWER(Upgrades!$R$12,K290)</f>
        <v/>
      </c>
      <c r="P290" s="27">
        <f>IF(L290=1,0,M290*Parameters!$B$10/60*Parameters!$B$11*10)</f>
        <v/>
      </c>
      <c r="Q290" s="27">
        <f>IF(L290=1,0,O290*M290*10)</f>
        <v/>
      </c>
      <c r="R290" s="27">
        <f>IF(L290=1,0,N290*10)</f>
        <v/>
      </c>
      <c r="S290" s="27">
        <f>P290+Q290+R290</f>
        <v/>
      </c>
      <c r="T290" s="22">
        <f>C290+S290</f>
        <v/>
      </c>
      <c r="U290" s="33">
        <f>AX290</f>
        <v/>
      </c>
      <c r="V290" s="22">
        <f>IF(U290="",0,IF(U290="transition",0,IF(U290="SW",AG290,IF(U290="AB",AH290,IF(U290="SC",AI290,IF(U290="Mag",AJ290,IF(U290="OR",AK290,IF(U290="HP",AL290,IF(U290="FP",AM290,0)))))))))</f>
        <v/>
      </c>
      <c r="W290" s="27">
        <f>IF(U290="OR",Upgrades!$F$10,IF(U290="HP",Upgrades!$F$11,IF(U290="transition",-Parameters!$B$18,0)))</f>
        <v/>
      </c>
      <c r="X290" s="22">
        <f>T290-V290</f>
        <v/>
      </c>
      <c r="Y290" s="30">
        <f>M290*Parameters!$B$10/60*Parameters!$B$11+O290*M290+N290</f>
        <v/>
      </c>
      <c r="Z290" s="34">
        <f>IF(U290="transition","→ Tier 2 (Stellar Neighborhood)",IF(U290="FP","First Photons — light begins, system quickens",IF(U290="HP","Heliopause acquired",IF(U290="OR","Orbital Resonance — passive multiplier active",IF(AND(AO290=1,L290=0,AN290&lt;&gt;1),"Cohesion ready (waiting on completionist upgrades)","")))))</f>
        <v/>
      </c>
      <c r="AA290" s="27">
        <f>(IF(E290=0,0,(Upgrades!$G$6+E290*Upgrades!$H$6)*POWER(Upgrades!$I$6,E290)))*(IF(Upgrades!$T$7="Solar Wind",POWER(Upgrades!$U$7,F290),1)*IF(Upgrades!$T$8="Solar Wind",POWER(Upgrades!$U$8,G290),1)*IF(Upgrades!$T$9="Solar Wind",POWER(Upgrades!$U$9,H290),1)*IF(Upgrades!$T$10="Solar Wind",POWER(Upgrades!$U$10,I290),1)*IF(Upgrades!$T$11="Solar Wind",POWER(Upgrades!$U$11,J290),1)*IF(Upgrades!$T$12="Solar Wind",POWER(Upgrades!$U$12,K290),1))*POWER(Upgrades!$P$6,E290)*POWER(Upgrades!$P$7,F290)*POWER(Upgrades!$P$8,G290)*POWER(Upgrades!$P$9,H290)*POWER(Upgrades!$P$10,I290)*POWER(Upgrades!$P$11,J290)*POWER(Upgrades!$P$12,K290)*60</f>
        <v/>
      </c>
      <c r="AB290" s="27">
        <f>(IF(F290=0,0,(Upgrades!$G$7+F290*Upgrades!$H$7)*POWER(Upgrades!$I$7,F290)))*(IF(Upgrades!$T$6="Asteroid Belt",POWER(Upgrades!$U$6,E290),1)*IF(Upgrades!$T$8="Asteroid Belt",POWER(Upgrades!$U$8,G290),1)*IF(Upgrades!$T$9="Asteroid Belt",POWER(Upgrades!$U$9,H290),1)*IF(Upgrades!$T$10="Asteroid Belt",POWER(Upgrades!$U$10,I290),1)*IF(Upgrades!$T$11="Asteroid Belt",POWER(Upgrades!$U$11,J290),1)*IF(Upgrades!$T$12="Asteroid Belt",POWER(Upgrades!$U$12,K290),1))*POWER(Upgrades!$P$6,E290)*POWER(Upgrades!$P$7,F290)*POWER(Upgrades!$P$8,G290)*POWER(Upgrades!$P$9,H290)*POWER(Upgrades!$P$10,I290)*POWER(Upgrades!$P$11,J290)*POWER(Upgrades!$P$12,K290)*60</f>
        <v/>
      </c>
      <c r="AC290" s="27">
        <f>(IF(G290=0,0,(Upgrades!$J$8+G290*Upgrades!$K$8)*POWER(Upgrades!$L$8,G290)))*(IF(Upgrades!$T$6="Stellar Coupling",POWER(Upgrades!$U$6,E290),1)*IF(Upgrades!$T$7="Stellar Coupling",POWER(Upgrades!$U$7,F290),1)*IF(Upgrades!$T$9="Stellar Coupling",POWER(Upgrades!$U$9,H290),1)*IF(Upgrades!$T$10="Stellar Coupling",POWER(Upgrades!$U$10,I290),1)*IF(Upgrades!$T$11="Stellar Coupling",POWER(Upgrades!$U$11,J290),1)*IF(Upgrades!$T$12="Stellar Coupling",POWER(Upgrades!$U$12,K290),1))*POWER(Upgrades!$Q$6,E290)*POWER(Upgrades!$Q$7,F290)*POWER(Upgrades!$Q$8,G290)*POWER(Upgrades!$Q$9,H290)*POWER(Upgrades!$Q$10,I290)*POWER(Upgrades!$Q$11,J290)*POWER(Upgrades!$Q$12,K290)*Parameters!$B$10*Parameters!$B$11</f>
        <v/>
      </c>
      <c r="AD290" s="27">
        <f>(IF(H290=0,0,(Upgrades!$G$9+H290*Upgrades!$H$9)*POWER(Upgrades!$I$9,H290)))*(IF(Upgrades!$T$6="Magnetosphere",POWER(Upgrades!$U$6,E290),1)*IF(Upgrades!$T$7="Magnetosphere",POWER(Upgrades!$U$7,F290),1)*IF(Upgrades!$T$8="Magnetosphere",POWER(Upgrades!$U$8,G290),1)*IF(Upgrades!$T$10="Magnetosphere",POWER(Upgrades!$U$10,I290),1)*IF(Upgrades!$T$11="Magnetosphere",POWER(Upgrades!$U$11,J290),1)*IF(Upgrades!$T$12="Magnetosphere",POWER(Upgrades!$U$12,K290),1))*POWER(Upgrades!$P$6,E290)*POWER(Upgrades!$P$7,F290)*POWER(Upgrades!$P$8,G290)*POWER(Upgrades!$P$9,H290)*POWER(Upgrades!$P$10,I290)*POWER(Upgrades!$P$11,J290)*POWER(Upgrades!$P$12,K290)*60</f>
        <v/>
      </c>
      <c r="AE290" s="27">
        <f>(IF(K290=0,0,(Upgrades!$G$12+K290*Upgrades!$H$12)*POWER(Upgrades!$I$12,K290)))*(IF(Upgrades!$T$6="First Photons",POWER(Upgrades!$U$6,E290),1)*IF(Upgrades!$T$7="First Photons",POWER(Upgrades!$U$7,F290),1)*IF(Upgrades!$T$8="First Photons",POWER(Upgrades!$U$8,G290),1)*IF(Upgrades!$T$9="First Photons",POWER(Upgrades!$U$9,H290),1)*IF(Upgrades!$T$10="First Photons",POWER(Upgrades!$U$10,I290),1)*IF(Upgrades!$T$11="First Photons",POWER(Upgrades!$U$11,J290),1))*POWER(Upgrades!$P$6,E290)*POWER(Upgrades!$P$7,F290)*POWER(Upgrades!$P$8,G290)*POWER(Upgrades!$P$9,H290)*POWER(Upgrades!$P$10,I290)*POWER(Upgrades!$P$11,J290)*POWER(Upgrades!$P$12,K290)*60</f>
        <v/>
      </c>
      <c r="AF290" s="27">
        <f>Parameters!$B$9*POWER(Upgrades!$Q$6,E290)*POWER(Upgrades!$Q$7,F290)*POWER(Upgrades!$Q$8,G290)*POWER(Upgrades!$Q$9,H290)*POWER(Upgrades!$Q$10,I290)*POWER(Upgrades!$Q$11,J290)*POWER(Upgrades!$Q$12,K290)*(Parameters!$B$10*Parameters!$B$11+O290*60)</f>
        <v/>
      </c>
      <c r="AG290" s="22">
        <f>IF(E290&gt;=Upgrades!$E$6,"",Upgrades!$C$6*POWER(Upgrades!$D$6,E290))</f>
        <v/>
      </c>
      <c r="AH290" s="22">
        <f>IF(F290&gt;=Upgrades!$E$7,"",Upgrades!$C$7*POWER(Upgrades!$D$7,F290))</f>
        <v/>
      </c>
      <c r="AI290" s="22">
        <f>IF(G290&gt;=Upgrades!$E$8,"",Upgrades!$C$8*POWER(Upgrades!$D$8,G290))</f>
        <v/>
      </c>
      <c r="AJ290" s="22">
        <f>IF(H290&gt;=Upgrades!$E$9,"",Upgrades!$C$9*POWER(Upgrades!$D$9,H290))</f>
        <v/>
      </c>
      <c r="AK290" s="22">
        <f>IF(I290&gt;=Upgrades!$E$10,"",Upgrades!$C$10*POWER(Upgrades!$D$10,I290))</f>
        <v/>
      </c>
      <c r="AL290" s="22">
        <f>IF(J290&gt;=Upgrades!$E$11,"",Upgrades!$C$11*POWER(Upgrades!$D$11,J290))</f>
        <v/>
      </c>
      <c r="AM290" s="22">
        <f>IF(K290&gt;=Upgrades!$E$12,"",Upgrades!$C$12*POWER(Upgrades!$D$12,K290))</f>
        <v/>
      </c>
      <c r="AN290" s="26">
        <f>IF(AND(D290&gt;=Parameters!$B$18,(H290&gt;=Upgrades!$E$9)*(K290&gt;=Upgrades!$E$12)=1,L290=0),1,"")</f>
        <v/>
      </c>
      <c r="AO290" s="26">
        <f>IF(AND(D290&gt;=Parameters!$B$18,L290=0),1,"")</f>
        <v/>
      </c>
      <c r="AP290" s="22">
        <f>MIN(IF(ISNUMBER(AK290),AK290,9E15),IF(ISNUMBER(AL290),AL290,9E15),IF(ISNUMBER(AM290),AM290,9E15))</f>
        <v/>
      </c>
      <c r="AQ290" s="22">
        <f>MIN(IF(ISNUMBER(AG290),AG290,9E15),IF(ISNUMBER(AH290),AH290,9E15),IF(ISNUMBER(AI290),AI290,9E15),IF(ISNUMBER(AJ290),AJ290,9E15))</f>
        <v/>
      </c>
      <c r="AR290" s="29">
        <f>IF(AW290&gt;Parameters!$B$21*(MAX(IF(AND(NOT(AND(AO290=1,AN290&lt;&gt;1)),ISNUMBER(AG290),AG290&lt;=T290),AS290,0),IF(AND(NOT(AND(AO290=1,AN290&lt;&gt;1)),ISNUMBER(AH290),AH290&lt;=T290),AT290,0),IF(AND(NOT(AND(AO290=1,AN290&lt;&gt;1)),ISNUMBER(AI290),AI290&lt;=T290),AU290,0),IF(AND(ISNUMBER(AJ290),AJ290&lt;=T290),AV290,0))),TRUE,FALSE)</f>
        <v/>
      </c>
      <c r="AS290" s="32">
        <f>IFERROR(Upgrades!$H$6*(POWER(Upgrades!$P$6,E290)*POWER(Upgrades!$P$7,F290)*POWER(Upgrades!$P$8,G290)*POWER(Upgrades!$P$9,H290)*POWER(Upgrades!$P$10,I290)*POWER(Upgrades!$P$11,J290)*POWER(Upgrades!$P$12,K290))*(IF(Upgrades!$T$7="Solar Wind",POWER(Upgrades!$U$7,F290),1)*IF(Upgrades!$T$8="Solar Wind",POWER(Upgrades!$U$8,G290),1)*IF(Upgrades!$T$9="Solar Wind",POWER(Upgrades!$U$9,H290),1)*IF(Upgrades!$T$10="Solar Wind",POWER(Upgrades!$U$10,I290),1)*IF(Upgrades!$T$11="Solar Wind",POWER(Upgrades!$U$11,J290),1)*IF(Upgrades!$T$12="Solar Wind",POWER(Upgrades!$U$12,K290),1))/AG290,0)</f>
        <v/>
      </c>
      <c r="AT290" s="32">
        <f>IFERROR(Upgrades!$H$7*(POWER(Upgrades!$P$6,E290)*POWER(Upgrades!$P$7,F290)*POWER(Upgrades!$P$8,G290)*POWER(Upgrades!$P$9,H290)*POWER(Upgrades!$P$10,I290)*POWER(Upgrades!$P$11,J290)*POWER(Upgrades!$P$12,K290))*(IF(Upgrades!$T$6="Asteroid Belt",POWER(Upgrades!$U$6,E290),1)*IF(Upgrades!$T$8="Asteroid Belt",POWER(Upgrades!$U$8,G290),1)*IF(Upgrades!$T$9="Asteroid Belt",POWER(Upgrades!$U$9,H290),1)*IF(Upgrades!$T$10="Asteroid Belt",POWER(Upgrades!$U$10,I290),1)*IF(Upgrades!$T$11="Asteroid Belt",POWER(Upgrades!$U$11,J290),1)*IF(Upgrades!$T$12="Asteroid Belt",POWER(Upgrades!$U$12,K290),1))/AH290,0)</f>
        <v/>
      </c>
      <c r="AU290" s="32">
        <f>IFERROR(Upgrades!$K$8*(POWER(Upgrades!$Q$6,E290)*POWER(Upgrades!$Q$7,F290)*POWER(Upgrades!$Q$8,G290)*POWER(Upgrades!$Q$9,H290)*POWER(Upgrades!$Q$10,I290)*POWER(Upgrades!$Q$11,J290)*POWER(Upgrades!$Q$12,K290))*(IF(Upgrades!$T$6="Stellar Coupling",POWER(Upgrades!$U$6,E290),1)*IF(Upgrades!$T$7="Stellar Coupling",POWER(Upgrades!$U$7,F290),1)*IF(Upgrades!$T$9="Stellar Coupling",POWER(Upgrades!$U$9,H290),1)*IF(Upgrades!$T$10="Stellar Coupling",POWER(Upgrades!$U$10,I290),1)*IF(Upgrades!$T$11="Stellar Coupling",POWER(Upgrades!$U$11,J290),1)*IF(Upgrades!$T$12="Stellar Coupling",POWER(Upgrades!$U$12,K290),1))*Parameters!$B$10*Parameters!$B$11/60/AI290,0)</f>
        <v/>
      </c>
      <c r="AV290" s="32">
        <f>IFERROR(Upgrades!$H$9*(POWER(Upgrades!$P$6,E290)*POWER(Upgrades!$P$7,F290)*POWER(Upgrades!$P$8,G290)*POWER(Upgrades!$P$9,H290)*POWER(Upgrades!$P$10,I290)*POWER(Upgrades!$P$11,J290)*POWER(Upgrades!$P$12,K290))*(IF(Upgrades!$T$6="Magnetosphere",POWER(Upgrades!$U$6,E290),1)*IF(Upgrades!$T$7="Magnetosphere",POWER(Upgrades!$U$7,F290),1)*IF(Upgrades!$T$8="Magnetosphere",POWER(Upgrades!$U$8,G290),1)*IF(Upgrades!$T$10="Magnetosphere",POWER(Upgrades!$U$10,I290),1)*IF(Upgrades!$T$11="Magnetosphere",POWER(Upgrades!$U$11,J290),1)*IF(Upgrades!$T$12="Magnetosphere",POWER(Upgrades!$U$12,K290),1))/AJ290,0)</f>
        <v/>
      </c>
      <c r="AW290" s="32">
        <f>MAX(IF(I290&gt;0,0,IFERROR(0.25*N290/Upgrades!$C$10,0)),IF(J290&gt;0,0,IFERROR(0.5*((IF(G290=0,0,(Upgrades!$J$8+G290*Upgrades!$K$8)*POWER(Upgrades!$L$8,G290)))*(IF(Upgrades!$T$6="Stellar Coupling",POWER(Upgrades!$U$6,E290),1)*IF(Upgrades!$T$7="Stellar Coupling",POWER(Upgrades!$U$7,F290),1)*IF(Upgrades!$T$9="Stellar Coupling",POWER(Upgrades!$U$9,H290),1)*IF(Upgrades!$T$10="Stellar Coupling",POWER(Upgrades!$U$10,I290),1)*IF(Upgrades!$T$11="Stellar Coupling",POWER(Upgrades!$U$11,J290),1)*IF(Upgrades!$T$12="Stellar Coupling",POWER(Upgrades!$U$12,K290),1))*(POWER(Upgrades!$Q$6,E290)*POWER(Upgrades!$Q$7,F290)*POWER(Upgrades!$Q$8,G290)*POWER(Upgrades!$Q$9,H290)*POWER(Upgrades!$Q$10,I290)*POWER(Upgrades!$Q$11,J290)*POWER(Upgrades!$Q$12,K290))*Parameters!$B$10*Parameters!$B$11/60)/Upgrades!$C$11,0)),IF(K290&gt;0,0,IFERROR((1.0*(POWER(Upgrades!$P$6,E290)*POWER(Upgrades!$P$7,F290)*POWER(Upgrades!$P$8,G290)*POWER(Upgrades!$P$9,H290)*POWER(Upgrades!$P$10,I290)*POWER(Upgrades!$P$11,J290)*POWER(Upgrades!$P$12,K290))+0.20*M290*Parameters!$B$10*Parameters!$B$11/60)/Upgrades!$C$12,0)),IF(AND(ISNUMBER(AG290),AG290&gt;T290),AS290,0),IF(AND(ISNUMBER(AH290),AH290&gt;T290),AT290,0),IF(AND(ISNUMBER(AI290),AI290&gt;T290),AU290,0),IF(AND(ISNUMBER(AJ290),AJ290&gt;T290),AV290,0))</f>
        <v/>
      </c>
      <c r="AX290" s="29">
        <f>IF(AN290=1,"transition",IF(MIN(IF(AND(I290=0,ISNUMBER(AK290),AK290&lt;=T290),AK290,9E15),IF(AND(J290=0,ISNUMBER(AL290),AL290&lt;=T290),AL290,9E15),IF(AND(K290=0,ISNUMBER(AM290),AM290&lt;=T290),AM290,9E15))&lt;9E15,IF(AND(AND(I290=0,ISNUMBER(AK290),AK290&lt;=T290),AK290=MIN(IF(AND(I290=0,ISNUMBER(AK290),AK290&lt;=T290),AK290,9E15),IF(AND(J290=0,ISNUMBER(AL290),AL290&lt;=T290),AL290,9E15),IF(AND(K290=0,ISNUMBER(AM290),AM290&lt;=T290),AM290,9E15))),"OR",IF(AND(AND(J290=0,ISNUMBER(AL290),AL290&lt;=T290),AL290=MIN(IF(AND(I290=0,ISNUMBER(AK290),AK290&lt;=T290),AK290,9E15),IF(AND(J290=0,ISNUMBER(AL290),AL290&lt;=T290),AL290,9E15),IF(AND(K290=0,ISNUMBER(AM290),AM290&lt;=T290),AM290,9E15))),"HP","FP")),IF(AR290=TRUE,"",IF(MAX(IF(AND(NOT(AND(AO290=1,AN290&lt;&gt;1)),ISNUMBER(AG290),AG290&lt;=T290),AS290,0),IF(AND(NOT(AND(AO290=1,AN290&lt;&gt;1)),ISNUMBER(AH290),AH290&lt;=T290),AT290,0),IF(AND(NOT(AND(AO290=1,AN290&lt;&gt;1)),ISNUMBER(AI290),AI290&lt;=T290),AU290,0),IF(AND(ISNUMBER(AJ290),AJ290&lt;=T290),AV290,0))&lt;=0,"",IF(AND(IF(AND(NOT(AND(AO290=1,AN290&lt;&gt;1)),ISNUMBER(AG290),AG290&lt;=T290),AS290,0)&gt;0,IF(AND(NOT(AND(AO290=1,AN290&lt;&gt;1)),ISNUMBER(AG290),AG290&lt;=T290),AS290,0)=MAX(IF(AND(NOT(AND(AO290=1,AN290&lt;&gt;1)),ISNUMBER(AG290),AG290&lt;=T290),AS290,0),IF(AND(NOT(AND(AO290=1,AN290&lt;&gt;1)),ISNUMBER(AH290),AH290&lt;=T290),AT290,0),IF(AND(NOT(AND(AO290=1,AN290&lt;&gt;1)),ISNUMBER(AI290),AI290&lt;=T290),AU290,0),IF(AND(ISNUMBER(AJ290),AJ290&lt;=T290),AV290,0))),"SW",IF(AND(IF(AND(NOT(AND(AO290=1,AN290&lt;&gt;1)),ISNUMBER(AH290),AH290&lt;=T290),AT290,0)&gt;0,IF(AND(NOT(AND(AO290=1,AN290&lt;&gt;1)),ISNUMBER(AH290),AH290&lt;=T290),AT290,0)=MAX(IF(AND(NOT(AND(AO290=1,AN290&lt;&gt;1)),ISNUMBER(AG290),AG290&lt;=T290),AS290,0),IF(AND(NOT(AND(AO290=1,AN290&lt;&gt;1)),ISNUMBER(AH290),AH290&lt;=T290),AT290,0),IF(AND(NOT(AND(AO290=1,AN290&lt;&gt;1)),ISNUMBER(AI290),AI290&lt;=T290),AU290,0),IF(AND(ISNUMBER(AJ290),AJ290&lt;=T290),AV290,0))),"AB",IF(AND(IF(AND(NOT(AND(AO290=1,AN290&lt;&gt;1)),ISNUMBER(AI290),AI290&lt;=T290),AU290,0)&gt;0,IF(AND(NOT(AND(AO290=1,AN290&lt;&gt;1)),ISNUMBER(AI290),AI290&lt;=T290),AU290,0)=MAX(IF(AND(NOT(AND(AO290=1,AN290&lt;&gt;1)),ISNUMBER(AG290),AG290&lt;=T290),AS290,0),IF(AND(NOT(AND(AO290=1,AN290&lt;&gt;1)),ISNUMBER(AH290),AH290&lt;=T290),AT290,0),IF(AND(NOT(AND(AO290=1,AN290&lt;&gt;1)),ISNUMBER(AI290),AI290&lt;=T290),AU290,0),IF(AND(ISNUMBER(AJ290),AJ290&lt;=T290),AV290,0))),"SC","Mag")))))))</f>
        <v/>
      </c>
    </row>
    <row r="291">
      <c r="A291" s="26" t="n">
        <v>286</v>
      </c>
      <c r="B291" s="27">
        <f>A291*10/60</f>
        <v/>
      </c>
      <c r="C291" s="22">
        <f>X290</f>
        <v/>
      </c>
      <c r="D291" s="27">
        <f>D290+W290</f>
        <v/>
      </c>
      <c r="E291" s="26">
        <f>E290+IF(U290="SW",1,0)</f>
        <v/>
      </c>
      <c r="F291" s="26">
        <f>F290+IF(U290="AB",1,0)</f>
        <v/>
      </c>
      <c r="G291" s="26">
        <f>G290+IF(U290="SC",1,0)</f>
        <v/>
      </c>
      <c r="H291" s="26">
        <f>H290+IF(U290="Mag",1,0)</f>
        <v/>
      </c>
      <c r="I291" s="26">
        <f>MAX(I290,IF(U290="OR",1,0))</f>
        <v/>
      </c>
      <c r="J291" s="26">
        <f>MAX(J290,IF(U290="HP",1,0))</f>
        <v/>
      </c>
      <c r="K291" s="26">
        <f>MAX(K290,IF(U290="FP",1,0))</f>
        <v/>
      </c>
      <c r="L291" s="26">
        <f>MAX(L290,IF(U290="transition",1,0))</f>
        <v/>
      </c>
      <c r="M291" s="28">
        <f>(Parameters!$B$9+(IF(E291=0,0,(Upgrades!$J$6+E291*Upgrades!$K$6)*POWER(Upgrades!$L$6,E291)))*(IF(Upgrades!$T$7="Solar Wind",POWER(Upgrades!$U$7,F291),1)*IF(Upgrades!$T$8="Solar Wind",POWER(Upgrades!$U$8,G291),1)*IF(Upgrades!$T$9="Solar Wind",POWER(Upgrades!$U$9,H291),1)*IF(Upgrades!$T$10="Solar Wind",POWER(Upgrades!$U$10,I291),1)*IF(Upgrades!$T$11="Solar Wind",POWER(Upgrades!$U$11,J291),1)*IF(Upgrades!$T$12="Solar Wind",POWER(Upgrades!$U$12,K291),1))+(IF(F291=0,0,(Upgrades!$J$7+F291*Upgrades!$K$7)*POWER(Upgrades!$L$7,F291)))*(IF(Upgrades!$T$6="Asteroid Belt",POWER(Upgrades!$U$6,E291),1)*IF(Upgrades!$T$8="Asteroid Belt",POWER(Upgrades!$U$8,G291),1)*IF(Upgrades!$T$9="Asteroid Belt",POWER(Upgrades!$U$9,H291),1)*IF(Upgrades!$T$10="Asteroid Belt",POWER(Upgrades!$U$10,I291),1)*IF(Upgrades!$T$11="Asteroid Belt",POWER(Upgrades!$U$11,J291),1)*IF(Upgrades!$T$12="Asteroid Belt",POWER(Upgrades!$U$12,K291),1))+(IF(G291=0,0,(Upgrades!$J$8+G291*Upgrades!$K$8)*POWER(Upgrades!$L$8,G291)))*(IF(Upgrades!$T$6="Stellar Coupling",POWER(Upgrades!$U$6,E291),1)*IF(Upgrades!$T$7="Stellar Coupling",POWER(Upgrades!$U$7,F291),1)*IF(Upgrades!$T$9="Stellar Coupling",POWER(Upgrades!$U$9,H291),1)*IF(Upgrades!$T$10="Stellar Coupling",POWER(Upgrades!$U$10,I291),1)*IF(Upgrades!$T$11="Stellar Coupling",POWER(Upgrades!$U$11,J291),1)*IF(Upgrades!$T$12="Stellar Coupling",POWER(Upgrades!$U$12,K291),1))+(IF(H291=0,0,(Upgrades!$J$9+H291*Upgrades!$K$9)*POWER(Upgrades!$L$9,H291)))*(IF(Upgrades!$T$6="Magnetosphere",POWER(Upgrades!$U$6,E291),1)*IF(Upgrades!$T$7="Magnetosphere",POWER(Upgrades!$U$7,F291),1)*IF(Upgrades!$T$8="Magnetosphere",POWER(Upgrades!$U$8,G291),1)*IF(Upgrades!$T$10="Magnetosphere",POWER(Upgrades!$U$10,I291),1)*IF(Upgrades!$T$11="Magnetosphere",POWER(Upgrades!$U$11,J291),1)*IF(Upgrades!$T$12="Magnetosphere",POWER(Upgrades!$U$12,K291),1))+(IF(I291=0,0,(Upgrades!$J$10+I291*Upgrades!$K$10)*POWER(Upgrades!$L$10,I291)))*(IF(Upgrades!$T$6="Orbital Resonance",POWER(Upgrades!$U$6,E291),1)*IF(Upgrades!$T$7="Orbital Resonance",POWER(Upgrades!$U$7,F291),1)*IF(Upgrades!$T$8="Orbital Resonance",POWER(Upgrades!$U$8,G291),1)*IF(Upgrades!$T$9="Orbital Resonance",POWER(Upgrades!$U$9,H291),1)*IF(Upgrades!$T$11="Orbital Resonance",POWER(Upgrades!$U$11,J291),1)*IF(Upgrades!$T$12="Orbital Resonance",POWER(Upgrades!$U$12,K291),1))+(IF(J291=0,0,(Upgrades!$J$11+J291*Upgrades!$K$11)*POWER(Upgrades!$L$11,J291)))*(IF(Upgrades!$T$6="Heliopause",POWER(Upgrades!$U$6,E291),1)*IF(Upgrades!$T$7="Heliopause",POWER(Upgrades!$U$7,F291),1)*IF(Upgrades!$T$8="Heliopause",POWER(Upgrades!$U$8,G291),1)*IF(Upgrades!$T$9="Heliopause",POWER(Upgrades!$U$9,H291),1)*IF(Upgrades!$T$10="Heliopause",POWER(Upgrades!$U$10,I291),1)*IF(Upgrades!$T$12="Heliopause",POWER(Upgrades!$U$12,K291),1))+(IF(K291=0,0,(Upgrades!$J$12+K291*Upgrades!$K$12)*POWER(Upgrades!$L$12,K291)))*(IF(Upgrades!$T$6="First Photons",POWER(Upgrades!$U$6,E291),1)*IF(Upgrades!$T$7="First Photons",POWER(Upgrades!$U$7,F291),1)*IF(Upgrades!$T$8="First Photons",POWER(Upgrades!$U$8,G291),1)*IF(Upgrades!$T$9="First Photons",POWER(Upgrades!$U$9,H291),1)*IF(Upgrades!$T$10="First Photons",POWER(Upgrades!$U$10,I291),1)*IF(Upgrades!$T$11="First Photons",POWER(Upgrades!$U$11,J291),1)))*POWER(Upgrades!$Q$6,E291)*POWER(Upgrades!$Q$7,F291)*POWER(Upgrades!$Q$8,G291)*POWER(Upgrades!$Q$9,H291)*POWER(Upgrades!$Q$10,I291)*POWER(Upgrades!$Q$11,J291)*POWER(Upgrades!$Q$12,K291)</f>
        <v/>
      </c>
      <c r="N291" s="28">
        <f>((IF(E291=0,0,(Upgrades!$G$6+E291*Upgrades!$H$6)*POWER(Upgrades!$I$6,E291)))*(IF(Upgrades!$T$7="Solar Wind",POWER(Upgrades!$U$7,F291),1)*IF(Upgrades!$T$8="Solar Wind",POWER(Upgrades!$U$8,G291),1)*IF(Upgrades!$T$9="Solar Wind",POWER(Upgrades!$U$9,H291),1)*IF(Upgrades!$T$10="Solar Wind",POWER(Upgrades!$U$10,I291),1)*IF(Upgrades!$T$11="Solar Wind",POWER(Upgrades!$U$11,J291),1)*IF(Upgrades!$T$12="Solar Wind",POWER(Upgrades!$U$12,K291),1))+(IF(F291=0,0,(Upgrades!$G$7+F291*Upgrades!$H$7)*POWER(Upgrades!$I$7,F291)))*(IF(Upgrades!$T$6="Asteroid Belt",POWER(Upgrades!$U$6,E291),1)*IF(Upgrades!$T$8="Asteroid Belt",POWER(Upgrades!$U$8,G291),1)*IF(Upgrades!$T$9="Asteroid Belt",POWER(Upgrades!$U$9,H291),1)*IF(Upgrades!$T$10="Asteroid Belt",POWER(Upgrades!$U$10,I291),1)*IF(Upgrades!$T$11="Asteroid Belt",POWER(Upgrades!$U$11,J291),1)*IF(Upgrades!$T$12="Asteroid Belt",POWER(Upgrades!$U$12,K291),1))+(IF(G291=0,0,(Upgrades!$G$8+G291*Upgrades!$H$8)*POWER(Upgrades!$I$8,G291)))*(IF(Upgrades!$T$6="Stellar Coupling",POWER(Upgrades!$U$6,E291),1)*IF(Upgrades!$T$7="Stellar Coupling",POWER(Upgrades!$U$7,F291),1)*IF(Upgrades!$T$9="Stellar Coupling",POWER(Upgrades!$U$9,H291),1)*IF(Upgrades!$T$10="Stellar Coupling",POWER(Upgrades!$U$10,I291),1)*IF(Upgrades!$T$11="Stellar Coupling",POWER(Upgrades!$U$11,J291),1)*IF(Upgrades!$T$12="Stellar Coupling",POWER(Upgrades!$U$12,K291),1))+(IF(H291=0,0,(Upgrades!$G$9+H291*Upgrades!$H$9)*POWER(Upgrades!$I$9,H291)))*(IF(Upgrades!$T$6="Magnetosphere",POWER(Upgrades!$U$6,E291),1)*IF(Upgrades!$T$7="Magnetosphere",POWER(Upgrades!$U$7,F291),1)*IF(Upgrades!$T$8="Magnetosphere",POWER(Upgrades!$U$8,G291),1)*IF(Upgrades!$T$10="Magnetosphere",POWER(Upgrades!$U$10,I291),1)*IF(Upgrades!$T$11="Magnetosphere",POWER(Upgrades!$U$11,J291),1)*IF(Upgrades!$T$12="Magnetosphere",POWER(Upgrades!$U$12,K291),1))+(IF(I291=0,0,(Upgrades!$G$10+I291*Upgrades!$H$10)*POWER(Upgrades!$I$10,I291)))*(IF(Upgrades!$T$6="Orbital Resonance",POWER(Upgrades!$U$6,E291),1)*IF(Upgrades!$T$7="Orbital Resonance",POWER(Upgrades!$U$7,F291),1)*IF(Upgrades!$T$8="Orbital Resonance",POWER(Upgrades!$U$8,G291),1)*IF(Upgrades!$T$9="Orbital Resonance",POWER(Upgrades!$U$9,H291),1)*IF(Upgrades!$T$11="Orbital Resonance",POWER(Upgrades!$U$11,J291),1)*IF(Upgrades!$T$12="Orbital Resonance",POWER(Upgrades!$U$12,K291),1))+(IF(J291=0,0,(Upgrades!$G$11+J291*Upgrades!$H$11)*POWER(Upgrades!$I$11,J291)))*(IF(Upgrades!$T$6="Heliopause",POWER(Upgrades!$U$6,E291),1)*IF(Upgrades!$T$7="Heliopause",POWER(Upgrades!$U$7,F291),1)*IF(Upgrades!$T$8="Heliopause",POWER(Upgrades!$U$8,G291),1)*IF(Upgrades!$T$9="Heliopause",POWER(Upgrades!$U$9,H291),1)*IF(Upgrades!$T$10="Heliopause",POWER(Upgrades!$U$10,I291),1)*IF(Upgrades!$T$12="Heliopause",POWER(Upgrades!$U$12,K291),1))+(IF(K291=0,0,(Upgrades!$G$12+K291*Upgrades!$H$12)*POWER(Upgrades!$I$12,K291)))*(IF(Upgrades!$T$6="First Photons",POWER(Upgrades!$U$6,E291),1)*IF(Upgrades!$T$7="First Photons",POWER(Upgrades!$U$7,F291),1)*IF(Upgrades!$T$8="First Photons",POWER(Upgrades!$U$8,G291),1)*IF(Upgrades!$T$9="First Photons",POWER(Upgrades!$U$9,H291),1)*IF(Upgrades!$T$10="First Photons",POWER(Upgrades!$U$10,I291),1)*IF(Upgrades!$T$11="First Photons",POWER(Upgrades!$U$11,J291),1)))*POWER(Upgrades!$P$6,E291)*POWER(Upgrades!$P$7,F291)*POWER(Upgrades!$P$8,G291)*POWER(Upgrades!$P$9,H291)*POWER(Upgrades!$P$10,I291)*POWER(Upgrades!$P$11,J291)*POWER(Upgrades!$P$12,K291)</f>
        <v/>
      </c>
      <c r="O291" s="28">
        <f>((IF(E291=0,0,(Upgrades!$M$6+E291*Upgrades!$N$6)*POWER(Upgrades!$O$6,E291)))*(IF(Upgrades!$T$7="Solar Wind",POWER(Upgrades!$U$7,F291),1)*IF(Upgrades!$T$8="Solar Wind",POWER(Upgrades!$U$8,G291),1)*IF(Upgrades!$T$9="Solar Wind",POWER(Upgrades!$U$9,H291),1)*IF(Upgrades!$T$10="Solar Wind",POWER(Upgrades!$U$10,I291),1)*IF(Upgrades!$T$11="Solar Wind",POWER(Upgrades!$U$11,J291),1)*IF(Upgrades!$T$12="Solar Wind",POWER(Upgrades!$U$12,K291),1))+(IF(F291=0,0,(Upgrades!$M$7+F291*Upgrades!$N$7)*POWER(Upgrades!$O$7,F291)))*(IF(Upgrades!$T$6="Asteroid Belt",POWER(Upgrades!$U$6,E291),1)*IF(Upgrades!$T$8="Asteroid Belt",POWER(Upgrades!$U$8,G291),1)*IF(Upgrades!$T$9="Asteroid Belt",POWER(Upgrades!$U$9,H291),1)*IF(Upgrades!$T$10="Asteroid Belt",POWER(Upgrades!$U$10,I291),1)*IF(Upgrades!$T$11="Asteroid Belt",POWER(Upgrades!$U$11,J291),1)*IF(Upgrades!$T$12="Asteroid Belt",POWER(Upgrades!$U$12,K291),1))+(IF(G291=0,0,(Upgrades!$M$8+G291*Upgrades!$N$8)*POWER(Upgrades!$O$8,G291)))*(IF(Upgrades!$T$6="Stellar Coupling",POWER(Upgrades!$U$6,E291),1)*IF(Upgrades!$T$7="Stellar Coupling",POWER(Upgrades!$U$7,F291),1)*IF(Upgrades!$T$9="Stellar Coupling",POWER(Upgrades!$U$9,H291),1)*IF(Upgrades!$T$10="Stellar Coupling",POWER(Upgrades!$U$10,I291),1)*IF(Upgrades!$T$11="Stellar Coupling",POWER(Upgrades!$U$11,J291),1)*IF(Upgrades!$T$12="Stellar Coupling",POWER(Upgrades!$U$12,K291),1))+(IF(H291=0,0,(Upgrades!$M$9+H291*Upgrades!$N$9)*POWER(Upgrades!$O$9,H291)))*(IF(Upgrades!$T$6="Magnetosphere",POWER(Upgrades!$U$6,E291),1)*IF(Upgrades!$T$7="Magnetosphere",POWER(Upgrades!$U$7,F291),1)*IF(Upgrades!$T$8="Magnetosphere",POWER(Upgrades!$U$8,G291),1)*IF(Upgrades!$T$10="Magnetosphere",POWER(Upgrades!$U$10,I291),1)*IF(Upgrades!$T$11="Magnetosphere",POWER(Upgrades!$U$11,J291),1)*IF(Upgrades!$T$12="Magnetosphere",POWER(Upgrades!$U$12,K291),1))+(IF(I291=0,0,(Upgrades!$M$10+I291*Upgrades!$N$10)*POWER(Upgrades!$O$10,I291)))*(IF(Upgrades!$T$6="Orbital Resonance",POWER(Upgrades!$U$6,E291),1)*IF(Upgrades!$T$7="Orbital Resonance",POWER(Upgrades!$U$7,F291),1)*IF(Upgrades!$T$8="Orbital Resonance",POWER(Upgrades!$U$8,G291),1)*IF(Upgrades!$T$9="Orbital Resonance",POWER(Upgrades!$U$9,H291),1)*IF(Upgrades!$T$11="Orbital Resonance",POWER(Upgrades!$U$11,J291),1)*IF(Upgrades!$T$12="Orbital Resonance",POWER(Upgrades!$U$12,K291),1))+(IF(J291=0,0,(Upgrades!$M$11+J291*Upgrades!$N$11)*POWER(Upgrades!$O$11,J291)))*(IF(Upgrades!$T$6="Heliopause",POWER(Upgrades!$U$6,E291),1)*IF(Upgrades!$T$7="Heliopause",POWER(Upgrades!$U$7,F291),1)*IF(Upgrades!$T$8="Heliopause",POWER(Upgrades!$U$8,G291),1)*IF(Upgrades!$T$9="Heliopause",POWER(Upgrades!$U$9,H291),1)*IF(Upgrades!$T$10="Heliopause",POWER(Upgrades!$U$10,I291),1)*IF(Upgrades!$T$12="Heliopause",POWER(Upgrades!$U$12,K291),1))+(IF(K291=0,0,(Upgrades!$M$12+K291*Upgrades!$N$12)*POWER(Upgrades!$O$12,K291)))*(IF(Upgrades!$T$6="First Photons",POWER(Upgrades!$U$6,E291),1)*IF(Upgrades!$T$7="First Photons",POWER(Upgrades!$U$7,F291),1)*IF(Upgrades!$T$8="First Photons",POWER(Upgrades!$U$8,G291),1)*IF(Upgrades!$T$9="First Photons",POWER(Upgrades!$U$9,H291),1)*IF(Upgrades!$T$10="First Photons",POWER(Upgrades!$U$10,I291),1)*IF(Upgrades!$T$11="First Photons",POWER(Upgrades!$U$11,J291),1)))*POWER(Upgrades!$R$6,E291)*POWER(Upgrades!$R$7,F291)*POWER(Upgrades!$R$8,G291)*POWER(Upgrades!$R$9,H291)*POWER(Upgrades!$R$10,I291)*POWER(Upgrades!$R$11,J291)*POWER(Upgrades!$R$12,K291)</f>
        <v/>
      </c>
      <c r="P291" s="27">
        <f>IF(L291=1,0,M291*Parameters!$B$10/60*Parameters!$B$11*10)</f>
        <v/>
      </c>
      <c r="Q291" s="27">
        <f>IF(L291=1,0,O291*M291*10)</f>
        <v/>
      </c>
      <c r="R291" s="27">
        <f>IF(L291=1,0,N291*10)</f>
        <v/>
      </c>
      <c r="S291" s="27">
        <f>P291+Q291+R291</f>
        <v/>
      </c>
      <c r="T291" s="22">
        <f>C291+S291</f>
        <v/>
      </c>
      <c r="U291" s="33">
        <f>AX291</f>
        <v/>
      </c>
      <c r="V291" s="22">
        <f>IF(U291="",0,IF(U291="transition",0,IF(U291="SW",AG291,IF(U291="AB",AH291,IF(U291="SC",AI291,IF(U291="Mag",AJ291,IF(U291="OR",AK291,IF(U291="HP",AL291,IF(U291="FP",AM291,0)))))))))</f>
        <v/>
      </c>
      <c r="W291" s="27">
        <f>IF(U291="OR",Upgrades!$F$10,IF(U291="HP",Upgrades!$F$11,IF(U291="transition",-Parameters!$B$18,0)))</f>
        <v/>
      </c>
      <c r="X291" s="22">
        <f>T291-V291</f>
        <v/>
      </c>
      <c r="Y291" s="30">
        <f>M291*Parameters!$B$10/60*Parameters!$B$11+O291*M291+N291</f>
        <v/>
      </c>
      <c r="Z291" s="34">
        <f>IF(U291="transition","→ Tier 2 (Stellar Neighborhood)",IF(U291="FP","First Photons — light begins, system quickens",IF(U291="HP","Heliopause acquired",IF(U291="OR","Orbital Resonance — passive multiplier active",IF(AND(AO291=1,L291=0,AN291&lt;&gt;1),"Cohesion ready (waiting on completionist upgrades)","")))))</f>
        <v/>
      </c>
      <c r="AA291" s="27">
        <f>(IF(E291=0,0,(Upgrades!$G$6+E291*Upgrades!$H$6)*POWER(Upgrades!$I$6,E291)))*(IF(Upgrades!$T$7="Solar Wind",POWER(Upgrades!$U$7,F291),1)*IF(Upgrades!$T$8="Solar Wind",POWER(Upgrades!$U$8,G291),1)*IF(Upgrades!$T$9="Solar Wind",POWER(Upgrades!$U$9,H291),1)*IF(Upgrades!$T$10="Solar Wind",POWER(Upgrades!$U$10,I291),1)*IF(Upgrades!$T$11="Solar Wind",POWER(Upgrades!$U$11,J291),1)*IF(Upgrades!$T$12="Solar Wind",POWER(Upgrades!$U$12,K291),1))*POWER(Upgrades!$P$6,E291)*POWER(Upgrades!$P$7,F291)*POWER(Upgrades!$P$8,G291)*POWER(Upgrades!$P$9,H291)*POWER(Upgrades!$P$10,I291)*POWER(Upgrades!$P$11,J291)*POWER(Upgrades!$P$12,K291)*60</f>
        <v/>
      </c>
      <c r="AB291" s="27">
        <f>(IF(F291=0,0,(Upgrades!$G$7+F291*Upgrades!$H$7)*POWER(Upgrades!$I$7,F291)))*(IF(Upgrades!$T$6="Asteroid Belt",POWER(Upgrades!$U$6,E291),1)*IF(Upgrades!$T$8="Asteroid Belt",POWER(Upgrades!$U$8,G291),1)*IF(Upgrades!$T$9="Asteroid Belt",POWER(Upgrades!$U$9,H291),1)*IF(Upgrades!$T$10="Asteroid Belt",POWER(Upgrades!$U$10,I291),1)*IF(Upgrades!$T$11="Asteroid Belt",POWER(Upgrades!$U$11,J291),1)*IF(Upgrades!$T$12="Asteroid Belt",POWER(Upgrades!$U$12,K291),1))*POWER(Upgrades!$P$6,E291)*POWER(Upgrades!$P$7,F291)*POWER(Upgrades!$P$8,G291)*POWER(Upgrades!$P$9,H291)*POWER(Upgrades!$P$10,I291)*POWER(Upgrades!$P$11,J291)*POWER(Upgrades!$P$12,K291)*60</f>
        <v/>
      </c>
      <c r="AC291" s="27">
        <f>(IF(G291=0,0,(Upgrades!$J$8+G291*Upgrades!$K$8)*POWER(Upgrades!$L$8,G291)))*(IF(Upgrades!$T$6="Stellar Coupling",POWER(Upgrades!$U$6,E291),1)*IF(Upgrades!$T$7="Stellar Coupling",POWER(Upgrades!$U$7,F291),1)*IF(Upgrades!$T$9="Stellar Coupling",POWER(Upgrades!$U$9,H291),1)*IF(Upgrades!$T$10="Stellar Coupling",POWER(Upgrades!$U$10,I291),1)*IF(Upgrades!$T$11="Stellar Coupling",POWER(Upgrades!$U$11,J291),1)*IF(Upgrades!$T$12="Stellar Coupling",POWER(Upgrades!$U$12,K291),1))*POWER(Upgrades!$Q$6,E291)*POWER(Upgrades!$Q$7,F291)*POWER(Upgrades!$Q$8,G291)*POWER(Upgrades!$Q$9,H291)*POWER(Upgrades!$Q$10,I291)*POWER(Upgrades!$Q$11,J291)*POWER(Upgrades!$Q$12,K291)*Parameters!$B$10*Parameters!$B$11</f>
        <v/>
      </c>
      <c r="AD291" s="27">
        <f>(IF(H291=0,0,(Upgrades!$G$9+H291*Upgrades!$H$9)*POWER(Upgrades!$I$9,H291)))*(IF(Upgrades!$T$6="Magnetosphere",POWER(Upgrades!$U$6,E291),1)*IF(Upgrades!$T$7="Magnetosphere",POWER(Upgrades!$U$7,F291),1)*IF(Upgrades!$T$8="Magnetosphere",POWER(Upgrades!$U$8,G291),1)*IF(Upgrades!$T$10="Magnetosphere",POWER(Upgrades!$U$10,I291),1)*IF(Upgrades!$T$11="Magnetosphere",POWER(Upgrades!$U$11,J291),1)*IF(Upgrades!$T$12="Magnetosphere",POWER(Upgrades!$U$12,K291),1))*POWER(Upgrades!$P$6,E291)*POWER(Upgrades!$P$7,F291)*POWER(Upgrades!$P$8,G291)*POWER(Upgrades!$P$9,H291)*POWER(Upgrades!$P$10,I291)*POWER(Upgrades!$P$11,J291)*POWER(Upgrades!$P$12,K291)*60</f>
        <v/>
      </c>
      <c r="AE291" s="27">
        <f>(IF(K291=0,0,(Upgrades!$G$12+K291*Upgrades!$H$12)*POWER(Upgrades!$I$12,K291)))*(IF(Upgrades!$T$6="First Photons",POWER(Upgrades!$U$6,E291),1)*IF(Upgrades!$T$7="First Photons",POWER(Upgrades!$U$7,F291),1)*IF(Upgrades!$T$8="First Photons",POWER(Upgrades!$U$8,G291),1)*IF(Upgrades!$T$9="First Photons",POWER(Upgrades!$U$9,H291),1)*IF(Upgrades!$T$10="First Photons",POWER(Upgrades!$U$10,I291),1)*IF(Upgrades!$T$11="First Photons",POWER(Upgrades!$U$11,J291),1))*POWER(Upgrades!$P$6,E291)*POWER(Upgrades!$P$7,F291)*POWER(Upgrades!$P$8,G291)*POWER(Upgrades!$P$9,H291)*POWER(Upgrades!$P$10,I291)*POWER(Upgrades!$P$11,J291)*POWER(Upgrades!$P$12,K291)*60</f>
        <v/>
      </c>
      <c r="AF291" s="27">
        <f>Parameters!$B$9*POWER(Upgrades!$Q$6,E291)*POWER(Upgrades!$Q$7,F291)*POWER(Upgrades!$Q$8,G291)*POWER(Upgrades!$Q$9,H291)*POWER(Upgrades!$Q$10,I291)*POWER(Upgrades!$Q$11,J291)*POWER(Upgrades!$Q$12,K291)*(Parameters!$B$10*Parameters!$B$11+O291*60)</f>
        <v/>
      </c>
      <c r="AG291" s="22">
        <f>IF(E291&gt;=Upgrades!$E$6,"",Upgrades!$C$6*POWER(Upgrades!$D$6,E291))</f>
        <v/>
      </c>
      <c r="AH291" s="22">
        <f>IF(F291&gt;=Upgrades!$E$7,"",Upgrades!$C$7*POWER(Upgrades!$D$7,F291))</f>
        <v/>
      </c>
      <c r="AI291" s="22">
        <f>IF(G291&gt;=Upgrades!$E$8,"",Upgrades!$C$8*POWER(Upgrades!$D$8,G291))</f>
        <v/>
      </c>
      <c r="AJ291" s="22">
        <f>IF(H291&gt;=Upgrades!$E$9,"",Upgrades!$C$9*POWER(Upgrades!$D$9,H291))</f>
        <v/>
      </c>
      <c r="AK291" s="22">
        <f>IF(I291&gt;=Upgrades!$E$10,"",Upgrades!$C$10*POWER(Upgrades!$D$10,I291))</f>
        <v/>
      </c>
      <c r="AL291" s="22">
        <f>IF(J291&gt;=Upgrades!$E$11,"",Upgrades!$C$11*POWER(Upgrades!$D$11,J291))</f>
        <v/>
      </c>
      <c r="AM291" s="22">
        <f>IF(K291&gt;=Upgrades!$E$12,"",Upgrades!$C$12*POWER(Upgrades!$D$12,K291))</f>
        <v/>
      </c>
      <c r="AN291" s="26">
        <f>IF(AND(D291&gt;=Parameters!$B$18,(H291&gt;=Upgrades!$E$9)*(K291&gt;=Upgrades!$E$12)=1,L291=0),1,"")</f>
        <v/>
      </c>
      <c r="AO291" s="26">
        <f>IF(AND(D291&gt;=Parameters!$B$18,L291=0),1,"")</f>
        <v/>
      </c>
      <c r="AP291" s="22">
        <f>MIN(IF(ISNUMBER(AK291),AK291,9E15),IF(ISNUMBER(AL291),AL291,9E15),IF(ISNUMBER(AM291),AM291,9E15))</f>
        <v/>
      </c>
      <c r="AQ291" s="22">
        <f>MIN(IF(ISNUMBER(AG291),AG291,9E15),IF(ISNUMBER(AH291),AH291,9E15),IF(ISNUMBER(AI291),AI291,9E15),IF(ISNUMBER(AJ291),AJ291,9E15))</f>
        <v/>
      </c>
      <c r="AR291" s="29">
        <f>IF(AW291&gt;Parameters!$B$21*(MAX(IF(AND(NOT(AND(AO291=1,AN291&lt;&gt;1)),ISNUMBER(AG291),AG291&lt;=T291),AS291,0),IF(AND(NOT(AND(AO291=1,AN291&lt;&gt;1)),ISNUMBER(AH291),AH291&lt;=T291),AT291,0),IF(AND(NOT(AND(AO291=1,AN291&lt;&gt;1)),ISNUMBER(AI291),AI291&lt;=T291),AU291,0),IF(AND(ISNUMBER(AJ291),AJ291&lt;=T291),AV291,0))),TRUE,FALSE)</f>
        <v/>
      </c>
      <c r="AS291" s="32">
        <f>IFERROR(Upgrades!$H$6*(POWER(Upgrades!$P$6,E291)*POWER(Upgrades!$P$7,F291)*POWER(Upgrades!$P$8,G291)*POWER(Upgrades!$P$9,H291)*POWER(Upgrades!$P$10,I291)*POWER(Upgrades!$P$11,J291)*POWER(Upgrades!$P$12,K291))*(IF(Upgrades!$T$7="Solar Wind",POWER(Upgrades!$U$7,F291),1)*IF(Upgrades!$T$8="Solar Wind",POWER(Upgrades!$U$8,G291),1)*IF(Upgrades!$T$9="Solar Wind",POWER(Upgrades!$U$9,H291),1)*IF(Upgrades!$T$10="Solar Wind",POWER(Upgrades!$U$10,I291),1)*IF(Upgrades!$T$11="Solar Wind",POWER(Upgrades!$U$11,J291),1)*IF(Upgrades!$T$12="Solar Wind",POWER(Upgrades!$U$12,K291),1))/AG291,0)</f>
        <v/>
      </c>
      <c r="AT291" s="32">
        <f>IFERROR(Upgrades!$H$7*(POWER(Upgrades!$P$6,E291)*POWER(Upgrades!$P$7,F291)*POWER(Upgrades!$P$8,G291)*POWER(Upgrades!$P$9,H291)*POWER(Upgrades!$P$10,I291)*POWER(Upgrades!$P$11,J291)*POWER(Upgrades!$P$12,K291))*(IF(Upgrades!$T$6="Asteroid Belt",POWER(Upgrades!$U$6,E291),1)*IF(Upgrades!$T$8="Asteroid Belt",POWER(Upgrades!$U$8,G291),1)*IF(Upgrades!$T$9="Asteroid Belt",POWER(Upgrades!$U$9,H291),1)*IF(Upgrades!$T$10="Asteroid Belt",POWER(Upgrades!$U$10,I291),1)*IF(Upgrades!$T$11="Asteroid Belt",POWER(Upgrades!$U$11,J291),1)*IF(Upgrades!$T$12="Asteroid Belt",POWER(Upgrades!$U$12,K291),1))/AH291,0)</f>
        <v/>
      </c>
      <c r="AU291" s="32">
        <f>IFERROR(Upgrades!$K$8*(POWER(Upgrades!$Q$6,E291)*POWER(Upgrades!$Q$7,F291)*POWER(Upgrades!$Q$8,G291)*POWER(Upgrades!$Q$9,H291)*POWER(Upgrades!$Q$10,I291)*POWER(Upgrades!$Q$11,J291)*POWER(Upgrades!$Q$12,K291))*(IF(Upgrades!$T$6="Stellar Coupling",POWER(Upgrades!$U$6,E291),1)*IF(Upgrades!$T$7="Stellar Coupling",POWER(Upgrades!$U$7,F291),1)*IF(Upgrades!$T$9="Stellar Coupling",POWER(Upgrades!$U$9,H291),1)*IF(Upgrades!$T$10="Stellar Coupling",POWER(Upgrades!$U$10,I291),1)*IF(Upgrades!$T$11="Stellar Coupling",POWER(Upgrades!$U$11,J291),1)*IF(Upgrades!$T$12="Stellar Coupling",POWER(Upgrades!$U$12,K291),1))*Parameters!$B$10*Parameters!$B$11/60/AI291,0)</f>
        <v/>
      </c>
      <c r="AV291" s="32">
        <f>IFERROR(Upgrades!$H$9*(POWER(Upgrades!$P$6,E291)*POWER(Upgrades!$P$7,F291)*POWER(Upgrades!$P$8,G291)*POWER(Upgrades!$P$9,H291)*POWER(Upgrades!$P$10,I291)*POWER(Upgrades!$P$11,J291)*POWER(Upgrades!$P$12,K291))*(IF(Upgrades!$T$6="Magnetosphere",POWER(Upgrades!$U$6,E291),1)*IF(Upgrades!$T$7="Magnetosphere",POWER(Upgrades!$U$7,F291),1)*IF(Upgrades!$T$8="Magnetosphere",POWER(Upgrades!$U$8,G291),1)*IF(Upgrades!$T$10="Magnetosphere",POWER(Upgrades!$U$10,I291),1)*IF(Upgrades!$T$11="Magnetosphere",POWER(Upgrades!$U$11,J291),1)*IF(Upgrades!$T$12="Magnetosphere",POWER(Upgrades!$U$12,K291),1))/AJ291,0)</f>
        <v/>
      </c>
      <c r="AW291" s="32">
        <f>MAX(IF(I291&gt;0,0,IFERROR(0.25*N291/Upgrades!$C$10,0)),IF(J291&gt;0,0,IFERROR(0.5*((IF(G291=0,0,(Upgrades!$J$8+G291*Upgrades!$K$8)*POWER(Upgrades!$L$8,G291)))*(IF(Upgrades!$T$6="Stellar Coupling",POWER(Upgrades!$U$6,E291),1)*IF(Upgrades!$T$7="Stellar Coupling",POWER(Upgrades!$U$7,F291),1)*IF(Upgrades!$T$9="Stellar Coupling",POWER(Upgrades!$U$9,H291),1)*IF(Upgrades!$T$10="Stellar Coupling",POWER(Upgrades!$U$10,I291),1)*IF(Upgrades!$T$11="Stellar Coupling",POWER(Upgrades!$U$11,J291),1)*IF(Upgrades!$T$12="Stellar Coupling",POWER(Upgrades!$U$12,K291),1))*(POWER(Upgrades!$Q$6,E291)*POWER(Upgrades!$Q$7,F291)*POWER(Upgrades!$Q$8,G291)*POWER(Upgrades!$Q$9,H291)*POWER(Upgrades!$Q$10,I291)*POWER(Upgrades!$Q$11,J291)*POWER(Upgrades!$Q$12,K291))*Parameters!$B$10*Parameters!$B$11/60)/Upgrades!$C$11,0)),IF(K291&gt;0,0,IFERROR((1.0*(POWER(Upgrades!$P$6,E291)*POWER(Upgrades!$P$7,F291)*POWER(Upgrades!$P$8,G291)*POWER(Upgrades!$P$9,H291)*POWER(Upgrades!$P$10,I291)*POWER(Upgrades!$P$11,J291)*POWER(Upgrades!$P$12,K291))+0.20*M291*Parameters!$B$10*Parameters!$B$11/60)/Upgrades!$C$12,0)),IF(AND(ISNUMBER(AG291),AG291&gt;T291),AS291,0),IF(AND(ISNUMBER(AH291),AH291&gt;T291),AT291,0),IF(AND(ISNUMBER(AI291),AI291&gt;T291),AU291,0),IF(AND(ISNUMBER(AJ291),AJ291&gt;T291),AV291,0))</f>
        <v/>
      </c>
      <c r="AX291" s="29">
        <f>IF(AN291=1,"transition",IF(MIN(IF(AND(I291=0,ISNUMBER(AK291),AK291&lt;=T291),AK291,9E15),IF(AND(J291=0,ISNUMBER(AL291),AL291&lt;=T291),AL291,9E15),IF(AND(K291=0,ISNUMBER(AM291),AM291&lt;=T291),AM291,9E15))&lt;9E15,IF(AND(AND(I291=0,ISNUMBER(AK291),AK291&lt;=T291),AK291=MIN(IF(AND(I291=0,ISNUMBER(AK291),AK291&lt;=T291),AK291,9E15),IF(AND(J291=0,ISNUMBER(AL291),AL291&lt;=T291),AL291,9E15),IF(AND(K291=0,ISNUMBER(AM291),AM291&lt;=T291),AM291,9E15))),"OR",IF(AND(AND(J291=0,ISNUMBER(AL291),AL291&lt;=T291),AL291=MIN(IF(AND(I291=0,ISNUMBER(AK291),AK291&lt;=T291),AK291,9E15),IF(AND(J291=0,ISNUMBER(AL291),AL291&lt;=T291),AL291,9E15),IF(AND(K291=0,ISNUMBER(AM291),AM291&lt;=T291),AM291,9E15))),"HP","FP")),IF(AR291=TRUE,"",IF(MAX(IF(AND(NOT(AND(AO291=1,AN291&lt;&gt;1)),ISNUMBER(AG291),AG291&lt;=T291),AS291,0),IF(AND(NOT(AND(AO291=1,AN291&lt;&gt;1)),ISNUMBER(AH291),AH291&lt;=T291),AT291,0),IF(AND(NOT(AND(AO291=1,AN291&lt;&gt;1)),ISNUMBER(AI291),AI291&lt;=T291),AU291,0),IF(AND(ISNUMBER(AJ291),AJ291&lt;=T291),AV291,0))&lt;=0,"",IF(AND(IF(AND(NOT(AND(AO291=1,AN291&lt;&gt;1)),ISNUMBER(AG291),AG291&lt;=T291),AS291,0)&gt;0,IF(AND(NOT(AND(AO291=1,AN291&lt;&gt;1)),ISNUMBER(AG291),AG291&lt;=T291),AS291,0)=MAX(IF(AND(NOT(AND(AO291=1,AN291&lt;&gt;1)),ISNUMBER(AG291),AG291&lt;=T291),AS291,0),IF(AND(NOT(AND(AO291=1,AN291&lt;&gt;1)),ISNUMBER(AH291),AH291&lt;=T291),AT291,0),IF(AND(NOT(AND(AO291=1,AN291&lt;&gt;1)),ISNUMBER(AI291),AI291&lt;=T291),AU291,0),IF(AND(ISNUMBER(AJ291),AJ291&lt;=T291),AV291,0))),"SW",IF(AND(IF(AND(NOT(AND(AO291=1,AN291&lt;&gt;1)),ISNUMBER(AH291),AH291&lt;=T291),AT291,0)&gt;0,IF(AND(NOT(AND(AO291=1,AN291&lt;&gt;1)),ISNUMBER(AH291),AH291&lt;=T291),AT291,0)=MAX(IF(AND(NOT(AND(AO291=1,AN291&lt;&gt;1)),ISNUMBER(AG291),AG291&lt;=T291),AS291,0),IF(AND(NOT(AND(AO291=1,AN291&lt;&gt;1)),ISNUMBER(AH291),AH291&lt;=T291),AT291,0),IF(AND(NOT(AND(AO291=1,AN291&lt;&gt;1)),ISNUMBER(AI291),AI291&lt;=T291),AU291,0),IF(AND(ISNUMBER(AJ291),AJ291&lt;=T291),AV291,0))),"AB",IF(AND(IF(AND(NOT(AND(AO291=1,AN291&lt;&gt;1)),ISNUMBER(AI291),AI291&lt;=T291),AU291,0)&gt;0,IF(AND(NOT(AND(AO291=1,AN291&lt;&gt;1)),ISNUMBER(AI291),AI291&lt;=T291),AU291,0)=MAX(IF(AND(NOT(AND(AO291=1,AN291&lt;&gt;1)),ISNUMBER(AG291),AG291&lt;=T291),AS291,0),IF(AND(NOT(AND(AO291=1,AN291&lt;&gt;1)),ISNUMBER(AH291),AH291&lt;=T291),AT291,0),IF(AND(NOT(AND(AO291=1,AN291&lt;&gt;1)),ISNUMBER(AI291),AI291&lt;=T291),AU291,0),IF(AND(ISNUMBER(AJ291),AJ291&lt;=T291),AV291,0))),"SC","Mag")))))))</f>
        <v/>
      </c>
    </row>
    <row r="292">
      <c r="A292" s="26" t="n">
        <v>287</v>
      </c>
      <c r="B292" s="27">
        <f>A292*10/60</f>
        <v/>
      </c>
      <c r="C292" s="22">
        <f>X291</f>
        <v/>
      </c>
      <c r="D292" s="27">
        <f>D291+W291</f>
        <v/>
      </c>
      <c r="E292" s="26">
        <f>E291+IF(U291="SW",1,0)</f>
        <v/>
      </c>
      <c r="F292" s="26">
        <f>F291+IF(U291="AB",1,0)</f>
        <v/>
      </c>
      <c r="G292" s="26">
        <f>G291+IF(U291="SC",1,0)</f>
        <v/>
      </c>
      <c r="H292" s="26">
        <f>H291+IF(U291="Mag",1,0)</f>
        <v/>
      </c>
      <c r="I292" s="26">
        <f>MAX(I291,IF(U291="OR",1,0))</f>
        <v/>
      </c>
      <c r="J292" s="26">
        <f>MAX(J291,IF(U291="HP",1,0))</f>
        <v/>
      </c>
      <c r="K292" s="26">
        <f>MAX(K291,IF(U291="FP",1,0))</f>
        <v/>
      </c>
      <c r="L292" s="26">
        <f>MAX(L291,IF(U291="transition",1,0))</f>
        <v/>
      </c>
      <c r="M292" s="28">
        <f>(Parameters!$B$9+(IF(E292=0,0,(Upgrades!$J$6+E292*Upgrades!$K$6)*POWER(Upgrades!$L$6,E292)))*(IF(Upgrades!$T$7="Solar Wind",POWER(Upgrades!$U$7,F292),1)*IF(Upgrades!$T$8="Solar Wind",POWER(Upgrades!$U$8,G292),1)*IF(Upgrades!$T$9="Solar Wind",POWER(Upgrades!$U$9,H292),1)*IF(Upgrades!$T$10="Solar Wind",POWER(Upgrades!$U$10,I292),1)*IF(Upgrades!$T$11="Solar Wind",POWER(Upgrades!$U$11,J292),1)*IF(Upgrades!$T$12="Solar Wind",POWER(Upgrades!$U$12,K292),1))+(IF(F292=0,0,(Upgrades!$J$7+F292*Upgrades!$K$7)*POWER(Upgrades!$L$7,F292)))*(IF(Upgrades!$T$6="Asteroid Belt",POWER(Upgrades!$U$6,E292),1)*IF(Upgrades!$T$8="Asteroid Belt",POWER(Upgrades!$U$8,G292),1)*IF(Upgrades!$T$9="Asteroid Belt",POWER(Upgrades!$U$9,H292),1)*IF(Upgrades!$T$10="Asteroid Belt",POWER(Upgrades!$U$10,I292),1)*IF(Upgrades!$T$11="Asteroid Belt",POWER(Upgrades!$U$11,J292),1)*IF(Upgrades!$T$12="Asteroid Belt",POWER(Upgrades!$U$12,K292),1))+(IF(G292=0,0,(Upgrades!$J$8+G292*Upgrades!$K$8)*POWER(Upgrades!$L$8,G292)))*(IF(Upgrades!$T$6="Stellar Coupling",POWER(Upgrades!$U$6,E292),1)*IF(Upgrades!$T$7="Stellar Coupling",POWER(Upgrades!$U$7,F292),1)*IF(Upgrades!$T$9="Stellar Coupling",POWER(Upgrades!$U$9,H292),1)*IF(Upgrades!$T$10="Stellar Coupling",POWER(Upgrades!$U$10,I292),1)*IF(Upgrades!$T$11="Stellar Coupling",POWER(Upgrades!$U$11,J292),1)*IF(Upgrades!$T$12="Stellar Coupling",POWER(Upgrades!$U$12,K292),1))+(IF(H292=0,0,(Upgrades!$J$9+H292*Upgrades!$K$9)*POWER(Upgrades!$L$9,H292)))*(IF(Upgrades!$T$6="Magnetosphere",POWER(Upgrades!$U$6,E292),1)*IF(Upgrades!$T$7="Magnetosphere",POWER(Upgrades!$U$7,F292),1)*IF(Upgrades!$T$8="Magnetosphere",POWER(Upgrades!$U$8,G292),1)*IF(Upgrades!$T$10="Magnetosphere",POWER(Upgrades!$U$10,I292),1)*IF(Upgrades!$T$11="Magnetosphere",POWER(Upgrades!$U$11,J292),1)*IF(Upgrades!$T$12="Magnetosphere",POWER(Upgrades!$U$12,K292),1))+(IF(I292=0,0,(Upgrades!$J$10+I292*Upgrades!$K$10)*POWER(Upgrades!$L$10,I292)))*(IF(Upgrades!$T$6="Orbital Resonance",POWER(Upgrades!$U$6,E292),1)*IF(Upgrades!$T$7="Orbital Resonance",POWER(Upgrades!$U$7,F292),1)*IF(Upgrades!$T$8="Orbital Resonance",POWER(Upgrades!$U$8,G292),1)*IF(Upgrades!$T$9="Orbital Resonance",POWER(Upgrades!$U$9,H292),1)*IF(Upgrades!$T$11="Orbital Resonance",POWER(Upgrades!$U$11,J292),1)*IF(Upgrades!$T$12="Orbital Resonance",POWER(Upgrades!$U$12,K292),1))+(IF(J292=0,0,(Upgrades!$J$11+J292*Upgrades!$K$11)*POWER(Upgrades!$L$11,J292)))*(IF(Upgrades!$T$6="Heliopause",POWER(Upgrades!$U$6,E292),1)*IF(Upgrades!$T$7="Heliopause",POWER(Upgrades!$U$7,F292),1)*IF(Upgrades!$T$8="Heliopause",POWER(Upgrades!$U$8,G292),1)*IF(Upgrades!$T$9="Heliopause",POWER(Upgrades!$U$9,H292),1)*IF(Upgrades!$T$10="Heliopause",POWER(Upgrades!$U$10,I292),1)*IF(Upgrades!$T$12="Heliopause",POWER(Upgrades!$U$12,K292),1))+(IF(K292=0,0,(Upgrades!$J$12+K292*Upgrades!$K$12)*POWER(Upgrades!$L$12,K292)))*(IF(Upgrades!$T$6="First Photons",POWER(Upgrades!$U$6,E292),1)*IF(Upgrades!$T$7="First Photons",POWER(Upgrades!$U$7,F292),1)*IF(Upgrades!$T$8="First Photons",POWER(Upgrades!$U$8,G292),1)*IF(Upgrades!$T$9="First Photons",POWER(Upgrades!$U$9,H292),1)*IF(Upgrades!$T$10="First Photons",POWER(Upgrades!$U$10,I292),1)*IF(Upgrades!$T$11="First Photons",POWER(Upgrades!$U$11,J292),1)))*POWER(Upgrades!$Q$6,E292)*POWER(Upgrades!$Q$7,F292)*POWER(Upgrades!$Q$8,G292)*POWER(Upgrades!$Q$9,H292)*POWER(Upgrades!$Q$10,I292)*POWER(Upgrades!$Q$11,J292)*POWER(Upgrades!$Q$12,K292)</f>
        <v/>
      </c>
      <c r="N292" s="28">
        <f>((IF(E292=0,0,(Upgrades!$G$6+E292*Upgrades!$H$6)*POWER(Upgrades!$I$6,E292)))*(IF(Upgrades!$T$7="Solar Wind",POWER(Upgrades!$U$7,F292),1)*IF(Upgrades!$T$8="Solar Wind",POWER(Upgrades!$U$8,G292),1)*IF(Upgrades!$T$9="Solar Wind",POWER(Upgrades!$U$9,H292),1)*IF(Upgrades!$T$10="Solar Wind",POWER(Upgrades!$U$10,I292),1)*IF(Upgrades!$T$11="Solar Wind",POWER(Upgrades!$U$11,J292),1)*IF(Upgrades!$T$12="Solar Wind",POWER(Upgrades!$U$12,K292),1))+(IF(F292=0,0,(Upgrades!$G$7+F292*Upgrades!$H$7)*POWER(Upgrades!$I$7,F292)))*(IF(Upgrades!$T$6="Asteroid Belt",POWER(Upgrades!$U$6,E292),1)*IF(Upgrades!$T$8="Asteroid Belt",POWER(Upgrades!$U$8,G292),1)*IF(Upgrades!$T$9="Asteroid Belt",POWER(Upgrades!$U$9,H292),1)*IF(Upgrades!$T$10="Asteroid Belt",POWER(Upgrades!$U$10,I292),1)*IF(Upgrades!$T$11="Asteroid Belt",POWER(Upgrades!$U$11,J292),1)*IF(Upgrades!$T$12="Asteroid Belt",POWER(Upgrades!$U$12,K292),1))+(IF(G292=0,0,(Upgrades!$G$8+G292*Upgrades!$H$8)*POWER(Upgrades!$I$8,G292)))*(IF(Upgrades!$T$6="Stellar Coupling",POWER(Upgrades!$U$6,E292),1)*IF(Upgrades!$T$7="Stellar Coupling",POWER(Upgrades!$U$7,F292),1)*IF(Upgrades!$T$9="Stellar Coupling",POWER(Upgrades!$U$9,H292),1)*IF(Upgrades!$T$10="Stellar Coupling",POWER(Upgrades!$U$10,I292),1)*IF(Upgrades!$T$11="Stellar Coupling",POWER(Upgrades!$U$11,J292),1)*IF(Upgrades!$T$12="Stellar Coupling",POWER(Upgrades!$U$12,K292),1))+(IF(H292=0,0,(Upgrades!$G$9+H292*Upgrades!$H$9)*POWER(Upgrades!$I$9,H292)))*(IF(Upgrades!$T$6="Magnetosphere",POWER(Upgrades!$U$6,E292),1)*IF(Upgrades!$T$7="Magnetosphere",POWER(Upgrades!$U$7,F292),1)*IF(Upgrades!$T$8="Magnetosphere",POWER(Upgrades!$U$8,G292),1)*IF(Upgrades!$T$10="Magnetosphere",POWER(Upgrades!$U$10,I292),1)*IF(Upgrades!$T$11="Magnetosphere",POWER(Upgrades!$U$11,J292),1)*IF(Upgrades!$T$12="Magnetosphere",POWER(Upgrades!$U$12,K292),1))+(IF(I292=0,0,(Upgrades!$G$10+I292*Upgrades!$H$10)*POWER(Upgrades!$I$10,I292)))*(IF(Upgrades!$T$6="Orbital Resonance",POWER(Upgrades!$U$6,E292),1)*IF(Upgrades!$T$7="Orbital Resonance",POWER(Upgrades!$U$7,F292),1)*IF(Upgrades!$T$8="Orbital Resonance",POWER(Upgrades!$U$8,G292),1)*IF(Upgrades!$T$9="Orbital Resonance",POWER(Upgrades!$U$9,H292),1)*IF(Upgrades!$T$11="Orbital Resonance",POWER(Upgrades!$U$11,J292),1)*IF(Upgrades!$T$12="Orbital Resonance",POWER(Upgrades!$U$12,K292),1))+(IF(J292=0,0,(Upgrades!$G$11+J292*Upgrades!$H$11)*POWER(Upgrades!$I$11,J292)))*(IF(Upgrades!$T$6="Heliopause",POWER(Upgrades!$U$6,E292),1)*IF(Upgrades!$T$7="Heliopause",POWER(Upgrades!$U$7,F292),1)*IF(Upgrades!$T$8="Heliopause",POWER(Upgrades!$U$8,G292),1)*IF(Upgrades!$T$9="Heliopause",POWER(Upgrades!$U$9,H292),1)*IF(Upgrades!$T$10="Heliopause",POWER(Upgrades!$U$10,I292),1)*IF(Upgrades!$T$12="Heliopause",POWER(Upgrades!$U$12,K292),1))+(IF(K292=0,0,(Upgrades!$G$12+K292*Upgrades!$H$12)*POWER(Upgrades!$I$12,K292)))*(IF(Upgrades!$T$6="First Photons",POWER(Upgrades!$U$6,E292),1)*IF(Upgrades!$T$7="First Photons",POWER(Upgrades!$U$7,F292),1)*IF(Upgrades!$T$8="First Photons",POWER(Upgrades!$U$8,G292),1)*IF(Upgrades!$T$9="First Photons",POWER(Upgrades!$U$9,H292),1)*IF(Upgrades!$T$10="First Photons",POWER(Upgrades!$U$10,I292),1)*IF(Upgrades!$T$11="First Photons",POWER(Upgrades!$U$11,J292),1)))*POWER(Upgrades!$P$6,E292)*POWER(Upgrades!$P$7,F292)*POWER(Upgrades!$P$8,G292)*POWER(Upgrades!$P$9,H292)*POWER(Upgrades!$P$10,I292)*POWER(Upgrades!$P$11,J292)*POWER(Upgrades!$P$12,K292)</f>
        <v/>
      </c>
      <c r="O292" s="28">
        <f>((IF(E292=0,0,(Upgrades!$M$6+E292*Upgrades!$N$6)*POWER(Upgrades!$O$6,E292)))*(IF(Upgrades!$T$7="Solar Wind",POWER(Upgrades!$U$7,F292),1)*IF(Upgrades!$T$8="Solar Wind",POWER(Upgrades!$U$8,G292),1)*IF(Upgrades!$T$9="Solar Wind",POWER(Upgrades!$U$9,H292),1)*IF(Upgrades!$T$10="Solar Wind",POWER(Upgrades!$U$10,I292),1)*IF(Upgrades!$T$11="Solar Wind",POWER(Upgrades!$U$11,J292),1)*IF(Upgrades!$T$12="Solar Wind",POWER(Upgrades!$U$12,K292),1))+(IF(F292=0,0,(Upgrades!$M$7+F292*Upgrades!$N$7)*POWER(Upgrades!$O$7,F292)))*(IF(Upgrades!$T$6="Asteroid Belt",POWER(Upgrades!$U$6,E292),1)*IF(Upgrades!$T$8="Asteroid Belt",POWER(Upgrades!$U$8,G292),1)*IF(Upgrades!$T$9="Asteroid Belt",POWER(Upgrades!$U$9,H292),1)*IF(Upgrades!$T$10="Asteroid Belt",POWER(Upgrades!$U$10,I292),1)*IF(Upgrades!$T$11="Asteroid Belt",POWER(Upgrades!$U$11,J292),1)*IF(Upgrades!$T$12="Asteroid Belt",POWER(Upgrades!$U$12,K292),1))+(IF(G292=0,0,(Upgrades!$M$8+G292*Upgrades!$N$8)*POWER(Upgrades!$O$8,G292)))*(IF(Upgrades!$T$6="Stellar Coupling",POWER(Upgrades!$U$6,E292),1)*IF(Upgrades!$T$7="Stellar Coupling",POWER(Upgrades!$U$7,F292),1)*IF(Upgrades!$T$9="Stellar Coupling",POWER(Upgrades!$U$9,H292),1)*IF(Upgrades!$T$10="Stellar Coupling",POWER(Upgrades!$U$10,I292),1)*IF(Upgrades!$T$11="Stellar Coupling",POWER(Upgrades!$U$11,J292),1)*IF(Upgrades!$T$12="Stellar Coupling",POWER(Upgrades!$U$12,K292),1))+(IF(H292=0,0,(Upgrades!$M$9+H292*Upgrades!$N$9)*POWER(Upgrades!$O$9,H292)))*(IF(Upgrades!$T$6="Magnetosphere",POWER(Upgrades!$U$6,E292),1)*IF(Upgrades!$T$7="Magnetosphere",POWER(Upgrades!$U$7,F292),1)*IF(Upgrades!$T$8="Magnetosphere",POWER(Upgrades!$U$8,G292),1)*IF(Upgrades!$T$10="Magnetosphere",POWER(Upgrades!$U$10,I292),1)*IF(Upgrades!$T$11="Magnetosphere",POWER(Upgrades!$U$11,J292),1)*IF(Upgrades!$T$12="Magnetosphere",POWER(Upgrades!$U$12,K292),1))+(IF(I292=0,0,(Upgrades!$M$10+I292*Upgrades!$N$10)*POWER(Upgrades!$O$10,I292)))*(IF(Upgrades!$T$6="Orbital Resonance",POWER(Upgrades!$U$6,E292),1)*IF(Upgrades!$T$7="Orbital Resonance",POWER(Upgrades!$U$7,F292),1)*IF(Upgrades!$T$8="Orbital Resonance",POWER(Upgrades!$U$8,G292),1)*IF(Upgrades!$T$9="Orbital Resonance",POWER(Upgrades!$U$9,H292),1)*IF(Upgrades!$T$11="Orbital Resonance",POWER(Upgrades!$U$11,J292),1)*IF(Upgrades!$T$12="Orbital Resonance",POWER(Upgrades!$U$12,K292),1))+(IF(J292=0,0,(Upgrades!$M$11+J292*Upgrades!$N$11)*POWER(Upgrades!$O$11,J292)))*(IF(Upgrades!$T$6="Heliopause",POWER(Upgrades!$U$6,E292),1)*IF(Upgrades!$T$7="Heliopause",POWER(Upgrades!$U$7,F292),1)*IF(Upgrades!$T$8="Heliopause",POWER(Upgrades!$U$8,G292),1)*IF(Upgrades!$T$9="Heliopause",POWER(Upgrades!$U$9,H292),1)*IF(Upgrades!$T$10="Heliopause",POWER(Upgrades!$U$10,I292),1)*IF(Upgrades!$T$12="Heliopause",POWER(Upgrades!$U$12,K292),1))+(IF(K292=0,0,(Upgrades!$M$12+K292*Upgrades!$N$12)*POWER(Upgrades!$O$12,K292)))*(IF(Upgrades!$T$6="First Photons",POWER(Upgrades!$U$6,E292),1)*IF(Upgrades!$T$7="First Photons",POWER(Upgrades!$U$7,F292),1)*IF(Upgrades!$T$8="First Photons",POWER(Upgrades!$U$8,G292),1)*IF(Upgrades!$T$9="First Photons",POWER(Upgrades!$U$9,H292),1)*IF(Upgrades!$T$10="First Photons",POWER(Upgrades!$U$10,I292),1)*IF(Upgrades!$T$11="First Photons",POWER(Upgrades!$U$11,J292),1)))*POWER(Upgrades!$R$6,E292)*POWER(Upgrades!$R$7,F292)*POWER(Upgrades!$R$8,G292)*POWER(Upgrades!$R$9,H292)*POWER(Upgrades!$R$10,I292)*POWER(Upgrades!$R$11,J292)*POWER(Upgrades!$R$12,K292)</f>
        <v/>
      </c>
      <c r="P292" s="27">
        <f>IF(L292=1,0,M292*Parameters!$B$10/60*Parameters!$B$11*10)</f>
        <v/>
      </c>
      <c r="Q292" s="27">
        <f>IF(L292=1,0,O292*M292*10)</f>
        <v/>
      </c>
      <c r="R292" s="27">
        <f>IF(L292=1,0,N292*10)</f>
        <v/>
      </c>
      <c r="S292" s="27">
        <f>P292+Q292+R292</f>
        <v/>
      </c>
      <c r="T292" s="22">
        <f>C292+S292</f>
        <v/>
      </c>
      <c r="U292" s="33">
        <f>AX292</f>
        <v/>
      </c>
      <c r="V292" s="22">
        <f>IF(U292="",0,IF(U292="transition",0,IF(U292="SW",AG292,IF(U292="AB",AH292,IF(U292="SC",AI292,IF(U292="Mag",AJ292,IF(U292="OR",AK292,IF(U292="HP",AL292,IF(U292="FP",AM292,0)))))))))</f>
        <v/>
      </c>
      <c r="W292" s="27">
        <f>IF(U292="OR",Upgrades!$F$10,IF(U292="HP",Upgrades!$F$11,IF(U292="transition",-Parameters!$B$18,0)))</f>
        <v/>
      </c>
      <c r="X292" s="22">
        <f>T292-V292</f>
        <v/>
      </c>
      <c r="Y292" s="30">
        <f>M292*Parameters!$B$10/60*Parameters!$B$11+O292*M292+N292</f>
        <v/>
      </c>
      <c r="Z292" s="34">
        <f>IF(U292="transition","→ Tier 2 (Stellar Neighborhood)",IF(U292="FP","First Photons — light begins, system quickens",IF(U292="HP","Heliopause acquired",IF(U292="OR","Orbital Resonance — passive multiplier active",IF(AND(AO292=1,L292=0,AN292&lt;&gt;1),"Cohesion ready (waiting on completionist upgrades)","")))))</f>
        <v/>
      </c>
      <c r="AA292" s="27">
        <f>(IF(E292=0,0,(Upgrades!$G$6+E292*Upgrades!$H$6)*POWER(Upgrades!$I$6,E292)))*(IF(Upgrades!$T$7="Solar Wind",POWER(Upgrades!$U$7,F292),1)*IF(Upgrades!$T$8="Solar Wind",POWER(Upgrades!$U$8,G292),1)*IF(Upgrades!$T$9="Solar Wind",POWER(Upgrades!$U$9,H292),1)*IF(Upgrades!$T$10="Solar Wind",POWER(Upgrades!$U$10,I292),1)*IF(Upgrades!$T$11="Solar Wind",POWER(Upgrades!$U$11,J292),1)*IF(Upgrades!$T$12="Solar Wind",POWER(Upgrades!$U$12,K292),1))*POWER(Upgrades!$P$6,E292)*POWER(Upgrades!$P$7,F292)*POWER(Upgrades!$P$8,G292)*POWER(Upgrades!$P$9,H292)*POWER(Upgrades!$P$10,I292)*POWER(Upgrades!$P$11,J292)*POWER(Upgrades!$P$12,K292)*60</f>
        <v/>
      </c>
      <c r="AB292" s="27">
        <f>(IF(F292=0,0,(Upgrades!$G$7+F292*Upgrades!$H$7)*POWER(Upgrades!$I$7,F292)))*(IF(Upgrades!$T$6="Asteroid Belt",POWER(Upgrades!$U$6,E292),1)*IF(Upgrades!$T$8="Asteroid Belt",POWER(Upgrades!$U$8,G292),1)*IF(Upgrades!$T$9="Asteroid Belt",POWER(Upgrades!$U$9,H292),1)*IF(Upgrades!$T$10="Asteroid Belt",POWER(Upgrades!$U$10,I292),1)*IF(Upgrades!$T$11="Asteroid Belt",POWER(Upgrades!$U$11,J292),1)*IF(Upgrades!$T$12="Asteroid Belt",POWER(Upgrades!$U$12,K292),1))*POWER(Upgrades!$P$6,E292)*POWER(Upgrades!$P$7,F292)*POWER(Upgrades!$P$8,G292)*POWER(Upgrades!$P$9,H292)*POWER(Upgrades!$P$10,I292)*POWER(Upgrades!$P$11,J292)*POWER(Upgrades!$P$12,K292)*60</f>
        <v/>
      </c>
      <c r="AC292" s="27">
        <f>(IF(G292=0,0,(Upgrades!$J$8+G292*Upgrades!$K$8)*POWER(Upgrades!$L$8,G292)))*(IF(Upgrades!$T$6="Stellar Coupling",POWER(Upgrades!$U$6,E292),1)*IF(Upgrades!$T$7="Stellar Coupling",POWER(Upgrades!$U$7,F292),1)*IF(Upgrades!$T$9="Stellar Coupling",POWER(Upgrades!$U$9,H292),1)*IF(Upgrades!$T$10="Stellar Coupling",POWER(Upgrades!$U$10,I292),1)*IF(Upgrades!$T$11="Stellar Coupling",POWER(Upgrades!$U$11,J292),1)*IF(Upgrades!$T$12="Stellar Coupling",POWER(Upgrades!$U$12,K292),1))*POWER(Upgrades!$Q$6,E292)*POWER(Upgrades!$Q$7,F292)*POWER(Upgrades!$Q$8,G292)*POWER(Upgrades!$Q$9,H292)*POWER(Upgrades!$Q$10,I292)*POWER(Upgrades!$Q$11,J292)*POWER(Upgrades!$Q$12,K292)*Parameters!$B$10*Parameters!$B$11</f>
        <v/>
      </c>
      <c r="AD292" s="27">
        <f>(IF(H292=0,0,(Upgrades!$G$9+H292*Upgrades!$H$9)*POWER(Upgrades!$I$9,H292)))*(IF(Upgrades!$T$6="Magnetosphere",POWER(Upgrades!$U$6,E292),1)*IF(Upgrades!$T$7="Magnetosphere",POWER(Upgrades!$U$7,F292),1)*IF(Upgrades!$T$8="Magnetosphere",POWER(Upgrades!$U$8,G292),1)*IF(Upgrades!$T$10="Magnetosphere",POWER(Upgrades!$U$10,I292),1)*IF(Upgrades!$T$11="Magnetosphere",POWER(Upgrades!$U$11,J292),1)*IF(Upgrades!$T$12="Magnetosphere",POWER(Upgrades!$U$12,K292),1))*POWER(Upgrades!$P$6,E292)*POWER(Upgrades!$P$7,F292)*POWER(Upgrades!$P$8,G292)*POWER(Upgrades!$P$9,H292)*POWER(Upgrades!$P$10,I292)*POWER(Upgrades!$P$11,J292)*POWER(Upgrades!$P$12,K292)*60</f>
        <v/>
      </c>
      <c r="AE292" s="27">
        <f>(IF(K292=0,0,(Upgrades!$G$12+K292*Upgrades!$H$12)*POWER(Upgrades!$I$12,K292)))*(IF(Upgrades!$T$6="First Photons",POWER(Upgrades!$U$6,E292),1)*IF(Upgrades!$T$7="First Photons",POWER(Upgrades!$U$7,F292),1)*IF(Upgrades!$T$8="First Photons",POWER(Upgrades!$U$8,G292),1)*IF(Upgrades!$T$9="First Photons",POWER(Upgrades!$U$9,H292),1)*IF(Upgrades!$T$10="First Photons",POWER(Upgrades!$U$10,I292),1)*IF(Upgrades!$T$11="First Photons",POWER(Upgrades!$U$11,J292),1))*POWER(Upgrades!$P$6,E292)*POWER(Upgrades!$P$7,F292)*POWER(Upgrades!$P$8,G292)*POWER(Upgrades!$P$9,H292)*POWER(Upgrades!$P$10,I292)*POWER(Upgrades!$P$11,J292)*POWER(Upgrades!$P$12,K292)*60</f>
        <v/>
      </c>
      <c r="AF292" s="27">
        <f>Parameters!$B$9*POWER(Upgrades!$Q$6,E292)*POWER(Upgrades!$Q$7,F292)*POWER(Upgrades!$Q$8,G292)*POWER(Upgrades!$Q$9,H292)*POWER(Upgrades!$Q$10,I292)*POWER(Upgrades!$Q$11,J292)*POWER(Upgrades!$Q$12,K292)*(Parameters!$B$10*Parameters!$B$11+O292*60)</f>
        <v/>
      </c>
      <c r="AG292" s="22">
        <f>IF(E292&gt;=Upgrades!$E$6,"",Upgrades!$C$6*POWER(Upgrades!$D$6,E292))</f>
        <v/>
      </c>
      <c r="AH292" s="22">
        <f>IF(F292&gt;=Upgrades!$E$7,"",Upgrades!$C$7*POWER(Upgrades!$D$7,F292))</f>
        <v/>
      </c>
      <c r="AI292" s="22">
        <f>IF(G292&gt;=Upgrades!$E$8,"",Upgrades!$C$8*POWER(Upgrades!$D$8,G292))</f>
        <v/>
      </c>
      <c r="AJ292" s="22">
        <f>IF(H292&gt;=Upgrades!$E$9,"",Upgrades!$C$9*POWER(Upgrades!$D$9,H292))</f>
        <v/>
      </c>
      <c r="AK292" s="22">
        <f>IF(I292&gt;=Upgrades!$E$10,"",Upgrades!$C$10*POWER(Upgrades!$D$10,I292))</f>
        <v/>
      </c>
      <c r="AL292" s="22">
        <f>IF(J292&gt;=Upgrades!$E$11,"",Upgrades!$C$11*POWER(Upgrades!$D$11,J292))</f>
        <v/>
      </c>
      <c r="AM292" s="22">
        <f>IF(K292&gt;=Upgrades!$E$12,"",Upgrades!$C$12*POWER(Upgrades!$D$12,K292))</f>
        <v/>
      </c>
      <c r="AN292" s="26">
        <f>IF(AND(D292&gt;=Parameters!$B$18,(H292&gt;=Upgrades!$E$9)*(K292&gt;=Upgrades!$E$12)=1,L292=0),1,"")</f>
        <v/>
      </c>
      <c r="AO292" s="26">
        <f>IF(AND(D292&gt;=Parameters!$B$18,L292=0),1,"")</f>
        <v/>
      </c>
      <c r="AP292" s="22">
        <f>MIN(IF(ISNUMBER(AK292),AK292,9E15),IF(ISNUMBER(AL292),AL292,9E15),IF(ISNUMBER(AM292),AM292,9E15))</f>
        <v/>
      </c>
      <c r="AQ292" s="22">
        <f>MIN(IF(ISNUMBER(AG292),AG292,9E15),IF(ISNUMBER(AH292),AH292,9E15),IF(ISNUMBER(AI292),AI292,9E15),IF(ISNUMBER(AJ292),AJ292,9E15))</f>
        <v/>
      </c>
      <c r="AR292" s="29">
        <f>IF(AW292&gt;Parameters!$B$21*(MAX(IF(AND(NOT(AND(AO292=1,AN292&lt;&gt;1)),ISNUMBER(AG292),AG292&lt;=T292),AS292,0),IF(AND(NOT(AND(AO292=1,AN292&lt;&gt;1)),ISNUMBER(AH292),AH292&lt;=T292),AT292,0),IF(AND(NOT(AND(AO292=1,AN292&lt;&gt;1)),ISNUMBER(AI292),AI292&lt;=T292),AU292,0),IF(AND(ISNUMBER(AJ292),AJ292&lt;=T292),AV292,0))),TRUE,FALSE)</f>
        <v/>
      </c>
      <c r="AS292" s="32">
        <f>IFERROR(Upgrades!$H$6*(POWER(Upgrades!$P$6,E292)*POWER(Upgrades!$P$7,F292)*POWER(Upgrades!$P$8,G292)*POWER(Upgrades!$P$9,H292)*POWER(Upgrades!$P$10,I292)*POWER(Upgrades!$P$11,J292)*POWER(Upgrades!$P$12,K292))*(IF(Upgrades!$T$7="Solar Wind",POWER(Upgrades!$U$7,F292),1)*IF(Upgrades!$T$8="Solar Wind",POWER(Upgrades!$U$8,G292),1)*IF(Upgrades!$T$9="Solar Wind",POWER(Upgrades!$U$9,H292),1)*IF(Upgrades!$T$10="Solar Wind",POWER(Upgrades!$U$10,I292),1)*IF(Upgrades!$T$11="Solar Wind",POWER(Upgrades!$U$11,J292),1)*IF(Upgrades!$T$12="Solar Wind",POWER(Upgrades!$U$12,K292),1))/AG292,0)</f>
        <v/>
      </c>
      <c r="AT292" s="32">
        <f>IFERROR(Upgrades!$H$7*(POWER(Upgrades!$P$6,E292)*POWER(Upgrades!$P$7,F292)*POWER(Upgrades!$P$8,G292)*POWER(Upgrades!$P$9,H292)*POWER(Upgrades!$P$10,I292)*POWER(Upgrades!$P$11,J292)*POWER(Upgrades!$P$12,K292))*(IF(Upgrades!$T$6="Asteroid Belt",POWER(Upgrades!$U$6,E292),1)*IF(Upgrades!$T$8="Asteroid Belt",POWER(Upgrades!$U$8,G292),1)*IF(Upgrades!$T$9="Asteroid Belt",POWER(Upgrades!$U$9,H292),1)*IF(Upgrades!$T$10="Asteroid Belt",POWER(Upgrades!$U$10,I292),1)*IF(Upgrades!$T$11="Asteroid Belt",POWER(Upgrades!$U$11,J292),1)*IF(Upgrades!$T$12="Asteroid Belt",POWER(Upgrades!$U$12,K292),1))/AH292,0)</f>
        <v/>
      </c>
      <c r="AU292" s="32">
        <f>IFERROR(Upgrades!$K$8*(POWER(Upgrades!$Q$6,E292)*POWER(Upgrades!$Q$7,F292)*POWER(Upgrades!$Q$8,G292)*POWER(Upgrades!$Q$9,H292)*POWER(Upgrades!$Q$10,I292)*POWER(Upgrades!$Q$11,J292)*POWER(Upgrades!$Q$12,K292))*(IF(Upgrades!$T$6="Stellar Coupling",POWER(Upgrades!$U$6,E292),1)*IF(Upgrades!$T$7="Stellar Coupling",POWER(Upgrades!$U$7,F292),1)*IF(Upgrades!$T$9="Stellar Coupling",POWER(Upgrades!$U$9,H292),1)*IF(Upgrades!$T$10="Stellar Coupling",POWER(Upgrades!$U$10,I292),1)*IF(Upgrades!$T$11="Stellar Coupling",POWER(Upgrades!$U$11,J292),1)*IF(Upgrades!$T$12="Stellar Coupling",POWER(Upgrades!$U$12,K292),1))*Parameters!$B$10*Parameters!$B$11/60/AI292,0)</f>
        <v/>
      </c>
      <c r="AV292" s="32">
        <f>IFERROR(Upgrades!$H$9*(POWER(Upgrades!$P$6,E292)*POWER(Upgrades!$P$7,F292)*POWER(Upgrades!$P$8,G292)*POWER(Upgrades!$P$9,H292)*POWER(Upgrades!$P$10,I292)*POWER(Upgrades!$P$11,J292)*POWER(Upgrades!$P$12,K292))*(IF(Upgrades!$T$6="Magnetosphere",POWER(Upgrades!$U$6,E292),1)*IF(Upgrades!$T$7="Magnetosphere",POWER(Upgrades!$U$7,F292),1)*IF(Upgrades!$T$8="Magnetosphere",POWER(Upgrades!$U$8,G292),1)*IF(Upgrades!$T$10="Magnetosphere",POWER(Upgrades!$U$10,I292),1)*IF(Upgrades!$T$11="Magnetosphere",POWER(Upgrades!$U$11,J292),1)*IF(Upgrades!$T$12="Magnetosphere",POWER(Upgrades!$U$12,K292),1))/AJ292,0)</f>
        <v/>
      </c>
      <c r="AW292" s="32">
        <f>MAX(IF(I292&gt;0,0,IFERROR(0.25*N292/Upgrades!$C$10,0)),IF(J292&gt;0,0,IFERROR(0.5*((IF(G292=0,0,(Upgrades!$J$8+G292*Upgrades!$K$8)*POWER(Upgrades!$L$8,G292)))*(IF(Upgrades!$T$6="Stellar Coupling",POWER(Upgrades!$U$6,E292),1)*IF(Upgrades!$T$7="Stellar Coupling",POWER(Upgrades!$U$7,F292),1)*IF(Upgrades!$T$9="Stellar Coupling",POWER(Upgrades!$U$9,H292),1)*IF(Upgrades!$T$10="Stellar Coupling",POWER(Upgrades!$U$10,I292),1)*IF(Upgrades!$T$11="Stellar Coupling",POWER(Upgrades!$U$11,J292),1)*IF(Upgrades!$T$12="Stellar Coupling",POWER(Upgrades!$U$12,K292),1))*(POWER(Upgrades!$Q$6,E292)*POWER(Upgrades!$Q$7,F292)*POWER(Upgrades!$Q$8,G292)*POWER(Upgrades!$Q$9,H292)*POWER(Upgrades!$Q$10,I292)*POWER(Upgrades!$Q$11,J292)*POWER(Upgrades!$Q$12,K292))*Parameters!$B$10*Parameters!$B$11/60)/Upgrades!$C$11,0)),IF(K292&gt;0,0,IFERROR((1.0*(POWER(Upgrades!$P$6,E292)*POWER(Upgrades!$P$7,F292)*POWER(Upgrades!$P$8,G292)*POWER(Upgrades!$P$9,H292)*POWER(Upgrades!$P$10,I292)*POWER(Upgrades!$P$11,J292)*POWER(Upgrades!$P$12,K292))+0.20*M292*Parameters!$B$10*Parameters!$B$11/60)/Upgrades!$C$12,0)),IF(AND(ISNUMBER(AG292),AG292&gt;T292),AS292,0),IF(AND(ISNUMBER(AH292),AH292&gt;T292),AT292,0),IF(AND(ISNUMBER(AI292),AI292&gt;T292),AU292,0),IF(AND(ISNUMBER(AJ292),AJ292&gt;T292),AV292,0))</f>
        <v/>
      </c>
      <c r="AX292" s="29">
        <f>IF(AN292=1,"transition",IF(MIN(IF(AND(I292=0,ISNUMBER(AK292),AK292&lt;=T292),AK292,9E15),IF(AND(J292=0,ISNUMBER(AL292),AL292&lt;=T292),AL292,9E15),IF(AND(K292=0,ISNUMBER(AM292),AM292&lt;=T292),AM292,9E15))&lt;9E15,IF(AND(AND(I292=0,ISNUMBER(AK292),AK292&lt;=T292),AK292=MIN(IF(AND(I292=0,ISNUMBER(AK292),AK292&lt;=T292),AK292,9E15),IF(AND(J292=0,ISNUMBER(AL292),AL292&lt;=T292),AL292,9E15),IF(AND(K292=0,ISNUMBER(AM292),AM292&lt;=T292),AM292,9E15))),"OR",IF(AND(AND(J292=0,ISNUMBER(AL292),AL292&lt;=T292),AL292=MIN(IF(AND(I292=0,ISNUMBER(AK292),AK292&lt;=T292),AK292,9E15),IF(AND(J292=0,ISNUMBER(AL292),AL292&lt;=T292),AL292,9E15),IF(AND(K292=0,ISNUMBER(AM292),AM292&lt;=T292),AM292,9E15))),"HP","FP")),IF(AR292=TRUE,"",IF(MAX(IF(AND(NOT(AND(AO292=1,AN292&lt;&gt;1)),ISNUMBER(AG292),AG292&lt;=T292),AS292,0),IF(AND(NOT(AND(AO292=1,AN292&lt;&gt;1)),ISNUMBER(AH292),AH292&lt;=T292),AT292,0),IF(AND(NOT(AND(AO292=1,AN292&lt;&gt;1)),ISNUMBER(AI292),AI292&lt;=T292),AU292,0),IF(AND(ISNUMBER(AJ292),AJ292&lt;=T292),AV292,0))&lt;=0,"",IF(AND(IF(AND(NOT(AND(AO292=1,AN292&lt;&gt;1)),ISNUMBER(AG292),AG292&lt;=T292),AS292,0)&gt;0,IF(AND(NOT(AND(AO292=1,AN292&lt;&gt;1)),ISNUMBER(AG292),AG292&lt;=T292),AS292,0)=MAX(IF(AND(NOT(AND(AO292=1,AN292&lt;&gt;1)),ISNUMBER(AG292),AG292&lt;=T292),AS292,0),IF(AND(NOT(AND(AO292=1,AN292&lt;&gt;1)),ISNUMBER(AH292),AH292&lt;=T292),AT292,0),IF(AND(NOT(AND(AO292=1,AN292&lt;&gt;1)),ISNUMBER(AI292),AI292&lt;=T292),AU292,0),IF(AND(ISNUMBER(AJ292),AJ292&lt;=T292),AV292,0))),"SW",IF(AND(IF(AND(NOT(AND(AO292=1,AN292&lt;&gt;1)),ISNUMBER(AH292),AH292&lt;=T292),AT292,0)&gt;0,IF(AND(NOT(AND(AO292=1,AN292&lt;&gt;1)),ISNUMBER(AH292),AH292&lt;=T292),AT292,0)=MAX(IF(AND(NOT(AND(AO292=1,AN292&lt;&gt;1)),ISNUMBER(AG292),AG292&lt;=T292),AS292,0),IF(AND(NOT(AND(AO292=1,AN292&lt;&gt;1)),ISNUMBER(AH292),AH292&lt;=T292),AT292,0),IF(AND(NOT(AND(AO292=1,AN292&lt;&gt;1)),ISNUMBER(AI292),AI292&lt;=T292),AU292,0),IF(AND(ISNUMBER(AJ292),AJ292&lt;=T292),AV292,0))),"AB",IF(AND(IF(AND(NOT(AND(AO292=1,AN292&lt;&gt;1)),ISNUMBER(AI292),AI292&lt;=T292),AU292,0)&gt;0,IF(AND(NOT(AND(AO292=1,AN292&lt;&gt;1)),ISNUMBER(AI292),AI292&lt;=T292),AU292,0)=MAX(IF(AND(NOT(AND(AO292=1,AN292&lt;&gt;1)),ISNUMBER(AG292),AG292&lt;=T292),AS292,0),IF(AND(NOT(AND(AO292=1,AN292&lt;&gt;1)),ISNUMBER(AH292),AH292&lt;=T292),AT292,0),IF(AND(NOT(AND(AO292=1,AN292&lt;&gt;1)),ISNUMBER(AI292),AI292&lt;=T292),AU292,0),IF(AND(ISNUMBER(AJ292),AJ292&lt;=T292),AV292,0))),"SC","Mag")))))))</f>
        <v/>
      </c>
    </row>
    <row r="293">
      <c r="A293" s="26" t="n">
        <v>288</v>
      </c>
      <c r="B293" s="27">
        <f>A293*10/60</f>
        <v/>
      </c>
      <c r="C293" s="22">
        <f>X292</f>
        <v/>
      </c>
      <c r="D293" s="27">
        <f>D292+W292</f>
        <v/>
      </c>
      <c r="E293" s="26">
        <f>E292+IF(U292="SW",1,0)</f>
        <v/>
      </c>
      <c r="F293" s="26">
        <f>F292+IF(U292="AB",1,0)</f>
        <v/>
      </c>
      <c r="G293" s="26">
        <f>G292+IF(U292="SC",1,0)</f>
        <v/>
      </c>
      <c r="H293" s="26">
        <f>H292+IF(U292="Mag",1,0)</f>
        <v/>
      </c>
      <c r="I293" s="26">
        <f>MAX(I292,IF(U292="OR",1,0))</f>
        <v/>
      </c>
      <c r="J293" s="26">
        <f>MAX(J292,IF(U292="HP",1,0))</f>
        <v/>
      </c>
      <c r="K293" s="26">
        <f>MAX(K292,IF(U292="FP",1,0))</f>
        <v/>
      </c>
      <c r="L293" s="26">
        <f>MAX(L292,IF(U292="transition",1,0))</f>
        <v/>
      </c>
      <c r="M293" s="28">
        <f>(Parameters!$B$9+(IF(E293=0,0,(Upgrades!$J$6+E293*Upgrades!$K$6)*POWER(Upgrades!$L$6,E293)))*(IF(Upgrades!$T$7="Solar Wind",POWER(Upgrades!$U$7,F293),1)*IF(Upgrades!$T$8="Solar Wind",POWER(Upgrades!$U$8,G293),1)*IF(Upgrades!$T$9="Solar Wind",POWER(Upgrades!$U$9,H293),1)*IF(Upgrades!$T$10="Solar Wind",POWER(Upgrades!$U$10,I293),1)*IF(Upgrades!$T$11="Solar Wind",POWER(Upgrades!$U$11,J293),1)*IF(Upgrades!$T$12="Solar Wind",POWER(Upgrades!$U$12,K293),1))+(IF(F293=0,0,(Upgrades!$J$7+F293*Upgrades!$K$7)*POWER(Upgrades!$L$7,F293)))*(IF(Upgrades!$T$6="Asteroid Belt",POWER(Upgrades!$U$6,E293),1)*IF(Upgrades!$T$8="Asteroid Belt",POWER(Upgrades!$U$8,G293),1)*IF(Upgrades!$T$9="Asteroid Belt",POWER(Upgrades!$U$9,H293),1)*IF(Upgrades!$T$10="Asteroid Belt",POWER(Upgrades!$U$10,I293),1)*IF(Upgrades!$T$11="Asteroid Belt",POWER(Upgrades!$U$11,J293),1)*IF(Upgrades!$T$12="Asteroid Belt",POWER(Upgrades!$U$12,K293),1))+(IF(G293=0,0,(Upgrades!$J$8+G293*Upgrades!$K$8)*POWER(Upgrades!$L$8,G293)))*(IF(Upgrades!$T$6="Stellar Coupling",POWER(Upgrades!$U$6,E293),1)*IF(Upgrades!$T$7="Stellar Coupling",POWER(Upgrades!$U$7,F293),1)*IF(Upgrades!$T$9="Stellar Coupling",POWER(Upgrades!$U$9,H293),1)*IF(Upgrades!$T$10="Stellar Coupling",POWER(Upgrades!$U$10,I293),1)*IF(Upgrades!$T$11="Stellar Coupling",POWER(Upgrades!$U$11,J293),1)*IF(Upgrades!$T$12="Stellar Coupling",POWER(Upgrades!$U$12,K293),1))+(IF(H293=0,0,(Upgrades!$J$9+H293*Upgrades!$K$9)*POWER(Upgrades!$L$9,H293)))*(IF(Upgrades!$T$6="Magnetosphere",POWER(Upgrades!$U$6,E293),1)*IF(Upgrades!$T$7="Magnetosphere",POWER(Upgrades!$U$7,F293),1)*IF(Upgrades!$T$8="Magnetosphere",POWER(Upgrades!$U$8,G293),1)*IF(Upgrades!$T$10="Magnetosphere",POWER(Upgrades!$U$10,I293),1)*IF(Upgrades!$T$11="Magnetosphere",POWER(Upgrades!$U$11,J293),1)*IF(Upgrades!$T$12="Magnetosphere",POWER(Upgrades!$U$12,K293),1))+(IF(I293=0,0,(Upgrades!$J$10+I293*Upgrades!$K$10)*POWER(Upgrades!$L$10,I293)))*(IF(Upgrades!$T$6="Orbital Resonance",POWER(Upgrades!$U$6,E293),1)*IF(Upgrades!$T$7="Orbital Resonance",POWER(Upgrades!$U$7,F293),1)*IF(Upgrades!$T$8="Orbital Resonance",POWER(Upgrades!$U$8,G293),1)*IF(Upgrades!$T$9="Orbital Resonance",POWER(Upgrades!$U$9,H293),1)*IF(Upgrades!$T$11="Orbital Resonance",POWER(Upgrades!$U$11,J293),1)*IF(Upgrades!$T$12="Orbital Resonance",POWER(Upgrades!$U$12,K293),1))+(IF(J293=0,0,(Upgrades!$J$11+J293*Upgrades!$K$11)*POWER(Upgrades!$L$11,J293)))*(IF(Upgrades!$T$6="Heliopause",POWER(Upgrades!$U$6,E293),1)*IF(Upgrades!$T$7="Heliopause",POWER(Upgrades!$U$7,F293),1)*IF(Upgrades!$T$8="Heliopause",POWER(Upgrades!$U$8,G293),1)*IF(Upgrades!$T$9="Heliopause",POWER(Upgrades!$U$9,H293),1)*IF(Upgrades!$T$10="Heliopause",POWER(Upgrades!$U$10,I293),1)*IF(Upgrades!$T$12="Heliopause",POWER(Upgrades!$U$12,K293),1))+(IF(K293=0,0,(Upgrades!$J$12+K293*Upgrades!$K$12)*POWER(Upgrades!$L$12,K293)))*(IF(Upgrades!$T$6="First Photons",POWER(Upgrades!$U$6,E293),1)*IF(Upgrades!$T$7="First Photons",POWER(Upgrades!$U$7,F293),1)*IF(Upgrades!$T$8="First Photons",POWER(Upgrades!$U$8,G293),1)*IF(Upgrades!$T$9="First Photons",POWER(Upgrades!$U$9,H293),1)*IF(Upgrades!$T$10="First Photons",POWER(Upgrades!$U$10,I293),1)*IF(Upgrades!$T$11="First Photons",POWER(Upgrades!$U$11,J293),1)))*POWER(Upgrades!$Q$6,E293)*POWER(Upgrades!$Q$7,F293)*POWER(Upgrades!$Q$8,G293)*POWER(Upgrades!$Q$9,H293)*POWER(Upgrades!$Q$10,I293)*POWER(Upgrades!$Q$11,J293)*POWER(Upgrades!$Q$12,K293)</f>
        <v/>
      </c>
      <c r="N293" s="28">
        <f>((IF(E293=0,0,(Upgrades!$G$6+E293*Upgrades!$H$6)*POWER(Upgrades!$I$6,E293)))*(IF(Upgrades!$T$7="Solar Wind",POWER(Upgrades!$U$7,F293),1)*IF(Upgrades!$T$8="Solar Wind",POWER(Upgrades!$U$8,G293),1)*IF(Upgrades!$T$9="Solar Wind",POWER(Upgrades!$U$9,H293),1)*IF(Upgrades!$T$10="Solar Wind",POWER(Upgrades!$U$10,I293),1)*IF(Upgrades!$T$11="Solar Wind",POWER(Upgrades!$U$11,J293),1)*IF(Upgrades!$T$12="Solar Wind",POWER(Upgrades!$U$12,K293),1))+(IF(F293=0,0,(Upgrades!$G$7+F293*Upgrades!$H$7)*POWER(Upgrades!$I$7,F293)))*(IF(Upgrades!$T$6="Asteroid Belt",POWER(Upgrades!$U$6,E293),1)*IF(Upgrades!$T$8="Asteroid Belt",POWER(Upgrades!$U$8,G293),1)*IF(Upgrades!$T$9="Asteroid Belt",POWER(Upgrades!$U$9,H293),1)*IF(Upgrades!$T$10="Asteroid Belt",POWER(Upgrades!$U$10,I293),1)*IF(Upgrades!$T$11="Asteroid Belt",POWER(Upgrades!$U$11,J293),1)*IF(Upgrades!$T$12="Asteroid Belt",POWER(Upgrades!$U$12,K293),1))+(IF(G293=0,0,(Upgrades!$G$8+G293*Upgrades!$H$8)*POWER(Upgrades!$I$8,G293)))*(IF(Upgrades!$T$6="Stellar Coupling",POWER(Upgrades!$U$6,E293),1)*IF(Upgrades!$T$7="Stellar Coupling",POWER(Upgrades!$U$7,F293),1)*IF(Upgrades!$T$9="Stellar Coupling",POWER(Upgrades!$U$9,H293),1)*IF(Upgrades!$T$10="Stellar Coupling",POWER(Upgrades!$U$10,I293),1)*IF(Upgrades!$T$11="Stellar Coupling",POWER(Upgrades!$U$11,J293),1)*IF(Upgrades!$T$12="Stellar Coupling",POWER(Upgrades!$U$12,K293),1))+(IF(H293=0,0,(Upgrades!$G$9+H293*Upgrades!$H$9)*POWER(Upgrades!$I$9,H293)))*(IF(Upgrades!$T$6="Magnetosphere",POWER(Upgrades!$U$6,E293),1)*IF(Upgrades!$T$7="Magnetosphere",POWER(Upgrades!$U$7,F293),1)*IF(Upgrades!$T$8="Magnetosphere",POWER(Upgrades!$U$8,G293),1)*IF(Upgrades!$T$10="Magnetosphere",POWER(Upgrades!$U$10,I293),1)*IF(Upgrades!$T$11="Magnetosphere",POWER(Upgrades!$U$11,J293),1)*IF(Upgrades!$T$12="Magnetosphere",POWER(Upgrades!$U$12,K293),1))+(IF(I293=0,0,(Upgrades!$G$10+I293*Upgrades!$H$10)*POWER(Upgrades!$I$10,I293)))*(IF(Upgrades!$T$6="Orbital Resonance",POWER(Upgrades!$U$6,E293),1)*IF(Upgrades!$T$7="Orbital Resonance",POWER(Upgrades!$U$7,F293),1)*IF(Upgrades!$T$8="Orbital Resonance",POWER(Upgrades!$U$8,G293),1)*IF(Upgrades!$T$9="Orbital Resonance",POWER(Upgrades!$U$9,H293),1)*IF(Upgrades!$T$11="Orbital Resonance",POWER(Upgrades!$U$11,J293),1)*IF(Upgrades!$T$12="Orbital Resonance",POWER(Upgrades!$U$12,K293),1))+(IF(J293=0,0,(Upgrades!$G$11+J293*Upgrades!$H$11)*POWER(Upgrades!$I$11,J293)))*(IF(Upgrades!$T$6="Heliopause",POWER(Upgrades!$U$6,E293),1)*IF(Upgrades!$T$7="Heliopause",POWER(Upgrades!$U$7,F293),1)*IF(Upgrades!$T$8="Heliopause",POWER(Upgrades!$U$8,G293),1)*IF(Upgrades!$T$9="Heliopause",POWER(Upgrades!$U$9,H293),1)*IF(Upgrades!$T$10="Heliopause",POWER(Upgrades!$U$10,I293),1)*IF(Upgrades!$T$12="Heliopause",POWER(Upgrades!$U$12,K293),1))+(IF(K293=0,0,(Upgrades!$G$12+K293*Upgrades!$H$12)*POWER(Upgrades!$I$12,K293)))*(IF(Upgrades!$T$6="First Photons",POWER(Upgrades!$U$6,E293),1)*IF(Upgrades!$T$7="First Photons",POWER(Upgrades!$U$7,F293),1)*IF(Upgrades!$T$8="First Photons",POWER(Upgrades!$U$8,G293),1)*IF(Upgrades!$T$9="First Photons",POWER(Upgrades!$U$9,H293),1)*IF(Upgrades!$T$10="First Photons",POWER(Upgrades!$U$10,I293),1)*IF(Upgrades!$T$11="First Photons",POWER(Upgrades!$U$11,J293),1)))*POWER(Upgrades!$P$6,E293)*POWER(Upgrades!$P$7,F293)*POWER(Upgrades!$P$8,G293)*POWER(Upgrades!$P$9,H293)*POWER(Upgrades!$P$10,I293)*POWER(Upgrades!$P$11,J293)*POWER(Upgrades!$P$12,K293)</f>
        <v/>
      </c>
      <c r="O293" s="28">
        <f>((IF(E293=0,0,(Upgrades!$M$6+E293*Upgrades!$N$6)*POWER(Upgrades!$O$6,E293)))*(IF(Upgrades!$T$7="Solar Wind",POWER(Upgrades!$U$7,F293),1)*IF(Upgrades!$T$8="Solar Wind",POWER(Upgrades!$U$8,G293),1)*IF(Upgrades!$T$9="Solar Wind",POWER(Upgrades!$U$9,H293),1)*IF(Upgrades!$T$10="Solar Wind",POWER(Upgrades!$U$10,I293),1)*IF(Upgrades!$T$11="Solar Wind",POWER(Upgrades!$U$11,J293),1)*IF(Upgrades!$T$12="Solar Wind",POWER(Upgrades!$U$12,K293),1))+(IF(F293=0,0,(Upgrades!$M$7+F293*Upgrades!$N$7)*POWER(Upgrades!$O$7,F293)))*(IF(Upgrades!$T$6="Asteroid Belt",POWER(Upgrades!$U$6,E293),1)*IF(Upgrades!$T$8="Asteroid Belt",POWER(Upgrades!$U$8,G293),1)*IF(Upgrades!$T$9="Asteroid Belt",POWER(Upgrades!$U$9,H293),1)*IF(Upgrades!$T$10="Asteroid Belt",POWER(Upgrades!$U$10,I293),1)*IF(Upgrades!$T$11="Asteroid Belt",POWER(Upgrades!$U$11,J293),1)*IF(Upgrades!$T$12="Asteroid Belt",POWER(Upgrades!$U$12,K293),1))+(IF(G293=0,0,(Upgrades!$M$8+G293*Upgrades!$N$8)*POWER(Upgrades!$O$8,G293)))*(IF(Upgrades!$T$6="Stellar Coupling",POWER(Upgrades!$U$6,E293),1)*IF(Upgrades!$T$7="Stellar Coupling",POWER(Upgrades!$U$7,F293),1)*IF(Upgrades!$T$9="Stellar Coupling",POWER(Upgrades!$U$9,H293),1)*IF(Upgrades!$T$10="Stellar Coupling",POWER(Upgrades!$U$10,I293),1)*IF(Upgrades!$T$11="Stellar Coupling",POWER(Upgrades!$U$11,J293),1)*IF(Upgrades!$T$12="Stellar Coupling",POWER(Upgrades!$U$12,K293),1))+(IF(H293=0,0,(Upgrades!$M$9+H293*Upgrades!$N$9)*POWER(Upgrades!$O$9,H293)))*(IF(Upgrades!$T$6="Magnetosphere",POWER(Upgrades!$U$6,E293),1)*IF(Upgrades!$T$7="Magnetosphere",POWER(Upgrades!$U$7,F293),1)*IF(Upgrades!$T$8="Magnetosphere",POWER(Upgrades!$U$8,G293),1)*IF(Upgrades!$T$10="Magnetosphere",POWER(Upgrades!$U$10,I293),1)*IF(Upgrades!$T$11="Magnetosphere",POWER(Upgrades!$U$11,J293),1)*IF(Upgrades!$T$12="Magnetosphere",POWER(Upgrades!$U$12,K293),1))+(IF(I293=0,0,(Upgrades!$M$10+I293*Upgrades!$N$10)*POWER(Upgrades!$O$10,I293)))*(IF(Upgrades!$T$6="Orbital Resonance",POWER(Upgrades!$U$6,E293),1)*IF(Upgrades!$T$7="Orbital Resonance",POWER(Upgrades!$U$7,F293),1)*IF(Upgrades!$T$8="Orbital Resonance",POWER(Upgrades!$U$8,G293),1)*IF(Upgrades!$T$9="Orbital Resonance",POWER(Upgrades!$U$9,H293),1)*IF(Upgrades!$T$11="Orbital Resonance",POWER(Upgrades!$U$11,J293),1)*IF(Upgrades!$T$12="Orbital Resonance",POWER(Upgrades!$U$12,K293),1))+(IF(J293=0,0,(Upgrades!$M$11+J293*Upgrades!$N$11)*POWER(Upgrades!$O$11,J293)))*(IF(Upgrades!$T$6="Heliopause",POWER(Upgrades!$U$6,E293),1)*IF(Upgrades!$T$7="Heliopause",POWER(Upgrades!$U$7,F293),1)*IF(Upgrades!$T$8="Heliopause",POWER(Upgrades!$U$8,G293),1)*IF(Upgrades!$T$9="Heliopause",POWER(Upgrades!$U$9,H293),1)*IF(Upgrades!$T$10="Heliopause",POWER(Upgrades!$U$10,I293),1)*IF(Upgrades!$T$12="Heliopause",POWER(Upgrades!$U$12,K293),1))+(IF(K293=0,0,(Upgrades!$M$12+K293*Upgrades!$N$12)*POWER(Upgrades!$O$12,K293)))*(IF(Upgrades!$T$6="First Photons",POWER(Upgrades!$U$6,E293),1)*IF(Upgrades!$T$7="First Photons",POWER(Upgrades!$U$7,F293),1)*IF(Upgrades!$T$8="First Photons",POWER(Upgrades!$U$8,G293),1)*IF(Upgrades!$T$9="First Photons",POWER(Upgrades!$U$9,H293),1)*IF(Upgrades!$T$10="First Photons",POWER(Upgrades!$U$10,I293),1)*IF(Upgrades!$T$11="First Photons",POWER(Upgrades!$U$11,J293),1)))*POWER(Upgrades!$R$6,E293)*POWER(Upgrades!$R$7,F293)*POWER(Upgrades!$R$8,G293)*POWER(Upgrades!$R$9,H293)*POWER(Upgrades!$R$10,I293)*POWER(Upgrades!$R$11,J293)*POWER(Upgrades!$R$12,K293)</f>
        <v/>
      </c>
      <c r="P293" s="27">
        <f>IF(L293=1,0,M293*Parameters!$B$10/60*Parameters!$B$11*10)</f>
        <v/>
      </c>
      <c r="Q293" s="27">
        <f>IF(L293=1,0,O293*M293*10)</f>
        <v/>
      </c>
      <c r="R293" s="27">
        <f>IF(L293=1,0,N293*10)</f>
        <v/>
      </c>
      <c r="S293" s="27">
        <f>P293+Q293+R293</f>
        <v/>
      </c>
      <c r="T293" s="22">
        <f>C293+S293</f>
        <v/>
      </c>
      <c r="U293" s="33">
        <f>AX293</f>
        <v/>
      </c>
      <c r="V293" s="22">
        <f>IF(U293="",0,IF(U293="transition",0,IF(U293="SW",AG293,IF(U293="AB",AH293,IF(U293="SC",AI293,IF(U293="Mag",AJ293,IF(U293="OR",AK293,IF(U293="HP",AL293,IF(U293="FP",AM293,0)))))))))</f>
        <v/>
      </c>
      <c r="W293" s="27">
        <f>IF(U293="OR",Upgrades!$F$10,IF(U293="HP",Upgrades!$F$11,IF(U293="transition",-Parameters!$B$18,0)))</f>
        <v/>
      </c>
      <c r="X293" s="22">
        <f>T293-V293</f>
        <v/>
      </c>
      <c r="Y293" s="30">
        <f>M293*Parameters!$B$10/60*Parameters!$B$11+O293*M293+N293</f>
        <v/>
      </c>
      <c r="Z293" s="34">
        <f>IF(U293="transition","→ Tier 2 (Stellar Neighborhood)",IF(U293="FP","First Photons — light begins, system quickens",IF(U293="HP","Heliopause acquired",IF(U293="OR","Orbital Resonance — passive multiplier active",IF(AND(AO293=1,L293=0,AN293&lt;&gt;1),"Cohesion ready (waiting on completionist upgrades)","")))))</f>
        <v/>
      </c>
      <c r="AA293" s="27">
        <f>(IF(E293=0,0,(Upgrades!$G$6+E293*Upgrades!$H$6)*POWER(Upgrades!$I$6,E293)))*(IF(Upgrades!$T$7="Solar Wind",POWER(Upgrades!$U$7,F293),1)*IF(Upgrades!$T$8="Solar Wind",POWER(Upgrades!$U$8,G293),1)*IF(Upgrades!$T$9="Solar Wind",POWER(Upgrades!$U$9,H293),1)*IF(Upgrades!$T$10="Solar Wind",POWER(Upgrades!$U$10,I293),1)*IF(Upgrades!$T$11="Solar Wind",POWER(Upgrades!$U$11,J293),1)*IF(Upgrades!$T$12="Solar Wind",POWER(Upgrades!$U$12,K293),1))*POWER(Upgrades!$P$6,E293)*POWER(Upgrades!$P$7,F293)*POWER(Upgrades!$P$8,G293)*POWER(Upgrades!$P$9,H293)*POWER(Upgrades!$P$10,I293)*POWER(Upgrades!$P$11,J293)*POWER(Upgrades!$P$12,K293)*60</f>
        <v/>
      </c>
      <c r="AB293" s="27">
        <f>(IF(F293=0,0,(Upgrades!$G$7+F293*Upgrades!$H$7)*POWER(Upgrades!$I$7,F293)))*(IF(Upgrades!$T$6="Asteroid Belt",POWER(Upgrades!$U$6,E293),1)*IF(Upgrades!$T$8="Asteroid Belt",POWER(Upgrades!$U$8,G293),1)*IF(Upgrades!$T$9="Asteroid Belt",POWER(Upgrades!$U$9,H293),1)*IF(Upgrades!$T$10="Asteroid Belt",POWER(Upgrades!$U$10,I293),1)*IF(Upgrades!$T$11="Asteroid Belt",POWER(Upgrades!$U$11,J293),1)*IF(Upgrades!$T$12="Asteroid Belt",POWER(Upgrades!$U$12,K293),1))*POWER(Upgrades!$P$6,E293)*POWER(Upgrades!$P$7,F293)*POWER(Upgrades!$P$8,G293)*POWER(Upgrades!$P$9,H293)*POWER(Upgrades!$P$10,I293)*POWER(Upgrades!$P$11,J293)*POWER(Upgrades!$P$12,K293)*60</f>
        <v/>
      </c>
      <c r="AC293" s="27">
        <f>(IF(G293=0,0,(Upgrades!$J$8+G293*Upgrades!$K$8)*POWER(Upgrades!$L$8,G293)))*(IF(Upgrades!$T$6="Stellar Coupling",POWER(Upgrades!$U$6,E293),1)*IF(Upgrades!$T$7="Stellar Coupling",POWER(Upgrades!$U$7,F293),1)*IF(Upgrades!$T$9="Stellar Coupling",POWER(Upgrades!$U$9,H293),1)*IF(Upgrades!$T$10="Stellar Coupling",POWER(Upgrades!$U$10,I293),1)*IF(Upgrades!$T$11="Stellar Coupling",POWER(Upgrades!$U$11,J293),1)*IF(Upgrades!$T$12="Stellar Coupling",POWER(Upgrades!$U$12,K293),1))*POWER(Upgrades!$Q$6,E293)*POWER(Upgrades!$Q$7,F293)*POWER(Upgrades!$Q$8,G293)*POWER(Upgrades!$Q$9,H293)*POWER(Upgrades!$Q$10,I293)*POWER(Upgrades!$Q$11,J293)*POWER(Upgrades!$Q$12,K293)*Parameters!$B$10*Parameters!$B$11</f>
        <v/>
      </c>
      <c r="AD293" s="27">
        <f>(IF(H293=0,0,(Upgrades!$G$9+H293*Upgrades!$H$9)*POWER(Upgrades!$I$9,H293)))*(IF(Upgrades!$T$6="Magnetosphere",POWER(Upgrades!$U$6,E293),1)*IF(Upgrades!$T$7="Magnetosphere",POWER(Upgrades!$U$7,F293),1)*IF(Upgrades!$T$8="Magnetosphere",POWER(Upgrades!$U$8,G293),1)*IF(Upgrades!$T$10="Magnetosphere",POWER(Upgrades!$U$10,I293),1)*IF(Upgrades!$T$11="Magnetosphere",POWER(Upgrades!$U$11,J293),1)*IF(Upgrades!$T$12="Magnetosphere",POWER(Upgrades!$U$12,K293),1))*POWER(Upgrades!$P$6,E293)*POWER(Upgrades!$P$7,F293)*POWER(Upgrades!$P$8,G293)*POWER(Upgrades!$P$9,H293)*POWER(Upgrades!$P$10,I293)*POWER(Upgrades!$P$11,J293)*POWER(Upgrades!$P$12,K293)*60</f>
        <v/>
      </c>
      <c r="AE293" s="27">
        <f>(IF(K293=0,0,(Upgrades!$G$12+K293*Upgrades!$H$12)*POWER(Upgrades!$I$12,K293)))*(IF(Upgrades!$T$6="First Photons",POWER(Upgrades!$U$6,E293),1)*IF(Upgrades!$T$7="First Photons",POWER(Upgrades!$U$7,F293),1)*IF(Upgrades!$T$8="First Photons",POWER(Upgrades!$U$8,G293),1)*IF(Upgrades!$T$9="First Photons",POWER(Upgrades!$U$9,H293),1)*IF(Upgrades!$T$10="First Photons",POWER(Upgrades!$U$10,I293),1)*IF(Upgrades!$T$11="First Photons",POWER(Upgrades!$U$11,J293),1))*POWER(Upgrades!$P$6,E293)*POWER(Upgrades!$P$7,F293)*POWER(Upgrades!$P$8,G293)*POWER(Upgrades!$P$9,H293)*POWER(Upgrades!$P$10,I293)*POWER(Upgrades!$P$11,J293)*POWER(Upgrades!$P$12,K293)*60</f>
        <v/>
      </c>
      <c r="AF293" s="27">
        <f>Parameters!$B$9*POWER(Upgrades!$Q$6,E293)*POWER(Upgrades!$Q$7,F293)*POWER(Upgrades!$Q$8,G293)*POWER(Upgrades!$Q$9,H293)*POWER(Upgrades!$Q$10,I293)*POWER(Upgrades!$Q$11,J293)*POWER(Upgrades!$Q$12,K293)*(Parameters!$B$10*Parameters!$B$11+O293*60)</f>
        <v/>
      </c>
      <c r="AG293" s="22">
        <f>IF(E293&gt;=Upgrades!$E$6,"",Upgrades!$C$6*POWER(Upgrades!$D$6,E293))</f>
        <v/>
      </c>
      <c r="AH293" s="22">
        <f>IF(F293&gt;=Upgrades!$E$7,"",Upgrades!$C$7*POWER(Upgrades!$D$7,F293))</f>
        <v/>
      </c>
      <c r="AI293" s="22">
        <f>IF(G293&gt;=Upgrades!$E$8,"",Upgrades!$C$8*POWER(Upgrades!$D$8,G293))</f>
        <v/>
      </c>
      <c r="AJ293" s="22">
        <f>IF(H293&gt;=Upgrades!$E$9,"",Upgrades!$C$9*POWER(Upgrades!$D$9,H293))</f>
        <v/>
      </c>
      <c r="AK293" s="22">
        <f>IF(I293&gt;=Upgrades!$E$10,"",Upgrades!$C$10*POWER(Upgrades!$D$10,I293))</f>
        <v/>
      </c>
      <c r="AL293" s="22">
        <f>IF(J293&gt;=Upgrades!$E$11,"",Upgrades!$C$11*POWER(Upgrades!$D$11,J293))</f>
        <v/>
      </c>
      <c r="AM293" s="22">
        <f>IF(K293&gt;=Upgrades!$E$12,"",Upgrades!$C$12*POWER(Upgrades!$D$12,K293))</f>
        <v/>
      </c>
      <c r="AN293" s="26">
        <f>IF(AND(D293&gt;=Parameters!$B$18,(H293&gt;=Upgrades!$E$9)*(K293&gt;=Upgrades!$E$12)=1,L293=0),1,"")</f>
        <v/>
      </c>
      <c r="AO293" s="26">
        <f>IF(AND(D293&gt;=Parameters!$B$18,L293=0),1,"")</f>
        <v/>
      </c>
      <c r="AP293" s="22">
        <f>MIN(IF(ISNUMBER(AK293),AK293,9E15),IF(ISNUMBER(AL293),AL293,9E15),IF(ISNUMBER(AM293),AM293,9E15))</f>
        <v/>
      </c>
      <c r="AQ293" s="22">
        <f>MIN(IF(ISNUMBER(AG293),AG293,9E15),IF(ISNUMBER(AH293),AH293,9E15),IF(ISNUMBER(AI293),AI293,9E15),IF(ISNUMBER(AJ293),AJ293,9E15))</f>
        <v/>
      </c>
      <c r="AR293" s="29">
        <f>IF(AW293&gt;Parameters!$B$21*(MAX(IF(AND(NOT(AND(AO293=1,AN293&lt;&gt;1)),ISNUMBER(AG293),AG293&lt;=T293),AS293,0),IF(AND(NOT(AND(AO293=1,AN293&lt;&gt;1)),ISNUMBER(AH293),AH293&lt;=T293),AT293,0),IF(AND(NOT(AND(AO293=1,AN293&lt;&gt;1)),ISNUMBER(AI293),AI293&lt;=T293),AU293,0),IF(AND(ISNUMBER(AJ293),AJ293&lt;=T293),AV293,0))),TRUE,FALSE)</f>
        <v/>
      </c>
      <c r="AS293" s="32">
        <f>IFERROR(Upgrades!$H$6*(POWER(Upgrades!$P$6,E293)*POWER(Upgrades!$P$7,F293)*POWER(Upgrades!$P$8,G293)*POWER(Upgrades!$P$9,H293)*POWER(Upgrades!$P$10,I293)*POWER(Upgrades!$P$11,J293)*POWER(Upgrades!$P$12,K293))*(IF(Upgrades!$T$7="Solar Wind",POWER(Upgrades!$U$7,F293),1)*IF(Upgrades!$T$8="Solar Wind",POWER(Upgrades!$U$8,G293),1)*IF(Upgrades!$T$9="Solar Wind",POWER(Upgrades!$U$9,H293),1)*IF(Upgrades!$T$10="Solar Wind",POWER(Upgrades!$U$10,I293),1)*IF(Upgrades!$T$11="Solar Wind",POWER(Upgrades!$U$11,J293),1)*IF(Upgrades!$T$12="Solar Wind",POWER(Upgrades!$U$12,K293),1))/AG293,0)</f>
        <v/>
      </c>
      <c r="AT293" s="32">
        <f>IFERROR(Upgrades!$H$7*(POWER(Upgrades!$P$6,E293)*POWER(Upgrades!$P$7,F293)*POWER(Upgrades!$P$8,G293)*POWER(Upgrades!$P$9,H293)*POWER(Upgrades!$P$10,I293)*POWER(Upgrades!$P$11,J293)*POWER(Upgrades!$P$12,K293))*(IF(Upgrades!$T$6="Asteroid Belt",POWER(Upgrades!$U$6,E293),1)*IF(Upgrades!$T$8="Asteroid Belt",POWER(Upgrades!$U$8,G293),1)*IF(Upgrades!$T$9="Asteroid Belt",POWER(Upgrades!$U$9,H293),1)*IF(Upgrades!$T$10="Asteroid Belt",POWER(Upgrades!$U$10,I293),1)*IF(Upgrades!$T$11="Asteroid Belt",POWER(Upgrades!$U$11,J293),1)*IF(Upgrades!$T$12="Asteroid Belt",POWER(Upgrades!$U$12,K293),1))/AH293,0)</f>
        <v/>
      </c>
      <c r="AU293" s="32">
        <f>IFERROR(Upgrades!$K$8*(POWER(Upgrades!$Q$6,E293)*POWER(Upgrades!$Q$7,F293)*POWER(Upgrades!$Q$8,G293)*POWER(Upgrades!$Q$9,H293)*POWER(Upgrades!$Q$10,I293)*POWER(Upgrades!$Q$11,J293)*POWER(Upgrades!$Q$12,K293))*(IF(Upgrades!$T$6="Stellar Coupling",POWER(Upgrades!$U$6,E293),1)*IF(Upgrades!$T$7="Stellar Coupling",POWER(Upgrades!$U$7,F293),1)*IF(Upgrades!$T$9="Stellar Coupling",POWER(Upgrades!$U$9,H293),1)*IF(Upgrades!$T$10="Stellar Coupling",POWER(Upgrades!$U$10,I293),1)*IF(Upgrades!$T$11="Stellar Coupling",POWER(Upgrades!$U$11,J293),1)*IF(Upgrades!$T$12="Stellar Coupling",POWER(Upgrades!$U$12,K293),1))*Parameters!$B$10*Parameters!$B$11/60/AI293,0)</f>
        <v/>
      </c>
      <c r="AV293" s="32">
        <f>IFERROR(Upgrades!$H$9*(POWER(Upgrades!$P$6,E293)*POWER(Upgrades!$P$7,F293)*POWER(Upgrades!$P$8,G293)*POWER(Upgrades!$P$9,H293)*POWER(Upgrades!$P$10,I293)*POWER(Upgrades!$P$11,J293)*POWER(Upgrades!$P$12,K293))*(IF(Upgrades!$T$6="Magnetosphere",POWER(Upgrades!$U$6,E293),1)*IF(Upgrades!$T$7="Magnetosphere",POWER(Upgrades!$U$7,F293),1)*IF(Upgrades!$T$8="Magnetosphere",POWER(Upgrades!$U$8,G293),1)*IF(Upgrades!$T$10="Magnetosphere",POWER(Upgrades!$U$10,I293),1)*IF(Upgrades!$T$11="Magnetosphere",POWER(Upgrades!$U$11,J293),1)*IF(Upgrades!$T$12="Magnetosphere",POWER(Upgrades!$U$12,K293),1))/AJ293,0)</f>
        <v/>
      </c>
      <c r="AW293" s="32">
        <f>MAX(IF(I293&gt;0,0,IFERROR(0.25*N293/Upgrades!$C$10,0)),IF(J293&gt;0,0,IFERROR(0.5*((IF(G293=0,0,(Upgrades!$J$8+G293*Upgrades!$K$8)*POWER(Upgrades!$L$8,G293)))*(IF(Upgrades!$T$6="Stellar Coupling",POWER(Upgrades!$U$6,E293),1)*IF(Upgrades!$T$7="Stellar Coupling",POWER(Upgrades!$U$7,F293),1)*IF(Upgrades!$T$9="Stellar Coupling",POWER(Upgrades!$U$9,H293),1)*IF(Upgrades!$T$10="Stellar Coupling",POWER(Upgrades!$U$10,I293),1)*IF(Upgrades!$T$11="Stellar Coupling",POWER(Upgrades!$U$11,J293),1)*IF(Upgrades!$T$12="Stellar Coupling",POWER(Upgrades!$U$12,K293),1))*(POWER(Upgrades!$Q$6,E293)*POWER(Upgrades!$Q$7,F293)*POWER(Upgrades!$Q$8,G293)*POWER(Upgrades!$Q$9,H293)*POWER(Upgrades!$Q$10,I293)*POWER(Upgrades!$Q$11,J293)*POWER(Upgrades!$Q$12,K293))*Parameters!$B$10*Parameters!$B$11/60)/Upgrades!$C$11,0)),IF(K293&gt;0,0,IFERROR((1.0*(POWER(Upgrades!$P$6,E293)*POWER(Upgrades!$P$7,F293)*POWER(Upgrades!$P$8,G293)*POWER(Upgrades!$P$9,H293)*POWER(Upgrades!$P$10,I293)*POWER(Upgrades!$P$11,J293)*POWER(Upgrades!$P$12,K293))+0.20*M293*Parameters!$B$10*Parameters!$B$11/60)/Upgrades!$C$12,0)),IF(AND(ISNUMBER(AG293),AG293&gt;T293),AS293,0),IF(AND(ISNUMBER(AH293),AH293&gt;T293),AT293,0),IF(AND(ISNUMBER(AI293),AI293&gt;T293),AU293,0),IF(AND(ISNUMBER(AJ293),AJ293&gt;T293),AV293,0))</f>
        <v/>
      </c>
      <c r="AX293" s="29">
        <f>IF(AN293=1,"transition",IF(MIN(IF(AND(I293=0,ISNUMBER(AK293),AK293&lt;=T293),AK293,9E15),IF(AND(J293=0,ISNUMBER(AL293),AL293&lt;=T293),AL293,9E15),IF(AND(K293=0,ISNUMBER(AM293),AM293&lt;=T293),AM293,9E15))&lt;9E15,IF(AND(AND(I293=0,ISNUMBER(AK293),AK293&lt;=T293),AK293=MIN(IF(AND(I293=0,ISNUMBER(AK293),AK293&lt;=T293),AK293,9E15),IF(AND(J293=0,ISNUMBER(AL293),AL293&lt;=T293),AL293,9E15),IF(AND(K293=0,ISNUMBER(AM293),AM293&lt;=T293),AM293,9E15))),"OR",IF(AND(AND(J293=0,ISNUMBER(AL293),AL293&lt;=T293),AL293=MIN(IF(AND(I293=0,ISNUMBER(AK293),AK293&lt;=T293),AK293,9E15),IF(AND(J293=0,ISNUMBER(AL293),AL293&lt;=T293),AL293,9E15),IF(AND(K293=0,ISNUMBER(AM293),AM293&lt;=T293),AM293,9E15))),"HP","FP")),IF(AR293=TRUE,"",IF(MAX(IF(AND(NOT(AND(AO293=1,AN293&lt;&gt;1)),ISNUMBER(AG293),AG293&lt;=T293),AS293,0),IF(AND(NOT(AND(AO293=1,AN293&lt;&gt;1)),ISNUMBER(AH293),AH293&lt;=T293),AT293,0),IF(AND(NOT(AND(AO293=1,AN293&lt;&gt;1)),ISNUMBER(AI293),AI293&lt;=T293),AU293,0),IF(AND(ISNUMBER(AJ293),AJ293&lt;=T293),AV293,0))&lt;=0,"",IF(AND(IF(AND(NOT(AND(AO293=1,AN293&lt;&gt;1)),ISNUMBER(AG293),AG293&lt;=T293),AS293,0)&gt;0,IF(AND(NOT(AND(AO293=1,AN293&lt;&gt;1)),ISNUMBER(AG293),AG293&lt;=T293),AS293,0)=MAX(IF(AND(NOT(AND(AO293=1,AN293&lt;&gt;1)),ISNUMBER(AG293),AG293&lt;=T293),AS293,0),IF(AND(NOT(AND(AO293=1,AN293&lt;&gt;1)),ISNUMBER(AH293),AH293&lt;=T293),AT293,0),IF(AND(NOT(AND(AO293=1,AN293&lt;&gt;1)),ISNUMBER(AI293),AI293&lt;=T293),AU293,0),IF(AND(ISNUMBER(AJ293),AJ293&lt;=T293),AV293,0))),"SW",IF(AND(IF(AND(NOT(AND(AO293=1,AN293&lt;&gt;1)),ISNUMBER(AH293),AH293&lt;=T293),AT293,0)&gt;0,IF(AND(NOT(AND(AO293=1,AN293&lt;&gt;1)),ISNUMBER(AH293),AH293&lt;=T293),AT293,0)=MAX(IF(AND(NOT(AND(AO293=1,AN293&lt;&gt;1)),ISNUMBER(AG293),AG293&lt;=T293),AS293,0),IF(AND(NOT(AND(AO293=1,AN293&lt;&gt;1)),ISNUMBER(AH293),AH293&lt;=T293),AT293,0),IF(AND(NOT(AND(AO293=1,AN293&lt;&gt;1)),ISNUMBER(AI293),AI293&lt;=T293),AU293,0),IF(AND(ISNUMBER(AJ293),AJ293&lt;=T293),AV293,0))),"AB",IF(AND(IF(AND(NOT(AND(AO293=1,AN293&lt;&gt;1)),ISNUMBER(AI293),AI293&lt;=T293),AU293,0)&gt;0,IF(AND(NOT(AND(AO293=1,AN293&lt;&gt;1)),ISNUMBER(AI293),AI293&lt;=T293),AU293,0)=MAX(IF(AND(NOT(AND(AO293=1,AN293&lt;&gt;1)),ISNUMBER(AG293),AG293&lt;=T293),AS293,0),IF(AND(NOT(AND(AO293=1,AN293&lt;&gt;1)),ISNUMBER(AH293),AH293&lt;=T293),AT293,0),IF(AND(NOT(AND(AO293=1,AN293&lt;&gt;1)),ISNUMBER(AI293),AI293&lt;=T293),AU293,0),IF(AND(ISNUMBER(AJ293),AJ293&lt;=T293),AV293,0))),"SC","Mag")))))))</f>
        <v/>
      </c>
    </row>
    <row r="294">
      <c r="A294" s="26" t="n">
        <v>289</v>
      </c>
      <c r="B294" s="27">
        <f>A294*10/60</f>
        <v/>
      </c>
      <c r="C294" s="22">
        <f>X293</f>
        <v/>
      </c>
      <c r="D294" s="27">
        <f>D293+W293</f>
        <v/>
      </c>
      <c r="E294" s="26">
        <f>E293+IF(U293="SW",1,0)</f>
        <v/>
      </c>
      <c r="F294" s="26">
        <f>F293+IF(U293="AB",1,0)</f>
        <v/>
      </c>
      <c r="G294" s="26">
        <f>G293+IF(U293="SC",1,0)</f>
        <v/>
      </c>
      <c r="H294" s="26">
        <f>H293+IF(U293="Mag",1,0)</f>
        <v/>
      </c>
      <c r="I294" s="26">
        <f>MAX(I293,IF(U293="OR",1,0))</f>
        <v/>
      </c>
      <c r="J294" s="26">
        <f>MAX(J293,IF(U293="HP",1,0))</f>
        <v/>
      </c>
      <c r="K294" s="26">
        <f>MAX(K293,IF(U293="FP",1,0))</f>
        <v/>
      </c>
      <c r="L294" s="26">
        <f>MAX(L293,IF(U293="transition",1,0))</f>
        <v/>
      </c>
      <c r="M294" s="28">
        <f>(Parameters!$B$9+(IF(E294=0,0,(Upgrades!$J$6+E294*Upgrades!$K$6)*POWER(Upgrades!$L$6,E294)))*(IF(Upgrades!$T$7="Solar Wind",POWER(Upgrades!$U$7,F294),1)*IF(Upgrades!$T$8="Solar Wind",POWER(Upgrades!$U$8,G294),1)*IF(Upgrades!$T$9="Solar Wind",POWER(Upgrades!$U$9,H294),1)*IF(Upgrades!$T$10="Solar Wind",POWER(Upgrades!$U$10,I294),1)*IF(Upgrades!$T$11="Solar Wind",POWER(Upgrades!$U$11,J294),1)*IF(Upgrades!$T$12="Solar Wind",POWER(Upgrades!$U$12,K294),1))+(IF(F294=0,0,(Upgrades!$J$7+F294*Upgrades!$K$7)*POWER(Upgrades!$L$7,F294)))*(IF(Upgrades!$T$6="Asteroid Belt",POWER(Upgrades!$U$6,E294),1)*IF(Upgrades!$T$8="Asteroid Belt",POWER(Upgrades!$U$8,G294),1)*IF(Upgrades!$T$9="Asteroid Belt",POWER(Upgrades!$U$9,H294),1)*IF(Upgrades!$T$10="Asteroid Belt",POWER(Upgrades!$U$10,I294),1)*IF(Upgrades!$T$11="Asteroid Belt",POWER(Upgrades!$U$11,J294),1)*IF(Upgrades!$T$12="Asteroid Belt",POWER(Upgrades!$U$12,K294),1))+(IF(G294=0,0,(Upgrades!$J$8+G294*Upgrades!$K$8)*POWER(Upgrades!$L$8,G294)))*(IF(Upgrades!$T$6="Stellar Coupling",POWER(Upgrades!$U$6,E294),1)*IF(Upgrades!$T$7="Stellar Coupling",POWER(Upgrades!$U$7,F294),1)*IF(Upgrades!$T$9="Stellar Coupling",POWER(Upgrades!$U$9,H294),1)*IF(Upgrades!$T$10="Stellar Coupling",POWER(Upgrades!$U$10,I294),1)*IF(Upgrades!$T$11="Stellar Coupling",POWER(Upgrades!$U$11,J294),1)*IF(Upgrades!$T$12="Stellar Coupling",POWER(Upgrades!$U$12,K294),1))+(IF(H294=0,0,(Upgrades!$J$9+H294*Upgrades!$K$9)*POWER(Upgrades!$L$9,H294)))*(IF(Upgrades!$T$6="Magnetosphere",POWER(Upgrades!$U$6,E294),1)*IF(Upgrades!$T$7="Magnetosphere",POWER(Upgrades!$U$7,F294),1)*IF(Upgrades!$T$8="Magnetosphere",POWER(Upgrades!$U$8,G294),1)*IF(Upgrades!$T$10="Magnetosphere",POWER(Upgrades!$U$10,I294),1)*IF(Upgrades!$T$11="Magnetosphere",POWER(Upgrades!$U$11,J294),1)*IF(Upgrades!$T$12="Magnetosphere",POWER(Upgrades!$U$12,K294),1))+(IF(I294=0,0,(Upgrades!$J$10+I294*Upgrades!$K$10)*POWER(Upgrades!$L$10,I294)))*(IF(Upgrades!$T$6="Orbital Resonance",POWER(Upgrades!$U$6,E294),1)*IF(Upgrades!$T$7="Orbital Resonance",POWER(Upgrades!$U$7,F294),1)*IF(Upgrades!$T$8="Orbital Resonance",POWER(Upgrades!$U$8,G294),1)*IF(Upgrades!$T$9="Orbital Resonance",POWER(Upgrades!$U$9,H294),1)*IF(Upgrades!$T$11="Orbital Resonance",POWER(Upgrades!$U$11,J294),1)*IF(Upgrades!$T$12="Orbital Resonance",POWER(Upgrades!$U$12,K294),1))+(IF(J294=0,0,(Upgrades!$J$11+J294*Upgrades!$K$11)*POWER(Upgrades!$L$11,J294)))*(IF(Upgrades!$T$6="Heliopause",POWER(Upgrades!$U$6,E294),1)*IF(Upgrades!$T$7="Heliopause",POWER(Upgrades!$U$7,F294),1)*IF(Upgrades!$T$8="Heliopause",POWER(Upgrades!$U$8,G294),1)*IF(Upgrades!$T$9="Heliopause",POWER(Upgrades!$U$9,H294),1)*IF(Upgrades!$T$10="Heliopause",POWER(Upgrades!$U$10,I294),1)*IF(Upgrades!$T$12="Heliopause",POWER(Upgrades!$U$12,K294),1))+(IF(K294=0,0,(Upgrades!$J$12+K294*Upgrades!$K$12)*POWER(Upgrades!$L$12,K294)))*(IF(Upgrades!$T$6="First Photons",POWER(Upgrades!$U$6,E294),1)*IF(Upgrades!$T$7="First Photons",POWER(Upgrades!$U$7,F294),1)*IF(Upgrades!$T$8="First Photons",POWER(Upgrades!$U$8,G294),1)*IF(Upgrades!$T$9="First Photons",POWER(Upgrades!$U$9,H294),1)*IF(Upgrades!$T$10="First Photons",POWER(Upgrades!$U$10,I294),1)*IF(Upgrades!$T$11="First Photons",POWER(Upgrades!$U$11,J294),1)))*POWER(Upgrades!$Q$6,E294)*POWER(Upgrades!$Q$7,F294)*POWER(Upgrades!$Q$8,G294)*POWER(Upgrades!$Q$9,H294)*POWER(Upgrades!$Q$10,I294)*POWER(Upgrades!$Q$11,J294)*POWER(Upgrades!$Q$12,K294)</f>
        <v/>
      </c>
      <c r="N294" s="28">
        <f>((IF(E294=0,0,(Upgrades!$G$6+E294*Upgrades!$H$6)*POWER(Upgrades!$I$6,E294)))*(IF(Upgrades!$T$7="Solar Wind",POWER(Upgrades!$U$7,F294),1)*IF(Upgrades!$T$8="Solar Wind",POWER(Upgrades!$U$8,G294),1)*IF(Upgrades!$T$9="Solar Wind",POWER(Upgrades!$U$9,H294),1)*IF(Upgrades!$T$10="Solar Wind",POWER(Upgrades!$U$10,I294),1)*IF(Upgrades!$T$11="Solar Wind",POWER(Upgrades!$U$11,J294),1)*IF(Upgrades!$T$12="Solar Wind",POWER(Upgrades!$U$12,K294),1))+(IF(F294=0,0,(Upgrades!$G$7+F294*Upgrades!$H$7)*POWER(Upgrades!$I$7,F294)))*(IF(Upgrades!$T$6="Asteroid Belt",POWER(Upgrades!$U$6,E294),1)*IF(Upgrades!$T$8="Asteroid Belt",POWER(Upgrades!$U$8,G294),1)*IF(Upgrades!$T$9="Asteroid Belt",POWER(Upgrades!$U$9,H294),1)*IF(Upgrades!$T$10="Asteroid Belt",POWER(Upgrades!$U$10,I294),1)*IF(Upgrades!$T$11="Asteroid Belt",POWER(Upgrades!$U$11,J294),1)*IF(Upgrades!$T$12="Asteroid Belt",POWER(Upgrades!$U$12,K294),1))+(IF(G294=0,0,(Upgrades!$G$8+G294*Upgrades!$H$8)*POWER(Upgrades!$I$8,G294)))*(IF(Upgrades!$T$6="Stellar Coupling",POWER(Upgrades!$U$6,E294),1)*IF(Upgrades!$T$7="Stellar Coupling",POWER(Upgrades!$U$7,F294),1)*IF(Upgrades!$T$9="Stellar Coupling",POWER(Upgrades!$U$9,H294),1)*IF(Upgrades!$T$10="Stellar Coupling",POWER(Upgrades!$U$10,I294),1)*IF(Upgrades!$T$11="Stellar Coupling",POWER(Upgrades!$U$11,J294),1)*IF(Upgrades!$T$12="Stellar Coupling",POWER(Upgrades!$U$12,K294),1))+(IF(H294=0,0,(Upgrades!$G$9+H294*Upgrades!$H$9)*POWER(Upgrades!$I$9,H294)))*(IF(Upgrades!$T$6="Magnetosphere",POWER(Upgrades!$U$6,E294),1)*IF(Upgrades!$T$7="Magnetosphere",POWER(Upgrades!$U$7,F294),1)*IF(Upgrades!$T$8="Magnetosphere",POWER(Upgrades!$U$8,G294),1)*IF(Upgrades!$T$10="Magnetosphere",POWER(Upgrades!$U$10,I294),1)*IF(Upgrades!$T$11="Magnetosphere",POWER(Upgrades!$U$11,J294),1)*IF(Upgrades!$T$12="Magnetosphere",POWER(Upgrades!$U$12,K294),1))+(IF(I294=0,0,(Upgrades!$G$10+I294*Upgrades!$H$10)*POWER(Upgrades!$I$10,I294)))*(IF(Upgrades!$T$6="Orbital Resonance",POWER(Upgrades!$U$6,E294),1)*IF(Upgrades!$T$7="Orbital Resonance",POWER(Upgrades!$U$7,F294),1)*IF(Upgrades!$T$8="Orbital Resonance",POWER(Upgrades!$U$8,G294),1)*IF(Upgrades!$T$9="Orbital Resonance",POWER(Upgrades!$U$9,H294),1)*IF(Upgrades!$T$11="Orbital Resonance",POWER(Upgrades!$U$11,J294),1)*IF(Upgrades!$T$12="Orbital Resonance",POWER(Upgrades!$U$12,K294),1))+(IF(J294=0,0,(Upgrades!$G$11+J294*Upgrades!$H$11)*POWER(Upgrades!$I$11,J294)))*(IF(Upgrades!$T$6="Heliopause",POWER(Upgrades!$U$6,E294),1)*IF(Upgrades!$T$7="Heliopause",POWER(Upgrades!$U$7,F294),1)*IF(Upgrades!$T$8="Heliopause",POWER(Upgrades!$U$8,G294),1)*IF(Upgrades!$T$9="Heliopause",POWER(Upgrades!$U$9,H294),1)*IF(Upgrades!$T$10="Heliopause",POWER(Upgrades!$U$10,I294),1)*IF(Upgrades!$T$12="Heliopause",POWER(Upgrades!$U$12,K294),1))+(IF(K294=0,0,(Upgrades!$G$12+K294*Upgrades!$H$12)*POWER(Upgrades!$I$12,K294)))*(IF(Upgrades!$T$6="First Photons",POWER(Upgrades!$U$6,E294),1)*IF(Upgrades!$T$7="First Photons",POWER(Upgrades!$U$7,F294),1)*IF(Upgrades!$T$8="First Photons",POWER(Upgrades!$U$8,G294),1)*IF(Upgrades!$T$9="First Photons",POWER(Upgrades!$U$9,H294),1)*IF(Upgrades!$T$10="First Photons",POWER(Upgrades!$U$10,I294),1)*IF(Upgrades!$T$11="First Photons",POWER(Upgrades!$U$11,J294),1)))*POWER(Upgrades!$P$6,E294)*POWER(Upgrades!$P$7,F294)*POWER(Upgrades!$P$8,G294)*POWER(Upgrades!$P$9,H294)*POWER(Upgrades!$P$10,I294)*POWER(Upgrades!$P$11,J294)*POWER(Upgrades!$P$12,K294)</f>
        <v/>
      </c>
      <c r="O294" s="28">
        <f>((IF(E294=0,0,(Upgrades!$M$6+E294*Upgrades!$N$6)*POWER(Upgrades!$O$6,E294)))*(IF(Upgrades!$T$7="Solar Wind",POWER(Upgrades!$U$7,F294),1)*IF(Upgrades!$T$8="Solar Wind",POWER(Upgrades!$U$8,G294),1)*IF(Upgrades!$T$9="Solar Wind",POWER(Upgrades!$U$9,H294),1)*IF(Upgrades!$T$10="Solar Wind",POWER(Upgrades!$U$10,I294),1)*IF(Upgrades!$T$11="Solar Wind",POWER(Upgrades!$U$11,J294),1)*IF(Upgrades!$T$12="Solar Wind",POWER(Upgrades!$U$12,K294),1))+(IF(F294=0,0,(Upgrades!$M$7+F294*Upgrades!$N$7)*POWER(Upgrades!$O$7,F294)))*(IF(Upgrades!$T$6="Asteroid Belt",POWER(Upgrades!$U$6,E294),1)*IF(Upgrades!$T$8="Asteroid Belt",POWER(Upgrades!$U$8,G294),1)*IF(Upgrades!$T$9="Asteroid Belt",POWER(Upgrades!$U$9,H294),1)*IF(Upgrades!$T$10="Asteroid Belt",POWER(Upgrades!$U$10,I294),1)*IF(Upgrades!$T$11="Asteroid Belt",POWER(Upgrades!$U$11,J294),1)*IF(Upgrades!$T$12="Asteroid Belt",POWER(Upgrades!$U$12,K294),1))+(IF(G294=0,0,(Upgrades!$M$8+G294*Upgrades!$N$8)*POWER(Upgrades!$O$8,G294)))*(IF(Upgrades!$T$6="Stellar Coupling",POWER(Upgrades!$U$6,E294),1)*IF(Upgrades!$T$7="Stellar Coupling",POWER(Upgrades!$U$7,F294),1)*IF(Upgrades!$T$9="Stellar Coupling",POWER(Upgrades!$U$9,H294),1)*IF(Upgrades!$T$10="Stellar Coupling",POWER(Upgrades!$U$10,I294),1)*IF(Upgrades!$T$11="Stellar Coupling",POWER(Upgrades!$U$11,J294),1)*IF(Upgrades!$T$12="Stellar Coupling",POWER(Upgrades!$U$12,K294),1))+(IF(H294=0,0,(Upgrades!$M$9+H294*Upgrades!$N$9)*POWER(Upgrades!$O$9,H294)))*(IF(Upgrades!$T$6="Magnetosphere",POWER(Upgrades!$U$6,E294),1)*IF(Upgrades!$T$7="Magnetosphere",POWER(Upgrades!$U$7,F294),1)*IF(Upgrades!$T$8="Magnetosphere",POWER(Upgrades!$U$8,G294),1)*IF(Upgrades!$T$10="Magnetosphere",POWER(Upgrades!$U$10,I294),1)*IF(Upgrades!$T$11="Magnetosphere",POWER(Upgrades!$U$11,J294),1)*IF(Upgrades!$T$12="Magnetosphere",POWER(Upgrades!$U$12,K294),1))+(IF(I294=0,0,(Upgrades!$M$10+I294*Upgrades!$N$10)*POWER(Upgrades!$O$10,I294)))*(IF(Upgrades!$T$6="Orbital Resonance",POWER(Upgrades!$U$6,E294),1)*IF(Upgrades!$T$7="Orbital Resonance",POWER(Upgrades!$U$7,F294),1)*IF(Upgrades!$T$8="Orbital Resonance",POWER(Upgrades!$U$8,G294),1)*IF(Upgrades!$T$9="Orbital Resonance",POWER(Upgrades!$U$9,H294),1)*IF(Upgrades!$T$11="Orbital Resonance",POWER(Upgrades!$U$11,J294),1)*IF(Upgrades!$T$12="Orbital Resonance",POWER(Upgrades!$U$12,K294),1))+(IF(J294=0,0,(Upgrades!$M$11+J294*Upgrades!$N$11)*POWER(Upgrades!$O$11,J294)))*(IF(Upgrades!$T$6="Heliopause",POWER(Upgrades!$U$6,E294),1)*IF(Upgrades!$T$7="Heliopause",POWER(Upgrades!$U$7,F294),1)*IF(Upgrades!$T$8="Heliopause",POWER(Upgrades!$U$8,G294),1)*IF(Upgrades!$T$9="Heliopause",POWER(Upgrades!$U$9,H294),1)*IF(Upgrades!$T$10="Heliopause",POWER(Upgrades!$U$10,I294),1)*IF(Upgrades!$T$12="Heliopause",POWER(Upgrades!$U$12,K294),1))+(IF(K294=0,0,(Upgrades!$M$12+K294*Upgrades!$N$12)*POWER(Upgrades!$O$12,K294)))*(IF(Upgrades!$T$6="First Photons",POWER(Upgrades!$U$6,E294),1)*IF(Upgrades!$T$7="First Photons",POWER(Upgrades!$U$7,F294),1)*IF(Upgrades!$T$8="First Photons",POWER(Upgrades!$U$8,G294),1)*IF(Upgrades!$T$9="First Photons",POWER(Upgrades!$U$9,H294),1)*IF(Upgrades!$T$10="First Photons",POWER(Upgrades!$U$10,I294),1)*IF(Upgrades!$T$11="First Photons",POWER(Upgrades!$U$11,J294),1)))*POWER(Upgrades!$R$6,E294)*POWER(Upgrades!$R$7,F294)*POWER(Upgrades!$R$8,G294)*POWER(Upgrades!$R$9,H294)*POWER(Upgrades!$R$10,I294)*POWER(Upgrades!$R$11,J294)*POWER(Upgrades!$R$12,K294)</f>
        <v/>
      </c>
      <c r="P294" s="27">
        <f>IF(L294=1,0,M294*Parameters!$B$10/60*Parameters!$B$11*10)</f>
        <v/>
      </c>
      <c r="Q294" s="27">
        <f>IF(L294=1,0,O294*M294*10)</f>
        <v/>
      </c>
      <c r="R294" s="27">
        <f>IF(L294=1,0,N294*10)</f>
        <v/>
      </c>
      <c r="S294" s="27">
        <f>P294+Q294+R294</f>
        <v/>
      </c>
      <c r="T294" s="22">
        <f>C294+S294</f>
        <v/>
      </c>
      <c r="U294" s="33">
        <f>AX294</f>
        <v/>
      </c>
      <c r="V294" s="22">
        <f>IF(U294="",0,IF(U294="transition",0,IF(U294="SW",AG294,IF(U294="AB",AH294,IF(U294="SC",AI294,IF(U294="Mag",AJ294,IF(U294="OR",AK294,IF(U294="HP",AL294,IF(U294="FP",AM294,0)))))))))</f>
        <v/>
      </c>
      <c r="W294" s="27">
        <f>IF(U294="OR",Upgrades!$F$10,IF(U294="HP",Upgrades!$F$11,IF(U294="transition",-Parameters!$B$18,0)))</f>
        <v/>
      </c>
      <c r="X294" s="22">
        <f>T294-V294</f>
        <v/>
      </c>
      <c r="Y294" s="30">
        <f>M294*Parameters!$B$10/60*Parameters!$B$11+O294*M294+N294</f>
        <v/>
      </c>
      <c r="Z294" s="34">
        <f>IF(U294="transition","→ Tier 2 (Stellar Neighborhood)",IF(U294="FP","First Photons — light begins, system quickens",IF(U294="HP","Heliopause acquired",IF(U294="OR","Orbital Resonance — passive multiplier active",IF(AND(AO294=1,L294=0,AN294&lt;&gt;1),"Cohesion ready (waiting on completionist upgrades)","")))))</f>
        <v/>
      </c>
      <c r="AA294" s="27">
        <f>(IF(E294=0,0,(Upgrades!$G$6+E294*Upgrades!$H$6)*POWER(Upgrades!$I$6,E294)))*(IF(Upgrades!$T$7="Solar Wind",POWER(Upgrades!$U$7,F294),1)*IF(Upgrades!$T$8="Solar Wind",POWER(Upgrades!$U$8,G294),1)*IF(Upgrades!$T$9="Solar Wind",POWER(Upgrades!$U$9,H294),1)*IF(Upgrades!$T$10="Solar Wind",POWER(Upgrades!$U$10,I294),1)*IF(Upgrades!$T$11="Solar Wind",POWER(Upgrades!$U$11,J294),1)*IF(Upgrades!$T$12="Solar Wind",POWER(Upgrades!$U$12,K294),1))*POWER(Upgrades!$P$6,E294)*POWER(Upgrades!$P$7,F294)*POWER(Upgrades!$P$8,G294)*POWER(Upgrades!$P$9,H294)*POWER(Upgrades!$P$10,I294)*POWER(Upgrades!$P$11,J294)*POWER(Upgrades!$P$12,K294)*60</f>
        <v/>
      </c>
      <c r="AB294" s="27">
        <f>(IF(F294=0,0,(Upgrades!$G$7+F294*Upgrades!$H$7)*POWER(Upgrades!$I$7,F294)))*(IF(Upgrades!$T$6="Asteroid Belt",POWER(Upgrades!$U$6,E294),1)*IF(Upgrades!$T$8="Asteroid Belt",POWER(Upgrades!$U$8,G294),1)*IF(Upgrades!$T$9="Asteroid Belt",POWER(Upgrades!$U$9,H294),1)*IF(Upgrades!$T$10="Asteroid Belt",POWER(Upgrades!$U$10,I294),1)*IF(Upgrades!$T$11="Asteroid Belt",POWER(Upgrades!$U$11,J294),1)*IF(Upgrades!$T$12="Asteroid Belt",POWER(Upgrades!$U$12,K294),1))*POWER(Upgrades!$P$6,E294)*POWER(Upgrades!$P$7,F294)*POWER(Upgrades!$P$8,G294)*POWER(Upgrades!$P$9,H294)*POWER(Upgrades!$P$10,I294)*POWER(Upgrades!$P$11,J294)*POWER(Upgrades!$P$12,K294)*60</f>
        <v/>
      </c>
      <c r="AC294" s="27">
        <f>(IF(G294=0,0,(Upgrades!$J$8+G294*Upgrades!$K$8)*POWER(Upgrades!$L$8,G294)))*(IF(Upgrades!$T$6="Stellar Coupling",POWER(Upgrades!$U$6,E294),1)*IF(Upgrades!$T$7="Stellar Coupling",POWER(Upgrades!$U$7,F294),1)*IF(Upgrades!$T$9="Stellar Coupling",POWER(Upgrades!$U$9,H294),1)*IF(Upgrades!$T$10="Stellar Coupling",POWER(Upgrades!$U$10,I294),1)*IF(Upgrades!$T$11="Stellar Coupling",POWER(Upgrades!$U$11,J294),1)*IF(Upgrades!$T$12="Stellar Coupling",POWER(Upgrades!$U$12,K294),1))*POWER(Upgrades!$Q$6,E294)*POWER(Upgrades!$Q$7,F294)*POWER(Upgrades!$Q$8,G294)*POWER(Upgrades!$Q$9,H294)*POWER(Upgrades!$Q$10,I294)*POWER(Upgrades!$Q$11,J294)*POWER(Upgrades!$Q$12,K294)*Parameters!$B$10*Parameters!$B$11</f>
        <v/>
      </c>
      <c r="AD294" s="27">
        <f>(IF(H294=0,0,(Upgrades!$G$9+H294*Upgrades!$H$9)*POWER(Upgrades!$I$9,H294)))*(IF(Upgrades!$T$6="Magnetosphere",POWER(Upgrades!$U$6,E294),1)*IF(Upgrades!$T$7="Magnetosphere",POWER(Upgrades!$U$7,F294),1)*IF(Upgrades!$T$8="Magnetosphere",POWER(Upgrades!$U$8,G294),1)*IF(Upgrades!$T$10="Magnetosphere",POWER(Upgrades!$U$10,I294),1)*IF(Upgrades!$T$11="Magnetosphere",POWER(Upgrades!$U$11,J294),1)*IF(Upgrades!$T$12="Magnetosphere",POWER(Upgrades!$U$12,K294),1))*POWER(Upgrades!$P$6,E294)*POWER(Upgrades!$P$7,F294)*POWER(Upgrades!$P$8,G294)*POWER(Upgrades!$P$9,H294)*POWER(Upgrades!$P$10,I294)*POWER(Upgrades!$P$11,J294)*POWER(Upgrades!$P$12,K294)*60</f>
        <v/>
      </c>
      <c r="AE294" s="27">
        <f>(IF(K294=0,0,(Upgrades!$G$12+K294*Upgrades!$H$12)*POWER(Upgrades!$I$12,K294)))*(IF(Upgrades!$T$6="First Photons",POWER(Upgrades!$U$6,E294),1)*IF(Upgrades!$T$7="First Photons",POWER(Upgrades!$U$7,F294),1)*IF(Upgrades!$T$8="First Photons",POWER(Upgrades!$U$8,G294),1)*IF(Upgrades!$T$9="First Photons",POWER(Upgrades!$U$9,H294),1)*IF(Upgrades!$T$10="First Photons",POWER(Upgrades!$U$10,I294),1)*IF(Upgrades!$T$11="First Photons",POWER(Upgrades!$U$11,J294),1))*POWER(Upgrades!$P$6,E294)*POWER(Upgrades!$P$7,F294)*POWER(Upgrades!$P$8,G294)*POWER(Upgrades!$P$9,H294)*POWER(Upgrades!$P$10,I294)*POWER(Upgrades!$P$11,J294)*POWER(Upgrades!$P$12,K294)*60</f>
        <v/>
      </c>
      <c r="AF294" s="27">
        <f>Parameters!$B$9*POWER(Upgrades!$Q$6,E294)*POWER(Upgrades!$Q$7,F294)*POWER(Upgrades!$Q$8,G294)*POWER(Upgrades!$Q$9,H294)*POWER(Upgrades!$Q$10,I294)*POWER(Upgrades!$Q$11,J294)*POWER(Upgrades!$Q$12,K294)*(Parameters!$B$10*Parameters!$B$11+O294*60)</f>
        <v/>
      </c>
      <c r="AG294" s="22">
        <f>IF(E294&gt;=Upgrades!$E$6,"",Upgrades!$C$6*POWER(Upgrades!$D$6,E294))</f>
        <v/>
      </c>
      <c r="AH294" s="22">
        <f>IF(F294&gt;=Upgrades!$E$7,"",Upgrades!$C$7*POWER(Upgrades!$D$7,F294))</f>
        <v/>
      </c>
      <c r="AI294" s="22">
        <f>IF(G294&gt;=Upgrades!$E$8,"",Upgrades!$C$8*POWER(Upgrades!$D$8,G294))</f>
        <v/>
      </c>
      <c r="AJ294" s="22">
        <f>IF(H294&gt;=Upgrades!$E$9,"",Upgrades!$C$9*POWER(Upgrades!$D$9,H294))</f>
        <v/>
      </c>
      <c r="AK294" s="22">
        <f>IF(I294&gt;=Upgrades!$E$10,"",Upgrades!$C$10*POWER(Upgrades!$D$10,I294))</f>
        <v/>
      </c>
      <c r="AL294" s="22">
        <f>IF(J294&gt;=Upgrades!$E$11,"",Upgrades!$C$11*POWER(Upgrades!$D$11,J294))</f>
        <v/>
      </c>
      <c r="AM294" s="22">
        <f>IF(K294&gt;=Upgrades!$E$12,"",Upgrades!$C$12*POWER(Upgrades!$D$12,K294))</f>
        <v/>
      </c>
      <c r="AN294" s="26">
        <f>IF(AND(D294&gt;=Parameters!$B$18,(H294&gt;=Upgrades!$E$9)*(K294&gt;=Upgrades!$E$12)=1,L294=0),1,"")</f>
        <v/>
      </c>
      <c r="AO294" s="26">
        <f>IF(AND(D294&gt;=Parameters!$B$18,L294=0),1,"")</f>
        <v/>
      </c>
      <c r="AP294" s="22">
        <f>MIN(IF(ISNUMBER(AK294),AK294,9E15),IF(ISNUMBER(AL294),AL294,9E15),IF(ISNUMBER(AM294),AM294,9E15))</f>
        <v/>
      </c>
      <c r="AQ294" s="22">
        <f>MIN(IF(ISNUMBER(AG294),AG294,9E15),IF(ISNUMBER(AH294),AH294,9E15),IF(ISNUMBER(AI294),AI294,9E15),IF(ISNUMBER(AJ294),AJ294,9E15))</f>
        <v/>
      </c>
      <c r="AR294" s="29">
        <f>IF(AW294&gt;Parameters!$B$21*(MAX(IF(AND(NOT(AND(AO294=1,AN294&lt;&gt;1)),ISNUMBER(AG294),AG294&lt;=T294),AS294,0),IF(AND(NOT(AND(AO294=1,AN294&lt;&gt;1)),ISNUMBER(AH294),AH294&lt;=T294),AT294,0),IF(AND(NOT(AND(AO294=1,AN294&lt;&gt;1)),ISNUMBER(AI294),AI294&lt;=T294),AU294,0),IF(AND(ISNUMBER(AJ294),AJ294&lt;=T294),AV294,0))),TRUE,FALSE)</f>
        <v/>
      </c>
      <c r="AS294" s="32">
        <f>IFERROR(Upgrades!$H$6*(POWER(Upgrades!$P$6,E294)*POWER(Upgrades!$P$7,F294)*POWER(Upgrades!$P$8,G294)*POWER(Upgrades!$P$9,H294)*POWER(Upgrades!$P$10,I294)*POWER(Upgrades!$P$11,J294)*POWER(Upgrades!$P$12,K294))*(IF(Upgrades!$T$7="Solar Wind",POWER(Upgrades!$U$7,F294),1)*IF(Upgrades!$T$8="Solar Wind",POWER(Upgrades!$U$8,G294),1)*IF(Upgrades!$T$9="Solar Wind",POWER(Upgrades!$U$9,H294),1)*IF(Upgrades!$T$10="Solar Wind",POWER(Upgrades!$U$10,I294),1)*IF(Upgrades!$T$11="Solar Wind",POWER(Upgrades!$U$11,J294),1)*IF(Upgrades!$T$12="Solar Wind",POWER(Upgrades!$U$12,K294),1))/AG294,0)</f>
        <v/>
      </c>
      <c r="AT294" s="32">
        <f>IFERROR(Upgrades!$H$7*(POWER(Upgrades!$P$6,E294)*POWER(Upgrades!$P$7,F294)*POWER(Upgrades!$P$8,G294)*POWER(Upgrades!$P$9,H294)*POWER(Upgrades!$P$10,I294)*POWER(Upgrades!$P$11,J294)*POWER(Upgrades!$P$12,K294))*(IF(Upgrades!$T$6="Asteroid Belt",POWER(Upgrades!$U$6,E294),1)*IF(Upgrades!$T$8="Asteroid Belt",POWER(Upgrades!$U$8,G294),1)*IF(Upgrades!$T$9="Asteroid Belt",POWER(Upgrades!$U$9,H294),1)*IF(Upgrades!$T$10="Asteroid Belt",POWER(Upgrades!$U$10,I294),1)*IF(Upgrades!$T$11="Asteroid Belt",POWER(Upgrades!$U$11,J294),1)*IF(Upgrades!$T$12="Asteroid Belt",POWER(Upgrades!$U$12,K294),1))/AH294,0)</f>
        <v/>
      </c>
      <c r="AU294" s="32">
        <f>IFERROR(Upgrades!$K$8*(POWER(Upgrades!$Q$6,E294)*POWER(Upgrades!$Q$7,F294)*POWER(Upgrades!$Q$8,G294)*POWER(Upgrades!$Q$9,H294)*POWER(Upgrades!$Q$10,I294)*POWER(Upgrades!$Q$11,J294)*POWER(Upgrades!$Q$12,K294))*(IF(Upgrades!$T$6="Stellar Coupling",POWER(Upgrades!$U$6,E294),1)*IF(Upgrades!$T$7="Stellar Coupling",POWER(Upgrades!$U$7,F294),1)*IF(Upgrades!$T$9="Stellar Coupling",POWER(Upgrades!$U$9,H294),1)*IF(Upgrades!$T$10="Stellar Coupling",POWER(Upgrades!$U$10,I294),1)*IF(Upgrades!$T$11="Stellar Coupling",POWER(Upgrades!$U$11,J294),1)*IF(Upgrades!$T$12="Stellar Coupling",POWER(Upgrades!$U$12,K294),1))*Parameters!$B$10*Parameters!$B$11/60/AI294,0)</f>
        <v/>
      </c>
      <c r="AV294" s="32">
        <f>IFERROR(Upgrades!$H$9*(POWER(Upgrades!$P$6,E294)*POWER(Upgrades!$P$7,F294)*POWER(Upgrades!$P$8,G294)*POWER(Upgrades!$P$9,H294)*POWER(Upgrades!$P$10,I294)*POWER(Upgrades!$P$11,J294)*POWER(Upgrades!$P$12,K294))*(IF(Upgrades!$T$6="Magnetosphere",POWER(Upgrades!$U$6,E294),1)*IF(Upgrades!$T$7="Magnetosphere",POWER(Upgrades!$U$7,F294),1)*IF(Upgrades!$T$8="Magnetosphere",POWER(Upgrades!$U$8,G294),1)*IF(Upgrades!$T$10="Magnetosphere",POWER(Upgrades!$U$10,I294),1)*IF(Upgrades!$T$11="Magnetosphere",POWER(Upgrades!$U$11,J294),1)*IF(Upgrades!$T$12="Magnetosphere",POWER(Upgrades!$U$12,K294),1))/AJ294,0)</f>
        <v/>
      </c>
      <c r="AW294" s="32">
        <f>MAX(IF(I294&gt;0,0,IFERROR(0.25*N294/Upgrades!$C$10,0)),IF(J294&gt;0,0,IFERROR(0.5*((IF(G294=0,0,(Upgrades!$J$8+G294*Upgrades!$K$8)*POWER(Upgrades!$L$8,G294)))*(IF(Upgrades!$T$6="Stellar Coupling",POWER(Upgrades!$U$6,E294),1)*IF(Upgrades!$T$7="Stellar Coupling",POWER(Upgrades!$U$7,F294),1)*IF(Upgrades!$T$9="Stellar Coupling",POWER(Upgrades!$U$9,H294),1)*IF(Upgrades!$T$10="Stellar Coupling",POWER(Upgrades!$U$10,I294),1)*IF(Upgrades!$T$11="Stellar Coupling",POWER(Upgrades!$U$11,J294),1)*IF(Upgrades!$T$12="Stellar Coupling",POWER(Upgrades!$U$12,K294),1))*(POWER(Upgrades!$Q$6,E294)*POWER(Upgrades!$Q$7,F294)*POWER(Upgrades!$Q$8,G294)*POWER(Upgrades!$Q$9,H294)*POWER(Upgrades!$Q$10,I294)*POWER(Upgrades!$Q$11,J294)*POWER(Upgrades!$Q$12,K294))*Parameters!$B$10*Parameters!$B$11/60)/Upgrades!$C$11,0)),IF(K294&gt;0,0,IFERROR((1.0*(POWER(Upgrades!$P$6,E294)*POWER(Upgrades!$P$7,F294)*POWER(Upgrades!$P$8,G294)*POWER(Upgrades!$P$9,H294)*POWER(Upgrades!$P$10,I294)*POWER(Upgrades!$P$11,J294)*POWER(Upgrades!$P$12,K294))+0.20*M294*Parameters!$B$10*Parameters!$B$11/60)/Upgrades!$C$12,0)),IF(AND(ISNUMBER(AG294),AG294&gt;T294),AS294,0),IF(AND(ISNUMBER(AH294),AH294&gt;T294),AT294,0),IF(AND(ISNUMBER(AI294),AI294&gt;T294),AU294,0),IF(AND(ISNUMBER(AJ294),AJ294&gt;T294),AV294,0))</f>
        <v/>
      </c>
      <c r="AX294" s="29">
        <f>IF(AN294=1,"transition",IF(MIN(IF(AND(I294=0,ISNUMBER(AK294),AK294&lt;=T294),AK294,9E15),IF(AND(J294=0,ISNUMBER(AL294),AL294&lt;=T294),AL294,9E15),IF(AND(K294=0,ISNUMBER(AM294),AM294&lt;=T294),AM294,9E15))&lt;9E15,IF(AND(AND(I294=0,ISNUMBER(AK294),AK294&lt;=T294),AK294=MIN(IF(AND(I294=0,ISNUMBER(AK294),AK294&lt;=T294),AK294,9E15),IF(AND(J294=0,ISNUMBER(AL294),AL294&lt;=T294),AL294,9E15),IF(AND(K294=0,ISNUMBER(AM294),AM294&lt;=T294),AM294,9E15))),"OR",IF(AND(AND(J294=0,ISNUMBER(AL294),AL294&lt;=T294),AL294=MIN(IF(AND(I294=0,ISNUMBER(AK294),AK294&lt;=T294),AK294,9E15),IF(AND(J294=0,ISNUMBER(AL294),AL294&lt;=T294),AL294,9E15),IF(AND(K294=0,ISNUMBER(AM294),AM294&lt;=T294),AM294,9E15))),"HP","FP")),IF(AR294=TRUE,"",IF(MAX(IF(AND(NOT(AND(AO294=1,AN294&lt;&gt;1)),ISNUMBER(AG294),AG294&lt;=T294),AS294,0),IF(AND(NOT(AND(AO294=1,AN294&lt;&gt;1)),ISNUMBER(AH294),AH294&lt;=T294),AT294,0),IF(AND(NOT(AND(AO294=1,AN294&lt;&gt;1)),ISNUMBER(AI294),AI294&lt;=T294),AU294,0),IF(AND(ISNUMBER(AJ294),AJ294&lt;=T294),AV294,0))&lt;=0,"",IF(AND(IF(AND(NOT(AND(AO294=1,AN294&lt;&gt;1)),ISNUMBER(AG294),AG294&lt;=T294),AS294,0)&gt;0,IF(AND(NOT(AND(AO294=1,AN294&lt;&gt;1)),ISNUMBER(AG294),AG294&lt;=T294),AS294,0)=MAX(IF(AND(NOT(AND(AO294=1,AN294&lt;&gt;1)),ISNUMBER(AG294),AG294&lt;=T294),AS294,0),IF(AND(NOT(AND(AO294=1,AN294&lt;&gt;1)),ISNUMBER(AH294),AH294&lt;=T294),AT294,0),IF(AND(NOT(AND(AO294=1,AN294&lt;&gt;1)),ISNUMBER(AI294),AI294&lt;=T294),AU294,0),IF(AND(ISNUMBER(AJ294),AJ294&lt;=T294),AV294,0))),"SW",IF(AND(IF(AND(NOT(AND(AO294=1,AN294&lt;&gt;1)),ISNUMBER(AH294),AH294&lt;=T294),AT294,0)&gt;0,IF(AND(NOT(AND(AO294=1,AN294&lt;&gt;1)),ISNUMBER(AH294),AH294&lt;=T294),AT294,0)=MAX(IF(AND(NOT(AND(AO294=1,AN294&lt;&gt;1)),ISNUMBER(AG294),AG294&lt;=T294),AS294,0),IF(AND(NOT(AND(AO294=1,AN294&lt;&gt;1)),ISNUMBER(AH294),AH294&lt;=T294),AT294,0),IF(AND(NOT(AND(AO294=1,AN294&lt;&gt;1)),ISNUMBER(AI294),AI294&lt;=T294),AU294,0),IF(AND(ISNUMBER(AJ294),AJ294&lt;=T294),AV294,0))),"AB",IF(AND(IF(AND(NOT(AND(AO294=1,AN294&lt;&gt;1)),ISNUMBER(AI294),AI294&lt;=T294),AU294,0)&gt;0,IF(AND(NOT(AND(AO294=1,AN294&lt;&gt;1)),ISNUMBER(AI294),AI294&lt;=T294),AU294,0)=MAX(IF(AND(NOT(AND(AO294=1,AN294&lt;&gt;1)),ISNUMBER(AG294),AG294&lt;=T294),AS294,0),IF(AND(NOT(AND(AO294=1,AN294&lt;&gt;1)),ISNUMBER(AH294),AH294&lt;=T294),AT294,0),IF(AND(NOT(AND(AO294=1,AN294&lt;&gt;1)),ISNUMBER(AI294),AI294&lt;=T294),AU294,0),IF(AND(ISNUMBER(AJ294),AJ294&lt;=T294),AV294,0))),"SC","Mag")))))))</f>
        <v/>
      </c>
    </row>
    <row r="295">
      <c r="A295" s="26" t="n">
        <v>290</v>
      </c>
      <c r="B295" s="27">
        <f>A295*10/60</f>
        <v/>
      </c>
      <c r="C295" s="22">
        <f>X294</f>
        <v/>
      </c>
      <c r="D295" s="27">
        <f>D294+W294</f>
        <v/>
      </c>
      <c r="E295" s="26">
        <f>E294+IF(U294="SW",1,0)</f>
        <v/>
      </c>
      <c r="F295" s="26">
        <f>F294+IF(U294="AB",1,0)</f>
        <v/>
      </c>
      <c r="G295" s="26">
        <f>G294+IF(U294="SC",1,0)</f>
        <v/>
      </c>
      <c r="H295" s="26">
        <f>H294+IF(U294="Mag",1,0)</f>
        <v/>
      </c>
      <c r="I295" s="26">
        <f>MAX(I294,IF(U294="OR",1,0))</f>
        <v/>
      </c>
      <c r="J295" s="26">
        <f>MAX(J294,IF(U294="HP",1,0))</f>
        <v/>
      </c>
      <c r="K295" s="26">
        <f>MAX(K294,IF(U294="FP",1,0))</f>
        <v/>
      </c>
      <c r="L295" s="26">
        <f>MAX(L294,IF(U294="transition",1,0))</f>
        <v/>
      </c>
      <c r="M295" s="28">
        <f>(Parameters!$B$9+(IF(E295=0,0,(Upgrades!$J$6+E295*Upgrades!$K$6)*POWER(Upgrades!$L$6,E295)))*(IF(Upgrades!$T$7="Solar Wind",POWER(Upgrades!$U$7,F295),1)*IF(Upgrades!$T$8="Solar Wind",POWER(Upgrades!$U$8,G295),1)*IF(Upgrades!$T$9="Solar Wind",POWER(Upgrades!$U$9,H295),1)*IF(Upgrades!$T$10="Solar Wind",POWER(Upgrades!$U$10,I295),1)*IF(Upgrades!$T$11="Solar Wind",POWER(Upgrades!$U$11,J295),1)*IF(Upgrades!$T$12="Solar Wind",POWER(Upgrades!$U$12,K295),1))+(IF(F295=0,0,(Upgrades!$J$7+F295*Upgrades!$K$7)*POWER(Upgrades!$L$7,F295)))*(IF(Upgrades!$T$6="Asteroid Belt",POWER(Upgrades!$U$6,E295),1)*IF(Upgrades!$T$8="Asteroid Belt",POWER(Upgrades!$U$8,G295),1)*IF(Upgrades!$T$9="Asteroid Belt",POWER(Upgrades!$U$9,H295),1)*IF(Upgrades!$T$10="Asteroid Belt",POWER(Upgrades!$U$10,I295),1)*IF(Upgrades!$T$11="Asteroid Belt",POWER(Upgrades!$U$11,J295),1)*IF(Upgrades!$T$12="Asteroid Belt",POWER(Upgrades!$U$12,K295),1))+(IF(G295=0,0,(Upgrades!$J$8+G295*Upgrades!$K$8)*POWER(Upgrades!$L$8,G295)))*(IF(Upgrades!$T$6="Stellar Coupling",POWER(Upgrades!$U$6,E295),1)*IF(Upgrades!$T$7="Stellar Coupling",POWER(Upgrades!$U$7,F295),1)*IF(Upgrades!$T$9="Stellar Coupling",POWER(Upgrades!$U$9,H295),1)*IF(Upgrades!$T$10="Stellar Coupling",POWER(Upgrades!$U$10,I295),1)*IF(Upgrades!$T$11="Stellar Coupling",POWER(Upgrades!$U$11,J295),1)*IF(Upgrades!$T$12="Stellar Coupling",POWER(Upgrades!$U$12,K295),1))+(IF(H295=0,0,(Upgrades!$J$9+H295*Upgrades!$K$9)*POWER(Upgrades!$L$9,H295)))*(IF(Upgrades!$T$6="Magnetosphere",POWER(Upgrades!$U$6,E295),1)*IF(Upgrades!$T$7="Magnetosphere",POWER(Upgrades!$U$7,F295),1)*IF(Upgrades!$T$8="Magnetosphere",POWER(Upgrades!$U$8,G295),1)*IF(Upgrades!$T$10="Magnetosphere",POWER(Upgrades!$U$10,I295),1)*IF(Upgrades!$T$11="Magnetosphere",POWER(Upgrades!$U$11,J295),1)*IF(Upgrades!$T$12="Magnetosphere",POWER(Upgrades!$U$12,K295),1))+(IF(I295=0,0,(Upgrades!$J$10+I295*Upgrades!$K$10)*POWER(Upgrades!$L$10,I295)))*(IF(Upgrades!$T$6="Orbital Resonance",POWER(Upgrades!$U$6,E295),1)*IF(Upgrades!$T$7="Orbital Resonance",POWER(Upgrades!$U$7,F295),1)*IF(Upgrades!$T$8="Orbital Resonance",POWER(Upgrades!$U$8,G295),1)*IF(Upgrades!$T$9="Orbital Resonance",POWER(Upgrades!$U$9,H295),1)*IF(Upgrades!$T$11="Orbital Resonance",POWER(Upgrades!$U$11,J295),1)*IF(Upgrades!$T$12="Orbital Resonance",POWER(Upgrades!$U$12,K295),1))+(IF(J295=0,0,(Upgrades!$J$11+J295*Upgrades!$K$11)*POWER(Upgrades!$L$11,J295)))*(IF(Upgrades!$T$6="Heliopause",POWER(Upgrades!$U$6,E295),1)*IF(Upgrades!$T$7="Heliopause",POWER(Upgrades!$U$7,F295),1)*IF(Upgrades!$T$8="Heliopause",POWER(Upgrades!$U$8,G295),1)*IF(Upgrades!$T$9="Heliopause",POWER(Upgrades!$U$9,H295),1)*IF(Upgrades!$T$10="Heliopause",POWER(Upgrades!$U$10,I295),1)*IF(Upgrades!$T$12="Heliopause",POWER(Upgrades!$U$12,K295),1))+(IF(K295=0,0,(Upgrades!$J$12+K295*Upgrades!$K$12)*POWER(Upgrades!$L$12,K295)))*(IF(Upgrades!$T$6="First Photons",POWER(Upgrades!$U$6,E295),1)*IF(Upgrades!$T$7="First Photons",POWER(Upgrades!$U$7,F295),1)*IF(Upgrades!$T$8="First Photons",POWER(Upgrades!$U$8,G295),1)*IF(Upgrades!$T$9="First Photons",POWER(Upgrades!$U$9,H295),1)*IF(Upgrades!$T$10="First Photons",POWER(Upgrades!$U$10,I295),1)*IF(Upgrades!$T$11="First Photons",POWER(Upgrades!$U$11,J295),1)))*POWER(Upgrades!$Q$6,E295)*POWER(Upgrades!$Q$7,F295)*POWER(Upgrades!$Q$8,G295)*POWER(Upgrades!$Q$9,H295)*POWER(Upgrades!$Q$10,I295)*POWER(Upgrades!$Q$11,J295)*POWER(Upgrades!$Q$12,K295)</f>
        <v/>
      </c>
      <c r="N295" s="28">
        <f>((IF(E295=0,0,(Upgrades!$G$6+E295*Upgrades!$H$6)*POWER(Upgrades!$I$6,E295)))*(IF(Upgrades!$T$7="Solar Wind",POWER(Upgrades!$U$7,F295),1)*IF(Upgrades!$T$8="Solar Wind",POWER(Upgrades!$U$8,G295),1)*IF(Upgrades!$T$9="Solar Wind",POWER(Upgrades!$U$9,H295),1)*IF(Upgrades!$T$10="Solar Wind",POWER(Upgrades!$U$10,I295),1)*IF(Upgrades!$T$11="Solar Wind",POWER(Upgrades!$U$11,J295),1)*IF(Upgrades!$T$12="Solar Wind",POWER(Upgrades!$U$12,K295),1))+(IF(F295=0,0,(Upgrades!$G$7+F295*Upgrades!$H$7)*POWER(Upgrades!$I$7,F295)))*(IF(Upgrades!$T$6="Asteroid Belt",POWER(Upgrades!$U$6,E295),1)*IF(Upgrades!$T$8="Asteroid Belt",POWER(Upgrades!$U$8,G295),1)*IF(Upgrades!$T$9="Asteroid Belt",POWER(Upgrades!$U$9,H295),1)*IF(Upgrades!$T$10="Asteroid Belt",POWER(Upgrades!$U$10,I295),1)*IF(Upgrades!$T$11="Asteroid Belt",POWER(Upgrades!$U$11,J295),1)*IF(Upgrades!$T$12="Asteroid Belt",POWER(Upgrades!$U$12,K295),1))+(IF(G295=0,0,(Upgrades!$G$8+G295*Upgrades!$H$8)*POWER(Upgrades!$I$8,G295)))*(IF(Upgrades!$T$6="Stellar Coupling",POWER(Upgrades!$U$6,E295),1)*IF(Upgrades!$T$7="Stellar Coupling",POWER(Upgrades!$U$7,F295),1)*IF(Upgrades!$T$9="Stellar Coupling",POWER(Upgrades!$U$9,H295),1)*IF(Upgrades!$T$10="Stellar Coupling",POWER(Upgrades!$U$10,I295),1)*IF(Upgrades!$T$11="Stellar Coupling",POWER(Upgrades!$U$11,J295),1)*IF(Upgrades!$T$12="Stellar Coupling",POWER(Upgrades!$U$12,K295),1))+(IF(H295=0,0,(Upgrades!$G$9+H295*Upgrades!$H$9)*POWER(Upgrades!$I$9,H295)))*(IF(Upgrades!$T$6="Magnetosphere",POWER(Upgrades!$U$6,E295),1)*IF(Upgrades!$T$7="Magnetosphere",POWER(Upgrades!$U$7,F295),1)*IF(Upgrades!$T$8="Magnetosphere",POWER(Upgrades!$U$8,G295),1)*IF(Upgrades!$T$10="Magnetosphere",POWER(Upgrades!$U$10,I295),1)*IF(Upgrades!$T$11="Magnetosphere",POWER(Upgrades!$U$11,J295),1)*IF(Upgrades!$T$12="Magnetosphere",POWER(Upgrades!$U$12,K295),1))+(IF(I295=0,0,(Upgrades!$G$10+I295*Upgrades!$H$10)*POWER(Upgrades!$I$10,I295)))*(IF(Upgrades!$T$6="Orbital Resonance",POWER(Upgrades!$U$6,E295),1)*IF(Upgrades!$T$7="Orbital Resonance",POWER(Upgrades!$U$7,F295),1)*IF(Upgrades!$T$8="Orbital Resonance",POWER(Upgrades!$U$8,G295),1)*IF(Upgrades!$T$9="Orbital Resonance",POWER(Upgrades!$U$9,H295),1)*IF(Upgrades!$T$11="Orbital Resonance",POWER(Upgrades!$U$11,J295),1)*IF(Upgrades!$T$12="Orbital Resonance",POWER(Upgrades!$U$12,K295),1))+(IF(J295=0,0,(Upgrades!$G$11+J295*Upgrades!$H$11)*POWER(Upgrades!$I$11,J295)))*(IF(Upgrades!$T$6="Heliopause",POWER(Upgrades!$U$6,E295),1)*IF(Upgrades!$T$7="Heliopause",POWER(Upgrades!$U$7,F295),1)*IF(Upgrades!$T$8="Heliopause",POWER(Upgrades!$U$8,G295),1)*IF(Upgrades!$T$9="Heliopause",POWER(Upgrades!$U$9,H295),1)*IF(Upgrades!$T$10="Heliopause",POWER(Upgrades!$U$10,I295),1)*IF(Upgrades!$T$12="Heliopause",POWER(Upgrades!$U$12,K295),1))+(IF(K295=0,0,(Upgrades!$G$12+K295*Upgrades!$H$12)*POWER(Upgrades!$I$12,K295)))*(IF(Upgrades!$T$6="First Photons",POWER(Upgrades!$U$6,E295),1)*IF(Upgrades!$T$7="First Photons",POWER(Upgrades!$U$7,F295),1)*IF(Upgrades!$T$8="First Photons",POWER(Upgrades!$U$8,G295),1)*IF(Upgrades!$T$9="First Photons",POWER(Upgrades!$U$9,H295),1)*IF(Upgrades!$T$10="First Photons",POWER(Upgrades!$U$10,I295),1)*IF(Upgrades!$T$11="First Photons",POWER(Upgrades!$U$11,J295),1)))*POWER(Upgrades!$P$6,E295)*POWER(Upgrades!$P$7,F295)*POWER(Upgrades!$P$8,G295)*POWER(Upgrades!$P$9,H295)*POWER(Upgrades!$P$10,I295)*POWER(Upgrades!$P$11,J295)*POWER(Upgrades!$P$12,K295)</f>
        <v/>
      </c>
      <c r="O295" s="28">
        <f>((IF(E295=0,0,(Upgrades!$M$6+E295*Upgrades!$N$6)*POWER(Upgrades!$O$6,E295)))*(IF(Upgrades!$T$7="Solar Wind",POWER(Upgrades!$U$7,F295),1)*IF(Upgrades!$T$8="Solar Wind",POWER(Upgrades!$U$8,G295),1)*IF(Upgrades!$T$9="Solar Wind",POWER(Upgrades!$U$9,H295),1)*IF(Upgrades!$T$10="Solar Wind",POWER(Upgrades!$U$10,I295),1)*IF(Upgrades!$T$11="Solar Wind",POWER(Upgrades!$U$11,J295),1)*IF(Upgrades!$T$12="Solar Wind",POWER(Upgrades!$U$12,K295),1))+(IF(F295=0,0,(Upgrades!$M$7+F295*Upgrades!$N$7)*POWER(Upgrades!$O$7,F295)))*(IF(Upgrades!$T$6="Asteroid Belt",POWER(Upgrades!$U$6,E295),1)*IF(Upgrades!$T$8="Asteroid Belt",POWER(Upgrades!$U$8,G295),1)*IF(Upgrades!$T$9="Asteroid Belt",POWER(Upgrades!$U$9,H295),1)*IF(Upgrades!$T$10="Asteroid Belt",POWER(Upgrades!$U$10,I295),1)*IF(Upgrades!$T$11="Asteroid Belt",POWER(Upgrades!$U$11,J295),1)*IF(Upgrades!$T$12="Asteroid Belt",POWER(Upgrades!$U$12,K295),1))+(IF(G295=0,0,(Upgrades!$M$8+G295*Upgrades!$N$8)*POWER(Upgrades!$O$8,G295)))*(IF(Upgrades!$T$6="Stellar Coupling",POWER(Upgrades!$U$6,E295),1)*IF(Upgrades!$T$7="Stellar Coupling",POWER(Upgrades!$U$7,F295),1)*IF(Upgrades!$T$9="Stellar Coupling",POWER(Upgrades!$U$9,H295),1)*IF(Upgrades!$T$10="Stellar Coupling",POWER(Upgrades!$U$10,I295),1)*IF(Upgrades!$T$11="Stellar Coupling",POWER(Upgrades!$U$11,J295),1)*IF(Upgrades!$T$12="Stellar Coupling",POWER(Upgrades!$U$12,K295),1))+(IF(H295=0,0,(Upgrades!$M$9+H295*Upgrades!$N$9)*POWER(Upgrades!$O$9,H295)))*(IF(Upgrades!$T$6="Magnetosphere",POWER(Upgrades!$U$6,E295),1)*IF(Upgrades!$T$7="Magnetosphere",POWER(Upgrades!$U$7,F295),1)*IF(Upgrades!$T$8="Magnetosphere",POWER(Upgrades!$U$8,G295),1)*IF(Upgrades!$T$10="Magnetosphere",POWER(Upgrades!$U$10,I295),1)*IF(Upgrades!$T$11="Magnetosphere",POWER(Upgrades!$U$11,J295),1)*IF(Upgrades!$T$12="Magnetosphere",POWER(Upgrades!$U$12,K295),1))+(IF(I295=0,0,(Upgrades!$M$10+I295*Upgrades!$N$10)*POWER(Upgrades!$O$10,I295)))*(IF(Upgrades!$T$6="Orbital Resonance",POWER(Upgrades!$U$6,E295),1)*IF(Upgrades!$T$7="Orbital Resonance",POWER(Upgrades!$U$7,F295),1)*IF(Upgrades!$T$8="Orbital Resonance",POWER(Upgrades!$U$8,G295),1)*IF(Upgrades!$T$9="Orbital Resonance",POWER(Upgrades!$U$9,H295),1)*IF(Upgrades!$T$11="Orbital Resonance",POWER(Upgrades!$U$11,J295),1)*IF(Upgrades!$T$12="Orbital Resonance",POWER(Upgrades!$U$12,K295),1))+(IF(J295=0,0,(Upgrades!$M$11+J295*Upgrades!$N$11)*POWER(Upgrades!$O$11,J295)))*(IF(Upgrades!$T$6="Heliopause",POWER(Upgrades!$U$6,E295),1)*IF(Upgrades!$T$7="Heliopause",POWER(Upgrades!$U$7,F295),1)*IF(Upgrades!$T$8="Heliopause",POWER(Upgrades!$U$8,G295),1)*IF(Upgrades!$T$9="Heliopause",POWER(Upgrades!$U$9,H295),1)*IF(Upgrades!$T$10="Heliopause",POWER(Upgrades!$U$10,I295),1)*IF(Upgrades!$T$12="Heliopause",POWER(Upgrades!$U$12,K295),1))+(IF(K295=0,0,(Upgrades!$M$12+K295*Upgrades!$N$12)*POWER(Upgrades!$O$12,K295)))*(IF(Upgrades!$T$6="First Photons",POWER(Upgrades!$U$6,E295),1)*IF(Upgrades!$T$7="First Photons",POWER(Upgrades!$U$7,F295),1)*IF(Upgrades!$T$8="First Photons",POWER(Upgrades!$U$8,G295),1)*IF(Upgrades!$T$9="First Photons",POWER(Upgrades!$U$9,H295),1)*IF(Upgrades!$T$10="First Photons",POWER(Upgrades!$U$10,I295),1)*IF(Upgrades!$T$11="First Photons",POWER(Upgrades!$U$11,J295),1)))*POWER(Upgrades!$R$6,E295)*POWER(Upgrades!$R$7,F295)*POWER(Upgrades!$R$8,G295)*POWER(Upgrades!$R$9,H295)*POWER(Upgrades!$R$10,I295)*POWER(Upgrades!$R$11,J295)*POWER(Upgrades!$R$12,K295)</f>
        <v/>
      </c>
      <c r="P295" s="27">
        <f>IF(L295=1,0,M295*Parameters!$B$10/60*Parameters!$B$11*10)</f>
        <v/>
      </c>
      <c r="Q295" s="27">
        <f>IF(L295=1,0,O295*M295*10)</f>
        <v/>
      </c>
      <c r="R295" s="27">
        <f>IF(L295=1,0,N295*10)</f>
        <v/>
      </c>
      <c r="S295" s="27">
        <f>P295+Q295+R295</f>
        <v/>
      </c>
      <c r="T295" s="22">
        <f>C295+S295</f>
        <v/>
      </c>
      <c r="U295" s="33">
        <f>AX295</f>
        <v/>
      </c>
      <c r="V295" s="22">
        <f>IF(U295="",0,IF(U295="transition",0,IF(U295="SW",AG295,IF(U295="AB",AH295,IF(U295="SC",AI295,IF(U295="Mag",AJ295,IF(U295="OR",AK295,IF(U295="HP",AL295,IF(U295="FP",AM295,0)))))))))</f>
        <v/>
      </c>
      <c r="W295" s="27">
        <f>IF(U295="OR",Upgrades!$F$10,IF(U295="HP",Upgrades!$F$11,IF(U295="transition",-Parameters!$B$18,0)))</f>
        <v/>
      </c>
      <c r="X295" s="22">
        <f>T295-V295</f>
        <v/>
      </c>
      <c r="Y295" s="30">
        <f>M295*Parameters!$B$10/60*Parameters!$B$11+O295*M295+N295</f>
        <v/>
      </c>
      <c r="Z295" s="34">
        <f>IF(U295="transition","→ Tier 2 (Stellar Neighborhood)",IF(U295="FP","First Photons — light begins, system quickens",IF(U295="HP","Heliopause acquired",IF(U295="OR","Orbital Resonance — passive multiplier active",IF(AND(AO295=1,L295=0,AN295&lt;&gt;1),"Cohesion ready (waiting on completionist upgrades)","")))))</f>
        <v/>
      </c>
      <c r="AA295" s="27">
        <f>(IF(E295=0,0,(Upgrades!$G$6+E295*Upgrades!$H$6)*POWER(Upgrades!$I$6,E295)))*(IF(Upgrades!$T$7="Solar Wind",POWER(Upgrades!$U$7,F295),1)*IF(Upgrades!$T$8="Solar Wind",POWER(Upgrades!$U$8,G295),1)*IF(Upgrades!$T$9="Solar Wind",POWER(Upgrades!$U$9,H295),1)*IF(Upgrades!$T$10="Solar Wind",POWER(Upgrades!$U$10,I295),1)*IF(Upgrades!$T$11="Solar Wind",POWER(Upgrades!$U$11,J295),1)*IF(Upgrades!$T$12="Solar Wind",POWER(Upgrades!$U$12,K295),1))*POWER(Upgrades!$P$6,E295)*POWER(Upgrades!$P$7,F295)*POWER(Upgrades!$P$8,G295)*POWER(Upgrades!$P$9,H295)*POWER(Upgrades!$P$10,I295)*POWER(Upgrades!$P$11,J295)*POWER(Upgrades!$P$12,K295)*60</f>
        <v/>
      </c>
      <c r="AB295" s="27">
        <f>(IF(F295=0,0,(Upgrades!$G$7+F295*Upgrades!$H$7)*POWER(Upgrades!$I$7,F295)))*(IF(Upgrades!$T$6="Asteroid Belt",POWER(Upgrades!$U$6,E295),1)*IF(Upgrades!$T$8="Asteroid Belt",POWER(Upgrades!$U$8,G295),1)*IF(Upgrades!$T$9="Asteroid Belt",POWER(Upgrades!$U$9,H295),1)*IF(Upgrades!$T$10="Asteroid Belt",POWER(Upgrades!$U$10,I295),1)*IF(Upgrades!$T$11="Asteroid Belt",POWER(Upgrades!$U$11,J295),1)*IF(Upgrades!$T$12="Asteroid Belt",POWER(Upgrades!$U$12,K295),1))*POWER(Upgrades!$P$6,E295)*POWER(Upgrades!$P$7,F295)*POWER(Upgrades!$P$8,G295)*POWER(Upgrades!$P$9,H295)*POWER(Upgrades!$P$10,I295)*POWER(Upgrades!$P$11,J295)*POWER(Upgrades!$P$12,K295)*60</f>
        <v/>
      </c>
      <c r="AC295" s="27">
        <f>(IF(G295=0,0,(Upgrades!$J$8+G295*Upgrades!$K$8)*POWER(Upgrades!$L$8,G295)))*(IF(Upgrades!$T$6="Stellar Coupling",POWER(Upgrades!$U$6,E295),1)*IF(Upgrades!$T$7="Stellar Coupling",POWER(Upgrades!$U$7,F295),1)*IF(Upgrades!$T$9="Stellar Coupling",POWER(Upgrades!$U$9,H295),1)*IF(Upgrades!$T$10="Stellar Coupling",POWER(Upgrades!$U$10,I295),1)*IF(Upgrades!$T$11="Stellar Coupling",POWER(Upgrades!$U$11,J295),1)*IF(Upgrades!$T$12="Stellar Coupling",POWER(Upgrades!$U$12,K295),1))*POWER(Upgrades!$Q$6,E295)*POWER(Upgrades!$Q$7,F295)*POWER(Upgrades!$Q$8,G295)*POWER(Upgrades!$Q$9,H295)*POWER(Upgrades!$Q$10,I295)*POWER(Upgrades!$Q$11,J295)*POWER(Upgrades!$Q$12,K295)*Parameters!$B$10*Parameters!$B$11</f>
        <v/>
      </c>
      <c r="AD295" s="27">
        <f>(IF(H295=0,0,(Upgrades!$G$9+H295*Upgrades!$H$9)*POWER(Upgrades!$I$9,H295)))*(IF(Upgrades!$T$6="Magnetosphere",POWER(Upgrades!$U$6,E295),1)*IF(Upgrades!$T$7="Magnetosphere",POWER(Upgrades!$U$7,F295),1)*IF(Upgrades!$T$8="Magnetosphere",POWER(Upgrades!$U$8,G295),1)*IF(Upgrades!$T$10="Magnetosphere",POWER(Upgrades!$U$10,I295),1)*IF(Upgrades!$T$11="Magnetosphere",POWER(Upgrades!$U$11,J295),1)*IF(Upgrades!$T$12="Magnetosphere",POWER(Upgrades!$U$12,K295),1))*POWER(Upgrades!$P$6,E295)*POWER(Upgrades!$P$7,F295)*POWER(Upgrades!$P$8,G295)*POWER(Upgrades!$P$9,H295)*POWER(Upgrades!$P$10,I295)*POWER(Upgrades!$P$11,J295)*POWER(Upgrades!$P$12,K295)*60</f>
        <v/>
      </c>
      <c r="AE295" s="27">
        <f>(IF(K295=0,0,(Upgrades!$G$12+K295*Upgrades!$H$12)*POWER(Upgrades!$I$12,K295)))*(IF(Upgrades!$T$6="First Photons",POWER(Upgrades!$U$6,E295),1)*IF(Upgrades!$T$7="First Photons",POWER(Upgrades!$U$7,F295),1)*IF(Upgrades!$T$8="First Photons",POWER(Upgrades!$U$8,G295),1)*IF(Upgrades!$T$9="First Photons",POWER(Upgrades!$U$9,H295),1)*IF(Upgrades!$T$10="First Photons",POWER(Upgrades!$U$10,I295),1)*IF(Upgrades!$T$11="First Photons",POWER(Upgrades!$U$11,J295),1))*POWER(Upgrades!$P$6,E295)*POWER(Upgrades!$P$7,F295)*POWER(Upgrades!$P$8,G295)*POWER(Upgrades!$P$9,H295)*POWER(Upgrades!$P$10,I295)*POWER(Upgrades!$P$11,J295)*POWER(Upgrades!$P$12,K295)*60</f>
        <v/>
      </c>
      <c r="AF295" s="27">
        <f>Parameters!$B$9*POWER(Upgrades!$Q$6,E295)*POWER(Upgrades!$Q$7,F295)*POWER(Upgrades!$Q$8,G295)*POWER(Upgrades!$Q$9,H295)*POWER(Upgrades!$Q$10,I295)*POWER(Upgrades!$Q$11,J295)*POWER(Upgrades!$Q$12,K295)*(Parameters!$B$10*Parameters!$B$11+O295*60)</f>
        <v/>
      </c>
      <c r="AG295" s="22">
        <f>IF(E295&gt;=Upgrades!$E$6,"",Upgrades!$C$6*POWER(Upgrades!$D$6,E295))</f>
        <v/>
      </c>
      <c r="AH295" s="22">
        <f>IF(F295&gt;=Upgrades!$E$7,"",Upgrades!$C$7*POWER(Upgrades!$D$7,F295))</f>
        <v/>
      </c>
      <c r="AI295" s="22">
        <f>IF(G295&gt;=Upgrades!$E$8,"",Upgrades!$C$8*POWER(Upgrades!$D$8,G295))</f>
        <v/>
      </c>
      <c r="AJ295" s="22">
        <f>IF(H295&gt;=Upgrades!$E$9,"",Upgrades!$C$9*POWER(Upgrades!$D$9,H295))</f>
        <v/>
      </c>
      <c r="AK295" s="22">
        <f>IF(I295&gt;=Upgrades!$E$10,"",Upgrades!$C$10*POWER(Upgrades!$D$10,I295))</f>
        <v/>
      </c>
      <c r="AL295" s="22">
        <f>IF(J295&gt;=Upgrades!$E$11,"",Upgrades!$C$11*POWER(Upgrades!$D$11,J295))</f>
        <v/>
      </c>
      <c r="AM295" s="22">
        <f>IF(K295&gt;=Upgrades!$E$12,"",Upgrades!$C$12*POWER(Upgrades!$D$12,K295))</f>
        <v/>
      </c>
      <c r="AN295" s="26">
        <f>IF(AND(D295&gt;=Parameters!$B$18,(H295&gt;=Upgrades!$E$9)*(K295&gt;=Upgrades!$E$12)=1,L295=0),1,"")</f>
        <v/>
      </c>
      <c r="AO295" s="26">
        <f>IF(AND(D295&gt;=Parameters!$B$18,L295=0),1,"")</f>
        <v/>
      </c>
      <c r="AP295" s="22">
        <f>MIN(IF(ISNUMBER(AK295),AK295,9E15),IF(ISNUMBER(AL295),AL295,9E15),IF(ISNUMBER(AM295),AM295,9E15))</f>
        <v/>
      </c>
      <c r="AQ295" s="22">
        <f>MIN(IF(ISNUMBER(AG295),AG295,9E15),IF(ISNUMBER(AH295),AH295,9E15),IF(ISNUMBER(AI295),AI295,9E15),IF(ISNUMBER(AJ295),AJ295,9E15))</f>
        <v/>
      </c>
      <c r="AR295" s="29">
        <f>IF(AW295&gt;Parameters!$B$21*(MAX(IF(AND(NOT(AND(AO295=1,AN295&lt;&gt;1)),ISNUMBER(AG295),AG295&lt;=T295),AS295,0),IF(AND(NOT(AND(AO295=1,AN295&lt;&gt;1)),ISNUMBER(AH295),AH295&lt;=T295),AT295,0),IF(AND(NOT(AND(AO295=1,AN295&lt;&gt;1)),ISNUMBER(AI295),AI295&lt;=T295),AU295,0),IF(AND(ISNUMBER(AJ295),AJ295&lt;=T295),AV295,0))),TRUE,FALSE)</f>
        <v/>
      </c>
      <c r="AS295" s="32">
        <f>IFERROR(Upgrades!$H$6*(POWER(Upgrades!$P$6,E295)*POWER(Upgrades!$P$7,F295)*POWER(Upgrades!$P$8,G295)*POWER(Upgrades!$P$9,H295)*POWER(Upgrades!$P$10,I295)*POWER(Upgrades!$P$11,J295)*POWER(Upgrades!$P$12,K295))*(IF(Upgrades!$T$7="Solar Wind",POWER(Upgrades!$U$7,F295),1)*IF(Upgrades!$T$8="Solar Wind",POWER(Upgrades!$U$8,G295),1)*IF(Upgrades!$T$9="Solar Wind",POWER(Upgrades!$U$9,H295),1)*IF(Upgrades!$T$10="Solar Wind",POWER(Upgrades!$U$10,I295),1)*IF(Upgrades!$T$11="Solar Wind",POWER(Upgrades!$U$11,J295),1)*IF(Upgrades!$T$12="Solar Wind",POWER(Upgrades!$U$12,K295),1))/AG295,0)</f>
        <v/>
      </c>
      <c r="AT295" s="32">
        <f>IFERROR(Upgrades!$H$7*(POWER(Upgrades!$P$6,E295)*POWER(Upgrades!$P$7,F295)*POWER(Upgrades!$P$8,G295)*POWER(Upgrades!$P$9,H295)*POWER(Upgrades!$P$10,I295)*POWER(Upgrades!$P$11,J295)*POWER(Upgrades!$P$12,K295))*(IF(Upgrades!$T$6="Asteroid Belt",POWER(Upgrades!$U$6,E295),1)*IF(Upgrades!$T$8="Asteroid Belt",POWER(Upgrades!$U$8,G295),1)*IF(Upgrades!$T$9="Asteroid Belt",POWER(Upgrades!$U$9,H295),1)*IF(Upgrades!$T$10="Asteroid Belt",POWER(Upgrades!$U$10,I295),1)*IF(Upgrades!$T$11="Asteroid Belt",POWER(Upgrades!$U$11,J295),1)*IF(Upgrades!$T$12="Asteroid Belt",POWER(Upgrades!$U$12,K295),1))/AH295,0)</f>
        <v/>
      </c>
      <c r="AU295" s="32">
        <f>IFERROR(Upgrades!$K$8*(POWER(Upgrades!$Q$6,E295)*POWER(Upgrades!$Q$7,F295)*POWER(Upgrades!$Q$8,G295)*POWER(Upgrades!$Q$9,H295)*POWER(Upgrades!$Q$10,I295)*POWER(Upgrades!$Q$11,J295)*POWER(Upgrades!$Q$12,K295))*(IF(Upgrades!$T$6="Stellar Coupling",POWER(Upgrades!$U$6,E295),1)*IF(Upgrades!$T$7="Stellar Coupling",POWER(Upgrades!$U$7,F295),1)*IF(Upgrades!$T$9="Stellar Coupling",POWER(Upgrades!$U$9,H295),1)*IF(Upgrades!$T$10="Stellar Coupling",POWER(Upgrades!$U$10,I295),1)*IF(Upgrades!$T$11="Stellar Coupling",POWER(Upgrades!$U$11,J295),1)*IF(Upgrades!$T$12="Stellar Coupling",POWER(Upgrades!$U$12,K295),1))*Parameters!$B$10*Parameters!$B$11/60/AI295,0)</f>
        <v/>
      </c>
      <c r="AV295" s="32">
        <f>IFERROR(Upgrades!$H$9*(POWER(Upgrades!$P$6,E295)*POWER(Upgrades!$P$7,F295)*POWER(Upgrades!$P$8,G295)*POWER(Upgrades!$P$9,H295)*POWER(Upgrades!$P$10,I295)*POWER(Upgrades!$P$11,J295)*POWER(Upgrades!$P$12,K295))*(IF(Upgrades!$T$6="Magnetosphere",POWER(Upgrades!$U$6,E295),1)*IF(Upgrades!$T$7="Magnetosphere",POWER(Upgrades!$U$7,F295),1)*IF(Upgrades!$T$8="Magnetosphere",POWER(Upgrades!$U$8,G295),1)*IF(Upgrades!$T$10="Magnetosphere",POWER(Upgrades!$U$10,I295),1)*IF(Upgrades!$T$11="Magnetosphere",POWER(Upgrades!$U$11,J295),1)*IF(Upgrades!$T$12="Magnetosphere",POWER(Upgrades!$U$12,K295),1))/AJ295,0)</f>
        <v/>
      </c>
      <c r="AW295" s="32">
        <f>MAX(IF(I295&gt;0,0,IFERROR(0.25*N295/Upgrades!$C$10,0)),IF(J295&gt;0,0,IFERROR(0.5*((IF(G295=0,0,(Upgrades!$J$8+G295*Upgrades!$K$8)*POWER(Upgrades!$L$8,G295)))*(IF(Upgrades!$T$6="Stellar Coupling",POWER(Upgrades!$U$6,E295),1)*IF(Upgrades!$T$7="Stellar Coupling",POWER(Upgrades!$U$7,F295),1)*IF(Upgrades!$T$9="Stellar Coupling",POWER(Upgrades!$U$9,H295),1)*IF(Upgrades!$T$10="Stellar Coupling",POWER(Upgrades!$U$10,I295),1)*IF(Upgrades!$T$11="Stellar Coupling",POWER(Upgrades!$U$11,J295),1)*IF(Upgrades!$T$12="Stellar Coupling",POWER(Upgrades!$U$12,K295),1))*(POWER(Upgrades!$Q$6,E295)*POWER(Upgrades!$Q$7,F295)*POWER(Upgrades!$Q$8,G295)*POWER(Upgrades!$Q$9,H295)*POWER(Upgrades!$Q$10,I295)*POWER(Upgrades!$Q$11,J295)*POWER(Upgrades!$Q$12,K295))*Parameters!$B$10*Parameters!$B$11/60)/Upgrades!$C$11,0)),IF(K295&gt;0,0,IFERROR((1.0*(POWER(Upgrades!$P$6,E295)*POWER(Upgrades!$P$7,F295)*POWER(Upgrades!$P$8,G295)*POWER(Upgrades!$P$9,H295)*POWER(Upgrades!$P$10,I295)*POWER(Upgrades!$P$11,J295)*POWER(Upgrades!$P$12,K295))+0.20*M295*Parameters!$B$10*Parameters!$B$11/60)/Upgrades!$C$12,0)),IF(AND(ISNUMBER(AG295),AG295&gt;T295),AS295,0),IF(AND(ISNUMBER(AH295),AH295&gt;T295),AT295,0),IF(AND(ISNUMBER(AI295),AI295&gt;T295),AU295,0),IF(AND(ISNUMBER(AJ295),AJ295&gt;T295),AV295,0))</f>
        <v/>
      </c>
      <c r="AX295" s="29">
        <f>IF(AN295=1,"transition",IF(MIN(IF(AND(I295=0,ISNUMBER(AK295),AK295&lt;=T295),AK295,9E15),IF(AND(J295=0,ISNUMBER(AL295),AL295&lt;=T295),AL295,9E15),IF(AND(K295=0,ISNUMBER(AM295),AM295&lt;=T295),AM295,9E15))&lt;9E15,IF(AND(AND(I295=0,ISNUMBER(AK295),AK295&lt;=T295),AK295=MIN(IF(AND(I295=0,ISNUMBER(AK295),AK295&lt;=T295),AK295,9E15),IF(AND(J295=0,ISNUMBER(AL295),AL295&lt;=T295),AL295,9E15),IF(AND(K295=0,ISNUMBER(AM295),AM295&lt;=T295),AM295,9E15))),"OR",IF(AND(AND(J295=0,ISNUMBER(AL295),AL295&lt;=T295),AL295=MIN(IF(AND(I295=0,ISNUMBER(AK295),AK295&lt;=T295),AK295,9E15),IF(AND(J295=0,ISNUMBER(AL295),AL295&lt;=T295),AL295,9E15),IF(AND(K295=0,ISNUMBER(AM295),AM295&lt;=T295),AM295,9E15))),"HP","FP")),IF(AR295=TRUE,"",IF(MAX(IF(AND(NOT(AND(AO295=1,AN295&lt;&gt;1)),ISNUMBER(AG295),AG295&lt;=T295),AS295,0),IF(AND(NOT(AND(AO295=1,AN295&lt;&gt;1)),ISNUMBER(AH295),AH295&lt;=T295),AT295,0),IF(AND(NOT(AND(AO295=1,AN295&lt;&gt;1)),ISNUMBER(AI295),AI295&lt;=T295),AU295,0),IF(AND(ISNUMBER(AJ295),AJ295&lt;=T295),AV295,0))&lt;=0,"",IF(AND(IF(AND(NOT(AND(AO295=1,AN295&lt;&gt;1)),ISNUMBER(AG295),AG295&lt;=T295),AS295,0)&gt;0,IF(AND(NOT(AND(AO295=1,AN295&lt;&gt;1)),ISNUMBER(AG295),AG295&lt;=T295),AS295,0)=MAX(IF(AND(NOT(AND(AO295=1,AN295&lt;&gt;1)),ISNUMBER(AG295),AG295&lt;=T295),AS295,0),IF(AND(NOT(AND(AO295=1,AN295&lt;&gt;1)),ISNUMBER(AH295),AH295&lt;=T295),AT295,0),IF(AND(NOT(AND(AO295=1,AN295&lt;&gt;1)),ISNUMBER(AI295),AI295&lt;=T295),AU295,0),IF(AND(ISNUMBER(AJ295),AJ295&lt;=T295),AV295,0))),"SW",IF(AND(IF(AND(NOT(AND(AO295=1,AN295&lt;&gt;1)),ISNUMBER(AH295),AH295&lt;=T295),AT295,0)&gt;0,IF(AND(NOT(AND(AO295=1,AN295&lt;&gt;1)),ISNUMBER(AH295),AH295&lt;=T295),AT295,0)=MAX(IF(AND(NOT(AND(AO295=1,AN295&lt;&gt;1)),ISNUMBER(AG295),AG295&lt;=T295),AS295,0),IF(AND(NOT(AND(AO295=1,AN295&lt;&gt;1)),ISNUMBER(AH295),AH295&lt;=T295),AT295,0),IF(AND(NOT(AND(AO295=1,AN295&lt;&gt;1)),ISNUMBER(AI295),AI295&lt;=T295),AU295,0),IF(AND(ISNUMBER(AJ295),AJ295&lt;=T295),AV295,0))),"AB",IF(AND(IF(AND(NOT(AND(AO295=1,AN295&lt;&gt;1)),ISNUMBER(AI295),AI295&lt;=T295),AU295,0)&gt;0,IF(AND(NOT(AND(AO295=1,AN295&lt;&gt;1)),ISNUMBER(AI295),AI295&lt;=T295),AU295,0)=MAX(IF(AND(NOT(AND(AO295=1,AN295&lt;&gt;1)),ISNUMBER(AG295),AG295&lt;=T295),AS295,0),IF(AND(NOT(AND(AO295=1,AN295&lt;&gt;1)),ISNUMBER(AH295),AH295&lt;=T295),AT295,0),IF(AND(NOT(AND(AO295=1,AN295&lt;&gt;1)),ISNUMBER(AI295),AI295&lt;=T295),AU295,0),IF(AND(ISNUMBER(AJ295),AJ295&lt;=T295),AV295,0))),"SC","Mag")))))))</f>
        <v/>
      </c>
    </row>
    <row r="296">
      <c r="A296" s="26" t="n">
        <v>291</v>
      </c>
      <c r="B296" s="27">
        <f>A296*10/60</f>
        <v/>
      </c>
      <c r="C296" s="22">
        <f>X295</f>
        <v/>
      </c>
      <c r="D296" s="27">
        <f>D295+W295</f>
        <v/>
      </c>
      <c r="E296" s="26">
        <f>E295+IF(U295="SW",1,0)</f>
        <v/>
      </c>
      <c r="F296" s="26">
        <f>F295+IF(U295="AB",1,0)</f>
        <v/>
      </c>
      <c r="G296" s="26">
        <f>G295+IF(U295="SC",1,0)</f>
        <v/>
      </c>
      <c r="H296" s="26">
        <f>H295+IF(U295="Mag",1,0)</f>
        <v/>
      </c>
      <c r="I296" s="26">
        <f>MAX(I295,IF(U295="OR",1,0))</f>
        <v/>
      </c>
      <c r="J296" s="26">
        <f>MAX(J295,IF(U295="HP",1,0))</f>
        <v/>
      </c>
      <c r="K296" s="26">
        <f>MAX(K295,IF(U295="FP",1,0))</f>
        <v/>
      </c>
      <c r="L296" s="26">
        <f>MAX(L295,IF(U295="transition",1,0))</f>
        <v/>
      </c>
      <c r="M296" s="28">
        <f>(Parameters!$B$9+(IF(E296=0,0,(Upgrades!$J$6+E296*Upgrades!$K$6)*POWER(Upgrades!$L$6,E296)))*(IF(Upgrades!$T$7="Solar Wind",POWER(Upgrades!$U$7,F296),1)*IF(Upgrades!$T$8="Solar Wind",POWER(Upgrades!$U$8,G296),1)*IF(Upgrades!$T$9="Solar Wind",POWER(Upgrades!$U$9,H296),1)*IF(Upgrades!$T$10="Solar Wind",POWER(Upgrades!$U$10,I296),1)*IF(Upgrades!$T$11="Solar Wind",POWER(Upgrades!$U$11,J296),1)*IF(Upgrades!$T$12="Solar Wind",POWER(Upgrades!$U$12,K296),1))+(IF(F296=0,0,(Upgrades!$J$7+F296*Upgrades!$K$7)*POWER(Upgrades!$L$7,F296)))*(IF(Upgrades!$T$6="Asteroid Belt",POWER(Upgrades!$U$6,E296),1)*IF(Upgrades!$T$8="Asteroid Belt",POWER(Upgrades!$U$8,G296),1)*IF(Upgrades!$T$9="Asteroid Belt",POWER(Upgrades!$U$9,H296),1)*IF(Upgrades!$T$10="Asteroid Belt",POWER(Upgrades!$U$10,I296),1)*IF(Upgrades!$T$11="Asteroid Belt",POWER(Upgrades!$U$11,J296),1)*IF(Upgrades!$T$12="Asteroid Belt",POWER(Upgrades!$U$12,K296),1))+(IF(G296=0,0,(Upgrades!$J$8+G296*Upgrades!$K$8)*POWER(Upgrades!$L$8,G296)))*(IF(Upgrades!$T$6="Stellar Coupling",POWER(Upgrades!$U$6,E296),1)*IF(Upgrades!$T$7="Stellar Coupling",POWER(Upgrades!$U$7,F296),1)*IF(Upgrades!$T$9="Stellar Coupling",POWER(Upgrades!$U$9,H296),1)*IF(Upgrades!$T$10="Stellar Coupling",POWER(Upgrades!$U$10,I296),1)*IF(Upgrades!$T$11="Stellar Coupling",POWER(Upgrades!$U$11,J296),1)*IF(Upgrades!$T$12="Stellar Coupling",POWER(Upgrades!$U$12,K296),1))+(IF(H296=0,0,(Upgrades!$J$9+H296*Upgrades!$K$9)*POWER(Upgrades!$L$9,H296)))*(IF(Upgrades!$T$6="Magnetosphere",POWER(Upgrades!$U$6,E296),1)*IF(Upgrades!$T$7="Magnetosphere",POWER(Upgrades!$U$7,F296),1)*IF(Upgrades!$T$8="Magnetosphere",POWER(Upgrades!$U$8,G296),1)*IF(Upgrades!$T$10="Magnetosphere",POWER(Upgrades!$U$10,I296),1)*IF(Upgrades!$T$11="Magnetosphere",POWER(Upgrades!$U$11,J296),1)*IF(Upgrades!$T$12="Magnetosphere",POWER(Upgrades!$U$12,K296),1))+(IF(I296=0,0,(Upgrades!$J$10+I296*Upgrades!$K$10)*POWER(Upgrades!$L$10,I296)))*(IF(Upgrades!$T$6="Orbital Resonance",POWER(Upgrades!$U$6,E296),1)*IF(Upgrades!$T$7="Orbital Resonance",POWER(Upgrades!$U$7,F296),1)*IF(Upgrades!$T$8="Orbital Resonance",POWER(Upgrades!$U$8,G296),1)*IF(Upgrades!$T$9="Orbital Resonance",POWER(Upgrades!$U$9,H296),1)*IF(Upgrades!$T$11="Orbital Resonance",POWER(Upgrades!$U$11,J296),1)*IF(Upgrades!$T$12="Orbital Resonance",POWER(Upgrades!$U$12,K296),1))+(IF(J296=0,0,(Upgrades!$J$11+J296*Upgrades!$K$11)*POWER(Upgrades!$L$11,J296)))*(IF(Upgrades!$T$6="Heliopause",POWER(Upgrades!$U$6,E296),1)*IF(Upgrades!$T$7="Heliopause",POWER(Upgrades!$U$7,F296),1)*IF(Upgrades!$T$8="Heliopause",POWER(Upgrades!$U$8,G296),1)*IF(Upgrades!$T$9="Heliopause",POWER(Upgrades!$U$9,H296),1)*IF(Upgrades!$T$10="Heliopause",POWER(Upgrades!$U$10,I296),1)*IF(Upgrades!$T$12="Heliopause",POWER(Upgrades!$U$12,K296),1))+(IF(K296=0,0,(Upgrades!$J$12+K296*Upgrades!$K$12)*POWER(Upgrades!$L$12,K296)))*(IF(Upgrades!$T$6="First Photons",POWER(Upgrades!$U$6,E296),1)*IF(Upgrades!$T$7="First Photons",POWER(Upgrades!$U$7,F296),1)*IF(Upgrades!$T$8="First Photons",POWER(Upgrades!$U$8,G296),1)*IF(Upgrades!$T$9="First Photons",POWER(Upgrades!$U$9,H296),1)*IF(Upgrades!$T$10="First Photons",POWER(Upgrades!$U$10,I296),1)*IF(Upgrades!$T$11="First Photons",POWER(Upgrades!$U$11,J296),1)))*POWER(Upgrades!$Q$6,E296)*POWER(Upgrades!$Q$7,F296)*POWER(Upgrades!$Q$8,G296)*POWER(Upgrades!$Q$9,H296)*POWER(Upgrades!$Q$10,I296)*POWER(Upgrades!$Q$11,J296)*POWER(Upgrades!$Q$12,K296)</f>
        <v/>
      </c>
      <c r="N296" s="28">
        <f>((IF(E296=0,0,(Upgrades!$G$6+E296*Upgrades!$H$6)*POWER(Upgrades!$I$6,E296)))*(IF(Upgrades!$T$7="Solar Wind",POWER(Upgrades!$U$7,F296),1)*IF(Upgrades!$T$8="Solar Wind",POWER(Upgrades!$U$8,G296),1)*IF(Upgrades!$T$9="Solar Wind",POWER(Upgrades!$U$9,H296),1)*IF(Upgrades!$T$10="Solar Wind",POWER(Upgrades!$U$10,I296),1)*IF(Upgrades!$T$11="Solar Wind",POWER(Upgrades!$U$11,J296),1)*IF(Upgrades!$T$12="Solar Wind",POWER(Upgrades!$U$12,K296),1))+(IF(F296=0,0,(Upgrades!$G$7+F296*Upgrades!$H$7)*POWER(Upgrades!$I$7,F296)))*(IF(Upgrades!$T$6="Asteroid Belt",POWER(Upgrades!$U$6,E296),1)*IF(Upgrades!$T$8="Asteroid Belt",POWER(Upgrades!$U$8,G296),1)*IF(Upgrades!$T$9="Asteroid Belt",POWER(Upgrades!$U$9,H296),1)*IF(Upgrades!$T$10="Asteroid Belt",POWER(Upgrades!$U$10,I296),1)*IF(Upgrades!$T$11="Asteroid Belt",POWER(Upgrades!$U$11,J296),1)*IF(Upgrades!$T$12="Asteroid Belt",POWER(Upgrades!$U$12,K296),1))+(IF(G296=0,0,(Upgrades!$G$8+G296*Upgrades!$H$8)*POWER(Upgrades!$I$8,G296)))*(IF(Upgrades!$T$6="Stellar Coupling",POWER(Upgrades!$U$6,E296),1)*IF(Upgrades!$T$7="Stellar Coupling",POWER(Upgrades!$U$7,F296),1)*IF(Upgrades!$T$9="Stellar Coupling",POWER(Upgrades!$U$9,H296),1)*IF(Upgrades!$T$10="Stellar Coupling",POWER(Upgrades!$U$10,I296),1)*IF(Upgrades!$T$11="Stellar Coupling",POWER(Upgrades!$U$11,J296),1)*IF(Upgrades!$T$12="Stellar Coupling",POWER(Upgrades!$U$12,K296),1))+(IF(H296=0,0,(Upgrades!$G$9+H296*Upgrades!$H$9)*POWER(Upgrades!$I$9,H296)))*(IF(Upgrades!$T$6="Magnetosphere",POWER(Upgrades!$U$6,E296),1)*IF(Upgrades!$T$7="Magnetosphere",POWER(Upgrades!$U$7,F296),1)*IF(Upgrades!$T$8="Magnetosphere",POWER(Upgrades!$U$8,G296),1)*IF(Upgrades!$T$10="Magnetosphere",POWER(Upgrades!$U$10,I296),1)*IF(Upgrades!$T$11="Magnetosphere",POWER(Upgrades!$U$11,J296),1)*IF(Upgrades!$T$12="Magnetosphere",POWER(Upgrades!$U$12,K296),1))+(IF(I296=0,0,(Upgrades!$G$10+I296*Upgrades!$H$10)*POWER(Upgrades!$I$10,I296)))*(IF(Upgrades!$T$6="Orbital Resonance",POWER(Upgrades!$U$6,E296),1)*IF(Upgrades!$T$7="Orbital Resonance",POWER(Upgrades!$U$7,F296),1)*IF(Upgrades!$T$8="Orbital Resonance",POWER(Upgrades!$U$8,G296),1)*IF(Upgrades!$T$9="Orbital Resonance",POWER(Upgrades!$U$9,H296),1)*IF(Upgrades!$T$11="Orbital Resonance",POWER(Upgrades!$U$11,J296),1)*IF(Upgrades!$T$12="Orbital Resonance",POWER(Upgrades!$U$12,K296),1))+(IF(J296=0,0,(Upgrades!$G$11+J296*Upgrades!$H$11)*POWER(Upgrades!$I$11,J296)))*(IF(Upgrades!$T$6="Heliopause",POWER(Upgrades!$U$6,E296),1)*IF(Upgrades!$T$7="Heliopause",POWER(Upgrades!$U$7,F296),1)*IF(Upgrades!$T$8="Heliopause",POWER(Upgrades!$U$8,G296),1)*IF(Upgrades!$T$9="Heliopause",POWER(Upgrades!$U$9,H296),1)*IF(Upgrades!$T$10="Heliopause",POWER(Upgrades!$U$10,I296),1)*IF(Upgrades!$T$12="Heliopause",POWER(Upgrades!$U$12,K296),1))+(IF(K296=0,0,(Upgrades!$G$12+K296*Upgrades!$H$12)*POWER(Upgrades!$I$12,K296)))*(IF(Upgrades!$T$6="First Photons",POWER(Upgrades!$U$6,E296),1)*IF(Upgrades!$T$7="First Photons",POWER(Upgrades!$U$7,F296),1)*IF(Upgrades!$T$8="First Photons",POWER(Upgrades!$U$8,G296),1)*IF(Upgrades!$T$9="First Photons",POWER(Upgrades!$U$9,H296),1)*IF(Upgrades!$T$10="First Photons",POWER(Upgrades!$U$10,I296),1)*IF(Upgrades!$T$11="First Photons",POWER(Upgrades!$U$11,J296),1)))*POWER(Upgrades!$P$6,E296)*POWER(Upgrades!$P$7,F296)*POWER(Upgrades!$P$8,G296)*POWER(Upgrades!$P$9,H296)*POWER(Upgrades!$P$10,I296)*POWER(Upgrades!$P$11,J296)*POWER(Upgrades!$P$12,K296)</f>
        <v/>
      </c>
      <c r="O296" s="28">
        <f>((IF(E296=0,0,(Upgrades!$M$6+E296*Upgrades!$N$6)*POWER(Upgrades!$O$6,E296)))*(IF(Upgrades!$T$7="Solar Wind",POWER(Upgrades!$U$7,F296),1)*IF(Upgrades!$T$8="Solar Wind",POWER(Upgrades!$U$8,G296),1)*IF(Upgrades!$T$9="Solar Wind",POWER(Upgrades!$U$9,H296),1)*IF(Upgrades!$T$10="Solar Wind",POWER(Upgrades!$U$10,I296),1)*IF(Upgrades!$T$11="Solar Wind",POWER(Upgrades!$U$11,J296),1)*IF(Upgrades!$T$12="Solar Wind",POWER(Upgrades!$U$12,K296),1))+(IF(F296=0,0,(Upgrades!$M$7+F296*Upgrades!$N$7)*POWER(Upgrades!$O$7,F296)))*(IF(Upgrades!$T$6="Asteroid Belt",POWER(Upgrades!$U$6,E296),1)*IF(Upgrades!$T$8="Asteroid Belt",POWER(Upgrades!$U$8,G296),1)*IF(Upgrades!$T$9="Asteroid Belt",POWER(Upgrades!$U$9,H296),1)*IF(Upgrades!$T$10="Asteroid Belt",POWER(Upgrades!$U$10,I296),1)*IF(Upgrades!$T$11="Asteroid Belt",POWER(Upgrades!$U$11,J296),1)*IF(Upgrades!$T$12="Asteroid Belt",POWER(Upgrades!$U$12,K296),1))+(IF(G296=0,0,(Upgrades!$M$8+G296*Upgrades!$N$8)*POWER(Upgrades!$O$8,G296)))*(IF(Upgrades!$T$6="Stellar Coupling",POWER(Upgrades!$U$6,E296),1)*IF(Upgrades!$T$7="Stellar Coupling",POWER(Upgrades!$U$7,F296),1)*IF(Upgrades!$T$9="Stellar Coupling",POWER(Upgrades!$U$9,H296),1)*IF(Upgrades!$T$10="Stellar Coupling",POWER(Upgrades!$U$10,I296),1)*IF(Upgrades!$T$11="Stellar Coupling",POWER(Upgrades!$U$11,J296),1)*IF(Upgrades!$T$12="Stellar Coupling",POWER(Upgrades!$U$12,K296),1))+(IF(H296=0,0,(Upgrades!$M$9+H296*Upgrades!$N$9)*POWER(Upgrades!$O$9,H296)))*(IF(Upgrades!$T$6="Magnetosphere",POWER(Upgrades!$U$6,E296),1)*IF(Upgrades!$T$7="Magnetosphere",POWER(Upgrades!$U$7,F296),1)*IF(Upgrades!$T$8="Magnetosphere",POWER(Upgrades!$U$8,G296),1)*IF(Upgrades!$T$10="Magnetosphere",POWER(Upgrades!$U$10,I296),1)*IF(Upgrades!$T$11="Magnetosphere",POWER(Upgrades!$U$11,J296),1)*IF(Upgrades!$T$12="Magnetosphere",POWER(Upgrades!$U$12,K296),1))+(IF(I296=0,0,(Upgrades!$M$10+I296*Upgrades!$N$10)*POWER(Upgrades!$O$10,I296)))*(IF(Upgrades!$T$6="Orbital Resonance",POWER(Upgrades!$U$6,E296),1)*IF(Upgrades!$T$7="Orbital Resonance",POWER(Upgrades!$U$7,F296),1)*IF(Upgrades!$T$8="Orbital Resonance",POWER(Upgrades!$U$8,G296),1)*IF(Upgrades!$T$9="Orbital Resonance",POWER(Upgrades!$U$9,H296),1)*IF(Upgrades!$T$11="Orbital Resonance",POWER(Upgrades!$U$11,J296),1)*IF(Upgrades!$T$12="Orbital Resonance",POWER(Upgrades!$U$12,K296),1))+(IF(J296=0,0,(Upgrades!$M$11+J296*Upgrades!$N$11)*POWER(Upgrades!$O$11,J296)))*(IF(Upgrades!$T$6="Heliopause",POWER(Upgrades!$U$6,E296),1)*IF(Upgrades!$T$7="Heliopause",POWER(Upgrades!$U$7,F296),1)*IF(Upgrades!$T$8="Heliopause",POWER(Upgrades!$U$8,G296),1)*IF(Upgrades!$T$9="Heliopause",POWER(Upgrades!$U$9,H296),1)*IF(Upgrades!$T$10="Heliopause",POWER(Upgrades!$U$10,I296),1)*IF(Upgrades!$T$12="Heliopause",POWER(Upgrades!$U$12,K296),1))+(IF(K296=0,0,(Upgrades!$M$12+K296*Upgrades!$N$12)*POWER(Upgrades!$O$12,K296)))*(IF(Upgrades!$T$6="First Photons",POWER(Upgrades!$U$6,E296),1)*IF(Upgrades!$T$7="First Photons",POWER(Upgrades!$U$7,F296),1)*IF(Upgrades!$T$8="First Photons",POWER(Upgrades!$U$8,G296),1)*IF(Upgrades!$T$9="First Photons",POWER(Upgrades!$U$9,H296),1)*IF(Upgrades!$T$10="First Photons",POWER(Upgrades!$U$10,I296),1)*IF(Upgrades!$T$11="First Photons",POWER(Upgrades!$U$11,J296),1)))*POWER(Upgrades!$R$6,E296)*POWER(Upgrades!$R$7,F296)*POWER(Upgrades!$R$8,G296)*POWER(Upgrades!$R$9,H296)*POWER(Upgrades!$R$10,I296)*POWER(Upgrades!$R$11,J296)*POWER(Upgrades!$R$12,K296)</f>
        <v/>
      </c>
      <c r="P296" s="27">
        <f>IF(L296=1,0,M296*Parameters!$B$10/60*Parameters!$B$11*10)</f>
        <v/>
      </c>
      <c r="Q296" s="27">
        <f>IF(L296=1,0,O296*M296*10)</f>
        <v/>
      </c>
      <c r="R296" s="27">
        <f>IF(L296=1,0,N296*10)</f>
        <v/>
      </c>
      <c r="S296" s="27">
        <f>P296+Q296+R296</f>
        <v/>
      </c>
      <c r="T296" s="22">
        <f>C296+S296</f>
        <v/>
      </c>
      <c r="U296" s="33">
        <f>AX296</f>
        <v/>
      </c>
      <c r="V296" s="22">
        <f>IF(U296="",0,IF(U296="transition",0,IF(U296="SW",AG296,IF(U296="AB",AH296,IF(U296="SC",AI296,IF(U296="Mag",AJ296,IF(U296="OR",AK296,IF(U296="HP",AL296,IF(U296="FP",AM296,0)))))))))</f>
        <v/>
      </c>
      <c r="W296" s="27">
        <f>IF(U296="OR",Upgrades!$F$10,IF(U296="HP",Upgrades!$F$11,IF(U296="transition",-Parameters!$B$18,0)))</f>
        <v/>
      </c>
      <c r="X296" s="22">
        <f>T296-V296</f>
        <v/>
      </c>
      <c r="Y296" s="30">
        <f>M296*Parameters!$B$10/60*Parameters!$B$11+O296*M296+N296</f>
        <v/>
      </c>
      <c r="Z296" s="34">
        <f>IF(U296="transition","→ Tier 2 (Stellar Neighborhood)",IF(U296="FP","First Photons — light begins, system quickens",IF(U296="HP","Heliopause acquired",IF(U296="OR","Orbital Resonance — passive multiplier active",IF(AND(AO296=1,L296=0,AN296&lt;&gt;1),"Cohesion ready (waiting on completionist upgrades)","")))))</f>
        <v/>
      </c>
      <c r="AA296" s="27">
        <f>(IF(E296=0,0,(Upgrades!$G$6+E296*Upgrades!$H$6)*POWER(Upgrades!$I$6,E296)))*(IF(Upgrades!$T$7="Solar Wind",POWER(Upgrades!$U$7,F296),1)*IF(Upgrades!$T$8="Solar Wind",POWER(Upgrades!$U$8,G296),1)*IF(Upgrades!$T$9="Solar Wind",POWER(Upgrades!$U$9,H296),1)*IF(Upgrades!$T$10="Solar Wind",POWER(Upgrades!$U$10,I296),1)*IF(Upgrades!$T$11="Solar Wind",POWER(Upgrades!$U$11,J296),1)*IF(Upgrades!$T$12="Solar Wind",POWER(Upgrades!$U$12,K296),1))*POWER(Upgrades!$P$6,E296)*POWER(Upgrades!$P$7,F296)*POWER(Upgrades!$P$8,G296)*POWER(Upgrades!$P$9,H296)*POWER(Upgrades!$P$10,I296)*POWER(Upgrades!$P$11,J296)*POWER(Upgrades!$P$12,K296)*60</f>
        <v/>
      </c>
      <c r="AB296" s="27">
        <f>(IF(F296=0,0,(Upgrades!$G$7+F296*Upgrades!$H$7)*POWER(Upgrades!$I$7,F296)))*(IF(Upgrades!$T$6="Asteroid Belt",POWER(Upgrades!$U$6,E296),1)*IF(Upgrades!$T$8="Asteroid Belt",POWER(Upgrades!$U$8,G296),1)*IF(Upgrades!$T$9="Asteroid Belt",POWER(Upgrades!$U$9,H296),1)*IF(Upgrades!$T$10="Asteroid Belt",POWER(Upgrades!$U$10,I296),1)*IF(Upgrades!$T$11="Asteroid Belt",POWER(Upgrades!$U$11,J296),1)*IF(Upgrades!$T$12="Asteroid Belt",POWER(Upgrades!$U$12,K296),1))*POWER(Upgrades!$P$6,E296)*POWER(Upgrades!$P$7,F296)*POWER(Upgrades!$P$8,G296)*POWER(Upgrades!$P$9,H296)*POWER(Upgrades!$P$10,I296)*POWER(Upgrades!$P$11,J296)*POWER(Upgrades!$P$12,K296)*60</f>
        <v/>
      </c>
      <c r="AC296" s="27">
        <f>(IF(G296=0,0,(Upgrades!$J$8+G296*Upgrades!$K$8)*POWER(Upgrades!$L$8,G296)))*(IF(Upgrades!$T$6="Stellar Coupling",POWER(Upgrades!$U$6,E296),1)*IF(Upgrades!$T$7="Stellar Coupling",POWER(Upgrades!$U$7,F296),1)*IF(Upgrades!$T$9="Stellar Coupling",POWER(Upgrades!$U$9,H296),1)*IF(Upgrades!$T$10="Stellar Coupling",POWER(Upgrades!$U$10,I296),1)*IF(Upgrades!$T$11="Stellar Coupling",POWER(Upgrades!$U$11,J296),1)*IF(Upgrades!$T$12="Stellar Coupling",POWER(Upgrades!$U$12,K296),1))*POWER(Upgrades!$Q$6,E296)*POWER(Upgrades!$Q$7,F296)*POWER(Upgrades!$Q$8,G296)*POWER(Upgrades!$Q$9,H296)*POWER(Upgrades!$Q$10,I296)*POWER(Upgrades!$Q$11,J296)*POWER(Upgrades!$Q$12,K296)*Parameters!$B$10*Parameters!$B$11</f>
        <v/>
      </c>
      <c r="AD296" s="27">
        <f>(IF(H296=0,0,(Upgrades!$G$9+H296*Upgrades!$H$9)*POWER(Upgrades!$I$9,H296)))*(IF(Upgrades!$T$6="Magnetosphere",POWER(Upgrades!$U$6,E296),1)*IF(Upgrades!$T$7="Magnetosphere",POWER(Upgrades!$U$7,F296),1)*IF(Upgrades!$T$8="Magnetosphere",POWER(Upgrades!$U$8,G296),1)*IF(Upgrades!$T$10="Magnetosphere",POWER(Upgrades!$U$10,I296),1)*IF(Upgrades!$T$11="Magnetosphere",POWER(Upgrades!$U$11,J296),1)*IF(Upgrades!$T$12="Magnetosphere",POWER(Upgrades!$U$12,K296),1))*POWER(Upgrades!$P$6,E296)*POWER(Upgrades!$P$7,F296)*POWER(Upgrades!$P$8,G296)*POWER(Upgrades!$P$9,H296)*POWER(Upgrades!$P$10,I296)*POWER(Upgrades!$P$11,J296)*POWER(Upgrades!$P$12,K296)*60</f>
        <v/>
      </c>
      <c r="AE296" s="27">
        <f>(IF(K296=0,0,(Upgrades!$G$12+K296*Upgrades!$H$12)*POWER(Upgrades!$I$12,K296)))*(IF(Upgrades!$T$6="First Photons",POWER(Upgrades!$U$6,E296),1)*IF(Upgrades!$T$7="First Photons",POWER(Upgrades!$U$7,F296),1)*IF(Upgrades!$T$8="First Photons",POWER(Upgrades!$U$8,G296),1)*IF(Upgrades!$T$9="First Photons",POWER(Upgrades!$U$9,H296),1)*IF(Upgrades!$T$10="First Photons",POWER(Upgrades!$U$10,I296),1)*IF(Upgrades!$T$11="First Photons",POWER(Upgrades!$U$11,J296),1))*POWER(Upgrades!$P$6,E296)*POWER(Upgrades!$P$7,F296)*POWER(Upgrades!$P$8,G296)*POWER(Upgrades!$P$9,H296)*POWER(Upgrades!$P$10,I296)*POWER(Upgrades!$P$11,J296)*POWER(Upgrades!$P$12,K296)*60</f>
        <v/>
      </c>
      <c r="AF296" s="27">
        <f>Parameters!$B$9*POWER(Upgrades!$Q$6,E296)*POWER(Upgrades!$Q$7,F296)*POWER(Upgrades!$Q$8,G296)*POWER(Upgrades!$Q$9,H296)*POWER(Upgrades!$Q$10,I296)*POWER(Upgrades!$Q$11,J296)*POWER(Upgrades!$Q$12,K296)*(Parameters!$B$10*Parameters!$B$11+O296*60)</f>
        <v/>
      </c>
      <c r="AG296" s="22">
        <f>IF(E296&gt;=Upgrades!$E$6,"",Upgrades!$C$6*POWER(Upgrades!$D$6,E296))</f>
        <v/>
      </c>
      <c r="AH296" s="22">
        <f>IF(F296&gt;=Upgrades!$E$7,"",Upgrades!$C$7*POWER(Upgrades!$D$7,F296))</f>
        <v/>
      </c>
      <c r="AI296" s="22">
        <f>IF(G296&gt;=Upgrades!$E$8,"",Upgrades!$C$8*POWER(Upgrades!$D$8,G296))</f>
        <v/>
      </c>
      <c r="AJ296" s="22">
        <f>IF(H296&gt;=Upgrades!$E$9,"",Upgrades!$C$9*POWER(Upgrades!$D$9,H296))</f>
        <v/>
      </c>
      <c r="AK296" s="22">
        <f>IF(I296&gt;=Upgrades!$E$10,"",Upgrades!$C$10*POWER(Upgrades!$D$10,I296))</f>
        <v/>
      </c>
      <c r="AL296" s="22">
        <f>IF(J296&gt;=Upgrades!$E$11,"",Upgrades!$C$11*POWER(Upgrades!$D$11,J296))</f>
        <v/>
      </c>
      <c r="AM296" s="22">
        <f>IF(K296&gt;=Upgrades!$E$12,"",Upgrades!$C$12*POWER(Upgrades!$D$12,K296))</f>
        <v/>
      </c>
      <c r="AN296" s="26">
        <f>IF(AND(D296&gt;=Parameters!$B$18,(H296&gt;=Upgrades!$E$9)*(K296&gt;=Upgrades!$E$12)=1,L296=0),1,"")</f>
        <v/>
      </c>
      <c r="AO296" s="26">
        <f>IF(AND(D296&gt;=Parameters!$B$18,L296=0),1,"")</f>
        <v/>
      </c>
      <c r="AP296" s="22">
        <f>MIN(IF(ISNUMBER(AK296),AK296,9E15),IF(ISNUMBER(AL296),AL296,9E15),IF(ISNUMBER(AM296),AM296,9E15))</f>
        <v/>
      </c>
      <c r="AQ296" s="22">
        <f>MIN(IF(ISNUMBER(AG296),AG296,9E15),IF(ISNUMBER(AH296),AH296,9E15),IF(ISNUMBER(AI296),AI296,9E15),IF(ISNUMBER(AJ296),AJ296,9E15))</f>
        <v/>
      </c>
      <c r="AR296" s="29">
        <f>IF(AW296&gt;Parameters!$B$21*(MAX(IF(AND(NOT(AND(AO296=1,AN296&lt;&gt;1)),ISNUMBER(AG296),AG296&lt;=T296),AS296,0),IF(AND(NOT(AND(AO296=1,AN296&lt;&gt;1)),ISNUMBER(AH296),AH296&lt;=T296),AT296,0),IF(AND(NOT(AND(AO296=1,AN296&lt;&gt;1)),ISNUMBER(AI296),AI296&lt;=T296),AU296,0),IF(AND(ISNUMBER(AJ296),AJ296&lt;=T296),AV296,0))),TRUE,FALSE)</f>
        <v/>
      </c>
      <c r="AS296" s="32">
        <f>IFERROR(Upgrades!$H$6*(POWER(Upgrades!$P$6,E296)*POWER(Upgrades!$P$7,F296)*POWER(Upgrades!$P$8,G296)*POWER(Upgrades!$P$9,H296)*POWER(Upgrades!$P$10,I296)*POWER(Upgrades!$P$11,J296)*POWER(Upgrades!$P$12,K296))*(IF(Upgrades!$T$7="Solar Wind",POWER(Upgrades!$U$7,F296),1)*IF(Upgrades!$T$8="Solar Wind",POWER(Upgrades!$U$8,G296),1)*IF(Upgrades!$T$9="Solar Wind",POWER(Upgrades!$U$9,H296),1)*IF(Upgrades!$T$10="Solar Wind",POWER(Upgrades!$U$10,I296),1)*IF(Upgrades!$T$11="Solar Wind",POWER(Upgrades!$U$11,J296),1)*IF(Upgrades!$T$12="Solar Wind",POWER(Upgrades!$U$12,K296),1))/AG296,0)</f>
        <v/>
      </c>
      <c r="AT296" s="32">
        <f>IFERROR(Upgrades!$H$7*(POWER(Upgrades!$P$6,E296)*POWER(Upgrades!$P$7,F296)*POWER(Upgrades!$P$8,G296)*POWER(Upgrades!$P$9,H296)*POWER(Upgrades!$P$10,I296)*POWER(Upgrades!$P$11,J296)*POWER(Upgrades!$P$12,K296))*(IF(Upgrades!$T$6="Asteroid Belt",POWER(Upgrades!$U$6,E296),1)*IF(Upgrades!$T$8="Asteroid Belt",POWER(Upgrades!$U$8,G296),1)*IF(Upgrades!$T$9="Asteroid Belt",POWER(Upgrades!$U$9,H296),1)*IF(Upgrades!$T$10="Asteroid Belt",POWER(Upgrades!$U$10,I296),1)*IF(Upgrades!$T$11="Asteroid Belt",POWER(Upgrades!$U$11,J296),1)*IF(Upgrades!$T$12="Asteroid Belt",POWER(Upgrades!$U$12,K296),1))/AH296,0)</f>
        <v/>
      </c>
      <c r="AU296" s="32">
        <f>IFERROR(Upgrades!$K$8*(POWER(Upgrades!$Q$6,E296)*POWER(Upgrades!$Q$7,F296)*POWER(Upgrades!$Q$8,G296)*POWER(Upgrades!$Q$9,H296)*POWER(Upgrades!$Q$10,I296)*POWER(Upgrades!$Q$11,J296)*POWER(Upgrades!$Q$12,K296))*(IF(Upgrades!$T$6="Stellar Coupling",POWER(Upgrades!$U$6,E296),1)*IF(Upgrades!$T$7="Stellar Coupling",POWER(Upgrades!$U$7,F296),1)*IF(Upgrades!$T$9="Stellar Coupling",POWER(Upgrades!$U$9,H296),1)*IF(Upgrades!$T$10="Stellar Coupling",POWER(Upgrades!$U$10,I296),1)*IF(Upgrades!$T$11="Stellar Coupling",POWER(Upgrades!$U$11,J296),1)*IF(Upgrades!$T$12="Stellar Coupling",POWER(Upgrades!$U$12,K296),1))*Parameters!$B$10*Parameters!$B$11/60/AI296,0)</f>
        <v/>
      </c>
      <c r="AV296" s="32">
        <f>IFERROR(Upgrades!$H$9*(POWER(Upgrades!$P$6,E296)*POWER(Upgrades!$P$7,F296)*POWER(Upgrades!$P$8,G296)*POWER(Upgrades!$P$9,H296)*POWER(Upgrades!$P$10,I296)*POWER(Upgrades!$P$11,J296)*POWER(Upgrades!$P$12,K296))*(IF(Upgrades!$T$6="Magnetosphere",POWER(Upgrades!$U$6,E296),1)*IF(Upgrades!$T$7="Magnetosphere",POWER(Upgrades!$U$7,F296),1)*IF(Upgrades!$T$8="Magnetosphere",POWER(Upgrades!$U$8,G296),1)*IF(Upgrades!$T$10="Magnetosphere",POWER(Upgrades!$U$10,I296),1)*IF(Upgrades!$T$11="Magnetosphere",POWER(Upgrades!$U$11,J296),1)*IF(Upgrades!$T$12="Magnetosphere",POWER(Upgrades!$U$12,K296),1))/AJ296,0)</f>
        <v/>
      </c>
      <c r="AW296" s="32">
        <f>MAX(IF(I296&gt;0,0,IFERROR(0.25*N296/Upgrades!$C$10,0)),IF(J296&gt;0,0,IFERROR(0.5*((IF(G296=0,0,(Upgrades!$J$8+G296*Upgrades!$K$8)*POWER(Upgrades!$L$8,G296)))*(IF(Upgrades!$T$6="Stellar Coupling",POWER(Upgrades!$U$6,E296),1)*IF(Upgrades!$T$7="Stellar Coupling",POWER(Upgrades!$U$7,F296),1)*IF(Upgrades!$T$9="Stellar Coupling",POWER(Upgrades!$U$9,H296),1)*IF(Upgrades!$T$10="Stellar Coupling",POWER(Upgrades!$U$10,I296),1)*IF(Upgrades!$T$11="Stellar Coupling",POWER(Upgrades!$U$11,J296),1)*IF(Upgrades!$T$12="Stellar Coupling",POWER(Upgrades!$U$12,K296),1))*(POWER(Upgrades!$Q$6,E296)*POWER(Upgrades!$Q$7,F296)*POWER(Upgrades!$Q$8,G296)*POWER(Upgrades!$Q$9,H296)*POWER(Upgrades!$Q$10,I296)*POWER(Upgrades!$Q$11,J296)*POWER(Upgrades!$Q$12,K296))*Parameters!$B$10*Parameters!$B$11/60)/Upgrades!$C$11,0)),IF(K296&gt;0,0,IFERROR((1.0*(POWER(Upgrades!$P$6,E296)*POWER(Upgrades!$P$7,F296)*POWER(Upgrades!$P$8,G296)*POWER(Upgrades!$P$9,H296)*POWER(Upgrades!$P$10,I296)*POWER(Upgrades!$P$11,J296)*POWER(Upgrades!$P$12,K296))+0.20*M296*Parameters!$B$10*Parameters!$B$11/60)/Upgrades!$C$12,0)),IF(AND(ISNUMBER(AG296),AG296&gt;T296),AS296,0),IF(AND(ISNUMBER(AH296),AH296&gt;T296),AT296,0),IF(AND(ISNUMBER(AI296),AI296&gt;T296),AU296,0),IF(AND(ISNUMBER(AJ296),AJ296&gt;T296),AV296,0))</f>
        <v/>
      </c>
      <c r="AX296" s="29">
        <f>IF(AN296=1,"transition",IF(MIN(IF(AND(I296=0,ISNUMBER(AK296),AK296&lt;=T296),AK296,9E15),IF(AND(J296=0,ISNUMBER(AL296),AL296&lt;=T296),AL296,9E15),IF(AND(K296=0,ISNUMBER(AM296),AM296&lt;=T296),AM296,9E15))&lt;9E15,IF(AND(AND(I296=0,ISNUMBER(AK296),AK296&lt;=T296),AK296=MIN(IF(AND(I296=0,ISNUMBER(AK296),AK296&lt;=T296),AK296,9E15),IF(AND(J296=0,ISNUMBER(AL296),AL296&lt;=T296),AL296,9E15),IF(AND(K296=0,ISNUMBER(AM296),AM296&lt;=T296),AM296,9E15))),"OR",IF(AND(AND(J296=0,ISNUMBER(AL296),AL296&lt;=T296),AL296=MIN(IF(AND(I296=0,ISNUMBER(AK296),AK296&lt;=T296),AK296,9E15),IF(AND(J296=0,ISNUMBER(AL296),AL296&lt;=T296),AL296,9E15),IF(AND(K296=0,ISNUMBER(AM296),AM296&lt;=T296),AM296,9E15))),"HP","FP")),IF(AR296=TRUE,"",IF(MAX(IF(AND(NOT(AND(AO296=1,AN296&lt;&gt;1)),ISNUMBER(AG296),AG296&lt;=T296),AS296,0),IF(AND(NOT(AND(AO296=1,AN296&lt;&gt;1)),ISNUMBER(AH296),AH296&lt;=T296),AT296,0),IF(AND(NOT(AND(AO296=1,AN296&lt;&gt;1)),ISNUMBER(AI296),AI296&lt;=T296),AU296,0),IF(AND(ISNUMBER(AJ296),AJ296&lt;=T296),AV296,0))&lt;=0,"",IF(AND(IF(AND(NOT(AND(AO296=1,AN296&lt;&gt;1)),ISNUMBER(AG296),AG296&lt;=T296),AS296,0)&gt;0,IF(AND(NOT(AND(AO296=1,AN296&lt;&gt;1)),ISNUMBER(AG296),AG296&lt;=T296),AS296,0)=MAX(IF(AND(NOT(AND(AO296=1,AN296&lt;&gt;1)),ISNUMBER(AG296),AG296&lt;=T296),AS296,0),IF(AND(NOT(AND(AO296=1,AN296&lt;&gt;1)),ISNUMBER(AH296),AH296&lt;=T296),AT296,0),IF(AND(NOT(AND(AO296=1,AN296&lt;&gt;1)),ISNUMBER(AI296),AI296&lt;=T296),AU296,0),IF(AND(ISNUMBER(AJ296),AJ296&lt;=T296),AV296,0))),"SW",IF(AND(IF(AND(NOT(AND(AO296=1,AN296&lt;&gt;1)),ISNUMBER(AH296),AH296&lt;=T296),AT296,0)&gt;0,IF(AND(NOT(AND(AO296=1,AN296&lt;&gt;1)),ISNUMBER(AH296),AH296&lt;=T296),AT296,0)=MAX(IF(AND(NOT(AND(AO296=1,AN296&lt;&gt;1)),ISNUMBER(AG296),AG296&lt;=T296),AS296,0),IF(AND(NOT(AND(AO296=1,AN296&lt;&gt;1)),ISNUMBER(AH296),AH296&lt;=T296),AT296,0),IF(AND(NOT(AND(AO296=1,AN296&lt;&gt;1)),ISNUMBER(AI296),AI296&lt;=T296),AU296,0),IF(AND(ISNUMBER(AJ296),AJ296&lt;=T296),AV296,0))),"AB",IF(AND(IF(AND(NOT(AND(AO296=1,AN296&lt;&gt;1)),ISNUMBER(AI296),AI296&lt;=T296),AU296,0)&gt;0,IF(AND(NOT(AND(AO296=1,AN296&lt;&gt;1)),ISNUMBER(AI296),AI296&lt;=T296),AU296,0)=MAX(IF(AND(NOT(AND(AO296=1,AN296&lt;&gt;1)),ISNUMBER(AG296),AG296&lt;=T296),AS296,0),IF(AND(NOT(AND(AO296=1,AN296&lt;&gt;1)),ISNUMBER(AH296),AH296&lt;=T296),AT296,0),IF(AND(NOT(AND(AO296=1,AN296&lt;&gt;1)),ISNUMBER(AI296),AI296&lt;=T296),AU296,0),IF(AND(ISNUMBER(AJ296),AJ296&lt;=T296),AV296,0))),"SC","Mag")))))))</f>
        <v/>
      </c>
    </row>
    <row r="297">
      <c r="A297" s="26" t="n">
        <v>292</v>
      </c>
      <c r="B297" s="27">
        <f>A297*10/60</f>
        <v/>
      </c>
      <c r="C297" s="22">
        <f>X296</f>
        <v/>
      </c>
      <c r="D297" s="27">
        <f>D296+W296</f>
        <v/>
      </c>
      <c r="E297" s="26">
        <f>E296+IF(U296="SW",1,0)</f>
        <v/>
      </c>
      <c r="F297" s="26">
        <f>F296+IF(U296="AB",1,0)</f>
        <v/>
      </c>
      <c r="G297" s="26">
        <f>G296+IF(U296="SC",1,0)</f>
        <v/>
      </c>
      <c r="H297" s="26">
        <f>H296+IF(U296="Mag",1,0)</f>
        <v/>
      </c>
      <c r="I297" s="26">
        <f>MAX(I296,IF(U296="OR",1,0))</f>
        <v/>
      </c>
      <c r="J297" s="26">
        <f>MAX(J296,IF(U296="HP",1,0))</f>
        <v/>
      </c>
      <c r="K297" s="26">
        <f>MAX(K296,IF(U296="FP",1,0))</f>
        <v/>
      </c>
      <c r="L297" s="26">
        <f>MAX(L296,IF(U296="transition",1,0))</f>
        <v/>
      </c>
      <c r="M297" s="28">
        <f>(Parameters!$B$9+(IF(E297=0,0,(Upgrades!$J$6+E297*Upgrades!$K$6)*POWER(Upgrades!$L$6,E297)))*(IF(Upgrades!$T$7="Solar Wind",POWER(Upgrades!$U$7,F297),1)*IF(Upgrades!$T$8="Solar Wind",POWER(Upgrades!$U$8,G297),1)*IF(Upgrades!$T$9="Solar Wind",POWER(Upgrades!$U$9,H297),1)*IF(Upgrades!$T$10="Solar Wind",POWER(Upgrades!$U$10,I297),1)*IF(Upgrades!$T$11="Solar Wind",POWER(Upgrades!$U$11,J297),1)*IF(Upgrades!$T$12="Solar Wind",POWER(Upgrades!$U$12,K297),1))+(IF(F297=0,0,(Upgrades!$J$7+F297*Upgrades!$K$7)*POWER(Upgrades!$L$7,F297)))*(IF(Upgrades!$T$6="Asteroid Belt",POWER(Upgrades!$U$6,E297),1)*IF(Upgrades!$T$8="Asteroid Belt",POWER(Upgrades!$U$8,G297),1)*IF(Upgrades!$T$9="Asteroid Belt",POWER(Upgrades!$U$9,H297),1)*IF(Upgrades!$T$10="Asteroid Belt",POWER(Upgrades!$U$10,I297),1)*IF(Upgrades!$T$11="Asteroid Belt",POWER(Upgrades!$U$11,J297),1)*IF(Upgrades!$T$12="Asteroid Belt",POWER(Upgrades!$U$12,K297),1))+(IF(G297=0,0,(Upgrades!$J$8+G297*Upgrades!$K$8)*POWER(Upgrades!$L$8,G297)))*(IF(Upgrades!$T$6="Stellar Coupling",POWER(Upgrades!$U$6,E297),1)*IF(Upgrades!$T$7="Stellar Coupling",POWER(Upgrades!$U$7,F297),1)*IF(Upgrades!$T$9="Stellar Coupling",POWER(Upgrades!$U$9,H297),1)*IF(Upgrades!$T$10="Stellar Coupling",POWER(Upgrades!$U$10,I297),1)*IF(Upgrades!$T$11="Stellar Coupling",POWER(Upgrades!$U$11,J297),1)*IF(Upgrades!$T$12="Stellar Coupling",POWER(Upgrades!$U$12,K297),1))+(IF(H297=0,0,(Upgrades!$J$9+H297*Upgrades!$K$9)*POWER(Upgrades!$L$9,H297)))*(IF(Upgrades!$T$6="Magnetosphere",POWER(Upgrades!$U$6,E297),1)*IF(Upgrades!$T$7="Magnetosphere",POWER(Upgrades!$U$7,F297),1)*IF(Upgrades!$T$8="Magnetosphere",POWER(Upgrades!$U$8,G297),1)*IF(Upgrades!$T$10="Magnetosphere",POWER(Upgrades!$U$10,I297),1)*IF(Upgrades!$T$11="Magnetosphere",POWER(Upgrades!$U$11,J297),1)*IF(Upgrades!$T$12="Magnetosphere",POWER(Upgrades!$U$12,K297),1))+(IF(I297=0,0,(Upgrades!$J$10+I297*Upgrades!$K$10)*POWER(Upgrades!$L$10,I297)))*(IF(Upgrades!$T$6="Orbital Resonance",POWER(Upgrades!$U$6,E297),1)*IF(Upgrades!$T$7="Orbital Resonance",POWER(Upgrades!$U$7,F297),1)*IF(Upgrades!$T$8="Orbital Resonance",POWER(Upgrades!$U$8,G297),1)*IF(Upgrades!$T$9="Orbital Resonance",POWER(Upgrades!$U$9,H297),1)*IF(Upgrades!$T$11="Orbital Resonance",POWER(Upgrades!$U$11,J297),1)*IF(Upgrades!$T$12="Orbital Resonance",POWER(Upgrades!$U$12,K297),1))+(IF(J297=0,0,(Upgrades!$J$11+J297*Upgrades!$K$11)*POWER(Upgrades!$L$11,J297)))*(IF(Upgrades!$T$6="Heliopause",POWER(Upgrades!$U$6,E297),1)*IF(Upgrades!$T$7="Heliopause",POWER(Upgrades!$U$7,F297),1)*IF(Upgrades!$T$8="Heliopause",POWER(Upgrades!$U$8,G297),1)*IF(Upgrades!$T$9="Heliopause",POWER(Upgrades!$U$9,H297),1)*IF(Upgrades!$T$10="Heliopause",POWER(Upgrades!$U$10,I297),1)*IF(Upgrades!$T$12="Heliopause",POWER(Upgrades!$U$12,K297),1))+(IF(K297=0,0,(Upgrades!$J$12+K297*Upgrades!$K$12)*POWER(Upgrades!$L$12,K297)))*(IF(Upgrades!$T$6="First Photons",POWER(Upgrades!$U$6,E297),1)*IF(Upgrades!$T$7="First Photons",POWER(Upgrades!$U$7,F297),1)*IF(Upgrades!$T$8="First Photons",POWER(Upgrades!$U$8,G297),1)*IF(Upgrades!$T$9="First Photons",POWER(Upgrades!$U$9,H297),1)*IF(Upgrades!$T$10="First Photons",POWER(Upgrades!$U$10,I297),1)*IF(Upgrades!$T$11="First Photons",POWER(Upgrades!$U$11,J297),1)))*POWER(Upgrades!$Q$6,E297)*POWER(Upgrades!$Q$7,F297)*POWER(Upgrades!$Q$8,G297)*POWER(Upgrades!$Q$9,H297)*POWER(Upgrades!$Q$10,I297)*POWER(Upgrades!$Q$11,J297)*POWER(Upgrades!$Q$12,K297)</f>
        <v/>
      </c>
      <c r="N297" s="28">
        <f>((IF(E297=0,0,(Upgrades!$G$6+E297*Upgrades!$H$6)*POWER(Upgrades!$I$6,E297)))*(IF(Upgrades!$T$7="Solar Wind",POWER(Upgrades!$U$7,F297),1)*IF(Upgrades!$T$8="Solar Wind",POWER(Upgrades!$U$8,G297),1)*IF(Upgrades!$T$9="Solar Wind",POWER(Upgrades!$U$9,H297),1)*IF(Upgrades!$T$10="Solar Wind",POWER(Upgrades!$U$10,I297),1)*IF(Upgrades!$T$11="Solar Wind",POWER(Upgrades!$U$11,J297),1)*IF(Upgrades!$T$12="Solar Wind",POWER(Upgrades!$U$12,K297),1))+(IF(F297=0,0,(Upgrades!$G$7+F297*Upgrades!$H$7)*POWER(Upgrades!$I$7,F297)))*(IF(Upgrades!$T$6="Asteroid Belt",POWER(Upgrades!$U$6,E297),1)*IF(Upgrades!$T$8="Asteroid Belt",POWER(Upgrades!$U$8,G297),1)*IF(Upgrades!$T$9="Asteroid Belt",POWER(Upgrades!$U$9,H297),1)*IF(Upgrades!$T$10="Asteroid Belt",POWER(Upgrades!$U$10,I297),1)*IF(Upgrades!$T$11="Asteroid Belt",POWER(Upgrades!$U$11,J297),1)*IF(Upgrades!$T$12="Asteroid Belt",POWER(Upgrades!$U$12,K297),1))+(IF(G297=0,0,(Upgrades!$G$8+G297*Upgrades!$H$8)*POWER(Upgrades!$I$8,G297)))*(IF(Upgrades!$T$6="Stellar Coupling",POWER(Upgrades!$U$6,E297),1)*IF(Upgrades!$T$7="Stellar Coupling",POWER(Upgrades!$U$7,F297),1)*IF(Upgrades!$T$9="Stellar Coupling",POWER(Upgrades!$U$9,H297),1)*IF(Upgrades!$T$10="Stellar Coupling",POWER(Upgrades!$U$10,I297),1)*IF(Upgrades!$T$11="Stellar Coupling",POWER(Upgrades!$U$11,J297),1)*IF(Upgrades!$T$12="Stellar Coupling",POWER(Upgrades!$U$12,K297),1))+(IF(H297=0,0,(Upgrades!$G$9+H297*Upgrades!$H$9)*POWER(Upgrades!$I$9,H297)))*(IF(Upgrades!$T$6="Magnetosphere",POWER(Upgrades!$U$6,E297),1)*IF(Upgrades!$T$7="Magnetosphere",POWER(Upgrades!$U$7,F297),1)*IF(Upgrades!$T$8="Magnetosphere",POWER(Upgrades!$U$8,G297),1)*IF(Upgrades!$T$10="Magnetosphere",POWER(Upgrades!$U$10,I297),1)*IF(Upgrades!$T$11="Magnetosphere",POWER(Upgrades!$U$11,J297),1)*IF(Upgrades!$T$12="Magnetosphere",POWER(Upgrades!$U$12,K297),1))+(IF(I297=0,0,(Upgrades!$G$10+I297*Upgrades!$H$10)*POWER(Upgrades!$I$10,I297)))*(IF(Upgrades!$T$6="Orbital Resonance",POWER(Upgrades!$U$6,E297),1)*IF(Upgrades!$T$7="Orbital Resonance",POWER(Upgrades!$U$7,F297),1)*IF(Upgrades!$T$8="Orbital Resonance",POWER(Upgrades!$U$8,G297),1)*IF(Upgrades!$T$9="Orbital Resonance",POWER(Upgrades!$U$9,H297),1)*IF(Upgrades!$T$11="Orbital Resonance",POWER(Upgrades!$U$11,J297),1)*IF(Upgrades!$T$12="Orbital Resonance",POWER(Upgrades!$U$12,K297),1))+(IF(J297=0,0,(Upgrades!$G$11+J297*Upgrades!$H$11)*POWER(Upgrades!$I$11,J297)))*(IF(Upgrades!$T$6="Heliopause",POWER(Upgrades!$U$6,E297),1)*IF(Upgrades!$T$7="Heliopause",POWER(Upgrades!$U$7,F297),1)*IF(Upgrades!$T$8="Heliopause",POWER(Upgrades!$U$8,G297),1)*IF(Upgrades!$T$9="Heliopause",POWER(Upgrades!$U$9,H297),1)*IF(Upgrades!$T$10="Heliopause",POWER(Upgrades!$U$10,I297),1)*IF(Upgrades!$T$12="Heliopause",POWER(Upgrades!$U$12,K297),1))+(IF(K297=0,0,(Upgrades!$G$12+K297*Upgrades!$H$12)*POWER(Upgrades!$I$12,K297)))*(IF(Upgrades!$T$6="First Photons",POWER(Upgrades!$U$6,E297),1)*IF(Upgrades!$T$7="First Photons",POWER(Upgrades!$U$7,F297),1)*IF(Upgrades!$T$8="First Photons",POWER(Upgrades!$U$8,G297),1)*IF(Upgrades!$T$9="First Photons",POWER(Upgrades!$U$9,H297),1)*IF(Upgrades!$T$10="First Photons",POWER(Upgrades!$U$10,I297),1)*IF(Upgrades!$T$11="First Photons",POWER(Upgrades!$U$11,J297),1)))*POWER(Upgrades!$P$6,E297)*POWER(Upgrades!$P$7,F297)*POWER(Upgrades!$P$8,G297)*POWER(Upgrades!$P$9,H297)*POWER(Upgrades!$P$10,I297)*POWER(Upgrades!$P$11,J297)*POWER(Upgrades!$P$12,K297)</f>
        <v/>
      </c>
      <c r="O297" s="28">
        <f>((IF(E297=0,0,(Upgrades!$M$6+E297*Upgrades!$N$6)*POWER(Upgrades!$O$6,E297)))*(IF(Upgrades!$T$7="Solar Wind",POWER(Upgrades!$U$7,F297),1)*IF(Upgrades!$T$8="Solar Wind",POWER(Upgrades!$U$8,G297),1)*IF(Upgrades!$T$9="Solar Wind",POWER(Upgrades!$U$9,H297),1)*IF(Upgrades!$T$10="Solar Wind",POWER(Upgrades!$U$10,I297),1)*IF(Upgrades!$T$11="Solar Wind",POWER(Upgrades!$U$11,J297),1)*IF(Upgrades!$T$12="Solar Wind",POWER(Upgrades!$U$12,K297),1))+(IF(F297=0,0,(Upgrades!$M$7+F297*Upgrades!$N$7)*POWER(Upgrades!$O$7,F297)))*(IF(Upgrades!$T$6="Asteroid Belt",POWER(Upgrades!$U$6,E297),1)*IF(Upgrades!$T$8="Asteroid Belt",POWER(Upgrades!$U$8,G297),1)*IF(Upgrades!$T$9="Asteroid Belt",POWER(Upgrades!$U$9,H297),1)*IF(Upgrades!$T$10="Asteroid Belt",POWER(Upgrades!$U$10,I297),1)*IF(Upgrades!$T$11="Asteroid Belt",POWER(Upgrades!$U$11,J297),1)*IF(Upgrades!$T$12="Asteroid Belt",POWER(Upgrades!$U$12,K297),1))+(IF(G297=0,0,(Upgrades!$M$8+G297*Upgrades!$N$8)*POWER(Upgrades!$O$8,G297)))*(IF(Upgrades!$T$6="Stellar Coupling",POWER(Upgrades!$U$6,E297),1)*IF(Upgrades!$T$7="Stellar Coupling",POWER(Upgrades!$U$7,F297),1)*IF(Upgrades!$T$9="Stellar Coupling",POWER(Upgrades!$U$9,H297),1)*IF(Upgrades!$T$10="Stellar Coupling",POWER(Upgrades!$U$10,I297),1)*IF(Upgrades!$T$11="Stellar Coupling",POWER(Upgrades!$U$11,J297),1)*IF(Upgrades!$T$12="Stellar Coupling",POWER(Upgrades!$U$12,K297),1))+(IF(H297=0,0,(Upgrades!$M$9+H297*Upgrades!$N$9)*POWER(Upgrades!$O$9,H297)))*(IF(Upgrades!$T$6="Magnetosphere",POWER(Upgrades!$U$6,E297),1)*IF(Upgrades!$T$7="Magnetosphere",POWER(Upgrades!$U$7,F297),1)*IF(Upgrades!$T$8="Magnetosphere",POWER(Upgrades!$U$8,G297),1)*IF(Upgrades!$T$10="Magnetosphere",POWER(Upgrades!$U$10,I297),1)*IF(Upgrades!$T$11="Magnetosphere",POWER(Upgrades!$U$11,J297),1)*IF(Upgrades!$T$12="Magnetosphere",POWER(Upgrades!$U$12,K297),1))+(IF(I297=0,0,(Upgrades!$M$10+I297*Upgrades!$N$10)*POWER(Upgrades!$O$10,I297)))*(IF(Upgrades!$T$6="Orbital Resonance",POWER(Upgrades!$U$6,E297),1)*IF(Upgrades!$T$7="Orbital Resonance",POWER(Upgrades!$U$7,F297),1)*IF(Upgrades!$T$8="Orbital Resonance",POWER(Upgrades!$U$8,G297),1)*IF(Upgrades!$T$9="Orbital Resonance",POWER(Upgrades!$U$9,H297),1)*IF(Upgrades!$T$11="Orbital Resonance",POWER(Upgrades!$U$11,J297),1)*IF(Upgrades!$T$12="Orbital Resonance",POWER(Upgrades!$U$12,K297),1))+(IF(J297=0,0,(Upgrades!$M$11+J297*Upgrades!$N$11)*POWER(Upgrades!$O$11,J297)))*(IF(Upgrades!$T$6="Heliopause",POWER(Upgrades!$U$6,E297),1)*IF(Upgrades!$T$7="Heliopause",POWER(Upgrades!$U$7,F297),1)*IF(Upgrades!$T$8="Heliopause",POWER(Upgrades!$U$8,G297),1)*IF(Upgrades!$T$9="Heliopause",POWER(Upgrades!$U$9,H297),1)*IF(Upgrades!$T$10="Heliopause",POWER(Upgrades!$U$10,I297),1)*IF(Upgrades!$T$12="Heliopause",POWER(Upgrades!$U$12,K297),1))+(IF(K297=0,0,(Upgrades!$M$12+K297*Upgrades!$N$12)*POWER(Upgrades!$O$12,K297)))*(IF(Upgrades!$T$6="First Photons",POWER(Upgrades!$U$6,E297),1)*IF(Upgrades!$T$7="First Photons",POWER(Upgrades!$U$7,F297),1)*IF(Upgrades!$T$8="First Photons",POWER(Upgrades!$U$8,G297),1)*IF(Upgrades!$T$9="First Photons",POWER(Upgrades!$U$9,H297),1)*IF(Upgrades!$T$10="First Photons",POWER(Upgrades!$U$10,I297),1)*IF(Upgrades!$T$11="First Photons",POWER(Upgrades!$U$11,J297),1)))*POWER(Upgrades!$R$6,E297)*POWER(Upgrades!$R$7,F297)*POWER(Upgrades!$R$8,G297)*POWER(Upgrades!$R$9,H297)*POWER(Upgrades!$R$10,I297)*POWER(Upgrades!$R$11,J297)*POWER(Upgrades!$R$12,K297)</f>
        <v/>
      </c>
      <c r="P297" s="27">
        <f>IF(L297=1,0,M297*Parameters!$B$10/60*Parameters!$B$11*10)</f>
        <v/>
      </c>
      <c r="Q297" s="27">
        <f>IF(L297=1,0,O297*M297*10)</f>
        <v/>
      </c>
      <c r="R297" s="27">
        <f>IF(L297=1,0,N297*10)</f>
        <v/>
      </c>
      <c r="S297" s="27">
        <f>P297+Q297+R297</f>
        <v/>
      </c>
      <c r="T297" s="22">
        <f>C297+S297</f>
        <v/>
      </c>
      <c r="U297" s="33">
        <f>AX297</f>
        <v/>
      </c>
      <c r="V297" s="22">
        <f>IF(U297="",0,IF(U297="transition",0,IF(U297="SW",AG297,IF(U297="AB",AH297,IF(U297="SC",AI297,IF(U297="Mag",AJ297,IF(U297="OR",AK297,IF(U297="HP",AL297,IF(U297="FP",AM297,0)))))))))</f>
        <v/>
      </c>
      <c r="W297" s="27">
        <f>IF(U297="OR",Upgrades!$F$10,IF(U297="HP",Upgrades!$F$11,IF(U297="transition",-Parameters!$B$18,0)))</f>
        <v/>
      </c>
      <c r="X297" s="22">
        <f>T297-V297</f>
        <v/>
      </c>
      <c r="Y297" s="30">
        <f>M297*Parameters!$B$10/60*Parameters!$B$11+O297*M297+N297</f>
        <v/>
      </c>
      <c r="Z297" s="34">
        <f>IF(U297="transition","→ Tier 2 (Stellar Neighborhood)",IF(U297="FP","First Photons — light begins, system quickens",IF(U297="HP","Heliopause acquired",IF(U297="OR","Orbital Resonance — passive multiplier active",IF(AND(AO297=1,L297=0,AN297&lt;&gt;1),"Cohesion ready (waiting on completionist upgrades)","")))))</f>
        <v/>
      </c>
      <c r="AA297" s="27">
        <f>(IF(E297=0,0,(Upgrades!$G$6+E297*Upgrades!$H$6)*POWER(Upgrades!$I$6,E297)))*(IF(Upgrades!$T$7="Solar Wind",POWER(Upgrades!$U$7,F297),1)*IF(Upgrades!$T$8="Solar Wind",POWER(Upgrades!$U$8,G297),1)*IF(Upgrades!$T$9="Solar Wind",POWER(Upgrades!$U$9,H297),1)*IF(Upgrades!$T$10="Solar Wind",POWER(Upgrades!$U$10,I297),1)*IF(Upgrades!$T$11="Solar Wind",POWER(Upgrades!$U$11,J297),1)*IF(Upgrades!$T$12="Solar Wind",POWER(Upgrades!$U$12,K297),1))*POWER(Upgrades!$P$6,E297)*POWER(Upgrades!$P$7,F297)*POWER(Upgrades!$P$8,G297)*POWER(Upgrades!$P$9,H297)*POWER(Upgrades!$P$10,I297)*POWER(Upgrades!$P$11,J297)*POWER(Upgrades!$P$12,K297)*60</f>
        <v/>
      </c>
      <c r="AB297" s="27">
        <f>(IF(F297=0,0,(Upgrades!$G$7+F297*Upgrades!$H$7)*POWER(Upgrades!$I$7,F297)))*(IF(Upgrades!$T$6="Asteroid Belt",POWER(Upgrades!$U$6,E297),1)*IF(Upgrades!$T$8="Asteroid Belt",POWER(Upgrades!$U$8,G297),1)*IF(Upgrades!$T$9="Asteroid Belt",POWER(Upgrades!$U$9,H297),1)*IF(Upgrades!$T$10="Asteroid Belt",POWER(Upgrades!$U$10,I297),1)*IF(Upgrades!$T$11="Asteroid Belt",POWER(Upgrades!$U$11,J297),1)*IF(Upgrades!$T$12="Asteroid Belt",POWER(Upgrades!$U$12,K297),1))*POWER(Upgrades!$P$6,E297)*POWER(Upgrades!$P$7,F297)*POWER(Upgrades!$P$8,G297)*POWER(Upgrades!$P$9,H297)*POWER(Upgrades!$P$10,I297)*POWER(Upgrades!$P$11,J297)*POWER(Upgrades!$P$12,K297)*60</f>
        <v/>
      </c>
      <c r="AC297" s="27">
        <f>(IF(G297=0,0,(Upgrades!$J$8+G297*Upgrades!$K$8)*POWER(Upgrades!$L$8,G297)))*(IF(Upgrades!$T$6="Stellar Coupling",POWER(Upgrades!$U$6,E297),1)*IF(Upgrades!$T$7="Stellar Coupling",POWER(Upgrades!$U$7,F297),1)*IF(Upgrades!$T$9="Stellar Coupling",POWER(Upgrades!$U$9,H297),1)*IF(Upgrades!$T$10="Stellar Coupling",POWER(Upgrades!$U$10,I297),1)*IF(Upgrades!$T$11="Stellar Coupling",POWER(Upgrades!$U$11,J297),1)*IF(Upgrades!$T$12="Stellar Coupling",POWER(Upgrades!$U$12,K297),1))*POWER(Upgrades!$Q$6,E297)*POWER(Upgrades!$Q$7,F297)*POWER(Upgrades!$Q$8,G297)*POWER(Upgrades!$Q$9,H297)*POWER(Upgrades!$Q$10,I297)*POWER(Upgrades!$Q$11,J297)*POWER(Upgrades!$Q$12,K297)*Parameters!$B$10*Parameters!$B$11</f>
        <v/>
      </c>
      <c r="AD297" s="27">
        <f>(IF(H297=0,0,(Upgrades!$G$9+H297*Upgrades!$H$9)*POWER(Upgrades!$I$9,H297)))*(IF(Upgrades!$T$6="Magnetosphere",POWER(Upgrades!$U$6,E297),1)*IF(Upgrades!$T$7="Magnetosphere",POWER(Upgrades!$U$7,F297),1)*IF(Upgrades!$T$8="Magnetosphere",POWER(Upgrades!$U$8,G297),1)*IF(Upgrades!$T$10="Magnetosphere",POWER(Upgrades!$U$10,I297),1)*IF(Upgrades!$T$11="Magnetosphere",POWER(Upgrades!$U$11,J297),1)*IF(Upgrades!$T$12="Magnetosphere",POWER(Upgrades!$U$12,K297),1))*POWER(Upgrades!$P$6,E297)*POWER(Upgrades!$P$7,F297)*POWER(Upgrades!$P$8,G297)*POWER(Upgrades!$P$9,H297)*POWER(Upgrades!$P$10,I297)*POWER(Upgrades!$P$11,J297)*POWER(Upgrades!$P$12,K297)*60</f>
        <v/>
      </c>
      <c r="AE297" s="27">
        <f>(IF(K297=0,0,(Upgrades!$G$12+K297*Upgrades!$H$12)*POWER(Upgrades!$I$12,K297)))*(IF(Upgrades!$T$6="First Photons",POWER(Upgrades!$U$6,E297),1)*IF(Upgrades!$T$7="First Photons",POWER(Upgrades!$U$7,F297),1)*IF(Upgrades!$T$8="First Photons",POWER(Upgrades!$U$8,G297),1)*IF(Upgrades!$T$9="First Photons",POWER(Upgrades!$U$9,H297),1)*IF(Upgrades!$T$10="First Photons",POWER(Upgrades!$U$10,I297),1)*IF(Upgrades!$T$11="First Photons",POWER(Upgrades!$U$11,J297),1))*POWER(Upgrades!$P$6,E297)*POWER(Upgrades!$P$7,F297)*POWER(Upgrades!$P$8,G297)*POWER(Upgrades!$P$9,H297)*POWER(Upgrades!$P$10,I297)*POWER(Upgrades!$P$11,J297)*POWER(Upgrades!$P$12,K297)*60</f>
        <v/>
      </c>
      <c r="AF297" s="27">
        <f>Parameters!$B$9*POWER(Upgrades!$Q$6,E297)*POWER(Upgrades!$Q$7,F297)*POWER(Upgrades!$Q$8,G297)*POWER(Upgrades!$Q$9,H297)*POWER(Upgrades!$Q$10,I297)*POWER(Upgrades!$Q$11,J297)*POWER(Upgrades!$Q$12,K297)*(Parameters!$B$10*Parameters!$B$11+O297*60)</f>
        <v/>
      </c>
      <c r="AG297" s="22">
        <f>IF(E297&gt;=Upgrades!$E$6,"",Upgrades!$C$6*POWER(Upgrades!$D$6,E297))</f>
        <v/>
      </c>
      <c r="AH297" s="22">
        <f>IF(F297&gt;=Upgrades!$E$7,"",Upgrades!$C$7*POWER(Upgrades!$D$7,F297))</f>
        <v/>
      </c>
      <c r="AI297" s="22">
        <f>IF(G297&gt;=Upgrades!$E$8,"",Upgrades!$C$8*POWER(Upgrades!$D$8,G297))</f>
        <v/>
      </c>
      <c r="AJ297" s="22">
        <f>IF(H297&gt;=Upgrades!$E$9,"",Upgrades!$C$9*POWER(Upgrades!$D$9,H297))</f>
        <v/>
      </c>
      <c r="AK297" s="22">
        <f>IF(I297&gt;=Upgrades!$E$10,"",Upgrades!$C$10*POWER(Upgrades!$D$10,I297))</f>
        <v/>
      </c>
      <c r="AL297" s="22">
        <f>IF(J297&gt;=Upgrades!$E$11,"",Upgrades!$C$11*POWER(Upgrades!$D$11,J297))</f>
        <v/>
      </c>
      <c r="AM297" s="22">
        <f>IF(K297&gt;=Upgrades!$E$12,"",Upgrades!$C$12*POWER(Upgrades!$D$12,K297))</f>
        <v/>
      </c>
      <c r="AN297" s="26">
        <f>IF(AND(D297&gt;=Parameters!$B$18,(H297&gt;=Upgrades!$E$9)*(K297&gt;=Upgrades!$E$12)=1,L297=0),1,"")</f>
        <v/>
      </c>
      <c r="AO297" s="26">
        <f>IF(AND(D297&gt;=Parameters!$B$18,L297=0),1,"")</f>
        <v/>
      </c>
      <c r="AP297" s="22">
        <f>MIN(IF(ISNUMBER(AK297),AK297,9E15),IF(ISNUMBER(AL297),AL297,9E15),IF(ISNUMBER(AM297),AM297,9E15))</f>
        <v/>
      </c>
      <c r="AQ297" s="22">
        <f>MIN(IF(ISNUMBER(AG297),AG297,9E15),IF(ISNUMBER(AH297),AH297,9E15),IF(ISNUMBER(AI297),AI297,9E15),IF(ISNUMBER(AJ297),AJ297,9E15))</f>
        <v/>
      </c>
      <c r="AR297" s="29">
        <f>IF(AW297&gt;Parameters!$B$21*(MAX(IF(AND(NOT(AND(AO297=1,AN297&lt;&gt;1)),ISNUMBER(AG297),AG297&lt;=T297),AS297,0),IF(AND(NOT(AND(AO297=1,AN297&lt;&gt;1)),ISNUMBER(AH297),AH297&lt;=T297),AT297,0),IF(AND(NOT(AND(AO297=1,AN297&lt;&gt;1)),ISNUMBER(AI297),AI297&lt;=T297),AU297,0),IF(AND(ISNUMBER(AJ297),AJ297&lt;=T297),AV297,0))),TRUE,FALSE)</f>
        <v/>
      </c>
      <c r="AS297" s="32">
        <f>IFERROR(Upgrades!$H$6*(POWER(Upgrades!$P$6,E297)*POWER(Upgrades!$P$7,F297)*POWER(Upgrades!$P$8,G297)*POWER(Upgrades!$P$9,H297)*POWER(Upgrades!$P$10,I297)*POWER(Upgrades!$P$11,J297)*POWER(Upgrades!$P$12,K297))*(IF(Upgrades!$T$7="Solar Wind",POWER(Upgrades!$U$7,F297),1)*IF(Upgrades!$T$8="Solar Wind",POWER(Upgrades!$U$8,G297),1)*IF(Upgrades!$T$9="Solar Wind",POWER(Upgrades!$U$9,H297),1)*IF(Upgrades!$T$10="Solar Wind",POWER(Upgrades!$U$10,I297),1)*IF(Upgrades!$T$11="Solar Wind",POWER(Upgrades!$U$11,J297),1)*IF(Upgrades!$T$12="Solar Wind",POWER(Upgrades!$U$12,K297),1))/AG297,0)</f>
        <v/>
      </c>
      <c r="AT297" s="32">
        <f>IFERROR(Upgrades!$H$7*(POWER(Upgrades!$P$6,E297)*POWER(Upgrades!$P$7,F297)*POWER(Upgrades!$P$8,G297)*POWER(Upgrades!$P$9,H297)*POWER(Upgrades!$P$10,I297)*POWER(Upgrades!$P$11,J297)*POWER(Upgrades!$P$12,K297))*(IF(Upgrades!$T$6="Asteroid Belt",POWER(Upgrades!$U$6,E297),1)*IF(Upgrades!$T$8="Asteroid Belt",POWER(Upgrades!$U$8,G297),1)*IF(Upgrades!$T$9="Asteroid Belt",POWER(Upgrades!$U$9,H297),1)*IF(Upgrades!$T$10="Asteroid Belt",POWER(Upgrades!$U$10,I297),1)*IF(Upgrades!$T$11="Asteroid Belt",POWER(Upgrades!$U$11,J297),1)*IF(Upgrades!$T$12="Asteroid Belt",POWER(Upgrades!$U$12,K297),1))/AH297,0)</f>
        <v/>
      </c>
      <c r="AU297" s="32">
        <f>IFERROR(Upgrades!$K$8*(POWER(Upgrades!$Q$6,E297)*POWER(Upgrades!$Q$7,F297)*POWER(Upgrades!$Q$8,G297)*POWER(Upgrades!$Q$9,H297)*POWER(Upgrades!$Q$10,I297)*POWER(Upgrades!$Q$11,J297)*POWER(Upgrades!$Q$12,K297))*(IF(Upgrades!$T$6="Stellar Coupling",POWER(Upgrades!$U$6,E297),1)*IF(Upgrades!$T$7="Stellar Coupling",POWER(Upgrades!$U$7,F297),1)*IF(Upgrades!$T$9="Stellar Coupling",POWER(Upgrades!$U$9,H297),1)*IF(Upgrades!$T$10="Stellar Coupling",POWER(Upgrades!$U$10,I297),1)*IF(Upgrades!$T$11="Stellar Coupling",POWER(Upgrades!$U$11,J297),1)*IF(Upgrades!$T$12="Stellar Coupling",POWER(Upgrades!$U$12,K297),1))*Parameters!$B$10*Parameters!$B$11/60/AI297,0)</f>
        <v/>
      </c>
      <c r="AV297" s="32">
        <f>IFERROR(Upgrades!$H$9*(POWER(Upgrades!$P$6,E297)*POWER(Upgrades!$P$7,F297)*POWER(Upgrades!$P$8,G297)*POWER(Upgrades!$P$9,H297)*POWER(Upgrades!$P$10,I297)*POWER(Upgrades!$P$11,J297)*POWER(Upgrades!$P$12,K297))*(IF(Upgrades!$T$6="Magnetosphere",POWER(Upgrades!$U$6,E297),1)*IF(Upgrades!$T$7="Magnetosphere",POWER(Upgrades!$U$7,F297),1)*IF(Upgrades!$T$8="Magnetosphere",POWER(Upgrades!$U$8,G297),1)*IF(Upgrades!$T$10="Magnetosphere",POWER(Upgrades!$U$10,I297),1)*IF(Upgrades!$T$11="Magnetosphere",POWER(Upgrades!$U$11,J297),1)*IF(Upgrades!$T$12="Magnetosphere",POWER(Upgrades!$U$12,K297),1))/AJ297,0)</f>
        <v/>
      </c>
      <c r="AW297" s="32">
        <f>MAX(IF(I297&gt;0,0,IFERROR(0.25*N297/Upgrades!$C$10,0)),IF(J297&gt;0,0,IFERROR(0.5*((IF(G297=0,0,(Upgrades!$J$8+G297*Upgrades!$K$8)*POWER(Upgrades!$L$8,G297)))*(IF(Upgrades!$T$6="Stellar Coupling",POWER(Upgrades!$U$6,E297),1)*IF(Upgrades!$T$7="Stellar Coupling",POWER(Upgrades!$U$7,F297),1)*IF(Upgrades!$T$9="Stellar Coupling",POWER(Upgrades!$U$9,H297),1)*IF(Upgrades!$T$10="Stellar Coupling",POWER(Upgrades!$U$10,I297),1)*IF(Upgrades!$T$11="Stellar Coupling",POWER(Upgrades!$U$11,J297),1)*IF(Upgrades!$T$12="Stellar Coupling",POWER(Upgrades!$U$12,K297),1))*(POWER(Upgrades!$Q$6,E297)*POWER(Upgrades!$Q$7,F297)*POWER(Upgrades!$Q$8,G297)*POWER(Upgrades!$Q$9,H297)*POWER(Upgrades!$Q$10,I297)*POWER(Upgrades!$Q$11,J297)*POWER(Upgrades!$Q$12,K297))*Parameters!$B$10*Parameters!$B$11/60)/Upgrades!$C$11,0)),IF(K297&gt;0,0,IFERROR((1.0*(POWER(Upgrades!$P$6,E297)*POWER(Upgrades!$P$7,F297)*POWER(Upgrades!$P$8,G297)*POWER(Upgrades!$P$9,H297)*POWER(Upgrades!$P$10,I297)*POWER(Upgrades!$P$11,J297)*POWER(Upgrades!$P$12,K297))+0.20*M297*Parameters!$B$10*Parameters!$B$11/60)/Upgrades!$C$12,0)),IF(AND(ISNUMBER(AG297),AG297&gt;T297),AS297,0),IF(AND(ISNUMBER(AH297),AH297&gt;T297),AT297,0),IF(AND(ISNUMBER(AI297),AI297&gt;T297),AU297,0),IF(AND(ISNUMBER(AJ297),AJ297&gt;T297),AV297,0))</f>
        <v/>
      </c>
      <c r="AX297" s="29">
        <f>IF(AN297=1,"transition",IF(MIN(IF(AND(I297=0,ISNUMBER(AK297),AK297&lt;=T297),AK297,9E15),IF(AND(J297=0,ISNUMBER(AL297),AL297&lt;=T297),AL297,9E15),IF(AND(K297=0,ISNUMBER(AM297),AM297&lt;=T297),AM297,9E15))&lt;9E15,IF(AND(AND(I297=0,ISNUMBER(AK297),AK297&lt;=T297),AK297=MIN(IF(AND(I297=0,ISNUMBER(AK297),AK297&lt;=T297),AK297,9E15),IF(AND(J297=0,ISNUMBER(AL297),AL297&lt;=T297),AL297,9E15),IF(AND(K297=0,ISNUMBER(AM297),AM297&lt;=T297),AM297,9E15))),"OR",IF(AND(AND(J297=0,ISNUMBER(AL297),AL297&lt;=T297),AL297=MIN(IF(AND(I297=0,ISNUMBER(AK297),AK297&lt;=T297),AK297,9E15),IF(AND(J297=0,ISNUMBER(AL297),AL297&lt;=T297),AL297,9E15),IF(AND(K297=0,ISNUMBER(AM297),AM297&lt;=T297),AM297,9E15))),"HP","FP")),IF(AR297=TRUE,"",IF(MAX(IF(AND(NOT(AND(AO297=1,AN297&lt;&gt;1)),ISNUMBER(AG297),AG297&lt;=T297),AS297,0),IF(AND(NOT(AND(AO297=1,AN297&lt;&gt;1)),ISNUMBER(AH297),AH297&lt;=T297),AT297,0),IF(AND(NOT(AND(AO297=1,AN297&lt;&gt;1)),ISNUMBER(AI297),AI297&lt;=T297),AU297,0),IF(AND(ISNUMBER(AJ297),AJ297&lt;=T297),AV297,0))&lt;=0,"",IF(AND(IF(AND(NOT(AND(AO297=1,AN297&lt;&gt;1)),ISNUMBER(AG297),AG297&lt;=T297),AS297,0)&gt;0,IF(AND(NOT(AND(AO297=1,AN297&lt;&gt;1)),ISNUMBER(AG297),AG297&lt;=T297),AS297,0)=MAX(IF(AND(NOT(AND(AO297=1,AN297&lt;&gt;1)),ISNUMBER(AG297),AG297&lt;=T297),AS297,0),IF(AND(NOT(AND(AO297=1,AN297&lt;&gt;1)),ISNUMBER(AH297),AH297&lt;=T297),AT297,0),IF(AND(NOT(AND(AO297=1,AN297&lt;&gt;1)),ISNUMBER(AI297),AI297&lt;=T297),AU297,0),IF(AND(ISNUMBER(AJ297),AJ297&lt;=T297),AV297,0))),"SW",IF(AND(IF(AND(NOT(AND(AO297=1,AN297&lt;&gt;1)),ISNUMBER(AH297),AH297&lt;=T297),AT297,0)&gt;0,IF(AND(NOT(AND(AO297=1,AN297&lt;&gt;1)),ISNUMBER(AH297),AH297&lt;=T297),AT297,0)=MAX(IF(AND(NOT(AND(AO297=1,AN297&lt;&gt;1)),ISNUMBER(AG297),AG297&lt;=T297),AS297,0),IF(AND(NOT(AND(AO297=1,AN297&lt;&gt;1)),ISNUMBER(AH297),AH297&lt;=T297),AT297,0),IF(AND(NOT(AND(AO297=1,AN297&lt;&gt;1)),ISNUMBER(AI297),AI297&lt;=T297),AU297,0),IF(AND(ISNUMBER(AJ297),AJ297&lt;=T297),AV297,0))),"AB",IF(AND(IF(AND(NOT(AND(AO297=1,AN297&lt;&gt;1)),ISNUMBER(AI297),AI297&lt;=T297),AU297,0)&gt;0,IF(AND(NOT(AND(AO297=1,AN297&lt;&gt;1)),ISNUMBER(AI297),AI297&lt;=T297),AU297,0)=MAX(IF(AND(NOT(AND(AO297=1,AN297&lt;&gt;1)),ISNUMBER(AG297),AG297&lt;=T297),AS297,0),IF(AND(NOT(AND(AO297=1,AN297&lt;&gt;1)),ISNUMBER(AH297),AH297&lt;=T297),AT297,0),IF(AND(NOT(AND(AO297=1,AN297&lt;&gt;1)),ISNUMBER(AI297),AI297&lt;=T297),AU297,0),IF(AND(ISNUMBER(AJ297),AJ297&lt;=T297),AV297,0))),"SC","Mag")))))))</f>
        <v/>
      </c>
    </row>
    <row r="298">
      <c r="A298" s="26" t="n">
        <v>293</v>
      </c>
      <c r="B298" s="27">
        <f>A298*10/60</f>
        <v/>
      </c>
      <c r="C298" s="22">
        <f>X297</f>
        <v/>
      </c>
      <c r="D298" s="27">
        <f>D297+W297</f>
        <v/>
      </c>
      <c r="E298" s="26">
        <f>E297+IF(U297="SW",1,0)</f>
        <v/>
      </c>
      <c r="F298" s="26">
        <f>F297+IF(U297="AB",1,0)</f>
        <v/>
      </c>
      <c r="G298" s="26">
        <f>G297+IF(U297="SC",1,0)</f>
        <v/>
      </c>
      <c r="H298" s="26">
        <f>H297+IF(U297="Mag",1,0)</f>
        <v/>
      </c>
      <c r="I298" s="26">
        <f>MAX(I297,IF(U297="OR",1,0))</f>
        <v/>
      </c>
      <c r="J298" s="26">
        <f>MAX(J297,IF(U297="HP",1,0))</f>
        <v/>
      </c>
      <c r="K298" s="26">
        <f>MAX(K297,IF(U297="FP",1,0))</f>
        <v/>
      </c>
      <c r="L298" s="26">
        <f>MAX(L297,IF(U297="transition",1,0))</f>
        <v/>
      </c>
      <c r="M298" s="28">
        <f>(Parameters!$B$9+(IF(E298=0,0,(Upgrades!$J$6+E298*Upgrades!$K$6)*POWER(Upgrades!$L$6,E298)))*(IF(Upgrades!$T$7="Solar Wind",POWER(Upgrades!$U$7,F298),1)*IF(Upgrades!$T$8="Solar Wind",POWER(Upgrades!$U$8,G298),1)*IF(Upgrades!$T$9="Solar Wind",POWER(Upgrades!$U$9,H298),1)*IF(Upgrades!$T$10="Solar Wind",POWER(Upgrades!$U$10,I298),1)*IF(Upgrades!$T$11="Solar Wind",POWER(Upgrades!$U$11,J298),1)*IF(Upgrades!$T$12="Solar Wind",POWER(Upgrades!$U$12,K298),1))+(IF(F298=0,0,(Upgrades!$J$7+F298*Upgrades!$K$7)*POWER(Upgrades!$L$7,F298)))*(IF(Upgrades!$T$6="Asteroid Belt",POWER(Upgrades!$U$6,E298),1)*IF(Upgrades!$T$8="Asteroid Belt",POWER(Upgrades!$U$8,G298),1)*IF(Upgrades!$T$9="Asteroid Belt",POWER(Upgrades!$U$9,H298),1)*IF(Upgrades!$T$10="Asteroid Belt",POWER(Upgrades!$U$10,I298),1)*IF(Upgrades!$T$11="Asteroid Belt",POWER(Upgrades!$U$11,J298),1)*IF(Upgrades!$T$12="Asteroid Belt",POWER(Upgrades!$U$12,K298),1))+(IF(G298=0,0,(Upgrades!$J$8+G298*Upgrades!$K$8)*POWER(Upgrades!$L$8,G298)))*(IF(Upgrades!$T$6="Stellar Coupling",POWER(Upgrades!$U$6,E298),1)*IF(Upgrades!$T$7="Stellar Coupling",POWER(Upgrades!$U$7,F298),1)*IF(Upgrades!$T$9="Stellar Coupling",POWER(Upgrades!$U$9,H298),1)*IF(Upgrades!$T$10="Stellar Coupling",POWER(Upgrades!$U$10,I298),1)*IF(Upgrades!$T$11="Stellar Coupling",POWER(Upgrades!$U$11,J298),1)*IF(Upgrades!$T$12="Stellar Coupling",POWER(Upgrades!$U$12,K298),1))+(IF(H298=0,0,(Upgrades!$J$9+H298*Upgrades!$K$9)*POWER(Upgrades!$L$9,H298)))*(IF(Upgrades!$T$6="Magnetosphere",POWER(Upgrades!$U$6,E298),1)*IF(Upgrades!$T$7="Magnetosphere",POWER(Upgrades!$U$7,F298),1)*IF(Upgrades!$T$8="Magnetosphere",POWER(Upgrades!$U$8,G298),1)*IF(Upgrades!$T$10="Magnetosphere",POWER(Upgrades!$U$10,I298),1)*IF(Upgrades!$T$11="Magnetosphere",POWER(Upgrades!$U$11,J298),1)*IF(Upgrades!$T$12="Magnetosphere",POWER(Upgrades!$U$12,K298),1))+(IF(I298=0,0,(Upgrades!$J$10+I298*Upgrades!$K$10)*POWER(Upgrades!$L$10,I298)))*(IF(Upgrades!$T$6="Orbital Resonance",POWER(Upgrades!$U$6,E298),1)*IF(Upgrades!$T$7="Orbital Resonance",POWER(Upgrades!$U$7,F298),1)*IF(Upgrades!$T$8="Orbital Resonance",POWER(Upgrades!$U$8,G298),1)*IF(Upgrades!$T$9="Orbital Resonance",POWER(Upgrades!$U$9,H298),1)*IF(Upgrades!$T$11="Orbital Resonance",POWER(Upgrades!$U$11,J298),1)*IF(Upgrades!$T$12="Orbital Resonance",POWER(Upgrades!$U$12,K298),1))+(IF(J298=0,0,(Upgrades!$J$11+J298*Upgrades!$K$11)*POWER(Upgrades!$L$11,J298)))*(IF(Upgrades!$T$6="Heliopause",POWER(Upgrades!$U$6,E298),1)*IF(Upgrades!$T$7="Heliopause",POWER(Upgrades!$U$7,F298),1)*IF(Upgrades!$T$8="Heliopause",POWER(Upgrades!$U$8,G298),1)*IF(Upgrades!$T$9="Heliopause",POWER(Upgrades!$U$9,H298),1)*IF(Upgrades!$T$10="Heliopause",POWER(Upgrades!$U$10,I298),1)*IF(Upgrades!$T$12="Heliopause",POWER(Upgrades!$U$12,K298),1))+(IF(K298=0,0,(Upgrades!$J$12+K298*Upgrades!$K$12)*POWER(Upgrades!$L$12,K298)))*(IF(Upgrades!$T$6="First Photons",POWER(Upgrades!$U$6,E298),1)*IF(Upgrades!$T$7="First Photons",POWER(Upgrades!$U$7,F298),1)*IF(Upgrades!$T$8="First Photons",POWER(Upgrades!$U$8,G298),1)*IF(Upgrades!$T$9="First Photons",POWER(Upgrades!$U$9,H298),1)*IF(Upgrades!$T$10="First Photons",POWER(Upgrades!$U$10,I298),1)*IF(Upgrades!$T$11="First Photons",POWER(Upgrades!$U$11,J298),1)))*POWER(Upgrades!$Q$6,E298)*POWER(Upgrades!$Q$7,F298)*POWER(Upgrades!$Q$8,G298)*POWER(Upgrades!$Q$9,H298)*POWER(Upgrades!$Q$10,I298)*POWER(Upgrades!$Q$11,J298)*POWER(Upgrades!$Q$12,K298)</f>
        <v/>
      </c>
      <c r="N298" s="28">
        <f>((IF(E298=0,0,(Upgrades!$G$6+E298*Upgrades!$H$6)*POWER(Upgrades!$I$6,E298)))*(IF(Upgrades!$T$7="Solar Wind",POWER(Upgrades!$U$7,F298),1)*IF(Upgrades!$T$8="Solar Wind",POWER(Upgrades!$U$8,G298),1)*IF(Upgrades!$T$9="Solar Wind",POWER(Upgrades!$U$9,H298),1)*IF(Upgrades!$T$10="Solar Wind",POWER(Upgrades!$U$10,I298),1)*IF(Upgrades!$T$11="Solar Wind",POWER(Upgrades!$U$11,J298),1)*IF(Upgrades!$T$12="Solar Wind",POWER(Upgrades!$U$12,K298),1))+(IF(F298=0,0,(Upgrades!$G$7+F298*Upgrades!$H$7)*POWER(Upgrades!$I$7,F298)))*(IF(Upgrades!$T$6="Asteroid Belt",POWER(Upgrades!$U$6,E298),1)*IF(Upgrades!$T$8="Asteroid Belt",POWER(Upgrades!$U$8,G298),1)*IF(Upgrades!$T$9="Asteroid Belt",POWER(Upgrades!$U$9,H298),1)*IF(Upgrades!$T$10="Asteroid Belt",POWER(Upgrades!$U$10,I298),1)*IF(Upgrades!$T$11="Asteroid Belt",POWER(Upgrades!$U$11,J298),1)*IF(Upgrades!$T$12="Asteroid Belt",POWER(Upgrades!$U$12,K298),1))+(IF(G298=0,0,(Upgrades!$G$8+G298*Upgrades!$H$8)*POWER(Upgrades!$I$8,G298)))*(IF(Upgrades!$T$6="Stellar Coupling",POWER(Upgrades!$U$6,E298),1)*IF(Upgrades!$T$7="Stellar Coupling",POWER(Upgrades!$U$7,F298),1)*IF(Upgrades!$T$9="Stellar Coupling",POWER(Upgrades!$U$9,H298),1)*IF(Upgrades!$T$10="Stellar Coupling",POWER(Upgrades!$U$10,I298),1)*IF(Upgrades!$T$11="Stellar Coupling",POWER(Upgrades!$U$11,J298),1)*IF(Upgrades!$T$12="Stellar Coupling",POWER(Upgrades!$U$12,K298),1))+(IF(H298=0,0,(Upgrades!$G$9+H298*Upgrades!$H$9)*POWER(Upgrades!$I$9,H298)))*(IF(Upgrades!$T$6="Magnetosphere",POWER(Upgrades!$U$6,E298),1)*IF(Upgrades!$T$7="Magnetosphere",POWER(Upgrades!$U$7,F298),1)*IF(Upgrades!$T$8="Magnetosphere",POWER(Upgrades!$U$8,G298),1)*IF(Upgrades!$T$10="Magnetosphere",POWER(Upgrades!$U$10,I298),1)*IF(Upgrades!$T$11="Magnetosphere",POWER(Upgrades!$U$11,J298),1)*IF(Upgrades!$T$12="Magnetosphere",POWER(Upgrades!$U$12,K298),1))+(IF(I298=0,0,(Upgrades!$G$10+I298*Upgrades!$H$10)*POWER(Upgrades!$I$10,I298)))*(IF(Upgrades!$T$6="Orbital Resonance",POWER(Upgrades!$U$6,E298),1)*IF(Upgrades!$T$7="Orbital Resonance",POWER(Upgrades!$U$7,F298),1)*IF(Upgrades!$T$8="Orbital Resonance",POWER(Upgrades!$U$8,G298),1)*IF(Upgrades!$T$9="Orbital Resonance",POWER(Upgrades!$U$9,H298),1)*IF(Upgrades!$T$11="Orbital Resonance",POWER(Upgrades!$U$11,J298),1)*IF(Upgrades!$T$12="Orbital Resonance",POWER(Upgrades!$U$12,K298),1))+(IF(J298=0,0,(Upgrades!$G$11+J298*Upgrades!$H$11)*POWER(Upgrades!$I$11,J298)))*(IF(Upgrades!$T$6="Heliopause",POWER(Upgrades!$U$6,E298),1)*IF(Upgrades!$T$7="Heliopause",POWER(Upgrades!$U$7,F298),1)*IF(Upgrades!$T$8="Heliopause",POWER(Upgrades!$U$8,G298),1)*IF(Upgrades!$T$9="Heliopause",POWER(Upgrades!$U$9,H298),1)*IF(Upgrades!$T$10="Heliopause",POWER(Upgrades!$U$10,I298),1)*IF(Upgrades!$T$12="Heliopause",POWER(Upgrades!$U$12,K298),1))+(IF(K298=0,0,(Upgrades!$G$12+K298*Upgrades!$H$12)*POWER(Upgrades!$I$12,K298)))*(IF(Upgrades!$T$6="First Photons",POWER(Upgrades!$U$6,E298),1)*IF(Upgrades!$T$7="First Photons",POWER(Upgrades!$U$7,F298),1)*IF(Upgrades!$T$8="First Photons",POWER(Upgrades!$U$8,G298),1)*IF(Upgrades!$T$9="First Photons",POWER(Upgrades!$U$9,H298),1)*IF(Upgrades!$T$10="First Photons",POWER(Upgrades!$U$10,I298),1)*IF(Upgrades!$T$11="First Photons",POWER(Upgrades!$U$11,J298),1)))*POWER(Upgrades!$P$6,E298)*POWER(Upgrades!$P$7,F298)*POWER(Upgrades!$P$8,G298)*POWER(Upgrades!$P$9,H298)*POWER(Upgrades!$P$10,I298)*POWER(Upgrades!$P$11,J298)*POWER(Upgrades!$P$12,K298)</f>
        <v/>
      </c>
      <c r="O298" s="28">
        <f>((IF(E298=0,0,(Upgrades!$M$6+E298*Upgrades!$N$6)*POWER(Upgrades!$O$6,E298)))*(IF(Upgrades!$T$7="Solar Wind",POWER(Upgrades!$U$7,F298),1)*IF(Upgrades!$T$8="Solar Wind",POWER(Upgrades!$U$8,G298),1)*IF(Upgrades!$T$9="Solar Wind",POWER(Upgrades!$U$9,H298),1)*IF(Upgrades!$T$10="Solar Wind",POWER(Upgrades!$U$10,I298),1)*IF(Upgrades!$T$11="Solar Wind",POWER(Upgrades!$U$11,J298),1)*IF(Upgrades!$T$12="Solar Wind",POWER(Upgrades!$U$12,K298),1))+(IF(F298=0,0,(Upgrades!$M$7+F298*Upgrades!$N$7)*POWER(Upgrades!$O$7,F298)))*(IF(Upgrades!$T$6="Asteroid Belt",POWER(Upgrades!$U$6,E298),1)*IF(Upgrades!$T$8="Asteroid Belt",POWER(Upgrades!$U$8,G298),1)*IF(Upgrades!$T$9="Asteroid Belt",POWER(Upgrades!$U$9,H298),1)*IF(Upgrades!$T$10="Asteroid Belt",POWER(Upgrades!$U$10,I298),1)*IF(Upgrades!$T$11="Asteroid Belt",POWER(Upgrades!$U$11,J298),1)*IF(Upgrades!$T$12="Asteroid Belt",POWER(Upgrades!$U$12,K298),1))+(IF(G298=0,0,(Upgrades!$M$8+G298*Upgrades!$N$8)*POWER(Upgrades!$O$8,G298)))*(IF(Upgrades!$T$6="Stellar Coupling",POWER(Upgrades!$U$6,E298),1)*IF(Upgrades!$T$7="Stellar Coupling",POWER(Upgrades!$U$7,F298),1)*IF(Upgrades!$T$9="Stellar Coupling",POWER(Upgrades!$U$9,H298),1)*IF(Upgrades!$T$10="Stellar Coupling",POWER(Upgrades!$U$10,I298),1)*IF(Upgrades!$T$11="Stellar Coupling",POWER(Upgrades!$U$11,J298),1)*IF(Upgrades!$T$12="Stellar Coupling",POWER(Upgrades!$U$12,K298),1))+(IF(H298=0,0,(Upgrades!$M$9+H298*Upgrades!$N$9)*POWER(Upgrades!$O$9,H298)))*(IF(Upgrades!$T$6="Magnetosphere",POWER(Upgrades!$U$6,E298),1)*IF(Upgrades!$T$7="Magnetosphere",POWER(Upgrades!$U$7,F298),1)*IF(Upgrades!$T$8="Magnetosphere",POWER(Upgrades!$U$8,G298),1)*IF(Upgrades!$T$10="Magnetosphere",POWER(Upgrades!$U$10,I298),1)*IF(Upgrades!$T$11="Magnetosphere",POWER(Upgrades!$U$11,J298),1)*IF(Upgrades!$T$12="Magnetosphere",POWER(Upgrades!$U$12,K298),1))+(IF(I298=0,0,(Upgrades!$M$10+I298*Upgrades!$N$10)*POWER(Upgrades!$O$10,I298)))*(IF(Upgrades!$T$6="Orbital Resonance",POWER(Upgrades!$U$6,E298),1)*IF(Upgrades!$T$7="Orbital Resonance",POWER(Upgrades!$U$7,F298),1)*IF(Upgrades!$T$8="Orbital Resonance",POWER(Upgrades!$U$8,G298),1)*IF(Upgrades!$T$9="Orbital Resonance",POWER(Upgrades!$U$9,H298),1)*IF(Upgrades!$T$11="Orbital Resonance",POWER(Upgrades!$U$11,J298),1)*IF(Upgrades!$T$12="Orbital Resonance",POWER(Upgrades!$U$12,K298),1))+(IF(J298=0,0,(Upgrades!$M$11+J298*Upgrades!$N$11)*POWER(Upgrades!$O$11,J298)))*(IF(Upgrades!$T$6="Heliopause",POWER(Upgrades!$U$6,E298),1)*IF(Upgrades!$T$7="Heliopause",POWER(Upgrades!$U$7,F298),1)*IF(Upgrades!$T$8="Heliopause",POWER(Upgrades!$U$8,G298),1)*IF(Upgrades!$T$9="Heliopause",POWER(Upgrades!$U$9,H298),1)*IF(Upgrades!$T$10="Heliopause",POWER(Upgrades!$U$10,I298),1)*IF(Upgrades!$T$12="Heliopause",POWER(Upgrades!$U$12,K298),1))+(IF(K298=0,0,(Upgrades!$M$12+K298*Upgrades!$N$12)*POWER(Upgrades!$O$12,K298)))*(IF(Upgrades!$T$6="First Photons",POWER(Upgrades!$U$6,E298),1)*IF(Upgrades!$T$7="First Photons",POWER(Upgrades!$U$7,F298),1)*IF(Upgrades!$T$8="First Photons",POWER(Upgrades!$U$8,G298),1)*IF(Upgrades!$T$9="First Photons",POWER(Upgrades!$U$9,H298),1)*IF(Upgrades!$T$10="First Photons",POWER(Upgrades!$U$10,I298),1)*IF(Upgrades!$T$11="First Photons",POWER(Upgrades!$U$11,J298),1)))*POWER(Upgrades!$R$6,E298)*POWER(Upgrades!$R$7,F298)*POWER(Upgrades!$R$8,G298)*POWER(Upgrades!$R$9,H298)*POWER(Upgrades!$R$10,I298)*POWER(Upgrades!$R$11,J298)*POWER(Upgrades!$R$12,K298)</f>
        <v/>
      </c>
      <c r="P298" s="27">
        <f>IF(L298=1,0,M298*Parameters!$B$10/60*Parameters!$B$11*10)</f>
        <v/>
      </c>
      <c r="Q298" s="27">
        <f>IF(L298=1,0,O298*M298*10)</f>
        <v/>
      </c>
      <c r="R298" s="27">
        <f>IF(L298=1,0,N298*10)</f>
        <v/>
      </c>
      <c r="S298" s="27">
        <f>P298+Q298+R298</f>
        <v/>
      </c>
      <c r="T298" s="22">
        <f>C298+S298</f>
        <v/>
      </c>
      <c r="U298" s="33">
        <f>AX298</f>
        <v/>
      </c>
      <c r="V298" s="22">
        <f>IF(U298="",0,IF(U298="transition",0,IF(U298="SW",AG298,IF(U298="AB",AH298,IF(U298="SC",AI298,IF(U298="Mag",AJ298,IF(U298="OR",AK298,IF(U298="HP",AL298,IF(U298="FP",AM298,0)))))))))</f>
        <v/>
      </c>
      <c r="W298" s="27">
        <f>IF(U298="OR",Upgrades!$F$10,IF(U298="HP",Upgrades!$F$11,IF(U298="transition",-Parameters!$B$18,0)))</f>
        <v/>
      </c>
      <c r="X298" s="22">
        <f>T298-V298</f>
        <v/>
      </c>
      <c r="Y298" s="30">
        <f>M298*Parameters!$B$10/60*Parameters!$B$11+O298*M298+N298</f>
        <v/>
      </c>
      <c r="Z298" s="34">
        <f>IF(U298="transition","→ Tier 2 (Stellar Neighborhood)",IF(U298="FP","First Photons — light begins, system quickens",IF(U298="HP","Heliopause acquired",IF(U298="OR","Orbital Resonance — passive multiplier active",IF(AND(AO298=1,L298=0,AN298&lt;&gt;1),"Cohesion ready (waiting on completionist upgrades)","")))))</f>
        <v/>
      </c>
      <c r="AA298" s="27">
        <f>(IF(E298=0,0,(Upgrades!$G$6+E298*Upgrades!$H$6)*POWER(Upgrades!$I$6,E298)))*(IF(Upgrades!$T$7="Solar Wind",POWER(Upgrades!$U$7,F298),1)*IF(Upgrades!$T$8="Solar Wind",POWER(Upgrades!$U$8,G298),1)*IF(Upgrades!$T$9="Solar Wind",POWER(Upgrades!$U$9,H298),1)*IF(Upgrades!$T$10="Solar Wind",POWER(Upgrades!$U$10,I298),1)*IF(Upgrades!$T$11="Solar Wind",POWER(Upgrades!$U$11,J298),1)*IF(Upgrades!$T$12="Solar Wind",POWER(Upgrades!$U$12,K298),1))*POWER(Upgrades!$P$6,E298)*POWER(Upgrades!$P$7,F298)*POWER(Upgrades!$P$8,G298)*POWER(Upgrades!$P$9,H298)*POWER(Upgrades!$P$10,I298)*POWER(Upgrades!$P$11,J298)*POWER(Upgrades!$P$12,K298)*60</f>
        <v/>
      </c>
      <c r="AB298" s="27">
        <f>(IF(F298=0,0,(Upgrades!$G$7+F298*Upgrades!$H$7)*POWER(Upgrades!$I$7,F298)))*(IF(Upgrades!$T$6="Asteroid Belt",POWER(Upgrades!$U$6,E298),1)*IF(Upgrades!$T$8="Asteroid Belt",POWER(Upgrades!$U$8,G298),1)*IF(Upgrades!$T$9="Asteroid Belt",POWER(Upgrades!$U$9,H298),1)*IF(Upgrades!$T$10="Asteroid Belt",POWER(Upgrades!$U$10,I298),1)*IF(Upgrades!$T$11="Asteroid Belt",POWER(Upgrades!$U$11,J298),1)*IF(Upgrades!$T$12="Asteroid Belt",POWER(Upgrades!$U$12,K298),1))*POWER(Upgrades!$P$6,E298)*POWER(Upgrades!$P$7,F298)*POWER(Upgrades!$P$8,G298)*POWER(Upgrades!$P$9,H298)*POWER(Upgrades!$P$10,I298)*POWER(Upgrades!$P$11,J298)*POWER(Upgrades!$P$12,K298)*60</f>
        <v/>
      </c>
      <c r="AC298" s="27">
        <f>(IF(G298=0,0,(Upgrades!$J$8+G298*Upgrades!$K$8)*POWER(Upgrades!$L$8,G298)))*(IF(Upgrades!$T$6="Stellar Coupling",POWER(Upgrades!$U$6,E298),1)*IF(Upgrades!$T$7="Stellar Coupling",POWER(Upgrades!$U$7,F298),1)*IF(Upgrades!$T$9="Stellar Coupling",POWER(Upgrades!$U$9,H298),1)*IF(Upgrades!$T$10="Stellar Coupling",POWER(Upgrades!$U$10,I298),1)*IF(Upgrades!$T$11="Stellar Coupling",POWER(Upgrades!$U$11,J298),1)*IF(Upgrades!$T$12="Stellar Coupling",POWER(Upgrades!$U$12,K298),1))*POWER(Upgrades!$Q$6,E298)*POWER(Upgrades!$Q$7,F298)*POWER(Upgrades!$Q$8,G298)*POWER(Upgrades!$Q$9,H298)*POWER(Upgrades!$Q$10,I298)*POWER(Upgrades!$Q$11,J298)*POWER(Upgrades!$Q$12,K298)*Parameters!$B$10*Parameters!$B$11</f>
        <v/>
      </c>
      <c r="AD298" s="27">
        <f>(IF(H298=0,0,(Upgrades!$G$9+H298*Upgrades!$H$9)*POWER(Upgrades!$I$9,H298)))*(IF(Upgrades!$T$6="Magnetosphere",POWER(Upgrades!$U$6,E298),1)*IF(Upgrades!$T$7="Magnetosphere",POWER(Upgrades!$U$7,F298),1)*IF(Upgrades!$T$8="Magnetosphere",POWER(Upgrades!$U$8,G298),1)*IF(Upgrades!$T$10="Magnetosphere",POWER(Upgrades!$U$10,I298),1)*IF(Upgrades!$T$11="Magnetosphere",POWER(Upgrades!$U$11,J298),1)*IF(Upgrades!$T$12="Magnetosphere",POWER(Upgrades!$U$12,K298),1))*POWER(Upgrades!$P$6,E298)*POWER(Upgrades!$P$7,F298)*POWER(Upgrades!$P$8,G298)*POWER(Upgrades!$P$9,H298)*POWER(Upgrades!$P$10,I298)*POWER(Upgrades!$P$11,J298)*POWER(Upgrades!$P$12,K298)*60</f>
        <v/>
      </c>
      <c r="AE298" s="27">
        <f>(IF(K298=0,0,(Upgrades!$G$12+K298*Upgrades!$H$12)*POWER(Upgrades!$I$12,K298)))*(IF(Upgrades!$T$6="First Photons",POWER(Upgrades!$U$6,E298),1)*IF(Upgrades!$T$7="First Photons",POWER(Upgrades!$U$7,F298),1)*IF(Upgrades!$T$8="First Photons",POWER(Upgrades!$U$8,G298),1)*IF(Upgrades!$T$9="First Photons",POWER(Upgrades!$U$9,H298),1)*IF(Upgrades!$T$10="First Photons",POWER(Upgrades!$U$10,I298),1)*IF(Upgrades!$T$11="First Photons",POWER(Upgrades!$U$11,J298),1))*POWER(Upgrades!$P$6,E298)*POWER(Upgrades!$P$7,F298)*POWER(Upgrades!$P$8,G298)*POWER(Upgrades!$P$9,H298)*POWER(Upgrades!$P$10,I298)*POWER(Upgrades!$P$11,J298)*POWER(Upgrades!$P$12,K298)*60</f>
        <v/>
      </c>
      <c r="AF298" s="27">
        <f>Parameters!$B$9*POWER(Upgrades!$Q$6,E298)*POWER(Upgrades!$Q$7,F298)*POWER(Upgrades!$Q$8,G298)*POWER(Upgrades!$Q$9,H298)*POWER(Upgrades!$Q$10,I298)*POWER(Upgrades!$Q$11,J298)*POWER(Upgrades!$Q$12,K298)*(Parameters!$B$10*Parameters!$B$11+O298*60)</f>
        <v/>
      </c>
      <c r="AG298" s="22">
        <f>IF(E298&gt;=Upgrades!$E$6,"",Upgrades!$C$6*POWER(Upgrades!$D$6,E298))</f>
        <v/>
      </c>
      <c r="AH298" s="22">
        <f>IF(F298&gt;=Upgrades!$E$7,"",Upgrades!$C$7*POWER(Upgrades!$D$7,F298))</f>
        <v/>
      </c>
      <c r="AI298" s="22">
        <f>IF(G298&gt;=Upgrades!$E$8,"",Upgrades!$C$8*POWER(Upgrades!$D$8,G298))</f>
        <v/>
      </c>
      <c r="AJ298" s="22">
        <f>IF(H298&gt;=Upgrades!$E$9,"",Upgrades!$C$9*POWER(Upgrades!$D$9,H298))</f>
        <v/>
      </c>
      <c r="AK298" s="22">
        <f>IF(I298&gt;=Upgrades!$E$10,"",Upgrades!$C$10*POWER(Upgrades!$D$10,I298))</f>
        <v/>
      </c>
      <c r="AL298" s="22">
        <f>IF(J298&gt;=Upgrades!$E$11,"",Upgrades!$C$11*POWER(Upgrades!$D$11,J298))</f>
        <v/>
      </c>
      <c r="AM298" s="22">
        <f>IF(K298&gt;=Upgrades!$E$12,"",Upgrades!$C$12*POWER(Upgrades!$D$12,K298))</f>
        <v/>
      </c>
      <c r="AN298" s="26">
        <f>IF(AND(D298&gt;=Parameters!$B$18,(H298&gt;=Upgrades!$E$9)*(K298&gt;=Upgrades!$E$12)=1,L298=0),1,"")</f>
        <v/>
      </c>
      <c r="AO298" s="26">
        <f>IF(AND(D298&gt;=Parameters!$B$18,L298=0),1,"")</f>
        <v/>
      </c>
      <c r="AP298" s="22">
        <f>MIN(IF(ISNUMBER(AK298),AK298,9E15),IF(ISNUMBER(AL298),AL298,9E15),IF(ISNUMBER(AM298),AM298,9E15))</f>
        <v/>
      </c>
      <c r="AQ298" s="22">
        <f>MIN(IF(ISNUMBER(AG298),AG298,9E15),IF(ISNUMBER(AH298),AH298,9E15),IF(ISNUMBER(AI298),AI298,9E15),IF(ISNUMBER(AJ298),AJ298,9E15))</f>
        <v/>
      </c>
      <c r="AR298" s="29">
        <f>IF(AW298&gt;Parameters!$B$21*(MAX(IF(AND(NOT(AND(AO298=1,AN298&lt;&gt;1)),ISNUMBER(AG298),AG298&lt;=T298),AS298,0),IF(AND(NOT(AND(AO298=1,AN298&lt;&gt;1)),ISNUMBER(AH298),AH298&lt;=T298),AT298,0),IF(AND(NOT(AND(AO298=1,AN298&lt;&gt;1)),ISNUMBER(AI298),AI298&lt;=T298),AU298,0),IF(AND(ISNUMBER(AJ298),AJ298&lt;=T298),AV298,0))),TRUE,FALSE)</f>
        <v/>
      </c>
      <c r="AS298" s="32">
        <f>IFERROR(Upgrades!$H$6*(POWER(Upgrades!$P$6,E298)*POWER(Upgrades!$P$7,F298)*POWER(Upgrades!$P$8,G298)*POWER(Upgrades!$P$9,H298)*POWER(Upgrades!$P$10,I298)*POWER(Upgrades!$P$11,J298)*POWER(Upgrades!$P$12,K298))*(IF(Upgrades!$T$7="Solar Wind",POWER(Upgrades!$U$7,F298),1)*IF(Upgrades!$T$8="Solar Wind",POWER(Upgrades!$U$8,G298),1)*IF(Upgrades!$T$9="Solar Wind",POWER(Upgrades!$U$9,H298),1)*IF(Upgrades!$T$10="Solar Wind",POWER(Upgrades!$U$10,I298),1)*IF(Upgrades!$T$11="Solar Wind",POWER(Upgrades!$U$11,J298),1)*IF(Upgrades!$T$12="Solar Wind",POWER(Upgrades!$U$12,K298),1))/AG298,0)</f>
        <v/>
      </c>
      <c r="AT298" s="32">
        <f>IFERROR(Upgrades!$H$7*(POWER(Upgrades!$P$6,E298)*POWER(Upgrades!$P$7,F298)*POWER(Upgrades!$P$8,G298)*POWER(Upgrades!$P$9,H298)*POWER(Upgrades!$P$10,I298)*POWER(Upgrades!$P$11,J298)*POWER(Upgrades!$P$12,K298))*(IF(Upgrades!$T$6="Asteroid Belt",POWER(Upgrades!$U$6,E298),1)*IF(Upgrades!$T$8="Asteroid Belt",POWER(Upgrades!$U$8,G298),1)*IF(Upgrades!$T$9="Asteroid Belt",POWER(Upgrades!$U$9,H298),1)*IF(Upgrades!$T$10="Asteroid Belt",POWER(Upgrades!$U$10,I298),1)*IF(Upgrades!$T$11="Asteroid Belt",POWER(Upgrades!$U$11,J298),1)*IF(Upgrades!$T$12="Asteroid Belt",POWER(Upgrades!$U$12,K298),1))/AH298,0)</f>
        <v/>
      </c>
      <c r="AU298" s="32">
        <f>IFERROR(Upgrades!$K$8*(POWER(Upgrades!$Q$6,E298)*POWER(Upgrades!$Q$7,F298)*POWER(Upgrades!$Q$8,G298)*POWER(Upgrades!$Q$9,H298)*POWER(Upgrades!$Q$10,I298)*POWER(Upgrades!$Q$11,J298)*POWER(Upgrades!$Q$12,K298))*(IF(Upgrades!$T$6="Stellar Coupling",POWER(Upgrades!$U$6,E298),1)*IF(Upgrades!$T$7="Stellar Coupling",POWER(Upgrades!$U$7,F298),1)*IF(Upgrades!$T$9="Stellar Coupling",POWER(Upgrades!$U$9,H298),1)*IF(Upgrades!$T$10="Stellar Coupling",POWER(Upgrades!$U$10,I298),1)*IF(Upgrades!$T$11="Stellar Coupling",POWER(Upgrades!$U$11,J298),1)*IF(Upgrades!$T$12="Stellar Coupling",POWER(Upgrades!$U$12,K298),1))*Parameters!$B$10*Parameters!$B$11/60/AI298,0)</f>
        <v/>
      </c>
      <c r="AV298" s="32">
        <f>IFERROR(Upgrades!$H$9*(POWER(Upgrades!$P$6,E298)*POWER(Upgrades!$P$7,F298)*POWER(Upgrades!$P$8,G298)*POWER(Upgrades!$P$9,H298)*POWER(Upgrades!$P$10,I298)*POWER(Upgrades!$P$11,J298)*POWER(Upgrades!$P$12,K298))*(IF(Upgrades!$T$6="Magnetosphere",POWER(Upgrades!$U$6,E298),1)*IF(Upgrades!$T$7="Magnetosphere",POWER(Upgrades!$U$7,F298),1)*IF(Upgrades!$T$8="Magnetosphere",POWER(Upgrades!$U$8,G298),1)*IF(Upgrades!$T$10="Magnetosphere",POWER(Upgrades!$U$10,I298),1)*IF(Upgrades!$T$11="Magnetosphere",POWER(Upgrades!$U$11,J298),1)*IF(Upgrades!$T$12="Magnetosphere",POWER(Upgrades!$U$12,K298),1))/AJ298,0)</f>
        <v/>
      </c>
      <c r="AW298" s="32">
        <f>MAX(IF(I298&gt;0,0,IFERROR(0.25*N298/Upgrades!$C$10,0)),IF(J298&gt;0,0,IFERROR(0.5*((IF(G298=0,0,(Upgrades!$J$8+G298*Upgrades!$K$8)*POWER(Upgrades!$L$8,G298)))*(IF(Upgrades!$T$6="Stellar Coupling",POWER(Upgrades!$U$6,E298),1)*IF(Upgrades!$T$7="Stellar Coupling",POWER(Upgrades!$U$7,F298),1)*IF(Upgrades!$T$9="Stellar Coupling",POWER(Upgrades!$U$9,H298),1)*IF(Upgrades!$T$10="Stellar Coupling",POWER(Upgrades!$U$10,I298),1)*IF(Upgrades!$T$11="Stellar Coupling",POWER(Upgrades!$U$11,J298),1)*IF(Upgrades!$T$12="Stellar Coupling",POWER(Upgrades!$U$12,K298),1))*(POWER(Upgrades!$Q$6,E298)*POWER(Upgrades!$Q$7,F298)*POWER(Upgrades!$Q$8,G298)*POWER(Upgrades!$Q$9,H298)*POWER(Upgrades!$Q$10,I298)*POWER(Upgrades!$Q$11,J298)*POWER(Upgrades!$Q$12,K298))*Parameters!$B$10*Parameters!$B$11/60)/Upgrades!$C$11,0)),IF(K298&gt;0,0,IFERROR((1.0*(POWER(Upgrades!$P$6,E298)*POWER(Upgrades!$P$7,F298)*POWER(Upgrades!$P$8,G298)*POWER(Upgrades!$P$9,H298)*POWER(Upgrades!$P$10,I298)*POWER(Upgrades!$P$11,J298)*POWER(Upgrades!$P$12,K298))+0.20*M298*Parameters!$B$10*Parameters!$B$11/60)/Upgrades!$C$12,0)),IF(AND(ISNUMBER(AG298),AG298&gt;T298),AS298,0),IF(AND(ISNUMBER(AH298),AH298&gt;T298),AT298,0),IF(AND(ISNUMBER(AI298),AI298&gt;T298),AU298,0),IF(AND(ISNUMBER(AJ298),AJ298&gt;T298),AV298,0))</f>
        <v/>
      </c>
      <c r="AX298" s="29">
        <f>IF(AN298=1,"transition",IF(MIN(IF(AND(I298=0,ISNUMBER(AK298),AK298&lt;=T298),AK298,9E15),IF(AND(J298=0,ISNUMBER(AL298),AL298&lt;=T298),AL298,9E15),IF(AND(K298=0,ISNUMBER(AM298),AM298&lt;=T298),AM298,9E15))&lt;9E15,IF(AND(AND(I298=0,ISNUMBER(AK298),AK298&lt;=T298),AK298=MIN(IF(AND(I298=0,ISNUMBER(AK298),AK298&lt;=T298),AK298,9E15),IF(AND(J298=0,ISNUMBER(AL298),AL298&lt;=T298),AL298,9E15),IF(AND(K298=0,ISNUMBER(AM298),AM298&lt;=T298),AM298,9E15))),"OR",IF(AND(AND(J298=0,ISNUMBER(AL298),AL298&lt;=T298),AL298=MIN(IF(AND(I298=0,ISNUMBER(AK298),AK298&lt;=T298),AK298,9E15),IF(AND(J298=0,ISNUMBER(AL298),AL298&lt;=T298),AL298,9E15),IF(AND(K298=0,ISNUMBER(AM298),AM298&lt;=T298),AM298,9E15))),"HP","FP")),IF(AR298=TRUE,"",IF(MAX(IF(AND(NOT(AND(AO298=1,AN298&lt;&gt;1)),ISNUMBER(AG298),AG298&lt;=T298),AS298,0),IF(AND(NOT(AND(AO298=1,AN298&lt;&gt;1)),ISNUMBER(AH298),AH298&lt;=T298),AT298,0),IF(AND(NOT(AND(AO298=1,AN298&lt;&gt;1)),ISNUMBER(AI298),AI298&lt;=T298),AU298,0),IF(AND(ISNUMBER(AJ298),AJ298&lt;=T298),AV298,0))&lt;=0,"",IF(AND(IF(AND(NOT(AND(AO298=1,AN298&lt;&gt;1)),ISNUMBER(AG298),AG298&lt;=T298),AS298,0)&gt;0,IF(AND(NOT(AND(AO298=1,AN298&lt;&gt;1)),ISNUMBER(AG298),AG298&lt;=T298),AS298,0)=MAX(IF(AND(NOT(AND(AO298=1,AN298&lt;&gt;1)),ISNUMBER(AG298),AG298&lt;=T298),AS298,0),IF(AND(NOT(AND(AO298=1,AN298&lt;&gt;1)),ISNUMBER(AH298),AH298&lt;=T298),AT298,0),IF(AND(NOT(AND(AO298=1,AN298&lt;&gt;1)),ISNUMBER(AI298),AI298&lt;=T298),AU298,0),IF(AND(ISNUMBER(AJ298),AJ298&lt;=T298),AV298,0))),"SW",IF(AND(IF(AND(NOT(AND(AO298=1,AN298&lt;&gt;1)),ISNUMBER(AH298),AH298&lt;=T298),AT298,0)&gt;0,IF(AND(NOT(AND(AO298=1,AN298&lt;&gt;1)),ISNUMBER(AH298),AH298&lt;=T298),AT298,0)=MAX(IF(AND(NOT(AND(AO298=1,AN298&lt;&gt;1)),ISNUMBER(AG298),AG298&lt;=T298),AS298,0),IF(AND(NOT(AND(AO298=1,AN298&lt;&gt;1)),ISNUMBER(AH298),AH298&lt;=T298),AT298,0),IF(AND(NOT(AND(AO298=1,AN298&lt;&gt;1)),ISNUMBER(AI298),AI298&lt;=T298),AU298,0),IF(AND(ISNUMBER(AJ298),AJ298&lt;=T298),AV298,0))),"AB",IF(AND(IF(AND(NOT(AND(AO298=1,AN298&lt;&gt;1)),ISNUMBER(AI298),AI298&lt;=T298),AU298,0)&gt;0,IF(AND(NOT(AND(AO298=1,AN298&lt;&gt;1)),ISNUMBER(AI298),AI298&lt;=T298),AU298,0)=MAX(IF(AND(NOT(AND(AO298=1,AN298&lt;&gt;1)),ISNUMBER(AG298),AG298&lt;=T298),AS298,0),IF(AND(NOT(AND(AO298=1,AN298&lt;&gt;1)),ISNUMBER(AH298),AH298&lt;=T298),AT298,0),IF(AND(NOT(AND(AO298=1,AN298&lt;&gt;1)),ISNUMBER(AI298),AI298&lt;=T298),AU298,0),IF(AND(ISNUMBER(AJ298),AJ298&lt;=T298),AV298,0))),"SC","Mag")))))))</f>
        <v/>
      </c>
    </row>
    <row r="299">
      <c r="A299" s="26" t="n">
        <v>294</v>
      </c>
      <c r="B299" s="27">
        <f>A299*10/60</f>
        <v/>
      </c>
      <c r="C299" s="22">
        <f>X298</f>
        <v/>
      </c>
      <c r="D299" s="27">
        <f>D298+W298</f>
        <v/>
      </c>
      <c r="E299" s="26">
        <f>E298+IF(U298="SW",1,0)</f>
        <v/>
      </c>
      <c r="F299" s="26">
        <f>F298+IF(U298="AB",1,0)</f>
        <v/>
      </c>
      <c r="G299" s="26">
        <f>G298+IF(U298="SC",1,0)</f>
        <v/>
      </c>
      <c r="H299" s="26">
        <f>H298+IF(U298="Mag",1,0)</f>
        <v/>
      </c>
      <c r="I299" s="26">
        <f>MAX(I298,IF(U298="OR",1,0))</f>
        <v/>
      </c>
      <c r="J299" s="26">
        <f>MAX(J298,IF(U298="HP",1,0))</f>
        <v/>
      </c>
      <c r="K299" s="26">
        <f>MAX(K298,IF(U298="FP",1,0))</f>
        <v/>
      </c>
      <c r="L299" s="26">
        <f>MAX(L298,IF(U298="transition",1,0))</f>
        <v/>
      </c>
      <c r="M299" s="28">
        <f>(Parameters!$B$9+(IF(E299=0,0,(Upgrades!$J$6+E299*Upgrades!$K$6)*POWER(Upgrades!$L$6,E299)))*(IF(Upgrades!$T$7="Solar Wind",POWER(Upgrades!$U$7,F299),1)*IF(Upgrades!$T$8="Solar Wind",POWER(Upgrades!$U$8,G299),1)*IF(Upgrades!$T$9="Solar Wind",POWER(Upgrades!$U$9,H299),1)*IF(Upgrades!$T$10="Solar Wind",POWER(Upgrades!$U$10,I299),1)*IF(Upgrades!$T$11="Solar Wind",POWER(Upgrades!$U$11,J299),1)*IF(Upgrades!$T$12="Solar Wind",POWER(Upgrades!$U$12,K299),1))+(IF(F299=0,0,(Upgrades!$J$7+F299*Upgrades!$K$7)*POWER(Upgrades!$L$7,F299)))*(IF(Upgrades!$T$6="Asteroid Belt",POWER(Upgrades!$U$6,E299),1)*IF(Upgrades!$T$8="Asteroid Belt",POWER(Upgrades!$U$8,G299),1)*IF(Upgrades!$T$9="Asteroid Belt",POWER(Upgrades!$U$9,H299),1)*IF(Upgrades!$T$10="Asteroid Belt",POWER(Upgrades!$U$10,I299),1)*IF(Upgrades!$T$11="Asteroid Belt",POWER(Upgrades!$U$11,J299),1)*IF(Upgrades!$T$12="Asteroid Belt",POWER(Upgrades!$U$12,K299),1))+(IF(G299=0,0,(Upgrades!$J$8+G299*Upgrades!$K$8)*POWER(Upgrades!$L$8,G299)))*(IF(Upgrades!$T$6="Stellar Coupling",POWER(Upgrades!$U$6,E299),1)*IF(Upgrades!$T$7="Stellar Coupling",POWER(Upgrades!$U$7,F299),1)*IF(Upgrades!$T$9="Stellar Coupling",POWER(Upgrades!$U$9,H299),1)*IF(Upgrades!$T$10="Stellar Coupling",POWER(Upgrades!$U$10,I299),1)*IF(Upgrades!$T$11="Stellar Coupling",POWER(Upgrades!$U$11,J299),1)*IF(Upgrades!$T$12="Stellar Coupling",POWER(Upgrades!$U$12,K299),1))+(IF(H299=0,0,(Upgrades!$J$9+H299*Upgrades!$K$9)*POWER(Upgrades!$L$9,H299)))*(IF(Upgrades!$T$6="Magnetosphere",POWER(Upgrades!$U$6,E299),1)*IF(Upgrades!$T$7="Magnetosphere",POWER(Upgrades!$U$7,F299),1)*IF(Upgrades!$T$8="Magnetosphere",POWER(Upgrades!$U$8,G299),1)*IF(Upgrades!$T$10="Magnetosphere",POWER(Upgrades!$U$10,I299),1)*IF(Upgrades!$T$11="Magnetosphere",POWER(Upgrades!$U$11,J299),1)*IF(Upgrades!$T$12="Magnetosphere",POWER(Upgrades!$U$12,K299),1))+(IF(I299=0,0,(Upgrades!$J$10+I299*Upgrades!$K$10)*POWER(Upgrades!$L$10,I299)))*(IF(Upgrades!$T$6="Orbital Resonance",POWER(Upgrades!$U$6,E299),1)*IF(Upgrades!$T$7="Orbital Resonance",POWER(Upgrades!$U$7,F299),1)*IF(Upgrades!$T$8="Orbital Resonance",POWER(Upgrades!$U$8,G299),1)*IF(Upgrades!$T$9="Orbital Resonance",POWER(Upgrades!$U$9,H299),1)*IF(Upgrades!$T$11="Orbital Resonance",POWER(Upgrades!$U$11,J299),1)*IF(Upgrades!$T$12="Orbital Resonance",POWER(Upgrades!$U$12,K299),1))+(IF(J299=0,0,(Upgrades!$J$11+J299*Upgrades!$K$11)*POWER(Upgrades!$L$11,J299)))*(IF(Upgrades!$T$6="Heliopause",POWER(Upgrades!$U$6,E299),1)*IF(Upgrades!$T$7="Heliopause",POWER(Upgrades!$U$7,F299),1)*IF(Upgrades!$T$8="Heliopause",POWER(Upgrades!$U$8,G299),1)*IF(Upgrades!$T$9="Heliopause",POWER(Upgrades!$U$9,H299),1)*IF(Upgrades!$T$10="Heliopause",POWER(Upgrades!$U$10,I299),1)*IF(Upgrades!$T$12="Heliopause",POWER(Upgrades!$U$12,K299),1))+(IF(K299=0,0,(Upgrades!$J$12+K299*Upgrades!$K$12)*POWER(Upgrades!$L$12,K299)))*(IF(Upgrades!$T$6="First Photons",POWER(Upgrades!$U$6,E299),1)*IF(Upgrades!$T$7="First Photons",POWER(Upgrades!$U$7,F299),1)*IF(Upgrades!$T$8="First Photons",POWER(Upgrades!$U$8,G299),1)*IF(Upgrades!$T$9="First Photons",POWER(Upgrades!$U$9,H299),1)*IF(Upgrades!$T$10="First Photons",POWER(Upgrades!$U$10,I299),1)*IF(Upgrades!$T$11="First Photons",POWER(Upgrades!$U$11,J299),1)))*POWER(Upgrades!$Q$6,E299)*POWER(Upgrades!$Q$7,F299)*POWER(Upgrades!$Q$8,G299)*POWER(Upgrades!$Q$9,H299)*POWER(Upgrades!$Q$10,I299)*POWER(Upgrades!$Q$11,J299)*POWER(Upgrades!$Q$12,K299)</f>
        <v/>
      </c>
      <c r="N299" s="28">
        <f>((IF(E299=0,0,(Upgrades!$G$6+E299*Upgrades!$H$6)*POWER(Upgrades!$I$6,E299)))*(IF(Upgrades!$T$7="Solar Wind",POWER(Upgrades!$U$7,F299),1)*IF(Upgrades!$T$8="Solar Wind",POWER(Upgrades!$U$8,G299),1)*IF(Upgrades!$T$9="Solar Wind",POWER(Upgrades!$U$9,H299),1)*IF(Upgrades!$T$10="Solar Wind",POWER(Upgrades!$U$10,I299),1)*IF(Upgrades!$T$11="Solar Wind",POWER(Upgrades!$U$11,J299),1)*IF(Upgrades!$T$12="Solar Wind",POWER(Upgrades!$U$12,K299),1))+(IF(F299=0,0,(Upgrades!$G$7+F299*Upgrades!$H$7)*POWER(Upgrades!$I$7,F299)))*(IF(Upgrades!$T$6="Asteroid Belt",POWER(Upgrades!$U$6,E299),1)*IF(Upgrades!$T$8="Asteroid Belt",POWER(Upgrades!$U$8,G299),1)*IF(Upgrades!$T$9="Asteroid Belt",POWER(Upgrades!$U$9,H299),1)*IF(Upgrades!$T$10="Asteroid Belt",POWER(Upgrades!$U$10,I299),1)*IF(Upgrades!$T$11="Asteroid Belt",POWER(Upgrades!$U$11,J299),1)*IF(Upgrades!$T$12="Asteroid Belt",POWER(Upgrades!$U$12,K299),1))+(IF(G299=0,0,(Upgrades!$G$8+G299*Upgrades!$H$8)*POWER(Upgrades!$I$8,G299)))*(IF(Upgrades!$T$6="Stellar Coupling",POWER(Upgrades!$U$6,E299),1)*IF(Upgrades!$T$7="Stellar Coupling",POWER(Upgrades!$U$7,F299),1)*IF(Upgrades!$T$9="Stellar Coupling",POWER(Upgrades!$U$9,H299),1)*IF(Upgrades!$T$10="Stellar Coupling",POWER(Upgrades!$U$10,I299),1)*IF(Upgrades!$T$11="Stellar Coupling",POWER(Upgrades!$U$11,J299),1)*IF(Upgrades!$T$12="Stellar Coupling",POWER(Upgrades!$U$12,K299),1))+(IF(H299=0,0,(Upgrades!$G$9+H299*Upgrades!$H$9)*POWER(Upgrades!$I$9,H299)))*(IF(Upgrades!$T$6="Magnetosphere",POWER(Upgrades!$U$6,E299),1)*IF(Upgrades!$T$7="Magnetosphere",POWER(Upgrades!$U$7,F299),1)*IF(Upgrades!$T$8="Magnetosphere",POWER(Upgrades!$U$8,G299),1)*IF(Upgrades!$T$10="Magnetosphere",POWER(Upgrades!$U$10,I299),1)*IF(Upgrades!$T$11="Magnetosphere",POWER(Upgrades!$U$11,J299),1)*IF(Upgrades!$T$12="Magnetosphere",POWER(Upgrades!$U$12,K299),1))+(IF(I299=0,0,(Upgrades!$G$10+I299*Upgrades!$H$10)*POWER(Upgrades!$I$10,I299)))*(IF(Upgrades!$T$6="Orbital Resonance",POWER(Upgrades!$U$6,E299),1)*IF(Upgrades!$T$7="Orbital Resonance",POWER(Upgrades!$U$7,F299),1)*IF(Upgrades!$T$8="Orbital Resonance",POWER(Upgrades!$U$8,G299),1)*IF(Upgrades!$T$9="Orbital Resonance",POWER(Upgrades!$U$9,H299),1)*IF(Upgrades!$T$11="Orbital Resonance",POWER(Upgrades!$U$11,J299),1)*IF(Upgrades!$T$12="Orbital Resonance",POWER(Upgrades!$U$12,K299),1))+(IF(J299=0,0,(Upgrades!$G$11+J299*Upgrades!$H$11)*POWER(Upgrades!$I$11,J299)))*(IF(Upgrades!$T$6="Heliopause",POWER(Upgrades!$U$6,E299),1)*IF(Upgrades!$T$7="Heliopause",POWER(Upgrades!$U$7,F299),1)*IF(Upgrades!$T$8="Heliopause",POWER(Upgrades!$U$8,G299),1)*IF(Upgrades!$T$9="Heliopause",POWER(Upgrades!$U$9,H299),1)*IF(Upgrades!$T$10="Heliopause",POWER(Upgrades!$U$10,I299),1)*IF(Upgrades!$T$12="Heliopause",POWER(Upgrades!$U$12,K299),1))+(IF(K299=0,0,(Upgrades!$G$12+K299*Upgrades!$H$12)*POWER(Upgrades!$I$12,K299)))*(IF(Upgrades!$T$6="First Photons",POWER(Upgrades!$U$6,E299),1)*IF(Upgrades!$T$7="First Photons",POWER(Upgrades!$U$7,F299),1)*IF(Upgrades!$T$8="First Photons",POWER(Upgrades!$U$8,G299),1)*IF(Upgrades!$T$9="First Photons",POWER(Upgrades!$U$9,H299),1)*IF(Upgrades!$T$10="First Photons",POWER(Upgrades!$U$10,I299),1)*IF(Upgrades!$T$11="First Photons",POWER(Upgrades!$U$11,J299),1)))*POWER(Upgrades!$P$6,E299)*POWER(Upgrades!$P$7,F299)*POWER(Upgrades!$P$8,G299)*POWER(Upgrades!$P$9,H299)*POWER(Upgrades!$P$10,I299)*POWER(Upgrades!$P$11,J299)*POWER(Upgrades!$P$12,K299)</f>
        <v/>
      </c>
      <c r="O299" s="28">
        <f>((IF(E299=0,0,(Upgrades!$M$6+E299*Upgrades!$N$6)*POWER(Upgrades!$O$6,E299)))*(IF(Upgrades!$T$7="Solar Wind",POWER(Upgrades!$U$7,F299),1)*IF(Upgrades!$T$8="Solar Wind",POWER(Upgrades!$U$8,G299),1)*IF(Upgrades!$T$9="Solar Wind",POWER(Upgrades!$U$9,H299),1)*IF(Upgrades!$T$10="Solar Wind",POWER(Upgrades!$U$10,I299),1)*IF(Upgrades!$T$11="Solar Wind",POWER(Upgrades!$U$11,J299),1)*IF(Upgrades!$T$12="Solar Wind",POWER(Upgrades!$U$12,K299),1))+(IF(F299=0,0,(Upgrades!$M$7+F299*Upgrades!$N$7)*POWER(Upgrades!$O$7,F299)))*(IF(Upgrades!$T$6="Asteroid Belt",POWER(Upgrades!$U$6,E299),1)*IF(Upgrades!$T$8="Asteroid Belt",POWER(Upgrades!$U$8,G299),1)*IF(Upgrades!$T$9="Asteroid Belt",POWER(Upgrades!$U$9,H299),1)*IF(Upgrades!$T$10="Asteroid Belt",POWER(Upgrades!$U$10,I299),1)*IF(Upgrades!$T$11="Asteroid Belt",POWER(Upgrades!$U$11,J299),1)*IF(Upgrades!$T$12="Asteroid Belt",POWER(Upgrades!$U$12,K299),1))+(IF(G299=0,0,(Upgrades!$M$8+G299*Upgrades!$N$8)*POWER(Upgrades!$O$8,G299)))*(IF(Upgrades!$T$6="Stellar Coupling",POWER(Upgrades!$U$6,E299),1)*IF(Upgrades!$T$7="Stellar Coupling",POWER(Upgrades!$U$7,F299),1)*IF(Upgrades!$T$9="Stellar Coupling",POWER(Upgrades!$U$9,H299),1)*IF(Upgrades!$T$10="Stellar Coupling",POWER(Upgrades!$U$10,I299),1)*IF(Upgrades!$T$11="Stellar Coupling",POWER(Upgrades!$U$11,J299),1)*IF(Upgrades!$T$12="Stellar Coupling",POWER(Upgrades!$U$12,K299),1))+(IF(H299=0,0,(Upgrades!$M$9+H299*Upgrades!$N$9)*POWER(Upgrades!$O$9,H299)))*(IF(Upgrades!$T$6="Magnetosphere",POWER(Upgrades!$U$6,E299),1)*IF(Upgrades!$T$7="Magnetosphere",POWER(Upgrades!$U$7,F299),1)*IF(Upgrades!$T$8="Magnetosphere",POWER(Upgrades!$U$8,G299),1)*IF(Upgrades!$T$10="Magnetosphere",POWER(Upgrades!$U$10,I299),1)*IF(Upgrades!$T$11="Magnetosphere",POWER(Upgrades!$U$11,J299),1)*IF(Upgrades!$T$12="Magnetosphere",POWER(Upgrades!$U$12,K299),1))+(IF(I299=0,0,(Upgrades!$M$10+I299*Upgrades!$N$10)*POWER(Upgrades!$O$10,I299)))*(IF(Upgrades!$T$6="Orbital Resonance",POWER(Upgrades!$U$6,E299),1)*IF(Upgrades!$T$7="Orbital Resonance",POWER(Upgrades!$U$7,F299),1)*IF(Upgrades!$T$8="Orbital Resonance",POWER(Upgrades!$U$8,G299),1)*IF(Upgrades!$T$9="Orbital Resonance",POWER(Upgrades!$U$9,H299),1)*IF(Upgrades!$T$11="Orbital Resonance",POWER(Upgrades!$U$11,J299),1)*IF(Upgrades!$T$12="Orbital Resonance",POWER(Upgrades!$U$12,K299),1))+(IF(J299=0,0,(Upgrades!$M$11+J299*Upgrades!$N$11)*POWER(Upgrades!$O$11,J299)))*(IF(Upgrades!$T$6="Heliopause",POWER(Upgrades!$U$6,E299),1)*IF(Upgrades!$T$7="Heliopause",POWER(Upgrades!$U$7,F299),1)*IF(Upgrades!$T$8="Heliopause",POWER(Upgrades!$U$8,G299),1)*IF(Upgrades!$T$9="Heliopause",POWER(Upgrades!$U$9,H299),1)*IF(Upgrades!$T$10="Heliopause",POWER(Upgrades!$U$10,I299),1)*IF(Upgrades!$T$12="Heliopause",POWER(Upgrades!$U$12,K299),1))+(IF(K299=0,0,(Upgrades!$M$12+K299*Upgrades!$N$12)*POWER(Upgrades!$O$12,K299)))*(IF(Upgrades!$T$6="First Photons",POWER(Upgrades!$U$6,E299),1)*IF(Upgrades!$T$7="First Photons",POWER(Upgrades!$U$7,F299),1)*IF(Upgrades!$T$8="First Photons",POWER(Upgrades!$U$8,G299),1)*IF(Upgrades!$T$9="First Photons",POWER(Upgrades!$U$9,H299),1)*IF(Upgrades!$T$10="First Photons",POWER(Upgrades!$U$10,I299),1)*IF(Upgrades!$T$11="First Photons",POWER(Upgrades!$U$11,J299),1)))*POWER(Upgrades!$R$6,E299)*POWER(Upgrades!$R$7,F299)*POWER(Upgrades!$R$8,G299)*POWER(Upgrades!$R$9,H299)*POWER(Upgrades!$R$10,I299)*POWER(Upgrades!$R$11,J299)*POWER(Upgrades!$R$12,K299)</f>
        <v/>
      </c>
      <c r="P299" s="27">
        <f>IF(L299=1,0,M299*Parameters!$B$10/60*Parameters!$B$11*10)</f>
        <v/>
      </c>
      <c r="Q299" s="27">
        <f>IF(L299=1,0,O299*M299*10)</f>
        <v/>
      </c>
      <c r="R299" s="27">
        <f>IF(L299=1,0,N299*10)</f>
        <v/>
      </c>
      <c r="S299" s="27">
        <f>P299+Q299+R299</f>
        <v/>
      </c>
      <c r="T299" s="22">
        <f>C299+S299</f>
        <v/>
      </c>
      <c r="U299" s="33">
        <f>AX299</f>
        <v/>
      </c>
      <c r="V299" s="22">
        <f>IF(U299="",0,IF(U299="transition",0,IF(U299="SW",AG299,IF(U299="AB",AH299,IF(U299="SC",AI299,IF(U299="Mag",AJ299,IF(U299="OR",AK299,IF(U299="HP",AL299,IF(U299="FP",AM299,0)))))))))</f>
        <v/>
      </c>
      <c r="W299" s="27">
        <f>IF(U299="OR",Upgrades!$F$10,IF(U299="HP",Upgrades!$F$11,IF(U299="transition",-Parameters!$B$18,0)))</f>
        <v/>
      </c>
      <c r="X299" s="22">
        <f>T299-V299</f>
        <v/>
      </c>
      <c r="Y299" s="30">
        <f>M299*Parameters!$B$10/60*Parameters!$B$11+O299*M299+N299</f>
        <v/>
      </c>
      <c r="Z299" s="34">
        <f>IF(U299="transition","→ Tier 2 (Stellar Neighborhood)",IF(U299="FP","First Photons — light begins, system quickens",IF(U299="HP","Heliopause acquired",IF(U299="OR","Orbital Resonance — passive multiplier active",IF(AND(AO299=1,L299=0,AN299&lt;&gt;1),"Cohesion ready (waiting on completionist upgrades)","")))))</f>
        <v/>
      </c>
      <c r="AA299" s="27">
        <f>(IF(E299=0,0,(Upgrades!$G$6+E299*Upgrades!$H$6)*POWER(Upgrades!$I$6,E299)))*(IF(Upgrades!$T$7="Solar Wind",POWER(Upgrades!$U$7,F299),1)*IF(Upgrades!$T$8="Solar Wind",POWER(Upgrades!$U$8,G299),1)*IF(Upgrades!$T$9="Solar Wind",POWER(Upgrades!$U$9,H299),1)*IF(Upgrades!$T$10="Solar Wind",POWER(Upgrades!$U$10,I299),1)*IF(Upgrades!$T$11="Solar Wind",POWER(Upgrades!$U$11,J299),1)*IF(Upgrades!$T$12="Solar Wind",POWER(Upgrades!$U$12,K299),1))*POWER(Upgrades!$P$6,E299)*POWER(Upgrades!$P$7,F299)*POWER(Upgrades!$P$8,G299)*POWER(Upgrades!$P$9,H299)*POWER(Upgrades!$P$10,I299)*POWER(Upgrades!$P$11,J299)*POWER(Upgrades!$P$12,K299)*60</f>
        <v/>
      </c>
      <c r="AB299" s="27">
        <f>(IF(F299=0,0,(Upgrades!$G$7+F299*Upgrades!$H$7)*POWER(Upgrades!$I$7,F299)))*(IF(Upgrades!$T$6="Asteroid Belt",POWER(Upgrades!$U$6,E299),1)*IF(Upgrades!$T$8="Asteroid Belt",POWER(Upgrades!$U$8,G299),1)*IF(Upgrades!$T$9="Asteroid Belt",POWER(Upgrades!$U$9,H299),1)*IF(Upgrades!$T$10="Asteroid Belt",POWER(Upgrades!$U$10,I299),1)*IF(Upgrades!$T$11="Asteroid Belt",POWER(Upgrades!$U$11,J299),1)*IF(Upgrades!$T$12="Asteroid Belt",POWER(Upgrades!$U$12,K299),1))*POWER(Upgrades!$P$6,E299)*POWER(Upgrades!$P$7,F299)*POWER(Upgrades!$P$8,G299)*POWER(Upgrades!$P$9,H299)*POWER(Upgrades!$P$10,I299)*POWER(Upgrades!$P$11,J299)*POWER(Upgrades!$P$12,K299)*60</f>
        <v/>
      </c>
      <c r="AC299" s="27">
        <f>(IF(G299=0,0,(Upgrades!$J$8+G299*Upgrades!$K$8)*POWER(Upgrades!$L$8,G299)))*(IF(Upgrades!$T$6="Stellar Coupling",POWER(Upgrades!$U$6,E299),1)*IF(Upgrades!$T$7="Stellar Coupling",POWER(Upgrades!$U$7,F299),1)*IF(Upgrades!$T$9="Stellar Coupling",POWER(Upgrades!$U$9,H299),1)*IF(Upgrades!$T$10="Stellar Coupling",POWER(Upgrades!$U$10,I299),1)*IF(Upgrades!$T$11="Stellar Coupling",POWER(Upgrades!$U$11,J299),1)*IF(Upgrades!$T$12="Stellar Coupling",POWER(Upgrades!$U$12,K299),1))*POWER(Upgrades!$Q$6,E299)*POWER(Upgrades!$Q$7,F299)*POWER(Upgrades!$Q$8,G299)*POWER(Upgrades!$Q$9,H299)*POWER(Upgrades!$Q$10,I299)*POWER(Upgrades!$Q$11,J299)*POWER(Upgrades!$Q$12,K299)*Parameters!$B$10*Parameters!$B$11</f>
        <v/>
      </c>
      <c r="AD299" s="27">
        <f>(IF(H299=0,0,(Upgrades!$G$9+H299*Upgrades!$H$9)*POWER(Upgrades!$I$9,H299)))*(IF(Upgrades!$T$6="Magnetosphere",POWER(Upgrades!$U$6,E299),1)*IF(Upgrades!$T$7="Magnetosphere",POWER(Upgrades!$U$7,F299),1)*IF(Upgrades!$T$8="Magnetosphere",POWER(Upgrades!$U$8,G299),1)*IF(Upgrades!$T$10="Magnetosphere",POWER(Upgrades!$U$10,I299),1)*IF(Upgrades!$T$11="Magnetosphere",POWER(Upgrades!$U$11,J299),1)*IF(Upgrades!$T$12="Magnetosphere",POWER(Upgrades!$U$12,K299),1))*POWER(Upgrades!$P$6,E299)*POWER(Upgrades!$P$7,F299)*POWER(Upgrades!$P$8,G299)*POWER(Upgrades!$P$9,H299)*POWER(Upgrades!$P$10,I299)*POWER(Upgrades!$P$11,J299)*POWER(Upgrades!$P$12,K299)*60</f>
        <v/>
      </c>
      <c r="AE299" s="27">
        <f>(IF(K299=0,0,(Upgrades!$G$12+K299*Upgrades!$H$12)*POWER(Upgrades!$I$12,K299)))*(IF(Upgrades!$T$6="First Photons",POWER(Upgrades!$U$6,E299),1)*IF(Upgrades!$T$7="First Photons",POWER(Upgrades!$U$7,F299),1)*IF(Upgrades!$T$8="First Photons",POWER(Upgrades!$U$8,G299),1)*IF(Upgrades!$T$9="First Photons",POWER(Upgrades!$U$9,H299),1)*IF(Upgrades!$T$10="First Photons",POWER(Upgrades!$U$10,I299),1)*IF(Upgrades!$T$11="First Photons",POWER(Upgrades!$U$11,J299),1))*POWER(Upgrades!$P$6,E299)*POWER(Upgrades!$P$7,F299)*POWER(Upgrades!$P$8,G299)*POWER(Upgrades!$P$9,H299)*POWER(Upgrades!$P$10,I299)*POWER(Upgrades!$P$11,J299)*POWER(Upgrades!$P$12,K299)*60</f>
        <v/>
      </c>
      <c r="AF299" s="27">
        <f>Parameters!$B$9*POWER(Upgrades!$Q$6,E299)*POWER(Upgrades!$Q$7,F299)*POWER(Upgrades!$Q$8,G299)*POWER(Upgrades!$Q$9,H299)*POWER(Upgrades!$Q$10,I299)*POWER(Upgrades!$Q$11,J299)*POWER(Upgrades!$Q$12,K299)*(Parameters!$B$10*Parameters!$B$11+O299*60)</f>
        <v/>
      </c>
      <c r="AG299" s="22">
        <f>IF(E299&gt;=Upgrades!$E$6,"",Upgrades!$C$6*POWER(Upgrades!$D$6,E299))</f>
        <v/>
      </c>
      <c r="AH299" s="22">
        <f>IF(F299&gt;=Upgrades!$E$7,"",Upgrades!$C$7*POWER(Upgrades!$D$7,F299))</f>
        <v/>
      </c>
      <c r="AI299" s="22">
        <f>IF(G299&gt;=Upgrades!$E$8,"",Upgrades!$C$8*POWER(Upgrades!$D$8,G299))</f>
        <v/>
      </c>
      <c r="AJ299" s="22">
        <f>IF(H299&gt;=Upgrades!$E$9,"",Upgrades!$C$9*POWER(Upgrades!$D$9,H299))</f>
        <v/>
      </c>
      <c r="AK299" s="22">
        <f>IF(I299&gt;=Upgrades!$E$10,"",Upgrades!$C$10*POWER(Upgrades!$D$10,I299))</f>
        <v/>
      </c>
      <c r="AL299" s="22">
        <f>IF(J299&gt;=Upgrades!$E$11,"",Upgrades!$C$11*POWER(Upgrades!$D$11,J299))</f>
        <v/>
      </c>
      <c r="AM299" s="22">
        <f>IF(K299&gt;=Upgrades!$E$12,"",Upgrades!$C$12*POWER(Upgrades!$D$12,K299))</f>
        <v/>
      </c>
      <c r="AN299" s="26">
        <f>IF(AND(D299&gt;=Parameters!$B$18,(H299&gt;=Upgrades!$E$9)*(K299&gt;=Upgrades!$E$12)=1,L299=0),1,"")</f>
        <v/>
      </c>
      <c r="AO299" s="26">
        <f>IF(AND(D299&gt;=Parameters!$B$18,L299=0),1,"")</f>
        <v/>
      </c>
      <c r="AP299" s="22">
        <f>MIN(IF(ISNUMBER(AK299),AK299,9E15),IF(ISNUMBER(AL299),AL299,9E15),IF(ISNUMBER(AM299),AM299,9E15))</f>
        <v/>
      </c>
      <c r="AQ299" s="22">
        <f>MIN(IF(ISNUMBER(AG299),AG299,9E15),IF(ISNUMBER(AH299),AH299,9E15),IF(ISNUMBER(AI299),AI299,9E15),IF(ISNUMBER(AJ299),AJ299,9E15))</f>
        <v/>
      </c>
      <c r="AR299" s="29">
        <f>IF(AW299&gt;Parameters!$B$21*(MAX(IF(AND(NOT(AND(AO299=1,AN299&lt;&gt;1)),ISNUMBER(AG299),AG299&lt;=T299),AS299,0),IF(AND(NOT(AND(AO299=1,AN299&lt;&gt;1)),ISNUMBER(AH299),AH299&lt;=T299),AT299,0),IF(AND(NOT(AND(AO299=1,AN299&lt;&gt;1)),ISNUMBER(AI299),AI299&lt;=T299),AU299,0),IF(AND(ISNUMBER(AJ299),AJ299&lt;=T299),AV299,0))),TRUE,FALSE)</f>
        <v/>
      </c>
      <c r="AS299" s="32">
        <f>IFERROR(Upgrades!$H$6*(POWER(Upgrades!$P$6,E299)*POWER(Upgrades!$P$7,F299)*POWER(Upgrades!$P$8,G299)*POWER(Upgrades!$P$9,H299)*POWER(Upgrades!$P$10,I299)*POWER(Upgrades!$P$11,J299)*POWER(Upgrades!$P$12,K299))*(IF(Upgrades!$T$7="Solar Wind",POWER(Upgrades!$U$7,F299),1)*IF(Upgrades!$T$8="Solar Wind",POWER(Upgrades!$U$8,G299),1)*IF(Upgrades!$T$9="Solar Wind",POWER(Upgrades!$U$9,H299),1)*IF(Upgrades!$T$10="Solar Wind",POWER(Upgrades!$U$10,I299),1)*IF(Upgrades!$T$11="Solar Wind",POWER(Upgrades!$U$11,J299),1)*IF(Upgrades!$T$12="Solar Wind",POWER(Upgrades!$U$12,K299),1))/AG299,0)</f>
        <v/>
      </c>
      <c r="AT299" s="32">
        <f>IFERROR(Upgrades!$H$7*(POWER(Upgrades!$P$6,E299)*POWER(Upgrades!$P$7,F299)*POWER(Upgrades!$P$8,G299)*POWER(Upgrades!$P$9,H299)*POWER(Upgrades!$P$10,I299)*POWER(Upgrades!$P$11,J299)*POWER(Upgrades!$P$12,K299))*(IF(Upgrades!$T$6="Asteroid Belt",POWER(Upgrades!$U$6,E299),1)*IF(Upgrades!$T$8="Asteroid Belt",POWER(Upgrades!$U$8,G299),1)*IF(Upgrades!$T$9="Asteroid Belt",POWER(Upgrades!$U$9,H299),1)*IF(Upgrades!$T$10="Asteroid Belt",POWER(Upgrades!$U$10,I299),1)*IF(Upgrades!$T$11="Asteroid Belt",POWER(Upgrades!$U$11,J299),1)*IF(Upgrades!$T$12="Asteroid Belt",POWER(Upgrades!$U$12,K299),1))/AH299,0)</f>
        <v/>
      </c>
      <c r="AU299" s="32">
        <f>IFERROR(Upgrades!$K$8*(POWER(Upgrades!$Q$6,E299)*POWER(Upgrades!$Q$7,F299)*POWER(Upgrades!$Q$8,G299)*POWER(Upgrades!$Q$9,H299)*POWER(Upgrades!$Q$10,I299)*POWER(Upgrades!$Q$11,J299)*POWER(Upgrades!$Q$12,K299))*(IF(Upgrades!$T$6="Stellar Coupling",POWER(Upgrades!$U$6,E299),1)*IF(Upgrades!$T$7="Stellar Coupling",POWER(Upgrades!$U$7,F299),1)*IF(Upgrades!$T$9="Stellar Coupling",POWER(Upgrades!$U$9,H299),1)*IF(Upgrades!$T$10="Stellar Coupling",POWER(Upgrades!$U$10,I299),1)*IF(Upgrades!$T$11="Stellar Coupling",POWER(Upgrades!$U$11,J299),1)*IF(Upgrades!$T$12="Stellar Coupling",POWER(Upgrades!$U$12,K299),1))*Parameters!$B$10*Parameters!$B$11/60/AI299,0)</f>
        <v/>
      </c>
      <c r="AV299" s="32">
        <f>IFERROR(Upgrades!$H$9*(POWER(Upgrades!$P$6,E299)*POWER(Upgrades!$P$7,F299)*POWER(Upgrades!$P$8,G299)*POWER(Upgrades!$P$9,H299)*POWER(Upgrades!$P$10,I299)*POWER(Upgrades!$P$11,J299)*POWER(Upgrades!$P$12,K299))*(IF(Upgrades!$T$6="Magnetosphere",POWER(Upgrades!$U$6,E299),1)*IF(Upgrades!$T$7="Magnetosphere",POWER(Upgrades!$U$7,F299),1)*IF(Upgrades!$T$8="Magnetosphere",POWER(Upgrades!$U$8,G299),1)*IF(Upgrades!$T$10="Magnetosphere",POWER(Upgrades!$U$10,I299),1)*IF(Upgrades!$T$11="Magnetosphere",POWER(Upgrades!$U$11,J299),1)*IF(Upgrades!$T$12="Magnetosphere",POWER(Upgrades!$U$12,K299),1))/AJ299,0)</f>
        <v/>
      </c>
      <c r="AW299" s="32">
        <f>MAX(IF(I299&gt;0,0,IFERROR(0.25*N299/Upgrades!$C$10,0)),IF(J299&gt;0,0,IFERROR(0.5*((IF(G299=0,0,(Upgrades!$J$8+G299*Upgrades!$K$8)*POWER(Upgrades!$L$8,G299)))*(IF(Upgrades!$T$6="Stellar Coupling",POWER(Upgrades!$U$6,E299),1)*IF(Upgrades!$T$7="Stellar Coupling",POWER(Upgrades!$U$7,F299),1)*IF(Upgrades!$T$9="Stellar Coupling",POWER(Upgrades!$U$9,H299),1)*IF(Upgrades!$T$10="Stellar Coupling",POWER(Upgrades!$U$10,I299),1)*IF(Upgrades!$T$11="Stellar Coupling",POWER(Upgrades!$U$11,J299),1)*IF(Upgrades!$T$12="Stellar Coupling",POWER(Upgrades!$U$12,K299),1))*(POWER(Upgrades!$Q$6,E299)*POWER(Upgrades!$Q$7,F299)*POWER(Upgrades!$Q$8,G299)*POWER(Upgrades!$Q$9,H299)*POWER(Upgrades!$Q$10,I299)*POWER(Upgrades!$Q$11,J299)*POWER(Upgrades!$Q$12,K299))*Parameters!$B$10*Parameters!$B$11/60)/Upgrades!$C$11,0)),IF(K299&gt;0,0,IFERROR((1.0*(POWER(Upgrades!$P$6,E299)*POWER(Upgrades!$P$7,F299)*POWER(Upgrades!$P$8,G299)*POWER(Upgrades!$P$9,H299)*POWER(Upgrades!$P$10,I299)*POWER(Upgrades!$P$11,J299)*POWER(Upgrades!$P$12,K299))+0.20*M299*Parameters!$B$10*Parameters!$B$11/60)/Upgrades!$C$12,0)),IF(AND(ISNUMBER(AG299),AG299&gt;T299),AS299,0),IF(AND(ISNUMBER(AH299),AH299&gt;T299),AT299,0),IF(AND(ISNUMBER(AI299),AI299&gt;T299),AU299,0),IF(AND(ISNUMBER(AJ299),AJ299&gt;T299),AV299,0))</f>
        <v/>
      </c>
      <c r="AX299" s="29">
        <f>IF(AN299=1,"transition",IF(MIN(IF(AND(I299=0,ISNUMBER(AK299),AK299&lt;=T299),AK299,9E15),IF(AND(J299=0,ISNUMBER(AL299),AL299&lt;=T299),AL299,9E15),IF(AND(K299=0,ISNUMBER(AM299),AM299&lt;=T299),AM299,9E15))&lt;9E15,IF(AND(AND(I299=0,ISNUMBER(AK299),AK299&lt;=T299),AK299=MIN(IF(AND(I299=0,ISNUMBER(AK299),AK299&lt;=T299),AK299,9E15),IF(AND(J299=0,ISNUMBER(AL299),AL299&lt;=T299),AL299,9E15),IF(AND(K299=0,ISNUMBER(AM299),AM299&lt;=T299),AM299,9E15))),"OR",IF(AND(AND(J299=0,ISNUMBER(AL299),AL299&lt;=T299),AL299=MIN(IF(AND(I299=0,ISNUMBER(AK299),AK299&lt;=T299),AK299,9E15),IF(AND(J299=0,ISNUMBER(AL299),AL299&lt;=T299),AL299,9E15),IF(AND(K299=0,ISNUMBER(AM299),AM299&lt;=T299),AM299,9E15))),"HP","FP")),IF(AR299=TRUE,"",IF(MAX(IF(AND(NOT(AND(AO299=1,AN299&lt;&gt;1)),ISNUMBER(AG299),AG299&lt;=T299),AS299,0),IF(AND(NOT(AND(AO299=1,AN299&lt;&gt;1)),ISNUMBER(AH299),AH299&lt;=T299),AT299,0),IF(AND(NOT(AND(AO299=1,AN299&lt;&gt;1)),ISNUMBER(AI299),AI299&lt;=T299),AU299,0),IF(AND(ISNUMBER(AJ299),AJ299&lt;=T299),AV299,0))&lt;=0,"",IF(AND(IF(AND(NOT(AND(AO299=1,AN299&lt;&gt;1)),ISNUMBER(AG299),AG299&lt;=T299),AS299,0)&gt;0,IF(AND(NOT(AND(AO299=1,AN299&lt;&gt;1)),ISNUMBER(AG299),AG299&lt;=T299),AS299,0)=MAX(IF(AND(NOT(AND(AO299=1,AN299&lt;&gt;1)),ISNUMBER(AG299),AG299&lt;=T299),AS299,0),IF(AND(NOT(AND(AO299=1,AN299&lt;&gt;1)),ISNUMBER(AH299),AH299&lt;=T299),AT299,0),IF(AND(NOT(AND(AO299=1,AN299&lt;&gt;1)),ISNUMBER(AI299),AI299&lt;=T299),AU299,0),IF(AND(ISNUMBER(AJ299),AJ299&lt;=T299),AV299,0))),"SW",IF(AND(IF(AND(NOT(AND(AO299=1,AN299&lt;&gt;1)),ISNUMBER(AH299),AH299&lt;=T299),AT299,0)&gt;0,IF(AND(NOT(AND(AO299=1,AN299&lt;&gt;1)),ISNUMBER(AH299),AH299&lt;=T299),AT299,0)=MAX(IF(AND(NOT(AND(AO299=1,AN299&lt;&gt;1)),ISNUMBER(AG299),AG299&lt;=T299),AS299,0),IF(AND(NOT(AND(AO299=1,AN299&lt;&gt;1)),ISNUMBER(AH299),AH299&lt;=T299),AT299,0),IF(AND(NOT(AND(AO299=1,AN299&lt;&gt;1)),ISNUMBER(AI299),AI299&lt;=T299),AU299,0),IF(AND(ISNUMBER(AJ299),AJ299&lt;=T299),AV299,0))),"AB",IF(AND(IF(AND(NOT(AND(AO299=1,AN299&lt;&gt;1)),ISNUMBER(AI299),AI299&lt;=T299),AU299,0)&gt;0,IF(AND(NOT(AND(AO299=1,AN299&lt;&gt;1)),ISNUMBER(AI299),AI299&lt;=T299),AU299,0)=MAX(IF(AND(NOT(AND(AO299=1,AN299&lt;&gt;1)),ISNUMBER(AG299),AG299&lt;=T299),AS299,0),IF(AND(NOT(AND(AO299=1,AN299&lt;&gt;1)),ISNUMBER(AH299),AH299&lt;=T299),AT299,0),IF(AND(NOT(AND(AO299=1,AN299&lt;&gt;1)),ISNUMBER(AI299),AI299&lt;=T299),AU299,0),IF(AND(ISNUMBER(AJ299),AJ299&lt;=T299),AV299,0))),"SC","Mag")))))))</f>
        <v/>
      </c>
    </row>
    <row r="300">
      <c r="A300" s="26" t="n">
        <v>295</v>
      </c>
      <c r="B300" s="27">
        <f>A300*10/60</f>
        <v/>
      </c>
      <c r="C300" s="22">
        <f>X299</f>
        <v/>
      </c>
      <c r="D300" s="27">
        <f>D299+W299</f>
        <v/>
      </c>
      <c r="E300" s="26">
        <f>E299+IF(U299="SW",1,0)</f>
        <v/>
      </c>
      <c r="F300" s="26">
        <f>F299+IF(U299="AB",1,0)</f>
        <v/>
      </c>
      <c r="G300" s="26">
        <f>G299+IF(U299="SC",1,0)</f>
        <v/>
      </c>
      <c r="H300" s="26">
        <f>H299+IF(U299="Mag",1,0)</f>
        <v/>
      </c>
      <c r="I300" s="26">
        <f>MAX(I299,IF(U299="OR",1,0))</f>
        <v/>
      </c>
      <c r="J300" s="26">
        <f>MAX(J299,IF(U299="HP",1,0))</f>
        <v/>
      </c>
      <c r="K300" s="26">
        <f>MAX(K299,IF(U299="FP",1,0))</f>
        <v/>
      </c>
      <c r="L300" s="26">
        <f>MAX(L299,IF(U299="transition",1,0))</f>
        <v/>
      </c>
      <c r="M300" s="28">
        <f>(Parameters!$B$9+(IF(E300=0,0,(Upgrades!$J$6+E300*Upgrades!$K$6)*POWER(Upgrades!$L$6,E300)))*(IF(Upgrades!$T$7="Solar Wind",POWER(Upgrades!$U$7,F300),1)*IF(Upgrades!$T$8="Solar Wind",POWER(Upgrades!$U$8,G300),1)*IF(Upgrades!$T$9="Solar Wind",POWER(Upgrades!$U$9,H300),1)*IF(Upgrades!$T$10="Solar Wind",POWER(Upgrades!$U$10,I300),1)*IF(Upgrades!$T$11="Solar Wind",POWER(Upgrades!$U$11,J300),1)*IF(Upgrades!$T$12="Solar Wind",POWER(Upgrades!$U$12,K300),1))+(IF(F300=0,0,(Upgrades!$J$7+F300*Upgrades!$K$7)*POWER(Upgrades!$L$7,F300)))*(IF(Upgrades!$T$6="Asteroid Belt",POWER(Upgrades!$U$6,E300),1)*IF(Upgrades!$T$8="Asteroid Belt",POWER(Upgrades!$U$8,G300),1)*IF(Upgrades!$T$9="Asteroid Belt",POWER(Upgrades!$U$9,H300),1)*IF(Upgrades!$T$10="Asteroid Belt",POWER(Upgrades!$U$10,I300),1)*IF(Upgrades!$T$11="Asteroid Belt",POWER(Upgrades!$U$11,J300),1)*IF(Upgrades!$T$12="Asteroid Belt",POWER(Upgrades!$U$12,K300),1))+(IF(G300=0,0,(Upgrades!$J$8+G300*Upgrades!$K$8)*POWER(Upgrades!$L$8,G300)))*(IF(Upgrades!$T$6="Stellar Coupling",POWER(Upgrades!$U$6,E300),1)*IF(Upgrades!$T$7="Stellar Coupling",POWER(Upgrades!$U$7,F300),1)*IF(Upgrades!$T$9="Stellar Coupling",POWER(Upgrades!$U$9,H300),1)*IF(Upgrades!$T$10="Stellar Coupling",POWER(Upgrades!$U$10,I300),1)*IF(Upgrades!$T$11="Stellar Coupling",POWER(Upgrades!$U$11,J300),1)*IF(Upgrades!$T$12="Stellar Coupling",POWER(Upgrades!$U$12,K300),1))+(IF(H300=0,0,(Upgrades!$J$9+H300*Upgrades!$K$9)*POWER(Upgrades!$L$9,H300)))*(IF(Upgrades!$T$6="Magnetosphere",POWER(Upgrades!$U$6,E300),1)*IF(Upgrades!$T$7="Magnetosphere",POWER(Upgrades!$U$7,F300),1)*IF(Upgrades!$T$8="Magnetosphere",POWER(Upgrades!$U$8,G300),1)*IF(Upgrades!$T$10="Magnetosphere",POWER(Upgrades!$U$10,I300),1)*IF(Upgrades!$T$11="Magnetosphere",POWER(Upgrades!$U$11,J300),1)*IF(Upgrades!$T$12="Magnetosphere",POWER(Upgrades!$U$12,K300),1))+(IF(I300=0,0,(Upgrades!$J$10+I300*Upgrades!$K$10)*POWER(Upgrades!$L$10,I300)))*(IF(Upgrades!$T$6="Orbital Resonance",POWER(Upgrades!$U$6,E300),1)*IF(Upgrades!$T$7="Orbital Resonance",POWER(Upgrades!$U$7,F300),1)*IF(Upgrades!$T$8="Orbital Resonance",POWER(Upgrades!$U$8,G300),1)*IF(Upgrades!$T$9="Orbital Resonance",POWER(Upgrades!$U$9,H300),1)*IF(Upgrades!$T$11="Orbital Resonance",POWER(Upgrades!$U$11,J300),1)*IF(Upgrades!$T$12="Orbital Resonance",POWER(Upgrades!$U$12,K300),1))+(IF(J300=0,0,(Upgrades!$J$11+J300*Upgrades!$K$11)*POWER(Upgrades!$L$11,J300)))*(IF(Upgrades!$T$6="Heliopause",POWER(Upgrades!$U$6,E300),1)*IF(Upgrades!$T$7="Heliopause",POWER(Upgrades!$U$7,F300),1)*IF(Upgrades!$T$8="Heliopause",POWER(Upgrades!$U$8,G300),1)*IF(Upgrades!$T$9="Heliopause",POWER(Upgrades!$U$9,H300),1)*IF(Upgrades!$T$10="Heliopause",POWER(Upgrades!$U$10,I300),1)*IF(Upgrades!$T$12="Heliopause",POWER(Upgrades!$U$12,K300),1))+(IF(K300=0,0,(Upgrades!$J$12+K300*Upgrades!$K$12)*POWER(Upgrades!$L$12,K300)))*(IF(Upgrades!$T$6="First Photons",POWER(Upgrades!$U$6,E300),1)*IF(Upgrades!$T$7="First Photons",POWER(Upgrades!$U$7,F300),1)*IF(Upgrades!$T$8="First Photons",POWER(Upgrades!$U$8,G300),1)*IF(Upgrades!$T$9="First Photons",POWER(Upgrades!$U$9,H300),1)*IF(Upgrades!$T$10="First Photons",POWER(Upgrades!$U$10,I300),1)*IF(Upgrades!$T$11="First Photons",POWER(Upgrades!$U$11,J300),1)))*POWER(Upgrades!$Q$6,E300)*POWER(Upgrades!$Q$7,F300)*POWER(Upgrades!$Q$8,G300)*POWER(Upgrades!$Q$9,H300)*POWER(Upgrades!$Q$10,I300)*POWER(Upgrades!$Q$11,J300)*POWER(Upgrades!$Q$12,K300)</f>
        <v/>
      </c>
      <c r="N300" s="28">
        <f>((IF(E300=0,0,(Upgrades!$G$6+E300*Upgrades!$H$6)*POWER(Upgrades!$I$6,E300)))*(IF(Upgrades!$T$7="Solar Wind",POWER(Upgrades!$U$7,F300),1)*IF(Upgrades!$T$8="Solar Wind",POWER(Upgrades!$U$8,G300),1)*IF(Upgrades!$T$9="Solar Wind",POWER(Upgrades!$U$9,H300),1)*IF(Upgrades!$T$10="Solar Wind",POWER(Upgrades!$U$10,I300),1)*IF(Upgrades!$T$11="Solar Wind",POWER(Upgrades!$U$11,J300),1)*IF(Upgrades!$T$12="Solar Wind",POWER(Upgrades!$U$12,K300),1))+(IF(F300=0,0,(Upgrades!$G$7+F300*Upgrades!$H$7)*POWER(Upgrades!$I$7,F300)))*(IF(Upgrades!$T$6="Asteroid Belt",POWER(Upgrades!$U$6,E300),1)*IF(Upgrades!$T$8="Asteroid Belt",POWER(Upgrades!$U$8,G300),1)*IF(Upgrades!$T$9="Asteroid Belt",POWER(Upgrades!$U$9,H300),1)*IF(Upgrades!$T$10="Asteroid Belt",POWER(Upgrades!$U$10,I300),1)*IF(Upgrades!$T$11="Asteroid Belt",POWER(Upgrades!$U$11,J300),1)*IF(Upgrades!$T$12="Asteroid Belt",POWER(Upgrades!$U$12,K300),1))+(IF(G300=0,0,(Upgrades!$G$8+G300*Upgrades!$H$8)*POWER(Upgrades!$I$8,G300)))*(IF(Upgrades!$T$6="Stellar Coupling",POWER(Upgrades!$U$6,E300),1)*IF(Upgrades!$T$7="Stellar Coupling",POWER(Upgrades!$U$7,F300),1)*IF(Upgrades!$T$9="Stellar Coupling",POWER(Upgrades!$U$9,H300),1)*IF(Upgrades!$T$10="Stellar Coupling",POWER(Upgrades!$U$10,I300),1)*IF(Upgrades!$T$11="Stellar Coupling",POWER(Upgrades!$U$11,J300),1)*IF(Upgrades!$T$12="Stellar Coupling",POWER(Upgrades!$U$12,K300),1))+(IF(H300=0,0,(Upgrades!$G$9+H300*Upgrades!$H$9)*POWER(Upgrades!$I$9,H300)))*(IF(Upgrades!$T$6="Magnetosphere",POWER(Upgrades!$U$6,E300),1)*IF(Upgrades!$T$7="Magnetosphere",POWER(Upgrades!$U$7,F300),1)*IF(Upgrades!$T$8="Magnetosphere",POWER(Upgrades!$U$8,G300),1)*IF(Upgrades!$T$10="Magnetosphere",POWER(Upgrades!$U$10,I300),1)*IF(Upgrades!$T$11="Magnetosphere",POWER(Upgrades!$U$11,J300),1)*IF(Upgrades!$T$12="Magnetosphere",POWER(Upgrades!$U$12,K300),1))+(IF(I300=0,0,(Upgrades!$G$10+I300*Upgrades!$H$10)*POWER(Upgrades!$I$10,I300)))*(IF(Upgrades!$T$6="Orbital Resonance",POWER(Upgrades!$U$6,E300),1)*IF(Upgrades!$T$7="Orbital Resonance",POWER(Upgrades!$U$7,F300),1)*IF(Upgrades!$T$8="Orbital Resonance",POWER(Upgrades!$U$8,G300),1)*IF(Upgrades!$T$9="Orbital Resonance",POWER(Upgrades!$U$9,H300),1)*IF(Upgrades!$T$11="Orbital Resonance",POWER(Upgrades!$U$11,J300),1)*IF(Upgrades!$T$12="Orbital Resonance",POWER(Upgrades!$U$12,K300),1))+(IF(J300=0,0,(Upgrades!$G$11+J300*Upgrades!$H$11)*POWER(Upgrades!$I$11,J300)))*(IF(Upgrades!$T$6="Heliopause",POWER(Upgrades!$U$6,E300),1)*IF(Upgrades!$T$7="Heliopause",POWER(Upgrades!$U$7,F300),1)*IF(Upgrades!$T$8="Heliopause",POWER(Upgrades!$U$8,G300),1)*IF(Upgrades!$T$9="Heliopause",POWER(Upgrades!$U$9,H300),1)*IF(Upgrades!$T$10="Heliopause",POWER(Upgrades!$U$10,I300),1)*IF(Upgrades!$T$12="Heliopause",POWER(Upgrades!$U$12,K300),1))+(IF(K300=0,0,(Upgrades!$G$12+K300*Upgrades!$H$12)*POWER(Upgrades!$I$12,K300)))*(IF(Upgrades!$T$6="First Photons",POWER(Upgrades!$U$6,E300),1)*IF(Upgrades!$T$7="First Photons",POWER(Upgrades!$U$7,F300),1)*IF(Upgrades!$T$8="First Photons",POWER(Upgrades!$U$8,G300),1)*IF(Upgrades!$T$9="First Photons",POWER(Upgrades!$U$9,H300),1)*IF(Upgrades!$T$10="First Photons",POWER(Upgrades!$U$10,I300),1)*IF(Upgrades!$T$11="First Photons",POWER(Upgrades!$U$11,J300),1)))*POWER(Upgrades!$P$6,E300)*POWER(Upgrades!$P$7,F300)*POWER(Upgrades!$P$8,G300)*POWER(Upgrades!$P$9,H300)*POWER(Upgrades!$P$10,I300)*POWER(Upgrades!$P$11,J300)*POWER(Upgrades!$P$12,K300)</f>
        <v/>
      </c>
      <c r="O300" s="28">
        <f>((IF(E300=0,0,(Upgrades!$M$6+E300*Upgrades!$N$6)*POWER(Upgrades!$O$6,E300)))*(IF(Upgrades!$T$7="Solar Wind",POWER(Upgrades!$U$7,F300),1)*IF(Upgrades!$T$8="Solar Wind",POWER(Upgrades!$U$8,G300),1)*IF(Upgrades!$T$9="Solar Wind",POWER(Upgrades!$U$9,H300),1)*IF(Upgrades!$T$10="Solar Wind",POWER(Upgrades!$U$10,I300),1)*IF(Upgrades!$T$11="Solar Wind",POWER(Upgrades!$U$11,J300),1)*IF(Upgrades!$T$12="Solar Wind",POWER(Upgrades!$U$12,K300),1))+(IF(F300=0,0,(Upgrades!$M$7+F300*Upgrades!$N$7)*POWER(Upgrades!$O$7,F300)))*(IF(Upgrades!$T$6="Asteroid Belt",POWER(Upgrades!$U$6,E300),1)*IF(Upgrades!$T$8="Asteroid Belt",POWER(Upgrades!$U$8,G300),1)*IF(Upgrades!$T$9="Asteroid Belt",POWER(Upgrades!$U$9,H300),1)*IF(Upgrades!$T$10="Asteroid Belt",POWER(Upgrades!$U$10,I300),1)*IF(Upgrades!$T$11="Asteroid Belt",POWER(Upgrades!$U$11,J300),1)*IF(Upgrades!$T$12="Asteroid Belt",POWER(Upgrades!$U$12,K300),1))+(IF(G300=0,0,(Upgrades!$M$8+G300*Upgrades!$N$8)*POWER(Upgrades!$O$8,G300)))*(IF(Upgrades!$T$6="Stellar Coupling",POWER(Upgrades!$U$6,E300),1)*IF(Upgrades!$T$7="Stellar Coupling",POWER(Upgrades!$U$7,F300),1)*IF(Upgrades!$T$9="Stellar Coupling",POWER(Upgrades!$U$9,H300),1)*IF(Upgrades!$T$10="Stellar Coupling",POWER(Upgrades!$U$10,I300),1)*IF(Upgrades!$T$11="Stellar Coupling",POWER(Upgrades!$U$11,J300),1)*IF(Upgrades!$T$12="Stellar Coupling",POWER(Upgrades!$U$12,K300),1))+(IF(H300=0,0,(Upgrades!$M$9+H300*Upgrades!$N$9)*POWER(Upgrades!$O$9,H300)))*(IF(Upgrades!$T$6="Magnetosphere",POWER(Upgrades!$U$6,E300),1)*IF(Upgrades!$T$7="Magnetosphere",POWER(Upgrades!$U$7,F300),1)*IF(Upgrades!$T$8="Magnetosphere",POWER(Upgrades!$U$8,G300),1)*IF(Upgrades!$T$10="Magnetosphere",POWER(Upgrades!$U$10,I300),1)*IF(Upgrades!$T$11="Magnetosphere",POWER(Upgrades!$U$11,J300),1)*IF(Upgrades!$T$12="Magnetosphere",POWER(Upgrades!$U$12,K300),1))+(IF(I300=0,0,(Upgrades!$M$10+I300*Upgrades!$N$10)*POWER(Upgrades!$O$10,I300)))*(IF(Upgrades!$T$6="Orbital Resonance",POWER(Upgrades!$U$6,E300),1)*IF(Upgrades!$T$7="Orbital Resonance",POWER(Upgrades!$U$7,F300),1)*IF(Upgrades!$T$8="Orbital Resonance",POWER(Upgrades!$U$8,G300),1)*IF(Upgrades!$T$9="Orbital Resonance",POWER(Upgrades!$U$9,H300),1)*IF(Upgrades!$T$11="Orbital Resonance",POWER(Upgrades!$U$11,J300),1)*IF(Upgrades!$T$12="Orbital Resonance",POWER(Upgrades!$U$12,K300),1))+(IF(J300=0,0,(Upgrades!$M$11+J300*Upgrades!$N$11)*POWER(Upgrades!$O$11,J300)))*(IF(Upgrades!$T$6="Heliopause",POWER(Upgrades!$U$6,E300),1)*IF(Upgrades!$T$7="Heliopause",POWER(Upgrades!$U$7,F300),1)*IF(Upgrades!$T$8="Heliopause",POWER(Upgrades!$U$8,G300),1)*IF(Upgrades!$T$9="Heliopause",POWER(Upgrades!$U$9,H300),1)*IF(Upgrades!$T$10="Heliopause",POWER(Upgrades!$U$10,I300),1)*IF(Upgrades!$T$12="Heliopause",POWER(Upgrades!$U$12,K300),1))+(IF(K300=0,0,(Upgrades!$M$12+K300*Upgrades!$N$12)*POWER(Upgrades!$O$12,K300)))*(IF(Upgrades!$T$6="First Photons",POWER(Upgrades!$U$6,E300),1)*IF(Upgrades!$T$7="First Photons",POWER(Upgrades!$U$7,F300),1)*IF(Upgrades!$T$8="First Photons",POWER(Upgrades!$U$8,G300),1)*IF(Upgrades!$T$9="First Photons",POWER(Upgrades!$U$9,H300),1)*IF(Upgrades!$T$10="First Photons",POWER(Upgrades!$U$10,I300),1)*IF(Upgrades!$T$11="First Photons",POWER(Upgrades!$U$11,J300),1)))*POWER(Upgrades!$R$6,E300)*POWER(Upgrades!$R$7,F300)*POWER(Upgrades!$R$8,G300)*POWER(Upgrades!$R$9,H300)*POWER(Upgrades!$R$10,I300)*POWER(Upgrades!$R$11,J300)*POWER(Upgrades!$R$12,K300)</f>
        <v/>
      </c>
      <c r="P300" s="27">
        <f>IF(L300=1,0,M300*Parameters!$B$10/60*Parameters!$B$11*10)</f>
        <v/>
      </c>
      <c r="Q300" s="27">
        <f>IF(L300=1,0,O300*M300*10)</f>
        <v/>
      </c>
      <c r="R300" s="27">
        <f>IF(L300=1,0,N300*10)</f>
        <v/>
      </c>
      <c r="S300" s="27">
        <f>P300+Q300+R300</f>
        <v/>
      </c>
      <c r="T300" s="22">
        <f>C300+S300</f>
        <v/>
      </c>
      <c r="U300" s="33">
        <f>AX300</f>
        <v/>
      </c>
      <c r="V300" s="22">
        <f>IF(U300="",0,IF(U300="transition",0,IF(U300="SW",AG300,IF(U300="AB",AH300,IF(U300="SC",AI300,IF(U300="Mag",AJ300,IF(U300="OR",AK300,IF(U300="HP",AL300,IF(U300="FP",AM300,0)))))))))</f>
        <v/>
      </c>
      <c r="W300" s="27">
        <f>IF(U300="OR",Upgrades!$F$10,IF(U300="HP",Upgrades!$F$11,IF(U300="transition",-Parameters!$B$18,0)))</f>
        <v/>
      </c>
      <c r="X300" s="22">
        <f>T300-V300</f>
        <v/>
      </c>
      <c r="Y300" s="30">
        <f>M300*Parameters!$B$10/60*Parameters!$B$11+O300*M300+N300</f>
        <v/>
      </c>
      <c r="Z300" s="34">
        <f>IF(U300="transition","→ Tier 2 (Stellar Neighborhood)",IF(U300="FP","First Photons — light begins, system quickens",IF(U300="HP","Heliopause acquired",IF(U300="OR","Orbital Resonance — passive multiplier active",IF(AND(AO300=1,L300=0,AN300&lt;&gt;1),"Cohesion ready (waiting on completionist upgrades)","")))))</f>
        <v/>
      </c>
      <c r="AA300" s="27">
        <f>(IF(E300=0,0,(Upgrades!$G$6+E300*Upgrades!$H$6)*POWER(Upgrades!$I$6,E300)))*(IF(Upgrades!$T$7="Solar Wind",POWER(Upgrades!$U$7,F300),1)*IF(Upgrades!$T$8="Solar Wind",POWER(Upgrades!$U$8,G300),1)*IF(Upgrades!$T$9="Solar Wind",POWER(Upgrades!$U$9,H300),1)*IF(Upgrades!$T$10="Solar Wind",POWER(Upgrades!$U$10,I300),1)*IF(Upgrades!$T$11="Solar Wind",POWER(Upgrades!$U$11,J300),1)*IF(Upgrades!$T$12="Solar Wind",POWER(Upgrades!$U$12,K300),1))*POWER(Upgrades!$P$6,E300)*POWER(Upgrades!$P$7,F300)*POWER(Upgrades!$P$8,G300)*POWER(Upgrades!$P$9,H300)*POWER(Upgrades!$P$10,I300)*POWER(Upgrades!$P$11,J300)*POWER(Upgrades!$P$12,K300)*60</f>
        <v/>
      </c>
      <c r="AB300" s="27">
        <f>(IF(F300=0,0,(Upgrades!$G$7+F300*Upgrades!$H$7)*POWER(Upgrades!$I$7,F300)))*(IF(Upgrades!$T$6="Asteroid Belt",POWER(Upgrades!$U$6,E300),1)*IF(Upgrades!$T$8="Asteroid Belt",POWER(Upgrades!$U$8,G300),1)*IF(Upgrades!$T$9="Asteroid Belt",POWER(Upgrades!$U$9,H300),1)*IF(Upgrades!$T$10="Asteroid Belt",POWER(Upgrades!$U$10,I300),1)*IF(Upgrades!$T$11="Asteroid Belt",POWER(Upgrades!$U$11,J300),1)*IF(Upgrades!$T$12="Asteroid Belt",POWER(Upgrades!$U$12,K300),1))*POWER(Upgrades!$P$6,E300)*POWER(Upgrades!$P$7,F300)*POWER(Upgrades!$P$8,G300)*POWER(Upgrades!$P$9,H300)*POWER(Upgrades!$P$10,I300)*POWER(Upgrades!$P$11,J300)*POWER(Upgrades!$P$12,K300)*60</f>
        <v/>
      </c>
      <c r="AC300" s="27">
        <f>(IF(G300=0,0,(Upgrades!$J$8+G300*Upgrades!$K$8)*POWER(Upgrades!$L$8,G300)))*(IF(Upgrades!$T$6="Stellar Coupling",POWER(Upgrades!$U$6,E300),1)*IF(Upgrades!$T$7="Stellar Coupling",POWER(Upgrades!$U$7,F300),1)*IF(Upgrades!$T$9="Stellar Coupling",POWER(Upgrades!$U$9,H300),1)*IF(Upgrades!$T$10="Stellar Coupling",POWER(Upgrades!$U$10,I300),1)*IF(Upgrades!$T$11="Stellar Coupling",POWER(Upgrades!$U$11,J300),1)*IF(Upgrades!$T$12="Stellar Coupling",POWER(Upgrades!$U$12,K300),1))*POWER(Upgrades!$Q$6,E300)*POWER(Upgrades!$Q$7,F300)*POWER(Upgrades!$Q$8,G300)*POWER(Upgrades!$Q$9,H300)*POWER(Upgrades!$Q$10,I300)*POWER(Upgrades!$Q$11,J300)*POWER(Upgrades!$Q$12,K300)*Parameters!$B$10*Parameters!$B$11</f>
        <v/>
      </c>
      <c r="AD300" s="27">
        <f>(IF(H300=0,0,(Upgrades!$G$9+H300*Upgrades!$H$9)*POWER(Upgrades!$I$9,H300)))*(IF(Upgrades!$T$6="Magnetosphere",POWER(Upgrades!$U$6,E300),1)*IF(Upgrades!$T$7="Magnetosphere",POWER(Upgrades!$U$7,F300),1)*IF(Upgrades!$T$8="Magnetosphere",POWER(Upgrades!$U$8,G300),1)*IF(Upgrades!$T$10="Magnetosphere",POWER(Upgrades!$U$10,I300),1)*IF(Upgrades!$T$11="Magnetosphere",POWER(Upgrades!$U$11,J300),1)*IF(Upgrades!$T$12="Magnetosphere",POWER(Upgrades!$U$12,K300),1))*POWER(Upgrades!$P$6,E300)*POWER(Upgrades!$P$7,F300)*POWER(Upgrades!$P$8,G300)*POWER(Upgrades!$P$9,H300)*POWER(Upgrades!$P$10,I300)*POWER(Upgrades!$P$11,J300)*POWER(Upgrades!$P$12,K300)*60</f>
        <v/>
      </c>
      <c r="AE300" s="27">
        <f>(IF(K300=0,0,(Upgrades!$G$12+K300*Upgrades!$H$12)*POWER(Upgrades!$I$12,K300)))*(IF(Upgrades!$T$6="First Photons",POWER(Upgrades!$U$6,E300),1)*IF(Upgrades!$T$7="First Photons",POWER(Upgrades!$U$7,F300),1)*IF(Upgrades!$T$8="First Photons",POWER(Upgrades!$U$8,G300),1)*IF(Upgrades!$T$9="First Photons",POWER(Upgrades!$U$9,H300),1)*IF(Upgrades!$T$10="First Photons",POWER(Upgrades!$U$10,I300),1)*IF(Upgrades!$T$11="First Photons",POWER(Upgrades!$U$11,J300),1))*POWER(Upgrades!$P$6,E300)*POWER(Upgrades!$P$7,F300)*POWER(Upgrades!$P$8,G300)*POWER(Upgrades!$P$9,H300)*POWER(Upgrades!$P$10,I300)*POWER(Upgrades!$P$11,J300)*POWER(Upgrades!$P$12,K300)*60</f>
        <v/>
      </c>
      <c r="AF300" s="27">
        <f>Parameters!$B$9*POWER(Upgrades!$Q$6,E300)*POWER(Upgrades!$Q$7,F300)*POWER(Upgrades!$Q$8,G300)*POWER(Upgrades!$Q$9,H300)*POWER(Upgrades!$Q$10,I300)*POWER(Upgrades!$Q$11,J300)*POWER(Upgrades!$Q$12,K300)*(Parameters!$B$10*Parameters!$B$11+O300*60)</f>
        <v/>
      </c>
      <c r="AG300" s="22">
        <f>IF(E300&gt;=Upgrades!$E$6,"",Upgrades!$C$6*POWER(Upgrades!$D$6,E300))</f>
        <v/>
      </c>
      <c r="AH300" s="22">
        <f>IF(F300&gt;=Upgrades!$E$7,"",Upgrades!$C$7*POWER(Upgrades!$D$7,F300))</f>
        <v/>
      </c>
      <c r="AI300" s="22">
        <f>IF(G300&gt;=Upgrades!$E$8,"",Upgrades!$C$8*POWER(Upgrades!$D$8,G300))</f>
        <v/>
      </c>
      <c r="AJ300" s="22">
        <f>IF(H300&gt;=Upgrades!$E$9,"",Upgrades!$C$9*POWER(Upgrades!$D$9,H300))</f>
        <v/>
      </c>
      <c r="AK300" s="22">
        <f>IF(I300&gt;=Upgrades!$E$10,"",Upgrades!$C$10*POWER(Upgrades!$D$10,I300))</f>
        <v/>
      </c>
      <c r="AL300" s="22">
        <f>IF(J300&gt;=Upgrades!$E$11,"",Upgrades!$C$11*POWER(Upgrades!$D$11,J300))</f>
        <v/>
      </c>
      <c r="AM300" s="22">
        <f>IF(K300&gt;=Upgrades!$E$12,"",Upgrades!$C$12*POWER(Upgrades!$D$12,K300))</f>
        <v/>
      </c>
      <c r="AN300" s="26">
        <f>IF(AND(D300&gt;=Parameters!$B$18,(H300&gt;=Upgrades!$E$9)*(K300&gt;=Upgrades!$E$12)=1,L300=0),1,"")</f>
        <v/>
      </c>
      <c r="AO300" s="26">
        <f>IF(AND(D300&gt;=Parameters!$B$18,L300=0),1,"")</f>
        <v/>
      </c>
      <c r="AP300" s="22">
        <f>MIN(IF(ISNUMBER(AK300),AK300,9E15),IF(ISNUMBER(AL300),AL300,9E15),IF(ISNUMBER(AM300),AM300,9E15))</f>
        <v/>
      </c>
      <c r="AQ300" s="22">
        <f>MIN(IF(ISNUMBER(AG300),AG300,9E15),IF(ISNUMBER(AH300),AH300,9E15),IF(ISNUMBER(AI300),AI300,9E15),IF(ISNUMBER(AJ300),AJ300,9E15))</f>
        <v/>
      </c>
      <c r="AR300" s="29">
        <f>IF(AW300&gt;Parameters!$B$21*(MAX(IF(AND(NOT(AND(AO300=1,AN300&lt;&gt;1)),ISNUMBER(AG300),AG300&lt;=T300),AS300,0),IF(AND(NOT(AND(AO300=1,AN300&lt;&gt;1)),ISNUMBER(AH300),AH300&lt;=T300),AT300,0),IF(AND(NOT(AND(AO300=1,AN300&lt;&gt;1)),ISNUMBER(AI300),AI300&lt;=T300),AU300,0),IF(AND(ISNUMBER(AJ300),AJ300&lt;=T300),AV300,0))),TRUE,FALSE)</f>
        <v/>
      </c>
      <c r="AS300" s="32">
        <f>IFERROR(Upgrades!$H$6*(POWER(Upgrades!$P$6,E300)*POWER(Upgrades!$P$7,F300)*POWER(Upgrades!$P$8,G300)*POWER(Upgrades!$P$9,H300)*POWER(Upgrades!$P$10,I300)*POWER(Upgrades!$P$11,J300)*POWER(Upgrades!$P$12,K300))*(IF(Upgrades!$T$7="Solar Wind",POWER(Upgrades!$U$7,F300),1)*IF(Upgrades!$T$8="Solar Wind",POWER(Upgrades!$U$8,G300),1)*IF(Upgrades!$T$9="Solar Wind",POWER(Upgrades!$U$9,H300),1)*IF(Upgrades!$T$10="Solar Wind",POWER(Upgrades!$U$10,I300),1)*IF(Upgrades!$T$11="Solar Wind",POWER(Upgrades!$U$11,J300),1)*IF(Upgrades!$T$12="Solar Wind",POWER(Upgrades!$U$12,K300),1))/AG300,0)</f>
        <v/>
      </c>
      <c r="AT300" s="32">
        <f>IFERROR(Upgrades!$H$7*(POWER(Upgrades!$P$6,E300)*POWER(Upgrades!$P$7,F300)*POWER(Upgrades!$P$8,G300)*POWER(Upgrades!$P$9,H300)*POWER(Upgrades!$P$10,I300)*POWER(Upgrades!$P$11,J300)*POWER(Upgrades!$P$12,K300))*(IF(Upgrades!$T$6="Asteroid Belt",POWER(Upgrades!$U$6,E300),1)*IF(Upgrades!$T$8="Asteroid Belt",POWER(Upgrades!$U$8,G300),1)*IF(Upgrades!$T$9="Asteroid Belt",POWER(Upgrades!$U$9,H300),1)*IF(Upgrades!$T$10="Asteroid Belt",POWER(Upgrades!$U$10,I300),1)*IF(Upgrades!$T$11="Asteroid Belt",POWER(Upgrades!$U$11,J300),1)*IF(Upgrades!$T$12="Asteroid Belt",POWER(Upgrades!$U$12,K300),1))/AH300,0)</f>
        <v/>
      </c>
      <c r="AU300" s="32">
        <f>IFERROR(Upgrades!$K$8*(POWER(Upgrades!$Q$6,E300)*POWER(Upgrades!$Q$7,F300)*POWER(Upgrades!$Q$8,G300)*POWER(Upgrades!$Q$9,H300)*POWER(Upgrades!$Q$10,I300)*POWER(Upgrades!$Q$11,J300)*POWER(Upgrades!$Q$12,K300))*(IF(Upgrades!$T$6="Stellar Coupling",POWER(Upgrades!$U$6,E300),1)*IF(Upgrades!$T$7="Stellar Coupling",POWER(Upgrades!$U$7,F300),1)*IF(Upgrades!$T$9="Stellar Coupling",POWER(Upgrades!$U$9,H300),1)*IF(Upgrades!$T$10="Stellar Coupling",POWER(Upgrades!$U$10,I300),1)*IF(Upgrades!$T$11="Stellar Coupling",POWER(Upgrades!$U$11,J300),1)*IF(Upgrades!$T$12="Stellar Coupling",POWER(Upgrades!$U$12,K300),1))*Parameters!$B$10*Parameters!$B$11/60/AI300,0)</f>
        <v/>
      </c>
      <c r="AV300" s="32">
        <f>IFERROR(Upgrades!$H$9*(POWER(Upgrades!$P$6,E300)*POWER(Upgrades!$P$7,F300)*POWER(Upgrades!$P$8,G300)*POWER(Upgrades!$P$9,H300)*POWER(Upgrades!$P$10,I300)*POWER(Upgrades!$P$11,J300)*POWER(Upgrades!$P$12,K300))*(IF(Upgrades!$T$6="Magnetosphere",POWER(Upgrades!$U$6,E300),1)*IF(Upgrades!$T$7="Magnetosphere",POWER(Upgrades!$U$7,F300),1)*IF(Upgrades!$T$8="Magnetosphere",POWER(Upgrades!$U$8,G300),1)*IF(Upgrades!$T$10="Magnetosphere",POWER(Upgrades!$U$10,I300),1)*IF(Upgrades!$T$11="Magnetosphere",POWER(Upgrades!$U$11,J300),1)*IF(Upgrades!$T$12="Magnetosphere",POWER(Upgrades!$U$12,K300),1))/AJ300,0)</f>
        <v/>
      </c>
      <c r="AW300" s="32">
        <f>MAX(IF(I300&gt;0,0,IFERROR(0.25*N300/Upgrades!$C$10,0)),IF(J300&gt;0,0,IFERROR(0.5*((IF(G300=0,0,(Upgrades!$J$8+G300*Upgrades!$K$8)*POWER(Upgrades!$L$8,G300)))*(IF(Upgrades!$T$6="Stellar Coupling",POWER(Upgrades!$U$6,E300),1)*IF(Upgrades!$T$7="Stellar Coupling",POWER(Upgrades!$U$7,F300),1)*IF(Upgrades!$T$9="Stellar Coupling",POWER(Upgrades!$U$9,H300),1)*IF(Upgrades!$T$10="Stellar Coupling",POWER(Upgrades!$U$10,I300),1)*IF(Upgrades!$T$11="Stellar Coupling",POWER(Upgrades!$U$11,J300),1)*IF(Upgrades!$T$12="Stellar Coupling",POWER(Upgrades!$U$12,K300),1))*(POWER(Upgrades!$Q$6,E300)*POWER(Upgrades!$Q$7,F300)*POWER(Upgrades!$Q$8,G300)*POWER(Upgrades!$Q$9,H300)*POWER(Upgrades!$Q$10,I300)*POWER(Upgrades!$Q$11,J300)*POWER(Upgrades!$Q$12,K300))*Parameters!$B$10*Parameters!$B$11/60)/Upgrades!$C$11,0)),IF(K300&gt;0,0,IFERROR((1.0*(POWER(Upgrades!$P$6,E300)*POWER(Upgrades!$P$7,F300)*POWER(Upgrades!$P$8,G300)*POWER(Upgrades!$P$9,H300)*POWER(Upgrades!$P$10,I300)*POWER(Upgrades!$P$11,J300)*POWER(Upgrades!$P$12,K300))+0.20*M300*Parameters!$B$10*Parameters!$B$11/60)/Upgrades!$C$12,0)),IF(AND(ISNUMBER(AG300),AG300&gt;T300),AS300,0),IF(AND(ISNUMBER(AH300),AH300&gt;T300),AT300,0),IF(AND(ISNUMBER(AI300),AI300&gt;T300),AU300,0),IF(AND(ISNUMBER(AJ300),AJ300&gt;T300),AV300,0))</f>
        <v/>
      </c>
      <c r="AX300" s="29">
        <f>IF(AN300=1,"transition",IF(MIN(IF(AND(I300=0,ISNUMBER(AK300),AK300&lt;=T300),AK300,9E15),IF(AND(J300=0,ISNUMBER(AL300),AL300&lt;=T300),AL300,9E15),IF(AND(K300=0,ISNUMBER(AM300),AM300&lt;=T300),AM300,9E15))&lt;9E15,IF(AND(AND(I300=0,ISNUMBER(AK300),AK300&lt;=T300),AK300=MIN(IF(AND(I300=0,ISNUMBER(AK300),AK300&lt;=T300),AK300,9E15),IF(AND(J300=0,ISNUMBER(AL300),AL300&lt;=T300),AL300,9E15),IF(AND(K300=0,ISNUMBER(AM300),AM300&lt;=T300),AM300,9E15))),"OR",IF(AND(AND(J300=0,ISNUMBER(AL300),AL300&lt;=T300),AL300=MIN(IF(AND(I300=0,ISNUMBER(AK300),AK300&lt;=T300),AK300,9E15),IF(AND(J300=0,ISNUMBER(AL300),AL300&lt;=T300),AL300,9E15),IF(AND(K300=0,ISNUMBER(AM300),AM300&lt;=T300),AM300,9E15))),"HP","FP")),IF(AR300=TRUE,"",IF(MAX(IF(AND(NOT(AND(AO300=1,AN300&lt;&gt;1)),ISNUMBER(AG300),AG300&lt;=T300),AS300,0),IF(AND(NOT(AND(AO300=1,AN300&lt;&gt;1)),ISNUMBER(AH300),AH300&lt;=T300),AT300,0),IF(AND(NOT(AND(AO300=1,AN300&lt;&gt;1)),ISNUMBER(AI300),AI300&lt;=T300),AU300,0),IF(AND(ISNUMBER(AJ300),AJ300&lt;=T300),AV300,0))&lt;=0,"",IF(AND(IF(AND(NOT(AND(AO300=1,AN300&lt;&gt;1)),ISNUMBER(AG300),AG300&lt;=T300),AS300,0)&gt;0,IF(AND(NOT(AND(AO300=1,AN300&lt;&gt;1)),ISNUMBER(AG300),AG300&lt;=T300),AS300,0)=MAX(IF(AND(NOT(AND(AO300=1,AN300&lt;&gt;1)),ISNUMBER(AG300),AG300&lt;=T300),AS300,0),IF(AND(NOT(AND(AO300=1,AN300&lt;&gt;1)),ISNUMBER(AH300),AH300&lt;=T300),AT300,0),IF(AND(NOT(AND(AO300=1,AN300&lt;&gt;1)),ISNUMBER(AI300),AI300&lt;=T300),AU300,0),IF(AND(ISNUMBER(AJ300),AJ300&lt;=T300),AV300,0))),"SW",IF(AND(IF(AND(NOT(AND(AO300=1,AN300&lt;&gt;1)),ISNUMBER(AH300),AH300&lt;=T300),AT300,0)&gt;0,IF(AND(NOT(AND(AO300=1,AN300&lt;&gt;1)),ISNUMBER(AH300),AH300&lt;=T300),AT300,0)=MAX(IF(AND(NOT(AND(AO300=1,AN300&lt;&gt;1)),ISNUMBER(AG300),AG300&lt;=T300),AS300,0),IF(AND(NOT(AND(AO300=1,AN300&lt;&gt;1)),ISNUMBER(AH300),AH300&lt;=T300),AT300,0),IF(AND(NOT(AND(AO300=1,AN300&lt;&gt;1)),ISNUMBER(AI300),AI300&lt;=T300),AU300,0),IF(AND(ISNUMBER(AJ300),AJ300&lt;=T300),AV300,0))),"AB",IF(AND(IF(AND(NOT(AND(AO300=1,AN300&lt;&gt;1)),ISNUMBER(AI300),AI300&lt;=T300),AU300,0)&gt;0,IF(AND(NOT(AND(AO300=1,AN300&lt;&gt;1)),ISNUMBER(AI300),AI300&lt;=T300),AU300,0)=MAX(IF(AND(NOT(AND(AO300=1,AN300&lt;&gt;1)),ISNUMBER(AG300),AG300&lt;=T300),AS300,0),IF(AND(NOT(AND(AO300=1,AN300&lt;&gt;1)),ISNUMBER(AH300),AH300&lt;=T300),AT300,0),IF(AND(NOT(AND(AO300=1,AN300&lt;&gt;1)),ISNUMBER(AI300),AI300&lt;=T300),AU300,0),IF(AND(ISNUMBER(AJ300),AJ300&lt;=T300),AV300,0))),"SC","Mag")))))))</f>
        <v/>
      </c>
    </row>
    <row r="301">
      <c r="A301" s="26" t="n">
        <v>296</v>
      </c>
      <c r="B301" s="27">
        <f>A301*10/60</f>
        <v/>
      </c>
      <c r="C301" s="22">
        <f>X300</f>
        <v/>
      </c>
      <c r="D301" s="27">
        <f>D300+W300</f>
        <v/>
      </c>
      <c r="E301" s="26">
        <f>E300+IF(U300="SW",1,0)</f>
        <v/>
      </c>
      <c r="F301" s="26">
        <f>F300+IF(U300="AB",1,0)</f>
        <v/>
      </c>
      <c r="G301" s="26">
        <f>G300+IF(U300="SC",1,0)</f>
        <v/>
      </c>
      <c r="H301" s="26">
        <f>H300+IF(U300="Mag",1,0)</f>
        <v/>
      </c>
      <c r="I301" s="26">
        <f>MAX(I300,IF(U300="OR",1,0))</f>
        <v/>
      </c>
      <c r="J301" s="26">
        <f>MAX(J300,IF(U300="HP",1,0))</f>
        <v/>
      </c>
      <c r="K301" s="26">
        <f>MAX(K300,IF(U300="FP",1,0))</f>
        <v/>
      </c>
      <c r="L301" s="26">
        <f>MAX(L300,IF(U300="transition",1,0))</f>
        <v/>
      </c>
      <c r="M301" s="28">
        <f>(Parameters!$B$9+(IF(E301=0,0,(Upgrades!$J$6+E301*Upgrades!$K$6)*POWER(Upgrades!$L$6,E301)))*(IF(Upgrades!$T$7="Solar Wind",POWER(Upgrades!$U$7,F301),1)*IF(Upgrades!$T$8="Solar Wind",POWER(Upgrades!$U$8,G301),1)*IF(Upgrades!$T$9="Solar Wind",POWER(Upgrades!$U$9,H301),1)*IF(Upgrades!$T$10="Solar Wind",POWER(Upgrades!$U$10,I301),1)*IF(Upgrades!$T$11="Solar Wind",POWER(Upgrades!$U$11,J301),1)*IF(Upgrades!$T$12="Solar Wind",POWER(Upgrades!$U$12,K301),1))+(IF(F301=0,0,(Upgrades!$J$7+F301*Upgrades!$K$7)*POWER(Upgrades!$L$7,F301)))*(IF(Upgrades!$T$6="Asteroid Belt",POWER(Upgrades!$U$6,E301),1)*IF(Upgrades!$T$8="Asteroid Belt",POWER(Upgrades!$U$8,G301),1)*IF(Upgrades!$T$9="Asteroid Belt",POWER(Upgrades!$U$9,H301),1)*IF(Upgrades!$T$10="Asteroid Belt",POWER(Upgrades!$U$10,I301),1)*IF(Upgrades!$T$11="Asteroid Belt",POWER(Upgrades!$U$11,J301),1)*IF(Upgrades!$T$12="Asteroid Belt",POWER(Upgrades!$U$12,K301),1))+(IF(G301=0,0,(Upgrades!$J$8+G301*Upgrades!$K$8)*POWER(Upgrades!$L$8,G301)))*(IF(Upgrades!$T$6="Stellar Coupling",POWER(Upgrades!$U$6,E301),1)*IF(Upgrades!$T$7="Stellar Coupling",POWER(Upgrades!$U$7,F301),1)*IF(Upgrades!$T$9="Stellar Coupling",POWER(Upgrades!$U$9,H301),1)*IF(Upgrades!$T$10="Stellar Coupling",POWER(Upgrades!$U$10,I301),1)*IF(Upgrades!$T$11="Stellar Coupling",POWER(Upgrades!$U$11,J301),1)*IF(Upgrades!$T$12="Stellar Coupling",POWER(Upgrades!$U$12,K301),1))+(IF(H301=0,0,(Upgrades!$J$9+H301*Upgrades!$K$9)*POWER(Upgrades!$L$9,H301)))*(IF(Upgrades!$T$6="Magnetosphere",POWER(Upgrades!$U$6,E301),1)*IF(Upgrades!$T$7="Magnetosphere",POWER(Upgrades!$U$7,F301),1)*IF(Upgrades!$T$8="Magnetosphere",POWER(Upgrades!$U$8,G301),1)*IF(Upgrades!$T$10="Magnetosphere",POWER(Upgrades!$U$10,I301),1)*IF(Upgrades!$T$11="Magnetosphere",POWER(Upgrades!$U$11,J301),1)*IF(Upgrades!$T$12="Magnetosphere",POWER(Upgrades!$U$12,K301),1))+(IF(I301=0,0,(Upgrades!$J$10+I301*Upgrades!$K$10)*POWER(Upgrades!$L$10,I301)))*(IF(Upgrades!$T$6="Orbital Resonance",POWER(Upgrades!$U$6,E301),1)*IF(Upgrades!$T$7="Orbital Resonance",POWER(Upgrades!$U$7,F301),1)*IF(Upgrades!$T$8="Orbital Resonance",POWER(Upgrades!$U$8,G301),1)*IF(Upgrades!$T$9="Orbital Resonance",POWER(Upgrades!$U$9,H301),1)*IF(Upgrades!$T$11="Orbital Resonance",POWER(Upgrades!$U$11,J301),1)*IF(Upgrades!$T$12="Orbital Resonance",POWER(Upgrades!$U$12,K301),1))+(IF(J301=0,0,(Upgrades!$J$11+J301*Upgrades!$K$11)*POWER(Upgrades!$L$11,J301)))*(IF(Upgrades!$T$6="Heliopause",POWER(Upgrades!$U$6,E301),1)*IF(Upgrades!$T$7="Heliopause",POWER(Upgrades!$U$7,F301),1)*IF(Upgrades!$T$8="Heliopause",POWER(Upgrades!$U$8,G301),1)*IF(Upgrades!$T$9="Heliopause",POWER(Upgrades!$U$9,H301),1)*IF(Upgrades!$T$10="Heliopause",POWER(Upgrades!$U$10,I301),1)*IF(Upgrades!$T$12="Heliopause",POWER(Upgrades!$U$12,K301),1))+(IF(K301=0,0,(Upgrades!$J$12+K301*Upgrades!$K$12)*POWER(Upgrades!$L$12,K301)))*(IF(Upgrades!$T$6="First Photons",POWER(Upgrades!$U$6,E301),1)*IF(Upgrades!$T$7="First Photons",POWER(Upgrades!$U$7,F301),1)*IF(Upgrades!$T$8="First Photons",POWER(Upgrades!$U$8,G301),1)*IF(Upgrades!$T$9="First Photons",POWER(Upgrades!$U$9,H301),1)*IF(Upgrades!$T$10="First Photons",POWER(Upgrades!$U$10,I301),1)*IF(Upgrades!$T$11="First Photons",POWER(Upgrades!$U$11,J301),1)))*POWER(Upgrades!$Q$6,E301)*POWER(Upgrades!$Q$7,F301)*POWER(Upgrades!$Q$8,G301)*POWER(Upgrades!$Q$9,H301)*POWER(Upgrades!$Q$10,I301)*POWER(Upgrades!$Q$11,J301)*POWER(Upgrades!$Q$12,K301)</f>
        <v/>
      </c>
      <c r="N301" s="28">
        <f>((IF(E301=0,0,(Upgrades!$G$6+E301*Upgrades!$H$6)*POWER(Upgrades!$I$6,E301)))*(IF(Upgrades!$T$7="Solar Wind",POWER(Upgrades!$U$7,F301),1)*IF(Upgrades!$T$8="Solar Wind",POWER(Upgrades!$U$8,G301),1)*IF(Upgrades!$T$9="Solar Wind",POWER(Upgrades!$U$9,H301),1)*IF(Upgrades!$T$10="Solar Wind",POWER(Upgrades!$U$10,I301),1)*IF(Upgrades!$T$11="Solar Wind",POWER(Upgrades!$U$11,J301),1)*IF(Upgrades!$T$12="Solar Wind",POWER(Upgrades!$U$12,K301),1))+(IF(F301=0,0,(Upgrades!$G$7+F301*Upgrades!$H$7)*POWER(Upgrades!$I$7,F301)))*(IF(Upgrades!$T$6="Asteroid Belt",POWER(Upgrades!$U$6,E301),1)*IF(Upgrades!$T$8="Asteroid Belt",POWER(Upgrades!$U$8,G301),1)*IF(Upgrades!$T$9="Asteroid Belt",POWER(Upgrades!$U$9,H301),1)*IF(Upgrades!$T$10="Asteroid Belt",POWER(Upgrades!$U$10,I301),1)*IF(Upgrades!$T$11="Asteroid Belt",POWER(Upgrades!$U$11,J301),1)*IF(Upgrades!$T$12="Asteroid Belt",POWER(Upgrades!$U$12,K301),1))+(IF(G301=0,0,(Upgrades!$G$8+G301*Upgrades!$H$8)*POWER(Upgrades!$I$8,G301)))*(IF(Upgrades!$T$6="Stellar Coupling",POWER(Upgrades!$U$6,E301),1)*IF(Upgrades!$T$7="Stellar Coupling",POWER(Upgrades!$U$7,F301),1)*IF(Upgrades!$T$9="Stellar Coupling",POWER(Upgrades!$U$9,H301),1)*IF(Upgrades!$T$10="Stellar Coupling",POWER(Upgrades!$U$10,I301),1)*IF(Upgrades!$T$11="Stellar Coupling",POWER(Upgrades!$U$11,J301),1)*IF(Upgrades!$T$12="Stellar Coupling",POWER(Upgrades!$U$12,K301),1))+(IF(H301=0,0,(Upgrades!$G$9+H301*Upgrades!$H$9)*POWER(Upgrades!$I$9,H301)))*(IF(Upgrades!$T$6="Magnetosphere",POWER(Upgrades!$U$6,E301),1)*IF(Upgrades!$T$7="Magnetosphere",POWER(Upgrades!$U$7,F301),1)*IF(Upgrades!$T$8="Magnetosphere",POWER(Upgrades!$U$8,G301),1)*IF(Upgrades!$T$10="Magnetosphere",POWER(Upgrades!$U$10,I301),1)*IF(Upgrades!$T$11="Magnetosphere",POWER(Upgrades!$U$11,J301),1)*IF(Upgrades!$T$12="Magnetosphere",POWER(Upgrades!$U$12,K301),1))+(IF(I301=0,0,(Upgrades!$G$10+I301*Upgrades!$H$10)*POWER(Upgrades!$I$10,I301)))*(IF(Upgrades!$T$6="Orbital Resonance",POWER(Upgrades!$U$6,E301),1)*IF(Upgrades!$T$7="Orbital Resonance",POWER(Upgrades!$U$7,F301),1)*IF(Upgrades!$T$8="Orbital Resonance",POWER(Upgrades!$U$8,G301),1)*IF(Upgrades!$T$9="Orbital Resonance",POWER(Upgrades!$U$9,H301),1)*IF(Upgrades!$T$11="Orbital Resonance",POWER(Upgrades!$U$11,J301),1)*IF(Upgrades!$T$12="Orbital Resonance",POWER(Upgrades!$U$12,K301),1))+(IF(J301=0,0,(Upgrades!$G$11+J301*Upgrades!$H$11)*POWER(Upgrades!$I$11,J301)))*(IF(Upgrades!$T$6="Heliopause",POWER(Upgrades!$U$6,E301),1)*IF(Upgrades!$T$7="Heliopause",POWER(Upgrades!$U$7,F301),1)*IF(Upgrades!$T$8="Heliopause",POWER(Upgrades!$U$8,G301),1)*IF(Upgrades!$T$9="Heliopause",POWER(Upgrades!$U$9,H301),1)*IF(Upgrades!$T$10="Heliopause",POWER(Upgrades!$U$10,I301),1)*IF(Upgrades!$T$12="Heliopause",POWER(Upgrades!$U$12,K301),1))+(IF(K301=0,0,(Upgrades!$G$12+K301*Upgrades!$H$12)*POWER(Upgrades!$I$12,K301)))*(IF(Upgrades!$T$6="First Photons",POWER(Upgrades!$U$6,E301),1)*IF(Upgrades!$T$7="First Photons",POWER(Upgrades!$U$7,F301),1)*IF(Upgrades!$T$8="First Photons",POWER(Upgrades!$U$8,G301),1)*IF(Upgrades!$T$9="First Photons",POWER(Upgrades!$U$9,H301),1)*IF(Upgrades!$T$10="First Photons",POWER(Upgrades!$U$10,I301),1)*IF(Upgrades!$T$11="First Photons",POWER(Upgrades!$U$11,J301),1)))*POWER(Upgrades!$P$6,E301)*POWER(Upgrades!$P$7,F301)*POWER(Upgrades!$P$8,G301)*POWER(Upgrades!$P$9,H301)*POWER(Upgrades!$P$10,I301)*POWER(Upgrades!$P$11,J301)*POWER(Upgrades!$P$12,K301)</f>
        <v/>
      </c>
      <c r="O301" s="28">
        <f>((IF(E301=0,0,(Upgrades!$M$6+E301*Upgrades!$N$6)*POWER(Upgrades!$O$6,E301)))*(IF(Upgrades!$T$7="Solar Wind",POWER(Upgrades!$U$7,F301),1)*IF(Upgrades!$T$8="Solar Wind",POWER(Upgrades!$U$8,G301),1)*IF(Upgrades!$T$9="Solar Wind",POWER(Upgrades!$U$9,H301),1)*IF(Upgrades!$T$10="Solar Wind",POWER(Upgrades!$U$10,I301),1)*IF(Upgrades!$T$11="Solar Wind",POWER(Upgrades!$U$11,J301),1)*IF(Upgrades!$T$12="Solar Wind",POWER(Upgrades!$U$12,K301),1))+(IF(F301=0,0,(Upgrades!$M$7+F301*Upgrades!$N$7)*POWER(Upgrades!$O$7,F301)))*(IF(Upgrades!$T$6="Asteroid Belt",POWER(Upgrades!$U$6,E301),1)*IF(Upgrades!$T$8="Asteroid Belt",POWER(Upgrades!$U$8,G301),1)*IF(Upgrades!$T$9="Asteroid Belt",POWER(Upgrades!$U$9,H301),1)*IF(Upgrades!$T$10="Asteroid Belt",POWER(Upgrades!$U$10,I301),1)*IF(Upgrades!$T$11="Asteroid Belt",POWER(Upgrades!$U$11,J301),1)*IF(Upgrades!$T$12="Asteroid Belt",POWER(Upgrades!$U$12,K301),1))+(IF(G301=0,0,(Upgrades!$M$8+G301*Upgrades!$N$8)*POWER(Upgrades!$O$8,G301)))*(IF(Upgrades!$T$6="Stellar Coupling",POWER(Upgrades!$U$6,E301),1)*IF(Upgrades!$T$7="Stellar Coupling",POWER(Upgrades!$U$7,F301),1)*IF(Upgrades!$T$9="Stellar Coupling",POWER(Upgrades!$U$9,H301),1)*IF(Upgrades!$T$10="Stellar Coupling",POWER(Upgrades!$U$10,I301),1)*IF(Upgrades!$T$11="Stellar Coupling",POWER(Upgrades!$U$11,J301),1)*IF(Upgrades!$T$12="Stellar Coupling",POWER(Upgrades!$U$12,K301),1))+(IF(H301=0,0,(Upgrades!$M$9+H301*Upgrades!$N$9)*POWER(Upgrades!$O$9,H301)))*(IF(Upgrades!$T$6="Magnetosphere",POWER(Upgrades!$U$6,E301),1)*IF(Upgrades!$T$7="Magnetosphere",POWER(Upgrades!$U$7,F301),1)*IF(Upgrades!$T$8="Magnetosphere",POWER(Upgrades!$U$8,G301),1)*IF(Upgrades!$T$10="Magnetosphere",POWER(Upgrades!$U$10,I301),1)*IF(Upgrades!$T$11="Magnetosphere",POWER(Upgrades!$U$11,J301),1)*IF(Upgrades!$T$12="Magnetosphere",POWER(Upgrades!$U$12,K301),1))+(IF(I301=0,0,(Upgrades!$M$10+I301*Upgrades!$N$10)*POWER(Upgrades!$O$10,I301)))*(IF(Upgrades!$T$6="Orbital Resonance",POWER(Upgrades!$U$6,E301),1)*IF(Upgrades!$T$7="Orbital Resonance",POWER(Upgrades!$U$7,F301),1)*IF(Upgrades!$T$8="Orbital Resonance",POWER(Upgrades!$U$8,G301),1)*IF(Upgrades!$T$9="Orbital Resonance",POWER(Upgrades!$U$9,H301),1)*IF(Upgrades!$T$11="Orbital Resonance",POWER(Upgrades!$U$11,J301),1)*IF(Upgrades!$T$12="Orbital Resonance",POWER(Upgrades!$U$12,K301),1))+(IF(J301=0,0,(Upgrades!$M$11+J301*Upgrades!$N$11)*POWER(Upgrades!$O$11,J301)))*(IF(Upgrades!$T$6="Heliopause",POWER(Upgrades!$U$6,E301),1)*IF(Upgrades!$T$7="Heliopause",POWER(Upgrades!$U$7,F301),1)*IF(Upgrades!$T$8="Heliopause",POWER(Upgrades!$U$8,G301),1)*IF(Upgrades!$T$9="Heliopause",POWER(Upgrades!$U$9,H301),1)*IF(Upgrades!$T$10="Heliopause",POWER(Upgrades!$U$10,I301),1)*IF(Upgrades!$T$12="Heliopause",POWER(Upgrades!$U$12,K301),1))+(IF(K301=0,0,(Upgrades!$M$12+K301*Upgrades!$N$12)*POWER(Upgrades!$O$12,K301)))*(IF(Upgrades!$T$6="First Photons",POWER(Upgrades!$U$6,E301),1)*IF(Upgrades!$T$7="First Photons",POWER(Upgrades!$U$7,F301),1)*IF(Upgrades!$T$8="First Photons",POWER(Upgrades!$U$8,G301),1)*IF(Upgrades!$T$9="First Photons",POWER(Upgrades!$U$9,H301),1)*IF(Upgrades!$T$10="First Photons",POWER(Upgrades!$U$10,I301),1)*IF(Upgrades!$T$11="First Photons",POWER(Upgrades!$U$11,J301),1)))*POWER(Upgrades!$R$6,E301)*POWER(Upgrades!$R$7,F301)*POWER(Upgrades!$R$8,G301)*POWER(Upgrades!$R$9,H301)*POWER(Upgrades!$R$10,I301)*POWER(Upgrades!$R$11,J301)*POWER(Upgrades!$R$12,K301)</f>
        <v/>
      </c>
      <c r="P301" s="27">
        <f>IF(L301=1,0,M301*Parameters!$B$10/60*Parameters!$B$11*10)</f>
        <v/>
      </c>
      <c r="Q301" s="27">
        <f>IF(L301=1,0,O301*M301*10)</f>
        <v/>
      </c>
      <c r="R301" s="27">
        <f>IF(L301=1,0,N301*10)</f>
        <v/>
      </c>
      <c r="S301" s="27">
        <f>P301+Q301+R301</f>
        <v/>
      </c>
      <c r="T301" s="22">
        <f>C301+S301</f>
        <v/>
      </c>
      <c r="U301" s="33">
        <f>AX301</f>
        <v/>
      </c>
      <c r="V301" s="22">
        <f>IF(U301="",0,IF(U301="transition",0,IF(U301="SW",AG301,IF(U301="AB",AH301,IF(U301="SC",AI301,IF(U301="Mag",AJ301,IF(U301="OR",AK301,IF(U301="HP",AL301,IF(U301="FP",AM301,0)))))))))</f>
        <v/>
      </c>
      <c r="W301" s="27">
        <f>IF(U301="OR",Upgrades!$F$10,IF(U301="HP",Upgrades!$F$11,IF(U301="transition",-Parameters!$B$18,0)))</f>
        <v/>
      </c>
      <c r="X301" s="22">
        <f>T301-V301</f>
        <v/>
      </c>
      <c r="Y301" s="30">
        <f>M301*Parameters!$B$10/60*Parameters!$B$11+O301*M301+N301</f>
        <v/>
      </c>
      <c r="Z301" s="34">
        <f>IF(U301="transition","→ Tier 2 (Stellar Neighborhood)",IF(U301="FP","First Photons — light begins, system quickens",IF(U301="HP","Heliopause acquired",IF(U301="OR","Orbital Resonance — passive multiplier active",IF(AND(AO301=1,L301=0,AN301&lt;&gt;1),"Cohesion ready (waiting on completionist upgrades)","")))))</f>
        <v/>
      </c>
      <c r="AA301" s="27">
        <f>(IF(E301=0,0,(Upgrades!$G$6+E301*Upgrades!$H$6)*POWER(Upgrades!$I$6,E301)))*(IF(Upgrades!$T$7="Solar Wind",POWER(Upgrades!$U$7,F301),1)*IF(Upgrades!$T$8="Solar Wind",POWER(Upgrades!$U$8,G301),1)*IF(Upgrades!$T$9="Solar Wind",POWER(Upgrades!$U$9,H301),1)*IF(Upgrades!$T$10="Solar Wind",POWER(Upgrades!$U$10,I301),1)*IF(Upgrades!$T$11="Solar Wind",POWER(Upgrades!$U$11,J301),1)*IF(Upgrades!$T$12="Solar Wind",POWER(Upgrades!$U$12,K301),1))*POWER(Upgrades!$P$6,E301)*POWER(Upgrades!$P$7,F301)*POWER(Upgrades!$P$8,G301)*POWER(Upgrades!$P$9,H301)*POWER(Upgrades!$P$10,I301)*POWER(Upgrades!$P$11,J301)*POWER(Upgrades!$P$12,K301)*60</f>
        <v/>
      </c>
      <c r="AB301" s="27">
        <f>(IF(F301=0,0,(Upgrades!$G$7+F301*Upgrades!$H$7)*POWER(Upgrades!$I$7,F301)))*(IF(Upgrades!$T$6="Asteroid Belt",POWER(Upgrades!$U$6,E301),1)*IF(Upgrades!$T$8="Asteroid Belt",POWER(Upgrades!$U$8,G301),1)*IF(Upgrades!$T$9="Asteroid Belt",POWER(Upgrades!$U$9,H301),1)*IF(Upgrades!$T$10="Asteroid Belt",POWER(Upgrades!$U$10,I301),1)*IF(Upgrades!$T$11="Asteroid Belt",POWER(Upgrades!$U$11,J301),1)*IF(Upgrades!$T$12="Asteroid Belt",POWER(Upgrades!$U$12,K301),1))*POWER(Upgrades!$P$6,E301)*POWER(Upgrades!$P$7,F301)*POWER(Upgrades!$P$8,G301)*POWER(Upgrades!$P$9,H301)*POWER(Upgrades!$P$10,I301)*POWER(Upgrades!$P$11,J301)*POWER(Upgrades!$P$12,K301)*60</f>
        <v/>
      </c>
      <c r="AC301" s="27">
        <f>(IF(G301=0,0,(Upgrades!$J$8+G301*Upgrades!$K$8)*POWER(Upgrades!$L$8,G301)))*(IF(Upgrades!$T$6="Stellar Coupling",POWER(Upgrades!$U$6,E301),1)*IF(Upgrades!$T$7="Stellar Coupling",POWER(Upgrades!$U$7,F301),1)*IF(Upgrades!$T$9="Stellar Coupling",POWER(Upgrades!$U$9,H301),1)*IF(Upgrades!$T$10="Stellar Coupling",POWER(Upgrades!$U$10,I301),1)*IF(Upgrades!$T$11="Stellar Coupling",POWER(Upgrades!$U$11,J301),1)*IF(Upgrades!$T$12="Stellar Coupling",POWER(Upgrades!$U$12,K301),1))*POWER(Upgrades!$Q$6,E301)*POWER(Upgrades!$Q$7,F301)*POWER(Upgrades!$Q$8,G301)*POWER(Upgrades!$Q$9,H301)*POWER(Upgrades!$Q$10,I301)*POWER(Upgrades!$Q$11,J301)*POWER(Upgrades!$Q$12,K301)*Parameters!$B$10*Parameters!$B$11</f>
        <v/>
      </c>
      <c r="AD301" s="27">
        <f>(IF(H301=0,0,(Upgrades!$G$9+H301*Upgrades!$H$9)*POWER(Upgrades!$I$9,H301)))*(IF(Upgrades!$T$6="Magnetosphere",POWER(Upgrades!$U$6,E301),1)*IF(Upgrades!$T$7="Magnetosphere",POWER(Upgrades!$U$7,F301),1)*IF(Upgrades!$T$8="Magnetosphere",POWER(Upgrades!$U$8,G301),1)*IF(Upgrades!$T$10="Magnetosphere",POWER(Upgrades!$U$10,I301),1)*IF(Upgrades!$T$11="Magnetosphere",POWER(Upgrades!$U$11,J301),1)*IF(Upgrades!$T$12="Magnetosphere",POWER(Upgrades!$U$12,K301),1))*POWER(Upgrades!$P$6,E301)*POWER(Upgrades!$P$7,F301)*POWER(Upgrades!$P$8,G301)*POWER(Upgrades!$P$9,H301)*POWER(Upgrades!$P$10,I301)*POWER(Upgrades!$P$11,J301)*POWER(Upgrades!$P$12,K301)*60</f>
        <v/>
      </c>
      <c r="AE301" s="27">
        <f>(IF(K301=0,0,(Upgrades!$G$12+K301*Upgrades!$H$12)*POWER(Upgrades!$I$12,K301)))*(IF(Upgrades!$T$6="First Photons",POWER(Upgrades!$U$6,E301),1)*IF(Upgrades!$T$7="First Photons",POWER(Upgrades!$U$7,F301),1)*IF(Upgrades!$T$8="First Photons",POWER(Upgrades!$U$8,G301),1)*IF(Upgrades!$T$9="First Photons",POWER(Upgrades!$U$9,H301),1)*IF(Upgrades!$T$10="First Photons",POWER(Upgrades!$U$10,I301),1)*IF(Upgrades!$T$11="First Photons",POWER(Upgrades!$U$11,J301),1))*POWER(Upgrades!$P$6,E301)*POWER(Upgrades!$P$7,F301)*POWER(Upgrades!$P$8,G301)*POWER(Upgrades!$P$9,H301)*POWER(Upgrades!$P$10,I301)*POWER(Upgrades!$P$11,J301)*POWER(Upgrades!$P$12,K301)*60</f>
        <v/>
      </c>
      <c r="AF301" s="27">
        <f>Parameters!$B$9*POWER(Upgrades!$Q$6,E301)*POWER(Upgrades!$Q$7,F301)*POWER(Upgrades!$Q$8,G301)*POWER(Upgrades!$Q$9,H301)*POWER(Upgrades!$Q$10,I301)*POWER(Upgrades!$Q$11,J301)*POWER(Upgrades!$Q$12,K301)*(Parameters!$B$10*Parameters!$B$11+O301*60)</f>
        <v/>
      </c>
      <c r="AG301" s="22">
        <f>IF(E301&gt;=Upgrades!$E$6,"",Upgrades!$C$6*POWER(Upgrades!$D$6,E301))</f>
        <v/>
      </c>
      <c r="AH301" s="22">
        <f>IF(F301&gt;=Upgrades!$E$7,"",Upgrades!$C$7*POWER(Upgrades!$D$7,F301))</f>
        <v/>
      </c>
      <c r="AI301" s="22">
        <f>IF(G301&gt;=Upgrades!$E$8,"",Upgrades!$C$8*POWER(Upgrades!$D$8,G301))</f>
        <v/>
      </c>
      <c r="AJ301" s="22">
        <f>IF(H301&gt;=Upgrades!$E$9,"",Upgrades!$C$9*POWER(Upgrades!$D$9,H301))</f>
        <v/>
      </c>
      <c r="AK301" s="22">
        <f>IF(I301&gt;=Upgrades!$E$10,"",Upgrades!$C$10*POWER(Upgrades!$D$10,I301))</f>
        <v/>
      </c>
      <c r="AL301" s="22">
        <f>IF(J301&gt;=Upgrades!$E$11,"",Upgrades!$C$11*POWER(Upgrades!$D$11,J301))</f>
        <v/>
      </c>
      <c r="AM301" s="22">
        <f>IF(K301&gt;=Upgrades!$E$12,"",Upgrades!$C$12*POWER(Upgrades!$D$12,K301))</f>
        <v/>
      </c>
      <c r="AN301" s="26">
        <f>IF(AND(D301&gt;=Parameters!$B$18,(H301&gt;=Upgrades!$E$9)*(K301&gt;=Upgrades!$E$12)=1,L301=0),1,"")</f>
        <v/>
      </c>
      <c r="AO301" s="26">
        <f>IF(AND(D301&gt;=Parameters!$B$18,L301=0),1,"")</f>
        <v/>
      </c>
      <c r="AP301" s="22">
        <f>MIN(IF(ISNUMBER(AK301),AK301,9E15),IF(ISNUMBER(AL301),AL301,9E15),IF(ISNUMBER(AM301),AM301,9E15))</f>
        <v/>
      </c>
      <c r="AQ301" s="22">
        <f>MIN(IF(ISNUMBER(AG301),AG301,9E15),IF(ISNUMBER(AH301),AH301,9E15),IF(ISNUMBER(AI301),AI301,9E15),IF(ISNUMBER(AJ301),AJ301,9E15))</f>
        <v/>
      </c>
      <c r="AR301" s="29">
        <f>IF(AW301&gt;Parameters!$B$21*(MAX(IF(AND(NOT(AND(AO301=1,AN301&lt;&gt;1)),ISNUMBER(AG301),AG301&lt;=T301),AS301,0),IF(AND(NOT(AND(AO301=1,AN301&lt;&gt;1)),ISNUMBER(AH301),AH301&lt;=T301),AT301,0),IF(AND(NOT(AND(AO301=1,AN301&lt;&gt;1)),ISNUMBER(AI301),AI301&lt;=T301),AU301,0),IF(AND(ISNUMBER(AJ301),AJ301&lt;=T301),AV301,0))),TRUE,FALSE)</f>
        <v/>
      </c>
      <c r="AS301" s="32">
        <f>IFERROR(Upgrades!$H$6*(POWER(Upgrades!$P$6,E301)*POWER(Upgrades!$P$7,F301)*POWER(Upgrades!$P$8,G301)*POWER(Upgrades!$P$9,H301)*POWER(Upgrades!$P$10,I301)*POWER(Upgrades!$P$11,J301)*POWER(Upgrades!$P$12,K301))*(IF(Upgrades!$T$7="Solar Wind",POWER(Upgrades!$U$7,F301),1)*IF(Upgrades!$T$8="Solar Wind",POWER(Upgrades!$U$8,G301),1)*IF(Upgrades!$T$9="Solar Wind",POWER(Upgrades!$U$9,H301),1)*IF(Upgrades!$T$10="Solar Wind",POWER(Upgrades!$U$10,I301),1)*IF(Upgrades!$T$11="Solar Wind",POWER(Upgrades!$U$11,J301),1)*IF(Upgrades!$T$12="Solar Wind",POWER(Upgrades!$U$12,K301),1))/AG301,0)</f>
        <v/>
      </c>
      <c r="AT301" s="32">
        <f>IFERROR(Upgrades!$H$7*(POWER(Upgrades!$P$6,E301)*POWER(Upgrades!$P$7,F301)*POWER(Upgrades!$P$8,G301)*POWER(Upgrades!$P$9,H301)*POWER(Upgrades!$P$10,I301)*POWER(Upgrades!$P$11,J301)*POWER(Upgrades!$P$12,K301))*(IF(Upgrades!$T$6="Asteroid Belt",POWER(Upgrades!$U$6,E301),1)*IF(Upgrades!$T$8="Asteroid Belt",POWER(Upgrades!$U$8,G301),1)*IF(Upgrades!$T$9="Asteroid Belt",POWER(Upgrades!$U$9,H301),1)*IF(Upgrades!$T$10="Asteroid Belt",POWER(Upgrades!$U$10,I301),1)*IF(Upgrades!$T$11="Asteroid Belt",POWER(Upgrades!$U$11,J301),1)*IF(Upgrades!$T$12="Asteroid Belt",POWER(Upgrades!$U$12,K301),1))/AH301,0)</f>
        <v/>
      </c>
      <c r="AU301" s="32">
        <f>IFERROR(Upgrades!$K$8*(POWER(Upgrades!$Q$6,E301)*POWER(Upgrades!$Q$7,F301)*POWER(Upgrades!$Q$8,G301)*POWER(Upgrades!$Q$9,H301)*POWER(Upgrades!$Q$10,I301)*POWER(Upgrades!$Q$11,J301)*POWER(Upgrades!$Q$12,K301))*(IF(Upgrades!$T$6="Stellar Coupling",POWER(Upgrades!$U$6,E301),1)*IF(Upgrades!$T$7="Stellar Coupling",POWER(Upgrades!$U$7,F301),1)*IF(Upgrades!$T$9="Stellar Coupling",POWER(Upgrades!$U$9,H301),1)*IF(Upgrades!$T$10="Stellar Coupling",POWER(Upgrades!$U$10,I301),1)*IF(Upgrades!$T$11="Stellar Coupling",POWER(Upgrades!$U$11,J301),1)*IF(Upgrades!$T$12="Stellar Coupling",POWER(Upgrades!$U$12,K301),1))*Parameters!$B$10*Parameters!$B$11/60/AI301,0)</f>
        <v/>
      </c>
      <c r="AV301" s="32">
        <f>IFERROR(Upgrades!$H$9*(POWER(Upgrades!$P$6,E301)*POWER(Upgrades!$P$7,F301)*POWER(Upgrades!$P$8,G301)*POWER(Upgrades!$P$9,H301)*POWER(Upgrades!$P$10,I301)*POWER(Upgrades!$P$11,J301)*POWER(Upgrades!$P$12,K301))*(IF(Upgrades!$T$6="Magnetosphere",POWER(Upgrades!$U$6,E301),1)*IF(Upgrades!$T$7="Magnetosphere",POWER(Upgrades!$U$7,F301),1)*IF(Upgrades!$T$8="Magnetosphere",POWER(Upgrades!$U$8,G301),1)*IF(Upgrades!$T$10="Magnetosphere",POWER(Upgrades!$U$10,I301),1)*IF(Upgrades!$T$11="Magnetosphere",POWER(Upgrades!$U$11,J301),1)*IF(Upgrades!$T$12="Magnetosphere",POWER(Upgrades!$U$12,K301),1))/AJ301,0)</f>
        <v/>
      </c>
      <c r="AW301" s="32">
        <f>MAX(IF(I301&gt;0,0,IFERROR(0.25*N301/Upgrades!$C$10,0)),IF(J301&gt;0,0,IFERROR(0.5*((IF(G301=0,0,(Upgrades!$J$8+G301*Upgrades!$K$8)*POWER(Upgrades!$L$8,G301)))*(IF(Upgrades!$T$6="Stellar Coupling",POWER(Upgrades!$U$6,E301),1)*IF(Upgrades!$T$7="Stellar Coupling",POWER(Upgrades!$U$7,F301),1)*IF(Upgrades!$T$9="Stellar Coupling",POWER(Upgrades!$U$9,H301),1)*IF(Upgrades!$T$10="Stellar Coupling",POWER(Upgrades!$U$10,I301),1)*IF(Upgrades!$T$11="Stellar Coupling",POWER(Upgrades!$U$11,J301),1)*IF(Upgrades!$T$12="Stellar Coupling",POWER(Upgrades!$U$12,K301),1))*(POWER(Upgrades!$Q$6,E301)*POWER(Upgrades!$Q$7,F301)*POWER(Upgrades!$Q$8,G301)*POWER(Upgrades!$Q$9,H301)*POWER(Upgrades!$Q$10,I301)*POWER(Upgrades!$Q$11,J301)*POWER(Upgrades!$Q$12,K301))*Parameters!$B$10*Parameters!$B$11/60)/Upgrades!$C$11,0)),IF(K301&gt;0,0,IFERROR((1.0*(POWER(Upgrades!$P$6,E301)*POWER(Upgrades!$P$7,F301)*POWER(Upgrades!$P$8,G301)*POWER(Upgrades!$P$9,H301)*POWER(Upgrades!$P$10,I301)*POWER(Upgrades!$P$11,J301)*POWER(Upgrades!$P$12,K301))+0.20*M301*Parameters!$B$10*Parameters!$B$11/60)/Upgrades!$C$12,0)),IF(AND(ISNUMBER(AG301),AG301&gt;T301),AS301,0),IF(AND(ISNUMBER(AH301),AH301&gt;T301),AT301,0),IF(AND(ISNUMBER(AI301),AI301&gt;T301),AU301,0),IF(AND(ISNUMBER(AJ301),AJ301&gt;T301),AV301,0))</f>
        <v/>
      </c>
      <c r="AX301" s="29">
        <f>IF(AN301=1,"transition",IF(MIN(IF(AND(I301=0,ISNUMBER(AK301),AK301&lt;=T301),AK301,9E15),IF(AND(J301=0,ISNUMBER(AL301),AL301&lt;=T301),AL301,9E15),IF(AND(K301=0,ISNUMBER(AM301),AM301&lt;=T301),AM301,9E15))&lt;9E15,IF(AND(AND(I301=0,ISNUMBER(AK301),AK301&lt;=T301),AK301=MIN(IF(AND(I301=0,ISNUMBER(AK301),AK301&lt;=T301),AK301,9E15),IF(AND(J301=0,ISNUMBER(AL301),AL301&lt;=T301),AL301,9E15),IF(AND(K301=0,ISNUMBER(AM301),AM301&lt;=T301),AM301,9E15))),"OR",IF(AND(AND(J301=0,ISNUMBER(AL301),AL301&lt;=T301),AL301=MIN(IF(AND(I301=0,ISNUMBER(AK301),AK301&lt;=T301),AK301,9E15),IF(AND(J301=0,ISNUMBER(AL301),AL301&lt;=T301),AL301,9E15),IF(AND(K301=0,ISNUMBER(AM301),AM301&lt;=T301),AM301,9E15))),"HP","FP")),IF(AR301=TRUE,"",IF(MAX(IF(AND(NOT(AND(AO301=1,AN301&lt;&gt;1)),ISNUMBER(AG301),AG301&lt;=T301),AS301,0),IF(AND(NOT(AND(AO301=1,AN301&lt;&gt;1)),ISNUMBER(AH301),AH301&lt;=T301),AT301,0),IF(AND(NOT(AND(AO301=1,AN301&lt;&gt;1)),ISNUMBER(AI301),AI301&lt;=T301),AU301,0),IF(AND(ISNUMBER(AJ301),AJ301&lt;=T301),AV301,0))&lt;=0,"",IF(AND(IF(AND(NOT(AND(AO301=1,AN301&lt;&gt;1)),ISNUMBER(AG301),AG301&lt;=T301),AS301,0)&gt;0,IF(AND(NOT(AND(AO301=1,AN301&lt;&gt;1)),ISNUMBER(AG301),AG301&lt;=T301),AS301,0)=MAX(IF(AND(NOT(AND(AO301=1,AN301&lt;&gt;1)),ISNUMBER(AG301),AG301&lt;=T301),AS301,0),IF(AND(NOT(AND(AO301=1,AN301&lt;&gt;1)),ISNUMBER(AH301),AH301&lt;=T301),AT301,0),IF(AND(NOT(AND(AO301=1,AN301&lt;&gt;1)),ISNUMBER(AI301),AI301&lt;=T301),AU301,0),IF(AND(ISNUMBER(AJ301),AJ301&lt;=T301),AV301,0))),"SW",IF(AND(IF(AND(NOT(AND(AO301=1,AN301&lt;&gt;1)),ISNUMBER(AH301),AH301&lt;=T301),AT301,0)&gt;0,IF(AND(NOT(AND(AO301=1,AN301&lt;&gt;1)),ISNUMBER(AH301),AH301&lt;=T301),AT301,0)=MAX(IF(AND(NOT(AND(AO301=1,AN301&lt;&gt;1)),ISNUMBER(AG301),AG301&lt;=T301),AS301,0),IF(AND(NOT(AND(AO301=1,AN301&lt;&gt;1)),ISNUMBER(AH301),AH301&lt;=T301),AT301,0),IF(AND(NOT(AND(AO301=1,AN301&lt;&gt;1)),ISNUMBER(AI301),AI301&lt;=T301),AU301,0),IF(AND(ISNUMBER(AJ301),AJ301&lt;=T301),AV301,0))),"AB",IF(AND(IF(AND(NOT(AND(AO301=1,AN301&lt;&gt;1)),ISNUMBER(AI301),AI301&lt;=T301),AU301,0)&gt;0,IF(AND(NOT(AND(AO301=1,AN301&lt;&gt;1)),ISNUMBER(AI301),AI301&lt;=T301),AU301,0)=MAX(IF(AND(NOT(AND(AO301=1,AN301&lt;&gt;1)),ISNUMBER(AG301),AG301&lt;=T301),AS301,0),IF(AND(NOT(AND(AO301=1,AN301&lt;&gt;1)),ISNUMBER(AH301),AH301&lt;=T301),AT301,0),IF(AND(NOT(AND(AO301=1,AN301&lt;&gt;1)),ISNUMBER(AI301),AI301&lt;=T301),AU301,0),IF(AND(ISNUMBER(AJ301),AJ301&lt;=T301),AV301,0))),"SC","Mag")))))))</f>
        <v/>
      </c>
    </row>
    <row r="302">
      <c r="A302" s="26" t="n">
        <v>297</v>
      </c>
      <c r="B302" s="27">
        <f>A302*10/60</f>
        <v/>
      </c>
      <c r="C302" s="22">
        <f>X301</f>
        <v/>
      </c>
      <c r="D302" s="27">
        <f>D301+W301</f>
        <v/>
      </c>
      <c r="E302" s="26">
        <f>E301+IF(U301="SW",1,0)</f>
        <v/>
      </c>
      <c r="F302" s="26">
        <f>F301+IF(U301="AB",1,0)</f>
        <v/>
      </c>
      <c r="G302" s="26">
        <f>G301+IF(U301="SC",1,0)</f>
        <v/>
      </c>
      <c r="H302" s="26">
        <f>H301+IF(U301="Mag",1,0)</f>
        <v/>
      </c>
      <c r="I302" s="26">
        <f>MAX(I301,IF(U301="OR",1,0))</f>
        <v/>
      </c>
      <c r="J302" s="26">
        <f>MAX(J301,IF(U301="HP",1,0))</f>
        <v/>
      </c>
      <c r="K302" s="26">
        <f>MAX(K301,IF(U301="FP",1,0))</f>
        <v/>
      </c>
      <c r="L302" s="26">
        <f>MAX(L301,IF(U301="transition",1,0))</f>
        <v/>
      </c>
      <c r="M302" s="28">
        <f>(Parameters!$B$9+(IF(E302=0,0,(Upgrades!$J$6+E302*Upgrades!$K$6)*POWER(Upgrades!$L$6,E302)))*(IF(Upgrades!$T$7="Solar Wind",POWER(Upgrades!$U$7,F302),1)*IF(Upgrades!$T$8="Solar Wind",POWER(Upgrades!$U$8,G302),1)*IF(Upgrades!$T$9="Solar Wind",POWER(Upgrades!$U$9,H302),1)*IF(Upgrades!$T$10="Solar Wind",POWER(Upgrades!$U$10,I302),1)*IF(Upgrades!$T$11="Solar Wind",POWER(Upgrades!$U$11,J302),1)*IF(Upgrades!$T$12="Solar Wind",POWER(Upgrades!$U$12,K302),1))+(IF(F302=0,0,(Upgrades!$J$7+F302*Upgrades!$K$7)*POWER(Upgrades!$L$7,F302)))*(IF(Upgrades!$T$6="Asteroid Belt",POWER(Upgrades!$U$6,E302),1)*IF(Upgrades!$T$8="Asteroid Belt",POWER(Upgrades!$U$8,G302),1)*IF(Upgrades!$T$9="Asteroid Belt",POWER(Upgrades!$U$9,H302),1)*IF(Upgrades!$T$10="Asteroid Belt",POWER(Upgrades!$U$10,I302),1)*IF(Upgrades!$T$11="Asteroid Belt",POWER(Upgrades!$U$11,J302),1)*IF(Upgrades!$T$12="Asteroid Belt",POWER(Upgrades!$U$12,K302),1))+(IF(G302=0,0,(Upgrades!$J$8+G302*Upgrades!$K$8)*POWER(Upgrades!$L$8,G302)))*(IF(Upgrades!$T$6="Stellar Coupling",POWER(Upgrades!$U$6,E302),1)*IF(Upgrades!$T$7="Stellar Coupling",POWER(Upgrades!$U$7,F302),1)*IF(Upgrades!$T$9="Stellar Coupling",POWER(Upgrades!$U$9,H302),1)*IF(Upgrades!$T$10="Stellar Coupling",POWER(Upgrades!$U$10,I302),1)*IF(Upgrades!$T$11="Stellar Coupling",POWER(Upgrades!$U$11,J302),1)*IF(Upgrades!$T$12="Stellar Coupling",POWER(Upgrades!$U$12,K302),1))+(IF(H302=0,0,(Upgrades!$J$9+H302*Upgrades!$K$9)*POWER(Upgrades!$L$9,H302)))*(IF(Upgrades!$T$6="Magnetosphere",POWER(Upgrades!$U$6,E302),1)*IF(Upgrades!$T$7="Magnetosphere",POWER(Upgrades!$U$7,F302),1)*IF(Upgrades!$T$8="Magnetosphere",POWER(Upgrades!$U$8,G302),1)*IF(Upgrades!$T$10="Magnetosphere",POWER(Upgrades!$U$10,I302),1)*IF(Upgrades!$T$11="Magnetosphere",POWER(Upgrades!$U$11,J302),1)*IF(Upgrades!$T$12="Magnetosphere",POWER(Upgrades!$U$12,K302),1))+(IF(I302=0,0,(Upgrades!$J$10+I302*Upgrades!$K$10)*POWER(Upgrades!$L$10,I302)))*(IF(Upgrades!$T$6="Orbital Resonance",POWER(Upgrades!$U$6,E302),1)*IF(Upgrades!$T$7="Orbital Resonance",POWER(Upgrades!$U$7,F302),1)*IF(Upgrades!$T$8="Orbital Resonance",POWER(Upgrades!$U$8,G302),1)*IF(Upgrades!$T$9="Orbital Resonance",POWER(Upgrades!$U$9,H302),1)*IF(Upgrades!$T$11="Orbital Resonance",POWER(Upgrades!$U$11,J302),1)*IF(Upgrades!$T$12="Orbital Resonance",POWER(Upgrades!$U$12,K302),1))+(IF(J302=0,0,(Upgrades!$J$11+J302*Upgrades!$K$11)*POWER(Upgrades!$L$11,J302)))*(IF(Upgrades!$T$6="Heliopause",POWER(Upgrades!$U$6,E302),1)*IF(Upgrades!$T$7="Heliopause",POWER(Upgrades!$U$7,F302),1)*IF(Upgrades!$T$8="Heliopause",POWER(Upgrades!$U$8,G302),1)*IF(Upgrades!$T$9="Heliopause",POWER(Upgrades!$U$9,H302),1)*IF(Upgrades!$T$10="Heliopause",POWER(Upgrades!$U$10,I302),1)*IF(Upgrades!$T$12="Heliopause",POWER(Upgrades!$U$12,K302),1))+(IF(K302=0,0,(Upgrades!$J$12+K302*Upgrades!$K$12)*POWER(Upgrades!$L$12,K302)))*(IF(Upgrades!$T$6="First Photons",POWER(Upgrades!$U$6,E302),1)*IF(Upgrades!$T$7="First Photons",POWER(Upgrades!$U$7,F302),1)*IF(Upgrades!$T$8="First Photons",POWER(Upgrades!$U$8,G302),1)*IF(Upgrades!$T$9="First Photons",POWER(Upgrades!$U$9,H302),1)*IF(Upgrades!$T$10="First Photons",POWER(Upgrades!$U$10,I302),1)*IF(Upgrades!$T$11="First Photons",POWER(Upgrades!$U$11,J302),1)))*POWER(Upgrades!$Q$6,E302)*POWER(Upgrades!$Q$7,F302)*POWER(Upgrades!$Q$8,G302)*POWER(Upgrades!$Q$9,H302)*POWER(Upgrades!$Q$10,I302)*POWER(Upgrades!$Q$11,J302)*POWER(Upgrades!$Q$12,K302)</f>
        <v/>
      </c>
      <c r="N302" s="28">
        <f>((IF(E302=0,0,(Upgrades!$G$6+E302*Upgrades!$H$6)*POWER(Upgrades!$I$6,E302)))*(IF(Upgrades!$T$7="Solar Wind",POWER(Upgrades!$U$7,F302),1)*IF(Upgrades!$T$8="Solar Wind",POWER(Upgrades!$U$8,G302),1)*IF(Upgrades!$T$9="Solar Wind",POWER(Upgrades!$U$9,H302),1)*IF(Upgrades!$T$10="Solar Wind",POWER(Upgrades!$U$10,I302),1)*IF(Upgrades!$T$11="Solar Wind",POWER(Upgrades!$U$11,J302),1)*IF(Upgrades!$T$12="Solar Wind",POWER(Upgrades!$U$12,K302),1))+(IF(F302=0,0,(Upgrades!$G$7+F302*Upgrades!$H$7)*POWER(Upgrades!$I$7,F302)))*(IF(Upgrades!$T$6="Asteroid Belt",POWER(Upgrades!$U$6,E302),1)*IF(Upgrades!$T$8="Asteroid Belt",POWER(Upgrades!$U$8,G302),1)*IF(Upgrades!$T$9="Asteroid Belt",POWER(Upgrades!$U$9,H302),1)*IF(Upgrades!$T$10="Asteroid Belt",POWER(Upgrades!$U$10,I302),1)*IF(Upgrades!$T$11="Asteroid Belt",POWER(Upgrades!$U$11,J302),1)*IF(Upgrades!$T$12="Asteroid Belt",POWER(Upgrades!$U$12,K302),1))+(IF(G302=0,0,(Upgrades!$G$8+G302*Upgrades!$H$8)*POWER(Upgrades!$I$8,G302)))*(IF(Upgrades!$T$6="Stellar Coupling",POWER(Upgrades!$U$6,E302),1)*IF(Upgrades!$T$7="Stellar Coupling",POWER(Upgrades!$U$7,F302),1)*IF(Upgrades!$T$9="Stellar Coupling",POWER(Upgrades!$U$9,H302),1)*IF(Upgrades!$T$10="Stellar Coupling",POWER(Upgrades!$U$10,I302),1)*IF(Upgrades!$T$11="Stellar Coupling",POWER(Upgrades!$U$11,J302),1)*IF(Upgrades!$T$12="Stellar Coupling",POWER(Upgrades!$U$12,K302),1))+(IF(H302=0,0,(Upgrades!$G$9+H302*Upgrades!$H$9)*POWER(Upgrades!$I$9,H302)))*(IF(Upgrades!$T$6="Magnetosphere",POWER(Upgrades!$U$6,E302),1)*IF(Upgrades!$T$7="Magnetosphere",POWER(Upgrades!$U$7,F302),1)*IF(Upgrades!$T$8="Magnetosphere",POWER(Upgrades!$U$8,G302),1)*IF(Upgrades!$T$10="Magnetosphere",POWER(Upgrades!$U$10,I302),1)*IF(Upgrades!$T$11="Magnetosphere",POWER(Upgrades!$U$11,J302),1)*IF(Upgrades!$T$12="Magnetosphere",POWER(Upgrades!$U$12,K302),1))+(IF(I302=0,0,(Upgrades!$G$10+I302*Upgrades!$H$10)*POWER(Upgrades!$I$10,I302)))*(IF(Upgrades!$T$6="Orbital Resonance",POWER(Upgrades!$U$6,E302),1)*IF(Upgrades!$T$7="Orbital Resonance",POWER(Upgrades!$U$7,F302),1)*IF(Upgrades!$T$8="Orbital Resonance",POWER(Upgrades!$U$8,G302),1)*IF(Upgrades!$T$9="Orbital Resonance",POWER(Upgrades!$U$9,H302),1)*IF(Upgrades!$T$11="Orbital Resonance",POWER(Upgrades!$U$11,J302),1)*IF(Upgrades!$T$12="Orbital Resonance",POWER(Upgrades!$U$12,K302),1))+(IF(J302=0,0,(Upgrades!$G$11+J302*Upgrades!$H$11)*POWER(Upgrades!$I$11,J302)))*(IF(Upgrades!$T$6="Heliopause",POWER(Upgrades!$U$6,E302),1)*IF(Upgrades!$T$7="Heliopause",POWER(Upgrades!$U$7,F302),1)*IF(Upgrades!$T$8="Heliopause",POWER(Upgrades!$U$8,G302),1)*IF(Upgrades!$T$9="Heliopause",POWER(Upgrades!$U$9,H302),1)*IF(Upgrades!$T$10="Heliopause",POWER(Upgrades!$U$10,I302),1)*IF(Upgrades!$T$12="Heliopause",POWER(Upgrades!$U$12,K302),1))+(IF(K302=0,0,(Upgrades!$G$12+K302*Upgrades!$H$12)*POWER(Upgrades!$I$12,K302)))*(IF(Upgrades!$T$6="First Photons",POWER(Upgrades!$U$6,E302),1)*IF(Upgrades!$T$7="First Photons",POWER(Upgrades!$U$7,F302),1)*IF(Upgrades!$T$8="First Photons",POWER(Upgrades!$U$8,G302),1)*IF(Upgrades!$T$9="First Photons",POWER(Upgrades!$U$9,H302),1)*IF(Upgrades!$T$10="First Photons",POWER(Upgrades!$U$10,I302),1)*IF(Upgrades!$T$11="First Photons",POWER(Upgrades!$U$11,J302),1)))*POWER(Upgrades!$P$6,E302)*POWER(Upgrades!$P$7,F302)*POWER(Upgrades!$P$8,G302)*POWER(Upgrades!$P$9,H302)*POWER(Upgrades!$P$10,I302)*POWER(Upgrades!$P$11,J302)*POWER(Upgrades!$P$12,K302)</f>
        <v/>
      </c>
      <c r="O302" s="28">
        <f>((IF(E302=0,0,(Upgrades!$M$6+E302*Upgrades!$N$6)*POWER(Upgrades!$O$6,E302)))*(IF(Upgrades!$T$7="Solar Wind",POWER(Upgrades!$U$7,F302),1)*IF(Upgrades!$T$8="Solar Wind",POWER(Upgrades!$U$8,G302),1)*IF(Upgrades!$T$9="Solar Wind",POWER(Upgrades!$U$9,H302),1)*IF(Upgrades!$T$10="Solar Wind",POWER(Upgrades!$U$10,I302),1)*IF(Upgrades!$T$11="Solar Wind",POWER(Upgrades!$U$11,J302),1)*IF(Upgrades!$T$12="Solar Wind",POWER(Upgrades!$U$12,K302),1))+(IF(F302=0,0,(Upgrades!$M$7+F302*Upgrades!$N$7)*POWER(Upgrades!$O$7,F302)))*(IF(Upgrades!$T$6="Asteroid Belt",POWER(Upgrades!$U$6,E302),1)*IF(Upgrades!$T$8="Asteroid Belt",POWER(Upgrades!$U$8,G302),1)*IF(Upgrades!$T$9="Asteroid Belt",POWER(Upgrades!$U$9,H302),1)*IF(Upgrades!$T$10="Asteroid Belt",POWER(Upgrades!$U$10,I302),1)*IF(Upgrades!$T$11="Asteroid Belt",POWER(Upgrades!$U$11,J302),1)*IF(Upgrades!$T$12="Asteroid Belt",POWER(Upgrades!$U$12,K302),1))+(IF(G302=0,0,(Upgrades!$M$8+G302*Upgrades!$N$8)*POWER(Upgrades!$O$8,G302)))*(IF(Upgrades!$T$6="Stellar Coupling",POWER(Upgrades!$U$6,E302),1)*IF(Upgrades!$T$7="Stellar Coupling",POWER(Upgrades!$U$7,F302),1)*IF(Upgrades!$T$9="Stellar Coupling",POWER(Upgrades!$U$9,H302),1)*IF(Upgrades!$T$10="Stellar Coupling",POWER(Upgrades!$U$10,I302),1)*IF(Upgrades!$T$11="Stellar Coupling",POWER(Upgrades!$U$11,J302),1)*IF(Upgrades!$T$12="Stellar Coupling",POWER(Upgrades!$U$12,K302),1))+(IF(H302=0,0,(Upgrades!$M$9+H302*Upgrades!$N$9)*POWER(Upgrades!$O$9,H302)))*(IF(Upgrades!$T$6="Magnetosphere",POWER(Upgrades!$U$6,E302),1)*IF(Upgrades!$T$7="Magnetosphere",POWER(Upgrades!$U$7,F302),1)*IF(Upgrades!$T$8="Magnetosphere",POWER(Upgrades!$U$8,G302),1)*IF(Upgrades!$T$10="Magnetosphere",POWER(Upgrades!$U$10,I302),1)*IF(Upgrades!$T$11="Magnetosphere",POWER(Upgrades!$U$11,J302),1)*IF(Upgrades!$T$12="Magnetosphere",POWER(Upgrades!$U$12,K302),1))+(IF(I302=0,0,(Upgrades!$M$10+I302*Upgrades!$N$10)*POWER(Upgrades!$O$10,I302)))*(IF(Upgrades!$T$6="Orbital Resonance",POWER(Upgrades!$U$6,E302),1)*IF(Upgrades!$T$7="Orbital Resonance",POWER(Upgrades!$U$7,F302),1)*IF(Upgrades!$T$8="Orbital Resonance",POWER(Upgrades!$U$8,G302),1)*IF(Upgrades!$T$9="Orbital Resonance",POWER(Upgrades!$U$9,H302),1)*IF(Upgrades!$T$11="Orbital Resonance",POWER(Upgrades!$U$11,J302),1)*IF(Upgrades!$T$12="Orbital Resonance",POWER(Upgrades!$U$12,K302),1))+(IF(J302=0,0,(Upgrades!$M$11+J302*Upgrades!$N$11)*POWER(Upgrades!$O$11,J302)))*(IF(Upgrades!$T$6="Heliopause",POWER(Upgrades!$U$6,E302),1)*IF(Upgrades!$T$7="Heliopause",POWER(Upgrades!$U$7,F302),1)*IF(Upgrades!$T$8="Heliopause",POWER(Upgrades!$U$8,G302),1)*IF(Upgrades!$T$9="Heliopause",POWER(Upgrades!$U$9,H302),1)*IF(Upgrades!$T$10="Heliopause",POWER(Upgrades!$U$10,I302),1)*IF(Upgrades!$T$12="Heliopause",POWER(Upgrades!$U$12,K302),1))+(IF(K302=0,0,(Upgrades!$M$12+K302*Upgrades!$N$12)*POWER(Upgrades!$O$12,K302)))*(IF(Upgrades!$T$6="First Photons",POWER(Upgrades!$U$6,E302),1)*IF(Upgrades!$T$7="First Photons",POWER(Upgrades!$U$7,F302),1)*IF(Upgrades!$T$8="First Photons",POWER(Upgrades!$U$8,G302),1)*IF(Upgrades!$T$9="First Photons",POWER(Upgrades!$U$9,H302),1)*IF(Upgrades!$T$10="First Photons",POWER(Upgrades!$U$10,I302),1)*IF(Upgrades!$T$11="First Photons",POWER(Upgrades!$U$11,J302),1)))*POWER(Upgrades!$R$6,E302)*POWER(Upgrades!$R$7,F302)*POWER(Upgrades!$R$8,G302)*POWER(Upgrades!$R$9,H302)*POWER(Upgrades!$R$10,I302)*POWER(Upgrades!$R$11,J302)*POWER(Upgrades!$R$12,K302)</f>
        <v/>
      </c>
      <c r="P302" s="27">
        <f>IF(L302=1,0,M302*Parameters!$B$10/60*Parameters!$B$11*10)</f>
        <v/>
      </c>
      <c r="Q302" s="27">
        <f>IF(L302=1,0,O302*M302*10)</f>
        <v/>
      </c>
      <c r="R302" s="27">
        <f>IF(L302=1,0,N302*10)</f>
        <v/>
      </c>
      <c r="S302" s="27">
        <f>P302+Q302+R302</f>
        <v/>
      </c>
      <c r="T302" s="22">
        <f>C302+S302</f>
        <v/>
      </c>
      <c r="U302" s="33">
        <f>AX302</f>
        <v/>
      </c>
      <c r="V302" s="22">
        <f>IF(U302="",0,IF(U302="transition",0,IF(U302="SW",AG302,IF(U302="AB",AH302,IF(U302="SC",AI302,IF(U302="Mag",AJ302,IF(U302="OR",AK302,IF(U302="HP",AL302,IF(U302="FP",AM302,0)))))))))</f>
        <v/>
      </c>
      <c r="W302" s="27">
        <f>IF(U302="OR",Upgrades!$F$10,IF(U302="HP",Upgrades!$F$11,IF(U302="transition",-Parameters!$B$18,0)))</f>
        <v/>
      </c>
      <c r="X302" s="22">
        <f>T302-V302</f>
        <v/>
      </c>
      <c r="Y302" s="30">
        <f>M302*Parameters!$B$10/60*Parameters!$B$11+O302*M302+N302</f>
        <v/>
      </c>
      <c r="Z302" s="34">
        <f>IF(U302="transition","→ Tier 2 (Stellar Neighborhood)",IF(U302="FP","First Photons — light begins, system quickens",IF(U302="HP","Heliopause acquired",IF(U302="OR","Orbital Resonance — passive multiplier active",IF(AND(AO302=1,L302=0,AN302&lt;&gt;1),"Cohesion ready (waiting on completionist upgrades)","")))))</f>
        <v/>
      </c>
      <c r="AA302" s="27">
        <f>(IF(E302=0,0,(Upgrades!$G$6+E302*Upgrades!$H$6)*POWER(Upgrades!$I$6,E302)))*(IF(Upgrades!$T$7="Solar Wind",POWER(Upgrades!$U$7,F302),1)*IF(Upgrades!$T$8="Solar Wind",POWER(Upgrades!$U$8,G302),1)*IF(Upgrades!$T$9="Solar Wind",POWER(Upgrades!$U$9,H302),1)*IF(Upgrades!$T$10="Solar Wind",POWER(Upgrades!$U$10,I302),1)*IF(Upgrades!$T$11="Solar Wind",POWER(Upgrades!$U$11,J302),1)*IF(Upgrades!$T$12="Solar Wind",POWER(Upgrades!$U$12,K302),1))*POWER(Upgrades!$P$6,E302)*POWER(Upgrades!$P$7,F302)*POWER(Upgrades!$P$8,G302)*POWER(Upgrades!$P$9,H302)*POWER(Upgrades!$P$10,I302)*POWER(Upgrades!$P$11,J302)*POWER(Upgrades!$P$12,K302)*60</f>
        <v/>
      </c>
      <c r="AB302" s="27">
        <f>(IF(F302=0,0,(Upgrades!$G$7+F302*Upgrades!$H$7)*POWER(Upgrades!$I$7,F302)))*(IF(Upgrades!$T$6="Asteroid Belt",POWER(Upgrades!$U$6,E302),1)*IF(Upgrades!$T$8="Asteroid Belt",POWER(Upgrades!$U$8,G302),1)*IF(Upgrades!$T$9="Asteroid Belt",POWER(Upgrades!$U$9,H302),1)*IF(Upgrades!$T$10="Asteroid Belt",POWER(Upgrades!$U$10,I302),1)*IF(Upgrades!$T$11="Asteroid Belt",POWER(Upgrades!$U$11,J302),1)*IF(Upgrades!$T$12="Asteroid Belt",POWER(Upgrades!$U$12,K302),1))*POWER(Upgrades!$P$6,E302)*POWER(Upgrades!$P$7,F302)*POWER(Upgrades!$P$8,G302)*POWER(Upgrades!$P$9,H302)*POWER(Upgrades!$P$10,I302)*POWER(Upgrades!$P$11,J302)*POWER(Upgrades!$P$12,K302)*60</f>
        <v/>
      </c>
      <c r="AC302" s="27">
        <f>(IF(G302=0,0,(Upgrades!$J$8+G302*Upgrades!$K$8)*POWER(Upgrades!$L$8,G302)))*(IF(Upgrades!$T$6="Stellar Coupling",POWER(Upgrades!$U$6,E302),1)*IF(Upgrades!$T$7="Stellar Coupling",POWER(Upgrades!$U$7,F302),1)*IF(Upgrades!$T$9="Stellar Coupling",POWER(Upgrades!$U$9,H302),1)*IF(Upgrades!$T$10="Stellar Coupling",POWER(Upgrades!$U$10,I302),1)*IF(Upgrades!$T$11="Stellar Coupling",POWER(Upgrades!$U$11,J302),1)*IF(Upgrades!$T$12="Stellar Coupling",POWER(Upgrades!$U$12,K302),1))*POWER(Upgrades!$Q$6,E302)*POWER(Upgrades!$Q$7,F302)*POWER(Upgrades!$Q$8,G302)*POWER(Upgrades!$Q$9,H302)*POWER(Upgrades!$Q$10,I302)*POWER(Upgrades!$Q$11,J302)*POWER(Upgrades!$Q$12,K302)*Parameters!$B$10*Parameters!$B$11</f>
        <v/>
      </c>
      <c r="AD302" s="27">
        <f>(IF(H302=0,0,(Upgrades!$G$9+H302*Upgrades!$H$9)*POWER(Upgrades!$I$9,H302)))*(IF(Upgrades!$T$6="Magnetosphere",POWER(Upgrades!$U$6,E302),1)*IF(Upgrades!$T$7="Magnetosphere",POWER(Upgrades!$U$7,F302),1)*IF(Upgrades!$T$8="Magnetosphere",POWER(Upgrades!$U$8,G302),1)*IF(Upgrades!$T$10="Magnetosphere",POWER(Upgrades!$U$10,I302),1)*IF(Upgrades!$T$11="Magnetosphere",POWER(Upgrades!$U$11,J302),1)*IF(Upgrades!$T$12="Magnetosphere",POWER(Upgrades!$U$12,K302),1))*POWER(Upgrades!$P$6,E302)*POWER(Upgrades!$P$7,F302)*POWER(Upgrades!$P$8,G302)*POWER(Upgrades!$P$9,H302)*POWER(Upgrades!$P$10,I302)*POWER(Upgrades!$P$11,J302)*POWER(Upgrades!$P$12,K302)*60</f>
        <v/>
      </c>
      <c r="AE302" s="27">
        <f>(IF(K302=0,0,(Upgrades!$G$12+K302*Upgrades!$H$12)*POWER(Upgrades!$I$12,K302)))*(IF(Upgrades!$T$6="First Photons",POWER(Upgrades!$U$6,E302),1)*IF(Upgrades!$T$7="First Photons",POWER(Upgrades!$U$7,F302),1)*IF(Upgrades!$T$8="First Photons",POWER(Upgrades!$U$8,G302),1)*IF(Upgrades!$T$9="First Photons",POWER(Upgrades!$U$9,H302),1)*IF(Upgrades!$T$10="First Photons",POWER(Upgrades!$U$10,I302),1)*IF(Upgrades!$T$11="First Photons",POWER(Upgrades!$U$11,J302),1))*POWER(Upgrades!$P$6,E302)*POWER(Upgrades!$P$7,F302)*POWER(Upgrades!$P$8,G302)*POWER(Upgrades!$P$9,H302)*POWER(Upgrades!$P$10,I302)*POWER(Upgrades!$P$11,J302)*POWER(Upgrades!$P$12,K302)*60</f>
        <v/>
      </c>
      <c r="AF302" s="27">
        <f>Parameters!$B$9*POWER(Upgrades!$Q$6,E302)*POWER(Upgrades!$Q$7,F302)*POWER(Upgrades!$Q$8,G302)*POWER(Upgrades!$Q$9,H302)*POWER(Upgrades!$Q$10,I302)*POWER(Upgrades!$Q$11,J302)*POWER(Upgrades!$Q$12,K302)*(Parameters!$B$10*Parameters!$B$11+O302*60)</f>
        <v/>
      </c>
      <c r="AG302" s="22">
        <f>IF(E302&gt;=Upgrades!$E$6,"",Upgrades!$C$6*POWER(Upgrades!$D$6,E302))</f>
        <v/>
      </c>
      <c r="AH302" s="22">
        <f>IF(F302&gt;=Upgrades!$E$7,"",Upgrades!$C$7*POWER(Upgrades!$D$7,F302))</f>
        <v/>
      </c>
      <c r="AI302" s="22">
        <f>IF(G302&gt;=Upgrades!$E$8,"",Upgrades!$C$8*POWER(Upgrades!$D$8,G302))</f>
        <v/>
      </c>
      <c r="AJ302" s="22">
        <f>IF(H302&gt;=Upgrades!$E$9,"",Upgrades!$C$9*POWER(Upgrades!$D$9,H302))</f>
        <v/>
      </c>
      <c r="AK302" s="22">
        <f>IF(I302&gt;=Upgrades!$E$10,"",Upgrades!$C$10*POWER(Upgrades!$D$10,I302))</f>
        <v/>
      </c>
      <c r="AL302" s="22">
        <f>IF(J302&gt;=Upgrades!$E$11,"",Upgrades!$C$11*POWER(Upgrades!$D$11,J302))</f>
        <v/>
      </c>
      <c r="AM302" s="22">
        <f>IF(K302&gt;=Upgrades!$E$12,"",Upgrades!$C$12*POWER(Upgrades!$D$12,K302))</f>
        <v/>
      </c>
      <c r="AN302" s="26">
        <f>IF(AND(D302&gt;=Parameters!$B$18,(H302&gt;=Upgrades!$E$9)*(K302&gt;=Upgrades!$E$12)=1,L302=0),1,"")</f>
        <v/>
      </c>
      <c r="AO302" s="26">
        <f>IF(AND(D302&gt;=Parameters!$B$18,L302=0),1,"")</f>
        <v/>
      </c>
      <c r="AP302" s="22">
        <f>MIN(IF(ISNUMBER(AK302),AK302,9E15),IF(ISNUMBER(AL302),AL302,9E15),IF(ISNUMBER(AM302),AM302,9E15))</f>
        <v/>
      </c>
      <c r="AQ302" s="22">
        <f>MIN(IF(ISNUMBER(AG302),AG302,9E15),IF(ISNUMBER(AH302),AH302,9E15),IF(ISNUMBER(AI302),AI302,9E15),IF(ISNUMBER(AJ302),AJ302,9E15))</f>
        <v/>
      </c>
      <c r="AR302" s="29">
        <f>IF(AW302&gt;Parameters!$B$21*(MAX(IF(AND(NOT(AND(AO302=1,AN302&lt;&gt;1)),ISNUMBER(AG302),AG302&lt;=T302),AS302,0),IF(AND(NOT(AND(AO302=1,AN302&lt;&gt;1)),ISNUMBER(AH302),AH302&lt;=T302),AT302,0),IF(AND(NOT(AND(AO302=1,AN302&lt;&gt;1)),ISNUMBER(AI302),AI302&lt;=T302),AU302,0),IF(AND(ISNUMBER(AJ302),AJ302&lt;=T302),AV302,0))),TRUE,FALSE)</f>
        <v/>
      </c>
      <c r="AS302" s="32">
        <f>IFERROR(Upgrades!$H$6*(POWER(Upgrades!$P$6,E302)*POWER(Upgrades!$P$7,F302)*POWER(Upgrades!$P$8,G302)*POWER(Upgrades!$P$9,H302)*POWER(Upgrades!$P$10,I302)*POWER(Upgrades!$P$11,J302)*POWER(Upgrades!$P$12,K302))*(IF(Upgrades!$T$7="Solar Wind",POWER(Upgrades!$U$7,F302),1)*IF(Upgrades!$T$8="Solar Wind",POWER(Upgrades!$U$8,G302),1)*IF(Upgrades!$T$9="Solar Wind",POWER(Upgrades!$U$9,H302),1)*IF(Upgrades!$T$10="Solar Wind",POWER(Upgrades!$U$10,I302),1)*IF(Upgrades!$T$11="Solar Wind",POWER(Upgrades!$U$11,J302),1)*IF(Upgrades!$T$12="Solar Wind",POWER(Upgrades!$U$12,K302),1))/AG302,0)</f>
        <v/>
      </c>
      <c r="AT302" s="32">
        <f>IFERROR(Upgrades!$H$7*(POWER(Upgrades!$P$6,E302)*POWER(Upgrades!$P$7,F302)*POWER(Upgrades!$P$8,G302)*POWER(Upgrades!$P$9,H302)*POWER(Upgrades!$P$10,I302)*POWER(Upgrades!$P$11,J302)*POWER(Upgrades!$P$12,K302))*(IF(Upgrades!$T$6="Asteroid Belt",POWER(Upgrades!$U$6,E302),1)*IF(Upgrades!$T$8="Asteroid Belt",POWER(Upgrades!$U$8,G302),1)*IF(Upgrades!$T$9="Asteroid Belt",POWER(Upgrades!$U$9,H302),1)*IF(Upgrades!$T$10="Asteroid Belt",POWER(Upgrades!$U$10,I302),1)*IF(Upgrades!$T$11="Asteroid Belt",POWER(Upgrades!$U$11,J302),1)*IF(Upgrades!$T$12="Asteroid Belt",POWER(Upgrades!$U$12,K302),1))/AH302,0)</f>
        <v/>
      </c>
      <c r="AU302" s="32">
        <f>IFERROR(Upgrades!$K$8*(POWER(Upgrades!$Q$6,E302)*POWER(Upgrades!$Q$7,F302)*POWER(Upgrades!$Q$8,G302)*POWER(Upgrades!$Q$9,H302)*POWER(Upgrades!$Q$10,I302)*POWER(Upgrades!$Q$11,J302)*POWER(Upgrades!$Q$12,K302))*(IF(Upgrades!$T$6="Stellar Coupling",POWER(Upgrades!$U$6,E302),1)*IF(Upgrades!$T$7="Stellar Coupling",POWER(Upgrades!$U$7,F302),1)*IF(Upgrades!$T$9="Stellar Coupling",POWER(Upgrades!$U$9,H302),1)*IF(Upgrades!$T$10="Stellar Coupling",POWER(Upgrades!$U$10,I302),1)*IF(Upgrades!$T$11="Stellar Coupling",POWER(Upgrades!$U$11,J302),1)*IF(Upgrades!$T$12="Stellar Coupling",POWER(Upgrades!$U$12,K302),1))*Parameters!$B$10*Parameters!$B$11/60/AI302,0)</f>
        <v/>
      </c>
      <c r="AV302" s="32">
        <f>IFERROR(Upgrades!$H$9*(POWER(Upgrades!$P$6,E302)*POWER(Upgrades!$P$7,F302)*POWER(Upgrades!$P$8,G302)*POWER(Upgrades!$P$9,H302)*POWER(Upgrades!$P$10,I302)*POWER(Upgrades!$P$11,J302)*POWER(Upgrades!$P$12,K302))*(IF(Upgrades!$T$6="Magnetosphere",POWER(Upgrades!$U$6,E302),1)*IF(Upgrades!$T$7="Magnetosphere",POWER(Upgrades!$U$7,F302),1)*IF(Upgrades!$T$8="Magnetosphere",POWER(Upgrades!$U$8,G302),1)*IF(Upgrades!$T$10="Magnetosphere",POWER(Upgrades!$U$10,I302),1)*IF(Upgrades!$T$11="Magnetosphere",POWER(Upgrades!$U$11,J302),1)*IF(Upgrades!$T$12="Magnetosphere",POWER(Upgrades!$U$12,K302),1))/AJ302,0)</f>
        <v/>
      </c>
      <c r="AW302" s="32">
        <f>MAX(IF(I302&gt;0,0,IFERROR(0.25*N302/Upgrades!$C$10,0)),IF(J302&gt;0,0,IFERROR(0.5*((IF(G302=0,0,(Upgrades!$J$8+G302*Upgrades!$K$8)*POWER(Upgrades!$L$8,G302)))*(IF(Upgrades!$T$6="Stellar Coupling",POWER(Upgrades!$U$6,E302),1)*IF(Upgrades!$T$7="Stellar Coupling",POWER(Upgrades!$U$7,F302),1)*IF(Upgrades!$T$9="Stellar Coupling",POWER(Upgrades!$U$9,H302),1)*IF(Upgrades!$T$10="Stellar Coupling",POWER(Upgrades!$U$10,I302),1)*IF(Upgrades!$T$11="Stellar Coupling",POWER(Upgrades!$U$11,J302),1)*IF(Upgrades!$T$12="Stellar Coupling",POWER(Upgrades!$U$12,K302),1))*(POWER(Upgrades!$Q$6,E302)*POWER(Upgrades!$Q$7,F302)*POWER(Upgrades!$Q$8,G302)*POWER(Upgrades!$Q$9,H302)*POWER(Upgrades!$Q$10,I302)*POWER(Upgrades!$Q$11,J302)*POWER(Upgrades!$Q$12,K302))*Parameters!$B$10*Parameters!$B$11/60)/Upgrades!$C$11,0)),IF(K302&gt;0,0,IFERROR((1.0*(POWER(Upgrades!$P$6,E302)*POWER(Upgrades!$P$7,F302)*POWER(Upgrades!$P$8,G302)*POWER(Upgrades!$P$9,H302)*POWER(Upgrades!$P$10,I302)*POWER(Upgrades!$P$11,J302)*POWER(Upgrades!$P$12,K302))+0.20*M302*Parameters!$B$10*Parameters!$B$11/60)/Upgrades!$C$12,0)),IF(AND(ISNUMBER(AG302),AG302&gt;T302),AS302,0),IF(AND(ISNUMBER(AH302),AH302&gt;T302),AT302,0),IF(AND(ISNUMBER(AI302),AI302&gt;T302),AU302,0),IF(AND(ISNUMBER(AJ302),AJ302&gt;T302),AV302,0))</f>
        <v/>
      </c>
      <c r="AX302" s="29">
        <f>IF(AN302=1,"transition",IF(MIN(IF(AND(I302=0,ISNUMBER(AK302),AK302&lt;=T302),AK302,9E15),IF(AND(J302=0,ISNUMBER(AL302),AL302&lt;=T302),AL302,9E15),IF(AND(K302=0,ISNUMBER(AM302),AM302&lt;=T302),AM302,9E15))&lt;9E15,IF(AND(AND(I302=0,ISNUMBER(AK302),AK302&lt;=T302),AK302=MIN(IF(AND(I302=0,ISNUMBER(AK302),AK302&lt;=T302),AK302,9E15),IF(AND(J302=0,ISNUMBER(AL302),AL302&lt;=T302),AL302,9E15),IF(AND(K302=0,ISNUMBER(AM302),AM302&lt;=T302),AM302,9E15))),"OR",IF(AND(AND(J302=0,ISNUMBER(AL302),AL302&lt;=T302),AL302=MIN(IF(AND(I302=0,ISNUMBER(AK302),AK302&lt;=T302),AK302,9E15),IF(AND(J302=0,ISNUMBER(AL302),AL302&lt;=T302),AL302,9E15),IF(AND(K302=0,ISNUMBER(AM302),AM302&lt;=T302),AM302,9E15))),"HP","FP")),IF(AR302=TRUE,"",IF(MAX(IF(AND(NOT(AND(AO302=1,AN302&lt;&gt;1)),ISNUMBER(AG302),AG302&lt;=T302),AS302,0),IF(AND(NOT(AND(AO302=1,AN302&lt;&gt;1)),ISNUMBER(AH302),AH302&lt;=T302),AT302,0),IF(AND(NOT(AND(AO302=1,AN302&lt;&gt;1)),ISNUMBER(AI302),AI302&lt;=T302),AU302,0),IF(AND(ISNUMBER(AJ302),AJ302&lt;=T302),AV302,0))&lt;=0,"",IF(AND(IF(AND(NOT(AND(AO302=1,AN302&lt;&gt;1)),ISNUMBER(AG302),AG302&lt;=T302),AS302,0)&gt;0,IF(AND(NOT(AND(AO302=1,AN302&lt;&gt;1)),ISNUMBER(AG302),AG302&lt;=T302),AS302,0)=MAX(IF(AND(NOT(AND(AO302=1,AN302&lt;&gt;1)),ISNUMBER(AG302),AG302&lt;=T302),AS302,0),IF(AND(NOT(AND(AO302=1,AN302&lt;&gt;1)),ISNUMBER(AH302),AH302&lt;=T302),AT302,0),IF(AND(NOT(AND(AO302=1,AN302&lt;&gt;1)),ISNUMBER(AI302),AI302&lt;=T302),AU302,0),IF(AND(ISNUMBER(AJ302),AJ302&lt;=T302),AV302,0))),"SW",IF(AND(IF(AND(NOT(AND(AO302=1,AN302&lt;&gt;1)),ISNUMBER(AH302),AH302&lt;=T302),AT302,0)&gt;0,IF(AND(NOT(AND(AO302=1,AN302&lt;&gt;1)),ISNUMBER(AH302),AH302&lt;=T302),AT302,0)=MAX(IF(AND(NOT(AND(AO302=1,AN302&lt;&gt;1)),ISNUMBER(AG302),AG302&lt;=T302),AS302,0),IF(AND(NOT(AND(AO302=1,AN302&lt;&gt;1)),ISNUMBER(AH302),AH302&lt;=T302),AT302,0),IF(AND(NOT(AND(AO302=1,AN302&lt;&gt;1)),ISNUMBER(AI302),AI302&lt;=T302),AU302,0),IF(AND(ISNUMBER(AJ302),AJ302&lt;=T302),AV302,0))),"AB",IF(AND(IF(AND(NOT(AND(AO302=1,AN302&lt;&gt;1)),ISNUMBER(AI302),AI302&lt;=T302),AU302,0)&gt;0,IF(AND(NOT(AND(AO302=1,AN302&lt;&gt;1)),ISNUMBER(AI302),AI302&lt;=T302),AU302,0)=MAX(IF(AND(NOT(AND(AO302=1,AN302&lt;&gt;1)),ISNUMBER(AG302),AG302&lt;=T302),AS302,0),IF(AND(NOT(AND(AO302=1,AN302&lt;&gt;1)),ISNUMBER(AH302),AH302&lt;=T302),AT302,0),IF(AND(NOT(AND(AO302=1,AN302&lt;&gt;1)),ISNUMBER(AI302),AI302&lt;=T302),AU302,0),IF(AND(ISNUMBER(AJ302),AJ302&lt;=T302),AV302,0))),"SC","Mag")))))))</f>
        <v/>
      </c>
    </row>
    <row r="303">
      <c r="A303" s="26" t="n">
        <v>298</v>
      </c>
      <c r="B303" s="27">
        <f>A303*10/60</f>
        <v/>
      </c>
      <c r="C303" s="22">
        <f>X302</f>
        <v/>
      </c>
      <c r="D303" s="27">
        <f>D302+W302</f>
        <v/>
      </c>
      <c r="E303" s="26">
        <f>E302+IF(U302="SW",1,0)</f>
        <v/>
      </c>
      <c r="F303" s="26">
        <f>F302+IF(U302="AB",1,0)</f>
        <v/>
      </c>
      <c r="G303" s="26">
        <f>G302+IF(U302="SC",1,0)</f>
        <v/>
      </c>
      <c r="H303" s="26">
        <f>H302+IF(U302="Mag",1,0)</f>
        <v/>
      </c>
      <c r="I303" s="26">
        <f>MAX(I302,IF(U302="OR",1,0))</f>
        <v/>
      </c>
      <c r="J303" s="26">
        <f>MAX(J302,IF(U302="HP",1,0))</f>
        <v/>
      </c>
      <c r="K303" s="26">
        <f>MAX(K302,IF(U302="FP",1,0))</f>
        <v/>
      </c>
      <c r="L303" s="26">
        <f>MAX(L302,IF(U302="transition",1,0))</f>
        <v/>
      </c>
      <c r="M303" s="28">
        <f>(Parameters!$B$9+(IF(E303=0,0,(Upgrades!$J$6+E303*Upgrades!$K$6)*POWER(Upgrades!$L$6,E303)))*(IF(Upgrades!$T$7="Solar Wind",POWER(Upgrades!$U$7,F303),1)*IF(Upgrades!$T$8="Solar Wind",POWER(Upgrades!$U$8,G303),1)*IF(Upgrades!$T$9="Solar Wind",POWER(Upgrades!$U$9,H303),1)*IF(Upgrades!$T$10="Solar Wind",POWER(Upgrades!$U$10,I303),1)*IF(Upgrades!$T$11="Solar Wind",POWER(Upgrades!$U$11,J303),1)*IF(Upgrades!$T$12="Solar Wind",POWER(Upgrades!$U$12,K303),1))+(IF(F303=0,0,(Upgrades!$J$7+F303*Upgrades!$K$7)*POWER(Upgrades!$L$7,F303)))*(IF(Upgrades!$T$6="Asteroid Belt",POWER(Upgrades!$U$6,E303),1)*IF(Upgrades!$T$8="Asteroid Belt",POWER(Upgrades!$U$8,G303),1)*IF(Upgrades!$T$9="Asteroid Belt",POWER(Upgrades!$U$9,H303),1)*IF(Upgrades!$T$10="Asteroid Belt",POWER(Upgrades!$U$10,I303),1)*IF(Upgrades!$T$11="Asteroid Belt",POWER(Upgrades!$U$11,J303),1)*IF(Upgrades!$T$12="Asteroid Belt",POWER(Upgrades!$U$12,K303),1))+(IF(G303=0,0,(Upgrades!$J$8+G303*Upgrades!$K$8)*POWER(Upgrades!$L$8,G303)))*(IF(Upgrades!$T$6="Stellar Coupling",POWER(Upgrades!$U$6,E303),1)*IF(Upgrades!$T$7="Stellar Coupling",POWER(Upgrades!$U$7,F303),1)*IF(Upgrades!$T$9="Stellar Coupling",POWER(Upgrades!$U$9,H303),1)*IF(Upgrades!$T$10="Stellar Coupling",POWER(Upgrades!$U$10,I303),1)*IF(Upgrades!$T$11="Stellar Coupling",POWER(Upgrades!$U$11,J303),1)*IF(Upgrades!$T$12="Stellar Coupling",POWER(Upgrades!$U$12,K303),1))+(IF(H303=0,0,(Upgrades!$J$9+H303*Upgrades!$K$9)*POWER(Upgrades!$L$9,H303)))*(IF(Upgrades!$T$6="Magnetosphere",POWER(Upgrades!$U$6,E303),1)*IF(Upgrades!$T$7="Magnetosphere",POWER(Upgrades!$U$7,F303),1)*IF(Upgrades!$T$8="Magnetosphere",POWER(Upgrades!$U$8,G303),1)*IF(Upgrades!$T$10="Magnetosphere",POWER(Upgrades!$U$10,I303),1)*IF(Upgrades!$T$11="Magnetosphere",POWER(Upgrades!$U$11,J303),1)*IF(Upgrades!$T$12="Magnetosphere",POWER(Upgrades!$U$12,K303),1))+(IF(I303=0,0,(Upgrades!$J$10+I303*Upgrades!$K$10)*POWER(Upgrades!$L$10,I303)))*(IF(Upgrades!$T$6="Orbital Resonance",POWER(Upgrades!$U$6,E303),1)*IF(Upgrades!$T$7="Orbital Resonance",POWER(Upgrades!$U$7,F303),1)*IF(Upgrades!$T$8="Orbital Resonance",POWER(Upgrades!$U$8,G303),1)*IF(Upgrades!$T$9="Orbital Resonance",POWER(Upgrades!$U$9,H303),1)*IF(Upgrades!$T$11="Orbital Resonance",POWER(Upgrades!$U$11,J303),1)*IF(Upgrades!$T$12="Orbital Resonance",POWER(Upgrades!$U$12,K303),1))+(IF(J303=0,0,(Upgrades!$J$11+J303*Upgrades!$K$11)*POWER(Upgrades!$L$11,J303)))*(IF(Upgrades!$T$6="Heliopause",POWER(Upgrades!$U$6,E303),1)*IF(Upgrades!$T$7="Heliopause",POWER(Upgrades!$U$7,F303),1)*IF(Upgrades!$T$8="Heliopause",POWER(Upgrades!$U$8,G303),1)*IF(Upgrades!$T$9="Heliopause",POWER(Upgrades!$U$9,H303),1)*IF(Upgrades!$T$10="Heliopause",POWER(Upgrades!$U$10,I303),1)*IF(Upgrades!$T$12="Heliopause",POWER(Upgrades!$U$12,K303),1))+(IF(K303=0,0,(Upgrades!$J$12+K303*Upgrades!$K$12)*POWER(Upgrades!$L$12,K303)))*(IF(Upgrades!$T$6="First Photons",POWER(Upgrades!$U$6,E303),1)*IF(Upgrades!$T$7="First Photons",POWER(Upgrades!$U$7,F303),1)*IF(Upgrades!$T$8="First Photons",POWER(Upgrades!$U$8,G303),1)*IF(Upgrades!$T$9="First Photons",POWER(Upgrades!$U$9,H303),1)*IF(Upgrades!$T$10="First Photons",POWER(Upgrades!$U$10,I303),1)*IF(Upgrades!$T$11="First Photons",POWER(Upgrades!$U$11,J303),1)))*POWER(Upgrades!$Q$6,E303)*POWER(Upgrades!$Q$7,F303)*POWER(Upgrades!$Q$8,G303)*POWER(Upgrades!$Q$9,H303)*POWER(Upgrades!$Q$10,I303)*POWER(Upgrades!$Q$11,J303)*POWER(Upgrades!$Q$12,K303)</f>
        <v/>
      </c>
      <c r="N303" s="28">
        <f>((IF(E303=0,0,(Upgrades!$G$6+E303*Upgrades!$H$6)*POWER(Upgrades!$I$6,E303)))*(IF(Upgrades!$T$7="Solar Wind",POWER(Upgrades!$U$7,F303),1)*IF(Upgrades!$T$8="Solar Wind",POWER(Upgrades!$U$8,G303),1)*IF(Upgrades!$T$9="Solar Wind",POWER(Upgrades!$U$9,H303),1)*IF(Upgrades!$T$10="Solar Wind",POWER(Upgrades!$U$10,I303),1)*IF(Upgrades!$T$11="Solar Wind",POWER(Upgrades!$U$11,J303),1)*IF(Upgrades!$T$12="Solar Wind",POWER(Upgrades!$U$12,K303),1))+(IF(F303=0,0,(Upgrades!$G$7+F303*Upgrades!$H$7)*POWER(Upgrades!$I$7,F303)))*(IF(Upgrades!$T$6="Asteroid Belt",POWER(Upgrades!$U$6,E303),1)*IF(Upgrades!$T$8="Asteroid Belt",POWER(Upgrades!$U$8,G303),1)*IF(Upgrades!$T$9="Asteroid Belt",POWER(Upgrades!$U$9,H303),1)*IF(Upgrades!$T$10="Asteroid Belt",POWER(Upgrades!$U$10,I303),1)*IF(Upgrades!$T$11="Asteroid Belt",POWER(Upgrades!$U$11,J303),1)*IF(Upgrades!$T$12="Asteroid Belt",POWER(Upgrades!$U$12,K303),1))+(IF(G303=0,0,(Upgrades!$G$8+G303*Upgrades!$H$8)*POWER(Upgrades!$I$8,G303)))*(IF(Upgrades!$T$6="Stellar Coupling",POWER(Upgrades!$U$6,E303),1)*IF(Upgrades!$T$7="Stellar Coupling",POWER(Upgrades!$U$7,F303),1)*IF(Upgrades!$T$9="Stellar Coupling",POWER(Upgrades!$U$9,H303),1)*IF(Upgrades!$T$10="Stellar Coupling",POWER(Upgrades!$U$10,I303),1)*IF(Upgrades!$T$11="Stellar Coupling",POWER(Upgrades!$U$11,J303),1)*IF(Upgrades!$T$12="Stellar Coupling",POWER(Upgrades!$U$12,K303),1))+(IF(H303=0,0,(Upgrades!$G$9+H303*Upgrades!$H$9)*POWER(Upgrades!$I$9,H303)))*(IF(Upgrades!$T$6="Magnetosphere",POWER(Upgrades!$U$6,E303),1)*IF(Upgrades!$T$7="Magnetosphere",POWER(Upgrades!$U$7,F303),1)*IF(Upgrades!$T$8="Magnetosphere",POWER(Upgrades!$U$8,G303),1)*IF(Upgrades!$T$10="Magnetosphere",POWER(Upgrades!$U$10,I303),1)*IF(Upgrades!$T$11="Magnetosphere",POWER(Upgrades!$U$11,J303),1)*IF(Upgrades!$T$12="Magnetosphere",POWER(Upgrades!$U$12,K303),1))+(IF(I303=0,0,(Upgrades!$G$10+I303*Upgrades!$H$10)*POWER(Upgrades!$I$10,I303)))*(IF(Upgrades!$T$6="Orbital Resonance",POWER(Upgrades!$U$6,E303),1)*IF(Upgrades!$T$7="Orbital Resonance",POWER(Upgrades!$U$7,F303),1)*IF(Upgrades!$T$8="Orbital Resonance",POWER(Upgrades!$U$8,G303),1)*IF(Upgrades!$T$9="Orbital Resonance",POWER(Upgrades!$U$9,H303),1)*IF(Upgrades!$T$11="Orbital Resonance",POWER(Upgrades!$U$11,J303),1)*IF(Upgrades!$T$12="Orbital Resonance",POWER(Upgrades!$U$12,K303),1))+(IF(J303=0,0,(Upgrades!$G$11+J303*Upgrades!$H$11)*POWER(Upgrades!$I$11,J303)))*(IF(Upgrades!$T$6="Heliopause",POWER(Upgrades!$U$6,E303),1)*IF(Upgrades!$T$7="Heliopause",POWER(Upgrades!$U$7,F303),1)*IF(Upgrades!$T$8="Heliopause",POWER(Upgrades!$U$8,G303),1)*IF(Upgrades!$T$9="Heliopause",POWER(Upgrades!$U$9,H303),1)*IF(Upgrades!$T$10="Heliopause",POWER(Upgrades!$U$10,I303),1)*IF(Upgrades!$T$12="Heliopause",POWER(Upgrades!$U$12,K303),1))+(IF(K303=0,0,(Upgrades!$G$12+K303*Upgrades!$H$12)*POWER(Upgrades!$I$12,K303)))*(IF(Upgrades!$T$6="First Photons",POWER(Upgrades!$U$6,E303),1)*IF(Upgrades!$T$7="First Photons",POWER(Upgrades!$U$7,F303),1)*IF(Upgrades!$T$8="First Photons",POWER(Upgrades!$U$8,G303),1)*IF(Upgrades!$T$9="First Photons",POWER(Upgrades!$U$9,H303),1)*IF(Upgrades!$T$10="First Photons",POWER(Upgrades!$U$10,I303),1)*IF(Upgrades!$T$11="First Photons",POWER(Upgrades!$U$11,J303),1)))*POWER(Upgrades!$P$6,E303)*POWER(Upgrades!$P$7,F303)*POWER(Upgrades!$P$8,G303)*POWER(Upgrades!$P$9,H303)*POWER(Upgrades!$P$10,I303)*POWER(Upgrades!$P$11,J303)*POWER(Upgrades!$P$12,K303)</f>
        <v/>
      </c>
      <c r="O303" s="28">
        <f>((IF(E303=0,0,(Upgrades!$M$6+E303*Upgrades!$N$6)*POWER(Upgrades!$O$6,E303)))*(IF(Upgrades!$T$7="Solar Wind",POWER(Upgrades!$U$7,F303),1)*IF(Upgrades!$T$8="Solar Wind",POWER(Upgrades!$U$8,G303),1)*IF(Upgrades!$T$9="Solar Wind",POWER(Upgrades!$U$9,H303),1)*IF(Upgrades!$T$10="Solar Wind",POWER(Upgrades!$U$10,I303),1)*IF(Upgrades!$T$11="Solar Wind",POWER(Upgrades!$U$11,J303),1)*IF(Upgrades!$T$12="Solar Wind",POWER(Upgrades!$U$12,K303),1))+(IF(F303=0,0,(Upgrades!$M$7+F303*Upgrades!$N$7)*POWER(Upgrades!$O$7,F303)))*(IF(Upgrades!$T$6="Asteroid Belt",POWER(Upgrades!$U$6,E303),1)*IF(Upgrades!$T$8="Asteroid Belt",POWER(Upgrades!$U$8,G303),1)*IF(Upgrades!$T$9="Asteroid Belt",POWER(Upgrades!$U$9,H303),1)*IF(Upgrades!$T$10="Asteroid Belt",POWER(Upgrades!$U$10,I303),1)*IF(Upgrades!$T$11="Asteroid Belt",POWER(Upgrades!$U$11,J303),1)*IF(Upgrades!$T$12="Asteroid Belt",POWER(Upgrades!$U$12,K303),1))+(IF(G303=0,0,(Upgrades!$M$8+G303*Upgrades!$N$8)*POWER(Upgrades!$O$8,G303)))*(IF(Upgrades!$T$6="Stellar Coupling",POWER(Upgrades!$U$6,E303),1)*IF(Upgrades!$T$7="Stellar Coupling",POWER(Upgrades!$U$7,F303),1)*IF(Upgrades!$T$9="Stellar Coupling",POWER(Upgrades!$U$9,H303),1)*IF(Upgrades!$T$10="Stellar Coupling",POWER(Upgrades!$U$10,I303),1)*IF(Upgrades!$T$11="Stellar Coupling",POWER(Upgrades!$U$11,J303),1)*IF(Upgrades!$T$12="Stellar Coupling",POWER(Upgrades!$U$12,K303),1))+(IF(H303=0,0,(Upgrades!$M$9+H303*Upgrades!$N$9)*POWER(Upgrades!$O$9,H303)))*(IF(Upgrades!$T$6="Magnetosphere",POWER(Upgrades!$U$6,E303),1)*IF(Upgrades!$T$7="Magnetosphere",POWER(Upgrades!$U$7,F303),1)*IF(Upgrades!$T$8="Magnetosphere",POWER(Upgrades!$U$8,G303),1)*IF(Upgrades!$T$10="Magnetosphere",POWER(Upgrades!$U$10,I303),1)*IF(Upgrades!$T$11="Magnetosphere",POWER(Upgrades!$U$11,J303),1)*IF(Upgrades!$T$12="Magnetosphere",POWER(Upgrades!$U$12,K303),1))+(IF(I303=0,0,(Upgrades!$M$10+I303*Upgrades!$N$10)*POWER(Upgrades!$O$10,I303)))*(IF(Upgrades!$T$6="Orbital Resonance",POWER(Upgrades!$U$6,E303),1)*IF(Upgrades!$T$7="Orbital Resonance",POWER(Upgrades!$U$7,F303),1)*IF(Upgrades!$T$8="Orbital Resonance",POWER(Upgrades!$U$8,G303),1)*IF(Upgrades!$T$9="Orbital Resonance",POWER(Upgrades!$U$9,H303),1)*IF(Upgrades!$T$11="Orbital Resonance",POWER(Upgrades!$U$11,J303),1)*IF(Upgrades!$T$12="Orbital Resonance",POWER(Upgrades!$U$12,K303),1))+(IF(J303=0,0,(Upgrades!$M$11+J303*Upgrades!$N$11)*POWER(Upgrades!$O$11,J303)))*(IF(Upgrades!$T$6="Heliopause",POWER(Upgrades!$U$6,E303),1)*IF(Upgrades!$T$7="Heliopause",POWER(Upgrades!$U$7,F303),1)*IF(Upgrades!$T$8="Heliopause",POWER(Upgrades!$U$8,G303),1)*IF(Upgrades!$T$9="Heliopause",POWER(Upgrades!$U$9,H303),1)*IF(Upgrades!$T$10="Heliopause",POWER(Upgrades!$U$10,I303),1)*IF(Upgrades!$T$12="Heliopause",POWER(Upgrades!$U$12,K303),1))+(IF(K303=0,0,(Upgrades!$M$12+K303*Upgrades!$N$12)*POWER(Upgrades!$O$12,K303)))*(IF(Upgrades!$T$6="First Photons",POWER(Upgrades!$U$6,E303),1)*IF(Upgrades!$T$7="First Photons",POWER(Upgrades!$U$7,F303),1)*IF(Upgrades!$T$8="First Photons",POWER(Upgrades!$U$8,G303),1)*IF(Upgrades!$T$9="First Photons",POWER(Upgrades!$U$9,H303),1)*IF(Upgrades!$T$10="First Photons",POWER(Upgrades!$U$10,I303),1)*IF(Upgrades!$T$11="First Photons",POWER(Upgrades!$U$11,J303),1)))*POWER(Upgrades!$R$6,E303)*POWER(Upgrades!$R$7,F303)*POWER(Upgrades!$R$8,G303)*POWER(Upgrades!$R$9,H303)*POWER(Upgrades!$R$10,I303)*POWER(Upgrades!$R$11,J303)*POWER(Upgrades!$R$12,K303)</f>
        <v/>
      </c>
      <c r="P303" s="27">
        <f>IF(L303=1,0,M303*Parameters!$B$10/60*Parameters!$B$11*10)</f>
        <v/>
      </c>
      <c r="Q303" s="27">
        <f>IF(L303=1,0,O303*M303*10)</f>
        <v/>
      </c>
      <c r="R303" s="27">
        <f>IF(L303=1,0,N303*10)</f>
        <v/>
      </c>
      <c r="S303" s="27">
        <f>P303+Q303+R303</f>
        <v/>
      </c>
      <c r="T303" s="22">
        <f>C303+S303</f>
        <v/>
      </c>
      <c r="U303" s="33">
        <f>AX303</f>
        <v/>
      </c>
      <c r="V303" s="22">
        <f>IF(U303="",0,IF(U303="transition",0,IF(U303="SW",AG303,IF(U303="AB",AH303,IF(U303="SC",AI303,IF(U303="Mag",AJ303,IF(U303="OR",AK303,IF(U303="HP",AL303,IF(U303="FP",AM303,0)))))))))</f>
        <v/>
      </c>
      <c r="W303" s="27">
        <f>IF(U303="OR",Upgrades!$F$10,IF(U303="HP",Upgrades!$F$11,IF(U303="transition",-Parameters!$B$18,0)))</f>
        <v/>
      </c>
      <c r="X303" s="22">
        <f>T303-V303</f>
        <v/>
      </c>
      <c r="Y303" s="30">
        <f>M303*Parameters!$B$10/60*Parameters!$B$11+O303*M303+N303</f>
        <v/>
      </c>
      <c r="Z303" s="34">
        <f>IF(U303="transition","→ Tier 2 (Stellar Neighborhood)",IF(U303="FP","First Photons — light begins, system quickens",IF(U303="HP","Heliopause acquired",IF(U303="OR","Orbital Resonance — passive multiplier active",IF(AND(AO303=1,L303=0,AN303&lt;&gt;1),"Cohesion ready (waiting on completionist upgrades)","")))))</f>
        <v/>
      </c>
      <c r="AA303" s="27">
        <f>(IF(E303=0,0,(Upgrades!$G$6+E303*Upgrades!$H$6)*POWER(Upgrades!$I$6,E303)))*(IF(Upgrades!$T$7="Solar Wind",POWER(Upgrades!$U$7,F303),1)*IF(Upgrades!$T$8="Solar Wind",POWER(Upgrades!$U$8,G303),1)*IF(Upgrades!$T$9="Solar Wind",POWER(Upgrades!$U$9,H303),1)*IF(Upgrades!$T$10="Solar Wind",POWER(Upgrades!$U$10,I303),1)*IF(Upgrades!$T$11="Solar Wind",POWER(Upgrades!$U$11,J303),1)*IF(Upgrades!$T$12="Solar Wind",POWER(Upgrades!$U$12,K303),1))*POWER(Upgrades!$P$6,E303)*POWER(Upgrades!$P$7,F303)*POWER(Upgrades!$P$8,G303)*POWER(Upgrades!$P$9,H303)*POWER(Upgrades!$P$10,I303)*POWER(Upgrades!$P$11,J303)*POWER(Upgrades!$P$12,K303)*60</f>
        <v/>
      </c>
      <c r="AB303" s="27">
        <f>(IF(F303=0,0,(Upgrades!$G$7+F303*Upgrades!$H$7)*POWER(Upgrades!$I$7,F303)))*(IF(Upgrades!$T$6="Asteroid Belt",POWER(Upgrades!$U$6,E303),1)*IF(Upgrades!$T$8="Asteroid Belt",POWER(Upgrades!$U$8,G303),1)*IF(Upgrades!$T$9="Asteroid Belt",POWER(Upgrades!$U$9,H303),1)*IF(Upgrades!$T$10="Asteroid Belt",POWER(Upgrades!$U$10,I303),1)*IF(Upgrades!$T$11="Asteroid Belt",POWER(Upgrades!$U$11,J303),1)*IF(Upgrades!$T$12="Asteroid Belt",POWER(Upgrades!$U$12,K303),1))*POWER(Upgrades!$P$6,E303)*POWER(Upgrades!$P$7,F303)*POWER(Upgrades!$P$8,G303)*POWER(Upgrades!$P$9,H303)*POWER(Upgrades!$P$10,I303)*POWER(Upgrades!$P$11,J303)*POWER(Upgrades!$P$12,K303)*60</f>
        <v/>
      </c>
      <c r="AC303" s="27">
        <f>(IF(G303=0,0,(Upgrades!$J$8+G303*Upgrades!$K$8)*POWER(Upgrades!$L$8,G303)))*(IF(Upgrades!$T$6="Stellar Coupling",POWER(Upgrades!$U$6,E303),1)*IF(Upgrades!$T$7="Stellar Coupling",POWER(Upgrades!$U$7,F303),1)*IF(Upgrades!$T$9="Stellar Coupling",POWER(Upgrades!$U$9,H303),1)*IF(Upgrades!$T$10="Stellar Coupling",POWER(Upgrades!$U$10,I303),1)*IF(Upgrades!$T$11="Stellar Coupling",POWER(Upgrades!$U$11,J303),1)*IF(Upgrades!$T$12="Stellar Coupling",POWER(Upgrades!$U$12,K303),1))*POWER(Upgrades!$Q$6,E303)*POWER(Upgrades!$Q$7,F303)*POWER(Upgrades!$Q$8,G303)*POWER(Upgrades!$Q$9,H303)*POWER(Upgrades!$Q$10,I303)*POWER(Upgrades!$Q$11,J303)*POWER(Upgrades!$Q$12,K303)*Parameters!$B$10*Parameters!$B$11</f>
        <v/>
      </c>
      <c r="AD303" s="27">
        <f>(IF(H303=0,0,(Upgrades!$G$9+H303*Upgrades!$H$9)*POWER(Upgrades!$I$9,H303)))*(IF(Upgrades!$T$6="Magnetosphere",POWER(Upgrades!$U$6,E303),1)*IF(Upgrades!$T$7="Magnetosphere",POWER(Upgrades!$U$7,F303),1)*IF(Upgrades!$T$8="Magnetosphere",POWER(Upgrades!$U$8,G303),1)*IF(Upgrades!$T$10="Magnetosphere",POWER(Upgrades!$U$10,I303),1)*IF(Upgrades!$T$11="Magnetosphere",POWER(Upgrades!$U$11,J303),1)*IF(Upgrades!$T$12="Magnetosphere",POWER(Upgrades!$U$12,K303),1))*POWER(Upgrades!$P$6,E303)*POWER(Upgrades!$P$7,F303)*POWER(Upgrades!$P$8,G303)*POWER(Upgrades!$P$9,H303)*POWER(Upgrades!$P$10,I303)*POWER(Upgrades!$P$11,J303)*POWER(Upgrades!$P$12,K303)*60</f>
        <v/>
      </c>
      <c r="AE303" s="27">
        <f>(IF(K303=0,0,(Upgrades!$G$12+K303*Upgrades!$H$12)*POWER(Upgrades!$I$12,K303)))*(IF(Upgrades!$T$6="First Photons",POWER(Upgrades!$U$6,E303),1)*IF(Upgrades!$T$7="First Photons",POWER(Upgrades!$U$7,F303),1)*IF(Upgrades!$T$8="First Photons",POWER(Upgrades!$U$8,G303),1)*IF(Upgrades!$T$9="First Photons",POWER(Upgrades!$U$9,H303),1)*IF(Upgrades!$T$10="First Photons",POWER(Upgrades!$U$10,I303),1)*IF(Upgrades!$T$11="First Photons",POWER(Upgrades!$U$11,J303),1))*POWER(Upgrades!$P$6,E303)*POWER(Upgrades!$P$7,F303)*POWER(Upgrades!$P$8,G303)*POWER(Upgrades!$P$9,H303)*POWER(Upgrades!$P$10,I303)*POWER(Upgrades!$P$11,J303)*POWER(Upgrades!$P$12,K303)*60</f>
        <v/>
      </c>
      <c r="AF303" s="27">
        <f>Parameters!$B$9*POWER(Upgrades!$Q$6,E303)*POWER(Upgrades!$Q$7,F303)*POWER(Upgrades!$Q$8,G303)*POWER(Upgrades!$Q$9,H303)*POWER(Upgrades!$Q$10,I303)*POWER(Upgrades!$Q$11,J303)*POWER(Upgrades!$Q$12,K303)*(Parameters!$B$10*Parameters!$B$11+O303*60)</f>
        <v/>
      </c>
      <c r="AG303" s="22">
        <f>IF(E303&gt;=Upgrades!$E$6,"",Upgrades!$C$6*POWER(Upgrades!$D$6,E303))</f>
        <v/>
      </c>
      <c r="AH303" s="22">
        <f>IF(F303&gt;=Upgrades!$E$7,"",Upgrades!$C$7*POWER(Upgrades!$D$7,F303))</f>
        <v/>
      </c>
      <c r="AI303" s="22">
        <f>IF(G303&gt;=Upgrades!$E$8,"",Upgrades!$C$8*POWER(Upgrades!$D$8,G303))</f>
        <v/>
      </c>
      <c r="AJ303" s="22">
        <f>IF(H303&gt;=Upgrades!$E$9,"",Upgrades!$C$9*POWER(Upgrades!$D$9,H303))</f>
        <v/>
      </c>
      <c r="AK303" s="22">
        <f>IF(I303&gt;=Upgrades!$E$10,"",Upgrades!$C$10*POWER(Upgrades!$D$10,I303))</f>
        <v/>
      </c>
      <c r="AL303" s="22">
        <f>IF(J303&gt;=Upgrades!$E$11,"",Upgrades!$C$11*POWER(Upgrades!$D$11,J303))</f>
        <v/>
      </c>
      <c r="AM303" s="22">
        <f>IF(K303&gt;=Upgrades!$E$12,"",Upgrades!$C$12*POWER(Upgrades!$D$12,K303))</f>
        <v/>
      </c>
      <c r="AN303" s="26">
        <f>IF(AND(D303&gt;=Parameters!$B$18,(H303&gt;=Upgrades!$E$9)*(K303&gt;=Upgrades!$E$12)=1,L303=0),1,"")</f>
        <v/>
      </c>
      <c r="AO303" s="26">
        <f>IF(AND(D303&gt;=Parameters!$B$18,L303=0),1,"")</f>
        <v/>
      </c>
      <c r="AP303" s="22">
        <f>MIN(IF(ISNUMBER(AK303),AK303,9E15),IF(ISNUMBER(AL303),AL303,9E15),IF(ISNUMBER(AM303),AM303,9E15))</f>
        <v/>
      </c>
      <c r="AQ303" s="22">
        <f>MIN(IF(ISNUMBER(AG303),AG303,9E15),IF(ISNUMBER(AH303),AH303,9E15),IF(ISNUMBER(AI303),AI303,9E15),IF(ISNUMBER(AJ303),AJ303,9E15))</f>
        <v/>
      </c>
      <c r="AR303" s="29">
        <f>IF(AW303&gt;Parameters!$B$21*(MAX(IF(AND(NOT(AND(AO303=1,AN303&lt;&gt;1)),ISNUMBER(AG303),AG303&lt;=T303),AS303,0),IF(AND(NOT(AND(AO303=1,AN303&lt;&gt;1)),ISNUMBER(AH303),AH303&lt;=T303),AT303,0),IF(AND(NOT(AND(AO303=1,AN303&lt;&gt;1)),ISNUMBER(AI303),AI303&lt;=T303),AU303,0),IF(AND(ISNUMBER(AJ303),AJ303&lt;=T303),AV303,0))),TRUE,FALSE)</f>
        <v/>
      </c>
      <c r="AS303" s="32">
        <f>IFERROR(Upgrades!$H$6*(POWER(Upgrades!$P$6,E303)*POWER(Upgrades!$P$7,F303)*POWER(Upgrades!$P$8,G303)*POWER(Upgrades!$P$9,H303)*POWER(Upgrades!$P$10,I303)*POWER(Upgrades!$P$11,J303)*POWER(Upgrades!$P$12,K303))*(IF(Upgrades!$T$7="Solar Wind",POWER(Upgrades!$U$7,F303),1)*IF(Upgrades!$T$8="Solar Wind",POWER(Upgrades!$U$8,G303),1)*IF(Upgrades!$T$9="Solar Wind",POWER(Upgrades!$U$9,H303),1)*IF(Upgrades!$T$10="Solar Wind",POWER(Upgrades!$U$10,I303),1)*IF(Upgrades!$T$11="Solar Wind",POWER(Upgrades!$U$11,J303),1)*IF(Upgrades!$T$12="Solar Wind",POWER(Upgrades!$U$12,K303),1))/AG303,0)</f>
        <v/>
      </c>
      <c r="AT303" s="32">
        <f>IFERROR(Upgrades!$H$7*(POWER(Upgrades!$P$6,E303)*POWER(Upgrades!$P$7,F303)*POWER(Upgrades!$P$8,G303)*POWER(Upgrades!$P$9,H303)*POWER(Upgrades!$P$10,I303)*POWER(Upgrades!$P$11,J303)*POWER(Upgrades!$P$12,K303))*(IF(Upgrades!$T$6="Asteroid Belt",POWER(Upgrades!$U$6,E303),1)*IF(Upgrades!$T$8="Asteroid Belt",POWER(Upgrades!$U$8,G303),1)*IF(Upgrades!$T$9="Asteroid Belt",POWER(Upgrades!$U$9,H303),1)*IF(Upgrades!$T$10="Asteroid Belt",POWER(Upgrades!$U$10,I303),1)*IF(Upgrades!$T$11="Asteroid Belt",POWER(Upgrades!$U$11,J303),1)*IF(Upgrades!$T$12="Asteroid Belt",POWER(Upgrades!$U$12,K303),1))/AH303,0)</f>
        <v/>
      </c>
      <c r="AU303" s="32">
        <f>IFERROR(Upgrades!$K$8*(POWER(Upgrades!$Q$6,E303)*POWER(Upgrades!$Q$7,F303)*POWER(Upgrades!$Q$8,G303)*POWER(Upgrades!$Q$9,H303)*POWER(Upgrades!$Q$10,I303)*POWER(Upgrades!$Q$11,J303)*POWER(Upgrades!$Q$12,K303))*(IF(Upgrades!$T$6="Stellar Coupling",POWER(Upgrades!$U$6,E303),1)*IF(Upgrades!$T$7="Stellar Coupling",POWER(Upgrades!$U$7,F303),1)*IF(Upgrades!$T$9="Stellar Coupling",POWER(Upgrades!$U$9,H303),1)*IF(Upgrades!$T$10="Stellar Coupling",POWER(Upgrades!$U$10,I303),1)*IF(Upgrades!$T$11="Stellar Coupling",POWER(Upgrades!$U$11,J303),1)*IF(Upgrades!$T$12="Stellar Coupling",POWER(Upgrades!$U$12,K303),1))*Parameters!$B$10*Parameters!$B$11/60/AI303,0)</f>
        <v/>
      </c>
      <c r="AV303" s="32">
        <f>IFERROR(Upgrades!$H$9*(POWER(Upgrades!$P$6,E303)*POWER(Upgrades!$P$7,F303)*POWER(Upgrades!$P$8,G303)*POWER(Upgrades!$P$9,H303)*POWER(Upgrades!$P$10,I303)*POWER(Upgrades!$P$11,J303)*POWER(Upgrades!$P$12,K303))*(IF(Upgrades!$T$6="Magnetosphere",POWER(Upgrades!$U$6,E303),1)*IF(Upgrades!$T$7="Magnetosphere",POWER(Upgrades!$U$7,F303),1)*IF(Upgrades!$T$8="Magnetosphere",POWER(Upgrades!$U$8,G303),1)*IF(Upgrades!$T$10="Magnetosphere",POWER(Upgrades!$U$10,I303),1)*IF(Upgrades!$T$11="Magnetosphere",POWER(Upgrades!$U$11,J303),1)*IF(Upgrades!$T$12="Magnetosphere",POWER(Upgrades!$U$12,K303),1))/AJ303,0)</f>
        <v/>
      </c>
      <c r="AW303" s="32">
        <f>MAX(IF(I303&gt;0,0,IFERROR(0.25*N303/Upgrades!$C$10,0)),IF(J303&gt;0,0,IFERROR(0.5*((IF(G303=0,0,(Upgrades!$J$8+G303*Upgrades!$K$8)*POWER(Upgrades!$L$8,G303)))*(IF(Upgrades!$T$6="Stellar Coupling",POWER(Upgrades!$U$6,E303),1)*IF(Upgrades!$T$7="Stellar Coupling",POWER(Upgrades!$U$7,F303),1)*IF(Upgrades!$T$9="Stellar Coupling",POWER(Upgrades!$U$9,H303),1)*IF(Upgrades!$T$10="Stellar Coupling",POWER(Upgrades!$U$10,I303),1)*IF(Upgrades!$T$11="Stellar Coupling",POWER(Upgrades!$U$11,J303),1)*IF(Upgrades!$T$12="Stellar Coupling",POWER(Upgrades!$U$12,K303),1))*(POWER(Upgrades!$Q$6,E303)*POWER(Upgrades!$Q$7,F303)*POWER(Upgrades!$Q$8,G303)*POWER(Upgrades!$Q$9,H303)*POWER(Upgrades!$Q$10,I303)*POWER(Upgrades!$Q$11,J303)*POWER(Upgrades!$Q$12,K303))*Parameters!$B$10*Parameters!$B$11/60)/Upgrades!$C$11,0)),IF(K303&gt;0,0,IFERROR((1.0*(POWER(Upgrades!$P$6,E303)*POWER(Upgrades!$P$7,F303)*POWER(Upgrades!$P$8,G303)*POWER(Upgrades!$P$9,H303)*POWER(Upgrades!$P$10,I303)*POWER(Upgrades!$P$11,J303)*POWER(Upgrades!$P$12,K303))+0.20*M303*Parameters!$B$10*Parameters!$B$11/60)/Upgrades!$C$12,0)),IF(AND(ISNUMBER(AG303),AG303&gt;T303),AS303,0),IF(AND(ISNUMBER(AH303),AH303&gt;T303),AT303,0),IF(AND(ISNUMBER(AI303),AI303&gt;T303),AU303,0),IF(AND(ISNUMBER(AJ303),AJ303&gt;T303),AV303,0))</f>
        <v/>
      </c>
      <c r="AX303" s="29">
        <f>IF(AN303=1,"transition",IF(MIN(IF(AND(I303=0,ISNUMBER(AK303),AK303&lt;=T303),AK303,9E15),IF(AND(J303=0,ISNUMBER(AL303),AL303&lt;=T303),AL303,9E15),IF(AND(K303=0,ISNUMBER(AM303),AM303&lt;=T303),AM303,9E15))&lt;9E15,IF(AND(AND(I303=0,ISNUMBER(AK303),AK303&lt;=T303),AK303=MIN(IF(AND(I303=0,ISNUMBER(AK303),AK303&lt;=T303),AK303,9E15),IF(AND(J303=0,ISNUMBER(AL303),AL303&lt;=T303),AL303,9E15),IF(AND(K303=0,ISNUMBER(AM303),AM303&lt;=T303),AM303,9E15))),"OR",IF(AND(AND(J303=0,ISNUMBER(AL303),AL303&lt;=T303),AL303=MIN(IF(AND(I303=0,ISNUMBER(AK303),AK303&lt;=T303),AK303,9E15),IF(AND(J303=0,ISNUMBER(AL303),AL303&lt;=T303),AL303,9E15),IF(AND(K303=0,ISNUMBER(AM303),AM303&lt;=T303),AM303,9E15))),"HP","FP")),IF(AR303=TRUE,"",IF(MAX(IF(AND(NOT(AND(AO303=1,AN303&lt;&gt;1)),ISNUMBER(AG303),AG303&lt;=T303),AS303,0),IF(AND(NOT(AND(AO303=1,AN303&lt;&gt;1)),ISNUMBER(AH303),AH303&lt;=T303),AT303,0),IF(AND(NOT(AND(AO303=1,AN303&lt;&gt;1)),ISNUMBER(AI303),AI303&lt;=T303),AU303,0),IF(AND(ISNUMBER(AJ303),AJ303&lt;=T303),AV303,0))&lt;=0,"",IF(AND(IF(AND(NOT(AND(AO303=1,AN303&lt;&gt;1)),ISNUMBER(AG303),AG303&lt;=T303),AS303,0)&gt;0,IF(AND(NOT(AND(AO303=1,AN303&lt;&gt;1)),ISNUMBER(AG303),AG303&lt;=T303),AS303,0)=MAX(IF(AND(NOT(AND(AO303=1,AN303&lt;&gt;1)),ISNUMBER(AG303),AG303&lt;=T303),AS303,0),IF(AND(NOT(AND(AO303=1,AN303&lt;&gt;1)),ISNUMBER(AH303),AH303&lt;=T303),AT303,0),IF(AND(NOT(AND(AO303=1,AN303&lt;&gt;1)),ISNUMBER(AI303),AI303&lt;=T303),AU303,0),IF(AND(ISNUMBER(AJ303),AJ303&lt;=T303),AV303,0))),"SW",IF(AND(IF(AND(NOT(AND(AO303=1,AN303&lt;&gt;1)),ISNUMBER(AH303),AH303&lt;=T303),AT303,0)&gt;0,IF(AND(NOT(AND(AO303=1,AN303&lt;&gt;1)),ISNUMBER(AH303),AH303&lt;=T303),AT303,0)=MAX(IF(AND(NOT(AND(AO303=1,AN303&lt;&gt;1)),ISNUMBER(AG303),AG303&lt;=T303),AS303,0),IF(AND(NOT(AND(AO303=1,AN303&lt;&gt;1)),ISNUMBER(AH303),AH303&lt;=T303),AT303,0),IF(AND(NOT(AND(AO303=1,AN303&lt;&gt;1)),ISNUMBER(AI303),AI303&lt;=T303),AU303,0),IF(AND(ISNUMBER(AJ303),AJ303&lt;=T303),AV303,0))),"AB",IF(AND(IF(AND(NOT(AND(AO303=1,AN303&lt;&gt;1)),ISNUMBER(AI303),AI303&lt;=T303),AU303,0)&gt;0,IF(AND(NOT(AND(AO303=1,AN303&lt;&gt;1)),ISNUMBER(AI303),AI303&lt;=T303),AU303,0)=MAX(IF(AND(NOT(AND(AO303=1,AN303&lt;&gt;1)),ISNUMBER(AG303),AG303&lt;=T303),AS303,0),IF(AND(NOT(AND(AO303=1,AN303&lt;&gt;1)),ISNUMBER(AH303),AH303&lt;=T303),AT303,0),IF(AND(NOT(AND(AO303=1,AN303&lt;&gt;1)),ISNUMBER(AI303),AI303&lt;=T303),AU303,0),IF(AND(ISNUMBER(AJ303),AJ303&lt;=T303),AV303,0))),"SC","Mag")))))))</f>
        <v/>
      </c>
    </row>
    <row r="304">
      <c r="A304" s="26" t="n">
        <v>299</v>
      </c>
      <c r="B304" s="27">
        <f>A304*10/60</f>
        <v/>
      </c>
      <c r="C304" s="22">
        <f>X303</f>
        <v/>
      </c>
      <c r="D304" s="27">
        <f>D303+W303</f>
        <v/>
      </c>
      <c r="E304" s="26">
        <f>E303+IF(U303="SW",1,0)</f>
        <v/>
      </c>
      <c r="F304" s="26">
        <f>F303+IF(U303="AB",1,0)</f>
        <v/>
      </c>
      <c r="G304" s="26">
        <f>G303+IF(U303="SC",1,0)</f>
        <v/>
      </c>
      <c r="H304" s="26">
        <f>H303+IF(U303="Mag",1,0)</f>
        <v/>
      </c>
      <c r="I304" s="26">
        <f>MAX(I303,IF(U303="OR",1,0))</f>
        <v/>
      </c>
      <c r="J304" s="26">
        <f>MAX(J303,IF(U303="HP",1,0))</f>
        <v/>
      </c>
      <c r="K304" s="26">
        <f>MAX(K303,IF(U303="FP",1,0))</f>
        <v/>
      </c>
      <c r="L304" s="26">
        <f>MAX(L303,IF(U303="transition",1,0))</f>
        <v/>
      </c>
      <c r="M304" s="28">
        <f>(Parameters!$B$9+(IF(E304=0,0,(Upgrades!$J$6+E304*Upgrades!$K$6)*POWER(Upgrades!$L$6,E304)))*(IF(Upgrades!$T$7="Solar Wind",POWER(Upgrades!$U$7,F304),1)*IF(Upgrades!$T$8="Solar Wind",POWER(Upgrades!$U$8,G304),1)*IF(Upgrades!$T$9="Solar Wind",POWER(Upgrades!$U$9,H304),1)*IF(Upgrades!$T$10="Solar Wind",POWER(Upgrades!$U$10,I304),1)*IF(Upgrades!$T$11="Solar Wind",POWER(Upgrades!$U$11,J304),1)*IF(Upgrades!$T$12="Solar Wind",POWER(Upgrades!$U$12,K304),1))+(IF(F304=0,0,(Upgrades!$J$7+F304*Upgrades!$K$7)*POWER(Upgrades!$L$7,F304)))*(IF(Upgrades!$T$6="Asteroid Belt",POWER(Upgrades!$U$6,E304),1)*IF(Upgrades!$T$8="Asteroid Belt",POWER(Upgrades!$U$8,G304),1)*IF(Upgrades!$T$9="Asteroid Belt",POWER(Upgrades!$U$9,H304),1)*IF(Upgrades!$T$10="Asteroid Belt",POWER(Upgrades!$U$10,I304),1)*IF(Upgrades!$T$11="Asteroid Belt",POWER(Upgrades!$U$11,J304),1)*IF(Upgrades!$T$12="Asteroid Belt",POWER(Upgrades!$U$12,K304),1))+(IF(G304=0,0,(Upgrades!$J$8+G304*Upgrades!$K$8)*POWER(Upgrades!$L$8,G304)))*(IF(Upgrades!$T$6="Stellar Coupling",POWER(Upgrades!$U$6,E304),1)*IF(Upgrades!$T$7="Stellar Coupling",POWER(Upgrades!$U$7,F304),1)*IF(Upgrades!$T$9="Stellar Coupling",POWER(Upgrades!$U$9,H304),1)*IF(Upgrades!$T$10="Stellar Coupling",POWER(Upgrades!$U$10,I304),1)*IF(Upgrades!$T$11="Stellar Coupling",POWER(Upgrades!$U$11,J304),1)*IF(Upgrades!$T$12="Stellar Coupling",POWER(Upgrades!$U$12,K304),1))+(IF(H304=0,0,(Upgrades!$J$9+H304*Upgrades!$K$9)*POWER(Upgrades!$L$9,H304)))*(IF(Upgrades!$T$6="Magnetosphere",POWER(Upgrades!$U$6,E304),1)*IF(Upgrades!$T$7="Magnetosphere",POWER(Upgrades!$U$7,F304),1)*IF(Upgrades!$T$8="Magnetosphere",POWER(Upgrades!$U$8,G304),1)*IF(Upgrades!$T$10="Magnetosphere",POWER(Upgrades!$U$10,I304),1)*IF(Upgrades!$T$11="Magnetosphere",POWER(Upgrades!$U$11,J304),1)*IF(Upgrades!$T$12="Magnetosphere",POWER(Upgrades!$U$12,K304),1))+(IF(I304=0,0,(Upgrades!$J$10+I304*Upgrades!$K$10)*POWER(Upgrades!$L$10,I304)))*(IF(Upgrades!$T$6="Orbital Resonance",POWER(Upgrades!$U$6,E304),1)*IF(Upgrades!$T$7="Orbital Resonance",POWER(Upgrades!$U$7,F304),1)*IF(Upgrades!$T$8="Orbital Resonance",POWER(Upgrades!$U$8,G304),1)*IF(Upgrades!$T$9="Orbital Resonance",POWER(Upgrades!$U$9,H304),1)*IF(Upgrades!$T$11="Orbital Resonance",POWER(Upgrades!$U$11,J304),1)*IF(Upgrades!$T$12="Orbital Resonance",POWER(Upgrades!$U$12,K304),1))+(IF(J304=0,0,(Upgrades!$J$11+J304*Upgrades!$K$11)*POWER(Upgrades!$L$11,J304)))*(IF(Upgrades!$T$6="Heliopause",POWER(Upgrades!$U$6,E304),1)*IF(Upgrades!$T$7="Heliopause",POWER(Upgrades!$U$7,F304),1)*IF(Upgrades!$T$8="Heliopause",POWER(Upgrades!$U$8,G304),1)*IF(Upgrades!$T$9="Heliopause",POWER(Upgrades!$U$9,H304),1)*IF(Upgrades!$T$10="Heliopause",POWER(Upgrades!$U$10,I304),1)*IF(Upgrades!$T$12="Heliopause",POWER(Upgrades!$U$12,K304),1))+(IF(K304=0,0,(Upgrades!$J$12+K304*Upgrades!$K$12)*POWER(Upgrades!$L$12,K304)))*(IF(Upgrades!$T$6="First Photons",POWER(Upgrades!$U$6,E304),1)*IF(Upgrades!$T$7="First Photons",POWER(Upgrades!$U$7,F304),1)*IF(Upgrades!$T$8="First Photons",POWER(Upgrades!$U$8,G304),1)*IF(Upgrades!$T$9="First Photons",POWER(Upgrades!$U$9,H304),1)*IF(Upgrades!$T$10="First Photons",POWER(Upgrades!$U$10,I304),1)*IF(Upgrades!$T$11="First Photons",POWER(Upgrades!$U$11,J304),1)))*POWER(Upgrades!$Q$6,E304)*POWER(Upgrades!$Q$7,F304)*POWER(Upgrades!$Q$8,G304)*POWER(Upgrades!$Q$9,H304)*POWER(Upgrades!$Q$10,I304)*POWER(Upgrades!$Q$11,J304)*POWER(Upgrades!$Q$12,K304)</f>
        <v/>
      </c>
      <c r="N304" s="28">
        <f>((IF(E304=0,0,(Upgrades!$G$6+E304*Upgrades!$H$6)*POWER(Upgrades!$I$6,E304)))*(IF(Upgrades!$T$7="Solar Wind",POWER(Upgrades!$U$7,F304),1)*IF(Upgrades!$T$8="Solar Wind",POWER(Upgrades!$U$8,G304),1)*IF(Upgrades!$T$9="Solar Wind",POWER(Upgrades!$U$9,H304),1)*IF(Upgrades!$T$10="Solar Wind",POWER(Upgrades!$U$10,I304),1)*IF(Upgrades!$T$11="Solar Wind",POWER(Upgrades!$U$11,J304),1)*IF(Upgrades!$T$12="Solar Wind",POWER(Upgrades!$U$12,K304),1))+(IF(F304=0,0,(Upgrades!$G$7+F304*Upgrades!$H$7)*POWER(Upgrades!$I$7,F304)))*(IF(Upgrades!$T$6="Asteroid Belt",POWER(Upgrades!$U$6,E304),1)*IF(Upgrades!$T$8="Asteroid Belt",POWER(Upgrades!$U$8,G304),1)*IF(Upgrades!$T$9="Asteroid Belt",POWER(Upgrades!$U$9,H304),1)*IF(Upgrades!$T$10="Asteroid Belt",POWER(Upgrades!$U$10,I304),1)*IF(Upgrades!$T$11="Asteroid Belt",POWER(Upgrades!$U$11,J304),1)*IF(Upgrades!$T$12="Asteroid Belt",POWER(Upgrades!$U$12,K304),1))+(IF(G304=0,0,(Upgrades!$G$8+G304*Upgrades!$H$8)*POWER(Upgrades!$I$8,G304)))*(IF(Upgrades!$T$6="Stellar Coupling",POWER(Upgrades!$U$6,E304),1)*IF(Upgrades!$T$7="Stellar Coupling",POWER(Upgrades!$U$7,F304),1)*IF(Upgrades!$T$9="Stellar Coupling",POWER(Upgrades!$U$9,H304),1)*IF(Upgrades!$T$10="Stellar Coupling",POWER(Upgrades!$U$10,I304),1)*IF(Upgrades!$T$11="Stellar Coupling",POWER(Upgrades!$U$11,J304),1)*IF(Upgrades!$T$12="Stellar Coupling",POWER(Upgrades!$U$12,K304),1))+(IF(H304=0,0,(Upgrades!$G$9+H304*Upgrades!$H$9)*POWER(Upgrades!$I$9,H304)))*(IF(Upgrades!$T$6="Magnetosphere",POWER(Upgrades!$U$6,E304),1)*IF(Upgrades!$T$7="Magnetosphere",POWER(Upgrades!$U$7,F304),1)*IF(Upgrades!$T$8="Magnetosphere",POWER(Upgrades!$U$8,G304),1)*IF(Upgrades!$T$10="Magnetosphere",POWER(Upgrades!$U$10,I304),1)*IF(Upgrades!$T$11="Magnetosphere",POWER(Upgrades!$U$11,J304),1)*IF(Upgrades!$T$12="Magnetosphere",POWER(Upgrades!$U$12,K304),1))+(IF(I304=0,0,(Upgrades!$G$10+I304*Upgrades!$H$10)*POWER(Upgrades!$I$10,I304)))*(IF(Upgrades!$T$6="Orbital Resonance",POWER(Upgrades!$U$6,E304),1)*IF(Upgrades!$T$7="Orbital Resonance",POWER(Upgrades!$U$7,F304),1)*IF(Upgrades!$T$8="Orbital Resonance",POWER(Upgrades!$U$8,G304),1)*IF(Upgrades!$T$9="Orbital Resonance",POWER(Upgrades!$U$9,H304),1)*IF(Upgrades!$T$11="Orbital Resonance",POWER(Upgrades!$U$11,J304),1)*IF(Upgrades!$T$12="Orbital Resonance",POWER(Upgrades!$U$12,K304),1))+(IF(J304=0,0,(Upgrades!$G$11+J304*Upgrades!$H$11)*POWER(Upgrades!$I$11,J304)))*(IF(Upgrades!$T$6="Heliopause",POWER(Upgrades!$U$6,E304),1)*IF(Upgrades!$T$7="Heliopause",POWER(Upgrades!$U$7,F304),1)*IF(Upgrades!$T$8="Heliopause",POWER(Upgrades!$U$8,G304),1)*IF(Upgrades!$T$9="Heliopause",POWER(Upgrades!$U$9,H304),1)*IF(Upgrades!$T$10="Heliopause",POWER(Upgrades!$U$10,I304),1)*IF(Upgrades!$T$12="Heliopause",POWER(Upgrades!$U$12,K304),1))+(IF(K304=0,0,(Upgrades!$G$12+K304*Upgrades!$H$12)*POWER(Upgrades!$I$12,K304)))*(IF(Upgrades!$T$6="First Photons",POWER(Upgrades!$U$6,E304),1)*IF(Upgrades!$T$7="First Photons",POWER(Upgrades!$U$7,F304),1)*IF(Upgrades!$T$8="First Photons",POWER(Upgrades!$U$8,G304),1)*IF(Upgrades!$T$9="First Photons",POWER(Upgrades!$U$9,H304),1)*IF(Upgrades!$T$10="First Photons",POWER(Upgrades!$U$10,I304),1)*IF(Upgrades!$T$11="First Photons",POWER(Upgrades!$U$11,J304),1)))*POWER(Upgrades!$P$6,E304)*POWER(Upgrades!$P$7,F304)*POWER(Upgrades!$P$8,G304)*POWER(Upgrades!$P$9,H304)*POWER(Upgrades!$P$10,I304)*POWER(Upgrades!$P$11,J304)*POWER(Upgrades!$P$12,K304)</f>
        <v/>
      </c>
      <c r="O304" s="28">
        <f>((IF(E304=0,0,(Upgrades!$M$6+E304*Upgrades!$N$6)*POWER(Upgrades!$O$6,E304)))*(IF(Upgrades!$T$7="Solar Wind",POWER(Upgrades!$U$7,F304),1)*IF(Upgrades!$T$8="Solar Wind",POWER(Upgrades!$U$8,G304),1)*IF(Upgrades!$T$9="Solar Wind",POWER(Upgrades!$U$9,H304),1)*IF(Upgrades!$T$10="Solar Wind",POWER(Upgrades!$U$10,I304),1)*IF(Upgrades!$T$11="Solar Wind",POWER(Upgrades!$U$11,J304),1)*IF(Upgrades!$T$12="Solar Wind",POWER(Upgrades!$U$12,K304),1))+(IF(F304=0,0,(Upgrades!$M$7+F304*Upgrades!$N$7)*POWER(Upgrades!$O$7,F304)))*(IF(Upgrades!$T$6="Asteroid Belt",POWER(Upgrades!$U$6,E304),1)*IF(Upgrades!$T$8="Asteroid Belt",POWER(Upgrades!$U$8,G304),1)*IF(Upgrades!$T$9="Asteroid Belt",POWER(Upgrades!$U$9,H304),1)*IF(Upgrades!$T$10="Asteroid Belt",POWER(Upgrades!$U$10,I304),1)*IF(Upgrades!$T$11="Asteroid Belt",POWER(Upgrades!$U$11,J304),1)*IF(Upgrades!$T$12="Asteroid Belt",POWER(Upgrades!$U$12,K304),1))+(IF(G304=0,0,(Upgrades!$M$8+G304*Upgrades!$N$8)*POWER(Upgrades!$O$8,G304)))*(IF(Upgrades!$T$6="Stellar Coupling",POWER(Upgrades!$U$6,E304),1)*IF(Upgrades!$T$7="Stellar Coupling",POWER(Upgrades!$U$7,F304),1)*IF(Upgrades!$T$9="Stellar Coupling",POWER(Upgrades!$U$9,H304),1)*IF(Upgrades!$T$10="Stellar Coupling",POWER(Upgrades!$U$10,I304),1)*IF(Upgrades!$T$11="Stellar Coupling",POWER(Upgrades!$U$11,J304),1)*IF(Upgrades!$T$12="Stellar Coupling",POWER(Upgrades!$U$12,K304),1))+(IF(H304=0,0,(Upgrades!$M$9+H304*Upgrades!$N$9)*POWER(Upgrades!$O$9,H304)))*(IF(Upgrades!$T$6="Magnetosphere",POWER(Upgrades!$U$6,E304),1)*IF(Upgrades!$T$7="Magnetosphere",POWER(Upgrades!$U$7,F304),1)*IF(Upgrades!$T$8="Magnetosphere",POWER(Upgrades!$U$8,G304),1)*IF(Upgrades!$T$10="Magnetosphere",POWER(Upgrades!$U$10,I304),1)*IF(Upgrades!$T$11="Magnetosphere",POWER(Upgrades!$U$11,J304),1)*IF(Upgrades!$T$12="Magnetosphere",POWER(Upgrades!$U$12,K304),1))+(IF(I304=0,0,(Upgrades!$M$10+I304*Upgrades!$N$10)*POWER(Upgrades!$O$10,I304)))*(IF(Upgrades!$T$6="Orbital Resonance",POWER(Upgrades!$U$6,E304),1)*IF(Upgrades!$T$7="Orbital Resonance",POWER(Upgrades!$U$7,F304),1)*IF(Upgrades!$T$8="Orbital Resonance",POWER(Upgrades!$U$8,G304),1)*IF(Upgrades!$T$9="Orbital Resonance",POWER(Upgrades!$U$9,H304),1)*IF(Upgrades!$T$11="Orbital Resonance",POWER(Upgrades!$U$11,J304),1)*IF(Upgrades!$T$12="Orbital Resonance",POWER(Upgrades!$U$12,K304),1))+(IF(J304=0,0,(Upgrades!$M$11+J304*Upgrades!$N$11)*POWER(Upgrades!$O$11,J304)))*(IF(Upgrades!$T$6="Heliopause",POWER(Upgrades!$U$6,E304),1)*IF(Upgrades!$T$7="Heliopause",POWER(Upgrades!$U$7,F304),1)*IF(Upgrades!$T$8="Heliopause",POWER(Upgrades!$U$8,G304),1)*IF(Upgrades!$T$9="Heliopause",POWER(Upgrades!$U$9,H304),1)*IF(Upgrades!$T$10="Heliopause",POWER(Upgrades!$U$10,I304),1)*IF(Upgrades!$T$12="Heliopause",POWER(Upgrades!$U$12,K304),1))+(IF(K304=0,0,(Upgrades!$M$12+K304*Upgrades!$N$12)*POWER(Upgrades!$O$12,K304)))*(IF(Upgrades!$T$6="First Photons",POWER(Upgrades!$U$6,E304),1)*IF(Upgrades!$T$7="First Photons",POWER(Upgrades!$U$7,F304),1)*IF(Upgrades!$T$8="First Photons",POWER(Upgrades!$U$8,G304),1)*IF(Upgrades!$T$9="First Photons",POWER(Upgrades!$U$9,H304),1)*IF(Upgrades!$T$10="First Photons",POWER(Upgrades!$U$10,I304),1)*IF(Upgrades!$T$11="First Photons",POWER(Upgrades!$U$11,J304),1)))*POWER(Upgrades!$R$6,E304)*POWER(Upgrades!$R$7,F304)*POWER(Upgrades!$R$8,G304)*POWER(Upgrades!$R$9,H304)*POWER(Upgrades!$R$10,I304)*POWER(Upgrades!$R$11,J304)*POWER(Upgrades!$R$12,K304)</f>
        <v/>
      </c>
      <c r="P304" s="27">
        <f>IF(L304=1,0,M304*Parameters!$B$10/60*Parameters!$B$11*10)</f>
        <v/>
      </c>
      <c r="Q304" s="27">
        <f>IF(L304=1,0,O304*M304*10)</f>
        <v/>
      </c>
      <c r="R304" s="27">
        <f>IF(L304=1,0,N304*10)</f>
        <v/>
      </c>
      <c r="S304" s="27">
        <f>P304+Q304+R304</f>
        <v/>
      </c>
      <c r="T304" s="22">
        <f>C304+S304</f>
        <v/>
      </c>
      <c r="U304" s="33">
        <f>AX304</f>
        <v/>
      </c>
      <c r="V304" s="22">
        <f>IF(U304="",0,IF(U304="transition",0,IF(U304="SW",AG304,IF(U304="AB",AH304,IF(U304="SC",AI304,IF(U304="Mag",AJ304,IF(U304="OR",AK304,IF(U304="HP",AL304,IF(U304="FP",AM304,0)))))))))</f>
        <v/>
      </c>
      <c r="W304" s="27">
        <f>IF(U304="OR",Upgrades!$F$10,IF(U304="HP",Upgrades!$F$11,IF(U304="transition",-Parameters!$B$18,0)))</f>
        <v/>
      </c>
      <c r="X304" s="22">
        <f>T304-V304</f>
        <v/>
      </c>
      <c r="Y304" s="30">
        <f>M304*Parameters!$B$10/60*Parameters!$B$11+O304*M304+N304</f>
        <v/>
      </c>
      <c r="Z304" s="34">
        <f>IF(U304="transition","→ Tier 2 (Stellar Neighborhood)",IF(U304="FP","First Photons — light begins, system quickens",IF(U304="HP","Heliopause acquired",IF(U304="OR","Orbital Resonance — passive multiplier active",IF(AND(AO304=1,L304=0,AN304&lt;&gt;1),"Cohesion ready (waiting on completionist upgrades)","")))))</f>
        <v/>
      </c>
      <c r="AA304" s="27">
        <f>(IF(E304=0,0,(Upgrades!$G$6+E304*Upgrades!$H$6)*POWER(Upgrades!$I$6,E304)))*(IF(Upgrades!$T$7="Solar Wind",POWER(Upgrades!$U$7,F304),1)*IF(Upgrades!$T$8="Solar Wind",POWER(Upgrades!$U$8,G304),1)*IF(Upgrades!$T$9="Solar Wind",POWER(Upgrades!$U$9,H304),1)*IF(Upgrades!$T$10="Solar Wind",POWER(Upgrades!$U$10,I304),1)*IF(Upgrades!$T$11="Solar Wind",POWER(Upgrades!$U$11,J304),1)*IF(Upgrades!$T$12="Solar Wind",POWER(Upgrades!$U$12,K304),1))*POWER(Upgrades!$P$6,E304)*POWER(Upgrades!$P$7,F304)*POWER(Upgrades!$P$8,G304)*POWER(Upgrades!$P$9,H304)*POWER(Upgrades!$P$10,I304)*POWER(Upgrades!$P$11,J304)*POWER(Upgrades!$P$12,K304)*60</f>
        <v/>
      </c>
      <c r="AB304" s="27">
        <f>(IF(F304=0,0,(Upgrades!$G$7+F304*Upgrades!$H$7)*POWER(Upgrades!$I$7,F304)))*(IF(Upgrades!$T$6="Asteroid Belt",POWER(Upgrades!$U$6,E304),1)*IF(Upgrades!$T$8="Asteroid Belt",POWER(Upgrades!$U$8,G304),1)*IF(Upgrades!$T$9="Asteroid Belt",POWER(Upgrades!$U$9,H304),1)*IF(Upgrades!$T$10="Asteroid Belt",POWER(Upgrades!$U$10,I304),1)*IF(Upgrades!$T$11="Asteroid Belt",POWER(Upgrades!$U$11,J304),1)*IF(Upgrades!$T$12="Asteroid Belt",POWER(Upgrades!$U$12,K304),1))*POWER(Upgrades!$P$6,E304)*POWER(Upgrades!$P$7,F304)*POWER(Upgrades!$P$8,G304)*POWER(Upgrades!$P$9,H304)*POWER(Upgrades!$P$10,I304)*POWER(Upgrades!$P$11,J304)*POWER(Upgrades!$P$12,K304)*60</f>
        <v/>
      </c>
      <c r="AC304" s="27">
        <f>(IF(G304=0,0,(Upgrades!$J$8+G304*Upgrades!$K$8)*POWER(Upgrades!$L$8,G304)))*(IF(Upgrades!$T$6="Stellar Coupling",POWER(Upgrades!$U$6,E304),1)*IF(Upgrades!$T$7="Stellar Coupling",POWER(Upgrades!$U$7,F304),1)*IF(Upgrades!$T$9="Stellar Coupling",POWER(Upgrades!$U$9,H304),1)*IF(Upgrades!$T$10="Stellar Coupling",POWER(Upgrades!$U$10,I304),1)*IF(Upgrades!$T$11="Stellar Coupling",POWER(Upgrades!$U$11,J304),1)*IF(Upgrades!$T$12="Stellar Coupling",POWER(Upgrades!$U$12,K304),1))*POWER(Upgrades!$Q$6,E304)*POWER(Upgrades!$Q$7,F304)*POWER(Upgrades!$Q$8,G304)*POWER(Upgrades!$Q$9,H304)*POWER(Upgrades!$Q$10,I304)*POWER(Upgrades!$Q$11,J304)*POWER(Upgrades!$Q$12,K304)*Parameters!$B$10*Parameters!$B$11</f>
        <v/>
      </c>
      <c r="AD304" s="27">
        <f>(IF(H304=0,0,(Upgrades!$G$9+H304*Upgrades!$H$9)*POWER(Upgrades!$I$9,H304)))*(IF(Upgrades!$T$6="Magnetosphere",POWER(Upgrades!$U$6,E304),1)*IF(Upgrades!$T$7="Magnetosphere",POWER(Upgrades!$U$7,F304),1)*IF(Upgrades!$T$8="Magnetosphere",POWER(Upgrades!$U$8,G304),1)*IF(Upgrades!$T$10="Magnetosphere",POWER(Upgrades!$U$10,I304),1)*IF(Upgrades!$T$11="Magnetosphere",POWER(Upgrades!$U$11,J304),1)*IF(Upgrades!$T$12="Magnetosphere",POWER(Upgrades!$U$12,K304),1))*POWER(Upgrades!$P$6,E304)*POWER(Upgrades!$P$7,F304)*POWER(Upgrades!$P$8,G304)*POWER(Upgrades!$P$9,H304)*POWER(Upgrades!$P$10,I304)*POWER(Upgrades!$P$11,J304)*POWER(Upgrades!$P$12,K304)*60</f>
        <v/>
      </c>
      <c r="AE304" s="27">
        <f>(IF(K304=0,0,(Upgrades!$G$12+K304*Upgrades!$H$12)*POWER(Upgrades!$I$12,K304)))*(IF(Upgrades!$T$6="First Photons",POWER(Upgrades!$U$6,E304),1)*IF(Upgrades!$T$7="First Photons",POWER(Upgrades!$U$7,F304),1)*IF(Upgrades!$T$8="First Photons",POWER(Upgrades!$U$8,G304),1)*IF(Upgrades!$T$9="First Photons",POWER(Upgrades!$U$9,H304),1)*IF(Upgrades!$T$10="First Photons",POWER(Upgrades!$U$10,I304),1)*IF(Upgrades!$T$11="First Photons",POWER(Upgrades!$U$11,J304),1))*POWER(Upgrades!$P$6,E304)*POWER(Upgrades!$P$7,F304)*POWER(Upgrades!$P$8,G304)*POWER(Upgrades!$P$9,H304)*POWER(Upgrades!$P$10,I304)*POWER(Upgrades!$P$11,J304)*POWER(Upgrades!$P$12,K304)*60</f>
        <v/>
      </c>
      <c r="AF304" s="27">
        <f>Parameters!$B$9*POWER(Upgrades!$Q$6,E304)*POWER(Upgrades!$Q$7,F304)*POWER(Upgrades!$Q$8,G304)*POWER(Upgrades!$Q$9,H304)*POWER(Upgrades!$Q$10,I304)*POWER(Upgrades!$Q$11,J304)*POWER(Upgrades!$Q$12,K304)*(Parameters!$B$10*Parameters!$B$11+O304*60)</f>
        <v/>
      </c>
      <c r="AG304" s="22">
        <f>IF(E304&gt;=Upgrades!$E$6,"",Upgrades!$C$6*POWER(Upgrades!$D$6,E304))</f>
        <v/>
      </c>
      <c r="AH304" s="22">
        <f>IF(F304&gt;=Upgrades!$E$7,"",Upgrades!$C$7*POWER(Upgrades!$D$7,F304))</f>
        <v/>
      </c>
      <c r="AI304" s="22">
        <f>IF(G304&gt;=Upgrades!$E$8,"",Upgrades!$C$8*POWER(Upgrades!$D$8,G304))</f>
        <v/>
      </c>
      <c r="AJ304" s="22">
        <f>IF(H304&gt;=Upgrades!$E$9,"",Upgrades!$C$9*POWER(Upgrades!$D$9,H304))</f>
        <v/>
      </c>
      <c r="AK304" s="22">
        <f>IF(I304&gt;=Upgrades!$E$10,"",Upgrades!$C$10*POWER(Upgrades!$D$10,I304))</f>
        <v/>
      </c>
      <c r="AL304" s="22">
        <f>IF(J304&gt;=Upgrades!$E$11,"",Upgrades!$C$11*POWER(Upgrades!$D$11,J304))</f>
        <v/>
      </c>
      <c r="AM304" s="22">
        <f>IF(K304&gt;=Upgrades!$E$12,"",Upgrades!$C$12*POWER(Upgrades!$D$12,K304))</f>
        <v/>
      </c>
      <c r="AN304" s="26">
        <f>IF(AND(D304&gt;=Parameters!$B$18,(H304&gt;=Upgrades!$E$9)*(K304&gt;=Upgrades!$E$12)=1,L304=0),1,"")</f>
        <v/>
      </c>
      <c r="AO304" s="26">
        <f>IF(AND(D304&gt;=Parameters!$B$18,L304=0),1,"")</f>
        <v/>
      </c>
      <c r="AP304" s="22">
        <f>MIN(IF(ISNUMBER(AK304),AK304,9E15),IF(ISNUMBER(AL304),AL304,9E15),IF(ISNUMBER(AM304),AM304,9E15))</f>
        <v/>
      </c>
      <c r="AQ304" s="22">
        <f>MIN(IF(ISNUMBER(AG304),AG304,9E15),IF(ISNUMBER(AH304),AH304,9E15),IF(ISNUMBER(AI304),AI304,9E15),IF(ISNUMBER(AJ304),AJ304,9E15))</f>
        <v/>
      </c>
      <c r="AR304" s="29">
        <f>IF(AW304&gt;Parameters!$B$21*(MAX(IF(AND(NOT(AND(AO304=1,AN304&lt;&gt;1)),ISNUMBER(AG304),AG304&lt;=T304),AS304,0),IF(AND(NOT(AND(AO304=1,AN304&lt;&gt;1)),ISNUMBER(AH304),AH304&lt;=T304),AT304,0),IF(AND(NOT(AND(AO304=1,AN304&lt;&gt;1)),ISNUMBER(AI304),AI304&lt;=T304),AU304,0),IF(AND(ISNUMBER(AJ304),AJ304&lt;=T304),AV304,0))),TRUE,FALSE)</f>
        <v/>
      </c>
      <c r="AS304" s="32">
        <f>IFERROR(Upgrades!$H$6*(POWER(Upgrades!$P$6,E304)*POWER(Upgrades!$P$7,F304)*POWER(Upgrades!$P$8,G304)*POWER(Upgrades!$P$9,H304)*POWER(Upgrades!$P$10,I304)*POWER(Upgrades!$P$11,J304)*POWER(Upgrades!$P$12,K304))*(IF(Upgrades!$T$7="Solar Wind",POWER(Upgrades!$U$7,F304),1)*IF(Upgrades!$T$8="Solar Wind",POWER(Upgrades!$U$8,G304),1)*IF(Upgrades!$T$9="Solar Wind",POWER(Upgrades!$U$9,H304),1)*IF(Upgrades!$T$10="Solar Wind",POWER(Upgrades!$U$10,I304),1)*IF(Upgrades!$T$11="Solar Wind",POWER(Upgrades!$U$11,J304),1)*IF(Upgrades!$T$12="Solar Wind",POWER(Upgrades!$U$12,K304),1))/AG304,0)</f>
        <v/>
      </c>
      <c r="AT304" s="32">
        <f>IFERROR(Upgrades!$H$7*(POWER(Upgrades!$P$6,E304)*POWER(Upgrades!$P$7,F304)*POWER(Upgrades!$P$8,G304)*POWER(Upgrades!$P$9,H304)*POWER(Upgrades!$P$10,I304)*POWER(Upgrades!$P$11,J304)*POWER(Upgrades!$P$12,K304))*(IF(Upgrades!$T$6="Asteroid Belt",POWER(Upgrades!$U$6,E304),1)*IF(Upgrades!$T$8="Asteroid Belt",POWER(Upgrades!$U$8,G304),1)*IF(Upgrades!$T$9="Asteroid Belt",POWER(Upgrades!$U$9,H304),1)*IF(Upgrades!$T$10="Asteroid Belt",POWER(Upgrades!$U$10,I304),1)*IF(Upgrades!$T$11="Asteroid Belt",POWER(Upgrades!$U$11,J304),1)*IF(Upgrades!$T$12="Asteroid Belt",POWER(Upgrades!$U$12,K304),1))/AH304,0)</f>
        <v/>
      </c>
      <c r="AU304" s="32">
        <f>IFERROR(Upgrades!$K$8*(POWER(Upgrades!$Q$6,E304)*POWER(Upgrades!$Q$7,F304)*POWER(Upgrades!$Q$8,G304)*POWER(Upgrades!$Q$9,H304)*POWER(Upgrades!$Q$10,I304)*POWER(Upgrades!$Q$11,J304)*POWER(Upgrades!$Q$12,K304))*(IF(Upgrades!$T$6="Stellar Coupling",POWER(Upgrades!$U$6,E304),1)*IF(Upgrades!$T$7="Stellar Coupling",POWER(Upgrades!$U$7,F304),1)*IF(Upgrades!$T$9="Stellar Coupling",POWER(Upgrades!$U$9,H304),1)*IF(Upgrades!$T$10="Stellar Coupling",POWER(Upgrades!$U$10,I304),1)*IF(Upgrades!$T$11="Stellar Coupling",POWER(Upgrades!$U$11,J304),1)*IF(Upgrades!$T$12="Stellar Coupling",POWER(Upgrades!$U$12,K304),1))*Parameters!$B$10*Parameters!$B$11/60/AI304,0)</f>
        <v/>
      </c>
      <c r="AV304" s="32">
        <f>IFERROR(Upgrades!$H$9*(POWER(Upgrades!$P$6,E304)*POWER(Upgrades!$P$7,F304)*POWER(Upgrades!$P$8,G304)*POWER(Upgrades!$P$9,H304)*POWER(Upgrades!$P$10,I304)*POWER(Upgrades!$P$11,J304)*POWER(Upgrades!$P$12,K304))*(IF(Upgrades!$T$6="Magnetosphere",POWER(Upgrades!$U$6,E304),1)*IF(Upgrades!$T$7="Magnetosphere",POWER(Upgrades!$U$7,F304),1)*IF(Upgrades!$T$8="Magnetosphere",POWER(Upgrades!$U$8,G304),1)*IF(Upgrades!$T$10="Magnetosphere",POWER(Upgrades!$U$10,I304),1)*IF(Upgrades!$T$11="Magnetosphere",POWER(Upgrades!$U$11,J304),1)*IF(Upgrades!$T$12="Magnetosphere",POWER(Upgrades!$U$12,K304),1))/AJ304,0)</f>
        <v/>
      </c>
      <c r="AW304" s="32">
        <f>MAX(IF(I304&gt;0,0,IFERROR(0.25*N304/Upgrades!$C$10,0)),IF(J304&gt;0,0,IFERROR(0.5*((IF(G304=0,0,(Upgrades!$J$8+G304*Upgrades!$K$8)*POWER(Upgrades!$L$8,G304)))*(IF(Upgrades!$T$6="Stellar Coupling",POWER(Upgrades!$U$6,E304),1)*IF(Upgrades!$T$7="Stellar Coupling",POWER(Upgrades!$U$7,F304),1)*IF(Upgrades!$T$9="Stellar Coupling",POWER(Upgrades!$U$9,H304),1)*IF(Upgrades!$T$10="Stellar Coupling",POWER(Upgrades!$U$10,I304),1)*IF(Upgrades!$T$11="Stellar Coupling",POWER(Upgrades!$U$11,J304),1)*IF(Upgrades!$T$12="Stellar Coupling",POWER(Upgrades!$U$12,K304),1))*(POWER(Upgrades!$Q$6,E304)*POWER(Upgrades!$Q$7,F304)*POWER(Upgrades!$Q$8,G304)*POWER(Upgrades!$Q$9,H304)*POWER(Upgrades!$Q$10,I304)*POWER(Upgrades!$Q$11,J304)*POWER(Upgrades!$Q$12,K304))*Parameters!$B$10*Parameters!$B$11/60)/Upgrades!$C$11,0)),IF(K304&gt;0,0,IFERROR((1.0*(POWER(Upgrades!$P$6,E304)*POWER(Upgrades!$P$7,F304)*POWER(Upgrades!$P$8,G304)*POWER(Upgrades!$P$9,H304)*POWER(Upgrades!$P$10,I304)*POWER(Upgrades!$P$11,J304)*POWER(Upgrades!$P$12,K304))+0.20*M304*Parameters!$B$10*Parameters!$B$11/60)/Upgrades!$C$12,0)),IF(AND(ISNUMBER(AG304),AG304&gt;T304),AS304,0),IF(AND(ISNUMBER(AH304),AH304&gt;T304),AT304,0),IF(AND(ISNUMBER(AI304),AI304&gt;T304),AU304,0),IF(AND(ISNUMBER(AJ304),AJ304&gt;T304),AV304,0))</f>
        <v/>
      </c>
      <c r="AX304" s="29">
        <f>IF(AN304=1,"transition",IF(MIN(IF(AND(I304=0,ISNUMBER(AK304),AK304&lt;=T304),AK304,9E15),IF(AND(J304=0,ISNUMBER(AL304),AL304&lt;=T304),AL304,9E15),IF(AND(K304=0,ISNUMBER(AM304),AM304&lt;=T304),AM304,9E15))&lt;9E15,IF(AND(AND(I304=0,ISNUMBER(AK304),AK304&lt;=T304),AK304=MIN(IF(AND(I304=0,ISNUMBER(AK304),AK304&lt;=T304),AK304,9E15),IF(AND(J304=0,ISNUMBER(AL304),AL304&lt;=T304),AL304,9E15),IF(AND(K304=0,ISNUMBER(AM304),AM304&lt;=T304),AM304,9E15))),"OR",IF(AND(AND(J304=0,ISNUMBER(AL304),AL304&lt;=T304),AL304=MIN(IF(AND(I304=0,ISNUMBER(AK304),AK304&lt;=T304),AK304,9E15),IF(AND(J304=0,ISNUMBER(AL304),AL304&lt;=T304),AL304,9E15),IF(AND(K304=0,ISNUMBER(AM304),AM304&lt;=T304),AM304,9E15))),"HP","FP")),IF(AR304=TRUE,"",IF(MAX(IF(AND(NOT(AND(AO304=1,AN304&lt;&gt;1)),ISNUMBER(AG304),AG304&lt;=T304),AS304,0),IF(AND(NOT(AND(AO304=1,AN304&lt;&gt;1)),ISNUMBER(AH304),AH304&lt;=T304),AT304,0),IF(AND(NOT(AND(AO304=1,AN304&lt;&gt;1)),ISNUMBER(AI304),AI304&lt;=T304),AU304,0),IF(AND(ISNUMBER(AJ304),AJ304&lt;=T304),AV304,0))&lt;=0,"",IF(AND(IF(AND(NOT(AND(AO304=1,AN304&lt;&gt;1)),ISNUMBER(AG304),AG304&lt;=T304),AS304,0)&gt;0,IF(AND(NOT(AND(AO304=1,AN304&lt;&gt;1)),ISNUMBER(AG304),AG304&lt;=T304),AS304,0)=MAX(IF(AND(NOT(AND(AO304=1,AN304&lt;&gt;1)),ISNUMBER(AG304),AG304&lt;=T304),AS304,0),IF(AND(NOT(AND(AO304=1,AN304&lt;&gt;1)),ISNUMBER(AH304),AH304&lt;=T304),AT304,0),IF(AND(NOT(AND(AO304=1,AN304&lt;&gt;1)),ISNUMBER(AI304),AI304&lt;=T304),AU304,0),IF(AND(ISNUMBER(AJ304),AJ304&lt;=T304),AV304,0))),"SW",IF(AND(IF(AND(NOT(AND(AO304=1,AN304&lt;&gt;1)),ISNUMBER(AH304),AH304&lt;=T304),AT304,0)&gt;0,IF(AND(NOT(AND(AO304=1,AN304&lt;&gt;1)),ISNUMBER(AH304),AH304&lt;=T304),AT304,0)=MAX(IF(AND(NOT(AND(AO304=1,AN304&lt;&gt;1)),ISNUMBER(AG304),AG304&lt;=T304),AS304,0),IF(AND(NOT(AND(AO304=1,AN304&lt;&gt;1)),ISNUMBER(AH304),AH304&lt;=T304),AT304,0),IF(AND(NOT(AND(AO304=1,AN304&lt;&gt;1)),ISNUMBER(AI304),AI304&lt;=T304),AU304,0),IF(AND(ISNUMBER(AJ304),AJ304&lt;=T304),AV304,0))),"AB",IF(AND(IF(AND(NOT(AND(AO304=1,AN304&lt;&gt;1)),ISNUMBER(AI304),AI304&lt;=T304),AU304,0)&gt;0,IF(AND(NOT(AND(AO304=1,AN304&lt;&gt;1)),ISNUMBER(AI304),AI304&lt;=T304),AU304,0)=MAX(IF(AND(NOT(AND(AO304=1,AN304&lt;&gt;1)),ISNUMBER(AG304),AG304&lt;=T304),AS304,0),IF(AND(NOT(AND(AO304=1,AN304&lt;&gt;1)),ISNUMBER(AH304),AH304&lt;=T304),AT304,0),IF(AND(NOT(AND(AO304=1,AN304&lt;&gt;1)),ISNUMBER(AI304),AI304&lt;=T304),AU304,0),IF(AND(ISNUMBER(AJ304),AJ304&lt;=T304),AV304,0))),"SC","Mag")))))))</f>
        <v/>
      </c>
    </row>
    <row r="305">
      <c r="A305" s="26" t="n">
        <v>300</v>
      </c>
      <c r="B305" s="27">
        <f>A305*10/60</f>
        <v/>
      </c>
      <c r="C305" s="22">
        <f>X304</f>
        <v/>
      </c>
      <c r="D305" s="27">
        <f>D304+W304</f>
        <v/>
      </c>
      <c r="E305" s="26">
        <f>E304+IF(U304="SW",1,0)</f>
        <v/>
      </c>
      <c r="F305" s="26">
        <f>F304+IF(U304="AB",1,0)</f>
        <v/>
      </c>
      <c r="G305" s="26">
        <f>G304+IF(U304="SC",1,0)</f>
        <v/>
      </c>
      <c r="H305" s="26">
        <f>H304+IF(U304="Mag",1,0)</f>
        <v/>
      </c>
      <c r="I305" s="26">
        <f>MAX(I304,IF(U304="OR",1,0))</f>
        <v/>
      </c>
      <c r="J305" s="26">
        <f>MAX(J304,IF(U304="HP",1,0))</f>
        <v/>
      </c>
      <c r="K305" s="26">
        <f>MAX(K304,IF(U304="FP",1,0))</f>
        <v/>
      </c>
      <c r="L305" s="26">
        <f>MAX(L304,IF(U304="transition",1,0))</f>
        <v/>
      </c>
      <c r="M305" s="28">
        <f>(Parameters!$B$9+(IF(E305=0,0,(Upgrades!$J$6+E305*Upgrades!$K$6)*POWER(Upgrades!$L$6,E305)))*(IF(Upgrades!$T$7="Solar Wind",POWER(Upgrades!$U$7,F305),1)*IF(Upgrades!$T$8="Solar Wind",POWER(Upgrades!$U$8,G305),1)*IF(Upgrades!$T$9="Solar Wind",POWER(Upgrades!$U$9,H305),1)*IF(Upgrades!$T$10="Solar Wind",POWER(Upgrades!$U$10,I305),1)*IF(Upgrades!$T$11="Solar Wind",POWER(Upgrades!$U$11,J305),1)*IF(Upgrades!$T$12="Solar Wind",POWER(Upgrades!$U$12,K305),1))+(IF(F305=0,0,(Upgrades!$J$7+F305*Upgrades!$K$7)*POWER(Upgrades!$L$7,F305)))*(IF(Upgrades!$T$6="Asteroid Belt",POWER(Upgrades!$U$6,E305),1)*IF(Upgrades!$T$8="Asteroid Belt",POWER(Upgrades!$U$8,G305),1)*IF(Upgrades!$T$9="Asteroid Belt",POWER(Upgrades!$U$9,H305),1)*IF(Upgrades!$T$10="Asteroid Belt",POWER(Upgrades!$U$10,I305),1)*IF(Upgrades!$T$11="Asteroid Belt",POWER(Upgrades!$U$11,J305),1)*IF(Upgrades!$T$12="Asteroid Belt",POWER(Upgrades!$U$12,K305),1))+(IF(G305=0,0,(Upgrades!$J$8+G305*Upgrades!$K$8)*POWER(Upgrades!$L$8,G305)))*(IF(Upgrades!$T$6="Stellar Coupling",POWER(Upgrades!$U$6,E305),1)*IF(Upgrades!$T$7="Stellar Coupling",POWER(Upgrades!$U$7,F305),1)*IF(Upgrades!$T$9="Stellar Coupling",POWER(Upgrades!$U$9,H305),1)*IF(Upgrades!$T$10="Stellar Coupling",POWER(Upgrades!$U$10,I305),1)*IF(Upgrades!$T$11="Stellar Coupling",POWER(Upgrades!$U$11,J305),1)*IF(Upgrades!$T$12="Stellar Coupling",POWER(Upgrades!$U$12,K305),1))+(IF(H305=0,0,(Upgrades!$J$9+H305*Upgrades!$K$9)*POWER(Upgrades!$L$9,H305)))*(IF(Upgrades!$T$6="Magnetosphere",POWER(Upgrades!$U$6,E305),1)*IF(Upgrades!$T$7="Magnetosphere",POWER(Upgrades!$U$7,F305),1)*IF(Upgrades!$T$8="Magnetosphere",POWER(Upgrades!$U$8,G305),1)*IF(Upgrades!$T$10="Magnetosphere",POWER(Upgrades!$U$10,I305),1)*IF(Upgrades!$T$11="Magnetosphere",POWER(Upgrades!$U$11,J305),1)*IF(Upgrades!$T$12="Magnetosphere",POWER(Upgrades!$U$12,K305),1))+(IF(I305=0,0,(Upgrades!$J$10+I305*Upgrades!$K$10)*POWER(Upgrades!$L$10,I305)))*(IF(Upgrades!$T$6="Orbital Resonance",POWER(Upgrades!$U$6,E305),1)*IF(Upgrades!$T$7="Orbital Resonance",POWER(Upgrades!$U$7,F305),1)*IF(Upgrades!$T$8="Orbital Resonance",POWER(Upgrades!$U$8,G305),1)*IF(Upgrades!$T$9="Orbital Resonance",POWER(Upgrades!$U$9,H305),1)*IF(Upgrades!$T$11="Orbital Resonance",POWER(Upgrades!$U$11,J305),1)*IF(Upgrades!$T$12="Orbital Resonance",POWER(Upgrades!$U$12,K305),1))+(IF(J305=0,0,(Upgrades!$J$11+J305*Upgrades!$K$11)*POWER(Upgrades!$L$11,J305)))*(IF(Upgrades!$T$6="Heliopause",POWER(Upgrades!$U$6,E305),1)*IF(Upgrades!$T$7="Heliopause",POWER(Upgrades!$U$7,F305),1)*IF(Upgrades!$T$8="Heliopause",POWER(Upgrades!$U$8,G305),1)*IF(Upgrades!$T$9="Heliopause",POWER(Upgrades!$U$9,H305),1)*IF(Upgrades!$T$10="Heliopause",POWER(Upgrades!$U$10,I305),1)*IF(Upgrades!$T$12="Heliopause",POWER(Upgrades!$U$12,K305),1))+(IF(K305=0,0,(Upgrades!$J$12+K305*Upgrades!$K$12)*POWER(Upgrades!$L$12,K305)))*(IF(Upgrades!$T$6="First Photons",POWER(Upgrades!$U$6,E305),1)*IF(Upgrades!$T$7="First Photons",POWER(Upgrades!$U$7,F305),1)*IF(Upgrades!$T$8="First Photons",POWER(Upgrades!$U$8,G305),1)*IF(Upgrades!$T$9="First Photons",POWER(Upgrades!$U$9,H305),1)*IF(Upgrades!$T$10="First Photons",POWER(Upgrades!$U$10,I305),1)*IF(Upgrades!$T$11="First Photons",POWER(Upgrades!$U$11,J305),1)))*POWER(Upgrades!$Q$6,E305)*POWER(Upgrades!$Q$7,F305)*POWER(Upgrades!$Q$8,G305)*POWER(Upgrades!$Q$9,H305)*POWER(Upgrades!$Q$10,I305)*POWER(Upgrades!$Q$11,J305)*POWER(Upgrades!$Q$12,K305)</f>
        <v/>
      </c>
      <c r="N305" s="28">
        <f>((IF(E305=0,0,(Upgrades!$G$6+E305*Upgrades!$H$6)*POWER(Upgrades!$I$6,E305)))*(IF(Upgrades!$T$7="Solar Wind",POWER(Upgrades!$U$7,F305),1)*IF(Upgrades!$T$8="Solar Wind",POWER(Upgrades!$U$8,G305),1)*IF(Upgrades!$T$9="Solar Wind",POWER(Upgrades!$U$9,H305),1)*IF(Upgrades!$T$10="Solar Wind",POWER(Upgrades!$U$10,I305),1)*IF(Upgrades!$T$11="Solar Wind",POWER(Upgrades!$U$11,J305),1)*IF(Upgrades!$T$12="Solar Wind",POWER(Upgrades!$U$12,K305),1))+(IF(F305=0,0,(Upgrades!$G$7+F305*Upgrades!$H$7)*POWER(Upgrades!$I$7,F305)))*(IF(Upgrades!$T$6="Asteroid Belt",POWER(Upgrades!$U$6,E305),1)*IF(Upgrades!$T$8="Asteroid Belt",POWER(Upgrades!$U$8,G305),1)*IF(Upgrades!$T$9="Asteroid Belt",POWER(Upgrades!$U$9,H305),1)*IF(Upgrades!$T$10="Asteroid Belt",POWER(Upgrades!$U$10,I305),1)*IF(Upgrades!$T$11="Asteroid Belt",POWER(Upgrades!$U$11,J305),1)*IF(Upgrades!$T$12="Asteroid Belt",POWER(Upgrades!$U$12,K305),1))+(IF(G305=0,0,(Upgrades!$G$8+G305*Upgrades!$H$8)*POWER(Upgrades!$I$8,G305)))*(IF(Upgrades!$T$6="Stellar Coupling",POWER(Upgrades!$U$6,E305),1)*IF(Upgrades!$T$7="Stellar Coupling",POWER(Upgrades!$U$7,F305),1)*IF(Upgrades!$T$9="Stellar Coupling",POWER(Upgrades!$U$9,H305),1)*IF(Upgrades!$T$10="Stellar Coupling",POWER(Upgrades!$U$10,I305),1)*IF(Upgrades!$T$11="Stellar Coupling",POWER(Upgrades!$U$11,J305),1)*IF(Upgrades!$T$12="Stellar Coupling",POWER(Upgrades!$U$12,K305),1))+(IF(H305=0,0,(Upgrades!$G$9+H305*Upgrades!$H$9)*POWER(Upgrades!$I$9,H305)))*(IF(Upgrades!$T$6="Magnetosphere",POWER(Upgrades!$U$6,E305),1)*IF(Upgrades!$T$7="Magnetosphere",POWER(Upgrades!$U$7,F305),1)*IF(Upgrades!$T$8="Magnetosphere",POWER(Upgrades!$U$8,G305),1)*IF(Upgrades!$T$10="Magnetosphere",POWER(Upgrades!$U$10,I305),1)*IF(Upgrades!$T$11="Magnetosphere",POWER(Upgrades!$U$11,J305),1)*IF(Upgrades!$T$12="Magnetosphere",POWER(Upgrades!$U$12,K305),1))+(IF(I305=0,0,(Upgrades!$G$10+I305*Upgrades!$H$10)*POWER(Upgrades!$I$10,I305)))*(IF(Upgrades!$T$6="Orbital Resonance",POWER(Upgrades!$U$6,E305),1)*IF(Upgrades!$T$7="Orbital Resonance",POWER(Upgrades!$U$7,F305),1)*IF(Upgrades!$T$8="Orbital Resonance",POWER(Upgrades!$U$8,G305),1)*IF(Upgrades!$T$9="Orbital Resonance",POWER(Upgrades!$U$9,H305),1)*IF(Upgrades!$T$11="Orbital Resonance",POWER(Upgrades!$U$11,J305),1)*IF(Upgrades!$T$12="Orbital Resonance",POWER(Upgrades!$U$12,K305),1))+(IF(J305=0,0,(Upgrades!$G$11+J305*Upgrades!$H$11)*POWER(Upgrades!$I$11,J305)))*(IF(Upgrades!$T$6="Heliopause",POWER(Upgrades!$U$6,E305),1)*IF(Upgrades!$T$7="Heliopause",POWER(Upgrades!$U$7,F305),1)*IF(Upgrades!$T$8="Heliopause",POWER(Upgrades!$U$8,G305),1)*IF(Upgrades!$T$9="Heliopause",POWER(Upgrades!$U$9,H305),1)*IF(Upgrades!$T$10="Heliopause",POWER(Upgrades!$U$10,I305),1)*IF(Upgrades!$T$12="Heliopause",POWER(Upgrades!$U$12,K305),1))+(IF(K305=0,0,(Upgrades!$G$12+K305*Upgrades!$H$12)*POWER(Upgrades!$I$12,K305)))*(IF(Upgrades!$T$6="First Photons",POWER(Upgrades!$U$6,E305),1)*IF(Upgrades!$T$7="First Photons",POWER(Upgrades!$U$7,F305),1)*IF(Upgrades!$T$8="First Photons",POWER(Upgrades!$U$8,G305),1)*IF(Upgrades!$T$9="First Photons",POWER(Upgrades!$U$9,H305),1)*IF(Upgrades!$T$10="First Photons",POWER(Upgrades!$U$10,I305),1)*IF(Upgrades!$T$11="First Photons",POWER(Upgrades!$U$11,J305),1)))*POWER(Upgrades!$P$6,E305)*POWER(Upgrades!$P$7,F305)*POWER(Upgrades!$P$8,G305)*POWER(Upgrades!$P$9,H305)*POWER(Upgrades!$P$10,I305)*POWER(Upgrades!$P$11,J305)*POWER(Upgrades!$P$12,K305)</f>
        <v/>
      </c>
      <c r="O305" s="28">
        <f>((IF(E305=0,0,(Upgrades!$M$6+E305*Upgrades!$N$6)*POWER(Upgrades!$O$6,E305)))*(IF(Upgrades!$T$7="Solar Wind",POWER(Upgrades!$U$7,F305),1)*IF(Upgrades!$T$8="Solar Wind",POWER(Upgrades!$U$8,G305),1)*IF(Upgrades!$T$9="Solar Wind",POWER(Upgrades!$U$9,H305),1)*IF(Upgrades!$T$10="Solar Wind",POWER(Upgrades!$U$10,I305),1)*IF(Upgrades!$T$11="Solar Wind",POWER(Upgrades!$U$11,J305),1)*IF(Upgrades!$T$12="Solar Wind",POWER(Upgrades!$U$12,K305),1))+(IF(F305=0,0,(Upgrades!$M$7+F305*Upgrades!$N$7)*POWER(Upgrades!$O$7,F305)))*(IF(Upgrades!$T$6="Asteroid Belt",POWER(Upgrades!$U$6,E305),1)*IF(Upgrades!$T$8="Asteroid Belt",POWER(Upgrades!$U$8,G305),1)*IF(Upgrades!$T$9="Asteroid Belt",POWER(Upgrades!$U$9,H305),1)*IF(Upgrades!$T$10="Asteroid Belt",POWER(Upgrades!$U$10,I305),1)*IF(Upgrades!$T$11="Asteroid Belt",POWER(Upgrades!$U$11,J305),1)*IF(Upgrades!$T$12="Asteroid Belt",POWER(Upgrades!$U$12,K305),1))+(IF(G305=0,0,(Upgrades!$M$8+G305*Upgrades!$N$8)*POWER(Upgrades!$O$8,G305)))*(IF(Upgrades!$T$6="Stellar Coupling",POWER(Upgrades!$U$6,E305),1)*IF(Upgrades!$T$7="Stellar Coupling",POWER(Upgrades!$U$7,F305),1)*IF(Upgrades!$T$9="Stellar Coupling",POWER(Upgrades!$U$9,H305),1)*IF(Upgrades!$T$10="Stellar Coupling",POWER(Upgrades!$U$10,I305),1)*IF(Upgrades!$T$11="Stellar Coupling",POWER(Upgrades!$U$11,J305),1)*IF(Upgrades!$T$12="Stellar Coupling",POWER(Upgrades!$U$12,K305),1))+(IF(H305=0,0,(Upgrades!$M$9+H305*Upgrades!$N$9)*POWER(Upgrades!$O$9,H305)))*(IF(Upgrades!$T$6="Magnetosphere",POWER(Upgrades!$U$6,E305),1)*IF(Upgrades!$T$7="Magnetosphere",POWER(Upgrades!$U$7,F305),1)*IF(Upgrades!$T$8="Magnetosphere",POWER(Upgrades!$U$8,G305),1)*IF(Upgrades!$T$10="Magnetosphere",POWER(Upgrades!$U$10,I305),1)*IF(Upgrades!$T$11="Magnetosphere",POWER(Upgrades!$U$11,J305),1)*IF(Upgrades!$T$12="Magnetosphere",POWER(Upgrades!$U$12,K305),1))+(IF(I305=0,0,(Upgrades!$M$10+I305*Upgrades!$N$10)*POWER(Upgrades!$O$10,I305)))*(IF(Upgrades!$T$6="Orbital Resonance",POWER(Upgrades!$U$6,E305),1)*IF(Upgrades!$T$7="Orbital Resonance",POWER(Upgrades!$U$7,F305),1)*IF(Upgrades!$T$8="Orbital Resonance",POWER(Upgrades!$U$8,G305),1)*IF(Upgrades!$T$9="Orbital Resonance",POWER(Upgrades!$U$9,H305),1)*IF(Upgrades!$T$11="Orbital Resonance",POWER(Upgrades!$U$11,J305),1)*IF(Upgrades!$T$12="Orbital Resonance",POWER(Upgrades!$U$12,K305),1))+(IF(J305=0,0,(Upgrades!$M$11+J305*Upgrades!$N$11)*POWER(Upgrades!$O$11,J305)))*(IF(Upgrades!$T$6="Heliopause",POWER(Upgrades!$U$6,E305),1)*IF(Upgrades!$T$7="Heliopause",POWER(Upgrades!$U$7,F305),1)*IF(Upgrades!$T$8="Heliopause",POWER(Upgrades!$U$8,G305),1)*IF(Upgrades!$T$9="Heliopause",POWER(Upgrades!$U$9,H305),1)*IF(Upgrades!$T$10="Heliopause",POWER(Upgrades!$U$10,I305),1)*IF(Upgrades!$T$12="Heliopause",POWER(Upgrades!$U$12,K305),1))+(IF(K305=0,0,(Upgrades!$M$12+K305*Upgrades!$N$12)*POWER(Upgrades!$O$12,K305)))*(IF(Upgrades!$T$6="First Photons",POWER(Upgrades!$U$6,E305),1)*IF(Upgrades!$T$7="First Photons",POWER(Upgrades!$U$7,F305),1)*IF(Upgrades!$T$8="First Photons",POWER(Upgrades!$U$8,G305),1)*IF(Upgrades!$T$9="First Photons",POWER(Upgrades!$U$9,H305),1)*IF(Upgrades!$T$10="First Photons",POWER(Upgrades!$U$10,I305),1)*IF(Upgrades!$T$11="First Photons",POWER(Upgrades!$U$11,J305),1)))*POWER(Upgrades!$R$6,E305)*POWER(Upgrades!$R$7,F305)*POWER(Upgrades!$R$8,G305)*POWER(Upgrades!$R$9,H305)*POWER(Upgrades!$R$10,I305)*POWER(Upgrades!$R$11,J305)*POWER(Upgrades!$R$12,K305)</f>
        <v/>
      </c>
      <c r="P305" s="27">
        <f>IF(L305=1,0,M305*Parameters!$B$10/60*Parameters!$B$11*10)</f>
        <v/>
      </c>
      <c r="Q305" s="27">
        <f>IF(L305=1,0,O305*M305*10)</f>
        <v/>
      </c>
      <c r="R305" s="27">
        <f>IF(L305=1,0,N305*10)</f>
        <v/>
      </c>
      <c r="S305" s="27">
        <f>P305+Q305+R305</f>
        <v/>
      </c>
      <c r="T305" s="22">
        <f>C305+S305</f>
        <v/>
      </c>
      <c r="U305" s="33">
        <f>AX305</f>
        <v/>
      </c>
      <c r="V305" s="22">
        <f>IF(U305="",0,IF(U305="transition",0,IF(U305="SW",AG305,IF(U305="AB",AH305,IF(U305="SC",AI305,IF(U305="Mag",AJ305,IF(U305="OR",AK305,IF(U305="HP",AL305,IF(U305="FP",AM305,0)))))))))</f>
        <v/>
      </c>
      <c r="W305" s="27">
        <f>IF(U305="OR",Upgrades!$F$10,IF(U305="HP",Upgrades!$F$11,IF(U305="transition",-Parameters!$B$18,0)))</f>
        <v/>
      </c>
      <c r="X305" s="22">
        <f>T305-V305</f>
        <v/>
      </c>
      <c r="Y305" s="30">
        <f>M305*Parameters!$B$10/60*Parameters!$B$11+O305*M305+N305</f>
        <v/>
      </c>
      <c r="Z305" s="34">
        <f>IF(U305="transition","→ Tier 2 (Stellar Neighborhood)",IF(U305="FP","First Photons — light begins, system quickens",IF(U305="HP","Heliopause acquired",IF(U305="OR","Orbital Resonance — passive multiplier active",IF(AND(AO305=1,L305=0,AN305&lt;&gt;1),"Cohesion ready (waiting on completionist upgrades)","")))))</f>
        <v/>
      </c>
      <c r="AA305" s="27">
        <f>(IF(E305=0,0,(Upgrades!$G$6+E305*Upgrades!$H$6)*POWER(Upgrades!$I$6,E305)))*(IF(Upgrades!$T$7="Solar Wind",POWER(Upgrades!$U$7,F305),1)*IF(Upgrades!$T$8="Solar Wind",POWER(Upgrades!$U$8,G305),1)*IF(Upgrades!$T$9="Solar Wind",POWER(Upgrades!$U$9,H305),1)*IF(Upgrades!$T$10="Solar Wind",POWER(Upgrades!$U$10,I305),1)*IF(Upgrades!$T$11="Solar Wind",POWER(Upgrades!$U$11,J305),1)*IF(Upgrades!$T$12="Solar Wind",POWER(Upgrades!$U$12,K305),1))*POWER(Upgrades!$P$6,E305)*POWER(Upgrades!$P$7,F305)*POWER(Upgrades!$P$8,G305)*POWER(Upgrades!$P$9,H305)*POWER(Upgrades!$P$10,I305)*POWER(Upgrades!$P$11,J305)*POWER(Upgrades!$P$12,K305)*60</f>
        <v/>
      </c>
      <c r="AB305" s="27">
        <f>(IF(F305=0,0,(Upgrades!$G$7+F305*Upgrades!$H$7)*POWER(Upgrades!$I$7,F305)))*(IF(Upgrades!$T$6="Asteroid Belt",POWER(Upgrades!$U$6,E305),1)*IF(Upgrades!$T$8="Asteroid Belt",POWER(Upgrades!$U$8,G305),1)*IF(Upgrades!$T$9="Asteroid Belt",POWER(Upgrades!$U$9,H305),1)*IF(Upgrades!$T$10="Asteroid Belt",POWER(Upgrades!$U$10,I305),1)*IF(Upgrades!$T$11="Asteroid Belt",POWER(Upgrades!$U$11,J305),1)*IF(Upgrades!$T$12="Asteroid Belt",POWER(Upgrades!$U$12,K305),1))*POWER(Upgrades!$P$6,E305)*POWER(Upgrades!$P$7,F305)*POWER(Upgrades!$P$8,G305)*POWER(Upgrades!$P$9,H305)*POWER(Upgrades!$P$10,I305)*POWER(Upgrades!$P$11,J305)*POWER(Upgrades!$P$12,K305)*60</f>
        <v/>
      </c>
      <c r="AC305" s="27">
        <f>(IF(G305=0,0,(Upgrades!$J$8+G305*Upgrades!$K$8)*POWER(Upgrades!$L$8,G305)))*(IF(Upgrades!$T$6="Stellar Coupling",POWER(Upgrades!$U$6,E305),1)*IF(Upgrades!$T$7="Stellar Coupling",POWER(Upgrades!$U$7,F305),1)*IF(Upgrades!$T$9="Stellar Coupling",POWER(Upgrades!$U$9,H305),1)*IF(Upgrades!$T$10="Stellar Coupling",POWER(Upgrades!$U$10,I305),1)*IF(Upgrades!$T$11="Stellar Coupling",POWER(Upgrades!$U$11,J305),1)*IF(Upgrades!$T$12="Stellar Coupling",POWER(Upgrades!$U$12,K305),1))*POWER(Upgrades!$Q$6,E305)*POWER(Upgrades!$Q$7,F305)*POWER(Upgrades!$Q$8,G305)*POWER(Upgrades!$Q$9,H305)*POWER(Upgrades!$Q$10,I305)*POWER(Upgrades!$Q$11,J305)*POWER(Upgrades!$Q$12,K305)*Parameters!$B$10*Parameters!$B$11</f>
        <v/>
      </c>
      <c r="AD305" s="27">
        <f>(IF(H305=0,0,(Upgrades!$G$9+H305*Upgrades!$H$9)*POWER(Upgrades!$I$9,H305)))*(IF(Upgrades!$T$6="Magnetosphere",POWER(Upgrades!$U$6,E305),1)*IF(Upgrades!$T$7="Magnetosphere",POWER(Upgrades!$U$7,F305),1)*IF(Upgrades!$T$8="Magnetosphere",POWER(Upgrades!$U$8,G305),1)*IF(Upgrades!$T$10="Magnetosphere",POWER(Upgrades!$U$10,I305),1)*IF(Upgrades!$T$11="Magnetosphere",POWER(Upgrades!$U$11,J305),1)*IF(Upgrades!$T$12="Magnetosphere",POWER(Upgrades!$U$12,K305),1))*POWER(Upgrades!$P$6,E305)*POWER(Upgrades!$P$7,F305)*POWER(Upgrades!$P$8,G305)*POWER(Upgrades!$P$9,H305)*POWER(Upgrades!$P$10,I305)*POWER(Upgrades!$P$11,J305)*POWER(Upgrades!$P$12,K305)*60</f>
        <v/>
      </c>
      <c r="AE305" s="27">
        <f>(IF(K305=0,0,(Upgrades!$G$12+K305*Upgrades!$H$12)*POWER(Upgrades!$I$12,K305)))*(IF(Upgrades!$T$6="First Photons",POWER(Upgrades!$U$6,E305),1)*IF(Upgrades!$T$7="First Photons",POWER(Upgrades!$U$7,F305),1)*IF(Upgrades!$T$8="First Photons",POWER(Upgrades!$U$8,G305),1)*IF(Upgrades!$T$9="First Photons",POWER(Upgrades!$U$9,H305),1)*IF(Upgrades!$T$10="First Photons",POWER(Upgrades!$U$10,I305),1)*IF(Upgrades!$T$11="First Photons",POWER(Upgrades!$U$11,J305),1))*POWER(Upgrades!$P$6,E305)*POWER(Upgrades!$P$7,F305)*POWER(Upgrades!$P$8,G305)*POWER(Upgrades!$P$9,H305)*POWER(Upgrades!$P$10,I305)*POWER(Upgrades!$P$11,J305)*POWER(Upgrades!$P$12,K305)*60</f>
        <v/>
      </c>
      <c r="AF305" s="27">
        <f>Parameters!$B$9*POWER(Upgrades!$Q$6,E305)*POWER(Upgrades!$Q$7,F305)*POWER(Upgrades!$Q$8,G305)*POWER(Upgrades!$Q$9,H305)*POWER(Upgrades!$Q$10,I305)*POWER(Upgrades!$Q$11,J305)*POWER(Upgrades!$Q$12,K305)*(Parameters!$B$10*Parameters!$B$11+O305*60)</f>
        <v/>
      </c>
      <c r="AG305" s="22">
        <f>IF(E305&gt;=Upgrades!$E$6,"",Upgrades!$C$6*POWER(Upgrades!$D$6,E305))</f>
        <v/>
      </c>
      <c r="AH305" s="22">
        <f>IF(F305&gt;=Upgrades!$E$7,"",Upgrades!$C$7*POWER(Upgrades!$D$7,F305))</f>
        <v/>
      </c>
      <c r="AI305" s="22">
        <f>IF(G305&gt;=Upgrades!$E$8,"",Upgrades!$C$8*POWER(Upgrades!$D$8,G305))</f>
        <v/>
      </c>
      <c r="AJ305" s="22">
        <f>IF(H305&gt;=Upgrades!$E$9,"",Upgrades!$C$9*POWER(Upgrades!$D$9,H305))</f>
        <v/>
      </c>
      <c r="AK305" s="22">
        <f>IF(I305&gt;=Upgrades!$E$10,"",Upgrades!$C$10*POWER(Upgrades!$D$10,I305))</f>
        <v/>
      </c>
      <c r="AL305" s="22">
        <f>IF(J305&gt;=Upgrades!$E$11,"",Upgrades!$C$11*POWER(Upgrades!$D$11,J305))</f>
        <v/>
      </c>
      <c r="AM305" s="22">
        <f>IF(K305&gt;=Upgrades!$E$12,"",Upgrades!$C$12*POWER(Upgrades!$D$12,K305))</f>
        <v/>
      </c>
      <c r="AN305" s="26">
        <f>IF(AND(D305&gt;=Parameters!$B$18,(H305&gt;=Upgrades!$E$9)*(K305&gt;=Upgrades!$E$12)=1,L305=0),1,"")</f>
        <v/>
      </c>
      <c r="AO305" s="26">
        <f>IF(AND(D305&gt;=Parameters!$B$18,L305=0),1,"")</f>
        <v/>
      </c>
      <c r="AP305" s="22">
        <f>MIN(IF(ISNUMBER(AK305),AK305,9E15),IF(ISNUMBER(AL305),AL305,9E15),IF(ISNUMBER(AM305),AM305,9E15))</f>
        <v/>
      </c>
      <c r="AQ305" s="22">
        <f>MIN(IF(ISNUMBER(AG305),AG305,9E15),IF(ISNUMBER(AH305),AH305,9E15),IF(ISNUMBER(AI305),AI305,9E15),IF(ISNUMBER(AJ305),AJ305,9E15))</f>
        <v/>
      </c>
      <c r="AR305" s="29">
        <f>IF(AW305&gt;Parameters!$B$21*(MAX(IF(AND(NOT(AND(AO305=1,AN305&lt;&gt;1)),ISNUMBER(AG305),AG305&lt;=T305),AS305,0),IF(AND(NOT(AND(AO305=1,AN305&lt;&gt;1)),ISNUMBER(AH305),AH305&lt;=T305),AT305,0),IF(AND(NOT(AND(AO305=1,AN305&lt;&gt;1)),ISNUMBER(AI305),AI305&lt;=T305),AU305,0),IF(AND(ISNUMBER(AJ305),AJ305&lt;=T305),AV305,0))),TRUE,FALSE)</f>
        <v/>
      </c>
      <c r="AS305" s="32">
        <f>IFERROR(Upgrades!$H$6*(POWER(Upgrades!$P$6,E305)*POWER(Upgrades!$P$7,F305)*POWER(Upgrades!$P$8,G305)*POWER(Upgrades!$P$9,H305)*POWER(Upgrades!$P$10,I305)*POWER(Upgrades!$P$11,J305)*POWER(Upgrades!$P$12,K305))*(IF(Upgrades!$T$7="Solar Wind",POWER(Upgrades!$U$7,F305),1)*IF(Upgrades!$T$8="Solar Wind",POWER(Upgrades!$U$8,G305),1)*IF(Upgrades!$T$9="Solar Wind",POWER(Upgrades!$U$9,H305),1)*IF(Upgrades!$T$10="Solar Wind",POWER(Upgrades!$U$10,I305),1)*IF(Upgrades!$T$11="Solar Wind",POWER(Upgrades!$U$11,J305),1)*IF(Upgrades!$T$12="Solar Wind",POWER(Upgrades!$U$12,K305),1))/AG305,0)</f>
        <v/>
      </c>
      <c r="AT305" s="32">
        <f>IFERROR(Upgrades!$H$7*(POWER(Upgrades!$P$6,E305)*POWER(Upgrades!$P$7,F305)*POWER(Upgrades!$P$8,G305)*POWER(Upgrades!$P$9,H305)*POWER(Upgrades!$P$10,I305)*POWER(Upgrades!$P$11,J305)*POWER(Upgrades!$P$12,K305))*(IF(Upgrades!$T$6="Asteroid Belt",POWER(Upgrades!$U$6,E305),1)*IF(Upgrades!$T$8="Asteroid Belt",POWER(Upgrades!$U$8,G305),1)*IF(Upgrades!$T$9="Asteroid Belt",POWER(Upgrades!$U$9,H305),1)*IF(Upgrades!$T$10="Asteroid Belt",POWER(Upgrades!$U$10,I305),1)*IF(Upgrades!$T$11="Asteroid Belt",POWER(Upgrades!$U$11,J305),1)*IF(Upgrades!$T$12="Asteroid Belt",POWER(Upgrades!$U$12,K305),1))/AH305,0)</f>
        <v/>
      </c>
      <c r="AU305" s="32">
        <f>IFERROR(Upgrades!$K$8*(POWER(Upgrades!$Q$6,E305)*POWER(Upgrades!$Q$7,F305)*POWER(Upgrades!$Q$8,G305)*POWER(Upgrades!$Q$9,H305)*POWER(Upgrades!$Q$10,I305)*POWER(Upgrades!$Q$11,J305)*POWER(Upgrades!$Q$12,K305))*(IF(Upgrades!$T$6="Stellar Coupling",POWER(Upgrades!$U$6,E305),1)*IF(Upgrades!$T$7="Stellar Coupling",POWER(Upgrades!$U$7,F305),1)*IF(Upgrades!$T$9="Stellar Coupling",POWER(Upgrades!$U$9,H305),1)*IF(Upgrades!$T$10="Stellar Coupling",POWER(Upgrades!$U$10,I305),1)*IF(Upgrades!$T$11="Stellar Coupling",POWER(Upgrades!$U$11,J305),1)*IF(Upgrades!$T$12="Stellar Coupling",POWER(Upgrades!$U$12,K305),1))*Parameters!$B$10*Parameters!$B$11/60/AI305,0)</f>
        <v/>
      </c>
      <c r="AV305" s="32">
        <f>IFERROR(Upgrades!$H$9*(POWER(Upgrades!$P$6,E305)*POWER(Upgrades!$P$7,F305)*POWER(Upgrades!$P$8,G305)*POWER(Upgrades!$P$9,H305)*POWER(Upgrades!$P$10,I305)*POWER(Upgrades!$P$11,J305)*POWER(Upgrades!$P$12,K305))*(IF(Upgrades!$T$6="Magnetosphere",POWER(Upgrades!$U$6,E305),1)*IF(Upgrades!$T$7="Magnetosphere",POWER(Upgrades!$U$7,F305),1)*IF(Upgrades!$T$8="Magnetosphere",POWER(Upgrades!$U$8,G305),1)*IF(Upgrades!$T$10="Magnetosphere",POWER(Upgrades!$U$10,I305),1)*IF(Upgrades!$T$11="Magnetosphere",POWER(Upgrades!$U$11,J305),1)*IF(Upgrades!$T$12="Magnetosphere",POWER(Upgrades!$U$12,K305),1))/AJ305,0)</f>
        <v/>
      </c>
      <c r="AW305" s="32">
        <f>MAX(IF(I305&gt;0,0,IFERROR(0.25*N305/Upgrades!$C$10,0)),IF(J305&gt;0,0,IFERROR(0.5*((IF(G305=0,0,(Upgrades!$J$8+G305*Upgrades!$K$8)*POWER(Upgrades!$L$8,G305)))*(IF(Upgrades!$T$6="Stellar Coupling",POWER(Upgrades!$U$6,E305),1)*IF(Upgrades!$T$7="Stellar Coupling",POWER(Upgrades!$U$7,F305),1)*IF(Upgrades!$T$9="Stellar Coupling",POWER(Upgrades!$U$9,H305),1)*IF(Upgrades!$T$10="Stellar Coupling",POWER(Upgrades!$U$10,I305),1)*IF(Upgrades!$T$11="Stellar Coupling",POWER(Upgrades!$U$11,J305),1)*IF(Upgrades!$T$12="Stellar Coupling",POWER(Upgrades!$U$12,K305),1))*(POWER(Upgrades!$Q$6,E305)*POWER(Upgrades!$Q$7,F305)*POWER(Upgrades!$Q$8,G305)*POWER(Upgrades!$Q$9,H305)*POWER(Upgrades!$Q$10,I305)*POWER(Upgrades!$Q$11,J305)*POWER(Upgrades!$Q$12,K305))*Parameters!$B$10*Parameters!$B$11/60)/Upgrades!$C$11,0)),IF(K305&gt;0,0,IFERROR((1.0*(POWER(Upgrades!$P$6,E305)*POWER(Upgrades!$P$7,F305)*POWER(Upgrades!$P$8,G305)*POWER(Upgrades!$P$9,H305)*POWER(Upgrades!$P$10,I305)*POWER(Upgrades!$P$11,J305)*POWER(Upgrades!$P$12,K305))+0.20*M305*Parameters!$B$10*Parameters!$B$11/60)/Upgrades!$C$12,0)),IF(AND(ISNUMBER(AG305),AG305&gt;T305),AS305,0),IF(AND(ISNUMBER(AH305),AH305&gt;T305),AT305,0),IF(AND(ISNUMBER(AI305),AI305&gt;T305),AU305,0),IF(AND(ISNUMBER(AJ305),AJ305&gt;T305),AV305,0))</f>
        <v/>
      </c>
      <c r="AX305" s="29">
        <f>IF(AN305=1,"transition",IF(MIN(IF(AND(I305=0,ISNUMBER(AK305),AK305&lt;=T305),AK305,9E15),IF(AND(J305=0,ISNUMBER(AL305),AL305&lt;=T305),AL305,9E15),IF(AND(K305=0,ISNUMBER(AM305),AM305&lt;=T305),AM305,9E15))&lt;9E15,IF(AND(AND(I305=0,ISNUMBER(AK305),AK305&lt;=T305),AK305=MIN(IF(AND(I305=0,ISNUMBER(AK305),AK305&lt;=T305),AK305,9E15),IF(AND(J305=0,ISNUMBER(AL305),AL305&lt;=T305),AL305,9E15),IF(AND(K305=0,ISNUMBER(AM305),AM305&lt;=T305),AM305,9E15))),"OR",IF(AND(AND(J305=0,ISNUMBER(AL305),AL305&lt;=T305),AL305=MIN(IF(AND(I305=0,ISNUMBER(AK305),AK305&lt;=T305),AK305,9E15),IF(AND(J305=0,ISNUMBER(AL305),AL305&lt;=T305),AL305,9E15),IF(AND(K305=0,ISNUMBER(AM305),AM305&lt;=T305),AM305,9E15))),"HP","FP")),IF(AR305=TRUE,"",IF(MAX(IF(AND(NOT(AND(AO305=1,AN305&lt;&gt;1)),ISNUMBER(AG305),AG305&lt;=T305),AS305,0),IF(AND(NOT(AND(AO305=1,AN305&lt;&gt;1)),ISNUMBER(AH305),AH305&lt;=T305),AT305,0),IF(AND(NOT(AND(AO305=1,AN305&lt;&gt;1)),ISNUMBER(AI305),AI305&lt;=T305),AU305,0),IF(AND(ISNUMBER(AJ305),AJ305&lt;=T305),AV305,0))&lt;=0,"",IF(AND(IF(AND(NOT(AND(AO305=1,AN305&lt;&gt;1)),ISNUMBER(AG305),AG305&lt;=T305),AS305,0)&gt;0,IF(AND(NOT(AND(AO305=1,AN305&lt;&gt;1)),ISNUMBER(AG305),AG305&lt;=T305),AS305,0)=MAX(IF(AND(NOT(AND(AO305=1,AN305&lt;&gt;1)),ISNUMBER(AG305),AG305&lt;=T305),AS305,0),IF(AND(NOT(AND(AO305=1,AN305&lt;&gt;1)),ISNUMBER(AH305),AH305&lt;=T305),AT305,0),IF(AND(NOT(AND(AO305=1,AN305&lt;&gt;1)),ISNUMBER(AI305),AI305&lt;=T305),AU305,0),IF(AND(ISNUMBER(AJ305),AJ305&lt;=T305),AV305,0))),"SW",IF(AND(IF(AND(NOT(AND(AO305=1,AN305&lt;&gt;1)),ISNUMBER(AH305),AH305&lt;=T305),AT305,0)&gt;0,IF(AND(NOT(AND(AO305=1,AN305&lt;&gt;1)),ISNUMBER(AH305),AH305&lt;=T305),AT305,0)=MAX(IF(AND(NOT(AND(AO305=1,AN305&lt;&gt;1)),ISNUMBER(AG305),AG305&lt;=T305),AS305,0),IF(AND(NOT(AND(AO305=1,AN305&lt;&gt;1)),ISNUMBER(AH305),AH305&lt;=T305),AT305,0),IF(AND(NOT(AND(AO305=1,AN305&lt;&gt;1)),ISNUMBER(AI305),AI305&lt;=T305),AU305,0),IF(AND(ISNUMBER(AJ305),AJ305&lt;=T305),AV305,0))),"AB",IF(AND(IF(AND(NOT(AND(AO305=1,AN305&lt;&gt;1)),ISNUMBER(AI305),AI305&lt;=T305),AU305,0)&gt;0,IF(AND(NOT(AND(AO305=1,AN305&lt;&gt;1)),ISNUMBER(AI305),AI305&lt;=T305),AU305,0)=MAX(IF(AND(NOT(AND(AO305=1,AN305&lt;&gt;1)),ISNUMBER(AG305),AG305&lt;=T305),AS305,0),IF(AND(NOT(AND(AO305=1,AN305&lt;&gt;1)),ISNUMBER(AH305),AH305&lt;=T305),AT305,0),IF(AND(NOT(AND(AO305=1,AN305&lt;&gt;1)),ISNUMBER(AI305),AI305&lt;=T305),AU305,0),IF(AND(ISNUMBER(AJ305),AJ305&lt;=T305),AV305,0))),"SC","Mag")))))))</f>
        <v/>
      </c>
    </row>
    <row r="306">
      <c r="A306" s="26" t="n">
        <v>301</v>
      </c>
      <c r="B306" s="27">
        <f>A306*10/60</f>
        <v/>
      </c>
      <c r="C306" s="22">
        <f>X305</f>
        <v/>
      </c>
      <c r="D306" s="27">
        <f>D305+W305</f>
        <v/>
      </c>
      <c r="E306" s="26">
        <f>E305+IF(U305="SW",1,0)</f>
        <v/>
      </c>
      <c r="F306" s="26">
        <f>F305+IF(U305="AB",1,0)</f>
        <v/>
      </c>
      <c r="G306" s="26">
        <f>G305+IF(U305="SC",1,0)</f>
        <v/>
      </c>
      <c r="H306" s="26">
        <f>H305+IF(U305="Mag",1,0)</f>
        <v/>
      </c>
      <c r="I306" s="26">
        <f>MAX(I305,IF(U305="OR",1,0))</f>
        <v/>
      </c>
      <c r="J306" s="26">
        <f>MAX(J305,IF(U305="HP",1,0))</f>
        <v/>
      </c>
      <c r="K306" s="26">
        <f>MAX(K305,IF(U305="FP",1,0))</f>
        <v/>
      </c>
      <c r="L306" s="26">
        <f>MAX(L305,IF(U305="transition",1,0))</f>
        <v/>
      </c>
      <c r="M306" s="28">
        <f>(Parameters!$B$9+(IF(E306=0,0,(Upgrades!$J$6+E306*Upgrades!$K$6)*POWER(Upgrades!$L$6,E306)))*(IF(Upgrades!$T$7="Solar Wind",POWER(Upgrades!$U$7,F306),1)*IF(Upgrades!$T$8="Solar Wind",POWER(Upgrades!$U$8,G306),1)*IF(Upgrades!$T$9="Solar Wind",POWER(Upgrades!$U$9,H306),1)*IF(Upgrades!$T$10="Solar Wind",POWER(Upgrades!$U$10,I306),1)*IF(Upgrades!$T$11="Solar Wind",POWER(Upgrades!$U$11,J306),1)*IF(Upgrades!$T$12="Solar Wind",POWER(Upgrades!$U$12,K306),1))+(IF(F306=0,0,(Upgrades!$J$7+F306*Upgrades!$K$7)*POWER(Upgrades!$L$7,F306)))*(IF(Upgrades!$T$6="Asteroid Belt",POWER(Upgrades!$U$6,E306),1)*IF(Upgrades!$T$8="Asteroid Belt",POWER(Upgrades!$U$8,G306),1)*IF(Upgrades!$T$9="Asteroid Belt",POWER(Upgrades!$U$9,H306),1)*IF(Upgrades!$T$10="Asteroid Belt",POWER(Upgrades!$U$10,I306),1)*IF(Upgrades!$T$11="Asteroid Belt",POWER(Upgrades!$U$11,J306),1)*IF(Upgrades!$T$12="Asteroid Belt",POWER(Upgrades!$U$12,K306),1))+(IF(G306=0,0,(Upgrades!$J$8+G306*Upgrades!$K$8)*POWER(Upgrades!$L$8,G306)))*(IF(Upgrades!$T$6="Stellar Coupling",POWER(Upgrades!$U$6,E306),1)*IF(Upgrades!$T$7="Stellar Coupling",POWER(Upgrades!$U$7,F306),1)*IF(Upgrades!$T$9="Stellar Coupling",POWER(Upgrades!$U$9,H306),1)*IF(Upgrades!$T$10="Stellar Coupling",POWER(Upgrades!$U$10,I306),1)*IF(Upgrades!$T$11="Stellar Coupling",POWER(Upgrades!$U$11,J306),1)*IF(Upgrades!$T$12="Stellar Coupling",POWER(Upgrades!$U$12,K306),1))+(IF(H306=0,0,(Upgrades!$J$9+H306*Upgrades!$K$9)*POWER(Upgrades!$L$9,H306)))*(IF(Upgrades!$T$6="Magnetosphere",POWER(Upgrades!$U$6,E306),1)*IF(Upgrades!$T$7="Magnetosphere",POWER(Upgrades!$U$7,F306),1)*IF(Upgrades!$T$8="Magnetosphere",POWER(Upgrades!$U$8,G306),1)*IF(Upgrades!$T$10="Magnetosphere",POWER(Upgrades!$U$10,I306),1)*IF(Upgrades!$T$11="Magnetosphere",POWER(Upgrades!$U$11,J306),1)*IF(Upgrades!$T$12="Magnetosphere",POWER(Upgrades!$U$12,K306),1))+(IF(I306=0,0,(Upgrades!$J$10+I306*Upgrades!$K$10)*POWER(Upgrades!$L$10,I306)))*(IF(Upgrades!$T$6="Orbital Resonance",POWER(Upgrades!$U$6,E306),1)*IF(Upgrades!$T$7="Orbital Resonance",POWER(Upgrades!$U$7,F306),1)*IF(Upgrades!$T$8="Orbital Resonance",POWER(Upgrades!$U$8,G306),1)*IF(Upgrades!$T$9="Orbital Resonance",POWER(Upgrades!$U$9,H306),1)*IF(Upgrades!$T$11="Orbital Resonance",POWER(Upgrades!$U$11,J306),1)*IF(Upgrades!$T$12="Orbital Resonance",POWER(Upgrades!$U$12,K306),1))+(IF(J306=0,0,(Upgrades!$J$11+J306*Upgrades!$K$11)*POWER(Upgrades!$L$11,J306)))*(IF(Upgrades!$T$6="Heliopause",POWER(Upgrades!$U$6,E306),1)*IF(Upgrades!$T$7="Heliopause",POWER(Upgrades!$U$7,F306),1)*IF(Upgrades!$T$8="Heliopause",POWER(Upgrades!$U$8,G306),1)*IF(Upgrades!$T$9="Heliopause",POWER(Upgrades!$U$9,H306),1)*IF(Upgrades!$T$10="Heliopause",POWER(Upgrades!$U$10,I306),1)*IF(Upgrades!$T$12="Heliopause",POWER(Upgrades!$U$12,K306),1))+(IF(K306=0,0,(Upgrades!$J$12+K306*Upgrades!$K$12)*POWER(Upgrades!$L$12,K306)))*(IF(Upgrades!$T$6="First Photons",POWER(Upgrades!$U$6,E306),1)*IF(Upgrades!$T$7="First Photons",POWER(Upgrades!$U$7,F306),1)*IF(Upgrades!$T$8="First Photons",POWER(Upgrades!$U$8,G306),1)*IF(Upgrades!$T$9="First Photons",POWER(Upgrades!$U$9,H306),1)*IF(Upgrades!$T$10="First Photons",POWER(Upgrades!$U$10,I306),1)*IF(Upgrades!$T$11="First Photons",POWER(Upgrades!$U$11,J306),1)))*POWER(Upgrades!$Q$6,E306)*POWER(Upgrades!$Q$7,F306)*POWER(Upgrades!$Q$8,G306)*POWER(Upgrades!$Q$9,H306)*POWER(Upgrades!$Q$10,I306)*POWER(Upgrades!$Q$11,J306)*POWER(Upgrades!$Q$12,K306)</f>
        <v/>
      </c>
      <c r="N306" s="28">
        <f>((IF(E306=0,0,(Upgrades!$G$6+E306*Upgrades!$H$6)*POWER(Upgrades!$I$6,E306)))*(IF(Upgrades!$T$7="Solar Wind",POWER(Upgrades!$U$7,F306),1)*IF(Upgrades!$T$8="Solar Wind",POWER(Upgrades!$U$8,G306),1)*IF(Upgrades!$T$9="Solar Wind",POWER(Upgrades!$U$9,H306),1)*IF(Upgrades!$T$10="Solar Wind",POWER(Upgrades!$U$10,I306),1)*IF(Upgrades!$T$11="Solar Wind",POWER(Upgrades!$U$11,J306),1)*IF(Upgrades!$T$12="Solar Wind",POWER(Upgrades!$U$12,K306),1))+(IF(F306=0,0,(Upgrades!$G$7+F306*Upgrades!$H$7)*POWER(Upgrades!$I$7,F306)))*(IF(Upgrades!$T$6="Asteroid Belt",POWER(Upgrades!$U$6,E306),1)*IF(Upgrades!$T$8="Asteroid Belt",POWER(Upgrades!$U$8,G306),1)*IF(Upgrades!$T$9="Asteroid Belt",POWER(Upgrades!$U$9,H306),1)*IF(Upgrades!$T$10="Asteroid Belt",POWER(Upgrades!$U$10,I306),1)*IF(Upgrades!$T$11="Asteroid Belt",POWER(Upgrades!$U$11,J306),1)*IF(Upgrades!$T$12="Asteroid Belt",POWER(Upgrades!$U$12,K306),1))+(IF(G306=0,0,(Upgrades!$G$8+G306*Upgrades!$H$8)*POWER(Upgrades!$I$8,G306)))*(IF(Upgrades!$T$6="Stellar Coupling",POWER(Upgrades!$U$6,E306),1)*IF(Upgrades!$T$7="Stellar Coupling",POWER(Upgrades!$U$7,F306),1)*IF(Upgrades!$T$9="Stellar Coupling",POWER(Upgrades!$U$9,H306),1)*IF(Upgrades!$T$10="Stellar Coupling",POWER(Upgrades!$U$10,I306),1)*IF(Upgrades!$T$11="Stellar Coupling",POWER(Upgrades!$U$11,J306),1)*IF(Upgrades!$T$12="Stellar Coupling",POWER(Upgrades!$U$12,K306),1))+(IF(H306=0,0,(Upgrades!$G$9+H306*Upgrades!$H$9)*POWER(Upgrades!$I$9,H306)))*(IF(Upgrades!$T$6="Magnetosphere",POWER(Upgrades!$U$6,E306),1)*IF(Upgrades!$T$7="Magnetosphere",POWER(Upgrades!$U$7,F306),1)*IF(Upgrades!$T$8="Magnetosphere",POWER(Upgrades!$U$8,G306),1)*IF(Upgrades!$T$10="Magnetosphere",POWER(Upgrades!$U$10,I306),1)*IF(Upgrades!$T$11="Magnetosphere",POWER(Upgrades!$U$11,J306),1)*IF(Upgrades!$T$12="Magnetosphere",POWER(Upgrades!$U$12,K306),1))+(IF(I306=0,0,(Upgrades!$G$10+I306*Upgrades!$H$10)*POWER(Upgrades!$I$10,I306)))*(IF(Upgrades!$T$6="Orbital Resonance",POWER(Upgrades!$U$6,E306),1)*IF(Upgrades!$T$7="Orbital Resonance",POWER(Upgrades!$U$7,F306),1)*IF(Upgrades!$T$8="Orbital Resonance",POWER(Upgrades!$U$8,G306),1)*IF(Upgrades!$T$9="Orbital Resonance",POWER(Upgrades!$U$9,H306),1)*IF(Upgrades!$T$11="Orbital Resonance",POWER(Upgrades!$U$11,J306),1)*IF(Upgrades!$T$12="Orbital Resonance",POWER(Upgrades!$U$12,K306),1))+(IF(J306=0,0,(Upgrades!$G$11+J306*Upgrades!$H$11)*POWER(Upgrades!$I$11,J306)))*(IF(Upgrades!$T$6="Heliopause",POWER(Upgrades!$U$6,E306),1)*IF(Upgrades!$T$7="Heliopause",POWER(Upgrades!$U$7,F306),1)*IF(Upgrades!$T$8="Heliopause",POWER(Upgrades!$U$8,G306),1)*IF(Upgrades!$T$9="Heliopause",POWER(Upgrades!$U$9,H306),1)*IF(Upgrades!$T$10="Heliopause",POWER(Upgrades!$U$10,I306),1)*IF(Upgrades!$T$12="Heliopause",POWER(Upgrades!$U$12,K306),1))+(IF(K306=0,0,(Upgrades!$G$12+K306*Upgrades!$H$12)*POWER(Upgrades!$I$12,K306)))*(IF(Upgrades!$T$6="First Photons",POWER(Upgrades!$U$6,E306),1)*IF(Upgrades!$T$7="First Photons",POWER(Upgrades!$U$7,F306),1)*IF(Upgrades!$T$8="First Photons",POWER(Upgrades!$U$8,G306),1)*IF(Upgrades!$T$9="First Photons",POWER(Upgrades!$U$9,H306),1)*IF(Upgrades!$T$10="First Photons",POWER(Upgrades!$U$10,I306),1)*IF(Upgrades!$T$11="First Photons",POWER(Upgrades!$U$11,J306),1)))*POWER(Upgrades!$P$6,E306)*POWER(Upgrades!$P$7,F306)*POWER(Upgrades!$P$8,G306)*POWER(Upgrades!$P$9,H306)*POWER(Upgrades!$P$10,I306)*POWER(Upgrades!$P$11,J306)*POWER(Upgrades!$P$12,K306)</f>
        <v/>
      </c>
      <c r="O306" s="28">
        <f>((IF(E306=0,0,(Upgrades!$M$6+E306*Upgrades!$N$6)*POWER(Upgrades!$O$6,E306)))*(IF(Upgrades!$T$7="Solar Wind",POWER(Upgrades!$U$7,F306),1)*IF(Upgrades!$T$8="Solar Wind",POWER(Upgrades!$U$8,G306),1)*IF(Upgrades!$T$9="Solar Wind",POWER(Upgrades!$U$9,H306),1)*IF(Upgrades!$T$10="Solar Wind",POWER(Upgrades!$U$10,I306),1)*IF(Upgrades!$T$11="Solar Wind",POWER(Upgrades!$U$11,J306),1)*IF(Upgrades!$T$12="Solar Wind",POWER(Upgrades!$U$12,K306),1))+(IF(F306=0,0,(Upgrades!$M$7+F306*Upgrades!$N$7)*POWER(Upgrades!$O$7,F306)))*(IF(Upgrades!$T$6="Asteroid Belt",POWER(Upgrades!$U$6,E306),1)*IF(Upgrades!$T$8="Asteroid Belt",POWER(Upgrades!$U$8,G306),1)*IF(Upgrades!$T$9="Asteroid Belt",POWER(Upgrades!$U$9,H306),1)*IF(Upgrades!$T$10="Asteroid Belt",POWER(Upgrades!$U$10,I306),1)*IF(Upgrades!$T$11="Asteroid Belt",POWER(Upgrades!$U$11,J306),1)*IF(Upgrades!$T$12="Asteroid Belt",POWER(Upgrades!$U$12,K306),1))+(IF(G306=0,0,(Upgrades!$M$8+G306*Upgrades!$N$8)*POWER(Upgrades!$O$8,G306)))*(IF(Upgrades!$T$6="Stellar Coupling",POWER(Upgrades!$U$6,E306),1)*IF(Upgrades!$T$7="Stellar Coupling",POWER(Upgrades!$U$7,F306),1)*IF(Upgrades!$T$9="Stellar Coupling",POWER(Upgrades!$U$9,H306),1)*IF(Upgrades!$T$10="Stellar Coupling",POWER(Upgrades!$U$10,I306),1)*IF(Upgrades!$T$11="Stellar Coupling",POWER(Upgrades!$U$11,J306),1)*IF(Upgrades!$T$12="Stellar Coupling",POWER(Upgrades!$U$12,K306),1))+(IF(H306=0,0,(Upgrades!$M$9+H306*Upgrades!$N$9)*POWER(Upgrades!$O$9,H306)))*(IF(Upgrades!$T$6="Magnetosphere",POWER(Upgrades!$U$6,E306),1)*IF(Upgrades!$T$7="Magnetosphere",POWER(Upgrades!$U$7,F306),1)*IF(Upgrades!$T$8="Magnetosphere",POWER(Upgrades!$U$8,G306),1)*IF(Upgrades!$T$10="Magnetosphere",POWER(Upgrades!$U$10,I306),1)*IF(Upgrades!$T$11="Magnetosphere",POWER(Upgrades!$U$11,J306),1)*IF(Upgrades!$T$12="Magnetosphere",POWER(Upgrades!$U$12,K306),1))+(IF(I306=0,0,(Upgrades!$M$10+I306*Upgrades!$N$10)*POWER(Upgrades!$O$10,I306)))*(IF(Upgrades!$T$6="Orbital Resonance",POWER(Upgrades!$U$6,E306),1)*IF(Upgrades!$T$7="Orbital Resonance",POWER(Upgrades!$U$7,F306),1)*IF(Upgrades!$T$8="Orbital Resonance",POWER(Upgrades!$U$8,G306),1)*IF(Upgrades!$T$9="Orbital Resonance",POWER(Upgrades!$U$9,H306),1)*IF(Upgrades!$T$11="Orbital Resonance",POWER(Upgrades!$U$11,J306),1)*IF(Upgrades!$T$12="Orbital Resonance",POWER(Upgrades!$U$12,K306),1))+(IF(J306=0,0,(Upgrades!$M$11+J306*Upgrades!$N$11)*POWER(Upgrades!$O$11,J306)))*(IF(Upgrades!$T$6="Heliopause",POWER(Upgrades!$U$6,E306),1)*IF(Upgrades!$T$7="Heliopause",POWER(Upgrades!$U$7,F306),1)*IF(Upgrades!$T$8="Heliopause",POWER(Upgrades!$U$8,G306),1)*IF(Upgrades!$T$9="Heliopause",POWER(Upgrades!$U$9,H306),1)*IF(Upgrades!$T$10="Heliopause",POWER(Upgrades!$U$10,I306),1)*IF(Upgrades!$T$12="Heliopause",POWER(Upgrades!$U$12,K306),1))+(IF(K306=0,0,(Upgrades!$M$12+K306*Upgrades!$N$12)*POWER(Upgrades!$O$12,K306)))*(IF(Upgrades!$T$6="First Photons",POWER(Upgrades!$U$6,E306),1)*IF(Upgrades!$T$7="First Photons",POWER(Upgrades!$U$7,F306),1)*IF(Upgrades!$T$8="First Photons",POWER(Upgrades!$U$8,G306),1)*IF(Upgrades!$T$9="First Photons",POWER(Upgrades!$U$9,H306),1)*IF(Upgrades!$T$10="First Photons",POWER(Upgrades!$U$10,I306),1)*IF(Upgrades!$T$11="First Photons",POWER(Upgrades!$U$11,J306),1)))*POWER(Upgrades!$R$6,E306)*POWER(Upgrades!$R$7,F306)*POWER(Upgrades!$R$8,G306)*POWER(Upgrades!$R$9,H306)*POWER(Upgrades!$R$10,I306)*POWER(Upgrades!$R$11,J306)*POWER(Upgrades!$R$12,K306)</f>
        <v/>
      </c>
      <c r="P306" s="27">
        <f>IF(L306=1,0,M306*Parameters!$B$10/60*Parameters!$B$11*10)</f>
        <v/>
      </c>
      <c r="Q306" s="27">
        <f>IF(L306=1,0,O306*M306*10)</f>
        <v/>
      </c>
      <c r="R306" s="27">
        <f>IF(L306=1,0,N306*10)</f>
        <v/>
      </c>
      <c r="S306" s="27">
        <f>P306+Q306+R306</f>
        <v/>
      </c>
      <c r="T306" s="22">
        <f>C306+S306</f>
        <v/>
      </c>
      <c r="U306" s="33">
        <f>AX306</f>
        <v/>
      </c>
      <c r="V306" s="22">
        <f>IF(U306="",0,IF(U306="transition",0,IF(U306="SW",AG306,IF(U306="AB",AH306,IF(U306="SC",AI306,IF(U306="Mag",AJ306,IF(U306="OR",AK306,IF(U306="HP",AL306,IF(U306="FP",AM306,0)))))))))</f>
        <v/>
      </c>
      <c r="W306" s="27">
        <f>IF(U306="OR",Upgrades!$F$10,IF(U306="HP",Upgrades!$F$11,IF(U306="transition",-Parameters!$B$18,0)))</f>
        <v/>
      </c>
      <c r="X306" s="22">
        <f>T306-V306</f>
        <v/>
      </c>
      <c r="Y306" s="30">
        <f>M306*Parameters!$B$10/60*Parameters!$B$11+O306*M306+N306</f>
        <v/>
      </c>
      <c r="Z306" s="34">
        <f>IF(U306="transition","→ Tier 2 (Stellar Neighborhood)",IF(U306="FP","First Photons — light begins, system quickens",IF(U306="HP","Heliopause acquired",IF(U306="OR","Orbital Resonance — passive multiplier active",IF(AND(AO306=1,L306=0,AN306&lt;&gt;1),"Cohesion ready (waiting on completionist upgrades)","")))))</f>
        <v/>
      </c>
      <c r="AA306" s="27">
        <f>(IF(E306=0,0,(Upgrades!$G$6+E306*Upgrades!$H$6)*POWER(Upgrades!$I$6,E306)))*(IF(Upgrades!$T$7="Solar Wind",POWER(Upgrades!$U$7,F306),1)*IF(Upgrades!$T$8="Solar Wind",POWER(Upgrades!$U$8,G306),1)*IF(Upgrades!$T$9="Solar Wind",POWER(Upgrades!$U$9,H306),1)*IF(Upgrades!$T$10="Solar Wind",POWER(Upgrades!$U$10,I306),1)*IF(Upgrades!$T$11="Solar Wind",POWER(Upgrades!$U$11,J306),1)*IF(Upgrades!$T$12="Solar Wind",POWER(Upgrades!$U$12,K306),1))*POWER(Upgrades!$P$6,E306)*POWER(Upgrades!$P$7,F306)*POWER(Upgrades!$P$8,G306)*POWER(Upgrades!$P$9,H306)*POWER(Upgrades!$P$10,I306)*POWER(Upgrades!$P$11,J306)*POWER(Upgrades!$P$12,K306)*60</f>
        <v/>
      </c>
      <c r="AB306" s="27">
        <f>(IF(F306=0,0,(Upgrades!$G$7+F306*Upgrades!$H$7)*POWER(Upgrades!$I$7,F306)))*(IF(Upgrades!$T$6="Asteroid Belt",POWER(Upgrades!$U$6,E306),1)*IF(Upgrades!$T$8="Asteroid Belt",POWER(Upgrades!$U$8,G306),1)*IF(Upgrades!$T$9="Asteroid Belt",POWER(Upgrades!$U$9,H306),1)*IF(Upgrades!$T$10="Asteroid Belt",POWER(Upgrades!$U$10,I306),1)*IF(Upgrades!$T$11="Asteroid Belt",POWER(Upgrades!$U$11,J306),1)*IF(Upgrades!$T$12="Asteroid Belt",POWER(Upgrades!$U$12,K306),1))*POWER(Upgrades!$P$6,E306)*POWER(Upgrades!$P$7,F306)*POWER(Upgrades!$P$8,G306)*POWER(Upgrades!$P$9,H306)*POWER(Upgrades!$P$10,I306)*POWER(Upgrades!$P$11,J306)*POWER(Upgrades!$P$12,K306)*60</f>
        <v/>
      </c>
      <c r="AC306" s="27">
        <f>(IF(G306=0,0,(Upgrades!$J$8+G306*Upgrades!$K$8)*POWER(Upgrades!$L$8,G306)))*(IF(Upgrades!$T$6="Stellar Coupling",POWER(Upgrades!$U$6,E306),1)*IF(Upgrades!$T$7="Stellar Coupling",POWER(Upgrades!$U$7,F306),1)*IF(Upgrades!$T$9="Stellar Coupling",POWER(Upgrades!$U$9,H306),1)*IF(Upgrades!$T$10="Stellar Coupling",POWER(Upgrades!$U$10,I306),1)*IF(Upgrades!$T$11="Stellar Coupling",POWER(Upgrades!$U$11,J306),1)*IF(Upgrades!$T$12="Stellar Coupling",POWER(Upgrades!$U$12,K306),1))*POWER(Upgrades!$Q$6,E306)*POWER(Upgrades!$Q$7,F306)*POWER(Upgrades!$Q$8,G306)*POWER(Upgrades!$Q$9,H306)*POWER(Upgrades!$Q$10,I306)*POWER(Upgrades!$Q$11,J306)*POWER(Upgrades!$Q$12,K306)*Parameters!$B$10*Parameters!$B$11</f>
        <v/>
      </c>
      <c r="AD306" s="27">
        <f>(IF(H306=0,0,(Upgrades!$G$9+H306*Upgrades!$H$9)*POWER(Upgrades!$I$9,H306)))*(IF(Upgrades!$T$6="Magnetosphere",POWER(Upgrades!$U$6,E306),1)*IF(Upgrades!$T$7="Magnetosphere",POWER(Upgrades!$U$7,F306),1)*IF(Upgrades!$T$8="Magnetosphere",POWER(Upgrades!$U$8,G306),1)*IF(Upgrades!$T$10="Magnetosphere",POWER(Upgrades!$U$10,I306),1)*IF(Upgrades!$T$11="Magnetosphere",POWER(Upgrades!$U$11,J306),1)*IF(Upgrades!$T$12="Magnetosphere",POWER(Upgrades!$U$12,K306),1))*POWER(Upgrades!$P$6,E306)*POWER(Upgrades!$P$7,F306)*POWER(Upgrades!$P$8,G306)*POWER(Upgrades!$P$9,H306)*POWER(Upgrades!$P$10,I306)*POWER(Upgrades!$P$11,J306)*POWER(Upgrades!$P$12,K306)*60</f>
        <v/>
      </c>
      <c r="AE306" s="27">
        <f>(IF(K306=0,0,(Upgrades!$G$12+K306*Upgrades!$H$12)*POWER(Upgrades!$I$12,K306)))*(IF(Upgrades!$T$6="First Photons",POWER(Upgrades!$U$6,E306),1)*IF(Upgrades!$T$7="First Photons",POWER(Upgrades!$U$7,F306),1)*IF(Upgrades!$T$8="First Photons",POWER(Upgrades!$U$8,G306),1)*IF(Upgrades!$T$9="First Photons",POWER(Upgrades!$U$9,H306),1)*IF(Upgrades!$T$10="First Photons",POWER(Upgrades!$U$10,I306),1)*IF(Upgrades!$T$11="First Photons",POWER(Upgrades!$U$11,J306),1))*POWER(Upgrades!$P$6,E306)*POWER(Upgrades!$P$7,F306)*POWER(Upgrades!$P$8,G306)*POWER(Upgrades!$P$9,H306)*POWER(Upgrades!$P$10,I306)*POWER(Upgrades!$P$11,J306)*POWER(Upgrades!$P$12,K306)*60</f>
        <v/>
      </c>
      <c r="AF306" s="27">
        <f>Parameters!$B$9*POWER(Upgrades!$Q$6,E306)*POWER(Upgrades!$Q$7,F306)*POWER(Upgrades!$Q$8,G306)*POWER(Upgrades!$Q$9,H306)*POWER(Upgrades!$Q$10,I306)*POWER(Upgrades!$Q$11,J306)*POWER(Upgrades!$Q$12,K306)*(Parameters!$B$10*Parameters!$B$11+O306*60)</f>
        <v/>
      </c>
      <c r="AG306" s="22">
        <f>IF(E306&gt;=Upgrades!$E$6,"",Upgrades!$C$6*POWER(Upgrades!$D$6,E306))</f>
        <v/>
      </c>
      <c r="AH306" s="22">
        <f>IF(F306&gt;=Upgrades!$E$7,"",Upgrades!$C$7*POWER(Upgrades!$D$7,F306))</f>
        <v/>
      </c>
      <c r="AI306" s="22">
        <f>IF(G306&gt;=Upgrades!$E$8,"",Upgrades!$C$8*POWER(Upgrades!$D$8,G306))</f>
        <v/>
      </c>
      <c r="AJ306" s="22">
        <f>IF(H306&gt;=Upgrades!$E$9,"",Upgrades!$C$9*POWER(Upgrades!$D$9,H306))</f>
        <v/>
      </c>
      <c r="AK306" s="22">
        <f>IF(I306&gt;=Upgrades!$E$10,"",Upgrades!$C$10*POWER(Upgrades!$D$10,I306))</f>
        <v/>
      </c>
      <c r="AL306" s="22">
        <f>IF(J306&gt;=Upgrades!$E$11,"",Upgrades!$C$11*POWER(Upgrades!$D$11,J306))</f>
        <v/>
      </c>
      <c r="AM306" s="22">
        <f>IF(K306&gt;=Upgrades!$E$12,"",Upgrades!$C$12*POWER(Upgrades!$D$12,K306))</f>
        <v/>
      </c>
      <c r="AN306" s="26">
        <f>IF(AND(D306&gt;=Parameters!$B$18,(H306&gt;=Upgrades!$E$9)*(K306&gt;=Upgrades!$E$12)=1,L306=0),1,"")</f>
        <v/>
      </c>
      <c r="AO306" s="26">
        <f>IF(AND(D306&gt;=Parameters!$B$18,L306=0),1,"")</f>
        <v/>
      </c>
      <c r="AP306" s="22">
        <f>MIN(IF(ISNUMBER(AK306),AK306,9E15),IF(ISNUMBER(AL306),AL306,9E15),IF(ISNUMBER(AM306),AM306,9E15))</f>
        <v/>
      </c>
      <c r="AQ306" s="22">
        <f>MIN(IF(ISNUMBER(AG306),AG306,9E15),IF(ISNUMBER(AH306),AH306,9E15),IF(ISNUMBER(AI306),AI306,9E15),IF(ISNUMBER(AJ306),AJ306,9E15))</f>
        <v/>
      </c>
      <c r="AR306" s="29">
        <f>IF(AW306&gt;Parameters!$B$21*(MAX(IF(AND(NOT(AND(AO306=1,AN306&lt;&gt;1)),ISNUMBER(AG306),AG306&lt;=T306),AS306,0),IF(AND(NOT(AND(AO306=1,AN306&lt;&gt;1)),ISNUMBER(AH306),AH306&lt;=T306),AT306,0),IF(AND(NOT(AND(AO306=1,AN306&lt;&gt;1)),ISNUMBER(AI306),AI306&lt;=T306),AU306,0),IF(AND(ISNUMBER(AJ306),AJ306&lt;=T306),AV306,0))),TRUE,FALSE)</f>
        <v/>
      </c>
      <c r="AS306" s="32">
        <f>IFERROR(Upgrades!$H$6*(POWER(Upgrades!$P$6,E306)*POWER(Upgrades!$P$7,F306)*POWER(Upgrades!$P$8,G306)*POWER(Upgrades!$P$9,H306)*POWER(Upgrades!$P$10,I306)*POWER(Upgrades!$P$11,J306)*POWER(Upgrades!$P$12,K306))*(IF(Upgrades!$T$7="Solar Wind",POWER(Upgrades!$U$7,F306),1)*IF(Upgrades!$T$8="Solar Wind",POWER(Upgrades!$U$8,G306),1)*IF(Upgrades!$T$9="Solar Wind",POWER(Upgrades!$U$9,H306),1)*IF(Upgrades!$T$10="Solar Wind",POWER(Upgrades!$U$10,I306),1)*IF(Upgrades!$T$11="Solar Wind",POWER(Upgrades!$U$11,J306),1)*IF(Upgrades!$T$12="Solar Wind",POWER(Upgrades!$U$12,K306),1))/AG306,0)</f>
        <v/>
      </c>
      <c r="AT306" s="32">
        <f>IFERROR(Upgrades!$H$7*(POWER(Upgrades!$P$6,E306)*POWER(Upgrades!$P$7,F306)*POWER(Upgrades!$P$8,G306)*POWER(Upgrades!$P$9,H306)*POWER(Upgrades!$P$10,I306)*POWER(Upgrades!$P$11,J306)*POWER(Upgrades!$P$12,K306))*(IF(Upgrades!$T$6="Asteroid Belt",POWER(Upgrades!$U$6,E306),1)*IF(Upgrades!$T$8="Asteroid Belt",POWER(Upgrades!$U$8,G306),1)*IF(Upgrades!$T$9="Asteroid Belt",POWER(Upgrades!$U$9,H306),1)*IF(Upgrades!$T$10="Asteroid Belt",POWER(Upgrades!$U$10,I306),1)*IF(Upgrades!$T$11="Asteroid Belt",POWER(Upgrades!$U$11,J306),1)*IF(Upgrades!$T$12="Asteroid Belt",POWER(Upgrades!$U$12,K306),1))/AH306,0)</f>
        <v/>
      </c>
      <c r="AU306" s="32">
        <f>IFERROR(Upgrades!$K$8*(POWER(Upgrades!$Q$6,E306)*POWER(Upgrades!$Q$7,F306)*POWER(Upgrades!$Q$8,G306)*POWER(Upgrades!$Q$9,H306)*POWER(Upgrades!$Q$10,I306)*POWER(Upgrades!$Q$11,J306)*POWER(Upgrades!$Q$12,K306))*(IF(Upgrades!$T$6="Stellar Coupling",POWER(Upgrades!$U$6,E306),1)*IF(Upgrades!$T$7="Stellar Coupling",POWER(Upgrades!$U$7,F306),1)*IF(Upgrades!$T$9="Stellar Coupling",POWER(Upgrades!$U$9,H306),1)*IF(Upgrades!$T$10="Stellar Coupling",POWER(Upgrades!$U$10,I306),1)*IF(Upgrades!$T$11="Stellar Coupling",POWER(Upgrades!$U$11,J306),1)*IF(Upgrades!$T$12="Stellar Coupling",POWER(Upgrades!$U$12,K306),1))*Parameters!$B$10*Parameters!$B$11/60/AI306,0)</f>
        <v/>
      </c>
      <c r="AV306" s="32">
        <f>IFERROR(Upgrades!$H$9*(POWER(Upgrades!$P$6,E306)*POWER(Upgrades!$P$7,F306)*POWER(Upgrades!$P$8,G306)*POWER(Upgrades!$P$9,H306)*POWER(Upgrades!$P$10,I306)*POWER(Upgrades!$P$11,J306)*POWER(Upgrades!$P$12,K306))*(IF(Upgrades!$T$6="Magnetosphere",POWER(Upgrades!$U$6,E306),1)*IF(Upgrades!$T$7="Magnetosphere",POWER(Upgrades!$U$7,F306),1)*IF(Upgrades!$T$8="Magnetosphere",POWER(Upgrades!$U$8,G306),1)*IF(Upgrades!$T$10="Magnetosphere",POWER(Upgrades!$U$10,I306),1)*IF(Upgrades!$T$11="Magnetosphere",POWER(Upgrades!$U$11,J306),1)*IF(Upgrades!$T$12="Magnetosphere",POWER(Upgrades!$U$12,K306),1))/AJ306,0)</f>
        <v/>
      </c>
      <c r="AW306" s="32">
        <f>MAX(IF(I306&gt;0,0,IFERROR(0.25*N306/Upgrades!$C$10,0)),IF(J306&gt;0,0,IFERROR(0.5*((IF(G306=0,0,(Upgrades!$J$8+G306*Upgrades!$K$8)*POWER(Upgrades!$L$8,G306)))*(IF(Upgrades!$T$6="Stellar Coupling",POWER(Upgrades!$U$6,E306),1)*IF(Upgrades!$T$7="Stellar Coupling",POWER(Upgrades!$U$7,F306),1)*IF(Upgrades!$T$9="Stellar Coupling",POWER(Upgrades!$U$9,H306),1)*IF(Upgrades!$T$10="Stellar Coupling",POWER(Upgrades!$U$10,I306),1)*IF(Upgrades!$T$11="Stellar Coupling",POWER(Upgrades!$U$11,J306),1)*IF(Upgrades!$T$12="Stellar Coupling",POWER(Upgrades!$U$12,K306),1))*(POWER(Upgrades!$Q$6,E306)*POWER(Upgrades!$Q$7,F306)*POWER(Upgrades!$Q$8,G306)*POWER(Upgrades!$Q$9,H306)*POWER(Upgrades!$Q$10,I306)*POWER(Upgrades!$Q$11,J306)*POWER(Upgrades!$Q$12,K306))*Parameters!$B$10*Parameters!$B$11/60)/Upgrades!$C$11,0)),IF(K306&gt;0,0,IFERROR((1.0*(POWER(Upgrades!$P$6,E306)*POWER(Upgrades!$P$7,F306)*POWER(Upgrades!$P$8,G306)*POWER(Upgrades!$P$9,H306)*POWER(Upgrades!$P$10,I306)*POWER(Upgrades!$P$11,J306)*POWER(Upgrades!$P$12,K306))+0.20*M306*Parameters!$B$10*Parameters!$B$11/60)/Upgrades!$C$12,0)),IF(AND(ISNUMBER(AG306),AG306&gt;T306),AS306,0),IF(AND(ISNUMBER(AH306),AH306&gt;T306),AT306,0),IF(AND(ISNUMBER(AI306),AI306&gt;T306),AU306,0),IF(AND(ISNUMBER(AJ306),AJ306&gt;T306),AV306,0))</f>
        <v/>
      </c>
      <c r="AX306" s="29">
        <f>IF(AN306=1,"transition",IF(MIN(IF(AND(I306=0,ISNUMBER(AK306),AK306&lt;=T306),AK306,9E15),IF(AND(J306=0,ISNUMBER(AL306),AL306&lt;=T306),AL306,9E15),IF(AND(K306=0,ISNUMBER(AM306),AM306&lt;=T306),AM306,9E15))&lt;9E15,IF(AND(AND(I306=0,ISNUMBER(AK306),AK306&lt;=T306),AK306=MIN(IF(AND(I306=0,ISNUMBER(AK306),AK306&lt;=T306),AK306,9E15),IF(AND(J306=0,ISNUMBER(AL306),AL306&lt;=T306),AL306,9E15),IF(AND(K306=0,ISNUMBER(AM306),AM306&lt;=T306),AM306,9E15))),"OR",IF(AND(AND(J306=0,ISNUMBER(AL306),AL306&lt;=T306),AL306=MIN(IF(AND(I306=0,ISNUMBER(AK306),AK306&lt;=T306),AK306,9E15),IF(AND(J306=0,ISNUMBER(AL306),AL306&lt;=T306),AL306,9E15),IF(AND(K306=0,ISNUMBER(AM306),AM306&lt;=T306),AM306,9E15))),"HP","FP")),IF(AR306=TRUE,"",IF(MAX(IF(AND(NOT(AND(AO306=1,AN306&lt;&gt;1)),ISNUMBER(AG306),AG306&lt;=T306),AS306,0),IF(AND(NOT(AND(AO306=1,AN306&lt;&gt;1)),ISNUMBER(AH306),AH306&lt;=T306),AT306,0),IF(AND(NOT(AND(AO306=1,AN306&lt;&gt;1)),ISNUMBER(AI306),AI306&lt;=T306),AU306,0),IF(AND(ISNUMBER(AJ306),AJ306&lt;=T306),AV306,0))&lt;=0,"",IF(AND(IF(AND(NOT(AND(AO306=1,AN306&lt;&gt;1)),ISNUMBER(AG306),AG306&lt;=T306),AS306,0)&gt;0,IF(AND(NOT(AND(AO306=1,AN306&lt;&gt;1)),ISNUMBER(AG306),AG306&lt;=T306),AS306,0)=MAX(IF(AND(NOT(AND(AO306=1,AN306&lt;&gt;1)),ISNUMBER(AG306),AG306&lt;=T306),AS306,0),IF(AND(NOT(AND(AO306=1,AN306&lt;&gt;1)),ISNUMBER(AH306),AH306&lt;=T306),AT306,0),IF(AND(NOT(AND(AO306=1,AN306&lt;&gt;1)),ISNUMBER(AI306),AI306&lt;=T306),AU306,0),IF(AND(ISNUMBER(AJ306),AJ306&lt;=T306),AV306,0))),"SW",IF(AND(IF(AND(NOT(AND(AO306=1,AN306&lt;&gt;1)),ISNUMBER(AH306),AH306&lt;=T306),AT306,0)&gt;0,IF(AND(NOT(AND(AO306=1,AN306&lt;&gt;1)),ISNUMBER(AH306),AH306&lt;=T306),AT306,0)=MAX(IF(AND(NOT(AND(AO306=1,AN306&lt;&gt;1)),ISNUMBER(AG306),AG306&lt;=T306),AS306,0),IF(AND(NOT(AND(AO306=1,AN306&lt;&gt;1)),ISNUMBER(AH306),AH306&lt;=T306),AT306,0),IF(AND(NOT(AND(AO306=1,AN306&lt;&gt;1)),ISNUMBER(AI306),AI306&lt;=T306),AU306,0),IF(AND(ISNUMBER(AJ306),AJ306&lt;=T306),AV306,0))),"AB",IF(AND(IF(AND(NOT(AND(AO306=1,AN306&lt;&gt;1)),ISNUMBER(AI306),AI306&lt;=T306),AU306,0)&gt;0,IF(AND(NOT(AND(AO306=1,AN306&lt;&gt;1)),ISNUMBER(AI306),AI306&lt;=T306),AU306,0)=MAX(IF(AND(NOT(AND(AO306=1,AN306&lt;&gt;1)),ISNUMBER(AG306),AG306&lt;=T306),AS306,0),IF(AND(NOT(AND(AO306=1,AN306&lt;&gt;1)),ISNUMBER(AH306),AH306&lt;=T306),AT306,0),IF(AND(NOT(AND(AO306=1,AN306&lt;&gt;1)),ISNUMBER(AI306),AI306&lt;=T306),AU306,0),IF(AND(ISNUMBER(AJ306),AJ306&lt;=T306),AV306,0))),"SC","Mag")))))))</f>
        <v/>
      </c>
    </row>
    <row r="307">
      <c r="A307" s="26" t="n">
        <v>302</v>
      </c>
      <c r="B307" s="27">
        <f>A307*10/60</f>
        <v/>
      </c>
      <c r="C307" s="22">
        <f>X306</f>
        <v/>
      </c>
      <c r="D307" s="27">
        <f>D306+W306</f>
        <v/>
      </c>
      <c r="E307" s="26">
        <f>E306+IF(U306="SW",1,0)</f>
        <v/>
      </c>
      <c r="F307" s="26">
        <f>F306+IF(U306="AB",1,0)</f>
        <v/>
      </c>
      <c r="G307" s="26">
        <f>G306+IF(U306="SC",1,0)</f>
        <v/>
      </c>
      <c r="H307" s="26">
        <f>H306+IF(U306="Mag",1,0)</f>
        <v/>
      </c>
      <c r="I307" s="26">
        <f>MAX(I306,IF(U306="OR",1,0))</f>
        <v/>
      </c>
      <c r="J307" s="26">
        <f>MAX(J306,IF(U306="HP",1,0))</f>
        <v/>
      </c>
      <c r="K307" s="26">
        <f>MAX(K306,IF(U306="FP",1,0))</f>
        <v/>
      </c>
      <c r="L307" s="26">
        <f>MAX(L306,IF(U306="transition",1,0))</f>
        <v/>
      </c>
      <c r="M307" s="28">
        <f>(Parameters!$B$9+(IF(E307=0,0,(Upgrades!$J$6+E307*Upgrades!$K$6)*POWER(Upgrades!$L$6,E307)))*(IF(Upgrades!$T$7="Solar Wind",POWER(Upgrades!$U$7,F307),1)*IF(Upgrades!$T$8="Solar Wind",POWER(Upgrades!$U$8,G307),1)*IF(Upgrades!$T$9="Solar Wind",POWER(Upgrades!$U$9,H307),1)*IF(Upgrades!$T$10="Solar Wind",POWER(Upgrades!$U$10,I307),1)*IF(Upgrades!$T$11="Solar Wind",POWER(Upgrades!$U$11,J307),1)*IF(Upgrades!$T$12="Solar Wind",POWER(Upgrades!$U$12,K307),1))+(IF(F307=0,0,(Upgrades!$J$7+F307*Upgrades!$K$7)*POWER(Upgrades!$L$7,F307)))*(IF(Upgrades!$T$6="Asteroid Belt",POWER(Upgrades!$U$6,E307),1)*IF(Upgrades!$T$8="Asteroid Belt",POWER(Upgrades!$U$8,G307),1)*IF(Upgrades!$T$9="Asteroid Belt",POWER(Upgrades!$U$9,H307),1)*IF(Upgrades!$T$10="Asteroid Belt",POWER(Upgrades!$U$10,I307),1)*IF(Upgrades!$T$11="Asteroid Belt",POWER(Upgrades!$U$11,J307),1)*IF(Upgrades!$T$12="Asteroid Belt",POWER(Upgrades!$U$12,K307),1))+(IF(G307=0,0,(Upgrades!$J$8+G307*Upgrades!$K$8)*POWER(Upgrades!$L$8,G307)))*(IF(Upgrades!$T$6="Stellar Coupling",POWER(Upgrades!$U$6,E307),1)*IF(Upgrades!$T$7="Stellar Coupling",POWER(Upgrades!$U$7,F307),1)*IF(Upgrades!$T$9="Stellar Coupling",POWER(Upgrades!$U$9,H307),1)*IF(Upgrades!$T$10="Stellar Coupling",POWER(Upgrades!$U$10,I307),1)*IF(Upgrades!$T$11="Stellar Coupling",POWER(Upgrades!$U$11,J307),1)*IF(Upgrades!$T$12="Stellar Coupling",POWER(Upgrades!$U$12,K307),1))+(IF(H307=0,0,(Upgrades!$J$9+H307*Upgrades!$K$9)*POWER(Upgrades!$L$9,H307)))*(IF(Upgrades!$T$6="Magnetosphere",POWER(Upgrades!$U$6,E307),1)*IF(Upgrades!$T$7="Magnetosphere",POWER(Upgrades!$U$7,F307),1)*IF(Upgrades!$T$8="Magnetosphere",POWER(Upgrades!$U$8,G307),1)*IF(Upgrades!$T$10="Magnetosphere",POWER(Upgrades!$U$10,I307),1)*IF(Upgrades!$T$11="Magnetosphere",POWER(Upgrades!$U$11,J307),1)*IF(Upgrades!$T$12="Magnetosphere",POWER(Upgrades!$U$12,K307),1))+(IF(I307=0,0,(Upgrades!$J$10+I307*Upgrades!$K$10)*POWER(Upgrades!$L$10,I307)))*(IF(Upgrades!$T$6="Orbital Resonance",POWER(Upgrades!$U$6,E307),1)*IF(Upgrades!$T$7="Orbital Resonance",POWER(Upgrades!$U$7,F307),1)*IF(Upgrades!$T$8="Orbital Resonance",POWER(Upgrades!$U$8,G307),1)*IF(Upgrades!$T$9="Orbital Resonance",POWER(Upgrades!$U$9,H307),1)*IF(Upgrades!$T$11="Orbital Resonance",POWER(Upgrades!$U$11,J307),1)*IF(Upgrades!$T$12="Orbital Resonance",POWER(Upgrades!$U$12,K307),1))+(IF(J307=0,0,(Upgrades!$J$11+J307*Upgrades!$K$11)*POWER(Upgrades!$L$11,J307)))*(IF(Upgrades!$T$6="Heliopause",POWER(Upgrades!$U$6,E307),1)*IF(Upgrades!$T$7="Heliopause",POWER(Upgrades!$U$7,F307),1)*IF(Upgrades!$T$8="Heliopause",POWER(Upgrades!$U$8,G307),1)*IF(Upgrades!$T$9="Heliopause",POWER(Upgrades!$U$9,H307),1)*IF(Upgrades!$T$10="Heliopause",POWER(Upgrades!$U$10,I307),1)*IF(Upgrades!$T$12="Heliopause",POWER(Upgrades!$U$12,K307),1))+(IF(K307=0,0,(Upgrades!$J$12+K307*Upgrades!$K$12)*POWER(Upgrades!$L$12,K307)))*(IF(Upgrades!$T$6="First Photons",POWER(Upgrades!$U$6,E307),1)*IF(Upgrades!$T$7="First Photons",POWER(Upgrades!$U$7,F307),1)*IF(Upgrades!$T$8="First Photons",POWER(Upgrades!$U$8,G307),1)*IF(Upgrades!$T$9="First Photons",POWER(Upgrades!$U$9,H307),1)*IF(Upgrades!$T$10="First Photons",POWER(Upgrades!$U$10,I307),1)*IF(Upgrades!$T$11="First Photons",POWER(Upgrades!$U$11,J307),1)))*POWER(Upgrades!$Q$6,E307)*POWER(Upgrades!$Q$7,F307)*POWER(Upgrades!$Q$8,G307)*POWER(Upgrades!$Q$9,H307)*POWER(Upgrades!$Q$10,I307)*POWER(Upgrades!$Q$11,J307)*POWER(Upgrades!$Q$12,K307)</f>
        <v/>
      </c>
      <c r="N307" s="28">
        <f>((IF(E307=0,0,(Upgrades!$G$6+E307*Upgrades!$H$6)*POWER(Upgrades!$I$6,E307)))*(IF(Upgrades!$T$7="Solar Wind",POWER(Upgrades!$U$7,F307),1)*IF(Upgrades!$T$8="Solar Wind",POWER(Upgrades!$U$8,G307),1)*IF(Upgrades!$T$9="Solar Wind",POWER(Upgrades!$U$9,H307),1)*IF(Upgrades!$T$10="Solar Wind",POWER(Upgrades!$U$10,I307),1)*IF(Upgrades!$T$11="Solar Wind",POWER(Upgrades!$U$11,J307),1)*IF(Upgrades!$T$12="Solar Wind",POWER(Upgrades!$U$12,K307),1))+(IF(F307=0,0,(Upgrades!$G$7+F307*Upgrades!$H$7)*POWER(Upgrades!$I$7,F307)))*(IF(Upgrades!$T$6="Asteroid Belt",POWER(Upgrades!$U$6,E307),1)*IF(Upgrades!$T$8="Asteroid Belt",POWER(Upgrades!$U$8,G307),1)*IF(Upgrades!$T$9="Asteroid Belt",POWER(Upgrades!$U$9,H307),1)*IF(Upgrades!$T$10="Asteroid Belt",POWER(Upgrades!$U$10,I307),1)*IF(Upgrades!$T$11="Asteroid Belt",POWER(Upgrades!$U$11,J307),1)*IF(Upgrades!$T$12="Asteroid Belt",POWER(Upgrades!$U$12,K307),1))+(IF(G307=0,0,(Upgrades!$G$8+G307*Upgrades!$H$8)*POWER(Upgrades!$I$8,G307)))*(IF(Upgrades!$T$6="Stellar Coupling",POWER(Upgrades!$U$6,E307),1)*IF(Upgrades!$T$7="Stellar Coupling",POWER(Upgrades!$U$7,F307),1)*IF(Upgrades!$T$9="Stellar Coupling",POWER(Upgrades!$U$9,H307),1)*IF(Upgrades!$T$10="Stellar Coupling",POWER(Upgrades!$U$10,I307),1)*IF(Upgrades!$T$11="Stellar Coupling",POWER(Upgrades!$U$11,J307),1)*IF(Upgrades!$T$12="Stellar Coupling",POWER(Upgrades!$U$12,K307),1))+(IF(H307=0,0,(Upgrades!$G$9+H307*Upgrades!$H$9)*POWER(Upgrades!$I$9,H307)))*(IF(Upgrades!$T$6="Magnetosphere",POWER(Upgrades!$U$6,E307),1)*IF(Upgrades!$T$7="Magnetosphere",POWER(Upgrades!$U$7,F307),1)*IF(Upgrades!$T$8="Magnetosphere",POWER(Upgrades!$U$8,G307),1)*IF(Upgrades!$T$10="Magnetosphere",POWER(Upgrades!$U$10,I307),1)*IF(Upgrades!$T$11="Magnetosphere",POWER(Upgrades!$U$11,J307),1)*IF(Upgrades!$T$12="Magnetosphere",POWER(Upgrades!$U$12,K307),1))+(IF(I307=0,0,(Upgrades!$G$10+I307*Upgrades!$H$10)*POWER(Upgrades!$I$10,I307)))*(IF(Upgrades!$T$6="Orbital Resonance",POWER(Upgrades!$U$6,E307),1)*IF(Upgrades!$T$7="Orbital Resonance",POWER(Upgrades!$U$7,F307),1)*IF(Upgrades!$T$8="Orbital Resonance",POWER(Upgrades!$U$8,G307),1)*IF(Upgrades!$T$9="Orbital Resonance",POWER(Upgrades!$U$9,H307),1)*IF(Upgrades!$T$11="Orbital Resonance",POWER(Upgrades!$U$11,J307),1)*IF(Upgrades!$T$12="Orbital Resonance",POWER(Upgrades!$U$12,K307),1))+(IF(J307=0,0,(Upgrades!$G$11+J307*Upgrades!$H$11)*POWER(Upgrades!$I$11,J307)))*(IF(Upgrades!$T$6="Heliopause",POWER(Upgrades!$U$6,E307),1)*IF(Upgrades!$T$7="Heliopause",POWER(Upgrades!$U$7,F307),1)*IF(Upgrades!$T$8="Heliopause",POWER(Upgrades!$U$8,G307),1)*IF(Upgrades!$T$9="Heliopause",POWER(Upgrades!$U$9,H307),1)*IF(Upgrades!$T$10="Heliopause",POWER(Upgrades!$U$10,I307),1)*IF(Upgrades!$T$12="Heliopause",POWER(Upgrades!$U$12,K307),1))+(IF(K307=0,0,(Upgrades!$G$12+K307*Upgrades!$H$12)*POWER(Upgrades!$I$12,K307)))*(IF(Upgrades!$T$6="First Photons",POWER(Upgrades!$U$6,E307),1)*IF(Upgrades!$T$7="First Photons",POWER(Upgrades!$U$7,F307),1)*IF(Upgrades!$T$8="First Photons",POWER(Upgrades!$U$8,G307),1)*IF(Upgrades!$T$9="First Photons",POWER(Upgrades!$U$9,H307),1)*IF(Upgrades!$T$10="First Photons",POWER(Upgrades!$U$10,I307),1)*IF(Upgrades!$T$11="First Photons",POWER(Upgrades!$U$11,J307),1)))*POWER(Upgrades!$P$6,E307)*POWER(Upgrades!$P$7,F307)*POWER(Upgrades!$P$8,G307)*POWER(Upgrades!$P$9,H307)*POWER(Upgrades!$P$10,I307)*POWER(Upgrades!$P$11,J307)*POWER(Upgrades!$P$12,K307)</f>
        <v/>
      </c>
      <c r="O307" s="28">
        <f>((IF(E307=0,0,(Upgrades!$M$6+E307*Upgrades!$N$6)*POWER(Upgrades!$O$6,E307)))*(IF(Upgrades!$T$7="Solar Wind",POWER(Upgrades!$U$7,F307),1)*IF(Upgrades!$T$8="Solar Wind",POWER(Upgrades!$U$8,G307),1)*IF(Upgrades!$T$9="Solar Wind",POWER(Upgrades!$U$9,H307),1)*IF(Upgrades!$T$10="Solar Wind",POWER(Upgrades!$U$10,I307),1)*IF(Upgrades!$T$11="Solar Wind",POWER(Upgrades!$U$11,J307),1)*IF(Upgrades!$T$12="Solar Wind",POWER(Upgrades!$U$12,K307),1))+(IF(F307=0,0,(Upgrades!$M$7+F307*Upgrades!$N$7)*POWER(Upgrades!$O$7,F307)))*(IF(Upgrades!$T$6="Asteroid Belt",POWER(Upgrades!$U$6,E307),1)*IF(Upgrades!$T$8="Asteroid Belt",POWER(Upgrades!$U$8,G307),1)*IF(Upgrades!$T$9="Asteroid Belt",POWER(Upgrades!$U$9,H307),1)*IF(Upgrades!$T$10="Asteroid Belt",POWER(Upgrades!$U$10,I307),1)*IF(Upgrades!$T$11="Asteroid Belt",POWER(Upgrades!$U$11,J307),1)*IF(Upgrades!$T$12="Asteroid Belt",POWER(Upgrades!$U$12,K307),1))+(IF(G307=0,0,(Upgrades!$M$8+G307*Upgrades!$N$8)*POWER(Upgrades!$O$8,G307)))*(IF(Upgrades!$T$6="Stellar Coupling",POWER(Upgrades!$U$6,E307),1)*IF(Upgrades!$T$7="Stellar Coupling",POWER(Upgrades!$U$7,F307),1)*IF(Upgrades!$T$9="Stellar Coupling",POWER(Upgrades!$U$9,H307),1)*IF(Upgrades!$T$10="Stellar Coupling",POWER(Upgrades!$U$10,I307),1)*IF(Upgrades!$T$11="Stellar Coupling",POWER(Upgrades!$U$11,J307),1)*IF(Upgrades!$T$12="Stellar Coupling",POWER(Upgrades!$U$12,K307),1))+(IF(H307=0,0,(Upgrades!$M$9+H307*Upgrades!$N$9)*POWER(Upgrades!$O$9,H307)))*(IF(Upgrades!$T$6="Magnetosphere",POWER(Upgrades!$U$6,E307),1)*IF(Upgrades!$T$7="Magnetosphere",POWER(Upgrades!$U$7,F307),1)*IF(Upgrades!$T$8="Magnetosphere",POWER(Upgrades!$U$8,G307),1)*IF(Upgrades!$T$10="Magnetosphere",POWER(Upgrades!$U$10,I307),1)*IF(Upgrades!$T$11="Magnetosphere",POWER(Upgrades!$U$11,J307),1)*IF(Upgrades!$T$12="Magnetosphere",POWER(Upgrades!$U$12,K307),1))+(IF(I307=0,0,(Upgrades!$M$10+I307*Upgrades!$N$10)*POWER(Upgrades!$O$10,I307)))*(IF(Upgrades!$T$6="Orbital Resonance",POWER(Upgrades!$U$6,E307),1)*IF(Upgrades!$T$7="Orbital Resonance",POWER(Upgrades!$U$7,F307),1)*IF(Upgrades!$T$8="Orbital Resonance",POWER(Upgrades!$U$8,G307),1)*IF(Upgrades!$T$9="Orbital Resonance",POWER(Upgrades!$U$9,H307),1)*IF(Upgrades!$T$11="Orbital Resonance",POWER(Upgrades!$U$11,J307),1)*IF(Upgrades!$T$12="Orbital Resonance",POWER(Upgrades!$U$12,K307),1))+(IF(J307=0,0,(Upgrades!$M$11+J307*Upgrades!$N$11)*POWER(Upgrades!$O$11,J307)))*(IF(Upgrades!$T$6="Heliopause",POWER(Upgrades!$U$6,E307),1)*IF(Upgrades!$T$7="Heliopause",POWER(Upgrades!$U$7,F307),1)*IF(Upgrades!$T$8="Heliopause",POWER(Upgrades!$U$8,G307),1)*IF(Upgrades!$T$9="Heliopause",POWER(Upgrades!$U$9,H307),1)*IF(Upgrades!$T$10="Heliopause",POWER(Upgrades!$U$10,I307),1)*IF(Upgrades!$T$12="Heliopause",POWER(Upgrades!$U$12,K307),1))+(IF(K307=0,0,(Upgrades!$M$12+K307*Upgrades!$N$12)*POWER(Upgrades!$O$12,K307)))*(IF(Upgrades!$T$6="First Photons",POWER(Upgrades!$U$6,E307),1)*IF(Upgrades!$T$7="First Photons",POWER(Upgrades!$U$7,F307),1)*IF(Upgrades!$T$8="First Photons",POWER(Upgrades!$U$8,G307),1)*IF(Upgrades!$T$9="First Photons",POWER(Upgrades!$U$9,H307),1)*IF(Upgrades!$T$10="First Photons",POWER(Upgrades!$U$10,I307),1)*IF(Upgrades!$T$11="First Photons",POWER(Upgrades!$U$11,J307),1)))*POWER(Upgrades!$R$6,E307)*POWER(Upgrades!$R$7,F307)*POWER(Upgrades!$R$8,G307)*POWER(Upgrades!$R$9,H307)*POWER(Upgrades!$R$10,I307)*POWER(Upgrades!$R$11,J307)*POWER(Upgrades!$R$12,K307)</f>
        <v/>
      </c>
      <c r="P307" s="27">
        <f>IF(L307=1,0,M307*Parameters!$B$10/60*Parameters!$B$11*10)</f>
        <v/>
      </c>
      <c r="Q307" s="27">
        <f>IF(L307=1,0,O307*M307*10)</f>
        <v/>
      </c>
      <c r="R307" s="27">
        <f>IF(L307=1,0,N307*10)</f>
        <v/>
      </c>
      <c r="S307" s="27">
        <f>P307+Q307+R307</f>
        <v/>
      </c>
      <c r="T307" s="22">
        <f>C307+S307</f>
        <v/>
      </c>
      <c r="U307" s="33">
        <f>AX307</f>
        <v/>
      </c>
      <c r="V307" s="22">
        <f>IF(U307="",0,IF(U307="transition",0,IF(U307="SW",AG307,IF(U307="AB",AH307,IF(U307="SC",AI307,IF(U307="Mag",AJ307,IF(U307="OR",AK307,IF(U307="HP",AL307,IF(U307="FP",AM307,0)))))))))</f>
        <v/>
      </c>
      <c r="W307" s="27">
        <f>IF(U307="OR",Upgrades!$F$10,IF(U307="HP",Upgrades!$F$11,IF(U307="transition",-Parameters!$B$18,0)))</f>
        <v/>
      </c>
      <c r="X307" s="22">
        <f>T307-V307</f>
        <v/>
      </c>
      <c r="Y307" s="30">
        <f>M307*Parameters!$B$10/60*Parameters!$B$11+O307*M307+N307</f>
        <v/>
      </c>
      <c r="Z307" s="34">
        <f>IF(U307="transition","→ Tier 2 (Stellar Neighborhood)",IF(U307="FP","First Photons — light begins, system quickens",IF(U307="HP","Heliopause acquired",IF(U307="OR","Orbital Resonance — passive multiplier active",IF(AND(AO307=1,L307=0,AN307&lt;&gt;1),"Cohesion ready (waiting on completionist upgrades)","")))))</f>
        <v/>
      </c>
      <c r="AA307" s="27">
        <f>(IF(E307=0,0,(Upgrades!$G$6+E307*Upgrades!$H$6)*POWER(Upgrades!$I$6,E307)))*(IF(Upgrades!$T$7="Solar Wind",POWER(Upgrades!$U$7,F307),1)*IF(Upgrades!$T$8="Solar Wind",POWER(Upgrades!$U$8,G307),1)*IF(Upgrades!$T$9="Solar Wind",POWER(Upgrades!$U$9,H307),1)*IF(Upgrades!$T$10="Solar Wind",POWER(Upgrades!$U$10,I307),1)*IF(Upgrades!$T$11="Solar Wind",POWER(Upgrades!$U$11,J307),1)*IF(Upgrades!$T$12="Solar Wind",POWER(Upgrades!$U$12,K307),1))*POWER(Upgrades!$P$6,E307)*POWER(Upgrades!$P$7,F307)*POWER(Upgrades!$P$8,G307)*POWER(Upgrades!$P$9,H307)*POWER(Upgrades!$P$10,I307)*POWER(Upgrades!$P$11,J307)*POWER(Upgrades!$P$12,K307)*60</f>
        <v/>
      </c>
      <c r="AB307" s="27">
        <f>(IF(F307=0,0,(Upgrades!$G$7+F307*Upgrades!$H$7)*POWER(Upgrades!$I$7,F307)))*(IF(Upgrades!$T$6="Asteroid Belt",POWER(Upgrades!$U$6,E307),1)*IF(Upgrades!$T$8="Asteroid Belt",POWER(Upgrades!$U$8,G307),1)*IF(Upgrades!$T$9="Asteroid Belt",POWER(Upgrades!$U$9,H307),1)*IF(Upgrades!$T$10="Asteroid Belt",POWER(Upgrades!$U$10,I307),1)*IF(Upgrades!$T$11="Asteroid Belt",POWER(Upgrades!$U$11,J307),1)*IF(Upgrades!$T$12="Asteroid Belt",POWER(Upgrades!$U$12,K307),1))*POWER(Upgrades!$P$6,E307)*POWER(Upgrades!$P$7,F307)*POWER(Upgrades!$P$8,G307)*POWER(Upgrades!$P$9,H307)*POWER(Upgrades!$P$10,I307)*POWER(Upgrades!$P$11,J307)*POWER(Upgrades!$P$12,K307)*60</f>
        <v/>
      </c>
      <c r="AC307" s="27">
        <f>(IF(G307=0,0,(Upgrades!$J$8+G307*Upgrades!$K$8)*POWER(Upgrades!$L$8,G307)))*(IF(Upgrades!$T$6="Stellar Coupling",POWER(Upgrades!$U$6,E307),1)*IF(Upgrades!$T$7="Stellar Coupling",POWER(Upgrades!$U$7,F307),1)*IF(Upgrades!$T$9="Stellar Coupling",POWER(Upgrades!$U$9,H307),1)*IF(Upgrades!$T$10="Stellar Coupling",POWER(Upgrades!$U$10,I307),1)*IF(Upgrades!$T$11="Stellar Coupling",POWER(Upgrades!$U$11,J307),1)*IF(Upgrades!$T$12="Stellar Coupling",POWER(Upgrades!$U$12,K307),1))*POWER(Upgrades!$Q$6,E307)*POWER(Upgrades!$Q$7,F307)*POWER(Upgrades!$Q$8,G307)*POWER(Upgrades!$Q$9,H307)*POWER(Upgrades!$Q$10,I307)*POWER(Upgrades!$Q$11,J307)*POWER(Upgrades!$Q$12,K307)*Parameters!$B$10*Parameters!$B$11</f>
        <v/>
      </c>
      <c r="AD307" s="27">
        <f>(IF(H307=0,0,(Upgrades!$G$9+H307*Upgrades!$H$9)*POWER(Upgrades!$I$9,H307)))*(IF(Upgrades!$T$6="Magnetosphere",POWER(Upgrades!$U$6,E307),1)*IF(Upgrades!$T$7="Magnetosphere",POWER(Upgrades!$U$7,F307),1)*IF(Upgrades!$T$8="Magnetosphere",POWER(Upgrades!$U$8,G307),1)*IF(Upgrades!$T$10="Magnetosphere",POWER(Upgrades!$U$10,I307),1)*IF(Upgrades!$T$11="Magnetosphere",POWER(Upgrades!$U$11,J307),1)*IF(Upgrades!$T$12="Magnetosphere",POWER(Upgrades!$U$12,K307),1))*POWER(Upgrades!$P$6,E307)*POWER(Upgrades!$P$7,F307)*POWER(Upgrades!$P$8,G307)*POWER(Upgrades!$P$9,H307)*POWER(Upgrades!$P$10,I307)*POWER(Upgrades!$P$11,J307)*POWER(Upgrades!$P$12,K307)*60</f>
        <v/>
      </c>
      <c r="AE307" s="27">
        <f>(IF(K307=0,0,(Upgrades!$G$12+K307*Upgrades!$H$12)*POWER(Upgrades!$I$12,K307)))*(IF(Upgrades!$T$6="First Photons",POWER(Upgrades!$U$6,E307),1)*IF(Upgrades!$T$7="First Photons",POWER(Upgrades!$U$7,F307),1)*IF(Upgrades!$T$8="First Photons",POWER(Upgrades!$U$8,G307),1)*IF(Upgrades!$T$9="First Photons",POWER(Upgrades!$U$9,H307),1)*IF(Upgrades!$T$10="First Photons",POWER(Upgrades!$U$10,I307),1)*IF(Upgrades!$T$11="First Photons",POWER(Upgrades!$U$11,J307),1))*POWER(Upgrades!$P$6,E307)*POWER(Upgrades!$P$7,F307)*POWER(Upgrades!$P$8,G307)*POWER(Upgrades!$P$9,H307)*POWER(Upgrades!$P$10,I307)*POWER(Upgrades!$P$11,J307)*POWER(Upgrades!$P$12,K307)*60</f>
        <v/>
      </c>
      <c r="AF307" s="27">
        <f>Parameters!$B$9*POWER(Upgrades!$Q$6,E307)*POWER(Upgrades!$Q$7,F307)*POWER(Upgrades!$Q$8,G307)*POWER(Upgrades!$Q$9,H307)*POWER(Upgrades!$Q$10,I307)*POWER(Upgrades!$Q$11,J307)*POWER(Upgrades!$Q$12,K307)*(Parameters!$B$10*Parameters!$B$11+O307*60)</f>
        <v/>
      </c>
      <c r="AG307" s="22">
        <f>IF(E307&gt;=Upgrades!$E$6,"",Upgrades!$C$6*POWER(Upgrades!$D$6,E307))</f>
        <v/>
      </c>
      <c r="AH307" s="22">
        <f>IF(F307&gt;=Upgrades!$E$7,"",Upgrades!$C$7*POWER(Upgrades!$D$7,F307))</f>
        <v/>
      </c>
      <c r="AI307" s="22">
        <f>IF(G307&gt;=Upgrades!$E$8,"",Upgrades!$C$8*POWER(Upgrades!$D$8,G307))</f>
        <v/>
      </c>
      <c r="AJ307" s="22">
        <f>IF(H307&gt;=Upgrades!$E$9,"",Upgrades!$C$9*POWER(Upgrades!$D$9,H307))</f>
        <v/>
      </c>
      <c r="AK307" s="22">
        <f>IF(I307&gt;=Upgrades!$E$10,"",Upgrades!$C$10*POWER(Upgrades!$D$10,I307))</f>
        <v/>
      </c>
      <c r="AL307" s="22">
        <f>IF(J307&gt;=Upgrades!$E$11,"",Upgrades!$C$11*POWER(Upgrades!$D$11,J307))</f>
        <v/>
      </c>
      <c r="AM307" s="22">
        <f>IF(K307&gt;=Upgrades!$E$12,"",Upgrades!$C$12*POWER(Upgrades!$D$12,K307))</f>
        <v/>
      </c>
      <c r="AN307" s="26">
        <f>IF(AND(D307&gt;=Parameters!$B$18,(H307&gt;=Upgrades!$E$9)*(K307&gt;=Upgrades!$E$12)=1,L307=0),1,"")</f>
        <v/>
      </c>
      <c r="AO307" s="26">
        <f>IF(AND(D307&gt;=Parameters!$B$18,L307=0),1,"")</f>
        <v/>
      </c>
      <c r="AP307" s="22">
        <f>MIN(IF(ISNUMBER(AK307),AK307,9E15),IF(ISNUMBER(AL307),AL307,9E15),IF(ISNUMBER(AM307),AM307,9E15))</f>
        <v/>
      </c>
      <c r="AQ307" s="22">
        <f>MIN(IF(ISNUMBER(AG307),AG307,9E15),IF(ISNUMBER(AH307),AH307,9E15),IF(ISNUMBER(AI307),AI307,9E15),IF(ISNUMBER(AJ307),AJ307,9E15))</f>
        <v/>
      </c>
      <c r="AR307" s="29">
        <f>IF(AW307&gt;Parameters!$B$21*(MAX(IF(AND(NOT(AND(AO307=1,AN307&lt;&gt;1)),ISNUMBER(AG307),AG307&lt;=T307),AS307,0),IF(AND(NOT(AND(AO307=1,AN307&lt;&gt;1)),ISNUMBER(AH307),AH307&lt;=T307),AT307,0),IF(AND(NOT(AND(AO307=1,AN307&lt;&gt;1)),ISNUMBER(AI307),AI307&lt;=T307),AU307,0),IF(AND(ISNUMBER(AJ307),AJ307&lt;=T307),AV307,0))),TRUE,FALSE)</f>
        <v/>
      </c>
      <c r="AS307" s="32">
        <f>IFERROR(Upgrades!$H$6*(POWER(Upgrades!$P$6,E307)*POWER(Upgrades!$P$7,F307)*POWER(Upgrades!$P$8,G307)*POWER(Upgrades!$P$9,H307)*POWER(Upgrades!$P$10,I307)*POWER(Upgrades!$P$11,J307)*POWER(Upgrades!$P$12,K307))*(IF(Upgrades!$T$7="Solar Wind",POWER(Upgrades!$U$7,F307),1)*IF(Upgrades!$T$8="Solar Wind",POWER(Upgrades!$U$8,G307),1)*IF(Upgrades!$T$9="Solar Wind",POWER(Upgrades!$U$9,H307),1)*IF(Upgrades!$T$10="Solar Wind",POWER(Upgrades!$U$10,I307),1)*IF(Upgrades!$T$11="Solar Wind",POWER(Upgrades!$U$11,J307),1)*IF(Upgrades!$T$12="Solar Wind",POWER(Upgrades!$U$12,K307),1))/AG307,0)</f>
        <v/>
      </c>
      <c r="AT307" s="32">
        <f>IFERROR(Upgrades!$H$7*(POWER(Upgrades!$P$6,E307)*POWER(Upgrades!$P$7,F307)*POWER(Upgrades!$P$8,G307)*POWER(Upgrades!$P$9,H307)*POWER(Upgrades!$P$10,I307)*POWER(Upgrades!$P$11,J307)*POWER(Upgrades!$P$12,K307))*(IF(Upgrades!$T$6="Asteroid Belt",POWER(Upgrades!$U$6,E307),1)*IF(Upgrades!$T$8="Asteroid Belt",POWER(Upgrades!$U$8,G307),1)*IF(Upgrades!$T$9="Asteroid Belt",POWER(Upgrades!$U$9,H307),1)*IF(Upgrades!$T$10="Asteroid Belt",POWER(Upgrades!$U$10,I307),1)*IF(Upgrades!$T$11="Asteroid Belt",POWER(Upgrades!$U$11,J307),1)*IF(Upgrades!$T$12="Asteroid Belt",POWER(Upgrades!$U$12,K307),1))/AH307,0)</f>
        <v/>
      </c>
      <c r="AU307" s="32">
        <f>IFERROR(Upgrades!$K$8*(POWER(Upgrades!$Q$6,E307)*POWER(Upgrades!$Q$7,F307)*POWER(Upgrades!$Q$8,G307)*POWER(Upgrades!$Q$9,H307)*POWER(Upgrades!$Q$10,I307)*POWER(Upgrades!$Q$11,J307)*POWER(Upgrades!$Q$12,K307))*(IF(Upgrades!$T$6="Stellar Coupling",POWER(Upgrades!$U$6,E307),1)*IF(Upgrades!$T$7="Stellar Coupling",POWER(Upgrades!$U$7,F307),1)*IF(Upgrades!$T$9="Stellar Coupling",POWER(Upgrades!$U$9,H307),1)*IF(Upgrades!$T$10="Stellar Coupling",POWER(Upgrades!$U$10,I307),1)*IF(Upgrades!$T$11="Stellar Coupling",POWER(Upgrades!$U$11,J307),1)*IF(Upgrades!$T$12="Stellar Coupling",POWER(Upgrades!$U$12,K307),1))*Parameters!$B$10*Parameters!$B$11/60/AI307,0)</f>
        <v/>
      </c>
      <c r="AV307" s="32">
        <f>IFERROR(Upgrades!$H$9*(POWER(Upgrades!$P$6,E307)*POWER(Upgrades!$P$7,F307)*POWER(Upgrades!$P$8,G307)*POWER(Upgrades!$P$9,H307)*POWER(Upgrades!$P$10,I307)*POWER(Upgrades!$P$11,J307)*POWER(Upgrades!$P$12,K307))*(IF(Upgrades!$T$6="Magnetosphere",POWER(Upgrades!$U$6,E307),1)*IF(Upgrades!$T$7="Magnetosphere",POWER(Upgrades!$U$7,F307),1)*IF(Upgrades!$T$8="Magnetosphere",POWER(Upgrades!$U$8,G307),1)*IF(Upgrades!$T$10="Magnetosphere",POWER(Upgrades!$U$10,I307),1)*IF(Upgrades!$T$11="Magnetosphere",POWER(Upgrades!$U$11,J307),1)*IF(Upgrades!$T$12="Magnetosphere",POWER(Upgrades!$U$12,K307),1))/AJ307,0)</f>
        <v/>
      </c>
      <c r="AW307" s="32">
        <f>MAX(IF(I307&gt;0,0,IFERROR(0.25*N307/Upgrades!$C$10,0)),IF(J307&gt;0,0,IFERROR(0.5*((IF(G307=0,0,(Upgrades!$J$8+G307*Upgrades!$K$8)*POWER(Upgrades!$L$8,G307)))*(IF(Upgrades!$T$6="Stellar Coupling",POWER(Upgrades!$U$6,E307),1)*IF(Upgrades!$T$7="Stellar Coupling",POWER(Upgrades!$U$7,F307),1)*IF(Upgrades!$T$9="Stellar Coupling",POWER(Upgrades!$U$9,H307),1)*IF(Upgrades!$T$10="Stellar Coupling",POWER(Upgrades!$U$10,I307),1)*IF(Upgrades!$T$11="Stellar Coupling",POWER(Upgrades!$U$11,J307),1)*IF(Upgrades!$T$12="Stellar Coupling",POWER(Upgrades!$U$12,K307),1))*(POWER(Upgrades!$Q$6,E307)*POWER(Upgrades!$Q$7,F307)*POWER(Upgrades!$Q$8,G307)*POWER(Upgrades!$Q$9,H307)*POWER(Upgrades!$Q$10,I307)*POWER(Upgrades!$Q$11,J307)*POWER(Upgrades!$Q$12,K307))*Parameters!$B$10*Parameters!$B$11/60)/Upgrades!$C$11,0)),IF(K307&gt;0,0,IFERROR((1.0*(POWER(Upgrades!$P$6,E307)*POWER(Upgrades!$P$7,F307)*POWER(Upgrades!$P$8,G307)*POWER(Upgrades!$P$9,H307)*POWER(Upgrades!$P$10,I307)*POWER(Upgrades!$P$11,J307)*POWER(Upgrades!$P$12,K307))+0.20*M307*Parameters!$B$10*Parameters!$B$11/60)/Upgrades!$C$12,0)),IF(AND(ISNUMBER(AG307),AG307&gt;T307),AS307,0),IF(AND(ISNUMBER(AH307),AH307&gt;T307),AT307,0),IF(AND(ISNUMBER(AI307),AI307&gt;T307),AU307,0),IF(AND(ISNUMBER(AJ307),AJ307&gt;T307),AV307,0))</f>
        <v/>
      </c>
      <c r="AX307" s="29">
        <f>IF(AN307=1,"transition",IF(MIN(IF(AND(I307=0,ISNUMBER(AK307),AK307&lt;=T307),AK307,9E15),IF(AND(J307=0,ISNUMBER(AL307),AL307&lt;=T307),AL307,9E15),IF(AND(K307=0,ISNUMBER(AM307),AM307&lt;=T307),AM307,9E15))&lt;9E15,IF(AND(AND(I307=0,ISNUMBER(AK307),AK307&lt;=T307),AK307=MIN(IF(AND(I307=0,ISNUMBER(AK307),AK307&lt;=T307),AK307,9E15),IF(AND(J307=0,ISNUMBER(AL307),AL307&lt;=T307),AL307,9E15),IF(AND(K307=0,ISNUMBER(AM307),AM307&lt;=T307),AM307,9E15))),"OR",IF(AND(AND(J307=0,ISNUMBER(AL307),AL307&lt;=T307),AL307=MIN(IF(AND(I307=0,ISNUMBER(AK307),AK307&lt;=T307),AK307,9E15),IF(AND(J307=0,ISNUMBER(AL307),AL307&lt;=T307),AL307,9E15),IF(AND(K307=0,ISNUMBER(AM307),AM307&lt;=T307),AM307,9E15))),"HP","FP")),IF(AR307=TRUE,"",IF(MAX(IF(AND(NOT(AND(AO307=1,AN307&lt;&gt;1)),ISNUMBER(AG307),AG307&lt;=T307),AS307,0),IF(AND(NOT(AND(AO307=1,AN307&lt;&gt;1)),ISNUMBER(AH307),AH307&lt;=T307),AT307,0),IF(AND(NOT(AND(AO307=1,AN307&lt;&gt;1)),ISNUMBER(AI307),AI307&lt;=T307),AU307,0),IF(AND(ISNUMBER(AJ307),AJ307&lt;=T307),AV307,0))&lt;=0,"",IF(AND(IF(AND(NOT(AND(AO307=1,AN307&lt;&gt;1)),ISNUMBER(AG307),AG307&lt;=T307),AS307,0)&gt;0,IF(AND(NOT(AND(AO307=1,AN307&lt;&gt;1)),ISNUMBER(AG307),AG307&lt;=T307),AS307,0)=MAX(IF(AND(NOT(AND(AO307=1,AN307&lt;&gt;1)),ISNUMBER(AG307),AG307&lt;=T307),AS307,0),IF(AND(NOT(AND(AO307=1,AN307&lt;&gt;1)),ISNUMBER(AH307),AH307&lt;=T307),AT307,0),IF(AND(NOT(AND(AO307=1,AN307&lt;&gt;1)),ISNUMBER(AI307),AI307&lt;=T307),AU307,0),IF(AND(ISNUMBER(AJ307),AJ307&lt;=T307),AV307,0))),"SW",IF(AND(IF(AND(NOT(AND(AO307=1,AN307&lt;&gt;1)),ISNUMBER(AH307),AH307&lt;=T307),AT307,0)&gt;0,IF(AND(NOT(AND(AO307=1,AN307&lt;&gt;1)),ISNUMBER(AH307),AH307&lt;=T307),AT307,0)=MAX(IF(AND(NOT(AND(AO307=1,AN307&lt;&gt;1)),ISNUMBER(AG307),AG307&lt;=T307),AS307,0),IF(AND(NOT(AND(AO307=1,AN307&lt;&gt;1)),ISNUMBER(AH307),AH307&lt;=T307),AT307,0),IF(AND(NOT(AND(AO307=1,AN307&lt;&gt;1)),ISNUMBER(AI307),AI307&lt;=T307),AU307,0),IF(AND(ISNUMBER(AJ307),AJ307&lt;=T307),AV307,0))),"AB",IF(AND(IF(AND(NOT(AND(AO307=1,AN307&lt;&gt;1)),ISNUMBER(AI307),AI307&lt;=T307),AU307,0)&gt;0,IF(AND(NOT(AND(AO307=1,AN307&lt;&gt;1)),ISNUMBER(AI307),AI307&lt;=T307),AU307,0)=MAX(IF(AND(NOT(AND(AO307=1,AN307&lt;&gt;1)),ISNUMBER(AG307),AG307&lt;=T307),AS307,0),IF(AND(NOT(AND(AO307=1,AN307&lt;&gt;1)),ISNUMBER(AH307),AH307&lt;=T307),AT307,0),IF(AND(NOT(AND(AO307=1,AN307&lt;&gt;1)),ISNUMBER(AI307),AI307&lt;=T307),AU307,0),IF(AND(ISNUMBER(AJ307),AJ307&lt;=T307),AV307,0))),"SC","Mag")))))))</f>
        <v/>
      </c>
    </row>
    <row r="308">
      <c r="A308" s="26" t="n">
        <v>303</v>
      </c>
      <c r="B308" s="27">
        <f>A308*10/60</f>
        <v/>
      </c>
      <c r="C308" s="22">
        <f>X307</f>
        <v/>
      </c>
      <c r="D308" s="27">
        <f>D307+W307</f>
        <v/>
      </c>
      <c r="E308" s="26">
        <f>E307+IF(U307="SW",1,0)</f>
        <v/>
      </c>
      <c r="F308" s="26">
        <f>F307+IF(U307="AB",1,0)</f>
        <v/>
      </c>
      <c r="G308" s="26">
        <f>G307+IF(U307="SC",1,0)</f>
        <v/>
      </c>
      <c r="H308" s="26">
        <f>H307+IF(U307="Mag",1,0)</f>
        <v/>
      </c>
      <c r="I308" s="26">
        <f>MAX(I307,IF(U307="OR",1,0))</f>
        <v/>
      </c>
      <c r="J308" s="26">
        <f>MAX(J307,IF(U307="HP",1,0))</f>
        <v/>
      </c>
      <c r="K308" s="26">
        <f>MAX(K307,IF(U307="FP",1,0))</f>
        <v/>
      </c>
      <c r="L308" s="26">
        <f>MAX(L307,IF(U307="transition",1,0))</f>
        <v/>
      </c>
      <c r="M308" s="28">
        <f>(Parameters!$B$9+(IF(E308=0,0,(Upgrades!$J$6+E308*Upgrades!$K$6)*POWER(Upgrades!$L$6,E308)))*(IF(Upgrades!$T$7="Solar Wind",POWER(Upgrades!$U$7,F308),1)*IF(Upgrades!$T$8="Solar Wind",POWER(Upgrades!$U$8,G308),1)*IF(Upgrades!$T$9="Solar Wind",POWER(Upgrades!$U$9,H308),1)*IF(Upgrades!$T$10="Solar Wind",POWER(Upgrades!$U$10,I308),1)*IF(Upgrades!$T$11="Solar Wind",POWER(Upgrades!$U$11,J308),1)*IF(Upgrades!$T$12="Solar Wind",POWER(Upgrades!$U$12,K308),1))+(IF(F308=0,0,(Upgrades!$J$7+F308*Upgrades!$K$7)*POWER(Upgrades!$L$7,F308)))*(IF(Upgrades!$T$6="Asteroid Belt",POWER(Upgrades!$U$6,E308),1)*IF(Upgrades!$T$8="Asteroid Belt",POWER(Upgrades!$U$8,G308),1)*IF(Upgrades!$T$9="Asteroid Belt",POWER(Upgrades!$U$9,H308),1)*IF(Upgrades!$T$10="Asteroid Belt",POWER(Upgrades!$U$10,I308),1)*IF(Upgrades!$T$11="Asteroid Belt",POWER(Upgrades!$U$11,J308),1)*IF(Upgrades!$T$12="Asteroid Belt",POWER(Upgrades!$U$12,K308),1))+(IF(G308=0,0,(Upgrades!$J$8+G308*Upgrades!$K$8)*POWER(Upgrades!$L$8,G308)))*(IF(Upgrades!$T$6="Stellar Coupling",POWER(Upgrades!$U$6,E308),1)*IF(Upgrades!$T$7="Stellar Coupling",POWER(Upgrades!$U$7,F308),1)*IF(Upgrades!$T$9="Stellar Coupling",POWER(Upgrades!$U$9,H308),1)*IF(Upgrades!$T$10="Stellar Coupling",POWER(Upgrades!$U$10,I308),1)*IF(Upgrades!$T$11="Stellar Coupling",POWER(Upgrades!$U$11,J308),1)*IF(Upgrades!$T$12="Stellar Coupling",POWER(Upgrades!$U$12,K308),1))+(IF(H308=0,0,(Upgrades!$J$9+H308*Upgrades!$K$9)*POWER(Upgrades!$L$9,H308)))*(IF(Upgrades!$T$6="Magnetosphere",POWER(Upgrades!$U$6,E308),1)*IF(Upgrades!$T$7="Magnetosphere",POWER(Upgrades!$U$7,F308),1)*IF(Upgrades!$T$8="Magnetosphere",POWER(Upgrades!$U$8,G308),1)*IF(Upgrades!$T$10="Magnetosphere",POWER(Upgrades!$U$10,I308),1)*IF(Upgrades!$T$11="Magnetosphere",POWER(Upgrades!$U$11,J308),1)*IF(Upgrades!$T$12="Magnetosphere",POWER(Upgrades!$U$12,K308),1))+(IF(I308=0,0,(Upgrades!$J$10+I308*Upgrades!$K$10)*POWER(Upgrades!$L$10,I308)))*(IF(Upgrades!$T$6="Orbital Resonance",POWER(Upgrades!$U$6,E308),1)*IF(Upgrades!$T$7="Orbital Resonance",POWER(Upgrades!$U$7,F308),1)*IF(Upgrades!$T$8="Orbital Resonance",POWER(Upgrades!$U$8,G308),1)*IF(Upgrades!$T$9="Orbital Resonance",POWER(Upgrades!$U$9,H308),1)*IF(Upgrades!$T$11="Orbital Resonance",POWER(Upgrades!$U$11,J308),1)*IF(Upgrades!$T$12="Orbital Resonance",POWER(Upgrades!$U$12,K308),1))+(IF(J308=0,0,(Upgrades!$J$11+J308*Upgrades!$K$11)*POWER(Upgrades!$L$11,J308)))*(IF(Upgrades!$T$6="Heliopause",POWER(Upgrades!$U$6,E308),1)*IF(Upgrades!$T$7="Heliopause",POWER(Upgrades!$U$7,F308),1)*IF(Upgrades!$T$8="Heliopause",POWER(Upgrades!$U$8,G308),1)*IF(Upgrades!$T$9="Heliopause",POWER(Upgrades!$U$9,H308),1)*IF(Upgrades!$T$10="Heliopause",POWER(Upgrades!$U$10,I308),1)*IF(Upgrades!$T$12="Heliopause",POWER(Upgrades!$U$12,K308),1))+(IF(K308=0,0,(Upgrades!$J$12+K308*Upgrades!$K$12)*POWER(Upgrades!$L$12,K308)))*(IF(Upgrades!$T$6="First Photons",POWER(Upgrades!$U$6,E308),1)*IF(Upgrades!$T$7="First Photons",POWER(Upgrades!$U$7,F308),1)*IF(Upgrades!$T$8="First Photons",POWER(Upgrades!$U$8,G308),1)*IF(Upgrades!$T$9="First Photons",POWER(Upgrades!$U$9,H308),1)*IF(Upgrades!$T$10="First Photons",POWER(Upgrades!$U$10,I308),1)*IF(Upgrades!$T$11="First Photons",POWER(Upgrades!$U$11,J308),1)))*POWER(Upgrades!$Q$6,E308)*POWER(Upgrades!$Q$7,F308)*POWER(Upgrades!$Q$8,G308)*POWER(Upgrades!$Q$9,H308)*POWER(Upgrades!$Q$10,I308)*POWER(Upgrades!$Q$11,J308)*POWER(Upgrades!$Q$12,K308)</f>
        <v/>
      </c>
      <c r="N308" s="28">
        <f>((IF(E308=0,0,(Upgrades!$G$6+E308*Upgrades!$H$6)*POWER(Upgrades!$I$6,E308)))*(IF(Upgrades!$T$7="Solar Wind",POWER(Upgrades!$U$7,F308),1)*IF(Upgrades!$T$8="Solar Wind",POWER(Upgrades!$U$8,G308),1)*IF(Upgrades!$T$9="Solar Wind",POWER(Upgrades!$U$9,H308),1)*IF(Upgrades!$T$10="Solar Wind",POWER(Upgrades!$U$10,I308),1)*IF(Upgrades!$T$11="Solar Wind",POWER(Upgrades!$U$11,J308),1)*IF(Upgrades!$T$12="Solar Wind",POWER(Upgrades!$U$12,K308),1))+(IF(F308=0,0,(Upgrades!$G$7+F308*Upgrades!$H$7)*POWER(Upgrades!$I$7,F308)))*(IF(Upgrades!$T$6="Asteroid Belt",POWER(Upgrades!$U$6,E308),1)*IF(Upgrades!$T$8="Asteroid Belt",POWER(Upgrades!$U$8,G308),1)*IF(Upgrades!$T$9="Asteroid Belt",POWER(Upgrades!$U$9,H308),1)*IF(Upgrades!$T$10="Asteroid Belt",POWER(Upgrades!$U$10,I308),1)*IF(Upgrades!$T$11="Asteroid Belt",POWER(Upgrades!$U$11,J308),1)*IF(Upgrades!$T$12="Asteroid Belt",POWER(Upgrades!$U$12,K308),1))+(IF(G308=0,0,(Upgrades!$G$8+G308*Upgrades!$H$8)*POWER(Upgrades!$I$8,G308)))*(IF(Upgrades!$T$6="Stellar Coupling",POWER(Upgrades!$U$6,E308),1)*IF(Upgrades!$T$7="Stellar Coupling",POWER(Upgrades!$U$7,F308),1)*IF(Upgrades!$T$9="Stellar Coupling",POWER(Upgrades!$U$9,H308),1)*IF(Upgrades!$T$10="Stellar Coupling",POWER(Upgrades!$U$10,I308),1)*IF(Upgrades!$T$11="Stellar Coupling",POWER(Upgrades!$U$11,J308),1)*IF(Upgrades!$T$12="Stellar Coupling",POWER(Upgrades!$U$12,K308),1))+(IF(H308=0,0,(Upgrades!$G$9+H308*Upgrades!$H$9)*POWER(Upgrades!$I$9,H308)))*(IF(Upgrades!$T$6="Magnetosphere",POWER(Upgrades!$U$6,E308),1)*IF(Upgrades!$T$7="Magnetosphere",POWER(Upgrades!$U$7,F308),1)*IF(Upgrades!$T$8="Magnetosphere",POWER(Upgrades!$U$8,G308),1)*IF(Upgrades!$T$10="Magnetosphere",POWER(Upgrades!$U$10,I308),1)*IF(Upgrades!$T$11="Magnetosphere",POWER(Upgrades!$U$11,J308),1)*IF(Upgrades!$T$12="Magnetosphere",POWER(Upgrades!$U$12,K308),1))+(IF(I308=0,0,(Upgrades!$G$10+I308*Upgrades!$H$10)*POWER(Upgrades!$I$10,I308)))*(IF(Upgrades!$T$6="Orbital Resonance",POWER(Upgrades!$U$6,E308),1)*IF(Upgrades!$T$7="Orbital Resonance",POWER(Upgrades!$U$7,F308),1)*IF(Upgrades!$T$8="Orbital Resonance",POWER(Upgrades!$U$8,G308),1)*IF(Upgrades!$T$9="Orbital Resonance",POWER(Upgrades!$U$9,H308),1)*IF(Upgrades!$T$11="Orbital Resonance",POWER(Upgrades!$U$11,J308),1)*IF(Upgrades!$T$12="Orbital Resonance",POWER(Upgrades!$U$12,K308),1))+(IF(J308=0,0,(Upgrades!$G$11+J308*Upgrades!$H$11)*POWER(Upgrades!$I$11,J308)))*(IF(Upgrades!$T$6="Heliopause",POWER(Upgrades!$U$6,E308),1)*IF(Upgrades!$T$7="Heliopause",POWER(Upgrades!$U$7,F308),1)*IF(Upgrades!$T$8="Heliopause",POWER(Upgrades!$U$8,G308),1)*IF(Upgrades!$T$9="Heliopause",POWER(Upgrades!$U$9,H308),1)*IF(Upgrades!$T$10="Heliopause",POWER(Upgrades!$U$10,I308),1)*IF(Upgrades!$T$12="Heliopause",POWER(Upgrades!$U$12,K308),1))+(IF(K308=0,0,(Upgrades!$G$12+K308*Upgrades!$H$12)*POWER(Upgrades!$I$12,K308)))*(IF(Upgrades!$T$6="First Photons",POWER(Upgrades!$U$6,E308),1)*IF(Upgrades!$T$7="First Photons",POWER(Upgrades!$U$7,F308),1)*IF(Upgrades!$T$8="First Photons",POWER(Upgrades!$U$8,G308),1)*IF(Upgrades!$T$9="First Photons",POWER(Upgrades!$U$9,H308),1)*IF(Upgrades!$T$10="First Photons",POWER(Upgrades!$U$10,I308),1)*IF(Upgrades!$T$11="First Photons",POWER(Upgrades!$U$11,J308),1)))*POWER(Upgrades!$P$6,E308)*POWER(Upgrades!$P$7,F308)*POWER(Upgrades!$P$8,G308)*POWER(Upgrades!$P$9,H308)*POWER(Upgrades!$P$10,I308)*POWER(Upgrades!$P$11,J308)*POWER(Upgrades!$P$12,K308)</f>
        <v/>
      </c>
      <c r="O308" s="28">
        <f>((IF(E308=0,0,(Upgrades!$M$6+E308*Upgrades!$N$6)*POWER(Upgrades!$O$6,E308)))*(IF(Upgrades!$T$7="Solar Wind",POWER(Upgrades!$U$7,F308),1)*IF(Upgrades!$T$8="Solar Wind",POWER(Upgrades!$U$8,G308),1)*IF(Upgrades!$T$9="Solar Wind",POWER(Upgrades!$U$9,H308),1)*IF(Upgrades!$T$10="Solar Wind",POWER(Upgrades!$U$10,I308),1)*IF(Upgrades!$T$11="Solar Wind",POWER(Upgrades!$U$11,J308),1)*IF(Upgrades!$T$12="Solar Wind",POWER(Upgrades!$U$12,K308),1))+(IF(F308=0,0,(Upgrades!$M$7+F308*Upgrades!$N$7)*POWER(Upgrades!$O$7,F308)))*(IF(Upgrades!$T$6="Asteroid Belt",POWER(Upgrades!$U$6,E308),1)*IF(Upgrades!$T$8="Asteroid Belt",POWER(Upgrades!$U$8,G308),1)*IF(Upgrades!$T$9="Asteroid Belt",POWER(Upgrades!$U$9,H308),1)*IF(Upgrades!$T$10="Asteroid Belt",POWER(Upgrades!$U$10,I308),1)*IF(Upgrades!$T$11="Asteroid Belt",POWER(Upgrades!$U$11,J308),1)*IF(Upgrades!$T$12="Asteroid Belt",POWER(Upgrades!$U$12,K308),1))+(IF(G308=0,0,(Upgrades!$M$8+G308*Upgrades!$N$8)*POWER(Upgrades!$O$8,G308)))*(IF(Upgrades!$T$6="Stellar Coupling",POWER(Upgrades!$U$6,E308),1)*IF(Upgrades!$T$7="Stellar Coupling",POWER(Upgrades!$U$7,F308),1)*IF(Upgrades!$T$9="Stellar Coupling",POWER(Upgrades!$U$9,H308),1)*IF(Upgrades!$T$10="Stellar Coupling",POWER(Upgrades!$U$10,I308),1)*IF(Upgrades!$T$11="Stellar Coupling",POWER(Upgrades!$U$11,J308),1)*IF(Upgrades!$T$12="Stellar Coupling",POWER(Upgrades!$U$12,K308),1))+(IF(H308=0,0,(Upgrades!$M$9+H308*Upgrades!$N$9)*POWER(Upgrades!$O$9,H308)))*(IF(Upgrades!$T$6="Magnetosphere",POWER(Upgrades!$U$6,E308),1)*IF(Upgrades!$T$7="Magnetosphere",POWER(Upgrades!$U$7,F308),1)*IF(Upgrades!$T$8="Magnetosphere",POWER(Upgrades!$U$8,G308),1)*IF(Upgrades!$T$10="Magnetosphere",POWER(Upgrades!$U$10,I308),1)*IF(Upgrades!$T$11="Magnetosphere",POWER(Upgrades!$U$11,J308),1)*IF(Upgrades!$T$12="Magnetosphere",POWER(Upgrades!$U$12,K308),1))+(IF(I308=0,0,(Upgrades!$M$10+I308*Upgrades!$N$10)*POWER(Upgrades!$O$10,I308)))*(IF(Upgrades!$T$6="Orbital Resonance",POWER(Upgrades!$U$6,E308),1)*IF(Upgrades!$T$7="Orbital Resonance",POWER(Upgrades!$U$7,F308),1)*IF(Upgrades!$T$8="Orbital Resonance",POWER(Upgrades!$U$8,G308),1)*IF(Upgrades!$T$9="Orbital Resonance",POWER(Upgrades!$U$9,H308),1)*IF(Upgrades!$T$11="Orbital Resonance",POWER(Upgrades!$U$11,J308),1)*IF(Upgrades!$T$12="Orbital Resonance",POWER(Upgrades!$U$12,K308),1))+(IF(J308=0,0,(Upgrades!$M$11+J308*Upgrades!$N$11)*POWER(Upgrades!$O$11,J308)))*(IF(Upgrades!$T$6="Heliopause",POWER(Upgrades!$U$6,E308),1)*IF(Upgrades!$T$7="Heliopause",POWER(Upgrades!$U$7,F308),1)*IF(Upgrades!$T$8="Heliopause",POWER(Upgrades!$U$8,G308),1)*IF(Upgrades!$T$9="Heliopause",POWER(Upgrades!$U$9,H308),1)*IF(Upgrades!$T$10="Heliopause",POWER(Upgrades!$U$10,I308),1)*IF(Upgrades!$T$12="Heliopause",POWER(Upgrades!$U$12,K308),1))+(IF(K308=0,0,(Upgrades!$M$12+K308*Upgrades!$N$12)*POWER(Upgrades!$O$12,K308)))*(IF(Upgrades!$T$6="First Photons",POWER(Upgrades!$U$6,E308),1)*IF(Upgrades!$T$7="First Photons",POWER(Upgrades!$U$7,F308),1)*IF(Upgrades!$T$8="First Photons",POWER(Upgrades!$U$8,G308),1)*IF(Upgrades!$T$9="First Photons",POWER(Upgrades!$U$9,H308),1)*IF(Upgrades!$T$10="First Photons",POWER(Upgrades!$U$10,I308),1)*IF(Upgrades!$T$11="First Photons",POWER(Upgrades!$U$11,J308),1)))*POWER(Upgrades!$R$6,E308)*POWER(Upgrades!$R$7,F308)*POWER(Upgrades!$R$8,G308)*POWER(Upgrades!$R$9,H308)*POWER(Upgrades!$R$10,I308)*POWER(Upgrades!$R$11,J308)*POWER(Upgrades!$R$12,K308)</f>
        <v/>
      </c>
      <c r="P308" s="27">
        <f>IF(L308=1,0,M308*Parameters!$B$10/60*Parameters!$B$11*10)</f>
        <v/>
      </c>
      <c r="Q308" s="27">
        <f>IF(L308=1,0,O308*M308*10)</f>
        <v/>
      </c>
      <c r="R308" s="27">
        <f>IF(L308=1,0,N308*10)</f>
        <v/>
      </c>
      <c r="S308" s="27">
        <f>P308+Q308+R308</f>
        <v/>
      </c>
      <c r="T308" s="22">
        <f>C308+S308</f>
        <v/>
      </c>
      <c r="U308" s="33">
        <f>AX308</f>
        <v/>
      </c>
      <c r="V308" s="22">
        <f>IF(U308="",0,IF(U308="transition",0,IF(U308="SW",AG308,IF(U308="AB",AH308,IF(U308="SC",AI308,IF(U308="Mag",AJ308,IF(U308="OR",AK308,IF(U308="HP",AL308,IF(U308="FP",AM308,0)))))))))</f>
        <v/>
      </c>
      <c r="W308" s="27">
        <f>IF(U308="OR",Upgrades!$F$10,IF(U308="HP",Upgrades!$F$11,IF(U308="transition",-Parameters!$B$18,0)))</f>
        <v/>
      </c>
      <c r="X308" s="22">
        <f>T308-V308</f>
        <v/>
      </c>
      <c r="Y308" s="30">
        <f>M308*Parameters!$B$10/60*Parameters!$B$11+O308*M308+N308</f>
        <v/>
      </c>
      <c r="Z308" s="34">
        <f>IF(U308="transition","→ Tier 2 (Stellar Neighborhood)",IF(U308="FP","First Photons — light begins, system quickens",IF(U308="HP","Heliopause acquired",IF(U308="OR","Orbital Resonance — passive multiplier active",IF(AND(AO308=1,L308=0,AN308&lt;&gt;1),"Cohesion ready (waiting on completionist upgrades)","")))))</f>
        <v/>
      </c>
      <c r="AA308" s="27">
        <f>(IF(E308=0,0,(Upgrades!$G$6+E308*Upgrades!$H$6)*POWER(Upgrades!$I$6,E308)))*(IF(Upgrades!$T$7="Solar Wind",POWER(Upgrades!$U$7,F308),1)*IF(Upgrades!$T$8="Solar Wind",POWER(Upgrades!$U$8,G308),1)*IF(Upgrades!$T$9="Solar Wind",POWER(Upgrades!$U$9,H308),1)*IF(Upgrades!$T$10="Solar Wind",POWER(Upgrades!$U$10,I308),1)*IF(Upgrades!$T$11="Solar Wind",POWER(Upgrades!$U$11,J308),1)*IF(Upgrades!$T$12="Solar Wind",POWER(Upgrades!$U$12,K308),1))*POWER(Upgrades!$P$6,E308)*POWER(Upgrades!$P$7,F308)*POWER(Upgrades!$P$8,G308)*POWER(Upgrades!$P$9,H308)*POWER(Upgrades!$P$10,I308)*POWER(Upgrades!$P$11,J308)*POWER(Upgrades!$P$12,K308)*60</f>
        <v/>
      </c>
      <c r="AB308" s="27">
        <f>(IF(F308=0,0,(Upgrades!$G$7+F308*Upgrades!$H$7)*POWER(Upgrades!$I$7,F308)))*(IF(Upgrades!$T$6="Asteroid Belt",POWER(Upgrades!$U$6,E308),1)*IF(Upgrades!$T$8="Asteroid Belt",POWER(Upgrades!$U$8,G308),1)*IF(Upgrades!$T$9="Asteroid Belt",POWER(Upgrades!$U$9,H308),1)*IF(Upgrades!$T$10="Asteroid Belt",POWER(Upgrades!$U$10,I308),1)*IF(Upgrades!$T$11="Asteroid Belt",POWER(Upgrades!$U$11,J308),1)*IF(Upgrades!$T$12="Asteroid Belt",POWER(Upgrades!$U$12,K308),1))*POWER(Upgrades!$P$6,E308)*POWER(Upgrades!$P$7,F308)*POWER(Upgrades!$P$8,G308)*POWER(Upgrades!$P$9,H308)*POWER(Upgrades!$P$10,I308)*POWER(Upgrades!$P$11,J308)*POWER(Upgrades!$P$12,K308)*60</f>
        <v/>
      </c>
      <c r="AC308" s="27">
        <f>(IF(G308=0,0,(Upgrades!$J$8+G308*Upgrades!$K$8)*POWER(Upgrades!$L$8,G308)))*(IF(Upgrades!$T$6="Stellar Coupling",POWER(Upgrades!$U$6,E308),1)*IF(Upgrades!$T$7="Stellar Coupling",POWER(Upgrades!$U$7,F308),1)*IF(Upgrades!$T$9="Stellar Coupling",POWER(Upgrades!$U$9,H308),1)*IF(Upgrades!$T$10="Stellar Coupling",POWER(Upgrades!$U$10,I308),1)*IF(Upgrades!$T$11="Stellar Coupling",POWER(Upgrades!$U$11,J308),1)*IF(Upgrades!$T$12="Stellar Coupling",POWER(Upgrades!$U$12,K308),1))*POWER(Upgrades!$Q$6,E308)*POWER(Upgrades!$Q$7,F308)*POWER(Upgrades!$Q$8,G308)*POWER(Upgrades!$Q$9,H308)*POWER(Upgrades!$Q$10,I308)*POWER(Upgrades!$Q$11,J308)*POWER(Upgrades!$Q$12,K308)*Parameters!$B$10*Parameters!$B$11</f>
        <v/>
      </c>
      <c r="AD308" s="27">
        <f>(IF(H308=0,0,(Upgrades!$G$9+H308*Upgrades!$H$9)*POWER(Upgrades!$I$9,H308)))*(IF(Upgrades!$T$6="Magnetosphere",POWER(Upgrades!$U$6,E308),1)*IF(Upgrades!$T$7="Magnetosphere",POWER(Upgrades!$U$7,F308),1)*IF(Upgrades!$T$8="Magnetosphere",POWER(Upgrades!$U$8,G308),1)*IF(Upgrades!$T$10="Magnetosphere",POWER(Upgrades!$U$10,I308),1)*IF(Upgrades!$T$11="Magnetosphere",POWER(Upgrades!$U$11,J308),1)*IF(Upgrades!$T$12="Magnetosphere",POWER(Upgrades!$U$12,K308),1))*POWER(Upgrades!$P$6,E308)*POWER(Upgrades!$P$7,F308)*POWER(Upgrades!$P$8,G308)*POWER(Upgrades!$P$9,H308)*POWER(Upgrades!$P$10,I308)*POWER(Upgrades!$P$11,J308)*POWER(Upgrades!$P$12,K308)*60</f>
        <v/>
      </c>
      <c r="AE308" s="27">
        <f>(IF(K308=0,0,(Upgrades!$G$12+K308*Upgrades!$H$12)*POWER(Upgrades!$I$12,K308)))*(IF(Upgrades!$T$6="First Photons",POWER(Upgrades!$U$6,E308),1)*IF(Upgrades!$T$7="First Photons",POWER(Upgrades!$U$7,F308),1)*IF(Upgrades!$T$8="First Photons",POWER(Upgrades!$U$8,G308),1)*IF(Upgrades!$T$9="First Photons",POWER(Upgrades!$U$9,H308),1)*IF(Upgrades!$T$10="First Photons",POWER(Upgrades!$U$10,I308),1)*IF(Upgrades!$T$11="First Photons",POWER(Upgrades!$U$11,J308),1))*POWER(Upgrades!$P$6,E308)*POWER(Upgrades!$P$7,F308)*POWER(Upgrades!$P$8,G308)*POWER(Upgrades!$P$9,H308)*POWER(Upgrades!$P$10,I308)*POWER(Upgrades!$P$11,J308)*POWER(Upgrades!$P$12,K308)*60</f>
        <v/>
      </c>
      <c r="AF308" s="27">
        <f>Parameters!$B$9*POWER(Upgrades!$Q$6,E308)*POWER(Upgrades!$Q$7,F308)*POWER(Upgrades!$Q$8,G308)*POWER(Upgrades!$Q$9,H308)*POWER(Upgrades!$Q$10,I308)*POWER(Upgrades!$Q$11,J308)*POWER(Upgrades!$Q$12,K308)*(Parameters!$B$10*Parameters!$B$11+O308*60)</f>
        <v/>
      </c>
      <c r="AG308" s="22">
        <f>IF(E308&gt;=Upgrades!$E$6,"",Upgrades!$C$6*POWER(Upgrades!$D$6,E308))</f>
        <v/>
      </c>
      <c r="AH308" s="22">
        <f>IF(F308&gt;=Upgrades!$E$7,"",Upgrades!$C$7*POWER(Upgrades!$D$7,F308))</f>
        <v/>
      </c>
      <c r="AI308" s="22">
        <f>IF(G308&gt;=Upgrades!$E$8,"",Upgrades!$C$8*POWER(Upgrades!$D$8,G308))</f>
        <v/>
      </c>
      <c r="AJ308" s="22">
        <f>IF(H308&gt;=Upgrades!$E$9,"",Upgrades!$C$9*POWER(Upgrades!$D$9,H308))</f>
        <v/>
      </c>
      <c r="AK308" s="22">
        <f>IF(I308&gt;=Upgrades!$E$10,"",Upgrades!$C$10*POWER(Upgrades!$D$10,I308))</f>
        <v/>
      </c>
      <c r="AL308" s="22">
        <f>IF(J308&gt;=Upgrades!$E$11,"",Upgrades!$C$11*POWER(Upgrades!$D$11,J308))</f>
        <v/>
      </c>
      <c r="AM308" s="22">
        <f>IF(K308&gt;=Upgrades!$E$12,"",Upgrades!$C$12*POWER(Upgrades!$D$12,K308))</f>
        <v/>
      </c>
      <c r="AN308" s="26">
        <f>IF(AND(D308&gt;=Parameters!$B$18,(H308&gt;=Upgrades!$E$9)*(K308&gt;=Upgrades!$E$12)=1,L308=0),1,"")</f>
        <v/>
      </c>
      <c r="AO308" s="26">
        <f>IF(AND(D308&gt;=Parameters!$B$18,L308=0),1,"")</f>
        <v/>
      </c>
      <c r="AP308" s="22">
        <f>MIN(IF(ISNUMBER(AK308),AK308,9E15),IF(ISNUMBER(AL308),AL308,9E15),IF(ISNUMBER(AM308),AM308,9E15))</f>
        <v/>
      </c>
      <c r="AQ308" s="22">
        <f>MIN(IF(ISNUMBER(AG308),AG308,9E15),IF(ISNUMBER(AH308),AH308,9E15),IF(ISNUMBER(AI308),AI308,9E15),IF(ISNUMBER(AJ308),AJ308,9E15))</f>
        <v/>
      </c>
      <c r="AR308" s="29">
        <f>IF(AW308&gt;Parameters!$B$21*(MAX(IF(AND(NOT(AND(AO308=1,AN308&lt;&gt;1)),ISNUMBER(AG308),AG308&lt;=T308),AS308,0),IF(AND(NOT(AND(AO308=1,AN308&lt;&gt;1)),ISNUMBER(AH308),AH308&lt;=T308),AT308,0),IF(AND(NOT(AND(AO308=1,AN308&lt;&gt;1)),ISNUMBER(AI308),AI308&lt;=T308),AU308,0),IF(AND(ISNUMBER(AJ308),AJ308&lt;=T308),AV308,0))),TRUE,FALSE)</f>
        <v/>
      </c>
      <c r="AS308" s="32">
        <f>IFERROR(Upgrades!$H$6*(POWER(Upgrades!$P$6,E308)*POWER(Upgrades!$P$7,F308)*POWER(Upgrades!$P$8,G308)*POWER(Upgrades!$P$9,H308)*POWER(Upgrades!$P$10,I308)*POWER(Upgrades!$P$11,J308)*POWER(Upgrades!$P$12,K308))*(IF(Upgrades!$T$7="Solar Wind",POWER(Upgrades!$U$7,F308),1)*IF(Upgrades!$T$8="Solar Wind",POWER(Upgrades!$U$8,G308),1)*IF(Upgrades!$T$9="Solar Wind",POWER(Upgrades!$U$9,H308),1)*IF(Upgrades!$T$10="Solar Wind",POWER(Upgrades!$U$10,I308),1)*IF(Upgrades!$T$11="Solar Wind",POWER(Upgrades!$U$11,J308),1)*IF(Upgrades!$T$12="Solar Wind",POWER(Upgrades!$U$12,K308),1))/AG308,0)</f>
        <v/>
      </c>
      <c r="AT308" s="32">
        <f>IFERROR(Upgrades!$H$7*(POWER(Upgrades!$P$6,E308)*POWER(Upgrades!$P$7,F308)*POWER(Upgrades!$P$8,G308)*POWER(Upgrades!$P$9,H308)*POWER(Upgrades!$P$10,I308)*POWER(Upgrades!$P$11,J308)*POWER(Upgrades!$P$12,K308))*(IF(Upgrades!$T$6="Asteroid Belt",POWER(Upgrades!$U$6,E308),1)*IF(Upgrades!$T$8="Asteroid Belt",POWER(Upgrades!$U$8,G308),1)*IF(Upgrades!$T$9="Asteroid Belt",POWER(Upgrades!$U$9,H308),1)*IF(Upgrades!$T$10="Asteroid Belt",POWER(Upgrades!$U$10,I308),1)*IF(Upgrades!$T$11="Asteroid Belt",POWER(Upgrades!$U$11,J308),1)*IF(Upgrades!$T$12="Asteroid Belt",POWER(Upgrades!$U$12,K308),1))/AH308,0)</f>
        <v/>
      </c>
      <c r="AU308" s="32">
        <f>IFERROR(Upgrades!$K$8*(POWER(Upgrades!$Q$6,E308)*POWER(Upgrades!$Q$7,F308)*POWER(Upgrades!$Q$8,G308)*POWER(Upgrades!$Q$9,H308)*POWER(Upgrades!$Q$10,I308)*POWER(Upgrades!$Q$11,J308)*POWER(Upgrades!$Q$12,K308))*(IF(Upgrades!$T$6="Stellar Coupling",POWER(Upgrades!$U$6,E308),1)*IF(Upgrades!$T$7="Stellar Coupling",POWER(Upgrades!$U$7,F308),1)*IF(Upgrades!$T$9="Stellar Coupling",POWER(Upgrades!$U$9,H308),1)*IF(Upgrades!$T$10="Stellar Coupling",POWER(Upgrades!$U$10,I308),1)*IF(Upgrades!$T$11="Stellar Coupling",POWER(Upgrades!$U$11,J308),1)*IF(Upgrades!$T$12="Stellar Coupling",POWER(Upgrades!$U$12,K308),1))*Parameters!$B$10*Parameters!$B$11/60/AI308,0)</f>
        <v/>
      </c>
      <c r="AV308" s="32">
        <f>IFERROR(Upgrades!$H$9*(POWER(Upgrades!$P$6,E308)*POWER(Upgrades!$P$7,F308)*POWER(Upgrades!$P$8,G308)*POWER(Upgrades!$P$9,H308)*POWER(Upgrades!$P$10,I308)*POWER(Upgrades!$P$11,J308)*POWER(Upgrades!$P$12,K308))*(IF(Upgrades!$T$6="Magnetosphere",POWER(Upgrades!$U$6,E308),1)*IF(Upgrades!$T$7="Magnetosphere",POWER(Upgrades!$U$7,F308),1)*IF(Upgrades!$T$8="Magnetosphere",POWER(Upgrades!$U$8,G308),1)*IF(Upgrades!$T$10="Magnetosphere",POWER(Upgrades!$U$10,I308),1)*IF(Upgrades!$T$11="Magnetosphere",POWER(Upgrades!$U$11,J308),1)*IF(Upgrades!$T$12="Magnetosphere",POWER(Upgrades!$U$12,K308),1))/AJ308,0)</f>
        <v/>
      </c>
      <c r="AW308" s="32">
        <f>MAX(IF(I308&gt;0,0,IFERROR(0.25*N308/Upgrades!$C$10,0)),IF(J308&gt;0,0,IFERROR(0.5*((IF(G308=0,0,(Upgrades!$J$8+G308*Upgrades!$K$8)*POWER(Upgrades!$L$8,G308)))*(IF(Upgrades!$T$6="Stellar Coupling",POWER(Upgrades!$U$6,E308),1)*IF(Upgrades!$T$7="Stellar Coupling",POWER(Upgrades!$U$7,F308),1)*IF(Upgrades!$T$9="Stellar Coupling",POWER(Upgrades!$U$9,H308),1)*IF(Upgrades!$T$10="Stellar Coupling",POWER(Upgrades!$U$10,I308),1)*IF(Upgrades!$T$11="Stellar Coupling",POWER(Upgrades!$U$11,J308),1)*IF(Upgrades!$T$12="Stellar Coupling",POWER(Upgrades!$U$12,K308),1))*(POWER(Upgrades!$Q$6,E308)*POWER(Upgrades!$Q$7,F308)*POWER(Upgrades!$Q$8,G308)*POWER(Upgrades!$Q$9,H308)*POWER(Upgrades!$Q$10,I308)*POWER(Upgrades!$Q$11,J308)*POWER(Upgrades!$Q$12,K308))*Parameters!$B$10*Parameters!$B$11/60)/Upgrades!$C$11,0)),IF(K308&gt;0,0,IFERROR((1.0*(POWER(Upgrades!$P$6,E308)*POWER(Upgrades!$P$7,F308)*POWER(Upgrades!$P$8,G308)*POWER(Upgrades!$P$9,H308)*POWER(Upgrades!$P$10,I308)*POWER(Upgrades!$P$11,J308)*POWER(Upgrades!$P$12,K308))+0.20*M308*Parameters!$B$10*Parameters!$B$11/60)/Upgrades!$C$12,0)),IF(AND(ISNUMBER(AG308),AG308&gt;T308),AS308,0),IF(AND(ISNUMBER(AH308),AH308&gt;T308),AT308,0),IF(AND(ISNUMBER(AI308),AI308&gt;T308),AU308,0),IF(AND(ISNUMBER(AJ308),AJ308&gt;T308),AV308,0))</f>
        <v/>
      </c>
      <c r="AX308" s="29">
        <f>IF(AN308=1,"transition",IF(MIN(IF(AND(I308=0,ISNUMBER(AK308),AK308&lt;=T308),AK308,9E15),IF(AND(J308=0,ISNUMBER(AL308),AL308&lt;=T308),AL308,9E15),IF(AND(K308=0,ISNUMBER(AM308),AM308&lt;=T308),AM308,9E15))&lt;9E15,IF(AND(AND(I308=0,ISNUMBER(AK308),AK308&lt;=T308),AK308=MIN(IF(AND(I308=0,ISNUMBER(AK308),AK308&lt;=T308),AK308,9E15),IF(AND(J308=0,ISNUMBER(AL308),AL308&lt;=T308),AL308,9E15),IF(AND(K308=0,ISNUMBER(AM308),AM308&lt;=T308),AM308,9E15))),"OR",IF(AND(AND(J308=0,ISNUMBER(AL308),AL308&lt;=T308),AL308=MIN(IF(AND(I308=0,ISNUMBER(AK308),AK308&lt;=T308),AK308,9E15),IF(AND(J308=0,ISNUMBER(AL308),AL308&lt;=T308),AL308,9E15),IF(AND(K308=0,ISNUMBER(AM308),AM308&lt;=T308),AM308,9E15))),"HP","FP")),IF(AR308=TRUE,"",IF(MAX(IF(AND(NOT(AND(AO308=1,AN308&lt;&gt;1)),ISNUMBER(AG308),AG308&lt;=T308),AS308,0),IF(AND(NOT(AND(AO308=1,AN308&lt;&gt;1)),ISNUMBER(AH308),AH308&lt;=T308),AT308,0),IF(AND(NOT(AND(AO308=1,AN308&lt;&gt;1)),ISNUMBER(AI308),AI308&lt;=T308),AU308,0),IF(AND(ISNUMBER(AJ308),AJ308&lt;=T308),AV308,0))&lt;=0,"",IF(AND(IF(AND(NOT(AND(AO308=1,AN308&lt;&gt;1)),ISNUMBER(AG308),AG308&lt;=T308),AS308,0)&gt;0,IF(AND(NOT(AND(AO308=1,AN308&lt;&gt;1)),ISNUMBER(AG308),AG308&lt;=T308),AS308,0)=MAX(IF(AND(NOT(AND(AO308=1,AN308&lt;&gt;1)),ISNUMBER(AG308),AG308&lt;=T308),AS308,0),IF(AND(NOT(AND(AO308=1,AN308&lt;&gt;1)),ISNUMBER(AH308),AH308&lt;=T308),AT308,0),IF(AND(NOT(AND(AO308=1,AN308&lt;&gt;1)),ISNUMBER(AI308),AI308&lt;=T308),AU308,0),IF(AND(ISNUMBER(AJ308),AJ308&lt;=T308),AV308,0))),"SW",IF(AND(IF(AND(NOT(AND(AO308=1,AN308&lt;&gt;1)),ISNUMBER(AH308),AH308&lt;=T308),AT308,0)&gt;0,IF(AND(NOT(AND(AO308=1,AN308&lt;&gt;1)),ISNUMBER(AH308),AH308&lt;=T308),AT308,0)=MAX(IF(AND(NOT(AND(AO308=1,AN308&lt;&gt;1)),ISNUMBER(AG308),AG308&lt;=T308),AS308,0),IF(AND(NOT(AND(AO308=1,AN308&lt;&gt;1)),ISNUMBER(AH308),AH308&lt;=T308),AT308,0),IF(AND(NOT(AND(AO308=1,AN308&lt;&gt;1)),ISNUMBER(AI308),AI308&lt;=T308),AU308,0),IF(AND(ISNUMBER(AJ308),AJ308&lt;=T308),AV308,0))),"AB",IF(AND(IF(AND(NOT(AND(AO308=1,AN308&lt;&gt;1)),ISNUMBER(AI308),AI308&lt;=T308),AU308,0)&gt;0,IF(AND(NOT(AND(AO308=1,AN308&lt;&gt;1)),ISNUMBER(AI308),AI308&lt;=T308),AU308,0)=MAX(IF(AND(NOT(AND(AO308=1,AN308&lt;&gt;1)),ISNUMBER(AG308),AG308&lt;=T308),AS308,0),IF(AND(NOT(AND(AO308=1,AN308&lt;&gt;1)),ISNUMBER(AH308),AH308&lt;=T308),AT308,0),IF(AND(NOT(AND(AO308=1,AN308&lt;&gt;1)),ISNUMBER(AI308),AI308&lt;=T308),AU308,0),IF(AND(ISNUMBER(AJ308),AJ308&lt;=T308),AV308,0))),"SC","Mag")))))))</f>
        <v/>
      </c>
    </row>
    <row r="309">
      <c r="A309" s="26" t="n">
        <v>304</v>
      </c>
      <c r="B309" s="27">
        <f>A309*10/60</f>
        <v/>
      </c>
      <c r="C309" s="22">
        <f>X308</f>
        <v/>
      </c>
      <c r="D309" s="27">
        <f>D308+W308</f>
        <v/>
      </c>
      <c r="E309" s="26">
        <f>E308+IF(U308="SW",1,0)</f>
        <v/>
      </c>
      <c r="F309" s="26">
        <f>F308+IF(U308="AB",1,0)</f>
        <v/>
      </c>
      <c r="G309" s="26">
        <f>G308+IF(U308="SC",1,0)</f>
        <v/>
      </c>
      <c r="H309" s="26">
        <f>H308+IF(U308="Mag",1,0)</f>
        <v/>
      </c>
      <c r="I309" s="26">
        <f>MAX(I308,IF(U308="OR",1,0))</f>
        <v/>
      </c>
      <c r="J309" s="26">
        <f>MAX(J308,IF(U308="HP",1,0))</f>
        <v/>
      </c>
      <c r="K309" s="26">
        <f>MAX(K308,IF(U308="FP",1,0))</f>
        <v/>
      </c>
      <c r="L309" s="26">
        <f>MAX(L308,IF(U308="transition",1,0))</f>
        <v/>
      </c>
      <c r="M309" s="28">
        <f>(Parameters!$B$9+(IF(E309=0,0,(Upgrades!$J$6+E309*Upgrades!$K$6)*POWER(Upgrades!$L$6,E309)))*(IF(Upgrades!$T$7="Solar Wind",POWER(Upgrades!$U$7,F309),1)*IF(Upgrades!$T$8="Solar Wind",POWER(Upgrades!$U$8,G309),1)*IF(Upgrades!$T$9="Solar Wind",POWER(Upgrades!$U$9,H309),1)*IF(Upgrades!$T$10="Solar Wind",POWER(Upgrades!$U$10,I309),1)*IF(Upgrades!$T$11="Solar Wind",POWER(Upgrades!$U$11,J309),1)*IF(Upgrades!$T$12="Solar Wind",POWER(Upgrades!$U$12,K309),1))+(IF(F309=0,0,(Upgrades!$J$7+F309*Upgrades!$K$7)*POWER(Upgrades!$L$7,F309)))*(IF(Upgrades!$T$6="Asteroid Belt",POWER(Upgrades!$U$6,E309),1)*IF(Upgrades!$T$8="Asteroid Belt",POWER(Upgrades!$U$8,G309),1)*IF(Upgrades!$T$9="Asteroid Belt",POWER(Upgrades!$U$9,H309),1)*IF(Upgrades!$T$10="Asteroid Belt",POWER(Upgrades!$U$10,I309),1)*IF(Upgrades!$T$11="Asteroid Belt",POWER(Upgrades!$U$11,J309),1)*IF(Upgrades!$T$12="Asteroid Belt",POWER(Upgrades!$U$12,K309),1))+(IF(G309=0,0,(Upgrades!$J$8+G309*Upgrades!$K$8)*POWER(Upgrades!$L$8,G309)))*(IF(Upgrades!$T$6="Stellar Coupling",POWER(Upgrades!$U$6,E309),1)*IF(Upgrades!$T$7="Stellar Coupling",POWER(Upgrades!$U$7,F309),1)*IF(Upgrades!$T$9="Stellar Coupling",POWER(Upgrades!$U$9,H309),1)*IF(Upgrades!$T$10="Stellar Coupling",POWER(Upgrades!$U$10,I309),1)*IF(Upgrades!$T$11="Stellar Coupling",POWER(Upgrades!$U$11,J309),1)*IF(Upgrades!$T$12="Stellar Coupling",POWER(Upgrades!$U$12,K309),1))+(IF(H309=0,0,(Upgrades!$J$9+H309*Upgrades!$K$9)*POWER(Upgrades!$L$9,H309)))*(IF(Upgrades!$T$6="Magnetosphere",POWER(Upgrades!$U$6,E309),1)*IF(Upgrades!$T$7="Magnetosphere",POWER(Upgrades!$U$7,F309),1)*IF(Upgrades!$T$8="Magnetosphere",POWER(Upgrades!$U$8,G309),1)*IF(Upgrades!$T$10="Magnetosphere",POWER(Upgrades!$U$10,I309),1)*IF(Upgrades!$T$11="Magnetosphere",POWER(Upgrades!$U$11,J309),1)*IF(Upgrades!$T$12="Magnetosphere",POWER(Upgrades!$U$12,K309),1))+(IF(I309=0,0,(Upgrades!$J$10+I309*Upgrades!$K$10)*POWER(Upgrades!$L$10,I309)))*(IF(Upgrades!$T$6="Orbital Resonance",POWER(Upgrades!$U$6,E309),1)*IF(Upgrades!$T$7="Orbital Resonance",POWER(Upgrades!$U$7,F309),1)*IF(Upgrades!$T$8="Orbital Resonance",POWER(Upgrades!$U$8,G309),1)*IF(Upgrades!$T$9="Orbital Resonance",POWER(Upgrades!$U$9,H309),1)*IF(Upgrades!$T$11="Orbital Resonance",POWER(Upgrades!$U$11,J309),1)*IF(Upgrades!$T$12="Orbital Resonance",POWER(Upgrades!$U$12,K309),1))+(IF(J309=0,0,(Upgrades!$J$11+J309*Upgrades!$K$11)*POWER(Upgrades!$L$11,J309)))*(IF(Upgrades!$T$6="Heliopause",POWER(Upgrades!$U$6,E309),1)*IF(Upgrades!$T$7="Heliopause",POWER(Upgrades!$U$7,F309),1)*IF(Upgrades!$T$8="Heliopause",POWER(Upgrades!$U$8,G309),1)*IF(Upgrades!$T$9="Heliopause",POWER(Upgrades!$U$9,H309),1)*IF(Upgrades!$T$10="Heliopause",POWER(Upgrades!$U$10,I309),1)*IF(Upgrades!$T$12="Heliopause",POWER(Upgrades!$U$12,K309),1))+(IF(K309=0,0,(Upgrades!$J$12+K309*Upgrades!$K$12)*POWER(Upgrades!$L$12,K309)))*(IF(Upgrades!$T$6="First Photons",POWER(Upgrades!$U$6,E309),1)*IF(Upgrades!$T$7="First Photons",POWER(Upgrades!$U$7,F309),1)*IF(Upgrades!$T$8="First Photons",POWER(Upgrades!$U$8,G309),1)*IF(Upgrades!$T$9="First Photons",POWER(Upgrades!$U$9,H309),1)*IF(Upgrades!$T$10="First Photons",POWER(Upgrades!$U$10,I309),1)*IF(Upgrades!$T$11="First Photons",POWER(Upgrades!$U$11,J309),1)))*POWER(Upgrades!$Q$6,E309)*POWER(Upgrades!$Q$7,F309)*POWER(Upgrades!$Q$8,G309)*POWER(Upgrades!$Q$9,H309)*POWER(Upgrades!$Q$10,I309)*POWER(Upgrades!$Q$11,J309)*POWER(Upgrades!$Q$12,K309)</f>
        <v/>
      </c>
      <c r="N309" s="28">
        <f>((IF(E309=0,0,(Upgrades!$G$6+E309*Upgrades!$H$6)*POWER(Upgrades!$I$6,E309)))*(IF(Upgrades!$T$7="Solar Wind",POWER(Upgrades!$U$7,F309),1)*IF(Upgrades!$T$8="Solar Wind",POWER(Upgrades!$U$8,G309),1)*IF(Upgrades!$T$9="Solar Wind",POWER(Upgrades!$U$9,H309),1)*IF(Upgrades!$T$10="Solar Wind",POWER(Upgrades!$U$10,I309),1)*IF(Upgrades!$T$11="Solar Wind",POWER(Upgrades!$U$11,J309),1)*IF(Upgrades!$T$12="Solar Wind",POWER(Upgrades!$U$12,K309),1))+(IF(F309=0,0,(Upgrades!$G$7+F309*Upgrades!$H$7)*POWER(Upgrades!$I$7,F309)))*(IF(Upgrades!$T$6="Asteroid Belt",POWER(Upgrades!$U$6,E309),1)*IF(Upgrades!$T$8="Asteroid Belt",POWER(Upgrades!$U$8,G309),1)*IF(Upgrades!$T$9="Asteroid Belt",POWER(Upgrades!$U$9,H309),1)*IF(Upgrades!$T$10="Asteroid Belt",POWER(Upgrades!$U$10,I309),1)*IF(Upgrades!$T$11="Asteroid Belt",POWER(Upgrades!$U$11,J309),1)*IF(Upgrades!$T$12="Asteroid Belt",POWER(Upgrades!$U$12,K309),1))+(IF(G309=0,0,(Upgrades!$G$8+G309*Upgrades!$H$8)*POWER(Upgrades!$I$8,G309)))*(IF(Upgrades!$T$6="Stellar Coupling",POWER(Upgrades!$U$6,E309),1)*IF(Upgrades!$T$7="Stellar Coupling",POWER(Upgrades!$U$7,F309),1)*IF(Upgrades!$T$9="Stellar Coupling",POWER(Upgrades!$U$9,H309),1)*IF(Upgrades!$T$10="Stellar Coupling",POWER(Upgrades!$U$10,I309),1)*IF(Upgrades!$T$11="Stellar Coupling",POWER(Upgrades!$U$11,J309),1)*IF(Upgrades!$T$12="Stellar Coupling",POWER(Upgrades!$U$12,K309),1))+(IF(H309=0,0,(Upgrades!$G$9+H309*Upgrades!$H$9)*POWER(Upgrades!$I$9,H309)))*(IF(Upgrades!$T$6="Magnetosphere",POWER(Upgrades!$U$6,E309),1)*IF(Upgrades!$T$7="Magnetosphere",POWER(Upgrades!$U$7,F309),1)*IF(Upgrades!$T$8="Magnetosphere",POWER(Upgrades!$U$8,G309),1)*IF(Upgrades!$T$10="Magnetosphere",POWER(Upgrades!$U$10,I309),1)*IF(Upgrades!$T$11="Magnetosphere",POWER(Upgrades!$U$11,J309),1)*IF(Upgrades!$T$12="Magnetosphere",POWER(Upgrades!$U$12,K309),1))+(IF(I309=0,0,(Upgrades!$G$10+I309*Upgrades!$H$10)*POWER(Upgrades!$I$10,I309)))*(IF(Upgrades!$T$6="Orbital Resonance",POWER(Upgrades!$U$6,E309),1)*IF(Upgrades!$T$7="Orbital Resonance",POWER(Upgrades!$U$7,F309),1)*IF(Upgrades!$T$8="Orbital Resonance",POWER(Upgrades!$U$8,G309),1)*IF(Upgrades!$T$9="Orbital Resonance",POWER(Upgrades!$U$9,H309),1)*IF(Upgrades!$T$11="Orbital Resonance",POWER(Upgrades!$U$11,J309),1)*IF(Upgrades!$T$12="Orbital Resonance",POWER(Upgrades!$U$12,K309),1))+(IF(J309=0,0,(Upgrades!$G$11+J309*Upgrades!$H$11)*POWER(Upgrades!$I$11,J309)))*(IF(Upgrades!$T$6="Heliopause",POWER(Upgrades!$U$6,E309),1)*IF(Upgrades!$T$7="Heliopause",POWER(Upgrades!$U$7,F309),1)*IF(Upgrades!$T$8="Heliopause",POWER(Upgrades!$U$8,G309),1)*IF(Upgrades!$T$9="Heliopause",POWER(Upgrades!$U$9,H309),1)*IF(Upgrades!$T$10="Heliopause",POWER(Upgrades!$U$10,I309),1)*IF(Upgrades!$T$12="Heliopause",POWER(Upgrades!$U$12,K309),1))+(IF(K309=0,0,(Upgrades!$G$12+K309*Upgrades!$H$12)*POWER(Upgrades!$I$12,K309)))*(IF(Upgrades!$T$6="First Photons",POWER(Upgrades!$U$6,E309),1)*IF(Upgrades!$T$7="First Photons",POWER(Upgrades!$U$7,F309),1)*IF(Upgrades!$T$8="First Photons",POWER(Upgrades!$U$8,G309),1)*IF(Upgrades!$T$9="First Photons",POWER(Upgrades!$U$9,H309),1)*IF(Upgrades!$T$10="First Photons",POWER(Upgrades!$U$10,I309),1)*IF(Upgrades!$T$11="First Photons",POWER(Upgrades!$U$11,J309),1)))*POWER(Upgrades!$P$6,E309)*POWER(Upgrades!$P$7,F309)*POWER(Upgrades!$P$8,G309)*POWER(Upgrades!$P$9,H309)*POWER(Upgrades!$P$10,I309)*POWER(Upgrades!$P$11,J309)*POWER(Upgrades!$P$12,K309)</f>
        <v/>
      </c>
      <c r="O309" s="28">
        <f>((IF(E309=0,0,(Upgrades!$M$6+E309*Upgrades!$N$6)*POWER(Upgrades!$O$6,E309)))*(IF(Upgrades!$T$7="Solar Wind",POWER(Upgrades!$U$7,F309),1)*IF(Upgrades!$T$8="Solar Wind",POWER(Upgrades!$U$8,G309),1)*IF(Upgrades!$T$9="Solar Wind",POWER(Upgrades!$U$9,H309),1)*IF(Upgrades!$T$10="Solar Wind",POWER(Upgrades!$U$10,I309),1)*IF(Upgrades!$T$11="Solar Wind",POWER(Upgrades!$U$11,J309),1)*IF(Upgrades!$T$12="Solar Wind",POWER(Upgrades!$U$12,K309),1))+(IF(F309=0,0,(Upgrades!$M$7+F309*Upgrades!$N$7)*POWER(Upgrades!$O$7,F309)))*(IF(Upgrades!$T$6="Asteroid Belt",POWER(Upgrades!$U$6,E309),1)*IF(Upgrades!$T$8="Asteroid Belt",POWER(Upgrades!$U$8,G309),1)*IF(Upgrades!$T$9="Asteroid Belt",POWER(Upgrades!$U$9,H309),1)*IF(Upgrades!$T$10="Asteroid Belt",POWER(Upgrades!$U$10,I309),1)*IF(Upgrades!$T$11="Asteroid Belt",POWER(Upgrades!$U$11,J309),1)*IF(Upgrades!$T$12="Asteroid Belt",POWER(Upgrades!$U$12,K309),1))+(IF(G309=0,0,(Upgrades!$M$8+G309*Upgrades!$N$8)*POWER(Upgrades!$O$8,G309)))*(IF(Upgrades!$T$6="Stellar Coupling",POWER(Upgrades!$U$6,E309),1)*IF(Upgrades!$T$7="Stellar Coupling",POWER(Upgrades!$U$7,F309),1)*IF(Upgrades!$T$9="Stellar Coupling",POWER(Upgrades!$U$9,H309),1)*IF(Upgrades!$T$10="Stellar Coupling",POWER(Upgrades!$U$10,I309),1)*IF(Upgrades!$T$11="Stellar Coupling",POWER(Upgrades!$U$11,J309),1)*IF(Upgrades!$T$12="Stellar Coupling",POWER(Upgrades!$U$12,K309),1))+(IF(H309=0,0,(Upgrades!$M$9+H309*Upgrades!$N$9)*POWER(Upgrades!$O$9,H309)))*(IF(Upgrades!$T$6="Magnetosphere",POWER(Upgrades!$U$6,E309),1)*IF(Upgrades!$T$7="Magnetosphere",POWER(Upgrades!$U$7,F309),1)*IF(Upgrades!$T$8="Magnetosphere",POWER(Upgrades!$U$8,G309),1)*IF(Upgrades!$T$10="Magnetosphere",POWER(Upgrades!$U$10,I309),1)*IF(Upgrades!$T$11="Magnetosphere",POWER(Upgrades!$U$11,J309),1)*IF(Upgrades!$T$12="Magnetosphere",POWER(Upgrades!$U$12,K309),1))+(IF(I309=0,0,(Upgrades!$M$10+I309*Upgrades!$N$10)*POWER(Upgrades!$O$10,I309)))*(IF(Upgrades!$T$6="Orbital Resonance",POWER(Upgrades!$U$6,E309),1)*IF(Upgrades!$T$7="Orbital Resonance",POWER(Upgrades!$U$7,F309),1)*IF(Upgrades!$T$8="Orbital Resonance",POWER(Upgrades!$U$8,G309),1)*IF(Upgrades!$T$9="Orbital Resonance",POWER(Upgrades!$U$9,H309),1)*IF(Upgrades!$T$11="Orbital Resonance",POWER(Upgrades!$U$11,J309),1)*IF(Upgrades!$T$12="Orbital Resonance",POWER(Upgrades!$U$12,K309),1))+(IF(J309=0,0,(Upgrades!$M$11+J309*Upgrades!$N$11)*POWER(Upgrades!$O$11,J309)))*(IF(Upgrades!$T$6="Heliopause",POWER(Upgrades!$U$6,E309),1)*IF(Upgrades!$T$7="Heliopause",POWER(Upgrades!$U$7,F309),1)*IF(Upgrades!$T$8="Heliopause",POWER(Upgrades!$U$8,G309),1)*IF(Upgrades!$T$9="Heliopause",POWER(Upgrades!$U$9,H309),1)*IF(Upgrades!$T$10="Heliopause",POWER(Upgrades!$U$10,I309),1)*IF(Upgrades!$T$12="Heliopause",POWER(Upgrades!$U$12,K309),1))+(IF(K309=0,0,(Upgrades!$M$12+K309*Upgrades!$N$12)*POWER(Upgrades!$O$12,K309)))*(IF(Upgrades!$T$6="First Photons",POWER(Upgrades!$U$6,E309),1)*IF(Upgrades!$T$7="First Photons",POWER(Upgrades!$U$7,F309),1)*IF(Upgrades!$T$8="First Photons",POWER(Upgrades!$U$8,G309),1)*IF(Upgrades!$T$9="First Photons",POWER(Upgrades!$U$9,H309),1)*IF(Upgrades!$T$10="First Photons",POWER(Upgrades!$U$10,I309),1)*IF(Upgrades!$T$11="First Photons",POWER(Upgrades!$U$11,J309),1)))*POWER(Upgrades!$R$6,E309)*POWER(Upgrades!$R$7,F309)*POWER(Upgrades!$R$8,G309)*POWER(Upgrades!$R$9,H309)*POWER(Upgrades!$R$10,I309)*POWER(Upgrades!$R$11,J309)*POWER(Upgrades!$R$12,K309)</f>
        <v/>
      </c>
      <c r="P309" s="27">
        <f>IF(L309=1,0,M309*Parameters!$B$10/60*Parameters!$B$11*10)</f>
        <v/>
      </c>
      <c r="Q309" s="27">
        <f>IF(L309=1,0,O309*M309*10)</f>
        <v/>
      </c>
      <c r="R309" s="27">
        <f>IF(L309=1,0,N309*10)</f>
        <v/>
      </c>
      <c r="S309" s="27">
        <f>P309+Q309+R309</f>
        <v/>
      </c>
      <c r="T309" s="22">
        <f>C309+S309</f>
        <v/>
      </c>
      <c r="U309" s="33">
        <f>AX309</f>
        <v/>
      </c>
      <c r="V309" s="22">
        <f>IF(U309="",0,IF(U309="transition",0,IF(U309="SW",AG309,IF(U309="AB",AH309,IF(U309="SC",AI309,IF(U309="Mag",AJ309,IF(U309="OR",AK309,IF(U309="HP",AL309,IF(U309="FP",AM309,0)))))))))</f>
        <v/>
      </c>
      <c r="W309" s="27">
        <f>IF(U309="OR",Upgrades!$F$10,IF(U309="HP",Upgrades!$F$11,IF(U309="transition",-Parameters!$B$18,0)))</f>
        <v/>
      </c>
      <c r="X309" s="22">
        <f>T309-V309</f>
        <v/>
      </c>
      <c r="Y309" s="30">
        <f>M309*Parameters!$B$10/60*Parameters!$B$11+O309*M309+N309</f>
        <v/>
      </c>
      <c r="Z309" s="34">
        <f>IF(U309="transition","→ Tier 2 (Stellar Neighborhood)",IF(U309="FP","First Photons — light begins, system quickens",IF(U309="HP","Heliopause acquired",IF(U309="OR","Orbital Resonance — passive multiplier active",IF(AND(AO309=1,L309=0,AN309&lt;&gt;1),"Cohesion ready (waiting on completionist upgrades)","")))))</f>
        <v/>
      </c>
      <c r="AA309" s="27">
        <f>(IF(E309=0,0,(Upgrades!$G$6+E309*Upgrades!$H$6)*POWER(Upgrades!$I$6,E309)))*(IF(Upgrades!$T$7="Solar Wind",POWER(Upgrades!$U$7,F309),1)*IF(Upgrades!$T$8="Solar Wind",POWER(Upgrades!$U$8,G309),1)*IF(Upgrades!$T$9="Solar Wind",POWER(Upgrades!$U$9,H309),1)*IF(Upgrades!$T$10="Solar Wind",POWER(Upgrades!$U$10,I309),1)*IF(Upgrades!$T$11="Solar Wind",POWER(Upgrades!$U$11,J309),1)*IF(Upgrades!$T$12="Solar Wind",POWER(Upgrades!$U$12,K309),1))*POWER(Upgrades!$P$6,E309)*POWER(Upgrades!$P$7,F309)*POWER(Upgrades!$P$8,G309)*POWER(Upgrades!$P$9,H309)*POWER(Upgrades!$P$10,I309)*POWER(Upgrades!$P$11,J309)*POWER(Upgrades!$P$12,K309)*60</f>
        <v/>
      </c>
      <c r="AB309" s="27">
        <f>(IF(F309=0,0,(Upgrades!$G$7+F309*Upgrades!$H$7)*POWER(Upgrades!$I$7,F309)))*(IF(Upgrades!$T$6="Asteroid Belt",POWER(Upgrades!$U$6,E309),1)*IF(Upgrades!$T$8="Asteroid Belt",POWER(Upgrades!$U$8,G309),1)*IF(Upgrades!$T$9="Asteroid Belt",POWER(Upgrades!$U$9,H309),1)*IF(Upgrades!$T$10="Asteroid Belt",POWER(Upgrades!$U$10,I309),1)*IF(Upgrades!$T$11="Asteroid Belt",POWER(Upgrades!$U$11,J309),1)*IF(Upgrades!$T$12="Asteroid Belt",POWER(Upgrades!$U$12,K309),1))*POWER(Upgrades!$P$6,E309)*POWER(Upgrades!$P$7,F309)*POWER(Upgrades!$P$8,G309)*POWER(Upgrades!$P$9,H309)*POWER(Upgrades!$P$10,I309)*POWER(Upgrades!$P$11,J309)*POWER(Upgrades!$P$12,K309)*60</f>
        <v/>
      </c>
      <c r="AC309" s="27">
        <f>(IF(G309=0,0,(Upgrades!$J$8+G309*Upgrades!$K$8)*POWER(Upgrades!$L$8,G309)))*(IF(Upgrades!$T$6="Stellar Coupling",POWER(Upgrades!$U$6,E309),1)*IF(Upgrades!$T$7="Stellar Coupling",POWER(Upgrades!$U$7,F309),1)*IF(Upgrades!$T$9="Stellar Coupling",POWER(Upgrades!$U$9,H309),1)*IF(Upgrades!$T$10="Stellar Coupling",POWER(Upgrades!$U$10,I309),1)*IF(Upgrades!$T$11="Stellar Coupling",POWER(Upgrades!$U$11,J309),1)*IF(Upgrades!$T$12="Stellar Coupling",POWER(Upgrades!$U$12,K309),1))*POWER(Upgrades!$Q$6,E309)*POWER(Upgrades!$Q$7,F309)*POWER(Upgrades!$Q$8,G309)*POWER(Upgrades!$Q$9,H309)*POWER(Upgrades!$Q$10,I309)*POWER(Upgrades!$Q$11,J309)*POWER(Upgrades!$Q$12,K309)*Parameters!$B$10*Parameters!$B$11</f>
        <v/>
      </c>
      <c r="AD309" s="27">
        <f>(IF(H309=0,0,(Upgrades!$G$9+H309*Upgrades!$H$9)*POWER(Upgrades!$I$9,H309)))*(IF(Upgrades!$T$6="Magnetosphere",POWER(Upgrades!$U$6,E309),1)*IF(Upgrades!$T$7="Magnetosphere",POWER(Upgrades!$U$7,F309),1)*IF(Upgrades!$T$8="Magnetosphere",POWER(Upgrades!$U$8,G309),1)*IF(Upgrades!$T$10="Magnetosphere",POWER(Upgrades!$U$10,I309),1)*IF(Upgrades!$T$11="Magnetosphere",POWER(Upgrades!$U$11,J309),1)*IF(Upgrades!$T$12="Magnetosphere",POWER(Upgrades!$U$12,K309),1))*POWER(Upgrades!$P$6,E309)*POWER(Upgrades!$P$7,F309)*POWER(Upgrades!$P$8,G309)*POWER(Upgrades!$P$9,H309)*POWER(Upgrades!$P$10,I309)*POWER(Upgrades!$P$11,J309)*POWER(Upgrades!$P$12,K309)*60</f>
        <v/>
      </c>
      <c r="AE309" s="27">
        <f>(IF(K309=0,0,(Upgrades!$G$12+K309*Upgrades!$H$12)*POWER(Upgrades!$I$12,K309)))*(IF(Upgrades!$T$6="First Photons",POWER(Upgrades!$U$6,E309),1)*IF(Upgrades!$T$7="First Photons",POWER(Upgrades!$U$7,F309),1)*IF(Upgrades!$T$8="First Photons",POWER(Upgrades!$U$8,G309),1)*IF(Upgrades!$T$9="First Photons",POWER(Upgrades!$U$9,H309),1)*IF(Upgrades!$T$10="First Photons",POWER(Upgrades!$U$10,I309),1)*IF(Upgrades!$T$11="First Photons",POWER(Upgrades!$U$11,J309),1))*POWER(Upgrades!$P$6,E309)*POWER(Upgrades!$P$7,F309)*POWER(Upgrades!$P$8,G309)*POWER(Upgrades!$P$9,H309)*POWER(Upgrades!$P$10,I309)*POWER(Upgrades!$P$11,J309)*POWER(Upgrades!$P$12,K309)*60</f>
        <v/>
      </c>
      <c r="AF309" s="27">
        <f>Parameters!$B$9*POWER(Upgrades!$Q$6,E309)*POWER(Upgrades!$Q$7,F309)*POWER(Upgrades!$Q$8,G309)*POWER(Upgrades!$Q$9,H309)*POWER(Upgrades!$Q$10,I309)*POWER(Upgrades!$Q$11,J309)*POWER(Upgrades!$Q$12,K309)*(Parameters!$B$10*Parameters!$B$11+O309*60)</f>
        <v/>
      </c>
      <c r="AG309" s="22">
        <f>IF(E309&gt;=Upgrades!$E$6,"",Upgrades!$C$6*POWER(Upgrades!$D$6,E309))</f>
        <v/>
      </c>
      <c r="AH309" s="22">
        <f>IF(F309&gt;=Upgrades!$E$7,"",Upgrades!$C$7*POWER(Upgrades!$D$7,F309))</f>
        <v/>
      </c>
      <c r="AI309" s="22">
        <f>IF(G309&gt;=Upgrades!$E$8,"",Upgrades!$C$8*POWER(Upgrades!$D$8,G309))</f>
        <v/>
      </c>
      <c r="AJ309" s="22">
        <f>IF(H309&gt;=Upgrades!$E$9,"",Upgrades!$C$9*POWER(Upgrades!$D$9,H309))</f>
        <v/>
      </c>
      <c r="AK309" s="22">
        <f>IF(I309&gt;=Upgrades!$E$10,"",Upgrades!$C$10*POWER(Upgrades!$D$10,I309))</f>
        <v/>
      </c>
      <c r="AL309" s="22">
        <f>IF(J309&gt;=Upgrades!$E$11,"",Upgrades!$C$11*POWER(Upgrades!$D$11,J309))</f>
        <v/>
      </c>
      <c r="AM309" s="22">
        <f>IF(K309&gt;=Upgrades!$E$12,"",Upgrades!$C$12*POWER(Upgrades!$D$12,K309))</f>
        <v/>
      </c>
      <c r="AN309" s="26">
        <f>IF(AND(D309&gt;=Parameters!$B$18,(H309&gt;=Upgrades!$E$9)*(K309&gt;=Upgrades!$E$12)=1,L309=0),1,"")</f>
        <v/>
      </c>
      <c r="AO309" s="26">
        <f>IF(AND(D309&gt;=Parameters!$B$18,L309=0),1,"")</f>
        <v/>
      </c>
      <c r="AP309" s="22">
        <f>MIN(IF(ISNUMBER(AK309),AK309,9E15),IF(ISNUMBER(AL309),AL309,9E15),IF(ISNUMBER(AM309),AM309,9E15))</f>
        <v/>
      </c>
      <c r="AQ309" s="22">
        <f>MIN(IF(ISNUMBER(AG309),AG309,9E15),IF(ISNUMBER(AH309),AH309,9E15),IF(ISNUMBER(AI309),AI309,9E15),IF(ISNUMBER(AJ309),AJ309,9E15))</f>
        <v/>
      </c>
      <c r="AR309" s="29">
        <f>IF(AW309&gt;Parameters!$B$21*(MAX(IF(AND(NOT(AND(AO309=1,AN309&lt;&gt;1)),ISNUMBER(AG309),AG309&lt;=T309),AS309,0),IF(AND(NOT(AND(AO309=1,AN309&lt;&gt;1)),ISNUMBER(AH309),AH309&lt;=T309),AT309,0),IF(AND(NOT(AND(AO309=1,AN309&lt;&gt;1)),ISNUMBER(AI309),AI309&lt;=T309),AU309,0),IF(AND(ISNUMBER(AJ309),AJ309&lt;=T309),AV309,0))),TRUE,FALSE)</f>
        <v/>
      </c>
      <c r="AS309" s="32">
        <f>IFERROR(Upgrades!$H$6*(POWER(Upgrades!$P$6,E309)*POWER(Upgrades!$P$7,F309)*POWER(Upgrades!$P$8,G309)*POWER(Upgrades!$P$9,H309)*POWER(Upgrades!$P$10,I309)*POWER(Upgrades!$P$11,J309)*POWER(Upgrades!$P$12,K309))*(IF(Upgrades!$T$7="Solar Wind",POWER(Upgrades!$U$7,F309),1)*IF(Upgrades!$T$8="Solar Wind",POWER(Upgrades!$U$8,G309),1)*IF(Upgrades!$T$9="Solar Wind",POWER(Upgrades!$U$9,H309),1)*IF(Upgrades!$T$10="Solar Wind",POWER(Upgrades!$U$10,I309),1)*IF(Upgrades!$T$11="Solar Wind",POWER(Upgrades!$U$11,J309),1)*IF(Upgrades!$T$12="Solar Wind",POWER(Upgrades!$U$12,K309),1))/AG309,0)</f>
        <v/>
      </c>
      <c r="AT309" s="32">
        <f>IFERROR(Upgrades!$H$7*(POWER(Upgrades!$P$6,E309)*POWER(Upgrades!$P$7,F309)*POWER(Upgrades!$P$8,G309)*POWER(Upgrades!$P$9,H309)*POWER(Upgrades!$P$10,I309)*POWER(Upgrades!$P$11,J309)*POWER(Upgrades!$P$12,K309))*(IF(Upgrades!$T$6="Asteroid Belt",POWER(Upgrades!$U$6,E309),1)*IF(Upgrades!$T$8="Asteroid Belt",POWER(Upgrades!$U$8,G309),1)*IF(Upgrades!$T$9="Asteroid Belt",POWER(Upgrades!$U$9,H309),1)*IF(Upgrades!$T$10="Asteroid Belt",POWER(Upgrades!$U$10,I309),1)*IF(Upgrades!$T$11="Asteroid Belt",POWER(Upgrades!$U$11,J309),1)*IF(Upgrades!$T$12="Asteroid Belt",POWER(Upgrades!$U$12,K309),1))/AH309,0)</f>
        <v/>
      </c>
      <c r="AU309" s="32">
        <f>IFERROR(Upgrades!$K$8*(POWER(Upgrades!$Q$6,E309)*POWER(Upgrades!$Q$7,F309)*POWER(Upgrades!$Q$8,G309)*POWER(Upgrades!$Q$9,H309)*POWER(Upgrades!$Q$10,I309)*POWER(Upgrades!$Q$11,J309)*POWER(Upgrades!$Q$12,K309))*(IF(Upgrades!$T$6="Stellar Coupling",POWER(Upgrades!$U$6,E309),1)*IF(Upgrades!$T$7="Stellar Coupling",POWER(Upgrades!$U$7,F309),1)*IF(Upgrades!$T$9="Stellar Coupling",POWER(Upgrades!$U$9,H309),1)*IF(Upgrades!$T$10="Stellar Coupling",POWER(Upgrades!$U$10,I309),1)*IF(Upgrades!$T$11="Stellar Coupling",POWER(Upgrades!$U$11,J309),1)*IF(Upgrades!$T$12="Stellar Coupling",POWER(Upgrades!$U$12,K309),1))*Parameters!$B$10*Parameters!$B$11/60/AI309,0)</f>
        <v/>
      </c>
      <c r="AV309" s="32">
        <f>IFERROR(Upgrades!$H$9*(POWER(Upgrades!$P$6,E309)*POWER(Upgrades!$P$7,F309)*POWER(Upgrades!$P$8,G309)*POWER(Upgrades!$P$9,H309)*POWER(Upgrades!$P$10,I309)*POWER(Upgrades!$P$11,J309)*POWER(Upgrades!$P$12,K309))*(IF(Upgrades!$T$6="Magnetosphere",POWER(Upgrades!$U$6,E309),1)*IF(Upgrades!$T$7="Magnetosphere",POWER(Upgrades!$U$7,F309),1)*IF(Upgrades!$T$8="Magnetosphere",POWER(Upgrades!$U$8,G309),1)*IF(Upgrades!$T$10="Magnetosphere",POWER(Upgrades!$U$10,I309),1)*IF(Upgrades!$T$11="Magnetosphere",POWER(Upgrades!$U$11,J309),1)*IF(Upgrades!$T$12="Magnetosphere",POWER(Upgrades!$U$12,K309),1))/AJ309,0)</f>
        <v/>
      </c>
      <c r="AW309" s="32">
        <f>MAX(IF(I309&gt;0,0,IFERROR(0.25*N309/Upgrades!$C$10,0)),IF(J309&gt;0,0,IFERROR(0.5*((IF(G309=0,0,(Upgrades!$J$8+G309*Upgrades!$K$8)*POWER(Upgrades!$L$8,G309)))*(IF(Upgrades!$T$6="Stellar Coupling",POWER(Upgrades!$U$6,E309),1)*IF(Upgrades!$T$7="Stellar Coupling",POWER(Upgrades!$U$7,F309),1)*IF(Upgrades!$T$9="Stellar Coupling",POWER(Upgrades!$U$9,H309),1)*IF(Upgrades!$T$10="Stellar Coupling",POWER(Upgrades!$U$10,I309),1)*IF(Upgrades!$T$11="Stellar Coupling",POWER(Upgrades!$U$11,J309),1)*IF(Upgrades!$T$12="Stellar Coupling",POWER(Upgrades!$U$12,K309),1))*(POWER(Upgrades!$Q$6,E309)*POWER(Upgrades!$Q$7,F309)*POWER(Upgrades!$Q$8,G309)*POWER(Upgrades!$Q$9,H309)*POWER(Upgrades!$Q$10,I309)*POWER(Upgrades!$Q$11,J309)*POWER(Upgrades!$Q$12,K309))*Parameters!$B$10*Parameters!$B$11/60)/Upgrades!$C$11,0)),IF(K309&gt;0,0,IFERROR((1.0*(POWER(Upgrades!$P$6,E309)*POWER(Upgrades!$P$7,F309)*POWER(Upgrades!$P$8,G309)*POWER(Upgrades!$P$9,H309)*POWER(Upgrades!$P$10,I309)*POWER(Upgrades!$P$11,J309)*POWER(Upgrades!$P$12,K309))+0.20*M309*Parameters!$B$10*Parameters!$B$11/60)/Upgrades!$C$12,0)),IF(AND(ISNUMBER(AG309),AG309&gt;T309),AS309,0),IF(AND(ISNUMBER(AH309),AH309&gt;T309),AT309,0),IF(AND(ISNUMBER(AI309),AI309&gt;T309),AU309,0),IF(AND(ISNUMBER(AJ309),AJ309&gt;T309),AV309,0))</f>
        <v/>
      </c>
      <c r="AX309" s="29">
        <f>IF(AN309=1,"transition",IF(MIN(IF(AND(I309=0,ISNUMBER(AK309),AK309&lt;=T309),AK309,9E15),IF(AND(J309=0,ISNUMBER(AL309),AL309&lt;=T309),AL309,9E15),IF(AND(K309=0,ISNUMBER(AM309),AM309&lt;=T309),AM309,9E15))&lt;9E15,IF(AND(AND(I309=0,ISNUMBER(AK309),AK309&lt;=T309),AK309=MIN(IF(AND(I309=0,ISNUMBER(AK309),AK309&lt;=T309),AK309,9E15),IF(AND(J309=0,ISNUMBER(AL309),AL309&lt;=T309),AL309,9E15),IF(AND(K309=0,ISNUMBER(AM309),AM309&lt;=T309),AM309,9E15))),"OR",IF(AND(AND(J309=0,ISNUMBER(AL309),AL309&lt;=T309),AL309=MIN(IF(AND(I309=0,ISNUMBER(AK309),AK309&lt;=T309),AK309,9E15),IF(AND(J309=0,ISNUMBER(AL309),AL309&lt;=T309),AL309,9E15),IF(AND(K309=0,ISNUMBER(AM309),AM309&lt;=T309),AM309,9E15))),"HP","FP")),IF(AR309=TRUE,"",IF(MAX(IF(AND(NOT(AND(AO309=1,AN309&lt;&gt;1)),ISNUMBER(AG309),AG309&lt;=T309),AS309,0),IF(AND(NOT(AND(AO309=1,AN309&lt;&gt;1)),ISNUMBER(AH309),AH309&lt;=T309),AT309,0),IF(AND(NOT(AND(AO309=1,AN309&lt;&gt;1)),ISNUMBER(AI309),AI309&lt;=T309),AU309,0),IF(AND(ISNUMBER(AJ309),AJ309&lt;=T309),AV309,0))&lt;=0,"",IF(AND(IF(AND(NOT(AND(AO309=1,AN309&lt;&gt;1)),ISNUMBER(AG309),AG309&lt;=T309),AS309,0)&gt;0,IF(AND(NOT(AND(AO309=1,AN309&lt;&gt;1)),ISNUMBER(AG309),AG309&lt;=T309),AS309,0)=MAX(IF(AND(NOT(AND(AO309=1,AN309&lt;&gt;1)),ISNUMBER(AG309),AG309&lt;=T309),AS309,0),IF(AND(NOT(AND(AO309=1,AN309&lt;&gt;1)),ISNUMBER(AH309),AH309&lt;=T309),AT309,0),IF(AND(NOT(AND(AO309=1,AN309&lt;&gt;1)),ISNUMBER(AI309),AI309&lt;=T309),AU309,0),IF(AND(ISNUMBER(AJ309),AJ309&lt;=T309),AV309,0))),"SW",IF(AND(IF(AND(NOT(AND(AO309=1,AN309&lt;&gt;1)),ISNUMBER(AH309),AH309&lt;=T309),AT309,0)&gt;0,IF(AND(NOT(AND(AO309=1,AN309&lt;&gt;1)),ISNUMBER(AH309),AH309&lt;=T309),AT309,0)=MAX(IF(AND(NOT(AND(AO309=1,AN309&lt;&gt;1)),ISNUMBER(AG309),AG309&lt;=T309),AS309,0),IF(AND(NOT(AND(AO309=1,AN309&lt;&gt;1)),ISNUMBER(AH309),AH309&lt;=T309),AT309,0),IF(AND(NOT(AND(AO309=1,AN309&lt;&gt;1)),ISNUMBER(AI309),AI309&lt;=T309),AU309,0),IF(AND(ISNUMBER(AJ309),AJ309&lt;=T309),AV309,0))),"AB",IF(AND(IF(AND(NOT(AND(AO309=1,AN309&lt;&gt;1)),ISNUMBER(AI309),AI309&lt;=T309),AU309,0)&gt;0,IF(AND(NOT(AND(AO309=1,AN309&lt;&gt;1)),ISNUMBER(AI309),AI309&lt;=T309),AU309,0)=MAX(IF(AND(NOT(AND(AO309=1,AN309&lt;&gt;1)),ISNUMBER(AG309),AG309&lt;=T309),AS309,0),IF(AND(NOT(AND(AO309=1,AN309&lt;&gt;1)),ISNUMBER(AH309),AH309&lt;=T309),AT309,0),IF(AND(NOT(AND(AO309=1,AN309&lt;&gt;1)),ISNUMBER(AI309),AI309&lt;=T309),AU309,0),IF(AND(ISNUMBER(AJ309),AJ309&lt;=T309),AV309,0))),"SC","Mag")))))))</f>
        <v/>
      </c>
    </row>
    <row r="310">
      <c r="A310" s="26" t="n">
        <v>305</v>
      </c>
      <c r="B310" s="27">
        <f>A310*10/60</f>
        <v/>
      </c>
      <c r="C310" s="22">
        <f>X309</f>
        <v/>
      </c>
      <c r="D310" s="27">
        <f>D309+W309</f>
        <v/>
      </c>
      <c r="E310" s="26">
        <f>E309+IF(U309="SW",1,0)</f>
        <v/>
      </c>
      <c r="F310" s="26">
        <f>F309+IF(U309="AB",1,0)</f>
        <v/>
      </c>
      <c r="G310" s="26">
        <f>G309+IF(U309="SC",1,0)</f>
        <v/>
      </c>
      <c r="H310" s="26">
        <f>H309+IF(U309="Mag",1,0)</f>
        <v/>
      </c>
      <c r="I310" s="26">
        <f>MAX(I309,IF(U309="OR",1,0))</f>
        <v/>
      </c>
      <c r="J310" s="26">
        <f>MAX(J309,IF(U309="HP",1,0))</f>
        <v/>
      </c>
      <c r="K310" s="26">
        <f>MAX(K309,IF(U309="FP",1,0))</f>
        <v/>
      </c>
      <c r="L310" s="26">
        <f>MAX(L309,IF(U309="transition",1,0))</f>
        <v/>
      </c>
      <c r="M310" s="28">
        <f>(Parameters!$B$9+(IF(E310=0,0,(Upgrades!$J$6+E310*Upgrades!$K$6)*POWER(Upgrades!$L$6,E310)))*(IF(Upgrades!$T$7="Solar Wind",POWER(Upgrades!$U$7,F310),1)*IF(Upgrades!$T$8="Solar Wind",POWER(Upgrades!$U$8,G310),1)*IF(Upgrades!$T$9="Solar Wind",POWER(Upgrades!$U$9,H310),1)*IF(Upgrades!$T$10="Solar Wind",POWER(Upgrades!$U$10,I310),1)*IF(Upgrades!$T$11="Solar Wind",POWER(Upgrades!$U$11,J310),1)*IF(Upgrades!$T$12="Solar Wind",POWER(Upgrades!$U$12,K310),1))+(IF(F310=0,0,(Upgrades!$J$7+F310*Upgrades!$K$7)*POWER(Upgrades!$L$7,F310)))*(IF(Upgrades!$T$6="Asteroid Belt",POWER(Upgrades!$U$6,E310),1)*IF(Upgrades!$T$8="Asteroid Belt",POWER(Upgrades!$U$8,G310),1)*IF(Upgrades!$T$9="Asteroid Belt",POWER(Upgrades!$U$9,H310),1)*IF(Upgrades!$T$10="Asteroid Belt",POWER(Upgrades!$U$10,I310),1)*IF(Upgrades!$T$11="Asteroid Belt",POWER(Upgrades!$U$11,J310),1)*IF(Upgrades!$T$12="Asteroid Belt",POWER(Upgrades!$U$12,K310),1))+(IF(G310=0,0,(Upgrades!$J$8+G310*Upgrades!$K$8)*POWER(Upgrades!$L$8,G310)))*(IF(Upgrades!$T$6="Stellar Coupling",POWER(Upgrades!$U$6,E310),1)*IF(Upgrades!$T$7="Stellar Coupling",POWER(Upgrades!$U$7,F310),1)*IF(Upgrades!$T$9="Stellar Coupling",POWER(Upgrades!$U$9,H310),1)*IF(Upgrades!$T$10="Stellar Coupling",POWER(Upgrades!$U$10,I310),1)*IF(Upgrades!$T$11="Stellar Coupling",POWER(Upgrades!$U$11,J310),1)*IF(Upgrades!$T$12="Stellar Coupling",POWER(Upgrades!$U$12,K310),1))+(IF(H310=0,0,(Upgrades!$J$9+H310*Upgrades!$K$9)*POWER(Upgrades!$L$9,H310)))*(IF(Upgrades!$T$6="Magnetosphere",POWER(Upgrades!$U$6,E310),1)*IF(Upgrades!$T$7="Magnetosphere",POWER(Upgrades!$U$7,F310),1)*IF(Upgrades!$T$8="Magnetosphere",POWER(Upgrades!$U$8,G310),1)*IF(Upgrades!$T$10="Magnetosphere",POWER(Upgrades!$U$10,I310),1)*IF(Upgrades!$T$11="Magnetosphere",POWER(Upgrades!$U$11,J310),1)*IF(Upgrades!$T$12="Magnetosphere",POWER(Upgrades!$U$12,K310),1))+(IF(I310=0,0,(Upgrades!$J$10+I310*Upgrades!$K$10)*POWER(Upgrades!$L$10,I310)))*(IF(Upgrades!$T$6="Orbital Resonance",POWER(Upgrades!$U$6,E310),1)*IF(Upgrades!$T$7="Orbital Resonance",POWER(Upgrades!$U$7,F310),1)*IF(Upgrades!$T$8="Orbital Resonance",POWER(Upgrades!$U$8,G310),1)*IF(Upgrades!$T$9="Orbital Resonance",POWER(Upgrades!$U$9,H310),1)*IF(Upgrades!$T$11="Orbital Resonance",POWER(Upgrades!$U$11,J310),1)*IF(Upgrades!$T$12="Orbital Resonance",POWER(Upgrades!$U$12,K310),1))+(IF(J310=0,0,(Upgrades!$J$11+J310*Upgrades!$K$11)*POWER(Upgrades!$L$11,J310)))*(IF(Upgrades!$T$6="Heliopause",POWER(Upgrades!$U$6,E310),1)*IF(Upgrades!$T$7="Heliopause",POWER(Upgrades!$U$7,F310),1)*IF(Upgrades!$T$8="Heliopause",POWER(Upgrades!$U$8,G310),1)*IF(Upgrades!$T$9="Heliopause",POWER(Upgrades!$U$9,H310),1)*IF(Upgrades!$T$10="Heliopause",POWER(Upgrades!$U$10,I310),1)*IF(Upgrades!$T$12="Heliopause",POWER(Upgrades!$U$12,K310),1))+(IF(K310=0,0,(Upgrades!$J$12+K310*Upgrades!$K$12)*POWER(Upgrades!$L$12,K310)))*(IF(Upgrades!$T$6="First Photons",POWER(Upgrades!$U$6,E310),1)*IF(Upgrades!$T$7="First Photons",POWER(Upgrades!$U$7,F310),1)*IF(Upgrades!$T$8="First Photons",POWER(Upgrades!$U$8,G310),1)*IF(Upgrades!$T$9="First Photons",POWER(Upgrades!$U$9,H310),1)*IF(Upgrades!$T$10="First Photons",POWER(Upgrades!$U$10,I310),1)*IF(Upgrades!$T$11="First Photons",POWER(Upgrades!$U$11,J310),1)))*POWER(Upgrades!$Q$6,E310)*POWER(Upgrades!$Q$7,F310)*POWER(Upgrades!$Q$8,G310)*POWER(Upgrades!$Q$9,H310)*POWER(Upgrades!$Q$10,I310)*POWER(Upgrades!$Q$11,J310)*POWER(Upgrades!$Q$12,K310)</f>
        <v/>
      </c>
      <c r="N310" s="28">
        <f>((IF(E310=0,0,(Upgrades!$G$6+E310*Upgrades!$H$6)*POWER(Upgrades!$I$6,E310)))*(IF(Upgrades!$T$7="Solar Wind",POWER(Upgrades!$U$7,F310),1)*IF(Upgrades!$T$8="Solar Wind",POWER(Upgrades!$U$8,G310),1)*IF(Upgrades!$T$9="Solar Wind",POWER(Upgrades!$U$9,H310),1)*IF(Upgrades!$T$10="Solar Wind",POWER(Upgrades!$U$10,I310),1)*IF(Upgrades!$T$11="Solar Wind",POWER(Upgrades!$U$11,J310),1)*IF(Upgrades!$T$12="Solar Wind",POWER(Upgrades!$U$12,K310),1))+(IF(F310=0,0,(Upgrades!$G$7+F310*Upgrades!$H$7)*POWER(Upgrades!$I$7,F310)))*(IF(Upgrades!$T$6="Asteroid Belt",POWER(Upgrades!$U$6,E310),1)*IF(Upgrades!$T$8="Asteroid Belt",POWER(Upgrades!$U$8,G310),1)*IF(Upgrades!$T$9="Asteroid Belt",POWER(Upgrades!$U$9,H310),1)*IF(Upgrades!$T$10="Asteroid Belt",POWER(Upgrades!$U$10,I310),1)*IF(Upgrades!$T$11="Asteroid Belt",POWER(Upgrades!$U$11,J310),1)*IF(Upgrades!$T$12="Asteroid Belt",POWER(Upgrades!$U$12,K310),1))+(IF(G310=0,0,(Upgrades!$G$8+G310*Upgrades!$H$8)*POWER(Upgrades!$I$8,G310)))*(IF(Upgrades!$T$6="Stellar Coupling",POWER(Upgrades!$U$6,E310),1)*IF(Upgrades!$T$7="Stellar Coupling",POWER(Upgrades!$U$7,F310),1)*IF(Upgrades!$T$9="Stellar Coupling",POWER(Upgrades!$U$9,H310),1)*IF(Upgrades!$T$10="Stellar Coupling",POWER(Upgrades!$U$10,I310),1)*IF(Upgrades!$T$11="Stellar Coupling",POWER(Upgrades!$U$11,J310),1)*IF(Upgrades!$T$12="Stellar Coupling",POWER(Upgrades!$U$12,K310),1))+(IF(H310=0,0,(Upgrades!$G$9+H310*Upgrades!$H$9)*POWER(Upgrades!$I$9,H310)))*(IF(Upgrades!$T$6="Magnetosphere",POWER(Upgrades!$U$6,E310),1)*IF(Upgrades!$T$7="Magnetosphere",POWER(Upgrades!$U$7,F310),1)*IF(Upgrades!$T$8="Magnetosphere",POWER(Upgrades!$U$8,G310),1)*IF(Upgrades!$T$10="Magnetosphere",POWER(Upgrades!$U$10,I310),1)*IF(Upgrades!$T$11="Magnetosphere",POWER(Upgrades!$U$11,J310),1)*IF(Upgrades!$T$12="Magnetosphere",POWER(Upgrades!$U$12,K310),1))+(IF(I310=0,0,(Upgrades!$G$10+I310*Upgrades!$H$10)*POWER(Upgrades!$I$10,I310)))*(IF(Upgrades!$T$6="Orbital Resonance",POWER(Upgrades!$U$6,E310),1)*IF(Upgrades!$T$7="Orbital Resonance",POWER(Upgrades!$U$7,F310),1)*IF(Upgrades!$T$8="Orbital Resonance",POWER(Upgrades!$U$8,G310),1)*IF(Upgrades!$T$9="Orbital Resonance",POWER(Upgrades!$U$9,H310),1)*IF(Upgrades!$T$11="Orbital Resonance",POWER(Upgrades!$U$11,J310),1)*IF(Upgrades!$T$12="Orbital Resonance",POWER(Upgrades!$U$12,K310),1))+(IF(J310=0,0,(Upgrades!$G$11+J310*Upgrades!$H$11)*POWER(Upgrades!$I$11,J310)))*(IF(Upgrades!$T$6="Heliopause",POWER(Upgrades!$U$6,E310),1)*IF(Upgrades!$T$7="Heliopause",POWER(Upgrades!$U$7,F310),1)*IF(Upgrades!$T$8="Heliopause",POWER(Upgrades!$U$8,G310),1)*IF(Upgrades!$T$9="Heliopause",POWER(Upgrades!$U$9,H310),1)*IF(Upgrades!$T$10="Heliopause",POWER(Upgrades!$U$10,I310),1)*IF(Upgrades!$T$12="Heliopause",POWER(Upgrades!$U$12,K310),1))+(IF(K310=0,0,(Upgrades!$G$12+K310*Upgrades!$H$12)*POWER(Upgrades!$I$12,K310)))*(IF(Upgrades!$T$6="First Photons",POWER(Upgrades!$U$6,E310),1)*IF(Upgrades!$T$7="First Photons",POWER(Upgrades!$U$7,F310),1)*IF(Upgrades!$T$8="First Photons",POWER(Upgrades!$U$8,G310),1)*IF(Upgrades!$T$9="First Photons",POWER(Upgrades!$U$9,H310),1)*IF(Upgrades!$T$10="First Photons",POWER(Upgrades!$U$10,I310),1)*IF(Upgrades!$T$11="First Photons",POWER(Upgrades!$U$11,J310),1)))*POWER(Upgrades!$P$6,E310)*POWER(Upgrades!$P$7,F310)*POWER(Upgrades!$P$8,G310)*POWER(Upgrades!$P$9,H310)*POWER(Upgrades!$P$10,I310)*POWER(Upgrades!$P$11,J310)*POWER(Upgrades!$P$12,K310)</f>
        <v/>
      </c>
      <c r="O310" s="28">
        <f>((IF(E310=0,0,(Upgrades!$M$6+E310*Upgrades!$N$6)*POWER(Upgrades!$O$6,E310)))*(IF(Upgrades!$T$7="Solar Wind",POWER(Upgrades!$U$7,F310),1)*IF(Upgrades!$T$8="Solar Wind",POWER(Upgrades!$U$8,G310),1)*IF(Upgrades!$T$9="Solar Wind",POWER(Upgrades!$U$9,H310),1)*IF(Upgrades!$T$10="Solar Wind",POWER(Upgrades!$U$10,I310),1)*IF(Upgrades!$T$11="Solar Wind",POWER(Upgrades!$U$11,J310),1)*IF(Upgrades!$T$12="Solar Wind",POWER(Upgrades!$U$12,K310),1))+(IF(F310=0,0,(Upgrades!$M$7+F310*Upgrades!$N$7)*POWER(Upgrades!$O$7,F310)))*(IF(Upgrades!$T$6="Asteroid Belt",POWER(Upgrades!$U$6,E310),1)*IF(Upgrades!$T$8="Asteroid Belt",POWER(Upgrades!$U$8,G310),1)*IF(Upgrades!$T$9="Asteroid Belt",POWER(Upgrades!$U$9,H310),1)*IF(Upgrades!$T$10="Asteroid Belt",POWER(Upgrades!$U$10,I310),1)*IF(Upgrades!$T$11="Asteroid Belt",POWER(Upgrades!$U$11,J310),1)*IF(Upgrades!$T$12="Asteroid Belt",POWER(Upgrades!$U$12,K310),1))+(IF(G310=0,0,(Upgrades!$M$8+G310*Upgrades!$N$8)*POWER(Upgrades!$O$8,G310)))*(IF(Upgrades!$T$6="Stellar Coupling",POWER(Upgrades!$U$6,E310),1)*IF(Upgrades!$T$7="Stellar Coupling",POWER(Upgrades!$U$7,F310),1)*IF(Upgrades!$T$9="Stellar Coupling",POWER(Upgrades!$U$9,H310),1)*IF(Upgrades!$T$10="Stellar Coupling",POWER(Upgrades!$U$10,I310),1)*IF(Upgrades!$T$11="Stellar Coupling",POWER(Upgrades!$U$11,J310),1)*IF(Upgrades!$T$12="Stellar Coupling",POWER(Upgrades!$U$12,K310),1))+(IF(H310=0,0,(Upgrades!$M$9+H310*Upgrades!$N$9)*POWER(Upgrades!$O$9,H310)))*(IF(Upgrades!$T$6="Magnetosphere",POWER(Upgrades!$U$6,E310),1)*IF(Upgrades!$T$7="Magnetosphere",POWER(Upgrades!$U$7,F310),1)*IF(Upgrades!$T$8="Magnetosphere",POWER(Upgrades!$U$8,G310),1)*IF(Upgrades!$T$10="Magnetosphere",POWER(Upgrades!$U$10,I310),1)*IF(Upgrades!$T$11="Magnetosphere",POWER(Upgrades!$U$11,J310),1)*IF(Upgrades!$T$12="Magnetosphere",POWER(Upgrades!$U$12,K310),1))+(IF(I310=0,0,(Upgrades!$M$10+I310*Upgrades!$N$10)*POWER(Upgrades!$O$10,I310)))*(IF(Upgrades!$T$6="Orbital Resonance",POWER(Upgrades!$U$6,E310),1)*IF(Upgrades!$T$7="Orbital Resonance",POWER(Upgrades!$U$7,F310),1)*IF(Upgrades!$T$8="Orbital Resonance",POWER(Upgrades!$U$8,G310),1)*IF(Upgrades!$T$9="Orbital Resonance",POWER(Upgrades!$U$9,H310),1)*IF(Upgrades!$T$11="Orbital Resonance",POWER(Upgrades!$U$11,J310),1)*IF(Upgrades!$T$12="Orbital Resonance",POWER(Upgrades!$U$12,K310),1))+(IF(J310=0,0,(Upgrades!$M$11+J310*Upgrades!$N$11)*POWER(Upgrades!$O$11,J310)))*(IF(Upgrades!$T$6="Heliopause",POWER(Upgrades!$U$6,E310),1)*IF(Upgrades!$T$7="Heliopause",POWER(Upgrades!$U$7,F310),1)*IF(Upgrades!$T$8="Heliopause",POWER(Upgrades!$U$8,G310),1)*IF(Upgrades!$T$9="Heliopause",POWER(Upgrades!$U$9,H310),1)*IF(Upgrades!$T$10="Heliopause",POWER(Upgrades!$U$10,I310),1)*IF(Upgrades!$T$12="Heliopause",POWER(Upgrades!$U$12,K310),1))+(IF(K310=0,0,(Upgrades!$M$12+K310*Upgrades!$N$12)*POWER(Upgrades!$O$12,K310)))*(IF(Upgrades!$T$6="First Photons",POWER(Upgrades!$U$6,E310),1)*IF(Upgrades!$T$7="First Photons",POWER(Upgrades!$U$7,F310),1)*IF(Upgrades!$T$8="First Photons",POWER(Upgrades!$U$8,G310),1)*IF(Upgrades!$T$9="First Photons",POWER(Upgrades!$U$9,H310),1)*IF(Upgrades!$T$10="First Photons",POWER(Upgrades!$U$10,I310),1)*IF(Upgrades!$T$11="First Photons",POWER(Upgrades!$U$11,J310),1)))*POWER(Upgrades!$R$6,E310)*POWER(Upgrades!$R$7,F310)*POWER(Upgrades!$R$8,G310)*POWER(Upgrades!$R$9,H310)*POWER(Upgrades!$R$10,I310)*POWER(Upgrades!$R$11,J310)*POWER(Upgrades!$R$12,K310)</f>
        <v/>
      </c>
      <c r="P310" s="27">
        <f>IF(L310=1,0,M310*Parameters!$B$10/60*Parameters!$B$11*10)</f>
        <v/>
      </c>
      <c r="Q310" s="27">
        <f>IF(L310=1,0,O310*M310*10)</f>
        <v/>
      </c>
      <c r="R310" s="27">
        <f>IF(L310=1,0,N310*10)</f>
        <v/>
      </c>
      <c r="S310" s="27">
        <f>P310+Q310+R310</f>
        <v/>
      </c>
      <c r="T310" s="22">
        <f>C310+S310</f>
        <v/>
      </c>
      <c r="U310" s="33">
        <f>AX310</f>
        <v/>
      </c>
      <c r="V310" s="22">
        <f>IF(U310="",0,IF(U310="transition",0,IF(U310="SW",AG310,IF(U310="AB",AH310,IF(U310="SC",AI310,IF(U310="Mag",AJ310,IF(U310="OR",AK310,IF(U310="HP",AL310,IF(U310="FP",AM310,0)))))))))</f>
        <v/>
      </c>
      <c r="W310" s="27">
        <f>IF(U310="OR",Upgrades!$F$10,IF(U310="HP",Upgrades!$F$11,IF(U310="transition",-Parameters!$B$18,0)))</f>
        <v/>
      </c>
      <c r="X310" s="22">
        <f>T310-V310</f>
        <v/>
      </c>
      <c r="Y310" s="30">
        <f>M310*Parameters!$B$10/60*Parameters!$B$11+O310*M310+N310</f>
        <v/>
      </c>
      <c r="Z310" s="34">
        <f>IF(U310="transition","→ Tier 2 (Stellar Neighborhood)",IF(U310="FP","First Photons — light begins, system quickens",IF(U310="HP","Heliopause acquired",IF(U310="OR","Orbital Resonance — passive multiplier active",IF(AND(AO310=1,L310=0,AN310&lt;&gt;1),"Cohesion ready (waiting on completionist upgrades)","")))))</f>
        <v/>
      </c>
      <c r="AA310" s="27">
        <f>(IF(E310=0,0,(Upgrades!$G$6+E310*Upgrades!$H$6)*POWER(Upgrades!$I$6,E310)))*(IF(Upgrades!$T$7="Solar Wind",POWER(Upgrades!$U$7,F310),1)*IF(Upgrades!$T$8="Solar Wind",POWER(Upgrades!$U$8,G310),1)*IF(Upgrades!$T$9="Solar Wind",POWER(Upgrades!$U$9,H310),1)*IF(Upgrades!$T$10="Solar Wind",POWER(Upgrades!$U$10,I310),1)*IF(Upgrades!$T$11="Solar Wind",POWER(Upgrades!$U$11,J310),1)*IF(Upgrades!$T$12="Solar Wind",POWER(Upgrades!$U$12,K310),1))*POWER(Upgrades!$P$6,E310)*POWER(Upgrades!$P$7,F310)*POWER(Upgrades!$P$8,G310)*POWER(Upgrades!$P$9,H310)*POWER(Upgrades!$P$10,I310)*POWER(Upgrades!$P$11,J310)*POWER(Upgrades!$P$12,K310)*60</f>
        <v/>
      </c>
      <c r="AB310" s="27">
        <f>(IF(F310=0,0,(Upgrades!$G$7+F310*Upgrades!$H$7)*POWER(Upgrades!$I$7,F310)))*(IF(Upgrades!$T$6="Asteroid Belt",POWER(Upgrades!$U$6,E310),1)*IF(Upgrades!$T$8="Asteroid Belt",POWER(Upgrades!$U$8,G310),1)*IF(Upgrades!$T$9="Asteroid Belt",POWER(Upgrades!$U$9,H310),1)*IF(Upgrades!$T$10="Asteroid Belt",POWER(Upgrades!$U$10,I310),1)*IF(Upgrades!$T$11="Asteroid Belt",POWER(Upgrades!$U$11,J310),1)*IF(Upgrades!$T$12="Asteroid Belt",POWER(Upgrades!$U$12,K310),1))*POWER(Upgrades!$P$6,E310)*POWER(Upgrades!$P$7,F310)*POWER(Upgrades!$P$8,G310)*POWER(Upgrades!$P$9,H310)*POWER(Upgrades!$P$10,I310)*POWER(Upgrades!$P$11,J310)*POWER(Upgrades!$P$12,K310)*60</f>
        <v/>
      </c>
      <c r="AC310" s="27">
        <f>(IF(G310=0,0,(Upgrades!$J$8+G310*Upgrades!$K$8)*POWER(Upgrades!$L$8,G310)))*(IF(Upgrades!$T$6="Stellar Coupling",POWER(Upgrades!$U$6,E310),1)*IF(Upgrades!$T$7="Stellar Coupling",POWER(Upgrades!$U$7,F310),1)*IF(Upgrades!$T$9="Stellar Coupling",POWER(Upgrades!$U$9,H310),1)*IF(Upgrades!$T$10="Stellar Coupling",POWER(Upgrades!$U$10,I310),1)*IF(Upgrades!$T$11="Stellar Coupling",POWER(Upgrades!$U$11,J310),1)*IF(Upgrades!$T$12="Stellar Coupling",POWER(Upgrades!$U$12,K310),1))*POWER(Upgrades!$Q$6,E310)*POWER(Upgrades!$Q$7,F310)*POWER(Upgrades!$Q$8,G310)*POWER(Upgrades!$Q$9,H310)*POWER(Upgrades!$Q$10,I310)*POWER(Upgrades!$Q$11,J310)*POWER(Upgrades!$Q$12,K310)*Parameters!$B$10*Parameters!$B$11</f>
        <v/>
      </c>
      <c r="AD310" s="27">
        <f>(IF(H310=0,0,(Upgrades!$G$9+H310*Upgrades!$H$9)*POWER(Upgrades!$I$9,H310)))*(IF(Upgrades!$T$6="Magnetosphere",POWER(Upgrades!$U$6,E310),1)*IF(Upgrades!$T$7="Magnetosphere",POWER(Upgrades!$U$7,F310),1)*IF(Upgrades!$T$8="Magnetosphere",POWER(Upgrades!$U$8,G310),1)*IF(Upgrades!$T$10="Magnetosphere",POWER(Upgrades!$U$10,I310),1)*IF(Upgrades!$T$11="Magnetosphere",POWER(Upgrades!$U$11,J310),1)*IF(Upgrades!$T$12="Magnetosphere",POWER(Upgrades!$U$12,K310),1))*POWER(Upgrades!$P$6,E310)*POWER(Upgrades!$P$7,F310)*POWER(Upgrades!$P$8,G310)*POWER(Upgrades!$P$9,H310)*POWER(Upgrades!$P$10,I310)*POWER(Upgrades!$P$11,J310)*POWER(Upgrades!$P$12,K310)*60</f>
        <v/>
      </c>
      <c r="AE310" s="27">
        <f>(IF(K310=0,0,(Upgrades!$G$12+K310*Upgrades!$H$12)*POWER(Upgrades!$I$12,K310)))*(IF(Upgrades!$T$6="First Photons",POWER(Upgrades!$U$6,E310),1)*IF(Upgrades!$T$7="First Photons",POWER(Upgrades!$U$7,F310),1)*IF(Upgrades!$T$8="First Photons",POWER(Upgrades!$U$8,G310),1)*IF(Upgrades!$T$9="First Photons",POWER(Upgrades!$U$9,H310),1)*IF(Upgrades!$T$10="First Photons",POWER(Upgrades!$U$10,I310),1)*IF(Upgrades!$T$11="First Photons",POWER(Upgrades!$U$11,J310),1))*POWER(Upgrades!$P$6,E310)*POWER(Upgrades!$P$7,F310)*POWER(Upgrades!$P$8,G310)*POWER(Upgrades!$P$9,H310)*POWER(Upgrades!$P$10,I310)*POWER(Upgrades!$P$11,J310)*POWER(Upgrades!$P$12,K310)*60</f>
        <v/>
      </c>
      <c r="AF310" s="27">
        <f>Parameters!$B$9*POWER(Upgrades!$Q$6,E310)*POWER(Upgrades!$Q$7,F310)*POWER(Upgrades!$Q$8,G310)*POWER(Upgrades!$Q$9,H310)*POWER(Upgrades!$Q$10,I310)*POWER(Upgrades!$Q$11,J310)*POWER(Upgrades!$Q$12,K310)*(Parameters!$B$10*Parameters!$B$11+O310*60)</f>
        <v/>
      </c>
      <c r="AG310" s="22">
        <f>IF(E310&gt;=Upgrades!$E$6,"",Upgrades!$C$6*POWER(Upgrades!$D$6,E310))</f>
        <v/>
      </c>
      <c r="AH310" s="22">
        <f>IF(F310&gt;=Upgrades!$E$7,"",Upgrades!$C$7*POWER(Upgrades!$D$7,F310))</f>
        <v/>
      </c>
      <c r="AI310" s="22">
        <f>IF(G310&gt;=Upgrades!$E$8,"",Upgrades!$C$8*POWER(Upgrades!$D$8,G310))</f>
        <v/>
      </c>
      <c r="AJ310" s="22">
        <f>IF(H310&gt;=Upgrades!$E$9,"",Upgrades!$C$9*POWER(Upgrades!$D$9,H310))</f>
        <v/>
      </c>
      <c r="AK310" s="22">
        <f>IF(I310&gt;=Upgrades!$E$10,"",Upgrades!$C$10*POWER(Upgrades!$D$10,I310))</f>
        <v/>
      </c>
      <c r="AL310" s="22">
        <f>IF(J310&gt;=Upgrades!$E$11,"",Upgrades!$C$11*POWER(Upgrades!$D$11,J310))</f>
        <v/>
      </c>
      <c r="AM310" s="22">
        <f>IF(K310&gt;=Upgrades!$E$12,"",Upgrades!$C$12*POWER(Upgrades!$D$12,K310))</f>
        <v/>
      </c>
      <c r="AN310" s="26">
        <f>IF(AND(D310&gt;=Parameters!$B$18,(H310&gt;=Upgrades!$E$9)*(K310&gt;=Upgrades!$E$12)=1,L310=0),1,"")</f>
        <v/>
      </c>
      <c r="AO310" s="26">
        <f>IF(AND(D310&gt;=Parameters!$B$18,L310=0),1,"")</f>
        <v/>
      </c>
      <c r="AP310" s="22">
        <f>MIN(IF(ISNUMBER(AK310),AK310,9E15),IF(ISNUMBER(AL310),AL310,9E15),IF(ISNUMBER(AM310),AM310,9E15))</f>
        <v/>
      </c>
      <c r="AQ310" s="22">
        <f>MIN(IF(ISNUMBER(AG310),AG310,9E15),IF(ISNUMBER(AH310),AH310,9E15),IF(ISNUMBER(AI310),AI310,9E15),IF(ISNUMBER(AJ310),AJ310,9E15))</f>
        <v/>
      </c>
      <c r="AR310" s="29">
        <f>IF(AW310&gt;Parameters!$B$21*(MAX(IF(AND(NOT(AND(AO310=1,AN310&lt;&gt;1)),ISNUMBER(AG310),AG310&lt;=T310),AS310,0),IF(AND(NOT(AND(AO310=1,AN310&lt;&gt;1)),ISNUMBER(AH310),AH310&lt;=T310),AT310,0),IF(AND(NOT(AND(AO310=1,AN310&lt;&gt;1)),ISNUMBER(AI310),AI310&lt;=T310),AU310,0),IF(AND(ISNUMBER(AJ310),AJ310&lt;=T310),AV310,0))),TRUE,FALSE)</f>
        <v/>
      </c>
      <c r="AS310" s="32">
        <f>IFERROR(Upgrades!$H$6*(POWER(Upgrades!$P$6,E310)*POWER(Upgrades!$P$7,F310)*POWER(Upgrades!$P$8,G310)*POWER(Upgrades!$P$9,H310)*POWER(Upgrades!$P$10,I310)*POWER(Upgrades!$P$11,J310)*POWER(Upgrades!$P$12,K310))*(IF(Upgrades!$T$7="Solar Wind",POWER(Upgrades!$U$7,F310),1)*IF(Upgrades!$T$8="Solar Wind",POWER(Upgrades!$U$8,G310),1)*IF(Upgrades!$T$9="Solar Wind",POWER(Upgrades!$U$9,H310),1)*IF(Upgrades!$T$10="Solar Wind",POWER(Upgrades!$U$10,I310),1)*IF(Upgrades!$T$11="Solar Wind",POWER(Upgrades!$U$11,J310),1)*IF(Upgrades!$T$12="Solar Wind",POWER(Upgrades!$U$12,K310),1))/AG310,0)</f>
        <v/>
      </c>
      <c r="AT310" s="32">
        <f>IFERROR(Upgrades!$H$7*(POWER(Upgrades!$P$6,E310)*POWER(Upgrades!$P$7,F310)*POWER(Upgrades!$P$8,G310)*POWER(Upgrades!$P$9,H310)*POWER(Upgrades!$P$10,I310)*POWER(Upgrades!$P$11,J310)*POWER(Upgrades!$P$12,K310))*(IF(Upgrades!$T$6="Asteroid Belt",POWER(Upgrades!$U$6,E310),1)*IF(Upgrades!$T$8="Asteroid Belt",POWER(Upgrades!$U$8,G310),1)*IF(Upgrades!$T$9="Asteroid Belt",POWER(Upgrades!$U$9,H310),1)*IF(Upgrades!$T$10="Asteroid Belt",POWER(Upgrades!$U$10,I310),1)*IF(Upgrades!$T$11="Asteroid Belt",POWER(Upgrades!$U$11,J310),1)*IF(Upgrades!$T$12="Asteroid Belt",POWER(Upgrades!$U$12,K310),1))/AH310,0)</f>
        <v/>
      </c>
      <c r="AU310" s="32">
        <f>IFERROR(Upgrades!$K$8*(POWER(Upgrades!$Q$6,E310)*POWER(Upgrades!$Q$7,F310)*POWER(Upgrades!$Q$8,G310)*POWER(Upgrades!$Q$9,H310)*POWER(Upgrades!$Q$10,I310)*POWER(Upgrades!$Q$11,J310)*POWER(Upgrades!$Q$12,K310))*(IF(Upgrades!$T$6="Stellar Coupling",POWER(Upgrades!$U$6,E310),1)*IF(Upgrades!$T$7="Stellar Coupling",POWER(Upgrades!$U$7,F310),1)*IF(Upgrades!$T$9="Stellar Coupling",POWER(Upgrades!$U$9,H310),1)*IF(Upgrades!$T$10="Stellar Coupling",POWER(Upgrades!$U$10,I310),1)*IF(Upgrades!$T$11="Stellar Coupling",POWER(Upgrades!$U$11,J310),1)*IF(Upgrades!$T$12="Stellar Coupling",POWER(Upgrades!$U$12,K310),1))*Parameters!$B$10*Parameters!$B$11/60/AI310,0)</f>
        <v/>
      </c>
      <c r="AV310" s="32">
        <f>IFERROR(Upgrades!$H$9*(POWER(Upgrades!$P$6,E310)*POWER(Upgrades!$P$7,F310)*POWER(Upgrades!$P$8,G310)*POWER(Upgrades!$P$9,H310)*POWER(Upgrades!$P$10,I310)*POWER(Upgrades!$P$11,J310)*POWER(Upgrades!$P$12,K310))*(IF(Upgrades!$T$6="Magnetosphere",POWER(Upgrades!$U$6,E310),1)*IF(Upgrades!$T$7="Magnetosphere",POWER(Upgrades!$U$7,F310),1)*IF(Upgrades!$T$8="Magnetosphere",POWER(Upgrades!$U$8,G310),1)*IF(Upgrades!$T$10="Magnetosphere",POWER(Upgrades!$U$10,I310),1)*IF(Upgrades!$T$11="Magnetosphere",POWER(Upgrades!$U$11,J310),1)*IF(Upgrades!$T$12="Magnetosphere",POWER(Upgrades!$U$12,K310),1))/AJ310,0)</f>
        <v/>
      </c>
      <c r="AW310" s="32">
        <f>MAX(IF(I310&gt;0,0,IFERROR(0.25*N310/Upgrades!$C$10,0)),IF(J310&gt;0,0,IFERROR(0.5*((IF(G310=0,0,(Upgrades!$J$8+G310*Upgrades!$K$8)*POWER(Upgrades!$L$8,G310)))*(IF(Upgrades!$T$6="Stellar Coupling",POWER(Upgrades!$U$6,E310),1)*IF(Upgrades!$T$7="Stellar Coupling",POWER(Upgrades!$U$7,F310),1)*IF(Upgrades!$T$9="Stellar Coupling",POWER(Upgrades!$U$9,H310),1)*IF(Upgrades!$T$10="Stellar Coupling",POWER(Upgrades!$U$10,I310),1)*IF(Upgrades!$T$11="Stellar Coupling",POWER(Upgrades!$U$11,J310),1)*IF(Upgrades!$T$12="Stellar Coupling",POWER(Upgrades!$U$12,K310),1))*(POWER(Upgrades!$Q$6,E310)*POWER(Upgrades!$Q$7,F310)*POWER(Upgrades!$Q$8,G310)*POWER(Upgrades!$Q$9,H310)*POWER(Upgrades!$Q$10,I310)*POWER(Upgrades!$Q$11,J310)*POWER(Upgrades!$Q$12,K310))*Parameters!$B$10*Parameters!$B$11/60)/Upgrades!$C$11,0)),IF(K310&gt;0,0,IFERROR((1.0*(POWER(Upgrades!$P$6,E310)*POWER(Upgrades!$P$7,F310)*POWER(Upgrades!$P$8,G310)*POWER(Upgrades!$P$9,H310)*POWER(Upgrades!$P$10,I310)*POWER(Upgrades!$P$11,J310)*POWER(Upgrades!$P$12,K310))+0.20*M310*Parameters!$B$10*Parameters!$B$11/60)/Upgrades!$C$12,0)),IF(AND(ISNUMBER(AG310),AG310&gt;T310),AS310,0),IF(AND(ISNUMBER(AH310),AH310&gt;T310),AT310,0),IF(AND(ISNUMBER(AI310),AI310&gt;T310),AU310,0),IF(AND(ISNUMBER(AJ310),AJ310&gt;T310),AV310,0))</f>
        <v/>
      </c>
      <c r="AX310" s="29">
        <f>IF(AN310=1,"transition",IF(MIN(IF(AND(I310=0,ISNUMBER(AK310),AK310&lt;=T310),AK310,9E15),IF(AND(J310=0,ISNUMBER(AL310),AL310&lt;=T310),AL310,9E15),IF(AND(K310=0,ISNUMBER(AM310),AM310&lt;=T310),AM310,9E15))&lt;9E15,IF(AND(AND(I310=0,ISNUMBER(AK310),AK310&lt;=T310),AK310=MIN(IF(AND(I310=0,ISNUMBER(AK310),AK310&lt;=T310),AK310,9E15),IF(AND(J310=0,ISNUMBER(AL310),AL310&lt;=T310),AL310,9E15),IF(AND(K310=0,ISNUMBER(AM310),AM310&lt;=T310),AM310,9E15))),"OR",IF(AND(AND(J310=0,ISNUMBER(AL310),AL310&lt;=T310),AL310=MIN(IF(AND(I310=0,ISNUMBER(AK310),AK310&lt;=T310),AK310,9E15),IF(AND(J310=0,ISNUMBER(AL310),AL310&lt;=T310),AL310,9E15),IF(AND(K310=0,ISNUMBER(AM310),AM310&lt;=T310),AM310,9E15))),"HP","FP")),IF(AR310=TRUE,"",IF(MAX(IF(AND(NOT(AND(AO310=1,AN310&lt;&gt;1)),ISNUMBER(AG310),AG310&lt;=T310),AS310,0),IF(AND(NOT(AND(AO310=1,AN310&lt;&gt;1)),ISNUMBER(AH310),AH310&lt;=T310),AT310,0),IF(AND(NOT(AND(AO310=1,AN310&lt;&gt;1)),ISNUMBER(AI310),AI310&lt;=T310),AU310,0),IF(AND(ISNUMBER(AJ310),AJ310&lt;=T310),AV310,0))&lt;=0,"",IF(AND(IF(AND(NOT(AND(AO310=1,AN310&lt;&gt;1)),ISNUMBER(AG310),AG310&lt;=T310),AS310,0)&gt;0,IF(AND(NOT(AND(AO310=1,AN310&lt;&gt;1)),ISNUMBER(AG310),AG310&lt;=T310),AS310,0)=MAX(IF(AND(NOT(AND(AO310=1,AN310&lt;&gt;1)),ISNUMBER(AG310),AG310&lt;=T310),AS310,0),IF(AND(NOT(AND(AO310=1,AN310&lt;&gt;1)),ISNUMBER(AH310),AH310&lt;=T310),AT310,0),IF(AND(NOT(AND(AO310=1,AN310&lt;&gt;1)),ISNUMBER(AI310),AI310&lt;=T310),AU310,0),IF(AND(ISNUMBER(AJ310),AJ310&lt;=T310),AV310,0))),"SW",IF(AND(IF(AND(NOT(AND(AO310=1,AN310&lt;&gt;1)),ISNUMBER(AH310),AH310&lt;=T310),AT310,0)&gt;0,IF(AND(NOT(AND(AO310=1,AN310&lt;&gt;1)),ISNUMBER(AH310),AH310&lt;=T310),AT310,0)=MAX(IF(AND(NOT(AND(AO310=1,AN310&lt;&gt;1)),ISNUMBER(AG310),AG310&lt;=T310),AS310,0),IF(AND(NOT(AND(AO310=1,AN310&lt;&gt;1)),ISNUMBER(AH310),AH310&lt;=T310),AT310,0),IF(AND(NOT(AND(AO310=1,AN310&lt;&gt;1)),ISNUMBER(AI310),AI310&lt;=T310),AU310,0),IF(AND(ISNUMBER(AJ310),AJ310&lt;=T310),AV310,0))),"AB",IF(AND(IF(AND(NOT(AND(AO310=1,AN310&lt;&gt;1)),ISNUMBER(AI310),AI310&lt;=T310),AU310,0)&gt;0,IF(AND(NOT(AND(AO310=1,AN310&lt;&gt;1)),ISNUMBER(AI310),AI310&lt;=T310),AU310,0)=MAX(IF(AND(NOT(AND(AO310=1,AN310&lt;&gt;1)),ISNUMBER(AG310),AG310&lt;=T310),AS310,0),IF(AND(NOT(AND(AO310=1,AN310&lt;&gt;1)),ISNUMBER(AH310),AH310&lt;=T310),AT310,0),IF(AND(NOT(AND(AO310=1,AN310&lt;&gt;1)),ISNUMBER(AI310),AI310&lt;=T310),AU310,0),IF(AND(ISNUMBER(AJ310),AJ310&lt;=T310),AV310,0))),"SC","Mag")))))))</f>
        <v/>
      </c>
    </row>
    <row r="311">
      <c r="A311" s="26" t="n">
        <v>306</v>
      </c>
      <c r="B311" s="27">
        <f>A311*10/60</f>
        <v/>
      </c>
      <c r="C311" s="22">
        <f>X310</f>
        <v/>
      </c>
      <c r="D311" s="27">
        <f>D310+W310</f>
        <v/>
      </c>
      <c r="E311" s="26">
        <f>E310+IF(U310="SW",1,0)</f>
        <v/>
      </c>
      <c r="F311" s="26">
        <f>F310+IF(U310="AB",1,0)</f>
        <v/>
      </c>
      <c r="G311" s="26">
        <f>G310+IF(U310="SC",1,0)</f>
        <v/>
      </c>
      <c r="H311" s="26">
        <f>H310+IF(U310="Mag",1,0)</f>
        <v/>
      </c>
      <c r="I311" s="26">
        <f>MAX(I310,IF(U310="OR",1,0))</f>
        <v/>
      </c>
      <c r="J311" s="26">
        <f>MAX(J310,IF(U310="HP",1,0))</f>
        <v/>
      </c>
      <c r="K311" s="26">
        <f>MAX(K310,IF(U310="FP",1,0))</f>
        <v/>
      </c>
      <c r="L311" s="26">
        <f>MAX(L310,IF(U310="transition",1,0))</f>
        <v/>
      </c>
      <c r="M311" s="28">
        <f>(Parameters!$B$9+(IF(E311=0,0,(Upgrades!$J$6+E311*Upgrades!$K$6)*POWER(Upgrades!$L$6,E311)))*(IF(Upgrades!$T$7="Solar Wind",POWER(Upgrades!$U$7,F311),1)*IF(Upgrades!$T$8="Solar Wind",POWER(Upgrades!$U$8,G311),1)*IF(Upgrades!$T$9="Solar Wind",POWER(Upgrades!$U$9,H311),1)*IF(Upgrades!$T$10="Solar Wind",POWER(Upgrades!$U$10,I311),1)*IF(Upgrades!$T$11="Solar Wind",POWER(Upgrades!$U$11,J311),1)*IF(Upgrades!$T$12="Solar Wind",POWER(Upgrades!$U$12,K311),1))+(IF(F311=0,0,(Upgrades!$J$7+F311*Upgrades!$K$7)*POWER(Upgrades!$L$7,F311)))*(IF(Upgrades!$T$6="Asteroid Belt",POWER(Upgrades!$U$6,E311),1)*IF(Upgrades!$T$8="Asteroid Belt",POWER(Upgrades!$U$8,G311),1)*IF(Upgrades!$T$9="Asteroid Belt",POWER(Upgrades!$U$9,H311),1)*IF(Upgrades!$T$10="Asteroid Belt",POWER(Upgrades!$U$10,I311),1)*IF(Upgrades!$T$11="Asteroid Belt",POWER(Upgrades!$U$11,J311),1)*IF(Upgrades!$T$12="Asteroid Belt",POWER(Upgrades!$U$12,K311),1))+(IF(G311=0,0,(Upgrades!$J$8+G311*Upgrades!$K$8)*POWER(Upgrades!$L$8,G311)))*(IF(Upgrades!$T$6="Stellar Coupling",POWER(Upgrades!$U$6,E311),1)*IF(Upgrades!$T$7="Stellar Coupling",POWER(Upgrades!$U$7,F311),1)*IF(Upgrades!$T$9="Stellar Coupling",POWER(Upgrades!$U$9,H311),1)*IF(Upgrades!$T$10="Stellar Coupling",POWER(Upgrades!$U$10,I311),1)*IF(Upgrades!$T$11="Stellar Coupling",POWER(Upgrades!$U$11,J311),1)*IF(Upgrades!$T$12="Stellar Coupling",POWER(Upgrades!$U$12,K311),1))+(IF(H311=0,0,(Upgrades!$J$9+H311*Upgrades!$K$9)*POWER(Upgrades!$L$9,H311)))*(IF(Upgrades!$T$6="Magnetosphere",POWER(Upgrades!$U$6,E311),1)*IF(Upgrades!$T$7="Magnetosphere",POWER(Upgrades!$U$7,F311),1)*IF(Upgrades!$T$8="Magnetosphere",POWER(Upgrades!$U$8,G311),1)*IF(Upgrades!$T$10="Magnetosphere",POWER(Upgrades!$U$10,I311),1)*IF(Upgrades!$T$11="Magnetosphere",POWER(Upgrades!$U$11,J311),1)*IF(Upgrades!$T$12="Magnetosphere",POWER(Upgrades!$U$12,K311),1))+(IF(I311=0,0,(Upgrades!$J$10+I311*Upgrades!$K$10)*POWER(Upgrades!$L$10,I311)))*(IF(Upgrades!$T$6="Orbital Resonance",POWER(Upgrades!$U$6,E311),1)*IF(Upgrades!$T$7="Orbital Resonance",POWER(Upgrades!$U$7,F311),1)*IF(Upgrades!$T$8="Orbital Resonance",POWER(Upgrades!$U$8,G311),1)*IF(Upgrades!$T$9="Orbital Resonance",POWER(Upgrades!$U$9,H311),1)*IF(Upgrades!$T$11="Orbital Resonance",POWER(Upgrades!$U$11,J311),1)*IF(Upgrades!$T$12="Orbital Resonance",POWER(Upgrades!$U$12,K311),1))+(IF(J311=0,0,(Upgrades!$J$11+J311*Upgrades!$K$11)*POWER(Upgrades!$L$11,J311)))*(IF(Upgrades!$T$6="Heliopause",POWER(Upgrades!$U$6,E311),1)*IF(Upgrades!$T$7="Heliopause",POWER(Upgrades!$U$7,F311),1)*IF(Upgrades!$T$8="Heliopause",POWER(Upgrades!$U$8,G311),1)*IF(Upgrades!$T$9="Heliopause",POWER(Upgrades!$U$9,H311),1)*IF(Upgrades!$T$10="Heliopause",POWER(Upgrades!$U$10,I311),1)*IF(Upgrades!$T$12="Heliopause",POWER(Upgrades!$U$12,K311),1))+(IF(K311=0,0,(Upgrades!$J$12+K311*Upgrades!$K$12)*POWER(Upgrades!$L$12,K311)))*(IF(Upgrades!$T$6="First Photons",POWER(Upgrades!$U$6,E311),1)*IF(Upgrades!$T$7="First Photons",POWER(Upgrades!$U$7,F311),1)*IF(Upgrades!$T$8="First Photons",POWER(Upgrades!$U$8,G311),1)*IF(Upgrades!$T$9="First Photons",POWER(Upgrades!$U$9,H311),1)*IF(Upgrades!$T$10="First Photons",POWER(Upgrades!$U$10,I311),1)*IF(Upgrades!$T$11="First Photons",POWER(Upgrades!$U$11,J311),1)))*POWER(Upgrades!$Q$6,E311)*POWER(Upgrades!$Q$7,F311)*POWER(Upgrades!$Q$8,G311)*POWER(Upgrades!$Q$9,H311)*POWER(Upgrades!$Q$10,I311)*POWER(Upgrades!$Q$11,J311)*POWER(Upgrades!$Q$12,K311)</f>
        <v/>
      </c>
      <c r="N311" s="28">
        <f>((IF(E311=0,0,(Upgrades!$G$6+E311*Upgrades!$H$6)*POWER(Upgrades!$I$6,E311)))*(IF(Upgrades!$T$7="Solar Wind",POWER(Upgrades!$U$7,F311),1)*IF(Upgrades!$T$8="Solar Wind",POWER(Upgrades!$U$8,G311),1)*IF(Upgrades!$T$9="Solar Wind",POWER(Upgrades!$U$9,H311),1)*IF(Upgrades!$T$10="Solar Wind",POWER(Upgrades!$U$10,I311),1)*IF(Upgrades!$T$11="Solar Wind",POWER(Upgrades!$U$11,J311),1)*IF(Upgrades!$T$12="Solar Wind",POWER(Upgrades!$U$12,K311),1))+(IF(F311=0,0,(Upgrades!$G$7+F311*Upgrades!$H$7)*POWER(Upgrades!$I$7,F311)))*(IF(Upgrades!$T$6="Asteroid Belt",POWER(Upgrades!$U$6,E311),1)*IF(Upgrades!$T$8="Asteroid Belt",POWER(Upgrades!$U$8,G311),1)*IF(Upgrades!$T$9="Asteroid Belt",POWER(Upgrades!$U$9,H311),1)*IF(Upgrades!$T$10="Asteroid Belt",POWER(Upgrades!$U$10,I311),1)*IF(Upgrades!$T$11="Asteroid Belt",POWER(Upgrades!$U$11,J311),1)*IF(Upgrades!$T$12="Asteroid Belt",POWER(Upgrades!$U$12,K311),1))+(IF(G311=0,0,(Upgrades!$G$8+G311*Upgrades!$H$8)*POWER(Upgrades!$I$8,G311)))*(IF(Upgrades!$T$6="Stellar Coupling",POWER(Upgrades!$U$6,E311),1)*IF(Upgrades!$T$7="Stellar Coupling",POWER(Upgrades!$U$7,F311),1)*IF(Upgrades!$T$9="Stellar Coupling",POWER(Upgrades!$U$9,H311),1)*IF(Upgrades!$T$10="Stellar Coupling",POWER(Upgrades!$U$10,I311),1)*IF(Upgrades!$T$11="Stellar Coupling",POWER(Upgrades!$U$11,J311),1)*IF(Upgrades!$T$12="Stellar Coupling",POWER(Upgrades!$U$12,K311),1))+(IF(H311=0,0,(Upgrades!$G$9+H311*Upgrades!$H$9)*POWER(Upgrades!$I$9,H311)))*(IF(Upgrades!$T$6="Magnetosphere",POWER(Upgrades!$U$6,E311),1)*IF(Upgrades!$T$7="Magnetosphere",POWER(Upgrades!$U$7,F311),1)*IF(Upgrades!$T$8="Magnetosphere",POWER(Upgrades!$U$8,G311),1)*IF(Upgrades!$T$10="Magnetosphere",POWER(Upgrades!$U$10,I311),1)*IF(Upgrades!$T$11="Magnetosphere",POWER(Upgrades!$U$11,J311),1)*IF(Upgrades!$T$12="Magnetosphere",POWER(Upgrades!$U$12,K311),1))+(IF(I311=0,0,(Upgrades!$G$10+I311*Upgrades!$H$10)*POWER(Upgrades!$I$10,I311)))*(IF(Upgrades!$T$6="Orbital Resonance",POWER(Upgrades!$U$6,E311),1)*IF(Upgrades!$T$7="Orbital Resonance",POWER(Upgrades!$U$7,F311),1)*IF(Upgrades!$T$8="Orbital Resonance",POWER(Upgrades!$U$8,G311),1)*IF(Upgrades!$T$9="Orbital Resonance",POWER(Upgrades!$U$9,H311),1)*IF(Upgrades!$T$11="Orbital Resonance",POWER(Upgrades!$U$11,J311),1)*IF(Upgrades!$T$12="Orbital Resonance",POWER(Upgrades!$U$12,K311),1))+(IF(J311=0,0,(Upgrades!$G$11+J311*Upgrades!$H$11)*POWER(Upgrades!$I$11,J311)))*(IF(Upgrades!$T$6="Heliopause",POWER(Upgrades!$U$6,E311),1)*IF(Upgrades!$T$7="Heliopause",POWER(Upgrades!$U$7,F311),1)*IF(Upgrades!$T$8="Heliopause",POWER(Upgrades!$U$8,G311),1)*IF(Upgrades!$T$9="Heliopause",POWER(Upgrades!$U$9,H311),1)*IF(Upgrades!$T$10="Heliopause",POWER(Upgrades!$U$10,I311),1)*IF(Upgrades!$T$12="Heliopause",POWER(Upgrades!$U$12,K311),1))+(IF(K311=0,0,(Upgrades!$G$12+K311*Upgrades!$H$12)*POWER(Upgrades!$I$12,K311)))*(IF(Upgrades!$T$6="First Photons",POWER(Upgrades!$U$6,E311),1)*IF(Upgrades!$T$7="First Photons",POWER(Upgrades!$U$7,F311),1)*IF(Upgrades!$T$8="First Photons",POWER(Upgrades!$U$8,G311),1)*IF(Upgrades!$T$9="First Photons",POWER(Upgrades!$U$9,H311),1)*IF(Upgrades!$T$10="First Photons",POWER(Upgrades!$U$10,I311),1)*IF(Upgrades!$T$11="First Photons",POWER(Upgrades!$U$11,J311),1)))*POWER(Upgrades!$P$6,E311)*POWER(Upgrades!$P$7,F311)*POWER(Upgrades!$P$8,G311)*POWER(Upgrades!$P$9,H311)*POWER(Upgrades!$P$10,I311)*POWER(Upgrades!$P$11,J311)*POWER(Upgrades!$P$12,K311)</f>
        <v/>
      </c>
      <c r="O311" s="28">
        <f>((IF(E311=0,0,(Upgrades!$M$6+E311*Upgrades!$N$6)*POWER(Upgrades!$O$6,E311)))*(IF(Upgrades!$T$7="Solar Wind",POWER(Upgrades!$U$7,F311),1)*IF(Upgrades!$T$8="Solar Wind",POWER(Upgrades!$U$8,G311),1)*IF(Upgrades!$T$9="Solar Wind",POWER(Upgrades!$U$9,H311),1)*IF(Upgrades!$T$10="Solar Wind",POWER(Upgrades!$U$10,I311),1)*IF(Upgrades!$T$11="Solar Wind",POWER(Upgrades!$U$11,J311),1)*IF(Upgrades!$T$12="Solar Wind",POWER(Upgrades!$U$12,K311),1))+(IF(F311=0,0,(Upgrades!$M$7+F311*Upgrades!$N$7)*POWER(Upgrades!$O$7,F311)))*(IF(Upgrades!$T$6="Asteroid Belt",POWER(Upgrades!$U$6,E311),1)*IF(Upgrades!$T$8="Asteroid Belt",POWER(Upgrades!$U$8,G311),1)*IF(Upgrades!$T$9="Asteroid Belt",POWER(Upgrades!$U$9,H311),1)*IF(Upgrades!$T$10="Asteroid Belt",POWER(Upgrades!$U$10,I311),1)*IF(Upgrades!$T$11="Asteroid Belt",POWER(Upgrades!$U$11,J311),1)*IF(Upgrades!$T$12="Asteroid Belt",POWER(Upgrades!$U$12,K311),1))+(IF(G311=0,0,(Upgrades!$M$8+G311*Upgrades!$N$8)*POWER(Upgrades!$O$8,G311)))*(IF(Upgrades!$T$6="Stellar Coupling",POWER(Upgrades!$U$6,E311),1)*IF(Upgrades!$T$7="Stellar Coupling",POWER(Upgrades!$U$7,F311),1)*IF(Upgrades!$T$9="Stellar Coupling",POWER(Upgrades!$U$9,H311),1)*IF(Upgrades!$T$10="Stellar Coupling",POWER(Upgrades!$U$10,I311),1)*IF(Upgrades!$T$11="Stellar Coupling",POWER(Upgrades!$U$11,J311),1)*IF(Upgrades!$T$12="Stellar Coupling",POWER(Upgrades!$U$12,K311),1))+(IF(H311=0,0,(Upgrades!$M$9+H311*Upgrades!$N$9)*POWER(Upgrades!$O$9,H311)))*(IF(Upgrades!$T$6="Magnetosphere",POWER(Upgrades!$U$6,E311),1)*IF(Upgrades!$T$7="Magnetosphere",POWER(Upgrades!$U$7,F311),1)*IF(Upgrades!$T$8="Magnetosphere",POWER(Upgrades!$U$8,G311),1)*IF(Upgrades!$T$10="Magnetosphere",POWER(Upgrades!$U$10,I311),1)*IF(Upgrades!$T$11="Magnetosphere",POWER(Upgrades!$U$11,J311),1)*IF(Upgrades!$T$12="Magnetosphere",POWER(Upgrades!$U$12,K311),1))+(IF(I311=0,0,(Upgrades!$M$10+I311*Upgrades!$N$10)*POWER(Upgrades!$O$10,I311)))*(IF(Upgrades!$T$6="Orbital Resonance",POWER(Upgrades!$U$6,E311),1)*IF(Upgrades!$T$7="Orbital Resonance",POWER(Upgrades!$U$7,F311),1)*IF(Upgrades!$T$8="Orbital Resonance",POWER(Upgrades!$U$8,G311),1)*IF(Upgrades!$T$9="Orbital Resonance",POWER(Upgrades!$U$9,H311),1)*IF(Upgrades!$T$11="Orbital Resonance",POWER(Upgrades!$U$11,J311),1)*IF(Upgrades!$T$12="Orbital Resonance",POWER(Upgrades!$U$12,K311),1))+(IF(J311=0,0,(Upgrades!$M$11+J311*Upgrades!$N$11)*POWER(Upgrades!$O$11,J311)))*(IF(Upgrades!$T$6="Heliopause",POWER(Upgrades!$U$6,E311),1)*IF(Upgrades!$T$7="Heliopause",POWER(Upgrades!$U$7,F311),1)*IF(Upgrades!$T$8="Heliopause",POWER(Upgrades!$U$8,G311),1)*IF(Upgrades!$T$9="Heliopause",POWER(Upgrades!$U$9,H311),1)*IF(Upgrades!$T$10="Heliopause",POWER(Upgrades!$U$10,I311),1)*IF(Upgrades!$T$12="Heliopause",POWER(Upgrades!$U$12,K311),1))+(IF(K311=0,0,(Upgrades!$M$12+K311*Upgrades!$N$12)*POWER(Upgrades!$O$12,K311)))*(IF(Upgrades!$T$6="First Photons",POWER(Upgrades!$U$6,E311),1)*IF(Upgrades!$T$7="First Photons",POWER(Upgrades!$U$7,F311),1)*IF(Upgrades!$T$8="First Photons",POWER(Upgrades!$U$8,G311),1)*IF(Upgrades!$T$9="First Photons",POWER(Upgrades!$U$9,H311),1)*IF(Upgrades!$T$10="First Photons",POWER(Upgrades!$U$10,I311),1)*IF(Upgrades!$T$11="First Photons",POWER(Upgrades!$U$11,J311),1)))*POWER(Upgrades!$R$6,E311)*POWER(Upgrades!$R$7,F311)*POWER(Upgrades!$R$8,G311)*POWER(Upgrades!$R$9,H311)*POWER(Upgrades!$R$10,I311)*POWER(Upgrades!$R$11,J311)*POWER(Upgrades!$R$12,K311)</f>
        <v/>
      </c>
      <c r="P311" s="27">
        <f>IF(L311=1,0,M311*Parameters!$B$10/60*Parameters!$B$11*10)</f>
        <v/>
      </c>
      <c r="Q311" s="27">
        <f>IF(L311=1,0,O311*M311*10)</f>
        <v/>
      </c>
      <c r="R311" s="27">
        <f>IF(L311=1,0,N311*10)</f>
        <v/>
      </c>
      <c r="S311" s="27">
        <f>P311+Q311+R311</f>
        <v/>
      </c>
      <c r="T311" s="22">
        <f>C311+S311</f>
        <v/>
      </c>
      <c r="U311" s="33">
        <f>AX311</f>
        <v/>
      </c>
      <c r="V311" s="22">
        <f>IF(U311="",0,IF(U311="transition",0,IF(U311="SW",AG311,IF(U311="AB",AH311,IF(U311="SC",AI311,IF(U311="Mag",AJ311,IF(U311="OR",AK311,IF(U311="HP",AL311,IF(U311="FP",AM311,0)))))))))</f>
        <v/>
      </c>
      <c r="W311" s="27">
        <f>IF(U311="OR",Upgrades!$F$10,IF(U311="HP",Upgrades!$F$11,IF(U311="transition",-Parameters!$B$18,0)))</f>
        <v/>
      </c>
      <c r="X311" s="22">
        <f>T311-V311</f>
        <v/>
      </c>
      <c r="Y311" s="30">
        <f>M311*Parameters!$B$10/60*Parameters!$B$11+O311*M311+N311</f>
        <v/>
      </c>
      <c r="Z311" s="34">
        <f>IF(U311="transition","→ Tier 2 (Stellar Neighborhood)",IF(U311="FP","First Photons — light begins, system quickens",IF(U311="HP","Heliopause acquired",IF(U311="OR","Orbital Resonance — passive multiplier active",IF(AND(AO311=1,L311=0,AN311&lt;&gt;1),"Cohesion ready (waiting on completionist upgrades)","")))))</f>
        <v/>
      </c>
      <c r="AA311" s="27">
        <f>(IF(E311=0,0,(Upgrades!$G$6+E311*Upgrades!$H$6)*POWER(Upgrades!$I$6,E311)))*(IF(Upgrades!$T$7="Solar Wind",POWER(Upgrades!$U$7,F311),1)*IF(Upgrades!$T$8="Solar Wind",POWER(Upgrades!$U$8,G311),1)*IF(Upgrades!$T$9="Solar Wind",POWER(Upgrades!$U$9,H311),1)*IF(Upgrades!$T$10="Solar Wind",POWER(Upgrades!$U$10,I311),1)*IF(Upgrades!$T$11="Solar Wind",POWER(Upgrades!$U$11,J311),1)*IF(Upgrades!$T$12="Solar Wind",POWER(Upgrades!$U$12,K311),1))*POWER(Upgrades!$P$6,E311)*POWER(Upgrades!$P$7,F311)*POWER(Upgrades!$P$8,G311)*POWER(Upgrades!$P$9,H311)*POWER(Upgrades!$P$10,I311)*POWER(Upgrades!$P$11,J311)*POWER(Upgrades!$P$12,K311)*60</f>
        <v/>
      </c>
      <c r="AB311" s="27">
        <f>(IF(F311=0,0,(Upgrades!$G$7+F311*Upgrades!$H$7)*POWER(Upgrades!$I$7,F311)))*(IF(Upgrades!$T$6="Asteroid Belt",POWER(Upgrades!$U$6,E311),1)*IF(Upgrades!$T$8="Asteroid Belt",POWER(Upgrades!$U$8,G311),1)*IF(Upgrades!$T$9="Asteroid Belt",POWER(Upgrades!$U$9,H311),1)*IF(Upgrades!$T$10="Asteroid Belt",POWER(Upgrades!$U$10,I311),1)*IF(Upgrades!$T$11="Asteroid Belt",POWER(Upgrades!$U$11,J311),1)*IF(Upgrades!$T$12="Asteroid Belt",POWER(Upgrades!$U$12,K311),1))*POWER(Upgrades!$P$6,E311)*POWER(Upgrades!$P$7,F311)*POWER(Upgrades!$P$8,G311)*POWER(Upgrades!$P$9,H311)*POWER(Upgrades!$P$10,I311)*POWER(Upgrades!$P$11,J311)*POWER(Upgrades!$P$12,K311)*60</f>
        <v/>
      </c>
      <c r="AC311" s="27">
        <f>(IF(G311=0,0,(Upgrades!$J$8+G311*Upgrades!$K$8)*POWER(Upgrades!$L$8,G311)))*(IF(Upgrades!$T$6="Stellar Coupling",POWER(Upgrades!$U$6,E311),1)*IF(Upgrades!$T$7="Stellar Coupling",POWER(Upgrades!$U$7,F311),1)*IF(Upgrades!$T$9="Stellar Coupling",POWER(Upgrades!$U$9,H311),1)*IF(Upgrades!$T$10="Stellar Coupling",POWER(Upgrades!$U$10,I311),1)*IF(Upgrades!$T$11="Stellar Coupling",POWER(Upgrades!$U$11,J311),1)*IF(Upgrades!$T$12="Stellar Coupling",POWER(Upgrades!$U$12,K311),1))*POWER(Upgrades!$Q$6,E311)*POWER(Upgrades!$Q$7,F311)*POWER(Upgrades!$Q$8,G311)*POWER(Upgrades!$Q$9,H311)*POWER(Upgrades!$Q$10,I311)*POWER(Upgrades!$Q$11,J311)*POWER(Upgrades!$Q$12,K311)*Parameters!$B$10*Parameters!$B$11</f>
        <v/>
      </c>
      <c r="AD311" s="27">
        <f>(IF(H311=0,0,(Upgrades!$G$9+H311*Upgrades!$H$9)*POWER(Upgrades!$I$9,H311)))*(IF(Upgrades!$T$6="Magnetosphere",POWER(Upgrades!$U$6,E311),1)*IF(Upgrades!$T$7="Magnetosphere",POWER(Upgrades!$U$7,F311),1)*IF(Upgrades!$T$8="Magnetosphere",POWER(Upgrades!$U$8,G311),1)*IF(Upgrades!$T$10="Magnetosphere",POWER(Upgrades!$U$10,I311),1)*IF(Upgrades!$T$11="Magnetosphere",POWER(Upgrades!$U$11,J311),1)*IF(Upgrades!$T$12="Magnetosphere",POWER(Upgrades!$U$12,K311),1))*POWER(Upgrades!$P$6,E311)*POWER(Upgrades!$P$7,F311)*POWER(Upgrades!$P$8,G311)*POWER(Upgrades!$P$9,H311)*POWER(Upgrades!$P$10,I311)*POWER(Upgrades!$P$11,J311)*POWER(Upgrades!$P$12,K311)*60</f>
        <v/>
      </c>
      <c r="AE311" s="27">
        <f>(IF(K311=0,0,(Upgrades!$G$12+K311*Upgrades!$H$12)*POWER(Upgrades!$I$12,K311)))*(IF(Upgrades!$T$6="First Photons",POWER(Upgrades!$U$6,E311),1)*IF(Upgrades!$T$7="First Photons",POWER(Upgrades!$U$7,F311),1)*IF(Upgrades!$T$8="First Photons",POWER(Upgrades!$U$8,G311),1)*IF(Upgrades!$T$9="First Photons",POWER(Upgrades!$U$9,H311),1)*IF(Upgrades!$T$10="First Photons",POWER(Upgrades!$U$10,I311),1)*IF(Upgrades!$T$11="First Photons",POWER(Upgrades!$U$11,J311),1))*POWER(Upgrades!$P$6,E311)*POWER(Upgrades!$P$7,F311)*POWER(Upgrades!$P$8,G311)*POWER(Upgrades!$P$9,H311)*POWER(Upgrades!$P$10,I311)*POWER(Upgrades!$P$11,J311)*POWER(Upgrades!$P$12,K311)*60</f>
        <v/>
      </c>
      <c r="AF311" s="27">
        <f>Parameters!$B$9*POWER(Upgrades!$Q$6,E311)*POWER(Upgrades!$Q$7,F311)*POWER(Upgrades!$Q$8,G311)*POWER(Upgrades!$Q$9,H311)*POWER(Upgrades!$Q$10,I311)*POWER(Upgrades!$Q$11,J311)*POWER(Upgrades!$Q$12,K311)*(Parameters!$B$10*Parameters!$B$11+O311*60)</f>
        <v/>
      </c>
      <c r="AG311" s="22">
        <f>IF(E311&gt;=Upgrades!$E$6,"",Upgrades!$C$6*POWER(Upgrades!$D$6,E311))</f>
        <v/>
      </c>
      <c r="AH311" s="22">
        <f>IF(F311&gt;=Upgrades!$E$7,"",Upgrades!$C$7*POWER(Upgrades!$D$7,F311))</f>
        <v/>
      </c>
      <c r="AI311" s="22">
        <f>IF(G311&gt;=Upgrades!$E$8,"",Upgrades!$C$8*POWER(Upgrades!$D$8,G311))</f>
        <v/>
      </c>
      <c r="AJ311" s="22">
        <f>IF(H311&gt;=Upgrades!$E$9,"",Upgrades!$C$9*POWER(Upgrades!$D$9,H311))</f>
        <v/>
      </c>
      <c r="AK311" s="22">
        <f>IF(I311&gt;=Upgrades!$E$10,"",Upgrades!$C$10*POWER(Upgrades!$D$10,I311))</f>
        <v/>
      </c>
      <c r="AL311" s="22">
        <f>IF(J311&gt;=Upgrades!$E$11,"",Upgrades!$C$11*POWER(Upgrades!$D$11,J311))</f>
        <v/>
      </c>
      <c r="AM311" s="22">
        <f>IF(K311&gt;=Upgrades!$E$12,"",Upgrades!$C$12*POWER(Upgrades!$D$12,K311))</f>
        <v/>
      </c>
      <c r="AN311" s="26">
        <f>IF(AND(D311&gt;=Parameters!$B$18,(H311&gt;=Upgrades!$E$9)*(K311&gt;=Upgrades!$E$12)=1,L311=0),1,"")</f>
        <v/>
      </c>
      <c r="AO311" s="26">
        <f>IF(AND(D311&gt;=Parameters!$B$18,L311=0),1,"")</f>
        <v/>
      </c>
      <c r="AP311" s="22">
        <f>MIN(IF(ISNUMBER(AK311),AK311,9E15),IF(ISNUMBER(AL311),AL311,9E15),IF(ISNUMBER(AM311),AM311,9E15))</f>
        <v/>
      </c>
      <c r="AQ311" s="22">
        <f>MIN(IF(ISNUMBER(AG311),AG311,9E15),IF(ISNUMBER(AH311),AH311,9E15),IF(ISNUMBER(AI311),AI311,9E15),IF(ISNUMBER(AJ311),AJ311,9E15))</f>
        <v/>
      </c>
      <c r="AR311" s="29">
        <f>IF(AW311&gt;Parameters!$B$21*(MAX(IF(AND(NOT(AND(AO311=1,AN311&lt;&gt;1)),ISNUMBER(AG311),AG311&lt;=T311),AS311,0),IF(AND(NOT(AND(AO311=1,AN311&lt;&gt;1)),ISNUMBER(AH311),AH311&lt;=T311),AT311,0),IF(AND(NOT(AND(AO311=1,AN311&lt;&gt;1)),ISNUMBER(AI311),AI311&lt;=T311),AU311,0),IF(AND(ISNUMBER(AJ311),AJ311&lt;=T311),AV311,0))),TRUE,FALSE)</f>
        <v/>
      </c>
      <c r="AS311" s="32">
        <f>IFERROR(Upgrades!$H$6*(POWER(Upgrades!$P$6,E311)*POWER(Upgrades!$P$7,F311)*POWER(Upgrades!$P$8,G311)*POWER(Upgrades!$P$9,H311)*POWER(Upgrades!$P$10,I311)*POWER(Upgrades!$P$11,J311)*POWER(Upgrades!$P$12,K311))*(IF(Upgrades!$T$7="Solar Wind",POWER(Upgrades!$U$7,F311),1)*IF(Upgrades!$T$8="Solar Wind",POWER(Upgrades!$U$8,G311),1)*IF(Upgrades!$T$9="Solar Wind",POWER(Upgrades!$U$9,H311),1)*IF(Upgrades!$T$10="Solar Wind",POWER(Upgrades!$U$10,I311),1)*IF(Upgrades!$T$11="Solar Wind",POWER(Upgrades!$U$11,J311),1)*IF(Upgrades!$T$12="Solar Wind",POWER(Upgrades!$U$12,K311),1))/AG311,0)</f>
        <v/>
      </c>
      <c r="AT311" s="32">
        <f>IFERROR(Upgrades!$H$7*(POWER(Upgrades!$P$6,E311)*POWER(Upgrades!$P$7,F311)*POWER(Upgrades!$P$8,G311)*POWER(Upgrades!$P$9,H311)*POWER(Upgrades!$P$10,I311)*POWER(Upgrades!$P$11,J311)*POWER(Upgrades!$P$12,K311))*(IF(Upgrades!$T$6="Asteroid Belt",POWER(Upgrades!$U$6,E311),1)*IF(Upgrades!$T$8="Asteroid Belt",POWER(Upgrades!$U$8,G311),1)*IF(Upgrades!$T$9="Asteroid Belt",POWER(Upgrades!$U$9,H311),1)*IF(Upgrades!$T$10="Asteroid Belt",POWER(Upgrades!$U$10,I311),1)*IF(Upgrades!$T$11="Asteroid Belt",POWER(Upgrades!$U$11,J311),1)*IF(Upgrades!$T$12="Asteroid Belt",POWER(Upgrades!$U$12,K311),1))/AH311,0)</f>
        <v/>
      </c>
      <c r="AU311" s="32">
        <f>IFERROR(Upgrades!$K$8*(POWER(Upgrades!$Q$6,E311)*POWER(Upgrades!$Q$7,F311)*POWER(Upgrades!$Q$8,G311)*POWER(Upgrades!$Q$9,H311)*POWER(Upgrades!$Q$10,I311)*POWER(Upgrades!$Q$11,J311)*POWER(Upgrades!$Q$12,K311))*(IF(Upgrades!$T$6="Stellar Coupling",POWER(Upgrades!$U$6,E311),1)*IF(Upgrades!$T$7="Stellar Coupling",POWER(Upgrades!$U$7,F311),1)*IF(Upgrades!$T$9="Stellar Coupling",POWER(Upgrades!$U$9,H311),1)*IF(Upgrades!$T$10="Stellar Coupling",POWER(Upgrades!$U$10,I311),1)*IF(Upgrades!$T$11="Stellar Coupling",POWER(Upgrades!$U$11,J311),1)*IF(Upgrades!$T$12="Stellar Coupling",POWER(Upgrades!$U$12,K311),1))*Parameters!$B$10*Parameters!$B$11/60/AI311,0)</f>
        <v/>
      </c>
      <c r="AV311" s="32">
        <f>IFERROR(Upgrades!$H$9*(POWER(Upgrades!$P$6,E311)*POWER(Upgrades!$P$7,F311)*POWER(Upgrades!$P$8,G311)*POWER(Upgrades!$P$9,H311)*POWER(Upgrades!$P$10,I311)*POWER(Upgrades!$P$11,J311)*POWER(Upgrades!$P$12,K311))*(IF(Upgrades!$T$6="Magnetosphere",POWER(Upgrades!$U$6,E311),1)*IF(Upgrades!$T$7="Magnetosphere",POWER(Upgrades!$U$7,F311),1)*IF(Upgrades!$T$8="Magnetosphere",POWER(Upgrades!$U$8,G311),1)*IF(Upgrades!$T$10="Magnetosphere",POWER(Upgrades!$U$10,I311),1)*IF(Upgrades!$T$11="Magnetosphere",POWER(Upgrades!$U$11,J311),1)*IF(Upgrades!$T$12="Magnetosphere",POWER(Upgrades!$U$12,K311),1))/AJ311,0)</f>
        <v/>
      </c>
      <c r="AW311" s="32">
        <f>MAX(IF(I311&gt;0,0,IFERROR(0.25*N311/Upgrades!$C$10,0)),IF(J311&gt;0,0,IFERROR(0.5*((IF(G311=0,0,(Upgrades!$J$8+G311*Upgrades!$K$8)*POWER(Upgrades!$L$8,G311)))*(IF(Upgrades!$T$6="Stellar Coupling",POWER(Upgrades!$U$6,E311),1)*IF(Upgrades!$T$7="Stellar Coupling",POWER(Upgrades!$U$7,F311),1)*IF(Upgrades!$T$9="Stellar Coupling",POWER(Upgrades!$U$9,H311),1)*IF(Upgrades!$T$10="Stellar Coupling",POWER(Upgrades!$U$10,I311),1)*IF(Upgrades!$T$11="Stellar Coupling",POWER(Upgrades!$U$11,J311),1)*IF(Upgrades!$T$12="Stellar Coupling",POWER(Upgrades!$U$12,K311),1))*(POWER(Upgrades!$Q$6,E311)*POWER(Upgrades!$Q$7,F311)*POWER(Upgrades!$Q$8,G311)*POWER(Upgrades!$Q$9,H311)*POWER(Upgrades!$Q$10,I311)*POWER(Upgrades!$Q$11,J311)*POWER(Upgrades!$Q$12,K311))*Parameters!$B$10*Parameters!$B$11/60)/Upgrades!$C$11,0)),IF(K311&gt;0,0,IFERROR((1.0*(POWER(Upgrades!$P$6,E311)*POWER(Upgrades!$P$7,F311)*POWER(Upgrades!$P$8,G311)*POWER(Upgrades!$P$9,H311)*POWER(Upgrades!$P$10,I311)*POWER(Upgrades!$P$11,J311)*POWER(Upgrades!$P$12,K311))+0.20*M311*Parameters!$B$10*Parameters!$B$11/60)/Upgrades!$C$12,0)),IF(AND(ISNUMBER(AG311),AG311&gt;T311),AS311,0),IF(AND(ISNUMBER(AH311),AH311&gt;T311),AT311,0),IF(AND(ISNUMBER(AI311),AI311&gt;T311),AU311,0),IF(AND(ISNUMBER(AJ311),AJ311&gt;T311),AV311,0))</f>
        <v/>
      </c>
      <c r="AX311" s="29">
        <f>IF(AN311=1,"transition",IF(MIN(IF(AND(I311=0,ISNUMBER(AK311),AK311&lt;=T311),AK311,9E15),IF(AND(J311=0,ISNUMBER(AL311),AL311&lt;=T311),AL311,9E15),IF(AND(K311=0,ISNUMBER(AM311),AM311&lt;=T311),AM311,9E15))&lt;9E15,IF(AND(AND(I311=0,ISNUMBER(AK311),AK311&lt;=T311),AK311=MIN(IF(AND(I311=0,ISNUMBER(AK311),AK311&lt;=T311),AK311,9E15),IF(AND(J311=0,ISNUMBER(AL311),AL311&lt;=T311),AL311,9E15),IF(AND(K311=0,ISNUMBER(AM311),AM311&lt;=T311),AM311,9E15))),"OR",IF(AND(AND(J311=0,ISNUMBER(AL311),AL311&lt;=T311),AL311=MIN(IF(AND(I311=0,ISNUMBER(AK311),AK311&lt;=T311),AK311,9E15),IF(AND(J311=0,ISNUMBER(AL311),AL311&lt;=T311),AL311,9E15),IF(AND(K311=0,ISNUMBER(AM311),AM311&lt;=T311),AM311,9E15))),"HP","FP")),IF(AR311=TRUE,"",IF(MAX(IF(AND(NOT(AND(AO311=1,AN311&lt;&gt;1)),ISNUMBER(AG311),AG311&lt;=T311),AS311,0),IF(AND(NOT(AND(AO311=1,AN311&lt;&gt;1)),ISNUMBER(AH311),AH311&lt;=T311),AT311,0),IF(AND(NOT(AND(AO311=1,AN311&lt;&gt;1)),ISNUMBER(AI311),AI311&lt;=T311),AU311,0),IF(AND(ISNUMBER(AJ311),AJ311&lt;=T311),AV311,0))&lt;=0,"",IF(AND(IF(AND(NOT(AND(AO311=1,AN311&lt;&gt;1)),ISNUMBER(AG311),AG311&lt;=T311),AS311,0)&gt;0,IF(AND(NOT(AND(AO311=1,AN311&lt;&gt;1)),ISNUMBER(AG311),AG311&lt;=T311),AS311,0)=MAX(IF(AND(NOT(AND(AO311=1,AN311&lt;&gt;1)),ISNUMBER(AG311),AG311&lt;=T311),AS311,0),IF(AND(NOT(AND(AO311=1,AN311&lt;&gt;1)),ISNUMBER(AH311),AH311&lt;=T311),AT311,0),IF(AND(NOT(AND(AO311=1,AN311&lt;&gt;1)),ISNUMBER(AI311),AI311&lt;=T311),AU311,0),IF(AND(ISNUMBER(AJ311),AJ311&lt;=T311),AV311,0))),"SW",IF(AND(IF(AND(NOT(AND(AO311=1,AN311&lt;&gt;1)),ISNUMBER(AH311),AH311&lt;=T311),AT311,0)&gt;0,IF(AND(NOT(AND(AO311=1,AN311&lt;&gt;1)),ISNUMBER(AH311),AH311&lt;=T311),AT311,0)=MAX(IF(AND(NOT(AND(AO311=1,AN311&lt;&gt;1)),ISNUMBER(AG311),AG311&lt;=T311),AS311,0),IF(AND(NOT(AND(AO311=1,AN311&lt;&gt;1)),ISNUMBER(AH311),AH311&lt;=T311),AT311,0),IF(AND(NOT(AND(AO311=1,AN311&lt;&gt;1)),ISNUMBER(AI311),AI311&lt;=T311),AU311,0),IF(AND(ISNUMBER(AJ311),AJ311&lt;=T311),AV311,0))),"AB",IF(AND(IF(AND(NOT(AND(AO311=1,AN311&lt;&gt;1)),ISNUMBER(AI311),AI311&lt;=T311),AU311,0)&gt;0,IF(AND(NOT(AND(AO311=1,AN311&lt;&gt;1)),ISNUMBER(AI311),AI311&lt;=T311),AU311,0)=MAX(IF(AND(NOT(AND(AO311=1,AN311&lt;&gt;1)),ISNUMBER(AG311),AG311&lt;=T311),AS311,0),IF(AND(NOT(AND(AO311=1,AN311&lt;&gt;1)),ISNUMBER(AH311),AH311&lt;=T311),AT311,0),IF(AND(NOT(AND(AO311=1,AN311&lt;&gt;1)),ISNUMBER(AI311),AI311&lt;=T311),AU311,0),IF(AND(ISNUMBER(AJ311),AJ311&lt;=T311),AV311,0))),"SC","Mag")))))))</f>
        <v/>
      </c>
    </row>
    <row r="312">
      <c r="A312" s="26" t="n">
        <v>307</v>
      </c>
      <c r="B312" s="27">
        <f>A312*10/60</f>
        <v/>
      </c>
      <c r="C312" s="22">
        <f>X311</f>
        <v/>
      </c>
      <c r="D312" s="27">
        <f>D311+W311</f>
        <v/>
      </c>
      <c r="E312" s="26">
        <f>E311+IF(U311="SW",1,0)</f>
        <v/>
      </c>
      <c r="F312" s="26">
        <f>F311+IF(U311="AB",1,0)</f>
        <v/>
      </c>
      <c r="G312" s="26">
        <f>G311+IF(U311="SC",1,0)</f>
        <v/>
      </c>
      <c r="H312" s="26">
        <f>H311+IF(U311="Mag",1,0)</f>
        <v/>
      </c>
      <c r="I312" s="26">
        <f>MAX(I311,IF(U311="OR",1,0))</f>
        <v/>
      </c>
      <c r="J312" s="26">
        <f>MAX(J311,IF(U311="HP",1,0))</f>
        <v/>
      </c>
      <c r="K312" s="26">
        <f>MAX(K311,IF(U311="FP",1,0))</f>
        <v/>
      </c>
      <c r="L312" s="26">
        <f>MAX(L311,IF(U311="transition",1,0))</f>
        <v/>
      </c>
      <c r="M312" s="28">
        <f>(Parameters!$B$9+(IF(E312=0,0,(Upgrades!$J$6+E312*Upgrades!$K$6)*POWER(Upgrades!$L$6,E312)))*(IF(Upgrades!$T$7="Solar Wind",POWER(Upgrades!$U$7,F312),1)*IF(Upgrades!$T$8="Solar Wind",POWER(Upgrades!$U$8,G312),1)*IF(Upgrades!$T$9="Solar Wind",POWER(Upgrades!$U$9,H312),1)*IF(Upgrades!$T$10="Solar Wind",POWER(Upgrades!$U$10,I312),1)*IF(Upgrades!$T$11="Solar Wind",POWER(Upgrades!$U$11,J312),1)*IF(Upgrades!$T$12="Solar Wind",POWER(Upgrades!$U$12,K312),1))+(IF(F312=0,0,(Upgrades!$J$7+F312*Upgrades!$K$7)*POWER(Upgrades!$L$7,F312)))*(IF(Upgrades!$T$6="Asteroid Belt",POWER(Upgrades!$U$6,E312),1)*IF(Upgrades!$T$8="Asteroid Belt",POWER(Upgrades!$U$8,G312),1)*IF(Upgrades!$T$9="Asteroid Belt",POWER(Upgrades!$U$9,H312),1)*IF(Upgrades!$T$10="Asteroid Belt",POWER(Upgrades!$U$10,I312),1)*IF(Upgrades!$T$11="Asteroid Belt",POWER(Upgrades!$U$11,J312),1)*IF(Upgrades!$T$12="Asteroid Belt",POWER(Upgrades!$U$12,K312),1))+(IF(G312=0,0,(Upgrades!$J$8+G312*Upgrades!$K$8)*POWER(Upgrades!$L$8,G312)))*(IF(Upgrades!$T$6="Stellar Coupling",POWER(Upgrades!$U$6,E312),1)*IF(Upgrades!$T$7="Stellar Coupling",POWER(Upgrades!$U$7,F312),1)*IF(Upgrades!$T$9="Stellar Coupling",POWER(Upgrades!$U$9,H312),1)*IF(Upgrades!$T$10="Stellar Coupling",POWER(Upgrades!$U$10,I312),1)*IF(Upgrades!$T$11="Stellar Coupling",POWER(Upgrades!$U$11,J312),1)*IF(Upgrades!$T$12="Stellar Coupling",POWER(Upgrades!$U$12,K312),1))+(IF(H312=0,0,(Upgrades!$J$9+H312*Upgrades!$K$9)*POWER(Upgrades!$L$9,H312)))*(IF(Upgrades!$T$6="Magnetosphere",POWER(Upgrades!$U$6,E312),1)*IF(Upgrades!$T$7="Magnetosphere",POWER(Upgrades!$U$7,F312),1)*IF(Upgrades!$T$8="Magnetosphere",POWER(Upgrades!$U$8,G312),1)*IF(Upgrades!$T$10="Magnetosphere",POWER(Upgrades!$U$10,I312),1)*IF(Upgrades!$T$11="Magnetosphere",POWER(Upgrades!$U$11,J312),1)*IF(Upgrades!$T$12="Magnetosphere",POWER(Upgrades!$U$12,K312),1))+(IF(I312=0,0,(Upgrades!$J$10+I312*Upgrades!$K$10)*POWER(Upgrades!$L$10,I312)))*(IF(Upgrades!$T$6="Orbital Resonance",POWER(Upgrades!$U$6,E312),1)*IF(Upgrades!$T$7="Orbital Resonance",POWER(Upgrades!$U$7,F312),1)*IF(Upgrades!$T$8="Orbital Resonance",POWER(Upgrades!$U$8,G312),1)*IF(Upgrades!$T$9="Orbital Resonance",POWER(Upgrades!$U$9,H312),1)*IF(Upgrades!$T$11="Orbital Resonance",POWER(Upgrades!$U$11,J312),1)*IF(Upgrades!$T$12="Orbital Resonance",POWER(Upgrades!$U$12,K312),1))+(IF(J312=0,0,(Upgrades!$J$11+J312*Upgrades!$K$11)*POWER(Upgrades!$L$11,J312)))*(IF(Upgrades!$T$6="Heliopause",POWER(Upgrades!$U$6,E312),1)*IF(Upgrades!$T$7="Heliopause",POWER(Upgrades!$U$7,F312),1)*IF(Upgrades!$T$8="Heliopause",POWER(Upgrades!$U$8,G312),1)*IF(Upgrades!$T$9="Heliopause",POWER(Upgrades!$U$9,H312),1)*IF(Upgrades!$T$10="Heliopause",POWER(Upgrades!$U$10,I312),1)*IF(Upgrades!$T$12="Heliopause",POWER(Upgrades!$U$12,K312),1))+(IF(K312=0,0,(Upgrades!$J$12+K312*Upgrades!$K$12)*POWER(Upgrades!$L$12,K312)))*(IF(Upgrades!$T$6="First Photons",POWER(Upgrades!$U$6,E312),1)*IF(Upgrades!$T$7="First Photons",POWER(Upgrades!$U$7,F312),1)*IF(Upgrades!$T$8="First Photons",POWER(Upgrades!$U$8,G312),1)*IF(Upgrades!$T$9="First Photons",POWER(Upgrades!$U$9,H312),1)*IF(Upgrades!$T$10="First Photons",POWER(Upgrades!$U$10,I312),1)*IF(Upgrades!$T$11="First Photons",POWER(Upgrades!$U$11,J312),1)))*POWER(Upgrades!$Q$6,E312)*POWER(Upgrades!$Q$7,F312)*POWER(Upgrades!$Q$8,G312)*POWER(Upgrades!$Q$9,H312)*POWER(Upgrades!$Q$10,I312)*POWER(Upgrades!$Q$11,J312)*POWER(Upgrades!$Q$12,K312)</f>
        <v/>
      </c>
      <c r="N312" s="28">
        <f>((IF(E312=0,0,(Upgrades!$G$6+E312*Upgrades!$H$6)*POWER(Upgrades!$I$6,E312)))*(IF(Upgrades!$T$7="Solar Wind",POWER(Upgrades!$U$7,F312),1)*IF(Upgrades!$T$8="Solar Wind",POWER(Upgrades!$U$8,G312),1)*IF(Upgrades!$T$9="Solar Wind",POWER(Upgrades!$U$9,H312),1)*IF(Upgrades!$T$10="Solar Wind",POWER(Upgrades!$U$10,I312),1)*IF(Upgrades!$T$11="Solar Wind",POWER(Upgrades!$U$11,J312),1)*IF(Upgrades!$T$12="Solar Wind",POWER(Upgrades!$U$12,K312),1))+(IF(F312=0,0,(Upgrades!$G$7+F312*Upgrades!$H$7)*POWER(Upgrades!$I$7,F312)))*(IF(Upgrades!$T$6="Asteroid Belt",POWER(Upgrades!$U$6,E312),1)*IF(Upgrades!$T$8="Asteroid Belt",POWER(Upgrades!$U$8,G312),1)*IF(Upgrades!$T$9="Asteroid Belt",POWER(Upgrades!$U$9,H312),1)*IF(Upgrades!$T$10="Asteroid Belt",POWER(Upgrades!$U$10,I312),1)*IF(Upgrades!$T$11="Asteroid Belt",POWER(Upgrades!$U$11,J312),1)*IF(Upgrades!$T$12="Asteroid Belt",POWER(Upgrades!$U$12,K312),1))+(IF(G312=0,0,(Upgrades!$G$8+G312*Upgrades!$H$8)*POWER(Upgrades!$I$8,G312)))*(IF(Upgrades!$T$6="Stellar Coupling",POWER(Upgrades!$U$6,E312),1)*IF(Upgrades!$T$7="Stellar Coupling",POWER(Upgrades!$U$7,F312),1)*IF(Upgrades!$T$9="Stellar Coupling",POWER(Upgrades!$U$9,H312),1)*IF(Upgrades!$T$10="Stellar Coupling",POWER(Upgrades!$U$10,I312),1)*IF(Upgrades!$T$11="Stellar Coupling",POWER(Upgrades!$U$11,J312),1)*IF(Upgrades!$T$12="Stellar Coupling",POWER(Upgrades!$U$12,K312),1))+(IF(H312=0,0,(Upgrades!$G$9+H312*Upgrades!$H$9)*POWER(Upgrades!$I$9,H312)))*(IF(Upgrades!$T$6="Magnetosphere",POWER(Upgrades!$U$6,E312),1)*IF(Upgrades!$T$7="Magnetosphere",POWER(Upgrades!$U$7,F312),1)*IF(Upgrades!$T$8="Magnetosphere",POWER(Upgrades!$U$8,G312),1)*IF(Upgrades!$T$10="Magnetosphere",POWER(Upgrades!$U$10,I312),1)*IF(Upgrades!$T$11="Magnetosphere",POWER(Upgrades!$U$11,J312),1)*IF(Upgrades!$T$12="Magnetosphere",POWER(Upgrades!$U$12,K312),1))+(IF(I312=0,0,(Upgrades!$G$10+I312*Upgrades!$H$10)*POWER(Upgrades!$I$10,I312)))*(IF(Upgrades!$T$6="Orbital Resonance",POWER(Upgrades!$U$6,E312),1)*IF(Upgrades!$T$7="Orbital Resonance",POWER(Upgrades!$U$7,F312),1)*IF(Upgrades!$T$8="Orbital Resonance",POWER(Upgrades!$U$8,G312),1)*IF(Upgrades!$T$9="Orbital Resonance",POWER(Upgrades!$U$9,H312),1)*IF(Upgrades!$T$11="Orbital Resonance",POWER(Upgrades!$U$11,J312),1)*IF(Upgrades!$T$12="Orbital Resonance",POWER(Upgrades!$U$12,K312),1))+(IF(J312=0,0,(Upgrades!$G$11+J312*Upgrades!$H$11)*POWER(Upgrades!$I$11,J312)))*(IF(Upgrades!$T$6="Heliopause",POWER(Upgrades!$U$6,E312),1)*IF(Upgrades!$T$7="Heliopause",POWER(Upgrades!$U$7,F312),1)*IF(Upgrades!$T$8="Heliopause",POWER(Upgrades!$U$8,G312),1)*IF(Upgrades!$T$9="Heliopause",POWER(Upgrades!$U$9,H312),1)*IF(Upgrades!$T$10="Heliopause",POWER(Upgrades!$U$10,I312),1)*IF(Upgrades!$T$12="Heliopause",POWER(Upgrades!$U$12,K312),1))+(IF(K312=0,0,(Upgrades!$G$12+K312*Upgrades!$H$12)*POWER(Upgrades!$I$12,K312)))*(IF(Upgrades!$T$6="First Photons",POWER(Upgrades!$U$6,E312),1)*IF(Upgrades!$T$7="First Photons",POWER(Upgrades!$U$7,F312),1)*IF(Upgrades!$T$8="First Photons",POWER(Upgrades!$U$8,G312),1)*IF(Upgrades!$T$9="First Photons",POWER(Upgrades!$U$9,H312),1)*IF(Upgrades!$T$10="First Photons",POWER(Upgrades!$U$10,I312),1)*IF(Upgrades!$T$11="First Photons",POWER(Upgrades!$U$11,J312),1)))*POWER(Upgrades!$P$6,E312)*POWER(Upgrades!$P$7,F312)*POWER(Upgrades!$P$8,G312)*POWER(Upgrades!$P$9,H312)*POWER(Upgrades!$P$10,I312)*POWER(Upgrades!$P$11,J312)*POWER(Upgrades!$P$12,K312)</f>
        <v/>
      </c>
      <c r="O312" s="28">
        <f>((IF(E312=0,0,(Upgrades!$M$6+E312*Upgrades!$N$6)*POWER(Upgrades!$O$6,E312)))*(IF(Upgrades!$T$7="Solar Wind",POWER(Upgrades!$U$7,F312),1)*IF(Upgrades!$T$8="Solar Wind",POWER(Upgrades!$U$8,G312),1)*IF(Upgrades!$T$9="Solar Wind",POWER(Upgrades!$U$9,H312),1)*IF(Upgrades!$T$10="Solar Wind",POWER(Upgrades!$U$10,I312),1)*IF(Upgrades!$T$11="Solar Wind",POWER(Upgrades!$U$11,J312),1)*IF(Upgrades!$T$12="Solar Wind",POWER(Upgrades!$U$12,K312),1))+(IF(F312=0,0,(Upgrades!$M$7+F312*Upgrades!$N$7)*POWER(Upgrades!$O$7,F312)))*(IF(Upgrades!$T$6="Asteroid Belt",POWER(Upgrades!$U$6,E312),1)*IF(Upgrades!$T$8="Asteroid Belt",POWER(Upgrades!$U$8,G312),1)*IF(Upgrades!$T$9="Asteroid Belt",POWER(Upgrades!$U$9,H312),1)*IF(Upgrades!$T$10="Asteroid Belt",POWER(Upgrades!$U$10,I312),1)*IF(Upgrades!$T$11="Asteroid Belt",POWER(Upgrades!$U$11,J312),1)*IF(Upgrades!$T$12="Asteroid Belt",POWER(Upgrades!$U$12,K312),1))+(IF(G312=0,0,(Upgrades!$M$8+G312*Upgrades!$N$8)*POWER(Upgrades!$O$8,G312)))*(IF(Upgrades!$T$6="Stellar Coupling",POWER(Upgrades!$U$6,E312),1)*IF(Upgrades!$T$7="Stellar Coupling",POWER(Upgrades!$U$7,F312),1)*IF(Upgrades!$T$9="Stellar Coupling",POWER(Upgrades!$U$9,H312),1)*IF(Upgrades!$T$10="Stellar Coupling",POWER(Upgrades!$U$10,I312),1)*IF(Upgrades!$T$11="Stellar Coupling",POWER(Upgrades!$U$11,J312),1)*IF(Upgrades!$T$12="Stellar Coupling",POWER(Upgrades!$U$12,K312),1))+(IF(H312=0,0,(Upgrades!$M$9+H312*Upgrades!$N$9)*POWER(Upgrades!$O$9,H312)))*(IF(Upgrades!$T$6="Magnetosphere",POWER(Upgrades!$U$6,E312),1)*IF(Upgrades!$T$7="Magnetosphere",POWER(Upgrades!$U$7,F312),1)*IF(Upgrades!$T$8="Magnetosphere",POWER(Upgrades!$U$8,G312),1)*IF(Upgrades!$T$10="Magnetosphere",POWER(Upgrades!$U$10,I312),1)*IF(Upgrades!$T$11="Magnetosphere",POWER(Upgrades!$U$11,J312),1)*IF(Upgrades!$T$12="Magnetosphere",POWER(Upgrades!$U$12,K312),1))+(IF(I312=0,0,(Upgrades!$M$10+I312*Upgrades!$N$10)*POWER(Upgrades!$O$10,I312)))*(IF(Upgrades!$T$6="Orbital Resonance",POWER(Upgrades!$U$6,E312),1)*IF(Upgrades!$T$7="Orbital Resonance",POWER(Upgrades!$U$7,F312),1)*IF(Upgrades!$T$8="Orbital Resonance",POWER(Upgrades!$U$8,G312),1)*IF(Upgrades!$T$9="Orbital Resonance",POWER(Upgrades!$U$9,H312),1)*IF(Upgrades!$T$11="Orbital Resonance",POWER(Upgrades!$U$11,J312),1)*IF(Upgrades!$T$12="Orbital Resonance",POWER(Upgrades!$U$12,K312),1))+(IF(J312=0,0,(Upgrades!$M$11+J312*Upgrades!$N$11)*POWER(Upgrades!$O$11,J312)))*(IF(Upgrades!$T$6="Heliopause",POWER(Upgrades!$U$6,E312),1)*IF(Upgrades!$T$7="Heliopause",POWER(Upgrades!$U$7,F312),1)*IF(Upgrades!$T$8="Heliopause",POWER(Upgrades!$U$8,G312),1)*IF(Upgrades!$T$9="Heliopause",POWER(Upgrades!$U$9,H312),1)*IF(Upgrades!$T$10="Heliopause",POWER(Upgrades!$U$10,I312),1)*IF(Upgrades!$T$12="Heliopause",POWER(Upgrades!$U$12,K312),1))+(IF(K312=0,0,(Upgrades!$M$12+K312*Upgrades!$N$12)*POWER(Upgrades!$O$12,K312)))*(IF(Upgrades!$T$6="First Photons",POWER(Upgrades!$U$6,E312),1)*IF(Upgrades!$T$7="First Photons",POWER(Upgrades!$U$7,F312),1)*IF(Upgrades!$T$8="First Photons",POWER(Upgrades!$U$8,G312),1)*IF(Upgrades!$T$9="First Photons",POWER(Upgrades!$U$9,H312),1)*IF(Upgrades!$T$10="First Photons",POWER(Upgrades!$U$10,I312),1)*IF(Upgrades!$T$11="First Photons",POWER(Upgrades!$U$11,J312),1)))*POWER(Upgrades!$R$6,E312)*POWER(Upgrades!$R$7,F312)*POWER(Upgrades!$R$8,G312)*POWER(Upgrades!$R$9,H312)*POWER(Upgrades!$R$10,I312)*POWER(Upgrades!$R$11,J312)*POWER(Upgrades!$R$12,K312)</f>
        <v/>
      </c>
      <c r="P312" s="27">
        <f>IF(L312=1,0,M312*Parameters!$B$10/60*Parameters!$B$11*10)</f>
        <v/>
      </c>
      <c r="Q312" s="27">
        <f>IF(L312=1,0,O312*M312*10)</f>
        <v/>
      </c>
      <c r="R312" s="27">
        <f>IF(L312=1,0,N312*10)</f>
        <v/>
      </c>
      <c r="S312" s="27">
        <f>P312+Q312+R312</f>
        <v/>
      </c>
      <c r="T312" s="22">
        <f>C312+S312</f>
        <v/>
      </c>
      <c r="U312" s="33">
        <f>AX312</f>
        <v/>
      </c>
      <c r="V312" s="22">
        <f>IF(U312="",0,IF(U312="transition",0,IF(U312="SW",AG312,IF(U312="AB",AH312,IF(U312="SC",AI312,IF(U312="Mag",AJ312,IF(U312="OR",AK312,IF(U312="HP",AL312,IF(U312="FP",AM312,0)))))))))</f>
        <v/>
      </c>
      <c r="W312" s="27">
        <f>IF(U312="OR",Upgrades!$F$10,IF(U312="HP",Upgrades!$F$11,IF(U312="transition",-Parameters!$B$18,0)))</f>
        <v/>
      </c>
      <c r="X312" s="22">
        <f>T312-V312</f>
        <v/>
      </c>
      <c r="Y312" s="30">
        <f>M312*Parameters!$B$10/60*Parameters!$B$11+O312*M312+N312</f>
        <v/>
      </c>
      <c r="Z312" s="34">
        <f>IF(U312="transition","→ Tier 2 (Stellar Neighborhood)",IF(U312="FP","First Photons — light begins, system quickens",IF(U312="HP","Heliopause acquired",IF(U312="OR","Orbital Resonance — passive multiplier active",IF(AND(AO312=1,L312=0,AN312&lt;&gt;1),"Cohesion ready (waiting on completionist upgrades)","")))))</f>
        <v/>
      </c>
      <c r="AA312" s="27">
        <f>(IF(E312=0,0,(Upgrades!$G$6+E312*Upgrades!$H$6)*POWER(Upgrades!$I$6,E312)))*(IF(Upgrades!$T$7="Solar Wind",POWER(Upgrades!$U$7,F312),1)*IF(Upgrades!$T$8="Solar Wind",POWER(Upgrades!$U$8,G312),1)*IF(Upgrades!$T$9="Solar Wind",POWER(Upgrades!$U$9,H312),1)*IF(Upgrades!$T$10="Solar Wind",POWER(Upgrades!$U$10,I312),1)*IF(Upgrades!$T$11="Solar Wind",POWER(Upgrades!$U$11,J312),1)*IF(Upgrades!$T$12="Solar Wind",POWER(Upgrades!$U$12,K312),1))*POWER(Upgrades!$P$6,E312)*POWER(Upgrades!$P$7,F312)*POWER(Upgrades!$P$8,G312)*POWER(Upgrades!$P$9,H312)*POWER(Upgrades!$P$10,I312)*POWER(Upgrades!$P$11,J312)*POWER(Upgrades!$P$12,K312)*60</f>
        <v/>
      </c>
      <c r="AB312" s="27">
        <f>(IF(F312=0,0,(Upgrades!$G$7+F312*Upgrades!$H$7)*POWER(Upgrades!$I$7,F312)))*(IF(Upgrades!$T$6="Asteroid Belt",POWER(Upgrades!$U$6,E312),1)*IF(Upgrades!$T$8="Asteroid Belt",POWER(Upgrades!$U$8,G312),1)*IF(Upgrades!$T$9="Asteroid Belt",POWER(Upgrades!$U$9,H312),1)*IF(Upgrades!$T$10="Asteroid Belt",POWER(Upgrades!$U$10,I312),1)*IF(Upgrades!$T$11="Asteroid Belt",POWER(Upgrades!$U$11,J312),1)*IF(Upgrades!$T$12="Asteroid Belt",POWER(Upgrades!$U$12,K312),1))*POWER(Upgrades!$P$6,E312)*POWER(Upgrades!$P$7,F312)*POWER(Upgrades!$P$8,G312)*POWER(Upgrades!$P$9,H312)*POWER(Upgrades!$P$10,I312)*POWER(Upgrades!$P$11,J312)*POWER(Upgrades!$P$12,K312)*60</f>
        <v/>
      </c>
      <c r="AC312" s="27">
        <f>(IF(G312=0,0,(Upgrades!$J$8+G312*Upgrades!$K$8)*POWER(Upgrades!$L$8,G312)))*(IF(Upgrades!$T$6="Stellar Coupling",POWER(Upgrades!$U$6,E312),1)*IF(Upgrades!$T$7="Stellar Coupling",POWER(Upgrades!$U$7,F312),1)*IF(Upgrades!$T$9="Stellar Coupling",POWER(Upgrades!$U$9,H312),1)*IF(Upgrades!$T$10="Stellar Coupling",POWER(Upgrades!$U$10,I312),1)*IF(Upgrades!$T$11="Stellar Coupling",POWER(Upgrades!$U$11,J312),1)*IF(Upgrades!$T$12="Stellar Coupling",POWER(Upgrades!$U$12,K312),1))*POWER(Upgrades!$Q$6,E312)*POWER(Upgrades!$Q$7,F312)*POWER(Upgrades!$Q$8,G312)*POWER(Upgrades!$Q$9,H312)*POWER(Upgrades!$Q$10,I312)*POWER(Upgrades!$Q$11,J312)*POWER(Upgrades!$Q$12,K312)*Parameters!$B$10*Parameters!$B$11</f>
        <v/>
      </c>
      <c r="AD312" s="27">
        <f>(IF(H312=0,0,(Upgrades!$G$9+H312*Upgrades!$H$9)*POWER(Upgrades!$I$9,H312)))*(IF(Upgrades!$T$6="Magnetosphere",POWER(Upgrades!$U$6,E312),1)*IF(Upgrades!$T$7="Magnetosphere",POWER(Upgrades!$U$7,F312),1)*IF(Upgrades!$T$8="Magnetosphere",POWER(Upgrades!$U$8,G312),1)*IF(Upgrades!$T$10="Magnetosphere",POWER(Upgrades!$U$10,I312),1)*IF(Upgrades!$T$11="Magnetosphere",POWER(Upgrades!$U$11,J312),1)*IF(Upgrades!$T$12="Magnetosphere",POWER(Upgrades!$U$12,K312),1))*POWER(Upgrades!$P$6,E312)*POWER(Upgrades!$P$7,F312)*POWER(Upgrades!$P$8,G312)*POWER(Upgrades!$P$9,H312)*POWER(Upgrades!$P$10,I312)*POWER(Upgrades!$P$11,J312)*POWER(Upgrades!$P$12,K312)*60</f>
        <v/>
      </c>
      <c r="AE312" s="27">
        <f>(IF(K312=0,0,(Upgrades!$G$12+K312*Upgrades!$H$12)*POWER(Upgrades!$I$12,K312)))*(IF(Upgrades!$T$6="First Photons",POWER(Upgrades!$U$6,E312),1)*IF(Upgrades!$T$7="First Photons",POWER(Upgrades!$U$7,F312),1)*IF(Upgrades!$T$8="First Photons",POWER(Upgrades!$U$8,G312),1)*IF(Upgrades!$T$9="First Photons",POWER(Upgrades!$U$9,H312),1)*IF(Upgrades!$T$10="First Photons",POWER(Upgrades!$U$10,I312),1)*IF(Upgrades!$T$11="First Photons",POWER(Upgrades!$U$11,J312),1))*POWER(Upgrades!$P$6,E312)*POWER(Upgrades!$P$7,F312)*POWER(Upgrades!$P$8,G312)*POWER(Upgrades!$P$9,H312)*POWER(Upgrades!$P$10,I312)*POWER(Upgrades!$P$11,J312)*POWER(Upgrades!$P$12,K312)*60</f>
        <v/>
      </c>
      <c r="AF312" s="27">
        <f>Parameters!$B$9*POWER(Upgrades!$Q$6,E312)*POWER(Upgrades!$Q$7,F312)*POWER(Upgrades!$Q$8,G312)*POWER(Upgrades!$Q$9,H312)*POWER(Upgrades!$Q$10,I312)*POWER(Upgrades!$Q$11,J312)*POWER(Upgrades!$Q$12,K312)*(Parameters!$B$10*Parameters!$B$11+O312*60)</f>
        <v/>
      </c>
      <c r="AG312" s="22">
        <f>IF(E312&gt;=Upgrades!$E$6,"",Upgrades!$C$6*POWER(Upgrades!$D$6,E312))</f>
        <v/>
      </c>
      <c r="AH312" s="22">
        <f>IF(F312&gt;=Upgrades!$E$7,"",Upgrades!$C$7*POWER(Upgrades!$D$7,F312))</f>
        <v/>
      </c>
      <c r="AI312" s="22">
        <f>IF(G312&gt;=Upgrades!$E$8,"",Upgrades!$C$8*POWER(Upgrades!$D$8,G312))</f>
        <v/>
      </c>
      <c r="AJ312" s="22">
        <f>IF(H312&gt;=Upgrades!$E$9,"",Upgrades!$C$9*POWER(Upgrades!$D$9,H312))</f>
        <v/>
      </c>
      <c r="AK312" s="22">
        <f>IF(I312&gt;=Upgrades!$E$10,"",Upgrades!$C$10*POWER(Upgrades!$D$10,I312))</f>
        <v/>
      </c>
      <c r="AL312" s="22">
        <f>IF(J312&gt;=Upgrades!$E$11,"",Upgrades!$C$11*POWER(Upgrades!$D$11,J312))</f>
        <v/>
      </c>
      <c r="AM312" s="22">
        <f>IF(K312&gt;=Upgrades!$E$12,"",Upgrades!$C$12*POWER(Upgrades!$D$12,K312))</f>
        <v/>
      </c>
      <c r="AN312" s="26">
        <f>IF(AND(D312&gt;=Parameters!$B$18,(H312&gt;=Upgrades!$E$9)*(K312&gt;=Upgrades!$E$12)=1,L312=0),1,"")</f>
        <v/>
      </c>
      <c r="AO312" s="26">
        <f>IF(AND(D312&gt;=Parameters!$B$18,L312=0),1,"")</f>
        <v/>
      </c>
      <c r="AP312" s="22">
        <f>MIN(IF(ISNUMBER(AK312),AK312,9E15),IF(ISNUMBER(AL312),AL312,9E15),IF(ISNUMBER(AM312),AM312,9E15))</f>
        <v/>
      </c>
      <c r="AQ312" s="22">
        <f>MIN(IF(ISNUMBER(AG312),AG312,9E15),IF(ISNUMBER(AH312),AH312,9E15),IF(ISNUMBER(AI312),AI312,9E15),IF(ISNUMBER(AJ312),AJ312,9E15))</f>
        <v/>
      </c>
      <c r="AR312" s="29">
        <f>IF(AW312&gt;Parameters!$B$21*(MAX(IF(AND(NOT(AND(AO312=1,AN312&lt;&gt;1)),ISNUMBER(AG312),AG312&lt;=T312),AS312,0),IF(AND(NOT(AND(AO312=1,AN312&lt;&gt;1)),ISNUMBER(AH312),AH312&lt;=T312),AT312,0),IF(AND(NOT(AND(AO312=1,AN312&lt;&gt;1)),ISNUMBER(AI312),AI312&lt;=T312),AU312,0),IF(AND(ISNUMBER(AJ312),AJ312&lt;=T312),AV312,0))),TRUE,FALSE)</f>
        <v/>
      </c>
      <c r="AS312" s="32">
        <f>IFERROR(Upgrades!$H$6*(POWER(Upgrades!$P$6,E312)*POWER(Upgrades!$P$7,F312)*POWER(Upgrades!$P$8,G312)*POWER(Upgrades!$P$9,H312)*POWER(Upgrades!$P$10,I312)*POWER(Upgrades!$P$11,J312)*POWER(Upgrades!$P$12,K312))*(IF(Upgrades!$T$7="Solar Wind",POWER(Upgrades!$U$7,F312),1)*IF(Upgrades!$T$8="Solar Wind",POWER(Upgrades!$U$8,G312),1)*IF(Upgrades!$T$9="Solar Wind",POWER(Upgrades!$U$9,H312),1)*IF(Upgrades!$T$10="Solar Wind",POWER(Upgrades!$U$10,I312),1)*IF(Upgrades!$T$11="Solar Wind",POWER(Upgrades!$U$11,J312),1)*IF(Upgrades!$T$12="Solar Wind",POWER(Upgrades!$U$12,K312),1))/AG312,0)</f>
        <v/>
      </c>
      <c r="AT312" s="32">
        <f>IFERROR(Upgrades!$H$7*(POWER(Upgrades!$P$6,E312)*POWER(Upgrades!$P$7,F312)*POWER(Upgrades!$P$8,G312)*POWER(Upgrades!$P$9,H312)*POWER(Upgrades!$P$10,I312)*POWER(Upgrades!$P$11,J312)*POWER(Upgrades!$P$12,K312))*(IF(Upgrades!$T$6="Asteroid Belt",POWER(Upgrades!$U$6,E312),1)*IF(Upgrades!$T$8="Asteroid Belt",POWER(Upgrades!$U$8,G312),1)*IF(Upgrades!$T$9="Asteroid Belt",POWER(Upgrades!$U$9,H312),1)*IF(Upgrades!$T$10="Asteroid Belt",POWER(Upgrades!$U$10,I312),1)*IF(Upgrades!$T$11="Asteroid Belt",POWER(Upgrades!$U$11,J312),1)*IF(Upgrades!$T$12="Asteroid Belt",POWER(Upgrades!$U$12,K312),1))/AH312,0)</f>
        <v/>
      </c>
      <c r="AU312" s="32">
        <f>IFERROR(Upgrades!$K$8*(POWER(Upgrades!$Q$6,E312)*POWER(Upgrades!$Q$7,F312)*POWER(Upgrades!$Q$8,G312)*POWER(Upgrades!$Q$9,H312)*POWER(Upgrades!$Q$10,I312)*POWER(Upgrades!$Q$11,J312)*POWER(Upgrades!$Q$12,K312))*(IF(Upgrades!$T$6="Stellar Coupling",POWER(Upgrades!$U$6,E312),1)*IF(Upgrades!$T$7="Stellar Coupling",POWER(Upgrades!$U$7,F312),1)*IF(Upgrades!$T$9="Stellar Coupling",POWER(Upgrades!$U$9,H312),1)*IF(Upgrades!$T$10="Stellar Coupling",POWER(Upgrades!$U$10,I312),1)*IF(Upgrades!$T$11="Stellar Coupling",POWER(Upgrades!$U$11,J312),1)*IF(Upgrades!$T$12="Stellar Coupling",POWER(Upgrades!$U$12,K312),1))*Parameters!$B$10*Parameters!$B$11/60/AI312,0)</f>
        <v/>
      </c>
      <c r="AV312" s="32">
        <f>IFERROR(Upgrades!$H$9*(POWER(Upgrades!$P$6,E312)*POWER(Upgrades!$P$7,F312)*POWER(Upgrades!$P$8,G312)*POWER(Upgrades!$P$9,H312)*POWER(Upgrades!$P$10,I312)*POWER(Upgrades!$P$11,J312)*POWER(Upgrades!$P$12,K312))*(IF(Upgrades!$T$6="Magnetosphere",POWER(Upgrades!$U$6,E312),1)*IF(Upgrades!$T$7="Magnetosphere",POWER(Upgrades!$U$7,F312),1)*IF(Upgrades!$T$8="Magnetosphere",POWER(Upgrades!$U$8,G312),1)*IF(Upgrades!$T$10="Magnetosphere",POWER(Upgrades!$U$10,I312),1)*IF(Upgrades!$T$11="Magnetosphere",POWER(Upgrades!$U$11,J312),1)*IF(Upgrades!$T$12="Magnetosphere",POWER(Upgrades!$U$12,K312),1))/AJ312,0)</f>
        <v/>
      </c>
      <c r="AW312" s="32">
        <f>MAX(IF(I312&gt;0,0,IFERROR(0.25*N312/Upgrades!$C$10,0)),IF(J312&gt;0,0,IFERROR(0.5*((IF(G312=0,0,(Upgrades!$J$8+G312*Upgrades!$K$8)*POWER(Upgrades!$L$8,G312)))*(IF(Upgrades!$T$6="Stellar Coupling",POWER(Upgrades!$U$6,E312),1)*IF(Upgrades!$T$7="Stellar Coupling",POWER(Upgrades!$U$7,F312),1)*IF(Upgrades!$T$9="Stellar Coupling",POWER(Upgrades!$U$9,H312),1)*IF(Upgrades!$T$10="Stellar Coupling",POWER(Upgrades!$U$10,I312),1)*IF(Upgrades!$T$11="Stellar Coupling",POWER(Upgrades!$U$11,J312),1)*IF(Upgrades!$T$12="Stellar Coupling",POWER(Upgrades!$U$12,K312),1))*(POWER(Upgrades!$Q$6,E312)*POWER(Upgrades!$Q$7,F312)*POWER(Upgrades!$Q$8,G312)*POWER(Upgrades!$Q$9,H312)*POWER(Upgrades!$Q$10,I312)*POWER(Upgrades!$Q$11,J312)*POWER(Upgrades!$Q$12,K312))*Parameters!$B$10*Parameters!$B$11/60)/Upgrades!$C$11,0)),IF(K312&gt;0,0,IFERROR((1.0*(POWER(Upgrades!$P$6,E312)*POWER(Upgrades!$P$7,F312)*POWER(Upgrades!$P$8,G312)*POWER(Upgrades!$P$9,H312)*POWER(Upgrades!$P$10,I312)*POWER(Upgrades!$P$11,J312)*POWER(Upgrades!$P$12,K312))+0.20*M312*Parameters!$B$10*Parameters!$B$11/60)/Upgrades!$C$12,0)),IF(AND(ISNUMBER(AG312),AG312&gt;T312),AS312,0),IF(AND(ISNUMBER(AH312),AH312&gt;T312),AT312,0),IF(AND(ISNUMBER(AI312),AI312&gt;T312),AU312,0),IF(AND(ISNUMBER(AJ312),AJ312&gt;T312),AV312,0))</f>
        <v/>
      </c>
      <c r="AX312" s="29">
        <f>IF(AN312=1,"transition",IF(MIN(IF(AND(I312=0,ISNUMBER(AK312),AK312&lt;=T312),AK312,9E15),IF(AND(J312=0,ISNUMBER(AL312),AL312&lt;=T312),AL312,9E15),IF(AND(K312=0,ISNUMBER(AM312),AM312&lt;=T312),AM312,9E15))&lt;9E15,IF(AND(AND(I312=0,ISNUMBER(AK312),AK312&lt;=T312),AK312=MIN(IF(AND(I312=0,ISNUMBER(AK312),AK312&lt;=T312),AK312,9E15),IF(AND(J312=0,ISNUMBER(AL312),AL312&lt;=T312),AL312,9E15),IF(AND(K312=0,ISNUMBER(AM312),AM312&lt;=T312),AM312,9E15))),"OR",IF(AND(AND(J312=0,ISNUMBER(AL312),AL312&lt;=T312),AL312=MIN(IF(AND(I312=0,ISNUMBER(AK312),AK312&lt;=T312),AK312,9E15),IF(AND(J312=0,ISNUMBER(AL312),AL312&lt;=T312),AL312,9E15),IF(AND(K312=0,ISNUMBER(AM312),AM312&lt;=T312),AM312,9E15))),"HP","FP")),IF(AR312=TRUE,"",IF(MAX(IF(AND(NOT(AND(AO312=1,AN312&lt;&gt;1)),ISNUMBER(AG312),AG312&lt;=T312),AS312,0),IF(AND(NOT(AND(AO312=1,AN312&lt;&gt;1)),ISNUMBER(AH312),AH312&lt;=T312),AT312,0),IF(AND(NOT(AND(AO312=1,AN312&lt;&gt;1)),ISNUMBER(AI312),AI312&lt;=T312),AU312,0),IF(AND(ISNUMBER(AJ312),AJ312&lt;=T312),AV312,0))&lt;=0,"",IF(AND(IF(AND(NOT(AND(AO312=1,AN312&lt;&gt;1)),ISNUMBER(AG312),AG312&lt;=T312),AS312,0)&gt;0,IF(AND(NOT(AND(AO312=1,AN312&lt;&gt;1)),ISNUMBER(AG312),AG312&lt;=T312),AS312,0)=MAX(IF(AND(NOT(AND(AO312=1,AN312&lt;&gt;1)),ISNUMBER(AG312),AG312&lt;=T312),AS312,0),IF(AND(NOT(AND(AO312=1,AN312&lt;&gt;1)),ISNUMBER(AH312),AH312&lt;=T312),AT312,0),IF(AND(NOT(AND(AO312=1,AN312&lt;&gt;1)),ISNUMBER(AI312),AI312&lt;=T312),AU312,0),IF(AND(ISNUMBER(AJ312),AJ312&lt;=T312),AV312,0))),"SW",IF(AND(IF(AND(NOT(AND(AO312=1,AN312&lt;&gt;1)),ISNUMBER(AH312),AH312&lt;=T312),AT312,0)&gt;0,IF(AND(NOT(AND(AO312=1,AN312&lt;&gt;1)),ISNUMBER(AH312),AH312&lt;=T312),AT312,0)=MAX(IF(AND(NOT(AND(AO312=1,AN312&lt;&gt;1)),ISNUMBER(AG312),AG312&lt;=T312),AS312,0),IF(AND(NOT(AND(AO312=1,AN312&lt;&gt;1)),ISNUMBER(AH312),AH312&lt;=T312),AT312,0),IF(AND(NOT(AND(AO312=1,AN312&lt;&gt;1)),ISNUMBER(AI312),AI312&lt;=T312),AU312,0),IF(AND(ISNUMBER(AJ312),AJ312&lt;=T312),AV312,0))),"AB",IF(AND(IF(AND(NOT(AND(AO312=1,AN312&lt;&gt;1)),ISNUMBER(AI312),AI312&lt;=T312),AU312,0)&gt;0,IF(AND(NOT(AND(AO312=1,AN312&lt;&gt;1)),ISNUMBER(AI312),AI312&lt;=T312),AU312,0)=MAX(IF(AND(NOT(AND(AO312=1,AN312&lt;&gt;1)),ISNUMBER(AG312),AG312&lt;=T312),AS312,0),IF(AND(NOT(AND(AO312=1,AN312&lt;&gt;1)),ISNUMBER(AH312),AH312&lt;=T312),AT312,0),IF(AND(NOT(AND(AO312=1,AN312&lt;&gt;1)),ISNUMBER(AI312),AI312&lt;=T312),AU312,0),IF(AND(ISNUMBER(AJ312),AJ312&lt;=T312),AV312,0))),"SC","Mag")))))))</f>
        <v/>
      </c>
    </row>
    <row r="313">
      <c r="A313" s="26" t="n">
        <v>308</v>
      </c>
      <c r="B313" s="27">
        <f>A313*10/60</f>
        <v/>
      </c>
      <c r="C313" s="22">
        <f>X312</f>
        <v/>
      </c>
      <c r="D313" s="27">
        <f>D312+W312</f>
        <v/>
      </c>
      <c r="E313" s="26">
        <f>E312+IF(U312="SW",1,0)</f>
        <v/>
      </c>
      <c r="F313" s="26">
        <f>F312+IF(U312="AB",1,0)</f>
        <v/>
      </c>
      <c r="G313" s="26">
        <f>G312+IF(U312="SC",1,0)</f>
        <v/>
      </c>
      <c r="H313" s="26">
        <f>H312+IF(U312="Mag",1,0)</f>
        <v/>
      </c>
      <c r="I313" s="26">
        <f>MAX(I312,IF(U312="OR",1,0))</f>
        <v/>
      </c>
      <c r="J313" s="26">
        <f>MAX(J312,IF(U312="HP",1,0))</f>
        <v/>
      </c>
      <c r="K313" s="26">
        <f>MAX(K312,IF(U312="FP",1,0))</f>
        <v/>
      </c>
      <c r="L313" s="26">
        <f>MAX(L312,IF(U312="transition",1,0))</f>
        <v/>
      </c>
      <c r="M313" s="28">
        <f>(Parameters!$B$9+(IF(E313=0,0,(Upgrades!$J$6+E313*Upgrades!$K$6)*POWER(Upgrades!$L$6,E313)))*(IF(Upgrades!$T$7="Solar Wind",POWER(Upgrades!$U$7,F313),1)*IF(Upgrades!$T$8="Solar Wind",POWER(Upgrades!$U$8,G313),1)*IF(Upgrades!$T$9="Solar Wind",POWER(Upgrades!$U$9,H313),1)*IF(Upgrades!$T$10="Solar Wind",POWER(Upgrades!$U$10,I313),1)*IF(Upgrades!$T$11="Solar Wind",POWER(Upgrades!$U$11,J313),1)*IF(Upgrades!$T$12="Solar Wind",POWER(Upgrades!$U$12,K313),1))+(IF(F313=0,0,(Upgrades!$J$7+F313*Upgrades!$K$7)*POWER(Upgrades!$L$7,F313)))*(IF(Upgrades!$T$6="Asteroid Belt",POWER(Upgrades!$U$6,E313),1)*IF(Upgrades!$T$8="Asteroid Belt",POWER(Upgrades!$U$8,G313),1)*IF(Upgrades!$T$9="Asteroid Belt",POWER(Upgrades!$U$9,H313),1)*IF(Upgrades!$T$10="Asteroid Belt",POWER(Upgrades!$U$10,I313),1)*IF(Upgrades!$T$11="Asteroid Belt",POWER(Upgrades!$U$11,J313),1)*IF(Upgrades!$T$12="Asteroid Belt",POWER(Upgrades!$U$12,K313),1))+(IF(G313=0,0,(Upgrades!$J$8+G313*Upgrades!$K$8)*POWER(Upgrades!$L$8,G313)))*(IF(Upgrades!$T$6="Stellar Coupling",POWER(Upgrades!$U$6,E313),1)*IF(Upgrades!$T$7="Stellar Coupling",POWER(Upgrades!$U$7,F313),1)*IF(Upgrades!$T$9="Stellar Coupling",POWER(Upgrades!$U$9,H313),1)*IF(Upgrades!$T$10="Stellar Coupling",POWER(Upgrades!$U$10,I313),1)*IF(Upgrades!$T$11="Stellar Coupling",POWER(Upgrades!$U$11,J313),1)*IF(Upgrades!$T$12="Stellar Coupling",POWER(Upgrades!$U$12,K313),1))+(IF(H313=0,0,(Upgrades!$J$9+H313*Upgrades!$K$9)*POWER(Upgrades!$L$9,H313)))*(IF(Upgrades!$T$6="Magnetosphere",POWER(Upgrades!$U$6,E313),1)*IF(Upgrades!$T$7="Magnetosphere",POWER(Upgrades!$U$7,F313),1)*IF(Upgrades!$T$8="Magnetosphere",POWER(Upgrades!$U$8,G313),1)*IF(Upgrades!$T$10="Magnetosphere",POWER(Upgrades!$U$10,I313),1)*IF(Upgrades!$T$11="Magnetosphere",POWER(Upgrades!$U$11,J313),1)*IF(Upgrades!$T$12="Magnetosphere",POWER(Upgrades!$U$12,K313),1))+(IF(I313=0,0,(Upgrades!$J$10+I313*Upgrades!$K$10)*POWER(Upgrades!$L$10,I313)))*(IF(Upgrades!$T$6="Orbital Resonance",POWER(Upgrades!$U$6,E313),1)*IF(Upgrades!$T$7="Orbital Resonance",POWER(Upgrades!$U$7,F313),1)*IF(Upgrades!$T$8="Orbital Resonance",POWER(Upgrades!$U$8,G313),1)*IF(Upgrades!$T$9="Orbital Resonance",POWER(Upgrades!$U$9,H313),1)*IF(Upgrades!$T$11="Orbital Resonance",POWER(Upgrades!$U$11,J313),1)*IF(Upgrades!$T$12="Orbital Resonance",POWER(Upgrades!$U$12,K313),1))+(IF(J313=0,0,(Upgrades!$J$11+J313*Upgrades!$K$11)*POWER(Upgrades!$L$11,J313)))*(IF(Upgrades!$T$6="Heliopause",POWER(Upgrades!$U$6,E313),1)*IF(Upgrades!$T$7="Heliopause",POWER(Upgrades!$U$7,F313),1)*IF(Upgrades!$T$8="Heliopause",POWER(Upgrades!$U$8,G313),1)*IF(Upgrades!$T$9="Heliopause",POWER(Upgrades!$U$9,H313),1)*IF(Upgrades!$T$10="Heliopause",POWER(Upgrades!$U$10,I313),1)*IF(Upgrades!$T$12="Heliopause",POWER(Upgrades!$U$12,K313),1))+(IF(K313=0,0,(Upgrades!$J$12+K313*Upgrades!$K$12)*POWER(Upgrades!$L$12,K313)))*(IF(Upgrades!$T$6="First Photons",POWER(Upgrades!$U$6,E313),1)*IF(Upgrades!$T$7="First Photons",POWER(Upgrades!$U$7,F313),1)*IF(Upgrades!$T$8="First Photons",POWER(Upgrades!$U$8,G313),1)*IF(Upgrades!$T$9="First Photons",POWER(Upgrades!$U$9,H313),1)*IF(Upgrades!$T$10="First Photons",POWER(Upgrades!$U$10,I313),1)*IF(Upgrades!$T$11="First Photons",POWER(Upgrades!$U$11,J313),1)))*POWER(Upgrades!$Q$6,E313)*POWER(Upgrades!$Q$7,F313)*POWER(Upgrades!$Q$8,G313)*POWER(Upgrades!$Q$9,H313)*POWER(Upgrades!$Q$10,I313)*POWER(Upgrades!$Q$11,J313)*POWER(Upgrades!$Q$12,K313)</f>
        <v/>
      </c>
      <c r="N313" s="28">
        <f>((IF(E313=0,0,(Upgrades!$G$6+E313*Upgrades!$H$6)*POWER(Upgrades!$I$6,E313)))*(IF(Upgrades!$T$7="Solar Wind",POWER(Upgrades!$U$7,F313),1)*IF(Upgrades!$T$8="Solar Wind",POWER(Upgrades!$U$8,G313),1)*IF(Upgrades!$T$9="Solar Wind",POWER(Upgrades!$U$9,H313),1)*IF(Upgrades!$T$10="Solar Wind",POWER(Upgrades!$U$10,I313),1)*IF(Upgrades!$T$11="Solar Wind",POWER(Upgrades!$U$11,J313),1)*IF(Upgrades!$T$12="Solar Wind",POWER(Upgrades!$U$12,K313),1))+(IF(F313=0,0,(Upgrades!$G$7+F313*Upgrades!$H$7)*POWER(Upgrades!$I$7,F313)))*(IF(Upgrades!$T$6="Asteroid Belt",POWER(Upgrades!$U$6,E313),1)*IF(Upgrades!$T$8="Asteroid Belt",POWER(Upgrades!$U$8,G313),1)*IF(Upgrades!$T$9="Asteroid Belt",POWER(Upgrades!$U$9,H313),1)*IF(Upgrades!$T$10="Asteroid Belt",POWER(Upgrades!$U$10,I313),1)*IF(Upgrades!$T$11="Asteroid Belt",POWER(Upgrades!$U$11,J313),1)*IF(Upgrades!$T$12="Asteroid Belt",POWER(Upgrades!$U$12,K313),1))+(IF(G313=0,0,(Upgrades!$G$8+G313*Upgrades!$H$8)*POWER(Upgrades!$I$8,G313)))*(IF(Upgrades!$T$6="Stellar Coupling",POWER(Upgrades!$U$6,E313),1)*IF(Upgrades!$T$7="Stellar Coupling",POWER(Upgrades!$U$7,F313),1)*IF(Upgrades!$T$9="Stellar Coupling",POWER(Upgrades!$U$9,H313),1)*IF(Upgrades!$T$10="Stellar Coupling",POWER(Upgrades!$U$10,I313),1)*IF(Upgrades!$T$11="Stellar Coupling",POWER(Upgrades!$U$11,J313),1)*IF(Upgrades!$T$12="Stellar Coupling",POWER(Upgrades!$U$12,K313),1))+(IF(H313=0,0,(Upgrades!$G$9+H313*Upgrades!$H$9)*POWER(Upgrades!$I$9,H313)))*(IF(Upgrades!$T$6="Magnetosphere",POWER(Upgrades!$U$6,E313),1)*IF(Upgrades!$T$7="Magnetosphere",POWER(Upgrades!$U$7,F313),1)*IF(Upgrades!$T$8="Magnetosphere",POWER(Upgrades!$U$8,G313),1)*IF(Upgrades!$T$10="Magnetosphere",POWER(Upgrades!$U$10,I313),1)*IF(Upgrades!$T$11="Magnetosphere",POWER(Upgrades!$U$11,J313),1)*IF(Upgrades!$T$12="Magnetosphere",POWER(Upgrades!$U$12,K313),1))+(IF(I313=0,0,(Upgrades!$G$10+I313*Upgrades!$H$10)*POWER(Upgrades!$I$10,I313)))*(IF(Upgrades!$T$6="Orbital Resonance",POWER(Upgrades!$U$6,E313),1)*IF(Upgrades!$T$7="Orbital Resonance",POWER(Upgrades!$U$7,F313),1)*IF(Upgrades!$T$8="Orbital Resonance",POWER(Upgrades!$U$8,G313),1)*IF(Upgrades!$T$9="Orbital Resonance",POWER(Upgrades!$U$9,H313),1)*IF(Upgrades!$T$11="Orbital Resonance",POWER(Upgrades!$U$11,J313),1)*IF(Upgrades!$T$12="Orbital Resonance",POWER(Upgrades!$U$12,K313),1))+(IF(J313=0,0,(Upgrades!$G$11+J313*Upgrades!$H$11)*POWER(Upgrades!$I$11,J313)))*(IF(Upgrades!$T$6="Heliopause",POWER(Upgrades!$U$6,E313),1)*IF(Upgrades!$T$7="Heliopause",POWER(Upgrades!$U$7,F313),1)*IF(Upgrades!$T$8="Heliopause",POWER(Upgrades!$U$8,G313),1)*IF(Upgrades!$T$9="Heliopause",POWER(Upgrades!$U$9,H313),1)*IF(Upgrades!$T$10="Heliopause",POWER(Upgrades!$U$10,I313),1)*IF(Upgrades!$T$12="Heliopause",POWER(Upgrades!$U$12,K313),1))+(IF(K313=0,0,(Upgrades!$G$12+K313*Upgrades!$H$12)*POWER(Upgrades!$I$12,K313)))*(IF(Upgrades!$T$6="First Photons",POWER(Upgrades!$U$6,E313),1)*IF(Upgrades!$T$7="First Photons",POWER(Upgrades!$U$7,F313),1)*IF(Upgrades!$T$8="First Photons",POWER(Upgrades!$U$8,G313),1)*IF(Upgrades!$T$9="First Photons",POWER(Upgrades!$U$9,H313),1)*IF(Upgrades!$T$10="First Photons",POWER(Upgrades!$U$10,I313),1)*IF(Upgrades!$T$11="First Photons",POWER(Upgrades!$U$11,J313),1)))*POWER(Upgrades!$P$6,E313)*POWER(Upgrades!$P$7,F313)*POWER(Upgrades!$P$8,G313)*POWER(Upgrades!$P$9,H313)*POWER(Upgrades!$P$10,I313)*POWER(Upgrades!$P$11,J313)*POWER(Upgrades!$P$12,K313)</f>
        <v/>
      </c>
      <c r="O313" s="28">
        <f>((IF(E313=0,0,(Upgrades!$M$6+E313*Upgrades!$N$6)*POWER(Upgrades!$O$6,E313)))*(IF(Upgrades!$T$7="Solar Wind",POWER(Upgrades!$U$7,F313),1)*IF(Upgrades!$T$8="Solar Wind",POWER(Upgrades!$U$8,G313),1)*IF(Upgrades!$T$9="Solar Wind",POWER(Upgrades!$U$9,H313),1)*IF(Upgrades!$T$10="Solar Wind",POWER(Upgrades!$U$10,I313),1)*IF(Upgrades!$T$11="Solar Wind",POWER(Upgrades!$U$11,J313),1)*IF(Upgrades!$T$12="Solar Wind",POWER(Upgrades!$U$12,K313),1))+(IF(F313=0,0,(Upgrades!$M$7+F313*Upgrades!$N$7)*POWER(Upgrades!$O$7,F313)))*(IF(Upgrades!$T$6="Asteroid Belt",POWER(Upgrades!$U$6,E313),1)*IF(Upgrades!$T$8="Asteroid Belt",POWER(Upgrades!$U$8,G313),1)*IF(Upgrades!$T$9="Asteroid Belt",POWER(Upgrades!$U$9,H313),1)*IF(Upgrades!$T$10="Asteroid Belt",POWER(Upgrades!$U$10,I313),1)*IF(Upgrades!$T$11="Asteroid Belt",POWER(Upgrades!$U$11,J313),1)*IF(Upgrades!$T$12="Asteroid Belt",POWER(Upgrades!$U$12,K313),1))+(IF(G313=0,0,(Upgrades!$M$8+G313*Upgrades!$N$8)*POWER(Upgrades!$O$8,G313)))*(IF(Upgrades!$T$6="Stellar Coupling",POWER(Upgrades!$U$6,E313),1)*IF(Upgrades!$T$7="Stellar Coupling",POWER(Upgrades!$U$7,F313),1)*IF(Upgrades!$T$9="Stellar Coupling",POWER(Upgrades!$U$9,H313),1)*IF(Upgrades!$T$10="Stellar Coupling",POWER(Upgrades!$U$10,I313),1)*IF(Upgrades!$T$11="Stellar Coupling",POWER(Upgrades!$U$11,J313),1)*IF(Upgrades!$T$12="Stellar Coupling",POWER(Upgrades!$U$12,K313),1))+(IF(H313=0,0,(Upgrades!$M$9+H313*Upgrades!$N$9)*POWER(Upgrades!$O$9,H313)))*(IF(Upgrades!$T$6="Magnetosphere",POWER(Upgrades!$U$6,E313),1)*IF(Upgrades!$T$7="Magnetosphere",POWER(Upgrades!$U$7,F313),1)*IF(Upgrades!$T$8="Magnetosphere",POWER(Upgrades!$U$8,G313),1)*IF(Upgrades!$T$10="Magnetosphere",POWER(Upgrades!$U$10,I313),1)*IF(Upgrades!$T$11="Magnetosphere",POWER(Upgrades!$U$11,J313),1)*IF(Upgrades!$T$12="Magnetosphere",POWER(Upgrades!$U$12,K313),1))+(IF(I313=0,0,(Upgrades!$M$10+I313*Upgrades!$N$10)*POWER(Upgrades!$O$10,I313)))*(IF(Upgrades!$T$6="Orbital Resonance",POWER(Upgrades!$U$6,E313),1)*IF(Upgrades!$T$7="Orbital Resonance",POWER(Upgrades!$U$7,F313),1)*IF(Upgrades!$T$8="Orbital Resonance",POWER(Upgrades!$U$8,G313),1)*IF(Upgrades!$T$9="Orbital Resonance",POWER(Upgrades!$U$9,H313),1)*IF(Upgrades!$T$11="Orbital Resonance",POWER(Upgrades!$U$11,J313),1)*IF(Upgrades!$T$12="Orbital Resonance",POWER(Upgrades!$U$12,K313),1))+(IF(J313=0,0,(Upgrades!$M$11+J313*Upgrades!$N$11)*POWER(Upgrades!$O$11,J313)))*(IF(Upgrades!$T$6="Heliopause",POWER(Upgrades!$U$6,E313),1)*IF(Upgrades!$T$7="Heliopause",POWER(Upgrades!$U$7,F313),1)*IF(Upgrades!$T$8="Heliopause",POWER(Upgrades!$U$8,G313),1)*IF(Upgrades!$T$9="Heliopause",POWER(Upgrades!$U$9,H313),1)*IF(Upgrades!$T$10="Heliopause",POWER(Upgrades!$U$10,I313),1)*IF(Upgrades!$T$12="Heliopause",POWER(Upgrades!$U$12,K313),1))+(IF(K313=0,0,(Upgrades!$M$12+K313*Upgrades!$N$12)*POWER(Upgrades!$O$12,K313)))*(IF(Upgrades!$T$6="First Photons",POWER(Upgrades!$U$6,E313),1)*IF(Upgrades!$T$7="First Photons",POWER(Upgrades!$U$7,F313),1)*IF(Upgrades!$T$8="First Photons",POWER(Upgrades!$U$8,G313),1)*IF(Upgrades!$T$9="First Photons",POWER(Upgrades!$U$9,H313),1)*IF(Upgrades!$T$10="First Photons",POWER(Upgrades!$U$10,I313),1)*IF(Upgrades!$T$11="First Photons",POWER(Upgrades!$U$11,J313),1)))*POWER(Upgrades!$R$6,E313)*POWER(Upgrades!$R$7,F313)*POWER(Upgrades!$R$8,G313)*POWER(Upgrades!$R$9,H313)*POWER(Upgrades!$R$10,I313)*POWER(Upgrades!$R$11,J313)*POWER(Upgrades!$R$12,K313)</f>
        <v/>
      </c>
      <c r="P313" s="27">
        <f>IF(L313=1,0,M313*Parameters!$B$10/60*Parameters!$B$11*10)</f>
        <v/>
      </c>
      <c r="Q313" s="27">
        <f>IF(L313=1,0,O313*M313*10)</f>
        <v/>
      </c>
      <c r="R313" s="27">
        <f>IF(L313=1,0,N313*10)</f>
        <v/>
      </c>
      <c r="S313" s="27">
        <f>P313+Q313+R313</f>
        <v/>
      </c>
      <c r="T313" s="22">
        <f>C313+S313</f>
        <v/>
      </c>
      <c r="U313" s="33">
        <f>AX313</f>
        <v/>
      </c>
      <c r="V313" s="22">
        <f>IF(U313="",0,IF(U313="transition",0,IF(U313="SW",AG313,IF(U313="AB",AH313,IF(U313="SC",AI313,IF(U313="Mag",AJ313,IF(U313="OR",AK313,IF(U313="HP",AL313,IF(U313="FP",AM313,0)))))))))</f>
        <v/>
      </c>
      <c r="W313" s="27">
        <f>IF(U313="OR",Upgrades!$F$10,IF(U313="HP",Upgrades!$F$11,IF(U313="transition",-Parameters!$B$18,0)))</f>
        <v/>
      </c>
      <c r="X313" s="22">
        <f>T313-V313</f>
        <v/>
      </c>
      <c r="Y313" s="30">
        <f>M313*Parameters!$B$10/60*Parameters!$B$11+O313*M313+N313</f>
        <v/>
      </c>
      <c r="Z313" s="34">
        <f>IF(U313="transition","→ Tier 2 (Stellar Neighborhood)",IF(U313="FP","First Photons — light begins, system quickens",IF(U313="HP","Heliopause acquired",IF(U313="OR","Orbital Resonance — passive multiplier active",IF(AND(AO313=1,L313=0,AN313&lt;&gt;1),"Cohesion ready (waiting on completionist upgrades)","")))))</f>
        <v/>
      </c>
      <c r="AA313" s="27">
        <f>(IF(E313=0,0,(Upgrades!$G$6+E313*Upgrades!$H$6)*POWER(Upgrades!$I$6,E313)))*(IF(Upgrades!$T$7="Solar Wind",POWER(Upgrades!$U$7,F313),1)*IF(Upgrades!$T$8="Solar Wind",POWER(Upgrades!$U$8,G313),1)*IF(Upgrades!$T$9="Solar Wind",POWER(Upgrades!$U$9,H313),1)*IF(Upgrades!$T$10="Solar Wind",POWER(Upgrades!$U$10,I313),1)*IF(Upgrades!$T$11="Solar Wind",POWER(Upgrades!$U$11,J313),1)*IF(Upgrades!$T$12="Solar Wind",POWER(Upgrades!$U$12,K313),1))*POWER(Upgrades!$P$6,E313)*POWER(Upgrades!$P$7,F313)*POWER(Upgrades!$P$8,G313)*POWER(Upgrades!$P$9,H313)*POWER(Upgrades!$P$10,I313)*POWER(Upgrades!$P$11,J313)*POWER(Upgrades!$P$12,K313)*60</f>
        <v/>
      </c>
      <c r="AB313" s="27">
        <f>(IF(F313=0,0,(Upgrades!$G$7+F313*Upgrades!$H$7)*POWER(Upgrades!$I$7,F313)))*(IF(Upgrades!$T$6="Asteroid Belt",POWER(Upgrades!$U$6,E313),1)*IF(Upgrades!$T$8="Asteroid Belt",POWER(Upgrades!$U$8,G313),1)*IF(Upgrades!$T$9="Asteroid Belt",POWER(Upgrades!$U$9,H313),1)*IF(Upgrades!$T$10="Asteroid Belt",POWER(Upgrades!$U$10,I313),1)*IF(Upgrades!$T$11="Asteroid Belt",POWER(Upgrades!$U$11,J313),1)*IF(Upgrades!$T$12="Asteroid Belt",POWER(Upgrades!$U$12,K313),1))*POWER(Upgrades!$P$6,E313)*POWER(Upgrades!$P$7,F313)*POWER(Upgrades!$P$8,G313)*POWER(Upgrades!$P$9,H313)*POWER(Upgrades!$P$10,I313)*POWER(Upgrades!$P$11,J313)*POWER(Upgrades!$P$12,K313)*60</f>
        <v/>
      </c>
      <c r="AC313" s="27">
        <f>(IF(G313=0,0,(Upgrades!$J$8+G313*Upgrades!$K$8)*POWER(Upgrades!$L$8,G313)))*(IF(Upgrades!$T$6="Stellar Coupling",POWER(Upgrades!$U$6,E313),1)*IF(Upgrades!$T$7="Stellar Coupling",POWER(Upgrades!$U$7,F313),1)*IF(Upgrades!$T$9="Stellar Coupling",POWER(Upgrades!$U$9,H313),1)*IF(Upgrades!$T$10="Stellar Coupling",POWER(Upgrades!$U$10,I313),1)*IF(Upgrades!$T$11="Stellar Coupling",POWER(Upgrades!$U$11,J313),1)*IF(Upgrades!$T$12="Stellar Coupling",POWER(Upgrades!$U$12,K313),1))*POWER(Upgrades!$Q$6,E313)*POWER(Upgrades!$Q$7,F313)*POWER(Upgrades!$Q$8,G313)*POWER(Upgrades!$Q$9,H313)*POWER(Upgrades!$Q$10,I313)*POWER(Upgrades!$Q$11,J313)*POWER(Upgrades!$Q$12,K313)*Parameters!$B$10*Parameters!$B$11</f>
        <v/>
      </c>
      <c r="AD313" s="27">
        <f>(IF(H313=0,0,(Upgrades!$G$9+H313*Upgrades!$H$9)*POWER(Upgrades!$I$9,H313)))*(IF(Upgrades!$T$6="Magnetosphere",POWER(Upgrades!$U$6,E313),1)*IF(Upgrades!$T$7="Magnetosphere",POWER(Upgrades!$U$7,F313),1)*IF(Upgrades!$T$8="Magnetosphere",POWER(Upgrades!$U$8,G313),1)*IF(Upgrades!$T$10="Magnetosphere",POWER(Upgrades!$U$10,I313),1)*IF(Upgrades!$T$11="Magnetosphere",POWER(Upgrades!$U$11,J313),1)*IF(Upgrades!$T$12="Magnetosphere",POWER(Upgrades!$U$12,K313),1))*POWER(Upgrades!$P$6,E313)*POWER(Upgrades!$P$7,F313)*POWER(Upgrades!$P$8,G313)*POWER(Upgrades!$P$9,H313)*POWER(Upgrades!$P$10,I313)*POWER(Upgrades!$P$11,J313)*POWER(Upgrades!$P$12,K313)*60</f>
        <v/>
      </c>
      <c r="AE313" s="27">
        <f>(IF(K313=0,0,(Upgrades!$G$12+K313*Upgrades!$H$12)*POWER(Upgrades!$I$12,K313)))*(IF(Upgrades!$T$6="First Photons",POWER(Upgrades!$U$6,E313),1)*IF(Upgrades!$T$7="First Photons",POWER(Upgrades!$U$7,F313),1)*IF(Upgrades!$T$8="First Photons",POWER(Upgrades!$U$8,G313),1)*IF(Upgrades!$T$9="First Photons",POWER(Upgrades!$U$9,H313),1)*IF(Upgrades!$T$10="First Photons",POWER(Upgrades!$U$10,I313),1)*IF(Upgrades!$T$11="First Photons",POWER(Upgrades!$U$11,J313),1))*POWER(Upgrades!$P$6,E313)*POWER(Upgrades!$P$7,F313)*POWER(Upgrades!$P$8,G313)*POWER(Upgrades!$P$9,H313)*POWER(Upgrades!$P$10,I313)*POWER(Upgrades!$P$11,J313)*POWER(Upgrades!$P$12,K313)*60</f>
        <v/>
      </c>
      <c r="AF313" s="27">
        <f>Parameters!$B$9*POWER(Upgrades!$Q$6,E313)*POWER(Upgrades!$Q$7,F313)*POWER(Upgrades!$Q$8,G313)*POWER(Upgrades!$Q$9,H313)*POWER(Upgrades!$Q$10,I313)*POWER(Upgrades!$Q$11,J313)*POWER(Upgrades!$Q$12,K313)*(Parameters!$B$10*Parameters!$B$11+O313*60)</f>
        <v/>
      </c>
      <c r="AG313" s="22">
        <f>IF(E313&gt;=Upgrades!$E$6,"",Upgrades!$C$6*POWER(Upgrades!$D$6,E313))</f>
        <v/>
      </c>
      <c r="AH313" s="22">
        <f>IF(F313&gt;=Upgrades!$E$7,"",Upgrades!$C$7*POWER(Upgrades!$D$7,F313))</f>
        <v/>
      </c>
      <c r="AI313" s="22">
        <f>IF(G313&gt;=Upgrades!$E$8,"",Upgrades!$C$8*POWER(Upgrades!$D$8,G313))</f>
        <v/>
      </c>
      <c r="AJ313" s="22">
        <f>IF(H313&gt;=Upgrades!$E$9,"",Upgrades!$C$9*POWER(Upgrades!$D$9,H313))</f>
        <v/>
      </c>
      <c r="AK313" s="22">
        <f>IF(I313&gt;=Upgrades!$E$10,"",Upgrades!$C$10*POWER(Upgrades!$D$10,I313))</f>
        <v/>
      </c>
      <c r="AL313" s="22">
        <f>IF(J313&gt;=Upgrades!$E$11,"",Upgrades!$C$11*POWER(Upgrades!$D$11,J313))</f>
        <v/>
      </c>
      <c r="AM313" s="22">
        <f>IF(K313&gt;=Upgrades!$E$12,"",Upgrades!$C$12*POWER(Upgrades!$D$12,K313))</f>
        <v/>
      </c>
      <c r="AN313" s="26">
        <f>IF(AND(D313&gt;=Parameters!$B$18,(H313&gt;=Upgrades!$E$9)*(K313&gt;=Upgrades!$E$12)=1,L313=0),1,"")</f>
        <v/>
      </c>
      <c r="AO313" s="26">
        <f>IF(AND(D313&gt;=Parameters!$B$18,L313=0),1,"")</f>
        <v/>
      </c>
      <c r="AP313" s="22">
        <f>MIN(IF(ISNUMBER(AK313),AK313,9E15),IF(ISNUMBER(AL313),AL313,9E15),IF(ISNUMBER(AM313),AM313,9E15))</f>
        <v/>
      </c>
      <c r="AQ313" s="22">
        <f>MIN(IF(ISNUMBER(AG313),AG313,9E15),IF(ISNUMBER(AH313),AH313,9E15),IF(ISNUMBER(AI313),AI313,9E15),IF(ISNUMBER(AJ313),AJ313,9E15))</f>
        <v/>
      </c>
      <c r="AR313" s="29">
        <f>IF(AW313&gt;Parameters!$B$21*(MAX(IF(AND(NOT(AND(AO313=1,AN313&lt;&gt;1)),ISNUMBER(AG313),AG313&lt;=T313),AS313,0),IF(AND(NOT(AND(AO313=1,AN313&lt;&gt;1)),ISNUMBER(AH313),AH313&lt;=T313),AT313,0),IF(AND(NOT(AND(AO313=1,AN313&lt;&gt;1)),ISNUMBER(AI313),AI313&lt;=T313),AU313,0),IF(AND(ISNUMBER(AJ313),AJ313&lt;=T313),AV313,0))),TRUE,FALSE)</f>
        <v/>
      </c>
      <c r="AS313" s="32">
        <f>IFERROR(Upgrades!$H$6*(POWER(Upgrades!$P$6,E313)*POWER(Upgrades!$P$7,F313)*POWER(Upgrades!$P$8,G313)*POWER(Upgrades!$P$9,H313)*POWER(Upgrades!$P$10,I313)*POWER(Upgrades!$P$11,J313)*POWER(Upgrades!$P$12,K313))*(IF(Upgrades!$T$7="Solar Wind",POWER(Upgrades!$U$7,F313),1)*IF(Upgrades!$T$8="Solar Wind",POWER(Upgrades!$U$8,G313),1)*IF(Upgrades!$T$9="Solar Wind",POWER(Upgrades!$U$9,H313),1)*IF(Upgrades!$T$10="Solar Wind",POWER(Upgrades!$U$10,I313),1)*IF(Upgrades!$T$11="Solar Wind",POWER(Upgrades!$U$11,J313),1)*IF(Upgrades!$T$12="Solar Wind",POWER(Upgrades!$U$12,K313),1))/AG313,0)</f>
        <v/>
      </c>
      <c r="AT313" s="32">
        <f>IFERROR(Upgrades!$H$7*(POWER(Upgrades!$P$6,E313)*POWER(Upgrades!$P$7,F313)*POWER(Upgrades!$P$8,G313)*POWER(Upgrades!$P$9,H313)*POWER(Upgrades!$P$10,I313)*POWER(Upgrades!$P$11,J313)*POWER(Upgrades!$P$12,K313))*(IF(Upgrades!$T$6="Asteroid Belt",POWER(Upgrades!$U$6,E313),1)*IF(Upgrades!$T$8="Asteroid Belt",POWER(Upgrades!$U$8,G313),1)*IF(Upgrades!$T$9="Asteroid Belt",POWER(Upgrades!$U$9,H313),1)*IF(Upgrades!$T$10="Asteroid Belt",POWER(Upgrades!$U$10,I313),1)*IF(Upgrades!$T$11="Asteroid Belt",POWER(Upgrades!$U$11,J313),1)*IF(Upgrades!$T$12="Asteroid Belt",POWER(Upgrades!$U$12,K313),1))/AH313,0)</f>
        <v/>
      </c>
      <c r="AU313" s="32">
        <f>IFERROR(Upgrades!$K$8*(POWER(Upgrades!$Q$6,E313)*POWER(Upgrades!$Q$7,F313)*POWER(Upgrades!$Q$8,G313)*POWER(Upgrades!$Q$9,H313)*POWER(Upgrades!$Q$10,I313)*POWER(Upgrades!$Q$11,J313)*POWER(Upgrades!$Q$12,K313))*(IF(Upgrades!$T$6="Stellar Coupling",POWER(Upgrades!$U$6,E313),1)*IF(Upgrades!$T$7="Stellar Coupling",POWER(Upgrades!$U$7,F313),1)*IF(Upgrades!$T$9="Stellar Coupling",POWER(Upgrades!$U$9,H313),1)*IF(Upgrades!$T$10="Stellar Coupling",POWER(Upgrades!$U$10,I313),1)*IF(Upgrades!$T$11="Stellar Coupling",POWER(Upgrades!$U$11,J313),1)*IF(Upgrades!$T$12="Stellar Coupling",POWER(Upgrades!$U$12,K313),1))*Parameters!$B$10*Parameters!$B$11/60/AI313,0)</f>
        <v/>
      </c>
      <c r="AV313" s="32">
        <f>IFERROR(Upgrades!$H$9*(POWER(Upgrades!$P$6,E313)*POWER(Upgrades!$P$7,F313)*POWER(Upgrades!$P$8,G313)*POWER(Upgrades!$P$9,H313)*POWER(Upgrades!$P$10,I313)*POWER(Upgrades!$P$11,J313)*POWER(Upgrades!$P$12,K313))*(IF(Upgrades!$T$6="Magnetosphere",POWER(Upgrades!$U$6,E313),1)*IF(Upgrades!$T$7="Magnetosphere",POWER(Upgrades!$U$7,F313),1)*IF(Upgrades!$T$8="Magnetosphere",POWER(Upgrades!$U$8,G313),1)*IF(Upgrades!$T$10="Magnetosphere",POWER(Upgrades!$U$10,I313),1)*IF(Upgrades!$T$11="Magnetosphere",POWER(Upgrades!$U$11,J313),1)*IF(Upgrades!$T$12="Magnetosphere",POWER(Upgrades!$U$12,K313),1))/AJ313,0)</f>
        <v/>
      </c>
      <c r="AW313" s="32">
        <f>MAX(IF(I313&gt;0,0,IFERROR(0.25*N313/Upgrades!$C$10,0)),IF(J313&gt;0,0,IFERROR(0.5*((IF(G313=0,0,(Upgrades!$J$8+G313*Upgrades!$K$8)*POWER(Upgrades!$L$8,G313)))*(IF(Upgrades!$T$6="Stellar Coupling",POWER(Upgrades!$U$6,E313),1)*IF(Upgrades!$T$7="Stellar Coupling",POWER(Upgrades!$U$7,F313),1)*IF(Upgrades!$T$9="Stellar Coupling",POWER(Upgrades!$U$9,H313),1)*IF(Upgrades!$T$10="Stellar Coupling",POWER(Upgrades!$U$10,I313),1)*IF(Upgrades!$T$11="Stellar Coupling",POWER(Upgrades!$U$11,J313),1)*IF(Upgrades!$T$12="Stellar Coupling",POWER(Upgrades!$U$12,K313),1))*(POWER(Upgrades!$Q$6,E313)*POWER(Upgrades!$Q$7,F313)*POWER(Upgrades!$Q$8,G313)*POWER(Upgrades!$Q$9,H313)*POWER(Upgrades!$Q$10,I313)*POWER(Upgrades!$Q$11,J313)*POWER(Upgrades!$Q$12,K313))*Parameters!$B$10*Parameters!$B$11/60)/Upgrades!$C$11,0)),IF(K313&gt;0,0,IFERROR((1.0*(POWER(Upgrades!$P$6,E313)*POWER(Upgrades!$P$7,F313)*POWER(Upgrades!$P$8,G313)*POWER(Upgrades!$P$9,H313)*POWER(Upgrades!$P$10,I313)*POWER(Upgrades!$P$11,J313)*POWER(Upgrades!$P$12,K313))+0.20*M313*Parameters!$B$10*Parameters!$B$11/60)/Upgrades!$C$12,0)),IF(AND(ISNUMBER(AG313),AG313&gt;T313),AS313,0),IF(AND(ISNUMBER(AH313),AH313&gt;T313),AT313,0),IF(AND(ISNUMBER(AI313),AI313&gt;T313),AU313,0),IF(AND(ISNUMBER(AJ313),AJ313&gt;T313),AV313,0))</f>
        <v/>
      </c>
      <c r="AX313" s="29">
        <f>IF(AN313=1,"transition",IF(MIN(IF(AND(I313=0,ISNUMBER(AK313),AK313&lt;=T313),AK313,9E15),IF(AND(J313=0,ISNUMBER(AL313),AL313&lt;=T313),AL313,9E15),IF(AND(K313=0,ISNUMBER(AM313),AM313&lt;=T313),AM313,9E15))&lt;9E15,IF(AND(AND(I313=0,ISNUMBER(AK313),AK313&lt;=T313),AK313=MIN(IF(AND(I313=0,ISNUMBER(AK313),AK313&lt;=T313),AK313,9E15),IF(AND(J313=0,ISNUMBER(AL313),AL313&lt;=T313),AL313,9E15),IF(AND(K313=0,ISNUMBER(AM313),AM313&lt;=T313),AM313,9E15))),"OR",IF(AND(AND(J313=0,ISNUMBER(AL313),AL313&lt;=T313),AL313=MIN(IF(AND(I313=0,ISNUMBER(AK313),AK313&lt;=T313),AK313,9E15),IF(AND(J313=0,ISNUMBER(AL313),AL313&lt;=T313),AL313,9E15),IF(AND(K313=0,ISNUMBER(AM313),AM313&lt;=T313),AM313,9E15))),"HP","FP")),IF(AR313=TRUE,"",IF(MAX(IF(AND(NOT(AND(AO313=1,AN313&lt;&gt;1)),ISNUMBER(AG313),AG313&lt;=T313),AS313,0),IF(AND(NOT(AND(AO313=1,AN313&lt;&gt;1)),ISNUMBER(AH313),AH313&lt;=T313),AT313,0),IF(AND(NOT(AND(AO313=1,AN313&lt;&gt;1)),ISNUMBER(AI313),AI313&lt;=T313),AU313,0),IF(AND(ISNUMBER(AJ313),AJ313&lt;=T313),AV313,0))&lt;=0,"",IF(AND(IF(AND(NOT(AND(AO313=1,AN313&lt;&gt;1)),ISNUMBER(AG313),AG313&lt;=T313),AS313,0)&gt;0,IF(AND(NOT(AND(AO313=1,AN313&lt;&gt;1)),ISNUMBER(AG313),AG313&lt;=T313),AS313,0)=MAX(IF(AND(NOT(AND(AO313=1,AN313&lt;&gt;1)),ISNUMBER(AG313),AG313&lt;=T313),AS313,0),IF(AND(NOT(AND(AO313=1,AN313&lt;&gt;1)),ISNUMBER(AH313),AH313&lt;=T313),AT313,0),IF(AND(NOT(AND(AO313=1,AN313&lt;&gt;1)),ISNUMBER(AI313),AI313&lt;=T313),AU313,0),IF(AND(ISNUMBER(AJ313),AJ313&lt;=T313),AV313,0))),"SW",IF(AND(IF(AND(NOT(AND(AO313=1,AN313&lt;&gt;1)),ISNUMBER(AH313),AH313&lt;=T313),AT313,0)&gt;0,IF(AND(NOT(AND(AO313=1,AN313&lt;&gt;1)),ISNUMBER(AH313),AH313&lt;=T313),AT313,0)=MAX(IF(AND(NOT(AND(AO313=1,AN313&lt;&gt;1)),ISNUMBER(AG313),AG313&lt;=T313),AS313,0),IF(AND(NOT(AND(AO313=1,AN313&lt;&gt;1)),ISNUMBER(AH313),AH313&lt;=T313),AT313,0),IF(AND(NOT(AND(AO313=1,AN313&lt;&gt;1)),ISNUMBER(AI313),AI313&lt;=T313),AU313,0),IF(AND(ISNUMBER(AJ313),AJ313&lt;=T313),AV313,0))),"AB",IF(AND(IF(AND(NOT(AND(AO313=1,AN313&lt;&gt;1)),ISNUMBER(AI313),AI313&lt;=T313),AU313,0)&gt;0,IF(AND(NOT(AND(AO313=1,AN313&lt;&gt;1)),ISNUMBER(AI313),AI313&lt;=T313),AU313,0)=MAX(IF(AND(NOT(AND(AO313=1,AN313&lt;&gt;1)),ISNUMBER(AG313),AG313&lt;=T313),AS313,0),IF(AND(NOT(AND(AO313=1,AN313&lt;&gt;1)),ISNUMBER(AH313),AH313&lt;=T313),AT313,0),IF(AND(NOT(AND(AO313=1,AN313&lt;&gt;1)),ISNUMBER(AI313),AI313&lt;=T313),AU313,0),IF(AND(ISNUMBER(AJ313),AJ313&lt;=T313),AV313,0))),"SC","Mag")))))))</f>
        <v/>
      </c>
    </row>
    <row r="314">
      <c r="A314" s="26" t="n">
        <v>309</v>
      </c>
      <c r="B314" s="27">
        <f>A314*10/60</f>
        <v/>
      </c>
      <c r="C314" s="22">
        <f>X313</f>
        <v/>
      </c>
      <c r="D314" s="27">
        <f>D313+W313</f>
        <v/>
      </c>
      <c r="E314" s="26">
        <f>E313+IF(U313="SW",1,0)</f>
        <v/>
      </c>
      <c r="F314" s="26">
        <f>F313+IF(U313="AB",1,0)</f>
        <v/>
      </c>
      <c r="G314" s="26">
        <f>G313+IF(U313="SC",1,0)</f>
        <v/>
      </c>
      <c r="H314" s="26">
        <f>H313+IF(U313="Mag",1,0)</f>
        <v/>
      </c>
      <c r="I314" s="26">
        <f>MAX(I313,IF(U313="OR",1,0))</f>
        <v/>
      </c>
      <c r="J314" s="26">
        <f>MAX(J313,IF(U313="HP",1,0))</f>
        <v/>
      </c>
      <c r="K314" s="26">
        <f>MAX(K313,IF(U313="FP",1,0))</f>
        <v/>
      </c>
      <c r="L314" s="26">
        <f>MAX(L313,IF(U313="transition",1,0))</f>
        <v/>
      </c>
      <c r="M314" s="28">
        <f>(Parameters!$B$9+(IF(E314=0,0,(Upgrades!$J$6+E314*Upgrades!$K$6)*POWER(Upgrades!$L$6,E314)))*(IF(Upgrades!$T$7="Solar Wind",POWER(Upgrades!$U$7,F314),1)*IF(Upgrades!$T$8="Solar Wind",POWER(Upgrades!$U$8,G314),1)*IF(Upgrades!$T$9="Solar Wind",POWER(Upgrades!$U$9,H314),1)*IF(Upgrades!$T$10="Solar Wind",POWER(Upgrades!$U$10,I314),1)*IF(Upgrades!$T$11="Solar Wind",POWER(Upgrades!$U$11,J314),1)*IF(Upgrades!$T$12="Solar Wind",POWER(Upgrades!$U$12,K314),1))+(IF(F314=0,0,(Upgrades!$J$7+F314*Upgrades!$K$7)*POWER(Upgrades!$L$7,F314)))*(IF(Upgrades!$T$6="Asteroid Belt",POWER(Upgrades!$U$6,E314),1)*IF(Upgrades!$T$8="Asteroid Belt",POWER(Upgrades!$U$8,G314),1)*IF(Upgrades!$T$9="Asteroid Belt",POWER(Upgrades!$U$9,H314),1)*IF(Upgrades!$T$10="Asteroid Belt",POWER(Upgrades!$U$10,I314),1)*IF(Upgrades!$T$11="Asteroid Belt",POWER(Upgrades!$U$11,J314),1)*IF(Upgrades!$T$12="Asteroid Belt",POWER(Upgrades!$U$12,K314),1))+(IF(G314=0,0,(Upgrades!$J$8+G314*Upgrades!$K$8)*POWER(Upgrades!$L$8,G314)))*(IF(Upgrades!$T$6="Stellar Coupling",POWER(Upgrades!$U$6,E314),1)*IF(Upgrades!$T$7="Stellar Coupling",POWER(Upgrades!$U$7,F314),1)*IF(Upgrades!$T$9="Stellar Coupling",POWER(Upgrades!$U$9,H314),1)*IF(Upgrades!$T$10="Stellar Coupling",POWER(Upgrades!$U$10,I314),1)*IF(Upgrades!$T$11="Stellar Coupling",POWER(Upgrades!$U$11,J314),1)*IF(Upgrades!$T$12="Stellar Coupling",POWER(Upgrades!$U$12,K314),1))+(IF(H314=0,0,(Upgrades!$J$9+H314*Upgrades!$K$9)*POWER(Upgrades!$L$9,H314)))*(IF(Upgrades!$T$6="Magnetosphere",POWER(Upgrades!$U$6,E314),1)*IF(Upgrades!$T$7="Magnetosphere",POWER(Upgrades!$U$7,F314),1)*IF(Upgrades!$T$8="Magnetosphere",POWER(Upgrades!$U$8,G314),1)*IF(Upgrades!$T$10="Magnetosphere",POWER(Upgrades!$U$10,I314),1)*IF(Upgrades!$T$11="Magnetosphere",POWER(Upgrades!$U$11,J314),1)*IF(Upgrades!$T$12="Magnetosphere",POWER(Upgrades!$U$12,K314),1))+(IF(I314=0,0,(Upgrades!$J$10+I314*Upgrades!$K$10)*POWER(Upgrades!$L$10,I314)))*(IF(Upgrades!$T$6="Orbital Resonance",POWER(Upgrades!$U$6,E314),1)*IF(Upgrades!$T$7="Orbital Resonance",POWER(Upgrades!$U$7,F314),1)*IF(Upgrades!$T$8="Orbital Resonance",POWER(Upgrades!$U$8,G314),1)*IF(Upgrades!$T$9="Orbital Resonance",POWER(Upgrades!$U$9,H314),1)*IF(Upgrades!$T$11="Orbital Resonance",POWER(Upgrades!$U$11,J314),1)*IF(Upgrades!$T$12="Orbital Resonance",POWER(Upgrades!$U$12,K314),1))+(IF(J314=0,0,(Upgrades!$J$11+J314*Upgrades!$K$11)*POWER(Upgrades!$L$11,J314)))*(IF(Upgrades!$T$6="Heliopause",POWER(Upgrades!$U$6,E314),1)*IF(Upgrades!$T$7="Heliopause",POWER(Upgrades!$U$7,F314),1)*IF(Upgrades!$T$8="Heliopause",POWER(Upgrades!$U$8,G314),1)*IF(Upgrades!$T$9="Heliopause",POWER(Upgrades!$U$9,H314),1)*IF(Upgrades!$T$10="Heliopause",POWER(Upgrades!$U$10,I314),1)*IF(Upgrades!$T$12="Heliopause",POWER(Upgrades!$U$12,K314),1))+(IF(K314=0,0,(Upgrades!$J$12+K314*Upgrades!$K$12)*POWER(Upgrades!$L$12,K314)))*(IF(Upgrades!$T$6="First Photons",POWER(Upgrades!$U$6,E314),1)*IF(Upgrades!$T$7="First Photons",POWER(Upgrades!$U$7,F314),1)*IF(Upgrades!$T$8="First Photons",POWER(Upgrades!$U$8,G314),1)*IF(Upgrades!$T$9="First Photons",POWER(Upgrades!$U$9,H314),1)*IF(Upgrades!$T$10="First Photons",POWER(Upgrades!$U$10,I314),1)*IF(Upgrades!$T$11="First Photons",POWER(Upgrades!$U$11,J314),1)))*POWER(Upgrades!$Q$6,E314)*POWER(Upgrades!$Q$7,F314)*POWER(Upgrades!$Q$8,G314)*POWER(Upgrades!$Q$9,H314)*POWER(Upgrades!$Q$10,I314)*POWER(Upgrades!$Q$11,J314)*POWER(Upgrades!$Q$12,K314)</f>
        <v/>
      </c>
      <c r="N314" s="28">
        <f>((IF(E314=0,0,(Upgrades!$G$6+E314*Upgrades!$H$6)*POWER(Upgrades!$I$6,E314)))*(IF(Upgrades!$T$7="Solar Wind",POWER(Upgrades!$U$7,F314),1)*IF(Upgrades!$T$8="Solar Wind",POWER(Upgrades!$U$8,G314),1)*IF(Upgrades!$T$9="Solar Wind",POWER(Upgrades!$U$9,H314),1)*IF(Upgrades!$T$10="Solar Wind",POWER(Upgrades!$U$10,I314),1)*IF(Upgrades!$T$11="Solar Wind",POWER(Upgrades!$U$11,J314),1)*IF(Upgrades!$T$12="Solar Wind",POWER(Upgrades!$U$12,K314),1))+(IF(F314=0,0,(Upgrades!$G$7+F314*Upgrades!$H$7)*POWER(Upgrades!$I$7,F314)))*(IF(Upgrades!$T$6="Asteroid Belt",POWER(Upgrades!$U$6,E314),1)*IF(Upgrades!$T$8="Asteroid Belt",POWER(Upgrades!$U$8,G314),1)*IF(Upgrades!$T$9="Asteroid Belt",POWER(Upgrades!$U$9,H314),1)*IF(Upgrades!$T$10="Asteroid Belt",POWER(Upgrades!$U$10,I314),1)*IF(Upgrades!$T$11="Asteroid Belt",POWER(Upgrades!$U$11,J314),1)*IF(Upgrades!$T$12="Asteroid Belt",POWER(Upgrades!$U$12,K314),1))+(IF(G314=0,0,(Upgrades!$G$8+G314*Upgrades!$H$8)*POWER(Upgrades!$I$8,G314)))*(IF(Upgrades!$T$6="Stellar Coupling",POWER(Upgrades!$U$6,E314),1)*IF(Upgrades!$T$7="Stellar Coupling",POWER(Upgrades!$U$7,F314),1)*IF(Upgrades!$T$9="Stellar Coupling",POWER(Upgrades!$U$9,H314),1)*IF(Upgrades!$T$10="Stellar Coupling",POWER(Upgrades!$U$10,I314),1)*IF(Upgrades!$T$11="Stellar Coupling",POWER(Upgrades!$U$11,J314),1)*IF(Upgrades!$T$12="Stellar Coupling",POWER(Upgrades!$U$12,K314),1))+(IF(H314=0,0,(Upgrades!$G$9+H314*Upgrades!$H$9)*POWER(Upgrades!$I$9,H314)))*(IF(Upgrades!$T$6="Magnetosphere",POWER(Upgrades!$U$6,E314),1)*IF(Upgrades!$T$7="Magnetosphere",POWER(Upgrades!$U$7,F314),1)*IF(Upgrades!$T$8="Magnetosphere",POWER(Upgrades!$U$8,G314),1)*IF(Upgrades!$T$10="Magnetosphere",POWER(Upgrades!$U$10,I314),1)*IF(Upgrades!$T$11="Magnetosphere",POWER(Upgrades!$U$11,J314),1)*IF(Upgrades!$T$12="Magnetosphere",POWER(Upgrades!$U$12,K314),1))+(IF(I314=0,0,(Upgrades!$G$10+I314*Upgrades!$H$10)*POWER(Upgrades!$I$10,I314)))*(IF(Upgrades!$T$6="Orbital Resonance",POWER(Upgrades!$U$6,E314),1)*IF(Upgrades!$T$7="Orbital Resonance",POWER(Upgrades!$U$7,F314),1)*IF(Upgrades!$T$8="Orbital Resonance",POWER(Upgrades!$U$8,G314),1)*IF(Upgrades!$T$9="Orbital Resonance",POWER(Upgrades!$U$9,H314),1)*IF(Upgrades!$T$11="Orbital Resonance",POWER(Upgrades!$U$11,J314),1)*IF(Upgrades!$T$12="Orbital Resonance",POWER(Upgrades!$U$12,K314),1))+(IF(J314=0,0,(Upgrades!$G$11+J314*Upgrades!$H$11)*POWER(Upgrades!$I$11,J314)))*(IF(Upgrades!$T$6="Heliopause",POWER(Upgrades!$U$6,E314),1)*IF(Upgrades!$T$7="Heliopause",POWER(Upgrades!$U$7,F314),1)*IF(Upgrades!$T$8="Heliopause",POWER(Upgrades!$U$8,G314),1)*IF(Upgrades!$T$9="Heliopause",POWER(Upgrades!$U$9,H314),1)*IF(Upgrades!$T$10="Heliopause",POWER(Upgrades!$U$10,I314),1)*IF(Upgrades!$T$12="Heliopause",POWER(Upgrades!$U$12,K314),1))+(IF(K314=0,0,(Upgrades!$G$12+K314*Upgrades!$H$12)*POWER(Upgrades!$I$12,K314)))*(IF(Upgrades!$T$6="First Photons",POWER(Upgrades!$U$6,E314),1)*IF(Upgrades!$T$7="First Photons",POWER(Upgrades!$U$7,F314),1)*IF(Upgrades!$T$8="First Photons",POWER(Upgrades!$U$8,G314),1)*IF(Upgrades!$T$9="First Photons",POWER(Upgrades!$U$9,H314),1)*IF(Upgrades!$T$10="First Photons",POWER(Upgrades!$U$10,I314),1)*IF(Upgrades!$T$11="First Photons",POWER(Upgrades!$U$11,J314),1)))*POWER(Upgrades!$P$6,E314)*POWER(Upgrades!$P$7,F314)*POWER(Upgrades!$P$8,G314)*POWER(Upgrades!$P$9,H314)*POWER(Upgrades!$P$10,I314)*POWER(Upgrades!$P$11,J314)*POWER(Upgrades!$P$12,K314)</f>
        <v/>
      </c>
      <c r="O314" s="28">
        <f>((IF(E314=0,0,(Upgrades!$M$6+E314*Upgrades!$N$6)*POWER(Upgrades!$O$6,E314)))*(IF(Upgrades!$T$7="Solar Wind",POWER(Upgrades!$U$7,F314),1)*IF(Upgrades!$T$8="Solar Wind",POWER(Upgrades!$U$8,G314),1)*IF(Upgrades!$T$9="Solar Wind",POWER(Upgrades!$U$9,H314),1)*IF(Upgrades!$T$10="Solar Wind",POWER(Upgrades!$U$10,I314),1)*IF(Upgrades!$T$11="Solar Wind",POWER(Upgrades!$U$11,J314),1)*IF(Upgrades!$T$12="Solar Wind",POWER(Upgrades!$U$12,K314),1))+(IF(F314=0,0,(Upgrades!$M$7+F314*Upgrades!$N$7)*POWER(Upgrades!$O$7,F314)))*(IF(Upgrades!$T$6="Asteroid Belt",POWER(Upgrades!$U$6,E314),1)*IF(Upgrades!$T$8="Asteroid Belt",POWER(Upgrades!$U$8,G314),1)*IF(Upgrades!$T$9="Asteroid Belt",POWER(Upgrades!$U$9,H314),1)*IF(Upgrades!$T$10="Asteroid Belt",POWER(Upgrades!$U$10,I314),1)*IF(Upgrades!$T$11="Asteroid Belt",POWER(Upgrades!$U$11,J314),1)*IF(Upgrades!$T$12="Asteroid Belt",POWER(Upgrades!$U$12,K314),1))+(IF(G314=0,0,(Upgrades!$M$8+G314*Upgrades!$N$8)*POWER(Upgrades!$O$8,G314)))*(IF(Upgrades!$T$6="Stellar Coupling",POWER(Upgrades!$U$6,E314),1)*IF(Upgrades!$T$7="Stellar Coupling",POWER(Upgrades!$U$7,F314),1)*IF(Upgrades!$T$9="Stellar Coupling",POWER(Upgrades!$U$9,H314),1)*IF(Upgrades!$T$10="Stellar Coupling",POWER(Upgrades!$U$10,I314),1)*IF(Upgrades!$T$11="Stellar Coupling",POWER(Upgrades!$U$11,J314),1)*IF(Upgrades!$T$12="Stellar Coupling",POWER(Upgrades!$U$12,K314),1))+(IF(H314=0,0,(Upgrades!$M$9+H314*Upgrades!$N$9)*POWER(Upgrades!$O$9,H314)))*(IF(Upgrades!$T$6="Magnetosphere",POWER(Upgrades!$U$6,E314),1)*IF(Upgrades!$T$7="Magnetosphere",POWER(Upgrades!$U$7,F314),1)*IF(Upgrades!$T$8="Magnetosphere",POWER(Upgrades!$U$8,G314),1)*IF(Upgrades!$T$10="Magnetosphere",POWER(Upgrades!$U$10,I314),1)*IF(Upgrades!$T$11="Magnetosphere",POWER(Upgrades!$U$11,J314),1)*IF(Upgrades!$T$12="Magnetosphere",POWER(Upgrades!$U$12,K314),1))+(IF(I314=0,0,(Upgrades!$M$10+I314*Upgrades!$N$10)*POWER(Upgrades!$O$10,I314)))*(IF(Upgrades!$T$6="Orbital Resonance",POWER(Upgrades!$U$6,E314),1)*IF(Upgrades!$T$7="Orbital Resonance",POWER(Upgrades!$U$7,F314),1)*IF(Upgrades!$T$8="Orbital Resonance",POWER(Upgrades!$U$8,G314),1)*IF(Upgrades!$T$9="Orbital Resonance",POWER(Upgrades!$U$9,H314),1)*IF(Upgrades!$T$11="Orbital Resonance",POWER(Upgrades!$U$11,J314),1)*IF(Upgrades!$T$12="Orbital Resonance",POWER(Upgrades!$U$12,K314),1))+(IF(J314=0,0,(Upgrades!$M$11+J314*Upgrades!$N$11)*POWER(Upgrades!$O$11,J314)))*(IF(Upgrades!$T$6="Heliopause",POWER(Upgrades!$U$6,E314),1)*IF(Upgrades!$T$7="Heliopause",POWER(Upgrades!$U$7,F314),1)*IF(Upgrades!$T$8="Heliopause",POWER(Upgrades!$U$8,G314),1)*IF(Upgrades!$T$9="Heliopause",POWER(Upgrades!$U$9,H314),1)*IF(Upgrades!$T$10="Heliopause",POWER(Upgrades!$U$10,I314),1)*IF(Upgrades!$T$12="Heliopause",POWER(Upgrades!$U$12,K314),1))+(IF(K314=0,0,(Upgrades!$M$12+K314*Upgrades!$N$12)*POWER(Upgrades!$O$12,K314)))*(IF(Upgrades!$T$6="First Photons",POWER(Upgrades!$U$6,E314),1)*IF(Upgrades!$T$7="First Photons",POWER(Upgrades!$U$7,F314),1)*IF(Upgrades!$T$8="First Photons",POWER(Upgrades!$U$8,G314),1)*IF(Upgrades!$T$9="First Photons",POWER(Upgrades!$U$9,H314),1)*IF(Upgrades!$T$10="First Photons",POWER(Upgrades!$U$10,I314),1)*IF(Upgrades!$T$11="First Photons",POWER(Upgrades!$U$11,J314),1)))*POWER(Upgrades!$R$6,E314)*POWER(Upgrades!$R$7,F314)*POWER(Upgrades!$R$8,G314)*POWER(Upgrades!$R$9,H314)*POWER(Upgrades!$R$10,I314)*POWER(Upgrades!$R$11,J314)*POWER(Upgrades!$R$12,K314)</f>
        <v/>
      </c>
      <c r="P314" s="27">
        <f>IF(L314=1,0,M314*Parameters!$B$10/60*Parameters!$B$11*10)</f>
        <v/>
      </c>
      <c r="Q314" s="27">
        <f>IF(L314=1,0,O314*M314*10)</f>
        <v/>
      </c>
      <c r="R314" s="27">
        <f>IF(L314=1,0,N314*10)</f>
        <v/>
      </c>
      <c r="S314" s="27">
        <f>P314+Q314+R314</f>
        <v/>
      </c>
      <c r="T314" s="22">
        <f>C314+S314</f>
        <v/>
      </c>
      <c r="U314" s="33">
        <f>AX314</f>
        <v/>
      </c>
      <c r="V314" s="22">
        <f>IF(U314="",0,IF(U314="transition",0,IF(U314="SW",AG314,IF(U314="AB",AH314,IF(U314="SC",AI314,IF(U314="Mag",AJ314,IF(U314="OR",AK314,IF(U314="HP",AL314,IF(U314="FP",AM314,0)))))))))</f>
        <v/>
      </c>
      <c r="W314" s="27">
        <f>IF(U314="OR",Upgrades!$F$10,IF(U314="HP",Upgrades!$F$11,IF(U314="transition",-Parameters!$B$18,0)))</f>
        <v/>
      </c>
      <c r="X314" s="22">
        <f>T314-V314</f>
        <v/>
      </c>
      <c r="Y314" s="30">
        <f>M314*Parameters!$B$10/60*Parameters!$B$11+O314*M314+N314</f>
        <v/>
      </c>
      <c r="Z314" s="34">
        <f>IF(U314="transition","→ Tier 2 (Stellar Neighborhood)",IF(U314="FP","First Photons — light begins, system quickens",IF(U314="HP","Heliopause acquired",IF(U314="OR","Orbital Resonance — passive multiplier active",IF(AND(AO314=1,L314=0,AN314&lt;&gt;1),"Cohesion ready (waiting on completionist upgrades)","")))))</f>
        <v/>
      </c>
      <c r="AA314" s="27">
        <f>(IF(E314=0,0,(Upgrades!$G$6+E314*Upgrades!$H$6)*POWER(Upgrades!$I$6,E314)))*(IF(Upgrades!$T$7="Solar Wind",POWER(Upgrades!$U$7,F314),1)*IF(Upgrades!$T$8="Solar Wind",POWER(Upgrades!$U$8,G314),1)*IF(Upgrades!$T$9="Solar Wind",POWER(Upgrades!$U$9,H314),1)*IF(Upgrades!$T$10="Solar Wind",POWER(Upgrades!$U$10,I314),1)*IF(Upgrades!$T$11="Solar Wind",POWER(Upgrades!$U$11,J314),1)*IF(Upgrades!$T$12="Solar Wind",POWER(Upgrades!$U$12,K314),1))*POWER(Upgrades!$P$6,E314)*POWER(Upgrades!$P$7,F314)*POWER(Upgrades!$P$8,G314)*POWER(Upgrades!$P$9,H314)*POWER(Upgrades!$P$10,I314)*POWER(Upgrades!$P$11,J314)*POWER(Upgrades!$P$12,K314)*60</f>
        <v/>
      </c>
      <c r="AB314" s="27">
        <f>(IF(F314=0,0,(Upgrades!$G$7+F314*Upgrades!$H$7)*POWER(Upgrades!$I$7,F314)))*(IF(Upgrades!$T$6="Asteroid Belt",POWER(Upgrades!$U$6,E314),1)*IF(Upgrades!$T$8="Asteroid Belt",POWER(Upgrades!$U$8,G314),1)*IF(Upgrades!$T$9="Asteroid Belt",POWER(Upgrades!$U$9,H314),1)*IF(Upgrades!$T$10="Asteroid Belt",POWER(Upgrades!$U$10,I314),1)*IF(Upgrades!$T$11="Asteroid Belt",POWER(Upgrades!$U$11,J314),1)*IF(Upgrades!$T$12="Asteroid Belt",POWER(Upgrades!$U$12,K314),1))*POWER(Upgrades!$P$6,E314)*POWER(Upgrades!$P$7,F314)*POWER(Upgrades!$P$8,G314)*POWER(Upgrades!$P$9,H314)*POWER(Upgrades!$P$10,I314)*POWER(Upgrades!$P$11,J314)*POWER(Upgrades!$P$12,K314)*60</f>
        <v/>
      </c>
      <c r="AC314" s="27">
        <f>(IF(G314=0,0,(Upgrades!$J$8+G314*Upgrades!$K$8)*POWER(Upgrades!$L$8,G314)))*(IF(Upgrades!$T$6="Stellar Coupling",POWER(Upgrades!$U$6,E314),1)*IF(Upgrades!$T$7="Stellar Coupling",POWER(Upgrades!$U$7,F314),1)*IF(Upgrades!$T$9="Stellar Coupling",POWER(Upgrades!$U$9,H314),1)*IF(Upgrades!$T$10="Stellar Coupling",POWER(Upgrades!$U$10,I314),1)*IF(Upgrades!$T$11="Stellar Coupling",POWER(Upgrades!$U$11,J314),1)*IF(Upgrades!$T$12="Stellar Coupling",POWER(Upgrades!$U$12,K314),1))*POWER(Upgrades!$Q$6,E314)*POWER(Upgrades!$Q$7,F314)*POWER(Upgrades!$Q$8,G314)*POWER(Upgrades!$Q$9,H314)*POWER(Upgrades!$Q$10,I314)*POWER(Upgrades!$Q$11,J314)*POWER(Upgrades!$Q$12,K314)*Parameters!$B$10*Parameters!$B$11</f>
        <v/>
      </c>
      <c r="AD314" s="27">
        <f>(IF(H314=0,0,(Upgrades!$G$9+H314*Upgrades!$H$9)*POWER(Upgrades!$I$9,H314)))*(IF(Upgrades!$T$6="Magnetosphere",POWER(Upgrades!$U$6,E314),1)*IF(Upgrades!$T$7="Magnetosphere",POWER(Upgrades!$U$7,F314),1)*IF(Upgrades!$T$8="Magnetosphere",POWER(Upgrades!$U$8,G314),1)*IF(Upgrades!$T$10="Magnetosphere",POWER(Upgrades!$U$10,I314),1)*IF(Upgrades!$T$11="Magnetosphere",POWER(Upgrades!$U$11,J314),1)*IF(Upgrades!$T$12="Magnetosphere",POWER(Upgrades!$U$12,K314),1))*POWER(Upgrades!$P$6,E314)*POWER(Upgrades!$P$7,F314)*POWER(Upgrades!$P$8,G314)*POWER(Upgrades!$P$9,H314)*POWER(Upgrades!$P$10,I314)*POWER(Upgrades!$P$11,J314)*POWER(Upgrades!$P$12,K314)*60</f>
        <v/>
      </c>
      <c r="AE314" s="27">
        <f>(IF(K314=0,0,(Upgrades!$G$12+K314*Upgrades!$H$12)*POWER(Upgrades!$I$12,K314)))*(IF(Upgrades!$T$6="First Photons",POWER(Upgrades!$U$6,E314),1)*IF(Upgrades!$T$7="First Photons",POWER(Upgrades!$U$7,F314),1)*IF(Upgrades!$T$8="First Photons",POWER(Upgrades!$U$8,G314),1)*IF(Upgrades!$T$9="First Photons",POWER(Upgrades!$U$9,H314),1)*IF(Upgrades!$T$10="First Photons",POWER(Upgrades!$U$10,I314),1)*IF(Upgrades!$T$11="First Photons",POWER(Upgrades!$U$11,J314),1))*POWER(Upgrades!$P$6,E314)*POWER(Upgrades!$P$7,F314)*POWER(Upgrades!$P$8,G314)*POWER(Upgrades!$P$9,H314)*POWER(Upgrades!$P$10,I314)*POWER(Upgrades!$P$11,J314)*POWER(Upgrades!$P$12,K314)*60</f>
        <v/>
      </c>
      <c r="AF314" s="27">
        <f>Parameters!$B$9*POWER(Upgrades!$Q$6,E314)*POWER(Upgrades!$Q$7,F314)*POWER(Upgrades!$Q$8,G314)*POWER(Upgrades!$Q$9,H314)*POWER(Upgrades!$Q$10,I314)*POWER(Upgrades!$Q$11,J314)*POWER(Upgrades!$Q$12,K314)*(Parameters!$B$10*Parameters!$B$11+O314*60)</f>
        <v/>
      </c>
      <c r="AG314" s="22">
        <f>IF(E314&gt;=Upgrades!$E$6,"",Upgrades!$C$6*POWER(Upgrades!$D$6,E314))</f>
        <v/>
      </c>
      <c r="AH314" s="22">
        <f>IF(F314&gt;=Upgrades!$E$7,"",Upgrades!$C$7*POWER(Upgrades!$D$7,F314))</f>
        <v/>
      </c>
      <c r="AI314" s="22">
        <f>IF(G314&gt;=Upgrades!$E$8,"",Upgrades!$C$8*POWER(Upgrades!$D$8,G314))</f>
        <v/>
      </c>
      <c r="AJ314" s="22">
        <f>IF(H314&gt;=Upgrades!$E$9,"",Upgrades!$C$9*POWER(Upgrades!$D$9,H314))</f>
        <v/>
      </c>
      <c r="AK314" s="22">
        <f>IF(I314&gt;=Upgrades!$E$10,"",Upgrades!$C$10*POWER(Upgrades!$D$10,I314))</f>
        <v/>
      </c>
      <c r="AL314" s="22">
        <f>IF(J314&gt;=Upgrades!$E$11,"",Upgrades!$C$11*POWER(Upgrades!$D$11,J314))</f>
        <v/>
      </c>
      <c r="AM314" s="22">
        <f>IF(K314&gt;=Upgrades!$E$12,"",Upgrades!$C$12*POWER(Upgrades!$D$12,K314))</f>
        <v/>
      </c>
      <c r="AN314" s="26">
        <f>IF(AND(D314&gt;=Parameters!$B$18,(H314&gt;=Upgrades!$E$9)*(K314&gt;=Upgrades!$E$12)=1,L314=0),1,"")</f>
        <v/>
      </c>
      <c r="AO314" s="26">
        <f>IF(AND(D314&gt;=Parameters!$B$18,L314=0),1,"")</f>
        <v/>
      </c>
      <c r="AP314" s="22">
        <f>MIN(IF(ISNUMBER(AK314),AK314,9E15),IF(ISNUMBER(AL314),AL314,9E15),IF(ISNUMBER(AM314),AM314,9E15))</f>
        <v/>
      </c>
      <c r="AQ314" s="22">
        <f>MIN(IF(ISNUMBER(AG314),AG314,9E15),IF(ISNUMBER(AH314),AH314,9E15),IF(ISNUMBER(AI314),AI314,9E15),IF(ISNUMBER(AJ314),AJ314,9E15))</f>
        <v/>
      </c>
      <c r="AR314" s="29">
        <f>IF(AW314&gt;Parameters!$B$21*(MAX(IF(AND(NOT(AND(AO314=1,AN314&lt;&gt;1)),ISNUMBER(AG314),AG314&lt;=T314),AS314,0),IF(AND(NOT(AND(AO314=1,AN314&lt;&gt;1)),ISNUMBER(AH314),AH314&lt;=T314),AT314,0),IF(AND(NOT(AND(AO314=1,AN314&lt;&gt;1)),ISNUMBER(AI314),AI314&lt;=T314),AU314,0),IF(AND(ISNUMBER(AJ314),AJ314&lt;=T314),AV314,0))),TRUE,FALSE)</f>
        <v/>
      </c>
      <c r="AS314" s="32">
        <f>IFERROR(Upgrades!$H$6*(POWER(Upgrades!$P$6,E314)*POWER(Upgrades!$P$7,F314)*POWER(Upgrades!$P$8,G314)*POWER(Upgrades!$P$9,H314)*POWER(Upgrades!$P$10,I314)*POWER(Upgrades!$P$11,J314)*POWER(Upgrades!$P$12,K314))*(IF(Upgrades!$T$7="Solar Wind",POWER(Upgrades!$U$7,F314),1)*IF(Upgrades!$T$8="Solar Wind",POWER(Upgrades!$U$8,G314),1)*IF(Upgrades!$T$9="Solar Wind",POWER(Upgrades!$U$9,H314),1)*IF(Upgrades!$T$10="Solar Wind",POWER(Upgrades!$U$10,I314),1)*IF(Upgrades!$T$11="Solar Wind",POWER(Upgrades!$U$11,J314),1)*IF(Upgrades!$T$12="Solar Wind",POWER(Upgrades!$U$12,K314),1))/AG314,0)</f>
        <v/>
      </c>
      <c r="AT314" s="32">
        <f>IFERROR(Upgrades!$H$7*(POWER(Upgrades!$P$6,E314)*POWER(Upgrades!$P$7,F314)*POWER(Upgrades!$P$8,G314)*POWER(Upgrades!$P$9,H314)*POWER(Upgrades!$P$10,I314)*POWER(Upgrades!$P$11,J314)*POWER(Upgrades!$P$12,K314))*(IF(Upgrades!$T$6="Asteroid Belt",POWER(Upgrades!$U$6,E314),1)*IF(Upgrades!$T$8="Asteroid Belt",POWER(Upgrades!$U$8,G314),1)*IF(Upgrades!$T$9="Asteroid Belt",POWER(Upgrades!$U$9,H314),1)*IF(Upgrades!$T$10="Asteroid Belt",POWER(Upgrades!$U$10,I314),1)*IF(Upgrades!$T$11="Asteroid Belt",POWER(Upgrades!$U$11,J314),1)*IF(Upgrades!$T$12="Asteroid Belt",POWER(Upgrades!$U$12,K314),1))/AH314,0)</f>
        <v/>
      </c>
      <c r="AU314" s="32">
        <f>IFERROR(Upgrades!$K$8*(POWER(Upgrades!$Q$6,E314)*POWER(Upgrades!$Q$7,F314)*POWER(Upgrades!$Q$8,G314)*POWER(Upgrades!$Q$9,H314)*POWER(Upgrades!$Q$10,I314)*POWER(Upgrades!$Q$11,J314)*POWER(Upgrades!$Q$12,K314))*(IF(Upgrades!$T$6="Stellar Coupling",POWER(Upgrades!$U$6,E314),1)*IF(Upgrades!$T$7="Stellar Coupling",POWER(Upgrades!$U$7,F314),1)*IF(Upgrades!$T$9="Stellar Coupling",POWER(Upgrades!$U$9,H314),1)*IF(Upgrades!$T$10="Stellar Coupling",POWER(Upgrades!$U$10,I314),1)*IF(Upgrades!$T$11="Stellar Coupling",POWER(Upgrades!$U$11,J314),1)*IF(Upgrades!$T$12="Stellar Coupling",POWER(Upgrades!$U$12,K314),1))*Parameters!$B$10*Parameters!$B$11/60/AI314,0)</f>
        <v/>
      </c>
      <c r="AV314" s="32">
        <f>IFERROR(Upgrades!$H$9*(POWER(Upgrades!$P$6,E314)*POWER(Upgrades!$P$7,F314)*POWER(Upgrades!$P$8,G314)*POWER(Upgrades!$P$9,H314)*POWER(Upgrades!$P$10,I314)*POWER(Upgrades!$P$11,J314)*POWER(Upgrades!$P$12,K314))*(IF(Upgrades!$T$6="Magnetosphere",POWER(Upgrades!$U$6,E314),1)*IF(Upgrades!$T$7="Magnetosphere",POWER(Upgrades!$U$7,F314),1)*IF(Upgrades!$T$8="Magnetosphere",POWER(Upgrades!$U$8,G314),1)*IF(Upgrades!$T$10="Magnetosphere",POWER(Upgrades!$U$10,I314),1)*IF(Upgrades!$T$11="Magnetosphere",POWER(Upgrades!$U$11,J314),1)*IF(Upgrades!$T$12="Magnetosphere",POWER(Upgrades!$U$12,K314),1))/AJ314,0)</f>
        <v/>
      </c>
      <c r="AW314" s="32">
        <f>MAX(IF(I314&gt;0,0,IFERROR(0.25*N314/Upgrades!$C$10,0)),IF(J314&gt;0,0,IFERROR(0.5*((IF(G314=0,0,(Upgrades!$J$8+G314*Upgrades!$K$8)*POWER(Upgrades!$L$8,G314)))*(IF(Upgrades!$T$6="Stellar Coupling",POWER(Upgrades!$U$6,E314),1)*IF(Upgrades!$T$7="Stellar Coupling",POWER(Upgrades!$U$7,F314),1)*IF(Upgrades!$T$9="Stellar Coupling",POWER(Upgrades!$U$9,H314),1)*IF(Upgrades!$T$10="Stellar Coupling",POWER(Upgrades!$U$10,I314),1)*IF(Upgrades!$T$11="Stellar Coupling",POWER(Upgrades!$U$11,J314),1)*IF(Upgrades!$T$12="Stellar Coupling",POWER(Upgrades!$U$12,K314),1))*(POWER(Upgrades!$Q$6,E314)*POWER(Upgrades!$Q$7,F314)*POWER(Upgrades!$Q$8,G314)*POWER(Upgrades!$Q$9,H314)*POWER(Upgrades!$Q$10,I314)*POWER(Upgrades!$Q$11,J314)*POWER(Upgrades!$Q$12,K314))*Parameters!$B$10*Parameters!$B$11/60)/Upgrades!$C$11,0)),IF(K314&gt;0,0,IFERROR((1.0*(POWER(Upgrades!$P$6,E314)*POWER(Upgrades!$P$7,F314)*POWER(Upgrades!$P$8,G314)*POWER(Upgrades!$P$9,H314)*POWER(Upgrades!$P$10,I314)*POWER(Upgrades!$P$11,J314)*POWER(Upgrades!$P$12,K314))+0.20*M314*Parameters!$B$10*Parameters!$B$11/60)/Upgrades!$C$12,0)),IF(AND(ISNUMBER(AG314),AG314&gt;T314),AS314,0),IF(AND(ISNUMBER(AH314),AH314&gt;T314),AT314,0),IF(AND(ISNUMBER(AI314),AI314&gt;T314),AU314,0),IF(AND(ISNUMBER(AJ314),AJ314&gt;T314),AV314,0))</f>
        <v/>
      </c>
      <c r="AX314" s="29">
        <f>IF(AN314=1,"transition",IF(MIN(IF(AND(I314=0,ISNUMBER(AK314),AK314&lt;=T314),AK314,9E15),IF(AND(J314=0,ISNUMBER(AL314),AL314&lt;=T314),AL314,9E15),IF(AND(K314=0,ISNUMBER(AM314),AM314&lt;=T314),AM314,9E15))&lt;9E15,IF(AND(AND(I314=0,ISNUMBER(AK314),AK314&lt;=T314),AK314=MIN(IF(AND(I314=0,ISNUMBER(AK314),AK314&lt;=T314),AK314,9E15),IF(AND(J314=0,ISNUMBER(AL314),AL314&lt;=T314),AL314,9E15),IF(AND(K314=0,ISNUMBER(AM314),AM314&lt;=T314),AM314,9E15))),"OR",IF(AND(AND(J314=0,ISNUMBER(AL314),AL314&lt;=T314),AL314=MIN(IF(AND(I314=0,ISNUMBER(AK314),AK314&lt;=T314),AK314,9E15),IF(AND(J314=0,ISNUMBER(AL314),AL314&lt;=T314),AL314,9E15),IF(AND(K314=0,ISNUMBER(AM314),AM314&lt;=T314),AM314,9E15))),"HP","FP")),IF(AR314=TRUE,"",IF(MAX(IF(AND(NOT(AND(AO314=1,AN314&lt;&gt;1)),ISNUMBER(AG314),AG314&lt;=T314),AS314,0),IF(AND(NOT(AND(AO314=1,AN314&lt;&gt;1)),ISNUMBER(AH314),AH314&lt;=T314),AT314,0),IF(AND(NOT(AND(AO314=1,AN314&lt;&gt;1)),ISNUMBER(AI314),AI314&lt;=T314),AU314,0),IF(AND(ISNUMBER(AJ314),AJ314&lt;=T314),AV314,0))&lt;=0,"",IF(AND(IF(AND(NOT(AND(AO314=1,AN314&lt;&gt;1)),ISNUMBER(AG314),AG314&lt;=T314),AS314,0)&gt;0,IF(AND(NOT(AND(AO314=1,AN314&lt;&gt;1)),ISNUMBER(AG314),AG314&lt;=T314),AS314,0)=MAX(IF(AND(NOT(AND(AO314=1,AN314&lt;&gt;1)),ISNUMBER(AG314),AG314&lt;=T314),AS314,0),IF(AND(NOT(AND(AO314=1,AN314&lt;&gt;1)),ISNUMBER(AH314),AH314&lt;=T314),AT314,0),IF(AND(NOT(AND(AO314=1,AN314&lt;&gt;1)),ISNUMBER(AI314),AI314&lt;=T314),AU314,0),IF(AND(ISNUMBER(AJ314),AJ314&lt;=T314),AV314,0))),"SW",IF(AND(IF(AND(NOT(AND(AO314=1,AN314&lt;&gt;1)),ISNUMBER(AH314),AH314&lt;=T314),AT314,0)&gt;0,IF(AND(NOT(AND(AO314=1,AN314&lt;&gt;1)),ISNUMBER(AH314),AH314&lt;=T314),AT314,0)=MAX(IF(AND(NOT(AND(AO314=1,AN314&lt;&gt;1)),ISNUMBER(AG314),AG314&lt;=T314),AS314,0),IF(AND(NOT(AND(AO314=1,AN314&lt;&gt;1)),ISNUMBER(AH314),AH314&lt;=T314),AT314,0),IF(AND(NOT(AND(AO314=1,AN314&lt;&gt;1)),ISNUMBER(AI314),AI314&lt;=T314),AU314,0),IF(AND(ISNUMBER(AJ314),AJ314&lt;=T314),AV314,0))),"AB",IF(AND(IF(AND(NOT(AND(AO314=1,AN314&lt;&gt;1)),ISNUMBER(AI314),AI314&lt;=T314),AU314,0)&gt;0,IF(AND(NOT(AND(AO314=1,AN314&lt;&gt;1)),ISNUMBER(AI314),AI314&lt;=T314),AU314,0)=MAX(IF(AND(NOT(AND(AO314=1,AN314&lt;&gt;1)),ISNUMBER(AG314),AG314&lt;=T314),AS314,0),IF(AND(NOT(AND(AO314=1,AN314&lt;&gt;1)),ISNUMBER(AH314),AH314&lt;=T314),AT314,0),IF(AND(NOT(AND(AO314=1,AN314&lt;&gt;1)),ISNUMBER(AI314),AI314&lt;=T314),AU314,0),IF(AND(ISNUMBER(AJ314),AJ314&lt;=T314),AV314,0))),"SC","Mag")))))))</f>
        <v/>
      </c>
    </row>
    <row r="315">
      <c r="A315" s="26" t="n">
        <v>310</v>
      </c>
      <c r="B315" s="27">
        <f>A315*10/60</f>
        <v/>
      </c>
      <c r="C315" s="22">
        <f>X314</f>
        <v/>
      </c>
      <c r="D315" s="27">
        <f>D314+W314</f>
        <v/>
      </c>
      <c r="E315" s="26">
        <f>E314+IF(U314="SW",1,0)</f>
        <v/>
      </c>
      <c r="F315" s="26">
        <f>F314+IF(U314="AB",1,0)</f>
        <v/>
      </c>
      <c r="G315" s="26">
        <f>G314+IF(U314="SC",1,0)</f>
        <v/>
      </c>
      <c r="H315" s="26">
        <f>H314+IF(U314="Mag",1,0)</f>
        <v/>
      </c>
      <c r="I315" s="26">
        <f>MAX(I314,IF(U314="OR",1,0))</f>
        <v/>
      </c>
      <c r="J315" s="26">
        <f>MAX(J314,IF(U314="HP",1,0))</f>
        <v/>
      </c>
      <c r="K315" s="26">
        <f>MAX(K314,IF(U314="FP",1,0))</f>
        <v/>
      </c>
      <c r="L315" s="26">
        <f>MAX(L314,IF(U314="transition",1,0))</f>
        <v/>
      </c>
      <c r="M315" s="28">
        <f>(Parameters!$B$9+(IF(E315=0,0,(Upgrades!$J$6+E315*Upgrades!$K$6)*POWER(Upgrades!$L$6,E315)))*(IF(Upgrades!$T$7="Solar Wind",POWER(Upgrades!$U$7,F315),1)*IF(Upgrades!$T$8="Solar Wind",POWER(Upgrades!$U$8,G315),1)*IF(Upgrades!$T$9="Solar Wind",POWER(Upgrades!$U$9,H315),1)*IF(Upgrades!$T$10="Solar Wind",POWER(Upgrades!$U$10,I315),1)*IF(Upgrades!$T$11="Solar Wind",POWER(Upgrades!$U$11,J315),1)*IF(Upgrades!$T$12="Solar Wind",POWER(Upgrades!$U$12,K315),1))+(IF(F315=0,0,(Upgrades!$J$7+F315*Upgrades!$K$7)*POWER(Upgrades!$L$7,F315)))*(IF(Upgrades!$T$6="Asteroid Belt",POWER(Upgrades!$U$6,E315),1)*IF(Upgrades!$T$8="Asteroid Belt",POWER(Upgrades!$U$8,G315),1)*IF(Upgrades!$T$9="Asteroid Belt",POWER(Upgrades!$U$9,H315),1)*IF(Upgrades!$T$10="Asteroid Belt",POWER(Upgrades!$U$10,I315),1)*IF(Upgrades!$T$11="Asteroid Belt",POWER(Upgrades!$U$11,J315),1)*IF(Upgrades!$T$12="Asteroid Belt",POWER(Upgrades!$U$12,K315),1))+(IF(G315=0,0,(Upgrades!$J$8+G315*Upgrades!$K$8)*POWER(Upgrades!$L$8,G315)))*(IF(Upgrades!$T$6="Stellar Coupling",POWER(Upgrades!$U$6,E315),1)*IF(Upgrades!$T$7="Stellar Coupling",POWER(Upgrades!$U$7,F315),1)*IF(Upgrades!$T$9="Stellar Coupling",POWER(Upgrades!$U$9,H315),1)*IF(Upgrades!$T$10="Stellar Coupling",POWER(Upgrades!$U$10,I315),1)*IF(Upgrades!$T$11="Stellar Coupling",POWER(Upgrades!$U$11,J315),1)*IF(Upgrades!$T$12="Stellar Coupling",POWER(Upgrades!$U$12,K315),1))+(IF(H315=0,0,(Upgrades!$J$9+H315*Upgrades!$K$9)*POWER(Upgrades!$L$9,H315)))*(IF(Upgrades!$T$6="Magnetosphere",POWER(Upgrades!$U$6,E315),1)*IF(Upgrades!$T$7="Magnetosphere",POWER(Upgrades!$U$7,F315),1)*IF(Upgrades!$T$8="Magnetosphere",POWER(Upgrades!$U$8,G315),1)*IF(Upgrades!$T$10="Magnetosphere",POWER(Upgrades!$U$10,I315),1)*IF(Upgrades!$T$11="Magnetosphere",POWER(Upgrades!$U$11,J315),1)*IF(Upgrades!$T$12="Magnetosphere",POWER(Upgrades!$U$12,K315),1))+(IF(I315=0,0,(Upgrades!$J$10+I315*Upgrades!$K$10)*POWER(Upgrades!$L$10,I315)))*(IF(Upgrades!$T$6="Orbital Resonance",POWER(Upgrades!$U$6,E315),1)*IF(Upgrades!$T$7="Orbital Resonance",POWER(Upgrades!$U$7,F315),1)*IF(Upgrades!$T$8="Orbital Resonance",POWER(Upgrades!$U$8,G315),1)*IF(Upgrades!$T$9="Orbital Resonance",POWER(Upgrades!$U$9,H315),1)*IF(Upgrades!$T$11="Orbital Resonance",POWER(Upgrades!$U$11,J315),1)*IF(Upgrades!$T$12="Orbital Resonance",POWER(Upgrades!$U$12,K315),1))+(IF(J315=0,0,(Upgrades!$J$11+J315*Upgrades!$K$11)*POWER(Upgrades!$L$11,J315)))*(IF(Upgrades!$T$6="Heliopause",POWER(Upgrades!$U$6,E315),1)*IF(Upgrades!$T$7="Heliopause",POWER(Upgrades!$U$7,F315),1)*IF(Upgrades!$T$8="Heliopause",POWER(Upgrades!$U$8,G315),1)*IF(Upgrades!$T$9="Heliopause",POWER(Upgrades!$U$9,H315),1)*IF(Upgrades!$T$10="Heliopause",POWER(Upgrades!$U$10,I315),1)*IF(Upgrades!$T$12="Heliopause",POWER(Upgrades!$U$12,K315),1))+(IF(K315=0,0,(Upgrades!$J$12+K315*Upgrades!$K$12)*POWER(Upgrades!$L$12,K315)))*(IF(Upgrades!$T$6="First Photons",POWER(Upgrades!$U$6,E315),1)*IF(Upgrades!$T$7="First Photons",POWER(Upgrades!$U$7,F315),1)*IF(Upgrades!$T$8="First Photons",POWER(Upgrades!$U$8,G315),1)*IF(Upgrades!$T$9="First Photons",POWER(Upgrades!$U$9,H315),1)*IF(Upgrades!$T$10="First Photons",POWER(Upgrades!$U$10,I315),1)*IF(Upgrades!$T$11="First Photons",POWER(Upgrades!$U$11,J315),1)))*POWER(Upgrades!$Q$6,E315)*POWER(Upgrades!$Q$7,F315)*POWER(Upgrades!$Q$8,G315)*POWER(Upgrades!$Q$9,H315)*POWER(Upgrades!$Q$10,I315)*POWER(Upgrades!$Q$11,J315)*POWER(Upgrades!$Q$12,K315)</f>
        <v/>
      </c>
      <c r="N315" s="28">
        <f>((IF(E315=0,0,(Upgrades!$G$6+E315*Upgrades!$H$6)*POWER(Upgrades!$I$6,E315)))*(IF(Upgrades!$T$7="Solar Wind",POWER(Upgrades!$U$7,F315),1)*IF(Upgrades!$T$8="Solar Wind",POWER(Upgrades!$U$8,G315),1)*IF(Upgrades!$T$9="Solar Wind",POWER(Upgrades!$U$9,H315),1)*IF(Upgrades!$T$10="Solar Wind",POWER(Upgrades!$U$10,I315),1)*IF(Upgrades!$T$11="Solar Wind",POWER(Upgrades!$U$11,J315),1)*IF(Upgrades!$T$12="Solar Wind",POWER(Upgrades!$U$12,K315),1))+(IF(F315=0,0,(Upgrades!$G$7+F315*Upgrades!$H$7)*POWER(Upgrades!$I$7,F315)))*(IF(Upgrades!$T$6="Asteroid Belt",POWER(Upgrades!$U$6,E315),1)*IF(Upgrades!$T$8="Asteroid Belt",POWER(Upgrades!$U$8,G315),1)*IF(Upgrades!$T$9="Asteroid Belt",POWER(Upgrades!$U$9,H315),1)*IF(Upgrades!$T$10="Asteroid Belt",POWER(Upgrades!$U$10,I315),1)*IF(Upgrades!$T$11="Asteroid Belt",POWER(Upgrades!$U$11,J315),1)*IF(Upgrades!$T$12="Asteroid Belt",POWER(Upgrades!$U$12,K315),1))+(IF(G315=0,0,(Upgrades!$G$8+G315*Upgrades!$H$8)*POWER(Upgrades!$I$8,G315)))*(IF(Upgrades!$T$6="Stellar Coupling",POWER(Upgrades!$U$6,E315),1)*IF(Upgrades!$T$7="Stellar Coupling",POWER(Upgrades!$U$7,F315),1)*IF(Upgrades!$T$9="Stellar Coupling",POWER(Upgrades!$U$9,H315),1)*IF(Upgrades!$T$10="Stellar Coupling",POWER(Upgrades!$U$10,I315),1)*IF(Upgrades!$T$11="Stellar Coupling",POWER(Upgrades!$U$11,J315),1)*IF(Upgrades!$T$12="Stellar Coupling",POWER(Upgrades!$U$12,K315),1))+(IF(H315=0,0,(Upgrades!$G$9+H315*Upgrades!$H$9)*POWER(Upgrades!$I$9,H315)))*(IF(Upgrades!$T$6="Magnetosphere",POWER(Upgrades!$U$6,E315),1)*IF(Upgrades!$T$7="Magnetosphere",POWER(Upgrades!$U$7,F315),1)*IF(Upgrades!$T$8="Magnetosphere",POWER(Upgrades!$U$8,G315),1)*IF(Upgrades!$T$10="Magnetosphere",POWER(Upgrades!$U$10,I315),1)*IF(Upgrades!$T$11="Magnetosphere",POWER(Upgrades!$U$11,J315),1)*IF(Upgrades!$T$12="Magnetosphere",POWER(Upgrades!$U$12,K315),1))+(IF(I315=0,0,(Upgrades!$G$10+I315*Upgrades!$H$10)*POWER(Upgrades!$I$10,I315)))*(IF(Upgrades!$T$6="Orbital Resonance",POWER(Upgrades!$U$6,E315),1)*IF(Upgrades!$T$7="Orbital Resonance",POWER(Upgrades!$U$7,F315),1)*IF(Upgrades!$T$8="Orbital Resonance",POWER(Upgrades!$U$8,G315),1)*IF(Upgrades!$T$9="Orbital Resonance",POWER(Upgrades!$U$9,H315),1)*IF(Upgrades!$T$11="Orbital Resonance",POWER(Upgrades!$U$11,J315),1)*IF(Upgrades!$T$12="Orbital Resonance",POWER(Upgrades!$U$12,K315),1))+(IF(J315=0,0,(Upgrades!$G$11+J315*Upgrades!$H$11)*POWER(Upgrades!$I$11,J315)))*(IF(Upgrades!$T$6="Heliopause",POWER(Upgrades!$U$6,E315),1)*IF(Upgrades!$T$7="Heliopause",POWER(Upgrades!$U$7,F315),1)*IF(Upgrades!$T$8="Heliopause",POWER(Upgrades!$U$8,G315),1)*IF(Upgrades!$T$9="Heliopause",POWER(Upgrades!$U$9,H315),1)*IF(Upgrades!$T$10="Heliopause",POWER(Upgrades!$U$10,I315),1)*IF(Upgrades!$T$12="Heliopause",POWER(Upgrades!$U$12,K315),1))+(IF(K315=0,0,(Upgrades!$G$12+K315*Upgrades!$H$12)*POWER(Upgrades!$I$12,K315)))*(IF(Upgrades!$T$6="First Photons",POWER(Upgrades!$U$6,E315),1)*IF(Upgrades!$T$7="First Photons",POWER(Upgrades!$U$7,F315),1)*IF(Upgrades!$T$8="First Photons",POWER(Upgrades!$U$8,G315),1)*IF(Upgrades!$T$9="First Photons",POWER(Upgrades!$U$9,H315),1)*IF(Upgrades!$T$10="First Photons",POWER(Upgrades!$U$10,I315),1)*IF(Upgrades!$T$11="First Photons",POWER(Upgrades!$U$11,J315),1)))*POWER(Upgrades!$P$6,E315)*POWER(Upgrades!$P$7,F315)*POWER(Upgrades!$P$8,G315)*POWER(Upgrades!$P$9,H315)*POWER(Upgrades!$P$10,I315)*POWER(Upgrades!$P$11,J315)*POWER(Upgrades!$P$12,K315)</f>
        <v/>
      </c>
      <c r="O315" s="28">
        <f>((IF(E315=0,0,(Upgrades!$M$6+E315*Upgrades!$N$6)*POWER(Upgrades!$O$6,E315)))*(IF(Upgrades!$T$7="Solar Wind",POWER(Upgrades!$U$7,F315),1)*IF(Upgrades!$T$8="Solar Wind",POWER(Upgrades!$U$8,G315),1)*IF(Upgrades!$T$9="Solar Wind",POWER(Upgrades!$U$9,H315),1)*IF(Upgrades!$T$10="Solar Wind",POWER(Upgrades!$U$10,I315),1)*IF(Upgrades!$T$11="Solar Wind",POWER(Upgrades!$U$11,J315),1)*IF(Upgrades!$T$12="Solar Wind",POWER(Upgrades!$U$12,K315),1))+(IF(F315=0,0,(Upgrades!$M$7+F315*Upgrades!$N$7)*POWER(Upgrades!$O$7,F315)))*(IF(Upgrades!$T$6="Asteroid Belt",POWER(Upgrades!$U$6,E315),1)*IF(Upgrades!$T$8="Asteroid Belt",POWER(Upgrades!$U$8,G315),1)*IF(Upgrades!$T$9="Asteroid Belt",POWER(Upgrades!$U$9,H315),1)*IF(Upgrades!$T$10="Asteroid Belt",POWER(Upgrades!$U$10,I315),1)*IF(Upgrades!$T$11="Asteroid Belt",POWER(Upgrades!$U$11,J315),1)*IF(Upgrades!$T$12="Asteroid Belt",POWER(Upgrades!$U$12,K315),1))+(IF(G315=0,0,(Upgrades!$M$8+G315*Upgrades!$N$8)*POWER(Upgrades!$O$8,G315)))*(IF(Upgrades!$T$6="Stellar Coupling",POWER(Upgrades!$U$6,E315),1)*IF(Upgrades!$T$7="Stellar Coupling",POWER(Upgrades!$U$7,F315),1)*IF(Upgrades!$T$9="Stellar Coupling",POWER(Upgrades!$U$9,H315),1)*IF(Upgrades!$T$10="Stellar Coupling",POWER(Upgrades!$U$10,I315),1)*IF(Upgrades!$T$11="Stellar Coupling",POWER(Upgrades!$U$11,J315),1)*IF(Upgrades!$T$12="Stellar Coupling",POWER(Upgrades!$U$12,K315),1))+(IF(H315=0,0,(Upgrades!$M$9+H315*Upgrades!$N$9)*POWER(Upgrades!$O$9,H315)))*(IF(Upgrades!$T$6="Magnetosphere",POWER(Upgrades!$U$6,E315),1)*IF(Upgrades!$T$7="Magnetosphere",POWER(Upgrades!$U$7,F315),1)*IF(Upgrades!$T$8="Magnetosphere",POWER(Upgrades!$U$8,G315),1)*IF(Upgrades!$T$10="Magnetosphere",POWER(Upgrades!$U$10,I315),1)*IF(Upgrades!$T$11="Magnetosphere",POWER(Upgrades!$U$11,J315),1)*IF(Upgrades!$T$12="Magnetosphere",POWER(Upgrades!$U$12,K315),1))+(IF(I315=0,0,(Upgrades!$M$10+I315*Upgrades!$N$10)*POWER(Upgrades!$O$10,I315)))*(IF(Upgrades!$T$6="Orbital Resonance",POWER(Upgrades!$U$6,E315),1)*IF(Upgrades!$T$7="Orbital Resonance",POWER(Upgrades!$U$7,F315),1)*IF(Upgrades!$T$8="Orbital Resonance",POWER(Upgrades!$U$8,G315),1)*IF(Upgrades!$T$9="Orbital Resonance",POWER(Upgrades!$U$9,H315),1)*IF(Upgrades!$T$11="Orbital Resonance",POWER(Upgrades!$U$11,J315),1)*IF(Upgrades!$T$12="Orbital Resonance",POWER(Upgrades!$U$12,K315),1))+(IF(J315=0,0,(Upgrades!$M$11+J315*Upgrades!$N$11)*POWER(Upgrades!$O$11,J315)))*(IF(Upgrades!$T$6="Heliopause",POWER(Upgrades!$U$6,E315),1)*IF(Upgrades!$T$7="Heliopause",POWER(Upgrades!$U$7,F315),1)*IF(Upgrades!$T$8="Heliopause",POWER(Upgrades!$U$8,G315),1)*IF(Upgrades!$T$9="Heliopause",POWER(Upgrades!$U$9,H315),1)*IF(Upgrades!$T$10="Heliopause",POWER(Upgrades!$U$10,I315),1)*IF(Upgrades!$T$12="Heliopause",POWER(Upgrades!$U$12,K315),1))+(IF(K315=0,0,(Upgrades!$M$12+K315*Upgrades!$N$12)*POWER(Upgrades!$O$12,K315)))*(IF(Upgrades!$T$6="First Photons",POWER(Upgrades!$U$6,E315),1)*IF(Upgrades!$T$7="First Photons",POWER(Upgrades!$U$7,F315),1)*IF(Upgrades!$T$8="First Photons",POWER(Upgrades!$U$8,G315),1)*IF(Upgrades!$T$9="First Photons",POWER(Upgrades!$U$9,H315),1)*IF(Upgrades!$T$10="First Photons",POWER(Upgrades!$U$10,I315),1)*IF(Upgrades!$T$11="First Photons",POWER(Upgrades!$U$11,J315),1)))*POWER(Upgrades!$R$6,E315)*POWER(Upgrades!$R$7,F315)*POWER(Upgrades!$R$8,G315)*POWER(Upgrades!$R$9,H315)*POWER(Upgrades!$R$10,I315)*POWER(Upgrades!$R$11,J315)*POWER(Upgrades!$R$12,K315)</f>
        <v/>
      </c>
      <c r="P315" s="27">
        <f>IF(L315=1,0,M315*Parameters!$B$10/60*Parameters!$B$11*10)</f>
        <v/>
      </c>
      <c r="Q315" s="27">
        <f>IF(L315=1,0,O315*M315*10)</f>
        <v/>
      </c>
      <c r="R315" s="27">
        <f>IF(L315=1,0,N315*10)</f>
        <v/>
      </c>
      <c r="S315" s="27">
        <f>P315+Q315+R315</f>
        <v/>
      </c>
      <c r="T315" s="22">
        <f>C315+S315</f>
        <v/>
      </c>
      <c r="U315" s="33">
        <f>AX315</f>
        <v/>
      </c>
      <c r="V315" s="22">
        <f>IF(U315="",0,IF(U315="transition",0,IF(U315="SW",AG315,IF(U315="AB",AH315,IF(U315="SC",AI315,IF(U315="Mag",AJ315,IF(U315="OR",AK315,IF(U315="HP",AL315,IF(U315="FP",AM315,0)))))))))</f>
        <v/>
      </c>
      <c r="W315" s="27">
        <f>IF(U315="OR",Upgrades!$F$10,IF(U315="HP",Upgrades!$F$11,IF(U315="transition",-Parameters!$B$18,0)))</f>
        <v/>
      </c>
      <c r="X315" s="22">
        <f>T315-V315</f>
        <v/>
      </c>
      <c r="Y315" s="30">
        <f>M315*Parameters!$B$10/60*Parameters!$B$11+O315*M315+N315</f>
        <v/>
      </c>
      <c r="Z315" s="34">
        <f>IF(U315="transition","→ Tier 2 (Stellar Neighborhood)",IF(U315="FP","First Photons — light begins, system quickens",IF(U315="HP","Heliopause acquired",IF(U315="OR","Orbital Resonance — passive multiplier active",IF(AND(AO315=1,L315=0,AN315&lt;&gt;1),"Cohesion ready (waiting on completionist upgrades)","")))))</f>
        <v/>
      </c>
      <c r="AA315" s="27">
        <f>(IF(E315=0,0,(Upgrades!$G$6+E315*Upgrades!$H$6)*POWER(Upgrades!$I$6,E315)))*(IF(Upgrades!$T$7="Solar Wind",POWER(Upgrades!$U$7,F315),1)*IF(Upgrades!$T$8="Solar Wind",POWER(Upgrades!$U$8,G315),1)*IF(Upgrades!$T$9="Solar Wind",POWER(Upgrades!$U$9,H315),1)*IF(Upgrades!$T$10="Solar Wind",POWER(Upgrades!$U$10,I315),1)*IF(Upgrades!$T$11="Solar Wind",POWER(Upgrades!$U$11,J315),1)*IF(Upgrades!$T$12="Solar Wind",POWER(Upgrades!$U$12,K315),1))*POWER(Upgrades!$P$6,E315)*POWER(Upgrades!$P$7,F315)*POWER(Upgrades!$P$8,G315)*POWER(Upgrades!$P$9,H315)*POWER(Upgrades!$P$10,I315)*POWER(Upgrades!$P$11,J315)*POWER(Upgrades!$P$12,K315)*60</f>
        <v/>
      </c>
      <c r="AB315" s="27">
        <f>(IF(F315=0,0,(Upgrades!$G$7+F315*Upgrades!$H$7)*POWER(Upgrades!$I$7,F315)))*(IF(Upgrades!$T$6="Asteroid Belt",POWER(Upgrades!$U$6,E315),1)*IF(Upgrades!$T$8="Asteroid Belt",POWER(Upgrades!$U$8,G315),1)*IF(Upgrades!$T$9="Asteroid Belt",POWER(Upgrades!$U$9,H315),1)*IF(Upgrades!$T$10="Asteroid Belt",POWER(Upgrades!$U$10,I315),1)*IF(Upgrades!$T$11="Asteroid Belt",POWER(Upgrades!$U$11,J315),1)*IF(Upgrades!$T$12="Asteroid Belt",POWER(Upgrades!$U$12,K315),1))*POWER(Upgrades!$P$6,E315)*POWER(Upgrades!$P$7,F315)*POWER(Upgrades!$P$8,G315)*POWER(Upgrades!$P$9,H315)*POWER(Upgrades!$P$10,I315)*POWER(Upgrades!$P$11,J315)*POWER(Upgrades!$P$12,K315)*60</f>
        <v/>
      </c>
      <c r="AC315" s="27">
        <f>(IF(G315=0,0,(Upgrades!$J$8+G315*Upgrades!$K$8)*POWER(Upgrades!$L$8,G315)))*(IF(Upgrades!$T$6="Stellar Coupling",POWER(Upgrades!$U$6,E315),1)*IF(Upgrades!$T$7="Stellar Coupling",POWER(Upgrades!$U$7,F315),1)*IF(Upgrades!$T$9="Stellar Coupling",POWER(Upgrades!$U$9,H315),1)*IF(Upgrades!$T$10="Stellar Coupling",POWER(Upgrades!$U$10,I315),1)*IF(Upgrades!$T$11="Stellar Coupling",POWER(Upgrades!$U$11,J315),1)*IF(Upgrades!$T$12="Stellar Coupling",POWER(Upgrades!$U$12,K315),1))*POWER(Upgrades!$Q$6,E315)*POWER(Upgrades!$Q$7,F315)*POWER(Upgrades!$Q$8,G315)*POWER(Upgrades!$Q$9,H315)*POWER(Upgrades!$Q$10,I315)*POWER(Upgrades!$Q$11,J315)*POWER(Upgrades!$Q$12,K315)*Parameters!$B$10*Parameters!$B$11</f>
        <v/>
      </c>
      <c r="AD315" s="27">
        <f>(IF(H315=0,0,(Upgrades!$G$9+H315*Upgrades!$H$9)*POWER(Upgrades!$I$9,H315)))*(IF(Upgrades!$T$6="Magnetosphere",POWER(Upgrades!$U$6,E315),1)*IF(Upgrades!$T$7="Magnetosphere",POWER(Upgrades!$U$7,F315),1)*IF(Upgrades!$T$8="Magnetosphere",POWER(Upgrades!$U$8,G315),1)*IF(Upgrades!$T$10="Magnetosphere",POWER(Upgrades!$U$10,I315),1)*IF(Upgrades!$T$11="Magnetosphere",POWER(Upgrades!$U$11,J315),1)*IF(Upgrades!$T$12="Magnetosphere",POWER(Upgrades!$U$12,K315),1))*POWER(Upgrades!$P$6,E315)*POWER(Upgrades!$P$7,F315)*POWER(Upgrades!$P$8,G315)*POWER(Upgrades!$P$9,H315)*POWER(Upgrades!$P$10,I315)*POWER(Upgrades!$P$11,J315)*POWER(Upgrades!$P$12,K315)*60</f>
        <v/>
      </c>
      <c r="AE315" s="27">
        <f>(IF(K315=0,0,(Upgrades!$G$12+K315*Upgrades!$H$12)*POWER(Upgrades!$I$12,K315)))*(IF(Upgrades!$T$6="First Photons",POWER(Upgrades!$U$6,E315),1)*IF(Upgrades!$T$7="First Photons",POWER(Upgrades!$U$7,F315),1)*IF(Upgrades!$T$8="First Photons",POWER(Upgrades!$U$8,G315),1)*IF(Upgrades!$T$9="First Photons",POWER(Upgrades!$U$9,H315),1)*IF(Upgrades!$T$10="First Photons",POWER(Upgrades!$U$10,I315),1)*IF(Upgrades!$T$11="First Photons",POWER(Upgrades!$U$11,J315),1))*POWER(Upgrades!$P$6,E315)*POWER(Upgrades!$P$7,F315)*POWER(Upgrades!$P$8,G315)*POWER(Upgrades!$P$9,H315)*POWER(Upgrades!$P$10,I315)*POWER(Upgrades!$P$11,J315)*POWER(Upgrades!$P$12,K315)*60</f>
        <v/>
      </c>
      <c r="AF315" s="27">
        <f>Parameters!$B$9*POWER(Upgrades!$Q$6,E315)*POWER(Upgrades!$Q$7,F315)*POWER(Upgrades!$Q$8,G315)*POWER(Upgrades!$Q$9,H315)*POWER(Upgrades!$Q$10,I315)*POWER(Upgrades!$Q$11,J315)*POWER(Upgrades!$Q$12,K315)*(Parameters!$B$10*Parameters!$B$11+O315*60)</f>
        <v/>
      </c>
      <c r="AG315" s="22">
        <f>IF(E315&gt;=Upgrades!$E$6,"",Upgrades!$C$6*POWER(Upgrades!$D$6,E315))</f>
        <v/>
      </c>
      <c r="AH315" s="22">
        <f>IF(F315&gt;=Upgrades!$E$7,"",Upgrades!$C$7*POWER(Upgrades!$D$7,F315))</f>
        <v/>
      </c>
      <c r="AI315" s="22">
        <f>IF(G315&gt;=Upgrades!$E$8,"",Upgrades!$C$8*POWER(Upgrades!$D$8,G315))</f>
        <v/>
      </c>
      <c r="AJ315" s="22">
        <f>IF(H315&gt;=Upgrades!$E$9,"",Upgrades!$C$9*POWER(Upgrades!$D$9,H315))</f>
        <v/>
      </c>
      <c r="AK315" s="22">
        <f>IF(I315&gt;=Upgrades!$E$10,"",Upgrades!$C$10*POWER(Upgrades!$D$10,I315))</f>
        <v/>
      </c>
      <c r="AL315" s="22">
        <f>IF(J315&gt;=Upgrades!$E$11,"",Upgrades!$C$11*POWER(Upgrades!$D$11,J315))</f>
        <v/>
      </c>
      <c r="AM315" s="22">
        <f>IF(K315&gt;=Upgrades!$E$12,"",Upgrades!$C$12*POWER(Upgrades!$D$12,K315))</f>
        <v/>
      </c>
      <c r="AN315" s="26">
        <f>IF(AND(D315&gt;=Parameters!$B$18,(H315&gt;=Upgrades!$E$9)*(K315&gt;=Upgrades!$E$12)=1,L315=0),1,"")</f>
        <v/>
      </c>
      <c r="AO315" s="26">
        <f>IF(AND(D315&gt;=Parameters!$B$18,L315=0),1,"")</f>
        <v/>
      </c>
      <c r="AP315" s="22">
        <f>MIN(IF(ISNUMBER(AK315),AK315,9E15),IF(ISNUMBER(AL315),AL315,9E15),IF(ISNUMBER(AM315),AM315,9E15))</f>
        <v/>
      </c>
      <c r="AQ315" s="22">
        <f>MIN(IF(ISNUMBER(AG315),AG315,9E15),IF(ISNUMBER(AH315),AH315,9E15),IF(ISNUMBER(AI315),AI315,9E15),IF(ISNUMBER(AJ315),AJ315,9E15))</f>
        <v/>
      </c>
      <c r="AR315" s="29">
        <f>IF(AW315&gt;Parameters!$B$21*(MAX(IF(AND(NOT(AND(AO315=1,AN315&lt;&gt;1)),ISNUMBER(AG315),AG315&lt;=T315),AS315,0),IF(AND(NOT(AND(AO315=1,AN315&lt;&gt;1)),ISNUMBER(AH315),AH315&lt;=T315),AT315,0),IF(AND(NOT(AND(AO315=1,AN315&lt;&gt;1)),ISNUMBER(AI315),AI315&lt;=T315),AU315,0),IF(AND(ISNUMBER(AJ315),AJ315&lt;=T315),AV315,0))),TRUE,FALSE)</f>
        <v/>
      </c>
      <c r="AS315" s="32">
        <f>IFERROR(Upgrades!$H$6*(POWER(Upgrades!$P$6,E315)*POWER(Upgrades!$P$7,F315)*POWER(Upgrades!$P$8,G315)*POWER(Upgrades!$P$9,H315)*POWER(Upgrades!$P$10,I315)*POWER(Upgrades!$P$11,J315)*POWER(Upgrades!$P$12,K315))*(IF(Upgrades!$T$7="Solar Wind",POWER(Upgrades!$U$7,F315),1)*IF(Upgrades!$T$8="Solar Wind",POWER(Upgrades!$U$8,G315),1)*IF(Upgrades!$T$9="Solar Wind",POWER(Upgrades!$U$9,H315),1)*IF(Upgrades!$T$10="Solar Wind",POWER(Upgrades!$U$10,I315),1)*IF(Upgrades!$T$11="Solar Wind",POWER(Upgrades!$U$11,J315),1)*IF(Upgrades!$T$12="Solar Wind",POWER(Upgrades!$U$12,K315),1))/AG315,0)</f>
        <v/>
      </c>
      <c r="AT315" s="32">
        <f>IFERROR(Upgrades!$H$7*(POWER(Upgrades!$P$6,E315)*POWER(Upgrades!$P$7,F315)*POWER(Upgrades!$P$8,G315)*POWER(Upgrades!$P$9,H315)*POWER(Upgrades!$P$10,I315)*POWER(Upgrades!$P$11,J315)*POWER(Upgrades!$P$12,K315))*(IF(Upgrades!$T$6="Asteroid Belt",POWER(Upgrades!$U$6,E315),1)*IF(Upgrades!$T$8="Asteroid Belt",POWER(Upgrades!$U$8,G315),1)*IF(Upgrades!$T$9="Asteroid Belt",POWER(Upgrades!$U$9,H315),1)*IF(Upgrades!$T$10="Asteroid Belt",POWER(Upgrades!$U$10,I315),1)*IF(Upgrades!$T$11="Asteroid Belt",POWER(Upgrades!$U$11,J315),1)*IF(Upgrades!$T$12="Asteroid Belt",POWER(Upgrades!$U$12,K315),1))/AH315,0)</f>
        <v/>
      </c>
      <c r="AU315" s="32">
        <f>IFERROR(Upgrades!$K$8*(POWER(Upgrades!$Q$6,E315)*POWER(Upgrades!$Q$7,F315)*POWER(Upgrades!$Q$8,G315)*POWER(Upgrades!$Q$9,H315)*POWER(Upgrades!$Q$10,I315)*POWER(Upgrades!$Q$11,J315)*POWER(Upgrades!$Q$12,K315))*(IF(Upgrades!$T$6="Stellar Coupling",POWER(Upgrades!$U$6,E315),1)*IF(Upgrades!$T$7="Stellar Coupling",POWER(Upgrades!$U$7,F315),1)*IF(Upgrades!$T$9="Stellar Coupling",POWER(Upgrades!$U$9,H315),1)*IF(Upgrades!$T$10="Stellar Coupling",POWER(Upgrades!$U$10,I315),1)*IF(Upgrades!$T$11="Stellar Coupling",POWER(Upgrades!$U$11,J315),1)*IF(Upgrades!$T$12="Stellar Coupling",POWER(Upgrades!$U$12,K315),1))*Parameters!$B$10*Parameters!$B$11/60/AI315,0)</f>
        <v/>
      </c>
      <c r="AV315" s="32">
        <f>IFERROR(Upgrades!$H$9*(POWER(Upgrades!$P$6,E315)*POWER(Upgrades!$P$7,F315)*POWER(Upgrades!$P$8,G315)*POWER(Upgrades!$P$9,H315)*POWER(Upgrades!$P$10,I315)*POWER(Upgrades!$P$11,J315)*POWER(Upgrades!$P$12,K315))*(IF(Upgrades!$T$6="Magnetosphere",POWER(Upgrades!$U$6,E315),1)*IF(Upgrades!$T$7="Magnetosphere",POWER(Upgrades!$U$7,F315),1)*IF(Upgrades!$T$8="Magnetosphere",POWER(Upgrades!$U$8,G315),1)*IF(Upgrades!$T$10="Magnetosphere",POWER(Upgrades!$U$10,I315),1)*IF(Upgrades!$T$11="Magnetosphere",POWER(Upgrades!$U$11,J315),1)*IF(Upgrades!$T$12="Magnetosphere",POWER(Upgrades!$U$12,K315),1))/AJ315,0)</f>
        <v/>
      </c>
      <c r="AW315" s="32">
        <f>MAX(IF(I315&gt;0,0,IFERROR(0.25*N315/Upgrades!$C$10,0)),IF(J315&gt;0,0,IFERROR(0.5*((IF(G315=0,0,(Upgrades!$J$8+G315*Upgrades!$K$8)*POWER(Upgrades!$L$8,G315)))*(IF(Upgrades!$T$6="Stellar Coupling",POWER(Upgrades!$U$6,E315),1)*IF(Upgrades!$T$7="Stellar Coupling",POWER(Upgrades!$U$7,F315),1)*IF(Upgrades!$T$9="Stellar Coupling",POWER(Upgrades!$U$9,H315),1)*IF(Upgrades!$T$10="Stellar Coupling",POWER(Upgrades!$U$10,I315),1)*IF(Upgrades!$T$11="Stellar Coupling",POWER(Upgrades!$U$11,J315),1)*IF(Upgrades!$T$12="Stellar Coupling",POWER(Upgrades!$U$12,K315),1))*(POWER(Upgrades!$Q$6,E315)*POWER(Upgrades!$Q$7,F315)*POWER(Upgrades!$Q$8,G315)*POWER(Upgrades!$Q$9,H315)*POWER(Upgrades!$Q$10,I315)*POWER(Upgrades!$Q$11,J315)*POWER(Upgrades!$Q$12,K315))*Parameters!$B$10*Parameters!$B$11/60)/Upgrades!$C$11,0)),IF(K315&gt;0,0,IFERROR((1.0*(POWER(Upgrades!$P$6,E315)*POWER(Upgrades!$P$7,F315)*POWER(Upgrades!$P$8,G315)*POWER(Upgrades!$P$9,H315)*POWER(Upgrades!$P$10,I315)*POWER(Upgrades!$P$11,J315)*POWER(Upgrades!$P$12,K315))+0.20*M315*Parameters!$B$10*Parameters!$B$11/60)/Upgrades!$C$12,0)),IF(AND(ISNUMBER(AG315),AG315&gt;T315),AS315,0),IF(AND(ISNUMBER(AH315),AH315&gt;T315),AT315,0),IF(AND(ISNUMBER(AI315),AI315&gt;T315),AU315,0),IF(AND(ISNUMBER(AJ315),AJ315&gt;T315),AV315,0))</f>
        <v/>
      </c>
      <c r="AX315" s="29">
        <f>IF(AN315=1,"transition",IF(MIN(IF(AND(I315=0,ISNUMBER(AK315),AK315&lt;=T315),AK315,9E15),IF(AND(J315=0,ISNUMBER(AL315),AL315&lt;=T315),AL315,9E15),IF(AND(K315=0,ISNUMBER(AM315),AM315&lt;=T315),AM315,9E15))&lt;9E15,IF(AND(AND(I315=0,ISNUMBER(AK315),AK315&lt;=T315),AK315=MIN(IF(AND(I315=0,ISNUMBER(AK315),AK315&lt;=T315),AK315,9E15),IF(AND(J315=0,ISNUMBER(AL315),AL315&lt;=T315),AL315,9E15),IF(AND(K315=0,ISNUMBER(AM315),AM315&lt;=T315),AM315,9E15))),"OR",IF(AND(AND(J315=0,ISNUMBER(AL315),AL315&lt;=T315),AL315=MIN(IF(AND(I315=0,ISNUMBER(AK315),AK315&lt;=T315),AK315,9E15),IF(AND(J315=0,ISNUMBER(AL315),AL315&lt;=T315),AL315,9E15),IF(AND(K315=0,ISNUMBER(AM315),AM315&lt;=T315),AM315,9E15))),"HP","FP")),IF(AR315=TRUE,"",IF(MAX(IF(AND(NOT(AND(AO315=1,AN315&lt;&gt;1)),ISNUMBER(AG315),AG315&lt;=T315),AS315,0),IF(AND(NOT(AND(AO315=1,AN315&lt;&gt;1)),ISNUMBER(AH315),AH315&lt;=T315),AT315,0),IF(AND(NOT(AND(AO315=1,AN315&lt;&gt;1)),ISNUMBER(AI315),AI315&lt;=T315),AU315,0),IF(AND(ISNUMBER(AJ315),AJ315&lt;=T315),AV315,0))&lt;=0,"",IF(AND(IF(AND(NOT(AND(AO315=1,AN315&lt;&gt;1)),ISNUMBER(AG315),AG315&lt;=T315),AS315,0)&gt;0,IF(AND(NOT(AND(AO315=1,AN315&lt;&gt;1)),ISNUMBER(AG315),AG315&lt;=T315),AS315,0)=MAX(IF(AND(NOT(AND(AO315=1,AN315&lt;&gt;1)),ISNUMBER(AG315),AG315&lt;=T315),AS315,0),IF(AND(NOT(AND(AO315=1,AN315&lt;&gt;1)),ISNUMBER(AH315),AH315&lt;=T315),AT315,0),IF(AND(NOT(AND(AO315=1,AN315&lt;&gt;1)),ISNUMBER(AI315),AI315&lt;=T315),AU315,0),IF(AND(ISNUMBER(AJ315),AJ315&lt;=T315),AV315,0))),"SW",IF(AND(IF(AND(NOT(AND(AO315=1,AN315&lt;&gt;1)),ISNUMBER(AH315),AH315&lt;=T315),AT315,0)&gt;0,IF(AND(NOT(AND(AO315=1,AN315&lt;&gt;1)),ISNUMBER(AH315),AH315&lt;=T315),AT315,0)=MAX(IF(AND(NOT(AND(AO315=1,AN315&lt;&gt;1)),ISNUMBER(AG315),AG315&lt;=T315),AS315,0),IF(AND(NOT(AND(AO315=1,AN315&lt;&gt;1)),ISNUMBER(AH315),AH315&lt;=T315),AT315,0),IF(AND(NOT(AND(AO315=1,AN315&lt;&gt;1)),ISNUMBER(AI315),AI315&lt;=T315),AU315,0),IF(AND(ISNUMBER(AJ315),AJ315&lt;=T315),AV315,0))),"AB",IF(AND(IF(AND(NOT(AND(AO315=1,AN315&lt;&gt;1)),ISNUMBER(AI315),AI315&lt;=T315),AU315,0)&gt;0,IF(AND(NOT(AND(AO315=1,AN315&lt;&gt;1)),ISNUMBER(AI315),AI315&lt;=T315),AU315,0)=MAX(IF(AND(NOT(AND(AO315=1,AN315&lt;&gt;1)),ISNUMBER(AG315),AG315&lt;=T315),AS315,0),IF(AND(NOT(AND(AO315=1,AN315&lt;&gt;1)),ISNUMBER(AH315),AH315&lt;=T315),AT315,0),IF(AND(NOT(AND(AO315=1,AN315&lt;&gt;1)),ISNUMBER(AI315),AI315&lt;=T315),AU315,0),IF(AND(ISNUMBER(AJ315),AJ315&lt;=T315),AV315,0))),"SC","Mag")))))))</f>
        <v/>
      </c>
    </row>
    <row r="316">
      <c r="A316" s="26" t="n">
        <v>311</v>
      </c>
      <c r="B316" s="27">
        <f>A316*10/60</f>
        <v/>
      </c>
      <c r="C316" s="22">
        <f>X315</f>
        <v/>
      </c>
      <c r="D316" s="27">
        <f>D315+W315</f>
        <v/>
      </c>
      <c r="E316" s="26">
        <f>E315+IF(U315="SW",1,0)</f>
        <v/>
      </c>
      <c r="F316" s="26">
        <f>F315+IF(U315="AB",1,0)</f>
        <v/>
      </c>
      <c r="G316" s="26">
        <f>G315+IF(U315="SC",1,0)</f>
        <v/>
      </c>
      <c r="H316" s="26">
        <f>H315+IF(U315="Mag",1,0)</f>
        <v/>
      </c>
      <c r="I316" s="26">
        <f>MAX(I315,IF(U315="OR",1,0))</f>
        <v/>
      </c>
      <c r="J316" s="26">
        <f>MAX(J315,IF(U315="HP",1,0))</f>
        <v/>
      </c>
      <c r="K316" s="26">
        <f>MAX(K315,IF(U315="FP",1,0))</f>
        <v/>
      </c>
      <c r="L316" s="26">
        <f>MAX(L315,IF(U315="transition",1,0))</f>
        <v/>
      </c>
      <c r="M316" s="28">
        <f>(Parameters!$B$9+(IF(E316=0,0,(Upgrades!$J$6+E316*Upgrades!$K$6)*POWER(Upgrades!$L$6,E316)))*(IF(Upgrades!$T$7="Solar Wind",POWER(Upgrades!$U$7,F316),1)*IF(Upgrades!$T$8="Solar Wind",POWER(Upgrades!$U$8,G316),1)*IF(Upgrades!$T$9="Solar Wind",POWER(Upgrades!$U$9,H316),1)*IF(Upgrades!$T$10="Solar Wind",POWER(Upgrades!$U$10,I316),1)*IF(Upgrades!$T$11="Solar Wind",POWER(Upgrades!$U$11,J316),1)*IF(Upgrades!$T$12="Solar Wind",POWER(Upgrades!$U$12,K316),1))+(IF(F316=0,0,(Upgrades!$J$7+F316*Upgrades!$K$7)*POWER(Upgrades!$L$7,F316)))*(IF(Upgrades!$T$6="Asteroid Belt",POWER(Upgrades!$U$6,E316),1)*IF(Upgrades!$T$8="Asteroid Belt",POWER(Upgrades!$U$8,G316),1)*IF(Upgrades!$T$9="Asteroid Belt",POWER(Upgrades!$U$9,H316),1)*IF(Upgrades!$T$10="Asteroid Belt",POWER(Upgrades!$U$10,I316),1)*IF(Upgrades!$T$11="Asteroid Belt",POWER(Upgrades!$U$11,J316),1)*IF(Upgrades!$T$12="Asteroid Belt",POWER(Upgrades!$U$12,K316),1))+(IF(G316=0,0,(Upgrades!$J$8+G316*Upgrades!$K$8)*POWER(Upgrades!$L$8,G316)))*(IF(Upgrades!$T$6="Stellar Coupling",POWER(Upgrades!$U$6,E316),1)*IF(Upgrades!$T$7="Stellar Coupling",POWER(Upgrades!$U$7,F316),1)*IF(Upgrades!$T$9="Stellar Coupling",POWER(Upgrades!$U$9,H316),1)*IF(Upgrades!$T$10="Stellar Coupling",POWER(Upgrades!$U$10,I316),1)*IF(Upgrades!$T$11="Stellar Coupling",POWER(Upgrades!$U$11,J316),1)*IF(Upgrades!$T$12="Stellar Coupling",POWER(Upgrades!$U$12,K316),1))+(IF(H316=0,0,(Upgrades!$J$9+H316*Upgrades!$K$9)*POWER(Upgrades!$L$9,H316)))*(IF(Upgrades!$T$6="Magnetosphere",POWER(Upgrades!$U$6,E316),1)*IF(Upgrades!$T$7="Magnetosphere",POWER(Upgrades!$U$7,F316),1)*IF(Upgrades!$T$8="Magnetosphere",POWER(Upgrades!$U$8,G316),1)*IF(Upgrades!$T$10="Magnetosphere",POWER(Upgrades!$U$10,I316),1)*IF(Upgrades!$T$11="Magnetosphere",POWER(Upgrades!$U$11,J316),1)*IF(Upgrades!$T$12="Magnetosphere",POWER(Upgrades!$U$12,K316),1))+(IF(I316=0,0,(Upgrades!$J$10+I316*Upgrades!$K$10)*POWER(Upgrades!$L$10,I316)))*(IF(Upgrades!$T$6="Orbital Resonance",POWER(Upgrades!$U$6,E316),1)*IF(Upgrades!$T$7="Orbital Resonance",POWER(Upgrades!$U$7,F316),1)*IF(Upgrades!$T$8="Orbital Resonance",POWER(Upgrades!$U$8,G316),1)*IF(Upgrades!$T$9="Orbital Resonance",POWER(Upgrades!$U$9,H316),1)*IF(Upgrades!$T$11="Orbital Resonance",POWER(Upgrades!$U$11,J316),1)*IF(Upgrades!$T$12="Orbital Resonance",POWER(Upgrades!$U$12,K316),1))+(IF(J316=0,0,(Upgrades!$J$11+J316*Upgrades!$K$11)*POWER(Upgrades!$L$11,J316)))*(IF(Upgrades!$T$6="Heliopause",POWER(Upgrades!$U$6,E316),1)*IF(Upgrades!$T$7="Heliopause",POWER(Upgrades!$U$7,F316),1)*IF(Upgrades!$T$8="Heliopause",POWER(Upgrades!$U$8,G316),1)*IF(Upgrades!$T$9="Heliopause",POWER(Upgrades!$U$9,H316),1)*IF(Upgrades!$T$10="Heliopause",POWER(Upgrades!$U$10,I316),1)*IF(Upgrades!$T$12="Heliopause",POWER(Upgrades!$U$12,K316),1))+(IF(K316=0,0,(Upgrades!$J$12+K316*Upgrades!$K$12)*POWER(Upgrades!$L$12,K316)))*(IF(Upgrades!$T$6="First Photons",POWER(Upgrades!$U$6,E316),1)*IF(Upgrades!$T$7="First Photons",POWER(Upgrades!$U$7,F316),1)*IF(Upgrades!$T$8="First Photons",POWER(Upgrades!$U$8,G316),1)*IF(Upgrades!$T$9="First Photons",POWER(Upgrades!$U$9,H316),1)*IF(Upgrades!$T$10="First Photons",POWER(Upgrades!$U$10,I316),1)*IF(Upgrades!$T$11="First Photons",POWER(Upgrades!$U$11,J316),1)))*POWER(Upgrades!$Q$6,E316)*POWER(Upgrades!$Q$7,F316)*POWER(Upgrades!$Q$8,G316)*POWER(Upgrades!$Q$9,H316)*POWER(Upgrades!$Q$10,I316)*POWER(Upgrades!$Q$11,J316)*POWER(Upgrades!$Q$12,K316)</f>
        <v/>
      </c>
      <c r="N316" s="28">
        <f>((IF(E316=0,0,(Upgrades!$G$6+E316*Upgrades!$H$6)*POWER(Upgrades!$I$6,E316)))*(IF(Upgrades!$T$7="Solar Wind",POWER(Upgrades!$U$7,F316),1)*IF(Upgrades!$T$8="Solar Wind",POWER(Upgrades!$U$8,G316),1)*IF(Upgrades!$T$9="Solar Wind",POWER(Upgrades!$U$9,H316),1)*IF(Upgrades!$T$10="Solar Wind",POWER(Upgrades!$U$10,I316),1)*IF(Upgrades!$T$11="Solar Wind",POWER(Upgrades!$U$11,J316),1)*IF(Upgrades!$T$12="Solar Wind",POWER(Upgrades!$U$12,K316),1))+(IF(F316=0,0,(Upgrades!$G$7+F316*Upgrades!$H$7)*POWER(Upgrades!$I$7,F316)))*(IF(Upgrades!$T$6="Asteroid Belt",POWER(Upgrades!$U$6,E316),1)*IF(Upgrades!$T$8="Asteroid Belt",POWER(Upgrades!$U$8,G316),1)*IF(Upgrades!$T$9="Asteroid Belt",POWER(Upgrades!$U$9,H316),1)*IF(Upgrades!$T$10="Asteroid Belt",POWER(Upgrades!$U$10,I316),1)*IF(Upgrades!$T$11="Asteroid Belt",POWER(Upgrades!$U$11,J316),1)*IF(Upgrades!$T$12="Asteroid Belt",POWER(Upgrades!$U$12,K316),1))+(IF(G316=0,0,(Upgrades!$G$8+G316*Upgrades!$H$8)*POWER(Upgrades!$I$8,G316)))*(IF(Upgrades!$T$6="Stellar Coupling",POWER(Upgrades!$U$6,E316),1)*IF(Upgrades!$T$7="Stellar Coupling",POWER(Upgrades!$U$7,F316),1)*IF(Upgrades!$T$9="Stellar Coupling",POWER(Upgrades!$U$9,H316),1)*IF(Upgrades!$T$10="Stellar Coupling",POWER(Upgrades!$U$10,I316),1)*IF(Upgrades!$T$11="Stellar Coupling",POWER(Upgrades!$U$11,J316),1)*IF(Upgrades!$T$12="Stellar Coupling",POWER(Upgrades!$U$12,K316),1))+(IF(H316=0,0,(Upgrades!$G$9+H316*Upgrades!$H$9)*POWER(Upgrades!$I$9,H316)))*(IF(Upgrades!$T$6="Magnetosphere",POWER(Upgrades!$U$6,E316),1)*IF(Upgrades!$T$7="Magnetosphere",POWER(Upgrades!$U$7,F316),1)*IF(Upgrades!$T$8="Magnetosphere",POWER(Upgrades!$U$8,G316),1)*IF(Upgrades!$T$10="Magnetosphere",POWER(Upgrades!$U$10,I316),1)*IF(Upgrades!$T$11="Magnetosphere",POWER(Upgrades!$U$11,J316),1)*IF(Upgrades!$T$12="Magnetosphere",POWER(Upgrades!$U$12,K316),1))+(IF(I316=0,0,(Upgrades!$G$10+I316*Upgrades!$H$10)*POWER(Upgrades!$I$10,I316)))*(IF(Upgrades!$T$6="Orbital Resonance",POWER(Upgrades!$U$6,E316),1)*IF(Upgrades!$T$7="Orbital Resonance",POWER(Upgrades!$U$7,F316),1)*IF(Upgrades!$T$8="Orbital Resonance",POWER(Upgrades!$U$8,G316),1)*IF(Upgrades!$T$9="Orbital Resonance",POWER(Upgrades!$U$9,H316),1)*IF(Upgrades!$T$11="Orbital Resonance",POWER(Upgrades!$U$11,J316),1)*IF(Upgrades!$T$12="Orbital Resonance",POWER(Upgrades!$U$12,K316),1))+(IF(J316=0,0,(Upgrades!$G$11+J316*Upgrades!$H$11)*POWER(Upgrades!$I$11,J316)))*(IF(Upgrades!$T$6="Heliopause",POWER(Upgrades!$U$6,E316),1)*IF(Upgrades!$T$7="Heliopause",POWER(Upgrades!$U$7,F316),1)*IF(Upgrades!$T$8="Heliopause",POWER(Upgrades!$U$8,G316),1)*IF(Upgrades!$T$9="Heliopause",POWER(Upgrades!$U$9,H316),1)*IF(Upgrades!$T$10="Heliopause",POWER(Upgrades!$U$10,I316),1)*IF(Upgrades!$T$12="Heliopause",POWER(Upgrades!$U$12,K316),1))+(IF(K316=0,0,(Upgrades!$G$12+K316*Upgrades!$H$12)*POWER(Upgrades!$I$12,K316)))*(IF(Upgrades!$T$6="First Photons",POWER(Upgrades!$U$6,E316),1)*IF(Upgrades!$T$7="First Photons",POWER(Upgrades!$U$7,F316),1)*IF(Upgrades!$T$8="First Photons",POWER(Upgrades!$U$8,G316),1)*IF(Upgrades!$T$9="First Photons",POWER(Upgrades!$U$9,H316),1)*IF(Upgrades!$T$10="First Photons",POWER(Upgrades!$U$10,I316),1)*IF(Upgrades!$T$11="First Photons",POWER(Upgrades!$U$11,J316),1)))*POWER(Upgrades!$P$6,E316)*POWER(Upgrades!$P$7,F316)*POWER(Upgrades!$P$8,G316)*POWER(Upgrades!$P$9,H316)*POWER(Upgrades!$P$10,I316)*POWER(Upgrades!$P$11,J316)*POWER(Upgrades!$P$12,K316)</f>
        <v/>
      </c>
      <c r="O316" s="28">
        <f>((IF(E316=0,0,(Upgrades!$M$6+E316*Upgrades!$N$6)*POWER(Upgrades!$O$6,E316)))*(IF(Upgrades!$T$7="Solar Wind",POWER(Upgrades!$U$7,F316),1)*IF(Upgrades!$T$8="Solar Wind",POWER(Upgrades!$U$8,G316),1)*IF(Upgrades!$T$9="Solar Wind",POWER(Upgrades!$U$9,H316),1)*IF(Upgrades!$T$10="Solar Wind",POWER(Upgrades!$U$10,I316),1)*IF(Upgrades!$T$11="Solar Wind",POWER(Upgrades!$U$11,J316),1)*IF(Upgrades!$T$12="Solar Wind",POWER(Upgrades!$U$12,K316),1))+(IF(F316=0,0,(Upgrades!$M$7+F316*Upgrades!$N$7)*POWER(Upgrades!$O$7,F316)))*(IF(Upgrades!$T$6="Asteroid Belt",POWER(Upgrades!$U$6,E316),1)*IF(Upgrades!$T$8="Asteroid Belt",POWER(Upgrades!$U$8,G316),1)*IF(Upgrades!$T$9="Asteroid Belt",POWER(Upgrades!$U$9,H316),1)*IF(Upgrades!$T$10="Asteroid Belt",POWER(Upgrades!$U$10,I316),1)*IF(Upgrades!$T$11="Asteroid Belt",POWER(Upgrades!$U$11,J316),1)*IF(Upgrades!$T$12="Asteroid Belt",POWER(Upgrades!$U$12,K316),1))+(IF(G316=0,0,(Upgrades!$M$8+G316*Upgrades!$N$8)*POWER(Upgrades!$O$8,G316)))*(IF(Upgrades!$T$6="Stellar Coupling",POWER(Upgrades!$U$6,E316),1)*IF(Upgrades!$T$7="Stellar Coupling",POWER(Upgrades!$U$7,F316),1)*IF(Upgrades!$T$9="Stellar Coupling",POWER(Upgrades!$U$9,H316),1)*IF(Upgrades!$T$10="Stellar Coupling",POWER(Upgrades!$U$10,I316),1)*IF(Upgrades!$T$11="Stellar Coupling",POWER(Upgrades!$U$11,J316),1)*IF(Upgrades!$T$12="Stellar Coupling",POWER(Upgrades!$U$12,K316),1))+(IF(H316=0,0,(Upgrades!$M$9+H316*Upgrades!$N$9)*POWER(Upgrades!$O$9,H316)))*(IF(Upgrades!$T$6="Magnetosphere",POWER(Upgrades!$U$6,E316),1)*IF(Upgrades!$T$7="Magnetosphere",POWER(Upgrades!$U$7,F316),1)*IF(Upgrades!$T$8="Magnetosphere",POWER(Upgrades!$U$8,G316),1)*IF(Upgrades!$T$10="Magnetosphere",POWER(Upgrades!$U$10,I316),1)*IF(Upgrades!$T$11="Magnetosphere",POWER(Upgrades!$U$11,J316),1)*IF(Upgrades!$T$12="Magnetosphere",POWER(Upgrades!$U$12,K316),1))+(IF(I316=0,0,(Upgrades!$M$10+I316*Upgrades!$N$10)*POWER(Upgrades!$O$10,I316)))*(IF(Upgrades!$T$6="Orbital Resonance",POWER(Upgrades!$U$6,E316),1)*IF(Upgrades!$T$7="Orbital Resonance",POWER(Upgrades!$U$7,F316),1)*IF(Upgrades!$T$8="Orbital Resonance",POWER(Upgrades!$U$8,G316),1)*IF(Upgrades!$T$9="Orbital Resonance",POWER(Upgrades!$U$9,H316),1)*IF(Upgrades!$T$11="Orbital Resonance",POWER(Upgrades!$U$11,J316),1)*IF(Upgrades!$T$12="Orbital Resonance",POWER(Upgrades!$U$12,K316),1))+(IF(J316=0,0,(Upgrades!$M$11+J316*Upgrades!$N$11)*POWER(Upgrades!$O$11,J316)))*(IF(Upgrades!$T$6="Heliopause",POWER(Upgrades!$U$6,E316),1)*IF(Upgrades!$T$7="Heliopause",POWER(Upgrades!$U$7,F316),1)*IF(Upgrades!$T$8="Heliopause",POWER(Upgrades!$U$8,G316),1)*IF(Upgrades!$T$9="Heliopause",POWER(Upgrades!$U$9,H316),1)*IF(Upgrades!$T$10="Heliopause",POWER(Upgrades!$U$10,I316),1)*IF(Upgrades!$T$12="Heliopause",POWER(Upgrades!$U$12,K316),1))+(IF(K316=0,0,(Upgrades!$M$12+K316*Upgrades!$N$12)*POWER(Upgrades!$O$12,K316)))*(IF(Upgrades!$T$6="First Photons",POWER(Upgrades!$U$6,E316),1)*IF(Upgrades!$T$7="First Photons",POWER(Upgrades!$U$7,F316),1)*IF(Upgrades!$T$8="First Photons",POWER(Upgrades!$U$8,G316),1)*IF(Upgrades!$T$9="First Photons",POWER(Upgrades!$U$9,H316),1)*IF(Upgrades!$T$10="First Photons",POWER(Upgrades!$U$10,I316),1)*IF(Upgrades!$T$11="First Photons",POWER(Upgrades!$U$11,J316),1)))*POWER(Upgrades!$R$6,E316)*POWER(Upgrades!$R$7,F316)*POWER(Upgrades!$R$8,G316)*POWER(Upgrades!$R$9,H316)*POWER(Upgrades!$R$10,I316)*POWER(Upgrades!$R$11,J316)*POWER(Upgrades!$R$12,K316)</f>
        <v/>
      </c>
      <c r="P316" s="27">
        <f>IF(L316=1,0,M316*Parameters!$B$10/60*Parameters!$B$11*10)</f>
        <v/>
      </c>
      <c r="Q316" s="27">
        <f>IF(L316=1,0,O316*M316*10)</f>
        <v/>
      </c>
      <c r="R316" s="27">
        <f>IF(L316=1,0,N316*10)</f>
        <v/>
      </c>
      <c r="S316" s="27">
        <f>P316+Q316+R316</f>
        <v/>
      </c>
      <c r="T316" s="22">
        <f>C316+S316</f>
        <v/>
      </c>
      <c r="U316" s="33">
        <f>AX316</f>
        <v/>
      </c>
      <c r="V316" s="22">
        <f>IF(U316="",0,IF(U316="transition",0,IF(U316="SW",AG316,IF(U316="AB",AH316,IF(U316="SC",AI316,IF(U316="Mag",AJ316,IF(U316="OR",AK316,IF(U316="HP",AL316,IF(U316="FP",AM316,0)))))))))</f>
        <v/>
      </c>
      <c r="W316" s="27">
        <f>IF(U316="OR",Upgrades!$F$10,IF(U316="HP",Upgrades!$F$11,IF(U316="transition",-Parameters!$B$18,0)))</f>
        <v/>
      </c>
      <c r="X316" s="22">
        <f>T316-V316</f>
        <v/>
      </c>
      <c r="Y316" s="30">
        <f>M316*Parameters!$B$10/60*Parameters!$B$11+O316*M316+N316</f>
        <v/>
      </c>
      <c r="Z316" s="34">
        <f>IF(U316="transition","→ Tier 2 (Stellar Neighborhood)",IF(U316="FP","First Photons — light begins, system quickens",IF(U316="HP","Heliopause acquired",IF(U316="OR","Orbital Resonance — passive multiplier active",IF(AND(AO316=1,L316=0,AN316&lt;&gt;1),"Cohesion ready (waiting on completionist upgrades)","")))))</f>
        <v/>
      </c>
      <c r="AA316" s="27">
        <f>(IF(E316=0,0,(Upgrades!$G$6+E316*Upgrades!$H$6)*POWER(Upgrades!$I$6,E316)))*(IF(Upgrades!$T$7="Solar Wind",POWER(Upgrades!$U$7,F316),1)*IF(Upgrades!$T$8="Solar Wind",POWER(Upgrades!$U$8,G316),1)*IF(Upgrades!$T$9="Solar Wind",POWER(Upgrades!$U$9,H316),1)*IF(Upgrades!$T$10="Solar Wind",POWER(Upgrades!$U$10,I316),1)*IF(Upgrades!$T$11="Solar Wind",POWER(Upgrades!$U$11,J316),1)*IF(Upgrades!$T$12="Solar Wind",POWER(Upgrades!$U$12,K316),1))*POWER(Upgrades!$P$6,E316)*POWER(Upgrades!$P$7,F316)*POWER(Upgrades!$P$8,G316)*POWER(Upgrades!$P$9,H316)*POWER(Upgrades!$P$10,I316)*POWER(Upgrades!$P$11,J316)*POWER(Upgrades!$P$12,K316)*60</f>
        <v/>
      </c>
      <c r="AB316" s="27">
        <f>(IF(F316=0,0,(Upgrades!$G$7+F316*Upgrades!$H$7)*POWER(Upgrades!$I$7,F316)))*(IF(Upgrades!$T$6="Asteroid Belt",POWER(Upgrades!$U$6,E316),1)*IF(Upgrades!$T$8="Asteroid Belt",POWER(Upgrades!$U$8,G316),1)*IF(Upgrades!$T$9="Asteroid Belt",POWER(Upgrades!$U$9,H316),1)*IF(Upgrades!$T$10="Asteroid Belt",POWER(Upgrades!$U$10,I316),1)*IF(Upgrades!$T$11="Asteroid Belt",POWER(Upgrades!$U$11,J316),1)*IF(Upgrades!$T$12="Asteroid Belt",POWER(Upgrades!$U$12,K316),1))*POWER(Upgrades!$P$6,E316)*POWER(Upgrades!$P$7,F316)*POWER(Upgrades!$P$8,G316)*POWER(Upgrades!$P$9,H316)*POWER(Upgrades!$P$10,I316)*POWER(Upgrades!$P$11,J316)*POWER(Upgrades!$P$12,K316)*60</f>
        <v/>
      </c>
      <c r="AC316" s="27">
        <f>(IF(G316=0,0,(Upgrades!$J$8+G316*Upgrades!$K$8)*POWER(Upgrades!$L$8,G316)))*(IF(Upgrades!$T$6="Stellar Coupling",POWER(Upgrades!$U$6,E316),1)*IF(Upgrades!$T$7="Stellar Coupling",POWER(Upgrades!$U$7,F316),1)*IF(Upgrades!$T$9="Stellar Coupling",POWER(Upgrades!$U$9,H316),1)*IF(Upgrades!$T$10="Stellar Coupling",POWER(Upgrades!$U$10,I316),1)*IF(Upgrades!$T$11="Stellar Coupling",POWER(Upgrades!$U$11,J316),1)*IF(Upgrades!$T$12="Stellar Coupling",POWER(Upgrades!$U$12,K316),1))*POWER(Upgrades!$Q$6,E316)*POWER(Upgrades!$Q$7,F316)*POWER(Upgrades!$Q$8,G316)*POWER(Upgrades!$Q$9,H316)*POWER(Upgrades!$Q$10,I316)*POWER(Upgrades!$Q$11,J316)*POWER(Upgrades!$Q$12,K316)*Parameters!$B$10*Parameters!$B$11</f>
        <v/>
      </c>
      <c r="AD316" s="27">
        <f>(IF(H316=0,0,(Upgrades!$G$9+H316*Upgrades!$H$9)*POWER(Upgrades!$I$9,H316)))*(IF(Upgrades!$T$6="Magnetosphere",POWER(Upgrades!$U$6,E316),1)*IF(Upgrades!$T$7="Magnetosphere",POWER(Upgrades!$U$7,F316),1)*IF(Upgrades!$T$8="Magnetosphere",POWER(Upgrades!$U$8,G316),1)*IF(Upgrades!$T$10="Magnetosphere",POWER(Upgrades!$U$10,I316),1)*IF(Upgrades!$T$11="Magnetosphere",POWER(Upgrades!$U$11,J316),1)*IF(Upgrades!$T$12="Magnetosphere",POWER(Upgrades!$U$12,K316),1))*POWER(Upgrades!$P$6,E316)*POWER(Upgrades!$P$7,F316)*POWER(Upgrades!$P$8,G316)*POWER(Upgrades!$P$9,H316)*POWER(Upgrades!$P$10,I316)*POWER(Upgrades!$P$11,J316)*POWER(Upgrades!$P$12,K316)*60</f>
        <v/>
      </c>
      <c r="AE316" s="27">
        <f>(IF(K316=0,0,(Upgrades!$G$12+K316*Upgrades!$H$12)*POWER(Upgrades!$I$12,K316)))*(IF(Upgrades!$T$6="First Photons",POWER(Upgrades!$U$6,E316),1)*IF(Upgrades!$T$7="First Photons",POWER(Upgrades!$U$7,F316),1)*IF(Upgrades!$T$8="First Photons",POWER(Upgrades!$U$8,G316),1)*IF(Upgrades!$T$9="First Photons",POWER(Upgrades!$U$9,H316),1)*IF(Upgrades!$T$10="First Photons",POWER(Upgrades!$U$10,I316),1)*IF(Upgrades!$T$11="First Photons",POWER(Upgrades!$U$11,J316),1))*POWER(Upgrades!$P$6,E316)*POWER(Upgrades!$P$7,F316)*POWER(Upgrades!$P$8,G316)*POWER(Upgrades!$P$9,H316)*POWER(Upgrades!$P$10,I316)*POWER(Upgrades!$P$11,J316)*POWER(Upgrades!$P$12,K316)*60</f>
        <v/>
      </c>
      <c r="AF316" s="27">
        <f>Parameters!$B$9*POWER(Upgrades!$Q$6,E316)*POWER(Upgrades!$Q$7,F316)*POWER(Upgrades!$Q$8,G316)*POWER(Upgrades!$Q$9,H316)*POWER(Upgrades!$Q$10,I316)*POWER(Upgrades!$Q$11,J316)*POWER(Upgrades!$Q$12,K316)*(Parameters!$B$10*Parameters!$B$11+O316*60)</f>
        <v/>
      </c>
      <c r="AG316" s="22">
        <f>IF(E316&gt;=Upgrades!$E$6,"",Upgrades!$C$6*POWER(Upgrades!$D$6,E316))</f>
        <v/>
      </c>
      <c r="AH316" s="22">
        <f>IF(F316&gt;=Upgrades!$E$7,"",Upgrades!$C$7*POWER(Upgrades!$D$7,F316))</f>
        <v/>
      </c>
      <c r="AI316" s="22">
        <f>IF(G316&gt;=Upgrades!$E$8,"",Upgrades!$C$8*POWER(Upgrades!$D$8,G316))</f>
        <v/>
      </c>
      <c r="AJ316" s="22">
        <f>IF(H316&gt;=Upgrades!$E$9,"",Upgrades!$C$9*POWER(Upgrades!$D$9,H316))</f>
        <v/>
      </c>
      <c r="AK316" s="22">
        <f>IF(I316&gt;=Upgrades!$E$10,"",Upgrades!$C$10*POWER(Upgrades!$D$10,I316))</f>
        <v/>
      </c>
      <c r="AL316" s="22">
        <f>IF(J316&gt;=Upgrades!$E$11,"",Upgrades!$C$11*POWER(Upgrades!$D$11,J316))</f>
        <v/>
      </c>
      <c r="AM316" s="22">
        <f>IF(K316&gt;=Upgrades!$E$12,"",Upgrades!$C$12*POWER(Upgrades!$D$12,K316))</f>
        <v/>
      </c>
      <c r="AN316" s="26">
        <f>IF(AND(D316&gt;=Parameters!$B$18,(H316&gt;=Upgrades!$E$9)*(K316&gt;=Upgrades!$E$12)=1,L316=0),1,"")</f>
        <v/>
      </c>
      <c r="AO316" s="26">
        <f>IF(AND(D316&gt;=Parameters!$B$18,L316=0),1,"")</f>
        <v/>
      </c>
      <c r="AP316" s="22">
        <f>MIN(IF(ISNUMBER(AK316),AK316,9E15),IF(ISNUMBER(AL316),AL316,9E15),IF(ISNUMBER(AM316),AM316,9E15))</f>
        <v/>
      </c>
      <c r="AQ316" s="22">
        <f>MIN(IF(ISNUMBER(AG316),AG316,9E15),IF(ISNUMBER(AH316),AH316,9E15),IF(ISNUMBER(AI316),AI316,9E15),IF(ISNUMBER(AJ316),AJ316,9E15))</f>
        <v/>
      </c>
      <c r="AR316" s="29">
        <f>IF(AW316&gt;Parameters!$B$21*(MAX(IF(AND(NOT(AND(AO316=1,AN316&lt;&gt;1)),ISNUMBER(AG316),AG316&lt;=T316),AS316,0),IF(AND(NOT(AND(AO316=1,AN316&lt;&gt;1)),ISNUMBER(AH316),AH316&lt;=T316),AT316,0),IF(AND(NOT(AND(AO316=1,AN316&lt;&gt;1)),ISNUMBER(AI316),AI316&lt;=T316),AU316,0),IF(AND(ISNUMBER(AJ316),AJ316&lt;=T316),AV316,0))),TRUE,FALSE)</f>
        <v/>
      </c>
      <c r="AS316" s="32">
        <f>IFERROR(Upgrades!$H$6*(POWER(Upgrades!$P$6,E316)*POWER(Upgrades!$P$7,F316)*POWER(Upgrades!$P$8,G316)*POWER(Upgrades!$P$9,H316)*POWER(Upgrades!$P$10,I316)*POWER(Upgrades!$P$11,J316)*POWER(Upgrades!$P$12,K316))*(IF(Upgrades!$T$7="Solar Wind",POWER(Upgrades!$U$7,F316),1)*IF(Upgrades!$T$8="Solar Wind",POWER(Upgrades!$U$8,G316),1)*IF(Upgrades!$T$9="Solar Wind",POWER(Upgrades!$U$9,H316),1)*IF(Upgrades!$T$10="Solar Wind",POWER(Upgrades!$U$10,I316),1)*IF(Upgrades!$T$11="Solar Wind",POWER(Upgrades!$U$11,J316),1)*IF(Upgrades!$T$12="Solar Wind",POWER(Upgrades!$U$12,K316),1))/AG316,0)</f>
        <v/>
      </c>
      <c r="AT316" s="32">
        <f>IFERROR(Upgrades!$H$7*(POWER(Upgrades!$P$6,E316)*POWER(Upgrades!$P$7,F316)*POWER(Upgrades!$P$8,G316)*POWER(Upgrades!$P$9,H316)*POWER(Upgrades!$P$10,I316)*POWER(Upgrades!$P$11,J316)*POWER(Upgrades!$P$12,K316))*(IF(Upgrades!$T$6="Asteroid Belt",POWER(Upgrades!$U$6,E316),1)*IF(Upgrades!$T$8="Asteroid Belt",POWER(Upgrades!$U$8,G316),1)*IF(Upgrades!$T$9="Asteroid Belt",POWER(Upgrades!$U$9,H316),1)*IF(Upgrades!$T$10="Asteroid Belt",POWER(Upgrades!$U$10,I316),1)*IF(Upgrades!$T$11="Asteroid Belt",POWER(Upgrades!$U$11,J316),1)*IF(Upgrades!$T$12="Asteroid Belt",POWER(Upgrades!$U$12,K316),1))/AH316,0)</f>
        <v/>
      </c>
      <c r="AU316" s="32">
        <f>IFERROR(Upgrades!$K$8*(POWER(Upgrades!$Q$6,E316)*POWER(Upgrades!$Q$7,F316)*POWER(Upgrades!$Q$8,G316)*POWER(Upgrades!$Q$9,H316)*POWER(Upgrades!$Q$10,I316)*POWER(Upgrades!$Q$11,J316)*POWER(Upgrades!$Q$12,K316))*(IF(Upgrades!$T$6="Stellar Coupling",POWER(Upgrades!$U$6,E316),1)*IF(Upgrades!$T$7="Stellar Coupling",POWER(Upgrades!$U$7,F316),1)*IF(Upgrades!$T$9="Stellar Coupling",POWER(Upgrades!$U$9,H316),1)*IF(Upgrades!$T$10="Stellar Coupling",POWER(Upgrades!$U$10,I316),1)*IF(Upgrades!$T$11="Stellar Coupling",POWER(Upgrades!$U$11,J316),1)*IF(Upgrades!$T$12="Stellar Coupling",POWER(Upgrades!$U$12,K316),1))*Parameters!$B$10*Parameters!$B$11/60/AI316,0)</f>
        <v/>
      </c>
      <c r="AV316" s="32">
        <f>IFERROR(Upgrades!$H$9*(POWER(Upgrades!$P$6,E316)*POWER(Upgrades!$P$7,F316)*POWER(Upgrades!$P$8,G316)*POWER(Upgrades!$P$9,H316)*POWER(Upgrades!$P$10,I316)*POWER(Upgrades!$P$11,J316)*POWER(Upgrades!$P$12,K316))*(IF(Upgrades!$T$6="Magnetosphere",POWER(Upgrades!$U$6,E316),1)*IF(Upgrades!$T$7="Magnetosphere",POWER(Upgrades!$U$7,F316),1)*IF(Upgrades!$T$8="Magnetosphere",POWER(Upgrades!$U$8,G316),1)*IF(Upgrades!$T$10="Magnetosphere",POWER(Upgrades!$U$10,I316),1)*IF(Upgrades!$T$11="Magnetosphere",POWER(Upgrades!$U$11,J316),1)*IF(Upgrades!$T$12="Magnetosphere",POWER(Upgrades!$U$12,K316),1))/AJ316,0)</f>
        <v/>
      </c>
      <c r="AW316" s="32">
        <f>MAX(IF(I316&gt;0,0,IFERROR(0.25*N316/Upgrades!$C$10,0)),IF(J316&gt;0,0,IFERROR(0.5*((IF(G316=0,0,(Upgrades!$J$8+G316*Upgrades!$K$8)*POWER(Upgrades!$L$8,G316)))*(IF(Upgrades!$T$6="Stellar Coupling",POWER(Upgrades!$U$6,E316),1)*IF(Upgrades!$T$7="Stellar Coupling",POWER(Upgrades!$U$7,F316),1)*IF(Upgrades!$T$9="Stellar Coupling",POWER(Upgrades!$U$9,H316),1)*IF(Upgrades!$T$10="Stellar Coupling",POWER(Upgrades!$U$10,I316),1)*IF(Upgrades!$T$11="Stellar Coupling",POWER(Upgrades!$U$11,J316),1)*IF(Upgrades!$T$12="Stellar Coupling",POWER(Upgrades!$U$12,K316),1))*(POWER(Upgrades!$Q$6,E316)*POWER(Upgrades!$Q$7,F316)*POWER(Upgrades!$Q$8,G316)*POWER(Upgrades!$Q$9,H316)*POWER(Upgrades!$Q$10,I316)*POWER(Upgrades!$Q$11,J316)*POWER(Upgrades!$Q$12,K316))*Parameters!$B$10*Parameters!$B$11/60)/Upgrades!$C$11,0)),IF(K316&gt;0,0,IFERROR((1.0*(POWER(Upgrades!$P$6,E316)*POWER(Upgrades!$P$7,F316)*POWER(Upgrades!$P$8,G316)*POWER(Upgrades!$P$9,H316)*POWER(Upgrades!$P$10,I316)*POWER(Upgrades!$P$11,J316)*POWER(Upgrades!$P$12,K316))+0.20*M316*Parameters!$B$10*Parameters!$B$11/60)/Upgrades!$C$12,0)),IF(AND(ISNUMBER(AG316),AG316&gt;T316),AS316,0),IF(AND(ISNUMBER(AH316),AH316&gt;T316),AT316,0),IF(AND(ISNUMBER(AI316),AI316&gt;T316),AU316,0),IF(AND(ISNUMBER(AJ316),AJ316&gt;T316),AV316,0))</f>
        <v/>
      </c>
      <c r="AX316" s="29">
        <f>IF(AN316=1,"transition",IF(MIN(IF(AND(I316=0,ISNUMBER(AK316),AK316&lt;=T316),AK316,9E15),IF(AND(J316=0,ISNUMBER(AL316),AL316&lt;=T316),AL316,9E15),IF(AND(K316=0,ISNUMBER(AM316),AM316&lt;=T316),AM316,9E15))&lt;9E15,IF(AND(AND(I316=0,ISNUMBER(AK316),AK316&lt;=T316),AK316=MIN(IF(AND(I316=0,ISNUMBER(AK316),AK316&lt;=T316),AK316,9E15),IF(AND(J316=0,ISNUMBER(AL316),AL316&lt;=T316),AL316,9E15),IF(AND(K316=0,ISNUMBER(AM316),AM316&lt;=T316),AM316,9E15))),"OR",IF(AND(AND(J316=0,ISNUMBER(AL316),AL316&lt;=T316),AL316=MIN(IF(AND(I316=0,ISNUMBER(AK316),AK316&lt;=T316),AK316,9E15),IF(AND(J316=0,ISNUMBER(AL316),AL316&lt;=T316),AL316,9E15),IF(AND(K316=0,ISNUMBER(AM316),AM316&lt;=T316),AM316,9E15))),"HP","FP")),IF(AR316=TRUE,"",IF(MAX(IF(AND(NOT(AND(AO316=1,AN316&lt;&gt;1)),ISNUMBER(AG316),AG316&lt;=T316),AS316,0),IF(AND(NOT(AND(AO316=1,AN316&lt;&gt;1)),ISNUMBER(AH316),AH316&lt;=T316),AT316,0),IF(AND(NOT(AND(AO316=1,AN316&lt;&gt;1)),ISNUMBER(AI316),AI316&lt;=T316),AU316,0),IF(AND(ISNUMBER(AJ316),AJ316&lt;=T316),AV316,0))&lt;=0,"",IF(AND(IF(AND(NOT(AND(AO316=1,AN316&lt;&gt;1)),ISNUMBER(AG316),AG316&lt;=T316),AS316,0)&gt;0,IF(AND(NOT(AND(AO316=1,AN316&lt;&gt;1)),ISNUMBER(AG316),AG316&lt;=T316),AS316,0)=MAX(IF(AND(NOT(AND(AO316=1,AN316&lt;&gt;1)),ISNUMBER(AG316),AG316&lt;=T316),AS316,0),IF(AND(NOT(AND(AO316=1,AN316&lt;&gt;1)),ISNUMBER(AH316),AH316&lt;=T316),AT316,0),IF(AND(NOT(AND(AO316=1,AN316&lt;&gt;1)),ISNUMBER(AI316),AI316&lt;=T316),AU316,0),IF(AND(ISNUMBER(AJ316),AJ316&lt;=T316),AV316,0))),"SW",IF(AND(IF(AND(NOT(AND(AO316=1,AN316&lt;&gt;1)),ISNUMBER(AH316),AH316&lt;=T316),AT316,0)&gt;0,IF(AND(NOT(AND(AO316=1,AN316&lt;&gt;1)),ISNUMBER(AH316),AH316&lt;=T316),AT316,0)=MAX(IF(AND(NOT(AND(AO316=1,AN316&lt;&gt;1)),ISNUMBER(AG316),AG316&lt;=T316),AS316,0),IF(AND(NOT(AND(AO316=1,AN316&lt;&gt;1)),ISNUMBER(AH316),AH316&lt;=T316),AT316,0),IF(AND(NOT(AND(AO316=1,AN316&lt;&gt;1)),ISNUMBER(AI316),AI316&lt;=T316),AU316,0),IF(AND(ISNUMBER(AJ316),AJ316&lt;=T316),AV316,0))),"AB",IF(AND(IF(AND(NOT(AND(AO316=1,AN316&lt;&gt;1)),ISNUMBER(AI316),AI316&lt;=T316),AU316,0)&gt;0,IF(AND(NOT(AND(AO316=1,AN316&lt;&gt;1)),ISNUMBER(AI316),AI316&lt;=T316),AU316,0)=MAX(IF(AND(NOT(AND(AO316=1,AN316&lt;&gt;1)),ISNUMBER(AG316),AG316&lt;=T316),AS316,0),IF(AND(NOT(AND(AO316=1,AN316&lt;&gt;1)),ISNUMBER(AH316),AH316&lt;=T316),AT316,0),IF(AND(NOT(AND(AO316=1,AN316&lt;&gt;1)),ISNUMBER(AI316),AI316&lt;=T316),AU316,0),IF(AND(ISNUMBER(AJ316),AJ316&lt;=T316),AV316,0))),"SC","Mag")))))))</f>
        <v/>
      </c>
    </row>
    <row r="317">
      <c r="A317" s="26" t="n">
        <v>312</v>
      </c>
      <c r="B317" s="27">
        <f>A317*10/60</f>
        <v/>
      </c>
      <c r="C317" s="22">
        <f>X316</f>
        <v/>
      </c>
      <c r="D317" s="27">
        <f>D316+W316</f>
        <v/>
      </c>
      <c r="E317" s="26">
        <f>E316+IF(U316="SW",1,0)</f>
        <v/>
      </c>
      <c r="F317" s="26">
        <f>F316+IF(U316="AB",1,0)</f>
        <v/>
      </c>
      <c r="G317" s="26">
        <f>G316+IF(U316="SC",1,0)</f>
        <v/>
      </c>
      <c r="H317" s="26">
        <f>H316+IF(U316="Mag",1,0)</f>
        <v/>
      </c>
      <c r="I317" s="26">
        <f>MAX(I316,IF(U316="OR",1,0))</f>
        <v/>
      </c>
      <c r="J317" s="26">
        <f>MAX(J316,IF(U316="HP",1,0))</f>
        <v/>
      </c>
      <c r="K317" s="26">
        <f>MAX(K316,IF(U316="FP",1,0))</f>
        <v/>
      </c>
      <c r="L317" s="26">
        <f>MAX(L316,IF(U316="transition",1,0))</f>
        <v/>
      </c>
      <c r="M317" s="28">
        <f>(Parameters!$B$9+(IF(E317=0,0,(Upgrades!$J$6+E317*Upgrades!$K$6)*POWER(Upgrades!$L$6,E317)))*(IF(Upgrades!$T$7="Solar Wind",POWER(Upgrades!$U$7,F317),1)*IF(Upgrades!$T$8="Solar Wind",POWER(Upgrades!$U$8,G317),1)*IF(Upgrades!$T$9="Solar Wind",POWER(Upgrades!$U$9,H317),1)*IF(Upgrades!$T$10="Solar Wind",POWER(Upgrades!$U$10,I317),1)*IF(Upgrades!$T$11="Solar Wind",POWER(Upgrades!$U$11,J317),1)*IF(Upgrades!$T$12="Solar Wind",POWER(Upgrades!$U$12,K317),1))+(IF(F317=0,0,(Upgrades!$J$7+F317*Upgrades!$K$7)*POWER(Upgrades!$L$7,F317)))*(IF(Upgrades!$T$6="Asteroid Belt",POWER(Upgrades!$U$6,E317),1)*IF(Upgrades!$T$8="Asteroid Belt",POWER(Upgrades!$U$8,G317),1)*IF(Upgrades!$T$9="Asteroid Belt",POWER(Upgrades!$U$9,H317),1)*IF(Upgrades!$T$10="Asteroid Belt",POWER(Upgrades!$U$10,I317),1)*IF(Upgrades!$T$11="Asteroid Belt",POWER(Upgrades!$U$11,J317),1)*IF(Upgrades!$T$12="Asteroid Belt",POWER(Upgrades!$U$12,K317),1))+(IF(G317=0,0,(Upgrades!$J$8+G317*Upgrades!$K$8)*POWER(Upgrades!$L$8,G317)))*(IF(Upgrades!$T$6="Stellar Coupling",POWER(Upgrades!$U$6,E317),1)*IF(Upgrades!$T$7="Stellar Coupling",POWER(Upgrades!$U$7,F317),1)*IF(Upgrades!$T$9="Stellar Coupling",POWER(Upgrades!$U$9,H317),1)*IF(Upgrades!$T$10="Stellar Coupling",POWER(Upgrades!$U$10,I317),1)*IF(Upgrades!$T$11="Stellar Coupling",POWER(Upgrades!$U$11,J317),1)*IF(Upgrades!$T$12="Stellar Coupling",POWER(Upgrades!$U$12,K317),1))+(IF(H317=0,0,(Upgrades!$J$9+H317*Upgrades!$K$9)*POWER(Upgrades!$L$9,H317)))*(IF(Upgrades!$T$6="Magnetosphere",POWER(Upgrades!$U$6,E317),1)*IF(Upgrades!$T$7="Magnetosphere",POWER(Upgrades!$U$7,F317),1)*IF(Upgrades!$T$8="Magnetosphere",POWER(Upgrades!$U$8,G317),1)*IF(Upgrades!$T$10="Magnetosphere",POWER(Upgrades!$U$10,I317),1)*IF(Upgrades!$T$11="Magnetosphere",POWER(Upgrades!$U$11,J317),1)*IF(Upgrades!$T$12="Magnetosphere",POWER(Upgrades!$U$12,K317),1))+(IF(I317=0,0,(Upgrades!$J$10+I317*Upgrades!$K$10)*POWER(Upgrades!$L$10,I317)))*(IF(Upgrades!$T$6="Orbital Resonance",POWER(Upgrades!$U$6,E317),1)*IF(Upgrades!$T$7="Orbital Resonance",POWER(Upgrades!$U$7,F317),1)*IF(Upgrades!$T$8="Orbital Resonance",POWER(Upgrades!$U$8,G317),1)*IF(Upgrades!$T$9="Orbital Resonance",POWER(Upgrades!$U$9,H317),1)*IF(Upgrades!$T$11="Orbital Resonance",POWER(Upgrades!$U$11,J317),1)*IF(Upgrades!$T$12="Orbital Resonance",POWER(Upgrades!$U$12,K317),1))+(IF(J317=0,0,(Upgrades!$J$11+J317*Upgrades!$K$11)*POWER(Upgrades!$L$11,J317)))*(IF(Upgrades!$T$6="Heliopause",POWER(Upgrades!$U$6,E317),1)*IF(Upgrades!$T$7="Heliopause",POWER(Upgrades!$U$7,F317),1)*IF(Upgrades!$T$8="Heliopause",POWER(Upgrades!$U$8,G317),1)*IF(Upgrades!$T$9="Heliopause",POWER(Upgrades!$U$9,H317),1)*IF(Upgrades!$T$10="Heliopause",POWER(Upgrades!$U$10,I317),1)*IF(Upgrades!$T$12="Heliopause",POWER(Upgrades!$U$12,K317),1))+(IF(K317=0,0,(Upgrades!$J$12+K317*Upgrades!$K$12)*POWER(Upgrades!$L$12,K317)))*(IF(Upgrades!$T$6="First Photons",POWER(Upgrades!$U$6,E317),1)*IF(Upgrades!$T$7="First Photons",POWER(Upgrades!$U$7,F317),1)*IF(Upgrades!$T$8="First Photons",POWER(Upgrades!$U$8,G317),1)*IF(Upgrades!$T$9="First Photons",POWER(Upgrades!$U$9,H317),1)*IF(Upgrades!$T$10="First Photons",POWER(Upgrades!$U$10,I317),1)*IF(Upgrades!$T$11="First Photons",POWER(Upgrades!$U$11,J317),1)))*POWER(Upgrades!$Q$6,E317)*POWER(Upgrades!$Q$7,F317)*POWER(Upgrades!$Q$8,G317)*POWER(Upgrades!$Q$9,H317)*POWER(Upgrades!$Q$10,I317)*POWER(Upgrades!$Q$11,J317)*POWER(Upgrades!$Q$12,K317)</f>
        <v/>
      </c>
      <c r="N317" s="28">
        <f>((IF(E317=0,0,(Upgrades!$G$6+E317*Upgrades!$H$6)*POWER(Upgrades!$I$6,E317)))*(IF(Upgrades!$T$7="Solar Wind",POWER(Upgrades!$U$7,F317),1)*IF(Upgrades!$T$8="Solar Wind",POWER(Upgrades!$U$8,G317),1)*IF(Upgrades!$T$9="Solar Wind",POWER(Upgrades!$U$9,H317),1)*IF(Upgrades!$T$10="Solar Wind",POWER(Upgrades!$U$10,I317),1)*IF(Upgrades!$T$11="Solar Wind",POWER(Upgrades!$U$11,J317),1)*IF(Upgrades!$T$12="Solar Wind",POWER(Upgrades!$U$12,K317),1))+(IF(F317=0,0,(Upgrades!$G$7+F317*Upgrades!$H$7)*POWER(Upgrades!$I$7,F317)))*(IF(Upgrades!$T$6="Asteroid Belt",POWER(Upgrades!$U$6,E317),1)*IF(Upgrades!$T$8="Asteroid Belt",POWER(Upgrades!$U$8,G317),1)*IF(Upgrades!$T$9="Asteroid Belt",POWER(Upgrades!$U$9,H317),1)*IF(Upgrades!$T$10="Asteroid Belt",POWER(Upgrades!$U$10,I317),1)*IF(Upgrades!$T$11="Asteroid Belt",POWER(Upgrades!$U$11,J317),1)*IF(Upgrades!$T$12="Asteroid Belt",POWER(Upgrades!$U$12,K317),1))+(IF(G317=0,0,(Upgrades!$G$8+G317*Upgrades!$H$8)*POWER(Upgrades!$I$8,G317)))*(IF(Upgrades!$T$6="Stellar Coupling",POWER(Upgrades!$U$6,E317),1)*IF(Upgrades!$T$7="Stellar Coupling",POWER(Upgrades!$U$7,F317),1)*IF(Upgrades!$T$9="Stellar Coupling",POWER(Upgrades!$U$9,H317),1)*IF(Upgrades!$T$10="Stellar Coupling",POWER(Upgrades!$U$10,I317),1)*IF(Upgrades!$T$11="Stellar Coupling",POWER(Upgrades!$U$11,J317),1)*IF(Upgrades!$T$12="Stellar Coupling",POWER(Upgrades!$U$12,K317),1))+(IF(H317=0,0,(Upgrades!$G$9+H317*Upgrades!$H$9)*POWER(Upgrades!$I$9,H317)))*(IF(Upgrades!$T$6="Magnetosphere",POWER(Upgrades!$U$6,E317),1)*IF(Upgrades!$T$7="Magnetosphere",POWER(Upgrades!$U$7,F317),1)*IF(Upgrades!$T$8="Magnetosphere",POWER(Upgrades!$U$8,G317),1)*IF(Upgrades!$T$10="Magnetosphere",POWER(Upgrades!$U$10,I317),1)*IF(Upgrades!$T$11="Magnetosphere",POWER(Upgrades!$U$11,J317),1)*IF(Upgrades!$T$12="Magnetosphere",POWER(Upgrades!$U$12,K317),1))+(IF(I317=0,0,(Upgrades!$G$10+I317*Upgrades!$H$10)*POWER(Upgrades!$I$10,I317)))*(IF(Upgrades!$T$6="Orbital Resonance",POWER(Upgrades!$U$6,E317),1)*IF(Upgrades!$T$7="Orbital Resonance",POWER(Upgrades!$U$7,F317),1)*IF(Upgrades!$T$8="Orbital Resonance",POWER(Upgrades!$U$8,G317),1)*IF(Upgrades!$T$9="Orbital Resonance",POWER(Upgrades!$U$9,H317),1)*IF(Upgrades!$T$11="Orbital Resonance",POWER(Upgrades!$U$11,J317),1)*IF(Upgrades!$T$12="Orbital Resonance",POWER(Upgrades!$U$12,K317),1))+(IF(J317=0,0,(Upgrades!$G$11+J317*Upgrades!$H$11)*POWER(Upgrades!$I$11,J317)))*(IF(Upgrades!$T$6="Heliopause",POWER(Upgrades!$U$6,E317),1)*IF(Upgrades!$T$7="Heliopause",POWER(Upgrades!$U$7,F317),1)*IF(Upgrades!$T$8="Heliopause",POWER(Upgrades!$U$8,G317),1)*IF(Upgrades!$T$9="Heliopause",POWER(Upgrades!$U$9,H317),1)*IF(Upgrades!$T$10="Heliopause",POWER(Upgrades!$U$10,I317),1)*IF(Upgrades!$T$12="Heliopause",POWER(Upgrades!$U$12,K317),1))+(IF(K317=0,0,(Upgrades!$G$12+K317*Upgrades!$H$12)*POWER(Upgrades!$I$12,K317)))*(IF(Upgrades!$T$6="First Photons",POWER(Upgrades!$U$6,E317),1)*IF(Upgrades!$T$7="First Photons",POWER(Upgrades!$U$7,F317),1)*IF(Upgrades!$T$8="First Photons",POWER(Upgrades!$U$8,G317),1)*IF(Upgrades!$T$9="First Photons",POWER(Upgrades!$U$9,H317),1)*IF(Upgrades!$T$10="First Photons",POWER(Upgrades!$U$10,I317),1)*IF(Upgrades!$T$11="First Photons",POWER(Upgrades!$U$11,J317),1)))*POWER(Upgrades!$P$6,E317)*POWER(Upgrades!$P$7,F317)*POWER(Upgrades!$P$8,G317)*POWER(Upgrades!$P$9,H317)*POWER(Upgrades!$P$10,I317)*POWER(Upgrades!$P$11,J317)*POWER(Upgrades!$P$12,K317)</f>
        <v/>
      </c>
      <c r="O317" s="28">
        <f>((IF(E317=0,0,(Upgrades!$M$6+E317*Upgrades!$N$6)*POWER(Upgrades!$O$6,E317)))*(IF(Upgrades!$T$7="Solar Wind",POWER(Upgrades!$U$7,F317),1)*IF(Upgrades!$T$8="Solar Wind",POWER(Upgrades!$U$8,G317),1)*IF(Upgrades!$T$9="Solar Wind",POWER(Upgrades!$U$9,H317),1)*IF(Upgrades!$T$10="Solar Wind",POWER(Upgrades!$U$10,I317),1)*IF(Upgrades!$T$11="Solar Wind",POWER(Upgrades!$U$11,J317),1)*IF(Upgrades!$T$12="Solar Wind",POWER(Upgrades!$U$12,K317),1))+(IF(F317=0,0,(Upgrades!$M$7+F317*Upgrades!$N$7)*POWER(Upgrades!$O$7,F317)))*(IF(Upgrades!$T$6="Asteroid Belt",POWER(Upgrades!$U$6,E317),1)*IF(Upgrades!$T$8="Asteroid Belt",POWER(Upgrades!$U$8,G317),1)*IF(Upgrades!$T$9="Asteroid Belt",POWER(Upgrades!$U$9,H317),1)*IF(Upgrades!$T$10="Asteroid Belt",POWER(Upgrades!$U$10,I317),1)*IF(Upgrades!$T$11="Asteroid Belt",POWER(Upgrades!$U$11,J317),1)*IF(Upgrades!$T$12="Asteroid Belt",POWER(Upgrades!$U$12,K317),1))+(IF(G317=0,0,(Upgrades!$M$8+G317*Upgrades!$N$8)*POWER(Upgrades!$O$8,G317)))*(IF(Upgrades!$T$6="Stellar Coupling",POWER(Upgrades!$U$6,E317),1)*IF(Upgrades!$T$7="Stellar Coupling",POWER(Upgrades!$U$7,F317),1)*IF(Upgrades!$T$9="Stellar Coupling",POWER(Upgrades!$U$9,H317),1)*IF(Upgrades!$T$10="Stellar Coupling",POWER(Upgrades!$U$10,I317),1)*IF(Upgrades!$T$11="Stellar Coupling",POWER(Upgrades!$U$11,J317),1)*IF(Upgrades!$T$12="Stellar Coupling",POWER(Upgrades!$U$12,K317),1))+(IF(H317=0,0,(Upgrades!$M$9+H317*Upgrades!$N$9)*POWER(Upgrades!$O$9,H317)))*(IF(Upgrades!$T$6="Magnetosphere",POWER(Upgrades!$U$6,E317),1)*IF(Upgrades!$T$7="Magnetosphere",POWER(Upgrades!$U$7,F317),1)*IF(Upgrades!$T$8="Magnetosphere",POWER(Upgrades!$U$8,G317),1)*IF(Upgrades!$T$10="Magnetosphere",POWER(Upgrades!$U$10,I317),1)*IF(Upgrades!$T$11="Magnetosphere",POWER(Upgrades!$U$11,J317),1)*IF(Upgrades!$T$12="Magnetosphere",POWER(Upgrades!$U$12,K317),1))+(IF(I317=0,0,(Upgrades!$M$10+I317*Upgrades!$N$10)*POWER(Upgrades!$O$10,I317)))*(IF(Upgrades!$T$6="Orbital Resonance",POWER(Upgrades!$U$6,E317),1)*IF(Upgrades!$T$7="Orbital Resonance",POWER(Upgrades!$U$7,F317),1)*IF(Upgrades!$T$8="Orbital Resonance",POWER(Upgrades!$U$8,G317),1)*IF(Upgrades!$T$9="Orbital Resonance",POWER(Upgrades!$U$9,H317),1)*IF(Upgrades!$T$11="Orbital Resonance",POWER(Upgrades!$U$11,J317),1)*IF(Upgrades!$T$12="Orbital Resonance",POWER(Upgrades!$U$12,K317),1))+(IF(J317=0,0,(Upgrades!$M$11+J317*Upgrades!$N$11)*POWER(Upgrades!$O$11,J317)))*(IF(Upgrades!$T$6="Heliopause",POWER(Upgrades!$U$6,E317),1)*IF(Upgrades!$T$7="Heliopause",POWER(Upgrades!$U$7,F317),1)*IF(Upgrades!$T$8="Heliopause",POWER(Upgrades!$U$8,G317),1)*IF(Upgrades!$T$9="Heliopause",POWER(Upgrades!$U$9,H317),1)*IF(Upgrades!$T$10="Heliopause",POWER(Upgrades!$U$10,I317),1)*IF(Upgrades!$T$12="Heliopause",POWER(Upgrades!$U$12,K317),1))+(IF(K317=0,0,(Upgrades!$M$12+K317*Upgrades!$N$12)*POWER(Upgrades!$O$12,K317)))*(IF(Upgrades!$T$6="First Photons",POWER(Upgrades!$U$6,E317),1)*IF(Upgrades!$T$7="First Photons",POWER(Upgrades!$U$7,F317),1)*IF(Upgrades!$T$8="First Photons",POWER(Upgrades!$U$8,G317),1)*IF(Upgrades!$T$9="First Photons",POWER(Upgrades!$U$9,H317),1)*IF(Upgrades!$T$10="First Photons",POWER(Upgrades!$U$10,I317),1)*IF(Upgrades!$T$11="First Photons",POWER(Upgrades!$U$11,J317),1)))*POWER(Upgrades!$R$6,E317)*POWER(Upgrades!$R$7,F317)*POWER(Upgrades!$R$8,G317)*POWER(Upgrades!$R$9,H317)*POWER(Upgrades!$R$10,I317)*POWER(Upgrades!$R$11,J317)*POWER(Upgrades!$R$12,K317)</f>
        <v/>
      </c>
      <c r="P317" s="27">
        <f>IF(L317=1,0,M317*Parameters!$B$10/60*Parameters!$B$11*10)</f>
        <v/>
      </c>
      <c r="Q317" s="27">
        <f>IF(L317=1,0,O317*M317*10)</f>
        <v/>
      </c>
      <c r="R317" s="27">
        <f>IF(L317=1,0,N317*10)</f>
        <v/>
      </c>
      <c r="S317" s="27">
        <f>P317+Q317+R317</f>
        <v/>
      </c>
      <c r="T317" s="22">
        <f>C317+S317</f>
        <v/>
      </c>
      <c r="U317" s="33">
        <f>AX317</f>
        <v/>
      </c>
      <c r="V317" s="22">
        <f>IF(U317="",0,IF(U317="transition",0,IF(U317="SW",AG317,IF(U317="AB",AH317,IF(U317="SC",AI317,IF(U317="Mag",AJ317,IF(U317="OR",AK317,IF(U317="HP",AL317,IF(U317="FP",AM317,0)))))))))</f>
        <v/>
      </c>
      <c r="W317" s="27">
        <f>IF(U317="OR",Upgrades!$F$10,IF(U317="HP",Upgrades!$F$11,IF(U317="transition",-Parameters!$B$18,0)))</f>
        <v/>
      </c>
      <c r="X317" s="22">
        <f>T317-V317</f>
        <v/>
      </c>
      <c r="Y317" s="30">
        <f>M317*Parameters!$B$10/60*Parameters!$B$11+O317*M317+N317</f>
        <v/>
      </c>
      <c r="Z317" s="34">
        <f>IF(U317="transition","→ Tier 2 (Stellar Neighborhood)",IF(U317="FP","First Photons — light begins, system quickens",IF(U317="HP","Heliopause acquired",IF(U317="OR","Orbital Resonance — passive multiplier active",IF(AND(AO317=1,L317=0,AN317&lt;&gt;1),"Cohesion ready (waiting on completionist upgrades)","")))))</f>
        <v/>
      </c>
      <c r="AA317" s="27">
        <f>(IF(E317=0,0,(Upgrades!$G$6+E317*Upgrades!$H$6)*POWER(Upgrades!$I$6,E317)))*(IF(Upgrades!$T$7="Solar Wind",POWER(Upgrades!$U$7,F317),1)*IF(Upgrades!$T$8="Solar Wind",POWER(Upgrades!$U$8,G317),1)*IF(Upgrades!$T$9="Solar Wind",POWER(Upgrades!$U$9,H317),1)*IF(Upgrades!$T$10="Solar Wind",POWER(Upgrades!$U$10,I317),1)*IF(Upgrades!$T$11="Solar Wind",POWER(Upgrades!$U$11,J317),1)*IF(Upgrades!$T$12="Solar Wind",POWER(Upgrades!$U$12,K317),1))*POWER(Upgrades!$P$6,E317)*POWER(Upgrades!$P$7,F317)*POWER(Upgrades!$P$8,G317)*POWER(Upgrades!$P$9,H317)*POWER(Upgrades!$P$10,I317)*POWER(Upgrades!$P$11,J317)*POWER(Upgrades!$P$12,K317)*60</f>
        <v/>
      </c>
      <c r="AB317" s="27">
        <f>(IF(F317=0,0,(Upgrades!$G$7+F317*Upgrades!$H$7)*POWER(Upgrades!$I$7,F317)))*(IF(Upgrades!$T$6="Asteroid Belt",POWER(Upgrades!$U$6,E317),1)*IF(Upgrades!$T$8="Asteroid Belt",POWER(Upgrades!$U$8,G317),1)*IF(Upgrades!$T$9="Asteroid Belt",POWER(Upgrades!$U$9,H317),1)*IF(Upgrades!$T$10="Asteroid Belt",POWER(Upgrades!$U$10,I317),1)*IF(Upgrades!$T$11="Asteroid Belt",POWER(Upgrades!$U$11,J317),1)*IF(Upgrades!$T$12="Asteroid Belt",POWER(Upgrades!$U$12,K317),1))*POWER(Upgrades!$P$6,E317)*POWER(Upgrades!$P$7,F317)*POWER(Upgrades!$P$8,G317)*POWER(Upgrades!$P$9,H317)*POWER(Upgrades!$P$10,I317)*POWER(Upgrades!$P$11,J317)*POWER(Upgrades!$P$12,K317)*60</f>
        <v/>
      </c>
      <c r="AC317" s="27">
        <f>(IF(G317=0,0,(Upgrades!$J$8+G317*Upgrades!$K$8)*POWER(Upgrades!$L$8,G317)))*(IF(Upgrades!$T$6="Stellar Coupling",POWER(Upgrades!$U$6,E317),1)*IF(Upgrades!$T$7="Stellar Coupling",POWER(Upgrades!$U$7,F317),1)*IF(Upgrades!$T$9="Stellar Coupling",POWER(Upgrades!$U$9,H317),1)*IF(Upgrades!$T$10="Stellar Coupling",POWER(Upgrades!$U$10,I317),1)*IF(Upgrades!$T$11="Stellar Coupling",POWER(Upgrades!$U$11,J317),1)*IF(Upgrades!$T$12="Stellar Coupling",POWER(Upgrades!$U$12,K317),1))*POWER(Upgrades!$Q$6,E317)*POWER(Upgrades!$Q$7,F317)*POWER(Upgrades!$Q$8,G317)*POWER(Upgrades!$Q$9,H317)*POWER(Upgrades!$Q$10,I317)*POWER(Upgrades!$Q$11,J317)*POWER(Upgrades!$Q$12,K317)*Parameters!$B$10*Parameters!$B$11</f>
        <v/>
      </c>
      <c r="AD317" s="27">
        <f>(IF(H317=0,0,(Upgrades!$G$9+H317*Upgrades!$H$9)*POWER(Upgrades!$I$9,H317)))*(IF(Upgrades!$T$6="Magnetosphere",POWER(Upgrades!$U$6,E317),1)*IF(Upgrades!$T$7="Magnetosphere",POWER(Upgrades!$U$7,F317),1)*IF(Upgrades!$T$8="Magnetosphere",POWER(Upgrades!$U$8,G317),1)*IF(Upgrades!$T$10="Magnetosphere",POWER(Upgrades!$U$10,I317),1)*IF(Upgrades!$T$11="Magnetosphere",POWER(Upgrades!$U$11,J317),1)*IF(Upgrades!$T$12="Magnetosphere",POWER(Upgrades!$U$12,K317),1))*POWER(Upgrades!$P$6,E317)*POWER(Upgrades!$P$7,F317)*POWER(Upgrades!$P$8,G317)*POWER(Upgrades!$P$9,H317)*POWER(Upgrades!$P$10,I317)*POWER(Upgrades!$P$11,J317)*POWER(Upgrades!$P$12,K317)*60</f>
        <v/>
      </c>
      <c r="AE317" s="27">
        <f>(IF(K317=0,0,(Upgrades!$G$12+K317*Upgrades!$H$12)*POWER(Upgrades!$I$12,K317)))*(IF(Upgrades!$T$6="First Photons",POWER(Upgrades!$U$6,E317),1)*IF(Upgrades!$T$7="First Photons",POWER(Upgrades!$U$7,F317),1)*IF(Upgrades!$T$8="First Photons",POWER(Upgrades!$U$8,G317),1)*IF(Upgrades!$T$9="First Photons",POWER(Upgrades!$U$9,H317),1)*IF(Upgrades!$T$10="First Photons",POWER(Upgrades!$U$10,I317),1)*IF(Upgrades!$T$11="First Photons",POWER(Upgrades!$U$11,J317),1))*POWER(Upgrades!$P$6,E317)*POWER(Upgrades!$P$7,F317)*POWER(Upgrades!$P$8,G317)*POWER(Upgrades!$P$9,H317)*POWER(Upgrades!$P$10,I317)*POWER(Upgrades!$P$11,J317)*POWER(Upgrades!$P$12,K317)*60</f>
        <v/>
      </c>
      <c r="AF317" s="27">
        <f>Parameters!$B$9*POWER(Upgrades!$Q$6,E317)*POWER(Upgrades!$Q$7,F317)*POWER(Upgrades!$Q$8,G317)*POWER(Upgrades!$Q$9,H317)*POWER(Upgrades!$Q$10,I317)*POWER(Upgrades!$Q$11,J317)*POWER(Upgrades!$Q$12,K317)*(Parameters!$B$10*Parameters!$B$11+O317*60)</f>
        <v/>
      </c>
      <c r="AG317" s="22">
        <f>IF(E317&gt;=Upgrades!$E$6,"",Upgrades!$C$6*POWER(Upgrades!$D$6,E317))</f>
        <v/>
      </c>
      <c r="AH317" s="22">
        <f>IF(F317&gt;=Upgrades!$E$7,"",Upgrades!$C$7*POWER(Upgrades!$D$7,F317))</f>
        <v/>
      </c>
      <c r="AI317" s="22">
        <f>IF(G317&gt;=Upgrades!$E$8,"",Upgrades!$C$8*POWER(Upgrades!$D$8,G317))</f>
        <v/>
      </c>
      <c r="AJ317" s="22">
        <f>IF(H317&gt;=Upgrades!$E$9,"",Upgrades!$C$9*POWER(Upgrades!$D$9,H317))</f>
        <v/>
      </c>
      <c r="AK317" s="22">
        <f>IF(I317&gt;=Upgrades!$E$10,"",Upgrades!$C$10*POWER(Upgrades!$D$10,I317))</f>
        <v/>
      </c>
      <c r="AL317" s="22">
        <f>IF(J317&gt;=Upgrades!$E$11,"",Upgrades!$C$11*POWER(Upgrades!$D$11,J317))</f>
        <v/>
      </c>
      <c r="AM317" s="22">
        <f>IF(K317&gt;=Upgrades!$E$12,"",Upgrades!$C$12*POWER(Upgrades!$D$12,K317))</f>
        <v/>
      </c>
      <c r="AN317" s="26">
        <f>IF(AND(D317&gt;=Parameters!$B$18,(H317&gt;=Upgrades!$E$9)*(K317&gt;=Upgrades!$E$12)=1,L317=0),1,"")</f>
        <v/>
      </c>
      <c r="AO317" s="26">
        <f>IF(AND(D317&gt;=Parameters!$B$18,L317=0),1,"")</f>
        <v/>
      </c>
      <c r="AP317" s="22">
        <f>MIN(IF(ISNUMBER(AK317),AK317,9E15),IF(ISNUMBER(AL317),AL317,9E15),IF(ISNUMBER(AM317),AM317,9E15))</f>
        <v/>
      </c>
      <c r="AQ317" s="22">
        <f>MIN(IF(ISNUMBER(AG317),AG317,9E15),IF(ISNUMBER(AH317),AH317,9E15),IF(ISNUMBER(AI317),AI317,9E15),IF(ISNUMBER(AJ317),AJ317,9E15))</f>
        <v/>
      </c>
      <c r="AR317" s="29">
        <f>IF(AW317&gt;Parameters!$B$21*(MAX(IF(AND(NOT(AND(AO317=1,AN317&lt;&gt;1)),ISNUMBER(AG317),AG317&lt;=T317),AS317,0),IF(AND(NOT(AND(AO317=1,AN317&lt;&gt;1)),ISNUMBER(AH317),AH317&lt;=T317),AT317,0),IF(AND(NOT(AND(AO317=1,AN317&lt;&gt;1)),ISNUMBER(AI317),AI317&lt;=T317),AU317,0),IF(AND(ISNUMBER(AJ317),AJ317&lt;=T317),AV317,0))),TRUE,FALSE)</f>
        <v/>
      </c>
      <c r="AS317" s="32">
        <f>IFERROR(Upgrades!$H$6*(POWER(Upgrades!$P$6,E317)*POWER(Upgrades!$P$7,F317)*POWER(Upgrades!$P$8,G317)*POWER(Upgrades!$P$9,H317)*POWER(Upgrades!$P$10,I317)*POWER(Upgrades!$P$11,J317)*POWER(Upgrades!$P$12,K317))*(IF(Upgrades!$T$7="Solar Wind",POWER(Upgrades!$U$7,F317),1)*IF(Upgrades!$T$8="Solar Wind",POWER(Upgrades!$U$8,G317),1)*IF(Upgrades!$T$9="Solar Wind",POWER(Upgrades!$U$9,H317),1)*IF(Upgrades!$T$10="Solar Wind",POWER(Upgrades!$U$10,I317),1)*IF(Upgrades!$T$11="Solar Wind",POWER(Upgrades!$U$11,J317),1)*IF(Upgrades!$T$12="Solar Wind",POWER(Upgrades!$U$12,K317),1))/AG317,0)</f>
        <v/>
      </c>
      <c r="AT317" s="32">
        <f>IFERROR(Upgrades!$H$7*(POWER(Upgrades!$P$6,E317)*POWER(Upgrades!$P$7,F317)*POWER(Upgrades!$P$8,G317)*POWER(Upgrades!$P$9,H317)*POWER(Upgrades!$P$10,I317)*POWER(Upgrades!$P$11,J317)*POWER(Upgrades!$P$12,K317))*(IF(Upgrades!$T$6="Asteroid Belt",POWER(Upgrades!$U$6,E317),1)*IF(Upgrades!$T$8="Asteroid Belt",POWER(Upgrades!$U$8,G317),1)*IF(Upgrades!$T$9="Asteroid Belt",POWER(Upgrades!$U$9,H317),1)*IF(Upgrades!$T$10="Asteroid Belt",POWER(Upgrades!$U$10,I317),1)*IF(Upgrades!$T$11="Asteroid Belt",POWER(Upgrades!$U$11,J317),1)*IF(Upgrades!$T$12="Asteroid Belt",POWER(Upgrades!$U$12,K317),1))/AH317,0)</f>
        <v/>
      </c>
      <c r="AU317" s="32">
        <f>IFERROR(Upgrades!$K$8*(POWER(Upgrades!$Q$6,E317)*POWER(Upgrades!$Q$7,F317)*POWER(Upgrades!$Q$8,G317)*POWER(Upgrades!$Q$9,H317)*POWER(Upgrades!$Q$10,I317)*POWER(Upgrades!$Q$11,J317)*POWER(Upgrades!$Q$12,K317))*(IF(Upgrades!$T$6="Stellar Coupling",POWER(Upgrades!$U$6,E317),1)*IF(Upgrades!$T$7="Stellar Coupling",POWER(Upgrades!$U$7,F317),1)*IF(Upgrades!$T$9="Stellar Coupling",POWER(Upgrades!$U$9,H317),1)*IF(Upgrades!$T$10="Stellar Coupling",POWER(Upgrades!$U$10,I317),1)*IF(Upgrades!$T$11="Stellar Coupling",POWER(Upgrades!$U$11,J317),1)*IF(Upgrades!$T$12="Stellar Coupling",POWER(Upgrades!$U$12,K317),1))*Parameters!$B$10*Parameters!$B$11/60/AI317,0)</f>
        <v/>
      </c>
      <c r="AV317" s="32">
        <f>IFERROR(Upgrades!$H$9*(POWER(Upgrades!$P$6,E317)*POWER(Upgrades!$P$7,F317)*POWER(Upgrades!$P$8,G317)*POWER(Upgrades!$P$9,H317)*POWER(Upgrades!$P$10,I317)*POWER(Upgrades!$P$11,J317)*POWER(Upgrades!$P$12,K317))*(IF(Upgrades!$T$6="Magnetosphere",POWER(Upgrades!$U$6,E317),1)*IF(Upgrades!$T$7="Magnetosphere",POWER(Upgrades!$U$7,F317),1)*IF(Upgrades!$T$8="Magnetosphere",POWER(Upgrades!$U$8,G317),1)*IF(Upgrades!$T$10="Magnetosphere",POWER(Upgrades!$U$10,I317),1)*IF(Upgrades!$T$11="Magnetosphere",POWER(Upgrades!$U$11,J317),1)*IF(Upgrades!$T$12="Magnetosphere",POWER(Upgrades!$U$12,K317),1))/AJ317,0)</f>
        <v/>
      </c>
      <c r="AW317" s="32">
        <f>MAX(IF(I317&gt;0,0,IFERROR(0.25*N317/Upgrades!$C$10,0)),IF(J317&gt;0,0,IFERROR(0.5*((IF(G317=0,0,(Upgrades!$J$8+G317*Upgrades!$K$8)*POWER(Upgrades!$L$8,G317)))*(IF(Upgrades!$T$6="Stellar Coupling",POWER(Upgrades!$U$6,E317),1)*IF(Upgrades!$T$7="Stellar Coupling",POWER(Upgrades!$U$7,F317),1)*IF(Upgrades!$T$9="Stellar Coupling",POWER(Upgrades!$U$9,H317),1)*IF(Upgrades!$T$10="Stellar Coupling",POWER(Upgrades!$U$10,I317),1)*IF(Upgrades!$T$11="Stellar Coupling",POWER(Upgrades!$U$11,J317),1)*IF(Upgrades!$T$12="Stellar Coupling",POWER(Upgrades!$U$12,K317),1))*(POWER(Upgrades!$Q$6,E317)*POWER(Upgrades!$Q$7,F317)*POWER(Upgrades!$Q$8,G317)*POWER(Upgrades!$Q$9,H317)*POWER(Upgrades!$Q$10,I317)*POWER(Upgrades!$Q$11,J317)*POWER(Upgrades!$Q$12,K317))*Parameters!$B$10*Parameters!$B$11/60)/Upgrades!$C$11,0)),IF(K317&gt;0,0,IFERROR((1.0*(POWER(Upgrades!$P$6,E317)*POWER(Upgrades!$P$7,F317)*POWER(Upgrades!$P$8,G317)*POWER(Upgrades!$P$9,H317)*POWER(Upgrades!$P$10,I317)*POWER(Upgrades!$P$11,J317)*POWER(Upgrades!$P$12,K317))+0.20*M317*Parameters!$B$10*Parameters!$B$11/60)/Upgrades!$C$12,0)),IF(AND(ISNUMBER(AG317),AG317&gt;T317),AS317,0),IF(AND(ISNUMBER(AH317),AH317&gt;T317),AT317,0),IF(AND(ISNUMBER(AI317),AI317&gt;T317),AU317,0),IF(AND(ISNUMBER(AJ317),AJ317&gt;T317),AV317,0))</f>
        <v/>
      </c>
      <c r="AX317" s="29">
        <f>IF(AN317=1,"transition",IF(MIN(IF(AND(I317=0,ISNUMBER(AK317),AK317&lt;=T317),AK317,9E15),IF(AND(J317=0,ISNUMBER(AL317),AL317&lt;=T317),AL317,9E15),IF(AND(K317=0,ISNUMBER(AM317),AM317&lt;=T317),AM317,9E15))&lt;9E15,IF(AND(AND(I317=0,ISNUMBER(AK317),AK317&lt;=T317),AK317=MIN(IF(AND(I317=0,ISNUMBER(AK317),AK317&lt;=T317),AK317,9E15),IF(AND(J317=0,ISNUMBER(AL317),AL317&lt;=T317),AL317,9E15),IF(AND(K317=0,ISNUMBER(AM317),AM317&lt;=T317),AM317,9E15))),"OR",IF(AND(AND(J317=0,ISNUMBER(AL317),AL317&lt;=T317),AL317=MIN(IF(AND(I317=0,ISNUMBER(AK317),AK317&lt;=T317),AK317,9E15),IF(AND(J317=0,ISNUMBER(AL317),AL317&lt;=T317),AL317,9E15),IF(AND(K317=0,ISNUMBER(AM317),AM317&lt;=T317),AM317,9E15))),"HP","FP")),IF(AR317=TRUE,"",IF(MAX(IF(AND(NOT(AND(AO317=1,AN317&lt;&gt;1)),ISNUMBER(AG317),AG317&lt;=T317),AS317,0),IF(AND(NOT(AND(AO317=1,AN317&lt;&gt;1)),ISNUMBER(AH317),AH317&lt;=T317),AT317,0),IF(AND(NOT(AND(AO317=1,AN317&lt;&gt;1)),ISNUMBER(AI317),AI317&lt;=T317),AU317,0),IF(AND(ISNUMBER(AJ317),AJ317&lt;=T317),AV317,0))&lt;=0,"",IF(AND(IF(AND(NOT(AND(AO317=1,AN317&lt;&gt;1)),ISNUMBER(AG317),AG317&lt;=T317),AS317,0)&gt;0,IF(AND(NOT(AND(AO317=1,AN317&lt;&gt;1)),ISNUMBER(AG317),AG317&lt;=T317),AS317,0)=MAX(IF(AND(NOT(AND(AO317=1,AN317&lt;&gt;1)),ISNUMBER(AG317),AG317&lt;=T317),AS317,0),IF(AND(NOT(AND(AO317=1,AN317&lt;&gt;1)),ISNUMBER(AH317),AH317&lt;=T317),AT317,0),IF(AND(NOT(AND(AO317=1,AN317&lt;&gt;1)),ISNUMBER(AI317),AI317&lt;=T317),AU317,0),IF(AND(ISNUMBER(AJ317),AJ317&lt;=T317),AV317,0))),"SW",IF(AND(IF(AND(NOT(AND(AO317=1,AN317&lt;&gt;1)),ISNUMBER(AH317),AH317&lt;=T317),AT317,0)&gt;0,IF(AND(NOT(AND(AO317=1,AN317&lt;&gt;1)),ISNUMBER(AH317),AH317&lt;=T317),AT317,0)=MAX(IF(AND(NOT(AND(AO317=1,AN317&lt;&gt;1)),ISNUMBER(AG317),AG317&lt;=T317),AS317,0),IF(AND(NOT(AND(AO317=1,AN317&lt;&gt;1)),ISNUMBER(AH317),AH317&lt;=T317),AT317,0),IF(AND(NOT(AND(AO317=1,AN317&lt;&gt;1)),ISNUMBER(AI317),AI317&lt;=T317),AU317,0),IF(AND(ISNUMBER(AJ317),AJ317&lt;=T317),AV317,0))),"AB",IF(AND(IF(AND(NOT(AND(AO317=1,AN317&lt;&gt;1)),ISNUMBER(AI317),AI317&lt;=T317),AU317,0)&gt;0,IF(AND(NOT(AND(AO317=1,AN317&lt;&gt;1)),ISNUMBER(AI317),AI317&lt;=T317),AU317,0)=MAX(IF(AND(NOT(AND(AO317=1,AN317&lt;&gt;1)),ISNUMBER(AG317),AG317&lt;=T317),AS317,0),IF(AND(NOT(AND(AO317=1,AN317&lt;&gt;1)),ISNUMBER(AH317),AH317&lt;=T317),AT317,0),IF(AND(NOT(AND(AO317=1,AN317&lt;&gt;1)),ISNUMBER(AI317),AI317&lt;=T317),AU317,0),IF(AND(ISNUMBER(AJ317),AJ317&lt;=T317),AV317,0))),"SC","Mag")))))))</f>
        <v/>
      </c>
    </row>
    <row r="318">
      <c r="A318" s="26" t="n">
        <v>313</v>
      </c>
      <c r="B318" s="27">
        <f>A318*10/60</f>
        <v/>
      </c>
      <c r="C318" s="22">
        <f>X317</f>
        <v/>
      </c>
      <c r="D318" s="27">
        <f>D317+W317</f>
        <v/>
      </c>
      <c r="E318" s="26">
        <f>E317+IF(U317="SW",1,0)</f>
        <v/>
      </c>
      <c r="F318" s="26">
        <f>F317+IF(U317="AB",1,0)</f>
        <v/>
      </c>
      <c r="G318" s="26">
        <f>G317+IF(U317="SC",1,0)</f>
        <v/>
      </c>
      <c r="H318" s="26">
        <f>H317+IF(U317="Mag",1,0)</f>
        <v/>
      </c>
      <c r="I318" s="26">
        <f>MAX(I317,IF(U317="OR",1,0))</f>
        <v/>
      </c>
      <c r="J318" s="26">
        <f>MAX(J317,IF(U317="HP",1,0))</f>
        <v/>
      </c>
      <c r="K318" s="26">
        <f>MAX(K317,IF(U317="FP",1,0))</f>
        <v/>
      </c>
      <c r="L318" s="26">
        <f>MAX(L317,IF(U317="transition",1,0))</f>
        <v/>
      </c>
      <c r="M318" s="28">
        <f>(Parameters!$B$9+(IF(E318=0,0,(Upgrades!$J$6+E318*Upgrades!$K$6)*POWER(Upgrades!$L$6,E318)))*(IF(Upgrades!$T$7="Solar Wind",POWER(Upgrades!$U$7,F318),1)*IF(Upgrades!$T$8="Solar Wind",POWER(Upgrades!$U$8,G318),1)*IF(Upgrades!$T$9="Solar Wind",POWER(Upgrades!$U$9,H318),1)*IF(Upgrades!$T$10="Solar Wind",POWER(Upgrades!$U$10,I318),1)*IF(Upgrades!$T$11="Solar Wind",POWER(Upgrades!$U$11,J318),1)*IF(Upgrades!$T$12="Solar Wind",POWER(Upgrades!$U$12,K318),1))+(IF(F318=0,0,(Upgrades!$J$7+F318*Upgrades!$K$7)*POWER(Upgrades!$L$7,F318)))*(IF(Upgrades!$T$6="Asteroid Belt",POWER(Upgrades!$U$6,E318),1)*IF(Upgrades!$T$8="Asteroid Belt",POWER(Upgrades!$U$8,G318),1)*IF(Upgrades!$T$9="Asteroid Belt",POWER(Upgrades!$U$9,H318),1)*IF(Upgrades!$T$10="Asteroid Belt",POWER(Upgrades!$U$10,I318),1)*IF(Upgrades!$T$11="Asteroid Belt",POWER(Upgrades!$U$11,J318),1)*IF(Upgrades!$T$12="Asteroid Belt",POWER(Upgrades!$U$12,K318),1))+(IF(G318=0,0,(Upgrades!$J$8+G318*Upgrades!$K$8)*POWER(Upgrades!$L$8,G318)))*(IF(Upgrades!$T$6="Stellar Coupling",POWER(Upgrades!$U$6,E318),1)*IF(Upgrades!$T$7="Stellar Coupling",POWER(Upgrades!$U$7,F318),1)*IF(Upgrades!$T$9="Stellar Coupling",POWER(Upgrades!$U$9,H318),1)*IF(Upgrades!$T$10="Stellar Coupling",POWER(Upgrades!$U$10,I318),1)*IF(Upgrades!$T$11="Stellar Coupling",POWER(Upgrades!$U$11,J318),1)*IF(Upgrades!$T$12="Stellar Coupling",POWER(Upgrades!$U$12,K318),1))+(IF(H318=0,0,(Upgrades!$J$9+H318*Upgrades!$K$9)*POWER(Upgrades!$L$9,H318)))*(IF(Upgrades!$T$6="Magnetosphere",POWER(Upgrades!$U$6,E318),1)*IF(Upgrades!$T$7="Magnetosphere",POWER(Upgrades!$U$7,F318),1)*IF(Upgrades!$T$8="Magnetosphere",POWER(Upgrades!$U$8,G318),1)*IF(Upgrades!$T$10="Magnetosphere",POWER(Upgrades!$U$10,I318),1)*IF(Upgrades!$T$11="Magnetosphere",POWER(Upgrades!$U$11,J318),1)*IF(Upgrades!$T$12="Magnetosphere",POWER(Upgrades!$U$12,K318),1))+(IF(I318=0,0,(Upgrades!$J$10+I318*Upgrades!$K$10)*POWER(Upgrades!$L$10,I318)))*(IF(Upgrades!$T$6="Orbital Resonance",POWER(Upgrades!$U$6,E318),1)*IF(Upgrades!$T$7="Orbital Resonance",POWER(Upgrades!$U$7,F318),1)*IF(Upgrades!$T$8="Orbital Resonance",POWER(Upgrades!$U$8,G318),1)*IF(Upgrades!$T$9="Orbital Resonance",POWER(Upgrades!$U$9,H318),1)*IF(Upgrades!$T$11="Orbital Resonance",POWER(Upgrades!$U$11,J318),1)*IF(Upgrades!$T$12="Orbital Resonance",POWER(Upgrades!$U$12,K318),1))+(IF(J318=0,0,(Upgrades!$J$11+J318*Upgrades!$K$11)*POWER(Upgrades!$L$11,J318)))*(IF(Upgrades!$T$6="Heliopause",POWER(Upgrades!$U$6,E318),1)*IF(Upgrades!$T$7="Heliopause",POWER(Upgrades!$U$7,F318),1)*IF(Upgrades!$T$8="Heliopause",POWER(Upgrades!$U$8,G318),1)*IF(Upgrades!$T$9="Heliopause",POWER(Upgrades!$U$9,H318),1)*IF(Upgrades!$T$10="Heliopause",POWER(Upgrades!$U$10,I318),1)*IF(Upgrades!$T$12="Heliopause",POWER(Upgrades!$U$12,K318),1))+(IF(K318=0,0,(Upgrades!$J$12+K318*Upgrades!$K$12)*POWER(Upgrades!$L$12,K318)))*(IF(Upgrades!$T$6="First Photons",POWER(Upgrades!$U$6,E318),1)*IF(Upgrades!$T$7="First Photons",POWER(Upgrades!$U$7,F318),1)*IF(Upgrades!$T$8="First Photons",POWER(Upgrades!$U$8,G318),1)*IF(Upgrades!$T$9="First Photons",POWER(Upgrades!$U$9,H318),1)*IF(Upgrades!$T$10="First Photons",POWER(Upgrades!$U$10,I318),1)*IF(Upgrades!$T$11="First Photons",POWER(Upgrades!$U$11,J318),1)))*POWER(Upgrades!$Q$6,E318)*POWER(Upgrades!$Q$7,F318)*POWER(Upgrades!$Q$8,G318)*POWER(Upgrades!$Q$9,H318)*POWER(Upgrades!$Q$10,I318)*POWER(Upgrades!$Q$11,J318)*POWER(Upgrades!$Q$12,K318)</f>
        <v/>
      </c>
      <c r="N318" s="28">
        <f>((IF(E318=0,0,(Upgrades!$G$6+E318*Upgrades!$H$6)*POWER(Upgrades!$I$6,E318)))*(IF(Upgrades!$T$7="Solar Wind",POWER(Upgrades!$U$7,F318),1)*IF(Upgrades!$T$8="Solar Wind",POWER(Upgrades!$U$8,G318),1)*IF(Upgrades!$T$9="Solar Wind",POWER(Upgrades!$U$9,H318),1)*IF(Upgrades!$T$10="Solar Wind",POWER(Upgrades!$U$10,I318),1)*IF(Upgrades!$T$11="Solar Wind",POWER(Upgrades!$U$11,J318),1)*IF(Upgrades!$T$12="Solar Wind",POWER(Upgrades!$U$12,K318),1))+(IF(F318=0,0,(Upgrades!$G$7+F318*Upgrades!$H$7)*POWER(Upgrades!$I$7,F318)))*(IF(Upgrades!$T$6="Asteroid Belt",POWER(Upgrades!$U$6,E318),1)*IF(Upgrades!$T$8="Asteroid Belt",POWER(Upgrades!$U$8,G318),1)*IF(Upgrades!$T$9="Asteroid Belt",POWER(Upgrades!$U$9,H318),1)*IF(Upgrades!$T$10="Asteroid Belt",POWER(Upgrades!$U$10,I318),1)*IF(Upgrades!$T$11="Asteroid Belt",POWER(Upgrades!$U$11,J318),1)*IF(Upgrades!$T$12="Asteroid Belt",POWER(Upgrades!$U$12,K318),1))+(IF(G318=0,0,(Upgrades!$G$8+G318*Upgrades!$H$8)*POWER(Upgrades!$I$8,G318)))*(IF(Upgrades!$T$6="Stellar Coupling",POWER(Upgrades!$U$6,E318),1)*IF(Upgrades!$T$7="Stellar Coupling",POWER(Upgrades!$U$7,F318),1)*IF(Upgrades!$T$9="Stellar Coupling",POWER(Upgrades!$U$9,H318),1)*IF(Upgrades!$T$10="Stellar Coupling",POWER(Upgrades!$U$10,I318),1)*IF(Upgrades!$T$11="Stellar Coupling",POWER(Upgrades!$U$11,J318),1)*IF(Upgrades!$T$12="Stellar Coupling",POWER(Upgrades!$U$12,K318),1))+(IF(H318=0,0,(Upgrades!$G$9+H318*Upgrades!$H$9)*POWER(Upgrades!$I$9,H318)))*(IF(Upgrades!$T$6="Magnetosphere",POWER(Upgrades!$U$6,E318),1)*IF(Upgrades!$T$7="Magnetosphere",POWER(Upgrades!$U$7,F318),1)*IF(Upgrades!$T$8="Magnetosphere",POWER(Upgrades!$U$8,G318),1)*IF(Upgrades!$T$10="Magnetosphere",POWER(Upgrades!$U$10,I318),1)*IF(Upgrades!$T$11="Magnetosphere",POWER(Upgrades!$U$11,J318),1)*IF(Upgrades!$T$12="Magnetosphere",POWER(Upgrades!$U$12,K318),1))+(IF(I318=0,0,(Upgrades!$G$10+I318*Upgrades!$H$10)*POWER(Upgrades!$I$10,I318)))*(IF(Upgrades!$T$6="Orbital Resonance",POWER(Upgrades!$U$6,E318),1)*IF(Upgrades!$T$7="Orbital Resonance",POWER(Upgrades!$U$7,F318),1)*IF(Upgrades!$T$8="Orbital Resonance",POWER(Upgrades!$U$8,G318),1)*IF(Upgrades!$T$9="Orbital Resonance",POWER(Upgrades!$U$9,H318),1)*IF(Upgrades!$T$11="Orbital Resonance",POWER(Upgrades!$U$11,J318),1)*IF(Upgrades!$T$12="Orbital Resonance",POWER(Upgrades!$U$12,K318),1))+(IF(J318=0,0,(Upgrades!$G$11+J318*Upgrades!$H$11)*POWER(Upgrades!$I$11,J318)))*(IF(Upgrades!$T$6="Heliopause",POWER(Upgrades!$U$6,E318),1)*IF(Upgrades!$T$7="Heliopause",POWER(Upgrades!$U$7,F318),1)*IF(Upgrades!$T$8="Heliopause",POWER(Upgrades!$U$8,G318),1)*IF(Upgrades!$T$9="Heliopause",POWER(Upgrades!$U$9,H318),1)*IF(Upgrades!$T$10="Heliopause",POWER(Upgrades!$U$10,I318),1)*IF(Upgrades!$T$12="Heliopause",POWER(Upgrades!$U$12,K318),1))+(IF(K318=0,0,(Upgrades!$G$12+K318*Upgrades!$H$12)*POWER(Upgrades!$I$12,K318)))*(IF(Upgrades!$T$6="First Photons",POWER(Upgrades!$U$6,E318),1)*IF(Upgrades!$T$7="First Photons",POWER(Upgrades!$U$7,F318),1)*IF(Upgrades!$T$8="First Photons",POWER(Upgrades!$U$8,G318),1)*IF(Upgrades!$T$9="First Photons",POWER(Upgrades!$U$9,H318),1)*IF(Upgrades!$T$10="First Photons",POWER(Upgrades!$U$10,I318),1)*IF(Upgrades!$T$11="First Photons",POWER(Upgrades!$U$11,J318),1)))*POWER(Upgrades!$P$6,E318)*POWER(Upgrades!$P$7,F318)*POWER(Upgrades!$P$8,G318)*POWER(Upgrades!$P$9,H318)*POWER(Upgrades!$P$10,I318)*POWER(Upgrades!$P$11,J318)*POWER(Upgrades!$P$12,K318)</f>
        <v/>
      </c>
      <c r="O318" s="28">
        <f>((IF(E318=0,0,(Upgrades!$M$6+E318*Upgrades!$N$6)*POWER(Upgrades!$O$6,E318)))*(IF(Upgrades!$T$7="Solar Wind",POWER(Upgrades!$U$7,F318),1)*IF(Upgrades!$T$8="Solar Wind",POWER(Upgrades!$U$8,G318),1)*IF(Upgrades!$T$9="Solar Wind",POWER(Upgrades!$U$9,H318),1)*IF(Upgrades!$T$10="Solar Wind",POWER(Upgrades!$U$10,I318),1)*IF(Upgrades!$T$11="Solar Wind",POWER(Upgrades!$U$11,J318),1)*IF(Upgrades!$T$12="Solar Wind",POWER(Upgrades!$U$12,K318),1))+(IF(F318=0,0,(Upgrades!$M$7+F318*Upgrades!$N$7)*POWER(Upgrades!$O$7,F318)))*(IF(Upgrades!$T$6="Asteroid Belt",POWER(Upgrades!$U$6,E318),1)*IF(Upgrades!$T$8="Asteroid Belt",POWER(Upgrades!$U$8,G318),1)*IF(Upgrades!$T$9="Asteroid Belt",POWER(Upgrades!$U$9,H318),1)*IF(Upgrades!$T$10="Asteroid Belt",POWER(Upgrades!$U$10,I318),1)*IF(Upgrades!$T$11="Asteroid Belt",POWER(Upgrades!$U$11,J318),1)*IF(Upgrades!$T$12="Asteroid Belt",POWER(Upgrades!$U$12,K318),1))+(IF(G318=0,0,(Upgrades!$M$8+G318*Upgrades!$N$8)*POWER(Upgrades!$O$8,G318)))*(IF(Upgrades!$T$6="Stellar Coupling",POWER(Upgrades!$U$6,E318),1)*IF(Upgrades!$T$7="Stellar Coupling",POWER(Upgrades!$U$7,F318),1)*IF(Upgrades!$T$9="Stellar Coupling",POWER(Upgrades!$U$9,H318),1)*IF(Upgrades!$T$10="Stellar Coupling",POWER(Upgrades!$U$10,I318),1)*IF(Upgrades!$T$11="Stellar Coupling",POWER(Upgrades!$U$11,J318),1)*IF(Upgrades!$T$12="Stellar Coupling",POWER(Upgrades!$U$12,K318),1))+(IF(H318=0,0,(Upgrades!$M$9+H318*Upgrades!$N$9)*POWER(Upgrades!$O$9,H318)))*(IF(Upgrades!$T$6="Magnetosphere",POWER(Upgrades!$U$6,E318),1)*IF(Upgrades!$T$7="Magnetosphere",POWER(Upgrades!$U$7,F318),1)*IF(Upgrades!$T$8="Magnetosphere",POWER(Upgrades!$U$8,G318),1)*IF(Upgrades!$T$10="Magnetosphere",POWER(Upgrades!$U$10,I318),1)*IF(Upgrades!$T$11="Magnetosphere",POWER(Upgrades!$U$11,J318),1)*IF(Upgrades!$T$12="Magnetosphere",POWER(Upgrades!$U$12,K318),1))+(IF(I318=0,0,(Upgrades!$M$10+I318*Upgrades!$N$10)*POWER(Upgrades!$O$10,I318)))*(IF(Upgrades!$T$6="Orbital Resonance",POWER(Upgrades!$U$6,E318),1)*IF(Upgrades!$T$7="Orbital Resonance",POWER(Upgrades!$U$7,F318),1)*IF(Upgrades!$T$8="Orbital Resonance",POWER(Upgrades!$U$8,G318),1)*IF(Upgrades!$T$9="Orbital Resonance",POWER(Upgrades!$U$9,H318),1)*IF(Upgrades!$T$11="Orbital Resonance",POWER(Upgrades!$U$11,J318),1)*IF(Upgrades!$T$12="Orbital Resonance",POWER(Upgrades!$U$12,K318),1))+(IF(J318=0,0,(Upgrades!$M$11+J318*Upgrades!$N$11)*POWER(Upgrades!$O$11,J318)))*(IF(Upgrades!$T$6="Heliopause",POWER(Upgrades!$U$6,E318),1)*IF(Upgrades!$T$7="Heliopause",POWER(Upgrades!$U$7,F318),1)*IF(Upgrades!$T$8="Heliopause",POWER(Upgrades!$U$8,G318),1)*IF(Upgrades!$T$9="Heliopause",POWER(Upgrades!$U$9,H318),1)*IF(Upgrades!$T$10="Heliopause",POWER(Upgrades!$U$10,I318),1)*IF(Upgrades!$T$12="Heliopause",POWER(Upgrades!$U$12,K318),1))+(IF(K318=0,0,(Upgrades!$M$12+K318*Upgrades!$N$12)*POWER(Upgrades!$O$12,K318)))*(IF(Upgrades!$T$6="First Photons",POWER(Upgrades!$U$6,E318),1)*IF(Upgrades!$T$7="First Photons",POWER(Upgrades!$U$7,F318),1)*IF(Upgrades!$T$8="First Photons",POWER(Upgrades!$U$8,G318),1)*IF(Upgrades!$T$9="First Photons",POWER(Upgrades!$U$9,H318),1)*IF(Upgrades!$T$10="First Photons",POWER(Upgrades!$U$10,I318),1)*IF(Upgrades!$T$11="First Photons",POWER(Upgrades!$U$11,J318),1)))*POWER(Upgrades!$R$6,E318)*POWER(Upgrades!$R$7,F318)*POWER(Upgrades!$R$8,G318)*POWER(Upgrades!$R$9,H318)*POWER(Upgrades!$R$10,I318)*POWER(Upgrades!$R$11,J318)*POWER(Upgrades!$R$12,K318)</f>
        <v/>
      </c>
      <c r="P318" s="27">
        <f>IF(L318=1,0,M318*Parameters!$B$10/60*Parameters!$B$11*10)</f>
        <v/>
      </c>
      <c r="Q318" s="27">
        <f>IF(L318=1,0,O318*M318*10)</f>
        <v/>
      </c>
      <c r="R318" s="27">
        <f>IF(L318=1,0,N318*10)</f>
        <v/>
      </c>
      <c r="S318" s="27">
        <f>P318+Q318+R318</f>
        <v/>
      </c>
      <c r="T318" s="22">
        <f>C318+S318</f>
        <v/>
      </c>
      <c r="U318" s="33">
        <f>AX318</f>
        <v/>
      </c>
      <c r="V318" s="22">
        <f>IF(U318="",0,IF(U318="transition",0,IF(U318="SW",AG318,IF(U318="AB",AH318,IF(U318="SC",AI318,IF(U318="Mag",AJ318,IF(U318="OR",AK318,IF(U318="HP",AL318,IF(U318="FP",AM318,0)))))))))</f>
        <v/>
      </c>
      <c r="W318" s="27">
        <f>IF(U318="OR",Upgrades!$F$10,IF(U318="HP",Upgrades!$F$11,IF(U318="transition",-Parameters!$B$18,0)))</f>
        <v/>
      </c>
      <c r="X318" s="22">
        <f>T318-V318</f>
        <v/>
      </c>
      <c r="Y318" s="30">
        <f>M318*Parameters!$B$10/60*Parameters!$B$11+O318*M318+N318</f>
        <v/>
      </c>
      <c r="Z318" s="34">
        <f>IF(U318="transition","→ Tier 2 (Stellar Neighborhood)",IF(U318="FP","First Photons — light begins, system quickens",IF(U318="HP","Heliopause acquired",IF(U318="OR","Orbital Resonance — passive multiplier active",IF(AND(AO318=1,L318=0,AN318&lt;&gt;1),"Cohesion ready (waiting on completionist upgrades)","")))))</f>
        <v/>
      </c>
      <c r="AA318" s="27">
        <f>(IF(E318=0,0,(Upgrades!$G$6+E318*Upgrades!$H$6)*POWER(Upgrades!$I$6,E318)))*(IF(Upgrades!$T$7="Solar Wind",POWER(Upgrades!$U$7,F318),1)*IF(Upgrades!$T$8="Solar Wind",POWER(Upgrades!$U$8,G318),1)*IF(Upgrades!$T$9="Solar Wind",POWER(Upgrades!$U$9,H318),1)*IF(Upgrades!$T$10="Solar Wind",POWER(Upgrades!$U$10,I318),1)*IF(Upgrades!$T$11="Solar Wind",POWER(Upgrades!$U$11,J318),1)*IF(Upgrades!$T$12="Solar Wind",POWER(Upgrades!$U$12,K318),1))*POWER(Upgrades!$P$6,E318)*POWER(Upgrades!$P$7,F318)*POWER(Upgrades!$P$8,G318)*POWER(Upgrades!$P$9,H318)*POWER(Upgrades!$P$10,I318)*POWER(Upgrades!$P$11,J318)*POWER(Upgrades!$P$12,K318)*60</f>
        <v/>
      </c>
      <c r="AB318" s="27">
        <f>(IF(F318=0,0,(Upgrades!$G$7+F318*Upgrades!$H$7)*POWER(Upgrades!$I$7,F318)))*(IF(Upgrades!$T$6="Asteroid Belt",POWER(Upgrades!$U$6,E318),1)*IF(Upgrades!$T$8="Asteroid Belt",POWER(Upgrades!$U$8,G318),1)*IF(Upgrades!$T$9="Asteroid Belt",POWER(Upgrades!$U$9,H318),1)*IF(Upgrades!$T$10="Asteroid Belt",POWER(Upgrades!$U$10,I318),1)*IF(Upgrades!$T$11="Asteroid Belt",POWER(Upgrades!$U$11,J318),1)*IF(Upgrades!$T$12="Asteroid Belt",POWER(Upgrades!$U$12,K318),1))*POWER(Upgrades!$P$6,E318)*POWER(Upgrades!$P$7,F318)*POWER(Upgrades!$P$8,G318)*POWER(Upgrades!$P$9,H318)*POWER(Upgrades!$P$10,I318)*POWER(Upgrades!$P$11,J318)*POWER(Upgrades!$P$12,K318)*60</f>
        <v/>
      </c>
      <c r="AC318" s="27">
        <f>(IF(G318=0,0,(Upgrades!$J$8+G318*Upgrades!$K$8)*POWER(Upgrades!$L$8,G318)))*(IF(Upgrades!$T$6="Stellar Coupling",POWER(Upgrades!$U$6,E318),1)*IF(Upgrades!$T$7="Stellar Coupling",POWER(Upgrades!$U$7,F318),1)*IF(Upgrades!$T$9="Stellar Coupling",POWER(Upgrades!$U$9,H318),1)*IF(Upgrades!$T$10="Stellar Coupling",POWER(Upgrades!$U$10,I318),1)*IF(Upgrades!$T$11="Stellar Coupling",POWER(Upgrades!$U$11,J318),1)*IF(Upgrades!$T$12="Stellar Coupling",POWER(Upgrades!$U$12,K318),1))*POWER(Upgrades!$Q$6,E318)*POWER(Upgrades!$Q$7,F318)*POWER(Upgrades!$Q$8,G318)*POWER(Upgrades!$Q$9,H318)*POWER(Upgrades!$Q$10,I318)*POWER(Upgrades!$Q$11,J318)*POWER(Upgrades!$Q$12,K318)*Parameters!$B$10*Parameters!$B$11</f>
        <v/>
      </c>
      <c r="AD318" s="27">
        <f>(IF(H318=0,0,(Upgrades!$G$9+H318*Upgrades!$H$9)*POWER(Upgrades!$I$9,H318)))*(IF(Upgrades!$T$6="Magnetosphere",POWER(Upgrades!$U$6,E318),1)*IF(Upgrades!$T$7="Magnetosphere",POWER(Upgrades!$U$7,F318),1)*IF(Upgrades!$T$8="Magnetosphere",POWER(Upgrades!$U$8,G318),1)*IF(Upgrades!$T$10="Magnetosphere",POWER(Upgrades!$U$10,I318),1)*IF(Upgrades!$T$11="Magnetosphere",POWER(Upgrades!$U$11,J318),1)*IF(Upgrades!$T$12="Magnetosphere",POWER(Upgrades!$U$12,K318),1))*POWER(Upgrades!$P$6,E318)*POWER(Upgrades!$P$7,F318)*POWER(Upgrades!$P$8,G318)*POWER(Upgrades!$P$9,H318)*POWER(Upgrades!$P$10,I318)*POWER(Upgrades!$P$11,J318)*POWER(Upgrades!$P$12,K318)*60</f>
        <v/>
      </c>
      <c r="AE318" s="27">
        <f>(IF(K318=0,0,(Upgrades!$G$12+K318*Upgrades!$H$12)*POWER(Upgrades!$I$12,K318)))*(IF(Upgrades!$T$6="First Photons",POWER(Upgrades!$U$6,E318),1)*IF(Upgrades!$T$7="First Photons",POWER(Upgrades!$U$7,F318),1)*IF(Upgrades!$T$8="First Photons",POWER(Upgrades!$U$8,G318),1)*IF(Upgrades!$T$9="First Photons",POWER(Upgrades!$U$9,H318),1)*IF(Upgrades!$T$10="First Photons",POWER(Upgrades!$U$10,I318),1)*IF(Upgrades!$T$11="First Photons",POWER(Upgrades!$U$11,J318),1))*POWER(Upgrades!$P$6,E318)*POWER(Upgrades!$P$7,F318)*POWER(Upgrades!$P$8,G318)*POWER(Upgrades!$P$9,H318)*POWER(Upgrades!$P$10,I318)*POWER(Upgrades!$P$11,J318)*POWER(Upgrades!$P$12,K318)*60</f>
        <v/>
      </c>
      <c r="AF318" s="27">
        <f>Parameters!$B$9*POWER(Upgrades!$Q$6,E318)*POWER(Upgrades!$Q$7,F318)*POWER(Upgrades!$Q$8,G318)*POWER(Upgrades!$Q$9,H318)*POWER(Upgrades!$Q$10,I318)*POWER(Upgrades!$Q$11,J318)*POWER(Upgrades!$Q$12,K318)*(Parameters!$B$10*Parameters!$B$11+O318*60)</f>
        <v/>
      </c>
      <c r="AG318" s="22">
        <f>IF(E318&gt;=Upgrades!$E$6,"",Upgrades!$C$6*POWER(Upgrades!$D$6,E318))</f>
        <v/>
      </c>
      <c r="AH318" s="22">
        <f>IF(F318&gt;=Upgrades!$E$7,"",Upgrades!$C$7*POWER(Upgrades!$D$7,F318))</f>
        <v/>
      </c>
      <c r="AI318" s="22">
        <f>IF(G318&gt;=Upgrades!$E$8,"",Upgrades!$C$8*POWER(Upgrades!$D$8,G318))</f>
        <v/>
      </c>
      <c r="AJ318" s="22">
        <f>IF(H318&gt;=Upgrades!$E$9,"",Upgrades!$C$9*POWER(Upgrades!$D$9,H318))</f>
        <v/>
      </c>
      <c r="AK318" s="22">
        <f>IF(I318&gt;=Upgrades!$E$10,"",Upgrades!$C$10*POWER(Upgrades!$D$10,I318))</f>
        <v/>
      </c>
      <c r="AL318" s="22">
        <f>IF(J318&gt;=Upgrades!$E$11,"",Upgrades!$C$11*POWER(Upgrades!$D$11,J318))</f>
        <v/>
      </c>
      <c r="AM318" s="22">
        <f>IF(K318&gt;=Upgrades!$E$12,"",Upgrades!$C$12*POWER(Upgrades!$D$12,K318))</f>
        <v/>
      </c>
      <c r="AN318" s="26">
        <f>IF(AND(D318&gt;=Parameters!$B$18,(H318&gt;=Upgrades!$E$9)*(K318&gt;=Upgrades!$E$12)=1,L318=0),1,"")</f>
        <v/>
      </c>
      <c r="AO318" s="26">
        <f>IF(AND(D318&gt;=Parameters!$B$18,L318=0),1,"")</f>
        <v/>
      </c>
      <c r="AP318" s="22">
        <f>MIN(IF(ISNUMBER(AK318),AK318,9E15),IF(ISNUMBER(AL318),AL318,9E15),IF(ISNUMBER(AM318),AM318,9E15))</f>
        <v/>
      </c>
      <c r="AQ318" s="22">
        <f>MIN(IF(ISNUMBER(AG318),AG318,9E15),IF(ISNUMBER(AH318),AH318,9E15),IF(ISNUMBER(AI318),AI318,9E15),IF(ISNUMBER(AJ318),AJ318,9E15))</f>
        <v/>
      </c>
      <c r="AR318" s="29">
        <f>IF(AW318&gt;Parameters!$B$21*(MAX(IF(AND(NOT(AND(AO318=1,AN318&lt;&gt;1)),ISNUMBER(AG318),AG318&lt;=T318),AS318,0),IF(AND(NOT(AND(AO318=1,AN318&lt;&gt;1)),ISNUMBER(AH318),AH318&lt;=T318),AT318,0),IF(AND(NOT(AND(AO318=1,AN318&lt;&gt;1)),ISNUMBER(AI318),AI318&lt;=T318),AU318,0),IF(AND(ISNUMBER(AJ318),AJ318&lt;=T318),AV318,0))),TRUE,FALSE)</f>
        <v/>
      </c>
      <c r="AS318" s="32">
        <f>IFERROR(Upgrades!$H$6*(POWER(Upgrades!$P$6,E318)*POWER(Upgrades!$P$7,F318)*POWER(Upgrades!$P$8,G318)*POWER(Upgrades!$P$9,H318)*POWER(Upgrades!$P$10,I318)*POWER(Upgrades!$P$11,J318)*POWER(Upgrades!$P$12,K318))*(IF(Upgrades!$T$7="Solar Wind",POWER(Upgrades!$U$7,F318),1)*IF(Upgrades!$T$8="Solar Wind",POWER(Upgrades!$U$8,G318),1)*IF(Upgrades!$T$9="Solar Wind",POWER(Upgrades!$U$9,H318),1)*IF(Upgrades!$T$10="Solar Wind",POWER(Upgrades!$U$10,I318),1)*IF(Upgrades!$T$11="Solar Wind",POWER(Upgrades!$U$11,J318),1)*IF(Upgrades!$T$12="Solar Wind",POWER(Upgrades!$U$12,K318),1))/AG318,0)</f>
        <v/>
      </c>
      <c r="AT318" s="32">
        <f>IFERROR(Upgrades!$H$7*(POWER(Upgrades!$P$6,E318)*POWER(Upgrades!$P$7,F318)*POWER(Upgrades!$P$8,G318)*POWER(Upgrades!$P$9,H318)*POWER(Upgrades!$P$10,I318)*POWER(Upgrades!$P$11,J318)*POWER(Upgrades!$P$12,K318))*(IF(Upgrades!$T$6="Asteroid Belt",POWER(Upgrades!$U$6,E318),1)*IF(Upgrades!$T$8="Asteroid Belt",POWER(Upgrades!$U$8,G318),1)*IF(Upgrades!$T$9="Asteroid Belt",POWER(Upgrades!$U$9,H318),1)*IF(Upgrades!$T$10="Asteroid Belt",POWER(Upgrades!$U$10,I318),1)*IF(Upgrades!$T$11="Asteroid Belt",POWER(Upgrades!$U$11,J318),1)*IF(Upgrades!$T$12="Asteroid Belt",POWER(Upgrades!$U$12,K318),1))/AH318,0)</f>
        <v/>
      </c>
      <c r="AU318" s="32">
        <f>IFERROR(Upgrades!$K$8*(POWER(Upgrades!$Q$6,E318)*POWER(Upgrades!$Q$7,F318)*POWER(Upgrades!$Q$8,G318)*POWER(Upgrades!$Q$9,H318)*POWER(Upgrades!$Q$10,I318)*POWER(Upgrades!$Q$11,J318)*POWER(Upgrades!$Q$12,K318))*(IF(Upgrades!$T$6="Stellar Coupling",POWER(Upgrades!$U$6,E318),1)*IF(Upgrades!$T$7="Stellar Coupling",POWER(Upgrades!$U$7,F318),1)*IF(Upgrades!$T$9="Stellar Coupling",POWER(Upgrades!$U$9,H318),1)*IF(Upgrades!$T$10="Stellar Coupling",POWER(Upgrades!$U$10,I318),1)*IF(Upgrades!$T$11="Stellar Coupling",POWER(Upgrades!$U$11,J318),1)*IF(Upgrades!$T$12="Stellar Coupling",POWER(Upgrades!$U$12,K318),1))*Parameters!$B$10*Parameters!$B$11/60/AI318,0)</f>
        <v/>
      </c>
      <c r="AV318" s="32">
        <f>IFERROR(Upgrades!$H$9*(POWER(Upgrades!$P$6,E318)*POWER(Upgrades!$P$7,F318)*POWER(Upgrades!$P$8,G318)*POWER(Upgrades!$P$9,H318)*POWER(Upgrades!$P$10,I318)*POWER(Upgrades!$P$11,J318)*POWER(Upgrades!$P$12,K318))*(IF(Upgrades!$T$6="Magnetosphere",POWER(Upgrades!$U$6,E318),1)*IF(Upgrades!$T$7="Magnetosphere",POWER(Upgrades!$U$7,F318),1)*IF(Upgrades!$T$8="Magnetosphere",POWER(Upgrades!$U$8,G318),1)*IF(Upgrades!$T$10="Magnetosphere",POWER(Upgrades!$U$10,I318),1)*IF(Upgrades!$T$11="Magnetosphere",POWER(Upgrades!$U$11,J318),1)*IF(Upgrades!$T$12="Magnetosphere",POWER(Upgrades!$U$12,K318),1))/AJ318,0)</f>
        <v/>
      </c>
      <c r="AW318" s="32">
        <f>MAX(IF(I318&gt;0,0,IFERROR(0.25*N318/Upgrades!$C$10,0)),IF(J318&gt;0,0,IFERROR(0.5*((IF(G318=0,0,(Upgrades!$J$8+G318*Upgrades!$K$8)*POWER(Upgrades!$L$8,G318)))*(IF(Upgrades!$T$6="Stellar Coupling",POWER(Upgrades!$U$6,E318),1)*IF(Upgrades!$T$7="Stellar Coupling",POWER(Upgrades!$U$7,F318),1)*IF(Upgrades!$T$9="Stellar Coupling",POWER(Upgrades!$U$9,H318),1)*IF(Upgrades!$T$10="Stellar Coupling",POWER(Upgrades!$U$10,I318),1)*IF(Upgrades!$T$11="Stellar Coupling",POWER(Upgrades!$U$11,J318),1)*IF(Upgrades!$T$12="Stellar Coupling",POWER(Upgrades!$U$12,K318),1))*(POWER(Upgrades!$Q$6,E318)*POWER(Upgrades!$Q$7,F318)*POWER(Upgrades!$Q$8,G318)*POWER(Upgrades!$Q$9,H318)*POWER(Upgrades!$Q$10,I318)*POWER(Upgrades!$Q$11,J318)*POWER(Upgrades!$Q$12,K318))*Parameters!$B$10*Parameters!$B$11/60)/Upgrades!$C$11,0)),IF(K318&gt;0,0,IFERROR((1.0*(POWER(Upgrades!$P$6,E318)*POWER(Upgrades!$P$7,F318)*POWER(Upgrades!$P$8,G318)*POWER(Upgrades!$P$9,H318)*POWER(Upgrades!$P$10,I318)*POWER(Upgrades!$P$11,J318)*POWER(Upgrades!$P$12,K318))+0.20*M318*Parameters!$B$10*Parameters!$B$11/60)/Upgrades!$C$12,0)),IF(AND(ISNUMBER(AG318),AG318&gt;T318),AS318,0),IF(AND(ISNUMBER(AH318),AH318&gt;T318),AT318,0),IF(AND(ISNUMBER(AI318),AI318&gt;T318),AU318,0),IF(AND(ISNUMBER(AJ318),AJ318&gt;T318),AV318,0))</f>
        <v/>
      </c>
      <c r="AX318" s="29">
        <f>IF(AN318=1,"transition",IF(MIN(IF(AND(I318=0,ISNUMBER(AK318),AK318&lt;=T318),AK318,9E15),IF(AND(J318=0,ISNUMBER(AL318),AL318&lt;=T318),AL318,9E15),IF(AND(K318=0,ISNUMBER(AM318),AM318&lt;=T318),AM318,9E15))&lt;9E15,IF(AND(AND(I318=0,ISNUMBER(AK318),AK318&lt;=T318),AK318=MIN(IF(AND(I318=0,ISNUMBER(AK318),AK318&lt;=T318),AK318,9E15),IF(AND(J318=0,ISNUMBER(AL318),AL318&lt;=T318),AL318,9E15),IF(AND(K318=0,ISNUMBER(AM318),AM318&lt;=T318),AM318,9E15))),"OR",IF(AND(AND(J318=0,ISNUMBER(AL318),AL318&lt;=T318),AL318=MIN(IF(AND(I318=0,ISNUMBER(AK318),AK318&lt;=T318),AK318,9E15),IF(AND(J318=0,ISNUMBER(AL318),AL318&lt;=T318),AL318,9E15),IF(AND(K318=0,ISNUMBER(AM318),AM318&lt;=T318),AM318,9E15))),"HP","FP")),IF(AR318=TRUE,"",IF(MAX(IF(AND(NOT(AND(AO318=1,AN318&lt;&gt;1)),ISNUMBER(AG318),AG318&lt;=T318),AS318,0),IF(AND(NOT(AND(AO318=1,AN318&lt;&gt;1)),ISNUMBER(AH318),AH318&lt;=T318),AT318,0),IF(AND(NOT(AND(AO318=1,AN318&lt;&gt;1)),ISNUMBER(AI318),AI318&lt;=T318),AU318,0),IF(AND(ISNUMBER(AJ318),AJ318&lt;=T318),AV318,0))&lt;=0,"",IF(AND(IF(AND(NOT(AND(AO318=1,AN318&lt;&gt;1)),ISNUMBER(AG318),AG318&lt;=T318),AS318,0)&gt;0,IF(AND(NOT(AND(AO318=1,AN318&lt;&gt;1)),ISNUMBER(AG318),AG318&lt;=T318),AS318,0)=MAX(IF(AND(NOT(AND(AO318=1,AN318&lt;&gt;1)),ISNUMBER(AG318),AG318&lt;=T318),AS318,0),IF(AND(NOT(AND(AO318=1,AN318&lt;&gt;1)),ISNUMBER(AH318),AH318&lt;=T318),AT318,0),IF(AND(NOT(AND(AO318=1,AN318&lt;&gt;1)),ISNUMBER(AI318),AI318&lt;=T318),AU318,0),IF(AND(ISNUMBER(AJ318),AJ318&lt;=T318),AV318,0))),"SW",IF(AND(IF(AND(NOT(AND(AO318=1,AN318&lt;&gt;1)),ISNUMBER(AH318),AH318&lt;=T318),AT318,0)&gt;0,IF(AND(NOT(AND(AO318=1,AN318&lt;&gt;1)),ISNUMBER(AH318),AH318&lt;=T318),AT318,0)=MAX(IF(AND(NOT(AND(AO318=1,AN318&lt;&gt;1)),ISNUMBER(AG318),AG318&lt;=T318),AS318,0),IF(AND(NOT(AND(AO318=1,AN318&lt;&gt;1)),ISNUMBER(AH318),AH318&lt;=T318),AT318,0),IF(AND(NOT(AND(AO318=1,AN318&lt;&gt;1)),ISNUMBER(AI318),AI318&lt;=T318),AU318,0),IF(AND(ISNUMBER(AJ318),AJ318&lt;=T318),AV318,0))),"AB",IF(AND(IF(AND(NOT(AND(AO318=1,AN318&lt;&gt;1)),ISNUMBER(AI318),AI318&lt;=T318),AU318,0)&gt;0,IF(AND(NOT(AND(AO318=1,AN318&lt;&gt;1)),ISNUMBER(AI318),AI318&lt;=T318),AU318,0)=MAX(IF(AND(NOT(AND(AO318=1,AN318&lt;&gt;1)),ISNUMBER(AG318),AG318&lt;=T318),AS318,0),IF(AND(NOT(AND(AO318=1,AN318&lt;&gt;1)),ISNUMBER(AH318),AH318&lt;=T318),AT318,0),IF(AND(NOT(AND(AO318=1,AN318&lt;&gt;1)),ISNUMBER(AI318),AI318&lt;=T318),AU318,0),IF(AND(ISNUMBER(AJ318),AJ318&lt;=T318),AV318,0))),"SC","Mag")))))))</f>
        <v/>
      </c>
    </row>
    <row r="319">
      <c r="A319" s="26" t="n">
        <v>314</v>
      </c>
      <c r="B319" s="27">
        <f>A319*10/60</f>
        <v/>
      </c>
      <c r="C319" s="22">
        <f>X318</f>
        <v/>
      </c>
      <c r="D319" s="27">
        <f>D318+W318</f>
        <v/>
      </c>
      <c r="E319" s="26">
        <f>E318+IF(U318="SW",1,0)</f>
        <v/>
      </c>
      <c r="F319" s="26">
        <f>F318+IF(U318="AB",1,0)</f>
        <v/>
      </c>
      <c r="G319" s="26">
        <f>G318+IF(U318="SC",1,0)</f>
        <v/>
      </c>
      <c r="H319" s="26">
        <f>H318+IF(U318="Mag",1,0)</f>
        <v/>
      </c>
      <c r="I319" s="26">
        <f>MAX(I318,IF(U318="OR",1,0))</f>
        <v/>
      </c>
      <c r="J319" s="26">
        <f>MAX(J318,IF(U318="HP",1,0))</f>
        <v/>
      </c>
      <c r="K319" s="26">
        <f>MAX(K318,IF(U318="FP",1,0))</f>
        <v/>
      </c>
      <c r="L319" s="26">
        <f>MAX(L318,IF(U318="transition",1,0))</f>
        <v/>
      </c>
      <c r="M319" s="28">
        <f>(Parameters!$B$9+(IF(E319=0,0,(Upgrades!$J$6+E319*Upgrades!$K$6)*POWER(Upgrades!$L$6,E319)))*(IF(Upgrades!$T$7="Solar Wind",POWER(Upgrades!$U$7,F319),1)*IF(Upgrades!$T$8="Solar Wind",POWER(Upgrades!$U$8,G319),1)*IF(Upgrades!$T$9="Solar Wind",POWER(Upgrades!$U$9,H319),1)*IF(Upgrades!$T$10="Solar Wind",POWER(Upgrades!$U$10,I319),1)*IF(Upgrades!$T$11="Solar Wind",POWER(Upgrades!$U$11,J319),1)*IF(Upgrades!$T$12="Solar Wind",POWER(Upgrades!$U$12,K319),1))+(IF(F319=0,0,(Upgrades!$J$7+F319*Upgrades!$K$7)*POWER(Upgrades!$L$7,F319)))*(IF(Upgrades!$T$6="Asteroid Belt",POWER(Upgrades!$U$6,E319),1)*IF(Upgrades!$T$8="Asteroid Belt",POWER(Upgrades!$U$8,G319),1)*IF(Upgrades!$T$9="Asteroid Belt",POWER(Upgrades!$U$9,H319),1)*IF(Upgrades!$T$10="Asteroid Belt",POWER(Upgrades!$U$10,I319),1)*IF(Upgrades!$T$11="Asteroid Belt",POWER(Upgrades!$U$11,J319),1)*IF(Upgrades!$T$12="Asteroid Belt",POWER(Upgrades!$U$12,K319),1))+(IF(G319=0,0,(Upgrades!$J$8+G319*Upgrades!$K$8)*POWER(Upgrades!$L$8,G319)))*(IF(Upgrades!$T$6="Stellar Coupling",POWER(Upgrades!$U$6,E319),1)*IF(Upgrades!$T$7="Stellar Coupling",POWER(Upgrades!$U$7,F319),1)*IF(Upgrades!$T$9="Stellar Coupling",POWER(Upgrades!$U$9,H319),1)*IF(Upgrades!$T$10="Stellar Coupling",POWER(Upgrades!$U$10,I319),1)*IF(Upgrades!$T$11="Stellar Coupling",POWER(Upgrades!$U$11,J319),1)*IF(Upgrades!$T$12="Stellar Coupling",POWER(Upgrades!$U$12,K319),1))+(IF(H319=0,0,(Upgrades!$J$9+H319*Upgrades!$K$9)*POWER(Upgrades!$L$9,H319)))*(IF(Upgrades!$T$6="Magnetosphere",POWER(Upgrades!$U$6,E319),1)*IF(Upgrades!$T$7="Magnetosphere",POWER(Upgrades!$U$7,F319),1)*IF(Upgrades!$T$8="Magnetosphere",POWER(Upgrades!$U$8,G319),1)*IF(Upgrades!$T$10="Magnetosphere",POWER(Upgrades!$U$10,I319),1)*IF(Upgrades!$T$11="Magnetosphere",POWER(Upgrades!$U$11,J319),1)*IF(Upgrades!$T$12="Magnetosphere",POWER(Upgrades!$U$12,K319),1))+(IF(I319=0,0,(Upgrades!$J$10+I319*Upgrades!$K$10)*POWER(Upgrades!$L$10,I319)))*(IF(Upgrades!$T$6="Orbital Resonance",POWER(Upgrades!$U$6,E319),1)*IF(Upgrades!$T$7="Orbital Resonance",POWER(Upgrades!$U$7,F319),1)*IF(Upgrades!$T$8="Orbital Resonance",POWER(Upgrades!$U$8,G319),1)*IF(Upgrades!$T$9="Orbital Resonance",POWER(Upgrades!$U$9,H319),1)*IF(Upgrades!$T$11="Orbital Resonance",POWER(Upgrades!$U$11,J319),1)*IF(Upgrades!$T$12="Orbital Resonance",POWER(Upgrades!$U$12,K319),1))+(IF(J319=0,0,(Upgrades!$J$11+J319*Upgrades!$K$11)*POWER(Upgrades!$L$11,J319)))*(IF(Upgrades!$T$6="Heliopause",POWER(Upgrades!$U$6,E319),1)*IF(Upgrades!$T$7="Heliopause",POWER(Upgrades!$U$7,F319),1)*IF(Upgrades!$T$8="Heliopause",POWER(Upgrades!$U$8,G319),1)*IF(Upgrades!$T$9="Heliopause",POWER(Upgrades!$U$9,H319),1)*IF(Upgrades!$T$10="Heliopause",POWER(Upgrades!$U$10,I319),1)*IF(Upgrades!$T$12="Heliopause",POWER(Upgrades!$U$12,K319),1))+(IF(K319=0,0,(Upgrades!$J$12+K319*Upgrades!$K$12)*POWER(Upgrades!$L$12,K319)))*(IF(Upgrades!$T$6="First Photons",POWER(Upgrades!$U$6,E319),1)*IF(Upgrades!$T$7="First Photons",POWER(Upgrades!$U$7,F319),1)*IF(Upgrades!$T$8="First Photons",POWER(Upgrades!$U$8,G319),1)*IF(Upgrades!$T$9="First Photons",POWER(Upgrades!$U$9,H319),1)*IF(Upgrades!$T$10="First Photons",POWER(Upgrades!$U$10,I319),1)*IF(Upgrades!$T$11="First Photons",POWER(Upgrades!$U$11,J319),1)))*POWER(Upgrades!$Q$6,E319)*POWER(Upgrades!$Q$7,F319)*POWER(Upgrades!$Q$8,G319)*POWER(Upgrades!$Q$9,H319)*POWER(Upgrades!$Q$10,I319)*POWER(Upgrades!$Q$11,J319)*POWER(Upgrades!$Q$12,K319)</f>
        <v/>
      </c>
      <c r="N319" s="28">
        <f>((IF(E319=0,0,(Upgrades!$G$6+E319*Upgrades!$H$6)*POWER(Upgrades!$I$6,E319)))*(IF(Upgrades!$T$7="Solar Wind",POWER(Upgrades!$U$7,F319),1)*IF(Upgrades!$T$8="Solar Wind",POWER(Upgrades!$U$8,G319),1)*IF(Upgrades!$T$9="Solar Wind",POWER(Upgrades!$U$9,H319),1)*IF(Upgrades!$T$10="Solar Wind",POWER(Upgrades!$U$10,I319),1)*IF(Upgrades!$T$11="Solar Wind",POWER(Upgrades!$U$11,J319),1)*IF(Upgrades!$T$12="Solar Wind",POWER(Upgrades!$U$12,K319),1))+(IF(F319=0,0,(Upgrades!$G$7+F319*Upgrades!$H$7)*POWER(Upgrades!$I$7,F319)))*(IF(Upgrades!$T$6="Asteroid Belt",POWER(Upgrades!$U$6,E319),1)*IF(Upgrades!$T$8="Asteroid Belt",POWER(Upgrades!$U$8,G319),1)*IF(Upgrades!$T$9="Asteroid Belt",POWER(Upgrades!$U$9,H319),1)*IF(Upgrades!$T$10="Asteroid Belt",POWER(Upgrades!$U$10,I319),1)*IF(Upgrades!$T$11="Asteroid Belt",POWER(Upgrades!$U$11,J319),1)*IF(Upgrades!$T$12="Asteroid Belt",POWER(Upgrades!$U$12,K319),1))+(IF(G319=0,0,(Upgrades!$G$8+G319*Upgrades!$H$8)*POWER(Upgrades!$I$8,G319)))*(IF(Upgrades!$T$6="Stellar Coupling",POWER(Upgrades!$U$6,E319),1)*IF(Upgrades!$T$7="Stellar Coupling",POWER(Upgrades!$U$7,F319),1)*IF(Upgrades!$T$9="Stellar Coupling",POWER(Upgrades!$U$9,H319),1)*IF(Upgrades!$T$10="Stellar Coupling",POWER(Upgrades!$U$10,I319),1)*IF(Upgrades!$T$11="Stellar Coupling",POWER(Upgrades!$U$11,J319),1)*IF(Upgrades!$T$12="Stellar Coupling",POWER(Upgrades!$U$12,K319),1))+(IF(H319=0,0,(Upgrades!$G$9+H319*Upgrades!$H$9)*POWER(Upgrades!$I$9,H319)))*(IF(Upgrades!$T$6="Magnetosphere",POWER(Upgrades!$U$6,E319),1)*IF(Upgrades!$T$7="Magnetosphere",POWER(Upgrades!$U$7,F319),1)*IF(Upgrades!$T$8="Magnetosphere",POWER(Upgrades!$U$8,G319),1)*IF(Upgrades!$T$10="Magnetosphere",POWER(Upgrades!$U$10,I319),1)*IF(Upgrades!$T$11="Magnetosphere",POWER(Upgrades!$U$11,J319),1)*IF(Upgrades!$T$12="Magnetosphere",POWER(Upgrades!$U$12,K319),1))+(IF(I319=0,0,(Upgrades!$G$10+I319*Upgrades!$H$10)*POWER(Upgrades!$I$10,I319)))*(IF(Upgrades!$T$6="Orbital Resonance",POWER(Upgrades!$U$6,E319),1)*IF(Upgrades!$T$7="Orbital Resonance",POWER(Upgrades!$U$7,F319),1)*IF(Upgrades!$T$8="Orbital Resonance",POWER(Upgrades!$U$8,G319),1)*IF(Upgrades!$T$9="Orbital Resonance",POWER(Upgrades!$U$9,H319),1)*IF(Upgrades!$T$11="Orbital Resonance",POWER(Upgrades!$U$11,J319),1)*IF(Upgrades!$T$12="Orbital Resonance",POWER(Upgrades!$U$12,K319),1))+(IF(J319=0,0,(Upgrades!$G$11+J319*Upgrades!$H$11)*POWER(Upgrades!$I$11,J319)))*(IF(Upgrades!$T$6="Heliopause",POWER(Upgrades!$U$6,E319),1)*IF(Upgrades!$T$7="Heliopause",POWER(Upgrades!$U$7,F319),1)*IF(Upgrades!$T$8="Heliopause",POWER(Upgrades!$U$8,G319),1)*IF(Upgrades!$T$9="Heliopause",POWER(Upgrades!$U$9,H319),1)*IF(Upgrades!$T$10="Heliopause",POWER(Upgrades!$U$10,I319),1)*IF(Upgrades!$T$12="Heliopause",POWER(Upgrades!$U$12,K319),1))+(IF(K319=0,0,(Upgrades!$G$12+K319*Upgrades!$H$12)*POWER(Upgrades!$I$12,K319)))*(IF(Upgrades!$T$6="First Photons",POWER(Upgrades!$U$6,E319),1)*IF(Upgrades!$T$7="First Photons",POWER(Upgrades!$U$7,F319),1)*IF(Upgrades!$T$8="First Photons",POWER(Upgrades!$U$8,G319),1)*IF(Upgrades!$T$9="First Photons",POWER(Upgrades!$U$9,H319),1)*IF(Upgrades!$T$10="First Photons",POWER(Upgrades!$U$10,I319),1)*IF(Upgrades!$T$11="First Photons",POWER(Upgrades!$U$11,J319),1)))*POWER(Upgrades!$P$6,E319)*POWER(Upgrades!$P$7,F319)*POWER(Upgrades!$P$8,G319)*POWER(Upgrades!$P$9,H319)*POWER(Upgrades!$P$10,I319)*POWER(Upgrades!$P$11,J319)*POWER(Upgrades!$P$12,K319)</f>
        <v/>
      </c>
      <c r="O319" s="28">
        <f>((IF(E319=0,0,(Upgrades!$M$6+E319*Upgrades!$N$6)*POWER(Upgrades!$O$6,E319)))*(IF(Upgrades!$T$7="Solar Wind",POWER(Upgrades!$U$7,F319),1)*IF(Upgrades!$T$8="Solar Wind",POWER(Upgrades!$U$8,G319),1)*IF(Upgrades!$T$9="Solar Wind",POWER(Upgrades!$U$9,H319),1)*IF(Upgrades!$T$10="Solar Wind",POWER(Upgrades!$U$10,I319),1)*IF(Upgrades!$T$11="Solar Wind",POWER(Upgrades!$U$11,J319),1)*IF(Upgrades!$T$12="Solar Wind",POWER(Upgrades!$U$12,K319),1))+(IF(F319=0,0,(Upgrades!$M$7+F319*Upgrades!$N$7)*POWER(Upgrades!$O$7,F319)))*(IF(Upgrades!$T$6="Asteroid Belt",POWER(Upgrades!$U$6,E319),1)*IF(Upgrades!$T$8="Asteroid Belt",POWER(Upgrades!$U$8,G319),1)*IF(Upgrades!$T$9="Asteroid Belt",POWER(Upgrades!$U$9,H319),1)*IF(Upgrades!$T$10="Asteroid Belt",POWER(Upgrades!$U$10,I319),1)*IF(Upgrades!$T$11="Asteroid Belt",POWER(Upgrades!$U$11,J319),1)*IF(Upgrades!$T$12="Asteroid Belt",POWER(Upgrades!$U$12,K319),1))+(IF(G319=0,0,(Upgrades!$M$8+G319*Upgrades!$N$8)*POWER(Upgrades!$O$8,G319)))*(IF(Upgrades!$T$6="Stellar Coupling",POWER(Upgrades!$U$6,E319),1)*IF(Upgrades!$T$7="Stellar Coupling",POWER(Upgrades!$U$7,F319),1)*IF(Upgrades!$T$9="Stellar Coupling",POWER(Upgrades!$U$9,H319),1)*IF(Upgrades!$T$10="Stellar Coupling",POWER(Upgrades!$U$10,I319),1)*IF(Upgrades!$T$11="Stellar Coupling",POWER(Upgrades!$U$11,J319),1)*IF(Upgrades!$T$12="Stellar Coupling",POWER(Upgrades!$U$12,K319),1))+(IF(H319=0,0,(Upgrades!$M$9+H319*Upgrades!$N$9)*POWER(Upgrades!$O$9,H319)))*(IF(Upgrades!$T$6="Magnetosphere",POWER(Upgrades!$U$6,E319),1)*IF(Upgrades!$T$7="Magnetosphere",POWER(Upgrades!$U$7,F319),1)*IF(Upgrades!$T$8="Magnetosphere",POWER(Upgrades!$U$8,G319),1)*IF(Upgrades!$T$10="Magnetosphere",POWER(Upgrades!$U$10,I319),1)*IF(Upgrades!$T$11="Magnetosphere",POWER(Upgrades!$U$11,J319),1)*IF(Upgrades!$T$12="Magnetosphere",POWER(Upgrades!$U$12,K319),1))+(IF(I319=0,0,(Upgrades!$M$10+I319*Upgrades!$N$10)*POWER(Upgrades!$O$10,I319)))*(IF(Upgrades!$T$6="Orbital Resonance",POWER(Upgrades!$U$6,E319),1)*IF(Upgrades!$T$7="Orbital Resonance",POWER(Upgrades!$U$7,F319),1)*IF(Upgrades!$T$8="Orbital Resonance",POWER(Upgrades!$U$8,G319),1)*IF(Upgrades!$T$9="Orbital Resonance",POWER(Upgrades!$U$9,H319),1)*IF(Upgrades!$T$11="Orbital Resonance",POWER(Upgrades!$U$11,J319),1)*IF(Upgrades!$T$12="Orbital Resonance",POWER(Upgrades!$U$12,K319),1))+(IF(J319=0,0,(Upgrades!$M$11+J319*Upgrades!$N$11)*POWER(Upgrades!$O$11,J319)))*(IF(Upgrades!$T$6="Heliopause",POWER(Upgrades!$U$6,E319),1)*IF(Upgrades!$T$7="Heliopause",POWER(Upgrades!$U$7,F319),1)*IF(Upgrades!$T$8="Heliopause",POWER(Upgrades!$U$8,G319),1)*IF(Upgrades!$T$9="Heliopause",POWER(Upgrades!$U$9,H319),1)*IF(Upgrades!$T$10="Heliopause",POWER(Upgrades!$U$10,I319),1)*IF(Upgrades!$T$12="Heliopause",POWER(Upgrades!$U$12,K319),1))+(IF(K319=0,0,(Upgrades!$M$12+K319*Upgrades!$N$12)*POWER(Upgrades!$O$12,K319)))*(IF(Upgrades!$T$6="First Photons",POWER(Upgrades!$U$6,E319),1)*IF(Upgrades!$T$7="First Photons",POWER(Upgrades!$U$7,F319),1)*IF(Upgrades!$T$8="First Photons",POWER(Upgrades!$U$8,G319),1)*IF(Upgrades!$T$9="First Photons",POWER(Upgrades!$U$9,H319),1)*IF(Upgrades!$T$10="First Photons",POWER(Upgrades!$U$10,I319),1)*IF(Upgrades!$T$11="First Photons",POWER(Upgrades!$U$11,J319),1)))*POWER(Upgrades!$R$6,E319)*POWER(Upgrades!$R$7,F319)*POWER(Upgrades!$R$8,G319)*POWER(Upgrades!$R$9,H319)*POWER(Upgrades!$R$10,I319)*POWER(Upgrades!$R$11,J319)*POWER(Upgrades!$R$12,K319)</f>
        <v/>
      </c>
      <c r="P319" s="27">
        <f>IF(L319=1,0,M319*Parameters!$B$10/60*Parameters!$B$11*10)</f>
        <v/>
      </c>
      <c r="Q319" s="27">
        <f>IF(L319=1,0,O319*M319*10)</f>
        <v/>
      </c>
      <c r="R319" s="27">
        <f>IF(L319=1,0,N319*10)</f>
        <v/>
      </c>
      <c r="S319" s="27">
        <f>P319+Q319+R319</f>
        <v/>
      </c>
      <c r="T319" s="22">
        <f>C319+S319</f>
        <v/>
      </c>
      <c r="U319" s="33">
        <f>AX319</f>
        <v/>
      </c>
      <c r="V319" s="22">
        <f>IF(U319="",0,IF(U319="transition",0,IF(U319="SW",AG319,IF(U319="AB",AH319,IF(U319="SC",AI319,IF(U319="Mag",AJ319,IF(U319="OR",AK319,IF(U319="HP",AL319,IF(U319="FP",AM319,0)))))))))</f>
        <v/>
      </c>
      <c r="W319" s="27">
        <f>IF(U319="OR",Upgrades!$F$10,IF(U319="HP",Upgrades!$F$11,IF(U319="transition",-Parameters!$B$18,0)))</f>
        <v/>
      </c>
      <c r="X319" s="22">
        <f>T319-V319</f>
        <v/>
      </c>
      <c r="Y319" s="30">
        <f>M319*Parameters!$B$10/60*Parameters!$B$11+O319*M319+N319</f>
        <v/>
      </c>
      <c r="Z319" s="34">
        <f>IF(U319="transition","→ Tier 2 (Stellar Neighborhood)",IF(U319="FP","First Photons — light begins, system quickens",IF(U319="HP","Heliopause acquired",IF(U319="OR","Orbital Resonance — passive multiplier active",IF(AND(AO319=1,L319=0,AN319&lt;&gt;1),"Cohesion ready (waiting on completionist upgrades)","")))))</f>
        <v/>
      </c>
      <c r="AA319" s="27">
        <f>(IF(E319=0,0,(Upgrades!$G$6+E319*Upgrades!$H$6)*POWER(Upgrades!$I$6,E319)))*(IF(Upgrades!$T$7="Solar Wind",POWER(Upgrades!$U$7,F319),1)*IF(Upgrades!$T$8="Solar Wind",POWER(Upgrades!$U$8,G319),1)*IF(Upgrades!$T$9="Solar Wind",POWER(Upgrades!$U$9,H319),1)*IF(Upgrades!$T$10="Solar Wind",POWER(Upgrades!$U$10,I319),1)*IF(Upgrades!$T$11="Solar Wind",POWER(Upgrades!$U$11,J319),1)*IF(Upgrades!$T$12="Solar Wind",POWER(Upgrades!$U$12,K319),1))*POWER(Upgrades!$P$6,E319)*POWER(Upgrades!$P$7,F319)*POWER(Upgrades!$P$8,G319)*POWER(Upgrades!$P$9,H319)*POWER(Upgrades!$P$10,I319)*POWER(Upgrades!$P$11,J319)*POWER(Upgrades!$P$12,K319)*60</f>
        <v/>
      </c>
      <c r="AB319" s="27">
        <f>(IF(F319=0,0,(Upgrades!$G$7+F319*Upgrades!$H$7)*POWER(Upgrades!$I$7,F319)))*(IF(Upgrades!$T$6="Asteroid Belt",POWER(Upgrades!$U$6,E319),1)*IF(Upgrades!$T$8="Asteroid Belt",POWER(Upgrades!$U$8,G319),1)*IF(Upgrades!$T$9="Asteroid Belt",POWER(Upgrades!$U$9,H319),1)*IF(Upgrades!$T$10="Asteroid Belt",POWER(Upgrades!$U$10,I319),1)*IF(Upgrades!$T$11="Asteroid Belt",POWER(Upgrades!$U$11,J319),1)*IF(Upgrades!$T$12="Asteroid Belt",POWER(Upgrades!$U$12,K319),1))*POWER(Upgrades!$P$6,E319)*POWER(Upgrades!$P$7,F319)*POWER(Upgrades!$P$8,G319)*POWER(Upgrades!$P$9,H319)*POWER(Upgrades!$P$10,I319)*POWER(Upgrades!$P$11,J319)*POWER(Upgrades!$P$12,K319)*60</f>
        <v/>
      </c>
      <c r="AC319" s="27">
        <f>(IF(G319=0,0,(Upgrades!$J$8+G319*Upgrades!$K$8)*POWER(Upgrades!$L$8,G319)))*(IF(Upgrades!$T$6="Stellar Coupling",POWER(Upgrades!$U$6,E319),1)*IF(Upgrades!$T$7="Stellar Coupling",POWER(Upgrades!$U$7,F319),1)*IF(Upgrades!$T$9="Stellar Coupling",POWER(Upgrades!$U$9,H319),1)*IF(Upgrades!$T$10="Stellar Coupling",POWER(Upgrades!$U$10,I319),1)*IF(Upgrades!$T$11="Stellar Coupling",POWER(Upgrades!$U$11,J319),1)*IF(Upgrades!$T$12="Stellar Coupling",POWER(Upgrades!$U$12,K319),1))*POWER(Upgrades!$Q$6,E319)*POWER(Upgrades!$Q$7,F319)*POWER(Upgrades!$Q$8,G319)*POWER(Upgrades!$Q$9,H319)*POWER(Upgrades!$Q$10,I319)*POWER(Upgrades!$Q$11,J319)*POWER(Upgrades!$Q$12,K319)*Parameters!$B$10*Parameters!$B$11</f>
        <v/>
      </c>
      <c r="AD319" s="27">
        <f>(IF(H319=0,0,(Upgrades!$G$9+H319*Upgrades!$H$9)*POWER(Upgrades!$I$9,H319)))*(IF(Upgrades!$T$6="Magnetosphere",POWER(Upgrades!$U$6,E319),1)*IF(Upgrades!$T$7="Magnetosphere",POWER(Upgrades!$U$7,F319),1)*IF(Upgrades!$T$8="Magnetosphere",POWER(Upgrades!$U$8,G319),1)*IF(Upgrades!$T$10="Magnetosphere",POWER(Upgrades!$U$10,I319),1)*IF(Upgrades!$T$11="Magnetosphere",POWER(Upgrades!$U$11,J319),1)*IF(Upgrades!$T$12="Magnetosphere",POWER(Upgrades!$U$12,K319),1))*POWER(Upgrades!$P$6,E319)*POWER(Upgrades!$P$7,F319)*POWER(Upgrades!$P$8,G319)*POWER(Upgrades!$P$9,H319)*POWER(Upgrades!$P$10,I319)*POWER(Upgrades!$P$11,J319)*POWER(Upgrades!$P$12,K319)*60</f>
        <v/>
      </c>
      <c r="AE319" s="27">
        <f>(IF(K319=0,0,(Upgrades!$G$12+K319*Upgrades!$H$12)*POWER(Upgrades!$I$12,K319)))*(IF(Upgrades!$T$6="First Photons",POWER(Upgrades!$U$6,E319),1)*IF(Upgrades!$T$7="First Photons",POWER(Upgrades!$U$7,F319),1)*IF(Upgrades!$T$8="First Photons",POWER(Upgrades!$U$8,G319),1)*IF(Upgrades!$T$9="First Photons",POWER(Upgrades!$U$9,H319),1)*IF(Upgrades!$T$10="First Photons",POWER(Upgrades!$U$10,I319),1)*IF(Upgrades!$T$11="First Photons",POWER(Upgrades!$U$11,J319),1))*POWER(Upgrades!$P$6,E319)*POWER(Upgrades!$P$7,F319)*POWER(Upgrades!$P$8,G319)*POWER(Upgrades!$P$9,H319)*POWER(Upgrades!$P$10,I319)*POWER(Upgrades!$P$11,J319)*POWER(Upgrades!$P$12,K319)*60</f>
        <v/>
      </c>
      <c r="AF319" s="27">
        <f>Parameters!$B$9*POWER(Upgrades!$Q$6,E319)*POWER(Upgrades!$Q$7,F319)*POWER(Upgrades!$Q$8,G319)*POWER(Upgrades!$Q$9,H319)*POWER(Upgrades!$Q$10,I319)*POWER(Upgrades!$Q$11,J319)*POWER(Upgrades!$Q$12,K319)*(Parameters!$B$10*Parameters!$B$11+O319*60)</f>
        <v/>
      </c>
      <c r="AG319" s="22">
        <f>IF(E319&gt;=Upgrades!$E$6,"",Upgrades!$C$6*POWER(Upgrades!$D$6,E319))</f>
        <v/>
      </c>
      <c r="AH319" s="22">
        <f>IF(F319&gt;=Upgrades!$E$7,"",Upgrades!$C$7*POWER(Upgrades!$D$7,F319))</f>
        <v/>
      </c>
      <c r="AI319" s="22">
        <f>IF(G319&gt;=Upgrades!$E$8,"",Upgrades!$C$8*POWER(Upgrades!$D$8,G319))</f>
        <v/>
      </c>
      <c r="AJ319" s="22">
        <f>IF(H319&gt;=Upgrades!$E$9,"",Upgrades!$C$9*POWER(Upgrades!$D$9,H319))</f>
        <v/>
      </c>
      <c r="AK319" s="22">
        <f>IF(I319&gt;=Upgrades!$E$10,"",Upgrades!$C$10*POWER(Upgrades!$D$10,I319))</f>
        <v/>
      </c>
      <c r="AL319" s="22">
        <f>IF(J319&gt;=Upgrades!$E$11,"",Upgrades!$C$11*POWER(Upgrades!$D$11,J319))</f>
        <v/>
      </c>
      <c r="AM319" s="22">
        <f>IF(K319&gt;=Upgrades!$E$12,"",Upgrades!$C$12*POWER(Upgrades!$D$12,K319))</f>
        <v/>
      </c>
      <c r="AN319" s="26">
        <f>IF(AND(D319&gt;=Parameters!$B$18,(H319&gt;=Upgrades!$E$9)*(K319&gt;=Upgrades!$E$12)=1,L319=0),1,"")</f>
        <v/>
      </c>
      <c r="AO319" s="26">
        <f>IF(AND(D319&gt;=Parameters!$B$18,L319=0),1,"")</f>
        <v/>
      </c>
      <c r="AP319" s="22">
        <f>MIN(IF(ISNUMBER(AK319),AK319,9E15),IF(ISNUMBER(AL319),AL319,9E15),IF(ISNUMBER(AM319),AM319,9E15))</f>
        <v/>
      </c>
      <c r="AQ319" s="22">
        <f>MIN(IF(ISNUMBER(AG319),AG319,9E15),IF(ISNUMBER(AH319),AH319,9E15),IF(ISNUMBER(AI319),AI319,9E15),IF(ISNUMBER(AJ319),AJ319,9E15))</f>
        <v/>
      </c>
      <c r="AR319" s="29">
        <f>IF(AW319&gt;Parameters!$B$21*(MAX(IF(AND(NOT(AND(AO319=1,AN319&lt;&gt;1)),ISNUMBER(AG319),AG319&lt;=T319),AS319,0),IF(AND(NOT(AND(AO319=1,AN319&lt;&gt;1)),ISNUMBER(AH319),AH319&lt;=T319),AT319,0),IF(AND(NOT(AND(AO319=1,AN319&lt;&gt;1)),ISNUMBER(AI319),AI319&lt;=T319),AU319,0),IF(AND(ISNUMBER(AJ319),AJ319&lt;=T319),AV319,0))),TRUE,FALSE)</f>
        <v/>
      </c>
      <c r="AS319" s="32">
        <f>IFERROR(Upgrades!$H$6*(POWER(Upgrades!$P$6,E319)*POWER(Upgrades!$P$7,F319)*POWER(Upgrades!$P$8,G319)*POWER(Upgrades!$P$9,H319)*POWER(Upgrades!$P$10,I319)*POWER(Upgrades!$P$11,J319)*POWER(Upgrades!$P$12,K319))*(IF(Upgrades!$T$7="Solar Wind",POWER(Upgrades!$U$7,F319),1)*IF(Upgrades!$T$8="Solar Wind",POWER(Upgrades!$U$8,G319),1)*IF(Upgrades!$T$9="Solar Wind",POWER(Upgrades!$U$9,H319),1)*IF(Upgrades!$T$10="Solar Wind",POWER(Upgrades!$U$10,I319),1)*IF(Upgrades!$T$11="Solar Wind",POWER(Upgrades!$U$11,J319),1)*IF(Upgrades!$T$12="Solar Wind",POWER(Upgrades!$U$12,K319),1))/AG319,0)</f>
        <v/>
      </c>
      <c r="AT319" s="32">
        <f>IFERROR(Upgrades!$H$7*(POWER(Upgrades!$P$6,E319)*POWER(Upgrades!$P$7,F319)*POWER(Upgrades!$P$8,G319)*POWER(Upgrades!$P$9,H319)*POWER(Upgrades!$P$10,I319)*POWER(Upgrades!$P$11,J319)*POWER(Upgrades!$P$12,K319))*(IF(Upgrades!$T$6="Asteroid Belt",POWER(Upgrades!$U$6,E319),1)*IF(Upgrades!$T$8="Asteroid Belt",POWER(Upgrades!$U$8,G319),1)*IF(Upgrades!$T$9="Asteroid Belt",POWER(Upgrades!$U$9,H319),1)*IF(Upgrades!$T$10="Asteroid Belt",POWER(Upgrades!$U$10,I319),1)*IF(Upgrades!$T$11="Asteroid Belt",POWER(Upgrades!$U$11,J319),1)*IF(Upgrades!$T$12="Asteroid Belt",POWER(Upgrades!$U$12,K319),1))/AH319,0)</f>
        <v/>
      </c>
      <c r="AU319" s="32">
        <f>IFERROR(Upgrades!$K$8*(POWER(Upgrades!$Q$6,E319)*POWER(Upgrades!$Q$7,F319)*POWER(Upgrades!$Q$8,G319)*POWER(Upgrades!$Q$9,H319)*POWER(Upgrades!$Q$10,I319)*POWER(Upgrades!$Q$11,J319)*POWER(Upgrades!$Q$12,K319))*(IF(Upgrades!$T$6="Stellar Coupling",POWER(Upgrades!$U$6,E319),1)*IF(Upgrades!$T$7="Stellar Coupling",POWER(Upgrades!$U$7,F319),1)*IF(Upgrades!$T$9="Stellar Coupling",POWER(Upgrades!$U$9,H319),1)*IF(Upgrades!$T$10="Stellar Coupling",POWER(Upgrades!$U$10,I319),1)*IF(Upgrades!$T$11="Stellar Coupling",POWER(Upgrades!$U$11,J319),1)*IF(Upgrades!$T$12="Stellar Coupling",POWER(Upgrades!$U$12,K319),1))*Parameters!$B$10*Parameters!$B$11/60/AI319,0)</f>
        <v/>
      </c>
      <c r="AV319" s="32">
        <f>IFERROR(Upgrades!$H$9*(POWER(Upgrades!$P$6,E319)*POWER(Upgrades!$P$7,F319)*POWER(Upgrades!$P$8,G319)*POWER(Upgrades!$P$9,H319)*POWER(Upgrades!$P$10,I319)*POWER(Upgrades!$P$11,J319)*POWER(Upgrades!$P$12,K319))*(IF(Upgrades!$T$6="Magnetosphere",POWER(Upgrades!$U$6,E319),1)*IF(Upgrades!$T$7="Magnetosphere",POWER(Upgrades!$U$7,F319),1)*IF(Upgrades!$T$8="Magnetosphere",POWER(Upgrades!$U$8,G319),1)*IF(Upgrades!$T$10="Magnetosphere",POWER(Upgrades!$U$10,I319),1)*IF(Upgrades!$T$11="Magnetosphere",POWER(Upgrades!$U$11,J319),1)*IF(Upgrades!$T$12="Magnetosphere",POWER(Upgrades!$U$12,K319),1))/AJ319,0)</f>
        <v/>
      </c>
      <c r="AW319" s="32">
        <f>MAX(IF(I319&gt;0,0,IFERROR(0.25*N319/Upgrades!$C$10,0)),IF(J319&gt;0,0,IFERROR(0.5*((IF(G319=0,0,(Upgrades!$J$8+G319*Upgrades!$K$8)*POWER(Upgrades!$L$8,G319)))*(IF(Upgrades!$T$6="Stellar Coupling",POWER(Upgrades!$U$6,E319),1)*IF(Upgrades!$T$7="Stellar Coupling",POWER(Upgrades!$U$7,F319),1)*IF(Upgrades!$T$9="Stellar Coupling",POWER(Upgrades!$U$9,H319),1)*IF(Upgrades!$T$10="Stellar Coupling",POWER(Upgrades!$U$10,I319),1)*IF(Upgrades!$T$11="Stellar Coupling",POWER(Upgrades!$U$11,J319),1)*IF(Upgrades!$T$12="Stellar Coupling",POWER(Upgrades!$U$12,K319),1))*(POWER(Upgrades!$Q$6,E319)*POWER(Upgrades!$Q$7,F319)*POWER(Upgrades!$Q$8,G319)*POWER(Upgrades!$Q$9,H319)*POWER(Upgrades!$Q$10,I319)*POWER(Upgrades!$Q$11,J319)*POWER(Upgrades!$Q$12,K319))*Parameters!$B$10*Parameters!$B$11/60)/Upgrades!$C$11,0)),IF(K319&gt;0,0,IFERROR((1.0*(POWER(Upgrades!$P$6,E319)*POWER(Upgrades!$P$7,F319)*POWER(Upgrades!$P$8,G319)*POWER(Upgrades!$P$9,H319)*POWER(Upgrades!$P$10,I319)*POWER(Upgrades!$P$11,J319)*POWER(Upgrades!$P$12,K319))+0.20*M319*Parameters!$B$10*Parameters!$B$11/60)/Upgrades!$C$12,0)),IF(AND(ISNUMBER(AG319),AG319&gt;T319),AS319,0),IF(AND(ISNUMBER(AH319),AH319&gt;T319),AT319,0),IF(AND(ISNUMBER(AI319),AI319&gt;T319),AU319,0),IF(AND(ISNUMBER(AJ319),AJ319&gt;T319),AV319,0))</f>
        <v/>
      </c>
      <c r="AX319" s="29">
        <f>IF(AN319=1,"transition",IF(MIN(IF(AND(I319=0,ISNUMBER(AK319),AK319&lt;=T319),AK319,9E15),IF(AND(J319=0,ISNUMBER(AL319),AL319&lt;=T319),AL319,9E15),IF(AND(K319=0,ISNUMBER(AM319),AM319&lt;=T319),AM319,9E15))&lt;9E15,IF(AND(AND(I319=0,ISNUMBER(AK319),AK319&lt;=T319),AK319=MIN(IF(AND(I319=0,ISNUMBER(AK319),AK319&lt;=T319),AK319,9E15),IF(AND(J319=0,ISNUMBER(AL319),AL319&lt;=T319),AL319,9E15),IF(AND(K319=0,ISNUMBER(AM319),AM319&lt;=T319),AM319,9E15))),"OR",IF(AND(AND(J319=0,ISNUMBER(AL319),AL319&lt;=T319),AL319=MIN(IF(AND(I319=0,ISNUMBER(AK319),AK319&lt;=T319),AK319,9E15),IF(AND(J319=0,ISNUMBER(AL319),AL319&lt;=T319),AL319,9E15),IF(AND(K319=0,ISNUMBER(AM319),AM319&lt;=T319),AM319,9E15))),"HP","FP")),IF(AR319=TRUE,"",IF(MAX(IF(AND(NOT(AND(AO319=1,AN319&lt;&gt;1)),ISNUMBER(AG319),AG319&lt;=T319),AS319,0),IF(AND(NOT(AND(AO319=1,AN319&lt;&gt;1)),ISNUMBER(AH319),AH319&lt;=T319),AT319,0),IF(AND(NOT(AND(AO319=1,AN319&lt;&gt;1)),ISNUMBER(AI319),AI319&lt;=T319),AU319,0),IF(AND(ISNUMBER(AJ319),AJ319&lt;=T319),AV319,0))&lt;=0,"",IF(AND(IF(AND(NOT(AND(AO319=1,AN319&lt;&gt;1)),ISNUMBER(AG319),AG319&lt;=T319),AS319,0)&gt;0,IF(AND(NOT(AND(AO319=1,AN319&lt;&gt;1)),ISNUMBER(AG319),AG319&lt;=T319),AS319,0)=MAX(IF(AND(NOT(AND(AO319=1,AN319&lt;&gt;1)),ISNUMBER(AG319),AG319&lt;=T319),AS319,0),IF(AND(NOT(AND(AO319=1,AN319&lt;&gt;1)),ISNUMBER(AH319),AH319&lt;=T319),AT319,0),IF(AND(NOT(AND(AO319=1,AN319&lt;&gt;1)),ISNUMBER(AI319),AI319&lt;=T319),AU319,0),IF(AND(ISNUMBER(AJ319),AJ319&lt;=T319),AV319,0))),"SW",IF(AND(IF(AND(NOT(AND(AO319=1,AN319&lt;&gt;1)),ISNUMBER(AH319),AH319&lt;=T319),AT319,0)&gt;0,IF(AND(NOT(AND(AO319=1,AN319&lt;&gt;1)),ISNUMBER(AH319),AH319&lt;=T319),AT319,0)=MAX(IF(AND(NOT(AND(AO319=1,AN319&lt;&gt;1)),ISNUMBER(AG319),AG319&lt;=T319),AS319,0),IF(AND(NOT(AND(AO319=1,AN319&lt;&gt;1)),ISNUMBER(AH319),AH319&lt;=T319),AT319,0),IF(AND(NOT(AND(AO319=1,AN319&lt;&gt;1)),ISNUMBER(AI319),AI319&lt;=T319),AU319,0),IF(AND(ISNUMBER(AJ319),AJ319&lt;=T319),AV319,0))),"AB",IF(AND(IF(AND(NOT(AND(AO319=1,AN319&lt;&gt;1)),ISNUMBER(AI319),AI319&lt;=T319),AU319,0)&gt;0,IF(AND(NOT(AND(AO319=1,AN319&lt;&gt;1)),ISNUMBER(AI319),AI319&lt;=T319),AU319,0)=MAX(IF(AND(NOT(AND(AO319=1,AN319&lt;&gt;1)),ISNUMBER(AG319),AG319&lt;=T319),AS319,0),IF(AND(NOT(AND(AO319=1,AN319&lt;&gt;1)),ISNUMBER(AH319),AH319&lt;=T319),AT319,0),IF(AND(NOT(AND(AO319=1,AN319&lt;&gt;1)),ISNUMBER(AI319),AI319&lt;=T319),AU319,0),IF(AND(ISNUMBER(AJ319),AJ319&lt;=T319),AV319,0))),"SC","Mag")))))))</f>
        <v/>
      </c>
    </row>
    <row r="320">
      <c r="A320" s="26" t="n">
        <v>315</v>
      </c>
      <c r="B320" s="27">
        <f>A320*10/60</f>
        <v/>
      </c>
      <c r="C320" s="22">
        <f>X319</f>
        <v/>
      </c>
      <c r="D320" s="27">
        <f>D319+W319</f>
        <v/>
      </c>
      <c r="E320" s="26">
        <f>E319+IF(U319="SW",1,0)</f>
        <v/>
      </c>
      <c r="F320" s="26">
        <f>F319+IF(U319="AB",1,0)</f>
        <v/>
      </c>
      <c r="G320" s="26">
        <f>G319+IF(U319="SC",1,0)</f>
        <v/>
      </c>
      <c r="H320" s="26">
        <f>H319+IF(U319="Mag",1,0)</f>
        <v/>
      </c>
      <c r="I320" s="26">
        <f>MAX(I319,IF(U319="OR",1,0))</f>
        <v/>
      </c>
      <c r="J320" s="26">
        <f>MAX(J319,IF(U319="HP",1,0))</f>
        <v/>
      </c>
      <c r="K320" s="26">
        <f>MAX(K319,IF(U319="FP",1,0))</f>
        <v/>
      </c>
      <c r="L320" s="26">
        <f>MAX(L319,IF(U319="transition",1,0))</f>
        <v/>
      </c>
      <c r="M320" s="28">
        <f>(Parameters!$B$9+(IF(E320=0,0,(Upgrades!$J$6+E320*Upgrades!$K$6)*POWER(Upgrades!$L$6,E320)))*(IF(Upgrades!$T$7="Solar Wind",POWER(Upgrades!$U$7,F320),1)*IF(Upgrades!$T$8="Solar Wind",POWER(Upgrades!$U$8,G320),1)*IF(Upgrades!$T$9="Solar Wind",POWER(Upgrades!$U$9,H320),1)*IF(Upgrades!$T$10="Solar Wind",POWER(Upgrades!$U$10,I320),1)*IF(Upgrades!$T$11="Solar Wind",POWER(Upgrades!$U$11,J320),1)*IF(Upgrades!$T$12="Solar Wind",POWER(Upgrades!$U$12,K320),1))+(IF(F320=0,0,(Upgrades!$J$7+F320*Upgrades!$K$7)*POWER(Upgrades!$L$7,F320)))*(IF(Upgrades!$T$6="Asteroid Belt",POWER(Upgrades!$U$6,E320),1)*IF(Upgrades!$T$8="Asteroid Belt",POWER(Upgrades!$U$8,G320),1)*IF(Upgrades!$T$9="Asteroid Belt",POWER(Upgrades!$U$9,H320),1)*IF(Upgrades!$T$10="Asteroid Belt",POWER(Upgrades!$U$10,I320),1)*IF(Upgrades!$T$11="Asteroid Belt",POWER(Upgrades!$U$11,J320),1)*IF(Upgrades!$T$12="Asteroid Belt",POWER(Upgrades!$U$12,K320),1))+(IF(G320=0,0,(Upgrades!$J$8+G320*Upgrades!$K$8)*POWER(Upgrades!$L$8,G320)))*(IF(Upgrades!$T$6="Stellar Coupling",POWER(Upgrades!$U$6,E320),1)*IF(Upgrades!$T$7="Stellar Coupling",POWER(Upgrades!$U$7,F320),1)*IF(Upgrades!$T$9="Stellar Coupling",POWER(Upgrades!$U$9,H320),1)*IF(Upgrades!$T$10="Stellar Coupling",POWER(Upgrades!$U$10,I320),1)*IF(Upgrades!$T$11="Stellar Coupling",POWER(Upgrades!$U$11,J320),1)*IF(Upgrades!$T$12="Stellar Coupling",POWER(Upgrades!$U$12,K320),1))+(IF(H320=0,0,(Upgrades!$J$9+H320*Upgrades!$K$9)*POWER(Upgrades!$L$9,H320)))*(IF(Upgrades!$T$6="Magnetosphere",POWER(Upgrades!$U$6,E320),1)*IF(Upgrades!$T$7="Magnetosphere",POWER(Upgrades!$U$7,F320),1)*IF(Upgrades!$T$8="Magnetosphere",POWER(Upgrades!$U$8,G320),1)*IF(Upgrades!$T$10="Magnetosphere",POWER(Upgrades!$U$10,I320),1)*IF(Upgrades!$T$11="Magnetosphere",POWER(Upgrades!$U$11,J320),1)*IF(Upgrades!$T$12="Magnetosphere",POWER(Upgrades!$U$12,K320),1))+(IF(I320=0,0,(Upgrades!$J$10+I320*Upgrades!$K$10)*POWER(Upgrades!$L$10,I320)))*(IF(Upgrades!$T$6="Orbital Resonance",POWER(Upgrades!$U$6,E320),1)*IF(Upgrades!$T$7="Orbital Resonance",POWER(Upgrades!$U$7,F320),1)*IF(Upgrades!$T$8="Orbital Resonance",POWER(Upgrades!$U$8,G320),1)*IF(Upgrades!$T$9="Orbital Resonance",POWER(Upgrades!$U$9,H320),1)*IF(Upgrades!$T$11="Orbital Resonance",POWER(Upgrades!$U$11,J320),1)*IF(Upgrades!$T$12="Orbital Resonance",POWER(Upgrades!$U$12,K320),1))+(IF(J320=0,0,(Upgrades!$J$11+J320*Upgrades!$K$11)*POWER(Upgrades!$L$11,J320)))*(IF(Upgrades!$T$6="Heliopause",POWER(Upgrades!$U$6,E320),1)*IF(Upgrades!$T$7="Heliopause",POWER(Upgrades!$U$7,F320),1)*IF(Upgrades!$T$8="Heliopause",POWER(Upgrades!$U$8,G320),1)*IF(Upgrades!$T$9="Heliopause",POWER(Upgrades!$U$9,H320),1)*IF(Upgrades!$T$10="Heliopause",POWER(Upgrades!$U$10,I320),1)*IF(Upgrades!$T$12="Heliopause",POWER(Upgrades!$U$12,K320),1))+(IF(K320=0,0,(Upgrades!$J$12+K320*Upgrades!$K$12)*POWER(Upgrades!$L$12,K320)))*(IF(Upgrades!$T$6="First Photons",POWER(Upgrades!$U$6,E320),1)*IF(Upgrades!$T$7="First Photons",POWER(Upgrades!$U$7,F320),1)*IF(Upgrades!$T$8="First Photons",POWER(Upgrades!$U$8,G320),1)*IF(Upgrades!$T$9="First Photons",POWER(Upgrades!$U$9,H320),1)*IF(Upgrades!$T$10="First Photons",POWER(Upgrades!$U$10,I320),1)*IF(Upgrades!$T$11="First Photons",POWER(Upgrades!$U$11,J320),1)))*POWER(Upgrades!$Q$6,E320)*POWER(Upgrades!$Q$7,F320)*POWER(Upgrades!$Q$8,G320)*POWER(Upgrades!$Q$9,H320)*POWER(Upgrades!$Q$10,I320)*POWER(Upgrades!$Q$11,J320)*POWER(Upgrades!$Q$12,K320)</f>
        <v/>
      </c>
      <c r="N320" s="28">
        <f>((IF(E320=0,0,(Upgrades!$G$6+E320*Upgrades!$H$6)*POWER(Upgrades!$I$6,E320)))*(IF(Upgrades!$T$7="Solar Wind",POWER(Upgrades!$U$7,F320),1)*IF(Upgrades!$T$8="Solar Wind",POWER(Upgrades!$U$8,G320),1)*IF(Upgrades!$T$9="Solar Wind",POWER(Upgrades!$U$9,H320),1)*IF(Upgrades!$T$10="Solar Wind",POWER(Upgrades!$U$10,I320),1)*IF(Upgrades!$T$11="Solar Wind",POWER(Upgrades!$U$11,J320),1)*IF(Upgrades!$T$12="Solar Wind",POWER(Upgrades!$U$12,K320),1))+(IF(F320=0,0,(Upgrades!$G$7+F320*Upgrades!$H$7)*POWER(Upgrades!$I$7,F320)))*(IF(Upgrades!$T$6="Asteroid Belt",POWER(Upgrades!$U$6,E320),1)*IF(Upgrades!$T$8="Asteroid Belt",POWER(Upgrades!$U$8,G320),1)*IF(Upgrades!$T$9="Asteroid Belt",POWER(Upgrades!$U$9,H320),1)*IF(Upgrades!$T$10="Asteroid Belt",POWER(Upgrades!$U$10,I320),1)*IF(Upgrades!$T$11="Asteroid Belt",POWER(Upgrades!$U$11,J320),1)*IF(Upgrades!$T$12="Asteroid Belt",POWER(Upgrades!$U$12,K320),1))+(IF(G320=0,0,(Upgrades!$G$8+G320*Upgrades!$H$8)*POWER(Upgrades!$I$8,G320)))*(IF(Upgrades!$T$6="Stellar Coupling",POWER(Upgrades!$U$6,E320),1)*IF(Upgrades!$T$7="Stellar Coupling",POWER(Upgrades!$U$7,F320),1)*IF(Upgrades!$T$9="Stellar Coupling",POWER(Upgrades!$U$9,H320),1)*IF(Upgrades!$T$10="Stellar Coupling",POWER(Upgrades!$U$10,I320),1)*IF(Upgrades!$T$11="Stellar Coupling",POWER(Upgrades!$U$11,J320),1)*IF(Upgrades!$T$12="Stellar Coupling",POWER(Upgrades!$U$12,K320),1))+(IF(H320=0,0,(Upgrades!$G$9+H320*Upgrades!$H$9)*POWER(Upgrades!$I$9,H320)))*(IF(Upgrades!$T$6="Magnetosphere",POWER(Upgrades!$U$6,E320),1)*IF(Upgrades!$T$7="Magnetosphere",POWER(Upgrades!$U$7,F320),1)*IF(Upgrades!$T$8="Magnetosphere",POWER(Upgrades!$U$8,G320),1)*IF(Upgrades!$T$10="Magnetosphere",POWER(Upgrades!$U$10,I320),1)*IF(Upgrades!$T$11="Magnetosphere",POWER(Upgrades!$U$11,J320),1)*IF(Upgrades!$T$12="Magnetosphere",POWER(Upgrades!$U$12,K320),1))+(IF(I320=0,0,(Upgrades!$G$10+I320*Upgrades!$H$10)*POWER(Upgrades!$I$10,I320)))*(IF(Upgrades!$T$6="Orbital Resonance",POWER(Upgrades!$U$6,E320),1)*IF(Upgrades!$T$7="Orbital Resonance",POWER(Upgrades!$U$7,F320),1)*IF(Upgrades!$T$8="Orbital Resonance",POWER(Upgrades!$U$8,G320),1)*IF(Upgrades!$T$9="Orbital Resonance",POWER(Upgrades!$U$9,H320),1)*IF(Upgrades!$T$11="Orbital Resonance",POWER(Upgrades!$U$11,J320),1)*IF(Upgrades!$T$12="Orbital Resonance",POWER(Upgrades!$U$12,K320),1))+(IF(J320=0,0,(Upgrades!$G$11+J320*Upgrades!$H$11)*POWER(Upgrades!$I$11,J320)))*(IF(Upgrades!$T$6="Heliopause",POWER(Upgrades!$U$6,E320),1)*IF(Upgrades!$T$7="Heliopause",POWER(Upgrades!$U$7,F320),1)*IF(Upgrades!$T$8="Heliopause",POWER(Upgrades!$U$8,G320),1)*IF(Upgrades!$T$9="Heliopause",POWER(Upgrades!$U$9,H320),1)*IF(Upgrades!$T$10="Heliopause",POWER(Upgrades!$U$10,I320),1)*IF(Upgrades!$T$12="Heliopause",POWER(Upgrades!$U$12,K320),1))+(IF(K320=0,0,(Upgrades!$G$12+K320*Upgrades!$H$12)*POWER(Upgrades!$I$12,K320)))*(IF(Upgrades!$T$6="First Photons",POWER(Upgrades!$U$6,E320),1)*IF(Upgrades!$T$7="First Photons",POWER(Upgrades!$U$7,F320),1)*IF(Upgrades!$T$8="First Photons",POWER(Upgrades!$U$8,G320),1)*IF(Upgrades!$T$9="First Photons",POWER(Upgrades!$U$9,H320),1)*IF(Upgrades!$T$10="First Photons",POWER(Upgrades!$U$10,I320),1)*IF(Upgrades!$T$11="First Photons",POWER(Upgrades!$U$11,J320),1)))*POWER(Upgrades!$P$6,E320)*POWER(Upgrades!$P$7,F320)*POWER(Upgrades!$P$8,G320)*POWER(Upgrades!$P$9,H320)*POWER(Upgrades!$P$10,I320)*POWER(Upgrades!$P$11,J320)*POWER(Upgrades!$P$12,K320)</f>
        <v/>
      </c>
      <c r="O320" s="28">
        <f>((IF(E320=0,0,(Upgrades!$M$6+E320*Upgrades!$N$6)*POWER(Upgrades!$O$6,E320)))*(IF(Upgrades!$T$7="Solar Wind",POWER(Upgrades!$U$7,F320),1)*IF(Upgrades!$T$8="Solar Wind",POWER(Upgrades!$U$8,G320),1)*IF(Upgrades!$T$9="Solar Wind",POWER(Upgrades!$U$9,H320),1)*IF(Upgrades!$T$10="Solar Wind",POWER(Upgrades!$U$10,I320),1)*IF(Upgrades!$T$11="Solar Wind",POWER(Upgrades!$U$11,J320),1)*IF(Upgrades!$T$12="Solar Wind",POWER(Upgrades!$U$12,K320),1))+(IF(F320=0,0,(Upgrades!$M$7+F320*Upgrades!$N$7)*POWER(Upgrades!$O$7,F320)))*(IF(Upgrades!$T$6="Asteroid Belt",POWER(Upgrades!$U$6,E320),1)*IF(Upgrades!$T$8="Asteroid Belt",POWER(Upgrades!$U$8,G320),1)*IF(Upgrades!$T$9="Asteroid Belt",POWER(Upgrades!$U$9,H320),1)*IF(Upgrades!$T$10="Asteroid Belt",POWER(Upgrades!$U$10,I320),1)*IF(Upgrades!$T$11="Asteroid Belt",POWER(Upgrades!$U$11,J320),1)*IF(Upgrades!$T$12="Asteroid Belt",POWER(Upgrades!$U$12,K320),1))+(IF(G320=0,0,(Upgrades!$M$8+G320*Upgrades!$N$8)*POWER(Upgrades!$O$8,G320)))*(IF(Upgrades!$T$6="Stellar Coupling",POWER(Upgrades!$U$6,E320),1)*IF(Upgrades!$T$7="Stellar Coupling",POWER(Upgrades!$U$7,F320),1)*IF(Upgrades!$T$9="Stellar Coupling",POWER(Upgrades!$U$9,H320),1)*IF(Upgrades!$T$10="Stellar Coupling",POWER(Upgrades!$U$10,I320),1)*IF(Upgrades!$T$11="Stellar Coupling",POWER(Upgrades!$U$11,J320),1)*IF(Upgrades!$T$12="Stellar Coupling",POWER(Upgrades!$U$12,K320),1))+(IF(H320=0,0,(Upgrades!$M$9+H320*Upgrades!$N$9)*POWER(Upgrades!$O$9,H320)))*(IF(Upgrades!$T$6="Magnetosphere",POWER(Upgrades!$U$6,E320),1)*IF(Upgrades!$T$7="Magnetosphere",POWER(Upgrades!$U$7,F320),1)*IF(Upgrades!$T$8="Magnetosphere",POWER(Upgrades!$U$8,G320),1)*IF(Upgrades!$T$10="Magnetosphere",POWER(Upgrades!$U$10,I320),1)*IF(Upgrades!$T$11="Magnetosphere",POWER(Upgrades!$U$11,J320),1)*IF(Upgrades!$T$12="Magnetosphere",POWER(Upgrades!$U$12,K320),1))+(IF(I320=0,0,(Upgrades!$M$10+I320*Upgrades!$N$10)*POWER(Upgrades!$O$10,I320)))*(IF(Upgrades!$T$6="Orbital Resonance",POWER(Upgrades!$U$6,E320),1)*IF(Upgrades!$T$7="Orbital Resonance",POWER(Upgrades!$U$7,F320),1)*IF(Upgrades!$T$8="Orbital Resonance",POWER(Upgrades!$U$8,G320),1)*IF(Upgrades!$T$9="Orbital Resonance",POWER(Upgrades!$U$9,H320),1)*IF(Upgrades!$T$11="Orbital Resonance",POWER(Upgrades!$U$11,J320),1)*IF(Upgrades!$T$12="Orbital Resonance",POWER(Upgrades!$U$12,K320),1))+(IF(J320=0,0,(Upgrades!$M$11+J320*Upgrades!$N$11)*POWER(Upgrades!$O$11,J320)))*(IF(Upgrades!$T$6="Heliopause",POWER(Upgrades!$U$6,E320),1)*IF(Upgrades!$T$7="Heliopause",POWER(Upgrades!$U$7,F320),1)*IF(Upgrades!$T$8="Heliopause",POWER(Upgrades!$U$8,G320),1)*IF(Upgrades!$T$9="Heliopause",POWER(Upgrades!$U$9,H320),1)*IF(Upgrades!$T$10="Heliopause",POWER(Upgrades!$U$10,I320),1)*IF(Upgrades!$T$12="Heliopause",POWER(Upgrades!$U$12,K320),1))+(IF(K320=0,0,(Upgrades!$M$12+K320*Upgrades!$N$12)*POWER(Upgrades!$O$12,K320)))*(IF(Upgrades!$T$6="First Photons",POWER(Upgrades!$U$6,E320),1)*IF(Upgrades!$T$7="First Photons",POWER(Upgrades!$U$7,F320),1)*IF(Upgrades!$T$8="First Photons",POWER(Upgrades!$U$8,G320),1)*IF(Upgrades!$T$9="First Photons",POWER(Upgrades!$U$9,H320),1)*IF(Upgrades!$T$10="First Photons",POWER(Upgrades!$U$10,I320),1)*IF(Upgrades!$T$11="First Photons",POWER(Upgrades!$U$11,J320),1)))*POWER(Upgrades!$R$6,E320)*POWER(Upgrades!$R$7,F320)*POWER(Upgrades!$R$8,G320)*POWER(Upgrades!$R$9,H320)*POWER(Upgrades!$R$10,I320)*POWER(Upgrades!$R$11,J320)*POWER(Upgrades!$R$12,K320)</f>
        <v/>
      </c>
      <c r="P320" s="27">
        <f>IF(L320=1,0,M320*Parameters!$B$10/60*Parameters!$B$11*10)</f>
        <v/>
      </c>
      <c r="Q320" s="27">
        <f>IF(L320=1,0,O320*M320*10)</f>
        <v/>
      </c>
      <c r="R320" s="27">
        <f>IF(L320=1,0,N320*10)</f>
        <v/>
      </c>
      <c r="S320" s="27">
        <f>P320+Q320+R320</f>
        <v/>
      </c>
      <c r="T320" s="22">
        <f>C320+S320</f>
        <v/>
      </c>
      <c r="U320" s="33">
        <f>AX320</f>
        <v/>
      </c>
      <c r="V320" s="22">
        <f>IF(U320="",0,IF(U320="transition",0,IF(U320="SW",AG320,IF(U320="AB",AH320,IF(U320="SC",AI320,IF(U320="Mag",AJ320,IF(U320="OR",AK320,IF(U320="HP",AL320,IF(U320="FP",AM320,0)))))))))</f>
        <v/>
      </c>
      <c r="W320" s="27">
        <f>IF(U320="OR",Upgrades!$F$10,IF(U320="HP",Upgrades!$F$11,IF(U320="transition",-Parameters!$B$18,0)))</f>
        <v/>
      </c>
      <c r="X320" s="22">
        <f>T320-V320</f>
        <v/>
      </c>
      <c r="Y320" s="30">
        <f>M320*Parameters!$B$10/60*Parameters!$B$11+O320*M320+N320</f>
        <v/>
      </c>
      <c r="Z320" s="34">
        <f>IF(U320="transition","→ Tier 2 (Stellar Neighborhood)",IF(U320="FP","First Photons — light begins, system quickens",IF(U320="HP","Heliopause acquired",IF(U320="OR","Orbital Resonance — passive multiplier active",IF(AND(AO320=1,L320=0,AN320&lt;&gt;1),"Cohesion ready (waiting on completionist upgrades)","")))))</f>
        <v/>
      </c>
      <c r="AA320" s="27">
        <f>(IF(E320=0,0,(Upgrades!$G$6+E320*Upgrades!$H$6)*POWER(Upgrades!$I$6,E320)))*(IF(Upgrades!$T$7="Solar Wind",POWER(Upgrades!$U$7,F320),1)*IF(Upgrades!$T$8="Solar Wind",POWER(Upgrades!$U$8,G320),1)*IF(Upgrades!$T$9="Solar Wind",POWER(Upgrades!$U$9,H320),1)*IF(Upgrades!$T$10="Solar Wind",POWER(Upgrades!$U$10,I320),1)*IF(Upgrades!$T$11="Solar Wind",POWER(Upgrades!$U$11,J320),1)*IF(Upgrades!$T$12="Solar Wind",POWER(Upgrades!$U$12,K320),1))*POWER(Upgrades!$P$6,E320)*POWER(Upgrades!$P$7,F320)*POWER(Upgrades!$P$8,G320)*POWER(Upgrades!$P$9,H320)*POWER(Upgrades!$P$10,I320)*POWER(Upgrades!$P$11,J320)*POWER(Upgrades!$P$12,K320)*60</f>
        <v/>
      </c>
      <c r="AB320" s="27">
        <f>(IF(F320=0,0,(Upgrades!$G$7+F320*Upgrades!$H$7)*POWER(Upgrades!$I$7,F320)))*(IF(Upgrades!$T$6="Asteroid Belt",POWER(Upgrades!$U$6,E320),1)*IF(Upgrades!$T$8="Asteroid Belt",POWER(Upgrades!$U$8,G320),1)*IF(Upgrades!$T$9="Asteroid Belt",POWER(Upgrades!$U$9,H320),1)*IF(Upgrades!$T$10="Asteroid Belt",POWER(Upgrades!$U$10,I320),1)*IF(Upgrades!$T$11="Asteroid Belt",POWER(Upgrades!$U$11,J320),1)*IF(Upgrades!$T$12="Asteroid Belt",POWER(Upgrades!$U$12,K320),1))*POWER(Upgrades!$P$6,E320)*POWER(Upgrades!$P$7,F320)*POWER(Upgrades!$P$8,G320)*POWER(Upgrades!$P$9,H320)*POWER(Upgrades!$P$10,I320)*POWER(Upgrades!$P$11,J320)*POWER(Upgrades!$P$12,K320)*60</f>
        <v/>
      </c>
      <c r="AC320" s="27">
        <f>(IF(G320=0,0,(Upgrades!$J$8+G320*Upgrades!$K$8)*POWER(Upgrades!$L$8,G320)))*(IF(Upgrades!$T$6="Stellar Coupling",POWER(Upgrades!$U$6,E320),1)*IF(Upgrades!$T$7="Stellar Coupling",POWER(Upgrades!$U$7,F320),1)*IF(Upgrades!$T$9="Stellar Coupling",POWER(Upgrades!$U$9,H320),1)*IF(Upgrades!$T$10="Stellar Coupling",POWER(Upgrades!$U$10,I320),1)*IF(Upgrades!$T$11="Stellar Coupling",POWER(Upgrades!$U$11,J320),1)*IF(Upgrades!$T$12="Stellar Coupling",POWER(Upgrades!$U$12,K320),1))*POWER(Upgrades!$Q$6,E320)*POWER(Upgrades!$Q$7,F320)*POWER(Upgrades!$Q$8,G320)*POWER(Upgrades!$Q$9,H320)*POWER(Upgrades!$Q$10,I320)*POWER(Upgrades!$Q$11,J320)*POWER(Upgrades!$Q$12,K320)*Parameters!$B$10*Parameters!$B$11</f>
        <v/>
      </c>
      <c r="AD320" s="27">
        <f>(IF(H320=0,0,(Upgrades!$G$9+H320*Upgrades!$H$9)*POWER(Upgrades!$I$9,H320)))*(IF(Upgrades!$T$6="Magnetosphere",POWER(Upgrades!$U$6,E320),1)*IF(Upgrades!$T$7="Magnetosphere",POWER(Upgrades!$U$7,F320),1)*IF(Upgrades!$T$8="Magnetosphere",POWER(Upgrades!$U$8,G320),1)*IF(Upgrades!$T$10="Magnetosphere",POWER(Upgrades!$U$10,I320),1)*IF(Upgrades!$T$11="Magnetosphere",POWER(Upgrades!$U$11,J320),1)*IF(Upgrades!$T$12="Magnetosphere",POWER(Upgrades!$U$12,K320),1))*POWER(Upgrades!$P$6,E320)*POWER(Upgrades!$P$7,F320)*POWER(Upgrades!$P$8,G320)*POWER(Upgrades!$P$9,H320)*POWER(Upgrades!$P$10,I320)*POWER(Upgrades!$P$11,J320)*POWER(Upgrades!$P$12,K320)*60</f>
        <v/>
      </c>
      <c r="AE320" s="27">
        <f>(IF(K320=0,0,(Upgrades!$G$12+K320*Upgrades!$H$12)*POWER(Upgrades!$I$12,K320)))*(IF(Upgrades!$T$6="First Photons",POWER(Upgrades!$U$6,E320),1)*IF(Upgrades!$T$7="First Photons",POWER(Upgrades!$U$7,F320),1)*IF(Upgrades!$T$8="First Photons",POWER(Upgrades!$U$8,G320),1)*IF(Upgrades!$T$9="First Photons",POWER(Upgrades!$U$9,H320),1)*IF(Upgrades!$T$10="First Photons",POWER(Upgrades!$U$10,I320),1)*IF(Upgrades!$T$11="First Photons",POWER(Upgrades!$U$11,J320),1))*POWER(Upgrades!$P$6,E320)*POWER(Upgrades!$P$7,F320)*POWER(Upgrades!$P$8,G320)*POWER(Upgrades!$P$9,H320)*POWER(Upgrades!$P$10,I320)*POWER(Upgrades!$P$11,J320)*POWER(Upgrades!$P$12,K320)*60</f>
        <v/>
      </c>
      <c r="AF320" s="27">
        <f>Parameters!$B$9*POWER(Upgrades!$Q$6,E320)*POWER(Upgrades!$Q$7,F320)*POWER(Upgrades!$Q$8,G320)*POWER(Upgrades!$Q$9,H320)*POWER(Upgrades!$Q$10,I320)*POWER(Upgrades!$Q$11,J320)*POWER(Upgrades!$Q$12,K320)*(Parameters!$B$10*Parameters!$B$11+O320*60)</f>
        <v/>
      </c>
      <c r="AG320" s="22">
        <f>IF(E320&gt;=Upgrades!$E$6,"",Upgrades!$C$6*POWER(Upgrades!$D$6,E320))</f>
        <v/>
      </c>
      <c r="AH320" s="22">
        <f>IF(F320&gt;=Upgrades!$E$7,"",Upgrades!$C$7*POWER(Upgrades!$D$7,F320))</f>
        <v/>
      </c>
      <c r="AI320" s="22">
        <f>IF(G320&gt;=Upgrades!$E$8,"",Upgrades!$C$8*POWER(Upgrades!$D$8,G320))</f>
        <v/>
      </c>
      <c r="AJ320" s="22">
        <f>IF(H320&gt;=Upgrades!$E$9,"",Upgrades!$C$9*POWER(Upgrades!$D$9,H320))</f>
        <v/>
      </c>
      <c r="AK320" s="22">
        <f>IF(I320&gt;=Upgrades!$E$10,"",Upgrades!$C$10*POWER(Upgrades!$D$10,I320))</f>
        <v/>
      </c>
      <c r="AL320" s="22">
        <f>IF(J320&gt;=Upgrades!$E$11,"",Upgrades!$C$11*POWER(Upgrades!$D$11,J320))</f>
        <v/>
      </c>
      <c r="AM320" s="22">
        <f>IF(K320&gt;=Upgrades!$E$12,"",Upgrades!$C$12*POWER(Upgrades!$D$12,K320))</f>
        <v/>
      </c>
      <c r="AN320" s="26">
        <f>IF(AND(D320&gt;=Parameters!$B$18,(H320&gt;=Upgrades!$E$9)*(K320&gt;=Upgrades!$E$12)=1,L320=0),1,"")</f>
        <v/>
      </c>
      <c r="AO320" s="26">
        <f>IF(AND(D320&gt;=Parameters!$B$18,L320=0),1,"")</f>
        <v/>
      </c>
      <c r="AP320" s="22">
        <f>MIN(IF(ISNUMBER(AK320),AK320,9E15),IF(ISNUMBER(AL320),AL320,9E15),IF(ISNUMBER(AM320),AM320,9E15))</f>
        <v/>
      </c>
      <c r="AQ320" s="22">
        <f>MIN(IF(ISNUMBER(AG320),AG320,9E15),IF(ISNUMBER(AH320),AH320,9E15),IF(ISNUMBER(AI320),AI320,9E15),IF(ISNUMBER(AJ320),AJ320,9E15))</f>
        <v/>
      </c>
      <c r="AR320" s="29">
        <f>IF(AW320&gt;Parameters!$B$21*(MAX(IF(AND(NOT(AND(AO320=1,AN320&lt;&gt;1)),ISNUMBER(AG320),AG320&lt;=T320),AS320,0),IF(AND(NOT(AND(AO320=1,AN320&lt;&gt;1)),ISNUMBER(AH320),AH320&lt;=T320),AT320,0),IF(AND(NOT(AND(AO320=1,AN320&lt;&gt;1)),ISNUMBER(AI320),AI320&lt;=T320),AU320,0),IF(AND(ISNUMBER(AJ320),AJ320&lt;=T320),AV320,0))),TRUE,FALSE)</f>
        <v/>
      </c>
      <c r="AS320" s="32">
        <f>IFERROR(Upgrades!$H$6*(POWER(Upgrades!$P$6,E320)*POWER(Upgrades!$P$7,F320)*POWER(Upgrades!$P$8,G320)*POWER(Upgrades!$P$9,H320)*POWER(Upgrades!$P$10,I320)*POWER(Upgrades!$P$11,J320)*POWER(Upgrades!$P$12,K320))*(IF(Upgrades!$T$7="Solar Wind",POWER(Upgrades!$U$7,F320),1)*IF(Upgrades!$T$8="Solar Wind",POWER(Upgrades!$U$8,G320),1)*IF(Upgrades!$T$9="Solar Wind",POWER(Upgrades!$U$9,H320),1)*IF(Upgrades!$T$10="Solar Wind",POWER(Upgrades!$U$10,I320),1)*IF(Upgrades!$T$11="Solar Wind",POWER(Upgrades!$U$11,J320),1)*IF(Upgrades!$T$12="Solar Wind",POWER(Upgrades!$U$12,K320),1))/AG320,0)</f>
        <v/>
      </c>
      <c r="AT320" s="32">
        <f>IFERROR(Upgrades!$H$7*(POWER(Upgrades!$P$6,E320)*POWER(Upgrades!$P$7,F320)*POWER(Upgrades!$P$8,G320)*POWER(Upgrades!$P$9,H320)*POWER(Upgrades!$P$10,I320)*POWER(Upgrades!$P$11,J320)*POWER(Upgrades!$P$12,K320))*(IF(Upgrades!$T$6="Asteroid Belt",POWER(Upgrades!$U$6,E320),1)*IF(Upgrades!$T$8="Asteroid Belt",POWER(Upgrades!$U$8,G320),1)*IF(Upgrades!$T$9="Asteroid Belt",POWER(Upgrades!$U$9,H320),1)*IF(Upgrades!$T$10="Asteroid Belt",POWER(Upgrades!$U$10,I320),1)*IF(Upgrades!$T$11="Asteroid Belt",POWER(Upgrades!$U$11,J320),1)*IF(Upgrades!$T$12="Asteroid Belt",POWER(Upgrades!$U$12,K320),1))/AH320,0)</f>
        <v/>
      </c>
      <c r="AU320" s="32">
        <f>IFERROR(Upgrades!$K$8*(POWER(Upgrades!$Q$6,E320)*POWER(Upgrades!$Q$7,F320)*POWER(Upgrades!$Q$8,G320)*POWER(Upgrades!$Q$9,H320)*POWER(Upgrades!$Q$10,I320)*POWER(Upgrades!$Q$11,J320)*POWER(Upgrades!$Q$12,K320))*(IF(Upgrades!$T$6="Stellar Coupling",POWER(Upgrades!$U$6,E320),1)*IF(Upgrades!$T$7="Stellar Coupling",POWER(Upgrades!$U$7,F320),1)*IF(Upgrades!$T$9="Stellar Coupling",POWER(Upgrades!$U$9,H320),1)*IF(Upgrades!$T$10="Stellar Coupling",POWER(Upgrades!$U$10,I320),1)*IF(Upgrades!$T$11="Stellar Coupling",POWER(Upgrades!$U$11,J320),1)*IF(Upgrades!$T$12="Stellar Coupling",POWER(Upgrades!$U$12,K320),1))*Parameters!$B$10*Parameters!$B$11/60/AI320,0)</f>
        <v/>
      </c>
      <c r="AV320" s="32">
        <f>IFERROR(Upgrades!$H$9*(POWER(Upgrades!$P$6,E320)*POWER(Upgrades!$P$7,F320)*POWER(Upgrades!$P$8,G320)*POWER(Upgrades!$P$9,H320)*POWER(Upgrades!$P$10,I320)*POWER(Upgrades!$P$11,J320)*POWER(Upgrades!$P$12,K320))*(IF(Upgrades!$T$6="Magnetosphere",POWER(Upgrades!$U$6,E320),1)*IF(Upgrades!$T$7="Magnetosphere",POWER(Upgrades!$U$7,F320),1)*IF(Upgrades!$T$8="Magnetosphere",POWER(Upgrades!$U$8,G320),1)*IF(Upgrades!$T$10="Magnetosphere",POWER(Upgrades!$U$10,I320),1)*IF(Upgrades!$T$11="Magnetosphere",POWER(Upgrades!$U$11,J320),1)*IF(Upgrades!$T$12="Magnetosphere",POWER(Upgrades!$U$12,K320),1))/AJ320,0)</f>
        <v/>
      </c>
      <c r="AW320" s="32">
        <f>MAX(IF(I320&gt;0,0,IFERROR(0.25*N320/Upgrades!$C$10,0)),IF(J320&gt;0,0,IFERROR(0.5*((IF(G320=0,0,(Upgrades!$J$8+G320*Upgrades!$K$8)*POWER(Upgrades!$L$8,G320)))*(IF(Upgrades!$T$6="Stellar Coupling",POWER(Upgrades!$U$6,E320),1)*IF(Upgrades!$T$7="Stellar Coupling",POWER(Upgrades!$U$7,F320),1)*IF(Upgrades!$T$9="Stellar Coupling",POWER(Upgrades!$U$9,H320),1)*IF(Upgrades!$T$10="Stellar Coupling",POWER(Upgrades!$U$10,I320),1)*IF(Upgrades!$T$11="Stellar Coupling",POWER(Upgrades!$U$11,J320),1)*IF(Upgrades!$T$12="Stellar Coupling",POWER(Upgrades!$U$12,K320),1))*(POWER(Upgrades!$Q$6,E320)*POWER(Upgrades!$Q$7,F320)*POWER(Upgrades!$Q$8,G320)*POWER(Upgrades!$Q$9,H320)*POWER(Upgrades!$Q$10,I320)*POWER(Upgrades!$Q$11,J320)*POWER(Upgrades!$Q$12,K320))*Parameters!$B$10*Parameters!$B$11/60)/Upgrades!$C$11,0)),IF(K320&gt;0,0,IFERROR((1.0*(POWER(Upgrades!$P$6,E320)*POWER(Upgrades!$P$7,F320)*POWER(Upgrades!$P$8,G320)*POWER(Upgrades!$P$9,H320)*POWER(Upgrades!$P$10,I320)*POWER(Upgrades!$P$11,J320)*POWER(Upgrades!$P$12,K320))+0.20*M320*Parameters!$B$10*Parameters!$B$11/60)/Upgrades!$C$12,0)),IF(AND(ISNUMBER(AG320),AG320&gt;T320),AS320,0),IF(AND(ISNUMBER(AH320),AH320&gt;T320),AT320,0),IF(AND(ISNUMBER(AI320),AI320&gt;T320),AU320,0),IF(AND(ISNUMBER(AJ320),AJ320&gt;T320),AV320,0))</f>
        <v/>
      </c>
      <c r="AX320" s="29">
        <f>IF(AN320=1,"transition",IF(MIN(IF(AND(I320=0,ISNUMBER(AK320),AK320&lt;=T320),AK320,9E15),IF(AND(J320=0,ISNUMBER(AL320),AL320&lt;=T320),AL320,9E15),IF(AND(K320=0,ISNUMBER(AM320),AM320&lt;=T320),AM320,9E15))&lt;9E15,IF(AND(AND(I320=0,ISNUMBER(AK320),AK320&lt;=T320),AK320=MIN(IF(AND(I320=0,ISNUMBER(AK320),AK320&lt;=T320),AK320,9E15),IF(AND(J320=0,ISNUMBER(AL320),AL320&lt;=T320),AL320,9E15),IF(AND(K320=0,ISNUMBER(AM320),AM320&lt;=T320),AM320,9E15))),"OR",IF(AND(AND(J320=0,ISNUMBER(AL320),AL320&lt;=T320),AL320=MIN(IF(AND(I320=0,ISNUMBER(AK320),AK320&lt;=T320),AK320,9E15),IF(AND(J320=0,ISNUMBER(AL320),AL320&lt;=T320),AL320,9E15),IF(AND(K320=0,ISNUMBER(AM320),AM320&lt;=T320),AM320,9E15))),"HP","FP")),IF(AR320=TRUE,"",IF(MAX(IF(AND(NOT(AND(AO320=1,AN320&lt;&gt;1)),ISNUMBER(AG320),AG320&lt;=T320),AS320,0),IF(AND(NOT(AND(AO320=1,AN320&lt;&gt;1)),ISNUMBER(AH320),AH320&lt;=T320),AT320,0),IF(AND(NOT(AND(AO320=1,AN320&lt;&gt;1)),ISNUMBER(AI320),AI320&lt;=T320),AU320,0),IF(AND(ISNUMBER(AJ320),AJ320&lt;=T320),AV320,0))&lt;=0,"",IF(AND(IF(AND(NOT(AND(AO320=1,AN320&lt;&gt;1)),ISNUMBER(AG320),AG320&lt;=T320),AS320,0)&gt;0,IF(AND(NOT(AND(AO320=1,AN320&lt;&gt;1)),ISNUMBER(AG320),AG320&lt;=T320),AS320,0)=MAX(IF(AND(NOT(AND(AO320=1,AN320&lt;&gt;1)),ISNUMBER(AG320),AG320&lt;=T320),AS320,0),IF(AND(NOT(AND(AO320=1,AN320&lt;&gt;1)),ISNUMBER(AH320),AH320&lt;=T320),AT320,0),IF(AND(NOT(AND(AO320=1,AN320&lt;&gt;1)),ISNUMBER(AI320),AI320&lt;=T320),AU320,0),IF(AND(ISNUMBER(AJ320),AJ320&lt;=T320),AV320,0))),"SW",IF(AND(IF(AND(NOT(AND(AO320=1,AN320&lt;&gt;1)),ISNUMBER(AH320),AH320&lt;=T320),AT320,0)&gt;0,IF(AND(NOT(AND(AO320=1,AN320&lt;&gt;1)),ISNUMBER(AH320),AH320&lt;=T320),AT320,0)=MAX(IF(AND(NOT(AND(AO320=1,AN320&lt;&gt;1)),ISNUMBER(AG320),AG320&lt;=T320),AS320,0),IF(AND(NOT(AND(AO320=1,AN320&lt;&gt;1)),ISNUMBER(AH320),AH320&lt;=T320),AT320,0),IF(AND(NOT(AND(AO320=1,AN320&lt;&gt;1)),ISNUMBER(AI320),AI320&lt;=T320),AU320,0),IF(AND(ISNUMBER(AJ320),AJ320&lt;=T320),AV320,0))),"AB",IF(AND(IF(AND(NOT(AND(AO320=1,AN320&lt;&gt;1)),ISNUMBER(AI320),AI320&lt;=T320),AU320,0)&gt;0,IF(AND(NOT(AND(AO320=1,AN320&lt;&gt;1)),ISNUMBER(AI320),AI320&lt;=T320),AU320,0)=MAX(IF(AND(NOT(AND(AO320=1,AN320&lt;&gt;1)),ISNUMBER(AG320),AG320&lt;=T320),AS320,0),IF(AND(NOT(AND(AO320=1,AN320&lt;&gt;1)),ISNUMBER(AH320),AH320&lt;=T320),AT320,0),IF(AND(NOT(AND(AO320=1,AN320&lt;&gt;1)),ISNUMBER(AI320),AI320&lt;=T320),AU320,0),IF(AND(ISNUMBER(AJ320),AJ320&lt;=T320),AV320,0))),"SC","Mag")))))))</f>
        <v/>
      </c>
    </row>
    <row r="321">
      <c r="A321" s="26" t="n">
        <v>316</v>
      </c>
      <c r="B321" s="27">
        <f>A321*10/60</f>
        <v/>
      </c>
      <c r="C321" s="22">
        <f>X320</f>
        <v/>
      </c>
      <c r="D321" s="27">
        <f>D320+W320</f>
        <v/>
      </c>
      <c r="E321" s="26">
        <f>E320+IF(U320="SW",1,0)</f>
        <v/>
      </c>
      <c r="F321" s="26">
        <f>F320+IF(U320="AB",1,0)</f>
        <v/>
      </c>
      <c r="G321" s="26">
        <f>G320+IF(U320="SC",1,0)</f>
        <v/>
      </c>
      <c r="H321" s="26">
        <f>H320+IF(U320="Mag",1,0)</f>
        <v/>
      </c>
      <c r="I321" s="26">
        <f>MAX(I320,IF(U320="OR",1,0))</f>
        <v/>
      </c>
      <c r="J321" s="26">
        <f>MAX(J320,IF(U320="HP",1,0))</f>
        <v/>
      </c>
      <c r="K321" s="26">
        <f>MAX(K320,IF(U320="FP",1,0))</f>
        <v/>
      </c>
      <c r="L321" s="26">
        <f>MAX(L320,IF(U320="transition",1,0))</f>
        <v/>
      </c>
      <c r="M321" s="28">
        <f>(Parameters!$B$9+(IF(E321=0,0,(Upgrades!$J$6+E321*Upgrades!$K$6)*POWER(Upgrades!$L$6,E321)))*(IF(Upgrades!$T$7="Solar Wind",POWER(Upgrades!$U$7,F321),1)*IF(Upgrades!$T$8="Solar Wind",POWER(Upgrades!$U$8,G321),1)*IF(Upgrades!$T$9="Solar Wind",POWER(Upgrades!$U$9,H321),1)*IF(Upgrades!$T$10="Solar Wind",POWER(Upgrades!$U$10,I321),1)*IF(Upgrades!$T$11="Solar Wind",POWER(Upgrades!$U$11,J321),1)*IF(Upgrades!$T$12="Solar Wind",POWER(Upgrades!$U$12,K321),1))+(IF(F321=0,0,(Upgrades!$J$7+F321*Upgrades!$K$7)*POWER(Upgrades!$L$7,F321)))*(IF(Upgrades!$T$6="Asteroid Belt",POWER(Upgrades!$U$6,E321),1)*IF(Upgrades!$T$8="Asteroid Belt",POWER(Upgrades!$U$8,G321),1)*IF(Upgrades!$T$9="Asteroid Belt",POWER(Upgrades!$U$9,H321),1)*IF(Upgrades!$T$10="Asteroid Belt",POWER(Upgrades!$U$10,I321),1)*IF(Upgrades!$T$11="Asteroid Belt",POWER(Upgrades!$U$11,J321),1)*IF(Upgrades!$T$12="Asteroid Belt",POWER(Upgrades!$U$12,K321),1))+(IF(G321=0,0,(Upgrades!$J$8+G321*Upgrades!$K$8)*POWER(Upgrades!$L$8,G321)))*(IF(Upgrades!$T$6="Stellar Coupling",POWER(Upgrades!$U$6,E321),1)*IF(Upgrades!$T$7="Stellar Coupling",POWER(Upgrades!$U$7,F321),1)*IF(Upgrades!$T$9="Stellar Coupling",POWER(Upgrades!$U$9,H321),1)*IF(Upgrades!$T$10="Stellar Coupling",POWER(Upgrades!$U$10,I321),1)*IF(Upgrades!$T$11="Stellar Coupling",POWER(Upgrades!$U$11,J321),1)*IF(Upgrades!$T$12="Stellar Coupling",POWER(Upgrades!$U$12,K321),1))+(IF(H321=0,0,(Upgrades!$J$9+H321*Upgrades!$K$9)*POWER(Upgrades!$L$9,H321)))*(IF(Upgrades!$T$6="Magnetosphere",POWER(Upgrades!$U$6,E321),1)*IF(Upgrades!$T$7="Magnetosphere",POWER(Upgrades!$U$7,F321),1)*IF(Upgrades!$T$8="Magnetosphere",POWER(Upgrades!$U$8,G321),1)*IF(Upgrades!$T$10="Magnetosphere",POWER(Upgrades!$U$10,I321),1)*IF(Upgrades!$T$11="Magnetosphere",POWER(Upgrades!$U$11,J321),1)*IF(Upgrades!$T$12="Magnetosphere",POWER(Upgrades!$U$12,K321),1))+(IF(I321=0,0,(Upgrades!$J$10+I321*Upgrades!$K$10)*POWER(Upgrades!$L$10,I321)))*(IF(Upgrades!$T$6="Orbital Resonance",POWER(Upgrades!$U$6,E321),1)*IF(Upgrades!$T$7="Orbital Resonance",POWER(Upgrades!$U$7,F321),1)*IF(Upgrades!$T$8="Orbital Resonance",POWER(Upgrades!$U$8,G321),1)*IF(Upgrades!$T$9="Orbital Resonance",POWER(Upgrades!$U$9,H321),1)*IF(Upgrades!$T$11="Orbital Resonance",POWER(Upgrades!$U$11,J321),1)*IF(Upgrades!$T$12="Orbital Resonance",POWER(Upgrades!$U$12,K321),1))+(IF(J321=0,0,(Upgrades!$J$11+J321*Upgrades!$K$11)*POWER(Upgrades!$L$11,J321)))*(IF(Upgrades!$T$6="Heliopause",POWER(Upgrades!$U$6,E321),1)*IF(Upgrades!$T$7="Heliopause",POWER(Upgrades!$U$7,F321),1)*IF(Upgrades!$T$8="Heliopause",POWER(Upgrades!$U$8,G321),1)*IF(Upgrades!$T$9="Heliopause",POWER(Upgrades!$U$9,H321),1)*IF(Upgrades!$T$10="Heliopause",POWER(Upgrades!$U$10,I321),1)*IF(Upgrades!$T$12="Heliopause",POWER(Upgrades!$U$12,K321),1))+(IF(K321=0,0,(Upgrades!$J$12+K321*Upgrades!$K$12)*POWER(Upgrades!$L$12,K321)))*(IF(Upgrades!$T$6="First Photons",POWER(Upgrades!$U$6,E321),1)*IF(Upgrades!$T$7="First Photons",POWER(Upgrades!$U$7,F321),1)*IF(Upgrades!$T$8="First Photons",POWER(Upgrades!$U$8,G321),1)*IF(Upgrades!$T$9="First Photons",POWER(Upgrades!$U$9,H321),1)*IF(Upgrades!$T$10="First Photons",POWER(Upgrades!$U$10,I321),1)*IF(Upgrades!$T$11="First Photons",POWER(Upgrades!$U$11,J321),1)))*POWER(Upgrades!$Q$6,E321)*POWER(Upgrades!$Q$7,F321)*POWER(Upgrades!$Q$8,G321)*POWER(Upgrades!$Q$9,H321)*POWER(Upgrades!$Q$10,I321)*POWER(Upgrades!$Q$11,J321)*POWER(Upgrades!$Q$12,K321)</f>
        <v/>
      </c>
      <c r="N321" s="28">
        <f>((IF(E321=0,0,(Upgrades!$G$6+E321*Upgrades!$H$6)*POWER(Upgrades!$I$6,E321)))*(IF(Upgrades!$T$7="Solar Wind",POWER(Upgrades!$U$7,F321),1)*IF(Upgrades!$T$8="Solar Wind",POWER(Upgrades!$U$8,G321),1)*IF(Upgrades!$T$9="Solar Wind",POWER(Upgrades!$U$9,H321),1)*IF(Upgrades!$T$10="Solar Wind",POWER(Upgrades!$U$10,I321),1)*IF(Upgrades!$T$11="Solar Wind",POWER(Upgrades!$U$11,J321),1)*IF(Upgrades!$T$12="Solar Wind",POWER(Upgrades!$U$12,K321),1))+(IF(F321=0,0,(Upgrades!$G$7+F321*Upgrades!$H$7)*POWER(Upgrades!$I$7,F321)))*(IF(Upgrades!$T$6="Asteroid Belt",POWER(Upgrades!$U$6,E321),1)*IF(Upgrades!$T$8="Asteroid Belt",POWER(Upgrades!$U$8,G321),1)*IF(Upgrades!$T$9="Asteroid Belt",POWER(Upgrades!$U$9,H321),1)*IF(Upgrades!$T$10="Asteroid Belt",POWER(Upgrades!$U$10,I321),1)*IF(Upgrades!$T$11="Asteroid Belt",POWER(Upgrades!$U$11,J321),1)*IF(Upgrades!$T$12="Asteroid Belt",POWER(Upgrades!$U$12,K321),1))+(IF(G321=0,0,(Upgrades!$G$8+G321*Upgrades!$H$8)*POWER(Upgrades!$I$8,G321)))*(IF(Upgrades!$T$6="Stellar Coupling",POWER(Upgrades!$U$6,E321),1)*IF(Upgrades!$T$7="Stellar Coupling",POWER(Upgrades!$U$7,F321),1)*IF(Upgrades!$T$9="Stellar Coupling",POWER(Upgrades!$U$9,H321),1)*IF(Upgrades!$T$10="Stellar Coupling",POWER(Upgrades!$U$10,I321),1)*IF(Upgrades!$T$11="Stellar Coupling",POWER(Upgrades!$U$11,J321),1)*IF(Upgrades!$T$12="Stellar Coupling",POWER(Upgrades!$U$12,K321),1))+(IF(H321=0,0,(Upgrades!$G$9+H321*Upgrades!$H$9)*POWER(Upgrades!$I$9,H321)))*(IF(Upgrades!$T$6="Magnetosphere",POWER(Upgrades!$U$6,E321),1)*IF(Upgrades!$T$7="Magnetosphere",POWER(Upgrades!$U$7,F321),1)*IF(Upgrades!$T$8="Magnetosphere",POWER(Upgrades!$U$8,G321),1)*IF(Upgrades!$T$10="Magnetosphere",POWER(Upgrades!$U$10,I321),1)*IF(Upgrades!$T$11="Magnetosphere",POWER(Upgrades!$U$11,J321),1)*IF(Upgrades!$T$12="Magnetosphere",POWER(Upgrades!$U$12,K321),1))+(IF(I321=0,0,(Upgrades!$G$10+I321*Upgrades!$H$10)*POWER(Upgrades!$I$10,I321)))*(IF(Upgrades!$T$6="Orbital Resonance",POWER(Upgrades!$U$6,E321),1)*IF(Upgrades!$T$7="Orbital Resonance",POWER(Upgrades!$U$7,F321),1)*IF(Upgrades!$T$8="Orbital Resonance",POWER(Upgrades!$U$8,G321),1)*IF(Upgrades!$T$9="Orbital Resonance",POWER(Upgrades!$U$9,H321),1)*IF(Upgrades!$T$11="Orbital Resonance",POWER(Upgrades!$U$11,J321),1)*IF(Upgrades!$T$12="Orbital Resonance",POWER(Upgrades!$U$12,K321),1))+(IF(J321=0,0,(Upgrades!$G$11+J321*Upgrades!$H$11)*POWER(Upgrades!$I$11,J321)))*(IF(Upgrades!$T$6="Heliopause",POWER(Upgrades!$U$6,E321),1)*IF(Upgrades!$T$7="Heliopause",POWER(Upgrades!$U$7,F321),1)*IF(Upgrades!$T$8="Heliopause",POWER(Upgrades!$U$8,G321),1)*IF(Upgrades!$T$9="Heliopause",POWER(Upgrades!$U$9,H321),1)*IF(Upgrades!$T$10="Heliopause",POWER(Upgrades!$U$10,I321),1)*IF(Upgrades!$T$12="Heliopause",POWER(Upgrades!$U$12,K321),1))+(IF(K321=0,0,(Upgrades!$G$12+K321*Upgrades!$H$12)*POWER(Upgrades!$I$12,K321)))*(IF(Upgrades!$T$6="First Photons",POWER(Upgrades!$U$6,E321),1)*IF(Upgrades!$T$7="First Photons",POWER(Upgrades!$U$7,F321),1)*IF(Upgrades!$T$8="First Photons",POWER(Upgrades!$U$8,G321),1)*IF(Upgrades!$T$9="First Photons",POWER(Upgrades!$U$9,H321),1)*IF(Upgrades!$T$10="First Photons",POWER(Upgrades!$U$10,I321),1)*IF(Upgrades!$T$11="First Photons",POWER(Upgrades!$U$11,J321),1)))*POWER(Upgrades!$P$6,E321)*POWER(Upgrades!$P$7,F321)*POWER(Upgrades!$P$8,G321)*POWER(Upgrades!$P$9,H321)*POWER(Upgrades!$P$10,I321)*POWER(Upgrades!$P$11,J321)*POWER(Upgrades!$P$12,K321)</f>
        <v/>
      </c>
      <c r="O321" s="28">
        <f>((IF(E321=0,0,(Upgrades!$M$6+E321*Upgrades!$N$6)*POWER(Upgrades!$O$6,E321)))*(IF(Upgrades!$T$7="Solar Wind",POWER(Upgrades!$U$7,F321),1)*IF(Upgrades!$T$8="Solar Wind",POWER(Upgrades!$U$8,G321),1)*IF(Upgrades!$T$9="Solar Wind",POWER(Upgrades!$U$9,H321),1)*IF(Upgrades!$T$10="Solar Wind",POWER(Upgrades!$U$10,I321),1)*IF(Upgrades!$T$11="Solar Wind",POWER(Upgrades!$U$11,J321),1)*IF(Upgrades!$T$12="Solar Wind",POWER(Upgrades!$U$12,K321),1))+(IF(F321=0,0,(Upgrades!$M$7+F321*Upgrades!$N$7)*POWER(Upgrades!$O$7,F321)))*(IF(Upgrades!$T$6="Asteroid Belt",POWER(Upgrades!$U$6,E321),1)*IF(Upgrades!$T$8="Asteroid Belt",POWER(Upgrades!$U$8,G321),1)*IF(Upgrades!$T$9="Asteroid Belt",POWER(Upgrades!$U$9,H321),1)*IF(Upgrades!$T$10="Asteroid Belt",POWER(Upgrades!$U$10,I321),1)*IF(Upgrades!$T$11="Asteroid Belt",POWER(Upgrades!$U$11,J321),1)*IF(Upgrades!$T$12="Asteroid Belt",POWER(Upgrades!$U$12,K321),1))+(IF(G321=0,0,(Upgrades!$M$8+G321*Upgrades!$N$8)*POWER(Upgrades!$O$8,G321)))*(IF(Upgrades!$T$6="Stellar Coupling",POWER(Upgrades!$U$6,E321),1)*IF(Upgrades!$T$7="Stellar Coupling",POWER(Upgrades!$U$7,F321),1)*IF(Upgrades!$T$9="Stellar Coupling",POWER(Upgrades!$U$9,H321),1)*IF(Upgrades!$T$10="Stellar Coupling",POWER(Upgrades!$U$10,I321),1)*IF(Upgrades!$T$11="Stellar Coupling",POWER(Upgrades!$U$11,J321),1)*IF(Upgrades!$T$12="Stellar Coupling",POWER(Upgrades!$U$12,K321),1))+(IF(H321=0,0,(Upgrades!$M$9+H321*Upgrades!$N$9)*POWER(Upgrades!$O$9,H321)))*(IF(Upgrades!$T$6="Magnetosphere",POWER(Upgrades!$U$6,E321),1)*IF(Upgrades!$T$7="Magnetosphere",POWER(Upgrades!$U$7,F321),1)*IF(Upgrades!$T$8="Magnetosphere",POWER(Upgrades!$U$8,G321),1)*IF(Upgrades!$T$10="Magnetosphere",POWER(Upgrades!$U$10,I321),1)*IF(Upgrades!$T$11="Magnetosphere",POWER(Upgrades!$U$11,J321),1)*IF(Upgrades!$T$12="Magnetosphere",POWER(Upgrades!$U$12,K321),1))+(IF(I321=0,0,(Upgrades!$M$10+I321*Upgrades!$N$10)*POWER(Upgrades!$O$10,I321)))*(IF(Upgrades!$T$6="Orbital Resonance",POWER(Upgrades!$U$6,E321),1)*IF(Upgrades!$T$7="Orbital Resonance",POWER(Upgrades!$U$7,F321),1)*IF(Upgrades!$T$8="Orbital Resonance",POWER(Upgrades!$U$8,G321),1)*IF(Upgrades!$T$9="Orbital Resonance",POWER(Upgrades!$U$9,H321),1)*IF(Upgrades!$T$11="Orbital Resonance",POWER(Upgrades!$U$11,J321),1)*IF(Upgrades!$T$12="Orbital Resonance",POWER(Upgrades!$U$12,K321),1))+(IF(J321=0,0,(Upgrades!$M$11+J321*Upgrades!$N$11)*POWER(Upgrades!$O$11,J321)))*(IF(Upgrades!$T$6="Heliopause",POWER(Upgrades!$U$6,E321),1)*IF(Upgrades!$T$7="Heliopause",POWER(Upgrades!$U$7,F321),1)*IF(Upgrades!$T$8="Heliopause",POWER(Upgrades!$U$8,G321),1)*IF(Upgrades!$T$9="Heliopause",POWER(Upgrades!$U$9,H321),1)*IF(Upgrades!$T$10="Heliopause",POWER(Upgrades!$U$10,I321),1)*IF(Upgrades!$T$12="Heliopause",POWER(Upgrades!$U$12,K321),1))+(IF(K321=0,0,(Upgrades!$M$12+K321*Upgrades!$N$12)*POWER(Upgrades!$O$12,K321)))*(IF(Upgrades!$T$6="First Photons",POWER(Upgrades!$U$6,E321),1)*IF(Upgrades!$T$7="First Photons",POWER(Upgrades!$U$7,F321),1)*IF(Upgrades!$T$8="First Photons",POWER(Upgrades!$U$8,G321),1)*IF(Upgrades!$T$9="First Photons",POWER(Upgrades!$U$9,H321),1)*IF(Upgrades!$T$10="First Photons",POWER(Upgrades!$U$10,I321),1)*IF(Upgrades!$T$11="First Photons",POWER(Upgrades!$U$11,J321),1)))*POWER(Upgrades!$R$6,E321)*POWER(Upgrades!$R$7,F321)*POWER(Upgrades!$R$8,G321)*POWER(Upgrades!$R$9,H321)*POWER(Upgrades!$R$10,I321)*POWER(Upgrades!$R$11,J321)*POWER(Upgrades!$R$12,K321)</f>
        <v/>
      </c>
      <c r="P321" s="27">
        <f>IF(L321=1,0,M321*Parameters!$B$10/60*Parameters!$B$11*10)</f>
        <v/>
      </c>
      <c r="Q321" s="27">
        <f>IF(L321=1,0,O321*M321*10)</f>
        <v/>
      </c>
      <c r="R321" s="27">
        <f>IF(L321=1,0,N321*10)</f>
        <v/>
      </c>
      <c r="S321" s="27">
        <f>P321+Q321+R321</f>
        <v/>
      </c>
      <c r="T321" s="22">
        <f>C321+S321</f>
        <v/>
      </c>
      <c r="U321" s="33">
        <f>AX321</f>
        <v/>
      </c>
      <c r="V321" s="22">
        <f>IF(U321="",0,IF(U321="transition",0,IF(U321="SW",AG321,IF(U321="AB",AH321,IF(U321="SC",AI321,IF(U321="Mag",AJ321,IF(U321="OR",AK321,IF(U321="HP",AL321,IF(U321="FP",AM321,0)))))))))</f>
        <v/>
      </c>
      <c r="W321" s="27">
        <f>IF(U321="OR",Upgrades!$F$10,IF(U321="HP",Upgrades!$F$11,IF(U321="transition",-Parameters!$B$18,0)))</f>
        <v/>
      </c>
      <c r="X321" s="22">
        <f>T321-V321</f>
        <v/>
      </c>
      <c r="Y321" s="30">
        <f>M321*Parameters!$B$10/60*Parameters!$B$11+O321*M321+N321</f>
        <v/>
      </c>
      <c r="Z321" s="34">
        <f>IF(U321="transition","→ Tier 2 (Stellar Neighborhood)",IF(U321="FP","First Photons — light begins, system quickens",IF(U321="HP","Heliopause acquired",IF(U321="OR","Orbital Resonance — passive multiplier active",IF(AND(AO321=1,L321=0,AN321&lt;&gt;1),"Cohesion ready (waiting on completionist upgrades)","")))))</f>
        <v/>
      </c>
      <c r="AA321" s="27">
        <f>(IF(E321=0,0,(Upgrades!$G$6+E321*Upgrades!$H$6)*POWER(Upgrades!$I$6,E321)))*(IF(Upgrades!$T$7="Solar Wind",POWER(Upgrades!$U$7,F321),1)*IF(Upgrades!$T$8="Solar Wind",POWER(Upgrades!$U$8,G321),1)*IF(Upgrades!$T$9="Solar Wind",POWER(Upgrades!$U$9,H321),1)*IF(Upgrades!$T$10="Solar Wind",POWER(Upgrades!$U$10,I321),1)*IF(Upgrades!$T$11="Solar Wind",POWER(Upgrades!$U$11,J321),1)*IF(Upgrades!$T$12="Solar Wind",POWER(Upgrades!$U$12,K321),1))*POWER(Upgrades!$P$6,E321)*POWER(Upgrades!$P$7,F321)*POWER(Upgrades!$P$8,G321)*POWER(Upgrades!$P$9,H321)*POWER(Upgrades!$P$10,I321)*POWER(Upgrades!$P$11,J321)*POWER(Upgrades!$P$12,K321)*60</f>
        <v/>
      </c>
      <c r="AB321" s="27">
        <f>(IF(F321=0,0,(Upgrades!$G$7+F321*Upgrades!$H$7)*POWER(Upgrades!$I$7,F321)))*(IF(Upgrades!$T$6="Asteroid Belt",POWER(Upgrades!$U$6,E321),1)*IF(Upgrades!$T$8="Asteroid Belt",POWER(Upgrades!$U$8,G321),1)*IF(Upgrades!$T$9="Asteroid Belt",POWER(Upgrades!$U$9,H321),1)*IF(Upgrades!$T$10="Asteroid Belt",POWER(Upgrades!$U$10,I321),1)*IF(Upgrades!$T$11="Asteroid Belt",POWER(Upgrades!$U$11,J321),1)*IF(Upgrades!$T$12="Asteroid Belt",POWER(Upgrades!$U$12,K321),1))*POWER(Upgrades!$P$6,E321)*POWER(Upgrades!$P$7,F321)*POWER(Upgrades!$P$8,G321)*POWER(Upgrades!$P$9,H321)*POWER(Upgrades!$P$10,I321)*POWER(Upgrades!$P$11,J321)*POWER(Upgrades!$P$12,K321)*60</f>
        <v/>
      </c>
      <c r="AC321" s="27">
        <f>(IF(G321=0,0,(Upgrades!$J$8+G321*Upgrades!$K$8)*POWER(Upgrades!$L$8,G321)))*(IF(Upgrades!$T$6="Stellar Coupling",POWER(Upgrades!$U$6,E321),1)*IF(Upgrades!$T$7="Stellar Coupling",POWER(Upgrades!$U$7,F321),1)*IF(Upgrades!$T$9="Stellar Coupling",POWER(Upgrades!$U$9,H321),1)*IF(Upgrades!$T$10="Stellar Coupling",POWER(Upgrades!$U$10,I321),1)*IF(Upgrades!$T$11="Stellar Coupling",POWER(Upgrades!$U$11,J321),1)*IF(Upgrades!$T$12="Stellar Coupling",POWER(Upgrades!$U$12,K321),1))*POWER(Upgrades!$Q$6,E321)*POWER(Upgrades!$Q$7,F321)*POWER(Upgrades!$Q$8,G321)*POWER(Upgrades!$Q$9,H321)*POWER(Upgrades!$Q$10,I321)*POWER(Upgrades!$Q$11,J321)*POWER(Upgrades!$Q$12,K321)*Parameters!$B$10*Parameters!$B$11</f>
        <v/>
      </c>
      <c r="AD321" s="27">
        <f>(IF(H321=0,0,(Upgrades!$G$9+H321*Upgrades!$H$9)*POWER(Upgrades!$I$9,H321)))*(IF(Upgrades!$T$6="Magnetosphere",POWER(Upgrades!$U$6,E321),1)*IF(Upgrades!$T$7="Magnetosphere",POWER(Upgrades!$U$7,F321),1)*IF(Upgrades!$T$8="Magnetosphere",POWER(Upgrades!$U$8,G321),1)*IF(Upgrades!$T$10="Magnetosphere",POWER(Upgrades!$U$10,I321),1)*IF(Upgrades!$T$11="Magnetosphere",POWER(Upgrades!$U$11,J321),1)*IF(Upgrades!$T$12="Magnetosphere",POWER(Upgrades!$U$12,K321),1))*POWER(Upgrades!$P$6,E321)*POWER(Upgrades!$P$7,F321)*POWER(Upgrades!$P$8,G321)*POWER(Upgrades!$P$9,H321)*POWER(Upgrades!$P$10,I321)*POWER(Upgrades!$P$11,J321)*POWER(Upgrades!$P$12,K321)*60</f>
        <v/>
      </c>
      <c r="AE321" s="27">
        <f>(IF(K321=0,0,(Upgrades!$G$12+K321*Upgrades!$H$12)*POWER(Upgrades!$I$12,K321)))*(IF(Upgrades!$T$6="First Photons",POWER(Upgrades!$U$6,E321),1)*IF(Upgrades!$T$7="First Photons",POWER(Upgrades!$U$7,F321),1)*IF(Upgrades!$T$8="First Photons",POWER(Upgrades!$U$8,G321),1)*IF(Upgrades!$T$9="First Photons",POWER(Upgrades!$U$9,H321),1)*IF(Upgrades!$T$10="First Photons",POWER(Upgrades!$U$10,I321),1)*IF(Upgrades!$T$11="First Photons",POWER(Upgrades!$U$11,J321),1))*POWER(Upgrades!$P$6,E321)*POWER(Upgrades!$P$7,F321)*POWER(Upgrades!$P$8,G321)*POWER(Upgrades!$P$9,H321)*POWER(Upgrades!$P$10,I321)*POWER(Upgrades!$P$11,J321)*POWER(Upgrades!$P$12,K321)*60</f>
        <v/>
      </c>
      <c r="AF321" s="27">
        <f>Parameters!$B$9*POWER(Upgrades!$Q$6,E321)*POWER(Upgrades!$Q$7,F321)*POWER(Upgrades!$Q$8,G321)*POWER(Upgrades!$Q$9,H321)*POWER(Upgrades!$Q$10,I321)*POWER(Upgrades!$Q$11,J321)*POWER(Upgrades!$Q$12,K321)*(Parameters!$B$10*Parameters!$B$11+O321*60)</f>
        <v/>
      </c>
      <c r="AG321" s="22">
        <f>IF(E321&gt;=Upgrades!$E$6,"",Upgrades!$C$6*POWER(Upgrades!$D$6,E321))</f>
        <v/>
      </c>
      <c r="AH321" s="22">
        <f>IF(F321&gt;=Upgrades!$E$7,"",Upgrades!$C$7*POWER(Upgrades!$D$7,F321))</f>
        <v/>
      </c>
      <c r="AI321" s="22">
        <f>IF(G321&gt;=Upgrades!$E$8,"",Upgrades!$C$8*POWER(Upgrades!$D$8,G321))</f>
        <v/>
      </c>
      <c r="AJ321" s="22">
        <f>IF(H321&gt;=Upgrades!$E$9,"",Upgrades!$C$9*POWER(Upgrades!$D$9,H321))</f>
        <v/>
      </c>
      <c r="AK321" s="22">
        <f>IF(I321&gt;=Upgrades!$E$10,"",Upgrades!$C$10*POWER(Upgrades!$D$10,I321))</f>
        <v/>
      </c>
      <c r="AL321" s="22">
        <f>IF(J321&gt;=Upgrades!$E$11,"",Upgrades!$C$11*POWER(Upgrades!$D$11,J321))</f>
        <v/>
      </c>
      <c r="AM321" s="22">
        <f>IF(K321&gt;=Upgrades!$E$12,"",Upgrades!$C$12*POWER(Upgrades!$D$12,K321))</f>
        <v/>
      </c>
      <c r="AN321" s="26">
        <f>IF(AND(D321&gt;=Parameters!$B$18,(H321&gt;=Upgrades!$E$9)*(K321&gt;=Upgrades!$E$12)=1,L321=0),1,"")</f>
        <v/>
      </c>
      <c r="AO321" s="26">
        <f>IF(AND(D321&gt;=Parameters!$B$18,L321=0),1,"")</f>
        <v/>
      </c>
      <c r="AP321" s="22">
        <f>MIN(IF(ISNUMBER(AK321),AK321,9E15),IF(ISNUMBER(AL321),AL321,9E15),IF(ISNUMBER(AM321),AM321,9E15))</f>
        <v/>
      </c>
      <c r="AQ321" s="22">
        <f>MIN(IF(ISNUMBER(AG321),AG321,9E15),IF(ISNUMBER(AH321),AH321,9E15),IF(ISNUMBER(AI321),AI321,9E15),IF(ISNUMBER(AJ321),AJ321,9E15))</f>
        <v/>
      </c>
      <c r="AR321" s="29">
        <f>IF(AW321&gt;Parameters!$B$21*(MAX(IF(AND(NOT(AND(AO321=1,AN321&lt;&gt;1)),ISNUMBER(AG321),AG321&lt;=T321),AS321,0),IF(AND(NOT(AND(AO321=1,AN321&lt;&gt;1)),ISNUMBER(AH321),AH321&lt;=T321),AT321,0),IF(AND(NOT(AND(AO321=1,AN321&lt;&gt;1)),ISNUMBER(AI321),AI321&lt;=T321),AU321,0),IF(AND(ISNUMBER(AJ321),AJ321&lt;=T321),AV321,0))),TRUE,FALSE)</f>
        <v/>
      </c>
      <c r="AS321" s="32">
        <f>IFERROR(Upgrades!$H$6*(POWER(Upgrades!$P$6,E321)*POWER(Upgrades!$P$7,F321)*POWER(Upgrades!$P$8,G321)*POWER(Upgrades!$P$9,H321)*POWER(Upgrades!$P$10,I321)*POWER(Upgrades!$P$11,J321)*POWER(Upgrades!$P$12,K321))*(IF(Upgrades!$T$7="Solar Wind",POWER(Upgrades!$U$7,F321),1)*IF(Upgrades!$T$8="Solar Wind",POWER(Upgrades!$U$8,G321),1)*IF(Upgrades!$T$9="Solar Wind",POWER(Upgrades!$U$9,H321),1)*IF(Upgrades!$T$10="Solar Wind",POWER(Upgrades!$U$10,I321),1)*IF(Upgrades!$T$11="Solar Wind",POWER(Upgrades!$U$11,J321),1)*IF(Upgrades!$T$12="Solar Wind",POWER(Upgrades!$U$12,K321),1))/AG321,0)</f>
        <v/>
      </c>
      <c r="AT321" s="32">
        <f>IFERROR(Upgrades!$H$7*(POWER(Upgrades!$P$6,E321)*POWER(Upgrades!$P$7,F321)*POWER(Upgrades!$P$8,G321)*POWER(Upgrades!$P$9,H321)*POWER(Upgrades!$P$10,I321)*POWER(Upgrades!$P$11,J321)*POWER(Upgrades!$P$12,K321))*(IF(Upgrades!$T$6="Asteroid Belt",POWER(Upgrades!$U$6,E321),1)*IF(Upgrades!$T$8="Asteroid Belt",POWER(Upgrades!$U$8,G321),1)*IF(Upgrades!$T$9="Asteroid Belt",POWER(Upgrades!$U$9,H321),1)*IF(Upgrades!$T$10="Asteroid Belt",POWER(Upgrades!$U$10,I321),1)*IF(Upgrades!$T$11="Asteroid Belt",POWER(Upgrades!$U$11,J321),1)*IF(Upgrades!$T$12="Asteroid Belt",POWER(Upgrades!$U$12,K321),1))/AH321,0)</f>
        <v/>
      </c>
      <c r="AU321" s="32">
        <f>IFERROR(Upgrades!$K$8*(POWER(Upgrades!$Q$6,E321)*POWER(Upgrades!$Q$7,F321)*POWER(Upgrades!$Q$8,G321)*POWER(Upgrades!$Q$9,H321)*POWER(Upgrades!$Q$10,I321)*POWER(Upgrades!$Q$11,J321)*POWER(Upgrades!$Q$12,K321))*(IF(Upgrades!$T$6="Stellar Coupling",POWER(Upgrades!$U$6,E321),1)*IF(Upgrades!$T$7="Stellar Coupling",POWER(Upgrades!$U$7,F321),1)*IF(Upgrades!$T$9="Stellar Coupling",POWER(Upgrades!$U$9,H321),1)*IF(Upgrades!$T$10="Stellar Coupling",POWER(Upgrades!$U$10,I321),1)*IF(Upgrades!$T$11="Stellar Coupling",POWER(Upgrades!$U$11,J321),1)*IF(Upgrades!$T$12="Stellar Coupling",POWER(Upgrades!$U$12,K321),1))*Parameters!$B$10*Parameters!$B$11/60/AI321,0)</f>
        <v/>
      </c>
      <c r="AV321" s="32">
        <f>IFERROR(Upgrades!$H$9*(POWER(Upgrades!$P$6,E321)*POWER(Upgrades!$P$7,F321)*POWER(Upgrades!$P$8,G321)*POWER(Upgrades!$P$9,H321)*POWER(Upgrades!$P$10,I321)*POWER(Upgrades!$P$11,J321)*POWER(Upgrades!$P$12,K321))*(IF(Upgrades!$T$6="Magnetosphere",POWER(Upgrades!$U$6,E321),1)*IF(Upgrades!$T$7="Magnetosphere",POWER(Upgrades!$U$7,F321),1)*IF(Upgrades!$T$8="Magnetosphere",POWER(Upgrades!$U$8,G321),1)*IF(Upgrades!$T$10="Magnetosphere",POWER(Upgrades!$U$10,I321),1)*IF(Upgrades!$T$11="Magnetosphere",POWER(Upgrades!$U$11,J321),1)*IF(Upgrades!$T$12="Magnetosphere",POWER(Upgrades!$U$12,K321),1))/AJ321,0)</f>
        <v/>
      </c>
      <c r="AW321" s="32">
        <f>MAX(IF(I321&gt;0,0,IFERROR(0.25*N321/Upgrades!$C$10,0)),IF(J321&gt;0,0,IFERROR(0.5*((IF(G321=0,0,(Upgrades!$J$8+G321*Upgrades!$K$8)*POWER(Upgrades!$L$8,G321)))*(IF(Upgrades!$T$6="Stellar Coupling",POWER(Upgrades!$U$6,E321),1)*IF(Upgrades!$T$7="Stellar Coupling",POWER(Upgrades!$U$7,F321),1)*IF(Upgrades!$T$9="Stellar Coupling",POWER(Upgrades!$U$9,H321),1)*IF(Upgrades!$T$10="Stellar Coupling",POWER(Upgrades!$U$10,I321),1)*IF(Upgrades!$T$11="Stellar Coupling",POWER(Upgrades!$U$11,J321),1)*IF(Upgrades!$T$12="Stellar Coupling",POWER(Upgrades!$U$12,K321),1))*(POWER(Upgrades!$Q$6,E321)*POWER(Upgrades!$Q$7,F321)*POWER(Upgrades!$Q$8,G321)*POWER(Upgrades!$Q$9,H321)*POWER(Upgrades!$Q$10,I321)*POWER(Upgrades!$Q$11,J321)*POWER(Upgrades!$Q$12,K321))*Parameters!$B$10*Parameters!$B$11/60)/Upgrades!$C$11,0)),IF(K321&gt;0,0,IFERROR((1.0*(POWER(Upgrades!$P$6,E321)*POWER(Upgrades!$P$7,F321)*POWER(Upgrades!$P$8,G321)*POWER(Upgrades!$P$9,H321)*POWER(Upgrades!$P$10,I321)*POWER(Upgrades!$P$11,J321)*POWER(Upgrades!$P$12,K321))+0.20*M321*Parameters!$B$10*Parameters!$B$11/60)/Upgrades!$C$12,0)),IF(AND(ISNUMBER(AG321),AG321&gt;T321),AS321,0),IF(AND(ISNUMBER(AH321),AH321&gt;T321),AT321,0),IF(AND(ISNUMBER(AI321),AI321&gt;T321),AU321,0),IF(AND(ISNUMBER(AJ321),AJ321&gt;T321),AV321,0))</f>
        <v/>
      </c>
      <c r="AX321" s="29">
        <f>IF(AN321=1,"transition",IF(MIN(IF(AND(I321=0,ISNUMBER(AK321),AK321&lt;=T321),AK321,9E15),IF(AND(J321=0,ISNUMBER(AL321),AL321&lt;=T321),AL321,9E15),IF(AND(K321=0,ISNUMBER(AM321),AM321&lt;=T321),AM321,9E15))&lt;9E15,IF(AND(AND(I321=0,ISNUMBER(AK321),AK321&lt;=T321),AK321=MIN(IF(AND(I321=0,ISNUMBER(AK321),AK321&lt;=T321),AK321,9E15),IF(AND(J321=0,ISNUMBER(AL321),AL321&lt;=T321),AL321,9E15),IF(AND(K321=0,ISNUMBER(AM321),AM321&lt;=T321),AM321,9E15))),"OR",IF(AND(AND(J321=0,ISNUMBER(AL321),AL321&lt;=T321),AL321=MIN(IF(AND(I321=0,ISNUMBER(AK321),AK321&lt;=T321),AK321,9E15),IF(AND(J321=0,ISNUMBER(AL321),AL321&lt;=T321),AL321,9E15),IF(AND(K321=0,ISNUMBER(AM321),AM321&lt;=T321),AM321,9E15))),"HP","FP")),IF(AR321=TRUE,"",IF(MAX(IF(AND(NOT(AND(AO321=1,AN321&lt;&gt;1)),ISNUMBER(AG321),AG321&lt;=T321),AS321,0),IF(AND(NOT(AND(AO321=1,AN321&lt;&gt;1)),ISNUMBER(AH321),AH321&lt;=T321),AT321,0),IF(AND(NOT(AND(AO321=1,AN321&lt;&gt;1)),ISNUMBER(AI321),AI321&lt;=T321),AU321,0),IF(AND(ISNUMBER(AJ321),AJ321&lt;=T321),AV321,0))&lt;=0,"",IF(AND(IF(AND(NOT(AND(AO321=1,AN321&lt;&gt;1)),ISNUMBER(AG321),AG321&lt;=T321),AS321,0)&gt;0,IF(AND(NOT(AND(AO321=1,AN321&lt;&gt;1)),ISNUMBER(AG321),AG321&lt;=T321),AS321,0)=MAX(IF(AND(NOT(AND(AO321=1,AN321&lt;&gt;1)),ISNUMBER(AG321),AG321&lt;=T321),AS321,0),IF(AND(NOT(AND(AO321=1,AN321&lt;&gt;1)),ISNUMBER(AH321),AH321&lt;=T321),AT321,0),IF(AND(NOT(AND(AO321=1,AN321&lt;&gt;1)),ISNUMBER(AI321),AI321&lt;=T321),AU321,0),IF(AND(ISNUMBER(AJ321),AJ321&lt;=T321),AV321,0))),"SW",IF(AND(IF(AND(NOT(AND(AO321=1,AN321&lt;&gt;1)),ISNUMBER(AH321),AH321&lt;=T321),AT321,0)&gt;0,IF(AND(NOT(AND(AO321=1,AN321&lt;&gt;1)),ISNUMBER(AH321),AH321&lt;=T321),AT321,0)=MAX(IF(AND(NOT(AND(AO321=1,AN321&lt;&gt;1)),ISNUMBER(AG321),AG321&lt;=T321),AS321,0),IF(AND(NOT(AND(AO321=1,AN321&lt;&gt;1)),ISNUMBER(AH321),AH321&lt;=T321),AT321,0),IF(AND(NOT(AND(AO321=1,AN321&lt;&gt;1)),ISNUMBER(AI321),AI321&lt;=T321),AU321,0),IF(AND(ISNUMBER(AJ321),AJ321&lt;=T321),AV321,0))),"AB",IF(AND(IF(AND(NOT(AND(AO321=1,AN321&lt;&gt;1)),ISNUMBER(AI321),AI321&lt;=T321),AU321,0)&gt;0,IF(AND(NOT(AND(AO321=1,AN321&lt;&gt;1)),ISNUMBER(AI321),AI321&lt;=T321),AU321,0)=MAX(IF(AND(NOT(AND(AO321=1,AN321&lt;&gt;1)),ISNUMBER(AG321),AG321&lt;=T321),AS321,0),IF(AND(NOT(AND(AO321=1,AN321&lt;&gt;1)),ISNUMBER(AH321),AH321&lt;=T321),AT321,0),IF(AND(NOT(AND(AO321=1,AN321&lt;&gt;1)),ISNUMBER(AI321),AI321&lt;=T321),AU321,0),IF(AND(ISNUMBER(AJ321),AJ321&lt;=T321),AV321,0))),"SC","Mag")))))))</f>
        <v/>
      </c>
    </row>
    <row r="322">
      <c r="A322" s="26" t="n">
        <v>317</v>
      </c>
      <c r="B322" s="27">
        <f>A322*10/60</f>
        <v/>
      </c>
      <c r="C322" s="22">
        <f>X321</f>
        <v/>
      </c>
      <c r="D322" s="27">
        <f>D321+W321</f>
        <v/>
      </c>
      <c r="E322" s="26">
        <f>E321+IF(U321="SW",1,0)</f>
        <v/>
      </c>
      <c r="F322" s="26">
        <f>F321+IF(U321="AB",1,0)</f>
        <v/>
      </c>
      <c r="G322" s="26">
        <f>G321+IF(U321="SC",1,0)</f>
        <v/>
      </c>
      <c r="H322" s="26">
        <f>H321+IF(U321="Mag",1,0)</f>
        <v/>
      </c>
      <c r="I322" s="26">
        <f>MAX(I321,IF(U321="OR",1,0))</f>
        <v/>
      </c>
      <c r="J322" s="26">
        <f>MAX(J321,IF(U321="HP",1,0))</f>
        <v/>
      </c>
      <c r="K322" s="26">
        <f>MAX(K321,IF(U321="FP",1,0))</f>
        <v/>
      </c>
      <c r="L322" s="26">
        <f>MAX(L321,IF(U321="transition",1,0))</f>
        <v/>
      </c>
      <c r="M322" s="28">
        <f>(Parameters!$B$9+(IF(E322=0,0,(Upgrades!$J$6+E322*Upgrades!$K$6)*POWER(Upgrades!$L$6,E322)))*(IF(Upgrades!$T$7="Solar Wind",POWER(Upgrades!$U$7,F322),1)*IF(Upgrades!$T$8="Solar Wind",POWER(Upgrades!$U$8,G322),1)*IF(Upgrades!$T$9="Solar Wind",POWER(Upgrades!$U$9,H322),1)*IF(Upgrades!$T$10="Solar Wind",POWER(Upgrades!$U$10,I322),1)*IF(Upgrades!$T$11="Solar Wind",POWER(Upgrades!$U$11,J322),1)*IF(Upgrades!$T$12="Solar Wind",POWER(Upgrades!$U$12,K322),1))+(IF(F322=0,0,(Upgrades!$J$7+F322*Upgrades!$K$7)*POWER(Upgrades!$L$7,F322)))*(IF(Upgrades!$T$6="Asteroid Belt",POWER(Upgrades!$U$6,E322),1)*IF(Upgrades!$T$8="Asteroid Belt",POWER(Upgrades!$U$8,G322),1)*IF(Upgrades!$T$9="Asteroid Belt",POWER(Upgrades!$U$9,H322),1)*IF(Upgrades!$T$10="Asteroid Belt",POWER(Upgrades!$U$10,I322),1)*IF(Upgrades!$T$11="Asteroid Belt",POWER(Upgrades!$U$11,J322),1)*IF(Upgrades!$T$12="Asteroid Belt",POWER(Upgrades!$U$12,K322),1))+(IF(G322=0,0,(Upgrades!$J$8+G322*Upgrades!$K$8)*POWER(Upgrades!$L$8,G322)))*(IF(Upgrades!$T$6="Stellar Coupling",POWER(Upgrades!$U$6,E322),1)*IF(Upgrades!$T$7="Stellar Coupling",POWER(Upgrades!$U$7,F322),1)*IF(Upgrades!$T$9="Stellar Coupling",POWER(Upgrades!$U$9,H322),1)*IF(Upgrades!$T$10="Stellar Coupling",POWER(Upgrades!$U$10,I322),1)*IF(Upgrades!$T$11="Stellar Coupling",POWER(Upgrades!$U$11,J322),1)*IF(Upgrades!$T$12="Stellar Coupling",POWER(Upgrades!$U$12,K322),1))+(IF(H322=0,0,(Upgrades!$J$9+H322*Upgrades!$K$9)*POWER(Upgrades!$L$9,H322)))*(IF(Upgrades!$T$6="Magnetosphere",POWER(Upgrades!$U$6,E322),1)*IF(Upgrades!$T$7="Magnetosphere",POWER(Upgrades!$U$7,F322),1)*IF(Upgrades!$T$8="Magnetosphere",POWER(Upgrades!$U$8,G322),1)*IF(Upgrades!$T$10="Magnetosphere",POWER(Upgrades!$U$10,I322),1)*IF(Upgrades!$T$11="Magnetosphere",POWER(Upgrades!$U$11,J322),1)*IF(Upgrades!$T$12="Magnetosphere",POWER(Upgrades!$U$12,K322),1))+(IF(I322=0,0,(Upgrades!$J$10+I322*Upgrades!$K$10)*POWER(Upgrades!$L$10,I322)))*(IF(Upgrades!$T$6="Orbital Resonance",POWER(Upgrades!$U$6,E322),1)*IF(Upgrades!$T$7="Orbital Resonance",POWER(Upgrades!$U$7,F322),1)*IF(Upgrades!$T$8="Orbital Resonance",POWER(Upgrades!$U$8,G322),1)*IF(Upgrades!$T$9="Orbital Resonance",POWER(Upgrades!$U$9,H322),1)*IF(Upgrades!$T$11="Orbital Resonance",POWER(Upgrades!$U$11,J322),1)*IF(Upgrades!$T$12="Orbital Resonance",POWER(Upgrades!$U$12,K322),1))+(IF(J322=0,0,(Upgrades!$J$11+J322*Upgrades!$K$11)*POWER(Upgrades!$L$11,J322)))*(IF(Upgrades!$T$6="Heliopause",POWER(Upgrades!$U$6,E322),1)*IF(Upgrades!$T$7="Heliopause",POWER(Upgrades!$U$7,F322),1)*IF(Upgrades!$T$8="Heliopause",POWER(Upgrades!$U$8,G322),1)*IF(Upgrades!$T$9="Heliopause",POWER(Upgrades!$U$9,H322),1)*IF(Upgrades!$T$10="Heliopause",POWER(Upgrades!$U$10,I322),1)*IF(Upgrades!$T$12="Heliopause",POWER(Upgrades!$U$12,K322),1))+(IF(K322=0,0,(Upgrades!$J$12+K322*Upgrades!$K$12)*POWER(Upgrades!$L$12,K322)))*(IF(Upgrades!$T$6="First Photons",POWER(Upgrades!$U$6,E322),1)*IF(Upgrades!$T$7="First Photons",POWER(Upgrades!$U$7,F322),1)*IF(Upgrades!$T$8="First Photons",POWER(Upgrades!$U$8,G322),1)*IF(Upgrades!$T$9="First Photons",POWER(Upgrades!$U$9,H322),1)*IF(Upgrades!$T$10="First Photons",POWER(Upgrades!$U$10,I322),1)*IF(Upgrades!$T$11="First Photons",POWER(Upgrades!$U$11,J322),1)))*POWER(Upgrades!$Q$6,E322)*POWER(Upgrades!$Q$7,F322)*POWER(Upgrades!$Q$8,G322)*POWER(Upgrades!$Q$9,H322)*POWER(Upgrades!$Q$10,I322)*POWER(Upgrades!$Q$11,J322)*POWER(Upgrades!$Q$12,K322)</f>
        <v/>
      </c>
      <c r="N322" s="28">
        <f>((IF(E322=0,0,(Upgrades!$G$6+E322*Upgrades!$H$6)*POWER(Upgrades!$I$6,E322)))*(IF(Upgrades!$T$7="Solar Wind",POWER(Upgrades!$U$7,F322),1)*IF(Upgrades!$T$8="Solar Wind",POWER(Upgrades!$U$8,G322),1)*IF(Upgrades!$T$9="Solar Wind",POWER(Upgrades!$U$9,H322),1)*IF(Upgrades!$T$10="Solar Wind",POWER(Upgrades!$U$10,I322),1)*IF(Upgrades!$T$11="Solar Wind",POWER(Upgrades!$U$11,J322),1)*IF(Upgrades!$T$12="Solar Wind",POWER(Upgrades!$U$12,K322),1))+(IF(F322=0,0,(Upgrades!$G$7+F322*Upgrades!$H$7)*POWER(Upgrades!$I$7,F322)))*(IF(Upgrades!$T$6="Asteroid Belt",POWER(Upgrades!$U$6,E322),1)*IF(Upgrades!$T$8="Asteroid Belt",POWER(Upgrades!$U$8,G322),1)*IF(Upgrades!$T$9="Asteroid Belt",POWER(Upgrades!$U$9,H322),1)*IF(Upgrades!$T$10="Asteroid Belt",POWER(Upgrades!$U$10,I322),1)*IF(Upgrades!$T$11="Asteroid Belt",POWER(Upgrades!$U$11,J322),1)*IF(Upgrades!$T$12="Asteroid Belt",POWER(Upgrades!$U$12,K322),1))+(IF(G322=0,0,(Upgrades!$G$8+G322*Upgrades!$H$8)*POWER(Upgrades!$I$8,G322)))*(IF(Upgrades!$T$6="Stellar Coupling",POWER(Upgrades!$U$6,E322),1)*IF(Upgrades!$T$7="Stellar Coupling",POWER(Upgrades!$U$7,F322),1)*IF(Upgrades!$T$9="Stellar Coupling",POWER(Upgrades!$U$9,H322),1)*IF(Upgrades!$T$10="Stellar Coupling",POWER(Upgrades!$U$10,I322),1)*IF(Upgrades!$T$11="Stellar Coupling",POWER(Upgrades!$U$11,J322),1)*IF(Upgrades!$T$12="Stellar Coupling",POWER(Upgrades!$U$12,K322),1))+(IF(H322=0,0,(Upgrades!$G$9+H322*Upgrades!$H$9)*POWER(Upgrades!$I$9,H322)))*(IF(Upgrades!$T$6="Magnetosphere",POWER(Upgrades!$U$6,E322),1)*IF(Upgrades!$T$7="Magnetosphere",POWER(Upgrades!$U$7,F322),1)*IF(Upgrades!$T$8="Magnetosphere",POWER(Upgrades!$U$8,G322),1)*IF(Upgrades!$T$10="Magnetosphere",POWER(Upgrades!$U$10,I322),1)*IF(Upgrades!$T$11="Magnetosphere",POWER(Upgrades!$U$11,J322),1)*IF(Upgrades!$T$12="Magnetosphere",POWER(Upgrades!$U$12,K322),1))+(IF(I322=0,0,(Upgrades!$G$10+I322*Upgrades!$H$10)*POWER(Upgrades!$I$10,I322)))*(IF(Upgrades!$T$6="Orbital Resonance",POWER(Upgrades!$U$6,E322),1)*IF(Upgrades!$T$7="Orbital Resonance",POWER(Upgrades!$U$7,F322),1)*IF(Upgrades!$T$8="Orbital Resonance",POWER(Upgrades!$U$8,G322),1)*IF(Upgrades!$T$9="Orbital Resonance",POWER(Upgrades!$U$9,H322),1)*IF(Upgrades!$T$11="Orbital Resonance",POWER(Upgrades!$U$11,J322),1)*IF(Upgrades!$T$12="Orbital Resonance",POWER(Upgrades!$U$12,K322),1))+(IF(J322=0,0,(Upgrades!$G$11+J322*Upgrades!$H$11)*POWER(Upgrades!$I$11,J322)))*(IF(Upgrades!$T$6="Heliopause",POWER(Upgrades!$U$6,E322),1)*IF(Upgrades!$T$7="Heliopause",POWER(Upgrades!$U$7,F322),1)*IF(Upgrades!$T$8="Heliopause",POWER(Upgrades!$U$8,G322),1)*IF(Upgrades!$T$9="Heliopause",POWER(Upgrades!$U$9,H322),1)*IF(Upgrades!$T$10="Heliopause",POWER(Upgrades!$U$10,I322),1)*IF(Upgrades!$T$12="Heliopause",POWER(Upgrades!$U$12,K322),1))+(IF(K322=0,0,(Upgrades!$G$12+K322*Upgrades!$H$12)*POWER(Upgrades!$I$12,K322)))*(IF(Upgrades!$T$6="First Photons",POWER(Upgrades!$U$6,E322),1)*IF(Upgrades!$T$7="First Photons",POWER(Upgrades!$U$7,F322),1)*IF(Upgrades!$T$8="First Photons",POWER(Upgrades!$U$8,G322),1)*IF(Upgrades!$T$9="First Photons",POWER(Upgrades!$U$9,H322),1)*IF(Upgrades!$T$10="First Photons",POWER(Upgrades!$U$10,I322),1)*IF(Upgrades!$T$11="First Photons",POWER(Upgrades!$U$11,J322),1)))*POWER(Upgrades!$P$6,E322)*POWER(Upgrades!$P$7,F322)*POWER(Upgrades!$P$8,G322)*POWER(Upgrades!$P$9,H322)*POWER(Upgrades!$P$10,I322)*POWER(Upgrades!$P$11,J322)*POWER(Upgrades!$P$12,K322)</f>
        <v/>
      </c>
      <c r="O322" s="28">
        <f>((IF(E322=0,0,(Upgrades!$M$6+E322*Upgrades!$N$6)*POWER(Upgrades!$O$6,E322)))*(IF(Upgrades!$T$7="Solar Wind",POWER(Upgrades!$U$7,F322),1)*IF(Upgrades!$T$8="Solar Wind",POWER(Upgrades!$U$8,G322),1)*IF(Upgrades!$T$9="Solar Wind",POWER(Upgrades!$U$9,H322),1)*IF(Upgrades!$T$10="Solar Wind",POWER(Upgrades!$U$10,I322),1)*IF(Upgrades!$T$11="Solar Wind",POWER(Upgrades!$U$11,J322),1)*IF(Upgrades!$T$12="Solar Wind",POWER(Upgrades!$U$12,K322),1))+(IF(F322=0,0,(Upgrades!$M$7+F322*Upgrades!$N$7)*POWER(Upgrades!$O$7,F322)))*(IF(Upgrades!$T$6="Asteroid Belt",POWER(Upgrades!$U$6,E322),1)*IF(Upgrades!$T$8="Asteroid Belt",POWER(Upgrades!$U$8,G322),1)*IF(Upgrades!$T$9="Asteroid Belt",POWER(Upgrades!$U$9,H322),1)*IF(Upgrades!$T$10="Asteroid Belt",POWER(Upgrades!$U$10,I322),1)*IF(Upgrades!$T$11="Asteroid Belt",POWER(Upgrades!$U$11,J322),1)*IF(Upgrades!$T$12="Asteroid Belt",POWER(Upgrades!$U$12,K322),1))+(IF(G322=0,0,(Upgrades!$M$8+G322*Upgrades!$N$8)*POWER(Upgrades!$O$8,G322)))*(IF(Upgrades!$T$6="Stellar Coupling",POWER(Upgrades!$U$6,E322),1)*IF(Upgrades!$T$7="Stellar Coupling",POWER(Upgrades!$U$7,F322),1)*IF(Upgrades!$T$9="Stellar Coupling",POWER(Upgrades!$U$9,H322),1)*IF(Upgrades!$T$10="Stellar Coupling",POWER(Upgrades!$U$10,I322),1)*IF(Upgrades!$T$11="Stellar Coupling",POWER(Upgrades!$U$11,J322),1)*IF(Upgrades!$T$12="Stellar Coupling",POWER(Upgrades!$U$12,K322),1))+(IF(H322=0,0,(Upgrades!$M$9+H322*Upgrades!$N$9)*POWER(Upgrades!$O$9,H322)))*(IF(Upgrades!$T$6="Magnetosphere",POWER(Upgrades!$U$6,E322),1)*IF(Upgrades!$T$7="Magnetosphere",POWER(Upgrades!$U$7,F322),1)*IF(Upgrades!$T$8="Magnetosphere",POWER(Upgrades!$U$8,G322),1)*IF(Upgrades!$T$10="Magnetosphere",POWER(Upgrades!$U$10,I322),1)*IF(Upgrades!$T$11="Magnetosphere",POWER(Upgrades!$U$11,J322),1)*IF(Upgrades!$T$12="Magnetosphere",POWER(Upgrades!$U$12,K322),1))+(IF(I322=0,0,(Upgrades!$M$10+I322*Upgrades!$N$10)*POWER(Upgrades!$O$10,I322)))*(IF(Upgrades!$T$6="Orbital Resonance",POWER(Upgrades!$U$6,E322),1)*IF(Upgrades!$T$7="Orbital Resonance",POWER(Upgrades!$U$7,F322),1)*IF(Upgrades!$T$8="Orbital Resonance",POWER(Upgrades!$U$8,G322),1)*IF(Upgrades!$T$9="Orbital Resonance",POWER(Upgrades!$U$9,H322),1)*IF(Upgrades!$T$11="Orbital Resonance",POWER(Upgrades!$U$11,J322),1)*IF(Upgrades!$T$12="Orbital Resonance",POWER(Upgrades!$U$12,K322),1))+(IF(J322=0,0,(Upgrades!$M$11+J322*Upgrades!$N$11)*POWER(Upgrades!$O$11,J322)))*(IF(Upgrades!$T$6="Heliopause",POWER(Upgrades!$U$6,E322),1)*IF(Upgrades!$T$7="Heliopause",POWER(Upgrades!$U$7,F322),1)*IF(Upgrades!$T$8="Heliopause",POWER(Upgrades!$U$8,G322),1)*IF(Upgrades!$T$9="Heliopause",POWER(Upgrades!$U$9,H322),1)*IF(Upgrades!$T$10="Heliopause",POWER(Upgrades!$U$10,I322),1)*IF(Upgrades!$T$12="Heliopause",POWER(Upgrades!$U$12,K322),1))+(IF(K322=0,0,(Upgrades!$M$12+K322*Upgrades!$N$12)*POWER(Upgrades!$O$12,K322)))*(IF(Upgrades!$T$6="First Photons",POWER(Upgrades!$U$6,E322),1)*IF(Upgrades!$T$7="First Photons",POWER(Upgrades!$U$7,F322),1)*IF(Upgrades!$T$8="First Photons",POWER(Upgrades!$U$8,G322),1)*IF(Upgrades!$T$9="First Photons",POWER(Upgrades!$U$9,H322),1)*IF(Upgrades!$T$10="First Photons",POWER(Upgrades!$U$10,I322),1)*IF(Upgrades!$T$11="First Photons",POWER(Upgrades!$U$11,J322),1)))*POWER(Upgrades!$R$6,E322)*POWER(Upgrades!$R$7,F322)*POWER(Upgrades!$R$8,G322)*POWER(Upgrades!$R$9,H322)*POWER(Upgrades!$R$10,I322)*POWER(Upgrades!$R$11,J322)*POWER(Upgrades!$R$12,K322)</f>
        <v/>
      </c>
      <c r="P322" s="27">
        <f>IF(L322=1,0,M322*Parameters!$B$10/60*Parameters!$B$11*10)</f>
        <v/>
      </c>
      <c r="Q322" s="27">
        <f>IF(L322=1,0,O322*M322*10)</f>
        <v/>
      </c>
      <c r="R322" s="27">
        <f>IF(L322=1,0,N322*10)</f>
        <v/>
      </c>
      <c r="S322" s="27">
        <f>P322+Q322+R322</f>
        <v/>
      </c>
      <c r="T322" s="22">
        <f>C322+S322</f>
        <v/>
      </c>
      <c r="U322" s="33">
        <f>AX322</f>
        <v/>
      </c>
      <c r="V322" s="22">
        <f>IF(U322="",0,IF(U322="transition",0,IF(U322="SW",AG322,IF(U322="AB",AH322,IF(U322="SC",AI322,IF(U322="Mag",AJ322,IF(U322="OR",AK322,IF(U322="HP",AL322,IF(U322="FP",AM322,0)))))))))</f>
        <v/>
      </c>
      <c r="W322" s="27">
        <f>IF(U322="OR",Upgrades!$F$10,IF(U322="HP",Upgrades!$F$11,IF(U322="transition",-Parameters!$B$18,0)))</f>
        <v/>
      </c>
      <c r="X322" s="22">
        <f>T322-V322</f>
        <v/>
      </c>
      <c r="Y322" s="30">
        <f>M322*Parameters!$B$10/60*Parameters!$B$11+O322*M322+N322</f>
        <v/>
      </c>
      <c r="Z322" s="34">
        <f>IF(U322="transition","→ Tier 2 (Stellar Neighborhood)",IF(U322="FP","First Photons — light begins, system quickens",IF(U322="HP","Heliopause acquired",IF(U322="OR","Orbital Resonance — passive multiplier active",IF(AND(AO322=1,L322=0,AN322&lt;&gt;1),"Cohesion ready (waiting on completionist upgrades)","")))))</f>
        <v/>
      </c>
      <c r="AA322" s="27">
        <f>(IF(E322=0,0,(Upgrades!$G$6+E322*Upgrades!$H$6)*POWER(Upgrades!$I$6,E322)))*(IF(Upgrades!$T$7="Solar Wind",POWER(Upgrades!$U$7,F322),1)*IF(Upgrades!$T$8="Solar Wind",POWER(Upgrades!$U$8,G322),1)*IF(Upgrades!$T$9="Solar Wind",POWER(Upgrades!$U$9,H322),1)*IF(Upgrades!$T$10="Solar Wind",POWER(Upgrades!$U$10,I322),1)*IF(Upgrades!$T$11="Solar Wind",POWER(Upgrades!$U$11,J322),1)*IF(Upgrades!$T$12="Solar Wind",POWER(Upgrades!$U$12,K322),1))*POWER(Upgrades!$P$6,E322)*POWER(Upgrades!$P$7,F322)*POWER(Upgrades!$P$8,G322)*POWER(Upgrades!$P$9,H322)*POWER(Upgrades!$P$10,I322)*POWER(Upgrades!$P$11,J322)*POWER(Upgrades!$P$12,K322)*60</f>
        <v/>
      </c>
      <c r="AB322" s="27">
        <f>(IF(F322=0,0,(Upgrades!$G$7+F322*Upgrades!$H$7)*POWER(Upgrades!$I$7,F322)))*(IF(Upgrades!$T$6="Asteroid Belt",POWER(Upgrades!$U$6,E322),1)*IF(Upgrades!$T$8="Asteroid Belt",POWER(Upgrades!$U$8,G322),1)*IF(Upgrades!$T$9="Asteroid Belt",POWER(Upgrades!$U$9,H322),1)*IF(Upgrades!$T$10="Asteroid Belt",POWER(Upgrades!$U$10,I322),1)*IF(Upgrades!$T$11="Asteroid Belt",POWER(Upgrades!$U$11,J322),1)*IF(Upgrades!$T$12="Asteroid Belt",POWER(Upgrades!$U$12,K322),1))*POWER(Upgrades!$P$6,E322)*POWER(Upgrades!$P$7,F322)*POWER(Upgrades!$P$8,G322)*POWER(Upgrades!$P$9,H322)*POWER(Upgrades!$P$10,I322)*POWER(Upgrades!$P$11,J322)*POWER(Upgrades!$P$12,K322)*60</f>
        <v/>
      </c>
      <c r="AC322" s="27">
        <f>(IF(G322=0,0,(Upgrades!$J$8+G322*Upgrades!$K$8)*POWER(Upgrades!$L$8,G322)))*(IF(Upgrades!$T$6="Stellar Coupling",POWER(Upgrades!$U$6,E322),1)*IF(Upgrades!$T$7="Stellar Coupling",POWER(Upgrades!$U$7,F322),1)*IF(Upgrades!$T$9="Stellar Coupling",POWER(Upgrades!$U$9,H322),1)*IF(Upgrades!$T$10="Stellar Coupling",POWER(Upgrades!$U$10,I322),1)*IF(Upgrades!$T$11="Stellar Coupling",POWER(Upgrades!$U$11,J322),1)*IF(Upgrades!$T$12="Stellar Coupling",POWER(Upgrades!$U$12,K322),1))*POWER(Upgrades!$Q$6,E322)*POWER(Upgrades!$Q$7,F322)*POWER(Upgrades!$Q$8,G322)*POWER(Upgrades!$Q$9,H322)*POWER(Upgrades!$Q$10,I322)*POWER(Upgrades!$Q$11,J322)*POWER(Upgrades!$Q$12,K322)*Parameters!$B$10*Parameters!$B$11</f>
        <v/>
      </c>
      <c r="AD322" s="27">
        <f>(IF(H322=0,0,(Upgrades!$G$9+H322*Upgrades!$H$9)*POWER(Upgrades!$I$9,H322)))*(IF(Upgrades!$T$6="Magnetosphere",POWER(Upgrades!$U$6,E322),1)*IF(Upgrades!$T$7="Magnetosphere",POWER(Upgrades!$U$7,F322),1)*IF(Upgrades!$T$8="Magnetosphere",POWER(Upgrades!$U$8,G322),1)*IF(Upgrades!$T$10="Magnetosphere",POWER(Upgrades!$U$10,I322),1)*IF(Upgrades!$T$11="Magnetosphere",POWER(Upgrades!$U$11,J322),1)*IF(Upgrades!$T$12="Magnetosphere",POWER(Upgrades!$U$12,K322),1))*POWER(Upgrades!$P$6,E322)*POWER(Upgrades!$P$7,F322)*POWER(Upgrades!$P$8,G322)*POWER(Upgrades!$P$9,H322)*POWER(Upgrades!$P$10,I322)*POWER(Upgrades!$P$11,J322)*POWER(Upgrades!$P$12,K322)*60</f>
        <v/>
      </c>
      <c r="AE322" s="27">
        <f>(IF(K322=0,0,(Upgrades!$G$12+K322*Upgrades!$H$12)*POWER(Upgrades!$I$12,K322)))*(IF(Upgrades!$T$6="First Photons",POWER(Upgrades!$U$6,E322),1)*IF(Upgrades!$T$7="First Photons",POWER(Upgrades!$U$7,F322),1)*IF(Upgrades!$T$8="First Photons",POWER(Upgrades!$U$8,G322),1)*IF(Upgrades!$T$9="First Photons",POWER(Upgrades!$U$9,H322),1)*IF(Upgrades!$T$10="First Photons",POWER(Upgrades!$U$10,I322),1)*IF(Upgrades!$T$11="First Photons",POWER(Upgrades!$U$11,J322),1))*POWER(Upgrades!$P$6,E322)*POWER(Upgrades!$P$7,F322)*POWER(Upgrades!$P$8,G322)*POWER(Upgrades!$P$9,H322)*POWER(Upgrades!$P$10,I322)*POWER(Upgrades!$P$11,J322)*POWER(Upgrades!$P$12,K322)*60</f>
        <v/>
      </c>
      <c r="AF322" s="27">
        <f>Parameters!$B$9*POWER(Upgrades!$Q$6,E322)*POWER(Upgrades!$Q$7,F322)*POWER(Upgrades!$Q$8,G322)*POWER(Upgrades!$Q$9,H322)*POWER(Upgrades!$Q$10,I322)*POWER(Upgrades!$Q$11,J322)*POWER(Upgrades!$Q$12,K322)*(Parameters!$B$10*Parameters!$B$11+O322*60)</f>
        <v/>
      </c>
      <c r="AG322" s="22">
        <f>IF(E322&gt;=Upgrades!$E$6,"",Upgrades!$C$6*POWER(Upgrades!$D$6,E322))</f>
        <v/>
      </c>
      <c r="AH322" s="22">
        <f>IF(F322&gt;=Upgrades!$E$7,"",Upgrades!$C$7*POWER(Upgrades!$D$7,F322))</f>
        <v/>
      </c>
      <c r="AI322" s="22">
        <f>IF(G322&gt;=Upgrades!$E$8,"",Upgrades!$C$8*POWER(Upgrades!$D$8,G322))</f>
        <v/>
      </c>
      <c r="AJ322" s="22">
        <f>IF(H322&gt;=Upgrades!$E$9,"",Upgrades!$C$9*POWER(Upgrades!$D$9,H322))</f>
        <v/>
      </c>
      <c r="AK322" s="22">
        <f>IF(I322&gt;=Upgrades!$E$10,"",Upgrades!$C$10*POWER(Upgrades!$D$10,I322))</f>
        <v/>
      </c>
      <c r="AL322" s="22">
        <f>IF(J322&gt;=Upgrades!$E$11,"",Upgrades!$C$11*POWER(Upgrades!$D$11,J322))</f>
        <v/>
      </c>
      <c r="AM322" s="22">
        <f>IF(K322&gt;=Upgrades!$E$12,"",Upgrades!$C$12*POWER(Upgrades!$D$12,K322))</f>
        <v/>
      </c>
      <c r="AN322" s="26">
        <f>IF(AND(D322&gt;=Parameters!$B$18,(H322&gt;=Upgrades!$E$9)*(K322&gt;=Upgrades!$E$12)=1,L322=0),1,"")</f>
        <v/>
      </c>
      <c r="AO322" s="26">
        <f>IF(AND(D322&gt;=Parameters!$B$18,L322=0),1,"")</f>
        <v/>
      </c>
      <c r="AP322" s="22">
        <f>MIN(IF(ISNUMBER(AK322),AK322,9E15),IF(ISNUMBER(AL322),AL322,9E15),IF(ISNUMBER(AM322),AM322,9E15))</f>
        <v/>
      </c>
      <c r="AQ322" s="22">
        <f>MIN(IF(ISNUMBER(AG322),AG322,9E15),IF(ISNUMBER(AH322),AH322,9E15),IF(ISNUMBER(AI322),AI322,9E15),IF(ISNUMBER(AJ322),AJ322,9E15))</f>
        <v/>
      </c>
      <c r="AR322" s="29">
        <f>IF(AW322&gt;Parameters!$B$21*(MAX(IF(AND(NOT(AND(AO322=1,AN322&lt;&gt;1)),ISNUMBER(AG322),AG322&lt;=T322),AS322,0),IF(AND(NOT(AND(AO322=1,AN322&lt;&gt;1)),ISNUMBER(AH322),AH322&lt;=T322),AT322,0),IF(AND(NOT(AND(AO322=1,AN322&lt;&gt;1)),ISNUMBER(AI322),AI322&lt;=T322),AU322,0),IF(AND(ISNUMBER(AJ322),AJ322&lt;=T322),AV322,0))),TRUE,FALSE)</f>
        <v/>
      </c>
      <c r="AS322" s="32">
        <f>IFERROR(Upgrades!$H$6*(POWER(Upgrades!$P$6,E322)*POWER(Upgrades!$P$7,F322)*POWER(Upgrades!$P$8,G322)*POWER(Upgrades!$P$9,H322)*POWER(Upgrades!$P$10,I322)*POWER(Upgrades!$P$11,J322)*POWER(Upgrades!$P$12,K322))*(IF(Upgrades!$T$7="Solar Wind",POWER(Upgrades!$U$7,F322),1)*IF(Upgrades!$T$8="Solar Wind",POWER(Upgrades!$U$8,G322),1)*IF(Upgrades!$T$9="Solar Wind",POWER(Upgrades!$U$9,H322),1)*IF(Upgrades!$T$10="Solar Wind",POWER(Upgrades!$U$10,I322),1)*IF(Upgrades!$T$11="Solar Wind",POWER(Upgrades!$U$11,J322),1)*IF(Upgrades!$T$12="Solar Wind",POWER(Upgrades!$U$12,K322),1))/AG322,0)</f>
        <v/>
      </c>
      <c r="AT322" s="32">
        <f>IFERROR(Upgrades!$H$7*(POWER(Upgrades!$P$6,E322)*POWER(Upgrades!$P$7,F322)*POWER(Upgrades!$P$8,G322)*POWER(Upgrades!$P$9,H322)*POWER(Upgrades!$P$10,I322)*POWER(Upgrades!$P$11,J322)*POWER(Upgrades!$P$12,K322))*(IF(Upgrades!$T$6="Asteroid Belt",POWER(Upgrades!$U$6,E322),1)*IF(Upgrades!$T$8="Asteroid Belt",POWER(Upgrades!$U$8,G322),1)*IF(Upgrades!$T$9="Asteroid Belt",POWER(Upgrades!$U$9,H322),1)*IF(Upgrades!$T$10="Asteroid Belt",POWER(Upgrades!$U$10,I322),1)*IF(Upgrades!$T$11="Asteroid Belt",POWER(Upgrades!$U$11,J322),1)*IF(Upgrades!$T$12="Asteroid Belt",POWER(Upgrades!$U$12,K322),1))/AH322,0)</f>
        <v/>
      </c>
      <c r="AU322" s="32">
        <f>IFERROR(Upgrades!$K$8*(POWER(Upgrades!$Q$6,E322)*POWER(Upgrades!$Q$7,F322)*POWER(Upgrades!$Q$8,G322)*POWER(Upgrades!$Q$9,H322)*POWER(Upgrades!$Q$10,I322)*POWER(Upgrades!$Q$11,J322)*POWER(Upgrades!$Q$12,K322))*(IF(Upgrades!$T$6="Stellar Coupling",POWER(Upgrades!$U$6,E322),1)*IF(Upgrades!$T$7="Stellar Coupling",POWER(Upgrades!$U$7,F322),1)*IF(Upgrades!$T$9="Stellar Coupling",POWER(Upgrades!$U$9,H322),1)*IF(Upgrades!$T$10="Stellar Coupling",POWER(Upgrades!$U$10,I322),1)*IF(Upgrades!$T$11="Stellar Coupling",POWER(Upgrades!$U$11,J322),1)*IF(Upgrades!$T$12="Stellar Coupling",POWER(Upgrades!$U$12,K322),1))*Parameters!$B$10*Parameters!$B$11/60/AI322,0)</f>
        <v/>
      </c>
      <c r="AV322" s="32">
        <f>IFERROR(Upgrades!$H$9*(POWER(Upgrades!$P$6,E322)*POWER(Upgrades!$P$7,F322)*POWER(Upgrades!$P$8,G322)*POWER(Upgrades!$P$9,H322)*POWER(Upgrades!$P$10,I322)*POWER(Upgrades!$P$11,J322)*POWER(Upgrades!$P$12,K322))*(IF(Upgrades!$T$6="Magnetosphere",POWER(Upgrades!$U$6,E322),1)*IF(Upgrades!$T$7="Magnetosphere",POWER(Upgrades!$U$7,F322),1)*IF(Upgrades!$T$8="Magnetosphere",POWER(Upgrades!$U$8,G322),1)*IF(Upgrades!$T$10="Magnetosphere",POWER(Upgrades!$U$10,I322),1)*IF(Upgrades!$T$11="Magnetosphere",POWER(Upgrades!$U$11,J322),1)*IF(Upgrades!$T$12="Magnetosphere",POWER(Upgrades!$U$12,K322),1))/AJ322,0)</f>
        <v/>
      </c>
      <c r="AW322" s="32">
        <f>MAX(IF(I322&gt;0,0,IFERROR(0.25*N322/Upgrades!$C$10,0)),IF(J322&gt;0,0,IFERROR(0.5*((IF(G322=0,0,(Upgrades!$J$8+G322*Upgrades!$K$8)*POWER(Upgrades!$L$8,G322)))*(IF(Upgrades!$T$6="Stellar Coupling",POWER(Upgrades!$U$6,E322),1)*IF(Upgrades!$T$7="Stellar Coupling",POWER(Upgrades!$U$7,F322),1)*IF(Upgrades!$T$9="Stellar Coupling",POWER(Upgrades!$U$9,H322),1)*IF(Upgrades!$T$10="Stellar Coupling",POWER(Upgrades!$U$10,I322),1)*IF(Upgrades!$T$11="Stellar Coupling",POWER(Upgrades!$U$11,J322),1)*IF(Upgrades!$T$12="Stellar Coupling",POWER(Upgrades!$U$12,K322),1))*(POWER(Upgrades!$Q$6,E322)*POWER(Upgrades!$Q$7,F322)*POWER(Upgrades!$Q$8,G322)*POWER(Upgrades!$Q$9,H322)*POWER(Upgrades!$Q$10,I322)*POWER(Upgrades!$Q$11,J322)*POWER(Upgrades!$Q$12,K322))*Parameters!$B$10*Parameters!$B$11/60)/Upgrades!$C$11,0)),IF(K322&gt;0,0,IFERROR((1.0*(POWER(Upgrades!$P$6,E322)*POWER(Upgrades!$P$7,F322)*POWER(Upgrades!$P$8,G322)*POWER(Upgrades!$P$9,H322)*POWER(Upgrades!$P$10,I322)*POWER(Upgrades!$P$11,J322)*POWER(Upgrades!$P$12,K322))+0.20*M322*Parameters!$B$10*Parameters!$B$11/60)/Upgrades!$C$12,0)),IF(AND(ISNUMBER(AG322),AG322&gt;T322),AS322,0),IF(AND(ISNUMBER(AH322),AH322&gt;T322),AT322,0),IF(AND(ISNUMBER(AI322),AI322&gt;T322),AU322,0),IF(AND(ISNUMBER(AJ322),AJ322&gt;T322),AV322,0))</f>
        <v/>
      </c>
      <c r="AX322" s="29">
        <f>IF(AN322=1,"transition",IF(MIN(IF(AND(I322=0,ISNUMBER(AK322),AK322&lt;=T322),AK322,9E15),IF(AND(J322=0,ISNUMBER(AL322),AL322&lt;=T322),AL322,9E15),IF(AND(K322=0,ISNUMBER(AM322),AM322&lt;=T322),AM322,9E15))&lt;9E15,IF(AND(AND(I322=0,ISNUMBER(AK322),AK322&lt;=T322),AK322=MIN(IF(AND(I322=0,ISNUMBER(AK322),AK322&lt;=T322),AK322,9E15),IF(AND(J322=0,ISNUMBER(AL322),AL322&lt;=T322),AL322,9E15),IF(AND(K322=0,ISNUMBER(AM322),AM322&lt;=T322),AM322,9E15))),"OR",IF(AND(AND(J322=0,ISNUMBER(AL322),AL322&lt;=T322),AL322=MIN(IF(AND(I322=0,ISNUMBER(AK322),AK322&lt;=T322),AK322,9E15),IF(AND(J322=0,ISNUMBER(AL322),AL322&lt;=T322),AL322,9E15),IF(AND(K322=0,ISNUMBER(AM322),AM322&lt;=T322),AM322,9E15))),"HP","FP")),IF(AR322=TRUE,"",IF(MAX(IF(AND(NOT(AND(AO322=1,AN322&lt;&gt;1)),ISNUMBER(AG322),AG322&lt;=T322),AS322,0),IF(AND(NOT(AND(AO322=1,AN322&lt;&gt;1)),ISNUMBER(AH322),AH322&lt;=T322),AT322,0),IF(AND(NOT(AND(AO322=1,AN322&lt;&gt;1)),ISNUMBER(AI322),AI322&lt;=T322),AU322,0),IF(AND(ISNUMBER(AJ322),AJ322&lt;=T322),AV322,0))&lt;=0,"",IF(AND(IF(AND(NOT(AND(AO322=1,AN322&lt;&gt;1)),ISNUMBER(AG322),AG322&lt;=T322),AS322,0)&gt;0,IF(AND(NOT(AND(AO322=1,AN322&lt;&gt;1)),ISNUMBER(AG322),AG322&lt;=T322),AS322,0)=MAX(IF(AND(NOT(AND(AO322=1,AN322&lt;&gt;1)),ISNUMBER(AG322),AG322&lt;=T322),AS322,0),IF(AND(NOT(AND(AO322=1,AN322&lt;&gt;1)),ISNUMBER(AH322),AH322&lt;=T322),AT322,0),IF(AND(NOT(AND(AO322=1,AN322&lt;&gt;1)),ISNUMBER(AI322),AI322&lt;=T322),AU322,0),IF(AND(ISNUMBER(AJ322),AJ322&lt;=T322),AV322,0))),"SW",IF(AND(IF(AND(NOT(AND(AO322=1,AN322&lt;&gt;1)),ISNUMBER(AH322),AH322&lt;=T322),AT322,0)&gt;0,IF(AND(NOT(AND(AO322=1,AN322&lt;&gt;1)),ISNUMBER(AH322),AH322&lt;=T322),AT322,0)=MAX(IF(AND(NOT(AND(AO322=1,AN322&lt;&gt;1)),ISNUMBER(AG322),AG322&lt;=T322),AS322,0),IF(AND(NOT(AND(AO322=1,AN322&lt;&gt;1)),ISNUMBER(AH322),AH322&lt;=T322),AT322,0),IF(AND(NOT(AND(AO322=1,AN322&lt;&gt;1)),ISNUMBER(AI322),AI322&lt;=T322),AU322,0),IF(AND(ISNUMBER(AJ322),AJ322&lt;=T322),AV322,0))),"AB",IF(AND(IF(AND(NOT(AND(AO322=1,AN322&lt;&gt;1)),ISNUMBER(AI322),AI322&lt;=T322),AU322,0)&gt;0,IF(AND(NOT(AND(AO322=1,AN322&lt;&gt;1)),ISNUMBER(AI322),AI322&lt;=T322),AU322,0)=MAX(IF(AND(NOT(AND(AO322=1,AN322&lt;&gt;1)),ISNUMBER(AG322),AG322&lt;=T322),AS322,0),IF(AND(NOT(AND(AO322=1,AN322&lt;&gt;1)),ISNUMBER(AH322),AH322&lt;=T322),AT322,0),IF(AND(NOT(AND(AO322=1,AN322&lt;&gt;1)),ISNUMBER(AI322),AI322&lt;=T322),AU322,0),IF(AND(ISNUMBER(AJ322),AJ322&lt;=T322),AV322,0))),"SC","Mag")))))))</f>
        <v/>
      </c>
    </row>
    <row r="323">
      <c r="A323" s="26" t="n">
        <v>318</v>
      </c>
      <c r="B323" s="27">
        <f>A323*10/60</f>
        <v/>
      </c>
      <c r="C323" s="22">
        <f>X322</f>
        <v/>
      </c>
      <c r="D323" s="27">
        <f>D322+W322</f>
        <v/>
      </c>
      <c r="E323" s="26">
        <f>E322+IF(U322="SW",1,0)</f>
        <v/>
      </c>
      <c r="F323" s="26">
        <f>F322+IF(U322="AB",1,0)</f>
        <v/>
      </c>
      <c r="G323" s="26">
        <f>G322+IF(U322="SC",1,0)</f>
        <v/>
      </c>
      <c r="H323" s="26">
        <f>H322+IF(U322="Mag",1,0)</f>
        <v/>
      </c>
      <c r="I323" s="26">
        <f>MAX(I322,IF(U322="OR",1,0))</f>
        <v/>
      </c>
      <c r="J323" s="26">
        <f>MAX(J322,IF(U322="HP",1,0))</f>
        <v/>
      </c>
      <c r="K323" s="26">
        <f>MAX(K322,IF(U322="FP",1,0))</f>
        <v/>
      </c>
      <c r="L323" s="26">
        <f>MAX(L322,IF(U322="transition",1,0))</f>
        <v/>
      </c>
      <c r="M323" s="28">
        <f>(Parameters!$B$9+(IF(E323=0,0,(Upgrades!$J$6+E323*Upgrades!$K$6)*POWER(Upgrades!$L$6,E323)))*(IF(Upgrades!$T$7="Solar Wind",POWER(Upgrades!$U$7,F323),1)*IF(Upgrades!$T$8="Solar Wind",POWER(Upgrades!$U$8,G323),1)*IF(Upgrades!$T$9="Solar Wind",POWER(Upgrades!$U$9,H323),1)*IF(Upgrades!$T$10="Solar Wind",POWER(Upgrades!$U$10,I323),1)*IF(Upgrades!$T$11="Solar Wind",POWER(Upgrades!$U$11,J323),1)*IF(Upgrades!$T$12="Solar Wind",POWER(Upgrades!$U$12,K323),1))+(IF(F323=0,0,(Upgrades!$J$7+F323*Upgrades!$K$7)*POWER(Upgrades!$L$7,F323)))*(IF(Upgrades!$T$6="Asteroid Belt",POWER(Upgrades!$U$6,E323),1)*IF(Upgrades!$T$8="Asteroid Belt",POWER(Upgrades!$U$8,G323),1)*IF(Upgrades!$T$9="Asteroid Belt",POWER(Upgrades!$U$9,H323),1)*IF(Upgrades!$T$10="Asteroid Belt",POWER(Upgrades!$U$10,I323),1)*IF(Upgrades!$T$11="Asteroid Belt",POWER(Upgrades!$U$11,J323),1)*IF(Upgrades!$T$12="Asteroid Belt",POWER(Upgrades!$U$12,K323),1))+(IF(G323=0,0,(Upgrades!$J$8+G323*Upgrades!$K$8)*POWER(Upgrades!$L$8,G323)))*(IF(Upgrades!$T$6="Stellar Coupling",POWER(Upgrades!$U$6,E323),1)*IF(Upgrades!$T$7="Stellar Coupling",POWER(Upgrades!$U$7,F323),1)*IF(Upgrades!$T$9="Stellar Coupling",POWER(Upgrades!$U$9,H323),1)*IF(Upgrades!$T$10="Stellar Coupling",POWER(Upgrades!$U$10,I323),1)*IF(Upgrades!$T$11="Stellar Coupling",POWER(Upgrades!$U$11,J323),1)*IF(Upgrades!$T$12="Stellar Coupling",POWER(Upgrades!$U$12,K323),1))+(IF(H323=0,0,(Upgrades!$J$9+H323*Upgrades!$K$9)*POWER(Upgrades!$L$9,H323)))*(IF(Upgrades!$T$6="Magnetosphere",POWER(Upgrades!$U$6,E323),1)*IF(Upgrades!$T$7="Magnetosphere",POWER(Upgrades!$U$7,F323),1)*IF(Upgrades!$T$8="Magnetosphere",POWER(Upgrades!$U$8,G323),1)*IF(Upgrades!$T$10="Magnetosphere",POWER(Upgrades!$U$10,I323),1)*IF(Upgrades!$T$11="Magnetosphere",POWER(Upgrades!$U$11,J323),1)*IF(Upgrades!$T$12="Magnetosphere",POWER(Upgrades!$U$12,K323),1))+(IF(I323=0,0,(Upgrades!$J$10+I323*Upgrades!$K$10)*POWER(Upgrades!$L$10,I323)))*(IF(Upgrades!$T$6="Orbital Resonance",POWER(Upgrades!$U$6,E323),1)*IF(Upgrades!$T$7="Orbital Resonance",POWER(Upgrades!$U$7,F323),1)*IF(Upgrades!$T$8="Orbital Resonance",POWER(Upgrades!$U$8,G323),1)*IF(Upgrades!$T$9="Orbital Resonance",POWER(Upgrades!$U$9,H323),1)*IF(Upgrades!$T$11="Orbital Resonance",POWER(Upgrades!$U$11,J323),1)*IF(Upgrades!$T$12="Orbital Resonance",POWER(Upgrades!$U$12,K323),1))+(IF(J323=0,0,(Upgrades!$J$11+J323*Upgrades!$K$11)*POWER(Upgrades!$L$11,J323)))*(IF(Upgrades!$T$6="Heliopause",POWER(Upgrades!$U$6,E323),1)*IF(Upgrades!$T$7="Heliopause",POWER(Upgrades!$U$7,F323),1)*IF(Upgrades!$T$8="Heliopause",POWER(Upgrades!$U$8,G323),1)*IF(Upgrades!$T$9="Heliopause",POWER(Upgrades!$U$9,H323),1)*IF(Upgrades!$T$10="Heliopause",POWER(Upgrades!$U$10,I323),1)*IF(Upgrades!$T$12="Heliopause",POWER(Upgrades!$U$12,K323),1))+(IF(K323=0,0,(Upgrades!$J$12+K323*Upgrades!$K$12)*POWER(Upgrades!$L$12,K323)))*(IF(Upgrades!$T$6="First Photons",POWER(Upgrades!$U$6,E323),1)*IF(Upgrades!$T$7="First Photons",POWER(Upgrades!$U$7,F323),1)*IF(Upgrades!$T$8="First Photons",POWER(Upgrades!$U$8,G323),1)*IF(Upgrades!$T$9="First Photons",POWER(Upgrades!$U$9,H323),1)*IF(Upgrades!$T$10="First Photons",POWER(Upgrades!$U$10,I323),1)*IF(Upgrades!$T$11="First Photons",POWER(Upgrades!$U$11,J323),1)))*POWER(Upgrades!$Q$6,E323)*POWER(Upgrades!$Q$7,F323)*POWER(Upgrades!$Q$8,G323)*POWER(Upgrades!$Q$9,H323)*POWER(Upgrades!$Q$10,I323)*POWER(Upgrades!$Q$11,J323)*POWER(Upgrades!$Q$12,K323)</f>
        <v/>
      </c>
      <c r="N323" s="28">
        <f>((IF(E323=0,0,(Upgrades!$G$6+E323*Upgrades!$H$6)*POWER(Upgrades!$I$6,E323)))*(IF(Upgrades!$T$7="Solar Wind",POWER(Upgrades!$U$7,F323),1)*IF(Upgrades!$T$8="Solar Wind",POWER(Upgrades!$U$8,G323),1)*IF(Upgrades!$T$9="Solar Wind",POWER(Upgrades!$U$9,H323),1)*IF(Upgrades!$T$10="Solar Wind",POWER(Upgrades!$U$10,I323),1)*IF(Upgrades!$T$11="Solar Wind",POWER(Upgrades!$U$11,J323),1)*IF(Upgrades!$T$12="Solar Wind",POWER(Upgrades!$U$12,K323),1))+(IF(F323=0,0,(Upgrades!$G$7+F323*Upgrades!$H$7)*POWER(Upgrades!$I$7,F323)))*(IF(Upgrades!$T$6="Asteroid Belt",POWER(Upgrades!$U$6,E323),1)*IF(Upgrades!$T$8="Asteroid Belt",POWER(Upgrades!$U$8,G323),1)*IF(Upgrades!$T$9="Asteroid Belt",POWER(Upgrades!$U$9,H323),1)*IF(Upgrades!$T$10="Asteroid Belt",POWER(Upgrades!$U$10,I323),1)*IF(Upgrades!$T$11="Asteroid Belt",POWER(Upgrades!$U$11,J323),1)*IF(Upgrades!$T$12="Asteroid Belt",POWER(Upgrades!$U$12,K323),1))+(IF(G323=0,0,(Upgrades!$G$8+G323*Upgrades!$H$8)*POWER(Upgrades!$I$8,G323)))*(IF(Upgrades!$T$6="Stellar Coupling",POWER(Upgrades!$U$6,E323),1)*IF(Upgrades!$T$7="Stellar Coupling",POWER(Upgrades!$U$7,F323),1)*IF(Upgrades!$T$9="Stellar Coupling",POWER(Upgrades!$U$9,H323),1)*IF(Upgrades!$T$10="Stellar Coupling",POWER(Upgrades!$U$10,I323),1)*IF(Upgrades!$T$11="Stellar Coupling",POWER(Upgrades!$U$11,J323),1)*IF(Upgrades!$T$12="Stellar Coupling",POWER(Upgrades!$U$12,K323),1))+(IF(H323=0,0,(Upgrades!$G$9+H323*Upgrades!$H$9)*POWER(Upgrades!$I$9,H323)))*(IF(Upgrades!$T$6="Magnetosphere",POWER(Upgrades!$U$6,E323),1)*IF(Upgrades!$T$7="Magnetosphere",POWER(Upgrades!$U$7,F323),1)*IF(Upgrades!$T$8="Magnetosphere",POWER(Upgrades!$U$8,G323),1)*IF(Upgrades!$T$10="Magnetosphere",POWER(Upgrades!$U$10,I323),1)*IF(Upgrades!$T$11="Magnetosphere",POWER(Upgrades!$U$11,J323),1)*IF(Upgrades!$T$12="Magnetosphere",POWER(Upgrades!$U$12,K323),1))+(IF(I323=0,0,(Upgrades!$G$10+I323*Upgrades!$H$10)*POWER(Upgrades!$I$10,I323)))*(IF(Upgrades!$T$6="Orbital Resonance",POWER(Upgrades!$U$6,E323),1)*IF(Upgrades!$T$7="Orbital Resonance",POWER(Upgrades!$U$7,F323),1)*IF(Upgrades!$T$8="Orbital Resonance",POWER(Upgrades!$U$8,G323),1)*IF(Upgrades!$T$9="Orbital Resonance",POWER(Upgrades!$U$9,H323),1)*IF(Upgrades!$T$11="Orbital Resonance",POWER(Upgrades!$U$11,J323),1)*IF(Upgrades!$T$12="Orbital Resonance",POWER(Upgrades!$U$12,K323),1))+(IF(J323=0,0,(Upgrades!$G$11+J323*Upgrades!$H$11)*POWER(Upgrades!$I$11,J323)))*(IF(Upgrades!$T$6="Heliopause",POWER(Upgrades!$U$6,E323),1)*IF(Upgrades!$T$7="Heliopause",POWER(Upgrades!$U$7,F323),1)*IF(Upgrades!$T$8="Heliopause",POWER(Upgrades!$U$8,G323),1)*IF(Upgrades!$T$9="Heliopause",POWER(Upgrades!$U$9,H323),1)*IF(Upgrades!$T$10="Heliopause",POWER(Upgrades!$U$10,I323),1)*IF(Upgrades!$T$12="Heliopause",POWER(Upgrades!$U$12,K323),1))+(IF(K323=0,0,(Upgrades!$G$12+K323*Upgrades!$H$12)*POWER(Upgrades!$I$12,K323)))*(IF(Upgrades!$T$6="First Photons",POWER(Upgrades!$U$6,E323),1)*IF(Upgrades!$T$7="First Photons",POWER(Upgrades!$U$7,F323),1)*IF(Upgrades!$T$8="First Photons",POWER(Upgrades!$U$8,G323),1)*IF(Upgrades!$T$9="First Photons",POWER(Upgrades!$U$9,H323),1)*IF(Upgrades!$T$10="First Photons",POWER(Upgrades!$U$10,I323),1)*IF(Upgrades!$T$11="First Photons",POWER(Upgrades!$U$11,J323),1)))*POWER(Upgrades!$P$6,E323)*POWER(Upgrades!$P$7,F323)*POWER(Upgrades!$P$8,G323)*POWER(Upgrades!$P$9,H323)*POWER(Upgrades!$P$10,I323)*POWER(Upgrades!$P$11,J323)*POWER(Upgrades!$P$12,K323)</f>
        <v/>
      </c>
      <c r="O323" s="28">
        <f>((IF(E323=0,0,(Upgrades!$M$6+E323*Upgrades!$N$6)*POWER(Upgrades!$O$6,E323)))*(IF(Upgrades!$T$7="Solar Wind",POWER(Upgrades!$U$7,F323),1)*IF(Upgrades!$T$8="Solar Wind",POWER(Upgrades!$U$8,G323),1)*IF(Upgrades!$T$9="Solar Wind",POWER(Upgrades!$U$9,H323),1)*IF(Upgrades!$T$10="Solar Wind",POWER(Upgrades!$U$10,I323),1)*IF(Upgrades!$T$11="Solar Wind",POWER(Upgrades!$U$11,J323),1)*IF(Upgrades!$T$12="Solar Wind",POWER(Upgrades!$U$12,K323),1))+(IF(F323=0,0,(Upgrades!$M$7+F323*Upgrades!$N$7)*POWER(Upgrades!$O$7,F323)))*(IF(Upgrades!$T$6="Asteroid Belt",POWER(Upgrades!$U$6,E323),1)*IF(Upgrades!$T$8="Asteroid Belt",POWER(Upgrades!$U$8,G323),1)*IF(Upgrades!$T$9="Asteroid Belt",POWER(Upgrades!$U$9,H323),1)*IF(Upgrades!$T$10="Asteroid Belt",POWER(Upgrades!$U$10,I323),1)*IF(Upgrades!$T$11="Asteroid Belt",POWER(Upgrades!$U$11,J323),1)*IF(Upgrades!$T$12="Asteroid Belt",POWER(Upgrades!$U$12,K323),1))+(IF(G323=0,0,(Upgrades!$M$8+G323*Upgrades!$N$8)*POWER(Upgrades!$O$8,G323)))*(IF(Upgrades!$T$6="Stellar Coupling",POWER(Upgrades!$U$6,E323),1)*IF(Upgrades!$T$7="Stellar Coupling",POWER(Upgrades!$U$7,F323),1)*IF(Upgrades!$T$9="Stellar Coupling",POWER(Upgrades!$U$9,H323),1)*IF(Upgrades!$T$10="Stellar Coupling",POWER(Upgrades!$U$10,I323),1)*IF(Upgrades!$T$11="Stellar Coupling",POWER(Upgrades!$U$11,J323),1)*IF(Upgrades!$T$12="Stellar Coupling",POWER(Upgrades!$U$12,K323),1))+(IF(H323=0,0,(Upgrades!$M$9+H323*Upgrades!$N$9)*POWER(Upgrades!$O$9,H323)))*(IF(Upgrades!$T$6="Magnetosphere",POWER(Upgrades!$U$6,E323),1)*IF(Upgrades!$T$7="Magnetosphere",POWER(Upgrades!$U$7,F323),1)*IF(Upgrades!$T$8="Magnetosphere",POWER(Upgrades!$U$8,G323),1)*IF(Upgrades!$T$10="Magnetosphere",POWER(Upgrades!$U$10,I323),1)*IF(Upgrades!$T$11="Magnetosphere",POWER(Upgrades!$U$11,J323),1)*IF(Upgrades!$T$12="Magnetosphere",POWER(Upgrades!$U$12,K323),1))+(IF(I323=0,0,(Upgrades!$M$10+I323*Upgrades!$N$10)*POWER(Upgrades!$O$10,I323)))*(IF(Upgrades!$T$6="Orbital Resonance",POWER(Upgrades!$U$6,E323),1)*IF(Upgrades!$T$7="Orbital Resonance",POWER(Upgrades!$U$7,F323),1)*IF(Upgrades!$T$8="Orbital Resonance",POWER(Upgrades!$U$8,G323),1)*IF(Upgrades!$T$9="Orbital Resonance",POWER(Upgrades!$U$9,H323),1)*IF(Upgrades!$T$11="Orbital Resonance",POWER(Upgrades!$U$11,J323),1)*IF(Upgrades!$T$12="Orbital Resonance",POWER(Upgrades!$U$12,K323),1))+(IF(J323=0,0,(Upgrades!$M$11+J323*Upgrades!$N$11)*POWER(Upgrades!$O$11,J323)))*(IF(Upgrades!$T$6="Heliopause",POWER(Upgrades!$U$6,E323),1)*IF(Upgrades!$T$7="Heliopause",POWER(Upgrades!$U$7,F323),1)*IF(Upgrades!$T$8="Heliopause",POWER(Upgrades!$U$8,G323),1)*IF(Upgrades!$T$9="Heliopause",POWER(Upgrades!$U$9,H323),1)*IF(Upgrades!$T$10="Heliopause",POWER(Upgrades!$U$10,I323),1)*IF(Upgrades!$T$12="Heliopause",POWER(Upgrades!$U$12,K323),1))+(IF(K323=0,0,(Upgrades!$M$12+K323*Upgrades!$N$12)*POWER(Upgrades!$O$12,K323)))*(IF(Upgrades!$T$6="First Photons",POWER(Upgrades!$U$6,E323),1)*IF(Upgrades!$T$7="First Photons",POWER(Upgrades!$U$7,F323),1)*IF(Upgrades!$T$8="First Photons",POWER(Upgrades!$U$8,G323),1)*IF(Upgrades!$T$9="First Photons",POWER(Upgrades!$U$9,H323),1)*IF(Upgrades!$T$10="First Photons",POWER(Upgrades!$U$10,I323),1)*IF(Upgrades!$T$11="First Photons",POWER(Upgrades!$U$11,J323),1)))*POWER(Upgrades!$R$6,E323)*POWER(Upgrades!$R$7,F323)*POWER(Upgrades!$R$8,G323)*POWER(Upgrades!$R$9,H323)*POWER(Upgrades!$R$10,I323)*POWER(Upgrades!$R$11,J323)*POWER(Upgrades!$R$12,K323)</f>
        <v/>
      </c>
      <c r="P323" s="27">
        <f>IF(L323=1,0,M323*Parameters!$B$10/60*Parameters!$B$11*10)</f>
        <v/>
      </c>
      <c r="Q323" s="27">
        <f>IF(L323=1,0,O323*M323*10)</f>
        <v/>
      </c>
      <c r="R323" s="27">
        <f>IF(L323=1,0,N323*10)</f>
        <v/>
      </c>
      <c r="S323" s="27">
        <f>P323+Q323+R323</f>
        <v/>
      </c>
      <c r="T323" s="22">
        <f>C323+S323</f>
        <v/>
      </c>
      <c r="U323" s="33">
        <f>AX323</f>
        <v/>
      </c>
      <c r="V323" s="22">
        <f>IF(U323="",0,IF(U323="transition",0,IF(U323="SW",AG323,IF(U323="AB",AH323,IF(U323="SC",AI323,IF(U323="Mag",AJ323,IF(U323="OR",AK323,IF(U323="HP",AL323,IF(U323="FP",AM323,0)))))))))</f>
        <v/>
      </c>
      <c r="W323" s="27">
        <f>IF(U323="OR",Upgrades!$F$10,IF(U323="HP",Upgrades!$F$11,IF(U323="transition",-Parameters!$B$18,0)))</f>
        <v/>
      </c>
      <c r="X323" s="22">
        <f>T323-V323</f>
        <v/>
      </c>
      <c r="Y323" s="30">
        <f>M323*Parameters!$B$10/60*Parameters!$B$11+O323*M323+N323</f>
        <v/>
      </c>
      <c r="Z323" s="34">
        <f>IF(U323="transition","→ Tier 2 (Stellar Neighborhood)",IF(U323="FP","First Photons — light begins, system quickens",IF(U323="HP","Heliopause acquired",IF(U323="OR","Orbital Resonance — passive multiplier active",IF(AND(AO323=1,L323=0,AN323&lt;&gt;1),"Cohesion ready (waiting on completionist upgrades)","")))))</f>
        <v/>
      </c>
      <c r="AA323" s="27">
        <f>(IF(E323=0,0,(Upgrades!$G$6+E323*Upgrades!$H$6)*POWER(Upgrades!$I$6,E323)))*(IF(Upgrades!$T$7="Solar Wind",POWER(Upgrades!$U$7,F323),1)*IF(Upgrades!$T$8="Solar Wind",POWER(Upgrades!$U$8,G323),1)*IF(Upgrades!$T$9="Solar Wind",POWER(Upgrades!$U$9,H323),1)*IF(Upgrades!$T$10="Solar Wind",POWER(Upgrades!$U$10,I323),1)*IF(Upgrades!$T$11="Solar Wind",POWER(Upgrades!$U$11,J323),1)*IF(Upgrades!$T$12="Solar Wind",POWER(Upgrades!$U$12,K323),1))*POWER(Upgrades!$P$6,E323)*POWER(Upgrades!$P$7,F323)*POWER(Upgrades!$P$8,G323)*POWER(Upgrades!$P$9,H323)*POWER(Upgrades!$P$10,I323)*POWER(Upgrades!$P$11,J323)*POWER(Upgrades!$P$12,K323)*60</f>
        <v/>
      </c>
      <c r="AB323" s="27">
        <f>(IF(F323=0,0,(Upgrades!$G$7+F323*Upgrades!$H$7)*POWER(Upgrades!$I$7,F323)))*(IF(Upgrades!$T$6="Asteroid Belt",POWER(Upgrades!$U$6,E323),1)*IF(Upgrades!$T$8="Asteroid Belt",POWER(Upgrades!$U$8,G323),1)*IF(Upgrades!$T$9="Asteroid Belt",POWER(Upgrades!$U$9,H323),1)*IF(Upgrades!$T$10="Asteroid Belt",POWER(Upgrades!$U$10,I323),1)*IF(Upgrades!$T$11="Asteroid Belt",POWER(Upgrades!$U$11,J323),1)*IF(Upgrades!$T$12="Asteroid Belt",POWER(Upgrades!$U$12,K323),1))*POWER(Upgrades!$P$6,E323)*POWER(Upgrades!$P$7,F323)*POWER(Upgrades!$P$8,G323)*POWER(Upgrades!$P$9,H323)*POWER(Upgrades!$P$10,I323)*POWER(Upgrades!$P$11,J323)*POWER(Upgrades!$P$12,K323)*60</f>
        <v/>
      </c>
      <c r="AC323" s="27">
        <f>(IF(G323=0,0,(Upgrades!$J$8+G323*Upgrades!$K$8)*POWER(Upgrades!$L$8,G323)))*(IF(Upgrades!$T$6="Stellar Coupling",POWER(Upgrades!$U$6,E323),1)*IF(Upgrades!$T$7="Stellar Coupling",POWER(Upgrades!$U$7,F323),1)*IF(Upgrades!$T$9="Stellar Coupling",POWER(Upgrades!$U$9,H323),1)*IF(Upgrades!$T$10="Stellar Coupling",POWER(Upgrades!$U$10,I323),1)*IF(Upgrades!$T$11="Stellar Coupling",POWER(Upgrades!$U$11,J323),1)*IF(Upgrades!$T$12="Stellar Coupling",POWER(Upgrades!$U$12,K323),1))*POWER(Upgrades!$Q$6,E323)*POWER(Upgrades!$Q$7,F323)*POWER(Upgrades!$Q$8,G323)*POWER(Upgrades!$Q$9,H323)*POWER(Upgrades!$Q$10,I323)*POWER(Upgrades!$Q$11,J323)*POWER(Upgrades!$Q$12,K323)*Parameters!$B$10*Parameters!$B$11</f>
        <v/>
      </c>
      <c r="AD323" s="27">
        <f>(IF(H323=0,0,(Upgrades!$G$9+H323*Upgrades!$H$9)*POWER(Upgrades!$I$9,H323)))*(IF(Upgrades!$T$6="Magnetosphere",POWER(Upgrades!$U$6,E323),1)*IF(Upgrades!$T$7="Magnetosphere",POWER(Upgrades!$U$7,F323),1)*IF(Upgrades!$T$8="Magnetosphere",POWER(Upgrades!$U$8,G323),1)*IF(Upgrades!$T$10="Magnetosphere",POWER(Upgrades!$U$10,I323),1)*IF(Upgrades!$T$11="Magnetosphere",POWER(Upgrades!$U$11,J323),1)*IF(Upgrades!$T$12="Magnetosphere",POWER(Upgrades!$U$12,K323),1))*POWER(Upgrades!$P$6,E323)*POWER(Upgrades!$P$7,F323)*POWER(Upgrades!$P$8,G323)*POWER(Upgrades!$P$9,H323)*POWER(Upgrades!$P$10,I323)*POWER(Upgrades!$P$11,J323)*POWER(Upgrades!$P$12,K323)*60</f>
        <v/>
      </c>
      <c r="AE323" s="27">
        <f>(IF(K323=0,0,(Upgrades!$G$12+K323*Upgrades!$H$12)*POWER(Upgrades!$I$12,K323)))*(IF(Upgrades!$T$6="First Photons",POWER(Upgrades!$U$6,E323),1)*IF(Upgrades!$T$7="First Photons",POWER(Upgrades!$U$7,F323),1)*IF(Upgrades!$T$8="First Photons",POWER(Upgrades!$U$8,G323),1)*IF(Upgrades!$T$9="First Photons",POWER(Upgrades!$U$9,H323),1)*IF(Upgrades!$T$10="First Photons",POWER(Upgrades!$U$10,I323),1)*IF(Upgrades!$T$11="First Photons",POWER(Upgrades!$U$11,J323),1))*POWER(Upgrades!$P$6,E323)*POWER(Upgrades!$P$7,F323)*POWER(Upgrades!$P$8,G323)*POWER(Upgrades!$P$9,H323)*POWER(Upgrades!$P$10,I323)*POWER(Upgrades!$P$11,J323)*POWER(Upgrades!$P$12,K323)*60</f>
        <v/>
      </c>
      <c r="AF323" s="27">
        <f>Parameters!$B$9*POWER(Upgrades!$Q$6,E323)*POWER(Upgrades!$Q$7,F323)*POWER(Upgrades!$Q$8,G323)*POWER(Upgrades!$Q$9,H323)*POWER(Upgrades!$Q$10,I323)*POWER(Upgrades!$Q$11,J323)*POWER(Upgrades!$Q$12,K323)*(Parameters!$B$10*Parameters!$B$11+O323*60)</f>
        <v/>
      </c>
      <c r="AG323" s="22">
        <f>IF(E323&gt;=Upgrades!$E$6,"",Upgrades!$C$6*POWER(Upgrades!$D$6,E323))</f>
        <v/>
      </c>
      <c r="AH323" s="22">
        <f>IF(F323&gt;=Upgrades!$E$7,"",Upgrades!$C$7*POWER(Upgrades!$D$7,F323))</f>
        <v/>
      </c>
      <c r="AI323" s="22">
        <f>IF(G323&gt;=Upgrades!$E$8,"",Upgrades!$C$8*POWER(Upgrades!$D$8,G323))</f>
        <v/>
      </c>
      <c r="AJ323" s="22">
        <f>IF(H323&gt;=Upgrades!$E$9,"",Upgrades!$C$9*POWER(Upgrades!$D$9,H323))</f>
        <v/>
      </c>
      <c r="AK323" s="22">
        <f>IF(I323&gt;=Upgrades!$E$10,"",Upgrades!$C$10*POWER(Upgrades!$D$10,I323))</f>
        <v/>
      </c>
      <c r="AL323" s="22">
        <f>IF(J323&gt;=Upgrades!$E$11,"",Upgrades!$C$11*POWER(Upgrades!$D$11,J323))</f>
        <v/>
      </c>
      <c r="AM323" s="22">
        <f>IF(K323&gt;=Upgrades!$E$12,"",Upgrades!$C$12*POWER(Upgrades!$D$12,K323))</f>
        <v/>
      </c>
      <c r="AN323" s="26">
        <f>IF(AND(D323&gt;=Parameters!$B$18,(H323&gt;=Upgrades!$E$9)*(K323&gt;=Upgrades!$E$12)=1,L323=0),1,"")</f>
        <v/>
      </c>
      <c r="AO323" s="26">
        <f>IF(AND(D323&gt;=Parameters!$B$18,L323=0),1,"")</f>
        <v/>
      </c>
      <c r="AP323" s="22">
        <f>MIN(IF(ISNUMBER(AK323),AK323,9E15),IF(ISNUMBER(AL323),AL323,9E15),IF(ISNUMBER(AM323),AM323,9E15))</f>
        <v/>
      </c>
      <c r="AQ323" s="22">
        <f>MIN(IF(ISNUMBER(AG323),AG323,9E15),IF(ISNUMBER(AH323),AH323,9E15),IF(ISNUMBER(AI323),AI323,9E15),IF(ISNUMBER(AJ323),AJ323,9E15))</f>
        <v/>
      </c>
      <c r="AR323" s="29">
        <f>IF(AW323&gt;Parameters!$B$21*(MAX(IF(AND(NOT(AND(AO323=1,AN323&lt;&gt;1)),ISNUMBER(AG323),AG323&lt;=T323),AS323,0),IF(AND(NOT(AND(AO323=1,AN323&lt;&gt;1)),ISNUMBER(AH323),AH323&lt;=T323),AT323,0),IF(AND(NOT(AND(AO323=1,AN323&lt;&gt;1)),ISNUMBER(AI323),AI323&lt;=T323),AU323,0),IF(AND(ISNUMBER(AJ323),AJ323&lt;=T323),AV323,0))),TRUE,FALSE)</f>
        <v/>
      </c>
      <c r="AS323" s="32">
        <f>IFERROR(Upgrades!$H$6*(POWER(Upgrades!$P$6,E323)*POWER(Upgrades!$P$7,F323)*POWER(Upgrades!$P$8,G323)*POWER(Upgrades!$P$9,H323)*POWER(Upgrades!$P$10,I323)*POWER(Upgrades!$P$11,J323)*POWER(Upgrades!$P$12,K323))*(IF(Upgrades!$T$7="Solar Wind",POWER(Upgrades!$U$7,F323),1)*IF(Upgrades!$T$8="Solar Wind",POWER(Upgrades!$U$8,G323),1)*IF(Upgrades!$T$9="Solar Wind",POWER(Upgrades!$U$9,H323),1)*IF(Upgrades!$T$10="Solar Wind",POWER(Upgrades!$U$10,I323),1)*IF(Upgrades!$T$11="Solar Wind",POWER(Upgrades!$U$11,J323),1)*IF(Upgrades!$T$12="Solar Wind",POWER(Upgrades!$U$12,K323),1))/AG323,0)</f>
        <v/>
      </c>
      <c r="AT323" s="32">
        <f>IFERROR(Upgrades!$H$7*(POWER(Upgrades!$P$6,E323)*POWER(Upgrades!$P$7,F323)*POWER(Upgrades!$P$8,G323)*POWER(Upgrades!$P$9,H323)*POWER(Upgrades!$P$10,I323)*POWER(Upgrades!$P$11,J323)*POWER(Upgrades!$P$12,K323))*(IF(Upgrades!$T$6="Asteroid Belt",POWER(Upgrades!$U$6,E323),1)*IF(Upgrades!$T$8="Asteroid Belt",POWER(Upgrades!$U$8,G323),1)*IF(Upgrades!$T$9="Asteroid Belt",POWER(Upgrades!$U$9,H323),1)*IF(Upgrades!$T$10="Asteroid Belt",POWER(Upgrades!$U$10,I323),1)*IF(Upgrades!$T$11="Asteroid Belt",POWER(Upgrades!$U$11,J323),1)*IF(Upgrades!$T$12="Asteroid Belt",POWER(Upgrades!$U$12,K323),1))/AH323,0)</f>
        <v/>
      </c>
      <c r="AU323" s="32">
        <f>IFERROR(Upgrades!$K$8*(POWER(Upgrades!$Q$6,E323)*POWER(Upgrades!$Q$7,F323)*POWER(Upgrades!$Q$8,G323)*POWER(Upgrades!$Q$9,H323)*POWER(Upgrades!$Q$10,I323)*POWER(Upgrades!$Q$11,J323)*POWER(Upgrades!$Q$12,K323))*(IF(Upgrades!$T$6="Stellar Coupling",POWER(Upgrades!$U$6,E323),1)*IF(Upgrades!$T$7="Stellar Coupling",POWER(Upgrades!$U$7,F323),1)*IF(Upgrades!$T$9="Stellar Coupling",POWER(Upgrades!$U$9,H323),1)*IF(Upgrades!$T$10="Stellar Coupling",POWER(Upgrades!$U$10,I323),1)*IF(Upgrades!$T$11="Stellar Coupling",POWER(Upgrades!$U$11,J323),1)*IF(Upgrades!$T$12="Stellar Coupling",POWER(Upgrades!$U$12,K323),1))*Parameters!$B$10*Parameters!$B$11/60/AI323,0)</f>
        <v/>
      </c>
      <c r="AV323" s="32">
        <f>IFERROR(Upgrades!$H$9*(POWER(Upgrades!$P$6,E323)*POWER(Upgrades!$P$7,F323)*POWER(Upgrades!$P$8,G323)*POWER(Upgrades!$P$9,H323)*POWER(Upgrades!$P$10,I323)*POWER(Upgrades!$P$11,J323)*POWER(Upgrades!$P$12,K323))*(IF(Upgrades!$T$6="Magnetosphere",POWER(Upgrades!$U$6,E323),1)*IF(Upgrades!$T$7="Magnetosphere",POWER(Upgrades!$U$7,F323),1)*IF(Upgrades!$T$8="Magnetosphere",POWER(Upgrades!$U$8,G323),1)*IF(Upgrades!$T$10="Magnetosphere",POWER(Upgrades!$U$10,I323),1)*IF(Upgrades!$T$11="Magnetosphere",POWER(Upgrades!$U$11,J323),1)*IF(Upgrades!$T$12="Magnetosphere",POWER(Upgrades!$U$12,K323),1))/AJ323,0)</f>
        <v/>
      </c>
      <c r="AW323" s="32">
        <f>MAX(IF(I323&gt;0,0,IFERROR(0.25*N323/Upgrades!$C$10,0)),IF(J323&gt;0,0,IFERROR(0.5*((IF(G323=0,0,(Upgrades!$J$8+G323*Upgrades!$K$8)*POWER(Upgrades!$L$8,G323)))*(IF(Upgrades!$T$6="Stellar Coupling",POWER(Upgrades!$U$6,E323),1)*IF(Upgrades!$T$7="Stellar Coupling",POWER(Upgrades!$U$7,F323),1)*IF(Upgrades!$T$9="Stellar Coupling",POWER(Upgrades!$U$9,H323),1)*IF(Upgrades!$T$10="Stellar Coupling",POWER(Upgrades!$U$10,I323),1)*IF(Upgrades!$T$11="Stellar Coupling",POWER(Upgrades!$U$11,J323),1)*IF(Upgrades!$T$12="Stellar Coupling",POWER(Upgrades!$U$12,K323),1))*(POWER(Upgrades!$Q$6,E323)*POWER(Upgrades!$Q$7,F323)*POWER(Upgrades!$Q$8,G323)*POWER(Upgrades!$Q$9,H323)*POWER(Upgrades!$Q$10,I323)*POWER(Upgrades!$Q$11,J323)*POWER(Upgrades!$Q$12,K323))*Parameters!$B$10*Parameters!$B$11/60)/Upgrades!$C$11,0)),IF(K323&gt;0,0,IFERROR((1.0*(POWER(Upgrades!$P$6,E323)*POWER(Upgrades!$P$7,F323)*POWER(Upgrades!$P$8,G323)*POWER(Upgrades!$P$9,H323)*POWER(Upgrades!$P$10,I323)*POWER(Upgrades!$P$11,J323)*POWER(Upgrades!$P$12,K323))+0.20*M323*Parameters!$B$10*Parameters!$B$11/60)/Upgrades!$C$12,0)),IF(AND(ISNUMBER(AG323),AG323&gt;T323),AS323,0),IF(AND(ISNUMBER(AH323),AH323&gt;T323),AT323,0),IF(AND(ISNUMBER(AI323),AI323&gt;T323),AU323,0),IF(AND(ISNUMBER(AJ323),AJ323&gt;T323),AV323,0))</f>
        <v/>
      </c>
      <c r="AX323" s="29">
        <f>IF(AN323=1,"transition",IF(MIN(IF(AND(I323=0,ISNUMBER(AK323),AK323&lt;=T323),AK323,9E15),IF(AND(J323=0,ISNUMBER(AL323),AL323&lt;=T323),AL323,9E15),IF(AND(K323=0,ISNUMBER(AM323),AM323&lt;=T323),AM323,9E15))&lt;9E15,IF(AND(AND(I323=0,ISNUMBER(AK323),AK323&lt;=T323),AK323=MIN(IF(AND(I323=0,ISNUMBER(AK323),AK323&lt;=T323),AK323,9E15),IF(AND(J323=0,ISNUMBER(AL323),AL323&lt;=T323),AL323,9E15),IF(AND(K323=0,ISNUMBER(AM323),AM323&lt;=T323),AM323,9E15))),"OR",IF(AND(AND(J323=0,ISNUMBER(AL323),AL323&lt;=T323),AL323=MIN(IF(AND(I323=0,ISNUMBER(AK323),AK323&lt;=T323),AK323,9E15),IF(AND(J323=0,ISNUMBER(AL323),AL323&lt;=T323),AL323,9E15),IF(AND(K323=0,ISNUMBER(AM323),AM323&lt;=T323),AM323,9E15))),"HP","FP")),IF(AR323=TRUE,"",IF(MAX(IF(AND(NOT(AND(AO323=1,AN323&lt;&gt;1)),ISNUMBER(AG323),AG323&lt;=T323),AS323,0),IF(AND(NOT(AND(AO323=1,AN323&lt;&gt;1)),ISNUMBER(AH323),AH323&lt;=T323),AT323,0),IF(AND(NOT(AND(AO323=1,AN323&lt;&gt;1)),ISNUMBER(AI323),AI323&lt;=T323),AU323,0),IF(AND(ISNUMBER(AJ323),AJ323&lt;=T323),AV323,0))&lt;=0,"",IF(AND(IF(AND(NOT(AND(AO323=1,AN323&lt;&gt;1)),ISNUMBER(AG323),AG323&lt;=T323),AS323,0)&gt;0,IF(AND(NOT(AND(AO323=1,AN323&lt;&gt;1)),ISNUMBER(AG323),AG323&lt;=T323),AS323,0)=MAX(IF(AND(NOT(AND(AO323=1,AN323&lt;&gt;1)),ISNUMBER(AG323),AG323&lt;=T323),AS323,0),IF(AND(NOT(AND(AO323=1,AN323&lt;&gt;1)),ISNUMBER(AH323),AH323&lt;=T323),AT323,0),IF(AND(NOT(AND(AO323=1,AN323&lt;&gt;1)),ISNUMBER(AI323),AI323&lt;=T323),AU323,0),IF(AND(ISNUMBER(AJ323),AJ323&lt;=T323),AV323,0))),"SW",IF(AND(IF(AND(NOT(AND(AO323=1,AN323&lt;&gt;1)),ISNUMBER(AH323),AH323&lt;=T323),AT323,0)&gt;0,IF(AND(NOT(AND(AO323=1,AN323&lt;&gt;1)),ISNUMBER(AH323),AH323&lt;=T323),AT323,0)=MAX(IF(AND(NOT(AND(AO323=1,AN323&lt;&gt;1)),ISNUMBER(AG323),AG323&lt;=T323),AS323,0),IF(AND(NOT(AND(AO323=1,AN323&lt;&gt;1)),ISNUMBER(AH323),AH323&lt;=T323),AT323,0),IF(AND(NOT(AND(AO323=1,AN323&lt;&gt;1)),ISNUMBER(AI323),AI323&lt;=T323),AU323,0),IF(AND(ISNUMBER(AJ323),AJ323&lt;=T323),AV323,0))),"AB",IF(AND(IF(AND(NOT(AND(AO323=1,AN323&lt;&gt;1)),ISNUMBER(AI323),AI323&lt;=T323),AU323,0)&gt;0,IF(AND(NOT(AND(AO323=1,AN323&lt;&gt;1)),ISNUMBER(AI323),AI323&lt;=T323),AU323,0)=MAX(IF(AND(NOT(AND(AO323=1,AN323&lt;&gt;1)),ISNUMBER(AG323),AG323&lt;=T323),AS323,0),IF(AND(NOT(AND(AO323=1,AN323&lt;&gt;1)),ISNUMBER(AH323),AH323&lt;=T323),AT323,0),IF(AND(NOT(AND(AO323=1,AN323&lt;&gt;1)),ISNUMBER(AI323),AI323&lt;=T323),AU323,0),IF(AND(ISNUMBER(AJ323),AJ323&lt;=T323),AV323,0))),"SC","Mag")))))))</f>
        <v/>
      </c>
    </row>
    <row r="324">
      <c r="A324" s="26" t="n">
        <v>319</v>
      </c>
      <c r="B324" s="27">
        <f>A324*10/60</f>
        <v/>
      </c>
      <c r="C324" s="22">
        <f>X323</f>
        <v/>
      </c>
      <c r="D324" s="27">
        <f>D323+W323</f>
        <v/>
      </c>
      <c r="E324" s="26">
        <f>E323+IF(U323="SW",1,0)</f>
        <v/>
      </c>
      <c r="F324" s="26">
        <f>F323+IF(U323="AB",1,0)</f>
        <v/>
      </c>
      <c r="G324" s="26">
        <f>G323+IF(U323="SC",1,0)</f>
        <v/>
      </c>
      <c r="H324" s="26">
        <f>H323+IF(U323="Mag",1,0)</f>
        <v/>
      </c>
      <c r="I324" s="26">
        <f>MAX(I323,IF(U323="OR",1,0))</f>
        <v/>
      </c>
      <c r="J324" s="26">
        <f>MAX(J323,IF(U323="HP",1,0))</f>
        <v/>
      </c>
      <c r="K324" s="26">
        <f>MAX(K323,IF(U323="FP",1,0))</f>
        <v/>
      </c>
      <c r="L324" s="26">
        <f>MAX(L323,IF(U323="transition",1,0))</f>
        <v/>
      </c>
      <c r="M324" s="28">
        <f>(Parameters!$B$9+(IF(E324=0,0,(Upgrades!$J$6+E324*Upgrades!$K$6)*POWER(Upgrades!$L$6,E324)))*(IF(Upgrades!$T$7="Solar Wind",POWER(Upgrades!$U$7,F324),1)*IF(Upgrades!$T$8="Solar Wind",POWER(Upgrades!$U$8,G324),1)*IF(Upgrades!$T$9="Solar Wind",POWER(Upgrades!$U$9,H324),1)*IF(Upgrades!$T$10="Solar Wind",POWER(Upgrades!$U$10,I324),1)*IF(Upgrades!$T$11="Solar Wind",POWER(Upgrades!$U$11,J324),1)*IF(Upgrades!$T$12="Solar Wind",POWER(Upgrades!$U$12,K324),1))+(IF(F324=0,0,(Upgrades!$J$7+F324*Upgrades!$K$7)*POWER(Upgrades!$L$7,F324)))*(IF(Upgrades!$T$6="Asteroid Belt",POWER(Upgrades!$U$6,E324),1)*IF(Upgrades!$T$8="Asteroid Belt",POWER(Upgrades!$U$8,G324),1)*IF(Upgrades!$T$9="Asteroid Belt",POWER(Upgrades!$U$9,H324),1)*IF(Upgrades!$T$10="Asteroid Belt",POWER(Upgrades!$U$10,I324),1)*IF(Upgrades!$T$11="Asteroid Belt",POWER(Upgrades!$U$11,J324),1)*IF(Upgrades!$T$12="Asteroid Belt",POWER(Upgrades!$U$12,K324),1))+(IF(G324=0,0,(Upgrades!$J$8+G324*Upgrades!$K$8)*POWER(Upgrades!$L$8,G324)))*(IF(Upgrades!$T$6="Stellar Coupling",POWER(Upgrades!$U$6,E324),1)*IF(Upgrades!$T$7="Stellar Coupling",POWER(Upgrades!$U$7,F324),1)*IF(Upgrades!$T$9="Stellar Coupling",POWER(Upgrades!$U$9,H324),1)*IF(Upgrades!$T$10="Stellar Coupling",POWER(Upgrades!$U$10,I324),1)*IF(Upgrades!$T$11="Stellar Coupling",POWER(Upgrades!$U$11,J324),1)*IF(Upgrades!$T$12="Stellar Coupling",POWER(Upgrades!$U$12,K324),1))+(IF(H324=0,0,(Upgrades!$J$9+H324*Upgrades!$K$9)*POWER(Upgrades!$L$9,H324)))*(IF(Upgrades!$T$6="Magnetosphere",POWER(Upgrades!$U$6,E324),1)*IF(Upgrades!$T$7="Magnetosphere",POWER(Upgrades!$U$7,F324),1)*IF(Upgrades!$T$8="Magnetosphere",POWER(Upgrades!$U$8,G324),1)*IF(Upgrades!$T$10="Magnetosphere",POWER(Upgrades!$U$10,I324),1)*IF(Upgrades!$T$11="Magnetosphere",POWER(Upgrades!$U$11,J324),1)*IF(Upgrades!$T$12="Magnetosphere",POWER(Upgrades!$U$12,K324),1))+(IF(I324=0,0,(Upgrades!$J$10+I324*Upgrades!$K$10)*POWER(Upgrades!$L$10,I324)))*(IF(Upgrades!$T$6="Orbital Resonance",POWER(Upgrades!$U$6,E324),1)*IF(Upgrades!$T$7="Orbital Resonance",POWER(Upgrades!$U$7,F324),1)*IF(Upgrades!$T$8="Orbital Resonance",POWER(Upgrades!$U$8,G324),1)*IF(Upgrades!$T$9="Orbital Resonance",POWER(Upgrades!$U$9,H324),1)*IF(Upgrades!$T$11="Orbital Resonance",POWER(Upgrades!$U$11,J324),1)*IF(Upgrades!$T$12="Orbital Resonance",POWER(Upgrades!$U$12,K324),1))+(IF(J324=0,0,(Upgrades!$J$11+J324*Upgrades!$K$11)*POWER(Upgrades!$L$11,J324)))*(IF(Upgrades!$T$6="Heliopause",POWER(Upgrades!$U$6,E324),1)*IF(Upgrades!$T$7="Heliopause",POWER(Upgrades!$U$7,F324),1)*IF(Upgrades!$T$8="Heliopause",POWER(Upgrades!$U$8,G324),1)*IF(Upgrades!$T$9="Heliopause",POWER(Upgrades!$U$9,H324),1)*IF(Upgrades!$T$10="Heliopause",POWER(Upgrades!$U$10,I324),1)*IF(Upgrades!$T$12="Heliopause",POWER(Upgrades!$U$12,K324),1))+(IF(K324=0,0,(Upgrades!$J$12+K324*Upgrades!$K$12)*POWER(Upgrades!$L$12,K324)))*(IF(Upgrades!$T$6="First Photons",POWER(Upgrades!$U$6,E324),1)*IF(Upgrades!$T$7="First Photons",POWER(Upgrades!$U$7,F324),1)*IF(Upgrades!$T$8="First Photons",POWER(Upgrades!$U$8,G324),1)*IF(Upgrades!$T$9="First Photons",POWER(Upgrades!$U$9,H324),1)*IF(Upgrades!$T$10="First Photons",POWER(Upgrades!$U$10,I324),1)*IF(Upgrades!$T$11="First Photons",POWER(Upgrades!$U$11,J324),1)))*POWER(Upgrades!$Q$6,E324)*POWER(Upgrades!$Q$7,F324)*POWER(Upgrades!$Q$8,G324)*POWER(Upgrades!$Q$9,H324)*POWER(Upgrades!$Q$10,I324)*POWER(Upgrades!$Q$11,J324)*POWER(Upgrades!$Q$12,K324)</f>
        <v/>
      </c>
      <c r="N324" s="28">
        <f>((IF(E324=0,0,(Upgrades!$G$6+E324*Upgrades!$H$6)*POWER(Upgrades!$I$6,E324)))*(IF(Upgrades!$T$7="Solar Wind",POWER(Upgrades!$U$7,F324),1)*IF(Upgrades!$T$8="Solar Wind",POWER(Upgrades!$U$8,G324),1)*IF(Upgrades!$T$9="Solar Wind",POWER(Upgrades!$U$9,H324),1)*IF(Upgrades!$T$10="Solar Wind",POWER(Upgrades!$U$10,I324),1)*IF(Upgrades!$T$11="Solar Wind",POWER(Upgrades!$U$11,J324),1)*IF(Upgrades!$T$12="Solar Wind",POWER(Upgrades!$U$12,K324),1))+(IF(F324=0,0,(Upgrades!$G$7+F324*Upgrades!$H$7)*POWER(Upgrades!$I$7,F324)))*(IF(Upgrades!$T$6="Asteroid Belt",POWER(Upgrades!$U$6,E324),1)*IF(Upgrades!$T$8="Asteroid Belt",POWER(Upgrades!$U$8,G324),1)*IF(Upgrades!$T$9="Asteroid Belt",POWER(Upgrades!$U$9,H324),1)*IF(Upgrades!$T$10="Asteroid Belt",POWER(Upgrades!$U$10,I324),1)*IF(Upgrades!$T$11="Asteroid Belt",POWER(Upgrades!$U$11,J324),1)*IF(Upgrades!$T$12="Asteroid Belt",POWER(Upgrades!$U$12,K324),1))+(IF(G324=0,0,(Upgrades!$G$8+G324*Upgrades!$H$8)*POWER(Upgrades!$I$8,G324)))*(IF(Upgrades!$T$6="Stellar Coupling",POWER(Upgrades!$U$6,E324),1)*IF(Upgrades!$T$7="Stellar Coupling",POWER(Upgrades!$U$7,F324),1)*IF(Upgrades!$T$9="Stellar Coupling",POWER(Upgrades!$U$9,H324),1)*IF(Upgrades!$T$10="Stellar Coupling",POWER(Upgrades!$U$10,I324),1)*IF(Upgrades!$T$11="Stellar Coupling",POWER(Upgrades!$U$11,J324),1)*IF(Upgrades!$T$12="Stellar Coupling",POWER(Upgrades!$U$12,K324),1))+(IF(H324=0,0,(Upgrades!$G$9+H324*Upgrades!$H$9)*POWER(Upgrades!$I$9,H324)))*(IF(Upgrades!$T$6="Magnetosphere",POWER(Upgrades!$U$6,E324),1)*IF(Upgrades!$T$7="Magnetosphere",POWER(Upgrades!$U$7,F324),1)*IF(Upgrades!$T$8="Magnetosphere",POWER(Upgrades!$U$8,G324),1)*IF(Upgrades!$T$10="Magnetosphere",POWER(Upgrades!$U$10,I324),1)*IF(Upgrades!$T$11="Magnetosphere",POWER(Upgrades!$U$11,J324),1)*IF(Upgrades!$T$12="Magnetosphere",POWER(Upgrades!$U$12,K324),1))+(IF(I324=0,0,(Upgrades!$G$10+I324*Upgrades!$H$10)*POWER(Upgrades!$I$10,I324)))*(IF(Upgrades!$T$6="Orbital Resonance",POWER(Upgrades!$U$6,E324),1)*IF(Upgrades!$T$7="Orbital Resonance",POWER(Upgrades!$U$7,F324),1)*IF(Upgrades!$T$8="Orbital Resonance",POWER(Upgrades!$U$8,G324),1)*IF(Upgrades!$T$9="Orbital Resonance",POWER(Upgrades!$U$9,H324),1)*IF(Upgrades!$T$11="Orbital Resonance",POWER(Upgrades!$U$11,J324),1)*IF(Upgrades!$T$12="Orbital Resonance",POWER(Upgrades!$U$12,K324),1))+(IF(J324=0,0,(Upgrades!$G$11+J324*Upgrades!$H$11)*POWER(Upgrades!$I$11,J324)))*(IF(Upgrades!$T$6="Heliopause",POWER(Upgrades!$U$6,E324),1)*IF(Upgrades!$T$7="Heliopause",POWER(Upgrades!$U$7,F324),1)*IF(Upgrades!$T$8="Heliopause",POWER(Upgrades!$U$8,G324),1)*IF(Upgrades!$T$9="Heliopause",POWER(Upgrades!$U$9,H324),1)*IF(Upgrades!$T$10="Heliopause",POWER(Upgrades!$U$10,I324),1)*IF(Upgrades!$T$12="Heliopause",POWER(Upgrades!$U$12,K324),1))+(IF(K324=0,0,(Upgrades!$G$12+K324*Upgrades!$H$12)*POWER(Upgrades!$I$12,K324)))*(IF(Upgrades!$T$6="First Photons",POWER(Upgrades!$U$6,E324),1)*IF(Upgrades!$T$7="First Photons",POWER(Upgrades!$U$7,F324),1)*IF(Upgrades!$T$8="First Photons",POWER(Upgrades!$U$8,G324),1)*IF(Upgrades!$T$9="First Photons",POWER(Upgrades!$U$9,H324),1)*IF(Upgrades!$T$10="First Photons",POWER(Upgrades!$U$10,I324),1)*IF(Upgrades!$T$11="First Photons",POWER(Upgrades!$U$11,J324),1)))*POWER(Upgrades!$P$6,E324)*POWER(Upgrades!$P$7,F324)*POWER(Upgrades!$P$8,G324)*POWER(Upgrades!$P$9,H324)*POWER(Upgrades!$P$10,I324)*POWER(Upgrades!$P$11,J324)*POWER(Upgrades!$P$12,K324)</f>
        <v/>
      </c>
      <c r="O324" s="28">
        <f>((IF(E324=0,0,(Upgrades!$M$6+E324*Upgrades!$N$6)*POWER(Upgrades!$O$6,E324)))*(IF(Upgrades!$T$7="Solar Wind",POWER(Upgrades!$U$7,F324),1)*IF(Upgrades!$T$8="Solar Wind",POWER(Upgrades!$U$8,G324),1)*IF(Upgrades!$T$9="Solar Wind",POWER(Upgrades!$U$9,H324),1)*IF(Upgrades!$T$10="Solar Wind",POWER(Upgrades!$U$10,I324),1)*IF(Upgrades!$T$11="Solar Wind",POWER(Upgrades!$U$11,J324),1)*IF(Upgrades!$T$12="Solar Wind",POWER(Upgrades!$U$12,K324),1))+(IF(F324=0,0,(Upgrades!$M$7+F324*Upgrades!$N$7)*POWER(Upgrades!$O$7,F324)))*(IF(Upgrades!$T$6="Asteroid Belt",POWER(Upgrades!$U$6,E324),1)*IF(Upgrades!$T$8="Asteroid Belt",POWER(Upgrades!$U$8,G324),1)*IF(Upgrades!$T$9="Asteroid Belt",POWER(Upgrades!$U$9,H324),1)*IF(Upgrades!$T$10="Asteroid Belt",POWER(Upgrades!$U$10,I324),1)*IF(Upgrades!$T$11="Asteroid Belt",POWER(Upgrades!$U$11,J324),1)*IF(Upgrades!$T$12="Asteroid Belt",POWER(Upgrades!$U$12,K324),1))+(IF(G324=0,0,(Upgrades!$M$8+G324*Upgrades!$N$8)*POWER(Upgrades!$O$8,G324)))*(IF(Upgrades!$T$6="Stellar Coupling",POWER(Upgrades!$U$6,E324),1)*IF(Upgrades!$T$7="Stellar Coupling",POWER(Upgrades!$U$7,F324),1)*IF(Upgrades!$T$9="Stellar Coupling",POWER(Upgrades!$U$9,H324),1)*IF(Upgrades!$T$10="Stellar Coupling",POWER(Upgrades!$U$10,I324),1)*IF(Upgrades!$T$11="Stellar Coupling",POWER(Upgrades!$U$11,J324),1)*IF(Upgrades!$T$12="Stellar Coupling",POWER(Upgrades!$U$12,K324),1))+(IF(H324=0,0,(Upgrades!$M$9+H324*Upgrades!$N$9)*POWER(Upgrades!$O$9,H324)))*(IF(Upgrades!$T$6="Magnetosphere",POWER(Upgrades!$U$6,E324),1)*IF(Upgrades!$T$7="Magnetosphere",POWER(Upgrades!$U$7,F324),1)*IF(Upgrades!$T$8="Magnetosphere",POWER(Upgrades!$U$8,G324),1)*IF(Upgrades!$T$10="Magnetosphere",POWER(Upgrades!$U$10,I324),1)*IF(Upgrades!$T$11="Magnetosphere",POWER(Upgrades!$U$11,J324),1)*IF(Upgrades!$T$12="Magnetosphere",POWER(Upgrades!$U$12,K324),1))+(IF(I324=0,0,(Upgrades!$M$10+I324*Upgrades!$N$10)*POWER(Upgrades!$O$10,I324)))*(IF(Upgrades!$T$6="Orbital Resonance",POWER(Upgrades!$U$6,E324),1)*IF(Upgrades!$T$7="Orbital Resonance",POWER(Upgrades!$U$7,F324),1)*IF(Upgrades!$T$8="Orbital Resonance",POWER(Upgrades!$U$8,G324),1)*IF(Upgrades!$T$9="Orbital Resonance",POWER(Upgrades!$U$9,H324),1)*IF(Upgrades!$T$11="Orbital Resonance",POWER(Upgrades!$U$11,J324),1)*IF(Upgrades!$T$12="Orbital Resonance",POWER(Upgrades!$U$12,K324),1))+(IF(J324=0,0,(Upgrades!$M$11+J324*Upgrades!$N$11)*POWER(Upgrades!$O$11,J324)))*(IF(Upgrades!$T$6="Heliopause",POWER(Upgrades!$U$6,E324),1)*IF(Upgrades!$T$7="Heliopause",POWER(Upgrades!$U$7,F324),1)*IF(Upgrades!$T$8="Heliopause",POWER(Upgrades!$U$8,G324),1)*IF(Upgrades!$T$9="Heliopause",POWER(Upgrades!$U$9,H324),1)*IF(Upgrades!$T$10="Heliopause",POWER(Upgrades!$U$10,I324),1)*IF(Upgrades!$T$12="Heliopause",POWER(Upgrades!$U$12,K324),1))+(IF(K324=0,0,(Upgrades!$M$12+K324*Upgrades!$N$12)*POWER(Upgrades!$O$12,K324)))*(IF(Upgrades!$T$6="First Photons",POWER(Upgrades!$U$6,E324),1)*IF(Upgrades!$T$7="First Photons",POWER(Upgrades!$U$7,F324),1)*IF(Upgrades!$T$8="First Photons",POWER(Upgrades!$U$8,G324),1)*IF(Upgrades!$T$9="First Photons",POWER(Upgrades!$U$9,H324),1)*IF(Upgrades!$T$10="First Photons",POWER(Upgrades!$U$10,I324),1)*IF(Upgrades!$T$11="First Photons",POWER(Upgrades!$U$11,J324),1)))*POWER(Upgrades!$R$6,E324)*POWER(Upgrades!$R$7,F324)*POWER(Upgrades!$R$8,G324)*POWER(Upgrades!$R$9,H324)*POWER(Upgrades!$R$10,I324)*POWER(Upgrades!$R$11,J324)*POWER(Upgrades!$R$12,K324)</f>
        <v/>
      </c>
      <c r="P324" s="27">
        <f>IF(L324=1,0,M324*Parameters!$B$10/60*Parameters!$B$11*10)</f>
        <v/>
      </c>
      <c r="Q324" s="27">
        <f>IF(L324=1,0,O324*M324*10)</f>
        <v/>
      </c>
      <c r="R324" s="27">
        <f>IF(L324=1,0,N324*10)</f>
        <v/>
      </c>
      <c r="S324" s="27">
        <f>P324+Q324+R324</f>
        <v/>
      </c>
      <c r="T324" s="22">
        <f>C324+S324</f>
        <v/>
      </c>
      <c r="U324" s="33">
        <f>AX324</f>
        <v/>
      </c>
      <c r="V324" s="22">
        <f>IF(U324="",0,IF(U324="transition",0,IF(U324="SW",AG324,IF(U324="AB",AH324,IF(U324="SC",AI324,IF(U324="Mag",AJ324,IF(U324="OR",AK324,IF(U324="HP",AL324,IF(U324="FP",AM324,0)))))))))</f>
        <v/>
      </c>
      <c r="W324" s="27">
        <f>IF(U324="OR",Upgrades!$F$10,IF(U324="HP",Upgrades!$F$11,IF(U324="transition",-Parameters!$B$18,0)))</f>
        <v/>
      </c>
      <c r="X324" s="22">
        <f>T324-V324</f>
        <v/>
      </c>
      <c r="Y324" s="30">
        <f>M324*Parameters!$B$10/60*Parameters!$B$11+O324*M324+N324</f>
        <v/>
      </c>
      <c r="Z324" s="34">
        <f>IF(U324="transition","→ Tier 2 (Stellar Neighborhood)",IF(U324="FP","First Photons — light begins, system quickens",IF(U324="HP","Heliopause acquired",IF(U324="OR","Orbital Resonance — passive multiplier active",IF(AND(AO324=1,L324=0,AN324&lt;&gt;1),"Cohesion ready (waiting on completionist upgrades)","")))))</f>
        <v/>
      </c>
      <c r="AA324" s="27">
        <f>(IF(E324=0,0,(Upgrades!$G$6+E324*Upgrades!$H$6)*POWER(Upgrades!$I$6,E324)))*(IF(Upgrades!$T$7="Solar Wind",POWER(Upgrades!$U$7,F324),1)*IF(Upgrades!$T$8="Solar Wind",POWER(Upgrades!$U$8,G324),1)*IF(Upgrades!$T$9="Solar Wind",POWER(Upgrades!$U$9,H324),1)*IF(Upgrades!$T$10="Solar Wind",POWER(Upgrades!$U$10,I324),1)*IF(Upgrades!$T$11="Solar Wind",POWER(Upgrades!$U$11,J324),1)*IF(Upgrades!$T$12="Solar Wind",POWER(Upgrades!$U$12,K324),1))*POWER(Upgrades!$P$6,E324)*POWER(Upgrades!$P$7,F324)*POWER(Upgrades!$P$8,G324)*POWER(Upgrades!$P$9,H324)*POWER(Upgrades!$P$10,I324)*POWER(Upgrades!$P$11,J324)*POWER(Upgrades!$P$12,K324)*60</f>
        <v/>
      </c>
      <c r="AB324" s="27">
        <f>(IF(F324=0,0,(Upgrades!$G$7+F324*Upgrades!$H$7)*POWER(Upgrades!$I$7,F324)))*(IF(Upgrades!$T$6="Asteroid Belt",POWER(Upgrades!$U$6,E324),1)*IF(Upgrades!$T$8="Asteroid Belt",POWER(Upgrades!$U$8,G324),1)*IF(Upgrades!$T$9="Asteroid Belt",POWER(Upgrades!$U$9,H324),1)*IF(Upgrades!$T$10="Asteroid Belt",POWER(Upgrades!$U$10,I324),1)*IF(Upgrades!$T$11="Asteroid Belt",POWER(Upgrades!$U$11,J324),1)*IF(Upgrades!$T$12="Asteroid Belt",POWER(Upgrades!$U$12,K324),1))*POWER(Upgrades!$P$6,E324)*POWER(Upgrades!$P$7,F324)*POWER(Upgrades!$P$8,G324)*POWER(Upgrades!$P$9,H324)*POWER(Upgrades!$P$10,I324)*POWER(Upgrades!$P$11,J324)*POWER(Upgrades!$P$12,K324)*60</f>
        <v/>
      </c>
      <c r="AC324" s="27">
        <f>(IF(G324=0,0,(Upgrades!$J$8+G324*Upgrades!$K$8)*POWER(Upgrades!$L$8,G324)))*(IF(Upgrades!$T$6="Stellar Coupling",POWER(Upgrades!$U$6,E324),1)*IF(Upgrades!$T$7="Stellar Coupling",POWER(Upgrades!$U$7,F324),1)*IF(Upgrades!$T$9="Stellar Coupling",POWER(Upgrades!$U$9,H324),1)*IF(Upgrades!$T$10="Stellar Coupling",POWER(Upgrades!$U$10,I324),1)*IF(Upgrades!$T$11="Stellar Coupling",POWER(Upgrades!$U$11,J324),1)*IF(Upgrades!$T$12="Stellar Coupling",POWER(Upgrades!$U$12,K324),1))*POWER(Upgrades!$Q$6,E324)*POWER(Upgrades!$Q$7,F324)*POWER(Upgrades!$Q$8,G324)*POWER(Upgrades!$Q$9,H324)*POWER(Upgrades!$Q$10,I324)*POWER(Upgrades!$Q$11,J324)*POWER(Upgrades!$Q$12,K324)*Parameters!$B$10*Parameters!$B$11</f>
        <v/>
      </c>
      <c r="AD324" s="27">
        <f>(IF(H324=0,0,(Upgrades!$G$9+H324*Upgrades!$H$9)*POWER(Upgrades!$I$9,H324)))*(IF(Upgrades!$T$6="Magnetosphere",POWER(Upgrades!$U$6,E324),1)*IF(Upgrades!$T$7="Magnetosphere",POWER(Upgrades!$U$7,F324),1)*IF(Upgrades!$T$8="Magnetosphere",POWER(Upgrades!$U$8,G324),1)*IF(Upgrades!$T$10="Magnetosphere",POWER(Upgrades!$U$10,I324),1)*IF(Upgrades!$T$11="Magnetosphere",POWER(Upgrades!$U$11,J324),1)*IF(Upgrades!$T$12="Magnetosphere",POWER(Upgrades!$U$12,K324),1))*POWER(Upgrades!$P$6,E324)*POWER(Upgrades!$P$7,F324)*POWER(Upgrades!$P$8,G324)*POWER(Upgrades!$P$9,H324)*POWER(Upgrades!$P$10,I324)*POWER(Upgrades!$P$11,J324)*POWER(Upgrades!$P$12,K324)*60</f>
        <v/>
      </c>
      <c r="AE324" s="27">
        <f>(IF(K324=0,0,(Upgrades!$G$12+K324*Upgrades!$H$12)*POWER(Upgrades!$I$12,K324)))*(IF(Upgrades!$T$6="First Photons",POWER(Upgrades!$U$6,E324),1)*IF(Upgrades!$T$7="First Photons",POWER(Upgrades!$U$7,F324),1)*IF(Upgrades!$T$8="First Photons",POWER(Upgrades!$U$8,G324),1)*IF(Upgrades!$T$9="First Photons",POWER(Upgrades!$U$9,H324),1)*IF(Upgrades!$T$10="First Photons",POWER(Upgrades!$U$10,I324),1)*IF(Upgrades!$T$11="First Photons",POWER(Upgrades!$U$11,J324),1))*POWER(Upgrades!$P$6,E324)*POWER(Upgrades!$P$7,F324)*POWER(Upgrades!$P$8,G324)*POWER(Upgrades!$P$9,H324)*POWER(Upgrades!$P$10,I324)*POWER(Upgrades!$P$11,J324)*POWER(Upgrades!$P$12,K324)*60</f>
        <v/>
      </c>
      <c r="AF324" s="27">
        <f>Parameters!$B$9*POWER(Upgrades!$Q$6,E324)*POWER(Upgrades!$Q$7,F324)*POWER(Upgrades!$Q$8,G324)*POWER(Upgrades!$Q$9,H324)*POWER(Upgrades!$Q$10,I324)*POWER(Upgrades!$Q$11,J324)*POWER(Upgrades!$Q$12,K324)*(Parameters!$B$10*Parameters!$B$11+O324*60)</f>
        <v/>
      </c>
      <c r="AG324" s="22">
        <f>IF(E324&gt;=Upgrades!$E$6,"",Upgrades!$C$6*POWER(Upgrades!$D$6,E324))</f>
        <v/>
      </c>
      <c r="AH324" s="22">
        <f>IF(F324&gt;=Upgrades!$E$7,"",Upgrades!$C$7*POWER(Upgrades!$D$7,F324))</f>
        <v/>
      </c>
      <c r="AI324" s="22">
        <f>IF(G324&gt;=Upgrades!$E$8,"",Upgrades!$C$8*POWER(Upgrades!$D$8,G324))</f>
        <v/>
      </c>
      <c r="AJ324" s="22">
        <f>IF(H324&gt;=Upgrades!$E$9,"",Upgrades!$C$9*POWER(Upgrades!$D$9,H324))</f>
        <v/>
      </c>
      <c r="AK324" s="22">
        <f>IF(I324&gt;=Upgrades!$E$10,"",Upgrades!$C$10*POWER(Upgrades!$D$10,I324))</f>
        <v/>
      </c>
      <c r="AL324" s="22">
        <f>IF(J324&gt;=Upgrades!$E$11,"",Upgrades!$C$11*POWER(Upgrades!$D$11,J324))</f>
        <v/>
      </c>
      <c r="AM324" s="22">
        <f>IF(K324&gt;=Upgrades!$E$12,"",Upgrades!$C$12*POWER(Upgrades!$D$12,K324))</f>
        <v/>
      </c>
      <c r="AN324" s="26">
        <f>IF(AND(D324&gt;=Parameters!$B$18,(H324&gt;=Upgrades!$E$9)*(K324&gt;=Upgrades!$E$12)=1,L324=0),1,"")</f>
        <v/>
      </c>
      <c r="AO324" s="26">
        <f>IF(AND(D324&gt;=Parameters!$B$18,L324=0),1,"")</f>
        <v/>
      </c>
      <c r="AP324" s="22">
        <f>MIN(IF(ISNUMBER(AK324),AK324,9E15),IF(ISNUMBER(AL324),AL324,9E15),IF(ISNUMBER(AM324),AM324,9E15))</f>
        <v/>
      </c>
      <c r="AQ324" s="22">
        <f>MIN(IF(ISNUMBER(AG324),AG324,9E15),IF(ISNUMBER(AH324),AH324,9E15),IF(ISNUMBER(AI324),AI324,9E15),IF(ISNUMBER(AJ324),AJ324,9E15))</f>
        <v/>
      </c>
      <c r="AR324" s="29">
        <f>IF(AW324&gt;Parameters!$B$21*(MAX(IF(AND(NOT(AND(AO324=1,AN324&lt;&gt;1)),ISNUMBER(AG324),AG324&lt;=T324),AS324,0),IF(AND(NOT(AND(AO324=1,AN324&lt;&gt;1)),ISNUMBER(AH324),AH324&lt;=T324),AT324,0),IF(AND(NOT(AND(AO324=1,AN324&lt;&gt;1)),ISNUMBER(AI324),AI324&lt;=T324),AU324,0),IF(AND(ISNUMBER(AJ324),AJ324&lt;=T324),AV324,0))),TRUE,FALSE)</f>
        <v/>
      </c>
      <c r="AS324" s="32">
        <f>IFERROR(Upgrades!$H$6*(POWER(Upgrades!$P$6,E324)*POWER(Upgrades!$P$7,F324)*POWER(Upgrades!$P$8,G324)*POWER(Upgrades!$P$9,H324)*POWER(Upgrades!$P$10,I324)*POWER(Upgrades!$P$11,J324)*POWER(Upgrades!$P$12,K324))*(IF(Upgrades!$T$7="Solar Wind",POWER(Upgrades!$U$7,F324),1)*IF(Upgrades!$T$8="Solar Wind",POWER(Upgrades!$U$8,G324),1)*IF(Upgrades!$T$9="Solar Wind",POWER(Upgrades!$U$9,H324),1)*IF(Upgrades!$T$10="Solar Wind",POWER(Upgrades!$U$10,I324),1)*IF(Upgrades!$T$11="Solar Wind",POWER(Upgrades!$U$11,J324),1)*IF(Upgrades!$T$12="Solar Wind",POWER(Upgrades!$U$12,K324),1))/AG324,0)</f>
        <v/>
      </c>
      <c r="AT324" s="32">
        <f>IFERROR(Upgrades!$H$7*(POWER(Upgrades!$P$6,E324)*POWER(Upgrades!$P$7,F324)*POWER(Upgrades!$P$8,G324)*POWER(Upgrades!$P$9,H324)*POWER(Upgrades!$P$10,I324)*POWER(Upgrades!$P$11,J324)*POWER(Upgrades!$P$12,K324))*(IF(Upgrades!$T$6="Asteroid Belt",POWER(Upgrades!$U$6,E324),1)*IF(Upgrades!$T$8="Asteroid Belt",POWER(Upgrades!$U$8,G324),1)*IF(Upgrades!$T$9="Asteroid Belt",POWER(Upgrades!$U$9,H324),1)*IF(Upgrades!$T$10="Asteroid Belt",POWER(Upgrades!$U$10,I324),1)*IF(Upgrades!$T$11="Asteroid Belt",POWER(Upgrades!$U$11,J324),1)*IF(Upgrades!$T$12="Asteroid Belt",POWER(Upgrades!$U$12,K324),1))/AH324,0)</f>
        <v/>
      </c>
      <c r="AU324" s="32">
        <f>IFERROR(Upgrades!$K$8*(POWER(Upgrades!$Q$6,E324)*POWER(Upgrades!$Q$7,F324)*POWER(Upgrades!$Q$8,G324)*POWER(Upgrades!$Q$9,H324)*POWER(Upgrades!$Q$10,I324)*POWER(Upgrades!$Q$11,J324)*POWER(Upgrades!$Q$12,K324))*(IF(Upgrades!$T$6="Stellar Coupling",POWER(Upgrades!$U$6,E324),1)*IF(Upgrades!$T$7="Stellar Coupling",POWER(Upgrades!$U$7,F324),1)*IF(Upgrades!$T$9="Stellar Coupling",POWER(Upgrades!$U$9,H324),1)*IF(Upgrades!$T$10="Stellar Coupling",POWER(Upgrades!$U$10,I324),1)*IF(Upgrades!$T$11="Stellar Coupling",POWER(Upgrades!$U$11,J324),1)*IF(Upgrades!$T$12="Stellar Coupling",POWER(Upgrades!$U$12,K324),1))*Parameters!$B$10*Parameters!$B$11/60/AI324,0)</f>
        <v/>
      </c>
      <c r="AV324" s="32">
        <f>IFERROR(Upgrades!$H$9*(POWER(Upgrades!$P$6,E324)*POWER(Upgrades!$P$7,F324)*POWER(Upgrades!$P$8,G324)*POWER(Upgrades!$P$9,H324)*POWER(Upgrades!$P$10,I324)*POWER(Upgrades!$P$11,J324)*POWER(Upgrades!$P$12,K324))*(IF(Upgrades!$T$6="Magnetosphere",POWER(Upgrades!$U$6,E324),1)*IF(Upgrades!$T$7="Magnetosphere",POWER(Upgrades!$U$7,F324),1)*IF(Upgrades!$T$8="Magnetosphere",POWER(Upgrades!$U$8,G324),1)*IF(Upgrades!$T$10="Magnetosphere",POWER(Upgrades!$U$10,I324),1)*IF(Upgrades!$T$11="Magnetosphere",POWER(Upgrades!$U$11,J324),1)*IF(Upgrades!$T$12="Magnetosphere",POWER(Upgrades!$U$12,K324),1))/AJ324,0)</f>
        <v/>
      </c>
      <c r="AW324" s="32">
        <f>MAX(IF(I324&gt;0,0,IFERROR(0.25*N324/Upgrades!$C$10,0)),IF(J324&gt;0,0,IFERROR(0.5*((IF(G324=0,0,(Upgrades!$J$8+G324*Upgrades!$K$8)*POWER(Upgrades!$L$8,G324)))*(IF(Upgrades!$T$6="Stellar Coupling",POWER(Upgrades!$U$6,E324),1)*IF(Upgrades!$T$7="Stellar Coupling",POWER(Upgrades!$U$7,F324),1)*IF(Upgrades!$T$9="Stellar Coupling",POWER(Upgrades!$U$9,H324),1)*IF(Upgrades!$T$10="Stellar Coupling",POWER(Upgrades!$U$10,I324),1)*IF(Upgrades!$T$11="Stellar Coupling",POWER(Upgrades!$U$11,J324),1)*IF(Upgrades!$T$12="Stellar Coupling",POWER(Upgrades!$U$12,K324),1))*(POWER(Upgrades!$Q$6,E324)*POWER(Upgrades!$Q$7,F324)*POWER(Upgrades!$Q$8,G324)*POWER(Upgrades!$Q$9,H324)*POWER(Upgrades!$Q$10,I324)*POWER(Upgrades!$Q$11,J324)*POWER(Upgrades!$Q$12,K324))*Parameters!$B$10*Parameters!$B$11/60)/Upgrades!$C$11,0)),IF(K324&gt;0,0,IFERROR((1.0*(POWER(Upgrades!$P$6,E324)*POWER(Upgrades!$P$7,F324)*POWER(Upgrades!$P$8,G324)*POWER(Upgrades!$P$9,H324)*POWER(Upgrades!$P$10,I324)*POWER(Upgrades!$P$11,J324)*POWER(Upgrades!$P$12,K324))+0.20*M324*Parameters!$B$10*Parameters!$B$11/60)/Upgrades!$C$12,0)),IF(AND(ISNUMBER(AG324),AG324&gt;T324),AS324,0),IF(AND(ISNUMBER(AH324),AH324&gt;T324),AT324,0),IF(AND(ISNUMBER(AI324),AI324&gt;T324),AU324,0),IF(AND(ISNUMBER(AJ324),AJ324&gt;T324),AV324,0))</f>
        <v/>
      </c>
      <c r="AX324" s="29">
        <f>IF(AN324=1,"transition",IF(MIN(IF(AND(I324=0,ISNUMBER(AK324),AK324&lt;=T324),AK324,9E15),IF(AND(J324=0,ISNUMBER(AL324),AL324&lt;=T324),AL324,9E15),IF(AND(K324=0,ISNUMBER(AM324),AM324&lt;=T324),AM324,9E15))&lt;9E15,IF(AND(AND(I324=0,ISNUMBER(AK324),AK324&lt;=T324),AK324=MIN(IF(AND(I324=0,ISNUMBER(AK324),AK324&lt;=T324),AK324,9E15),IF(AND(J324=0,ISNUMBER(AL324),AL324&lt;=T324),AL324,9E15),IF(AND(K324=0,ISNUMBER(AM324),AM324&lt;=T324),AM324,9E15))),"OR",IF(AND(AND(J324=0,ISNUMBER(AL324),AL324&lt;=T324),AL324=MIN(IF(AND(I324=0,ISNUMBER(AK324),AK324&lt;=T324),AK324,9E15),IF(AND(J324=0,ISNUMBER(AL324),AL324&lt;=T324),AL324,9E15),IF(AND(K324=0,ISNUMBER(AM324),AM324&lt;=T324),AM324,9E15))),"HP","FP")),IF(AR324=TRUE,"",IF(MAX(IF(AND(NOT(AND(AO324=1,AN324&lt;&gt;1)),ISNUMBER(AG324),AG324&lt;=T324),AS324,0),IF(AND(NOT(AND(AO324=1,AN324&lt;&gt;1)),ISNUMBER(AH324),AH324&lt;=T324),AT324,0),IF(AND(NOT(AND(AO324=1,AN324&lt;&gt;1)),ISNUMBER(AI324),AI324&lt;=T324),AU324,0),IF(AND(ISNUMBER(AJ324),AJ324&lt;=T324),AV324,0))&lt;=0,"",IF(AND(IF(AND(NOT(AND(AO324=1,AN324&lt;&gt;1)),ISNUMBER(AG324),AG324&lt;=T324),AS324,0)&gt;0,IF(AND(NOT(AND(AO324=1,AN324&lt;&gt;1)),ISNUMBER(AG324),AG324&lt;=T324),AS324,0)=MAX(IF(AND(NOT(AND(AO324=1,AN324&lt;&gt;1)),ISNUMBER(AG324),AG324&lt;=T324),AS324,0),IF(AND(NOT(AND(AO324=1,AN324&lt;&gt;1)),ISNUMBER(AH324),AH324&lt;=T324),AT324,0),IF(AND(NOT(AND(AO324=1,AN324&lt;&gt;1)),ISNUMBER(AI324),AI324&lt;=T324),AU324,0),IF(AND(ISNUMBER(AJ324),AJ324&lt;=T324),AV324,0))),"SW",IF(AND(IF(AND(NOT(AND(AO324=1,AN324&lt;&gt;1)),ISNUMBER(AH324),AH324&lt;=T324),AT324,0)&gt;0,IF(AND(NOT(AND(AO324=1,AN324&lt;&gt;1)),ISNUMBER(AH324),AH324&lt;=T324),AT324,0)=MAX(IF(AND(NOT(AND(AO324=1,AN324&lt;&gt;1)),ISNUMBER(AG324),AG324&lt;=T324),AS324,0),IF(AND(NOT(AND(AO324=1,AN324&lt;&gt;1)),ISNUMBER(AH324),AH324&lt;=T324),AT324,0),IF(AND(NOT(AND(AO324=1,AN324&lt;&gt;1)),ISNUMBER(AI324),AI324&lt;=T324),AU324,0),IF(AND(ISNUMBER(AJ324),AJ324&lt;=T324),AV324,0))),"AB",IF(AND(IF(AND(NOT(AND(AO324=1,AN324&lt;&gt;1)),ISNUMBER(AI324),AI324&lt;=T324),AU324,0)&gt;0,IF(AND(NOT(AND(AO324=1,AN324&lt;&gt;1)),ISNUMBER(AI324),AI324&lt;=T324),AU324,0)=MAX(IF(AND(NOT(AND(AO324=1,AN324&lt;&gt;1)),ISNUMBER(AG324),AG324&lt;=T324),AS324,0),IF(AND(NOT(AND(AO324=1,AN324&lt;&gt;1)),ISNUMBER(AH324),AH324&lt;=T324),AT324,0),IF(AND(NOT(AND(AO324=1,AN324&lt;&gt;1)),ISNUMBER(AI324),AI324&lt;=T324),AU324,0),IF(AND(ISNUMBER(AJ324),AJ324&lt;=T324),AV324,0))),"SC","Mag")))))))</f>
        <v/>
      </c>
    </row>
    <row r="325">
      <c r="A325" s="26" t="n">
        <v>320</v>
      </c>
      <c r="B325" s="27">
        <f>A325*10/60</f>
        <v/>
      </c>
      <c r="C325" s="22">
        <f>X324</f>
        <v/>
      </c>
      <c r="D325" s="27">
        <f>D324+W324</f>
        <v/>
      </c>
      <c r="E325" s="26">
        <f>E324+IF(U324="SW",1,0)</f>
        <v/>
      </c>
      <c r="F325" s="26">
        <f>F324+IF(U324="AB",1,0)</f>
        <v/>
      </c>
      <c r="G325" s="26">
        <f>G324+IF(U324="SC",1,0)</f>
        <v/>
      </c>
      <c r="H325" s="26">
        <f>H324+IF(U324="Mag",1,0)</f>
        <v/>
      </c>
      <c r="I325" s="26">
        <f>MAX(I324,IF(U324="OR",1,0))</f>
        <v/>
      </c>
      <c r="J325" s="26">
        <f>MAX(J324,IF(U324="HP",1,0))</f>
        <v/>
      </c>
      <c r="K325" s="26">
        <f>MAX(K324,IF(U324="FP",1,0))</f>
        <v/>
      </c>
      <c r="L325" s="26">
        <f>MAX(L324,IF(U324="transition",1,0))</f>
        <v/>
      </c>
      <c r="M325" s="28">
        <f>(Parameters!$B$9+(IF(E325=0,0,(Upgrades!$J$6+E325*Upgrades!$K$6)*POWER(Upgrades!$L$6,E325)))*(IF(Upgrades!$T$7="Solar Wind",POWER(Upgrades!$U$7,F325),1)*IF(Upgrades!$T$8="Solar Wind",POWER(Upgrades!$U$8,G325),1)*IF(Upgrades!$T$9="Solar Wind",POWER(Upgrades!$U$9,H325),1)*IF(Upgrades!$T$10="Solar Wind",POWER(Upgrades!$U$10,I325),1)*IF(Upgrades!$T$11="Solar Wind",POWER(Upgrades!$U$11,J325),1)*IF(Upgrades!$T$12="Solar Wind",POWER(Upgrades!$U$12,K325),1))+(IF(F325=0,0,(Upgrades!$J$7+F325*Upgrades!$K$7)*POWER(Upgrades!$L$7,F325)))*(IF(Upgrades!$T$6="Asteroid Belt",POWER(Upgrades!$U$6,E325),1)*IF(Upgrades!$T$8="Asteroid Belt",POWER(Upgrades!$U$8,G325),1)*IF(Upgrades!$T$9="Asteroid Belt",POWER(Upgrades!$U$9,H325),1)*IF(Upgrades!$T$10="Asteroid Belt",POWER(Upgrades!$U$10,I325),1)*IF(Upgrades!$T$11="Asteroid Belt",POWER(Upgrades!$U$11,J325),1)*IF(Upgrades!$T$12="Asteroid Belt",POWER(Upgrades!$U$12,K325),1))+(IF(G325=0,0,(Upgrades!$J$8+G325*Upgrades!$K$8)*POWER(Upgrades!$L$8,G325)))*(IF(Upgrades!$T$6="Stellar Coupling",POWER(Upgrades!$U$6,E325),1)*IF(Upgrades!$T$7="Stellar Coupling",POWER(Upgrades!$U$7,F325),1)*IF(Upgrades!$T$9="Stellar Coupling",POWER(Upgrades!$U$9,H325),1)*IF(Upgrades!$T$10="Stellar Coupling",POWER(Upgrades!$U$10,I325),1)*IF(Upgrades!$T$11="Stellar Coupling",POWER(Upgrades!$U$11,J325),1)*IF(Upgrades!$T$12="Stellar Coupling",POWER(Upgrades!$U$12,K325),1))+(IF(H325=0,0,(Upgrades!$J$9+H325*Upgrades!$K$9)*POWER(Upgrades!$L$9,H325)))*(IF(Upgrades!$T$6="Magnetosphere",POWER(Upgrades!$U$6,E325),1)*IF(Upgrades!$T$7="Magnetosphere",POWER(Upgrades!$U$7,F325),1)*IF(Upgrades!$T$8="Magnetosphere",POWER(Upgrades!$U$8,G325),1)*IF(Upgrades!$T$10="Magnetosphere",POWER(Upgrades!$U$10,I325),1)*IF(Upgrades!$T$11="Magnetosphere",POWER(Upgrades!$U$11,J325),1)*IF(Upgrades!$T$12="Magnetosphere",POWER(Upgrades!$U$12,K325),1))+(IF(I325=0,0,(Upgrades!$J$10+I325*Upgrades!$K$10)*POWER(Upgrades!$L$10,I325)))*(IF(Upgrades!$T$6="Orbital Resonance",POWER(Upgrades!$U$6,E325),1)*IF(Upgrades!$T$7="Orbital Resonance",POWER(Upgrades!$U$7,F325),1)*IF(Upgrades!$T$8="Orbital Resonance",POWER(Upgrades!$U$8,G325),1)*IF(Upgrades!$T$9="Orbital Resonance",POWER(Upgrades!$U$9,H325),1)*IF(Upgrades!$T$11="Orbital Resonance",POWER(Upgrades!$U$11,J325),1)*IF(Upgrades!$T$12="Orbital Resonance",POWER(Upgrades!$U$12,K325),1))+(IF(J325=0,0,(Upgrades!$J$11+J325*Upgrades!$K$11)*POWER(Upgrades!$L$11,J325)))*(IF(Upgrades!$T$6="Heliopause",POWER(Upgrades!$U$6,E325),1)*IF(Upgrades!$T$7="Heliopause",POWER(Upgrades!$U$7,F325),1)*IF(Upgrades!$T$8="Heliopause",POWER(Upgrades!$U$8,G325),1)*IF(Upgrades!$T$9="Heliopause",POWER(Upgrades!$U$9,H325),1)*IF(Upgrades!$T$10="Heliopause",POWER(Upgrades!$U$10,I325),1)*IF(Upgrades!$T$12="Heliopause",POWER(Upgrades!$U$12,K325),1))+(IF(K325=0,0,(Upgrades!$J$12+K325*Upgrades!$K$12)*POWER(Upgrades!$L$12,K325)))*(IF(Upgrades!$T$6="First Photons",POWER(Upgrades!$U$6,E325),1)*IF(Upgrades!$T$7="First Photons",POWER(Upgrades!$U$7,F325),1)*IF(Upgrades!$T$8="First Photons",POWER(Upgrades!$U$8,G325),1)*IF(Upgrades!$T$9="First Photons",POWER(Upgrades!$U$9,H325),1)*IF(Upgrades!$T$10="First Photons",POWER(Upgrades!$U$10,I325),1)*IF(Upgrades!$T$11="First Photons",POWER(Upgrades!$U$11,J325),1)))*POWER(Upgrades!$Q$6,E325)*POWER(Upgrades!$Q$7,F325)*POWER(Upgrades!$Q$8,G325)*POWER(Upgrades!$Q$9,H325)*POWER(Upgrades!$Q$10,I325)*POWER(Upgrades!$Q$11,J325)*POWER(Upgrades!$Q$12,K325)</f>
        <v/>
      </c>
      <c r="N325" s="28">
        <f>((IF(E325=0,0,(Upgrades!$G$6+E325*Upgrades!$H$6)*POWER(Upgrades!$I$6,E325)))*(IF(Upgrades!$T$7="Solar Wind",POWER(Upgrades!$U$7,F325),1)*IF(Upgrades!$T$8="Solar Wind",POWER(Upgrades!$U$8,G325),1)*IF(Upgrades!$T$9="Solar Wind",POWER(Upgrades!$U$9,H325),1)*IF(Upgrades!$T$10="Solar Wind",POWER(Upgrades!$U$10,I325),1)*IF(Upgrades!$T$11="Solar Wind",POWER(Upgrades!$U$11,J325),1)*IF(Upgrades!$T$12="Solar Wind",POWER(Upgrades!$U$12,K325),1))+(IF(F325=0,0,(Upgrades!$G$7+F325*Upgrades!$H$7)*POWER(Upgrades!$I$7,F325)))*(IF(Upgrades!$T$6="Asteroid Belt",POWER(Upgrades!$U$6,E325),1)*IF(Upgrades!$T$8="Asteroid Belt",POWER(Upgrades!$U$8,G325),1)*IF(Upgrades!$T$9="Asteroid Belt",POWER(Upgrades!$U$9,H325),1)*IF(Upgrades!$T$10="Asteroid Belt",POWER(Upgrades!$U$10,I325),1)*IF(Upgrades!$T$11="Asteroid Belt",POWER(Upgrades!$U$11,J325),1)*IF(Upgrades!$T$12="Asteroid Belt",POWER(Upgrades!$U$12,K325),1))+(IF(G325=0,0,(Upgrades!$G$8+G325*Upgrades!$H$8)*POWER(Upgrades!$I$8,G325)))*(IF(Upgrades!$T$6="Stellar Coupling",POWER(Upgrades!$U$6,E325),1)*IF(Upgrades!$T$7="Stellar Coupling",POWER(Upgrades!$U$7,F325),1)*IF(Upgrades!$T$9="Stellar Coupling",POWER(Upgrades!$U$9,H325),1)*IF(Upgrades!$T$10="Stellar Coupling",POWER(Upgrades!$U$10,I325),1)*IF(Upgrades!$T$11="Stellar Coupling",POWER(Upgrades!$U$11,J325),1)*IF(Upgrades!$T$12="Stellar Coupling",POWER(Upgrades!$U$12,K325),1))+(IF(H325=0,0,(Upgrades!$G$9+H325*Upgrades!$H$9)*POWER(Upgrades!$I$9,H325)))*(IF(Upgrades!$T$6="Magnetosphere",POWER(Upgrades!$U$6,E325),1)*IF(Upgrades!$T$7="Magnetosphere",POWER(Upgrades!$U$7,F325),1)*IF(Upgrades!$T$8="Magnetosphere",POWER(Upgrades!$U$8,G325),1)*IF(Upgrades!$T$10="Magnetosphere",POWER(Upgrades!$U$10,I325),1)*IF(Upgrades!$T$11="Magnetosphere",POWER(Upgrades!$U$11,J325),1)*IF(Upgrades!$T$12="Magnetosphere",POWER(Upgrades!$U$12,K325),1))+(IF(I325=0,0,(Upgrades!$G$10+I325*Upgrades!$H$10)*POWER(Upgrades!$I$10,I325)))*(IF(Upgrades!$T$6="Orbital Resonance",POWER(Upgrades!$U$6,E325),1)*IF(Upgrades!$T$7="Orbital Resonance",POWER(Upgrades!$U$7,F325),1)*IF(Upgrades!$T$8="Orbital Resonance",POWER(Upgrades!$U$8,G325),1)*IF(Upgrades!$T$9="Orbital Resonance",POWER(Upgrades!$U$9,H325),1)*IF(Upgrades!$T$11="Orbital Resonance",POWER(Upgrades!$U$11,J325),1)*IF(Upgrades!$T$12="Orbital Resonance",POWER(Upgrades!$U$12,K325),1))+(IF(J325=0,0,(Upgrades!$G$11+J325*Upgrades!$H$11)*POWER(Upgrades!$I$11,J325)))*(IF(Upgrades!$T$6="Heliopause",POWER(Upgrades!$U$6,E325),1)*IF(Upgrades!$T$7="Heliopause",POWER(Upgrades!$U$7,F325),1)*IF(Upgrades!$T$8="Heliopause",POWER(Upgrades!$U$8,G325),1)*IF(Upgrades!$T$9="Heliopause",POWER(Upgrades!$U$9,H325),1)*IF(Upgrades!$T$10="Heliopause",POWER(Upgrades!$U$10,I325),1)*IF(Upgrades!$T$12="Heliopause",POWER(Upgrades!$U$12,K325),1))+(IF(K325=0,0,(Upgrades!$G$12+K325*Upgrades!$H$12)*POWER(Upgrades!$I$12,K325)))*(IF(Upgrades!$T$6="First Photons",POWER(Upgrades!$U$6,E325),1)*IF(Upgrades!$T$7="First Photons",POWER(Upgrades!$U$7,F325),1)*IF(Upgrades!$T$8="First Photons",POWER(Upgrades!$U$8,G325),1)*IF(Upgrades!$T$9="First Photons",POWER(Upgrades!$U$9,H325),1)*IF(Upgrades!$T$10="First Photons",POWER(Upgrades!$U$10,I325),1)*IF(Upgrades!$T$11="First Photons",POWER(Upgrades!$U$11,J325),1)))*POWER(Upgrades!$P$6,E325)*POWER(Upgrades!$P$7,F325)*POWER(Upgrades!$P$8,G325)*POWER(Upgrades!$P$9,H325)*POWER(Upgrades!$P$10,I325)*POWER(Upgrades!$P$11,J325)*POWER(Upgrades!$P$12,K325)</f>
        <v/>
      </c>
      <c r="O325" s="28">
        <f>((IF(E325=0,0,(Upgrades!$M$6+E325*Upgrades!$N$6)*POWER(Upgrades!$O$6,E325)))*(IF(Upgrades!$T$7="Solar Wind",POWER(Upgrades!$U$7,F325),1)*IF(Upgrades!$T$8="Solar Wind",POWER(Upgrades!$U$8,G325),1)*IF(Upgrades!$T$9="Solar Wind",POWER(Upgrades!$U$9,H325),1)*IF(Upgrades!$T$10="Solar Wind",POWER(Upgrades!$U$10,I325),1)*IF(Upgrades!$T$11="Solar Wind",POWER(Upgrades!$U$11,J325),1)*IF(Upgrades!$T$12="Solar Wind",POWER(Upgrades!$U$12,K325),1))+(IF(F325=0,0,(Upgrades!$M$7+F325*Upgrades!$N$7)*POWER(Upgrades!$O$7,F325)))*(IF(Upgrades!$T$6="Asteroid Belt",POWER(Upgrades!$U$6,E325),1)*IF(Upgrades!$T$8="Asteroid Belt",POWER(Upgrades!$U$8,G325),1)*IF(Upgrades!$T$9="Asteroid Belt",POWER(Upgrades!$U$9,H325),1)*IF(Upgrades!$T$10="Asteroid Belt",POWER(Upgrades!$U$10,I325),1)*IF(Upgrades!$T$11="Asteroid Belt",POWER(Upgrades!$U$11,J325),1)*IF(Upgrades!$T$12="Asteroid Belt",POWER(Upgrades!$U$12,K325),1))+(IF(G325=0,0,(Upgrades!$M$8+G325*Upgrades!$N$8)*POWER(Upgrades!$O$8,G325)))*(IF(Upgrades!$T$6="Stellar Coupling",POWER(Upgrades!$U$6,E325),1)*IF(Upgrades!$T$7="Stellar Coupling",POWER(Upgrades!$U$7,F325),1)*IF(Upgrades!$T$9="Stellar Coupling",POWER(Upgrades!$U$9,H325),1)*IF(Upgrades!$T$10="Stellar Coupling",POWER(Upgrades!$U$10,I325),1)*IF(Upgrades!$T$11="Stellar Coupling",POWER(Upgrades!$U$11,J325),1)*IF(Upgrades!$T$12="Stellar Coupling",POWER(Upgrades!$U$12,K325),1))+(IF(H325=0,0,(Upgrades!$M$9+H325*Upgrades!$N$9)*POWER(Upgrades!$O$9,H325)))*(IF(Upgrades!$T$6="Magnetosphere",POWER(Upgrades!$U$6,E325),1)*IF(Upgrades!$T$7="Magnetosphere",POWER(Upgrades!$U$7,F325),1)*IF(Upgrades!$T$8="Magnetosphere",POWER(Upgrades!$U$8,G325),1)*IF(Upgrades!$T$10="Magnetosphere",POWER(Upgrades!$U$10,I325),1)*IF(Upgrades!$T$11="Magnetosphere",POWER(Upgrades!$U$11,J325),1)*IF(Upgrades!$T$12="Magnetosphere",POWER(Upgrades!$U$12,K325),1))+(IF(I325=0,0,(Upgrades!$M$10+I325*Upgrades!$N$10)*POWER(Upgrades!$O$10,I325)))*(IF(Upgrades!$T$6="Orbital Resonance",POWER(Upgrades!$U$6,E325),1)*IF(Upgrades!$T$7="Orbital Resonance",POWER(Upgrades!$U$7,F325),1)*IF(Upgrades!$T$8="Orbital Resonance",POWER(Upgrades!$U$8,G325),1)*IF(Upgrades!$T$9="Orbital Resonance",POWER(Upgrades!$U$9,H325),1)*IF(Upgrades!$T$11="Orbital Resonance",POWER(Upgrades!$U$11,J325),1)*IF(Upgrades!$T$12="Orbital Resonance",POWER(Upgrades!$U$12,K325),1))+(IF(J325=0,0,(Upgrades!$M$11+J325*Upgrades!$N$11)*POWER(Upgrades!$O$11,J325)))*(IF(Upgrades!$T$6="Heliopause",POWER(Upgrades!$U$6,E325),1)*IF(Upgrades!$T$7="Heliopause",POWER(Upgrades!$U$7,F325),1)*IF(Upgrades!$T$8="Heliopause",POWER(Upgrades!$U$8,G325),1)*IF(Upgrades!$T$9="Heliopause",POWER(Upgrades!$U$9,H325),1)*IF(Upgrades!$T$10="Heliopause",POWER(Upgrades!$U$10,I325),1)*IF(Upgrades!$T$12="Heliopause",POWER(Upgrades!$U$12,K325),1))+(IF(K325=0,0,(Upgrades!$M$12+K325*Upgrades!$N$12)*POWER(Upgrades!$O$12,K325)))*(IF(Upgrades!$T$6="First Photons",POWER(Upgrades!$U$6,E325),1)*IF(Upgrades!$T$7="First Photons",POWER(Upgrades!$U$7,F325),1)*IF(Upgrades!$T$8="First Photons",POWER(Upgrades!$U$8,G325),1)*IF(Upgrades!$T$9="First Photons",POWER(Upgrades!$U$9,H325),1)*IF(Upgrades!$T$10="First Photons",POWER(Upgrades!$U$10,I325),1)*IF(Upgrades!$T$11="First Photons",POWER(Upgrades!$U$11,J325),1)))*POWER(Upgrades!$R$6,E325)*POWER(Upgrades!$R$7,F325)*POWER(Upgrades!$R$8,G325)*POWER(Upgrades!$R$9,H325)*POWER(Upgrades!$R$10,I325)*POWER(Upgrades!$R$11,J325)*POWER(Upgrades!$R$12,K325)</f>
        <v/>
      </c>
      <c r="P325" s="27">
        <f>IF(L325=1,0,M325*Parameters!$B$10/60*Parameters!$B$11*10)</f>
        <v/>
      </c>
      <c r="Q325" s="27">
        <f>IF(L325=1,0,O325*M325*10)</f>
        <v/>
      </c>
      <c r="R325" s="27">
        <f>IF(L325=1,0,N325*10)</f>
        <v/>
      </c>
      <c r="S325" s="27">
        <f>P325+Q325+R325</f>
        <v/>
      </c>
      <c r="T325" s="22">
        <f>C325+S325</f>
        <v/>
      </c>
      <c r="U325" s="33">
        <f>AX325</f>
        <v/>
      </c>
      <c r="V325" s="22">
        <f>IF(U325="",0,IF(U325="transition",0,IF(U325="SW",AG325,IF(U325="AB",AH325,IF(U325="SC",AI325,IF(U325="Mag",AJ325,IF(U325="OR",AK325,IF(U325="HP",AL325,IF(U325="FP",AM325,0)))))))))</f>
        <v/>
      </c>
      <c r="W325" s="27">
        <f>IF(U325="OR",Upgrades!$F$10,IF(U325="HP",Upgrades!$F$11,IF(U325="transition",-Parameters!$B$18,0)))</f>
        <v/>
      </c>
      <c r="X325" s="22">
        <f>T325-V325</f>
        <v/>
      </c>
      <c r="Y325" s="30">
        <f>M325*Parameters!$B$10/60*Parameters!$B$11+O325*M325+N325</f>
        <v/>
      </c>
      <c r="Z325" s="34">
        <f>IF(U325="transition","→ Tier 2 (Stellar Neighborhood)",IF(U325="FP","First Photons — light begins, system quickens",IF(U325="HP","Heliopause acquired",IF(U325="OR","Orbital Resonance — passive multiplier active",IF(AND(AO325=1,L325=0,AN325&lt;&gt;1),"Cohesion ready (waiting on completionist upgrades)","")))))</f>
        <v/>
      </c>
      <c r="AA325" s="27">
        <f>(IF(E325=0,0,(Upgrades!$G$6+E325*Upgrades!$H$6)*POWER(Upgrades!$I$6,E325)))*(IF(Upgrades!$T$7="Solar Wind",POWER(Upgrades!$U$7,F325),1)*IF(Upgrades!$T$8="Solar Wind",POWER(Upgrades!$U$8,G325),1)*IF(Upgrades!$T$9="Solar Wind",POWER(Upgrades!$U$9,H325),1)*IF(Upgrades!$T$10="Solar Wind",POWER(Upgrades!$U$10,I325),1)*IF(Upgrades!$T$11="Solar Wind",POWER(Upgrades!$U$11,J325),1)*IF(Upgrades!$T$12="Solar Wind",POWER(Upgrades!$U$12,K325),1))*POWER(Upgrades!$P$6,E325)*POWER(Upgrades!$P$7,F325)*POWER(Upgrades!$P$8,G325)*POWER(Upgrades!$P$9,H325)*POWER(Upgrades!$P$10,I325)*POWER(Upgrades!$P$11,J325)*POWER(Upgrades!$P$12,K325)*60</f>
        <v/>
      </c>
      <c r="AB325" s="27">
        <f>(IF(F325=0,0,(Upgrades!$G$7+F325*Upgrades!$H$7)*POWER(Upgrades!$I$7,F325)))*(IF(Upgrades!$T$6="Asteroid Belt",POWER(Upgrades!$U$6,E325),1)*IF(Upgrades!$T$8="Asteroid Belt",POWER(Upgrades!$U$8,G325),1)*IF(Upgrades!$T$9="Asteroid Belt",POWER(Upgrades!$U$9,H325),1)*IF(Upgrades!$T$10="Asteroid Belt",POWER(Upgrades!$U$10,I325),1)*IF(Upgrades!$T$11="Asteroid Belt",POWER(Upgrades!$U$11,J325),1)*IF(Upgrades!$T$12="Asteroid Belt",POWER(Upgrades!$U$12,K325),1))*POWER(Upgrades!$P$6,E325)*POWER(Upgrades!$P$7,F325)*POWER(Upgrades!$P$8,G325)*POWER(Upgrades!$P$9,H325)*POWER(Upgrades!$P$10,I325)*POWER(Upgrades!$P$11,J325)*POWER(Upgrades!$P$12,K325)*60</f>
        <v/>
      </c>
      <c r="AC325" s="27">
        <f>(IF(G325=0,0,(Upgrades!$J$8+G325*Upgrades!$K$8)*POWER(Upgrades!$L$8,G325)))*(IF(Upgrades!$T$6="Stellar Coupling",POWER(Upgrades!$U$6,E325),1)*IF(Upgrades!$T$7="Stellar Coupling",POWER(Upgrades!$U$7,F325),1)*IF(Upgrades!$T$9="Stellar Coupling",POWER(Upgrades!$U$9,H325),1)*IF(Upgrades!$T$10="Stellar Coupling",POWER(Upgrades!$U$10,I325),1)*IF(Upgrades!$T$11="Stellar Coupling",POWER(Upgrades!$U$11,J325),1)*IF(Upgrades!$T$12="Stellar Coupling",POWER(Upgrades!$U$12,K325),1))*POWER(Upgrades!$Q$6,E325)*POWER(Upgrades!$Q$7,F325)*POWER(Upgrades!$Q$8,G325)*POWER(Upgrades!$Q$9,H325)*POWER(Upgrades!$Q$10,I325)*POWER(Upgrades!$Q$11,J325)*POWER(Upgrades!$Q$12,K325)*Parameters!$B$10*Parameters!$B$11</f>
        <v/>
      </c>
      <c r="AD325" s="27">
        <f>(IF(H325=0,0,(Upgrades!$G$9+H325*Upgrades!$H$9)*POWER(Upgrades!$I$9,H325)))*(IF(Upgrades!$T$6="Magnetosphere",POWER(Upgrades!$U$6,E325),1)*IF(Upgrades!$T$7="Magnetosphere",POWER(Upgrades!$U$7,F325),1)*IF(Upgrades!$T$8="Magnetosphere",POWER(Upgrades!$U$8,G325),1)*IF(Upgrades!$T$10="Magnetosphere",POWER(Upgrades!$U$10,I325),1)*IF(Upgrades!$T$11="Magnetosphere",POWER(Upgrades!$U$11,J325),1)*IF(Upgrades!$T$12="Magnetosphere",POWER(Upgrades!$U$12,K325),1))*POWER(Upgrades!$P$6,E325)*POWER(Upgrades!$P$7,F325)*POWER(Upgrades!$P$8,G325)*POWER(Upgrades!$P$9,H325)*POWER(Upgrades!$P$10,I325)*POWER(Upgrades!$P$11,J325)*POWER(Upgrades!$P$12,K325)*60</f>
        <v/>
      </c>
      <c r="AE325" s="27">
        <f>(IF(K325=0,0,(Upgrades!$G$12+K325*Upgrades!$H$12)*POWER(Upgrades!$I$12,K325)))*(IF(Upgrades!$T$6="First Photons",POWER(Upgrades!$U$6,E325),1)*IF(Upgrades!$T$7="First Photons",POWER(Upgrades!$U$7,F325),1)*IF(Upgrades!$T$8="First Photons",POWER(Upgrades!$U$8,G325),1)*IF(Upgrades!$T$9="First Photons",POWER(Upgrades!$U$9,H325),1)*IF(Upgrades!$T$10="First Photons",POWER(Upgrades!$U$10,I325),1)*IF(Upgrades!$T$11="First Photons",POWER(Upgrades!$U$11,J325),1))*POWER(Upgrades!$P$6,E325)*POWER(Upgrades!$P$7,F325)*POWER(Upgrades!$P$8,G325)*POWER(Upgrades!$P$9,H325)*POWER(Upgrades!$P$10,I325)*POWER(Upgrades!$P$11,J325)*POWER(Upgrades!$P$12,K325)*60</f>
        <v/>
      </c>
      <c r="AF325" s="27">
        <f>Parameters!$B$9*POWER(Upgrades!$Q$6,E325)*POWER(Upgrades!$Q$7,F325)*POWER(Upgrades!$Q$8,G325)*POWER(Upgrades!$Q$9,H325)*POWER(Upgrades!$Q$10,I325)*POWER(Upgrades!$Q$11,J325)*POWER(Upgrades!$Q$12,K325)*(Parameters!$B$10*Parameters!$B$11+O325*60)</f>
        <v/>
      </c>
      <c r="AG325" s="22">
        <f>IF(E325&gt;=Upgrades!$E$6,"",Upgrades!$C$6*POWER(Upgrades!$D$6,E325))</f>
        <v/>
      </c>
      <c r="AH325" s="22">
        <f>IF(F325&gt;=Upgrades!$E$7,"",Upgrades!$C$7*POWER(Upgrades!$D$7,F325))</f>
        <v/>
      </c>
      <c r="AI325" s="22">
        <f>IF(G325&gt;=Upgrades!$E$8,"",Upgrades!$C$8*POWER(Upgrades!$D$8,G325))</f>
        <v/>
      </c>
      <c r="AJ325" s="22">
        <f>IF(H325&gt;=Upgrades!$E$9,"",Upgrades!$C$9*POWER(Upgrades!$D$9,H325))</f>
        <v/>
      </c>
      <c r="AK325" s="22">
        <f>IF(I325&gt;=Upgrades!$E$10,"",Upgrades!$C$10*POWER(Upgrades!$D$10,I325))</f>
        <v/>
      </c>
      <c r="AL325" s="22">
        <f>IF(J325&gt;=Upgrades!$E$11,"",Upgrades!$C$11*POWER(Upgrades!$D$11,J325))</f>
        <v/>
      </c>
      <c r="AM325" s="22">
        <f>IF(K325&gt;=Upgrades!$E$12,"",Upgrades!$C$12*POWER(Upgrades!$D$12,K325))</f>
        <v/>
      </c>
      <c r="AN325" s="26">
        <f>IF(AND(D325&gt;=Parameters!$B$18,(H325&gt;=Upgrades!$E$9)*(K325&gt;=Upgrades!$E$12)=1,L325=0),1,"")</f>
        <v/>
      </c>
      <c r="AO325" s="26">
        <f>IF(AND(D325&gt;=Parameters!$B$18,L325=0),1,"")</f>
        <v/>
      </c>
      <c r="AP325" s="22">
        <f>MIN(IF(ISNUMBER(AK325),AK325,9E15),IF(ISNUMBER(AL325),AL325,9E15),IF(ISNUMBER(AM325),AM325,9E15))</f>
        <v/>
      </c>
      <c r="AQ325" s="22">
        <f>MIN(IF(ISNUMBER(AG325),AG325,9E15),IF(ISNUMBER(AH325),AH325,9E15),IF(ISNUMBER(AI325),AI325,9E15),IF(ISNUMBER(AJ325),AJ325,9E15))</f>
        <v/>
      </c>
      <c r="AR325" s="29">
        <f>IF(AW325&gt;Parameters!$B$21*(MAX(IF(AND(NOT(AND(AO325=1,AN325&lt;&gt;1)),ISNUMBER(AG325),AG325&lt;=T325),AS325,0),IF(AND(NOT(AND(AO325=1,AN325&lt;&gt;1)),ISNUMBER(AH325),AH325&lt;=T325),AT325,0),IF(AND(NOT(AND(AO325=1,AN325&lt;&gt;1)),ISNUMBER(AI325),AI325&lt;=T325),AU325,0),IF(AND(ISNUMBER(AJ325),AJ325&lt;=T325),AV325,0))),TRUE,FALSE)</f>
        <v/>
      </c>
      <c r="AS325" s="32">
        <f>IFERROR(Upgrades!$H$6*(POWER(Upgrades!$P$6,E325)*POWER(Upgrades!$P$7,F325)*POWER(Upgrades!$P$8,G325)*POWER(Upgrades!$P$9,H325)*POWER(Upgrades!$P$10,I325)*POWER(Upgrades!$P$11,J325)*POWER(Upgrades!$P$12,K325))*(IF(Upgrades!$T$7="Solar Wind",POWER(Upgrades!$U$7,F325),1)*IF(Upgrades!$T$8="Solar Wind",POWER(Upgrades!$U$8,G325),1)*IF(Upgrades!$T$9="Solar Wind",POWER(Upgrades!$U$9,H325),1)*IF(Upgrades!$T$10="Solar Wind",POWER(Upgrades!$U$10,I325),1)*IF(Upgrades!$T$11="Solar Wind",POWER(Upgrades!$U$11,J325),1)*IF(Upgrades!$T$12="Solar Wind",POWER(Upgrades!$U$12,K325),1))/AG325,0)</f>
        <v/>
      </c>
      <c r="AT325" s="32">
        <f>IFERROR(Upgrades!$H$7*(POWER(Upgrades!$P$6,E325)*POWER(Upgrades!$P$7,F325)*POWER(Upgrades!$P$8,G325)*POWER(Upgrades!$P$9,H325)*POWER(Upgrades!$P$10,I325)*POWER(Upgrades!$P$11,J325)*POWER(Upgrades!$P$12,K325))*(IF(Upgrades!$T$6="Asteroid Belt",POWER(Upgrades!$U$6,E325),1)*IF(Upgrades!$T$8="Asteroid Belt",POWER(Upgrades!$U$8,G325),1)*IF(Upgrades!$T$9="Asteroid Belt",POWER(Upgrades!$U$9,H325),1)*IF(Upgrades!$T$10="Asteroid Belt",POWER(Upgrades!$U$10,I325),1)*IF(Upgrades!$T$11="Asteroid Belt",POWER(Upgrades!$U$11,J325),1)*IF(Upgrades!$T$12="Asteroid Belt",POWER(Upgrades!$U$12,K325),1))/AH325,0)</f>
        <v/>
      </c>
      <c r="AU325" s="32">
        <f>IFERROR(Upgrades!$K$8*(POWER(Upgrades!$Q$6,E325)*POWER(Upgrades!$Q$7,F325)*POWER(Upgrades!$Q$8,G325)*POWER(Upgrades!$Q$9,H325)*POWER(Upgrades!$Q$10,I325)*POWER(Upgrades!$Q$11,J325)*POWER(Upgrades!$Q$12,K325))*(IF(Upgrades!$T$6="Stellar Coupling",POWER(Upgrades!$U$6,E325),1)*IF(Upgrades!$T$7="Stellar Coupling",POWER(Upgrades!$U$7,F325),1)*IF(Upgrades!$T$9="Stellar Coupling",POWER(Upgrades!$U$9,H325),1)*IF(Upgrades!$T$10="Stellar Coupling",POWER(Upgrades!$U$10,I325),1)*IF(Upgrades!$T$11="Stellar Coupling",POWER(Upgrades!$U$11,J325),1)*IF(Upgrades!$T$12="Stellar Coupling",POWER(Upgrades!$U$12,K325),1))*Parameters!$B$10*Parameters!$B$11/60/AI325,0)</f>
        <v/>
      </c>
      <c r="AV325" s="32">
        <f>IFERROR(Upgrades!$H$9*(POWER(Upgrades!$P$6,E325)*POWER(Upgrades!$P$7,F325)*POWER(Upgrades!$P$8,G325)*POWER(Upgrades!$P$9,H325)*POWER(Upgrades!$P$10,I325)*POWER(Upgrades!$P$11,J325)*POWER(Upgrades!$P$12,K325))*(IF(Upgrades!$T$6="Magnetosphere",POWER(Upgrades!$U$6,E325),1)*IF(Upgrades!$T$7="Magnetosphere",POWER(Upgrades!$U$7,F325),1)*IF(Upgrades!$T$8="Magnetosphere",POWER(Upgrades!$U$8,G325),1)*IF(Upgrades!$T$10="Magnetosphere",POWER(Upgrades!$U$10,I325),1)*IF(Upgrades!$T$11="Magnetosphere",POWER(Upgrades!$U$11,J325),1)*IF(Upgrades!$T$12="Magnetosphere",POWER(Upgrades!$U$12,K325),1))/AJ325,0)</f>
        <v/>
      </c>
      <c r="AW325" s="32">
        <f>MAX(IF(I325&gt;0,0,IFERROR(0.25*N325/Upgrades!$C$10,0)),IF(J325&gt;0,0,IFERROR(0.5*((IF(G325=0,0,(Upgrades!$J$8+G325*Upgrades!$K$8)*POWER(Upgrades!$L$8,G325)))*(IF(Upgrades!$T$6="Stellar Coupling",POWER(Upgrades!$U$6,E325),1)*IF(Upgrades!$T$7="Stellar Coupling",POWER(Upgrades!$U$7,F325),1)*IF(Upgrades!$T$9="Stellar Coupling",POWER(Upgrades!$U$9,H325),1)*IF(Upgrades!$T$10="Stellar Coupling",POWER(Upgrades!$U$10,I325),1)*IF(Upgrades!$T$11="Stellar Coupling",POWER(Upgrades!$U$11,J325),1)*IF(Upgrades!$T$12="Stellar Coupling",POWER(Upgrades!$U$12,K325),1))*(POWER(Upgrades!$Q$6,E325)*POWER(Upgrades!$Q$7,F325)*POWER(Upgrades!$Q$8,G325)*POWER(Upgrades!$Q$9,H325)*POWER(Upgrades!$Q$10,I325)*POWER(Upgrades!$Q$11,J325)*POWER(Upgrades!$Q$12,K325))*Parameters!$B$10*Parameters!$B$11/60)/Upgrades!$C$11,0)),IF(K325&gt;0,0,IFERROR((1.0*(POWER(Upgrades!$P$6,E325)*POWER(Upgrades!$P$7,F325)*POWER(Upgrades!$P$8,G325)*POWER(Upgrades!$P$9,H325)*POWER(Upgrades!$P$10,I325)*POWER(Upgrades!$P$11,J325)*POWER(Upgrades!$P$12,K325))+0.20*M325*Parameters!$B$10*Parameters!$B$11/60)/Upgrades!$C$12,0)),IF(AND(ISNUMBER(AG325),AG325&gt;T325),AS325,0),IF(AND(ISNUMBER(AH325),AH325&gt;T325),AT325,0),IF(AND(ISNUMBER(AI325),AI325&gt;T325),AU325,0),IF(AND(ISNUMBER(AJ325),AJ325&gt;T325),AV325,0))</f>
        <v/>
      </c>
      <c r="AX325" s="29">
        <f>IF(AN325=1,"transition",IF(MIN(IF(AND(I325=0,ISNUMBER(AK325),AK325&lt;=T325),AK325,9E15),IF(AND(J325=0,ISNUMBER(AL325),AL325&lt;=T325),AL325,9E15),IF(AND(K325=0,ISNUMBER(AM325),AM325&lt;=T325),AM325,9E15))&lt;9E15,IF(AND(AND(I325=0,ISNUMBER(AK325),AK325&lt;=T325),AK325=MIN(IF(AND(I325=0,ISNUMBER(AK325),AK325&lt;=T325),AK325,9E15),IF(AND(J325=0,ISNUMBER(AL325),AL325&lt;=T325),AL325,9E15),IF(AND(K325=0,ISNUMBER(AM325),AM325&lt;=T325),AM325,9E15))),"OR",IF(AND(AND(J325=0,ISNUMBER(AL325),AL325&lt;=T325),AL325=MIN(IF(AND(I325=0,ISNUMBER(AK325),AK325&lt;=T325),AK325,9E15),IF(AND(J325=0,ISNUMBER(AL325),AL325&lt;=T325),AL325,9E15),IF(AND(K325=0,ISNUMBER(AM325),AM325&lt;=T325),AM325,9E15))),"HP","FP")),IF(AR325=TRUE,"",IF(MAX(IF(AND(NOT(AND(AO325=1,AN325&lt;&gt;1)),ISNUMBER(AG325),AG325&lt;=T325),AS325,0),IF(AND(NOT(AND(AO325=1,AN325&lt;&gt;1)),ISNUMBER(AH325),AH325&lt;=T325),AT325,0),IF(AND(NOT(AND(AO325=1,AN325&lt;&gt;1)),ISNUMBER(AI325),AI325&lt;=T325),AU325,0),IF(AND(ISNUMBER(AJ325),AJ325&lt;=T325),AV325,0))&lt;=0,"",IF(AND(IF(AND(NOT(AND(AO325=1,AN325&lt;&gt;1)),ISNUMBER(AG325),AG325&lt;=T325),AS325,0)&gt;0,IF(AND(NOT(AND(AO325=1,AN325&lt;&gt;1)),ISNUMBER(AG325),AG325&lt;=T325),AS325,0)=MAX(IF(AND(NOT(AND(AO325=1,AN325&lt;&gt;1)),ISNUMBER(AG325),AG325&lt;=T325),AS325,0),IF(AND(NOT(AND(AO325=1,AN325&lt;&gt;1)),ISNUMBER(AH325),AH325&lt;=T325),AT325,0),IF(AND(NOT(AND(AO325=1,AN325&lt;&gt;1)),ISNUMBER(AI325),AI325&lt;=T325),AU325,0),IF(AND(ISNUMBER(AJ325),AJ325&lt;=T325),AV325,0))),"SW",IF(AND(IF(AND(NOT(AND(AO325=1,AN325&lt;&gt;1)),ISNUMBER(AH325),AH325&lt;=T325),AT325,0)&gt;0,IF(AND(NOT(AND(AO325=1,AN325&lt;&gt;1)),ISNUMBER(AH325),AH325&lt;=T325),AT325,0)=MAX(IF(AND(NOT(AND(AO325=1,AN325&lt;&gt;1)),ISNUMBER(AG325),AG325&lt;=T325),AS325,0),IF(AND(NOT(AND(AO325=1,AN325&lt;&gt;1)),ISNUMBER(AH325),AH325&lt;=T325),AT325,0),IF(AND(NOT(AND(AO325=1,AN325&lt;&gt;1)),ISNUMBER(AI325),AI325&lt;=T325),AU325,0),IF(AND(ISNUMBER(AJ325),AJ325&lt;=T325),AV325,0))),"AB",IF(AND(IF(AND(NOT(AND(AO325=1,AN325&lt;&gt;1)),ISNUMBER(AI325),AI325&lt;=T325),AU325,0)&gt;0,IF(AND(NOT(AND(AO325=1,AN325&lt;&gt;1)),ISNUMBER(AI325),AI325&lt;=T325),AU325,0)=MAX(IF(AND(NOT(AND(AO325=1,AN325&lt;&gt;1)),ISNUMBER(AG325),AG325&lt;=T325),AS325,0),IF(AND(NOT(AND(AO325=1,AN325&lt;&gt;1)),ISNUMBER(AH325),AH325&lt;=T325),AT325,0),IF(AND(NOT(AND(AO325=1,AN325&lt;&gt;1)),ISNUMBER(AI325),AI325&lt;=T325),AU325,0),IF(AND(ISNUMBER(AJ325),AJ325&lt;=T325),AV325,0))),"SC","Mag")))))))</f>
        <v/>
      </c>
    </row>
    <row r="326">
      <c r="A326" s="26" t="n">
        <v>321</v>
      </c>
      <c r="B326" s="27">
        <f>A326*10/60</f>
        <v/>
      </c>
      <c r="C326" s="22">
        <f>X325</f>
        <v/>
      </c>
      <c r="D326" s="27">
        <f>D325+W325</f>
        <v/>
      </c>
      <c r="E326" s="26">
        <f>E325+IF(U325="SW",1,0)</f>
        <v/>
      </c>
      <c r="F326" s="26">
        <f>F325+IF(U325="AB",1,0)</f>
        <v/>
      </c>
      <c r="G326" s="26">
        <f>G325+IF(U325="SC",1,0)</f>
        <v/>
      </c>
      <c r="H326" s="26">
        <f>H325+IF(U325="Mag",1,0)</f>
        <v/>
      </c>
      <c r="I326" s="26">
        <f>MAX(I325,IF(U325="OR",1,0))</f>
        <v/>
      </c>
      <c r="J326" s="26">
        <f>MAX(J325,IF(U325="HP",1,0))</f>
        <v/>
      </c>
      <c r="K326" s="26">
        <f>MAX(K325,IF(U325="FP",1,0))</f>
        <v/>
      </c>
      <c r="L326" s="26">
        <f>MAX(L325,IF(U325="transition",1,0))</f>
        <v/>
      </c>
      <c r="M326" s="28">
        <f>(Parameters!$B$9+(IF(E326=0,0,(Upgrades!$J$6+E326*Upgrades!$K$6)*POWER(Upgrades!$L$6,E326)))*(IF(Upgrades!$T$7="Solar Wind",POWER(Upgrades!$U$7,F326),1)*IF(Upgrades!$T$8="Solar Wind",POWER(Upgrades!$U$8,G326),1)*IF(Upgrades!$T$9="Solar Wind",POWER(Upgrades!$U$9,H326),1)*IF(Upgrades!$T$10="Solar Wind",POWER(Upgrades!$U$10,I326),1)*IF(Upgrades!$T$11="Solar Wind",POWER(Upgrades!$U$11,J326),1)*IF(Upgrades!$T$12="Solar Wind",POWER(Upgrades!$U$12,K326),1))+(IF(F326=0,0,(Upgrades!$J$7+F326*Upgrades!$K$7)*POWER(Upgrades!$L$7,F326)))*(IF(Upgrades!$T$6="Asteroid Belt",POWER(Upgrades!$U$6,E326),1)*IF(Upgrades!$T$8="Asteroid Belt",POWER(Upgrades!$U$8,G326),1)*IF(Upgrades!$T$9="Asteroid Belt",POWER(Upgrades!$U$9,H326),1)*IF(Upgrades!$T$10="Asteroid Belt",POWER(Upgrades!$U$10,I326),1)*IF(Upgrades!$T$11="Asteroid Belt",POWER(Upgrades!$U$11,J326),1)*IF(Upgrades!$T$12="Asteroid Belt",POWER(Upgrades!$U$12,K326),1))+(IF(G326=0,0,(Upgrades!$J$8+G326*Upgrades!$K$8)*POWER(Upgrades!$L$8,G326)))*(IF(Upgrades!$T$6="Stellar Coupling",POWER(Upgrades!$U$6,E326),1)*IF(Upgrades!$T$7="Stellar Coupling",POWER(Upgrades!$U$7,F326),1)*IF(Upgrades!$T$9="Stellar Coupling",POWER(Upgrades!$U$9,H326),1)*IF(Upgrades!$T$10="Stellar Coupling",POWER(Upgrades!$U$10,I326),1)*IF(Upgrades!$T$11="Stellar Coupling",POWER(Upgrades!$U$11,J326),1)*IF(Upgrades!$T$12="Stellar Coupling",POWER(Upgrades!$U$12,K326),1))+(IF(H326=0,0,(Upgrades!$J$9+H326*Upgrades!$K$9)*POWER(Upgrades!$L$9,H326)))*(IF(Upgrades!$T$6="Magnetosphere",POWER(Upgrades!$U$6,E326),1)*IF(Upgrades!$T$7="Magnetosphere",POWER(Upgrades!$U$7,F326),1)*IF(Upgrades!$T$8="Magnetosphere",POWER(Upgrades!$U$8,G326),1)*IF(Upgrades!$T$10="Magnetosphere",POWER(Upgrades!$U$10,I326),1)*IF(Upgrades!$T$11="Magnetosphere",POWER(Upgrades!$U$11,J326),1)*IF(Upgrades!$T$12="Magnetosphere",POWER(Upgrades!$U$12,K326),1))+(IF(I326=0,0,(Upgrades!$J$10+I326*Upgrades!$K$10)*POWER(Upgrades!$L$10,I326)))*(IF(Upgrades!$T$6="Orbital Resonance",POWER(Upgrades!$U$6,E326),1)*IF(Upgrades!$T$7="Orbital Resonance",POWER(Upgrades!$U$7,F326),1)*IF(Upgrades!$T$8="Orbital Resonance",POWER(Upgrades!$U$8,G326),1)*IF(Upgrades!$T$9="Orbital Resonance",POWER(Upgrades!$U$9,H326),1)*IF(Upgrades!$T$11="Orbital Resonance",POWER(Upgrades!$U$11,J326),1)*IF(Upgrades!$T$12="Orbital Resonance",POWER(Upgrades!$U$12,K326),1))+(IF(J326=0,0,(Upgrades!$J$11+J326*Upgrades!$K$11)*POWER(Upgrades!$L$11,J326)))*(IF(Upgrades!$T$6="Heliopause",POWER(Upgrades!$U$6,E326),1)*IF(Upgrades!$T$7="Heliopause",POWER(Upgrades!$U$7,F326),1)*IF(Upgrades!$T$8="Heliopause",POWER(Upgrades!$U$8,G326),1)*IF(Upgrades!$T$9="Heliopause",POWER(Upgrades!$U$9,H326),1)*IF(Upgrades!$T$10="Heliopause",POWER(Upgrades!$U$10,I326),1)*IF(Upgrades!$T$12="Heliopause",POWER(Upgrades!$U$12,K326),1))+(IF(K326=0,0,(Upgrades!$J$12+K326*Upgrades!$K$12)*POWER(Upgrades!$L$12,K326)))*(IF(Upgrades!$T$6="First Photons",POWER(Upgrades!$U$6,E326),1)*IF(Upgrades!$T$7="First Photons",POWER(Upgrades!$U$7,F326),1)*IF(Upgrades!$T$8="First Photons",POWER(Upgrades!$U$8,G326),1)*IF(Upgrades!$T$9="First Photons",POWER(Upgrades!$U$9,H326),1)*IF(Upgrades!$T$10="First Photons",POWER(Upgrades!$U$10,I326),1)*IF(Upgrades!$T$11="First Photons",POWER(Upgrades!$U$11,J326),1)))*POWER(Upgrades!$Q$6,E326)*POWER(Upgrades!$Q$7,F326)*POWER(Upgrades!$Q$8,G326)*POWER(Upgrades!$Q$9,H326)*POWER(Upgrades!$Q$10,I326)*POWER(Upgrades!$Q$11,J326)*POWER(Upgrades!$Q$12,K326)</f>
        <v/>
      </c>
      <c r="N326" s="28">
        <f>((IF(E326=0,0,(Upgrades!$G$6+E326*Upgrades!$H$6)*POWER(Upgrades!$I$6,E326)))*(IF(Upgrades!$T$7="Solar Wind",POWER(Upgrades!$U$7,F326),1)*IF(Upgrades!$T$8="Solar Wind",POWER(Upgrades!$U$8,G326),1)*IF(Upgrades!$T$9="Solar Wind",POWER(Upgrades!$U$9,H326),1)*IF(Upgrades!$T$10="Solar Wind",POWER(Upgrades!$U$10,I326),1)*IF(Upgrades!$T$11="Solar Wind",POWER(Upgrades!$U$11,J326),1)*IF(Upgrades!$T$12="Solar Wind",POWER(Upgrades!$U$12,K326),1))+(IF(F326=0,0,(Upgrades!$G$7+F326*Upgrades!$H$7)*POWER(Upgrades!$I$7,F326)))*(IF(Upgrades!$T$6="Asteroid Belt",POWER(Upgrades!$U$6,E326),1)*IF(Upgrades!$T$8="Asteroid Belt",POWER(Upgrades!$U$8,G326),1)*IF(Upgrades!$T$9="Asteroid Belt",POWER(Upgrades!$U$9,H326),1)*IF(Upgrades!$T$10="Asteroid Belt",POWER(Upgrades!$U$10,I326),1)*IF(Upgrades!$T$11="Asteroid Belt",POWER(Upgrades!$U$11,J326),1)*IF(Upgrades!$T$12="Asteroid Belt",POWER(Upgrades!$U$12,K326),1))+(IF(G326=0,0,(Upgrades!$G$8+G326*Upgrades!$H$8)*POWER(Upgrades!$I$8,G326)))*(IF(Upgrades!$T$6="Stellar Coupling",POWER(Upgrades!$U$6,E326),1)*IF(Upgrades!$T$7="Stellar Coupling",POWER(Upgrades!$U$7,F326),1)*IF(Upgrades!$T$9="Stellar Coupling",POWER(Upgrades!$U$9,H326),1)*IF(Upgrades!$T$10="Stellar Coupling",POWER(Upgrades!$U$10,I326),1)*IF(Upgrades!$T$11="Stellar Coupling",POWER(Upgrades!$U$11,J326),1)*IF(Upgrades!$T$12="Stellar Coupling",POWER(Upgrades!$U$12,K326),1))+(IF(H326=0,0,(Upgrades!$G$9+H326*Upgrades!$H$9)*POWER(Upgrades!$I$9,H326)))*(IF(Upgrades!$T$6="Magnetosphere",POWER(Upgrades!$U$6,E326),1)*IF(Upgrades!$T$7="Magnetosphere",POWER(Upgrades!$U$7,F326),1)*IF(Upgrades!$T$8="Magnetosphere",POWER(Upgrades!$U$8,G326),1)*IF(Upgrades!$T$10="Magnetosphere",POWER(Upgrades!$U$10,I326),1)*IF(Upgrades!$T$11="Magnetosphere",POWER(Upgrades!$U$11,J326),1)*IF(Upgrades!$T$12="Magnetosphere",POWER(Upgrades!$U$12,K326),1))+(IF(I326=0,0,(Upgrades!$G$10+I326*Upgrades!$H$10)*POWER(Upgrades!$I$10,I326)))*(IF(Upgrades!$T$6="Orbital Resonance",POWER(Upgrades!$U$6,E326),1)*IF(Upgrades!$T$7="Orbital Resonance",POWER(Upgrades!$U$7,F326),1)*IF(Upgrades!$T$8="Orbital Resonance",POWER(Upgrades!$U$8,G326),1)*IF(Upgrades!$T$9="Orbital Resonance",POWER(Upgrades!$U$9,H326),1)*IF(Upgrades!$T$11="Orbital Resonance",POWER(Upgrades!$U$11,J326),1)*IF(Upgrades!$T$12="Orbital Resonance",POWER(Upgrades!$U$12,K326),1))+(IF(J326=0,0,(Upgrades!$G$11+J326*Upgrades!$H$11)*POWER(Upgrades!$I$11,J326)))*(IF(Upgrades!$T$6="Heliopause",POWER(Upgrades!$U$6,E326),1)*IF(Upgrades!$T$7="Heliopause",POWER(Upgrades!$U$7,F326),1)*IF(Upgrades!$T$8="Heliopause",POWER(Upgrades!$U$8,G326),1)*IF(Upgrades!$T$9="Heliopause",POWER(Upgrades!$U$9,H326),1)*IF(Upgrades!$T$10="Heliopause",POWER(Upgrades!$U$10,I326),1)*IF(Upgrades!$T$12="Heliopause",POWER(Upgrades!$U$12,K326),1))+(IF(K326=0,0,(Upgrades!$G$12+K326*Upgrades!$H$12)*POWER(Upgrades!$I$12,K326)))*(IF(Upgrades!$T$6="First Photons",POWER(Upgrades!$U$6,E326),1)*IF(Upgrades!$T$7="First Photons",POWER(Upgrades!$U$7,F326),1)*IF(Upgrades!$T$8="First Photons",POWER(Upgrades!$U$8,G326),1)*IF(Upgrades!$T$9="First Photons",POWER(Upgrades!$U$9,H326),1)*IF(Upgrades!$T$10="First Photons",POWER(Upgrades!$U$10,I326),1)*IF(Upgrades!$T$11="First Photons",POWER(Upgrades!$U$11,J326),1)))*POWER(Upgrades!$P$6,E326)*POWER(Upgrades!$P$7,F326)*POWER(Upgrades!$P$8,G326)*POWER(Upgrades!$P$9,H326)*POWER(Upgrades!$P$10,I326)*POWER(Upgrades!$P$11,J326)*POWER(Upgrades!$P$12,K326)</f>
        <v/>
      </c>
      <c r="O326" s="28">
        <f>((IF(E326=0,0,(Upgrades!$M$6+E326*Upgrades!$N$6)*POWER(Upgrades!$O$6,E326)))*(IF(Upgrades!$T$7="Solar Wind",POWER(Upgrades!$U$7,F326),1)*IF(Upgrades!$T$8="Solar Wind",POWER(Upgrades!$U$8,G326),1)*IF(Upgrades!$T$9="Solar Wind",POWER(Upgrades!$U$9,H326),1)*IF(Upgrades!$T$10="Solar Wind",POWER(Upgrades!$U$10,I326),1)*IF(Upgrades!$T$11="Solar Wind",POWER(Upgrades!$U$11,J326),1)*IF(Upgrades!$T$12="Solar Wind",POWER(Upgrades!$U$12,K326),1))+(IF(F326=0,0,(Upgrades!$M$7+F326*Upgrades!$N$7)*POWER(Upgrades!$O$7,F326)))*(IF(Upgrades!$T$6="Asteroid Belt",POWER(Upgrades!$U$6,E326),1)*IF(Upgrades!$T$8="Asteroid Belt",POWER(Upgrades!$U$8,G326),1)*IF(Upgrades!$T$9="Asteroid Belt",POWER(Upgrades!$U$9,H326),1)*IF(Upgrades!$T$10="Asteroid Belt",POWER(Upgrades!$U$10,I326),1)*IF(Upgrades!$T$11="Asteroid Belt",POWER(Upgrades!$U$11,J326),1)*IF(Upgrades!$T$12="Asteroid Belt",POWER(Upgrades!$U$12,K326),1))+(IF(G326=0,0,(Upgrades!$M$8+G326*Upgrades!$N$8)*POWER(Upgrades!$O$8,G326)))*(IF(Upgrades!$T$6="Stellar Coupling",POWER(Upgrades!$U$6,E326),1)*IF(Upgrades!$T$7="Stellar Coupling",POWER(Upgrades!$U$7,F326),1)*IF(Upgrades!$T$9="Stellar Coupling",POWER(Upgrades!$U$9,H326),1)*IF(Upgrades!$T$10="Stellar Coupling",POWER(Upgrades!$U$10,I326),1)*IF(Upgrades!$T$11="Stellar Coupling",POWER(Upgrades!$U$11,J326),1)*IF(Upgrades!$T$12="Stellar Coupling",POWER(Upgrades!$U$12,K326),1))+(IF(H326=0,0,(Upgrades!$M$9+H326*Upgrades!$N$9)*POWER(Upgrades!$O$9,H326)))*(IF(Upgrades!$T$6="Magnetosphere",POWER(Upgrades!$U$6,E326),1)*IF(Upgrades!$T$7="Magnetosphere",POWER(Upgrades!$U$7,F326),1)*IF(Upgrades!$T$8="Magnetosphere",POWER(Upgrades!$U$8,G326),1)*IF(Upgrades!$T$10="Magnetosphere",POWER(Upgrades!$U$10,I326),1)*IF(Upgrades!$T$11="Magnetosphere",POWER(Upgrades!$U$11,J326),1)*IF(Upgrades!$T$12="Magnetosphere",POWER(Upgrades!$U$12,K326),1))+(IF(I326=0,0,(Upgrades!$M$10+I326*Upgrades!$N$10)*POWER(Upgrades!$O$10,I326)))*(IF(Upgrades!$T$6="Orbital Resonance",POWER(Upgrades!$U$6,E326),1)*IF(Upgrades!$T$7="Orbital Resonance",POWER(Upgrades!$U$7,F326),1)*IF(Upgrades!$T$8="Orbital Resonance",POWER(Upgrades!$U$8,G326),1)*IF(Upgrades!$T$9="Orbital Resonance",POWER(Upgrades!$U$9,H326),1)*IF(Upgrades!$T$11="Orbital Resonance",POWER(Upgrades!$U$11,J326),1)*IF(Upgrades!$T$12="Orbital Resonance",POWER(Upgrades!$U$12,K326),1))+(IF(J326=0,0,(Upgrades!$M$11+J326*Upgrades!$N$11)*POWER(Upgrades!$O$11,J326)))*(IF(Upgrades!$T$6="Heliopause",POWER(Upgrades!$U$6,E326),1)*IF(Upgrades!$T$7="Heliopause",POWER(Upgrades!$U$7,F326),1)*IF(Upgrades!$T$8="Heliopause",POWER(Upgrades!$U$8,G326),1)*IF(Upgrades!$T$9="Heliopause",POWER(Upgrades!$U$9,H326),1)*IF(Upgrades!$T$10="Heliopause",POWER(Upgrades!$U$10,I326),1)*IF(Upgrades!$T$12="Heliopause",POWER(Upgrades!$U$12,K326),1))+(IF(K326=0,0,(Upgrades!$M$12+K326*Upgrades!$N$12)*POWER(Upgrades!$O$12,K326)))*(IF(Upgrades!$T$6="First Photons",POWER(Upgrades!$U$6,E326),1)*IF(Upgrades!$T$7="First Photons",POWER(Upgrades!$U$7,F326),1)*IF(Upgrades!$T$8="First Photons",POWER(Upgrades!$U$8,G326),1)*IF(Upgrades!$T$9="First Photons",POWER(Upgrades!$U$9,H326),1)*IF(Upgrades!$T$10="First Photons",POWER(Upgrades!$U$10,I326),1)*IF(Upgrades!$T$11="First Photons",POWER(Upgrades!$U$11,J326),1)))*POWER(Upgrades!$R$6,E326)*POWER(Upgrades!$R$7,F326)*POWER(Upgrades!$R$8,G326)*POWER(Upgrades!$R$9,H326)*POWER(Upgrades!$R$10,I326)*POWER(Upgrades!$R$11,J326)*POWER(Upgrades!$R$12,K326)</f>
        <v/>
      </c>
      <c r="P326" s="27">
        <f>IF(L326=1,0,M326*Parameters!$B$10/60*Parameters!$B$11*10)</f>
        <v/>
      </c>
      <c r="Q326" s="27">
        <f>IF(L326=1,0,O326*M326*10)</f>
        <v/>
      </c>
      <c r="R326" s="27">
        <f>IF(L326=1,0,N326*10)</f>
        <v/>
      </c>
      <c r="S326" s="27">
        <f>P326+Q326+R326</f>
        <v/>
      </c>
      <c r="T326" s="22">
        <f>C326+S326</f>
        <v/>
      </c>
      <c r="U326" s="33">
        <f>AX326</f>
        <v/>
      </c>
      <c r="V326" s="22">
        <f>IF(U326="",0,IF(U326="transition",0,IF(U326="SW",AG326,IF(U326="AB",AH326,IF(U326="SC",AI326,IF(U326="Mag",AJ326,IF(U326="OR",AK326,IF(U326="HP",AL326,IF(U326="FP",AM326,0)))))))))</f>
        <v/>
      </c>
      <c r="W326" s="27">
        <f>IF(U326="OR",Upgrades!$F$10,IF(U326="HP",Upgrades!$F$11,IF(U326="transition",-Parameters!$B$18,0)))</f>
        <v/>
      </c>
      <c r="X326" s="22">
        <f>T326-V326</f>
        <v/>
      </c>
      <c r="Y326" s="30">
        <f>M326*Parameters!$B$10/60*Parameters!$B$11+O326*M326+N326</f>
        <v/>
      </c>
      <c r="Z326" s="34">
        <f>IF(U326="transition","→ Tier 2 (Stellar Neighborhood)",IF(U326="FP","First Photons — light begins, system quickens",IF(U326="HP","Heliopause acquired",IF(U326="OR","Orbital Resonance — passive multiplier active",IF(AND(AO326=1,L326=0,AN326&lt;&gt;1),"Cohesion ready (waiting on completionist upgrades)","")))))</f>
        <v/>
      </c>
      <c r="AA326" s="27">
        <f>(IF(E326=0,0,(Upgrades!$G$6+E326*Upgrades!$H$6)*POWER(Upgrades!$I$6,E326)))*(IF(Upgrades!$T$7="Solar Wind",POWER(Upgrades!$U$7,F326),1)*IF(Upgrades!$T$8="Solar Wind",POWER(Upgrades!$U$8,G326),1)*IF(Upgrades!$T$9="Solar Wind",POWER(Upgrades!$U$9,H326),1)*IF(Upgrades!$T$10="Solar Wind",POWER(Upgrades!$U$10,I326),1)*IF(Upgrades!$T$11="Solar Wind",POWER(Upgrades!$U$11,J326),1)*IF(Upgrades!$T$12="Solar Wind",POWER(Upgrades!$U$12,K326),1))*POWER(Upgrades!$P$6,E326)*POWER(Upgrades!$P$7,F326)*POWER(Upgrades!$P$8,G326)*POWER(Upgrades!$P$9,H326)*POWER(Upgrades!$P$10,I326)*POWER(Upgrades!$P$11,J326)*POWER(Upgrades!$P$12,K326)*60</f>
        <v/>
      </c>
      <c r="AB326" s="27">
        <f>(IF(F326=0,0,(Upgrades!$G$7+F326*Upgrades!$H$7)*POWER(Upgrades!$I$7,F326)))*(IF(Upgrades!$T$6="Asteroid Belt",POWER(Upgrades!$U$6,E326),1)*IF(Upgrades!$T$8="Asteroid Belt",POWER(Upgrades!$U$8,G326),1)*IF(Upgrades!$T$9="Asteroid Belt",POWER(Upgrades!$U$9,H326),1)*IF(Upgrades!$T$10="Asteroid Belt",POWER(Upgrades!$U$10,I326),1)*IF(Upgrades!$T$11="Asteroid Belt",POWER(Upgrades!$U$11,J326),1)*IF(Upgrades!$T$12="Asteroid Belt",POWER(Upgrades!$U$12,K326),1))*POWER(Upgrades!$P$6,E326)*POWER(Upgrades!$P$7,F326)*POWER(Upgrades!$P$8,G326)*POWER(Upgrades!$P$9,H326)*POWER(Upgrades!$P$10,I326)*POWER(Upgrades!$P$11,J326)*POWER(Upgrades!$P$12,K326)*60</f>
        <v/>
      </c>
      <c r="AC326" s="27">
        <f>(IF(G326=0,0,(Upgrades!$J$8+G326*Upgrades!$K$8)*POWER(Upgrades!$L$8,G326)))*(IF(Upgrades!$T$6="Stellar Coupling",POWER(Upgrades!$U$6,E326),1)*IF(Upgrades!$T$7="Stellar Coupling",POWER(Upgrades!$U$7,F326),1)*IF(Upgrades!$T$9="Stellar Coupling",POWER(Upgrades!$U$9,H326),1)*IF(Upgrades!$T$10="Stellar Coupling",POWER(Upgrades!$U$10,I326),1)*IF(Upgrades!$T$11="Stellar Coupling",POWER(Upgrades!$U$11,J326),1)*IF(Upgrades!$T$12="Stellar Coupling",POWER(Upgrades!$U$12,K326),1))*POWER(Upgrades!$Q$6,E326)*POWER(Upgrades!$Q$7,F326)*POWER(Upgrades!$Q$8,G326)*POWER(Upgrades!$Q$9,H326)*POWER(Upgrades!$Q$10,I326)*POWER(Upgrades!$Q$11,J326)*POWER(Upgrades!$Q$12,K326)*Parameters!$B$10*Parameters!$B$11</f>
        <v/>
      </c>
      <c r="AD326" s="27">
        <f>(IF(H326=0,0,(Upgrades!$G$9+H326*Upgrades!$H$9)*POWER(Upgrades!$I$9,H326)))*(IF(Upgrades!$T$6="Magnetosphere",POWER(Upgrades!$U$6,E326),1)*IF(Upgrades!$T$7="Magnetosphere",POWER(Upgrades!$U$7,F326),1)*IF(Upgrades!$T$8="Magnetosphere",POWER(Upgrades!$U$8,G326),1)*IF(Upgrades!$T$10="Magnetosphere",POWER(Upgrades!$U$10,I326),1)*IF(Upgrades!$T$11="Magnetosphere",POWER(Upgrades!$U$11,J326),1)*IF(Upgrades!$T$12="Magnetosphere",POWER(Upgrades!$U$12,K326),1))*POWER(Upgrades!$P$6,E326)*POWER(Upgrades!$P$7,F326)*POWER(Upgrades!$P$8,G326)*POWER(Upgrades!$P$9,H326)*POWER(Upgrades!$P$10,I326)*POWER(Upgrades!$P$11,J326)*POWER(Upgrades!$P$12,K326)*60</f>
        <v/>
      </c>
      <c r="AE326" s="27">
        <f>(IF(K326=0,0,(Upgrades!$G$12+K326*Upgrades!$H$12)*POWER(Upgrades!$I$12,K326)))*(IF(Upgrades!$T$6="First Photons",POWER(Upgrades!$U$6,E326),1)*IF(Upgrades!$T$7="First Photons",POWER(Upgrades!$U$7,F326),1)*IF(Upgrades!$T$8="First Photons",POWER(Upgrades!$U$8,G326),1)*IF(Upgrades!$T$9="First Photons",POWER(Upgrades!$U$9,H326),1)*IF(Upgrades!$T$10="First Photons",POWER(Upgrades!$U$10,I326),1)*IF(Upgrades!$T$11="First Photons",POWER(Upgrades!$U$11,J326),1))*POWER(Upgrades!$P$6,E326)*POWER(Upgrades!$P$7,F326)*POWER(Upgrades!$P$8,G326)*POWER(Upgrades!$P$9,H326)*POWER(Upgrades!$P$10,I326)*POWER(Upgrades!$P$11,J326)*POWER(Upgrades!$P$12,K326)*60</f>
        <v/>
      </c>
      <c r="AF326" s="27">
        <f>Parameters!$B$9*POWER(Upgrades!$Q$6,E326)*POWER(Upgrades!$Q$7,F326)*POWER(Upgrades!$Q$8,G326)*POWER(Upgrades!$Q$9,H326)*POWER(Upgrades!$Q$10,I326)*POWER(Upgrades!$Q$11,J326)*POWER(Upgrades!$Q$12,K326)*(Parameters!$B$10*Parameters!$B$11+O326*60)</f>
        <v/>
      </c>
      <c r="AG326" s="22">
        <f>IF(E326&gt;=Upgrades!$E$6,"",Upgrades!$C$6*POWER(Upgrades!$D$6,E326))</f>
        <v/>
      </c>
      <c r="AH326" s="22">
        <f>IF(F326&gt;=Upgrades!$E$7,"",Upgrades!$C$7*POWER(Upgrades!$D$7,F326))</f>
        <v/>
      </c>
      <c r="AI326" s="22">
        <f>IF(G326&gt;=Upgrades!$E$8,"",Upgrades!$C$8*POWER(Upgrades!$D$8,G326))</f>
        <v/>
      </c>
      <c r="AJ326" s="22">
        <f>IF(H326&gt;=Upgrades!$E$9,"",Upgrades!$C$9*POWER(Upgrades!$D$9,H326))</f>
        <v/>
      </c>
      <c r="AK326" s="22">
        <f>IF(I326&gt;=Upgrades!$E$10,"",Upgrades!$C$10*POWER(Upgrades!$D$10,I326))</f>
        <v/>
      </c>
      <c r="AL326" s="22">
        <f>IF(J326&gt;=Upgrades!$E$11,"",Upgrades!$C$11*POWER(Upgrades!$D$11,J326))</f>
        <v/>
      </c>
      <c r="AM326" s="22">
        <f>IF(K326&gt;=Upgrades!$E$12,"",Upgrades!$C$12*POWER(Upgrades!$D$12,K326))</f>
        <v/>
      </c>
      <c r="AN326" s="26">
        <f>IF(AND(D326&gt;=Parameters!$B$18,(H326&gt;=Upgrades!$E$9)*(K326&gt;=Upgrades!$E$12)=1,L326=0),1,"")</f>
        <v/>
      </c>
      <c r="AO326" s="26">
        <f>IF(AND(D326&gt;=Parameters!$B$18,L326=0),1,"")</f>
        <v/>
      </c>
      <c r="AP326" s="22">
        <f>MIN(IF(ISNUMBER(AK326),AK326,9E15),IF(ISNUMBER(AL326),AL326,9E15),IF(ISNUMBER(AM326),AM326,9E15))</f>
        <v/>
      </c>
      <c r="AQ326" s="22">
        <f>MIN(IF(ISNUMBER(AG326),AG326,9E15),IF(ISNUMBER(AH326),AH326,9E15),IF(ISNUMBER(AI326),AI326,9E15),IF(ISNUMBER(AJ326),AJ326,9E15))</f>
        <v/>
      </c>
      <c r="AR326" s="29">
        <f>IF(AW326&gt;Parameters!$B$21*(MAX(IF(AND(NOT(AND(AO326=1,AN326&lt;&gt;1)),ISNUMBER(AG326),AG326&lt;=T326),AS326,0),IF(AND(NOT(AND(AO326=1,AN326&lt;&gt;1)),ISNUMBER(AH326),AH326&lt;=T326),AT326,0),IF(AND(NOT(AND(AO326=1,AN326&lt;&gt;1)),ISNUMBER(AI326),AI326&lt;=T326),AU326,0),IF(AND(ISNUMBER(AJ326),AJ326&lt;=T326),AV326,0))),TRUE,FALSE)</f>
        <v/>
      </c>
      <c r="AS326" s="32">
        <f>IFERROR(Upgrades!$H$6*(POWER(Upgrades!$P$6,E326)*POWER(Upgrades!$P$7,F326)*POWER(Upgrades!$P$8,G326)*POWER(Upgrades!$P$9,H326)*POWER(Upgrades!$P$10,I326)*POWER(Upgrades!$P$11,J326)*POWER(Upgrades!$P$12,K326))*(IF(Upgrades!$T$7="Solar Wind",POWER(Upgrades!$U$7,F326),1)*IF(Upgrades!$T$8="Solar Wind",POWER(Upgrades!$U$8,G326),1)*IF(Upgrades!$T$9="Solar Wind",POWER(Upgrades!$U$9,H326),1)*IF(Upgrades!$T$10="Solar Wind",POWER(Upgrades!$U$10,I326),1)*IF(Upgrades!$T$11="Solar Wind",POWER(Upgrades!$U$11,J326),1)*IF(Upgrades!$T$12="Solar Wind",POWER(Upgrades!$U$12,K326),1))/AG326,0)</f>
        <v/>
      </c>
      <c r="AT326" s="32">
        <f>IFERROR(Upgrades!$H$7*(POWER(Upgrades!$P$6,E326)*POWER(Upgrades!$P$7,F326)*POWER(Upgrades!$P$8,G326)*POWER(Upgrades!$P$9,H326)*POWER(Upgrades!$P$10,I326)*POWER(Upgrades!$P$11,J326)*POWER(Upgrades!$P$12,K326))*(IF(Upgrades!$T$6="Asteroid Belt",POWER(Upgrades!$U$6,E326),1)*IF(Upgrades!$T$8="Asteroid Belt",POWER(Upgrades!$U$8,G326),1)*IF(Upgrades!$T$9="Asteroid Belt",POWER(Upgrades!$U$9,H326),1)*IF(Upgrades!$T$10="Asteroid Belt",POWER(Upgrades!$U$10,I326),1)*IF(Upgrades!$T$11="Asteroid Belt",POWER(Upgrades!$U$11,J326),1)*IF(Upgrades!$T$12="Asteroid Belt",POWER(Upgrades!$U$12,K326),1))/AH326,0)</f>
        <v/>
      </c>
      <c r="AU326" s="32">
        <f>IFERROR(Upgrades!$K$8*(POWER(Upgrades!$Q$6,E326)*POWER(Upgrades!$Q$7,F326)*POWER(Upgrades!$Q$8,G326)*POWER(Upgrades!$Q$9,H326)*POWER(Upgrades!$Q$10,I326)*POWER(Upgrades!$Q$11,J326)*POWER(Upgrades!$Q$12,K326))*(IF(Upgrades!$T$6="Stellar Coupling",POWER(Upgrades!$U$6,E326),1)*IF(Upgrades!$T$7="Stellar Coupling",POWER(Upgrades!$U$7,F326),1)*IF(Upgrades!$T$9="Stellar Coupling",POWER(Upgrades!$U$9,H326),1)*IF(Upgrades!$T$10="Stellar Coupling",POWER(Upgrades!$U$10,I326),1)*IF(Upgrades!$T$11="Stellar Coupling",POWER(Upgrades!$U$11,J326),1)*IF(Upgrades!$T$12="Stellar Coupling",POWER(Upgrades!$U$12,K326),1))*Parameters!$B$10*Parameters!$B$11/60/AI326,0)</f>
        <v/>
      </c>
      <c r="AV326" s="32">
        <f>IFERROR(Upgrades!$H$9*(POWER(Upgrades!$P$6,E326)*POWER(Upgrades!$P$7,F326)*POWER(Upgrades!$P$8,G326)*POWER(Upgrades!$P$9,H326)*POWER(Upgrades!$P$10,I326)*POWER(Upgrades!$P$11,J326)*POWER(Upgrades!$P$12,K326))*(IF(Upgrades!$T$6="Magnetosphere",POWER(Upgrades!$U$6,E326),1)*IF(Upgrades!$T$7="Magnetosphere",POWER(Upgrades!$U$7,F326),1)*IF(Upgrades!$T$8="Magnetosphere",POWER(Upgrades!$U$8,G326),1)*IF(Upgrades!$T$10="Magnetosphere",POWER(Upgrades!$U$10,I326),1)*IF(Upgrades!$T$11="Magnetosphere",POWER(Upgrades!$U$11,J326),1)*IF(Upgrades!$T$12="Magnetosphere",POWER(Upgrades!$U$12,K326),1))/AJ326,0)</f>
        <v/>
      </c>
      <c r="AW326" s="32">
        <f>MAX(IF(I326&gt;0,0,IFERROR(0.25*N326/Upgrades!$C$10,0)),IF(J326&gt;0,0,IFERROR(0.5*((IF(G326=0,0,(Upgrades!$J$8+G326*Upgrades!$K$8)*POWER(Upgrades!$L$8,G326)))*(IF(Upgrades!$T$6="Stellar Coupling",POWER(Upgrades!$U$6,E326),1)*IF(Upgrades!$T$7="Stellar Coupling",POWER(Upgrades!$U$7,F326),1)*IF(Upgrades!$T$9="Stellar Coupling",POWER(Upgrades!$U$9,H326),1)*IF(Upgrades!$T$10="Stellar Coupling",POWER(Upgrades!$U$10,I326),1)*IF(Upgrades!$T$11="Stellar Coupling",POWER(Upgrades!$U$11,J326),1)*IF(Upgrades!$T$12="Stellar Coupling",POWER(Upgrades!$U$12,K326),1))*(POWER(Upgrades!$Q$6,E326)*POWER(Upgrades!$Q$7,F326)*POWER(Upgrades!$Q$8,G326)*POWER(Upgrades!$Q$9,H326)*POWER(Upgrades!$Q$10,I326)*POWER(Upgrades!$Q$11,J326)*POWER(Upgrades!$Q$12,K326))*Parameters!$B$10*Parameters!$B$11/60)/Upgrades!$C$11,0)),IF(K326&gt;0,0,IFERROR((1.0*(POWER(Upgrades!$P$6,E326)*POWER(Upgrades!$P$7,F326)*POWER(Upgrades!$P$8,G326)*POWER(Upgrades!$P$9,H326)*POWER(Upgrades!$P$10,I326)*POWER(Upgrades!$P$11,J326)*POWER(Upgrades!$P$12,K326))+0.20*M326*Parameters!$B$10*Parameters!$B$11/60)/Upgrades!$C$12,0)),IF(AND(ISNUMBER(AG326),AG326&gt;T326),AS326,0),IF(AND(ISNUMBER(AH326),AH326&gt;T326),AT326,0),IF(AND(ISNUMBER(AI326),AI326&gt;T326),AU326,0),IF(AND(ISNUMBER(AJ326),AJ326&gt;T326),AV326,0))</f>
        <v/>
      </c>
      <c r="AX326" s="29">
        <f>IF(AN326=1,"transition",IF(MIN(IF(AND(I326=0,ISNUMBER(AK326),AK326&lt;=T326),AK326,9E15),IF(AND(J326=0,ISNUMBER(AL326),AL326&lt;=T326),AL326,9E15),IF(AND(K326=0,ISNUMBER(AM326),AM326&lt;=T326),AM326,9E15))&lt;9E15,IF(AND(AND(I326=0,ISNUMBER(AK326),AK326&lt;=T326),AK326=MIN(IF(AND(I326=0,ISNUMBER(AK326),AK326&lt;=T326),AK326,9E15),IF(AND(J326=0,ISNUMBER(AL326),AL326&lt;=T326),AL326,9E15),IF(AND(K326=0,ISNUMBER(AM326),AM326&lt;=T326),AM326,9E15))),"OR",IF(AND(AND(J326=0,ISNUMBER(AL326),AL326&lt;=T326),AL326=MIN(IF(AND(I326=0,ISNUMBER(AK326),AK326&lt;=T326),AK326,9E15),IF(AND(J326=0,ISNUMBER(AL326),AL326&lt;=T326),AL326,9E15),IF(AND(K326=0,ISNUMBER(AM326),AM326&lt;=T326),AM326,9E15))),"HP","FP")),IF(AR326=TRUE,"",IF(MAX(IF(AND(NOT(AND(AO326=1,AN326&lt;&gt;1)),ISNUMBER(AG326),AG326&lt;=T326),AS326,0),IF(AND(NOT(AND(AO326=1,AN326&lt;&gt;1)),ISNUMBER(AH326),AH326&lt;=T326),AT326,0),IF(AND(NOT(AND(AO326=1,AN326&lt;&gt;1)),ISNUMBER(AI326),AI326&lt;=T326),AU326,0),IF(AND(ISNUMBER(AJ326),AJ326&lt;=T326),AV326,0))&lt;=0,"",IF(AND(IF(AND(NOT(AND(AO326=1,AN326&lt;&gt;1)),ISNUMBER(AG326),AG326&lt;=T326),AS326,0)&gt;0,IF(AND(NOT(AND(AO326=1,AN326&lt;&gt;1)),ISNUMBER(AG326),AG326&lt;=T326),AS326,0)=MAX(IF(AND(NOT(AND(AO326=1,AN326&lt;&gt;1)),ISNUMBER(AG326),AG326&lt;=T326),AS326,0),IF(AND(NOT(AND(AO326=1,AN326&lt;&gt;1)),ISNUMBER(AH326),AH326&lt;=T326),AT326,0),IF(AND(NOT(AND(AO326=1,AN326&lt;&gt;1)),ISNUMBER(AI326),AI326&lt;=T326),AU326,0),IF(AND(ISNUMBER(AJ326),AJ326&lt;=T326),AV326,0))),"SW",IF(AND(IF(AND(NOT(AND(AO326=1,AN326&lt;&gt;1)),ISNUMBER(AH326),AH326&lt;=T326),AT326,0)&gt;0,IF(AND(NOT(AND(AO326=1,AN326&lt;&gt;1)),ISNUMBER(AH326),AH326&lt;=T326),AT326,0)=MAX(IF(AND(NOT(AND(AO326=1,AN326&lt;&gt;1)),ISNUMBER(AG326),AG326&lt;=T326),AS326,0),IF(AND(NOT(AND(AO326=1,AN326&lt;&gt;1)),ISNUMBER(AH326),AH326&lt;=T326),AT326,0),IF(AND(NOT(AND(AO326=1,AN326&lt;&gt;1)),ISNUMBER(AI326),AI326&lt;=T326),AU326,0),IF(AND(ISNUMBER(AJ326),AJ326&lt;=T326),AV326,0))),"AB",IF(AND(IF(AND(NOT(AND(AO326=1,AN326&lt;&gt;1)),ISNUMBER(AI326),AI326&lt;=T326),AU326,0)&gt;0,IF(AND(NOT(AND(AO326=1,AN326&lt;&gt;1)),ISNUMBER(AI326),AI326&lt;=T326),AU326,0)=MAX(IF(AND(NOT(AND(AO326=1,AN326&lt;&gt;1)),ISNUMBER(AG326),AG326&lt;=T326),AS326,0),IF(AND(NOT(AND(AO326=1,AN326&lt;&gt;1)),ISNUMBER(AH326),AH326&lt;=T326),AT326,0),IF(AND(NOT(AND(AO326=1,AN326&lt;&gt;1)),ISNUMBER(AI326),AI326&lt;=T326),AU326,0),IF(AND(ISNUMBER(AJ326),AJ326&lt;=T326),AV326,0))),"SC","Mag")))))))</f>
        <v/>
      </c>
    </row>
    <row r="327">
      <c r="A327" s="26" t="n">
        <v>322</v>
      </c>
      <c r="B327" s="27">
        <f>A327*10/60</f>
        <v/>
      </c>
      <c r="C327" s="22">
        <f>X326</f>
        <v/>
      </c>
      <c r="D327" s="27">
        <f>D326+W326</f>
        <v/>
      </c>
      <c r="E327" s="26">
        <f>E326+IF(U326="SW",1,0)</f>
        <v/>
      </c>
      <c r="F327" s="26">
        <f>F326+IF(U326="AB",1,0)</f>
        <v/>
      </c>
      <c r="G327" s="26">
        <f>G326+IF(U326="SC",1,0)</f>
        <v/>
      </c>
      <c r="H327" s="26">
        <f>H326+IF(U326="Mag",1,0)</f>
        <v/>
      </c>
      <c r="I327" s="26">
        <f>MAX(I326,IF(U326="OR",1,0))</f>
        <v/>
      </c>
      <c r="J327" s="26">
        <f>MAX(J326,IF(U326="HP",1,0))</f>
        <v/>
      </c>
      <c r="K327" s="26">
        <f>MAX(K326,IF(U326="FP",1,0))</f>
        <v/>
      </c>
      <c r="L327" s="26">
        <f>MAX(L326,IF(U326="transition",1,0))</f>
        <v/>
      </c>
      <c r="M327" s="28">
        <f>(Parameters!$B$9+(IF(E327=0,0,(Upgrades!$J$6+E327*Upgrades!$K$6)*POWER(Upgrades!$L$6,E327)))*(IF(Upgrades!$T$7="Solar Wind",POWER(Upgrades!$U$7,F327),1)*IF(Upgrades!$T$8="Solar Wind",POWER(Upgrades!$U$8,G327),1)*IF(Upgrades!$T$9="Solar Wind",POWER(Upgrades!$U$9,H327),1)*IF(Upgrades!$T$10="Solar Wind",POWER(Upgrades!$U$10,I327),1)*IF(Upgrades!$T$11="Solar Wind",POWER(Upgrades!$U$11,J327),1)*IF(Upgrades!$T$12="Solar Wind",POWER(Upgrades!$U$12,K327),1))+(IF(F327=0,0,(Upgrades!$J$7+F327*Upgrades!$K$7)*POWER(Upgrades!$L$7,F327)))*(IF(Upgrades!$T$6="Asteroid Belt",POWER(Upgrades!$U$6,E327),1)*IF(Upgrades!$T$8="Asteroid Belt",POWER(Upgrades!$U$8,G327),1)*IF(Upgrades!$T$9="Asteroid Belt",POWER(Upgrades!$U$9,H327),1)*IF(Upgrades!$T$10="Asteroid Belt",POWER(Upgrades!$U$10,I327),1)*IF(Upgrades!$T$11="Asteroid Belt",POWER(Upgrades!$U$11,J327),1)*IF(Upgrades!$T$12="Asteroid Belt",POWER(Upgrades!$U$12,K327),1))+(IF(G327=0,0,(Upgrades!$J$8+G327*Upgrades!$K$8)*POWER(Upgrades!$L$8,G327)))*(IF(Upgrades!$T$6="Stellar Coupling",POWER(Upgrades!$U$6,E327),1)*IF(Upgrades!$T$7="Stellar Coupling",POWER(Upgrades!$U$7,F327),1)*IF(Upgrades!$T$9="Stellar Coupling",POWER(Upgrades!$U$9,H327),1)*IF(Upgrades!$T$10="Stellar Coupling",POWER(Upgrades!$U$10,I327),1)*IF(Upgrades!$T$11="Stellar Coupling",POWER(Upgrades!$U$11,J327),1)*IF(Upgrades!$T$12="Stellar Coupling",POWER(Upgrades!$U$12,K327),1))+(IF(H327=0,0,(Upgrades!$J$9+H327*Upgrades!$K$9)*POWER(Upgrades!$L$9,H327)))*(IF(Upgrades!$T$6="Magnetosphere",POWER(Upgrades!$U$6,E327),1)*IF(Upgrades!$T$7="Magnetosphere",POWER(Upgrades!$U$7,F327),1)*IF(Upgrades!$T$8="Magnetosphere",POWER(Upgrades!$U$8,G327),1)*IF(Upgrades!$T$10="Magnetosphere",POWER(Upgrades!$U$10,I327),1)*IF(Upgrades!$T$11="Magnetosphere",POWER(Upgrades!$U$11,J327),1)*IF(Upgrades!$T$12="Magnetosphere",POWER(Upgrades!$U$12,K327),1))+(IF(I327=0,0,(Upgrades!$J$10+I327*Upgrades!$K$10)*POWER(Upgrades!$L$10,I327)))*(IF(Upgrades!$T$6="Orbital Resonance",POWER(Upgrades!$U$6,E327),1)*IF(Upgrades!$T$7="Orbital Resonance",POWER(Upgrades!$U$7,F327),1)*IF(Upgrades!$T$8="Orbital Resonance",POWER(Upgrades!$U$8,G327),1)*IF(Upgrades!$T$9="Orbital Resonance",POWER(Upgrades!$U$9,H327),1)*IF(Upgrades!$T$11="Orbital Resonance",POWER(Upgrades!$U$11,J327),1)*IF(Upgrades!$T$12="Orbital Resonance",POWER(Upgrades!$U$12,K327),1))+(IF(J327=0,0,(Upgrades!$J$11+J327*Upgrades!$K$11)*POWER(Upgrades!$L$11,J327)))*(IF(Upgrades!$T$6="Heliopause",POWER(Upgrades!$U$6,E327),1)*IF(Upgrades!$T$7="Heliopause",POWER(Upgrades!$U$7,F327),1)*IF(Upgrades!$T$8="Heliopause",POWER(Upgrades!$U$8,G327),1)*IF(Upgrades!$T$9="Heliopause",POWER(Upgrades!$U$9,H327),1)*IF(Upgrades!$T$10="Heliopause",POWER(Upgrades!$U$10,I327),1)*IF(Upgrades!$T$12="Heliopause",POWER(Upgrades!$U$12,K327),1))+(IF(K327=0,0,(Upgrades!$J$12+K327*Upgrades!$K$12)*POWER(Upgrades!$L$12,K327)))*(IF(Upgrades!$T$6="First Photons",POWER(Upgrades!$U$6,E327),1)*IF(Upgrades!$T$7="First Photons",POWER(Upgrades!$U$7,F327),1)*IF(Upgrades!$T$8="First Photons",POWER(Upgrades!$U$8,G327),1)*IF(Upgrades!$T$9="First Photons",POWER(Upgrades!$U$9,H327),1)*IF(Upgrades!$T$10="First Photons",POWER(Upgrades!$U$10,I327),1)*IF(Upgrades!$T$11="First Photons",POWER(Upgrades!$U$11,J327),1)))*POWER(Upgrades!$Q$6,E327)*POWER(Upgrades!$Q$7,F327)*POWER(Upgrades!$Q$8,G327)*POWER(Upgrades!$Q$9,H327)*POWER(Upgrades!$Q$10,I327)*POWER(Upgrades!$Q$11,J327)*POWER(Upgrades!$Q$12,K327)</f>
        <v/>
      </c>
      <c r="N327" s="28">
        <f>((IF(E327=0,0,(Upgrades!$G$6+E327*Upgrades!$H$6)*POWER(Upgrades!$I$6,E327)))*(IF(Upgrades!$T$7="Solar Wind",POWER(Upgrades!$U$7,F327),1)*IF(Upgrades!$T$8="Solar Wind",POWER(Upgrades!$U$8,G327),1)*IF(Upgrades!$T$9="Solar Wind",POWER(Upgrades!$U$9,H327),1)*IF(Upgrades!$T$10="Solar Wind",POWER(Upgrades!$U$10,I327),1)*IF(Upgrades!$T$11="Solar Wind",POWER(Upgrades!$U$11,J327),1)*IF(Upgrades!$T$12="Solar Wind",POWER(Upgrades!$U$12,K327),1))+(IF(F327=0,0,(Upgrades!$G$7+F327*Upgrades!$H$7)*POWER(Upgrades!$I$7,F327)))*(IF(Upgrades!$T$6="Asteroid Belt",POWER(Upgrades!$U$6,E327),1)*IF(Upgrades!$T$8="Asteroid Belt",POWER(Upgrades!$U$8,G327),1)*IF(Upgrades!$T$9="Asteroid Belt",POWER(Upgrades!$U$9,H327),1)*IF(Upgrades!$T$10="Asteroid Belt",POWER(Upgrades!$U$10,I327),1)*IF(Upgrades!$T$11="Asteroid Belt",POWER(Upgrades!$U$11,J327),1)*IF(Upgrades!$T$12="Asteroid Belt",POWER(Upgrades!$U$12,K327),1))+(IF(G327=0,0,(Upgrades!$G$8+G327*Upgrades!$H$8)*POWER(Upgrades!$I$8,G327)))*(IF(Upgrades!$T$6="Stellar Coupling",POWER(Upgrades!$U$6,E327),1)*IF(Upgrades!$T$7="Stellar Coupling",POWER(Upgrades!$U$7,F327),1)*IF(Upgrades!$T$9="Stellar Coupling",POWER(Upgrades!$U$9,H327),1)*IF(Upgrades!$T$10="Stellar Coupling",POWER(Upgrades!$U$10,I327),1)*IF(Upgrades!$T$11="Stellar Coupling",POWER(Upgrades!$U$11,J327),1)*IF(Upgrades!$T$12="Stellar Coupling",POWER(Upgrades!$U$12,K327),1))+(IF(H327=0,0,(Upgrades!$G$9+H327*Upgrades!$H$9)*POWER(Upgrades!$I$9,H327)))*(IF(Upgrades!$T$6="Magnetosphere",POWER(Upgrades!$U$6,E327),1)*IF(Upgrades!$T$7="Magnetosphere",POWER(Upgrades!$U$7,F327),1)*IF(Upgrades!$T$8="Magnetosphere",POWER(Upgrades!$U$8,G327),1)*IF(Upgrades!$T$10="Magnetosphere",POWER(Upgrades!$U$10,I327),1)*IF(Upgrades!$T$11="Magnetosphere",POWER(Upgrades!$U$11,J327),1)*IF(Upgrades!$T$12="Magnetosphere",POWER(Upgrades!$U$12,K327),1))+(IF(I327=0,0,(Upgrades!$G$10+I327*Upgrades!$H$10)*POWER(Upgrades!$I$10,I327)))*(IF(Upgrades!$T$6="Orbital Resonance",POWER(Upgrades!$U$6,E327),1)*IF(Upgrades!$T$7="Orbital Resonance",POWER(Upgrades!$U$7,F327),1)*IF(Upgrades!$T$8="Orbital Resonance",POWER(Upgrades!$U$8,G327),1)*IF(Upgrades!$T$9="Orbital Resonance",POWER(Upgrades!$U$9,H327),1)*IF(Upgrades!$T$11="Orbital Resonance",POWER(Upgrades!$U$11,J327),1)*IF(Upgrades!$T$12="Orbital Resonance",POWER(Upgrades!$U$12,K327),1))+(IF(J327=0,0,(Upgrades!$G$11+J327*Upgrades!$H$11)*POWER(Upgrades!$I$11,J327)))*(IF(Upgrades!$T$6="Heliopause",POWER(Upgrades!$U$6,E327),1)*IF(Upgrades!$T$7="Heliopause",POWER(Upgrades!$U$7,F327),1)*IF(Upgrades!$T$8="Heliopause",POWER(Upgrades!$U$8,G327),1)*IF(Upgrades!$T$9="Heliopause",POWER(Upgrades!$U$9,H327),1)*IF(Upgrades!$T$10="Heliopause",POWER(Upgrades!$U$10,I327),1)*IF(Upgrades!$T$12="Heliopause",POWER(Upgrades!$U$12,K327),1))+(IF(K327=0,0,(Upgrades!$G$12+K327*Upgrades!$H$12)*POWER(Upgrades!$I$12,K327)))*(IF(Upgrades!$T$6="First Photons",POWER(Upgrades!$U$6,E327),1)*IF(Upgrades!$T$7="First Photons",POWER(Upgrades!$U$7,F327),1)*IF(Upgrades!$T$8="First Photons",POWER(Upgrades!$U$8,G327),1)*IF(Upgrades!$T$9="First Photons",POWER(Upgrades!$U$9,H327),1)*IF(Upgrades!$T$10="First Photons",POWER(Upgrades!$U$10,I327),1)*IF(Upgrades!$T$11="First Photons",POWER(Upgrades!$U$11,J327),1)))*POWER(Upgrades!$P$6,E327)*POWER(Upgrades!$P$7,F327)*POWER(Upgrades!$P$8,G327)*POWER(Upgrades!$P$9,H327)*POWER(Upgrades!$P$10,I327)*POWER(Upgrades!$P$11,J327)*POWER(Upgrades!$P$12,K327)</f>
        <v/>
      </c>
      <c r="O327" s="28">
        <f>((IF(E327=0,0,(Upgrades!$M$6+E327*Upgrades!$N$6)*POWER(Upgrades!$O$6,E327)))*(IF(Upgrades!$T$7="Solar Wind",POWER(Upgrades!$U$7,F327),1)*IF(Upgrades!$T$8="Solar Wind",POWER(Upgrades!$U$8,G327),1)*IF(Upgrades!$T$9="Solar Wind",POWER(Upgrades!$U$9,H327),1)*IF(Upgrades!$T$10="Solar Wind",POWER(Upgrades!$U$10,I327),1)*IF(Upgrades!$T$11="Solar Wind",POWER(Upgrades!$U$11,J327),1)*IF(Upgrades!$T$12="Solar Wind",POWER(Upgrades!$U$12,K327),1))+(IF(F327=0,0,(Upgrades!$M$7+F327*Upgrades!$N$7)*POWER(Upgrades!$O$7,F327)))*(IF(Upgrades!$T$6="Asteroid Belt",POWER(Upgrades!$U$6,E327),1)*IF(Upgrades!$T$8="Asteroid Belt",POWER(Upgrades!$U$8,G327),1)*IF(Upgrades!$T$9="Asteroid Belt",POWER(Upgrades!$U$9,H327),1)*IF(Upgrades!$T$10="Asteroid Belt",POWER(Upgrades!$U$10,I327),1)*IF(Upgrades!$T$11="Asteroid Belt",POWER(Upgrades!$U$11,J327),1)*IF(Upgrades!$T$12="Asteroid Belt",POWER(Upgrades!$U$12,K327),1))+(IF(G327=0,0,(Upgrades!$M$8+G327*Upgrades!$N$8)*POWER(Upgrades!$O$8,G327)))*(IF(Upgrades!$T$6="Stellar Coupling",POWER(Upgrades!$U$6,E327),1)*IF(Upgrades!$T$7="Stellar Coupling",POWER(Upgrades!$U$7,F327),1)*IF(Upgrades!$T$9="Stellar Coupling",POWER(Upgrades!$U$9,H327),1)*IF(Upgrades!$T$10="Stellar Coupling",POWER(Upgrades!$U$10,I327),1)*IF(Upgrades!$T$11="Stellar Coupling",POWER(Upgrades!$U$11,J327),1)*IF(Upgrades!$T$12="Stellar Coupling",POWER(Upgrades!$U$12,K327),1))+(IF(H327=0,0,(Upgrades!$M$9+H327*Upgrades!$N$9)*POWER(Upgrades!$O$9,H327)))*(IF(Upgrades!$T$6="Magnetosphere",POWER(Upgrades!$U$6,E327),1)*IF(Upgrades!$T$7="Magnetosphere",POWER(Upgrades!$U$7,F327),1)*IF(Upgrades!$T$8="Magnetosphere",POWER(Upgrades!$U$8,G327),1)*IF(Upgrades!$T$10="Magnetosphere",POWER(Upgrades!$U$10,I327),1)*IF(Upgrades!$T$11="Magnetosphere",POWER(Upgrades!$U$11,J327),1)*IF(Upgrades!$T$12="Magnetosphere",POWER(Upgrades!$U$12,K327),1))+(IF(I327=0,0,(Upgrades!$M$10+I327*Upgrades!$N$10)*POWER(Upgrades!$O$10,I327)))*(IF(Upgrades!$T$6="Orbital Resonance",POWER(Upgrades!$U$6,E327),1)*IF(Upgrades!$T$7="Orbital Resonance",POWER(Upgrades!$U$7,F327),1)*IF(Upgrades!$T$8="Orbital Resonance",POWER(Upgrades!$U$8,G327),1)*IF(Upgrades!$T$9="Orbital Resonance",POWER(Upgrades!$U$9,H327),1)*IF(Upgrades!$T$11="Orbital Resonance",POWER(Upgrades!$U$11,J327),1)*IF(Upgrades!$T$12="Orbital Resonance",POWER(Upgrades!$U$12,K327),1))+(IF(J327=0,0,(Upgrades!$M$11+J327*Upgrades!$N$11)*POWER(Upgrades!$O$11,J327)))*(IF(Upgrades!$T$6="Heliopause",POWER(Upgrades!$U$6,E327),1)*IF(Upgrades!$T$7="Heliopause",POWER(Upgrades!$U$7,F327),1)*IF(Upgrades!$T$8="Heliopause",POWER(Upgrades!$U$8,G327),1)*IF(Upgrades!$T$9="Heliopause",POWER(Upgrades!$U$9,H327),1)*IF(Upgrades!$T$10="Heliopause",POWER(Upgrades!$U$10,I327),1)*IF(Upgrades!$T$12="Heliopause",POWER(Upgrades!$U$12,K327),1))+(IF(K327=0,0,(Upgrades!$M$12+K327*Upgrades!$N$12)*POWER(Upgrades!$O$12,K327)))*(IF(Upgrades!$T$6="First Photons",POWER(Upgrades!$U$6,E327),1)*IF(Upgrades!$T$7="First Photons",POWER(Upgrades!$U$7,F327),1)*IF(Upgrades!$T$8="First Photons",POWER(Upgrades!$U$8,G327),1)*IF(Upgrades!$T$9="First Photons",POWER(Upgrades!$U$9,H327),1)*IF(Upgrades!$T$10="First Photons",POWER(Upgrades!$U$10,I327),1)*IF(Upgrades!$T$11="First Photons",POWER(Upgrades!$U$11,J327),1)))*POWER(Upgrades!$R$6,E327)*POWER(Upgrades!$R$7,F327)*POWER(Upgrades!$R$8,G327)*POWER(Upgrades!$R$9,H327)*POWER(Upgrades!$R$10,I327)*POWER(Upgrades!$R$11,J327)*POWER(Upgrades!$R$12,K327)</f>
        <v/>
      </c>
      <c r="P327" s="27">
        <f>IF(L327=1,0,M327*Parameters!$B$10/60*Parameters!$B$11*10)</f>
        <v/>
      </c>
      <c r="Q327" s="27">
        <f>IF(L327=1,0,O327*M327*10)</f>
        <v/>
      </c>
      <c r="R327" s="27">
        <f>IF(L327=1,0,N327*10)</f>
        <v/>
      </c>
      <c r="S327" s="27">
        <f>P327+Q327+R327</f>
        <v/>
      </c>
      <c r="T327" s="22">
        <f>C327+S327</f>
        <v/>
      </c>
      <c r="U327" s="33">
        <f>AX327</f>
        <v/>
      </c>
      <c r="V327" s="22">
        <f>IF(U327="",0,IF(U327="transition",0,IF(U327="SW",AG327,IF(U327="AB",AH327,IF(U327="SC",AI327,IF(U327="Mag",AJ327,IF(U327="OR",AK327,IF(U327="HP",AL327,IF(U327="FP",AM327,0)))))))))</f>
        <v/>
      </c>
      <c r="W327" s="27">
        <f>IF(U327="OR",Upgrades!$F$10,IF(U327="HP",Upgrades!$F$11,IF(U327="transition",-Parameters!$B$18,0)))</f>
        <v/>
      </c>
      <c r="X327" s="22">
        <f>T327-V327</f>
        <v/>
      </c>
      <c r="Y327" s="30">
        <f>M327*Parameters!$B$10/60*Parameters!$B$11+O327*M327+N327</f>
        <v/>
      </c>
      <c r="Z327" s="34">
        <f>IF(U327="transition","→ Tier 2 (Stellar Neighborhood)",IF(U327="FP","First Photons — light begins, system quickens",IF(U327="HP","Heliopause acquired",IF(U327="OR","Orbital Resonance — passive multiplier active",IF(AND(AO327=1,L327=0,AN327&lt;&gt;1),"Cohesion ready (waiting on completionist upgrades)","")))))</f>
        <v/>
      </c>
      <c r="AA327" s="27">
        <f>(IF(E327=0,0,(Upgrades!$G$6+E327*Upgrades!$H$6)*POWER(Upgrades!$I$6,E327)))*(IF(Upgrades!$T$7="Solar Wind",POWER(Upgrades!$U$7,F327),1)*IF(Upgrades!$T$8="Solar Wind",POWER(Upgrades!$U$8,G327),1)*IF(Upgrades!$T$9="Solar Wind",POWER(Upgrades!$U$9,H327),1)*IF(Upgrades!$T$10="Solar Wind",POWER(Upgrades!$U$10,I327),1)*IF(Upgrades!$T$11="Solar Wind",POWER(Upgrades!$U$11,J327),1)*IF(Upgrades!$T$12="Solar Wind",POWER(Upgrades!$U$12,K327),1))*POWER(Upgrades!$P$6,E327)*POWER(Upgrades!$P$7,F327)*POWER(Upgrades!$P$8,G327)*POWER(Upgrades!$P$9,H327)*POWER(Upgrades!$P$10,I327)*POWER(Upgrades!$P$11,J327)*POWER(Upgrades!$P$12,K327)*60</f>
        <v/>
      </c>
      <c r="AB327" s="27">
        <f>(IF(F327=0,0,(Upgrades!$G$7+F327*Upgrades!$H$7)*POWER(Upgrades!$I$7,F327)))*(IF(Upgrades!$T$6="Asteroid Belt",POWER(Upgrades!$U$6,E327),1)*IF(Upgrades!$T$8="Asteroid Belt",POWER(Upgrades!$U$8,G327),1)*IF(Upgrades!$T$9="Asteroid Belt",POWER(Upgrades!$U$9,H327),1)*IF(Upgrades!$T$10="Asteroid Belt",POWER(Upgrades!$U$10,I327),1)*IF(Upgrades!$T$11="Asteroid Belt",POWER(Upgrades!$U$11,J327),1)*IF(Upgrades!$T$12="Asteroid Belt",POWER(Upgrades!$U$12,K327),1))*POWER(Upgrades!$P$6,E327)*POWER(Upgrades!$P$7,F327)*POWER(Upgrades!$P$8,G327)*POWER(Upgrades!$P$9,H327)*POWER(Upgrades!$P$10,I327)*POWER(Upgrades!$P$11,J327)*POWER(Upgrades!$P$12,K327)*60</f>
        <v/>
      </c>
      <c r="AC327" s="27">
        <f>(IF(G327=0,0,(Upgrades!$J$8+G327*Upgrades!$K$8)*POWER(Upgrades!$L$8,G327)))*(IF(Upgrades!$T$6="Stellar Coupling",POWER(Upgrades!$U$6,E327),1)*IF(Upgrades!$T$7="Stellar Coupling",POWER(Upgrades!$U$7,F327),1)*IF(Upgrades!$T$9="Stellar Coupling",POWER(Upgrades!$U$9,H327),1)*IF(Upgrades!$T$10="Stellar Coupling",POWER(Upgrades!$U$10,I327),1)*IF(Upgrades!$T$11="Stellar Coupling",POWER(Upgrades!$U$11,J327),1)*IF(Upgrades!$T$12="Stellar Coupling",POWER(Upgrades!$U$12,K327),1))*POWER(Upgrades!$Q$6,E327)*POWER(Upgrades!$Q$7,F327)*POWER(Upgrades!$Q$8,G327)*POWER(Upgrades!$Q$9,H327)*POWER(Upgrades!$Q$10,I327)*POWER(Upgrades!$Q$11,J327)*POWER(Upgrades!$Q$12,K327)*Parameters!$B$10*Parameters!$B$11</f>
        <v/>
      </c>
      <c r="AD327" s="27">
        <f>(IF(H327=0,0,(Upgrades!$G$9+H327*Upgrades!$H$9)*POWER(Upgrades!$I$9,H327)))*(IF(Upgrades!$T$6="Magnetosphere",POWER(Upgrades!$U$6,E327),1)*IF(Upgrades!$T$7="Magnetosphere",POWER(Upgrades!$U$7,F327),1)*IF(Upgrades!$T$8="Magnetosphere",POWER(Upgrades!$U$8,G327),1)*IF(Upgrades!$T$10="Magnetosphere",POWER(Upgrades!$U$10,I327),1)*IF(Upgrades!$T$11="Magnetosphere",POWER(Upgrades!$U$11,J327),1)*IF(Upgrades!$T$12="Magnetosphere",POWER(Upgrades!$U$12,K327),1))*POWER(Upgrades!$P$6,E327)*POWER(Upgrades!$P$7,F327)*POWER(Upgrades!$P$8,G327)*POWER(Upgrades!$P$9,H327)*POWER(Upgrades!$P$10,I327)*POWER(Upgrades!$P$11,J327)*POWER(Upgrades!$P$12,K327)*60</f>
        <v/>
      </c>
      <c r="AE327" s="27">
        <f>(IF(K327=0,0,(Upgrades!$G$12+K327*Upgrades!$H$12)*POWER(Upgrades!$I$12,K327)))*(IF(Upgrades!$T$6="First Photons",POWER(Upgrades!$U$6,E327),1)*IF(Upgrades!$T$7="First Photons",POWER(Upgrades!$U$7,F327),1)*IF(Upgrades!$T$8="First Photons",POWER(Upgrades!$U$8,G327),1)*IF(Upgrades!$T$9="First Photons",POWER(Upgrades!$U$9,H327),1)*IF(Upgrades!$T$10="First Photons",POWER(Upgrades!$U$10,I327),1)*IF(Upgrades!$T$11="First Photons",POWER(Upgrades!$U$11,J327),1))*POWER(Upgrades!$P$6,E327)*POWER(Upgrades!$P$7,F327)*POWER(Upgrades!$P$8,G327)*POWER(Upgrades!$P$9,H327)*POWER(Upgrades!$P$10,I327)*POWER(Upgrades!$P$11,J327)*POWER(Upgrades!$P$12,K327)*60</f>
        <v/>
      </c>
      <c r="AF327" s="27">
        <f>Parameters!$B$9*POWER(Upgrades!$Q$6,E327)*POWER(Upgrades!$Q$7,F327)*POWER(Upgrades!$Q$8,G327)*POWER(Upgrades!$Q$9,H327)*POWER(Upgrades!$Q$10,I327)*POWER(Upgrades!$Q$11,J327)*POWER(Upgrades!$Q$12,K327)*(Parameters!$B$10*Parameters!$B$11+O327*60)</f>
        <v/>
      </c>
      <c r="AG327" s="22">
        <f>IF(E327&gt;=Upgrades!$E$6,"",Upgrades!$C$6*POWER(Upgrades!$D$6,E327))</f>
        <v/>
      </c>
      <c r="AH327" s="22">
        <f>IF(F327&gt;=Upgrades!$E$7,"",Upgrades!$C$7*POWER(Upgrades!$D$7,F327))</f>
        <v/>
      </c>
      <c r="AI327" s="22">
        <f>IF(G327&gt;=Upgrades!$E$8,"",Upgrades!$C$8*POWER(Upgrades!$D$8,G327))</f>
        <v/>
      </c>
      <c r="AJ327" s="22">
        <f>IF(H327&gt;=Upgrades!$E$9,"",Upgrades!$C$9*POWER(Upgrades!$D$9,H327))</f>
        <v/>
      </c>
      <c r="AK327" s="22">
        <f>IF(I327&gt;=Upgrades!$E$10,"",Upgrades!$C$10*POWER(Upgrades!$D$10,I327))</f>
        <v/>
      </c>
      <c r="AL327" s="22">
        <f>IF(J327&gt;=Upgrades!$E$11,"",Upgrades!$C$11*POWER(Upgrades!$D$11,J327))</f>
        <v/>
      </c>
      <c r="AM327" s="22">
        <f>IF(K327&gt;=Upgrades!$E$12,"",Upgrades!$C$12*POWER(Upgrades!$D$12,K327))</f>
        <v/>
      </c>
      <c r="AN327" s="26">
        <f>IF(AND(D327&gt;=Parameters!$B$18,(H327&gt;=Upgrades!$E$9)*(K327&gt;=Upgrades!$E$12)=1,L327=0),1,"")</f>
        <v/>
      </c>
      <c r="AO327" s="26">
        <f>IF(AND(D327&gt;=Parameters!$B$18,L327=0),1,"")</f>
        <v/>
      </c>
      <c r="AP327" s="22">
        <f>MIN(IF(ISNUMBER(AK327),AK327,9E15),IF(ISNUMBER(AL327),AL327,9E15),IF(ISNUMBER(AM327),AM327,9E15))</f>
        <v/>
      </c>
      <c r="AQ327" s="22">
        <f>MIN(IF(ISNUMBER(AG327),AG327,9E15),IF(ISNUMBER(AH327),AH327,9E15),IF(ISNUMBER(AI327),AI327,9E15),IF(ISNUMBER(AJ327),AJ327,9E15))</f>
        <v/>
      </c>
      <c r="AR327" s="29">
        <f>IF(AW327&gt;Parameters!$B$21*(MAX(IF(AND(NOT(AND(AO327=1,AN327&lt;&gt;1)),ISNUMBER(AG327),AG327&lt;=T327),AS327,0),IF(AND(NOT(AND(AO327=1,AN327&lt;&gt;1)),ISNUMBER(AH327),AH327&lt;=T327),AT327,0),IF(AND(NOT(AND(AO327=1,AN327&lt;&gt;1)),ISNUMBER(AI327),AI327&lt;=T327),AU327,0),IF(AND(ISNUMBER(AJ327),AJ327&lt;=T327),AV327,0))),TRUE,FALSE)</f>
        <v/>
      </c>
      <c r="AS327" s="32">
        <f>IFERROR(Upgrades!$H$6*(POWER(Upgrades!$P$6,E327)*POWER(Upgrades!$P$7,F327)*POWER(Upgrades!$P$8,G327)*POWER(Upgrades!$P$9,H327)*POWER(Upgrades!$P$10,I327)*POWER(Upgrades!$P$11,J327)*POWER(Upgrades!$P$12,K327))*(IF(Upgrades!$T$7="Solar Wind",POWER(Upgrades!$U$7,F327),1)*IF(Upgrades!$T$8="Solar Wind",POWER(Upgrades!$U$8,G327),1)*IF(Upgrades!$T$9="Solar Wind",POWER(Upgrades!$U$9,H327),1)*IF(Upgrades!$T$10="Solar Wind",POWER(Upgrades!$U$10,I327),1)*IF(Upgrades!$T$11="Solar Wind",POWER(Upgrades!$U$11,J327),1)*IF(Upgrades!$T$12="Solar Wind",POWER(Upgrades!$U$12,K327),1))/AG327,0)</f>
        <v/>
      </c>
      <c r="AT327" s="32">
        <f>IFERROR(Upgrades!$H$7*(POWER(Upgrades!$P$6,E327)*POWER(Upgrades!$P$7,F327)*POWER(Upgrades!$P$8,G327)*POWER(Upgrades!$P$9,H327)*POWER(Upgrades!$P$10,I327)*POWER(Upgrades!$P$11,J327)*POWER(Upgrades!$P$12,K327))*(IF(Upgrades!$T$6="Asteroid Belt",POWER(Upgrades!$U$6,E327),1)*IF(Upgrades!$T$8="Asteroid Belt",POWER(Upgrades!$U$8,G327),1)*IF(Upgrades!$T$9="Asteroid Belt",POWER(Upgrades!$U$9,H327),1)*IF(Upgrades!$T$10="Asteroid Belt",POWER(Upgrades!$U$10,I327),1)*IF(Upgrades!$T$11="Asteroid Belt",POWER(Upgrades!$U$11,J327),1)*IF(Upgrades!$T$12="Asteroid Belt",POWER(Upgrades!$U$12,K327),1))/AH327,0)</f>
        <v/>
      </c>
      <c r="AU327" s="32">
        <f>IFERROR(Upgrades!$K$8*(POWER(Upgrades!$Q$6,E327)*POWER(Upgrades!$Q$7,F327)*POWER(Upgrades!$Q$8,G327)*POWER(Upgrades!$Q$9,H327)*POWER(Upgrades!$Q$10,I327)*POWER(Upgrades!$Q$11,J327)*POWER(Upgrades!$Q$12,K327))*(IF(Upgrades!$T$6="Stellar Coupling",POWER(Upgrades!$U$6,E327),1)*IF(Upgrades!$T$7="Stellar Coupling",POWER(Upgrades!$U$7,F327),1)*IF(Upgrades!$T$9="Stellar Coupling",POWER(Upgrades!$U$9,H327),1)*IF(Upgrades!$T$10="Stellar Coupling",POWER(Upgrades!$U$10,I327),1)*IF(Upgrades!$T$11="Stellar Coupling",POWER(Upgrades!$U$11,J327),1)*IF(Upgrades!$T$12="Stellar Coupling",POWER(Upgrades!$U$12,K327),1))*Parameters!$B$10*Parameters!$B$11/60/AI327,0)</f>
        <v/>
      </c>
      <c r="AV327" s="32">
        <f>IFERROR(Upgrades!$H$9*(POWER(Upgrades!$P$6,E327)*POWER(Upgrades!$P$7,F327)*POWER(Upgrades!$P$8,G327)*POWER(Upgrades!$P$9,H327)*POWER(Upgrades!$P$10,I327)*POWER(Upgrades!$P$11,J327)*POWER(Upgrades!$P$12,K327))*(IF(Upgrades!$T$6="Magnetosphere",POWER(Upgrades!$U$6,E327),1)*IF(Upgrades!$T$7="Magnetosphere",POWER(Upgrades!$U$7,F327),1)*IF(Upgrades!$T$8="Magnetosphere",POWER(Upgrades!$U$8,G327),1)*IF(Upgrades!$T$10="Magnetosphere",POWER(Upgrades!$U$10,I327),1)*IF(Upgrades!$T$11="Magnetosphere",POWER(Upgrades!$U$11,J327),1)*IF(Upgrades!$T$12="Magnetosphere",POWER(Upgrades!$U$12,K327),1))/AJ327,0)</f>
        <v/>
      </c>
      <c r="AW327" s="32">
        <f>MAX(IF(I327&gt;0,0,IFERROR(0.25*N327/Upgrades!$C$10,0)),IF(J327&gt;0,0,IFERROR(0.5*((IF(G327=0,0,(Upgrades!$J$8+G327*Upgrades!$K$8)*POWER(Upgrades!$L$8,G327)))*(IF(Upgrades!$T$6="Stellar Coupling",POWER(Upgrades!$U$6,E327),1)*IF(Upgrades!$T$7="Stellar Coupling",POWER(Upgrades!$U$7,F327),1)*IF(Upgrades!$T$9="Stellar Coupling",POWER(Upgrades!$U$9,H327),1)*IF(Upgrades!$T$10="Stellar Coupling",POWER(Upgrades!$U$10,I327),1)*IF(Upgrades!$T$11="Stellar Coupling",POWER(Upgrades!$U$11,J327),1)*IF(Upgrades!$T$12="Stellar Coupling",POWER(Upgrades!$U$12,K327),1))*(POWER(Upgrades!$Q$6,E327)*POWER(Upgrades!$Q$7,F327)*POWER(Upgrades!$Q$8,G327)*POWER(Upgrades!$Q$9,H327)*POWER(Upgrades!$Q$10,I327)*POWER(Upgrades!$Q$11,J327)*POWER(Upgrades!$Q$12,K327))*Parameters!$B$10*Parameters!$B$11/60)/Upgrades!$C$11,0)),IF(K327&gt;0,0,IFERROR((1.0*(POWER(Upgrades!$P$6,E327)*POWER(Upgrades!$P$7,F327)*POWER(Upgrades!$P$8,G327)*POWER(Upgrades!$P$9,H327)*POWER(Upgrades!$P$10,I327)*POWER(Upgrades!$P$11,J327)*POWER(Upgrades!$P$12,K327))+0.20*M327*Parameters!$B$10*Parameters!$B$11/60)/Upgrades!$C$12,0)),IF(AND(ISNUMBER(AG327),AG327&gt;T327),AS327,0),IF(AND(ISNUMBER(AH327),AH327&gt;T327),AT327,0),IF(AND(ISNUMBER(AI327),AI327&gt;T327),AU327,0),IF(AND(ISNUMBER(AJ327),AJ327&gt;T327),AV327,0))</f>
        <v/>
      </c>
      <c r="AX327" s="29">
        <f>IF(AN327=1,"transition",IF(MIN(IF(AND(I327=0,ISNUMBER(AK327),AK327&lt;=T327),AK327,9E15),IF(AND(J327=0,ISNUMBER(AL327),AL327&lt;=T327),AL327,9E15),IF(AND(K327=0,ISNUMBER(AM327),AM327&lt;=T327),AM327,9E15))&lt;9E15,IF(AND(AND(I327=0,ISNUMBER(AK327),AK327&lt;=T327),AK327=MIN(IF(AND(I327=0,ISNUMBER(AK327),AK327&lt;=T327),AK327,9E15),IF(AND(J327=0,ISNUMBER(AL327),AL327&lt;=T327),AL327,9E15),IF(AND(K327=0,ISNUMBER(AM327),AM327&lt;=T327),AM327,9E15))),"OR",IF(AND(AND(J327=0,ISNUMBER(AL327),AL327&lt;=T327),AL327=MIN(IF(AND(I327=0,ISNUMBER(AK327),AK327&lt;=T327),AK327,9E15),IF(AND(J327=0,ISNUMBER(AL327),AL327&lt;=T327),AL327,9E15),IF(AND(K327=0,ISNUMBER(AM327),AM327&lt;=T327),AM327,9E15))),"HP","FP")),IF(AR327=TRUE,"",IF(MAX(IF(AND(NOT(AND(AO327=1,AN327&lt;&gt;1)),ISNUMBER(AG327),AG327&lt;=T327),AS327,0),IF(AND(NOT(AND(AO327=1,AN327&lt;&gt;1)),ISNUMBER(AH327),AH327&lt;=T327),AT327,0),IF(AND(NOT(AND(AO327=1,AN327&lt;&gt;1)),ISNUMBER(AI327),AI327&lt;=T327),AU327,0),IF(AND(ISNUMBER(AJ327),AJ327&lt;=T327),AV327,0))&lt;=0,"",IF(AND(IF(AND(NOT(AND(AO327=1,AN327&lt;&gt;1)),ISNUMBER(AG327),AG327&lt;=T327),AS327,0)&gt;0,IF(AND(NOT(AND(AO327=1,AN327&lt;&gt;1)),ISNUMBER(AG327),AG327&lt;=T327),AS327,0)=MAX(IF(AND(NOT(AND(AO327=1,AN327&lt;&gt;1)),ISNUMBER(AG327),AG327&lt;=T327),AS327,0),IF(AND(NOT(AND(AO327=1,AN327&lt;&gt;1)),ISNUMBER(AH327),AH327&lt;=T327),AT327,0),IF(AND(NOT(AND(AO327=1,AN327&lt;&gt;1)),ISNUMBER(AI327),AI327&lt;=T327),AU327,0),IF(AND(ISNUMBER(AJ327),AJ327&lt;=T327),AV327,0))),"SW",IF(AND(IF(AND(NOT(AND(AO327=1,AN327&lt;&gt;1)),ISNUMBER(AH327),AH327&lt;=T327),AT327,0)&gt;0,IF(AND(NOT(AND(AO327=1,AN327&lt;&gt;1)),ISNUMBER(AH327),AH327&lt;=T327),AT327,0)=MAX(IF(AND(NOT(AND(AO327=1,AN327&lt;&gt;1)),ISNUMBER(AG327),AG327&lt;=T327),AS327,0),IF(AND(NOT(AND(AO327=1,AN327&lt;&gt;1)),ISNUMBER(AH327),AH327&lt;=T327),AT327,0),IF(AND(NOT(AND(AO327=1,AN327&lt;&gt;1)),ISNUMBER(AI327),AI327&lt;=T327),AU327,0),IF(AND(ISNUMBER(AJ327),AJ327&lt;=T327),AV327,0))),"AB",IF(AND(IF(AND(NOT(AND(AO327=1,AN327&lt;&gt;1)),ISNUMBER(AI327),AI327&lt;=T327),AU327,0)&gt;0,IF(AND(NOT(AND(AO327=1,AN327&lt;&gt;1)),ISNUMBER(AI327),AI327&lt;=T327),AU327,0)=MAX(IF(AND(NOT(AND(AO327=1,AN327&lt;&gt;1)),ISNUMBER(AG327),AG327&lt;=T327),AS327,0),IF(AND(NOT(AND(AO327=1,AN327&lt;&gt;1)),ISNUMBER(AH327),AH327&lt;=T327),AT327,0),IF(AND(NOT(AND(AO327=1,AN327&lt;&gt;1)),ISNUMBER(AI327),AI327&lt;=T327),AU327,0),IF(AND(ISNUMBER(AJ327),AJ327&lt;=T327),AV327,0))),"SC","Mag")))))))</f>
        <v/>
      </c>
    </row>
    <row r="328">
      <c r="A328" s="26" t="n">
        <v>323</v>
      </c>
      <c r="B328" s="27">
        <f>A328*10/60</f>
        <v/>
      </c>
      <c r="C328" s="22">
        <f>X327</f>
        <v/>
      </c>
      <c r="D328" s="27">
        <f>D327+W327</f>
        <v/>
      </c>
      <c r="E328" s="26">
        <f>E327+IF(U327="SW",1,0)</f>
        <v/>
      </c>
      <c r="F328" s="26">
        <f>F327+IF(U327="AB",1,0)</f>
        <v/>
      </c>
      <c r="G328" s="26">
        <f>G327+IF(U327="SC",1,0)</f>
        <v/>
      </c>
      <c r="H328" s="26">
        <f>H327+IF(U327="Mag",1,0)</f>
        <v/>
      </c>
      <c r="I328" s="26">
        <f>MAX(I327,IF(U327="OR",1,0))</f>
        <v/>
      </c>
      <c r="J328" s="26">
        <f>MAX(J327,IF(U327="HP",1,0))</f>
        <v/>
      </c>
      <c r="K328" s="26">
        <f>MAX(K327,IF(U327="FP",1,0))</f>
        <v/>
      </c>
      <c r="L328" s="26">
        <f>MAX(L327,IF(U327="transition",1,0))</f>
        <v/>
      </c>
      <c r="M328" s="28">
        <f>(Parameters!$B$9+(IF(E328=0,0,(Upgrades!$J$6+E328*Upgrades!$K$6)*POWER(Upgrades!$L$6,E328)))*(IF(Upgrades!$T$7="Solar Wind",POWER(Upgrades!$U$7,F328),1)*IF(Upgrades!$T$8="Solar Wind",POWER(Upgrades!$U$8,G328),1)*IF(Upgrades!$T$9="Solar Wind",POWER(Upgrades!$U$9,H328),1)*IF(Upgrades!$T$10="Solar Wind",POWER(Upgrades!$U$10,I328),1)*IF(Upgrades!$T$11="Solar Wind",POWER(Upgrades!$U$11,J328),1)*IF(Upgrades!$T$12="Solar Wind",POWER(Upgrades!$U$12,K328),1))+(IF(F328=0,0,(Upgrades!$J$7+F328*Upgrades!$K$7)*POWER(Upgrades!$L$7,F328)))*(IF(Upgrades!$T$6="Asteroid Belt",POWER(Upgrades!$U$6,E328),1)*IF(Upgrades!$T$8="Asteroid Belt",POWER(Upgrades!$U$8,G328),1)*IF(Upgrades!$T$9="Asteroid Belt",POWER(Upgrades!$U$9,H328),1)*IF(Upgrades!$T$10="Asteroid Belt",POWER(Upgrades!$U$10,I328),1)*IF(Upgrades!$T$11="Asteroid Belt",POWER(Upgrades!$U$11,J328),1)*IF(Upgrades!$T$12="Asteroid Belt",POWER(Upgrades!$U$12,K328),1))+(IF(G328=0,0,(Upgrades!$J$8+G328*Upgrades!$K$8)*POWER(Upgrades!$L$8,G328)))*(IF(Upgrades!$T$6="Stellar Coupling",POWER(Upgrades!$U$6,E328),1)*IF(Upgrades!$T$7="Stellar Coupling",POWER(Upgrades!$U$7,F328),1)*IF(Upgrades!$T$9="Stellar Coupling",POWER(Upgrades!$U$9,H328),1)*IF(Upgrades!$T$10="Stellar Coupling",POWER(Upgrades!$U$10,I328),1)*IF(Upgrades!$T$11="Stellar Coupling",POWER(Upgrades!$U$11,J328),1)*IF(Upgrades!$T$12="Stellar Coupling",POWER(Upgrades!$U$12,K328),1))+(IF(H328=0,0,(Upgrades!$J$9+H328*Upgrades!$K$9)*POWER(Upgrades!$L$9,H328)))*(IF(Upgrades!$T$6="Magnetosphere",POWER(Upgrades!$U$6,E328),1)*IF(Upgrades!$T$7="Magnetosphere",POWER(Upgrades!$U$7,F328),1)*IF(Upgrades!$T$8="Magnetosphere",POWER(Upgrades!$U$8,G328),1)*IF(Upgrades!$T$10="Magnetosphere",POWER(Upgrades!$U$10,I328),1)*IF(Upgrades!$T$11="Magnetosphere",POWER(Upgrades!$U$11,J328),1)*IF(Upgrades!$T$12="Magnetosphere",POWER(Upgrades!$U$12,K328),1))+(IF(I328=0,0,(Upgrades!$J$10+I328*Upgrades!$K$10)*POWER(Upgrades!$L$10,I328)))*(IF(Upgrades!$T$6="Orbital Resonance",POWER(Upgrades!$U$6,E328),1)*IF(Upgrades!$T$7="Orbital Resonance",POWER(Upgrades!$U$7,F328),1)*IF(Upgrades!$T$8="Orbital Resonance",POWER(Upgrades!$U$8,G328),1)*IF(Upgrades!$T$9="Orbital Resonance",POWER(Upgrades!$U$9,H328),1)*IF(Upgrades!$T$11="Orbital Resonance",POWER(Upgrades!$U$11,J328),1)*IF(Upgrades!$T$12="Orbital Resonance",POWER(Upgrades!$U$12,K328),1))+(IF(J328=0,0,(Upgrades!$J$11+J328*Upgrades!$K$11)*POWER(Upgrades!$L$11,J328)))*(IF(Upgrades!$T$6="Heliopause",POWER(Upgrades!$U$6,E328),1)*IF(Upgrades!$T$7="Heliopause",POWER(Upgrades!$U$7,F328),1)*IF(Upgrades!$T$8="Heliopause",POWER(Upgrades!$U$8,G328),1)*IF(Upgrades!$T$9="Heliopause",POWER(Upgrades!$U$9,H328),1)*IF(Upgrades!$T$10="Heliopause",POWER(Upgrades!$U$10,I328),1)*IF(Upgrades!$T$12="Heliopause",POWER(Upgrades!$U$12,K328),1))+(IF(K328=0,0,(Upgrades!$J$12+K328*Upgrades!$K$12)*POWER(Upgrades!$L$12,K328)))*(IF(Upgrades!$T$6="First Photons",POWER(Upgrades!$U$6,E328),1)*IF(Upgrades!$T$7="First Photons",POWER(Upgrades!$U$7,F328),1)*IF(Upgrades!$T$8="First Photons",POWER(Upgrades!$U$8,G328),1)*IF(Upgrades!$T$9="First Photons",POWER(Upgrades!$U$9,H328),1)*IF(Upgrades!$T$10="First Photons",POWER(Upgrades!$U$10,I328),1)*IF(Upgrades!$T$11="First Photons",POWER(Upgrades!$U$11,J328),1)))*POWER(Upgrades!$Q$6,E328)*POWER(Upgrades!$Q$7,F328)*POWER(Upgrades!$Q$8,G328)*POWER(Upgrades!$Q$9,H328)*POWER(Upgrades!$Q$10,I328)*POWER(Upgrades!$Q$11,J328)*POWER(Upgrades!$Q$12,K328)</f>
        <v/>
      </c>
      <c r="N328" s="28">
        <f>((IF(E328=0,0,(Upgrades!$G$6+E328*Upgrades!$H$6)*POWER(Upgrades!$I$6,E328)))*(IF(Upgrades!$T$7="Solar Wind",POWER(Upgrades!$U$7,F328),1)*IF(Upgrades!$T$8="Solar Wind",POWER(Upgrades!$U$8,G328),1)*IF(Upgrades!$T$9="Solar Wind",POWER(Upgrades!$U$9,H328),1)*IF(Upgrades!$T$10="Solar Wind",POWER(Upgrades!$U$10,I328),1)*IF(Upgrades!$T$11="Solar Wind",POWER(Upgrades!$U$11,J328),1)*IF(Upgrades!$T$12="Solar Wind",POWER(Upgrades!$U$12,K328),1))+(IF(F328=0,0,(Upgrades!$G$7+F328*Upgrades!$H$7)*POWER(Upgrades!$I$7,F328)))*(IF(Upgrades!$T$6="Asteroid Belt",POWER(Upgrades!$U$6,E328),1)*IF(Upgrades!$T$8="Asteroid Belt",POWER(Upgrades!$U$8,G328),1)*IF(Upgrades!$T$9="Asteroid Belt",POWER(Upgrades!$U$9,H328),1)*IF(Upgrades!$T$10="Asteroid Belt",POWER(Upgrades!$U$10,I328),1)*IF(Upgrades!$T$11="Asteroid Belt",POWER(Upgrades!$U$11,J328),1)*IF(Upgrades!$T$12="Asteroid Belt",POWER(Upgrades!$U$12,K328),1))+(IF(G328=0,0,(Upgrades!$G$8+G328*Upgrades!$H$8)*POWER(Upgrades!$I$8,G328)))*(IF(Upgrades!$T$6="Stellar Coupling",POWER(Upgrades!$U$6,E328),1)*IF(Upgrades!$T$7="Stellar Coupling",POWER(Upgrades!$U$7,F328),1)*IF(Upgrades!$T$9="Stellar Coupling",POWER(Upgrades!$U$9,H328),1)*IF(Upgrades!$T$10="Stellar Coupling",POWER(Upgrades!$U$10,I328),1)*IF(Upgrades!$T$11="Stellar Coupling",POWER(Upgrades!$U$11,J328),1)*IF(Upgrades!$T$12="Stellar Coupling",POWER(Upgrades!$U$12,K328),1))+(IF(H328=0,0,(Upgrades!$G$9+H328*Upgrades!$H$9)*POWER(Upgrades!$I$9,H328)))*(IF(Upgrades!$T$6="Magnetosphere",POWER(Upgrades!$U$6,E328),1)*IF(Upgrades!$T$7="Magnetosphere",POWER(Upgrades!$U$7,F328),1)*IF(Upgrades!$T$8="Magnetosphere",POWER(Upgrades!$U$8,G328),1)*IF(Upgrades!$T$10="Magnetosphere",POWER(Upgrades!$U$10,I328),1)*IF(Upgrades!$T$11="Magnetosphere",POWER(Upgrades!$U$11,J328),1)*IF(Upgrades!$T$12="Magnetosphere",POWER(Upgrades!$U$12,K328),1))+(IF(I328=0,0,(Upgrades!$G$10+I328*Upgrades!$H$10)*POWER(Upgrades!$I$10,I328)))*(IF(Upgrades!$T$6="Orbital Resonance",POWER(Upgrades!$U$6,E328),1)*IF(Upgrades!$T$7="Orbital Resonance",POWER(Upgrades!$U$7,F328),1)*IF(Upgrades!$T$8="Orbital Resonance",POWER(Upgrades!$U$8,G328),1)*IF(Upgrades!$T$9="Orbital Resonance",POWER(Upgrades!$U$9,H328),1)*IF(Upgrades!$T$11="Orbital Resonance",POWER(Upgrades!$U$11,J328),1)*IF(Upgrades!$T$12="Orbital Resonance",POWER(Upgrades!$U$12,K328),1))+(IF(J328=0,0,(Upgrades!$G$11+J328*Upgrades!$H$11)*POWER(Upgrades!$I$11,J328)))*(IF(Upgrades!$T$6="Heliopause",POWER(Upgrades!$U$6,E328),1)*IF(Upgrades!$T$7="Heliopause",POWER(Upgrades!$U$7,F328),1)*IF(Upgrades!$T$8="Heliopause",POWER(Upgrades!$U$8,G328),1)*IF(Upgrades!$T$9="Heliopause",POWER(Upgrades!$U$9,H328),1)*IF(Upgrades!$T$10="Heliopause",POWER(Upgrades!$U$10,I328),1)*IF(Upgrades!$T$12="Heliopause",POWER(Upgrades!$U$12,K328),1))+(IF(K328=0,0,(Upgrades!$G$12+K328*Upgrades!$H$12)*POWER(Upgrades!$I$12,K328)))*(IF(Upgrades!$T$6="First Photons",POWER(Upgrades!$U$6,E328),1)*IF(Upgrades!$T$7="First Photons",POWER(Upgrades!$U$7,F328),1)*IF(Upgrades!$T$8="First Photons",POWER(Upgrades!$U$8,G328),1)*IF(Upgrades!$T$9="First Photons",POWER(Upgrades!$U$9,H328),1)*IF(Upgrades!$T$10="First Photons",POWER(Upgrades!$U$10,I328),1)*IF(Upgrades!$T$11="First Photons",POWER(Upgrades!$U$11,J328),1)))*POWER(Upgrades!$P$6,E328)*POWER(Upgrades!$P$7,F328)*POWER(Upgrades!$P$8,G328)*POWER(Upgrades!$P$9,H328)*POWER(Upgrades!$P$10,I328)*POWER(Upgrades!$P$11,J328)*POWER(Upgrades!$P$12,K328)</f>
        <v/>
      </c>
      <c r="O328" s="28">
        <f>((IF(E328=0,0,(Upgrades!$M$6+E328*Upgrades!$N$6)*POWER(Upgrades!$O$6,E328)))*(IF(Upgrades!$T$7="Solar Wind",POWER(Upgrades!$U$7,F328),1)*IF(Upgrades!$T$8="Solar Wind",POWER(Upgrades!$U$8,G328),1)*IF(Upgrades!$T$9="Solar Wind",POWER(Upgrades!$U$9,H328),1)*IF(Upgrades!$T$10="Solar Wind",POWER(Upgrades!$U$10,I328),1)*IF(Upgrades!$T$11="Solar Wind",POWER(Upgrades!$U$11,J328),1)*IF(Upgrades!$T$12="Solar Wind",POWER(Upgrades!$U$12,K328),1))+(IF(F328=0,0,(Upgrades!$M$7+F328*Upgrades!$N$7)*POWER(Upgrades!$O$7,F328)))*(IF(Upgrades!$T$6="Asteroid Belt",POWER(Upgrades!$U$6,E328),1)*IF(Upgrades!$T$8="Asteroid Belt",POWER(Upgrades!$U$8,G328),1)*IF(Upgrades!$T$9="Asteroid Belt",POWER(Upgrades!$U$9,H328),1)*IF(Upgrades!$T$10="Asteroid Belt",POWER(Upgrades!$U$10,I328),1)*IF(Upgrades!$T$11="Asteroid Belt",POWER(Upgrades!$U$11,J328),1)*IF(Upgrades!$T$12="Asteroid Belt",POWER(Upgrades!$U$12,K328),1))+(IF(G328=0,0,(Upgrades!$M$8+G328*Upgrades!$N$8)*POWER(Upgrades!$O$8,G328)))*(IF(Upgrades!$T$6="Stellar Coupling",POWER(Upgrades!$U$6,E328),1)*IF(Upgrades!$T$7="Stellar Coupling",POWER(Upgrades!$U$7,F328),1)*IF(Upgrades!$T$9="Stellar Coupling",POWER(Upgrades!$U$9,H328),1)*IF(Upgrades!$T$10="Stellar Coupling",POWER(Upgrades!$U$10,I328),1)*IF(Upgrades!$T$11="Stellar Coupling",POWER(Upgrades!$U$11,J328),1)*IF(Upgrades!$T$12="Stellar Coupling",POWER(Upgrades!$U$12,K328),1))+(IF(H328=0,0,(Upgrades!$M$9+H328*Upgrades!$N$9)*POWER(Upgrades!$O$9,H328)))*(IF(Upgrades!$T$6="Magnetosphere",POWER(Upgrades!$U$6,E328),1)*IF(Upgrades!$T$7="Magnetosphere",POWER(Upgrades!$U$7,F328),1)*IF(Upgrades!$T$8="Magnetosphere",POWER(Upgrades!$U$8,G328),1)*IF(Upgrades!$T$10="Magnetosphere",POWER(Upgrades!$U$10,I328),1)*IF(Upgrades!$T$11="Magnetosphere",POWER(Upgrades!$U$11,J328),1)*IF(Upgrades!$T$12="Magnetosphere",POWER(Upgrades!$U$12,K328),1))+(IF(I328=0,0,(Upgrades!$M$10+I328*Upgrades!$N$10)*POWER(Upgrades!$O$10,I328)))*(IF(Upgrades!$T$6="Orbital Resonance",POWER(Upgrades!$U$6,E328),1)*IF(Upgrades!$T$7="Orbital Resonance",POWER(Upgrades!$U$7,F328),1)*IF(Upgrades!$T$8="Orbital Resonance",POWER(Upgrades!$U$8,G328),1)*IF(Upgrades!$T$9="Orbital Resonance",POWER(Upgrades!$U$9,H328),1)*IF(Upgrades!$T$11="Orbital Resonance",POWER(Upgrades!$U$11,J328),1)*IF(Upgrades!$T$12="Orbital Resonance",POWER(Upgrades!$U$12,K328),1))+(IF(J328=0,0,(Upgrades!$M$11+J328*Upgrades!$N$11)*POWER(Upgrades!$O$11,J328)))*(IF(Upgrades!$T$6="Heliopause",POWER(Upgrades!$U$6,E328),1)*IF(Upgrades!$T$7="Heliopause",POWER(Upgrades!$U$7,F328),1)*IF(Upgrades!$T$8="Heliopause",POWER(Upgrades!$U$8,G328),1)*IF(Upgrades!$T$9="Heliopause",POWER(Upgrades!$U$9,H328),1)*IF(Upgrades!$T$10="Heliopause",POWER(Upgrades!$U$10,I328),1)*IF(Upgrades!$T$12="Heliopause",POWER(Upgrades!$U$12,K328),1))+(IF(K328=0,0,(Upgrades!$M$12+K328*Upgrades!$N$12)*POWER(Upgrades!$O$12,K328)))*(IF(Upgrades!$T$6="First Photons",POWER(Upgrades!$U$6,E328),1)*IF(Upgrades!$T$7="First Photons",POWER(Upgrades!$U$7,F328),1)*IF(Upgrades!$T$8="First Photons",POWER(Upgrades!$U$8,G328),1)*IF(Upgrades!$T$9="First Photons",POWER(Upgrades!$U$9,H328),1)*IF(Upgrades!$T$10="First Photons",POWER(Upgrades!$U$10,I328),1)*IF(Upgrades!$T$11="First Photons",POWER(Upgrades!$U$11,J328),1)))*POWER(Upgrades!$R$6,E328)*POWER(Upgrades!$R$7,F328)*POWER(Upgrades!$R$8,G328)*POWER(Upgrades!$R$9,H328)*POWER(Upgrades!$R$10,I328)*POWER(Upgrades!$R$11,J328)*POWER(Upgrades!$R$12,K328)</f>
        <v/>
      </c>
      <c r="P328" s="27">
        <f>IF(L328=1,0,M328*Parameters!$B$10/60*Parameters!$B$11*10)</f>
        <v/>
      </c>
      <c r="Q328" s="27">
        <f>IF(L328=1,0,O328*M328*10)</f>
        <v/>
      </c>
      <c r="R328" s="27">
        <f>IF(L328=1,0,N328*10)</f>
        <v/>
      </c>
      <c r="S328" s="27">
        <f>P328+Q328+R328</f>
        <v/>
      </c>
      <c r="T328" s="22">
        <f>C328+S328</f>
        <v/>
      </c>
      <c r="U328" s="33">
        <f>AX328</f>
        <v/>
      </c>
      <c r="V328" s="22">
        <f>IF(U328="",0,IF(U328="transition",0,IF(U328="SW",AG328,IF(U328="AB",AH328,IF(U328="SC",AI328,IF(U328="Mag",AJ328,IF(U328="OR",AK328,IF(U328="HP",AL328,IF(U328="FP",AM328,0)))))))))</f>
        <v/>
      </c>
      <c r="W328" s="27">
        <f>IF(U328="OR",Upgrades!$F$10,IF(U328="HP",Upgrades!$F$11,IF(U328="transition",-Parameters!$B$18,0)))</f>
        <v/>
      </c>
      <c r="X328" s="22">
        <f>T328-V328</f>
        <v/>
      </c>
      <c r="Y328" s="30">
        <f>M328*Parameters!$B$10/60*Parameters!$B$11+O328*M328+N328</f>
        <v/>
      </c>
      <c r="Z328" s="34">
        <f>IF(U328="transition","→ Tier 2 (Stellar Neighborhood)",IF(U328="FP","First Photons — light begins, system quickens",IF(U328="HP","Heliopause acquired",IF(U328="OR","Orbital Resonance — passive multiplier active",IF(AND(AO328=1,L328=0,AN328&lt;&gt;1),"Cohesion ready (waiting on completionist upgrades)","")))))</f>
        <v/>
      </c>
      <c r="AA328" s="27">
        <f>(IF(E328=0,0,(Upgrades!$G$6+E328*Upgrades!$H$6)*POWER(Upgrades!$I$6,E328)))*(IF(Upgrades!$T$7="Solar Wind",POWER(Upgrades!$U$7,F328),1)*IF(Upgrades!$T$8="Solar Wind",POWER(Upgrades!$U$8,G328),1)*IF(Upgrades!$T$9="Solar Wind",POWER(Upgrades!$U$9,H328),1)*IF(Upgrades!$T$10="Solar Wind",POWER(Upgrades!$U$10,I328),1)*IF(Upgrades!$T$11="Solar Wind",POWER(Upgrades!$U$11,J328),1)*IF(Upgrades!$T$12="Solar Wind",POWER(Upgrades!$U$12,K328),1))*POWER(Upgrades!$P$6,E328)*POWER(Upgrades!$P$7,F328)*POWER(Upgrades!$P$8,G328)*POWER(Upgrades!$P$9,H328)*POWER(Upgrades!$P$10,I328)*POWER(Upgrades!$P$11,J328)*POWER(Upgrades!$P$12,K328)*60</f>
        <v/>
      </c>
      <c r="AB328" s="27">
        <f>(IF(F328=0,0,(Upgrades!$G$7+F328*Upgrades!$H$7)*POWER(Upgrades!$I$7,F328)))*(IF(Upgrades!$T$6="Asteroid Belt",POWER(Upgrades!$U$6,E328),1)*IF(Upgrades!$T$8="Asteroid Belt",POWER(Upgrades!$U$8,G328),1)*IF(Upgrades!$T$9="Asteroid Belt",POWER(Upgrades!$U$9,H328),1)*IF(Upgrades!$T$10="Asteroid Belt",POWER(Upgrades!$U$10,I328),1)*IF(Upgrades!$T$11="Asteroid Belt",POWER(Upgrades!$U$11,J328),1)*IF(Upgrades!$T$12="Asteroid Belt",POWER(Upgrades!$U$12,K328),1))*POWER(Upgrades!$P$6,E328)*POWER(Upgrades!$P$7,F328)*POWER(Upgrades!$P$8,G328)*POWER(Upgrades!$P$9,H328)*POWER(Upgrades!$P$10,I328)*POWER(Upgrades!$P$11,J328)*POWER(Upgrades!$P$12,K328)*60</f>
        <v/>
      </c>
      <c r="AC328" s="27">
        <f>(IF(G328=0,0,(Upgrades!$J$8+G328*Upgrades!$K$8)*POWER(Upgrades!$L$8,G328)))*(IF(Upgrades!$T$6="Stellar Coupling",POWER(Upgrades!$U$6,E328),1)*IF(Upgrades!$T$7="Stellar Coupling",POWER(Upgrades!$U$7,F328),1)*IF(Upgrades!$T$9="Stellar Coupling",POWER(Upgrades!$U$9,H328),1)*IF(Upgrades!$T$10="Stellar Coupling",POWER(Upgrades!$U$10,I328),1)*IF(Upgrades!$T$11="Stellar Coupling",POWER(Upgrades!$U$11,J328),1)*IF(Upgrades!$T$12="Stellar Coupling",POWER(Upgrades!$U$12,K328),1))*POWER(Upgrades!$Q$6,E328)*POWER(Upgrades!$Q$7,F328)*POWER(Upgrades!$Q$8,G328)*POWER(Upgrades!$Q$9,H328)*POWER(Upgrades!$Q$10,I328)*POWER(Upgrades!$Q$11,J328)*POWER(Upgrades!$Q$12,K328)*Parameters!$B$10*Parameters!$B$11</f>
        <v/>
      </c>
      <c r="AD328" s="27">
        <f>(IF(H328=0,0,(Upgrades!$G$9+H328*Upgrades!$H$9)*POWER(Upgrades!$I$9,H328)))*(IF(Upgrades!$T$6="Magnetosphere",POWER(Upgrades!$U$6,E328),1)*IF(Upgrades!$T$7="Magnetosphere",POWER(Upgrades!$U$7,F328),1)*IF(Upgrades!$T$8="Magnetosphere",POWER(Upgrades!$U$8,G328),1)*IF(Upgrades!$T$10="Magnetosphere",POWER(Upgrades!$U$10,I328),1)*IF(Upgrades!$T$11="Magnetosphere",POWER(Upgrades!$U$11,J328),1)*IF(Upgrades!$T$12="Magnetosphere",POWER(Upgrades!$U$12,K328),1))*POWER(Upgrades!$P$6,E328)*POWER(Upgrades!$P$7,F328)*POWER(Upgrades!$P$8,G328)*POWER(Upgrades!$P$9,H328)*POWER(Upgrades!$P$10,I328)*POWER(Upgrades!$P$11,J328)*POWER(Upgrades!$P$12,K328)*60</f>
        <v/>
      </c>
      <c r="AE328" s="27">
        <f>(IF(K328=0,0,(Upgrades!$G$12+K328*Upgrades!$H$12)*POWER(Upgrades!$I$12,K328)))*(IF(Upgrades!$T$6="First Photons",POWER(Upgrades!$U$6,E328),1)*IF(Upgrades!$T$7="First Photons",POWER(Upgrades!$U$7,F328),1)*IF(Upgrades!$T$8="First Photons",POWER(Upgrades!$U$8,G328),1)*IF(Upgrades!$T$9="First Photons",POWER(Upgrades!$U$9,H328),1)*IF(Upgrades!$T$10="First Photons",POWER(Upgrades!$U$10,I328),1)*IF(Upgrades!$T$11="First Photons",POWER(Upgrades!$U$11,J328),1))*POWER(Upgrades!$P$6,E328)*POWER(Upgrades!$P$7,F328)*POWER(Upgrades!$P$8,G328)*POWER(Upgrades!$P$9,H328)*POWER(Upgrades!$P$10,I328)*POWER(Upgrades!$P$11,J328)*POWER(Upgrades!$P$12,K328)*60</f>
        <v/>
      </c>
      <c r="AF328" s="27">
        <f>Parameters!$B$9*POWER(Upgrades!$Q$6,E328)*POWER(Upgrades!$Q$7,F328)*POWER(Upgrades!$Q$8,G328)*POWER(Upgrades!$Q$9,H328)*POWER(Upgrades!$Q$10,I328)*POWER(Upgrades!$Q$11,J328)*POWER(Upgrades!$Q$12,K328)*(Parameters!$B$10*Parameters!$B$11+O328*60)</f>
        <v/>
      </c>
      <c r="AG328" s="22">
        <f>IF(E328&gt;=Upgrades!$E$6,"",Upgrades!$C$6*POWER(Upgrades!$D$6,E328))</f>
        <v/>
      </c>
      <c r="AH328" s="22">
        <f>IF(F328&gt;=Upgrades!$E$7,"",Upgrades!$C$7*POWER(Upgrades!$D$7,F328))</f>
        <v/>
      </c>
      <c r="AI328" s="22">
        <f>IF(G328&gt;=Upgrades!$E$8,"",Upgrades!$C$8*POWER(Upgrades!$D$8,G328))</f>
        <v/>
      </c>
      <c r="AJ328" s="22">
        <f>IF(H328&gt;=Upgrades!$E$9,"",Upgrades!$C$9*POWER(Upgrades!$D$9,H328))</f>
        <v/>
      </c>
      <c r="AK328" s="22">
        <f>IF(I328&gt;=Upgrades!$E$10,"",Upgrades!$C$10*POWER(Upgrades!$D$10,I328))</f>
        <v/>
      </c>
      <c r="AL328" s="22">
        <f>IF(J328&gt;=Upgrades!$E$11,"",Upgrades!$C$11*POWER(Upgrades!$D$11,J328))</f>
        <v/>
      </c>
      <c r="AM328" s="22">
        <f>IF(K328&gt;=Upgrades!$E$12,"",Upgrades!$C$12*POWER(Upgrades!$D$12,K328))</f>
        <v/>
      </c>
      <c r="AN328" s="26">
        <f>IF(AND(D328&gt;=Parameters!$B$18,(H328&gt;=Upgrades!$E$9)*(K328&gt;=Upgrades!$E$12)=1,L328=0),1,"")</f>
        <v/>
      </c>
      <c r="AO328" s="26">
        <f>IF(AND(D328&gt;=Parameters!$B$18,L328=0),1,"")</f>
        <v/>
      </c>
      <c r="AP328" s="22">
        <f>MIN(IF(ISNUMBER(AK328),AK328,9E15),IF(ISNUMBER(AL328),AL328,9E15),IF(ISNUMBER(AM328),AM328,9E15))</f>
        <v/>
      </c>
      <c r="AQ328" s="22">
        <f>MIN(IF(ISNUMBER(AG328),AG328,9E15),IF(ISNUMBER(AH328),AH328,9E15),IF(ISNUMBER(AI328),AI328,9E15),IF(ISNUMBER(AJ328),AJ328,9E15))</f>
        <v/>
      </c>
      <c r="AR328" s="29">
        <f>IF(AW328&gt;Parameters!$B$21*(MAX(IF(AND(NOT(AND(AO328=1,AN328&lt;&gt;1)),ISNUMBER(AG328),AG328&lt;=T328),AS328,0),IF(AND(NOT(AND(AO328=1,AN328&lt;&gt;1)),ISNUMBER(AH328),AH328&lt;=T328),AT328,0),IF(AND(NOT(AND(AO328=1,AN328&lt;&gt;1)),ISNUMBER(AI328),AI328&lt;=T328),AU328,0),IF(AND(ISNUMBER(AJ328),AJ328&lt;=T328),AV328,0))),TRUE,FALSE)</f>
        <v/>
      </c>
      <c r="AS328" s="32">
        <f>IFERROR(Upgrades!$H$6*(POWER(Upgrades!$P$6,E328)*POWER(Upgrades!$P$7,F328)*POWER(Upgrades!$P$8,G328)*POWER(Upgrades!$P$9,H328)*POWER(Upgrades!$P$10,I328)*POWER(Upgrades!$P$11,J328)*POWER(Upgrades!$P$12,K328))*(IF(Upgrades!$T$7="Solar Wind",POWER(Upgrades!$U$7,F328),1)*IF(Upgrades!$T$8="Solar Wind",POWER(Upgrades!$U$8,G328),1)*IF(Upgrades!$T$9="Solar Wind",POWER(Upgrades!$U$9,H328),1)*IF(Upgrades!$T$10="Solar Wind",POWER(Upgrades!$U$10,I328),1)*IF(Upgrades!$T$11="Solar Wind",POWER(Upgrades!$U$11,J328),1)*IF(Upgrades!$T$12="Solar Wind",POWER(Upgrades!$U$12,K328),1))/AG328,0)</f>
        <v/>
      </c>
      <c r="AT328" s="32">
        <f>IFERROR(Upgrades!$H$7*(POWER(Upgrades!$P$6,E328)*POWER(Upgrades!$P$7,F328)*POWER(Upgrades!$P$8,G328)*POWER(Upgrades!$P$9,H328)*POWER(Upgrades!$P$10,I328)*POWER(Upgrades!$P$11,J328)*POWER(Upgrades!$P$12,K328))*(IF(Upgrades!$T$6="Asteroid Belt",POWER(Upgrades!$U$6,E328),1)*IF(Upgrades!$T$8="Asteroid Belt",POWER(Upgrades!$U$8,G328),1)*IF(Upgrades!$T$9="Asteroid Belt",POWER(Upgrades!$U$9,H328),1)*IF(Upgrades!$T$10="Asteroid Belt",POWER(Upgrades!$U$10,I328),1)*IF(Upgrades!$T$11="Asteroid Belt",POWER(Upgrades!$U$11,J328),1)*IF(Upgrades!$T$12="Asteroid Belt",POWER(Upgrades!$U$12,K328),1))/AH328,0)</f>
        <v/>
      </c>
      <c r="AU328" s="32">
        <f>IFERROR(Upgrades!$K$8*(POWER(Upgrades!$Q$6,E328)*POWER(Upgrades!$Q$7,F328)*POWER(Upgrades!$Q$8,G328)*POWER(Upgrades!$Q$9,H328)*POWER(Upgrades!$Q$10,I328)*POWER(Upgrades!$Q$11,J328)*POWER(Upgrades!$Q$12,K328))*(IF(Upgrades!$T$6="Stellar Coupling",POWER(Upgrades!$U$6,E328),1)*IF(Upgrades!$T$7="Stellar Coupling",POWER(Upgrades!$U$7,F328),1)*IF(Upgrades!$T$9="Stellar Coupling",POWER(Upgrades!$U$9,H328),1)*IF(Upgrades!$T$10="Stellar Coupling",POWER(Upgrades!$U$10,I328),1)*IF(Upgrades!$T$11="Stellar Coupling",POWER(Upgrades!$U$11,J328),1)*IF(Upgrades!$T$12="Stellar Coupling",POWER(Upgrades!$U$12,K328),1))*Parameters!$B$10*Parameters!$B$11/60/AI328,0)</f>
        <v/>
      </c>
      <c r="AV328" s="32">
        <f>IFERROR(Upgrades!$H$9*(POWER(Upgrades!$P$6,E328)*POWER(Upgrades!$P$7,F328)*POWER(Upgrades!$P$8,G328)*POWER(Upgrades!$P$9,H328)*POWER(Upgrades!$P$10,I328)*POWER(Upgrades!$P$11,J328)*POWER(Upgrades!$P$12,K328))*(IF(Upgrades!$T$6="Magnetosphere",POWER(Upgrades!$U$6,E328),1)*IF(Upgrades!$T$7="Magnetosphere",POWER(Upgrades!$U$7,F328),1)*IF(Upgrades!$T$8="Magnetosphere",POWER(Upgrades!$U$8,G328),1)*IF(Upgrades!$T$10="Magnetosphere",POWER(Upgrades!$U$10,I328),1)*IF(Upgrades!$T$11="Magnetosphere",POWER(Upgrades!$U$11,J328),1)*IF(Upgrades!$T$12="Magnetosphere",POWER(Upgrades!$U$12,K328),1))/AJ328,0)</f>
        <v/>
      </c>
      <c r="AW328" s="32">
        <f>MAX(IF(I328&gt;0,0,IFERROR(0.25*N328/Upgrades!$C$10,0)),IF(J328&gt;0,0,IFERROR(0.5*((IF(G328=0,0,(Upgrades!$J$8+G328*Upgrades!$K$8)*POWER(Upgrades!$L$8,G328)))*(IF(Upgrades!$T$6="Stellar Coupling",POWER(Upgrades!$U$6,E328),1)*IF(Upgrades!$T$7="Stellar Coupling",POWER(Upgrades!$U$7,F328),1)*IF(Upgrades!$T$9="Stellar Coupling",POWER(Upgrades!$U$9,H328),1)*IF(Upgrades!$T$10="Stellar Coupling",POWER(Upgrades!$U$10,I328),1)*IF(Upgrades!$T$11="Stellar Coupling",POWER(Upgrades!$U$11,J328),1)*IF(Upgrades!$T$12="Stellar Coupling",POWER(Upgrades!$U$12,K328),1))*(POWER(Upgrades!$Q$6,E328)*POWER(Upgrades!$Q$7,F328)*POWER(Upgrades!$Q$8,G328)*POWER(Upgrades!$Q$9,H328)*POWER(Upgrades!$Q$10,I328)*POWER(Upgrades!$Q$11,J328)*POWER(Upgrades!$Q$12,K328))*Parameters!$B$10*Parameters!$B$11/60)/Upgrades!$C$11,0)),IF(K328&gt;0,0,IFERROR((1.0*(POWER(Upgrades!$P$6,E328)*POWER(Upgrades!$P$7,F328)*POWER(Upgrades!$P$8,G328)*POWER(Upgrades!$P$9,H328)*POWER(Upgrades!$P$10,I328)*POWER(Upgrades!$P$11,J328)*POWER(Upgrades!$P$12,K328))+0.20*M328*Parameters!$B$10*Parameters!$B$11/60)/Upgrades!$C$12,0)),IF(AND(ISNUMBER(AG328),AG328&gt;T328),AS328,0),IF(AND(ISNUMBER(AH328),AH328&gt;T328),AT328,0),IF(AND(ISNUMBER(AI328),AI328&gt;T328),AU328,0),IF(AND(ISNUMBER(AJ328),AJ328&gt;T328),AV328,0))</f>
        <v/>
      </c>
      <c r="AX328" s="29">
        <f>IF(AN328=1,"transition",IF(MIN(IF(AND(I328=0,ISNUMBER(AK328),AK328&lt;=T328),AK328,9E15),IF(AND(J328=0,ISNUMBER(AL328),AL328&lt;=T328),AL328,9E15),IF(AND(K328=0,ISNUMBER(AM328),AM328&lt;=T328),AM328,9E15))&lt;9E15,IF(AND(AND(I328=0,ISNUMBER(AK328),AK328&lt;=T328),AK328=MIN(IF(AND(I328=0,ISNUMBER(AK328),AK328&lt;=T328),AK328,9E15),IF(AND(J328=0,ISNUMBER(AL328),AL328&lt;=T328),AL328,9E15),IF(AND(K328=0,ISNUMBER(AM328),AM328&lt;=T328),AM328,9E15))),"OR",IF(AND(AND(J328=0,ISNUMBER(AL328),AL328&lt;=T328),AL328=MIN(IF(AND(I328=0,ISNUMBER(AK328),AK328&lt;=T328),AK328,9E15),IF(AND(J328=0,ISNUMBER(AL328),AL328&lt;=T328),AL328,9E15),IF(AND(K328=0,ISNUMBER(AM328),AM328&lt;=T328),AM328,9E15))),"HP","FP")),IF(AR328=TRUE,"",IF(MAX(IF(AND(NOT(AND(AO328=1,AN328&lt;&gt;1)),ISNUMBER(AG328),AG328&lt;=T328),AS328,0),IF(AND(NOT(AND(AO328=1,AN328&lt;&gt;1)),ISNUMBER(AH328),AH328&lt;=T328),AT328,0),IF(AND(NOT(AND(AO328=1,AN328&lt;&gt;1)),ISNUMBER(AI328),AI328&lt;=T328),AU328,0),IF(AND(ISNUMBER(AJ328),AJ328&lt;=T328),AV328,0))&lt;=0,"",IF(AND(IF(AND(NOT(AND(AO328=1,AN328&lt;&gt;1)),ISNUMBER(AG328),AG328&lt;=T328),AS328,0)&gt;0,IF(AND(NOT(AND(AO328=1,AN328&lt;&gt;1)),ISNUMBER(AG328),AG328&lt;=T328),AS328,0)=MAX(IF(AND(NOT(AND(AO328=1,AN328&lt;&gt;1)),ISNUMBER(AG328),AG328&lt;=T328),AS328,0),IF(AND(NOT(AND(AO328=1,AN328&lt;&gt;1)),ISNUMBER(AH328),AH328&lt;=T328),AT328,0),IF(AND(NOT(AND(AO328=1,AN328&lt;&gt;1)),ISNUMBER(AI328),AI328&lt;=T328),AU328,0),IF(AND(ISNUMBER(AJ328),AJ328&lt;=T328),AV328,0))),"SW",IF(AND(IF(AND(NOT(AND(AO328=1,AN328&lt;&gt;1)),ISNUMBER(AH328),AH328&lt;=T328),AT328,0)&gt;0,IF(AND(NOT(AND(AO328=1,AN328&lt;&gt;1)),ISNUMBER(AH328),AH328&lt;=T328),AT328,0)=MAX(IF(AND(NOT(AND(AO328=1,AN328&lt;&gt;1)),ISNUMBER(AG328),AG328&lt;=T328),AS328,0),IF(AND(NOT(AND(AO328=1,AN328&lt;&gt;1)),ISNUMBER(AH328),AH328&lt;=T328),AT328,0),IF(AND(NOT(AND(AO328=1,AN328&lt;&gt;1)),ISNUMBER(AI328),AI328&lt;=T328),AU328,0),IF(AND(ISNUMBER(AJ328),AJ328&lt;=T328),AV328,0))),"AB",IF(AND(IF(AND(NOT(AND(AO328=1,AN328&lt;&gt;1)),ISNUMBER(AI328),AI328&lt;=T328),AU328,0)&gt;0,IF(AND(NOT(AND(AO328=1,AN328&lt;&gt;1)),ISNUMBER(AI328),AI328&lt;=T328),AU328,0)=MAX(IF(AND(NOT(AND(AO328=1,AN328&lt;&gt;1)),ISNUMBER(AG328),AG328&lt;=T328),AS328,0),IF(AND(NOT(AND(AO328=1,AN328&lt;&gt;1)),ISNUMBER(AH328),AH328&lt;=T328),AT328,0),IF(AND(NOT(AND(AO328=1,AN328&lt;&gt;1)),ISNUMBER(AI328),AI328&lt;=T328),AU328,0),IF(AND(ISNUMBER(AJ328),AJ328&lt;=T328),AV328,0))),"SC","Mag")))))))</f>
        <v/>
      </c>
    </row>
    <row r="329">
      <c r="A329" s="26" t="n">
        <v>324</v>
      </c>
      <c r="B329" s="27">
        <f>A329*10/60</f>
        <v/>
      </c>
      <c r="C329" s="22">
        <f>X328</f>
        <v/>
      </c>
      <c r="D329" s="27">
        <f>D328+W328</f>
        <v/>
      </c>
      <c r="E329" s="26">
        <f>E328+IF(U328="SW",1,0)</f>
        <v/>
      </c>
      <c r="F329" s="26">
        <f>F328+IF(U328="AB",1,0)</f>
        <v/>
      </c>
      <c r="G329" s="26">
        <f>G328+IF(U328="SC",1,0)</f>
        <v/>
      </c>
      <c r="H329" s="26">
        <f>H328+IF(U328="Mag",1,0)</f>
        <v/>
      </c>
      <c r="I329" s="26">
        <f>MAX(I328,IF(U328="OR",1,0))</f>
        <v/>
      </c>
      <c r="J329" s="26">
        <f>MAX(J328,IF(U328="HP",1,0))</f>
        <v/>
      </c>
      <c r="K329" s="26">
        <f>MAX(K328,IF(U328="FP",1,0))</f>
        <v/>
      </c>
      <c r="L329" s="26">
        <f>MAX(L328,IF(U328="transition",1,0))</f>
        <v/>
      </c>
      <c r="M329" s="28">
        <f>(Parameters!$B$9+(IF(E329=0,0,(Upgrades!$J$6+E329*Upgrades!$K$6)*POWER(Upgrades!$L$6,E329)))*(IF(Upgrades!$T$7="Solar Wind",POWER(Upgrades!$U$7,F329),1)*IF(Upgrades!$T$8="Solar Wind",POWER(Upgrades!$U$8,G329),1)*IF(Upgrades!$T$9="Solar Wind",POWER(Upgrades!$U$9,H329),1)*IF(Upgrades!$T$10="Solar Wind",POWER(Upgrades!$U$10,I329),1)*IF(Upgrades!$T$11="Solar Wind",POWER(Upgrades!$U$11,J329),1)*IF(Upgrades!$T$12="Solar Wind",POWER(Upgrades!$U$12,K329),1))+(IF(F329=0,0,(Upgrades!$J$7+F329*Upgrades!$K$7)*POWER(Upgrades!$L$7,F329)))*(IF(Upgrades!$T$6="Asteroid Belt",POWER(Upgrades!$U$6,E329),1)*IF(Upgrades!$T$8="Asteroid Belt",POWER(Upgrades!$U$8,G329),1)*IF(Upgrades!$T$9="Asteroid Belt",POWER(Upgrades!$U$9,H329),1)*IF(Upgrades!$T$10="Asteroid Belt",POWER(Upgrades!$U$10,I329),1)*IF(Upgrades!$T$11="Asteroid Belt",POWER(Upgrades!$U$11,J329),1)*IF(Upgrades!$T$12="Asteroid Belt",POWER(Upgrades!$U$12,K329),1))+(IF(G329=0,0,(Upgrades!$J$8+G329*Upgrades!$K$8)*POWER(Upgrades!$L$8,G329)))*(IF(Upgrades!$T$6="Stellar Coupling",POWER(Upgrades!$U$6,E329),1)*IF(Upgrades!$T$7="Stellar Coupling",POWER(Upgrades!$U$7,F329),1)*IF(Upgrades!$T$9="Stellar Coupling",POWER(Upgrades!$U$9,H329),1)*IF(Upgrades!$T$10="Stellar Coupling",POWER(Upgrades!$U$10,I329),1)*IF(Upgrades!$T$11="Stellar Coupling",POWER(Upgrades!$U$11,J329),1)*IF(Upgrades!$T$12="Stellar Coupling",POWER(Upgrades!$U$12,K329),1))+(IF(H329=0,0,(Upgrades!$J$9+H329*Upgrades!$K$9)*POWER(Upgrades!$L$9,H329)))*(IF(Upgrades!$T$6="Magnetosphere",POWER(Upgrades!$U$6,E329),1)*IF(Upgrades!$T$7="Magnetosphere",POWER(Upgrades!$U$7,F329),1)*IF(Upgrades!$T$8="Magnetosphere",POWER(Upgrades!$U$8,G329),1)*IF(Upgrades!$T$10="Magnetosphere",POWER(Upgrades!$U$10,I329),1)*IF(Upgrades!$T$11="Magnetosphere",POWER(Upgrades!$U$11,J329),1)*IF(Upgrades!$T$12="Magnetosphere",POWER(Upgrades!$U$12,K329),1))+(IF(I329=0,0,(Upgrades!$J$10+I329*Upgrades!$K$10)*POWER(Upgrades!$L$10,I329)))*(IF(Upgrades!$T$6="Orbital Resonance",POWER(Upgrades!$U$6,E329),1)*IF(Upgrades!$T$7="Orbital Resonance",POWER(Upgrades!$U$7,F329),1)*IF(Upgrades!$T$8="Orbital Resonance",POWER(Upgrades!$U$8,G329),1)*IF(Upgrades!$T$9="Orbital Resonance",POWER(Upgrades!$U$9,H329),1)*IF(Upgrades!$T$11="Orbital Resonance",POWER(Upgrades!$U$11,J329),1)*IF(Upgrades!$T$12="Orbital Resonance",POWER(Upgrades!$U$12,K329),1))+(IF(J329=0,0,(Upgrades!$J$11+J329*Upgrades!$K$11)*POWER(Upgrades!$L$11,J329)))*(IF(Upgrades!$T$6="Heliopause",POWER(Upgrades!$U$6,E329),1)*IF(Upgrades!$T$7="Heliopause",POWER(Upgrades!$U$7,F329),1)*IF(Upgrades!$T$8="Heliopause",POWER(Upgrades!$U$8,G329),1)*IF(Upgrades!$T$9="Heliopause",POWER(Upgrades!$U$9,H329),1)*IF(Upgrades!$T$10="Heliopause",POWER(Upgrades!$U$10,I329),1)*IF(Upgrades!$T$12="Heliopause",POWER(Upgrades!$U$12,K329),1))+(IF(K329=0,0,(Upgrades!$J$12+K329*Upgrades!$K$12)*POWER(Upgrades!$L$12,K329)))*(IF(Upgrades!$T$6="First Photons",POWER(Upgrades!$U$6,E329),1)*IF(Upgrades!$T$7="First Photons",POWER(Upgrades!$U$7,F329),1)*IF(Upgrades!$T$8="First Photons",POWER(Upgrades!$U$8,G329),1)*IF(Upgrades!$T$9="First Photons",POWER(Upgrades!$U$9,H329),1)*IF(Upgrades!$T$10="First Photons",POWER(Upgrades!$U$10,I329),1)*IF(Upgrades!$T$11="First Photons",POWER(Upgrades!$U$11,J329),1)))*POWER(Upgrades!$Q$6,E329)*POWER(Upgrades!$Q$7,F329)*POWER(Upgrades!$Q$8,G329)*POWER(Upgrades!$Q$9,H329)*POWER(Upgrades!$Q$10,I329)*POWER(Upgrades!$Q$11,J329)*POWER(Upgrades!$Q$12,K329)</f>
        <v/>
      </c>
      <c r="N329" s="28">
        <f>((IF(E329=0,0,(Upgrades!$G$6+E329*Upgrades!$H$6)*POWER(Upgrades!$I$6,E329)))*(IF(Upgrades!$T$7="Solar Wind",POWER(Upgrades!$U$7,F329),1)*IF(Upgrades!$T$8="Solar Wind",POWER(Upgrades!$U$8,G329),1)*IF(Upgrades!$T$9="Solar Wind",POWER(Upgrades!$U$9,H329),1)*IF(Upgrades!$T$10="Solar Wind",POWER(Upgrades!$U$10,I329),1)*IF(Upgrades!$T$11="Solar Wind",POWER(Upgrades!$U$11,J329),1)*IF(Upgrades!$T$12="Solar Wind",POWER(Upgrades!$U$12,K329),1))+(IF(F329=0,0,(Upgrades!$G$7+F329*Upgrades!$H$7)*POWER(Upgrades!$I$7,F329)))*(IF(Upgrades!$T$6="Asteroid Belt",POWER(Upgrades!$U$6,E329),1)*IF(Upgrades!$T$8="Asteroid Belt",POWER(Upgrades!$U$8,G329),1)*IF(Upgrades!$T$9="Asteroid Belt",POWER(Upgrades!$U$9,H329),1)*IF(Upgrades!$T$10="Asteroid Belt",POWER(Upgrades!$U$10,I329),1)*IF(Upgrades!$T$11="Asteroid Belt",POWER(Upgrades!$U$11,J329),1)*IF(Upgrades!$T$12="Asteroid Belt",POWER(Upgrades!$U$12,K329),1))+(IF(G329=0,0,(Upgrades!$G$8+G329*Upgrades!$H$8)*POWER(Upgrades!$I$8,G329)))*(IF(Upgrades!$T$6="Stellar Coupling",POWER(Upgrades!$U$6,E329),1)*IF(Upgrades!$T$7="Stellar Coupling",POWER(Upgrades!$U$7,F329),1)*IF(Upgrades!$T$9="Stellar Coupling",POWER(Upgrades!$U$9,H329),1)*IF(Upgrades!$T$10="Stellar Coupling",POWER(Upgrades!$U$10,I329),1)*IF(Upgrades!$T$11="Stellar Coupling",POWER(Upgrades!$U$11,J329),1)*IF(Upgrades!$T$12="Stellar Coupling",POWER(Upgrades!$U$12,K329),1))+(IF(H329=0,0,(Upgrades!$G$9+H329*Upgrades!$H$9)*POWER(Upgrades!$I$9,H329)))*(IF(Upgrades!$T$6="Magnetosphere",POWER(Upgrades!$U$6,E329),1)*IF(Upgrades!$T$7="Magnetosphere",POWER(Upgrades!$U$7,F329),1)*IF(Upgrades!$T$8="Magnetosphere",POWER(Upgrades!$U$8,G329),1)*IF(Upgrades!$T$10="Magnetosphere",POWER(Upgrades!$U$10,I329),1)*IF(Upgrades!$T$11="Magnetosphere",POWER(Upgrades!$U$11,J329),1)*IF(Upgrades!$T$12="Magnetosphere",POWER(Upgrades!$U$12,K329),1))+(IF(I329=0,0,(Upgrades!$G$10+I329*Upgrades!$H$10)*POWER(Upgrades!$I$10,I329)))*(IF(Upgrades!$T$6="Orbital Resonance",POWER(Upgrades!$U$6,E329),1)*IF(Upgrades!$T$7="Orbital Resonance",POWER(Upgrades!$U$7,F329),1)*IF(Upgrades!$T$8="Orbital Resonance",POWER(Upgrades!$U$8,G329),1)*IF(Upgrades!$T$9="Orbital Resonance",POWER(Upgrades!$U$9,H329),1)*IF(Upgrades!$T$11="Orbital Resonance",POWER(Upgrades!$U$11,J329),1)*IF(Upgrades!$T$12="Orbital Resonance",POWER(Upgrades!$U$12,K329),1))+(IF(J329=0,0,(Upgrades!$G$11+J329*Upgrades!$H$11)*POWER(Upgrades!$I$11,J329)))*(IF(Upgrades!$T$6="Heliopause",POWER(Upgrades!$U$6,E329),1)*IF(Upgrades!$T$7="Heliopause",POWER(Upgrades!$U$7,F329),1)*IF(Upgrades!$T$8="Heliopause",POWER(Upgrades!$U$8,G329),1)*IF(Upgrades!$T$9="Heliopause",POWER(Upgrades!$U$9,H329),1)*IF(Upgrades!$T$10="Heliopause",POWER(Upgrades!$U$10,I329),1)*IF(Upgrades!$T$12="Heliopause",POWER(Upgrades!$U$12,K329),1))+(IF(K329=0,0,(Upgrades!$G$12+K329*Upgrades!$H$12)*POWER(Upgrades!$I$12,K329)))*(IF(Upgrades!$T$6="First Photons",POWER(Upgrades!$U$6,E329),1)*IF(Upgrades!$T$7="First Photons",POWER(Upgrades!$U$7,F329),1)*IF(Upgrades!$T$8="First Photons",POWER(Upgrades!$U$8,G329),1)*IF(Upgrades!$T$9="First Photons",POWER(Upgrades!$U$9,H329),1)*IF(Upgrades!$T$10="First Photons",POWER(Upgrades!$U$10,I329),1)*IF(Upgrades!$T$11="First Photons",POWER(Upgrades!$U$11,J329),1)))*POWER(Upgrades!$P$6,E329)*POWER(Upgrades!$P$7,F329)*POWER(Upgrades!$P$8,G329)*POWER(Upgrades!$P$9,H329)*POWER(Upgrades!$P$10,I329)*POWER(Upgrades!$P$11,J329)*POWER(Upgrades!$P$12,K329)</f>
        <v/>
      </c>
      <c r="O329" s="28">
        <f>((IF(E329=0,0,(Upgrades!$M$6+E329*Upgrades!$N$6)*POWER(Upgrades!$O$6,E329)))*(IF(Upgrades!$T$7="Solar Wind",POWER(Upgrades!$U$7,F329),1)*IF(Upgrades!$T$8="Solar Wind",POWER(Upgrades!$U$8,G329),1)*IF(Upgrades!$T$9="Solar Wind",POWER(Upgrades!$U$9,H329),1)*IF(Upgrades!$T$10="Solar Wind",POWER(Upgrades!$U$10,I329),1)*IF(Upgrades!$T$11="Solar Wind",POWER(Upgrades!$U$11,J329),1)*IF(Upgrades!$T$12="Solar Wind",POWER(Upgrades!$U$12,K329),1))+(IF(F329=0,0,(Upgrades!$M$7+F329*Upgrades!$N$7)*POWER(Upgrades!$O$7,F329)))*(IF(Upgrades!$T$6="Asteroid Belt",POWER(Upgrades!$U$6,E329),1)*IF(Upgrades!$T$8="Asteroid Belt",POWER(Upgrades!$U$8,G329),1)*IF(Upgrades!$T$9="Asteroid Belt",POWER(Upgrades!$U$9,H329),1)*IF(Upgrades!$T$10="Asteroid Belt",POWER(Upgrades!$U$10,I329),1)*IF(Upgrades!$T$11="Asteroid Belt",POWER(Upgrades!$U$11,J329),1)*IF(Upgrades!$T$12="Asteroid Belt",POWER(Upgrades!$U$12,K329),1))+(IF(G329=0,0,(Upgrades!$M$8+G329*Upgrades!$N$8)*POWER(Upgrades!$O$8,G329)))*(IF(Upgrades!$T$6="Stellar Coupling",POWER(Upgrades!$U$6,E329),1)*IF(Upgrades!$T$7="Stellar Coupling",POWER(Upgrades!$U$7,F329),1)*IF(Upgrades!$T$9="Stellar Coupling",POWER(Upgrades!$U$9,H329),1)*IF(Upgrades!$T$10="Stellar Coupling",POWER(Upgrades!$U$10,I329),1)*IF(Upgrades!$T$11="Stellar Coupling",POWER(Upgrades!$U$11,J329),1)*IF(Upgrades!$T$12="Stellar Coupling",POWER(Upgrades!$U$12,K329),1))+(IF(H329=0,0,(Upgrades!$M$9+H329*Upgrades!$N$9)*POWER(Upgrades!$O$9,H329)))*(IF(Upgrades!$T$6="Magnetosphere",POWER(Upgrades!$U$6,E329),1)*IF(Upgrades!$T$7="Magnetosphere",POWER(Upgrades!$U$7,F329),1)*IF(Upgrades!$T$8="Magnetosphere",POWER(Upgrades!$U$8,G329),1)*IF(Upgrades!$T$10="Magnetosphere",POWER(Upgrades!$U$10,I329),1)*IF(Upgrades!$T$11="Magnetosphere",POWER(Upgrades!$U$11,J329),1)*IF(Upgrades!$T$12="Magnetosphere",POWER(Upgrades!$U$12,K329),1))+(IF(I329=0,0,(Upgrades!$M$10+I329*Upgrades!$N$10)*POWER(Upgrades!$O$10,I329)))*(IF(Upgrades!$T$6="Orbital Resonance",POWER(Upgrades!$U$6,E329),1)*IF(Upgrades!$T$7="Orbital Resonance",POWER(Upgrades!$U$7,F329),1)*IF(Upgrades!$T$8="Orbital Resonance",POWER(Upgrades!$U$8,G329),1)*IF(Upgrades!$T$9="Orbital Resonance",POWER(Upgrades!$U$9,H329),1)*IF(Upgrades!$T$11="Orbital Resonance",POWER(Upgrades!$U$11,J329),1)*IF(Upgrades!$T$12="Orbital Resonance",POWER(Upgrades!$U$12,K329),1))+(IF(J329=0,0,(Upgrades!$M$11+J329*Upgrades!$N$11)*POWER(Upgrades!$O$11,J329)))*(IF(Upgrades!$T$6="Heliopause",POWER(Upgrades!$U$6,E329),1)*IF(Upgrades!$T$7="Heliopause",POWER(Upgrades!$U$7,F329),1)*IF(Upgrades!$T$8="Heliopause",POWER(Upgrades!$U$8,G329),1)*IF(Upgrades!$T$9="Heliopause",POWER(Upgrades!$U$9,H329),1)*IF(Upgrades!$T$10="Heliopause",POWER(Upgrades!$U$10,I329),1)*IF(Upgrades!$T$12="Heliopause",POWER(Upgrades!$U$12,K329),1))+(IF(K329=0,0,(Upgrades!$M$12+K329*Upgrades!$N$12)*POWER(Upgrades!$O$12,K329)))*(IF(Upgrades!$T$6="First Photons",POWER(Upgrades!$U$6,E329),1)*IF(Upgrades!$T$7="First Photons",POWER(Upgrades!$U$7,F329),1)*IF(Upgrades!$T$8="First Photons",POWER(Upgrades!$U$8,G329),1)*IF(Upgrades!$T$9="First Photons",POWER(Upgrades!$U$9,H329),1)*IF(Upgrades!$T$10="First Photons",POWER(Upgrades!$U$10,I329),1)*IF(Upgrades!$T$11="First Photons",POWER(Upgrades!$U$11,J329),1)))*POWER(Upgrades!$R$6,E329)*POWER(Upgrades!$R$7,F329)*POWER(Upgrades!$R$8,G329)*POWER(Upgrades!$R$9,H329)*POWER(Upgrades!$R$10,I329)*POWER(Upgrades!$R$11,J329)*POWER(Upgrades!$R$12,K329)</f>
        <v/>
      </c>
      <c r="P329" s="27">
        <f>IF(L329=1,0,M329*Parameters!$B$10/60*Parameters!$B$11*10)</f>
        <v/>
      </c>
      <c r="Q329" s="27">
        <f>IF(L329=1,0,O329*M329*10)</f>
        <v/>
      </c>
      <c r="R329" s="27">
        <f>IF(L329=1,0,N329*10)</f>
        <v/>
      </c>
      <c r="S329" s="27">
        <f>P329+Q329+R329</f>
        <v/>
      </c>
      <c r="T329" s="22">
        <f>C329+S329</f>
        <v/>
      </c>
      <c r="U329" s="33">
        <f>AX329</f>
        <v/>
      </c>
      <c r="V329" s="22">
        <f>IF(U329="",0,IF(U329="transition",0,IF(U329="SW",AG329,IF(U329="AB",AH329,IF(U329="SC",AI329,IF(U329="Mag",AJ329,IF(U329="OR",AK329,IF(U329="HP",AL329,IF(U329="FP",AM329,0)))))))))</f>
        <v/>
      </c>
      <c r="W329" s="27">
        <f>IF(U329="OR",Upgrades!$F$10,IF(U329="HP",Upgrades!$F$11,IF(U329="transition",-Parameters!$B$18,0)))</f>
        <v/>
      </c>
      <c r="X329" s="22">
        <f>T329-V329</f>
        <v/>
      </c>
      <c r="Y329" s="30">
        <f>M329*Parameters!$B$10/60*Parameters!$B$11+O329*M329+N329</f>
        <v/>
      </c>
      <c r="Z329" s="34">
        <f>IF(U329="transition","→ Tier 2 (Stellar Neighborhood)",IF(U329="FP","First Photons — light begins, system quickens",IF(U329="HP","Heliopause acquired",IF(U329="OR","Orbital Resonance — passive multiplier active",IF(AND(AO329=1,L329=0,AN329&lt;&gt;1),"Cohesion ready (waiting on completionist upgrades)","")))))</f>
        <v/>
      </c>
      <c r="AA329" s="27">
        <f>(IF(E329=0,0,(Upgrades!$G$6+E329*Upgrades!$H$6)*POWER(Upgrades!$I$6,E329)))*(IF(Upgrades!$T$7="Solar Wind",POWER(Upgrades!$U$7,F329),1)*IF(Upgrades!$T$8="Solar Wind",POWER(Upgrades!$U$8,G329),1)*IF(Upgrades!$T$9="Solar Wind",POWER(Upgrades!$U$9,H329),1)*IF(Upgrades!$T$10="Solar Wind",POWER(Upgrades!$U$10,I329),1)*IF(Upgrades!$T$11="Solar Wind",POWER(Upgrades!$U$11,J329),1)*IF(Upgrades!$T$12="Solar Wind",POWER(Upgrades!$U$12,K329),1))*POWER(Upgrades!$P$6,E329)*POWER(Upgrades!$P$7,F329)*POWER(Upgrades!$P$8,G329)*POWER(Upgrades!$P$9,H329)*POWER(Upgrades!$P$10,I329)*POWER(Upgrades!$P$11,J329)*POWER(Upgrades!$P$12,K329)*60</f>
        <v/>
      </c>
      <c r="AB329" s="27">
        <f>(IF(F329=0,0,(Upgrades!$G$7+F329*Upgrades!$H$7)*POWER(Upgrades!$I$7,F329)))*(IF(Upgrades!$T$6="Asteroid Belt",POWER(Upgrades!$U$6,E329),1)*IF(Upgrades!$T$8="Asteroid Belt",POWER(Upgrades!$U$8,G329),1)*IF(Upgrades!$T$9="Asteroid Belt",POWER(Upgrades!$U$9,H329),1)*IF(Upgrades!$T$10="Asteroid Belt",POWER(Upgrades!$U$10,I329),1)*IF(Upgrades!$T$11="Asteroid Belt",POWER(Upgrades!$U$11,J329),1)*IF(Upgrades!$T$12="Asteroid Belt",POWER(Upgrades!$U$12,K329),1))*POWER(Upgrades!$P$6,E329)*POWER(Upgrades!$P$7,F329)*POWER(Upgrades!$P$8,G329)*POWER(Upgrades!$P$9,H329)*POWER(Upgrades!$P$10,I329)*POWER(Upgrades!$P$11,J329)*POWER(Upgrades!$P$12,K329)*60</f>
        <v/>
      </c>
      <c r="AC329" s="27">
        <f>(IF(G329=0,0,(Upgrades!$J$8+G329*Upgrades!$K$8)*POWER(Upgrades!$L$8,G329)))*(IF(Upgrades!$T$6="Stellar Coupling",POWER(Upgrades!$U$6,E329),1)*IF(Upgrades!$T$7="Stellar Coupling",POWER(Upgrades!$U$7,F329),1)*IF(Upgrades!$T$9="Stellar Coupling",POWER(Upgrades!$U$9,H329),1)*IF(Upgrades!$T$10="Stellar Coupling",POWER(Upgrades!$U$10,I329),1)*IF(Upgrades!$T$11="Stellar Coupling",POWER(Upgrades!$U$11,J329),1)*IF(Upgrades!$T$12="Stellar Coupling",POWER(Upgrades!$U$12,K329),1))*POWER(Upgrades!$Q$6,E329)*POWER(Upgrades!$Q$7,F329)*POWER(Upgrades!$Q$8,G329)*POWER(Upgrades!$Q$9,H329)*POWER(Upgrades!$Q$10,I329)*POWER(Upgrades!$Q$11,J329)*POWER(Upgrades!$Q$12,K329)*Parameters!$B$10*Parameters!$B$11</f>
        <v/>
      </c>
      <c r="AD329" s="27">
        <f>(IF(H329=0,0,(Upgrades!$G$9+H329*Upgrades!$H$9)*POWER(Upgrades!$I$9,H329)))*(IF(Upgrades!$T$6="Magnetosphere",POWER(Upgrades!$U$6,E329),1)*IF(Upgrades!$T$7="Magnetosphere",POWER(Upgrades!$U$7,F329),1)*IF(Upgrades!$T$8="Magnetosphere",POWER(Upgrades!$U$8,G329),1)*IF(Upgrades!$T$10="Magnetosphere",POWER(Upgrades!$U$10,I329),1)*IF(Upgrades!$T$11="Magnetosphere",POWER(Upgrades!$U$11,J329),1)*IF(Upgrades!$T$12="Magnetosphere",POWER(Upgrades!$U$12,K329),1))*POWER(Upgrades!$P$6,E329)*POWER(Upgrades!$P$7,F329)*POWER(Upgrades!$P$8,G329)*POWER(Upgrades!$P$9,H329)*POWER(Upgrades!$P$10,I329)*POWER(Upgrades!$P$11,J329)*POWER(Upgrades!$P$12,K329)*60</f>
        <v/>
      </c>
      <c r="AE329" s="27">
        <f>(IF(K329=0,0,(Upgrades!$G$12+K329*Upgrades!$H$12)*POWER(Upgrades!$I$12,K329)))*(IF(Upgrades!$T$6="First Photons",POWER(Upgrades!$U$6,E329),1)*IF(Upgrades!$T$7="First Photons",POWER(Upgrades!$U$7,F329),1)*IF(Upgrades!$T$8="First Photons",POWER(Upgrades!$U$8,G329),1)*IF(Upgrades!$T$9="First Photons",POWER(Upgrades!$U$9,H329),1)*IF(Upgrades!$T$10="First Photons",POWER(Upgrades!$U$10,I329),1)*IF(Upgrades!$T$11="First Photons",POWER(Upgrades!$U$11,J329),1))*POWER(Upgrades!$P$6,E329)*POWER(Upgrades!$P$7,F329)*POWER(Upgrades!$P$8,G329)*POWER(Upgrades!$P$9,H329)*POWER(Upgrades!$P$10,I329)*POWER(Upgrades!$P$11,J329)*POWER(Upgrades!$P$12,K329)*60</f>
        <v/>
      </c>
      <c r="AF329" s="27">
        <f>Parameters!$B$9*POWER(Upgrades!$Q$6,E329)*POWER(Upgrades!$Q$7,F329)*POWER(Upgrades!$Q$8,G329)*POWER(Upgrades!$Q$9,H329)*POWER(Upgrades!$Q$10,I329)*POWER(Upgrades!$Q$11,J329)*POWER(Upgrades!$Q$12,K329)*(Parameters!$B$10*Parameters!$B$11+O329*60)</f>
        <v/>
      </c>
      <c r="AG329" s="22">
        <f>IF(E329&gt;=Upgrades!$E$6,"",Upgrades!$C$6*POWER(Upgrades!$D$6,E329))</f>
        <v/>
      </c>
      <c r="AH329" s="22">
        <f>IF(F329&gt;=Upgrades!$E$7,"",Upgrades!$C$7*POWER(Upgrades!$D$7,F329))</f>
        <v/>
      </c>
      <c r="AI329" s="22">
        <f>IF(G329&gt;=Upgrades!$E$8,"",Upgrades!$C$8*POWER(Upgrades!$D$8,G329))</f>
        <v/>
      </c>
      <c r="AJ329" s="22">
        <f>IF(H329&gt;=Upgrades!$E$9,"",Upgrades!$C$9*POWER(Upgrades!$D$9,H329))</f>
        <v/>
      </c>
      <c r="AK329" s="22">
        <f>IF(I329&gt;=Upgrades!$E$10,"",Upgrades!$C$10*POWER(Upgrades!$D$10,I329))</f>
        <v/>
      </c>
      <c r="AL329" s="22">
        <f>IF(J329&gt;=Upgrades!$E$11,"",Upgrades!$C$11*POWER(Upgrades!$D$11,J329))</f>
        <v/>
      </c>
      <c r="AM329" s="22">
        <f>IF(K329&gt;=Upgrades!$E$12,"",Upgrades!$C$12*POWER(Upgrades!$D$12,K329))</f>
        <v/>
      </c>
      <c r="AN329" s="26">
        <f>IF(AND(D329&gt;=Parameters!$B$18,(H329&gt;=Upgrades!$E$9)*(K329&gt;=Upgrades!$E$12)=1,L329=0),1,"")</f>
        <v/>
      </c>
      <c r="AO329" s="26">
        <f>IF(AND(D329&gt;=Parameters!$B$18,L329=0),1,"")</f>
        <v/>
      </c>
      <c r="AP329" s="22">
        <f>MIN(IF(ISNUMBER(AK329),AK329,9E15),IF(ISNUMBER(AL329),AL329,9E15),IF(ISNUMBER(AM329),AM329,9E15))</f>
        <v/>
      </c>
      <c r="AQ329" s="22">
        <f>MIN(IF(ISNUMBER(AG329),AG329,9E15),IF(ISNUMBER(AH329),AH329,9E15),IF(ISNUMBER(AI329),AI329,9E15),IF(ISNUMBER(AJ329),AJ329,9E15))</f>
        <v/>
      </c>
      <c r="AR329" s="29">
        <f>IF(AW329&gt;Parameters!$B$21*(MAX(IF(AND(NOT(AND(AO329=1,AN329&lt;&gt;1)),ISNUMBER(AG329),AG329&lt;=T329),AS329,0),IF(AND(NOT(AND(AO329=1,AN329&lt;&gt;1)),ISNUMBER(AH329),AH329&lt;=T329),AT329,0),IF(AND(NOT(AND(AO329=1,AN329&lt;&gt;1)),ISNUMBER(AI329),AI329&lt;=T329),AU329,0),IF(AND(ISNUMBER(AJ329),AJ329&lt;=T329),AV329,0))),TRUE,FALSE)</f>
        <v/>
      </c>
      <c r="AS329" s="32">
        <f>IFERROR(Upgrades!$H$6*(POWER(Upgrades!$P$6,E329)*POWER(Upgrades!$P$7,F329)*POWER(Upgrades!$P$8,G329)*POWER(Upgrades!$P$9,H329)*POWER(Upgrades!$P$10,I329)*POWER(Upgrades!$P$11,J329)*POWER(Upgrades!$P$12,K329))*(IF(Upgrades!$T$7="Solar Wind",POWER(Upgrades!$U$7,F329),1)*IF(Upgrades!$T$8="Solar Wind",POWER(Upgrades!$U$8,G329),1)*IF(Upgrades!$T$9="Solar Wind",POWER(Upgrades!$U$9,H329),1)*IF(Upgrades!$T$10="Solar Wind",POWER(Upgrades!$U$10,I329),1)*IF(Upgrades!$T$11="Solar Wind",POWER(Upgrades!$U$11,J329),1)*IF(Upgrades!$T$12="Solar Wind",POWER(Upgrades!$U$12,K329),1))/AG329,0)</f>
        <v/>
      </c>
      <c r="AT329" s="32">
        <f>IFERROR(Upgrades!$H$7*(POWER(Upgrades!$P$6,E329)*POWER(Upgrades!$P$7,F329)*POWER(Upgrades!$P$8,G329)*POWER(Upgrades!$P$9,H329)*POWER(Upgrades!$P$10,I329)*POWER(Upgrades!$P$11,J329)*POWER(Upgrades!$P$12,K329))*(IF(Upgrades!$T$6="Asteroid Belt",POWER(Upgrades!$U$6,E329),1)*IF(Upgrades!$T$8="Asteroid Belt",POWER(Upgrades!$U$8,G329),1)*IF(Upgrades!$T$9="Asteroid Belt",POWER(Upgrades!$U$9,H329),1)*IF(Upgrades!$T$10="Asteroid Belt",POWER(Upgrades!$U$10,I329),1)*IF(Upgrades!$T$11="Asteroid Belt",POWER(Upgrades!$U$11,J329),1)*IF(Upgrades!$T$12="Asteroid Belt",POWER(Upgrades!$U$12,K329),1))/AH329,0)</f>
        <v/>
      </c>
      <c r="AU329" s="32">
        <f>IFERROR(Upgrades!$K$8*(POWER(Upgrades!$Q$6,E329)*POWER(Upgrades!$Q$7,F329)*POWER(Upgrades!$Q$8,G329)*POWER(Upgrades!$Q$9,H329)*POWER(Upgrades!$Q$10,I329)*POWER(Upgrades!$Q$11,J329)*POWER(Upgrades!$Q$12,K329))*(IF(Upgrades!$T$6="Stellar Coupling",POWER(Upgrades!$U$6,E329),1)*IF(Upgrades!$T$7="Stellar Coupling",POWER(Upgrades!$U$7,F329),1)*IF(Upgrades!$T$9="Stellar Coupling",POWER(Upgrades!$U$9,H329),1)*IF(Upgrades!$T$10="Stellar Coupling",POWER(Upgrades!$U$10,I329),1)*IF(Upgrades!$T$11="Stellar Coupling",POWER(Upgrades!$U$11,J329),1)*IF(Upgrades!$T$12="Stellar Coupling",POWER(Upgrades!$U$12,K329),1))*Parameters!$B$10*Parameters!$B$11/60/AI329,0)</f>
        <v/>
      </c>
      <c r="AV329" s="32">
        <f>IFERROR(Upgrades!$H$9*(POWER(Upgrades!$P$6,E329)*POWER(Upgrades!$P$7,F329)*POWER(Upgrades!$P$8,G329)*POWER(Upgrades!$P$9,H329)*POWER(Upgrades!$P$10,I329)*POWER(Upgrades!$P$11,J329)*POWER(Upgrades!$P$12,K329))*(IF(Upgrades!$T$6="Magnetosphere",POWER(Upgrades!$U$6,E329),1)*IF(Upgrades!$T$7="Magnetosphere",POWER(Upgrades!$U$7,F329),1)*IF(Upgrades!$T$8="Magnetosphere",POWER(Upgrades!$U$8,G329),1)*IF(Upgrades!$T$10="Magnetosphere",POWER(Upgrades!$U$10,I329),1)*IF(Upgrades!$T$11="Magnetosphere",POWER(Upgrades!$U$11,J329),1)*IF(Upgrades!$T$12="Magnetosphere",POWER(Upgrades!$U$12,K329),1))/AJ329,0)</f>
        <v/>
      </c>
      <c r="AW329" s="32">
        <f>MAX(IF(I329&gt;0,0,IFERROR(0.25*N329/Upgrades!$C$10,0)),IF(J329&gt;0,0,IFERROR(0.5*((IF(G329=0,0,(Upgrades!$J$8+G329*Upgrades!$K$8)*POWER(Upgrades!$L$8,G329)))*(IF(Upgrades!$T$6="Stellar Coupling",POWER(Upgrades!$U$6,E329),1)*IF(Upgrades!$T$7="Stellar Coupling",POWER(Upgrades!$U$7,F329),1)*IF(Upgrades!$T$9="Stellar Coupling",POWER(Upgrades!$U$9,H329),1)*IF(Upgrades!$T$10="Stellar Coupling",POWER(Upgrades!$U$10,I329),1)*IF(Upgrades!$T$11="Stellar Coupling",POWER(Upgrades!$U$11,J329),1)*IF(Upgrades!$T$12="Stellar Coupling",POWER(Upgrades!$U$12,K329),1))*(POWER(Upgrades!$Q$6,E329)*POWER(Upgrades!$Q$7,F329)*POWER(Upgrades!$Q$8,G329)*POWER(Upgrades!$Q$9,H329)*POWER(Upgrades!$Q$10,I329)*POWER(Upgrades!$Q$11,J329)*POWER(Upgrades!$Q$12,K329))*Parameters!$B$10*Parameters!$B$11/60)/Upgrades!$C$11,0)),IF(K329&gt;0,0,IFERROR((1.0*(POWER(Upgrades!$P$6,E329)*POWER(Upgrades!$P$7,F329)*POWER(Upgrades!$P$8,G329)*POWER(Upgrades!$P$9,H329)*POWER(Upgrades!$P$10,I329)*POWER(Upgrades!$P$11,J329)*POWER(Upgrades!$P$12,K329))+0.20*M329*Parameters!$B$10*Parameters!$B$11/60)/Upgrades!$C$12,0)),IF(AND(ISNUMBER(AG329),AG329&gt;T329),AS329,0),IF(AND(ISNUMBER(AH329),AH329&gt;T329),AT329,0),IF(AND(ISNUMBER(AI329),AI329&gt;T329),AU329,0),IF(AND(ISNUMBER(AJ329),AJ329&gt;T329),AV329,0))</f>
        <v/>
      </c>
      <c r="AX329" s="29">
        <f>IF(AN329=1,"transition",IF(MIN(IF(AND(I329=0,ISNUMBER(AK329),AK329&lt;=T329),AK329,9E15),IF(AND(J329=0,ISNUMBER(AL329),AL329&lt;=T329),AL329,9E15),IF(AND(K329=0,ISNUMBER(AM329),AM329&lt;=T329),AM329,9E15))&lt;9E15,IF(AND(AND(I329=0,ISNUMBER(AK329),AK329&lt;=T329),AK329=MIN(IF(AND(I329=0,ISNUMBER(AK329),AK329&lt;=T329),AK329,9E15),IF(AND(J329=0,ISNUMBER(AL329),AL329&lt;=T329),AL329,9E15),IF(AND(K329=0,ISNUMBER(AM329),AM329&lt;=T329),AM329,9E15))),"OR",IF(AND(AND(J329=0,ISNUMBER(AL329),AL329&lt;=T329),AL329=MIN(IF(AND(I329=0,ISNUMBER(AK329),AK329&lt;=T329),AK329,9E15),IF(AND(J329=0,ISNUMBER(AL329),AL329&lt;=T329),AL329,9E15),IF(AND(K329=0,ISNUMBER(AM329),AM329&lt;=T329),AM329,9E15))),"HP","FP")),IF(AR329=TRUE,"",IF(MAX(IF(AND(NOT(AND(AO329=1,AN329&lt;&gt;1)),ISNUMBER(AG329),AG329&lt;=T329),AS329,0),IF(AND(NOT(AND(AO329=1,AN329&lt;&gt;1)),ISNUMBER(AH329),AH329&lt;=T329),AT329,0),IF(AND(NOT(AND(AO329=1,AN329&lt;&gt;1)),ISNUMBER(AI329),AI329&lt;=T329),AU329,0),IF(AND(ISNUMBER(AJ329),AJ329&lt;=T329),AV329,0))&lt;=0,"",IF(AND(IF(AND(NOT(AND(AO329=1,AN329&lt;&gt;1)),ISNUMBER(AG329),AG329&lt;=T329),AS329,0)&gt;0,IF(AND(NOT(AND(AO329=1,AN329&lt;&gt;1)),ISNUMBER(AG329),AG329&lt;=T329),AS329,0)=MAX(IF(AND(NOT(AND(AO329=1,AN329&lt;&gt;1)),ISNUMBER(AG329),AG329&lt;=T329),AS329,0),IF(AND(NOT(AND(AO329=1,AN329&lt;&gt;1)),ISNUMBER(AH329),AH329&lt;=T329),AT329,0),IF(AND(NOT(AND(AO329=1,AN329&lt;&gt;1)),ISNUMBER(AI329),AI329&lt;=T329),AU329,0),IF(AND(ISNUMBER(AJ329),AJ329&lt;=T329),AV329,0))),"SW",IF(AND(IF(AND(NOT(AND(AO329=1,AN329&lt;&gt;1)),ISNUMBER(AH329),AH329&lt;=T329),AT329,0)&gt;0,IF(AND(NOT(AND(AO329=1,AN329&lt;&gt;1)),ISNUMBER(AH329),AH329&lt;=T329),AT329,0)=MAX(IF(AND(NOT(AND(AO329=1,AN329&lt;&gt;1)),ISNUMBER(AG329),AG329&lt;=T329),AS329,0),IF(AND(NOT(AND(AO329=1,AN329&lt;&gt;1)),ISNUMBER(AH329),AH329&lt;=T329),AT329,0),IF(AND(NOT(AND(AO329=1,AN329&lt;&gt;1)),ISNUMBER(AI329),AI329&lt;=T329),AU329,0),IF(AND(ISNUMBER(AJ329),AJ329&lt;=T329),AV329,0))),"AB",IF(AND(IF(AND(NOT(AND(AO329=1,AN329&lt;&gt;1)),ISNUMBER(AI329),AI329&lt;=T329),AU329,0)&gt;0,IF(AND(NOT(AND(AO329=1,AN329&lt;&gt;1)),ISNUMBER(AI329),AI329&lt;=T329),AU329,0)=MAX(IF(AND(NOT(AND(AO329=1,AN329&lt;&gt;1)),ISNUMBER(AG329),AG329&lt;=T329),AS329,0),IF(AND(NOT(AND(AO329=1,AN329&lt;&gt;1)),ISNUMBER(AH329),AH329&lt;=T329),AT329,0),IF(AND(NOT(AND(AO329=1,AN329&lt;&gt;1)),ISNUMBER(AI329),AI329&lt;=T329),AU329,0),IF(AND(ISNUMBER(AJ329),AJ329&lt;=T329),AV329,0))),"SC","Mag")))))))</f>
        <v/>
      </c>
    </row>
    <row r="330">
      <c r="A330" s="26" t="n">
        <v>325</v>
      </c>
      <c r="B330" s="27">
        <f>A330*10/60</f>
        <v/>
      </c>
      <c r="C330" s="22">
        <f>X329</f>
        <v/>
      </c>
      <c r="D330" s="27">
        <f>D329+W329</f>
        <v/>
      </c>
      <c r="E330" s="26">
        <f>E329+IF(U329="SW",1,0)</f>
        <v/>
      </c>
      <c r="F330" s="26">
        <f>F329+IF(U329="AB",1,0)</f>
        <v/>
      </c>
      <c r="G330" s="26">
        <f>G329+IF(U329="SC",1,0)</f>
        <v/>
      </c>
      <c r="H330" s="26">
        <f>H329+IF(U329="Mag",1,0)</f>
        <v/>
      </c>
      <c r="I330" s="26">
        <f>MAX(I329,IF(U329="OR",1,0))</f>
        <v/>
      </c>
      <c r="J330" s="26">
        <f>MAX(J329,IF(U329="HP",1,0))</f>
        <v/>
      </c>
      <c r="K330" s="26">
        <f>MAX(K329,IF(U329="FP",1,0))</f>
        <v/>
      </c>
      <c r="L330" s="26">
        <f>MAX(L329,IF(U329="transition",1,0))</f>
        <v/>
      </c>
      <c r="M330" s="28">
        <f>(Parameters!$B$9+(IF(E330=0,0,(Upgrades!$J$6+E330*Upgrades!$K$6)*POWER(Upgrades!$L$6,E330)))*(IF(Upgrades!$T$7="Solar Wind",POWER(Upgrades!$U$7,F330),1)*IF(Upgrades!$T$8="Solar Wind",POWER(Upgrades!$U$8,G330),1)*IF(Upgrades!$T$9="Solar Wind",POWER(Upgrades!$U$9,H330),1)*IF(Upgrades!$T$10="Solar Wind",POWER(Upgrades!$U$10,I330),1)*IF(Upgrades!$T$11="Solar Wind",POWER(Upgrades!$U$11,J330),1)*IF(Upgrades!$T$12="Solar Wind",POWER(Upgrades!$U$12,K330),1))+(IF(F330=0,0,(Upgrades!$J$7+F330*Upgrades!$K$7)*POWER(Upgrades!$L$7,F330)))*(IF(Upgrades!$T$6="Asteroid Belt",POWER(Upgrades!$U$6,E330),1)*IF(Upgrades!$T$8="Asteroid Belt",POWER(Upgrades!$U$8,G330),1)*IF(Upgrades!$T$9="Asteroid Belt",POWER(Upgrades!$U$9,H330),1)*IF(Upgrades!$T$10="Asteroid Belt",POWER(Upgrades!$U$10,I330),1)*IF(Upgrades!$T$11="Asteroid Belt",POWER(Upgrades!$U$11,J330),1)*IF(Upgrades!$T$12="Asteroid Belt",POWER(Upgrades!$U$12,K330),1))+(IF(G330=0,0,(Upgrades!$J$8+G330*Upgrades!$K$8)*POWER(Upgrades!$L$8,G330)))*(IF(Upgrades!$T$6="Stellar Coupling",POWER(Upgrades!$U$6,E330),1)*IF(Upgrades!$T$7="Stellar Coupling",POWER(Upgrades!$U$7,F330),1)*IF(Upgrades!$T$9="Stellar Coupling",POWER(Upgrades!$U$9,H330),1)*IF(Upgrades!$T$10="Stellar Coupling",POWER(Upgrades!$U$10,I330),1)*IF(Upgrades!$T$11="Stellar Coupling",POWER(Upgrades!$U$11,J330),1)*IF(Upgrades!$T$12="Stellar Coupling",POWER(Upgrades!$U$12,K330),1))+(IF(H330=0,0,(Upgrades!$J$9+H330*Upgrades!$K$9)*POWER(Upgrades!$L$9,H330)))*(IF(Upgrades!$T$6="Magnetosphere",POWER(Upgrades!$U$6,E330),1)*IF(Upgrades!$T$7="Magnetosphere",POWER(Upgrades!$U$7,F330),1)*IF(Upgrades!$T$8="Magnetosphere",POWER(Upgrades!$U$8,G330),1)*IF(Upgrades!$T$10="Magnetosphere",POWER(Upgrades!$U$10,I330),1)*IF(Upgrades!$T$11="Magnetosphere",POWER(Upgrades!$U$11,J330),1)*IF(Upgrades!$T$12="Magnetosphere",POWER(Upgrades!$U$12,K330),1))+(IF(I330=0,0,(Upgrades!$J$10+I330*Upgrades!$K$10)*POWER(Upgrades!$L$10,I330)))*(IF(Upgrades!$T$6="Orbital Resonance",POWER(Upgrades!$U$6,E330),1)*IF(Upgrades!$T$7="Orbital Resonance",POWER(Upgrades!$U$7,F330),1)*IF(Upgrades!$T$8="Orbital Resonance",POWER(Upgrades!$U$8,G330),1)*IF(Upgrades!$T$9="Orbital Resonance",POWER(Upgrades!$U$9,H330),1)*IF(Upgrades!$T$11="Orbital Resonance",POWER(Upgrades!$U$11,J330),1)*IF(Upgrades!$T$12="Orbital Resonance",POWER(Upgrades!$U$12,K330),1))+(IF(J330=0,0,(Upgrades!$J$11+J330*Upgrades!$K$11)*POWER(Upgrades!$L$11,J330)))*(IF(Upgrades!$T$6="Heliopause",POWER(Upgrades!$U$6,E330),1)*IF(Upgrades!$T$7="Heliopause",POWER(Upgrades!$U$7,F330),1)*IF(Upgrades!$T$8="Heliopause",POWER(Upgrades!$U$8,G330),1)*IF(Upgrades!$T$9="Heliopause",POWER(Upgrades!$U$9,H330),1)*IF(Upgrades!$T$10="Heliopause",POWER(Upgrades!$U$10,I330),1)*IF(Upgrades!$T$12="Heliopause",POWER(Upgrades!$U$12,K330),1))+(IF(K330=0,0,(Upgrades!$J$12+K330*Upgrades!$K$12)*POWER(Upgrades!$L$12,K330)))*(IF(Upgrades!$T$6="First Photons",POWER(Upgrades!$U$6,E330),1)*IF(Upgrades!$T$7="First Photons",POWER(Upgrades!$U$7,F330),1)*IF(Upgrades!$T$8="First Photons",POWER(Upgrades!$U$8,G330),1)*IF(Upgrades!$T$9="First Photons",POWER(Upgrades!$U$9,H330),1)*IF(Upgrades!$T$10="First Photons",POWER(Upgrades!$U$10,I330),1)*IF(Upgrades!$T$11="First Photons",POWER(Upgrades!$U$11,J330),1)))*POWER(Upgrades!$Q$6,E330)*POWER(Upgrades!$Q$7,F330)*POWER(Upgrades!$Q$8,G330)*POWER(Upgrades!$Q$9,H330)*POWER(Upgrades!$Q$10,I330)*POWER(Upgrades!$Q$11,J330)*POWER(Upgrades!$Q$12,K330)</f>
        <v/>
      </c>
      <c r="N330" s="28">
        <f>((IF(E330=0,0,(Upgrades!$G$6+E330*Upgrades!$H$6)*POWER(Upgrades!$I$6,E330)))*(IF(Upgrades!$T$7="Solar Wind",POWER(Upgrades!$U$7,F330),1)*IF(Upgrades!$T$8="Solar Wind",POWER(Upgrades!$U$8,G330),1)*IF(Upgrades!$T$9="Solar Wind",POWER(Upgrades!$U$9,H330),1)*IF(Upgrades!$T$10="Solar Wind",POWER(Upgrades!$U$10,I330),1)*IF(Upgrades!$T$11="Solar Wind",POWER(Upgrades!$U$11,J330),1)*IF(Upgrades!$T$12="Solar Wind",POWER(Upgrades!$U$12,K330),1))+(IF(F330=0,0,(Upgrades!$G$7+F330*Upgrades!$H$7)*POWER(Upgrades!$I$7,F330)))*(IF(Upgrades!$T$6="Asteroid Belt",POWER(Upgrades!$U$6,E330),1)*IF(Upgrades!$T$8="Asteroid Belt",POWER(Upgrades!$U$8,G330),1)*IF(Upgrades!$T$9="Asteroid Belt",POWER(Upgrades!$U$9,H330),1)*IF(Upgrades!$T$10="Asteroid Belt",POWER(Upgrades!$U$10,I330),1)*IF(Upgrades!$T$11="Asteroid Belt",POWER(Upgrades!$U$11,J330),1)*IF(Upgrades!$T$12="Asteroid Belt",POWER(Upgrades!$U$12,K330),1))+(IF(G330=0,0,(Upgrades!$G$8+G330*Upgrades!$H$8)*POWER(Upgrades!$I$8,G330)))*(IF(Upgrades!$T$6="Stellar Coupling",POWER(Upgrades!$U$6,E330),1)*IF(Upgrades!$T$7="Stellar Coupling",POWER(Upgrades!$U$7,F330),1)*IF(Upgrades!$T$9="Stellar Coupling",POWER(Upgrades!$U$9,H330),1)*IF(Upgrades!$T$10="Stellar Coupling",POWER(Upgrades!$U$10,I330),1)*IF(Upgrades!$T$11="Stellar Coupling",POWER(Upgrades!$U$11,J330),1)*IF(Upgrades!$T$12="Stellar Coupling",POWER(Upgrades!$U$12,K330),1))+(IF(H330=0,0,(Upgrades!$G$9+H330*Upgrades!$H$9)*POWER(Upgrades!$I$9,H330)))*(IF(Upgrades!$T$6="Magnetosphere",POWER(Upgrades!$U$6,E330),1)*IF(Upgrades!$T$7="Magnetosphere",POWER(Upgrades!$U$7,F330),1)*IF(Upgrades!$T$8="Magnetosphere",POWER(Upgrades!$U$8,G330),1)*IF(Upgrades!$T$10="Magnetosphere",POWER(Upgrades!$U$10,I330),1)*IF(Upgrades!$T$11="Magnetosphere",POWER(Upgrades!$U$11,J330),1)*IF(Upgrades!$T$12="Magnetosphere",POWER(Upgrades!$U$12,K330),1))+(IF(I330=0,0,(Upgrades!$G$10+I330*Upgrades!$H$10)*POWER(Upgrades!$I$10,I330)))*(IF(Upgrades!$T$6="Orbital Resonance",POWER(Upgrades!$U$6,E330),1)*IF(Upgrades!$T$7="Orbital Resonance",POWER(Upgrades!$U$7,F330),1)*IF(Upgrades!$T$8="Orbital Resonance",POWER(Upgrades!$U$8,G330),1)*IF(Upgrades!$T$9="Orbital Resonance",POWER(Upgrades!$U$9,H330),1)*IF(Upgrades!$T$11="Orbital Resonance",POWER(Upgrades!$U$11,J330),1)*IF(Upgrades!$T$12="Orbital Resonance",POWER(Upgrades!$U$12,K330),1))+(IF(J330=0,0,(Upgrades!$G$11+J330*Upgrades!$H$11)*POWER(Upgrades!$I$11,J330)))*(IF(Upgrades!$T$6="Heliopause",POWER(Upgrades!$U$6,E330),1)*IF(Upgrades!$T$7="Heliopause",POWER(Upgrades!$U$7,F330),1)*IF(Upgrades!$T$8="Heliopause",POWER(Upgrades!$U$8,G330),1)*IF(Upgrades!$T$9="Heliopause",POWER(Upgrades!$U$9,H330),1)*IF(Upgrades!$T$10="Heliopause",POWER(Upgrades!$U$10,I330),1)*IF(Upgrades!$T$12="Heliopause",POWER(Upgrades!$U$12,K330),1))+(IF(K330=0,0,(Upgrades!$G$12+K330*Upgrades!$H$12)*POWER(Upgrades!$I$12,K330)))*(IF(Upgrades!$T$6="First Photons",POWER(Upgrades!$U$6,E330),1)*IF(Upgrades!$T$7="First Photons",POWER(Upgrades!$U$7,F330),1)*IF(Upgrades!$T$8="First Photons",POWER(Upgrades!$U$8,G330),1)*IF(Upgrades!$T$9="First Photons",POWER(Upgrades!$U$9,H330),1)*IF(Upgrades!$T$10="First Photons",POWER(Upgrades!$U$10,I330),1)*IF(Upgrades!$T$11="First Photons",POWER(Upgrades!$U$11,J330),1)))*POWER(Upgrades!$P$6,E330)*POWER(Upgrades!$P$7,F330)*POWER(Upgrades!$P$8,G330)*POWER(Upgrades!$P$9,H330)*POWER(Upgrades!$P$10,I330)*POWER(Upgrades!$P$11,J330)*POWER(Upgrades!$P$12,K330)</f>
        <v/>
      </c>
      <c r="O330" s="28">
        <f>((IF(E330=0,0,(Upgrades!$M$6+E330*Upgrades!$N$6)*POWER(Upgrades!$O$6,E330)))*(IF(Upgrades!$T$7="Solar Wind",POWER(Upgrades!$U$7,F330),1)*IF(Upgrades!$T$8="Solar Wind",POWER(Upgrades!$U$8,G330),1)*IF(Upgrades!$T$9="Solar Wind",POWER(Upgrades!$U$9,H330),1)*IF(Upgrades!$T$10="Solar Wind",POWER(Upgrades!$U$10,I330),1)*IF(Upgrades!$T$11="Solar Wind",POWER(Upgrades!$U$11,J330),1)*IF(Upgrades!$T$12="Solar Wind",POWER(Upgrades!$U$12,K330),1))+(IF(F330=0,0,(Upgrades!$M$7+F330*Upgrades!$N$7)*POWER(Upgrades!$O$7,F330)))*(IF(Upgrades!$T$6="Asteroid Belt",POWER(Upgrades!$U$6,E330),1)*IF(Upgrades!$T$8="Asteroid Belt",POWER(Upgrades!$U$8,G330),1)*IF(Upgrades!$T$9="Asteroid Belt",POWER(Upgrades!$U$9,H330),1)*IF(Upgrades!$T$10="Asteroid Belt",POWER(Upgrades!$U$10,I330),1)*IF(Upgrades!$T$11="Asteroid Belt",POWER(Upgrades!$U$11,J330),1)*IF(Upgrades!$T$12="Asteroid Belt",POWER(Upgrades!$U$12,K330),1))+(IF(G330=0,0,(Upgrades!$M$8+G330*Upgrades!$N$8)*POWER(Upgrades!$O$8,G330)))*(IF(Upgrades!$T$6="Stellar Coupling",POWER(Upgrades!$U$6,E330),1)*IF(Upgrades!$T$7="Stellar Coupling",POWER(Upgrades!$U$7,F330),1)*IF(Upgrades!$T$9="Stellar Coupling",POWER(Upgrades!$U$9,H330),1)*IF(Upgrades!$T$10="Stellar Coupling",POWER(Upgrades!$U$10,I330),1)*IF(Upgrades!$T$11="Stellar Coupling",POWER(Upgrades!$U$11,J330),1)*IF(Upgrades!$T$12="Stellar Coupling",POWER(Upgrades!$U$12,K330),1))+(IF(H330=0,0,(Upgrades!$M$9+H330*Upgrades!$N$9)*POWER(Upgrades!$O$9,H330)))*(IF(Upgrades!$T$6="Magnetosphere",POWER(Upgrades!$U$6,E330),1)*IF(Upgrades!$T$7="Magnetosphere",POWER(Upgrades!$U$7,F330),1)*IF(Upgrades!$T$8="Magnetosphere",POWER(Upgrades!$U$8,G330),1)*IF(Upgrades!$T$10="Magnetosphere",POWER(Upgrades!$U$10,I330),1)*IF(Upgrades!$T$11="Magnetosphere",POWER(Upgrades!$U$11,J330),1)*IF(Upgrades!$T$12="Magnetosphere",POWER(Upgrades!$U$12,K330),1))+(IF(I330=0,0,(Upgrades!$M$10+I330*Upgrades!$N$10)*POWER(Upgrades!$O$10,I330)))*(IF(Upgrades!$T$6="Orbital Resonance",POWER(Upgrades!$U$6,E330),1)*IF(Upgrades!$T$7="Orbital Resonance",POWER(Upgrades!$U$7,F330),1)*IF(Upgrades!$T$8="Orbital Resonance",POWER(Upgrades!$U$8,G330),1)*IF(Upgrades!$T$9="Orbital Resonance",POWER(Upgrades!$U$9,H330),1)*IF(Upgrades!$T$11="Orbital Resonance",POWER(Upgrades!$U$11,J330),1)*IF(Upgrades!$T$12="Orbital Resonance",POWER(Upgrades!$U$12,K330),1))+(IF(J330=0,0,(Upgrades!$M$11+J330*Upgrades!$N$11)*POWER(Upgrades!$O$11,J330)))*(IF(Upgrades!$T$6="Heliopause",POWER(Upgrades!$U$6,E330),1)*IF(Upgrades!$T$7="Heliopause",POWER(Upgrades!$U$7,F330),1)*IF(Upgrades!$T$8="Heliopause",POWER(Upgrades!$U$8,G330),1)*IF(Upgrades!$T$9="Heliopause",POWER(Upgrades!$U$9,H330),1)*IF(Upgrades!$T$10="Heliopause",POWER(Upgrades!$U$10,I330),1)*IF(Upgrades!$T$12="Heliopause",POWER(Upgrades!$U$12,K330),1))+(IF(K330=0,0,(Upgrades!$M$12+K330*Upgrades!$N$12)*POWER(Upgrades!$O$12,K330)))*(IF(Upgrades!$T$6="First Photons",POWER(Upgrades!$U$6,E330),1)*IF(Upgrades!$T$7="First Photons",POWER(Upgrades!$U$7,F330),1)*IF(Upgrades!$T$8="First Photons",POWER(Upgrades!$U$8,G330),1)*IF(Upgrades!$T$9="First Photons",POWER(Upgrades!$U$9,H330),1)*IF(Upgrades!$T$10="First Photons",POWER(Upgrades!$U$10,I330),1)*IF(Upgrades!$T$11="First Photons",POWER(Upgrades!$U$11,J330),1)))*POWER(Upgrades!$R$6,E330)*POWER(Upgrades!$R$7,F330)*POWER(Upgrades!$R$8,G330)*POWER(Upgrades!$R$9,H330)*POWER(Upgrades!$R$10,I330)*POWER(Upgrades!$R$11,J330)*POWER(Upgrades!$R$12,K330)</f>
        <v/>
      </c>
      <c r="P330" s="27">
        <f>IF(L330=1,0,M330*Parameters!$B$10/60*Parameters!$B$11*10)</f>
        <v/>
      </c>
      <c r="Q330" s="27">
        <f>IF(L330=1,0,O330*M330*10)</f>
        <v/>
      </c>
      <c r="R330" s="27">
        <f>IF(L330=1,0,N330*10)</f>
        <v/>
      </c>
      <c r="S330" s="27">
        <f>P330+Q330+R330</f>
        <v/>
      </c>
      <c r="T330" s="22">
        <f>C330+S330</f>
        <v/>
      </c>
      <c r="U330" s="33">
        <f>AX330</f>
        <v/>
      </c>
      <c r="V330" s="22">
        <f>IF(U330="",0,IF(U330="transition",0,IF(U330="SW",AG330,IF(U330="AB",AH330,IF(U330="SC",AI330,IF(U330="Mag",AJ330,IF(U330="OR",AK330,IF(U330="HP",AL330,IF(U330="FP",AM330,0)))))))))</f>
        <v/>
      </c>
      <c r="W330" s="27">
        <f>IF(U330="OR",Upgrades!$F$10,IF(U330="HP",Upgrades!$F$11,IF(U330="transition",-Parameters!$B$18,0)))</f>
        <v/>
      </c>
      <c r="X330" s="22">
        <f>T330-V330</f>
        <v/>
      </c>
      <c r="Y330" s="30">
        <f>M330*Parameters!$B$10/60*Parameters!$B$11+O330*M330+N330</f>
        <v/>
      </c>
      <c r="Z330" s="34">
        <f>IF(U330="transition","→ Tier 2 (Stellar Neighborhood)",IF(U330="FP","First Photons — light begins, system quickens",IF(U330="HP","Heliopause acquired",IF(U330="OR","Orbital Resonance — passive multiplier active",IF(AND(AO330=1,L330=0,AN330&lt;&gt;1),"Cohesion ready (waiting on completionist upgrades)","")))))</f>
        <v/>
      </c>
      <c r="AA330" s="27">
        <f>(IF(E330=0,0,(Upgrades!$G$6+E330*Upgrades!$H$6)*POWER(Upgrades!$I$6,E330)))*(IF(Upgrades!$T$7="Solar Wind",POWER(Upgrades!$U$7,F330),1)*IF(Upgrades!$T$8="Solar Wind",POWER(Upgrades!$U$8,G330),1)*IF(Upgrades!$T$9="Solar Wind",POWER(Upgrades!$U$9,H330),1)*IF(Upgrades!$T$10="Solar Wind",POWER(Upgrades!$U$10,I330),1)*IF(Upgrades!$T$11="Solar Wind",POWER(Upgrades!$U$11,J330),1)*IF(Upgrades!$T$12="Solar Wind",POWER(Upgrades!$U$12,K330),1))*POWER(Upgrades!$P$6,E330)*POWER(Upgrades!$P$7,F330)*POWER(Upgrades!$P$8,G330)*POWER(Upgrades!$P$9,H330)*POWER(Upgrades!$P$10,I330)*POWER(Upgrades!$P$11,J330)*POWER(Upgrades!$P$12,K330)*60</f>
        <v/>
      </c>
      <c r="AB330" s="27">
        <f>(IF(F330=0,0,(Upgrades!$G$7+F330*Upgrades!$H$7)*POWER(Upgrades!$I$7,F330)))*(IF(Upgrades!$T$6="Asteroid Belt",POWER(Upgrades!$U$6,E330),1)*IF(Upgrades!$T$8="Asteroid Belt",POWER(Upgrades!$U$8,G330),1)*IF(Upgrades!$T$9="Asteroid Belt",POWER(Upgrades!$U$9,H330),1)*IF(Upgrades!$T$10="Asteroid Belt",POWER(Upgrades!$U$10,I330),1)*IF(Upgrades!$T$11="Asteroid Belt",POWER(Upgrades!$U$11,J330),1)*IF(Upgrades!$T$12="Asteroid Belt",POWER(Upgrades!$U$12,K330),1))*POWER(Upgrades!$P$6,E330)*POWER(Upgrades!$P$7,F330)*POWER(Upgrades!$P$8,G330)*POWER(Upgrades!$P$9,H330)*POWER(Upgrades!$P$10,I330)*POWER(Upgrades!$P$11,J330)*POWER(Upgrades!$P$12,K330)*60</f>
        <v/>
      </c>
      <c r="AC330" s="27">
        <f>(IF(G330=0,0,(Upgrades!$J$8+G330*Upgrades!$K$8)*POWER(Upgrades!$L$8,G330)))*(IF(Upgrades!$T$6="Stellar Coupling",POWER(Upgrades!$U$6,E330),1)*IF(Upgrades!$T$7="Stellar Coupling",POWER(Upgrades!$U$7,F330),1)*IF(Upgrades!$T$9="Stellar Coupling",POWER(Upgrades!$U$9,H330),1)*IF(Upgrades!$T$10="Stellar Coupling",POWER(Upgrades!$U$10,I330),1)*IF(Upgrades!$T$11="Stellar Coupling",POWER(Upgrades!$U$11,J330),1)*IF(Upgrades!$T$12="Stellar Coupling",POWER(Upgrades!$U$12,K330),1))*POWER(Upgrades!$Q$6,E330)*POWER(Upgrades!$Q$7,F330)*POWER(Upgrades!$Q$8,G330)*POWER(Upgrades!$Q$9,H330)*POWER(Upgrades!$Q$10,I330)*POWER(Upgrades!$Q$11,J330)*POWER(Upgrades!$Q$12,K330)*Parameters!$B$10*Parameters!$B$11</f>
        <v/>
      </c>
      <c r="AD330" s="27">
        <f>(IF(H330=0,0,(Upgrades!$G$9+H330*Upgrades!$H$9)*POWER(Upgrades!$I$9,H330)))*(IF(Upgrades!$T$6="Magnetosphere",POWER(Upgrades!$U$6,E330),1)*IF(Upgrades!$T$7="Magnetosphere",POWER(Upgrades!$U$7,F330),1)*IF(Upgrades!$T$8="Magnetosphere",POWER(Upgrades!$U$8,G330),1)*IF(Upgrades!$T$10="Magnetosphere",POWER(Upgrades!$U$10,I330),1)*IF(Upgrades!$T$11="Magnetosphere",POWER(Upgrades!$U$11,J330),1)*IF(Upgrades!$T$12="Magnetosphere",POWER(Upgrades!$U$12,K330),1))*POWER(Upgrades!$P$6,E330)*POWER(Upgrades!$P$7,F330)*POWER(Upgrades!$P$8,G330)*POWER(Upgrades!$P$9,H330)*POWER(Upgrades!$P$10,I330)*POWER(Upgrades!$P$11,J330)*POWER(Upgrades!$P$12,K330)*60</f>
        <v/>
      </c>
      <c r="AE330" s="27">
        <f>(IF(K330=0,0,(Upgrades!$G$12+K330*Upgrades!$H$12)*POWER(Upgrades!$I$12,K330)))*(IF(Upgrades!$T$6="First Photons",POWER(Upgrades!$U$6,E330),1)*IF(Upgrades!$T$7="First Photons",POWER(Upgrades!$U$7,F330),1)*IF(Upgrades!$T$8="First Photons",POWER(Upgrades!$U$8,G330),1)*IF(Upgrades!$T$9="First Photons",POWER(Upgrades!$U$9,H330),1)*IF(Upgrades!$T$10="First Photons",POWER(Upgrades!$U$10,I330),1)*IF(Upgrades!$T$11="First Photons",POWER(Upgrades!$U$11,J330),1))*POWER(Upgrades!$P$6,E330)*POWER(Upgrades!$P$7,F330)*POWER(Upgrades!$P$8,G330)*POWER(Upgrades!$P$9,H330)*POWER(Upgrades!$P$10,I330)*POWER(Upgrades!$P$11,J330)*POWER(Upgrades!$P$12,K330)*60</f>
        <v/>
      </c>
      <c r="AF330" s="27">
        <f>Parameters!$B$9*POWER(Upgrades!$Q$6,E330)*POWER(Upgrades!$Q$7,F330)*POWER(Upgrades!$Q$8,G330)*POWER(Upgrades!$Q$9,H330)*POWER(Upgrades!$Q$10,I330)*POWER(Upgrades!$Q$11,J330)*POWER(Upgrades!$Q$12,K330)*(Parameters!$B$10*Parameters!$B$11+O330*60)</f>
        <v/>
      </c>
      <c r="AG330" s="22">
        <f>IF(E330&gt;=Upgrades!$E$6,"",Upgrades!$C$6*POWER(Upgrades!$D$6,E330))</f>
        <v/>
      </c>
      <c r="AH330" s="22">
        <f>IF(F330&gt;=Upgrades!$E$7,"",Upgrades!$C$7*POWER(Upgrades!$D$7,F330))</f>
        <v/>
      </c>
      <c r="AI330" s="22">
        <f>IF(G330&gt;=Upgrades!$E$8,"",Upgrades!$C$8*POWER(Upgrades!$D$8,G330))</f>
        <v/>
      </c>
      <c r="AJ330" s="22">
        <f>IF(H330&gt;=Upgrades!$E$9,"",Upgrades!$C$9*POWER(Upgrades!$D$9,H330))</f>
        <v/>
      </c>
      <c r="AK330" s="22">
        <f>IF(I330&gt;=Upgrades!$E$10,"",Upgrades!$C$10*POWER(Upgrades!$D$10,I330))</f>
        <v/>
      </c>
      <c r="AL330" s="22">
        <f>IF(J330&gt;=Upgrades!$E$11,"",Upgrades!$C$11*POWER(Upgrades!$D$11,J330))</f>
        <v/>
      </c>
      <c r="AM330" s="22">
        <f>IF(K330&gt;=Upgrades!$E$12,"",Upgrades!$C$12*POWER(Upgrades!$D$12,K330))</f>
        <v/>
      </c>
      <c r="AN330" s="26">
        <f>IF(AND(D330&gt;=Parameters!$B$18,(H330&gt;=Upgrades!$E$9)*(K330&gt;=Upgrades!$E$12)=1,L330=0),1,"")</f>
        <v/>
      </c>
      <c r="AO330" s="26">
        <f>IF(AND(D330&gt;=Parameters!$B$18,L330=0),1,"")</f>
        <v/>
      </c>
      <c r="AP330" s="22">
        <f>MIN(IF(ISNUMBER(AK330),AK330,9E15),IF(ISNUMBER(AL330),AL330,9E15),IF(ISNUMBER(AM330),AM330,9E15))</f>
        <v/>
      </c>
      <c r="AQ330" s="22">
        <f>MIN(IF(ISNUMBER(AG330),AG330,9E15),IF(ISNUMBER(AH330),AH330,9E15),IF(ISNUMBER(AI330),AI330,9E15),IF(ISNUMBER(AJ330),AJ330,9E15))</f>
        <v/>
      </c>
      <c r="AR330" s="29">
        <f>IF(AW330&gt;Parameters!$B$21*(MAX(IF(AND(NOT(AND(AO330=1,AN330&lt;&gt;1)),ISNUMBER(AG330),AG330&lt;=T330),AS330,0),IF(AND(NOT(AND(AO330=1,AN330&lt;&gt;1)),ISNUMBER(AH330),AH330&lt;=T330),AT330,0),IF(AND(NOT(AND(AO330=1,AN330&lt;&gt;1)),ISNUMBER(AI330),AI330&lt;=T330),AU330,0),IF(AND(ISNUMBER(AJ330),AJ330&lt;=T330),AV330,0))),TRUE,FALSE)</f>
        <v/>
      </c>
      <c r="AS330" s="32">
        <f>IFERROR(Upgrades!$H$6*(POWER(Upgrades!$P$6,E330)*POWER(Upgrades!$P$7,F330)*POWER(Upgrades!$P$8,G330)*POWER(Upgrades!$P$9,H330)*POWER(Upgrades!$P$10,I330)*POWER(Upgrades!$P$11,J330)*POWER(Upgrades!$P$12,K330))*(IF(Upgrades!$T$7="Solar Wind",POWER(Upgrades!$U$7,F330),1)*IF(Upgrades!$T$8="Solar Wind",POWER(Upgrades!$U$8,G330),1)*IF(Upgrades!$T$9="Solar Wind",POWER(Upgrades!$U$9,H330),1)*IF(Upgrades!$T$10="Solar Wind",POWER(Upgrades!$U$10,I330),1)*IF(Upgrades!$T$11="Solar Wind",POWER(Upgrades!$U$11,J330),1)*IF(Upgrades!$T$12="Solar Wind",POWER(Upgrades!$U$12,K330),1))/AG330,0)</f>
        <v/>
      </c>
      <c r="AT330" s="32">
        <f>IFERROR(Upgrades!$H$7*(POWER(Upgrades!$P$6,E330)*POWER(Upgrades!$P$7,F330)*POWER(Upgrades!$P$8,G330)*POWER(Upgrades!$P$9,H330)*POWER(Upgrades!$P$10,I330)*POWER(Upgrades!$P$11,J330)*POWER(Upgrades!$P$12,K330))*(IF(Upgrades!$T$6="Asteroid Belt",POWER(Upgrades!$U$6,E330),1)*IF(Upgrades!$T$8="Asteroid Belt",POWER(Upgrades!$U$8,G330),1)*IF(Upgrades!$T$9="Asteroid Belt",POWER(Upgrades!$U$9,H330),1)*IF(Upgrades!$T$10="Asteroid Belt",POWER(Upgrades!$U$10,I330),1)*IF(Upgrades!$T$11="Asteroid Belt",POWER(Upgrades!$U$11,J330),1)*IF(Upgrades!$T$12="Asteroid Belt",POWER(Upgrades!$U$12,K330),1))/AH330,0)</f>
        <v/>
      </c>
      <c r="AU330" s="32">
        <f>IFERROR(Upgrades!$K$8*(POWER(Upgrades!$Q$6,E330)*POWER(Upgrades!$Q$7,F330)*POWER(Upgrades!$Q$8,G330)*POWER(Upgrades!$Q$9,H330)*POWER(Upgrades!$Q$10,I330)*POWER(Upgrades!$Q$11,J330)*POWER(Upgrades!$Q$12,K330))*(IF(Upgrades!$T$6="Stellar Coupling",POWER(Upgrades!$U$6,E330),1)*IF(Upgrades!$T$7="Stellar Coupling",POWER(Upgrades!$U$7,F330),1)*IF(Upgrades!$T$9="Stellar Coupling",POWER(Upgrades!$U$9,H330),1)*IF(Upgrades!$T$10="Stellar Coupling",POWER(Upgrades!$U$10,I330),1)*IF(Upgrades!$T$11="Stellar Coupling",POWER(Upgrades!$U$11,J330),1)*IF(Upgrades!$T$12="Stellar Coupling",POWER(Upgrades!$U$12,K330),1))*Parameters!$B$10*Parameters!$B$11/60/AI330,0)</f>
        <v/>
      </c>
      <c r="AV330" s="32">
        <f>IFERROR(Upgrades!$H$9*(POWER(Upgrades!$P$6,E330)*POWER(Upgrades!$P$7,F330)*POWER(Upgrades!$P$8,G330)*POWER(Upgrades!$P$9,H330)*POWER(Upgrades!$P$10,I330)*POWER(Upgrades!$P$11,J330)*POWER(Upgrades!$P$12,K330))*(IF(Upgrades!$T$6="Magnetosphere",POWER(Upgrades!$U$6,E330),1)*IF(Upgrades!$T$7="Magnetosphere",POWER(Upgrades!$U$7,F330),1)*IF(Upgrades!$T$8="Magnetosphere",POWER(Upgrades!$U$8,G330),1)*IF(Upgrades!$T$10="Magnetosphere",POWER(Upgrades!$U$10,I330),1)*IF(Upgrades!$T$11="Magnetosphere",POWER(Upgrades!$U$11,J330),1)*IF(Upgrades!$T$12="Magnetosphere",POWER(Upgrades!$U$12,K330),1))/AJ330,0)</f>
        <v/>
      </c>
      <c r="AW330" s="32">
        <f>MAX(IF(I330&gt;0,0,IFERROR(0.25*N330/Upgrades!$C$10,0)),IF(J330&gt;0,0,IFERROR(0.5*((IF(G330=0,0,(Upgrades!$J$8+G330*Upgrades!$K$8)*POWER(Upgrades!$L$8,G330)))*(IF(Upgrades!$T$6="Stellar Coupling",POWER(Upgrades!$U$6,E330),1)*IF(Upgrades!$T$7="Stellar Coupling",POWER(Upgrades!$U$7,F330),1)*IF(Upgrades!$T$9="Stellar Coupling",POWER(Upgrades!$U$9,H330),1)*IF(Upgrades!$T$10="Stellar Coupling",POWER(Upgrades!$U$10,I330),1)*IF(Upgrades!$T$11="Stellar Coupling",POWER(Upgrades!$U$11,J330),1)*IF(Upgrades!$T$12="Stellar Coupling",POWER(Upgrades!$U$12,K330),1))*(POWER(Upgrades!$Q$6,E330)*POWER(Upgrades!$Q$7,F330)*POWER(Upgrades!$Q$8,G330)*POWER(Upgrades!$Q$9,H330)*POWER(Upgrades!$Q$10,I330)*POWER(Upgrades!$Q$11,J330)*POWER(Upgrades!$Q$12,K330))*Parameters!$B$10*Parameters!$B$11/60)/Upgrades!$C$11,0)),IF(K330&gt;0,0,IFERROR((1.0*(POWER(Upgrades!$P$6,E330)*POWER(Upgrades!$P$7,F330)*POWER(Upgrades!$P$8,G330)*POWER(Upgrades!$P$9,H330)*POWER(Upgrades!$P$10,I330)*POWER(Upgrades!$P$11,J330)*POWER(Upgrades!$P$12,K330))+0.20*M330*Parameters!$B$10*Parameters!$B$11/60)/Upgrades!$C$12,0)),IF(AND(ISNUMBER(AG330),AG330&gt;T330),AS330,0),IF(AND(ISNUMBER(AH330),AH330&gt;T330),AT330,0),IF(AND(ISNUMBER(AI330),AI330&gt;T330),AU330,0),IF(AND(ISNUMBER(AJ330),AJ330&gt;T330),AV330,0))</f>
        <v/>
      </c>
      <c r="AX330" s="29">
        <f>IF(AN330=1,"transition",IF(MIN(IF(AND(I330=0,ISNUMBER(AK330),AK330&lt;=T330),AK330,9E15),IF(AND(J330=0,ISNUMBER(AL330),AL330&lt;=T330),AL330,9E15),IF(AND(K330=0,ISNUMBER(AM330),AM330&lt;=T330),AM330,9E15))&lt;9E15,IF(AND(AND(I330=0,ISNUMBER(AK330),AK330&lt;=T330),AK330=MIN(IF(AND(I330=0,ISNUMBER(AK330),AK330&lt;=T330),AK330,9E15),IF(AND(J330=0,ISNUMBER(AL330),AL330&lt;=T330),AL330,9E15),IF(AND(K330=0,ISNUMBER(AM330),AM330&lt;=T330),AM330,9E15))),"OR",IF(AND(AND(J330=0,ISNUMBER(AL330),AL330&lt;=T330),AL330=MIN(IF(AND(I330=0,ISNUMBER(AK330),AK330&lt;=T330),AK330,9E15),IF(AND(J330=0,ISNUMBER(AL330),AL330&lt;=T330),AL330,9E15),IF(AND(K330=0,ISNUMBER(AM330),AM330&lt;=T330),AM330,9E15))),"HP","FP")),IF(AR330=TRUE,"",IF(MAX(IF(AND(NOT(AND(AO330=1,AN330&lt;&gt;1)),ISNUMBER(AG330),AG330&lt;=T330),AS330,0),IF(AND(NOT(AND(AO330=1,AN330&lt;&gt;1)),ISNUMBER(AH330),AH330&lt;=T330),AT330,0),IF(AND(NOT(AND(AO330=1,AN330&lt;&gt;1)),ISNUMBER(AI330),AI330&lt;=T330),AU330,0),IF(AND(ISNUMBER(AJ330),AJ330&lt;=T330),AV330,0))&lt;=0,"",IF(AND(IF(AND(NOT(AND(AO330=1,AN330&lt;&gt;1)),ISNUMBER(AG330),AG330&lt;=T330),AS330,0)&gt;0,IF(AND(NOT(AND(AO330=1,AN330&lt;&gt;1)),ISNUMBER(AG330),AG330&lt;=T330),AS330,0)=MAX(IF(AND(NOT(AND(AO330=1,AN330&lt;&gt;1)),ISNUMBER(AG330),AG330&lt;=T330),AS330,0),IF(AND(NOT(AND(AO330=1,AN330&lt;&gt;1)),ISNUMBER(AH330),AH330&lt;=T330),AT330,0),IF(AND(NOT(AND(AO330=1,AN330&lt;&gt;1)),ISNUMBER(AI330),AI330&lt;=T330),AU330,0),IF(AND(ISNUMBER(AJ330),AJ330&lt;=T330),AV330,0))),"SW",IF(AND(IF(AND(NOT(AND(AO330=1,AN330&lt;&gt;1)),ISNUMBER(AH330),AH330&lt;=T330),AT330,0)&gt;0,IF(AND(NOT(AND(AO330=1,AN330&lt;&gt;1)),ISNUMBER(AH330),AH330&lt;=T330),AT330,0)=MAX(IF(AND(NOT(AND(AO330=1,AN330&lt;&gt;1)),ISNUMBER(AG330),AG330&lt;=T330),AS330,0),IF(AND(NOT(AND(AO330=1,AN330&lt;&gt;1)),ISNUMBER(AH330),AH330&lt;=T330),AT330,0),IF(AND(NOT(AND(AO330=1,AN330&lt;&gt;1)),ISNUMBER(AI330),AI330&lt;=T330),AU330,0),IF(AND(ISNUMBER(AJ330),AJ330&lt;=T330),AV330,0))),"AB",IF(AND(IF(AND(NOT(AND(AO330=1,AN330&lt;&gt;1)),ISNUMBER(AI330),AI330&lt;=T330),AU330,0)&gt;0,IF(AND(NOT(AND(AO330=1,AN330&lt;&gt;1)),ISNUMBER(AI330),AI330&lt;=T330),AU330,0)=MAX(IF(AND(NOT(AND(AO330=1,AN330&lt;&gt;1)),ISNUMBER(AG330),AG330&lt;=T330),AS330,0),IF(AND(NOT(AND(AO330=1,AN330&lt;&gt;1)),ISNUMBER(AH330),AH330&lt;=T330),AT330,0),IF(AND(NOT(AND(AO330=1,AN330&lt;&gt;1)),ISNUMBER(AI330),AI330&lt;=T330),AU330,0),IF(AND(ISNUMBER(AJ330),AJ330&lt;=T330),AV330,0))),"SC","Mag")))))))</f>
        <v/>
      </c>
    </row>
    <row r="331">
      <c r="A331" s="26" t="n">
        <v>326</v>
      </c>
      <c r="B331" s="27">
        <f>A331*10/60</f>
        <v/>
      </c>
      <c r="C331" s="22">
        <f>X330</f>
        <v/>
      </c>
      <c r="D331" s="27">
        <f>D330+W330</f>
        <v/>
      </c>
      <c r="E331" s="26">
        <f>E330+IF(U330="SW",1,0)</f>
        <v/>
      </c>
      <c r="F331" s="26">
        <f>F330+IF(U330="AB",1,0)</f>
        <v/>
      </c>
      <c r="G331" s="26">
        <f>G330+IF(U330="SC",1,0)</f>
        <v/>
      </c>
      <c r="H331" s="26">
        <f>H330+IF(U330="Mag",1,0)</f>
        <v/>
      </c>
      <c r="I331" s="26">
        <f>MAX(I330,IF(U330="OR",1,0))</f>
        <v/>
      </c>
      <c r="J331" s="26">
        <f>MAX(J330,IF(U330="HP",1,0))</f>
        <v/>
      </c>
      <c r="K331" s="26">
        <f>MAX(K330,IF(U330="FP",1,0))</f>
        <v/>
      </c>
      <c r="L331" s="26">
        <f>MAX(L330,IF(U330="transition",1,0))</f>
        <v/>
      </c>
      <c r="M331" s="28">
        <f>(Parameters!$B$9+(IF(E331=0,0,(Upgrades!$J$6+E331*Upgrades!$K$6)*POWER(Upgrades!$L$6,E331)))*(IF(Upgrades!$T$7="Solar Wind",POWER(Upgrades!$U$7,F331),1)*IF(Upgrades!$T$8="Solar Wind",POWER(Upgrades!$U$8,G331),1)*IF(Upgrades!$T$9="Solar Wind",POWER(Upgrades!$U$9,H331),1)*IF(Upgrades!$T$10="Solar Wind",POWER(Upgrades!$U$10,I331),1)*IF(Upgrades!$T$11="Solar Wind",POWER(Upgrades!$U$11,J331),1)*IF(Upgrades!$T$12="Solar Wind",POWER(Upgrades!$U$12,K331),1))+(IF(F331=0,0,(Upgrades!$J$7+F331*Upgrades!$K$7)*POWER(Upgrades!$L$7,F331)))*(IF(Upgrades!$T$6="Asteroid Belt",POWER(Upgrades!$U$6,E331),1)*IF(Upgrades!$T$8="Asteroid Belt",POWER(Upgrades!$U$8,G331),1)*IF(Upgrades!$T$9="Asteroid Belt",POWER(Upgrades!$U$9,H331),1)*IF(Upgrades!$T$10="Asteroid Belt",POWER(Upgrades!$U$10,I331),1)*IF(Upgrades!$T$11="Asteroid Belt",POWER(Upgrades!$U$11,J331),1)*IF(Upgrades!$T$12="Asteroid Belt",POWER(Upgrades!$U$12,K331),1))+(IF(G331=0,0,(Upgrades!$J$8+G331*Upgrades!$K$8)*POWER(Upgrades!$L$8,G331)))*(IF(Upgrades!$T$6="Stellar Coupling",POWER(Upgrades!$U$6,E331),1)*IF(Upgrades!$T$7="Stellar Coupling",POWER(Upgrades!$U$7,F331),1)*IF(Upgrades!$T$9="Stellar Coupling",POWER(Upgrades!$U$9,H331),1)*IF(Upgrades!$T$10="Stellar Coupling",POWER(Upgrades!$U$10,I331),1)*IF(Upgrades!$T$11="Stellar Coupling",POWER(Upgrades!$U$11,J331),1)*IF(Upgrades!$T$12="Stellar Coupling",POWER(Upgrades!$U$12,K331),1))+(IF(H331=0,0,(Upgrades!$J$9+H331*Upgrades!$K$9)*POWER(Upgrades!$L$9,H331)))*(IF(Upgrades!$T$6="Magnetosphere",POWER(Upgrades!$U$6,E331),1)*IF(Upgrades!$T$7="Magnetosphere",POWER(Upgrades!$U$7,F331),1)*IF(Upgrades!$T$8="Magnetosphere",POWER(Upgrades!$U$8,G331),1)*IF(Upgrades!$T$10="Magnetosphere",POWER(Upgrades!$U$10,I331),1)*IF(Upgrades!$T$11="Magnetosphere",POWER(Upgrades!$U$11,J331),1)*IF(Upgrades!$T$12="Magnetosphere",POWER(Upgrades!$U$12,K331),1))+(IF(I331=0,0,(Upgrades!$J$10+I331*Upgrades!$K$10)*POWER(Upgrades!$L$10,I331)))*(IF(Upgrades!$T$6="Orbital Resonance",POWER(Upgrades!$U$6,E331),1)*IF(Upgrades!$T$7="Orbital Resonance",POWER(Upgrades!$U$7,F331),1)*IF(Upgrades!$T$8="Orbital Resonance",POWER(Upgrades!$U$8,G331),1)*IF(Upgrades!$T$9="Orbital Resonance",POWER(Upgrades!$U$9,H331),1)*IF(Upgrades!$T$11="Orbital Resonance",POWER(Upgrades!$U$11,J331),1)*IF(Upgrades!$T$12="Orbital Resonance",POWER(Upgrades!$U$12,K331),1))+(IF(J331=0,0,(Upgrades!$J$11+J331*Upgrades!$K$11)*POWER(Upgrades!$L$11,J331)))*(IF(Upgrades!$T$6="Heliopause",POWER(Upgrades!$U$6,E331),1)*IF(Upgrades!$T$7="Heliopause",POWER(Upgrades!$U$7,F331),1)*IF(Upgrades!$T$8="Heliopause",POWER(Upgrades!$U$8,G331),1)*IF(Upgrades!$T$9="Heliopause",POWER(Upgrades!$U$9,H331),1)*IF(Upgrades!$T$10="Heliopause",POWER(Upgrades!$U$10,I331),1)*IF(Upgrades!$T$12="Heliopause",POWER(Upgrades!$U$12,K331),1))+(IF(K331=0,0,(Upgrades!$J$12+K331*Upgrades!$K$12)*POWER(Upgrades!$L$12,K331)))*(IF(Upgrades!$T$6="First Photons",POWER(Upgrades!$U$6,E331),1)*IF(Upgrades!$T$7="First Photons",POWER(Upgrades!$U$7,F331),1)*IF(Upgrades!$T$8="First Photons",POWER(Upgrades!$U$8,G331),1)*IF(Upgrades!$T$9="First Photons",POWER(Upgrades!$U$9,H331),1)*IF(Upgrades!$T$10="First Photons",POWER(Upgrades!$U$10,I331),1)*IF(Upgrades!$T$11="First Photons",POWER(Upgrades!$U$11,J331),1)))*POWER(Upgrades!$Q$6,E331)*POWER(Upgrades!$Q$7,F331)*POWER(Upgrades!$Q$8,G331)*POWER(Upgrades!$Q$9,H331)*POWER(Upgrades!$Q$10,I331)*POWER(Upgrades!$Q$11,J331)*POWER(Upgrades!$Q$12,K331)</f>
        <v/>
      </c>
      <c r="N331" s="28">
        <f>((IF(E331=0,0,(Upgrades!$G$6+E331*Upgrades!$H$6)*POWER(Upgrades!$I$6,E331)))*(IF(Upgrades!$T$7="Solar Wind",POWER(Upgrades!$U$7,F331),1)*IF(Upgrades!$T$8="Solar Wind",POWER(Upgrades!$U$8,G331),1)*IF(Upgrades!$T$9="Solar Wind",POWER(Upgrades!$U$9,H331),1)*IF(Upgrades!$T$10="Solar Wind",POWER(Upgrades!$U$10,I331),1)*IF(Upgrades!$T$11="Solar Wind",POWER(Upgrades!$U$11,J331),1)*IF(Upgrades!$T$12="Solar Wind",POWER(Upgrades!$U$12,K331),1))+(IF(F331=0,0,(Upgrades!$G$7+F331*Upgrades!$H$7)*POWER(Upgrades!$I$7,F331)))*(IF(Upgrades!$T$6="Asteroid Belt",POWER(Upgrades!$U$6,E331),1)*IF(Upgrades!$T$8="Asteroid Belt",POWER(Upgrades!$U$8,G331),1)*IF(Upgrades!$T$9="Asteroid Belt",POWER(Upgrades!$U$9,H331),1)*IF(Upgrades!$T$10="Asteroid Belt",POWER(Upgrades!$U$10,I331),1)*IF(Upgrades!$T$11="Asteroid Belt",POWER(Upgrades!$U$11,J331),1)*IF(Upgrades!$T$12="Asteroid Belt",POWER(Upgrades!$U$12,K331),1))+(IF(G331=0,0,(Upgrades!$G$8+G331*Upgrades!$H$8)*POWER(Upgrades!$I$8,G331)))*(IF(Upgrades!$T$6="Stellar Coupling",POWER(Upgrades!$U$6,E331),1)*IF(Upgrades!$T$7="Stellar Coupling",POWER(Upgrades!$U$7,F331),1)*IF(Upgrades!$T$9="Stellar Coupling",POWER(Upgrades!$U$9,H331),1)*IF(Upgrades!$T$10="Stellar Coupling",POWER(Upgrades!$U$10,I331),1)*IF(Upgrades!$T$11="Stellar Coupling",POWER(Upgrades!$U$11,J331),1)*IF(Upgrades!$T$12="Stellar Coupling",POWER(Upgrades!$U$12,K331),1))+(IF(H331=0,0,(Upgrades!$G$9+H331*Upgrades!$H$9)*POWER(Upgrades!$I$9,H331)))*(IF(Upgrades!$T$6="Magnetosphere",POWER(Upgrades!$U$6,E331),1)*IF(Upgrades!$T$7="Magnetosphere",POWER(Upgrades!$U$7,F331),1)*IF(Upgrades!$T$8="Magnetosphere",POWER(Upgrades!$U$8,G331),1)*IF(Upgrades!$T$10="Magnetosphere",POWER(Upgrades!$U$10,I331),1)*IF(Upgrades!$T$11="Magnetosphere",POWER(Upgrades!$U$11,J331),1)*IF(Upgrades!$T$12="Magnetosphere",POWER(Upgrades!$U$12,K331),1))+(IF(I331=0,0,(Upgrades!$G$10+I331*Upgrades!$H$10)*POWER(Upgrades!$I$10,I331)))*(IF(Upgrades!$T$6="Orbital Resonance",POWER(Upgrades!$U$6,E331),1)*IF(Upgrades!$T$7="Orbital Resonance",POWER(Upgrades!$U$7,F331),1)*IF(Upgrades!$T$8="Orbital Resonance",POWER(Upgrades!$U$8,G331),1)*IF(Upgrades!$T$9="Orbital Resonance",POWER(Upgrades!$U$9,H331),1)*IF(Upgrades!$T$11="Orbital Resonance",POWER(Upgrades!$U$11,J331),1)*IF(Upgrades!$T$12="Orbital Resonance",POWER(Upgrades!$U$12,K331),1))+(IF(J331=0,0,(Upgrades!$G$11+J331*Upgrades!$H$11)*POWER(Upgrades!$I$11,J331)))*(IF(Upgrades!$T$6="Heliopause",POWER(Upgrades!$U$6,E331),1)*IF(Upgrades!$T$7="Heliopause",POWER(Upgrades!$U$7,F331),1)*IF(Upgrades!$T$8="Heliopause",POWER(Upgrades!$U$8,G331),1)*IF(Upgrades!$T$9="Heliopause",POWER(Upgrades!$U$9,H331),1)*IF(Upgrades!$T$10="Heliopause",POWER(Upgrades!$U$10,I331),1)*IF(Upgrades!$T$12="Heliopause",POWER(Upgrades!$U$12,K331),1))+(IF(K331=0,0,(Upgrades!$G$12+K331*Upgrades!$H$12)*POWER(Upgrades!$I$12,K331)))*(IF(Upgrades!$T$6="First Photons",POWER(Upgrades!$U$6,E331),1)*IF(Upgrades!$T$7="First Photons",POWER(Upgrades!$U$7,F331),1)*IF(Upgrades!$T$8="First Photons",POWER(Upgrades!$U$8,G331),1)*IF(Upgrades!$T$9="First Photons",POWER(Upgrades!$U$9,H331),1)*IF(Upgrades!$T$10="First Photons",POWER(Upgrades!$U$10,I331),1)*IF(Upgrades!$T$11="First Photons",POWER(Upgrades!$U$11,J331),1)))*POWER(Upgrades!$P$6,E331)*POWER(Upgrades!$P$7,F331)*POWER(Upgrades!$P$8,G331)*POWER(Upgrades!$P$9,H331)*POWER(Upgrades!$P$10,I331)*POWER(Upgrades!$P$11,J331)*POWER(Upgrades!$P$12,K331)</f>
        <v/>
      </c>
      <c r="O331" s="28">
        <f>((IF(E331=0,0,(Upgrades!$M$6+E331*Upgrades!$N$6)*POWER(Upgrades!$O$6,E331)))*(IF(Upgrades!$T$7="Solar Wind",POWER(Upgrades!$U$7,F331),1)*IF(Upgrades!$T$8="Solar Wind",POWER(Upgrades!$U$8,G331),1)*IF(Upgrades!$T$9="Solar Wind",POWER(Upgrades!$U$9,H331),1)*IF(Upgrades!$T$10="Solar Wind",POWER(Upgrades!$U$10,I331),1)*IF(Upgrades!$T$11="Solar Wind",POWER(Upgrades!$U$11,J331),1)*IF(Upgrades!$T$12="Solar Wind",POWER(Upgrades!$U$12,K331),1))+(IF(F331=0,0,(Upgrades!$M$7+F331*Upgrades!$N$7)*POWER(Upgrades!$O$7,F331)))*(IF(Upgrades!$T$6="Asteroid Belt",POWER(Upgrades!$U$6,E331),1)*IF(Upgrades!$T$8="Asteroid Belt",POWER(Upgrades!$U$8,G331),1)*IF(Upgrades!$T$9="Asteroid Belt",POWER(Upgrades!$U$9,H331),1)*IF(Upgrades!$T$10="Asteroid Belt",POWER(Upgrades!$U$10,I331),1)*IF(Upgrades!$T$11="Asteroid Belt",POWER(Upgrades!$U$11,J331),1)*IF(Upgrades!$T$12="Asteroid Belt",POWER(Upgrades!$U$12,K331),1))+(IF(G331=0,0,(Upgrades!$M$8+G331*Upgrades!$N$8)*POWER(Upgrades!$O$8,G331)))*(IF(Upgrades!$T$6="Stellar Coupling",POWER(Upgrades!$U$6,E331),1)*IF(Upgrades!$T$7="Stellar Coupling",POWER(Upgrades!$U$7,F331),1)*IF(Upgrades!$T$9="Stellar Coupling",POWER(Upgrades!$U$9,H331),1)*IF(Upgrades!$T$10="Stellar Coupling",POWER(Upgrades!$U$10,I331),1)*IF(Upgrades!$T$11="Stellar Coupling",POWER(Upgrades!$U$11,J331),1)*IF(Upgrades!$T$12="Stellar Coupling",POWER(Upgrades!$U$12,K331),1))+(IF(H331=0,0,(Upgrades!$M$9+H331*Upgrades!$N$9)*POWER(Upgrades!$O$9,H331)))*(IF(Upgrades!$T$6="Magnetosphere",POWER(Upgrades!$U$6,E331),1)*IF(Upgrades!$T$7="Magnetosphere",POWER(Upgrades!$U$7,F331),1)*IF(Upgrades!$T$8="Magnetosphere",POWER(Upgrades!$U$8,G331),1)*IF(Upgrades!$T$10="Magnetosphere",POWER(Upgrades!$U$10,I331),1)*IF(Upgrades!$T$11="Magnetosphere",POWER(Upgrades!$U$11,J331),1)*IF(Upgrades!$T$12="Magnetosphere",POWER(Upgrades!$U$12,K331),1))+(IF(I331=0,0,(Upgrades!$M$10+I331*Upgrades!$N$10)*POWER(Upgrades!$O$10,I331)))*(IF(Upgrades!$T$6="Orbital Resonance",POWER(Upgrades!$U$6,E331),1)*IF(Upgrades!$T$7="Orbital Resonance",POWER(Upgrades!$U$7,F331),1)*IF(Upgrades!$T$8="Orbital Resonance",POWER(Upgrades!$U$8,G331),1)*IF(Upgrades!$T$9="Orbital Resonance",POWER(Upgrades!$U$9,H331),1)*IF(Upgrades!$T$11="Orbital Resonance",POWER(Upgrades!$U$11,J331),1)*IF(Upgrades!$T$12="Orbital Resonance",POWER(Upgrades!$U$12,K331),1))+(IF(J331=0,0,(Upgrades!$M$11+J331*Upgrades!$N$11)*POWER(Upgrades!$O$11,J331)))*(IF(Upgrades!$T$6="Heliopause",POWER(Upgrades!$U$6,E331),1)*IF(Upgrades!$T$7="Heliopause",POWER(Upgrades!$U$7,F331),1)*IF(Upgrades!$T$8="Heliopause",POWER(Upgrades!$U$8,G331),1)*IF(Upgrades!$T$9="Heliopause",POWER(Upgrades!$U$9,H331),1)*IF(Upgrades!$T$10="Heliopause",POWER(Upgrades!$U$10,I331),1)*IF(Upgrades!$T$12="Heliopause",POWER(Upgrades!$U$12,K331),1))+(IF(K331=0,0,(Upgrades!$M$12+K331*Upgrades!$N$12)*POWER(Upgrades!$O$12,K331)))*(IF(Upgrades!$T$6="First Photons",POWER(Upgrades!$U$6,E331),1)*IF(Upgrades!$T$7="First Photons",POWER(Upgrades!$U$7,F331),1)*IF(Upgrades!$T$8="First Photons",POWER(Upgrades!$U$8,G331),1)*IF(Upgrades!$T$9="First Photons",POWER(Upgrades!$U$9,H331),1)*IF(Upgrades!$T$10="First Photons",POWER(Upgrades!$U$10,I331),1)*IF(Upgrades!$T$11="First Photons",POWER(Upgrades!$U$11,J331),1)))*POWER(Upgrades!$R$6,E331)*POWER(Upgrades!$R$7,F331)*POWER(Upgrades!$R$8,G331)*POWER(Upgrades!$R$9,H331)*POWER(Upgrades!$R$10,I331)*POWER(Upgrades!$R$11,J331)*POWER(Upgrades!$R$12,K331)</f>
        <v/>
      </c>
      <c r="P331" s="27">
        <f>IF(L331=1,0,M331*Parameters!$B$10/60*Parameters!$B$11*10)</f>
        <v/>
      </c>
      <c r="Q331" s="27">
        <f>IF(L331=1,0,O331*M331*10)</f>
        <v/>
      </c>
      <c r="R331" s="27">
        <f>IF(L331=1,0,N331*10)</f>
        <v/>
      </c>
      <c r="S331" s="27">
        <f>P331+Q331+R331</f>
        <v/>
      </c>
      <c r="T331" s="22">
        <f>C331+S331</f>
        <v/>
      </c>
      <c r="U331" s="33">
        <f>AX331</f>
        <v/>
      </c>
      <c r="V331" s="22">
        <f>IF(U331="",0,IF(U331="transition",0,IF(U331="SW",AG331,IF(U331="AB",AH331,IF(U331="SC",AI331,IF(U331="Mag",AJ331,IF(U331="OR",AK331,IF(U331="HP",AL331,IF(U331="FP",AM331,0)))))))))</f>
        <v/>
      </c>
      <c r="W331" s="27">
        <f>IF(U331="OR",Upgrades!$F$10,IF(U331="HP",Upgrades!$F$11,IF(U331="transition",-Parameters!$B$18,0)))</f>
        <v/>
      </c>
      <c r="X331" s="22">
        <f>T331-V331</f>
        <v/>
      </c>
      <c r="Y331" s="30">
        <f>M331*Parameters!$B$10/60*Parameters!$B$11+O331*M331+N331</f>
        <v/>
      </c>
      <c r="Z331" s="34">
        <f>IF(U331="transition","→ Tier 2 (Stellar Neighborhood)",IF(U331="FP","First Photons — light begins, system quickens",IF(U331="HP","Heliopause acquired",IF(U331="OR","Orbital Resonance — passive multiplier active",IF(AND(AO331=1,L331=0,AN331&lt;&gt;1),"Cohesion ready (waiting on completionist upgrades)","")))))</f>
        <v/>
      </c>
      <c r="AA331" s="27">
        <f>(IF(E331=0,0,(Upgrades!$G$6+E331*Upgrades!$H$6)*POWER(Upgrades!$I$6,E331)))*(IF(Upgrades!$T$7="Solar Wind",POWER(Upgrades!$U$7,F331),1)*IF(Upgrades!$T$8="Solar Wind",POWER(Upgrades!$U$8,G331),1)*IF(Upgrades!$T$9="Solar Wind",POWER(Upgrades!$U$9,H331),1)*IF(Upgrades!$T$10="Solar Wind",POWER(Upgrades!$U$10,I331),1)*IF(Upgrades!$T$11="Solar Wind",POWER(Upgrades!$U$11,J331),1)*IF(Upgrades!$T$12="Solar Wind",POWER(Upgrades!$U$12,K331),1))*POWER(Upgrades!$P$6,E331)*POWER(Upgrades!$P$7,F331)*POWER(Upgrades!$P$8,G331)*POWER(Upgrades!$P$9,H331)*POWER(Upgrades!$P$10,I331)*POWER(Upgrades!$P$11,J331)*POWER(Upgrades!$P$12,K331)*60</f>
        <v/>
      </c>
      <c r="AB331" s="27">
        <f>(IF(F331=0,0,(Upgrades!$G$7+F331*Upgrades!$H$7)*POWER(Upgrades!$I$7,F331)))*(IF(Upgrades!$T$6="Asteroid Belt",POWER(Upgrades!$U$6,E331),1)*IF(Upgrades!$T$8="Asteroid Belt",POWER(Upgrades!$U$8,G331),1)*IF(Upgrades!$T$9="Asteroid Belt",POWER(Upgrades!$U$9,H331),1)*IF(Upgrades!$T$10="Asteroid Belt",POWER(Upgrades!$U$10,I331),1)*IF(Upgrades!$T$11="Asteroid Belt",POWER(Upgrades!$U$11,J331),1)*IF(Upgrades!$T$12="Asteroid Belt",POWER(Upgrades!$U$12,K331),1))*POWER(Upgrades!$P$6,E331)*POWER(Upgrades!$P$7,F331)*POWER(Upgrades!$P$8,G331)*POWER(Upgrades!$P$9,H331)*POWER(Upgrades!$P$10,I331)*POWER(Upgrades!$P$11,J331)*POWER(Upgrades!$P$12,K331)*60</f>
        <v/>
      </c>
      <c r="AC331" s="27">
        <f>(IF(G331=0,0,(Upgrades!$J$8+G331*Upgrades!$K$8)*POWER(Upgrades!$L$8,G331)))*(IF(Upgrades!$T$6="Stellar Coupling",POWER(Upgrades!$U$6,E331),1)*IF(Upgrades!$T$7="Stellar Coupling",POWER(Upgrades!$U$7,F331),1)*IF(Upgrades!$T$9="Stellar Coupling",POWER(Upgrades!$U$9,H331),1)*IF(Upgrades!$T$10="Stellar Coupling",POWER(Upgrades!$U$10,I331),1)*IF(Upgrades!$T$11="Stellar Coupling",POWER(Upgrades!$U$11,J331),1)*IF(Upgrades!$T$12="Stellar Coupling",POWER(Upgrades!$U$12,K331),1))*POWER(Upgrades!$Q$6,E331)*POWER(Upgrades!$Q$7,F331)*POWER(Upgrades!$Q$8,G331)*POWER(Upgrades!$Q$9,H331)*POWER(Upgrades!$Q$10,I331)*POWER(Upgrades!$Q$11,J331)*POWER(Upgrades!$Q$12,K331)*Parameters!$B$10*Parameters!$B$11</f>
        <v/>
      </c>
      <c r="AD331" s="27">
        <f>(IF(H331=0,0,(Upgrades!$G$9+H331*Upgrades!$H$9)*POWER(Upgrades!$I$9,H331)))*(IF(Upgrades!$T$6="Magnetosphere",POWER(Upgrades!$U$6,E331),1)*IF(Upgrades!$T$7="Magnetosphere",POWER(Upgrades!$U$7,F331),1)*IF(Upgrades!$T$8="Magnetosphere",POWER(Upgrades!$U$8,G331),1)*IF(Upgrades!$T$10="Magnetosphere",POWER(Upgrades!$U$10,I331),1)*IF(Upgrades!$T$11="Magnetosphere",POWER(Upgrades!$U$11,J331),1)*IF(Upgrades!$T$12="Magnetosphere",POWER(Upgrades!$U$12,K331),1))*POWER(Upgrades!$P$6,E331)*POWER(Upgrades!$P$7,F331)*POWER(Upgrades!$P$8,G331)*POWER(Upgrades!$P$9,H331)*POWER(Upgrades!$P$10,I331)*POWER(Upgrades!$P$11,J331)*POWER(Upgrades!$P$12,K331)*60</f>
        <v/>
      </c>
      <c r="AE331" s="27">
        <f>(IF(K331=0,0,(Upgrades!$G$12+K331*Upgrades!$H$12)*POWER(Upgrades!$I$12,K331)))*(IF(Upgrades!$T$6="First Photons",POWER(Upgrades!$U$6,E331),1)*IF(Upgrades!$T$7="First Photons",POWER(Upgrades!$U$7,F331),1)*IF(Upgrades!$T$8="First Photons",POWER(Upgrades!$U$8,G331),1)*IF(Upgrades!$T$9="First Photons",POWER(Upgrades!$U$9,H331),1)*IF(Upgrades!$T$10="First Photons",POWER(Upgrades!$U$10,I331),1)*IF(Upgrades!$T$11="First Photons",POWER(Upgrades!$U$11,J331),1))*POWER(Upgrades!$P$6,E331)*POWER(Upgrades!$P$7,F331)*POWER(Upgrades!$P$8,G331)*POWER(Upgrades!$P$9,H331)*POWER(Upgrades!$P$10,I331)*POWER(Upgrades!$P$11,J331)*POWER(Upgrades!$P$12,K331)*60</f>
        <v/>
      </c>
      <c r="AF331" s="27">
        <f>Parameters!$B$9*POWER(Upgrades!$Q$6,E331)*POWER(Upgrades!$Q$7,F331)*POWER(Upgrades!$Q$8,G331)*POWER(Upgrades!$Q$9,H331)*POWER(Upgrades!$Q$10,I331)*POWER(Upgrades!$Q$11,J331)*POWER(Upgrades!$Q$12,K331)*(Parameters!$B$10*Parameters!$B$11+O331*60)</f>
        <v/>
      </c>
      <c r="AG331" s="22">
        <f>IF(E331&gt;=Upgrades!$E$6,"",Upgrades!$C$6*POWER(Upgrades!$D$6,E331))</f>
        <v/>
      </c>
      <c r="AH331" s="22">
        <f>IF(F331&gt;=Upgrades!$E$7,"",Upgrades!$C$7*POWER(Upgrades!$D$7,F331))</f>
        <v/>
      </c>
      <c r="AI331" s="22">
        <f>IF(G331&gt;=Upgrades!$E$8,"",Upgrades!$C$8*POWER(Upgrades!$D$8,G331))</f>
        <v/>
      </c>
      <c r="AJ331" s="22">
        <f>IF(H331&gt;=Upgrades!$E$9,"",Upgrades!$C$9*POWER(Upgrades!$D$9,H331))</f>
        <v/>
      </c>
      <c r="AK331" s="22">
        <f>IF(I331&gt;=Upgrades!$E$10,"",Upgrades!$C$10*POWER(Upgrades!$D$10,I331))</f>
        <v/>
      </c>
      <c r="AL331" s="22">
        <f>IF(J331&gt;=Upgrades!$E$11,"",Upgrades!$C$11*POWER(Upgrades!$D$11,J331))</f>
        <v/>
      </c>
      <c r="AM331" s="22">
        <f>IF(K331&gt;=Upgrades!$E$12,"",Upgrades!$C$12*POWER(Upgrades!$D$12,K331))</f>
        <v/>
      </c>
      <c r="AN331" s="26">
        <f>IF(AND(D331&gt;=Parameters!$B$18,(H331&gt;=Upgrades!$E$9)*(K331&gt;=Upgrades!$E$12)=1,L331=0),1,"")</f>
        <v/>
      </c>
      <c r="AO331" s="26">
        <f>IF(AND(D331&gt;=Parameters!$B$18,L331=0),1,"")</f>
        <v/>
      </c>
      <c r="AP331" s="22">
        <f>MIN(IF(ISNUMBER(AK331),AK331,9E15),IF(ISNUMBER(AL331),AL331,9E15),IF(ISNUMBER(AM331),AM331,9E15))</f>
        <v/>
      </c>
      <c r="AQ331" s="22">
        <f>MIN(IF(ISNUMBER(AG331),AG331,9E15),IF(ISNUMBER(AH331),AH331,9E15),IF(ISNUMBER(AI331),AI331,9E15),IF(ISNUMBER(AJ331),AJ331,9E15))</f>
        <v/>
      </c>
      <c r="AR331" s="29">
        <f>IF(AW331&gt;Parameters!$B$21*(MAX(IF(AND(NOT(AND(AO331=1,AN331&lt;&gt;1)),ISNUMBER(AG331),AG331&lt;=T331),AS331,0),IF(AND(NOT(AND(AO331=1,AN331&lt;&gt;1)),ISNUMBER(AH331),AH331&lt;=T331),AT331,0),IF(AND(NOT(AND(AO331=1,AN331&lt;&gt;1)),ISNUMBER(AI331),AI331&lt;=T331),AU331,0),IF(AND(ISNUMBER(AJ331),AJ331&lt;=T331),AV331,0))),TRUE,FALSE)</f>
        <v/>
      </c>
      <c r="AS331" s="32">
        <f>IFERROR(Upgrades!$H$6*(POWER(Upgrades!$P$6,E331)*POWER(Upgrades!$P$7,F331)*POWER(Upgrades!$P$8,G331)*POWER(Upgrades!$P$9,H331)*POWER(Upgrades!$P$10,I331)*POWER(Upgrades!$P$11,J331)*POWER(Upgrades!$P$12,K331))*(IF(Upgrades!$T$7="Solar Wind",POWER(Upgrades!$U$7,F331),1)*IF(Upgrades!$T$8="Solar Wind",POWER(Upgrades!$U$8,G331),1)*IF(Upgrades!$T$9="Solar Wind",POWER(Upgrades!$U$9,H331),1)*IF(Upgrades!$T$10="Solar Wind",POWER(Upgrades!$U$10,I331),1)*IF(Upgrades!$T$11="Solar Wind",POWER(Upgrades!$U$11,J331),1)*IF(Upgrades!$T$12="Solar Wind",POWER(Upgrades!$U$12,K331),1))/AG331,0)</f>
        <v/>
      </c>
      <c r="AT331" s="32">
        <f>IFERROR(Upgrades!$H$7*(POWER(Upgrades!$P$6,E331)*POWER(Upgrades!$P$7,F331)*POWER(Upgrades!$P$8,G331)*POWER(Upgrades!$P$9,H331)*POWER(Upgrades!$P$10,I331)*POWER(Upgrades!$P$11,J331)*POWER(Upgrades!$P$12,K331))*(IF(Upgrades!$T$6="Asteroid Belt",POWER(Upgrades!$U$6,E331),1)*IF(Upgrades!$T$8="Asteroid Belt",POWER(Upgrades!$U$8,G331),1)*IF(Upgrades!$T$9="Asteroid Belt",POWER(Upgrades!$U$9,H331),1)*IF(Upgrades!$T$10="Asteroid Belt",POWER(Upgrades!$U$10,I331),1)*IF(Upgrades!$T$11="Asteroid Belt",POWER(Upgrades!$U$11,J331),1)*IF(Upgrades!$T$12="Asteroid Belt",POWER(Upgrades!$U$12,K331),1))/AH331,0)</f>
        <v/>
      </c>
      <c r="AU331" s="32">
        <f>IFERROR(Upgrades!$K$8*(POWER(Upgrades!$Q$6,E331)*POWER(Upgrades!$Q$7,F331)*POWER(Upgrades!$Q$8,G331)*POWER(Upgrades!$Q$9,H331)*POWER(Upgrades!$Q$10,I331)*POWER(Upgrades!$Q$11,J331)*POWER(Upgrades!$Q$12,K331))*(IF(Upgrades!$T$6="Stellar Coupling",POWER(Upgrades!$U$6,E331),1)*IF(Upgrades!$T$7="Stellar Coupling",POWER(Upgrades!$U$7,F331),1)*IF(Upgrades!$T$9="Stellar Coupling",POWER(Upgrades!$U$9,H331),1)*IF(Upgrades!$T$10="Stellar Coupling",POWER(Upgrades!$U$10,I331),1)*IF(Upgrades!$T$11="Stellar Coupling",POWER(Upgrades!$U$11,J331),1)*IF(Upgrades!$T$12="Stellar Coupling",POWER(Upgrades!$U$12,K331),1))*Parameters!$B$10*Parameters!$B$11/60/AI331,0)</f>
        <v/>
      </c>
      <c r="AV331" s="32">
        <f>IFERROR(Upgrades!$H$9*(POWER(Upgrades!$P$6,E331)*POWER(Upgrades!$P$7,F331)*POWER(Upgrades!$P$8,G331)*POWER(Upgrades!$P$9,H331)*POWER(Upgrades!$P$10,I331)*POWER(Upgrades!$P$11,J331)*POWER(Upgrades!$P$12,K331))*(IF(Upgrades!$T$6="Magnetosphere",POWER(Upgrades!$U$6,E331),1)*IF(Upgrades!$T$7="Magnetosphere",POWER(Upgrades!$U$7,F331),1)*IF(Upgrades!$T$8="Magnetosphere",POWER(Upgrades!$U$8,G331),1)*IF(Upgrades!$T$10="Magnetosphere",POWER(Upgrades!$U$10,I331),1)*IF(Upgrades!$T$11="Magnetosphere",POWER(Upgrades!$U$11,J331),1)*IF(Upgrades!$T$12="Magnetosphere",POWER(Upgrades!$U$12,K331),1))/AJ331,0)</f>
        <v/>
      </c>
      <c r="AW331" s="32">
        <f>MAX(IF(I331&gt;0,0,IFERROR(0.25*N331/Upgrades!$C$10,0)),IF(J331&gt;0,0,IFERROR(0.5*((IF(G331=0,0,(Upgrades!$J$8+G331*Upgrades!$K$8)*POWER(Upgrades!$L$8,G331)))*(IF(Upgrades!$T$6="Stellar Coupling",POWER(Upgrades!$U$6,E331),1)*IF(Upgrades!$T$7="Stellar Coupling",POWER(Upgrades!$U$7,F331),1)*IF(Upgrades!$T$9="Stellar Coupling",POWER(Upgrades!$U$9,H331),1)*IF(Upgrades!$T$10="Stellar Coupling",POWER(Upgrades!$U$10,I331),1)*IF(Upgrades!$T$11="Stellar Coupling",POWER(Upgrades!$U$11,J331),1)*IF(Upgrades!$T$12="Stellar Coupling",POWER(Upgrades!$U$12,K331),1))*(POWER(Upgrades!$Q$6,E331)*POWER(Upgrades!$Q$7,F331)*POWER(Upgrades!$Q$8,G331)*POWER(Upgrades!$Q$9,H331)*POWER(Upgrades!$Q$10,I331)*POWER(Upgrades!$Q$11,J331)*POWER(Upgrades!$Q$12,K331))*Parameters!$B$10*Parameters!$B$11/60)/Upgrades!$C$11,0)),IF(K331&gt;0,0,IFERROR((1.0*(POWER(Upgrades!$P$6,E331)*POWER(Upgrades!$P$7,F331)*POWER(Upgrades!$P$8,G331)*POWER(Upgrades!$P$9,H331)*POWER(Upgrades!$P$10,I331)*POWER(Upgrades!$P$11,J331)*POWER(Upgrades!$P$12,K331))+0.20*M331*Parameters!$B$10*Parameters!$B$11/60)/Upgrades!$C$12,0)),IF(AND(ISNUMBER(AG331),AG331&gt;T331),AS331,0),IF(AND(ISNUMBER(AH331),AH331&gt;T331),AT331,0),IF(AND(ISNUMBER(AI331),AI331&gt;T331),AU331,0),IF(AND(ISNUMBER(AJ331),AJ331&gt;T331),AV331,0))</f>
        <v/>
      </c>
      <c r="AX331" s="29">
        <f>IF(AN331=1,"transition",IF(MIN(IF(AND(I331=0,ISNUMBER(AK331),AK331&lt;=T331),AK331,9E15),IF(AND(J331=0,ISNUMBER(AL331),AL331&lt;=T331),AL331,9E15),IF(AND(K331=0,ISNUMBER(AM331),AM331&lt;=T331),AM331,9E15))&lt;9E15,IF(AND(AND(I331=0,ISNUMBER(AK331),AK331&lt;=T331),AK331=MIN(IF(AND(I331=0,ISNUMBER(AK331),AK331&lt;=T331),AK331,9E15),IF(AND(J331=0,ISNUMBER(AL331),AL331&lt;=T331),AL331,9E15),IF(AND(K331=0,ISNUMBER(AM331),AM331&lt;=T331),AM331,9E15))),"OR",IF(AND(AND(J331=0,ISNUMBER(AL331),AL331&lt;=T331),AL331=MIN(IF(AND(I331=0,ISNUMBER(AK331),AK331&lt;=T331),AK331,9E15),IF(AND(J331=0,ISNUMBER(AL331),AL331&lt;=T331),AL331,9E15),IF(AND(K331=0,ISNUMBER(AM331),AM331&lt;=T331),AM331,9E15))),"HP","FP")),IF(AR331=TRUE,"",IF(MAX(IF(AND(NOT(AND(AO331=1,AN331&lt;&gt;1)),ISNUMBER(AG331),AG331&lt;=T331),AS331,0),IF(AND(NOT(AND(AO331=1,AN331&lt;&gt;1)),ISNUMBER(AH331),AH331&lt;=T331),AT331,0),IF(AND(NOT(AND(AO331=1,AN331&lt;&gt;1)),ISNUMBER(AI331),AI331&lt;=T331),AU331,0),IF(AND(ISNUMBER(AJ331),AJ331&lt;=T331),AV331,0))&lt;=0,"",IF(AND(IF(AND(NOT(AND(AO331=1,AN331&lt;&gt;1)),ISNUMBER(AG331),AG331&lt;=T331),AS331,0)&gt;0,IF(AND(NOT(AND(AO331=1,AN331&lt;&gt;1)),ISNUMBER(AG331),AG331&lt;=T331),AS331,0)=MAX(IF(AND(NOT(AND(AO331=1,AN331&lt;&gt;1)),ISNUMBER(AG331),AG331&lt;=T331),AS331,0),IF(AND(NOT(AND(AO331=1,AN331&lt;&gt;1)),ISNUMBER(AH331),AH331&lt;=T331),AT331,0),IF(AND(NOT(AND(AO331=1,AN331&lt;&gt;1)),ISNUMBER(AI331),AI331&lt;=T331),AU331,0),IF(AND(ISNUMBER(AJ331),AJ331&lt;=T331),AV331,0))),"SW",IF(AND(IF(AND(NOT(AND(AO331=1,AN331&lt;&gt;1)),ISNUMBER(AH331),AH331&lt;=T331),AT331,0)&gt;0,IF(AND(NOT(AND(AO331=1,AN331&lt;&gt;1)),ISNUMBER(AH331),AH331&lt;=T331),AT331,0)=MAX(IF(AND(NOT(AND(AO331=1,AN331&lt;&gt;1)),ISNUMBER(AG331),AG331&lt;=T331),AS331,0),IF(AND(NOT(AND(AO331=1,AN331&lt;&gt;1)),ISNUMBER(AH331),AH331&lt;=T331),AT331,0),IF(AND(NOT(AND(AO331=1,AN331&lt;&gt;1)),ISNUMBER(AI331),AI331&lt;=T331),AU331,0),IF(AND(ISNUMBER(AJ331),AJ331&lt;=T331),AV331,0))),"AB",IF(AND(IF(AND(NOT(AND(AO331=1,AN331&lt;&gt;1)),ISNUMBER(AI331),AI331&lt;=T331),AU331,0)&gt;0,IF(AND(NOT(AND(AO331=1,AN331&lt;&gt;1)),ISNUMBER(AI331),AI331&lt;=T331),AU331,0)=MAX(IF(AND(NOT(AND(AO331=1,AN331&lt;&gt;1)),ISNUMBER(AG331),AG331&lt;=T331),AS331,0),IF(AND(NOT(AND(AO331=1,AN331&lt;&gt;1)),ISNUMBER(AH331),AH331&lt;=T331),AT331,0),IF(AND(NOT(AND(AO331=1,AN331&lt;&gt;1)),ISNUMBER(AI331),AI331&lt;=T331),AU331,0),IF(AND(ISNUMBER(AJ331),AJ331&lt;=T331),AV331,0))),"SC","Mag")))))))</f>
        <v/>
      </c>
    </row>
    <row r="332">
      <c r="A332" s="26" t="n">
        <v>327</v>
      </c>
      <c r="B332" s="27">
        <f>A332*10/60</f>
        <v/>
      </c>
      <c r="C332" s="22">
        <f>X331</f>
        <v/>
      </c>
      <c r="D332" s="27">
        <f>D331+W331</f>
        <v/>
      </c>
      <c r="E332" s="26">
        <f>E331+IF(U331="SW",1,0)</f>
        <v/>
      </c>
      <c r="F332" s="26">
        <f>F331+IF(U331="AB",1,0)</f>
        <v/>
      </c>
      <c r="G332" s="26">
        <f>G331+IF(U331="SC",1,0)</f>
        <v/>
      </c>
      <c r="H332" s="26">
        <f>H331+IF(U331="Mag",1,0)</f>
        <v/>
      </c>
      <c r="I332" s="26">
        <f>MAX(I331,IF(U331="OR",1,0))</f>
        <v/>
      </c>
      <c r="J332" s="26">
        <f>MAX(J331,IF(U331="HP",1,0))</f>
        <v/>
      </c>
      <c r="K332" s="26">
        <f>MAX(K331,IF(U331="FP",1,0))</f>
        <v/>
      </c>
      <c r="L332" s="26">
        <f>MAX(L331,IF(U331="transition",1,0))</f>
        <v/>
      </c>
      <c r="M332" s="28">
        <f>(Parameters!$B$9+(IF(E332=0,0,(Upgrades!$J$6+E332*Upgrades!$K$6)*POWER(Upgrades!$L$6,E332)))*(IF(Upgrades!$T$7="Solar Wind",POWER(Upgrades!$U$7,F332),1)*IF(Upgrades!$T$8="Solar Wind",POWER(Upgrades!$U$8,G332),1)*IF(Upgrades!$T$9="Solar Wind",POWER(Upgrades!$U$9,H332),1)*IF(Upgrades!$T$10="Solar Wind",POWER(Upgrades!$U$10,I332),1)*IF(Upgrades!$T$11="Solar Wind",POWER(Upgrades!$U$11,J332),1)*IF(Upgrades!$T$12="Solar Wind",POWER(Upgrades!$U$12,K332),1))+(IF(F332=0,0,(Upgrades!$J$7+F332*Upgrades!$K$7)*POWER(Upgrades!$L$7,F332)))*(IF(Upgrades!$T$6="Asteroid Belt",POWER(Upgrades!$U$6,E332),1)*IF(Upgrades!$T$8="Asteroid Belt",POWER(Upgrades!$U$8,G332),1)*IF(Upgrades!$T$9="Asteroid Belt",POWER(Upgrades!$U$9,H332),1)*IF(Upgrades!$T$10="Asteroid Belt",POWER(Upgrades!$U$10,I332),1)*IF(Upgrades!$T$11="Asteroid Belt",POWER(Upgrades!$U$11,J332),1)*IF(Upgrades!$T$12="Asteroid Belt",POWER(Upgrades!$U$12,K332),1))+(IF(G332=0,0,(Upgrades!$J$8+G332*Upgrades!$K$8)*POWER(Upgrades!$L$8,G332)))*(IF(Upgrades!$T$6="Stellar Coupling",POWER(Upgrades!$U$6,E332),1)*IF(Upgrades!$T$7="Stellar Coupling",POWER(Upgrades!$U$7,F332),1)*IF(Upgrades!$T$9="Stellar Coupling",POWER(Upgrades!$U$9,H332),1)*IF(Upgrades!$T$10="Stellar Coupling",POWER(Upgrades!$U$10,I332),1)*IF(Upgrades!$T$11="Stellar Coupling",POWER(Upgrades!$U$11,J332),1)*IF(Upgrades!$T$12="Stellar Coupling",POWER(Upgrades!$U$12,K332),1))+(IF(H332=0,0,(Upgrades!$J$9+H332*Upgrades!$K$9)*POWER(Upgrades!$L$9,H332)))*(IF(Upgrades!$T$6="Magnetosphere",POWER(Upgrades!$U$6,E332),1)*IF(Upgrades!$T$7="Magnetosphere",POWER(Upgrades!$U$7,F332),1)*IF(Upgrades!$T$8="Magnetosphere",POWER(Upgrades!$U$8,G332),1)*IF(Upgrades!$T$10="Magnetosphere",POWER(Upgrades!$U$10,I332),1)*IF(Upgrades!$T$11="Magnetosphere",POWER(Upgrades!$U$11,J332),1)*IF(Upgrades!$T$12="Magnetosphere",POWER(Upgrades!$U$12,K332),1))+(IF(I332=0,0,(Upgrades!$J$10+I332*Upgrades!$K$10)*POWER(Upgrades!$L$10,I332)))*(IF(Upgrades!$T$6="Orbital Resonance",POWER(Upgrades!$U$6,E332),1)*IF(Upgrades!$T$7="Orbital Resonance",POWER(Upgrades!$U$7,F332),1)*IF(Upgrades!$T$8="Orbital Resonance",POWER(Upgrades!$U$8,G332),1)*IF(Upgrades!$T$9="Orbital Resonance",POWER(Upgrades!$U$9,H332),1)*IF(Upgrades!$T$11="Orbital Resonance",POWER(Upgrades!$U$11,J332),1)*IF(Upgrades!$T$12="Orbital Resonance",POWER(Upgrades!$U$12,K332),1))+(IF(J332=0,0,(Upgrades!$J$11+J332*Upgrades!$K$11)*POWER(Upgrades!$L$11,J332)))*(IF(Upgrades!$T$6="Heliopause",POWER(Upgrades!$U$6,E332),1)*IF(Upgrades!$T$7="Heliopause",POWER(Upgrades!$U$7,F332),1)*IF(Upgrades!$T$8="Heliopause",POWER(Upgrades!$U$8,G332),1)*IF(Upgrades!$T$9="Heliopause",POWER(Upgrades!$U$9,H332),1)*IF(Upgrades!$T$10="Heliopause",POWER(Upgrades!$U$10,I332),1)*IF(Upgrades!$T$12="Heliopause",POWER(Upgrades!$U$12,K332),1))+(IF(K332=0,0,(Upgrades!$J$12+K332*Upgrades!$K$12)*POWER(Upgrades!$L$12,K332)))*(IF(Upgrades!$T$6="First Photons",POWER(Upgrades!$U$6,E332),1)*IF(Upgrades!$T$7="First Photons",POWER(Upgrades!$U$7,F332),1)*IF(Upgrades!$T$8="First Photons",POWER(Upgrades!$U$8,G332),1)*IF(Upgrades!$T$9="First Photons",POWER(Upgrades!$U$9,H332),1)*IF(Upgrades!$T$10="First Photons",POWER(Upgrades!$U$10,I332),1)*IF(Upgrades!$T$11="First Photons",POWER(Upgrades!$U$11,J332),1)))*POWER(Upgrades!$Q$6,E332)*POWER(Upgrades!$Q$7,F332)*POWER(Upgrades!$Q$8,G332)*POWER(Upgrades!$Q$9,H332)*POWER(Upgrades!$Q$10,I332)*POWER(Upgrades!$Q$11,J332)*POWER(Upgrades!$Q$12,K332)</f>
        <v/>
      </c>
      <c r="N332" s="28">
        <f>((IF(E332=0,0,(Upgrades!$G$6+E332*Upgrades!$H$6)*POWER(Upgrades!$I$6,E332)))*(IF(Upgrades!$T$7="Solar Wind",POWER(Upgrades!$U$7,F332),1)*IF(Upgrades!$T$8="Solar Wind",POWER(Upgrades!$U$8,G332),1)*IF(Upgrades!$T$9="Solar Wind",POWER(Upgrades!$U$9,H332),1)*IF(Upgrades!$T$10="Solar Wind",POWER(Upgrades!$U$10,I332),1)*IF(Upgrades!$T$11="Solar Wind",POWER(Upgrades!$U$11,J332),1)*IF(Upgrades!$T$12="Solar Wind",POWER(Upgrades!$U$12,K332),1))+(IF(F332=0,0,(Upgrades!$G$7+F332*Upgrades!$H$7)*POWER(Upgrades!$I$7,F332)))*(IF(Upgrades!$T$6="Asteroid Belt",POWER(Upgrades!$U$6,E332),1)*IF(Upgrades!$T$8="Asteroid Belt",POWER(Upgrades!$U$8,G332),1)*IF(Upgrades!$T$9="Asteroid Belt",POWER(Upgrades!$U$9,H332),1)*IF(Upgrades!$T$10="Asteroid Belt",POWER(Upgrades!$U$10,I332),1)*IF(Upgrades!$T$11="Asteroid Belt",POWER(Upgrades!$U$11,J332),1)*IF(Upgrades!$T$12="Asteroid Belt",POWER(Upgrades!$U$12,K332),1))+(IF(G332=0,0,(Upgrades!$G$8+G332*Upgrades!$H$8)*POWER(Upgrades!$I$8,G332)))*(IF(Upgrades!$T$6="Stellar Coupling",POWER(Upgrades!$U$6,E332),1)*IF(Upgrades!$T$7="Stellar Coupling",POWER(Upgrades!$U$7,F332),1)*IF(Upgrades!$T$9="Stellar Coupling",POWER(Upgrades!$U$9,H332),1)*IF(Upgrades!$T$10="Stellar Coupling",POWER(Upgrades!$U$10,I332),1)*IF(Upgrades!$T$11="Stellar Coupling",POWER(Upgrades!$U$11,J332),1)*IF(Upgrades!$T$12="Stellar Coupling",POWER(Upgrades!$U$12,K332),1))+(IF(H332=0,0,(Upgrades!$G$9+H332*Upgrades!$H$9)*POWER(Upgrades!$I$9,H332)))*(IF(Upgrades!$T$6="Magnetosphere",POWER(Upgrades!$U$6,E332),1)*IF(Upgrades!$T$7="Magnetosphere",POWER(Upgrades!$U$7,F332),1)*IF(Upgrades!$T$8="Magnetosphere",POWER(Upgrades!$U$8,G332),1)*IF(Upgrades!$T$10="Magnetosphere",POWER(Upgrades!$U$10,I332),1)*IF(Upgrades!$T$11="Magnetosphere",POWER(Upgrades!$U$11,J332),1)*IF(Upgrades!$T$12="Magnetosphere",POWER(Upgrades!$U$12,K332),1))+(IF(I332=0,0,(Upgrades!$G$10+I332*Upgrades!$H$10)*POWER(Upgrades!$I$10,I332)))*(IF(Upgrades!$T$6="Orbital Resonance",POWER(Upgrades!$U$6,E332),1)*IF(Upgrades!$T$7="Orbital Resonance",POWER(Upgrades!$U$7,F332),1)*IF(Upgrades!$T$8="Orbital Resonance",POWER(Upgrades!$U$8,G332),1)*IF(Upgrades!$T$9="Orbital Resonance",POWER(Upgrades!$U$9,H332),1)*IF(Upgrades!$T$11="Orbital Resonance",POWER(Upgrades!$U$11,J332),1)*IF(Upgrades!$T$12="Orbital Resonance",POWER(Upgrades!$U$12,K332),1))+(IF(J332=0,0,(Upgrades!$G$11+J332*Upgrades!$H$11)*POWER(Upgrades!$I$11,J332)))*(IF(Upgrades!$T$6="Heliopause",POWER(Upgrades!$U$6,E332),1)*IF(Upgrades!$T$7="Heliopause",POWER(Upgrades!$U$7,F332),1)*IF(Upgrades!$T$8="Heliopause",POWER(Upgrades!$U$8,G332),1)*IF(Upgrades!$T$9="Heliopause",POWER(Upgrades!$U$9,H332),1)*IF(Upgrades!$T$10="Heliopause",POWER(Upgrades!$U$10,I332),1)*IF(Upgrades!$T$12="Heliopause",POWER(Upgrades!$U$12,K332),1))+(IF(K332=0,0,(Upgrades!$G$12+K332*Upgrades!$H$12)*POWER(Upgrades!$I$12,K332)))*(IF(Upgrades!$T$6="First Photons",POWER(Upgrades!$U$6,E332),1)*IF(Upgrades!$T$7="First Photons",POWER(Upgrades!$U$7,F332),1)*IF(Upgrades!$T$8="First Photons",POWER(Upgrades!$U$8,G332),1)*IF(Upgrades!$T$9="First Photons",POWER(Upgrades!$U$9,H332),1)*IF(Upgrades!$T$10="First Photons",POWER(Upgrades!$U$10,I332),1)*IF(Upgrades!$T$11="First Photons",POWER(Upgrades!$U$11,J332),1)))*POWER(Upgrades!$P$6,E332)*POWER(Upgrades!$P$7,F332)*POWER(Upgrades!$P$8,G332)*POWER(Upgrades!$P$9,H332)*POWER(Upgrades!$P$10,I332)*POWER(Upgrades!$P$11,J332)*POWER(Upgrades!$P$12,K332)</f>
        <v/>
      </c>
      <c r="O332" s="28">
        <f>((IF(E332=0,0,(Upgrades!$M$6+E332*Upgrades!$N$6)*POWER(Upgrades!$O$6,E332)))*(IF(Upgrades!$T$7="Solar Wind",POWER(Upgrades!$U$7,F332),1)*IF(Upgrades!$T$8="Solar Wind",POWER(Upgrades!$U$8,G332),1)*IF(Upgrades!$T$9="Solar Wind",POWER(Upgrades!$U$9,H332),1)*IF(Upgrades!$T$10="Solar Wind",POWER(Upgrades!$U$10,I332),1)*IF(Upgrades!$T$11="Solar Wind",POWER(Upgrades!$U$11,J332),1)*IF(Upgrades!$T$12="Solar Wind",POWER(Upgrades!$U$12,K332),1))+(IF(F332=0,0,(Upgrades!$M$7+F332*Upgrades!$N$7)*POWER(Upgrades!$O$7,F332)))*(IF(Upgrades!$T$6="Asteroid Belt",POWER(Upgrades!$U$6,E332),1)*IF(Upgrades!$T$8="Asteroid Belt",POWER(Upgrades!$U$8,G332),1)*IF(Upgrades!$T$9="Asteroid Belt",POWER(Upgrades!$U$9,H332),1)*IF(Upgrades!$T$10="Asteroid Belt",POWER(Upgrades!$U$10,I332),1)*IF(Upgrades!$T$11="Asteroid Belt",POWER(Upgrades!$U$11,J332),1)*IF(Upgrades!$T$12="Asteroid Belt",POWER(Upgrades!$U$12,K332),1))+(IF(G332=0,0,(Upgrades!$M$8+G332*Upgrades!$N$8)*POWER(Upgrades!$O$8,G332)))*(IF(Upgrades!$T$6="Stellar Coupling",POWER(Upgrades!$U$6,E332),1)*IF(Upgrades!$T$7="Stellar Coupling",POWER(Upgrades!$U$7,F332),1)*IF(Upgrades!$T$9="Stellar Coupling",POWER(Upgrades!$U$9,H332),1)*IF(Upgrades!$T$10="Stellar Coupling",POWER(Upgrades!$U$10,I332),1)*IF(Upgrades!$T$11="Stellar Coupling",POWER(Upgrades!$U$11,J332),1)*IF(Upgrades!$T$12="Stellar Coupling",POWER(Upgrades!$U$12,K332),1))+(IF(H332=0,0,(Upgrades!$M$9+H332*Upgrades!$N$9)*POWER(Upgrades!$O$9,H332)))*(IF(Upgrades!$T$6="Magnetosphere",POWER(Upgrades!$U$6,E332),1)*IF(Upgrades!$T$7="Magnetosphere",POWER(Upgrades!$U$7,F332),1)*IF(Upgrades!$T$8="Magnetosphere",POWER(Upgrades!$U$8,G332),1)*IF(Upgrades!$T$10="Magnetosphere",POWER(Upgrades!$U$10,I332),1)*IF(Upgrades!$T$11="Magnetosphere",POWER(Upgrades!$U$11,J332),1)*IF(Upgrades!$T$12="Magnetosphere",POWER(Upgrades!$U$12,K332),1))+(IF(I332=0,0,(Upgrades!$M$10+I332*Upgrades!$N$10)*POWER(Upgrades!$O$10,I332)))*(IF(Upgrades!$T$6="Orbital Resonance",POWER(Upgrades!$U$6,E332),1)*IF(Upgrades!$T$7="Orbital Resonance",POWER(Upgrades!$U$7,F332),1)*IF(Upgrades!$T$8="Orbital Resonance",POWER(Upgrades!$U$8,G332),1)*IF(Upgrades!$T$9="Orbital Resonance",POWER(Upgrades!$U$9,H332),1)*IF(Upgrades!$T$11="Orbital Resonance",POWER(Upgrades!$U$11,J332),1)*IF(Upgrades!$T$12="Orbital Resonance",POWER(Upgrades!$U$12,K332),1))+(IF(J332=0,0,(Upgrades!$M$11+J332*Upgrades!$N$11)*POWER(Upgrades!$O$11,J332)))*(IF(Upgrades!$T$6="Heliopause",POWER(Upgrades!$U$6,E332),1)*IF(Upgrades!$T$7="Heliopause",POWER(Upgrades!$U$7,F332),1)*IF(Upgrades!$T$8="Heliopause",POWER(Upgrades!$U$8,G332),1)*IF(Upgrades!$T$9="Heliopause",POWER(Upgrades!$U$9,H332),1)*IF(Upgrades!$T$10="Heliopause",POWER(Upgrades!$U$10,I332),1)*IF(Upgrades!$T$12="Heliopause",POWER(Upgrades!$U$12,K332),1))+(IF(K332=0,0,(Upgrades!$M$12+K332*Upgrades!$N$12)*POWER(Upgrades!$O$12,K332)))*(IF(Upgrades!$T$6="First Photons",POWER(Upgrades!$U$6,E332),1)*IF(Upgrades!$T$7="First Photons",POWER(Upgrades!$U$7,F332),1)*IF(Upgrades!$T$8="First Photons",POWER(Upgrades!$U$8,G332),1)*IF(Upgrades!$T$9="First Photons",POWER(Upgrades!$U$9,H332),1)*IF(Upgrades!$T$10="First Photons",POWER(Upgrades!$U$10,I332),1)*IF(Upgrades!$T$11="First Photons",POWER(Upgrades!$U$11,J332),1)))*POWER(Upgrades!$R$6,E332)*POWER(Upgrades!$R$7,F332)*POWER(Upgrades!$R$8,G332)*POWER(Upgrades!$R$9,H332)*POWER(Upgrades!$R$10,I332)*POWER(Upgrades!$R$11,J332)*POWER(Upgrades!$R$12,K332)</f>
        <v/>
      </c>
      <c r="P332" s="27">
        <f>IF(L332=1,0,M332*Parameters!$B$10/60*Parameters!$B$11*10)</f>
        <v/>
      </c>
      <c r="Q332" s="27">
        <f>IF(L332=1,0,O332*M332*10)</f>
        <v/>
      </c>
      <c r="R332" s="27">
        <f>IF(L332=1,0,N332*10)</f>
        <v/>
      </c>
      <c r="S332" s="27">
        <f>P332+Q332+R332</f>
        <v/>
      </c>
      <c r="T332" s="22">
        <f>C332+S332</f>
        <v/>
      </c>
      <c r="U332" s="33">
        <f>AX332</f>
        <v/>
      </c>
      <c r="V332" s="22">
        <f>IF(U332="",0,IF(U332="transition",0,IF(U332="SW",AG332,IF(U332="AB",AH332,IF(U332="SC",AI332,IF(U332="Mag",AJ332,IF(U332="OR",AK332,IF(U332="HP",AL332,IF(U332="FP",AM332,0)))))))))</f>
        <v/>
      </c>
      <c r="W332" s="27">
        <f>IF(U332="OR",Upgrades!$F$10,IF(U332="HP",Upgrades!$F$11,IF(U332="transition",-Parameters!$B$18,0)))</f>
        <v/>
      </c>
      <c r="X332" s="22">
        <f>T332-V332</f>
        <v/>
      </c>
      <c r="Y332" s="30">
        <f>M332*Parameters!$B$10/60*Parameters!$B$11+O332*M332+N332</f>
        <v/>
      </c>
      <c r="Z332" s="34">
        <f>IF(U332="transition","→ Tier 2 (Stellar Neighborhood)",IF(U332="FP","First Photons — light begins, system quickens",IF(U332="HP","Heliopause acquired",IF(U332="OR","Orbital Resonance — passive multiplier active",IF(AND(AO332=1,L332=0,AN332&lt;&gt;1),"Cohesion ready (waiting on completionist upgrades)","")))))</f>
        <v/>
      </c>
      <c r="AA332" s="27">
        <f>(IF(E332=0,0,(Upgrades!$G$6+E332*Upgrades!$H$6)*POWER(Upgrades!$I$6,E332)))*(IF(Upgrades!$T$7="Solar Wind",POWER(Upgrades!$U$7,F332),1)*IF(Upgrades!$T$8="Solar Wind",POWER(Upgrades!$U$8,G332),1)*IF(Upgrades!$T$9="Solar Wind",POWER(Upgrades!$U$9,H332),1)*IF(Upgrades!$T$10="Solar Wind",POWER(Upgrades!$U$10,I332),1)*IF(Upgrades!$T$11="Solar Wind",POWER(Upgrades!$U$11,J332),1)*IF(Upgrades!$T$12="Solar Wind",POWER(Upgrades!$U$12,K332),1))*POWER(Upgrades!$P$6,E332)*POWER(Upgrades!$P$7,F332)*POWER(Upgrades!$P$8,G332)*POWER(Upgrades!$P$9,H332)*POWER(Upgrades!$P$10,I332)*POWER(Upgrades!$P$11,J332)*POWER(Upgrades!$P$12,K332)*60</f>
        <v/>
      </c>
      <c r="AB332" s="27">
        <f>(IF(F332=0,0,(Upgrades!$G$7+F332*Upgrades!$H$7)*POWER(Upgrades!$I$7,F332)))*(IF(Upgrades!$T$6="Asteroid Belt",POWER(Upgrades!$U$6,E332),1)*IF(Upgrades!$T$8="Asteroid Belt",POWER(Upgrades!$U$8,G332),1)*IF(Upgrades!$T$9="Asteroid Belt",POWER(Upgrades!$U$9,H332),1)*IF(Upgrades!$T$10="Asteroid Belt",POWER(Upgrades!$U$10,I332),1)*IF(Upgrades!$T$11="Asteroid Belt",POWER(Upgrades!$U$11,J332),1)*IF(Upgrades!$T$12="Asteroid Belt",POWER(Upgrades!$U$12,K332),1))*POWER(Upgrades!$P$6,E332)*POWER(Upgrades!$P$7,F332)*POWER(Upgrades!$P$8,G332)*POWER(Upgrades!$P$9,H332)*POWER(Upgrades!$P$10,I332)*POWER(Upgrades!$P$11,J332)*POWER(Upgrades!$P$12,K332)*60</f>
        <v/>
      </c>
      <c r="AC332" s="27">
        <f>(IF(G332=0,0,(Upgrades!$J$8+G332*Upgrades!$K$8)*POWER(Upgrades!$L$8,G332)))*(IF(Upgrades!$T$6="Stellar Coupling",POWER(Upgrades!$U$6,E332),1)*IF(Upgrades!$T$7="Stellar Coupling",POWER(Upgrades!$U$7,F332),1)*IF(Upgrades!$T$9="Stellar Coupling",POWER(Upgrades!$U$9,H332),1)*IF(Upgrades!$T$10="Stellar Coupling",POWER(Upgrades!$U$10,I332),1)*IF(Upgrades!$T$11="Stellar Coupling",POWER(Upgrades!$U$11,J332),1)*IF(Upgrades!$T$12="Stellar Coupling",POWER(Upgrades!$U$12,K332),1))*POWER(Upgrades!$Q$6,E332)*POWER(Upgrades!$Q$7,F332)*POWER(Upgrades!$Q$8,G332)*POWER(Upgrades!$Q$9,H332)*POWER(Upgrades!$Q$10,I332)*POWER(Upgrades!$Q$11,J332)*POWER(Upgrades!$Q$12,K332)*Parameters!$B$10*Parameters!$B$11</f>
        <v/>
      </c>
      <c r="AD332" s="27">
        <f>(IF(H332=0,0,(Upgrades!$G$9+H332*Upgrades!$H$9)*POWER(Upgrades!$I$9,H332)))*(IF(Upgrades!$T$6="Magnetosphere",POWER(Upgrades!$U$6,E332),1)*IF(Upgrades!$T$7="Magnetosphere",POWER(Upgrades!$U$7,F332),1)*IF(Upgrades!$T$8="Magnetosphere",POWER(Upgrades!$U$8,G332),1)*IF(Upgrades!$T$10="Magnetosphere",POWER(Upgrades!$U$10,I332),1)*IF(Upgrades!$T$11="Magnetosphere",POWER(Upgrades!$U$11,J332),1)*IF(Upgrades!$T$12="Magnetosphere",POWER(Upgrades!$U$12,K332),1))*POWER(Upgrades!$P$6,E332)*POWER(Upgrades!$P$7,F332)*POWER(Upgrades!$P$8,G332)*POWER(Upgrades!$P$9,H332)*POWER(Upgrades!$P$10,I332)*POWER(Upgrades!$P$11,J332)*POWER(Upgrades!$P$12,K332)*60</f>
        <v/>
      </c>
      <c r="AE332" s="27">
        <f>(IF(K332=0,0,(Upgrades!$G$12+K332*Upgrades!$H$12)*POWER(Upgrades!$I$12,K332)))*(IF(Upgrades!$T$6="First Photons",POWER(Upgrades!$U$6,E332),1)*IF(Upgrades!$T$7="First Photons",POWER(Upgrades!$U$7,F332),1)*IF(Upgrades!$T$8="First Photons",POWER(Upgrades!$U$8,G332),1)*IF(Upgrades!$T$9="First Photons",POWER(Upgrades!$U$9,H332),1)*IF(Upgrades!$T$10="First Photons",POWER(Upgrades!$U$10,I332),1)*IF(Upgrades!$T$11="First Photons",POWER(Upgrades!$U$11,J332),1))*POWER(Upgrades!$P$6,E332)*POWER(Upgrades!$P$7,F332)*POWER(Upgrades!$P$8,G332)*POWER(Upgrades!$P$9,H332)*POWER(Upgrades!$P$10,I332)*POWER(Upgrades!$P$11,J332)*POWER(Upgrades!$P$12,K332)*60</f>
        <v/>
      </c>
      <c r="AF332" s="27">
        <f>Parameters!$B$9*POWER(Upgrades!$Q$6,E332)*POWER(Upgrades!$Q$7,F332)*POWER(Upgrades!$Q$8,G332)*POWER(Upgrades!$Q$9,H332)*POWER(Upgrades!$Q$10,I332)*POWER(Upgrades!$Q$11,J332)*POWER(Upgrades!$Q$12,K332)*(Parameters!$B$10*Parameters!$B$11+O332*60)</f>
        <v/>
      </c>
      <c r="AG332" s="22">
        <f>IF(E332&gt;=Upgrades!$E$6,"",Upgrades!$C$6*POWER(Upgrades!$D$6,E332))</f>
        <v/>
      </c>
      <c r="AH332" s="22">
        <f>IF(F332&gt;=Upgrades!$E$7,"",Upgrades!$C$7*POWER(Upgrades!$D$7,F332))</f>
        <v/>
      </c>
      <c r="AI332" s="22">
        <f>IF(G332&gt;=Upgrades!$E$8,"",Upgrades!$C$8*POWER(Upgrades!$D$8,G332))</f>
        <v/>
      </c>
      <c r="AJ332" s="22">
        <f>IF(H332&gt;=Upgrades!$E$9,"",Upgrades!$C$9*POWER(Upgrades!$D$9,H332))</f>
        <v/>
      </c>
      <c r="AK332" s="22">
        <f>IF(I332&gt;=Upgrades!$E$10,"",Upgrades!$C$10*POWER(Upgrades!$D$10,I332))</f>
        <v/>
      </c>
      <c r="AL332" s="22">
        <f>IF(J332&gt;=Upgrades!$E$11,"",Upgrades!$C$11*POWER(Upgrades!$D$11,J332))</f>
        <v/>
      </c>
      <c r="AM332" s="22">
        <f>IF(K332&gt;=Upgrades!$E$12,"",Upgrades!$C$12*POWER(Upgrades!$D$12,K332))</f>
        <v/>
      </c>
      <c r="AN332" s="26">
        <f>IF(AND(D332&gt;=Parameters!$B$18,(H332&gt;=Upgrades!$E$9)*(K332&gt;=Upgrades!$E$12)=1,L332=0),1,"")</f>
        <v/>
      </c>
      <c r="AO332" s="26">
        <f>IF(AND(D332&gt;=Parameters!$B$18,L332=0),1,"")</f>
        <v/>
      </c>
      <c r="AP332" s="22">
        <f>MIN(IF(ISNUMBER(AK332),AK332,9E15),IF(ISNUMBER(AL332),AL332,9E15),IF(ISNUMBER(AM332),AM332,9E15))</f>
        <v/>
      </c>
      <c r="AQ332" s="22">
        <f>MIN(IF(ISNUMBER(AG332),AG332,9E15),IF(ISNUMBER(AH332),AH332,9E15),IF(ISNUMBER(AI332),AI332,9E15),IF(ISNUMBER(AJ332),AJ332,9E15))</f>
        <v/>
      </c>
      <c r="AR332" s="29">
        <f>IF(AW332&gt;Parameters!$B$21*(MAX(IF(AND(NOT(AND(AO332=1,AN332&lt;&gt;1)),ISNUMBER(AG332),AG332&lt;=T332),AS332,0),IF(AND(NOT(AND(AO332=1,AN332&lt;&gt;1)),ISNUMBER(AH332),AH332&lt;=T332),AT332,0),IF(AND(NOT(AND(AO332=1,AN332&lt;&gt;1)),ISNUMBER(AI332),AI332&lt;=T332),AU332,0),IF(AND(ISNUMBER(AJ332),AJ332&lt;=T332),AV332,0))),TRUE,FALSE)</f>
        <v/>
      </c>
      <c r="AS332" s="32">
        <f>IFERROR(Upgrades!$H$6*(POWER(Upgrades!$P$6,E332)*POWER(Upgrades!$P$7,F332)*POWER(Upgrades!$P$8,G332)*POWER(Upgrades!$P$9,H332)*POWER(Upgrades!$P$10,I332)*POWER(Upgrades!$P$11,J332)*POWER(Upgrades!$P$12,K332))*(IF(Upgrades!$T$7="Solar Wind",POWER(Upgrades!$U$7,F332),1)*IF(Upgrades!$T$8="Solar Wind",POWER(Upgrades!$U$8,G332),1)*IF(Upgrades!$T$9="Solar Wind",POWER(Upgrades!$U$9,H332),1)*IF(Upgrades!$T$10="Solar Wind",POWER(Upgrades!$U$10,I332),1)*IF(Upgrades!$T$11="Solar Wind",POWER(Upgrades!$U$11,J332),1)*IF(Upgrades!$T$12="Solar Wind",POWER(Upgrades!$U$12,K332),1))/AG332,0)</f>
        <v/>
      </c>
      <c r="AT332" s="32">
        <f>IFERROR(Upgrades!$H$7*(POWER(Upgrades!$P$6,E332)*POWER(Upgrades!$P$7,F332)*POWER(Upgrades!$P$8,G332)*POWER(Upgrades!$P$9,H332)*POWER(Upgrades!$P$10,I332)*POWER(Upgrades!$P$11,J332)*POWER(Upgrades!$P$12,K332))*(IF(Upgrades!$T$6="Asteroid Belt",POWER(Upgrades!$U$6,E332),1)*IF(Upgrades!$T$8="Asteroid Belt",POWER(Upgrades!$U$8,G332),1)*IF(Upgrades!$T$9="Asteroid Belt",POWER(Upgrades!$U$9,H332),1)*IF(Upgrades!$T$10="Asteroid Belt",POWER(Upgrades!$U$10,I332),1)*IF(Upgrades!$T$11="Asteroid Belt",POWER(Upgrades!$U$11,J332),1)*IF(Upgrades!$T$12="Asteroid Belt",POWER(Upgrades!$U$12,K332),1))/AH332,0)</f>
        <v/>
      </c>
      <c r="AU332" s="32">
        <f>IFERROR(Upgrades!$K$8*(POWER(Upgrades!$Q$6,E332)*POWER(Upgrades!$Q$7,F332)*POWER(Upgrades!$Q$8,G332)*POWER(Upgrades!$Q$9,H332)*POWER(Upgrades!$Q$10,I332)*POWER(Upgrades!$Q$11,J332)*POWER(Upgrades!$Q$12,K332))*(IF(Upgrades!$T$6="Stellar Coupling",POWER(Upgrades!$U$6,E332),1)*IF(Upgrades!$T$7="Stellar Coupling",POWER(Upgrades!$U$7,F332),1)*IF(Upgrades!$T$9="Stellar Coupling",POWER(Upgrades!$U$9,H332),1)*IF(Upgrades!$T$10="Stellar Coupling",POWER(Upgrades!$U$10,I332),1)*IF(Upgrades!$T$11="Stellar Coupling",POWER(Upgrades!$U$11,J332),1)*IF(Upgrades!$T$12="Stellar Coupling",POWER(Upgrades!$U$12,K332),1))*Parameters!$B$10*Parameters!$B$11/60/AI332,0)</f>
        <v/>
      </c>
      <c r="AV332" s="32">
        <f>IFERROR(Upgrades!$H$9*(POWER(Upgrades!$P$6,E332)*POWER(Upgrades!$P$7,F332)*POWER(Upgrades!$P$8,G332)*POWER(Upgrades!$P$9,H332)*POWER(Upgrades!$P$10,I332)*POWER(Upgrades!$P$11,J332)*POWER(Upgrades!$P$12,K332))*(IF(Upgrades!$T$6="Magnetosphere",POWER(Upgrades!$U$6,E332),1)*IF(Upgrades!$T$7="Magnetosphere",POWER(Upgrades!$U$7,F332),1)*IF(Upgrades!$T$8="Magnetosphere",POWER(Upgrades!$U$8,G332),1)*IF(Upgrades!$T$10="Magnetosphere",POWER(Upgrades!$U$10,I332),1)*IF(Upgrades!$T$11="Magnetosphere",POWER(Upgrades!$U$11,J332),1)*IF(Upgrades!$T$12="Magnetosphere",POWER(Upgrades!$U$12,K332),1))/AJ332,0)</f>
        <v/>
      </c>
      <c r="AW332" s="32">
        <f>MAX(IF(I332&gt;0,0,IFERROR(0.25*N332/Upgrades!$C$10,0)),IF(J332&gt;0,0,IFERROR(0.5*((IF(G332=0,0,(Upgrades!$J$8+G332*Upgrades!$K$8)*POWER(Upgrades!$L$8,G332)))*(IF(Upgrades!$T$6="Stellar Coupling",POWER(Upgrades!$U$6,E332),1)*IF(Upgrades!$T$7="Stellar Coupling",POWER(Upgrades!$U$7,F332),1)*IF(Upgrades!$T$9="Stellar Coupling",POWER(Upgrades!$U$9,H332),1)*IF(Upgrades!$T$10="Stellar Coupling",POWER(Upgrades!$U$10,I332),1)*IF(Upgrades!$T$11="Stellar Coupling",POWER(Upgrades!$U$11,J332),1)*IF(Upgrades!$T$12="Stellar Coupling",POWER(Upgrades!$U$12,K332),1))*(POWER(Upgrades!$Q$6,E332)*POWER(Upgrades!$Q$7,F332)*POWER(Upgrades!$Q$8,G332)*POWER(Upgrades!$Q$9,H332)*POWER(Upgrades!$Q$10,I332)*POWER(Upgrades!$Q$11,J332)*POWER(Upgrades!$Q$12,K332))*Parameters!$B$10*Parameters!$B$11/60)/Upgrades!$C$11,0)),IF(K332&gt;0,0,IFERROR((1.0*(POWER(Upgrades!$P$6,E332)*POWER(Upgrades!$P$7,F332)*POWER(Upgrades!$P$8,G332)*POWER(Upgrades!$P$9,H332)*POWER(Upgrades!$P$10,I332)*POWER(Upgrades!$P$11,J332)*POWER(Upgrades!$P$12,K332))+0.20*M332*Parameters!$B$10*Parameters!$B$11/60)/Upgrades!$C$12,0)),IF(AND(ISNUMBER(AG332),AG332&gt;T332),AS332,0),IF(AND(ISNUMBER(AH332),AH332&gt;T332),AT332,0),IF(AND(ISNUMBER(AI332),AI332&gt;T332),AU332,0),IF(AND(ISNUMBER(AJ332),AJ332&gt;T332),AV332,0))</f>
        <v/>
      </c>
      <c r="AX332" s="29">
        <f>IF(AN332=1,"transition",IF(MIN(IF(AND(I332=0,ISNUMBER(AK332),AK332&lt;=T332),AK332,9E15),IF(AND(J332=0,ISNUMBER(AL332),AL332&lt;=T332),AL332,9E15),IF(AND(K332=0,ISNUMBER(AM332),AM332&lt;=T332),AM332,9E15))&lt;9E15,IF(AND(AND(I332=0,ISNUMBER(AK332),AK332&lt;=T332),AK332=MIN(IF(AND(I332=0,ISNUMBER(AK332),AK332&lt;=T332),AK332,9E15),IF(AND(J332=0,ISNUMBER(AL332),AL332&lt;=T332),AL332,9E15),IF(AND(K332=0,ISNUMBER(AM332),AM332&lt;=T332),AM332,9E15))),"OR",IF(AND(AND(J332=0,ISNUMBER(AL332),AL332&lt;=T332),AL332=MIN(IF(AND(I332=0,ISNUMBER(AK332),AK332&lt;=T332),AK332,9E15),IF(AND(J332=0,ISNUMBER(AL332),AL332&lt;=T332),AL332,9E15),IF(AND(K332=0,ISNUMBER(AM332),AM332&lt;=T332),AM332,9E15))),"HP","FP")),IF(AR332=TRUE,"",IF(MAX(IF(AND(NOT(AND(AO332=1,AN332&lt;&gt;1)),ISNUMBER(AG332),AG332&lt;=T332),AS332,0),IF(AND(NOT(AND(AO332=1,AN332&lt;&gt;1)),ISNUMBER(AH332),AH332&lt;=T332),AT332,0),IF(AND(NOT(AND(AO332=1,AN332&lt;&gt;1)),ISNUMBER(AI332),AI332&lt;=T332),AU332,0),IF(AND(ISNUMBER(AJ332),AJ332&lt;=T332),AV332,0))&lt;=0,"",IF(AND(IF(AND(NOT(AND(AO332=1,AN332&lt;&gt;1)),ISNUMBER(AG332),AG332&lt;=T332),AS332,0)&gt;0,IF(AND(NOT(AND(AO332=1,AN332&lt;&gt;1)),ISNUMBER(AG332),AG332&lt;=T332),AS332,0)=MAX(IF(AND(NOT(AND(AO332=1,AN332&lt;&gt;1)),ISNUMBER(AG332),AG332&lt;=T332),AS332,0),IF(AND(NOT(AND(AO332=1,AN332&lt;&gt;1)),ISNUMBER(AH332),AH332&lt;=T332),AT332,0),IF(AND(NOT(AND(AO332=1,AN332&lt;&gt;1)),ISNUMBER(AI332),AI332&lt;=T332),AU332,0),IF(AND(ISNUMBER(AJ332),AJ332&lt;=T332),AV332,0))),"SW",IF(AND(IF(AND(NOT(AND(AO332=1,AN332&lt;&gt;1)),ISNUMBER(AH332),AH332&lt;=T332),AT332,0)&gt;0,IF(AND(NOT(AND(AO332=1,AN332&lt;&gt;1)),ISNUMBER(AH332),AH332&lt;=T332),AT332,0)=MAX(IF(AND(NOT(AND(AO332=1,AN332&lt;&gt;1)),ISNUMBER(AG332),AG332&lt;=T332),AS332,0),IF(AND(NOT(AND(AO332=1,AN332&lt;&gt;1)),ISNUMBER(AH332),AH332&lt;=T332),AT332,0),IF(AND(NOT(AND(AO332=1,AN332&lt;&gt;1)),ISNUMBER(AI332),AI332&lt;=T332),AU332,0),IF(AND(ISNUMBER(AJ332),AJ332&lt;=T332),AV332,0))),"AB",IF(AND(IF(AND(NOT(AND(AO332=1,AN332&lt;&gt;1)),ISNUMBER(AI332),AI332&lt;=T332),AU332,0)&gt;0,IF(AND(NOT(AND(AO332=1,AN332&lt;&gt;1)),ISNUMBER(AI332),AI332&lt;=T332),AU332,0)=MAX(IF(AND(NOT(AND(AO332=1,AN332&lt;&gt;1)),ISNUMBER(AG332),AG332&lt;=T332),AS332,0),IF(AND(NOT(AND(AO332=1,AN332&lt;&gt;1)),ISNUMBER(AH332),AH332&lt;=T332),AT332,0),IF(AND(NOT(AND(AO332=1,AN332&lt;&gt;1)),ISNUMBER(AI332),AI332&lt;=T332),AU332,0),IF(AND(ISNUMBER(AJ332),AJ332&lt;=T332),AV332,0))),"SC","Mag")))))))</f>
        <v/>
      </c>
    </row>
    <row r="333">
      <c r="A333" s="26" t="n">
        <v>328</v>
      </c>
      <c r="B333" s="27">
        <f>A333*10/60</f>
        <v/>
      </c>
      <c r="C333" s="22">
        <f>X332</f>
        <v/>
      </c>
      <c r="D333" s="27">
        <f>D332+W332</f>
        <v/>
      </c>
      <c r="E333" s="26">
        <f>E332+IF(U332="SW",1,0)</f>
        <v/>
      </c>
      <c r="F333" s="26">
        <f>F332+IF(U332="AB",1,0)</f>
        <v/>
      </c>
      <c r="G333" s="26">
        <f>G332+IF(U332="SC",1,0)</f>
        <v/>
      </c>
      <c r="H333" s="26">
        <f>H332+IF(U332="Mag",1,0)</f>
        <v/>
      </c>
      <c r="I333" s="26">
        <f>MAX(I332,IF(U332="OR",1,0))</f>
        <v/>
      </c>
      <c r="J333" s="26">
        <f>MAX(J332,IF(U332="HP",1,0))</f>
        <v/>
      </c>
      <c r="K333" s="26">
        <f>MAX(K332,IF(U332="FP",1,0))</f>
        <v/>
      </c>
      <c r="L333" s="26">
        <f>MAX(L332,IF(U332="transition",1,0))</f>
        <v/>
      </c>
      <c r="M333" s="28">
        <f>(Parameters!$B$9+(IF(E333=0,0,(Upgrades!$J$6+E333*Upgrades!$K$6)*POWER(Upgrades!$L$6,E333)))*(IF(Upgrades!$T$7="Solar Wind",POWER(Upgrades!$U$7,F333),1)*IF(Upgrades!$T$8="Solar Wind",POWER(Upgrades!$U$8,G333),1)*IF(Upgrades!$T$9="Solar Wind",POWER(Upgrades!$U$9,H333),1)*IF(Upgrades!$T$10="Solar Wind",POWER(Upgrades!$U$10,I333),1)*IF(Upgrades!$T$11="Solar Wind",POWER(Upgrades!$U$11,J333),1)*IF(Upgrades!$T$12="Solar Wind",POWER(Upgrades!$U$12,K333),1))+(IF(F333=0,0,(Upgrades!$J$7+F333*Upgrades!$K$7)*POWER(Upgrades!$L$7,F333)))*(IF(Upgrades!$T$6="Asteroid Belt",POWER(Upgrades!$U$6,E333),1)*IF(Upgrades!$T$8="Asteroid Belt",POWER(Upgrades!$U$8,G333),1)*IF(Upgrades!$T$9="Asteroid Belt",POWER(Upgrades!$U$9,H333),1)*IF(Upgrades!$T$10="Asteroid Belt",POWER(Upgrades!$U$10,I333),1)*IF(Upgrades!$T$11="Asteroid Belt",POWER(Upgrades!$U$11,J333),1)*IF(Upgrades!$T$12="Asteroid Belt",POWER(Upgrades!$U$12,K333),1))+(IF(G333=0,0,(Upgrades!$J$8+G333*Upgrades!$K$8)*POWER(Upgrades!$L$8,G333)))*(IF(Upgrades!$T$6="Stellar Coupling",POWER(Upgrades!$U$6,E333),1)*IF(Upgrades!$T$7="Stellar Coupling",POWER(Upgrades!$U$7,F333),1)*IF(Upgrades!$T$9="Stellar Coupling",POWER(Upgrades!$U$9,H333),1)*IF(Upgrades!$T$10="Stellar Coupling",POWER(Upgrades!$U$10,I333),1)*IF(Upgrades!$T$11="Stellar Coupling",POWER(Upgrades!$U$11,J333),1)*IF(Upgrades!$T$12="Stellar Coupling",POWER(Upgrades!$U$12,K333),1))+(IF(H333=0,0,(Upgrades!$J$9+H333*Upgrades!$K$9)*POWER(Upgrades!$L$9,H333)))*(IF(Upgrades!$T$6="Magnetosphere",POWER(Upgrades!$U$6,E333),1)*IF(Upgrades!$T$7="Magnetosphere",POWER(Upgrades!$U$7,F333),1)*IF(Upgrades!$T$8="Magnetosphere",POWER(Upgrades!$U$8,G333),1)*IF(Upgrades!$T$10="Magnetosphere",POWER(Upgrades!$U$10,I333),1)*IF(Upgrades!$T$11="Magnetosphere",POWER(Upgrades!$U$11,J333),1)*IF(Upgrades!$T$12="Magnetosphere",POWER(Upgrades!$U$12,K333),1))+(IF(I333=0,0,(Upgrades!$J$10+I333*Upgrades!$K$10)*POWER(Upgrades!$L$10,I333)))*(IF(Upgrades!$T$6="Orbital Resonance",POWER(Upgrades!$U$6,E333),1)*IF(Upgrades!$T$7="Orbital Resonance",POWER(Upgrades!$U$7,F333),1)*IF(Upgrades!$T$8="Orbital Resonance",POWER(Upgrades!$U$8,G333),1)*IF(Upgrades!$T$9="Orbital Resonance",POWER(Upgrades!$U$9,H333),1)*IF(Upgrades!$T$11="Orbital Resonance",POWER(Upgrades!$U$11,J333),1)*IF(Upgrades!$T$12="Orbital Resonance",POWER(Upgrades!$U$12,K333),1))+(IF(J333=0,0,(Upgrades!$J$11+J333*Upgrades!$K$11)*POWER(Upgrades!$L$11,J333)))*(IF(Upgrades!$T$6="Heliopause",POWER(Upgrades!$U$6,E333),1)*IF(Upgrades!$T$7="Heliopause",POWER(Upgrades!$U$7,F333),1)*IF(Upgrades!$T$8="Heliopause",POWER(Upgrades!$U$8,G333),1)*IF(Upgrades!$T$9="Heliopause",POWER(Upgrades!$U$9,H333),1)*IF(Upgrades!$T$10="Heliopause",POWER(Upgrades!$U$10,I333),1)*IF(Upgrades!$T$12="Heliopause",POWER(Upgrades!$U$12,K333),1))+(IF(K333=0,0,(Upgrades!$J$12+K333*Upgrades!$K$12)*POWER(Upgrades!$L$12,K333)))*(IF(Upgrades!$T$6="First Photons",POWER(Upgrades!$U$6,E333),1)*IF(Upgrades!$T$7="First Photons",POWER(Upgrades!$U$7,F333),1)*IF(Upgrades!$T$8="First Photons",POWER(Upgrades!$U$8,G333),1)*IF(Upgrades!$T$9="First Photons",POWER(Upgrades!$U$9,H333),1)*IF(Upgrades!$T$10="First Photons",POWER(Upgrades!$U$10,I333),1)*IF(Upgrades!$T$11="First Photons",POWER(Upgrades!$U$11,J333),1)))*POWER(Upgrades!$Q$6,E333)*POWER(Upgrades!$Q$7,F333)*POWER(Upgrades!$Q$8,G333)*POWER(Upgrades!$Q$9,H333)*POWER(Upgrades!$Q$10,I333)*POWER(Upgrades!$Q$11,J333)*POWER(Upgrades!$Q$12,K333)</f>
        <v/>
      </c>
      <c r="N333" s="28">
        <f>((IF(E333=0,0,(Upgrades!$G$6+E333*Upgrades!$H$6)*POWER(Upgrades!$I$6,E333)))*(IF(Upgrades!$T$7="Solar Wind",POWER(Upgrades!$U$7,F333),1)*IF(Upgrades!$T$8="Solar Wind",POWER(Upgrades!$U$8,G333),1)*IF(Upgrades!$T$9="Solar Wind",POWER(Upgrades!$U$9,H333),1)*IF(Upgrades!$T$10="Solar Wind",POWER(Upgrades!$U$10,I333),1)*IF(Upgrades!$T$11="Solar Wind",POWER(Upgrades!$U$11,J333),1)*IF(Upgrades!$T$12="Solar Wind",POWER(Upgrades!$U$12,K333),1))+(IF(F333=0,0,(Upgrades!$G$7+F333*Upgrades!$H$7)*POWER(Upgrades!$I$7,F333)))*(IF(Upgrades!$T$6="Asteroid Belt",POWER(Upgrades!$U$6,E333),1)*IF(Upgrades!$T$8="Asteroid Belt",POWER(Upgrades!$U$8,G333),1)*IF(Upgrades!$T$9="Asteroid Belt",POWER(Upgrades!$U$9,H333),1)*IF(Upgrades!$T$10="Asteroid Belt",POWER(Upgrades!$U$10,I333),1)*IF(Upgrades!$T$11="Asteroid Belt",POWER(Upgrades!$U$11,J333),1)*IF(Upgrades!$T$12="Asteroid Belt",POWER(Upgrades!$U$12,K333),1))+(IF(G333=0,0,(Upgrades!$G$8+G333*Upgrades!$H$8)*POWER(Upgrades!$I$8,G333)))*(IF(Upgrades!$T$6="Stellar Coupling",POWER(Upgrades!$U$6,E333),1)*IF(Upgrades!$T$7="Stellar Coupling",POWER(Upgrades!$U$7,F333),1)*IF(Upgrades!$T$9="Stellar Coupling",POWER(Upgrades!$U$9,H333),1)*IF(Upgrades!$T$10="Stellar Coupling",POWER(Upgrades!$U$10,I333),1)*IF(Upgrades!$T$11="Stellar Coupling",POWER(Upgrades!$U$11,J333),1)*IF(Upgrades!$T$12="Stellar Coupling",POWER(Upgrades!$U$12,K333),1))+(IF(H333=0,0,(Upgrades!$G$9+H333*Upgrades!$H$9)*POWER(Upgrades!$I$9,H333)))*(IF(Upgrades!$T$6="Magnetosphere",POWER(Upgrades!$U$6,E333),1)*IF(Upgrades!$T$7="Magnetosphere",POWER(Upgrades!$U$7,F333),1)*IF(Upgrades!$T$8="Magnetosphere",POWER(Upgrades!$U$8,G333),1)*IF(Upgrades!$T$10="Magnetosphere",POWER(Upgrades!$U$10,I333),1)*IF(Upgrades!$T$11="Magnetosphere",POWER(Upgrades!$U$11,J333),1)*IF(Upgrades!$T$12="Magnetosphere",POWER(Upgrades!$U$12,K333),1))+(IF(I333=0,0,(Upgrades!$G$10+I333*Upgrades!$H$10)*POWER(Upgrades!$I$10,I333)))*(IF(Upgrades!$T$6="Orbital Resonance",POWER(Upgrades!$U$6,E333),1)*IF(Upgrades!$T$7="Orbital Resonance",POWER(Upgrades!$U$7,F333),1)*IF(Upgrades!$T$8="Orbital Resonance",POWER(Upgrades!$U$8,G333),1)*IF(Upgrades!$T$9="Orbital Resonance",POWER(Upgrades!$U$9,H333),1)*IF(Upgrades!$T$11="Orbital Resonance",POWER(Upgrades!$U$11,J333),1)*IF(Upgrades!$T$12="Orbital Resonance",POWER(Upgrades!$U$12,K333),1))+(IF(J333=0,0,(Upgrades!$G$11+J333*Upgrades!$H$11)*POWER(Upgrades!$I$11,J333)))*(IF(Upgrades!$T$6="Heliopause",POWER(Upgrades!$U$6,E333),1)*IF(Upgrades!$T$7="Heliopause",POWER(Upgrades!$U$7,F333),1)*IF(Upgrades!$T$8="Heliopause",POWER(Upgrades!$U$8,G333),1)*IF(Upgrades!$T$9="Heliopause",POWER(Upgrades!$U$9,H333),1)*IF(Upgrades!$T$10="Heliopause",POWER(Upgrades!$U$10,I333),1)*IF(Upgrades!$T$12="Heliopause",POWER(Upgrades!$U$12,K333),1))+(IF(K333=0,0,(Upgrades!$G$12+K333*Upgrades!$H$12)*POWER(Upgrades!$I$12,K333)))*(IF(Upgrades!$T$6="First Photons",POWER(Upgrades!$U$6,E333),1)*IF(Upgrades!$T$7="First Photons",POWER(Upgrades!$U$7,F333),1)*IF(Upgrades!$T$8="First Photons",POWER(Upgrades!$U$8,G333),1)*IF(Upgrades!$T$9="First Photons",POWER(Upgrades!$U$9,H333),1)*IF(Upgrades!$T$10="First Photons",POWER(Upgrades!$U$10,I333),1)*IF(Upgrades!$T$11="First Photons",POWER(Upgrades!$U$11,J333),1)))*POWER(Upgrades!$P$6,E333)*POWER(Upgrades!$P$7,F333)*POWER(Upgrades!$P$8,G333)*POWER(Upgrades!$P$9,H333)*POWER(Upgrades!$P$10,I333)*POWER(Upgrades!$P$11,J333)*POWER(Upgrades!$P$12,K333)</f>
        <v/>
      </c>
      <c r="O333" s="28">
        <f>((IF(E333=0,0,(Upgrades!$M$6+E333*Upgrades!$N$6)*POWER(Upgrades!$O$6,E333)))*(IF(Upgrades!$T$7="Solar Wind",POWER(Upgrades!$U$7,F333),1)*IF(Upgrades!$T$8="Solar Wind",POWER(Upgrades!$U$8,G333),1)*IF(Upgrades!$T$9="Solar Wind",POWER(Upgrades!$U$9,H333),1)*IF(Upgrades!$T$10="Solar Wind",POWER(Upgrades!$U$10,I333),1)*IF(Upgrades!$T$11="Solar Wind",POWER(Upgrades!$U$11,J333),1)*IF(Upgrades!$T$12="Solar Wind",POWER(Upgrades!$U$12,K333),1))+(IF(F333=0,0,(Upgrades!$M$7+F333*Upgrades!$N$7)*POWER(Upgrades!$O$7,F333)))*(IF(Upgrades!$T$6="Asteroid Belt",POWER(Upgrades!$U$6,E333),1)*IF(Upgrades!$T$8="Asteroid Belt",POWER(Upgrades!$U$8,G333),1)*IF(Upgrades!$T$9="Asteroid Belt",POWER(Upgrades!$U$9,H333),1)*IF(Upgrades!$T$10="Asteroid Belt",POWER(Upgrades!$U$10,I333),1)*IF(Upgrades!$T$11="Asteroid Belt",POWER(Upgrades!$U$11,J333),1)*IF(Upgrades!$T$12="Asteroid Belt",POWER(Upgrades!$U$12,K333),1))+(IF(G333=0,0,(Upgrades!$M$8+G333*Upgrades!$N$8)*POWER(Upgrades!$O$8,G333)))*(IF(Upgrades!$T$6="Stellar Coupling",POWER(Upgrades!$U$6,E333),1)*IF(Upgrades!$T$7="Stellar Coupling",POWER(Upgrades!$U$7,F333),1)*IF(Upgrades!$T$9="Stellar Coupling",POWER(Upgrades!$U$9,H333),1)*IF(Upgrades!$T$10="Stellar Coupling",POWER(Upgrades!$U$10,I333),1)*IF(Upgrades!$T$11="Stellar Coupling",POWER(Upgrades!$U$11,J333),1)*IF(Upgrades!$T$12="Stellar Coupling",POWER(Upgrades!$U$12,K333),1))+(IF(H333=0,0,(Upgrades!$M$9+H333*Upgrades!$N$9)*POWER(Upgrades!$O$9,H333)))*(IF(Upgrades!$T$6="Magnetosphere",POWER(Upgrades!$U$6,E333),1)*IF(Upgrades!$T$7="Magnetosphere",POWER(Upgrades!$U$7,F333),1)*IF(Upgrades!$T$8="Magnetosphere",POWER(Upgrades!$U$8,G333),1)*IF(Upgrades!$T$10="Magnetosphere",POWER(Upgrades!$U$10,I333),1)*IF(Upgrades!$T$11="Magnetosphere",POWER(Upgrades!$U$11,J333),1)*IF(Upgrades!$T$12="Magnetosphere",POWER(Upgrades!$U$12,K333),1))+(IF(I333=0,0,(Upgrades!$M$10+I333*Upgrades!$N$10)*POWER(Upgrades!$O$10,I333)))*(IF(Upgrades!$T$6="Orbital Resonance",POWER(Upgrades!$U$6,E333),1)*IF(Upgrades!$T$7="Orbital Resonance",POWER(Upgrades!$U$7,F333),1)*IF(Upgrades!$T$8="Orbital Resonance",POWER(Upgrades!$U$8,G333),1)*IF(Upgrades!$T$9="Orbital Resonance",POWER(Upgrades!$U$9,H333),1)*IF(Upgrades!$T$11="Orbital Resonance",POWER(Upgrades!$U$11,J333),1)*IF(Upgrades!$T$12="Orbital Resonance",POWER(Upgrades!$U$12,K333),1))+(IF(J333=0,0,(Upgrades!$M$11+J333*Upgrades!$N$11)*POWER(Upgrades!$O$11,J333)))*(IF(Upgrades!$T$6="Heliopause",POWER(Upgrades!$U$6,E333),1)*IF(Upgrades!$T$7="Heliopause",POWER(Upgrades!$U$7,F333),1)*IF(Upgrades!$T$8="Heliopause",POWER(Upgrades!$U$8,G333),1)*IF(Upgrades!$T$9="Heliopause",POWER(Upgrades!$U$9,H333),1)*IF(Upgrades!$T$10="Heliopause",POWER(Upgrades!$U$10,I333),1)*IF(Upgrades!$T$12="Heliopause",POWER(Upgrades!$U$12,K333),1))+(IF(K333=0,0,(Upgrades!$M$12+K333*Upgrades!$N$12)*POWER(Upgrades!$O$12,K333)))*(IF(Upgrades!$T$6="First Photons",POWER(Upgrades!$U$6,E333),1)*IF(Upgrades!$T$7="First Photons",POWER(Upgrades!$U$7,F333),1)*IF(Upgrades!$T$8="First Photons",POWER(Upgrades!$U$8,G333),1)*IF(Upgrades!$T$9="First Photons",POWER(Upgrades!$U$9,H333),1)*IF(Upgrades!$T$10="First Photons",POWER(Upgrades!$U$10,I333),1)*IF(Upgrades!$T$11="First Photons",POWER(Upgrades!$U$11,J333),1)))*POWER(Upgrades!$R$6,E333)*POWER(Upgrades!$R$7,F333)*POWER(Upgrades!$R$8,G333)*POWER(Upgrades!$R$9,H333)*POWER(Upgrades!$R$10,I333)*POWER(Upgrades!$R$11,J333)*POWER(Upgrades!$R$12,K333)</f>
        <v/>
      </c>
      <c r="P333" s="27">
        <f>IF(L333=1,0,M333*Parameters!$B$10/60*Parameters!$B$11*10)</f>
        <v/>
      </c>
      <c r="Q333" s="27">
        <f>IF(L333=1,0,O333*M333*10)</f>
        <v/>
      </c>
      <c r="R333" s="27">
        <f>IF(L333=1,0,N333*10)</f>
        <v/>
      </c>
      <c r="S333" s="27">
        <f>P333+Q333+R333</f>
        <v/>
      </c>
      <c r="T333" s="22">
        <f>C333+S333</f>
        <v/>
      </c>
      <c r="U333" s="33">
        <f>AX333</f>
        <v/>
      </c>
      <c r="V333" s="22">
        <f>IF(U333="",0,IF(U333="transition",0,IF(U333="SW",AG333,IF(U333="AB",AH333,IF(U333="SC",AI333,IF(U333="Mag",AJ333,IF(U333="OR",AK333,IF(U333="HP",AL333,IF(U333="FP",AM333,0)))))))))</f>
        <v/>
      </c>
      <c r="W333" s="27">
        <f>IF(U333="OR",Upgrades!$F$10,IF(U333="HP",Upgrades!$F$11,IF(U333="transition",-Parameters!$B$18,0)))</f>
        <v/>
      </c>
      <c r="X333" s="22">
        <f>T333-V333</f>
        <v/>
      </c>
      <c r="Y333" s="30">
        <f>M333*Parameters!$B$10/60*Parameters!$B$11+O333*M333+N333</f>
        <v/>
      </c>
      <c r="Z333" s="34">
        <f>IF(U333="transition","→ Tier 2 (Stellar Neighborhood)",IF(U333="FP","First Photons — light begins, system quickens",IF(U333="HP","Heliopause acquired",IF(U333="OR","Orbital Resonance — passive multiplier active",IF(AND(AO333=1,L333=0,AN333&lt;&gt;1),"Cohesion ready (waiting on completionist upgrades)","")))))</f>
        <v/>
      </c>
      <c r="AA333" s="27">
        <f>(IF(E333=0,0,(Upgrades!$G$6+E333*Upgrades!$H$6)*POWER(Upgrades!$I$6,E333)))*(IF(Upgrades!$T$7="Solar Wind",POWER(Upgrades!$U$7,F333),1)*IF(Upgrades!$T$8="Solar Wind",POWER(Upgrades!$U$8,G333),1)*IF(Upgrades!$T$9="Solar Wind",POWER(Upgrades!$U$9,H333),1)*IF(Upgrades!$T$10="Solar Wind",POWER(Upgrades!$U$10,I333),1)*IF(Upgrades!$T$11="Solar Wind",POWER(Upgrades!$U$11,J333),1)*IF(Upgrades!$T$12="Solar Wind",POWER(Upgrades!$U$12,K333),1))*POWER(Upgrades!$P$6,E333)*POWER(Upgrades!$P$7,F333)*POWER(Upgrades!$P$8,G333)*POWER(Upgrades!$P$9,H333)*POWER(Upgrades!$P$10,I333)*POWER(Upgrades!$P$11,J333)*POWER(Upgrades!$P$12,K333)*60</f>
        <v/>
      </c>
      <c r="AB333" s="27">
        <f>(IF(F333=0,0,(Upgrades!$G$7+F333*Upgrades!$H$7)*POWER(Upgrades!$I$7,F333)))*(IF(Upgrades!$T$6="Asteroid Belt",POWER(Upgrades!$U$6,E333),1)*IF(Upgrades!$T$8="Asteroid Belt",POWER(Upgrades!$U$8,G333),1)*IF(Upgrades!$T$9="Asteroid Belt",POWER(Upgrades!$U$9,H333),1)*IF(Upgrades!$T$10="Asteroid Belt",POWER(Upgrades!$U$10,I333),1)*IF(Upgrades!$T$11="Asteroid Belt",POWER(Upgrades!$U$11,J333),1)*IF(Upgrades!$T$12="Asteroid Belt",POWER(Upgrades!$U$12,K333),1))*POWER(Upgrades!$P$6,E333)*POWER(Upgrades!$P$7,F333)*POWER(Upgrades!$P$8,G333)*POWER(Upgrades!$P$9,H333)*POWER(Upgrades!$P$10,I333)*POWER(Upgrades!$P$11,J333)*POWER(Upgrades!$P$12,K333)*60</f>
        <v/>
      </c>
      <c r="AC333" s="27">
        <f>(IF(G333=0,0,(Upgrades!$J$8+G333*Upgrades!$K$8)*POWER(Upgrades!$L$8,G333)))*(IF(Upgrades!$T$6="Stellar Coupling",POWER(Upgrades!$U$6,E333),1)*IF(Upgrades!$T$7="Stellar Coupling",POWER(Upgrades!$U$7,F333),1)*IF(Upgrades!$T$9="Stellar Coupling",POWER(Upgrades!$U$9,H333),1)*IF(Upgrades!$T$10="Stellar Coupling",POWER(Upgrades!$U$10,I333),1)*IF(Upgrades!$T$11="Stellar Coupling",POWER(Upgrades!$U$11,J333),1)*IF(Upgrades!$T$12="Stellar Coupling",POWER(Upgrades!$U$12,K333),1))*POWER(Upgrades!$Q$6,E333)*POWER(Upgrades!$Q$7,F333)*POWER(Upgrades!$Q$8,G333)*POWER(Upgrades!$Q$9,H333)*POWER(Upgrades!$Q$10,I333)*POWER(Upgrades!$Q$11,J333)*POWER(Upgrades!$Q$12,K333)*Parameters!$B$10*Parameters!$B$11</f>
        <v/>
      </c>
      <c r="AD333" s="27">
        <f>(IF(H333=0,0,(Upgrades!$G$9+H333*Upgrades!$H$9)*POWER(Upgrades!$I$9,H333)))*(IF(Upgrades!$T$6="Magnetosphere",POWER(Upgrades!$U$6,E333),1)*IF(Upgrades!$T$7="Magnetosphere",POWER(Upgrades!$U$7,F333),1)*IF(Upgrades!$T$8="Magnetosphere",POWER(Upgrades!$U$8,G333),1)*IF(Upgrades!$T$10="Magnetosphere",POWER(Upgrades!$U$10,I333),1)*IF(Upgrades!$T$11="Magnetosphere",POWER(Upgrades!$U$11,J333),1)*IF(Upgrades!$T$12="Magnetosphere",POWER(Upgrades!$U$12,K333),1))*POWER(Upgrades!$P$6,E333)*POWER(Upgrades!$P$7,F333)*POWER(Upgrades!$P$8,G333)*POWER(Upgrades!$P$9,H333)*POWER(Upgrades!$P$10,I333)*POWER(Upgrades!$P$11,J333)*POWER(Upgrades!$P$12,K333)*60</f>
        <v/>
      </c>
      <c r="AE333" s="27">
        <f>(IF(K333=0,0,(Upgrades!$G$12+K333*Upgrades!$H$12)*POWER(Upgrades!$I$12,K333)))*(IF(Upgrades!$T$6="First Photons",POWER(Upgrades!$U$6,E333),1)*IF(Upgrades!$T$7="First Photons",POWER(Upgrades!$U$7,F333),1)*IF(Upgrades!$T$8="First Photons",POWER(Upgrades!$U$8,G333),1)*IF(Upgrades!$T$9="First Photons",POWER(Upgrades!$U$9,H333),1)*IF(Upgrades!$T$10="First Photons",POWER(Upgrades!$U$10,I333),1)*IF(Upgrades!$T$11="First Photons",POWER(Upgrades!$U$11,J333),1))*POWER(Upgrades!$P$6,E333)*POWER(Upgrades!$P$7,F333)*POWER(Upgrades!$P$8,G333)*POWER(Upgrades!$P$9,H333)*POWER(Upgrades!$P$10,I333)*POWER(Upgrades!$P$11,J333)*POWER(Upgrades!$P$12,K333)*60</f>
        <v/>
      </c>
      <c r="AF333" s="27">
        <f>Parameters!$B$9*POWER(Upgrades!$Q$6,E333)*POWER(Upgrades!$Q$7,F333)*POWER(Upgrades!$Q$8,G333)*POWER(Upgrades!$Q$9,H333)*POWER(Upgrades!$Q$10,I333)*POWER(Upgrades!$Q$11,J333)*POWER(Upgrades!$Q$12,K333)*(Parameters!$B$10*Parameters!$B$11+O333*60)</f>
        <v/>
      </c>
      <c r="AG333" s="22">
        <f>IF(E333&gt;=Upgrades!$E$6,"",Upgrades!$C$6*POWER(Upgrades!$D$6,E333))</f>
        <v/>
      </c>
      <c r="AH333" s="22">
        <f>IF(F333&gt;=Upgrades!$E$7,"",Upgrades!$C$7*POWER(Upgrades!$D$7,F333))</f>
        <v/>
      </c>
      <c r="AI333" s="22">
        <f>IF(G333&gt;=Upgrades!$E$8,"",Upgrades!$C$8*POWER(Upgrades!$D$8,G333))</f>
        <v/>
      </c>
      <c r="AJ333" s="22">
        <f>IF(H333&gt;=Upgrades!$E$9,"",Upgrades!$C$9*POWER(Upgrades!$D$9,H333))</f>
        <v/>
      </c>
      <c r="AK333" s="22">
        <f>IF(I333&gt;=Upgrades!$E$10,"",Upgrades!$C$10*POWER(Upgrades!$D$10,I333))</f>
        <v/>
      </c>
      <c r="AL333" s="22">
        <f>IF(J333&gt;=Upgrades!$E$11,"",Upgrades!$C$11*POWER(Upgrades!$D$11,J333))</f>
        <v/>
      </c>
      <c r="AM333" s="22">
        <f>IF(K333&gt;=Upgrades!$E$12,"",Upgrades!$C$12*POWER(Upgrades!$D$12,K333))</f>
        <v/>
      </c>
      <c r="AN333" s="26">
        <f>IF(AND(D333&gt;=Parameters!$B$18,(H333&gt;=Upgrades!$E$9)*(K333&gt;=Upgrades!$E$12)=1,L333=0),1,"")</f>
        <v/>
      </c>
      <c r="AO333" s="26">
        <f>IF(AND(D333&gt;=Parameters!$B$18,L333=0),1,"")</f>
        <v/>
      </c>
      <c r="AP333" s="22">
        <f>MIN(IF(ISNUMBER(AK333),AK333,9E15),IF(ISNUMBER(AL333),AL333,9E15),IF(ISNUMBER(AM333),AM333,9E15))</f>
        <v/>
      </c>
      <c r="AQ333" s="22">
        <f>MIN(IF(ISNUMBER(AG333),AG333,9E15),IF(ISNUMBER(AH333),AH333,9E15),IF(ISNUMBER(AI333),AI333,9E15),IF(ISNUMBER(AJ333),AJ333,9E15))</f>
        <v/>
      </c>
      <c r="AR333" s="29">
        <f>IF(AW333&gt;Parameters!$B$21*(MAX(IF(AND(NOT(AND(AO333=1,AN333&lt;&gt;1)),ISNUMBER(AG333),AG333&lt;=T333),AS333,0),IF(AND(NOT(AND(AO333=1,AN333&lt;&gt;1)),ISNUMBER(AH333),AH333&lt;=T333),AT333,0),IF(AND(NOT(AND(AO333=1,AN333&lt;&gt;1)),ISNUMBER(AI333),AI333&lt;=T333),AU333,0),IF(AND(ISNUMBER(AJ333),AJ333&lt;=T333),AV333,0))),TRUE,FALSE)</f>
        <v/>
      </c>
      <c r="AS333" s="32">
        <f>IFERROR(Upgrades!$H$6*(POWER(Upgrades!$P$6,E333)*POWER(Upgrades!$P$7,F333)*POWER(Upgrades!$P$8,G333)*POWER(Upgrades!$P$9,H333)*POWER(Upgrades!$P$10,I333)*POWER(Upgrades!$P$11,J333)*POWER(Upgrades!$P$12,K333))*(IF(Upgrades!$T$7="Solar Wind",POWER(Upgrades!$U$7,F333),1)*IF(Upgrades!$T$8="Solar Wind",POWER(Upgrades!$U$8,G333),1)*IF(Upgrades!$T$9="Solar Wind",POWER(Upgrades!$U$9,H333),1)*IF(Upgrades!$T$10="Solar Wind",POWER(Upgrades!$U$10,I333),1)*IF(Upgrades!$T$11="Solar Wind",POWER(Upgrades!$U$11,J333),1)*IF(Upgrades!$T$12="Solar Wind",POWER(Upgrades!$U$12,K333),1))/AG333,0)</f>
        <v/>
      </c>
      <c r="AT333" s="32">
        <f>IFERROR(Upgrades!$H$7*(POWER(Upgrades!$P$6,E333)*POWER(Upgrades!$P$7,F333)*POWER(Upgrades!$P$8,G333)*POWER(Upgrades!$P$9,H333)*POWER(Upgrades!$P$10,I333)*POWER(Upgrades!$P$11,J333)*POWER(Upgrades!$P$12,K333))*(IF(Upgrades!$T$6="Asteroid Belt",POWER(Upgrades!$U$6,E333),1)*IF(Upgrades!$T$8="Asteroid Belt",POWER(Upgrades!$U$8,G333),1)*IF(Upgrades!$T$9="Asteroid Belt",POWER(Upgrades!$U$9,H333),1)*IF(Upgrades!$T$10="Asteroid Belt",POWER(Upgrades!$U$10,I333),1)*IF(Upgrades!$T$11="Asteroid Belt",POWER(Upgrades!$U$11,J333),1)*IF(Upgrades!$T$12="Asteroid Belt",POWER(Upgrades!$U$12,K333),1))/AH333,0)</f>
        <v/>
      </c>
      <c r="AU333" s="32">
        <f>IFERROR(Upgrades!$K$8*(POWER(Upgrades!$Q$6,E333)*POWER(Upgrades!$Q$7,F333)*POWER(Upgrades!$Q$8,G333)*POWER(Upgrades!$Q$9,H333)*POWER(Upgrades!$Q$10,I333)*POWER(Upgrades!$Q$11,J333)*POWER(Upgrades!$Q$12,K333))*(IF(Upgrades!$T$6="Stellar Coupling",POWER(Upgrades!$U$6,E333),1)*IF(Upgrades!$T$7="Stellar Coupling",POWER(Upgrades!$U$7,F333),1)*IF(Upgrades!$T$9="Stellar Coupling",POWER(Upgrades!$U$9,H333),1)*IF(Upgrades!$T$10="Stellar Coupling",POWER(Upgrades!$U$10,I333),1)*IF(Upgrades!$T$11="Stellar Coupling",POWER(Upgrades!$U$11,J333),1)*IF(Upgrades!$T$12="Stellar Coupling",POWER(Upgrades!$U$12,K333),1))*Parameters!$B$10*Parameters!$B$11/60/AI333,0)</f>
        <v/>
      </c>
      <c r="AV333" s="32">
        <f>IFERROR(Upgrades!$H$9*(POWER(Upgrades!$P$6,E333)*POWER(Upgrades!$P$7,F333)*POWER(Upgrades!$P$8,G333)*POWER(Upgrades!$P$9,H333)*POWER(Upgrades!$P$10,I333)*POWER(Upgrades!$P$11,J333)*POWER(Upgrades!$P$12,K333))*(IF(Upgrades!$T$6="Magnetosphere",POWER(Upgrades!$U$6,E333),1)*IF(Upgrades!$T$7="Magnetosphere",POWER(Upgrades!$U$7,F333),1)*IF(Upgrades!$T$8="Magnetosphere",POWER(Upgrades!$U$8,G333),1)*IF(Upgrades!$T$10="Magnetosphere",POWER(Upgrades!$U$10,I333),1)*IF(Upgrades!$T$11="Magnetosphere",POWER(Upgrades!$U$11,J333),1)*IF(Upgrades!$T$12="Magnetosphere",POWER(Upgrades!$U$12,K333),1))/AJ333,0)</f>
        <v/>
      </c>
      <c r="AW333" s="32">
        <f>MAX(IF(I333&gt;0,0,IFERROR(0.25*N333/Upgrades!$C$10,0)),IF(J333&gt;0,0,IFERROR(0.5*((IF(G333=0,0,(Upgrades!$J$8+G333*Upgrades!$K$8)*POWER(Upgrades!$L$8,G333)))*(IF(Upgrades!$T$6="Stellar Coupling",POWER(Upgrades!$U$6,E333),1)*IF(Upgrades!$T$7="Stellar Coupling",POWER(Upgrades!$U$7,F333),1)*IF(Upgrades!$T$9="Stellar Coupling",POWER(Upgrades!$U$9,H333),1)*IF(Upgrades!$T$10="Stellar Coupling",POWER(Upgrades!$U$10,I333),1)*IF(Upgrades!$T$11="Stellar Coupling",POWER(Upgrades!$U$11,J333),1)*IF(Upgrades!$T$12="Stellar Coupling",POWER(Upgrades!$U$12,K333),1))*(POWER(Upgrades!$Q$6,E333)*POWER(Upgrades!$Q$7,F333)*POWER(Upgrades!$Q$8,G333)*POWER(Upgrades!$Q$9,H333)*POWER(Upgrades!$Q$10,I333)*POWER(Upgrades!$Q$11,J333)*POWER(Upgrades!$Q$12,K333))*Parameters!$B$10*Parameters!$B$11/60)/Upgrades!$C$11,0)),IF(K333&gt;0,0,IFERROR((1.0*(POWER(Upgrades!$P$6,E333)*POWER(Upgrades!$P$7,F333)*POWER(Upgrades!$P$8,G333)*POWER(Upgrades!$P$9,H333)*POWER(Upgrades!$P$10,I333)*POWER(Upgrades!$P$11,J333)*POWER(Upgrades!$P$12,K333))+0.20*M333*Parameters!$B$10*Parameters!$B$11/60)/Upgrades!$C$12,0)),IF(AND(ISNUMBER(AG333),AG333&gt;T333),AS333,0),IF(AND(ISNUMBER(AH333),AH333&gt;T333),AT333,0),IF(AND(ISNUMBER(AI333),AI333&gt;T333),AU333,0),IF(AND(ISNUMBER(AJ333),AJ333&gt;T333),AV333,0))</f>
        <v/>
      </c>
      <c r="AX333" s="29">
        <f>IF(AN333=1,"transition",IF(MIN(IF(AND(I333=0,ISNUMBER(AK333),AK333&lt;=T333),AK333,9E15),IF(AND(J333=0,ISNUMBER(AL333),AL333&lt;=T333),AL333,9E15),IF(AND(K333=0,ISNUMBER(AM333),AM333&lt;=T333),AM333,9E15))&lt;9E15,IF(AND(AND(I333=0,ISNUMBER(AK333),AK333&lt;=T333),AK333=MIN(IF(AND(I333=0,ISNUMBER(AK333),AK333&lt;=T333),AK333,9E15),IF(AND(J333=0,ISNUMBER(AL333),AL333&lt;=T333),AL333,9E15),IF(AND(K333=0,ISNUMBER(AM333),AM333&lt;=T333),AM333,9E15))),"OR",IF(AND(AND(J333=0,ISNUMBER(AL333),AL333&lt;=T333),AL333=MIN(IF(AND(I333=0,ISNUMBER(AK333),AK333&lt;=T333),AK333,9E15),IF(AND(J333=0,ISNUMBER(AL333),AL333&lt;=T333),AL333,9E15),IF(AND(K333=0,ISNUMBER(AM333),AM333&lt;=T333),AM333,9E15))),"HP","FP")),IF(AR333=TRUE,"",IF(MAX(IF(AND(NOT(AND(AO333=1,AN333&lt;&gt;1)),ISNUMBER(AG333),AG333&lt;=T333),AS333,0),IF(AND(NOT(AND(AO333=1,AN333&lt;&gt;1)),ISNUMBER(AH333),AH333&lt;=T333),AT333,0),IF(AND(NOT(AND(AO333=1,AN333&lt;&gt;1)),ISNUMBER(AI333),AI333&lt;=T333),AU333,0),IF(AND(ISNUMBER(AJ333),AJ333&lt;=T333),AV333,0))&lt;=0,"",IF(AND(IF(AND(NOT(AND(AO333=1,AN333&lt;&gt;1)),ISNUMBER(AG333),AG333&lt;=T333),AS333,0)&gt;0,IF(AND(NOT(AND(AO333=1,AN333&lt;&gt;1)),ISNUMBER(AG333),AG333&lt;=T333),AS333,0)=MAX(IF(AND(NOT(AND(AO333=1,AN333&lt;&gt;1)),ISNUMBER(AG333),AG333&lt;=T333),AS333,0),IF(AND(NOT(AND(AO333=1,AN333&lt;&gt;1)),ISNUMBER(AH333),AH333&lt;=T333),AT333,0),IF(AND(NOT(AND(AO333=1,AN333&lt;&gt;1)),ISNUMBER(AI333),AI333&lt;=T333),AU333,0),IF(AND(ISNUMBER(AJ333),AJ333&lt;=T333),AV333,0))),"SW",IF(AND(IF(AND(NOT(AND(AO333=1,AN333&lt;&gt;1)),ISNUMBER(AH333),AH333&lt;=T333),AT333,0)&gt;0,IF(AND(NOT(AND(AO333=1,AN333&lt;&gt;1)),ISNUMBER(AH333),AH333&lt;=T333),AT333,0)=MAX(IF(AND(NOT(AND(AO333=1,AN333&lt;&gt;1)),ISNUMBER(AG333),AG333&lt;=T333),AS333,0),IF(AND(NOT(AND(AO333=1,AN333&lt;&gt;1)),ISNUMBER(AH333),AH333&lt;=T333),AT333,0),IF(AND(NOT(AND(AO333=1,AN333&lt;&gt;1)),ISNUMBER(AI333),AI333&lt;=T333),AU333,0),IF(AND(ISNUMBER(AJ333),AJ333&lt;=T333),AV333,0))),"AB",IF(AND(IF(AND(NOT(AND(AO333=1,AN333&lt;&gt;1)),ISNUMBER(AI333),AI333&lt;=T333),AU333,0)&gt;0,IF(AND(NOT(AND(AO333=1,AN333&lt;&gt;1)),ISNUMBER(AI333),AI333&lt;=T333),AU333,0)=MAX(IF(AND(NOT(AND(AO333=1,AN333&lt;&gt;1)),ISNUMBER(AG333),AG333&lt;=T333),AS333,0),IF(AND(NOT(AND(AO333=1,AN333&lt;&gt;1)),ISNUMBER(AH333),AH333&lt;=T333),AT333,0),IF(AND(NOT(AND(AO333=1,AN333&lt;&gt;1)),ISNUMBER(AI333),AI333&lt;=T333),AU333,0),IF(AND(ISNUMBER(AJ333),AJ333&lt;=T333),AV333,0))),"SC","Mag")))))))</f>
        <v/>
      </c>
    </row>
    <row r="334">
      <c r="A334" s="26" t="n">
        <v>329</v>
      </c>
      <c r="B334" s="27">
        <f>A334*10/60</f>
        <v/>
      </c>
      <c r="C334" s="22">
        <f>X333</f>
        <v/>
      </c>
      <c r="D334" s="27">
        <f>D333+W333</f>
        <v/>
      </c>
      <c r="E334" s="26">
        <f>E333+IF(U333="SW",1,0)</f>
        <v/>
      </c>
      <c r="F334" s="26">
        <f>F333+IF(U333="AB",1,0)</f>
        <v/>
      </c>
      <c r="G334" s="26">
        <f>G333+IF(U333="SC",1,0)</f>
        <v/>
      </c>
      <c r="H334" s="26">
        <f>H333+IF(U333="Mag",1,0)</f>
        <v/>
      </c>
      <c r="I334" s="26">
        <f>MAX(I333,IF(U333="OR",1,0))</f>
        <v/>
      </c>
      <c r="J334" s="26">
        <f>MAX(J333,IF(U333="HP",1,0))</f>
        <v/>
      </c>
      <c r="K334" s="26">
        <f>MAX(K333,IF(U333="FP",1,0))</f>
        <v/>
      </c>
      <c r="L334" s="26">
        <f>MAX(L333,IF(U333="transition",1,0))</f>
        <v/>
      </c>
      <c r="M334" s="28">
        <f>(Parameters!$B$9+(IF(E334=0,0,(Upgrades!$J$6+E334*Upgrades!$K$6)*POWER(Upgrades!$L$6,E334)))*(IF(Upgrades!$T$7="Solar Wind",POWER(Upgrades!$U$7,F334),1)*IF(Upgrades!$T$8="Solar Wind",POWER(Upgrades!$U$8,G334),1)*IF(Upgrades!$T$9="Solar Wind",POWER(Upgrades!$U$9,H334),1)*IF(Upgrades!$T$10="Solar Wind",POWER(Upgrades!$U$10,I334),1)*IF(Upgrades!$T$11="Solar Wind",POWER(Upgrades!$U$11,J334),1)*IF(Upgrades!$T$12="Solar Wind",POWER(Upgrades!$U$12,K334),1))+(IF(F334=0,0,(Upgrades!$J$7+F334*Upgrades!$K$7)*POWER(Upgrades!$L$7,F334)))*(IF(Upgrades!$T$6="Asteroid Belt",POWER(Upgrades!$U$6,E334),1)*IF(Upgrades!$T$8="Asteroid Belt",POWER(Upgrades!$U$8,G334),1)*IF(Upgrades!$T$9="Asteroid Belt",POWER(Upgrades!$U$9,H334),1)*IF(Upgrades!$T$10="Asteroid Belt",POWER(Upgrades!$U$10,I334),1)*IF(Upgrades!$T$11="Asteroid Belt",POWER(Upgrades!$U$11,J334),1)*IF(Upgrades!$T$12="Asteroid Belt",POWER(Upgrades!$U$12,K334),1))+(IF(G334=0,0,(Upgrades!$J$8+G334*Upgrades!$K$8)*POWER(Upgrades!$L$8,G334)))*(IF(Upgrades!$T$6="Stellar Coupling",POWER(Upgrades!$U$6,E334),1)*IF(Upgrades!$T$7="Stellar Coupling",POWER(Upgrades!$U$7,F334),1)*IF(Upgrades!$T$9="Stellar Coupling",POWER(Upgrades!$U$9,H334),1)*IF(Upgrades!$T$10="Stellar Coupling",POWER(Upgrades!$U$10,I334),1)*IF(Upgrades!$T$11="Stellar Coupling",POWER(Upgrades!$U$11,J334),1)*IF(Upgrades!$T$12="Stellar Coupling",POWER(Upgrades!$U$12,K334),1))+(IF(H334=0,0,(Upgrades!$J$9+H334*Upgrades!$K$9)*POWER(Upgrades!$L$9,H334)))*(IF(Upgrades!$T$6="Magnetosphere",POWER(Upgrades!$U$6,E334),1)*IF(Upgrades!$T$7="Magnetosphere",POWER(Upgrades!$U$7,F334),1)*IF(Upgrades!$T$8="Magnetosphere",POWER(Upgrades!$U$8,G334),1)*IF(Upgrades!$T$10="Magnetosphere",POWER(Upgrades!$U$10,I334),1)*IF(Upgrades!$T$11="Magnetosphere",POWER(Upgrades!$U$11,J334),1)*IF(Upgrades!$T$12="Magnetosphere",POWER(Upgrades!$U$12,K334),1))+(IF(I334=0,0,(Upgrades!$J$10+I334*Upgrades!$K$10)*POWER(Upgrades!$L$10,I334)))*(IF(Upgrades!$T$6="Orbital Resonance",POWER(Upgrades!$U$6,E334),1)*IF(Upgrades!$T$7="Orbital Resonance",POWER(Upgrades!$U$7,F334),1)*IF(Upgrades!$T$8="Orbital Resonance",POWER(Upgrades!$U$8,G334),1)*IF(Upgrades!$T$9="Orbital Resonance",POWER(Upgrades!$U$9,H334),1)*IF(Upgrades!$T$11="Orbital Resonance",POWER(Upgrades!$U$11,J334),1)*IF(Upgrades!$T$12="Orbital Resonance",POWER(Upgrades!$U$12,K334),1))+(IF(J334=0,0,(Upgrades!$J$11+J334*Upgrades!$K$11)*POWER(Upgrades!$L$11,J334)))*(IF(Upgrades!$T$6="Heliopause",POWER(Upgrades!$U$6,E334),1)*IF(Upgrades!$T$7="Heliopause",POWER(Upgrades!$U$7,F334),1)*IF(Upgrades!$T$8="Heliopause",POWER(Upgrades!$U$8,G334),1)*IF(Upgrades!$T$9="Heliopause",POWER(Upgrades!$U$9,H334),1)*IF(Upgrades!$T$10="Heliopause",POWER(Upgrades!$U$10,I334),1)*IF(Upgrades!$T$12="Heliopause",POWER(Upgrades!$U$12,K334),1))+(IF(K334=0,0,(Upgrades!$J$12+K334*Upgrades!$K$12)*POWER(Upgrades!$L$12,K334)))*(IF(Upgrades!$T$6="First Photons",POWER(Upgrades!$U$6,E334),1)*IF(Upgrades!$T$7="First Photons",POWER(Upgrades!$U$7,F334),1)*IF(Upgrades!$T$8="First Photons",POWER(Upgrades!$U$8,G334),1)*IF(Upgrades!$T$9="First Photons",POWER(Upgrades!$U$9,H334),1)*IF(Upgrades!$T$10="First Photons",POWER(Upgrades!$U$10,I334),1)*IF(Upgrades!$T$11="First Photons",POWER(Upgrades!$U$11,J334),1)))*POWER(Upgrades!$Q$6,E334)*POWER(Upgrades!$Q$7,F334)*POWER(Upgrades!$Q$8,G334)*POWER(Upgrades!$Q$9,H334)*POWER(Upgrades!$Q$10,I334)*POWER(Upgrades!$Q$11,J334)*POWER(Upgrades!$Q$12,K334)</f>
        <v/>
      </c>
      <c r="N334" s="28">
        <f>((IF(E334=0,0,(Upgrades!$G$6+E334*Upgrades!$H$6)*POWER(Upgrades!$I$6,E334)))*(IF(Upgrades!$T$7="Solar Wind",POWER(Upgrades!$U$7,F334),1)*IF(Upgrades!$T$8="Solar Wind",POWER(Upgrades!$U$8,G334),1)*IF(Upgrades!$T$9="Solar Wind",POWER(Upgrades!$U$9,H334),1)*IF(Upgrades!$T$10="Solar Wind",POWER(Upgrades!$U$10,I334),1)*IF(Upgrades!$T$11="Solar Wind",POWER(Upgrades!$U$11,J334),1)*IF(Upgrades!$T$12="Solar Wind",POWER(Upgrades!$U$12,K334),1))+(IF(F334=0,0,(Upgrades!$G$7+F334*Upgrades!$H$7)*POWER(Upgrades!$I$7,F334)))*(IF(Upgrades!$T$6="Asteroid Belt",POWER(Upgrades!$U$6,E334),1)*IF(Upgrades!$T$8="Asteroid Belt",POWER(Upgrades!$U$8,G334),1)*IF(Upgrades!$T$9="Asteroid Belt",POWER(Upgrades!$U$9,H334),1)*IF(Upgrades!$T$10="Asteroid Belt",POWER(Upgrades!$U$10,I334),1)*IF(Upgrades!$T$11="Asteroid Belt",POWER(Upgrades!$U$11,J334),1)*IF(Upgrades!$T$12="Asteroid Belt",POWER(Upgrades!$U$12,K334),1))+(IF(G334=0,0,(Upgrades!$G$8+G334*Upgrades!$H$8)*POWER(Upgrades!$I$8,G334)))*(IF(Upgrades!$T$6="Stellar Coupling",POWER(Upgrades!$U$6,E334),1)*IF(Upgrades!$T$7="Stellar Coupling",POWER(Upgrades!$U$7,F334),1)*IF(Upgrades!$T$9="Stellar Coupling",POWER(Upgrades!$U$9,H334),1)*IF(Upgrades!$T$10="Stellar Coupling",POWER(Upgrades!$U$10,I334),1)*IF(Upgrades!$T$11="Stellar Coupling",POWER(Upgrades!$U$11,J334),1)*IF(Upgrades!$T$12="Stellar Coupling",POWER(Upgrades!$U$12,K334),1))+(IF(H334=0,0,(Upgrades!$G$9+H334*Upgrades!$H$9)*POWER(Upgrades!$I$9,H334)))*(IF(Upgrades!$T$6="Magnetosphere",POWER(Upgrades!$U$6,E334),1)*IF(Upgrades!$T$7="Magnetosphere",POWER(Upgrades!$U$7,F334),1)*IF(Upgrades!$T$8="Magnetosphere",POWER(Upgrades!$U$8,G334),1)*IF(Upgrades!$T$10="Magnetosphere",POWER(Upgrades!$U$10,I334),1)*IF(Upgrades!$T$11="Magnetosphere",POWER(Upgrades!$U$11,J334),1)*IF(Upgrades!$T$12="Magnetosphere",POWER(Upgrades!$U$12,K334),1))+(IF(I334=0,0,(Upgrades!$G$10+I334*Upgrades!$H$10)*POWER(Upgrades!$I$10,I334)))*(IF(Upgrades!$T$6="Orbital Resonance",POWER(Upgrades!$U$6,E334),1)*IF(Upgrades!$T$7="Orbital Resonance",POWER(Upgrades!$U$7,F334),1)*IF(Upgrades!$T$8="Orbital Resonance",POWER(Upgrades!$U$8,G334),1)*IF(Upgrades!$T$9="Orbital Resonance",POWER(Upgrades!$U$9,H334),1)*IF(Upgrades!$T$11="Orbital Resonance",POWER(Upgrades!$U$11,J334),1)*IF(Upgrades!$T$12="Orbital Resonance",POWER(Upgrades!$U$12,K334),1))+(IF(J334=0,0,(Upgrades!$G$11+J334*Upgrades!$H$11)*POWER(Upgrades!$I$11,J334)))*(IF(Upgrades!$T$6="Heliopause",POWER(Upgrades!$U$6,E334),1)*IF(Upgrades!$T$7="Heliopause",POWER(Upgrades!$U$7,F334),1)*IF(Upgrades!$T$8="Heliopause",POWER(Upgrades!$U$8,G334),1)*IF(Upgrades!$T$9="Heliopause",POWER(Upgrades!$U$9,H334),1)*IF(Upgrades!$T$10="Heliopause",POWER(Upgrades!$U$10,I334),1)*IF(Upgrades!$T$12="Heliopause",POWER(Upgrades!$U$12,K334),1))+(IF(K334=0,0,(Upgrades!$G$12+K334*Upgrades!$H$12)*POWER(Upgrades!$I$12,K334)))*(IF(Upgrades!$T$6="First Photons",POWER(Upgrades!$U$6,E334),1)*IF(Upgrades!$T$7="First Photons",POWER(Upgrades!$U$7,F334),1)*IF(Upgrades!$T$8="First Photons",POWER(Upgrades!$U$8,G334),1)*IF(Upgrades!$T$9="First Photons",POWER(Upgrades!$U$9,H334),1)*IF(Upgrades!$T$10="First Photons",POWER(Upgrades!$U$10,I334),1)*IF(Upgrades!$T$11="First Photons",POWER(Upgrades!$U$11,J334),1)))*POWER(Upgrades!$P$6,E334)*POWER(Upgrades!$P$7,F334)*POWER(Upgrades!$P$8,G334)*POWER(Upgrades!$P$9,H334)*POWER(Upgrades!$P$10,I334)*POWER(Upgrades!$P$11,J334)*POWER(Upgrades!$P$12,K334)</f>
        <v/>
      </c>
      <c r="O334" s="28">
        <f>((IF(E334=0,0,(Upgrades!$M$6+E334*Upgrades!$N$6)*POWER(Upgrades!$O$6,E334)))*(IF(Upgrades!$T$7="Solar Wind",POWER(Upgrades!$U$7,F334),1)*IF(Upgrades!$T$8="Solar Wind",POWER(Upgrades!$U$8,G334),1)*IF(Upgrades!$T$9="Solar Wind",POWER(Upgrades!$U$9,H334),1)*IF(Upgrades!$T$10="Solar Wind",POWER(Upgrades!$U$10,I334),1)*IF(Upgrades!$T$11="Solar Wind",POWER(Upgrades!$U$11,J334),1)*IF(Upgrades!$T$12="Solar Wind",POWER(Upgrades!$U$12,K334),1))+(IF(F334=0,0,(Upgrades!$M$7+F334*Upgrades!$N$7)*POWER(Upgrades!$O$7,F334)))*(IF(Upgrades!$T$6="Asteroid Belt",POWER(Upgrades!$U$6,E334),1)*IF(Upgrades!$T$8="Asteroid Belt",POWER(Upgrades!$U$8,G334),1)*IF(Upgrades!$T$9="Asteroid Belt",POWER(Upgrades!$U$9,H334),1)*IF(Upgrades!$T$10="Asteroid Belt",POWER(Upgrades!$U$10,I334),1)*IF(Upgrades!$T$11="Asteroid Belt",POWER(Upgrades!$U$11,J334),1)*IF(Upgrades!$T$12="Asteroid Belt",POWER(Upgrades!$U$12,K334),1))+(IF(G334=0,0,(Upgrades!$M$8+G334*Upgrades!$N$8)*POWER(Upgrades!$O$8,G334)))*(IF(Upgrades!$T$6="Stellar Coupling",POWER(Upgrades!$U$6,E334),1)*IF(Upgrades!$T$7="Stellar Coupling",POWER(Upgrades!$U$7,F334),1)*IF(Upgrades!$T$9="Stellar Coupling",POWER(Upgrades!$U$9,H334),1)*IF(Upgrades!$T$10="Stellar Coupling",POWER(Upgrades!$U$10,I334),1)*IF(Upgrades!$T$11="Stellar Coupling",POWER(Upgrades!$U$11,J334),1)*IF(Upgrades!$T$12="Stellar Coupling",POWER(Upgrades!$U$12,K334),1))+(IF(H334=0,0,(Upgrades!$M$9+H334*Upgrades!$N$9)*POWER(Upgrades!$O$9,H334)))*(IF(Upgrades!$T$6="Magnetosphere",POWER(Upgrades!$U$6,E334),1)*IF(Upgrades!$T$7="Magnetosphere",POWER(Upgrades!$U$7,F334),1)*IF(Upgrades!$T$8="Magnetosphere",POWER(Upgrades!$U$8,G334),1)*IF(Upgrades!$T$10="Magnetosphere",POWER(Upgrades!$U$10,I334),1)*IF(Upgrades!$T$11="Magnetosphere",POWER(Upgrades!$U$11,J334),1)*IF(Upgrades!$T$12="Magnetosphere",POWER(Upgrades!$U$12,K334),1))+(IF(I334=0,0,(Upgrades!$M$10+I334*Upgrades!$N$10)*POWER(Upgrades!$O$10,I334)))*(IF(Upgrades!$T$6="Orbital Resonance",POWER(Upgrades!$U$6,E334),1)*IF(Upgrades!$T$7="Orbital Resonance",POWER(Upgrades!$U$7,F334),1)*IF(Upgrades!$T$8="Orbital Resonance",POWER(Upgrades!$U$8,G334),1)*IF(Upgrades!$T$9="Orbital Resonance",POWER(Upgrades!$U$9,H334),1)*IF(Upgrades!$T$11="Orbital Resonance",POWER(Upgrades!$U$11,J334),1)*IF(Upgrades!$T$12="Orbital Resonance",POWER(Upgrades!$U$12,K334),1))+(IF(J334=0,0,(Upgrades!$M$11+J334*Upgrades!$N$11)*POWER(Upgrades!$O$11,J334)))*(IF(Upgrades!$T$6="Heliopause",POWER(Upgrades!$U$6,E334),1)*IF(Upgrades!$T$7="Heliopause",POWER(Upgrades!$U$7,F334),1)*IF(Upgrades!$T$8="Heliopause",POWER(Upgrades!$U$8,G334),1)*IF(Upgrades!$T$9="Heliopause",POWER(Upgrades!$U$9,H334),1)*IF(Upgrades!$T$10="Heliopause",POWER(Upgrades!$U$10,I334),1)*IF(Upgrades!$T$12="Heliopause",POWER(Upgrades!$U$12,K334),1))+(IF(K334=0,0,(Upgrades!$M$12+K334*Upgrades!$N$12)*POWER(Upgrades!$O$12,K334)))*(IF(Upgrades!$T$6="First Photons",POWER(Upgrades!$U$6,E334),1)*IF(Upgrades!$T$7="First Photons",POWER(Upgrades!$U$7,F334),1)*IF(Upgrades!$T$8="First Photons",POWER(Upgrades!$U$8,G334),1)*IF(Upgrades!$T$9="First Photons",POWER(Upgrades!$U$9,H334),1)*IF(Upgrades!$T$10="First Photons",POWER(Upgrades!$U$10,I334),1)*IF(Upgrades!$T$11="First Photons",POWER(Upgrades!$U$11,J334),1)))*POWER(Upgrades!$R$6,E334)*POWER(Upgrades!$R$7,F334)*POWER(Upgrades!$R$8,G334)*POWER(Upgrades!$R$9,H334)*POWER(Upgrades!$R$10,I334)*POWER(Upgrades!$R$11,J334)*POWER(Upgrades!$R$12,K334)</f>
        <v/>
      </c>
      <c r="P334" s="27">
        <f>IF(L334=1,0,M334*Parameters!$B$10/60*Parameters!$B$11*10)</f>
        <v/>
      </c>
      <c r="Q334" s="27">
        <f>IF(L334=1,0,O334*M334*10)</f>
        <v/>
      </c>
      <c r="R334" s="27">
        <f>IF(L334=1,0,N334*10)</f>
        <v/>
      </c>
      <c r="S334" s="27">
        <f>P334+Q334+R334</f>
        <v/>
      </c>
      <c r="T334" s="22">
        <f>C334+S334</f>
        <v/>
      </c>
      <c r="U334" s="33">
        <f>AX334</f>
        <v/>
      </c>
      <c r="V334" s="22">
        <f>IF(U334="",0,IF(U334="transition",0,IF(U334="SW",AG334,IF(U334="AB",AH334,IF(U334="SC",AI334,IF(U334="Mag",AJ334,IF(U334="OR",AK334,IF(U334="HP",AL334,IF(U334="FP",AM334,0)))))))))</f>
        <v/>
      </c>
      <c r="W334" s="27">
        <f>IF(U334="OR",Upgrades!$F$10,IF(U334="HP",Upgrades!$F$11,IF(U334="transition",-Parameters!$B$18,0)))</f>
        <v/>
      </c>
      <c r="X334" s="22">
        <f>T334-V334</f>
        <v/>
      </c>
      <c r="Y334" s="30">
        <f>M334*Parameters!$B$10/60*Parameters!$B$11+O334*M334+N334</f>
        <v/>
      </c>
      <c r="Z334" s="34">
        <f>IF(U334="transition","→ Tier 2 (Stellar Neighborhood)",IF(U334="FP","First Photons — light begins, system quickens",IF(U334="HP","Heliopause acquired",IF(U334="OR","Orbital Resonance — passive multiplier active",IF(AND(AO334=1,L334=0,AN334&lt;&gt;1),"Cohesion ready (waiting on completionist upgrades)","")))))</f>
        <v/>
      </c>
      <c r="AA334" s="27">
        <f>(IF(E334=0,0,(Upgrades!$G$6+E334*Upgrades!$H$6)*POWER(Upgrades!$I$6,E334)))*(IF(Upgrades!$T$7="Solar Wind",POWER(Upgrades!$U$7,F334),1)*IF(Upgrades!$T$8="Solar Wind",POWER(Upgrades!$U$8,G334),1)*IF(Upgrades!$T$9="Solar Wind",POWER(Upgrades!$U$9,H334),1)*IF(Upgrades!$T$10="Solar Wind",POWER(Upgrades!$U$10,I334),1)*IF(Upgrades!$T$11="Solar Wind",POWER(Upgrades!$U$11,J334),1)*IF(Upgrades!$T$12="Solar Wind",POWER(Upgrades!$U$12,K334),1))*POWER(Upgrades!$P$6,E334)*POWER(Upgrades!$P$7,F334)*POWER(Upgrades!$P$8,G334)*POWER(Upgrades!$P$9,H334)*POWER(Upgrades!$P$10,I334)*POWER(Upgrades!$P$11,J334)*POWER(Upgrades!$P$12,K334)*60</f>
        <v/>
      </c>
      <c r="AB334" s="27">
        <f>(IF(F334=0,0,(Upgrades!$G$7+F334*Upgrades!$H$7)*POWER(Upgrades!$I$7,F334)))*(IF(Upgrades!$T$6="Asteroid Belt",POWER(Upgrades!$U$6,E334),1)*IF(Upgrades!$T$8="Asteroid Belt",POWER(Upgrades!$U$8,G334),1)*IF(Upgrades!$T$9="Asteroid Belt",POWER(Upgrades!$U$9,H334),1)*IF(Upgrades!$T$10="Asteroid Belt",POWER(Upgrades!$U$10,I334),1)*IF(Upgrades!$T$11="Asteroid Belt",POWER(Upgrades!$U$11,J334),1)*IF(Upgrades!$T$12="Asteroid Belt",POWER(Upgrades!$U$12,K334),1))*POWER(Upgrades!$P$6,E334)*POWER(Upgrades!$P$7,F334)*POWER(Upgrades!$P$8,G334)*POWER(Upgrades!$P$9,H334)*POWER(Upgrades!$P$10,I334)*POWER(Upgrades!$P$11,J334)*POWER(Upgrades!$P$12,K334)*60</f>
        <v/>
      </c>
      <c r="AC334" s="27">
        <f>(IF(G334=0,0,(Upgrades!$J$8+G334*Upgrades!$K$8)*POWER(Upgrades!$L$8,G334)))*(IF(Upgrades!$T$6="Stellar Coupling",POWER(Upgrades!$U$6,E334),1)*IF(Upgrades!$T$7="Stellar Coupling",POWER(Upgrades!$U$7,F334),1)*IF(Upgrades!$T$9="Stellar Coupling",POWER(Upgrades!$U$9,H334),1)*IF(Upgrades!$T$10="Stellar Coupling",POWER(Upgrades!$U$10,I334),1)*IF(Upgrades!$T$11="Stellar Coupling",POWER(Upgrades!$U$11,J334),1)*IF(Upgrades!$T$12="Stellar Coupling",POWER(Upgrades!$U$12,K334),1))*POWER(Upgrades!$Q$6,E334)*POWER(Upgrades!$Q$7,F334)*POWER(Upgrades!$Q$8,G334)*POWER(Upgrades!$Q$9,H334)*POWER(Upgrades!$Q$10,I334)*POWER(Upgrades!$Q$11,J334)*POWER(Upgrades!$Q$12,K334)*Parameters!$B$10*Parameters!$B$11</f>
        <v/>
      </c>
      <c r="AD334" s="27">
        <f>(IF(H334=0,0,(Upgrades!$G$9+H334*Upgrades!$H$9)*POWER(Upgrades!$I$9,H334)))*(IF(Upgrades!$T$6="Magnetosphere",POWER(Upgrades!$U$6,E334),1)*IF(Upgrades!$T$7="Magnetosphere",POWER(Upgrades!$U$7,F334),1)*IF(Upgrades!$T$8="Magnetosphere",POWER(Upgrades!$U$8,G334),1)*IF(Upgrades!$T$10="Magnetosphere",POWER(Upgrades!$U$10,I334),1)*IF(Upgrades!$T$11="Magnetosphere",POWER(Upgrades!$U$11,J334),1)*IF(Upgrades!$T$12="Magnetosphere",POWER(Upgrades!$U$12,K334),1))*POWER(Upgrades!$P$6,E334)*POWER(Upgrades!$P$7,F334)*POWER(Upgrades!$P$8,G334)*POWER(Upgrades!$P$9,H334)*POWER(Upgrades!$P$10,I334)*POWER(Upgrades!$P$11,J334)*POWER(Upgrades!$P$12,K334)*60</f>
        <v/>
      </c>
      <c r="AE334" s="27">
        <f>(IF(K334=0,0,(Upgrades!$G$12+K334*Upgrades!$H$12)*POWER(Upgrades!$I$12,K334)))*(IF(Upgrades!$T$6="First Photons",POWER(Upgrades!$U$6,E334),1)*IF(Upgrades!$T$7="First Photons",POWER(Upgrades!$U$7,F334),1)*IF(Upgrades!$T$8="First Photons",POWER(Upgrades!$U$8,G334),1)*IF(Upgrades!$T$9="First Photons",POWER(Upgrades!$U$9,H334),1)*IF(Upgrades!$T$10="First Photons",POWER(Upgrades!$U$10,I334),1)*IF(Upgrades!$T$11="First Photons",POWER(Upgrades!$U$11,J334),1))*POWER(Upgrades!$P$6,E334)*POWER(Upgrades!$P$7,F334)*POWER(Upgrades!$P$8,G334)*POWER(Upgrades!$P$9,H334)*POWER(Upgrades!$P$10,I334)*POWER(Upgrades!$P$11,J334)*POWER(Upgrades!$P$12,K334)*60</f>
        <v/>
      </c>
      <c r="AF334" s="27">
        <f>Parameters!$B$9*POWER(Upgrades!$Q$6,E334)*POWER(Upgrades!$Q$7,F334)*POWER(Upgrades!$Q$8,G334)*POWER(Upgrades!$Q$9,H334)*POWER(Upgrades!$Q$10,I334)*POWER(Upgrades!$Q$11,J334)*POWER(Upgrades!$Q$12,K334)*(Parameters!$B$10*Parameters!$B$11+O334*60)</f>
        <v/>
      </c>
      <c r="AG334" s="22">
        <f>IF(E334&gt;=Upgrades!$E$6,"",Upgrades!$C$6*POWER(Upgrades!$D$6,E334))</f>
        <v/>
      </c>
      <c r="AH334" s="22">
        <f>IF(F334&gt;=Upgrades!$E$7,"",Upgrades!$C$7*POWER(Upgrades!$D$7,F334))</f>
        <v/>
      </c>
      <c r="AI334" s="22">
        <f>IF(G334&gt;=Upgrades!$E$8,"",Upgrades!$C$8*POWER(Upgrades!$D$8,G334))</f>
        <v/>
      </c>
      <c r="AJ334" s="22">
        <f>IF(H334&gt;=Upgrades!$E$9,"",Upgrades!$C$9*POWER(Upgrades!$D$9,H334))</f>
        <v/>
      </c>
      <c r="AK334" s="22">
        <f>IF(I334&gt;=Upgrades!$E$10,"",Upgrades!$C$10*POWER(Upgrades!$D$10,I334))</f>
        <v/>
      </c>
      <c r="AL334" s="22">
        <f>IF(J334&gt;=Upgrades!$E$11,"",Upgrades!$C$11*POWER(Upgrades!$D$11,J334))</f>
        <v/>
      </c>
      <c r="AM334" s="22">
        <f>IF(K334&gt;=Upgrades!$E$12,"",Upgrades!$C$12*POWER(Upgrades!$D$12,K334))</f>
        <v/>
      </c>
      <c r="AN334" s="26">
        <f>IF(AND(D334&gt;=Parameters!$B$18,(H334&gt;=Upgrades!$E$9)*(K334&gt;=Upgrades!$E$12)=1,L334=0),1,"")</f>
        <v/>
      </c>
      <c r="AO334" s="26">
        <f>IF(AND(D334&gt;=Parameters!$B$18,L334=0),1,"")</f>
        <v/>
      </c>
      <c r="AP334" s="22">
        <f>MIN(IF(ISNUMBER(AK334),AK334,9E15),IF(ISNUMBER(AL334),AL334,9E15),IF(ISNUMBER(AM334),AM334,9E15))</f>
        <v/>
      </c>
      <c r="AQ334" s="22">
        <f>MIN(IF(ISNUMBER(AG334),AG334,9E15),IF(ISNUMBER(AH334),AH334,9E15),IF(ISNUMBER(AI334),AI334,9E15),IF(ISNUMBER(AJ334),AJ334,9E15))</f>
        <v/>
      </c>
      <c r="AR334" s="29">
        <f>IF(AW334&gt;Parameters!$B$21*(MAX(IF(AND(NOT(AND(AO334=1,AN334&lt;&gt;1)),ISNUMBER(AG334),AG334&lt;=T334),AS334,0),IF(AND(NOT(AND(AO334=1,AN334&lt;&gt;1)),ISNUMBER(AH334),AH334&lt;=T334),AT334,0),IF(AND(NOT(AND(AO334=1,AN334&lt;&gt;1)),ISNUMBER(AI334),AI334&lt;=T334),AU334,0),IF(AND(ISNUMBER(AJ334),AJ334&lt;=T334),AV334,0))),TRUE,FALSE)</f>
        <v/>
      </c>
      <c r="AS334" s="32">
        <f>IFERROR(Upgrades!$H$6*(POWER(Upgrades!$P$6,E334)*POWER(Upgrades!$P$7,F334)*POWER(Upgrades!$P$8,G334)*POWER(Upgrades!$P$9,H334)*POWER(Upgrades!$P$10,I334)*POWER(Upgrades!$P$11,J334)*POWER(Upgrades!$P$12,K334))*(IF(Upgrades!$T$7="Solar Wind",POWER(Upgrades!$U$7,F334),1)*IF(Upgrades!$T$8="Solar Wind",POWER(Upgrades!$U$8,G334),1)*IF(Upgrades!$T$9="Solar Wind",POWER(Upgrades!$U$9,H334),1)*IF(Upgrades!$T$10="Solar Wind",POWER(Upgrades!$U$10,I334),1)*IF(Upgrades!$T$11="Solar Wind",POWER(Upgrades!$U$11,J334),1)*IF(Upgrades!$T$12="Solar Wind",POWER(Upgrades!$U$12,K334),1))/AG334,0)</f>
        <v/>
      </c>
      <c r="AT334" s="32">
        <f>IFERROR(Upgrades!$H$7*(POWER(Upgrades!$P$6,E334)*POWER(Upgrades!$P$7,F334)*POWER(Upgrades!$P$8,G334)*POWER(Upgrades!$P$9,H334)*POWER(Upgrades!$P$10,I334)*POWER(Upgrades!$P$11,J334)*POWER(Upgrades!$P$12,K334))*(IF(Upgrades!$T$6="Asteroid Belt",POWER(Upgrades!$U$6,E334),1)*IF(Upgrades!$T$8="Asteroid Belt",POWER(Upgrades!$U$8,G334),1)*IF(Upgrades!$T$9="Asteroid Belt",POWER(Upgrades!$U$9,H334),1)*IF(Upgrades!$T$10="Asteroid Belt",POWER(Upgrades!$U$10,I334),1)*IF(Upgrades!$T$11="Asteroid Belt",POWER(Upgrades!$U$11,J334),1)*IF(Upgrades!$T$12="Asteroid Belt",POWER(Upgrades!$U$12,K334),1))/AH334,0)</f>
        <v/>
      </c>
      <c r="AU334" s="32">
        <f>IFERROR(Upgrades!$K$8*(POWER(Upgrades!$Q$6,E334)*POWER(Upgrades!$Q$7,F334)*POWER(Upgrades!$Q$8,G334)*POWER(Upgrades!$Q$9,H334)*POWER(Upgrades!$Q$10,I334)*POWER(Upgrades!$Q$11,J334)*POWER(Upgrades!$Q$12,K334))*(IF(Upgrades!$T$6="Stellar Coupling",POWER(Upgrades!$U$6,E334),1)*IF(Upgrades!$T$7="Stellar Coupling",POWER(Upgrades!$U$7,F334),1)*IF(Upgrades!$T$9="Stellar Coupling",POWER(Upgrades!$U$9,H334),1)*IF(Upgrades!$T$10="Stellar Coupling",POWER(Upgrades!$U$10,I334),1)*IF(Upgrades!$T$11="Stellar Coupling",POWER(Upgrades!$U$11,J334),1)*IF(Upgrades!$T$12="Stellar Coupling",POWER(Upgrades!$U$12,K334),1))*Parameters!$B$10*Parameters!$B$11/60/AI334,0)</f>
        <v/>
      </c>
      <c r="AV334" s="32">
        <f>IFERROR(Upgrades!$H$9*(POWER(Upgrades!$P$6,E334)*POWER(Upgrades!$P$7,F334)*POWER(Upgrades!$P$8,G334)*POWER(Upgrades!$P$9,H334)*POWER(Upgrades!$P$10,I334)*POWER(Upgrades!$P$11,J334)*POWER(Upgrades!$P$12,K334))*(IF(Upgrades!$T$6="Magnetosphere",POWER(Upgrades!$U$6,E334),1)*IF(Upgrades!$T$7="Magnetosphere",POWER(Upgrades!$U$7,F334),1)*IF(Upgrades!$T$8="Magnetosphere",POWER(Upgrades!$U$8,G334),1)*IF(Upgrades!$T$10="Magnetosphere",POWER(Upgrades!$U$10,I334),1)*IF(Upgrades!$T$11="Magnetosphere",POWER(Upgrades!$U$11,J334),1)*IF(Upgrades!$T$12="Magnetosphere",POWER(Upgrades!$U$12,K334),1))/AJ334,0)</f>
        <v/>
      </c>
      <c r="AW334" s="32">
        <f>MAX(IF(I334&gt;0,0,IFERROR(0.25*N334/Upgrades!$C$10,0)),IF(J334&gt;0,0,IFERROR(0.5*((IF(G334=0,0,(Upgrades!$J$8+G334*Upgrades!$K$8)*POWER(Upgrades!$L$8,G334)))*(IF(Upgrades!$T$6="Stellar Coupling",POWER(Upgrades!$U$6,E334),1)*IF(Upgrades!$T$7="Stellar Coupling",POWER(Upgrades!$U$7,F334),1)*IF(Upgrades!$T$9="Stellar Coupling",POWER(Upgrades!$U$9,H334),1)*IF(Upgrades!$T$10="Stellar Coupling",POWER(Upgrades!$U$10,I334),1)*IF(Upgrades!$T$11="Stellar Coupling",POWER(Upgrades!$U$11,J334),1)*IF(Upgrades!$T$12="Stellar Coupling",POWER(Upgrades!$U$12,K334),1))*(POWER(Upgrades!$Q$6,E334)*POWER(Upgrades!$Q$7,F334)*POWER(Upgrades!$Q$8,G334)*POWER(Upgrades!$Q$9,H334)*POWER(Upgrades!$Q$10,I334)*POWER(Upgrades!$Q$11,J334)*POWER(Upgrades!$Q$12,K334))*Parameters!$B$10*Parameters!$B$11/60)/Upgrades!$C$11,0)),IF(K334&gt;0,0,IFERROR((1.0*(POWER(Upgrades!$P$6,E334)*POWER(Upgrades!$P$7,F334)*POWER(Upgrades!$P$8,G334)*POWER(Upgrades!$P$9,H334)*POWER(Upgrades!$P$10,I334)*POWER(Upgrades!$P$11,J334)*POWER(Upgrades!$P$12,K334))+0.20*M334*Parameters!$B$10*Parameters!$B$11/60)/Upgrades!$C$12,0)),IF(AND(ISNUMBER(AG334),AG334&gt;T334),AS334,0),IF(AND(ISNUMBER(AH334),AH334&gt;T334),AT334,0),IF(AND(ISNUMBER(AI334),AI334&gt;T334),AU334,0),IF(AND(ISNUMBER(AJ334),AJ334&gt;T334),AV334,0))</f>
        <v/>
      </c>
      <c r="AX334" s="29">
        <f>IF(AN334=1,"transition",IF(MIN(IF(AND(I334=0,ISNUMBER(AK334),AK334&lt;=T334),AK334,9E15),IF(AND(J334=0,ISNUMBER(AL334),AL334&lt;=T334),AL334,9E15),IF(AND(K334=0,ISNUMBER(AM334),AM334&lt;=T334),AM334,9E15))&lt;9E15,IF(AND(AND(I334=0,ISNUMBER(AK334),AK334&lt;=T334),AK334=MIN(IF(AND(I334=0,ISNUMBER(AK334),AK334&lt;=T334),AK334,9E15),IF(AND(J334=0,ISNUMBER(AL334),AL334&lt;=T334),AL334,9E15),IF(AND(K334=0,ISNUMBER(AM334),AM334&lt;=T334),AM334,9E15))),"OR",IF(AND(AND(J334=0,ISNUMBER(AL334),AL334&lt;=T334),AL334=MIN(IF(AND(I334=0,ISNUMBER(AK334),AK334&lt;=T334),AK334,9E15),IF(AND(J334=0,ISNUMBER(AL334),AL334&lt;=T334),AL334,9E15),IF(AND(K334=0,ISNUMBER(AM334),AM334&lt;=T334),AM334,9E15))),"HP","FP")),IF(AR334=TRUE,"",IF(MAX(IF(AND(NOT(AND(AO334=1,AN334&lt;&gt;1)),ISNUMBER(AG334),AG334&lt;=T334),AS334,0),IF(AND(NOT(AND(AO334=1,AN334&lt;&gt;1)),ISNUMBER(AH334),AH334&lt;=T334),AT334,0),IF(AND(NOT(AND(AO334=1,AN334&lt;&gt;1)),ISNUMBER(AI334),AI334&lt;=T334),AU334,0),IF(AND(ISNUMBER(AJ334),AJ334&lt;=T334),AV334,0))&lt;=0,"",IF(AND(IF(AND(NOT(AND(AO334=1,AN334&lt;&gt;1)),ISNUMBER(AG334),AG334&lt;=T334),AS334,0)&gt;0,IF(AND(NOT(AND(AO334=1,AN334&lt;&gt;1)),ISNUMBER(AG334),AG334&lt;=T334),AS334,0)=MAX(IF(AND(NOT(AND(AO334=1,AN334&lt;&gt;1)),ISNUMBER(AG334),AG334&lt;=T334),AS334,0),IF(AND(NOT(AND(AO334=1,AN334&lt;&gt;1)),ISNUMBER(AH334),AH334&lt;=T334),AT334,0),IF(AND(NOT(AND(AO334=1,AN334&lt;&gt;1)),ISNUMBER(AI334),AI334&lt;=T334),AU334,0),IF(AND(ISNUMBER(AJ334),AJ334&lt;=T334),AV334,0))),"SW",IF(AND(IF(AND(NOT(AND(AO334=1,AN334&lt;&gt;1)),ISNUMBER(AH334),AH334&lt;=T334),AT334,0)&gt;0,IF(AND(NOT(AND(AO334=1,AN334&lt;&gt;1)),ISNUMBER(AH334),AH334&lt;=T334),AT334,0)=MAX(IF(AND(NOT(AND(AO334=1,AN334&lt;&gt;1)),ISNUMBER(AG334),AG334&lt;=T334),AS334,0),IF(AND(NOT(AND(AO334=1,AN334&lt;&gt;1)),ISNUMBER(AH334),AH334&lt;=T334),AT334,0),IF(AND(NOT(AND(AO334=1,AN334&lt;&gt;1)),ISNUMBER(AI334),AI334&lt;=T334),AU334,0),IF(AND(ISNUMBER(AJ334),AJ334&lt;=T334),AV334,0))),"AB",IF(AND(IF(AND(NOT(AND(AO334=1,AN334&lt;&gt;1)),ISNUMBER(AI334),AI334&lt;=T334),AU334,0)&gt;0,IF(AND(NOT(AND(AO334=1,AN334&lt;&gt;1)),ISNUMBER(AI334),AI334&lt;=T334),AU334,0)=MAX(IF(AND(NOT(AND(AO334=1,AN334&lt;&gt;1)),ISNUMBER(AG334),AG334&lt;=T334),AS334,0),IF(AND(NOT(AND(AO334=1,AN334&lt;&gt;1)),ISNUMBER(AH334),AH334&lt;=T334),AT334,0),IF(AND(NOT(AND(AO334=1,AN334&lt;&gt;1)),ISNUMBER(AI334),AI334&lt;=T334),AU334,0),IF(AND(ISNUMBER(AJ334),AJ334&lt;=T334),AV334,0))),"SC","Mag")))))))</f>
        <v/>
      </c>
    </row>
    <row r="335">
      <c r="A335" s="26" t="n">
        <v>330</v>
      </c>
      <c r="B335" s="27">
        <f>A335*10/60</f>
        <v/>
      </c>
      <c r="C335" s="22">
        <f>X334</f>
        <v/>
      </c>
      <c r="D335" s="27">
        <f>D334+W334</f>
        <v/>
      </c>
      <c r="E335" s="26">
        <f>E334+IF(U334="SW",1,0)</f>
        <v/>
      </c>
      <c r="F335" s="26">
        <f>F334+IF(U334="AB",1,0)</f>
        <v/>
      </c>
      <c r="G335" s="26">
        <f>G334+IF(U334="SC",1,0)</f>
        <v/>
      </c>
      <c r="H335" s="26">
        <f>H334+IF(U334="Mag",1,0)</f>
        <v/>
      </c>
      <c r="I335" s="26">
        <f>MAX(I334,IF(U334="OR",1,0))</f>
        <v/>
      </c>
      <c r="J335" s="26">
        <f>MAX(J334,IF(U334="HP",1,0))</f>
        <v/>
      </c>
      <c r="K335" s="26">
        <f>MAX(K334,IF(U334="FP",1,0))</f>
        <v/>
      </c>
      <c r="L335" s="26">
        <f>MAX(L334,IF(U334="transition",1,0))</f>
        <v/>
      </c>
      <c r="M335" s="28">
        <f>(Parameters!$B$9+(IF(E335=0,0,(Upgrades!$J$6+E335*Upgrades!$K$6)*POWER(Upgrades!$L$6,E335)))*(IF(Upgrades!$T$7="Solar Wind",POWER(Upgrades!$U$7,F335),1)*IF(Upgrades!$T$8="Solar Wind",POWER(Upgrades!$U$8,G335),1)*IF(Upgrades!$T$9="Solar Wind",POWER(Upgrades!$U$9,H335),1)*IF(Upgrades!$T$10="Solar Wind",POWER(Upgrades!$U$10,I335),1)*IF(Upgrades!$T$11="Solar Wind",POWER(Upgrades!$U$11,J335),1)*IF(Upgrades!$T$12="Solar Wind",POWER(Upgrades!$U$12,K335),1))+(IF(F335=0,0,(Upgrades!$J$7+F335*Upgrades!$K$7)*POWER(Upgrades!$L$7,F335)))*(IF(Upgrades!$T$6="Asteroid Belt",POWER(Upgrades!$U$6,E335),1)*IF(Upgrades!$T$8="Asteroid Belt",POWER(Upgrades!$U$8,G335),1)*IF(Upgrades!$T$9="Asteroid Belt",POWER(Upgrades!$U$9,H335),1)*IF(Upgrades!$T$10="Asteroid Belt",POWER(Upgrades!$U$10,I335),1)*IF(Upgrades!$T$11="Asteroid Belt",POWER(Upgrades!$U$11,J335),1)*IF(Upgrades!$T$12="Asteroid Belt",POWER(Upgrades!$U$12,K335),1))+(IF(G335=0,0,(Upgrades!$J$8+G335*Upgrades!$K$8)*POWER(Upgrades!$L$8,G335)))*(IF(Upgrades!$T$6="Stellar Coupling",POWER(Upgrades!$U$6,E335),1)*IF(Upgrades!$T$7="Stellar Coupling",POWER(Upgrades!$U$7,F335),1)*IF(Upgrades!$T$9="Stellar Coupling",POWER(Upgrades!$U$9,H335),1)*IF(Upgrades!$T$10="Stellar Coupling",POWER(Upgrades!$U$10,I335),1)*IF(Upgrades!$T$11="Stellar Coupling",POWER(Upgrades!$U$11,J335),1)*IF(Upgrades!$T$12="Stellar Coupling",POWER(Upgrades!$U$12,K335),1))+(IF(H335=0,0,(Upgrades!$J$9+H335*Upgrades!$K$9)*POWER(Upgrades!$L$9,H335)))*(IF(Upgrades!$T$6="Magnetosphere",POWER(Upgrades!$U$6,E335),1)*IF(Upgrades!$T$7="Magnetosphere",POWER(Upgrades!$U$7,F335),1)*IF(Upgrades!$T$8="Magnetosphere",POWER(Upgrades!$U$8,G335),1)*IF(Upgrades!$T$10="Magnetosphere",POWER(Upgrades!$U$10,I335),1)*IF(Upgrades!$T$11="Magnetosphere",POWER(Upgrades!$U$11,J335),1)*IF(Upgrades!$T$12="Magnetosphere",POWER(Upgrades!$U$12,K335),1))+(IF(I335=0,0,(Upgrades!$J$10+I335*Upgrades!$K$10)*POWER(Upgrades!$L$10,I335)))*(IF(Upgrades!$T$6="Orbital Resonance",POWER(Upgrades!$U$6,E335),1)*IF(Upgrades!$T$7="Orbital Resonance",POWER(Upgrades!$U$7,F335),1)*IF(Upgrades!$T$8="Orbital Resonance",POWER(Upgrades!$U$8,G335),1)*IF(Upgrades!$T$9="Orbital Resonance",POWER(Upgrades!$U$9,H335),1)*IF(Upgrades!$T$11="Orbital Resonance",POWER(Upgrades!$U$11,J335),1)*IF(Upgrades!$T$12="Orbital Resonance",POWER(Upgrades!$U$12,K335),1))+(IF(J335=0,0,(Upgrades!$J$11+J335*Upgrades!$K$11)*POWER(Upgrades!$L$11,J335)))*(IF(Upgrades!$T$6="Heliopause",POWER(Upgrades!$U$6,E335),1)*IF(Upgrades!$T$7="Heliopause",POWER(Upgrades!$U$7,F335),1)*IF(Upgrades!$T$8="Heliopause",POWER(Upgrades!$U$8,G335),1)*IF(Upgrades!$T$9="Heliopause",POWER(Upgrades!$U$9,H335),1)*IF(Upgrades!$T$10="Heliopause",POWER(Upgrades!$U$10,I335),1)*IF(Upgrades!$T$12="Heliopause",POWER(Upgrades!$U$12,K335),1))+(IF(K335=0,0,(Upgrades!$J$12+K335*Upgrades!$K$12)*POWER(Upgrades!$L$12,K335)))*(IF(Upgrades!$T$6="First Photons",POWER(Upgrades!$U$6,E335),1)*IF(Upgrades!$T$7="First Photons",POWER(Upgrades!$U$7,F335),1)*IF(Upgrades!$T$8="First Photons",POWER(Upgrades!$U$8,G335),1)*IF(Upgrades!$T$9="First Photons",POWER(Upgrades!$U$9,H335),1)*IF(Upgrades!$T$10="First Photons",POWER(Upgrades!$U$10,I335),1)*IF(Upgrades!$T$11="First Photons",POWER(Upgrades!$U$11,J335),1)))*POWER(Upgrades!$Q$6,E335)*POWER(Upgrades!$Q$7,F335)*POWER(Upgrades!$Q$8,G335)*POWER(Upgrades!$Q$9,H335)*POWER(Upgrades!$Q$10,I335)*POWER(Upgrades!$Q$11,J335)*POWER(Upgrades!$Q$12,K335)</f>
        <v/>
      </c>
      <c r="N335" s="28">
        <f>((IF(E335=0,0,(Upgrades!$G$6+E335*Upgrades!$H$6)*POWER(Upgrades!$I$6,E335)))*(IF(Upgrades!$T$7="Solar Wind",POWER(Upgrades!$U$7,F335),1)*IF(Upgrades!$T$8="Solar Wind",POWER(Upgrades!$U$8,G335),1)*IF(Upgrades!$T$9="Solar Wind",POWER(Upgrades!$U$9,H335),1)*IF(Upgrades!$T$10="Solar Wind",POWER(Upgrades!$U$10,I335),1)*IF(Upgrades!$T$11="Solar Wind",POWER(Upgrades!$U$11,J335),1)*IF(Upgrades!$T$12="Solar Wind",POWER(Upgrades!$U$12,K335),1))+(IF(F335=0,0,(Upgrades!$G$7+F335*Upgrades!$H$7)*POWER(Upgrades!$I$7,F335)))*(IF(Upgrades!$T$6="Asteroid Belt",POWER(Upgrades!$U$6,E335),1)*IF(Upgrades!$T$8="Asteroid Belt",POWER(Upgrades!$U$8,G335),1)*IF(Upgrades!$T$9="Asteroid Belt",POWER(Upgrades!$U$9,H335),1)*IF(Upgrades!$T$10="Asteroid Belt",POWER(Upgrades!$U$10,I335),1)*IF(Upgrades!$T$11="Asteroid Belt",POWER(Upgrades!$U$11,J335),1)*IF(Upgrades!$T$12="Asteroid Belt",POWER(Upgrades!$U$12,K335),1))+(IF(G335=0,0,(Upgrades!$G$8+G335*Upgrades!$H$8)*POWER(Upgrades!$I$8,G335)))*(IF(Upgrades!$T$6="Stellar Coupling",POWER(Upgrades!$U$6,E335),1)*IF(Upgrades!$T$7="Stellar Coupling",POWER(Upgrades!$U$7,F335),1)*IF(Upgrades!$T$9="Stellar Coupling",POWER(Upgrades!$U$9,H335),1)*IF(Upgrades!$T$10="Stellar Coupling",POWER(Upgrades!$U$10,I335),1)*IF(Upgrades!$T$11="Stellar Coupling",POWER(Upgrades!$U$11,J335),1)*IF(Upgrades!$T$12="Stellar Coupling",POWER(Upgrades!$U$12,K335),1))+(IF(H335=0,0,(Upgrades!$G$9+H335*Upgrades!$H$9)*POWER(Upgrades!$I$9,H335)))*(IF(Upgrades!$T$6="Magnetosphere",POWER(Upgrades!$U$6,E335),1)*IF(Upgrades!$T$7="Magnetosphere",POWER(Upgrades!$U$7,F335),1)*IF(Upgrades!$T$8="Magnetosphere",POWER(Upgrades!$U$8,G335),1)*IF(Upgrades!$T$10="Magnetosphere",POWER(Upgrades!$U$10,I335),1)*IF(Upgrades!$T$11="Magnetosphere",POWER(Upgrades!$U$11,J335),1)*IF(Upgrades!$T$12="Magnetosphere",POWER(Upgrades!$U$12,K335),1))+(IF(I335=0,0,(Upgrades!$G$10+I335*Upgrades!$H$10)*POWER(Upgrades!$I$10,I335)))*(IF(Upgrades!$T$6="Orbital Resonance",POWER(Upgrades!$U$6,E335),1)*IF(Upgrades!$T$7="Orbital Resonance",POWER(Upgrades!$U$7,F335),1)*IF(Upgrades!$T$8="Orbital Resonance",POWER(Upgrades!$U$8,G335),1)*IF(Upgrades!$T$9="Orbital Resonance",POWER(Upgrades!$U$9,H335),1)*IF(Upgrades!$T$11="Orbital Resonance",POWER(Upgrades!$U$11,J335),1)*IF(Upgrades!$T$12="Orbital Resonance",POWER(Upgrades!$U$12,K335),1))+(IF(J335=0,0,(Upgrades!$G$11+J335*Upgrades!$H$11)*POWER(Upgrades!$I$11,J335)))*(IF(Upgrades!$T$6="Heliopause",POWER(Upgrades!$U$6,E335),1)*IF(Upgrades!$T$7="Heliopause",POWER(Upgrades!$U$7,F335),1)*IF(Upgrades!$T$8="Heliopause",POWER(Upgrades!$U$8,G335),1)*IF(Upgrades!$T$9="Heliopause",POWER(Upgrades!$U$9,H335),1)*IF(Upgrades!$T$10="Heliopause",POWER(Upgrades!$U$10,I335),1)*IF(Upgrades!$T$12="Heliopause",POWER(Upgrades!$U$12,K335),1))+(IF(K335=0,0,(Upgrades!$G$12+K335*Upgrades!$H$12)*POWER(Upgrades!$I$12,K335)))*(IF(Upgrades!$T$6="First Photons",POWER(Upgrades!$U$6,E335),1)*IF(Upgrades!$T$7="First Photons",POWER(Upgrades!$U$7,F335),1)*IF(Upgrades!$T$8="First Photons",POWER(Upgrades!$U$8,G335),1)*IF(Upgrades!$T$9="First Photons",POWER(Upgrades!$U$9,H335),1)*IF(Upgrades!$T$10="First Photons",POWER(Upgrades!$U$10,I335),1)*IF(Upgrades!$T$11="First Photons",POWER(Upgrades!$U$11,J335),1)))*POWER(Upgrades!$P$6,E335)*POWER(Upgrades!$P$7,F335)*POWER(Upgrades!$P$8,G335)*POWER(Upgrades!$P$9,H335)*POWER(Upgrades!$P$10,I335)*POWER(Upgrades!$P$11,J335)*POWER(Upgrades!$P$12,K335)</f>
        <v/>
      </c>
      <c r="O335" s="28">
        <f>((IF(E335=0,0,(Upgrades!$M$6+E335*Upgrades!$N$6)*POWER(Upgrades!$O$6,E335)))*(IF(Upgrades!$T$7="Solar Wind",POWER(Upgrades!$U$7,F335),1)*IF(Upgrades!$T$8="Solar Wind",POWER(Upgrades!$U$8,G335),1)*IF(Upgrades!$T$9="Solar Wind",POWER(Upgrades!$U$9,H335),1)*IF(Upgrades!$T$10="Solar Wind",POWER(Upgrades!$U$10,I335),1)*IF(Upgrades!$T$11="Solar Wind",POWER(Upgrades!$U$11,J335),1)*IF(Upgrades!$T$12="Solar Wind",POWER(Upgrades!$U$12,K335),1))+(IF(F335=0,0,(Upgrades!$M$7+F335*Upgrades!$N$7)*POWER(Upgrades!$O$7,F335)))*(IF(Upgrades!$T$6="Asteroid Belt",POWER(Upgrades!$U$6,E335),1)*IF(Upgrades!$T$8="Asteroid Belt",POWER(Upgrades!$U$8,G335),1)*IF(Upgrades!$T$9="Asteroid Belt",POWER(Upgrades!$U$9,H335),1)*IF(Upgrades!$T$10="Asteroid Belt",POWER(Upgrades!$U$10,I335),1)*IF(Upgrades!$T$11="Asteroid Belt",POWER(Upgrades!$U$11,J335),1)*IF(Upgrades!$T$12="Asteroid Belt",POWER(Upgrades!$U$12,K335),1))+(IF(G335=0,0,(Upgrades!$M$8+G335*Upgrades!$N$8)*POWER(Upgrades!$O$8,G335)))*(IF(Upgrades!$T$6="Stellar Coupling",POWER(Upgrades!$U$6,E335),1)*IF(Upgrades!$T$7="Stellar Coupling",POWER(Upgrades!$U$7,F335),1)*IF(Upgrades!$T$9="Stellar Coupling",POWER(Upgrades!$U$9,H335),1)*IF(Upgrades!$T$10="Stellar Coupling",POWER(Upgrades!$U$10,I335),1)*IF(Upgrades!$T$11="Stellar Coupling",POWER(Upgrades!$U$11,J335),1)*IF(Upgrades!$T$12="Stellar Coupling",POWER(Upgrades!$U$12,K335),1))+(IF(H335=0,0,(Upgrades!$M$9+H335*Upgrades!$N$9)*POWER(Upgrades!$O$9,H335)))*(IF(Upgrades!$T$6="Magnetosphere",POWER(Upgrades!$U$6,E335),1)*IF(Upgrades!$T$7="Magnetosphere",POWER(Upgrades!$U$7,F335),1)*IF(Upgrades!$T$8="Magnetosphere",POWER(Upgrades!$U$8,G335),1)*IF(Upgrades!$T$10="Magnetosphere",POWER(Upgrades!$U$10,I335),1)*IF(Upgrades!$T$11="Magnetosphere",POWER(Upgrades!$U$11,J335),1)*IF(Upgrades!$T$12="Magnetosphere",POWER(Upgrades!$U$12,K335),1))+(IF(I335=0,0,(Upgrades!$M$10+I335*Upgrades!$N$10)*POWER(Upgrades!$O$10,I335)))*(IF(Upgrades!$T$6="Orbital Resonance",POWER(Upgrades!$U$6,E335),1)*IF(Upgrades!$T$7="Orbital Resonance",POWER(Upgrades!$U$7,F335),1)*IF(Upgrades!$T$8="Orbital Resonance",POWER(Upgrades!$U$8,G335),1)*IF(Upgrades!$T$9="Orbital Resonance",POWER(Upgrades!$U$9,H335),1)*IF(Upgrades!$T$11="Orbital Resonance",POWER(Upgrades!$U$11,J335),1)*IF(Upgrades!$T$12="Orbital Resonance",POWER(Upgrades!$U$12,K335),1))+(IF(J335=0,0,(Upgrades!$M$11+J335*Upgrades!$N$11)*POWER(Upgrades!$O$11,J335)))*(IF(Upgrades!$T$6="Heliopause",POWER(Upgrades!$U$6,E335),1)*IF(Upgrades!$T$7="Heliopause",POWER(Upgrades!$U$7,F335),1)*IF(Upgrades!$T$8="Heliopause",POWER(Upgrades!$U$8,G335),1)*IF(Upgrades!$T$9="Heliopause",POWER(Upgrades!$U$9,H335),1)*IF(Upgrades!$T$10="Heliopause",POWER(Upgrades!$U$10,I335),1)*IF(Upgrades!$T$12="Heliopause",POWER(Upgrades!$U$12,K335),1))+(IF(K335=0,0,(Upgrades!$M$12+K335*Upgrades!$N$12)*POWER(Upgrades!$O$12,K335)))*(IF(Upgrades!$T$6="First Photons",POWER(Upgrades!$U$6,E335),1)*IF(Upgrades!$T$7="First Photons",POWER(Upgrades!$U$7,F335),1)*IF(Upgrades!$T$8="First Photons",POWER(Upgrades!$U$8,G335),1)*IF(Upgrades!$T$9="First Photons",POWER(Upgrades!$U$9,H335),1)*IF(Upgrades!$T$10="First Photons",POWER(Upgrades!$U$10,I335),1)*IF(Upgrades!$T$11="First Photons",POWER(Upgrades!$U$11,J335),1)))*POWER(Upgrades!$R$6,E335)*POWER(Upgrades!$R$7,F335)*POWER(Upgrades!$R$8,G335)*POWER(Upgrades!$R$9,H335)*POWER(Upgrades!$R$10,I335)*POWER(Upgrades!$R$11,J335)*POWER(Upgrades!$R$12,K335)</f>
        <v/>
      </c>
      <c r="P335" s="27">
        <f>IF(L335=1,0,M335*Parameters!$B$10/60*Parameters!$B$11*10)</f>
        <v/>
      </c>
      <c r="Q335" s="27">
        <f>IF(L335=1,0,O335*M335*10)</f>
        <v/>
      </c>
      <c r="R335" s="27">
        <f>IF(L335=1,0,N335*10)</f>
        <v/>
      </c>
      <c r="S335" s="27">
        <f>P335+Q335+R335</f>
        <v/>
      </c>
      <c r="T335" s="22">
        <f>C335+S335</f>
        <v/>
      </c>
      <c r="U335" s="33">
        <f>AX335</f>
        <v/>
      </c>
      <c r="V335" s="22">
        <f>IF(U335="",0,IF(U335="transition",0,IF(U335="SW",AG335,IF(U335="AB",AH335,IF(U335="SC",AI335,IF(U335="Mag",AJ335,IF(U335="OR",AK335,IF(U335="HP",AL335,IF(U335="FP",AM335,0)))))))))</f>
        <v/>
      </c>
      <c r="W335" s="27">
        <f>IF(U335="OR",Upgrades!$F$10,IF(U335="HP",Upgrades!$F$11,IF(U335="transition",-Parameters!$B$18,0)))</f>
        <v/>
      </c>
      <c r="X335" s="22">
        <f>T335-V335</f>
        <v/>
      </c>
      <c r="Y335" s="30">
        <f>M335*Parameters!$B$10/60*Parameters!$B$11+O335*M335+N335</f>
        <v/>
      </c>
      <c r="Z335" s="34">
        <f>IF(U335="transition","→ Tier 2 (Stellar Neighborhood)",IF(U335="FP","First Photons — light begins, system quickens",IF(U335="HP","Heliopause acquired",IF(U335="OR","Orbital Resonance — passive multiplier active",IF(AND(AO335=1,L335=0,AN335&lt;&gt;1),"Cohesion ready (waiting on completionist upgrades)","")))))</f>
        <v/>
      </c>
      <c r="AA335" s="27">
        <f>(IF(E335=0,0,(Upgrades!$G$6+E335*Upgrades!$H$6)*POWER(Upgrades!$I$6,E335)))*(IF(Upgrades!$T$7="Solar Wind",POWER(Upgrades!$U$7,F335),1)*IF(Upgrades!$T$8="Solar Wind",POWER(Upgrades!$U$8,G335),1)*IF(Upgrades!$T$9="Solar Wind",POWER(Upgrades!$U$9,H335),1)*IF(Upgrades!$T$10="Solar Wind",POWER(Upgrades!$U$10,I335),1)*IF(Upgrades!$T$11="Solar Wind",POWER(Upgrades!$U$11,J335),1)*IF(Upgrades!$T$12="Solar Wind",POWER(Upgrades!$U$12,K335),1))*POWER(Upgrades!$P$6,E335)*POWER(Upgrades!$P$7,F335)*POWER(Upgrades!$P$8,G335)*POWER(Upgrades!$P$9,H335)*POWER(Upgrades!$P$10,I335)*POWER(Upgrades!$P$11,J335)*POWER(Upgrades!$P$12,K335)*60</f>
        <v/>
      </c>
      <c r="AB335" s="27">
        <f>(IF(F335=0,0,(Upgrades!$G$7+F335*Upgrades!$H$7)*POWER(Upgrades!$I$7,F335)))*(IF(Upgrades!$T$6="Asteroid Belt",POWER(Upgrades!$U$6,E335),1)*IF(Upgrades!$T$8="Asteroid Belt",POWER(Upgrades!$U$8,G335),1)*IF(Upgrades!$T$9="Asteroid Belt",POWER(Upgrades!$U$9,H335),1)*IF(Upgrades!$T$10="Asteroid Belt",POWER(Upgrades!$U$10,I335),1)*IF(Upgrades!$T$11="Asteroid Belt",POWER(Upgrades!$U$11,J335),1)*IF(Upgrades!$T$12="Asteroid Belt",POWER(Upgrades!$U$12,K335),1))*POWER(Upgrades!$P$6,E335)*POWER(Upgrades!$P$7,F335)*POWER(Upgrades!$P$8,G335)*POWER(Upgrades!$P$9,H335)*POWER(Upgrades!$P$10,I335)*POWER(Upgrades!$P$11,J335)*POWER(Upgrades!$P$12,K335)*60</f>
        <v/>
      </c>
      <c r="AC335" s="27">
        <f>(IF(G335=0,0,(Upgrades!$J$8+G335*Upgrades!$K$8)*POWER(Upgrades!$L$8,G335)))*(IF(Upgrades!$T$6="Stellar Coupling",POWER(Upgrades!$U$6,E335),1)*IF(Upgrades!$T$7="Stellar Coupling",POWER(Upgrades!$U$7,F335),1)*IF(Upgrades!$T$9="Stellar Coupling",POWER(Upgrades!$U$9,H335),1)*IF(Upgrades!$T$10="Stellar Coupling",POWER(Upgrades!$U$10,I335),1)*IF(Upgrades!$T$11="Stellar Coupling",POWER(Upgrades!$U$11,J335),1)*IF(Upgrades!$T$12="Stellar Coupling",POWER(Upgrades!$U$12,K335),1))*POWER(Upgrades!$Q$6,E335)*POWER(Upgrades!$Q$7,F335)*POWER(Upgrades!$Q$8,G335)*POWER(Upgrades!$Q$9,H335)*POWER(Upgrades!$Q$10,I335)*POWER(Upgrades!$Q$11,J335)*POWER(Upgrades!$Q$12,K335)*Parameters!$B$10*Parameters!$B$11</f>
        <v/>
      </c>
      <c r="AD335" s="27">
        <f>(IF(H335=0,0,(Upgrades!$G$9+H335*Upgrades!$H$9)*POWER(Upgrades!$I$9,H335)))*(IF(Upgrades!$T$6="Magnetosphere",POWER(Upgrades!$U$6,E335),1)*IF(Upgrades!$T$7="Magnetosphere",POWER(Upgrades!$U$7,F335),1)*IF(Upgrades!$T$8="Magnetosphere",POWER(Upgrades!$U$8,G335),1)*IF(Upgrades!$T$10="Magnetosphere",POWER(Upgrades!$U$10,I335),1)*IF(Upgrades!$T$11="Magnetosphere",POWER(Upgrades!$U$11,J335),1)*IF(Upgrades!$T$12="Magnetosphere",POWER(Upgrades!$U$12,K335),1))*POWER(Upgrades!$P$6,E335)*POWER(Upgrades!$P$7,F335)*POWER(Upgrades!$P$8,G335)*POWER(Upgrades!$P$9,H335)*POWER(Upgrades!$P$10,I335)*POWER(Upgrades!$P$11,J335)*POWER(Upgrades!$P$12,K335)*60</f>
        <v/>
      </c>
      <c r="AE335" s="27">
        <f>(IF(K335=0,0,(Upgrades!$G$12+K335*Upgrades!$H$12)*POWER(Upgrades!$I$12,K335)))*(IF(Upgrades!$T$6="First Photons",POWER(Upgrades!$U$6,E335),1)*IF(Upgrades!$T$7="First Photons",POWER(Upgrades!$U$7,F335),1)*IF(Upgrades!$T$8="First Photons",POWER(Upgrades!$U$8,G335),1)*IF(Upgrades!$T$9="First Photons",POWER(Upgrades!$U$9,H335),1)*IF(Upgrades!$T$10="First Photons",POWER(Upgrades!$U$10,I335),1)*IF(Upgrades!$T$11="First Photons",POWER(Upgrades!$U$11,J335),1))*POWER(Upgrades!$P$6,E335)*POWER(Upgrades!$P$7,F335)*POWER(Upgrades!$P$8,G335)*POWER(Upgrades!$P$9,H335)*POWER(Upgrades!$P$10,I335)*POWER(Upgrades!$P$11,J335)*POWER(Upgrades!$P$12,K335)*60</f>
        <v/>
      </c>
      <c r="AF335" s="27">
        <f>Parameters!$B$9*POWER(Upgrades!$Q$6,E335)*POWER(Upgrades!$Q$7,F335)*POWER(Upgrades!$Q$8,G335)*POWER(Upgrades!$Q$9,H335)*POWER(Upgrades!$Q$10,I335)*POWER(Upgrades!$Q$11,J335)*POWER(Upgrades!$Q$12,K335)*(Parameters!$B$10*Parameters!$B$11+O335*60)</f>
        <v/>
      </c>
      <c r="AG335" s="22">
        <f>IF(E335&gt;=Upgrades!$E$6,"",Upgrades!$C$6*POWER(Upgrades!$D$6,E335))</f>
        <v/>
      </c>
      <c r="AH335" s="22">
        <f>IF(F335&gt;=Upgrades!$E$7,"",Upgrades!$C$7*POWER(Upgrades!$D$7,F335))</f>
        <v/>
      </c>
      <c r="AI335" s="22">
        <f>IF(G335&gt;=Upgrades!$E$8,"",Upgrades!$C$8*POWER(Upgrades!$D$8,G335))</f>
        <v/>
      </c>
      <c r="AJ335" s="22">
        <f>IF(H335&gt;=Upgrades!$E$9,"",Upgrades!$C$9*POWER(Upgrades!$D$9,H335))</f>
        <v/>
      </c>
      <c r="AK335" s="22">
        <f>IF(I335&gt;=Upgrades!$E$10,"",Upgrades!$C$10*POWER(Upgrades!$D$10,I335))</f>
        <v/>
      </c>
      <c r="AL335" s="22">
        <f>IF(J335&gt;=Upgrades!$E$11,"",Upgrades!$C$11*POWER(Upgrades!$D$11,J335))</f>
        <v/>
      </c>
      <c r="AM335" s="22">
        <f>IF(K335&gt;=Upgrades!$E$12,"",Upgrades!$C$12*POWER(Upgrades!$D$12,K335))</f>
        <v/>
      </c>
      <c r="AN335" s="26">
        <f>IF(AND(D335&gt;=Parameters!$B$18,(H335&gt;=Upgrades!$E$9)*(K335&gt;=Upgrades!$E$12)=1,L335=0),1,"")</f>
        <v/>
      </c>
      <c r="AO335" s="26">
        <f>IF(AND(D335&gt;=Parameters!$B$18,L335=0),1,"")</f>
        <v/>
      </c>
      <c r="AP335" s="22">
        <f>MIN(IF(ISNUMBER(AK335),AK335,9E15),IF(ISNUMBER(AL335),AL335,9E15),IF(ISNUMBER(AM335),AM335,9E15))</f>
        <v/>
      </c>
      <c r="AQ335" s="22">
        <f>MIN(IF(ISNUMBER(AG335),AG335,9E15),IF(ISNUMBER(AH335),AH335,9E15),IF(ISNUMBER(AI335),AI335,9E15),IF(ISNUMBER(AJ335),AJ335,9E15))</f>
        <v/>
      </c>
      <c r="AR335" s="29">
        <f>IF(AW335&gt;Parameters!$B$21*(MAX(IF(AND(NOT(AND(AO335=1,AN335&lt;&gt;1)),ISNUMBER(AG335),AG335&lt;=T335),AS335,0),IF(AND(NOT(AND(AO335=1,AN335&lt;&gt;1)),ISNUMBER(AH335),AH335&lt;=T335),AT335,0),IF(AND(NOT(AND(AO335=1,AN335&lt;&gt;1)),ISNUMBER(AI335),AI335&lt;=T335),AU335,0),IF(AND(ISNUMBER(AJ335),AJ335&lt;=T335),AV335,0))),TRUE,FALSE)</f>
        <v/>
      </c>
      <c r="AS335" s="32">
        <f>IFERROR(Upgrades!$H$6*(POWER(Upgrades!$P$6,E335)*POWER(Upgrades!$P$7,F335)*POWER(Upgrades!$P$8,G335)*POWER(Upgrades!$P$9,H335)*POWER(Upgrades!$P$10,I335)*POWER(Upgrades!$P$11,J335)*POWER(Upgrades!$P$12,K335))*(IF(Upgrades!$T$7="Solar Wind",POWER(Upgrades!$U$7,F335),1)*IF(Upgrades!$T$8="Solar Wind",POWER(Upgrades!$U$8,G335),1)*IF(Upgrades!$T$9="Solar Wind",POWER(Upgrades!$U$9,H335),1)*IF(Upgrades!$T$10="Solar Wind",POWER(Upgrades!$U$10,I335),1)*IF(Upgrades!$T$11="Solar Wind",POWER(Upgrades!$U$11,J335),1)*IF(Upgrades!$T$12="Solar Wind",POWER(Upgrades!$U$12,K335),1))/AG335,0)</f>
        <v/>
      </c>
      <c r="AT335" s="32">
        <f>IFERROR(Upgrades!$H$7*(POWER(Upgrades!$P$6,E335)*POWER(Upgrades!$P$7,F335)*POWER(Upgrades!$P$8,G335)*POWER(Upgrades!$P$9,H335)*POWER(Upgrades!$P$10,I335)*POWER(Upgrades!$P$11,J335)*POWER(Upgrades!$P$12,K335))*(IF(Upgrades!$T$6="Asteroid Belt",POWER(Upgrades!$U$6,E335),1)*IF(Upgrades!$T$8="Asteroid Belt",POWER(Upgrades!$U$8,G335),1)*IF(Upgrades!$T$9="Asteroid Belt",POWER(Upgrades!$U$9,H335),1)*IF(Upgrades!$T$10="Asteroid Belt",POWER(Upgrades!$U$10,I335),1)*IF(Upgrades!$T$11="Asteroid Belt",POWER(Upgrades!$U$11,J335),1)*IF(Upgrades!$T$12="Asteroid Belt",POWER(Upgrades!$U$12,K335),1))/AH335,0)</f>
        <v/>
      </c>
      <c r="AU335" s="32">
        <f>IFERROR(Upgrades!$K$8*(POWER(Upgrades!$Q$6,E335)*POWER(Upgrades!$Q$7,F335)*POWER(Upgrades!$Q$8,G335)*POWER(Upgrades!$Q$9,H335)*POWER(Upgrades!$Q$10,I335)*POWER(Upgrades!$Q$11,J335)*POWER(Upgrades!$Q$12,K335))*(IF(Upgrades!$T$6="Stellar Coupling",POWER(Upgrades!$U$6,E335),1)*IF(Upgrades!$T$7="Stellar Coupling",POWER(Upgrades!$U$7,F335),1)*IF(Upgrades!$T$9="Stellar Coupling",POWER(Upgrades!$U$9,H335),1)*IF(Upgrades!$T$10="Stellar Coupling",POWER(Upgrades!$U$10,I335),1)*IF(Upgrades!$T$11="Stellar Coupling",POWER(Upgrades!$U$11,J335),1)*IF(Upgrades!$T$12="Stellar Coupling",POWER(Upgrades!$U$12,K335),1))*Parameters!$B$10*Parameters!$B$11/60/AI335,0)</f>
        <v/>
      </c>
      <c r="AV335" s="32">
        <f>IFERROR(Upgrades!$H$9*(POWER(Upgrades!$P$6,E335)*POWER(Upgrades!$P$7,F335)*POWER(Upgrades!$P$8,G335)*POWER(Upgrades!$P$9,H335)*POWER(Upgrades!$P$10,I335)*POWER(Upgrades!$P$11,J335)*POWER(Upgrades!$P$12,K335))*(IF(Upgrades!$T$6="Magnetosphere",POWER(Upgrades!$U$6,E335),1)*IF(Upgrades!$T$7="Magnetosphere",POWER(Upgrades!$U$7,F335),1)*IF(Upgrades!$T$8="Magnetosphere",POWER(Upgrades!$U$8,G335),1)*IF(Upgrades!$T$10="Magnetosphere",POWER(Upgrades!$U$10,I335),1)*IF(Upgrades!$T$11="Magnetosphere",POWER(Upgrades!$U$11,J335),1)*IF(Upgrades!$T$12="Magnetosphere",POWER(Upgrades!$U$12,K335),1))/AJ335,0)</f>
        <v/>
      </c>
      <c r="AW335" s="32">
        <f>MAX(IF(I335&gt;0,0,IFERROR(0.25*N335/Upgrades!$C$10,0)),IF(J335&gt;0,0,IFERROR(0.5*((IF(G335=0,0,(Upgrades!$J$8+G335*Upgrades!$K$8)*POWER(Upgrades!$L$8,G335)))*(IF(Upgrades!$T$6="Stellar Coupling",POWER(Upgrades!$U$6,E335),1)*IF(Upgrades!$T$7="Stellar Coupling",POWER(Upgrades!$U$7,F335),1)*IF(Upgrades!$T$9="Stellar Coupling",POWER(Upgrades!$U$9,H335),1)*IF(Upgrades!$T$10="Stellar Coupling",POWER(Upgrades!$U$10,I335),1)*IF(Upgrades!$T$11="Stellar Coupling",POWER(Upgrades!$U$11,J335),1)*IF(Upgrades!$T$12="Stellar Coupling",POWER(Upgrades!$U$12,K335),1))*(POWER(Upgrades!$Q$6,E335)*POWER(Upgrades!$Q$7,F335)*POWER(Upgrades!$Q$8,G335)*POWER(Upgrades!$Q$9,H335)*POWER(Upgrades!$Q$10,I335)*POWER(Upgrades!$Q$11,J335)*POWER(Upgrades!$Q$12,K335))*Parameters!$B$10*Parameters!$B$11/60)/Upgrades!$C$11,0)),IF(K335&gt;0,0,IFERROR((1.0*(POWER(Upgrades!$P$6,E335)*POWER(Upgrades!$P$7,F335)*POWER(Upgrades!$P$8,G335)*POWER(Upgrades!$P$9,H335)*POWER(Upgrades!$P$10,I335)*POWER(Upgrades!$P$11,J335)*POWER(Upgrades!$P$12,K335))+0.20*M335*Parameters!$B$10*Parameters!$B$11/60)/Upgrades!$C$12,0)),IF(AND(ISNUMBER(AG335),AG335&gt;T335),AS335,0),IF(AND(ISNUMBER(AH335),AH335&gt;T335),AT335,0),IF(AND(ISNUMBER(AI335),AI335&gt;T335),AU335,0),IF(AND(ISNUMBER(AJ335),AJ335&gt;T335),AV335,0))</f>
        <v/>
      </c>
      <c r="AX335" s="29">
        <f>IF(AN335=1,"transition",IF(MIN(IF(AND(I335=0,ISNUMBER(AK335),AK335&lt;=T335),AK335,9E15),IF(AND(J335=0,ISNUMBER(AL335),AL335&lt;=T335),AL335,9E15),IF(AND(K335=0,ISNUMBER(AM335),AM335&lt;=T335),AM335,9E15))&lt;9E15,IF(AND(AND(I335=0,ISNUMBER(AK335),AK335&lt;=T335),AK335=MIN(IF(AND(I335=0,ISNUMBER(AK335),AK335&lt;=T335),AK335,9E15),IF(AND(J335=0,ISNUMBER(AL335),AL335&lt;=T335),AL335,9E15),IF(AND(K335=0,ISNUMBER(AM335),AM335&lt;=T335),AM335,9E15))),"OR",IF(AND(AND(J335=0,ISNUMBER(AL335),AL335&lt;=T335),AL335=MIN(IF(AND(I335=0,ISNUMBER(AK335),AK335&lt;=T335),AK335,9E15),IF(AND(J335=0,ISNUMBER(AL335),AL335&lt;=T335),AL335,9E15),IF(AND(K335=0,ISNUMBER(AM335),AM335&lt;=T335),AM335,9E15))),"HP","FP")),IF(AR335=TRUE,"",IF(MAX(IF(AND(NOT(AND(AO335=1,AN335&lt;&gt;1)),ISNUMBER(AG335),AG335&lt;=T335),AS335,0),IF(AND(NOT(AND(AO335=1,AN335&lt;&gt;1)),ISNUMBER(AH335),AH335&lt;=T335),AT335,0),IF(AND(NOT(AND(AO335=1,AN335&lt;&gt;1)),ISNUMBER(AI335),AI335&lt;=T335),AU335,0),IF(AND(ISNUMBER(AJ335),AJ335&lt;=T335),AV335,0))&lt;=0,"",IF(AND(IF(AND(NOT(AND(AO335=1,AN335&lt;&gt;1)),ISNUMBER(AG335),AG335&lt;=T335),AS335,0)&gt;0,IF(AND(NOT(AND(AO335=1,AN335&lt;&gt;1)),ISNUMBER(AG335),AG335&lt;=T335),AS335,0)=MAX(IF(AND(NOT(AND(AO335=1,AN335&lt;&gt;1)),ISNUMBER(AG335),AG335&lt;=T335),AS335,0),IF(AND(NOT(AND(AO335=1,AN335&lt;&gt;1)),ISNUMBER(AH335),AH335&lt;=T335),AT335,0),IF(AND(NOT(AND(AO335=1,AN335&lt;&gt;1)),ISNUMBER(AI335),AI335&lt;=T335),AU335,0),IF(AND(ISNUMBER(AJ335),AJ335&lt;=T335),AV335,0))),"SW",IF(AND(IF(AND(NOT(AND(AO335=1,AN335&lt;&gt;1)),ISNUMBER(AH335),AH335&lt;=T335),AT335,0)&gt;0,IF(AND(NOT(AND(AO335=1,AN335&lt;&gt;1)),ISNUMBER(AH335),AH335&lt;=T335),AT335,0)=MAX(IF(AND(NOT(AND(AO335=1,AN335&lt;&gt;1)),ISNUMBER(AG335),AG335&lt;=T335),AS335,0),IF(AND(NOT(AND(AO335=1,AN335&lt;&gt;1)),ISNUMBER(AH335),AH335&lt;=T335),AT335,0),IF(AND(NOT(AND(AO335=1,AN335&lt;&gt;1)),ISNUMBER(AI335),AI335&lt;=T335),AU335,0),IF(AND(ISNUMBER(AJ335),AJ335&lt;=T335),AV335,0))),"AB",IF(AND(IF(AND(NOT(AND(AO335=1,AN335&lt;&gt;1)),ISNUMBER(AI335),AI335&lt;=T335),AU335,0)&gt;0,IF(AND(NOT(AND(AO335=1,AN335&lt;&gt;1)),ISNUMBER(AI335),AI335&lt;=T335),AU335,0)=MAX(IF(AND(NOT(AND(AO335=1,AN335&lt;&gt;1)),ISNUMBER(AG335),AG335&lt;=T335),AS335,0),IF(AND(NOT(AND(AO335=1,AN335&lt;&gt;1)),ISNUMBER(AH335),AH335&lt;=T335),AT335,0),IF(AND(NOT(AND(AO335=1,AN335&lt;&gt;1)),ISNUMBER(AI335),AI335&lt;=T335),AU335,0),IF(AND(ISNUMBER(AJ335),AJ335&lt;=T335),AV335,0))),"SC","Mag")))))))</f>
        <v/>
      </c>
    </row>
    <row r="336">
      <c r="A336" s="26" t="n">
        <v>331</v>
      </c>
      <c r="B336" s="27">
        <f>A336*10/60</f>
        <v/>
      </c>
      <c r="C336" s="22">
        <f>X335</f>
        <v/>
      </c>
      <c r="D336" s="27">
        <f>D335+W335</f>
        <v/>
      </c>
      <c r="E336" s="26">
        <f>E335+IF(U335="SW",1,0)</f>
        <v/>
      </c>
      <c r="F336" s="26">
        <f>F335+IF(U335="AB",1,0)</f>
        <v/>
      </c>
      <c r="G336" s="26">
        <f>G335+IF(U335="SC",1,0)</f>
        <v/>
      </c>
      <c r="H336" s="26">
        <f>H335+IF(U335="Mag",1,0)</f>
        <v/>
      </c>
      <c r="I336" s="26">
        <f>MAX(I335,IF(U335="OR",1,0))</f>
        <v/>
      </c>
      <c r="J336" s="26">
        <f>MAX(J335,IF(U335="HP",1,0))</f>
        <v/>
      </c>
      <c r="K336" s="26">
        <f>MAX(K335,IF(U335="FP",1,0))</f>
        <v/>
      </c>
      <c r="L336" s="26">
        <f>MAX(L335,IF(U335="transition",1,0))</f>
        <v/>
      </c>
      <c r="M336" s="28">
        <f>(Parameters!$B$9+(IF(E336=0,0,(Upgrades!$J$6+E336*Upgrades!$K$6)*POWER(Upgrades!$L$6,E336)))*(IF(Upgrades!$T$7="Solar Wind",POWER(Upgrades!$U$7,F336),1)*IF(Upgrades!$T$8="Solar Wind",POWER(Upgrades!$U$8,G336),1)*IF(Upgrades!$T$9="Solar Wind",POWER(Upgrades!$U$9,H336),1)*IF(Upgrades!$T$10="Solar Wind",POWER(Upgrades!$U$10,I336),1)*IF(Upgrades!$T$11="Solar Wind",POWER(Upgrades!$U$11,J336),1)*IF(Upgrades!$T$12="Solar Wind",POWER(Upgrades!$U$12,K336),1))+(IF(F336=0,0,(Upgrades!$J$7+F336*Upgrades!$K$7)*POWER(Upgrades!$L$7,F336)))*(IF(Upgrades!$T$6="Asteroid Belt",POWER(Upgrades!$U$6,E336),1)*IF(Upgrades!$T$8="Asteroid Belt",POWER(Upgrades!$U$8,G336),1)*IF(Upgrades!$T$9="Asteroid Belt",POWER(Upgrades!$U$9,H336),1)*IF(Upgrades!$T$10="Asteroid Belt",POWER(Upgrades!$U$10,I336),1)*IF(Upgrades!$T$11="Asteroid Belt",POWER(Upgrades!$U$11,J336),1)*IF(Upgrades!$T$12="Asteroid Belt",POWER(Upgrades!$U$12,K336),1))+(IF(G336=0,0,(Upgrades!$J$8+G336*Upgrades!$K$8)*POWER(Upgrades!$L$8,G336)))*(IF(Upgrades!$T$6="Stellar Coupling",POWER(Upgrades!$U$6,E336),1)*IF(Upgrades!$T$7="Stellar Coupling",POWER(Upgrades!$U$7,F336),1)*IF(Upgrades!$T$9="Stellar Coupling",POWER(Upgrades!$U$9,H336),1)*IF(Upgrades!$T$10="Stellar Coupling",POWER(Upgrades!$U$10,I336),1)*IF(Upgrades!$T$11="Stellar Coupling",POWER(Upgrades!$U$11,J336),1)*IF(Upgrades!$T$12="Stellar Coupling",POWER(Upgrades!$U$12,K336),1))+(IF(H336=0,0,(Upgrades!$J$9+H336*Upgrades!$K$9)*POWER(Upgrades!$L$9,H336)))*(IF(Upgrades!$T$6="Magnetosphere",POWER(Upgrades!$U$6,E336),1)*IF(Upgrades!$T$7="Magnetosphere",POWER(Upgrades!$U$7,F336),1)*IF(Upgrades!$T$8="Magnetosphere",POWER(Upgrades!$U$8,G336),1)*IF(Upgrades!$T$10="Magnetosphere",POWER(Upgrades!$U$10,I336),1)*IF(Upgrades!$T$11="Magnetosphere",POWER(Upgrades!$U$11,J336),1)*IF(Upgrades!$T$12="Magnetosphere",POWER(Upgrades!$U$12,K336),1))+(IF(I336=0,0,(Upgrades!$J$10+I336*Upgrades!$K$10)*POWER(Upgrades!$L$10,I336)))*(IF(Upgrades!$T$6="Orbital Resonance",POWER(Upgrades!$U$6,E336),1)*IF(Upgrades!$T$7="Orbital Resonance",POWER(Upgrades!$U$7,F336),1)*IF(Upgrades!$T$8="Orbital Resonance",POWER(Upgrades!$U$8,G336),1)*IF(Upgrades!$T$9="Orbital Resonance",POWER(Upgrades!$U$9,H336),1)*IF(Upgrades!$T$11="Orbital Resonance",POWER(Upgrades!$U$11,J336),1)*IF(Upgrades!$T$12="Orbital Resonance",POWER(Upgrades!$U$12,K336),1))+(IF(J336=0,0,(Upgrades!$J$11+J336*Upgrades!$K$11)*POWER(Upgrades!$L$11,J336)))*(IF(Upgrades!$T$6="Heliopause",POWER(Upgrades!$U$6,E336),1)*IF(Upgrades!$T$7="Heliopause",POWER(Upgrades!$U$7,F336),1)*IF(Upgrades!$T$8="Heliopause",POWER(Upgrades!$U$8,G336),1)*IF(Upgrades!$T$9="Heliopause",POWER(Upgrades!$U$9,H336),1)*IF(Upgrades!$T$10="Heliopause",POWER(Upgrades!$U$10,I336),1)*IF(Upgrades!$T$12="Heliopause",POWER(Upgrades!$U$12,K336),1))+(IF(K336=0,0,(Upgrades!$J$12+K336*Upgrades!$K$12)*POWER(Upgrades!$L$12,K336)))*(IF(Upgrades!$T$6="First Photons",POWER(Upgrades!$U$6,E336),1)*IF(Upgrades!$T$7="First Photons",POWER(Upgrades!$U$7,F336),1)*IF(Upgrades!$T$8="First Photons",POWER(Upgrades!$U$8,G336),1)*IF(Upgrades!$T$9="First Photons",POWER(Upgrades!$U$9,H336),1)*IF(Upgrades!$T$10="First Photons",POWER(Upgrades!$U$10,I336),1)*IF(Upgrades!$T$11="First Photons",POWER(Upgrades!$U$11,J336),1)))*POWER(Upgrades!$Q$6,E336)*POWER(Upgrades!$Q$7,F336)*POWER(Upgrades!$Q$8,G336)*POWER(Upgrades!$Q$9,H336)*POWER(Upgrades!$Q$10,I336)*POWER(Upgrades!$Q$11,J336)*POWER(Upgrades!$Q$12,K336)</f>
        <v/>
      </c>
      <c r="N336" s="28">
        <f>((IF(E336=0,0,(Upgrades!$G$6+E336*Upgrades!$H$6)*POWER(Upgrades!$I$6,E336)))*(IF(Upgrades!$T$7="Solar Wind",POWER(Upgrades!$U$7,F336),1)*IF(Upgrades!$T$8="Solar Wind",POWER(Upgrades!$U$8,G336),1)*IF(Upgrades!$T$9="Solar Wind",POWER(Upgrades!$U$9,H336),1)*IF(Upgrades!$T$10="Solar Wind",POWER(Upgrades!$U$10,I336),1)*IF(Upgrades!$T$11="Solar Wind",POWER(Upgrades!$U$11,J336),1)*IF(Upgrades!$T$12="Solar Wind",POWER(Upgrades!$U$12,K336),1))+(IF(F336=0,0,(Upgrades!$G$7+F336*Upgrades!$H$7)*POWER(Upgrades!$I$7,F336)))*(IF(Upgrades!$T$6="Asteroid Belt",POWER(Upgrades!$U$6,E336),1)*IF(Upgrades!$T$8="Asteroid Belt",POWER(Upgrades!$U$8,G336),1)*IF(Upgrades!$T$9="Asteroid Belt",POWER(Upgrades!$U$9,H336),1)*IF(Upgrades!$T$10="Asteroid Belt",POWER(Upgrades!$U$10,I336),1)*IF(Upgrades!$T$11="Asteroid Belt",POWER(Upgrades!$U$11,J336),1)*IF(Upgrades!$T$12="Asteroid Belt",POWER(Upgrades!$U$12,K336),1))+(IF(G336=0,0,(Upgrades!$G$8+G336*Upgrades!$H$8)*POWER(Upgrades!$I$8,G336)))*(IF(Upgrades!$T$6="Stellar Coupling",POWER(Upgrades!$U$6,E336),1)*IF(Upgrades!$T$7="Stellar Coupling",POWER(Upgrades!$U$7,F336),1)*IF(Upgrades!$T$9="Stellar Coupling",POWER(Upgrades!$U$9,H336),1)*IF(Upgrades!$T$10="Stellar Coupling",POWER(Upgrades!$U$10,I336),1)*IF(Upgrades!$T$11="Stellar Coupling",POWER(Upgrades!$U$11,J336),1)*IF(Upgrades!$T$12="Stellar Coupling",POWER(Upgrades!$U$12,K336),1))+(IF(H336=0,0,(Upgrades!$G$9+H336*Upgrades!$H$9)*POWER(Upgrades!$I$9,H336)))*(IF(Upgrades!$T$6="Magnetosphere",POWER(Upgrades!$U$6,E336),1)*IF(Upgrades!$T$7="Magnetosphere",POWER(Upgrades!$U$7,F336),1)*IF(Upgrades!$T$8="Magnetosphere",POWER(Upgrades!$U$8,G336),1)*IF(Upgrades!$T$10="Magnetosphere",POWER(Upgrades!$U$10,I336),1)*IF(Upgrades!$T$11="Magnetosphere",POWER(Upgrades!$U$11,J336),1)*IF(Upgrades!$T$12="Magnetosphere",POWER(Upgrades!$U$12,K336),1))+(IF(I336=0,0,(Upgrades!$G$10+I336*Upgrades!$H$10)*POWER(Upgrades!$I$10,I336)))*(IF(Upgrades!$T$6="Orbital Resonance",POWER(Upgrades!$U$6,E336),1)*IF(Upgrades!$T$7="Orbital Resonance",POWER(Upgrades!$U$7,F336),1)*IF(Upgrades!$T$8="Orbital Resonance",POWER(Upgrades!$U$8,G336),1)*IF(Upgrades!$T$9="Orbital Resonance",POWER(Upgrades!$U$9,H336),1)*IF(Upgrades!$T$11="Orbital Resonance",POWER(Upgrades!$U$11,J336),1)*IF(Upgrades!$T$12="Orbital Resonance",POWER(Upgrades!$U$12,K336),1))+(IF(J336=0,0,(Upgrades!$G$11+J336*Upgrades!$H$11)*POWER(Upgrades!$I$11,J336)))*(IF(Upgrades!$T$6="Heliopause",POWER(Upgrades!$U$6,E336),1)*IF(Upgrades!$T$7="Heliopause",POWER(Upgrades!$U$7,F336),1)*IF(Upgrades!$T$8="Heliopause",POWER(Upgrades!$U$8,G336),1)*IF(Upgrades!$T$9="Heliopause",POWER(Upgrades!$U$9,H336),1)*IF(Upgrades!$T$10="Heliopause",POWER(Upgrades!$U$10,I336),1)*IF(Upgrades!$T$12="Heliopause",POWER(Upgrades!$U$12,K336),1))+(IF(K336=0,0,(Upgrades!$G$12+K336*Upgrades!$H$12)*POWER(Upgrades!$I$12,K336)))*(IF(Upgrades!$T$6="First Photons",POWER(Upgrades!$U$6,E336),1)*IF(Upgrades!$T$7="First Photons",POWER(Upgrades!$U$7,F336),1)*IF(Upgrades!$T$8="First Photons",POWER(Upgrades!$U$8,G336),1)*IF(Upgrades!$T$9="First Photons",POWER(Upgrades!$U$9,H336),1)*IF(Upgrades!$T$10="First Photons",POWER(Upgrades!$U$10,I336),1)*IF(Upgrades!$T$11="First Photons",POWER(Upgrades!$U$11,J336),1)))*POWER(Upgrades!$P$6,E336)*POWER(Upgrades!$P$7,F336)*POWER(Upgrades!$P$8,G336)*POWER(Upgrades!$P$9,H336)*POWER(Upgrades!$P$10,I336)*POWER(Upgrades!$P$11,J336)*POWER(Upgrades!$P$12,K336)</f>
        <v/>
      </c>
      <c r="O336" s="28">
        <f>((IF(E336=0,0,(Upgrades!$M$6+E336*Upgrades!$N$6)*POWER(Upgrades!$O$6,E336)))*(IF(Upgrades!$T$7="Solar Wind",POWER(Upgrades!$U$7,F336),1)*IF(Upgrades!$T$8="Solar Wind",POWER(Upgrades!$U$8,G336),1)*IF(Upgrades!$T$9="Solar Wind",POWER(Upgrades!$U$9,H336),1)*IF(Upgrades!$T$10="Solar Wind",POWER(Upgrades!$U$10,I336),1)*IF(Upgrades!$T$11="Solar Wind",POWER(Upgrades!$U$11,J336),1)*IF(Upgrades!$T$12="Solar Wind",POWER(Upgrades!$U$12,K336),1))+(IF(F336=0,0,(Upgrades!$M$7+F336*Upgrades!$N$7)*POWER(Upgrades!$O$7,F336)))*(IF(Upgrades!$T$6="Asteroid Belt",POWER(Upgrades!$U$6,E336),1)*IF(Upgrades!$T$8="Asteroid Belt",POWER(Upgrades!$U$8,G336),1)*IF(Upgrades!$T$9="Asteroid Belt",POWER(Upgrades!$U$9,H336),1)*IF(Upgrades!$T$10="Asteroid Belt",POWER(Upgrades!$U$10,I336),1)*IF(Upgrades!$T$11="Asteroid Belt",POWER(Upgrades!$U$11,J336),1)*IF(Upgrades!$T$12="Asteroid Belt",POWER(Upgrades!$U$12,K336),1))+(IF(G336=0,0,(Upgrades!$M$8+G336*Upgrades!$N$8)*POWER(Upgrades!$O$8,G336)))*(IF(Upgrades!$T$6="Stellar Coupling",POWER(Upgrades!$U$6,E336),1)*IF(Upgrades!$T$7="Stellar Coupling",POWER(Upgrades!$U$7,F336),1)*IF(Upgrades!$T$9="Stellar Coupling",POWER(Upgrades!$U$9,H336),1)*IF(Upgrades!$T$10="Stellar Coupling",POWER(Upgrades!$U$10,I336),1)*IF(Upgrades!$T$11="Stellar Coupling",POWER(Upgrades!$U$11,J336),1)*IF(Upgrades!$T$12="Stellar Coupling",POWER(Upgrades!$U$12,K336),1))+(IF(H336=0,0,(Upgrades!$M$9+H336*Upgrades!$N$9)*POWER(Upgrades!$O$9,H336)))*(IF(Upgrades!$T$6="Magnetosphere",POWER(Upgrades!$U$6,E336),1)*IF(Upgrades!$T$7="Magnetosphere",POWER(Upgrades!$U$7,F336),1)*IF(Upgrades!$T$8="Magnetosphere",POWER(Upgrades!$U$8,G336),1)*IF(Upgrades!$T$10="Magnetosphere",POWER(Upgrades!$U$10,I336),1)*IF(Upgrades!$T$11="Magnetosphere",POWER(Upgrades!$U$11,J336),1)*IF(Upgrades!$T$12="Magnetosphere",POWER(Upgrades!$U$12,K336),1))+(IF(I336=0,0,(Upgrades!$M$10+I336*Upgrades!$N$10)*POWER(Upgrades!$O$10,I336)))*(IF(Upgrades!$T$6="Orbital Resonance",POWER(Upgrades!$U$6,E336),1)*IF(Upgrades!$T$7="Orbital Resonance",POWER(Upgrades!$U$7,F336),1)*IF(Upgrades!$T$8="Orbital Resonance",POWER(Upgrades!$U$8,G336),1)*IF(Upgrades!$T$9="Orbital Resonance",POWER(Upgrades!$U$9,H336),1)*IF(Upgrades!$T$11="Orbital Resonance",POWER(Upgrades!$U$11,J336),1)*IF(Upgrades!$T$12="Orbital Resonance",POWER(Upgrades!$U$12,K336),1))+(IF(J336=0,0,(Upgrades!$M$11+J336*Upgrades!$N$11)*POWER(Upgrades!$O$11,J336)))*(IF(Upgrades!$T$6="Heliopause",POWER(Upgrades!$U$6,E336),1)*IF(Upgrades!$T$7="Heliopause",POWER(Upgrades!$U$7,F336),1)*IF(Upgrades!$T$8="Heliopause",POWER(Upgrades!$U$8,G336),1)*IF(Upgrades!$T$9="Heliopause",POWER(Upgrades!$U$9,H336),1)*IF(Upgrades!$T$10="Heliopause",POWER(Upgrades!$U$10,I336),1)*IF(Upgrades!$T$12="Heliopause",POWER(Upgrades!$U$12,K336),1))+(IF(K336=0,0,(Upgrades!$M$12+K336*Upgrades!$N$12)*POWER(Upgrades!$O$12,K336)))*(IF(Upgrades!$T$6="First Photons",POWER(Upgrades!$U$6,E336),1)*IF(Upgrades!$T$7="First Photons",POWER(Upgrades!$U$7,F336),1)*IF(Upgrades!$T$8="First Photons",POWER(Upgrades!$U$8,G336),1)*IF(Upgrades!$T$9="First Photons",POWER(Upgrades!$U$9,H336),1)*IF(Upgrades!$T$10="First Photons",POWER(Upgrades!$U$10,I336),1)*IF(Upgrades!$T$11="First Photons",POWER(Upgrades!$U$11,J336),1)))*POWER(Upgrades!$R$6,E336)*POWER(Upgrades!$R$7,F336)*POWER(Upgrades!$R$8,G336)*POWER(Upgrades!$R$9,H336)*POWER(Upgrades!$R$10,I336)*POWER(Upgrades!$R$11,J336)*POWER(Upgrades!$R$12,K336)</f>
        <v/>
      </c>
      <c r="P336" s="27">
        <f>IF(L336=1,0,M336*Parameters!$B$10/60*Parameters!$B$11*10)</f>
        <v/>
      </c>
      <c r="Q336" s="27">
        <f>IF(L336=1,0,O336*M336*10)</f>
        <v/>
      </c>
      <c r="R336" s="27">
        <f>IF(L336=1,0,N336*10)</f>
        <v/>
      </c>
      <c r="S336" s="27">
        <f>P336+Q336+R336</f>
        <v/>
      </c>
      <c r="T336" s="22">
        <f>C336+S336</f>
        <v/>
      </c>
      <c r="U336" s="33">
        <f>AX336</f>
        <v/>
      </c>
      <c r="V336" s="22">
        <f>IF(U336="",0,IF(U336="transition",0,IF(U336="SW",AG336,IF(U336="AB",AH336,IF(U336="SC",AI336,IF(U336="Mag",AJ336,IF(U336="OR",AK336,IF(U336="HP",AL336,IF(U336="FP",AM336,0)))))))))</f>
        <v/>
      </c>
      <c r="W336" s="27">
        <f>IF(U336="OR",Upgrades!$F$10,IF(U336="HP",Upgrades!$F$11,IF(U336="transition",-Parameters!$B$18,0)))</f>
        <v/>
      </c>
      <c r="X336" s="22">
        <f>T336-V336</f>
        <v/>
      </c>
      <c r="Y336" s="30">
        <f>M336*Parameters!$B$10/60*Parameters!$B$11+O336*M336+N336</f>
        <v/>
      </c>
      <c r="Z336" s="34">
        <f>IF(U336="transition","→ Tier 2 (Stellar Neighborhood)",IF(U336="FP","First Photons — light begins, system quickens",IF(U336="HP","Heliopause acquired",IF(U336="OR","Orbital Resonance — passive multiplier active",IF(AND(AO336=1,L336=0,AN336&lt;&gt;1),"Cohesion ready (waiting on completionist upgrades)","")))))</f>
        <v/>
      </c>
      <c r="AA336" s="27">
        <f>(IF(E336=0,0,(Upgrades!$G$6+E336*Upgrades!$H$6)*POWER(Upgrades!$I$6,E336)))*(IF(Upgrades!$T$7="Solar Wind",POWER(Upgrades!$U$7,F336),1)*IF(Upgrades!$T$8="Solar Wind",POWER(Upgrades!$U$8,G336),1)*IF(Upgrades!$T$9="Solar Wind",POWER(Upgrades!$U$9,H336),1)*IF(Upgrades!$T$10="Solar Wind",POWER(Upgrades!$U$10,I336),1)*IF(Upgrades!$T$11="Solar Wind",POWER(Upgrades!$U$11,J336),1)*IF(Upgrades!$T$12="Solar Wind",POWER(Upgrades!$U$12,K336),1))*POWER(Upgrades!$P$6,E336)*POWER(Upgrades!$P$7,F336)*POWER(Upgrades!$P$8,G336)*POWER(Upgrades!$P$9,H336)*POWER(Upgrades!$P$10,I336)*POWER(Upgrades!$P$11,J336)*POWER(Upgrades!$P$12,K336)*60</f>
        <v/>
      </c>
      <c r="AB336" s="27">
        <f>(IF(F336=0,0,(Upgrades!$G$7+F336*Upgrades!$H$7)*POWER(Upgrades!$I$7,F336)))*(IF(Upgrades!$T$6="Asteroid Belt",POWER(Upgrades!$U$6,E336),1)*IF(Upgrades!$T$8="Asteroid Belt",POWER(Upgrades!$U$8,G336),1)*IF(Upgrades!$T$9="Asteroid Belt",POWER(Upgrades!$U$9,H336),1)*IF(Upgrades!$T$10="Asteroid Belt",POWER(Upgrades!$U$10,I336),1)*IF(Upgrades!$T$11="Asteroid Belt",POWER(Upgrades!$U$11,J336),1)*IF(Upgrades!$T$12="Asteroid Belt",POWER(Upgrades!$U$12,K336),1))*POWER(Upgrades!$P$6,E336)*POWER(Upgrades!$P$7,F336)*POWER(Upgrades!$P$8,G336)*POWER(Upgrades!$P$9,H336)*POWER(Upgrades!$P$10,I336)*POWER(Upgrades!$P$11,J336)*POWER(Upgrades!$P$12,K336)*60</f>
        <v/>
      </c>
      <c r="AC336" s="27">
        <f>(IF(G336=0,0,(Upgrades!$J$8+G336*Upgrades!$K$8)*POWER(Upgrades!$L$8,G336)))*(IF(Upgrades!$T$6="Stellar Coupling",POWER(Upgrades!$U$6,E336),1)*IF(Upgrades!$T$7="Stellar Coupling",POWER(Upgrades!$U$7,F336),1)*IF(Upgrades!$T$9="Stellar Coupling",POWER(Upgrades!$U$9,H336),1)*IF(Upgrades!$T$10="Stellar Coupling",POWER(Upgrades!$U$10,I336),1)*IF(Upgrades!$T$11="Stellar Coupling",POWER(Upgrades!$U$11,J336),1)*IF(Upgrades!$T$12="Stellar Coupling",POWER(Upgrades!$U$12,K336),1))*POWER(Upgrades!$Q$6,E336)*POWER(Upgrades!$Q$7,F336)*POWER(Upgrades!$Q$8,G336)*POWER(Upgrades!$Q$9,H336)*POWER(Upgrades!$Q$10,I336)*POWER(Upgrades!$Q$11,J336)*POWER(Upgrades!$Q$12,K336)*Parameters!$B$10*Parameters!$B$11</f>
        <v/>
      </c>
      <c r="AD336" s="27">
        <f>(IF(H336=0,0,(Upgrades!$G$9+H336*Upgrades!$H$9)*POWER(Upgrades!$I$9,H336)))*(IF(Upgrades!$T$6="Magnetosphere",POWER(Upgrades!$U$6,E336),1)*IF(Upgrades!$T$7="Magnetosphere",POWER(Upgrades!$U$7,F336),1)*IF(Upgrades!$T$8="Magnetosphere",POWER(Upgrades!$U$8,G336),1)*IF(Upgrades!$T$10="Magnetosphere",POWER(Upgrades!$U$10,I336),1)*IF(Upgrades!$T$11="Magnetosphere",POWER(Upgrades!$U$11,J336),1)*IF(Upgrades!$T$12="Magnetosphere",POWER(Upgrades!$U$12,K336),1))*POWER(Upgrades!$P$6,E336)*POWER(Upgrades!$P$7,F336)*POWER(Upgrades!$P$8,G336)*POWER(Upgrades!$P$9,H336)*POWER(Upgrades!$P$10,I336)*POWER(Upgrades!$P$11,J336)*POWER(Upgrades!$P$12,K336)*60</f>
        <v/>
      </c>
      <c r="AE336" s="27">
        <f>(IF(K336=0,0,(Upgrades!$G$12+K336*Upgrades!$H$12)*POWER(Upgrades!$I$12,K336)))*(IF(Upgrades!$T$6="First Photons",POWER(Upgrades!$U$6,E336),1)*IF(Upgrades!$T$7="First Photons",POWER(Upgrades!$U$7,F336),1)*IF(Upgrades!$T$8="First Photons",POWER(Upgrades!$U$8,G336),1)*IF(Upgrades!$T$9="First Photons",POWER(Upgrades!$U$9,H336),1)*IF(Upgrades!$T$10="First Photons",POWER(Upgrades!$U$10,I336),1)*IF(Upgrades!$T$11="First Photons",POWER(Upgrades!$U$11,J336),1))*POWER(Upgrades!$P$6,E336)*POWER(Upgrades!$P$7,F336)*POWER(Upgrades!$P$8,G336)*POWER(Upgrades!$P$9,H336)*POWER(Upgrades!$P$10,I336)*POWER(Upgrades!$P$11,J336)*POWER(Upgrades!$P$12,K336)*60</f>
        <v/>
      </c>
      <c r="AF336" s="27">
        <f>Parameters!$B$9*POWER(Upgrades!$Q$6,E336)*POWER(Upgrades!$Q$7,F336)*POWER(Upgrades!$Q$8,G336)*POWER(Upgrades!$Q$9,H336)*POWER(Upgrades!$Q$10,I336)*POWER(Upgrades!$Q$11,J336)*POWER(Upgrades!$Q$12,K336)*(Parameters!$B$10*Parameters!$B$11+O336*60)</f>
        <v/>
      </c>
      <c r="AG336" s="22">
        <f>IF(E336&gt;=Upgrades!$E$6,"",Upgrades!$C$6*POWER(Upgrades!$D$6,E336))</f>
        <v/>
      </c>
      <c r="AH336" s="22">
        <f>IF(F336&gt;=Upgrades!$E$7,"",Upgrades!$C$7*POWER(Upgrades!$D$7,F336))</f>
        <v/>
      </c>
      <c r="AI336" s="22">
        <f>IF(G336&gt;=Upgrades!$E$8,"",Upgrades!$C$8*POWER(Upgrades!$D$8,G336))</f>
        <v/>
      </c>
      <c r="AJ336" s="22">
        <f>IF(H336&gt;=Upgrades!$E$9,"",Upgrades!$C$9*POWER(Upgrades!$D$9,H336))</f>
        <v/>
      </c>
      <c r="AK336" s="22">
        <f>IF(I336&gt;=Upgrades!$E$10,"",Upgrades!$C$10*POWER(Upgrades!$D$10,I336))</f>
        <v/>
      </c>
      <c r="AL336" s="22">
        <f>IF(J336&gt;=Upgrades!$E$11,"",Upgrades!$C$11*POWER(Upgrades!$D$11,J336))</f>
        <v/>
      </c>
      <c r="AM336" s="22">
        <f>IF(K336&gt;=Upgrades!$E$12,"",Upgrades!$C$12*POWER(Upgrades!$D$12,K336))</f>
        <v/>
      </c>
      <c r="AN336" s="26">
        <f>IF(AND(D336&gt;=Parameters!$B$18,(H336&gt;=Upgrades!$E$9)*(K336&gt;=Upgrades!$E$12)=1,L336=0),1,"")</f>
        <v/>
      </c>
      <c r="AO336" s="26">
        <f>IF(AND(D336&gt;=Parameters!$B$18,L336=0),1,"")</f>
        <v/>
      </c>
      <c r="AP336" s="22">
        <f>MIN(IF(ISNUMBER(AK336),AK336,9E15),IF(ISNUMBER(AL336),AL336,9E15),IF(ISNUMBER(AM336),AM336,9E15))</f>
        <v/>
      </c>
      <c r="AQ336" s="22">
        <f>MIN(IF(ISNUMBER(AG336),AG336,9E15),IF(ISNUMBER(AH336),AH336,9E15),IF(ISNUMBER(AI336),AI336,9E15),IF(ISNUMBER(AJ336),AJ336,9E15))</f>
        <v/>
      </c>
      <c r="AR336" s="29">
        <f>IF(AW336&gt;Parameters!$B$21*(MAX(IF(AND(NOT(AND(AO336=1,AN336&lt;&gt;1)),ISNUMBER(AG336),AG336&lt;=T336),AS336,0),IF(AND(NOT(AND(AO336=1,AN336&lt;&gt;1)),ISNUMBER(AH336),AH336&lt;=T336),AT336,0),IF(AND(NOT(AND(AO336=1,AN336&lt;&gt;1)),ISNUMBER(AI336),AI336&lt;=T336),AU336,0),IF(AND(ISNUMBER(AJ336),AJ336&lt;=T336),AV336,0))),TRUE,FALSE)</f>
        <v/>
      </c>
      <c r="AS336" s="32">
        <f>IFERROR(Upgrades!$H$6*(POWER(Upgrades!$P$6,E336)*POWER(Upgrades!$P$7,F336)*POWER(Upgrades!$P$8,G336)*POWER(Upgrades!$P$9,H336)*POWER(Upgrades!$P$10,I336)*POWER(Upgrades!$P$11,J336)*POWER(Upgrades!$P$12,K336))*(IF(Upgrades!$T$7="Solar Wind",POWER(Upgrades!$U$7,F336),1)*IF(Upgrades!$T$8="Solar Wind",POWER(Upgrades!$U$8,G336),1)*IF(Upgrades!$T$9="Solar Wind",POWER(Upgrades!$U$9,H336),1)*IF(Upgrades!$T$10="Solar Wind",POWER(Upgrades!$U$10,I336),1)*IF(Upgrades!$T$11="Solar Wind",POWER(Upgrades!$U$11,J336),1)*IF(Upgrades!$T$12="Solar Wind",POWER(Upgrades!$U$12,K336),1))/AG336,0)</f>
        <v/>
      </c>
      <c r="AT336" s="32">
        <f>IFERROR(Upgrades!$H$7*(POWER(Upgrades!$P$6,E336)*POWER(Upgrades!$P$7,F336)*POWER(Upgrades!$P$8,G336)*POWER(Upgrades!$P$9,H336)*POWER(Upgrades!$P$10,I336)*POWER(Upgrades!$P$11,J336)*POWER(Upgrades!$P$12,K336))*(IF(Upgrades!$T$6="Asteroid Belt",POWER(Upgrades!$U$6,E336),1)*IF(Upgrades!$T$8="Asteroid Belt",POWER(Upgrades!$U$8,G336),1)*IF(Upgrades!$T$9="Asteroid Belt",POWER(Upgrades!$U$9,H336),1)*IF(Upgrades!$T$10="Asteroid Belt",POWER(Upgrades!$U$10,I336),1)*IF(Upgrades!$T$11="Asteroid Belt",POWER(Upgrades!$U$11,J336),1)*IF(Upgrades!$T$12="Asteroid Belt",POWER(Upgrades!$U$12,K336),1))/AH336,0)</f>
        <v/>
      </c>
      <c r="AU336" s="32">
        <f>IFERROR(Upgrades!$K$8*(POWER(Upgrades!$Q$6,E336)*POWER(Upgrades!$Q$7,F336)*POWER(Upgrades!$Q$8,G336)*POWER(Upgrades!$Q$9,H336)*POWER(Upgrades!$Q$10,I336)*POWER(Upgrades!$Q$11,J336)*POWER(Upgrades!$Q$12,K336))*(IF(Upgrades!$T$6="Stellar Coupling",POWER(Upgrades!$U$6,E336),1)*IF(Upgrades!$T$7="Stellar Coupling",POWER(Upgrades!$U$7,F336),1)*IF(Upgrades!$T$9="Stellar Coupling",POWER(Upgrades!$U$9,H336),1)*IF(Upgrades!$T$10="Stellar Coupling",POWER(Upgrades!$U$10,I336),1)*IF(Upgrades!$T$11="Stellar Coupling",POWER(Upgrades!$U$11,J336),1)*IF(Upgrades!$T$12="Stellar Coupling",POWER(Upgrades!$U$12,K336),1))*Parameters!$B$10*Parameters!$B$11/60/AI336,0)</f>
        <v/>
      </c>
      <c r="AV336" s="32">
        <f>IFERROR(Upgrades!$H$9*(POWER(Upgrades!$P$6,E336)*POWER(Upgrades!$P$7,F336)*POWER(Upgrades!$P$8,G336)*POWER(Upgrades!$P$9,H336)*POWER(Upgrades!$P$10,I336)*POWER(Upgrades!$P$11,J336)*POWER(Upgrades!$P$12,K336))*(IF(Upgrades!$T$6="Magnetosphere",POWER(Upgrades!$U$6,E336),1)*IF(Upgrades!$T$7="Magnetosphere",POWER(Upgrades!$U$7,F336),1)*IF(Upgrades!$T$8="Magnetosphere",POWER(Upgrades!$U$8,G336),1)*IF(Upgrades!$T$10="Magnetosphere",POWER(Upgrades!$U$10,I336),1)*IF(Upgrades!$T$11="Magnetosphere",POWER(Upgrades!$U$11,J336),1)*IF(Upgrades!$T$12="Magnetosphere",POWER(Upgrades!$U$12,K336),1))/AJ336,0)</f>
        <v/>
      </c>
      <c r="AW336" s="32">
        <f>MAX(IF(I336&gt;0,0,IFERROR(0.25*N336/Upgrades!$C$10,0)),IF(J336&gt;0,0,IFERROR(0.5*((IF(G336=0,0,(Upgrades!$J$8+G336*Upgrades!$K$8)*POWER(Upgrades!$L$8,G336)))*(IF(Upgrades!$T$6="Stellar Coupling",POWER(Upgrades!$U$6,E336),1)*IF(Upgrades!$T$7="Stellar Coupling",POWER(Upgrades!$U$7,F336),1)*IF(Upgrades!$T$9="Stellar Coupling",POWER(Upgrades!$U$9,H336),1)*IF(Upgrades!$T$10="Stellar Coupling",POWER(Upgrades!$U$10,I336),1)*IF(Upgrades!$T$11="Stellar Coupling",POWER(Upgrades!$U$11,J336),1)*IF(Upgrades!$T$12="Stellar Coupling",POWER(Upgrades!$U$12,K336),1))*(POWER(Upgrades!$Q$6,E336)*POWER(Upgrades!$Q$7,F336)*POWER(Upgrades!$Q$8,G336)*POWER(Upgrades!$Q$9,H336)*POWER(Upgrades!$Q$10,I336)*POWER(Upgrades!$Q$11,J336)*POWER(Upgrades!$Q$12,K336))*Parameters!$B$10*Parameters!$B$11/60)/Upgrades!$C$11,0)),IF(K336&gt;0,0,IFERROR((1.0*(POWER(Upgrades!$P$6,E336)*POWER(Upgrades!$P$7,F336)*POWER(Upgrades!$P$8,G336)*POWER(Upgrades!$P$9,H336)*POWER(Upgrades!$P$10,I336)*POWER(Upgrades!$P$11,J336)*POWER(Upgrades!$P$12,K336))+0.20*M336*Parameters!$B$10*Parameters!$B$11/60)/Upgrades!$C$12,0)),IF(AND(ISNUMBER(AG336),AG336&gt;T336),AS336,0),IF(AND(ISNUMBER(AH336),AH336&gt;T336),AT336,0),IF(AND(ISNUMBER(AI336),AI336&gt;T336),AU336,0),IF(AND(ISNUMBER(AJ336),AJ336&gt;T336),AV336,0))</f>
        <v/>
      </c>
      <c r="AX336" s="29">
        <f>IF(AN336=1,"transition",IF(MIN(IF(AND(I336=0,ISNUMBER(AK336),AK336&lt;=T336),AK336,9E15),IF(AND(J336=0,ISNUMBER(AL336),AL336&lt;=T336),AL336,9E15),IF(AND(K336=0,ISNUMBER(AM336),AM336&lt;=T336),AM336,9E15))&lt;9E15,IF(AND(AND(I336=0,ISNUMBER(AK336),AK336&lt;=T336),AK336=MIN(IF(AND(I336=0,ISNUMBER(AK336),AK336&lt;=T336),AK336,9E15),IF(AND(J336=0,ISNUMBER(AL336),AL336&lt;=T336),AL336,9E15),IF(AND(K336=0,ISNUMBER(AM336),AM336&lt;=T336),AM336,9E15))),"OR",IF(AND(AND(J336=0,ISNUMBER(AL336),AL336&lt;=T336),AL336=MIN(IF(AND(I336=0,ISNUMBER(AK336),AK336&lt;=T336),AK336,9E15),IF(AND(J336=0,ISNUMBER(AL336),AL336&lt;=T336),AL336,9E15),IF(AND(K336=0,ISNUMBER(AM336),AM336&lt;=T336),AM336,9E15))),"HP","FP")),IF(AR336=TRUE,"",IF(MAX(IF(AND(NOT(AND(AO336=1,AN336&lt;&gt;1)),ISNUMBER(AG336),AG336&lt;=T336),AS336,0),IF(AND(NOT(AND(AO336=1,AN336&lt;&gt;1)),ISNUMBER(AH336),AH336&lt;=T336),AT336,0),IF(AND(NOT(AND(AO336=1,AN336&lt;&gt;1)),ISNUMBER(AI336),AI336&lt;=T336),AU336,0),IF(AND(ISNUMBER(AJ336),AJ336&lt;=T336),AV336,0))&lt;=0,"",IF(AND(IF(AND(NOT(AND(AO336=1,AN336&lt;&gt;1)),ISNUMBER(AG336),AG336&lt;=T336),AS336,0)&gt;0,IF(AND(NOT(AND(AO336=1,AN336&lt;&gt;1)),ISNUMBER(AG336),AG336&lt;=T336),AS336,0)=MAX(IF(AND(NOT(AND(AO336=1,AN336&lt;&gt;1)),ISNUMBER(AG336),AG336&lt;=T336),AS336,0),IF(AND(NOT(AND(AO336=1,AN336&lt;&gt;1)),ISNUMBER(AH336),AH336&lt;=T336),AT336,0),IF(AND(NOT(AND(AO336=1,AN336&lt;&gt;1)),ISNUMBER(AI336),AI336&lt;=T336),AU336,0),IF(AND(ISNUMBER(AJ336),AJ336&lt;=T336),AV336,0))),"SW",IF(AND(IF(AND(NOT(AND(AO336=1,AN336&lt;&gt;1)),ISNUMBER(AH336),AH336&lt;=T336),AT336,0)&gt;0,IF(AND(NOT(AND(AO336=1,AN336&lt;&gt;1)),ISNUMBER(AH336),AH336&lt;=T336),AT336,0)=MAX(IF(AND(NOT(AND(AO336=1,AN336&lt;&gt;1)),ISNUMBER(AG336),AG336&lt;=T336),AS336,0),IF(AND(NOT(AND(AO336=1,AN336&lt;&gt;1)),ISNUMBER(AH336),AH336&lt;=T336),AT336,0),IF(AND(NOT(AND(AO336=1,AN336&lt;&gt;1)),ISNUMBER(AI336),AI336&lt;=T336),AU336,0),IF(AND(ISNUMBER(AJ336),AJ336&lt;=T336),AV336,0))),"AB",IF(AND(IF(AND(NOT(AND(AO336=1,AN336&lt;&gt;1)),ISNUMBER(AI336),AI336&lt;=T336),AU336,0)&gt;0,IF(AND(NOT(AND(AO336=1,AN336&lt;&gt;1)),ISNUMBER(AI336),AI336&lt;=T336),AU336,0)=MAX(IF(AND(NOT(AND(AO336=1,AN336&lt;&gt;1)),ISNUMBER(AG336),AG336&lt;=T336),AS336,0),IF(AND(NOT(AND(AO336=1,AN336&lt;&gt;1)),ISNUMBER(AH336),AH336&lt;=T336),AT336,0),IF(AND(NOT(AND(AO336=1,AN336&lt;&gt;1)),ISNUMBER(AI336),AI336&lt;=T336),AU336,0),IF(AND(ISNUMBER(AJ336),AJ336&lt;=T336),AV336,0))),"SC","Mag")))))))</f>
        <v/>
      </c>
    </row>
    <row r="337">
      <c r="A337" s="26" t="n">
        <v>332</v>
      </c>
      <c r="B337" s="27">
        <f>A337*10/60</f>
        <v/>
      </c>
      <c r="C337" s="22">
        <f>X336</f>
        <v/>
      </c>
      <c r="D337" s="27">
        <f>D336+W336</f>
        <v/>
      </c>
      <c r="E337" s="26">
        <f>E336+IF(U336="SW",1,0)</f>
        <v/>
      </c>
      <c r="F337" s="26">
        <f>F336+IF(U336="AB",1,0)</f>
        <v/>
      </c>
      <c r="G337" s="26">
        <f>G336+IF(U336="SC",1,0)</f>
        <v/>
      </c>
      <c r="H337" s="26">
        <f>H336+IF(U336="Mag",1,0)</f>
        <v/>
      </c>
      <c r="I337" s="26">
        <f>MAX(I336,IF(U336="OR",1,0))</f>
        <v/>
      </c>
      <c r="J337" s="26">
        <f>MAX(J336,IF(U336="HP",1,0))</f>
        <v/>
      </c>
      <c r="K337" s="26">
        <f>MAX(K336,IF(U336="FP",1,0))</f>
        <v/>
      </c>
      <c r="L337" s="26">
        <f>MAX(L336,IF(U336="transition",1,0))</f>
        <v/>
      </c>
      <c r="M337" s="28">
        <f>(Parameters!$B$9+(IF(E337=0,0,(Upgrades!$J$6+E337*Upgrades!$K$6)*POWER(Upgrades!$L$6,E337)))*(IF(Upgrades!$T$7="Solar Wind",POWER(Upgrades!$U$7,F337),1)*IF(Upgrades!$T$8="Solar Wind",POWER(Upgrades!$U$8,G337),1)*IF(Upgrades!$T$9="Solar Wind",POWER(Upgrades!$U$9,H337),1)*IF(Upgrades!$T$10="Solar Wind",POWER(Upgrades!$U$10,I337),1)*IF(Upgrades!$T$11="Solar Wind",POWER(Upgrades!$U$11,J337),1)*IF(Upgrades!$T$12="Solar Wind",POWER(Upgrades!$U$12,K337),1))+(IF(F337=0,0,(Upgrades!$J$7+F337*Upgrades!$K$7)*POWER(Upgrades!$L$7,F337)))*(IF(Upgrades!$T$6="Asteroid Belt",POWER(Upgrades!$U$6,E337),1)*IF(Upgrades!$T$8="Asteroid Belt",POWER(Upgrades!$U$8,G337),1)*IF(Upgrades!$T$9="Asteroid Belt",POWER(Upgrades!$U$9,H337),1)*IF(Upgrades!$T$10="Asteroid Belt",POWER(Upgrades!$U$10,I337),1)*IF(Upgrades!$T$11="Asteroid Belt",POWER(Upgrades!$U$11,J337),1)*IF(Upgrades!$T$12="Asteroid Belt",POWER(Upgrades!$U$12,K337),1))+(IF(G337=0,0,(Upgrades!$J$8+G337*Upgrades!$K$8)*POWER(Upgrades!$L$8,G337)))*(IF(Upgrades!$T$6="Stellar Coupling",POWER(Upgrades!$U$6,E337),1)*IF(Upgrades!$T$7="Stellar Coupling",POWER(Upgrades!$U$7,F337),1)*IF(Upgrades!$T$9="Stellar Coupling",POWER(Upgrades!$U$9,H337),1)*IF(Upgrades!$T$10="Stellar Coupling",POWER(Upgrades!$U$10,I337),1)*IF(Upgrades!$T$11="Stellar Coupling",POWER(Upgrades!$U$11,J337),1)*IF(Upgrades!$T$12="Stellar Coupling",POWER(Upgrades!$U$12,K337),1))+(IF(H337=0,0,(Upgrades!$J$9+H337*Upgrades!$K$9)*POWER(Upgrades!$L$9,H337)))*(IF(Upgrades!$T$6="Magnetosphere",POWER(Upgrades!$U$6,E337),1)*IF(Upgrades!$T$7="Magnetosphere",POWER(Upgrades!$U$7,F337),1)*IF(Upgrades!$T$8="Magnetosphere",POWER(Upgrades!$U$8,G337),1)*IF(Upgrades!$T$10="Magnetosphere",POWER(Upgrades!$U$10,I337),1)*IF(Upgrades!$T$11="Magnetosphere",POWER(Upgrades!$U$11,J337),1)*IF(Upgrades!$T$12="Magnetosphere",POWER(Upgrades!$U$12,K337),1))+(IF(I337=0,0,(Upgrades!$J$10+I337*Upgrades!$K$10)*POWER(Upgrades!$L$10,I337)))*(IF(Upgrades!$T$6="Orbital Resonance",POWER(Upgrades!$U$6,E337),1)*IF(Upgrades!$T$7="Orbital Resonance",POWER(Upgrades!$U$7,F337),1)*IF(Upgrades!$T$8="Orbital Resonance",POWER(Upgrades!$U$8,G337),1)*IF(Upgrades!$T$9="Orbital Resonance",POWER(Upgrades!$U$9,H337),1)*IF(Upgrades!$T$11="Orbital Resonance",POWER(Upgrades!$U$11,J337),1)*IF(Upgrades!$T$12="Orbital Resonance",POWER(Upgrades!$U$12,K337),1))+(IF(J337=0,0,(Upgrades!$J$11+J337*Upgrades!$K$11)*POWER(Upgrades!$L$11,J337)))*(IF(Upgrades!$T$6="Heliopause",POWER(Upgrades!$U$6,E337),1)*IF(Upgrades!$T$7="Heliopause",POWER(Upgrades!$U$7,F337),1)*IF(Upgrades!$T$8="Heliopause",POWER(Upgrades!$U$8,G337),1)*IF(Upgrades!$T$9="Heliopause",POWER(Upgrades!$U$9,H337),1)*IF(Upgrades!$T$10="Heliopause",POWER(Upgrades!$U$10,I337),1)*IF(Upgrades!$T$12="Heliopause",POWER(Upgrades!$U$12,K337),1))+(IF(K337=0,0,(Upgrades!$J$12+K337*Upgrades!$K$12)*POWER(Upgrades!$L$12,K337)))*(IF(Upgrades!$T$6="First Photons",POWER(Upgrades!$U$6,E337),1)*IF(Upgrades!$T$7="First Photons",POWER(Upgrades!$U$7,F337),1)*IF(Upgrades!$T$8="First Photons",POWER(Upgrades!$U$8,G337),1)*IF(Upgrades!$T$9="First Photons",POWER(Upgrades!$U$9,H337),1)*IF(Upgrades!$T$10="First Photons",POWER(Upgrades!$U$10,I337),1)*IF(Upgrades!$T$11="First Photons",POWER(Upgrades!$U$11,J337),1)))*POWER(Upgrades!$Q$6,E337)*POWER(Upgrades!$Q$7,F337)*POWER(Upgrades!$Q$8,G337)*POWER(Upgrades!$Q$9,H337)*POWER(Upgrades!$Q$10,I337)*POWER(Upgrades!$Q$11,J337)*POWER(Upgrades!$Q$12,K337)</f>
        <v/>
      </c>
      <c r="N337" s="28">
        <f>((IF(E337=0,0,(Upgrades!$G$6+E337*Upgrades!$H$6)*POWER(Upgrades!$I$6,E337)))*(IF(Upgrades!$T$7="Solar Wind",POWER(Upgrades!$U$7,F337),1)*IF(Upgrades!$T$8="Solar Wind",POWER(Upgrades!$U$8,G337),1)*IF(Upgrades!$T$9="Solar Wind",POWER(Upgrades!$U$9,H337),1)*IF(Upgrades!$T$10="Solar Wind",POWER(Upgrades!$U$10,I337),1)*IF(Upgrades!$T$11="Solar Wind",POWER(Upgrades!$U$11,J337),1)*IF(Upgrades!$T$12="Solar Wind",POWER(Upgrades!$U$12,K337),1))+(IF(F337=0,0,(Upgrades!$G$7+F337*Upgrades!$H$7)*POWER(Upgrades!$I$7,F337)))*(IF(Upgrades!$T$6="Asteroid Belt",POWER(Upgrades!$U$6,E337),1)*IF(Upgrades!$T$8="Asteroid Belt",POWER(Upgrades!$U$8,G337),1)*IF(Upgrades!$T$9="Asteroid Belt",POWER(Upgrades!$U$9,H337),1)*IF(Upgrades!$T$10="Asteroid Belt",POWER(Upgrades!$U$10,I337),1)*IF(Upgrades!$T$11="Asteroid Belt",POWER(Upgrades!$U$11,J337),1)*IF(Upgrades!$T$12="Asteroid Belt",POWER(Upgrades!$U$12,K337),1))+(IF(G337=0,0,(Upgrades!$G$8+G337*Upgrades!$H$8)*POWER(Upgrades!$I$8,G337)))*(IF(Upgrades!$T$6="Stellar Coupling",POWER(Upgrades!$U$6,E337),1)*IF(Upgrades!$T$7="Stellar Coupling",POWER(Upgrades!$U$7,F337),1)*IF(Upgrades!$T$9="Stellar Coupling",POWER(Upgrades!$U$9,H337),1)*IF(Upgrades!$T$10="Stellar Coupling",POWER(Upgrades!$U$10,I337),1)*IF(Upgrades!$T$11="Stellar Coupling",POWER(Upgrades!$U$11,J337),1)*IF(Upgrades!$T$12="Stellar Coupling",POWER(Upgrades!$U$12,K337),1))+(IF(H337=0,0,(Upgrades!$G$9+H337*Upgrades!$H$9)*POWER(Upgrades!$I$9,H337)))*(IF(Upgrades!$T$6="Magnetosphere",POWER(Upgrades!$U$6,E337),1)*IF(Upgrades!$T$7="Magnetosphere",POWER(Upgrades!$U$7,F337),1)*IF(Upgrades!$T$8="Magnetosphere",POWER(Upgrades!$U$8,G337),1)*IF(Upgrades!$T$10="Magnetosphere",POWER(Upgrades!$U$10,I337),1)*IF(Upgrades!$T$11="Magnetosphere",POWER(Upgrades!$U$11,J337),1)*IF(Upgrades!$T$12="Magnetosphere",POWER(Upgrades!$U$12,K337),1))+(IF(I337=0,0,(Upgrades!$G$10+I337*Upgrades!$H$10)*POWER(Upgrades!$I$10,I337)))*(IF(Upgrades!$T$6="Orbital Resonance",POWER(Upgrades!$U$6,E337),1)*IF(Upgrades!$T$7="Orbital Resonance",POWER(Upgrades!$U$7,F337),1)*IF(Upgrades!$T$8="Orbital Resonance",POWER(Upgrades!$U$8,G337),1)*IF(Upgrades!$T$9="Orbital Resonance",POWER(Upgrades!$U$9,H337),1)*IF(Upgrades!$T$11="Orbital Resonance",POWER(Upgrades!$U$11,J337),1)*IF(Upgrades!$T$12="Orbital Resonance",POWER(Upgrades!$U$12,K337),1))+(IF(J337=0,0,(Upgrades!$G$11+J337*Upgrades!$H$11)*POWER(Upgrades!$I$11,J337)))*(IF(Upgrades!$T$6="Heliopause",POWER(Upgrades!$U$6,E337),1)*IF(Upgrades!$T$7="Heliopause",POWER(Upgrades!$U$7,F337),1)*IF(Upgrades!$T$8="Heliopause",POWER(Upgrades!$U$8,G337),1)*IF(Upgrades!$T$9="Heliopause",POWER(Upgrades!$U$9,H337),1)*IF(Upgrades!$T$10="Heliopause",POWER(Upgrades!$U$10,I337),1)*IF(Upgrades!$T$12="Heliopause",POWER(Upgrades!$U$12,K337),1))+(IF(K337=0,0,(Upgrades!$G$12+K337*Upgrades!$H$12)*POWER(Upgrades!$I$12,K337)))*(IF(Upgrades!$T$6="First Photons",POWER(Upgrades!$U$6,E337),1)*IF(Upgrades!$T$7="First Photons",POWER(Upgrades!$U$7,F337),1)*IF(Upgrades!$T$8="First Photons",POWER(Upgrades!$U$8,G337),1)*IF(Upgrades!$T$9="First Photons",POWER(Upgrades!$U$9,H337),1)*IF(Upgrades!$T$10="First Photons",POWER(Upgrades!$U$10,I337),1)*IF(Upgrades!$T$11="First Photons",POWER(Upgrades!$U$11,J337),1)))*POWER(Upgrades!$P$6,E337)*POWER(Upgrades!$P$7,F337)*POWER(Upgrades!$P$8,G337)*POWER(Upgrades!$P$9,H337)*POWER(Upgrades!$P$10,I337)*POWER(Upgrades!$P$11,J337)*POWER(Upgrades!$P$12,K337)</f>
        <v/>
      </c>
      <c r="O337" s="28">
        <f>((IF(E337=0,0,(Upgrades!$M$6+E337*Upgrades!$N$6)*POWER(Upgrades!$O$6,E337)))*(IF(Upgrades!$T$7="Solar Wind",POWER(Upgrades!$U$7,F337),1)*IF(Upgrades!$T$8="Solar Wind",POWER(Upgrades!$U$8,G337),1)*IF(Upgrades!$T$9="Solar Wind",POWER(Upgrades!$U$9,H337),1)*IF(Upgrades!$T$10="Solar Wind",POWER(Upgrades!$U$10,I337),1)*IF(Upgrades!$T$11="Solar Wind",POWER(Upgrades!$U$11,J337),1)*IF(Upgrades!$T$12="Solar Wind",POWER(Upgrades!$U$12,K337),1))+(IF(F337=0,0,(Upgrades!$M$7+F337*Upgrades!$N$7)*POWER(Upgrades!$O$7,F337)))*(IF(Upgrades!$T$6="Asteroid Belt",POWER(Upgrades!$U$6,E337),1)*IF(Upgrades!$T$8="Asteroid Belt",POWER(Upgrades!$U$8,G337),1)*IF(Upgrades!$T$9="Asteroid Belt",POWER(Upgrades!$U$9,H337),1)*IF(Upgrades!$T$10="Asteroid Belt",POWER(Upgrades!$U$10,I337),1)*IF(Upgrades!$T$11="Asteroid Belt",POWER(Upgrades!$U$11,J337),1)*IF(Upgrades!$T$12="Asteroid Belt",POWER(Upgrades!$U$12,K337),1))+(IF(G337=0,0,(Upgrades!$M$8+G337*Upgrades!$N$8)*POWER(Upgrades!$O$8,G337)))*(IF(Upgrades!$T$6="Stellar Coupling",POWER(Upgrades!$U$6,E337),1)*IF(Upgrades!$T$7="Stellar Coupling",POWER(Upgrades!$U$7,F337),1)*IF(Upgrades!$T$9="Stellar Coupling",POWER(Upgrades!$U$9,H337),1)*IF(Upgrades!$T$10="Stellar Coupling",POWER(Upgrades!$U$10,I337),1)*IF(Upgrades!$T$11="Stellar Coupling",POWER(Upgrades!$U$11,J337),1)*IF(Upgrades!$T$12="Stellar Coupling",POWER(Upgrades!$U$12,K337),1))+(IF(H337=0,0,(Upgrades!$M$9+H337*Upgrades!$N$9)*POWER(Upgrades!$O$9,H337)))*(IF(Upgrades!$T$6="Magnetosphere",POWER(Upgrades!$U$6,E337),1)*IF(Upgrades!$T$7="Magnetosphere",POWER(Upgrades!$U$7,F337),1)*IF(Upgrades!$T$8="Magnetosphere",POWER(Upgrades!$U$8,G337),1)*IF(Upgrades!$T$10="Magnetosphere",POWER(Upgrades!$U$10,I337),1)*IF(Upgrades!$T$11="Magnetosphere",POWER(Upgrades!$U$11,J337),1)*IF(Upgrades!$T$12="Magnetosphere",POWER(Upgrades!$U$12,K337),1))+(IF(I337=0,0,(Upgrades!$M$10+I337*Upgrades!$N$10)*POWER(Upgrades!$O$10,I337)))*(IF(Upgrades!$T$6="Orbital Resonance",POWER(Upgrades!$U$6,E337),1)*IF(Upgrades!$T$7="Orbital Resonance",POWER(Upgrades!$U$7,F337),1)*IF(Upgrades!$T$8="Orbital Resonance",POWER(Upgrades!$U$8,G337),1)*IF(Upgrades!$T$9="Orbital Resonance",POWER(Upgrades!$U$9,H337),1)*IF(Upgrades!$T$11="Orbital Resonance",POWER(Upgrades!$U$11,J337),1)*IF(Upgrades!$T$12="Orbital Resonance",POWER(Upgrades!$U$12,K337),1))+(IF(J337=0,0,(Upgrades!$M$11+J337*Upgrades!$N$11)*POWER(Upgrades!$O$11,J337)))*(IF(Upgrades!$T$6="Heliopause",POWER(Upgrades!$U$6,E337),1)*IF(Upgrades!$T$7="Heliopause",POWER(Upgrades!$U$7,F337),1)*IF(Upgrades!$T$8="Heliopause",POWER(Upgrades!$U$8,G337),1)*IF(Upgrades!$T$9="Heliopause",POWER(Upgrades!$U$9,H337),1)*IF(Upgrades!$T$10="Heliopause",POWER(Upgrades!$U$10,I337),1)*IF(Upgrades!$T$12="Heliopause",POWER(Upgrades!$U$12,K337),1))+(IF(K337=0,0,(Upgrades!$M$12+K337*Upgrades!$N$12)*POWER(Upgrades!$O$12,K337)))*(IF(Upgrades!$T$6="First Photons",POWER(Upgrades!$U$6,E337),1)*IF(Upgrades!$T$7="First Photons",POWER(Upgrades!$U$7,F337),1)*IF(Upgrades!$T$8="First Photons",POWER(Upgrades!$U$8,G337),1)*IF(Upgrades!$T$9="First Photons",POWER(Upgrades!$U$9,H337),1)*IF(Upgrades!$T$10="First Photons",POWER(Upgrades!$U$10,I337),1)*IF(Upgrades!$T$11="First Photons",POWER(Upgrades!$U$11,J337),1)))*POWER(Upgrades!$R$6,E337)*POWER(Upgrades!$R$7,F337)*POWER(Upgrades!$R$8,G337)*POWER(Upgrades!$R$9,H337)*POWER(Upgrades!$R$10,I337)*POWER(Upgrades!$R$11,J337)*POWER(Upgrades!$R$12,K337)</f>
        <v/>
      </c>
      <c r="P337" s="27">
        <f>IF(L337=1,0,M337*Parameters!$B$10/60*Parameters!$B$11*10)</f>
        <v/>
      </c>
      <c r="Q337" s="27">
        <f>IF(L337=1,0,O337*M337*10)</f>
        <v/>
      </c>
      <c r="R337" s="27">
        <f>IF(L337=1,0,N337*10)</f>
        <v/>
      </c>
      <c r="S337" s="27">
        <f>P337+Q337+R337</f>
        <v/>
      </c>
      <c r="T337" s="22">
        <f>C337+S337</f>
        <v/>
      </c>
      <c r="U337" s="33">
        <f>AX337</f>
        <v/>
      </c>
      <c r="V337" s="22">
        <f>IF(U337="",0,IF(U337="transition",0,IF(U337="SW",AG337,IF(U337="AB",AH337,IF(U337="SC",AI337,IF(U337="Mag",AJ337,IF(U337="OR",AK337,IF(U337="HP",AL337,IF(U337="FP",AM337,0)))))))))</f>
        <v/>
      </c>
      <c r="W337" s="27">
        <f>IF(U337="OR",Upgrades!$F$10,IF(U337="HP",Upgrades!$F$11,IF(U337="transition",-Parameters!$B$18,0)))</f>
        <v/>
      </c>
      <c r="X337" s="22">
        <f>T337-V337</f>
        <v/>
      </c>
      <c r="Y337" s="30">
        <f>M337*Parameters!$B$10/60*Parameters!$B$11+O337*M337+N337</f>
        <v/>
      </c>
      <c r="Z337" s="34">
        <f>IF(U337="transition","→ Tier 2 (Stellar Neighborhood)",IF(U337="FP","First Photons — light begins, system quickens",IF(U337="HP","Heliopause acquired",IF(U337="OR","Orbital Resonance — passive multiplier active",IF(AND(AO337=1,L337=0,AN337&lt;&gt;1),"Cohesion ready (waiting on completionist upgrades)","")))))</f>
        <v/>
      </c>
      <c r="AA337" s="27">
        <f>(IF(E337=0,0,(Upgrades!$G$6+E337*Upgrades!$H$6)*POWER(Upgrades!$I$6,E337)))*(IF(Upgrades!$T$7="Solar Wind",POWER(Upgrades!$U$7,F337),1)*IF(Upgrades!$T$8="Solar Wind",POWER(Upgrades!$U$8,G337),1)*IF(Upgrades!$T$9="Solar Wind",POWER(Upgrades!$U$9,H337),1)*IF(Upgrades!$T$10="Solar Wind",POWER(Upgrades!$U$10,I337),1)*IF(Upgrades!$T$11="Solar Wind",POWER(Upgrades!$U$11,J337),1)*IF(Upgrades!$T$12="Solar Wind",POWER(Upgrades!$U$12,K337),1))*POWER(Upgrades!$P$6,E337)*POWER(Upgrades!$P$7,F337)*POWER(Upgrades!$P$8,G337)*POWER(Upgrades!$P$9,H337)*POWER(Upgrades!$P$10,I337)*POWER(Upgrades!$P$11,J337)*POWER(Upgrades!$P$12,K337)*60</f>
        <v/>
      </c>
      <c r="AB337" s="27">
        <f>(IF(F337=0,0,(Upgrades!$G$7+F337*Upgrades!$H$7)*POWER(Upgrades!$I$7,F337)))*(IF(Upgrades!$T$6="Asteroid Belt",POWER(Upgrades!$U$6,E337),1)*IF(Upgrades!$T$8="Asteroid Belt",POWER(Upgrades!$U$8,G337),1)*IF(Upgrades!$T$9="Asteroid Belt",POWER(Upgrades!$U$9,H337),1)*IF(Upgrades!$T$10="Asteroid Belt",POWER(Upgrades!$U$10,I337),1)*IF(Upgrades!$T$11="Asteroid Belt",POWER(Upgrades!$U$11,J337),1)*IF(Upgrades!$T$12="Asteroid Belt",POWER(Upgrades!$U$12,K337),1))*POWER(Upgrades!$P$6,E337)*POWER(Upgrades!$P$7,F337)*POWER(Upgrades!$P$8,G337)*POWER(Upgrades!$P$9,H337)*POWER(Upgrades!$P$10,I337)*POWER(Upgrades!$P$11,J337)*POWER(Upgrades!$P$12,K337)*60</f>
        <v/>
      </c>
      <c r="AC337" s="27">
        <f>(IF(G337=0,0,(Upgrades!$J$8+G337*Upgrades!$K$8)*POWER(Upgrades!$L$8,G337)))*(IF(Upgrades!$T$6="Stellar Coupling",POWER(Upgrades!$U$6,E337),1)*IF(Upgrades!$T$7="Stellar Coupling",POWER(Upgrades!$U$7,F337),1)*IF(Upgrades!$T$9="Stellar Coupling",POWER(Upgrades!$U$9,H337),1)*IF(Upgrades!$T$10="Stellar Coupling",POWER(Upgrades!$U$10,I337),1)*IF(Upgrades!$T$11="Stellar Coupling",POWER(Upgrades!$U$11,J337),1)*IF(Upgrades!$T$12="Stellar Coupling",POWER(Upgrades!$U$12,K337),1))*POWER(Upgrades!$Q$6,E337)*POWER(Upgrades!$Q$7,F337)*POWER(Upgrades!$Q$8,G337)*POWER(Upgrades!$Q$9,H337)*POWER(Upgrades!$Q$10,I337)*POWER(Upgrades!$Q$11,J337)*POWER(Upgrades!$Q$12,K337)*Parameters!$B$10*Parameters!$B$11</f>
        <v/>
      </c>
      <c r="AD337" s="27">
        <f>(IF(H337=0,0,(Upgrades!$G$9+H337*Upgrades!$H$9)*POWER(Upgrades!$I$9,H337)))*(IF(Upgrades!$T$6="Magnetosphere",POWER(Upgrades!$U$6,E337),1)*IF(Upgrades!$T$7="Magnetosphere",POWER(Upgrades!$U$7,F337),1)*IF(Upgrades!$T$8="Magnetosphere",POWER(Upgrades!$U$8,G337),1)*IF(Upgrades!$T$10="Magnetosphere",POWER(Upgrades!$U$10,I337),1)*IF(Upgrades!$T$11="Magnetosphere",POWER(Upgrades!$U$11,J337),1)*IF(Upgrades!$T$12="Magnetosphere",POWER(Upgrades!$U$12,K337),1))*POWER(Upgrades!$P$6,E337)*POWER(Upgrades!$P$7,F337)*POWER(Upgrades!$P$8,G337)*POWER(Upgrades!$P$9,H337)*POWER(Upgrades!$P$10,I337)*POWER(Upgrades!$P$11,J337)*POWER(Upgrades!$P$12,K337)*60</f>
        <v/>
      </c>
      <c r="AE337" s="27">
        <f>(IF(K337=0,0,(Upgrades!$G$12+K337*Upgrades!$H$12)*POWER(Upgrades!$I$12,K337)))*(IF(Upgrades!$T$6="First Photons",POWER(Upgrades!$U$6,E337),1)*IF(Upgrades!$T$7="First Photons",POWER(Upgrades!$U$7,F337),1)*IF(Upgrades!$T$8="First Photons",POWER(Upgrades!$U$8,G337),1)*IF(Upgrades!$T$9="First Photons",POWER(Upgrades!$U$9,H337),1)*IF(Upgrades!$T$10="First Photons",POWER(Upgrades!$U$10,I337),1)*IF(Upgrades!$T$11="First Photons",POWER(Upgrades!$U$11,J337),1))*POWER(Upgrades!$P$6,E337)*POWER(Upgrades!$P$7,F337)*POWER(Upgrades!$P$8,G337)*POWER(Upgrades!$P$9,H337)*POWER(Upgrades!$P$10,I337)*POWER(Upgrades!$P$11,J337)*POWER(Upgrades!$P$12,K337)*60</f>
        <v/>
      </c>
      <c r="AF337" s="27">
        <f>Parameters!$B$9*POWER(Upgrades!$Q$6,E337)*POWER(Upgrades!$Q$7,F337)*POWER(Upgrades!$Q$8,G337)*POWER(Upgrades!$Q$9,H337)*POWER(Upgrades!$Q$10,I337)*POWER(Upgrades!$Q$11,J337)*POWER(Upgrades!$Q$12,K337)*(Parameters!$B$10*Parameters!$B$11+O337*60)</f>
        <v/>
      </c>
      <c r="AG337" s="22">
        <f>IF(E337&gt;=Upgrades!$E$6,"",Upgrades!$C$6*POWER(Upgrades!$D$6,E337))</f>
        <v/>
      </c>
      <c r="AH337" s="22">
        <f>IF(F337&gt;=Upgrades!$E$7,"",Upgrades!$C$7*POWER(Upgrades!$D$7,F337))</f>
        <v/>
      </c>
      <c r="AI337" s="22">
        <f>IF(G337&gt;=Upgrades!$E$8,"",Upgrades!$C$8*POWER(Upgrades!$D$8,G337))</f>
        <v/>
      </c>
      <c r="AJ337" s="22">
        <f>IF(H337&gt;=Upgrades!$E$9,"",Upgrades!$C$9*POWER(Upgrades!$D$9,H337))</f>
        <v/>
      </c>
      <c r="AK337" s="22">
        <f>IF(I337&gt;=Upgrades!$E$10,"",Upgrades!$C$10*POWER(Upgrades!$D$10,I337))</f>
        <v/>
      </c>
      <c r="AL337" s="22">
        <f>IF(J337&gt;=Upgrades!$E$11,"",Upgrades!$C$11*POWER(Upgrades!$D$11,J337))</f>
        <v/>
      </c>
      <c r="AM337" s="22">
        <f>IF(K337&gt;=Upgrades!$E$12,"",Upgrades!$C$12*POWER(Upgrades!$D$12,K337))</f>
        <v/>
      </c>
      <c r="AN337" s="26">
        <f>IF(AND(D337&gt;=Parameters!$B$18,(H337&gt;=Upgrades!$E$9)*(K337&gt;=Upgrades!$E$12)=1,L337=0),1,"")</f>
        <v/>
      </c>
      <c r="AO337" s="26">
        <f>IF(AND(D337&gt;=Parameters!$B$18,L337=0),1,"")</f>
        <v/>
      </c>
      <c r="AP337" s="22">
        <f>MIN(IF(ISNUMBER(AK337),AK337,9E15),IF(ISNUMBER(AL337),AL337,9E15),IF(ISNUMBER(AM337),AM337,9E15))</f>
        <v/>
      </c>
      <c r="AQ337" s="22">
        <f>MIN(IF(ISNUMBER(AG337),AG337,9E15),IF(ISNUMBER(AH337),AH337,9E15),IF(ISNUMBER(AI337),AI337,9E15),IF(ISNUMBER(AJ337),AJ337,9E15))</f>
        <v/>
      </c>
      <c r="AR337" s="29">
        <f>IF(AW337&gt;Parameters!$B$21*(MAX(IF(AND(NOT(AND(AO337=1,AN337&lt;&gt;1)),ISNUMBER(AG337),AG337&lt;=T337),AS337,0),IF(AND(NOT(AND(AO337=1,AN337&lt;&gt;1)),ISNUMBER(AH337),AH337&lt;=T337),AT337,0),IF(AND(NOT(AND(AO337=1,AN337&lt;&gt;1)),ISNUMBER(AI337),AI337&lt;=T337),AU337,0),IF(AND(ISNUMBER(AJ337),AJ337&lt;=T337),AV337,0))),TRUE,FALSE)</f>
        <v/>
      </c>
      <c r="AS337" s="32">
        <f>IFERROR(Upgrades!$H$6*(POWER(Upgrades!$P$6,E337)*POWER(Upgrades!$P$7,F337)*POWER(Upgrades!$P$8,G337)*POWER(Upgrades!$P$9,H337)*POWER(Upgrades!$P$10,I337)*POWER(Upgrades!$P$11,J337)*POWER(Upgrades!$P$12,K337))*(IF(Upgrades!$T$7="Solar Wind",POWER(Upgrades!$U$7,F337),1)*IF(Upgrades!$T$8="Solar Wind",POWER(Upgrades!$U$8,G337),1)*IF(Upgrades!$T$9="Solar Wind",POWER(Upgrades!$U$9,H337),1)*IF(Upgrades!$T$10="Solar Wind",POWER(Upgrades!$U$10,I337),1)*IF(Upgrades!$T$11="Solar Wind",POWER(Upgrades!$U$11,J337),1)*IF(Upgrades!$T$12="Solar Wind",POWER(Upgrades!$U$12,K337),1))/AG337,0)</f>
        <v/>
      </c>
      <c r="AT337" s="32">
        <f>IFERROR(Upgrades!$H$7*(POWER(Upgrades!$P$6,E337)*POWER(Upgrades!$P$7,F337)*POWER(Upgrades!$P$8,G337)*POWER(Upgrades!$P$9,H337)*POWER(Upgrades!$P$10,I337)*POWER(Upgrades!$P$11,J337)*POWER(Upgrades!$P$12,K337))*(IF(Upgrades!$T$6="Asteroid Belt",POWER(Upgrades!$U$6,E337),1)*IF(Upgrades!$T$8="Asteroid Belt",POWER(Upgrades!$U$8,G337),1)*IF(Upgrades!$T$9="Asteroid Belt",POWER(Upgrades!$U$9,H337),1)*IF(Upgrades!$T$10="Asteroid Belt",POWER(Upgrades!$U$10,I337),1)*IF(Upgrades!$T$11="Asteroid Belt",POWER(Upgrades!$U$11,J337),1)*IF(Upgrades!$T$12="Asteroid Belt",POWER(Upgrades!$U$12,K337),1))/AH337,0)</f>
        <v/>
      </c>
      <c r="AU337" s="32">
        <f>IFERROR(Upgrades!$K$8*(POWER(Upgrades!$Q$6,E337)*POWER(Upgrades!$Q$7,F337)*POWER(Upgrades!$Q$8,G337)*POWER(Upgrades!$Q$9,H337)*POWER(Upgrades!$Q$10,I337)*POWER(Upgrades!$Q$11,J337)*POWER(Upgrades!$Q$12,K337))*(IF(Upgrades!$T$6="Stellar Coupling",POWER(Upgrades!$U$6,E337),1)*IF(Upgrades!$T$7="Stellar Coupling",POWER(Upgrades!$U$7,F337),1)*IF(Upgrades!$T$9="Stellar Coupling",POWER(Upgrades!$U$9,H337),1)*IF(Upgrades!$T$10="Stellar Coupling",POWER(Upgrades!$U$10,I337),1)*IF(Upgrades!$T$11="Stellar Coupling",POWER(Upgrades!$U$11,J337),1)*IF(Upgrades!$T$12="Stellar Coupling",POWER(Upgrades!$U$12,K337),1))*Parameters!$B$10*Parameters!$B$11/60/AI337,0)</f>
        <v/>
      </c>
      <c r="AV337" s="32">
        <f>IFERROR(Upgrades!$H$9*(POWER(Upgrades!$P$6,E337)*POWER(Upgrades!$P$7,F337)*POWER(Upgrades!$P$8,G337)*POWER(Upgrades!$P$9,H337)*POWER(Upgrades!$P$10,I337)*POWER(Upgrades!$P$11,J337)*POWER(Upgrades!$P$12,K337))*(IF(Upgrades!$T$6="Magnetosphere",POWER(Upgrades!$U$6,E337),1)*IF(Upgrades!$T$7="Magnetosphere",POWER(Upgrades!$U$7,F337),1)*IF(Upgrades!$T$8="Magnetosphere",POWER(Upgrades!$U$8,G337),1)*IF(Upgrades!$T$10="Magnetosphere",POWER(Upgrades!$U$10,I337),1)*IF(Upgrades!$T$11="Magnetosphere",POWER(Upgrades!$U$11,J337),1)*IF(Upgrades!$T$12="Magnetosphere",POWER(Upgrades!$U$12,K337),1))/AJ337,0)</f>
        <v/>
      </c>
      <c r="AW337" s="32">
        <f>MAX(IF(I337&gt;0,0,IFERROR(0.25*N337/Upgrades!$C$10,0)),IF(J337&gt;0,0,IFERROR(0.5*((IF(G337=0,0,(Upgrades!$J$8+G337*Upgrades!$K$8)*POWER(Upgrades!$L$8,G337)))*(IF(Upgrades!$T$6="Stellar Coupling",POWER(Upgrades!$U$6,E337),1)*IF(Upgrades!$T$7="Stellar Coupling",POWER(Upgrades!$U$7,F337),1)*IF(Upgrades!$T$9="Stellar Coupling",POWER(Upgrades!$U$9,H337),1)*IF(Upgrades!$T$10="Stellar Coupling",POWER(Upgrades!$U$10,I337),1)*IF(Upgrades!$T$11="Stellar Coupling",POWER(Upgrades!$U$11,J337),1)*IF(Upgrades!$T$12="Stellar Coupling",POWER(Upgrades!$U$12,K337),1))*(POWER(Upgrades!$Q$6,E337)*POWER(Upgrades!$Q$7,F337)*POWER(Upgrades!$Q$8,G337)*POWER(Upgrades!$Q$9,H337)*POWER(Upgrades!$Q$10,I337)*POWER(Upgrades!$Q$11,J337)*POWER(Upgrades!$Q$12,K337))*Parameters!$B$10*Parameters!$B$11/60)/Upgrades!$C$11,0)),IF(K337&gt;0,0,IFERROR((1.0*(POWER(Upgrades!$P$6,E337)*POWER(Upgrades!$P$7,F337)*POWER(Upgrades!$P$8,G337)*POWER(Upgrades!$P$9,H337)*POWER(Upgrades!$P$10,I337)*POWER(Upgrades!$P$11,J337)*POWER(Upgrades!$P$12,K337))+0.20*M337*Parameters!$B$10*Parameters!$B$11/60)/Upgrades!$C$12,0)),IF(AND(ISNUMBER(AG337),AG337&gt;T337),AS337,0),IF(AND(ISNUMBER(AH337),AH337&gt;T337),AT337,0),IF(AND(ISNUMBER(AI337),AI337&gt;T337),AU337,0),IF(AND(ISNUMBER(AJ337),AJ337&gt;T337),AV337,0))</f>
        <v/>
      </c>
      <c r="AX337" s="29">
        <f>IF(AN337=1,"transition",IF(MIN(IF(AND(I337=0,ISNUMBER(AK337),AK337&lt;=T337),AK337,9E15),IF(AND(J337=0,ISNUMBER(AL337),AL337&lt;=T337),AL337,9E15),IF(AND(K337=0,ISNUMBER(AM337),AM337&lt;=T337),AM337,9E15))&lt;9E15,IF(AND(AND(I337=0,ISNUMBER(AK337),AK337&lt;=T337),AK337=MIN(IF(AND(I337=0,ISNUMBER(AK337),AK337&lt;=T337),AK337,9E15),IF(AND(J337=0,ISNUMBER(AL337),AL337&lt;=T337),AL337,9E15),IF(AND(K337=0,ISNUMBER(AM337),AM337&lt;=T337),AM337,9E15))),"OR",IF(AND(AND(J337=0,ISNUMBER(AL337),AL337&lt;=T337),AL337=MIN(IF(AND(I337=0,ISNUMBER(AK337),AK337&lt;=T337),AK337,9E15),IF(AND(J337=0,ISNUMBER(AL337),AL337&lt;=T337),AL337,9E15),IF(AND(K337=0,ISNUMBER(AM337),AM337&lt;=T337),AM337,9E15))),"HP","FP")),IF(AR337=TRUE,"",IF(MAX(IF(AND(NOT(AND(AO337=1,AN337&lt;&gt;1)),ISNUMBER(AG337),AG337&lt;=T337),AS337,0),IF(AND(NOT(AND(AO337=1,AN337&lt;&gt;1)),ISNUMBER(AH337),AH337&lt;=T337),AT337,0),IF(AND(NOT(AND(AO337=1,AN337&lt;&gt;1)),ISNUMBER(AI337),AI337&lt;=T337),AU337,0),IF(AND(ISNUMBER(AJ337),AJ337&lt;=T337),AV337,0))&lt;=0,"",IF(AND(IF(AND(NOT(AND(AO337=1,AN337&lt;&gt;1)),ISNUMBER(AG337),AG337&lt;=T337),AS337,0)&gt;0,IF(AND(NOT(AND(AO337=1,AN337&lt;&gt;1)),ISNUMBER(AG337),AG337&lt;=T337),AS337,0)=MAX(IF(AND(NOT(AND(AO337=1,AN337&lt;&gt;1)),ISNUMBER(AG337),AG337&lt;=T337),AS337,0),IF(AND(NOT(AND(AO337=1,AN337&lt;&gt;1)),ISNUMBER(AH337),AH337&lt;=T337),AT337,0),IF(AND(NOT(AND(AO337=1,AN337&lt;&gt;1)),ISNUMBER(AI337),AI337&lt;=T337),AU337,0),IF(AND(ISNUMBER(AJ337),AJ337&lt;=T337),AV337,0))),"SW",IF(AND(IF(AND(NOT(AND(AO337=1,AN337&lt;&gt;1)),ISNUMBER(AH337),AH337&lt;=T337),AT337,0)&gt;0,IF(AND(NOT(AND(AO337=1,AN337&lt;&gt;1)),ISNUMBER(AH337),AH337&lt;=T337),AT337,0)=MAX(IF(AND(NOT(AND(AO337=1,AN337&lt;&gt;1)),ISNUMBER(AG337),AG337&lt;=T337),AS337,0),IF(AND(NOT(AND(AO337=1,AN337&lt;&gt;1)),ISNUMBER(AH337),AH337&lt;=T337),AT337,0),IF(AND(NOT(AND(AO337=1,AN337&lt;&gt;1)),ISNUMBER(AI337),AI337&lt;=T337),AU337,0),IF(AND(ISNUMBER(AJ337),AJ337&lt;=T337),AV337,0))),"AB",IF(AND(IF(AND(NOT(AND(AO337=1,AN337&lt;&gt;1)),ISNUMBER(AI337),AI337&lt;=T337),AU337,0)&gt;0,IF(AND(NOT(AND(AO337=1,AN337&lt;&gt;1)),ISNUMBER(AI337),AI337&lt;=T337),AU337,0)=MAX(IF(AND(NOT(AND(AO337=1,AN337&lt;&gt;1)),ISNUMBER(AG337),AG337&lt;=T337),AS337,0),IF(AND(NOT(AND(AO337=1,AN337&lt;&gt;1)),ISNUMBER(AH337),AH337&lt;=T337),AT337,0),IF(AND(NOT(AND(AO337=1,AN337&lt;&gt;1)),ISNUMBER(AI337),AI337&lt;=T337),AU337,0),IF(AND(ISNUMBER(AJ337),AJ337&lt;=T337),AV337,0))),"SC","Mag")))))))</f>
        <v/>
      </c>
    </row>
    <row r="338">
      <c r="A338" s="26" t="n">
        <v>333</v>
      </c>
      <c r="B338" s="27">
        <f>A338*10/60</f>
        <v/>
      </c>
      <c r="C338" s="22">
        <f>X337</f>
        <v/>
      </c>
      <c r="D338" s="27">
        <f>D337+W337</f>
        <v/>
      </c>
      <c r="E338" s="26">
        <f>E337+IF(U337="SW",1,0)</f>
        <v/>
      </c>
      <c r="F338" s="26">
        <f>F337+IF(U337="AB",1,0)</f>
        <v/>
      </c>
      <c r="G338" s="26">
        <f>G337+IF(U337="SC",1,0)</f>
        <v/>
      </c>
      <c r="H338" s="26">
        <f>H337+IF(U337="Mag",1,0)</f>
        <v/>
      </c>
      <c r="I338" s="26">
        <f>MAX(I337,IF(U337="OR",1,0))</f>
        <v/>
      </c>
      <c r="J338" s="26">
        <f>MAX(J337,IF(U337="HP",1,0))</f>
        <v/>
      </c>
      <c r="K338" s="26">
        <f>MAX(K337,IF(U337="FP",1,0))</f>
        <v/>
      </c>
      <c r="L338" s="26">
        <f>MAX(L337,IF(U337="transition",1,0))</f>
        <v/>
      </c>
      <c r="M338" s="28">
        <f>(Parameters!$B$9+(IF(E338=0,0,(Upgrades!$J$6+E338*Upgrades!$K$6)*POWER(Upgrades!$L$6,E338)))*(IF(Upgrades!$T$7="Solar Wind",POWER(Upgrades!$U$7,F338),1)*IF(Upgrades!$T$8="Solar Wind",POWER(Upgrades!$U$8,G338),1)*IF(Upgrades!$T$9="Solar Wind",POWER(Upgrades!$U$9,H338),1)*IF(Upgrades!$T$10="Solar Wind",POWER(Upgrades!$U$10,I338),1)*IF(Upgrades!$T$11="Solar Wind",POWER(Upgrades!$U$11,J338),1)*IF(Upgrades!$T$12="Solar Wind",POWER(Upgrades!$U$12,K338),1))+(IF(F338=0,0,(Upgrades!$J$7+F338*Upgrades!$K$7)*POWER(Upgrades!$L$7,F338)))*(IF(Upgrades!$T$6="Asteroid Belt",POWER(Upgrades!$U$6,E338),1)*IF(Upgrades!$T$8="Asteroid Belt",POWER(Upgrades!$U$8,G338),1)*IF(Upgrades!$T$9="Asteroid Belt",POWER(Upgrades!$U$9,H338),1)*IF(Upgrades!$T$10="Asteroid Belt",POWER(Upgrades!$U$10,I338),1)*IF(Upgrades!$T$11="Asteroid Belt",POWER(Upgrades!$U$11,J338),1)*IF(Upgrades!$T$12="Asteroid Belt",POWER(Upgrades!$U$12,K338),1))+(IF(G338=0,0,(Upgrades!$J$8+G338*Upgrades!$K$8)*POWER(Upgrades!$L$8,G338)))*(IF(Upgrades!$T$6="Stellar Coupling",POWER(Upgrades!$U$6,E338),1)*IF(Upgrades!$T$7="Stellar Coupling",POWER(Upgrades!$U$7,F338),1)*IF(Upgrades!$T$9="Stellar Coupling",POWER(Upgrades!$U$9,H338),1)*IF(Upgrades!$T$10="Stellar Coupling",POWER(Upgrades!$U$10,I338),1)*IF(Upgrades!$T$11="Stellar Coupling",POWER(Upgrades!$U$11,J338),1)*IF(Upgrades!$T$12="Stellar Coupling",POWER(Upgrades!$U$12,K338),1))+(IF(H338=0,0,(Upgrades!$J$9+H338*Upgrades!$K$9)*POWER(Upgrades!$L$9,H338)))*(IF(Upgrades!$T$6="Magnetosphere",POWER(Upgrades!$U$6,E338),1)*IF(Upgrades!$T$7="Magnetosphere",POWER(Upgrades!$U$7,F338),1)*IF(Upgrades!$T$8="Magnetosphere",POWER(Upgrades!$U$8,G338),1)*IF(Upgrades!$T$10="Magnetosphere",POWER(Upgrades!$U$10,I338),1)*IF(Upgrades!$T$11="Magnetosphere",POWER(Upgrades!$U$11,J338),1)*IF(Upgrades!$T$12="Magnetosphere",POWER(Upgrades!$U$12,K338),1))+(IF(I338=0,0,(Upgrades!$J$10+I338*Upgrades!$K$10)*POWER(Upgrades!$L$10,I338)))*(IF(Upgrades!$T$6="Orbital Resonance",POWER(Upgrades!$U$6,E338),1)*IF(Upgrades!$T$7="Orbital Resonance",POWER(Upgrades!$U$7,F338),1)*IF(Upgrades!$T$8="Orbital Resonance",POWER(Upgrades!$U$8,G338),1)*IF(Upgrades!$T$9="Orbital Resonance",POWER(Upgrades!$U$9,H338),1)*IF(Upgrades!$T$11="Orbital Resonance",POWER(Upgrades!$U$11,J338),1)*IF(Upgrades!$T$12="Orbital Resonance",POWER(Upgrades!$U$12,K338),1))+(IF(J338=0,0,(Upgrades!$J$11+J338*Upgrades!$K$11)*POWER(Upgrades!$L$11,J338)))*(IF(Upgrades!$T$6="Heliopause",POWER(Upgrades!$U$6,E338),1)*IF(Upgrades!$T$7="Heliopause",POWER(Upgrades!$U$7,F338),1)*IF(Upgrades!$T$8="Heliopause",POWER(Upgrades!$U$8,G338),1)*IF(Upgrades!$T$9="Heliopause",POWER(Upgrades!$U$9,H338),1)*IF(Upgrades!$T$10="Heliopause",POWER(Upgrades!$U$10,I338),1)*IF(Upgrades!$T$12="Heliopause",POWER(Upgrades!$U$12,K338),1))+(IF(K338=0,0,(Upgrades!$J$12+K338*Upgrades!$K$12)*POWER(Upgrades!$L$12,K338)))*(IF(Upgrades!$T$6="First Photons",POWER(Upgrades!$U$6,E338),1)*IF(Upgrades!$T$7="First Photons",POWER(Upgrades!$U$7,F338),1)*IF(Upgrades!$T$8="First Photons",POWER(Upgrades!$U$8,G338),1)*IF(Upgrades!$T$9="First Photons",POWER(Upgrades!$U$9,H338),1)*IF(Upgrades!$T$10="First Photons",POWER(Upgrades!$U$10,I338),1)*IF(Upgrades!$T$11="First Photons",POWER(Upgrades!$U$11,J338),1)))*POWER(Upgrades!$Q$6,E338)*POWER(Upgrades!$Q$7,F338)*POWER(Upgrades!$Q$8,G338)*POWER(Upgrades!$Q$9,H338)*POWER(Upgrades!$Q$10,I338)*POWER(Upgrades!$Q$11,J338)*POWER(Upgrades!$Q$12,K338)</f>
        <v/>
      </c>
      <c r="N338" s="28">
        <f>((IF(E338=0,0,(Upgrades!$G$6+E338*Upgrades!$H$6)*POWER(Upgrades!$I$6,E338)))*(IF(Upgrades!$T$7="Solar Wind",POWER(Upgrades!$U$7,F338),1)*IF(Upgrades!$T$8="Solar Wind",POWER(Upgrades!$U$8,G338),1)*IF(Upgrades!$T$9="Solar Wind",POWER(Upgrades!$U$9,H338),1)*IF(Upgrades!$T$10="Solar Wind",POWER(Upgrades!$U$10,I338),1)*IF(Upgrades!$T$11="Solar Wind",POWER(Upgrades!$U$11,J338),1)*IF(Upgrades!$T$12="Solar Wind",POWER(Upgrades!$U$12,K338),1))+(IF(F338=0,0,(Upgrades!$G$7+F338*Upgrades!$H$7)*POWER(Upgrades!$I$7,F338)))*(IF(Upgrades!$T$6="Asteroid Belt",POWER(Upgrades!$U$6,E338),1)*IF(Upgrades!$T$8="Asteroid Belt",POWER(Upgrades!$U$8,G338),1)*IF(Upgrades!$T$9="Asteroid Belt",POWER(Upgrades!$U$9,H338),1)*IF(Upgrades!$T$10="Asteroid Belt",POWER(Upgrades!$U$10,I338),1)*IF(Upgrades!$T$11="Asteroid Belt",POWER(Upgrades!$U$11,J338),1)*IF(Upgrades!$T$12="Asteroid Belt",POWER(Upgrades!$U$12,K338),1))+(IF(G338=0,0,(Upgrades!$G$8+G338*Upgrades!$H$8)*POWER(Upgrades!$I$8,G338)))*(IF(Upgrades!$T$6="Stellar Coupling",POWER(Upgrades!$U$6,E338),1)*IF(Upgrades!$T$7="Stellar Coupling",POWER(Upgrades!$U$7,F338),1)*IF(Upgrades!$T$9="Stellar Coupling",POWER(Upgrades!$U$9,H338),1)*IF(Upgrades!$T$10="Stellar Coupling",POWER(Upgrades!$U$10,I338),1)*IF(Upgrades!$T$11="Stellar Coupling",POWER(Upgrades!$U$11,J338),1)*IF(Upgrades!$T$12="Stellar Coupling",POWER(Upgrades!$U$12,K338),1))+(IF(H338=0,0,(Upgrades!$G$9+H338*Upgrades!$H$9)*POWER(Upgrades!$I$9,H338)))*(IF(Upgrades!$T$6="Magnetosphere",POWER(Upgrades!$U$6,E338),1)*IF(Upgrades!$T$7="Magnetosphere",POWER(Upgrades!$U$7,F338),1)*IF(Upgrades!$T$8="Magnetosphere",POWER(Upgrades!$U$8,G338),1)*IF(Upgrades!$T$10="Magnetosphere",POWER(Upgrades!$U$10,I338),1)*IF(Upgrades!$T$11="Magnetosphere",POWER(Upgrades!$U$11,J338),1)*IF(Upgrades!$T$12="Magnetosphere",POWER(Upgrades!$U$12,K338),1))+(IF(I338=0,0,(Upgrades!$G$10+I338*Upgrades!$H$10)*POWER(Upgrades!$I$10,I338)))*(IF(Upgrades!$T$6="Orbital Resonance",POWER(Upgrades!$U$6,E338),1)*IF(Upgrades!$T$7="Orbital Resonance",POWER(Upgrades!$U$7,F338),1)*IF(Upgrades!$T$8="Orbital Resonance",POWER(Upgrades!$U$8,G338),1)*IF(Upgrades!$T$9="Orbital Resonance",POWER(Upgrades!$U$9,H338),1)*IF(Upgrades!$T$11="Orbital Resonance",POWER(Upgrades!$U$11,J338),1)*IF(Upgrades!$T$12="Orbital Resonance",POWER(Upgrades!$U$12,K338),1))+(IF(J338=0,0,(Upgrades!$G$11+J338*Upgrades!$H$11)*POWER(Upgrades!$I$11,J338)))*(IF(Upgrades!$T$6="Heliopause",POWER(Upgrades!$U$6,E338),1)*IF(Upgrades!$T$7="Heliopause",POWER(Upgrades!$U$7,F338),1)*IF(Upgrades!$T$8="Heliopause",POWER(Upgrades!$U$8,G338),1)*IF(Upgrades!$T$9="Heliopause",POWER(Upgrades!$U$9,H338),1)*IF(Upgrades!$T$10="Heliopause",POWER(Upgrades!$U$10,I338),1)*IF(Upgrades!$T$12="Heliopause",POWER(Upgrades!$U$12,K338),1))+(IF(K338=0,0,(Upgrades!$G$12+K338*Upgrades!$H$12)*POWER(Upgrades!$I$12,K338)))*(IF(Upgrades!$T$6="First Photons",POWER(Upgrades!$U$6,E338),1)*IF(Upgrades!$T$7="First Photons",POWER(Upgrades!$U$7,F338),1)*IF(Upgrades!$T$8="First Photons",POWER(Upgrades!$U$8,G338),1)*IF(Upgrades!$T$9="First Photons",POWER(Upgrades!$U$9,H338),1)*IF(Upgrades!$T$10="First Photons",POWER(Upgrades!$U$10,I338),1)*IF(Upgrades!$T$11="First Photons",POWER(Upgrades!$U$11,J338),1)))*POWER(Upgrades!$P$6,E338)*POWER(Upgrades!$P$7,F338)*POWER(Upgrades!$P$8,G338)*POWER(Upgrades!$P$9,H338)*POWER(Upgrades!$P$10,I338)*POWER(Upgrades!$P$11,J338)*POWER(Upgrades!$P$12,K338)</f>
        <v/>
      </c>
      <c r="O338" s="28">
        <f>((IF(E338=0,0,(Upgrades!$M$6+E338*Upgrades!$N$6)*POWER(Upgrades!$O$6,E338)))*(IF(Upgrades!$T$7="Solar Wind",POWER(Upgrades!$U$7,F338),1)*IF(Upgrades!$T$8="Solar Wind",POWER(Upgrades!$U$8,G338),1)*IF(Upgrades!$T$9="Solar Wind",POWER(Upgrades!$U$9,H338),1)*IF(Upgrades!$T$10="Solar Wind",POWER(Upgrades!$U$10,I338),1)*IF(Upgrades!$T$11="Solar Wind",POWER(Upgrades!$U$11,J338),1)*IF(Upgrades!$T$12="Solar Wind",POWER(Upgrades!$U$12,K338),1))+(IF(F338=0,0,(Upgrades!$M$7+F338*Upgrades!$N$7)*POWER(Upgrades!$O$7,F338)))*(IF(Upgrades!$T$6="Asteroid Belt",POWER(Upgrades!$U$6,E338),1)*IF(Upgrades!$T$8="Asteroid Belt",POWER(Upgrades!$U$8,G338),1)*IF(Upgrades!$T$9="Asteroid Belt",POWER(Upgrades!$U$9,H338),1)*IF(Upgrades!$T$10="Asteroid Belt",POWER(Upgrades!$U$10,I338),1)*IF(Upgrades!$T$11="Asteroid Belt",POWER(Upgrades!$U$11,J338),1)*IF(Upgrades!$T$12="Asteroid Belt",POWER(Upgrades!$U$12,K338),1))+(IF(G338=0,0,(Upgrades!$M$8+G338*Upgrades!$N$8)*POWER(Upgrades!$O$8,G338)))*(IF(Upgrades!$T$6="Stellar Coupling",POWER(Upgrades!$U$6,E338),1)*IF(Upgrades!$T$7="Stellar Coupling",POWER(Upgrades!$U$7,F338),1)*IF(Upgrades!$T$9="Stellar Coupling",POWER(Upgrades!$U$9,H338),1)*IF(Upgrades!$T$10="Stellar Coupling",POWER(Upgrades!$U$10,I338),1)*IF(Upgrades!$T$11="Stellar Coupling",POWER(Upgrades!$U$11,J338),1)*IF(Upgrades!$T$12="Stellar Coupling",POWER(Upgrades!$U$12,K338),1))+(IF(H338=0,0,(Upgrades!$M$9+H338*Upgrades!$N$9)*POWER(Upgrades!$O$9,H338)))*(IF(Upgrades!$T$6="Magnetosphere",POWER(Upgrades!$U$6,E338),1)*IF(Upgrades!$T$7="Magnetosphere",POWER(Upgrades!$U$7,F338),1)*IF(Upgrades!$T$8="Magnetosphere",POWER(Upgrades!$U$8,G338),1)*IF(Upgrades!$T$10="Magnetosphere",POWER(Upgrades!$U$10,I338),1)*IF(Upgrades!$T$11="Magnetosphere",POWER(Upgrades!$U$11,J338),1)*IF(Upgrades!$T$12="Magnetosphere",POWER(Upgrades!$U$12,K338),1))+(IF(I338=0,0,(Upgrades!$M$10+I338*Upgrades!$N$10)*POWER(Upgrades!$O$10,I338)))*(IF(Upgrades!$T$6="Orbital Resonance",POWER(Upgrades!$U$6,E338),1)*IF(Upgrades!$T$7="Orbital Resonance",POWER(Upgrades!$U$7,F338),1)*IF(Upgrades!$T$8="Orbital Resonance",POWER(Upgrades!$U$8,G338),1)*IF(Upgrades!$T$9="Orbital Resonance",POWER(Upgrades!$U$9,H338),1)*IF(Upgrades!$T$11="Orbital Resonance",POWER(Upgrades!$U$11,J338),1)*IF(Upgrades!$T$12="Orbital Resonance",POWER(Upgrades!$U$12,K338),1))+(IF(J338=0,0,(Upgrades!$M$11+J338*Upgrades!$N$11)*POWER(Upgrades!$O$11,J338)))*(IF(Upgrades!$T$6="Heliopause",POWER(Upgrades!$U$6,E338),1)*IF(Upgrades!$T$7="Heliopause",POWER(Upgrades!$U$7,F338),1)*IF(Upgrades!$T$8="Heliopause",POWER(Upgrades!$U$8,G338),1)*IF(Upgrades!$T$9="Heliopause",POWER(Upgrades!$U$9,H338),1)*IF(Upgrades!$T$10="Heliopause",POWER(Upgrades!$U$10,I338),1)*IF(Upgrades!$T$12="Heliopause",POWER(Upgrades!$U$12,K338),1))+(IF(K338=0,0,(Upgrades!$M$12+K338*Upgrades!$N$12)*POWER(Upgrades!$O$12,K338)))*(IF(Upgrades!$T$6="First Photons",POWER(Upgrades!$U$6,E338),1)*IF(Upgrades!$T$7="First Photons",POWER(Upgrades!$U$7,F338),1)*IF(Upgrades!$T$8="First Photons",POWER(Upgrades!$U$8,G338),1)*IF(Upgrades!$T$9="First Photons",POWER(Upgrades!$U$9,H338),1)*IF(Upgrades!$T$10="First Photons",POWER(Upgrades!$U$10,I338),1)*IF(Upgrades!$T$11="First Photons",POWER(Upgrades!$U$11,J338),1)))*POWER(Upgrades!$R$6,E338)*POWER(Upgrades!$R$7,F338)*POWER(Upgrades!$R$8,G338)*POWER(Upgrades!$R$9,H338)*POWER(Upgrades!$R$10,I338)*POWER(Upgrades!$R$11,J338)*POWER(Upgrades!$R$12,K338)</f>
        <v/>
      </c>
      <c r="P338" s="27">
        <f>IF(L338=1,0,M338*Parameters!$B$10/60*Parameters!$B$11*10)</f>
        <v/>
      </c>
      <c r="Q338" s="27">
        <f>IF(L338=1,0,O338*M338*10)</f>
        <v/>
      </c>
      <c r="R338" s="27">
        <f>IF(L338=1,0,N338*10)</f>
        <v/>
      </c>
      <c r="S338" s="27">
        <f>P338+Q338+R338</f>
        <v/>
      </c>
      <c r="T338" s="22">
        <f>C338+S338</f>
        <v/>
      </c>
      <c r="U338" s="33">
        <f>AX338</f>
        <v/>
      </c>
      <c r="V338" s="22">
        <f>IF(U338="",0,IF(U338="transition",0,IF(U338="SW",AG338,IF(U338="AB",AH338,IF(U338="SC",AI338,IF(U338="Mag",AJ338,IF(U338="OR",AK338,IF(U338="HP",AL338,IF(U338="FP",AM338,0)))))))))</f>
        <v/>
      </c>
      <c r="W338" s="27">
        <f>IF(U338="OR",Upgrades!$F$10,IF(U338="HP",Upgrades!$F$11,IF(U338="transition",-Parameters!$B$18,0)))</f>
        <v/>
      </c>
      <c r="X338" s="22">
        <f>T338-V338</f>
        <v/>
      </c>
      <c r="Y338" s="30">
        <f>M338*Parameters!$B$10/60*Parameters!$B$11+O338*M338+N338</f>
        <v/>
      </c>
      <c r="Z338" s="34">
        <f>IF(U338="transition","→ Tier 2 (Stellar Neighborhood)",IF(U338="FP","First Photons — light begins, system quickens",IF(U338="HP","Heliopause acquired",IF(U338="OR","Orbital Resonance — passive multiplier active",IF(AND(AO338=1,L338=0,AN338&lt;&gt;1),"Cohesion ready (waiting on completionist upgrades)","")))))</f>
        <v/>
      </c>
      <c r="AA338" s="27">
        <f>(IF(E338=0,0,(Upgrades!$G$6+E338*Upgrades!$H$6)*POWER(Upgrades!$I$6,E338)))*(IF(Upgrades!$T$7="Solar Wind",POWER(Upgrades!$U$7,F338),1)*IF(Upgrades!$T$8="Solar Wind",POWER(Upgrades!$U$8,G338),1)*IF(Upgrades!$T$9="Solar Wind",POWER(Upgrades!$U$9,H338),1)*IF(Upgrades!$T$10="Solar Wind",POWER(Upgrades!$U$10,I338),1)*IF(Upgrades!$T$11="Solar Wind",POWER(Upgrades!$U$11,J338),1)*IF(Upgrades!$T$12="Solar Wind",POWER(Upgrades!$U$12,K338),1))*POWER(Upgrades!$P$6,E338)*POWER(Upgrades!$P$7,F338)*POWER(Upgrades!$P$8,G338)*POWER(Upgrades!$P$9,H338)*POWER(Upgrades!$P$10,I338)*POWER(Upgrades!$P$11,J338)*POWER(Upgrades!$P$12,K338)*60</f>
        <v/>
      </c>
      <c r="AB338" s="27">
        <f>(IF(F338=0,0,(Upgrades!$G$7+F338*Upgrades!$H$7)*POWER(Upgrades!$I$7,F338)))*(IF(Upgrades!$T$6="Asteroid Belt",POWER(Upgrades!$U$6,E338),1)*IF(Upgrades!$T$8="Asteroid Belt",POWER(Upgrades!$U$8,G338),1)*IF(Upgrades!$T$9="Asteroid Belt",POWER(Upgrades!$U$9,H338),1)*IF(Upgrades!$T$10="Asteroid Belt",POWER(Upgrades!$U$10,I338),1)*IF(Upgrades!$T$11="Asteroid Belt",POWER(Upgrades!$U$11,J338),1)*IF(Upgrades!$T$12="Asteroid Belt",POWER(Upgrades!$U$12,K338),1))*POWER(Upgrades!$P$6,E338)*POWER(Upgrades!$P$7,F338)*POWER(Upgrades!$P$8,G338)*POWER(Upgrades!$P$9,H338)*POWER(Upgrades!$P$10,I338)*POWER(Upgrades!$P$11,J338)*POWER(Upgrades!$P$12,K338)*60</f>
        <v/>
      </c>
      <c r="AC338" s="27">
        <f>(IF(G338=0,0,(Upgrades!$J$8+G338*Upgrades!$K$8)*POWER(Upgrades!$L$8,G338)))*(IF(Upgrades!$T$6="Stellar Coupling",POWER(Upgrades!$U$6,E338),1)*IF(Upgrades!$T$7="Stellar Coupling",POWER(Upgrades!$U$7,F338),1)*IF(Upgrades!$T$9="Stellar Coupling",POWER(Upgrades!$U$9,H338),1)*IF(Upgrades!$T$10="Stellar Coupling",POWER(Upgrades!$U$10,I338),1)*IF(Upgrades!$T$11="Stellar Coupling",POWER(Upgrades!$U$11,J338),1)*IF(Upgrades!$T$12="Stellar Coupling",POWER(Upgrades!$U$12,K338),1))*POWER(Upgrades!$Q$6,E338)*POWER(Upgrades!$Q$7,F338)*POWER(Upgrades!$Q$8,G338)*POWER(Upgrades!$Q$9,H338)*POWER(Upgrades!$Q$10,I338)*POWER(Upgrades!$Q$11,J338)*POWER(Upgrades!$Q$12,K338)*Parameters!$B$10*Parameters!$B$11</f>
        <v/>
      </c>
      <c r="AD338" s="27">
        <f>(IF(H338=0,0,(Upgrades!$G$9+H338*Upgrades!$H$9)*POWER(Upgrades!$I$9,H338)))*(IF(Upgrades!$T$6="Magnetosphere",POWER(Upgrades!$U$6,E338),1)*IF(Upgrades!$T$7="Magnetosphere",POWER(Upgrades!$U$7,F338),1)*IF(Upgrades!$T$8="Magnetosphere",POWER(Upgrades!$U$8,G338),1)*IF(Upgrades!$T$10="Magnetosphere",POWER(Upgrades!$U$10,I338),1)*IF(Upgrades!$T$11="Magnetosphere",POWER(Upgrades!$U$11,J338),1)*IF(Upgrades!$T$12="Magnetosphere",POWER(Upgrades!$U$12,K338),1))*POWER(Upgrades!$P$6,E338)*POWER(Upgrades!$P$7,F338)*POWER(Upgrades!$P$8,G338)*POWER(Upgrades!$P$9,H338)*POWER(Upgrades!$P$10,I338)*POWER(Upgrades!$P$11,J338)*POWER(Upgrades!$P$12,K338)*60</f>
        <v/>
      </c>
      <c r="AE338" s="27">
        <f>(IF(K338=0,0,(Upgrades!$G$12+K338*Upgrades!$H$12)*POWER(Upgrades!$I$12,K338)))*(IF(Upgrades!$T$6="First Photons",POWER(Upgrades!$U$6,E338),1)*IF(Upgrades!$T$7="First Photons",POWER(Upgrades!$U$7,F338),1)*IF(Upgrades!$T$8="First Photons",POWER(Upgrades!$U$8,G338),1)*IF(Upgrades!$T$9="First Photons",POWER(Upgrades!$U$9,H338),1)*IF(Upgrades!$T$10="First Photons",POWER(Upgrades!$U$10,I338),1)*IF(Upgrades!$T$11="First Photons",POWER(Upgrades!$U$11,J338),1))*POWER(Upgrades!$P$6,E338)*POWER(Upgrades!$P$7,F338)*POWER(Upgrades!$P$8,G338)*POWER(Upgrades!$P$9,H338)*POWER(Upgrades!$P$10,I338)*POWER(Upgrades!$P$11,J338)*POWER(Upgrades!$P$12,K338)*60</f>
        <v/>
      </c>
      <c r="AF338" s="27">
        <f>Parameters!$B$9*POWER(Upgrades!$Q$6,E338)*POWER(Upgrades!$Q$7,F338)*POWER(Upgrades!$Q$8,G338)*POWER(Upgrades!$Q$9,H338)*POWER(Upgrades!$Q$10,I338)*POWER(Upgrades!$Q$11,J338)*POWER(Upgrades!$Q$12,K338)*(Parameters!$B$10*Parameters!$B$11+O338*60)</f>
        <v/>
      </c>
      <c r="AG338" s="22">
        <f>IF(E338&gt;=Upgrades!$E$6,"",Upgrades!$C$6*POWER(Upgrades!$D$6,E338))</f>
        <v/>
      </c>
      <c r="AH338" s="22">
        <f>IF(F338&gt;=Upgrades!$E$7,"",Upgrades!$C$7*POWER(Upgrades!$D$7,F338))</f>
        <v/>
      </c>
      <c r="AI338" s="22">
        <f>IF(G338&gt;=Upgrades!$E$8,"",Upgrades!$C$8*POWER(Upgrades!$D$8,G338))</f>
        <v/>
      </c>
      <c r="AJ338" s="22">
        <f>IF(H338&gt;=Upgrades!$E$9,"",Upgrades!$C$9*POWER(Upgrades!$D$9,H338))</f>
        <v/>
      </c>
      <c r="AK338" s="22">
        <f>IF(I338&gt;=Upgrades!$E$10,"",Upgrades!$C$10*POWER(Upgrades!$D$10,I338))</f>
        <v/>
      </c>
      <c r="AL338" s="22">
        <f>IF(J338&gt;=Upgrades!$E$11,"",Upgrades!$C$11*POWER(Upgrades!$D$11,J338))</f>
        <v/>
      </c>
      <c r="AM338" s="22">
        <f>IF(K338&gt;=Upgrades!$E$12,"",Upgrades!$C$12*POWER(Upgrades!$D$12,K338))</f>
        <v/>
      </c>
      <c r="AN338" s="26">
        <f>IF(AND(D338&gt;=Parameters!$B$18,(H338&gt;=Upgrades!$E$9)*(K338&gt;=Upgrades!$E$12)=1,L338=0),1,"")</f>
        <v/>
      </c>
      <c r="AO338" s="26">
        <f>IF(AND(D338&gt;=Parameters!$B$18,L338=0),1,"")</f>
        <v/>
      </c>
      <c r="AP338" s="22">
        <f>MIN(IF(ISNUMBER(AK338),AK338,9E15),IF(ISNUMBER(AL338),AL338,9E15),IF(ISNUMBER(AM338),AM338,9E15))</f>
        <v/>
      </c>
      <c r="AQ338" s="22">
        <f>MIN(IF(ISNUMBER(AG338),AG338,9E15),IF(ISNUMBER(AH338),AH338,9E15),IF(ISNUMBER(AI338),AI338,9E15),IF(ISNUMBER(AJ338),AJ338,9E15))</f>
        <v/>
      </c>
      <c r="AR338" s="29">
        <f>IF(AW338&gt;Parameters!$B$21*(MAX(IF(AND(NOT(AND(AO338=1,AN338&lt;&gt;1)),ISNUMBER(AG338),AG338&lt;=T338),AS338,0),IF(AND(NOT(AND(AO338=1,AN338&lt;&gt;1)),ISNUMBER(AH338),AH338&lt;=T338),AT338,0),IF(AND(NOT(AND(AO338=1,AN338&lt;&gt;1)),ISNUMBER(AI338),AI338&lt;=T338),AU338,0),IF(AND(ISNUMBER(AJ338),AJ338&lt;=T338),AV338,0))),TRUE,FALSE)</f>
        <v/>
      </c>
      <c r="AS338" s="32">
        <f>IFERROR(Upgrades!$H$6*(POWER(Upgrades!$P$6,E338)*POWER(Upgrades!$P$7,F338)*POWER(Upgrades!$P$8,G338)*POWER(Upgrades!$P$9,H338)*POWER(Upgrades!$P$10,I338)*POWER(Upgrades!$P$11,J338)*POWER(Upgrades!$P$12,K338))*(IF(Upgrades!$T$7="Solar Wind",POWER(Upgrades!$U$7,F338),1)*IF(Upgrades!$T$8="Solar Wind",POWER(Upgrades!$U$8,G338),1)*IF(Upgrades!$T$9="Solar Wind",POWER(Upgrades!$U$9,H338),1)*IF(Upgrades!$T$10="Solar Wind",POWER(Upgrades!$U$10,I338),1)*IF(Upgrades!$T$11="Solar Wind",POWER(Upgrades!$U$11,J338),1)*IF(Upgrades!$T$12="Solar Wind",POWER(Upgrades!$U$12,K338),1))/AG338,0)</f>
        <v/>
      </c>
      <c r="AT338" s="32">
        <f>IFERROR(Upgrades!$H$7*(POWER(Upgrades!$P$6,E338)*POWER(Upgrades!$P$7,F338)*POWER(Upgrades!$P$8,G338)*POWER(Upgrades!$P$9,H338)*POWER(Upgrades!$P$10,I338)*POWER(Upgrades!$P$11,J338)*POWER(Upgrades!$P$12,K338))*(IF(Upgrades!$T$6="Asteroid Belt",POWER(Upgrades!$U$6,E338),1)*IF(Upgrades!$T$8="Asteroid Belt",POWER(Upgrades!$U$8,G338),1)*IF(Upgrades!$T$9="Asteroid Belt",POWER(Upgrades!$U$9,H338),1)*IF(Upgrades!$T$10="Asteroid Belt",POWER(Upgrades!$U$10,I338),1)*IF(Upgrades!$T$11="Asteroid Belt",POWER(Upgrades!$U$11,J338),1)*IF(Upgrades!$T$12="Asteroid Belt",POWER(Upgrades!$U$12,K338),1))/AH338,0)</f>
        <v/>
      </c>
      <c r="AU338" s="32">
        <f>IFERROR(Upgrades!$K$8*(POWER(Upgrades!$Q$6,E338)*POWER(Upgrades!$Q$7,F338)*POWER(Upgrades!$Q$8,G338)*POWER(Upgrades!$Q$9,H338)*POWER(Upgrades!$Q$10,I338)*POWER(Upgrades!$Q$11,J338)*POWER(Upgrades!$Q$12,K338))*(IF(Upgrades!$T$6="Stellar Coupling",POWER(Upgrades!$U$6,E338),1)*IF(Upgrades!$T$7="Stellar Coupling",POWER(Upgrades!$U$7,F338),1)*IF(Upgrades!$T$9="Stellar Coupling",POWER(Upgrades!$U$9,H338),1)*IF(Upgrades!$T$10="Stellar Coupling",POWER(Upgrades!$U$10,I338),1)*IF(Upgrades!$T$11="Stellar Coupling",POWER(Upgrades!$U$11,J338),1)*IF(Upgrades!$T$12="Stellar Coupling",POWER(Upgrades!$U$12,K338),1))*Parameters!$B$10*Parameters!$B$11/60/AI338,0)</f>
        <v/>
      </c>
      <c r="AV338" s="32">
        <f>IFERROR(Upgrades!$H$9*(POWER(Upgrades!$P$6,E338)*POWER(Upgrades!$P$7,F338)*POWER(Upgrades!$P$8,G338)*POWER(Upgrades!$P$9,H338)*POWER(Upgrades!$P$10,I338)*POWER(Upgrades!$P$11,J338)*POWER(Upgrades!$P$12,K338))*(IF(Upgrades!$T$6="Magnetosphere",POWER(Upgrades!$U$6,E338),1)*IF(Upgrades!$T$7="Magnetosphere",POWER(Upgrades!$U$7,F338),1)*IF(Upgrades!$T$8="Magnetosphere",POWER(Upgrades!$U$8,G338),1)*IF(Upgrades!$T$10="Magnetosphere",POWER(Upgrades!$U$10,I338),1)*IF(Upgrades!$T$11="Magnetosphere",POWER(Upgrades!$U$11,J338),1)*IF(Upgrades!$T$12="Magnetosphere",POWER(Upgrades!$U$12,K338),1))/AJ338,0)</f>
        <v/>
      </c>
      <c r="AW338" s="32">
        <f>MAX(IF(I338&gt;0,0,IFERROR(0.25*N338/Upgrades!$C$10,0)),IF(J338&gt;0,0,IFERROR(0.5*((IF(G338=0,0,(Upgrades!$J$8+G338*Upgrades!$K$8)*POWER(Upgrades!$L$8,G338)))*(IF(Upgrades!$T$6="Stellar Coupling",POWER(Upgrades!$U$6,E338),1)*IF(Upgrades!$T$7="Stellar Coupling",POWER(Upgrades!$U$7,F338),1)*IF(Upgrades!$T$9="Stellar Coupling",POWER(Upgrades!$U$9,H338),1)*IF(Upgrades!$T$10="Stellar Coupling",POWER(Upgrades!$U$10,I338),1)*IF(Upgrades!$T$11="Stellar Coupling",POWER(Upgrades!$U$11,J338),1)*IF(Upgrades!$T$12="Stellar Coupling",POWER(Upgrades!$U$12,K338),1))*(POWER(Upgrades!$Q$6,E338)*POWER(Upgrades!$Q$7,F338)*POWER(Upgrades!$Q$8,G338)*POWER(Upgrades!$Q$9,H338)*POWER(Upgrades!$Q$10,I338)*POWER(Upgrades!$Q$11,J338)*POWER(Upgrades!$Q$12,K338))*Parameters!$B$10*Parameters!$B$11/60)/Upgrades!$C$11,0)),IF(K338&gt;0,0,IFERROR((1.0*(POWER(Upgrades!$P$6,E338)*POWER(Upgrades!$P$7,F338)*POWER(Upgrades!$P$8,G338)*POWER(Upgrades!$P$9,H338)*POWER(Upgrades!$P$10,I338)*POWER(Upgrades!$P$11,J338)*POWER(Upgrades!$P$12,K338))+0.20*M338*Parameters!$B$10*Parameters!$B$11/60)/Upgrades!$C$12,0)),IF(AND(ISNUMBER(AG338),AG338&gt;T338),AS338,0),IF(AND(ISNUMBER(AH338),AH338&gt;T338),AT338,0),IF(AND(ISNUMBER(AI338),AI338&gt;T338),AU338,0),IF(AND(ISNUMBER(AJ338),AJ338&gt;T338),AV338,0))</f>
        <v/>
      </c>
      <c r="AX338" s="29">
        <f>IF(AN338=1,"transition",IF(MIN(IF(AND(I338=0,ISNUMBER(AK338),AK338&lt;=T338),AK338,9E15),IF(AND(J338=0,ISNUMBER(AL338),AL338&lt;=T338),AL338,9E15),IF(AND(K338=0,ISNUMBER(AM338),AM338&lt;=T338),AM338,9E15))&lt;9E15,IF(AND(AND(I338=0,ISNUMBER(AK338),AK338&lt;=T338),AK338=MIN(IF(AND(I338=0,ISNUMBER(AK338),AK338&lt;=T338),AK338,9E15),IF(AND(J338=0,ISNUMBER(AL338),AL338&lt;=T338),AL338,9E15),IF(AND(K338=0,ISNUMBER(AM338),AM338&lt;=T338),AM338,9E15))),"OR",IF(AND(AND(J338=0,ISNUMBER(AL338),AL338&lt;=T338),AL338=MIN(IF(AND(I338=0,ISNUMBER(AK338),AK338&lt;=T338),AK338,9E15),IF(AND(J338=0,ISNUMBER(AL338),AL338&lt;=T338),AL338,9E15),IF(AND(K338=0,ISNUMBER(AM338),AM338&lt;=T338),AM338,9E15))),"HP","FP")),IF(AR338=TRUE,"",IF(MAX(IF(AND(NOT(AND(AO338=1,AN338&lt;&gt;1)),ISNUMBER(AG338),AG338&lt;=T338),AS338,0),IF(AND(NOT(AND(AO338=1,AN338&lt;&gt;1)),ISNUMBER(AH338),AH338&lt;=T338),AT338,0),IF(AND(NOT(AND(AO338=1,AN338&lt;&gt;1)),ISNUMBER(AI338),AI338&lt;=T338),AU338,0),IF(AND(ISNUMBER(AJ338),AJ338&lt;=T338),AV338,0))&lt;=0,"",IF(AND(IF(AND(NOT(AND(AO338=1,AN338&lt;&gt;1)),ISNUMBER(AG338),AG338&lt;=T338),AS338,0)&gt;0,IF(AND(NOT(AND(AO338=1,AN338&lt;&gt;1)),ISNUMBER(AG338),AG338&lt;=T338),AS338,0)=MAX(IF(AND(NOT(AND(AO338=1,AN338&lt;&gt;1)),ISNUMBER(AG338),AG338&lt;=T338),AS338,0),IF(AND(NOT(AND(AO338=1,AN338&lt;&gt;1)),ISNUMBER(AH338),AH338&lt;=T338),AT338,0),IF(AND(NOT(AND(AO338=1,AN338&lt;&gt;1)),ISNUMBER(AI338),AI338&lt;=T338),AU338,0),IF(AND(ISNUMBER(AJ338),AJ338&lt;=T338),AV338,0))),"SW",IF(AND(IF(AND(NOT(AND(AO338=1,AN338&lt;&gt;1)),ISNUMBER(AH338),AH338&lt;=T338),AT338,0)&gt;0,IF(AND(NOT(AND(AO338=1,AN338&lt;&gt;1)),ISNUMBER(AH338),AH338&lt;=T338),AT338,0)=MAX(IF(AND(NOT(AND(AO338=1,AN338&lt;&gt;1)),ISNUMBER(AG338),AG338&lt;=T338),AS338,0),IF(AND(NOT(AND(AO338=1,AN338&lt;&gt;1)),ISNUMBER(AH338),AH338&lt;=T338),AT338,0),IF(AND(NOT(AND(AO338=1,AN338&lt;&gt;1)),ISNUMBER(AI338),AI338&lt;=T338),AU338,0),IF(AND(ISNUMBER(AJ338),AJ338&lt;=T338),AV338,0))),"AB",IF(AND(IF(AND(NOT(AND(AO338=1,AN338&lt;&gt;1)),ISNUMBER(AI338),AI338&lt;=T338),AU338,0)&gt;0,IF(AND(NOT(AND(AO338=1,AN338&lt;&gt;1)),ISNUMBER(AI338),AI338&lt;=T338),AU338,0)=MAX(IF(AND(NOT(AND(AO338=1,AN338&lt;&gt;1)),ISNUMBER(AG338),AG338&lt;=T338),AS338,0),IF(AND(NOT(AND(AO338=1,AN338&lt;&gt;1)),ISNUMBER(AH338),AH338&lt;=T338),AT338,0),IF(AND(NOT(AND(AO338=1,AN338&lt;&gt;1)),ISNUMBER(AI338),AI338&lt;=T338),AU338,0),IF(AND(ISNUMBER(AJ338),AJ338&lt;=T338),AV338,0))),"SC","Mag")))))))</f>
        <v/>
      </c>
    </row>
    <row r="339">
      <c r="A339" s="26" t="n">
        <v>334</v>
      </c>
      <c r="B339" s="27">
        <f>A339*10/60</f>
        <v/>
      </c>
      <c r="C339" s="22">
        <f>X338</f>
        <v/>
      </c>
      <c r="D339" s="27">
        <f>D338+W338</f>
        <v/>
      </c>
      <c r="E339" s="26">
        <f>E338+IF(U338="SW",1,0)</f>
        <v/>
      </c>
      <c r="F339" s="26">
        <f>F338+IF(U338="AB",1,0)</f>
        <v/>
      </c>
      <c r="G339" s="26">
        <f>G338+IF(U338="SC",1,0)</f>
        <v/>
      </c>
      <c r="H339" s="26">
        <f>H338+IF(U338="Mag",1,0)</f>
        <v/>
      </c>
      <c r="I339" s="26">
        <f>MAX(I338,IF(U338="OR",1,0))</f>
        <v/>
      </c>
      <c r="J339" s="26">
        <f>MAX(J338,IF(U338="HP",1,0))</f>
        <v/>
      </c>
      <c r="K339" s="26">
        <f>MAX(K338,IF(U338="FP",1,0))</f>
        <v/>
      </c>
      <c r="L339" s="26">
        <f>MAX(L338,IF(U338="transition",1,0))</f>
        <v/>
      </c>
      <c r="M339" s="28">
        <f>(Parameters!$B$9+(IF(E339=0,0,(Upgrades!$J$6+E339*Upgrades!$K$6)*POWER(Upgrades!$L$6,E339)))*(IF(Upgrades!$T$7="Solar Wind",POWER(Upgrades!$U$7,F339),1)*IF(Upgrades!$T$8="Solar Wind",POWER(Upgrades!$U$8,G339),1)*IF(Upgrades!$T$9="Solar Wind",POWER(Upgrades!$U$9,H339),1)*IF(Upgrades!$T$10="Solar Wind",POWER(Upgrades!$U$10,I339),1)*IF(Upgrades!$T$11="Solar Wind",POWER(Upgrades!$U$11,J339),1)*IF(Upgrades!$T$12="Solar Wind",POWER(Upgrades!$U$12,K339),1))+(IF(F339=0,0,(Upgrades!$J$7+F339*Upgrades!$K$7)*POWER(Upgrades!$L$7,F339)))*(IF(Upgrades!$T$6="Asteroid Belt",POWER(Upgrades!$U$6,E339),1)*IF(Upgrades!$T$8="Asteroid Belt",POWER(Upgrades!$U$8,G339),1)*IF(Upgrades!$T$9="Asteroid Belt",POWER(Upgrades!$U$9,H339),1)*IF(Upgrades!$T$10="Asteroid Belt",POWER(Upgrades!$U$10,I339),1)*IF(Upgrades!$T$11="Asteroid Belt",POWER(Upgrades!$U$11,J339),1)*IF(Upgrades!$T$12="Asteroid Belt",POWER(Upgrades!$U$12,K339),1))+(IF(G339=0,0,(Upgrades!$J$8+G339*Upgrades!$K$8)*POWER(Upgrades!$L$8,G339)))*(IF(Upgrades!$T$6="Stellar Coupling",POWER(Upgrades!$U$6,E339),1)*IF(Upgrades!$T$7="Stellar Coupling",POWER(Upgrades!$U$7,F339),1)*IF(Upgrades!$T$9="Stellar Coupling",POWER(Upgrades!$U$9,H339),1)*IF(Upgrades!$T$10="Stellar Coupling",POWER(Upgrades!$U$10,I339),1)*IF(Upgrades!$T$11="Stellar Coupling",POWER(Upgrades!$U$11,J339),1)*IF(Upgrades!$T$12="Stellar Coupling",POWER(Upgrades!$U$12,K339),1))+(IF(H339=0,0,(Upgrades!$J$9+H339*Upgrades!$K$9)*POWER(Upgrades!$L$9,H339)))*(IF(Upgrades!$T$6="Magnetosphere",POWER(Upgrades!$U$6,E339),1)*IF(Upgrades!$T$7="Magnetosphere",POWER(Upgrades!$U$7,F339),1)*IF(Upgrades!$T$8="Magnetosphere",POWER(Upgrades!$U$8,G339),1)*IF(Upgrades!$T$10="Magnetosphere",POWER(Upgrades!$U$10,I339),1)*IF(Upgrades!$T$11="Magnetosphere",POWER(Upgrades!$U$11,J339),1)*IF(Upgrades!$T$12="Magnetosphere",POWER(Upgrades!$U$12,K339),1))+(IF(I339=0,0,(Upgrades!$J$10+I339*Upgrades!$K$10)*POWER(Upgrades!$L$10,I339)))*(IF(Upgrades!$T$6="Orbital Resonance",POWER(Upgrades!$U$6,E339),1)*IF(Upgrades!$T$7="Orbital Resonance",POWER(Upgrades!$U$7,F339),1)*IF(Upgrades!$T$8="Orbital Resonance",POWER(Upgrades!$U$8,G339),1)*IF(Upgrades!$T$9="Orbital Resonance",POWER(Upgrades!$U$9,H339),1)*IF(Upgrades!$T$11="Orbital Resonance",POWER(Upgrades!$U$11,J339),1)*IF(Upgrades!$T$12="Orbital Resonance",POWER(Upgrades!$U$12,K339),1))+(IF(J339=0,0,(Upgrades!$J$11+J339*Upgrades!$K$11)*POWER(Upgrades!$L$11,J339)))*(IF(Upgrades!$T$6="Heliopause",POWER(Upgrades!$U$6,E339),1)*IF(Upgrades!$T$7="Heliopause",POWER(Upgrades!$U$7,F339),1)*IF(Upgrades!$T$8="Heliopause",POWER(Upgrades!$U$8,G339),1)*IF(Upgrades!$T$9="Heliopause",POWER(Upgrades!$U$9,H339),1)*IF(Upgrades!$T$10="Heliopause",POWER(Upgrades!$U$10,I339),1)*IF(Upgrades!$T$12="Heliopause",POWER(Upgrades!$U$12,K339),1))+(IF(K339=0,0,(Upgrades!$J$12+K339*Upgrades!$K$12)*POWER(Upgrades!$L$12,K339)))*(IF(Upgrades!$T$6="First Photons",POWER(Upgrades!$U$6,E339),1)*IF(Upgrades!$T$7="First Photons",POWER(Upgrades!$U$7,F339),1)*IF(Upgrades!$T$8="First Photons",POWER(Upgrades!$U$8,G339),1)*IF(Upgrades!$T$9="First Photons",POWER(Upgrades!$U$9,H339),1)*IF(Upgrades!$T$10="First Photons",POWER(Upgrades!$U$10,I339),1)*IF(Upgrades!$T$11="First Photons",POWER(Upgrades!$U$11,J339),1)))*POWER(Upgrades!$Q$6,E339)*POWER(Upgrades!$Q$7,F339)*POWER(Upgrades!$Q$8,G339)*POWER(Upgrades!$Q$9,H339)*POWER(Upgrades!$Q$10,I339)*POWER(Upgrades!$Q$11,J339)*POWER(Upgrades!$Q$12,K339)</f>
        <v/>
      </c>
      <c r="N339" s="28">
        <f>((IF(E339=0,0,(Upgrades!$G$6+E339*Upgrades!$H$6)*POWER(Upgrades!$I$6,E339)))*(IF(Upgrades!$T$7="Solar Wind",POWER(Upgrades!$U$7,F339),1)*IF(Upgrades!$T$8="Solar Wind",POWER(Upgrades!$U$8,G339),1)*IF(Upgrades!$T$9="Solar Wind",POWER(Upgrades!$U$9,H339),1)*IF(Upgrades!$T$10="Solar Wind",POWER(Upgrades!$U$10,I339),1)*IF(Upgrades!$T$11="Solar Wind",POWER(Upgrades!$U$11,J339),1)*IF(Upgrades!$T$12="Solar Wind",POWER(Upgrades!$U$12,K339),1))+(IF(F339=0,0,(Upgrades!$G$7+F339*Upgrades!$H$7)*POWER(Upgrades!$I$7,F339)))*(IF(Upgrades!$T$6="Asteroid Belt",POWER(Upgrades!$U$6,E339),1)*IF(Upgrades!$T$8="Asteroid Belt",POWER(Upgrades!$U$8,G339),1)*IF(Upgrades!$T$9="Asteroid Belt",POWER(Upgrades!$U$9,H339),1)*IF(Upgrades!$T$10="Asteroid Belt",POWER(Upgrades!$U$10,I339),1)*IF(Upgrades!$T$11="Asteroid Belt",POWER(Upgrades!$U$11,J339),1)*IF(Upgrades!$T$12="Asteroid Belt",POWER(Upgrades!$U$12,K339),1))+(IF(G339=0,0,(Upgrades!$G$8+G339*Upgrades!$H$8)*POWER(Upgrades!$I$8,G339)))*(IF(Upgrades!$T$6="Stellar Coupling",POWER(Upgrades!$U$6,E339),1)*IF(Upgrades!$T$7="Stellar Coupling",POWER(Upgrades!$U$7,F339),1)*IF(Upgrades!$T$9="Stellar Coupling",POWER(Upgrades!$U$9,H339),1)*IF(Upgrades!$T$10="Stellar Coupling",POWER(Upgrades!$U$10,I339),1)*IF(Upgrades!$T$11="Stellar Coupling",POWER(Upgrades!$U$11,J339),1)*IF(Upgrades!$T$12="Stellar Coupling",POWER(Upgrades!$U$12,K339),1))+(IF(H339=0,0,(Upgrades!$G$9+H339*Upgrades!$H$9)*POWER(Upgrades!$I$9,H339)))*(IF(Upgrades!$T$6="Magnetosphere",POWER(Upgrades!$U$6,E339),1)*IF(Upgrades!$T$7="Magnetosphere",POWER(Upgrades!$U$7,F339),1)*IF(Upgrades!$T$8="Magnetosphere",POWER(Upgrades!$U$8,G339),1)*IF(Upgrades!$T$10="Magnetosphere",POWER(Upgrades!$U$10,I339),1)*IF(Upgrades!$T$11="Magnetosphere",POWER(Upgrades!$U$11,J339),1)*IF(Upgrades!$T$12="Magnetosphere",POWER(Upgrades!$U$12,K339),1))+(IF(I339=0,0,(Upgrades!$G$10+I339*Upgrades!$H$10)*POWER(Upgrades!$I$10,I339)))*(IF(Upgrades!$T$6="Orbital Resonance",POWER(Upgrades!$U$6,E339),1)*IF(Upgrades!$T$7="Orbital Resonance",POWER(Upgrades!$U$7,F339),1)*IF(Upgrades!$T$8="Orbital Resonance",POWER(Upgrades!$U$8,G339),1)*IF(Upgrades!$T$9="Orbital Resonance",POWER(Upgrades!$U$9,H339),1)*IF(Upgrades!$T$11="Orbital Resonance",POWER(Upgrades!$U$11,J339),1)*IF(Upgrades!$T$12="Orbital Resonance",POWER(Upgrades!$U$12,K339),1))+(IF(J339=0,0,(Upgrades!$G$11+J339*Upgrades!$H$11)*POWER(Upgrades!$I$11,J339)))*(IF(Upgrades!$T$6="Heliopause",POWER(Upgrades!$U$6,E339),1)*IF(Upgrades!$T$7="Heliopause",POWER(Upgrades!$U$7,F339),1)*IF(Upgrades!$T$8="Heliopause",POWER(Upgrades!$U$8,G339),1)*IF(Upgrades!$T$9="Heliopause",POWER(Upgrades!$U$9,H339),1)*IF(Upgrades!$T$10="Heliopause",POWER(Upgrades!$U$10,I339),1)*IF(Upgrades!$T$12="Heliopause",POWER(Upgrades!$U$12,K339),1))+(IF(K339=0,0,(Upgrades!$G$12+K339*Upgrades!$H$12)*POWER(Upgrades!$I$12,K339)))*(IF(Upgrades!$T$6="First Photons",POWER(Upgrades!$U$6,E339),1)*IF(Upgrades!$T$7="First Photons",POWER(Upgrades!$U$7,F339),1)*IF(Upgrades!$T$8="First Photons",POWER(Upgrades!$U$8,G339),1)*IF(Upgrades!$T$9="First Photons",POWER(Upgrades!$U$9,H339),1)*IF(Upgrades!$T$10="First Photons",POWER(Upgrades!$U$10,I339),1)*IF(Upgrades!$T$11="First Photons",POWER(Upgrades!$U$11,J339),1)))*POWER(Upgrades!$P$6,E339)*POWER(Upgrades!$P$7,F339)*POWER(Upgrades!$P$8,G339)*POWER(Upgrades!$P$9,H339)*POWER(Upgrades!$P$10,I339)*POWER(Upgrades!$P$11,J339)*POWER(Upgrades!$P$12,K339)</f>
        <v/>
      </c>
      <c r="O339" s="28">
        <f>((IF(E339=0,0,(Upgrades!$M$6+E339*Upgrades!$N$6)*POWER(Upgrades!$O$6,E339)))*(IF(Upgrades!$T$7="Solar Wind",POWER(Upgrades!$U$7,F339),1)*IF(Upgrades!$T$8="Solar Wind",POWER(Upgrades!$U$8,G339),1)*IF(Upgrades!$T$9="Solar Wind",POWER(Upgrades!$U$9,H339),1)*IF(Upgrades!$T$10="Solar Wind",POWER(Upgrades!$U$10,I339),1)*IF(Upgrades!$T$11="Solar Wind",POWER(Upgrades!$U$11,J339),1)*IF(Upgrades!$T$12="Solar Wind",POWER(Upgrades!$U$12,K339),1))+(IF(F339=0,0,(Upgrades!$M$7+F339*Upgrades!$N$7)*POWER(Upgrades!$O$7,F339)))*(IF(Upgrades!$T$6="Asteroid Belt",POWER(Upgrades!$U$6,E339),1)*IF(Upgrades!$T$8="Asteroid Belt",POWER(Upgrades!$U$8,G339),1)*IF(Upgrades!$T$9="Asteroid Belt",POWER(Upgrades!$U$9,H339),1)*IF(Upgrades!$T$10="Asteroid Belt",POWER(Upgrades!$U$10,I339),1)*IF(Upgrades!$T$11="Asteroid Belt",POWER(Upgrades!$U$11,J339),1)*IF(Upgrades!$T$12="Asteroid Belt",POWER(Upgrades!$U$12,K339),1))+(IF(G339=0,0,(Upgrades!$M$8+G339*Upgrades!$N$8)*POWER(Upgrades!$O$8,G339)))*(IF(Upgrades!$T$6="Stellar Coupling",POWER(Upgrades!$U$6,E339),1)*IF(Upgrades!$T$7="Stellar Coupling",POWER(Upgrades!$U$7,F339),1)*IF(Upgrades!$T$9="Stellar Coupling",POWER(Upgrades!$U$9,H339),1)*IF(Upgrades!$T$10="Stellar Coupling",POWER(Upgrades!$U$10,I339),1)*IF(Upgrades!$T$11="Stellar Coupling",POWER(Upgrades!$U$11,J339),1)*IF(Upgrades!$T$12="Stellar Coupling",POWER(Upgrades!$U$12,K339),1))+(IF(H339=0,0,(Upgrades!$M$9+H339*Upgrades!$N$9)*POWER(Upgrades!$O$9,H339)))*(IF(Upgrades!$T$6="Magnetosphere",POWER(Upgrades!$U$6,E339),1)*IF(Upgrades!$T$7="Magnetosphere",POWER(Upgrades!$U$7,F339),1)*IF(Upgrades!$T$8="Magnetosphere",POWER(Upgrades!$U$8,G339),1)*IF(Upgrades!$T$10="Magnetosphere",POWER(Upgrades!$U$10,I339),1)*IF(Upgrades!$T$11="Magnetosphere",POWER(Upgrades!$U$11,J339),1)*IF(Upgrades!$T$12="Magnetosphere",POWER(Upgrades!$U$12,K339),1))+(IF(I339=0,0,(Upgrades!$M$10+I339*Upgrades!$N$10)*POWER(Upgrades!$O$10,I339)))*(IF(Upgrades!$T$6="Orbital Resonance",POWER(Upgrades!$U$6,E339),1)*IF(Upgrades!$T$7="Orbital Resonance",POWER(Upgrades!$U$7,F339),1)*IF(Upgrades!$T$8="Orbital Resonance",POWER(Upgrades!$U$8,G339),1)*IF(Upgrades!$T$9="Orbital Resonance",POWER(Upgrades!$U$9,H339),1)*IF(Upgrades!$T$11="Orbital Resonance",POWER(Upgrades!$U$11,J339),1)*IF(Upgrades!$T$12="Orbital Resonance",POWER(Upgrades!$U$12,K339),1))+(IF(J339=0,0,(Upgrades!$M$11+J339*Upgrades!$N$11)*POWER(Upgrades!$O$11,J339)))*(IF(Upgrades!$T$6="Heliopause",POWER(Upgrades!$U$6,E339),1)*IF(Upgrades!$T$7="Heliopause",POWER(Upgrades!$U$7,F339),1)*IF(Upgrades!$T$8="Heliopause",POWER(Upgrades!$U$8,G339),1)*IF(Upgrades!$T$9="Heliopause",POWER(Upgrades!$U$9,H339),1)*IF(Upgrades!$T$10="Heliopause",POWER(Upgrades!$U$10,I339),1)*IF(Upgrades!$T$12="Heliopause",POWER(Upgrades!$U$12,K339),1))+(IF(K339=0,0,(Upgrades!$M$12+K339*Upgrades!$N$12)*POWER(Upgrades!$O$12,K339)))*(IF(Upgrades!$T$6="First Photons",POWER(Upgrades!$U$6,E339),1)*IF(Upgrades!$T$7="First Photons",POWER(Upgrades!$U$7,F339),1)*IF(Upgrades!$T$8="First Photons",POWER(Upgrades!$U$8,G339),1)*IF(Upgrades!$T$9="First Photons",POWER(Upgrades!$U$9,H339),1)*IF(Upgrades!$T$10="First Photons",POWER(Upgrades!$U$10,I339),1)*IF(Upgrades!$T$11="First Photons",POWER(Upgrades!$U$11,J339),1)))*POWER(Upgrades!$R$6,E339)*POWER(Upgrades!$R$7,F339)*POWER(Upgrades!$R$8,G339)*POWER(Upgrades!$R$9,H339)*POWER(Upgrades!$R$10,I339)*POWER(Upgrades!$R$11,J339)*POWER(Upgrades!$R$12,K339)</f>
        <v/>
      </c>
      <c r="P339" s="27">
        <f>IF(L339=1,0,M339*Parameters!$B$10/60*Parameters!$B$11*10)</f>
        <v/>
      </c>
      <c r="Q339" s="27">
        <f>IF(L339=1,0,O339*M339*10)</f>
        <v/>
      </c>
      <c r="R339" s="27">
        <f>IF(L339=1,0,N339*10)</f>
        <v/>
      </c>
      <c r="S339" s="27">
        <f>P339+Q339+R339</f>
        <v/>
      </c>
      <c r="T339" s="22">
        <f>C339+S339</f>
        <v/>
      </c>
      <c r="U339" s="33">
        <f>AX339</f>
        <v/>
      </c>
      <c r="V339" s="22">
        <f>IF(U339="",0,IF(U339="transition",0,IF(U339="SW",AG339,IF(U339="AB",AH339,IF(U339="SC",AI339,IF(U339="Mag",AJ339,IF(U339="OR",AK339,IF(U339="HP",AL339,IF(U339="FP",AM339,0)))))))))</f>
        <v/>
      </c>
      <c r="W339" s="27">
        <f>IF(U339="OR",Upgrades!$F$10,IF(U339="HP",Upgrades!$F$11,IF(U339="transition",-Parameters!$B$18,0)))</f>
        <v/>
      </c>
      <c r="X339" s="22">
        <f>T339-V339</f>
        <v/>
      </c>
      <c r="Y339" s="30">
        <f>M339*Parameters!$B$10/60*Parameters!$B$11+O339*M339+N339</f>
        <v/>
      </c>
      <c r="Z339" s="34">
        <f>IF(U339="transition","→ Tier 2 (Stellar Neighborhood)",IF(U339="FP","First Photons — light begins, system quickens",IF(U339="HP","Heliopause acquired",IF(U339="OR","Orbital Resonance — passive multiplier active",IF(AND(AO339=1,L339=0,AN339&lt;&gt;1),"Cohesion ready (waiting on completionist upgrades)","")))))</f>
        <v/>
      </c>
      <c r="AA339" s="27">
        <f>(IF(E339=0,0,(Upgrades!$G$6+E339*Upgrades!$H$6)*POWER(Upgrades!$I$6,E339)))*(IF(Upgrades!$T$7="Solar Wind",POWER(Upgrades!$U$7,F339),1)*IF(Upgrades!$T$8="Solar Wind",POWER(Upgrades!$U$8,G339),1)*IF(Upgrades!$T$9="Solar Wind",POWER(Upgrades!$U$9,H339),1)*IF(Upgrades!$T$10="Solar Wind",POWER(Upgrades!$U$10,I339),1)*IF(Upgrades!$T$11="Solar Wind",POWER(Upgrades!$U$11,J339),1)*IF(Upgrades!$T$12="Solar Wind",POWER(Upgrades!$U$12,K339),1))*POWER(Upgrades!$P$6,E339)*POWER(Upgrades!$P$7,F339)*POWER(Upgrades!$P$8,G339)*POWER(Upgrades!$P$9,H339)*POWER(Upgrades!$P$10,I339)*POWER(Upgrades!$P$11,J339)*POWER(Upgrades!$P$12,K339)*60</f>
        <v/>
      </c>
      <c r="AB339" s="27">
        <f>(IF(F339=0,0,(Upgrades!$G$7+F339*Upgrades!$H$7)*POWER(Upgrades!$I$7,F339)))*(IF(Upgrades!$T$6="Asteroid Belt",POWER(Upgrades!$U$6,E339),1)*IF(Upgrades!$T$8="Asteroid Belt",POWER(Upgrades!$U$8,G339),1)*IF(Upgrades!$T$9="Asteroid Belt",POWER(Upgrades!$U$9,H339),1)*IF(Upgrades!$T$10="Asteroid Belt",POWER(Upgrades!$U$10,I339),1)*IF(Upgrades!$T$11="Asteroid Belt",POWER(Upgrades!$U$11,J339),1)*IF(Upgrades!$T$12="Asteroid Belt",POWER(Upgrades!$U$12,K339),1))*POWER(Upgrades!$P$6,E339)*POWER(Upgrades!$P$7,F339)*POWER(Upgrades!$P$8,G339)*POWER(Upgrades!$P$9,H339)*POWER(Upgrades!$P$10,I339)*POWER(Upgrades!$P$11,J339)*POWER(Upgrades!$P$12,K339)*60</f>
        <v/>
      </c>
      <c r="AC339" s="27">
        <f>(IF(G339=0,0,(Upgrades!$J$8+G339*Upgrades!$K$8)*POWER(Upgrades!$L$8,G339)))*(IF(Upgrades!$T$6="Stellar Coupling",POWER(Upgrades!$U$6,E339),1)*IF(Upgrades!$T$7="Stellar Coupling",POWER(Upgrades!$U$7,F339),1)*IF(Upgrades!$T$9="Stellar Coupling",POWER(Upgrades!$U$9,H339),1)*IF(Upgrades!$T$10="Stellar Coupling",POWER(Upgrades!$U$10,I339),1)*IF(Upgrades!$T$11="Stellar Coupling",POWER(Upgrades!$U$11,J339),1)*IF(Upgrades!$T$12="Stellar Coupling",POWER(Upgrades!$U$12,K339),1))*POWER(Upgrades!$Q$6,E339)*POWER(Upgrades!$Q$7,F339)*POWER(Upgrades!$Q$8,G339)*POWER(Upgrades!$Q$9,H339)*POWER(Upgrades!$Q$10,I339)*POWER(Upgrades!$Q$11,J339)*POWER(Upgrades!$Q$12,K339)*Parameters!$B$10*Parameters!$B$11</f>
        <v/>
      </c>
      <c r="AD339" s="27">
        <f>(IF(H339=0,0,(Upgrades!$G$9+H339*Upgrades!$H$9)*POWER(Upgrades!$I$9,H339)))*(IF(Upgrades!$T$6="Magnetosphere",POWER(Upgrades!$U$6,E339),1)*IF(Upgrades!$T$7="Magnetosphere",POWER(Upgrades!$U$7,F339),1)*IF(Upgrades!$T$8="Magnetosphere",POWER(Upgrades!$U$8,G339),1)*IF(Upgrades!$T$10="Magnetosphere",POWER(Upgrades!$U$10,I339),1)*IF(Upgrades!$T$11="Magnetosphere",POWER(Upgrades!$U$11,J339),1)*IF(Upgrades!$T$12="Magnetosphere",POWER(Upgrades!$U$12,K339),1))*POWER(Upgrades!$P$6,E339)*POWER(Upgrades!$P$7,F339)*POWER(Upgrades!$P$8,G339)*POWER(Upgrades!$P$9,H339)*POWER(Upgrades!$P$10,I339)*POWER(Upgrades!$P$11,J339)*POWER(Upgrades!$P$12,K339)*60</f>
        <v/>
      </c>
      <c r="AE339" s="27">
        <f>(IF(K339=0,0,(Upgrades!$G$12+K339*Upgrades!$H$12)*POWER(Upgrades!$I$12,K339)))*(IF(Upgrades!$T$6="First Photons",POWER(Upgrades!$U$6,E339),1)*IF(Upgrades!$T$7="First Photons",POWER(Upgrades!$U$7,F339),1)*IF(Upgrades!$T$8="First Photons",POWER(Upgrades!$U$8,G339),1)*IF(Upgrades!$T$9="First Photons",POWER(Upgrades!$U$9,H339),1)*IF(Upgrades!$T$10="First Photons",POWER(Upgrades!$U$10,I339),1)*IF(Upgrades!$T$11="First Photons",POWER(Upgrades!$U$11,J339),1))*POWER(Upgrades!$P$6,E339)*POWER(Upgrades!$P$7,F339)*POWER(Upgrades!$P$8,G339)*POWER(Upgrades!$P$9,H339)*POWER(Upgrades!$P$10,I339)*POWER(Upgrades!$P$11,J339)*POWER(Upgrades!$P$12,K339)*60</f>
        <v/>
      </c>
      <c r="AF339" s="27">
        <f>Parameters!$B$9*POWER(Upgrades!$Q$6,E339)*POWER(Upgrades!$Q$7,F339)*POWER(Upgrades!$Q$8,G339)*POWER(Upgrades!$Q$9,H339)*POWER(Upgrades!$Q$10,I339)*POWER(Upgrades!$Q$11,J339)*POWER(Upgrades!$Q$12,K339)*(Parameters!$B$10*Parameters!$B$11+O339*60)</f>
        <v/>
      </c>
      <c r="AG339" s="22">
        <f>IF(E339&gt;=Upgrades!$E$6,"",Upgrades!$C$6*POWER(Upgrades!$D$6,E339))</f>
        <v/>
      </c>
      <c r="AH339" s="22">
        <f>IF(F339&gt;=Upgrades!$E$7,"",Upgrades!$C$7*POWER(Upgrades!$D$7,F339))</f>
        <v/>
      </c>
      <c r="AI339" s="22">
        <f>IF(G339&gt;=Upgrades!$E$8,"",Upgrades!$C$8*POWER(Upgrades!$D$8,G339))</f>
        <v/>
      </c>
      <c r="AJ339" s="22">
        <f>IF(H339&gt;=Upgrades!$E$9,"",Upgrades!$C$9*POWER(Upgrades!$D$9,H339))</f>
        <v/>
      </c>
      <c r="AK339" s="22">
        <f>IF(I339&gt;=Upgrades!$E$10,"",Upgrades!$C$10*POWER(Upgrades!$D$10,I339))</f>
        <v/>
      </c>
      <c r="AL339" s="22">
        <f>IF(J339&gt;=Upgrades!$E$11,"",Upgrades!$C$11*POWER(Upgrades!$D$11,J339))</f>
        <v/>
      </c>
      <c r="AM339" s="22">
        <f>IF(K339&gt;=Upgrades!$E$12,"",Upgrades!$C$12*POWER(Upgrades!$D$12,K339))</f>
        <v/>
      </c>
      <c r="AN339" s="26">
        <f>IF(AND(D339&gt;=Parameters!$B$18,(H339&gt;=Upgrades!$E$9)*(K339&gt;=Upgrades!$E$12)=1,L339=0),1,"")</f>
        <v/>
      </c>
      <c r="AO339" s="26">
        <f>IF(AND(D339&gt;=Parameters!$B$18,L339=0),1,"")</f>
        <v/>
      </c>
      <c r="AP339" s="22">
        <f>MIN(IF(ISNUMBER(AK339),AK339,9E15),IF(ISNUMBER(AL339),AL339,9E15),IF(ISNUMBER(AM339),AM339,9E15))</f>
        <v/>
      </c>
      <c r="AQ339" s="22">
        <f>MIN(IF(ISNUMBER(AG339),AG339,9E15),IF(ISNUMBER(AH339),AH339,9E15),IF(ISNUMBER(AI339),AI339,9E15),IF(ISNUMBER(AJ339),AJ339,9E15))</f>
        <v/>
      </c>
      <c r="AR339" s="29">
        <f>IF(AW339&gt;Parameters!$B$21*(MAX(IF(AND(NOT(AND(AO339=1,AN339&lt;&gt;1)),ISNUMBER(AG339),AG339&lt;=T339),AS339,0),IF(AND(NOT(AND(AO339=1,AN339&lt;&gt;1)),ISNUMBER(AH339),AH339&lt;=T339),AT339,0),IF(AND(NOT(AND(AO339=1,AN339&lt;&gt;1)),ISNUMBER(AI339),AI339&lt;=T339),AU339,0),IF(AND(ISNUMBER(AJ339),AJ339&lt;=T339),AV339,0))),TRUE,FALSE)</f>
        <v/>
      </c>
      <c r="AS339" s="32">
        <f>IFERROR(Upgrades!$H$6*(POWER(Upgrades!$P$6,E339)*POWER(Upgrades!$P$7,F339)*POWER(Upgrades!$P$8,G339)*POWER(Upgrades!$P$9,H339)*POWER(Upgrades!$P$10,I339)*POWER(Upgrades!$P$11,J339)*POWER(Upgrades!$P$12,K339))*(IF(Upgrades!$T$7="Solar Wind",POWER(Upgrades!$U$7,F339),1)*IF(Upgrades!$T$8="Solar Wind",POWER(Upgrades!$U$8,G339),1)*IF(Upgrades!$T$9="Solar Wind",POWER(Upgrades!$U$9,H339),1)*IF(Upgrades!$T$10="Solar Wind",POWER(Upgrades!$U$10,I339),1)*IF(Upgrades!$T$11="Solar Wind",POWER(Upgrades!$U$11,J339),1)*IF(Upgrades!$T$12="Solar Wind",POWER(Upgrades!$U$12,K339),1))/AG339,0)</f>
        <v/>
      </c>
      <c r="AT339" s="32">
        <f>IFERROR(Upgrades!$H$7*(POWER(Upgrades!$P$6,E339)*POWER(Upgrades!$P$7,F339)*POWER(Upgrades!$P$8,G339)*POWER(Upgrades!$P$9,H339)*POWER(Upgrades!$P$10,I339)*POWER(Upgrades!$P$11,J339)*POWER(Upgrades!$P$12,K339))*(IF(Upgrades!$T$6="Asteroid Belt",POWER(Upgrades!$U$6,E339),1)*IF(Upgrades!$T$8="Asteroid Belt",POWER(Upgrades!$U$8,G339),1)*IF(Upgrades!$T$9="Asteroid Belt",POWER(Upgrades!$U$9,H339),1)*IF(Upgrades!$T$10="Asteroid Belt",POWER(Upgrades!$U$10,I339),1)*IF(Upgrades!$T$11="Asteroid Belt",POWER(Upgrades!$U$11,J339),1)*IF(Upgrades!$T$12="Asteroid Belt",POWER(Upgrades!$U$12,K339),1))/AH339,0)</f>
        <v/>
      </c>
      <c r="AU339" s="32">
        <f>IFERROR(Upgrades!$K$8*(POWER(Upgrades!$Q$6,E339)*POWER(Upgrades!$Q$7,F339)*POWER(Upgrades!$Q$8,G339)*POWER(Upgrades!$Q$9,H339)*POWER(Upgrades!$Q$10,I339)*POWER(Upgrades!$Q$11,J339)*POWER(Upgrades!$Q$12,K339))*(IF(Upgrades!$T$6="Stellar Coupling",POWER(Upgrades!$U$6,E339),1)*IF(Upgrades!$T$7="Stellar Coupling",POWER(Upgrades!$U$7,F339),1)*IF(Upgrades!$T$9="Stellar Coupling",POWER(Upgrades!$U$9,H339),1)*IF(Upgrades!$T$10="Stellar Coupling",POWER(Upgrades!$U$10,I339),1)*IF(Upgrades!$T$11="Stellar Coupling",POWER(Upgrades!$U$11,J339),1)*IF(Upgrades!$T$12="Stellar Coupling",POWER(Upgrades!$U$12,K339),1))*Parameters!$B$10*Parameters!$B$11/60/AI339,0)</f>
        <v/>
      </c>
      <c r="AV339" s="32">
        <f>IFERROR(Upgrades!$H$9*(POWER(Upgrades!$P$6,E339)*POWER(Upgrades!$P$7,F339)*POWER(Upgrades!$P$8,G339)*POWER(Upgrades!$P$9,H339)*POWER(Upgrades!$P$10,I339)*POWER(Upgrades!$P$11,J339)*POWER(Upgrades!$P$12,K339))*(IF(Upgrades!$T$6="Magnetosphere",POWER(Upgrades!$U$6,E339),1)*IF(Upgrades!$T$7="Magnetosphere",POWER(Upgrades!$U$7,F339),1)*IF(Upgrades!$T$8="Magnetosphere",POWER(Upgrades!$U$8,G339),1)*IF(Upgrades!$T$10="Magnetosphere",POWER(Upgrades!$U$10,I339),1)*IF(Upgrades!$T$11="Magnetosphere",POWER(Upgrades!$U$11,J339),1)*IF(Upgrades!$T$12="Magnetosphere",POWER(Upgrades!$U$12,K339),1))/AJ339,0)</f>
        <v/>
      </c>
      <c r="AW339" s="32">
        <f>MAX(IF(I339&gt;0,0,IFERROR(0.25*N339/Upgrades!$C$10,0)),IF(J339&gt;0,0,IFERROR(0.5*((IF(G339=0,0,(Upgrades!$J$8+G339*Upgrades!$K$8)*POWER(Upgrades!$L$8,G339)))*(IF(Upgrades!$T$6="Stellar Coupling",POWER(Upgrades!$U$6,E339),1)*IF(Upgrades!$T$7="Stellar Coupling",POWER(Upgrades!$U$7,F339),1)*IF(Upgrades!$T$9="Stellar Coupling",POWER(Upgrades!$U$9,H339),1)*IF(Upgrades!$T$10="Stellar Coupling",POWER(Upgrades!$U$10,I339),1)*IF(Upgrades!$T$11="Stellar Coupling",POWER(Upgrades!$U$11,J339),1)*IF(Upgrades!$T$12="Stellar Coupling",POWER(Upgrades!$U$12,K339),1))*(POWER(Upgrades!$Q$6,E339)*POWER(Upgrades!$Q$7,F339)*POWER(Upgrades!$Q$8,G339)*POWER(Upgrades!$Q$9,H339)*POWER(Upgrades!$Q$10,I339)*POWER(Upgrades!$Q$11,J339)*POWER(Upgrades!$Q$12,K339))*Parameters!$B$10*Parameters!$B$11/60)/Upgrades!$C$11,0)),IF(K339&gt;0,0,IFERROR((1.0*(POWER(Upgrades!$P$6,E339)*POWER(Upgrades!$P$7,F339)*POWER(Upgrades!$P$8,G339)*POWER(Upgrades!$P$9,H339)*POWER(Upgrades!$P$10,I339)*POWER(Upgrades!$P$11,J339)*POWER(Upgrades!$P$12,K339))+0.20*M339*Parameters!$B$10*Parameters!$B$11/60)/Upgrades!$C$12,0)),IF(AND(ISNUMBER(AG339),AG339&gt;T339),AS339,0),IF(AND(ISNUMBER(AH339),AH339&gt;T339),AT339,0),IF(AND(ISNUMBER(AI339),AI339&gt;T339),AU339,0),IF(AND(ISNUMBER(AJ339),AJ339&gt;T339),AV339,0))</f>
        <v/>
      </c>
      <c r="AX339" s="29">
        <f>IF(AN339=1,"transition",IF(MIN(IF(AND(I339=0,ISNUMBER(AK339),AK339&lt;=T339),AK339,9E15),IF(AND(J339=0,ISNUMBER(AL339),AL339&lt;=T339),AL339,9E15),IF(AND(K339=0,ISNUMBER(AM339),AM339&lt;=T339),AM339,9E15))&lt;9E15,IF(AND(AND(I339=0,ISNUMBER(AK339),AK339&lt;=T339),AK339=MIN(IF(AND(I339=0,ISNUMBER(AK339),AK339&lt;=T339),AK339,9E15),IF(AND(J339=0,ISNUMBER(AL339),AL339&lt;=T339),AL339,9E15),IF(AND(K339=0,ISNUMBER(AM339),AM339&lt;=T339),AM339,9E15))),"OR",IF(AND(AND(J339=0,ISNUMBER(AL339),AL339&lt;=T339),AL339=MIN(IF(AND(I339=0,ISNUMBER(AK339),AK339&lt;=T339),AK339,9E15),IF(AND(J339=0,ISNUMBER(AL339),AL339&lt;=T339),AL339,9E15),IF(AND(K339=0,ISNUMBER(AM339),AM339&lt;=T339),AM339,9E15))),"HP","FP")),IF(AR339=TRUE,"",IF(MAX(IF(AND(NOT(AND(AO339=1,AN339&lt;&gt;1)),ISNUMBER(AG339),AG339&lt;=T339),AS339,0),IF(AND(NOT(AND(AO339=1,AN339&lt;&gt;1)),ISNUMBER(AH339),AH339&lt;=T339),AT339,0),IF(AND(NOT(AND(AO339=1,AN339&lt;&gt;1)),ISNUMBER(AI339),AI339&lt;=T339),AU339,0),IF(AND(ISNUMBER(AJ339),AJ339&lt;=T339),AV339,0))&lt;=0,"",IF(AND(IF(AND(NOT(AND(AO339=1,AN339&lt;&gt;1)),ISNUMBER(AG339),AG339&lt;=T339),AS339,0)&gt;0,IF(AND(NOT(AND(AO339=1,AN339&lt;&gt;1)),ISNUMBER(AG339),AG339&lt;=T339),AS339,0)=MAX(IF(AND(NOT(AND(AO339=1,AN339&lt;&gt;1)),ISNUMBER(AG339),AG339&lt;=T339),AS339,0),IF(AND(NOT(AND(AO339=1,AN339&lt;&gt;1)),ISNUMBER(AH339),AH339&lt;=T339),AT339,0),IF(AND(NOT(AND(AO339=1,AN339&lt;&gt;1)),ISNUMBER(AI339),AI339&lt;=T339),AU339,0),IF(AND(ISNUMBER(AJ339),AJ339&lt;=T339),AV339,0))),"SW",IF(AND(IF(AND(NOT(AND(AO339=1,AN339&lt;&gt;1)),ISNUMBER(AH339),AH339&lt;=T339),AT339,0)&gt;0,IF(AND(NOT(AND(AO339=1,AN339&lt;&gt;1)),ISNUMBER(AH339),AH339&lt;=T339),AT339,0)=MAX(IF(AND(NOT(AND(AO339=1,AN339&lt;&gt;1)),ISNUMBER(AG339),AG339&lt;=T339),AS339,0),IF(AND(NOT(AND(AO339=1,AN339&lt;&gt;1)),ISNUMBER(AH339),AH339&lt;=T339),AT339,0),IF(AND(NOT(AND(AO339=1,AN339&lt;&gt;1)),ISNUMBER(AI339),AI339&lt;=T339),AU339,0),IF(AND(ISNUMBER(AJ339),AJ339&lt;=T339),AV339,0))),"AB",IF(AND(IF(AND(NOT(AND(AO339=1,AN339&lt;&gt;1)),ISNUMBER(AI339),AI339&lt;=T339),AU339,0)&gt;0,IF(AND(NOT(AND(AO339=1,AN339&lt;&gt;1)),ISNUMBER(AI339),AI339&lt;=T339),AU339,0)=MAX(IF(AND(NOT(AND(AO339=1,AN339&lt;&gt;1)),ISNUMBER(AG339),AG339&lt;=T339),AS339,0),IF(AND(NOT(AND(AO339=1,AN339&lt;&gt;1)),ISNUMBER(AH339),AH339&lt;=T339),AT339,0),IF(AND(NOT(AND(AO339=1,AN339&lt;&gt;1)),ISNUMBER(AI339),AI339&lt;=T339),AU339,0),IF(AND(ISNUMBER(AJ339),AJ339&lt;=T339),AV339,0))),"SC","Mag")))))))</f>
        <v/>
      </c>
    </row>
    <row r="340">
      <c r="A340" s="26" t="n">
        <v>335</v>
      </c>
      <c r="B340" s="27">
        <f>A340*10/60</f>
        <v/>
      </c>
      <c r="C340" s="22">
        <f>X339</f>
        <v/>
      </c>
      <c r="D340" s="27">
        <f>D339+W339</f>
        <v/>
      </c>
      <c r="E340" s="26">
        <f>E339+IF(U339="SW",1,0)</f>
        <v/>
      </c>
      <c r="F340" s="26">
        <f>F339+IF(U339="AB",1,0)</f>
        <v/>
      </c>
      <c r="G340" s="26">
        <f>G339+IF(U339="SC",1,0)</f>
        <v/>
      </c>
      <c r="H340" s="26">
        <f>H339+IF(U339="Mag",1,0)</f>
        <v/>
      </c>
      <c r="I340" s="26">
        <f>MAX(I339,IF(U339="OR",1,0))</f>
        <v/>
      </c>
      <c r="J340" s="26">
        <f>MAX(J339,IF(U339="HP",1,0))</f>
        <v/>
      </c>
      <c r="K340" s="26">
        <f>MAX(K339,IF(U339="FP",1,0))</f>
        <v/>
      </c>
      <c r="L340" s="26">
        <f>MAX(L339,IF(U339="transition",1,0))</f>
        <v/>
      </c>
      <c r="M340" s="28">
        <f>(Parameters!$B$9+(IF(E340=0,0,(Upgrades!$J$6+E340*Upgrades!$K$6)*POWER(Upgrades!$L$6,E340)))*(IF(Upgrades!$T$7="Solar Wind",POWER(Upgrades!$U$7,F340),1)*IF(Upgrades!$T$8="Solar Wind",POWER(Upgrades!$U$8,G340),1)*IF(Upgrades!$T$9="Solar Wind",POWER(Upgrades!$U$9,H340),1)*IF(Upgrades!$T$10="Solar Wind",POWER(Upgrades!$U$10,I340),1)*IF(Upgrades!$T$11="Solar Wind",POWER(Upgrades!$U$11,J340),1)*IF(Upgrades!$T$12="Solar Wind",POWER(Upgrades!$U$12,K340),1))+(IF(F340=0,0,(Upgrades!$J$7+F340*Upgrades!$K$7)*POWER(Upgrades!$L$7,F340)))*(IF(Upgrades!$T$6="Asteroid Belt",POWER(Upgrades!$U$6,E340),1)*IF(Upgrades!$T$8="Asteroid Belt",POWER(Upgrades!$U$8,G340),1)*IF(Upgrades!$T$9="Asteroid Belt",POWER(Upgrades!$U$9,H340),1)*IF(Upgrades!$T$10="Asteroid Belt",POWER(Upgrades!$U$10,I340),1)*IF(Upgrades!$T$11="Asteroid Belt",POWER(Upgrades!$U$11,J340),1)*IF(Upgrades!$T$12="Asteroid Belt",POWER(Upgrades!$U$12,K340),1))+(IF(G340=0,0,(Upgrades!$J$8+G340*Upgrades!$K$8)*POWER(Upgrades!$L$8,G340)))*(IF(Upgrades!$T$6="Stellar Coupling",POWER(Upgrades!$U$6,E340),1)*IF(Upgrades!$T$7="Stellar Coupling",POWER(Upgrades!$U$7,F340),1)*IF(Upgrades!$T$9="Stellar Coupling",POWER(Upgrades!$U$9,H340),1)*IF(Upgrades!$T$10="Stellar Coupling",POWER(Upgrades!$U$10,I340),1)*IF(Upgrades!$T$11="Stellar Coupling",POWER(Upgrades!$U$11,J340),1)*IF(Upgrades!$T$12="Stellar Coupling",POWER(Upgrades!$U$12,K340),1))+(IF(H340=0,0,(Upgrades!$J$9+H340*Upgrades!$K$9)*POWER(Upgrades!$L$9,H340)))*(IF(Upgrades!$T$6="Magnetosphere",POWER(Upgrades!$U$6,E340),1)*IF(Upgrades!$T$7="Magnetosphere",POWER(Upgrades!$U$7,F340),1)*IF(Upgrades!$T$8="Magnetosphere",POWER(Upgrades!$U$8,G340),1)*IF(Upgrades!$T$10="Magnetosphere",POWER(Upgrades!$U$10,I340),1)*IF(Upgrades!$T$11="Magnetosphere",POWER(Upgrades!$U$11,J340),1)*IF(Upgrades!$T$12="Magnetosphere",POWER(Upgrades!$U$12,K340),1))+(IF(I340=0,0,(Upgrades!$J$10+I340*Upgrades!$K$10)*POWER(Upgrades!$L$10,I340)))*(IF(Upgrades!$T$6="Orbital Resonance",POWER(Upgrades!$U$6,E340),1)*IF(Upgrades!$T$7="Orbital Resonance",POWER(Upgrades!$U$7,F340),1)*IF(Upgrades!$T$8="Orbital Resonance",POWER(Upgrades!$U$8,G340),1)*IF(Upgrades!$T$9="Orbital Resonance",POWER(Upgrades!$U$9,H340),1)*IF(Upgrades!$T$11="Orbital Resonance",POWER(Upgrades!$U$11,J340),1)*IF(Upgrades!$T$12="Orbital Resonance",POWER(Upgrades!$U$12,K340),1))+(IF(J340=0,0,(Upgrades!$J$11+J340*Upgrades!$K$11)*POWER(Upgrades!$L$11,J340)))*(IF(Upgrades!$T$6="Heliopause",POWER(Upgrades!$U$6,E340),1)*IF(Upgrades!$T$7="Heliopause",POWER(Upgrades!$U$7,F340),1)*IF(Upgrades!$T$8="Heliopause",POWER(Upgrades!$U$8,G340),1)*IF(Upgrades!$T$9="Heliopause",POWER(Upgrades!$U$9,H340),1)*IF(Upgrades!$T$10="Heliopause",POWER(Upgrades!$U$10,I340),1)*IF(Upgrades!$T$12="Heliopause",POWER(Upgrades!$U$12,K340),1))+(IF(K340=0,0,(Upgrades!$J$12+K340*Upgrades!$K$12)*POWER(Upgrades!$L$12,K340)))*(IF(Upgrades!$T$6="First Photons",POWER(Upgrades!$U$6,E340),1)*IF(Upgrades!$T$7="First Photons",POWER(Upgrades!$U$7,F340),1)*IF(Upgrades!$T$8="First Photons",POWER(Upgrades!$U$8,G340),1)*IF(Upgrades!$T$9="First Photons",POWER(Upgrades!$U$9,H340),1)*IF(Upgrades!$T$10="First Photons",POWER(Upgrades!$U$10,I340),1)*IF(Upgrades!$T$11="First Photons",POWER(Upgrades!$U$11,J340),1)))*POWER(Upgrades!$Q$6,E340)*POWER(Upgrades!$Q$7,F340)*POWER(Upgrades!$Q$8,G340)*POWER(Upgrades!$Q$9,H340)*POWER(Upgrades!$Q$10,I340)*POWER(Upgrades!$Q$11,J340)*POWER(Upgrades!$Q$12,K340)</f>
        <v/>
      </c>
      <c r="N340" s="28">
        <f>((IF(E340=0,0,(Upgrades!$G$6+E340*Upgrades!$H$6)*POWER(Upgrades!$I$6,E340)))*(IF(Upgrades!$T$7="Solar Wind",POWER(Upgrades!$U$7,F340),1)*IF(Upgrades!$T$8="Solar Wind",POWER(Upgrades!$U$8,G340),1)*IF(Upgrades!$T$9="Solar Wind",POWER(Upgrades!$U$9,H340),1)*IF(Upgrades!$T$10="Solar Wind",POWER(Upgrades!$U$10,I340),1)*IF(Upgrades!$T$11="Solar Wind",POWER(Upgrades!$U$11,J340),1)*IF(Upgrades!$T$12="Solar Wind",POWER(Upgrades!$U$12,K340),1))+(IF(F340=0,0,(Upgrades!$G$7+F340*Upgrades!$H$7)*POWER(Upgrades!$I$7,F340)))*(IF(Upgrades!$T$6="Asteroid Belt",POWER(Upgrades!$U$6,E340),1)*IF(Upgrades!$T$8="Asteroid Belt",POWER(Upgrades!$U$8,G340),1)*IF(Upgrades!$T$9="Asteroid Belt",POWER(Upgrades!$U$9,H340),1)*IF(Upgrades!$T$10="Asteroid Belt",POWER(Upgrades!$U$10,I340),1)*IF(Upgrades!$T$11="Asteroid Belt",POWER(Upgrades!$U$11,J340),1)*IF(Upgrades!$T$12="Asteroid Belt",POWER(Upgrades!$U$12,K340),1))+(IF(G340=0,0,(Upgrades!$G$8+G340*Upgrades!$H$8)*POWER(Upgrades!$I$8,G340)))*(IF(Upgrades!$T$6="Stellar Coupling",POWER(Upgrades!$U$6,E340),1)*IF(Upgrades!$T$7="Stellar Coupling",POWER(Upgrades!$U$7,F340),1)*IF(Upgrades!$T$9="Stellar Coupling",POWER(Upgrades!$U$9,H340),1)*IF(Upgrades!$T$10="Stellar Coupling",POWER(Upgrades!$U$10,I340),1)*IF(Upgrades!$T$11="Stellar Coupling",POWER(Upgrades!$U$11,J340),1)*IF(Upgrades!$T$12="Stellar Coupling",POWER(Upgrades!$U$12,K340),1))+(IF(H340=0,0,(Upgrades!$G$9+H340*Upgrades!$H$9)*POWER(Upgrades!$I$9,H340)))*(IF(Upgrades!$T$6="Magnetosphere",POWER(Upgrades!$U$6,E340),1)*IF(Upgrades!$T$7="Magnetosphere",POWER(Upgrades!$U$7,F340),1)*IF(Upgrades!$T$8="Magnetosphere",POWER(Upgrades!$U$8,G340),1)*IF(Upgrades!$T$10="Magnetosphere",POWER(Upgrades!$U$10,I340),1)*IF(Upgrades!$T$11="Magnetosphere",POWER(Upgrades!$U$11,J340),1)*IF(Upgrades!$T$12="Magnetosphere",POWER(Upgrades!$U$12,K340),1))+(IF(I340=0,0,(Upgrades!$G$10+I340*Upgrades!$H$10)*POWER(Upgrades!$I$10,I340)))*(IF(Upgrades!$T$6="Orbital Resonance",POWER(Upgrades!$U$6,E340),1)*IF(Upgrades!$T$7="Orbital Resonance",POWER(Upgrades!$U$7,F340),1)*IF(Upgrades!$T$8="Orbital Resonance",POWER(Upgrades!$U$8,G340),1)*IF(Upgrades!$T$9="Orbital Resonance",POWER(Upgrades!$U$9,H340),1)*IF(Upgrades!$T$11="Orbital Resonance",POWER(Upgrades!$U$11,J340),1)*IF(Upgrades!$T$12="Orbital Resonance",POWER(Upgrades!$U$12,K340),1))+(IF(J340=0,0,(Upgrades!$G$11+J340*Upgrades!$H$11)*POWER(Upgrades!$I$11,J340)))*(IF(Upgrades!$T$6="Heliopause",POWER(Upgrades!$U$6,E340),1)*IF(Upgrades!$T$7="Heliopause",POWER(Upgrades!$U$7,F340),1)*IF(Upgrades!$T$8="Heliopause",POWER(Upgrades!$U$8,G340),1)*IF(Upgrades!$T$9="Heliopause",POWER(Upgrades!$U$9,H340),1)*IF(Upgrades!$T$10="Heliopause",POWER(Upgrades!$U$10,I340),1)*IF(Upgrades!$T$12="Heliopause",POWER(Upgrades!$U$12,K340),1))+(IF(K340=0,0,(Upgrades!$G$12+K340*Upgrades!$H$12)*POWER(Upgrades!$I$12,K340)))*(IF(Upgrades!$T$6="First Photons",POWER(Upgrades!$U$6,E340),1)*IF(Upgrades!$T$7="First Photons",POWER(Upgrades!$U$7,F340),1)*IF(Upgrades!$T$8="First Photons",POWER(Upgrades!$U$8,G340),1)*IF(Upgrades!$T$9="First Photons",POWER(Upgrades!$U$9,H340),1)*IF(Upgrades!$T$10="First Photons",POWER(Upgrades!$U$10,I340),1)*IF(Upgrades!$T$11="First Photons",POWER(Upgrades!$U$11,J340),1)))*POWER(Upgrades!$P$6,E340)*POWER(Upgrades!$P$7,F340)*POWER(Upgrades!$P$8,G340)*POWER(Upgrades!$P$9,H340)*POWER(Upgrades!$P$10,I340)*POWER(Upgrades!$P$11,J340)*POWER(Upgrades!$P$12,K340)</f>
        <v/>
      </c>
      <c r="O340" s="28">
        <f>((IF(E340=0,0,(Upgrades!$M$6+E340*Upgrades!$N$6)*POWER(Upgrades!$O$6,E340)))*(IF(Upgrades!$T$7="Solar Wind",POWER(Upgrades!$U$7,F340),1)*IF(Upgrades!$T$8="Solar Wind",POWER(Upgrades!$U$8,G340),1)*IF(Upgrades!$T$9="Solar Wind",POWER(Upgrades!$U$9,H340),1)*IF(Upgrades!$T$10="Solar Wind",POWER(Upgrades!$U$10,I340),1)*IF(Upgrades!$T$11="Solar Wind",POWER(Upgrades!$U$11,J340),1)*IF(Upgrades!$T$12="Solar Wind",POWER(Upgrades!$U$12,K340),1))+(IF(F340=0,0,(Upgrades!$M$7+F340*Upgrades!$N$7)*POWER(Upgrades!$O$7,F340)))*(IF(Upgrades!$T$6="Asteroid Belt",POWER(Upgrades!$U$6,E340),1)*IF(Upgrades!$T$8="Asteroid Belt",POWER(Upgrades!$U$8,G340),1)*IF(Upgrades!$T$9="Asteroid Belt",POWER(Upgrades!$U$9,H340),1)*IF(Upgrades!$T$10="Asteroid Belt",POWER(Upgrades!$U$10,I340),1)*IF(Upgrades!$T$11="Asteroid Belt",POWER(Upgrades!$U$11,J340),1)*IF(Upgrades!$T$12="Asteroid Belt",POWER(Upgrades!$U$12,K340),1))+(IF(G340=0,0,(Upgrades!$M$8+G340*Upgrades!$N$8)*POWER(Upgrades!$O$8,G340)))*(IF(Upgrades!$T$6="Stellar Coupling",POWER(Upgrades!$U$6,E340),1)*IF(Upgrades!$T$7="Stellar Coupling",POWER(Upgrades!$U$7,F340),1)*IF(Upgrades!$T$9="Stellar Coupling",POWER(Upgrades!$U$9,H340),1)*IF(Upgrades!$T$10="Stellar Coupling",POWER(Upgrades!$U$10,I340),1)*IF(Upgrades!$T$11="Stellar Coupling",POWER(Upgrades!$U$11,J340),1)*IF(Upgrades!$T$12="Stellar Coupling",POWER(Upgrades!$U$12,K340),1))+(IF(H340=0,0,(Upgrades!$M$9+H340*Upgrades!$N$9)*POWER(Upgrades!$O$9,H340)))*(IF(Upgrades!$T$6="Magnetosphere",POWER(Upgrades!$U$6,E340),1)*IF(Upgrades!$T$7="Magnetosphere",POWER(Upgrades!$U$7,F340),1)*IF(Upgrades!$T$8="Magnetosphere",POWER(Upgrades!$U$8,G340),1)*IF(Upgrades!$T$10="Magnetosphere",POWER(Upgrades!$U$10,I340),1)*IF(Upgrades!$T$11="Magnetosphere",POWER(Upgrades!$U$11,J340),1)*IF(Upgrades!$T$12="Magnetosphere",POWER(Upgrades!$U$12,K340),1))+(IF(I340=0,0,(Upgrades!$M$10+I340*Upgrades!$N$10)*POWER(Upgrades!$O$10,I340)))*(IF(Upgrades!$T$6="Orbital Resonance",POWER(Upgrades!$U$6,E340),1)*IF(Upgrades!$T$7="Orbital Resonance",POWER(Upgrades!$U$7,F340),1)*IF(Upgrades!$T$8="Orbital Resonance",POWER(Upgrades!$U$8,G340),1)*IF(Upgrades!$T$9="Orbital Resonance",POWER(Upgrades!$U$9,H340),1)*IF(Upgrades!$T$11="Orbital Resonance",POWER(Upgrades!$U$11,J340),1)*IF(Upgrades!$T$12="Orbital Resonance",POWER(Upgrades!$U$12,K340),1))+(IF(J340=0,0,(Upgrades!$M$11+J340*Upgrades!$N$11)*POWER(Upgrades!$O$11,J340)))*(IF(Upgrades!$T$6="Heliopause",POWER(Upgrades!$U$6,E340),1)*IF(Upgrades!$T$7="Heliopause",POWER(Upgrades!$U$7,F340),1)*IF(Upgrades!$T$8="Heliopause",POWER(Upgrades!$U$8,G340),1)*IF(Upgrades!$T$9="Heliopause",POWER(Upgrades!$U$9,H340),1)*IF(Upgrades!$T$10="Heliopause",POWER(Upgrades!$U$10,I340),1)*IF(Upgrades!$T$12="Heliopause",POWER(Upgrades!$U$12,K340),1))+(IF(K340=0,0,(Upgrades!$M$12+K340*Upgrades!$N$12)*POWER(Upgrades!$O$12,K340)))*(IF(Upgrades!$T$6="First Photons",POWER(Upgrades!$U$6,E340),1)*IF(Upgrades!$T$7="First Photons",POWER(Upgrades!$U$7,F340),1)*IF(Upgrades!$T$8="First Photons",POWER(Upgrades!$U$8,G340),1)*IF(Upgrades!$T$9="First Photons",POWER(Upgrades!$U$9,H340),1)*IF(Upgrades!$T$10="First Photons",POWER(Upgrades!$U$10,I340),1)*IF(Upgrades!$T$11="First Photons",POWER(Upgrades!$U$11,J340),1)))*POWER(Upgrades!$R$6,E340)*POWER(Upgrades!$R$7,F340)*POWER(Upgrades!$R$8,G340)*POWER(Upgrades!$R$9,H340)*POWER(Upgrades!$R$10,I340)*POWER(Upgrades!$R$11,J340)*POWER(Upgrades!$R$12,K340)</f>
        <v/>
      </c>
      <c r="P340" s="27">
        <f>IF(L340=1,0,M340*Parameters!$B$10/60*Parameters!$B$11*10)</f>
        <v/>
      </c>
      <c r="Q340" s="27">
        <f>IF(L340=1,0,O340*M340*10)</f>
        <v/>
      </c>
      <c r="R340" s="27">
        <f>IF(L340=1,0,N340*10)</f>
        <v/>
      </c>
      <c r="S340" s="27">
        <f>P340+Q340+R340</f>
        <v/>
      </c>
      <c r="T340" s="22">
        <f>C340+S340</f>
        <v/>
      </c>
      <c r="U340" s="33">
        <f>AX340</f>
        <v/>
      </c>
      <c r="V340" s="22">
        <f>IF(U340="",0,IF(U340="transition",0,IF(U340="SW",AG340,IF(U340="AB",AH340,IF(U340="SC",AI340,IF(U340="Mag",AJ340,IF(U340="OR",AK340,IF(U340="HP",AL340,IF(U340="FP",AM340,0)))))))))</f>
        <v/>
      </c>
      <c r="W340" s="27">
        <f>IF(U340="OR",Upgrades!$F$10,IF(U340="HP",Upgrades!$F$11,IF(U340="transition",-Parameters!$B$18,0)))</f>
        <v/>
      </c>
      <c r="X340" s="22">
        <f>T340-V340</f>
        <v/>
      </c>
      <c r="Y340" s="30">
        <f>M340*Parameters!$B$10/60*Parameters!$B$11+O340*M340+N340</f>
        <v/>
      </c>
      <c r="Z340" s="34">
        <f>IF(U340="transition","→ Tier 2 (Stellar Neighborhood)",IF(U340="FP","First Photons — light begins, system quickens",IF(U340="HP","Heliopause acquired",IF(U340="OR","Orbital Resonance — passive multiplier active",IF(AND(AO340=1,L340=0,AN340&lt;&gt;1),"Cohesion ready (waiting on completionist upgrades)","")))))</f>
        <v/>
      </c>
      <c r="AA340" s="27">
        <f>(IF(E340=0,0,(Upgrades!$G$6+E340*Upgrades!$H$6)*POWER(Upgrades!$I$6,E340)))*(IF(Upgrades!$T$7="Solar Wind",POWER(Upgrades!$U$7,F340),1)*IF(Upgrades!$T$8="Solar Wind",POWER(Upgrades!$U$8,G340),1)*IF(Upgrades!$T$9="Solar Wind",POWER(Upgrades!$U$9,H340),1)*IF(Upgrades!$T$10="Solar Wind",POWER(Upgrades!$U$10,I340),1)*IF(Upgrades!$T$11="Solar Wind",POWER(Upgrades!$U$11,J340),1)*IF(Upgrades!$T$12="Solar Wind",POWER(Upgrades!$U$12,K340),1))*POWER(Upgrades!$P$6,E340)*POWER(Upgrades!$P$7,F340)*POWER(Upgrades!$P$8,G340)*POWER(Upgrades!$P$9,H340)*POWER(Upgrades!$P$10,I340)*POWER(Upgrades!$P$11,J340)*POWER(Upgrades!$P$12,K340)*60</f>
        <v/>
      </c>
      <c r="AB340" s="27">
        <f>(IF(F340=0,0,(Upgrades!$G$7+F340*Upgrades!$H$7)*POWER(Upgrades!$I$7,F340)))*(IF(Upgrades!$T$6="Asteroid Belt",POWER(Upgrades!$U$6,E340),1)*IF(Upgrades!$T$8="Asteroid Belt",POWER(Upgrades!$U$8,G340),1)*IF(Upgrades!$T$9="Asteroid Belt",POWER(Upgrades!$U$9,H340),1)*IF(Upgrades!$T$10="Asteroid Belt",POWER(Upgrades!$U$10,I340),1)*IF(Upgrades!$T$11="Asteroid Belt",POWER(Upgrades!$U$11,J340),1)*IF(Upgrades!$T$12="Asteroid Belt",POWER(Upgrades!$U$12,K340),1))*POWER(Upgrades!$P$6,E340)*POWER(Upgrades!$P$7,F340)*POWER(Upgrades!$P$8,G340)*POWER(Upgrades!$P$9,H340)*POWER(Upgrades!$P$10,I340)*POWER(Upgrades!$P$11,J340)*POWER(Upgrades!$P$12,K340)*60</f>
        <v/>
      </c>
      <c r="AC340" s="27">
        <f>(IF(G340=0,0,(Upgrades!$J$8+G340*Upgrades!$K$8)*POWER(Upgrades!$L$8,G340)))*(IF(Upgrades!$T$6="Stellar Coupling",POWER(Upgrades!$U$6,E340),1)*IF(Upgrades!$T$7="Stellar Coupling",POWER(Upgrades!$U$7,F340),1)*IF(Upgrades!$T$9="Stellar Coupling",POWER(Upgrades!$U$9,H340),1)*IF(Upgrades!$T$10="Stellar Coupling",POWER(Upgrades!$U$10,I340),1)*IF(Upgrades!$T$11="Stellar Coupling",POWER(Upgrades!$U$11,J340),1)*IF(Upgrades!$T$12="Stellar Coupling",POWER(Upgrades!$U$12,K340),1))*POWER(Upgrades!$Q$6,E340)*POWER(Upgrades!$Q$7,F340)*POWER(Upgrades!$Q$8,G340)*POWER(Upgrades!$Q$9,H340)*POWER(Upgrades!$Q$10,I340)*POWER(Upgrades!$Q$11,J340)*POWER(Upgrades!$Q$12,K340)*Parameters!$B$10*Parameters!$B$11</f>
        <v/>
      </c>
      <c r="AD340" s="27">
        <f>(IF(H340=0,0,(Upgrades!$G$9+H340*Upgrades!$H$9)*POWER(Upgrades!$I$9,H340)))*(IF(Upgrades!$T$6="Magnetosphere",POWER(Upgrades!$U$6,E340),1)*IF(Upgrades!$T$7="Magnetosphere",POWER(Upgrades!$U$7,F340),1)*IF(Upgrades!$T$8="Magnetosphere",POWER(Upgrades!$U$8,G340),1)*IF(Upgrades!$T$10="Magnetosphere",POWER(Upgrades!$U$10,I340),1)*IF(Upgrades!$T$11="Magnetosphere",POWER(Upgrades!$U$11,J340),1)*IF(Upgrades!$T$12="Magnetosphere",POWER(Upgrades!$U$12,K340),1))*POWER(Upgrades!$P$6,E340)*POWER(Upgrades!$P$7,F340)*POWER(Upgrades!$P$8,G340)*POWER(Upgrades!$P$9,H340)*POWER(Upgrades!$P$10,I340)*POWER(Upgrades!$P$11,J340)*POWER(Upgrades!$P$12,K340)*60</f>
        <v/>
      </c>
      <c r="AE340" s="27">
        <f>(IF(K340=0,0,(Upgrades!$G$12+K340*Upgrades!$H$12)*POWER(Upgrades!$I$12,K340)))*(IF(Upgrades!$T$6="First Photons",POWER(Upgrades!$U$6,E340),1)*IF(Upgrades!$T$7="First Photons",POWER(Upgrades!$U$7,F340),1)*IF(Upgrades!$T$8="First Photons",POWER(Upgrades!$U$8,G340),1)*IF(Upgrades!$T$9="First Photons",POWER(Upgrades!$U$9,H340),1)*IF(Upgrades!$T$10="First Photons",POWER(Upgrades!$U$10,I340),1)*IF(Upgrades!$T$11="First Photons",POWER(Upgrades!$U$11,J340),1))*POWER(Upgrades!$P$6,E340)*POWER(Upgrades!$P$7,F340)*POWER(Upgrades!$P$8,G340)*POWER(Upgrades!$P$9,H340)*POWER(Upgrades!$P$10,I340)*POWER(Upgrades!$P$11,J340)*POWER(Upgrades!$P$12,K340)*60</f>
        <v/>
      </c>
      <c r="AF340" s="27">
        <f>Parameters!$B$9*POWER(Upgrades!$Q$6,E340)*POWER(Upgrades!$Q$7,F340)*POWER(Upgrades!$Q$8,G340)*POWER(Upgrades!$Q$9,H340)*POWER(Upgrades!$Q$10,I340)*POWER(Upgrades!$Q$11,J340)*POWER(Upgrades!$Q$12,K340)*(Parameters!$B$10*Parameters!$B$11+O340*60)</f>
        <v/>
      </c>
      <c r="AG340" s="22">
        <f>IF(E340&gt;=Upgrades!$E$6,"",Upgrades!$C$6*POWER(Upgrades!$D$6,E340))</f>
        <v/>
      </c>
      <c r="AH340" s="22">
        <f>IF(F340&gt;=Upgrades!$E$7,"",Upgrades!$C$7*POWER(Upgrades!$D$7,F340))</f>
        <v/>
      </c>
      <c r="AI340" s="22">
        <f>IF(G340&gt;=Upgrades!$E$8,"",Upgrades!$C$8*POWER(Upgrades!$D$8,G340))</f>
        <v/>
      </c>
      <c r="AJ340" s="22">
        <f>IF(H340&gt;=Upgrades!$E$9,"",Upgrades!$C$9*POWER(Upgrades!$D$9,H340))</f>
        <v/>
      </c>
      <c r="AK340" s="22">
        <f>IF(I340&gt;=Upgrades!$E$10,"",Upgrades!$C$10*POWER(Upgrades!$D$10,I340))</f>
        <v/>
      </c>
      <c r="AL340" s="22">
        <f>IF(J340&gt;=Upgrades!$E$11,"",Upgrades!$C$11*POWER(Upgrades!$D$11,J340))</f>
        <v/>
      </c>
      <c r="AM340" s="22">
        <f>IF(K340&gt;=Upgrades!$E$12,"",Upgrades!$C$12*POWER(Upgrades!$D$12,K340))</f>
        <v/>
      </c>
      <c r="AN340" s="26">
        <f>IF(AND(D340&gt;=Parameters!$B$18,(H340&gt;=Upgrades!$E$9)*(K340&gt;=Upgrades!$E$12)=1,L340=0),1,"")</f>
        <v/>
      </c>
      <c r="AO340" s="26">
        <f>IF(AND(D340&gt;=Parameters!$B$18,L340=0),1,"")</f>
        <v/>
      </c>
      <c r="AP340" s="22">
        <f>MIN(IF(ISNUMBER(AK340),AK340,9E15),IF(ISNUMBER(AL340),AL340,9E15),IF(ISNUMBER(AM340),AM340,9E15))</f>
        <v/>
      </c>
      <c r="AQ340" s="22">
        <f>MIN(IF(ISNUMBER(AG340),AG340,9E15),IF(ISNUMBER(AH340),AH340,9E15),IF(ISNUMBER(AI340),AI340,9E15),IF(ISNUMBER(AJ340),AJ340,9E15))</f>
        <v/>
      </c>
      <c r="AR340" s="29">
        <f>IF(AW340&gt;Parameters!$B$21*(MAX(IF(AND(NOT(AND(AO340=1,AN340&lt;&gt;1)),ISNUMBER(AG340),AG340&lt;=T340),AS340,0),IF(AND(NOT(AND(AO340=1,AN340&lt;&gt;1)),ISNUMBER(AH340),AH340&lt;=T340),AT340,0),IF(AND(NOT(AND(AO340=1,AN340&lt;&gt;1)),ISNUMBER(AI340),AI340&lt;=T340),AU340,0),IF(AND(ISNUMBER(AJ340),AJ340&lt;=T340),AV340,0))),TRUE,FALSE)</f>
        <v/>
      </c>
      <c r="AS340" s="32">
        <f>IFERROR(Upgrades!$H$6*(POWER(Upgrades!$P$6,E340)*POWER(Upgrades!$P$7,F340)*POWER(Upgrades!$P$8,G340)*POWER(Upgrades!$P$9,H340)*POWER(Upgrades!$P$10,I340)*POWER(Upgrades!$P$11,J340)*POWER(Upgrades!$P$12,K340))*(IF(Upgrades!$T$7="Solar Wind",POWER(Upgrades!$U$7,F340),1)*IF(Upgrades!$T$8="Solar Wind",POWER(Upgrades!$U$8,G340),1)*IF(Upgrades!$T$9="Solar Wind",POWER(Upgrades!$U$9,H340),1)*IF(Upgrades!$T$10="Solar Wind",POWER(Upgrades!$U$10,I340),1)*IF(Upgrades!$T$11="Solar Wind",POWER(Upgrades!$U$11,J340),1)*IF(Upgrades!$T$12="Solar Wind",POWER(Upgrades!$U$12,K340),1))/AG340,0)</f>
        <v/>
      </c>
      <c r="AT340" s="32">
        <f>IFERROR(Upgrades!$H$7*(POWER(Upgrades!$P$6,E340)*POWER(Upgrades!$P$7,F340)*POWER(Upgrades!$P$8,G340)*POWER(Upgrades!$P$9,H340)*POWER(Upgrades!$P$10,I340)*POWER(Upgrades!$P$11,J340)*POWER(Upgrades!$P$12,K340))*(IF(Upgrades!$T$6="Asteroid Belt",POWER(Upgrades!$U$6,E340),1)*IF(Upgrades!$T$8="Asteroid Belt",POWER(Upgrades!$U$8,G340),1)*IF(Upgrades!$T$9="Asteroid Belt",POWER(Upgrades!$U$9,H340),1)*IF(Upgrades!$T$10="Asteroid Belt",POWER(Upgrades!$U$10,I340),1)*IF(Upgrades!$T$11="Asteroid Belt",POWER(Upgrades!$U$11,J340),1)*IF(Upgrades!$T$12="Asteroid Belt",POWER(Upgrades!$U$12,K340),1))/AH340,0)</f>
        <v/>
      </c>
      <c r="AU340" s="32">
        <f>IFERROR(Upgrades!$K$8*(POWER(Upgrades!$Q$6,E340)*POWER(Upgrades!$Q$7,F340)*POWER(Upgrades!$Q$8,G340)*POWER(Upgrades!$Q$9,H340)*POWER(Upgrades!$Q$10,I340)*POWER(Upgrades!$Q$11,J340)*POWER(Upgrades!$Q$12,K340))*(IF(Upgrades!$T$6="Stellar Coupling",POWER(Upgrades!$U$6,E340),1)*IF(Upgrades!$T$7="Stellar Coupling",POWER(Upgrades!$U$7,F340),1)*IF(Upgrades!$T$9="Stellar Coupling",POWER(Upgrades!$U$9,H340),1)*IF(Upgrades!$T$10="Stellar Coupling",POWER(Upgrades!$U$10,I340),1)*IF(Upgrades!$T$11="Stellar Coupling",POWER(Upgrades!$U$11,J340),1)*IF(Upgrades!$T$12="Stellar Coupling",POWER(Upgrades!$U$12,K340),1))*Parameters!$B$10*Parameters!$B$11/60/AI340,0)</f>
        <v/>
      </c>
      <c r="AV340" s="32">
        <f>IFERROR(Upgrades!$H$9*(POWER(Upgrades!$P$6,E340)*POWER(Upgrades!$P$7,F340)*POWER(Upgrades!$P$8,G340)*POWER(Upgrades!$P$9,H340)*POWER(Upgrades!$P$10,I340)*POWER(Upgrades!$P$11,J340)*POWER(Upgrades!$P$12,K340))*(IF(Upgrades!$T$6="Magnetosphere",POWER(Upgrades!$U$6,E340),1)*IF(Upgrades!$T$7="Magnetosphere",POWER(Upgrades!$U$7,F340),1)*IF(Upgrades!$T$8="Magnetosphere",POWER(Upgrades!$U$8,G340),1)*IF(Upgrades!$T$10="Magnetosphere",POWER(Upgrades!$U$10,I340),1)*IF(Upgrades!$T$11="Magnetosphere",POWER(Upgrades!$U$11,J340),1)*IF(Upgrades!$T$12="Magnetosphere",POWER(Upgrades!$U$12,K340),1))/AJ340,0)</f>
        <v/>
      </c>
      <c r="AW340" s="32">
        <f>MAX(IF(I340&gt;0,0,IFERROR(0.25*N340/Upgrades!$C$10,0)),IF(J340&gt;0,0,IFERROR(0.5*((IF(G340=0,0,(Upgrades!$J$8+G340*Upgrades!$K$8)*POWER(Upgrades!$L$8,G340)))*(IF(Upgrades!$T$6="Stellar Coupling",POWER(Upgrades!$U$6,E340),1)*IF(Upgrades!$T$7="Stellar Coupling",POWER(Upgrades!$U$7,F340),1)*IF(Upgrades!$T$9="Stellar Coupling",POWER(Upgrades!$U$9,H340),1)*IF(Upgrades!$T$10="Stellar Coupling",POWER(Upgrades!$U$10,I340),1)*IF(Upgrades!$T$11="Stellar Coupling",POWER(Upgrades!$U$11,J340),1)*IF(Upgrades!$T$12="Stellar Coupling",POWER(Upgrades!$U$12,K340),1))*(POWER(Upgrades!$Q$6,E340)*POWER(Upgrades!$Q$7,F340)*POWER(Upgrades!$Q$8,G340)*POWER(Upgrades!$Q$9,H340)*POWER(Upgrades!$Q$10,I340)*POWER(Upgrades!$Q$11,J340)*POWER(Upgrades!$Q$12,K340))*Parameters!$B$10*Parameters!$B$11/60)/Upgrades!$C$11,0)),IF(K340&gt;0,0,IFERROR((1.0*(POWER(Upgrades!$P$6,E340)*POWER(Upgrades!$P$7,F340)*POWER(Upgrades!$P$8,G340)*POWER(Upgrades!$P$9,H340)*POWER(Upgrades!$P$10,I340)*POWER(Upgrades!$P$11,J340)*POWER(Upgrades!$P$12,K340))+0.20*M340*Parameters!$B$10*Parameters!$B$11/60)/Upgrades!$C$12,0)),IF(AND(ISNUMBER(AG340),AG340&gt;T340),AS340,0),IF(AND(ISNUMBER(AH340),AH340&gt;T340),AT340,0),IF(AND(ISNUMBER(AI340),AI340&gt;T340),AU340,0),IF(AND(ISNUMBER(AJ340),AJ340&gt;T340),AV340,0))</f>
        <v/>
      </c>
      <c r="AX340" s="29">
        <f>IF(AN340=1,"transition",IF(MIN(IF(AND(I340=0,ISNUMBER(AK340),AK340&lt;=T340),AK340,9E15),IF(AND(J340=0,ISNUMBER(AL340),AL340&lt;=T340),AL340,9E15),IF(AND(K340=0,ISNUMBER(AM340),AM340&lt;=T340),AM340,9E15))&lt;9E15,IF(AND(AND(I340=0,ISNUMBER(AK340),AK340&lt;=T340),AK340=MIN(IF(AND(I340=0,ISNUMBER(AK340),AK340&lt;=T340),AK340,9E15),IF(AND(J340=0,ISNUMBER(AL340),AL340&lt;=T340),AL340,9E15),IF(AND(K340=0,ISNUMBER(AM340),AM340&lt;=T340),AM340,9E15))),"OR",IF(AND(AND(J340=0,ISNUMBER(AL340),AL340&lt;=T340),AL340=MIN(IF(AND(I340=0,ISNUMBER(AK340),AK340&lt;=T340),AK340,9E15),IF(AND(J340=0,ISNUMBER(AL340),AL340&lt;=T340),AL340,9E15),IF(AND(K340=0,ISNUMBER(AM340),AM340&lt;=T340),AM340,9E15))),"HP","FP")),IF(AR340=TRUE,"",IF(MAX(IF(AND(NOT(AND(AO340=1,AN340&lt;&gt;1)),ISNUMBER(AG340),AG340&lt;=T340),AS340,0),IF(AND(NOT(AND(AO340=1,AN340&lt;&gt;1)),ISNUMBER(AH340),AH340&lt;=T340),AT340,0),IF(AND(NOT(AND(AO340=1,AN340&lt;&gt;1)),ISNUMBER(AI340),AI340&lt;=T340),AU340,0),IF(AND(ISNUMBER(AJ340),AJ340&lt;=T340),AV340,0))&lt;=0,"",IF(AND(IF(AND(NOT(AND(AO340=1,AN340&lt;&gt;1)),ISNUMBER(AG340),AG340&lt;=T340),AS340,0)&gt;0,IF(AND(NOT(AND(AO340=1,AN340&lt;&gt;1)),ISNUMBER(AG340),AG340&lt;=T340),AS340,0)=MAX(IF(AND(NOT(AND(AO340=1,AN340&lt;&gt;1)),ISNUMBER(AG340),AG340&lt;=T340),AS340,0),IF(AND(NOT(AND(AO340=1,AN340&lt;&gt;1)),ISNUMBER(AH340),AH340&lt;=T340),AT340,0),IF(AND(NOT(AND(AO340=1,AN340&lt;&gt;1)),ISNUMBER(AI340),AI340&lt;=T340),AU340,0),IF(AND(ISNUMBER(AJ340),AJ340&lt;=T340),AV340,0))),"SW",IF(AND(IF(AND(NOT(AND(AO340=1,AN340&lt;&gt;1)),ISNUMBER(AH340),AH340&lt;=T340),AT340,0)&gt;0,IF(AND(NOT(AND(AO340=1,AN340&lt;&gt;1)),ISNUMBER(AH340),AH340&lt;=T340),AT340,0)=MAX(IF(AND(NOT(AND(AO340=1,AN340&lt;&gt;1)),ISNUMBER(AG340),AG340&lt;=T340),AS340,0),IF(AND(NOT(AND(AO340=1,AN340&lt;&gt;1)),ISNUMBER(AH340),AH340&lt;=T340),AT340,0),IF(AND(NOT(AND(AO340=1,AN340&lt;&gt;1)),ISNUMBER(AI340),AI340&lt;=T340),AU340,0),IF(AND(ISNUMBER(AJ340),AJ340&lt;=T340),AV340,0))),"AB",IF(AND(IF(AND(NOT(AND(AO340=1,AN340&lt;&gt;1)),ISNUMBER(AI340),AI340&lt;=T340),AU340,0)&gt;0,IF(AND(NOT(AND(AO340=1,AN340&lt;&gt;1)),ISNUMBER(AI340),AI340&lt;=T340),AU340,0)=MAX(IF(AND(NOT(AND(AO340=1,AN340&lt;&gt;1)),ISNUMBER(AG340),AG340&lt;=T340),AS340,0),IF(AND(NOT(AND(AO340=1,AN340&lt;&gt;1)),ISNUMBER(AH340),AH340&lt;=T340),AT340,0),IF(AND(NOT(AND(AO340=1,AN340&lt;&gt;1)),ISNUMBER(AI340),AI340&lt;=T340),AU340,0),IF(AND(ISNUMBER(AJ340),AJ340&lt;=T340),AV340,0))),"SC","Mag")))))))</f>
        <v/>
      </c>
    </row>
    <row r="341">
      <c r="A341" s="26" t="n">
        <v>336</v>
      </c>
      <c r="B341" s="27">
        <f>A341*10/60</f>
        <v/>
      </c>
      <c r="C341" s="22">
        <f>X340</f>
        <v/>
      </c>
      <c r="D341" s="27">
        <f>D340+W340</f>
        <v/>
      </c>
      <c r="E341" s="26">
        <f>E340+IF(U340="SW",1,0)</f>
        <v/>
      </c>
      <c r="F341" s="26">
        <f>F340+IF(U340="AB",1,0)</f>
        <v/>
      </c>
      <c r="G341" s="26">
        <f>G340+IF(U340="SC",1,0)</f>
        <v/>
      </c>
      <c r="H341" s="26">
        <f>H340+IF(U340="Mag",1,0)</f>
        <v/>
      </c>
      <c r="I341" s="26">
        <f>MAX(I340,IF(U340="OR",1,0))</f>
        <v/>
      </c>
      <c r="J341" s="26">
        <f>MAX(J340,IF(U340="HP",1,0))</f>
        <v/>
      </c>
      <c r="K341" s="26">
        <f>MAX(K340,IF(U340="FP",1,0))</f>
        <v/>
      </c>
      <c r="L341" s="26">
        <f>MAX(L340,IF(U340="transition",1,0))</f>
        <v/>
      </c>
      <c r="M341" s="28">
        <f>(Parameters!$B$9+(IF(E341=0,0,(Upgrades!$J$6+E341*Upgrades!$K$6)*POWER(Upgrades!$L$6,E341)))*(IF(Upgrades!$T$7="Solar Wind",POWER(Upgrades!$U$7,F341),1)*IF(Upgrades!$T$8="Solar Wind",POWER(Upgrades!$U$8,G341),1)*IF(Upgrades!$T$9="Solar Wind",POWER(Upgrades!$U$9,H341),1)*IF(Upgrades!$T$10="Solar Wind",POWER(Upgrades!$U$10,I341),1)*IF(Upgrades!$T$11="Solar Wind",POWER(Upgrades!$U$11,J341),1)*IF(Upgrades!$T$12="Solar Wind",POWER(Upgrades!$U$12,K341),1))+(IF(F341=0,0,(Upgrades!$J$7+F341*Upgrades!$K$7)*POWER(Upgrades!$L$7,F341)))*(IF(Upgrades!$T$6="Asteroid Belt",POWER(Upgrades!$U$6,E341),1)*IF(Upgrades!$T$8="Asteroid Belt",POWER(Upgrades!$U$8,G341),1)*IF(Upgrades!$T$9="Asteroid Belt",POWER(Upgrades!$U$9,H341),1)*IF(Upgrades!$T$10="Asteroid Belt",POWER(Upgrades!$U$10,I341),1)*IF(Upgrades!$T$11="Asteroid Belt",POWER(Upgrades!$U$11,J341),1)*IF(Upgrades!$T$12="Asteroid Belt",POWER(Upgrades!$U$12,K341),1))+(IF(G341=0,0,(Upgrades!$J$8+G341*Upgrades!$K$8)*POWER(Upgrades!$L$8,G341)))*(IF(Upgrades!$T$6="Stellar Coupling",POWER(Upgrades!$U$6,E341),1)*IF(Upgrades!$T$7="Stellar Coupling",POWER(Upgrades!$U$7,F341),1)*IF(Upgrades!$T$9="Stellar Coupling",POWER(Upgrades!$U$9,H341),1)*IF(Upgrades!$T$10="Stellar Coupling",POWER(Upgrades!$U$10,I341),1)*IF(Upgrades!$T$11="Stellar Coupling",POWER(Upgrades!$U$11,J341),1)*IF(Upgrades!$T$12="Stellar Coupling",POWER(Upgrades!$U$12,K341),1))+(IF(H341=0,0,(Upgrades!$J$9+H341*Upgrades!$K$9)*POWER(Upgrades!$L$9,H341)))*(IF(Upgrades!$T$6="Magnetosphere",POWER(Upgrades!$U$6,E341),1)*IF(Upgrades!$T$7="Magnetosphere",POWER(Upgrades!$U$7,F341),1)*IF(Upgrades!$T$8="Magnetosphere",POWER(Upgrades!$U$8,G341),1)*IF(Upgrades!$T$10="Magnetosphere",POWER(Upgrades!$U$10,I341),1)*IF(Upgrades!$T$11="Magnetosphere",POWER(Upgrades!$U$11,J341),1)*IF(Upgrades!$T$12="Magnetosphere",POWER(Upgrades!$U$12,K341),1))+(IF(I341=0,0,(Upgrades!$J$10+I341*Upgrades!$K$10)*POWER(Upgrades!$L$10,I341)))*(IF(Upgrades!$T$6="Orbital Resonance",POWER(Upgrades!$U$6,E341),1)*IF(Upgrades!$T$7="Orbital Resonance",POWER(Upgrades!$U$7,F341),1)*IF(Upgrades!$T$8="Orbital Resonance",POWER(Upgrades!$U$8,G341),1)*IF(Upgrades!$T$9="Orbital Resonance",POWER(Upgrades!$U$9,H341),1)*IF(Upgrades!$T$11="Orbital Resonance",POWER(Upgrades!$U$11,J341),1)*IF(Upgrades!$T$12="Orbital Resonance",POWER(Upgrades!$U$12,K341),1))+(IF(J341=0,0,(Upgrades!$J$11+J341*Upgrades!$K$11)*POWER(Upgrades!$L$11,J341)))*(IF(Upgrades!$T$6="Heliopause",POWER(Upgrades!$U$6,E341),1)*IF(Upgrades!$T$7="Heliopause",POWER(Upgrades!$U$7,F341),1)*IF(Upgrades!$T$8="Heliopause",POWER(Upgrades!$U$8,G341),1)*IF(Upgrades!$T$9="Heliopause",POWER(Upgrades!$U$9,H341),1)*IF(Upgrades!$T$10="Heliopause",POWER(Upgrades!$U$10,I341),1)*IF(Upgrades!$T$12="Heliopause",POWER(Upgrades!$U$12,K341),1))+(IF(K341=0,0,(Upgrades!$J$12+K341*Upgrades!$K$12)*POWER(Upgrades!$L$12,K341)))*(IF(Upgrades!$T$6="First Photons",POWER(Upgrades!$U$6,E341),1)*IF(Upgrades!$T$7="First Photons",POWER(Upgrades!$U$7,F341),1)*IF(Upgrades!$T$8="First Photons",POWER(Upgrades!$U$8,G341),1)*IF(Upgrades!$T$9="First Photons",POWER(Upgrades!$U$9,H341),1)*IF(Upgrades!$T$10="First Photons",POWER(Upgrades!$U$10,I341),1)*IF(Upgrades!$T$11="First Photons",POWER(Upgrades!$U$11,J341),1)))*POWER(Upgrades!$Q$6,E341)*POWER(Upgrades!$Q$7,F341)*POWER(Upgrades!$Q$8,G341)*POWER(Upgrades!$Q$9,H341)*POWER(Upgrades!$Q$10,I341)*POWER(Upgrades!$Q$11,J341)*POWER(Upgrades!$Q$12,K341)</f>
        <v/>
      </c>
      <c r="N341" s="28">
        <f>((IF(E341=0,0,(Upgrades!$G$6+E341*Upgrades!$H$6)*POWER(Upgrades!$I$6,E341)))*(IF(Upgrades!$T$7="Solar Wind",POWER(Upgrades!$U$7,F341),1)*IF(Upgrades!$T$8="Solar Wind",POWER(Upgrades!$U$8,G341),1)*IF(Upgrades!$T$9="Solar Wind",POWER(Upgrades!$U$9,H341),1)*IF(Upgrades!$T$10="Solar Wind",POWER(Upgrades!$U$10,I341),1)*IF(Upgrades!$T$11="Solar Wind",POWER(Upgrades!$U$11,J341),1)*IF(Upgrades!$T$12="Solar Wind",POWER(Upgrades!$U$12,K341),1))+(IF(F341=0,0,(Upgrades!$G$7+F341*Upgrades!$H$7)*POWER(Upgrades!$I$7,F341)))*(IF(Upgrades!$T$6="Asteroid Belt",POWER(Upgrades!$U$6,E341),1)*IF(Upgrades!$T$8="Asteroid Belt",POWER(Upgrades!$U$8,G341),1)*IF(Upgrades!$T$9="Asteroid Belt",POWER(Upgrades!$U$9,H341),1)*IF(Upgrades!$T$10="Asteroid Belt",POWER(Upgrades!$U$10,I341),1)*IF(Upgrades!$T$11="Asteroid Belt",POWER(Upgrades!$U$11,J341),1)*IF(Upgrades!$T$12="Asteroid Belt",POWER(Upgrades!$U$12,K341),1))+(IF(G341=0,0,(Upgrades!$G$8+G341*Upgrades!$H$8)*POWER(Upgrades!$I$8,G341)))*(IF(Upgrades!$T$6="Stellar Coupling",POWER(Upgrades!$U$6,E341),1)*IF(Upgrades!$T$7="Stellar Coupling",POWER(Upgrades!$U$7,F341),1)*IF(Upgrades!$T$9="Stellar Coupling",POWER(Upgrades!$U$9,H341),1)*IF(Upgrades!$T$10="Stellar Coupling",POWER(Upgrades!$U$10,I341),1)*IF(Upgrades!$T$11="Stellar Coupling",POWER(Upgrades!$U$11,J341),1)*IF(Upgrades!$T$12="Stellar Coupling",POWER(Upgrades!$U$12,K341),1))+(IF(H341=0,0,(Upgrades!$G$9+H341*Upgrades!$H$9)*POWER(Upgrades!$I$9,H341)))*(IF(Upgrades!$T$6="Magnetosphere",POWER(Upgrades!$U$6,E341),1)*IF(Upgrades!$T$7="Magnetosphere",POWER(Upgrades!$U$7,F341),1)*IF(Upgrades!$T$8="Magnetosphere",POWER(Upgrades!$U$8,G341),1)*IF(Upgrades!$T$10="Magnetosphere",POWER(Upgrades!$U$10,I341),1)*IF(Upgrades!$T$11="Magnetosphere",POWER(Upgrades!$U$11,J341),1)*IF(Upgrades!$T$12="Magnetosphere",POWER(Upgrades!$U$12,K341),1))+(IF(I341=0,0,(Upgrades!$G$10+I341*Upgrades!$H$10)*POWER(Upgrades!$I$10,I341)))*(IF(Upgrades!$T$6="Orbital Resonance",POWER(Upgrades!$U$6,E341),1)*IF(Upgrades!$T$7="Orbital Resonance",POWER(Upgrades!$U$7,F341),1)*IF(Upgrades!$T$8="Orbital Resonance",POWER(Upgrades!$U$8,G341),1)*IF(Upgrades!$T$9="Orbital Resonance",POWER(Upgrades!$U$9,H341),1)*IF(Upgrades!$T$11="Orbital Resonance",POWER(Upgrades!$U$11,J341),1)*IF(Upgrades!$T$12="Orbital Resonance",POWER(Upgrades!$U$12,K341),1))+(IF(J341=0,0,(Upgrades!$G$11+J341*Upgrades!$H$11)*POWER(Upgrades!$I$11,J341)))*(IF(Upgrades!$T$6="Heliopause",POWER(Upgrades!$U$6,E341),1)*IF(Upgrades!$T$7="Heliopause",POWER(Upgrades!$U$7,F341),1)*IF(Upgrades!$T$8="Heliopause",POWER(Upgrades!$U$8,G341),1)*IF(Upgrades!$T$9="Heliopause",POWER(Upgrades!$U$9,H341),1)*IF(Upgrades!$T$10="Heliopause",POWER(Upgrades!$U$10,I341),1)*IF(Upgrades!$T$12="Heliopause",POWER(Upgrades!$U$12,K341),1))+(IF(K341=0,0,(Upgrades!$G$12+K341*Upgrades!$H$12)*POWER(Upgrades!$I$12,K341)))*(IF(Upgrades!$T$6="First Photons",POWER(Upgrades!$U$6,E341),1)*IF(Upgrades!$T$7="First Photons",POWER(Upgrades!$U$7,F341),1)*IF(Upgrades!$T$8="First Photons",POWER(Upgrades!$U$8,G341),1)*IF(Upgrades!$T$9="First Photons",POWER(Upgrades!$U$9,H341),1)*IF(Upgrades!$T$10="First Photons",POWER(Upgrades!$U$10,I341),1)*IF(Upgrades!$T$11="First Photons",POWER(Upgrades!$U$11,J341),1)))*POWER(Upgrades!$P$6,E341)*POWER(Upgrades!$P$7,F341)*POWER(Upgrades!$P$8,G341)*POWER(Upgrades!$P$9,H341)*POWER(Upgrades!$P$10,I341)*POWER(Upgrades!$P$11,J341)*POWER(Upgrades!$P$12,K341)</f>
        <v/>
      </c>
      <c r="O341" s="28">
        <f>((IF(E341=0,0,(Upgrades!$M$6+E341*Upgrades!$N$6)*POWER(Upgrades!$O$6,E341)))*(IF(Upgrades!$T$7="Solar Wind",POWER(Upgrades!$U$7,F341),1)*IF(Upgrades!$T$8="Solar Wind",POWER(Upgrades!$U$8,G341),1)*IF(Upgrades!$T$9="Solar Wind",POWER(Upgrades!$U$9,H341),1)*IF(Upgrades!$T$10="Solar Wind",POWER(Upgrades!$U$10,I341),1)*IF(Upgrades!$T$11="Solar Wind",POWER(Upgrades!$U$11,J341),1)*IF(Upgrades!$T$12="Solar Wind",POWER(Upgrades!$U$12,K341),1))+(IF(F341=0,0,(Upgrades!$M$7+F341*Upgrades!$N$7)*POWER(Upgrades!$O$7,F341)))*(IF(Upgrades!$T$6="Asteroid Belt",POWER(Upgrades!$U$6,E341),1)*IF(Upgrades!$T$8="Asteroid Belt",POWER(Upgrades!$U$8,G341),1)*IF(Upgrades!$T$9="Asteroid Belt",POWER(Upgrades!$U$9,H341),1)*IF(Upgrades!$T$10="Asteroid Belt",POWER(Upgrades!$U$10,I341),1)*IF(Upgrades!$T$11="Asteroid Belt",POWER(Upgrades!$U$11,J341),1)*IF(Upgrades!$T$12="Asteroid Belt",POWER(Upgrades!$U$12,K341),1))+(IF(G341=0,0,(Upgrades!$M$8+G341*Upgrades!$N$8)*POWER(Upgrades!$O$8,G341)))*(IF(Upgrades!$T$6="Stellar Coupling",POWER(Upgrades!$U$6,E341),1)*IF(Upgrades!$T$7="Stellar Coupling",POWER(Upgrades!$U$7,F341),1)*IF(Upgrades!$T$9="Stellar Coupling",POWER(Upgrades!$U$9,H341),1)*IF(Upgrades!$T$10="Stellar Coupling",POWER(Upgrades!$U$10,I341),1)*IF(Upgrades!$T$11="Stellar Coupling",POWER(Upgrades!$U$11,J341),1)*IF(Upgrades!$T$12="Stellar Coupling",POWER(Upgrades!$U$12,K341),1))+(IF(H341=0,0,(Upgrades!$M$9+H341*Upgrades!$N$9)*POWER(Upgrades!$O$9,H341)))*(IF(Upgrades!$T$6="Magnetosphere",POWER(Upgrades!$U$6,E341),1)*IF(Upgrades!$T$7="Magnetosphere",POWER(Upgrades!$U$7,F341),1)*IF(Upgrades!$T$8="Magnetosphere",POWER(Upgrades!$U$8,G341),1)*IF(Upgrades!$T$10="Magnetosphere",POWER(Upgrades!$U$10,I341),1)*IF(Upgrades!$T$11="Magnetosphere",POWER(Upgrades!$U$11,J341),1)*IF(Upgrades!$T$12="Magnetosphere",POWER(Upgrades!$U$12,K341),1))+(IF(I341=0,0,(Upgrades!$M$10+I341*Upgrades!$N$10)*POWER(Upgrades!$O$10,I341)))*(IF(Upgrades!$T$6="Orbital Resonance",POWER(Upgrades!$U$6,E341),1)*IF(Upgrades!$T$7="Orbital Resonance",POWER(Upgrades!$U$7,F341),1)*IF(Upgrades!$T$8="Orbital Resonance",POWER(Upgrades!$U$8,G341),1)*IF(Upgrades!$T$9="Orbital Resonance",POWER(Upgrades!$U$9,H341),1)*IF(Upgrades!$T$11="Orbital Resonance",POWER(Upgrades!$U$11,J341),1)*IF(Upgrades!$T$12="Orbital Resonance",POWER(Upgrades!$U$12,K341),1))+(IF(J341=0,0,(Upgrades!$M$11+J341*Upgrades!$N$11)*POWER(Upgrades!$O$11,J341)))*(IF(Upgrades!$T$6="Heliopause",POWER(Upgrades!$U$6,E341),1)*IF(Upgrades!$T$7="Heliopause",POWER(Upgrades!$U$7,F341),1)*IF(Upgrades!$T$8="Heliopause",POWER(Upgrades!$U$8,G341),1)*IF(Upgrades!$T$9="Heliopause",POWER(Upgrades!$U$9,H341),1)*IF(Upgrades!$T$10="Heliopause",POWER(Upgrades!$U$10,I341),1)*IF(Upgrades!$T$12="Heliopause",POWER(Upgrades!$U$12,K341),1))+(IF(K341=0,0,(Upgrades!$M$12+K341*Upgrades!$N$12)*POWER(Upgrades!$O$12,K341)))*(IF(Upgrades!$T$6="First Photons",POWER(Upgrades!$U$6,E341),1)*IF(Upgrades!$T$7="First Photons",POWER(Upgrades!$U$7,F341),1)*IF(Upgrades!$T$8="First Photons",POWER(Upgrades!$U$8,G341),1)*IF(Upgrades!$T$9="First Photons",POWER(Upgrades!$U$9,H341),1)*IF(Upgrades!$T$10="First Photons",POWER(Upgrades!$U$10,I341),1)*IF(Upgrades!$T$11="First Photons",POWER(Upgrades!$U$11,J341),1)))*POWER(Upgrades!$R$6,E341)*POWER(Upgrades!$R$7,F341)*POWER(Upgrades!$R$8,G341)*POWER(Upgrades!$R$9,H341)*POWER(Upgrades!$R$10,I341)*POWER(Upgrades!$R$11,J341)*POWER(Upgrades!$R$12,K341)</f>
        <v/>
      </c>
      <c r="P341" s="27">
        <f>IF(L341=1,0,M341*Parameters!$B$10/60*Parameters!$B$11*10)</f>
        <v/>
      </c>
      <c r="Q341" s="27">
        <f>IF(L341=1,0,O341*M341*10)</f>
        <v/>
      </c>
      <c r="R341" s="27">
        <f>IF(L341=1,0,N341*10)</f>
        <v/>
      </c>
      <c r="S341" s="27">
        <f>P341+Q341+R341</f>
        <v/>
      </c>
      <c r="T341" s="22">
        <f>C341+S341</f>
        <v/>
      </c>
      <c r="U341" s="33">
        <f>AX341</f>
        <v/>
      </c>
      <c r="V341" s="22">
        <f>IF(U341="",0,IF(U341="transition",0,IF(U341="SW",AG341,IF(U341="AB",AH341,IF(U341="SC",AI341,IF(U341="Mag",AJ341,IF(U341="OR",AK341,IF(U341="HP",AL341,IF(U341="FP",AM341,0)))))))))</f>
        <v/>
      </c>
      <c r="W341" s="27">
        <f>IF(U341="OR",Upgrades!$F$10,IF(U341="HP",Upgrades!$F$11,IF(U341="transition",-Parameters!$B$18,0)))</f>
        <v/>
      </c>
      <c r="X341" s="22">
        <f>T341-V341</f>
        <v/>
      </c>
      <c r="Y341" s="30">
        <f>M341*Parameters!$B$10/60*Parameters!$B$11+O341*M341+N341</f>
        <v/>
      </c>
      <c r="Z341" s="34">
        <f>IF(U341="transition","→ Tier 2 (Stellar Neighborhood)",IF(U341="FP","First Photons — light begins, system quickens",IF(U341="HP","Heliopause acquired",IF(U341="OR","Orbital Resonance — passive multiplier active",IF(AND(AO341=1,L341=0,AN341&lt;&gt;1),"Cohesion ready (waiting on completionist upgrades)","")))))</f>
        <v/>
      </c>
      <c r="AA341" s="27">
        <f>(IF(E341=0,0,(Upgrades!$G$6+E341*Upgrades!$H$6)*POWER(Upgrades!$I$6,E341)))*(IF(Upgrades!$T$7="Solar Wind",POWER(Upgrades!$U$7,F341),1)*IF(Upgrades!$T$8="Solar Wind",POWER(Upgrades!$U$8,G341),1)*IF(Upgrades!$T$9="Solar Wind",POWER(Upgrades!$U$9,H341),1)*IF(Upgrades!$T$10="Solar Wind",POWER(Upgrades!$U$10,I341),1)*IF(Upgrades!$T$11="Solar Wind",POWER(Upgrades!$U$11,J341),1)*IF(Upgrades!$T$12="Solar Wind",POWER(Upgrades!$U$12,K341),1))*POWER(Upgrades!$P$6,E341)*POWER(Upgrades!$P$7,F341)*POWER(Upgrades!$P$8,G341)*POWER(Upgrades!$P$9,H341)*POWER(Upgrades!$P$10,I341)*POWER(Upgrades!$P$11,J341)*POWER(Upgrades!$P$12,K341)*60</f>
        <v/>
      </c>
      <c r="AB341" s="27">
        <f>(IF(F341=0,0,(Upgrades!$G$7+F341*Upgrades!$H$7)*POWER(Upgrades!$I$7,F341)))*(IF(Upgrades!$T$6="Asteroid Belt",POWER(Upgrades!$U$6,E341),1)*IF(Upgrades!$T$8="Asteroid Belt",POWER(Upgrades!$U$8,G341),1)*IF(Upgrades!$T$9="Asteroid Belt",POWER(Upgrades!$U$9,H341),1)*IF(Upgrades!$T$10="Asteroid Belt",POWER(Upgrades!$U$10,I341),1)*IF(Upgrades!$T$11="Asteroid Belt",POWER(Upgrades!$U$11,J341),1)*IF(Upgrades!$T$12="Asteroid Belt",POWER(Upgrades!$U$12,K341),1))*POWER(Upgrades!$P$6,E341)*POWER(Upgrades!$P$7,F341)*POWER(Upgrades!$P$8,G341)*POWER(Upgrades!$P$9,H341)*POWER(Upgrades!$P$10,I341)*POWER(Upgrades!$P$11,J341)*POWER(Upgrades!$P$12,K341)*60</f>
        <v/>
      </c>
      <c r="AC341" s="27">
        <f>(IF(G341=0,0,(Upgrades!$J$8+G341*Upgrades!$K$8)*POWER(Upgrades!$L$8,G341)))*(IF(Upgrades!$T$6="Stellar Coupling",POWER(Upgrades!$U$6,E341),1)*IF(Upgrades!$T$7="Stellar Coupling",POWER(Upgrades!$U$7,F341),1)*IF(Upgrades!$T$9="Stellar Coupling",POWER(Upgrades!$U$9,H341),1)*IF(Upgrades!$T$10="Stellar Coupling",POWER(Upgrades!$U$10,I341),1)*IF(Upgrades!$T$11="Stellar Coupling",POWER(Upgrades!$U$11,J341),1)*IF(Upgrades!$T$12="Stellar Coupling",POWER(Upgrades!$U$12,K341),1))*POWER(Upgrades!$Q$6,E341)*POWER(Upgrades!$Q$7,F341)*POWER(Upgrades!$Q$8,G341)*POWER(Upgrades!$Q$9,H341)*POWER(Upgrades!$Q$10,I341)*POWER(Upgrades!$Q$11,J341)*POWER(Upgrades!$Q$12,K341)*Parameters!$B$10*Parameters!$B$11</f>
        <v/>
      </c>
      <c r="AD341" s="27">
        <f>(IF(H341=0,0,(Upgrades!$G$9+H341*Upgrades!$H$9)*POWER(Upgrades!$I$9,H341)))*(IF(Upgrades!$T$6="Magnetosphere",POWER(Upgrades!$U$6,E341),1)*IF(Upgrades!$T$7="Magnetosphere",POWER(Upgrades!$U$7,F341),1)*IF(Upgrades!$T$8="Magnetosphere",POWER(Upgrades!$U$8,G341),1)*IF(Upgrades!$T$10="Magnetosphere",POWER(Upgrades!$U$10,I341),1)*IF(Upgrades!$T$11="Magnetosphere",POWER(Upgrades!$U$11,J341),1)*IF(Upgrades!$T$12="Magnetosphere",POWER(Upgrades!$U$12,K341),1))*POWER(Upgrades!$P$6,E341)*POWER(Upgrades!$P$7,F341)*POWER(Upgrades!$P$8,G341)*POWER(Upgrades!$P$9,H341)*POWER(Upgrades!$P$10,I341)*POWER(Upgrades!$P$11,J341)*POWER(Upgrades!$P$12,K341)*60</f>
        <v/>
      </c>
      <c r="AE341" s="27">
        <f>(IF(K341=0,0,(Upgrades!$G$12+K341*Upgrades!$H$12)*POWER(Upgrades!$I$12,K341)))*(IF(Upgrades!$T$6="First Photons",POWER(Upgrades!$U$6,E341),1)*IF(Upgrades!$T$7="First Photons",POWER(Upgrades!$U$7,F341),1)*IF(Upgrades!$T$8="First Photons",POWER(Upgrades!$U$8,G341),1)*IF(Upgrades!$T$9="First Photons",POWER(Upgrades!$U$9,H341),1)*IF(Upgrades!$T$10="First Photons",POWER(Upgrades!$U$10,I341),1)*IF(Upgrades!$T$11="First Photons",POWER(Upgrades!$U$11,J341),1))*POWER(Upgrades!$P$6,E341)*POWER(Upgrades!$P$7,F341)*POWER(Upgrades!$P$8,G341)*POWER(Upgrades!$P$9,H341)*POWER(Upgrades!$P$10,I341)*POWER(Upgrades!$P$11,J341)*POWER(Upgrades!$P$12,K341)*60</f>
        <v/>
      </c>
      <c r="AF341" s="27">
        <f>Parameters!$B$9*POWER(Upgrades!$Q$6,E341)*POWER(Upgrades!$Q$7,F341)*POWER(Upgrades!$Q$8,G341)*POWER(Upgrades!$Q$9,H341)*POWER(Upgrades!$Q$10,I341)*POWER(Upgrades!$Q$11,J341)*POWER(Upgrades!$Q$12,K341)*(Parameters!$B$10*Parameters!$B$11+O341*60)</f>
        <v/>
      </c>
      <c r="AG341" s="22">
        <f>IF(E341&gt;=Upgrades!$E$6,"",Upgrades!$C$6*POWER(Upgrades!$D$6,E341))</f>
        <v/>
      </c>
      <c r="AH341" s="22">
        <f>IF(F341&gt;=Upgrades!$E$7,"",Upgrades!$C$7*POWER(Upgrades!$D$7,F341))</f>
        <v/>
      </c>
      <c r="AI341" s="22">
        <f>IF(G341&gt;=Upgrades!$E$8,"",Upgrades!$C$8*POWER(Upgrades!$D$8,G341))</f>
        <v/>
      </c>
      <c r="AJ341" s="22">
        <f>IF(H341&gt;=Upgrades!$E$9,"",Upgrades!$C$9*POWER(Upgrades!$D$9,H341))</f>
        <v/>
      </c>
      <c r="AK341" s="22">
        <f>IF(I341&gt;=Upgrades!$E$10,"",Upgrades!$C$10*POWER(Upgrades!$D$10,I341))</f>
        <v/>
      </c>
      <c r="AL341" s="22">
        <f>IF(J341&gt;=Upgrades!$E$11,"",Upgrades!$C$11*POWER(Upgrades!$D$11,J341))</f>
        <v/>
      </c>
      <c r="AM341" s="22">
        <f>IF(K341&gt;=Upgrades!$E$12,"",Upgrades!$C$12*POWER(Upgrades!$D$12,K341))</f>
        <v/>
      </c>
      <c r="AN341" s="26">
        <f>IF(AND(D341&gt;=Parameters!$B$18,(H341&gt;=Upgrades!$E$9)*(K341&gt;=Upgrades!$E$12)=1,L341=0),1,"")</f>
        <v/>
      </c>
      <c r="AO341" s="26">
        <f>IF(AND(D341&gt;=Parameters!$B$18,L341=0),1,"")</f>
        <v/>
      </c>
      <c r="AP341" s="22">
        <f>MIN(IF(ISNUMBER(AK341),AK341,9E15),IF(ISNUMBER(AL341),AL341,9E15),IF(ISNUMBER(AM341),AM341,9E15))</f>
        <v/>
      </c>
      <c r="AQ341" s="22">
        <f>MIN(IF(ISNUMBER(AG341),AG341,9E15),IF(ISNUMBER(AH341),AH341,9E15),IF(ISNUMBER(AI341),AI341,9E15),IF(ISNUMBER(AJ341),AJ341,9E15))</f>
        <v/>
      </c>
      <c r="AR341" s="29">
        <f>IF(AW341&gt;Parameters!$B$21*(MAX(IF(AND(NOT(AND(AO341=1,AN341&lt;&gt;1)),ISNUMBER(AG341),AG341&lt;=T341),AS341,0),IF(AND(NOT(AND(AO341=1,AN341&lt;&gt;1)),ISNUMBER(AH341),AH341&lt;=T341),AT341,0),IF(AND(NOT(AND(AO341=1,AN341&lt;&gt;1)),ISNUMBER(AI341),AI341&lt;=T341),AU341,0),IF(AND(ISNUMBER(AJ341),AJ341&lt;=T341),AV341,0))),TRUE,FALSE)</f>
        <v/>
      </c>
      <c r="AS341" s="32">
        <f>IFERROR(Upgrades!$H$6*(POWER(Upgrades!$P$6,E341)*POWER(Upgrades!$P$7,F341)*POWER(Upgrades!$P$8,G341)*POWER(Upgrades!$P$9,H341)*POWER(Upgrades!$P$10,I341)*POWER(Upgrades!$P$11,J341)*POWER(Upgrades!$P$12,K341))*(IF(Upgrades!$T$7="Solar Wind",POWER(Upgrades!$U$7,F341),1)*IF(Upgrades!$T$8="Solar Wind",POWER(Upgrades!$U$8,G341),1)*IF(Upgrades!$T$9="Solar Wind",POWER(Upgrades!$U$9,H341),1)*IF(Upgrades!$T$10="Solar Wind",POWER(Upgrades!$U$10,I341),1)*IF(Upgrades!$T$11="Solar Wind",POWER(Upgrades!$U$11,J341),1)*IF(Upgrades!$T$12="Solar Wind",POWER(Upgrades!$U$12,K341),1))/AG341,0)</f>
        <v/>
      </c>
      <c r="AT341" s="32">
        <f>IFERROR(Upgrades!$H$7*(POWER(Upgrades!$P$6,E341)*POWER(Upgrades!$P$7,F341)*POWER(Upgrades!$P$8,G341)*POWER(Upgrades!$P$9,H341)*POWER(Upgrades!$P$10,I341)*POWER(Upgrades!$P$11,J341)*POWER(Upgrades!$P$12,K341))*(IF(Upgrades!$T$6="Asteroid Belt",POWER(Upgrades!$U$6,E341),1)*IF(Upgrades!$T$8="Asteroid Belt",POWER(Upgrades!$U$8,G341),1)*IF(Upgrades!$T$9="Asteroid Belt",POWER(Upgrades!$U$9,H341),1)*IF(Upgrades!$T$10="Asteroid Belt",POWER(Upgrades!$U$10,I341),1)*IF(Upgrades!$T$11="Asteroid Belt",POWER(Upgrades!$U$11,J341),1)*IF(Upgrades!$T$12="Asteroid Belt",POWER(Upgrades!$U$12,K341),1))/AH341,0)</f>
        <v/>
      </c>
      <c r="AU341" s="32">
        <f>IFERROR(Upgrades!$K$8*(POWER(Upgrades!$Q$6,E341)*POWER(Upgrades!$Q$7,F341)*POWER(Upgrades!$Q$8,G341)*POWER(Upgrades!$Q$9,H341)*POWER(Upgrades!$Q$10,I341)*POWER(Upgrades!$Q$11,J341)*POWER(Upgrades!$Q$12,K341))*(IF(Upgrades!$T$6="Stellar Coupling",POWER(Upgrades!$U$6,E341),1)*IF(Upgrades!$T$7="Stellar Coupling",POWER(Upgrades!$U$7,F341),1)*IF(Upgrades!$T$9="Stellar Coupling",POWER(Upgrades!$U$9,H341),1)*IF(Upgrades!$T$10="Stellar Coupling",POWER(Upgrades!$U$10,I341),1)*IF(Upgrades!$T$11="Stellar Coupling",POWER(Upgrades!$U$11,J341),1)*IF(Upgrades!$T$12="Stellar Coupling",POWER(Upgrades!$U$12,K341),1))*Parameters!$B$10*Parameters!$B$11/60/AI341,0)</f>
        <v/>
      </c>
      <c r="AV341" s="32">
        <f>IFERROR(Upgrades!$H$9*(POWER(Upgrades!$P$6,E341)*POWER(Upgrades!$P$7,F341)*POWER(Upgrades!$P$8,G341)*POWER(Upgrades!$P$9,H341)*POWER(Upgrades!$P$10,I341)*POWER(Upgrades!$P$11,J341)*POWER(Upgrades!$P$12,K341))*(IF(Upgrades!$T$6="Magnetosphere",POWER(Upgrades!$U$6,E341),1)*IF(Upgrades!$T$7="Magnetosphere",POWER(Upgrades!$U$7,F341),1)*IF(Upgrades!$T$8="Magnetosphere",POWER(Upgrades!$U$8,G341),1)*IF(Upgrades!$T$10="Magnetosphere",POWER(Upgrades!$U$10,I341),1)*IF(Upgrades!$T$11="Magnetosphere",POWER(Upgrades!$U$11,J341),1)*IF(Upgrades!$T$12="Magnetosphere",POWER(Upgrades!$U$12,K341),1))/AJ341,0)</f>
        <v/>
      </c>
      <c r="AW341" s="32">
        <f>MAX(IF(I341&gt;0,0,IFERROR(0.25*N341/Upgrades!$C$10,0)),IF(J341&gt;0,0,IFERROR(0.5*((IF(G341=0,0,(Upgrades!$J$8+G341*Upgrades!$K$8)*POWER(Upgrades!$L$8,G341)))*(IF(Upgrades!$T$6="Stellar Coupling",POWER(Upgrades!$U$6,E341),1)*IF(Upgrades!$T$7="Stellar Coupling",POWER(Upgrades!$U$7,F341),1)*IF(Upgrades!$T$9="Stellar Coupling",POWER(Upgrades!$U$9,H341),1)*IF(Upgrades!$T$10="Stellar Coupling",POWER(Upgrades!$U$10,I341),1)*IF(Upgrades!$T$11="Stellar Coupling",POWER(Upgrades!$U$11,J341),1)*IF(Upgrades!$T$12="Stellar Coupling",POWER(Upgrades!$U$12,K341),1))*(POWER(Upgrades!$Q$6,E341)*POWER(Upgrades!$Q$7,F341)*POWER(Upgrades!$Q$8,G341)*POWER(Upgrades!$Q$9,H341)*POWER(Upgrades!$Q$10,I341)*POWER(Upgrades!$Q$11,J341)*POWER(Upgrades!$Q$12,K341))*Parameters!$B$10*Parameters!$B$11/60)/Upgrades!$C$11,0)),IF(K341&gt;0,0,IFERROR((1.0*(POWER(Upgrades!$P$6,E341)*POWER(Upgrades!$P$7,F341)*POWER(Upgrades!$P$8,G341)*POWER(Upgrades!$P$9,H341)*POWER(Upgrades!$P$10,I341)*POWER(Upgrades!$P$11,J341)*POWER(Upgrades!$P$12,K341))+0.20*M341*Parameters!$B$10*Parameters!$B$11/60)/Upgrades!$C$12,0)),IF(AND(ISNUMBER(AG341),AG341&gt;T341),AS341,0),IF(AND(ISNUMBER(AH341),AH341&gt;T341),AT341,0),IF(AND(ISNUMBER(AI341),AI341&gt;T341),AU341,0),IF(AND(ISNUMBER(AJ341),AJ341&gt;T341),AV341,0))</f>
        <v/>
      </c>
      <c r="AX341" s="29">
        <f>IF(AN341=1,"transition",IF(MIN(IF(AND(I341=0,ISNUMBER(AK341),AK341&lt;=T341),AK341,9E15),IF(AND(J341=0,ISNUMBER(AL341),AL341&lt;=T341),AL341,9E15),IF(AND(K341=0,ISNUMBER(AM341),AM341&lt;=T341),AM341,9E15))&lt;9E15,IF(AND(AND(I341=0,ISNUMBER(AK341),AK341&lt;=T341),AK341=MIN(IF(AND(I341=0,ISNUMBER(AK341),AK341&lt;=T341),AK341,9E15),IF(AND(J341=0,ISNUMBER(AL341),AL341&lt;=T341),AL341,9E15),IF(AND(K341=0,ISNUMBER(AM341),AM341&lt;=T341),AM341,9E15))),"OR",IF(AND(AND(J341=0,ISNUMBER(AL341),AL341&lt;=T341),AL341=MIN(IF(AND(I341=0,ISNUMBER(AK341),AK341&lt;=T341),AK341,9E15),IF(AND(J341=0,ISNUMBER(AL341),AL341&lt;=T341),AL341,9E15),IF(AND(K341=0,ISNUMBER(AM341),AM341&lt;=T341),AM341,9E15))),"HP","FP")),IF(AR341=TRUE,"",IF(MAX(IF(AND(NOT(AND(AO341=1,AN341&lt;&gt;1)),ISNUMBER(AG341),AG341&lt;=T341),AS341,0),IF(AND(NOT(AND(AO341=1,AN341&lt;&gt;1)),ISNUMBER(AH341),AH341&lt;=T341),AT341,0),IF(AND(NOT(AND(AO341=1,AN341&lt;&gt;1)),ISNUMBER(AI341),AI341&lt;=T341),AU341,0),IF(AND(ISNUMBER(AJ341),AJ341&lt;=T341),AV341,0))&lt;=0,"",IF(AND(IF(AND(NOT(AND(AO341=1,AN341&lt;&gt;1)),ISNUMBER(AG341),AG341&lt;=T341),AS341,0)&gt;0,IF(AND(NOT(AND(AO341=1,AN341&lt;&gt;1)),ISNUMBER(AG341),AG341&lt;=T341),AS341,0)=MAX(IF(AND(NOT(AND(AO341=1,AN341&lt;&gt;1)),ISNUMBER(AG341),AG341&lt;=T341),AS341,0),IF(AND(NOT(AND(AO341=1,AN341&lt;&gt;1)),ISNUMBER(AH341),AH341&lt;=T341),AT341,0),IF(AND(NOT(AND(AO341=1,AN341&lt;&gt;1)),ISNUMBER(AI341),AI341&lt;=T341),AU341,0),IF(AND(ISNUMBER(AJ341),AJ341&lt;=T341),AV341,0))),"SW",IF(AND(IF(AND(NOT(AND(AO341=1,AN341&lt;&gt;1)),ISNUMBER(AH341),AH341&lt;=T341),AT341,0)&gt;0,IF(AND(NOT(AND(AO341=1,AN341&lt;&gt;1)),ISNUMBER(AH341),AH341&lt;=T341),AT341,0)=MAX(IF(AND(NOT(AND(AO341=1,AN341&lt;&gt;1)),ISNUMBER(AG341),AG341&lt;=T341),AS341,0),IF(AND(NOT(AND(AO341=1,AN341&lt;&gt;1)),ISNUMBER(AH341),AH341&lt;=T341),AT341,0),IF(AND(NOT(AND(AO341=1,AN341&lt;&gt;1)),ISNUMBER(AI341),AI341&lt;=T341),AU341,0),IF(AND(ISNUMBER(AJ341),AJ341&lt;=T341),AV341,0))),"AB",IF(AND(IF(AND(NOT(AND(AO341=1,AN341&lt;&gt;1)),ISNUMBER(AI341),AI341&lt;=T341),AU341,0)&gt;0,IF(AND(NOT(AND(AO341=1,AN341&lt;&gt;1)),ISNUMBER(AI341),AI341&lt;=T341),AU341,0)=MAX(IF(AND(NOT(AND(AO341=1,AN341&lt;&gt;1)),ISNUMBER(AG341),AG341&lt;=T341),AS341,0),IF(AND(NOT(AND(AO341=1,AN341&lt;&gt;1)),ISNUMBER(AH341),AH341&lt;=T341),AT341,0),IF(AND(NOT(AND(AO341=1,AN341&lt;&gt;1)),ISNUMBER(AI341),AI341&lt;=T341),AU341,0),IF(AND(ISNUMBER(AJ341),AJ341&lt;=T341),AV341,0))),"SC","Mag")))))))</f>
        <v/>
      </c>
    </row>
    <row r="342">
      <c r="A342" s="26" t="n">
        <v>337</v>
      </c>
      <c r="B342" s="27">
        <f>A342*10/60</f>
        <v/>
      </c>
      <c r="C342" s="22">
        <f>X341</f>
        <v/>
      </c>
      <c r="D342" s="27">
        <f>D341+W341</f>
        <v/>
      </c>
      <c r="E342" s="26">
        <f>E341+IF(U341="SW",1,0)</f>
        <v/>
      </c>
      <c r="F342" s="26">
        <f>F341+IF(U341="AB",1,0)</f>
        <v/>
      </c>
      <c r="G342" s="26">
        <f>G341+IF(U341="SC",1,0)</f>
        <v/>
      </c>
      <c r="H342" s="26">
        <f>H341+IF(U341="Mag",1,0)</f>
        <v/>
      </c>
      <c r="I342" s="26">
        <f>MAX(I341,IF(U341="OR",1,0))</f>
        <v/>
      </c>
      <c r="J342" s="26">
        <f>MAX(J341,IF(U341="HP",1,0))</f>
        <v/>
      </c>
      <c r="K342" s="26">
        <f>MAX(K341,IF(U341="FP",1,0))</f>
        <v/>
      </c>
      <c r="L342" s="26">
        <f>MAX(L341,IF(U341="transition",1,0))</f>
        <v/>
      </c>
      <c r="M342" s="28">
        <f>(Parameters!$B$9+(IF(E342=0,0,(Upgrades!$J$6+E342*Upgrades!$K$6)*POWER(Upgrades!$L$6,E342)))*(IF(Upgrades!$T$7="Solar Wind",POWER(Upgrades!$U$7,F342),1)*IF(Upgrades!$T$8="Solar Wind",POWER(Upgrades!$U$8,G342),1)*IF(Upgrades!$T$9="Solar Wind",POWER(Upgrades!$U$9,H342),1)*IF(Upgrades!$T$10="Solar Wind",POWER(Upgrades!$U$10,I342),1)*IF(Upgrades!$T$11="Solar Wind",POWER(Upgrades!$U$11,J342),1)*IF(Upgrades!$T$12="Solar Wind",POWER(Upgrades!$U$12,K342),1))+(IF(F342=0,0,(Upgrades!$J$7+F342*Upgrades!$K$7)*POWER(Upgrades!$L$7,F342)))*(IF(Upgrades!$T$6="Asteroid Belt",POWER(Upgrades!$U$6,E342),1)*IF(Upgrades!$T$8="Asteroid Belt",POWER(Upgrades!$U$8,G342),1)*IF(Upgrades!$T$9="Asteroid Belt",POWER(Upgrades!$U$9,H342),1)*IF(Upgrades!$T$10="Asteroid Belt",POWER(Upgrades!$U$10,I342),1)*IF(Upgrades!$T$11="Asteroid Belt",POWER(Upgrades!$U$11,J342),1)*IF(Upgrades!$T$12="Asteroid Belt",POWER(Upgrades!$U$12,K342),1))+(IF(G342=0,0,(Upgrades!$J$8+G342*Upgrades!$K$8)*POWER(Upgrades!$L$8,G342)))*(IF(Upgrades!$T$6="Stellar Coupling",POWER(Upgrades!$U$6,E342),1)*IF(Upgrades!$T$7="Stellar Coupling",POWER(Upgrades!$U$7,F342),1)*IF(Upgrades!$T$9="Stellar Coupling",POWER(Upgrades!$U$9,H342),1)*IF(Upgrades!$T$10="Stellar Coupling",POWER(Upgrades!$U$10,I342),1)*IF(Upgrades!$T$11="Stellar Coupling",POWER(Upgrades!$U$11,J342),1)*IF(Upgrades!$T$12="Stellar Coupling",POWER(Upgrades!$U$12,K342),1))+(IF(H342=0,0,(Upgrades!$J$9+H342*Upgrades!$K$9)*POWER(Upgrades!$L$9,H342)))*(IF(Upgrades!$T$6="Magnetosphere",POWER(Upgrades!$U$6,E342),1)*IF(Upgrades!$T$7="Magnetosphere",POWER(Upgrades!$U$7,F342),1)*IF(Upgrades!$T$8="Magnetosphere",POWER(Upgrades!$U$8,G342),1)*IF(Upgrades!$T$10="Magnetosphere",POWER(Upgrades!$U$10,I342),1)*IF(Upgrades!$T$11="Magnetosphere",POWER(Upgrades!$U$11,J342),1)*IF(Upgrades!$T$12="Magnetosphere",POWER(Upgrades!$U$12,K342),1))+(IF(I342=0,0,(Upgrades!$J$10+I342*Upgrades!$K$10)*POWER(Upgrades!$L$10,I342)))*(IF(Upgrades!$T$6="Orbital Resonance",POWER(Upgrades!$U$6,E342),1)*IF(Upgrades!$T$7="Orbital Resonance",POWER(Upgrades!$U$7,F342),1)*IF(Upgrades!$T$8="Orbital Resonance",POWER(Upgrades!$U$8,G342),1)*IF(Upgrades!$T$9="Orbital Resonance",POWER(Upgrades!$U$9,H342),1)*IF(Upgrades!$T$11="Orbital Resonance",POWER(Upgrades!$U$11,J342),1)*IF(Upgrades!$T$12="Orbital Resonance",POWER(Upgrades!$U$12,K342),1))+(IF(J342=0,0,(Upgrades!$J$11+J342*Upgrades!$K$11)*POWER(Upgrades!$L$11,J342)))*(IF(Upgrades!$T$6="Heliopause",POWER(Upgrades!$U$6,E342),1)*IF(Upgrades!$T$7="Heliopause",POWER(Upgrades!$U$7,F342),1)*IF(Upgrades!$T$8="Heliopause",POWER(Upgrades!$U$8,G342),1)*IF(Upgrades!$T$9="Heliopause",POWER(Upgrades!$U$9,H342),1)*IF(Upgrades!$T$10="Heliopause",POWER(Upgrades!$U$10,I342),1)*IF(Upgrades!$T$12="Heliopause",POWER(Upgrades!$U$12,K342),1))+(IF(K342=0,0,(Upgrades!$J$12+K342*Upgrades!$K$12)*POWER(Upgrades!$L$12,K342)))*(IF(Upgrades!$T$6="First Photons",POWER(Upgrades!$U$6,E342),1)*IF(Upgrades!$T$7="First Photons",POWER(Upgrades!$U$7,F342),1)*IF(Upgrades!$T$8="First Photons",POWER(Upgrades!$U$8,G342),1)*IF(Upgrades!$T$9="First Photons",POWER(Upgrades!$U$9,H342),1)*IF(Upgrades!$T$10="First Photons",POWER(Upgrades!$U$10,I342),1)*IF(Upgrades!$T$11="First Photons",POWER(Upgrades!$U$11,J342),1)))*POWER(Upgrades!$Q$6,E342)*POWER(Upgrades!$Q$7,F342)*POWER(Upgrades!$Q$8,G342)*POWER(Upgrades!$Q$9,H342)*POWER(Upgrades!$Q$10,I342)*POWER(Upgrades!$Q$11,J342)*POWER(Upgrades!$Q$12,K342)</f>
        <v/>
      </c>
      <c r="N342" s="28">
        <f>((IF(E342=0,0,(Upgrades!$G$6+E342*Upgrades!$H$6)*POWER(Upgrades!$I$6,E342)))*(IF(Upgrades!$T$7="Solar Wind",POWER(Upgrades!$U$7,F342),1)*IF(Upgrades!$T$8="Solar Wind",POWER(Upgrades!$U$8,G342),1)*IF(Upgrades!$T$9="Solar Wind",POWER(Upgrades!$U$9,H342),1)*IF(Upgrades!$T$10="Solar Wind",POWER(Upgrades!$U$10,I342),1)*IF(Upgrades!$T$11="Solar Wind",POWER(Upgrades!$U$11,J342),1)*IF(Upgrades!$T$12="Solar Wind",POWER(Upgrades!$U$12,K342),1))+(IF(F342=0,0,(Upgrades!$G$7+F342*Upgrades!$H$7)*POWER(Upgrades!$I$7,F342)))*(IF(Upgrades!$T$6="Asteroid Belt",POWER(Upgrades!$U$6,E342),1)*IF(Upgrades!$T$8="Asteroid Belt",POWER(Upgrades!$U$8,G342),1)*IF(Upgrades!$T$9="Asteroid Belt",POWER(Upgrades!$U$9,H342),1)*IF(Upgrades!$T$10="Asteroid Belt",POWER(Upgrades!$U$10,I342),1)*IF(Upgrades!$T$11="Asteroid Belt",POWER(Upgrades!$U$11,J342),1)*IF(Upgrades!$T$12="Asteroid Belt",POWER(Upgrades!$U$12,K342),1))+(IF(G342=0,0,(Upgrades!$G$8+G342*Upgrades!$H$8)*POWER(Upgrades!$I$8,G342)))*(IF(Upgrades!$T$6="Stellar Coupling",POWER(Upgrades!$U$6,E342),1)*IF(Upgrades!$T$7="Stellar Coupling",POWER(Upgrades!$U$7,F342),1)*IF(Upgrades!$T$9="Stellar Coupling",POWER(Upgrades!$U$9,H342),1)*IF(Upgrades!$T$10="Stellar Coupling",POWER(Upgrades!$U$10,I342),1)*IF(Upgrades!$T$11="Stellar Coupling",POWER(Upgrades!$U$11,J342),1)*IF(Upgrades!$T$12="Stellar Coupling",POWER(Upgrades!$U$12,K342),1))+(IF(H342=0,0,(Upgrades!$G$9+H342*Upgrades!$H$9)*POWER(Upgrades!$I$9,H342)))*(IF(Upgrades!$T$6="Magnetosphere",POWER(Upgrades!$U$6,E342),1)*IF(Upgrades!$T$7="Magnetosphere",POWER(Upgrades!$U$7,F342),1)*IF(Upgrades!$T$8="Magnetosphere",POWER(Upgrades!$U$8,G342),1)*IF(Upgrades!$T$10="Magnetosphere",POWER(Upgrades!$U$10,I342),1)*IF(Upgrades!$T$11="Magnetosphere",POWER(Upgrades!$U$11,J342),1)*IF(Upgrades!$T$12="Magnetosphere",POWER(Upgrades!$U$12,K342),1))+(IF(I342=0,0,(Upgrades!$G$10+I342*Upgrades!$H$10)*POWER(Upgrades!$I$10,I342)))*(IF(Upgrades!$T$6="Orbital Resonance",POWER(Upgrades!$U$6,E342),1)*IF(Upgrades!$T$7="Orbital Resonance",POWER(Upgrades!$U$7,F342),1)*IF(Upgrades!$T$8="Orbital Resonance",POWER(Upgrades!$U$8,G342),1)*IF(Upgrades!$T$9="Orbital Resonance",POWER(Upgrades!$U$9,H342),1)*IF(Upgrades!$T$11="Orbital Resonance",POWER(Upgrades!$U$11,J342),1)*IF(Upgrades!$T$12="Orbital Resonance",POWER(Upgrades!$U$12,K342),1))+(IF(J342=0,0,(Upgrades!$G$11+J342*Upgrades!$H$11)*POWER(Upgrades!$I$11,J342)))*(IF(Upgrades!$T$6="Heliopause",POWER(Upgrades!$U$6,E342),1)*IF(Upgrades!$T$7="Heliopause",POWER(Upgrades!$U$7,F342),1)*IF(Upgrades!$T$8="Heliopause",POWER(Upgrades!$U$8,G342),1)*IF(Upgrades!$T$9="Heliopause",POWER(Upgrades!$U$9,H342),1)*IF(Upgrades!$T$10="Heliopause",POWER(Upgrades!$U$10,I342),1)*IF(Upgrades!$T$12="Heliopause",POWER(Upgrades!$U$12,K342),1))+(IF(K342=0,0,(Upgrades!$G$12+K342*Upgrades!$H$12)*POWER(Upgrades!$I$12,K342)))*(IF(Upgrades!$T$6="First Photons",POWER(Upgrades!$U$6,E342),1)*IF(Upgrades!$T$7="First Photons",POWER(Upgrades!$U$7,F342),1)*IF(Upgrades!$T$8="First Photons",POWER(Upgrades!$U$8,G342),1)*IF(Upgrades!$T$9="First Photons",POWER(Upgrades!$U$9,H342),1)*IF(Upgrades!$T$10="First Photons",POWER(Upgrades!$U$10,I342),1)*IF(Upgrades!$T$11="First Photons",POWER(Upgrades!$U$11,J342),1)))*POWER(Upgrades!$P$6,E342)*POWER(Upgrades!$P$7,F342)*POWER(Upgrades!$P$8,G342)*POWER(Upgrades!$P$9,H342)*POWER(Upgrades!$P$10,I342)*POWER(Upgrades!$P$11,J342)*POWER(Upgrades!$P$12,K342)</f>
        <v/>
      </c>
      <c r="O342" s="28">
        <f>((IF(E342=0,0,(Upgrades!$M$6+E342*Upgrades!$N$6)*POWER(Upgrades!$O$6,E342)))*(IF(Upgrades!$T$7="Solar Wind",POWER(Upgrades!$U$7,F342),1)*IF(Upgrades!$T$8="Solar Wind",POWER(Upgrades!$U$8,G342),1)*IF(Upgrades!$T$9="Solar Wind",POWER(Upgrades!$U$9,H342),1)*IF(Upgrades!$T$10="Solar Wind",POWER(Upgrades!$U$10,I342),1)*IF(Upgrades!$T$11="Solar Wind",POWER(Upgrades!$U$11,J342),1)*IF(Upgrades!$T$12="Solar Wind",POWER(Upgrades!$U$12,K342),1))+(IF(F342=0,0,(Upgrades!$M$7+F342*Upgrades!$N$7)*POWER(Upgrades!$O$7,F342)))*(IF(Upgrades!$T$6="Asteroid Belt",POWER(Upgrades!$U$6,E342),1)*IF(Upgrades!$T$8="Asteroid Belt",POWER(Upgrades!$U$8,G342),1)*IF(Upgrades!$T$9="Asteroid Belt",POWER(Upgrades!$U$9,H342),1)*IF(Upgrades!$T$10="Asteroid Belt",POWER(Upgrades!$U$10,I342),1)*IF(Upgrades!$T$11="Asteroid Belt",POWER(Upgrades!$U$11,J342),1)*IF(Upgrades!$T$12="Asteroid Belt",POWER(Upgrades!$U$12,K342),1))+(IF(G342=0,0,(Upgrades!$M$8+G342*Upgrades!$N$8)*POWER(Upgrades!$O$8,G342)))*(IF(Upgrades!$T$6="Stellar Coupling",POWER(Upgrades!$U$6,E342),1)*IF(Upgrades!$T$7="Stellar Coupling",POWER(Upgrades!$U$7,F342),1)*IF(Upgrades!$T$9="Stellar Coupling",POWER(Upgrades!$U$9,H342),1)*IF(Upgrades!$T$10="Stellar Coupling",POWER(Upgrades!$U$10,I342),1)*IF(Upgrades!$T$11="Stellar Coupling",POWER(Upgrades!$U$11,J342),1)*IF(Upgrades!$T$12="Stellar Coupling",POWER(Upgrades!$U$12,K342),1))+(IF(H342=0,0,(Upgrades!$M$9+H342*Upgrades!$N$9)*POWER(Upgrades!$O$9,H342)))*(IF(Upgrades!$T$6="Magnetosphere",POWER(Upgrades!$U$6,E342),1)*IF(Upgrades!$T$7="Magnetosphere",POWER(Upgrades!$U$7,F342),1)*IF(Upgrades!$T$8="Magnetosphere",POWER(Upgrades!$U$8,G342),1)*IF(Upgrades!$T$10="Magnetosphere",POWER(Upgrades!$U$10,I342),1)*IF(Upgrades!$T$11="Magnetosphere",POWER(Upgrades!$U$11,J342),1)*IF(Upgrades!$T$12="Magnetosphere",POWER(Upgrades!$U$12,K342),1))+(IF(I342=0,0,(Upgrades!$M$10+I342*Upgrades!$N$10)*POWER(Upgrades!$O$10,I342)))*(IF(Upgrades!$T$6="Orbital Resonance",POWER(Upgrades!$U$6,E342),1)*IF(Upgrades!$T$7="Orbital Resonance",POWER(Upgrades!$U$7,F342),1)*IF(Upgrades!$T$8="Orbital Resonance",POWER(Upgrades!$U$8,G342),1)*IF(Upgrades!$T$9="Orbital Resonance",POWER(Upgrades!$U$9,H342),1)*IF(Upgrades!$T$11="Orbital Resonance",POWER(Upgrades!$U$11,J342),1)*IF(Upgrades!$T$12="Orbital Resonance",POWER(Upgrades!$U$12,K342),1))+(IF(J342=0,0,(Upgrades!$M$11+J342*Upgrades!$N$11)*POWER(Upgrades!$O$11,J342)))*(IF(Upgrades!$T$6="Heliopause",POWER(Upgrades!$U$6,E342),1)*IF(Upgrades!$T$7="Heliopause",POWER(Upgrades!$U$7,F342),1)*IF(Upgrades!$T$8="Heliopause",POWER(Upgrades!$U$8,G342),1)*IF(Upgrades!$T$9="Heliopause",POWER(Upgrades!$U$9,H342),1)*IF(Upgrades!$T$10="Heliopause",POWER(Upgrades!$U$10,I342),1)*IF(Upgrades!$T$12="Heliopause",POWER(Upgrades!$U$12,K342),1))+(IF(K342=0,0,(Upgrades!$M$12+K342*Upgrades!$N$12)*POWER(Upgrades!$O$12,K342)))*(IF(Upgrades!$T$6="First Photons",POWER(Upgrades!$U$6,E342),1)*IF(Upgrades!$T$7="First Photons",POWER(Upgrades!$U$7,F342),1)*IF(Upgrades!$T$8="First Photons",POWER(Upgrades!$U$8,G342),1)*IF(Upgrades!$T$9="First Photons",POWER(Upgrades!$U$9,H342),1)*IF(Upgrades!$T$10="First Photons",POWER(Upgrades!$U$10,I342),1)*IF(Upgrades!$T$11="First Photons",POWER(Upgrades!$U$11,J342),1)))*POWER(Upgrades!$R$6,E342)*POWER(Upgrades!$R$7,F342)*POWER(Upgrades!$R$8,G342)*POWER(Upgrades!$R$9,H342)*POWER(Upgrades!$R$10,I342)*POWER(Upgrades!$R$11,J342)*POWER(Upgrades!$R$12,K342)</f>
        <v/>
      </c>
      <c r="P342" s="27">
        <f>IF(L342=1,0,M342*Parameters!$B$10/60*Parameters!$B$11*10)</f>
        <v/>
      </c>
      <c r="Q342" s="27">
        <f>IF(L342=1,0,O342*M342*10)</f>
        <v/>
      </c>
      <c r="R342" s="27">
        <f>IF(L342=1,0,N342*10)</f>
        <v/>
      </c>
      <c r="S342" s="27">
        <f>P342+Q342+R342</f>
        <v/>
      </c>
      <c r="T342" s="22">
        <f>C342+S342</f>
        <v/>
      </c>
      <c r="U342" s="33">
        <f>AX342</f>
        <v/>
      </c>
      <c r="V342" s="22">
        <f>IF(U342="",0,IF(U342="transition",0,IF(U342="SW",AG342,IF(U342="AB",AH342,IF(U342="SC",AI342,IF(U342="Mag",AJ342,IF(U342="OR",AK342,IF(U342="HP",AL342,IF(U342="FP",AM342,0)))))))))</f>
        <v/>
      </c>
      <c r="W342" s="27">
        <f>IF(U342="OR",Upgrades!$F$10,IF(U342="HP",Upgrades!$F$11,IF(U342="transition",-Parameters!$B$18,0)))</f>
        <v/>
      </c>
      <c r="X342" s="22">
        <f>T342-V342</f>
        <v/>
      </c>
      <c r="Y342" s="30">
        <f>M342*Parameters!$B$10/60*Parameters!$B$11+O342*M342+N342</f>
        <v/>
      </c>
      <c r="Z342" s="34">
        <f>IF(U342="transition","→ Tier 2 (Stellar Neighborhood)",IF(U342="FP","First Photons — light begins, system quickens",IF(U342="HP","Heliopause acquired",IF(U342="OR","Orbital Resonance — passive multiplier active",IF(AND(AO342=1,L342=0,AN342&lt;&gt;1),"Cohesion ready (waiting on completionist upgrades)","")))))</f>
        <v/>
      </c>
      <c r="AA342" s="27">
        <f>(IF(E342=0,0,(Upgrades!$G$6+E342*Upgrades!$H$6)*POWER(Upgrades!$I$6,E342)))*(IF(Upgrades!$T$7="Solar Wind",POWER(Upgrades!$U$7,F342),1)*IF(Upgrades!$T$8="Solar Wind",POWER(Upgrades!$U$8,G342),1)*IF(Upgrades!$T$9="Solar Wind",POWER(Upgrades!$U$9,H342),1)*IF(Upgrades!$T$10="Solar Wind",POWER(Upgrades!$U$10,I342),1)*IF(Upgrades!$T$11="Solar Wind",POWER(Upgrades!$U$11,J342),1)*IF(Upgrades!$T$12="Solar Wind",POWER(Upgrades!$U$12,K342),1))*POWER(Upgrades!$P$6,E342)*POWER(Upgrades!$P$7,F342)*POWER(Upgrades!$P$8,G342)*POWER(Upgrades!$P$9,H342)*POWER(Upgrades!$P$10,I342)*POWER(Upgrades!$P$11,J342)*POWER(Upgrades!$P$12,K342)*60</f>
        <v/>
      </c>
      <c r="AB342" s="27">
        <f>(IF(F342=0,0,(Upgrades!$G$7+F342*Upgrades!$H$7)*POWER(Upgrades!$I$7,F342)))*(IF(Upgrades!$T$6="Asteroid Belt",POWER(Upgrades!$U$6,E342),1)*IF(Upgrades!$T$8="Asteroid Belt",POWER(Upgrades!$U$8,G342),1)*IF(Upgrades!$T$9="Asteroid Belt",POWER(Upgrades!$U$9,H342),1)*IF(Upgrades!$T$10="Asteroid Belt",POWER(Upgrades!$U$10,I342),1)*IF(Upgrades!$T$11="Asteroid Belt",POWER(Upgrades!$U$11,J342),1)*IF(Upgrades!$T$12="Asteroid Belt",POWER(Upgrades!$U$12,K342),1))*POWER(Upgrades!$P$6,E342)*POWER(Upgrades!$P$7,F342)*POWER(Upgrades!$P$8,G342)*POWER(Upgrades!$P$9,H342)*POWER(Upgrades!$P$10,I342)*POWER(Upgrades!$P$11,J342)*POWER(Upgrades!$P$12,K342)*60</f>
        <v/>
      </c>
      <c r="AC342" s="27">
        <f>(IF(G342=0,0,(Upgrades!$J$8+G342*Upgrades!$K$8)*POWER(Upgrades!$L$8,G342)))*(IF(Upgrades!$T$6="Stellar Coupling",POWER(Upgrades!$U$6,E342),1)*IF(Upgrades!$T$7="Stellar Coupling",POWER(Upgrades!$U$7,F342),1)*IF(Upgrades!$T$9="Stellar Coupling",POWER(Upgrades!$U$9,H342),1)*IF(Upgrades!$T$10="Stellar Coupling",POWER(Upgrades!$U$10,I342),1)*IF(Upgrades!$T$11="Stellar Coupling",POWER(Upgrades!$U$11,J342),1)*IF(Upgrades!$T$12="Stellar Coupling",POWER(Upgrades!$U$12,K342),1))*POWER(Upgrades!$Q$6,E342)*POWER(Upgrades!$Q$7,F342)*POWER(Upgrades!$Q$8,G342)*POWER(Upgrades!$Q$9,H342)*POWER(Upgrades!$Q$10,I342)*POWER(Upgrades!$Q$11,J342)*POWER(Upgrades!$Q$12,K342)*Parameters!$B$10*Parameters!$B$11</f>
        <v/>
      </c>
      <c r="AD342" s="27">
        <f>(IF(H342=0,0,(Upgrades!$G$9+H342*Upgrades!$H$9)*POWER(Upgrades!$I$9,H342)))*(IF(Upgrades!$T$6="Magnetosphere",POWER(Upgrades!$U$6,E342),1)*IF(Upgrades!$T$7="Magnetosphere",POWER(Upgrades!$U$7,F342),1)*IF(Upgrades!$T$8="Magnetosphere",POWER(Upgrades!$U$8,G342),1)*IF(Upgrades!$T$10="Magnetosphere",POWER(Upgrades!$U$10,I342),1)*IF(Upgrades!$T$11="Magnetosphere",POWER(Upgrades!$U$11,J342),1)*IF(Upgrades!$T$12="Magnetosphere",POWER(Upgrades!$U$12,K342),1))*POWER(Upgrades!$P$6,E342)*POWER(Upgrades!$P$7,F342)*POWER(Upgrades!$P$8,G342)*POWER(Upgrades!$P$9,H342)*POWER(Upgrades!$P$10,I342)*POWER(Upgrades!$P$11,J342)*POWER(Upgrades!$P$12,K342)*60</f>
        <v/>
      </c>
      <c r="AE342" s="27">
        <f>(IF(K342=0,0,(Upgrades!$G$12+K342*Upgrades!$H$12)*POWER(Upgrades!$I$12,K342)))*(IF(Upgrades!$T$6="First Photons",POWER(Upgrades!$U$6,E342),1)*IF(Upgrades!$T$7="First Photons",POWER(Upgrades!$U$7,F342),1)*IF(Upgrades!$T$8="First Photons",POWER(Upgrades!$U$8,G342),1)*IF(Upgrades!$T$9="First Photons",POWER(Upgrades!$U$9,H342),1)*IF(Upgrades!$T$10="First Photons",POWER(Upgrades!$U$10,I342),1)*IF(Upgrades!$T$11="First Photons",POWER(Upgrades!$U$11,J342),1))*POWER(Upgrades!$P$6,E342)*POWER(Upgrades!$P$7,F342)*POWER(Upgrades!$P$8,G342)*POWER(Upgrades!$P$9,H342)*POWER(Upgrades!$P$10,I342)*POWER(Upgrades!$P$11,J342)*POWER(Upgrades!$P$12,K342)*60</f>
        <v/>
      </c>
      <c r="AF342" s="27">
        <f>Parameters!$B$9*POWER(Upgrades!$Q$6,E342)*POWER(Upgrades!$Q$7,F342)*POWER(Upgrades!$Q$8,G342)*POWER(Upgrades!$Q$9,H342)*POWER(Upgrades!$Q$10,I342)*POWER(Upgrades!$Q$11,J342)*POWER(Upgrades!$Q$12,K342)*(Parameters!$B$10*Parameters!$B$11+O342*60)</f>
        <v/>
      </c>
      <c r="AG342" s="22">
        <f>IF(E342&gt;=Upgrades!$E$6,"",Upgrades!$C$6*POWER(Upgrades!$D$6,E342))</f>
        <v/>
      </c>
      <c r="AH342" s="22">
        <f>IF(F342&gt;=Upgrades!$E$7,"",Upgrades!$C$7*POWER(Upgrades!$D$7,F342))</f>
        <v/>
      </c>
      <c r="AI342" s="22">
        <f>IF(G342&gt;=Upgrades!$E$8,"",Upgrades!$C$8*POWER(Upgrades!$D$8,G342))</f>
        <v/>
      </c>
      <c r="AJ342" s="22">
        <f>IF(H342&gt;=Upgrades!$E$9,"",Upgrades!$C$9*POWER(Upgrades!$D$9,H342))</f>
        <v/>
      </c>
      <c r="AK342" s="22">
        <f>IF(I342&gt;=Upgrades!$E$10,"",Upgrades!$C$10*POWER(Upgrades!$D$10,I342))</f>
        <v/>
      </c>
      <c r="AL342" s="22">
        <f>IF(J342&gt;=Upgrades!$E$11,"",Upgrades!$C$11*POWER(Upgrades!$D$11,J342))</f>
        <v/>
      </c>
      <c r="AM342" s="22">
        <f>IF(K342&gt;=Upgrades!$E$12,"",Upgrades!$C$12*POWER(Upgrades!$D$12,K342))</f>
        <v/>
      </c>
      <c r="AN342" s="26">
        <f>IF(AND(D342&gt;=Parameters!$B$18,(H342&gt;=Upgrades!$E$9)*(K342&gt;=Upgrades!$E$12)=1,L342=0),1,"")</f>
        <v/>
      </c>
      <c r="AO342" s="26">
        <f>IF(AND(D342&gt;=Parameters!$B$18,L342=0),1,"")</f>
        <v/>
      </c>
      <c r="AP342" s="22">
        <f>MIN(IF(ISNUMBER(AK342),AK342,9E15),IF(ISNUMBER(AL342),AL342,9E15),IF(ISNUMBER(AM342),AM342,9E15))</f>
        <v/>
      </c>
      <c r="AQ342" s="22">
        <f>MIN(IF(ISNUMBER(AG342),AG342,9E15),IF(ISNUMBER(AH342),AH342,9E15),IF(ISNUMBER(AI342),AI342,9E15),IF(ISNUMBER(AJ342),AJ342,9E15))</f>
        <v/>
      </c>
      <c r="AR342" s="29">
        <f>IF(AW342&gt;Parameters!$B$21*(MAX(IF(AND(NOT(AND(AO342=1,AN342&lt;&gt;1)),ISNUMBER(AG342),AG342&lt;=T342),AS342,0),IF(AND(NOT(AND(AO342=1,AN342&lt;&gt;1)),ISNUMBER(AH342),AH342&lt;=T342),AT342,0),IF(AND(NOT(AND(AO342=1,AN342&lt;&gt;1)),ISNUMBER(AI342),AI342&lt;=T342),AU342,0),IF(AND(ISNUMBER(AJ342),AJ342&lt;=T342),AV342,0))),TRUE,FALSE)</f>
        <v/>
      </c>
      <c r="AS342" s="32">
        <f>IFERROR(Upgrades!$H$6*(POWER(Upgrades!$P$6,E342)*POWER(Upgrades!$P$7,F342)*POWER(Upgrades!$P$8,G342)*POWER(Upgrades!$P$9,H342)*POWER(Upgrades!$P$10,I342)*POWER(Upgrades!$P$11,J342)*POWER(Upgrades!$P$12,K342))*(IF(Upgrades!$T$7="Solar Wind",POWER(Upgrades!$U$7,F342),1)*IF(Upgrades!$T$8="Solar Wind",POWER(Upgrades!$U$8,G342),1)*IF(Upgrades!$T$9="Solar Wind",POWER(Upgrades!$U$9,H342),1)*IF(Upgrades!$T$10="Solar Wind",POWER(Upgrades!$U$10,I342),1)*IF(Upgrades!$T$11="Solar Wind",POWER(Upgrades!$U$11,J342),1)*IF(Upgrades!$T$12="Solar Wind",POWER(Upgrades!$U$12,K342),1))/AG342,0)</f>
        <v/>
      </c>
      <c r="AT342" s="32">
        <f>IFERROR(Upgrades!$H$7*(POWER(Upgrades!$P$6,E342)*POWER(Upgrades!$P$7,F342)*POWER(Upgrades!$P$8,G342)*POWER(Upgrades!$P$9,H342)*POWER(Upgrades!$P$10,I342)*POWER(Upgrades!$P$11,J342)*POWER(Upgrades!$P$12,K342))*(IF(Upgrades!$T$6="Asteroid Belt",POWER(Upgrades!$U$6,E342),1)*IF(Upgrades!$T$8="Asteroid Belt",POWER(Upgrades!$U$8,G342),1)*IF(Upgrades!$T$9="Asteroid Belt",POWER(Upgrades!$U$9,H342),1)*IF(Upgrades!$T$10="Asteroid Belt",POWER(Upgrades!$U$10,I342),1)*IF(Upgrades!$T$11="Asteroid Belt",POWER(Upgrades!$U$11,J342),1)*IF(Upgrades!$T$12="Asteroid Belt",POWER(Upgrades!$U$12,K342),1))/AH342,0)</f>
        <v/>
      </c>
      <c r="AU342" s="32">
        <f>IFERROR(Upgrades!$K$8*(POWER(Upgrades!$Q$6,E342)*POWER(Upgrades!$Q$7,F342)*POWER(Upgrades!$Q$8,G342)*POWER(Upgrades!$Q$9,H342)*POWER(Upgrades!$Q$10,I342)*POWER(Upgrades!$Q$11,J342)*POWER(Upgrades!$Q$12,K342))*(IF(Upgrades!$T$6="Stellar Coupling",POWER(Upgrades!$U$6,E342),1)*IF(Upgrades!$T$7="Stellar Coupling",POWER(Upgrades!$U$7,F342),1)*IF(Upgrades!$T$9="Stellar Coupling",POWER(Upgrades!$U$9,H342),1)*IF(Upgrades!$T$10="Stellar Coupling",POWER(Upgrades!$U$10,I342),1)*IF(Upgrades!$T$11="Stellar Coupling",POWER(Upgrades!$U$11,J342),1)*IF(Upgrades!$T$12="Stellar Coupling",POWER(Upgrades!$U$12,K342),1))*Parameters!$B$10*Parameters!$B$11/60/AI342,0)</f>
        <v/>
      </c>
      <c r="AV342" s="32">
        <f>IFERROR(Upgrades!$H$9*(POWER(Upgrades!$P$6,E342)*POWER(Upgrades!$P$7,F342)*POWER(Upgrades!$P$8,G342)*POWER(Upgrades!$P$9,H342)*POWER(Upgrades!$P$10,I342)*POWER(Upgrades!$P$11,J342)*POWER(Upgrades!$P$12,K342))*(IF(Upgrades!$T$6="Magnetosphere",POWER(Upgrades!$U$6,E342),1)*IF(Upgrades!$T$7="Magnetosphere",POWER(Upgrades!$U$7,F342),1)*IF(Upgrades!$T$8="Magnetosphere",POWER(Upgrades!$U$8,G342),1)*IF(Upgrades!$T$10="Magnetosphere",POWER(Upgrades!$U$10,I342),1)*IF(Upgrades!$T$11="Magnetosphere",POWER(Upgrades!$U$11,J342),1)*IF(Upgrades!$T$12="Magnetosphere",POWER(Upgrades!$U$12,K342),1))/AJ342,0)</f>
        <v/>
      </c>
      <c r="AW342" s="32">
        <f>MAX(IF(I342&gt;0,0,IFERROR(0.25*N342/Upgrades!$C$10,0)),IF(J342&gt;0,0,IFERROR(0.5*((IF(G342=0,0,(Upgrades!$J$8+G342*Upgrades!$K$8)*POWER(Upgrades!$L$8,G342)))*(IF(Upgrades!$T$6="Stellar Coupling",POWER(Upgrades!$U$6,E342),1)*IF(Upgrades!$T$7="Stellar Coupling",POWER(Upgrades!$U$7,F342),1)*IF(Upgrades!$T$9="Stellar Coupling",POWER(Upgrades!$U$9,H342),1)*IF(Upgrades!$T$10="Stellar Coupling",POWER(Upgrades!$U$10,I342),1)*IF(Upgrades!$T$11="Stellar Coupling",POWER(Upgrades!$U$11,J342),1)*IF(Upgrades!$T$12="Stellar Coupling",POWER(Upgrades!$U$12,K342),1))*(POWER(Upgrades!$Q$6,E342)*POWER(Upgrades!$Q$7,F342)*POWER(Upgrades!$Q$8,G342)*POWER(Upgrades!$Q$9,H342)*POWER(Upgrades!$Q$10,I342)*POWER(Upgrades!$Q$11,J342)*POWER(Upgrades!$Q$12,K342))*Parameters!$B$10*Parameters!$B$11/60)/Upgrades!$C$11,0)),IF(K342&gt;0,0,IFERROR((1.0*(POWER(Upgrades!$P$6,E342)*POWER(Upgrades!$P$7,F342)*POWER(Upgrades!$P$8,G342)*POWER(Upgrades!$P$9,H342)*POWER(Upgrades!$P$10,I342)*POWER(Upgrades!$P$11,J342)*POWER(Upgrades!$P$12,K342))+0.20*M342*Parameters!$B$10*Parameters!$B$11/60)/Upgrades!$C$12,0)),IF(AND(ISNUMBER(AG342),AG342&gt;T342),AS342,0),IF(AND(ISNUMBER(AH342),AH342&gt;T342),AT342,0),IF(AND(ISNUMBER(AI342),AI342&gt;T342),AU342,0),IF(AND(ISNUMBER(AJ342),AJ342&gt;T342),AV342,0))</f>
        <v/>
      </c>
      <c r="AX342" s="29">
        <f>IF(AN342=1,"transition",IF(MIN(IF(AND(I342=0,ISNUMBER(AK342),AK342&lt;=T342),AK342,9E15),IF(AND(J342=0,ISNUMBER(AL342),AL342&lt;=T342),AL342,9E15),IF(AND(K342=0,ISNUMBER(AM342),AM342&lt;=T342),AM342,9E15))&lt;9E15,IF(AND(AND(I342=0,ISNUMBER(AK342),AK342&lt;=T342),AK342=MIN(IF(AND(I342=0,ISNUMBER(AK342),AK342&lt;=T342),AK342,9E15),IF(AND(J342=0,ISNUMBER(AL342),AL342&lt;=T342),AL342,9E15),IF(AND(K342=0,ISNUMBER(AM342),AM342&lt;=T342),AM342,9E15))),"OR",IF(AND(AND(J342=0,ISNUMBER(AL342),AL342&lt;=T342),AL342=MIN(IF(AND(I342=0,ISNUMBER(AK342),AK342&lt;=T342),AK342,9E15),IF(AND(J342=0,ISNUMBER(AL342),AL342&lt;=T342),AL342,9E15),IF(AND(K342=0,ISNUMBER(AM342),AM342&lt;=T342),AM342,9E15))),"HP","FP")),IF(AR342=TRUE,"",IF(MAX(IF(AND(NOT(AND(AO342=1,AN342&lt;&gt;1)),ISNUMBER(AG342),AG342&lt;=T342),AS342,0),IF(AND(NOT(AND(AO342=1,AN342&lt;&gt;1)),ISNUMBER(AH342),AH342&lt;=T342),AT342,0),IF(AND(NOT(AND(AO342=1,AN342&lt;&gt;1)),ISNUMBER(AI342),AI342&lt;=T342),AU342,0),IF(AND(ISNUMBER(AJ342),AJ342&lt;=T342),AV342,0))&lt;=0,"",IF(AND(IF(AND(NOT(AND(AO342=1,AN342&lt;&gt;1)),ISNUMBER(AG342),AG342&lt;=T342),AS342,0)&gt;0,IF(AND(NOT(AND(AO342=1,AN342&lt;&gt;1)),ISNUMBER(AG342),AG342&lt;=T342),AS342,0)=MAX(IF(AND(NOT(AND(AO342=1,AN342&lt;&gt;1)),ISNUMBER(AG342),AG342&lt;=T342),AS342,0),IF(AND(NOT(AND(AO342=1,AN342&lt;&gt;1)),ISNUMBER(AH342),AH342&lt;=T342),AT342,0),IF(AND(NOT(AND(AO342=1,AN342&lt;&gt;1)),ISNUMBER(AI342),AI342&lt;=T342),AU342,0),IF(AND(ISNUMBER(AJ342),AJ342&lt;=T342),AV342,0))),"SW",IF(AND(IF(AND(NOT(AND(AO342=1,AN342&lt;&gt;1)),ISNUMBER(AH342),AH342&lt;=T342),AT342,0)&gt;0,IF(AND(NOT(AND(AO342=1,AN342&lt;&gt;1)),ISNUMBER(AH342),AH342&lt;=T342),AT342,0)=MAX(IF(AND(NOT(AND(AO342=1,AN342&lt;&gt;1)),ISNUMBER(AG342),AG342&lt;=T342),AS342,0),IF(AND(NOT(AND(AO342=1,AN342&lt;&gt;1)),ISNUMBER(AH342),AH342&lt;=T342),AT342,0),IF(AND(NOT(AND(AO342=1,AN342&lt;&gt;1)),ISNUMBER(AI342),AI342&lt;=T342),AU342,0),IF(AND(ISNUMBER(AJ342),AJ342&lt;=T342),AV342,0))),"AB",IF(AND(IF(AND(NOT(AND(AO342=1,AN342&lt;&gt;1)),ISNUMBER(AI342),AI342&lt;=T342),AU342,0)&gt;0,IF(AND(NOT(AND(AO342=1,AN342&lt;&gt;1)),ISNUMBER(AI342),AI342&lt;=T342),AU342,0)=MAX(IF(AND(NOT(AND(AO342=1,AN342&lt;&gt;1)),ISNUMBER(AG342),AG342&lt;=T342),AS342,0),IF(AND(NOT(AND(AO342=1,AN342&lt;&gt;1)),ISNUMBER(AH342),AH342&lt;=T342),AT342,0),IF(AND(NOT(AND(AO342=1,AN342&lt;&gt;1)),ISNUMBER(AI342),AI342&lt;=T342),AU342,0),IF(AND(ISNUMBER(AJ342),AJ342&lt;=T342),AV342,0))),"SC","Mag")))))))</f>
        <v/>
      </c>
    </row>
    <row r="343">
      <c r="A343" s="26" t="n">
        <v>338</v>
      </c>
      <c r="B343" s="27">
        <f>A343*10/60</f>
        <v/>
      </c>
      <c r="C343" s="22">
        <f>X342</f>
        <v/>
      </c>
      <c r="D343" s="27">
        <f>D342+W342</f>
        <v/>
      </c>
      <c r="E343" s="26">
        <f>E342+IF(U342="SW",1,0)</f>
        <v/>
      </c>
      <c r="F343" s="26">
        <f>F342+IF(U342="AB",1,0)</f>
        <v/>
      </c>
      <c r="G343" s="26">
        <f>G342+IF(U342="SC",1,0)</f>
        <v/>
      </c>
      <c r="H343" s="26">
        <f>H342+IF(U342="Mag",1,0)</f>
        <v/>
      </c>
      <c r="I343" s="26">
        <f>MAX(I342,IF(U342="OR",1,0))</f>
        <v/>
      </c>
      <c r="J343" s="26">
        <f>MAX(J342,IF(U342="HP",1,0))</f>
        <v/>
      </c>
      <c r="K343" s="26">
        <f>MAX(K342,IF(U342="FP",1,0))</f>
        <v/>
      </c>
      <c r="L343" s="26">
        <f>MAX(L342,IF(U342="transition",1,0))</f>
        <v/>
      </c>
      <c r="M343" s="28">
        <f>(Parameters!$B$9+(IF(E343=0,0,(Upgrades!$J$6+E343*Upgrades!$K$6)*POWER(Upgrades!$L$6,E343)))*(IF(Upgrades!$T$7="Solar Wind",POWER(Upgrades!$U$7,F343),1)*IF(Upgrades!$T$8="Solar Wind",POWER(Upgrades!$U$8,G343),1)*IF(Upgrades!$T$9="Solar Wind",POWER(Upgrades!$U$9,H343),1)*IF(Upgrades!$T$10="Solar Wind",POWER(Upgrades!$U$10,I343),1)*IF(Upgrades!$T$11="Solar Wind",POWER(Upgrades!$U$11,J343),1)*IF(Upgrades!$T$12="Solar Wind",POWER(Upgrades!$U$12,K343),1))+(IF(F343=0,0,(Upgrades!$J$7+F343*Upgrades!$K$7)*POWER(Upgrades!$L$7,F343)))*(IF(Upgrades!$T$6="Asteroid Belt",POWER(Upgrades!$U$6,E343),1)*IF(Upgrades!$T$8="Asteroid Belt",POWER(Upgrades!$U$8,G343),1)*IF(Upgrades!$T$9="Asteroid Belt",POWER(Upgrades!$U$9,H343),1)*IF(Upgrades!$T$10="Asteroid Belt",POWER(Upgrades!$U$10,I343),1)*IF(Upgrades!$T$11="Asteroid Belt",POWER(Upgrades!$U$11,J343),1)*IF(Upgrades!$T$12="Asteroid Belt",POWER(Upgrades!$U$12,K343),1))+(IF(G343=0,0,(Upgrades!$J$8+G343*Upgrades!$K$8)*POWER(Upgrades!$L$8,G343)))*(IF(Upgrades!$T$6="Stellar Coupling",POWER(Upgrades!$U$6,E343),1)*IF(Upgrades!$T$7="Stellar Coupling",POWER(Upgrades!$U$7,F343),1)*IF(Upgrades!$T$9="Stellar Coupling",POWER(Upgrades!$U$9,H343),1)*IF(Upgrades!$T$10="Stellar Coupling",POWER(Upgrades!$U$10,I343),1)*IF(Upgrades!$T$11="Stellar Coupling",POWER(Upgrades!$U$11,J343),1)*IF(Upgrades!$T$12="Stellar Coupling",POWER(Upgrades!$U$12,K343),1))+(IF(H343=0,0,(Upgrades!$J$9+H343*Upgrades!$K$9)*POWER(Upgrades!$L$9,H343)))*(IF(Upgrades!$T$6="Magnetosphere",POWER(Upgrades!$U$6,E343),1)*IF(Upgrades!$T$7="Magnetosphere",POWER(Upgrades!$U$7,F343),1)*IF(Upgrades!$T$8="Magnetosphere",POWER(Upgrades!$U$8,G343),1)*IF(Upgrades!$T$10="Magnetosphere",POWER(Upgrades!$U$10,I343),1)*IF(Upgrades!$T$11="Magnetosphere",POWER(Upgrades!$U$11,J343),1)*IF(Upgrades!$T$12="Magnetosphere",POWER(Upgrades!$U$12,K343),1))+(IF(I343=0,0,(Upgrades!$J$10+I343*Upgrades!$K$10)*POWER(Upgrades!$L$10,I343)))*(IF(Upgrades!$T$6="Orbital Resonance",POWER(Upgrades!$U$6,E343),1)*IF(Upgrades!$T$7="Orbital Resonance",POWER(Upgrades!$U$7,F343),1)*IF(Upgrades!$T$8="Orbital Resonance",POWER(Upgrades!$U$8,G343),1)*IF(Upgrades!$T$9="Orbital Resonance",POWER(Upgrades!$U$9,H343),1)*IF(Upgrades!$T$11="Orbital Resonance",POWER(Upgrades!$U$11,J343),1)*IF(Upgrades!$T$12="Orbital Resonance",POWER(Upgrades!$U$12,K343),1))+(IF(J343=0,0,(Upgrades!$J$11+J343*Upgrades!$K$11)*POWER(Upgrades!$L$11,J343)))*(IF(Upgrades!$T$6="Heliopause",POWER(Upgrades!$U$6,E343),1)*IF(Upgrades!$T$7="Heliopause",POWER(Upgrades!$U$7,F343),1)*IF(Upgrades!$T$8="Heliopause",POWER(Upgrades!$U$8,G343),1)*IF(Upgrades!$T$9="Heliopause",POWER(Upgrades!$U$9,H343),1)*IF(Upgrades!$T$10="Heliopause",POWER(Upgrades!$U$10,I343),1)*IF(Upgrades!$T$12="Heliopause",POWER(Upgrades!$U$12,K343),1))+(IF(K343=0,0,(Upgrades!$J$12+K343*Upgrades!$K$12)*POWER(Upgrades!$L$12,K343)))*(IF(Upgrades!$T$6="First Photons",POWER(Upgrades!$U$6,E343),1)*IF(Upgrades!$T$7="First Photons",POWER(Upgrades!$U$7,F343),1)*IF(Upgrades!$T$8="First Photons",POWER(Upgrades!$U$8,G343),1)*IF(Upgrades!$T$9="First Photons",POWER(Upgrades!$U$9,H343),1)*IF(Upgrades!$T$10="First Photons",POWER(Upgrades!$U$10,I343),1)*IF(Upgrades!$T$11="First Photons",POWER(Upgrades!$U$11,J343),1)))*POWER(Upgrades!$Q$6,E343)*POWER(Upgrades!$Q$7,F343)*POWER(Upgrades!$Q$8,G343)*POWER(Upgrades!$Q$9,H343)*POWER(Upgrades!$Q$10,I343)*POWER(Upgrades!$Q$11,J343)*POWER(Upgrades!$Q$12,K343)</f>
        <v/>
      </c>
      <c r="N343" s="28">
        <f>((IF(E343=0,0,(Upgrades!$G$6+E343*Upgrades!$H$6)*POWER(Upgrades!$I$6,E343)))*(IF(Upgrades!$T$7="Solar Wind",POWER(Upgrades!$U$7,F343),1)*IF(Upgrades!$T$8="Solar Wind",POWER(Upgrades!$U$8,G343),1)*IF(Upgrades!$T$9="Solar Wind",POWER(Upgrades!$U$9,H343),1)*IF(Upgrades!$T$10="Solar Wind",POWER(Upgrades!$U$10,I343),1)*IF(Upgrades!$T$11="Solar Wind",POWER(Upgrades!$U$11,J343),1)*IF(Upgrades!$T$12="Solar Wind",POWER(Upgrades!$U$12,K343),1))+(IF(F343=0,0,(Upgrades!$G$7+F343*Upgrades!$H$7)*POWER(Upgrades!$I$7,F343)))*(IF(Upgrades!$T$6="Asteroid Belt",POWER(Upgrades!$U$6,E343),1)*IF(Upgrades!$T$8="Asteroid Belt",POWER(Upgrades!$U$8,G343),1)*IF(Upgrades!$T$9="Asteroid Belt",POWER(Upgrades!$U$9,H343),1)*IF(Upgrades!$T$10="Asteroid Belt",POWER(Upgrades!$U$10,I343),1)*IF(Upgrades!$T$11="Asteroid Belt",POWER(Upgrades!$U$11,J343),1)*IF(Upgrades!$T$12="Asteroid Belt",POWER(Upgrades!$U$12,K343),1))+(IF(G343=0,0,(Upgrades!$G$8+G343*Upgrades!$H$8)*POWER(Upgrades!$I$8,G343)))*(IF(Upgrades!$T$6="Stellar Coupling",POWER(Upgrades!$U$6,E343),1)*IF(Upgrades!$T$7="Stellar Coupling",POWER(Upgrades!$U$7,F343),1)*IF(Upgrades!$T$9="Stellar Coupling",POWER(Upgrades!$U$9,H343),1)*IF(Upgrades!$T$10="Stellar Coupling",POWER(Upgrades!$U$10,I343),1)*IF(Upgrades!$T$11="Stellar Coupling",POWER(Upgrades!$U$11,J343),1)*IF(Upgrades!$T$12="Stellar Coupling",POWER(Upgrades!$U$12,K343),1))+(IF(H343=0,0,(Upgrades!$G$9+H343*Upgrades!$H$9)*POWER(Upgrades!$I$9,H343)))*(IF(Upgrades!$T$6="Magnetosphere",POWER(Upgrades!$U$6,E343),1)*IF(Upgrades!$T$7="Magnetosphere",POWER(Upgrades!$U$7,F343),1)*IF(Upgrades!$T$8="Magnetosphere",POWER(Upgrades!$U$8,G343),1)*IF(Upgrades!$T$10="Magnetosphere",POWER(Upgrades!$U$10,I343),1)*IF(Upgrades!$T$11="Magnetosphere",POWER(Upgrades!$U$11,J343),1)*IF(Upgrades!$T$12="Magnetosphere",POWER(Upgrades!$U$12,K343),1))+(IF(I343=0,0,(Upgrades!$G$10+I343*Upgrades!$H$10)*POWER(Upgrades!$I$10,I343)))*(IF(Upgrades!$T$6="Orbital Resonance",POWER(Upgrades!$U$6,E343),1)*IF(Upgrades!$T$7="Orbital Resonance",POWER(Upgrades!$U$7,F343),1)*IF(Upgrades!$T$8="Orbital Resonance",POWER(Upgrades!$U$8,G343),1)*IF(Upgrades!$T$9="Orbital Resonance",POWER(Upgrades!$U$9,H343),1)*IF(Upgrades!$T$11="Orbital Resonance",POWER(Upgrades!$U$11,J343),1)*IF(Upgrades!$T$12="Orbital Resonance",POWER(Upgrades!$U$12,K343),1))+(IF(J343=0,0,(Upgrades!$G$11+J343*Upgrades!$H$11)*POWER(Upgrades!$I$11,J343)))*(IF(Upgrades!$T$6="Heliopause",POWER(Upgrades!$U$6,E343),1)*IF(Upgrades!$T$7="Heliopause",POWER(Upgrades!$U$7,F343),1)*IF(Upgrades!$T$8="Heliopause",POWER(Upgrades!$U$8,G343),1)*IF(Upgrades!$T$9="Heliopause",POWER(Upgrades!$U$9,H343),1)*IF(Upgrades!$T$10="Heliopause",POWER(Upgrades!$U$10,I343),1)*IF(Upgrades!$T$12="Heliopause",POWER(Upgrades!$U$12,K343),1))+(IF(K343=0,0,(Upgrades!$G$12+K343*Upgrades!$H$12)*POWER(Upgrades!$I$12,K343)))*(IF(Upgrades!$T$6="First Photons",POWER(Upgrades!$U$6,E343),1)*IF(Upgrades!$T$7="First Photons",POWER(Upgrades!$U$7,F343),1)*IF(Upgrades!$T$8="First Photons",POWER(Upgrades!$U$8,G343),1)*IF(Upgrades!$T$9="First Photons",POWER(Upgrades!$U$9,H343),1)*IF(Upgrades!$T$10="First Photons",POWER(Upgrades!$U$10,I343),1)*IF(Upgrades!$T$11="First Photons",POWER(Upgrades!$U$11,J343),1)))*POWER(Upgrades!$P$6,E343)*POWER(Upgrades!$P$7,F343)*POWER(Upgrades!$P$8,G343)*POWER(Upgrades!$P$9,H343)*POWER(Upgrades!$P$10,I343)*POWER(Upgrades!$P$11,J343)*POWER(Upgrades!$P$12,K343)</f>
        <v/>
      </c>
      <c r="O343" s="28">
        <f>((IF(E343=0,0,(Upgrades!$M$6+E343*Upgrades!$N$6)*POWER(Upgrades!$O$6,E343)))*(IF(Upgrades!$T$7="Solar Wind",POWER(Upgrades!$U$7,F343),1)*IF(Upgrades!$T$8="Solar Wind",POWER(Upgrades!$U$8,G343),1)*IF(Upgrades!$T$9="Solar Wind",POWER(Upgrades!$U$9,H343),1)*IF(Upgrades!$T$10="Solar Wind",POWER(Upgrades!$U$10,I343),1)*IF(Upgrades!$T$11="Solar Wind",POWER(Upgrades!$U$11,J343),1)*IF(Upgrades!$T$12="Solar Wind",POWER(Upgrades!$U$12,K343),1))+(IF(F343=0,0,(Upgrades!$M$7+F343*Upgrades!$N$7)*POWER(Upgrades!$O$7,F343)))*(IF(Upgrades!$T$6="Asteroid Belt",POWER(Upgrades!$U$6,E343),1)*IF(Upgrades!$T$8="Asteroid Belt",POWER(Upgrades!$U$8,G343),1)*IF(Upgrades!$T$9="Asteroid Belt",POWER(Upgrades!$U$9,H343),1)*IF(Upgrades!$T$10="Asteroid Belt",POWER(Upgrades!$U$10,I343),1)*IF(Upgrades!$T$11="Asteroid Belt",POWER(Upgrades!$U$11,J343),1)*IF(Upgrades!$T$12="Asteroid Belt",POWER(Upgrades!$U$12,K343),1))+(IF(G343=0,0,(Upgrades!$M$8+G343*Upgrades!$N$8)*POWER(Upgrades!$O$8,G343)))*(IF(Upgrades!$T$6="Stellar Coupling",POWER(Upgrades!$U$6,E343),1)*IF(Upgrades!$T$7="Stellar Coupling",POWER(Upgrades!$U$7,F343),1)*IF(Upgrades!$T$9="Stellar Coupling",POWER(Upgrades!$U$9,H343),1)*IF(Upgrades!$T$10="Stellar Coupling",POWER(Upgrades!$U$10,I343),1)*IF(Upgrades!$T$11="Stellar Coupling",POWER(Upgrades!$U$11,J343),1)*IF(Upgrades!$T$12="Stellar Coupling",POWER(Upgrades!$U$12,K343),1))+(IF(H343=0,0,(Upgrades!$M$9+H343*Upgrades!$N$9)*POWER(Upgrades!$O$9,H343)))*(IF(Upgrades!$T$6="Magnetosphere",POWER(Upgrades!$U$6,E343),1)*IF(Upgrades!$T$7="Magnetosphere",POWER(Upgrades!$U$7,F343),1)*IF(Upgrades!$T$8="Magnetosphere",POWER(Upgrades!$U$8,G343),1)*IF(Upgrades!$T$10="Magnetosphere",POWER(Upgrades!$U$10,I343),1)*IF(Upgrades!$T$11="Magnetosphere",POWER(Upgrades!$U$11,J343),1)*IF(Upgrades!$T$12="Magnetosphere",POWER(Upgrades!$U$12,K343),1))+(IF(I343=0,0,(Upgrades!$M$10+I343*Upgrades!$N$10)*POWER(Upgrades!$O$10,I343)))*(IF(Upgrades!$T$6="Orbital Resonance",POWER(Upgrades!$U$6,E343),1)*IF(Upgrades!$T$7="Orbital Resonance",POWER(Upgrades!$U$7,F343),1)*IF(Upgrades!$T$8="Orbital Resonance",POWER(Upgrades!$U$8,G343),1)*IF(Upgrades!$T$9="Orbital Resonance",POWER(Upgrades!$U$9,H343),1)*IF(Upgrades!$T$11="Orbital Resonance",POWER(Upgrades!$U$11,J343),1)*IF(Upgrades!$T$12="Orbital Resonance",POWER(Upgrades!$U$12,K343),1))+(IF(J343=0,0,(Upgrades!$M$11+J343*Upgrades!$N$11)*POWER(Upgrades!$O$11,J343)))*(IF(Upgrades!$T$6="Heliopause",POWER(Upgrades!$U$6,E343),1)*IF(Upgrades!$T$7="Heliopause",POWER(Upgrades!$U$7,F343),1)*IF(Upgrades!$T$8="Heliopause",POWER(Upgrades!$U$8,G343),1)*IF(Upgrades!$T$9="Heliopause",POWER(Upgrades!$U$9,H343),1)*IF(Upgrades!$T$10="Heliopause",POWER(Upgrades!$U$10,I343),1)*IF(Upgrades!$T$12="Heliopause",POWER(Upgrades!$U$12,K343),1))+(IF(K343=0,0,(Upgrades!$M$12+K343*Upgrades!$N$12)*POWER(Upgrades!$O$12,K343)))*(IF(Upgrades!$T$6="First Photons",POWER(Upgrades!$U$6,E343),1)*IF(Upgrades!$T$7="First Photons",POWER(Upgrades!$U$7,F343),1)*IF(Upgrades!$T$8="First Photons",POWER(Upgrades!$U$8,G343),1)*IF(Upgrades!$T$9="First Photons",POWER(Upgrades!$U$9,H343),1)*IF(Upgrades!$T$10="First Photons",POWER(Upgrades!$U$10,I343),1)*IF(Upgrades!$T$11="First Photons",POWER(Upgrades!$U$11,J343),1)))*POWER(Upgrades!$R$6,E343)*POWER(Upgrades!$R$7,F343)*POWER(Upgrades!$R$8,G343)*POWER(Upgrades!$R$9,H343)*POWER(Upgrades!$R$10,I343)*POWER(Upgrades!$R$11,J343)*POWER(Upgrades!$R$12,K343)</f>
        <v/>
      </c>
      <c r="P343" s="27">
        <f>IF(L343=1,0,M343*Parameters!$B$10/60*Parameters!$B$11*10)</f>
        <v/>
      </c>
      <c r="Q343" s="27">
        <f>IF(L343=1,0,O343*M343*10)</f>
        <v/>
      </c>
      <c r="R343" s="27">
        <f>IF(L343=1,0,N343*10)</f>
        <v/>
      </c>
      <c r="S343" s="27">
        <f>P343+Q343+R343</f>
        <v/>
      </c>
      <c r="T343" s="22">
        <f>C343+S343</f>
        <v/>
      </c>
      <c r="U343" s="33">
        <f>AX343</f>
        <v/>
      </c>
      <c r="V343" s="22">
        <f>IF(U343="",0,IF(U343="transition",0,IF(U343="SW",AG343,IF(U343="AB",AH343,IF(U343="SC",AI343,IF(U343="Mag",AJ343,IF(U343="OR",AK343,IF(U343="HP",AL343,IF(U343="FP",AM343,0)))))))))</f>
        <v/>
      </c>
      <c r="W343" s="27">
        <f>IF(U343="OR",Upgrades!$F$10,IF(U343="HP",Upgrades!$F$11,IF(U343="transition",-Parameters!$B$18,0)))</f>
        <v/>
      </c>
      <c r="X343" s="22">
        <f>T343-V343</f>
        <v/>
      </c>
      <c r="Y343" s="30">
        <f>M343*Parameters!$B$10/60*Parameters!$B$11+O343*M343+N343</f>
        <v/>
      </c>
      <c r="Z343" s="34">
        <f>IF(U343="transition","→ Tier 2 (Stellar Neighborhood)",IF(U343="FP","First Photons — light begins, system quickens",IF(U343="HP","Heliopause acquired",IF(U343="OR","Orbital Resonance — passive multiplier active",IF(AND(AO343=1,L343=0,AN343&lt;&gt;1),"Cohesion ready (waiting on completionist upgrades)","")))))</f>
        <v/>
      </c>
      <c r="AA343" s="27">
        <f>(IF(E343=0,0,(Upgrades!$G$6+E343*Upgrades!$H$6)*POWER(Upgrades!$I$6,E343)))*(IF(Upgrades!$T$7="Solar Wind",POWER(Upgrades!$U$7,F343),1)*IF(Upgrades!$T$8="Solar Wind",POWER(Upgrades!$U$8,G343),1)*IF(Upgrades!$T$9="Solar Wind",POWER(Upgrades!$U$9,H343),1)*IF(Upgrades!$T$10="Solar Wind",POWER(Upgrades!$U$10,I343),1)*IF(Upgrades!$T$11="Solar Wind",POWER(Upgrades!$U$11,J343),1)*IF(Upgrades!$T$12="Solar Wind",POWER(Upgrades!$U$12,K343),1))*POWER(Upgrades!$P$6,E343)*POWER(Upgrades!$P$7,F343)*POWER(Upgrades!$P$8,G343)*POWER(Upgrades!$P$9,H343)*POWER(Upgrades!$P$10,I343)*POWER(Upgrades!$P$11,J343)*POWER(Upgrades!$P$12,K343)*60</f>
        <v/>
      </c>
      <c r="AB343" s="27">
        <f>(IF(F343=0,0,(Upgrades!$G$7+F343*Upgrades!$H$7)*POWER(Upgrades!$I$7,F343)))*(IF(Upgrades!$T$6="Asteroid Belt",POWER(Upgrades!$U$6,E343),1)*IF(Upgrades!$T$8="Asteroid Belt",POWER(Upgrades!$U$8,G343),1)*IF(Upgrades!$T$9="Asteroid Belt",POWER(Upgrades!$U$9,H343),1)*IF(Upgrades!$T$10="Asteroid Belt",POWER(Upgrades!$U$10,I343),1)*IF(Upgrades!$T$11="Asteroid Belt",POWER(Upgrades!$U$11,J343),1)*IF(Upgrades!$T$12="Asteroid Belt",POWER(Upgrades!$U$12,K343),1))*POWER(Upgrades!$P$6,E343)*POWER(Upgrades!$P$7,F343)*POWER(Upgrades!$P$8,G343)*POWER(Upgrades!$P$9,H343)*POWER(Upgrades!$P$10,I343)*POWER(Upgrades!$P$11,J343)*POWER(Upgrades!$P$12,K343)*60</f>
        <v/>
      </c>
      <c r="AC343" s="27">
        <f>(IF(G343=0,0,(Upgrades!$J$8+G343*Upgrades!$K$8)*POWER(Upgrades!$L$8,G343)))*(IF(Upgrades!$T$6="Stellar Coupling",POWER(Upgrades!$U$6,E343),1)*IF(Upgrades!$T$7="Stellar Coupling",POWER(Upgrades!$U$7,F343),1)*IF(Upgrades!$T$9="Stellar Coupling",POWER(Upgrades!$U$9,H343),1)*IF(Upgrades!$T$10="Stellar Coupling",POWER(Upgrades!$U$10,I343),1)*IF(Upgrades!$T$11="Stellar Coupling",POWER(Upgrades!$U$11,J343),1)*IF(Upgrades!$T$12="Stellar Coupling",POWER(Upgrades!$U$12,K343),1))*POWER(Upgrades!$Q$6,E343)*POWER(Upgrades!$Q$7,F343)*POWER(Upgrades!$Q$8,G343)*POWER(Upgrades!$Q$9,H343)*POWER(Upgrades!$Q$10,I343)*POWER(Upgrades!$Q$11,J343)*POWER(Upgrades!$Q$12,K343)*Parameters!$B$10*Parameters!$B$11</f>
        <v/>
      </c>
      <c r="AD343" s="27">
        <f>(IF(H343=0,0,(Upgrades!$G$9+H343*Upgrades!$H$9)*POWER(Upgrades!$I$9,H343)))*(IF(Upgrades!$T$6="Magnetosphere",POWER(Upgrades!$U$6,E343),1)*IF(Upgrades!$T$7="Magnetosphere",POWER(Upgrades!$U$7,F343),1)*IF(Upgrades!$T$8="Magnetosphere",POWER(Upgrades!$U$8,G343),1)*IF(Upgrades!$T$10="Magnetosphere",POWER(Upgrades!$U$10,I343),1)*IF(Upgrades!$T$11="Magnetosphere",POWER(Upgrades!$U$11,J343),1)*IF(Upgrades!$T$12="Magnetosphere",POWER(Upgrades!$U$12,K343),1))*POWER(Upgrades!$P$6,E343)*POWER(Upgrades!$P$7,F343)*POWER(Upgrades!$P$8,G343)*POWER(Upgrades!$P$9,H343)*POWER(Upgrades!$P$10,I343)*POWER(Upgrades!$P$11,J343)*POWER(Upgrades!$P$12,K343)*60</f>
        <v/>
      </c>
      <c r="AE343" s="27">
        <f>(IF(K343=0,0,(Upgrades!$G$12+K343*Upgrades!$H$12)*POWER(Upgrades!$I$12,K343)))*(IF(Upgrades!$T$6="First Photons",POWER(Upgrades!$U$6,E343),1)*IF(Upgrades!$T$7="First Photons",POWER(Upgrades!$U$7,F343),1)*IF(Upgrades!$T$8="First Photons",POWER(Upgrades!$U$8,G343),1)*IF(Upgrades!$T$9="First Photons",POWER(Upgrades!$U$9,H343),1)*IF(Upgrades!$T$10="First Photons",POWER(Upgrades!$U$10,I343),1)*IF(Upgrades!$T$11="First Photons",POWER(Upgrades!$U$11,J343),1))*POWER(Upgrades!$P$6,E343)*POWER(Upgrades!$P$7,F343)*POWER(Upgrades!$P$8,G343)*POWER(Upgrades!$P$9,H343)*POWER(Upgrades!$P$10,I343)*POWER(Upgrades!$P$11,J343)*POWER(Upgrades!$P$12,K343)*60</f>
        <v/>
      </c>
      <c r="AF343" s="27">
        <f>Parameters!$B$9*POWER(Upgrades!$Q$6,E343)*POWER(Upgrades!$Q$7,F343)*POWER(Upgrades!$Q$8,G343)*POWER(Upgrades!$Q$9,H343)*POWER(Upgrades!$Q$10,I343)*POWER(Upgrades!$Q$11,J343)*POWER(Upgrades!$Q$12,K343)*(Parameters!$B$10*Parameters!$B$11+O343*60)</f>
        <v/>
      </c>
      <c r="AG343" s="22">
        <f>IF(E343&gt;=Upgrades!$E$6,"",Upgrades!$C$6*POWER(Upgrades!$D$6,E343))</f>
        <v/>
      </c>
      <c r="AH343" s="22">
        <f>IF(F343&gt;=Upgrades!$E$7,"",Upgrades!$C$7*POWER(Upgrades!$D$7,F343))</f>
        <v/>
      </c>
      <c r="AI343" s="22">
        <f>IF(G343&gt;=Upgrades!$E$8,"",Upgrades!$C$8*POWER(Upgrades!$D$8,G343))</f>
        <v/>
      </c>
      <c r="AJ343" s="22">
        <f>IF(H343&gt;=Upgrades!$E$9,"",Upgrades!$C$9*POWER(Upgrades!$D$9,H343))</f>
        <v/>
      </c>
      <c r="AK343" s="22">
        <f>IF(I343&gt;=Upgrades!$E$10,"",Upgrades!$C$10*POWER(Upgrades!$D$10,I343))</f>
        <v/>
      </c>
      <c r="AL343" s="22">
        <f>IF(J343&gt;=Upgrades!$E$11,"",Upgrades!$C$11*POWER(Upgrades!$D$11,J343))</f>
        <v/>
      </c>
      <c r="AM343" s="22">
        <f>IF(K343&gt;=Upgrades!$E$12,"",Upgrades!$C$12*POWER(Upgrades!$D$12,K343))</f>
        <v/>
      </c>
      <c r="AN343" s="26">
        <f>IF(AND(D343&gt;=Parameters!$B$18,(H343&gt;=Upgrades!$E$9)*(K343&gt;=Upgrades!$E$12)=1,L343=0),1,"")</f>
        <v/>
      </c>
      <c r="AO343" s="26">
        <f>IF(AND(D343&gt;=Parameters!$B$18,L343=0),1,"")</f>
        <v/>
      </c>
      <c r="AP343" s="22">
        <f>MIN(IF(ISNUMBER(AK343),AK343,9E15),IF(ISNUMBER(AL343),AL343,9E15),IF(ISNUMBER(AM343),AM343,9E15))</f>
        <v/>
      </c>
      <c r="AQ343" s="22">
        <f>MIN(IF(ISNUMBER(AG343),AG343,9E15),IF(ISNUMBER(AH343),AH343,9E15),IF(ISNUMBER(AI343),AI343,9E15),IF(ISNUMBER(AJ343),AJ343,9E15))</f>
        <v/>
      </c>
      <c r="AR343" s="29">
        <f>IF(AW343&gt;Parameters!$B$21*(MAX(IF(AND(NOT(AND(AO343=1,AN343&lt;&gt;1)),ISNUMBER(AG343),AG343&lt;=T343),AS343,0),IF(AND(NOT(AND(AO343=1,AN343&lt;&gt;1)),ISNUMBER(AH343),AH343&lt;=T343),AT343,0),IF(AND(NOT(AND(AO343=1,AN343&lt;&gt;1)),ISNUMBER(AI343),AI343&lt;=T343),AU343,0),IF(AND(ISNUMBER(AJ343),AJ343&lt;=T343),AV343,0))),TRUE,FALSE)</f>
        <v/>
      </c>
      <c r="AS343" s="32">
        <f>IFERROR(Upgrades!$H$6*(POWER(Upgrades!$P$6,E343)*POWER(Upgrades!$P$7,F343)*POWER(Upgrades!$P$8,G343)*POWER(Upgrades!$P$9,H343)*POWER(Upgrades!$P$10,I343)*POWER(Upgrades!$P$11,J343)*POWER(Upgrades!$P$12,K343))*(IF(Upgrades!$T$7="Solar Wind",POWER(Upgrades!$U$7,F343),1)*IF(Upgrades!$T$8="Solar Wind",POWER(Upgrades!$U$8,G343),1)*IF(Upgrades!$T$9="Solar Wind",POWER(Upgrades!$U$9,H343),1)*IF(Upgrades!$T$10="Solar Wind",POWER(Upgrades!$U$10,I343),1)*IF(Upgrades!$T$11="Solar Wind",POWER(Upgrades!$U$11,J343),1)*IF(Upgrades!$T$12="Solar Wind",POWER(Upgrades!$U$12,K343),1))/AG343,0)</f>
        <v/>
      </c>
      <c r="AT343" s="32">
        <f>IFERROR(Upgrades!$H$7*(POWER(Upgrades!$P$6,E343)*POWER(Upgrades!$P$7,F343)*POWER(Upgrades!$P$8,G343)*POWER(Upgrades!$P$9,H343)*POWER(Upgrades!$P$10,I343)*POWER(Upgrades!$P$11,J343)*POWER(Upgrades!$P$12,K343))*(IF(Upgrades!$T$6="Asteroid Belt",POWER(Upgrades!$U$6,E343),1)*IF(Upgrades!$T$8="Asteroid Belt",POWER(Upgrades!$U$8,G343),1)*IF(Upgrades!$T$9="Asteroid Belt",POWER(Upgrades!$U$9,H343),1)*IF(Upgrades!$T$10="Asteroid Belt",POWER(Upgrades!$U$10,I343),1)*IF(Upgrades!$T$11="Asteroid Belt",POWER(Upgrades!$U$11,J343),1)*IF(Upgrades!$T$12="Asteroid Belt",POWER(Upgrades!$U$12,K343),1))/AH343,0)</f>
        <v/>
      </c>
      <c r="AU343" s="32">
        <f>IFERROR(Upgrades!$K$8*(POWER(Upgrades!$Q$6,E343)*POWER(Upgrades!$Q$7,F343)*POWER(Upgrades!$Q$8,G343)*POWER(Upgrades!$Q$9,H343)*POWER(Upgrades!$Q$10,I343)*POWER(Upgrades!$Q$11,J343)*POWER(Upgrades!$Q$12,K343))*(IF(Upgrades!$T$6="Stellar Coupling",POWER(Upgrades!$U$6,E343),1)*IF(Upgrades!$T$7="Stellar Coupling",POWER(Upgrades!$U$7,F343),1)*IF(Upgrades!$T$9="Stellar Coupling",POWER(Upgrades!$U$9,H343),1)*IF(Upgrades!$T$10="Stellar Coupling",POWER(Upgrades!$U$10,I343),1)*IF(Upgrades!$T$11="Stellar Coupling",POWER(Upgrades!$U$11,J343),1)*IF(Upgrades!$T$12="Stellar Coupling",POWER(Upgrades!$U$12,K343),1))*Parameters!$B$10*Parameters!$B$11/60/AI343,0)</f>
        <v/>
      </c>
      <c r="AV343" s="32">
        <f>IFERROR(Upgrades!$H$9*(POWER(Upgrades!$P$6,E343)*POWER(Upgrades!$P$7,F343)*POWER(Upgrades!$P$8,G343)*POWER(Upgrades!$P$9,H343)*POWER(Upgrades!$P$10,I343)*POWER(Upgrades!$P$11,J343)*POWER(Upgrades!$P$12,K343))*(IF(Upgrades!$T$6="Magnetosphere",POWER(Upgrades!$U$6,E343),1)*IF(Upgrades!$T$7="Magnetosphere",POWER(Upgrades!$U$7,F343),1)*IF(Upgrades!$T$8="Magnetosphere",POWER(Upgrades!$U$8,G343),1)*IF(Upgrades!$T$10="Magnetosphere",POWER(Upgrades!$U$10,I343),1)*IF(Upgrades!$T$11="Magnetosphere",POWER(Upgrades!$U$11,J343),1)*IF(Upgrades!$T$12="Magnetosphere",POWER(Upgrades!$U$12,K343),1))/AJ343,0)</f>
        <v/>
      </c>
      <c r="AW343" s="32">
        <f>MAX(IF(I343&gt;0,0,IFERROR(0.25*N343/Upgrades!$C$10,0)),IF(J343&gt;0,0,IFERROR(0.5*((IF(G343=0,0,(Upgrades!$J$8+G343*Upgrades!$K$8)*POWER(Upgrades!$L$8,G343)))*(IF(Upgrades!$T$6="Stellar Coupling",POWER(Upgrades!$U$6,E343),1)*IF(Upgrades!$T$7="Stellar Coupling",POWER(Upgrades!$U$7,F343),1)*IF(Upgrades!$T$9="Stellar Coupling",POWER(Upgrades!$U$9,H343),1)*IF(Upgrades!$T$10="Stellar Coupling",POWER(Upgrades!$U$10,I343),1)*IF(Upgrades!$T$11="Stellar Coupling",POWER(Upgrades!$U$11,J343),1)*IF(Upgrades!$T$12="Stellar Coupling",POWER(Upgrades!$U$12,K343),1))*(POWER(Upgrades!$Q$6,E343)*POWER(Upgrades!$Q$7,F343)*POWER(Upgrades!$Q$8,G343)*POWER(Upgrades!$Q$9,H343)*POWER(Upgrades!$Q$10,I343)*POWER(Upgrades!$Q$11,J343)*POWER(Upgrades!$Q$12,K343))*Parameters!$B$10*Parameters!$B$11/60)/Upgrades!$C$11,0)),IF(K343&gt;0,0,IFERROR((1.0*(POWER(Upgrades!$P$6,E343)*POWER(Upgrades!$P$7,F343)*POWER(Upgrades!$P$8,G343)*POWER(Upgrades!$P$9,H343)*POWER(Upgrades!$P$10,I343)*POWER(Upgrades!$P$11,J343)*POWER(Upgrades!$P$12,K343))+0.20*M343*Parameters!$B$10*Parameters!$B$11/60)/Upgrades!$C$12,0)),IF(AND(ISNUMBER(AG343),AG343&gt;T343),AS343,0),IF(AND(ISNUMBER(AH343),AH343&gt;T343),AT343,0),IF(AND(ISNUMBER(AI343),AI343&gt;T343),AU343,0),IF(AND(ISNUMBER(AJ343),AJ343&gt;T343),AV343,0))</f>
        <v/>
      </c>
      <c r="AX343" s="29">
        <f>IF(AN343=1,"transition",IF(MIN(IF(AND(I343=0,ISNUMBER(AK343),AK343&lt;=T343),AK343,9E15),IF(AND(J343=0,ISNUMBER(AL343),AL343&lt;=T343),AL343,9E15),IF(AND(K343=0,ISNUMBER(AM343),AM343&lt;=T343),AM343,9E15))&lt;9E15,IF(AND(AND(I343=0,ISNUMBER(AK343),AK343&lt;=T343),AK343=MIN(IF(AND(I343=0,ISNUMBER(AK343),AK343&lt;=T343),AK343,9E15),IF(AND(J343=0,ISNUMBER(AL343),AL343&lt;=T343),AL343,9E15),IF(AND(K343=0,ISNUMBER(AM343),AM343&lt;=T343),AM343,9E15))),"OR",IF(AND(AND(J343=0,ISNUMBER(AL343),AL343&lt;=T343),AL343=MIN(IF(AND(I343=0,ISNUMBER(AK343),AK343&lt;=T343),AK343,9E15),IF(AND(J343=0,ISNUMBER(AL343),AL343&lt;=T343),AL343,9E15),IF(AND(K343=0,ISNUMBER(AM343),AM343&lt;=T343),AM343,9E15))),"HP","FP")),IF(AR343=TRUE,"",IF(MAX(IF(AND(NOT(AND(AO343=1,AN343&lt;&gt;1)),ISNUMBER(AG343),AG343&lt;=T343),AS343,0),IF(AND(NOT(AND(AO343=1,AN343&lt;&gt;1)),ISNUMBER(AH343),AH343&lt;=T343),AT343,0),IF(AND(NOT(AND(AO343=1,AN343&lt;&gt;1)),ISNUMBER(AI343),AI343&lt;=T343),AU343,0),IF(AND(ISNUMBER(AJ343),AJ343&lt;=T343),AV343,0))&lt;=0,"",IF(AND(IF(AND(NOT(AND(AO343=1,AN343&lt;&gt;1)),ISNUMBER(AG343),AG343&lt;=T343),AS343,0)&gt;0,IF(AND(NOT(AND(AO343=1,AN343&lt;&gt;1)),ISNUMBER(AG343),AG343&lt;=T343),AS343,0)=MAX(IF(AND(NOT(AND(AO343=1,AN343&lt;&gt;1)),ISNUMBER(AG343),AG343&lt;=T343),AS343,0),IF(AND(NOT(AND(AO343=1,AN343&lt;&gt;1)),ISNUMBER(AH343),AH343&lt;=T343),AT343,0),IF(AND(NOT(AND(AO343=1,AN343&lt;&gt;1)),ISNUMBER(AI343),AI343&lt;=T343),AU343,0),IF(AND(ISNUMBER(AJ343),AJ343&lt;=T343),AV343,0))),"SW",IF(AND(IF(AND(NOT(AND(AO343=1,AN343&lt;&gt;1)),ISNUMBER(AH343),AH343&lt;=T343),AT343,0)&gt;0,IF(AND(NOT(AND(AO343=1,AN343&lt;&gt;1)),ISNUMBER(AH343),AH343&lt;=T343),AT343,0)=MAX(IF(AND(NOT(AND(AO343=1,AN343&lt;&gt;1)),ISNUMBER(AG343),AG343&lt;=T343),AS343,0),IF(AND(NOT(AND(AO343=1,AN343&lt;&gt;1)),ISNUMBER(AH343),AH343&lt;=T343),AT343,0),IF(AND(NOT(AND(AO343=1,AN343&lt;&gt;1)),ISNUMBER(AI343),AI343&lt;=T343),AU343,0),IF(AND(ISNUMBER(AJ343),AJ343&lt;=T343),AV343,0))),"AB",IF(AND(IF(AND(NOT(AND(AO343=1,AN343&lt;&gt;1)),ISNUMBER(AI343),AI343&lt;=T343),AU343,0)&gt;0,IF(AND(NOT(AND(AO343=1,AN343&lt;&gt;1)),ISNUMBER(AI343),AI343&lt;=T343),AU343,0)=MAX(IF(AND(NOT(AND(AO343=1,AN343&lt;&gt;1)),ISNUMBER(AG343),AG343&lt;=T343),AS343,0),IF(AND(NOT(AND(AO343=1,AN343&lt;&gt;1)),ISNUMBER(AH343),AH343&lt;=T343),AT343,0),IF(AND(NOT(AND(AO343=1,AN343&lt;&gt;1)),ISNUMBER(AI343),AI343&lt;=T343),AU343,0),IF(AND(ISNUMBER(AJ343),AJ343&lt;=T343),AV343,0))),"SC","Mag")))))))</f>
        <v/>
      </c>
    </row>
    <row r="344">
      <c r="A344" s="26" t="n">
        <v>339</v>
      </c>
      <c r="B344" s="27">
        <f>A344*10/60</f>
        <v/>
      </c>
      <c r="C344" s="22">
        <f>X343</f>
        <v/>
      </c>
      <c r="D344" s="27">
        <f>D343+W343</f>
        <v/>
      </c>
      <c r="E344" s="26">
        <f>E343+IF(U343="SW",1,0)</f>
        <v/>
      </c>
      <c r="F344" s="26">
        <f>F343+IF(U343="AB",1,0)</f>
        <v/>
      </c>
      <c r="G344" s="26">
        <f>G343+IF(U343="SC",1,0)</f>
        <v/>
      </c>
      <c r="H344" s="26">
        <f>H343+IF(U343="Mag",1,0)</f>
        <v/>
      </c>
      <c r="I344" s="26">
        <f>MAX(I343,IF(U343="OR",1,0))</f>
        <v/>
      </c>
      <c r="J344" s="26">
        <f>MAX(J343,IF(U343="HP",1,0))</f>
        <v/>
      </c>
      <c r="K344" s="26">
        <f>MAX(K343,IF(U343="FP",1,0))</f>
        <v/>
      </c>
      <c r="L344" s="26">
        <f>MAX(L343,IF(U343="transition",1,0))</f>
        <v/>
      </c>
      <c r="M344" s="28">
        <f>(Parameters!$B$9+(IF(E344=0,0,(Upgrades!$J$6+E344*Upgrades!$K$6)*POWER(Upgrades!$L$6,E344)))*(IF(Upgrades!$T$7="Solar Wind",POWER(Upgrades!$U$7,F344),1)*IF(Upgrades!$T$8="Solar Wind",POWER(Upgrades!$U$8,G344),1)*IF(Upgrades!$T$9="Solar Wind",POWER(Upgrades!$U$9,H344),1)*IF(Upgrades!$T$10="Solar Wind",POWER(Upgrades!$U$10,I344),1)*IF(Upgrades!$T$11="Solar Wind",POWER(Upgrades!$U$11,J344),1)*IF(Upgrades!$T$12="Solar Wind",POWER(Upgrades!$U$12,K344),1))+(IF(F344=0,0,(Upgrades!$J$7+F344*Upgrades!$K$7)*POWER(Upgrades!$L$7,F344)))*(IF(Upgrades!$T$6="Asteroid Belt",POWER(Upgrades!$U$6,E344),1)*IF(Upgrades!$T$8="Asteroid Belt",POWER(Upgrades!$U$8,G344),1)*IF(Upgrades!$T$9="Asteroid Belt",POWER(Upgrades!$U$9,H344),1)*IF(Upgrades!$T$10="Asteroid Belt",POWER(Upgrades!$U$10,I344),1)*IF(Upgrades!$T$11="Asteroid Belt",POWER(Upgrades!$U$11,J344),1)*IF(Upgrades!$T$12="Asteroid Belt",POWER(Upgrades!$U$12,K344),1))+(IF(G344=0,0,(Upgrades!$J$8+G344*Upgrades!$K$8)*POWER(Upgrades!$L$8,G344)))*(IF(Upgrades!$T$6="Stellar Coupling",POWER(Upgrades!$U$6,E344),1)*IF(Upgrades!$T$7="Stellar Coupling",POWER(Upgrades!$U$7,F344),1)*IF(Upgrades!$T$9="Stellar Coupling",POWER(Upgrades!$U$9,H344),1)*IF(Upgrades!$T$10="Stellar Coupling",POWER(Upgrades!$U$10,I344),1)*IF(Upgrades!$T$11="Stellar Coupling",POWER(Upgrades!$U$11,J344),1)*IF(Upgrades!$T$12="Stellar Coupling",POWER(Upgrades!$U$12,K344),1))+(IF(H344=0,0,(Upgrades!$J$9+H344*Upgrades!$K$9)*POWER(Upgrades!$L$9,H344)))*(IF(Upgrades!$T$6="Magnetosphere",POWER(Upgrades!$U$6,E344),1)*IF(Upgrades!$T$7="Magnetosphere",POWER(Upgrades!$U$7,F344),1)*IF(Upgrades!$T$8="Magnetosphere",POWER(Upgrades!$U$8,G344),1)*IF(Upgrades!$T$10="Magnetosphere",POWER(Upgrades!$U$10,I344),1)*IF(Upgrades!$T$11="Magnetosphere",POWER(Upgrades!$U$11,J344),1)*IF(Upgrades!$T$12="Magnetosphere",POWER(Upgrades!$U$12,K344),1))+(IF(I344=0,0,(Upgrades!$J$10+I344*Upgrades!$K$10)*POWER(Upgrades!$L$10,I344)))*(IF(Upgrades!$T$6="Orbital Resonance",POWER(Upgrades!$U$6,E344),1)*IF(Upgrades!$T$7="Orbital Resonance",POWER(Upgrades!$U$7,F344),1)*IF(Upgrades!$T$8="Orbital Resonance",POWER(Upgrades!$U$8,G344),1)*IF(Upgrades!$T$9="Orbital Resonance",POWER(Upgrades!$U$9,H344),1)*IF(Upgrades!$T$11="Orbital Resonance",POWER(Upgrades!$U$11,J344),1)*IF(Upgrades!$T$12="Orbital Resonance",POWER(Upgrades!$U$12,K344),1))+(IF(J344=0,0,(Upgrades!$J$11+J344*Upgrades!$K$11)*POWER(Upgrades!$L$11,J344)))*(IF(Upgrades!$T$6="Heliopause",POWER(Upgrades!$U$6,E344),1)*IF(Upgrades!$T$7="Heliopause",POWER(Upgrades!$U$7,F344),1)*IF(Upgrades!$T$8="Heliopause",POWER(Upgrades!$U$8,G344),1)*IF(Upgrades!$T$9="Heliopause",POWER(Upgrades!$U$9,H344),1)*IF(Upgrades!$T$10="Heliopause",POWER(Upgrades!$U$10,I344),1)*IF(Upgrades!$T$12="Heliopause",POWER(Upgrades!$U$12,K344),1))+(IF(K344=0,0,(Upgrades!$J$12+K344*Upgrades!$K$12)*POWER(Upgrades!$L$12,K344)))*(IF(Upgrades!$T$6="First Photons",POWER(Upgrades!$U$6,E344),1)*IF(Upgrades!$T$7="First Photons",POWER(Upgrades!$U$7,F344),1)*IF(Upgrades!$T$8="First Photons",POWER(Upgrades!$U$8,G344),1)*IF(Upgrades!$T$9="First Photons",POWER(Upgrades!$U$9,H344),1)*IF(Upgrades!$T$10="First Photons",POWER(Upgrades!$U$10,I344),1)*IF(Upgrades!$T$11="First Photons",POWER(Upgrades!$U$11,J344),1)))*POWER(Upgrades!$Q$6,E344)*POWER(Upgrades!$Q$7,F344)*POWER(Upgrades!$Q$8,G344)*POWER(Upgrades!$Q$9,H344)*POWER(Upgrades!$Q$10,I344)*POWER(Upgrades!$Q$11,J344)*POWER(Upgrades!$Q$12,K344)</f>
        <v/>
      </c>
      <c r="N344" s="28">
        <f>((IF(E344=0,0,(Upgrades!$G$6+E344*Upgrades!$H$6)*POWER(Upgrades!$I$6,E344)))*(IF(Upgrades!$T$7="Solar Wind",POWER(Upgrades!$U$7,F344),1)*IF(Upgrades!$T$8="Solar Wind",POWER(Upgrades!$U$8,G344),1)*IF(Upgrades!$T$9="Solar Wind",POWER(Upgrades!$U$9,H344),1)*IF(Upgrades!$T$10="Solar Wind",POWER(Upgrades!$U$10,I344),1)*IF(Upgrades!$T$11="Solar Wind",POWER(Upgrades!$U$11,J344),1)*IF(Upgrades!$T$12="Solar Wind",POWER(Upgrades!$U$12,K344),1))+(IF(F344=0,0,(Upgrades!$G$7+F344*Upgrades!$H$7)*POWER(Upgrades!$I$7,F344)))*(IF(Upgrades!$T$6="Asteroid Belt",POWER(Upgrades!$U$6,E344),1)*IF(Upgrades!$T$8="Asteroid Belt",POWER(Upgrades!$U$8,G344),1)*IF(Upgrades!$T$9="Asteroid Belt",POWER(Upgrades!$U$9,H344),1)*IF(Upgrades!$T$10="Asteroid Belt",POWER(Upgrades!$U$10,I344),1)*IF(Upgrades!$T$11="Asteroid Belt",POWER(Upgrades!$U$11,J344),1)*IF(Upgrades!$T$12="Asteroid Belt",POWER(Upgrades!$U$12,K344),1))+(IF(G344=0,0,(Upgrades!$G$8+G344*Upgrades!$H$8)*POWER(Upgrades!$I$8,G344)))*(IF(Upgrades!$T$6="Stellar Coupling",POWER(Upgrades!$U$6,E344),1)*IF(Upgrades!$T$7="Stellar Coupling",POWER(Upgrades!$U$7,F344),1)*IF(Upgrades!$T$9="Stellar Coupling",POWER(Upgrades!$U$9,H344),1)*IF(Upgrades!$T$10="Stellar Coupling",POWER(Upgrades!$U$10,I344),1)*IF(Upgrades!$T$11="Stellar Coupling",POWER(Upgrades!$U$11,J344),1)*IF(Upgrades!$T$12="Stellar Coupling",POWER(Upgrades!$U$12,K344),1))+(IF(H344=0,0,(Upgrades!$G$9+H344*Upgrades!$H$9)*POWER(Upgrades!$I$9,H344)))*(IF(Upgrades!$T$6="Magnetosphere",POWER(Upgrades!$U$6,E344),1)*IF(Upgrades!$T$7="Magnetosphere",POWER(Upgrades!$U$7,F344),1)*IF(Upgrades!$T$8="Magnetosphere",POWER(Upgrades!$U$8,G344),1)*IF(Upgrades!$T$10="Magnetosphere",POWER(Upgrades!$U$10,I344),1)*IF(Upgrades!$T$11="Magnetosphere",POWER(Upgrades!$U$11,J344),1)*IF(Upgrades!$T$12="Magnetosphere",POWER(Upgrades!$U$12,K344),1))+(IF(I344=0,0,(Upgrades!$G$10+I344*Upgrades!$H$10)*POWER(Upgrades!$I$10,I344)))*(IF(Upgrades!$T$6="Orbital Resonance",POWER(Upgrades!$U$6,E344),1)*IF(Upgrades!$T$7="Orbital Resonance",POWER(Upgrades!$U$7,F344),1)*IF(Upgrades!$T$8="Orbital Resonance",POWER(Upgrades!$U$8,G344),1)*IF(Upgrades!$T$9="Orbital Resonance",POWER(Upgrades!$U$9,H344),1)*IF(Upgrades!$T$11="Orbital Resonance",POWER(Upgrades!$U$11,J344),1)*IF(Upgrades!$T$12="Orbital Resonance",POWER(Upgrades!$U$12,K344),1))+(IF(J344=0,0,(Upgrades!$G$11+J344*Upgrades!$H$11)*POWER(Upgrades!$I$11,J344)))*(IF(Upgrades!$T$6="Heliopause",POWER(Upgrades!$U$6,E344),1)*IF(Upgrades!$T$7="Heliopause",POWER(Upgrades!$U$7,F344),1)*IF(Upgrades!$T$8="Heliopause",POWER(Upgrades!$U$8,G344),1)*IF(Upgrades!$T$9="Heliopause",POWER(Upgrades!$U$9,H344),1)*IF(Upgrades!$T$10="Heliopause",POWER(Upgrades!$U$10,I344),1)*IF(Upgrades!$T$12="Heliopause",POWER(Upgrades!$U$12,K344),1))+(IF(K344=0,0,(Upgrades!$G$12+K344*Upgrades!$H$12)*POWER(Upgrades!$I$12,K344)))*(IF(Upgrades!$T$6="First Photons",POWER(Upgrades!$U$6,E344),1)*IF(Upgrades!$T$7="First Photons",POWER(Upgrades!$U$7,F344),1)*IF(Upgrades!$T$8="First Photons",POWER(Upgrades!$U$8,G344),1)*IF(Upgrades!$T$9="First Photons",POWER(Upgrades!$U$9,H344),1)*IF(Upgrades!$T$10="First Photons",POWER(Upgrades!$U$10,I344),1)*IF(Upgrades!$T$11="First Photons",POWER(Upgrades!$U$11,J344),1)))*POWER(Upgrades!$P$6,E344)*POWER(Upgrades!$P$7,F344)*POWER(Upgrades!$P$8,G344)*POWER(Upgrades!$P$9,H344)*POWER(Upgrades!$P$10,I344)*POWER(Upgrades!$P$11,J344)*POWER(Upgrades!$P$12,K344)</f>
        <v/>
      </c>
      <c r="O344" s="28">
        <f>((IF(E344=0,0,(Upgrades!$M$6+E344*Upgrades!$N$6)*POWER(Upgrades!$O$6,E344)))*(IF(Upgrades!$T$7="Solar Wind",POWER(Upgrades!$U$7,F344),1)*IF(Upgrades!$T$8="Solar Wind",POWER(Upgrades!$U$8,G344),1)*IF(Upgrades!$T$9="Solar Wind",POWER(Upgrades!$U$9,H344),1)*IF(Upgrades!$T$10="Solar Wind",POWER(Upgrades!$U$10,I344),1)*IF(Upgrades!$T$11="Solar Wind",POWER(Upgrades!$U$11,J344),1)*IF(Upgrades!$T$12="Solar Wind",POWER(Upgrades!$U$12,K344),1))+(IF(F344=0,0,(Upgrades!$M$7+F344*Upgrades!$N$7)*POWER(Upgrades!$O$7,F344)))*(IF(Upgrades!$T$6="Asteroid Belt",POWER(Upgrades!$U$6,E344),1)*IF(Upgrades!$T$8="Asteroid Belt",POWER(Upgrades!$U$8,G344),1)*IF(Upgrades!$T$9="Asteroid Belt",POWER(Upgrades!$U$9,H344),1)*IF(Upgrades!$T$10="Asteroid Belt",POWER(Upgrades!$U$10,I344),1)*IF(Upgrades!$T$11="Asteroid Belt",POWER(Upgrades!$U$11,J344),1)*IF(Upgrades!$T$12="Asteroid Belt",POWER(Upgrades!$U$12,K344),1))+(IF(G344=0,0,(Upgrades!$M$8+G344*Upgrades!$N$8)*POWER(Upgrades!$O$8,G344)))*(IF(Upgrades!$T$6="Stellar Coupling",POWER(Upgrades!$U$6,E344),1)*IF(Upgrades!$T$7="Stellar Coupling",POWER(Upgrades!$U$7,F344),1)*IF(Upgrades!$T$9="Stellar Coupling",POWER(Upgrades!$U$9,H344),1)*IF(Upgrades!$T$10="Stellar Coupling",POWER(Upgrades!$U$10,I344),1)*IF(Upgrades!$T$11="Stellar Coupling",POWER(Upgrades!$U$11,J344),1)*IF(Upgrades!$T$12="Stellar Coupling",POWER(Upgrades!$U$12,K344),1))+(IF(H344=0,0,(Upgrades!$M$9+H344*Upgrades!$N$9)*POWER(Upgrades!$O$9,H344)))*(IF(Upgrades!$T$6="Magnetosphere",POWER(Upgrades!$U$6,E344),1)*IF(Upgrades!$T$7="Magnetosphere",POWER(Upgrades!$U$7,F344),1)*IF(Upgrades!$T$8="Magnetosphere",POWER(Upgrades!$U$8,G344),1)*IF(Upgrades!$T$10="Magnetosphere",POWER(Upgrades!$U$10,I344),1)*IF(Upgrades!$T$11="Magnetosphere",POWER(Upgrades!$U$11,J344),1)*IF(Upgrades!$T$12="Magnetosphere",POWER(Upgrades!$U$12,K344),1))+(IF(I344=0,0,(Upgrades!$M$10+I344*Upgrades!$N$10)*POWER(Upgrades!$O$10,I344)))*(IF(Upgrades!$T$6="Orbital Resonance",POWER(Upgrades!$U$6,E344),1)*IF(Upgrades!$T$7="Orbital Resonance",POWER(Upgrades!$U$7,F344),1)*IF(Upgrades!$T$8="Orbital Resonance",POWER(Upgrades!$U$8,G344),1)*IF(Upgrades!$T$9="Orbital Resonance",POWER(Upgrades!$U$9,H344),1)*IF(Upgrades!$T$11="Orbital Resonance",POWER(Upgrades!$U$11,J344),1)*IF(Upgrades!$T$12="Orbital Resonance",POWER(Upgrades!$U$12,K344),1))+(IF(J344=0,0,(Upgrades!$M$11+J344*Upgrades!$N$11)*POWER(Upgrades!$O$11,J344)))*(IF(Upgrades!$T$6="Heliopause",POWER(Upgrades!$U$6,E344),1)*IF(Upgrades!$T$7="Heliopause",POWER(Upgrades!$U$7,F344),1)*IF(Upgrades!$T$8="Heliopause",POWER(Upgrades!$U$8,G344),1)*IF(Upgrades!$T$9="Heliopause",POWER(Upgrades!$U$9,H344),1)*IF(Upgrades!$T$10="Heliopause",POWER(Upgrades!$U$10,I344),1)*IF(Upgrades!$T$12="Heliopause",POWER(Upgrades!$U$12,K344),1))+(IF(K344=0,0,(Upgrades!$M$12+K344*Upgrades!$N$12)*POWER(Upgrades!$O$12,K344)))*(IF(Upgrades!$T$6="First Photons",POWER(Upgrades!$U$6,E344),1)*IF(Upgrades!$T$7="First Photons",POWER(Upgrades!$U$7,F344),1)*IF(Upgrades!$T$8="First Photons",POWER(Upgrades!$U$8,G344),1)*IF(Upgrades!$T$9="First Photons",POWER(Upgrades!$U$9,H344),1)*IF(Upgrades!$T$10="First Photons",POWER(Upgrades!$U$10,I344),1)*IF(Upgrades!$T$11="First Photons",POWER(Upgrades!$U$11,J344),1)))*POWER(Upgrades!$R$6,E344)*POWER(Upgrades!$R$7,F344)*POWER(Upgrades!$R$8,G344)*POWER(Upgrades!$R$9,H344)*POWER(Upgrades!$R$10,I344)*POWER(Upgrades!$R$11,J344)*POWER(Upgrades!$R$12,K344)</f>
        <v/>
      </c>
      <c r="P344" s="27">
        <f>IF(L344=1,0,M344*Parameters!$B$10/60*Parameters!$B$11*10)</f>
        <v/>
      </c>
      <c r="Q344" s="27">
        <f>IF(L344=1,0,O344*M344*10)</f>
        <v/>
      </c>
      <c r="R344" s="27">
        <f>IF(L344=1,0,N344*10)</f>
        <v/>
      </c>
      <c r="S344" s="27">
        <f>P344+Q344+R344</f>
        <v/>
      </c>
      <c r="T344" s="22">
        <f>C344+S344</f>
        <v/>
      </c>
      <c r="U344" s="33">
        <f>AX344</f>
        <v/>
      </c>
      <c r="V344" s="22">
        <f>IF(U344="",0,IF(U344="transition",0,IF(U344="SW",AG344,IF(U344="AB",AH344,IF(U344="SC",AI344,IF(U344="Mag",AJ344,IF(U344="OR",AK344,IF(U344="HP",AL344,IF(U344="FP",AM344,0)))))))))</f>
        <v/>
      </c>
      <c r="W344" s="27">
        <f>IF(U344="OR",Upgrades!$F$10,IF(U344="HP",Upgrades!$F$11,IF(U344="transition",-Parameters!$B$18,0)))</f>
        <v/>
      </c>
      <c r="X344" s="22">
        <f>T344-V344</f>
        <v/>
      </c>
      <c r="Y344" s="30">
        <f>M344*Parameters!$B$10/60*Parameters!$B$11+O344*M344+N344</f>
        <v/>
      </c>
      <c r="Z344" s="34">
        <f>IF(U344="transition","→ Tier 2 (Stellar Neighborhood)",IF(U344="FP","First Photons — light begins, system quickens",IF(U344="HP","Heliopause acquired",IF(U344="OR","Orbital Resonance — passive multiplier active",IF(AND(AO344=1,L344=0,AN344&lt;&gt;1),"Cohesion ready (waiting on completionist upgrades)","")))))</f>
        <v/>
      </c>
      <c r="AA344" s="27">
        <f>(IF(E344=0,0,(Upgrades!$G$6+E344*Upgrades!$H$6)*POWER(Upgrades!$I$6,E344)))*(IF(Upgrades!$T$7="Solar Wind",POWER(Upgrades!$U$7,F344),1)*IF(Upgrades!$T$8="Solar Wind",POWER(Upgrades!$U$8,G344),1)*IF(Upgrades!$T$9="Solar Wind",POWER(Upgrades!$U$9,H344),1)*IF(Upgrades!$T$10="Solar Wind",POWER(Upgrades!$U$10,I344),1)*IF(Upgrades!$T$11="Solar Wind",POWER(Upgrades!$U$11,J344),1)*IF(Upgrades!$T$12="Solar Wind",POWER(Upgrades!$U$12,K344),1))*POWER(Upgrades!$P$6,E344)*POWER(Upgrades!$P$7,F344)*POWER(Upgrades!$P$8,G344)*POWER(Upgrades!$P$9,H344)*POWER(Upgrades!$P$10,I344)*POWER(Upgrades!$P$11,J344)*POWER(Upgrades!$P$12,K344)*60</f>
        <v/>
      </c>
      <c r="AB344" s="27">
        <f>(IF(F344=0,0,(Upgrades!$G$7+F344*Upgrades!$H$7)*POWER(Upgrades!$I$7,F344)))*(IF(Upgrades!$T$6="Asteroid Belt",POWER(Upgrades!$U$6,E344),1)*IF(Upgrades!$T$8="Asteroid Belt",POWER(Upgrades!$U$8,G344),1)*IF(Upgrades!$T$9="Asteroid Belt",POWER(Upgrades!$U$9,H344),1)*IF(Upgrades!$T$10="Asteroid Belt",POWER(Upgrades!$U$10,I344),1)*IF(Upgrades!$T$11="Asteroid Belt",POWER(Upgrades!$U$11,J344),1)*IF(Upgrades!$T$12="Asteroid Belt",POWER(Upgrades!$U$12,K344),1))*POWER(Upgrades!$P$6,E344)*POWER(Upgrades!$P$7,F344)*POWER(Upgrades!$P$8,G344)*POWER(Upgrades!$P$9,H344)*POWER(Upgrades!$P$10,I344)*POWER(Upgrades!$P$11,J344)*POWER(Upgrades!$P$12,K344)*60</f>
        <v/>
      </c>
      <c r="AC344" s="27">
        <f>(IF(G344=0,0,(Upgrades!$J$8+G344*Upgrades!$K$8)*POWER(Upgrades!$L$8,G344)))*(IF(Upgrades!$T$6="Stellar Coupling",POWER(Upgrades!$U$6,E344),1)*IF(Upgrades!$T$7="Stellar Coupling",POWER(Upgrades!$U$7,F344),1)*IF(Upgrades!$T$9="Stellar Coupling",POWER(Upgrades!$U$9,H344),1)*IF(Upgrades!$T$10="Stellar Coupling",POWER(Upgrades!$U$10,I344),1)*IF(Upgrades!$T$11="Stellar Coupling",POWER(Upgrades!$U$11,J344),1)*IF(Upgrades!$T$12="Stellar Coupling",POWER(Upgrades!$U$12,K344),1))*POWER(Upgrades!$Q$6,E344)*POWER(Upgrades!$Q$7,F344)*POWER(Upgrades!$Q$8,G344)*POWER(Upgrades!$Q$9,H344)*POWER(Upgrades!$Q$10,I344)*POWER(Upgrades!$Q$11,J344)*POWER(Upgrades!$Q$12,K344)*Parameters!$B$10*Parameters!$B$11</f>
        <v/>
      </c>
      <c r="AD344" s="27">
        <f>(IF(H344=0,0,(Upgrades!$G$9+H344*Upgrades!$H$9)*POWER(Upgrades!$I$9,H344)))*(IF(Upgrades!$T$6="Magnetosphere",POWER(Upgrades!$U$6,E344),1)*IF(Upgrades!$T$7="Magnetosphere",POWER(Upgrades!$U$7,F344),1)*IF(Upgrades!$T$8="Magnetosphere",POWER(Upgrades!$U$8,G344),1)*IF(Upgrades!$T$10="Magnetosphere",POWER(Upgrades!$U$10,I344),1)*IF(Upgrades!$T$11="Magnetosphere",POWER(Upgrades!$U$11,J344),1)*IF(Upgrades!$T$12="Magnetosphere",POWER(Upgrades!$U$12,K344),1))*POWER(Upgrades!$P$6,E344)*POWER(Upgrades!$P$7,F344)*POWER(Upgrades!$P$8,G344)*POWER(Upgrades!$P$9,H344)*POWER(Upgrades!$P$10,I344)*POWER(Upgrades!$P$11,J344)*POWER(Upgrades!$P$12,K344)*60</f>
        <v/>
      </c>
      <c r="AE344" s="27">
        <f>(IF(K344=0,0,(Upgrades!$G$12+K344*Upgrades!$H$12)*POWER(Upgrades!$I$12,K344)))*(IF(Upgrades!$T$6="First Photons",POWER(Upgrades!$U$6,E344),1)*IF(Upgrades!$T$7="First Photons",POWER(Upgrades!$U$7,F344),1)*IF(Upgrades!$T$8="First Photons",POWER(Upgrades!$U$8,G344),1)*IF(Upgrades!$T$9="First Photons",POWER(Upgrades!$U$9,H344),1)*IF(Upgrades!$T$10="First Photons",POWER(Upgrades!$U$10,I344),1)*IF(Upgrades!$T$11="First Photons",POWER(Upgrades!$U$11,J344),1))*POWER(Upgrades!$P$6,E344)*POWER(Upgrades!$P$7,F344)*POWER(Upgrades!$P$8,G344)*POWER(Upgrades!$P$9,H344)*POWER(Upgrades!$P$10,I344)*POWER(Upgrades!$P$11,J344)*POWER(Upgrades!$P$12,K344)*60</f>
        <v/>
      </c>
      <c r="AF344" s="27">
        <f>Parameters!$B$9*POWER(Upgrades!$Q$6,E344)*POWER(Upgrades!$Q$7,F344)*POWER(Upgrades!$Q$8,G344)*POWER(Upgrades!$Q$9,H344)*POWER(Upgrades!$Q$10,I344)*POWER(Upgrades!$Q$11,J344)*POWER(Upgrades!$Q$12,K344)*(Parameters!$B$10*Parameters!$B$11+O344*60)</f>
        <v/>
      </c>
      <c r="AG344" s="22">
        <f>IF(E344&gt;=Upgrades!$E$6,"",Upgrades!$C$6*POWER(Upgrades!$D$6,E344))</f>
        <v/>
      </c>
      <c r="AH344" s="22">
        <f>IF(F344&gt;=Upgrades!$E$7,"",Upgrades!$C$7*POWER(Upgrades!$D$7,F344))</f>
        <v/>
      </c>
      <c r="AI344" s="22">
        <f>IF(G344&gt;=Upgrades!$E$8,"",Upgrades!$C$8*POWER(Upgrades!$D$8,G344))</f>
        <v/>
      </c>
      <c r="AJ344" s="22">
        <f>IF(H344&gt;=Upgrades!$E$9,"",Upgrades!$C$9*POWER(Upgrades!$D$9,H344))</f>
        <v/>
      </c>
      <c r="AK344" s="22">
        <f>IF(I344&gt;=Upgrades!$E$10,"",Upgrades!$C$10*POWER(Upgrades!$D$10,I344))</f>
        <v/>
      </c>
      <c r="AL344" s="22">
        <f>IF(J344&gt;=Upgrades!$E$11,"",Upgrades!$C$11*POWER(Upgrades!$D$11,J344))</f>
        <v/>
      </c>
      <c r="AM344" s="22">
        <f>IF(K344&gt;=Upgrades!$E$12,"",Upgrades!$C$12*POWER(Upgrades!$D$12,K344))</f>
        <v/>
      </c>
      <c r="AN344" s="26">
        <f>IF(AND(D344&gt;=Parameters!$B$18,(H344&gt;=Upgrades!$E$9)*(K344&gt;=Upgrades!$E$12)=1,L344=0),1,"")</f>
        <v/>
      </c>
      <c r="AO344" s="26">
        <f>IF(AND(D344&gt;=Parameters!$B$18,L344=0),1,"")</f>
        <v/>
      </c>
      <c r="AP344" s="22">
        <f>MIN(IF(ISNUMBER(AK344),AK344,9E15),IF(ISNUMBER(AL344),AL344,9E15),IF(ISNUMBER(AM344),AM344,9E15))</f>
        <v/>
      </c>
      <c r="AQ344" s="22">
        <f>MIN(IF(ISNUMBER(AG344),AG344,9E15),IF(ISNUMBER(AH344),AH344,9E15),IF(ISNUMBER(AI344),AI344,9E15),IF(ISNUMBER(AJ344),AJ344,9E15))</f>
        <v/>
      </c>
      <c r="AR344" s="29">
        <f>IF(AW344&gt;Parameters!$B$21*(MAX(IF(AND(NOT(AND(AO344=1,AN344&lt;&gt;1)),ISNUMBER(AG344),AG344&lt;=T344),AS344,0),IF(AND(NOT(AND(AO344=1,AN344&lt;&gt;1)),ISNUMBER(AH344),AH344&lt;=T344),AT344,0),IF(AND(NOT(AND(AO344=1,AN344&lt;&gt;1)),ISNUMBER(AI344),AI344&lt;=T344),AU344,0),IF(AND(ISNUMBER(AJ344),AJ344&lt;=T344),AV344,0))),TRUE,FALSE)</f>
        <v/>
      </c>
      <c r="AS344" s="32">
        <f>IFERROR(Upgrades!$H$6*(POWER(Upgrades!$P$6,E344)*POWER(Upgrades!$P$7,F344)*POWER(Upgrades!$P$8,G344)*POWER(Upgrades!$P$9,H344)*POWER(Upgrades!$P$10,I344)*POWER(Upgrades!$P$11,J344)*POWER(Upgrades!$P$12,K344))*(IF(Upgrades!$T$7="Solar Wind",POWER(Upgrades!$U$7,F344),1)*IF(Upgrades!$T$8="Solar Wind",POWER(Upgrades!$U$8,G344),1)*IF(Upgrades!$T$9="Solar Wind",POWER(Upgrades!$U$9,H344),1)*IF(Upgrades!$T$10="Solar Wind",POWER(Upgrades!$U$10,I344),1)*IF(Upgrades!$T$11="Solar Wind",POWER(Upgrades!$U$11,J344),1)*IF(Upgrades!$T$12="Solar Wind",POWER(Upgrades!$U$12,K344),1))/AG344,0)</f>
        <v/>
      </c>
      <c r="AT344" s="32">
        <f>IFERROR(Upgrades!$H$7*(POWER(Upgrades!$P$6,E344)*POWER(Upgrades!$P$7,F344)*POWER(Upgrades!$P$8,G344)*POWER(Upgrades!$P$9,H344)*POWER(Upgrades!$P$10,I344)*POWER(Upgrades!$P$11,J344)*POWER(Upgrades!$P$12,K344))*(IF(Upgrades!$T$6="Asteroid Belt",POWER(Upgrades!$U$6,E344),1)*IF(Upgrades!$T$8="Asteroid Belt",POWER(Upgrades!$U$8,G344),1)*IF(Upgrades!$T$9="Asteroid Belt",POWER(Upgrades!$U$9,H344),1)*IF(Upgrades!$T$10="Asteroid Belt",POWER(Upgrades!$U$10,I344),1)*IF(Upgrades!$T$11="Asteroid Belt",POWER(Upgrades!$U$11,J344),1)*IF(Upgrades!$T$12="Asteroid Belt",POWER(Upgrades!$U$12,K344),1))/AH344,0)</f>
        <v/>
      </c>
      <c r="AU344" s="32">
        <f>IFERROR(Upgrades!$K$8*(POWER(Upgrades!$Q$6,E344)*POWER(Upgrades!$Q$7,F344)*POWER(Upgrades!$Q$8,G344)*POWER(Upgrades!$Q$9,H344)*POWER(Upgrades!$Q$10,I344)*POWER(Upgrades!$Q$11,J344)*POWER(Upgrades!$Q$12,K344))*(IF(Upgrades!$T$6="Stellar Coupling",POWER(Upgrades!$U$6,E344),1)*IF(Upgrades!$T$7="Stellar Coupling",POWER(Upgrades!$U$7,F344),1)*IF(Upgrades!$T$9="Stellar Coupling",POWER(Upgrades!$U$9,H344),1)*IF(Upgrades!$T$10="Stellar Coupling",POWER(Upgrades!$U$10,I344),1)*IF(Upgrades!$T$11="Stellar Coupling",POWER(Upgrades!$U$11,J344),1)*IF(Upgrades!$T$12="Stellar Coupling",POWER(Upgrades!$U$12,K344),1))*Parameters!$B$10*Parameters!$B$11/60/AI344,0)</f>
        <v/>
      </c>
      <c r="AV344" s="32">
        <f>IFERROR(Upgrades!$H$9*(POWER(Upgrades!$P$6,E344)*POWER(Upgrades!$P$7,F344)*POWER(Upgrades!$P$8,G344)*POWER(Upgrades!$P$9,H344)*POWER(Upgrades!$P$10,I344)*POWER(Upgrades!$P$11,J344)*POWER(Upgrades!$P$12,K344))*(IF(Upgrades!$T$6="Magnetosphere",POWER(Upgrades!$U$6,E344),1)*IF(Upgrades!$T$7="Magnetosphere",POWER(Upgrades!$U$7,F344),1)*IF(Upgrades!$T$8="Magnetosphere",POWER(Upgrades!$U$8,G344),1)*IF(Upgrades!$T$10="Magnetosphere",POWER(Upgrades!$U$10,I344),1)*IF(Upgrades!$T$11="Magnetosphere",POWER(Upgrades!$U$11,J344),1)*IF(Upgrades!$T$12="Magnetosphere",POWER(Upgrades!$U$12,K344),1))/AJ344,0)</f>
        <v/>
      </c>
      <c r="AW344" s="32">
        <f>MAX(IF(I344&gt;0,0,IFERROR(0.25*N344/Upgrades!$C$10,0)),IF(J344&gt;0,0,IFERROR(0.5*((IF(G344=0,0,(Upgrades!$J$8+G344*Upgrades!$K$8)*POWER(Upgrades!$L$8,G344)))*(IF(Upgrades!$T$6="Stellar Coupling",POWER(Upgrades!$U$6,E344),1)*IF(Upgrades!$T$7="Stellar Coupling",POWER(Upgrades!$U$7,F344),1)*IF(Upgrades!$T$9="Stellar Coupling",POWER(Upgrades!$U$9,H344),1)*IF(Upgrades!$T$10="Stellar Coupling",POWER(Upgrades!$U$10,I344),1)*IF(Upgrades!$T$11="Stellar Coupling",POWER(Upgrades!$U$11,J344),1)*IF(Upgrades!$T$12="Stellar Coupling",POWER(Upgrades!$U$12,K344),1))*(POWER(Upgrades!$Q$6,E344)*POWER(Upgrades!$Q$7,F344)*POWER(Upgrades!$Q$8,G344)*POWER(Upgrades!$Q$9,H344)*POWER(Upgrades!$Q$10,I344)*POWER(Upgrades!$Q$11,J344)*POWER(Upgrades!$Q$12,K344))*Parameters!$B$10*Parameters!$B$11/60)/Upgrades!$C$11,0)),IF(K344&gt;0,0,IFERROR((1.0*(POWER(Upgrades!$P$6,E344)*POWER(Upgrades!$P$7,F344)*POWER(Upgrades!$P$8,G344)*POWER(Upgrades!$P$9,H344)*POWER(Upgrades!$P$10,I344)*POWER(Upgrades!$P$11,J344)*POWER(Upgrades!$P$12,K344))+0.20*M344*Parameters!$B$10*Parameters!$B$11/60)/Upgrades!$C$12,0)),IF(AND(ISNUMBER(AG344),AG344&gt;T344),AS344,0),IF(AND(ISNUMBER(AH344),AH344&gt;T344),AT344,0),IF(AND(ISNUMBER(AI344),AI344&gt;T344),AU344,0),IF(AND(ISNUMBER(AJ344),AJ344&gt;T344),AV344,0))</f>
        <v/>
      </c>
      <c r="AX344" s="29">
        <f>IF(AN344=1,"transition",IF(MIN(IF(AND(I344=0,ISNUMBER(AK344),AK344&lt;=T344),AK344,9E15),IF(AND(J344=0,ISNUMBER(AL344),AL344&lt;=T344),AL344,9E15),IF(AND(K344=0,ISNUMBER(AM344),AM344&lt;=T344),AM344,9E15))&lt;9E15,IF(AND(AND(I344=0,ISNUMBER(AK344),AK344&lt;=T344),AK344=MIN(IF(AND(I344=0,ISNUMBER(AK344),AK344&lt;=T344),AK344,9E15),IF(AND(J344=0,ISNUMBER(AL344),AL344&lt;=T344),AL344,9E15),IF(AND(K344=0,ISNUMBER(AM344),AM344&lt;=T344),AM344,9E15))),"OR",IF(AND(AND(J344=0,ISNUMBER(AL344),AL344&lt;=T344),AL344=MIN(IF(AND(I344=0,ISNUMBER(AK344),AK344&lt;=T344),AK344,9E15),IF(AND(J344=0,ISNUMBER(AL344),AL344&lt;=T344),AL344,9E15),IF(AND(K344=0,ISNUMBER(AM344),AM344&lt;=T344),AM344,9E15))),"HP","FP")),IF(AR344=TRUE,"",IF(MAX(IF(AND(NOT(AND(AO344=1,AN344&lt;&gt;1)),ISNUMBER(AG344),AG344&lt;=T344),AS344,0),IF(AND(NOT(AND(AO344=1,AN344&lt;&gt;1)),ISNUMBER(AH344),AH344&lt;=T344),AT344,0),IF(AND(NOT(AND(AO344=1,AN344&lt;&gt;1)),ISNUMBER(AI344),AI344&lt;=T344),AU344,0),IF(AND(ISNUMBER(AJ344),AJ344&lt;=T344),AV344,0))&lt;=0,"",IF(AND(IF(AND(NOT(AND(AO344=1,AN344&lt;&gt;1)),ISNUMBER(AG344),AG344&lt;=T344),AS344,0)&gt;0,IF(AND(NOT(AND(AO344=1,AN344&lt;&gt;1)),ISNUMBER(AG344),AG344&lt;=T344),AS344,0)=MAX(IF(AND(NOT(AND(AO344=1,AN344&lt;&gt;1)),ISNUMBER(AG344),AG344&lt;=T344),AS344,0),IF(AND(NOT(AND(AO344=1,AN344&lt;&gt;1)),ISNUMBER(AH344),AH344&lt;=T344),AT344,0),IF(AND(NOT(AND(AO344=1,AN344&lt;&gt;1)),ISNUMBER(AI344),AI344&lt;=T344),AU344,0),IF(AND(ISNUMBER(AJ344),AJ344&lt;=T344),AV344,0))),"SW",IF(AND(IF(AND(NOT(AND(AO344=1,AN344&lt;&gt;1)),ISNUMBER(AH344),AH344&lt;=T344),AT344,0)&gt;0,IF(AND(NOT(AND(AO344=1,AN344&lt;&gt;1)),ISNUMBER(AH344),AH344&lt;=T344),AT344,0)=MAX(IF(AND(NOT(AND(AO344=1,AN344&lt;&gt;1)),ISNUMBER(AG344),AG344&lt;=T344),AS344,0),IF(AND(NOT(AND(AO344=1,AN344&lt;&gt;1)),ISNUMBER(AH344),AH344&lt;=T344),AT344,0),IF(AND(NOT(AND(AO344=1,AN344&lt;&gt;1)),ISNUMBER(AI344),AI344&lt;=T344),AU344,0),IF(AND(ISNUMBER(AJ344),AJ344&lt;=T344),AV344,0))),"AB",IF(AND(IF(AND(NOT(AND(AO344=1,AN344&lt;&gt;1)),ISNUMBER(AI344),AI344&lt;=T344),AU344,0)&gt;0,IF(AND(NOT(AND(AO344=1,AN344&lt;&gt;1)),ISNUMBER(AI344),AI344&lt;=T344),AU344,0)=MAX(IF(AND(NOT(AND(AO344=1,AN344&lt;&gt;1)),ISNUMBER(AG344),AG344&lt;=T344),AS344,0),IF(AND(NOT(AND(AO344=1,AN344&lt;&gt;1)),ISNUMBER(AH344),AH344&lt;=T344),AT344,0),IF(AND(NOT(AND(AO344=1,AN344&lt;&gt;1)),ISNUMBER(AI344),AI344&lt;=T344),AU344,0),IF(AND(ISNUMBER(AJ344),AJ344&lt;=T344),AV344,0))),"SC","Mag")))))))</f>
        <v/>
      </c>
    </row>
    <row r="345">
      <c r="A345" s="26" t="n">
        <v>340</v>
      </c>
      <c r="B345" s="27">
        <f>A345*10/60</f>
        <v/>
      </c>
      <c r="C345" s="22">
        <f>X344</f>
        <v/>
      </c>
      <c r="D345" s="27">
        <f>D344+W344</f>
        <v/>
      </c>
      <c r="E345" s="26">
        <f>E344+IF(U344="SW",1,0)</f>
        <v/>
      </c>
      <c r="F345" s="26">
        <f>F344+IF(U344="AB",1,0)</f>
        <v/>
      </c>
      <c r="G345" s="26">
        <f>G344+IF(U344="SC",1,0)</f>
        <v/>
      </c>
      <c r="H345" s="26">
        <f>H344+IF(U344="Mag",1,0)</f>
        <v/>
      </c>
      <c r="I345" s="26">
        <f>MAX(I344,IF(U344="OR",1,0))</f>
        <v/>
      </c>
      <c r="J345" s="26">
        <f>MAX(J344,IF(U344="HP",1,0))</f>
        <v/>
      </c>
      <c r="K345" s="26">
        <f>MAX(K344,IF(U344="FP",1,0))</f>
        <v/>
      </c>
      <c r="L345" s="26">
        <f>MAX(L344,IF(U344="transition",1,0))</f>
        <v/>
      </c>
      <c r="M345" s="28">
        <f>(Parameters!$B$9+(IF(E345=0,0,(Upgrades!$J$6+E345*Upgrades!$K$6)*POWER(Upgrades!$L$6,E345)))*(IF(Upgrades!$T$7="Solar Wind",POWER(Upgrades!$U$7,F345),1)*IF(Upgrades!$T$8="Solar Wind",POWER(Upgrades!$U$8,G345),1)*IF(Upgrades!$T$9="Solar Wind",POWER(Upgrades!$U$9,H345),1)*IF(Upgrades!$T$10="Solar Wind",POWER(Upgrades!$U$10,I345),1)*IF(Upgrades!$T$11="Solar Wind",POWER(Upgrades!$U$11,J345),1)*IF(Upgrades!$T$12="Solar Wind",POWER(Upgrades!$U$12,K345),1))+(IF(F345=0,0,(Upgrades!$J$7+F345*Upgrades!$K$7)*POWER(Upgrades!$L$7,F345)))*(IF(Upgrades!$T$6="Asteroid Belt",POWER(Upgrades!$U$6,E345),1)*IF(Upgrades!$T$8="Asteroid Belt",POWER(Upgrades!$U$8,G345),1)*IF(Upgrades!$T$9="Asteroid Belt",POWER(Upgrades!$U$9,H345),1)*IF(Upgrades!$T$10="Asteroid Belt",POWER(Upgrades!$U$10,I345),1)*IF(Upgrades!$T$11="Asteroid Belt",POWER(Upgrades!$U$11,J345),1)*IF(Upgrades!$T$12="Asteroid Belt",POWER(Upgrades!$U$12,K345),1))+(IF(G345=0,0,(Upgrades!$J$8+G345*Upgrades!$K$8)*POWER(Upgrades!$L$8,G345)))*(IF(Upgrades!$T$6="Stellar Coupling",POWER(Upgrades!$U$6,E345),1)*IF(Upgrades!$T$7="Stellar Coupling",POWER(Upgrades!$U$7,F345),1)*IF(Upgrades!$T$9="Stellar Coupling",POWER(Upgrades!$U$9,H345),1)*IF(Upgrades!$T$10="Stellar Coupling",POWER(Upgrades!$U$10,I345),1)*IF(Upgrades!$T$11="Stellar Coupling",POWER(Upgrades!$U$11,J345),1)*IF(Upgrades!$T$12="Stellar Coupling",POWER(Upgrades!$U$12,K345),1))+(IF(H345=0,0,(Upgrades!$J$9+H345*Upgrades!$K$9)*POWER(Upgrades!$L$9,H345)))*(IF(Upgrades!$T$6="Magnetosphere",POWER(Upgrades!$U$6,E345),1)*IF(Upgrades!$T$7="Magnetosphere",POWER(Upgrades!$U$7,F345),1)*IF(Upgrades!$T$8="Magnetosphere",POWER(Upgrades!$U$8,G345),1)*IF(Upgrades!$T$10="Magnetosphere",POWER(Upgrades!$U$10,I345),1)*IF(Upgrades!$T$11="Magnetosphere",POWER(Upgrades!$U$11,J345),1)*IF(Upgrades!$T$12="Magnetosphere",POWER(Upgrades!$U$12,K345),1))+(IF(I345=0,0,(Upgrades!$J$10+I345*Upgrades!$K$10)*POWER(Upgrades!$L$10,I345)))*(IF(Upgrades!$T$6="Orbital Resonance",POWER(Upgrades!$U$6,E345),1)*IF(Upgrades!$T$7="Orbital Resonance",POWER(Upgrades!$U$7,F345),1)*IF(Upgrades!$T$8="Orbital Resonance",POWER(Upgrades!$U$8,G345),1)*IF(Upgrades!$T$9="Orbital Resonance",POWER(Upgrades!$U$9,H345),1)*IF(Upgrades!$T$11="Orbital Resonance",POWER(Upgrades!$U$11,J345),1)*IF(Upgrades!$T$12="Orbital Resonance",POWER(Upgrades!$U$12,K345),1))+(IF(J345=0,0,(Upgrades!$J$11+J345*Upgrades!$K$11)*POWER(Upgrades!$L$11,J345)))*(IF(Upgrades!$T$6="Heliopause",POWER(Upgrades!$U$6,E345),1)*IF(Upgrades!$T$7="Heliopause",POWER(Upgrades!$U$7,F345),1)*IF(Upgrades!$T$8="Heliopause",POWER(Upgrades!$U$8,G345),1)*IF(Upgrades!$T$9="Heliopause",POWER(Upgrades!$U$9,H345),1)*IF(Upgrades!$T$10="Heliopause",POWER(Upgrades!$U$10,I345),1)*IF(Upgrades!$T$12="Heliopause",POWER(Upgrades!$U$12,K345),1))+(IF(K345=0,0,(Upgrades!$J$12+K345*Upgrades!$K$12)*POWER(Upgrades!$L$12,K345)))*(IF(Upgrades!$T$6="First Photons",POWER(Upgrades!$U$6,E345),1)*IF(Upgrades!$T$7="First Photons",POWER(Upgrades!$U$7,F345),1)*IF(Upgrades!$T$8="First Photons",POWER(Upgrades!$U$8,G345),1)*IF(Upgrades!$T$9="First Photons",POWER(Upgrades!$U$9,H345),1)*IF(Upgrades!$T$10="First Photons",POWER(Upgrades!$U$10,I345),1)*IF(Upgrades!$T$11="First Photons",POWER(Upgrades!$U$11,J345),1)))*POWER(Upgrades!$Q$6,E345)*POWER(Upgrades!$Q$7,F345)*POWER(Upgrades!$Q$8,G345)*POWER(Upgrades!$Q$9,H345)*POWER(Upgrades!$Q$10,I345)*POWER(Upgrades!$Q$11,J345)*POWER(Upgrades!$Q$12,K345)</f>
        <v/>
      </c>
      <c r="N345" s="28">
        <f>((IF(E345=0,0,(Upgrades!$G$6+E345*Upgrades!$H$6)*POWER(Upgrades!$I$6,E345)))*(IF(Upgrades!$T$7="Solar Wind",POWER(Upgrades!$U$7,F345),1)*IF(Upgrades!$T$8="Solar Wind",POWER(Upgrades!$U$8,G345),1)*IF(Upgrades!$T$9="Solar Wind",POWER(Upgrades!$U$9,H345),1)*IF(Upgrades!$T$10="Solar Wind",POWER(Upgrades!$U$10,I345),1)*IF(Upgrades!$T$11="Solar Wind",POWER(Upgrades!$U$11,J345),1)*IF(Upgrades!$T$12="Solar Wind",POWER(Upgrades!$U$12,K345),1))+(IF(F345=0,0,(Upgrades!$G$7+F345*Upgrades!$H$7)*POWER(Upgrades!$I$7,F345)))*(IF(Upgrades!$T$6="Asteroid Belt",POWER(Upgrades!$U$6,E345),1)*IF(Upgrades!$T$8="Asteroid Belt",POWER(Upgrades!$U$8,G345),1)*IF(Upgrades!$T$9="Asteroid Belt",POWER(Upgrades!$U$9,H345),1)*IF(Upgrades!$T$10="Asteroid Belt",POWER(Upgrades!$U$10,I345),1)*IF(Upgrades!$T$11="Asteroid Belt",POWER(Upgrades!$U$11,J345),1)*IF(Upgrades!$T$12="Asteroid Belt",POWER(Upgrades!$U$12,K345),1))+(IF(G345=0,0,(Upgrades!$G$8+G345*Upgrades!$H$8)*POWER(Upgrades!$I$8,G345)))*(IF(Upgrades!$T$6="Stellar Coupling",POWER(Upgrades!$U$6,E345),1)*IF(Upgrades!$T$7="Stellar Coupling",POWER(Upgrades!$U$7,F345),1)*IF(Upgrades!$T$9="Stellar Coupling",POWER(Upgrades!$U$9,H345),1)*IF(Upgrades!$T$10="Stellar Coupling",POWER(Upgrades!$U$10,I345),1)*IF(Upgrades!$T$11="Stellar Coupling",POWER(Upgrades!$U$11,J345),1)*IF(Upgrades!$T$12="Stellar Coupling",POWER(Upgrades!$U$12,K345),1))+(IF(H345=0,0,(Upgrades!$G$9+H345*Upgrades!$H$9)*POWER(Upgrades!$I$9,H345)))*(IF(Upgrades!$T$6="Magnetosphere",POWER(Upgrades!$U$6,E345),1)*IF(Upgrades!$T$7="Magnetosphere",POWER(Upgrades!$U$7,F345),1)*IF(Upgrades!$T$8="Magnetosphere",POWER(Upgrades!$U$8,G345),1)*IF(Upgrades!$T$10="Magnetosphere",POWER(Upgrades!$U$10,I345),1)*IF(Upgrades!$T$11="Magnetosphere",POWER(Upgrades!$U$11,J345),1)*IF(Upgrades!$T$12="Magnetosphere",POWER(Upgrades!$U$12,K345),1))+(IF(I345=0,0,(Upgrades!$G$10+I345*Upgrades!$H$10)*POWER(Upgrades!$I$10,I345)))*(IF(Upgrades!$T$6="Orbital Resonance",POWER(Upgrades!$U$6,E345),1)*IF(Upgrades!$T$7="Orbital Resonance",POWER(Upgrades!$U$7,F345),1)*IF(Upgrades!$T$8="Orbital Resonance",POWER(Upgrades!$U$8,G345),1)*IF(Upgrades!$T$9="Orbital Resonance",POWER(Upgrades!$U$9,H345),1)*IF(Upgrades!$T$11="Orbital Resonance",POWER(Upgrades!$U$11,J345),1)*IF(Upgrades!$T$12="Orbital Resonance",POWER(Upgrades!$U$12,K345),1))+(IF(J345=0,0,(Upgrades!$G$11+J345*Upgrades!$H$11)*POWER(Upgrades!$I$11,J345)))*(IF(Upgrades!$T$6="Heliopause",POWER(Upgrades!$U$6,E345),1)*IF(Upgrades!$T$7="Heliopause",POWER(Upgrades!$U$7,F345),1)*IF(Upgrades!$T$8="Heliopause",POWER(Upgrades!$U$8,G345),1)*IF(Upgrades!$T$9="Heliopause",POWER(Upgrades!$U$9,H345),1)*IF(Upgrades!$T$10="Heliopause",POWER(Upgrades!$U$10,I345),1)*IF(Upgrades!$T$12="Heliopause",POWER(Upgrades!$U$12,K345),1))+(IF(K345=0,0,(Upgrades!$G$12+K345*Upgrades!$H$12)*POWER(Upgrades!$I$12,K345)))*(IF(Upgrades!$T$6="First Photons",POWER(Upgrades!$U$6,E345),1)*IF(Upgrades!$T$7="First Photons",POWER(Upgrades!$U$7,F345),1)*IF(Upgrades!$T$8="First Photons",POWER(Upgrades!$U$8,G345),1)*IF(Upgrades!$T$9="First Photons",POWER(Upgrades!$U$9,H345),1)*IF(Upgrades!$T$10="First Photons",POWER(Upgrades!$U$10,I345),1)*IF(Upgrades!$T$11="First Photons",POWER(Upgrades!$U$11,J345),1)))*POWER(Upgrades!$P$6,E345)*POWER(Upgrades!$P$7,F345)*POWER(Upgrades!$P$8,G345)*POWER(Upgrades!$P$9,H345)*POWER(Upgrades!$P$10,I345)*POWER(Upgrades!$P$11,J345)*POWER(Upgrades!$P$12,K345)</f>
        <v/>
      </c>
      <c r="O345" s="28">
        <f>((IF(E345=0,0,(Upgrades!$M$6+E345*Upgrades!$N$6)*POWER(Upgrades!$O$6,E345)))*(IF(Upgrades!$T$7="Solar Wind",POWER(Upgrades!$U$7,F345),1)*IF(Upgrades!$T$8="Solar Wind",POWER(Upgrades!$U$8,G345),1)*IF(Upgrades!$T$9="Solar Wind",POWER(Upgrades!$U$9,H345),1)*IF(Upgrades!$T$10="Solar Wind",POWER(Upgrades!$U$10,I345),1)*IF(Upgrades!$T$11="Solar Wind",POWER(Upgrades!$U$11,J345),1)*IF(Upgrades!$T$12="Solar Wind",POWER(Upgrades!$U$12,K345),1))+(IF(F345=0,0,(Upgrades!$M$7+F345*Upgrades!$N$7)*POWER(Upgrades!$O$7,F345)))*(IF(Upgrades!$T$6="Asteroid Belt",POWER(Upgrades!$U$6,E345),1)*IF(Upgrades!$T$8="Asteroid Belt",POWER(Upgrades!$U$8,G345),1)*IF(Upgrades!$T$9="Asteroid Belt",POWER(Upgrades!$U$9,H345),1)*IF(Upgrades!$T$10="Asteroid Belt",POWER(Upgrades!$U$10,I345),1)*IF(Upgrades!$T$11="Asteroid Belt",POWER(Upgrades!$U$11,J345),1)*IF(Upgrades!$T$12="Asteroid Belt",POWER(Upgrades!$U$12,K345),1))+(IF(G345=0,0,(Upgrades!$M$8+G345*Upgrades!$N$8)*POWER(Upgrades!$O$8,G345)))*(IF(Upgrades!$T$6="Stellar Coupling",POWER(Upgrades!$U$6,E345),1)*IF(Upgrades!$T$7="Stellar Coupling",POWER(Upgrades!$U$7,F345),1)*IF(Upgrades!$T$9="Stellar Coupling",POWER(Upgrades!$U$9,H345),1)*IF(Upgrades!$T$10="Stellar Coupling",POWER(Upgrades!$U$10,I345),1)*IF(Upgrades!$T$11="Stellar Coupling",POWER(Upgrades!$U$11,J345),1)*IF(Upgrades!$T$12="Stellar Coupling",POWER(Upgrades!$U$12,K345),1))+(IF(H345=0,0,(Upgrades!$M$9+H345*Upgrades!$N$9)*POWER(Upgrades!$O$9,H345)))*(IF(Upgrades!$T$6="Magnetosphere",POWER(Upgrades!$U$6,E345),1)*IF(Upgrades!$T$7="Magnetosphere",POWER(Upgrades!$U$7,F345),1)*IF(Upgrades!$T$8="Magnetosphere",POWER(Upgrades!$U$8,G345),1)*IF(Upgrades!$T$10="Magnetosphere",POWER(Upgrades!$U$10,I345),1)*IF(Upgrades!$T$11="Magnetosphere",POWER(Upgrades!$U$11,J345),1)*IF(Upgrades!$T$12="Magnetosphere",POWER(Upgrades!$U$12,K345),1))+(IF(I345=0,0,(Upgrades!$M$10+I345*Upgrades!$N$10)*POWER(Upgrades!$O$10,I345)))*(IF(Upgrades!$T$6="Orbital Resonance",POWER(Upgrades!$U$6,E345),1)*IF(Upgrades!$T$7="Orbital Resonance",POWER(Upgrades!$U$7,F345),1)*IF(Upgrades!$T$8="Orbital Resonance",POWER(Upgrades!$U$8,G345),1)*IF(Upgrades!$T$9="Orbital Resonance",POWER(Upgrades!$U$9,H345),1)*IF(Upgrades!$T$11="Orbital Resonance",POWER(Upgrades!$U$11,J345),1)*IF(Upgrades!$T$12="Orbital Resonance",POWER(Upgrades!$U$12,K345),1))+(IF(J345=0,0,(Upgrades!$M$11+J345*Upgrades!$N$11)*POWER(Upgrades!$O$11,J345)))*(IF(Upgrades!$T$6="Heliopause",POWER(Upgrades!$U$6,E345),1)*IF(Upgrades!$T$7="Heliopause",POWER(Upgrades!$U$7,F345),1)*IF(Upgrades!$T$8="Heliopause",POWER(Upgrades!$U$8,G345),1)*IF(Upgrades!$T$9="Heliopause",POWER(Upgrades!$U$9,H345),1)*IF(Upgrades!$T$10="Heliopause",POWER(Upgrades!$U$10,I345),1)*IF(Upgrades!$T$12="Heliopause",POWER(Upgrades!$U$12,K345),1))+(IF(K345=0,0,(Upgrades!$M$12+K345*Upgrades!$N$12)*POWER(Upgrades!$O$12,K345)))*(IF(Upgrades!$T$6="First Photons",POWER(Upgrades!$U$6,E345),1)*IF(Upgrades!$T$7="First Photons",POWER(Upgrades!$U$7,F345),1)*IF(Upgrades!$T$8="First Photons",POWER(Upgrades!$U$8,G345),1)*IF(Upgrades!$T$9="First Photons",POWER(Upgrades!$U$9,H345),1)*IF(Upgrades!$T$10="First Photons",POWER(Upgrades!$U$10,I345),1)*IF(Upgrades!$T$11="First Photons",POWER(Upgrades!$U$11,J345),1)))*POWER(Upgrades!$R$6,E345)*POWER(Upgrades!$R$7,F345)*POWER(Upgrades!$R$8,G345)*POWER(Upgrades!$R$9,H345)*POWER(Upgrades!$R$10,I345)*POWER(Upgrades!$R$11,J345)*POWER(Upgrades!$R$12,K345)</f>
        <v/>
      </c>
      <c r="P345" s="27">
        <f>IF(L345=1,0,M345*Parameters!$B$10/60*Parameters!$B$11*10)</f>
        <v/>
      </c>
      <c r="Q345" s="27">
        <f>IF(L345=1,0,O345*M345*10)</f>
        <v/>
      </c>
      <c r="R345" s="27">
        <f>IF(L345=1,0,N345*10)</f>
        <v/>
      </c>
      <c r="S345" s="27">
        <f>P345+Q345+R345</f>
        <v/>
      </c>
      <c r="T345" s="22">
        <f>C345+S345</f>
        <v/>
      </c>
      <c r="U345" s="33">
        <f>AX345</f>
        <v/>
      </c>
      <c r="V345" s="22">
        <f>IF(U345="",0,IF(U345="transition",0,IF(U345="SW",AG345,IF(U345="AB",AH345,IF(U345="SC",AI345,IF(U345="Mag",AJ345,IF(U345="OR",AK345,IF(U345="HP",AL345,IF(U345="FP",AM345,0)))))))))</f>
        <v/>
      </c>
      <c r="W345" s="27">
        <f>IF(U345="OR",Upgrades!$F$10,IF(U345="HP",Upgrades!$F$11,IF(U345="transition",-Parameters!$B$18,0)))</f>
        <v/>
      </c>
      <c r="X345" s="22">
        <f>T345-V345</f>
        <v/>
      </c>
      <c r="Y345" s="30">
        <f>M345*Parameters!$B$10/60*Parameters!$B$11+O345*M345+N345</f>
        <v/>
      </c>
      <c r="Z345" s="34">
        <f>IF(U345="transition","→ Tier 2 (Stellar Neighborhood)",IF(U345="FP","First Photons — light begins, system quickens",IF(U345="HP","Heliopause acquired",IF(U345="OR","Orbital Resonance — passive multiplier active",IF(AND(AO345=1,L345=0,AN345&lt;&gt;1),"Cohesion ready (waiting on completionist upgrades)","")))))</f>
        <v/>
      </c>
      <c r="AA345" s="27">
        <f>(IF(E345=0,0,(Upgrades!$G$6+E345*Upgrades!$H$6)*POWER(Upgrades!$I$6,E345)))*(IF(Upgrades!$T$7="Solar Wind",POWER(Upgrades!$U$7,F345),1)*IF(Upgrades!$T$8="Solar Wind",POWER(Upgrades!$U$8,G345),1)*IF(Upgrades!$T$9="Solar Wind",POWER(Upgrades!$U$9,H345),1)*IF(Upgrades!$T$10="Solar Wind",POWER(Upgrades!$U$10,I345),1)*IF(Upgrades!$T$11="Solar Wind",POWER(Upgrades!$U$11,J345),1)*IF(Upgrades!$T$12="Solar Wind",POWER(Upgrades!$U$12,K345),1))*POWER(Upgrades!$P$6,E345)*POWER(Upgrades!$P$7,F345)*POWER(Upgrades!$P$8,G345)*POWER(Upgrades!$P$9,H345)*POWER(Upgrades!$P$10,I345)*POWER(Upgrades!$P$11,J345)*POWER(Upgrades!$P$12,K345)*60</f>
        <v/>
      </c>
      <c r="AB345" s="27">
        <f>(IF(F345=0,0,(Upgrades!$G$7+F345*Upgrades!$H$7)*POWER(Upgrades!$I$7,F345)))*(IF(Upgrades!$T$6="Asteroid Belt",POWER(Upgrades!$U$6,E345),1)*IF(Upgrades!$T$8="Asteroid Belt",POWER(Upgrades!$U$8,G345),1)*IF(Upgrades!$T$9="Asteroid Belt",POWER(Upgrades!$U$9,H345),1)*IF(Upgrades!$T$10="Asteroid Belt",POWER(Upgrades!$U$10,I345),1)*IF(Upgrades!$T$11="Asteroid Belt",POWER(Upgrades!$U$11,J345),1)*IF(Upgrades!$T$12="Asteroid Belt",POWER(Upgrades!$U$12,K345),1))*POWER(Upgrades!$P$6,E345)*POWER(Upgrades!$P$7,F345)*POWER(Upgrades!$P$8,G345)*POWER(Upgrades!$P$9,H345)*POWER(Upgrades!$P$10,I345)*POWER(Upgrades!$P$11,J345)*POWER(Upgrades!$P$12,K345)*60</f>
        <v/>
      </c>
      <c r="AC345" s="27">
        <f>(IF(G345=0,0,(Upgrades!$J$8+G345*Upgrades!$K$8)*POWER(Upgrades!$L$8,G345)))*(IF(Upgrades!$T$6="Stellar Coupling",POWER(Upgrades!$U$6,E345),1)*IF(Upgrades!$T$7="Stellar Coupling",POWER(Upgrades!$U$7,F345),1)*IF(Upgrades!$T$9="Stellar Coupling",POWER(Upgrades!$U$9,H345),1)*IF(Upgrades!$T$10="Stellar Coupling",POWER(Upgrades!$U$10,I345),1)*IF(Upgrades!$T$11="Stellar Coupling",POWER(Upgrades!$U$11,J345),1)*IF(Upgrades!$T$12="Stellar Coupling",POWER(Upgrades!$U$12,K345),1))*POWER(Upgrades!$Q$6,E345)*POWER(Upgrades!$Q$7,F345)*POWER(Upgrades!$Q$8,G345)*POWER(Upgrades!$Q$9,H345)*POWER(Upgrades!$Q$10,I345)*POWER(Upgrades!$Q$11,J345)*POWER(Upgrades!$Q$12,K345)*Parameters!$B$10*Parameters!$B$11</f>
        <v/>
      </c>
      <c r="AD345" s="27">
        <f>(IF(H345=0,0,(Upgrades!$G$9+H345*Upgrades!$H$9)*POWER(Upgrades!$I$9,H345)))*(IF(Upgrades!$T$6="Magnetosphere",POWER(Upgrades!$U$6,E345),1)*IF(Upgrades!$T$7="Magnetosphere",POWER(Upgrades!$U$7,F345),1)*IF(Upgrades!$T$8="Magnetosphere",POWER(Upgrades!$U$8,G345),1)*IF(Upgrades!$T$10="Magnetosphere",POWER(Upgrades!$U$10,I345),1)*IF(Upgrades!$T$11="Magnetosphere",POWER(Upgrades!$U$11,J345),1)*IF(Upgrades!$T$12="Magnetosphere",POWER(Upgrades!$U$12,K345),1))*POWER(Upgrades!$P$6,E345)*POWER(Upgrades!$P$7,F345)*POWER(Upgrades!$P$8,G345)*POWER(Upgrades!$P$9,H345)*POWER(Upgrades!$P$10,I345)*POWER(Upgrades!$P$11,J345)*POWER(Upgrades!$P$12,K345)*60</f>
        <v/>
      </c>
      <c r="AE345" s="27">
        <f>(IF(K345=0,0,(Upgrades!$G$12+K345*Upgrades!$H$12)*POWER(Upgrades!$I$12,K345)))*(IF(Upgrades!$T$6="First Photons",POWER(Upgrades!$U$6,E345),1)*IF(Upgrades!$T$7="First Photons",POWER(Upgrades!$U$7,F345),1)*IF(Upgrades!$T$8="First Photons",POWER(Upgrades!$U$8,G345),1)*IF(Upgrades!$T$9="First Photons",POWER(Upgrades!$U$9,H345),1)*IF(Upgrades!$T$10="First Photons",POWER(Upgrades!$U$10,I345),1)*IF(Upgrades!$T$11="First Photons",POWER(Upgrades!$U$11,J345),1))*POWER(Upgrades!$P$6,E345)*POWER(Upgrades!$P$7,F345)*POWER(Upgrades!$P$8,G345)*POWER(Upgrades!$P$9,H345)*POWER(Upgrades!$P$10,I345)*POWER(Upgrades!$P$11,J345)*POWER(Upgrades!$P$12,K345)*60</f>
        <v/>
      </c>
      <c r="AF345" s="27">
        <f>Parameters!$B$9*POWER(Upgrades!$Q$6,E345)*POWER(Upgrades!$Q$7,F345)*POWER(Upgrades!$Q$8,G345)*POWER(Upgrades!$Q$9,H345)*POWER(Upgrades!$Q$10,I345)*POWER(Upgrades!$Q$11,J345)*POWER(Upgrades!$Q$12,K345)*(Parameters!$B$10*Parameters!$B$11+O345*60)</f>
        <v/>
      </c>
      <c r="AG345" s="22">
        <f>IF(E345&gt;=Upgrades!$E$6,"",Upgrades!$C$6*POWER(Upgrades!$D$6,E345))</f>
        <v/>
      </c>
      <c r="AH345" s="22">
        <f>IF(F345&gt;=Upgrades!$E$7,"",Upgrades!$C$7*POWER(Upgrades!$D$7,F345))</f>
        <v/>
      </c>
      <c r="AI345" s="22">
        <f>IF(G345&gt;=Upgrades!$E$8,"",Upgrades!$C$8*POWER(Upgrades!$D$8,G345))</f>
        <v/>
      </c>
      <c r="AJ345" s="22">
        <f>IF(H345&gt;=Upgrades!$E$9,"",Upgrades!$C$9*POWER(Upgrades!$D$9,H345))</f>
        <v/>
      </c>
      <c r="AK345" s="22">
        <f>IF(I345&gt;=Upgrades!$E$10,"",Upgrades!$C$10*POWER(Upgrades!$D$10,I345))</f>
        <v/>
      </c>
      <c r="AL345" s="22">
        <f>IF(J345&gt;=Upgrades!$E$11,"",Upgrades!$C$11*POWER(Upgrades!$D$11,J345))</f>
        <v/>
      </c>
      <c r="AM345" s="22">
        <f>IF(K345&gt;=Upgrades!$E$12,"",Upgrades!$C$12*POWER(Upgrades!$D$12,K345))</f>
        <v/>
      </c>
      <c r="AN345" s="26">
        <f>IF(AND(D345&gt;=Parameters!$B$18,(H345&gt;=Upgrades!$E$9)*(K345&gt;=Upgrades!$E$12)=1,L345=0),1,"")</f>
        <v/>
      </c>
      <c r="AO345" s="26">
        <f>IF(AND(D345&gt;=Parameters!$B$18,L345=0),1,"")</f>
        <v/>
      </c>
      <c r="AP345" s="22">
        <f>MIN(IF(ISNUMBER(AK345),AK345,9E15),IF(ISNUMBER(AL345),AL345,9E15),IF(ISNUMBER(AM345),AM345,9E15))</f>
        <v/>
      </c>
      <c r="AQ345" s="22">
        <f>MIN(IF(ISNUMBER(AG345),AG345,9E15),IF(ISNUMBER(AH345),AH345,9E15),IF(ISNUMBER(AI345),AI345,9E15),IF(ISNUMBER(AJ345),AJ345,9E15))</f>
        <v/>
      </c>
      <c r="AR345" s="29">
        <f>IF(AW345&gt;Parameters!$B$21*(MAX(IF(AND(NOT(AND(AO345=1,AN345&lt;&gt;1)),ISNUMBER(AG345),AG345&lt;=T345),AS345,0),IF(AND(NOT(AND(AO345=1,AN345&lt;&gt;1)),ISNUMBER(AH345),AH345&lt;=T345),AT345,0),IF(AND(NOT(AND(AO345=1,AN345&lt;&gt;1)),ISNUMBER(AI345),AI345&lt;=T345),AU345,0),IF(AND(ISNUMBER(AJ345),AJ345&lt;=T345),AV345,0))),TRUE,FALSE)</f>
        <v/>
      </c>
      <c r="AS345" s="32">
        <f>IFERROR(Upgrades!$H$6*(POWER(Upgrades!$P$6,E345)*POWER(Upgrades!$P$7,F345)*POWER(Upgrades!$P$8,G345)*POWER(Upgrades!$P$9,H345)*POWER(Upgrades!$P$10,I345)*POWER(Upgrades!$P$11,J345)*POWER(Upgrades!$P$12,K345))*(IF(Upgrades!$T$7="Solar Wind",POWER(Upgrades!$U$7,F345),1)*IF(Upgrades!$T$8="Solar Wind",POWER(Upgrades!$U$8,G345),1)*IF(Upgrades!$T$9="Solar Wind",POWER(Upgrades!$U$9,H345),1)*IF(Upgrades!$T$10="Solar Wind",POWER(Upgrades!$U$10,I345),1)*IF(Upgrades!$T$11="Solar Wind",POWER(Upgrades!$U$11,J345),1)*IF(Upgrades!$T$12="Solar Wind",POWER(Upgrades!$U$12,K345),1))/AG345,0)</f>
        <v/>
      </c>
      <c r="AT345" s="32">
        <f>IFERROR(Upgrades!$H$7*(POWER(Upgrades!$P$6,E345)*POWER(Upgrades!$P$7,F345)*POWER(Upgrades!$P$8,G345)*POWER(Upgrades!$P$9,H345)*POWER(Upgrades!$P$10,I345)*POWER(Upgrades!$P$11,J345)*POWER(Upgrades!$P$12,K345))*(IF(Upgrades!$T$6="Asteroid Belt",POWER(Upgrades!$U$6,E345),1)*IF(Upgrades!$T$8="Asteroid Belt",POWER(Upgrades!$U$8,G345),1)*IF(Upgrades!$T$9="Asteroid Belt",POWER(Upgrades!$U$9,H345),1)*IF(Upgrades!$T$10="Asteroid Belt",POWER(Upgrades!$U$10,I345),1)*IF(Upgrades!$T$11="Asteroid Belt",POWER(Upgrades!$U$11,J345),1)*IF(Upgrades!$T$12="Asteroid Belt",POWER(Upgrades!$U$12,K345),1))/AH345,0)</f>
        <v/>
      </c>
      <c r="AU345" s="32">
        <f>IFERROR(Upgrades!$K$8*(POWER(Upgrades!$Q$6,E345)*POWER(Upgrades!$Q$7,F345)*POWER(Upgrades!$Q$8,G345)*POWER(Upgrades!$Q$9,H345)*POWER(Upgrades!$Q$10,I345)*POWER(Upgrades!$Q$11,J345)*POWER(Upgrades!$Q$12,K345))*(IF(Upgrades!$T$6="Stellar Coupling",POWER(Upgrades!$U$6,E345),1)*IF(Upgrades!$T$7="Stellar Coupling",POWER(Upgrades!$U$7,F345),1)*IF(Upgrades!$T$9="Stellar Coupling",POWER(Upgrades!$U$9,H345),1)*IF(Upgrades!$T$10="Stellar Coupling",POWER(Upgrades!$U$10,I345),1)*IF(Upgrades!$T$11="Stellar Coupling",POWER(Upgrades!$U$11,J345),1)*IF(Upgrades!$T$12="Stellar Coupling",POWER(Upgrades!$U$12,K345),1))*Parameters!$B$10*Parameters!$B$11/60/AI345,0)</f>
        <v/>
      </c>
      <c r="AV345" s="32">
        <f>IFERROR(Upgrades!$H$9*(POWER(Upgrades!$P$6,E345)*POWER(Upgrades!$P$7,F345)*POWER(Upgrades!$P$8,G345)*POWER(Upgrades!$P$9,H345)*POWER(Upgrades!$P$10,I345)*POWER(Upgrades!$P$11,J345)*POWER(Upgrades!$P$12,K345))*(IF(Upgrades!$T$6="Magnetosphere",POWER(Upgrades!$U$6,E345),1)*IF(Upgrades!$T$7="Magnetosphere",POWER(Upgrades!$U$7,F345),1)*IF(Upgrades!$T$8="Magnetosphere",POWER(Upgrades!$U$8,G345),1)*IF(Upgrades!$T$10="Magnetosphere",POWER(Upgrades!$U$10,I345),1)*IF(Upgrades!$T$11="Magnetosphere",POWER(Upgrades!$U$11,J345),1)*IF(Upgrades!$T$12="Magnetosphere",POWER(Upgrades!$U$12,K345),1))/AJ345,0)</f>
        <v/>
      </c>
      <c r="AW345" s="32">
        <f>MAX(IF(I345&gt;0,0,IFERROR(0.25*N345/Upgrades!$C$10,0)),IF(J345&gt;0,0,IFERROR(0.5*((IF(G345=0,0,(Upgrades!$J$8+G345*Upgrades!$K$8)*POWER(Upgrades!$L$8,G345)))*(IF(Upgrades!$T$6="Stellar Coupling",POWER(Upgrades!$U$6,E345),1)*IF(Upgrades!$T$7="Stellar Coupling",POWER(Upgrades!$U$7,F345),1)*IF(Upgrades!$T$9="Stellar Coupling",POWER(Upgrades!$U$9,H345),1)*IF(Upgrades!$T$10="Stellar Coupling",POWER(Upgrades!$U$10,I345),1)*IF(Upgrades!$T$11="Stellar Coupling",POWER(Upgrades!$U$11,J345),1)*IF(Upgrades!$T$12="Stellar Coupling",POWER(Upgrades!$U$12,K345),1))*(POWER(Upgrades!$Q$6,E345)*POWER(Upgrades!$Q$7,F345)*POWER(Upgrades!$Q$8,G345)*POWER(Upgrades!$Q$9,H345)*POWER(Upgrades!$Q$10,I345)*POWER(Upgrades!$Q$11,J345)*POWER(Upgrades!$Q$12,K345))*Parameters!$B$10*Parameters!$B$11/60)/Upgrades!$C$11,0)),IF(K345&gt;0,0,IFERROR((1.0*(POWER(Upgrades!$P$6,E345)*POWER(Upgrades!$P$7,F345)*POWER(Upgrades!$P$8,G345)*POWER(Upgrades!$P$9,H345)*POWER(Upgrades!$P$10,I345)*POWER(Upgrades!$P$11,J345)*POWER(Upgrades!$P$12,K345))+0.20*M345*Parameters!$B$10*Parameters!$B$11/60)/Upgrades!$C$12,0)),IF(AND(ISNUMBER(AG345),AG345&gt;T345),AS345,0),IF(AND(ISNUMBER(AH345),AH345&gt;T345),AT345,0),IF(AND(ISNUMBER(AI345),AI345&gt;T345),AU345,0),IF(AND(ISNUMBER(AJ345),AJ345&gt;T345),AV345,0))</f>
        <v/>
      </c>
      <c r="AX345" s="29">
        <f>IF(AN345=1,"transition",IF(MIN(IF(AND(I345=0,ISNUMBER(AK345),AK345&lt;=T345),AK345,9E15),IF(AND(J345=0,ISNUMBER(AL345),AL345&lt;=T345),AL345,9E15),IF(AND(K345=0,ISNUMBER(AM345),AM345&lt;=T345),AM345,9E15))&lt;9E15,IF(AND(AND(I345=0,ISNUMBER(AK345),AK345&lt;=T345),AK345=MIN(IF(AND(I345=0,ISNUMBER(AK345),AK345&lt;=T345),AK345,9E15),IF(AND(J345=0,ISNUMBER(AL345),AL345&lt;=T345),AL345,9E15),IF(AND(K345=0,ISNUMBER(AM345),AM345&lt;=T345),AM345,9E15))),"OR",IF(AND(AND(J345=0,ISNUMBER(AL345),AL345&lt;=T345),AL345=MIN(IF(AND(I345=0,ISNUMBER(AK345),AK345&lt;=T345),AK345,9E15),IF(AND(J345=0,ISNUMBER(AL345),AL345&lt;=T345),AL345,9E15),IF(AND(K345=0,ISNUMBER(AM345),AM345&lt;=T345),AM345,9E15))),"HP","FP")),IF(AR345=TRUE,"",IF(MAX(IF(AND(NOT(AND(AO345=1,AN345&lt;&gt;1)),ISNUMBER(AG345),AG345&lt;=T345),AS345,0),IF(AND(NOT(AND(AO345=1,AN345&lt;&gt;1)),ISNUMBER(AH345),AH345&lt;=T345),AT345,0),IF(AND(NOT(AND(AO345=1,AN345&lt;&gt;1)),ISNUMBER(AI345),AI345&lt;=T345),AU345,0),IF(AND(ISNUMBER(AJ345),AJ345&lt;=T345),AV345,0))&lt;=0,"",IF(AND(IF(AND(NOT(AND(AO345=1,AN345&lt;&gt;1)),ISNUMBER(AG345),AG345&lt;=T345),AS345,0)&gt;0,IF(AND(NOT(AND(AO345=1,AN345&lt;&gt;1)),ISNUMBER(AG345),AG345&lt;=T345),AS345,0)=MAX(IF(AND(NOT(AND(AO345=1,AN345&lt;&gt;1)),ISNUMBER(AG345),AG345&lt;=T345),AS345,0),IF(AND(NOT(AND(AO345=1,AN345&lt;&gt;1)),ISNUMBER(AH345),AH345&lt;=T345),AT345,0),IF(AND(NOT(AND(AO345=1,AN345&lt;&gt;1)),ISNUMBER(AI345),AI345&lt;=T345),AU345,0),IF(AND(ISNUMBER(AJ345),AJ345&lt;=T345),AV345,0))),"SW",IF(AND(IF(AND(NOT(AND(AO345=1,AN345&lt;&gt;1)),ISNUMBER(AH345),AH345&lt;=T345),AT345,0)&gt;0,IF(AND(NOT(AND(AO345=1,AN345&lt;&gt;1)),ISNUMBER(AH345),AH345&lt;=T345),AT345,0)=MAX(IF(AND(NOT(AND(AO345=1,AN345&lt;&gt;1)),ISNUMBER(AG345),AG345&lt;=T345),AS345,0),IF(AND(NOT(AND(AO345=1,AN345&lt;&gt;1)),ISNUMBER(AH345),AH345&lt;=T345),AT345,0),IF(AND(NOT(AND(AO345=1,AN345&lt;&gt;1)),ISNUMBER(AI345),AI345&lt;=T345),AU345,0),IF(AND(ISNUMBER(AJ345),AJ345&lt;=T345),AV345,0))),"AB",IF(AND(IF(AND(NOT(AND(AO345=1,AN345&lt;&gt;1)),ISNUMBER(AI345),AI345&lt;=T345),AU345,0)&gt;0,IF(AND(NOT(AND(AO345=1,AN345&lt;&gt;1)),ISNUMBER(AI345),AI345&lt;=T345),AU345,0)=MAX(IF(AND(NOT(AND(AO345=1,AN345&lt;&gt;1)),ISNUMBER(AG345),AG345&lt;=T345),AS345,0),IF(AND(NOT(AND(AO345=1,AN345&lt;&gt;1)),ISNUMBER(AH345),AH345&lt;=T345),AT345,0),IF(AND(NOT(AND(AO345=1,AN345&lt;&gt;1)),ISNUMBER(AI345),AI345&lt;=T345),AU345,0),IF(AND(ISNUMBER(AJ345),AJ345&lt;=T345),AV345,0))),"SC","Mag")))))))</f>
        <v/>
      </c>
    </row>
    <row r="346">
      <c r="A346" s="26" t="n">
        <v>341</v>
      </c>
      <c r="B346" s="27">
        <f>A346*10/60</f>
        <v/>
      </c>
      <c r="C346" s="22">
        <f>X345</f>
        <v/>
      </c>
      <c r="D346" s="27">
        <f>D345+W345</f>
        <v/>
      </c>
      <c r="E346" s="26">
        <f>E345+IF(U345="SW",1,0)</f>
        <v/>
      </c>
      <c r="F346" s="26">
        <f>F345+IF(U345="AB",1,0)</f>
        <v/>
      </c>
      <c r="G346" s="26">
        <f>G345+IF(U345="SC",1,0)</f>
        <v/>
      </c>
      <c r="H346" s="26">
        <f>H345+IF(U345="Mag",1,0)</f>
        <v/>
      </c>
      <c r="I346" s="26">
        <f>MAX(I345,IF(U345="OR",1,0))</f>
        <v/>
      </c>
      <c r="J346" s="26">
        <f>MAX(J345,IF(U345="HP",1,0))</f>
        <v/>
      </c>
      <c r="K346" s="26">
        <f>MAX(K345,IF(U345="FP",1,0))</f>
        <v/>
      </c>
      <c r="L346" s="26">
        <f>MAX(L345,IF(U345="transition",1,0))</f>
        <v/>
      </c>
      <c r="M346" s="28">
        <f>(Parameters!$B$9+(IF(E346=0,0,(Upgrades!$J$6+E346*Upgrades!$K$6)*POWER(Upgrades!$L$6,E346)))*(IF(Upgrades!$T$7="Solar Wind",POWER(Upgrades!$U$7,F346),1)*IF(Upgrades!$T$8="Solar Wind",POWER(Upgrades!$U$8,G346),1)*IF(Upgrades!$T$9="Solar Wind",POWER(Upgrades!$U$9,H346),1)*IF(Upgrades!$T$10="Solar Wind",POWER(Upgrades!$U$10,I346),1)*IF(Upgrades!$T$11="Solar Wind",POWER(Upgrades!$U$11,J346),1)*IF(Upgrades!$T$12="Solar Wind",POWER(Upgrades!$U$12,K346),1))+(IF(F346=0,0,(Upgrades!$J$7+F346*Upgrades!$K$7)*POWER(Upgrades!$L$7,F346)))*(IF(Upgrades!$T$6="Asteroid Belt",POWER(Upgrades!$U$6,E346),1)*IF(Upgrades!$T$8="Asteroid Belt",POWER(Upgrades!$U$8,G346),1)*IF(Upgrades!$T$9="Asteroid Belt",POWER(Upgrades!$U$9,H346),1)*IF(Upgrades!$T$10="Asteroid Belt",POWER(Upgrades!$U$10,I346),1)*IF(Upgrades!$T$11="Asteroid Belt",POWER(Upgrades!$U$11,J346),1)*IF(Upgrades!$T$12="Asteroid Belt",POWER(Upgrades!$U$12,K346),1))+(IF(G346=0,0,(Upgrades!$J$8+G346*Upgrades!$K$8)*POWER(Upgrades!$L$8,G346)))*(IF(Upgrades!$T$6="Stellar Coupling",POWER(Upgrades!$U$6,E346),1)*IF(Upgrades!$T$7="Stellar Coupling",POWER(Upgrades!$U$7,F346),1)*IF(Upgrades!$T$9="Stellar Coupling",POWER(Upgrades!$U$9,H346),1)*IF(Upgrades!$T$10="Stellar Coupling",POWER(Upgrades!$U$10,I346),1)*IF(Upgrades!$T$11="Stellar Coupling",POWER(Upgrades!$U$11,J346),1)*IF(Upgrades!$T$12="Stellar Coupling",POWER(Upgrades!$U$12,K346),1))+(IF(H346=0,0,(Upgrades!$J$9+H346*Upgrades!$K$9)*POWER(Upgrades!$L$9,H346)))*(IF(Upgrades!$T$6="Magnetosphere",POWER(Upgrades!$U$6,E346),1)*IF(Upgrades!$T$7="Magnetosphere",POWER(Upgrades!$U$7,F346),1)*IF(Upgrades!$T$8="Magnetosphere",POWER(Upgrades!$U$8,G346),1)*IF(Upgrades!$T$10="Magnetosphere",POWER(Upgrades!$U$10,I346),1)*IF(Upgrades!$T$11="Magnetosphere",POWER(Upgrades!$U$11,J346),1)*IF(Upgrades!$T$12="Magnetosphere",POWER(Upgrades!$U$12,K346),1))+(IF(I346=0,0,(Upgrades!$J$10+I346*Upgrades!$K$10)*POWER(Upgrades!$L$10,I346)))*(IF(Upgrades!$T$6="Orbital Resonance",POWER(Upgrades!$U$6,E346),1)*IF(Upgrades!$T$7="Orbital Resonance",POWER(Upgrades!$U$7,F346),1)*IF(Upgrades!$T$8="Orbital Resonance",POWER(Upgrades!$U$8,G346),1)*IF(Upgrades!$T$9="Orbital Resonance",POWER(Upgrades!$U$9,H346),1)*IF(Upgrades!$T$11="Orbital Resonance",POWER(Upgrades!$U$11,J346),1)*IF(Upgrades!$T$12="Orbital Resonance",POWER(Upgrades!$U$12,K346),1))+(IF(J346=0,0,(Upgrades!$J$11+J346*Upgrades!$K$11)*POWER(Upgrades!$L$11,J346)))*(IF(Upgrades!$T$6="Heliopause",POWER(Upgrades!$U$6,E346),1)*IF(Upgrades!$T$7="Heliopause",POWER(Upgrades!$U$7,F346),1)*IF(Upgrades!$T$8="Heliopause",POWER(Upgrades!$U$8,G346),1)*IF(Upgrades!$T$9="Heliopause",POWER(Upgrades!$U$9,H346),1)*IF(Upgrades!$T$10="Heliopause",POWER(Upgrades!$U$10,I346),1)*IF(Upgrades!$T$12="Heliopause",POWER(Upgrades!$U$12,K346),1))+(IF(K346=0,0,(Upgrades!$J$12+K346*Upgrades!$K$12)*POWER(Upgrades!$L$12,K346)))*(IF(Upgrades!$T$6="First Photons",POWER(Upgrades!$U$6,E346),1)*IF(Upgrades!$T$7="First Photons",POWER(Upgrades!$U$7,F346),1)*IF(Upgrades!$T$8="First Photons",POWER(Upgrades!$U$8,G346),1)*IF(Upgrades!$T$9="First Photons",POWER(Upgrades!$U$9,H346),1)*IF(Upgrades!$T$10="First Photons",POWER(Upgrades!$U$10,I346),1)*IF(Upgrades!$T$11="First Photons",POWER(Upgrades!$U$11,J346),1)))*POWER(Upgrades!$Q$6,E346)*POWER(Upgrades!$Q$7,F346)*POWER(Upgrades!$Q$8,G346)*POWER(Upgrades!$Q$9,H346)*POWER(Upgrades!$Q$10,I346)*POWER(Upgrades!$Q$11,J346)*POWER(Upgrades!$Q$12,K346)</f>
        <v/>
      </c>
      <c r="N346" s="28">
        <f>((IF(E346=0,0,(Upgrades!$G$6+E346*Upgrades!$H$6)*POWER(Upgrades!$I$6,E346)))*(IF(Upgrades!$T$7="Solar Wind",POWER(Upgrades!$U$7,F346),1)*IF(Upgrades!$T$8="Solar Wind",POWER(Upgrades!$U$8,G346),1)*IF(Upgrades!$T$9="Solar Wind",POWER(Upgrades!$U$9,H346),1)*IF(Upgrades!$T$10="Solar Wind",POWER(Upgrades!$U$10,I346),1)*IF(Upgrades!$T$11="Solar Wind",POWER(Upgrades!$U$11,J346),1)*IF(Upgrades!$T$12="Solar Wind",POWER(Upgrades!$U$12,K346),1))+(IF(F346=0,0,(Upgrades!$G$7+F346*Upgrades!$H$7)*POWER(Upgrades!$I$7,F346)))*(IF(Upgrades!$T$6="Asteroid Belt",POWER(Upgrades!$U$6,E346),1)*IF(Upgrades!$T$8="Asteroid Belt",POWER(Upgrades!$U$8,G346),1)*IF(Upgrades!$T$9="Asteroid Belt",POWER(Upgrades!$U$9,H346),1)*IF(Upgrades!$T$10="Asteroid Belt",POWER(Upgrades!$U$10,I346),1)*IF(Upgrades!$T$11="Asteroid Belt",POWER(Upgrades!$U$11,J346),1)*IF(Upgrades!$T$12="Asteroid Belt",POWER(Upgrades!$U$12,K346),1))+(IF(G346=0,0,(Upgrades!$G$8+G346*Upgrades!$H$8)*POWER(Upgrades!$I$8,G346)))*(IF(Upgrades!$T$6="Stellar Coupling",POWER(Upgrades!$U$6,E346),1)*IF(Upgrades!$T$7="Stellar Coupling",POWER(Upgrades!$U$7,F346),1)*IF(Upgrades!$T$9="Stellar Coupling",POWER(Upgrades!$U$9,H346),1)*IF(Upgrades!$T$10="Stellar Coupling",POWER(Upgrades!$U$10,I346),1)*IF(Upgrades!$T$11="Stellar Coupling",POWER(Upgrades!$U$11,J346),1)*IF(Upgrades!$T$12="Stellar Coupling",POWER(Upgrades!$U$12,K346),1))+(IF(H346=0,0,(Upgrades!$G$9+H346*Upgrades!$H$9)*POWER(Upgrades!$I$9,H346)))*(IF(Upgrades!$T$6="Magnetosphere",POWER(Upgrades!$U$6,E346),1)*IF(Upgrades!$T$7="Magnetosphere",POWER(Upgrades!$U$7,F346),1)*IF(Upgrades!$T$8="Magnetosphere",POWER(Upgrades!$U$8,G346),1)*IF(Upgrades!$T$10="Magnetosphere",POWER(Upgrades!$U$10,I346),1)*IF(Upgrades!$T$11="Magnetosphere",POWER(Upgrades!$U$11,J346),1)*IF(Upgrades!$T$12="Magnetosphere",POWER(Upgrades!$U$12,K346),1))+(IF(I346=0,0,(Upgrades!$G$10+I346*Upgrades!$H$10)*POWER(Upgrades!$I$10,I346)))*(IF(Upgrades!$T$6="Orbital Resonance",POWER(Upgrades!$U$6,E346),1)*IF(Upgrades!$T$7="Orbital Resonance",POWER(Upgrades!$U$7,F346),1)*IF(Upgrades!$T$8="Orbital Resonance",POWER(Upgrades!$U$8,G346),1)*IF(Upgrades!$T$9="Orbital Resonance",POWER(Upgrades!$U$9,H346),1)*IF(Upgrades!$T$11="Orbital Resonance",POWER(Upgrades!$U$11,J346),1)*IF(Upgrades!$T$12="Orbital Resonance",POWER(Upgrades!$U$12,K346),1))+(IF(J346=0,0,(Upgrades!$G$11+J346*Upgrades!$H$11)*POWER(Upgrades!$I$11,J346)))*(IF(Upgrades!$T$6="Heliopause",POWER(Upgrades!$U$6,E346),1)*IF(Upgrades!$T$7="Heliopause",POWER(Upgrades!$U$7,F346),1)*IF(Upgrades!$T$8="Heliopause",POWER(Upgrades!$U$8,G346),1)*IF(Upgrades!$T$9="Heliopause",POWER(Upgrades!$U$9,H346),1)*IF(Upgrades!$T$10="Heliopause",POWER(Upgrades!$U$10,I346),1)*IF(Upgrades!$T$12="Heliopause",POWER(Upgrades!$U$12,K346),1))+(IF(K346=0,0,(Upgrades!$G$12+K346*Upgrades!$H$12)*POWER(Upgrades!$I$12,K346)))*(IF(Upgrades!$T$6="First Photons",POWER(Upgrades!$U$6,E346),1)*IF(Upgrades!$T$7="First Photons",POWER(Upgrades!$U$7,F346),1)*IF(Upgrades!$T$8="First Photons",POWER(Upgrades!$U$8,G346),1)*IF(Upgrades!$T$9="First Photons",POWER(Upgrades!$U$9,H346),1)*IF(Upgrades!$T$10="First Photons",POWER(Upgrades!$U$10,I346),1)*IF(Upgrades!$T$11="First Photons",POWER(Upgrades!$U$11,J346),1)))*POWER(Upgrades!$P$6,E346)*POWER(Upgrades!$P$7,F346)*POWER(Upgrades!$P$8,G346)*POWER(Upgrades!$P$9,H346)*POWER(Upgrades!$P$10,I346)*POWER(Upgrades!$P$11,J346)*POWER(Upgrades!$P$12,K346)</f>
        <v/>
      </c>
      <c r="O346" s="28">
        <f>((IF(E346=0,0,(Upgrades!$M$6+E346*Upgrades!$N$6)*POWER(Upgrades!$O$6,E346)))*(IF(Upgrades!$T$7="Solar Wind",POWER(Upgrades!$U$7,F346),1)*IF(Upgrades!$T$8="Solar Wind",POWER(Upgrades!$U$8,G346),1)*IF(Upgrades!$T$9="Solar Wind",POWER(Upgrades!$U$9,H346),1)*IF(Upgrades!$T$10="Solar Wind",POWER(Upgrades!$U$10,I346),1)*IF(Upgrades!$T$11="Solar Wind",POWER(Upgrades!$U$11,J346),1)*IF(Upgrades!$T$12="Solar Wind",POWER(Upgrades!$U$12,K346),1))+(IF(F346=0,0,(Upgrades!$M$7+F346*Upgrades!$N$7)*POWER(Upgrades!$O$7,F346)))*(IF(Upgrades!$T$6="Asteroid Belt",POWER(Upgrades!$U$6,E346),1)*IF(Upgrades!$T$8="Asteroid Belt",POWER(Upgrades!$U$8,G346),1)*IF(Upgrades!$T$9="Asteroid Belt",POWER(Upgrades!$U$9,H346),1)*IF(Upgrades!$T$10="Asteroid Belt",POWER(Upgrades!$U$10,I346),1)*IF(Upgrades!$T$11="Asteroid Belt",POWER(Upgrades!$U$11,J346),1)*IF(Upgrades!$T$12="Asteroid Belt",POWER(Upgrades!$U$12,K346),1))+(IF(G346=0,0,(Upgrades!$M$8+G346*Upgrades!$N$8)*POWER(Upgrades!$O$8,G346)))*(IF(Upgrades!$T$6="Stellar Coupling",POWER(Upgrades!$U$6,E346),1)*IF(Upgrades!$T$7="Stellar Coupling",POWER(Upgrades!$U$7,F346),1)*IF(Upgrades!$T$9="Stellar Coupling",POWER(Upgrades!$U$9,H346),1)*IF(Upgrades!$T$10="Stellar Coupling",POWER(Upgrades!$U$10,I346),1)*IF(Upgrades!$T$11="Stellar Coupling",POWER(Upgrades!$U$11,J346),1)*IF(Upgrades!$T$12="Stellar Coupling",POWER(Upgrades!$U$12,K346),1))+(IF(H346=0,0,(Upgrades!$M$9+H346*Upgrades!$N$9)*POWER(Upgrades!$O$9,H346)))*(IF(Upgrades!$T$6="Magnetosphere",POWER(Upgrades!$U$6,E346),1)*IF(Upgrades!$T$7="Magnetosphere",POWER(Upgrades!$U$7,F346),1)*IF(Upgrades!$T$8="Magnetosphere",POWER(Upgrades!$U$8,G346),1)*IF(Upgrades!$T$10="Magnetosphere",POWER(Upgrades!$U$10,I346),1)*IF(Upgrades!$T$11="Magnetosphere",POWER(Upgrades!$U$11,J346),1)*IF(Upgrades!$T$12="Magnetosphere",POWER(Upgrades!$U$12,K346),1))+(IF(I346=0,0,(Upgrades!$M$10+I346*Upgrades!$N$10)*POWER(Upgrades!$O$10,I346)))*(IF(Upgrades!$T$6="Orbital Resonance",POWER(Upgrades!$U$6,E346),1)*IF(Upgrades!$T$7="Orbital Resonance",POWER(Upgrades!$U$7,F346),1)*IF(Upgrades!$T$8="Orbital Resonance",POWER(Upgrades!$U$8,G346),1)*IF(Upgrades!$T$9="Orbital Resonance",POWER(Upgrades!$U$9,H346),1)*IF(Upgrades!$T$11="Orbital Resonance",POWER(Upgrades!$U$11,J346),1)*IF(Upgrades!$T$12="Orbital Resonance",POWER(Upgrades!$U$12,K346),1))+(IF(J346=0,0,(Upgrades!$M$11+J346*Upgrades!$N$11)*POWER(Upgrades!$O$11,J346)))*(IF(Upgrades!$T$6="Heliopause",POWER(Upgrades!$U$6,E346),1)*IF(Upgrades!$T$7="Heliopause",POWER(Upgrades!$U$7,F346),1)*IF(Upgrades!$T$8="Heliopause",POWER(Upgrades!$U$8,G346),1)*IF(Upgrades!$T$9="Heliopause",POWER(Upgrades!$U$9,H346),1)*IF(Upgrades!$T$10="Heliopause",POWER(Upgrades!$U$10,I346),1)*IF(Upgrades!$T$12="Heliopause",POWER(Upgrades!$U$12,K346),1))+(IF(K346=0,0,(Upgrades!$M$12+K346*Upgrades!$N$12)*POWER(Upgrades!$O$12,K346)))*(IF(Upgrades!$T$6="First Photons",POWER(Upgrades!$U$6,E346),1)*IF(Upgrades!$T$7="First Photons",POWER(Upgrades!$U$7,F346),1)*IF(Upgrades!$T$8="First Photons",POWER(Upgrades!$U$8,G346),1)*IF(Upgrades!$T$9="First Photons",POWER(Upgrades!$U$9,H346),1)*IF(Upgrades!$T$10="First Photons",POWER(Upgrades!$U$10,I346),1)*IF(Upgrades!$T$11="First Photons",POWER(Upgrades!$U$11,J346),1)))*POWER(Upgrades!$R$6,E346)*POWER(Upgrades!$R$7,F346)*POWER(Upgrades!$R$8,G346)*POWER(Upgrades!$R$9,H346)*POWER(Upgrades!$R$10,I346)*POWER(Upgrades!$R$11,J346)*POWER(Upgrades!$R$12,K346)</f>
        <v/>
      </c>
      <c r="P346" s="27">
        <f>IF(L346=1,0,M346*Parameters!$B$10/60*Parameters!$B$11*10)</f>
        <v/>
      </c>
      <c r="Q346" s="27">
        <f>IF(L346=1,0,O346*M346*10)</f>
        <v/>
      </c>
      <c r="R346" s="27">
        <f>IF(L346=1,0,N346*10)</f>
        <v/>
      </c>
      <c r="S346" s="27">
        <f>P346+Q346+R346</f>
        <v/>
      </c>
      <c r="T346" s="22">
        <f>C346+S346</f>
        <v/>
      </c>
      <c r="U346" s="33">
        <f>AX346</f>
        <v/>
      </c>
      <c r="V346" s="22">
        <f>IF(U346="",0,IF(U346="transition",0,IF(U346="SW",AG346,IF(U346="AB",AH346,IF(U346="SC",AI346,IF(U346="Mag",AJ346,IF(U346="OR",AK346,IF(U346="HP",AL346,IF(U346="FP",AM346,0)))))))))</f>
        <v/>
      </c>
      <c r="W346" s="27">
        <f>IF(U346="OR",Upgrades!$F$10,IF(U346="HP",Upgrades!$F$11,IF(U346="transition",-Parameters!$B$18,0)))</f>
        <v/>
      </c>
      <c r="X346" s="22">
        <f>T346-V346</f>
        <v/>
      </c>
      <c r="Y346" s="30">
        <f>M346*Parameters!$B$10/60*Parameters!$B$11+O346*M346+N346</f>
        <v/>
      </c>
      <c r="Z346" s="34">
        <f>IF(U346="transition","→ Tier 2 (Stellar Neighborhood)",IF(U346="FP","First Photons — light begins, system quickens",IF(U346="HP","Heliopause acquired",IF(U346="OR","Orbital Resonance — passive multiplier active",IF(AND(AO346=1,L346=0,AN346&lt;&gt;1),"Cohesion ready (waiting on completionist upgrades)","")))))</f>
        <v/>
      </c>
      <c r="AA346" s="27">
        <f>(IF(E346=0,0,(Upgrades!$G$6+E346*Upgrades!$H$6)*POWER(Upgrades!$I$6,E346)))*(IF(Upgrades!$T$7="Solar Wind",POWER(Upgrades!$U$7,F346),1)*IF(Upgrades!$T$8="Solar Wind",POWER(Upgrades!$U$8,G346),1)*IF(Upgrades!$T$9="Solar Wind",POWER(Upgrades!$U$9,H346),1)*IF(Upgrades!$T$10="Solar Wind",POWER(Upgrades!$U$10,I346),1)*IF(Upgrades!$T$11="Solar Wind",POWER(Upgrades!$U$11,J346),1)*IF(Upgrades!$T$12="Solar Wind",POWER(Upgrades!$U$12,K346),1))*POWER(Upgrades!$P$6,E346)*POWER(Upgrades!$P$7,F346)*POWER(Upgrades!$P$8,G346)*POWER(Upgrades!$P$9,H346)*POWER(Upgrades!$P$10,I346)*POWER(Upgrades!$P$11,J346)*POWER(Upgrades!$P$12,K346)*60</f>
        <v/>
      </c>
      <c r="AB346" s="27">
        <f>(IF(F346=0,0,(Upgrades!$G$7+F346*Upgrades!$H$7)*POWER(Upgrades!$I$7,F346)))*(IF(Upgrades!$T$6="Asteroid Belt",POWER(Upgrades!$U$6,E346),1)*IF(Upgrades!$T$8="Asteroid Belt",POWER(Upgrades!$U$8,G346),1)*IF(Upgrades!$T$9="Asteroid Belt",POWER(Upgrades!$U$9,H346),1)*IF(Upgrades!$T$10="Asteroid Belt",POWER(Upgrades!$U$10,I346),1)*IF(Upgrades!$T$11="Asteroid Belt",POWER(Upgrades!$U$11,J346),1)*IF(Upgrades!$T$12="Asteroid Belt",POWER(Upgrades!$U$12,K346),1))*POWER(Upgrades!$P$6,E346)*POWER(Upgrades!$P$7,F346)*POWER(Upgrades!$P$8,G346)*POWER(Upgrades!$P$9,H346)*POWER(Upgrades!$P$10,I346)*POWER(Upgrades!$P$11,J346)*POWER(Upgrades!$P$12,K346)*60</f>
        <v/>
      </c>
      <c r="AC346" s="27">
        <f>(IF(G346=0,0,(Upgrades!$J$8+G346*Upgrades!$K$8)*POWER(Upgrades!$L$8,G346)))*(IF(Upgrades!$T$6="Stellar Coupling",POWER(Upgrades!$U$6,E346),1)*IF(Upgrades!$T$7="Stellar Coupling",POWER(Upgrades!$U$7,F346),1)*IF(Upgrades!$T$9="Stellar Coupling",POWER(Upgrades!$U$9,H346),1)*IF(Upgrades!$T$10="Stellar Coupling",POWER(Upgrades!$U$10,I346),1)*IF(Upgrades!$T$11="Stellar Coupling",POWER(Upgrades!$U$11,J346),1)*IF(Upgrades!$T$12="Stellar Coupling",POWER(Upgrades!$U$12,K346),1))*POWER(Upgrades!$Q$6,E346)*POWER(Upgrades!$Q$7,F346)*POWER(Upgrades!$Q$8,G346)*POWER(Upgrades!$Q$9,H346)*POWER(Upgrades!$Q$10,I346)*POWER(Upgrades!$Q$11,J346)*POWER(Upgrades!$Q$12,K346)*Parameters!$B$10*Parameters!$B$11</f>
        <v/>
      </c>
      <c r="AD346" s="27">
        <f>(IF(H346=0,0,(Upgrades!$G$9+H346*Upgrades!$H$9)*POWER(Upgrades!$I$9,H346)))*(IF(Upgrades!$T$6="Magnetosphere",POWER(Upgrades!$U$6,E346),1)*IF(Upgrades!$T$7="Magnetosphere",POWER(Upgrades!$U$7,F346),1)*IF(Upgrades!$T$8="Magnetosphere",POWER(Upgrades!$U$8,G346),1)*IF(Upgrades!$T$10="Magnetosphere",POWER(Upgrades!$U$10,I346),1)*IF(Upgrades!$T$11="Magnetosphere",POWER(Upgrades!$U$11,J346),1)*IF(Upgrades!$T$12="Magnetosphere",POWER(Upgrades!$U$12,K346),1))*POWER(Upgrades!$P$6,E346)*POWER(Upgrades!$P$7,F346)*POWER(Upgrades!$P$8,G346)*POWER(Upgrades!$P$9,H346)*POWER(Upgrades!$P$10,I346)*POWER(Upgrades!$P$11,J346)*POWER(Upgrades!$P$12,K346)*60</f>
        <v/>
      </c>
      <c r="AE346" s="27">
        <f>(IF(K346=0,0,(Upgrades!$G$12+K346*Upgrades!$H$12)*POWER(Upgrades!$I$12,K346)))*(IF(Upgrades!$T$6="First Photons",POWER(Upgrades!$U$6,E346),1)*IF(Upgrades!$T$7="First Photons",POWER(Upgrades!$U$7,F346),1)*IF(Upgrades!$T$8="First Photons",POWER(Upgrades!$U$8,G346),1)*IF(Upgrades!$T$9="First Photons",POWER(Upgrades!$U$9,H346),1)*IF(Upgrades!$T$10="First Photons",POWER(Upgrades!$U$10,I346),1)*IF(Upgrades!$T$11="First Photons",POWER(Upgrades!$U$11,J346),1))*POWER(Upgrades!$P$6,E346)*POWER(Upgrades!$P$7,F346)*POWER(Upgrades!$P$8,G346)*POWER(Upgrades!$P$9,H346)*POWER(Upgrades!$P$10,I346)*POWER(Upgrades!$P$11,J346)*POWER(Upgrades!$P$12,K346)*60</f>
        <v/>
      </c>
      <c r="AF346" s="27">
        <f>Parameters!$B$9*POWER(Upgrades!$Q$6,E346)*POWER(Upgrades!$Q$7,F346)*POWER(Upgrades!$Q$8,G346)*POWER(Upgrades!$Q$9,H346)*POWER(Upgrades!$Q$10,I346)*POWER(Upgrades!$Q$11,J346)*POWER(Upgrades!$Q$12,K346)*(Parameters!$B$10*Parameters!$B$11+O346*60)</f>
        <v/>
      </c>
      <c r="AG346" s="22">
        <f>IF(E346&gt;=Upgrades!$E$6,"",Upgrades!$C$6*POWER(Upgrades!$D$6,E346))</f>
        <v/>
      </c>
      <c r="AH346" s="22">
        <f>IF(F346&gt;=Upgrades!$E$7,"",Upgrades!$C$7*POWER(Upgrades!$D$7,F346))</f>
        <v/>
      </c>
      <c r="AI346" s="22">
        <f>IF(G346&gt;=Upgrades!$E$8,"",Upgrades!$C$8*POWER(Upgrades!$D$8,G346))</f>
        <v/>
      </c>
      <c r="AJ346" s="22">
        <f>IF(H346&gt;=Upgrades!$E$9,"",Upgrades!$C$9*POWER(Upgrades!$D$9,H346))</f>
        <v/>
      </c>
      <c r="AK346" s="22">
        <f>IF(I346&gt;=Upgrades!$E$10,"",Upgrades!$C$10*POWER(Upgrades!$D$10,I346))</f>
        <v/>
      </c>
      <c r="AL346" s="22">
        <f>IF(J346&gt;=Upgrades!$E$11,"",Upgrades!$C$11*POWER(Upgrades!$D$11,J346))</f>
        <v/>
      </c>
      <c r="AM346" s="22">
        <f>IF(K346&gt;=Upgrades!$E$12,"",Upgrades!$C$12*POWER(Upgrades!$D$12,K346))</f>
        <v/>
      </c>
      <c r="AN346" s="26">
        <f>IF(AND(D346&gt;=Parameters!$B$18,(H346&gt;=Upgrades!$E$9)*(K346&gt;=Upgrades!$E$12)=1,L346=0),1,"")</f>
        <v/>
      </c>
      <c r="AO346" s="26">
        <f>IF(AND(D346&gt;=Parameters!$B$18,L346=0),1,"")</f>
        <v/>
      </c>
      <c r="AP346" s="22">
        <f>MIN(IF(ISNUMBER(AK346),AK346,9E15),IF(ISNUMBER(AL346),AL346,9E15),IF(ISNUMBER(AM346),AM346,9E15))</f>
        <v/>
      </c>
      <c r="AQ346" s="22">
        <f>MIN(IF(ISNUMBER(AG346),AG346,9E15),IF(ISNUMBER(AH346),AH346,9E15),IF(ISNUMBER(AI346),AI346,9E15),IF(ISNUMBER(AJ346),AJ346,9E15))</f>
        <v/>
      </c>
      <c r="AR346" s="29">
        <f>IF(AW346&gt;Parameters!$B$21*(MAX(IF(AND(NOT(AND(AO346=1,AN346&lt;&gt;1)),ISNUMBER(AG346),AG346&lt;=T346),AS346,0),IF(AND(NOT(AND(AO346=1,AN346&lt;&gt;1)),ISNUMBER(AH346),AH346&lt;=T346),AT346,0),IF(AND(NOT(AND(AO346=1,AN346&lt;&gt;1)),ISNUMBER(AI346),AI346&lt;=T346),AU346,0),IF(AND(ISNUMBER(AJ346),AJ346&lt;=T346),AV346,0))),TRUE,FALSE)</f>
        <v/>
      </c>
      <c r="AS346" s="32">
        <f>IFERROR(Upgrades!$H$6*(POWER(Upgrades!$P$6,E346)*POWER(Upgrades!$P$7,F346)*POWER(Upgrades!$P$8,G346)*POWER(Upgrades!$P$9,H346)*POWER(Upgrades!$P$10,I346)*POWER(Upgrades!$P$11,J346)*POWER(Upgrades!$P$12,K346))*(IF(Upgrades!$T$7="Solar Wind",POWER(Upgrades!$U$7,F346),1)*IF(Upgrades!$T$8="Solar Wind",POWER(Upgrades!$U$8,G346),1)*IF(Upgrades!$T$9="Solar Wind",POWER(Upgrades!$U$9,H346),1)*IF(Upgrades!$T$10="Solar Wind",POWER(Upgrades!$U$10,I346),1)*IF(Upgrades!$T$11="Solar Wind",POWER(Upgrades!$U$11,J346),1)*IF(Upgrades!$T$12="Solar Wind",POWER(Upgrades!$U$12,K346),1))/AG346,0)</f>
        <v/>
      </c>
      <c r="AT346" s="32">
        <f>IFERROR(Upgrades!$H$7*(POWER(Upgrades!$P$6,E346)*POWER(Upgrades!$P$7,F346)*POWER(Upgrades!$P$8,G346)*POWER(Upgrades!$P$9,H346)*POWER(Upgrades!$P$10,I346)*POWER(Upgrades!$P$11,J346)*POWER(Upgrades!$P$12,K346))*(IF(Upgrades!$T$6="Asteroid Belt",POWER(Upgrades!$U$6,E346),1)*IF(Upgrades!$T$8="Asteroid Belt",POWER(Upgrades!$U$8,G346),1)*IF(Upgrades!$T$9="Asteroid Belt",POWER(Upgrades!$U$9,H346),1)*IF(Upgrades!$T$10="Asteroid Belt",POWER(Upgrades!$U$10,I346),1)*IF(Upgrades!$T$11="Asteroid Belt",POWER(Upgrades!$U$11,J346),1)*IF(Upgrades!$T$12="Asteroid Belt",POWER(Upgrades!$U$12,K346),1))/AH346,0)</f>
        <v/>
      </c>
      <c r="AU346" s="32">
        <f>IFERROR(Upgrades!$K$8*(POWER(Upgrades!$Q$6,E346)*POWER(Upgrades!$Q$7,F346)*POWER(Upgrades!$Q$8,G346)*POWER(Upgrades!$Q$9,H346)*POWER(Upgrades!$Q$10,I346)*POWER(Upgrades!$Q$11,J346)*POWER(Upgrades!$Q$12,K346))*(IF(Upgrades!$T$6="Stellar Coupling",POWER(Upgrades!$U$6,E346),1)*IF(Upgrades!$T$7="Stellar Coupling",POWER(Upgrades!$U$7,F346),1)*IF(Upgrades!$T$9="Stellar Coupling",POWER(Upgrades!$U$9,H346),1)*IF(Upgrades!$T$10="Stellar Coupling",POWER(Upgrades!$U$10,I346),1)*IF(Upgrades!$T$11="Stellar Coupling",POWER(Upgrades!$U$11,J346),1)*IF(Upgrades!$T$12="Stellar Coupling",POWER(Upgrades!$U$12,K346),1))*Parameters!$B$10*Parameters!$B$11/60/AI346,0)</f>
        <v/>
      </c>
      <c r="AV346" s="32">
        <f>IFERROR(Upgrades!$H$9*(POWER(Upgrades!$P$6,E346)*POWER(Upgrades!$P$7,F346)*POWER(Upgrades!$P$8,G346)*POWER(Upgrades!$P$9,H346)*POWER(Upgrades!$P$10,I346)*POWER(Upgrades!$P$11,J346)*POWER(Upgrades!$P$12,K346))*(IF(Upgrades!$T$6="Magnetosphere",POWER(Upgrades!$U$6,E346),1)*IF(Upgrades!$T$7="Magnetosphere",POWER(Upgrades!$U$7,F346),1)*IF(Upgrades!$T$8="Magnetosphere",POWER(Upgrades!$U$8,G346),1)*IF(Upgrades!$T$10="Magnetosphere",POWER(Upgrades!$U$10,I346),1)*IF(Upgrades!$T$11="Magnetosphere",POWER(Upgrades!$U$11,J346),1)*IF(Upgrades!$T$12="Magnetosphere",POWER(Upgrades!$U$12,K346),1))/AJ346,0)</f>
        <v/>
      </c>
      <c r="AW346" s="32">
        <f>MAX(IF(I346&gt;0,0,IFERROR(0.25*N346/Upgrades!$C$10,0)),IF(J346&gt;0,0,IFERROR(0.5*((IF(G346=0,0,(Upgrades!$J$8+G346*Upgrades!$K$8)*POWER(Upgrades!$L$8,G346)))*(IF(Upgrades!$T$6="Stellar Coupling",POWER(Upgrades!$U$6,E346),1)*IF(Upgrades!$T$7="Stellar Coupling",POWER(Upgrades!$U$7,F346),1)*IF(Upgrades!$T$9="Stellar Coupling",POWER(Upgrades!$U$9,H346),1)*IF(Upgrades!$T$10="Stellar Coupling",POWER(Upgrades!$U$10,I346),1)*IF(Upgrades!$T$11="Stellar Coupling",POWER(Upgrades!$U$11,J346),1)*IF(Upgrades!$T$12="Stellar Coupling",POWER(Upgrades!$U$12,K346),1))*(POWER(Upgrades!$Q$6,E346)*POWER(Upgrades!$Q$7,F346)*POWER(Upgrades!$Q$8,G346)*POWER(Upgrades!$Q$9,H346)*POWER(Upgrades!$Q$10,I346)*POWER(Upgrades!$Q$11,J346)*POWER(Upgrades!$Q$12,K346))*Parameters!$B$10*Parameters!$B$11/60)/Upgrades!$C$11,0)),IF(K346&gt;0,0,IFERROR((1.0*(POWER(Upgrades!$P$6,E346)*POWER(Upgrades!$P$7,F346)*POWER(Upgrades!$P$8,G346)*POWER(Upgrades!$P$9,H346)*POWER(Upgrades!$P$10,I346)*POWER(Upgrades!$P$11,J346)*POWER(Upgrades!$P$12,K346))+0.20*M346*Parameters!$B$10*Parameters!$B$11/60)/Upgrades!$C$12,0)),IF(AND(ISNUMBER(AG346),AG346&gt;T346),AS346,0),IF(AND(ISNUMBER(AH346),AH346&gt;T346),AT346,0),IF(AND(ISNUMBER(AI346),AI346&gt;T346),AU346,0),IF(AND(ISNUMBER(AJ346),AJ346&gt;T346),AV346,0))</f>
        <v/>
      </c>
      <c r="AX346" s="29">
        <f>IF(AN346=1,"transition",IF(MIN(IF(AND(I346=0,ISNUMBER(AK346),AK346&lt;=T346),AK346,9E15),IF(AND(J346=0,ISNUMBER(AL346),AL346&lt;=T346),AL346,9E15),IF(AND(K346=0,ISNUMBER(AM346),AM346&lt;=T346),AM346,9E15))&lt;9E15,IF(AND(AND(I346=0,ISNUMBER(AK346),AK346&lt;=T346),AK346=MIN(IF(AND(I346=0,ISNUMBER(AK346),AK346&lt;=T346),AK346,9E15),IF(AND(J346=0,ISNUMBER(AL346),AL346&lt;=T346),AL346,9E15),IF(AND(K346=0,ISNUMBER(AM346),AM346&lt;=T346),AM346,9E15))),"OR",IF(AND(AND(J346=0,ISNUMBER(AL346),AL346&lt;=T346),AL346=MIN(IF(AND(I346=0,ISNUMBER(AK346),AK346&lt;=T346),AK346,9E15),IF(AND(J346=0,ISNUMBER(AL346),AL346&lt;=T346),AL346,9E15),IF(AND(K346=0,ISNUMBER(AM346),AM346&lt;=T346),AM346,9E15))),"HP","FP")),IF(AR346=TRUE,"",IF(MAX(IF(AND(NOT(AND(AO346=1,AN346&lt;&gt;1)),ISNUMBER(AG346),AG346&lt;=T346),AS346,0),IF(AND(NOT(AND(AO346=1,AN346&lt;&gt;1)),ISNUMBER(AH346),AH346&lt;=T346),AT346,0),IF(AND(NOT(AND(AO346=1,AN346&lt;&gt;1)),ISNUMBER(AI346),AI346&lt;=T346),AU346,0),IF(AND(ISNUMBER(AJ346),AJ346&lt;=T346),AV346,0))&lt;=0,"",IF(AND(IF(AND(NOT(AND(AO346=1,AN346&lt;&gt;1)),ISNUMBER(AG346),AG346&lt;=T346),AS346,0)&gt;0,IF(AND(NOT(AND(AO346=1,AN346&lt;&gt;1)),ISNUMBER(AG346),AG346&lt;=T346),AS346,0)=MAX(IF(AND(NOT(AND(AO346=1,AN346&lt;&gt;1)),ISNUMBER(AG346),AG346&lt;=T346),AS346,0),IF(AND(NOT(AND(AO346=1,AN346&lt;&gt;1)),ISNUMBER(AH346),AH346&lt;=T346),AT346,0),IF(AND(NOT(AND(AO346=1,AN346&lt;&gt;1)),ISNUMBER(AI346),AI346&lt;=T346),AU346,0),IF(AND(ISNUMBER(AJ346),AJ346&lt;=T346),AV346,0))),"SW",IF(AND(IF(AND(NOT(AND(AO346=1,AN346&lt;&gt;1)),ISNUMBER(AH346),AH346&lt;=T346),AT346,0)&gt;0,IF(AND(NOT(AND(AO346=1,AN346&lt;&gt;1)),ISNUMBER(AH346),AH346&lt;=T346),AT346,0)=MAX(IF(AND(NOT(AND(AO346=1,AN346&lt;&gt;1)),ISNUMBER(AG346),AG346&lt;=T346),AS346,0),IF(AND(NOT(AND(AO346=1,AN346&lt;&gt;1)),ISNUMBER(AH346),AH346&lt;=T346),AT346,0),IF(AND(NOT(AND(AO346=1,AN346&lt;&gt;1)),ISNUMBER(AI346),AI346&lt;=T346),AU346,0),IF(AND(ISNUMBER(AJ346),AJ346&lt;=T346),AV346,0))),"AB",IF(AND(IF(AND(NOT(AND(AO346=1,AN346&lt;&gt;1)),ISNUMBER(AI346),AI346&lt;=T346),AU346,0)&gt;0,IF(AND(NOT(AND(AO346=1,AN346&lt;&gt;1)),ISNUMBER(AI346),AI346&lt;=T346),AU346,0)=MAX(IF(AND(NOT(AND(AO346=1,AN346&lt;&gt;1)),ISNUMBER(AG346),AG346&lt;=T346),AS346,0),IF(AND(NOT(AND(AO346=1,AN346&lt;&gt;1)),ISNUMBER(AH346),AH346&lt;=T346),AT346,0),IF(AND(NOT(AND(AO346=1,AN346&lt;&gt;1)),ISNUMBER(AI346),AI346&lt;=T346),AU346,0),IF(AND(ISNUMBER(AJ346),AJ346&lt;=T346),AV346,0))),"SC","Mag")))))))</f>
        <v/>
      </c>
    </row>
    <row r="347">
      <c r="A347" s="26" t="n">
        <v>342</v>
      </c>
      <c r="B347" s="27">
        <f>A347*10/60</f>
        <v/>
      </c>
      <c r="C347" s="22">
        <f>X346</f>
        <v/>
      </c>
      <c r="D347" s="27">
        <f>D346+W346</f>
        <v/>
      </c>
      <c r="E347" s="26">
        <f>E346+IF(U346="SW",1,0)</f>
        <v/>
      </c>
      <c r="F347" s="26">
        <f>F346+IF(U346="AB",1,0)</f>
        <v/>
      </c>
      <c r="G347" s="26">
        <f>G346+IF(U346="SC",1,0)</f>
        <v/>
      </c>
      <c r="H347" s="26">
        <f>H346+IF(U346="Mag",1,0)</f>
        <v/>
      </c>
      <c r="I347" s="26">
        <f>MAX(I346,IF(U346="OR",1,0))</f>
        <v/>
      </c>
      <c r="J347" s="26">
        <f>MAX(J346,IF(U346="HP",1,0))</f>
        <v/>
      </c>
      <c r="K347" s="26">
        <f>MAX(K346,IF(U346="FP",1,0))</f>
        <v/>
      </c>
      <c r="L347" s="26">
        <f>MAX(L346,IF(U346="transition",1,0))</f>
        <v/>
      </c>
      <c r="M347" s="28">
        <f>(Parameters!$B$9+(IF(E347=0,0,(Upgrades!$J$6+E347*Upgrades!$K$6)*POWER(Upgrades!$L$6,E347)))*(IF(Upgrades!$T$7="Solar Wind",POWER(Upgrades!$U$7,F347),1)*IF(Upgrades!$T$8="Solar Wind",POWER(Upgrades!$U$8,G347),1)*IF(Upgrades!$T$9="Solar Wind",POWER(Upgrades!$U$9,H347),1)*IF(Upgrades!$T$10="Solar Wind",POWER(Upgrades!$U$10,I347),1)*IF(Upgrades!$T$11="Solar Wind",POWER(Upgrades!$U$11,J347),1)*IF(Upgrades!$T$12="Solar Wind",POWER(Upgrades!$U$12,K347),1))+(IF(F347=0,0,(Upgrades!$J$7+F347*Upgrades!$K$7)*POWER(Upgrades!$L$7,F347)))*(IF(Upgrades!$T$6="Asteroid Belt",POWER(Upgrades!$U$6,E347),1)*IF(Upgrades!$T$8="Asteroid Belt",POWER(Upgrades!$U$8,G347),1)*IF(Upgrades!$T$9="Asteroid Belt",POWER(Upgrades!$U$9,H347),1)*IF(Upgrades!$T$10="Asteroid Belt",POWER(Upgrades!$U$10,I347),1)*IF(Upgrades!$T$11="Asteroid Belt",POWER(Upgrades!$U$11,J347),1)*IF(Upgrades!$T$12="Asteroid Belt",POWER(Upgrades!$U$12,K347),1))+(IF(G347=0,0,(Upgrades!$J$8+G347*Upgrades!$K$8)*POWER(Upgrades!$L$8,G347)))*(IF(Upgrades!$T$6="Stellar Coupling",POWER(Upgrades!$U$6,E347),1)*IF(Upgrades!$T$7="Stellar Coupling",POWER(Upgrades!$U$7,F347),1)*IF(Upgrades!$T$9="Stellar Coupling",POWER(Upgrades!$U$9,H347),1)*IF(Upgrades!$T$10="Stellar Coupling",POWER(Upgrades!$U$10,I347),1)*IF(Upgrades!$T$11="Stellar Coupling",POWER(Upgrades!$U$11,J347),1)*IF(Upgrades!$T$12="Stellar Coupling",POWER(Upgrades!$U$12,K347),1))+(IF(H347=0,0,(Upgrades!$J$9+H347*Upgrades!$K$9)*POWER(Upgrades!$L$9,H347)))*(IF(Upgrades!$T$6="Magnetosphere",POWER(Upgrades!$U$6,E347),1)*IF(Upgrades!$T$7="Magnetosphere",POWER(Upgrades!$U$7,F347),1)*IF(Upgrades!$T$8="Magnetosphere",POWER(Upgrades!$U$8,G347),1)*IF(Upgrades!$T$10="Magnetosphere",POWER(Upgrades!$U$10,I347),1)*IF(Upgrades!$T$11="Magnetosphere",POWER(Upgrades!$U$11,J347),1)*IF(Upgrades!$T$12="Magnetosphere",POWER(Upgrades!$U$12,K347),1))+(IF(I347=0,0,(Upgrades!$J$10+I347*Upgrades!$K$10)*POWER(Upgrades!$L$10,I347)))*(IF(Upgrades!$T$6="Orbital Resonance",POWER(Upgrades!$U$6,E347),1)*IF(Upgrades!$T$7="Orbital Resonance",POWER(Upgrades!$U$7,F347),1)*IF(Upgrades!$T$8="Orbital Resonance",POWER(Upgrades!$U$8,G347),1)*IF(Upgrades!$T$9="Orbital Resonance",POWER(Upgrades!$U$9,H347),1)*IF(Upgrades!$T$11="Orbital Resonance",POWER(Upgrades!$U$11,J347),1)*IF(Upgrades!$T$12="Orbital Resonance",POWER(Upgrades!$U$12,K347),1))+(IF(J347=0,0,(Upgrades!$J$11+J347*Upgrades!$K$11)*POWER(Upgrades!$L$11,J347)))*(IF(Upgrades!$T$6="Heliopause",POWER(Upgrades!$U$6,E347),1)*IF(Upgrades!$T$7="Heliopause",POWER(Upgrades!$U$7,F347),1)*IF(Upgrades!$T$8="Heliopause",POWER(Upgrades!$U$8,G347),1)*IF(Upgrades!$T$9="Heliopause",POWER(Upgrades!$U$9,H347),1)*IF(Upgrades!$T$10="Heliopause",POWER(Upgrades!$U$10,I347),1)*IF(Upgrades!$T$12="Heliopause",POWER(Upgrades!$U$12,K347),1))+(IF(K347=0,0,(Upgrades!$J$12+K347*Upgrades!$K$12)*POWER(Upgrades!$L$12,K347)))*(IF(Upgrades!$T$6="First Photons",POWER(Upgrades!$U$6,E347),1)*IF(Upgrades!$T$7="First Photons",POWER(Upgrades!$U$7,F347),1)*IF(Upgrades!$T$8="First Photons",POWER(Upgrades!$U$8,G347),1)*IF(Upgrades!$T$9="First Photons",POWER(Upgrades!$U$9,H347),1)*IF(Upgrades!$T$10="First Photons",POWER(Upgrades!$U$10,I347),1)*IF(Upgrades!$T$11="First Photons",POWER(Upgrades!$U$11,J347),1)))*POWER(Upgrades!$Q$6,E347)*POWER(Upgrades!$Q$7,F347)*POWER(Upgrades!$Q$8,G347)*POWER(Upgrades!$Q$9,H347)*POWER(Upgrades!$Q$10,I347)*POWER(Upgrades!$Q$11,J347)*POWER(Upgrades!$Q$12,K347)</f>
        <v/>
      </c>
      <c r="N347" s="28">
        <f>((IF(E347=0,0,(Upgrades!$G$6+E347*Upgrades!$H$6)*POWER(Upgrades!$I$6,E347)))*(IF(Upgrades!$T$7="Solar Wind",POWER(Upgrades!$U$7,F347),1)*IF(Upgrades!$T$8="Solar Wind",POWER(Upgrades!$U$8,G347),1)*IF(Upgrades!$T$9="Solar Wind",POWER(Upgrades!$U$9,H347),1)*IF(Upgrades!$T$10="Solar Wind",POWER(Upgrades!$U$10,I347),1)*IF(Upgrades!$T$11="Solar Wind",POWER(Upgrades!$U$11,J347),1)*IF(Upgrades!$T$12="Solar Wind",POWER(Upgrades!$U$12,K347),1))+(IF(F347=0,0,(Upgrades!$G$7+F347*Upgrades!$H$7)*POWER(Upgrades!$I$7,F347)))*(IF(Upgrades!$T$6="Asteroid Belt",POWER(Upgrades!$U$6,E347),1)*IF(Upgrades!$T$8="Asteroid Belt",POWER(Upgrades!$U$8,G347),1)*IF(Upgrades!$T$9="Asteroid Belt",POWER(Upgrades!$U$9,H347),1)*IF(Upgrades!$T$10="Asteroid Belt",POWER(Upgrades!$U$10,I347),1)*IF(Upgrades!$T$11="Asteroid Belt",POWER(Upgrades!$U$11,J347),1)*IF(Upgrades!$T$12="Asteroid Belt",POWER(Upgrades!$U$12,K347),1))+(IF(G347=0,0,(Upgrades!$G$8+G347*Upgrades!$H$8)*POWER(Upgrades!$I$8,G347)))*(IF(Upgrades!$T$6="Stellar Coupling",POWER(Upgrades!$U$6,E347),1)*IF(Upgrades!$T$7="Stellar Coupling",POWER(Upgrades!$U$7,F347),1)*IF(Upgrades!$T$9="Stellar Coupling",POWER(Upgrades!$U$9,H347),1)*IF(Upgrades!$T$10="Stellar Coupling",POWER(Upgrades!$U$10,I347),1)*IF(Upgrades!$T$11="Stellar Coupling",POWER(Upgrades!$U$11,J347),1)*IF(Upgrades!$T$12="Stellar Coupling",POWER(Upgrades!$U$12,K347),1))+(IF(H347=0,0,(Upgrades!$G$9+H347*Upgrades!$H$9)*POWER(Upgrades!$I$9,H347)))*(IF(Upgrades!$T$6="Magnetosphere",POWER(Upgrades!$U$6,E347),1)*IF(Upgrades!$T$7="Magnetosphere",POWER(Upgrades!$U$7,F347),1)*IF(Upgrades!$T$8="Magnetosphere",POWER(Upgrades!$U$8,G347),1)*IF(Upgrades!$T$10="Magnetosphere",POWER(Upgrades!$U$10,I347),1)*IF(Upgrades!$T$11="Magnetosphere",POWER(Upgrades!$U$11,J347),1)*IF(Upgrades!$T$12="Magnetosphere",POWER(Upgrades!$U$12,K347),1))+(IF(I347=0,0,(Upgrades!$G$10+I347*Upgrades!$H$10)*POWER(Upgrades!$I$10,I347)))*(IF(Upgrades!$T$6="Orbital Resonance",POWER(Upgrades!$U$6,E347),1)*IF(Upgrades!$T$7="Orbital Resonance",POWER(Upgrades!$U$7,F347),1)*IF(Upgrades!$T$8="Orbital Resonance",POWER(Upgrades!$U$8,G347),1)*IF(Upgrades!$T$9="Orbital Resonance",POWER(Upgrades!$U$9,H347),1)*IF(Upgrades!$T$11="Orbital Resonance",POWER(Upgrades!$U$11,J347),1)*IF(Upgrades!$T$12="Orbital Resonance",POWER(Upgrades!$U$12,K347),1))+(IF(J347=0,0,(Upgrades!$G$11+J347*Upgrades!$H$11)*POWER(Upgrades!$I$11,J347)))*(IF(Upgrades!$T$6="Heliopause",POWER(Upgrades!$U$6,E347),1)*IF(Upgrades!$T$7="Heliopause",POWER(Upgrades!$U$7,F347),1)*IF(Upgrades!$T$8="Heliopause",POWER(Upgrades!$U$8,G347),1)*IF(Upgrades!$T$9="Heliopause",POWER(Upgrades!$U$9,H347),1)*IF(Upgrades!$T$10="Heliopause",POWER(Upgrades!$U$10,I347),1)*IF(Upgrades!$T$12="Heliopause",POWER(Upgrades!$U$12,K347),1))+(IF(K347=0,0,(Upgrades!$G$12+K347*Upgrades!$H$12)*POWER(Upgrades!$I$12,K347)))*(IF(Upgrades!$T$6="First Photons",POWER(Upgrades!$U$6,E347),1)*IF(Upgrades!$T$7="First Photons",POWER(Upgrades!$U$7,F347),1)*IF(Upgrades!$T$8="First Photons",POWER(Upgrades!$U$8,G347),1)*IF(Upgrades!$T$9="First Photons",POWER(Upgrades!$U$9,H347),1)*IF(Upgrades!$T$10="First Photons",POWER(Upgrades!$U$10,I347),1)*IF(Upgrades!$T$11="First Photons",POWER(Upgrades!$U$11,J347),1)))*POWER(Upgrades!$P$6,E347)*POWER(Upgrades!$P$7,F347)*POWER(Upgrades!$P$8,G347)*POWER(Upgrades!$P$9,H347)*POWER(Upgrades!$P$10,I347)*POWER(Upgrades!$P$11,J347)*POWER(Upgrades!$P$12,K347)</f>
        <v/>
      </c>
      <c r="O347" s="28">
        <f>((IF(E347=0,0,(Upgrades!$M$6+E347*Upgrades!$N$6)*POWER(Upgrades!$O$6,E347)))*(IF(Upgrades!$T$7="Solar Wind",POWER(Upgrades!$U$7,F347),1)*IF(Upgrades!$T$8="Solar Wind",POWER(Upgrades!$U$8,G347),1)*IF(Upgrades!$T$9="Solar Wind",POWER(Upgrades!$U$9,H347),1)*IF(Upgrades!$T$10="Solar Wind",POWER(Upgrades!$U$10,I347),1)*IF(Upgrades!$T$11="Solar Wind",POWER(Upgrades!$U$11,J347),1)*IF(Upgrades!$T$12="Solar Wind",POWER(Upgrades!$U$12,K347),1))+(IF(F347=0,0,(Upgrades!$M$7+F347*Upgrades!$N$7)*POWER(Upgrades!$O$7,F347)))*(IF(Upgrades!$T$6="Asteroid Belt",POWER(Upgrades!$U$6,E347),1)*IF(Upgrades!$T$8="Asteroid Belt",POWER(Upgrades!$U$8,G347),1)*IF(Upgrades!$T$9="Asteroid Belt",POWER(Upgrades!$U$9,H347),1)*IF(Upgrades!$T$10="Asteroid Belt",POWER(Upgrades!$U$10,I347),1)*IF(Upgrades!$T$11="Asteroid Belt",POWER(Upgrades!$U$11,J347),1)*IF(Upgrades!$T$12="Asteroid Belt",POWER(Upgrades!$U$12,K347),1))+(IF(G347=0,0,(Upgrades!$M$8+G347*Upgrades!$N$8)*POWER(Upgrades!$O$8,G347)))*(IF(Upgrades!$T$6="Stellar Coupling",POWER(Upgrades!$U$6,E347),1)*IF(Upgrades!$T$7="Stellar Coupling",POWER(Upgrades!$U$7,F347),1)*IF(Upgrades!$T$9="Stellar Coupling",POWER(Upgrades!$U$9,H347),1)*IF(Upgrades!$T$10="Stellar Coupling",POWER(Upgrades!$U$10,I347),1)*IF(Upgrades!$T$11="Stellar Coupling",POWER(Upgrades!$U$11,J347),1)*IF(Upgrades!$T$12="Stellar Coupling",POWER(Upgrades!$U$12,K347),1))+(IF(H347=0,0,(Upgrades!$M$9+H347*Upgrades!$N$9)*POWER(Upgrades!$O$9,H347)))*(IF(Upgrades!$T$6="Magnetosphere",POWER(Upgrades!$U$6,E347),1)*IF(Upgrades!$T$7="Magnetosphere",POWER(Upgrades!$U$7,F347),1)*IF(Upgrades!$T$8="Magnetosphere",POWER(Upgrades!$U$8,G347),1)*IF(Upgrades!$T$10="Magnetosphere",POWER(Upgrades!$U$10,I347),1)*IF(Upgrades!$T$11="Magnetosphere",POWER(Upgrades!$U$11,J347),1)*IF(Upgrades!$T$12="Magnetosphere",POWER(Upgrades!$U$12,K347),1))+(IF(I347=0,0,(Upgrades!$M$10+I347*Upgrades!$N$10)*POWER(Upgrades!$O$10,I347)))*(IF(Upgrades!$T$6="Orbital Resonance",POWER(Upgrades!$U$6,E347),1)*IF(Upgrades!$T$7="Orbital Resonance",POWER(Upgrades!$U$7,F347),1)*IF(Upgrades!$T$8="Orbital Resonance",POWER(Upgrades!$U$8,G347),1)*IF(Upgrades!$T$9="Orbital Resonance",POWER(Upgrades!$U$9,H347),1)*IF(Upgrades!$T$11="Orbital Resonance",POWER(Upgrades!$U$11,J347),1)*IF(Upgrades!$T$12="Orbital Resonance",POWER(Upgrades!$U$12,K347),1))+(IF(J347=0,0,(Upgrades!$M$11+J347*Upgrades!$N$11)*POWER(Upgrades!$O$11,J347)))*(IF(Upgrades!$T$6="Heliopause",POWER(Upgrades!$U$6,E347),1)*IF(Upgrades!$T$7="Heliopause",POWER(Upgrades!$U$7,F347),1)*IF(Upgrades!$T$8="Heliopause",POWER(Upgrades!$U$8,G347),1)*IF(Upgrades!$T$9="Heliopause",POWER(Upgrades!$U$9,H347),1)*IF(Upgrades!$T$10="Heliopause",POWER(Upgrades!$U$10,I347),1)*IF(Upgrades!$T$12="Heliopause",POWER(Upgrades!$U$12,K347),1))+(IF(K347=0,0,(Upgrades!$M$12+K347*Upgrades!$N$12)*POWER(Upgrades!$O$12,K347)))*(IF(Upgrades!$T$6="First Photons",POWER(Upgrades!$U$6,E347),1)*IF(Upgrades!$T$7="First Photons",POWER(Upgrades!$U$7,F347),1)*IF(Upgrades!$T$8="First Photons",POWER(Upgrades!$U$8,G347),1)*IF(Upgrades!$T$9="First Photons",POWER(Upgrades!$U$9,H347),1)*IF(Upgrades!$T$10="First Photons",POWER(Upgrades!$U$10,I347),1)*IF(Upgrades!$T$11="First Photons",POWER(Upgrades!$U$11,J347),1)))*POWER(Upgrades!$R$6,E347)*POWER(Upgrades!$R$7,F347)*POWER(Upgrades!$R$8,G347)*POWER(Upgrades!$R$9,H347)*POWER(Upgrades!$R$10,I347)*POWER(Upgrades!$R$11,J347)*POWER(Upgrades!$R$12,K347)</f>
        <v/>
      </c>
      <c r="P347" s="27">
        <f>IF(L347=1,0,M347*Parameters!$B$10/60*Parameters!$B$11*10)</f>
        <v/>
      </c>
      <c r="Q347" s="27">
        <f>IF(L347=1,0,O347*M347*10)</f>
        <v/>
      </c>
      <c r="R347" s="27">
        <f>IF(L347=1,0,N347*10)</f>
        <v/>
      </c>
      <c r="S347" s="27">
        <f>P347+Q347+R347</f>
        <v/>
      </c>
      <c r="T347" s="22">
        <f>C347+S347</f>
        <v/>
      </c>
      <c r="U347" s="33">
        <f>AX347</f>
        <v/>
      </c>
      <c r="V347" s="22">
        <f>IF(U347="",0,IF(U347="transition",0,IF(U347="SW",AG347,IF(U347="AB",AH347,IF(U347="SC",AI347,IF(U347="Mag",AJ347,IF(U347="OR",AK347,IF(U347="HP",AL347,IF(U347="FP",AM347,0)))))))))</f>
        <v/>
      </c>
      <c r="W347" s="27">
        <f>IF(U347="OR",Upgrades!$F$10,IF(U347="HP",Upgrades!$F$11,IF(U347="transition",-Parameters!$B$18,0)))</f>
        <v/>
      </c>
      <c r="X347" s="22">
        <f>T347-V347</f>
        <v/>
      </c>
      <c r="Y347" s="30">
        <f>M347*Parameters!$B$10/60*Parameters!$B$11+O347*M347+N347</f>
        <v/>
      </c>
      <c r="Z347" s="34">
        <f>IF(U347="transition","→ Tier 2 (Stellar Neighborhood)",IF(U347="FP","First Photons — light begins, system quickens",IF(U347="HP","Heliopause acquired",IF(U347="OR","Orbital Resonance — passive multiplier active",IF(AND(AO347=1,L347=0,AN347&lt;&gt;1),"Cohesion ready (waiting on completionist upgrades)","")))))</f>
        <v/>
      </c>
      <c r="AA347" s="27">
        <f>(IF(E347=0,0,(Upgrades!$G$6+E347*Upgrades!$H$6)*POWER(Upgrades!$I$6,E347)))*(IF(Upgrades!$T$7="Solar Wind",POWER(Upgrades!$U$7,F347),1)*IF(Upgrades!$T$8="Solar Wind",POWER(Upgrades!$U$8,G347),1)*IF(Upgrades!$T$9="Solar Wind",POWER(Upgrades!$U$9,H347),1)*IF(Upgrades!$T$10="Solar Wind",POWER(Upgrades!$U$10,I347),1)*IF(Upgrades!$T$11="Solar Wind",POWER(Upgrades!$U$11,J347),1)*IF(Upgrades!$T$12="Solar Wind",POWER(Upgrades!$U$12,K347),1))*POWER(Upgrades!$P$6,E347)*POWER(Upgrades!$P$7,F347)*POWER(Upgrades!$P$8,G347)*POWER(Upgrades!$P$9,H347)*POWER(Upgrades!$P$10,I347)*POWER(Upgrades!$P$11,J347)*POWER(Upgrades!$P$12,K347)*60</f>
        <v/>
      </c>
      <c r="AB347" s="27">
        <f>(IF(F347=0,0,(Upgrades!$G$7+F347*Upgrades!$H$7)*POWER(Upgrades!$I$7,F347)))*(IF(Upgrades!$T$6="Asteroid Belt",POWER(Upgrades!$U$6,E347),1)*IF(Upgrades!$T$8="Asteroid Belt",POWER(Upgrades!$U$8,G347),1)*IF(Upgrades!$T$9="Asteroid Belt",POWER(Upgrades!$U$9,H347),1)*IF(Upgrades!$T$10="Asteroid Belt",POWER(Upgrades!$U$10,I347),1)*IF(Upgrades!$T$11="Asteroid Belt",POWER(Upgrades!$U$11,J347),1)*IF(Upgrades!$T$12="Asteroid Belt",POWER(Upgrades!$U$12,K347),1))*POWER(Upgrades!$P$6,E347)*POWER(Upgrades!$P$7,F347)*POWER(Upgrades!$P$8,G347)*POWER(Upgrades!$P$9,H347)*POWER(Upgrades!$P$10,I347)*POWER(Upgrades!$P$11,J347)*POWER(Upgrades!$P$12,K347)*60</f>
        <v/>
      </c>
      <c r="AC347" s="27">
        <f>(IF(G347=0,0,(Upgrades!$J$8+G347*Upgrades!$K$8)*POWER(Upgrades!$L$8,G347)))*(IF(Upgrades!$T$6="Stellar Coupling",POWER(Upgrades!$U$6,E347),1)*IF(Upgrades!$T$7="Stellar Coupling",POWER(Upgrades!$U$7,F347),1)*IF(Upgrades!$T$9="Stellar Coupling",POWER(Upgrades!$U$9,H347),1)*IF(Upgrades!$T$10="Stellar Coupling",POWER(Upgrades!$U$10,I347),1)*IF(Upgrades!$T$11="Stellar Coupling",POWER(Upgrades!$U$11,J347),1)*IF(Upgrades!$T$12="Stellar Coupling",POWER(Upgrades!$U$12,K347),1))*POWER(Upgrades!$Q$6,E347)*POWER(Upgrades!$Q$7,F347)*POWER(Upgrades!$Q$8,G347)*POWER(Upgrades!$Q$9,H347)*POWER(Upgrades!$Q$10,I347)*POWER(Upgrades!$Q$11,J347)*POWER(Upgrades!$Q$12,K347)*Parameters!$B$10*Parameters!$B$11</f>
        <v/>
      </c>
      <c r="AD347" s="27">
        <f>(IF(H347=0,0,(Upgrades!$G$9+H347*Upgrades!$H$9)*POWER(Upgrades!$I$9,H347)))*(IF(Upgrades!$T$6="Magnetosphere",POWER(Upgrades!$U$6,E347),1)*IF(Upgrades!$T$7="Magnetosphere",POWER(Upgrades!$U$7,F347),1)*IF(Upgrades!$T$8="Magnetosphere",POWER(Upgrades!$U$8,G347),1)*IF(Upgrades!$T$10="Magnetosphere",POWER(Upgrades!$U$10,I347),1)*IF(Upgrades!$T$11="Magnetosphere",POWER(Upgrades!$U$11,J347),1)*IF(Upgrades!$T$12="Magnetosphere",POWER(Upgrades!$U$12,K347),1))*POWER(Upgrades!$P$6,E347)*POWER(Upgrades!$P$7,F347)*POWER(Upgrades!$P$8,G347)*POWER(Upgrades!$P$9,H347)*POWER(Upgrades!$P$10,I347)*POWER(Upgrades!$P$11,J347)*POWER(Upgrades!$P$12,K347)*60</f>
        <v/>
      </c>
      <c r="AE347" s="27">
        <f>(IF(K347=0,0,(Upgrades!$G$12+K347*Upgrades!$H$12)*POWER(Upgrades!$I$12,K347)))*(IF(Upgrades!$T$6="First Photons",POWER(Upgrades!$U$6,E347),1)*IF(Upgrades!$T$7="First Photons",POWER(Upgrades!$U$7,F347),1)*IF(Upgrades!$T$8="First Photons",POWER(Upgrades!$U$8,G347),1)*IF(Upgrades!$T$9="First Photons",POWER(Upgrades!$U$9,H347),1)*IF(Upgrades!$T$10="First Photons",POWER(Upgrades!$U$10,I347),1)*IF(Upgrades!$T$11="First Photons",POWER(Upgrades!$U$11,J347),1))*POWER(Upgrades!$P$6,E347)*POWER(Upgrades!$P$7,F347)*POWER(Upgrades!$P$8,G347)*POWER(Upgrades!$P$9,H347)*POWER(Upgrades!$P$10,I347)*POWER(Upgrades!$P$11,J347)*POWER(Upgrades!$P$12,K347)*60</f>
        <v/>
      </c>
      <c r="AF347" s="27">
        <f>Parameters!$B$9*POWER(Upgrades!$Q$6,E347)*POWER(Upgrades!$Q$7,F347)*POWER(Upgrades!$Q$8,G347)*POWER(Upgrades!$Q$9,H347)*POWER(Upgrades!$Q$10,I347)*POWER(Upgrades!$Q$11,J347)*POWER(Upgrades!$Q$12,K347)*(Parameters!$B$10*Parameters!$B$11+O347*60)</f>
        <v/>
      </c>
      <c r="AG347" s="22">
        <f>IF(E347&gt;=Upgrades!$E$6,"",Upgrades!$C$6*POWER(Upgrades!$D$6,E347))</f>
        <v/>
      </c>
      <c r="AH347" s="22">
        <f>IF(F347&gt;=Upgrades!$E$7,"",Upgrades!$C$7*POWER(Upgrades!$D$7,F347))</f>
        <v/>
      </c>
      <c r="AI347" s="22">
        <f>IF(G347&gt;=Upgrades!$E$8,"",Upgrades!$C$8*POWER(Upgrades!$D$8,G347))</f>
        <v/>
      </c>
      <c r="AJ347" s="22">
        <f>IF(H347&gt;=Upgrades!$E$9,"",Upgrades!$C$9*POWER(Upgrades!$D$9,H347))</f>
        <v/>
      </c>
      <c r="AK347" s="22">
        <f>IF(I347&gt;=Upgrades!$E$10,"",Upgrades!$C$10*POWER(Upgrades!$D$10,I347))</f>
        <v/>
      </c>
      <c r="AL347" s="22">
        <f>IF(J347&gt;=Upgrades!$E$11,"",Upgrades!$C$11*POWER(Upgrades!$D$11,J347))</f>
        <v/>
      </c>
      <c r="AM347" s="22">
        <f>IF(K347&gt;=Upgrades!$E$12,"",Upgrades!$C$12*POWER(Upgrades!$D$12,K347))</f>
        <v/>
      </c>
      <c r="AN347" s="26">
        <f>IF(AND(D347&gt;=Parameters!$B$18,(H347&gt;=Upgrades!$E$9)*(K347&gt;=Upgrades!$E$12)=1,L347=0),1,"")</f>
        <v/>
      </c>
      <c r="AO347" s="26">
        <f>IF(AND(D347&gt;=Parameters!$B$18,L347=0),1,"")</f>
        <v/>
      </c>
      <c r="AP347" s="22">
        <f>MIN(IF(ISNUMBER(AK347),AK347,9E15),IF(ISNUMBER(AL347),AL347,9E15),IF(ISNUMBER(AM347),AM347,9E15))</f>
        <v/>
      </c>
      <c r="AQ347" s="22">
        <f>MIN(IF(ISNUMBER(AG347),AG347,9E15),IF(ISNUMBER(AH347),AH347,9E15),IF(ISNUMBER(AI347),AI347,9E15),IF(ISNUMBER(AJ347),AJ347,9E15))</f>
        <v/>
      </c>
      <c r="AR347" s="29">
        <f>IF(AW347&gt;Parameters!$B$21*(MAX(IF(AND(NOT(AND(AO347=1,AN347&lt;&gt;1)),ISNUMBER(AG347),AG347&lt;=T347),AS347,0),IF(AND(NOT(AND(AO347=1,AN347&lt;&gt;1)),ISNUMBER(AH347),AH347&lt;=T347),AT347,0),IF(AND(NOT(AND(AO347=1,AN347&lt;&gt;1)),ISNUMBER(AI347),AI347&lt;=T347),AU347,0),IF(AND(ISNUMBER(AJ347),AJ347&lt;=T347),AV347,0))),TRUE,FALSE)</f>
        <v/>
      </c>
      <c r="AS347" s="32">
        <f>IFERROR(Upgrades!$H$6*(POWER(Upgrades!$P$6,E347)*POWER(Upgrades!$P$7,F347)*POWER(Upgrades!$P$8,G347)*POWER(Upgrades!$P$9,H347)*POWER(Upgrades!$P$10,I347)*POWER(Upgrades!$P$11,J347)*POWER(Upgrades!$P$12,K347))*(IF(Upgrades!$T$7="Solar Wind",POWER(Upgrades!$U$7,F347),1)*IF(Upgrades!$T$8="Solar Wind",POWER(Upgrades!$U$8,G347),1)*IF(Upgrades!$T$9="Solar Wind",POWER(Upgrades!$U$9,H347),1)*IF(Upgrades!$T$10="Solar Wind",POWER(Upgrades!$U$10,I347),1)*IF(Upgrades!$T$11="Solar Wind",POWER(Upgrades!$U$11,J347),1)*IF(Upgrades!$T$12="Solar Wind",POWER(Upgrades!$U$12,K347),1))/AG347,0)</f>
        <v/>
      </c>
      <c r="AT347" s="32">
        <f>IFERROR(Upgrades!$H$7*(POWER(Upgrades!$P$6,E347)*POWER(Upgrades!$P$7,F347)*POWER(Upgrades!$P$8,G347)*POWER(Upgrades!$P$9,H347)*POWER(Upgrades!$P$10,I347)*POWER(Upgrades!$P$11,J347)*POWER(Upgrades!$P$12,K347))*(IF(Upgrades!$T$6="Asteroid Belt",POWER(Upgrades!$U$6,E347),1)*IF(Upgrades!$T$8="Asteroid Belt",POWER(Upgrades!$U$8,G347),1)*IF(Upgrades!$T$9="Asteroid Belt",POWER(Upgrades!$U$9,H347),1)*IF(Upgrades!$T$10="Asteroid Belt",POWER(Upgrades!$U$10,I347),1)*IF(Upgrades!$T$11="Asteroid Belt",POWER(Upgrades!$U$11,J347),1)*IF(Upgrades!$T$12="Asteroid Belt",POWER(Upgrades!$U$12,K347),1))/AH347,0)</f>
        <v/>
      </c>
      <c r="AU347" s="32">
        <f>IFERROR(Upgrades!$K$8*(POWER(Upgrades!$Q$6,E347)*POWER(Upgrades!$Q$7,F347)*POWER(Upgrades!$Q$8,G347)*POWER(Upgrades!$Q$9,H347)*POWER(Upgrades!$Q$10,I347)*POWER(Upgrades!$Q$11,J347)*POWER(Upgrades!$Q$12,K347))*(IF(Upgrades!$T$6="Stellar Coupling",POWER(Upgrades!$U$6,E347),1)*IF(Upgrades!$T$7="Stellar Coupling",POWER(Upgrades!$U$7,F347),1)*IF(Upgrades!$T$9="Stellar Coupling",POWER(Upgrades!$U$9,H347),1)*IF(Upgrades!$T$10="Stellar Coupling",POWER(Upgrades!$U$10,I347),1)*IF(Upgrades!$T$11="Stellar Coupling",POWER(Upgrades!$U$11,J347),1)*IF(Upgrades!$T$12="Stellar Coupling",POWER(Upgrades!$U$12,K347),1))*Parameters!$B$10*Parameters!$B$11/60/AI347,0)</f>
        <v/>
      </c>
      <c r="AV347" s="32">
        <f>IFERROR(Upgrades!$H$9*(POWER(Upgrades!$P$6,E347)*POWER(Upgrades!$P$7,F347)*POWER(Upgrades!$P$8,G347)*POWER(Upgrades!$P$9,H347)*POWER(Upgrades!$P$10,I347)*POWER(Upgrades!$P$11,J347)*POWER(Upgrades!$P$12,K347))*(IF(Upgrades!$T$6="Magnetosphere",POWER(Upgrades!$U$6,E347),1)*IF(Upgrades!$T$7="Magnetosphere",POWER(Upgrades!$U$7,F347),1)*IF(Upgrades!$T$8="Magnetosphere",POWER(Upgrades!$U$8,G347),1)*IF(Upgrades!$T$10="Magnetosphere",POWER(Upgrades!$U$10,I347),1)*IF(Upgrades!$T$11="Magnetosphere",POWER(Upgrades!$U$11,J347),1)*IF(Upgrades!$T$12="Magnetosphere",POWER(Upgrades!$U$12,K347),1))/AJ347,0)</f>
        <v/>
      </c>
      <c r="AW347" s="32">
        <f>MAX(IF(I347&gt;0,0,IFERROR(0.25*N347/Upgrades!$C$10,0)),IF(J347&gt;0,0,IFERROR(0.5*((IF(G347=0,0,(Upgrades!$J$8+G347*Upgrades!$K$8)*POWER(Upgrades!$L$8,G347)))*(IF(Upgrades!$T$6="Stellar Coupling",POWER(Upgrades!$U$6,E347),1)*IF(Upgrades!$T$7="Stellar Coupling",POWER(Upgrades!$U$7,F347),1)*IF(Upgrades!$T$9="Stellar Coupling",POWER(Upgrades!$U$9,H347),1)*IF(Upgrades!$T$10="Stellar Coupling",POWER(Upgrades!$U$10,I347),1)*IF(Upgrades!$T$11="Stellar Coupling",POWER(Upgrades!$U$11,J347),1)*IF(Upgrades!$T$12="Stellar Coupling",POWER(Upgrades!$U$12,K347),1))*(POWER(Upgrades!$Q$6,E347)*POWER(Upgrades!$Q$7,F347)*POWER(Upgrades!$Q$8,G347)*POWER(Upgrades!$Q$9,H347)*POWER(Upgrades!$Q$10,I347)*POWER(Upgrades!$Q$11,J347)*POWER(Upgrades!$Q$12,K347))*Parameters!$B$10*Parameters!$B$11/60)/Upgrades!$C$11,0)),IF(K347&gt;0,0,IFERROR((1.0*(POWER(Upgrades!$P$6,E347)*POWER(Upgrades!$P$7,F347)*POWER(Upgrades!$P$8,G347)*POWER(Upgrades!$P$9,H347)*POWER(Upgrades!$P$10,I347)*POWER(Upgrades!$P$11,J347)*POWER(Upgrades!$P$12,K347))+0.20*M347*Parameters!$B$10*Parameters!$B$11/60)/Upgrades!$C$12,0)),IF(AND(ISNUMBER(AG347),AG347&gt;T347),AS347,0),IF(AND(ISNUMBER(AH347),AH347&gt;T347),AT347,0),IF(AND(ISNUMBER(AI347),AI347&gt;T347),AU347,0),IF(AND(ISNUMBER(AJ347),AJ347&gt;T347),AV347,0))</f>
        <v/>
      </c>
      <c r="AX347" s="29">
        <f>IF(AN347=1,"transition",IF(MIN(IF(AND(I347=0,ISNUMBER(AK347),AK347&lt;=T347),AK347,9E15),IF(AND(J347=0,ISNUMBER(AL347),AL347&lt;=T347),AL347,9E15),IF(AND(K347=0,ISNUMBER(AM347),AM347&lt;=T347),AM347,9E15))&lt;9E15,IF(AND(AND(I347=0,ISNUMBER(AK347),AK347&lt;=T347),AK347=MIN(IF(AND(I347=0,ISNUMBER(AK347),AK347&lt;=T347),AK347,9E15),IF(AND(J347=0,ISNUMBER(AL347),AL347&lt;=T347),AL347,9E15),IF(AND(K347=0,ISNUMBER(AM347),AM347&lt;=T347),AM347,9E15))),"OR",IF(AND(AND(J347=0,ISNUMBER(AL347),AL347&lt;=T347),AL347=MIN(IF(AND(I347=0,ISNUMBER(AK347),AK347&lt;=T347),AK347,9E15),IF(AND(J347=0,ISNUMBER(AL347),AL347&lt;=T347),AL347,9E15),IF(AND(K347=0,ISNUMBER(AM347),AM347&lt;=T347),AM347,9E15))),"HP","FP")),IF(AR347=TRUE,"",IF(MAX(IF(AND(NOT(AND(AO347=1,AN347&lt;&gt;1)),ISNUMBER(AG347),AG347&lt;=T347),AS347,0),IF(AND(NOT(AND(AO347=1,AN347&lt;&gt;1)),ISNUMBER(AH347),AH347&lt;=T347),AT347,0),IF(AND(NOT(AND(AO347=1,AN347&lt;&gt;1)),ISNUMBER(AI347),AI347&lt;=T347),AU347,0),IF(AND(ISNUMBER(AJ347),AJ347&lt;=T347),AV347,0))&lt;=0,"",IF(AND(IF(AND(NOT(AND(AO347=1,AN347&lt;&gt;1)),ISNUMBER(AG347),AG347&lt;=T347),AS347,0)&gt;0,IF(AND(NOT(AND(AO347=1,AN347&lt;&gt;1)),ISNUMBER(AG347),AG347&lt;=T347),AS347,0)=MAX(IF(AND(NOT(AND(AO347=1,AN347&lt;&gt;1)),ISNUMBER(AG347),AG347&lt;=T347),AS347,0),IF(AND(NOT(AND(AO347=1,AN347&lt;&gt;1)),ISNUMBER(AH347),AH347&lt;=T347),AT347,0),IF(AND(NOT(AND(AO347=1,AN347&lt;&gt;1)),ISNUMBER(AI347),AI347&lt;=T347),AU347,0),IF(AND(ISNUMBER(AJ347),AJ347&lt;=T347),AV347,0))),"SW",IF(AND(IF(AND(NOT(AND(AO347=1,AN347&lt;&gt;1)),ISNUMBER(AH347),AH347&lt;=T347),AT347,0)&gt;0,IF(AND(NOT(AND(AO347=1,AN347&lt;&gt;1)),ISNUMBER(AH347),AH347&lt;=T347),AT347,0)=MAX(IF(AND(NOT(AND(AO347=1,AN347&lt;&gt;1)),ISNUMBER(AG347),AG347&lt;=T347),AS347,0),IF(AND(NOT(AND(AO347=1,AN347&lt;&gt;1)),ISNUMBER(AH347),AH347&lt;=T347),AT347,0),IF(AND(NOT(AND(AO347=1,AN347&lt;&gt;1)),ISNUMBER(AI347),AI347&lt;=T347),AU347,0),IF(AND(ISNUMBER(AJ347),AJ347&lt;=T347),AV347,0))),"AB",IF(AND(IF(AND(NOT(AND(AO347=1,AN347&lt;&gt;1)),ISNUMBER(AI347),AI347&lt;=T347),AU347,0)&gt;0,IF(AND(NOT(AND(AO347=1,AN347&lt;&gt;1)),ISNUMBER(AI347),AI347&lt;=T347),AU347,0)=MAX(IF(AND(NOT(AND(AO347=1,AN347&lt;&gt;1)),ISNUMBER(AG347),AG347&lt;=T347),AS347,0),IF(AND(NOT(AND(AO347=1,AN347&lt;&gt;1)),ISNUMBER(AH347),AH347&lt;=T347),AT347,0),IF(AND(NOT(AND(AO347=1,AN347&lt;&gt;1)),ISNUMBER(AI347),AI347&lt;=T347),AU347,0),IF(AND(ISNUMBER(AJ347),AJ347&lt;=T347),AV347,0))),"SC","Mag")))))))</f>
        <v/>
      </c>
    </row>
    <row r="348">
      <c r="A348" s="26" t="n">
        <v>343</v>
      </c>
      <c r="B348" s="27">
        <f>A348*10/60</f>
        <v/>
      </c>
      <c r="C348" s="22">
        <f>X347</f>
        <v/>
      </c>
      <c r="D348" s="27">
        <f>D347+W347</f>
        <v/>
      </c>
      <c r="E348" s="26">
        <f>E347+IF(U347="SW",1,0)</f>
        <v/>
      </c>
      <c r="F348" s="26">
        <f>F347+IF(U347="AB",1,0)</f>
        <v/>
      </c>
      <c r="G348" s="26">
        <f>G347+IF(U347="SC",1,0)</f>
        <v/>
      </c>
      <c r="H348" s="26">
        <f>H347+IF(U347="Mag",1,0)</f>
        <v/>
      </c>
      <c r="I348" s="26">
        <f>MAX(I347,IF(U347="OR",1,0))</f>
        <v/>
      </c>
      <c r="J348" s="26">
        <f>MAX(J347,IF(U347="HP",1,0))</f>
        <v/>
      </c>
      <c r="K348" s="26">
        <f>MAX(K347,IF(U347="FP",1,0))</f>
        <v/>
      </c>
      <c r="L348" s="26">
        <f>MAX(L347,IF(U347="transition",1,0))</f>
        <v/>
      </c>
      <c r="M348" s="28">
        <f>(Parameters!$B$9+(IF(E348=0,0,(Upgrades!$J$6+E348*Upgrades!$K$6)*POWER(Upgrades!$L$6,E348)))*(IF(Upgrades!$T$7="Solar Wind",POWER(Upgrades!$U$7,F348),1)*IF(Upgrades!$T$8="Solar Wind",POWER(Upgrades!$U$8,G348),1)*IF(Upgrades!$T$9="Solar Wind",POWER(Upgrades!$U$9,H348),1)*IF(Upgrades!$T$10="Solar Wind",POWER(Upgrades!$U$10,I348),1)*IF(Upgrades!$T$11="Solar Wind",POWER(Upgrades!$U$11,J348),1)*IF(Upgrades!$T$12="Solar Wind",POWER(Upgrades!$U$12,K348),1))+(IF(F348=0,0,(Upgrades!$J$7+F348*Upgrades!$K$7)*POWER(Upgrades!$L$7,F348)))*(IF(Upgrades!$T$6="Asteroid Belt",POWER(Upgrades!$U$6,E348),1)*IF(Upgrades!$T$8="Asteroid Belt",POWER(Upgrades!$U$8,G348),1)*IF(Upgrades!$T$9="Asteroid Belt",POWER(Upgrades!$U$9,H348),1)*IF(Upgrades!$T$10="Asteroid Belt",POWER(Upgrades!$U$10,I348),1)*IF(Upgrades!$T$11="Asteroid Belt",POWER(Upgrades!$U$11,J348),1)*IF(Upgrades!$T$12="Asteroid Belt",POWER(Upgrades!$U$12,K348),1))+(IF(G348=0,0,(Upgrades!$J$8+G348*Upgrades!$K$8)*POWER(Upgrades!$L$8,G348)))*(IF(Upgrades!$T$6="Stellar Coupling",POWER(Upgrades!$U$6,E348),1)*IF(Upgrades!$T$7="Stellar Coupling",POWER(Upgrades!$U$7,F348),1)*IF(Upgrades!$T$9="Stellar Coupling",POWER(Upgrades!$U$9,H348),1)*IF(Upgrades!$T$10="Stellar Coupling",POWER(Upgrades!$U$10,I348),1)*IF(Upgrades!$T$11="Stellar Coupling",POWER(Upgrades!$U$11,J348),1)*IF(Upgrades!$T$12="Stellar Coupling",POWER(Upgrades!$U$12,K348),1))+(IF(H348=0,0,(Upgrades!$J$9+H348*Upgrades!$K$9)*POWER(Upgrades!$L$9,H348)))*(IF(Upgrades!$T$6="Magnetosphere",POWER(Upgrades!$U$6,E348),1)*IF(Upgrades!$T$7="Magnetosphere",POWER(Upgrades!$U$7,F348),1)*IF(Upgrades!$T$8="Magnetosphere",POWER(Upgrades!$U$8,G348),1)*IF(Upgrades!$T$10="Magnetosphere",POWER(Upgrades!$U$10,I348),1)*IF(Upgrades!$T$11="Magnetosphere",POWER(Upgrades!$U$11,J348),1)*IF(Upgrades!$T$12="Magnetosphere",POWER(Upgrades!$U$12,K348),1))+(IF(I348=0,0,(Upgrades!$J$10+I348*Upgrades!$K$10)*POWER(Upgrades!$L$10,I348)))*(IF(Upgrades!$T$6="Orbital Resonance",POWER(Upgrades!$U$6,E348),1)*IF(Upgrades!$T$7="Orbital Resonance",POWER(Upgrades!$U$7,F348),1)*IF(Upgrades!$T$8="Orbital Resonance",POWER(Upgrades!$U$8,G348),1)*IF(Upgrades!$T$9="Orbital Resonance",POWER(Upgrades!$U$9,H348),1)*IF(Upgrades!$T$11="Orbital Resonance",POWER(Upgrades!$U$11,J348),1)*IF(Upgrades!$T$12="Orbital Resonance",POWER(Upgrades!$U$12,K348),1))+(IF(J348=0,0,(Upgrades!$J$11+J348*Upgrades!$K$11)*POWER(Upgrades!$L$11,J348)))*(IF(Upgrades!$T$6="Heliopause",POWER(Upgrades!$U$6,E348),1)*IF(Upgrades!$T$7="Heliopause",POWER(Upgrades!$U$7,F348),1)*IF(Upgrades!$T$8="Heliopause",POWER(Upgrades!$U$8,G348),1)*IF(Upgrades!$T$9="Heliopause",POWER(Upgrades!$U$9,H348),1)*IF(Upgrades!$T$10="Heliopause",POWER(Upgrades!$U$10,I348),1)*IF(Upgrades!$T$12="Heliopause",POWER(Upgrades!$U$12,K348),1))+(IF(K348=0,0,(Upgrades!$J$12+K348*Upgrades!$K$12)*POWER(Upgrades!$L$12,K348)))*(IF(Upgrades!$T$6="First Photons",POWER(Upgrades!$U$6,E348),1)*IF(Upgrades!$T$7="First Photons",POWER(Upgrades!$U$7,F348),1)*IF(Upgrades!$T$8="First Photons",POWER(Upgrades!$U$8,G348),1)*IF(Upgrades!$T$9="First Photons",POWER(Upgrades!$U$9,H348),1)*IF(Upgrades!$T$10="First Photons",POWER(Upgrades!$U$10,I348),1)*IF(Upgrades!$T$11="First Photons",POWER(Upgrades!$U$11,J348),1)))*POWER(Upgrades!$Q$6,E348)*POWER(Upgrades!$Q$7,F348)*POWER(Upgrades!$Q$8,G348)*POWER(Upgrades!$Q$9,H348)*POWER(Upgrades!$Q$10,I348)*POWER(Upgrades!$Q$11,J348)*POWER(Upgrades!$Q$12,K348)</f>
        <v/>
      </c>
      <c r="N348" s="28">
        <f>((IF(E348=0,0,(Upgrades!$G$6+E348*Upgrades!$H$6)*POWER(Upgrades!$I$6,E348)))*(IF(Upgrades!$T$7="Solar Wind",POWER(Upgrades!$U$7,F348),1)*IF(Upgrades!$T$8="Solar Wind",POWER(Upgrades!$U$8,G348),1)*IF(Upgrades!$T$9="Solar Wind",POWER(Upgrades!$U$9,H348),1)*IF(Upgrades!$T$10="Solar Wind",POWER(Upgrades!$U$10,I348),1)*IF(Upgrades!$T$11="Solar Wind",POWER(Upgrades!$U$11,J348),1)*IF(Upgrades!$T$12="Solar Wind",POWER(Upgrades!$U$12,K348),1))+(IF(F348=0,0,(Upgrades!$G$7+F348*Upgrades!$H$7)*POWER(Upgrades!$I$7,F348)))*(IF(Upgrades!$T$6="Asteroid Belt",POWER(Upgrades!$U$6,E348),1)*IF(Upgrades!$T$8="Asteroid Belt",POWER(Upgrades!$U$8,G348),1)*IF(Upgrades!$T$9="Asteroid Belt",POWER(Upgrades!$U$9,H348),1)*IF(Upgrades!$T$10="Asteroid Belt",POWER(Upgrades!$U$10,I348),1)*IF(Upgrades!$T$11="Asteroid Belt",POWER(Upgrades!$U$11,J348),1)*IF(Upgrades!$T$12="Asteroid Belt",POWER(Upgrades!$U$12,K348),1))+(IF(G348=0,0,(Upgrades!$G$8+G348*Upgrades!$H$8)*POWER(Upgrades!$I$8,G348)))*(IF(Upgrades!$T$6="Stellar Coupling",POWER(Upgrades!$U$6,E348),1)*IF(Upgrades!$T$7="Stellar Coupling",POWER(Upgrades!$U$7,F348),1)*IF(Upgrades!$T$9="Stellar Coupling",POWER(Upgrades!$U$9,H348),1)*IF(Upgrades!$T$10="Stellar Coupling",POWER(Upgrades!$U$10,I348),1)*IF(Upgrades!$T$11="Stellar Coupling",POWER(Upgrades!$U$11,J348),1)*IF(Upgrades!$T$12="Stellar Coupling",POWER(Upgrades!$U$12,K348),1))+(IF(H348=0,0,(Upgrades!$G$9+H348*Upgrades!$H$9)*POWER(Upgrades!$I$9,H348)))*(IF(Upgrades!$T$6="Magnetosphere",POWER(Upgrades!$U$6,E348),1)*IF(Upgrades!$T$7="Magnetosphere",POWER(Upgrades!$U$7,F348),1)*IF(Upgrades!$T$8="Magnetosphere",POWER(Upgrades!$U$8,G348),1)*IF(Upgrades!$T$10="Magnetosphere",POWER(Upgrades!$U$10,I348),1)*IF(Upgrades!$T$11="Magnetosphere",POWER(Upgrades!$U$11,J348),1)*IF(Upgrades!$T$12="Magnetosphere",POWER(Upgrades!$U$12,K348),1))+(IF(I348=0,0,(Upgrades!$G$10+I348*Upgrades!$H$10)*POWER(Upgrades!$I$10,I348)))*(IF(Upgrades!$T$6="Orbital Resonance",POWER(Upgrades!$U$6,E348),1)*IF(Upgrades!$T$7="Orbital Resonance",POWER(Upgrades!$U$7,F348),1)*IF(Upgrades!$T$8="Orbital Resonance",POWER(Upgrades!$U$8,G348),1)*IF(Upgrades!$T$9="Orbital Resonance",POWER(Upgrades!$U$9,H348),1)*IF(Upgrades!$T$11="Orbital Resonance",POWER(Upgrades!$U$11,J348),1)*IF(Upgrades!$T$12="Orbital Resonance",POWER(Upgrades!$U$12,K348),1))+(IF(J348=0,0,(Upgrades!$G$11+J348*Upgrades!$H$11)*POWER(Upgrades!$I$11,J348)))*(IF(Upgrades!$T$6="Heliopause",POWER(Upgrades!$U$6,E348),1)*IF(Upgrades!$T$7="Heliopause",POWER(Upgrades!$U$7,F348),1)*IF(Upgrades!$T$8="Heliopause",POWER(Upgrades!$U$8,G348),1)*IF(Upgrades!$T$9="Heliopause",POWER(Upgrades!$U$9,H348),1)*IF(Upgrades!$T$10="Heliopause",POWER(Upgrades!$U$10,I348),1)*IF(Upgrades!$T$12="Heliopause",POWER(Upgrades!$U$12,K348),1))+(IF(K348=0,0,(Upgrades!$G$12+K348*Upgrades!$H$12)*POWER(Upgrades!$I$12,K348)))*(IF(Upgrades!$T$6="First Photons",POWER(Upgrades!$U$6,E348),1)*IF(Upgrades!$T$7="First Photons",POWER(Upgrades!$U$7,F348),1)*IF(Upgrades!$T$8="First Photons",POWER(Upgrades!$U$8,G348),1)*IF(Upgrades!$T$9="First Photons",POWER(Upgrades!$U$9,H348),1)*IF(Upgrades!$T$10="First Photons",POWER(Upgrades!$U$10,I348),1)*IF(Upgrades!$T$11="First Photons",POWER(Upgrades!$U$11,J348),1)))*POWER(Upgrades!$P$6,E348)*POWER(Upgrades!$P$7,F348)*POWER(Upgrades!$P$8,G348)*POWER(Upgrades!$P$9,H348)*POWER(Upgrades!$P$10,I348)*POWER(Upgrades!$P$11,J348)*POWER(Upgrades!$P$12,K348)</f>
        <v/>
      </c>
      <c r="O348" s="28">
        <f>((IF(E348=0,0,(Upgrades!$M$6+E348*Upgrades!$N$6)*POWER(Upgrades!$O$6,E348)))*(IF(Upgrades!$T$7="Solar Wind",POWER(Upgrades!$U$7,F348),1)*IF(Upgrades!$T$8="Solar Wind",POWER(Upgrades!$U$8,G348),1)*IF(Upgrades!$T$9="Solar Wind",POWER(Upgrades!$U$9,H348),1)*IF(Upgrades!$T$10="Solar Wind",POWER(Upgrades!$U$10,I348),1)*IF(Upgrades!$T$11="Solar Wind",POWER(Upgrades!$U$11,J348),1)*IF(Upgrades!$T$12="Solar Wind",POWER(Upgrades!$U$12,K348),1))+(IF(F348=0,0,(Upgrades!$M$7+F348*Upgrades!$N$7)*POWER(Upgrades!$O$7,F348)))*(IF(Upgrades!$T$6="Asteroid Belt",POWER(Upgrades!$U$6,E348),1)*IF(Upgrades!$T$8="Asteroid Belt",POWER(Upgrades!$U$8,G348),1)*IF(Upgrades!$T$9="Asteroid Belt",POWER(Upgrades!$U$9,H348),1)*IF(Upgrades!$T$10="Asteroid Belt",POWER(Upgrades!$U$10,I348),1)*IF(Upgrades!$T$11="Asteroid Belt",POWER(Upgrades!$U$11,J348),1)*IF(Upgrades!$T$12="Asteroid Belt",POWER(Upgrades!$U$12,K348),1))+(IF(G348=0,0,(Upgrades!$M$8+G348*Upgrades!$N$8)*POWER(Upgrades!$O$8,G348)))*(IF(Upgrades!$T$6="Stellar Coupling",POWER(Upgrades!$U$6,E348),1)*IF(Upgrades!$T$7="Stellar Coupling",POWER(Upgrades!$U$7,F348),1)*IF(Upgrades!$T$9="Stellar Coupling",POWER(Upgrades!$U$9,H348),1)*IF(Upgrades!$T$10="Stellar Coupling",POWER(Upgrades!$U$10,I348),1)*IF(Upgrades!$T$11="Stellar Coupling",POWER(Upgrades!$U$11,J348),1)*IF(Upgrades!$T$12="Stellar Coupling",POWER(Upgrades!$U$12,K348),1))+(IF(H348=0,0,(Upgrades!$M$9+H348*Upgrades!$N$9)*POWER(Upgrades!$O$9,H348)))*(IF(Upgrades!$T$6="Magnetosphere",POWER(Upgrades!$U$6,E348),1)*IF(Upgrades!$T$7="Magnetosphere",POWER(Upgrades!$U$7,F348),1)*IF(Upgrades!$T$8="Magnetosphere",POWER(Upgrades!$U$8,G348),1)*IF(Upgrades!$T$10="Magnetosphere",POWER(Upgrades!$U$10,I348),1)*IF(Upgrades!$T$11="Magnetosphere",POWER(Upgrades!$U$11,J348),1)*IF(Upgrades!$T$12="Magnetosphere",POWER(Upgrades!$U$12,K348),1))+(IF(I348=0,0,(Upgrades!$M$10+I348*Upgrades!$N$10)*POWER(Upgrades!$O$10,I348)))*(IF(Upgrades!$T$6="Orbital Resonance",POWER(Upgrades!$U$6,E348),1)*IF(Upgrades!$T$7="Orbital Resonance",POWER(Upgrades!$U$7,F348),1)*IF(Upgrades!$T$8="Orbital Resonance",POWER(Upgrades!$U$8,G348),1)*IF(Upgrades!$T$9="Orbital Resonance",POWER(Upgrades!$U$9,H348),1)*IF(Upgrades!$T$11="Orbital Resonance",POWER(Upgrades!$U$11,J348),1)*IF(Upgrades!$T$12="Orbital Resonance",POWER(Upgrades!$U$12,K348),1))+(IF(J348=0,0,(Upgrades!$M$11+J348*Upgrades!$N$11)*POWER(Upgrades!$O$11,J348)))*(IF(Upgrades!$T$6="Heliopause",POWER(Upgrades!$U$6,E348),1)*IF(Upgrades!$T$7="Heliopause",POWER(Upgrades!$U$7,F348),1)*IF(Upgrades!$T$8="Heliopause",POWER(Upgrades!$U$8,G348),1)*IF(Upgrades!$T$9="Heliopause",POWER(Upgrades!$U$9,H348),1)*IF(Upgrades!$T$10="Heliopause",POWER(Upgrades!$U$10,I348),1)*IF(Upgrades!$T$12="Heliopause",POWER(Upgrades!$U$12,K348),1))+(IF(K348=0,0,(Upgrades!$M$12+K348*Upgrades!$N$12)*POWER(Upgrades!$O$12,K348)))*(IF(Upgrades!$T$6="First Photons",POWER(Upgrades!$U$6,E348),1)*IF(Upgrades!$T$7="First Photons",POWER(Upgrades!$U$7,F348),1)*IF(Upgrades!$T$8="First Photons",POWER(Upgrades!$U$8,G348),1)*IF(Upgrades!$T$9="First Photons",POWER(Upgrades!$U$9,H348),1)*IF(Upgrades!$T$10="First Photons",POWER(Upgrades!$U$10,I348),1)*IF(Upgrades!$T$11="First Photons",POWER(Upgrades!$U$11,J348),1)))*POWER(Upgrades!$R$6,E348)*POWER(Upgrades!$R$7,F348)*POWER(Upgrades!$R$8,G348)*POWER(Upgrades!$R$9,H348)*POWER(Upgrades!$R$10,I348)*POWER(Upgrades!$R$11,J348)*POWER(Upgrades!$R$12,K348)</f>
        <v/>
      </c>
      <c r="P348" s="27">
        <f>IF(L348=1,0,M348*Parameters!$B$10/60*Parameters!$B$11*10)</f>
        <v/>
      </c>
      <c r="Q348" s="27">
        <f>IF(L348=1,0,O348*M348*10)</f>
        <v/>
      </c>
      <c r="R348" s="27">
        <f>IF(L348=1,0,N348*10)</f>
        <v/>
      </c>
      <c r="S348" s="27">
        <f>P348+Q348+R348</f>
        <v/>
      </c>
      <c r="T348" s="22">
        <f>C348+S348</f>
        <v/>
      </c>
      <c r="U348" s="33">
        <f>AX348</f>
        <v/>
      </c>
      <c r="V348" s="22">
        <f>IF(U348="",0,IF(U348="transition",0,IF(U348="SW",AG348,IF(U348="AB",AH348,IF(U348="SC",AI348,IF(U348="Mag",AJ348,IF(U348="OR",AK348,IF(U348="HP",AL348,IF(U348="FP",AM348,0)))))))))</f>
        <v/>
      </c>
      <c r="W348" s="27">
        <f>IF(U348="OR",Upgrades!$F$10,IF(U348="HP",Upgrades!$F$11,IF(U348="transition",-Parameters!$B$18,0)))</f>
        <v/>
      </c>
      <c r="X348" s="22">
        <f>T348-V348</f>
        <v/>
      </c>
      <c r="Y348" s="30">
        <f>M348*Parameters!$B$10/60*Parameters!$B$11+O348*M348+N348</f>
        <v/>
      </c>
      <c r="Z348" s="34">
        <f>IF(U348="transition","→ Tier 2 (Stellar Neighborhood)",IF(U348="FP","First Photons — light begins, system quickens",IF(U348="HP","Heliopause acquired",IF(U348="OR","Orbital Resonance — passive multiplier active",IF(AND(AO348=1,L348=0,AN348&lt;&gt;1),"Cohesion ready (waiting on completionist upgrades)","")))))</f>
        <v/>
      </c>
      <c r="AA348" s="27">
        <f>(IF(E348=0,0,(Upgrades!$G$6+E348*Upgrades!$H$6)*POWER(Upgrades!$I$6,E348)))*(IF(Upgrades!$T$7="Solar Wind",POWER(Upgrades!$U$7,F348),1)*IF(Upgrades!$T$8="Solar Wind",POWER(Upgrades!$U$8,G348),1)*IF(Upgrades!$T$9="Solar Wind",POWER(Upgrades!$U$9,H348),1)*IF(Upgrades!$T$10="Solar Wind",POWER(Upgrades!$U$10,I348),1)*IF(Upgrades!$T$11="Solar Wind",POWER(Upgrades!$U$11,J348),1)*IF(Upgrades!$T$12="Solar Wind",POWER(Upgrades!$U$12,K348),1))*POWER(Upgrades!$P$6,E348)*POWER(Upgrades!$P$7,F348)*POWER(Upgrades!$P$8,G348)*POWER(Upgrades!$P$9,H348)*POWER(Upgrades!$P$10,I348)*POWER(Upgrades!$P$11,J348)*POWER(Upgrades!$P$12,K348)*60</f>
        <v/>
      </c>
      <c r="AB348" s="27">
        <f>(IF(F348=0,0,(Upgrades!$G$7+F348*Upgrades!$H$7)*POWER(Upgrades!$I$7,F348)))*(IF(Upgrades!$T$6="Asteroid Belt",POWER(Upgrades!$U$6,E348),1)*IF(Upgrades!$T$8="Asteroid Belt",POWER(Upgrades!$U$8,G348),1)*IF(Upgrades!$T$9="Asteroid Belt",POWER(Upgrades!$U$9,H348),1)*IF(Upgrades!$T$10="Asteroid Belt",POWER(Upgrades!$U$10,I348),1)*IF(Upgrades!$T$11="Asteroid Belt",POWER(Upgrades!$U$11,J348),1)*IF(Upgrades!$T$12="Asteroid Belt",POWER(Upgrades!$U$12,K348),1))*POWER(Upgrades!$P$6,E348)*POWER(Upgrades!$P$7,F348)*POWER(Upgrades!$P$8,G348)*POWER(Upgrades!$P$9,H348)*POWER(Upgrades!$P$10,I348)*POWER(Upgrades!$P$11,J348)*POWER(Upgrades!$P$12,K348)*60</f>
        <v/>
      </c>
      <c r="AC348" s="27">
        <f>(IF(G348=0,0,(Upgrades!$J$8+G348*Upgrades!$K$8)*POWER(Upgrades!$L$8,G348)))*(IF(Upgrades!$T$6="Stellar Coupling",POWER(Upgrades!$U$6,E348),1)*IF(Upgrades!$T$7="Stellar Coupling",POWER(Upgrades!$U$7,F348),1)*IF(Upgrades!$T$9="Stellar Coupling",POWER(Upgrades!$U$9,H348),1)*IF(Upgrades!$T$10="Stellar Coupling",POWER(Upgrades!$U$10,I348),1)*IF(Upgrades!$T$11="Stellar Coupling",POWER(Upgrades!$U$11,J348),1)*IF(Upgrades!$T$12="Stellar Coupling",POWER(Upgrades!$U$12,K348),1))*POWER(Upgrades!$Q$6,E348)*POWER(Upgrades!$Q$7,F348)*POWER(Upgrades!$Q$8,G348)*POWER(Upgrades!$Q$9,H348)*POWER(Upgrades!$Q$10,I348)*POWER(Upgrades!$Q$11,J348)*POWER(Upgrades!$Q$12,K348)*Parameters!$B$10*Parameters!$B$11</f>
        <v/>
      </c>
      <c r="AD348" s="27">
        <f>(IF(H348=0,0,(Upgrades!$G$9+H348*Upgrades!$H$9)*POWER(Upgrades!$I$9,H348)))*(IF(Upgrades!$T$6="Magnetosphere",POWER(Upgrades!$U$6,E348),1)*IF(Upgrades!$T$7="Magnetosphere",POWER(Upgrades!$U$7,F348),1)*IF(Upgrades!$T$8="Magnetosphere",POWER(Upgrades!$U$8,G348),1)*IF(Upgrades!$T$10="Magnetosphere",POWER(Upgrades!$U$10,I348),1)*IF(Upgrades!$T$11="Magnetosphere",POWER(Upgrades!$U$11,J348),1)*IF(Upgrades!$T$12="Magnetosphere",POWER(Upgrades!$U$12,K348),1))*POWER(Upgrades!$P$6,E348)*POWER(Upgrades!$P$7,F348)*POWER(Upgrades!$P$8,G348)*POWER(Upgrades!$P$9,H348)*POWER(Upgrades!$P$10,I348)*POWER(Upgrades!$P$11,J348)*POWER(Upgrades!$P$12,K348)*60</f>
        <v/>
      </c>
      <c r="AE348" s="27">
        <f>(IF(K348=0,0,(Upgrades!$G$12+K348*Upgrades!$H$12)*POWER(Upgrades!$I$12,K348)))*(IF(Upgrades!$T$6="First Photons",POWER(Upgrades!$U$6,E348),1)*IF(Upgrades!$T$7="First Photons",POWER(Upgrades!$U$7,F348),1)*IF(Upgrades!$T$8="First Photons",POWER(Upgrades!$U$8,G348),1)*IF(Upgrades!$T$9="First Photons",POWER(Upgrades!$U$9,H348),1)*IF(Upgrades!$T$10="First Photons",POWER(Upgrades!$U$10,I348),1)*IF(Upgrades!$T$11="First Photons",POWER(Upgrades!$U$11,J348),1))*POWER(Upgrades!$P$6,E348)*POWER(Upgrades!$P$7,F348)*POWER(Upgrades!$P$8,G348)*POWER(Upgrades!$P$9,H348)*POWER(Upgrades!$P$10,I348)*POWER(Upgrades!$P$11,J348)*POWER(Upgrades!$P$12,K348)*60</f>
        <v/>
      </c>
      <c r="AF348" s="27">
        <f>Parameters!$B$9*POWER(Upgrades!$Q$6,E348)*POWER(Upgrades!$Q$7,F348)*POWER(Upgrades!$Q$8,G348)*POWER(Upgrades!$Q$9,H348)*POWER(Upgrades!$Q$10,I348)*POWER(Upgrades!$Q$11,J348)*POWER(Upgrades!$Q$12,K348)*(Parameters!$B$10*Parameters!$B$11+O348*60)</f>
        <v/>
      </c>
      <c r="AG348" s="22">
        <f>IF(E348&gt;=Upgrades!$E$6,"",Upgrades!$C$6*POWER(Upgrades!$D$6,E348))</f>
        <v/>
      </c>
      <c r="AH348" s="22">
        <f>IF(F348&gt;=Upgrades!$E$7,"",Upgrades!$C$7*POWER(Upgrades!$D$7,F348))</f>
        <v/>
      </c>
      <c r="AI348" s="22">
        <f>IF(G348&gt;=Upgrades!$E$8,"",Upgrades!$C$8*POWER(Upgrades!$D$8,G348))</f>
        <v/>
      </c>
      <c r="AJ348" s="22">
        <f>IF(H348&gt;=Upgrades!$E$9,"",Upgrades!$C$9*POWER(Upgrades!$D$9,H348))</f>
        <v/>
      </c>
      <c r="AK348" s="22">
        <f>IF(I348&gt;=Upgrades!$E$10,"",Upgrades!$C$10*POWER(Upgrades!$D$10,I348))</f>
        <v/>
      </c>
      <c r="AL348" s="22">
        <f>IF(J348&gt;=Upgrades!$E$11,"",Upgrades!$C$11*POWER(Upgrades!$D$11,J348))</f>
        <v/>
      </c>
      <c r="AM348" s="22">
        <f>IF(K348&gt;=Upgrades!$E$12,"",Upgrades!$C$12*POWER(Upgrades!$D$12,K348))</f>
        <v/>
      </c>
      <c r="AN348" s="26">
        <f>IF(AND(D348&gt;=Parameters!$B$18,(H348&gt;=Upgrades!$E$9)*(K348&gt;=Upgrades!$E$12)=1,L348=0),1,"")</f>
        <v/>
      </c>
      <c r="AO348" s="26">
        <f>IF(AND(D348&gt;=Parameters!$B$18,L348=0),1,"")</f>
        <v/>
      </c>
      <c r="AP348" s="22">
        <f>MIN(IF(ISNUMBER(AK348),AK348,9E15),IF(ISNUMBER(AL348),AL348,9E15),IF(ISNUMBER(AM348),AM348,9E15))</f>
        <v/>
      </c>
      <c r="AQ348" s="22">
        <f>MIN(IF(ISNUMBER(AG348),AG348,9E15),IF(ISNUMBER(AH348),AH348,9E15),IF(ISNUMBER(AI348),AI348,9E15),IF(ISNUMBER(AJ348),AJ348,9E15))</f>
        <v/>
      </c>
      <c r="AR348" s="29">
        <f>IF(AW348&gt;Parameters!$B$21*(MAX(IF(AND(NOT(AND(AO348=1,AN348&lt;&gt;1)),ISNUMBER(AG348),AG348&lt;=T348),AS348,0),IF(AND(NOT(AND(AO348=1,AN348&lt;&gt;1)),ISNUMBER(AH348),AH348&lt;=T348),AT348,0),IF(AND(NOT(AND(AO348=1,AN348&lt;&gt;1)),ISNUMBER(AI348),AI348&lt;=T348),AU348,0),IF(AND(ISNUMBER(AJ348),AJ348&lt;=T348),AV348,0))),TRUE,FALSE)</f>
        <v/>
      </c>
      <c r="AS348" s="32">
        <f>IFERROR(Upgrades!$H$6*(POWER(Upgrades!$P$6,E348)*POWER(Upgrades!$P$7,F348)*POWER(Upgrades!$P$8,G348)*POWER(Upgrades!$P$9,H348)*POWER(Upgrades!$P$10,I348)*POWER(Upgrades!$P$11,J348)*POWER(Upgrades!$P$12,K348))*(IF(Upgrades!$T$7="Solar Wind",POWER(Upgrades!$U$7,F348),1)*IF(Upgrades!$T$8="Solar Wind",POWER(Upgrades!$U$8,G348),1)*IF(Upgrades!$T$9="Solar Wind",POWER(Upgrades!$U$9,H348),1)*IF(Upgrades!$T$10="Solar Wind",POWER(Upgrades!$U$10,I348),1)*IF(Upgrades!$T$11="Solar Wind",POWER(Upgrades!$U$11,J348),1)*IF(Upgrades!$T$12="Solar Wind",POWER(Upgrades!$U$12,K348),1))/AG348,0)</f>
        <v/>
      </c>
      <c r="AT348" s="32">
        <f>IFERROR(Upgrades!$H$7*(POWER(Upgrades!$P$6,E348)*POWER(Upgrades!$P$7,F348)*POWER(Upgrades!$P$8,G348)*POWER(Upgrades!$P$9,H348)*POWER(Upgrades!$P$10,I348)*POWER(Upgrades!$P$11,J348)*POWER(Upgrades!$P$12,K348))*(IF(Upgrades!$T$6="Asteroid Belt",POWER(Upgrades!$U$6,E348),1)*IF(Upgrades!$T$8="Asteroid Belt",POWER(Upgrades!$U$8,G348),1)*IF(Upgrades!$T$9="Asteroid Belt",POWER(Upgrades!$U$9,H348),1)*IF(Upgrades!$T$10="Asteroid Belt",POWER(Upgrades!$U$10,I348),1)*IF(Upgrades!$T$11="Asteroid Belt",POWER(Upgrades!$U$11,J348),1)*IF(Upgrades!$T$12="Asteroid Belt",POWER(Upgrades!$U$12,K348),1))/AH348,0)</f>
        <v/>
      </c>
      <c r="AU348" s="32">
        <f>IFERROR(Upgrades!$K$8*(POWER(Upgrades!$Q$6,E348)*POWER(Upgrades!$Q$7,F348)*POWER(Upgrades!$Q$8,G348)*POWER(Upgrades!$Q$9,H348)*POWER(Upgrades!$Q$10,I348)*POWER(Upgrades!$Q$11,J348)*POWER(Upgrades!$Q$12,K348))*(IF(Upgrades!$T$6="Stellar Coupling",POWER(Upgrades!$U$6,E348),1)*IF(Upgrades!$T$7="Stellar Coupling",POWER(Upgrades!$U$7,F348),1)*IF(Upgrades!$T$9="Stellar Coupling",POWER(Upgrades!$U$9,H348),1)*IF(Upgrades!$T$10="Stellar Coupling",POWER(Upgrades!$U$10,I348),1)*IF(Upgrades!$T$11="Stellar Coupling",POWER(Upgrades!$U$11,J348),1)*IF(Upgrades!$T$12="Stellar Coupling",POWER(Upgrades!$U$12,K348),1))*Parameters!$B$10*Parameters!$B$11/60/AI348,0)</f>
        <v/>
      </c>
      <c r="AV348" s="32">
        <f>IFERROR(Upgrades!$H$9*(POWER(Upgrades!$P$6,E348)*POWER(Upgrades!$P$7,F348)*POWER(Upgrades!$P$8,G348)*POWER(Upgrades!$P$9,H348)*POWER(Upgrades!$P$10,I348)*POWER(Upgrades!$P$11,J348)*POWER(Upgrades!$P$12,K348))*(IF(Upgrades!$T$6="Magnetosphere",POWER(Upgrades!$U$6,E348),1)*IF(Upgrades!$T$7="Magnetosphere",POWER(Upgrades!$U$7,F348),1)*IF(Upgrades!$T$8="Magnetosphere",POWER(Upgrades!$U$8,G348),1)*IF(Upgrades!$T$10="Magnetosphere",POWER(Upgrades!$U$10,I348),1)*IF(Upgrades!$T$11="Magnetosphere",POWER(Upgrades!$U$11,J348),1)*IF(Upgrades!$T$12="Magnetosphere",POWER(Upgrades!$U$12,K348),1))/AJ348,0)</f>
        <v/>
      </c>
      <c r="AW348" s="32">
        <f>MAX(IF(I348&gt;0,0,IFERROR(0.25*N348/Upgrades!$C$10,0)),IF(J348&gt;0,0,IFERROR(0.5*((IF(G348=0,0,(Upgrades!$J$8+G348*Upgrades!$K$8)*POWER(Upgrades!$L$8,G348)))*(IF(Upgrades!$T$6="Stellar Coupling",POWER(Upgrades!$U$6,E348),1)*IF(Upgrades!$T$7="Stellar Coupling",POWER(Upgrades!$U$7,F348),1)*IF(Upgrades!$T$9="Stellar Coupling",POWER(Upgrades!$U$9,H348),1)*IF(Upgrades!$T$10="Stellar Coupling",POWER(Upgrades!$U$10,I348),1)*IF(Upgrades!$T$11="Stellar Coupling",POWER(Upgrades!$U$11,J348),1)*IF(Upgrades!$T$12="Stellar Coupling",POWER(Upgrades!$U$12,K348),1))*(POWER(Upgrades!$Q$6,E348)*POWER(Upgrades!$Q$7,F348)*POWER(Upgrades!$Q$8,G348)*POWER(Upgrades!$Q$9,H348)*POWER(Upgrades!$Q$10,I348)*POWER(Upgrades!$Q$11,J348)*POWER(Upgrades!$Q$12,K348))*Parameters!$B$10*Parameters!$B$11/60)/Upgrades!$C$11,0)),IF(K348&gt;0,0,IFERROR((1.0*(POWER(Upgrades!$P$6,E348)*POWER(Upgrades!$P$7,F348)*POWER(Upgrades!$P$8,G348)*POWER(Upgrades!$P$9,H348)*POWER(Upgrades!$P$10,I348)*POWER(Upgrades!$P$11,J348)*POWER(Upgrades!$P$12,K348))+0.20*M348*Parameters!$B$10*Parameters!$B$11/60)/Upgrades!$C$12,0)),IF(AND(ISNUMBER(AG348),AG348&gt;T348),AS348,0),IF(AND(ISNUMBER(AH348),AH348&gt;T348),AT348,0),IF(AND(ISNUMBER(AI348),AI348&gt;T348),AU348,0),IF(AND(ISNUMBER(AJ348),AJ348&gt;T348),AV348,0))</f>
        <v/>
      </c>
      <c r="AX348" s="29">
        <f>IF(AN348=1,"transition",IF(MIN(IF(AND(I348=0,ISNUMBER(AK348),AK348&lt;=T348),AK348,9E15),IF(AND(J348=0,ISNUMBER(AL348),AL348&lt;=T348),AL348,9E15),IF(AND(K348=0,ISNUMBER(AM348),AM348&lt;=T348),AM348,9E15))&lt;9E15,IF(AND(AND(I348=0,ISNUMBER(AK348),AK348&lt;=T348),AK348=MIN(IF(AND(I348=0,ISNUMBER(AK348),AK348&lt;=T348),AK348,9E15),IF(AND(J348=0,ISNUMBER(AL348),AL348&lt;=T348),AL348,9E15),IF(AND(K348=0,ISNUMBER(AM348),AM348&lt;=T348),AM348,9E15))),"OR",IF(AND(AND(J348=0,ISNUMBER(AL348),AL348&lt;=T348),AL348=MIN(IF(AND(I348=0,ISNUMBER(AK348),AK348&lt;=T348),AK348,9E15),IF(AND(J348=0,ISNUMBER(AL348),AL348&lt;=T348),AL348,9E15),IF(AND(K348=0,ISNUMBER(AM348),AM348&lt;=T348),AM348,9E15))),"HP","FP")),IF(AR348=TRUE,"",IF(MAX(IF(AND(NOT(AND(AO348=1,AN348&lt;&gt;1)),ISNUMBER(AG348),AG348&lt;=T348),AS348,0),IF(AND(NOT(AND(AO348=1,AN348&lt;&gt;1)),ISNUMBER(AH348),AH348&lt;=T348),AT348,0),IF(AND(NOT(AND(AO348=1,AN348&lt;&gt;1)),ISNUMBER(AI348),AI348&lt;=T348),AU348,0),IF(AND(ISNUMBER(AJ348),AJ348&lt;=T348),AV348,0))&lt;=0,"",IF(AND(IF(AND(NOT(AND(AO348=1,AN348&lt;&gt;1)),ISNUMBER(AG348),AG348&lt;=T348),AS348,0)&gt;0,IF(AND(NOT(AND(AO348=1,AN348&lt;&gt;1)),ISNUMBER(AG348),AG348&lt;=T348),AS348,0)=MAX(IF(AND(NOT(AND(AO348=1,AN348&lt;&gt;1)),ISNUMBER(AG348),AG348&lt;=T348),AS348,0),IF(AND(NOT(AND(AO348=1,AN348&lt;&gt;1)),ISNUMBER(AH348),AH348&lt;=T348),AT348,0),IF(AND(NOT(AND(AO348=1,AN348&lt;&gt;1)),ISNUMBER(AI348),AI348&lt;=T348),AU348,0),IF(AND(ISNUMBER(AJ348),AJ348&lt;=T348),AV348,0))),"SW",IF(AND(IF(AND(NOT(AND(AO348=1,AN348&lt;&gt;1)),ISNUMBER(AH348),AH348&lt;=T348),AT348,0)&gt;0,IF(AND(NOT(AND(AO348=1,AN348&lt;&gt;1)),ISNUMBER(AH348),AH348&lt;=T348),AT348,0)=MAX(IF(AND(NOT(AND(AO348=1,AN348&lt;&gt;1)),ISNUMBER(AG348),AG348&lt;=T348),AS348,0),IF(AND(NOT(AND(AO348=1,AN348&lt;&gt;1)),ISNUMBER(AH348),AH348&lt;=T348),AT348,0),IF(AND(NOT(AND(AO348=1,AN348&lt;&gt;1)),ISNUMBER(AI348),AI348&lt;=T348),AU348,0),IF(AND(ISNUMBER(AJ348),AJ348&lt;=T348),AV348,0))),"AB",IF(AND(IF(AND(NOT(AND(AO348=1,AN348&lt;&gt;1)),ISNUMBER(AI348),AI348&lt;=T348),AU348,0)&gt;0,IF(AND(NOT(AND(AO348=1,AN348&lt;&gt;1)),ISNUMBER(AI348),AI348&lt;=T348),AU348,0)=MAX(IF(AND(NOT(AND(AO348=1,AN348&lt;&gt;1)),ISNUMBER(AG348),AG348&lt;=T348),AS348,0),IF(AND(NOT(AND(AO348=1,AN348&lt;&gt;1)),ISNUMBER(AH348),AH348&lt;=T348),AT348,0),IF(AND(NOT(AND(AO348=1,AN348&lt;&gt;1)),ISNUMBER(AI348),AI348&lt;=T348),AU348,0),IF(AND(ISNUMBER(AJ348),AJ348&lt;=T348),AV348,0))),"SC","Mag")))))))</f>
        <v/>
      </c>
    </row>
    <row r="349">
      <c r="A349" s="26" t="n">
        <v>344</v>
      </c>
      <c r="B349" s="27">
        <f>A349*10/60</f>
        <v/>
      </c>
      <c r="C349" s="22">
        <f>X348</f>
        <v/>
      </c>
      <c r="D349" s="27">
        <f>D348+W348</f>
        <v/>
      </c>
      <c r="E349" s="26">
        <f>E348+IF(U348="SW",1,0)</f>
        <v/>
      </c>
      <c r="F349" s="26">
        <f>F348+IF(U348="AB",1,0)</f>
        <v/>
      </c>
      <c r="G349" s="26">
        <f>G348+IF(U348="SC",1,0)</f>
        <v/>
      </c>
      <c r="H349" s="26">
        <f>H348+IF(U348="Mag",1,0)</f>
        <v/>
      </c>
      <c r="I349" s="26">
        <f>MAX(I348,IF(U348="OR",1,0))</f>
        <v/>
      </c>
      <c r="J349" s="26">
        <f>MAX(J348,IF(U348="HP",1,0))</f>
        <v/>
      </c>
      <c r="K349" s="26">
        <f>MAX(K348,IF(U348="FP",1,0))</f>
        <v/>
      </c>
      <c r="L349" s="26">
        <f>MAX(L348,IF(U348="transition",1,0))</f>
        <v/>
      </c>
      <c r="M349" s="28">
        <f>(Parameters!$B$9+(IF(E349=0,0,(Upgrades!$J$6+E349*Upgrades!$K$6)*POWER(Upgrades!$L$6,E349)))*(IF(Upgrades!$T$7="Solar Wind",POWER(Upgrades!$U$7,F349),1)*IF(Upgrades!$T$8="Solar Wind",POWER(Upgrades!$U$8,G349),1)*IF(Upgrades!$T$9="Solar Wind",POWER(Upgrades!$U$9,H349),1)*IF(Upgrades!$T$10="Solar Wind",POWER(Upgrades!$U$10,I349),1)*IF(Upgrades!$T$11="Solar Wind",POWER(Upgrades!$U$11,J349),1)*IF(Upgrades!$T$12="Solar Wind",POWER(Upgrades!$U$12,K349),1))+(IF(F349=0,0,(Upgrades!$J$7+F349*Upgrades!$K$7)*POWER(Upgrades!$L$7,F349)))*(IF(Upgrades!$T$6="Asteroid Belt",POWER(Upgrades!$U$6,E349),1)*IF(Upgrades!$T$8="Asteroid Belt",POWER(Upgrades!$U$8,G349),1)*IF(Upgrades!$T$9="Asteroid Belt",POWER(Upgrades!$U$9,H349),1)*IF(Upgrades!$T$10="Asteroid Belt",POWER(Upgrades!$U$10,I349),1)*IF(Upgrades!$T$11="Asteroid Belt",POWER(Upgrades!$U$11,J349),1)*IF(Upgrades!$T$12="Asteroid Belt",POWER(Upgrades!$U$12,K349),1))+(IF(G349=0,0,(Upgrades!$J$8+G349*Upgrades!$K$8)*POWER(Upgrades!$L$8,G349)))*(IF(Upgrades!$T$6="Stellar Coupling",POWER(Upgrades!$U$6,E349),1)*IF(Upgrades!$T$7="Stellar Coupling",POWER(Upgrades!$U$7,F349),1)*IF(Upgrades!$T$9="Stellar Coupling",POWER(Upgrades!$U$9,H349),1)*IF(Upgrades!$T$10="Stellar Coupling",POWER(Upgrades!$U$10,I349),1)*IF(Upgrades!$T$11="Stellar Coupling",POWER(Upgrades!$U$11,J349),1)*IF(Upgrades!$T$12="Stellar Coupling",POWER(Upgrades!$U$12,K349),1))+(IF(H349=0,0,(Upgrades!$J$9+H349*Upgrades!$K$9)*POWER(Upgrades!$L$9,H349)))*(IF(Upgrades!$T$6="Magnetosphere",POWER(Upgrades!$U$6,E349),1)*IF(Upgrades!$T$7="Magnetosphere",POWER(Upgrades!$U$7,F349),1)*IF(Upgrades!$T$8="Magnetosphere",POWER(Upgrades!$U$8,G349),1)*IF(Upgrades!$T$10="Magnetosphere",POWER(Upgrades!$U$10,I349),1)*IF(Upgrades!$T$11="Magnetosphere",POWER(Upgrades!$U$11,J349),1)*IF(Upgrades!$T$12="Magnetosphere",POWER(Upgrades!$U$12,K349),1))+(IF(I349=0,0,(Upgrades!$J$10+I349*Upgrades!$K$10)*POWER(Upgrades!$L$10,I349)))*(IF(Upgrades!$T$6="Orbital Resonance",POWER(Upgrades!$U$6,E349),1)*IF(Upgrades!$T$7="Orbital Resonance",POWER(Upgrades!$U$7,F349),1)*IF(Upgrades!$T$8="Orbital Resonance",POWER(Upgrades!$U$8,G349),1)*IF(Upgrades!$T$9="Orbital Resonance",POWER(Upgrades!$U$9,H349),1)*IF(Upgrades!$T$11="Orbital Resonance",POWER(Upgrades!$U$11,J349),1)*IF(Upgrades!$T$12="Orbital Resonance",POWER(Upgrades!$U$12,K349),1))+(IF(J349=0,0,(Upgrades!$J$11+J349*Upgrades!$K$11)*POWER(Upgrades!$L$11,J349)))*(IF(Upgrades!$T$6="Heliopause",POWER(Upgrades!$U$6,E349),1)*IF(Upgrades!$T$7="Heliopause",POWER(Upgrades!$U$7,F349),1)*IF(Upgrades!$T$8="Heliopause",POWER(Upgrades!$U$8,G349),1)*IF(Upgrades!$T$9="Heliopause",POWER(Upgrades!$U$9,H349),1)*IF(Upgrades!$T$10="Heliopause",POWER(Upgrades!$U$10,I349),1)*IF(Upgrades!$T$12="Heliopause",POWER(Upgrades!$U$12,K349),1))+(IF(K349=0,0,(Upgrades!$J$12+K349*Upgrades!$K$12)*POWER(Upgrades!$L$12,K349)))*(IF(Upgrades!$T$6="First Photons",POWER(Upgrades!$U$6,E349),1)*IF(Upgrades!$T$7="First Photons",POWER(Upgrades!$U$7,F349),1)*IF(Upgrades!$T$8="First Photons",POWER(Upgrades!$U$8,G349),1)*IF(Upgrades!$T$9="First Photons",POWER(Upgrades!$U$9,H349),1)*IF(Upgrades!$T$10="First Photons",POWER(Upgrades!$U$10,I349),1)*IF(Upgrades!$T$11="First Photons",POWER(Upgrades!$U$11,J349),1)))*POWER(Upgrades!$Q$6,E349)*POWER(Upgrades!$Q$7,F349)*POWER(Upgrades!$Q$8,G349)*POWER(Upgrades!$Q$9,H349)*POWER(Upgrades!$Q$10,I349)*POWER(Upgrades!$Q$11,J349)*POWER(Upgrades!$Q$12,K349)</f>
        <v/>
      </c>
      <c r="N349" s="28">
        <f>((IF(E349=0,0,(Upgrades!$G$6+E349*Upgrades!$H$6)*POWER(Upgrades!$I$6,E349)))*(IF(Upgrades!$T$7="Solar Wind",POWER(Upgrades!$U$7,F349),1)*IF(Upgrades!$T$8="Solar Wind",POWER(Upgrades!$U$8,G349),1)*IF(Upgrades!$T$9="Solar Wind",POWER(Upgrades!$U$9,H349),1)*IF(Upgrades!$T$10="Solar Wind",POWER(Upgrades!$U$10,I349),1)*IF(Upgrades!$T$11="Solar Wind",POWER(Upgrades!$U$11,J349),1)*IF(Upgrades!$T$12="Solar Wind",POWER(Upgrades!$U$12,K349),1))+(IF(F349=0,0,(Upgrades!$G$7+F349*Upgrades!$H$7)*POWER(Upgrades!$I$7,F349)))*(IF(Upgrades!$T$6="Asteroid Belt",POWER(Upgrades!$U$6,E349),1)*IF(Upgrades!$T$8="Asteroid Belt",POWER(Upgrades!$U$8,G349),1)*IF(Upgrades!$T$9="Asteroid Belt",POWER(Upgrades!$U$9,H349),1)*IF(Upgrades!$T$10="Asteroid Belt",POWER(Upgrades!$U$10,I349),1)*IF(Upgrades!$T$11="Asteroid Belt",POWER(Upgrades!$U$11,J349),1)*IF(Upgrades!$T$12="Asteroid Belt",POWER(Upgrades!$U$12,K349),1))+(IF(G349=0,0,(Upgrades!$G$8+G349*Upgrades!$H$8)*POWER(Upgrades!$I$8,G349)))*(IF(Upgrades!$T$6="Stellar Coupling",POWER(Upgrades!$U$6,E349),1)*IF(Upgrades!$T$7="Stellar Coupling",POWER(Upgrades!$U$7,F349),1)*IF(Upgrades!$T$9="Stellar Coupling",POWER(Upgrades!$U$9,H349),1)*IF(Upgrades!$T$10="Stellar Coupling",POWER(Upgrades!$U$10,I349),1)*IF(Upgrades!$T$11="Stellar Coupling",POWER(Upgrades!$U$11,J349),1)*IF(Upgrades!$T$12="Stellar Coupling",POWER(Upgrades!$U$12,K349),1))+(IF(H349=0,0,(Upgrades!$G$9+H349*Upgrades!$H$9)*POWER(Upgrades!$I$9,H349)))*(IF(Upgrades!$T$6="Magnetosphere",POWER(Upgrades!$U$6,E349),1)*IF(Upgrades!$T$7="Magnetosphere",POWER(Upgrades!$U$7,F349),1)*IF(Upgrades!$T$8="Magnetosphere",POWER(Upgrades!$U$8,G349),1)*IF(Upgrades!$T$10="Magnetosphere",POWER(Upgrades!$U$10,I349),1)*IF(Upgrades!$T$11="Magnetosphere",POWER(Upgrades!$U$11,J349),1)*IF(Upgrades!$T$12="Magnetosphere",POWER(Upgrades!$U$12,K349),1))+(IF(I349=0,0,(Upgrades!$G$10+I349*Upgrades!$H$10)*POWER(Upgrades!$I$10,I349)))*(IF(Upgrades!$T$6="Orbital Resonance",POWER(Upgrades!$U$6,E349),1)*IF(Upgrades!$T$7="Orbital Resonance",POWER(Upgrades!$U$7,F349),1)*IF(Upgrades!$T$8="Orbital Resonance",POWER(Upgrades!$U$8,G349),1)*IF(Upgrades!$T$9="Orbital Resonance",POWER(Upgrades!$U$9,H349),1)*IF(Upgrades!$T$11="Orbital Resonance",POWER(Upgrades!$U$11,J349),1)*IF(Upgrades!$T$12="Orbital Resonance",POWER(Upgrades!$U$12,K349),1))+(IF(J349=0,0,(Upgrades!$G$11+J349*Upgrades!$H$11)*POWER(Upgrades!$I$11,J349)))*(IF(Upgrades!$T$6="Heliopause",POWER(Upgrades!$U$6,E349),1)*IF(Upgrades!$T$7="Heliopause",POWER(Upgrades!$U$7,F349),1)*IF(Upgrades!$T$8="Heliopause",POWER(Upgrades!$U$8,G349),1)*IF(Upgrades!$T$9="Heliopause",POWER(Upgrades!$U$9,H349),1)*IF(Upgrades!$T$10="Heliopause",POWER(Upgrades!$U$10,I349),1)*IF(Upgrades!$T$12="Heliopause",POWER(Upgrades!$U$12,K349),1))+(IF(K349=0,0,(Upgrades!$G$12+K349*Upgrades!$H$12)*POWER(Upgrades!$I$12,K349)))*(IF(Upgrades!$T$6="First Photons",POWER(Upgrades!$U$6,E349),1)*IF(Upgrades!$T$7="First Photons",POWER(Upgrades!$U$7,F349),1)*IF(Upgrades!$T$8="First Photons",POWER(Upgrades!$U$8,G349),1)*IF(Upgrades!$T$9="First Photons",POWER(Upgrades!$U$9,H349),1)*IF(Upgrades!$T$10="First Photons",POWER(Upgrades!$U$10,I349),1)*IF(Upgrades!$T$11="First Photons",POWER(Upgrades!$U$11,J349),1)))*POWER(Upgrades!$P$6,E349)*POWER(Upgrades!$P$7,F349)*POWER(Upgrades!$P$8,G349)*POWER(Upgrades!$P$9,H349)*POWER(Upgrades!$P$10,I349)*POWER(Upgrades!$P$11,J349)*POWER(Upgrades!$P$12,K349)</f>
        <v/>
      </c>
      <c r="O349" s="28">
        <f>((IF(E349=0,0,(Upgrades!$M$6+E349*Upgrades!$N$6)*POWER(Upgrades!$O$6,E349)))*(IF(Upgrades!$T$7="Solar Wind",POWER(Upgrades!$U$7,F349),1)*IF(Upgrades!$T$8="Solar Wind",POWER(Upgrades!$U$8,G349),1)*IF(Upgrades!$T$9="Solar Wind",POWER(Upgrades!$U$9,H349),1)*IF(Upgrades!$T$10="Solar Wind",POWER(Upgrades!$U$10,I349),1)*IF(Upgrades!$T$11="Solar Wind",POWER(Upgrades!$U$11,J349),1)*IF(Upgrades!$T$12="Solar Wind",POWER(Upgrades!$U$12,K349),1))+(IF(F349=0,0,(Upgrades!$M$7+F349*Upgrades!$N$7)*POWER(Upgrades!$O$7,F349)))*(IF(Upgrades!$T$6="Asteroid Belt",POWER(Upgrades!$U$6,E349),1)*IF(Upgrades!$T$8="Asteroid Belt",POWER(Upgrades!$U$8,G349),1)*IF(Upgrades!$T$9="Asteroid Belt",POWER(Upgrades!$U$9,H349),1)*IF(Upgrades!$T$10="Asteroid Belt",POWER(Upgrades!$U$10,I349),1)*IF(Upgrades!$T$11="Asteroid Belt",POWER(Upgrades!$U$11,J349),1)*IF(Upgrades!$T$12="Asteroid Belt",POWER(Upgrades!$U$12,K349),1))+(IF(G349=0,0,(Upgrades!$M$8+G349*Upgrades!$N$8)*POWER(Upgrades!$O$8,G349)))*(IF(Upgrades!$T$6="Stellar Coupling",POWER(Upgrades!$U$6,E349),1)*IF(Upgrades!$T$7="Stellar Coupling",POWER(Upgrades!$U$7,F349),1)*IF(Upgrades!$T$9="Stellar Coupling",POWER(Upgrades!$U$9,H349),1)*IF(Upgrades!$T$10="Stellar Coupling",POWER(Upgrades!$U$10,I349),1)*IF(Upgrades!$T$11="Stellar Coupling",POWER(Upgrades!$U$11,J349),1)*IF(Upgrades!$T$12="Stellar Coupling",POWER(Upgrades!$U$12,K349),1))+(IF(H349=0,0,(Upgrades!$M$9+H349*Upgrades!$N$9)*POWER(Upgrades!$O$9,H349)))*(IF(Upgrades!$T$6="Magnetosphere",POWER(Upgrades!$U$6,E349),1)*IF(Upgrades!$T$7="Magnetosphere",POWER(Upgrades!$U$7,F349),1)*IF(Upgrades!$T$8="Magnetosphere",POWER(Upgrades!$U$8,G349),1)*IF(Upgrades!$T$10="Magnetosphere",POWER(Upgrades!$U$10,I349),1)*IF(Upgrades!$T$11="Magnetosphere",POWER(Upgrades!$U$11,J349),1)*IF(Upgrades!$T$12="Magnetosphere",POWER(Upgrades!$U$12,K349),1))+(IF(I349=0,0,(Upgrades!$M$10+I349*Upgrades!$N$10)*POWER(Upgrades!$O$10,I349)))*(IF(Upgrades!$T$6="Orbital Resonance",POWER(Upgrades!$U$6,E349),1)*IF(Upgrades!$T$7="Orbital Resonance",POWER(Upgrades!$U$7,F349),1)*IF(Upgrades!$T$8="Orbital Resonance",POWER(Upgrades!$U$8,G349),1)*IF(Upgrades!$T$9="Orbital Resonance",POWER(Upgrades!$U$9,H349),1)*IF(Upgrades!$T$11="Orbital Resonance",POWER(Upgrades!$U$11,J349),1)*IF(Upgrades!$T$12="Orbital Resonance",POWER(Upgrades!$U$12,K349),1))+(IF(J349=0,0,(Upgrades!$M$11+J349*Upgrades!$N$11)*POWER(Upgrades!$O$11,J349)))*(IF(Upgrades!$T$6="Heliopause",POWER(Upgrades!$U$6,E349),1)*IF(Upgrades!$T$7="Heliopause",POWER(Upgrades!$U$7,F349),1)*IF(Upgrades!$T$8="Heliopause",POWER(Upgrades!$U$8,G349),1)*IF(Upgrades!$T$9="Heliopause",POWER(Upgrades!$U$9,H349),1)*IF(Upgrades!$T$10="Heliopause",POWER(Upgrades!$U$10,I349),1)*IF(Upgrades!$T$12="Heliopause",POWER(Upgrades!$U$12,K349),1))+(IF(K349=0,0,(Upgrades!$M$12+K349*Upgrades!$N$12)*POWER(Upgrades!$O$12,K349)))*(IF(Upgrades!$T$6="First Photons",POWER(Upgrades!$U$6,E349),1)*IF(Upgrades!$T$7="First Photons",POWER(Upgrades!$U$7,F349),1)*IF(Upgrades!$T$8="First Photons",POWER(Upgrades!$U$8,G349),1)*IF(Upgrades!$T$9="First Photons",POWER(Upgrades!$U$9,H349),1)*IF(Upgrades!$T$10="First Photons",POWER(Upgrades!$U$10,I349),1)*IF(Upgrades!$T$11="First Photons",POWER(Upgrades!$U$11,J349),1)))*POWER(Upgrades!$R$6,E349)*POWER(Upgrades!$R$7,F349)*POWER(Upgrades!$R$8,G349)*POWER(Upgrades!$R$9,H349)*POWER(Upgrades!$R$10,I349)*POWER(Upgrades!$R$11,J349)*POWER(Upgrades!$R$12,K349)</f>
        <v/>
      </c>
      <c r="P349" s="27">
        <f>IF(L349=1,0,M349*Parameters!$B$10/60*Parameters!$B$11*10)</f>
        <v/>
      </c>
      <c r="Q349" s="27">
        <f>IF(L349=1,0,O349*M349*10)</f>
        <v/>
      </c>
      <c r="R349" s="27">
        <f>IF(L349=1,0,N349*10)</f>
        <v/>
      </c>
      <c r="S349" s="27">
        <f>P349+Q349+R349</f>
        <v/>
      </c>
      <c r="T349" s="22">
        <f>C349+S349</f>
        <v/>
      </c>
      <c r="U349" s="33">
        <f>AX349</f>
        <v/>
      </c>
      <c r="V349" s="22">
        <f>IF(U349="",0,IF(U349="transition",0,IF(U349="SW",AG349,IF(U349="AB",AH349,IF(U349="SC",AI349,IF(U349="Mag",AJ349,IF(U349="OR",AK349,IF(U349="HP",AL349,IF(U349="FP",AM349,0)))))))))</f>
        <v/>
      </c>
      <c r="W349" s="27">
        <f>IF(U349="OR",Upgrades!$F$10,IF(U349="HP",Upgrades!$F$11,IF(U349="transition",-Parameters!$B$18,0)))</f>
        <v/>
      </c>
      <c r="X349" s="22">
        <f>T349-V349</f>
        <v/>
      </c>
      <c r="Y349" s="30">
        <f>M349*Parameters!$B$10/60*Parameters!$B$11+O349*M349+N349</f>
        <v/>
      </c>
      <c r="Z349" s="34">
        <f>IF(U349="transition","→ Tier 2 (Stellar Neighborhood)",IF(U349="FP","First Photons — light begins, system quickens",IF(U349="HP","Heliopause acquired",IF(U349="OR","Orbital Resonance — passive multiplier active",IF(AND(AO349=1,L349=0,AN349&lt;&gt;1),"Cohesion ready (waiting on completionist upgrades)","")))))</f>
        <v/>
      </c>
      <c r="AA349" s="27">
        <f>(IF(E349=0,0,(Upgrades!$G$6+E349*Upgrades!$H$6)*POWER(Upgrades!$I$6,E349)))*(IF(Upgrades!$T$7="Solar Wind",POWER(Upgrades!$U$7,F349),1)*IF(Upgrades!$T$8="Solar Wind",POWER(Upgrades!$U$8,G349),1)*IF(Upgrades!$T$9="Solar Wind",POWER(Upgrades!$U$9,H349),1)*IF(Upgrades!$T$10="Solar Wind",POWER(Upgrades!$U$10,I349),1)*IF(Upgrades!$T$11="Solar Wind",POWER(Upgrades!$U$11,J349),1)*IF(Upgrades!$T$12="Solar Wind",POWER(Upgrades!$U$12,K349),1))*POWER(Upgrades!$P$6,E349)*POWER(Upgrades!$P$7,F349)*POWER(Upgrades!$P$8,G349)*POWER(Upgrades!$P$9,H349)*POWER(Upgrades!$P$10,I349)*POWER(Upgrades!$P$11,J349)*POWER(Upgrades!$P$12,K349)*60</f>
        <v/>
      </c>
      <c r="AB349" s="27">
        <f>(IF(F349=0,0,(Upgrades!$G$7+F349*Upgrades!$H$7)*POWER(Upgrades!$I$7,F349)))*(IF(Upgrades!$T$6="Asteroid Belt",POWER(Upgrades!$U$6,E349),1)*IF(Upgrades!$T$8="Asteroid Belt",POWER(Upgrades!$U$8,G349),1)*IF(Upgrades!$T$9="Asteroid Belt",POWER(Upgrades!$U$9,H349),1)*IF(Upgrades!$T$10="Asteroid Belt",POWER(Upgrades!$U$10,I349),1)*IF(Upgrades!$T$11="Asteroid Belt",POWER(Upgrades!$U$11,J349),1)*IF(Upgrades!$T$12="Asteroid Belt",POWER(Upgrades!$U$12,K349),1))*POWER(Upgrades!$P$6,E349)*POWER(Upgrades!$P$7,F349)*POWER(Upgrades!$P$8,G349)*POWER(Upgrades!$P$9,H349)*POWER(Upgrades!$P$10,I349)*POWER(Upgrades!$P$11,J349)*POWER(Upgrades!$P$12,K349)*60</f>
        <v/>
      </c>
      <c r="AC349" s="27">
        <f>(IF(G349=0,0,(Upgrades!$J$8+G349*Upgrades!$K$8)*POWER(Upgrades!$L$8,G349)))*(IF(Upgrades!$T$6="Stellar Coupling",POWER(Upgrades!$U$6,E349),1)*IF(Upgrades!$T$7="Stellar Coupling",POWER(Upgrades!$U$7,F349),1)*IF(Upgrades!$T$9="Stellar Coupling",POWER(Upgrades!$U$9,H349),1)*IF(Upgrades!$T$10="Stellar Coupling",POWER(Upgrades!$U$10,I349),1)*IF(Upgrades!$T$11="Stellar Coupling",POWER(Upgrades!$U$11,J349),1)*IF(Upgrades!$T$12="Stellar Coupling",POWER(Upgrades!$U$12,K349),1))*POWER(Upgrades!$Q$6,E349)*POWER(Upgrades!$Q$7,F349)*POWER(Upgrades!$Q$8,G349)*POWER(Upgrades!$Q$9,H349)*POWER(Upgrades!$Q$10,I349)*POWER(Upgrades!$Q$11,J349)*POWER(Upgrades!$Q$12,K349)*Parameters!$B$10*Parameters!$B$11</f>
        <v/>
      </c>
      <c r="AD349" s="27">
        <f>(IF(H349=0,0,(Upgrades!$G$9+H349*Upgrades!$H$9)*POWER(Upgrades!$I$9,H349)))*(IF(Upgrades!$T$6="Magnetosphere",POWER(Upgrades!$U$6,E349),1)*IF(Upgrades!$T$7="Magnetosphere",POWER(Upgrades!$U$7,F349),1)*IF(Upgrades!$T$8="Magnetosphere",POWER(Upgrades!$U$8,G349),1)*IF(Upgrades!$T$10="Magnetosphere",POWER(Upgrades!$U$10,I349),1)*IF(Upgrades!$T$11="Magnetosphere",POWER(Upgrades!$U$11,J349),1)*IF(Upgrades!$T$12="Magnetosphere",POWER(Upgrades!$U$12,K349),1))*POWER(Upgrades!$P$6,E349)*POWER(Upgrades!$P$7,F349)*POWER(Upgrades!$P$8,G349)*POWER(Upgrades!$P$9,H349)*POWER(Upgrades!$P$10,I349)*POWER(Upgrades!$P$11,J349)*POWER(Upgrades!$P$12,K349)*60</f>
        <v/>
      </c>
      <c r="AE349" s="27">
        <f>(IF(K349=0,0,(Upgrades!$G$12+K349*Upgrades!$H$12)*POWER(Upgrades!$I$12,K349)))*(IF(Upgrades!$T$6="First Photons",POWER(Upgrades!$U$6,E349),1)*IF(Upgrades!$T$7="First Photons",POWER(Upgrades!$U$7,F349),1)*IF(Upgrades!$T$8="First Photons",POWER(Upgrades!$U$8,G349),1)*IF(Upgrades!$T$9="First Photons",POWER(Upgrades!$U$9,H349),1)*IF(Upgrades!$T$10="First Photons",POWER(Upgrades!$U$10,I349),1)*IF(Upgrades!$T$11="First Photons",POWER(Upgrades!$U$11,J349),1))*POWER(Upgrades!$P$6,E349)*POWER(Upgrades!$P$7,F349)*POWER(Upgrades!$P$8,G349)*POWER(Upgrades!$P$9,H349)*POWER(Upgrades!$P$10,I349)*POWER(Upgrades!$P$11,J349)*POWER(Upgrades!$P$12,K349)*60</f>
        <v/>
      </c>
      <c r="AF349" s="27">
        <f>Parameters!$B$9*POWER(Upgrades!$Q$6,E349)*POWER(Upgrades!$Q$7,F349)*POWER(Upgrades!$Q$8,G349)*POWER(Upgrades!$Q$9,H349)*POWER(Upgrades!$Q$10,I349)*POWER(Upgrades!$Q$11,J349)*POWER(Upgrades!$Q$12,K349)*(Parameters!$B$10*Parameters!$B$11+O349*60)</f>
        <v/>
      </c>
      <c r="AG349" s="22">
        <f>IF(E349&gt;=Upgrades!$E$6,"",Upgrades!$C$6*POWER(Upgrades!$D$6,E349))</f>
        <v/>
      </c>
      <c r="AH349" s="22">
        <f>IF(F349&gt;=Upgrades!$E$7,"",Upgrades!$C$7*POWER(Upgrades!$D$7,F349))</f>
        <v/>
      </c>
      <c r="AI349" s="22">
        <f>IF(G349&gt;=Upgrades!$E$8,"",Upgrades!$C$8*POWER(Upgrades!$D$8,G349))</f>
        <v/>
      </c>
      <c r="AJ349" s="22">
        <f>IF(H349&gt;=Upgrades!$E$9,"",Upgrades!$C$9*POWER(Upgrades!$D$9,H349))</f>
        <v/>
      </c>
      <c r="AK349" s="22">
        <f>IF(I349&gt;=Upgrades!$E$10,"",Upgrades!$C$10*POWER(Upgrades!$D$10,I349))</f>
        <v/>
      </c>
      <c r="AL349" s="22">
        <f>IF(J349&gt;=Upgrades!$E$11,"",Upgrades!$C$11*POWER(Upgrades!$D$11,J349))</f>
        <v/>
      </c>
      <c r="AM349" s="22">
        <f>IF(K349&gt;=Upgrades!$E$12,"",Upgrades!$C$12*POWER(Upgrades!$D$12,K349))</f>
        <v/>
      </c>
      <c r="AN349" s="26">
        <f>IF(AND(D349&gt;=Parameters!$B$18,(H349&gt;=Upgrades!$E$9)*(K349&gt;=Upgrades!$E$12)=1,L349=0),1,"")</f>
        <v/>
      </c>
      <c r="AO349" s="26">
        <f>IF(AND(D349&gt;=Parameters!$B$18,L349=0),1,"")</f>
        <v/>
      </c>
      <c r="AP349" s="22">
        <f>MIN(IF(ISNUMBER(AK349),AK349,9E15),IF(ISNUMBER(AL349),AL349,9E15),IF(ISNUMBER(AM349),AM349,9E15))</f>
        <v/>
      </c>
      <c r="AQ349" s="22">
        <f>MIN(IF(ISNUMBER(AG349),AG349,9E15),IF(ISNUMBER(AH349),AH349,9E15),IF(ISNUMBER(AI349),AI349,9E15),IF(ISNUMBER(AJ349),AJ349,9E15))</f>
        <v/>
      </c>
      <c r="AR349" s="29">
        <f>IF(AW349&gt;Parameters!$B$21*(MAX(IF(AND(NOT(AND(AO349=1,AN349&lt;&gt;1)),ISNUMBER(AG349),AG349&lt;=T349),AS349,0),IF(AND(NOT(AND(AO349=1,AN349&lt;&gt;1)),ISNUMBER(AH349),AH349&lt;=T349),AT349,0),IF(AND(NOT(AND(AO349=1,AN349&lt;&gt;1)),ISNUMBER(AI349),AI349&lt;=T349),AU349,0),IF(AND(ISNUMBER(AJ349),AJ349&lt;=T349),AV349,0))),TRUE,FALSE)</f>
        <v/>
      </c>
      <c r="AS349" s="32">
        <f>IFERROR(Upgrades!$H$6*(POWER(Upgrades!$P$6,E349)*POWER(Upgrades!$P$7,F349)*POWER(Upgrades!$P$8,G349)*POWER(Upgrades!$P$9,H349)*POWER(Upgrades!$P$10,I349)*POWER(Upgrades!$P$11,J349)*POWER(Upgrades!$P$12,K349))*(IF(Upgrades!$T$7="Solar Wind",POWER(Upgrades!$U$7,F349),1)*IF(Upgrades!$T$8="Solar Wind",POWER(Upgrades!$U$8,G349),1)*IF(Upgrades!$T$9="Solar Wind",POWER(Upgrades!$U$9,H349),1)*IF(Upgrades!$T$10="Solar Wind",POWER(Upgrades!$U$10,I349),1)*IF(Upgrades!$T$11="Solar Wind",POWER(Upgrades!$U$11,J349),1)*IF(Upgrades!$T$12="Solar Wind",POWER(Upgrades!$U$12,K349),1))/AG349,0)</f>
        <v/>
      </c>
      <c r="AT349" s="32">
        <f>IFERROR(Upgrades!$H$7*(POWER(Upgrades!$P$6,E349)*POWER(Upgrades!$P$7,F349)*POWER(Upgrades!$P$8,G349)*POWER(Upgrades!$P$9,H349)*POWER(Upgrades!$P$10,I349)*POWER(Upgrades!$P$11,J349)*POWER(Upgrades!$P$12,K349))*(IF(Upgrades!$T$6="Asteroid Belt",POWER(Upgrades!$U$6,E349),1)*IF(Upgrades!$T$8="Asteroid Belt",POWER(Upgrades!$U$8,G349),1)*IF(Upgrades!$T$9="Asteroid Belt",POWER(Upgrades!$U$9,H349),1)*IF(Upgrades!$T$10="Asteroid Belt",POWER(Upgrades!$U$10,I349),1)*IF(Upgrades!$T$11="Asteroid Belt",POWER(Upgrades!$U$11,J349),1)*IF(Upgrades!$T$12="Asteroid Belt",POWER(Upgrades!$U$12,K349),1))/AH349,0)</f>
        <v/>
      </c>
      <c r="AU349" s="32">
        <f>IFERROR(Upgrades!$K$8*(POWER(Upgrades!$Q$6,E349)*POWER(Upgrades!$Q$7,F349)*POWER(Upgrades!$Q$8,G349)*POWER(Upgrades!$Q$9,H349)*POWER(Upgrades!$Q$10,I349)*POWER(Upgrades!$Q$11,J349)*POWER(Upgrades!$Q$12,K349))*(IF(Upgrades!$T$6="Stellar Coupling",POWER(Upgrades!$U$6,E349),1)*IF(Upgrades!$T$7="Stellar Coupling",POWER(Upgrades!$U$7,F349),1)*IF(Upgrades!$T$9="Stellar Coupling",POWER(Upgrades!$U$9,H349),1)*IF(Upgrades!$T$10="Stellar Coupling",POWER(Upgrades!$U$10,I349),1)*IF(Upgrades!$T$11="Stellar Coupling",POWER(Upgrades!$U$11,J349),1)*IF(Upgrades!$T$12="Stellar Coupling",POWER(Upgrades!$U$12,K349),1))*Parameters!$B$10*Parameters!$B$11/60/AI349,0)</f>
        <v/>
      </c>
      <c r="AV349" s="32">
        <f>IFERROR(Upgrades!$H$9*(POWER(Upgrades!$P$6,E349)*POWER(Upgrades!$P$7,F349)*POWER(Upgrades!$P$8,G349)*POWER(Upgrades!$P$9,H349)*POWER(Upgrades!$P$10,I349)*POWER(Upgrades!$P$11,J349)*POWER(Upgrades!$P$12,K349))*(IF(Upgrades!$T$6="Magnetosphere",POWER(Upgrades!$U$6,E349),1)*IF(Upgrades!$T$7="Magnetosphere",POWER(Upgrades!$U$7,F349),1)*IF(Upgrades!$T$8="Magnetosphere",POWER(Upgrades!$U$8,G349),1)*IF(Upgrades!$T$10="Magnetosphere",POWER(Upgrades!$U$10,I349),1)*IF(Upgrades!$T$11="Magnetosphere",POWER(Upgrades!$U$11,J349),1)*IF(Upgrades!$T$12="Magnetosphere",POWER(Upgrades!$U$12,K349),1))/AJ349,0)</f>
        <v/>
      </c>
      <c r="AW349" s="32">
        <f>MAX(IF(I349&gt;0,0,IFERROR(0.25*N349/Upgrades!$C$10,0)),IF(J349&gt;0,0,IFERROR(0.5*((IF(G349=0,0,(Upgrades!$J$8+G349*Upgrades!$K$8)*POWER(Upgrades!$L$8,G349)))*(IF(Upgrades!$T$6="Stellar Coupling",POWER(Upgrades!$U$6,E349),1)*IF(Upgrades!$T$7="Stellar Coupling",POWER(Upgrades!$U$7,F349),1)*IF(Upgrades!$T$9="Stellar Coupling",POWER(Upgrades!$U$9,H349),1)*IF(Upgrades!$T$10="Stellar Coupling",POWER(Upgrades!$U$10,I349),1)*IF(Upgrades!$T$11="Stellar Coupling",POWER(Upgrades!$U$11,J349),1)*IF(Upgrades!$T$12="Stellar Coupling",POWER(Upgrades!$U$12,K349),1))*(POWER(Upgrades!$Q$6,E349)*POWER(Upgrades!$Q$7,F349)*POWER(Upgrades!$Q$8,G349)*POWER(Upgrades!$Q$9,H349)*POWER(Upgrades!$Q$10,I349)*POWER(Upgrades!$Q$11,J349)*POWER(Upgrades!$Q$12,K349))*Parameters!$B$10*Parameters!$B$11/60)/Upgrades!$C$11,0)),IF(K349&gt;0,0,IFERROR((1.0*(POWER(Upgrades!$P$6,E349)*POWER(Upgrades!$P$7,F349)*POWER(Upgrades!$P$8,G349)*POWER(Upgrades!$P$9,H349)*POWER(Upgrades!$P$10,I349)*POWER(Upgrades!$P$11,J349)*POWER(Upgrades!$P$12,K349))+0.20*M349*Parameters!$B$10*Parameters!$B$11/60)/Upgrades!$C$12,0)),IF(AND(ISNUMBER(AG349),AG349&gt;T349),AS349,0),IF(AND(ISNUMBER(AH349),AH349&gt;T349),AT349,0),IF(AND(ISNUMBER(AI349),AI349&gt;T349),AU349,0),IF(AND(ISNUMBER(AJ349),AJ349&gt;T349),AV349,0))</f>
        <v/>
      </c>
      <c r="AX349" s="29">
        <f>IF(AN349=1,"transition",IF(MIN(IF(AND(I349=0,ISNUMBER(AK349),AK349&lt;=T349),AK349,9E15),IF(AND(J349=0,ISNUMBER(AL349),AL349&lt;=T349),AL349,9E15),IF(AND(K349=0,ISNUMBER(AM349),AM349&lt;=T349),AM349,9E15))&lt;9E15,IF(AND(AND(I349=0,ISNUMBER(AK349),AK349&lt;=T349),AK349=MIN(IF(AND(I349=0,ISNUMBER(AK349),AK349&lt;=T349),AK349,9E15),IF(AND(J349=0,ISNUMBER(AL349),AL349&lt;=T349),AL349,9E15),IF(AND(K349=0,ISNUMBER(AM349),AM349&lt;=T349),AM349,9E15))),"OR",IF(AND(AND(J349=0,ISNUMBER(AL349),AL349&lt;=T349),AL349=MIN(IF(AND(I349=0,ISNUMBER(AK349),AK349&lt;=T349),AK349,9E15),IF(AND(J349=0,ISNUMBER(AL349),AL349&lt;=T349),AL349,9E15),IF(AND(K349=0,ISNUMBER(AM349),AM349&lt;=T349),AM349,9E15))),"HP","FP")),IF(AR349=TRUE,"",IF(MAX(IF(AND(NOT(AND(AO349=1,AN349&lt;&gt;1)),ISNUMBER(AG349),AG349&lt;=T349),AS349,0),IF(AND(NOT(AND(AO349=1,AN349&lt;&gt;1)),ISNUMBER(AH349),AH349&lt;=T349),AT349,0),IF(AND(NOT(AND(AO349=1,AN349&lt;&gt;1)),ISNUMBER(AI349),AI349&lt;=T349),AU349,0),IF(AND(ISNUMBER(AJ349),AJ349&lt;=T349),AV349,0))&lt;=0,"",IF(AND(IF(AND(NOT(AND(AO349=1,AN349&lt;&gt;1)),ISNUMBER(AG349),AG349&lt;=T349),AS349,0)&gt;0,IF(AND(NOT(AND(AO349=1,AN349&lt;&gt;1)),ISNUMBER(AG349),AG349&lt;=T349),AS349,0)=MAX(IF(AND(NOT(AND(AO349=1,AN349&lt;&gt;1)),ISNUMBER(AG349),AG349&lt;=T349),AS349,0),IF(AND(NOT(AND(AO349=1,AN349&lt;&gt;1)),ISNUMBER(AH349),AH349&lt;=T349),AT349,0),IF(AND(NOT(AND(AO349=1,AN349&lt;&gt;1)),ISNUMBER(AI349),AI349&lt;=T349),AU349,0),IF(AND(ISNUMBER(AJ349),AJ349&lt;=T349),AV349,0))),"SW",IF(AND(IF(AND(NOT(AND(AO349=1,AN349&lt;&gt;1)),ISNUMBER(AH349),AH349&lt;=T349),AT349,0)&gt;0,IF(AND(NOT(AND(AO349=1,AN349&lt;&gt;1)),ISNUMBER(AH349),AH349&lt;=T349),AT349,0)=MAX(IF(AND(NOT(AND(AO349=1,AN349&lt;&gt;1)),ISNUMBER(AG349),AG349&lt;=T349),AS349,0),IF(AND(NOT(AND(AO349=1,AN349&lt;&gt;1)),ISNUMBER(AH349),AH349&lt;=T349),AT349,0),IF(AND(NOT(AND(AO349=1,AN349&lt;&gt;1)),ISNUMBER(AI349),AI349&lt;=T349),AU349,0),IF(AND(ISNUMBER(AJ349),AJ349&lt;=T349),AV349,0))),"AB",IF(AND(IF(AND(NOT(AND(AO349=1,AN349&lt;&gt;1)),ISNUMBER(AI349),AI349&lt;=T349),AU349,0)&gt;0,IF(AND(NOT(AND(AO349=1,AN349&lt;&gt;1)),ISNUMBER(AI349),AI349&lt;=T349),AU349,0)=MAX(IF(AND(NOT(AND(AO349=1,AN349&lt;&gt;1)),ISNUMBER(AG349),AG349&lt;=T349),AS349,0),IF(AND(NOT(AND(AO349=1,AN349&lt;&gt;1)),ISNUMBER(AH349),AH349&lt;=T349),AT349,0),IF(AND(NOT(AND(AO349=1,AN349&lt;&gt;1)),ISNUMBER(AI349),AI349&lt;=T349),AU349,0),IF(AND(ISNUMBER(AJ349),AJ349&lt;=T349),AV349,0))),"SC","Mag")))))))</f>
        <v/>
      </c>
    </row>
    <row r="350">
      <c r="A350" s="26" t="n">
        <v>345</v>
      </c>
      <c r="B350" s="27">
        <f>A350*10/60</f>
        <v/>
      </c>
      <c r="C350" s="22">
        <f>X349</f>
        <v/>
      </c>
      <c r="D350" s="27">
        <f>D349+W349</f>
        <v/>
      </c>
      <c r="E350" s="26">
        <f>E349+IF(U349="SW",1,0)</f>
        <v/>
      </c>
      <c r="F350" s="26">
        <f>F349+IF(U349="AB",1,0)</f>
        <v/>
      </c>
      <c r="G350" s="26">
        <f>G349+IF(U349="SC",1,0)</f>
        <v/>
      </c>
      <c r="H350" s="26">
        <f>H349+IF(U349="Mag",1,0)</f>
        <v/>
      </c>
      <c r="I350" s="26">
        <f>MAX(I349,IF(U349="OR",1,0))</f>
        <v/>
      </c>
      <c r="J350" s="26">
        <f>MAX(J349,IF(U349="HP",1,0))</f>
        <v/>
      </c>
      <c r="K350" s="26">
        <f>MAX(K349,IF(U349="FP",1,0))</f>
        <v/>
      </c>
      <c r="L350" s="26">
        <f>MAX(L349,IF(U349="transition",1,0))</f>
        <v/>
      </c>
      <c r="M350" s="28">
        <f>(Parameters!$B$9+(IF(E350=0,0,(Upgrades!$J$6+E350*Upgrades!$K$6)*POWER(Upgrades!$L$6,E350)))*(IF(Upgrades!$T$7="Solar Wind",POWER(Upgrades!$U$7,F350),1)*IF(Upgrades!$T$8="Solar Wind",POWER(Upgrades!$U$8,G350),1)*IF(Upgrades!$T$9="Solar Wind",POWER(Upgrades!$U$9,H350),1)*IF(Upgrades!$T$10="Solar Wind",POWER(Upgrades!$U$10,I350),1)*IF(Upgrades!$T$11="Solar Wind",POWER(Upgrades!$U$11,J350),1)*IF(Upgrades!$T$12="Solar Wind",POWER(Upgrades!$U$12,K350),1))+(IF(F350=0,0,(Upgrades!$J$7+F350*Upgrades!$K$7)*POWER(Upgrades!$L$7,F350)))*(IF(Upgrades!$T$6="Asteroid Belt",POWER(Upgrades!$U$6,E350),1)*IF(Upgrades!$T$8="Asteroid Belt",POWER(Upgrades!$U$8,G350),1)*IF(Upgrades!$T$9="Asteroid Belt",POWER(Upgrades!$U$9,H350),1)*IF(Upgrades!$T$10="Asteroid Belt",POWER(Upgrades!$U$10,I350),1)*IF(Upgrades!$T$11="Asteroid Belt",POWER(Upgrades!$U$11,J350),1)*IF(Upgrades!$T$12="Asteroid Belt",POWER(Upgrades!$U$12,K350),1))+(IF(G350=0,0,(Upgrades!$J$8+G350*Upgrades!$K$8)*POWER(Upgrades!$L$8,G350)))*(IF(Upgrades!$T$6="Stellar Coupling",POWER(Upgrades!$U$6,E350),1)*IF(Upgrades!$T$7="Stellar Coupling",POWER(Upgrades!$U$7,F350),1)*IF(Upgrades!$T$9="Stellar Coupling",POWER(Upgrades!$U$9,H350),1)*IF(Upgrades!$T$10="Stellar Coupling",POWER(Upgrades!$U$10,I350),1)*IF(Upgrades!$T$11="Stellar Coupling",POWER(Upgrades!$U$11,J350),1)*IF(Upgrades!$T$12="Stellar Coupling",POWER(Upgrades!$U$12,K350),1))+(IF(H350=0,0,(Upgrades!$J$9+H350*Upgrades!$K$9)*POWER(Upgrades!$L$9,H350)))*(IF(Upgrades!$T$6="Magnetosphere",POWER(Upgrades!$U$6,E350),1)*IF(Upgrades!$T$7="Magnetosphere",POWER(Upgrades!$U$7,F350),1)*IF(Upgrades!$T$8="Magnetosphere",POWER(Upgrades!$U$8,G350),1)*IF(Upgrades!$T$10="Magnetosphere",POWER(Upgrades!$U$10,I350),1)*IF(Upgrades!$T$11="Magnetosphere",POWER(Upgrades!$U$11,J350),1)*IF(Upgrades!$T$12="Magnetosphere",POWER(Upgrades!$U$12,K350),1))+(IF(I350=0,0,(Upgrades!$J$10+I350*Upgrades!$K$10)*POWER(Upgrades!$L$10,I350)))*(IF(Upgrades!$T$6="Orbital Resonance",POWER(Upgrades!$U$6,E350),1)*IF(Upgrades!$T$7="Orbital Resonance",POWER(Upgrades!$U$7,F350),1)*IF(Upgrades!$T$8="Orbital Resonance",POWER(Upgrades!$U$8,G350),1)*IF(Upgrades!$T$9="Orbital Resonance",POWER(Upgrades!$U$9,H350),1)*IF(Upgrades!$T$11="Orbital Resonance",POWER(Upgrades!$U$11,J350),1)*IF(Upgrades!$T$12="Orbital Resonance",POWER(Upgrades!$U$12,K350),1))+(IF(J350=0,0,(Upgrades!$J$11+J350*Upgrades!$K$11)*POWER(Upgrades!$L$11,J350)))*(IF(Upgrades!$T$6="Heliopause",POWER(Upgrades!$U$6,E350),1)*IF(Upgrades!$T$7="Heliopause",POWER(Upgrades!$U$7,F350),1)*IF(Upgrades!$T$8="Heliopause",POWER(Upgrades!$U$8,G350),1)*IF(Upgrades!$T$9="Heliopause",POWER(Upgrades!$U$9,H350),1)*IF(Upgrades!$T$10="Heliopause",POWER(Upgrades!$U$10,I350),1)*IF(Upgrades!$T$12="Heliopause",POWER(Upgrades!$U$12,K350),1))+(IF(K350=0,0,(Upgrades!$J$12+K350*Upgrades!$K$12)*POWER(Upgrades!$L$12,K350)))*(IF(Upgrades!$T$6="First Photons",POWER(Upgrades!$U$6,E350),1)*IF(Upgrades!$T$7="First Photons",POWER(Upgrades!$U$7,F350),1)*IF(Upgrades!$T$8="First Photons",POWER(Upgrades!$U$8,G350),1)*IF(Upgrades!$T$9="First Photons",POWER(Upgrades!$U$9,H350),1)*IF(Upgrades!$T$10="First Photons",POWER(Upgrades!$U$10,I350),1)*IF(Upgrades!$T$11="First Photons",POWER(Upgrades!$U$11,J350),1)))*POWER(Upgrades!$Q$6,E350)*POWER(Upgrades!$Q$7,F350)*POWER(Upgrades!$Q$8,G350)*POWER(Upgrades!$Q$9,H350)*POWER(Upgrades!$Q$10,I350)*POWER(Upgrades!$Q$11,J350)*POWER(Upgrades!$Q$12,K350)</f>
        <v/>
      </c>
      <c r="N350" s="28">
        <f>((IF(E350=0,0,(Upgrades!$G$6+E350*Upgrades!$H$6)*POWER(Upgrades!$I$6,E350)))*(IF(Upgrades!$T$7="Solar Wind",POWER(Upgrades!$U$7,F350),1)*IF(Upgrades!$T$8="Solar Wind",POWER(Upgrades!$U$8,G350),1)*IF(Upgrades!$T$9="Solar Wind",POWER(Upgrades!$U$9,H350),1)*IF(Upgrades!$T$10="Solar Wind",POWER(Upgrades!$U$10,I350),1)*IF(Upgrades!$T$11="Solar Wind",POWER(Upgrades!$U$11,J350),1)*IF(Upgrades!$T$12="Solar Wind",POWER(Upgrades!$U$12,K350),1))+(IF(F350=0,0,(Upgrades!$G$7+F350*Upgrades!$H$7)*POWER(Upgrades!$I$7,F350)))*(IF(Upgrades!$T$6="Asteroid Belt",POWER(Upgrades!$U$6,E350),1)*IF(Upgrades!$T$8="Asteroid Belt",POWER(Upgrades!$U$8,G350),1)*IF(Upgrades!$T$9="Asteroid Belt",POWER(Upgrades!$U$9,H350),1)*IF(Upgrades!$T$10="Asteroid Belt",POWER(Upgrades!$U$10,I350),1)*IF(Upgrades!$T$11="Asteroid Belt",POWER(Upgrades!$U$11,J350),1)*IF(Upgrades!$T$12="Asteroid Belt",POWER(Upgrades!$U$12,K350),1))+(IF(G350=0,0,(Upgrades!$G$8+G350*Upgrades!$H$8)*POWER(Upgrades!$I$8,G350)))*(IF(Upgrades!$T$6="Stellar Coupling",POWER(Upgrades!$U$6,E350),1)*IF(Upgrades!$T$7="Stellar Coupling",POWER(Upgrades!$U$7,F350),1)*IF(Upgrades!$T$9="Stellar Coupling",POWER(Upgrades!$U$9,H350),1)*IF(Upgrades!$T$10="Stellar Coupling",POWER(Upgrades!$U$10,I350),1)*IF(Upgrades!$T$11="Stellar Coupling",POWER(Upgrades!$U$11,J350),1)*IF(Upgrades!$T$12="Stellar Coupling",POWER(Upgrades!$U$12,K350),1))+(IF(H350=0,0,(Upgrades!$G$9+H350*Upgrades!$H$9)*POWER(Upgrades!$I$9,H350)))*(IF(Upgrades!$T$6="Magnetosphere",POWER(Upgrades!$U$6,E350),1)*IF(Upgrades!$T$7="Magnetosphere",POWER(Upgrades!$U$7,F350),1)*IF(Upgrades!$T$8="Magnetosphere",POWER(Upgrades!$U$8,G350),1)*IF(Upgrades!$T$10="Magnetosphere",POWER(Upgrades!$U$10,I350),1)*IF(Upgrades!$T$11="Magnetosphere",POWER(Upgrades!$U$11,J350),1)*IF(Upgrades!$T$12="Magnetosphere",POWER(Upgrades!$U$12,K350),1))+(IF(I350=0,0,(Upgrades!$G$10+I350*Upgrades!$H$10)*POWER(Upgrades!$I$10,I350)))*(IF(Upgrades!$T$6="Orbital Resonance",POWER(Upgrades!$U$6,E350),1)*IF(Upgrades!$T$7="Orbital Resonance",POWER(Upgrades!$U$7,F350),1)*IF(Upgrades!$T$8="Orbital Resonance",POWER(Upgrades!$U$8,G350),1)*IF(Upgrades!$T$9="Orbital Resonance",POWER(Upgrades!$U$9,H350),1)*IF(Upgrades!$T$11="Orbital Resonance",POWER(Upgrades!$U$11,J350),1)*IF(Upgrades!$T$12="Orbital Resonance",POWER(Upgrades!$U$12,K350),1))+(IF(J350=0,0,(Upgrades!$G$11+J350*Upgrades!$H$11)*POWER(Upgrades!$I$11,J350)))*(IF(Upgrades!$T$6="Heliopause",POWER(Upgrades!$U$6,E350),1)*IF(Upgrades!$T$7="Heliopause",POWER(Upgrades!$U$7,F350),1)*IF(Upgrades!$T$8="Heliopause",POWER(Upgrades!$U$8,G350),1)*IF(Upgrades!$T$9="Heliopause",POWER(Upgrades!$U$9,H350),1)*IF(Upgrades!$T$10="Heliopause",POWER(Upgrades!$U$10,I350),1)*IF(Upgrades!$T$12="Heliopause",POWER(Upgrades!$U$12,K350),1))+(IF(K350=0,0,(Upgrades!$G$12+K350*Upgrades!$H$12)*POWER(Upgrades!$I$12,K350)))*(IF(Upgrades!$T$6="First Photons",POWER(Upgrades!$U$6,E350),1)*IF(Upgrades!$T$7="First Photons",POWER(Upgrades!$U$7,F350),1)*IF(Upgrades!$T$8="First Photons",POWER(Upgrades!$U$8,G350),1)*IF(Upgrades!$T$9="First Photons",POWER(Upgrades!$U$9,H350),1)*IF(Upgrades!$T$10="First Photons",POWER(Upgrades!$U$10,I350),1)*IF(Upgrades!$T$11="First Photons",POWER(Upgrades!$U$11,J350),1)))*POWER(Upgrades!$P$6,E350)*POWER(Upgrades!$P$7,F350)*POWER(Upgrades!$P$8,G350)*POWER(Upgrades!$P$9,H350)*POWER(Upgrades!$P$10,I350)*POWER(Upgrades!$P$11,J350)*POWER(Upgrades!$P$12,K350)</f>
        <v/>
      </c>
      <c r="O350" s="28">
        <f>((IF(E350=0,0,(Upgrades!$M$6+E350*Upgrades!$N$6)*POWER(Upgrades!$O$6,E350)))*(IF(Upgrades!$T$7="Solar Wind",POWER(Upgrades!$U$7,F350),1)*IF(Upgrades!$T$8="Solar Wind",POWER(Upgrades!$U$8,G350),1)*IF(Upgrades!$T$9="Solar Wind",POWER(Upgrades!$U$9,H350),1)*IF(Upgrades!$T$10="Solar Wind",POWER(Upgrades!$U$10,I350),1)*IF(Upgrades!$T$11="Solar Wind",POWER(Upgrades!$U$11,J350),1)*IF(Upgrades!$T$12="Solar Wind",POWER(Upgrades!$U$12,K350),1))+(IF(F350=0,0,(Upgrades!$M$7+F350*Upgrades!$N$7)*POWER(Upgrades!$O$7,F350)))*(IF(Upgrades!$T$6="Asteroid Belt",POWER(Upgrades!$U$6,E350),1)*IF(Upgrades!$T$8="Asteroid Belt",POWER(Upgrades!$U$8,G350),1)*IF(Upgrades!$T$9="Asteroid Belt",POWER(Upgrades!$U$9,H350),1)*IF(Upgrades!$T$10="Asteroid Belt",POWER(Upgrades!$U$10,I350),1)*IF(Upgrades!$T$11="Asteroid Belt",POWER(Upgrades!$U$11,J350),1)*IF(Upgrades!$T$12="Asteroid Belt",POWER(Upgrades!$U$12,K350),1))+(IF(G350=0,0,(Upgrades!$M$8+G350*Upgrades!$N$8)*POWER(Upgrades!$O$8,G350)))*(IF(Upgrades!$T$6="Stellar Coupling",POWER(Upgrades!$U$6,E350),1)*IF(Upgrades!$T$7="Stellar Coupling",POWER(Upgrades!$U$7,F350),1)*IF(Upgrades!$T$9="Stellar Coupling",POWER(Upgrades!$U$9,H350),1)*IF(Upgrades!$T$10="Stellar Coupling",POWER(Upgrades!$U$10,I350),1)*IF(Upgrades!$T$11="Stellar Coupling",POWER(Upgrades!$U$11,J350),1)*IF(Upgrades!$T$12="Stellar Coupling",POWER(Upgrades!$U$12,K350),1))+(IF(H350=0,0,(Upgrades!$M$9+H350*Upgrades!$N$9)*POWER(Upgrades!$O$9,H350)))*(IF(Upgrades!$T$6="Magnetosphere",POWER(Upgrades!$U$6,E350),1)*IF(Upgrades!$T$7="Magnetosphere",POWER(Upgrades!$U$7,F350),1)*IF(Upgrades!$T$8="Magnetosphere",POWER(Upgrades!$U$8,G350),1)*IF(Upgrades!$T$10="Magnetosphere",POWER(Upgrades!$U$10,I350),1)*IF(Upgrades!$T$11="Magnetosphere",POWER(Upgrades!$U$11,J350),1)*IF(Upgrades!$T$12="Magnetosphere",POWER(Upgrades!$U$12,K350),1))+(IF(I350=0,0,(Upgrades!$M$10+I350*Upgrades!$N$10)*POWER(Upgrades!$O$10,I350)))*(IF(Upgrades!$T$6="Orbital Resonance",POWER(Upgrades!$U$6,E350),1)*IF(Upgrades!$T$7="Orbital Resonance",POWER(Upgrades!$U$7,F350),1)*IF(Upgrades!$T$8="Orbital Resonance",POWER(Upgrades!$U$8,G350),1)*IF(Upgrades!$T$9="Orbital Resonance",POWER(Upgrades!$U$9,H350),1)*IF(Upgrades!$T$11="Orbital Resonance",POWER(Upgrades!$U$11,J350),1)*IF(Upgrades!$T$12="Orbital Resonance",POWER(Upgrades!$U$12,K350),1))+(IF(J350=0,0,(Upgrades!$M$11+J350*Upgrades!$N$11)*POWER(Upgrades!$O$11,J350)))*(IF(Upgrades!$T$6="Heliopause",POWER(Upgrades!$U$6,E350),1)*IF(Upgrades!$T$7="Heliopause",POWER(Upgrades!$U$7,F350),1)*IF(Upgrades!$T$8="Heliopause",POWER(Upgrades!$U$8,G350),1)*IF(Upgrades!$T$9="Heliopause",POWER(Upgrades!$U$9,H350),1)*IF(Upgrades!$T$10="Heliopause",POWER(Upgrades!$U$10,I350),1)*IF(Upgrades!$T$12="Heliopause",POWER(Upgrades!$U$12,K350),1))+(IF(K350=0,0,(Upgrades!$M$12+K350*Upgrades!$N$12)*POWER(Upgrades!$O$12,K350)))*(IF(Upgrades!$T$6="First Photons",POWER(Upgrades!$U$6,E350),1)*IF(Upgrades!$T$7="First Photons",POWER(Upgrades!$U$7,F350),1)*IF(Upgrades!$T$8="First Photons",POWER(Upgrades!$U$8,G350),1)*IF(Upgrades!$T$9="First Photons",POWER(Upgrades!$U$9,H350),1)*IF(Upgrades!$T$10="First Photons",POWER(Upgrades!$U$10,I350),1)*IF(Upgrades!$T$11="First Photons",POWER(Upgrades!$U$11,J350),1)))*POWER(Upgrades!$R$6,E350)*POWER(Upgrades!$R$7,F350)*POWER(Upgrades!$R$8,G350)*POWER(Upgrades!$R$9,H350)*POWER(Upgrades!$R$10,I350)*POWER(Upgrades!$R$11,J350)*POWER(Upgrades!$R$12,K350)</f>
        <v/>
      </c>
      <c r="P350" s="27">
        <f>IF(L350=1,0,M350*Parameters!$B$10/60*Parameters!$B$11*10)</f>
        <v/>
      </c>
      <c r="Q350" s="27">
        <f>IF(L350=1,0,O350*M350*10)</f>
        <v/>
      </c>
      <c r="R350" s="27">
        <f>IF(L350=1,0,N350*10)</f>
        <v/>
      </c>
      <c r="S350" s="27">
        <f>P350+Q350+R350</f>
        <v/>
      </c>
      <c r="T350" s="22">
        <f>C350+S350</f>
        <v/>
      </c>
      <c r="U350" s="33">
        <f>AX350</f>
        <v/>
      </c>
      <c r="V350" s="22">
        <f>IF(U350="",0,IF(U350="transition",0,IF(U350="SW",AG350,IF(U350="AB",AH350,IF(U350="SC",AI350,IF(U350="Mag",AJ350,IF(U350="OR",AK350,IF(U350="HP",AL350,IF(U350="FP",AM350,0)))))))))</f>
        <v/>
      </c>
      <c r="W350" s="27">
        <f>IF(U350="OR",Upgrades!$F$10,IF(U350="HP",Upgrades!$F$11,IF(U350="transition",-Parameters!$B$18,0)))</f>
        <v/>
      </c>
      <c r="X350" s="22">
        <f>T350-V350</f>
        <v/>
      </c>
      <c r="Y350" s="30">
        <f>M350*Parameters!$B$10/60*Parameters!$B$11+O350*M350+N350</f>
        <v/>
      </c>
      <c r="Z350" s="34">
        <f>IF(U350="transition","→ Tier 2 (Stellar Neighborhood)",IF(U350="FP","First Photons — light begins, system quickens",IF(U350="HP","Heliopause acquired",IF(U350="OR","Orbital Resonance — passive multiplier active",IF(AND(AO350=1,L350=0,AN350&lt;&gt;1),"Cohesion ready (waiting on completionist upgrades)","")))))</f>
        <v/>
      </c>
      <c r="AA350" s="27">
        <f>(IF(E350=0,0,(Upgrades!$G$6+E350*Upgrades!$H$6)*POWER(Upgrades!$I$6,E350)))*(IF(Upgrades!$T$7="Solar Wind",POWER(Upgrades!$U$7,F350),1)*IF(Upgrades!$T$8="Solar Wind",POWER(Upgrades!$U$8,G350),1)*IF(Upgrades!$T$9="Solar Wind",POWER(Upgrades!$U$9,H350),1)*IF(Upgrades!$T$10="Solar Wind",POWER(Upgrades!$U$10,I350),1)*IF(Upgrades!$T$11="Solar Wind",POWER(Upgrades!$U$11,J350),1)*IF(Upgrades!$T$12="Solar Wind",POWER(Upgrades!$U$12,K350),1))*POWER(Upgrades!$P$6,E350)*POWER(Upgrades!$P$7,F350)*POWER(Upgrades!$P$8,G350)*POWER(Upgrades!$P$9,H350)*POWER(Upgrades!$P$10,I350)*POWER(Upgrades!$P$11,J350)*POWER(Upgrades!$P$12,K350)*60</f>
        <v/>
      </c>
      <c r="AB350" s="27">
        <f>(IF(F350=0,0,(Upgrades!$G$7+F350*Upgrades!$H$7)*POWER(Upgrades!$I$7,F350)))*(IF(Upgrades!$T$6="Asteroid Belt",POWER(Upgrades!$U$6,E350),1)*IF(Upgrades!$T$8="Asteroid Belt",POWER(Upgrades!$U$8,G350),1)*IF(Upgrades!$T$9="Asteroid Belt",POWER(Upgrades!$U$9,H350),1)*IF(Upgrades!$T$10="Asteroid Belt",POWER(Upgrades!$U$10,I350),1)*IF(Upgrades!$T$11="Asteroid Belt",POWER(Upgrades!$U$11,J350),1)*IF(Upgrades!$T$12="Asteroid Belt",POWER(Upgrades!$U$12,K350),1))*POWER(Upgrades!$P$6,E350)*POWER(Upgrades!$P$7,F350)*POWER(Upgrades!$P$8,G350)*POWER(Upgrades!$P$9,H350)*POWER(Upgrades!$P$10,I350)*POWER(Upgrades!$P$11,J350)*POWER(Upgrades!$P$12,K350)*60</f>
        <v/>
      </c>
      <c r="AC350" s="27">
        <f>(IF(G350=0,0,(Upgrades!$J$8+G350*Upgrades!$K$8)*POWER(Upgrades!$L$8,G350)))*(IF(Upgrades!$T$6="Stellar Coupling",POWER(Upgrades!$U$6,E350),1)*IF(Upgrades!$T$7="Stellar Coupling",POWER(Upgrades!$U$7,F350),1)*IF(Upgrades!$T$9="Stellar Coupling",POWER(Upgrades!$U$9,H350),1)*IF(Upgrades!$T$10="Stellar Coupling",POWER(Upgrades!$U$10,I350),1)*IF(Upgrades!$T$11="Stellar Coupling",POWER(Upgrades!$U$11,J350),1)*IF(Upgrades!$T$12="Stellar Coupling",POWER(Upgrades!$U$12,K350),1))*POWER(Upgrades!$Q$6,E350)*POWER(Upgrades!$Q$7,F350)*POWER(Upgrades!$Q$8,G350)*POWER(Upgrades!$Q$9,H350)*POWER(Upgrades!$Q$10,I350)*POWER(Upgrades!$Q$11,J350)*POWER(Upgrades!$Q$12,K350)*Parameters!$B$10*Parameters!$B$11</f>
        <v/>
      </c>
      <c r="AD350" s="27">
        <f>(IF(H350=0,0,(Upgrades!$G$9+H350*Upgrades!$H$9)*POWER(Upgrades!$I$9,H350)))*(IF(Upgrades!$T$6="Magnetosphere",POWER(Upgrades!$U$6,E350),1)*IF(Upgrades!$T$7="Magnetosphere",POWER(Upgrades!$U$7,F350),1)*IF(Upgrades!$T$8="Magnetosphere",POWER(Upgrades!$U$8,G350),1)*IF(Upgrades!$T$10="Magnetosphere",POWER(Upgrades!$U$10,I350),1)*IF(Upgrades!$T$11="Magnetosphere",POWER(Upgrades!$U$11,J350),1)*IF(Upgrades!$T$12="Magnetosphere",POWER(Upgrades!$U$12,K350),1))*POWER(Upgrades!$P$6,E350)*POWER(Upgrades!$P$7,F350)*POWER(Upgrades!$P$8,G350)*POWER(Upgrades!$P$9,H350)*POWER(Upgrades!$P$10,I350)*POWER(Upgrades!$P$11,J350)*POWER(Upgrades!$P$12,K350)*60</f>
        <v/>
      </c>
      <c r="AE350" s="27">
        <f>(IF(K350=0,0,(Upgrades!$G$12+K350*Upgrades!$H$12)*POWER(Upgrades!$I$12,K350)))*(IF(Upgrades!$T$6="First Photons",POWER(Upgrades!$U$6,E350),1)*IF(Upgrades!$T$7="First Photons",POWER(Upgrades!$U$7,F350),1)*IF(Upgrades!$T$8="First Photons",POWER(Upgrades!$U$8,G350),1)*IF(Upgrades!$T$9="First Photons",POWER(Upgrades!$U$9,H350),1)*IF(Upgrades!$T$10="First Photons",POWER(Upgrades!$U$10,I350),1)*IF(Upgrades!$T$11="First Photons",POWER(Upgrades!$U$11,J350),1))*POWER(Upgrades!$P$6,E350)*POWER(Upgrades!$P$7,F350)*POWER(Upgrades!$P$8,G350)*POWER(Upgrades!$P$9,H350)*POWER(Upgrades!$P$10,I350)*POWER(Upgrades!$P$11,J350)*POWER(Upgrades!$P$12,K350)*60</f>
        <v/>
      </c>
      <c r="AF350" s="27">
        <f>Parameters!$B$9*POWER(Upgrades!$Q$6,E350)*POWER(Upgrades!$Q$7,F350)*POWER(Upgrades!$Q$8,G350)*POWER(Upgrades!$Q$9,H350)*POWER(Upgrades!$Q$10,I350)*POWER(Upgrades!$Q$11,J350)*POWER(Upgrades!$Q$12,K350)*(Parameters!$B$10*Parameters!$B$11+O350*60)</f>
        <v/>
      </c>
      <c r="AG350" s="22">
        <f>IF(E350&gt;=Upgrades!$E$6,"",Upgrades!$C$6*POWER(Upgrades!$D$6,E350))</f>
        <v/>
      </c>
      <c r="AH350" s="22">
        <f>IF(F350&gt;=Upgrades!$E$7,"",Upgrades!$C$7*POWER(Upgrades!$D$7,F350))</f>
        <v/>
      </c>
      <c r="AI350" s="22">
        <f>IF(G350&gt;=Upgrades!$E$8,"",Upgrades!$C$8*POWER(Upgrades!$D$8,G350))</f>
        <v/>
      </c>
      <c r="AJ350" s="22">
        <f>IF(H350&gt;=Upgrades!$E$9,"",Upgrades!$C$9*POWER(Upgrades!$D$9,H350))</f>
        <v/>
      </c>
      <c r="AK350" s="22">
        <f>IF(I350&gt;=Upgrades!$E$10,"",Upgrades!$C$10*POWER(Upgrades!$D$10,I350))</f>
        <v/>
      </c>
      <c r="AL350" s="22">
        <f>IF(J350&gt;=Upgrades!$E$11,"",Upgrades!$C$11*POWER(Upgrades!$D$11,J350))</f>
        <v/>
      </c>
      <c r="AM350" s="22">
        <f>IF(K350&gt;=Upgrades!$E$12,"",Upgrades!$C$12*POWER(Upgrades!$D$12,K350))</f>
        <v/>
      </c>
      <c r="AN350" s="26">
        <f>IF(AND(D350&gt;=Parameters!$B$18,(H350&gt;=Upgrades!$E$9)*(K350&gt;=Upgrades!$E$12)=1,L350=0),1,"")</f>
        <v/>
      </c>
      <c r="AO350" s="26">
        <f>IF(AND(D350&gt;=Parameters!$B$18,L350=0),1,"")</f>
        <v/>
      </c>
      <c r="AP350" s="22">
        <f>MIN(IF(ISNUMBER(AK350),AK350,9E15),IF(ISNUMBER(AL350),AL350,9E15),IF(ISNUMBER(AM350),AM350,9E15))</f>
        <v/>
      </c>
      <c r="AQ350" s="22">
        <f>MIN(IF(ISNUMBER(AG350),AG350,9E15),IF(ISNUMBER(AH350),AH350,9E15),IF(ISNUMBER(AI350),AI350,9E15),IF(ISNUMBER(AJ350),AJ350,9E15))</f>
        <v/>
      </c>
      <c r="AR350" s="29">
        <f>IF(AW350&gt;Parameters!$B$21*(MAX(IF(AND(NOT(AND(AO350=1,AN350&lt;&gt;1)),ISNUMBER(AG350),AG350&lt;=T350),AS350,0),IF(AND(NOT(AND(AO350=1,AN350&lt;&gt;1)),ISNUMBER(AH350),AH350&lt;=T350),AT350,0),IF(AND(NOT(AND(AO350=1,AN350&lt;&gt;1)),ISNUMBER(AI350),AI350&lt;=T350),AU350,0),IF(AND(ISNUMBER(AJ350),AJ350&lt;=T350),AV350,0))),TRUE,FALSE)</f>
        <v/>
      </c>
      <c r="AS350" s="32">
        <f>IFERROR(Upgrades!$H$6*(POWER(Upgrades!$P$6,E350)*POWER(Upgrades!$P$7,F350)*POWER(Upgrades!$P$8,G350)*POWER(Upgrades!$P$9,H350)*POWER(Upgrades!$P$10,I350)*POWER(Upgrades!$P$11,J350)*POWER(Upgrades!$P$12,K350))*(IF(Upgrades!$T$7="Solar Wind",POWER(Upgrades!$U$7,F350),1)*IF(Upgrades!$T$8="Solar Wind",POWER(Upgrades!$U$8,G350),1)*IF(Upgrades!$T$9="Solar Wind",POWER(Upgrades!$U$9,H350),1)*IF(Upgrades!$T$10="Solar Wind",POWER(Upgrades!$U$10,I350),1)*IF(Upgrades!$T$11="Solar Wind",POWER(Upgrades!$U$11,J350),1)*IF(Upgrades!$T$12="Solar Wind",POWER(Upgrades!$U$12,K350),1))/AG350,0)</f>
        <v/>
      </c>
      <c r="AT350" s="32">
        <f>IFERROR(Upgrades!$H$7*(POWER(Upgrades!$P$6,E350)*POWER(Upgrades!$P$7,F350)*POWER(Upgrades!$P$8,G350)*POWER(Upgrades!$P$9,H350)*POWER(Upgrades!$P$10,I350)*POWER(Upgrades!$P$11,J350)*POWER(Upgrades!$P$12,K350))*(IF(Upgrades!$T$6="Asteroid Belt",POWER(Upgrades!$U$6,E350),1)*IF(Upgrades!$T$8="Asteroid Belt",POWER(Upgrades!$U$8,G350),1)*IF(Upgrades!$T$9="Asteroid Belt",POWER(Upgrades!$U$9,H350),1)*IF(Upgrades!$T$10="Asteroid Belt",POWER(Upgrades!$U$10,I350),1)*IF(Upgrades!$T$11="Asteroid Belt",POWER(Upgrades!$U$11,J350),1)*IF(Upgrades!$T$12="Asteroid Belt",POWER(Upgrades!$U$12,K350),1))/AH350,0)</f>
        <v/>
      </c>
      <c r="AU350" s="32">
        <f>IFERROR(Upgrades!$K$8*(POWER(Upgrades!$Q$6,E350)*POWER(Upgrades!$Q$7,F350)*POWER(Upgrades!$Q$8,G350)*POWER(Upgrades!$Q$9,H350)*POWER(Upgrades!$Q$10,I350)*POWER(Upgrades!$Q$11,J350)*POWER(Upgrades!$Q$12,K350))*(IF(Upgrades!$T$6="Stellar Coupling",POWER(Upgrades!$U$6,E350),1)*IF(Upgrades!$T$7="Stellar Coupling",POWER(Upgrades!$U$7,F350),1)*IF(Upgrades!$T$9="Stellar Coupling",POWER(Upgrades!$U$9,H350),1)*IF(Upgrades!$T$10="Stellar Coupling",POWER(Upgrades!$U$10,I350),1)*IF(Upgrades!$T$11="Stellar Coupling",POWER(Upgrades!$U$11,J350),1)*IF(Upgrades!$T$12="Stellar Coupling",POWER(Upgrades!$U$12,K350),1))*Parameters!$B$10*Parameters!$B$11/60/AI350,0)</f>
        <v/>
      </c>
      <c r="AV350" s="32">
        <f>IFERROR(Upgrades!$H$9*(POWER(Upgrades!$P$6,E350)*POWER(Upgrades!$P$7,F350)*POWER(Upgrades!$P$8,G350)*POWER(Upgrades!$P$9,H350)*POWER(Upgrades!$P$10,I350)*POWER(Upgrades!$P$11,J350)*POWER(Upgrades!$P$12,K350))*(IF(Upgrades!$T$6="Magnetosphere",POWER(Upgrades!$U$6,E350),1)*IF(Upgrades!$T$7="Magnetosphere",POWER(Upgrades!$U$7,F350),1)*IF(Upgrades!$T$8="Magnetosphere",POWER(Upgrades!$U$8,G350),1)*IF(Upgrades!$T$10="Magnetosphere",POWER(Upgrades!$U$10,I350),1)*IF(Upgrades!$T$11="Magnetosphere",POWER(Upgrades!$U$11,J350),1)*IF(Upgrades!$T$12="Magnetosphere",POWER(Upgrades!$U$12,K350),1))/AJ350,0)</f>
        <v/>
      </c>
      <c r="AW350" s="32">
        <f>MAX(IF(I350&gt;0,0,IFERROR(0.25*N350/Upgrades!$C$10,0)),IF(J350&gt;0,0,IFERROR(0.5*((IF(G350=0,0,(Upgrades!$J$8+G350*Upgrades!$K$8)*POWER(Upgrades!$L$8,G350)))*(IF(Upgrades!$T$6="Stellar Coupling",POWER(Upgrades!$U$6,E350),1)*IF(Upgrades!$T$7="Stellar Coupling",POWER(Upgrades!$U$7,F350),1)*IF(Upgrades!$T$9="Stellar Coupling",POWER(Upgrades!$U$9,H350),1)*IF(Upgrades!$T$10="Stellar Coupling",POWER(Upgrades!$U$10,I350),1)*IF(Upgrades!$T$11="Stellar Coupling",POWER(Upgrades!$U$11,J350),1)*IF(Upgrades!$T$12="Stellar Coupling",POWER(Upgrades!$U$12,K350),1))*(POWER(Upgrades!$Q$6,E350)*POWER(Upgrades!$Q$7,F350)*POWER(Upgrades!$Q$8,G350)*POWER(Upgrades!$Q$9,H350)*POWER(Upgrades!$Q$10,I350)*POWER(Upgrades!$Q$11,J350)*POWER(Upgrades!$Q$12,K350))*Parameters!$B$10*Parameters!$B$11/60)/Upgrades!$C$11,0)),IF(K350&gt;0,0,IFERROR((1.0*(POWER(Upgrades!$P$6,E350)*POWER(Upgrades!$P$7,F350)*POWER(Upgrades!$P$8,G350)*POWER(Upgrades!$P$9,H350)*POWER(Upgrades!$P$10,I350)*POWER(Upgrades!$P$11,J350)*POWER(Upgrades!$P$12,K350))+0.20*M350*Parameters!$B$10*Parameters!$B$11/60)/Upgrades!$C$12,0)),IF(AND(ISNUMBER(AG350),AG350&gt;T350),AS350,0),IF(AND(ISNUMBER(AH350),AH350&gt;T350),AT350,0),IF(AND(ISNUMBER(AI350),AI350&gt;T350),AU350,0),IF(AND(ISNUMBER(AJ350),AJ350&gt;T350),AV350,0))</f>
        <v/>
      </c>
      <c r="AX350" s="29">
        <f>IF(AN350=1,"transition",IF(MIN(IF(AND(I350=0,ISNUMBER(AK350),AK350&lt;=T350),AK350,9E15),IF(AND(J350=0,ISNUMBER(AL350),AL350&lt;=T350),AL350,9E15),IF(AND(K350=0,ISNUMBER(AM350),AM350&lt;=T350),AM350,9E15))&lt;9E15,IF(AND(AND(I350=0,ISNUMBER(AK350),AK350&lt;=T350),AK350=MIN(IF(AND(I350=0,ISNUMBER(AK350),AK350&lt;=T350),AK350,9E15),IF(AND(J350=0,ISNUMBER(AL350),AL350&lt;=T350),AL350,9E15),IF(AND(K350=0,ISNUMBER(AM350),AM350&lt;=T350),AM350,9E15))),"OR",IF(AND(AND(J350=0,ISNUMBER(AL350),AL350&lt;=T350),AL350=MIN(IF(AND(I350=0,ISNUMBER(AK350),AK350&lt;=T350),AK350,9E15),IF(AND(J350=0,ISNUMBER(AL350),AL350&lt;=T350),AL350,9E15),IF(AND(K350=0,ISNUMBER(AM350),AM350&lt;=T350),AM350,9E15))),"HP","FP")),IF(AR350=TRUE,"",IF(MAX(IF(AND(NOT(AND(AO350=1,AN350&lt;&gt;1)),ISNUMBER(AG350),AG350&lt;=T350),AS350,0),IF(AND(NOT(AND(AO350=1,AN350&lt;&gt;1)),ISNUMBER(AH350),AH350&lt;=T350),AT350,0),IF(AND(NOT(AND(AO350=1,AN350&lt;&gt;1)),ISNUMBER(AI350),AI350&lt;=T350),AU350,0),IF(AND(ISNUMBER(AJ350),AJ350&lt;=T350),AV350,0))&lt;=0,"",IF(AND(IF(AND(NOT(AND(AO350=1,AN350&lt;&gt;1)),ISNUMBER(AG350),AG350&lt;=T350),AS350,0)&gt;0,IF(AND(NOT(AND(AO350=1,AN350&lt;&gt;1)),ISNUMBER(AG350),AG350&lt;=T350),AS350,0)=MAX(IF(AND(NOT(AND(AO350=1,AN350&lt;&gt;1)),ISNUMBER(AG350),AG350&lt;=T350),AS350,0),IF(AND(NOT(AND(AO350=1,AN350&lt;&gt;1)),ISNUMBER(AH350),AH350&lt;=T350),AT350,0),IF(AND(NOT(AND(AO350=1,AN350&lt;&gt;1)),ISNUMBER(AI350),AI350&lt;=T350),AU350,0),IF(AND(ISNUMBER(AJ350),AJ350&lt;=T350),AV350,0))),"SW",IF(AND(IF(AND(NOT(AND(AO350=1,AN350&lt;&gt;1)),ISNUMBER(AH350),AH350&lt;=T350),AT350,0)&gt;0,IF(AND(NOT(AND(AO350=1,AN350&lt;&gt;1)),ISNUMBER(AH350),AH350&lt;=T350),AT350,0)=MAX(IF(AND(NOT(AND(AO350=1,AN350&lt;&gt;1)),ISNUMBER(AG350),AG350&lt;=T350),AS350,0),IF(AND(NOT(AND(AO350=1,AN350&lt;&gt;1)),ISNUMBER(AH350),AH350&lt;=T350),AT350,0),IF(AND(NOT(AND(AO350=1,AN350&lt;&gt;1)),ISNUMBER(AI350),AI350&lt;=T350),AU350,0),IF(AND(ISNUMBER(AJ350),AJ350&lt;=T350),AV350,0))),"AB",IF(AND(IF(AND(NOT(AND(AO350=1,AN350&lt;&gt;1)),ISNUMBER(AI350),AI350&lt;=T350),AU350,0)&gt;0,IF(AND(NOT(AND(AO350=1,AN350&lt;&gt;1)),ISNUMBER(AI350),AI350&lt;=T350),AU350,0)=MAX(IF(AND(NOT(AND(AO350=1,AN350&lt;&gt;1)),ISNUMBER(AG350),AG350&lt;=T350),AS350,0),IF(AND(NOT(AND(AO350=1,AN350&lt;&gt;1)),ISNUMBER(AH350),AH350&lt;=T350),AT350,0),IF(AND(NOT(AND(AO350=1,AN350&lt;&gt;1)),ISNUMBER(AI350),AI350&lt;=T350),AU350,0),IF(AND(ISNUMBER(AJ350),AJ350&lt;=T350),AV350,0))),"SC","Mag")))))))</f>
        <v/>
      </c>
    </row>
    <row r="351">
      <c r="A351" s="26" t="n">
        <v>346</v>
      </c>
      <c r="B351" s="27">
        <f>A351*10/60</f>
        <v/>
      </c>
      <c r="C351" s="22">
        <f>X350</f>
        <v/>
      </c>
      <c r="D351" s="27">
        <f>D350+W350</f>
        <v/>
      </c>
      <c r="E351" s="26">
        <f>E350+IF(U350="SW",1,0)</f>
        <v/>
      </c>
      <c r="F351" s="26">
        <f>F350+IF(U350="AB",1,0)</f>
        <v/>
      </c>
      <c r="G351" s="26">
        <f>G350+IF(U350="SC",1,0)</f>
        <v/>
      </c>
      <c r="H351" s="26">
        <f>H350+IF(U350="Mag",1,0)</f>
        <v/>
      </c>
      <c r="I351" s="26">
        <f>MAX(I350,IF(U350="OR",1,0))</f>
        <v/>
      </c>
      <c r="J351" s="26">
        <f>MAX(J350,IF(U350="HP",1,0))</f>
        <v/>
      </c>
      <c r="K351" s="26">
        <f>MAX(K350,IF(U350="FP",1,0))</f>
        <v/>
      </c>
      <c r="L351" s="26">
        <f>MAX(L350,IF(U350="transition",1,0))</f>
        <v/>
      </c>
      <c r="M351" s="28">
        <f>(Parameters!$B$9+(IF(E351=0,0,(Upgrades!$J$6+E351*Upgrades!$K$6)*POWER(Upgrades!$L$6,E351)))*(IF(Upgrades!$T$7="Solar Wind",POWER(Upgrades!$U$7,F351),1)*IF(Upgrades!$T$8="Solar Wind",POWER(Upgrades!$U$8,G351),1)*IF(Upgrades!$T$9="Solar Wind",POWER(Upgrades!$U$9,H351),1)*IF(Upgrades!$T$10="Solar Wind",POWER(Upgrades!$U$10,I351),1)*IF(Upgrades!$T$11="Solar Wind",POWER(Upgrades!$U$11,J351),1)*IF(Upgrades!$T$12="Solar Wind",POWER(Upgrades!$U$12,K351),1))+(IF(F351=0,0,(Upgrades!$J$7+F351*Upgrades!$K$7)*POWER(Upgrades!$L$7,F351)))*(IF(Upgrades!$T$6="Asteroid Belt",POWER(Upgrades!$U$6,E351),1)*IF(Upgrades!$T$8="Asteroid Belt",POWER(Upgrades!$U$8,G351),1)*IF(Upgrades!$T$9="Asteroid Belt",POWER(Upgrades!$U$9,H351),1)*IF(Upgrades!$T$10="Asteroid Belt",POWER(Upgrades!$U$10,I351),1)*IF(Upgrades!$T$11="Asteroid Belt",POWER(Upgrades!$U$11,J351),1)*IF(Upgrades!$T$12="Asteroid Belt",POWER(Upgrades!$U$12,K351),1))+(IF(G351=0,0,(Upgrades!$J$8+G351*Upgrades!$K$8)*POWER(Upgrades!$L$8,G351)))*(IF(Upgrades!$T$6="Stellar Coupling",POWER(Upgrades!$U$6,E351),1)*IF(Upgrades!$T$7="Stellar Coupling",POWER(Upgrades!$U$7,F351),1)*IF(Upgrades!$T$9="Stellar Coupling",POWER(Upgrades!$U$9,H351),1)*IF(Upgrades!$T$10="Stellar Coupling",POWER(Upgrades!$U$10,I351),1)*IF(Upgrades!$T$11="Stellar Coupling",POWER(Upgrades!$U$11,J351),1)*IF(Upgrades!$T$12="Stellar Coupling",POWER(Upgrades!$U$12,K351),1))+(IF(H351=0,0,(Upgrades!$J$9+H351*Upgrades!$K$9)*POWER(Upgrades!$L$9,H351)))*(IF(Upgrades!$T$6="Magnetosphere",POWER(Upgrades!$U$6,E351),1)*IF(Upgrades!$T$7="Magnetosphere",POWER(Upgrades!$U$7,F351),1)*IF(Upgrades!$T$8="Magnetosphere",POWER(Upgrades!$U$8,G351),1)*IF(Upgrades!$T$10="Magnetosphere",POWER(Upgrades!$U$10,I351),1)*IF(Upgrades!$T$11="Magnetosphere",POWER(Upgrades!$U$11,J351),1)*IF(Upgrades!$T$12="Magnetosphere",POWER(Upgrades!$U$12,K351),1))+(IF(I351=0,0,(Upgrades!$J$10+I351*Upgrades!$K$10)*POWER(Upgrades!$L$10,I351)))*(IF(Upgrades!$T$6="Orbital Resonance",POWER(Upgrades!$U$6,E351),1)*IF(Upgrades!$T$7="Orbital Resonance",POWER(Upgrades!$U$7,F351),1)*IF(Upgrades!$T$8="Orbital Resonance",POWER(Upgrades!$U$8,G351),1)*IF(Upgrades!$T$9="Orbital Resonance",POWER(Upgrades!$U$9,H351),1)*IF(Upgrades!$T$11="Orbital Resonance",POWER(Upgrades!$U$11,J351),1)*IF(Upgrades!$T$12="Orbital Resonance",POWER(Upgrades!$U$12,K351),1))+(IF(J351=0,0,(Upgrades!$J$11+J351*Upgrades!$K$11)*POWER(Upgrades!$L$11,J351)))*(IF(Upgrades!$T$6="Heliopause",POWER(Upgrades!$U$6,E351),1)*IF(Upgrades!$T$7="Heliopause",POWER(Upgrades!$U$7,F351),1)*IF(Upgrades!$T$8="Heliopause",POWER(Upgrades!$U$8,G351),1)*IF(Upgrades!$T$9="Heliopause",POWER(Upgrades!$U$9,H351),1)*IF(Upgrades!$T$10="Heliopause",POWER(Upgrades!$U$10,I351),1)*IF(Upgrades!$T$12="Heliopause",POWER(Upgrades!$U$12,K351),1))+(IF(K351=0,0,(Upgrades!$J$12+K351*Upgrades!$K$12)*POWER(Upgrades!$L$12,K351)))*(IF(Upgrades!$T$6="First Photons",POWER(Upgrades!$U$6,E351),1)*IF(Upgrades!$T$7="First Photons",POWER(Upgrades!$U$7,F351),1)*IF(Upgrades!$T$8="First Photons",POWER(Upgrades!$U$8,G351),1)*IF(Upgrades!$T$9="First Photons",POWER(Upgrades!$U$9,H351),1)*IF(Upgrades!$T$10="First Photons",POWER(Upgrades!$U$10,I351),1)*IF(Upgrades!$T$11="First Photons",POWER(Upgrades!$U$11,J351),1)))*POWER(Upgrades!$Q$6,E351)*POWER(Upgrades!$Q$7,F351)*POWER(Upgrades!$Q$8,G351)*POWER(Upgrades!$Q$9,H351)*POWER(Upgrades!$Q$10,I351)*POWER(Upgrades!$Q$11,J351)*POWER(Upgrades!$Q$12,K351)</f>
        <v/>
      </c>
      <c r="N351" s="28">
        <f>((IF(E351=0,0,(Upgrades!$G$6+E351*Upgrades!$H$6)*POWER(Upgrades!$I$6,E351)))*(IF(Upgrades!$T$7="Solar Wind",POWER(Upgrades!$U$7,F351),1)*IF(Upgrades!$T$8="Solar Wind",POWER(Upgrades!$U$8,G351),1)*IF(Upgrades!$T$9="Solar Wind",POWER(Upgrades!$U$9,H351),1)*IF(Upgrades!$T$10="Solar Wind",POWER(Upgrades!$U$10,I351),1)*IF(Upgrades!$T$11="Solar Wind",POWER(Upgrades!$U$11,J351),1)*IF(Upgrades!$T$12="Solar Wind",POWER(Upgrades!$U$12,K351),1))+(IF(F351=0,0,(Upgrades!$G$7+F351*Upgrades!$H$7)*POWER(Upgrades!$I$7,F351)))*(IF(Upgrades!$T$6="Asteroid Belt",POWER(Upgrades!$U$6,E351),1)*IF(Upgrades!$T$8="Asteroid Belt",POWER(Upgrades!$U$8,G351),1)*IF(Upgrades!$T$9="Asteroid Belt",POWER(Upgrades!$U$9,H351),1)*IF(Upgrades!$T$10="Asteroid Belt",POWER(Upgrades!$U$10,I351),1)*IF(Upgrades!$T$11="Asteroid Belt",POWER(Upgrades!$U$11,J351),1)*IF(Upgrades!$T$12="Asteroid Belt",POWER(Upgrades!$U$12,K351),1))+(IF(G351=0,0,(Upgrades!$G$8+G351*Upgrades!$H$8)*POWER(Upgrades!$I$8,G351)))*(IF(Upgrades!$T$6="Stellar Coupling",POWER(Upgrades!$U$6,E351),1)*IF(Upgrades!$T$7="Stellar Coupling",POWER(Upgrades!$U$7,F351),1)*IF(Upgrades!$T$9="Stellar Coupling",POWER(Upgrades!$U$9,H351),1)*IF(Upgrades!$T$10="Stellar Coupling",POWER(Upgrades!$U$10,I351),1)*IF(Upgrades!$T$11="Stellar Coupling",POWER(Upgrades!$U$11,J351),1)*IF(Upgrades!$T$12="Stellar Coupling",POWER(Upgrades!$U$12,K351),1))+(IF(H351=0,0,(Upgrades!$G$9+H351*Upgrades!$H$9)*POWER(Upgrades!$I$9,H351)))*(IF(Upgrades!$T$6="Magnetosphere",POWER(Upgrades!$U$6,E351),1)*IF(Upgrades!$T$7="Magnetosphere",POWER(Upgrades!$U$7,F351),1)*IF(Upgrades!$T$8="Magnetosphere",POWER(Upgrades!$U$8,G351),1)*IF(Upgrades!$T$10="Magnetosphere",POWER(Upgrades!$U$10,I351),1)*IF(Upgrades!$T$11="Magnetosphere",POWER(Upgrades!$U$11,J351),1)*IF(Upgrades!$T$12="Magnetosphere",POWER(Upgrades!$U$12,K351),1))+(IF(I351=0,0,(Upgrades!$G$10+I351*Upgrades!$H$10)*POWER(Upgrades!$I$10,I351)))*(IF(Upgrades!$T$6="Orbital Resonance",POWER(Upgrades!$U$6,E351),1)*IF(Upgrades!$T$7="Orbital Resonance",POWER(Upgrades!$U$7,F351),1)*IF(Upgrades!$T$8="Orbital Resonance",POWER(Upgrades!$U$8,G351),1)*IF(Upgrades!$T$9="Orbital Resonance",POWER(Upgrades!$U$9,H351),1)*IF(Upgrades!$T$11="Orbital Resonance",POWER(Upgrades!$U$11,J351),1)*IF(Upgrades!$T$12="Orbital Resonance",POWER(Upgrades!$U$12,K351),1))+(IF(J351=0,0,(Upgrades!$G$11+J351*Upgrades!$H$11)*POWER(Upgrades!$I$11,J351)))*(IF(Upgrades!$T$6="Heliopause",POWER(Upgrades!$U$6,E351),1)*IF(Upgrades!$T$7="Heliopause",POWER(Upgrades!$U$7,F351),1)*IF(Upgrades!$T$8="Heliopause",POWER(Upgrades!$U$8,G351),1)*IF(Upgrades!$T$9="Heliopause",POWER(Upgrades!$U$9,H351),1)*IF(Upgrades!$T$10="Heliopause",POWER(Upgrades!$U$10,I351),1)*IF(Upgrades!$T$12="Heliopause",POWER(Upgrades!$U$12,K351),1))+(IF(K351=0,0,(Upgrades!$G$12+K351*Upgrades!$H$12)*POWER(Upgrades!$I$12,K351)))*(IF(Upgrades!$T$6="First Photons",POWER(Upgrades!$U$6,E351),1)*IF(Upgrades!$T$7="First Photons",POWER(Upgrades!$U$7,F351),1)*IF(Upgrades!$T$8="First Photons",POWER(Upgrades!$U$8,G351),1)*IF(Upgrades!$T$9="First Photons",POWER(Upgrades!$U$9,H351),1)*IF(Upgrades!$T$10="First Photons",POWER(Upgrades!$U$10,I351),1)*IF(Upgrades!$T$11="First Photons",POWER(Upgrades!$U$11,J351),1)))*POWER(Upgrades!$P$6,E351)*POWER(Upgrades!$P$7,F351)*POWER(Upgrades!$P$8,G351)*POWER(Upgrades!$P$9,H351)*POWER(Upgrades!$P$10,I351)*POWER(Upgrades!$P$11,J351)*POWER(Upgrades!$P$12,K351)</f>
        <v/>
      </c>
      <c r="O351" s="28">
        <f>((IF(E351=0,0,(Upgrades!$M$6+E351*Upgrades!$N$6)*POWER(Upgrades!$O$6,E351)))*(IF(Upgrades!$T$7="Solar Wind",POWER(Upgrades!$U$7,F351),1)*IF(Upgrades!$T$8="Solar Wind",POWER(Upgrades!$U$8,G351),1)*IF(Upgrades!$T$9="Solar Wind",POWER(Upgrades!$U$9,H351),1)*IF(Upgrades!$T$10="Solar Wind",POWER(Upgrades!$U$10,I351),1)*IF(Upgrades!$T$11="Solar Wind",POWER(Upgrades!$U$11,J351),1)*IF(Upgrades!$T$12="Solar Wind",POWER(Upgrades!$U$12,K351),1))+(IF(F351=0,0,(Upgrades!$M$7+F351*Upgrades!$N$7)*POWER(Upgrades!$O$7,F351)))*(IF(Upgrades!$T$6="Asteroid Belt",POWER(Upgrades!$U$6,E351),1)*IF(Upgrades!$T$8="Asteroid Belt",POWER(Upgrades!$U$8,G351),1)*IF(Upgrades!$T$9="Asteroid Belt",POWER(Upgrades!$U$9,H351),1)*IF(Upgrades!$T$10="Asteroid Belt",POWER(Upgrades!$U$10,I351),1)*IF(Upgrades!$T$11="Asteroid Belt",POWER(Upgrades!$U$11,J351),1)*IF(Upgrades!$T$12="Asteroid Belt",POWER(Upgrades!$U$12,K351),1))+(IF(G351=0,0,(Upgrades!$M$8+G351*Upgrades!$N$8)*POWER(Upgrades!$O$8,G351)))*(IF(Upgrades!$T$6="Stellar Coupling",POWER(Upgrades!$U$6,E351),1)*IF(Upgrades!$T$7="Stellar Coupling",POWER(Upgrades!$U$7,F351),1)*IF(Upgrades!$T$9="Stellar Coupling",POWER(Upgrades!$U$9,H351),1)*IF(Upgrades!$T$10="Stellar Coupling",POWER(Upgrades!$U$10,I351),1)*IF(Upgrades!$T$11="Stellar Coupling",POWER(Upgrades!$U$11,J351),1)*IF(Upgrades!$T$12="Stellar Coupling",POWER(Upgrades!$U$12,K351),1))+(IF(H351=0,0,(Upgrades!$M$9+H351*Upgrades!$N$9)*POWER(Upgrades!$O$9,H351)))*(IF(Upgrades!$T$6="Magnetosphere",POWER(Upgrades!$U$6,E351),1)*IF(Upgrades!$T$7="Magnetosphere",POWER(Upgrades!$U$7,F351),1)*IF(Upgrades!$T$8="Magnetosphere",POWER(Upgrades!$U$8,G351),1)*IF(Upgrades!$T$10="Magnetosphere",POWER(Upgrades!$U$10,I351),1)*IF(Upgrades!$T$11="Magnetosphere",POWER(Upgrades!$U$11,J351),1)*IF(Upgrades!$T$12="Magnetosphere",POWER(Upgrades!$U$12,K351),1))+(IF(I351=0,0,(Upgrades!$M$10+I351*Upgrades!$N$10)*POWER(Upgrades!$O$10,I351)))*(IF(Upgrades!$T$6="Orbital Resonance",POWER(Upgrades!$U$6,E351),1)*IF(Upgrades!$T$7="Orbital Resonance",POWER(Upgrades!$U$7,F351),1)*IF(Upgrades!$T$8="Orbital Resonance",POWER(Upgrades!$U$8,G351),1)*IF(Upgrades!$T$9="Orbital Resonance",POWER(Upgrades!$U$9,H351),1)*IF(Upgrades!$T$11="Orbital Resonance",POWER(Upgrades!$U$11,J351),1)*IF(Upgrades!$T$12="Orbital Resonance",POWER(Upgrades!$U$12,K351),1))+(IF(J351=0,0,(Upgrades!$M$11+J351*Upgrades!$N$11)*POWER(Upgrades!$O$11,J351)))*(IF(Upgrades!$T$6="Heliopause",POWER(Upgrades!$U$6,E351),1)*IF(Upgrades!$T$7="Heliopause",POWER(Upgrades!$U$7,F351),1)*IF(Upgrades!$T$8="Heliopause",POWER(Upgrades!$U$8,G351),1)*IF(Upgrades!$T$9="Heliopause",POWER(Upgrades!$U$9,H351),1)*IF(Upgrades!$T$10="Heliopause",POWER(Upgrades!$U$10,I351),1)*IF(Upgrades!$T$12="Heliopause",POWER(Upgrades!$U$12,K351),1))+(IF(K351=0,0,(Upgrades!$M$12+K351*Upgrades!$N$12)*POWER(Upgrades!$O$12,K351)))*(IF(Upgrades!$T$6="First Photons",POWER(Upgrades!$U$6,E351),1)*IF(Upgrades!$T$7="First Photons",POWER(Upgrades!$U$7,F351),1)*IF(Upgrades!$T$8="First Photons",POWER(Upgrades!$U$8,G351),1)*IF(Upgrades!$T$9="First Photons",POWER(Upgrades!$U$9,H351),1)*IF(Upgrades!$T$10="First Photons",POWER(Upgrades!$U$10,I351),1)*IF(Upgrades!$T$11="First Photons",POWER(Upgrades!$U$11,J351),1)))*POWER(Upgrades!$R$6,E351)*POWER(Upgrades!$R$7,F351)*POWER(Upgrades!$R$8,G351)*POWER(Upgrades!$R$9,H351)*POWER(Upgrades!$R$10,I351)*POWER(Upgrades!$R$11,J351)*POWER(Upgrades!$R$12,K351)</f>
        <v/>
      </c>
      <c r="P351" s="27">
        <f>IF(L351=1,0,M351*Parameters!$B$10/60*Parameters!$B$11*10)</f>
        <v/>
      </c>
      <c r="Q351" s="27">
        <f>IF(L351=1,0,O351*M351*10)</f>
        <v/>
      </c>
      <c r="R351" s="27">
        <f>IF(L351=1,0,N351*10)</f>
        <v/>
      </c>
      <c r="S351" s="27">
        <f>P351+Q351+R351</f>
        <v/>
      </c>
      <c r="T351" s="22">
        <f>C351+S351</f>
        <v/>
      </c>
      <c r="U351" s="33">
        <f>AX351</f>
        <v/>
      </c>
      <c r="V351" s="22">
        <f>IF(U351="",0,IF(U351="transition",0,IF(U351="SW",AG351,IF(U351="AB",AH351,IF(U351="SC",AI351,IF(U351="Mag",AJ351,IF(U351="OR",AK351,IF(U351="HP",AL351,IF(U351="FP",AM351,0)))))))))</f>
        <v/>
      </c>
      <c r="W351" s="27">
        <f>IF(U351="OR",Upgrades!$F$10,IF(U351="HP",Upgrades!$F$11,IF(U351="transition",-Parameters!$B$18,0)))</f>
        <v/>
      </c>
      <c r="X351" s="22">
        <f>T351-V351</f>
        <v/>
      </c>
      <c r="Y351" s="30">
        <f>M351*Parameters!$B$10/60*Parameters!$B$11+O351*M351+N351</f>
        <v/>
      </c>
      <c r="Z351" s="34">
        <f>IF(U351="transition","→ Tier 2 (Stellar Neighborhood)",IF(U351="FP","First Photons — light begins, system quickens",IF(U351="HP","Heliopause acquired",IF(U351="OR","Orbital Resonance — passive multiplier active",IF(AND(AO351=1,L351=0,AN351&lt;&gt;1),"Cohesion ready (waiting on completionist upgrades)","")))))</f>
        <v/>
      </c>
      <c r="AA351" s="27">
        <f>(IF(E351=0,0,(Upgrades!$G$6+E351*Upgrades!$H$6)*POWER(Upgrades!$I$6,E351)))*(IF(Upgrades!$T$7="Solar Wind",POWER(Upgrades!$U$7,F351),1)*IF(Upgrades!$T$8="Solar Wind",POWER(Upgrades!$U$8,G351),1)*IF(Upgrades!$T$9="Solar Wind",POWER(Upgrades!$U$9,H351),1)*IF(Upgrades!$T$10="Solar Wind",POWER(Upgrades!$U$10,I351),1)*IF(Upgrades!$T$11="Solar Wind",POWER(Upgrades!$U$11,J351),1)*IF(Upgrades!$T$12="Solar Wind",POWER(Upgrades!$U$12,K351),1))*POWER(Upgrades!$P$6,E351)*POWER(Upgrades!$P$7,F351)*POWER(Upgrades!$P$8,G351)*POWER(Upgrades!$P$9,H351)*POWER(Upgrades!$P$10,I351)*POWER(Upgrades!$P$11,J351)*POWER(Upgrades!$P$12,K351)*60</f>
        <v/>
      </c>
      <c r="AB351" s="27">
        <f>(IF(F351=0,0,(Upgrades!$G$7+F351*Upgrades!$H$7)*POWER(Upgrades!$I$7,F351)))*(IF(Upgrades!$T$6="Asteroid Belt",POWER(Upgrades!$U$6,E351),1)*IF(Upgrades!$T$8="Asteroid Belt",POWER(Upgrades!$U$8,G351),1)*IF(Upgrades!$T$9="Asteroid Belt",POWER(Upgrades!$U$9,H351),1)*IF(Upgrades!$T$10="Asteroid Belt",POWER(Upgrades!$U$10,I351),1)*IF(Upgrades!$T$11="Asteroid Belt",POWER(Upgrades!$U$11,J351),1)*IF(Upgrades!$T$12="Asteroid Belt",POWER(Upgrades!$U$12,K351),1))*POWER(Upgrades!$P$6,E351)*POWER(Upgrades!$P$7,F351)*POWER(Upgrades!$P$8,G351)*POWER(Upgrades!$P$9,H351)*POWER(Upgrades!$P$10,I351)*POWER(Upgrades!$P$11,J351)*POWER(Upgrades!$P$12,K351)*60</f>
        <v/>
      </c>
      <c r="AC351" s="27">
        <f>(IF(G351=0,0,(Upgrades!$J$8+G351*Upgrades!$K$8)*POWER(Upgrades!$L$8,G351)))*(IF(Upgrades!$T$6="Stellar Coupling",POWER(Upgrades!$U$6,E351),1)*IF(Upgrades!$T$7="Stellar Coupling",POWER(Upgrades!$U$7,F351),1)*IF(Upgrades!$T$9="Stellar Coupling",POWER(Upgrades!$U$9,H351),1)*IF(Upgrades!$T$10="Stellar Coupling",POWER(Upgrades!$U$10,I351),1)*IF(Upgrades!$T$11="Stellar Coupling",POWER(Upgrades!$U$11,J351),1)*IF(Upgrades!$T$12="Stellar Coupling",POWER(Upgrades!$U$12,K351),1))*POWER(Upgrades!$Q$6,E351)*POWER(Upgrades!$Q$7,F351)*POWER(Upgrades!$Q$8,G351)*POWER(Upgrades!$Q$9,H351)*POWER(Upgrades!$Q$10,I351)*POWER(Upgrades!$Q$11,J351)*POWER(Upgrades!$Q$12,K351)*Parameters!$B$10*Parameters!$B$11</f>
        <v/>
      </c>
      <c r="AD351" s="27">
        <f>(IF(H351=0,0,(Upgrades!$G$9+H351*Upgrades!$H$9)*POWER(Upgrades!$I$9,H351)))*(IF(Upgrades!$T$6="Magnetosphere",POWER(Upgrades!$U$6,E351),1)*IF(Upgrades!$T$7="Magnetosphere",POWER(Upgrades!$U$7,F351),1)*IF(Upgrades!$T$8="Magnetosphere",POWER(Upgrades!$U$8,G351),1)*IF(Upgrades!$T$10="Magnetosphere",POWER(Upgrades!$U$10,I351),1)*IF(Upgrades!$T$11="Magnetosphere",POWER(Upgrades!$U$11,J351),1)*IF(Upgrades!$T$12="Magnetosphere",POWER(Upgrades!$U$12,K351),1))*POWER(Upgrades!$P$6,E351)*POWER(Upgrades!$P$7,F351)*POWER(Upgrades!$P$8,G351)*POWER(Upgrades!$P$9,H351)*POWER(Upgrades!$P$10,I351)*POWER(Upgrades!$P$11,J351)*POWER(Upgrades!$P$12,K351)*60</f>
        <v/>
      </c>
      <c r="AE351" s="27">
        <f>(IF(K351=0,0,(Upgrades!$G$12+K351*Upgrades!$H$12)*POWER(Upgrades!$I$12,K351)))*(IF(Upgrades!$T$6="First Photons",POWER(Upgrades!$U$6,E351),1)*IF(Upgrades!$T$7="First Photons",POWER(Upgrades!$U$7,F351),1)*IF(Upgrades!$T$8="First Photons",POWER(Upgrades!$U$8,G351),1)*IF(Upgrades!$T$9="First Photons",POWER(Upgrades!$U$9,H351),1)*IF(Upgrades!$T$10="First Photons",POWER(Upgrades!$U$10,I351),1)*IF(Upgrades!$T$11="First Photons",POWER(Upgrades!$U$11,J351),1))*POWER(Upgrades!$P$6,E351)*POWER(Upgrades!$P$7,F351)*POWER(Upgrades!$P$8,G351)*POWER(Upgrades!$P$9,H351)*POWER(Upgrades!$P$10,I351)*POWER(Upgrades!$P$11,J351)*POWER(Upgrades!$P$12,K351)*60</f>
        <v/>
      </c>
      <c r="AF351" s="27">
        <f>Parameters!$B$9*POWER(Upgrades!$Q$6,E351)*POWER(Upgrades!$Q$7,F351)*POWER(Upgrades!$Q$8,G351)*POWER(Upgrades!$Q$9,H351)*POWER(Upgrades!$Q$10,I351)*POWER(Upgrades!$Q$11,J351)*POWER(Upgrades!$Q$12,K351)*(Parameters!$B$10*Parameters!$B$11+O351*60)</f>
        <v/>
      </c>
      <c r="AG351" s="22">
        <f>IF(E351&gt;=Upgrades!$E$6,"",Upgrades!$C$6*POWER(Upgrades!$D$6,E351))</f>
        <v/>
      </c>
      <c r="AH351" s="22">
        <f>IF(F351&gt;=Upgrades!$E$7,"",Upgrades!$C$7*POWER(Upgrades!$D$7,F351))</f>
        <v/>
      </c>
      <c r="AI351" s="22">
        <f>IF(G351&gt;=Upgrades!$E$8,"",Upgrades!$C$8*POWER(Upgrades!$D$8,G351))</f>
        <v/>
      </c>
      <c r="AJ351" s="22">
        <f>IF(H351&gt;=Upgrades!$E$9,"",Upgrades!$C$9*POWER(Upgrades!$D$9,H351))</f>
        <v/>
      </c>
      <c r="AK351" s="22">
        <f>IF(I351&gt;=Upgrades!$E$10,"",Upgrades!$C$10*POWER(Upgrades!$D$10,I351))</f>
        <v/>
      </c>
      <c r="AL351" s="22">
        <f>IF(J351&gt;=Upgrades!$E$11,"",Upgrades!$C$11*POWER(Upgrades!$D$11,J351))</f>
        <v/>
      </c>
      <c r="AM351" s="22">
        <f>IF(K351&gt;=Upgrades!$E$12,"",Upgrades!$C$12*POWER(Upgrades!$D$12,K351))</f>
        <v/>
      </c>
      <c r="AN351" s="26">
        <f>IF(AND(D351&gt;=Parameters!$B$18,(H351&gt;=Upgrades!$E$9)*(K351&gt;=Upgrades!$E$12)=1,L351=0),1,"")</f>
        <v/>
      </c>
      <c r="AO351" s="26">
        <f>IF(AND(D351&gt;=Parameters!$B$18,L351=0),1,"")</f>
        <v/>
      </c>
      <c r="AP351" s="22">
        <f>MIN(IF(ISNUMBER(AK351),AK351,9E15),IF(ISNUMBER(AL351),AL351,9E15),IF(ISNUMBER(AM351),AM351,9E15))</f>
        <v/>
      </c>
      <c r="AQ351" s="22">
        <f>MIN(IF(ISNUMBER(AG351),AG351,9E15),IF(ISNUMBER(AH351),AH351,9E15),IF(ISNUMBER(AI351),AI351,9E15),IF(ISNUMBER(AJ351),AJ351,9E15))</f>
        <v/>
      </c>
      <c r="AR351" s="29">
        <f>IF(AW351&gt;Parameters!$B$21*(MAX(IF(AND(NOT(AND(AO351=1,AN351&lt;&gt;1)),ISNUMBER(AG351),AG351&lt;=T351),AS351,0),IF(AND(NOT(AND(AO351=1,AN351&lt;&gt;1)),ISNUMBER(AH351),AH351&lt;=T351),AT351,0),IF(AND(NOT(AND(AO351=1,AN351&lt;&gt;1)),ISNUMBER(AI351),AI351&lt;=T351),AU351,0),IF(AND(ISNUMBER(AJ351),AJ351&lt;=T351),AV351,0))),TRUE,FALSE)</f>
        <v/>
      </c>
      <c r="AS351" s="32">
        <f>IFERROR(Upgrades!$H$6*(POWER(Upgrades!$P$6,E351)*POWER(Upgrades!$P$7,F351)*POWER(Upgrades!$P$8,G351)*POWER(Upgrades!$P$9,H351)*POWER(Upgrades!$P$10,I351)*POWER(Upgrades!$P$11,J351)*POWER(Upgrades!$P$12,K351))*(IF(Upgrades!$T$7="Solar Wind",POWER(Upgrades!$U$7,F351),1)*IF(Upgrades!$T$8="Solar Wind",POWER(Upgrades!$U$8,G351),1)*IF(Upgrades!$T$9="Solar Wind",POWER(Upgrades!$U$9,H351),1)*IF(Upgrades!$T$10="Solar Wind",POWER(Upgrades!$U$10,I351),1)*IF(Upgrades!$T$11="Solar Wind",POWER(Upgrades!$U$11,J351),1)*IF(Upgrades!$T$12="Solar Wind",POWER(Upgrades!$U$12,K351),1))/AG351,0)</f>
        <v/>
      </c>
      <c r="AT351" s="32">
        <f>IFERROR(Upgrades!$H$7*(POWER(Upgrades!$P$6,E351)*POWER(Upgrades!$P$7,F351)*POWER(Upgrades!$P$8,G351)*POWER(Upgrades!$P$9,H351)*POWER(Upgrades!$P$10,I351)*POWER(Upgrades!$P$11,J351)*POWER(Upgrades!$P$12,K351))*(IF(Upgrades!$T$6="Asteroid Belt",POWER(Upgrades!$U$6,E351),1)*IF(Upgrades!$T$8="Asteroid Belt",POWER(Upgrades!$U$8,G351),1)*IF(Upgrades!$T$9="Asteroid Belt",POWER(Upgrades!$U$9,H351),1)*IF(Upgrades!$T$10="Asteroid Belt",POWER(Upgrades!$U$10,I351),1)*IF(Upgrades!$T$11="Asteroid Belt",POWER(Upgrades!$U$11,J351),1)*IF(Upgrades!$T$12="Asteroid Belt",POWER(Upgrades!$U$12,K351),1))/AH351,0)</f>
        <v/>
      </c>
      <c r="AU351" s="32">
        <f>IFERROR(Upgrades!$K$8*(POWER(Upgrades!$Q$6,E351)*POWER(Upgrades!$Q$7,F351)*POWER(Upgrades!$Q$8,G351)*POWER(Upgrades!$Q$9,H351)*POWER(Upgrades!$Q$10,I351)*POWER(Upgrades!$Q$11,J351)*POWER(Upgrades!$Q$12,K351))*(IF(Upgrades!$T$6="Stellar Coupling",POWER(Upgrades!$U$6,E351),1)*IF(Upgrades!$T$7="Stellar Coupling",POWER(Upgrades!$U$7,F351),1)*IF(Upgrades!$T$9="Stellar Coupling",POWER(Upgrades!$U$9,H351),1)*IF(Upgrades!$T$10="Stellar Coupling",POWER(Upgrades!$U$10,I351),1)*IF(Upgrades!$T$11="Stellar Coupling",POWER(Upgrades!$U$11,J351),1)*IF(Upgrades!$T$12="Stellar Coupling",POWER(Upgrades!$U$12,K351),1))*Parameters!$B$10*Parameters!$B$11/60/AI351,0)</f>
        <v/>
      </c>
      <c r="AV351" s="32">
        <f>IFERROR(Upgrades!$H$9*(POWER(Upgrades!$P$6,E351)*POWER(Upgrades!$P$7,F351)*POWER(Upgrades!$P$8,G351)*POWER(Upgrades!$P$9,H351)*POWER(Upgrades!$P$10,I351)*POWER(Upgrades!$P$11,J351)*POWER(Upgrades!$P$12,K351))*(IF(Upgrades!$T$6="Magnetosphere",POWER(Upgrades!$U$6,E351),1)*IF(Upgrades!$T$7="Magnetosphere",POWER(Upgrades!$U$7,F351),1)*IF(Upgrades!$T$8="Magnetosphere",POWER(Upgrades!$U$8,G351),1)*IF(Upgrades!$T$10="Magnetosphere",POWER(Upgrades!$U$10,I351),1)*IF(Upgrades!$T$11="Magnetosphere",POWER(Upgrades!$U$11,J351),1)*IF(Upgrades!$T$12="Magnetosphere",POWER(Upgrades!$U$12,K351),1))/AJ351,0)</f>
        <v/>
      </c>
      <c r="AW351" s="32">
        <f>MAX(IF(I351&gt;0,0,IFERROR(0.25*N351/Upgrades!$C$10,0)),IF(J351&gt;0,0,IFERROR(0.5*((IF(G351=0,0,(Upgrades!$J$8+G351*Upgrades!$K$8)*POWER(Upgrades!$L$8,G351)))*(IF(Upgrades!$T$6="Stellar Coupling",POWER(Upgrades!$U$6,E351),1)*IF(Upgrades!$T$7="Stellar Coupling",POWER(Upgrades!$U$7,F351),1)*IF(Upgrades!$T$9="Stellar Coupling",POWER(Upgrades!$U$9,H351),1)*IF(Upgrades!$T$10="Stellar Coupling",POWER(Upgrades!$U$10,I351),1)*IF(Upgrades!$T$11="Stellar Coupling",POWER(Upgrades!$U$11,J351),1)*IF(Upgrades!$T$12="Stellar Coupling",POWER(Upgrades!$U$12,K351),1))*(POWER(Upgrades!$Q$6,E351)*POWER(Upgrades!$Q$7,F351)*POWER(Upgrades!$Q$8,G351)*POWER(Upgrades!$Q$9,H351)*POWER(Upgrades!$Q$10,I351)*POWER(Upgrades!$Q$11,J351)*POWER(Upgrades!$Q$12,K351))*Parameters!$B$10*Parameters!$B$11/60)/Upgrades!$C$11,0)),IF(K351&gt;0,0,IFERROR((1.0*(POWER(Upgrades!$P$6,E351)*POWER(Upgrades!$P$7,F351)*POWER(Upgrades!$P$8,G351)*POWER(Upgrades!$P$9,H351)*POWER(Upgrades!$P$10,I351)*POWER(Upgrades!$P$11,J351)*POWER(Upgrades!$P$12,K351))+0.20*M351*Parameters!$B$10*Parameters!$B$11/60)/Upgrades!$C$12,0)),IF(AND(ISNUMBER(AG351),AG351&gt;T351),AS351,0),IF(AND(ISNUMBER(AH351),AH351&gt;T351),AT351,0),IF(AND(ISNUMBER(AI351),AI351&gt;T351),AU351,0),IF(AND(ISNUMBER(AJ351),AJ351&gt;T351),AV351,0))</f>
        <v/>
      </c>
      <c r="AX351" s="29">
        <f>IF(AN351=1,"transition",IF(MIN(IF(AND(I351=0,ISNUMBER(AK351),AK351&lt;=T351),AK351,9E15),IF(AND(J351=0,ISNUMBER(AL351),AL351&lt;=T351),AL351,9E15),IF(AND(K351=0,ISNUMBER(AM351),AM351&lt;=T351),AM351,9E15))&lt;9E15,IF(AND(AND(I351=0,ISNUMBER(AK351),AK351&lt;=T351),AK351=MIN(IF(AND(I351=0,ISNUMBER(AK351),AK351&lt;=T351),AK351,9E15),IF(AND(J351=0,ISNUMBER(AL351),AL351&lt;=T351),AL351,9E15),IF(AND(K351=0,ISNUMBER(AM351),AM351&lt;=T351),AM351,9E15))),"OR",IF(AND(AND(J351=0,ISNUMBER(AL351),AL351&lt;=T351),AL351=MIN(IF(AND(I351=0,ISNUMBER(AK351),AK351&lt;=T351),AK351,9E15),IF(AND(J351=0,ISNUMBER(AL351),AL351&lt;=T351),AL351,9E15),IF(AND(K351=0,ISNUMBER(AM351),AM351&lt;=T351),AM351,9E15))),"HP","FP")),IF(AR351=TRUE,"",IF(MAX(IF(AND(NOT(AND(AO351=1,AN351&lt;&gt;1)),ISNUMBER(AG351),AG351&lt;=T351),AS351,0),IF(AND(NOT(AND(AO351=1,AN351&lt;&gt;1)),ISNUMBER(AH351),AH351&lt;=T351),AT351,0),IF(AND(NOT(AND(AO351=1,AN351&lt;&gt;1)),ISNUMBER(AI351),AI351&lt;=T351),AU351,0),IF(AND(ISNUMBER(AJ351),AJ351&lt;=T351),AV351,0))&lt;=0,"",IF(AND(IF(AND(NOT(AND(AO351=1,AN351&lt;&gt;1)),ISNUMBER(AG351),AG351&lt;=T351),AS351,0)&gt;0,IF(AND(NOT(AND(AO351=1,AN351&lt;&gt;1)),ISNUMBER(AG351),AG351&lt;=T351),AS351,0)=MAX(IF(AND(NOT(AND(AO351=1,AN351&lt;&gt;1)),ISNUMBER(AG351),AG351&lt;=T351),AS351,0),IF(AND(NOT(AND(AO351=1,AN351&lt;&gt;1)),ISNUMBER(AH351),AH351&lt;=T351),AT351,0),IF(AND(NOT(AND(AO351=1,AN351&lt;&gt;1)),ISNUMBER(AI351),AI351&lt;=T351),AU351,0),IF(AND(ISNUMBER(AJ351),AJ351&lt;=T351),AV351,0))),"SW",IF(AND(IF(AND(NOT(AND(AO351=1,AN351&lt;&gt;1)),ISNUMBER(AH351),AH351&lt;=T351),AT351,0)&gt;0,IF(AND(NOT(AND(AO351=1,AN351&lt;&gt;1)),ISNUMBER(AH351),AH351&lt;=T351),AT351,0)=MAX(IF(AND(NOT(AND(AO351=1,AN351&lt;&gt;1)),ISNUMBER(AG351),AG351&lt;=T351),AS351,0),IF(AND(NOT(AND(AO351=1,AN351&lt;&gt;1)),ISNUMBER(AH351),AH351&lt;=T351),AT351,0),IF(AND(NOT(AND(AO351=1,AN351&lt;&gt;1)),ISNUMBER(AI351),AI351&lt;=T351),AU351,0),IF(AND(ISNUMBER(AJ351),AJ351&lt;=T351),AV351,0))),"AB",IF(AND(IF(AND(NOT(AND(AO351=1,AN351&lt;&gt;1)),ISNUMBER(AI351),AI351&lt;=T351),AU351,0)&gt;0,IF(AND(NOT(AND(AO351=1,AN351&lt;&gt;1)),ISNUMBER(AI351),AI351&lt;=T351),AU351,0)=MAX(IF(AND(NOT(AND(AO351=1,AN351&lt;&gt;1)),ISNUMBER(AG351),AG351&lt;=T351),AS351,0),IF(AND(NOT(AND(AO351=1,AN351&lt;&gt;1)),ISNUMBER(AH351),AH351&lt;=T351),AT351,0),IF(AND(NOT(AND(AO351=1,AN351&lt;&gt;1)),ISNUMBER(AI351),AI351&lt;=T351),AU351,0),IF(AND(ISNUMBER(AJ351),AJ351&lt;=T351),AV351,0))),"SC","Mag")))))))</f>
        <v/>
      </c>
    </row>
    <row r="352">
      <c r="A352" s="26" t="n">
        <v>347</v>
      </c>
      <c r="B352" s="27">
        <f>A352*10/60</f>
        <v/>
      </c>
      <c r="C352" s="22">
        <f>X351</f>
        <v/>
      </c>
      <c r="D352" s="27">
        <f>D351+W351</f>
        <v/>
      </c>
      <c r="E352" s="26">
        <f>E351+IF(U351="SW",1,0)</f>
        <v/>
      </c>
      <c r="F352" s="26">
        <f>F351+IF(U351="AB",1,0)</f>
        <v/>
      </c>
      <c r="G352" s="26">
        <f>G351+IF(U351="SC",1,0)</f>
        <v/>
      </c>
      <c r="H352" s="26">
        <f>H351+IF(U351="Mag",1,0)</f>
        <v/>
      </c>
      <c r="I352" s="26">
        <f>MAX(I351,IF(U351="OR",1,0))</f>
        <v/>
      </c>
      <c r="J352" s="26">
        <f>MAX(J351,IF(U351="HP",1,0))</f>
        <v/>
      </c>
      <c r="K352" s="26">
        <f>MAX(K351,IF(U351="FP",1,0))</f>
        <v/>
      </c>
      <c r="L352" s="26">
        <f>MAX(L351,IF(U351="transition",1,0))</f>
        <v/>
      </c>
      <c r="M352" s="28">
        <f>(Parameters!$B$9+(IF(E352=0,0,(Upgrades!$J$6+E352*Upgrades!$K$6)*POWER(Upgrades!$L$6,E352)))*(IF(Upgrades!$T$7="Solar Wind",POWER(Upgrades!$U$7,F352),1)*IF(Upgrades!$T$8="Solar Wind",POWER(Upgrades!$U$8,G352),1)*IF(Upgrades!$T$9="Solar Wind",POWER(Upgrades!$U$9,H352),1)*IF(Upgrades!$T$10="Solar Wind",POWER(Upgrades!$U$10,I352),1)*IF(Upgrades!$T$11="Solar Wind",POWER(Upgrades!$U$11,J352),1)*IF(Upgrades!$T$12="Solar Wind",POWER(Upgrades!$U$12,K352),1))+(IF(F352=0,0,(Upgrades!$J$7+F352*Upgrades!$K$7)*POWER(Upgrades!$L$7,F352)))*(IF(Upgrades!$T$6="Asteroid Belt",POWER(Upgrades!$U$6,E352),1)*IF(Upgrades!$T$8="Asteroid Belt",POWER(Upgrades!$U$8,G352),1)*IF(Upgrades!$T$9="Asteroid Belt",POWER(Upgrades!$U$9,H352),1)*IF(Upgrades!$T$10="Asteroid Belt",POWER(Upgrades!$U$10,I352),1)*IF(Upgrades!$T$11="Asteroid Belt",POWER(Upgrades!$U$11,J352),1)*IF(Upgrades!$T$12="Asteroid Belt",POWER(Upgrades!$U$12,K352),1))+(IF(G352=0,0,(Upgrades!$J$8+G352*Upgrades!$K$8)*POWER(Upgrades!$L$8,G352)))*(IF(Upgrades!$T$6="Stellar Coupling",POWER(Upgrades!$U$6,E352),1)*IF(Upgrades!$T$7="Stellar Coupling",POWER(Upgrades!$U$7,F352),1)*IF(Upgrades!$T$9="Stellar Coupling",POWER(Upgrades!$U$9,H352),1)*IF(Upgrades!$T$10="Stellar Coupling",POWER(Upgrades!$U$10,I352),1)*IF(Upgrades!$T$11="Stellar Coupling",POWER(Upgrades!$U$11,J352),1)*IF(Upgrades!$T$12="Stellar Coupling",POWER(Upgrades!$U$12,K352),1))+(IF(H352=0,0,(Upgrades!$J$9+H352*Upgrades!$K$9)*POWER(Upgrades!$L$9,H352)))*(IF(Upgrades!$T$6="Magnetosphere",POWER(Upgrades!$U$6,E352),1)*IF(Upgrades!$T$7="Magnetosphere",POWER(Upgrades!$U$7,F352),1)*IF(Upgrades!$T$8="Magnetosphere",POWER(Upgrades!$U$8,G352),1)*IF(Upgrades!$T$10="Magnetosphere",POWER(Upgrades!$U$10,I352),1)*IF(Upgrades!$T$11="Magnetosphere",POWER(Upgrades!$U$11,J352),1)*IF(Upgrades!$T$12="Magnetosphere",POWER(Upgrades!$U$12,K352),1))+(IF(I352=0,0,(Upgrades!$J$10+I352*Upgrades!$K$10)*POWER(Upgrades!$L$10,I352)))*(IF(Upgrades!$T$6="Orbital Resonance",POWER(Upgrades!$U$6,E352),1)*IF(Upgrades!$T$7="Orbital Resonance",POWER(Upgrades!$U$7,F352),1)*IF(Upgrades!$T$8="Orbital Resonance",POWER(Upgrades!$U$8,G352),1)*IF(Upgrades!$T$9="Orbital Resonance",POWER(Upgrades!$U$9,H352),1)*IF(Upgrades!$T$11="Orbital Resonance",POWER(Upgrades!$U$11,J352),1)*IF(Upgrades!$T$12="Orbital Resonance",POWER(Upgrades!$U$12,K352),1))+(IF(J352=0,0,(Upgrades!$J$11+J352*Upgrades!$K$11)*POWER(Upgrades!$L$11,J352)))*(IF(Upgrades!$T$6="Heliopause",POWER(Upgrades!$U$6,E352),1)*IF(Upgrades!$T$7="Heliopause",POWER(Upgrades!$U$7,F352),1)*IF(Upgrades!$T$8="Heliopause",POWER(Upgrades!$U$8,G352),1)*IF(Upgrades!$T$9="Heliopause",POWER(Upgrades!$U$9,H352),1)*IF(Upgrades!$T$10="Heliopause",POWER(Upgrades!$U$10,I352),1)*IF(Upgrades!$T$12="Heliopause",POWER(Upgrades!$U$12,K352),1))+(IF(K352=0,0,(Upgrades!$J$12+K352*Upgrades!$K$12)*POWER(Upgrades!$L$12,K352)))*(IF(Upgrades!$T$6="First Photons",POWER(Upgrades!$U$6,E352),1)*IF(Upgrades!$T$7="First Photons",POWER(Upgrades!$U$7,F352),1)*IF(Upgrades!$T$8="First Photons",POWER(Upgrades!$U$8,G352),1)*IF(Upgrades!$T$9="First Photons",POWER(Upgrades!$U$9,H352),1)*IF(Upgrades!$T$10="First Photons",POWER(Upgrades!$U$10,I352),1)*IF(Upgrades!$T$11="First Photons",POWER(Upgrades!$U$11,J352),1)))*POWER(Upgrades!$Q$6,E352)*POWER(Upgrades!$Q$7,F352)*POWER(Upgrades!$Q$8,G352)*POWER(Upgrades!$Q$9,H352)*POWER(Upgrades!$Q$10,I352)*POWER(Upgrades!$Q$11,J352)*POWER(Upgrades!$Q$12,K352)</f>
        <v/>
      </c>
      <c r="N352" s="28">
        <f>((IF(E352=0,0,(Upgrades!$G$6+E352*Upgrades!$H$6)*POWER(Upgrades!$I$6,E352)))*(IF(Upgrades!$T$7="Solar Wind",POWER(Upgrades!$U$7,F352),1)*IF(Upgrades!$T$8="Solar Wind",POWER(Upgrades!$U$8,G352),1)*IF(Upgrades!$T$9="Solar Wind",POWER(Upgrades!$U$9,H352),1)*IF(Upgrades!$T$10="Solar Wind",POWER(Upgrades!$U$10,I352),1)*IF(Upgrades!$T$11="Solar Wind",POWER(Upgrades!$U$11,J352),1)*IF(Upgrades!$T$12="Solar Wind",POWER(Upgrades!$U$12,K352),1))+(IF(F352=0,0,(Upgrades!$G$7+F352*Upgrades!$H$7)*POWER(Upgrades!$I$7,F352)))*(IF(Upgrades!$T$6="Asteroid Belt",POWER(Upgrades!$U$6,E352),1)*IF(Upgrades!$T$8="Asteroid Belt",POWER(Upgrades!$U$8,G352),1)*IF(Upgrades!$T$9="Asteroid Belt",POWER(Upgrades!$U$9,H352),1)*IF(Upgrades!$T$10="Asteroid Belt",POWER(Upgrades!$U$10,I352),1)*IF(Upgrades!$T$11="Asteroid Belt",POWER(Upgrades!$U$11,J352),1)*IF(Upgrades!$T$12="Asteroid Belt",POWER(Upgrades!$U$12,K352),1))+(IF(G352=0,0,(Upgrades!$G$8+G352*Upgrades!$H$8)*POWER(Upgrades!$I$8,G352)))*(IF(Upgrades!$T$6="Stellar Coupling",POWER(Upgrades!$U$6,E352),1)*IF(Upgrades!$T$7="Stellar Coupling",POWER(Upgrades!$U$7,F352),1)*IF(Upgrades!$T$9="Stellar Coupling",POWER(Upgrades!$U$9,H352),1)*IF(Upgrades!$T$10="Stellar Coupling",POWER(Upgrades!$U$10,I352),1)*IF(Upgrades!$T$11="Stellar Coupling",POWER(Upgrades!$U$11,J352),1)*IF(Upgrades!$T$12="Stellar Coupling",POWER(Upgrades!$U$12,K352),1))+(IF(H352=0,0,(Upgrades!$G$9+H352*Upgrades!$H$9)*POWER(Upgrades!$I$9,H352)))*(IF(Upgrades!$T$6="Magnetosphere",POWER(Upgrades!$U$6,E352),1)*IF(Upgrades!$T$7="Magnetosphere",POWER(Upgrades!$U$7,F352),1)*IF(Upgrades!$T$8="Magnetosphere",POWER(Upgrades!$U$8,G352),1)*IF(Upgrades!$T$10="Magnetosphere",POWER(Upgrades!$U$10,I352),1)*IF(Upgrades!$T$11="Magnetosphere",POWER(Upgrades!$U$11,J352),1)*IF(Upgrades!$T$12="Magnetosphere",POWER(Upgrades!$U$12,K352),1))+(IF(I352=0,0,(Upgrades!$G$10+I352*Upgrades!$H$10)*POWER(Upgrades!$I$10,I352)))*(IF(Upgrades!$T$6="Orbital Resonance",POWER(Upgrades!$U$6,E352),1)*IF(Upgrades!$T$7="Orbital Resonance",POWER(Upgrades!$U$7,F352),1)*IF(Upgrades!$T$8="Orbital Resonance",POWER(Upgrades!$U$8,G352),1)*IF(Upgrades!$T$9="Orbital Resonance",POWER(Upgrades!$U$9,H352),1)*IF(Upgrades!$T$11="Orbital Resonance",POWER(Upgrades!$U$11,J352),1)*IF(Upgrades!$T$12="Orbital Resonance",POWER(Upgrades!$U$12,K352),1))+(IF(J352=0,0,(Upgrades!$G$11+J352*Upgrades!$H$11)*POWER(Upgrades!$I$11,J352)))*(IF(Upgrades!$T$6="Heliopause",POWER(Upgrades!$U$6,E352),1)*IF(Upgrades!$T$7="Heliopause",POWER(Upgrades!$U$7,F352),1)*IF(Upgrades!$T$8="Heliopause",POWER(Upgrades!$U$8,G352),1)*IF(Upgrades!$T$9="Heliopause",POWER(Upgrades!$U$9,H352),1)*IF(Upgrades!$T$10="Heliopause",POWER(Upgrades!$U$10,I352),1)*IF(Upgrades!$T$12="Heliopause",POWER(Upgrades!$U$12,K352),1))+(IF(K352=0,0,(Upgrades!$G$12+K352*Upgrades!$H$12)*POWER(Upgrades!$I$12,K352)))*(IF(Upgrades!$T$6="First Photons",POWER(Upgrades!$U$6,E352),1)*IF(Upgrades!$T$7="First Photons",POWER(Upgrades!$U$7,F352),1)*IF(Upgrades!$T$8="First Photons",POWER(Upgrades!$U$8,G352),1)*IF(Upgrades!$T$9="First Photons",POWER(Upgrades!$U$9,H352),1)*IF(Upgrades!$T$10="First Photons",POWER(Upgrades!$U$10,I352),1)*IF(Upgrades!$T$11="First Photons",POWER(Upgrades!$U$11,J352),1)))*POWER(Upgrades!$P$6,E352)*POWER(Upgrades!$P$7,F352)*POWER(Upgrades!$P$8,G352)*POWER(Upgrades!$P$9,H352)*POWER(Upgrades!$P$10,I352)*POWER(Upgrades!$P$11,J352)*POWER(Upgrades!$P$12,K352)</f>
        <v/>
      </c>
      <c r="O352" s="28">
        <f>((IF(E352=0,0,(Upgrades!$M$6+E352*Upgrades!$N$6)*POWER(Upgrades!$O$6,E352)))*(IF(Upgrades!$T$7="Solar Wind",POWER(Upgrades!$U$7,F352),1)*IF(Upgrades!$T$8="Solar Wind",POWER(Upgrades!$U$8,G352),1)*IF(Upgrades!$T$9="Solar Wind",POWER(Upgrades!$U$9,H352),1)*IF(Upgrades!$T$10="Solar Wind",POWER(Upgrades!$U$10,I352),1)*IF(Upgrades!$T$11="Solar Wind",POWER(Upgrades!$U$11,J352),1)*IF(Upgrades!$T$12="Solar Wind",POWER(Upgrades!$U$12,K352),1))+(IF(F352=0,0,(Upgrades!$M$7+F352*Upgrades!$N$7)*POWER(Upgrades!$O$7,F352)))*(IF(Upgrades!$T$6="Asteroid Belt",POWER(Upgrades!$U$6,E352),1)*IF(Upgrades!$T$8="Asteroid Belt",POWER(Upgrades!$U$8,G352),1)*IF(Upgrades!$T$9="Asteroid Belt",POWER(Upgrades!$U$9,H352),1)*IF(Upgrades!$T$10="Asteroid Belt",POWER(Upgrades!$U$10,I352),1)*IF(Upgrades!$T$11="Asteroid Belt",POWER(Upgrades!$U$11,J352),1)*IF(Upgrades!$T$12="Asteroid Belt",POWER(Upgrades!$U$12,K352),1))+(IF(G352=0,0,(Upgrades!$M$8+G352*Upgrades!$N$8)*POWER(Upgrades!$O$8,G352)))*(IF(Upgrades!$T$6="Stellar Coupling",POWER(Upgrades!$U$6,E352),1)*IF(Upgrades!$T$7="Stellar Coupling",POWER(Upgrades!$U$7,F352),1)*IF(Upgrades!$T$9="Stellar Coupling",POWER(Upgrades!$U$9,H352),1)*IF(Upgrades!$T$10="Stellar Coupling",POWER(Upgrades!$U$10,I352),1)*IF(Upgrades!$T$11="Stellar Coupling",POWER(Upgrades!$U$11,J352),1)*IF(Upgrades!$T$12="Stellar Coupling",POWER(Upgrades!$U$12,K352),1))+(IF(H352=0,0,(Upgrades!$M$9+H352*Upgrades!$N$9)*POWER(Upgrades!$O$9,H352)))*(IF(Upgrades!$T$6="Magnetosphere",POWER(Upgrades!$U$6,E352),1)*IF(Upgrades!$T$7="Magnetosphere",POWER(Upgrades!$U$7,F352),1)*IF(Upgrades!$T$8="Magnetosphere",POWER(Upgrades!$U$8,G352),1)*IF(Upgrades!$T$10="Magnetosphere",POWER(Upgrades!$U$10,I352),1)*IF(Upgrades!$T$11="Magnetosphere",POWER(Upgrades!$U$11,J352),1)*IF(Upgrades!$T$12="Magnetosphere",POWER(Upgrades!$U$12,K352),1))+(IF(I352=0,0,(Upgrades!$M$10+I352*Upgrades!$N$10)*POWER(Upgrades!$O$10,I352)))*(IF(Upgrades!$T$6="Orbital Resonance",POWER(Upgrades!$U$6,E352),1)*IF(Upgrades!$T$7="Orbital Resonance",POWER(Upgrades!$U$7,F352),1)*IF(Upgrades!$T$8="Orbital Resonance",POWER(Upgrades!$U$8,G352),1)*IF(Upgrades!$T$9="Orbital Resonance",POWER(Upgrades!$U$9,H352),1)*IF(Upgrades!$T$11="Orbital Resonance",POWER(Upgrades!$U$11,J352),1)*IF(Upgrades!$T$12="Orbital Resonance",POWER(Upgrades!$U$12,K352),1))+(IF(J352=0,0,(Upgrades!$M$11+J352*Upgrades!$N$11)*POWER(Upgrades!$O$11,J352)))*(IF(Upgrades!$T$6="Heliopause",POWER(Upgrades!$U$6,E352),1)*IF(Upgrades!$T$7="Heliopause",POWER(Upgrades!$U$7,F352),1)*IF(Upgrades!$T$8="Heliopause",POWER(Upgrades!$U$8,G352),1)*IF(Upgrades!$T$9="Heliopause",POWER(Upgrades!$U$9,H352),1)*IF(Upgrades!$T$10="Heliopause",POWER(Upgrades!$U$10,I352),1)*IF(Upgrades!$T$12="Heliopause",POWER(Upgrades!$U$12,K352),1))+(IF(K352=0,0,(Upgrades!$M$12+K352*Upgrades!$N$12)*POWER(Upgrades!$O$12,K352)))*(IF(Upgrades!$T$6="First Photons",POWER(Upgrades!$U$6,E352),1)*IF(Upgrades!$T$7="First Photons",POWER(Upgrades!$U$7,F352),1)*IF(Upgrades!$T$8="First Photons",POWER(Upgrades!$U$8,G352),1)*IF(Upgrades!$T$9="First Photons",POWER(Upgrades!$U$9,H352),1)*IF(Upgrades!$T$10="First Photons",POWER(Upgrades!$U$10,I352),1)*IF(Upgrades!$T$11="First Photons",POWER(Upgrades!$U$11,J352),1)))*POWER(Upgrades!$R$6,E352)*POWER(Upgrades!$R$7,F352)*POWER(Upgrades!$R$8,G352)*POWER(Upgrades!$R$9,H352)*POWER(Upgrades!$R$10,I352)*POWER(Upgrades!$R$11,J352)*POWER(Upgrades!$R$12,K352)</f>
        <v/>
      </c>
      <c r="P352" s="27">
        <f>IF(L352=1,0,M352*Parameters!$B$10/60*Parameters!$B$11*10)</f>
        <v/>
      </c>
      <c r="Q352" s="27">
        <f>IF(L352=1,0,O352*M352*10)</f>
        <v/>
      </c>
      <c r="R352" s="27">
        <f>IF(L352=1,0,N352*10)</f>
        <v/>
      </c>
      <c r="S352" s="27">
        <f>P352+Q352+R352</f>
        <v/>
      </c>
      <c r="T352" s="22">
        <f>C352+S352</f>
        <v/>
      </c>
      <c r="U352" s="33">
        <f>AX352</f>
        <v/>
      </c>
      <c r="V352" s="22">
        <f>IF(U352="",0,IF(U352="transition",0,IF(U352="SW",AG352,IF(U352="AB",AH352,IF(U352="SC",AI352,IF(U352="Mag",AJ352,IF(U352="OR",AK352,IF(U352="HP",AL352,IF(U352="FP",AM352,0)))))))))</f>
        <v/>
      </c>
      <c r="W352" s="27">
        <f>IF(U352="OR",Upgrades!$F$10,IF(U352="HP",Upgrades!$F$11,IF(U352="transition",-Parameters!$B$18,0)))</f>
        <v/>
      </c>
      <c r="X352" s="22">
        <f>T352-V352</f>
        <v/>
      </c>
      <c r="Y352" s="30">
        <f>M352*Parameters!$B$10/60*Parameters!$B$11+O352*M352+N352</f>
        <v/>
      </c>
      <c r="Z352" s="34">
        <f>IF(U352="transition","→ Tier 2 (Stellar Neighborhood)",IF(U352="FP","First Photons — light begins, system quickens",IF(U352="HP","Heliopause acquired",IF(U352="OR","Orbital Resonance — passive multiplier active",IF(AND(AO352=1,L352=0,AN352&lt;&gt;1),"Cohesion ready (waiting on completionist upgrades)","")))))</f>
        <v/>
      </c>
      <c r="AA352" s="27">
        <f>(IF(E352=0,0,(Upgrades!$G$6+E352*Upgrades!$H$6)*POWER(Upgrades!$I$6,E352)))*(IF(Upgrades!$T$7="Solar Wind",POWER(Upgrades!$U$7,F352),1)*IF(Upgrades!$T$8="Solar Wind",POWER(Upgrades!$U$8,G352),1)*IF(Upgrades!$T$9="Solar Wind",POWER(Upgrades!$U$9,H352),1)*IF(Upgrades!$T$10="Solar Wind",POWER(Upgrades!$U$10,I352),1)*IF(Upgrades!$T$11="Solar Wind",POWER(Upgrades!$U$11,J352),1)*IF(Upgrades!$T$12="Solar Wind",POWER(Upgrades!$U$12,K352),1))*POWER(Upgrades!$P$6,E352)*POWER(Upgrades!$P$7,F352)*POWER(Upgrades!$P$8,G352)*POWER(Upgrades!$P$9,H352)*POWER(Upgrades!$P$10,I352)*POWER(Upgrades!$P$11,J352)*POWER(Upgrades!$P$12,K352)*60</f>
        <v/>
      </c>
      <c r="AB352" s="27">
        <f>(IF(F352=0,0,(Upgrades!$G$7+F352*Upgrades!$H$7)*POWER(Upgrades!$I$7,F352)))*(IF(Upgrades!$T$6="Asteroid Belt",POWER(Upgrades!$U$6,E352),1)*IF(Upgrades!$T$8="Asteroid Belt",POWER(Upgrades!$U$8,G352),1)*IF(Upgrades!$T$9="Asteroid Belt",POWER(Upgrades!$U$9,H352),1)*IF(Upgrades!$T$10="Asteroid Belt",POWER(Upgrades!$U$10,I352),1)*IF(Upgrades!$T$11="Asteroid Belt",POWER(Upgrades!$U$11,J352),1)*IF(Upgrades!$T$12="Asteroid Belt",POWER(Upgrades!$U$12,K352),1))*POWER(Upgrades!$P$6,E352)*POWER(Upgrades!$P$7,F352)*POWER(Upgrades!$P$8,G352)*POWER(Upgrades!$P$9,H352)*POWER(Upgrades!$P$10,I352)*POWER(Upgrades!$P$11,J352)*POWER(Upgrades!$P$12,K352)*60</f>
        <v/>
      </c>
      <c r="AC352" s="27">
        <f>(IF(G352=0,0,(Upgrades!$J$8+G352*Upgrades!$K$8)*POWER(Upgrades!$L$8,G352)))*(IF(Upgrades!$T$6="Stellar Coupling",POWER(Upgrades!$U$6,E352),1)*IF(Upgrades!$T$7="Stellar Coupling",POWER(Upgrades!$U$7,F352),1)*IF(Upgrades!$T$9="Stellar Coupling",POWER(Upgrades!$U$9,H352),1)*IF(Upgrades!$T$10="Stellar Coupling",POWER(Upgrades!$U$10,I352),1)*IF(Upgrades!$T$11="Stellar Coupling",POWER(Upgrades!$U$11,J352),1)*IF(Upgrades!$T$12="Stellar Coupling",POWER(Upgrades!$U$12,K352),1))*POWER(Upgrades!$Q$6,E352)*POWER(Upgrades!$Q$7,F352)*POWER(Upgrades!$Q$8,G352)*POWER(Upgrades!$Q$9,H352)*POWER(Upgrades!$Q$10,I352)*POWER(Upgrades!$Q$11,J352)*POWER(Upgrades!$Q$12,K352)*Parameters!$B$10*Parameters!$B$11</f>
        <v/>
      </c>
      <c r="AD352" s="27">
        <f>(IF(H352=0,0,(Upgrades!$G$9+H352*Upgrades!$H$9)*POWER(Upgrades!$I$9,H352)))*(IF(Upgrades!$T$6="Magnetosphere",POWER(Upgrades!$U$6,E352),1)*IF(Upgrades!$T$7="Magnetosphere",POWER(Upgrades!$U$7,F352),1)*IF(Upgrades!$T$8="Magnetosphere",POWER(Upgrades!$U$8,G352),1)*IF(Upgrades!$T$10="Magnetosphere",POWER(Upgrades!$U$10,I352),1)*IF(Upgrades!$T$11="Magnetosphere",POWER(Upgrades!$U$11,J352),1)*IF(Upgrades!$T$12="Magnetosphere",POWER(Upgrades!$U$12,K352),1))*POWER(Upgrades!$P$6,E352)*POWER(Upgrades!$P$7,F352)*POWER(Upgrades!$P$8,G352)*POWER(Upgrades!$P$9,H352)*POWER(Upgrades!$P$10,I352)*POWER(Upgrades!$P$11,J352)*POWER(Upgrades!$P$12,K352)*60</f>
        <v/>
      </c>
      <c r="AE352" s="27">
        <f>(IF(K352=0,0,(Upgrades!$G$12+K352*Upgrades!$H$12)*POWER(Upgrades!$I$12,K352)))*(IF(Upgrades!$T$6="First Photons",POWER(Upgrades!$U$6,E352),1)*IF(Upgrades!$T$7="First Photons",POWER(Upgrades!$U$7,F352),1)*IF(Upgrades!$T$8="First Photons",POWER(Upgrades!$U$8,G352),1)*IF(Upgrades!$T$9="First Photons",POWER(Upgrades!$U$9,H352),1)*IF(Upgrades!$T$10="First Photons",POWER(Upgrades!$U$10,I352),1)*IF(Upgrades!$T$11="First Photons",POWER(Upgrades!$U$11,J352),1))*POWER(Upgrades!$P$6,E352)*POWER(Upgrades!$P$7,F352)*POWER(Upgrades!$P$8,G352)*POWER(Upgrades!$P$9,H352)*POWER(Upgrades!$P$10,I352)*POWER(Upgrades!$P$11,J352)*POWER(Upgrades!$P$12,K352)*60</f>
        <v/>
      </c>
      <c r="AF352" s="27">
        <f>Parameters!$B$9*POWER(Upgrades!$Q$6,E352)*POWER(Upgrades!$Q$7,F352)*POWER(Upgrades!$Q$8,G352)*POWER(Upgrades!$Q$9,H352)*POWER(Upgrades!$Q$10,I352)*POWER(Upgrades!$Q$11,J352)*POWER(Upgrades!$Q$12,K352)*(Parameters!$B$10*Parameters!$B$11+O352*60)</f>
        <v/>
      </c>
      <c r="AG352" s="22">
        <f>IF(E352&gt;=Upgrades!$E$6,"",Upgrades!$C$6*POWER(Upgrades!$D$6,E352))</f>
        <v/>
      </c>
      <c r="AH352" s="22">
        <f>IF(F352&gt;=Upgrades!$E$7,"",Upgrades!$C$7*POWER(Upgrades!$D$7,F352))</f>
        <v/>
      </c>
      <c r="AI352" s="22">
        <f>IF(G352&gt;=Upgrades!$E$8,"",Upgrades!$C$8*POWER(Upgrades!$D$8,G352))</f>
        <v/>
      </c>
      <c r="AJ352" s="22">
        <f>IF(H352&gt;=Upgrades!$E$9,"",Upgrades!$C$9*POWER(Upgrades!$D$9,H352))</f>
        <v/>
      </c>
      <c r="AK352" s="22">
        <f>IF(I352&gt;=Upgrades!$E$10,"",Upgrades!$C$10*POWER(Upgrades!$D$10,I352))</f>
        <v/>
      </c>
      <c r="AL352" s="22">
        <f>IF(J352&gt;=Upgrades!$E$11,"",Upgrades!$C$11*POWER(Upgrades!$D$11,J352))</f>
        <v/>
      </c>
      <c r="AM352" s="22">
        <f>IF(K352&gt;=Upgrades!$E$12,"",Upgrades!$C$12*POWER(Upgrades!$D$12,K352))</f>
        <v/>
      </c>
      <c r="AN352" s="26">
        <f>IF(AND(D352&gt;=Parameters!$B$18,(H352&gt;=Upgrades!$E$9)*(K352&gt;=Upgrades!$E$12)=1,L352=0),1,"")</f>
        <v/>
      </c>
      <c r="AO352" s="26">
        <f>IF(AND(D352&gt;=Parameters!$B$18,L352=0),1,"")</f>
        <v/>
      </c>
      <c r="AP352" s="22">
        <f>MIN(IF(ISNUMBER(AK352),AK352,9E15),IF(ISNUMBER(AL352),AL352,9E15),IF(ISNUMBER(AM352),AM352,9E15))</f>
        <v/>
      </c>
      <c r="AQ352" s="22">
        <f>MIN(IF(ISNUMBER(AG352),AG352,9E15),IF(ISNUMBER(AH352),AH352,9E15),IF(ISNUMBER(AI352),AI352,9E15),IF(ISNUMBER(AJ352),AJ352,9E15))</f>
        <v/>
      </c>
      <c r="AR352" s="29">
        <f>IF(AW352&gt;Parameters!$B$21*(MAX(IF(AND(NOT(AND(AO352=1,AN352&lt;&gt;1)),ISNUMBER(AG352),AG352&lt;=T352),AS352,0),IF(AND(NOT(AND(AO352=1,AN352&lt;&gt;1)),ISNUMBER(AH352),AH352&lt;=T352),AT352,0),IF(AND(NOT(AND(AO352=1,AN352&lt;&gt;1)),ISNUMBER(AI352),AI352&lt;=T352),AU352,0),IF(AND(ISNUMBER(AJ352),AJ352&lt;=T352),AV352,0))),TRUE,FALSE)</f>
        <v/>
      </c>
      <c r="AS352" s="32">
        <f>IFERROR(Upgrades!$H$6*(POWER(Upgrades!$P$6,E352)*POWER(Upgrades!$P$7,F352)*POWER(Upgrades!$P$8,G352)*POWER(Upgrades!$P$9,H352)*POWER(Upgrades!$P$10,I352)*POWER(Upgrades!$P$11,J352)*POWER(Upgrades!$P$12,K352))*(IF(Upgrades!$T$7="Solar Wind",POWER(Upgrades!$U$7,F352),1)*IF(Upgrades!$T$8="Solar Wind",POWER(Upgrades!$U$8,G352),1)*IF(Upgrades!$T$9="Solar Wind",POWER(Upgrades!$U$9,H352),1)*IF(Upgrades!$T$10="Solar Wind",POWER(Upgrades!$U$10,I352),1)*IF(Upgrades!$T$11="Solar Wind",POWER(Upgrades!$U$11,J352),1)*IF(Upgrades!$T$12="Solar Wind",POWER(Upgrades!$U$12,K352),1))/AG352,0)</f>
        <v/>
      </c>
      <c r="AT352" s="32">
        <f>IFERROR(Upgrades!$H$7*(POWER(Upgrades!$P$6,E352)*POWER(Upgrades!$P$7,F352)*POWER(Upgrades!$P$8,G352)*POWER(Upgrades!$P$9,H352)*POWER(Upgrades!$P$10,I352)*POWER(Upgrades!$P$11,J352)*POWER(Upgrades!$P$12,K352))*(IF(Upgrades!$T$6="Asteroid Belt",POWER(Upgrades!$U$6,E352),1)*IF(Upgrades!$T$8="Asteroid Belt",POWER(Upgrades!$U$8,G352),1)*IF(Upgrades!$T$9="Asteroid Belt",POWER(Upgrades!$U$9,H352),1)*IF(Upgrades!$T$10="Asteroid Belt",POWER(Upgrades!$U$10,I352),1)*IF(Upgrades!$T$11="Asteroid Belt",POWER(Upgrades!$U$11,J352),1)*IF(Upgrades!$T$12="Asteroid Belt",POWER(Upgrades!$U$12,K352),1))/AH352,0)</f>
        <v/>
      </c>
      <c r="AU352" s="32">
        <f>IFERROR(Upgrades!$K$8*(POWER(Upgrades!$Q$6,E352)*POWER(Upgrades!$Q$7,F352)*POWER(Upgrades!$Q$8,G352)*POWER(Upgrades!$Q$9,H352)*POWER(Upgrades!$Q$10,I352)*POWER(Upgrades!$Q$11,J352)*POWER(Upgrades!$Q$12,K352))*(IF(Upgrades!$T$6="Stellar Coupling",POWER(Upgrades!$U$6,E352),1)*IF(Upgrades!$T$7="Stellar Coupling",POWER(Upgrades!$U$7,F352),1)*IF(Upgrades!$T$9="Stellar Coupling",POWER(Upgrades!$U$9,H352),1)*IF(Upgrades!$T$10="Stellar Coupling",POWER(Upgrades!$U$10,I352),1)*IF(Upgrades!$T$11="Stellar Coupling",POWER(Upgrades!$U$11,J352),1)*IF(Upgrades!$T$12="Stellar Coupling",POWER(Upgrades!$U$12,K352),1))*Parameters!$B$10*Parameters!$B$11/60/AI352,0)</f>
        <v/>
      </c>
      <c r="AV352" s="32">
        <f>IFERROR(Upgrades!$H$9*(POWER(Upgrades!$P$6,E352)*POWER(Upgrades!$P$7,F352)*POWER(Upgrades!$P$8,G352)*POWER(Upgrades!$P$9,H352)*POWER(Upgrades!$P$10,I352)*POWER(Upgrades!$P$11,J352)*POWER(Upgrades!$P$12,K352))*(IF(Upgrades!$T$6="Magnetosphere",POWER(Upgrades!$U$6,E352),1)*IF(Upgrades!$T$7="Magnetosphere",POWER(Upgrades!$U$7,F352),1)*IF(Upgrades!$T$8="Magnetosphere",POWER(Upgrades!$U$8,G352),1)*IF(Upgrades!$T$10="Magnetosphere",POWER(Upgrades!$U$10,I352),1)*IF(Upgrades!$T$11="Magnetosphere",POWER(Upgrades!$U$11,J352),1)*IF(Upgrades!$T$12="Magnetosphere",POWER(Upgrades!$U$12,K352),1))/AJ352,0)</f>
        <v/>
      </c>
      <c r="AW352" s="32">
        <f>MAX(IF(I352&gt;0,0,IFERROR(0.25*N352/Upgrades!$C$10,0)),IF(J352&gt;0,0,IFERROR(0.5*((IF(G352=0,0,(Upgrades!$J$8+G352*Upgrades!$K$8)*POWER(Upgrades!$L$8,G352)))*(IF(Upgrades!$T$6="Stellar Coupling",POWER(Upgrades!$U$6,E352),1)*IF(Upgrades!$T$7="Stellar Coupling",POWER(Upgrades!$U$7,F352),1)*IF(Upgrades!$T$9="Stellar Coupling",POWER(Upgrades!$U$9,H352),1)*IF(Upgrades!$T$10="Stellar Coupling",POWER(Upgrades!$U$10,I352),1)*IF(Upgrades!$T$11="Stellar Coupling",POWER(Upgrades!$U$11,J352),1)*IF(Upgrades!$T$12="Stellar Coupling",POWER(Upgrades!$U$12,K352),1))*(POWER(Upgrades!$Q$6,E352)*POWER(Upgrades!$Q$7,F352)*POWER(Upgrades!$Q$8,G352)*POWER(Upgrades!$Q$9,H352)*POWER(Upgrades!$Q$10,I352)*POWER(Upgrades!$Q$11,J352)*POWER(Upgrades!$Q$12,K352))*Parameters!$B$10*Parameters!$B$11/60)/Upgrades!$C$11,0)),IF(K352&gt;0,0,IFERROR((1.0*(POWER(Upgrades!$P$6,E352)*POWER(Upgrades!$P$7,F352)*POWER(Upgrades!$P$8,G352)*POWER(Upgrades!$P$9,H352)*POWER(Upgrades!$P$10,I352)*POWER(Upgrades!$P$11,J352)*POWER(Upgrades!$P$12,K352))+0.20*M352*Parameters!$B$10*Parameters!$B$11/60)/Upgrades!$C$12,0)),IF(AND(ISNUMBER(AG352),AG352&gt;T352),AS352,0),IF(AND(ISNUMBER(AH352),AH352&gt;T352),AT352,0),IF(AND(ISNUMBER(AI352),AI352&gt;T352),AU352,0),IF(AND(ISNUMBER(AJ352),AJ352&gt;T352),AV352,0))</f>
        <v/>
      </c>
      <c r="AX352" s="29">
        <f>IF(AN352=1,"transition",IF(MIN(IF(AND(I352=0,ISNUMBER(AK352),AK352&lt;=T352),AK352,9E15),IF(AND(J352=0,ISNUMBER(AL352),AL352&lt;=T352),AL352,9E15),IF(AND(K352=0,ISNUMBER(AM352),AM352&lt;=T352),AM352,9E15))&lt;9E15,IF(AND(AND(I352=0,ISNUMBER(AK352),AK352&lt;=T352),AK352=MIN(IF(AND(I352=0,ISNUMBER(AK352),AK352&lt;=T352),AK352,9E15),IF(AND(J352=0,ISNUMBER(AL352),AL352&lt;=T352),AL352,9E15),IF(AND(K352=0,ISNUMBER(AM352),AM352&lt;=T352),AM352,9E15))),"OR",IF(AND(AND(J352=0,ISNUMBER(AL352),AL352&lt;=T352),AL352=MIN(IF(AND(I352=0,ISNUMBER(AK352),AK352&lt;=T352),AK352,9E15),IF(AND(J352=0,ISNUMBER(AL352),AL352&lt;=T352),AL352,9E15),IF(AND(K352=0,ISNUMBER(AM352),AM352&lt;=T352),AM352,9E15))),"HP","FP")),IF(AR352=TRUE,"",IF(MAX(IF(AND(NOT(AND(AO352=1,AN352&lt;&gt;1)),ISNUMBER(AG352),AG352&lt;=T352),AS352,0),IF(AND(NOT(AND(AO352=1,AN352&lt;&gt;1)),ISNUMBER(AH352),AH352&lt;=T352),AT352,0),IF(AND(NOT(AND(AO352=1,AN352&lt;&gt;1)),ISNUMBER(AI352),AI352&lt;=T352),AU352,0),IF(AND(ISNUMBER(AJ352),AJ352&lt;=T352),AV352,0))&lt;=0,"",IF(AND(IF(AND(NOT(AND(AO352=1,AN352&lt;&gt;1)),ISNUMBER(AG352),AG352&lt;=T352),AS352,0)&gt;0,IF(AND(NOT(AND(AO352=1,AN352&lt;&gt;1)),ISNUMBER(AG352),AG352&lt;=T352),AS352,0)=MAX(IF(AND(NOT(AND(AO352=1,AN352&lt;&gt;1)),ISNUMBER(AG352),AG352&lt;=T352),AS352,0),IF(AND(NOT(AND(AO352=1,AN352&lt;&gt;1)),ISNUMBER(AH352),AH352&lt;=T352),AT352,0),IF(AND(NOT(AND(AO352=1,AN352&lt;&gt;1)),ISNUMBER(AI352),AI352&lt;=T352),AU352,0),IF(AND(ISNUMBER(AJ352),AJ352&lt;=T352),AV352,0))),"SW",IF(AND(IF(AND(NOT(AND(AO352=1,AN352&lt;&gt;1)),ISNUMBER(AH352),AH352&lt;=T352),AT352,0)&gt;0,IF(AND(NOT(AND(AO352=1,AN352&lt;&gt;1)),ISNUMBER(AH352),AH352&lt;=T352),AT352,0)=MAX(IF(AND(NOT(AND(AO352=1,AN352&lt;&gt;1)),ISNUMBER(AG352),AG352&lt;=T352),AS352,0),IF(AND(NOT(AND(AO352=1,AN352&lt;&gt;1)),ISNUMBER(AH352),AH352&lt;=T352),AT352,0),IF(AND(NOT(AND(AO352=1,AN352&lt;&gt;1)),ISNUMBER(AI352),AI352&lt;=T352),AU352,0),IF(AND(ISNUMBER(AJ352),AJ352&lt;=T352),AV352,0))),"AB",IF(AND(IF(AND(NOT(AND(AO352=1,AN352&lt;&gt;1)),ISNUMBER(AI352),AI352&lt;=T352),AU352,0)&gt;0,IF(AND(NOT(AND(AO352=1,AN352&lt;&gt;1)),ISNUMBER(AI352),AI352&lt;=T352),AU352,0)=MAX(IF(AND(NOT(AND(AO352=1,AN352&lt;&gt;1)),ISNUMBER(AG352),AG352&lt;=T352),AS352,0),IF(AND(NOT(AND(AO352=1,AN352&lt;&gt;1)),ISNUMBER(AH352),AH352&lt;=T352),AT352,0),IF(AND(NOT(AND(AO352=1,AN352&lt;&gt;1)),ISNUMBER(AI352),AI352&lt;=T352),AU352,0),IF(AND(ISNUMBER(AJ352),AJ352&lt;=T352),AV352,0))),"SC","Mag")))))))</f>
        <v/>
      </c>
    </row>
    <row r="353">
      <c r="A353" s="26" t="n">
        <v>348</v>
      </c>
      <c r="B353" s="27">
        <f>A353*10/60</f>
        <v/>
      </c>
      <c r="C353" s="22">
        <f>X352</f>
        <v/>
      </c>
      <c r="D353" s="27">
        <f>D352+W352</f>
        <v/>
      </c>
      <c r="E353" s="26">
        <f>E352+IF(U352="SW",1,0)</f>
        <v/>
      </c>
      <c r="F353" s="26">
        <f>F352+IF(U352="AB",1,0)</f>
        <v/>
      </c>
      <c r="G353" s="26">
        <f>G352+IF(U352="SC",1,0)</f>
        <v/>
      </c>
      <c r="H353" s="26">
        <f>H352+IF(U352="Mag",1,0)</f>
        <v/>
      </c>
      <c r="I353" s="26">
        <f>MAX(I352,IF(U352="OR",1,0))</f>
        <v/>
      </c>
      <c r="J353" s="26">
        <f>MAX(J352,IF(U352="HP",1,0))</f>
        <v/>
      </c>
      <c r="K353" s="26">
        <f>MAX(K352,IF(U352="FP",1,0))</f>
        <v/>
      </c>
      <c r="L353" s="26">
        <f>MAX(L352,IF(U352="transition",1,0))</f>
        <v/>
      </c>
      <c r="M353" s="28">
        <f>(Parameters!$B$9+(IF(E353=0,0,(Upgrades!$J$6+E353*Upgrades!$K$6)*POWER(Upgrades!$L$6,E353)))*(IF(Upgrades!$T$7="Solar Wind",POWER(Upgrades!$U$7,F353),1)*IF(Upgrades!$T$8="Solar Wind",POWER(Upgrades!$U$8,G353),1)*IF(Upgrades!$T$9="Solar Wind",POWER(Upgrades!$U$9,H353),1)*IF(Upgrades!$T$10="Solar Wind",POWER(Upgrades!$U$10,I353),1)*IF(Upgrades!$T$11="Solar Wind",POWER(Upgrades!$U$11,J353),1)*IF(Upgrades!$T$12="Solar Wind",POWER(Upgrades!$U$12,K353),1))+(IF(F353=0,0,(Upgrades!$J$7+F353*Upgrades!$K$7)*POWER(Upgrades!$L$7,F353)))*(IF(Upgrades!$T$6="Asteroid Belt",POWER(Upgrades!$U$6,E353),1)*IF(Upgrades!$T$8="Asteroid Belt",POWER(Upgrades!$U$8,G353),1)*IF(Upgrades!$T$9="Asteroid Belt",POWER(Upgrades!$U$9,H353),1)*IF(Upgrades!$T$10="Asteroid Belt",POWER(Upgrades!$U$10,I353),1)*IF(Upgrades!$T$11="Asteroid Belt",POWER(Upgrades!$U$11,J353),1)*IF(Upgrades!$T$12="Asteroid Belt",POWER(Upgrades!$U$12,K353),1))+(IF(G353=0,0,(Upgrades!$J$8+G353*Upgrades!$K$8)*POWER(Upgrades!$L$8,G353)))*(IF(Upgrades!$T$6="Stellar Coupling",POWER(Upgrades!$U$6,E353),1)*IF(Upgrades!$T$7="Stellar Coupling",POWER(Upgrades!$U$7,F353),1)*IF(Upgrades!$T$9="Stellar Coupling",POWER(Upgrades!$U$9,H353),1)*IF(Upgrades!$T$10="Stellar Coupling",POWER(Upgrades!$U$10,I353),1)*IF(Upgrades!$T$11="Stellar Coupling",POWER(Upgrades!$U$11,J353),1)*IF(Upgrades!$T$12="Stellar Coupling",POWER(Upgrades!$U$12,K353),1))+(IF(H353=0,0,(Upgrades!$J$9+H353*Upgrades!$K$9)*POWER(Upgrades!$L$9,H353)))*(IF(Upgrades!$T$6="Magnetosphere",POWER(Upgrades!$U$6,E353),1)*IF(Upgrades!$T$7="Magnetosphere",POWER(Upgrades!$U$7,F353),1)*IF(Upgrades!$T$8="Magnetosphere",POWER(Upgrades!$U$8,G353),1)*IF(Upgrades!$T$10="Magnetosphere",POWER(Upgrades!$U$10,I353),1)*IF(Upgrades!$T$11="Magnetosphere",POWER(Upgrades!$U$11,J353),1)*IF(Upgrades!$T$12="Magnetosphere",POWER(Upgrades!$U$12,K353),1))+(IF(I353=0,0,(Upgrades!$J$10+I353*Upgrades!$K$10)*POWER(Upgrades!$L$10,I353)))*(IF(Upgrades!$T$6="Orbital Resonance",POWER(Upgrades!$U$6,E353),1)*IF(Upgrades!$T$7="Orbital Resonance",POWER(Upgrades!$U$7,F353),1)*IF(Upgrades!$T$8="Orbital Resonance",POWER(Upgrades!$U$8,G353),1)*IF(Upgrades!$T$9="Orbital Resonance",POWER(Upgrades!$U$9,H353),1)*IF(Upgrades!$T$11="Orbital Resonance",POWER(Upgrades!$U$11,J353),1)*IF(Upgrades!$T$12="Orbital Resonance",POWER(Upgrades!$U$12,K353),1))+(IF(J353=0,0,(Upgrades!$J$11+J353*Upgrades!$K$11)*POWER(Upgrades!$L$11,J353)))*(IF(Upgrades!$T$6="Heliopause",POWER(Upgrades!$U$6,E353),1)*IF(Upgrades!$T$7="Heliopause",POWER(Upgrades!$U$7,F353),1)*IF(Upgrades!$T$8="Heliopause",POWER(Upgrades!$U$8,G353),1)*IF(Upgrades!$T$9="Heliopause",POWER(Upgrades!$U$9,H353),1)*IF(Upgrades!$T$10="Heliopause",POWER(Upgrades!$U$10,I353),1)*IF(Upgrades!$T$12="Heliopause",POWER(Upgrades!$U$12,K353),1))+(IF(K353=0,0,(Upgrades!$J$12+K353*Upgrades!$K$12)*POWER(Upgrades!$L$12,K353)))*(IF(Upgrades!$T$6="First Photons",POWER(Upgrades!$U$6,E353),1)*IF(Upgrades!$T$7="First Photons",POWER(Upgrades!$U$7,F353),1)*IF(Upgrades!$T$8="First Photons",POWER(Upgrades!$U$8,G353),1)*IF(Upgrades!$T$9="First Photons",POWER(Upgrades!$U$9,H353),1)*IF(Upgrades!$T$10="First Photons",POWER(Upgrades!$U$10,I353),1)*IF(Upgrades!$T$11="First Photons",POWER(Upgrades!$U$11,J353),1)))*POWER(Upgrades!$Q$6,E353)*POWER(Upgrades!$Q$7,F353)*POWER(Upgrades!$Q$8,G353)*POWER(Upgrades!$Q$9,H353)*POWER(Upgrades!$Q$10,I353)*POWER(Upgrades!$Q$11,J353)*POWER(Upgrades!$Q$12,K353)</f>
        <v/>
      </c>
      <c r="N353" s="28">
        <f>((IF(E353=0,0,(Upgrades!$G$6+E353*Upgrades!$H$6)*POWER(Upgrades!$I$6,E353)))*(IF(Upgrades!$T$7="Solar Wind",POWER(Upgrades!$U$7,F353),1)*IF(Upgrades!$T$8="Solar Wind",POWER(Upgrades!$U$8,G353),1)*IF(Upgrades!$T$9="Solar Wind",POWER(Upgrades!$U$9,H353),1)*IF(Upgrades!$T$10="Solar Wind",POWER(Upgrades!$U$10,I353),1)*IF(Upgrades!$T$11="Solar Wind",POWER(Upgrades!$U$11,J353),1)*IF(Upgrades!$T$12="Solar Wind",POWER(Upgrades!$U$12,K353),1))+(IF(F353=0,0,(Upgrades!$G$7+F353*Upgrades!$H$7)*POWER(Upgrades!$I$7,F353)))*(IF(Upgrades!$T$6="Asteroid Belt",POWER(Upgrades!$U$6,E353),1)*IF(Upgrades!$T$8="Asteroid Belt",POWER(Upgrades!$U$8,G353),1)*IF(Upgrades!$T$9="Asteroid Belt",POWER(Upgrades!$U$9,H353),1)*IF(Upgrades!$T$10="Asteroid Belt",POWER(Upgrades!$U$10,I353),1)*IF(Upgrades!$T$11="Asteroid Belt",POWER(Upgrades!$U$11,J353),1)*IF(Upgrades!$T$12="Asteroid Belt",POWER(Upgrades!$U$12,K353),1))+(IF(G353=0,0,(Upgrades!$G$8+G353*Upgrades!$H$8)*POWER(Upgrades!$I$8,G353)))*(IF(Upgrades!$T$6="Stellar Coupling",POWER(Upgrades!$U$6,E353),1)*IF(Upgrades!$T$7="Stellar Coupling",POWER(Upgrades!$U$7,F353),1)*IF(Upgrades!$T$9="Stellar Coupling",POWER(Upgrades!$U$9,H353),1)*IF(Upgrades!$T$10="Stellar Coupling",POWER(Upgrades!$U$10,I353),1)*IF(Upgrades!$T$11="Stellar Coupling",POWER(Upgrades!$U$11,J353),1)*IF(Upgrades!$T$12="Stellar Coupling",POWER(Upgrades!$U$12,K353),1))+(IF(H353=0,0,(Upgrades!$G$9+H353*Upgrades!$H$9)*POWER(Upgrades!$I$9,H353)))*(IF(Upgrades!$T$6="Magnetosphere",POWER(Upgrades!$U$6,E353),1)*IF(Upgrades!$T$7="Magnetosphere",POWER(Upgrades!$U$7,F353),1)*IF(Upgrades!$T$8="Magnetosphere",POWER(Upgrades!$U$8,G353),1)*IF(Upgrades!$T$10="Magnetosphere",POWER(Upgrades!$U$10,I353),1)*IF(Upgrades!$T$11="Magnetosphere",POWER(Upgrades!$U$11,J353),1)*IF(Upgrades!$T$12="Magnetosphere",POWER(Upgrades!$U$12,K353),1))+(IF(I353=0,0,(Upgrades!$G$10+I353*Upgrades!$H$10)*POWER(Upgrades!$I$10,I353)))*(IF(Upgrades!$T$6="Orbital Resonance",POWER(Upgrades!$U$6,E353),1)*IF(Upgrades!$T$7="Orbital Resonance",POWER(Upgrades!$U$7,F353),1)*IF(Upgrades!$T$8="Orbital Resonance",POWER(Upgrades!$U$8,G353),1)*IF(Upgrades!$T$9="Orbital Resonance",POWER(Upgrades!$U$9,H353),1)*IF(Upgrades!$T$11="Orbital Resonance",POWER(Upgrades!$U$11,J353),1)*IF(Upgrades!$T$12="Orbital Resonance",POWER(Upgrades!$U$12,K353),1))+(IF(J353=0,0,(Upgrades!$G$11+J353*Upgrades!$H$11)*POWER(Upgrades!$I$11,J353)))*(IF(Upgrades!$T$6="Heliopause",POWER(Upgrades!$U$6,E353),1)*IF(Upgrades!$T$7="Heliopause",POWER(Upgrades!$U$7,F353),1)*IF(Upgrades!$T$8="Heliopause",POWER(Upgrades!$U$8,G353),1)*IF(Upgrades!$T$9="Heliopause",POWER(Upgrades!$U$9,H353),1)*IF(Upgrades!$T$10="Heliopause",POWER(Upgrades!$U$10,I353),1)*IF(Upgrades!$T$12="Heliopause",POWER(Upgrades!$U$12,K353),1))+(IF(K353=0,0,(Upgrades!$G$12+K353*Upgrades!$H$12)*POWER(Upgrades!$I$12,K353)))*(IF(Upgrades!$T$6="First Photons",POWER(Upgrades!$U$6,E353),1)*IF(Upgrades!$T$7="First Photons",POWER(Upgrades!$U$7,F353),1)*IF(Upgrades!$T$8="First Photons",POWER(Upgrades!$U$8,G353),1)*IF(Upgrades!$T$9="First Photons",POWER(Upgrades!$U$9,H353),1)*IF(Upgrades!$T$10="First Photons",POWER(Upgrades!$U$10,I353),1)*IF(Upgrades!$T$11="First Photons",POWER(Upgrades!$U$11,J353),1)))*POWER(Upgrades!$P$6,E353)*POWER(Upgrades!$P$7,F353)*POWER(Upgrades!$P$8,G353)*POWER(Upgrades!$P$9,H353)*POWER(Upgrades!$P$10,I353)*POWER(Upgrades!$P$11,J353)*POWER(Upgrades!$P$12,K353)</f>
        <v/>
      </c>
      <c r="O353" s="28">
        <f>((IF(E353=0,0,(Upgrades!$M$6+E353*Upgrades!$N$6)*POWER(Upgrades!$O$6,E353)))*(IF(Upgrades!$T$7="Solar Wind",POWER(Upgrades!$U$7,F353),1)*IF(Upgrades!$T$8="Solar Wind",POWER(Upgrades!$U$8,G353),1)*IF(Upgrades!$T$9="Solar Wind",POWER(Upgrades!$U$9,H353),1)*IF(Upgrades!$T$10="Solar Wind",POWER(Upgrades!$U$10,I353),1)*IF(Upgrades!$T$11="Solar Wind",POWER(Upgrades!$U$11,J353),1)*IF(Upgrades!$T$12="Solar Wind",POWER(Upgrades!$U$12,K353),1))+(IF(F353=0,0,(Upgrades!$M$7+F353*Upgrades!$N$7)*POWER(Upgrades!$O$7,F353)))*(IF(Upgrades!$T$6="Asteroid Belt",POWER(Upgrades!$U$6,E353),1)*IF(Upgrades!$T$8="Asteroid Belt",POWER(Upgrades!$U$8,G353),1)*IF(Upgrades!$T$9="Asteroid Belt",POWER(Upgrades!$U$9,H353),1)*IF(Upgrades!$T$10="Asteroid Belt",POWER(Upgrades!$U$10,I353),1)*IF(Upgrades!$T$11="Asteroid Belt",POWER(Upgrades!$U$11,J353),1)*IF(Upgrades!$T$12="Asteroid Belt",POWER(Upgrades!$U$12,K353),1))+(IF(G353=0,0,(Upgrades!$M$8+G353*Upgrades!$N$8)*POWER(Upgrades!$O$8,G353)))*(IF(Upgrades!$T$6="Stellar Coupling",POWER(Upgrades!$U$6,E353),1)*IF(Upgrades!$T$7="Stellar Coupling",POWER(Upgrades!$U$7,F353),1)*IF(Upgrades!$T$9="Stellar Coupling",POWER(Upgrades!$U$9,H353),1)*IF(Upgrades!$T$10="Stellar Coupling",POWER(Upgrades!$U$10,I353),1)*IF(Upgrades!$T$11="Stellar Coupling",POWER(Upgrades!$U$11,J353),1)*IF(Upgrades!$T$12="Stellar Coupling",POWER(Upgrades!$U$12,K353),1))+(IF(H353=0,0,(Upgrades!$M$9+H353*Upgrades!$N$9)*POWER(Upgrades!$O$9,H353)))*(IF(Upgrades!$T$6="Magnetosphere",POWER(Upgrades!$U$6,E353),1)*IF(Upgrades!$T$7="Magnetosphere",POWER(Upgrades!$U$7,F353),1)*IF(Upgrades!$T$8="Magnetosphere",POWER(Upgrades!$U$8,G353),1)*IF(Upgrades!$T$10="Magnetosphere",POWER(Upgrades!$U$10,I353),1)*IF(Upgrades!$T$11="Magnetosphere",POWER(Upgrades!$U$11,J353),1)*IF(Upgrades!$T$12="Magnetosphere",POWER(Upgrades!$U$12,K353),1))+(IF(I353=0,0,(Upgrades!$M$10+I353*Upgrades!$N$10)*POWER(Upgrades!$O$10,I353)))*(IF(Upgrades!$T$6="Orbital Resonance",POWER(Upgrades!$U$6,E353),1)*IF(Upgrades!$T$7="Orbital Resonance",POWER(Upgrades!$U$7,F353),1)*IF(Upgrades!$T$8="Orbital Resonance",POWER(Upgrades!$U$8,G353),1)*IF(Upgrades!$T$9="Orbital Resonance",POWER(Upgrades!$U$9,H353),1)*IF(Upgrades!$T$11="Orbital Resonance",POWER(Upgrades!$U$11,J353),1)*IF(Upgrades!$T$12="Orbital Resonance",POWER(Upgrades!$U$12,K353),1))+(IF(J353=0,0,(Upgrades!$M$11+J353*Upgrades!$N$11)*POWER(Upgrades!$O$11,J353)))*(IF(Upgrades!$T$6="Heliopause",POWER(Upgrades!$U$6,E353),1)*IF(Upgrades!$T$7="Heliopause",POWER(Upgrades!$U$7,F353),1)*IF(Upgrades!$T$8="Heliopause",POWER(Upgrades!$U$8,G353),1)*IF(Upgrades!$T$9="Heliopause",POWER(Upgrades!$U$9,H353),1)*IF(Upgrades!$T$10="Heliopause",POWER(Upgrades!$U$10,I353),1)*IF(Upgrades!$T$12="Heliopause",POWER(Upgrades!$U$12,K353),1))+(IF(K353=0,0,(Upgrades!$M$12+K353*Upgrades!$N$12)*POWER(Upgrades!$O$12,K353)))*(IF(Upgrades!$T$6="First Photons",POWER(Upgrades!$U$6,E353),1)*IF(Upgrades!$T$7="First Photons",POWER(Upgrades!$U$7,F353),1)*IF(Upgrades!$T$8="First Photons",POWER(Upgrades!$U$8,G353),1)*IF(Upgrades!$T$9="First Photons",POWER(Upgrades!$U$9,H353),1)*IF(Upgrades!$T$10="First Photons",POWER(Upgrades!$U$10,I353),1)*IF(Upgrades!$T$11="First Photons",POWER(Upgrades!$U$11,J353),1)))*POWER(Upgrades!$R$6,E353)*POWER(Upgrades!$R$7,F353)*POWER(Upgrades!$R$8,G353)*POWER(Upgrades!$R$9,H353)*POWER(Upgrades!$R$10,I353)*POWER(Upgrades!$R$11,J353)*POWER(Upgrades!$R$12,K353)</f>
        <v/>
      </c>
      <c r="P353" s="27">
        <f>IF(L353=1,0,M353*Parameters!$B$10/60*Parameters!$B$11*10)</f>
        <v/>
      </c>
      <c r="Q353" s="27">
        <f>IF(L353=1,0,O353*M353*10)</f>
        <v/>
      </c>
      <c r="R353" s="27">
        <f>IF(L353=1,0,N353*10)</f>
        <v/>
      </c>
      <c r="S353" s="27">
        <f>P353+Q353+R353</f>
        <v/>
      </c>
      <c r="T353" s="22">
        <f>C353+S353</f>
        <v/>
      </c>
      <c r="U353" s="33">
        <f>AX353</f>
        <v/>
      </c>
      <c r="V353" s="22">
        <f>IF(U353="",0,IF(U353="transition",0,IF(U353="SW",AG353,IF(U353="AB",AH353,IF(U353="SC",AI353,IF(U353="Mag",AJ353,IF(U353="OR",AK353,IF(U353="HP",AL353,IF(U353="FP",AM353,0)))))))))</f>
        <v/>
      </c>
      <c r="W353" s="27">
        <f>IF(U353="OR",Upgrades!$F$10,IF(U353="HP",Upgrades!$F$11,IF(U353="transition",-Parameters!$B$18,0)))</f>
        <v/>
      </c>
      <c r="X353" s="22">
        <f>T353-V353</f>
        <v/>
      </c>
      <c r="Y353" s="30">
        <f>M353*Parameters!$B$10/60*Parameters!$B$11+O353*M353+N353</f>
        <v/>
      </c>
      <c r="Z353" s="34">
        <f>IF(U353="transition","→ Tier 2 (Stellar Neighborhood)",IF(U353="FP","First Photons — light begins, system quickens",IF(U353="HP","Heliopause acquired",IF(U353="OR","Orbital Resonance — passive multiplier active",IF(AND(AO353=1,L353=0,AN353&lt;&gt;1),"Cohesion ready (waiting on completionist upgrades)","")))))</f>
        <v/>
      </c>
      <c r="AA353" s="27">
        <f>(IF(E353=0,0,(Upgrades!$G$6+E353*Upgrades!$H$6)*POWER(Upgrades!$I$6,E353)))*(IF(Upgrades!$T$7="Solar Wind",POWER(Upgrades!$U$7,F353),1)*IF(Upgrades!$T$8="Solar Wind",POWER(Upgrades!$U$8,G353),1)*IF(Upgrades!$T$9="Solar Wind",POWER(Upgrades!$U$9,H353),1)*IF(Upgrades!$T$10="Solar Wind",POWER(Upgrades!$U$10,I353),1)*IF(Upgrades!$T$11="Solar Wind",POWER(Upgrades!$U$11,J353),1)*IF(Upgrades!$T$12="Solar Wind",POWER(Upgrades!$U$12,K353),1))*POWER(Upgrades!$P$6,E353)*POWER(Upgrades!$P$7,F353)*POWER(Upgrades!$P$8,G353)*POWER(Upgrades!$P$9,H353)*POWER(Upgrades!$P$10,I353)*POWER(Upgrades!$P$11,J353)*POWER(Upgrades!$P$12,K353)*60</f>
        <v/>
      </c>
      <c r="AB353" s="27">
        <f>(IF(F353=0,0,(Upgrades!$G$7+F353*Upgrades!$H$7)*POWER(Upgrades!$I$7,F353)))*(IF(Upgrades!$T$6="Asteroid Belt",POWER(Upgrades!$U$6,E353),1)*IF(Upgrades!$T$8="Asteroid Belt",POWER(Upgrades!$U$8,G353),1)*IF(Upgrades!$T$9="Asteroid Belt",POWER(Upgrades!$U$9,H353),1)*IF(Upgrades!$T$10="Asteroid Belt",POWER(Upgrades!$U$10,I353),1)*IF(Upgrades!$T$11="Asteroid Belt",POWER(Upgrades!$U$11,J353),1)*IF(Upgrades!$T$12="Asteroid Belt",POWER(Upgrades!$U$12,K353),1))*POWER(Upgrades!$P$6,E353)*POWER(Upgrades!$P$7,F353)*POWER(Upgrades!$P$8,G353)*POWER(Upgrades!$P$9,H353)*POWER(Upgrades!$P$10,I353)*POWER(Upgrades!$P$11,J353)*POWER(Upgrades!$P$12,K353)*60</f>
        <v/>
      </c>
      <c r="AC353" s="27">
        <f>(IF(G353=0,0,(Upgrades!$J$8+G353*Upgrades!$K$8)*POWER(Upgrades!$L$8,G353)))*(IF(Upgrades!$T$6="Stellar Coupling",POWER(Upgrades!$U$6,E353),1)*IF(Upgrades!$T$7="Stellar Coupling",POWER(Upgrades!$U$7,F353),1)*IF(Upgrades!$T$9="Stellar Coupling",POWER(Upgrades!$U$9,H353),1)*IF(Upgrades!$T$10="Stellar Coupling",POWER(Upgrades!$U$10,I353),1)*IF(Upgrades!$T$11="Stellar Coupling",POWER(Upgrades!$U$11,J353),1)*IF(Upgrades!$T$12="Stellar Coupling",POWER(Upgrades!$U$12,K353),1))*POWER(Upgrades!$Q$6,E353)*POWER(Upgrades!$Q$7,F353)*POWER(Upgrades!$Q$8,G353)*POWER(Upgrades!$Q$9,H353)*POWER(Upgrades!$Q$10,I353)*POWER(Upgrades!$Q$11,J353)*POWER(Upgrades!$Q$12,K353)*Parameters!$B$10*Parameters!$B$11</f>
        <v/>
      </c>
      <c r="AD353" s="27">
        <f>(IF(H353=0,0,(Upgrades!$G$9+H353*Upgrades!$H$9)*POWER(Upgrades!$I$9,H353)))*(IF(Upgrades!$T$6="Magnetosphere",POWER(Upgrades!$U$6,E353),1)*IF(Upgrades!$T$7="Magnetosphere",POWER(Upgrades!$U$7,F353),1)*IF(Upgrades!$T$8="Magnetosphere",POWER(Upgrades!$U$8,G353),1)*IF(Upgrades!$T$10="Magnetosphere",POWER(Upgrades!$U$10,I353),1)*IF(Upgrades!$T$11="Magnetosphere",POWER(Upgrades!$U$11,J353),1)*IF(Upgrades!$T$12="Magnetosphere",POWER(Upgrades!$U$12,K353),1))*POWER(Upgrades!$P$6,E353)*POWER(Upgrades!$P$7,F353)*POWER(Upgrades!$P$8,G353)*POWER(Upgrades!$P$9,H353)*POWER(Upgrades!$P$10,I353)*POWER(Upgrades!$P$11,J353)*POWER(Upgrades!$P$12,K353)*60</f>
        <v/>
      </c>
      <c r="AE353" s="27">
        <f>(IF(K353=0,0,(Upgrades!$G$12+K353*Upgrades!$H$12)*POWER(Upgrades!$I$12,K353)))*(IF(Upgrades!$T$6="First Photons",POWER(Upgrades!$U$6,E353),1)*IF(Upgrades!$T$7="First Photons",POWER(Upgrades!$U$7,F353),1)*IF(Upgrades!$T$8="First Photons",POWER(Upgrades!$U$8,G353),1)*IF(Upgrades!$T$9="First Photons",POWER(Upgrades!$U$9,H353),1)*IF(Upgrades!$T$10="First Photons",POWER(Upgrades!$U$10,I353),1)*IF(Upgrades!$T$11="First Photons",POWER(Upgrades!$U$11,J353),1))*POWER(Upgrades!$P$6,E353)*POWER(Upgrades!$P$7,F353)*POWER(Upgrades!$P$8,G353)*POWER(Upgrades!$P$9,H353)*POWER(Upgrades!$P$10,I353)*POWER(Upgrades!$P$11,J353)*POWER(Upgrades!$P$12,K353)*60</f>
        <v/>
      </c>
      <c r="AF353" s="27">
        <f>Parameters!$B$9*POWER(Upgrades!$Q$6,E353)*POWER(Upgrades!$Q$7,F353)*POWER(Upgrades!$Q$8,G353)*POWER(Upgrades!$Q$9,H353)*POWER(Upgrades!$Q$10,I353)*POWER(Upgrades!$Q$11,J353)*POWER(Upgrades!$Q$12,K353)*(Parameters!$B$10*Parameters!$B$11+O353*60)</f>
        <v/>
      </c>
      <c r="AG353" s="22">
        <f>IF(E353&gt;=Upgrades!$E$6,"",Upgrades!$C$6*POWER(Upgrades!$D$6,E353))</f>
        <v/>
      </c>
      <c r="AH353" s="22">
        <f>IF(F353&gt;=Upgrades!$E$7,"",Upgrades!$C$7*POWER(Upgrades!$D$7,F353))</f>
        <v/>
      </c>
      <c r="AI353" s="22">
        <f>IF(G353&gt;=Upgrades!$E$8,"",Upgrades!$C$8*POWER(Upgrades!$D$8,G353))</f>
        <v/>
      </c>
      <c r="AJ353" s="22">
        <f>IF(H353&gt;=Upgrades!$E$9,"",Upgrades!$C$9*POWER(Upgrades!$D$9,H353))</f>
        <v/>
      </c>
      <c r="AK353" s="22">
        <f>IF(I353&gt;=Upgrades!$E$10,"",Upgrades!$C$10*POWER(Upgrades!$D$10,I353))</f>
        <v/>
      </c>
      <c r="AL353" s="22">
        <f>IF(J353&gt;=Upgrades!$E$11,"",Upgrades!$C$11*POWER(Upgrades!$D$11,J353))</f>
        <v/>
      </c>
      <c r="AM353" s="22">
        <f>IF(K353&gt;=Upgrades!$E$12,"",Upgrades!$C$12*POWER(Upgrades!$D$12,K353))</f>
        <v/>
      </c>
      <c r="AN353" s="26">
        <f>IF(AND(D353&gt;=Parameters!$B$18,(H353&gt;=Upgrades!$E$9)*(K353&gt;=Upgrades!$E$12)=1,L353=0),1,"")</f>
        <v/>
      </c>
      <c r="AO353" s="26">
        <f>IF(AND(D353&gt;=Parameters!$B$18,L353=0),1,"")</f>
        <v/>
      </c>
      <c r="AP353" s="22">
        <f>MIN(IF(ISNUMBER(AK353),AK353,9E15),IF(ISNUMBER(AL353),AL353,9E15),IF(ISNUMBER(AM353),AM353,9E15))</f>
        <v/>
      </c>
      <c r="AQ353" s="22">
        <f>MIN(IF(ISNUMBER(AG353),AG353,9E15),IF(ISNUMBER(AH353),AH353,9E15),IF(ISNUMBER(AI353),AI353,9E15),IF(ISNUMBER(AJ353),AJ353,9E15))</f>
        <v/>
      </c>
      <c r="AR353" s="29">
        <f>IF(AW353&gt;Parameters!$B$21*(MAX(IF(AND(NOT(AND(AO353=1,AN353&lt;&gt;1)),ISNUMBER(AG353),AG353&lt;=T353),AS353,0),IF(AND(NOT(AND(AO353=1,AN353&lt;&gt;1)),ISNUMBER(AH353),AH353&lt;=T353),AT353,0),IF(AND(NOT(AND(AO353=1,AN353&lt;&gt;1)),ISNUMBER(AI353),AI353&lt;=T353),AU353,0),IF(AND(ISNUMBER(AJ353),AJ353&lt;=T353),AV353,0))),TRUE,FALSE)</f>
        <v/>
      </c>
      <c r="AS353" s="32">
        <f>IFERROR(Upgrades!$H$6*(POWER(Upgrades!$P$6,E353)*POWER(Upgrades!$P$7,F353)*POWER(Upgrades!$P$8,G353)*POWER(Upgrades!$P$9,H353)*POWER(Upgrades!$P$10,I353)*POWER(Upgrades!$P$11,J353)*POWER(Upgrades!$P$12,K353))*(IF(Upgrades!$T$7="Solar Wind",POWER(Upgrades!$U$7,F353),1)*IF(Upgrades!$T$8="Solar Wind",POWER(Upgrades!$U$8,G353),1)*IF(Upgrades!$T$9="Solar Wind",POWER(Upgrades!$U$9,H353),1)*IF(Upgrades!$T$10="Solar Wind",POWER(Upgrades!$U$10,I353),1)*IF(Upgrades!$T$11="Solar Wind",POWER(Upgrades!$U$11,J353),1)*IF(Upgrades!$T$12="Solar Wind",POWER(Upgrades!$U$12,K353),1))/AG353,0)</f>
        <v/>
      </c>
      <c r="AT353" s="32">
        <f>IFERROR(Upgrades!$H$7*(POWER(Upgrades!$P$6,E353)*POWER(Upgrades!$P$7,F353)*POWER(Upgrades!$P$8,G353)*POWER(Upgrades!$P$9,H353)*POWER(Upgrades!$P$10,I353)*POWER(Upgrades!$P$11,J353)*POWER(Upgrades!$P$12,K353))*(IF(Upgrades!$T$6="Asteroid Belt",POWER(Upgrades!$U$6,E353),1)*IF(Upgrades!$T$8="Asteroid Belt",POWER(Upgrades!$U$8,G353),1)*IF(Upgrades!$T$9="Asteroid Belt",POWER(Upgrades!$U$9,H353),1)*IF(Upgrades!$T$10="Asteroid Belt",POWER(Upgrades!$U$10,I353),1)*IF(Upgrades!$T$11="Asteroid Belt",POWER(Upgrades!$U$11,J353),1)*IF(Upgrades!$T$12="Asteroid Belt",POWER(Upgrades!$U$12,K353),1))/AH353,0)</f>
        <v/>
      </c>
      <c r="AU353" s="32">
        <f>IFERROR(Upgrades!$K$8*(POWER(Upgrades!$Q$6,E353)*POWER(Upgrades!$Q$7,F353)*POWER(Upgrades!$Q$8,G353)*POWER(Upgrades!$Q$9,H353)*POWER(Upgrades!$Q$10,I353)*POWER(Upgrades!$Q$11,J353)*POWER(Upgrades!$Q$12,K353))*(IF(Upgrades!$T$6="Stellar Coupling",POWER(Upgrades!$U$6,E353),1)*IF(Upgrades!$T$7="Stellar Coupling",POWER(Upgrades!$U$7,F353),1)*IF(Upgrades!$T$9="Stellar Coupling",POWER(Upgrades!$U$9,H353),1)*IF(Upgrades!$T$10="Stellar Coupling",POWER(Upgrades!$U$10,I353),1)*IF(Upgrades!$T$11="Stellar Coupling",POWER(Upgrades!$U$11,J353),1)*IF(Upgrades!$T$12="Stellar Coupling",POWER(Upgrades!$U$12,K353),1))*Parameters!$B$10*Parameters!$B$11/60/AI353,0)</f>
        <v/>
      </c>
      <c r="AV353" s="32">
        <f>IFERROR(Upgrades!$H$9*(POWER(Upgrades!$P$6,E353)*POWER(Upgrades!$P$7,F353)*POWER(Upgrades!$P$8,G353)*POWER(Upgrades!$P$9,H353)*POWER(Upgrades!$P$10,I353)*POWER(Upgrades!$P$11,J353)*POWER(Upgrades!$P$12,K353))*(IF(Upgrades!$T$6="Magnetosphere",POWER(Upgrades!$U$6,E353),1)*IF(Upgrades!$T$7="Magnetosphere",POWER(Upgrades!$U$7,F353),1)*IF(Upgrades!$T$8="Magnetosphere",POWER(Upgrades!$U$8,G353),1)*IF(Upgrades!$T$10="Magnetosphere",POWER(Upgrades!$U$10,I353),1)*IF(Upgrades!$T$11="Magnetosphere",POWER(Upgrades!$U$11,J353),1)*IF(Upgrades!$T$12="Magnetosphere",POWER(Upgrades!$U$12,K353),1))/AJ353,0)</f>
        <v/>
      </c>
      <c r="AW353" s="32">
        <f>MAX(IF(I353&gt;0,0,IFERROR(0.25*N353/Upgrades!$C$10,0)),IF(J353&gt;0,0,IFERROR(0.5*((IF(G353=0,0,(Upgrades!$J$8+G353*Upgrades!$K$8)*POWER(Upgrades!$L$8,G353)))*(IF(Upgrades!$T$6="Stellar Coupling",POWER(Upgrades!$U$6,E353),1)*IF(Upgrades!$T$7="Stellar Coupling",POWER(Upgrades!$U$7,F353),1)*IF(Upgrades!$T$9="Stellar Coupling",POWER(Upgrades!$U$9,H353),1)*IF(Upgrades!$T$10="Stellar Coupling",POWER(Upgrades!$U$10,I353),1)*IF(Upgrades!$T$11="Stellar Coupling",POWER(Upgrades!$U$11,J353),1)*IF(Upgrades!$T$12="Stellar Coupling",POWER(Upgrades!$U$12,K353),1))*(POWER(Upgrades!$Q$6,E353)*POWER(Upgrades!$Q$7,F353)*POWER(Upgrades!$Q$8,G353)*POWER(Upgrades!$Q$9,H353)*POWER(Upgrades!$Q$10,I353)*POWER(Upgrades!$Q$11,J353)*POWER(Upgrades!$Q$12,K353))*Parameters!$B$10*Parameters!$B$11/60)/Upgrades!$C$11,0)),IF(K353&gt;0,0,IFERROR((1.0*(POWER(Upgrades!$P$6,E353)*POWER(Upgrades!$P$7,F353)*POWER(Upgrades!$P$8,G353)*POWER(Upgrades!$P$9,H353)*POWER(Upgrades!$P$10,I353)*POWER(Upgrades!$P$11,J353)*POWER(Upgrades!$P$12,K353))+0.20*M353*Parameters!$B$10*Parameters!$B$11/60)/Upgrades!$C$12,0)),IF(AND(ISNUMBER(AG353),AG353&gt;T353),AS353,0),IF(AND(ISNUMBER(AH353),AH353&gt;T353),AT353,0),IF(AND(ISNUMBER(AI353),AI353&gt;T353),AU353,0),IF(AND(ISNUMBER(AJ353),AJ353&gt;T353),AV353,0))</f>
        <v/>
      </c>
      <c r="AX353" s="29">
        <f>IF(AN353=1,"transition",IF(MIN(IF(AND(I353=0,ISNUMBER(AK353),AK353&lt;=T353),AK353,9E15),IF(AND(J353=0,ISNUMBER(AL353),AL353&lt;=T353),AL353,9E15),IF(AND(K353=0,ISNUMBER(AM353),AM353&lt;=T353),AM353,9E15))&lt;9E15,IF(AND(AND(I353=0,ISNUMBER(AK353),AK353&lt;=T353),AK353=MIN(IF(AND(I353=0,ISNUMBER(AK353),AK353&lt;=T353),AK353,9E15),IF(AND(J353=0,ISNUMBER(AL353),AL353&lt;=T353),AL353,9E15),IF(AND(K353=0,ISNUMBER(AM353),AM353&lt;=T353),AM353,9E15))),"OR",IF(AND(AND(J353=0,ISNUMBER(AL353),AL353&lt;=T353),AL353=MIN(IF(AND(I353=0,ISNUMBER(AK353),AK353&lt;=T353),AK353,9E15),IF(AND(J353=0,ISNUMBER(AL353),AL353&lt;=T353),AL353,9E15),IF(AND(K353=0,ISNUMBER(AM353),AM353&lt;=T353),AM353,9E15))),"HP","FP")),IF(AR353=TRUE,"",IF(MAX(IF(AND(NOT(AND(AO353=1,AN353&lt;&gt;1)),ISNUMBER(AG353),AG353&lt;=T353),AS353,0),IF(AND(NOT(AND(AO353=1,AN353&lt;&gt;1)),ISNUMBER(AH353),AH353&lt;=T353),AT353,0),IF(AND(NOT(AND(AO353=1,AN353&lt;&gt;1)),ISNUMBER(AI353),AI353&lt;=T353),AU353,0),IF(AND(ISNUMBER(AJ353),AJ353&lt;=T353),AV353,0))&lt;=0,"",IF(AND(IF(AND(NOT(AND(AO353=1,AN353&lt;&gt;1)),ISNUMBER(AG353),AG353&lt;=T353),AS353,0)&gt;0,IF(AND(NOT(AND(AO353=1,AN353&lt;&gt;1)),ISNUMBER(AG353),AG353&lt;=T353),AS353,0)=MAX(IF(AND(NOT(AND(AO353=1,AN353&lt;&gt;1)),ISNUMBER(AG353),AG353&lt;=T353),AS353,0),IF(AND(NOT(AND(AO353=1,AN353&lt;&gt;1)),ISNUMBER(AH353),AH353&lt;=T353),AT353,0),IF(AND(NOT(AND(AO353=1,AN353&lt;&gt;1)),ISNUMBER(AI353),AI353&lt;=T353),AU353,0),IF(AND(ISNUMBER(AJ353),AJ353&lt;=T353),AV353,0))),"SW",IF(AND(IF(AND(NOT(AND(AO353=1,AN353&lt;&gt;1)),ISNUMBER(AH353),AH353&lt;=T353),AT353,0)&gt;0,IF(AND(NOT(AND(AO353=1,AN353&lt;&gt;1)),ISNUMBER(AH353),AH353&lt;=T353),AT353,0)=MAX(IF(AND(NOT(AND(AO353=1,AN353&lt;&gt;1)),ISNUMBER(AG353),AG353&lt;=T353),AS353,0),IF(AND(NOT(AND(AO353=1,AN353&lt;&gt;1)),ISNUMBER(AH353),AH353&lt;=T353),AT353,0),IF(AND(NOT(AND(AO353=1,AN353&lt;&gt;1)),ISNUMBER(AI353),AI353&lt;=T353),AU353,0),IF(AND(ISNUMBER(AJ353),AJ353&lt;=T353),AV353,0))),"AB",IF(AND(IF(AND(NOT(AND(AO353=1,AN353&lt;&gt;1)),ISNUMBER(AI353),AI353&lt;=T353),AU353,0)&gt;0,IF(AND(NOT(AND(AO353=1,AN353&lt;&gt;1)),ISNUMBER(AI353),AI353&lt;=T353),AU353,0)=MAX(IF(AND(NOT(AND(AO353=1,AN353&lt;&gt;1)),ISNUMBER(AG353),AG353&lt;=T353),AS353,0),IF(AND(NOT(AND(AO353=1,AN353&lt;&gt;1)),ISNUMBER(AH353),AH353&lt;=T353),AT353,0),IF(AND(NOT(AND(AO353=1,AN353&lt;&gt;1)),ISNUMBER(AI353),AI353&lt;=T353),AU353,0),IF(AND(ISNUMBER(AJ353),AJ353&lt;=T353),AV353,0))),"SC","Mag")))))))</f>
        <v/>
      </c>
    </row>
    <row r="354">
      <c r="A354" s="26" t="n">
        <v>349</v>
      </c>
      <c r="B354" s="27">
        <f>A354*10/60</f>
        <v/>
      </c>
      <c r="C354" s="22">
        <f>X353</f>
        <v/>
      </c>
      <c r="D354" s="27">
        <f>D353+W353</f>
        <v/>
      </c>
      <c r="E354" s="26">
        <f>E353+IF(U353="SW",1,0)</f>
        <v/>
      </c>
      <c r="F354" s="26">
        <f>F353+IF(U353="AB",1,0)</f>
        <v/>
      </c>
      <c r="G354" s="26">
        <f>G353+IF(U353="SC",1,0)</f>
        <v/>
      </c>
      <c r="H354" s="26">
        <f>H353+IF(U353="Mag",1,0)</f>
        <v/>
      </c>
      <c r="I354" s="26">
        <f>MAX(I353,IF(U353="OR",1,0))</f>
        <v/>
      </c>
      <c r="J354" s="26">
        <f>MAX(J353,IF(U353="HP",1,0))</f>
        <v/>
      </c>
      <c r="K354" s="26">
        <f>MAX(K353,IF(U353="FP",1,0))</f>
        <v/>
      </c>
      <c r="L354" s="26">
        <f>MAX(L353,IF(U353="transition",1,0))</f>
        <v/>
      </c>
      <c r="M354" s="28">
        <f>(Parameters!$B$9+(IF(E354=0,0,(Upgrades!$J$6+E354*Upgrades!$K$6)*POWER(Upgrades!$L$6,E354)))*(IF(Upgrades!$T$7="Solar Wind",POWER(Upgrades!$U$7,F354),1)*IF(Upgrades!$T$8="Solar Wind",POWER(Upgrades!$U$8,G354),1)*IF(Upgrades!$T$9="Solar Wind",POWER(Upgrades!$U$9,H354),1)*IF(Upgrades!$T$10="Solar Wind",POWER(Upgrades!$U$10,I354),1)*IF(Upgrades!$T$11="Solar Wind",POWER(Upgrades!$U$11,J354),1)*IF(Upgrades!$T$12="Solar Wind",POWER(Upgrades!$U$12,K354),1))+(IF(F354=0,0,(Upgrades!$J$7+F354*Upgrades!$K$7)*POWER(Upgrades!$L$7,F354)))*(IF(Upgrades!$T$6="Asteroid Belt",POWER(Upgrades!$U$6,E354),1)*IF(Upgrades!$T$8="Asteroid Belt",POWER(Upgrades!$U$8,G354),1)*IF(Upgrades!$T$9="Asteroid Belt",POWER(Upgrades!$U$9,H354),1)*IF(Upgrades!$T$10="Asteroid Belt",POWER(Upgrades!$U$10,I354),1)*IF(Upgrades!$T$11="Asteroid Belt",POWER(Upgrades!$U$11,J354),1)*IF(Upgrades!$T$12="Asteroid Belt",POWER(Upgrades!$U$12,K354),1))+(IF(G354=0,0,(Upgrades!$J$8+G354*Upgrades!$K$8)*POWER(Upgrades!$L$8,G354)))*(IF(Upgrades!$T$6="Stellar Coupling",POWER(Upgrades!$U$6,E354),1)*IF(Upgrades!$T$7="Stellar Coupling",POWER(Upgrades!$U$7,F354),1)*IF(Upgrades!$T$9="Stellar Coupling",POWER(Upgrades!$U$9,H354),1)*IF(Upgrades!$T$10="Stellar Coupling",POWER(Upgrades!$U$10,I354),1)*IF(Upgrades!$T$11="Stellar Coupling",POWER(Upgrades!$U$11,J354),1)*IF(Upgrades!$T$12="Stellar Coupling",POWER(Upgrades!$U$12,K354),1))+(IF(H354=0,0,(Upgrades!$J$9+H354*Upgrades!$K$9)*POWER(Upgrades!$L$9,H354)))*(IF(Upgrades!$T$6="Magnetosphere",POWER(Upgrades!$U$6,E354),1)*IF(Upgrades!$T$7="Magnetosphere",POWER(Upgrades!$U$7,F354),1)*IF(Upgrades!$T$8="Magnetosphere",POWER(Upgrades!$U$8,G354),1)*IF(Upgrades!$T$10="Magnetosphere",POWER(Upgrades!$U$10,I354),1)*IF(Upgrades!$T$11="Magnetosphere",POWER(Upgrades!$U$11,J354),1)*IF(Upgrades!$T$12="Magnetosphere",POWER(Upgrades!$U$12,K354),1))+(IF(I354=0,0,(Upgrades!$J$10+I354*Upgrades!$K$10)*POWER(Upgrades!$L$10,I354)))*(IF(Upgrades!$T$6="Orbital Resonance",POWER(Upgrades!$U$6,E354),1)*IF(Upgrades!$T$7="Orbital Resonance",POWER(Upgrades!$U$7,F354),1)*IF(Upgrades!$T$8="Orbital Resonance",POWER(Upgrades!$U$8,G354),1)*IF(Upgrades!$T$9="Orbital Resonance",POWER(Upgrades!$U$9,H354),1)*IF(Upgrades!$T$11="Orbital Resonance",POWER(Upgrades!$U$11,J354),1)*IF(Upgrades!$T$12="Orbital Resonance",POWER(Upgrades!$U$12,K354),1))+(IF(J354=0,0,(Upgrades!$J$11+J354*Upgrades!$K$11)*POWER(Upgrades!$L$11,J354)))*(IF(Upgrades!$T$6="Heliopause",POWER(Upgrades!$U$6,E354),1)*IF(Upgrades!$T$7="Heliopause",POWER(Upgrades!$U$7,F354),1)*IF(Upgrades!$T$8="Heliopause",POWER(Upgrades!$U$8,G354),1)*IF(Upgrades!$T$9="Heliopause",POWER(Upgrades!$U$9,H354),1)*IF(Upgrades!$T$10="Heliopause",POWER(Upgrades!$U$10,I354),1)*IF(Upgrades!$T$12="Heliopause",POWER(Upgrades!$U$12,K354),1))+(IF(K354=0,0,(Upgrades!$J$12+K354*Upgrades!$K$12)*POWER(Upgrades!$L$12,K354)))*(IF(Upgrades!$T$6="First Photons",POWER(Upgrades!$U$6,E354),1)*IF(Upgrades!$T$7="First Photons",POWER(Upgrades!$U$7,F354),1)*IF(Upgrades!$T$8="First Photons",POWER(Upgrades!$U$8,G354),1)*IF(Upgrades!$T$9="First Photons",POWER(Upgrades!$U$9,H354),1)*IF(Upgrades!$T$10="First Photons",POWER(Upgrades!$U$10,I354),1)*IF(Upgrades!$T$11="First Photons",POWER(Upgrades!$U$11,J354),1)))*POWER(Upgrades!$Q$6,E354)*POWER(Upgrades!$Q$7,F354)*POWER(Upgrades!$Q$8,G354)*POWER(Upgrades!$Q$9,H354)*POWER(Upgrades!$Q$10,I354)*POWER(Upgrades!$Q$11,J354)*POWER(Upgrades!$Q$12,K354)</f>
        <v/>
      </c>
      <c r="N354" s="28">
        <f>((IF(E354=0,0,(Upgrades!$G$6+E354*Upgrades!$H$6)*POWER(Upgrades!$I$6,E354)))*(IF(Upgrades!$T$7="Solar Wind",POWER(Upgrades!$U$7,F354),1)*IF(Upgrades!$T$8="Solar Wind",POWER(Upgrades!$U$8,G354),1)*IF(Upgrades!$T$9="Solar Wind",POWER(Upgrades!$U$9,H354),1)*IF(Upgrades!$T$10="Solar Wind",POWER(Upgrades!$U$10,I354),1)*IF(Upgrades!$T$11="Solar Wind",POWER(Upgrades!$U$11,J354),1)*IF(Upgrades!$T$12="Solar Wind",POWER(Upgrades!$U$12,K354),1))+(IF(F354=0,0,(Upgrades!$G$7+F354*Upgrades!$H$7)*POWER(Upgrades!$I$7,F354)))*(IF(Upgrades!$T$6="Asteroid Belt",POWER(Upgrades!$U$6,E354),1)*IF(Upgrades!$T$8="Asteroid Belt",POWER(Upgrades!$U$8,G354),1)*IF(Upgrades!$T$9="Asteroid Belt",POWER(Upgrades!$U$9,H354),1)*IF(Upgrades!$T$10="Asteroid Belt",POWER(Upgrades!$U$10,I354),1)*IF(Upgrades!$T$11="Asteroid Belt",POWER(Upgrades!$U$11,J354),1)*IF(Upgrades!$T$12="Asteroid Belt",POWER(Upgrades!$U$12,K354),1))+(IF(G354=0,0,(Upgrades!$G$8+G354*Upgrades!$H$8)*POWER(Upgrades!$I$8,G354)))*(IF(Upgrades!$T$6="Stellar Coupling",POWER(Upgrades!$U$6,E354),1)*IF(Upgrades!$T$7="Stellar Coupling",POWER(Upgrades!$U$7,F354),1)*IF(Upgrades!$T$9="Stellar Coupling",POWER(Upgrades!$U$9,H354),1)*IF(Upgrades!$T$10="Stellar Coupling",POWER(Upgrades!$U$10,I354),1)*IF(Upgrades!$T$11="Stellar Coupling",POWER(Upgrades!$U$11,J354),1)*IF(Upgrades!$T$12="Stellar Coupling",POWER(Upgrades!$U$12,K354),1))+(IF(H354=0,0,(Upgrades!$G$9+H354*Upgrades!$H$9)*POWER(Upgrades!$I$9,H354)))*(IF(Upgrades!$T$6="Magnetosphere",POWER(Upgrades!$U$6,E354),1)*IF(Upgrades!$T$7="Magnetosphere",POWER(Upgrades!$U$7,F354),1)*IF(Upgrades!$T$8="Magnetosphere",POWER(Upgrades!$U$8,G354),1)*IF(Upgrades!$T$10="Magnetosphere",POWER(Upgrades!$U$10,I354),1)*IF(Upgrades!$T$11="Magnetosphere",POWER(Upgrades!$U$11,J354),1)*IF(Upgrades!$T$12="Magnetosphere",POWER(Upgrades!$U$12,K354),1))+(IF(I354=0,0,(Upgrades!$G$10+I354*Upgrades!$H$10)*POWER(Upgrades!$I$10,I354)))*(IF(Upgrades!$T$6="Orbital Resonance",POWER(Upgrades!$U$6,E354),1)*IF(Upgrades!$T$7="Orbital Resonance",POWER(Upgrades!$U$7,F354),1)*IF(Upgrades!$T$8="Orbital Resonance",POWER(Upgrades!$U$8,G354),1)*IF(Upgrades!$T$9="Orbital Resonance",POWER(Upgrades!$U$9,H354),1)*IF(Upgrades!$T$11="Orbital Resonance",POWER(Upgrades!$U$11,J354),1)*IF(Upgrades!$T$12="Orbital Resonance",POWER(Upgrades!$U$12,K354),1))+(IF(J354=0,0,(Upgrades!$G$11+J354*Upgrades!$H$11)*POWER(Upgrades!$I$11,J354)))*(IF(Upgrades!$T$6="Heliopause",POWER(Upgrades!$U$6,E354),1)*IF(Upgrades!$T$7="Heliopause",POWER(Upgrades!$U$7,F354),1)*IF(Upgrades!$T$8="Heliopause",POWER(Upgrades!$U$8,G354),1)*IF(Upgrades!$T$9="Heliopause",POWER(Upgrades!$U$9,H354),1)*IF(Upgrades!$T$10="Heliopause",POWER(Upgrades!$U$10,I354),1)*IF(Upgrades!$T$12="Heliopause",POWER(Upgrades!$U$12,K354),1))+(IF(K354=0,0,(Upgrades!$G$12+K354*Upgrades!$H$12)*POWER(Upgrades!$I$12,K354)))*(IF(Upgrades!$T$6="First Photons",POWER(Upgrades!$U$6,E354),1)*IF(Upgrades!$T$7="First Photons",POWER(Upgrades!$U$7,F354),1)*IF(Upgrades!$T$8="First Photons",POWER(Upgrades!$U$8,G354),1)*IF(Upgrades!$T$9="First Photons",POWER(Upgrades!$U$9,H354),1)*IF(Upgrades!$T$10="First Photons",POWER(Upgrades!$U$10,I354),1)*IF(Upgrades!$T$11="First Photons",POWER(Upgrades!$U$11,J354),1)))*POWER(Upgrades!$P$6,E354)*POWER(Upgrades!$P$7,F354)*POWER(Upgrades!$P$8,G354)*POWER(Upgrades!$P$9,H354)*POWER(Upgrades!$P$10,I354)*POWER(Upgrades!$P$11,J354)*POWER(Upgrades!$P$12,K354)</f>
        <v/>
      </c>
      <c r="O354" s="28">
        <f>((IF(E354=0,0,(Upgrades!$M$6+E354*Upgrades!$N$6)*POWER(Upgrades!$O$6,E354)))*(IF(Upgrades!$T$7="Solar Wind",POWER(Upgrades!$U$7,F354),1)*IF(Upgrades!$T$8="Solar Wind",POWER(Upgrades!$U$8,G354),1)*IF(Upgrades!$T$9="Solar Wind",POWER(Upgrades!$U$9,H354),1)*IF(Upgrades!$T$10="Solar Wind",POWER(Upgrades!$U$10,I354),1)*IF(Upgrades!$T$11="Solar Wind",POWER(Upgrades!$U$11,J354),1)*IF(Upgrades!$T$12="Solar Wind",POWER(Upgrades!$U$12,K354),1))+(IF(F354=0,0,(Upgrades!$M$7+F354*Upgrades!$N$7)*POWER(Upgrades!$O$7,F354)))*(IF(Upgrades!$T$6="Asteroid Belt",POWER(Upgrades!$U$6,E354),1)*IF(Upgrades!$T$8="Asteroid Belt",POWER(Upgrades!$U$8,G354),1)*IF(Upgrades!$T$9="Asteroid Belt",POWER(Upgrades!$U$9,H354),1)*IF(Upgrades!$T$10="Asteroid Belt",POWER(Upgrades!$U$10,I354),1)*IF(Upgrades!$T$11="Asteroid Belt",POWER(Upgrades!$U$11,J354),1)*IF(Upgrades!$T$12="Asteroid Belt",POWER(Upgrades!$U$12,K354),1))+(IF(G354=0,0,(Upgrades!$M$8+G354*Upgrades!$N$8)*POWER(Upgrades!$O$8,G354)))*(IF(Upgrades!$T$6="Stellar Coupling",POWER(Upgrades!$U$6,E354),1)*IF(Upgrades!$T$7="Stellar Coupling",POWER(Upgrades!$U$7,F354),1)*IF(Upgrades!$T$9="Stellar Coupling",POWER(Upgrades!$U$9,H354),1)*IF(Upgrades!$T$10="Stellar Coupling",POWER(Upgrades!$U$10,I354),1)*IF(Upgrades!$T$11="Stellar Coupling",POWER(Upgrades!$U$11,J354),1)*IF(Upgrades!$T$12="Stellar Coupling",POWER(Upgrades!$U$12,K354),1))+(IF(H354=0,0,(Upgrades!$M$9+H354*Upgrades!$N$9)*POWER(Upgrades!$O$9,H354)))*(IF(Upgrades!$T$6="Magnetosphere",POWER(Upgrades!$U$6,E354),1)*IF(Upgrades!$T$7="Magnetosphere",POWER(Upgrades!$U$7,F354),1)*IF(Upgrades!$T$8="Magnetosphere",POWER(Upgrades!$U$8,G354),1)*IF(Upgrades!$T$10="Magnetosphere",POWER(Upgrades!$U$10,I354),1)*IF(Upgrades!$T$11="Magnetosphere",POWER(Upgrades!$U$11,J354),1)*IF(Upgrades!$T$12="Magnetosphere",POWER(Upgrades!$U$12,K354),1))+(IF(I354=0,0,(Upgrades!$M$10+I354*Upgrades!$N$10)*POWER(Upgrades!$O$10,I354)))*(IF(Upgrades!$T$6="Orbital Resonance",POWER(Upgrades!$U$6,E354),1)*IF(Upgrades!$T$7="Orbital Resonance",POWER(Upgrades!$U$7,F354),1)*IF(Upgrades!$T$8="Orbital Resonance",POWER(Upgrades!$U$8,G354),1)*IF(Upgrades!$T$9="Orbital Resonance",POWER(Upgrades!$U$9,H354),1)*IF(Upgrades!$T$11="Orbital Resonance",POWER(Upgrades!$U$11,J354),1)*IF(Upgrades!$T$12="Orbital Resonance",POWER(Upgrades!$U$12,K354),1))+(IF(J354=0,0,(Upgrades!$M$11+J354*Upgrades!$N$11)*POWER(Upgrades!$O$11,J354)))*(IF(Upgrades!$T$6="Heliopause",POWER(Upgrades!$U$6,E354),1)*IF(Upgrades!$T$7="Heliopause",POWER(Upgrades!$U$7,F354),1)*IF(Upgrades!$T$8="Heliopause",POWER(Upgrades!$U$8,G354),1)*IF(Upgrades!$T$9="Heliopause",POWER(Upgrades!$U$9,H354),1)*IF(Upgrades!$T$10="Heliopause",POWER(Upgrades!$U$10,I354),1)*IF(Upgrades!$T$12="Heliopause",POWER(Upgrades!$U$12,K354),1))+(IF(K354=0,0,(Upgrades!$M$12+K354*Upgrades!$N$12)*POWER(Upgrades!$O$12,K354)))*(IF(Upgrades!$T$6="First Photons",POWER(Upgrades!$U$6,E354),1)*IF(Upgrades!$T$7="First Photons",POWER(Upgrades!$U$7,F354),1)*IF(Upgrades!$T$8="First Photons",POWER(Upgrades!$U$8,G354),1)*IF(Upgrades!$T$9="First Photons",POWER(Upgrades!$U$9,H354),1)*IF(Upgrades!$T$10="First Photons",POWER(Upgrades!$U$10,I354),1)*IF(Upgrades!$T$11="First Photons",POWER(Upgrades!$U$11,J354),1)))*POWER(Upgrades!$R$6,E354)*POWER(Upgrades!$R$7,F354)*POWER(Upgrades!$R$8,G354)*POWER(Upgrades!$R$9,H354)*POWER(Upgrades!$R$10,I354)*POWER(Upgrades!$R$11,J354)*POWER(Upgrades!$R$12,K354)</f>
        <v/>
      </c>
      <c r="P354" s="27">
        <f>IF(L354=1,0,M354*Parameters!$B$10/60*Parameters!$B$11*10)</f>
        <v/>
      </c>
      <c r="Q354" s="27">
        <f>IF(L354=1,0,O354*M354*10)</f>
        <v/>
      </c>
      <c r="R354" s="27">
        <f>IF(L354=1,0,N354*10)</f>
        <v/>
      </c>
      <c r="S354" s="27">
        <f>P354+Q354+R354</f>
        <v/>
      </c>
      <c r="T354" s="22">
        <f>C354+S354</f>
        <v/>
      </c>
      <c r="U354" s="33">
        <f>AX354</f>
        <v/>
      </c>
      <c r="V354" s="22">
        <f>IF(U354="",0,IF(U354="transition",0,IF(U354="SW",AG354,IF(U354="AB",AH354,IF(U354="SC",AI354,IF(U354="Mag",AJ354,IF(U354="OR",AK354,IF(U354="HP",AL354,IF(U354="FP",AM354,0)))))))))</f>
        <v/>
      </c>
      <c r="W354" s="27">
        <f>IF(U354="OR",Upgrades!$F$10,IF(U354="HP",Upgrades!$F$11,IF(U354="transition",-Parameters!$B$18,0)))</f>
        <v/>
      </c>
      <c r="X354" s="22">
        <f>T354-V354</f>
        <v/>
      </c>
      <c r="Y354" s="30">
        <f>M354*Parameters!$B$10/60*Parameters!$B$11+O354*M354+N354</f>
        <v/>
      </c>
      <c r="Z354" s="34">
        <f>IF(U354="transition","→ Tier 2 (Stellar Neighborhood)",IF(U354="FP","First Photons — light begins, system quickens",IF(U354="HP","Heliopause acquired",IF(U354="OR","Orbital Resonance — passive multiplier active",IF(AND(AO354=1,L354=0,AN354&lt;&gt;1),"Cohesion ready (waiting on completionist upgrades)","")))))</f>
        <v/>
      </c>
      <c r="AA354" s="27">
        <f>(IF(E354=0,0,(Upgrades!$G$6+E354*Upgrades!$H$6)*POWER(Upgrades!$I$6,E354)))*(IF(Upgrades!$T$7="Solar Wind",POWER(Upgrades!$U$7,F354),1)*IF(Upgrades!$T$8="Solar Wind",POWER(Upgrades!$U$8,G354),1)*IF(Upgrades!$T$9="Solar Wind",POWER(Upgrades!$U$9,H354),1)*IF(Upgrades!$T$10="Solar Wind",POWER(Upgrades!$U$10,I354),1)*IF(Upgrades!$T$11="Solar Wind",POWER(Upgrades!$U$11,J354),1)*IF(Upgrades!$T$12="Solar Wind",POWER(Upgrades!$U$12,K354),1))*POWER(Upgrades!$P$6,E354)*POWER(Upgrades!$P$7,F354)*POWER(Upgrades!$P$8,G354)*POWER(Upgrades!$P$9,H354)*POWER(Upgrades!$P$10,I354)*POWER(Upgrades!$P$11,J354)*POWER(Upgrades!$P$12,K354)*60</f>
        <v/>
      </c>
      <c r="AB354" s="27">
        <f>(IF(F354=0,0,(Upgrades!$G$7+F354*Upgrades!$H$7)*POWER(Upgrades!$I$7,F354)))*(IF(Upgrades!$T$6="Asteroid Belt",POWER(Upgrades!$U$6,E354),1)*IF(Upgrades!$T$8="Asteroid Belt",POWER(Upgrades!$U$8,G354),1)*IF(Upgrades!$T$9="Asteroid Belt",POWER(Upgrades!$U$9,H354),1)*IF(Upgrades!$T$10="Asteroid Belt",POWER(Upgrades!$U$10,I354),1)*IF(Upgrades!$T$11="Asteroid Belt",POWER(Upgrades!$U$11,J354),1)*IF(Upgrades!$T$12="Asteroid Belt",POWER(Upgrades!$U$12,K354),1))*POWER(Upgrades!$P$6,E354)*POWER(Upgrades!$P$7,F354)*POWER(Upgrades!$P$8,G354)*POWER(Upgrades!$P$9,H354)*POWER(Upgrades!$P$10,I354)*POWER(Upgrades!$P$11,J354)*POWER(Upgrades!$P$12,K354)*60</f>
        <v/>
      </c>
      <c r="AC354" s="27">
        <f>(IF(G354=0,0,(Upgrades!$J$8+G354*Upgrades!$K$8)*POWER(Upgrades!$L$8,G354)))*(IF(Upgrades!$T$6="Stellar Coupling",POWER(Upgrades!$U$6,E354),1)*IF(Upgrades!$T$7="Stellar Coupling",POWER(Upgrades!$U$7,F354),1)*IF(Upgrades!$T$9="Stellar Coupling",POWER(Upgrades!$U$9,H354),1)*IF(Upgrades!$T$10="Stellar Coupling",POWER(Upgrades!$U$10,I354),1)*IF(Upgrades!$T$11="Stellar Coupling",POWER(Upgrades!$U$11,J354),1)*IF(Upgrades!$T$12="Stellar Coupling",POWER(Upgrades!$U$12,K354),1))*POWER(Upgrades!$Q$6,E354)*POWER(Upgrades!$Q$7,F354)*POWER(Upgrades!$Q$8,G354)*POWER(Upgrades!$Q$9,H354)*POWER(Upgrades!$Q$10,I354)*POWER(Upgrades!$Q$11,J354)*POWER(Upgrades!$Q$12,K354)*Parameters!$B$10*Parameters!$B$11</f>
        <v/>
      </c>
      <c r="AD354" s="27">
        <f>(IF(H354=0,0,(Upgrades!$G$9+H354*Upgrades!$H$9)*POWER(Upgrades!$I$9,H354)))*(IF(Upgrades!$T$6="Magnetosphere",POWER(Upgrades!$U$6,E354),1)*IF(Upgrades!$T$7="Magnetosphere",POWER(Upgrades!$U$7,F354),1)*IF(Upgrades!$T$8="Magnetosphere",POWER(Upgrades!$U$8,G354),1)*IF(Upgrades!$T$10="Magnetosphere",POWER(Upgrades!$U$10,I354),1)*IF(Upgrades!$T$11="Magnetosphere",POWER(Upgrades!$U$11,J354),1)*IF(Upgrades!$T$12="Magnetosphere",POWER(Upgrades!$U$12,K354),1))*POWER(Upgrades!$P$6,E354)*POWER(Upgrades!$P$7,F354)*POWER(Upgrades!$P$8,G354)*POWER(Upgrades!$P$9,H354)*POWER(Upgrades!$P$10,I354)*POWER(Upgrades!$P$11,J354)*POWER(Upgrades!$P$12,K354)*60</f>
        <v/>
      </c>
      <c r="AE354" s="27">
        <f>(IF(K354=0,0,(Upgrades!$G$12+K354*Upgrades!$H$12)*POWER(Upgrades!$I$12,K354)))*(IF(Upgrades!$T$6="First Photons",POWER(Upgrades!$U$6,E354),1)*IF(Upgrades!$T$7="First Photons",POWER(Upgrades!$U$7,F354),1)*IF(Upgrades!$T$8="First Photons",POWER(Upgrades!$U$8,G354),1)*IF(Upgrades!$T$9="First Photons",POWER(Upgrades!$U$9,H354),1)*IF(Upgrades!$T$10="First Photons",POWER(Upgrades!$U$10,I354),1)*IF(Upgrades!$T$11="First Photons",POWER(Upgrades!$U$11,J354),1))*POWER(Upgrades!$P$6,E354)*POWER(Upgrades!$P$7,F354)*POWER(Upgrades!$P$8,G354)*POWER(Upgrades!$P$9,H354)*POWER(Upgrades!$P$10,I354)*POWER(Upgrades!$P$11,J354)*POWER(Upgrades!$P$12,K354)*60</f>
        <v/>
      </c>
      <c r="AF354" s="27">
        <f>Parameters!$B$9*POWER(Upgrades!$Q$6,E354)*POWER(Upgrades!$Q$7,F354)*POWER(Upgrades!$Q$8,G354)*POWER(Upgrades!$Q$9,H354)*POWER(Upgrades!$Q$10,I354)*POWER(Upgrades!$Q$11,J354)*POWER(Upgrades!$Q$12,K354)*(Parameters!$B$10*Parameters!$B$11+O354*60)</f>
        <v/>
      </c>
      <c r="AG354" s="22">
        <f>IF(E354&gt;=Upgrades!$E$6,"",Upgrades!$C$6*POWER(Upgrades!$D$6,E354))</f>
        <v/>
      </c>
      <c r="AH354" s="22">
        <f>IF(F354&gt;=Upgrades!$E$7,"",Upgrades!$C$7*POWER(Upgrades!$D$7,F354))</f>
        <v/>
      </c>
      <c r="AI354" s="22">
        <f>IF(G354&gt;=Upgrades!$E$8,"",Upgrades!$C$8*POWER(Upgrades!$D$8,G354))</f>
        <v/>
      </c>
      <c r="AJ354" s="22">
        <f>IF(H354&gt;=Upgrades!$E$9,"",Upgrades!$C$9*POWER(Upgrades!$D$9,H354))</f>
        <v/>
      </c>
      <c r="AK354" s="22">
        <f>IF(I354&gt;=Upgrades!$E$10,"",Upgrades!$C$10*POWER(Upgrades!$D$10,I354))</f>
        <v/>
      </c>
      <c r="AL354" s="22">
        <f>IF(J354&gt;=Upgrades!$E$11,"",Upgrades!$C$11*POWER(Upgrades!$D$11,J354))</f>
        <v/>
      </c>
      <c r="AM354" s="22">
        <f>IF(K354&gt;=Upgrades!$E$12,"",Upgrades!$C$12*POWER(Upgrades!$D$12,K354))</f>
        <v/>
      </c>
      <c r="AN354" s="26">
        <f>IF(AND(D354&gt;=Parameters!$B$18,(H354&gt;=Upgrades!$E$9)*(K354&gt;=Upgrades!$E$12)=1,L354=0),1,"")</f>
        <v/>
      </c>
      <c r="AO354" s="26">
        <f>IF(AND(D354&gt;=Parameters!$B$18,L354=0),1,"")</f>
        <v/>
      </c>
      <c r="AP354" s="22">
        <f>MIN(IF(ISNUMBER(AK354),AK354,9E15),IF(ISNUMBER(AL354),AL354,9E15),IF(ISNUMBER(AM354),AM354,9E15))</f>
        <v/>
      </c>
      <c r="AQ354" s="22">
        <f>MIN(IF(ISNUMBER(AG354),AG354,9E15),IF(ISNUMBER(AH354),AH354,9E15),IF(ISNUMBER(AI354),AI354,9E15),IF(ISNUMBER(AJ354),AJ354,9E15))</f>
        <v/>
      </c>
      <c r="AR354" s="29">
        <f>IF(AW354&gt;Parameters!$B$21*(MAX(IF(AND(NOT(AND(AO354=1,AN354&lt;&gt;1)),ISNUMBER(AG354),AG354&lt;=T354),AS354,0),IF(AND(NOT(AND(AO354=1,AN354&lt;&gt;1)),ISNUMBER(AH354),AH354&lt;=T354),AT354,0),IF(AND(NOT(AND(AO354=1,AN354&lt;&gt;1)),ISNUMBER(AI354),AI354&lt;=T354),AU354,0),IF(AND(ISNUMBER(AJ354),AJ354&lt;=T354),AV354,0))),TRUE,FALSE)</f>
        <v/>
      </c>
      <c r="AS354" s="32">
        <f>IFERROR(Upgrades!$H$6*(POWER(Upgrades!$P$6,E354)*POWER(Upgrades!$P$7,F354)*POWER(Upgrades!$P$8,G354)*POWER(Upgrades!$P$9,H354)*POWER(Upgrades!$P$10,I354)*POWER(Upgrades!$P$11,J354)*POWER(Upgrades!$P$12,K354))*(IF(Upgrades!$T$7="Solar Wind",POWER(Upgrades!$U$7,F354),1)*IF(Upgrades!$T$8="Solar Wind",POWER(Upgrades!$U$8,G354),1)*IF(Upgrades!$T$9="Solar Wind",POWER(Upgrades!$U$9,H354),1)*IF(Upgrades!$T$10="Solar Wind",POWER(Upgrades!$U$10,I354),1)*IF(Upgrades!$T$11="Solar Wind",POWER(Upgrades!$U$11,J354),1)*IF(Upgrades!$T$12="Solar Wind",POWER(Upgrades!$U$12,K354),1))/AG354,0)</f>
        <v/>
      </c>
      <c r="AT354" s="32">
        <f>IFERROR(Upgrades!$H$7*(POWER(Upgrades!$P$6,E354)*POWER(Upgrades!$P$7,F354)*POWER(Upgrades!$P$8,G354)*POWER(Upgrades!$P$9,H354)*POWER(Upgrades!$P$10,I354)*POWER(Upgrades!$P$11,J354)*POWER(Upgrades!$P$12,K354))*(IF(Upgrades!$T$6="Asteroid Belt",POWER(Upgrades!$U$6,E354),1)*IF(Upgrades!$T$8="Asteroid Belt",POWER(Upgrades!$U$8,G354),1)*IF(Upgrades!$T$9="Asteroid Belt",POWER(Upgrades!$U$9,H354),1)*IF(Upgrades!$T$10="Asteroid Belt",POWER(Upgrades!$U$10,I354),1)*IF(Upgrades!$T$11="Asteroid Belt",POWER(Upgrades!$U$11,J354),1)*IF(Upgrades!$T$12="Asteroid Belt",POWER(Upgrades!$U$12,K354),1))/AH354,0)</f>
        <v/>
      </c>
      <c r="AU354" s="32">
        <f>IFERROR(Upgrades!$K$8*(POWER(Upgrades!$Q$6,E354)*POWER(Upgrades!$Q$7,F354)*POWER(Upgrades!$Q$8,G354)*POWER(Upgrades!$Q$9,H354)*POWER(Upgrades!$Q$10,I354)*POWER(Upgrades!$Q$11,J354)*POWER(Upgrades!$Q$12,K354))*(IF(Upgrades!$T$6="Stellar Coupling",POWER(Upgrades!$U$6,E354),1)*IF(Upgrades!$T$7="Stellar Coupling",POWER(Upgrades!$U$7,F354),1)*IF(Upgrades!$T$9="Stellar Coupling",POWER(Upgrades!$U$9,H354),1)*IF(Upgrades!$T$10="Stellar Coupling",POWER(Upgrades!$U$10,I354),1)*IF(Upgrades!$T$11="Stellar Coupling",POWER(Upgrades!$U$11,J354),1)*IF(Upgrades!$T$12="Stellar Coupling",POWER(Upgrades!$U$12,K354),1))*Parameters!$B$10*Parameters!$B$11/60/AI354,0)</f>
        <v/>
      </c>
      <c r="AV354" s="32">
        <f>IFERROR(Upgrades!$H$9*(POWER(Upgrades!$P$6,E354)*POWER(Upgrades!$P$7,F354)*POWER(Upgrades!$P$8,G354)*POWER(Upgrades!$P$9,H354)*POWER(Upgrades!$P$10,I354)*POWER(Upgrades!$P$11,J354)*POWER(Upgrades!$P$12,K354))*(IF(Upgrades!$T$6="Magnetosphere",POWER(Upgrades!$U$6,E354),1)*IF(Upgrades!$T$7="Magnetosphere",POWER(Upgrades!$U$7,F354),1)*IF(Upgrades!$T$8="Magnetosphere",POWER(Upgrades!$U$8,G354),1)*IF(Upgrades!$T$10="Magnetosphere",POWER(Upgrades!$U$10,I354),1)*IF(Upgrades!$T$11="Magnetosphere",POWER(Upgrades!$U$11,J354),1)*IF(Upgrades!$T$12="Magnetosphere",POWER(Upgrades!$U$12,K354),1))/AJ354,0)</f>
        <v/>
      </c>
      <c r="AW354" s="32">
        <f>MAX(IF(I354&gt;0,0,IFERROR(0.25*N354/Upgrades!$C$10,0)),IF(J354&gt;0,0,IFERROR(0.5*((IF(G354=0,0,(Upgrades!$J$8+G354*Upgrades!$K$8)*POWER(Upgrades!$L$8,G354)))*(IF(Upgrades!$T$6="Stellar Coupling",POWER(Upgrades!$U$6,E354),1)*IF(Upgrades!$T$7="Stellar Coupling",POWER(Upgrades!$U$7,F354),1)*IF(Upgrades!$T$9="Stellar Coupling",POWER(Upgrades!$U$9,H354),1)*IF(Upgrades!$T$10="Stellar Coupling",POWER(Upgrades!$U$10,I354),1)*IF(Upgrades!$T$11="Stellar Coupling",POWER(Upgrades!$U$11,J354),1)*IF(Upgrades!$T$12="Stellar Coupling",POWER(Upgrades!$U$12,K354),1))*(POWER(Upgrades!$Q$6,E354)*POWER(Upgrades!$Q$7,F354)*POWER(Upgrades!$Q$8,G354)*POWER(Upgrades!$Q$9,H354)*POWER(Upgrades!$Q$10,I354)*POWER(Upgrades!$Q$11,J354)*POWER(Upgrades!$Q$12,K354))*Parameters!$B$10*Parameters!$B$11/60)/Upgrades!$C$11,0)),IF(K354&gt;0,0,IFERROR((1.0*(POWER(Upgrades!$P$6,E354)*POWER(Upgrades!$P$7,F354)*POWER(Upgrades!$P$8,G354)*POWER(Upgrades!$P$9,H354)*POWER(Upgrades!$P$10,I354)*POWER(Upgrades!$P$11,J354)*POWER(Upgrades!$P$12,K354))+0.20*M354*Parameters!$B$10*Parameters!$B$11/60)/Upgrades!$C$12,0)),IF(AND(ISNUMBER(AG354),AG354&gt;T354),AS354,0),IF(AND(ISNUMBER(AH354),AH354&gt;T354),AT354,0),IF(AND(ISNUMBER(AI354),AI354&gt;T354),AU354,0),IF(AND(ISNUMBER(AJ354),AJ354&gt;T354),AV354,0))</f>
        <v/>
      </c>
      <c r="AX354" s="29">
        <f>IF(AN354=1,"transition",IF(MIN(IF(AND(I354=0,ISNUMBER(AK354),AK354&lt;=T354),AK354,9E15),IF(AND(J354=0,ISNUMBER(AL354),AL354&lt;=T354),AL354,9E15),IF(AND(K354=0,ISNUMBER(AM354),AM354&lt;=T354),AM354,9E15))&lt;9E15,IF(AND(AND(I354=0,ISNUMBER(AK354),AK354&lt;=T354),AK354=MIN(IF(AND(I354=0,ISNUMBER(AK354),AK354&lt;=T354),AK354,9E15),IF(AND(J354=0,ISNUMBER(AL354),AL354&lt;=T354),AL354,9E15),IF(AND(K354=0,ISNUMBER(AM354),AM354&lt;=T354),AM354,9E15))),"OR",IF(AND(AND(J354=0,ISNUMBER(AL354),AL354&lt;=T354),AL354=MIN(IF(AND(I354=0,ISNUMBER(AK354),AK354&lt;=T354),AK354,9E15),IF(AND(J354=0,ISNUMBER(AL354),AL354&lt;=T354),AL354,9E15),IF(AND(K354=0,ISNUMBER(AM354),AM354&lt;=T354),AM354,9E15))),"HP","FP")),IF(AR354=TRUE,"",IF(MAX(IF(AND(NOT(AND(AO354=1,AN354&lt;&gt;1)),ISNUMBER(AG354),AG354&lt;=T354),AS354,0),IF(AND(NOT(AND(AO354=1,AN354&lt;&gt;1)),ISNUMBER(AH354),AH354&lt;=T354),AT354,0),IF(AND(NOT(AND(AO354=1,AN354&lt;&gt;1)),ISNUMBER(AI354),AI354&lt;=T354),AU354,0),IF(AND(ISNUMBER(AJ354),AJ354&lt;=T354),AV354,0))&lt;=0,"",IF(AND(IF(AND(NOT(AND(AO354=1,AN354&lt;&gt;1)),ISNUMBER(AG354),AG354&lt;=T354),AS354,0)&gt;0,IF(AND(NOT(AND(AO354=1,AN354&lt;&gt;1)),ISNUMBER(AG354),AG354&lt;=T354),AS354,0)=MAX(IF(AND(NOT(AND(AO354=1,AN354&lt;&gt;1)),ISNUMBER(AG354),AG354&lt;=T354),AS354,0),IF(AND(NOT(AND(AO354=1,AN354&lt;&gt;1)),ISNUMBER(AH354),AH354&lt;=T354),AT354,0),IF(AND(NOT(AND(AO354=1,AN354&lt;&gt;1)),ISNUMBER(AI354),AI354&lt;=T354),AU354,0),IF(AND(ISNUMBER(AJ354),AJ354&lt;=T354),AV354,0))),"SW",IF(AND(IF(AND(NOT(AND(AO354=1,AN354&lt;&gt;1)),ISNUMBER(AH354),AH354&lt;=T354),AT354,0)&gt;0,IF(AND(NOT(AND(AO354=1,AN354&lt;&gt;1)),ISNUMBER(AH354),AH354&lt;=T354),AT354,0)=MAX(IF(AND(NOT(AND(AO354=1,AN354&lt;&gt;1)),ISNUMBER(AG354),AG354&lt;=T354),AS354,0),IF(AND(NOT(AND(AO354=1,AN354&lt;&gt;1)),ISNUMBER(AH354),AH354&lt;=T354),AT354,0),IF(AND(NOT(AND(AO354=1,AN354&lt;&gt;1)),ISNUMBER(AI354),AI354&lt;=T354),AU354,0),IF(AND(ISNUMBER(AJ354),AJ354&lt;=T354),AV354,0))),"AB",IF(AND(IF(AND(NOT(AND(AO354=1,AN354&lt;&gt;1)),ISNUMBER(AI354),AI354&lt;=T354),AU354,0)&gt;0,IF(AND(NOT(AND(AO354=1,AN354&lt;&gt;1)),ISNUMBER(AI354),AI354&lt;=T354),AU354,0)=MAX(IF(AND(NOT(AND(AO354=1,AN354&lt;&gt;1)),ISNUMBER(AG354),AG354&lt;=T354),AS354,0),IF(AND(NOT(AND(AO354=1,AN354&lt;&gt;1)),ISNUMBER(AH354),AH354&lt;=T354),AT354,0),IF(AND(NOT(AND(AO354=1,AN354&lt;&gt;1)),ISNUMBER(AI354),AI354&lt;=T354),AU354,0),IF(AND(ISNUMBER(AJ354),AJ354&lt;=T354),AV354,0))),"SC","Mag")))))))</f>
        <v/>
      </c>
    </row>
    <row r="355">
      <c r="A355" s="26" t="n">
        <v>350</v>
      </c>
      <c r="B355" s="27">
        <f>A355*10/60</f>
        <v/>
      </c>
      <c r="C355" s="22">
        <f>X354</f>
        <v/>
      </c>
      <c r="D355" s="27">
        <f>D354+W354</f>
        <v/>
      </c>
      <c r="E355" s="26">
        <f>E354+IF(U354="SW",1,0)</f>
        <v/>
      </c>
      <c r="F355" s="26">
        <f>F354+IF(U354="AB",1,0)</f>
        <v/>
      </c>
      <c r="G355" s="26">
        <f>G354+IF(U354="SC",1,0)</f>
        <v/>
      </c>
      <c r="H355" s="26">
        <f>H354+IF(U354="Mag",1,0)</f>
        <v/>
      </c>
      <c r="I355" s="26">
        <f>MAX(I354,IF(U354="OR",1,0))</f>
        <v/>
      </c>
      <c r="J355" s="26">
        <f>MAX(J354,IF(U354="HP",1,0))</f>
        <v/>
      </c>
      <c r="K355" s="26">
        <f>MAX(K354,IF(U354="FP",1,0))</f>
        <v/>
      </c>
      <c r="L355" s="26">
        <f>MAX(L354,IF(U354="transition",1,0))</f>
        <v/>
      </c>
      <c r="M355" s="28">
        <f>(Parameters!$B$9+(IF(E355=0,0,(Upgrades!$J$6+E355*Upgrades!$K$6)*POWER(Upgrades!$L$6,E355)))*(IF(Upgrades!$T$7="Solar Wind",POWER(Upgrades!$U$7,F355),1)*IF(Upgrades!$T$8="Solar Wind",POWER(Upgrades!$U$8,G355),1)*IF(Upgrades!$T$9="Solar Wind",POWER(Upgrades!$U$9,H355),1)*IF(Upgrades!$T$10="Solar Wind",POWER(Upgrades!$U$10,I355),1)*IF(Upgrades!$T$11="Solar Wind",POWER(Upgrades!$U$11,J355),1)*IF(Upgrades!$T$12="Solar Wind",POWER(Upgrades!$U$12,K355),1))+(IF(F355=0,0,(Upgrades!$J$7+F355*Upgrades!$K$7)*POWER(Upgrades!$L$7,F355)))*(IF(Upgrades!$T$6="Asteroid Belt",POWER(Upgrades!$U$6,E355),1)*IF(Upgrades!$T$8="Asteroid Belt",POWER(Upgrades!$U$8,G355),1)*IF(Upgrades!$T$9="Asteroid Belt",POWER(Upgrades!$U$9,H355),1)*IF(Upgrades!$T$10="Asteroid Belt",POWER(Upgrades!$U$10,I355),1)*IF(Upgrades!$T$11="Asteroid Belt",POWER(Upgrades!$U$11,J355),1)*IF(Upgrades!$T$12="Asteroid Belt",POWER(Upgrades!$U$12,K355),1))+(IF(G355=0,0,(Upgrades!$J$8+G355*Upgrades!$K$8)*POWER(Upgrades!$L$8,G355)))*(IF(Upgrades!$T$6="Stellar Coupling",POWER(Upgrades!$U$6,E355),1)*IF(Upgrades!$T$7="Stellar Coupling",POWER(Upgrades!$U$7,F355),1)*IF(Upgrades!$T$9="Stellar Coupling",POWER(Upgrades!$U$9,H355),1)*IF(Upgrades!$T$10="Stellar Coupling",POWER(Upgrades!$U$10,I355),1)*IF(Upgrades!$T$11="Stellar Coupling",POWER(Upgrades!$U$11,J355),1)*IF(Upgrades!$T$12="Stellar Coupling",POWER(Upgrades!$U$12,K355),1))+(IF(H355=0,0,(Upgrades!$J$9+H355*Upgrades!$K$9)*POWER(Upgrades!$L$9,H355)))*(IF(Upgrades!$T$6="Magnetosphere",POWER(Upgrades!$U$6,E355),1)*IF(Upgrades!$T$7="Magnetosphere",POWER(Upgrades!$U$7,F355),1)*IF(Upgrades!$T$8="Magnetosphere",POWER(Upgrades!$U$8,G355),1)*IF(Upgrades!$T$10="Magnetosphere",POWER(Upgrades!$U$10,I355),1)*IF(Upgrades!$T$11="Magnetosphere",POWER(Upgrades!$U$11,J355),1)*IF(Upgrades!$T$12="Magnetosphere",POWER(Upgrades!$U$12,K355),1))+(IF(I355=0,0,(Upgrades!$J$10+I355*Upgrades!$K$10)*POWER(Upgrades!$L$10,I355)))*(IF(Upgrades!$T$6="Orbital Resonance",POWER(Upgrades!$U$6,E355),1)*IF(Upgrades!$T$7="Orbital Resonance",POWER(Upgrades!$U$7,F355),1)*IF(Upgrades!$T$8="Orbital Resonance",POWER(Upgrades!$U$8,G355),1)*IF(Upgrades!$T$9="Orbital Resonance",POWER(Upgrades!$U$9,H355),1)*IF(Upgrades!$T$11="Orbital Resonance",POWER(Upgrades!$U$11,J355),1)*IF(Upgrades!$T$12="Orbital Resonance",POWER(Upgrades!$U$12,K355),1))+(IF(J355=0,0,(Upgrades!$J$11+J355*Upgrades!$K$11)*POWER(Upgrades!$L$11,J355)))*(IF(Upgrades!$T$6="Heliopause",POWER(Upgrades!$U$6,E355),1)*IF(Upgrades!$T$7="Heliopause",POWER(Upgrades!$U$7,F355),1)*IF(Upgrades!$T$8="Heliopause",POWER(Upgrades!$U$8,G355),1)*IF(Upgrades!$T$9="Heliopause",POWER(Upgrades!$U$9,H355),1)*IF(Upgrades!$T$10="Heliopause",POWER(Upgrades!$U$10,I355),1)*IF(Upgrades!$T$12="Heliopause",POWER(Upgrades!$U$12,K355),1))+(IF(K355=0,0,(Upgrades!$J$12+K355*Upgrades!$K$12)*POWER(Upgrades!$L$12,K355)))*(IF(Upgrades!$T$6="First Photons",POWER(Upgrades!$U$6,E355),1)*IF(Upgrades!$T$7="First Photons",POWER(Upgrades!$U$7,F355),1)*IF(Upgrades!$T$8="First Photons",POWER(Upgrades!$U$8,G355),1)*IF(Upgrades!$T$9="First Photons",POWER(Upgrades!$U$9,H355),1)*IF(Upgrades!$T$10="First Photons",POWER(Upgrades!$U$10,I355),1)*IF(Upgrades!$T$11="First Photons",POWER(Upgrades!$U$11,J355),1)))*POWER(Upgrades!$Q$6,E355)*POWER(Upgrades!$Q$7,F355)*POWER(Upgrades!$Q$8,G355)*POWER(Upgrades!$Q$9,H355)*POWER(Upgrades!$Q$10,I355)*POWER(Upgrades!$Q$11,J355)*POWER(Upgrades!$Q$12,K355)</f>
        <v/>
      </c>
      <c r="N355" s="28">
        <f>((IF(E355=0,0,(Upgrades!$G$6+E355*Upgrades!$H$6)*POWER(Upgrades!$I$6,E355)))*(IF(Upgrades!$T$7="Solar Wind",POWER(Upgrades!$U$7,F355),1)*IF(Upgrades!$T$8="Solar Wind",POWER(Upgrades!$U$8,G355),1)*IF(Upgrades!$T$9="Solar Wind",POWER(Upgrades!$U$9,H355),1)*IF(Upgrades!$T$10="Solar Wind",POWER(Upgrades!$U$10,I355),1)*IF(Upgrades!$T$11="Solar Wind",POWER(Upgrades!$U$11,J355),1)*IF(Upgrades!$T$12="Solar Wind",POWER(Upgrades!$U$12,K355),1))+(IF(F355=0,0,(Upgrades!$G$7+F355*Upgrades!$H$7)*POWER(Upgrades!$I$7,F355)))*(IF(Upgrades!$T$6="Asteroid Belt",POWER(Upgrades!$U$6,E355),1)*IF(Upgrades!$T$8="Asteroid Belt",POWER(Upgrades!$U$8,G355),1)*IF(Upgrades!$T$9="Asteroid Belt",POWER(Upgrades!$U$9,H355),1)*IF(Upgrades!$T$10="Asteroid Belt",POWER(Upgrades!$U$10,I355),1)*IF(Upgrades!$T$11="Asteroid Belt",POWER(Upgrades!$U$11,J355),1)*IF(Upgrades!$T$12="Asteroid Belt",POWER(Upgrades!$U$12,K355),1))+(IF(G355=0,0,(Upgrades!$G$8+G355*Upgrades!$H$8)*POWER(Upgrades!$I$8,G355)))*(IF(Upgrades!$T$6="Stellar Coupling",POWER(Upgrades!$U$6,E355),1)*IF(Upgrades!$T$7="Stellar Coupling",POWER(Upgrades!$U$7,F355),1)*IF(Upgrades!$T$9="Stellar Coupling",POWER(Upgrades!$U$9,H355),1)*IF(Upgrades!$T$10="Stellar Coupling",POWER(Upgrades!$U$10,I355),1)*IF(Upgrades!$T$11="Stellar Coupling",POWER(Upgrades!$U$11,J355),1)*IF(Upgrades!$T$12="Stellar Coupling",POWER(Upgrades!$U$12,K355),1))+(IF(H355=0,0,(Upgrades!$G$9+H355*Upgrades!$H$9)*POWER(Upgrades!$I$9,H355)))*(IF(Upgrades!$T$6="Magnetosphere",POWER(Upgrades!$U$6,E355),1)*IF(Upgrades!$T$7="Magnetosphere",POWER(Upgrades!$U$7,F355),1)*IF(Upgrades!$T$8="Magnetosphere",POWER(Upgrades!$U$8,G355),1)*IF(Upgrades!$T$10="Magnetosphere",POWER(Upgrades!$U$10,I355),1)*IF(Upgrades!$T$11="Magnetosphere",POWER(Upgrades!$U$11,J355),1)*IF(Upgrades!$T$12="Magnetosphere",POWER(Upgrades!$U$12,K355),1))+(IF(I355=0,0,(Upgrades!$G$10+I355*Upgrades!$H$10)*POWER(Upgrades!$I$10,I355)))*(IF(Upgrades!$T$6="Orbital Resonance",POWER(Upgrades!$U$6,E355),1)*IF(Upgrades!$T$7="Orbital Resonance",POWER(Upgrades!$U$7,F355),1)*IF(Upgrades!$T$8="Orbital Resonance",POWER(Upgrades!$U$8,G355),1)*IF(Upgrades!$T$9="Orbital Resonance",POWER(Upgrades!$U$9,H355),1)*IF(Upgrades!$T$11="Orbital Resonance",POWER(Upgrades!$U$11,J355),1)*IF(Upgrades!$T$12="Orbital Resonance",POWER(Upgrades!$U$12,K355),1))+(IF(J355=0,0,(Upgrades!$G$11+J355*Upgrades!$H$11)*POWER(Upgrades!$I$11,J355)))*(IF(Upgrades!$T$6="Heliopause",POWER(Upgrades!$U$6,E355),1)*IF(Upgrades!$T$7="Heliopause",POWER(Upgrades!$U$7,F355),1)*IF(Upgrades!$T$8="Heliopause",POWER(Upgrades!$U$8,G355),1)*IF(Upgrades!$T$9="Heliopause",POWER(Upgrades!$U$9,H355),1)*IF(Upgrades!$T$10="Heliopause",POWER(Upgrades!$U$10,I355),1)*IF(Upgrades!$T$12="Heliopause",POWER(Upgrades!$U$12,K355),1))+(IF(K355=0,0,(Upgrades!$G$12+K355*Upgrades!$H$12)*POWER(Upgrades!$I$12,K355)))*(IF(Upgrades!$T$6="First Photons",POWER(Upgrades!$U$6,E355),1)*IF(Upgrades!$T$7="First Photons",POWER(Upgrades!$U$7,F355),1)*IF(Upgrades!$T$8="First Photons",POWER(Upgrades!$U$8,G355),1)*IF(Upgrades!$T$9="First Photons",POWER(Upgrades!$U$9,H355),1)*IF(Upgrades!$T$10="First Photons",POWER(Upgrades!$U$10,I355),1)*IF(Upgrades!$T$11="First Photons",POWER(Upgrades!$U$11,J355),1)))*POWER(Upgrades!$P$6,E355)*POWER(Upgrades!$P$7,F355)*POWER(Upgrades!$P$8,G355)*POWER(Upgrades!$P$9,H355)*POWER(Upgrades!$P$10,I355)*POWER(Upgrades!$P$11,J355)*POWER(Upgrades!$P$12,K355)</f>
        <v/>
      </c>
      <c r="O355" s="28">
        <f>((IF(E355=0,0,(Upgrades!$M$6+E355*Upgrades!$N$6)*POWER(Upgrades!$O$6,E355)))*(IF(Upgrades!$T$7="Solar Wind",POWER(Upgrades!$U$7,F355),1)*IF(Upgrades!$T$8="Solar Wind",POWER(Upgrades!$U$8,G355),1)*IF(Upgrades!$T$9="Solar Wind",POWER(Upgrades!$U$9,H355),1)*IF(Upgrades!$T$10="Solar Wind",POWER(Upgrades!$U$10,I355),1)*IF(Upgrades!$T$11="Solar Wind",POWER(Upgrades!$U$11,J355),1)*IF(Upgrades!$T$12="Solar Wind",POWER(Upgrades!$U$12,K355),1))+(IF(F355=0,0,(Upgrades!$M$7+F355*Upgrades!$N$7)*POWER(Upgrades!$O$7,F355)))*(IF(Upgrades!$T$6="Asteroid Belt",POWER(Upgrades!$U$6,E355),1)*IF(Upgrades!$T$8="Asteroid Belt",POWER(Upgrades!$U$8,G355),1)*IF(Upgrades!$T$9="Asteroid Belt",POWER(Upgrades!$U$9,H355),1)*IF(Upgrades!$T$10="Asteroid Belt",POWER(Upgrades!$U$10,I355),1)*IF(Upgrades!$T$11="Asteroid Belt",POWER(Upgrades!$U$11,J355),1)*IF(Upgrades!$T$12="Asteroid Belt",POWER(Upgrades!$U$12,K355),1))+(IF(G355=0,0,(Upgrades!$M$8+G355*Upgrades!$N$8)*POWER(Upgrades!$O$8,G355)))*(IF(Upgrades!$T$6="Stellar Coupling",POWER(Upgrades!$U$6,E355),1)*IF(Upgrades!$T$7="Stellar Coupling",POWER(Upgrades!$U$7,F355),1)*IF(Upgrades!$T$9="Stellar Coupling",POWER(Upgrades!$U$9,H355),1)*IF(Upgrades!$T$10="Stellar Coupling",POWER(Upgrades!$U$10,I355),1)*IF(Upgrades!$T$11="Stellar Coupling",POWER(Upgrades!$U$11,J355),1)*IF(Upgrades!$T$12="Stellar Coupling",POWER(Upgrades!$U$12,K355),1))+(IF(H355=0,0,(Upgrades!$M$9+H355*Upgrades!$N$9)*POWER(Upgrades!$O$9,H355)))*(IF(Upgrades!$T$6="Magnetosphere",POWER(Upgrades!$U$6,E355),1)*IF(Upgrades!$T$7="Magnetosphere",POWER(Upgrades!$U$7,F355),1)*IF(Upgrades!$T$8="Magnetosphere",POWER(Upgrades!$U$8,G355),1)*IF(Upgrades!$T$10="Magnetosphere",POWER(Upgrades!$U$10,I355),1)*IF(Upgrades!$T$11="Magnetosphere",POWER(Upgrades!$U$11,J355),1)*IF(Upgrades!$T$12="Magnetosphere",POWER(Upgrades!$U$12,K355),1))+(IF(I355=0,0,(Upgrades!$M$10+I355*Upgrades!$N$10)*POWER(Upgrades!$O$10,I355)))*(IF(Upgrades!$T$6="Orbital Resonance",POWER(Upgrades!$U$6,E355),1)*IF(Upgrades!$T$7="Orbital Resonance",POWER(Upgrades!$U$7,F355),1)*IF(Upgrades!$T$8="Orbital Resonance",POWER(Upgrades!$U$8,G355),1)*IF(Upgrades!$T$9="Orbital Resonance",POWER(Upgrades!$U$9,H355),1)*IF(Upgrades!$T$11="Orbital Resonance",POWER(Upgrades!$U$11,J355),1)*IF(Upgrades!$T$12="Orbital Resonance",POWER(Upgrades!$U$12,K355),1))+(IF(J355=0,0,(Upgrades!$M$11+J355*Upgrades!$N$11)*POWER(Upgrades!$O$11,J355)))*(IF(Upgrades!$T$6="Heliopause",POWER(Upgrades!$U$6,E355),1)*IF(Upgrades!$T$7="Heliopause",POWER(Upgrades!$U$7,F355),1)*IF(Upgrades!$T$8="Heliopause",POWER(Upgrades!$U$8,G355),1)*IF(Upgrades!$T$9="Heliopause",POWER(Upgrades!$U$9,H355),1)*IF(Upgrades!$T$10="Heliopause",POWER(Upgrades!$U$10,I355),1)*IF(Upgrades!$T$12="Heliopause",POWER(Upgrades!$U$12,K355),1))+(IF(K355=0,0,(Upgrades!$M$12+K355*Upgrades!$N$12)*POWER(Upgrades!$O$12,K355)))*(IF(Upgrades!$T$6="First Photons",POWER(Upgrades!$U$6,E355),1)*IF(Upgrades!$T$7="First Photons",POWER(Upgrades!$U$7,F355),1)*IF(Upgrades!$T$8="First Photons",POWER(Upgrades!$U$8,G355),1)*IF(Upgrades!$T$9="First Photons",POWER(Upgrades!$U$9,H355),1)*IF(Upgrades!$T$10="First Photons",POWER(Upgrades!$U$10,I355),1)*IF(Upgrades!$T$11="First Photons",POWER(Upgrades!$U$11,J355),1)))*POWER(Upgrades!$R$6,E355)*POWER(Upgrades!$R$7,F355)*POWER(Upgrades!$R$8,G355)*POWER(Upgrades!$R$9,H355)*POWER(Upgrades!$R$10,I355)*POWER(Upgrades!$R$11,J355)*POWER(Upgrades!$R$12,K355)</f>
        <v/>
      </c>
      <c r="P355" s="27">
        <f>IF(L355=1,0,M355*Parameters!$B$10/60*Parameters!$B$11*10)</f>
        <v/>
      </c>
      <c r="Q355" s="27">
        <f>IF(L355=1,0,O355*M355*10)</f>
        <v/>
      </c>
      <c r="R355" s="27">
        <f>IF(L355=1,0,N355*10)</f>
        <v/>
      </c>
      <c r="S355" s="27">
        <f>P355+Q355+R355</f>
        <v/>
      </c>
      <c r="T355" s="22">
        <f>C355+S355</f>
        <v/>
      </c>
      <c r="U355" s="33">
        <f>AX355</f>
        <v/>
      </c>
      <c r="V355" s="22">
        <f>IF(U355="",0,IF(U355="transition",0,IF(U355="SW",AG355,IF(U355="AB",AH355,IF(U355="SC",AI355,IF(U355="Mag",AJ355,IF(U355="OR",AK355,IF(U355="HP",AL355,IF(U355="FP",AM355,0)))))))))</f>
        <v/>
      </c>
      <c r="W355" s="27">
        <f>IF(U355="OR",Upgrades!$F$10,IF(U355="HP",Upgrades!$F$11,IF(U355="transition",-Parameters!$B$18,0)))</f>
        <v/>
      </c>
      <c r="X355" s="22">
        <f>T355-V355</f>
        <v/>
      </c>
      <c r="Y355" s="30">
        <f>M355*Parameters!$B$10/60*Parameters!$B$11+O355*M355+N355</f>
        <v/>
      </c>
      <c r="Z355" s="34">
        <f>IF(U355="transition","→ Tier 2 (Stellar Neighborhood)",IF(U355="FP","First Photons — light begins, system quickens",IF(U355="HP","Heliopause acquired",IF(U355="OR","Orbital Resonance — passive multiplier active",IF(AND(AO355=1,L355=0,AN355&lt;&gt;1),"Cohesion ready (waiting on completionist upgrades)","")))))</f>
        <v/>
      </c>
      <c r="AA355" s="27">
        <f>(IF(E355=0,0,(Upgrades!$G$6+E355*Upgrades!$H$6)*POWER(Upgrades!$I$6,E355)))*(IF(Upgrades!$T$7="Solar Wind",POWER(Upgrades!$U$7,F355),1)*IF(Upgrades!$T$8="Solar Wind",POWER(Upgrades!$U$8,G355),1)*IF(Upgrades!$T$9="Solar Wind",POWER(Upgrades!$U$9,H355),1)*IF(Upgrades!$T$10="Solar Wind",POWER(Upgrades!$U$10,I355),1)*IF(Upgrades!$T$11="Solar Wind",POWER(Upgrades!$U$11,J355),1)*IF(Upgrades!$T$12="Solar Wind",POWER(Upgrades!$U$12,K355),1))*POWER(Upgrades!$P$6,E355)*POWER(Upgrades!$P$7,F355)*POWER(Upgrades!$P$8,G355)*POWER(Upgrades!$P$9,H355)*POWER(Upgrades!$P$10,I355)*POWER(Upgrades!$P$11,J355)*POWER(Upgrades!$P$12,K355)*60</f>
        <v/>
      </c>
      <c r="AB355" s="27">
        <f>(IF(F355=0,0,(Upgrades!$G$7+F355*Upgrades!$H$7)*POWER(Upgrades!$I$7,F355)))*(IF(Upgrades!$T$6="Asteroid Belt",POWER(Upgrades!$U$6,E355),1)*IF(Upgrades!$T$8="Asteroid Belt",POWER(Upgrades!$U$8,G355),1)*IF(Upgrades!$T$9="Asteroid Belt",POWER(Upgrades!$U$9,H355),1)*IF(Upgrades!$T$10="Asteroid Belt",POWER(Upgrades!$U$10,I355),1)*IF(Upgrades!$T$11="Asteroid Belt",POWER(Upgrades!$U$11,J355),1)*IF(Upgrades!$T$12="Asteroid Belt",POWER(Upgrades!$U$12,K355),1))*POWER(Upgrades!$P$6,E355)*POWER(Upgrades!$P$7,F355)*POWER(Upgrades!$P$8,G355)*POWER(Upgrades!$P$9,H355)*POWER(Upgrades!$P$10,I355)*POWER(Upgrades!$P$11,J355)*POWER(Upgrades!$P$12,K355)*60</f>
        <v/>
      </c>
      <c r="AC355" s="27">
        <f>(IF(G355=0,0,(Upgrades!$J$8+G355*Upgrades!$K$8)*POWER(Upgrades!$L$8,G355)))*(IF(Upgrades!$T$6="Stellar Coupling",POWER(Upgrades!$U$6,E355),1)*IF(Upgrades!$T$7="Stellar Coupling",POWER(Upgrades!$U$7,F355),1)*IF(Upgrades!$T$9="Stellar Coupling",POWER(Upgrades!$U$9,H355),1)*IF(Upgrades!$T$10="Stellar Coupling",POWER(Upgrades!$U$10,I355),1)*IF(Upgrades!$T$11="Stellar Coupling",POWER(Upgrades!$U$11,J355),1)*IF(Upgrades!$T$12="Stellar Coupling",POWER(Upgrades!$U$12,K355),1))*POWER(Upgrades!$Q$6,E355)*POWER(Upgrades!$Q$7,F355)*POWER(Upgrades!$Q$8,G355)*POWER(Upgrades!$Q$9,H355)*POWER(Upgrades!$Q$10,I355)*POWER(Upgrades!$Q$11,J355)*POWER(Upgrades!$Q$12,K355)*Parameters!$B$10*Parameters!$B$11</f>
        <v/>
      </c>
      <c r="AD355" s="27">
        <f>(IF(H355=0,0,(Upgrades!$G$9+H355*Upgrades!$H$9)*POWER(Upgrades!$I$9,H355)))*(IF(Upgrades!$T$6="Magnetosphere",POWER(Upgrades!$U$6,E355),1)*IF(Upgrades!$T$7="Magnetosphere",POWER(Upgrades!$U$7,F355),1)*IF(Upgrades!$T$8="Magnetosphere",POWER(Upgrades!$U$8,G355),1)*IF(Upgrades!$T$10="Magnetosphere",POWER(Upgrades!$U$10,I355),1)*IF(Upgrades!$T$11="Magnetosphere",POWER(Upgrades!$U$11,J355),1)*IF(Upgrades!$T$12="Magnetosphere",POWER(Upgrades!$U$12,K355),1))*POWER(Upgrades!$P$6,E355)*POWER(Upgrades!$P$7,F355)*POWER(Upgrades!$P$8,G355)*POWER(Upgrades!$P$9,H355)*POWER(Upgrades!$P$10,I355)*POWER(Upgrades!$P$11,J355)*POWER(Upgrades!$P$12,K355)*60</f>
        <v/>
      </c>
      <c r="AE355" s="27">
        <f>(IF(K355=0,0,(Upgrades!$G$12+K355*Upgrades!$H$12)*POWER(Upgrades!$I$12,K355)))*(IF(Upgrades!$T$6="First Photons",POWER(Upgrades!$U$6,E355),1)*IF(Upgrades!$T$7="First Photons",POWER(Upgrades!$U$7,F355),1)*IF(Upgrades!$T$8="First Photons",POWER(Upgrades!$U$8,G355),1)*IF(Upgrades!$T$9="First Photons",POWER(Upgrades!$U$9,H355),1)*IF(Upgrades!$T$10="First Photons",POWER(Upgrades!$U$10,I355),1)*IF(Upgrades!$T$11="First Photons",POWER(Upgrades!$U$11,J355),1))*POWER(Upgrades!$P$6,E355)*POWER(Upgrades!$P$7,F355)*POWER(Upgrades!$P$8,G355)*POWER(Upgrades!$P$9,H355)*POWER(Upgrades!$P$10,I355)*POWER(Upgrades!$P$11,J355)*POWER(Upgrades!$P$12,K355)*60</f>
        <v/>
      </c>
      <c r="AF355" s="27">
        <f>Parameters!$B$9*POWER(Upgrades!$Q$6,E355)*POWER(Upgrades!$Q$7,F355)*POWER(Upgrades!$Q$8,G355)*POWER(Upgrades!$Q$9,H355)*POWER(Upgrades!$Q$10,I355)*POWER(Upgrades!$Q$11,J355)*POWER(Upgrades!$Q$12,K355)*(Parameters!$B$10*Parameters!$B$11+O355*60)</f>
        <v/>
      </c>
      <c r="AG355" s="22">
        <f>IF(E355&gt;=Upgrades!$E$6,"",Upgrades!$C$6*POWER(Upgrades!$D$6,E355))</f>
        <v/>
      </c>
      <c r="AH355" s="22">
        <f>IF(F355&gt;=Upgrades!$E$7,"",Upgrades!$C$7*POWER(Upgrades!$D$7,F355))</f>
        <v/>
      </c>
      <c r="AI355" s="22">
        <f>IF(G355&gt;=Upgrades!$E$8,"",Upgrades!$C$8*POWER(Upgrades!$D$8,G355))</f>
        <v/>
      </c>
      <c r="AJ355" s="22">
        <f>IF(H355&gt;=Upgrades!$E$9,"",Upgrades!$C$9*POWER(Upgrades!$D$9,H355))</f>
        <v/>
      </c>
      <c r="AK355" s="22">
        <f>IF(I355&gt;=Upgrades!$E$10,"",Upgrades!$C$10*POWER(Upgrades!$D$10,I355))</f>
        <v/>
      </c>
      <c r="AL355" s="22">
        <f>IF(J355&gt;=Upgrades!$E$11,"",Upgrades!$C$11*POWER(Upgrades!$D$11,J355))</f>
        <v/>
      </c>
      <c r="AM355" s="22">
        <f>IF(K355&gt;=Upgrades!$E$12,"",Upgrades!$C$12*POWER(Upgrades!$D$12,K355))</f>
        <v/>
      </c>
      <c r="AN355" s="26">
        <f>IF(AND(D355&gt;=Parameters!$B$18,(H355&gt;=Upgrades!$E$9)*(K355&gt;=Upgrades!$E$12)=1,L355=0),1,"")</f>
        <v/>
      </c>
      <c r="AO355" s="26">
        <f>IF(AND(D355&gt;=Parameters!$B$18,L355=0),1,"")</f>
        <v/>
      </c>
      <c r="AP355" s="22">
        <f>MIN(IF(ISNUMBER(AK355),AK355,9E15),IF(ISNUMBER(AL355),AL355,9E15),IF(ISNUMBER(AM355),AM355,9E15))</f>
        <v/>
      </c>
      <c r="AQ355" s="22">
        <f>MIN(IF(ISNUMBER(AG355),AG355,9E15),IF(ISNUMBER(AH355),AH355,9E15),IF(ISNUMBER(AI355),AI355,9E15),IF(ISNUMBER(AJ355),AJ355,9E15))</f>
        <v/>
      </c>
      <c r="AR355" s="29">
        <f>IF(AW355&gt;Parameters!$B$21*(MAX(IF(AND(NOT(AND(AO355=1,AN355&lt;&gt;1)),ISNUMBER(AG355),AG355&lt;=T355),AS355,0),IF(AND(NOT(AND(AO355=1,AN355&lt;&gt;1)),ISNUMBER(AH355),AH355&lt;=T355),AT355,0),IF(AND(NOT(AND(AO355=1,AN355&lt;&gt;1)),ISNUMBER(AI355),AI355&lt;=T355),AU355,0),IF(AND(ISNUMBER(AJ355),AJ355&lt;=T355),AV355,0))),TRUE,FALSE)</f>
        <v/>
      </c>
      <c r="AS355" s="32">
        <f>IFERROR(Upgrades!$H$6*(POWER(Upgrades!$P$6,E355)*POWER(Upgrades!$P$7,F355)*POWER(Upgrades!$P$8,G355)*POWER(Upgrades!$P$9,H355)*POWER(Upgrades!$P$10,I355)*POWER(Upgrades!$P$11,J355)*POWER(Upgrades!$P$12,K355))*(IF(Upgrades!$T$7="Solar Wind",POWER(Upgrades!$U$7,F355),1)*IF(Upgrades!$T$8="Solar Wind",POWER(Upgrades!$U$8,G355),1)*IF(Upgrades!$T$9="Solar Wind",POWER(Upgrades!$U$9,H355),1)*IF(Upgrades!$T$10="Solar Wind",POWER(Upgrades!$U$10,I355),1)*IF(Upgrades!$T$11="Solar Wind",POWER(Upgrades!$U$11,J355),1)*IF(Upgrades!$T$12="Solar Wind",POWER(Upgrades!$U$12,K355),1))/AG355,0)</f>
        <v/>
      </c>
      <c r="AT355" s="32">
        <f>IFERROR(Upgrades!$H$7*(POWER(Upgrades!$P$6,E355)*POWER(Upgrades!$P$7,F355)*POWER(Upgrades!$P$8,G355)*POWER(Upgrades!$P$9,H355)*POWER(Upgrades!$P$10,I355)*POWER(Upgrades!$P$11,J355)*POWER(Upgrades!$P$12,K355))*(IF(Upgrades!$T$6="Asteroid Belt",POWER(Upgrades!$U$6,E355),1)*IF(Upgrades!$T$8="Asteroid Belt",POWER(Upgrades!$U$8,G355),1)*IF(Upgrades!$T$9="Asteroid Belt",POWER(Upgrades!$U$9,H355),1)*IF(Upgrades!$T$10="Asteroid Belt",POWER(Upgrades!$U$10,I355),1)*IF(Upgrades!$T$11="Asteroid Belt",POWER(Upgrades!$U$11,J355),1)*IF(Upgrades!$T$12="Asteroid Belt",POWER(Upgrades!$U$12,K355),1))/AH355,0)</f>
        <v/>
      </c>
      <c r="AU355" s="32">
        <f>IFERROR(Upgrades!$K$8*(POWER(Upgrades!$Q$6,E355)*POWER(Upgrades!$Q$7,F355)*POWER(Upgrades!$Q$8,G355)*POWER(Upgrades!$Q$9,H355)*POWER(Upgrades!$Q$10,I355)*POWER(Upgrades!$Q$11,J355)*POWER(Upgrades!$Q$12,K355))*(IF(Upgrades!$T$6="Stellar Coupling",POWER(Upgrades!$U$6,E355),1)*IF(Upgrades!$T$7="Stellar Coupling",POWER(Upgrades!$U$7,F355),1)*IF(Upgrades!$T$9="Stellar Coupling",POWER(Upgrades!$U$9,H355),1)*IF(Upgrades!$T$10="Stellar Coupling",POWER(Upgrades!$U$10,I355),1)*IF(Upgrades!$T$11="Stellar Coupling",POWER(Upgrades!$U$11,J355),1)*IF(Upgrades!$T$12="Stellar Coupling",POWER(Upgrades!$U$12,K355),1))*Parameters!$B$10*Parameters!$B$11/60/AI355,0)</f>
        <v/>
      </c>
      <c r="AV355" s="32">
        <f>IFERROR(Upgrades!$H$9*(POWER(Upgrades!$P$6,E355)*POWER(Upgrades!$P$7,F355)*POWER(Upgrades!$P$8,G355)*POWER(Upgrades!$P$9,H355)*POWER(Upgrades!$P$10,I355)*POWER(Upgrades!$P$11,J355)*POWER(Upgrades!$P$12,K355))*(IF(Upgrades!$T$6="Magnetosphere",POWER(Upgrades!$U$6,E355),1)*IF(Upgrades!$T$7="Magnetosphere",POWER(Upgrades!$U$7,F355),1)*IF(Upgrades!$T$8="Magnetosphere",POWER(Upgrades!$U$8,G355),1)*IF(Upgrades!$T$10="Magnetosphere",POWER(Upgrades!$U$10,I355),1)*IF(Upgrades!$T$11="Magnetosphere",POWER(Upgrades!$U$11,J355),1)*IF(Upgrades!$T$12="Magnetosphere",POWER(Upgrades!$U$12,K355),1))/AJ355,0)</f>
        <v/>
      </c>
      <c r="AW355" s="32">
        <f>MAX(IF(I355&gt;0,0,IFERROR(0.25*N355/Upgrades!$C$10,0)),IF(J355&gt;0,0,IFERROR(0.5*((IF(G355=0,0,(Upgrades!$J$8+G355*Upgrades!$K$8)*POWER(Upgrades!$L$8,G355)))*(IF(Upgrades!$T$6="Stellar Coupling",POWER(Upgrades!$U$6,E355),1)*IF(Upgrades!$T$7="Stellar Coupling",POWER(Upgrades!$U$7,F355),1)*IF(Upgrades!$T$9="Stellar Coupling",POWER(Upgrades!$U$9,H355),1)*IF(Upgrades!$T$10="Stellar Coupling",POWER(Upgrades!$U$10,I355),1)*IF(Upgrades!$T$11="Stellar Coupling",POWER(Upgrades!$U$11,J355),1)*IF(Upgrades!$T$12="Stellar Coupling",POWER(Upgrades!$U$12,K355),1))*(POWER(Upgrades!$Q$6,E355)*POWER(Upgrades!$Q$7,F355)*POWER(Upgrades!$Q$8,G355)*POWER(Upgrades!$Q$9,H355)*POWER(Upgrades!$Q$10,I355)*POWER(Upgrades!$Q$11,J355)*POWER(Upgrades!$Q$12,K355))*Parameters!$B$10*Parameters!$B$11/60)/Upgrades!$C$11,0)),IF(K355&gt;0,0,IFERROR((1.0*(POWER(Upgrades!$P$6,E355)*POWER(Upgrades!$P$7,F355)*POWER(Upgrades!$P$8,G355)*POWER(Upgrades!$P$9,H355)*POWER(Upgrades!$P$10,I355)*POWER(Upgrades!$P$11,J355)*POWER(Upgrades!$P$12,K355))+0.20*M355*Parameters!$B$10*Parameters!$B$11/60)/Upgrades!$C$12,0)),IF(AND(ISNUMBER(AG355),AG355&gt;T355),AS355,0),IF(AND(ISNUMBER(AH355),AH355&gt;T355),AT355,0),IF(AND(ISNUMBER(AI355),AI355&gt;T355),AU355,0),IF(AND(ISNUMBER(AJ355),AJ355&gt;T355),AV355,0))</f>
        <v/>
      </c>
      <c r="AX355" s="29">
        <f>IF(AN355=1,"transition",IF(MIN(IF(AND(I355=0,ISNUMBER(AK355),AK355&lt;=T355),AK355,9E15),IF(AND(J355=0,ISNUMBER(AL355),AL355&lt;=T355),AL355,9E15),IF(AND(K355=0,ISNUMBER(AM355),AM355&lt;=T355),AM355,9E15))&lt;9E15,IF(AND(AND(I355=0,ISNUMBER(AK355),AK355&lt;=T355),AK355=MIN(IF(AND(I355=0,ISNUMBER(AK355),AK355&lt;=T355),AK355,9E15),IF(AND(J355=0,ISNUMBER(AL355),AL355&lt;=T355),AL355,9E15),IF(AND(K355=0,ISNUMBER(AM355),AM355&lt;=T355),AM355,9E15))),"OR",IF(AND(AND(J355=0,ISNUMBER(AL355),AL355&lt;=T355),AL355=MIN(IF(AND(I355=0,ISNUMBER(AK355),AK355&lt;=T355),AK355,9E15),IF(AND(J355=0,ISNUMBER(AL355),AL355&lt;=T355),AL355,9E15),IF(AND(K355=0,ISNUMBER(AM355),AM355&lt;=T355),AM355,9E15))),"HP","FP")),IF(AR355=TRUE,"",IF(MAX(IF(AND(NOT(AND(AO355=1,AN355&lt;&gt;1)),ISNUMBER(AG355),AG355&lt;=T355),AS355,0),IF(AND(NOT(AND(AO355=1,AN355&lt;&gt;1)),ISNUMBER(AH355),AH355&lt;=T355),AT355,0),IF(AND(NOT(AND(AO355=1,AN355&lt;&gt;1)),ISNUMBER(AI355),AI355&lt;=T355),AU355,0),IF(AND(ISNUMBER(AJ355),AJ355&lt;=T355),AV355,0))&lt;=0,"",IF(AND(IF(AND(NOT(AND(AO355=1,AN355&lt;&gt;1)),ISNUMBER(AG355),AG355&lt;=T355),AS355,0)&gt;0,IF(AND(NOT(AND(AO355=1,AN355&lt;&gt;1)),ISNUMBER(AG355),AG355&lt;=T355),AS355,0)=MAX(IF(AND(NOT(AND(AO355=1,AN355&lt;&gt;1)),ISNUMBER(AG355),AG355&lt;=T355),AS355,0),IF(AND(NOT(AND(AO355=1,AN355&lt;&gt;1)),ISNUMBER(AH355),AH355&lt;=T355),AT355,0),IF(AND(NOT(AND(AO355=1,AN355&lt;&gt;1)),ISNUMBER(AI355),AI355&lt;=T355),AU355,0),IF(AND(ISNUMBER(AJ355),AJ355&lt;=T355),AV355,0))),"SW",IF(AND(IF(AND(NOT(AND(AO355=1,AN355&lt;&gt;1)),ISNUMBER(AH355),AH355&lt;=T355),AT355,0)&gt;0,IF(AND(NOT(AND(AO355=1,AN355&lt;&gt;1)),ISNUMBER(AH355),AH355&lt;=T355),AT355,0)=MAX(IF(AND(NOT(AND(AO355=1,AN355&lt;&gt;1)),ISNUMBER(AG355),AG355&lt;=T355),AS355,0),IF(AND(NOT(AND(AO355=1,AN355&lt;&gt;1)),ISNUMBER(AH355),AH355&lt;=T355),AT355,0),IF(AND(NOT(AND(AO355=1,AN355&lt;&gt;1)),ISNUMBER(AI355),AI355&lt;=T355),AU355,0),IF(AND(ISNUMBER(AJ355),AJ355&lt;=T355),AV355,0))),"AB",IF(AND(IF(AND(NOT(AND(AO355=1,AN355&lt;&gt;1)),ISNUMBER(AI355),AI355&lt;=T355),AU355,0)&gt;0,IF(AND(NOT(AND(AO355=1,AN355&lt;&gt;1)),ISNUMBER(AI355),AI355&lt;=T355),AU355,0)=MAX(IF(AND(NOT(AND(AO355=1,AN355&lt;&gt;1)),ISNUMBER(AG355),AG355&lt;=T355),AS355,0),IF(AND(NOT(AND(AO355=1,AN355&lt;&gt;1)),ISNUMBER(AH355),AH355&lt;=T355),AT355,0),IF(AND(NOT(AND(AO355=1,AN355&lt;&gt;1)),ISNUMBER(AI355),AI355&lt;=T355),AU355,0),IF(AND(ISNUMBER(AJ355),AJ355&lt;=T355),AV355,0))),"SC","Mag")))))))</f>
        <v/>
      </c>
    </row>
    <row r="356">
      <c r="A356" s="26" t="n">
        <v>351</v>
      </c>
      <c r="B356" s="27">
        <f>A356*10/60</f>
        <v/>
      </c>
      <c r="C356" s="22">
        <f>X355</f>
        <v/>
      </c>
      <c r="D356" s="27">
        <f>D355+W355</f>
        <v/>
      </c>
      <c r="E356" s="26">
        <f>E355+IF(U355="SW",1,0)</f>
        <v/>
      </c>
      <c r="F356" s="26">
        <f>F355+IF(U355="AB",1,0)</f>
        <v/>
      </c>
      <c r="G356" s="26">
        <f>G355+IF(U355="SC",1,0)</f>
        <v/>
      </c>
      <c r="H356" s="26">
        <f>H355+IF(U355="Mag",1,0)</f>
        <v/>
      </c>
      <c r="I356" s="26">
        <f>MAX(I355,IF(U355="OR",1,0))</f>
        <v/>
      </c>
      <c r="J356" s="26">
        <f>MAX(J355,IF(U355="HP",1,0))</f>
        <v/>
      </c>
      <c r="K356" s="26">
        <f>MAX(K355,IF(U355="FP",1,0))</f>
        <v/>
      </c>
      <c r="L356" s="26">
        <f>MAX(L355,IF(U355="transition",1,0))</f>
        <v/>
      </c>
      <c r="M356" s="28">
        <f>(Parameters!$B$9+(IF(E356=0,0,(Upgrades!$J$6+E356*Upgrades!$K$6)*POWER(Upgrades!$L$6,E356)))*(IF(Upgrades!$T$7="Solar Wind",POWER(Upgrades!$U$7,F356),1)*IF(Upgrades!$T$8="Solar Wind",POWER(Upgrades!$U$8,G356),1)*IF(Upgrades!$T$9="Solar Wind",POWER(Upgrades!$U$9,H356),1)*IF(Upgrades!$T$10="Solar Wind",POWER(Upgrades!$U$10,I356),1)*IF(Upgrades!$T$11="Solar Wind",POWER(Upgrades!$U$11,J356),1)*IF(Upgrades!$T$12="Solar Wind",POWER(Upgrades!$U$12,K356),1))+(IF(F356=0,0,(Upgrades!$J$7+F356*Upgrades!$K$7)*POWER(Upgrades!$L$7,F356)))*(IF(Upgrades!$T$6="Asteroid Belt",POWER(Upgrades!$U$6,E356),1)*IF(Upgrades!$T$8="Asteroid Belt",POWER(Upgrades!$U$8,G356),1)*IF(Upgrades!$T$9="Asteroid Belt",POWER(Upgrades!$U$9,H356),1)*IF(Upgrades!$T$10="Asteroid Belt",POWER(Upgrades!$U$10,I356),1)*IF(Upgrades!$T$11="Asteroid Belt",POWER(Upgrades!$U$11,J356),1)*IF(Upgrades!$T$12="Asteroid Belt",POWER(Upgrades!$U$12,K356),1))+(IF(G356=0,0,(Upgrades!$J$8+G356*Upgrades!$K$8)*POWER(Upgrades!$L$8,G356)))*(IF(Upgrades!$T$6="Stellar Coupling",POWER(Upgrades!$U$6,E356),1)*IF(Upgrades!$T$7="Stellar Coupling",POWER(Upgrades!$U$7,F356),1)*IF(Upgrades!$T$9="Stellar Coupling",POWER(Upgrades!$U$9,H356),1)*IF(Upgrades!$T$10="Stellar Coupling",POWER(Upgrades!$U$10,I356),1)*IF(Upgrades!$T$11="Stellar Coupling",POWER(Upgrades!$U$11,J356),1)*IF(Upgrades!$T$12="Stellar Coupling",POWER(Upgrades!$U$12,K356),1))+(IF(H356=0,0,(Upgrades!$J$9+H356*Upgrades!$K$9)*POWER(Upgrades!$L$9,H356)))*(IF(Upgrades!$T$6="Magnetosphere",POWER(Upgrades!$U$6,E356),1)*IF(Upgrades!$T$7="Magnetosphere",POWER(Upgrades!$U$7,F356),1)*IF(Upgrades!$T$8="Magnetosphere",POWER(Upgrades!$U$8,G356),1)*IF(Upgrades!$T$10="Magnetosphere",POWER(Upgrades!$U$10,I356),1)*IF(Upgrades!$T$11="Magnetosphere",POWER(Upgrades!$U$11,J356),1)*IF(Upgrades!$T$12="Magnetosphere",POWER(Upgrades!$U$12,K356),1))+(IF(I356=0,0,(Upgrades!$J$10+I356*Upgrades!$K$10)*POWER(Upgrades!$L$10,I356)))*(IF(Upgrades!$T$6="Orbital Resonance",POWER(Upgrades!$U$6,E356),1)*IF(Upgrades!$T$7="Orbital Resonance",POWER(Upgrades!$U$7,F356),1)*IF(Upgrades!$T$8="Orbital Resonance",POWER(Upgrades!$U$8,G356),1)*IF(Upgrades!$T$9="Orbital Resonance",POWER(Upgrades!$U$9,H356),1)*IF(Upgrades!$T$11="Orbital Resonance",POWER(Upgrades!$U$11,J356),1)*IF(Upgrades!$T$12="Orbital Resonance",POWER(Upgrades!$U$12,K356),1))+(IF(J356=0,0,(Upgrades!$J$11+J356*Upgrades!$K$11)*POWER(Upgrades!$L$11,J356)))*(IF(Upgrades!$T$6="Heliopause",POWER(Upgrades!$U$6,E356),1)*IF(Upgrades!$T$7="Heliopause",POWER(Upgrades!$U$7,F356),1)*IF(Upgrades!$T$8="Heliopause",POWER(Upgrades!$U$8,G356),1)*IF(Upgrades!$T$9="Heliopause",POWER(Upgrades!$U$9,H356),1)*IF(Upgrades!$T$10="Heliopause",POWER(Upgrades!$U$10,I356),1)*IF(Upgrades!$T$12="Heliopause",POWER(Upgrades!$U$12,K356),1))+(IF(K356=0,0,(Upgrades!$J$12+K356*Upgrades!$K$12)*POWER(Upgrades!$L$12,K356)))*(IF(Upgrades!$T$6="First Photons",POWER(Upgrades!$U$6,E356),1)*IF(Upgrades!$T$7="First Photons",POWER(Upgrades!$U$7,F356),1)*IF(Upgrades!$T$8="First Photons",POWER(Upgrades!$U$8,G356),1)*IF(Upgrades!$T$9="First Photons",POWER(Upgrades!$U$9,H356),1)*IF(Upgrades!$T$10="First Photons",POWER(Upgrades!$U$10,I356),1)*IF(Upgrades!$T$11="First Photons",POWER(Upgrades!$U$11,J356),1)))*POWER(Upgrades!$Q$6,E356)*POWER(Upgrades!$Q$7,F356)*POWER(Upgrades!$Q$8,G356)*POWER(Upgrades!$Q$9,H356)*POWER(Upgrades!$Q$10,I356)*POWER(Upgrades!$Q$11,J356)*POWER(Upgrades!$Q$12,K356)</f>
        <v/>
      </c>
      <c r="N356" s="28">
        <f>((IF(E356=0,0,(Upgrades!$G$6+E356*Upgrades!$H$6)*POWER(Upgrades!$I$6,E356)))*(IF(Upgrades!$T$7="Solar Wind",POWER(Upgrades!$U$7,F356),1)*IF(Upgrades!$T$8="Solar Wind",POWER(Upgrades!$U$8,G356),1)*IF(Upgrades!$T$9="Solar Wind",POWER(Upgrades!$U$9,H356),1)*IF(Upgrades!$T$10="Solar Wind",POWER(Upgrades!$U$10,I356),1)*IF(Upgrades!$T$11="Solar Wind",POWER(Upgrades!$U$11,J356),1)*IF(Upgrades!$T$12="Solar Wind",POWER(Upgrades!$U$12,K356),1))+(IF(F356=0,0,(Upgrades!$G$7+F356*Upgrades!$H$7)*POWER(Upgrades!$I$7,F356)))*(IF(Upgrades!$T$6="Asteroid Belt",POWER(Upgrades!$U$6,E356),1)*IF(Upgrades!$T$8="Asteroid Belt",POWER(Upgrades!$U$8,G356),1)*IF(Upgrades!$T$9="Asteroid Belt",POWER(Upgrades!$U$9,H356),1)*IF(Upgrades!$T$10="Asteroid Belt",POWER(Upgrades!$U$10,I356),1)*IF(Upgrades!$T$11="Asteroid Belt",POWER(Upgrades!$U$11,J356),1)*IF(Upgrades!$T$12="Asteroid Belt",POWER(Upgrades!$U$12,K356),1))+(IF(G356=0,0,(Upgrades!$G$8+G356*Upgrades!$H$8)*POWER(Upgrades!$I$8,G356)))*(IF(Upgrades!$T$6="Stellar Coupling",POWER(Upgrades!$U$6,E356),1)*IF(Upgrades!$T$7="Stellar Coupling",POWER(Upgrades!$U$7,F356),1)*IF(Upgrades!$T$9="Stellar Coupling",POWER(Upgrades!$U$9,H356),1)*IF(Upgrades!$T$10="Stellar Coupling",POWER(Upgrades!$U$10,I356),1)*IF(Upgrades!$T$11="Stellar Coupling",POWER(Upgrades!$U$11,J356),1)*IF(Upgrades!$T$12="Stellar Coupling",POWER(Upgrades!$U$12,K356),1))+(IF(H356=0,0,(Upgrades!$G$9+H356*Upgrades!$H$9)*POWER(Upgrades!$I$9,H356)))*(IF(Upgrades!$T$6="Magnetosphere",POWER(Upgrades!$U$6,E356),1)*IF(Upgrades!$T$7="Magnetosphere",POWER(Upgrades!$U$7,F356),1)*IF(Upgrades!$T$8="Magnetosphere",POWER(Upgrades!$U$8,G356),1)*IF(Upgrades!$T$10="Magnetosphere",POWER(Upgrades!$U$10,I356),1)*IF(Upgrades!$T$11="Magnetosphere",POWER(Upgrades!$U$11,J356),1)*IF(Upgrades!$T$12="Magnetosphere",POWER(Upgrades!$U$12,K356),1))+(IF(I356=0,0,(Upgrades!$G$10+I356*Upgrades!$H$10)*POWER(Upgrades!$I$10,I356)))*(IF(Upgrades!$T$6="Orbital Resonance",POWER(Upgrades!$U$6,E356),1)*IF(Upgrades!$T$7="Orbital Resonance",POWER(Upgrades!$U$7,F356),1)*IF(Upgrades!$T$8="Orbital Resonance",POWER(Upgrades!$U$8,G356),1)*IF(Upgrades!$T$9="Orbital Resonance",POWER(Upgrades!$U$9,H356),1)*IF(Upgrades!$T$11="Orbital Resonance",POWER(Upgrades!$U$11,J356),1)*IF(Upgrades!$T$12="Orbital Resonance",POWER(Upgrades!$U$12,K356),1))+(IF(J356=0,0,(Upgrades!$G$11+J356*Upgrades!$H$11)*POWER(Upgrades!$I$11,J356)))*(IF(Upgrades!$T$6="Heliopause",POWER(Upgrades!$U$6,E356),1)*IF(Upgrades!$T$7="Heliopause",POWER(Upgrades!$U$7,F356),1)*IF(Upgrades!$T$8="Heliopause",POWER(Upgrades!$U$8,G356),1)*IF(Upgrades!$T$9="Heliopause",POWER(Upgrades!$U$9,H356),1)*IF(Upgrades!$T$10="Heliopause",POWER(Upgrades!$U$10,I356),1)*IF(Upgrades!$T$12="Heliopause",POWER(Upgrades!$U$12,K356),1))+(IF(K356=0,0,(Upgrades!$G$12+K356*Upgrades!$H$12)*POWER(Upgrades!$I$12,K356)))*(IF(Upgrades!$T$6="First Photons",POWER(Upgrades!$U$6,E356),1)*IF(Upgrades!$T$7="First Photons",POWER(Upgrades!$U$7,F356),1)*IF(Upgrades!$T$8="First Photons",POWER(Upgrades!$U$8,G356),1)*IF(Upgrades!$T$9="First Photons",POWER(Upgrades!$U$9,H356),1)*IF(Upgrades!$T$10="First Photons",POWER(Upgrades!$U$10,I356),1)*IF(Upgrades!$T$11="First Photons",POWER(Upgrades!$U$11,J356),1)))*POWER(Upgrades!$P$6,E356)*POWER(Upgrades!$P$7,F356)*POWER(Upgrades!$P$8,G356)*POWER(Upgrades!$P$9,H356)*POWER(Upgrades!$P$10,I356)*POWER(Upgrades!$P$11,J356)*POWER(Upgrades!$P$12,K356)</f>
        <v/>
      </c>
      <c r="O356" s="28">
        <f>((IF(E356=0,0,(Upgrades!$M$6+E356*Upgrades!$N$6)*POWER(Upgrades!$O$6,E356)))*(IF(Upgrades!$T$7="Solar Wind",POWER(Upgrades!$U$7,F356),1)*IF(Upgrades!$T$8="Solar Wind",POWER(Upgrades!$U$8,G356),1)*IF(Upgrades!$T$9="Solar Wind",POWER(Upgrades!$U$9,H356),1)*IF(Upgrades!$T$10="Solar Wind",POWER(Upgrades!$U$10,I356),1)*IF(Upgrades!$T$11="Solar Wind",POWER(Upgrades!$U$11,J356),1)*IF(Upgrades!$T$12="Solar Wind",POWER(Upgrades!$U$12,K356),1))+(IF(F356=0,0,(Upgrades!$M$7+F356*Upgrades!$N$7)*POWER(Upgrades!$O$7,F356)))*(IF(Upgrades!$T$6="Asteroid Belt",POWER(Upgrades!$U$6,E356),1)*IF(Upgrades!$T$8="Asteroid Belt",POWER(Upgrades!$U$8,G356),1)*IF(Upgrades!$T$9="Asteroid Belt",POWER(Upgrades!$U$9,H356),1)*IF(Upgrades!$T$10="Asteroid Belt",POWER(Upgrades!$U$10,I356),1)*IF(Upgrades!$T$11="Asteroid Belt",POWER(Upgrades!$U$11,J356),1)*IF(Upgrades!$T$12="Asteroid Belt",POWER(Upgrades!$U$12,K356),1))+(IF(G356=0,0,(Upgrades!$M$8+G356*Upgrades!$N$8)*POWER(Upgrades!$O$8,G356)))*(IF(Upgrades!$T$6="Stellar Coupling",POWER(Upgrades!$U$6,E356),1)*IF(Upgrades!$T$7="Stellar Coupling",POWER(Upgrades!$U$7,F356),1)*IF(Upgrades!$T$9="Stellar Coupling",POWER(Upgrades!$U$9,H356),1)*IF(Upgrades!$T$10="Stellar Coupling",POWER(Upgrades!$U$10,I356),1)*IF(Upgrades!$T$11="Stellar Coupling",POWER(Upgrades!$U$11,J356),1)*IF(Upgrades!$T$12="Stellar Coupling",POWER(Upgrades!$U$12,K356),1))+(IF(H356=0,0,(Upgrades!$M$9+H356*Upgrades!$N$9)*POWER(Upgrades!$O$9,H356)))*(IF(Upgrades!$T$6="Magnetosphere",POWER(Upgrades!$U$6,E356),1)*IF(Upgrades!$T$7="Magnetosphere",POWER(Upgrades!$U$7,F356),1)*IF(Upgrades!$T$8="Magnetosphere",POWER(Upgrades!$U$8,G356),1)*IF(Upgrades!$T$10="Magnetosphere",POWER(Upgrades!$U$10,I356),1)*IF(Upgrades!$T$11="Magnetosphere",POWER(Upgrades!$U$11,J356),1)*IF(Upgrades!$T$12="Magnetosphere",POWER(Upgrades!$U$12,K356),1))+(IF(I356=0,0,(Upgrades!$M$10+I356*Upgrades!$N$10)*POWER(Upgrades!$O$10,I356)))*(IF(Upgrades!$T$6="Orbital Resonance",POWER(Upgrades!$U$6,E356),1)*IF(Upgrades!$T$7="Orbital Resonance",POWER(Upgrades!$U$7,F356),1)*IF(Upgrades!$T$8="Orbital Resonance",POWER(Upgrades!$U$8,G356),1)*IF(Upgrades!$T$9="Orbital Resonance",POWER(Upgrades!$U$9,H356),1)*IF(Upgrades!$T$11="Orbital Resonance",POWER(Upgrades!$U$11,J356),1)*IF(Upgrades!$T$12="Orbital Resonance",POWER(Upgrades!$U$12,K356),1))+(IF(J356=0,0,(Upgrades!$M$11+J356*Upgrades!$N$11)*POWER(Upgrades!$O$11,J356)))*(IF(Upgrades!$T$6="Heliopause",POWER(Upgrades!$U$6,E356),1)*IF(Upgrades!$T$7="Heliopause",POWER(Upgrades!$U$7,F356),1)*IF(Upgrades!$T$8="Heliopause",POWER(Upgrades!$U$8,G356),1)*IF(Upgrades!$T$9="Heliopause",POWER(Upgrades!$U$9,H356),1)*IF(Upgrades!$T$10="Heliopause",POWER(Upgrades!$U$10,I356),1)*IF(Upgrades!$T$12="Heliopause",POWER(Upgrades!$U$12,K356),1))+(IF(K356=0,0,(Upgrades!$M$12+K356*Upgrades!$N$12)*POWER(Upgrades!$O$12,K356)))*(IF(Upgrades!$T$6="First Photons",POWER(Upgrades!$U$6,E356),1)*IF(Upgrades!$T$7="First Photons",POWER(Upgrades!$U$7,F356),1)*IF(Upgrades!$T$8="First Photons",POWER(Upgrades!$U$8,G356),1)*IF(Upgrades!$T$9="First Photons",POWER(Upgrades!$U$9,H356),1)*IF(Upgrades!$T$10="First Photons",POWER(Upgrades!$U$10,I356),1)*IF(Upgrades!$T$11="First Photons",POWER(Upgrades!$U$11,J356),1)))*POWER(Upgrades!$R$6,E356)*POWER(Upgrades!$R$7,F356)*POWER(Upgrades!$R$8,G356)*POWER(Upgrades!$R$9,H356)*POWER(Upgrades!$R$10,I356)*POWER(Upgrades!$R$11,J356)*POWER(Upgrades!$R$12,K356)</f>
        <v/>
      </c>
      <c r="P356" s="27">
        <f>IF(L356=1,0,M356*Parameters!$B$10/60*Parameters!$B$11*10)</f>
        <v/>
      </c>
      <c r="Q356" s="27">
        <f>IF(L356=1,0,O356*M356*10)</f>
        <v/>
      </c>
      <c r="R356" s="27">
        <f>IF(L356=1,0,N356*10)</f>
        <v/>
      </c>
      <c r="S356" s="27">
        <f>P356+Q356+R356</f>
        <v/>
      </c>
      <c r="T356" s="22">
        <f>C356+S356</f>
        <v/>
      </c>
      <c r="U356" s="33">
        <f>AX356</f>
        <v/>
      </c>
      <c r="V356" s="22">
        <f>IF(U356="",0,IF(U356="transition",0,IF(U356="SW",AG356,IF(U356="AB",AH356,IF(U356="SC",AI356,IF(U356="Mag",AJ356,IF(U356="OR",AK356,IF(U356="HP",AL356,IF(U356="FP",AM356,0)))))))))</f>
        <v/>
      </c>
      <c r="W356" s="27">
        <f>IF(U356="OR",Upgrades!$F$10,IF(U356="HP",Upgrades!$F$11,IF(U356="transition",-Parameters!$B$18,0)))</f>
        <v/>
      </c>
      <c r="X356" s="22">
        <f>T356-V356</f>
        <v/>
      </c>
      <c r="Y356" s="30">
        <f>M356*Parameters!$B$10/60*Parameters!$B$11+O356*M356+N356</f>
        <v/>
      </c>
      <c r="Z356" s="34">
        <f>IF(U356="transition","→ Tier 2 (Stellar Neighborhood)",IF(U356="FP","First Photons — light begins, system quickens",IF(U356="HP","Heliopause acquired",IF(U356="OR","Orbital Resonance — passive multiplier active",IF(AND(AO356=1,L356=0,AN356&lt;&gt;1),"Cohesion ready (waiting on completionist upgrades)","")))))</f>
        <v/>
      </c>
      <c r="AA356" s="27">
        <f>(IF(E356=0,0,(Upgrades!$G$6+E356*Upgrades!$H$6)*POWER(Upgrades!$I$6,E356)))*(IF(Upgrades!$T$7="Solar Wind",POWER(Upgrades!$U$7,F356),1)*IF(Upgrades!$T$8="Solar Wind",POWER(Upgrades!$U$8,G356),1)*IF(Upgrades!$T$9="Solar Wind",POWER(Upgrades!$U$9,H356),1)*IF(Upgrades!$T$10="Solar Wind",POWER(Upgrades!$U$10,I356),1)*IF(Upgrades!$T$11="Solar Wind",POWER(Upgrades!$U$11,J356),1)*IF(Upgrades!$T$12="Solar Wind",POWER(Upgrades!$U$12,K356),1))*POWER(Upgrades!$P$6,E356)*POWER(Upgrades!$P$7,F356)*POWER(Upgrades!$P$8,G356)*POWER(Upgrades!$P$9,H356)*POWER(Upgrades!$P$10,I356)*POWER(Upgrades!$P$11,J356)*POWER(Upgrades!$P$12,K356)*60</f>
        <v/>
      </c>
      <c r="AB356" s="27">
        <f>(IF(F356=0,0,(Upgrades!$G$7+F356*Upgrades!$H$7)*POWER(Upgrades!$I$7,F356)))*(IF(Upgrades!$T$6="Asteroid Belt",POWER(Upgrades!$U$6,E356),1)*IF(Upgrades!$T$8="Asteroid Belt",POWER(Upgrades!$U$8,G356),1)*IF(Upgrades!$T$9="Asteroid Belt",POWER(Upgrades!$U$9,H356),1)*IF(Upgrades!$T$10="Asteroid Belt",POWER(Upgrades!$U$10,I356),1)*IF(Upgrades!$T$11="Asteroid Belt",POWER(Upgrades!$U$11,J356),1)*IF(Upgrades!$T$12="Asteroid Belt",POWER(Upgrades!$U$12,K356),1))*POWER(Upgrades!$P$6,E356)*POWER(Upgrades!$P$7,F356)*POWER(Upgrades!$P$8,G356)*POWER(Upgrades!$P$9,H356)*POWER(Upgrades!$P$10,I356)*POWER(Upgrades!$P$11,J356)*POWER(Upgrades!$P$12,K356)*60</f>
        <v/>
      </c>
      <c r="AC356" s="27">
        <f>(IF(G356=0,0,(Upgrades!$J$8+G356*Upgrades!$K$8)*POWER(Upgrades!$L$8,G356)))*(IF(Upgrades!$T$6="Stellar Coupling",POWER(Upgrades!$U$6,E356),1)*IF(Upgrades!$T$7="Stellar Coupling",POWER(Upgrades!$U$7,F356),1)*IF(Upgrades!$T$9="Stellar Coupling",POWER(Upgrades!$U$9,H356),1)*IF(Upgrades!$T$10="Stellar Coupling",POWER(Upgrades!$U$10,I356),1)*IF(Upgrades!$T$11="Stellar Coupling",POWER(Upgrades!$U$11,J356),1)*IF(Upgrades!$T$12="Stellar Coupling",POWER(Upgrades!$U$12,K356),1))*POWER(Upgrades!$Q$6,E356)*POWER(Upgrades!$Q$7,F356)*POWER(Upgrades!$Q$8,G356)*POWER(Upgrades!$Q$9,H356)*POWER(Upgrades!$Q$10,I356)*POWER(Upgrades!$Q$11,J356)*POWER(Upgrades!$Q$12,K356)*Parameters!$B$10*Parameters!$B$11</f>
        <v/>
      </c>
      <c r="AD356" s="27">
        <f>(IF(H356=0,0,(Upgrades!$G$9+H356*Upgrades!$H$9)*POWER(Upgrades!$I$9,H356)))*(IF(Upgrades!$T$6="Magnetosphere",POWER(Upgrades!$U$6,E356),1)*IF(Upgrades!$T$7="Magnetosphere",POWER(Upgrades!$U$7,F356),1)*IF(Upgrades!$T$8="Magnetosphere",POWER(Upgrades!$U$8,G356),1)*IF(Upgrades!$T$10="Magnetosphere",POWER(Upgrades!$U$10,I356),1)*IF(Upgrades!$T$11="Magnetosphere",POWER(Upgrades!$U$11,J356),1)*IF(Upgrades!$T$12="Magnetosphere",POWER(Upgrades!$U$12,K356),1))*POWER(Upgrades!$P$6,E356)*POWER(Upgrades!$P$7,F356)*POWER(Upgrades!$P$8,G356)*POWER(Upgrades!$P$9,H356)*POWER(Upgrades!$P$10,I356)*POWER(Upgrades!$P$11,J356)*POWER(Upgrades!$P$12,K356)*60</f>
        <v/>
      </c>
      <c r="AE356" s="27">
        <f>(IF(K356=0,0,(Upgrades!$G$12+K356*Upgrades!$H$12)*POWER(Upgrades!$I$12,K356)))*(IF(Upgrades!$T$6="First Photons",POWER(Upgrades!$U$6,E356),1)*IF(Upgrades!$T$7="First Photons",POWER(Upgrades!$U$7,F356),1)*IF(Upgrades!$T$8="First Photons",POWER(Upgrades!$U$8,G356),1)*IF(Upgrades!$T$9="First Photons",POWER(Upgrades!$U$9,H356),1)*IF(Upgrades!$T$10="First Photons",POWER(Upgrades!$U$10,I356),1)*IF(Upgrades!$T$11="First Photons",POWER(Upgrades!$U$11,J356),1))*POWER(Upgrades!$P$6,E356)*POWER(Upgrades!$P$7,F356)*POWER(Upgrades!$P$8,G356)*POWER(Upgrades!$P$9,H356)*POWER(Upgrades!$P$10,I356)*POWER(Upgrades!$P$11,J356)*POWER(Upgrades!$P$12,K356)*60</f>
        <v/>
      </c>
      <c r="AF356" s="27">
        <f>Parameters!$B$9*POWER(Upgrades!$Q$6,E356)*POWER(Upgrades!$Q$7,F356)*POWER(Upgrades!$Q$8,G356)*POWER(Upgrades!$Q$9,H356)*POWER(Upgrades!$Q$10,I356)*POWER(Upgrades!$Q$11,J356)*POWER(Upgrades!$Q$12,K356)*(Parameters!$B$10*Parameters!$B$11+O356*60)</f>
        <v/>
      </c>
      <c r="AG356" s="22">
        <f>IF(E356&gt;=Upgrades!$E$6,"",Upgrades!$C$6*POWER(Upgrades!$D$6,E356))</f>
        <v/>
      </c>
      <c r="AH356" s="22">
        <f>IF(F356&gt;=Upgrades!$E$7,"",Upgrades!$C$7*POWER(Upgrades!$D$7,F356))</f>
        <v/>
      </c>
      <c r="AI356" s="22">
        <f>IF(G356&gt;=Upgrades!$E$8,"",Upgrades!$C$8*POWER(Upgrades!$D$8,G356))</f>
        <v/>
      </c>
      <c r="AJ356" s="22">
        <f>IF(H356&gt;=Upgrades!$E$9,"",Upgrades!$C$9*POWER(Upgrades!$D$9,H356))</f>
        <v/>
      </c>
      <c r="AK356" s="22">
        <f>IF(I356&gt;=Upgrades!$E$10,"",Upgrades!$C$10*POWER(Upgrades!$D$10,I356))</f>
        <v/>
      </c>
      <c r="AL356" s="22">
        <f>IF(J356&gt;=Upgrades!$E$11,"",Upgrades!$C$11*POWER(Upgrades!$D$11,J356))</f>
        <v/>
      </c>
      <c r="AM356" s="22">
        <f>IF(K356&gt;=Upgrades!$E$12,"",Upgrades!$C$12*POWER(Upgrades!$D$12,K356))</f>
        <v/>
      </c>
      <c r="AN356" s="26">
        <f>IF(AND(D356&gt;=Parameters!$B$18,(H356&gt;=Upgrades!$E$9)*(K356&gt;=Upgrades!$E$12)=1,L356=0),1,"")</f>
        <v/>
      </c>
      <c r="AO356" s="26">
        <f>IF(AND(D356&gt;=Parameters!$B$18,L356=0),1,"")</f>
        <v/>
      </c>
      <c r="AP356" s="22">
        <f>MIN(IF(ISNUMBER(AK356),AK356,9E15),IF(ISNUMBER(AL356),AL356,9E15),IF(ISNUMBER(AM356),AM356,9E15))</f>
        <v/>
      </c>
      <c r="AQ356" s="22">
        <f>MIN(IF(ISNUMBER(AG356),AG356,9E15),IF(ISNUMBER(AH356),AH356,9E15),IF(ISNUMBER(AI356),AI356,9E15),IF(ISNUMBER(AJ356),AJ356,9E15))</f>
        <v/>
      </c>
      <c r="AR356" s="29">
        <f>IF(AW356&gt;Parameters!$B$21*(MAX(IF(AND(NOT(AND(AO356=1,AN356&lt;&gt;1)),ISNUMBER(AG356),AG356&lt;=T356),AS356,0),IF(AND(NOT(AND(AO356=1,AN356&lt;&gt;1)),ISNUMBER(AH356),AH356&lt;=T356),AT356,0),IF(AND(NOT(AND(AO356=1,AN356&lt;&gt;1)),ISNUMBER(AI356),AI356&lt;=T356),AU356,0),IF(AND(ISNUMBER(AJ356),AJ356&lt;=T356),AV356,0))),TRUE,FALSE)</f>
        <v/>
      </c>
      <c r="AS356" s="32">
        <f>IFERROR(Upgrades!$H$6*(POWER(Upgrades!$P$6,E356)*POWER(Upgrades!$P$7,F356)*POWER(Upgrades!$P$8,G356)*POWER(Upgrades!$P$9,H356)*POWER(Upgrades!$P$10,I356)*POWER(Upgrades!$P$11,J356)*POWER(Upgrades!$P$12,K356))*(IF(Upgrades!$T$7="Solar Wind",POWER(Upgrades!$U$7,F356),1)*IF(Upgrades!$T$8="Solar Wind",POWER(Upgrades!$U$8,G356),1)*IF(Upgrades!$T$9="Solar Wind",POWER(Upgrades!$U$9,H356),1)*IF(Upgrades!$T$10="Solar Wind",POWER(Upgrades!$U$10,I356),1)*IF(Upgrades!$T$11="Solar Wind",POWER(Upgrades!$U$11,J356),1)*IF(Upgrades!$T$12="Solar Wind",POWER(Upgrades!$U$12,K356),1))/AG356,0)</f>
        <v/>
      </c>
      <c r="AT356" s="32">
        <f>IFERROR(Upgrades!$H$7*(POWER(Upgrades!$P$6,E356)*POWER(Upgrades!$P$7,F356)*POWER(Upgrades!$P$8,G356)*POWER(Upgrades!$P$9,H356)*POWER(Upgrades!$P$10,I356)*POWER(Upgrades!$P$11,J356)*POWER(Upgrades!$P$12,K356))*(IF(Upgrades!$T$6="Asteroid Belt",POWER(Upgrades!$U$6,E356),1)*IF(Upgrades!$T$8="Asteroid Belt",POWER(Upgrades!$U$8,G356),1)*IF(Upgrades!$T$9="Asteroid Belt",POWER(Upgrades!$U$9,H356),1)*IF(Upgrades!$T$10="Asteroid Belt",POWER(Upgrades!$U$10,I356),1)*IF(Upgrades!$T$11="Asteroid Belt",POWER(Upgrades!$U$11,J356),1)*IF(Upgrades!$T$12="Asteroid Belt",POWER(Upgrades!$U$12,K356),1))/AH356,0)</f>
        <v/>
      </c>
      <c r="AU356" s="32">
        <f>IFERROR(Upgrades!$K$8*(POWER(Upgrades!$Q$6,E356)*POWER(Upgrades!$Q$7,F356)*POWER(Upgrades!$Q$8,G356)*POWER(Upgrades!$Q$9,H356)*POWER(Upgrades!$Q$10,I356)*POWER(Upgrades!$Q$11,J356)*POWER(Upgrades!$Q$12,K356))*(IF(Upgrades!$T$6="Stellar Coupling",POWER(Upgrades!$U$6,E356),1)*IF(Upgrades!$T$7="Stellar Coupling",POWER(Upgrades!$U$7,F356),1)*IF(Upgrades!$T$9="Stellar Coupling",POWER(Upgrades!$U$9,H356),1)*IF(Upgrades!$T$10="Stellar Coupling",POWER(Upgrades!$U$10,I356),1)*IF(Upgrades!$T$11="Stellar Coupling",POWER(Upgrades!$U$11,J356),1)*IF(Upgrades!$T$12="Stellar Coupling",POWER(Upgrades!$U$12,K356),1))*Parameters!$B$10*Parameters!$B$11/60/AI356,0)</f>
        <v/>
      </c>
      <c r="AV356" s="32">
        <f>IFERROR(Upgrades!$H$9*(POWER(Upgrades!$P$6,E356)*POWER(Upgrades!$P$7,F356)*POWER(Upgrades!$P$8,G356)*POWER(Upgrades!$P$9,H356)*POWER(Upgrades!$P$10,I356)*POWER(Upgrades!$P$11,J356)*POWER(Upgrades!$P$12,K356))*(IF(Upgrades!$T$6="Magnetosphere",POWER(Upgrades!$U$6,E356),1)*IF(Upgrades!$T$7="Magnetosphere",POWER(Upgrades!$U$7,F356),1)*IF(Upgrades!$T$8="Magnetosphere",POWER(Upgrades!$U$8,G356),1)*IF(Upgrades!$T$10="Magnetosphere",POWER(Upgrades!$U$10,I356),1)*IF(Upgrades!$T$11="Magnetosphere",POWER(Upgrades!$U$11,J356),1)*IF(Upgrades!$T$12="Magnetosphere",POWER(Upgrades!$U$12,K356),1))/AJ356,0)</f>
        <v/>
      </c>
      <c r="AW356" s="32">
        <f>MAX(IF(I356&gt;0,0,IFERROR(0.25*N356/Upgrades!$C$10,0)),IF(J356&gt;0,0,IFERROR(0.5*((IF(G356=0,0,(Upgrades!$J$8+G356*Upgrades!$K$8)*POWER(Upgrades!$L$8,G356)))*(IF(Upgrades!$T$6="Stellar Coupling",POWER(Upgrades!$U$6,E356),1)*IF(Upgrades!$T$7="Stellar Coupling",POWER(Upgrades!$U$7,F356),1)*IF(Upgrades!$T$9="Stellar Coupling",POWER(Upgrades!$U$9,H356),1)*IF(Upgrades!$T$10="Stellar Coupling",POWER(Upgrades!$U$10,I356),1)*IF(Upgrades!$T$11="Stellar Coupling",POWER(Upgrades!$U$11,J356),1)*IF(Upgrades!$T$12="Stellar Coupling",POWER(Upgrades!$U$12,K356),1))*(POWER(Upgrades!$Q$6,E356)*POWER(Upgrades!$Q$7,F356)*POWER(Upgrades!$Q$8,G356)*POWER(Upgrades!$Q$9,H356)*POWER(Upgrades!$Q$10,I356)*POWER(Upgrades!$Q$11,J356)*POWER(Upgrades!$Q$12,K356))*Parameters!$B$10*Parameters!$B$11/60)/Upgrades!$C$11,0)),IF(K356&gt;0,0,IFERROR((1.0*(POWER(Upgrades!$P$6,E356)*POWER(Upgrades!$P$7,F356)*POWER(Upgrades!$P$8,G356)*POWER(Upgrades!$P$9,H356)*POWER(Upgrades!$P$10,I356)*POWER(Upgrades!$P$11,J356)*POWER(Upgrades!$P$12,K356))+0.20*M356*Parameters!$B$10*Parameters!$B$11/60)/Upgrades!$C$12,0)),IF(AND(ISNUMBER(AG356),AG356&gt;T356),AS356,0),IF(AND(ISNUMBER(AH356),AH356&gt;T356),AT356,0),IF(AND(ISNUMBER(AI356),AI356&gt;T356),AU356,0),IF(AND(ISNUMBER(AJ356),AJ356&gt;T356),AV356,0))</f>
        <v/>
      </c>
      <c r="AX356" s="29">
        <f>IF(AN356=1,"transition",IF(MIN(IF(AND(I356=0,ISNUMBER(AK356),AK356&lt;=T356),AK356,9E15),IF(AND(J356=0,ISNUMBER(AL356),AL356&lt;=T356),AL356,9E15),IF(AND(K356=0,ISNUMBER(AM356),AM356&lt;=T356),AM356,9E15))&lt;9E15,IF(AND(AND(I356=0,ISNUMBER(AK356),AK356&lt;=T356),AK356=MIN(IF(AND(I356=0,ISNUMBER(AK356),AK356&lt;=T356),AK356,9E15),IF(AND(J356=0,ISNUMBER(AL356),AL356&lt;=T356),AL356,9E15),IF(AND(K356=0,ISNUMBER(AM356),AM356&lt;=T356),AM356,9E15))),"OR",IF(AND(AND(J356=0,ISNUMBER(AL356),AL356&lt;=T356),AL356=MIN(IF(AND(I356=0,ISNUMBER(AK356),AK356&lt;=T356),AK356,9E15),IF(AND(J356=0,ISNUMBER(AL356),AL356&lt;=T356),AL356,9E15),IF(AND(K356=0,ISNUMBER(AM356),AM356&lt;=T356),AM356,9E15))),"HP","FP")),IF(AR356=TRUE,"",IF(MAX(IF(AND(NOT(AND(AO356=1,AN356&lt;&gt;1)),ISNUMBER(AG356),AG356&lt;=T356),AS356,0),IF(AND(NOT(AND(AO356=1,AN356&lt;&gt;1)),ISNUMBER(AH356),AH356&lt;=T356),AT356,0),IF(AND(NOT(AND(AO356=1,AN356&lt;&gt;1)),ISNUMBER(AI356),AI356&lt;=T356),AU356,0),IF(AND(ISNUMBER(AJ356),AJ356&lt;=T356),AV356,0))&lt;=0,"",IF(AND(IF(AND(NOT(AND(AO356=1,AN356&lt;&gt;1)),ISNUMBER(AG356),AG356&lt;=T356),AS356,0)&gt;0,IF(AND(NOT(AND(AO356=1,AN356&lt;&gt;1)),ISNUMBER(AG356),AG356&lt;=T356),AS356,0)=MAX(IF(AND(NOT(AND(AO356=1,AN356&lt;&gt;1)),ISNUMBER(AG356),AG356&lt;=T356),AS356,0),IF(AND(NOT(AND(AO356=1,AN356&lt;&gt;1)),ISNUMBER(AH356),AH356&lt;=T356),AT356,0),IF(AND(NOT(AND(AO356=1,AN356&lt;&gt;1)),ISNUMBER(AI356),AI356&lt;=T356),AU356,0),IF(AND(ISNUMBER(AJ356),AJ356&lt;=T356),AV356,0))),"SW",IF(AND(IF(AND(NOT(AND(AO356=1,AN356&lt;&gt;1)),ISNUMBER(AH356),AH356&lt;=T356),AT356,0)&gt;0,IF(AND(NOT(AND(AO356=1,AN356&lt;&gt;1)),ISNUMBER(AH356),AH356&lt;=T356),AT356,0)=MAX(IF(AND(NOT(AND(AO356=1,AN356&lt;&gt;1)),ISNUMBER(AG356),AG356&lt;=T356),AS356,0),IF(AND(NOT(AND(AO356=1,AN356&lt;&gt;1)),ISNUMBER(AH356),AH356&lt;=T356),AT356,0),IF(AND(NOT(AND(AO356=1,AN356&lt;&gt;1)),ISNUMBER(AI356),AI356&lt;=T356),AU356,0),IF(AND(ISNUMBER(AJ356),AJ356&lt;=T356),AV356,0))),"AB",IF(AND(IF(AND(NOT(AND(AO356=1,AN356&lt;&gt;1)),ISNUMBER(AI356),AI356&lt;=T356),AU356,0)&gt;0,IF(AND(NOT(AND(AO356=1,AN356&lt;&gt;1)),ISNUMBER(AI356),AI356&lt;=T356),AU356,0)=MAX(IF(AND(NOT(AND(AO356=1,AN356&lt;&gt;1)),ISNUMBER(AG356),AG356&lt;=T356),AS356,0),IF(AND(NOT(AND(AO356=1,AN356&lt;&gt;1)),ISNUMBER(AH356),AH356&lt;=T356),AT356,0),IF(AND(NOT(AND(AO356=1,AN356&lt;&gt;1)),ISNUMBER(AI356),AI356&lt;=T356),AU356,0),IF(AND(ISNUMBER(AJ356),AJ356&lt;=T356),AV356,0))),"SC","Mag")))))))</f>
        <v/>
      </c>
    </row>
    <row r="357">
      <c r="A357" s="26" t="n">
        <v>352</v>
      </c>
      <c r="B357" s="27">
        <f>A357*10/60</f>
        <v/>
      </c>
      <c r="C357" s="22">
        <f>X356</f>
        <v/>
      </c>
      <c r="D357" s="27">
        <f>D356+W356</f>
        <v/>
      </c>
      <c r="E357" s="26">
        <f>E356+IF(U356="SW",1,0)</f>
        <v/>
      </c>
      <c r="F357" s="26">
        <f>F356+IF(U356="AB",1,0)</f>
        <v/>
      </c>
      <c r="G357" s="26">
        <f>G356+IF(U356="SC",1,0)</f>
        <v/>
      </c>
      <c r="H357" s="26">
        <f>H356+IF(U356="Mag",1,0)</f>
        <v/>
      </c>
      <c r="I357" s="26">
        <f>MAX(I356,IF(U356="OR",1,0))</f>
        <v/>
      </c>
      <c r="J357" s="26">
        <f>MAX(J356,IF(U356="HP",1,0))</f>
        <v/>
      </c>
      <c r="K357" s="26">
        <f>MAX(K356,IF(U356="FP",1,0))</f>
        <v/>
      </c>
      <c r="L357" s="26">
        <f>MAX(L356,IF(U356="transition",1,0))</f>
        <v/>
      </c>
      <c r="M357" s="28">
        <f>(Parameters!$B$9+(IF(E357=0,0,(Upgrades!$J$6+E357*Upgrades!$K$6)*POWER(Upgrades!$L$6,E357)))*(IF(Upgrades!$T$7="Solar Wind",POWER(Upgrades!$U$7,F357),1)*IF(Upgrades!$T$8="Solar Wind",POWER(Upgrades!$U$8,G357),1)*IF(Upgrades!$T$9="Solar Wind",POWER(Upgrades!$U$9,H357),1)*IF(Upgrades!$T$10="Solar Wind",POWER(Upgrades!$U$10,I357),1)*IF(Upgrades!$T$11="Solar Wind",POWER(Upgrades!$U$11,J357),1)*IF(Upgrades!$T$12="Solar Wind",POWER(Upgrades!$U$12,K357),1))+(IF(F357=0,0,(Upgrades!$J$7+F357*Upgrades!$K$7)*POWER(Upgrades!$L$7,F357)))*(IF(Upgrades!$T$6="Asteroid Belt",POWER(Upgrades!$U$6,E357),1)*IF(Upgrades!$T$8="Asteroid Belt",POWER(Upgrades!$U$8,G357),1)*IF(Upgrades!$T$9="Asteroid Belt",POWER(Upgrades!$U$9,H357),1)*IF(Upgrades!$T$10="Asteroid Belt",POWER(Upgrades!$U$10,I357),1)*IF(Upgrades!$T$11="Asteroid Belt",POWER(Upgrades!$U$11,J357),1)*IF(Upgrades!$T$12="Asteroid Belt",POWER(Upgrades!$U$12,K357),1))+(IF(G357=0,0,(Upgrades!$J$8+G357*Upgrades!$K$8)*POWER(Upgrades!$L$8,G357)))*(IF(Upgrades!$T$6="Stellar Coupling",POWER(Upgrades!$U$6,E357),1)*IF(Upgrades!$T$7="Stellar Coupling",POWER(Upgrades!$U$7,F357),1)*IF(Upgrades!$T$9="Stellar Coupling",POWER(Upgrades!$U$9,H357),1)*IF(Upgrades!$T$10="Stellar Coupling",POWER(Upgrades!$U$10,I357),1)*IF(Upgrades!$T$11="Stellar Coupling",POWER(Upgrades!$U$11,J357),1)*IF(Upgrades!$T$12="Stellar Coupling",POWER(Upgrades!$U$12,K357),1))+(IF(H357=0,0,(Upgrades!$J$9+H357*Upgrades!$K$9)*POWER(Upgrades!$L$9,H357)))*(IF(Upgrades!$T$6="Magnetosphere",POWER(Upgrades!$U$6,E357),1)*IF(Upgrades!$T$7="Magnetosphere",POWER(Upgrades!$U$7,F357),1)*IF(Upgrades!$T$8="Magnetosphere",POWER(Upgrades!$U$8,G357),1)*IF(Upgrades!$T$10="Magnetosphere",POWER(Upgrades!$U$10,I357),1)*IF(Upgrades!$T$11="Magnetosphere",POWER(Upgrades!$U$11,J357),1)*IF(Upgrades!$T$12="Magnetosphere",POWER(Upgrades!$U$12,K357),1))+(IF(I357=0,0,(Upgrades!$J$10+I357*Upgrades!$K$10)*POWER(Upgrades!$L$10,I357)))*(IF(Upgrades!$T$6="Orbital Resonance",POWER(Upgrades!$U$6,E357),1)*IF(Upgrades!$T$7="Orbital Resonance",POWER(Upgrades!$U$7,F357),1)*IF(Upgrades!$T$8="Orbital Resonance",POWER(Upgrades!$U$8,G357),1)*IF(Upgrades!$T$9="Orbital Resonance",POWER(Upgrades!$U$9,H357),1)*IF(Upgrades!$T$11="Orbital Resonance",POWER(Upgrades!$U$11,J357),1)*IF(Upgrades!$T$12="Orbital Resonance",POWER(Upgrades!$U$12,K357),1))+(IF(J357=0,0,(Upgrades!$J$11+J357*Upgrades!$K$11)*POWER(Upgrades!$L$11,J357)))*(IF(Upgrades!$T$6="Heliopause",POWER(Upgrades!$U$6,E357),1)*IF(Upgrades!$T$7="Heliopause",POWER(Upgrades!$U$7,F357),1)*IF(Upgrades!$T$8="Heliopause",POWER(Upgrades!$U$8,G357),1)*IF(Upgrades!$T$9="Heliopause",POWER(Upgrades!$U$9,H357),1)*IF(Upgrades!$T$10="Heliopause",POWER(Upgrades!$U$10,I357),1)*IF(Upgrades!$T$12="Heliopause",POWER(Upgrades!$U$12,K357),1))+(IF(K357=0,0,(Upgrades!$J$12+K357*Upgrades!$K$12)*POWER(Upgrades!$L$12,K357)))*(IF(Upgrades!$T$6="First Photons",POWER(Upgrades!$U$6,E357),1)*IF(Upgrades!$T$7="First Photons",POWER(Upgrades!$U$7,F357),1)*IF(Upgrades!$T$8="First Photons",POWER(Upgrades!$U$8,G357),1)*IF(Upgrades!$T$9="First Photons",POWER(Upgrades!$U$9,H357),1)*IF(Upgrades!$T$10="First Photons",POWER(Upgrades!$U$10,I357),1)*IF(Upgrades!$T$11="First Photons",POWER(Upgrades!$U$11,J357),1)))*POWER(Upgrades!$Q$6,E357)*POWER(Upgrades!$Q$7,F357)*POWER(Upgrades!$Q$8,G357)*POWER(Upgrades!$Q$9,H357)*POWER(Upgrades!$Q$10,I357)*POWER(Upgrades!$Q$11,J357)*POWER(Upgrades!$Q$12,K357)</f>
        <v/>
      </c>
      <c r="N357" s="28">
        <f>((IF(E357=0,0,(Upgrades!$G$6+E357*Upgrades!$H$6)*POWER(Upgrades!$I$6,E357)))*(IF(Upgrades!$T$7="Solar Wind",POWER(Upgrades!$U$7,F357),1)*IF(Upgrades!$T$8="Solar Wind",POWER(Upgrades!$U$8,G357),1)*IF(Upgrades!$T$9="Solar Wind",POWER(Upgrades!$U$9,H357),1)*IF(Upgrades!$T$10="Solar Wind",POWER(Upgrades!$U$10,I357),1)*IF(Upgrades!$T$11="Solar Wind",POWER(Upgrades!$U$11,J357),1)*IF(Upgrades!$T$12="Solar Wind",POWER(Upgrades!$U$12,K357),1))+(IF(F357=0,0,(Upgrades!$G$7+F357*Upgrades!$H$7)*POWER(Upgrades!$I$7,F357)))*(IF(Upgrades!$T$6="Asteroid Belt",POWER(Upgrades!$U$6,E357),1)*IF(Upgrades!$T$8="Asteroid Belt",POWER(Upgrades!$U$8,G357),1)*IF(Upgrades!$T$9="Asteroid Belt",POWER(Upgrades!$U$9,H357),1)*IF(Upgrades!$T$10="Asteroid Belt",POWER(Upgrades!$U$10,I357),1)*IF(Upgrades!$T$11="Asteroid Belt",POWER(Upgrades!$U$11,J357),1)*IF(Upgrades!$T$12="Asteroid Belt",POWER(Upgrades!$U$12,K357),1))+(IF(G357=0,0,(Upgrades!$G$8+G357*Upgrades!$H$8)*POWER(Upgrades!$I$8,G357)))*(IF(Upgrades!$T$6="Stellar Coupling",POWER(Upgrades!$U$6,E357),1)*IF(Upgrades!$T$7="Stellar Coupling",POWER(Upgrades!$U$7,F357),1)*IF(Upgrades!$T$9="Stellar Coupling",POWER(Upgrades!$U$9,H357),1)*IF(Upgrades!$T$10="Stellar Coupling",POWER(Upgrades!$U$10,I357),1)*IF(Upgrades!$T$11="Stellar Coupling",POWER(Upgrades!$U$11,J357),1)*IF(Upgrades!$T$12="Stellar Coupling",POWER(Upgrades!$U$12,K357),1))+(IF(H357=0,0,(Upgrades!$G$9+H357*Upgrades!$H$9)*POWER(Upgrades!$I$9,H357)))*(IF(Upgrades!$T$6="Magnetosphere",POWER(Upgrades!$U$6,E357),1)*IF(Upgrades!$T$7="Magnetosphere",POWER(Upgrades!$U$7,F357),1)*IF(Upgrades!$T$8="Magnetosphere",POWER(Upgrades!$U$8,G357),1)*IF(Upgrades!$T$10="Magnetosphere",POWER(Upgrades!$U$10,I357),1)*IF(Upgrades!$T$11="Magnetosphere",POWER(Upgrades!$U$11,J357),1)*IF(Upgrades!$T$12="Magnetosphere",POWER(Upgrades!$U$12,K357),1))+(IF(I357=0,0,(Upgrades!$G$10+I357*Upgrades!$H$10)*POWER(Upgrades!$I$10,I357)))*(IF(Upgrades!$T$6="Orbital Resonance",POWER(Upgrades!$U$6,E357),1)*IF(Upgrades!$T$7="Orbital Resonance",POWER(Upgrades!$U$7,F357),1)*IF(Upgrades!$T$8="Orbital Resonance",POWER(Upgrades!$U$8,G357),1)*IF(Upgrades!$T$9="Orbital Resonance",POWER(Upgrades!$U$9,H357),1)*IF(Upgrades!$T$11="Orbital Resonance",POWER(Upgrades!$U$11,J357),1)*IF(Upgrades!$T$12="Orbital Resonance",POWER(Upgrades!$U$12,K357),1))+(IF(J357=0,0,(Upgrades!$G$11+J357*Upgrades!$H$11)*POWER(Upgrades!$I$11,J357)))*(IF(Upgrades!$T$6="Heliopause",POWER(Upgrades!$U$6,E357),1)*IF(Upgrades!$T$7="Heliopause",POWER(Upgrades!$U$7,F357),1)*IF(Upgrades!$T$8="Heliopause",POWER(Upgrades!$U$8,G357),1)*IF(Upgrades!$T$9="Heliopause",POWER(Upgrades!$U$9,H357),1)*IF(Upgrades!$T$10="Heliopause",POWER(Upgrades!$U$10,I357),1)*IF(Upgrades!$T$12="Heliopause",POWER(Upgrades!$U$12,K357),1))+(IF(K357=0,0,(Upgrades!$G$12+K357*Upgrades!$H$12)*POWER(Upgrades!$I$12,K357)))*(IF(Upgrades!$T$6="First Photons",POWER(Upgrades!$U$6,E357),1)*IF(Upgrades!$T$7="First Photons",POWER(Upgrades!$U$7,F357),1)*IF(Upgrades!$T$8="First Photons",POWER(Upgrades!$U$8,G357),1)*IF(Upgrades!$T$9="First Photons",POWER(Upgrades!$U$9,H357),1)*IF(Upgrades!$T$10="First Photons",POWER(Upgrades!$U$10,I357),1)*IF(Upgrades!$T$11="First Photons",POWER(Upgrades!$U$11,J357),1)))*POWER(Upgrades!$P$6,E357)*POWER(Upgrades!$P$7,F357)*POWER(Upgrades!$P$8,G357)*POWER(Upgrades!$P$9,H357)*POWER(Upgrades!$P$10,I357)*POWER(Upgrades!$P$11,J357)*POWER(Upgrades!$P$12,K357)</f>
        <v/>
      </c>
      <c r="O357" s="28">
        <f>((IF(E357=0,0,(Upgrades!$M$6+E357*Upgrades!$N$6)*POWER(Upgrades!$O$6,E357)))*(IF(Upgrades!$T$7="Solar Wind",POWER(Upgrades!$U$7,F357),1)*IF(Upgrades!$T$8="Solar Wind",POWER(Upgrades!$U$8,G357),1)*IF(Upgrades!$T$9="Solar Wind",POWER(Upgrades!$U$9,H357),1)*IF(Upgrades!$T$10="Solar Wind",POWER(Upgrades!$U$10,I357),1)*IF(Upgrades!$T$11="Solar Wind",POWER(Upgrades!$U$11,J357),1)*IF(Upgrades!$T$12="Solar Wind",POWER(Upgrades!$U$12,K357),1))+(IF(F357=0,0,(Upgrades!$M$7+F357*Upgrades!$N$7)*POWER(Upgrades!$O$7,F357)))*(IF(Upgrades!$T$6="Asteroid Belt",POWER(Upgrades!$U$6,E357),1)*IF(Upgrades!$T$8="Asteroid Belt",POWER(Upgrades!$U$8,G357),1)*IF(Upgrades!$T$9="Asteroid Belt",POWER(Upgrades!$U$9,H357),1)*IF(Upgrades!$T$10="Asteroid Belt",POWER(Upgrades!$U$10,I357),1)*IF(Upgrades!$T$11="Asteroid Belt",POWER(Upgrades!$U$11,J357),1)*IF(Upgrades!$T$12="Asteroid Belt",POWER(Upgrades!$U$12,K357),1))+(IF(G357=0,0,(Upgrades!$M$8+G357*Upgrades!$N$8)*POWER(Upgrades!$O$8,G357)))*(IF(Upgrades!$T$6="Stellar Coupling",POWER(Upgrades!$U$6,E357),1)*IF(Upgrades!$T$7="Stellar Coupling",POWER(Upgrades!$U$7,F357),1)*IF(Upgrades!$T$9="Stellar Coupling",POWER(Upgrades!$U$9,H357),1)*IF(Upgrades!$T$10="Stellar Coupling",POWER(Upgrades!$U$10,I357),1)*IF(Upgrades!$T$11="Stellar Coupling",POWER(Upgrades!$U$11,J357),1)*IF(Upgrades!$T$12="Stellar Coupling",POWER(Upgrades!$U$12,K357),1))+(IF(H357=0,0,(Upgrades!$M$9+H357*Upgrades!$N$9)*POWER(Upgrades!$O$9,H357)))*(IF(Upgrades!$T$6="Magnetosphere",POWER(Upgrades!$U$6,E357),1)*IF(Upgrades!$T$7="Magnetosphere",POWER(Upgrades!$U$7,F357),1)*IF(Upgrades!$T$8="Magnetosphere",POWER(Upgrades!$U$8,G357),1)*IF(Upgrades!$T$10="Magnetosphere",POWER(Upgrades!$U$10,I357),1)*IF(Upgrades!$T$11="Magnetosphere",POWER(Upgrades!$U$11,J357),1)*IF(Upgrades!$T$12="Magnetosphere",POWER(Upgrades!$U$12,K357),1))+(IF(I357=0,0,(Upgrades!$M$10+I357*Upgrades!$N$10)*POWER(Upgrades!$O$10,I357)))*(IF(Upgrades!$T$6="Orbital Resonance",POWER(Upgrades!$U$6,E357),1)*IF(Upgrades!$T$7="Orbital Resonance",POWER(Upgrades!$U$7,F357),1)*IF(Upgrades!$T$8="Orbital Resonance",POWER(Upgrades!$U$8,G357),1)*IF(Upgrades!$T$9="Orbital Resonance",POWER(Upgrades!$U$9,H357),1)*IF(Upgrades!$T$11="Orbital Resonance",POWER(Upgrades!$U$11,J357),1)*IF(Upgrades!$T$12="Orbital Resonance",POWER(Upgrades!$U$12,K357),1))+(IF(J357=0,0,(Upgrades!$M$11+J357*Upgrades!$N$11)*POWER(Upgrades!$O$11,J357)))*(IF(Upgrades!$T$6="Heliopause",POWER(Upgrades!$U$6,E357),1)*IF(Upgrades!$T$7="Heliopause",POWER(Upgrades!$U$7,F357),1)*IF(Upgrades!$T$8="Heliopause",POWER(Upgrades!$U$8,G357),1)*IF(Upgrades!$T$9="Heliopause",POWER(Upgrades!$U$9,H357),1)*IF(Upgrades!$T$10="Heliopause",POWER(Upgrades!$U$10,I357),1)*IF(Upgrades!$T$12="Heliopause",POWER(Upgrades!$U$12,K357),1))+(IF(K357=0,0,(Upgrades!$M$12+K357*Upgrades!$N$12)*POWER(Upgrades!$O$12,K357)))*(IF(Upgrades!$T$6="First Photons",POWER(Upgrades!$U$6,E357),1)*IF(Upgrades!$T$7="First Photons",POWER(Upgrades!$U$7,F357),1)*IF(Upgrades!$T$8="First Photons",POWER(Upgrades!$U$8,G357),1)*IF(Upgrades!$T$9="First Photons",POWER(Upgrades!$U$9,H357),1)*IF(Upgrades!$T$10="First Photons",POWER(Upgrades!$U$10,I357),1)*IF(Upgrades!$T$11="First Photons",POWER(Upgrades!$U$11,J357),1)))*POWER(Upgrades!$R$6,E357)*POWER(Upgrades!$R$7,F357)*POWER(Upgrades!$R$8,G357)*POWER(Upgrades!$R$9,H357)*POWER(Upgrades!$R$10,I357)*POWER(Upgrades!$R$11,J357)*POWER(Upgrades!$R$12,K357)</f>
        <v/>
      </c>
      <c r="P357" s="27">
        <f>IF(L357=1,0,M357*Parameters!$B$10/60*Parameters!$B$11*10)</f>
        <v/>
      </c>
      <c r="Q357" s="27">
        <f>IF(L357=1,0,O357*M357*10)</f>
        <v/>
      </c>
      <c r="R357" s="27">
        <f>IF(L357=1,0,N357*10)</f>
        <v/>
      </c>
      <c r="S357" s="27">
        <f>P357+Q357+R357</f>
        <v/>
      </c>
      <c r="T357" s="22">
        <f>C357+S357</f>
        <v/>
      </c>
      <c r="U357" s="33">
        <f>AX357</f>
        <v/>
      </c>
      <c r="V357" s="22">
        <f>IF(U357="",0,IF(U357="transition",0,IF(U357="SW",AG357,IF(U357="AB",AH357,IF(U357="SC",AI357,IF(U357="Mag",AJ357,IF(U357="OR",AK357,IF(U357="HP",AL357,IF(U357="FP",AM357,0)))))))))</f>
        <v/>
      </c>
      <c r="W357" s="27">
        <f>IF(U357="OR",Upgrades!$F$10,IF(U357="HP",Upgrades!$F$11,IF(U357="transition",-Parameters!$B$18,0)))</f>
        <v/>
      </c>
      <c r="X357" s="22">
        <f>T357-V357</f>
        <v/>
      </c>
      <c r="Y357" s="30">
        <f>M357*Parameters!$B$10/60*Parameters!$B$11+O357*M357+N357</f>
        <v/>
      </c>
      <c r="Z357" s="34">
        <f>IF(U357="transition","→ Tier 2 (Stellar Neighborhood)",IF(U357="FP","First Photons — light begins, system quickens",IF(U357="HP","Heliopause acquired",IF(U357="OR","Orbital Resonance — passive multiplier active",IF(AND(AO357=1,L357=0,AN357&lt;&gt;1),"Cohesion ready (waiting on completionist upgrades)","")))))</f>
        <v/>
      </c>
      <c r="AA357" s="27">
        <f>(IF(E357=0,0,(Upgrades!$G$6+E357*Upgrades!$H$6)*POWER(Upgrades!$I$6,E357)))*(IF(Upgrades!$T$7="Solar Wind",POWER(Upgrades!$U$7,F357),1)*IF(Upgrades!$T$8="Solar Wind",POWER(Upgrades!$U$8,G357),1)*IF(Upgrades!$T$9="Solar Wind",POWER(Upgrades!$U$9,H357),1)*IF(Upgrades!$T$10="Solar Wind",POWER(Upgrades!$U$10,I357),1)*IF(Upgrades!$T$11="Solar Wind",POWER(Upgrades!$U$11,J357),1)*IF(Upgrades!$T$12="Solar Wind",POWER(Upgrades!$U$12,K357),1))*POWER(Upgrades!$P$6,E357)*POWER(Upgrades!$P$7,F357)*POWER(Upgrades!$P$8,G357)*POWER(Upgrades!$P$9,H357)*POWER(Upgrades!$P$10,I357)*POWER(Upgrades!$P$11,J357)*POWER(Upgrades!$P$12,K357)*60</f>
        <v/>
      </c>
      <c r="AB357" s="27">
        <f>(IF(F357=0,0,(Upgrades!$G$7+F357*Upgrades!$H$7)*POWER(Upgrades!$I$7,F357)))*(IF(Upgrades!$T$6="Asteroid Belt",POWER(Upgrades!$U$6,E357),1)*IF(Upgrades!$T$8="Asteroid Belt",POWER(Upgrades!$U$8,G357),1)*IF(Upgrades!$T$9="Asteroid Belt",POWER(Upgrades!$U$9,H357),1)*IF(Upgrades!$T$10="Asteroid Belt",POWER(Upgrades!$U$10,I357),1)*IF(Upgrades!$T$11="Asteroid Belt",POWER(Upgrades!$U$11,J357),1)*IF(Upgrades!$T$12="Asteroid Belt",POWER(Upgrades!$U$12,K357),1))*POWER(Upgrades!$P$6,E357)*POWER(Upgrades!$P$7,F357)*POWER(Upgrades!$P$8,G357)*POWER(Upgrades!$P$9,H357)*POWER(Upgrades!$P$10,I357)*POWER(Upgrades!$P$11,J357)*POWER(Upgrades!$P$12,K357)*60</f>
        <v/>
      </c>
      <c r="AC357" s="27">
        <f>(IF(G357=0,0,(Upgrades!$J$8+G357*Upgrades!$K$8)*POWER(Upgrades!$L$8,G357)))*(IF(Upgrades!$T$6="Stellar Coupling",POWER(Upgrades!$U$6,E357),1)*IF(Upgrades!$T$7="Stellar Coupling",POWER(Upgrades!$U$7,F357),1)*IF(Upgrades!$T$9="Stellar Coupling",POWER(Upgrades!$U$9,H357),1)*IF(Upgrades!$T$10="Stellar Coupling",POWER(Upgrades!$U$10,I357),1)*IF(Upgrades!$T$11="Stellar Coupling",POWER(Upgrades!$U$11,J357),1)*IF(Upgrades!$T$12="Stellar Coupling",POWER(Upgrades!$U$12,K357),1))*POWER(Upgrades!$Q$6,E357)*POWER(Upgrades!$Q$7,F357)*POWER(Upgrades!$Q$8,G357)*POWER(Upgrades!$Q$9,H357)*POWER(Upgrades!$Q$10,I357)*POWER(Upgrades!$Q$11,J357)*POWER(Upgrades!$Q$12,K357)*Parameters!$B$10*Parameters!$B$11</f>
        <v/>
      </c>
      <c r="AD357" s="27">
        <f>(IF(H357=0,0,(Upgrades!$G$9+H357*Upgrades!$H$9)*POWER(Upgrades!$I$9,H357)))*(IF(Upgrades!$T$6="Magnetosphere",POWER(Upgrades!$U$6,E357),1)*IF(Upgrades!$T$7="Magnetosphere",POWER(Upgrades!$U$7,F357),1)*IF(Upgrades!$T$8="Magnetosphere",POWER(Upgrades!$U$8,G357),1)*IF(Upgrades!$T$10="Magnetosphere",POWER(Upgrades!$U$10,I357),1)*IF(Upgrades!$T$11="Magnetosphere",POWER(Upgrades!$U$11,J357),1)*IF(Upgrades!$T$12="Magnetosphere",POWER(Upgrades!$U$12,K357),1))*POWER(Upgrades!$P$6,E357)*POWER(Upgrades!$P$7,F357)*POWER(Upgrades!$P$8,G357)*POWER(Upgrades!$P$9,H357)*POWER(Upgrades!$P$10,I357)*POWER(Upgrades!$P$11,J357)*POWER(Upgrades!$P$12,K357)*60</f>
        <v/>
      </c>
      <c r="AE357" s="27">
        <f>(IF(K357=0,0,(Upgrades!$G$12+K357*Upgrades!$H$12)*POWER(Upgrades!$I$12,K357)))*(IF(Upgrades!$T$6="First Photons",POWER(Upgrades!$U$6,E357),1)*IF(Upgrades!$T$7="First Photons",POWER(Upgrades!$U$7,F357),1)*IF(Upgrades!$T$8="First Photons",POWER(Upgrades!$U$8,G357),1)*IF(Upgrades!$T$9="First Photons",POWER(Upgrades!$U$9,H357),1)*IF(Upgrades!$T$10="First Photons",POWER(Upgrades!$U$10,I357),1)*IF(Upgrades!$T$11="First Photons",POWER(Upgrades!$U$11,J357),1))*POWER(Upgrades!$P$6,E357)*POWER(Upgrades!$P$7,F357)*POWER(Upgrades!$P$8,G357)*POWER(Upgrades!$P$9,H357)*POWER(Upgrades!$P$10,I357)*POWER(Upgrades!$P$11,J357)*POWER(Upgrades!$P$12,K357)*60</f>
        <v/>
      </c>
      <c r="AF357" s="27">
        <f>Parameters!$B$9*POWER(Upgrades!$Q$6,E357)*POWER(Upgrades!$Q$7,F357)*POWER(Upgrades!$Q$8,G357)*POWER(Upgrades!$Q$9,H357)*POWER(Upgrades!$Q$10,I357)*POWER(Upgrades!$Q$11,J357)*POWER(Upgrades!$Q$12,K357)*(Parameters!$B$10*Parameters!$B$11+O357*60)</f>
        <v/>
      </c>
      <c r="AG357" s="22">
        <f>IF(E357&gt;=Upgrades!$E$6,"",Upgrades!$C$6*POWER(Upgrades!$D$6,E357))</f>
        <v/>
      </c>
      <c r="AH357" s="22">
        <f>IF(F357&gt;=Upgrades!$E$7,"",Upgrades!$C$7*POWER(Upgrades!$D$7,F357))</f>
        <v/>
      </c>
      <c r="AI357" s="22">
        <f>IF(G357&gt;=Upgrades!$E$8,"",Upgrades!$C$8*POWER(Upgrades!$D$8,G357))</f>
        <v/>
      </c>
      <c r="AJ357" s="22">
        <f>IF(H357&gt;=Upgrades!$E$9,"",Upgrades!$C$9*POWER(Upgrades!$D$9,H357))</f>
        <v/>
      </c>
      <c r="AK357" s="22">
        <f>IF(I357&gt;=Upgrades!$E$10,"",Upgrades!$C$10*POWER(Upgrades!$D$10,I357))</f>
        <v/>
      </c>
      <c r="AL357" s="22">
        <f>IF(J357&gt;=Upgrades!$E$11,"",Upgrades!$C$11*POWER(Upgrades!$D$11,J357))</f>
        <v/>
      </c>
      <c r="AM357" s="22">
        <f>IF(K357&gt;=Upgrades!$E$12,"",Upgrades!$C$12*POWER(Upgrades!$D$12,K357))</f>
        <v/>
      </c>
      <c r="AN357" s="26">
        <f>IF(AND(D357&gt;=Parameters!$B$18,(H357&gt;=Upgrades!$E$9)*(K357&gt;=Upgrades!$E$12)=1,L357=0),1,"")</f>
        <v/>
      </c>
      <c r="AO357" s="26">
        <f>IF(AND(D357&gt;=Parameters!$B$18,L357=0),1,"")</f>
        <v/>
      </c>
      <c r="AP357" s="22">
        <f>MIN(IF(ISNUMBER(AK357),AK357,9E15),IF(ISNUMBER(AL357),AL357,9E15),IF(ISNUMBER(AM357),AM357,9E15))</f>
        <v/>
      </c>
      <c r="AQ357" s="22">
        <f>MIN(IF(ISNUMBER(AG357),AG357,9E15),IF(ISNUMBER(AH357),AH357,9E15),IF(ISNUMBER(AI357),AI357,9E15),IF(ISNUMBER(AJ357),AJ357,9E15))</f>
        <v/>
      </c>
      <c r="AR357" s="29">
        <f>IF(AW357&gt;Parameters!$B$21*(MAX(IF(AND(NOT(AND(AO357=1,AN357&lt;&gt;1)),ISNUMBER(AG357),AG357&lt;=T357),AS357,0),IF(AND(NOT(AND(AO357=1,AN357&lt;&gt;1)),ISNUMBER(AH357),AH357&lt;=T357),AT357,0),IF(AND(NOT(AND(AO357=1,AN357&lt;&gt;1)),ISNUMBER(AI357),AI357&lt;=T357),AU357,0),IF(AND(ISNUMBER(AJ357),AJ357&lt;=T357),AV357,0))),TRUE,FALSE)</f>
        <v/>
      </c>
      <c r="AS357" s="32">
        <f>IFERROR(Upgrades!$H$6*(POWER(Upgrades!$P$6,E357)*POWER(Upgrades!$P$7,F357)*POWER(Upgrades!$P$8,G357)*POWER(Upgrades!$P$9,H357)*POWER(Upgrades!$P$10,I357)*POWER(Upgrades!$P$11,J357)*POWER(Upgrades!$P$12,K357))*(IF(Upgrades!$T$7="Solar Wind",POWER(Upgrades!$U$7,F357),1)*IF(Upgrades!$T$8="Solar Wind",POWER(Upgrades!$U$8,G357),1)*IF(Upgrades!$T$9="Solar Wind",POWER(Upgrades!$U$9,H357),1)*IF(Upgrades!$T$10="Solar Wind",POWER(Upgrades!$U$10,I357),1)*IF(Upgrades!$T$11="Solar Wind",POWER(Upgrades!$U$11,J357),1)*IF(Upgrades!$T$12="Solar Wind",POWER(Upgrades!$U$12,K357),1))/AG357,0)</f>
        <v/>
      </c>
      <c r="AT357" s="32">
        <f>IFERROR(Upgrades!$H$7*(POWER(Upgrades!$P$6,E357)*POWER(Upgrades!$P$7,F357)*POWER(Upgrades!$P$8,G357)*POWER(Upgrades!$P$9,H357)*POWER(Upgrades!$P$10,I357)*POWER(Upgrades!$P$11,J357)*POWER(Upgrades!$P$12,K357))*(IF(Upgrades!$T$6="Asteroid Belt",POWER(Upgrades!$U$6,E357),1)*IF(Upgrades!$T$8="Asteroid Belt",POWER(Upgrades!$U$8,G357),1)*IF(Upgrades!$T$9="Asteroid Belt",POWER(Upgrades!$U$9,H357),1)*IF(Upgrades!$T$10="Asteroid Belt",POWER(Upgrades!$U$10,I357),1)*IF(Upgrades!$T$11="Asteroid Belt",POWER(Upgrades!$U$11,J357),1)*IF(Upgrades!$T$12="Asteroid Belt",POWER(Upgrades!$U$12,K357),1))/AH357,0)</f>
        <v/>
      </c>
      <c r="AU357" s="32">
        <f>IFERROR(Upgrades!$K$8*(POWER(Upgrades!$Q$6,E357)*POWER(Upgrades!$Q$7,F357)*POWER(Upgrades!$Q$8,G357)*POWER(Upgrades!$Q$9,H357)*POWER(Upgrades!$Q$10,I357)*POWER(Upgrades!$Q$11,J357)*POWER(Upgrades!$Q$12,K357))*(IF(Upgrades!$T$6="Stellar Coupling",POWER(Upgrades!$U$6,E357),1)*IF(Upgrades!$T$7="Stellar Coupling",POWER(Upgrades!$U$7,F357),1)*IF(Upgrades!$T$9="Stellar Coupling",POWER(Upgrades!$U$9,H357),1)*IF(Upgrades!$T$10="Stellar Coupling",POWER(Upgrades!$U$10,I357),1)*IF(Upgrades!$T$11="Stellar Coupling",POWER(Upgrades!$U$11,J357),1)*IF(Upgrades!$T$12="Stellar Coupling",POWER(Upgrades!$U$12,K357),1))*Parameters!$B$10*Parameters!$B$11/60/AI357,0)</f>
        <v/>
      </c>
      <c r="AV357" s="32">
        <f>IFERROR(Upgrades!$H$9*(POWER(Upgrades!$P$6,E357)*POWER(Upgrades!$P$7,F357)*POWER(Upgrades!$P$8,G357)*POWER(Upgrades!$P$9,H357)*POWER(Upgrades!$P$10,I357)*POWER(Upgrades!$P$11,J357)*POWER(Upgrades!$P$12,K357))*(IF(Upgrades!$T$6="Magnetosphere",POWER(Upgrades!$U$6,E357),1)*IF(Upgrades!$T$7="Magnetosphere",POWER(Upgrades!$U$7,F357),1)*IF(Upgrades!$T$8="Magnetosphere",POWER(Upgrades!$U$8,G357),1)*IF(Upgrades!$T$10="Magnetosphere",POWER(Upgrades!$U$10,I357),1)*IF(Upgrades!$T$11="Magnetosphere",POWER(Upgrades!$U$11,J357),1)*IF(Upgrades!$T$12="Magnetosphere",POWER(Upgrades!$U$12,K357),1))/AJ357,0)</f>
        <v/>
      </c>
      <c r="AW357" s="32">
        <f>MAX(IF(I357&gt;0,0,IFERROR(0.25*N357/Upgrades!$C$10,0)),IF(J357&gt;0,0,IFERROR(0.5*((IF(G357=0,0,(Upgrades!$J$8+G357*Upgrades!$K$8)*POWER(Upgrades!$L$8,G357)))*(IF(Upgrades!$T$6="Stellar Coupling",POWER(Upgrades!$U$6,E357),1)*IF(Upgrades!$T$7="Stellar Coupling",POWER(Upgrades!$U$7,F357),1)*IF(Upgrades!$T$9="Stellar Coupling",POWER(Upgrades!$U$9,H357),1)*IF(Upgrades!$T$10="Stellar Coupling",POWER(Upgrades!$U$10,I357),1)*IF(Upgrades!$T$11="Stellar Coupling",POWER(Upgrades!$U$11,J357),1)*IF(Upgrades!$T$12="Stellar Coupling",POWER(Upgrades!$U$12,K357),1))*(POWER(Upgrades!$Q$6,E357)*POWER(Upgrades!$Q$7,F357)*POWER(Upgrades!$Q$8,G357)*POWER(Upgrades!$Q$9,H357)*POWER(Upgrades!$Q$10,I357)*POWER(Upgrades!$Q$11,J357)*POWER(Upgrades!$Q$12,K357))*Parameters!$B$10*Parameters!$B$11/60)/Upgrades!$C$11,0)),IF(K357&gt;0,0,IFERROR((1.0*(POWER(Upgrades!$P$6,E357)*POWER(Upgrades!$P$7,F357)*POWER(Upgrades!$P$8,G357)*POWER(Upgrades!$P$9,H357)*POWER(Upgrades!$P$10,I357)*POWER(Upgrades!$P$11,J357)*POWER(Upgrades!$P$12,K357))+0.20*M357*Parameters!$B$10*Parameters!$B$11/60)/Upgrades!$C$12,0)),IF(AND(ISNUMBER(AG357),AG357&gt;T357),AS357,0),IF(AND(ISNUMBER(AH357),AH357&gt;T357),AT357,0),IF(AND(ISNUMBER(AI357),AI357&gt;T357),AU357,0),IF(AND(ISNUMBER(AJ357),AJ357&gt;T357),AV357,0))</f>
        <v/>
      </c>
      <c r="AX357" s="29">
        <f>IF(AN357=1,"transition",IF(MIN(IF(AND(I357=0,ISNUMBER(AK357),AK357&lt;=T357),AK357,9E15),IF(AND(J357=0,ISNUMBER(AL357),AL357&lt;=T357),AL357,9E15),IF(AND(K357=0,ISNUMBER(AM357),AM357&lt;=T357),AM357,9E15))&lt;9E15,IF(AND(AND(I357=0,ISNUMBER(AK357),AK357&lt;=T357),AK357=MIN(IF(AND(I357=0,ISNUMBER(AK357),AK357&lt;=T357),AK357,9E15),IF(AND(J357=0,ISNUMBER(AL357),AL357&lt;=T357),AL357,9E15),IF(AND(K357=0,ISNUMBER(AM357),AM357&lt;=T357),AM357,9E15))),"OR",IF(AND(AND(J357=0,ISNUMBER(AL357),AL357&lt;=T357),AL357=MIN(IF(AND(I357=0,ISNUMBER(AK357),AK357&lt;=T357),AK357,9E15),IF(AND(J357=0,ISNUMBER(AL357),AL357&lt;=T357),AL357,9E15),IF(AND(K357=0,ISNUMBER(AM357),AM357&lt;=T357),AM357,9E15))),"HP","FP")),IF(AR357=TRUE,"",IF(MAX(IF(AND(NOT(AND(AO357=1,AN357&lt;&gt;1)),ISNUMBER(AG357),AG357&lt;=T357),AS357,0),IF(AND(NOT(AND(AO357=1,AN357&lt;&gt;1)),ISNUMBER(AH357),AH357&lt;=T357),AT357,0),IF(AND(NOT(AND(AO357=1,AN357&lt;&gt;1)),ISNUMBER(AI357),AI357&lt;=T357),AU357,0),IF(AND(ISNUMBER(AJ357),AJ357&lt;=T357),AV357,0))&lt;=0,"",IF(AND(IF(AND(NOT(AND(AO357=1,AN357&lt;&gt;1)),ISNUMBER(AG357),AG357&lt;=T357),AS357,0)&gt;0,IF(AND(NOT(AND(AO357=1,AN357&lt;&gt;1)),ISNUMBER(AG357),AG357&lt;=T357),AS357,0)=MAX(IF(AND(NOT(AND(AO357=1,AN357&lt;&gt;1)),ISNUMBER(AG357),AG357&lt;=T357),AS357,0),IF(AND(NOT(AND(AO357=1,AN357&lt;&gt;1)),ISNUMBER(AH357),AH357&lt;=T357),AT357,0),IF(AND(NOT(AND(AO357=1,AN357&lt;&gt;1)),ISNUMBER(AI357),AI357&lt;=T357),AU357,0),IF(AND(ISNUMBER(AJ357),AJ357&lt;=T357),AV357,0))),"SW",IF(AND(IF(AND(NOT(AND(AO357=1,AN357&lt;&gt;1)),ISNUMBER(AH357),AH357&lt;=T357),AT357,0)&gt;0,IF(AND(NOT(AND(AO357=1,AN357&lt;&gt;1)),ISNUMBER(AH357),AH357&lt;=T357),AT357,0)=MAX(IF(AND(NOT(AND(AO357=1,AN357&lt;&gt;1)),ISNUMBER(AG357),AG357&lt;=T357),AS357,0),IF(AND(NOT(AND(AO357=1,AN357&lt;&gt;1)),ISNUMBER(AH357),AH357&lt;=T357),AT357,0),IF(AND(NOT(AND(AO357=1,AN357&lt;&gt;1)),ISNUMBER(AI357),AI357&lt;=T357),AU357,0),IF(AND(ISNUMBER(AJ357),AJ357&lt;=T357),AV357,0))),"AB",IF(AND(IF(AND(NOT(AND(AO357=1,AN357&lt;&gt;1)),ISNUMBER(AI357),AI357&lt;=T357),AU357,0)&gt;0,IF(AND(NOT(AND(AO357=1,AN357&lt;&gt;1)),ISNUMBER(AI357),AI357&lt;=T357),AU357,0)=MAX(IF(AND(NOT(AND(AO357=1,AN357&lt;&gt;1)),ISNUMBER(AG357),AG357&lt;=T357),AS357,0),IF(AND(NOT(AND(AO357=1,AN357&lt;&gt;1)),ISNUMBER(AH357),AH357&lt;=T357),AT357,0),IF(AND(NOT(AND(AO357=1,AN357&lt;&gt;1)),ISNUMBER(AI357),AI357&lt;=T357),AU357,0),IF(AND(ISNUMBER(AJ357),AJ357&lt;=T357),AV357,0))),"SC","Mag")))))))</f>
        <v/>
      </c>
    </row>
    <row r="358">
      <c r="A358" s="26" t="n">
        <v>353</v>
      </c>
      <c r="B358" s="27">
        <f>A358*10/60</f>
        <v/>
      </c>
      <c r="C358" s="22">
        <f>X357</f>
        <v/>
      </c>
      <c r="D358" s="27">
        <f>D357+W357</f>
        <v/>
      </c>
      <c r="E358" s="26">
        <f>E357+IF(U357="SW",1,0)</f>
        <v/>
      </c>
      <c r="F358" s="26">
        <f>F357+IF(U357="AB",1,0)</f>
        <v/>
      </c>
      <c r="G358" s="26">
        <f>G357+IF(U357="SC",1,0)</f>
        <v/>
      </c>
      <c r="H358" s="26">
        <f>H357+IF(U357="Mag",1,0)</f>
        <v/>
      </c>
      <c r="I358" s="26">
        <f>MAX(I357,IF(U357="OR",1,0))</f>
        <v/>
      </c>
      <c r="J358" s="26">
        <f>MAX(J357,IF(U357="HP",1,0))</f>
        <v/>
      </c>
      <c r="K358" s="26">
        <f>MAX(K357,IF(U357="FP",1,0))</f>
        <v/>
      </c>
      <c r="L358" s="26">
        <f>MAX(L357,IF(U357="transition",1,0))</f>
        <v/>
      </c>
      <c r="M358" s="28">
        <f>(Parameters!$B$9+(IF(E358=0,0,(Upgrades!$J$6+E358*Upgrades!$K$6)*POWER(Upgrades!$L$6,E358)))*(IF(Upgrades!$T$7="Solar Wind",POWER(Upgrades!$U$7,F358),1)*IF(Upgrades!$T$8="Solar Wind",POWER(Upgrades!$U$8,G358),1)*IF(Upgrades!$T$9="Solar Wind",POWER(Upgrades!$U$9,H358),1)*IF(Upgrades!$T$10="Solar Wind",POWER(Upgrades!$U$10,I358),1)*IF(Upgrades!$T$11="Solar Wind",POWER(Upgrades!$U$11,J358),1)*IF(Upgrades!$T$12="Solar Wind",POWER(Upgrades!$U$12,K358),1))+(IF(F358=0,0,(Upgrades!$J$7+F358*Upgrades!$K$7)*POWER(Upgrades!$L$7,F358)))*(IF(Upgrades!$T$6="Asteroid Belt",POWER(Upgrades!$U$6,E358),1)*IF(Upgrades!$T$8="Asteroid Belt",POWER(Upgrades!$U$8,G358),1)*IF(Upgrades!$T$9="Asteroid Belt",POWER(Upgrades!$U$9,H358),1)*IF(Upgrades!$T$10="Asteroid Belt",POWER(Upgrades!$U$10,I358),1)*IF(Upgrades!$T$11="Asteroid Belt",POWER(Upgrades!$U$11,J358),1)*IF(Upgrades!$T$12="Asteroid Belt",POWER(Upgrades!$U$12,K358),1))+(IF(G358=0,0,(Upgrades!$J$8+G358*Upgrades!$K$8)*POWER(Upgrades!$L$8,G358)))*(IF(Upgrades!$T$6="Stellar Coupling",POWER(Upgrades!$U$6,E358),1)*IF(Upgrades!$T$7="Stellar Coupling",POWER(Upgrades!$U$7,F358),1)*IF(Upgrades!$T$9="Stellar Coupling",POWER(Upgrades!$U$9,H358),1)*IF(Upgrades!$T$10="Stellar Coupling",POWER(Upgrades!$U$10,I358),1)*IF(Upgrades!$T$11="Stellar Coupling",POWER(Upgrades!$U$11,J358),1)*IF(Upgrades!$T$12="Stellar Coupling",POWER(Upgrades!$U$12,K358),1))+(IF(H358=0,0,(Upgrades!$J$9+H358*Upgrades!$K$9)*POWER(Upgrades!$L$9,H358)))*(IF(Upgrades!$T$6="Magnetosphere",POWER(Upgrades!$U$6,E358),1)*IF(Upgrades!$T$7="Magnetosphere",POWER(Upgrades!$U$7,F358),1)*IF(Upgrades!$T$8="Magnetosphere",POWER(Upgrades!$U$8,G358),1)*IF(Upgrades!$T$10="Magnetosphere",POWER(Upgrades!$U$10,I358),1)*IF(Upgrades!$T$11="Magnetosphere",POWER(Upgrades!$U$11,J358),1)*IF(Upgrades!$T$12="Magnetosphere",POWER(Upgrades!$U$12,K358),1))+(IF(I358=0,0,(Upgrades!$J$10+I358*Upgrades!$K$10)*POWER(Upgrades!$L$10,I358)))*(IF(Upgrades!$T$6="Orbital Resonance",POWER(Upgrades!$U$6,E358),1)*IF(Upgrades!$T$7="Orbital Resonance",POWER(Upgrades!$U$7,F358),1)*IF(Upgrades!$T$8="Orbital Resonance",POWER(Upgrades!$U$8,G358),1)*IF(Upgrades!$T$9="Orbital Resonance",POWER(Upgrades!$U$9,H358),1)*IF(Upgrades!$T$11="Orbital Resonance",POWER(Upgrades!$U$11,J358),1)*IF(Upgrades!$T$12="Orbital Resonance",POWER(Upgrades!$U$12,K358),1))+(IF(J358=0,0,(Upgrades!$J$11+J358*Upgrades!$K$11)*POWER(Upgrades!$L$11,J358)))*(IF(Upgrades!$T$6="Heliopause",POWER(Upgrades!$U$6,E358),1)*IF(Upgrades!$T$7="Heliopause",POWER(Upgrades!$U$7,F358),1)*IF(Upgrades!$T$8="Heliopause",POWER(Upgrades!$U$8,G358),1)*IF(Upgrades!$T$9="Heliopause",POWER(Upgrades!$U$9,H358),1)*IF(Upgrades!$T$10="Heliopause",POWER(Upgrades!$U$10,I358),1)*IF(Upgrades!$T$12="Heliopause",POWER(Upgrades!$U$12,K358),1))+(IF(K358=0,0,(Upgrades!$J$12+K358*Upgrades!$K$12)*POWER(Upgrades!$L$12,K358)))*(IF(Upgrades!$T$6="First Photons",POWER(Upgrades!$U$6,E358),1)*IF(Upgrades!$T$7="First Photons",POWER(Upgrades!$U$7,F358),1)*IF(Upgrades!$T$8="First Photons",POWER(Upgrades!$U$8,G358),1)*IF(Upgrades!$T$9="First Photons",POWER(Upgrades!$U$9,H358),1)*IF(Upgrades!$T$10="First Photons",POWER(Upgrades!$U$10,I358),1)*IF(Upgrades!$T$11="First Photons",POWER(Upgrades!$U$11,J358),1)))*POWER(Upgrades!$Q$6,E358)*POWER(Upgrades!$Q$7,F358)*POWER(Upgrades!$Q$8,G358)*POWER(Upgrades!$Q$9,H358)*POWER(Upgrades!$Q$10,I358)*POWER(Upgrades!$Q$11,J358)*POWER(Upgrades!$Q$12,K358)</f>
        <v/>
      </c>
      <c r="N358" s="28">
        <f>((IF(E358=0,0,(Upgrades!$G$6+E358*Upgrades!$H$6)*POWER(Upgrades!$I$6,E358)))*(IF(Upgrades!$T$7="Solar Wind",POWER(Upgrades!$U$7,F358),1)*IF(Upgrades!$T$8="Solar Wind",POWER(Upgrades!$U$8,G358),1)*IF(Upgrades!$T$9="Solar Wind",POWER(Upgrades!$U$9,H358),1)*IF(Upgrades!$T$10="Solar Wind",POWER(Upgrades!$U$10,I358),1)*IF(Upgrades!$T$11="Solar Wind",POWER(Upgrades!$U$11,J358),1)*IF(Upgrades!$T$12="Solar Wind",POWER(Upgrades!$U$12,K358),1))+(IF(F358=0,0,(Upgrades!$G$7+F358*Upgrades!$H$7)*POWER(Upgrades!$I$7,F358)))*(IF(Upgrades!$T$6="Asteroid Belt",POWER(Upgrades!$U$6,E358),1)*IF(Upgrades!$T$8="Asteroid Belt",POWER(Upgrades!$U$8,G358),1)*IF(Upgrades!$T$9="Asteroid Belt",POWER(Upgrades!$U$9,H358),1)*IF(Upgrades!$T$10="Asteroid Belt",POWER(Upgrades!$U$10,I358),1)*IF(Upgrades!$T$11="Asteroid Belt",POWER(Upgrades!$U$11,J358),1)*IF(Upgrades!$T$12="Asteroid Belt",POWER(Upgrades!$U$12,K358),1))+(IF(G358=0,0,(Upgrades!$G$8+G358*Upgrades!$H$8)*POWER(Upgrades!$I$8,G358)))*(IF(Upgrades!$T$6="Stellar Coupling",POWER(Upgrades!$U$6,E358),1)*IF(Upgrades!$T$7="Stellar Coupling",POWER(Upgrades!$U$7,F358),1)*IF(Upgrades!$T$9="Stellar Coupling",POWER(Upgrades!$U$9,H358),1)*IF(Upgrades!$T$10="Stellar Coupling",POWER(Upgrades!$U$10,I358),1)*IF(Upgrades!$T$11="Stellar Coupling",POWER(Upgrades!$U$11,J358),1)*IF(Upgrades!$T$12="Stellar Coupling",POWER(Upgrades!$U$12,K358),1))+(IF(H358=0,0,(Upgrades!$G$9+H358*Upgrades!$H$9)*POWER(Upgrades!$I$9,H358)))*(IF(Upgrades!$T$6="Magnetosphere",POWER(Upgrades!$U$6,E358),1)*IF(Upgrades!$T$7="Magnetosphere",POWER(Upgrades!$U$7,F358),1)*IF(Upgrades!$T$8="Magnetosphere",POWER(Upgrades!$U$8,G358),1)*IF(Upgrades!$T$10="Magnetosphere",POWER(Upgrades!$U$10,I358),1)*IF(Upgrades!$T$11="Magnetosphere",POWER(Upgrades!$U$11,J358),1)*IF(Upgrades!$T$12="Magnetosphere",POWER(Upgrades!$U$12,K358),1))+(IF(I358=0,0,(Upgrades!$G$10+I358*Upgrades!$H$10)*POWER(Upgrades!$I$10,I358)))*(IF(Upgrades!$T$6="Orbital Resonance",POWER(Upgrades!$U$6,E358),1)*IF(Upgrades!$T$7="Orbital Resonance",POWER(Upgrades!$U$7,F358),1)*IF(Upgrades!$T$8="Orbital Resonance",POWER(Upgrades!$U$8,G358),1)*IF(Upgrades!$T$9="Orbital Resonance",POWER(Upgrades!$U$9,H358),1)*IF(Upgrades!$T$11="Orbital Resonance",POWER(Upgrades!$U$11,J358),1)*IF(Upgrades!$T$12="Orbital Resonance",POWER(Upgrades!$U$12,K358),1))+(IF(J358=0,0,(Upgrades!$G$11+J358*Upgrades!$H$11)*POWER(Upgrades!$I$11,J358)))*(IF(Upgrades!$T$6="Heliopause",POWER(Upgrades!$U$6,E358),1)*IF(Upgrades!$T$7="Heliopause",POWER(Upgrades!$U$7,F358),1)*IF(Upgrades!$T$8="Heliopause",POWER(Upgrades!$U$8,G358),1)*IF(Upgrades!$T$9="Heliopause",POWER(Upgrades!$U$9,H358),1)*IF(Upgrades!$T$10="Heliopause",POWER(Upgrades!$U$10,I358),1)*IF(Upgrades!$T$12="Heliopause",POWER(Upgrades!$U$12,K358),1))+(IF(K358=0,0,(Upgrades!$G$12+K358*Upgrades!$H$12)*POWER(Upgrades!$I$12,K358)))*(IF(Upgrades!$T$6="First Photons",POWER(Upgrades!$U$6,E358),1)*IF(Upgrades!$T$7="First Photons",POWER(Upgrades!$U$7,F358),1)*IF(Upgrades!$T$8="First Photons",POWER(Upgrades!$U$8,G358),1)*IF(Upgrades!$T$9="First Photons",POWER(Upgrades!$U$9,H358),1)*IF(Upgrades!$T$10="First Photons",POWER(Upgrades!$U$10,I358),1)*IF(Upgrades!$T$11="First Photons",POWER(Upgrades!$U$11,J358),1)))*POWER(Upgrades!$P$6,E358)*POWER(Upgrades!$P$7,F358)*POWER(Upgrades!$P$8,G358)*POWER(Upgrades!$P$9,H358)*POWER(Upgrades!$P$10,I358)*POWER(Upgrades!$P$11,J358)*POWER(Upgrades!$P$12,K358)</f>
        <v/>
      </c>
      <c r="O358" s="28">
        <f>((IF(E358=0,0,(Upgrades!$M$6+E358*Upgrades!$N$6)*POWER(Upgrades!$O$6,E358)))*(IF(Upgrades!$T$7="Solar Wind",POWER(Upgrades!$U$7,F358),1)*IF(Upgrades!$T$8="Solar Wind",POWER(Upgrades!$U$8,G358),1)*IF(Upgrades!$T$9="Solar Wind",POWER(Upgrades!$U$9,H358),1)*IF(Upgrades!$T$10="Solar Wind",POWER(Upgrades!$U$10,I358),1)*IF(Upgrades!$T$11="Solar Wind",POWER(Upgrades!$U$11,J358),1)*IF(Upgrades!$T$12="Solar Wind",POWER(Upgrades!$U$12,K358),1))+(IF(F358=0,0,(Upgrades!$M$7+F358*Upgrades!$N$7)*POWER(Upgrades!$O$7,F358)))*(IF(Upgrades!$T$6="Asteroid Belt",POWER(Upgrades!$U$6,E358),1)*IF(Upgrades!$T$8="Asteroid Belt",POWER(Upgrades!$U$8,G358),1)*IF(Upgrades!$T$9="Asteroid Belt",POWER(Upgrades!$U$9,H358),1)*IF(Upgrades!$T$10="Asteroid Belt",POWER(Upgrades!$U$10,I358),1)*IF(Upgrades!$T$11="Asteroid Belt",POWER(Upgrades!$U$11,J358),1)*IF(Upgrades!$T$12="Asteroid Belt",POWER(Upgrades!$U$12,K358),1))+(IF(G358=0,0,(Upgrades!$M$8+G358*Upgrades!$N$8)*POWER(Upgrades!$O$8,G358)))*(IF(Upgrades!$T$6="Stellar Coupling",POWER(Upgrades!$U$6,E358),1)*IF(Upgrades!$T$7="Stellar Coupling",POWER(Upgrades!$U$7,F358),1)*IF(Upgrades!$T$9="Stellar Coupling",POWER(Upgrades!$U$9,H358),1)*IF(Upgrades!$T$10="Stellar Coupling",POWER(Upgrades!$U$10,I358),1)*IF(Upgrades!$T$11="Stellar Coupling",POWER(Upgrades!$U$11,J358),1)*IF(Upgrades!$T$12="Stellar Coupling",POWER(Upgrades!$U$12,K358),1))+(IF(H358=0,0,(Upgrades!$M$9+H358*Upgrades!$N$9)*POWER(Upgrades!$O$9,H358)))*(IF(Upgrades!$T$6="Magnetosphere",POWER(Upgrades!$U$6,E358),1)*IF(Upgrades!$T$7="Magnetosphere",POWER(Upgrades!$U$7,F358),1)*IF(Upgrades!$T$8="Magnetosphere",POWER(Upgrades!$U$8,G358),1)*IF(Upgrades!$T$10="Magnetosphere",POWER(Upgrades!$U$10,I358),1)*IF(Upgrades!$T$11="Magnetosphere",POWER(Upgrades!$U$11,J358),1)*IF(Upgrades!$T$12="Magnetosphere",POWER(Upgrades!$U$12,K358),1))+(IF(I358=0,0,(Upgrades!$M$10+I358*Upgrades!$N$10)*POWER(Upgrades!$O$10,I358)))*(IF(Upgrades!$T$6="Orbital Resonance",POWER(Upgrades!$U$6,E358),1)*IF(Upgrades!$T$7="Orbital Resonance",POWER(Upgrades!$U$7,F358),1)*IF(Upgrades!$T$8="Orbital Resonance",POWER(Upgrades!$U$8,G358),1)*IF(Upgrades!$T$9="Orbital Resonance",POWER(Upgrades!$U$9,H358),1)*IF(Upgrades!$T$11="Orbital Resonance",POWER(Upgrades!$U$11,J358),1)*IF(Upgrades!$T$12="Orbital Resonance",POWER(Upgrades!$U$12,K358),1))+(IF(J358=0,0,(Upgrades!$M$11+J358*Upgrades!$N$11)*POWER(Upgrades!$O$11,J358)))*(IF(Upgrades!$T$6="Heliopause",POWER(Upgrades!$U$6,E358),1)*IF(Upgrades!$T$7="Heliopause",POWER(Upgrades!$U$7,F358),1)*IF(Upgrades!$T$8="Heliopause",POWER(Upgrades!$U$8,G358),1)*IF(Upgrades!$T$9="Heliopause",POWER(Upgrades!$U$9,H358),1)*IF(Upgrades!$T$10="Heliopause",POWER(Upgrades!$U$10,I358),1)*IF(Upgrades!$T$12="Heliopause",POWER(Upgrades!$U$12,K358),1))+(IF(K358=0,0,(Upgrades!$M$12+K358*Upgrades!$N$12)*POWER(Upgrades!$O$12,K358)))*(IF(Upgrades!$T$6="First Photons",POWER(Upgrades!$U$6,E358),1)*IF(Upgrades!$T$7="First Photons",POWER(Upgrades!$U$7,F358),1)*IF(Upgrades!$T$8="First Photons",POWER(Upgrades!$U$8,G358),1)*IF(Upgrades!$T$9="First Photons",POWER(Upgrades!$U$9,H358),1)*IF(Upgrades!$T$10="First Photons",POWER(Upgrades!$U$10,I358),1)*IF(Upgrades!$T$11="First Photons",POWER(Upgrades!$U$11,J358),1)))*POWER(Upgrades!$R$6,E358)*POWER(Upgrades!$R$7,F358)*POWER(Upgrades!$R$8,G358)*POWER(Upgrades!$R$9,H358)*POWER(Upgrades!$R$10,I358)*POWER(Upgrades!$R$11,J358)*POWER(Upgrades!$R$12,K358)</f>
        <v/>
      </c>
      <c r="P358" s="27">
        <f>IF(L358=1,0,M358*Parameters!$B$10/60*Parameters!$B$11*10)</f>
        <v/>
      </c>
      <c r="Q358" s="27">
        <f>IF(L358=1,0,O358*M358*10)</f>
        <v/>
      </c>
      <c r="R358" s="27">
        <f>IF(L358=1,0,N358*10)</f>
        <v/>
      </c>
      <c r="S358" s="27">
        <f>P358+Q358+R358</f>
        <v/>
      </c>
      <c r="T358" s="22">
        <f>C358+S358</f>
        <v/>
      </c>
      <c r="U358" s="33">
        <f>AX358</f>
        <v/>
      </c>
      <c r="V358" s="22">
        <f>IF(U358="",0,IF(U358="transition",0,IF(U358="SW",AG358,IF(U358="AB",AH358,IF(U358="SC",AI358,IF(U358="Mag",AJ358,IF(U358="OR",AK358,IF(U358="HP",AL358,IF(U358="FP",AM358,0)))))))))</f>
        <v/>
      </c>
      <c r="W358" s="27">
        <f>IF(U358="OR",Upgrades!$F$10,IF(U358="HP",Upgrades!$F$11,IF(U358="transition",-Parameters!$B$18,0)))</f>
        <v/>
      </c>
      <c r="X358" s="22">
        <f>T358-V358</f>
        <v/>
      </c>
      <c r="Y358" s="30">
        <f>M358*Parameters!$B$10/60*Parameters!$B$11+O358*M358+N358</f>
        <v/>
      </c>
      <c r="Z358" s="34">
        <f>IF(U358="transition","→ Tier 2 (Stellar Neighborhood)",IF(U358="FP","First Photons — light begins, system quickens",IF(U358="HP","Heliopause acquired",IF(U358="OR","Orbital Resonance — passive multiplier active",IF(AND(AO358=1,L358=0,AN358&lt;&gt;1),"Cohesion ready (waiting on completionist upgrades)","")))))</f>
        <v/>
      </c>
      <c r="AA358" s="27">
        <f>(IF(E358=0,0,(Upgrades!$G$6+E358*Upgrades!$H$6)*POWER(Upgrades!$I$6,E358)))*(IF(Upgrades!$T$7="Solar Wind",POWER(Upgrades!$U$7,F358),1)*IF(Upgrades!$T$8="Solar Wind",POWER(Upgrades!$U$8,G358),1)*IF(Upgrades!$T$9="Solar Wind",POWER(Upgrades!$U$9,H358),1)*IF(Upgrades!$T$10="Solar Wind",POWER(Upgrades!$U$10,I358),1)*IF(Upgrades!$T$11="Solar Wind",POWER(Upgrades!$U$11,J358),1)*IF(Upgrades!$T$12="Solar Wind",POWER(Upgrades!$U$12,K358),1))*POWER(Upgrades!$P$6,E358)*POWER(Upgrades!$P$7,F358)*POWER(Upgrades!$P$8,G358)*POWER(Upgrades!$P$9,H358)*POWER(Upgrades!$P$10,I358)*POWER(Upgrades!$P$11,J358)*POWER(Upgrades!$P$12,K358)*60</f>
        <v/>
      </c>
      <c r="AB358" s="27">
        <f>(IF(F358=0,0,(Upgrades!$G$7+F358*Upgrades!$H$7)*POWER(Upgrades!$I$7,F358)))*(IF(Upgrades!$T$6="Asteroid Belt",POWER(Upgrades!$U$6,E358),1)*IF(Upgrades!$T$8="Asteroid Belt",POWER(Upgrades!$U$8,G358),1)*IF(Upgrades!$T$9="Asteroid Belt",POWER(Upgrades!$U$9,H358),1)*IF(Upgrades!$T$10="Asteroid Belt",POWER(Upgrades!$U$10,I358),1)*IF(Upgrades!$T$11="Asteroid Belt",POWER(Upgrades!$U$11,J358),1)*IF(Upgrades!$T$12="Asteroid Belt",POWER(Upgrades!$U$12,K358),1))*POWER(Upgrades!$P$6,E358)*POWER(Upgrades!$P$7,F358)*POWER(Upgrades!$P$8,G358)*POWER(Upgrades!$P$9,H358)*POWER(Upgrades!$P$10,I358)*POWER(Upgrades!$P$11,J358)*POWER(Upgrades!$P$12,K358)*60</f>
        <v/>
      </c>
      <c r="AC358" s="27">
        <f>(IF(G358=0,0,(Upgrades!$J$8+G358*Upgrades!$K$8)*POWER(Upgrades!$L$8,G358)))*(IF(Upgrades!$T$6="Stellar Coupling",POWER(Upgrades!$U$6,E358),1)*IF(Upgrades!$T$7="Stellar Coupling",POWER(Upgrades!$U$7,F358),1)*IF(Upgrades!$T$9="Stellar Coupling",POWER(Upgrades!$U$9,H358),1)*IF(Upgrades!$T$10="Stellar Coupling",POWER(Upgrades!$U$10,I358),1)*IF(Upgrades!$T$11="Stellar Coupling",POWER(Upgrades!$U$11,J358),1)*IF(Upgrades!$T$12="Stellar Coupling",POWER(Upgrades!$U$12,K358),1))*POWER(Upgrades!$Q$6,E358)*POWER(Upgrades!$Q$7,F358)*POWER(Upgrades!$Q$8,G358)*POWER(Upgrades!$Q$9,H358)*POWER(Upgrades!$Q$10,I358)*POWER(Upgrades!$Q$11,J358)*POWER(Upgrades!$Q$12,K358)*Parameters!$B$10*Parameters!$B$11</f>
        <v/>
      </c>
      <c r="AD358" s="27">
        <f>(IF(H358=0,0,(Upgrades!$G$9+H358*Upgrades!$H$9)*POWER(Upgrades!$I$9,H358)))*(IF(Upgrades!$T$6="Magnetosphere",POWER(Upgrades!$U$6,E358),1)*IF(Upgrades!$T$7="Magnetosphere",POWER(Upgrades!$U$7,F358),1)*IF(Upgrades!$T$8="Magnetosphere",POWER(Upgrades!$U$8,G358),1)*IF(Upgrades!$T$10="Magnetosphere",POWER(Upgrades!$U$10,I358),1)*IF(Upgrades!$T$11="Magnetosphere",POWER(Upgrades!$U$11,J358),1)*IF(Upgrades!$T$12="Magnetosphere",POWER(Upgrades!$U$12,K358),1))*POWER(Upgrades!$P$6,E358)*POWER(Upgrades!$P$7,F358)*POWER(Upgrades!$P$8,G358)*POWER(Upgrades!$P$9,H358)*POWER(Upgrades!$P$10,I358)*POWER(Upgrades!$P$11,J358)*POWER(Upgrades!$P$12,K358)*60</f>
        <v/>
      </c>
      <c r="AE358" s="27">
        <f>(IF(K358=0,0,(Upgrades!$G$12+K358*Upgrades!$H$12)*POWER(Upgrades!$I$12,K358)))*(IF(Upgrades!$T$6="First Photons",POWER(Upgrades!$U$6,E358),1)*IF(Upgrades!$T$7="First Photons",POWER(Upgrades!$U$7,F358),1)*IF(Upgrades!$T$8="First Photons",POWER(Upgrades!$U$8,G358),1)*IF(Upgrades!$T$9="First Photons",POWER(Upgrades!$U$9,H358),1)*IF(Upgrades!$T$10="First Photons",POWER(Upgrades!$U$10,I358),1)*IF(Upgrades!$T$11="First Photons",POWER(Upgrades!$U$11,J358),1))*POWER(Upgrades!$P$6,E358)*POWER(Upgrades!$P$7,F358)*POWER(Upgrades!$P$8,G358)*POWER(Upgrades!$P$9,H358)*POWER(Upgrades!$P$10,I358)*POWER(Upgrades!$P$11,J358)*POWER(Upgrades!$P$12,K358)*60</f>
        <v/>
      </c>
      <c r="AF358" s="27">
        <f>Parameters!$B$9*POWER(Upgrades!$Q$6,E358)*POWER(Upgrades!$Q$7,F358)*POWER(Upgrades!$Q$8,G358)*POWER(Upgrades!$Q$9,H358)*POWER(Upgrades!$Q$10,I358)*POWER(Upgrades!$Q$11,J358)*POWER(Upgrades!$Q$12,K358)*(Parameters!$B$10*Parameters!$B$11+O358*60)</f>
        <v/>
      </c>
      <c r="AG358" s="22">
        <f>IF(E358&gt;=Upgrades!$E$6,"",Upgrades!$C$6*POWER(Upgrades!$D$6,E358))</f>
        <v/>
      </c>
      <c r="AH358" s="22">
        <f>IF(F358&gt;=Upgrades!$E$7,"",Upgrades!$C$7*POWER(Upgrades!$D$7,F358))</f>
        <v/>
      </c>
      <c r="AI358" s="22">
        <f>IF(G358&gt;=Upgrades!$E$8,"",Upgrades!$C$8*POWER(Upgrades!$D$8,G358))</f>
        <v/>
      </c>
      <c r="AJ358" s="22">
        <f>IF(H358&gt;=Upgrades!$E$9,"",Upgrades!$C$9*POWER(Upgrades!$D$9,H358))</f>
        <v/>
      </c>
      <c r="AK358" s="22">
        <f>IF(I358&gt;=Upgrades!$E$10,"",Upgrades!$C$10*POWER(Upgrades!$D$10,I358))</f>
        <v/>
      </c>
      <c r="AL358" s="22">
        <f>IF(J358&gt;=Upgrades!$E$11,"",Upgrades!$C$11*POWER(Upgrades!$D$11,J358))</f>
        <v/>
      </c>
      <c r="AM358" s="22">
        <f>IF(K358&gt;=Upgrades!$E$12,"",Upgrades!$C$12*POWER(Upgrades!$D$12,K358))</f>
        <v/>
      </c>
      <c r="AN358" s="26">
        <f>IF(AND(D358&gt;=Parameters!$B$18,(H358&gt;=Upgrades!$E$9)*(K358&gt;=Upgrades!$E$12)=1,L358=0),1,"")</f>
        <v/>
      </c>
      <c r="AO358" s="26">
        <f>IF(AND(D358&gt;=Parameters!$B$18,L358=0),1,"")</f>
        <v/>
      </c>
      <c r="AP358" s="22">
        <f>MIN(IF(ISNUMBER(AK358),AK358,9E15),IF(ISNUMBER(AL358),AL358,9E15),IF(ISNUMBER(AM358),AM358,9E15))</f>
        <v/>
      </c>
      <c r="AQ358" s="22">
        <f>MIN(IF(ISNUMBER(AG358),AG358,9E15),IF(ISNUMBER(AH358),AH358,9E15),IF(ISNUMBER(AI358),AI358,9E15),IF(ISNUMBER(AJ358),AJ358,9E15))</f>
        <v/>
      </c>
      <c r="AR358" s="29">
        <f>IF(AW358&gt;Parameters!$B$21*(MAX(IF(AND(NOT(AND(AO358=1,AN358&lt;&gt;1)),ISNUMBER(AG358),AG358&lt;=T358),AS358,0),IF(AND(NOT(AND(AO358=1,AN358&lt;&gt;1)),ISNUMBER(AH358),AH358&lt;=T358),AT358,0),IF(AND(NOT(AND(AO358=1,AN358&lt;&gt;1)),ISNUMBER(AI358),AI358&lt;=T358),AU358,0),IF(AND(ISNUMBER(AJ358),AJ358&lt;=T358),AV358,0))),TRUE,FALSE)</f>
        <v/>
      </c>
      <c r="AS358" s="32">
        <f>IFERROR(Upgrades!$H$6*(POWER(Upgrades!$P$6,E358)*POWER(Upgrades!$P$7,F358)*POWER(Upgrades!$P$8,G358)*POWER(Upgrades!$P$9,H358)*POWER(Upgrades!$P$10,I358)*POWER(Upgrades!$P$11,J358)*POWER(Upgrades!$P$12,K358))*(IF(Upgrades!$T$7="Solar Wind",POWER(Upgrades!$U$7,F358),1)*IF(Upgrades!$T$8="Solar Wind",POWER(Upgrades!$U$8,G358),1)*IF(Upgrades!$T$9="Solar Wind",POWER(Upgrades!$U$9,H358),1)*IF(Upgrades!$T$10="Solar Wind",POWER(Upgrades!$U$10,I358),1)*IF(Upgrades!$T$11="Solar Wind",POWER(Upgrades!$U$11,J358),1)*IF(Upgrades!$T$12="Solar Wind",POWER(Upgrades!$U$12,K358),1))/AG358,0)</f>
        <v/>
      </c>
      <c r="AT358" s="32">
        <f>IFERROR(Upgrades!$H$7*(POWER(Upgrades!$P$6,E358)*POWER(Upgrades!$P$7,F358)*POWER(Upgrades!$P$8,G358)*POWER(Upgrades!$P$9,H358)*POWER(Upgrades!$P$10,I358)*POWER(Upgrades!$P$11,J358)*POWER(Upgrades!$P$12,K358))*(IF(Upgrades!$T$6="Asteroid Belt",POWER(Upgrades!$U$6,E358),1)*IF(Upgrades!$T$8="Asteroid Belt",POWER(Upgrades!$U$8,G358),1)*IF(Upgrades!$T$9="Asteroid Belt",POWER(Upgrades!$U$9,H358),1)*IF(Upgrades!$T$10="Asteroid Belt",POWER(Upgrades!$U$10,I358),1)*IF(Upgrades!$T$11="Asteroid Belt",POWER(Upgrades!$U$11,J358),1)*IF(Upgrades!$T$12="Asteroid Belt",POWER(Upgrades!$U$12,K358),1))/AH358,0)</f>
        <v/>
      </c>
      <c r="AU358" s="32">
        <f>IFERROR(Upgrades!$K$8*(POWER(Upgrades!$Q$6,E358)*POWER(Upgrades!$Q$7,F358)*POWER(Upgrades!$Q$8,G358)*POWER(Upgrades!$Q$9,H358)*POWER(Upgrades!$Q$10,I358)*POWER(Upgrades!$Q$11,J358)*POWER(Upgrades!$Q$12,K358))*(IF(Upgrades!$T$6="Stellar Coupling",POWER(Upgrades!$U$6,E358),1)*IF(Upgrades!$T$7="Stellar Coupling",POWER(Upgrades!$U$7,F358),1)*IF(Upgrades!$T$9="Stellar Coupling",POWER(Upgrades!$U$9,H358),1)*IF(Upgrades!$T$10="Stellar Coupling",POWER(Upgrades!$U$10,I358),1)*IF(Upgrades!$T$11="Stellar Coupling",POWER(Upgrades!$U$11,J358),1)*IF(Upgrades!$T$12="Stellar Coupling",POWER(Upgrades!$U$12,K358),1))*Parameters!$B$10*Parameters!$B$11/60/AI358,0)</f>
        <v/>
      </c>
      <c r="AV358" s="32">
        <f>IFERROR(Upgrades!$H$9*(POWER(Upgrades!$P$6,E358)*POWER(Upgrades!$P$7,F358)*POWER(Upgrades!$P$8,G358)*POWER(Upgrades!$P$9,H358)*POWER(Upgrades!$P$10,I358)*POWER(Upgrades!$P$11,J358)*POWER(Upgrades!$P$12,K358))*(IF(Upgrades!$T$6="Magnetosphere",POWER(Upgrades!$U$6,E358),1)*IF(Upgrades!$T$7="Magnetosphere",POWER(Upgrades!$U$7,F358),1)*IF(Upgrades!$T$8="Magnetosphere",POWER(Upgrades!$U$8,G358),1)*IF(Upgrades!$T$10="Magnetosphere",POWER(Upgrades!$U$10,I358),1)*IF(Upgrades!$T$11="Magnetosphere",POWER(Upgrades!$U$11,J358),1)*IF(Upgrades!$T$12="Magnetosphere",POWER(Upgrades!$U$12,K358),1))/AJ358,0)</f>
        <v/>
      </c>
      <c r="AW358" s="32">
        <f>MAX(IF(I358&gt;0,0,IFERROR(0.25*N358/Upgrades!$C$10,0)),IF(J358&gt;0,0,IFERROR(0.5*((IF(G358=0,0,(Upgrades!$J$8+G358*Upgrades!$K$8)*POWER(Upgrades!$L$8,G358)))*(IF(Upgrades!$T$6="Stellar Coupling",POWER(Upgrades!$U$6,E358),1)*IF(Upgrades!$T$7="Stellar Coupling",POWER(Upgrades!$U$7,F358),1)*IF(Upgrades!$T$9="Stellar Coupling",POWER(Upgrades!$U$9,H358),1)*IF(Upgrades!$T$10="Stellar Coupling",POWER(Upgrades!$U$10,I358),1)*IF(Upgrades!$T$11="Stellar Coupling",POWER(Upgrades!$U$11,J358),1)*IF(Upgrades!$T$12="Stellar Coupling",POWER(Upgrades!$U$12,K358),1))*(POWER(Upgrades!$Q$6,E358)*POWER(Upgrades!$Q$7,F358)*POWER(Upgrades!$Q$8,G358)*POWER(Upgrades!$Q$9,H358)*POWER(Upgrades!$Q$10,I358)*POWER(Upgrades!$Q$11,J358)*POWER(Upgrades!$Q$12,K358))*Parameters!$B$10*Parameters!$B$11/60)/Upgrades!$C$11,0)),IF(K358&gt;0,0,IFERROR((1.0*(POWER(Upgrades!$P$6,E358)*POWER(Upgrades!$P$7,F358)*POWER(Upgrades!$P$8,G358)*POWER(Upgrades!$P$9,H358)*POWER(Upgrades!$P$10,I358)*POWER(Upgrades!$P$11,J358)*POWER(Upgrades!$P$12,K358))+0.20*M358*Parameters!$B$10*Parameters!$B$11/60)/Upgrades!$C$12,0)),IF(AND(ISNUMBER(AG358),AG358&gt;T358),AS358,0),IF(AND(ISNUMBER(AH358),AH358&gt;T358),AT358,0),IF(AND(ISNUMBER(AI358),AI358&gt;T358),AU358,0),IF(AND(ISNUMBER(AJ358),AJ358&gt;T358),AV358,0))</f>
        <v/>
      </c>
      <c r="AX358" s="29">
        <f>IF(AN358=1,"transition",IF(MIN(IF(AND(I358=0,ISNUMBER(AK358),AK358&lt;=T358),AK358,9E15),IF(AND(J358=0,ISNUMBER(AL358),AL358&lt;=T358),AL358,9E15),IF(AND(K358=0,ISNUMBER(AM358),AM358&lt;=T358),AM358,9E15))&lt;9E15,IF(AND(AND(I358=0,ISNUMBER(AK358),AK358&lt;=T358),AK358=MIN(IF(AND(I358=0,ISNUMBER(AK358),AK358&lt;=T358),AK358,9E15),IF(AND(J358=0,ISNUMBER(AL358),AL358&lt;=T358),AL358,9E15),IF(AND(K358=0,ISNUMBER(AM358),AM358&lt;=T358),AM358,9E15))),"OR",IF(AND(AND(J358=0,ISNUMBER(AL358),AL358&lt;=T358),AL358=MIN(IF(AND(I358=0,ISNUMBER(AK358),AK358&lt;=T358),AK358,9E15),IF(AND(J358=0,ISNUMBER(AL358),AL358&lt;=T358),AL358,9E15),IF(AND(K358=0,ISNUMBER(AM358),AM358&lt;=T358),AM358,9E15))),"HP","FP")),IF(AR358=TRUE,"",IF(MAX(IF(AND(NOT(AND(AO358=1,AN358&lt;&gt;1)),ISNUMBER(AG358),AG358&lt;=T358),AS358,0),IF(AND(NOT(AND(AO358=1,AN358&lt;&gt;1)),ISNUMBER(AH358),AH358&lt;=T358),AT358,0),IF(AND(NOT(AND(AO358=1,AN358&lt;&gt;1)),ISNUMBER(AI358),AI358&lt;=T358),AU358,0),IF(AND(ISNUMBER(AJ358),AJ358&lt;=T358),AV358,0))&lt;=0,"",IF(AND(IF(AND(NOT(AND(AO358=1,AN358&lt;&gt;1)),ISNUMBER(AG358),AG358&lt;=T358),AS358,0)&gt;0,IF(AND(NOT(AND(AO358=1,AN358&lt;&gt;1)),ISNUMBER(AG358),AG358&lt;=T358),AS358,0)=MAX(IF(AND(NOT(AND(AO358=1,AN358&lt;&gt;1)),ISNUMBER(AG358),AG358&lt;=T358),AS358,0),IF(AND(NOT(AND(AO358=1,AN358&lt;&gt;1)),ISNUMBER(AH358),AH358&lt;=T358),AT358,0),IF(AND(NOT(AND(AO358=1,AN358&lt;&gt;1)),ISNUMBER(AI358),AI358&lt;=T358),AU358,0),IF(AND(ISNUMBER(AJ358),AJ358&lt;=T358),AV358,0))),"SW",IF(AND(IF(AND(NOT(AND(AO358=1,AN358&lt;&gt;1)),ISNUMBER(AH358),AH358&lt;=T358),AT358,0)&gt;0,IF(AND(NOT(AND(AO358=1,AN358&lt;&gt;1)),ISNUMBER(AH358),AH358&lt;=T358),AT358,0)=MAX(IF(AND(NOT(AND(AO358=1,AN358&lt;&gt;1)),ISNUMBER(AG358),AG358&lt;=T358),AS358,0),IF(AND(NOT(AND(AO358=1,AN358&lt;&gt;1)),ISNUMBER(AH358),AH358&lt;=T358),AT358,0),IF(AND(NOT(AND(AO358=1,AN358&lt;&gt;1)),ISNUMBER(AI358),AI358&lt;=T358),AU358,0),IF(AND(ISNUMBER(AJ358),AJ358&lt;=T358),AV358,0))),"AB",IF(AND(IF(AND(NOT(AND(AO358=1,AN358&lt;&gt;1)),ISNUMBER(AI358),AI358&lt;=T358),AU358,0)&gt;0,IF(AND(NOT(AND(AO358=1,AN358&lt;&gt;1)),ISNUMBER(AI358),AI358&lt;=T358),AU358,0)=MAX(IF(AND(NOT(AND(AO358=1,AN358&lt;&gt;1)),ISNUMBER(AG358),AG358&lt;=T358),AS358,0),IF(AND(NOT(AND(AO358=1,AN358&lt;&gt;1)),ISNUMBER(AH358),AH358&lt;=T358),AT358,0),IF(AND(NOT(AND(AO358=1,AN358&lt;&gt;1)),ISNUMBER(AI358),AI358&lt;=T358),AU358,0),IF(AND(ISNUMBER(AJ358),AJ358&lt;=T358),AV358,0))),"SC","Mag")))))))</f>
        <v/>
      </c>
    </row>
    <row r="359">
      <c r="A359" s="26" t="n">
        <v>354</v>
      </c>
      <c r="B359" s="27">
        <f>A359*10/60</f>
        <v/>
      </c>
      <c r="C359" s="22">
        <f>X358</f>
        <v/>
      </c>
      <c r="D359" s="27">
        <f>D358+W358</f>
        <v/>
      </c>
      <c r="E359" s="26">
        <f>E358+IF(U358="SW",1,0)</f>
        <v/>
      </c>
      <c r="F359" s="26">
        <f>F358+IF(U358="AB",1,0)</f>
        <v/>
      </c>
      <c r="G359" s="26">
        <f>G358+IF(U358="SC",1,0)</f>
        <v/>
      </c>
      <c r="H359" s="26">
        <f>H358+IF(U358="Mag",1,0)</f>
        <v/>
      </c>
      <c r="I359" s="26">
        <f>MAX(I358,IF(U358="OR",1,0))</f>
        <v/>
      </c>
      <c r="J359" s="26">
        <f>MAX(J358,IF(U358="HP",1,0))</f>
        <v/>
      </c>
      <c r="K359" s="26">
        <f>MAX(K358,IF(U358="FP",1,0))</f>
        <v/>
      </c>
      <c r="L359" s="26">
        <f>MAX(L358,IF(U358="transition",1,0))</f>
        <v/>
      </c>
      <c r="M359" s="28">
        <f>(Parameters!$B$9+(IF(E359=0,0,(Upgrades!$J$6+E359*Upgrades!$K$6)*POWER(Upgrades!$L$6,E359)))*(IF(Upgrades!$T$7="Solar Wind",POWER(Upgrades!$U$7,F359),1)*IF(Upgrades!$T$8="Solar Wind",POWER(Upgrades!$U$8,G359),1)*IF(Upgrades!$T$9="Solar Wind",POWER(Upgrades!$U$9,H359),1)*IF(Upgrades!$T$10="Solar Wind",POWER(Upgrades!$U$10,I359),1)*IF(Upgrades!$T$11="Solar Wind",POWER(Upgrades!$U$11,J359),1)*IF(Upgrades!$T$12="Solar Wind",POWER(Upgrades!$U$12,K359),1))+(IF(F359=0,0,(Upgrades!$J$7+F359*Upgrades!$K$7)*POWER(Upgrades!$L$7,F359)))*(IF(Upgrades!$T$6="Asteroid Belt",POWER(Upgrades!$U$6,E359),1)*IF(Upgrades!$T$8="Asteroid Belt",POWER(Upgrades!$U$8,G359),1)*IF(Upgrades!$T$9="Asteroid Belt",POWER(Upgrades!$U$9,H359),1)*IF(Upgrades!$T$10="Asteroid Belt",POWER(Upgrades!$U$10,I359),1)*IF(Upgrades!$T$11="Asteroid Belt",POWER(Upgrades!$U$11,J359),1)*IF(Upgrades!$T$12="Asteroid Belt",POWER(Upgrades!$U$12,K359),1))+(IF(G359=0,0,(Upgrades!$J$8+G359*Upgrades!$K$8)*POWER(Upgrades!$L$8,G359)))*(IF(Upgrades!$T$6="Stellar Coupling",POWER(Upgrades!$U$6,E359),1)*IF(Upgrades!$T$7="Stellar Coupling",POWER(Upgrades!$U$7,F359),1)*IF(Upgrades!$T$9="Stellar Coupling",POWER(Upgrades!$U$9,H359),1)*IF(Upgrades!$T$10="Stellar Coupling",POWER(Upgrades!$U$10,I359),1)*IF(Upgrades!$T$11="Stellar Coupling",POWER(Upgrades!$U$11,J359),1)*IF(Upgrades!$T$12="Stellar Coupling",POWER(Upgrades!$U$12,K359),1))+(IF(H359=0,0,(Upgrades!$J$9+H359*Upgrades!$K$9)*POWER(Upgrades!$L$9,H359)))*(IF(Upgrades!$T$6="Magnetosphere",POWER(Upgrades!$U$6,E359),1)*IF(Upgrades!$T$7="Magnetosphere",POWER(Upgrades!$U$7,F359),1)*IF(Upgrades!$T$8="Magnetosphere",POWER(Upgrades!$U$8,G359),1)*IF(Upgrades!$T$10="Magnetosphere",POWER(Upgrades!$U$10,I359),1)*IF(Upgrades!$T$11="Magnetosphere",POWER(Upgrades!$U$11,J359),1)*IF(Upgrades!$T$12="Magnetosphere",POWER(Upgrades!$U$12,K359),1))+(IF(I359=0,0,(Upgrades!$J$10+I359*Upgrades!$K$10)*POWER(Upgrades!$L$10,I359)))*(IF(Upgrades!$T$6="Orbital Resonance",POWER(Upgrades!$U$6,E359),1)*IF(Upgrades!$T$7="Orbital Resonance",POWER(Upgrades!$U$7,F359),1)*IF(Upgrades!$T$8="Orbital Resonance",POWER(Upgrades!$U$8,G359),1)*IF(Upgrades!$T$9="Orbital Resonance",POWER(Upgrades!$U$9,H359),1)*IF(Upgrades!$T$11="Orbital Resonance",POWER(Upgrades!$U$11,J359),1)*IF(Upgrades!$T$12="Orbital Resonance",POWER(Upgrades!$U$12,K359),1))+(IF(J359=0,0,(Upgrades!$J$11+J359*Upgrades!$K$11)*POWER(Upgrades!$L$11,J359)))*(IF(Upgrades!$T$6="Heliopause",POWER(Upgrades!$U$6,E359),1)*IF(Upgrades!$T$7="Heliopause",POWER(Upgrades!$U$7,F359),1)*IF(Upgrades!$T$8="Heliopause",POWER(Upgrades!$U$8,G359),1)*IF(Upgrades!$T$9="Heliopause",POWER(Upgrades!$U$9,H359),1)*IF(Upgrades!$T$10="Heliopause",POWER(Upgrades!$U$10,I359),1)*IF(Upgrades!$T$12="Heliopause",POWER(Upgrades!$U$12,K359),1))+(IF(K359=0,0,(Upgrades!$J$12+K359*Upgrades!$K$12)*POWER(Upgrades!$L$12,K359)))*(IF(Upgrades!$T$6="First Photons",POWER(Upgrades!$U$6,E359),1)*IF(Upgrades!$T$7="First Photons",POWER(Upgrades!$U$7,F359),1)*IF(Upgrades!$T$8="First Photons",POWER(Upgrades!$U$8,G359),1)*IF(Upgrades!$T$9="First Photons",POWER(Upgrades!$U$9,H359),1)*IF(Upgrades!$T$10="First Photons",POWER(Upgrades!$U$10,I359),1)*IF(Upgrades!$T$11="First Photons",POWER(Upgrades!$U$11,J359),1)))*POWER(Upgrades!$Q$6,E359)*POWER(Upgrades!$Q$7,F359)*POWER(Upgrades!$Q$8,G359)*POWER(Upgrades!$Q$9,H359)*POWER(Upgrades!$Q$10,I359)*POWER(Upgrades!$Q$11,J359)*POWER(Upgrades!$Q$12,K359)</f>
        <v/>
      </c>
      <c r="N359" s="28">
        <f>((IF(E359=0,0,(Upgrades!$G$6+E359*Upgrades!$H$6)*POWER(Upgrades!$I$6,E359)))*(IF(Upgrades!$T$7="Solar Wind",POWER(Upgrades!$U$7,F359),1)*IF(Upgrades!$T$8="Solar Wind",POWER(Upgrades!$U$8,G359),1)*IF(Upgrades!$T$9="Solar Wind",POWER(Upgrades!$U$9,H359),1)*IF(Upgrades!$T$10="Solar Wind",POWER(Upgrades!$U$10,I359),1)*IF(Upgrades!$T$11="Solar Wind",POWER(Upgrades!$U$11,J359),1)*IF(Upgrades!$T$12="Solar Wind",POWER(Upgrades!$U$12,K359),1))+(IF(F359=0,0,(Upgrades!$G$7+F359*Upgrades!$H$7)*POWER(Upgrades!$I$7,F359)))*(IF(Upgrades!$T$6="Asteroid Belt",POWER(Upgrades!$U$6,E359),1)*IF(Upgrades!$T$8="Asteroid Belt",POWER(Upgrades!$U$8,G359),1)*IF(Upgrades!$T$9="Asteroid Belt",POWER(Upgrades!$U$9,H359),1)*IF(Upgrades!$T$10="Asteroid Belt",POWER(Upgrades!$U$10,I359),1)*IF(Upgrades!$T$11="Asteroid Belt",POWER(Upgrades!$U$11,J359),1)*IF(Upgrades!$T$12="Asteroid Belt",POWER(Upgrades!$U$12,K359),1))+(IF(G359=0,0,(Upgrades!$G$8+G359*Upgrades!$H$8)*POWER(Upgrades!$I$8,G359)))*(IF(Upgrades!$T$6="Stellar Coupling",POWER(Upgrades!$U$6,E359),1)*IF(Upgrades!$T$7="Stellar Coupling",POWER(Upgrades!$U$7,F359),1)*IF(Upgrades!$T$9="Stellar Coupling",POWER(Upgrades!$U$9,H359),1)*IF(Upgrades!$T$10="Stellar Coupling",POWER(Upgrades!$U$10,I359),1)*IF(Upgrades!$T$11="Stellar Coupling",POWER(Upgrades!$U$11,J359),1)*IF(Upgrades!$T$12="Stellar Coupling",POWER(Upgrades!$U$12,K359),1))+(IF(H359=0,0,(Upgrades!$G$9+H359*Upgrades!$H$9)*POWER(Upgrades!$I$9,H359)))*(IF(Upgrades!$T$6="Magnetosphere",POWER(Upgrades!$U$6,E359),1)*IF(Upgrades!$T$7="Magnetosphere",POWER(Upgrades!$U$7,F359),1)*IF(Upgrades!$T$8="Magnetosphere",POWER(Upgrades!$U$8,G359),1)*IF(Upgrades!$T$10="Magnetosphere",POWER(Upgrades!$U$10,I359),1)*IF(Upgrades!$T$11="Magnetosphere",POWER(Upgrades!$U$11,J359),1)*IF(Upgrades!$T$12="Magnetosphere",POWER(Upgrades!$U$12,K359),1))+(IF(I359=0,0,(Upgrades!$G$10+I359*Upgrades!$H$10)*POWER(Upgrades!$I$10,I359)))*(IF(Upgrades!$T$6="Orbital Resonance",POWER(Upgrades!$U$6,E359),1)*IF(Upgrades!$T$7="Orbital Resonance",POWER(Upgrades!$U$7,F359),1)*IF(Upgrades!$T$8="Orbital Resonance",POWER(Upgrades!$U$8,G359),1)*IF(Upgrades!$T$9="Orbital Resonance",POWER(Upgrades!$U$9,H359),1)*IF(Upgrades!$T$11="Orbital Resonance",POWER(Upgrades!$U$11,J359),1)*IF(Upgrades!$T$12="Orbital Resonance",POWER(Upgrades!$U$12,K359),1))+(IF(J359=0,0,(Upgrades!$G$11+J359*Upgrades!$H$11)*POWER(Upgrades!$I$11,J359)))*(IF(Upgrades!$T$6="Heliopause",POWER(Upgrades!$U$6,E359),1)*IF(Upgrades!$T$7="Heliopause",POWER(Upgrades!$U$7,F359),1)*IF(Upgrades!$T$8="Heliopause",POWER(Upgrades!$U$8,G359),1)*IF(Upgrades!$T$9="Heliopause",POWER(Upgrades!$U$9,H359),1)*IF(Upgrades!$T$10="Heliopause",POWER(Upgrades!$U$10,I359),1)*IF(Upgrades!$T$12="Heliopause",POWER(Upgrades!$U$12,K359),1))+(IF(K359=0,0,(Upgrades!$G$12+K359*Upgrades!$H$12)*POWER(Upgrades!$I$12,K359)))*(IF(Upgrades!$T$6="First Photons",POWER(Upgrades!$U$6,E359),1)*IF(Upgrades!$T$7="First Photons",POWER(Upgrades!$U$7,F359),1)*IF(Upgrades!$T$8="First Photons",POWER(Upgrades!$U$8,G359),1)*IF(Upgrades!$T$9="First Photons",POWER(Upgrades!$U$9,H359),1)*IF(Upgrades!$T$10="First Photons",POWER(Upgrades!$U$10,I359),1)*IF(Upgrades!$T$11="First Photons",POWER(Upgrades!$U$11,J359),1)))*POWER(Upgrades!$P$6,E359)*POWER(Upgrades!$P$7,F359)*POWER(Upgrades!$P$8,G359)*POWER(Upgrades!$P$9,H359)*POWER(Upgrades!$P$10,I359)*POWER(Upgrades!$P$11,J359)*POWER(Upgrades!$P$12,K359)</f>
        <v/>
      </c>
      <c r="O359" s="28">
        <f>((IF(E359=0,0,(Upgrades!$M$6+E359*Upgrades!$N$6)*POWER(Upgrades!$O$6,E359)))*(IF(Upgrades!$T$7="Solar Wind",POWER(Upgrades!$U$7,F359),1)*IF(Upgrades!$T$8="Solar Wind",POWER(Upgrades!$U$8,G359),1)*IF(Upgrades!$T$9="Solar Wind",POWER(Upgrades!$U$9,H359),1)*IF(Upgrades!$T$10="Solar Wind",POWER(Upgrades!$U$10,I359),1)*IF(Upgrades!$T$11="Solar Wind",POWER(Upgrades!$U$11,J359),1)*IF(Upgrades!$T$12="Solar Wind",POWER(Upgrades!$U$12,K359),1))+(IF(F359=0,0,(Upgrades!$M$7+F359*Upgrades!$N$7)*POWER(Upgrades!$O$7,F359)))*(IF(Upgrades!$T$6="Asteroid Belt",POWER(Upgrades!$U$6,E359),1)*IF(Upgrades!$T$8="Asteroid Belt",POWER(Upgrades!$U$8,G359),1)*IF(Upgrades!$T$9="Asteroid Belt",POWER(Upgrades!$U$9,H359),1)*IF(Upgrades!$T$10="Asteroid Belt",POWER(Upgrades!$U$10,I359),1)*IF(Upgrades!$T$11="Asteroid Belt",POWER(Upgrades!$U$11,J359),1)*IF(Upgrades!$T$12="Asteroid Belt",POWER(Upgrades!$U$12,K359),1))+(IF(G359=0,0,(Upgrades!$M$8+G359*Upgrades!$N$8)*POWER(Upgrades!$O$8,G359)))*(IF(Upgrades!$T$6="Stellar Coupling",POWER(Upgrades!$U$6,E359),1)*IF(Upgrades!$T$7="Stellar Coupling",POWER(Upgrades!$U$7,F359),1)*IF(Upgrades!$T$9="Stellar Coupling",POWER(Upgrades!$U$9,H359),1)*IF(Upgrades!$T$10="Stellar Coupling",POWER(Upgrades!$U$10,I359),1)*IF(Upgrades!$T$11="Stellar Coupling",POWER(Upgrades!$U$11,J359),1)*IF(Upgrades!$T$12="Stellar Coupling",POWER(Upgrades!$U$12,K359),1))+(IF(H359=0,0,(Upgrades!$M$9+H359*Upgrades!$N$9)*POWER(Upgrades!$O$9,H359)))*(IF(Upgrades!$T$6="Magnetosphere",POWER(Upgrades!$U$6,E359),1)*IF(Upgrades!$T$7="Magnetosphere",POWER(Upgrades!$U$7,F359),1)*IF(Upgrades!$T$8="Magnetosphere",POWER(Upgrades!$U$8,G359),1)*IF(Upgrades!$T$10="Magnetosphere",POWER(Upgrades!$U$10,I359),1)*IF(Upgrades!$T$11="Magnetosphere",POWER(Upgrades!$U$11,J359),1)*IF(Upgrades!$T$12="Magnetosphere",POWER(Upgrades!$U$12,K359),1))+(IF(I359=0,0,(Upgrades!$M$10+I359*Upgrades!$N$10)*POWER(Upgrades!$O$10,I359)))*(IF(Upgrades!$T$6="Orbital Resonance",POWER(Upgrades!$U$6,E359),1)*IF(Upgrades!$T$7="Orbital Resonance",POWER(Upgrades!$U$7,F359),1)*IF(Upgrades!$T$8="Orbital Resonance",POWER(Upgrades!$U$8,G359),1)*IF(Upgrades!$T$9="Orbital Resonance",POWER(Upgrades!$U$9,H359),1)*IF(Upgrades!$T$11="Orbital Resonance",POWER(Upgrades!$U$11,J359),1)*IF(Upgrades!$T$12="Orbital Resonance",POWER(Upgrades!$U$12,K359),1))+(IF(J359=0,0,(Upgrades!$M$11+J359*Upgrades!$N$11)*POWER(Upgrades!$O$11,J359)))*(IF(Upgrades!$T$6="Heliopause",POWER(Upgrades!$U$6,E359),1)*IF(Upgrades!$T$7="Heliopause",POWER(Upgrades!$U$7,F359),1)*IF(Upgrades!$T$8="Heliopause",POWER(Upgrades!$U$8,G359),1)*IF(Upgrades!$T$9="Heliopause",POWER(Upgrades!$U$9,H359),1)*IF(Upgrades!$T$10="Heliopause",POWER(Upgrades!$U$10,I359),1)*IF(Upgrades!$T$12="Heliopause",POWER(Upgrades!$U$12,K359),1))+(IF(K359=0,0,(Upgrades!$M$12+K359*Upgrades!$N$12)*POWER(Upgrades!$O$12,K359)))*(IF(Upgrades!$T$6="First Photons",POWER(Upgrades!$U$6,E359),1)*IF(Upgrades!$T$7="First Photons",POWER(Upgrades!$U$7,F359),1)*IF(Upgrades!$T$8="First Photons",POWER(Upgrades!$U$8,G359),1)*IF(Upgrades!$T$9="First Photons",POWER(Upgrades!$U$9,H359),1)*IF(Upgrades!$T$10="First Photons",POWER(Upgrades!$U$10,I359),1)*IF(Upgrades!$T$11="First Photons",POWER(Upgrades!$U$11,J359),1)))*POWER(Upgrades!$R$6,E359)*POWER(Upgrades!$R$7,F359)*POWER(Upgrades!$R$8,G359)*POWER(Upgrades!$R$9,H359)*POWER(Upgrades!$R$10,I359)*POWER(Upgrades!$R$11,J359)*POWER(Upgrades!$R$12,K359)</f>
        <v/>
      </c>
      <c r="P359" s="27">
        <f>IF(L359=1,0,M359*Parameters!$B$10/60*Parameters!$B$11*10)</f>
        <v/>
      </c>
      <c r="Q359" s="27">
        <f>IF(L359=1,0,O359*M359*10)</f>
        <v/>
      </c>
      <c r="R359" s="27">
        <f>IF(L359=1,0,N359*10)</f>
        <v/>
      </c>
      <c r="S359" s="27">
        <f>P359+Q359+R359</f>
        <v/>
      </c>
      <c r="T359" s="22">
        <f>C359+S359</f>
        <v/>
      </c>
      <c r="U359" s="33">
        <f>AX359</f>
        <v/>
      </c>
      <c r="V359" s="22">
        <f>IF(U359="",0,IF(U359="transition",0,IF(U359="SW",AG359,IF(U359="AB",AH359,IF(U359="SC",AI359,IF(U359="Mag",AJ359,IF(U359="OR",AK359,IF(U359="HP",AL359,IF(U359="FP",AM359,0)))))))))</f>
        <v/>
      </c>
      <c r="W359" s="27">
        <f>IF(U359="OR",Upgrades!$F$10,IF(U359="HP",Upgrades!$F$11,IF(U359="transition",-Parameters!$B$18,0)))</f>
        <v/>
      </c>
      <c r="X359" s="22">
        <f>T359-V359</f>
        <v/>
      </c>
      <c r="Y359" s="30">
        <f>M359*Parameters!$B$10/60*Parameters!$B$11+O359*M359+N359</f>
        <v/>
      </c>
      <c r="Z359" s="34">
        <f>IF(U359="transition","→ Tier 2 (Stellar Neighborhood)",IF(U359="FP","First Photons — light begins, system quickens",IF(U359="HP","Heliopause acquired",IF(U359="OR","Orbital Resonance — passive multiplier active",IF(AND(AO359=1,L359=0,AN359&lt;&gt;1),"Cohesion ready (waiting on completionist upgrades)","")))))</f>
        <v/>
      </c>
      <c r="AA359" s="27">
        <f>(IF(E359=0,0,(Upgrades!$G$6+E359*Upgrades!$H$6)*POWER(Upgrades!$I$6,E359)))*(IF(Upgrades!$T$7="Solar Wind",POWER(Upgrades!$U$7,F359),1)*IF(Upgrades!$T$8="Solar Wind",POWER(Upgrades!$U$8,G359),1)*IF(Upgrades!$T$9="Solar Wind",POWER(Upgrades!$U$9,H359),1)*IF(Upgrades!$T$10="Solar Wind",POWER(Upgrades!$U$10,I359),1)*IF(Upgrades!$T$11="Solar Wind",POWER(Upgrades!$U$11,J359),1)*IF(Upgrades!$T$12="Solar Wind",POWER(Upgrades!$U$12,K359),1))*POWER(Upgrades!$P$6,E359)*POWER(Upgrades!$P$7,F359)*POWER(Upgrades!$P$8,G359)*POWER(Upgrades!$P$9,H359)*POWER(Upgrades!$P$10,I359)*POWER(Upgrades!$P$11,J359)*POWER(Upgrades!$P$12,K359)*60</f>
        <v/>
      </c>
      <c r="AB359" s="27">
        <f>(IF(F359=0,0,(Upgrades!$G$7+F359*Upgrades!$H$7)*POWER(Upgrades!$I$7,F359)))*(IF(Upgrades!$T$6="Asteroid Belt",POWER(Upgrades!$U$6,E359),1)*IF(Upgrades!$T$8="Asteroid Belt",POWER(Upgrades!$U$8,G359),1)*IF(Upgrades!$T$9="Asteroid Belt",POWER(Upgrades!$U$9,H359),1)*IF(Upgrades!$T$10="Asteroid Belt",POWER(Upgrades!$U$10,I359),1)*IF(Upgrades!$T$11="Asteroid Belt",POWER(Upgrades!$U$11,J359),1)*IF(Upgrades!$T$12="Asteroid Belt",POWER(Upgrades!$U$12,K359),1))*POWER(Upgrades!$P$6,E359)*POWER(Upgrades!$P$7,F359)*POWER(Upgrades!$P$8,G359)*POWER(Upgrades!$P$9,H359)*POWER(Upgrades!$P$10,I359)*POWER(Upgrades!$P$11,J359)*POWER(Upgrades!$P$12,K359)*60</f>
        <v/>
      </c>
      <c r="AC359" s="27">
        <f>(IF(G359=0,0,(Upgrades!$J$8+G359*Upgrades!$K$8)*POWER(Upgrades!$L$8,G359)))*(IF(Upgrades!$T$6="Stellar Coupling",POWER(Upgrades!$U$6,E359),1)*IF(Upgrades!$T$7="Stellar Coupling",POWER(Upgrades!$U$7,F359),1)*IF(Upgrades!$T$9="Stellar Coupling",POWER(Upgrades!$U$9,H359),1)*IF(Upgrades!$T$10="Stellar Coupling",POWER(Upgrades!$U$10,I359),1)*IF(Upgrades!$T$11="Stellar Coupling",POWER(Upgrades!$U$11,J359),1)*IF(Upgrades!$T$12="Stellar Coupling",POWER(Upgrades!$U$12,K359),1))*POWER(Upgrades!$Q$6,E359)*POWER(Upgrades!$Q$7,F359)*POWER(Upgrades!$Q$8,G359)*POWER(Upgrades!$Q$9,H359)*POWER(Upgrades!$Q$10,I359)*POWER(Upgrades!$Q$11,J359)*POWER(Upgrades!$Q$12,K359)*Parameters!$B$10*Parameters!$B$11</f>
        <v/>
      </c>
      <c r="AD359" s="27">
        <f>(IF(H359=0,0,(Upgrades!$G$9+H359*Upgrades!$H$9)*POWER(Upgrades!$I$9,H359)))*(IF(Upgrades!$T$6="Magnetosphere",POWER(Upgrades!$U$6,E359),1)*IF(Upgrades!$T$7="Magnetosphere",POWER(Upgrades!$U$7,F359),1)*IF(Upgrades!$T$8="Magnetosphere",POWER(Upgrades!$U$8,G359),1)*IF(Upgrades!$T$10="Magnetosphere",POWER(Upgrades!$U$10,I359),1)*IF(Upgrades!$T$11="Magnetosphere",POWER(Upgrades!$U$11,J359),1)*IF(Upgrades!$T$12="Magnetosphere",POWER(Upgrades!$U$12,K359),1))*POWER(Upgrades!$P$6,E359)*POWER(Upgrades!$P$7,F359)*POWER(Upgrades!$P$8,G359)*POWER(Upgrades!$P$9,H359)*POWER(Upgrades!$P$10,I359)*POWER(Upgrades!$P$11,J359)*POWER(Upgrades!$P$12,K359)*60</f>
        <v/>
      </c>
      <c r="AE359" s="27">
        <f>(IF(K359=0,0,(Upgrades!$G$12+K359*Upgrades!$H$12)*POWER(Upgrades!$I$12,K359)))*(IF(Upgrades!$T$6="First Photons",POWER(Upgrades!$U$6,E359),1)*IF(Upgrades!$T$7="First Photons",POWER(Upgrades!$U$7,F359),1)*IF(Upgrades!$T$8="First Photons",POWER(Upgrades!$U$8,G359),1)*IF(Upgrades!$T$9="First Photons",POWER(Upgrades!$U$9,H359),1)*IF(Upgrades!$T$10="First Photons",POWER(Upgrades!$U$10,I359),1)*IF(Upgrades!$T$11="First Photons",POWER(Upgrades!$U$11,J359),1))*POWER(Upgrades!$P$6,E359)*POWER(Upgrades!$P$7,F359)*POWER(Upgrades!$P$8,G359)*POWER(Upgrades!$P$9,H359)*POWER(Upgrades!$P$10,I359)*POWER(Upgrades!$P$11,J359)*POWER(Upgrades!$P$12,K359)*60</f>
        <v/>
      </c>
      <c r="AF359" s="27">
        <f>Parameters!$B$9*POWER(Upgrades!$Q$6,E359)*POWER(Upgrades!$Q$7,F359)*POWER(Upgrades!$Q$8,G359)*POWER(Upgrades!$Q$9,H359)*POWER(Upgrades!$Q$10,I359)*POWER(Upgrades!$Q$11,J359)*POWER(Upgrades!$Q$12,K359)*(Parameters!$B$10*Parameters!$B$11+O359*60)</f>
        <v/>
      </c>
      <c r="AG359" s="22">
        <f>IF(E359&gt;=Upgrades!$E$6,"",Upgrades!$C$6*POWER(Upgrades!$D$6,E359))</f>
        <v/>
      </c>
      <c r="AH359" s="22">
        <f>IF(F359&gt;=Upgrades!$E$7,"",Upgrades!$C$7*POWER(Upgrades!$D$7,F359))</f>
        <v/>
      </c>
      <c r="AI359" s="22">
        <f>IF(G359&gt;=Upgrades!$E$8,"",Upgrades!$C$8*POWER(Upgrades!$D$8,G359))</f>
        <v/>
      </c>
      <c r="AJ359" s="22">
        <f>IF(H359&gt;=Upgrades!$E$9,"",Upgrades!$C$9*POWER(Upgrades!$D$9,H359))</f>
        <v/>
      </c>
      <c r="AK359" s="22">
        <f>IF(I359&gt;=Upgrades!$E$10,"",Upgrades!$C$10*POWER(Upgrades!$D$10,I359))</f>
        <v/>
      </c>
      <c r="AL359" s="22">
        <f>IF(J359&gt;=Upgrades!$E$11,"",Upgrades!$C$11*POWER(Upgrades!$D$11,J359))</f>
        <v/>
      </c>
      <c r="AM359" s="22">
        <f>IF(K359&gt;=Upgrades!$E$12,"",Upgrades!$C$12*POWER(Upgrades!$D$12,K359))</f>
        <v/>
      </c>
      <c r="AN359" s="26">
        <f>IF(AND(D359&gt;=Parameters!$B$18,(H359&gt;=Upgrades!$E$9)*(K359&gt;=Upgrades!$E$12)=1,L359=0),1,"")</f>
        <v/>
      </c>
      <c r="AO359" s="26">
        <f>IF(AND(D359&gt;=Parameters!$B$18,L359=0),1,"")</f>
        <v/>
      </c>
      <c r="AP359" s="22">
        <f>MIN(IF(ISNUMBER(AK359),AK359,9E15),IF(ISNUMBER(AL359),AL359,9E15),IF(ISNUMBER(AM359),AM359,9E15))</f>
        <v/>
      </c>
      <c r="AQ359" s="22">
        <f>MIN(IF(ISNUMBER(AG359),AG359,9E15),IF(ISNUMBER(AH359),AH359,9E15),IF(ISNUMBER(AI359),AI359,9E15),IF(ISNUMBER(AJ359),AJ359,9E15))</f>
        <v/>
      </c>
      <c r="AR359" s="29">
        <f>IF(AW359&gt;Parameters!$B$21*(MAX(IF(AND(NOT(AND(AO359=1,AN359&lt;&gt;1)),ISNUMBER(AG359),AG359&lt;=T359),AS359,0),IF(AND(NOT(AND(AO359=1,AN359&lt;&gt;1)),ISNUMBER(AH359),AH359&lt;=T359),AT359,0),IF(AND(NOT(AND(AO359=1,AN359&lt;&gt;1)),ISNUMBER(AI359),AI359&lt;=T359),AU359,0),IF(AND(ISNUMBER(AJ359),AJ359&lt;=T359),AV359,0))),TRUE,FALSE)</f>
        <v/>
      </c>
      <c r="AS359" s="32">
        <f>IFERROR(Upgrades!$H$6*(POWER(Upgrades!$P$6,E359)*POWER(Upgrades!$P$7,F359)*POWER(Upgrades!$P$8,G359)*POWER(Upgrades!$P$9,H359)*POWER(Upgrades!$P$10,I359)*POWER(Upgrades!$P$11,J359)*POWER(Upgrades!$P$12,K359))*(IF(Upgrades!$T$7="Solar Wind",POWER(Upgrades!$U$7,F359),1)*IF(Upgrades!$T$8="Solar Wind",POWER(Upgrades!$U$8,G359),1)*IF(Upgrades!$T$9="Solar Wind",POWER(Upgrades!$U$9,H359),1)*IF(Upgrades!$T$10="Solar Wind",POWER(Upgrades!$U$10,I359),1)*IF(Upgrades!$T$11="Solar Wind",POWER(Upgrades!$U$11,J359),1)*IF(Upgrades!$T$12="Solar Wind",POWER(Upgrades!$U$12,K359),1))/AG359,0)</f>
        <v/>
      </c>
      <c r="AT359" s="32">
        <f>IFERROR(Upgrades!$H$7*(POWER(Upgrades!$P$6,E359)*POWER(Upgrades!$P$7,F359)*POWER(Upgrades!$P$8,G359)*POWER(Upgrades!$P$9,H359)*POWER(Upgrades!$P$10,I359)*POWER(Upgrades!$P$11,J359)*POWER(Upgrades!$P$12,K359))*(IF(Upgrades!$T$6="Asteroid Belt",POWER(Upgrades!$U$6,E359),1)*IF(Upgrades!$T$8="Asteroid Belt",POWER(Upgrades!$U$8,G359),1)*IF(Upgrades!$T$9="Asteroid Belt",POWER(Upgrades!$U$9,H359),1)*IF(Upgrades!$T$10="Asteroid Belt",POWER(Upgrades!$U$10,I359),1)*IF(Upgrades!$T$11="Asteroid Belt",POWER(Upgrades!$U$11,J359),1)*IF(Upgrades!$T$12="Asteroid Belt",POWER(Upgrades!$U$12,K359),1))/AH359,0)</f>
        <v/>
      </c>
      <c r="AU359" s="32">
        <f>IFERROR(Upgrades!$K$8*(POWER(Upgrades!$Q$6,E359)*POWER(Upgrades!$Q$7,F359)*POWER(Upgrades!$Q$8,G359)*POWER(Upgrades!$Q$9,H359)*POWER(Upgrades!$Q$10,I359)*POWER(Upgrades!$Q$11,J359)*POWER(Upgrades!$Q$12,K359))*(IF(Upgrades!$T$6="Stellar Coupling",POWER(Upgrades!$U$6,E359),1)*IF(Upgrades!$T$7="Stellar Coupling",POWER(Upgrades!$U$7,F359),1)*IF(Upgrades!$T$9="Stellar Coupling",POWER(Upgrades!$U$9,H359),1)*IF(Upgrades!$T$10="Stellar Coupling",POWER(Upgrades!$U$10,I359),1)*IF(Upgrades!$T$11="Stellar Coupling",POWER(Upgrades!$U$11,J359),1)*IF(Upgrades!$T$12="Stellar Coupling",POWER(Upgrades!$U$12,K359),1))*Parameters!$B$10*Parameters!$B$11/60/AI359,0)</f>
        <v/>
      </c>
      <c r="AV359" s="32">
        <f>IFERROR(Upgrades!$H$9*(POWER(Upgrades!$P$6,E359)*POWER(Upgrades!$P$7,F359)*POWER(Upgrades!$P$8,G359)*POWER(Upgrades!$P$9,H359)*POWER(Upgrades!$P$10,I359)*POWER(Upgrades!$P$11,J359)*POWER(Upgrades!$P$12,K359))*(IF(Upgrades!$T$6="Magnetosphere",POWER(Upgrades!$U$6,E359),1)*IF(Upgrades!$T$7="Magnetosphere",POWER(Upgrades!$U$7,F359),1)*IF(Upgrades!$T$8="Magnetosphere",POWER(Upgrades!$U$8,G359),1)*IF(Upgrades!$T$10="Magnetosphere",POWER(Upgrades!$U$10,I359),1)*IF(Upgrades!$T$11="Magnetosphere",POWER(Upgrades!$U$11,J359),1)*IF(Upgrades!$T$12="Magnetosphere",POWER(Upgrades!$U$12,K359),1))/AJ359,0)</f>
        <v/>
      </c>
      <c r="AW359" s="32">
        <f>MAX(IF(I359&gt;0,0,IFERROR(0.25*N359/Upgrades!$C$10,0)),IF(J359&gt;0,0,IFERROR(0.5*((IF(G359=0,0,(Upgrades!$J$8+G359*Upgrades!$K$8)*POWER(Upgrades!$L$8,G359)))*(IF(Upgrades!$T$6="Stellar Coupling",POWER(Upgrades!$U$6,E359),1)*IF(Upgrades!$T$7="Stellar Coupling",POWER(Upgrades!$U$7,F359),1)*IF(Upgrades!$T$9="Stellar Coupling",POWER(Upgrades!$U$9,H359),1)*IF(Upgrades!$T$10="Stellar Coupling",POWER(Upgrades!$U$10,I359),1)*IF(Upgrades!$T$11="Stellar Coupling",POWER(Upgrades!$U$11,J359),1)*IF(Upgrades!$T$12="Stellar Coupling",POWER(Upgrades!$U$12,K359),1))*(POWER(Upgrades!$Q$6,E359)*POWER(Upgrades!$Q$7,F359)*POWER(Upgrades!$Q$8,G359)*POWER(Upgrades!$Q$9,H359)*POWER(Upgrades!$Q$10,I359)*POWER(Upgrades!$Q$11,J359)*POWER(Upgrades!$Q$12,K359))*Parameters!$B$10*Parameters!$B$11/60)/Upgrades!$C$11,0)),IF(K359&gt;0,0,IFERROR((1.0*(POWER(Upgrades!$P$6,E359)*POWER(Upgrades!$P$7,F359)*POWER(Upgrades!$P$8,G359)*POWER(Upgrades!$P$9,H359)*POWER(Upgrades!$P$10,I359)*POWER(Upgrades!$P$11,J359)*POWER(Upgrades!$P$12,K359))+0.20*M359*Parameters!$B$10*Parameters!$B$11/60)/Upgrades!$C$12,0)),IF(AND(ISNUMBER(AG359),AG359&gt;T359),AS359,0),IF(AND(ISNUMBER(AH359),AH359&gt;T359),AT359,0),IF(AND(ISNUMBER(AI359),AI359&gt;T359),AU359,0),IF(AND(ISNUMBER(AJ359),AJ359&gt;T359),AV359,0))</f>
        <v/>
      </c>
      <c r="AX359" s="29">
        <f>IF(AN359=1,"transition",IF(MIN(IF(AND(I359=0,ISNUMBER(AK359),AK359&lt;=T359),AK359,9E15),IF(AND(J359=0,ISNUMBER(AL359),AL359&lt;=T359),AL359,9E15),IF(AND(K359=0,ISNUMBER(AM359),AM359&lt;=T359),AM359,9E15))&lt;9E15,IF(AND(AND(I359=0,ISNUMBER(AK359),AK359&lt;=T359),AK359=MIN(IF(AND(I359=0,ISNUMBER(AK359),AK359&lt;=T359),AK359,9E15),IF(AND(J359=0,ISNUMBER(AL359),AL359&lt;=T359),AL359,9E15),IF(AND(K359=0,ISNUMBER(AM359),AM359&lt;=T359),AM359,9E15))),"OR",IF(AND(AND(J359=0,ISNUMBER(AL359),AL359&lt;=T359),AL359=MIN(IF(AND(I359=0,ISNUMBER(AK359),AK359&lt;=T359),AK359,9E15),IF(AND(J359=0,ISNUMBER(AL359),AL359&lt;=T359),AL359,9E15),IF(AND(K359=0,ISNUMBER(AM359),AM359&lt;=T359),AM359,9E15))),"HP","FP")),IF(AR359=TRUE,"",IF(MAX(IF(AND(NOT(AND(AO359=1,AN359&lt;&gt;1)),ISNUMBER(AG359),AG359&lt;=T359),AS359,0),IF(AND(NOT(AND(AO359=1,AN359&lt;&gt;1)),ISNUMBER(AH359),AH359&lt;=T359),AT359,0),IF(AND(NOT(AND(AO359=1,AN359&lt;&gt;1)),ISNUMBER(AI359),AI359&lt;=T359),AU359,0),IF(AND(ISNUMBER(AJ359),AJ359&lt;=T359),AV359,0))&lt;=0,"",IF(AND(IF(AND(NOT(AND(AO359=1,AN359&lt;&gt;1)),ISNUMBER(AG359),AG359&lt;=T359),AS359,0)&gt;0,IF(AND(NOT(AND(AO359=1,AN359&lt;&gt;1)),ISNUMBER(AG359),AG359&lt;=T359),AS359,0)=MAX(IF(AND(NOT(AND(AO359=1,AN359&lt;&gt;1)),ISNUMBER(AG359),AG359&lt;=T359),AS359,0),IF(AND(NOT(AND(AO359=1,AN359&lt;&gt;1)),ISNUMBER(AH359),AH359&lt;=T359),AT359,0),IF(AND(NOT(AND(AO359=1,AN359&lt;&gt;1)),ISNUMBER(AI359),AI359&lt;=T359),AU359,0),IF(AND(ISNUMBER(AJ359),AJ359&lt;=T359),AV359,0))),"SW",IF(AND(IF(AND(NOT(AND(AO359=1,AN359&lt;&gt;1)),ISNUMBER(AH359),AH359&lt;=T359),AT359,0)&gt;0,IF(AND(NOT(AND(AO359=1,AN359&lt;&gt;1)),ISNUMBER(AH359),AH359&lt;=T359),AT359,0)=MAX(IF(AND(NOT(AND(AO359=1,AN359&lt;&gt;1)),ISNUMBER(AG359),AG359&lt;=T359),AS359,0),IF(AND(NOT(AND(AO359=1,AN359&lt;&gt;1)),ISNUMBER(AH359),AH359&lt;=T359),AT359,0),IF(AND(NOT(AND(AO359=1,AN359&lt;&gt;1)),ISNUMBER(AI359),AI359&lt;=T359),AU359,0),IF(AND(ISNUMBER(AJ359),AJ359&lt;=T359),AV359,0))),"AB",IF(AND(IF(AND(NOT(AND(AO359=1,AN359&lt;&gt;1)),ISNUMBER(AI359),AI359&lt;=T359),AU359,0)&gt;0,IF(AND(NOT(AND(AO359=1,AN359&lt;&gt;1)),ISNUMBER(AI359),AI359&lt;=T359),AU359,0)=MAX(IF(AND(NOT(AND(AO359=1,AN359&lt;&gt;1)),ISNUMBER(AG359),AG359&lt;=T359),AS359,0),IF(AND(NOT(AND(AO359=1,AN359&lt;&gt;1)),ISNUMBER(AH359),AH359&lt;=T359),AT359,0),IF(AND(NOT(AND(AO359=1,AN359&lt;&gt;1)),ISNUMBER(AI359),AI359&lt;=T359),AU359,0),IF(AND(ISNUMBER(AJ359),AJ359&lt;=T359),AV359,0))),"SC","Mag")))))))</f>
        <v/>
      </c>
    </row>
    <row r="360">
      <c r="A360" s="26" t="n">
        <v>355</v>
      </c>
      <c r="B360" s="27">
        <f>A360*10/60</f>
        <v/>
      </c>
      <c r="C360" s="22">
        <f>X359</f>
        <v/>
      </c>
      <c r="D360" s="27">
        <f>D359+W359</f>
        <v/>
      </c>
      <c r="E360" s="26">
        <f>E359+IF(U359="SW",1,0)</f>
        <v/>
      </c>
      <c r="F360" s="26">
        <f>F359+IF(U359="AB",1,0)</f>
        <v/>
      </c>
      <c r="G360" s="26">
        <f>G359+IF(U359="SC",1,0)</f>
        <v/>
      </c>
      <c r="H360" s="26">
        <f>H359+IF(U359="Mag",1,0)</f>
        <v/>
      </c>
      <c r="I360" s="26">
        <f>MAX(I359,IF(U359="OR",1,0))</f>
        <v/>
      </c>
      <c r="J360" s="26">
        <f>MAX(J359,IF(U359="HP",1,0))</f>
        <v/>
      </c>
      <c r="K360" s="26">
        <f>MAX(K359,IF(U359="FP",1,0))</f>
        <v/>
      </c>
      <c r="L360" s="26">
        <f>MAX(L359,IF(U359="transition",1,0))</f>
        <v/>
      </c>
      <c r="M360" s="28">
        <f>(Parameters!$B$9+(IF(E360=0,0,(Upgrades!$J$6+E360*Upgrades!$K$6)*POWER(Upgrades!$L$6,E360)))*(IF(Upgrades!$T$7="Solar Wind",POWER(Upgrades!$U$7,F360),1)*IF(Upgrades!$T$8="Solar Wind",POWER(Upgrades!$U$8,G360),1)*IF(Upgrades!$T$9="Solar Wind",POWER(Upgrades!$U$9,H360),1)*IF(Upgrades!$T$10="Solar Wind",POWER(Upgrades!$U$10,I360),1)*IF(Upgrades!$T$11="Solar Wind",POWER(Upgrades!$U$11,J360),1)*IF(Upgrades!$T$12="Solar Wind",POWER(Upgrades!$U$12,K360),1))+(IF(F360=0,0,(Upgrades!$J$7+F360*Upgrades!$K$7)*POWER(Upgrades!$L$7,F360)))*(IF(Upgrades!$T$6="Asteroid Belt",POWER(Upgrades!$U$6,E360),1)*IF(Upgrades!$T$8="Asteroid Belt",POWER(Upgrades!$U$8,G360),1)*IF(Upgrades!$T$9="Asteroid Belt",POWER(Upgrades!$U$9,H360),1)*IF(Upgrades!$T$10="Asteroid Belt",POWER(Upgrades!$U$10,I360),1)*IF(Upgrades!$T$11="Asteroid Belt",POWER(Upgrades!$U$11,J360),1)*IF(Upgrades!$T$12="Asteroid Belt",POWER(Upgrades!$U$12,K360),1))+(IF(G360=0,0,(Upgrades!$J$8+G360*Upgrades!$K$8)*POWER(Upgrades!$L$8,G360)))*(IF(Upgrades!$T$6="Stellar Coupling",POWER(Upgrades!$U$6,E360),1)*IF(Upgrades!$T$7="Stellar Coupling",POWER(Upgrades!$U$7,F360),1)*IF(Upgrades!$T$9="Stellar Coupling",POWER(Upgrades!$U$9,H360),1)*IF(Upgrades!$T$10="Stellar Coupling",POWER(Upgrades!$U$10,I360),1)*IF(Upgrades!$T$11="Stellar Coupling",POWER(Upgrades!$U$11,J360),1)*IF(Upgrades!$T$12="Stellar Coupling",POWER(Upgrades!$U$12,K360),1))+(IF(H360=0,0,(Upgrades!$J$9+H360*Upgrades!$K$9)*POWER(Upgrades!$L$9,H360)))*(IF(Upgrades!$T$6="Magnetosphere",POWER(Upgrades!$U$6,E360),1)*IF(Upgrades!$T$7="Magnetosphere",POWER(Upgrades!$U$7,F360),1)*IF(Upgrades!$T$8="Magnetosphere",POWER(Upgrades!$U$8,G360),1)*IF(Upgrades!$T$10="Magnetosphere",POWER(Upgrades!$U$10,I360),1)*IF(Upgrades!$T$11="Magnetosphere",POWER(Upgrades!$U$11,J360),1)*IF(Upgrades!$T$12="Magnetosphere",POWER(Upgrades!$U$12,K360),1))+(IF(I360=0,0,(Upgrades!$J$10+I360*Upgrades!$K$10)*POWER(Upgrades!$L$10,I360)))*(IF(Upgrades!$T$6="Orbital Resonance",POWER(Upgrades!$U$6,E360),1)*IF(Upgrades!$T$7="Orbital Resonance",POWER(Upgrades!$U$7,F360),1)*IF(Upgrades!$T$8="Orbital Resonance",POWER(Upgrades!$U$8,G360),1)*IF(Upgrades!$T$9="Orbital Resonance",POWER(Upgrades!$U$9,H360),1)*IF(Upgrades!$T$11="Orbital Resonance",POWER(Upgrades!$U$11,J360),1)*IF(Upgrades!$T$12="Orbital Resonance",POWER(Upgrades!$U$12,K360),1))+(IF(J360=0,0,(Upgrades!$J$11+J360*Upgrades!$K$11)*POWER(Upgrades!$L$11,J360)))*(IF(Upgrades!$T$6="Heliopause",POWER(Upgrades!$U$6,E360),1)*IF(Upgrades!$T$7="Heliopause",POWER(Upgrades!$U$7,F360),1)*IF(Upgrades!$T$8="Heliopause",POWER(Upgrades!$U$8,G360),1)*IF(Upgrades!$T$9="Heliopause",POWER(Upgrades!$U$9,H360),1)*IF(Upgrades!$T$10="Heliopause",POWER(Upgrades!$U$10,I360),1)*IF(Upgrades!$T$12="Heliopause",POWER(Upgrades!$U$12,K360),1))+(IF(K360=0,0,(Upgrades!$J$12+K360*Upgrades!$K$12)*POWER(Upgrades!$L$12,K360)))*(IF(Upgrades!$T$6="First Photons",POWER(Upgrades!$U$6,E360),1)*IF(Upgrades!$T$7="First Photons",POWER(Upgrades!$U$7,F360),1)*IF(Upgrades!$T$8="First Photons",POWER(Upgrades!$U$8,G360),1)*IF(Upgrades!$T$9="First Photons",POWER(Upgrades!$U$9,H360),1)*IF(Upgrades!$T$10="First Photons",POWER(Upgrades!$U$10,I360),1)*IF(Upgrades!$T$11="First Photons",POWER(Upgrades!$U$11,J360),1)))*POWER(Upgrades!$Q$6,E360)*POWER(Upgrades!$Q$7,F360)*POWER(Upgrades!$Q$8,G360)*POWER(Upgrades!$Q$9,H360)*POWER(Upgrades!$Q$10,I360)*POWER(Upgrades!$Q$11,J360)*POWER(Upgrades!$Q$12,K360)</f>
        <v/>
      </c>
      <c r="N360" s="28">
        <f>((IF(E360=0,0,(Upgrades!$G$6+E360*Upgrades!$H$6)*POWER(Upgrades!$I$6,E360)))*(IF(Upgrades!$T$7="Solar Wind",POWER(Upgrades!$U$7,F360),1)*IF(Upgrades!$T$8="Solar Wind",POWER(Upgrades!$U$8,G360),1)*IF(Upgrades!$T$9="Solar Wind",POWER(Upgrades!$U$9,H360),1)*IF(Upgrades!$T$10="Solar Wind",POWER(Upgrades!$U$10,I360),1)*IF(Upgrades!$T$11="Solar Wind",POWER(Upgrades!$U$11,J360),1)*IF(Upgrades!$T$12="Solar Wind",POWER(Upgrades!$U$12,K360),1))+(IF(F360=0,0,(Upgrades!$G$7+F360*Upgrades!$H$7)*POWER(Upgrades!$I$7,F360)))*(IF(Upgrades!$T$6="Asteroid Belt",POWER(Upgrades!$U$6,E360),1)*IF(Upgrades!$T$8="Asteroid Belt",POWER(Upgrades!$U$8,G360),1)*IF(Upgrades!$T$9="Asteroid Belt",POWER(Upgrades!$U$9,H360),1)*IF(Upgrades!$T$10="Asteroid Belt",POWER(Upgrades!$U$10,I360),1)*IF(Upgrades!$T$11="Asteroid Belt",POWER(Upgrades!$U$11,J360),1)*IF(Upgrades!$T$12="Asteroid Belt",POWER(Upgrades!$U$12,K360),1))+(IF(G360=0,0,(Upgrades!$G$8+G360*Upgrades!$H$8)*POWER(Upgrades!$I$8,G360)))*(IF(Upgrades!$T$6="Stellar Coupling",POWER(Upgrades!$U$6,E360),1)*IF(Upgrades!$T$7="Stellar Coupling",POWER(Upgrades!$U$7,F360),1)*IF(Upgrades!$T$9="Stellar Coupling",POWER(Upgrades!$U$9,H360),1)*IF(Upgrades!$T$10="Stellar Coupling",POWER(Upgrades!$U$10,I360),1)*IF(Upgrades!$T$11="Stellar Coupling",POWER(Upgrades!$U$11,J360),1)*IF(Upgrades!$T$12="Stellar Coupling",POWER(Upgrades!$U$12,K360),1))+(IF(H360=0,0,(Upgrades!$G$9+H360*Upgrades!$H$9)*POWER(Upgrades!$I$9,H360)))*(IF(Upgrades!$T$6="Magnetosphere",POWER(Upgrades!$U$6,E360),1)*IF(Upgrades!$T$7="Magnetosphere",POWER(Upgrades!$U$7,F360),1)*IF(Upgrades!$T$8="Magnetosphere",POWER(Upgrades!$U$8,G360),1)*IF(Upgrades!$T$10="Magnetosphere",POWER(Upgrades!$U$10,I360),1)*IF(Upgrades!$T$11="Magnetosphere",POWER(Upgrades!$U$11,J360),1)*IF(Upgrades!$T$12="Magnetosphere",POWER(Upgrades!$U$12,K360),1))+(IF(I360=0,0,(Upgrades!$G$10+I360*Upgrades!$H$10)*POWER(Upgrades!$I$10,I360)))*(IF(Upgrades!$T$6="Orbital Resonance",POWER(Upgrades!$U$6,E360),1)*IF(Upgrades!$T$7="Orbital Resonance",POWER(Upgrades!$U$7,F360),1)*IF(Upgrades!$T$8="Orbital Resonance",POWER(Upgrades!$U$8,G360),1)*IF(Upgrades!$T$9="Orbital Resonance",POWER(Upgrades!$U$9,H360),1)*IF(Upgrades!$T$11="Orbital Resonance",POWER(Upgrades!$U$11,J360),1)*IF(Upgrades!$T$12="Orbital Resonance",POWER(Upgrades!$U$12,K360),1))+(IF(J360=0,0,(Upgrades!$G$11+J360*Upgrades!$H$11)*POWER(Upgrades!$I$11,J360)))*(IF(Upgrades!$T$6="Heliopause",POWER(Upgrades!$U$6,E360),1)*IF(Upgrades!$T$7="Heliopause",POWER(Upgrades!$U$7,F360),1)*IF(Upgrades!$T$8="Heliopause",POWER(Upgrades!$U$8,G360),1)*IF(Upgrades!$T$9="Heliopause",POWER(Upgrades!$U$9,H360),1)*IF(Upgrades!$T$10="Heliopause",POWER(Upgrades!$U$10,I360),1)*IF(Upgrades!$T$12="Heliopause",POWER(Upgrades!$U$12,K360),1))+(IF(K360=0,0,(Upgrades!$G$12+K360*Upgrades!$H$12)*POWER(Upgrades!$I$12,K360)))*(IF(Upgrades!$T$6="First Photons",POWER(Upgrades!$U$6,E360),1)*IF(Upgrades!$T$7="First Photons",POWER(Upgrades!$U$7,F360),1)*IF(Upgrades!$T$8="First Photons",POWER(Upgrades!$U$8,G360),1)*IF(Upgrades!$T$9="First Photons",POWER(Upgrades!$U$9,H360),1)*IF(Upgrades!$T$10="First Photons",POWER(Upgrades!$U$10,I360),1)*IF(Upgrades!$T$11="First Photons",POWER(Upgrades!$U$11,J360),1)))*POWER(Upgrades!$P$6,E360)*POWER(Upgrades!$P$7,F360)*POWER(Upgrades!$P$8,G360)*POWER(Upgrades!$P$9,H360)*POWER(Upgrades!$P$10,I360)*POWER(Upgrades!$P$11,J360)*POWER(Upgrades!$P$12,K360)</f>
        <v/>
      </c>
      <c r="O360" s="28">
        <f>((IF(E360=0,0,(Upgrades!$M$6+E360*Upgrades!$N$6)*POWER(Upgrades!$O$6,E360)))*(IF(Upgrades!$T$7="Solar Wind",POWER(Upgrades!$U$7,F360),1)*IF(Upgrades!$T$8="Solar Wind",POWER(Upgrades!$U$8,G360),1)*IF(Upgrades!$T$9="Solar Wind",POWER(Upgrades!$U$9,H360),1)*IF(Upgrades!$T$10="Solar Wind",POWER(Upgrades!$U$10,I360),1)*IF(Upgrades!$T$11="Solar Wind",POWER(Upgrades!$U$11,J360),1)*IF(Upgrades!$T$12="Solar Wind",POWER(Upgrades!$U$12,K360),1))+(IF(F360=0,0,(Upgrades!$M$7+F360*Upgrades!$N$7)*POWER(Upgrades!$O$7,F360)))*(IF(Upgrades!$T$6="Asteroid Belt",POWER(Upgrades!$U$6,E360),1)*IF(Upgrades!$T$8="Asteroid Belt",POWER(Upgrades!$U$8,G360),1)*IF(Upgrades!$T$9="Asteroid Belt",POWER(Upgrades!$U$9,H360),1)*IF(Upgrades!$T$10="Asteroid Belt",POWER(Upgrades!$U$10,I360),1)*IF(Upgrades!$T$11="Asteroid Belt",POWER(Upgrades!$U$11,J360),1)*IF(Upgrades!$T$12="Asteroid Belt",POWER(Upgrades!$U$12,K360),1))+(IF(G360=0,0,(Upgrades!$M$8+G360*Upgrades!$N$8)*POWER(Upgrades!$O$8,G360)))*(IF(Upgrades!$T$6="Stellar Coupling",POWER(Upgrades!$U$6,E360),1)*IF(Upgrades!$T$7="Stellar Coupling",POWER(Upgrades!$U$7,F360),1)*IF(Upgrades!$T$9="Stellar Coupling",POWER(Upgrades!$U$9,H360),1)*IF(Upgrades!$T$10="Stellar Coupling",POWER(Upgrades!$U$10,I360),1)*IF(Upgrades!$T$11="Stellar Coupling",POWER(Upgrades!$U$11,J360),1)*IF(Upgrades!$T$12="Stellar Coupling",POWER(Upgrades!$U$12,K360),1))+(IF(H360=0,0,(Upgrades!$M$9+H360*Upgrades!$N$9)*POWER(Upgrades!$O$9,H360)))*(IF(Upgrades!$T$6="Magnetosphere",POWER(Upgrades!$U$6,E360),1)*IF(Upgrades!$T$7="Magnetosphere",POWER(Upgrades!$U$7,F360),1)*IF(Upgrades!$T$8="Magnetosphere",POWER(Upgrades!$U$8,G360),1)*IF(Upgrades!$T$10="Magnetosphere",POWER(Upgrades!$U$10,I360),1)*IF(Upgrades!$T$11="Magnetosphere",POWER(Upgrades!$U$11,J360),1)*IF(Upgrades!$T$12="Magnetosphere",POWER(Upgrades!$U$12,K360),1))+(IF(I360=0,0,(Upgrades!$M$10+I360*Upgrades!$N$10)*POWER(Upgrades!$O$10,I360)))*(IF(Upgrades!$T$6="Orbital Resonance",POWER(Upgrades!$U$6,E360),1)*IF(Upgrades!$T$7="Orbital Resonance",POWER(Upgrades!$U$7,F360),1)*IF(Upgrades!$T$8="Orbital Resonance",POWER(Upgrades!$U$8,G360),1)*IF(Upgrades!$T$9="Orbital Resonance",POWER(Upgrades!$U$9,H360),1)*IF(Upgrades!$T$11="Orbital Resonance",POWER(Upgrades!$U$11,J360),1)*IF(Upgrades!$T$12="Orbital Resonance",POWER(Upgrades!$U$12,K360),1))+(IF(J360=0,0,(Upgrades!$M$11+J360*Upgrades!$N$11)*POWER(Upgrades!$O$11,J360)))*(IF(Upgrades!$T$6="Heliopause",POWER(Upgrades!$U$6,E360),1)*IF(Upgrades!$T$7="Heliopause",POWER(Upgrades!$U$7,F360),1)*IF(Upgrades!$T$8="Heliopause",POWER(Upgrades!$U$8,G360),1)*IF(Upgrades!$T$9="Heliopause",POWER(Upgrades!$U$9,H360),1)*IF(Upgrades!$T$10="Heliopause",POWER(Upgrades!$U$10,I360),1)*IF(Upgrades!$T$12="Heliopause",POWER(Upgrades!$U$12,K360),1))+(IF(K360=0,0,(Upgrades!$M$12+K360*Upgrades!$N$12)*POWER(Upgrades!$O$12,K360)))*(IF(Upgrades!$T$6="First Photons",POWER(Upgrades!$U$6,E360),1)*IF(Upgrades!$T$7="First Photons",POWER(Upgrades!$U$7,F360),1)*IF(Upgrades!$T$8="First Photons",POWER(Upgrades!$U$8,G360),1)*IF(Upgrades!$T$9="First Photons",POWER(Upgrades!$U$9,H360),1)*IF(Upgrades!$T$10="First Photons",POWER(Upgrades!$U$10,I360),1)*IF(Upgrades!$T$11="First Photons",POWER(Upgrades!$U$11,J360),1)))*POWER(Upgrades!$R$6,E360)*POWER(Upgrades!$R$7,F360)*POWER(Upgrades!$R$8,G360)*POWER(Upgrades!$R$9,H360)*POWER(Upgrades!$R$10,I360)*POWER(Upgrades!$R$11,J360)*POWER(Upgrades!$R$12,K360)</f>
        <v/>
      </c>
      <c r="P360" s="27">
        <f>IF(L360=1,0,M360*Parameters!$B$10/60*Parameters!$B$11*10)</f>
        <v/>
      </c>
      <c r="Q360" s="27">
        <f>IF(L360=1,0,O360*M360*10)</f>
        <v/>
      </c>
      <c r="R360" s="27">
        <f>IF(L360=1,0,N360*10)</f>
        <v/>
      </c>
      <c r="S360" s="27">
        <f>P360+Q360+R360</f>
        <v/>
      </c>
      <c r="T360" s="22">
        <f>C360+S360</f>
        <v/>
      </c>
      <c r="U360" s="33">
        <f>AX360</f>
        <v/>
      </c>
      <c r="V360" s="22">
        <f>IF(U360="",0,IF(U360="transition",0,IF(U360="SW",AG360,IF(U360="AB",AH360,IF(U360="SC",AI360,IF(U360="Mag",AJ360,IF(U360="OR",AK360,IF(U360="HP",AL360,IF(U360="FP",AM360,0)))))))))</f>
        <v/>
      </c>
      <c r="W360" s="27">
        <f>IF(U360="OR",Upgrades!$F$10,IF(U360="HP",Upgrades!$F$11,IF(U360="transition",-Parameters!$B$18,0)))</f>
        <v/>
      </c>
      <c r="X360" s="22">
        <f>T360-V360</f>
        <v/>
      </c>
      <c r="Y360" s="30">
        <f>M360*Parameters!$B$10/60*Parameters!$B$11+O360*M360+N360</f>
        <v/>
      </c>
      <c r="Z360" s="34">
        <f>IF(U360="transition","→ Tier 2 (Stellar Neighborhood)",IF(U360="FP","First Photons — light begins, system quickens",IF(U360="HP","Heliopause acquired",IF(U360="OR","Orbital Resonance — passive multiplier active",IF(AND(AO360=1,L360=0,AN360&lt;&gt;1),"Cohesion ready (waiting on completionist upgrades)","")))))</f>
        <v/>
      </c>
      <c r="AA360" s="27">
        <f>(IF(E360=0,0,(Upgrades!$G$6+E360*Upgrades!$H$6)*POWER(Upgrades!$I$6,E360)))*(IF(Upgrades!$T$7="Solar Wind",POWER(Upgrades!$U$7,F360),1)*IF(Upgrades!$T$8="Solar Wind",POWER(Upgrades!$U$8,G360),1)*IF(Upgrades!$T$9="Solar Wind",POWER(Upgrades!$U$9,H360),1)*IF(Upgrades!$T$10="Solar Wind",POWER(Upgrades!$U$10,I360),1)*IF(Upgrades!$T$11="Solar Wind",POWER(Upgrades!$U$11,J360),1)*IF(Upgrades!$T$12="Solar Wind",POWER(Upgrades!$U$12,K360),1))*POWER(Upgrades!$P$6,E360)*POWER(Upgrades!$P$7,F360)*POWER(Upgrades!$P$8,G360)*POWER(Upgrades!$P$9,H360)*POWER(Upgrades!$P$10,I360)*POWER(Upgrades!$P$11,J360)*POWER(Upgrades!$P$12,K360)*60</f>
        <v/>
      </c>
      <c r="AB360" s="27">
        <f>(IF(F360=0,0,(Upgrades!$G$7+F360*Upgrades!$H$7)*POWER(Upgrades!$I$7,F360)))*(IF(Upgrades!$T$6="Asteroid Belt",POWER(Upgrades!$U$6,E360),1)*IF(Upgrades!$T$8="Asteroid Belt",POWER(Upgrades!$U$8,G360),1)*IF(Upgrades!$T$9="Asteroid Belt",POWER(Upgrades!$U$9,H360),1)*IF(Upgrades!$T$10="Asteroid Belt",POWER(Upgrades!$U$10,I360),1)*IF(Upgrades!$T$11="Asteroid Belt",POWER(Upgrades!$U$11,J360),1)*IF(Upgrades!$T$12="Asteroid Belt",POWER(Upgrades!$U$12,K360),1))*POWER(Upgrades!$P$6,E360)*POWER(Upgrades!$P$7,F360)*POWER(Upgrades!$P$8,G360)*POWER(Upgrades!$P$9,H360)*POWER(Upgrades!$P$10,I360)*POWER(Upgrades!$P$11,J360)*POWER(Upgrades!$P$12,K360)*60</f>
        <v/>
      </c>
      <c r="AC360" s="27">
        <f>(IF(G360=0,0,(Upgrades!$J$8+G360*Upgrades!$K$8)*POWER(Upgrades!$L$8,G360)))*(IF(Upgrades!$T$6="Stellar Coupling",POWER(Upgrades!$U$6,E360),1)*IF(Upgrades!$T$7="Stellar Coupling",POWER(Upgrades!$U$7,F360),1)*IF(Upgrades!$T$9="Stellar Coupling",POWER(Upgrades!$U$9,H360),1)*IF(Upgrades!$T$10="Stellar Coupling",POWER(Upgrades!$U$10,I360),1)*IF(Upgrades!$T$11="Stellar Coupling",POWER(Upgrades!$U$11,J360),1)*IF(Upgrades!$T$12="Stellar Coupling",POWER(Upgrades!$U$12,K360),1))*POWER(Upgrades!$Q$6,E360)*POWER(Upgrades!$Q$7,F360)*POWER(Upgrades!$Q$8,G360)*POWER(Upgrades!$Q$9,H360)*POWER(Upgrades!$Q$10,I360)*POWER(Upgrades!$Q$11,J360)*POWER(Upgrades!$Q$12,K360)*Parameters!$B$10*Parameters!$B$11</f>
        <v/>
      </c>
      <c r="AD360" s="27">
        <f>(IF(H360=0,0,(Upgrades!$G$9+H360*Upgrades!$H$9)*POWER(Upgrades!$I$9,H360)))*(IF(Upgrades!$T$6="Magnetosphere",POWER(Upgrades!$U$6,E360),1)*IF(Upgrades!$T$7="Magnetosphere",POWER(Upgrades!$U$7,F360),1)*IF(Upgrades!$T$8="Magnetosphere",POWER(Upgrades!$U$8,G360),1)*IF(Upgrades!$T$10="Magnetosphere",POWER(Upgrades!$U$10,I360),1)*IF(Upgrades!$T$11="Magnetosphere",POWER(Upgrades!$U$11,J360),1)*IF(Upgrades!$T$12="Magnetosphere",POWER(Upgrades!$U$12,K360),1))*POWER(Upgrades!$P$6,E360)*POWER(Upgrades!$P$7,F360)*POWER(Upgrades!$P$8,G360)*POWER(Upgrades!$P$9,H360)*POWER(Upgrades!$P$10,I360)*POWER(Upgrades!$P$11,J360)*POWER(Upgrades!$P$12,K360)*60</f>
        <v/>
      </c>
      <c r="AE360" s="27">
        <f>(IF(K360=0,0,(Upgrades!$G$12+K360*Upgrades!$H$12)*POWER(Upgrades!$I$12,K360)))*(IF(Upgrades!$T$6="First Photons",POWER(Upgrades!$U$6,E360),1)*IF(Upgrades!$T$7="First Photons",POWER(Upgrades!$U$7,F360),1)*IF(Upgrades!$T$8="First Photons",POWER(Upgrades!$U$8,G360),1)*IF(Upgrades!$T$9="First Photons",POWER(Upgrades!$U$9,H360),1)*IF(Upgrades!$T$10="First Photons",POWER(Upgrades!$U$10,I360),1)*IF(Upgrades!$T$11="First Photons",POWER(Upgrades!$U$11,J360),1))*POWER(Upgrades!$P$6,E360)*POWER(Upgrades!$P$7,F360)*POWER(Upgrades!$P$8,G360)*POWER(Upgrades!$P$9,H360)*POWER(Upgrades!$P$10,I360)*POWER(Upgrades!$P$11,J360)*POWER(Upgrades!$P$12,K360)*60</f>
        <v/>
      </c>
      <c r="AF360" s="27">
        <f>Parameters!$B$9*POWER(Upgrades!$Q$6,E360)*POWER(Upgrades!$Q$7,F360)*POWER(Upgrades!$Q$8,G360)*POWER(Upgrades!$Q$9,H360)*POWER(Upgrades!$Q$10,I360)*POWER(Upgrades!$Q$11,J360)*POWER(Upgrades!$Q$12,K360)*(Parameters!$B$10*Parameters!$B$11+O360*60)</f>
        <v/>
      </c>
      <c r="AG360" s="22">
        <f>IF(E360&gt;=Upgrades!$E$6,"",Upgrades!$C$6*POWER(Upgrades!$D$6,E360))</f>
        <v/>
      </c>
      <c r="AH360" s="22">
        <f>IF(F360&gt;=Upgrades!$E$7,"",Upgrades!$C$7*POWER(Upgrades!$D$7,F360))</f>
        <v/>
      </c>
      <c r="AI360" s="22">
        <f>IF(G360&gt;=Upgrades!$E$8,"",Upgrades!$C$8*POWER(Upgrades!$D$8,G360))</f>
        <v/>
      </c>
      <c r="AJ360" s="22">
        <f>IF(H360&gt;=Upgrades!$E$9,"",Upgrades!$C$9*POWER(Upgrades!$D$9,H360))</f>
        <v/>
      </c>
      <c r="AK360" s="22">
        <f>IF(I360&gt;=Upgrades!$E$10,"",Upgrades!$C$10*POWER(Upgrades!$D$10,I360))</f>
        <v/>
      </c>
      <c r="AL360" s="22">
        <f>IF(J360&gt;=Upgrades!$E$11,"",Upgrades!$C$11*POWER(Upgrades!$D$11,J360))</f>
        <v/>
      </c>
      <c r="AM360" s="22">
        <f>IF(K360&gt;=Upgrades!$E$12,"",Upgrades!$C$12*POWER(Upgrades!$D$12,K360))</f>
        <v/>
      </c>
      <c r="AN360" s="26">
        <f>IF(AND(D360&gt;=Parameters!$B$18,(H360&gt;=Upgrades!$E$9)*(K360&gt;=Upgrades!$E$12)=1,L360=0),1,"")</f>
        <v/>
      </c>
      <c r="AO360" s="26">
        <f>IF(AND(D360&gt;=Parameters!$B$18,L360=0),1,"")</f>
        <v/>
      </c>
      <c r="AP360" s="22">
        <f>MIN(IF(ISNUMBER(AK360),AK360,9E15),IF(ISNUMBER(AL360),AL360,9E15),IF(ISNUMBER(AM360),AM360,9E15))</f>
        <v/>
      </c>
      <c r="AQ360" s="22">
        <f>MIN(IF(ISNUMBER(AG360),AG360,9E15),IF(ISNUMBER(AH360),AH360,9E15),IF(ISNUMBER(AI360),AI360,9E15),IF(ISNUMBER(AJ360),AJ360,9E15))</f>
        <v/>
      </c>
      <c r="AR360" s="29">
        <f>IF(AW360&gt;Parameters!$B$21*(MAX(IF(AND(NOT(AND(AO360=1,AN360&lt;&gt;1)),ISNUMBER(AG360),AG360&lt;=T360),AS360,0),IF(AND(NOT(AND(AO360=1,AN360&lt;&gt;1)),ISNUMBER(AH360),AH360&lt;=T360),AT360,0),IF(AND(NOT(AND(AO360=1,AN360&lt;&gt;1)),ISNUMBER(AI360),AI360&lt;=T360),AU360,0),IF(AND(ISNUMBER(AJ360),AJ360&lt;=T360),AV360,0))),TRUE,FALSE)</f>
        <v/>
      </c>
      <c r="AS360" s="32">
        <f>IFERROR(Upgrades!$H$6*(POWER(Upgrades!$P$6,E360)*POWER(Upgrades!$P$7,F360)*POWER(Upgrades!$P$8,G360)*POWER(Upgrades!$P$9,H360)*POWER(Upgrades!$P$10,I360)*POWER(Upgrades!$P$11,J360)*POWER(Upgrades!$P$12,K360))*(IF(Upgrades!$T$7="Solar Wind",POWER(Upgrades!$U$7,F360),1)*IF(Upgrades!$T$8="Solar Wind",POWER(Upgrades!$U$8,G360),1)*IF(Upgrades!$T$9="Solar Wind",POWER(Upgrades!$U$9,H360),1)*IF(Upgrades!$T$10="Solar Wind",POWER(Upgrades!$U$10,I360),1)*IF(Upgrades!$T$11="Solar Wind",POWER(Upgrades!$U$11,J360),1)*IF(Upgrades!$T$12="Solar Wind",POWER(Upgrades!$U$12,K360),1))/AG360,0)</f>
        <v/>
      </c>
      <c r="AT360" s="32">
        <f>IFERROR(Upgrades!$H$7*(POWER(Upgrades!$P$6,E360)*POWER(Upgrades!$P$7,F360)*POWER(Upgrades!$P$8,G360)*POWER(Upgrades!$P$9,H360)*POWER(Upgrades!$P$10,I360)*POWER(Upgrades!$P$11,J360)*POWER(Upgrades!$P$12,K360))*(IF(Upgrades!$T$6="Asteroid Belt",POWER(Upgrades!$U$6,E360),1)*IF(Upgrades!$T$8="Asteroid Belt",POWER(Upgrades!$U$8,G360),1)*IF(Upgrades!$T$9="Asteroid Belt",POWER(Upgrades!$U$9,H360),1)*IF(Upgrades!$T$10="Asteroid Belt",POWER(Upgrades!$U$10,I360),1)*IF(Upgrades!$T$11="Asteroid Belt",POWER(Upgrades!$U$11,J360),1)*IF(Upgrades!$T$12="Asteroid Belt",POWER(Upgrades!$U$12,K360),1))/AH360,0)</f>
        <v/>
      </c>
      <c r="AU360" s="32">
        <f>IFERROR(Upgrades!$K$8*(POWER(Upgrades!$Q$6,E360)*POWER(Upgrades!$Q$7,F360)*POWER(Upgrades!$Q$8,G360)*POWER(Upgrades!$Q$9,H360)*POWER(Upgrades!$Q$10,I360)*POWER(Upgrades!$Q$11,J360)*POWER(Upgrades!$Q$12,K360))*(IF(Upgrades!$T$6="Stellar Coupling",POWER(Upgrades!$U$6,E360),1)*IF(Upgrades!$T$7="Stellar Coupling",POWER(Upgrades!$U$7,F360),1)*IF(Upgrades!$T$9="Stellar Coupling",POWER(Upgrades!$U$9,H360),1)*IF(Upgrades!$T$10="Stellar Coupling",POWER(Upgrades!$U$10,I360),1)*IF(Upgrades!$T$11="Stellar Coupling",POWER(Upgrades!$U$11,J360),1)*IF(Upgrades!$T$12="Stellar Coupling",POWER(Upgrades!$U$12,K360),1))*Parameters!$B$10*Parameters!$B$11/60/AI360,0)</f>
        <v/>
      </c>
      <c r="AV360" s="32">
        <f>IFERROR(Upgrades!$H$9*(POWER(Upgrades!$P$6,E360)*POWER(Upgrades!$P$7,F360)*POWER(Upgrades!$P$8,G360)*POWER(Upgrades!$P$9,H360)*POWER(Upgrades!$P$10,I360)*POWER(Upgrades!$P$11,J360)*POWER(Upgrades!$P$12,K360))*(IF(Upgrades!$T$6="Magnetosphere",POWER(Upgrades!$U$6,E360),1)*IF(Upgrades!$T$7="Magnetosphere",POWER(Upgrades!$U$7,F360),1)*IF(Upgrades!$T$8="Magnetosphere",POWER(Upgrades!$U$8,G360),1)*IF(Upgrades!$T$10="Magnetosphere",POWER(Upgrades!$U$10,I360),1)*IF(Upgrades!$T$11="Magnetosphere",POWER(Upgrades!$U$11,J360),1)*IF(Upgrades!$T$12="Magnetosphere",POWER(Upgrades!$U$12,K360),1))/AJ360,0)</f>
        <v/>
      </c>
      <c r="AW360" s="32">
        <f>MAX(IF(I360&gt;0,0,IFERROR(0.25*N360/Upgrades!$C$10,0)),IF(J360&gt;0,0,IFERROR(0.5*((IF(G360=0,0,(Upgrades!$J$8+G360*Upgrades!$K$8)*POWER(Upgrades!$L$8,G360)))*(IF(Upgrades!$T$6="Stellar Coupling",POWER(Upgrades!$U$6,E360),1)*IF(Upgrades!$T$7="Stellar Coupling",POWER(Upgrades!$U$7,F360),1)*IF(Upgrades!$T$9="Stellar Coupling",POWER(Upgrades!$U$9,H360),1)*IF(Upgrades!$T$10="Stellar Coupling",POWER(Upgrades!$U$10,I360),1)*IF(Upgrades!$T$11="Stellar Coupling",POWER(Upgrades!$U$11,J360),1)*IF(Upgrades!$T$12="Stellar Coupling",POWER(Upgrades!$U$12,K360),1))*(POWER(Upgrades!$Q$6,E360)*POWER(Upgrades!$Q$7,F360)*POWER(Upgrades!$Q$8,G360)*POWER(Upgrades!$Q$9,H360)*POWER(Upgrades!$Q$10,I360)*POWER(Upgrades!$Q$11,J360)*POWER(Upgrades!$Q$12,K360))*Parameters!$B$10*Parameters!$B$11/60)/Upgrades!$C$11,0)),IF(K360&gt;0,0,IFERROR((1.0*(POWER(Upgrades!$P$6,E360)*POWER(Upgrades!$P$7,F360)*POWER(Upgrades!$P$8,G360)*POWER(Upgrades!$P$9,H360)*POWER(Upgrades!$P$10,I360)*POWER(Upgrades!$P$11,J360)*POWER(Upgrades!$P$12,K360))+0.20*M360*Parameters!$B$10*Parameters!$B$11/60)/Upgrades!$C$12,0)),IF(AND(ISNUMBER(AG360),AG360&gt;T360),AS360,0),IF(AND(ISNUMBER(AH360),AH360&gt;T360),AT360,0),IF(AND(ISNUMBER(AI360),AI360&gt;T360),AU360,0),IF(AND(ISNUMBER(AJ360),AJ360&gt;T360),AV360,0))</f>
        <v/>
      </c>
      <c r="AX360" s="29">
        <f>IF(AN360=1,"transition",IF(MIN(IF(AND(I360=0,ISNUMBER(AK360),AK360&lt;=T360),AK360,9E15),IF(AND(J360=0,ISNUMBER(AL360),AL360&lt;=T360),AL360,9E15),IF(AND(K360=0,ISNUMBER(AM360),AM360&lt;=T360),AM360,9E15))&lt;9E15,IF(AND(AND(I360=0,ISNUMBER(AK360),AK360&lt;=T360),AK360=MIN(IF(AND(I360=0,ISNUMBER(AK360),AK360&lt;=T360),AK360,9E15),IF(AND(J360=0,ISNUMBER(AL360),AL360&lt;=T360),AL360,9E15),IF(AND(K360=0,ISNUMBER(AM360),AM360&lt;=T360),AM360,9E15))),"OR",IF(AND(AND(J360=0,ISNUMBER(AL360),AL360&lt;=T360),AL360=MIN(IF(AND(I360=0,ISNUMBER(AK360),AK360&lt;=T360),AK360,9E15),IF(AND(J360=0,ISNUMBER(AL360),AL360&lt;=T360),AL360,9E15),IF(AND(K360=0,ISNUMBER(AM360),AM360&lt;=T360),AM360,9E15))),"HP","FP")),IF(AR360=TRUE,"",IF(MAX(IF(AND(NOT(AND(AO360=1,AN360&lt;&gt;1)),ISNUMBER(AG360),AG360&lt;=T360),AS360,0),IF(AND(NOT(AND(AO360=1,AN360&lt;&gt;1)),ISNUMBER(AH360),AH360&lt;=T360),AT360,0),IF(AND(NOT(AND(AO360=1,AN360&lt;&gt;1)),ISNUMBER(AI360),AI360&lt;=T360),AU360,0),IF(AND(ISNUMBER(AJ360),AJ360&lt;=T360),AV360,0))&lt;=0,"",IF(AND(IF(AND(NOT(AND(AO360=1,AN360&lt;&gt;1)),ISNUMBER(AG360),AG360&lt;=T360),AS360,0)&gt;0,IF(AND(NOT(AND(AO360=1,AN360&lt;&gt;1)),ISNUMBER(AG360),AG360&lt;=T360),AS360,0)=MAX(IF(AND(NOT(AND(AO360=1,AN360&lt;&gt;1)),ISNUMBER(AG360),AG360&lt;=T360),AS360,0),IF(AND(NOT(AND(AO360=1,AN360&lt;&gt;1)),ISNUMBER(AH360),AH360&lt;=T360),AT360,0),IF(AND(NOT(AND(AO360=1,AN360&lt;&gt;1)),ISNUMBER(AI360),AI360&lt;=T360),AU360,0),IF(AND(ISNUMBER(AJ360),AJ360&lt;=T360),AV360,0))),"SW",IF(AND(IF(AND(NOT(AND(AO360=1,AN360&lt;&gt;1)),ISNUMBER(AH360),AH360&lt;=T360),AT360,0)&gt;0,IF(AND(NOT(AND(AO360=1,AN360&lt;&gt;1)),ISNUMBER(AH360),AH360&lt;=T360),AT360,0)=MAX(IF(AND(NOT(AND(AO360=1,AN360&lt;&gt;1)),ISNUMBER(AG360),AG360&lt;=T360),AS360,0),IF(AND(NOT(AND(AO360=1,AN360&lt;&gt;1)),ISNUMBER(AH360),AH360&lt;=T360),AT360,0),IF(AND(NOT(AND(AO360=1,AN360&lt;&gt;1)),ISNUMBER(AI360),AI360&lt;=T360),AU360,0),IF(AND(ISNUMBER(AJ360),AJ360&lt;=T360),AV360,0))),"AB",IF(AND(IF(AND(NOT(AND(AO360=1,AN360&lt;&gt;1)),ISNUMBER(AI360),AI360&lt;=T360),AU360,0)&gt;0,IF(AND(NOT(AND(AO360=1,AN360&lt;&gt;1)),ISNUMBER(AI360),AI360&lt;=T360),AU360,0)=MAX(IF(AND(NOT(AND(AO360=1,AN360&lt;&gt;1)),ISNUMBER(AG360),AG360&lt;=T360),AS360,0),IF(AND(NOT(AND(AO360=1,AN360&lt;&gt;1)),ISNUMBER(AH360),AH360&lt;=T360),AT360,0),IF(AND(NOT(AND(AO360=1,AN360&lt;&gt;1)),ISNUMBER(AI360),AI360&lt;=T360),AU360,0),IF(AND(ISNUMBER(AJ360),AJ360&lt;=T360),AV360,0))),"SC","Mag")))))))</f>
        <v/>
      </c>
    </row>
    <row r="361">
      <c r="A361" s="26" t="n">
        <v>356</v>
      </c>
      <c r="B361" s="27">
        <f>A361*10/60</f>
        <v/>
      </c>
      <c r="C361" s="22">
        <f>X360</f>
        <v/>
      </c>
      <c r="D361" s="27">
        <f>D360+W360</f>
        <v/>
      </c>
      <c r="E361" s="26">
        <f>E360+IF(U360="SW",1,0)</f>
        <v/>
      </c>
      <c r="F361" s="26">
        <f>F360+IF(U360="AB",1,0)</f>
        <v/>
      </c>
      <c r="G361" s="26">
        <f>G360+IF(U360="SC",1,0)</f>
        <v/>
      </c>
      <c r="H361" s="26">
        <f>H360+IF(U360="Mag",1,0)</f>
        <v/>
      </c>
      <c r="I361" s="26">
        <f>MAX(I360,IF(U360="OR",1,0))</f>
        <v/>
      </c>
      <c r="J361" s="26">
        <f>MAX(J360,IF(U360="HP",1,0))</f>
        <v/>
      </c>
      <c r="K361" s="26">
        <f>MAX(K360,IF(U360="FP",1,0))</f>
        <v/>
      </c>
      <c r="L361" s="26">
        <f>MAX(L360,IF(U360="transition",1,0))</f>
        <v/>
      </c>
      <c r="M361" s="28">
        <f>(Parameters!$B$9+(IF(E361=0,0,(Upgrades!$J$6+E361*Upgrades!$K$6)*POWER(Upgrades!$L$6,E361)))*(IF(Upgrades!$T$7="Solar Wind",POWER(Upgrades!$U$7,F361),1)*IF(Upgrades!$T$8="Solar Wind",POWER(Upgrades!$U$8,G361),1)*IF(Upgrades!$T$9="Solar Wind",POWER(Upgrades!$U$9,H361),1)*IF(Upgrades!$T$10="Solar Wind",POWER(Upgrades!$U$10,I361),1)*IF(Upgrades!$T$11="Solar Wind",POWER(Upgrades!$U$11,J361),1)*IF(Upgrades!$T$12="Solar Wind",POWER(Upgrades!$U$12,K361),1))+(IF(F361=0,0,(Upgrades!$J$7+F361*Upgrades!$K$7)*POWER(Upgrades!$L$7,F361)))*(IF(Upgrades!$T$6="Asteroid Belt",POWER(Upgrades!$U$6,E361),1)*IF(Upgrades!$T$8="Asteroid Belt",POWER(Upgrades!$U$8,G361),1)*IF(Upgrades!$T$9="Asteroid Belt",POWER(Upgrades!$U$9,H361),1)*IF(Upgrades!$T$10="Asteroid Belt",POWER(Upgrades!$U$10,I361),1)*IF(Upgrades!$T$11="Asteroid Belt",POWER(Upgrades!$U$11,J361),1)*IF(Upgrades!$T$12="Asteroid Belt",POWER(Upgrades!$U$12,K361),1))+(IF(G361=0,0,(Upgrades!$J$8+G361*Upgrades!$K$8)*POWER(Upgrades!$L$8,G361)))*(IF(Upgrades!$T$6="Stellar Coupling",POWER(Upgrades!$U$6,E361),1)*IF(Upgrades!$T$7="Stellar Coupling",POWER(Upgrades!$U$7,F361),1)*IF(Upgrades!$T$9="Stellar Coupling",POWER(Upgrades!$U$9,H361),1)*IF(Upgrades!$T$10="Stellar Coupling",POWER(Upgrades!$U$10,I361),1)*IF(Upgrades!$T$11="Stellar Coupling",POWER(Upgrades!$U$11,J361),1)*IF(Upgrades!$T$12="Stellar Coupling",POWER(Upgrades!$U$12,K361),1))+(IF(H361=0,0,(Upgrades!$J$9+H361*Upgrades!$K$9)*POWER(Upgrades!$L$9,H361)))*(IF(Upgrades!$T$6="Magnetosphere",POWER(Upgrades!$U$6,E361),1)*IF(Upgrades!$T$7="Magnetosphere",POWER(Upgrades!$U$7,F361),1)*IF(Upgrades!$T$8="Magnetosphere",POWER(Upgrades!$U$8,G361),1)*IF(Upgrades!$T$10="Magnetosphere",POWER(Upgrades!$U$10,I361),1)*IF(Upgrades!$T$11="Magnetosphere",POWER(Upgrades!$U$11,J361),1)*IF(Upgrades!$T$12="Magnetosphere",POWER(Upgrades!$U$12,K361),1))+(IF(I361=0,0,(Upgrades!$J$10+I361*Upgrades!$K$10)*POWER(Upgrades!$L$10,I361)))*(IF(Upgrades!$T$6="Orbital Resonance",POWER(Upgrades!$U$6,E361),1)*IF(Upgrades!$T$7="Orbital Resonance",POWER(Upgrades!$U$7,F361),1)*IF(Upgrades!$T$8="Orbital Resonance",POWER(Upgrades!$U$8,G361),1)*IF(Upgrades!$T$9="Orbital Resonance",POWER(Upgrades!$U$9,H361),1)*IF(Upgrades!$T$11="Orbital Resonance",POWER(Upgrades!$U$11,J361),1)*IF(Upgrades!$T$12="Orbital Resonance",POWER(Upgrades!$U$12,K361),1))+(IF(J361=0,0,(Upgrades!$J$11+J361*Upgrades!$K$11)*POWER(Upgrades!$L$11,J361)))*(IF(Upgrades!$T$6="Heliopause",POWER(Upgrades!$U$6,E361),1)*IF(Upgrades!$T$7="Heliopause",POWER(Upgrades!$U$7,F361),1)*IF(Upgrades!$T$8="Heliopause",POWER(Upgrades!$U$8,G361),1)*IF(Upgrades!$T$9="Heliopause",POWER(Upgrades!$U$9,H361),1)*IF(Upgrades!$T$10="Heliopause",POWER(Upgrades!$U$10,I361),1)*IF(Upgrades!$T$12="Heliopause",POWER(Upgrades!$U$12,K361),1))+(IF(K361=0,0,(Upgrades!$J$12+K361*Upgrades!$K$12)*POWER(Upgrades!$L$12,K361)))*(IF(Upgrades!$T$6="First Photons",POWER(Upgrades!$U$6,E361),1)*IF(Upgrades!$T$7="First Photons",POWER(Upgrades!$U$7,F361),1)*IF(Upgrades!$T$8="First Photons",POWER(Upgrades!$U$8,G361),1)*IF(Upgrades!$T$9="First Photons",POWER(Upgrades!$U$9,H361),1)*IF(Upgrades!$T$10="First Photons",POWER(Upgrades!$U$10,I361),1)*IF(Upgrades!$T$11="First Photons",POWER(Upgrades!$U$11,J361),1)))*POWER(Upgrades!$Q$6,E361)*POWER(Upgrades!$Q$7,F361)*POWER(Upgrades!$Q$8,G361)*POWER(Upgrades!$Q$9,H361)*POWER(Upgrades!$Q$10,I361)*POWER(Upgrades!$Q$11,J361)*POWER(Upgrades!$Q$12,K361)</f>
        <v/>
      </c>
      <c r="N361" s="28">
        <f>((IF(E361=0,0,(Upgrades!$G$6+E361*Upgrades!$H$6)*POWER(Upgrades!$I$6,E361)))*(IF(Upgrades!$T$7="Solar Wind",POWER(Upgrades!$U$7,F361),1)*IF(Upgrades!$T$8="Solar Wind",POWER(Upgrades!$U$8,G361),1)*IF(Upgrades!$T$9="Solar Wind",POWER(Upgrades!$U$9,H361),1)*IF(Upgrades!$T$10="Solar Wind",POWER(Upgrades!$U$10,I361),1)*IF(Upgrades!$T$11="Solar Wind",POWER(Upgrades!$U$11,J361),1)*IF(Upgrades!$T$12="Solar Wind",POWER(Upgrades!$U$12,K361),1))+(IF(F361=0,0,(Upgrades!$G$7+F361*Upgrades!$H$7)*POWER(Upgrades!$I$7,F361)))*(IF(Upgrades!$T$6="Asteroid Belt",POWER(Upgrades!$U$6,E361),1)*IF(Upgrades!$T$8="Asteroid Belt",POWER(Upgrades!$U$8,G361),1)*IF(Upgrades!$T$9="Asteroid Belt",POWER(Upgrades!$U$9,H361),1)*IF(Upgrades!$T$10="Asteroid Belt",POWER(Upgrades!$U$10,I361),1)*IF(Upgrades!$T$11="Asteroid Belt",POWER(Upgrades!$U$11,J361),1)*IF(Upgrades!$T$12="Asteroid Belt",POWER(Upgrades!$U$12,K361),1))+(IF(G361=0,0,(Upgrades!$G$8+G361*Upgrades!$H$8)*POWER(Upgrades!$I$8,G361)))*(IF(Upgrades!$T$6="Stellar Coupling",POWER(Upgrades!$U$6,E361),1)*IF(Upgrades!$T$7="Stellar Coupling",POWER(Upgrades!$U$7,F361),1)*IF(Upgrades!$T$9="Stellar Coupling",POWER(Upgrades!$U$9,H361),1)*IF(Upgrades!$T$10="Stellar Coupling",POWER(Upgrades!$U$10,I361),1)*IF(Upgrades!$T$11="Stellar Coupling",POWER(Upgrades!$U$11,J361),1)*IF(Upgrades!$T$12="Stellar Coupling",POWER(Upgrades!$U$12,K361),1))+(IF(H361=0,0,(Upgrades!$G$9+H361*Upgrades!$H$9)*POWER(Upgrades!$I$9,H361)))*(IF(Upgrades!$T$6="Magnetosphere",POWER(Upgrades!$U$6,E361),1)*IF(Upgrades!$T$7="Magnetosphere",POWER(Upgrades!$U$7,F361),1)*IF(Upgrades!$T$8="Magnetosphere",POWER(Upgrades!$U$8,G361),1)*IF(Upgrades!$T$10="Magnetosphere",POWER(Upgrades!$U$10,I361),1)*IF(Upgrades!$T$11="Magnetosphere",POWER(Upgrades!$U$11,J361),1)*IF(Upgrades!$T$12="Magnetosphere",POWER(Upgrades!$U$12,K361),1))+(IF(I361=0,0,(Upgrades!$G$10+I361*Upgrades!$H$10)*POWER(Upgrades!$I$10,I361)))*(IF(Upgrades!$T$6="Orbital Resonance",POWER(Upgrades!$U$6,E361),1)*IF(Upgrades!$T$7="Orbital Resonance",POWER(Upgrades!$U$7,F361),1)*IF(Upgrades!$T$8="Orbital Resonance",POWER(Upgrades!$U$8,G361),1)*IF(Upgrades!$T$9="Orbital Resonance",POWER(Upgrades!$U$9,H361),1)*IF(Upgrades!$T$11="Orbital Resonance",POWER(Upgrades!$U$11,J361),1)*IF(Upgrades!$T$12="Orbital Resonance",POWER(Upgrades!$U$12,K361),1))+(IF(J361=0,0,(Upgrades!$G$11+J361*Upgrades!$H$11)*POWER(Upgrades!$I$11,J361)))*(IF(Upgrades!$T$6="Heliopause",POWER(Upgrades!$U$6,E361),1)*IF(Upgrades!$T$7="Heliopause",POWER(Upgrades!$U$7,F361),1)*IF(Upgrades!$T$8="Heliopause",POWER(Upgrades!$U$8,G361),1)*IF(Upgrades!$T$9="Heliopause",POWER(Upgrades!$U$9,H361),1)*IF(Upgrades!$T$10="Heliopause",POWER(Upgrades!$U$10,I361),1)*IF(Upgrades!$T$12="Heliopause",POWER(Upgrades!$U$12,K361),1))+(IF(K361=0,0,(Upgrades!$G$12+K361*Upgrades!$H$12)*POWER(Upgrades!$I$12,K361)))*(IF(Upgrades!$T$6="First Photons",POWER(Upgrades!$U$6,E361),1)*IF(Upgrades!$T$7="First Photons",POWER(Upgrades!$U$7,F361),1)*IF(Upgrades!$T$8="First Photons",POWER(Upgrades!$U$8,G361),1)*IF(Upgrades!$T$9="First Photons",POWER(Upgrades!$U$9,H361),1)*IF(Upgrades!$T$10="First Photons",POWER(Upgrades!$U$10,I361),1)*IF(Upgrades!$T$11="First Photons",POWER(Upgrades!$U$11,J361),1)))*POWER(Upgrades!$P$6,E361)*POWER(Upgrades!$P$7,F361)*POWER(Upgrades!$P$8,G361)*POWER(Upgrades!$P$9,H361)*POWER(Upgrades!$P$10,I361)*POWER(Upgrades!$P$11,J361)*POWER(Upgrades!$P$12,K361)</f>
        <v/>
      </c>
      <c r="O361" s="28">
        <f>((IF(E361=0,0,(Upgrades!$M$6+E361*Upgrades!$N$6)*POWER(Upgrades!$O$6,E361)))*(IF(Upgrades!$T$7="Solar Wind",POWER(Upgrades!$U$7,F361),1)*IF(Upgrades!$T$8="Solar Wind",POWER(Upgrades!$U$8,G361),1)*IF(Upgrades!$T$9="Solar Wind",POWER(Upgrades!$U$9,H361),1)*IF(Upgrades!$T$10="Solar Wind",POWER(Upgrades!$U$10,I361),1)*IF(Upgrades!$T$11="Solar Wind",POWER(Upgrades!$U$11,J361),1)*IF(Upgrades!$T$12="Solar Wind",POWER(Upgrades!$U$12,K361),1))+(IF(F361=0,0,(Upgrades!$M$7+F361*Upgrades!$N$7)*POWER(Upgrades!$O$7,F361)))*(IF(Upgrades!$T$6="Asteroid Belt",POWER(Upgrades!$U$6,E361),1)*IF(Upgrades!$T$8="Asteroid Belt",POWER(Upgrades!$U$8,G361),1)*IF(Upgrades!$T$9="Asteroid Belt",POWER(Upgrades!$U$9,H361),1)*IF(Upgrades!$T$10="Asteroid Belt",POWER(Upgrades!$U$10,I361),1)*IF(Upgrades!$T$11="Asteroid Belt",POWER(Upgrades!$U$11,J361),1)*IF(Upgrades!$T$12="Asteroid Belt",POWER(Upgrades!$U$12,K361),1))+(IF(G361=0,0,(Upgrades!$M$8+G361*Upgrades!$N$8)*POWER(Upgrades!$O$8,G361)))*(IF(Upgrades!$T$6="Stellar Coupling",POWER(Upgrades!$U$6,E361),1)*IF(Upgrades!$T$7="Stellar Coupling",POWER(Upgrades!$U$7,F361),1)*IF(Upgrades!$T$9="Stellar Coupling",POWER(Upgrades!$U$9,H361),1)*IF(Upgrades!$T$10="Stellar Coupling",POWER(Upgrades!$U$10,I361),1)*IF(Upgrades!$T$11="Stellar Coupling",POWER(Upgrades!$U$11,J361),1)*IF(Upgrades!$T$12="Stellar Coupling",POWER(Upgrades!$U$12,K361),1))+(IF(H361=0,0,(Upgrades!$M$9+H361*Upgrades!$N$9)*POWER(Upgrades!$O$9,H361)))*(IF(Upgrades!$T$6="Magnetosphere",POWER(Upgrades!$U$6,E361),1)*IF(Upgrades!$T$7="Magnetosphere",POWER(Upgrades!$U$7,F361),1)*IF(Upgrades!$T$8="Magnetosphere",POWER(Upgrades!$U$8,G361),1)*IF(Upgrades!$T$10="Magnetosphere",POWER(Upgrades!$U$10,I361),1)*IF(Upgrades!$T$11="Magnetosphere",POWER(Upgrades!$U$11,J361),1)*IF(Upgrades!$T$12="Magnetosphere",POWER(Upgrades!$U$12,K361),1))+(IF(I361=0,0,(Upgrades!$M$10+I361*Upgrades!$N$10)*POWER(Upgrades!$O$10,I361)))*(IF(Upgrades!$T$6="Orbital Resonance",POWER(Upgrades!$U$6,E361),1)*IF(Upgrades!$T$7="Orbital Resonance",POWER(Upgrades!$U$7,F361),1)*IF(Upgrades!$T$8="Orbital Resonance",POWER(Upgrades!$U$8,G361),1)*IF(Upgrades!$T$9="Orbital Resonance",POWER(Upgrades!$U$9,H361),1)*IF(Upgrades!$T$11="Orbital Resonance",POWER(Upgrades!$U$11,J361),1)*IF(Upgrades!$T$12="Orbital Resonance",POWER(Upgrades!$U$12,K361),1))+(IF(J361=0,0,(Upgrades!$M$11+J361*Upgrades!$N$11)*POWER(Upgrades!$O$11,J361)))*(IF(Upgrades!$T$6="Heliopause",POWER(Upgrades!$U$6,E361),1)*IF(Upgrades!$T$7="Heliopause",POWER(Upgrades!$U$7,F361),1)*IF(Upgrades!$T$8="Heliopause",POWER(Upgrades!$U$8,G361),1)*IF(Upgrades!$T$9="Heliopause",POWER(Upgrades!$U$9,H361),1)*IF(Upgrades!$T$10="Heliopause",POWER(Upgrades!$U$10,I361),1)*IF(Upgrades!$T$12="Heliopause",POWER(Upgrades!$U$12,K361),1))+(IF(K361=0,0,(Upgrades!$M$12+K361*Upgrades!$N$12)*POWER(Upgrades!$O$12,K361)))*(IF(Upgrades!$T$6="First Photons",POWER(Upgrades!$U$6,E361),1)*IF(Upgrades!$T$7="First Photons",POWER(Upgrades!$U$7,F361),1)*IF(Upgrades!$T$8="First Photons",POWER(Upgrades!$U$8,G361),1)*IF(Upgrades!$T$9="First Photons",POWER(Upgrades!$U$9,H361),1)*IF(Upgrades!$T$10="First Photons",POWER(Upgrades!$U$10,I361),1)*IF(Upgrades!$T$11="First Photons",POWER(Upgrades!$U$11,J361),1)))*POWER(Upgrades!$R$6,E361)*POWER(Upgrades!$R$7,F361)*POWER(Upgrades!$R$8,G361)*POWER(Upgrades!$R$9,H361)*POWER(Upgrades!$R$10,I361)*POWER(Upgrades!$R$11,J361)*POWER(Upgrades!$R$12,K361)</f>
        <v/>
      </c>
      <c r="P361" s="27">
        <f>IF(L361=1,0,M361*Parameters!$B$10/60*Parameters!$B$11*10)</f>
        <v/>
      </c>
      <c r="Q361" s="27">
        <f>IF(L361=1,0,O361*M361*10)</f>
        <v/>
      </c>
      <c r="R361" s="27">
        <f>IF(L361=1,0,N361*10)</f>
        <v/>
      </c>
      <c r="S361" s="27">
        <f>P361+Q361+R361</f>
        <v/>
      </c>
      <c r="T361" s="22">
        <f>C361+S361</f>
        <v/>
      </c>
      <c r="U361" s="33">
        <f>AX361</f>
        <v/>
      </c>
      <c r="V361" s="22">
        <f>IF(U361="",0,IF(U361="transition",0,IF(U361="SW",AG361,IF(U361="AB",AH361,IF(U361="SC",AI361,IF(U361="Mag",AJ361,IF(U361="OR",AK361,IF(U361="HP",AL361,IF(U361="FP",AM361,0)))))))))</f>
        <v/>
      </c>
      <c r="W361" s="27">
        <f>IF(U361="OR",Upgrades!$F$10,IF(U361="HP",Upgrades!$F$11,IF(U361="transition",-Parameters!$B$18,0)))</f>
        <v/>
      </c>
      <c r="X361" s="22">
        <f>T361-V361</f>
        <v/>
      </c>
      <c r="Y361" s="30">
        <f>M361*Parameters!$B$10/60*Parameters!$B$11+O361*M361+N361</f>
        <v/>
      </c>
      <c r="Z361" s="34">
        <f>IF(U361="transition","→ Tier 2 (Stellar Neighborhood)",IF(U361="FP","First Photons — light begins, system quickens",IF(U361="HP","Heliopause acquired",IF(U361="OR","Orbital Resonance — passive multiplier active",IF(AND(AO361=1,L361=0,AN361&lt;&gt;1),"Cohesion ready (waiting on completionist upgrades)","")))))</f>
        <v/>
      </c>
      <c r="AA361" s="27">
        <f>(IF(E361=0,0,(Upgrades!$G$6+E361*Upgrades!$H$6)*POWER(Upgrades!$I$6,E361)))*(IF(Upgrades!$T$7="Solar Wind",POWER(Upgrades!$U$7,F361),1)*IF(Upgrades!$T$8="Solar Wind",POWER(Upgrades!$U$8,G361),1)*IF(Upgrades!$T$9="Solar Wind",POWER(Upgrades!$U$9,H361),1)*IF(Upgrades!$T$10="Solar Wind",POWER(Upgrades!$U$10,I361),1)*IF(Upgrades!$T$11="Solar Wind",POWER(Upgrades!$U$11,J361),1)*IF(Upgrades!$T$12="Solar Wind",POWER(Upgrades!$U$12,K361),1))*POWER(Upgrades!$P$6,E361)*POWER(Upgrades!$P$7,F361)*POWER(Upgrades!$P$8,G361)*POWER(Upgrades!$P$9,H361)*POWER(Upgrades!$P$10,I361)*POWER(Upgrades!$P$11,J361)*POWER(Upgrades!$P$12,K361)*60</f>
        <v/>
      </c>
      <c r="AB361" s="27">
        <f>(IF(F361=0,0,(Upgrades!$G$7+F361*Upgrades!$H$7)*POWER(Upgrades!$I$7,F361)))*(IF(Upgrades!$T$6="Asteroid Belt",POWER(Upgrades!$U$6,E361),1)*IF(Upgrades!$T$8="Asteroid Belt",POWER(Upgrades!$U$8,G361),1)*IF(Upgrades!$T$9="Asteroid Belt",POWER(Upgrades!$U$9,H361),1)*IF(Upgrades!$T$10="Asteroid Belt",POWER(Upgrades!$U$10,I361),1)*IF(Upgrades!$T$11="Asteroid Belt",POWER(Upgrades!$U$11,J361),1)*IF(Upgrades!$T$12="Asteroid Belt",POWER(Upgrades!$U$12,K361),1))*POWER(Upgrades!$P$6,E361)*POWER(Upgrades!$P$7,F361)*POWER(Upgrades!$P$8,G361)*POWER(Upgrades!$P$9,H361)*POWER(Upgrades!$P$10,I361)*POWER(Upgrades!$P$11,J361)*POWER(Upgrades!$P$12,K361)*60</f>
        <v/>
      </c>
      <c r="AC361" s="27">
        <f>(IF(G361=0,0,(Upgrades!$J$8+G361*Upgrades!$K$8)*POWER(Upgrades!$L$8,G361)))*(IF(Upgrades!$T$6="Stellar Coupling",POWER(Upgrades!$U$6,E361),1)*IF(Upgrades!$T$7="Stellar Coupling",POWER(Upgrades!$U$7,F361),1)*IF(Upgrades!$T$9="Stellar Coupling",POWER(Upgrades!$U$9,H361),1)*IF(Upgrades!$T$10="Stellar Coupling",POWER(Upgrades!$U$10,I361),1)*IF(Upgrades!$T$11="Stellar Coupling",POWER(Upgrades!$U$11,J361),1)*IF(Upgrades!$T$12="Stellar Coupling",POWER(Upgrades!$U$12,K361),1))*POWER(Upgrades!$Q$6,E361)*POWER(Upgrades!$Q$7,F361)*POWER(Upgrades!$Q$8,G361)*POWER(Upgrades!$Q$9,H361)*POWER(Upgrades!$Q$10,I361)*POWER(Upgrades!$Q$11,J361)*POWER(Upgrades!$Q$12,K361)*Parameters!$B$10*Parameters!$B$11</f>
        <v/>
      </c>
      <c r="AD361" s="27">
        <f>(IF(H361=0,0,(Upgrades!$G$9+H361*Upgrades!$H$9)*POWER(Upgrades!$I$9,H361)))*(IF(Upgrades!$T$6="Magnetosphere",POWER(Upgrades!$U$6,E361),1)*IF(Upgrades!$T$7="Magnetosphere",POWER(Upgrades!$U$7,F361),1)*IF(Upgrades!$T$8="Magnetosphere",POWER(Upgrades!$U$8,G361),1)*IF(Upgrades!$T$10="Magnetosphere",POWER(Upgrades!$U$10,I361),1)*IF(Upgrades!$T$11="Magnetosphere",POWER(Upgrades!$U$11,J361),1)*IF(Upgrades!$T$12="Magnetosphere",POWER(Upgrades!$U$12,K361),1))*POWER(Upgrades!$P$6,E361)*POWER(Upgrades!$P$7,F361)*POWER(Upgrades!$P$8,G361)*POWER(Upgrades!$P$9,H361)*POWER(Upgrades!$P$10,I361)*POWER(Upgrades!$P$11,J361)*POWER(Upgrades!$P$12,K361)*60</f>
        <v/>
      </c>
      <c r="AE361" s="27">
        <f>(IF(K361=0,0,(Upgrades!$G$12+K361*Upgrades!$H$12)*POWER(Upgrades!$I$12,K361)))*(IF(Upgrades!$T$6="First Photons",POWER(Upgrades!$U$6,E361),1)*IF(Upgrades!$T$7="First Photons",POWER(Upgrades!$U$7,F361),1)*IF(Upgrades!$T$8="First Photons",POWER(Upgrades!$U$8,G361),1)*IF(Upgrades!$T$9="First Photons",POWER(Upgrades!$U$9,H361),1)*IF(Upgrades!$T$10="First Photons",POWER(Upgrades!$U$10,I361),1)*IF(Upgrades!$T$11="First Photons",POWER(Upgrades!$U$11,J361),1))*POWER(Upgrades!$P$6,E361)*POWER(Upgrades!$P$7,F361)*POWER(Upgrades!$P$8,G361)*POWER(Upgrades!$P$9,H361)*POWER(Upgrades!$P$10,I361)*POWER(Upgrades!$P$11,J361)*POWER(Upgrades!$P$12,K361)*60</f>
        <v/>
      </c>
      <c r="AF361" s="27">
        <f>Parameters!$B$9*POWER(Upgrades!$Q$6,E361)*POWER(Upgrades!$Q$7,F361)*POWER(Upgrades!$Q$8,G361)*POWER(Upgrades!$Q$9,H361)*POWER(Upgrades!$Q$10,I361)*POWER(Upgrades!$Q$11,J361)*POWER(Upgrades!$Q$12,K361)*(Parameters!$B$10*Parameters!$B$11+O361*60)</f>
        <v/>
      </c>
      <c r="AG361" s="22">
        <f>IF(E361&gt;=Upgrades!$E$6,"",Upgrades!$C$6*POWER(Upgrades!$D$6,E361))</f>
        <v/>
      </c>
      <c r="AH361" s="22">
        <f>IF(F361&gt;=Upgrades!$E$7,"",Upgrades!$C$7*POWER(Upgrades!$D$7,F361))</f>
        <v/>
      </c>
      <c r="AI361" s="22">
        <f>IF(G361&gt;=Upgrades!$E$8,"",Upgrades!$C$8*POWER(Upgrades!$D$8,G361))</f>
        <v/>
      </c>
      <c r="AJ361" s="22">
        <f>IF(H361&gt;=Upgrades!$E$9,"",Upgrades!$C$9*POWER(Upgrades!$D$9,H361))</f>
        <v/>
      </c>
      <c r="AK361" s="22">
        <f>IF(I361&gt;=Upgrades!$E$10,"",Upgrades!$C$10*POWER(Upgrades!$D$10,I361))</f>
        <v/>
      </c>
      <c r="AL361" s="22">
        <f>IF(J361&gt;=Upgrades!$E$11,"",Upgrades!$C$11*POWER(Upgrades!$D$11,J361))</f>
        <v/>
      </c>
      <c r="AM361" s="22">
        <f>IF(K361&gt;=Upgrades!$E$12,"",Upgrades!$C$12*POWER(Upgrades!$D$12,K361))</f>
        <v/>
      </c>
      <c r="AN361" s="26">
        <f>IF(AND(D361&gt;=Parameters!$B$18,(H361&gt;=Upgrades!$E$9)*(K361&gt;=Upgrades!$E$12)=1,L361=0),1,"")</f>
        <v/>
      </c>
      <c r="AO361" s="26">
        <f>IF(AND(D361&gt;=Parameters!$B$18,L361=0),1,"")</f>
        <v/>
      </c>
      <c r="AP361" s="22">
        <f>MIN(IF(ISNUMBER(AK361),AK361,9E15),IF(ISNUMBER(AL361),AL361,9E15),IF(ISNUMBER(AM361),AM361,9E15))</f>
        <v/>
      </c>
      <c r="AQ361" s="22">
        <f>MIN(IF(ISNUMBER(AG361),AG361,9E15),IF(ISNUMBER(AH361),AH361,9E15),IF(ISNUMBER(AI361),AI361,9E15),IF(ISNUMBER(AJ361),AJ361,9E15))</f>
        <v/>
      </c>
      <c r="AR361" s="29">
        <f>IF(AW361&gt;Parameters!$B$21*(MAX(IF(AND(NOT(AND(AO361=1,AN361&lt;&gt;1)),ISNUMBER(AG361),AG361&lt;=T361),AS361,0),IF(AND(NOT(AND(AO361=1,AN361&lt;&gt;1)),ISNUMBER(AH361),AH361&lt;=T361),AT361,0),IF(AND(NOT(AND(AO361=1,AN361&lt;&gt;1)),ISNUMBER(AI361),AI361&lt;=T361),AU361,0),IF(AND(ISNUMBER(AJ361),AJ361&lt;=T361),AV361,0))),TRUE,FALSE)</f>
        <v/>
      </c>
      <c r="AS361" s="32">
        <f>IFERROR(Upgrades!$H$6*(POWER(Upgrades!$P$6,E361)*POWER(Upgrades!$P$7,F361)*POWER(Upgrades!$P$8,G361)*POWER(Upgrades!$P$9,H361)*POWER(Upgrades!$P$10,I361)*POWER(Upgrades!$P$11,J361)*POWER(Upgrades!$P$12,K361))*(IF(Upgrades!$T$7="Solar Wind",POWER(Upgrades!$U$7,F361),1)*IF(Upgrades!$T$8="Solar Wind",POWER(Upgrades!$U$8,G361),1)*IF(Upgrades!$T$9="Solar Wind",POWER(Upgrades!$U$9,H361),1)*IF(Upgrades!$T$10="Solar Wind",POWER(Upgrades!$U$10,I361),1)*IF(Upgrades!$T$11="Solar Wind",POWER(Upgrades!$U$11,J361),1)*IF(Upgrades!$T$12="Solar Wind",POWER(Upgrades!$U$12,K361),1))/AG361,0)</f>
        <v/>
      </c>
      <c r="AT361" s="32">
        <f>IFERROR(Upgrades!$H$7*(POWER(Upgrades!$P$6,E361)*POWER(Upgrades!$P$7,F361)*POWER(Upgrades!$P$8,G361)*POWER(Upgrades!$P$9,H361)*POWER(Upgrades!$P$10,I361)*POWER(Upgrades!$P$11,J361)*POWER(Upgrades!$P$12,K361))*(IF(Upgrades!$T$6="Asteroid Belt",POWER(Upgrades!$U$6,E361),1)*IF(Upgrades!$T$8="Asteroid Belt",POWER(Upgrades!$U$8,G361),1)*IF(Upgrades!$T$9="Asteroid Belt",POWER(Upgrades!$U$9,H361),1)*IF(Upgrades!$T$10="Asteroid Belt",POWER(Upgrades!$U$10,I361),1)*IF(Upgrades!$T$11="Asteroid Belt",POWER(Upgrades!$U$11,J361),1)*IF(Upgrades!$T$12="Asteroid Belt",POWER(Upgrades!$U$12,K361),1))/AH361,0)</f>
        <v/>
      </c>
      <c r="AU361" s="32">
        <f>IFERROR(Upgrades!$K$8*(POWER(Upgrades!$Q$6,E361)*POWER(Upgrades!$Q$7,F361)*POWER(Upgrades!$Q$8,G361)*POWER(Upgrades!$Q$9,H361)*POWER(Upgrades!$Q$10,I361)*POWER(Upgrades!$Q$11,J361)*POWER(Upgrades!$Q$12,K361))*(IF(Upgrades!$T$6="Stellar Coupling",POWER(Upgrades!$U$6,E361),1)*IF(Upgrades!$T$7="Stellar Coupling",POWER(Upgrades!$U$7,F361),1)*IF(Upgrades!$T$9="Stellar Coupling",POWER(Upgrades!$U$9,H361),1)*IF(Upgrades!$T$10="Stellar Coupling",POWER(Upgrades!$U$10,I361),1)*IF(Upgrades!$T$11="Stellar Coupling",POWER(Upgrades!$U$11,J361),1)*IF(Upgrades!$T$12="Stellar Coupling",POWER(Upgrades!$U$12,K361),1))*Parameters!$B$10*Parameters!$B$11/60/AI361,0)</f>
        <v/>
      </c>
      <c r="AV361" s="32">
        <f>IFERROR(Upgrades!$H$9*(POWER(Upgrades!$P$6,E361)*POWER(Upgrades!$P$7,F361)*POWER(Upgrades!$P$8,G361)*POWER(Upgrades!$P$9,H361)*POWER(Upgrades!$P$10,I361)*POWER(Upgrades!$P$11,J361)*POWER(Upgrades!$P$12,K361))*(IF(Upgrades!$T$6="Magnetosphere",POWER(Upgrades!$U$6,E361),1)*IF(Upgrades!$T$7="Magnetosphere",POWER(Upgrades!$U$7,F361),1)*IF(Upgrades!$T$8="Magnetosphere",POWER(Upgrades!$U$8,G361),1)*IF(Upgrades!$T$10="Magnetosphere",POWER(Upgrades!$U$10,I361),1)*IF(Upgrades!$T$11="Magnetosphere",POWER(Upgrades!$U$11,J361),1)*IF(Upgrades!$T$12="Magnetosphere",POWER(Upgrades!$U$12,K361),1))/AJ361,0)</f>
        <v/>
      </c>
      <c r="AW361" s="32">
        <f>MAX(IF(I361&gt;0,0,IFERROR(0.25*N361/Upgrades!$C$10,0)),IF(J361&gt;0,0,IFERROR(0.5*((IF(G361=0,0,(Upgrades!$J$8+G361*Upgrades!$K$8)*POWER(Upgrades!$L$8,G361)))*(IF(Upgrades!$T$6="Stellar Coupling",POWER(Upgrades!$U$6,E361),1)*IF(Upgrades!$T$7="Stellar Coupling",POWER(Upgrades!$U$7,F361),1)*IF(Upgrades!$T$9="Stellar Coupling",POWER(Upgrades!$U$9,H361),1)*IF(Upgrades!$T$10="Stellar Coupling",POWER(Upgrades!$U$10,I361),1)*IF(Upgrades!$T$11="Stellar Coupling",POWER(Upgrades!$U$11,J361),1)*IF(Upgrades!$T$12="Stellar Coupling",POWER(Upgrades!$U$12,K361),1))*(POWER(Upgrades!$Q$6,E361)*POWER(Upgrades!$Q$7,F361)*POWER(Upgrades!$Q$8,G361)*POWER(Upgrades!$Q$9,H361)*POWER(Upgrades!$Q$10,I361)*POWER(Upgrades!$Q$11,J361)*POWER(Upgrades!$Q$12,K361))*Parameters!$B$10*Parameters!$B$11/60)/Upgrades!$C$11,0)),IF(K361&gt;0,0,IFERROR((1.0*(POWER(Upgrades!$P$6,E361)*POWER(Upgrades!$P$7,F361)*POWER(Upgrades!$P$8,G361)*POWER(Upgrades!$P$9,H361)*POWER(Upgrades!$P$10,I361)*POWER(Upgrades!$P$11,J361)*POWER(Upgrades!$P$12,K361))+0.20*M361*Parameters!$B$10*Parameters!$B$11/60)/Upgrades!$C$12,0)),IF(AND(ISNUMBER(AG361),AG361&gt;T361),AS361,0),IF(AND(ISNUMBER(AH361),AH361&gt;T361),AT361,0),IF(AND(ISNUMBER(AI361),AI361&gt;T361),AU361,0),IF(AND(ISNUMBER(AJ361),AJ361&gt;T361),AV361,0))</f>
        <v/>
      </c>
      <c r="AX361" s="29">
        <f>IF(AN361=1,"transition",IF(MIN(IF(AND(I361=0,ISNUMBER(AK361),AK361&lt;=T361),AK361,9E15),IF(AND(J361=0,ISNUMBER(AL361),AL361&lt;=T361),AL361,9E15),IF(AND(K361=0,ISNUMBER(AM361),AM361&lt;=T361),AM361,9E15))&lt;9E15,IF(AND(AND(I361=0,ISNUMBER(AK361),AK361&lt;=T361),AK361=MIN(IF(AND(I361=0,ISNUMBER(AK361),AK361&lt;=T361),AK361,9E15),IF(AND(J361=0,ISNUMBER(AL361),AL361&lt;=T361),AL361,9E15),IF(AND(K361=0,ISNUMBER(AM361),AM361&lt;=T361),AM361,9E15))),"OR",IF(AND(AND(J361=0,ISNUMBER(AL361),AL361&lt;=T361),AL361=MIN(IF(AND(I361=0,ISNUMBER(AK361),AK361&lt;=T361),AK361,9E15),IF(AND(J361=0,ISNUMBER(AL361),AL361&lt;=T361),AL361,9E15),IF(AND(K361=0,ISNUMBER(AM361),AM361&lt;=T361),AM361,9E15))),"HP","FP")),IF(AR361=TRUE,"",IF(MAX(IF(AND(NOT(AND(AO361=1,AN361&lt;&gt;1)),ISNUMBER(AG361),AG361&lt;=T361),AS361,0),IF(AND(NOT(AND(AO361=1,AN361&lt;&gt;1)),ISNUMBER(AH361),AH361&lt;=T361),AT361,0),IF(AND(NOT(AND(AO361=1,AN361&lt;&gt;1)),ISNUMBER(AI361),AI361&lt;=T361),AU361,0),IF(AND(ISNUMBER(AJ361),AJ361&lt;=T361),AV361,0))&lt;=0,"",IF(AND(IF(AND(NOT(AND(AO361=1,AN361&lt;&gt;1)),ISNUMBER(AG361),AG361&lt;=T361),AS361,0)&gt;0,IF(AND(NOT(AND(AO361=1,AN361&lt;&gt;1)),ISNUMBER(AG361),AG361&lt;=T361),AS361,0)=MAX(IF(AND(NOT(AND(AO361=1,AN361&lt;&gt;1)),ISNUMBER(AG361),AG361&lt;=T361),AS361,0),IF(AND(NOT(AND(AO361=1,AN361&lt;&gt;1)),ISNUMBER(AH361),AH361&lt;=T361),AT361,0),IF(AND(NOT(AND(AO361=1,AN361&lt;&gt;1)),ISNUMBER(AI361),AI361&lt;=T361),AU361,0),IF(AND(ISNUMBER(AJ361),AJ361&lt;=T361),AV361,0))),"SW",IF(AND(IF(AND(NOT(AND(AO361=1,AN361&lt;&gt;1)),ISNUMBER(AH361),AH361&lt;=T361),AT361,0)&gt;0,IF(AND(NOT(AND(AO361=1,AN361&lt;&gt;1)),ISNUMBER(AH361),AH361&lt;=T361),AT361,0)=MAX(IF(AND(NOT(AND(AO361=1,AN361&lt;&gt;1)),ISNUMBER(AG361),AG361&lt;=T361),AS361,0),IF(AND(NOT(AND(AO361=1,AN361&lt;&gt;1)),ISNUMBER(AH361),AH361&lt;=T361),AT361,0),IF(AND(NOT(AND(AO361=1,AN361&lt;&gt;1)),ISNUMBER(AI361),AI361&lt;=T361),AU361,0),IF(AND(ISNUMBER(AJ361),AJ361&lt;=T361),AV361,0))),"AB",IF(AND(IF(AND(NOT(AND(AO361=1,AN361&lt;&gt;1)),ISNUMBER(AI361),AI361&lt;=T361),AU361,0)&gt;0,IF(AND(NOT(AND(AO361=1,AN361&lt;&gt;1)),ISNUMBER(AI361),AI361&lt;=T361),AU361,0)=MAX(IF(AND(NOT(AND(AO361=1,AN361&lt;&gt;1)),ISNUMBER(AG361),AG361&lt;=T361),AS361,0),IF(AND(NOT(AND(AO361=1,AN361&lt;&gt;1)),ISNUMBER(AH361),AH361&lt;=T361),AT361,0),IF(AND(NOT(AND(AO361=1,AN361&lt;&gt;1)),ISNUMBER(AI361),AI361&lt;=T361),AU361,0),IF(AND(ISNUMBER(AJ361),AJ361&lt;=T361),AV361,0))),"SC","Mag")))))))</f>
        <v/>
      </c>
    </row>
    <row r="362">
      <c r="A362" s="26" t="n">
        <v>357</v>
      </c>
      <c r="B362" s="27">
        <f>A362*10/60</f>
        <v/>
      </c>
      <c r="C362" s="22">
        <f>X361</f>
        <v/>
      </c>
      <c r="D362" s="27">
        <f>D361+W361</f>
        <v/>
      </c>
      <c r="E362" s="26">
        <f>E361+IF(U361="SW",1,0)</f>
        <v/>
      </c>
      <c r="F362" s="26">
        <f>F361+IF(U361="AB",1,0)</f>
        <v/>
      </c>
      <c r="G362" s="26">
        <f>G361+IF(U361="SC",1,0)</f>
        <v/>
      </c>
      <c r="H362" s="26">
        <f>H361+IF(U361="Mag",1,0)</f>
        <v/>
      </c>
      <c r="I362" s="26">
        <f>MAX(I361,IF(U361="OR",1,0))</f>
        <v/>
      </c>
      <c r="J362" s="26">
        <f>MAX(J361,IF(U361="HP",1,0))</f>
        <v/>
      </c>
      <c r="K362" s="26">
        <f>MAX(K361,IF(U361="FP",1,0))</f>
        <v/>
      </c>
      <c r="L362" s="26">
        <f>MAX(L361,IF(U361="transition",1,0))</f>
        <v/>
      </c>
      <c r="M362" s="28">
        <f>(Parameters!$B$9+(IF(E362=0,0,(Upgrades!$J$6+E362*Upgrades!$K$6)*POWER(Upgrades!$L$6,E362)))*(IF(Upgrades!$T$7="Solar Wind",POWER(Upgrades!$U$7,F362),1)*IF(Upgrades!$T$8="Solar Wind",POWER(Upgrades!$U$8,G362),1)*IF(Upgrades!$T$9="Solar Wind",POWER(Upgrades!$U$9,H362),1)*IF(Upgrades!$T$10="Solar Wind",POWER(Upgrades!$U$10,I362),1)*IF(Upgrades!$T$11="Solar Wind",POWER(Upgrades!$U$11,J362),1)*IF(Upgrades!$T$12="Solar Wind",POWER(Upgrades!$U$12,K362),1))+(IF(F362=0,0,(Upgrades!$J$7+F362*Upgrades!$K$7)*POWER(Upgrades!$L$7,F362)))*(IF(Upgrades!$T$6="Asteroid Belt",POWER(Upgrades!$U$6,E362),1)*IF(Upgrades!$T$8="Asteroid Belt",POWER(Upgrades!$U$8,G362),1)*IF(Upgrades!$T$9="Asteroid Belt",POWER(Upgrades!$U$9,H362),1)*IF(Upgrades!$T$10="Asteroid Belt",POWER(Upgrades!$U$10,I362),1)*IF(Upgrades!$T$11="Asteroid Belt",POWER(Upgrades!$U$11,J362),1)*IF(Upgrades!$T$12="Asteroid Belt",POWER(Upgrades!$U$12,K362),1))+(IF(G362=0,0,(Upgrades!$J$8+G362*Upgrades!$K$8)*POWER(Upgrades!$L$8,G362)))*(IF(Upgrades!$T$6="Stellar Coupling",POWER(Upgrades!$U$6,E362),1)*IF(Upgrades!$T$7="Stellar Coupling",POWER(Upgrades!$U$7,F362),1)*IF(Upgrades!$T$9="Stellar Coupling",POWER(Upgrades!$U$9,H362),1)*IF(Upgrades!$T$10="Stellar Coupling",POWER(Upgrades!$U$10,I362),1)*IF(Upgrades!$T$11="Stellar Coupling",POWER(Upgrades!$U$11,J362),1)*IF(Upgrades!$T$12="Stellar Coupling",POWER(Upgrades!$U$12,K362),1))+(IF(H362=0,0,(Upgrades!$J$9+H362*Upgrades!$K$9)*POWER(Upgrades!$L$9,H362)))*(IF(Upgrades!$T$6="Magnetosphere",POWER(Upgrades!$U$6,E362),1)*IF(Upgrades!$T$7="Magnetosphere",POWER(Upgrades!$U$7,F362),1)*IF(Upgrades!$T$8="Magnetosphere",POWER(Upgrades!$U$8,G362),1)*IF(Upgrades!$T$10="Magnetosphere",POWER(Upgrades!$U$10,I362),1)*IF(Upgrades!$T$11="Magnetosphere",POWER(Upgrades!$U$11,J362),1)*IF(Upgrades!$T$12="Magnetosphere",POWER(Upgrades!$U$12,K362),1))+(IF(I362=0,0,(Upgrades!$J$10+I362*Upgrades!$K$10)*POWER(Upgrades!$L$10,I362)))*(IF(Upgrades!$T$6="Orbital Resonance",POWER(Upgrades!$U$6,E362),1)*IF(Upgrades!$T$7="Orbital Resonance",POWER(Upgrades!$U$7,F362),1)*IF(Upgrades!$T$8="Orbital Resonance",POWER(Upgrades!$U$8,G362),1)*IF(Upgrades!$T$9="Orbital Resonance",POWER(Upgrades!$U$9,H362),1)*IF(Upgrades!$T$11="Orbital Resonance",POWER(Upgrades!$U$11,J362),1)*IF(Upgrades!$T$12="Orbital Resonance",POWER(Upgrades!$U$12,K362),1))+(IF(J362=0,0,(Upgrades!$J$11+J362*Upgrades!$K$11)*POWER(Upgrades!$L$11,J362)))*(IF(Upgrades!$T$6="Heliopause",POWER(Upgrades!$U$6,E362),1)*IF(Upgrades!$T$7="Heliopause",POWER(Upgrades!$U$7,F362),1)*IF(Upgrades!$T$8="Heliopause",POWER(Upgrades!$U$8,G362),1)*IF(Upgrades!$T$9="Heliopause",POWER(Upgrades!$U$9,H362),1)*IF(Upgrades!$T$10="Heliopause",POWER(Upgrades!$U$10,I362),1)*IF(Upgrades!$T$12="Heliopause",POWER(Upgrades!$U$12,K362),1))+(IF(K362=0,0,(Upgrades!$J$12+K362*Upgrades!$K$12)*POWER(Upgrades!$L$12,K362)))*(IF(Upgrades!$T$6="First Photons",POWER(Upgrades!$U$6,E362),1)*IF(Upgrades!$T$7="First Photons",POWER(Upgrades!$U$7,F362),1)*IF(Upgrades!$T$8="First Photons",POWER(Upgrades!$U$8,G362),1)*IF(Upgrades!$T$9="First Photons",POWER(Upgrades!$U$9,H362),1)*IF(Upgrades!$T$10="First Photons",POWER(Upgrades!$U$10,I362),1)*IF(Upgrades!$T$11="First Photons",POWER(Upgrades!$U$11,J362),1)))*POWER(Upgrades!$Q$6,E362)*POWER(Upgrades!$Q$7,F362)*POWER(Upgrades!$Q$8,G362)*POWER(Upgrades!$Q$9,H362)*POWER(Upgrades!$Q$10,I362)*POWER(Upgrades!$Q$11,J362)*POWER(Upgrades!$Q$12,K362)</f>
        <v/>
      </c>
      <c r="N362" s="28">
        <f>((IF(E362=0,0,(Upgrades!$G$6+E362*Upgrades!$H$6)*POWER(Upgrades!$I$6,E362)))*(IF(Upgrades!$T$7="Solar Wind",POWER(Upgrades!$U$7,F362),1)*IF(Upgrades!$T$8="Solar Wind",POWER(Upgrades!$U$8,G362),1)*IF(Upgrades!$T$9="Solar Wind",POWER(Upgrades!$U$9,H362),1)*IF(Upgrades!$T$10="Solar Wind",POWER(Upgrades!$U$10,I362),1)*IF(Upgrades!$T$11="Solar Wind",POWER(Upgrades!$U$11,J362),1)*IF(Upgrades!$T$12="Solar Wind",POWER(Upgrades!$U$12,K362),1))+(IF(F362=0,0,(Upgrades!$G$7+F362*Upgrades!$H$7)*POWER(Upgrades!$I$7,F362)))*(IF(Upgrades!$T$6="Asteroid Belt",POWER(Upgrades!$U$6,E362),1)*IF(Upgrades!$T$8="Asteroid Belt",POWER(Upgrades!$U$8,G362),1)*IF(Upgrades!$T$9="Asteroid Belt",POWER(Upgrades!$U$9,H362),1)*IF(Upgrades!$T$10="Asteroid Belt",POWER(Upgrades!$U$10,I362),1)*IF(Upgrades!$T$11="Asteroid Belt",POWER(Upgrades!$U$11,J362),1)*IF(Upgrades!$T$12="Asteroid Belt",POWER(Upgrades!$U$12,K362),1))+(IF(G362=0,0,(Upgrades!$G$8+G362*Upgrades!$H$8)*POWER(Upgrades!$I$8,G362)))*(IF(Upgrades!$T$6="Stellar Coupling",POWER(Upgrades!$U$6,E362),1)*IF(Upgrades!$T$7="Stellar Coupling",POWER(Upgrades!$U$7,F362),1)*IF(Upgrades!$T$9="Stellar Coupling",POWER(Upgrades!$U$9,H362),1)*IF(Upgrades!$T$10="Stellar Coupling",POWER(Upgrades!$U$10,I362),1)*IF(Upgrades!$T$11="Stellar Coupling",POWER(Upgrades!$U$11,J362),1)*IF(Upgrades!$T$12="Stellar Coupling",POWER(Upgrades!$U$12,K362),1))+(IF(H362=0,0,(Upgrades!$G$9+H362*Upgrades!$H$9)*POWER(Upgrades!$I$9,H362)))*(IF(Upgrades!$T$6="Magnetosphere",POWER(Upgrades!$U$6,E362),1)*IF(Upgrades!$T$7="Magnetosphere",POWER(Upgrades!$U$7,F362),1)*IF(Upgrades!$T$8="Magnetosphere",POWER(Upgrades!$U$8,G362),1)*IF(Upgrades!$T$10="Magnetosphere",POWER(Upgrades!$U$10,I362),1)*IF(Upgrades!$T$11="Magnetosphere",POWER(Upgrades!$U$11,J362),1)*IF(Upgrades!$T$12="Magnetosphere",POWER(Upgrades!$U$12,K362),1))+(IF(I362=0,0,(Upgrades!$G$10+I362*Upgrades!$H$10)*POWER(Upgrades!$I$10,I362)))*(IF(Upgrades!$T$6="Orbital Resonance",POWER(Upgrades!$U$6,E362),1)*IF(Upgrades!$T$7="Orbital Resonance",POWER(Upgrades!$U$7,F362),1)*IF(Upgrades!$T$8="Orbital Resonance",POWER(Upgrades!$U$8,G362),1)*IF(Upgrades!$T$9="Orbital Resonance",POWER(Upgrades!$U$9,H362),1)*IF(Upgrades!$T$11="Orbital Resonance",POWER(Upgrades!$U$11,J362),1)*IF(Upgrades!$T$12="Orbital Resonance",POWER(Upgrades!$U$12,K362),1))+(IF(J362=0,0,(Upgrades!$G$11+J362*Upgrades!$H$11)*POWER(Upgrades!$I$11,J362)))*(IF(Upgrades!$T$6="Heliopause",POWER(Upgrades!$U$6,E362),1)*IF(Upgrades!$T$7="Heliopause",POWER(Upgrades!$U$7,F362),1)*IF(Upgrades!$T$8="Heliopause",POWER(Upgrades!$U$8,G362),1)*IF(Upgrades!$T$9="Heliopause",POWER(Upgrades!$U$9,H362),1)*IF(Upgrades!$T$10="Heliopause",POWER(Upgrades!$U$10,I362),1)*IF(Upgrades!$T$12="Heliopause",POWER(Upgrades!$U$12,K362),1))+(IF(K362=0,0,(Upgrades!$G$12+K362*Upgrades!$H$12)*POWER(Upgrades!$I$12,K362)))*(IF(Upgrades!$T$6="First Photons",POWER(Upgrades!$U$6,E362),1)*IF(Upgrades!$T$7="First Photons",POWER(Upgrades!$U$7,F362),1)*IF(Upgrades!$T$8="First Photons",POWER(Upgrades!$U$8,G362),1)*IF(Upgrades!$T$9="First Photons",POWER(Upgrades!$U$9,H362),1)*IF(Upgrades!$T$10="First Photons",POWER(Upgrades!$U$10,I362),1)*IF(Upgrades!$T$11="First Photons",POWER(Upgrades!$U$11,J362),1)))*POWER(Upgrades!$P$6,E362)*POWER(Upgrades!$P$7,F362)*POWER(Upgrades!$P$8,G362)*POWER(Upgrades!$P$9,H362)*POWER(Upgrades!$P$10,I362)*POWER(Upgrades!$P$11,J362)*POWER(Upgrades!$P$12,K362)</f>
        <v/>
      </c>
      <c r="O362" s="28">
        <f>((IF(E362=0,0,(Upgrades!$M$6+E362*Upgrades!$N$6)*POWER(Upgrades!$O$6,E362)))*(IF(Upgrades!$T$7="Solar Wind",POWER(Upgrades!$U$7,F362),1)*IF(Upgrades!$T$8="Solar Wind",POWER(Upgrades!$U$8,G362),1)*IF(Upgrades!$T$9="Solar Wind",POWER(Upgrades!$U$9,H362),1)*IF(Upgrades!$T$10="Solar Wind",POWER(Upgrades!$U$10,I362),1)*IF(Upgrades!$T$11="Solar Wind",POWER(Upgrades!$U$11,J362),1)*IF(Upgrades!$T$12="Solar Wind",POWER(Upgrades!$U$12,K362),1))+(IF(F362=0,0,(Upgrades!$M$7+F362*Upgrades!$N$7)*POWER(Upgrades!$O$7,F362)))*(IF(Upgrades!$T$6="Asteroid Belt",POWER(Upgrades!$U$6,E362),1)*IF(Upgrades!$T$8="Asteroid Belt",POWER(Upgrades!$U$8,G362),1)*IF(Upgrades!$T$9="Asteroid Belt",POWER(Upgrades!$U$9,H362),1)*IF(Upgrades!$T$10="Asteroid Belt",POWER(Upgrades!$U$10,I362),1)*IF(Upgrades!$T$11="Asteroid Belt",POWER(Upgrades!$U$11,J362),1)*IF(Upgrades!$T$12="Asteroid Belt",POWER(Upgrades!$U$12,K362),1))+(IF(G362=0,0,(Upgrades!$M$8+G362*Upgrades!$N$8)*POWER(Upgrades!$O$8,G362)))*(IF(Upgrades!$T$6="Stellar Coupling",POWER(Upgrades!$U$6,E362),1)*IF(Upgrades!$T$7="Stellar Coupling",POWER(Upgrades!$U$7,F362),1)*IF(Upgrades!$T$9="Stellar Coupling",POWER(Upgrades!$U$9,H362),1)*IF(Upgrades!$T$10="Stellar Coupling",POWER(Upgrades!$U$10,I362),1)*IF(Upgrades!$T$11="Stellar Coupling",POWER(Upgrades!$U$11,J362),1)*IF(Upgrades!$T$12="Stellar Coupling",POWER(Upgrades!$U$12,K362),1))+(IF(H362=0,0,(Upgrades!$M$9+H362*Upgrades!$N$9)*POWER(Upgrades!$O$9,H362)))*(IF(Upgrades!$T$6="Magnetosphere",POWER(Upgrades!$U$6,E362),1)*IF(Upgrades!$T$7="Magnetosphere",POWER(Upgrades!$U$7,F362),1)*IF(Upgrades!$T$8="Magnetosphere",POWER(Upgrades!$U$8,G362),1)*IF(Upgrades!$T$10="Magnetosphere",POWER(Upgrades!$U$10,I362),1)*IF(Upgrades!$T$11="Magnetosphere",POWER(Upgrades!$U$11,J362),1)*IF(Upgrades!$T$12="Magnetosphere",POWER(Upgrades!$U$12,K362),1))+(IF(I362=0,0,(Upgrades!$M$10+I362*Upgrades!$N$10)*POWER(Upgrades!$O$10,I362)))*(IF(Upgrades!$T$6="Orbital Resonance",POWER(Upgrades!$U$6,E362),1)*IF(Upgrades!$T$7="Orbital Resonance",POWER(Upgrades!$U$7,F362),1)*IF(Upgrades!$T$8="Orbital Resonance",POWER(Upgrades!$U$8,G362),1)*IF(Upgrades!$T$9="Orbital Resonance",POWER(Upgrades!$U$9,H362),1)*IF(Upgrades!$T$11="Orbital Resonance",POWER(Upgrades!$U$11,J362),1)*IF(Upgrades!$T$12="Orbital Resonance",POWER(Upgrades!$U$12,K362),1))+(IF(J362=0,0,(Upgrades!$M$11+J362*Upgrades!$N$11)*POWER(Upgrades!$O$11,J362)))*(IF(Upgrades!$T$6="Heliopause",POWER(Upgrades!$U$6,E362),1)*IF(Upgrades!$T$7="Heliopause",POWER(Upgrades!$U$7,F362),1)*IF(Upgrades!$T$8="Heliopause",POWER(Upgrades!$U$8,G362),1)*IF(Upgrades!$T$9="Heliopause",POWER(Upgrades!$U$9,H362),1)*IF(Upgrades!$T$10="Heliopause",POWER(Upgrades!$U$10,I362),1)*IF(Upgrades!$T$12="Heliopause",POWER(Upgrades!$U$12,K362),1))+(IF(K362=0,0,(Upgrades!$M$12+K362*Upgrades!$N$12)*POWER(Upgrades!$O$12,K362)))*(IF(Upgrades!$T$6="First Photons",POWER(Upgrades!$U$6,E362),1)*IF(Upgrades!$T$7="First Photons",POWER(Upgrades!$U$7,F362),1)*IF(Upgrades!$T$8="First Photons",POWER(Upgrades!$U$8,G362),1)*IF(Upgrades!$T$9="First Photons",POWER(Upgrades!$U$9,H362),1)*IF(Upgrades!$T$10="First Photons",POWER(Upgrades!$U$10,I362),1)*IF(Upgrades!$T$11="First Photons",POWER(Upgrades!$U$11,J362),1)))*POWER(Upgrades!$R$6,E362)*POWER(Upgrades!$R$7,F362)*POWER(Upgrades!$R$8,G362)*POWER(Upgrades!$R$9,H362)*POWER(Upgrades!$R$10,I362)*POWER(Upgrades!$R$11,J362)*POWER(Upgrades!$R$12,K362)</f>
        <v/>
      </c>
      <c r="P362" s="27">
        <f>IF(L362=1,0,M362*Parameters!$B$10/60*Parameters!$B$11*10)</f>
        <v/>
      </c>
      <c r="Q362" s="27">
        <f>IF(L362=1,0,O362*M362*10)</f>
        <v/>
      </c>
      <c r="R362" s="27">
        <f>IF(L362=1,0,N362*10)</f>
        <v/>
      </c>
      <c r="S362" s="27">
        <f>P362+Q362+R362</f>
        <v/>
      </c>
      <c r="T362" s="22">
        <f>C362+S362</f>
        <v/>
      </c>
      <c r="U362" s="33">
        <f>AX362</f>
        <v/>
      </c>
      <c r="V362" s="22">
        <f>IF(U362="",0,IF(U362="transition",0,IF(U362="SW",AG362,IF(U362="AB",AH362,IF(U362="SC",AI362,IF(U362="Mag",AJ362,IF(U362="OR",AK362,IF(U362="HP",AL362,IF(U362="FP",AM362,0)))))))))</f>
        <v/>
      </c>
      <c r="W362" s="27">
        <f>IF(U362="OR",Upgrades!$F$10,IF(U362="HP",Upgrades!$F$11,IF(U362="transition",-Parameters!$B$18,0)))</f>
        <v/>
      </c>
      <c r="X362" s="22">
        <f>T362-V362</f>
        <v/>
      </c>
      <c r="Y362" s="30">
        <f>M362*Parameters!$B$10/60*Parameters!$B$11+O362*M362+N362</f>
        <v/>
      </c>
      <c r="Z362" s="34">
        <f>IF(U362="transition","→ Tier 2 (Stellar Neighborhood)",IF(U362="FP","First Photons — light begins, system quickens",IF(U362="HP","Heliopause acquired",IF(U362="OR","Orbital Resonance — passive multiplier active",IF(AND(AO362=1,L362=0,AN362&lt;&gt;1),"Cohesion ready (waiting on completionist upgrades)","")))))</f>
        <v/>
      </c>
      <c r="AA362" s="27">
        <f>(IF(E362=0,0,(Upgrades!$G$6+E362*Upgrades!$H$6)*POWER(Upgrades!$I$6,E362)))*(IF(Upgrades!$T$7="Solar Wind",POWER(Upgrades!$U$7,F362),1)*IF(Upgrades!$T$8="Solar Wind",POWER(Upgrades!$U$8,G362),1)*IF(Upgrades!$T$9="Solar Wind",POWER(Upgrades!$U$9,H362),1)*IF(Upgrades!$T$10="Solar Wind",POWER(Upgrades!$U$10,I362),1)*IF(Upgrades!$T$11="Solar Wind",POWER(Upgrades!$U$11,J362),1)*IF(Upgrades!$T$12="Solar Wind",POWER(Upgrades!$U$12,K362),1))*POWER(Upgrades!$P$6,E362)*POWER(Upgrades!$P$7,F362)*POWER(Upgrades!$P$8,G362)*POWER(Upgrades!$P$9,H362)*POWER(Upgrades!$P$10,I362)*POWER(Upgrades!$P$11,J362)*POWER(Upgrades!$P$12,K362)*60</f>
        <v/>
      </c>
      <c r="AB362" s="27">
        <f>(IF(F362=0,0,(Upgrades!$G$7+F362*Upgrades!$H$7)*POWER(Upgrades!$I$7,F362)))*(IF(Upgrades!$T$6="Asteroid Belt",POWER(Upgrades!$U$6,E362),1)*IF(Upgrades!$T$8="Asteroid Belt",POWER(Upgrades!$U$8,G362),1)*IF(Upgrades!$T$9="Asteroid Belt",POWER(Upgrades!$U$9,H362),1)*IF(Upgrades!$T$10="Asteroid Belt",POWER(Upgrades!$U$10,I362),1)*IF(Upgrades!$T$11="Asteroid Belt",POWER(Upgrades!$U$11,J362),1)*IF(Upgrades!$T$12="Asteroid Belt",POWER(Upgrades!$U$12,K362),1))*POWER(Upgrades!$P$6,E362)*POWER(Upgrades!$P$7,F362)*POWER(Upgrades!$P$8,G362)*POWER(Upgrades!$P$9,H362)*POWER(Upgrades!$P$10,I362)*POWER(Upgrades!$P$11,J362)*POWER(Upgrades!$P$12,K362)*60</f>
        <v/>
      </c>
      <c r="AC362" s="27">
        <f>(IF(G362=0,0,(Upgrades!$J$8+G362*Upgrades!$K$8)*POWER(Upgrades!$L$8,G362)))*(IF(Upgrades!$T$6="Stellar Coupling",POWER(Upgrades!$U$6,E362),1)*IF(Upgrades!$T$7="Stellar Coupling",POWER(Upgrades!$U$7,F362),1)*IF(Upgrades!$T$9="Stellar Coupling",POWER(Upgrades!$U$9,H362),1)*IF(Upgrades!$T$10="Stellar Coupling",POWER(Upgrades!$U$10,I362),1)*IF(Upgrades!$T$11="Stellar Coupling",POWER(Upgrades!$U$11,J362),1)*IF(Upgrades!$T$12="Stellar Coupling",POWER(Upgrades!$U$12,K362),1))*POWER(Upgrades!$Q$6,E362)*POWER(Upgrades!$Q$7,F362)*POWER(Upgrades!$Q$8,G362)*POWER(Upgrades!$Q$9,H362)*POWER(Upgrades!$Q$10,I362)*POWER(Upgrades!$Q$11,J362)*POWER(Upgrades!$Q$12,K362)*Parameters!$B$10*Parameters!$B$11</f>
        <v/>
      </c>
      <c r="AD362" s="27">
        <f>(IF(H362=0,0,(Upgrades!$G$9+H362*Upgrades!$H$9)*POWER(Upgrades!$I$9,H362)))*(IF(Upgrades!$T$6="Magnetosphere",POWER(Upgrades!$U$6,E362),1)*IF(Upgrades!$T$7="Magnetosphere",POWER(Upgrades!$U$7,F362),1)*IF(Upgrades!$T$8="Magnetosphere",POWER(Upgrades!$U$8,G362),1)*IF(Upgrades!$T$10="Magnetosphere",POWER(Upgrades!$U$10,I362),1)*IF(Upgrades!$T$11="Magnetosphere",POWER(Upgrades!$U$11,J362),1)*IF(Upgrades!$T$12="Magnetosphere",POWER(Upgrades!$U$12,K362),1))*POWER(Upgrades!$P$6,E362)*POWER(Upgrades!$P$7,F362)*POWER(Upgrades!$P$8,G362)*POWER(Upgrades!$P$9,H362)*POWER(Upgrades!$P$10,I362)*POWER(Upgrades!$P$11,J362)*POWER(Upgrades!$P$12,K362)*60</f>
        <v/>
      </c>
      <c r="AE362" s="27">
        <f>(IF(K362=0,0,(Upgrades!$G$12+K362*Upgrades!$H$12)*POWER(Upgrades!$I$12,K362)))*(IF(Upgrades!$T$6="First Photons",POWER(Upgrades!$U$6,E362),1)*IF(Upgrades!$T$7="First Photons",POWER(Upgrades!$U$7,F362),1)*IF(Upgrades!$T$8="First Photons",POWER(Upgrades!$U$8,G362),1)*IF(Upgrades!$T$9="First Photons",POWER(Upgrades!$U$9,H362),1)*IF(Upgrades!$T$10="First Photons",POWER(Upgrades!$U$10,I362),1)*IF(Upgrades!$T$11="First Photons",POWER(Upgrades!$U$11,J362),1))*POWER(Upgrades!$P$6,E362)*POWER(Upgrades!$P$7,F362)*POWER(Upgrades!$P$8,G362)*POWER(Upgrades!$P$9,H362)*POWER(Upgrades!$P$10,I362)*POWER(Upgrades!$P$11,J362)*POWER(Upgrades!$P$12,K362)*60</f>
        <v/>
      </c>
      <c r="AF362" s="27">
        <f>Parameters!$B$9*POWER(Upgrades!$Q$6,E362)*POWER(Upgrades!$Q$7,F362)*POWER(Upgrades!$Q$8,G362)*POWER(Upgrades!$Q$9,H362)*POWER(Upgrades!$Q$10,I362)*POWER(Upgrades!$Q$11,J362)*POWER(Upgrades!$Q$12,K362)*(Parameters!$B$10*Parameters!$B$11+O362*60)</f>
        <v/>
      </c>
      <c r="AG362" s="22">
        <f>IF(E362&gt;=Upgrades!$E$6,"",Upgrades!$C$6*POWER(Upgrades!$D$6,E362))</f>
        <v/>
      </c>
      <c r="AH362" s="22">
        <f>IF(F362&gt;=Upgrades!$E$7,"",Upgrades!$C$7*POWER(Upgrades!$D$7,F362))</f>
        <v/>
      </c>
      <c r="AI362" s="22">
        <f>IF(G362&gt;=Upgrades!$E$8,"",Upgrades!$C$8*POWER(Upgrades!$D$8,G362))</f>
        <v/>
      </c>
      <c r="AJ362" s="22">
        <f>IF(H362&gt;=Upgrades!$E$9,"",Upgrades!$C$9*POWER(Upgrades!$D$9,H362))</f>
        <v/>
      </c>
      <c r="AK362" s="22">
        <f>IF(I362&gt;=Upgrades!$E$10,"",Upgrades!$C$10*POWER(Upgrades!$D$10,I362))</f>
        <v/>
      </c>
      <c r="AL362" s="22">
        <f>IF(J362&gt;=Upgrades!$E$11,"",Upgrades!$C$11*POWER(Upgrades!$D$11,J362))</f>
        <v/>
      </c>
      <c r="AM362" s="22">
        <f>IF(K362&gt;=Upgrades!$E$12,"",Upgrades!$C$12*POWER(Upgrades!$D$12,K362))</f>
        <v/>
      </c>
      <c r="AN362" s="26">
        <f>IF(AND(D362&gt;=Parameters!$B$18,(H362&gt;=Upgrades!$E$9)*(K362&gt;=Upgrades!$E$12)=1,L362=0),1,"")</f>
        <v/>
      </c>
      <c r="AO362" s="26">
        <f>IF(AND(D362&gt;=Parameters!$B$18,L362=0),1,"")</f>
        <v/>
      </c>
      <c r="AP362" s="22">
        <f>MIN(IF(ISNUMBER(AK362),AK362,9E15),IF(ISNUMBER(AL362),AL362,9E15),IF(ISNUMBER(AM362),AM362,9E15))</f>
        <v/>
      </c>
      <c r="AQ362" s="22">
        <f>MIN(IF(ISNUMBER(AG362),AG362,9E15),IF(ISNUMBER(AH362),AH362,9E15),IF(ISNUMBER(AI362),AI362,9E15),IF(ISNUMBER(AJ362),AJ362,9E15))</f>
        <v/>
      </c>
      <c r="AR362" s="29">
        <f>IF(AW362&gt;Parameters!$B$21*(MAX(IF(AND(NOT(AND(AO362=1,AN362&lt;&gt;1)),ISNUMBER(AG362),AG362&lt;=T362),AS362,0),IF(AND(NOT(AND(AO362=1,AN362&lt;&gt;1)),ISNUMBER(AH362),AH362&lt;=T362),AT362,0),IF(AND(NOT(AND(AO362=1,AN362&lt;&gt;1)),ISNUMBER(AI362),AI362&lt;=T362),AU362,0),IF(AND(ISNUMBER(AJ362),AJ362&lt;=T362),AV362,0))),TRUE,FALSE)</f>
        <v/>
      </c>
      <c r="AS362" s="32">
        <f>IFERROR(Upgrades!$H$6*(POWER(Upgrades!$P$6,E362)*POWER(Upgrades!$P$7,F362)*POWER(Upgrades!$P$8,G362)*POWER(Upgrades!$P$9,H362)*POWER(Upgrades!$P$10,I362)*POWER(Upgrades!$P$11,J362)*POWER(Upgrades!$P$12,K362))*(IF(Upgrades!$T$7="Solar Wind",POWER(Upgrades!$U$7,F362),1)*IF(Upgrades!$T$8="Solar Wind",POWER(Upgrades!$U$8,G362),1)*IF(Upgrades!$T$9="Solar Wind",POWER(Upgrades!$U$9,H362),1)*IF(Upgrades!$T$10="Solar Wind",POWER(Upgrades!$U$10,I362),1)*IF(Upgrades!$T$11="Solar Wind",POWER(Upgrades!$U$11,J362),1)*IF(Upgrades!$T$12="Solar Wind",POWER(Upgrades!$U$12,K362),1))/AG362,0)</f>
        <v/>
      </c>
      <c r="AT362" s="32">
        <f>IFERROR(Upgrades!$H$7*(POWER(Upgrades!$P$6,E362)*POWER(Upgrades!$P$7,F362)*POWER(Upgrades!$P$8,G362)*POWER(Upgrades!$P$9,H362)*POWER(Upgrades!$P$10,I362)*POWER(Upgrades!$P$11,J362)*POWER(Upgrades!$P$12,K362))*(IF(Upgrades!$T$6="Asteroid Belt",POWER(Upgrades!$U$6,E362),1)*IF(Upgrades!$T$8="Asteroid Belt",POWER(Upgrades!$U$8,G362),1)*IF(Upgrades!$T$9="Asteroid Belt",POWER(Upgrades!$U$9,H362),1)*IF(Upgrades!$T$10="Asteroid Belt",POWER(Upgrades!$U$10,I362),1)*IF(Upgrades!$T$11="Asteroid Belt",POWER(Upgrades!$U$11,J362),1)*IF(Upgrades!$T$12="Asteroid Belt",POWER(Upgrades!$U$12,K362),1))/AH362,0)</f>
        <v/>
      </c>
      <c r="AU362" s="32">
        <f>IFERROR(Upgrades!$K$8*(POWER(Upgrades!$Q$6,E362)*POWER(Upgrades!$Q$7,F362)*POWER(Upgrades!$Q$8,G362)*POWER(Upgrades!$Q$9,H362)*POWER(Upgrades!$Q$10,I362)*POWER(Upgrades!$Q$11,J362)*POWER(Upgrades!$Q$12,K362))*(IF(Upgrades!$T$6="Stellar Coupling",POWER(Upgrades!$U$6,E362),1)*IF(Upgrades!$T$7="Stellar Coupling",POWER(Upgrades!$U$7,F362),1)*IF(Upgrades!$T$9="Stellar Coupling",POWER(Upgrades!$U$9,H362),1)*IF(Upgrades!$T$10="Stellar Coupling",POWER(Upgrades!$U$10,I362),1)*IF(Upgrades!$T$11="Stellar Coupling",POWER(Upgrades!$U$11,J362),1)*IF(Upgrades!$T$12="Stellar Coupling",POWER(Upgrades!$U$12,K362),1))*Parameters!$B$10*Parameters!$B$11/60/AI362,0)</f>
        <v/>
      </c>
      <c r="AV362" s="32">
        <f>IFERROR(Upgrades!$H$9*(POWER(Upgrades!$P$6,E362)*POWER(Upgrades!$P$7,F362)*POWER(Upgrades!$P$8,G362)*POWER(Upgrades!$P$9,H362)*POWER(Upgrades!$P$10,I362)*POWER(Upgrades!$P$11,J362)*POWER(Upgrades!$P$12,K362))*(IF(Upgrades!$T$6="Magnetosphere",POWER(Upgrades!$U$6,E362),1)*IF(Upgrades!$T$7="Magnetosphere",POWER(Upgrades!$U$7,F362),1)*IF(Upgrades!$T$8="Magnetosphere",POWER(Upgrades!$U$8,G362),1)*IF(Upgrades!$T$10="Magnetosphere",POWER(Upgrades!$U$10,I362),1)*IF(Upgrades!$T$11="Magnetosphere",POWER(Upgrades!$U$11,J362),1)*IF(Upgrades!$T$12="Magnetosphere",POWER(Upgrades!$U$12,K362),1))/AJ362,0)</f>
        <v/>
      </c>
      <c r="AW362" s="32">
        <f>MAX(IF(I362&gt;0,0,IFERROR(0.25*N362/Upgrades!$C$10,0)),IF(J362&gt;0,0,IFERROR(0.5*((IF(G362=0,0,(Upgrades!$J$8+G362*Upgrades!$K$8)*POWER(Upgrades!$L$8,G362)))*(IF(Upgrades!$T$6="Stellar Coupling",POWER(Upgrades!$U$6,E362),1)*IF(Upgrades!$T$7="Stellar Coupling",POWER(Upgrades!$U$7,F362),1)*IF(Upgrades!$T$9="Stellar Coupling",POWER(Upgrades!$U$9,H362),1)*IF(Upgrades!$T$10="Stellar Coupling",POWER(Upgrades!$U$10,I362),1)*IF(Upgrades!$T$11="Stellar Coupling",POWER(Upgrades!$U$11,J362),1)*IF(Upgrades!$T$12="Stellar Coupling",POWER(Upgrades!$U$12,K362),1))*(POWER(Upgrades!$Q$6,E362)*POWER(Upgrades!$Q$7,F362)*POWER(Upgrades!$Q$8,G362)*POWER(Upgrades!$Q$9,H362)*POWER(Upgrades!$Q$10,I362)*POWER(Upgrades!$Q$11,J362)*POWER(Upgrades!$Q$12,K362))*Parameters!$B$10*Parameters!$B$11/60)/Upgrades!$C$11,0)),IF(K362&gt;0,0,IFERROR((1.0*(POWER(Upgrades!$P$6,E362)*POWER(Upgrades!$P$7,F362)*POWER(Upgrades!$P$8,G362)*POWER(Upgrades!$P$9,H362)*POWER(Upgrades!$P$10,I362)*POWER(Upgrades!$P$11,J362)*POWER(Upgrades!$P$12,K362))+0.20*M362*Parameters!$B$10*Parameters!$B$11/60)/Upgrades!$C$12,0)),IF(AND(ISNUMBER(AG362),AG362&gt;T362),AS362,0),IF(AND(ISNUMBER(AH362),AH362&gt;T362),AT362,0),IF(AND(ISNUMBER(AI362),AI362&gt;T362),AU362,0),IF(AND(ISNUMBER(AJ362),AJ362&gt;T362),AV362,0))</f>
        <v/>
      </c>
      <c r="AX362" s="29">
        <f>IF(AN362=1,"transition",IF(MIN(IF(AND(I362=0,ISNUMBER(AK362),AK362&lt;=T362),AK362,9E15),IF(AND(J362=0,ISNUMBER(AL362),AL362&lt;=T362),AL362,9E15),IF(AND(K362=0,ISNUMBER(AM362),AM362&lt;=T362),AM362,9E15))&lt;9E15,IF(AND(AND(I362=0,ISNUMBER(AK362),AK362&lt;=T362),AK362=MIN(IF(AND(I362=0,ISNUMBER(AK362),AK362&lt;=T362),AK362,9E15),IF(AND(J362=0,ISNUMBER(AL362),AL362&lt;=T362),AL362,9E15),IF(AND(K362=0,ISNUMBER(AM362),AM362&lt;=T362),AM362,9E15))),"OR",IF(AND(AND(J362=0,ISNUMBER(AL362),AL362&lt;=T362),AL362=MIN(IF(AND(I362=0,ISNUMBER(AK362),AK362&lt;=T362),AK362,9E15),IF(AND(J362=0,ISNUMBER(AL362),AL362&lt;=T362),AL362,9E15),IF(AND(K362=0,ISNUMBER(AM362),AM362&lt;=T362),AM362,9E15))),"HP","FP")),IF(AR362=TRUE,"",IF(MAX(IF(AND(NOT(AND(AO362=1,AN362&lt;&gt;1)),ISNUMBER(AG362),AG362&lt;=T362),AS362,0),IF(AND(NOT(AND(AO362=1,AN362&lt;&gt;1)),ISNUMBER(AH362),AH362&lt;=T362),AT362,0),IF(AND(NOT(AND(AO362=1,AN362&lt;&gt;1)),ISNUMBER(AI362),AI362&lt;=T362),AU362,0),IF(AND(ISNUMBER(AJ362),AJ362&lt;=T362),AV362,0))&lt;=0,"",IF(AND(IF(AND(NOT(AND(AO362=1,AN362&lt;&gt;1)),ISNUMBER(AG362),AG362&lt;=T362),AS362,0)&gt;0,IF(AND(NOT(AND(AO362=1,AN362&lt;&gt;1)),ISNUMBER(AG362),AG362&lt;=T362),AS362,0)=MAX(IF(AND(NOT(AND(AO362=1,AN362&lt;&gt;1)),ISNUMBER(AG362),AG362&lt;=T362),AS362,0),IF(AND(NOT(AND(AO362=1,AN362&lt;&gt;1)),ISNUMBER(AH362),AH362&lt;=T362),AT362,0),IF(AND(NOT(AND(AO362=1,AN362&lt;&gt;1)),ISNUMBER(AI362),AI362&lt;=T362),AU362,0),IF(AND(ISNUMBER(AJ362),AJ362&lt;=T362),AV362,0))),"SW",IF(AND(IF(AND(NOT(AND(AO362=1,AN362&lt;&gt;1)),ISNUMBER(AH362),AH362&lt;=T362),AT362,0)&gt;0,IF(AND(NOT(AND(AO362=1,AN362&lt;&gt;1)),ISNUMBER(AH362),AH362&lt;=T362),AT362,0)=MAX(IF(AND(NOT(AND(AO362=1,AN362&lt;&gt;1)),ISNUMBER(AG362),AG362&lt;=T362),AS362,0),IF(AND(NOT(AND(AO362=1,AN362&lt;&gt;1)),ISNUMBER(AH362),AH362&lt;=T362),AT362,0),IF(AND(NOT(AND(AO362=1,AN362&lt;&gt;1)),ISNUMBER(AI362),AI362&lt;=T362),AU362,0),IF(AND(ISNUMBER(AJ362),AJ362&lt;=T362),AV362,0))),"AB",IF(AND(IF(AND(NOT(AND(AO362=1,AN362&lt;&gt;1)),ISNUMBER(AI362),AI362&lt;=T362),AU362,0)&gt;0,IF(AND(NOT(AND(AO362=1,AN362&lt;&gt;1)),ISNUMBER(AI362),AI362&lt;=T362),AU362,0)=MAX(IF(AND(NOT(AND(AO362=1,AN362&lt;&gt;1)),ISNUMBER(AG362),AG362&lt;=T362),AS362,0),IF(AND(NOT(AND(AO362=1,AN362&lt;&gt;1)),ISNUMBER(AH362),AH362&lt;=T362),AT362,0),IF(AND(NOT(AND(AO362=1,AN362&lt;&gt;1)),ISNUMBER(AI362),AI362&lt;=T362),AU362,0),IF(AND(ISNUMBER(AJ362),AJ362&lt;=T362),AV362,0))),"SC","Mag")))))))</f>
        <v/>
      </c>
    </row>
    <row r="363">
      <c r="A363" s="26" t="n">
        <v>358</v>
      </c>
      <c r="B363" s="27">
        <f>A363*10/60</f>
        <v/>
      </c>
      <c r="C363" s="22">
        <f>X362</f>
        <v/>
      </c>
      <c r="D363" s="27">
        <f>D362+W362</f>
        <v/>
      </c>
      <c r="E363" s="26">
        <f>E362+IF(U362="SW",1,0)</f>
        <v/>
      </c>
      <c r="F363" s="26">
        <f>F362+IF(U362="AB",1,0)</f>
        <v/>
      </c>
      <c r="G363" s="26">
        <f>G362+IF(U362="SC",1,0)</f>
        <v/>
      </c>
      <c r="H363" s="26">
        <f>H362+IF(U362="Mag",1,0)</f>
        <v/>
      </c>
      <c r="I363" s="26">
        <f>MAX(I362,IF(U362="OR",1,0))</f>
        <v/>
      </c>
      <c r="J363" s="26">
        <f>MAX(J362,IF(U362="HP",1,0))</f>
        <v/>
      </c>
      <c r="K363" s="26">
        <f>MAX(K362,IF(U362="FP",1,0))</f>
        <v/>
      </c>
      <c r="L363" s="26">
        <f>MAX(L362,IF(U362="transition",1,0))</f>
        <v/>
      </c>
      <c r="M363" s="28">
        <f>(Parameters!$B$9+(IF(E363=0,0,(Upgrades!$J$6+E363*Upgrades!$K$6)*POWER(Upgrades!$L$6,E363)))*(IF(Upgrades!$T$7="Solar Wind",POWER(Upgrades!$U$7,F363),1)*IF(Upgrades!$T$8="Solar Wind",POWER(Upgrades!$U$8,G363),1)*IF(Upgrades!$T$9="Solar Wind",POWER(Upgrades!$U$9,H363),1)*IF(Upgrades!$T$10="Solar Wind",POWER(Upgrades!$U$10,I363),1)*IF(Upgrades!$T$11="Solar Wind",POWER(Upgrades!$U$11,J363),1)*IF(Upgrades!$T$12="Solar Wind",POWER(Upgrades!$U$12,K363),1))+(IF(F363=0,0,(Upgrades!$J$7+F363*Upgrades!$K$7)*POWER(Upgrades!$L$7,F363)))*(IF(Upgrades!$T$6="Asteroid Belt",POWER(Upgrades!$U$6,E363),1)*IF(Upgrades!$T$8="Asteroid Belt",POWER(Upgrades!$U$8,G363),1)*IF(Upgrades!$T$9="Asteroid Belt",POWER(Upgrades!$U$9,H363),1)*IF(Upgrades!$T$10="Asteroid Belt",POWER(Upgrades!$U$10,I363),1)*IF(Upgrades!$T$11="Asteroid Belt",POWER(Upgrades!$U$11,J363),1)*IF(Upgrades!$T$12="Asteroid Belt",POWER(Upgrades!$U$12,K363),1))+(IF(G363=0,0,(Upgrades!$J$8+G363*Upgrades!$K$8)*POWER(Upgrades!$L$8,G363)))*(IF(Upgrades!$T$6="Stellar Coupling",POWER(Upgrades!$U$6,E363),1)*IF(Upgrades!$T$7="Stellar Coupling",POWER(Upgrades!$U$7,F363),1)*IF(Upgrades!$T$9="Stellar Coupling",POWER(Upgrades!$U$9,H363),1)*IF(Upgrades!$T$10="Stellar Coupling",POWER(Upgrades!$U$10,I363),1)*IF(Upgrades!$T$11="Stellar Coupling",POWER(Upgrades!$U$11,J363),1)*IF(Upgrades!$T$12="Stellar Coupling",POWER(Upgrades!$U$12,K363),1))+(IF(H363=0,0,(Upgrades!$J$9+H363*Upgrades!$K$9)*POWER(Upgrades!$L$9,H363)))*(IF(Upgrades!$T$6="Magnetosphere",POWER(Upgrades!$U$6,E363),1)*IF(Upgrades!$T$7="Magnetosphere",POWER(Upgrades!$U$7,F363),1)*IF(Upgrades!$T$8="Magnetosphere",POWER(Upgrades!$U$8,G363),1)*IF(Upgrades!$T$10="Magnetosphere",POWER(Upgrades!$U$10,I363),1)*IF(Upgrades!$T$11="Magnetosphere",POWER(Upgrades!$U$11,J363),1)*IF(Upgrades!$T$12="Magnetosphere",POWER(Upgrades!$U$12,K363),1))+(IF(I363=0,0,(Upgrades!$J$10+I363*Upgrades!$K$10)*POWER(Upgrades!$L$10,I363)))*(IF(Upgrades!$T$6="Orbital Resonance",POWER(Upgrades!$U$6,E363),1)*IF(Upgrades!$T$7="Orbital Resonance",POWER(Upgrades!$U$7,F363),1)*IF(Upgrades!$T$8="Orbital Resonance",POWER(Upgrades!$U$8,G363),1)*IF(Upgrades!$T$9="Orbital Resonance",POWER(Upgrades!$U$9,H363),1)*IF(Upgrades!$T$11="Orbital Resonance",POWER(Upgrades!$U$11,J363),1)*IF(Upgrades!$T$12="Orbital Resonance",POWER(Upgrades!$U$12,K363),1))+(IF(J363=0,0,(Upgrades!$J$11+J363*Upgrades!$K$11)*POWER(Upgrades!$L$11,J363)))*(IF(Upgrades!$T$6="Heliopause",POWER(Upgrades!$U$6,E363),1)*IF(Upgrades!$T$7="Heliopause",POWER(Upgrades!$U$7,F363),1)*IF(Upgrades!$T$8="Heliopause",POWER(Upgrades!$U$8,G363),1)*IF(Upgrades!$T$9="Heliopause",POWER(Upgrades!$U$9,H363),1)*IF(Upgrades!$T$10="Heliopause",POWER(Upgrades!$U$10,I363),1)*IF(Upgrades!$T$12="Heliopause",POWER(Upgrades!$U$12,K363),1))+(IF(K363=0,0,(Upgrades!$J$12+K363*Upgrades!$K$12)*POWER(Upgrades!$L$12,K363)))*(IF(Upgrades!$T$6="First Photons",POWER(Upgrades!$U$6,E363),1)*IF(Upgrades!$T$7="First Photons",POWER(Upgrades!$U$7,F363),1)*IF(Upgrades!$T$8="First Photons",POWER(Upgrades!$U$8,G363),1)*IF(Upgrades!$T$9="First Photons",POWER(Upgrades!$U$9,H363),1)*IF(Upgrades!$T$10="First Photons",POWER(Upgrades!$U$10,I363),1)*IF(Upgrades!$T$11="First Photons",POWER(Upgrades!$U$11,J363),1)))*POWER(Upgrades!$Q$6,E363)*POWER(Upgrades!$Q$7,F363)*POWER(Upgrades!$Q$8,G363)*POWER(Upgrades!$Q$9,H363)*POWER(Upgrades!$Q$10,I363)*POWER(Upgrades!$Q$11,J363)*POWER(Upgrades!$Q$12,K363)</f>
        <v/>
      </c>
      <c r="N363" s="28">
        <f>((IF(E363=0,0,(Upgrades!$G$6+E363*Upgrades!$H$6)*POWER(Upgrades!$I$6,E363)))*(IF(Upgrades!$T$7="Solar Wind",POWER(Upgrades!$U$7,F363),1)*IF(Upgrades!$T$8="Solar Wind",POWER(Upgrades!$U$8,G363),1)*IF(Upgrades!$T$9="Solar Wind",POWER(Upgrades!$U$9,H363),1)*IF(Upgrades!$T$10="Solar Wind",POWER(Upgrades!$U$10,I363),1)*IF(Upgrades!$T$11="Solar Wind",POWER(Upgrades!$U$11,J363),1)*IF(Upgrades!$T$12="Solar Wind",POWER(Upgrades!$U$12,K363),1))+(IF(F363=0,0,(Upgrades!$G$7+F363*Upgrades!$H$7)*POWER(Upgrades!$I$7,F363)))*(IF(Upgrades!$T$6="Asteroid Belt",POWER(Upgrades!$U$6,E363),1)*IF(Upgrades!$T$8="Asteroid Belt",POWER(Upgrades!$U$8,G363),1)*IF(Upgrades!$T$9="Asteroid Belt",POWER(Upgrades!$U$9,H363),1)*IF(Upgrades!$T$10="Asteroid Belt",POWER(Upgrades!$U$10,I363),1)*IF(Upgrades!$T$11="Asteroid Belt",POWER(Upgrades!$U$11,J363),1)*IF(Upgrades!$T$12="Asteroid Belt",POWER(Upgrades!$U$12,K363),1))+(IF(G363=0,0,(Upgrades!$G$8+G363*Upgrades!$H$8)*POWER(Upgrades!$I$8,G363)))*(IF(Upgrades!$T$6="Stellar Coupling",POWER(Upgrades!$U$6,E363),1)*IF(Upgrades!$T$7="Stellar Coupling",POWER(Upgrades!$U$7,F363),1)*IF(Upgrades!$T$9="Stellar Coupling",POWER(Upgrades!$U$9,H363),1)*IF(Upgrades!$T$10="Stellar Coupling",POWER(Upgrades!$U$10,I363),1)*IF(Upgrades!$T$11="Stellar Coupling",POWER(Upgrades!$U$11,J363),1)*IF(Upgrades!$T$12="Stellar Coupling",POWER(Upgrades!$U$12,K363),1))+(IF(H363=0,0,(Upgrades!$G$9+H363*Upgrades!$H$9)*POWER(Upgrades!$I$9,H363)))*(IF(Upgrades!$T$6="Magnetosphere",POWER(Upgrades!$U$6,E363),1)*IF(Upgrades!$T$7="Magnetosphere",POWER(Upgrades!$U$7,F363),1)*IF(Upgrades!$T$8="Magnetosphere",POWER(Upgrades!$U$8,G363),1)*IF(Upgrades!$T$10="Magnetosphere",POWER(Upgrades!$U$10,I363),1)*IF(Upgrades!$T$11="Magnetosphere",POWER(Upgrades!$U$11,J363),1)*IF(Upgrades!$T$12="Magnetosphere",POWER(Upgrades!$U$12,K363),1))+(IF(I363=0,0,(Upgrades!$G$10+I363*Upgrades!$H$10)*POWER(Upgrades!$I$10,I363)))*(IF(Upgrades!$T$6="Orbital Resonance",POWER(Upgrades!$U$6,E363),1)*IF(Upgrades!$T$7="Orbital Resonance",POWER(Upgrades!$U$7,F363),1)*IF(Upgrades!$T$8="Orbital Resonance",POWER(Upgrades!$U$8,G363),1)*IF(Upgrades!$T$9="Orbital Resonance",POWER(Upgrades!$U$9,H363),1)*IF(Upgrades!$T$11="Orbital Resonance",POWER(Upgrades!$U$11,J363),1)*IF(Upgrades!$T$12="Orbital Resonance",POWER(Upgrades!$U$12,K363),1))+(IF(J363=0,0,(Upgrades!$G$11+J363*Upgrades!$H$11)*POWER(Upgrades!$I$11,J363)))*(IF(Upgrades!$T$6="Heliopause",POWER(Upgrades!$U$6,E363),1)*IF(Upgrades!$T$7="Heliopause",POWER(Upgrades!$U$7,F363),1)*IF(Upgrades!$T$8="Heliopause",POWER(Upgrades!$U$8,G363),1)*IF(Upgrades!$T$9="Heliopause",POWER(Upgrades!$U$9,H363),1)*IF(Upgrades!$T$10="Heliopause",POWER(Upgrades!$U$10,I363),1)*IF(Upgrades!$T$12="Heliopause",POWER(Upgrades!$U$12,K363),1))+(IF(K363=0,0,(Upgrades!$G$12+K363*Upgrades!$H$12)*POWER(Upgrades!$I$12,K363)))*(IF(Upgrades!$T$6="First Photons",POWER(Upgrades!$U$6,E363),1)*IF(Upgrades!$T$7="First Photons",POWER(Upgrades!$U$7,F363),1)*IF(Upgrades!$T$8="First Photons",POWER(Upgrades!$U$8,G363),1)*IF(Upgrades!$T$9="First Photons",POWER(Upgrades!$U$9,H363),1)*IF(Upgrades!$T$10="First Photons",POWER(Upgrades!$U$10,I363),1)*IF(Upgrades!$T$11="First Photons",POWER(Upgrades!$U$11,J363),1)))*POWER(Upgrades!$P$6,E363)*POWER(Upgrades!$P$7,F363)*POWER(Upgrades!$P$8,G363)*POWER(Upgrades!$P$9,H363)*POWER(Upgrades!$P$10,I363)*POWER(Upgrades!$P$11,J363)*POWER(Upgrades!$P$12,K363)</f>
        <v/>
      </c>
      <c r="O363" s="28">
        <f>((IF(E363=0,0,(Upgrades!$M$6+E363*Upgrades!$N$6)*POWER(Upgrades!$O$6,E363)))*(IF(Upgrades!$T$7="Solar Wind",POWER(Upgrades!$U$7,F363),1)*IF(Upgrades!$T$8="Solar Wind",POWER(Upgrades!$U$8,G363),1)*IF(Upgrades!$T$9="Solar Wind",POWER(Upgrades!$U$9,H363),1)*IF(Upgrades!$T$10="Solar Wind",POWER(Upgrades!$U$10,I363),1)*IF(Upgrades!$T$11="Solar Wind",POWER(Upgrades!$U$11,J363),1)*IF(Upgrades!$T$12="Solar Wind",POWER(Upgrades!$U$12,K363),1))+(IF(F363=0,0,(Upgrades!$M$7+F363*Upgrades!$N$7)*POWER(Upgrades!$O$7,F363)))*(IF(Upgrades!$T$6="Asteroid Belt",POWER(Upgrades!$U$6,E363),1)*IF(Upgrades!$T$8="Asteroid Belt",POWER(Upgrades!$U$8,G363),1)*IF(Upgrades!$T$9="Asteroid Belt",POWER(Upgrades!$U$9,H363),1)*IF(Upgrades!$T$10="Asteroid Belt",POWER(Upgrades!$U$10,I363),1)*IF(Upgrades!$T$11="Asteroid Belt",POWER(Upgrades!$U$11,J363),1)*IF(Upgrades!$T$12="Asteroid Belt",POWER(Upgrades!$U$12,K363),1))+(IF(G363=0,0,(Upgrades!$M$8+G363*Upgrades!$N$8)*POWER(Upgrades!$O$8,G363)))*(IF(Upgrades!$T$6="Stellar Coupling",POWER(Upgrades!$U$6,E363),1)*IF(Upgrades!$T$7="Stellar Coupling",POWER(Upgrades!$U$7,F363),1)*IF(Upgrades!$T$9="Stellar Coupling",POWER(Upgrades!$U$9,H363),1)*IF(Upgrades!$T$10="Stellar Coupling",POWER(Upgrades!$U$10,I363),1)*IF(Upgrades!$T$11="Stellar Coupling",POWER(Upgrades!$U$11,J363),1)*IF(Upgrades!$T$12="Stellar Coupling",POWER(Upgrades!$U$12,K363),1))+(IF(H363=0,0,(Upgrades!$M$9+H363*Upgrades!$N$9)*POWER(Upgrades!$O$9,H363)))*(IF(Upgrades!$T$6="Magnetosphere",POWER(Upgrades!$U$6,E363),1)*IF(Upgrades!$T$7="Magnetosphere",POWER(Upgrades!$U$7,F363),1)*IF(Upgrades!$T$8="Magnetosphere",POWER(Upgrades!$U$8,G363),1)*IF(Upgrades!$T$10="Magnetosphere",POWER(Upgrades!$U$10,I363),1)*IF(Upgrades!$T$11="Magnetosphere",POWER(Upgrades!$U$11,J363),1)*IF(Upgrades!$T$12="Magnetosphere",POWER(Upgrades!$U$12,K363),1))+(IF(I363=0,0,(Upgrades!$M$10+I363*Upgrades!$N$10)*POWER(Upgrades!$O$10,I363)))*(IF(Upgrades!$T$6="Orbital Resonance",POWER(Upgrades!$U$6,E363),1)*IF(Upgrades!$T$7="Orbital Resonance",POWER(Upgrades!$U$7,F363),1)*IF(Upgrades!$T$8="Orbital Resonance",POWER(Upgrades!$U$8,G363),1)*IF(Upgrades!$T$9="Orbital Resonance",POWER(Upgrades!$U$9,H363),1)*IF(Upgrades!$T$11="Orbital Resonance",POWER(Upgrades!$U$11,J363),1)*IF(Upgrades!$T$12="Orbital Resonance",POWER(Upgrades!$U$12,K363),1))+(IF(J363=0,0,(Upgrades!$M$11+J363*Upgrades!$N$11)*POWER(Upgrades!$O$11,J363)))*(IF(Upgrades!$T$6="Heliopause",POWER(Upgrades!$U$6,E363),1)*IF(Upgrades!$T$7="Heliopause",POWER(Upgrades!$U$7,F363),1)*IF(Upgrades!$T$8="Heliopause",POWER(Upgrades!$U$8,G363),1)*IF(Upgrades!$T$9="Heliopause",POWER(Upgrades!$U$9,H363),1)*IF(Upgrades!$T$10="Heliopause",POWER(Upgrades!$U$10,I363),1)*IF(Upgrades!$T$12="Heliopause",POWER(Upgrades!$U$12,K363),1))+(IF(K363=0,0,(Upgrades!$M$12+K363*Upgrades!$N$12)*POWER(Upgrades!$O$12,K363)))*(IF(Upgrades!$T$6="First Photons",POWER(Upgrades!$U$6,E363),1)*IF(Upgrades!$T$7="First Photons",POWER(Upgrades!$U$7,F363),1)*IF(Upgrades!$T$8="First Photons",POWER(Upgrades!$U$8,G363),1)*IF(Upgrades!$T$9="First Photons",POWER(Upgrades!$U$9,H363),1)*IF(Upgrades!$T$10="First Photons",POWER(Upgrades!$U$10,I363),1)*IF(Upgrades!$T$11="First Photons",POWER(Upgrades!$U$11,J363),1)))*POWER(Upgrades!$R$6,E363)*POWER(Upgrades!$R$7,F363)*POWER(Upgrades!$R$8,G363)*POWER(Upgrades!$R$9,H363)*POWER(Upgrades!$R$10,I363)*POWER(Upgrades!$R$11,J363)*POWER(Upgrades!$R$12,K363)</f>
        <v/>
      </c>
      <c r="P363" s="27">
        <f>IF(L363=1,0,M363*Parameters!$B$10/60*Parameters!$B$11*10)</f>
        <v/>
      </c>
      <c r="Q363" s="27">
        <f>IF(L363=1,0,O363*M363*10)</f>
        <v/>
      </c>
      <c r="R363" s="27">
        <f>IF(L363=1,0,N363*10)</f>
        <v/>
      </c>
      <c r="S363" s="27">
        <f>P363+Q363+R363</f>
        <v/>
      </c>
      <c r="T363" s="22">
        <f>C363+S363</f>
        <v/>
      </c>
      <c r="U363" s="33">
        <f>AX363</f>
        <v/>
      </c>
      <c r="V363" s="22">
        <f>IF(U363="",0,IF(U363="transition",0,IF(U363="SW",AG363,IF(U363="AB",AH363,IF(U363="SC",AI363,IF(U363="Mag",AJ363,IF(U363="OR",AK363,IF(U363="HP",AL363,IF(U363="FP",AM363,0)))))))))</f>
        <v/>
      </c>
      <c r="W363" s="27">
        <f>IF(U363="OR",Upgrades!$F$10,IF(U363="HP",Upgrades!$F$11,IF(U363="transition",-Parameters!$B$18,0)))</f>
        <v/>
      </c>
      <c r="X363" s="22">
        <f>T363-V363</f>
        <v/>
      </c>
      <c r="Y363" s="30">
        <f>M363*Parameters!$B$10/60*Parameters!$B$11+O363*M363+N363</f>
        <v/>
      </c>
      <c r="Z363" s="34">
        <f>IF(U363="transition","→ Tier 2 (Stellar Neighborhood)",IF(U363="FP","First Photons — light begins, system quickens",IF(U363="HP","Heliopause acquired",IF(U363="OR","Orbital Resonance — passive multiplier active",IF(AND(AO363=1,L363=0,AN363&lt;&gt;1),"Cohesion ready (waiting on completionist upgrades)","")))))</f>
        <v/>
      </c>
      <c r="AA363" s="27">
        <f>(IF(E363=0,0,(Upgrades!$G$6+E363*Upgrades!$H$6)*POWER(Upgrades!$I$6,E363)))*(IF(Upgrades!$T$7="Solar Wind",POWER(Upgrades!$U$7,F363),1)*IF(Upgrades!$T$8="Solar Wind",POWER(Upgrades!$U$8,G363),1)*IF(Upgrades!$T$9="Solar Wind",POWER(Upgrades!$U$9,H363),1)*IF(Upgrades!$T$10="Solar Wind",POWER(Upgrades!$U$10,I363),1)*IF(Upgrades!$T$11="Solar Wind",POWER(Upgrades!$U$11,J363),1)*IF(Upgrades!$T$12="Solar Wind",POWER(Upgrades!$U$12,K363),1))*POWER(Upgrades!$P$6,E363)*POWER(Upgrades!$P$7,F363)*POWER(Upgrades!$P$8,G363)*POWER(Upgrades!$P$9,H363)*POWER(Upgrades!$P$10,I363)*POWER(Upgrades!$P$11,J363)*POWER(Upgrades!$P$12,K363)*60</f>
        <v/>
      </c>
      <c r="AB363" s="27">
        <f>(IF(F363=0,0,(Upgrades!$G$7+F363*Upgrades!$H$7)*POWER(Upgrades!$I$7,F363)))*(IF(Upgrades!$T$6="Asteroid Belt",POWER(Upgrades!$U$6,E363),1)*IF(Upgrades!$T$8="Asteroid Belt",POWER(Upgrades!$U$8,G363),1)*IF(Upgrades!$T$9="Asteroid Belt",POWER(Upgrades!$U$9,H363),1)*IF(Upgrades!$T$10="Asteroid Belt",POWER(Upgrades!$U$10,I363),1)*IF(Upgrades!$T$11="Asteroid Belt",POWER(Upgrades!$U$11,J363),1)*IF(Upgrades!$T$12="Asteroid Belt",POWER(Upgrades!$U$12,K363),1))*POWER(Upgrades!$P$6,E363)*POWER(Upgrades!$P$7,F363)*POWER(Upgrades!$P$8,G363)*POWER(Upgrades!$P$9,H363)*POWER(Upgrades!$P$10,I363)*POWER(Upgrades!$P$11,J363)*POWER(Upgrades!$P$12,K363)*60</f>
        <v/>
      </c>
      <c r="AC363" s="27">
        <f>(IF(G363=0,0,(Upgrades!$J$8+G363*Upgrades!$K$8)*POWER(Upgrades!$L$8,G363)))*(IF(Upgrades!$T$6="Stellar Coupling",POWER(Upgrades!$U$6,E363),1)*IF(Upgrades!$T$7="Stellar Coupling",POWER(Upgrades!$U$7,F363),1)*IF(Upgrades!$T$9="Stellar Coupling",POWER(Upgrades!$U$9,H363),1)*IF(Upgrades!$T$10="Stellar Coupling",POWER(Upgrades!$U$10,I363),1)*IF(Upgrades!$T$11="Stellar Coupling",POWER(Upgrades!$U$11,J363),1)*IF(Upgrades!$T$12="Stellar Coupling",POWER(Upgrades!$U$12,K363),1))*POWER(Upgrades!$Q$6,E363)*POWER(Upgrades!$Q$7,F363)*POWER(Upgrades!$Q$8,G363)*POWER(Upgrades!$Q$9,H363)*POWER(Upgrades!$Q$10,I363)*POWER(Upgrades!$Q$11,J363)*POWER(Upgrades!$Q$12,K363)*Parameters!$B$10*Parameters!$B$11</f>
        <v/>
      </c>
      <c r="AD363" s="27">
        <f>(IF(H363=0,0,(Upgrades!$G$9+H363*Upgrades!$H$9)*POWER(Upgrades!$I$9,H363)))*(IF(Upgrades!$T$6="Magnetosphere",POWER(Upgrades!$U$6,E363),1)*IF(Upgrades!$T$7="Magnetosphere",POWER(Upgrades!$U$7,F363),1)*IF(Upgrades!$T$8="Magnetosphere",POWER(Upgrades!$U$8,G363),1)*IF(Upgrades!$T$10="Magnetosphere",POWER(Upgrades!$U$10,I363),1)*IF(Upgrades!$T$11="Magnetosphere",POWER(Upgrades!$U$11,J363),1)*IF(Upgrades!$T$12="Magnetosphere",POWER(Upgrades!$U$12,K363),1))*POWER(Upgrades!$P$6,E363)*POWER(Upgrades!$P$7,F363)*POWER(Upgrades!$P$8,G363)*POWER(Upgrades!$P$9,H363)*POWER(Upgrades!$P$10,I363)*POWER(Upgrades!$P$11,J363)*POWER(Upgrades!$P$12,K363)*60</f>
        <v/>
      </c>
      <c r="AE363" s="27">
        <f>(IF(K363=0,0,(Upgrades!$G$12+K363*Upgrades!$H$12)*POWER(Upgrades!$I$12,K363)))*(IF(Upgrades!$T$6="First Photons",POWER(Upgrades!$U$6,E363),1)*IF(Upgrades!$T$7="First Photons",POWER(Upgrades!$U$7,F363),1)*IF(Upgrades!$T$8="First Photons",POWER(Upgrades!$U$8,G363),1)*IF(Upgrades!$T$9="First Photons",POWER(Upgrades!$U$9,H363),1)*IF(Upgrades!$T$10="First Photons",POWER(Upgrades!$U$10,I363),1)*IF(Upgrades!$T$11="First Photons",POWER(Upgrades!$U$11,J363),1))*POWER(Upgrades!$P$6,E363)*POWER(Upgrades!$P$7,F363)*POWER(Upgrades!$P$8,G363)*POWER(Upgrades!$P$9,H363)*POWER(Upgrades!$P$10,I363)*POWER(Upgrades!$P$11,J363)*POWER(Upgrades!$P$12,K363)*60</f>
        <v/>
      </c>
      <c r="AF363" s="27">
        <f>Parameters!$B$9*POWER(Upgrades!$Q$6,E363)*POWER(Upgrades!$Q$7,F363)*POWER(Upgrades!$Q$8,G363)*POWER(Upgrades!$Q$9,H363)*POWER(Upgrades!$Q$10,I363)*POWER(Upgrades!$Q$11,J363)*POWER(Upgrades!$Q$12,K363)*(Parameters!$B$10*Parameters!$B$11+O363*60)</f>
        <v/>
      </c>
      <c r="AG363" s="22">
        <f>IF(E363&gt;=Upgrades!$E$6,"",Upgrades!$C$6*POWER(Upgrades!$D$6,E363))</f>
        <v/>
      </c>
      <c r="AH363" s="22">
        <f>IF(F363&gt;=Upgrades!$E$7,"",Upgrades!$C$7*POWER(Upgrades!$D$7,F363))</f>
        <v/>
      </c>
      <c r="AI363" s="22">
        <f>IF(G363&gt;=Upgrades!$E$8,"",Upgrades!$C$8*POWER(Upgrades!$D$8,G363))</f>
        <v/>
      </c>
      <c r="AJ363" s="22">
        <f>IF(H363&gt;=Upgrades!$E$9,"",Upgrades!$C$9*POWER(Upgrades!$D$9,H363))</f>
        <v/>
      </c>
      <c r="AK363" s="22">
        <f>IF(I363&gt;=Upgrades!$E$10,"",Upgrades!$C$10*POWER(Upgrades!$D$10,I363))</f>
        <v/>
      </c>
      <c r="AL363" s="22">
        <f>IF(J363&gt;=Upgrades!$E$11,"",Upgrades!$C$11*POWER(Upgrades!$D$11,J363))</f>
        <v/>
      </c>
      <c r="AM363" s="22">
        <f>IF(K363&gt;=Upgrades!$E$12,"",Upgrades!$C$12*POWER(Upgrades!$D$12,K363))</f>
        <v/>
      </c>
      <c r="AN363" s="26">
        <f>IF(AND(D363&gt;=Parameters!$B$18,(H363&gt;=Upgrades!$E$9)*(K363&gt;=Upgrades!$E$12)=1,L363=0),1,"")</f>
        <v/>
      </c>
      <c r="AO363" s="26">
        <f>IF(AND(D363&gt;=Parameters!$B$18,L363=0),1,"")</f>
        <v/>
      </c>
      <c r="AP363" s="22">
        <f>MIN(IF(ISNUMBER(AK363),AK363,9E15),IF(ISNUMBER(AL363),AL363,9E15),IF(ISNUMBER(AM363),AM363,9E15))</f>
        <v/>
      </c>
      <c r="AQ363" s="22">
        <f>MIN(IF(ISNUMBER(AG363),AG363,9E15),IF(ISNUMBER(AH363),AH363,9E15),IF(ISNUMBER(AI363),AI363,9E15),IF(ISNUMBER(AJ363),AJ363,9E15))</f>
        <v/>
      </c>
      <c r="AR363" s="29">
        <f>IF(AW363&gt;Parameters!$B$21*(MAX(IF(AND(NOT(AND(AO363=1,AN363&lt;&gt;1)),ISNUMBER(AG363),AG363&lt;=T363),AS363,0),IF(AND(NOT(AND(AO363=1,AN363&lt;&gt;1)),ISNUMBER(AH363),AH363&lt;=T363),AT363,0),IF(AND(NOT(AND(AO363=1,AN363&lt;&gt;1)),ISNUMBER(AI363),AI363&lt;=T363),AU363,0),IF(AND(ISNUMBER(AJ363),AJ363&lt;=T363),AV363,0))),TRUE,FALSE)</f>
        <v/>
      </c>
      <c r="AS363" s="32">
        <f>IFERROR(Upgrades!$H$6*(POWER(Upgrades!$P$6,E363)*POWER(Upgrades!$P$7,F363)*POWER(Upgrades!$P$8,G363)*POWER(Upgrades!$P$9,H363)*POWER(Upgrades!$P$10,I363)*POWER(Upgrades!$P$11,J363)*POWER(Upgrades!$P$12,K363))*(IF(Upgrades!$T$7="Solar Wind",POWER(Upgrades!$U$7,F363),1)*IF(Upgrades!$T$8="Solar Wind",POWER(Upgrades!$U$8,G363),1)*IF(Upgrades!$T$9="Solar Wind",POWER(Upgrades!$U$9,H363),1)*IF(Upgrades!$T$10="Solar Wind",POWER(Upgrades!$U$10,I363),1)*IF(Upgrades!$T$11="Solar Wind",POWER(Upgrades!$U$11,J363),1)*IF(Upgrades!$T$12="Solar Wind",POWER(Upgrades!$U$12,K363),1))/AG363,0)</f>
        <v/>
      </c>
      <c r="AT363" s="32">
        <f>IFERROR(Upgrades!$H$7*(POWER(Upgrades!$P$6,E363)*POWER(Upgrades!$P$7,F363)*POWER(Upgrades!$P$8,G363)*POWER(Upgrades!$P$9,H363)*POWER(Upgrades!$P$10,I363)*POWER(Upgrades!$P$11,J363)*POWER(Upgrades!$P$12,K363))*(IF(Upgrades!$T$6="Asteroid Belt",POWER(Upgrades!$U$6,E363),1)*IF(Upgrades!$T$8="Asteroid Belt",POWER(Upgrades!$U$8,G363),1)*IF(Upgrades!$T$9="Asteroid Belt",POWER(Upgrades!$U$9,H363),1)*IF(Upgrades!$T$10="Asteroid Belt",POWER(Upgrades!$U$10,I363),1)*IF(Upgrades!$T$11="Asteroid Belt",POWER(Upgrades!$U$11,J363),1)*IF(Upgrades!$T$12="Asteroid Belt",POWER(Upgrades!$U$12,K363),1))/AH363,0)</f>
        <v/>
      </c>
      <c r="AU363" s="32">
        <f>IFERROR(Upgrades!$K$8*(POWER(Upgrades!$Q$6,E363)*POWER(Upgrades!$Q$7,F363)*POWER(Upgrades!$Q$8,G363)*POWER(Upgrades!$Q$9,H363)*POWER(Upgrades!$Q$10,I363)*POWER(Upgrades!$Q$11,J363)*POWER(Upgrades!$Q$12,K363))*(IF(Upgrades!$T$6="Stellar Coupling",POWER(Upgrades!$U$6,E363),1)*IF(Upgrades!$T$7="Stellar Coupling",POWER(Upgrades!$U$7,F363),1)*IF(Upgrades!$T$9="Stellar Coupling",POWER(Upgrades!$U$9,H363),1)*IF(Upgrades!$T$10="Stellar Coupling",POWER(Upgrades!$U$10,I363),1)*IF(Upgrades!$T$11="Stellar Coupling",POWER(Upgrades!$U$11,J363),1)*IF(Upgrades!$T$12="Stellar Coupling",POWER(Upgrades!$U$12,K363),1))*Parameters!$B$10*Parameters!$B$11/60/AI363,0)</f>
        <v/>
      </c>
      <c r="AV363" s="32">
        <f>IFERROR(Upgrades!$H$9*(POWER(Upgrades!$P$6,E363)*POWER(Upgrades!$P$7,F363)*POWER(Upgrades!$P$8,G363)*POWER(Upgrades!$P$9,H363)*POWER(Upgrades!$P$10,I363)*POWER(Upgrades!$P$11,J363)*POWER(Upgrades!$P$12,K363))*(IF(Upgrades!$T$6="Magnetosphere",POWER(Upgrades!$U$6,E363),1)*IF(Upgrades!$T$7="Magnetosphere",POWER(Upgrades!$U$7,F363),1)*IF(Upgrades!$T$8="Magnetosphere",POWER(Upgrades!$U$8,G363),1)*IF(Upgrades!$T$10="Magnetosphere",POWER(Upgrades!$U$10,I363),1)*IF(Upgrades!$T$11="Magnetosphere",POWER(Upgrades!$U$11,J363),1)*IF(Upgrades!$T$12="Magnetosphere",POWER(Upgrades!$U$12,K363),1))/AJ363,0)</f>
        <v/>
      </c>
      <c r="AW363" s="32">
        <f>MAX(IF(I363&gt;0,0,IFERROR(0.25*N363/Upgrades!$C$10,0)),IF(J363&gt;0,0,IFERROR(0.5*((IF(G363=0,0,(Upgrades!$J$8+G363*Upgrades!$K$8)*POWER(Upgrades!$L$8,G363)))*(IF(Upgrades!$T$6="Stellar Coupling",POWER(Upgrades!$U$6,E363),1)*IF(Upgrades!$T$7="Stellar Coupling",POWER(Upgrades!$U$7,F363),1)*IF(Upgrades!$T$9="Stellar Coupling",POWER(Upgrades!$U$9,H363),1)*IF(Upgrades!$T$10="Stellar Coupling",POWER(Upgrades!$U$10,I363),1)*IF(Upgrades!$T$11="Stellar Coupling",POWER(Upgrades!$U$11,J363),1)*IF(Upgrades!$T$12="Stellar Coupling",POWER(Upgrades!$U$12,K363),1))*(POWER(Upgrades!$Q$6,E363)*POWER(Upgrades!$Q$7,F363)*POWER(Upgrades!$Q$8,G363)*POWER(Upgrades!$Q$9,H363)*POWER(Upgrades!$Q$10,I363)*POWER(Upgrades!$Q$11,J363)*POWER(Upgrades!$Q$12,K363))*Parameters!$B$10*Parameters!$B$11/60)/Upgrades!$C$11,0)),IF(K363&gt;0,0,IFERROR((1.0*(POWER(Upgrades!$P$6,E363)*POWER(Upgrades!$P$7,F363)*POWER(Upgrades!$P$8,G363)*POWER(Upgrades!$P$9,H363)*POWER(Upgrades!$P$10,I363)*POWER(Upgrades!$P$11,J363)*POWER(Upgrades!$P$12,K363))+0.20*M363*Parameters!$B$10*Parameters!$B$11/60)/Upgrades!$C$12,0)),IF(AND(ISNUMBER(AG363),AG363&gt;T363),AS363,0),IF(AND(ISNUMBER(AH363),AH363&gt;T363),AT363,0),IF(AND(ISNUMBER(AI363),AI363&gt;T363),AU363,0),IF(AND(ISNUMBER(AJ363),AJ363&gt;T363),AV363,0))</f>
        <v/>
      </c>
      <c r="AX363" s="29">
        <f>IF(AN363=1,"transition",IF(MIN(IF(AND(I363=0,ISNUMBER(AK363),AK363&lt;=T363),AK363,9E15),IF(AND(J363=0,ISNUMBER(AL363),AL363&lt;=T363),AL363,9E15),IF(AND(K363=0,ISNUMBER(AM363),AM363&lt;=T363),AM363,9E15))&lt;9E15,IF(AND(AND(I363=0,ISNUMBER(AK363),AK363&lt;=T363),AK363=MIN(IF(AND(I363=0,ISNUMBER(AK363),AK363&lt;=T363),AK363,9E15),IF(AND(J363=0,ISNUMBER(AL363),AL363&lt;=T363),AL363,9E15),IF(AND(K363=0,ISNUMBER(AM363),AM363&lt;=T363),AM363,9E15))),"OR",IF(AND(AND(J363=0,ISNUMBER(AL363),AL363&lt;=T363),AL363=MIN(IF(AND(I363=0,ISNUMBER(AK363),AK363&lt;=T363),AK363,9E15),IF(AND(J363=0,ISNUMBER(AL363),AL363&lt;=T363),AL363,9E15),IF(AND(K363=0,ISNUMBER(AM363),AM363&lt;=T363),AM363,9E15))),"HP","FP")),IF(AR363=TRUE,"",IF(MAX(IF(AND(NOT(AND(AO363=1,AN363&lt;&gt;1)),ISNUMBER(AG363),AG363&lt;=T363),AS363,0),IF(AND(NOT(AND(AO363=1,AN363&lt;&gt;1)),ISNUMBER(AH363),AH363&lt;=T363),AT363,0),IF(AND(NOT(AND(AO363=1,AN363&lt;&gt;1)),ISNUMBER(AI363),AI363&lt;=T363),AU363,0),IF(AND(ISNUMBER(AJ363),AJ363&lt;=T363),AV363,0))&lt;=0,"",IF(AND(IF(AND(NOT(AND(AO363=1,AN363&lt;&gt;1)),ISNUMBER(AG363),AG363&lt;=T363),AS363,0)&gt;0,IF(AND(NOT(AND(AO363=1,AN363&lt;&gt;1)),ISNUMBER(AG363),AG363&lt;=T363),AS363,0)=MAX(IF(AND(NOT(AND(AO363=1,AN363&lt;&gt;1)),ISNUMBER(AG363),AG363&lt;=T363),AS363,0),IF(AND(NOT(AND(AO363=1,AN363&lt;&gt;1)),ISNUMBER(AH363),AH363&lt;=T363),AT363,0),IF(AND(NOT(AND(AO363=1,AN363&lt;&gt;1)),ISNUMBER(AI363),AI363&lt;=T363),AU363,0),IF(AND(ISNUMBER(AJ363),AJ363&lt;=T363),AV363,0))),"SW",IF(AND(IF(AND(NOT(AND(AO363=1,AN363&lt;&gt;1)),ISNUMBER(AH363),AH363&lt;=T363),AT363,0)&gt;0,IF(AND(NOT(AND(AO363=1,AN363&lt;&gt;1)),ISNUMBER(AH363),AH363&lt;=T363),AT363,0)=MAX(IF(AND(NOT(AND(AO363=1,AN363&lt;&gt;1)),ISNUMBER(AG363),AG363&lt;=T363),AS363,0),IF(AND(NOT(AND(AO363=1,AN363&lt;&gt;1)),ISNUMBER(AH363),AH363&lt;=T363),AT363,0),IF(AND(NOT(AND(AO363=1,AN363&lt;&gt;1)),ISNUMBER(AI363),AI363&lt;=T363),AU363,0),IF(AND(ISNUMBER(AJ363),AJ363&lt;=T363),AV363,0))),"AB",IF(AND(IF(AND(NOT(AND(AO363=1,AN363&lt;&gt;1)),ISNUMBER(AI363),AI363&lt;=T363),AU363,0)&gt;0,IF(AND(NOT(AND(AO363=1,AN363&lt;&gt;1)),ISNUMBER(AI363),AI363&lt;=T363),AU363,0)=MAX(IF(AND(NOT(AND(AO363=1,AN363&lt;&gt;1)),ISNUMBER(AG363),AG363&lt;=T363),AS363,0),IF(AND(NOT(AND(AO363=1,AN363&lt;&gt;1)),ISNUMBER(AH363),AH363&lt;=T363),AT363,0),IF(AND(NOT(AND(AO363=1,AN363&lt;&gt;1)),ISNUMBER(AI363),AI363&lt;=T363),AU363,0),IF(AND(ISNUMBER(AJ363),AJ363&lt;=T363),AV363,0))),"SC","Mag")))))))</f>
        <v/>
      </c>
    </row>
    <row r="364">
      <c r="A364" s="26" t="n">
        <v>359</v>
      </c>
      <c r="B364" s="27">
        <f>A364*10/60</f>
        <v/>
      </c>
      <c r="C364" s="22">
        <f>X363</f>
        <v/>
      </c>
      <c r="D364" s="27">
        <f>D363+W363</f>
        <v/>
      </c>
      <c r="E364" s="26">
        <f>E363+IF(U363="SW",1,0)</f>
        <v/>
      </c>
      <c r="F364" s="26">
        <f>F363+IF(U363="AB",1,0)</f>
        <v/>
      </c>
      <c r="G364" s="26">
        <f>G363+IF(U363="SC",1,0)</f>
        <v/>
      </c>
      <c r="H364" s="26">
        <f>H363+IF(U363="Mag",1,0)</f>
        <v/>
      </c>
      <c r="I364" s="26">
        <f>MAX(I363,IF(U363="OR",1,0))</f>
        <v/>
      </c>
      <c r="J364" s="26">
        <f>MAX(J363,IF(U363="HP",1,0))</f>
        <v/>
      </c>
      <c r="K364" s="26">
        <f>MAX(K363,IF(U363="FP",1,0))</f>
        <v/>
      </c>
      <c r="L364" s="26">
        <f>MAX(L363,IF(U363="transition",1,0))</f>
        <v/>
      </c>
      <c r="M364" s="28">
        <f>(Parameters!$B$9+(IF(E364=0,0,(Upgrades!$J$6+E364*Upgrades!$K$6)*POWER(Upgrades!$L$6,E364)))*(IF(Upgrades!$T$7="Solar Wind",POWER(Upgrades!$U$7,F364),1)*IF(Upgrades!$T$8="Solar Wind",POWER(Upgrades!$U$8,G364),1)*IF(Upgrades!$T$9="Solar Wind",POWER(Upgrades!$U$9,H364),1)*IF(Upgrades!$T$10="Solar Wind",POWER(Upgrades!$U$10,I364),1)*IF(Upgrades!$T$11="Solar Wind",POWER(Upgrades!$U$11,J364),1)*IF(Upgrades!$T$12="Solar Wind",POWER(Upgrades!$U$12,K364),1))+(IF(F364=0,0,(Upgrades!$J$7+F364*Upgrades!$K$7)*POWER(Upgrades!$L$7,F364)))*(IF(Upgrades!$T$6="Asteroid Belt",POWER(Upgrades!$U$6,E364),1)*IF(Upgrades!$T$8="Asteroid Belt",POWER(Upgrades!$U$8,G364),1)*IF(Upgrades!$T$9="Asteroid Belt",POWER(Upgrades!$U$9,H364),1)*IF(Upgrades!$T$10="Asteroid Belt",POWER(Upgrades!$U$10,I364),1)*IF(Upgrades!$T$11="Asteroid Belt",POWER(Upgrades!$U$11,J364),1)*IF(Upgrades!$T$12="Asteroid Belt",POWER(Upgrades!$U$12,K364),1))+(IF(G364=0,0,(Upgrades!$J$8+G364*Upgrades!$K$8)*POWER(Upgrades!$L$8,G364)))*(IF(Upgrades!$T$6="Stellar Coupling",POWER(Upgrades!$U$6,E364),1)*IF(Upgrades!$T$7="Stellar Coupling",POWER(Upgrades!$U$7,F364),1)*IF(Upgrades!$T$9="Stellar Coupling",POWER(Upgrades!$U$9,H364),1)*IF(Upgrades!$T$10="Stellar Coupling",POWER(Upgrades!$U$10,I364),1)*IF(Upgrades!$T$11="Stellar Coupling",POWER(Upgrades!$U$11,J364),1)*IF(Upgrades!$T$12="Stellar Coupling",POWER(Upgrades!$U$12,K364),1))+(IF(H364=0,0,(Upgrades!$J$9+H364*Upgrades!$K$9)*POWER(Upgrades!$L$9,H364)))*(IF(Upgrades!$T$6="Magnetosphere",POWER(Upgrades!$U$6,E364),1)*IF(Upgrades!$T$7="Magnetosphere",POWER(Upgrades!$U$7,F364),1)*IF(Upgrades!$T$8="Magnetosphere",POWER(Upgrades!$U$8,G364),1)*IF(Upgrades!$T$10="Magnetosphere",POWER(Upgrades!$U$10,I364),1)*IF(Upgrades!$T$11="Magnetosphere",POWER(Upgrades!$U$11,J364),1)*IF(Upgrades!$T$12="Magnetosphere",POWER(Upgrades!$U$12,K364),1))+(IF(I364=0,0,(Upgrades!$J$10+I364*Upgrades!$K$10)*POWER(Upgrades!$L$10,I364)))*(IF(Upgrades!$T$6="Orbital Resonance",POWER(Upgrades!$U$6,E364),1)*IF(Upgrades!$T$7="Orbital Resonance",POWER(Upgrades!$U$7,F364),1)*IF(Upgrades!$T$8="Orbital Resonance",POWER(Upgrades!$U$8,G364),1)*IF(Upgrades!$T$9="Orbital Resonance",POWER(Upgrades!$U$9,H364),1)*IF(Upgrades!$T$11="Orbital Resonance",POWER(Upgrades!$U$11,J364),1)*IF(Upgrades!$T$12="Orbital Resonance",POWER(Upgrades!$U$12,K364),1))+(IF(J364=0,0,(Upgrades!$J$11+J364*Upgrades!$K$11)*POWER(Upgrades!$L$11,J364)))*(IF(Upgrades!$T$6="Heliopause",POWER(Upgrades!$U$6,E364),1)*IF(Upgrades!$T$7="Heliopause",POWER(Upgrades!$U$7,F364),1)*IF(Upgrades!$T$8="Heliopause",POWER(Upgrades!$U$8,G364),1)*IF(Upgrades!$T$9="Heliopause",POWER(Upgrades!$U$9,H364),1)*IF(Upgrades!$T$10="Heliopause",POWER(Upgrades!$U$10,I364),1)*IF(Upgrades!$T$12="Heliopause",POWER(Upgrades!$U$12,K364),1))+(IF(K364=0,0,(Upgrades!$J$12+K364*Upgrades!$K$12)*POWER(Upgrades!$L$12,K364)))*(IF(Upgrades!$T$6="First Photons",POWER(Upgrades!$U$6,E364),1)*IF(Upgrades!$T$7="First Photons",POWER(Upgrades!$U$7,F364),1)*IF(Upgrades!$T$8="First Photons",POWER(Upgrades!$U$8,G364),1)*IF(Upgrades!$T$9="First Photons",POWER(Upgrades!$U$9,H364),1)*IF(Upgrades!$T$10="First Photons",POWER(Upgrades!$U$10,I364),1)*IF(Upgrades!$T$11="First Photons",POWER(Upgrades!$U$11,J364),1)))*POWER(Upgrades!$Q$6,E364)*POWER(Upgrades!$Q$7,F364)*POWER(Upgrades!$Q$8,G364)*POWER(Upgrades!$Q$9,H364)*POWER(Upgrades!$Q$10,I364)*POWER(Upgrades!$Q$11,J364)*POWER(Upgrades!$Q$12,K364)</f>
        <v/>
      </c>
      <c r="N364" s="28">
        <f>((IF(E364=0,0,(Upgrades!$G$6+E364*Upgrades!$H$6)*POWER(Upgrades!$I$6,E364)))*(IF(Upgrades!$T$7="Solar Wind",POWER(Upgrades!$U$7,F364),1)*IF(Upgrades!$T$8="Solar Wind",POWER(Upgrades!$U$8,G364),1)*IF(Upgrades!$T$9="Solar Wind",POWER(Upgrades!$U$9,H364),1)*IF(Upgrades!$T$10="Solar Wind",POWER(Upgrades!$U$10,I364),1)*IF(Upgrades!$T$11="Solar Wind",POWER(Upgrades!$U$11,J364),1)*IF(Upgrades!$T$12="Solar Wind",POWER(Upgrades!$U$12,K364),1))+(IF(F364=0,0,(Upgrades!$G$7+F364*Upgrades!$H$7)*POWER(Upgrades!$I$7,F364)))*(IF(Upgrades!$T$6="Asteroid Belt",POWER(Upgrades!$U$6,E364),1)*IF(Upgrades!$T$8="Asteroid Belt",POWER(Upgrades!$U$8,G364),1)*IF(Upgrades!$T$9="Asteroid Belt",POWER(Upgrades!$U$9,H364),1)*IF(Upgrades!$T$10="Asteroid Belt",POWER(Upgrades!$U$10,I364),1)*IF(Upgrades!$T$11="Asteroid Belt",POWER(Upgrades!$U$11,J364),1)*IF(Upgrades!$T$12="Asteroid Belt",POWER(Upgrades!$U$12,K364),1))+(IF(G364=0,0,(Upgrades!$G$8+G364*Upgrades!$H$8)*POWER(Upgrades!$I$8,G364)))*(IF(Upgrades!$T$6="Stellar Coupling",POWER(Upgrades!$U$6,E364),1)*IF(Upgrades!$T$7="Stellar Coupling",POWER(Upgrades!$U$7,F364),1)*IF(Upgrades!$T$9="Stellar Coupling",POWER(Upgrades!$U$9,H364),1)*IF(Upgrades!$T$10="Stellar Coupling",POWER(Upgrades!$U$10,I364),1)*IF(Upgrades!$T$11="Stellar Coupling",POWER(Upgrades!$U$11,J364),1)*IF(Upgrades!$T$12="Stellar Coupling",POWER(Upgrades!$U$12,K364),1))+(IF(H364=0,0,(Upgrades!$G$9+H364*Upgrades!$H$9)*POWER(Upgrades!$I$9,H364)))*(IF(Upgrades!$T$6="Magnetosphere",POWER(Upgrades!$U$6,E364),1)*IF(Upgrades!$T$7="Magnetosphere",POWER(Upgrades!$U$7,F364),1)*IF(Upgrades!$T$8="Magnetosphere",POWER(Upgrades!$U$8,G364),1)*IF(Upgrades!$T$10="Magnetosphere",POWER(Upgrades!$U$10,I364),1)*IF(Upgrades!$T$11="Magnetosphere",POWER(Upgrades!$U$11,J364),1)*IF(Upgrades!$T$12="Magnetosphere",POWER(Upgrades!$U$12,K364),1))+(IF(I364=0,0,(Upgrades!$G$10+I364*Upgrades!$H$10)*POWER(Upgrades!$I$10,I364)))*(IF(Upgrades!$T$6="Orbital Resonance",POWER(Upgrades!$U$6,E364),1)*IF(Upgrades!$T$7="Orbital Resonance",POWER(Upgrades!$U$7,F364),1)*IF(Upgrades!$T$8="Orbital Resonance",POWER(Upgrades!$U$8,G364),1)*IF(Upgrades!$T$9="Orbital Resonance",POWER(Upgrades!$U$9,H364),1)*IF(Upgrades!$T$11="Orbital Resonance",POWER(Upgrades!$U$11,J364),1)*IF(Upgrades!$T$12="Orbital Resonance",POWER(Upgrades!$U$12,K364),1))+(IF(J364=0,0,(Upgrades!$G$11+J364*Upgrades!$H$11)*POWER(Upgrades!$I$11,J364)))*(IF(Upgrades!$T$6="Heliopause",POWER(Upgrades!$U$6,E364),1)*IF(Upgrades!$T$7="Heliopause",POWER(Upgrades!$U$7,F364),1)*IF(Upgrades!$T$8="Heliopause",POWER(Upgrades!$U$8,G364),1)*IF(Upgrades!$T$9="Heliopause",POWER(Upgrades!$U$9,H364),1)*IF(Upgrades!$T$10="Heliopause",POWER(Upgrades!$U$10,I364),1)*IF(Upgrades!$T$12="Heliopause",POWER(Upgrades!$U$12,K364),1))+(IF(K364=0,0,(Upgrades!$G$12+K364*Upgrades!$H$12)*POWER(Upgrades!$I$12,K364)))*(IF(Upgrades!$T$6="First Photons",POWER(Upgrades!$U$6,E364),1)*IF(Upgrades!$T$7="First Photons",POWER(Upgrades!$U$7,F364),1)*IF(Upgrades!$T$8="First Photons",POWER(Upgrades!$U$8,G364),1)*IF(Upgrades!$T$9="First Photons",POWER(Upgrades!$U$9,H364),1)*IF(Upgrades!$T$10="First Photons",POWER(Upgrades!$U$10,I364),1)*IF(Upgrades!$T$11="First Photons",POWER(Upgrades!$U$11,J364),1)))*POWER(Upgrades!$P$6,E364)*POWER(Upgrades!$P$7,F364)*POWER(Upgrades!$P$8,G364)*POWER(Upgrades!$P$9,H364)*POWER(Upgrades!$P$10,I364)*POWER(Upgrades!$P$11,J364)*POWER(Upgrades!$P$12,K364)</f>
        <v/>
      </c>
      <c r="O364" s="28">
        <f>((IF(E364=0,0,(Upgrades!$M$6+E364*Upgrades!$N$6)*POWER(Upgrades!$O$6,E364)))*(IF(Upgrades!$T$7="Solar Wind",POWER(Upgrades!$U$7,F364),1)*IF(Upgrades!$T$8="Solar Wind",POWER(Upgrades!$U$8,G364),1)*IF(Upgrades!$T$9="Solar Wind",POWER(Upgrades!$U$9,H364),1)*IF(Upgrades!$T$10="Solar Wind",POWER(Upgrades!$U$10,I364),1)*IF(Upgrades!$T$11="Solar Wind",POWER(Upgrades!$U$11,J364),1)*IF(Upgrades!$T$12="Solar Wind",POWER(Upgrades!$U$12,K364),1))+(IF(F364=0,0,(Upgrades!$M$7+F364*Upgrades!$N$7)*POWER(Upgrades!$O$7,F364)))*(IF(Upgrades!$T$6="Asteroid Belt",POWER(Upgrades!$U$6,E364),1)*IF(Upgrades!$T$8="Asteroid Belt",POWER(Upgrades!$U$8,G364),1)*IF(Upgrades!$T$9="Asteroid Belt",POWER(Upgrades!$U$9,H364),1)*IF(Upgrades!$T$10="Asteroid Belt",POWER(Upgrades!$U$10,I364),1)*IF(Upgrades!$T$11="Asteroid Belt",POWER(Upgrades!$U$11,J364),1)*IF(Upgrades!$T$12="Asteroid Belt",POWER(Upgrades!$U$12,K364),1))+(IF(G364=0,0,(Upgrades!$M$8+G364*Upgrades!$N$8)*POWER(Upgrades!$O$8,G364)))*(IF(Upgrades!$T$6="Stellar Coupling",POWER(Upgrades!$U$6,E364),1)*IF(Upgrades!$T$7="Stellar Coupling",POWER(Upgrades!$U$7,F364),1)*IF(Upgrades!$T$9="Stellar Coupling",POWER(Upgrades!$U$9,H364),1)*IF(Upgrades!$T$10="Stellar Coupling",POWER(Upgrades!$U$10,I364),1)*IF(Upgrades!$T$11="Stellar Coupling",POWER(Upgrades!$U$11,J364),1)*IF(Upgrades!$T$12="Stellar Coupling",POWER(Upgrades!$U$12,K364),1))+(IF(H364=0,0,(Upgrades!$M$9+H364*Upgrades!$N$9)*POWER(Upgrades!$O$9,H364)))*(IF(Upgrades!$T$6="Magnetosphere",POWER(Upgrades!$U$6,E364),1)*IF(Upgrades!$T$7="Magnetosphere",POWER(Upgrades!$U$7,F364),1)*IF(Upgrades!$T$8="Magnetosphere",POWER(Upgrades!$U$8,G364),1)*IF(Upgrades!$T$10="Magnetosphere",POWER(Upgrades!$U$10,I364),1)*IF(Upgrades!$T$11="Magnetosphere",POWER(Upgrades!$U$11,J364),1)*IF(Upgrades!$T$12="Magnetosphere",POWER(Upgrades!$U$12,K364),1))+(IF(I364=0,0,(Upgrades!$M$10+I364*Upgrades!$N$10)*POWER(Upgrades!$O$10,I364)))*(IF(Upgrades!$T$6="Orbital Resonance",POWER(Upgrades!$U$6,E364),1)*IF(Upgrades!$T$7="Orbital Resonance",POWER(Upgrades!$U$7,F364),1)*IF(Upgrades!$T$8="Orbital Resonance",POWER(Upgrades!$U$8,G364),1)*IF(Upgrades!$T$9="Orbital Resonance",POWER(Upgrades!$U$9,H364),1)*IF(Upgrades!$T$11="Orbital Resonance",POWER(Upgrades!$U$11,J364),1)*IF(Upgrades!$T$12="Orbital Resonance",POWER(Upgrades!$U$12,K364),1))+(IF(J364=0,0,(Upgrades!$M$11+J364*Upgrades!$N$11)*POWER(Upgrades!$O$11,J364)))*(IF(Upgrades!$T$6="Heliopause",POWER(Upgrades!$U$6,E364),1)*IF(Upgrades!$T$7="Heliopause",POWER(Upgrades!$U$7,F364),1)*IF(Upgrades!$T$8="Heliopause",POWER(Upgrades!$U$8,G364),1)*IF(Upgrades!$T$9="Heliopause",POWER(Upgrades!$U$9,H364),1)*IF(Upgrades!$T$10="Heliopause",POWER(Upgrades!$U$10,I364),1)*IF(Upgrades!$T$12="Heliopause",POWER(Upgrades!$U$12,K364),1))+(IF(K364=0,0,(Upgrades!$M$12+K364*Upgrades!$N$12)*POWER(Upgrades!$O$12,K364)))*(IF(Upgrades!$T$6="First Photons",POWER(Upgrades!$U$6,E364),1)*IF(Upgrades!$T$7="First Photons",POWER(Upgrades!$U$7,F364),1)*IF(Upgrades!$T$8="First Photons",POWER(Upgrades!$U$8,G364),1)*IF(Upgrades!$T$9="First Photons",POWER(Upgrades!$U$9,H364),1)*IF(Upgrades!$T$10="First Photons",POWER(Upgrades!$U$10,I364),1)*IF(Upgrades!$T$11="First Photons",POWER(Upgrades!$U$11,J364),1)))*POWER(Upgrades!$R$6,E364)*POWER(Upgrades!$R$7,F364)*POWER(Upgrades!$R$8,G364)*POWER(Upgrades!$R$9,H364)*POWER(Upgrades!$R$10,I364)*POWER(Upgrades!$R$11,J364)*POWER(Upgrades!$R$12,K364)</f>
        <v/>
      </c>
      <c r="P364" s="27">
        <f>IF(L364=1,0,M364*Parameters!$B$10/60*Parameters!$B$11*10)</f>
        <v/>
      </c>
      <c r="Q364" s="27">
        <f>IF(L364=1,0,O364*M364*10)</f>
        <v/>
      </c>
      <c r="R364" s="27">
        <f>IF(L364=1,0,N364*10)</f>
        <v/>
      </c>
      <c r="S364" s="27">
        <f>P364+Q364+R364</f>
        <v/>
      </c>
      <c r="T364" s="22">
        <f>C364+S364</f>
        <v/>
      </c>
      <c r="U364" s="33">
        <f>AX364</f>
        <v/>
      </c>
      <c r="V364" s="22">
        <f>IF(U364="",0,IF(U364="transition",0,IF(U364="SW",AG364,IF(U364="AB",AH364,IF(U364="SC",AI364,IF(U364="Mag",AJ364,IF(U364="OR",AK364,IF(U364="HP",AL364,IF(U364="FP",AM364,0)))))))))</f>
        <v/>
      </c>
      <c r="W364" s="27">
        <f>IF(U364="OR",Upgrades!$F$10,IF(U364="HP",Upgrades!$F$11,IF(U364="transition",-Parameters!$B$18,0)))</f>
        <v/>
      </c>
      <c r="X364" s="22">
        <f>T364-V364</f>
        <v/>
      </c>
      <c r="Y364" s="30">
        <f>M364*Parameters!$B$10/60*Parameters!$B$11+O364*M364+N364</f>
        <v/>
      </c>
      <c r="Z364" s="34">
        <f>IF(U364="transition","→ Tier 2 (Stellar Neighborhood)",IF(U364="FP","First Photons — light begins, system quickens",IF(U364="HP","Heliopause acquired",IF(U364="OR","Orbital Resonance — passive multiplier active",IF(AND(AO364=1,L364=0,AN364&lt;&gt;1),"Cohesion ready (waiting on completionist upgrades)","")))))</f>
        <v/>
      </c>
      <c r="AA364" s="27">
        <f>(IF(E364=0,0,(Upgrades!$G$6+E364*Upgrades!$H$6)*POWER(Upgrades!$I$6,E364)))*(IF(Upgrades!$T$7="Solar Wind",POWER(Upgrades!$U$7,F364),1)*IF(Upgrades!$T$8="Solar Wind",POWER(Upgrades!$U$8,G364),1)*IF(Upgrades!$T$9="Solar Wind",POWER(Upgrades!$U$9,H364),1)*IF(Upgrades!$T$10="Solar Wind",POWER(Upgrades!$U$10,I364),1)*IF(Upgrades!$T$11="Solar Wind",POWER(Upgrades!$U$11,J364),1)*IF(Upgrades!$T$12="Solar Wind",POWER(Upgrades!$U$12,K364),1))*POWER(Upgrades!$P$6,E364)*POWER(Upgrades!$P$7,F364)*POWER(Upgrades!$P$8,G364)*POWER(Upgrades!$P$9,H364)*POWER(Upgrades!$P$10,I364)*POWER(Upgrades!$P$11,J364)*POWER(Upgrades!$P$12,K364)*60</f>
        <v/>
      </c>
      <c r="AB364" s="27">
        <f>(IF(F364=0,0,(Upgrades!$G$7+F364*Upgrades!$H$7)*POWER(Upgrades!$I$7,F364)))*(IF(Upgrades!$T$6="Asteroid Belt",POWER(Upgrades!$U$6,E364),1)*IF(Upgrades!$T$8="Asteroid Belt",POWER(Upgrades!$U$8,G364),1)*IF(Upgrades!$T$9="Asteroid Belt",POWER(Upgrades!$U$9,H364),1)*IF(Upgrades!$T$10="Asteroid Belt",POWER(Upgrades!$U$10,I364),1)*IF(Upgrades!$T$11="Asteroid Belt",POWER(Upgrades!$U$11,J364),1)*IF(Upgrades!$T$12="Asteroid Belt",POWER(Upgrades!$U$12,K364),1))*POWER(Upgrades!$P$6,E364)*POWER(Upgrades!$P$7,F364)*POWER(Upgrades!$P$8,G364)*POWER(Upgrades!$P$9,H364)*POWER(Upgrades!$P$10,I364)*POWER(Upgrades!$P$11,J364)*POWER(Upgrades!$P$12,K364)*60</f>
        <v/>
      </c>
      <c r="AC364" s="27">
        <f>(IF(G364=0,0,(Upgrades!$J$8+G364*Upgrades!$K$8)*POWER(Upgrades!$L$8,G364)))*(IF(Upgrades!$T$6="Stellar Coupling",POWER(Upgrades!$U$6,E364),1)*IF(Upgrades!$T$7="Stellar Coupling",POWER(Upgrades!$U$7,F364),1)*IF(Upgrades!$T$9="Stellar Coupling",POWER(Upgrades!$U$9,H364),1)*IF(Upgrades!$T$10="Stellar Coupling",POWER(Upgrades!$U$10,I364),1)*IF(Upgrades!$T$11="Stellar Coupling",POWER(Upgrades!$U$11,J364),1)*IF(Upgrades!$T$12="Stellar Coupling",POWER(Upgrades!$U$12,K364),1))*POWER(Upgrades!$Q$6,E364)*POWER(Upgrades!$Q$7,F364)*POWER(Upgrades!$Q$8,G364)*POWER(Upgrades!$Q$9,H364)*POWER(Upgrades!$Q$10,I364)*POWER(Upgrades!$Q$11,J364)*POWER(Upgrades!$Q$12,K364)*Parameters!$B$10*Parameters!$B$11</f>
        <v/>
      </c>
      <c r="AD364" s="27">
        <f>(IF(H364=0,0,(Upgrades!$G$9+H364*Upgrades!$H$9)*POWER(Upgrades!$I$9,H364)))*(IF(Upgrades!$T$6="Magnetosphere",POWER(Upgrades!$U$6,E364),1)*IF(Upgrades!$T$7="Magnetosphere",POWER(Upgrades!$U$7,F364),1)*IF(Upgrades!$T$8="Magnetosphere",POWER(Upgrades!$U$8,G364),1)*IF(Upgrades!$T$10="Magnetosphere",POWER(Upgrades!$U$10,I364),1)*IF(Upgrades!$T$11="Magnetosphere",POWER(Upgrades!$U$11,J364),1)*IF(Upgrades!$T$12="Magnetosphere",POWER(Upgrades!$U$12,K364),1))*POWER(Upgrades!$P$6,E364)*POWER(Upgrades!$P$7,F364)*POWER(Upgrades!$P$8,G364)*POWER(Upgrades!$P$9,H364)*POWER(Upgrades!$P$10,I364)*POWER(Upgrades!$P$11,J364)*POWER(Upgrades!$P$12,K364)*60</f>
        <v/>
      </c>
      <c r="AE364" s="27">
        <f>(IF(K364=0,0,(Upgrades!$G$12+K364*Upgrades!$H$12)*POWER(Upgrades!$I$12,K364)))*(IF(Upgrades!$T$6="First Photons",POWER(Upgrades!$U$6,E364),1)*IF(Upgrades!$T$7="First Photons",POWER(Upgrades!$U$7,F364),1)*IF(Upgrades!$T$8="First Photons",POWER(Upgrades!$U$8,G364),1)*IF(Upgrades!$T$9="First Photons",POWER(Upgrades!$U$9,H364),1)*IF(Upgrades!$T$10="First Photons",POWER(Upgrades!$U$10,I364),1)*IF(Upgrades!$T$11="First Photons",POWER(Upgrades!$U$11,J364),1))*POWER(Upgrades!$P$6,E364)*POWER(Upgrades!$P$7,F364)*POWER(Upgrades!$P$8,G364)*POWER(Upgrades!$P$9,H364)*POWER(Upgrades!$P$10,I364)*POWER(Upgrades!$P$11,J364)*POWER(Upgrades!$P$12,K364)*60</f>
        <v/>
      </c>
      <c r="AF364" s="27">
        <f>Parameters!$B$9*POWER(Upgrades!$Q$6,E364)*POWER(Upgrades!$Q$7,F364)*POWER(Upgrades!$Q$8,G364)*POWER(Upgrades!$Q$9,H364)*POWER(Upgrades!$Q$10,I364)*POWER(Upgrades!$Q$11,J364)*POWER(Upgrades!$Q$12,K364)*(Parameters!$B$10*Parameters!$B$11+O364*60)</f>
        <v/>
      </c>
      <c r="AG364" s="22">
        <f>IF(E364&gt;=Upgrades!$E$6,"",Upgrades!$C$6*POWER(Upgrades!$D$6,E364))</f>
        <v/>
      </c>
      <c r="AH364" s="22">
        <f>IF(F364&gt;=Upgrades!$E$7,"",Upgrades!$C$7*POWER(Upgrades!$D$7,F364))</f>
        <v/>
      </c>
      <c r="AI364" s="22">
        <f>IF(G364&gt;=Upgrades!$E$8,"",Upgrades!$C$8*POWER(Upgrades!$D$8,G364))</f>
        <v/>
      </c>
      <c r="AJ364" s="22">
        <f>IF(H364&gt;=Upgrades!$E$9,"",Upgrades!$C$9*POWER(Upgrades!$D$9,H364))</f>
        <v/>
      </c>
      <c r="AK364" s="22">
        <f>IF(I364&gt;=Upgrades!$E$10,"",Upgrades!$C$10*POWER(Upgrades!$D$10,I364))</f>
        <v/>
      </c>
      <c r="AL364" s="22">
        <f>IF(J364&gt;=Upgrades!$E$11,"",Upgrades!$C$11*POWER(Upgrades!$D$11,J364))</f>
        <v/>
      </c>
      <c r="AM364" s="22">
        <f>IF(K364&gt;=Upgrades!$E$12,"",Upgrades!$C$12*POWER(Upgrades!$D$12,K364))</f>
        <v/>
      </c>
      <c r="AN364" s="26">
        <f>IF(AND(D364&gt;=Parameters!$B$18,(H364&gt;=Upgrades!$E$9)*(K364&gt;=Upgrades!$E$12)=1,L364=0),1,"")</f>
        <v/>
      </c>
      <c r="AO364" s="26">
        <f>IF(AND(D364&gt;=Parameters!$B$18,L364=0),1,"")</f>
        <v/>
      </c>
      <c r="AP364" s="22">
        <f>MIN(IF(ISNUMBER(AK364),AK364,9E15),IF(ISNUMBER(AL364),AL364,9E15),IF(ISNUMBER(AM364),AM364,9E15))</f>
        <v/>
      </c>
      <c r="AQ364" s="22">
        <f>MIN(IF(ISNUMBER(AG364),AG364,9E15),IF(ISNUMBER(AH364),AH364,9E15),IF(ISNUMBER(AI364),AI364,9E15),IF(ISNUMBER(AJ364),AJ364,9E15))</f>
        <v/>
      </c>
      <c r="AR364" s="29">
        <f>IF(AW364&gt;Parameters!$B$21*(MAX(IF(AND(NOT(AND(AO364=1,AN364&lt;&gt;1)),ISNUMBER(AG364),AG364&lt;=T364),AS364,0),IF(AND(NOT(AND(AO364=1,AN364&lt;&gt;1)),ISNUMBER(AH364),AH364&lt;=T364),AT364,0),IF(AND(NOT(AND(AO364=1,AN364&lt;&gt;1)),ISNUMBER(AI364),AI364&lt;=T364),AU364,0),IF(AND(ISNUMBER(AJ364),AJ364&lt;=T364),AV364,0))),TRUE,FALSE)</f>
        <v/>
      </c>
      <c r="AS364" s="32">
        <f>IFERROR(Upgrades!$H$6*(POWER(Upgrades!$P$6,E364)*POWER(Upgrades!$P$7,F364)*POWER(Upgrades!$P$8,G364)*POWER(Upgrades!$P$9,H364)*POWER(Upgrades!$P$10,I364)*POWER(Upgrades!$P$11,J364)*POWER(Upgrades!$P$12,K364))*(IF(Upgrades!$T$7="Solar Wind",POWER(Upgrades!$U$7,F364),1)*IF(Upgrades!$T$8="Solar Wind",POWER(Upgrades!$U$8,G364),1)*IF(Upgrades!$T$9="Solar Wind",POWER(Upgrades!$U$9,H364),1)*IF(Upgrades!$T$10="Solar Wind",POWER(Upgrades!$U$10,I364),1)*IF(Upgrades!$T$11="Solar Wind",POWER(Upgrades!$U$11,J364),1)*IF(Upgrades!$T$12="Solar Wind",POWER(Upgrades!$U$12,K364),1))/AG364,0)</f>
        <v/>
      </c>
      <c r="AT364" s="32">
        <f>IFERROR(Upgrades!$H$7*(POWER(Upgrades!$P$6,E364)*POWER(Upgrades!$P$7,F364)*POWER(Upgrades!$P$8,G364)*POWER(Upgrades!$P$9,H364)*POWER(Upgrades!$P$10,I364)*POWER(Upgrades!$P$11,J364)*POWER(Upgrades!$P$12,K364))*(IF(Upgrades!$T$6="Asteroid Belt",POWER(Upgrades!$U$6,E364),1)*IF(Upgrades!$T$8="Asteroid Belt",POWER(Upgrades!$U$8,G364),1)*IF(Upgrades!$T$9="Asteroid Belt",POWER(Upgrades!$U$9,H364),1)*IF(Upgrades!$T$10="Asteroid Belt",POWER(Upgrades!$U$10,I364),1)*IF(Upgrades!$T$11="Asteroid Belt",POWER(Upgrades!$U$11,J364),1)*IF(Upgrades!$T$12="Asteroid Belt",POWER(Upgrades!$U$12,K364),1))/AH364,0)</f>
        <v/>
      </c>
      <c r="AU364" s="32">
        <f>IFERROR(Upgrades!$K$8*(POWER(Upgrades!$Q$6,E364)*POWER(Upgrades!$Q$7,F364)*POWER(Upgrades!$Q$8,G364)*POWER(Upgrades!$Q$9,H364)*POWER(Upgrades!$Q$10,I364)*POWER(Upgrades!$Q$11,J364)*POWER(Upgrades!$Q$12,K364))*(IF(Upgrades!$T$6="Stellar Coupling",POWER(Upgrades!$U$6,E364),1)*IF(Upgrades!$T$7="Stellar Coupling",POWER(Upgrades!$U$7,F364),1)*IF(Upgrades!$T$9="Stellar Coupling",POWER(Upgrades!$U$9,H364),1)*IF(Upgrades!$T$10="Stellar Coupling",POWER(Upgrades!$U$10,I364),1)*IF(Upgrades!$T$11="Stellar Coupling",POWER(Upgrades!$U$11,J364),1)*IF(Upgrades!$T$12="Stellar Coupling",POWER(Upgrades!$U$12,K364),1))*Parameters!$B$10*Parameters!$B$11/60/AI364,0)</f>
        <v/>
      </c>
      <c r="AV364" s="32">
        <f>IFERROR(Upgrades!$H$9*(POWER(Upgrades!$P$6,E364)*POWER(Upgrades!$P$7,F364)*POWER(Upgrades!$P$8,G364)*POWER(Upgrades!$P$9,H364)*POWER(Upgrades!$P$10,I364)*POWER(Upgrades!$P$11,J364)*POWER(Upgrades!$P$12,K364))*(IF(Upgrades!$T$6="Magnetosphere",POWER(Upgrades!$U$6,E364),1)*IF(Upgrades!$T$7="Magnetosphere",POWER(Upgrades!$U$7,F364),1)*IF(Upgrades!$T$8="Magnetosphere",POWER(Upgrades!$U$8,G364),1)*IF(Upgrades!$T$10="Magnetosphere",POWER(Upgrades!$U$10,I364),1)*IF(Upgrades!$T$11="Magnetosphere",POWER(Upgrades!$U$11,J364),1)*IF(Upgrades!$T$12="Magnetosphere",POWER(Upgrades!$U$12,K364),1))/AJ364,0)</f>
        <v/>
      </c>
      <c r="AW364" s="32">
        <f>MAX(IF(I364&gt;0,0,IFERROR(0.25*N364/Upgrades!$C$10,0)),IF(J364&gt;0,0,IFERROR(0.5*((IF(G364=0,0,(Upgrades!$J$8+G364*Upgrades!$K$8)*POWER(Upgrades!$L$8,G364)))*(IF(Upgrades!$T$6="Stellar Coupling",POWER(Upgrades!$U$6,E364),1)*IF(Upgrades!$T$7="Stellar Coupling",POWER(Upgrades!$U$7,F364),1)*IF(Upgrades!$T$9="Stellar Coupling",POWER(Upgrades!$U$9,H364),1)*IF(Upgrades!$T$10="Stellar Coupling",POWER(Upgrades!$U$10,I364),1)*IF(Upgrades!$T$11="Stellar Coupling",POWER(Upgrades!$U$11,J364),1)*IF(Upgrades!$T$12="Stellar Coupling",POWER(Upgrades!$U$12,K364),1))*(POWER(Upgrades!$Q$6,E364)*POWER(Upgrades!$Q$7,F364)*POWER(Upgrades!$Q$8,G364)*POWER(Upgrades!$Q$9,H364)*POWER(Upgrades!$Q$10,I364)*POWER(Upgrades!$Q$11,J364)*POWER(Upgrades!$Q$12,K364))*Parameters!$B$10*Parameters!$B$11/60)/Upgrades!$C$11,0)),IF(K364&gt;0,0,IFERROR((1.0*(POWER(Upgrades!$P$6,E364)*POWER(Upgrades!$P$7,F364)*POWER(Upgrades!$P$8,G364)*POWER(Upgrades!$P$9,H364)*POWER(Upgrades!$P$10,I364)*POWER(Upgrades!$P$11,J364)*POWER(Upgrades!$P$12,K364))+0.20*M364*Parameters!$B$10*Parameters!$B$11/60)/Upgrades!$C$12,0)),IF(AND(ISNUMBER(AG364),AG364&gt;T364),AS364,0),IF(AND(ISNUMBER(AH364),AH364&gt;T364),AT364,0),IF(AND(ISNUMBER(AI364),AI364&gt;T364),AU364,0),IF(AND(ISNUMBER(AJ364),AJ364&gt;T364),AV364,0))</f>
        <v/>
      </c>
      <c r="AX364" s="29">
        <f>IF(AN364=1,"transition",IF(MIN(IF(AND(I364=0,ISNUMBER(AK364),AK364&lt;=T364),AK364,9E15),IF(AND(J364=0,ISNUMBER(AL364),AL364&lt;=T364),AL364,9E15),IF(AND(K364=0,ISNUMBER(AM364),AM364&lt;=T364),AM364,9E15))&lt;9E15,IF(AND(AND(I364=0,ISNUMBER(AK364),AK364&lt;=T364),AK364=MIN(IF(AND(I364=0,ISNUMBER(AK364),AK364&lt;=T364),AK364,9E15),IF(AND(J364=0,ISNUMBER(AL364),AL364&lt;=T364),AL364,9E15),IF(AND(K364=0,ISNUMBER(AM364),AM364&lt;=T364),AM364,9E15))),"OR",IF(AND(AND(J364=0,ISNUMBER(AL364),AL364&lt;=T364),AL364=MIN(IF(AND(I364=0,ISNUMBER(AK364),AK364&lt;=T364),AK364,9E15),IF(AND(J364=0,ISNUMBER(AL364),AL364&lt;=T364),AL364,9E15),IF(AND(K364=0,ISNUMBER(AM364),AM364&lt;=T364),AM364,9E15))),"HP","FP")),IF(AR364=TRUE,"",IF(MAX(IF(AND(NOT(AND(AO364=1,AN364&lt;&gt;1)),ISNUMBER(AG364),AG364&lt;=T364),AS364,0),IF(AND(NOT(AND(AO364=1,AN364&lt;&gt;1)),ISNUMBER(AH364),AH364&lt;=T364),AT364,0),IF(AND(NOT(AND(AO364=1,AN364&lt;&gt;1)),ISNUMBER(AI364),AI364&lt;=T364),AU364,0),IF(AND(ISNUMBER(AJ364),AJ364&lt;=T364),AV364,0))&lt;=0,"",IF(AND(IF(AND(NOT(AND(AO364=1,AN364&lt;&gt;1)),ISNUMBER(AG364),AG364&lt;=T364),AS364,0)&gt;0,IF(AND(NOT(AND(AO364=1,AN364&lt;&gt;1)),ISNUMBER(AG364),AG364&lt;=T364),AS364,0)=MAX(IF(AND(NOT(AND(AO364=1,AN364&lt;&gt;1)),ISNUMBER(AG364),AG364&lt;=T364),AS364,0),IF(AND(NOT(AND(AO364=1,AN364&lt;&gt;1)),ISNUMBER(AH364),AH364&lt;=T364),AT364,0),IF(AND(NOT(AND(AO364=1,AN364&lt;&gt;1)),ISNUMBER(AI364),AI364&lt;=T364),AU364,0),IF(AND(ISNUMBER(AJ364),AJ364&lt;=T364),AV364,0))),"SW",IF(AND(IF(AND(NOT(AND(AO364=1,AN364&lt;&gt;1)),ISNUMBER(AH364),AH364&lt;=T364),AT364,0)&gt;0,IF(AND(NOT(AND(AO364=1,AN364&lt;&gt;1)),ISNUMBER(AH364),AH364&lt;=T364),AT364,0)=MAX(IF(AND(NOT(AND(AO364=1,AN364&lt;&gt;1)),ISNUMBER(AG364),AG364&lt;=T364),AS364,0),IF(AND(NOT(AND(AO364=1,AN364&lt;&gt;1)),ISNUMBER(AH364),AH364&lt;=T364),AT364,0),IF(AND(NOT(AND(AO364=1,AN364&lt;&gt;1)),ISNUMBER(AI364),AI364&lt;=T364),AU364,0),IF(AND(ISNUMBER(AJ364),AJ364&lt;=T364),AV364,0))),"AB",IF(AND(IF(AND(NOT(AND(AO364=1,AN364&lt;&gt;1)),ISNUMBER(AI364),AI364&lt;=T364),AU364,0)&gt;0,IF(AND(NOT(AND(AO364=1,AN364&lt;&gt;1)),ISNUMBER(AI364),AI364&lt;=T364),AU364,0)=MAX(IF(AND(NOT(AND(AO364=1,AN364&lt;&gt;1)),ISNUMBER(AG364),AG364&lt;=T364),AS364,0),IF(AND(NOT(AND(AO364=1,AN364&lt;&gt;1)),ISNUMBER(AH364),AH364&lt;=T364),AT364,0),IF(AND(NOT(AND(AO364=1,AN364&lt;&gt;1)),ISNUMBER(AI364),AI364&lt;=T364),AU364,0),IF(AND(ISNUMBER(AJ364),AJ364&lt;=T364),AV364,0))),"SC","Mag")))))))</f>
        <v/>
      </c>
    </row>
    <row r="365">
      <c r="A365" s="26" t="n">
        <v>360</v>
      </c>
      <c r="B365" s="27">
        <f>A365*10/60</f>
        <v/>
      </c>
      <c r="C365" s="22">
        <f>X364</f>
        <v/>
      </c>
      <c r="D365" s="27">
        <f>D364+W364</f>
        <v/>
      </c>
      <c r="E365" s="26">
        <f>E364+IF(U364="SW",1,0)</f>
        <v/>
      </c>
      <c r="F365" s="26">
        <f>F364+IF(U364="AB",1,0)</f>
        <v/>
      </c>
      <c r="G365" s="26">
        <f>G364+IF(U364="SC",1,0)</f>
        <v/>
      </c>
      <c r="H365" s="26">
        <f>H364+IF(U364="Mag",1,0)</f>
        <v/>
      </c>
      <c r="I365" s="26">
        <f>MAX(I364,IF(U364="OR",1,0))</f>
        <v/>
      </c>
      <c r="J365" s="26">
        <f>MAX(J364,IF(U364="HP",1,0))</f>
        <v/>
      </c>
      <c r="K365" s="26">
        <f>MAX(K364,IF(U364="FP",1,0))</f>
        <v/>
      </c>
      <c r="L365" s="26">
        <f>MAX(L364,IF(U364="transition",1,0))</f>
        <v/>
      </c>
      <c r="M365" s="28">
        <f>(Parameters!$B$9+(IF(E365=0,0,(Upgrades!$J$6+E365*Upgrades!$K$6)*POWER(Upgrades!$L$6,E365)))*(IF(Upgrades!$T$7="Solar Wind",POWER(Upgrades!$U$7,F365),1)*IF(Upgrades!$T$8="Solar Wind",POWER(Upgrades!$U$8,G365),1)*IF(Upgrades!$T$9="Solar Wind",POWER(Upgrades!$U$9,H365),1)*IF(Upgrades!$T$10="Solar Wind",POWER(Upgrades!$U$10,I365),1)*IF(Upgrades!$T$11="Solar Wind",POWER(Upgrades!$U$11,J365),1)*IF(Upgrades!$T$12="Solar Wind",POWER(Upgrades!$U$12,K365),1))+(IF(F365=0,0,(Upgrades!$J$7+F365*Upgrades!$K$7)*POWER(Upgrades!$L$7,F365)))*(IF(Upgrades!$T$6="Asteroid Belt",POWER(Upgrades!$U$6,E365),1)*IF(Upgrades!$T$8="Asteroid Belt",POWER(Upgrades!$U$8,G365),1)*IF(Upgrades!$T$9="Asteroid Belt",POWER(Upgrades!$U$9,H365),1)*IF(Upgrades!$T$10="Asteroid Belt",POWER(Upgrades!$U$10,I365),1)*IF(Upgrades!$T$11="Asteroid Belt",POWER(Upgrades!$U$11,J365),1)*IF(Upgrades!$T$12="Asteroid Belt",POWER(Upgrades!$U$12,K365),1))+(IF(G365=0,0,(Upgrades!$J$8+G365*Upgrades!$K$8)*POWER(Upgrades!$L$8,G365)))*(IF(Upgrades!$T$6="Stellar Coupling",POWER(Upgrades!$U$6,E365),1)*IF(Upgrades!$T$7="Stellar Coupling",POWER(Upgrades!$U$7,F365),1)*IF(Upgrades!$T$9="Stellar Coupling",POWER(Upgrades!$U$9,H365),1)*IF(Upgrades!$T$10="Stellar Coupling",POWER(Upgrades!$U$10,I365),1)*IF(Upgrades!$T$11="Stellar Coupling",POWER(Upgrades!$U$11,J365),1)*IF(Upgrades!$T$12="Stellar Coupling",POWER(Upgrades!$U$12,K365),1))+(IF(H365=0,0,(Upgrades!$J$9+H365*Upgrades!$K$9)*POWER(Upgrades!$L$9,H365)))*(IF(Upgrades!$T$6="Magnetosphere",POWER(Upgrades!$U$6,E365),1)*IF(Upgrades!$T$7="Magnetosphere",POWER(Upgrades!$U$7,F365),1)*IF(Upgrades!$T$8="Magnetosphere",POWER(Upgrades!$U$8,G365),1)*IF(Upgrades!$T$10="Magnetosphere",POWER(Upgrades!$U$10,I365),1)*IF(Upgrades!$T$11="Magnetosphere",POWER(Upgrades!$U$11,J365),1)*IF(Upgrades!$T$12="Magnetosphere",POWER(Upgrades!$U$12,K365),1))+(IF(I365=0,0,(Upgrades!$J$10+I365*Upgrades!$K$10)*POWER(Upgrades!$L$10,I365)))*(IF(Upgrades!$T$6="Orbital Resonance",POWER(Upgrades!$U$6,E365),1)*IF(Upgrades!$T$7="Orbital Resonance",POWER(Upgrades!$U$7,F365),1)*IF(Upgrades!$T$8="Orbital Resonance",POWER(Upgrades!$U$8,G365),1)*IF(Upgrades!$T$9="Orbital Resonance",POWER(Upgrades!$U$9,H365),1)*IF(Upgrades!$T$11="Orbital Resonance",POWER(Upgrades!$U$11,J365),1)*IF(Upgrades!$T$12="Orbital Resonance",POWER(Upgrades!$U$12,K365),1))+(IF(J365=0,0,(Upgrades!$J$11+J365*Upgrades!$K$11)*POWER(Upgrades!$L$11,J365)))*(IF(Upgrades!$T$6="Heliopause",POWER(Upgrades!$U$6,E365),1)*IF(Upgrades!$T$7="Heliopause",POWER(Upgrades!$U$7,F365),1)*IF(Upgrades!$T$8="Heliopause",POWER(Upgrades!$U$8,G365),1)*IF(Upgrades!$T$9="Heliopause",POWER(Upgrades!$U$9,H365),1)*IF(Upgrades!$T$10="Heliopause",POWER(Upgrades!$U$10,I365),1)*IF(Upgrades!$T$12="Heliopause",POWER(Upgrades!$U$12,K365),1))+(IF(K365=0,0,(Upgrades!$J$12+K365*Upgrades!$K$12)*POWER(Upgrades!$L$12,K365)))*(IF(Upgrades!$T$6="First Photons",POWER(Upgrades!$U$6,E365),1)*IF(Upgrades!$T$7="First Photons",POWER(Upgrades!$U$7,F365),1)*IF(Upgrades!$T$8="First Photons",POWER(Upgrades!$U$8,G365),1)*IF(Upgrades!$T$9="First Photons",POWER(Upgrades!$U$9,H365),1)*IF(Upgrades!$T$10="First Photons",POWER(Upgrades!$U$10,I365),1)*IF(Upgrades!$T$11="First Photons",POWER(Upgrades!$U$11,J365),1)))*POWER(Upgrades!$Q$6,E365)*POWER(Upgrades!$Q$7,F365)*POWER(Upgrades!$Q$8,G365)*POWER(Upgrades!$Q$9,H365)*POWER(Upgrades!$Q$10,I365)*POWER(Upgrades!$Q$11,J365)*POWER(Upgrades!$Q$12,K365)</f>
        <v/>
      </c>
      <c r="N365" s="28">
        <f>((IF(E365=0,0,(Upgrades!$G$6+E365*Upgrades!$H$6)*POWER(Upgrades!$I$6,E365)))*(IF(Upgrades!$T$7="Solar Wind",POWER(Upgrades!$U$7,F365),1)*IF(Upgrades!$T$8="Solar Wind",POWER(Upgrades!$U$8,G365),1)*IF(Upgrades!$T$9="Solar Wind",POWER(Upgrades!$U$9,H365),1)*IF(Upgrades!$T$10="Solar Wind",POWER(Upgrades!$U$10,I365),1)*IF(Upgrades!$T$11="Solar Wind",POWER(Upgrades!$U$11,J365),1)*IF(Upgrades!$T$12="Solar Wind",POWER(Upgrades!$U$12,K365),1))+(IF(F365=0,0,(Upgrades!$G$7+F365*Upgrades!$H$7)*POWER(Upgrades!$I$7,F365)))*(IF(Upgrades!$T$6="Asteroid Belt",POWER(Upgrades!$U$6,E365),1)*IF(Upgrades!$T$8="Asteroid Belt",POWER(Upgrades!$U$8,G365),1)*IF(Upgrades!$T$9="Asteroid Belt",POWER(Upgrades!$U$9,H365),1)*IF(Upgrades!$T$10="Asteroid Belt",POWER(Upgrades!$U$10,I365),1)*IF(Upgrades!$T$11="Asteroid Belt",POWER(Upgrades!$U$11,J365),1)*IF(Upgrades!$T$12="Asteroid Belt",POWER(Upgrades!$U$12,K365),1))+(IF(G365=0,0,(Upgrades!$G$8+G365*Upgrades!$H$8)*POWER(Upgrades!$I$8,G365)))*(IF(Upgrades!$T$6="Stellar Coupling",POWER(Upgrades!$U$6,E365),1)*IF(Upgrades!$T$7="Stellar Coupling",POWER(Upgrades!$U$7,F365),1)*IF(Upgrades!$T$9="Stellar Coupling",POWER(Upgrades!$U$9,H365),1)*IF(Upgrades!$T$10="Stellar Coupling",POWER(Upgrades!$U$10,I365),1)*IF(Upgrades!$T$11="Stellar Coupling",POWER(Upgrades!$U$11,J365),1)*IF(Upgrades!$T$12="Stellar Coupling",POWER(Upgrades!$U$12,K365),1))+(IF(H365=0,0,(Upgrades!$G$9+H365*Upgrades!$H$9)*POWER(Upgrades!$I$9,H365)))*(IF(Upgrades!$T$6="Magnetosphere",POWER(Upgrades!$U$6,E365),1)*IF(Upgrades!$T$7="Magnetosphere",POWER(Upgrades!$U$7,F365),1)*IF(Upgrades!$T$8="Magnetosphere",POWER(Upgrades!$U$8,G365),1)*IF(Upgrades!$T$10="Magnetosphere",POWER(Upgrades!$U$10,I365),1)*IF(Upgrades!$T$11="Magnetosphere",POWER(Upgrades!$U$11,J365),1)*IF(Upgrades!$T$12="Magnetosphere",POWER(Upgrades!$U$12,K365),1))+(IF(I365=0,0,(Upgrades!$G$10+I365*Upgrades!$H$10)*POWER(Upgrades!$I$10,I365)))*(IF(Upgrades!$T$6="Orbital Resonance",POWER(Upgrades!$U$6,E365),1)*IF(Upgrades!$T$7="Orbital Resonance",POWER(Upgrades!$U$7,F365),1)*IF(Upgrades!$T$8="Orbital Resonance",POWER(Upgrades!$U$8,G365),1)*IF(Upgrades!$T$9="Orbital Resonance",POWER(Upgrades!$U$9,H365),1)*IF(Upgrades!$T$11="Orbital Resonance",POWER(Upgrades!$U$11,J365),1)*IF(Upgrades!$T$12="Orbital Resonance",POWER(Upgrades!$U$12,K365),1))+(IF(J365=0,0,(Upgrades!$G$11+J365*Upgrades!$H$11)*POWER(Upgrades!$I$11,J365)))*(IF(Upgrades!$T$6="Heliopause",POWER(Upgrades!$U$6,E365),1)*IF(Upgrades!$T$7="Heliopause",POWER(Upgrades!$U$7,F365),1)*IF(Upgrades!$T$8="Heliopause",POWER(Upgrades!$U$8,G365),1)*IF(Upgrades!$T$9="Heliopause",POWER(Upgrades!$U$9,H365),1)*IF(Upgrades!$T$10="Heliopause",POWER(Upgrades!$U$10,I365),1)*IF(Upgrades!$T$12="Heliopause",POWER(Upgrades!$U$12,K365),1))+(IF(K365=0,0,(Upgrades!$G$12+K365*Upgrades!$H$12)*POWER(Upgrades!$I$12,K365)))*(IF(Upgrades!$T$6="First Photons",POWER(Upgrades!$U$6,E365),1)*IF(Upgrades!$T$7="First Photons",POWER(Upgrades!$U$7,F365),1)*IF(Upgrades!$T$8="First Photons",POWER(Upgrades!$U$8,G365),1)*IF(Upgrades!$T$9="First Photons",POWER(Upgrades!$U$9,H365),1)*IF(Upgrades!$T$10="First Photons",POWER(Upgrades!$U$10,I365),1)*IF(Upgrades!$T$11="First Photons",POWER(Upgrades!$U$11,J365),1)))*POWER(Upgrades!$P$6,E365)*POWER(Upgrades!$P$7,F365)*POWER(Upgrades!$P$8,G365)*POWER(Upgrades!$P$9,H365)*POWER(Upgrades!$P$10,I365)*POWER(Upgrades!$P$11,J365)*POWER(Upgrades!$P$12,K365)</f>
        <v/>
      </c>
      <c r="O365" s="28">
        <f>((IF(E365=0,0,(Upgrades!$M$6+E365*Upgrades!$N$6)*POWER(Upgrades!$O$6,E365)))*(IF(Upgrades!$T$7="Solar Wind",POWER(Upgrades!$U$7,F365),1)*IF(Upgrades!$T$8="Solar Wind",POWER(Upgrades!$U$8,G365),1)*IF(Upgrades!$T$9="Solar Wind",POWER(Upgrades!$U$9,H365),1)*IF(Upgrades!$T$10="Solar Wind",POWER(Upgrades!$U$10,I365),1)*IF(Upgrades!$T$11="Solar Wind",POWER(Upgrades!$U$11,J365),1)*IF(Upgrades!$T$12="Solar Wind",POWER(Upgrades!$U$12,K365),1))+(IF(F365=0,0,(Upgrades!$M$7+F365*Upgrades!$N$7)*POWER(Upgrades!$O$7,F365)))*(IF(Upgrades!$T$6="Asteroid Belt",POWER(Upgrades!$U$6,E365),1)*IF(Upgrades!$T$8="Asteroid Belt",POWER(Upgrades!$U$8,G365),1)*IF(Upgrades!$T$9="Asteroid Belt",POWER(Upgrades!$U$9,H365),1)*IF(Upgrades!$T$10="Asteroid Belt",POWER(Upgrades!$U$10,I365),1)*IF(Upgrades!$T$11="Asteroid Belt",POWER(Upgrades!$U$11,J365),1)*IF(Upgrades!$T$12="Asteroid Belt",POWER(Upgrades!$U$12,K365),1))+(IF(G365=0,0,(Upgrades!$M$8+G365*Upgrades!$N$8)*POWER(Upgrades!$O$8,G365)))*(IF(Upgrades!$T$6="Stellar Coupling",POWER(Upgrades!$U$6,E365),1)*IF(Upgrades!$T$7="Stellar Coupling",POWER(Upgrades!$U$7,F365),1)*IF(Upgrades!$T$9="Stellar Coupling",POWER(Upgrades!$U$9,H365),1)*IF(Upgrades!$T$10="Stellar Coupling",POWER(Upgrades!$U$10,I365),1)*IF(Upgrades!$T$11="Stellar Coupling",POWER(Upgrades!$U$11,J365),1)*IF(Upgrades!$T$12="Stellar Coupling",POWER(Upgrades!$U$12,K365),1))+(IF(H365=0,0,(Upgrades!$M$9+H365*Upgrades!$N$9)*POWER(Upgrades!$O$9,H365)))*(IF(Upgrades!$T$6="Magnetosphere",POWER(Upgrades!$U$6,E365),1)*IF(Upgrades!$T$7="Magnetosphere",POWER(Upgrades!$U$7,F365),1)*IF(Upgrades!$T$8="Magnetosphere",POWER(Upgrades!$U$8,G365),1)*IF(Upgrades!$T$10="Magnetosphere",POWER(Upgrades!$U$10,I365),1)*IF(Upgrades!$T$11="Magnetosphere",POWER(Upgrades!$U$11,J365),1)*IF(Upgrades!$T$12="Magnetosphere",POWER(Upgrades!$U$12,K365),1))+(IF(I365=0,0,(Upgrades!$M$10+I365*Upgrades!$N$10)*POWER(Upgrades!$O$10,I365)))*(IF(Upgrades!$T$6="Orbital Resonance",POWER(Upgrades!$U$6,E365),1)*IF(Upgrades!$T$7="Orbital Resonance",POWER(Upgrades!$U$7,F365),1)*IF(Upgrades!$T$8="Orbital Resonance",POWER(Upgrades!$U$8,G365),1)*IF(Upgrades!$T$9="Orbital Resonance",POWER(Upgrades!$U$9,H365),1)*IF(Upgrades!$T$11="Orbital Resonance",POWER(Upgrades!$U$11,J365),1)*IF(Upgrades!$T$12="Orbital Resonance",POWER(Upgrades!$U$12,K365),1))+(IF(J365=0,0,(Upgrades!$M$11+J365*Upgrades!$N$11)*POWER(Upgrades!$O$11,J365)))*(IF(Upgrades!$T$6="Heliopause",POWER(Upgrades!$U$6,E365),1)*IF(Upgrades!$T$7="Heliopause",POWER(Upgrades!$U$7,F365),1)*IF(Upgrades!$T$8="Heliopause",POWER(Upgrades!$U$8,G365),1)*IF(Upgrades!$T$9="Heliopause",POWER(Upgrades!$U$9,H365),1)*IF(Upgrades!$T$10="Heliopause",POWER(Upgrades!$U$10,I365),1)*IF(Upgrades!$T$12="Heliopause",POWER(Upgrades!$U$12,K365),1))+(IF(K365=0,0,(Upgrades!$M$12+K365*Upgrades!$N$12)*POWER(Upgrades!$O$12,K365)))*(IF(Upgrades!$T$6="First Photons",POWER(Upgrades!$U$6,E365),1)*IF(Upgrades!$T$7="First Photons",POWER(Upgrades!$U$7,F365),1)*IF(Upgrades!$T$8="First Photons",POWER(Upgrades!$U$8,G365),1)*IF(Upgrades!$T$9="First Photons",POWER(Upgrades!$U$9,H365),1)*IF(Upgrades!$T$10="First Photons",POWER(Upgrades!$U$10,I365),1)*IF(Upgrades!$T$11="First Photons",POWER(Upgrades!$U$11,J365),1)))*POWER(Upgrades!$R$6,E365)*POWER(Upgrades!$R$7,F365)*POWER(Upgrades!$R$8,G365)*POWER(Upgrades!$R$9,H365)*POWER(Upgrades!$R$10,I365)*POWER(Upgrades!$R$11,J365)*POWER(Upgrades!$R$12,K365)</f>
        <v/>
      </c>
      <c r="P365" s="27">
        <f>IF(L365=1,0,M365*Parameters!$B$10/60*Parameters!$B$11*10)</f>
        <v/>
      </c>
      <c r="Q365" s="27">
        <f>IF(L365=1,0,O365*M365*10)</f>
        <v/>
      </c>
      <c r="R365" s="27">
        <f>IF(L365=1,0,N365*10)</f>
        <v/>
      </c>
      <c r="S365" s="27">
        <f>P365+Q365+R365</f>
        <v/>
      </c>
      <c r="T365" s="22">
        <f>C365+S365</f>
        <v/>
      </c>
      <c r="U365" s="33">
        <f>AX365</f>
        <v/>
      </c>
      <c r="V365" s="22">
        <f>IF(U365="",0,IF(U365="transition",0,IF(U365="SW",AG365,IF(U365="AB",AH365,IF(U365="SC",AI365,IF(U365="Mag",AJ365,IF(U365="OR",AK365,IF(U365="HP",AL365,IF(U365="FP",AM365,0)))))))))</f>
        <v/>
      </c>
      <c r="W365" s="27">
        <f>IF(U365="OR",Upgrades!$F$10,IF(U365="HP",Upgrades!$F$11,IF(U365="transition",-Parameters!$B$18,0)))</f>
        <v/>
      </c>
      <c r="X365" s="22">
        <f>T365-V365</f>
        <v/>
      </c>
      <c r="Y365" s="30">
        <f>M365*Parameters!$B$10/60*Parameters!$B$11+O365*M365+N365</f>
        <v/>
      </c>
      <c r="Z365" s="34">
        <f>IF(U365="transition","→ Tier 2 (Stellar Neighborhood)",IF(U365="FP","First Photons — light begins, system quickens",IF(U365="HP","Heliopause acquired",IF(U365="OR","Orbital Resonance — passive multiplier active",IF(AND(AO365=1,L365=0,AN365&lt;&gt;1),"Cohesion ready (waiting on completionist upgrades)","")))))</f>
        <v/>
      </c>
      <c r="AA365" s="27">
        <f>(IF(E365=0,0,(Upgrades!$G$6+E365*Upgrades!$H$6)*POWER(Upgrades!$I$6,E365)))*(IF(Upgrades!$T$7="Solar Wind",POWER(Upgrades!$U$7,F365),1)*IF(Upgrades!$T$8="Solar Wind",POWER(Upgrades!$U$8,G365),1)*IF(Upgrades!$T$9="Solar Wind",POWER(Upgrades!$U$9,H365),1)*IF(Upgrades!$T$10="Solar Wind",POWER(Upgrades!$U$10,I365),1)*IF(Upgrades!$T$11="Solar Wind",POWER(Upgrades!$U$11,J365),1)*IF(Upgrades!$T$12="Solar Wind",POWER(Upgrades!$U$12,K365),1))*POWER(Upgrades!$P$6,E365)*POWER(Upgrades!$P$7,F365)*POWER(Upgrades!$P$8,G365)*POWER(Upgrades!$P$9,H365)*POWER(Upgrades!$P$10,I365)*POWER(Upgrades!$P$11,J365)*POWER(Upgrades!$P$12,K365)*60</f>
        <v/>
      </c>
      <c r="AB365" s="27">
        <f>(IF(F365=0,0,(Upgrades!$G$7+F365*Upgrades!$H$7)*POWER(Upgrades!$I$7,F365)))*(IF(Upgrades!$T$6="Asteroid Belt",POWER(Upgrades!$U$6,E365),1)*IF(Upgrades!$T$8="Asteroid Belt",POWER(Upgrades!$U$8,G365),1)*IF(Upgrades!$T$9="Asteroid Belt",POWER(Upgrades!$U$9,H365),1)*IF(Upgrades!$T$10="Asteroid Belt",POWER(Upgrades!$U$10,I365),1)*IF(Upgrades!$T$11="Asteroid Belt",POWER(Upgrades!$U$11,J365),1)*IF(Upgrades!$T$12="Asteroid Belt",POWER(Upgrades!$U$12,K365),1))*POWER(Upgrades!$P$6,E365)*POWER(Upgrades!$P$7,F365)*POWER(Upgrades!$P$8,G365)*POWER(Upgrades!$P$9,H365)*POWER(Upgrades!$P$10,I365)*POWER(Upgrades!$P$11,J365)*POWER(Upgrades!$P$12,K365)*60</f>
        <v/>
      </c>
      <c r="AC365" s="27">
        <f>(IF(G365=0,0,(Upgrades!$J$8+G365*Upgrades!$K$8)*POWER(Upgrades!$L$8,G365)))*(IF(Upgrades!$T$6="Stellar Coupling",POWER(Upgrades!$U$6,E365),1)*IF(Upgrades!$T$7="Stellar Coupling",POWER(Upgrades!$U$7,F365),1)*IF(Upgrades!$T$9="Stellar Coupling",POWER(Upgrades!$U$9,H365),1)*IF(Upgrades!$T$10="Stellar Coupling",POWER(Upgrades!$U$10,I365),1)*IF(Upgrades!$T$11="Stellar Coupling",POWER(Upgrades!$U$11,J365),1)*IF(Upgrades!$T$12="Stellar Coupling",POWER(Upgrades!$U$12,K365),1))*POWER(Upgrades!$Q$6,E365)*POWER(Upgrades!$Q$7,F365)*POWER(Upgrades!$Q$8,G365)*POWER(Upgrades!$Q$9,H365)*POWER(Upgrades!$Q$10,I365)*POWER(Upgrades!$Q$11,J365)*POWER(Upgrades!$Q$12,K365)*Parameters!$B$10*Parameters!$B$11</f>
        <v/>
      </c>
      <c r="AD365" s="27">
        <f>(IF(H365=0,0,(Upgrades!$G$9+H365*Upgrades!$H$9)*POWER(Upgrades!$I$9,H365)))*(IF(Upgrades!$T$6="Magnetosphere",POWER(Upgrades!$U$6,E365),1)*IF(Upgrades!$T$7="Magnetosphere",POWER(Upgrades!$U$7,F365),1)*IF(Upgrades!$T$8="Magnetosphere",POWER(Upgrades!$U$8,G365),1)*IF(Upgrades!$T$10="Magnetosphere",POWER(Upgrades!$U$10,I365),1)*IF(Upgrades!$T$11="Magnetosphere",POWER(Upgrades!$U$11,J365),1)*IF(Upgrades!$T$12="Magnetosphere",POWER(Upgrades!$U$12,K365),1))*POWER(Upgrades!$P$6,E365)*POWER(Upgrades!$P$7,F365)*POWER(Upgrades!$P$8,G365)*POWER(Upgrades!$P$9,H365)*POWER(Upgrades!$P$10,I365)*POWER(Upgrades!$P$11,J365)*POWER(Upgrades!$P$12,K365)*60</f>
        <v/>
      </c>
      <c r="AE365" s="27">
        <f>(IF(K365=0,0,(Upgrades!$G$12+K365*Upgrades!$H$12)*POWER(Upgrades!$I$12,K365)))*(IF(Upgrades!$T$6="First Photons",POWER(Upgrades!$U$6,E365),1)*IF(Upgrades!$T$7="First Photons",POWER(Upgrades!$U$7,F365),1)*IF(Upgrades!$T$8="First Photons",POWER(Upgrades!$U$8,G365),1)*IF(Upgrades!$T$9="First Photons",POWER(Upgrades!$U$9,H365),1)*IF(Upgrades!$T$10="First Photons",POWER(Upgrades!$U$10,I365),1)*IF(Upgrades!$T$11="First Photons",POWER(Upgrades!$U$11,J365),1))*POWER(Upgrades!$P$6,E365)*POWER(Upgrades!$P$7,F365)*POWER(Upgrades!$P$8,G365)*POWER(Upgrades!$P$9,H365)*POWER(Upgrades!$P$10,I365)*POWER(Upgrades!$P$11,J365)*POWER(Upgrades!$P$12,K365)*60</f>
        <v/>
      </c>
      <c r="AF365" s="27">
        <f>Parameters!$B$9*POWER(Upgrades!$Q$6,E365)*POWER(Upgrades!$Q$7,F365)*POWER(Upgrades!$Q$8,G365)*POWER(Upgrades!$Q$9,H365)*POWER(Upgrades!$Q$10,I365)*POWER(Upgrades!$Q$11,J365)*POWER(Upgrades!$Q$12,K365)*(Parameters!$B$10*Parameters!$B$11+O365*60)</f>
        <v/>
      </c>
      <c r="AG365" s="22">
        <f>IF(E365&gt;=Upgrades!$E$6,"",Upgrades!$C$6*POWER(Upgrades!$D$6,E365))</f>
        <v/>
      </c>
      <c r="AH365" s="22">
        <f>IF(F365&gt;=Upgrades!$E$7,"",Upgrades!$C$7*POWER(Upgrades!$D$7,F365))</f>
        <v/>
      </c>
      <c r="AI365" s="22">
        <f>IF(G365&gt;=Upgrades!$E$8,"",Upgrades!$C$8*POWER(Upgrades!$D$8,G365))</f>
        <v/>
      </c>
      <c r="AJ365" s="22">
        <f>IF(H365&gt;=Upgrades!$E$9,"",Upgrades!$C$9*POWER(Upgrades!$D$9,H365))</f>
        <v/>
      </c>
      <c r="AK365" s="22">
        <f>IF(I365&gt;=Upgrades!$E$10,"",Upgrades!$C$10*POWER(Upgrades!$D$10,I365))</f>
        <v/>
      </c>
      <c r="AL365" s="22">
        <f>IF(J365&gt;=Upgrades!$E$11,"",Upgrades!$C$11*POWER(Upgrades!$D$11,J365))</f>
        <v/>
      </c>
      <c r="AM365" s="22">
        <f>IF(K365&gt;=Upgrades!$E$12,"",Upgrades!$C$12*POWER(Upgrades!$D$12,K365))</f>
        <v/>
      </c>
      <c r="AN365" s="26">
        <f>IF(AND(D365&gt;=Parameters!$B$18,(H365&gt;=Upgrades!$E$9)*(K365&gt;=Upgrades!$E$12)=1,L365=0),1,"")</f>
        <v/>
      </c>
      <c r="AO365" s="26">
        <f>IF(AND(D365&gt;=Parameters!$B$18,L365=0),1,"")</f>
        <v/>
      </c>
      <c r="AP365" s="22">
        <f>MIN(IF(ISNUMBER(AK365),AK365,9E15),IF(ISNUMBER(AL365),AL365,9E15),IF(ISNUMBER(AM365),AM365,9E15))</f>
        <v/>
      </c>
      <c r="AQ365" s="22">
        <f>MIN(IF(ISNUMBER(AG365),AG365,9E15),IF(ISNUMBER(AH365),AH365,9E15),IF(ISNUMBER(AI365),AI365,9E15),IF(ISNUMBER(AJ365),AJ365,9E15))</f>
        <v/>
      </c>
      <c r="AR365" s="29">
        <f>IF(AW365&gt;Parameters!$B$21*(MAX(IF(AND(NOT(AND(AO365=1,AN365&lt;&gt;1)),ISNUMBER(AG365),AG365&lt;=T365),AS365,0),IF(AND(NOT(AND(AO365=1,AN365&lt;&gt;1)),ISNUMBER(AH365),AH365&lt;=T365),AT365,0),IF(AND(NOT(AND(AO365=1,AN365&lt;&gt;1)),ISNUMBER(AI365),AI365&lt;=T365),AU365,0),IF(AND(ISNUMBER(AJ365),AJ365&lt;=T365),AV365,0))),TRUE,FALSE)</f>
        <v/>
      </c>
      <c r="AS365" s="32">
        <f>IFERROR(Upgrades!$H$6*(POWER(Upgrades!$P$6,E365)*POWER(Upgrades!$P$7,F365)*POWER(Upgrades!$P$8,G365)*POWER(Upgrades!$P$9,H365)*POWER(Upgrades!$P$10,I365)*POWER(Upgrades!$P$11,J365)*POWER(Upgrades!$P$12,K365))*(IF(Upgrades!$T$7="Solar Wind",POWER(Upgrades!$U$7,F365),1)*IF(Upgrades!$T$8="Solar Wind",POWER(Upgrades!$U$8,G365),1)*IF(Upgrades!$T$9="Solar Wind",POWER(Upgrades!$U$9,H365),1)*IF(Upgrades!$T$10="Solar Wind",POWER(Upgrades!$U$10,I365),1)*IF(Upgrades!$T$11="Solar Wind",POWER(Upgrades!$U$11,J365),1)*IF(Upgrades!$T$12="Solar Wind",POWER(Upgrades!$U$12,K365),1))/AG365,0)</f>
        <v/>
      </c>
      <c r="AT365" s="32">
        <f>IFERROR(Upgrades!$H$7*(POWER(Upgrades!$P$6,E365)*POWER(Upgrades!$P$7,F365)*POWER(Upgrades!$P$8,G365)*POWER(Upgrades!$P$9,H365)*POWER(Upgrades!$P$10,I365)*POWER(Upgrades!$P$11,J365)*POWER(Upgrades!$P$12,K365))*(IF(Upgrades!$T$6="Asteroid Belt",POWER(Upgrades!$U$6,E365),1)*IF(Upgrades!$T$8="Asteroid Belt",POWER(Upgrades!$U$8,G365),1)*IF(Upgrades!$T$9="Asteroid Belt",POWER(Upgrades!$U$9,H365),1)*IF(Upgrades!$T$10="Asteroid Belt",POWER(Upgrades!$U$10,I365),1)*IF(Upgrades!$T$11="Asteroid Belt",POWER(Upgrades!$U$11,J365),1)*IF(Upgrades!$T$12="Asteroid Belt",POWER(Upgrades!$U$12,K365),1))/AH365,0)</f>
        <v/>
      </c>
      <c r="AU365" s="32">
        <f>IFERROR(Upgrades!$K$8*(POWER(Upgrades!$Q$6,E365)*POWER(Upgrades!$Q$7,F365)*POWER(Upgrades!$Q$8,G365)*POWER(Upgrades!$Q$9,H365)*POWER(Upgrades!$Q$10,I365)*POWER(Upgrades!$Q$11,J365)*POWER(Upgrades!$Q$12,K365))*(IF(Upgrades!$T$6="Stellar Coupling",POWER(Upgrades!$U$6,E365),1)*IF(Upgrades!$T$7="Stellar Coupling",POWER(Upgrades!$U$7,F365),1)*IF(Upgrades!$T$9="Stellar Coupling",POWER(Upgrades!$U$9,H365),1)*IF(Upgrades!$T$10="Stellar Coupling",POWER(Upgrades!$U$10,I365),1)*IF(Upgrades!$T$11="Stellar Coupling",POWER(Upgrades!$U$11,J365),1)*IF(Upgrades!$T$12="Stellar Coupling",POWER(Upgrades!$U$12,K365),1))*Parameters!$B$10*Parameters!$B$11/60/AI365,0)</f>
        <v/>
      </c>
      <c r="AV365" s="32">
        <f>IFERROR(Upgrades!$H$9*(POWER(Upgrades!$P$6,E365)*POWER(Upgrades!$P$7,F365)*POWER(Upgrades!$P$8,G365)*POWER(Upgrades!$P$9,H365)*POWER(Upgrades!$P$10,I365)*POWER(Upgrades!$P$11,J365)*POWER(Upgrades!$P$12,K365))*(IF(Upgrades!$T$6="Magnetosphere",POWER(Upgrades!$U$6,E365),1)*IF(Upgrades!$T$7="Magnetosphere",POWER(Upgrades!$U$7,F365),1)*IF(Upgrades!$T$8="Magnetosphere",POWER(Upgrades!$U$8,G365),1)*IF(Upgrades!$T$10="Magnetosphere",POWER(Upgrades!$U$10,I365),1)*IF(Upgrades!$T$11="Magnetosphere",POWER(Upgrades!$U$11,J365),1)*IF(Upgrades!$T$12="Magnetosphere",POWER(Upgrades!$U$12,K365),1))/AJ365,0)</f>
        <v/>
      </c>
      <c r="AW365" s="32">
        <f>MAX(IF(I365&gt;0,0,IFERROR(0.25*N365/Upgrades!$C$10,0)),IF(J365&gt;0,0,IFERROR(0.5*((IF(G365=0,0,(Upgrades!$J$8+G365*Upgrades!$K$8)*POWER(Upgrades!$L$8,G365)))*(IF(Upgrades!$T$6="Stellar Coupling",POWER(Upgrades!$U$6,E365),1)*IF(Upgrades!$T$7="Stellar Coupling",POWER(Upgrades!$U$7,F365),1)*IF(Upgrades!$T$9="Stellar Coupling",POWER(Upgrades!$U$9,H365),1)*IF(Upgrades!$T$10="Stellar Coupling",POWER(Upgrades!$U$10,I365),1)*IF(Upgrades!$T$11="Stellar Coupling",POWER(Upgrades!$U$11,J365),1)*IF(Upgrades!$T$12="Stellar Coupling",POWER(Upgrades!$U$12,K365),1))*(POWER(Upgrades!$Q$6,E365)*POWER(Upgrades!$Q$7,F365)*POWER(Upgrades!$Q$8,G365)*POWER(Upgrades!$Q$9,H365)*POWER(Upgrades!$Q$10,I365)*POWER(Upgrades!$Q$11,J365)*POWER(Upgrades!$Q$12,K365))*Parameters!$B$10*Parameters!$B$11/60)/Upgrades!$C$11,0)),IF(K365&gt;0,0,IFERROR((1.0*(POWER(Upgrades!$P$6,E365)*POWER(Upgrades!$P$7,F365)*POWER(Upgrades!$P$8,G365)*POWER(Upgrades!$P$9,H365)*POWER(Upgrades!$P$10,I365)*POWER(Upgrades!$P$11,J365)*POWER(Upgrades!$P$12,K365))+0.20*M365*Parameters!$B$10*Parameters!$B$11/60)/Upgrades!$C$12,0)),IF(AND(ISNUMBER(AG365),AG365&gt;T365),AS365,0),IF(AND(ISNUMBER(AH365),AH365&gt;T365),AT365,0),IF(AND(ISNUMBER(AI365),AI365&gt;T365),AU365,0),IF(AND(ISNUMBER(AJ365),AJ365&gt;T365),AV365,0))</f>
        <v/>
      </c>
      <c r="AX365" s="29">
        <f>IF(AN365=1,"transition",IF(MIN(IF(AND(I365=0,ISNUMBER(AK365),AK365&lt;=T365),AK365,9E15),IF(AND(J365=0,ISNUMBER(AL365),AL365&lt;=T365),AL365,9E15),IF(AND(K365=0,ISNUMBER(AM365),AM365&lt;=T365),AM365,9E15))&lt;9E15,IF(AND(AND(I365=0,ISNUMBER(AK365),AK365&lt;=T365),AK365=MIN(IF(AND(I365=0,ISNUMBER(AK365),AK365&lt;=T365),AK365,9E15),IF(AND(J365=0,ISNUMBER(AL365),AL365&lt;=T365),AL365,9E15),IF(AND(K365=0,ISNUMBER(AM365),AM365&lt;=T365),AM365,9E15))),"OR",IF(AND(AND(J365=0,ISNUMBER(AL365),AL365&lt;=T365),AL365=MIN(IF(AND(I365=0,ISNUMBER(AK365),AK365&lt;=T365),AK365,9E15),IF(AND(J365=0,ISNUMBER(AL365),AL365&lt;=T365),AL365,9E15),IF(AND(K365=0,ISNUMBER(AM365),AM365&lt;=T365),AM365,9E15))),"HP","FP")),IF(AR365=TRUE,"",IF(MAX(IF(AND(NOT(AND(AO365=1,AN365&lt;&gt;1)),ISNUMBER(AG365),AG365&lt;=T365),AS365,0),IF(AND(NOT(AND(AO365=1,AN365&lt;&gt;1)),ISNUMBER(AH365),AH365&lt;=T365),AT365,0),IF(AND(NOT(AND(AO365=1,AN365&lt;&gt;1)),ISNUMBER(AI365),AI365&lt;=T365),AU365,0),IF(AND(ISNUMBER(AJ365),AJ365&lt;=T365),AV365,0))&lt;=0,"",IF(AND(IF(AND(NOT(AND(AO365=1,AN365&lt;&gt;1)),ISNUMBER(AG365),AG365&lt;=T365),AS365,0)&gt;0,IF(AND(NOT(AND(AO365=1,AN365&lt;&gt;1)),ISNUMBER(AG365),AG365&lt;=T365),AS365,0)=MAX(IF(AND(NOT(AND(AO365=1,AN365&lt;&gt;1)),ISNUMBER(AG365),AG365&lt;=T365),AS365,0),IF(AND(NOT(AND(AO365=1,AN365&lt;&gt;1)),ISNUMBER(AH365),AH365&lt;=T365),AT365,0),IF(AND(NOT(AND(AO365=1,AN365&lt;&gt;1)),ISNUMBER(AI365),AI365&lt;=T365),AU365,0),IF(AND(ISNUMBER(AJ365),AJ365&lt;=T365),AV365,0))),"SW",IF(AND(IF(AND(NOT(AND(AO365=1,AN365&lt;&gt;1)),ISNUMBER(AH365),AH365&lt;=T365),AT365,0)&gt;0,IF(AND(NOT(AND(AO365=1,AN365&lt;&gt;1)),ISNUMBER(AH365),AH365&lt;=T365),AT365,0)=MAX(IF(AND(NOT(AND(AO365=1,AN365&lt;&gt;1)),ISNUMBER(AG365),AG365&lt;=T365),AS365,0),IF(AND(NOT(AND(AO365=1,AN365&lt;&gt;1)),ISNUMBER(AH365),AH365&lt;=T365),AT365,0),IF(AND(NOT(AND(AO365=1,AN365&lt;&gt;1)),ISNUMBER(AI365),AI365&lt;=T365),AU365,0),IF(AND(ISNUMBER(AJ365),AJ365&lt;=T365),AV365,0))),"AB",IF(AND(IF(AND(NOT(AND(AO365=1,AN365&lt;&gt;1)),ISNUMBER(AI365),AI365&lt;=T365),AU365,0)&gt;0,IF(AND(NOT(AND(AO365=1,AN365&lt;&gt;1)),ISNUMBER(AI365),AI365&lt;=T365),AU365,0)=MAX(IF(AND(NOT(AND(AO365=1,AN365&lt;&gt;1)),ISNUMBER(AG365),AG365&lt;=T365),AS365,0),IF(AND(NOT(AND(AO365=1,AN365&lt;&gt;1)),ISNUMBER(AH365),AH365&lt;=T365),AT365,0),IF(AND(NOT(AND(AO365=1,AN365&lt;&gt;1)),ISNUMBER(AI365),AI365&lt;=T365),AU365,0),IF(AND(ISNUMBER(AJ365),AJ365&lt;=T365),AV365,0))),"SC","Mag")))))))</f>
        <v/>
      </c>
    </row>
    <row r="366">
      <c r="A366" s="26" t="n">
        <v>361</v>
      </c>
      <c r="B366" s="27">
        <f>A366*10/60</f>
        <v/>
      </c>
      <c r="C366" s="22">
        <f>X365</f>
        <v/>
      </c>
      <c r="D366" s="27">
        <f>D365+W365</f>
        <v/>
      </c>
      <c r="E366" s="26">
        <f>E365+IF(U365="SW",1,0)</f>
        <v/>
      </c>
      <c r="F366" s="26">
        <f>F365+IF(U365="AB",1,0)</f>
        <v/>
      </c>
      <c r="G366" s="26">
        <f>G365+IF(U365="SC",1,0)</f>
        <v/>
      </c>
      <c r="H366" s="26">
        <f>H365+IF(U365="Mag",1,0)</f>
        <v/>
      </c>
      <c r="I366" s="26">
        <f>MAX(I365,IF(U365="OR",1,0))</f>
        <v/>
      </c>
      <c r="J366" s="26">
        <f>MAX(J365,IF(U365="HP",1,0))</f>
        <v/>
      </c>
      <c r="K366" s="26">
        <f>MAX(K365,IF(U365="FP",1,0))</f>
        <v/>
      </c>
      <c r="L366" s="26">
        <f>MAX(L365,IF(U365="transition",1,0))</f>
        <v/>
      </c>
      <c r="M366" s="28">
        <f>(Parameters!$B$9+(IF(E366=0,0,(Upgrades!$J$6+E366*Upgrades!$K$6)*POWER(Upgrades!$L$6,E366)))*(IF(Upgrades!$T$7="Solar Wind",POWER(Upgrades!$U$7,F366),1)*IF(Upgrades!$T$8="Solar Wind",POWER(Upgrades!$U$8,G366),1)*IF(Upgrades!$T$9="Solar Wind",POWER(Upgrades!$U$9,H366),1)*IF(Upgrades!$T$10="Solar Wind",POWER(Upgrades!$U$10,I366),1)*IF(Upgrades!$T$11="Solar Wind",POWER(Upgrades!$U$11,J366),1)*IF(Upgrades!$T$12="Solar Wind",POWER(Upgrades!$U$12,K366),1))+(IF(F366=0,0,(Upgrades!$J$7+F366*Upgrades!$K$7)*POWER(Upgrades!$L$7,F366)))*(IF(Upgrades!$T$6="Asteroid Belt",POWER(Upgrades!$U$6,E366),1)*IF(Upgrades!$T$8="Asteroid Belt",POWER(Upgrades!$U$8,G366),1)*IF(Upgrades!$T$9="Asteroid Belt",POWER(Upgrades!$U$9,H366),1)*IF(Upgrades!$T$10="Asteroid Belt",POWER(Upgrades!$U$10,I366),1)*IF(Upgrades!$T$11="Asteroid Belt",POWER(Upgrades!$U$11,J366),1)*IF(Upgrades!$T$12="Asteroid Belt",POWER(Upgrades!$U$12,K366),1))+(IF(G366=0,0,(Upgrades!$J$8+G366*Upgrades!$K$8)*POWER(Upgrades!$L$8,G366)))*(IF(Upgrades!$T$6="Stellar Coupling",POWER(Upgrades!$U$6,E366),1)*IF(Upgrades!$T$7="Stellar Coupling",POWER(Upgrades!$U$7,F366),1)*IF(Upgrades!$T$9="Stellar Coupling",POWER(Upgrades!$U$9,H366),1)*IF(Upgrades!$T$10="Stellar Coupling",POWER(Upgrades!$U$10,I366),1)*IF(Upgrades!$T$11="Stellar Coupling",POWER(Upgrades!$U$11,J366),1)*IF(Upgrades!$T$12="Stellar Coupling",POWER(Upgrades!$U$12,K366),1))+(IF(H366=0,0,(Upgrades!$J$9+H366*Upgrades!$K$9)*POWER(Upgrades!$L$9,H366)))*(IF(Upgrades!$T$6="Magnetosphere",POWER(Upgrades!$U$6,E366),1)*IF(Upgrades!$T$7="Magnetosphere",POWER(Upgrades!$U$7,F366),1)*IF(Upgrades!$T$8="Magnetosphere",POWER(Upgrades!$U$8,G366),1)*IF(Upgrades!$T$10="Magnetosphere",POWER(Upgrades!$U$10,I366),1)*IF(Upgrades!$T$11="Magnetosphere",POWER(Upgrades!$U$11,J366),1)*IF(Upgrades!$T$12="Magnetosphere",POWER(Upgrades!$U$12,K366),1))+(IF(I366=0,0,(Upgrades!$J$10+I366*Upgrades!$K$10)*POWER(Upgrades!$L$10,I366)))*(IF(Upgrades!$T$6="Orbital Resonance",POWER(Upgrades!$U$6,E366),1)*IF(Upgrades!$T$7="Orbital Resonance",POWER(Upgrades!$U$7,F366),1)*IF(Upgrades!$T$8="Orbital Resonance",POWER(Upgrades!$U$8,G366),1)*IF(Upgrades!$T$9="Orbital Resonance",POWER(Upgrades!$U$9,H366),1)*IF(Upgrades!$T$11="Orbital Resonance",POWER(Upgrades!$U$11,J366),1)*IF(Upgrades!$T$12="Orbital Resonance",POWER(Upgrades!$U$12,K366),1))+(IF(J366=0,0,(Upgrades!$J$11+J366*Upgrades!$K$11)*POWER(Upgrades!$L$11,J366)))*(IF(Upgrades!$T$6="Heliopause",POWER(Upgrades!$U$6,E366),1)*IF(Upgrades!$T$7="Heliopause",POWER(Upgrades!$U$7,F366),1)*IF(Upgrades!$T$8="Heliopause",POWER(Upgrades!$U$8,G366),1)*IF(Upgrades!$T$9="Heliopause",POWER(Upgrades!$U$9,H366),1)*IF(Upgrades!$T$10="Heliopause",POWER(Upgrades!$U$10,I366),1)*IF(Upgrades!$T$12="Heliopause",POWER(Upgrades!$U$12,K366),1))+(IF(K366=0,0,(Upgrades!$J$12+K366*Upgrades!$K$12)*POWER(Upgrades!$L$12,K366)))*(IF(Upgrades!$T$6="First Photons",POWER(Upgrades!$U$6,E366),1)*IF(Upgrades!$T$7="First Photons",POWER(Upgrades!$U$7,F366),1)*IF(Upgrades!$T$8="First Photons",POWER(Upgrades!$U$8,G366),1)*IF(Upgrades!$T$9="First Photons",POWER(Upgrades!$U$9,H366),1)*IF(Upgrades!$T$10="First Photons",POWER(Upgrades!$U$10,I366),1)*IF(Upgrades!$T$11="First Photons",POWER(Upgrades!$U$11,J366),1)))*POWER(Upgrades!$Q$6,E366)*POWER(Upgrades!$Q$7,F366)*POWER(Upgrades!$Q$8,G366)*POWER(Upgrades!$Q$9,H366)*POWER(Upgrades!$Q$10,I366)*POWER(Upgrades!$Q$11,J366)*POWER(Upgrades!$Q$12,K366)</f>
        <v/>
      </c>
      <c r="N366" s="28">
        <f>((IF(E366=0,0,(Upgrades!$G$6+E366*Upgrades!$H$6)*POWER(Upgrades!$I$6,E366)))*(IF(Upgrades!$T$7="Solar Wind",POWER(Upgrades!$U$7,F366),1)*IF(Upgrades!$T$8="Solar Wind",POWER(Upgrades!$U$8,G366),1)*IF(Upgrades!$T$9="Solar Wind",POWER(Upgrades!$U$9,H366),1)*IF(Upgrades!$T$10="Solar Wind",POWER(Upgrades!$U$10,I366),1)*IF(Upgrades!$T$11="Solar Wind",POWER(Upgrades!$U$11,J366),1)*IF(Upgrades!$T$12="Solar Wind",POWER(Upgrades!$U$12,K366),1))+(IF(F366=0,0,(Upgrades!$G$7+F366*Upgrades!$H$7)*POWER(Upgrades!$I$7,F366)))*(IF(Upgrades!$T$6="Asteroid Belt",POWER(Upgrades!$U$6,E366),1)*IF(Upgrades!$T$8="Asteroid Belt",POWER(Upgrades!$U$8,G366),1)*IF(Upgrades!$T$9="Asteroid Belt",POWER(Upgrades!$U$9,H366),1)*IF(Upgrades!$T$10="Asteroid Belt",POWER(Upgrades!$U$10,I366),1)*IF(Upgrades!$T$11="Asteroid Belt",POWER(Upgrades!$U$11,J366),1)*IF(Upgrades!$T$12="Asteroid Belt",POWER(Upgrades!$U$12,K366),1))+(IF(G366=0,0,(Upgrades!$G$8+G366*Upgrades!$H$8)*POWER(Upgrades!$I$8,G366)))*(IF(Upgrades!$T$6="Stellar Coupling",POWER(Upgrades!$U$6,E366),1)*IF(Upgrades!$T$7="Stellar Coupling",POWER(Upgrades!$U$7,F366),1)*IF(Upgrades!$T$9="Stellar Coupling",POWER(Upgrades!$U$9,H366),1)*IF(Upgrades!$T$10="Stellar Coupling",POWER(Upgrades!$U$10,I366),1)*IF(Upgrades!$T$11="Stellar Coupling",POWER(Upgrades!$U$11,J366),1)*IF(Upgrades!$T$12="Stellar Coupling",POWER(Upgrades!$U$12,K366),1))+(IF(H366=0,0,(Upgrades!$G$9+H366*Upgrades!$H$9)*POWER(Upgrades!$I$9,H366)))*(IF(Upgrades!$T$6="Magnetosphere",POWER(Upgrades!$U$6,E366),1)*IF(Upgrades!$T$7="Magnetosphere",POWER(Upgrades!$U$7,F366),1)*IF(Upgrades!$T$8="Magnetosphere",POWER(Upgrades!$U$8,G366),1)*IF(Upgrades!$T$10="Magnetosphere",POWER(Upgrades!$U$10,I366),1)*IF(Upgrades!$T$11="Magnetosphere",POWER(Upgrades!$U$11,J366),1)*IF(Upgrades!$T$12="Magnetosphere",POWER(Upgrades!$U$12,K366),1))+(IF(I366=0,0,(Upgrades!$G$10+I366*Upgrades!$H$10)*POWER(Upgrades!$I$10,I366)))*(IF(Upgrades!$T$6="Orbital Resonance",POWER(Upgrades!$U$6,E366),1)*IF(Upgrades!$T$7="Orbital Resonance",POWER(Upgrades!$U$7,F366),1)*IF(Upgrades!$T$8="Orbital Resonance",POWER(Upgrades!$U$8,G366),1)*IF(Upgrades!$T$9="Orbital Resonance",POWER(Upgrades!$U$9,H366),1)*IF(Upgrades!$T$11="Orbital Resonance",POWER(Upgrades!$U$11,J366),1)*IF(Upgrades!$T$12="Orbital Resonance",POWER(Upgrades!$U$12,K366),1))+(IF(J366=0,0,(Upgrades!$G$11+J366*Upgrades!$H$11)*POWER(Upgrades!$I$11,J366)))*(IF(Upgrades!$T$6="Heliopause",POWER(Upgrades!$U$6,E366),1)*IF(Upgrades!$T$7="Heliopause",POWER(Upgrades!$U$7,F366),1)*IF(Upgrades!$T$8="Heliopause",POWER(Upgrades!$U$8,G366),1)*IF(Upgrades!$T$9="Heliopause",POWER(Upgrades!$U$9,H366),1)*IF(Upgrades!$T$10="Heliopause",POWER(Upgrades!$U$10,I366),1)*IF(Upgrades!$T$12="Heliopause",POWER(Upgrades!$U$12,K366),1))+(IF(K366=0,0,(Upgrades!$G$12+K366*Upgrades!$H$12)*POWER(Upgrades!$I$12,K366)))*(IF(Upgrades!$T$6="First Photons",POWER(Upgrades!$U$6,E366),1)*IF(Upgrades!$T$7="First Photons",POWER(Upgrades!$U$7,F366),1)*IF(Upgrades!$T$8="First Photons",POWER(Upgrades!$U$8,G366),1)*IF(Upgrades!$T$9="First Photons",POWER(Upgrades!$U$9,H366),1)*IF(Upgrades!$T$10="First Photons",POWER(Upgrades!$U$10,I366),1)*IF(Upgrades!$T$11="First Photons",POWER(Upgrades!$U$11,J366),1)))*POWER(Upgrades!$P$6,E366)*POWER(Upgrades!$P$7,F366)*POWER(Upgrades!$P$8,G366)*POWER(Upgrades!$P$9,H366)*POWER(Upgrades!$P$10,I366)*POWER(Upgrades!$P$11,J366)*POWER(Upgrades!$P$12,K366)</f>
        <v/>
      </c>
      <c r="O366" s="28">
        <f>((IF(E366=0,0,(Upgrades!$M$6+E366*Upgrades!$N$6)*POWER(Upgrades!$O$6,E366)))*(IF(Upgrades!$T$7="Solar Wind",POWER(Upgrades!$U$7,F366),1)*IF(Upgrades!$T$8="Solar Wind",POWER(Upgrades!$U$8,G366),1)*IF(Upgrades!$T$9="Solar Wind",POWER(Upgrades!$U$9,H366),1)*IF(Upgrades!$T$10="Solar Wind",POWER(Upgrades!$U$10,I366),1)*IF(Upgrades!$T$11="Solar Wind",POWER(Upgrades!$U$11,J366),1)*IF(Upgrades!$T$12="Solar Wind",POWER(Upgrades!$U$12,K366),1))+(IF(F366=0,0,(Upgrades!$M$7+F366*Upgrades!$N$7)*POWER(Upgrades!$O$7,F366)))*(IF(Upgrades!$T$6="Asteroid Belt",POWER(Upgrades!$U$6,E366),1)*IF(Upgrades!$T$8="Asteroid Belt",POWER(Upgrades!$U$8,G366),1)*IF(Upgrades!$T$9="Asteroid Belt",POWER(Upgrades!$U$9,H366),1)*IF(Upgrades!$T$10="Asteroid Belt",POWER(Upgrades!$U$10,I366),1)*IF(Upgrades!$T$11="Asteroid Belt",POWER(Upgrades!$U$11,J366),1)*IF(Upgrades!$T$12="Asteroid Belt",POWER(Upgrades!$U$12,K366),1))+(IF(G366=0,0,(Upgrades!$M$8+G366*Upgrades!$N$8)*POWER(Upgrades!$O$8,G366)))*(IF(Upgrades!$T$6="Stellar Coupling",POWER(Upgrades!$U$6,E366),1)*IF(Upgrades!$T$7="Stellar Coupling",POWER(Upgrades!$U$7,F366),1)*IF(Upgrades!$T$9="Stellar Coupling",POWER(Upgrades!$U$9,H366),1)*IF(Upgrades!$T$10="Stellar Coupling",POWER(Upgrades!$U$10,I366),1)*IF(Upgrades!$T$11="Stellar Coupling",POWER(Upgrades!$U$11,J366),1)*IF(Upgrades!$T$12="Stellar Coupling",POWER(Upgrades!$U$12,K366),1))+(IF(H366=0,0,(Upgrades!$M$9+H366*Upgrades!$N$9)*POWER(Upgrades!$O$9,H366)))*(IF(Upgrades!$T$6="Magnetosphere",POWER(Upgrades!$U$6,E366),1)*IF(Upgrades!$T$7="Magnetosphere",POWER(Upgrades!$U$7,F366),1)*IF(Upgrades!$T$8="Magnetosphere",POWER(Upgrades!$U$8,G366),1)*IF(Upgrades!$T$10="Magnetosphere",POWER(Upgrades!$U$10,I366),1)*IF(Upgrades!$T$11="Magnetosphere",POWER(Upgrades!$U$11,J366),1)*IF(Upgrades!$T$12="Magnetosphere",POWER(Upgrades!$U$12,K366),1))+(IF(I366=0,0,(Upgrades!$M$10+I366*Upgrades!$N$10)*POWER(Upgrades!$O$10,I366)))*(IF(Upgrades!$T$6="Orbital Resonance",POWER(Upgrades!$U$6,E366),1)*IF(Upgrades!$T$7="Orbital Resonance",POWER(Upgrades!$U$7,F366),1)*IF(Upgrades!$T$8="Orbital Resonance",POWER(Upgrades!$U$8,G366),1)*IF(Upgrades!$T$9="Orbital Resonance",POWER(Upgrades!$U$9,H366),1)*IF(Upgrades!$T$11="Orbital Resonance",POWER(Upgrades!$U$11,J366),1)*IF(Upgrades!$T$12="Orbital Resonance",POWER(Upgrades!$U$12,K366),1))+(IF(J366=0,0,(Upgrades!$M$11+J366*Upgrades!$N$11)*POWER(Upgrades!$O$11,J366)))*(IF(Upgrades!$T$6="Heliopause",POWER(Upgrades!$U$6,E366),1)*IF(Upgrades!$T$7="Heliopause",POWER(Upgrades!$U$7,F366),1)*IF(Upgrades!$T$8="Heliopause",POWER(Upgrades!$U$8,G366),1)*IF(Upgrades!$T$9="Heliopause",POWER(Upgrades!$U$9,H366),1)*IF(Upgrades!$T$10="Heliopause",POWER(Upgrades!$U$10,I366),1)*IF(Upgrades!$T$12="Heliopause",POWER(Upgrades!$U$12,K366),1))+(IF(K366=0,0,(Upgrades!$M$12+K366*Upgrades!$N$12)*POWER(Upgrades!$O$12,K366)))*(IF(Upgrades!$T$6="First Photons",POWER(Upgrades!$U$6,E366),1)*IF(Upgrades!$T$7="First Photons",POWER(Upgrades!$U$7,F366),1)*IF(Upgrades!$T$8="First Photons",POWER(Upgrades!$U$8,G366),1)*IF(Upgrades!$T$9="First Photons",POWER(Upgrades!$U$9,H366),1)*IF(Upgrades!$T$10="First Photons",POWER(Upgrades!$U$10,I366),1)*IF(Upgrades!$T$11="First Photons",POWER(Upgrades!$U$11,J366),1)))*POWER(Upgrades!$R$6,E366)*POWER(Upgrades!$R$7,F366)*POWER(Upgrades!$R$8,G366)*POWER(Upgrades!$R$9,H366)*POWER(Upgrades!$R$10,I366)*POWER(Upgrades!$R$11,J366)*POWER(Upgrades!$R$12,K366)</f>
        <v/>
      </c>
      <c r="P366" s="27">
        <f>IF(L366=1,0,M366*Parameters!$B$10/60*Parameters!$B$11*10)</f>
        <v/>
      </c>
      <c r="Q366" s="27">
        <f>IF(L366=1,0,O366*M366*10)</f>
        <v/>
      </c>
      <c r="R366" s="27">
        <f>IF(L366=1,0,N366*10)</f>
        <v/>
      </c>
      <c r="S366" s="27">
        <f>P366+Q366+R366</f>
        <v/>
      </c>
      <c r="T366" s="22">
        <f>C366+S366</f>
        <v/>
      </c>
      <c r="U366" s="33">
        <f>AX366</f>
        <v/>
      </c>
      <c r="V366" s="22">
        <f>IF(U366="",0,IF(U366="transition",0,IF(U366="SW",AG366,IF(U366="AB",AH366,IF(U366="SC",AI366,IF(U366="Mag",AJ366,IF(U366="OR",AK366,IF(U366="HP",AL366,IF(U366="FP",AM366,0)))))))))</f>
        <v/>
      </c>
      <c r="W366" s="27">
        <f>IF(U366="OR",Upgrades!$F$10,IF(U366="HP",Upgrades!$F$11,IF(U366="transition",-Parameters!$B$18,0)))</f>
        <v/>
      </c>
      <c r="X366" s="22">
        <f>T366-V366</f>
        <v/>
      </c>
      <c r="Y366" s="30">
        <f>M366*Parameters!$B$10/60*Parameters!$B$11+O366*M366+N366</f>
        <v/>
      </c>
      <c r="Z366" s="34">
        <f>IF(U366="transition","→ Tier 2 (Stellar Neighborhood)",IF(U366="FP","First Photons — light begins, system quickens",IF(U366="HP","Heliopause acquired",IF(U366="OR","Orbital Resonance — passive multiplier active",IF(AND(AO366=1,L366=0,AN366&lt;&gt;1),"Cohesion ready (waiting on completionist upgrades)","")))))</f>
        <v/>
      </c>
      <c r="AA366" s="27">
        <f>(IF(E366=0,0,(Upgrades!$G$6+E366*Upgrades!$H$6)*POWER(Upgrades!$I$6,E366)))*(IF(Upgrades!$T$7="Solar Wind",POWER(Upgrades!$U$7,F366),1)*IF(Upgrades!$T$8="Solar Wind",POWER(Upgrades!$U$8,G366),1)*IF(Upgrades!$T$9="Solar Wind",POWER(Upgrades!$U$9,H366),1)*IF(Upgrades!$T$10="Solar Wind",POWER(Upgrades!$U$10,I366),1)*IF(Upgrades!$T$11="Solar Wind",POWER(Upgrades!$U$11,J366),1)*IF(Upgrades!$T$12="Solar Wind",POWER(Upgrades!$U$12,K366),1))*POWER(Upgrades!$P$6,E366)*POWER(Upgrades!$P$7,F366)*POWER(Upgrades!$P$8,G366)*POWER(Upgrades!$P$9,H366)*POWER(Upgrades!$P$10,I366)*POWER(Upgrades!$P$11,J366)*POWER(Upgrades!$P$12,K366)*60</f>
        <v/>
      </c>
      <c r="AB366" s="27">
        <f>(IF(F366=0,0,(Upgrades!$G$7+F366*Upgrades!$H$7)*POWER(Upgrades!$I$7,F366)))*(IF(Upgrades!$T$6="Asteroid Belt",POWER(Upgrades!$U$6,E366),1)*IF(Upgrades!$T$8="Asteroid Belt",POWER(Upgrades!$U$8,G366),1)*IF(Upgrades!$T$9="Asteroid Belt",POWER(Upgrades!$U$9,H366),1)*IF(Upgrades!$T$10="Asteroid Belt",POWER(Upgrades!$U$10,I366),1)*IF(Upgrades!$T$11="Asteroid Belt",POWER(Upgrades!$U$11,J366),1)*IF(Upgrades!$T$12="Asteroid Belt",POWER(Upgrades!$U$12,K366),1))*POWER(Upgrades!$P$6,E366)*POWER(Upgrades!$P$7,F366)*POWER(Upgrades!$P$8,G366)*POWER(Upgrades!$P$9,H366)*POWER(Upgrades!$P$10,I366)*POWER(Upgrades!$P$11,J366)*POWER(Upgrades!$P$12,K366)*60</f>
        <v/>
      </c>
      <c r="AC366" s="27">
        <f>(IF(G366=0,0,(Upgrades!$J$8+G366*Upgrades!$K$8)*POWER(Upgrades!$L$8,G366)))*(IF(Upgrades!$T$6="Stellar Coupling",POWER(Upgrades!$U$6,E366),1)*IF(Upgrades!$T$7="Stellar Coupling",POWER(Upgrades!$U$7,F366),1)*IF(Upgrades!$T$9="Stellar Coupling",POWER(Upgrades!$U$9,H366),1)*IF(Upgrades!$T$10="Stellar Coupling",POWER(Upgrades!$U$10,I366),1)*IF(Upgrades!$T$11="Stellar Coupling",POWER(Upgrades!$U$11,J366),1)*IF(Upgrades!$T$12="Stellar Coupling",POWER(Upgrades!$U$12,K366),1))*POWER(Upgrades!$Q$6,E366)*POWER(Upgrades!$Q$7,F366)*POWER(Upgrades!$Q$8,G366)*POWER(Upgrades!$Q$9,H366)*POWER(Upgrades!$Q$10,I366)*POWER(Upgrades!$Q$11,J366)*POWER(Upgrades!$Q$12,K366)*Parameters!$B$10*Parameters!$B$11</f>
        <v/>
      </c>
      <c r="AD366" s="27">
        <f>(IF(H366=0,0,(Upgrades!$G$9+H366*Upgrades!$H$9)*POWER(Upgrades!$I$9,H366)))*(IF(Upgrades!$T$6="Magnetosphere",POWER(Upgrades!$U$6,E366),1)*IF(Upgrades!$T$7="Magnetosphere",POWER(Upgrades!$U$7,F366),1)*IF(Upgrades!$T$8="Magnetosphere",POWER(Upgrades!$U$8,G366),1)*IF(Upgrades!$T$10="Magnetosphere",POWER(Upgrades!$U$10,I366),1)*IF(Upgrades!$T$11="Magnetosphere",POWER(Upgrades!$U$11,J366),1)*IF(Upgrades!$T$12="Magnetosphere",POWER(Upgrades!$U$12,K366),1))*POWER(Upgrades!$P$6,E366)*POWER(Upgrades!$P$7,F366)*POWER(Upgrades!$P$8,G366)*POWER(Upgrades!$P$9,H366)*POWER(Upgrades!$P$10,I366)*POWER(Upgrades!$P$11,J366)*POWER(Upgrades!$P$12,K366)*60</f>
        <v/>
      </c>
      <c r="AE366" s="27">
        <f>(IF(K366=0,0,(Upgrades!$G$12+K366*Upgrades!$H$12)*POWER(Upgrades!$I$12,K366)))*(IF(Upgrades!$T$6="First Photons",POWER(Upgrades!$U$6,E366),1)*IF(Upgrades!$T$7="First Photons",POWER(Upgrades!$U$7,F366),1)*IF(Upgrades!$T$8="First Photons",POWER(Upgrades!$U$8,G366),1)*IF(Upgrades!$T$9="First Photons",POWER(Upgrades!$U$9,H366),1)*IF(Upgrades!$T$10="First Photons",POWER(Upgrades!$U$10,I366),1)*IF(Upgrades!$T$11="First Photons",POWER(Upgrades!$U$11,J366),1))*POWER(Upgrades!$P$6,E366)*POWER(Upgrades!$P$7,F366)*POWER(Upgrades!$P$8,G366)*POWER(Upgrades!$P$9,H366)*POWER(Upgrades!$P$10,I366)*POWER(Upgrades!$P$11,J366)*POWER(Upgrades!$P$12,K366)*60</f>
        <v/>
      </c>
      <c r="AF366" s="27">
        <f>Parameters!$B$9*POWER(Upgrades!$Q$6,E366)*POWER(Upgrades!$Q$7,F366)*POWER(Upgrades!$Q$8,G366)*POWER(Upgrades!$Q$9,H366)*POWER(Upgrades!$Q$10,I366)*POWER(Upgrades!$Q$11,J366)*POWER(Upgrades!$Q$12,K366)*(Parameters!$B$10*Parameters!$B$11+O366*60)</f>
        <v/>
      </c>
      <c r="AG366" s="22">
        <f>IF(E366&gt;=Upgrades!$E$6,"",Upgrades!$C$6*POWER(Upgrades!$D$6,E366))</f>
        <v/>
      </c>
      <c r="AH366" s="22">
        <f>IF(F366&gt;=Upgrades!$E$7,"",Upgrades!$C$7*POWER(Upgrades!$D$7,F366))</f>
        <v/>
      </c>
      <c r="AI366" s="22">
        <f>IF(G366&gt;=Upgrades!$E$8,"",Upgrades!$C$8*POWER(Upgrades!$D$8,G366))</f>
        <v/>
      </c>
      <c r="AJ366" s="22">
        <f>IF(H366&gt;=Upgrades!$E$9,"",Upgrades!$C$9*POWER(Upgrades!$D$9,H366))</f>
        <v/>
      </c>
      <c r="AK366" s="22">
        <f>IF(I366&gt;=Upgrades!$E$10,"",Upgrades!$C$10*POWER(Upgrades!$D$10,I366))</f>
        <v/>
      </c>
      <c r="AL366" s="22">
        <f>IF(J366&gt;=Upgrades!$E$11,"",Upgrades!$C$11*POWER(Upgrades!$D$11,J366))</f>
        <v/>
      </c>
      <c r="AM366" s="22">
        <f>IF(K366&gt;=Upgrades!$E$12,"",Upgrades!$C$12*POWER(Upgrades!$D$12,K366))</f>
        <v/>
      </c>
      <c r="AN366" s="26">
        <f>IF(AND(D366&gt;=Parameters!$B$18,(H366&gt;=Upgrades!$E$9)*(K366&gt;=Upgrades!$E$12)=1,L366=0),1,"")</f>
        <v/>
      </c>
      <c r="AO366" s="26">
        <f>IF(AND(D366&gt;=Parameters!$B$18,L366=0),1,"")</f>
        <v/>
      </c>
      <c r="AP366" s="22">
        <f>MIN(IF(ISNUMBER(AK366),AK366,9E15),IF(ISNUMBER(AL366),AL366,9E15),IF(ISNUMBER(AM366),AM366,9E15))</f>
        <v/>
      </c>
      <c r="AQ366" s="22">
        <f>MIN(IF(ISNUMBER(AG366),AG366,9E15),IF(ISNUMBER(AH366),AH366,9E15),IF(ISNUMBER(AI366),AI366,9E15),IF(ISNUMBER(AJ366),AJ366,9E15))</f>
        <v/>
      </c>
      <c r="AR366" s="29">
        <f>IF(AW366&gt;Parameters!$B$21*(MAX(IF(AND(NOT(AND(AO366=1,AN366&lt;&gt;1)),ISNUMBER(AG366),AG366&lt;=T366),AS366,0),IF(AND(NOT(AND(AO366=1,AN366&lt;&gt;1)),ISNUMBER(AH366),AH366&lt;=T366),AT366,0),IF(AND(NOT(AND(AO366=1,AN366&lt;&gt;1)),ISNUMBER(AI366),AI366&lt;=T366),AU366,0),IF(AND(ISNUMBER(AJ366),AJ366&lt;=T366),AV366,0))),TRUE,FALSE)</f>
        <v/>
      </c>
      <c r="AS366" s="32">
        <f>IFERROR(Upgrades!$H$6*(POWER(Upgrades!$P$6,E366)*POWER(Upgrades!$P$7,F366)*POWER(Upgrades!$P$8,G366)*POWER(Upgrades!$P$9,H366)*POWER(Upgrades!$P$10,I366)*POWER(Upgrades!$P$11,J366)*POWER(Upgrades!$P$12,K366))*(IF(Upgrades!$T$7="Solar Wind",POWER(Upgrades!$U$7,F366),1)*IF(Upgrades!$T$8="Solar Wind",POWER(Upgrades!$U$8,G366),1)*IF(Upgrades!$T$9="Solar Wind",POWER(Upgrades!$U$9,H366),1)*IF(Upgrades!$T$10="Solar Wind",POWER(Upgrades!$U$10,I366),1)*IF(Upgrades!$T$11="Solar Wind",POWER(Upgrades!$U$11,J366),1)*IF(Upgrades!$T$12="Solar Wind",POWER(Upgrades!$U$12,K366),1))/AG366,0)</f>
        <v/>
      </c>
      <c r="AT366" s="32">
        <f>IFERROR(Upgrades!$H$7*(POWER(Upgrades!$P$6,E366)*POWER(Upgrades!$P$7,F366)*POWER(Upgrades!$P$8,G366)*POWER(Upgrades!$P$9,H366)*POWER(Upgrades!$P$10,I366)*POWER(Upgrades!$P$11,J366)*POWER(Upgrades!$P$12,K366))*(IF(Upgrades!$T$6="Asteroid Belt",POWER(Upgrades!$U$6,E366),1)*IF(Upgrades!$T$8="Asteroid Belt",POWER(Upgrades!$U$8,G366),1)*IF(Upgrades!$T$9="Asteroid Belt",POWER(Upgrades!$U$9,H366),1)*IF(Upgrades!$T$10="Asteroid Belt",POWER(Upgrades!$U$10,I366),1)*IF(Upgrades!$T$11="Asteroid Belt",POWER(Upgrades!$U$11,J366),1)*IF(Upgrades!$T$12="Asteroid Belt",POWER(Upgrades!$U$12,K366),1))/AH366,0)</f>
        <v/>
      </c>
      <c r="AU366" s="32">
        <f>IFERROR(Upgrades!$K$8*(POWER(Upgrades!$Q$6,E366)*POWER(Upgrades!$Q$7,F366)*POWER(Upgrades!$Q$8,G366)*POWER(Upgrades!$Q$9,H366)*POWER(Upgrades!$Q$10,I366)*POWER(Upgrades!$Q$11,J366)*POWER(Upgrades!$Q$12,K366))*(IF(Upgrades!$T$6="Stellar Coupling",POWER(Upgrades!$U$6,E366),1)*IF(Upgrades!$T$7="Stellar Coupling",POWER(Upgrades!$U$7,F366),1)*IF(Upgrades!$T$9="Stellar Coupling",POWER(Upgrades!$U$9,H366),1)*IF(Upgrades!$T$10="Stellar Coupling",POWER(Upgrades!$U$10,I366),1)*IF(Upgrades!$T$11="Stellar Coupling",POWER(Upgrades!$U$11,J366),1)*IF(Upgrades!$T$12="Stellar Coupling",POWER(Upgrades!$U$12,K366),1))*Parameters!$B$10*Parameters!$B$11/60/AI366,0)</f>
        <v/>
      </c>
      <c r="AV366" s="32">
        <f>IFERROR(Upgrades!$H$9*(POWER(Upgrades!$P$6,E366)*POWER(Upgrades!$P$7,F366)*POWER(Upgrades!$P$8,G366)*POWER(Upgrades!$P$9,H366)*POWER(Upgrades!$P$10,I366)*POWER(Upgrades!$P$11,J366)*POWER(Upgrades!$P$12,K366))*(IF(Upgrades!$T$6="Magnetosphere",POWER(Upgrades!$U$6,E366),1)*IF(Upgrades!$T$7="Magnetosphere",POWER(Upgrades!$U$7,F366),1)*IF(Upgrades!$T$8="Magnetosphere",POWER(Upgrades!$U$8,G366),1)*IF(Upgrades!$T$10="Magnetosphere",POWER(Upgrades!$U$10,I366),1)*IF(Upgrades!$T$11="Magnetosphere",POWER(Upgrades!$U$11,J366),1)*IF(Upgrades!$T$12="Magnetosphere",POWER(Upgrades!$U$12,K366),1))/AJ366,0)</f>
        <v/>
      </c>
      <c r="AW366" s="32">
        <f>MAX(IF(I366&gt;0,0,IFERROR(0.25*N366/Upgrades!$C$10,0)),IF(J366&gt;0,0,IFERROR(0.5*((IF(G366=0,0,(Upgrades!$J$8+G366*Upgrades!$K$8)*POWER(Upgrades!$L$8,G366)))*(IF(Upgrades!$T$6="Stellar Coupling",POWER(Upgrades!$U$6,E366),1)*IF(Upgrades!$T$7="Stellar Coupling",POWER(Upgrades!$U$7,F366),1)*IF(Upgrades!$T$9="Stellar Coupling",POWER(Upgrades!$U$9,H366),1)*IF(Upgrades!$T$10="Stellar Coupling",POWER(Upgrades!$U$10,I366),1)*IF(Upgrades!$T$11="Stellar Coupling",POWER(Upgrades!$U$11,J366),1)*IF(Upgrades!$T$12="Stellar Coupling",POWER(Upgrades!$U$12,K366),1))*(POWER(Upgrades!$Q$6,E366)*POWER(Upgrades!$Q$7,F366)*POWER(Upgrades!$Q$8,G366)*POWER(Upgrades!$Q$9,H366)*POWER(Upgrades!$Q$10,I366)*POWER(Upgrades!$Q$11,J366)*POWER(Upgrades!$Q$12,K366))*Parameters!$B$10*Parameters!$B$11/60)/Upgrades!$C$11,0)),IF(K366&gt;0,0,IFERROR((1.0*(POWER(Upgrades!$P$6,E366)*POWER(Upgrades!$P$7,F366)*POWER(Upgrades!$P$8,G366)*POWER(Upgrades!$P$9,H366)*POWER(Upgrades!$P$10,I366)*POWER(Upgrades!$P$11,J366)*POWER(Upgrades!$P$12,K366))+0.20*M366*Parameters!$B$10*Parameters!$B$11/60)/Upgrades!$C$12,0)),IF(AND(ISNUMBER(AG366),AG366&gt;T366),AS366,0),IF(AND(ISNUMBER(AH366),AH366&gt;T366),AT366,0),IF(AND(ISNUMBER(AI366),AI366&gt;T366),AU366,0),IF(AND(ISNUMBER(AJ366),AJ366&gt;T366),AV366,0))</f>
        <v/>
      </c>
      <c r="AX366" s="29">
        <f>IF(AN366=1,"transition",IF(MIN(IF(AND(I366=0,ISNUMBER(AK366),AK366&lt;=T366),AK366,9E15),IF(AND(J366=0,ISNUMBER(AL366),AL366&lt;=T366),AL366,9E15),IF(AND(K366=0,ISNUMBER(AM366),AM366&lt;=T366),AM366,9E15))&lt;9E15,IF(AND(AND(I366=0,ISNUMBER(AK366),AK366&lt;=T366),AK366=MIN(IF(AND(I366=0,ISNUMBER(AK366),AK366&lt;=T366),AK366,9E15),IF(AND(J366=0,ISNUMBER(AL366),AL366&lt;=T366),AL366,9E15),IF(AND(K366=0,ISNUMBER(AM366),AM366&lt;=T366),AM366,9E15))),"OR",IF(AND(AND(J366=0,ISNUMBER(AL366),AL366&lt;=T366),AL366=MIN(IF(AND(I366=0,ISNUMBER(AK366),AK366&lt;=T366),AK366,9E15),IF(AND(J366=0,ISNUMBER(AL366),AL366&lt;=T366),AL366,9E15),IF(AND(K366=0,ISNUMBER(AM366),AM366&lt;=T366),AM366,9E15))),"HP","FP")),IF(AR366=TRUE,"",IF(MAX(IF(AND(NOT(AND(AO366=1,AN366&lt;&gt;1)),ISNUMBER(AG366),AG366&lt;=T366),AS366,0),IF(AND(NOT(AND(AO366=1,AN366&lt;&gt;1)),ISNUMBER(AH366),AH366&lt;=T366),AT366,0),IF(AND(NOT(AND(AO366=1,AN366&lt;&gt;1)),ISNUMBER(AI366),AI366&lt;=T366),AU366,0),IF(AND(ISNUMBER(AJ366),AJ366&lt;=T366),AV366,0))&lt;=0,"",IF(AND(IF(AND(NOT(AND(AO366=1,AN366&lt;&gt;1)),ISNUMBER(AG366),AG366&lt;=T366),AS366,0)&gt;0,IF(AND(NOT(AND(AO366=1,AN366&lt;&gt;1)),ISNUMBER(AG366),AG366&lt;=T366),AS366,0)=MAX(IF(AND(NOT(AND(AO366=1,AN366&lt;&gt;1)),ISNUMBER(AG366),AG366&lt;=T366),AS366,0),IF(AND(NOT(AND(AO366=1,AN366&lt;&gt;1)),ISNUMBER(AH366),AH366&lt;=T366),AT366,0),IF(AND(NOT(AND(AO366=1,AN366&lt;&gt;1)),ISNUMBER(AI366),AI366&lt;=T366),AU366,0),IF(AND(ISNUMBER(AJ366),AJ366&lt;=T366),AV366,0))),"SW",IF(AND(IF(AND(NOT(AND(AO366=1,AN366&lt;&gt;1)),ISNUMBER(AH366),AH366&lt;=T366),AT366,0)&gt;0,IF(AND(NOT(AND(AO366=1,AN366&lt;&gt;1)),ISNUMBER(AH366),AH366&lt;=T366),AT366,0)=MAX(IF(AND(NOT(AND(AO366=1,AN366&lt;&gt;1)),ISNUMBER(AG366),AG366&lt;=T366),AS366,0),IF(AND(NOT(AND(AO366=1,AN366&lt;&gt;1)),ISNUMBER(AH366),AH366&lt;=T366),AT366,0),IF(AND(NOT(AND(AO366=1,AN366&lt;&gt;1)),ISNUMBER(AI366),AI366&lt;=T366),AU366,0),IF(AND(ISNUMBER(AJ366),AJ366&lt;=T366),AV366,0))),"AB",IF(AND(IF(AND(NOT(AND(AO366=1,AN366&lt;&gt;1)),ISNUMBER(AI366),AI366&lt;=T366),AU366,0)&gt;0,IF(AND(NOT(AND(AO366=1,AN366&lt;&gt;1)),ISNUMBER(AI366),AI366&lt;=T366),AU366,0)=MAX(IF(AND(NOT(AND(AO366=1,AN366&lt;&gt;1)),ISNUMBER(AG366),AG366&lt;=T366),AS366,0),IF(AND(NOT(AND(AO366=1,AN366&lt;&gt;1)),ISNUMBER(AH366),AH366&lt;=T366),AT366,0),IF(AND(NOT(AND(AO366=1,AN366&lt;&gt;1)),ISNUMBER(AI366),AI366&lt;=T366),AU366,0),IF(AND(ISNUMBER(AJ366),AJ366&lt;=T366),AV366,0))),"SC","Mag")))))))</f>
        <v/>
      </c>
    </row>
    <row r="367">
      <c r="A367" s="26" t="n">
        <v>362</v>
      </c>
      <c r="B367" s="27">
        <f>A367*10/60</f>
        <v/>
      </c>
      <c r="C367" s="22">
        <f>X366</f>
        <v/>
      </c>
      <c r="D367" s="27">
        <f>D366+W366</f>
        <v/>
      </c>
      <c r="E367" s="26">
        <f>E366+IF(U366="SW",1,0)</f>
        <v/>
      </c>
      <c r="F367" s="26">
        <f>F366+IF(U366="AB",1,0)</f>
        <v/>
      </c>
      <c r="G367" s="26">
        <f>G366+IF(U366="SC",1,0)</f>
        <v/>
      </c>
      <c r="H367" s="26">
        <f>H366+IF(U366="Mag",1,0)</f>
        <v/>
      </c>
      <c r="I367" s="26">
        <f>MAX(I366,IF(U366="OR",1,0))</f>
        <v/>
      </c>
      <c r="J367" s="26">
        <f>MAX(J366,IF(U366="HP",1,0))</f>
        <v/>
      </c>
      <c r="K367" s="26">
        <f>MAX(K366,IF(U366="FP",1,0))</f>
        <v/>
      </c>
      <c r="L367" s="26">
        <f>MAX(L366,IF(U366="transition",1,0))</f>
        <v/>
      </c>
      <c r="M367" s="28">
        <f>(Parameters!$B$9+(IF(E367=0,0,(Upgrades!$J$6+E367*Upgrades!$K$6)*POWER(Upgrades!$L$6,E367)))*(IF(Upgrades!$T$7="Solar Wind",POWER(Upgrades!$U$7,F367),1)*IF(Upgrades!$T$8="Solar Wind",POWER(Upgrades!$U$8,G367),1)*IF(Upgrades!$T$9="Solar Wind",POWER(Upgrades!$U$9,H367),1)*IF(Upgrades!$T$10="Solar Wind",POWER(Upgrades!$U$10,I367),1)*IF(Upgrades!$T$11="Solar Wind",POWER(Upgrades!$U$11,J367),1)*IF(Upgrades!$T$12="Solar Wind",POWER(Upgrades!$U$12,K367),1))+(IF(F367=0,0,(Upgrades!$J$7+F367*Upgrades!$K$7)*POWER(Upgrades!$L$7,F367)))*(IF(Upgrades!$T$6="Asteroid Belt",POWER(Upgrades!$U$6,E367),1)*IF(Upgrades!$T$8="Asteroid Belt",POWER(Upgrades!$U$8,G367),1)*IF(Upgrades!$T$9="Asteroid Belt",POWER(Upgrades!$U$9,H367),1)*IF(Upgrades!$T$10="Asteroid Belt",POWER(Upgrades!$U$10,I367),1)*IF(Upgrades!$T$11="Asteroid Belt",POWER(Upgrades!$U$11,J367),1)*IF(Upgrades!$T$12="Asteroid Belt",POWER(Upgrades!$U$12,K367),1))+(IF(G367=0,0,(Upgrades!$J$8+G367*Upgrades!$K$8)*POWER(Upgrades!$L$8,G367)))*(IF(Upgrades!$T$6="Stellar Coupling",POWER(Upgrades!$U$6,E367),1)*IF(Upgrades!$T$7="Stellar Coupling",POWER(Upgrades!$U$7,F367),1)*IF(Upgrades!$T$9="Stellar Coupling",POWER(Upgrades!$U$9,H367),1)*IF(Upgrades!$T$10="Stellar Coupling",POWER(Upgrades!$U$10,I367),1)*IF(Upgrades!$T$11="Stellar Coupling",POWER(Upgrades!$U$11,J367),1)*IF(Upgrades!$T$12="Stellar Coupling",POWER(Upgrades!$U$12,K367),1))+(IF(H367=0,0,(Upgrades!$J$9+H367*Upgrades!$K$9)*POWER(Upgrades!$L$9,H367)))*(IF(Upgrades!$T$6="Magnetosphere",POWER(Upgrades!$U$6,E367),1)*IF(Upgrades!$T$7="Magnetosphere",POWER(Upgrades!$U$7,F367),1)*IF(Upgrades!$T$8="Magnetosphere",POWER(Upgrades!$U$8,G367),1)*IF(Upgrades!$T$10="Magnetosphere",POWER(Upgrades!$U$10,I367),1)*IF(Upgrades!$T$11="Magnetosphere",POWER(Upgrades!$U$11,J367),1)*IF(Upgrades!$T$12="Magnetosphere",POWER(Upgrades!$U$12,K367),1))+(IF(I367=0,0,(Upgrades!$J$10+I367*Upgrades!$K$10)*POWER(Upgrades!$L$10,I367)))*(IF(Upgrades!$T$6="Orbital Resonance",POWER(Upgrades!$U$6,E367),1)*IF(Upgrades!$T$7="Orbital Resonance",POWER(Upgrades!$U$7,F367),1)*IF(Upgrades!$T$8="Orbital Resonance",POWER(Upgrades!$U$8,G367),1)*IF(Upgrades!$T$9="Orbital Resonance",POWER(Upgrades!$U$9,H367),1)*IF(Upgrades!$T$11="Orbital Resonance",POWER(Upgrades!$U$11,J367),1)*IF(Upgrades!$T$12="Orbital Resonance",POWER(Upgrades!$U$12,K367),1))+(IF(J367=0,0,(Upgrades!$J$11+J367*Upgrades!$K$11)*POWER(Upgrades!$L$11,J367)))*(IF(Upgrades!$T$6="Heliopause",POWER(Upgrades!$U$6,E367),1)*IF(Upgrades!$T$7="Heliopause",POWER(Upgrades!$U$7,F367),1)*IF(Upgrades!$T$8="Heliopause",POWER(Upgrades!$U$8,G367),1)*IF(Upgrades!$T$9="Heliopause",POWER(Upgrades!$U$9,H367),1)*IF(Upgrades!$T$10="Heliopause",POWER(Upgrades!$U$10,I367),1)*IF(Upgrades!$T$12="Heliopause",POWER(Upgrades!$U$12,K367),1))+(IF(K367=0,0,(Upgrades!$J$12+K367*Upgrades!$K$12)*POWER(Upgrades!$L$12,K367)))*(IF(Upgrades!$T$6="First Photons",POWER(Upgrades!$U$6,E367),1)*IF(Upgrades!$T$7="First Photons",POWER(Upgrades!$U$7,F367),1)*IF(Upgrades!$T$8="First Photons",POWER(Upgrades!$U$8,G367),1)*IF(Upgrades!$T$9="First Photons",POWER(Upgrades!$U$9,H367),1)*IF(Upgrades!$T$10="First Photons",POWER(Upgrades!$U$10,I367),1)*IF(Upgrades!$T$11="First Photons",POWER(Upgrades!$U$11,J367),1)))*POWER(Upgrades!$Q$6,E367)*POWER(Upgrades!$Q$7,F367)*POWER(Upgrades!$Q$8,G367)*POWER(Upgrades!$Q$9,H367)*POWER(Upgrades!$Q$10,I367)*POWER(Upgrades!$Q$11,J367)*POWER(Upgrades!$Q$12,K367)</f>
        <v/>
      </c>
      <c r="N367" s="28">
        <f>((IF(E367=0,0,(Upgrades!$G$6+E367*Upgrades!$H$6)*POWER(Upgrades!$I$6,E367)))*(IF(Upgrades!$T$7="Solar Wind",POWER(Upgrades!$U$7,F367),1)*IF(Upgrades!$T$8="Solar Wind",POWER(Upgrades!$U$8,G367),1)*IF(Upgrades!$T$9="Solar Wind",POWER(Upgrades!$U$9,H367),1)*IF(Upgrades!$T$10="Solar Wind",POWER(Upgrades!$U$10,I367),1)*IF(Upgrades!$T$11="Solar Wind",POWER(Upgrades!$U$11,J367),1)*IF(Upgrades!$T$12="Solar Wind",POWER(Upgrades!$U$12,K367),1))+(IF(F367=0,0,(Upgrades!$G$7+F367*Upgrades!$H$7)*POWER(Upgrades!$I$7,F367)))*(IF(Upgrades!$T$6="Asteroid Belt",POWER(Upgrades!$U$6,E367),1)*IF(Upgrades!$T$8="Asteroid Belt",POWER(Upgrades!$U$8,G367),1)*IF(Upgrades!$T$9="Asteroid Belt",POWER(Upgrades!$U$9,H367),1)*IF(Upgrades!$T$10="Asteroid Belt",POWER(Upgrades!$U$10,I367),1)*IF(Upgrades!$T$11="Asteroid Belt",POWER(Upgrades!$U$11,J367),1)*IF(Upgrades!$T$12="Asteroid Belt",POWER(Upgrades!$U$12,K367),1))+(IF(G367=0,0,(Upgrades!$G$8+G367*Upgrades!$H$8)*POWER(Upgrades!$I$8,G367)))*(IF(Upgrades!$T$6="Stellar Coupling",POWER(Upgrades!$U$6,E367),1)*IF(Upgrades!$T$7="Stellar Coupling",POWER(Upgrades!$U$7,F367),1)*IF(Upgrades!$T$9="Stellar Coupling",POWER(Upgrades!$U$9,H367),1)*IF(Upgrades!$T$10="Stellar Coupling",POWER(Upgrades!$U$10,I367),1)*IF(Upgrades!$T$11="Stellar Coupling",POWER(Upgrades!$U$11,J367),1)*IF(Upgrades!$T$12="Stellar Coupling",POWER(Upgrades!$U$12,K367),1))+(IF(H367=0,0,(Upgrades!$G$9+H367*Upgrades!$H$9)*POWER(Upgrades!$I$9,H367)))*(IF(Upgrades!$T$6="Magnetosphere",POWER(Upgrades!$U$6,E367),1)*IF(Upgrades!$T$7="Magnetosphere",POWER(Upgrades!$U$7,F367),1)*IF(Upgrades!$T$8="Magnetosphere",POWER(Upgrades!$U$8,G367),1)*IF(Upgrades!$T$10="Magnetosphere",POWER(Upgrades!$U$10,I367),1)*IF(Upgrades!$T$11="Magnetosphere",POWER(Upgrades!$U$11,J367),1)*IF(Upgrades!$T$12="Magnetosphere",POWER(Upgrades!$U$12,K367),1))+(IF(I367=0,0,(Upgrades!$G$10+I367*Upgrades!$H$10)*POWER(Upgrades!$I$10,I367)))*(IF(Upgrades!$T$6="Orbital Resonance",POWER(Upgrades!$U$6,E367),1)*IF(Upgrades!$T$7="Orbital Resonance",POWER(Upgrades!$U$7,F367),1)*IF(Upgrades!$T$8="Orbital Resonance",POWER(Upgrades!$U$8,G367),1)*IF(Upgrades!$T$9="Orbital Resonance",POWER(Upgrades!$U$9,H367),1)*IF(Upgrades!$T$11="Orbital Resonance",POWER(Upgrades!$U$11,J367),1)*IF(Upgrades!$T$12="Orbital Resonance",POWER(Upgrades!$U$12,K367),1))+(IF(J367=0,0,(Upgrades!$G$11+J367*Upgrades!$H$11)*POWER(Upgrades!$I$11,J367)))*(IF(Upgrades!$T$6="Heliopause",POWER(Upgrades!$U$6,E367),1)*IF(Upgrades!$T$7="Heliopause",POWER(Upgrades!$U$7,F367),1)*IF(Upgrades!$T$8="Heliopause",POWER(Upgrades!$U$8,G367),1)*IF(Upgrades!$T$9="Heliopause",POWER(Upgrades!$U$9,H367),1)*IF(Upgrades!$T$10="Heliopause",POWER(Upgrades!$U$10,I367),1)*IF(Upgrades!$T$12="Heliopause",POWER(Upgrades!$U$12,K367),1))+(IF(K367=0,0,(Upgrades!$G$12+K367*Upgrades!$H$12)*POWER(Upgrades!$I$12,K367)))*(IF(Upgrades!$T$6="First Photons",POWER(Upgrades!$U$6,E367),1)*IF(Upgrades!$T$7="First Photons",POWER(Upgrades!$U$7,F367),1)*IF(Upgrades!$T$8="First Photons",POWER(Upgrades!$U$8,G367),1)*IF(Upgrades!$T$9="First Photons",POWER(Upgrades!$U$9,H367),1)*IF(Upgrades!$T$10="First Photons",POWER(Upgrades!$U$10,I367),1)*IF(Upgrades!$T$11="First Photons",POWER(Upgrades!$U$11,J367),1)))*POWER(Upgrades!$P$6,E367)*POWER(Upgrades!$P$7,F367)*POWER(Upgrades!$P$8,G367)*POWER(Upgrades!$P$9,H367)*POWER(Upgrades!$P$10,I367)*POWER(Upgrades!$P$11,J367)*POWER(Upgrades!$P$12,K367)</f>
        <v/>
      </c>
      <c r="O367" s="28">
        <f>((IF(E367=0,0,(Upgrades!$M$6+E367*Upgrades!$N$6)*POWER(Upgrades!$O$6,E367)))*(IF(Upgrades!$T$7="Solar Wind",POWER(Upgrades!$U$7,F367),1)*IF(Upgrades!$T$8="Solar Wind",POWER(Upgrades!$U$8,G367),1)*IF(Upgrades!$T$9="Solar Wind",POWER(Upgrades!$U$9,H367),1)*IF(Upgrades!$T$10="Solar Wind",POWER(Upgrades!$U$10,I367),1)*IF(Upgrades!$T$11="Solar Wind",POWER(Upgrades!$U$11,J367),1)*IF(Upgrades!$T$12="Solar Wind",POWER(Upgrades!$U$12,K367),1))+(IF(F367=0,0,(Upgrades!$M$7+F367*Upgrades!$N$7)*POWER(Upgrades!$O$7,F367)))*(IF(Upgrades!$T$6="Asteroid Belt",POWER(Upgrades!$U$6,E367),1)*IF(Upgrades!$T$8="Asteroid Belt",POWER(Upgrades!$U$8,G367),1)*IF(Upgrades!$T$9="Asteroid Belt",POWER(Upgrades!$U$9,H367),1)*IF(Upgrades!$T$10="Asteroid Belt",POWER(Upgrades!$U$10,I367),1)*IF(Upgrades!$T$11="Asteroid Belt",POWER(Upgrades!$U$11,J367),1)*IF(Upgrades!$T$12="Asteroid Belt",POWER(Upgrades!$U$12,K367),1))+(IF(G367=0,0,(Upgrades!$M$8+G367*Upgrades!$N$8)*POWER(Upgrades!$O$8,G367)))*(IF(Upgrades!$T$6="Stellar Coupling",POWER(Upgrades!$U$6,E367),1)*IF(Upgrades!$T$7="Stellar Coupling",POWER(Upgrades!$U$7,F367),1)*IF(Upgrades!$T$9="Stellar Coupling",POWER(Upgrades!$U$9,H367),1)*IF(Upgrades!$T$10="Stellar Coupling",POWER(Upgrades!$U$10,I367),1)*IF(Upgrades!$T$11="Stellar Coupling",POWER(Upgrades!$U$11,J367),1)*IF(Upgrades!$T$12="Stellar Coupling",POWER(Upgrades!$U$12,K367),1))+(IF(H367=0,0,(Upgrades!$M$9+H367*Upgrades!$N$9)*POWER(Upgrades!$O$9,H367)))*(IF(Upgrades!$T$6="Magnetosphere",POWER(Upgrades!$U$6,E367),1)*IF(Upgrades!$T$7="Magnetosphere",POWER(Upgrades!$U$7,F367),1)*IF(Upgrades!$T$8="Magnetosphere",POWER(Upgrades!$U$8,G367),1)*IF(Upgrades!$T$10="Magnetosphere",POWER(Upgrades!$U$10,I367),1)*IF(Upgrades!$T$11="Magnetosphere",POWER(Upgrades!$U$11,J367),1)*IF(Upgrades!$T$12="Magnetosphere",POWER(Upgrades!$U$12,K367),1))+(IF(I367=0,0,(Upgrades!$M$10+I367*Upgrades!$N$10)*POWER(Upgrades!$O$10,I367)))*(IF(Upgrades!$T$6="Orbital Resonance",POWER(Upgrades!$U$6,E367),1)*IF(Upgrades!$T$7="Orbital Resonance",POWER(Upgrades!$U$7,F367),1)*IF(Upgrades!$T$8="Orbital Resonance",POWER(Upgrades!$U$8,G367),1)*IF(Upgrades!$T$9="Orbital Resonance",POWER(Upgrades!$U$9,H367),1)*IF(Upgrades!$T$11="Orbital Resonance",POWER(Upgrades!$U$11,J367),1)*IF(Upgrades!$T$12="Orbital Resonance",POWER(Upgrades!$U$12,K367),1))+(IF(J367=0,0,(Upgrades!$M$11+J367*Upgrades!$N$11)*POWER(Upgrades!$O$11,J367)))*(IF(Upgrades!$T$6="Heliopause",POWER(Upgrades!$U$6,E367),1)*IF(Upgrades!$T$7="Heliopause",POWER(Upgrades!$U$7,F367),1)*IF(Upgrades!$T$8="Heliopause",POWER(Upgrades!$U$8,G367),1)*IF(Upgrades!$T$9="Heliopause",POWER(Upgrades!$U$9,H367),1)*IF(Upgrades!$T$10="Heliopause",POWER(Upgrades!$U$10,I367),1)*IF(Upgrades!$T$12="Heliopause",POWER(Upgrades!$U$12,K367),1))+(IF(K367=0,0,(Upgrades!$M$12+K367*Upgrades!$N$12)*POWER(Upgrades!$O$12,K367)))*(IF(Upgrades!$T$6="First Photons",POWER(Upgrades!$U$6,E367),1)*IF(Upgrades!$T$7="First Photons",POWER(Upgrades!$U$7,F367),1)*IF(Upgrades!$T$8="First Photons",POWER(Upgrades!$U$8,G367),1)*IF(Upgrades!$T$9="First Photons",POWER(Upgrades!$U$9,H367),1)*IF(Upgrades!$T$10="First Photons",POWER(Upgrades!$U$10,I367),1)*IF(Upgrades!$T$11="First Photons",POWER(Upgrades!$U$11,J367),1)))*POWER(Upgrades!$R$6,E367)*POWER(Upgrades!$R$7,F367)*POWER(Upgrades!$R$8,G367)*POWER(Upgrades!$R$9,H367)*POWER(Upgrades!$R$10,I367)*POWER(Upgrades!$R$11,J367)*POWER(Upgrades!$R$12,K367)</f>
        <v/>
      </c>
      <c r="P367" s="27">
        <f>IF(L367=1,0,M367*Parameters!$B$10/60*Parameters!$B$11*10)</f>
        <v/>
      </c>
      <c r="Q367" s="27">
        <f>IF(L367=1,0,O367*M367*10)</f>
        <v/>
      </c>
      <c r="R367" s="27">
        <f>IF(L367=1,0,N367*10)</f>
        <v/>
      </c>
      <c r="S367" s="27">
        <f>P367+Q367+R367</f>
        <v/>
      </c>
      <c r="T367" s="22">
        <f>C367+S367</f>
        <v/>
      </c>
      <c r="U367" s="33">
        <f>AX367</f>
        <v/>
      </c>
      <c r="V367" s="22">
        <f>IF(U367="",0,IF(U367="transition",0,IF(U367="SW",AG367,IF(U367="AB",AH367,IF(U367="SC",AI367,IF(U367="Mag",AJ367,IF(U367="OR",AK367,IF(U367="HP",AL367,IF(U367="FP",AM367,0)))))))))</f>
        <v/>
      </c>
      <c r="W367" s="27">
        <f>IF(U367="OR",Upgrades!$F$10,IF(U367="HP",Upgrades!$F$11,IF(U367="transition",-Parameters!$B$18,0)))</f>
        <v/>
      </c>
      <c r="X367" s="22">
        <f>T367-V367</f>
        <v/>
      </c>
      <c r="Y367" s="30">
        <f>M367*Parameters!$B$10/60*Parameters!$B$11+O367*M367+N367</f>
        <v/>
      </c>
      <c r="Z367" s="34">
        <f>IF(U367="transition","→ Tier 2 (Stellar Neighborhood)",IF(U367="FP","First Photons — light begins, system quickens",IF(U367="HP","Heliopause acquired",IF(U367="OR","Orbital Resonance — passive multiplier active",IF(AND(AO367=1,L367=0,AN367&lt;&gt;1),"Cohesion ready (waiting on completionist upgrades)","")))))</f>
        <v/>
      </c>
      <c r="AA367" s="27">
        <f>(IF(E367=0,0,(Upgrades!$G$6+E367*Upgrades!$H$6)*POWER(Upgrades!$I$6,E367)))*(IF(Upgrades!$T$7="Solar Wind",POWER(Upgrades!$U$7,F367),1)*IF(Upgrades!$T$8="Solar Wind",POWER(Upgrades!$U$8,G367),1)*IF(Upgrades!$T$9="Solar Wind",POWER(Upgrades!$U$9,H367),1)*IF(Upgrades!$T$10="Solar Wind",POWER(Upgrades!$U$10,I367),1)*IF(Upgrades!$T$11="Solar Wind",POWER(Upgrades!$U$11,J367),1)*IF(Upgrades!$T$12="Solar Wind",POWER(Upgrades!$U$12,K367),1))*POWER(Upgrades!$P$6,E367)*POWER(Upgrades!$P$7,F367)*POWER(Upgrades!$P$8,G367)*POWER(Upgrades!$P$9,H367)*POWER(Upgrades!$P$10,I367)*POWER(Upgrades!$P$11,J367)*POWER(Upgrades!$P$12,K367)*60</f>
        <v/>
      </c>
      <c r="AB367" s="27">
        <f>(IF(F367=0,0,(Upgrades!$G$7+F367*Upgrades!$H$7)*POWER(Upgrades!$I$7,F367)))*(IF(Upgrades!$T$6="Asteroid Belt",POWER(Upgrades!$U$6,E367),1)*IF(Upgrades!$T$8="Asteroid Belt",POWER(Upgrades!$U$8,G367),1)*IF(Upgrades!$T$9="Asteroid Belt",POWER(Upgrades!$U$9,H367),1)*IF(Upgrades!$T$10="Asteroid Belt",POWER(Upgrades!$U$10,I367),1)*IF(Upgrades!$T$11="Asteroid Belt",POWER(Upgrades!$U$11,J367),1)*IF(Upgrades!$T$12="Asteroid Belt",POWER(Upgrades!$U$12,K367),1))*POWER(Upgrades!$P$6,E367)*POWER(Upgrades!$P$7,F367)*POWER(Upgrades!$P$8,G367)*POWER(Upgrades!$P$9,H367)*POWER(Upgrades!$P$10,I367)*POWER(Upgrades!$P$11,J367)*POWER(Upgrades!$P$12,K367)*60</f>
        <v/>
      </c>
      <c r="AC367" s="27">
        <f>(IF(G367=0,0,(Upgrades!$J$8+G367*Upgrades!$K$8)*POWER(Upgrades!$L$8,G367)))*(IF(Upgrades!$T$6="Stellar Coupling",POWER(Upgrades!$U$6,E367),1)*IF(Upgrades!$T$7="Stellar Coupling",POWER(Upgrades!$U$7,F367),1)*IF(Upgrades!$T$9="Stellar Coupling",POWER(Upgrades!$U$9,H367),1)*IF(Upgrades!$T$10="Stellar Coupling",POWER(Upgrades!$U$10,I367),1)*IF(Upgrades!$T$11="Stellar Coupling",POWER(Upgrades!$U$11,J367),1)*IF(Upgrades!$T$12="Stellar Coupling",POWER(Upgrades!$U$12,K367),1))*POWER(Upgrades!$Q$6,E367)*POWER(Upgrades!$Q$7,F367)*POWER(Upgrades!$Q$8,G367)*POWER(Upgrades!$Q$9,H367)*POWER(Upgrades!$Q$10,I367)*POWER(Upgrades!$Q$11,J367)*POWER(Upgrades!$Q$12,K367)*Parameters!$B$10*Parameters!$B$11</f>
        <v/>
      </c>
      <c r="AD367" s="27">
        <f>(IF(H367=0,0,(Upgrades!$G$9+H367*Upgrades!$H$9)*POWER(Upgrades!$I$9,H367)))*(IF(Upgrades!$T$6="Magnetosphere",POWER(Upgrades!$U$6,E367),1)*IF(Upgrades!$T$7="Magnetosphere",POWER(Upgrades!$U$7,F367),1)*IF(Upgrades!$T$8="Magnetosphere",POWER(Upgrades!$U$8,G367),1)*IF(Upgrades!$T$10="Magnetosphere",POWER(Upgrades!$U$10,I367),1)*IF(Upgrades!$T$11="Magnetosphere",POWER(Upgrades!$U$11,J367),1)*IF(Upgrades!$T$12="Magnetosphere",POWER(Upgrades!$U$12,K367),1))*POWER(Upgrades!$P$6,E367)*POWER(Upgrades!$P$7,F367)*POWER(Upgrades!$P$8,G367)*POWER(Upgrades!$P$9,H367)*POWER(Upgrades!$P$10,I367)*POWER(Upgrades!$P$11,J367)*POWER(Upgrades!$P$12,K367)*60</f>
        <v/>
      </c>
      <c r="AE367" s="27">
        <f>(IF(K367=0,0,(Upgrades!$G$12+K367*Upgrades!$H$12)*POWER(Upgrades!$I$12,K367)))*(IF(Upgrades!$T$6="First Photons",POWER(Upgrades!$U$6,E367),1)*IF(Upgrades!$T$7="First Photons",POWER(Upgrades!$U$7,F367),1)*IF(Upgrades!$T$8="First Photons",POWER(Upgrades!$U$8,G367),1)*IF(Upgrades!$T$9="First Photons",POWER(Upgrades!$U$9,H367),1)*IF(Upgrades!$T$10="First Photons",POWER(Upgrades!$U$10,I367),1)*IF(Upgrades!$T$11="First Photons",POWER(Upgrades!$U$11,J367),1))*POWER(Upgrades!$P$6,E367)*POWER(Upgrades!$P$7,F367)*POWER(Upgrades!$P$8,G367)*POWER(Upgrades!$P$9,H367)*POWER(Upgrades!$P$10,I367)*POWER(Upgrades!$P$11,J367)*POWER(Upgrades!$P$12,K367)*60</f>
        <v/>
      </c>
      <c r="AF367" s="27">
        <f>Parameters!$B$9*POWER(Upgrades!$Q$6,E367)*POWER(Upgrades!$Q$7,F367)*POWER(Upgrades!$Q$8,G367)*POWER(Upgrades!$Q$9,H367)*POWER(Upgrades!$Q$10,I367)*POWER(Upgrades!$Q$11,J367)*POWER(Upgrades!$Q$12,K367)*(Parameters!$B$10*Parameters!$B$11+O367*60)</f>
        <v/>
      </c>
      <c r="AG367" s="22">
        <f>IF(E367&gt;=Upgrades!$E$6,"",Upgrades!$C$6*POWER(Upgrades!$D$6,E367))</f>
        <v/>
      </c>
      <c r="AH367" s="22">
        <f>IF(F367&gt;=Upgrades!$E$7,"",Upgrades!$C$7*POWER(Upgrades!$D$7,F367))</f>
        <v/>
      </c>
      <c r="AI367" s="22">
        <f>IF(G367&gt;=Upgrades!$E$8,"",Upgrades!$C$8*POWER(Upgrades!$D$8,G367))</f>
        <v/>
      </c>
      <c r="AJ367" s="22">
        <f>IF(H367&gt;=Upgrades!$E$9,"",Upgrades!$C$9*POWER(Upgrades!$D$9,H367))</f>
        <v/>
      </c>
      <c r="AK367" s="22">
        <f>IF(I367&gt;=Upgrades!$E$10,"",Upgrades!$C$10*POWER(Upgrades!$D$10,I367))</f>
        <v/>
      </c>
      <c r="AL367" s="22">
        <f>IF(J367&gt;=Upgrades!$E$11,"",Upgrades!$C$11*POWER(Upgrades!$D$11,J367))</f>
        <v/>
      </c>
      <c r="AM367" s="22">
        <f>IF(K367&gt;=Upgrades!$E$12,"",Upgrades!$C$12*POWER(Upgrades!$D$12,K367))</f>
        <v/>
      </c>
      <c r="AN367" s="26">
        <f>IF(AND(D367&gt;=Parameters!$B$18,(H367&gt;=Upgrades!$E$9)*(K367&gt;=Upgrades!$E$12)=1,L367=0),1,"")</f>
        <v/>
      </c>
      <c r="AO367" s="26">
        <f>IF(AND(D367&gt;=Parameters!$B$18,L367=0),1,"")</f>
        <v/>
      </c>
      <c r="AP367" s="22">
        <f>MIN(IF(ISNUMBER(AK367),AK367,9E15),IF(ISNUMBER(AL367),AL367,9E15),IF(ISNUMBER(AM367),AM367,9E15))</f>
        <v/>
      </c>
      <c r="AQ367" s="22">
        <f>MIN(IF(ISNUMBER(AG367),AG367,9E15),IF(ISNUMBER(AH367),AH367,9E15),IF(ISNUMBER(AI367),AI367,9E15),IF(ISNUMBER(AJ367),AJ367,9E15))</f>
        <v/>
      </c>
      <c r="AR367" s="29">
        <f>IF(AW367&gt;Parameters!$B$21*(MAX(IF(AND(NOT(AND(AO367=1,AN367&lt;&gt;1)),ISNUMBER(AG367),AG367&lt;=T367),AS367,0),IF(AND(NOT(AND(AO367=1,AN367&lt;&gt;1)),ISNUMBER(AH367),AH367&lt;=T367),AT367,0),IF(AND(NOT(AND(AO367=1,AN367&lt;&gt;1)),ISNUMBER(AI367),AI367&lt;=T367),AU367,0),IF(AND(ISNUMBER(AJ367),AJ367&lt;=T367),AV367,0))),TRUE,FALSE)</f>
        <v/>
      </c>
      <c r="AS367" s="32">
        <f>IFERROR(Upgrades!$H$6*(POWER(Upgrades!$P$6,E367)*POWER(Upgrades!$P$7,F367)*POWER(Upgrades!$P$8,G367)*POWER(Upgrades!$P$9,H367)*POWER(Upgrades!$P$10,I367)*POWER(Upgrades!$P$11,J367)*POWER(Upgrades!$P$12,K367))*(IF(Upgrades!$T$7="Solar Wind",POWER(Upgrades!$U$7,F367),1)*IF(Upgrades!$T$8="Solar Wind",POWER(Upgrades!$U$8,G367),1)*IF(Upgrades!$T$9="Solar Wind",POWER(Upgrades!$U$9,H367),1)*IF(Upgrades!$T$10="Solar Wind",POWER(Upgrades!$U$10,I367),1)*IF(Upgrades!$T$11="Solar Wind",POWER(Upgrades!$U$11,J367),1)*IF(Upgrades!$T$12="Solar Wind",POWER(Upgrades!$U$12,K367),1))/AG367,0)</f>
        <v/>
      </c>
      <c r="AT367" s="32">
        <f>IFERROR(Upgrades!$H$7*(POWER(Upgrades!$P$6,E367)*POWER(Upgrades!$P$7,F367)*POWER(Upgrades!$P$8,G367)*POWER(Upgrades!$P$9,H367)*POWER(Upgrades!$P$10,I367)*POWER(Upgrades!$P$11,J367)*POWER(Upgrades!$P$12,K367))*(IF(Upgrades!$T$6="Asteroid Belt",POWER(Upgrades!$U$6,E367),1)*IF(Upgrades!$T$8="Asteroid Belt",POWER(Upgrades!$U$8,G367),1)*IF(Upgrades!$T$9="Asteroid Belt",POWER(Upgrades!$U$9,H367),1)*IF(Upgrades!$T$10="Asteroid Belt",POWER(Upgrades!$U$10,I367),1)*IF(Upgrades!$T$11="Asteroid Belt",POWER(Upgrades!$U$11,J367),1)*IF(Upgrades!$T$12="Asteroid Belt",POWER(Upgrades!$U$12,K367),1))/AH367,0)</f>
        <v/>
      </c>
      <c r="AU367" s="32">
        <f>IFERROR(Upgrades!$K$8*(POWER(Upgrades!$Q$6,E367)*POWER(Upgrades!$Q$7,F367)*POWER(Upgrades!$Q$8,G367)*POWER(Upgrades!$Q$9,H367)*POWER(Upgrades!$Q$10,I367)*POWER(Upgrades!$Q$11,J367)*POWER(Upgrades!$Q$12,K367))*(IF(Upgrades!$T$6="Stellar Coupling",POWER(Upgrades!$U$6,E367),1)*IF(Upgrades!$T$7="Stellar Coupling",POWER(Upgrades!$U$7,F367),1)*IF(Upgrades!$T$9="Stellar Coupling",POWER(Upgrades!$U$9,H367),1)*IF(Upgrades!$T$10="Stellar Coupling",POWER(Upgrades!$U$10,I367),1)*IF(Upgrades!$T$11="Stellar Coupling",POWER(Upgrades!$U$11,J367),1)*IF(Upgrades!$T$12="Stellar Coupling",POWER(Upgrades!$U$12,K367),1))*Parameters!$B$10*Parameters!$B$11/60/AI367,0)</f>
        <v/>
      </c>
      <c r="AV367" s="32">
        <f>IFERROR(Upgrades!$H$9*(POWER(Upgrades!$P$6,E367)*POWER(Upgrades!$P$7,F367)*POWER(Upgrades!$P$8,G367)*POWER(Upgrades!$P$9,H367)*POWER(Upgrades!$P$10,I367)*POWER(Upgrades!$P$11,J367)*POWER(Upgrades!$P$12,K367))*(IF(Upgrades!$T$6="Magnetosphere",POWER(Upgrades!$U$6,E367),1)*IF(Upgrades!$T$7="Magnetosphere",POWER(Upgrades!$U$7,F367),1)*IF(Upgrades!$T$8="Magnetosphere",POWER(Upgrades!$U$8,G367),1)*IF(Upgrades!$T$10="Magnetosphere",POWER(Upgrades!$U$10,I367),1)*IF(Upgrades!$T$11="Magnetosphere",POWER(Upgrades!$U$11,J367),1)*IF(Upgrades!$T$12="Magnetosphere",POWER(Upgrades!$U$12,K367),1))/AJ367,0)</f>
        <v/>
      </c>
      <c r="AW367" s="32">
        <f>MAX(IF(I367&gt;0,0,IFERROR(0.25*N367/Upgrades!$C$10,0)),IF(J367&gt;0,0,IFERROR(0.5*((IF(G367=0,0,(Upgrades!$J$8+G367*Upgrades!$K$8)*POWER(Upgrades!$L$8,G367)))*(IF(Upgrades!$T$6="Stellar Coupling",POWER(Upgrades!$U$6,E367),1)*IF(Upgrades!$T$7="Stellar Coupling",POWER(Upgrades!$U$7,F367),1)*IF(Upgrades!$T$9="Stellar Coupling",POWER(Upgrades!$U$9,H367),1)*IF(Upgrades!$T$10="Stellar Coupling",POWER(Upgrades!$U$10,I367),1)*IF(Upgrades!$T$11="Stellar Coupling",POWER(Upgrades!$U$11,J367),1)*IF(Upgrades!$T$12="Stellar Coupling",POWER(Upgrades!$U$12,K367),1))*(POWER(Upgrades!$Q$6,E367)*POWER(Upgrades!$Q$7,F367)*POWER(Upgrades!$Q$8,G367)*POWER(Upgrades!$Q$9,H367)*POWER(Upgrades!$Q$10,I367)*POWER(Upgrades!$Q$11,J367)*POWER(Upgrades!$Q$12,K367))*Parameters!$B$10*Parameters!$B$11/60)/Upgrades!$C$11,0)),IF(K367&gt;0,0,IFERROR((1.0*(POWER(Upgrades!$P$6,E367)*POWER(Upgrades!$P$7,F367)*POWER(Upgrades!$P$8,G367)*POWER(Upgrades!$P$9,H367)*POWER(Upgrades!$P$10,I367)*POWER(Upgrades!$P$11,J367)*POWER(Upgrades!$P$12,K367))+0.20*M367*Parameters!$B$10*Parameters!$B$11/60)/Upgrades!$C$12,0)),IF(AND(ISNUMBER(AG367),AG367&gt;T367),AS367,0),IF(AND(ISNUMBER(AH367),AH367&gt;T367),AT367,0),IF(AND(ISNUMBER(AI367),AI367&gt;T367),AU367,0),IF(AND(ISNUMBER(AJ367),AJ367&gt;T367),AV367,0))</f>
        <v/>
      </c>
      <c r="AX367" s="29">
        <f>IF(AN367=1,"transition",IF(MIN(IF(AND(I367=0,ISNUMBER(AK367),AK367&lt;=T367),AK367,9E15),IF(AND(J367=0,ISNUMBER(AL367),AL367&lt;=T367),AL367,9E15),IF(AND(K367=0,ISNUMBER(AM367),AM367&lt;=T367),AM367,9E15))&lt;9E15,IF(AND(AND(I367=0,ISNUMBER(AK367),AK367&lt;=T367),AK367=MIN(IF(AND(I367=0,ISNUMBER(AK367),AK367&lt;=T367),AK367,9E15),IF(AND(J367=0,ISNUMBER(AL367),AL367&lt;=T367),AL367,9E15),IF(AND(K367=0,ISNUMBER(AM367),AM367&lt;=T367),AM367,9E15))),"OR",IF(AND(AND(J367=0,ISNUMBER(AL367),AL367&lt;=T367),AL367=MIN(IF(AND(I367=0,ISNUMBER(AK367),AK367&lt;=T367),AK367,9E15),IF(AND(J367=0,ISNUMBER(AL367),AL367&lt;=T367),AL367,9E15),IF(AND(K367=0,ISNUMBER(AM367),AM367&lt;=T367),AM367,9E15))),"HP","FP")),IF(AR367=TRUE,"",IF(MAX(IF(AND(NOT(AND(AO367=1,AN367&lt;&gt;1)),ISNUMBER(AG367),AG367&lt;=T367),AS367,0),IF(AND(NOT(AND(AO367=1,AN367&lt;&gt;1)),ISNUMBER(AH367),AH367&lt;=T367),AT367,0),IF(AND(NOT(AND(AO367=1,AN367&lt;&gt;1)),ISNUMBER(AI367),AI367&lt;=T367),AU367,0),IF(AND(ISNUMBER(AJ367),AJ367&lt;=T367),AV367,0))&lt;=0,"",IF(AND(IF(AND(NOT(AND(AO367=1,AN367&lt;&gt;1)),ISNUMBER(AG367),AG367&lt;=T367),AS367,0)&gt;0,IF(AND(NOT(AND(AO367=1,AN367&lt;&gt;1)),ISNUMBER(AG367),AG367&lt;=T367),AS367,0)=MAX(IF(AND(NOT(AND(AO367=1,AN367&lt;&gt;1)),ISNUMBER(AG367),AG367&lt;=T367),AS367,0),IF(AND(NOT(AND(AO367=1,AN367&lt;&gt;1)),ISNUMBER(AH367),AH367&lt;=T367),AT367,0),IF(AND(NOT(AND(AO367=1,AN367&lt;&gt;1)),ISNUMBER(AI367),AI367&lt;=T367),AU367,0),IF(AND(ISNUMBER(AJ367),AJ367&lt;=T367),AV367,0))),"SW",IF(AND(IF(AND(NOT(AND(AO367=1,AN367&lt;&gt;1)),ISNUMBER(AH367),AH367&lt;=T367),AT367,0)&gt;0,IF(AND(NOT(AND(AO367=1,AN367&lt;&gt;1)),ISNUMBER(AH367),AH367&lt;=T367),AT367,0)=MAX(IF(AND(NOT(AND(AO367=1,AN367&lt;&gt;1)),ISNUMBER(AG367),AG367&lt;=T367),AS367,0),IF(AND(NOT(AND(AO367=1,AN367&lt;&gt;1)),ISNUMBER(AH367),AH367&lt;=T367),AT367,0),IF(AND(NOT(AND(AO367=1,AN367&lt;&gt;1)),ISNUMBER(AI367),AI367&lt;=T367),AU367,0),IF(AND(ISNUMBER(AJ367),AJ367&lt;=T367),AV367,0))),"AB",IF(AND(IF(AND(NOT(AND(AO367=1,AN367&lt;&gt;1)),ISNUMBER(AI367),AI367&lt;=T367),AU367,0)&gt;0,IF(AND(NOT(AND(AO367=1,AN367&lt;&gt;1)),ISNUMBER(AI367),AI367&lt;=T367),AU367,0)=MAX(IF(AND(NOT(AND(AO367=1,AN367&lt;&gt;1)),ISNUMBER(AG367),AG367&lt;=T367),AS367,0),IF(AND(NOT(AND(AO367=1,AN367&lt;&gt;1)),ISNUMBER(AH367),AH367&lt;=T367),AT367,0),IF(AND(NOT(AND(AO367=1,AN367&lt;&gt;1)),ISNUMBER(AI367),AI367&lt;=T367),AU367,0),IF(AND(ISNUMBER(AJ367),AJ367&lt;=T367),AV367,0))),"SC","Mag")))))))</f>
        <v/>
      </c>
    </row>
    <row r="368">
      <c r="A368" s="26" t="n">
        <v>363</v>
      </c>
      <c r="B368" s="27">
        <f>A368*10/60</f>
        <v/>
      </c>
      <c r="C368" s="22">
        <f>X367</f>
        <v/>
      </c>
      <c r="D368" s="27">
        <f>D367+W367</f>
        <v/>
      </c>
      <c r="E368" s="26">
        <f>E367+IF(U367="SW",1,0)</f>
        <v/>
      </c>
      <c r="F368" s="26">
        <f>F367+IF(U367="AB",1,0)</f>
        <v/>
      </c>
      <c r="G368" s="26">
        <f>G367+IF(U367="SC",1,0)</f>
        <v/>
      </c>
      <c r="H368" s="26">
        <f>H367+IF(U367="Mag",1,0)</f>
        <v/>
      </c>
      <c r="I368" s="26">
        <f>MAX(I367,IF(U367="OR",1,0))</f>
        <v/>
      </c>
      <c r="J368" s="26">
        <f>MAX(J367,IF(U367="HP",1,0))</f>
        <v/>
      </c>
      <c r="K368" s="26">
        <f>MAX(K367,IF(U367="FP",1,0))</f>
        <v/>
      </c>
      <c r="L368" s="26">
        <f>MAX(L367,IF(U367="transition",1,0))</f>
        <v/>
      </c>
      <c r="M368" s="28">
        <f>(Parameters!$B$9+(IF(E368=0,0,(Upgrades!$J$6+E368*Upgrades!$K$6)*POWER(Upgrades!$L$6,E368)))*(IF(Upgrades!$T$7="Solar Wind",POWER(Upgrades!$U$7,F368),1)*IF(Upgrades!$T$8="Solar Wind",POWER(Upgrades!$U$8,G368),1)*IF(Upgrades!$T$9="Solar Wind",POWER(Upgrades!$U$9,H368),1)*IF(Upgrades!$T$10="Solar Wind",POWER(Upgrades!$U$10,I368),1)*IF(Upgrades!$T$11="Solar Wind",POWER(Upgrades!$U$11,J368),1)*IF(Upgrades!$T$12="Solar Wind",POWER(Upgrades!$U$12,K368),1))+(IF(F368=0,0,(Upgrades!$J$7+F368*Upgrades!$K$7)*POWER(Upgrades!$L$7,F368)))*(IF(Upgrades!$T$6="Asteroid Belt",POWER(Upgrades!$U$6,E368),1)*IF(Upgrades!$T$8="Asteroid Belt",POWER(Upgrades!$U$8,G368),1)*IF(Upgrades!$T$9="Asteroid Belt",POWER(Upgrades!$U$9,H368),1)*IF(Upgrades!$T$10="Asteroid Belt",POWER(Upgrades!$U$10,I368),1)*IF(Upgrades!$T$11="Asteroid Belt",POWER(Upgrades!$U$11,J368),1)*IF(Upgrades!$T$12="Asteroid Belt",POWER(Upgrades!$U$12,K368),1))+(IF(G368=0,0,(Upgrades!$J$8+G368*Upgrades!$K$8)*POWER(Upgrades!$L$8,G368)))*(IF(Upgrades!$T$6="Stellar Coupling",POWER(Upgrades!$U$6,E368),1)*IF(Upgrades!$T$7="Stellar Coupling",POWER(Upgrades!$U$7,F368),1)*IF(Upgrades!$T$9="Stellar Coupling",POWER(Upgrades!$U$9,H368),1)*IF(Upgrades!$T$10="Stellar Coupling",POWER(Upgrades!$U$10,I368),1)*IF(Upgrades!$T$11="Stellar Coupling",POWER(Upgrades!$U$11,J368),1)*IF(Upgrades!$T$12="Stellar Coupling",POWER(Upgrades!$U$12,K368),1))+(IF(H368=0,0,(Upgrades!$J$9+H368*Upgrades!$K$9)*POWER(Upgrades!$L$9,H368)))*(IF(Upgrades!$T$6="Magnetosphere",POWER(Upgrades!$U$6,E368),1)*IF(Upgrades!$T$7="Magnetosphere",POWER(Upgrades!$U$7,F368),1)*IF(Upgrades!$T$8="Magnetosphere",POWER(Upgrades!$U$8,G368),1)*IF(Upgrades!$T$10="Magnetosphere",POWER(Upgrades!$U$10,I368),1)*IF(Upgrades!$T$11="Magnetosphere",POWER(Upgrades!$U$11,J368),1)*IF(Upgrades!$T$12="Magnetosphere",POWER(Upgrades!$U$12,K368),1))+(IF(I368=0,0,(Upgrades!$J$10+I368*Upgrades!$K$10)*POWER(Upgrades!$L$10,I368)))*(IF(Upgrades!$T$6="Orbital Resonance",POWER(Upgrades!$U$6,E368),1)*IF(Upgrades!$T$7="Orbital Resonance",POWER(Upgrades!$U$7,F368),1)*IF(Upgrades!$T$8="Orbital Resonance",POWER(Upgrades!$U$8,G368),1)*IF(Upgrades!$T$9="Orbital Resonance",POWER(Upgrades!$U$9,H368),1)*IF(Upgrades!$T$11="Orbital Resonance",POWER(Upgrades!$U$11,J368),1)*IF(Upgrades!$T$12="Orbital Resonance",POWER(Upgrades!$U$12,K368),1))+(IF(J368=0,0,(Upgrades!$J$11+J368*Upgrades!$K$11)*POWER(Upgrades!$L$11,J368)))*(IF(Upgrades!$T$6="Heliopause",POWER(Upgrades!$U$6,E368),1)*IF(Upgrades!$T$7="Heliopause",POWER(Upgrades!$U$7,F368),1)*IF(Upgrades!$T$8="Heliopause",POWER(Upgrades!$U$8,G368),1)*IF(Upgrades!$T$9="Heliopause",POWER(Upgrades!$U$9,H368),1)*IF(Upgrades!$T$10="Heliopause",POWER(Upgrades!$U$10,I368),1)*IF(Upgrades!$T$12="Heliopause",POWER(Upgrades!$U$12,K368),1))+(IF(K368=0,0,(Upgrades!$J$12+K368*Upgrades!$K$12)*POWER(Upgrades!$L$12,K368)))*(IF(Upgrades!$T$6="First Photons",POWER(Upgrades!$U$6,E368),1)*IF(Upgrades!$T$7="First Photons",POWER(Upgrades!$U$7,F368),1)*IF(Upgrades!$T$8="First Photons",POWER(Upgrades!$U$8,G368),1)*IF(Upgrades!$T$9="First Photons",POWER(Upgrades!$U$9,H368),1)*IF(Upgrades!$T$10="First Photons",POWER(Upgrades!$U$10,I368),1)*IF(Upgrades!$T$11="First Photons",POWER(Upgrades!$U$11,J368),1)))*POWER(Upgrades!$Q$6,E368)*POWER(Upgrades!$Q$7,F368)*POWER(Upgrades!$Q$8,G368)*POWER(Upgrades!$Q$9,H368)*POWER(Upgrades!$Q$10,I368)*POWER(Upgrades!$Q$11,J368)*POWER(Upgrades!$Q$12,K368)</f>
        <v/>
      </c>
      <c r="N368" s="28">
        <f>((IF(E368=0,0,(Upgrades!$G$6+E368*Upgrades!$H$6)*POWER(Upgrades!$I$6,E368)))*(IF(Upgrades!$T$7="Solar Wind",POWER(Upgrades!$U$7,F368),1)*IF(Upgrades!$T$8="Solar Wind",POWER(Upgrades!$U$8,G368),1)*IF(Upgrades!$T$9="Solar Wind",POWER(Upgrades!$U$9,H368),1)*IF(Upgrades!$T$10="Solar Wind",POWER(Upgrades!$U$10,I368),1)*IF(Upgrades!$T$11="Solar Wind",POWER(Upgrades!$U$11,J368),1)*IF(Upgrades!$T$12="Solar Wind",POWER(Upgrades!$U$12,K368),1))+(IF(F368=0,0,(Upgrades!$G$7+F368*Upgrades!$H$7)*POWER(Upgrades!$I$7,F368)))*(IF(Upgrades!$T$6="Asteroid Belt",POWER(Upgrades!$U$6,E368),1)*IF(Upgrades!$T$8="Asteroid Belt",POWER(Upgrades!$U$8,G368),1)*IF(Upgrades!$T$9="Asteroid Belt",POWER(Upgrades!$U$9,H368),1)*IF(Upgrades!$T$10="Asteroid Belt",POWER(Upgrades!$U$10,I368),1)*IF(Upgrades!$T$11="Asteroid Belt",POWER(Upgrades!$U$11,J368),1)*IF(Upgrades!$T$12="Asteroid Belt",POWER(Upgrades!$U$12,K368),1))+(IF(G368=0,0,(Upgrades!$G$8+G368*Upgrades!$H$8)*POWER(Upgrades!$I$8,G368)))*(IF(Upgrades!$T$6="Stellar Coupling",POWER(Upgrades!$U$6,E368),1)*IF(Upgrades!$T$7="Stellar Coupling",POWER(Upgrades!$U$7,F368),1)*IF(Upgrades!$T$9="Stellar Coupling",POWER(Upgrades!$U$9,H368),1)*IF(Upgrades!$T$10="Stellar Coupling",POWER(Upgrades!$U$10,I368),1)*IF(Upgrades!$T$11="Stellar Coupling",POWER(Upgrades!$U$11,J368),1)*IF(Upgrades!$T$12="Stellar Coupling",POWER(Upgrades!$U$12,K368),1))+(IF(H368=0,0,(Upgrades!$G$9+H368*Upgrades!$H$9)*POWER(Upgrades!$I$9,H368)))*(IF(Upgrades!$T$6="Magnetosphere",POWER(Upgrades!$U$6,E368),1)*IF(Upgrades!$T$7="Magnetosphere",POWER(Upgrades!$U$7,F368),1)*IF(Upgrades!$T$8="Magnetosphere",POWER(Upgrades!$U$8,G368),1)*IF(Upgrades!$T$10="Magnetosphere",POWER(Upgrades!$U$10,I368),1)*IF(Upgrades!$T$11="Magnetosphere",POWER(Upgrades!$U$11,J368),1)*IF(Upgrades!$T$12="Magnetosphere",POWER(Upgrades!$U$12,K368),1))+(IF(I368=0,0,(Upgrades!$G$10+I368*Upgrades!$H$10)*POWER(Upgrades!$I$10,I368)))*(IF(Upgrades!$T$6="Orbital Resonance",POWER(Upgrades!$U$6,E368),1)*IF(Upgrades!$T$7="Orbital Resonance",POWER(Upgrades!$U$7,F368),1)*IF(Upgrades!$T$8="Orbital Resonance",POWER(Upgrades!$U$8,G368),1)*IF(Upgrades!$T$9="Orbital Resonance",POWER(Upgrades!$U$9,H368),1)*IF(Upgrades!$T$11="Orbital Resonance",POWER(Upgrades!$U$11,J368),1)*IF(Upgrades!$T$12="Orbital Resonance",POWER(Upgrades!$U$12,K368),1))+(IF(J368=0,0,(Upgrades!$G$11+J368*Upgrades!$H$11)*POWER(Upgrades!$I$11,J368)))*(IF(Upgrades!$T$6="Heliopause",POWER(Upgrades!$U$6,E368),1)*IF(Upgrades!$T$7="Heliopause",POWER(Upgrades!$U$7,F368),1)*IF(Upgrades!$T$8="Heliopause",POWER(Upgrades!$U$8,G368),1)*IF(Upgrades!$T$9="Heliopause",POWER(Upgrades!$U$9,H368),1)*IF(Upgrades!$T$10="Heliopause",POWER(Upgrades!$U$10,I368),1)*IF(Upgrades!$T$12="Heliopause",POWER(Upgrades!$U$12,K368),1))+(IF(K368=0,0,(Upgrades!$G$12+K368*Upgrades!$H$12)*POWER(Upgrades!$I$12,K368)))*(IF(Upgrades!$T$6="First Photons",POWER(Upgrades!$U$6,E368),1)*IF(Upgrades!$T$7="First Photons",POWER(Upgrades!$U$7,F368),1)*IF(Upgrades!$T$8="First Photons",POWER(Upgrades!$U$8,G368),1)*IF(Upgrades!$T$9="First Photons",POWER(Upgrades!$U$9,H368),1)*IF(Upgrades!$T$10="First Photons",POWER(Upgrades!$U$10,I368),1)*IF(Upgrades!$T$11="First Photons",POWER(Upgrades!$U$11,J368),1)))*POWER(Upgrades!$P$6,E368)*POWER(Upgrades!$P$7,F368)*POWER(Upgrades!$P$8,G368)*POWER(Upgrades!$P$9,H368)*POWER(Upgrades!$P$10,I368)*POWER(Upgrades!$P$11,J368)*POWER(Upgrades!$P$12,K368)</f>
        <v/>
      </c>
      <c r="O368" s="28">
        <f>((IF(E368=0,0,(Upgrades!$M$6+E368*Upgrades!$N$6)*POWER(Upgrades!$O$6,E368)))*(IF(Upgrades!$T$7="Solar Wind",POWER(Upgrades!$U$7,F368),1)*IF(Upgrades!$T$8="Solar Wind",POWER(Upgrades!$U$8,G368),1)*IF(Upgrades!$T$9="Solar Wind",POWER(Upgrades!$U$9,H368),1)*IF(Upgrades!$T$10="Solar Wind",POWER(Upgrades!$U$10,I368),1)*IF(Upgrades!$T$11="Solar Wind",POWER(Upgrades!$U$11,J368),1)*IF(Upgrades!$T$12="Solar Wind",POWER(Upgrades!$U$12,K368),1))+(IF(F368=0,0,(Upgrades!$M$7+F368*Upgrades!$N$7)*POWER(Upgrades!$O$7,F368)))*(IF(Upgrades!$T$6="Asteroid Belt",POWER(Upgrades!$U$6,E368),1)*IF(Upgrades!$T$8="Asteroid Belt",POWER(Upgrades!$U$8,G368),1)*IF(Upgrades!$T$9="Asteroid Belt",POWER(Upgrades!$U$9,H368),1)*IF(Upgrades!$T$10="Asteroid Belt",POWER(Upgrades!$U$10,I368),1)*IF(Upgrades!$T$11="Asteroid Belt",POWER(Upgrades!$U$11,J368),1)*IF(Upgrades!$T$12="Asteroid Belt",POWER(Upgrades!$U$12,K368),1))+(IF(G368=0,0,(Upgrades!$M$8+G368*Upgrades!$N$8)*POWER(Upgrades!$O$8,G368)))*(IF(Upgrades!$T$6="Stellar Coupling",POWER(Upgrades!$U$6,E368),1)*IF(Upgrades!$T$7="Stellar Coupling",POWER(Upgrades!$U$7,F368),1)*IF(Upgrades!$T$9="Stellar Coupling",POWER(Upgrades!$U$9,H368),1)*IF(Upgrades!$T$10="Stellar Coupling",POWER(Upgrades!$U$10,I368),1)*IF(Upgrades!$T$11="Stellar Coupling",POWER(Upgrades!$U$11,J368),1)*IF(Upgrades!$T$12="Stellar Coupling",POWER(Upgrades!$U$12,K368),1))+(IF(H368=0,0,(Upgrades!$M$9+H368*Upgrades!$N$9)*POWER(Upgrades!$O$9,H368)))*(IF(Upgrades!$T$6="Magnetosphere",POWER(Upgrades!$U$6,E368),1)*IF(Upgrades!$T$7="Magnetosphere",POWER(Upgrades!$U$7,F368),1)*IF(Upgrades!$T$8="Magnetosphere",POWER(Upgrades!$U$8,G368),1)*IF(Upgrades!$T$10="Magnetosphere",POWER(Upgrades!$U$10,I368),1)*IF(Upgrades!$T$11="Magnetosphere",POWER(Upgrades!$U$11,J368),1)*IF(Upgrades!$T$12="Magnetosphere",POWER(Upgrades!$U$12,K368),1))+(IF(I368=0,0,(Upgrades!$M$10+I368*Upgrades!$N$10)*POWER(Upgrades!$O$10,I368)))*(IF(Upgrades!$T$6="Orbital Resonance",POWER(Upgrades!$U$6,E368),1)*IF(Upgrades!$T$7="Orbital Resonance",POWER(Upgrades!$U$7,F368),1)*IF(Upgrades!$T$8="Orbital Resonance",POWER(Upgrades!$U$8,G368),1)*IF(Upgrades!$T$9="Orbital Resonance",POWER(Upgrades!$U$9,H368),1)*IF(Upgrades!$T$11="Orbital Resonance",POWER(Upgrades!$U$11,J368),1)*IF(Upgrades!$T$12="Orbital Resonance",POWER(Upgrades!$U$12,K368),1))+(IF(J368=0,0,(Upgrades!$M$11+J368*Upgrades!$N$11)*POWER(Upgrades!$O$11,J368)))*(IF(Upgrades!$T$6="Heliopause",POWER(Upgrades!$U$6,E368),1)*IF(Upgrades!$T$7="Heliopause",POWER(Upgrades!$U$7,F368),1)*IF(Upgrades!$T$8="Heliopause",POWER(Upgrades!$U$8,G368),1)*IF(Upgrades!$T$9="Heliopause",POWER(Upgrades!$U$9,H368),1)*IF(Upgrades!$T$10="Heliopause",POWER(Upgrades!$U$10,I368),1)*IF(Upgrades!$T$12="Heliopause",POWER(Upgrades!$U$12,K368),1))+(IF(K368=0,0,(Upgrades!$M$12+K368*Upgrades!$N$12)*POWER(Upgrades!$O$12,K368)))*(IF(Upgrades!$T$6="First Photons",POWER(Upgrades!$U$6,E368),1)*IF(Upgrades!$T$7="First Photons",POWER(Upgrades!$U$7,F368),1)*IF(Upgrades!$T$8="First Photons",POWER(Upgrades!$U$8,G368),1)*IF(Upgrades!$T$9="First Photons",POWER(Upgrades!$U$9,H368),1)*IF(Upgrades!$T$10="First Photons",POWER(Upgrades!$U$10,I368),1)*IF(Upgrades!$T$11="First Photons",POWER(Upgrades!$U$11,J368),1)))*POWER(Upgrades!$R$6,E368)*POWER(Upgrades!$R$7,F368)*POWER(Upgrades!$R$8,G368)*POWER(Upgrades!$R$9,H368)*POWER(Upgrades!$R$10,I368)*POWER(Upgrades!$R$11,J368)*POWER(Upgrades!$R$12,K368)</f>
        <v/>
      </c>
      <c r="P368" s="27">
        <f>IF(L368=1,0,M368*Parameters!$B$10/60*Parameters!$B$11*10)</f>
        <v/>
      </c>
      <c r="Q368" s="27">
        <f>IF(L368=1,0,O368*M368*10)</f>
        <v/>
      </c>
      <c r="R368" s="27">
        <f>IF(L368=1,0,N368*10)</f>
        <v/>
      </c>
      <c r="S368" s="27">
        <f>P368+Q368+R368</f>
        <v/>
      </c>
      <c r="T368" s="22">
        <f>C368+S368</f>
        <v/>
      </c>
      <c r="U368" s="33">
        <f>AX368</f>
        <v/>
      </c>
      <c r="V368" s="22">
        <f>IF(U368="",0,IF(U368="transition",0,IF(U368="SW",AG368,IF(U368="AB",AH368,IF(U368="SC",AI368,IF(U368="Mag",AJ368,IF(U368="OR",AK368,IF(U368="HP",AL368,IF(U368="FP",AM368,0)))))))))</f>
        <v/>
      </c>
      <c r="W368" s="27">
        <f>IF(U368="OR",Upgrades!$F$10,IF(U368="HP",Upgrades!$F$11,IF(U368="transition",-Parameters!$B$18,0)))</f>
        <v/>
      </c>
      <c r="X368" s="22">
        <f>T368-V368</f>
        <v/>
      </c>
      <c r="Y368" s="30">
        <f>M368*Parameters!$B$10/60*Parameters!$B$11+O368*M368+N368</f>
        <v/>
      </c>
      <c r="Z368" s="34">
        <f>IF(U368="transition","→ Tier 2 (Stellar Neighborhood)",IF(U368="FP","First Photons — light begins, system quickens",IF(U368="HP","Heliopause acquired",IF(U368="OR","Orbital Resonance — passive multiplier active",IF(AND(AO368=1,L368=0,AN368&lt;&gt;1),"Cohesion ready (waiting on completionist upgrades)","")))))</f>
        <v/>
      </c>
      <c r="AA368" s="27">
        <f>(IF(E368=0,0,(Upgrades!$G$6+E368*Upgrades!$H$6)*POWER(Upgrades!$I$6,E368)))*(IF(Upgrades!$T$7="Solar Wind",POWER(Upgrades!$U$7,F368),1)*IF(Upgrades!$T$8="Solar Wind",POWER(Upgrades!$U$8,G368),1)*IF(Upgrades!$T$9="Solar Wind",POWER(Upgrades!$U$9,H368),1)*IF(Upgrades!$T$10="Solar Wind",POWER(Upgrades!$U$10,I368),1)*IF(Upgrades!$T$11="Solar Wind",POWER(Upgrades!$U$11,J368),1)*IF(Upgrades!$T$12="Solar Wind",POWER(Upgrades!$U$12,K368),1))*POWER(Upgrades!$P$6,E368)*POWER(Upgrades!$P$7,F368)*POWER(Upgrades!$P$8,G368)*POWER(Upgrades!$P$9,H368)*POWER(Upgrades!$P$10,I368)*POWER(Upgrades!$P$11,J368)*POWER(Upgrades!$P$12,K368)*60</f>
        <v/>
      </c>
      <c r="AB368" s="27">
        <f>(IF(F368=0,0,(Upgrades!$G$7+F368*Upgrades!$H$7)*POWER(Upgrades!$I$7,F368)))*(IF(Upgrades!$T$6="Asteroid Belt",POWER(Upgrades!$U$6,E368),1)*IF(Upgrades!$T$8="Asteroid Belt",POWER(Upgrades!$U$8,G368),1)*IF(Upgrades!$T$9="Asteroid Belt",POWER(Upgrades!$U$9,H368),1)*IF(Upgrades!$T$10="Asteroid Belt",POWER(Upgrades!$U$10,I368),1)*IF(Upgrades!$T$11="Asteroid Belt",POWER(Upgrades!$U$11,J368),1)*IF(Upgrades!$T$12="Asteroid Belt",POWER(Upgrades!$U$12,K368),1))*POWER(Upgrades!$P$6,E368)*POWER(Upgrades!$P$7,F368)*POWER(Upgrades!$P$8,G368)*POWER(Upgrades!$P$9,H368)*POWER(Upgrades!$P$10,I368)*POWER(Upgrades!$P$11,J368)*POWER(Upgrades!$P$12,K368)*60</f>
        <v/>
      </c>
      <c r="AC368" s="27">
        <f>(IF(G368=0,0,(Upgrades!$J$8+G368*Upgrades!$K$8)*POWER(Upgrades!$L$8,G368)))*(IF(Upgrades!$T$6="Stellar Coupling",POWER(Upgrades!$U$6,E368),1)*IF(Upgrades!$T$7="Stellar Coupling",POWER(Upgrades!$U$7,F368),1)*IF(Upgrades!$T$9="Stellar Coupling",POWER(Upgrades!$U$9,H368),1)*IF(Upgrades!$T$10="Stellar Coupling",POWER(Upgrades!$U$10,I368),1)*IF(Upgrades!$T$11="Stellar Coupling",POWER(Upgrades!$U$11,J368),1)*IF(Upgrades!$T$12="Stellar Coupling",POWER(Upgrades!$U$12,K368),1))*POWER(Upgrades!$Q$6,E368)*POWER(Upgrades!$Q$7,F368)*POWER(Upgrades!$Q$8,G368)*POWER(Upgrades!$Q$9,H368)*POWER(Upgrades!$Q$10,I368)*POWER(Upgrades!$Q$11,J368)*POWER(Upgrades!$Q$12,K368)*Parameters!$B$10*Parameters!$B$11</f>
        <v/>
      </c>
      <c r="AD368" s="27">
        <f>(IF(H368=0,0,(Upgrades!$G$9+H368*Upgrades!$H$9)*POWER(Upgrades!$I$9,H368)))*(IF(Upgrades!$T$6="Magnetosphere",POWER(Upgrades!$U$6,E368),1)*IF(Upgrades!$T$7="Magnetosphere",POWER(Upgrades!$U$7,F368),1)*IF(Upgrades!$T$8="Magnetosphere",POWER(Upgrades!$U$8,G368),1)*IF(Upgrades!$T$10="Magnetosphere",POWER(Upgrades!$U$10,I368),1)*IF(Upgrades!$T$11="Magnetosphere",POWER(Upgrades!$U$11,J368),1)*IF(Upgrades!$T$12="Magnetosphere",POWER(Upgrades!$U$12,K368),1))*POWER(Upgrades!$P$6,E368)*POWER(Upgrades!$P$7,F368)*POWER(Upgrades!$P$8,G368)*POWER(Upgrades!$P$9,H368)*POWER(Upgrades!$P$10,I368)*POWER(Upgrades!$P$11,J368)*POWER(Upgrades!$P$12,K368)*60</f>
        <v/>
      </c>
      <c r="AE368" s="27">
        <f>(IF(K368=0,0,(Upgrades!$G$12+K368*Upgrades!$H$12)*POWER(Upgrades!$I$12,K368)))*(IF(Upgrades!$T$6="First Photons",POWER(Upgrades!$U$6,E368),1)*IF(Upgrades!$T$7="First Photons",POWER(Upgrades!$U$7,F368),1)*IF(Upgrades!$T$8="First Photons",POWER(Upgrades!$U$8,G368),1)*IF(Upgrades!$T$9="First Photons",POWER(Upgrades!$U$9,H368),1)*IF(Upgrades!$T$10="First Photons",POWER(Upgrades!$U$10,I368),1)*IF(Upgrades!$T$11="First Photons",POWER(Upgrades!$U$11,J368),1))*POWER(Upgrades!$P$6,E368)*POWER(Upgrades!$P$7,F368)*POWER(Upgrades!$P$8,G368)*POWER(Upgrades!$P$9,H368)*POWER(Upgrades!$P$10,I368)*POWER(Upgrades!$P$11,J368)*POWER(Upgrades!$P$12,K368)*60</f>
        <v/>
      </c>
      <c r="AF368" s="27">
        <f>Parameters!$B$9*POWER(Upgrades!$Q$6,E368)*POWER(Upgrades!$Q$7,F368)*POWER(Upgrades!$Q$8,G368)*POWER(Upgrades!$Q$9,H368)*POWER(Upgrades!$Q$10,I368)*POWER(Upgrades!$Q$11,J368)*POWER(Upgrades!$Q$12,K368)*(Parameters!$B$10*Parameters!$B$11+O368*60)</f>
        <v/>
      </c>
      <c r="AG368" s="22">
        <f>IF(E368&gt;=Upgrades!$E$6,"",Upgrades!$C$6*POWER(Upgrades!$D$6,E368))</f>
        <v/>
      </c>
      <c r="AH368" s="22">
        <f>IF(F368&gt;=Upgrades!$E$7,"",Upgrades!$C$7*POWER(Upgrades!$D$7,F368))</f>
        <v/>
      </c>
      <c r="AI368" s="22">
        <f>IF(G368&gt;=Upgrades!$E$8,"",Upgrades!$C$8*POWER(Upgrades!$D$8,G368))</f>
        <v/>
      </c>
      <c r="AJ368" s="22">
        <f>IF(H368&gt;=Upgrades!$E$9,"",Upgrades!$C$9*POWER(Upgrades!$D$9,H368))</f>
        <v/>
      </c>
      <c r="AK368" s="22">
        <f>IF(I368&gt;=Upgrades!$E$10,"",Upgrades!$C$10*POWER(Upgrades!$D$10,I368))</f>
        <v/>
      </c>
      <c r="AL368" s="22">
        <f>IF(J368&gt;=Upgrades!$E$11,"",Upgrades!$C$11*POWER(Upgrades!$D$11,J368))</f>
        <v/>
      </c>
      <c r="AM368" s="22">
        <f>IF(K368&gt;=Upgrades!$E$12,"",Upgrades!$C$12*POWER(Upgrades!$D$12,K368))</f>
        <v/>
      </c>
      <c r="AN368" s="26">
        <f>IF(AND(D368&gt;=Parameters!$B$18,(H368&gt;=Upgrades!$E$9)*(K368&gt;=Upgrades!$E$12)=1,L368=0),1,"")</f>
        <v/>
      </c>
      <c r="AO368" s="26">
        <f>IF(AND(D368&gt;=Parameters!$B$18,L368=0),1,"")</f>
        <v/>
      </c>
      <c r="AP368" s="22">
        <f>MIN(IF(ISNUMBER(AK368),AK368,9E15),IF(ISNUMBER(AL368),AL368,9E15),IF(ISNUMBER(AM368),AM368,9E15))</f>
        <v/>
      </c>
      <c r="AQ368" s="22">
        <f>MIN(IF(ISNUMBER(AG368),AG368,9E15),IF(ISNUMBER(AH368),AH368,9E15),IF(ISNUMBER(AI368),AI368,9E15),IF(ISNUMBER(AJ368),AJ368,9E15))</f>
        <v/>
      </c>
      <c r="AR368" s="29">
        <f>IF(AW368&gt;Parameters!$B$21*(MAX(IF(AND(NOT(AND(AO368=1,AN368&lt;&gt;1)),ISNUMBER(AG368),AG368&lt;=T368),AS368,0),IF(AND(NOT(AND(AO368=1,AN368&lt;&gt;1)),ISNUMBER(AH368),AH368&lt;=T368),AT368,0),IF(AND(NOT(AND(AO368=1,AN368&lt;&gt;1)),ISNUMBER(AI368),AI368&lt;=T368),AU368,0),IF(AND(ISNUMBER(AJ368),AJ368&lt;=T368),AV368,0))),TRUE,FALSE)</f>
        <v/>
      </c>
      <c r="AS368" s="32">
        <f>IFERROR(Upgrades!$H$6*(POWER(Upgrades!$P$6,E368)*POWER(Upgrades!$P$7,F368)*POWER(Upgrades!$P$8,G368)*POWER(Upgrades!$P$9,H368)*POWER(Upgrades!$P$10,I368)*POWER(Upgrades!$P$11,J368)*POWER(Upgrades!$P$12,K368))*(IF(Upgrades!$T$7="Solar Wind",POWER(Upgrades!$U$7,F368),1)*IF(Upgrades!$T$8="Solar Wind",POWER(Upgrades!$U$8,G368),1)*IF(Upgrades!$T$9="Solar Wind",POWER(Upgrades!$U$9,H368),1)*IF(Upgrades!$T$10="Solar Wind",POWER(Upgrades!$U$10,I368),1)*IF(Upgrades!$T$11="Solar Wind",POWER(Upgrades!$U$11,J368),1)*IF(Upgrades!$T$12="Solar Wind",POWER(Upgrades!$U$12,K368),1))/AG368,0)</f>
        <v/>
      </c>
      <c r="AT368" s="32">
        <f>IFERROR(Upgrades!$H$7*(POWER(Upgrades!$P$6,E368)*POWER(Upgrades!$P$7,F368)*POWER(Upgrades!$P$8,G368)*POWER(Upgrades!$P$9,H368)*POWER(Upgrades!$P$10,I368)*POWER(Upgrades!$P$11,J368)*POWER(Upgrades!$P$12,K368))*(IF(Upgrades!$T$6="Asteroid Belt",POWER(Upgrades!$U$6,E368),1)*IF(Upgrades!$T$8="Asteroid Belt",POWER(Upgrades!$U$8,G368),1)*IF(Upgrades!$T$9="Asteroid Belt",POWER(Upgrades!$U$9,H368),1)*IF(Upgrades!$T$10="Asteroid Belt",POWER(Upgrades!$U$10,I368),1)*IF(Upgrades!$T$11="Asteroid Belt",POWER(Upgrades!$U$11,J368),1)*IF(Upgrades!$T$12="Asteroid Belt",POWER(Upgrades!$U$12,K368),1))/AH368,0)</f>
        <v/>
      </c>
      <c r="AU368" s="32">
        <f>IFERROR(Upgrades!$K$8*(POWER(Upgrades!$Q$6,E368)*POWER(Upgrades!$Q$7,F368)*POWER(Upgrades!$Q$8,G368)*POWER(Upgrades!$Q$9,H368)*POWER(Upgrades!$Q$10,I368)*POWER(Upgrades!$Q$11,J368)*POWER(Upgrades!$Q$12,K368))*(IF(Upgrades!$T$6="Stellar Coupling",POWER(Upgrades!$U$6,E368),1)*IF(Upgrades!$T$7="Stellar Coupling",POWER(Upgrades!$U$7,F368),1)*IF(Upgrades!$T$9="Stellar Coupling",POWER(Upgrades!$U$9,H368),1)*IF(Upgrades!$T$10="Stellar Coupling",POWER(Upgrades!$U$10,I368),1)*IF(Upgrades!$T$11="Stellar Coupling",POWER(Upgrades!$U$11,J368),1)*IF(Upgrades!$T$12="Stellar Coupling",POWER(Upgrades!$U$12,K368),1))*Parameters!$B$10*Parameters!$B$11/60/AI368,0)</f>
        <v/>
      </c>
      <c r="AV368" s="32">
        <f>IFERROR(Upgrades!$H$9*(POWER(Upgrades!$P$6,E368)*POWER(Upgrades!$P$7,F368)*POWER(Upgrades!$P$8,G368)*POWER(Upgrades!$P$9,H368)*POWER(Upgrades!$P$10,I368)*POWER(Upgrades!$P$11,J368)*POWER(Upgrades!$P$12,K368))*(IF(Upgrades!$T$6="Magnetosphere",POWER(Upgrades!$U$6,E368),1)*IF(Upgrades!$T$7="Magnetosphere",POWER(Upgrades!$U$7,F368),1)*IF(Upgrades!$T$8="Magnetosphere",POWER(Upgrades!$U$8,G368),1)*IF(Upgrades!$T$10="Magnetosphere",POWER(Upgrades!$U$10,I368),1)*IF(Upgrades!$T$11="Magnetosphere",POWER(Upgrades!$U$11,J368),1)*IF(Upgrades!$T$12="Magnetosphere",POWER(Upgrades!$U$12,K368),1))/AJ368,0)</f>
        <v/>
      </c>
      <c r="AW368" s="32">
        <f>MAX(IF(I368&gt;0,0,IFERROR(0.25*N368/Upgrades!$C$10,0)),IF(J368&gt;0,0,IFERROR(0.5*((IF(G368=0,0,(Upgrades!$J$8+G368*Upgrades!$K$8)*POWER(Upgrades!$L$8,G368)))*(IF(Upgrades!$T$6="Stellar Coupling",POWER(Upgrades!$U$6,E368),1)*IF(Upgrades!$T$7="Stellar Coupling",POWER(Upgrades!$U$7,F368),1)*IF(Upgrades!$T$9="Stellar Coupling",POWER(Upgrades!$U$9,H368),1)*IF(Upgrades!$T$10="Stellar Coupling",POWER(Upgrades!$U$10,I368),1)*IF(Upgrades!$T$11="Stellar Coupling",POWER(Upgrades!$U$11,J368),1)*IF(Upgrades!$T$12="Stellar Coupling",POWER(Upgrades!$U$12,K368),1))*(POWER(Upgrades!$Q$6,E368)*POWER(Upgrades!$Q$7,F368)*POWER(Upgrades!$Q$8,G368)*POWER(Upgrades!$Q$9,H368)*POWER(Upgrades!$Q$10,I368)*POWER(Upgrades!$Q$11,J368)*POWER(Upgrades!$Q$12,K368))*Parameters!$B$10*Parameters!$B$11/60)/Upgrades!$C$11,0)),IF(K368&gt;0,0,IFERROR((1.0*(POWER(Upgrades!$P$6,E368)*POWER(Upgrades!$P$7,F368)*POWER(Upgrades!$P$8,G368)*POWER(Upgrades!$P$9,H368)*POWER(Upgrades!$P$10,I368)*POWER(Upgrades!$P$11,J368)*POWER(Upgrades!$P$12,K368))+0.20*M368*Parameters!$B$10*Parameters!$B$11/60)/Upgrades!$C$12,0)),IF(AND(ISNUMBER(AG368),AG368&gt;T368),AS368,0),IF(AND(ISNUMBER(AH368),AH368&gt;T368),AT368,0),IF(AND(ISNUMBER(AI368),AI368&gt;T368),AU368,0),IF(AND(ISNUMBER(AJ368),AJ368&gt;T368),AV368,0))</f>
        <v/>
      </c>
      <c r="AX368" s="29">
        <f>IF(AN368=1,"transition",IF(MIN(IF(AND(I368=0,ISNUMBER(AK368),AK368&lt;=T368),AK368,9E15),IF(AND(J368=0,ISNUMBER(AL368),AL368&lt;=T368),AL368,9E15),IF(AND(K368=0,ISNUMBER(AM368),AM368&lt;=T368),AM368,9E15))&lt;9E15,IF(AND(AND(I368=0,ISNUMBER(AK368),AK368&lt;=T368),AK368=MIN(IF(AND(I368=0,ISNUMBER(AK368),AK368&lt;=T368),AK368,9E15),IF(AND(J368=0,ISNUMBER(AL368),AL368&lt;=T368),AL368,9E15),IF(AND(K368=0,ISNUMBER(AM368),AM368&lt;=T368),AM368,9E15))),"OR",IF(AND(AND(J368=0,ISNUMBER(AL368),AL368&lt;=T368),AL368=MIN(IF(AND(I368=0,ISNUMBER(AK368),AK368&lt;=T368),AK368,9E15),IF(AND(J368=0,ISNUMBER(AL368),AL368&lt;=T368),AL368,9E15),IF(AND(K368=0,ISNUMBER(AM368),AM368&lt;=T368),AM368,9E15))),"HP","FP")),IF(AR368=TRUE,"",IF(MAX(IF(AND(NOT(AND(AO368=1,AN368&lt;&gt;1)),ISNUMBER(AG368),AG368&lt;=T368),AS368,0),IF(AND(NOT(AND(AO368=1,AN368&lt;&gt;1)),ISNUMBER(AH368),AH368&lt;=T368),AT368,0),IF(AND(NOT(AND(AO368=1,AN368&lt;&gt;1)),ISNUMBER(AI368),AI368&lt;=T368),AU368,0),IF(AND(ISNUMBER(AJ368),AJ368&lt;=T368),AV368,0))&lt;=0,"",IF(AND(IF(AND(NOT(AND(AO368=1,AN368&lt;&gt;1)),ISNUMBER(AG368),AG368&lt;=T368),AS368,0)&gt;0,IF(AND(NOT(AND(AO368=1,AN368&lt;&gt;1)),ISNUMBER(AG368),AG368&lt;=T368),AS368,0)=MAX(IF(AND(NOT(AND(AO368=1,AN368&lt;&gt;1)),ISNUMBER(AG368),AG368&lt;=T368),AS368,0),IF(AND(NOT(AND(AO368=1,AN368&lt;&gt;1)),ISNUMBER(AH368),AH368&lt;=T368),AT368,0),IF(AND(NOT(AND(AO368=1,AN368&lt;&gt;1)),ISNUMBER(AI368),AI368&lt;=T368),AU368,0),IF(AND(ISNUMBER(AJ368),AJ368&lt;=T368),AV368,0))),"SW",IF(AND(IF(AND(NOT(AND(AO368=1,AN368&lt;&gt;1)),ISNUMBER(AH368),AH368&lt;=T368),AT368,0)&gt;0,IF(AND(NOT(AND(AO368=1,AN368&lt;&gt;1)),ISNUMBER(AH368),AH368&lt;=T368),AT368,0)=MAX(IF(AND(NOT(AND(AO368=1,AN368&lt;&gt;1)),ISNUMBER(AG368),AG368&lt;=T368),AS368,0),IF(AND(NOT(AND(AO368=1,AN368&lt;&gt;1)),ISNUMBER(AH368),AH368&lt;=T368),AT368,0),IF(AND(NOT(AND(AO368=1,AN368&lt;&gt;1)),ISNUMBER(AI368),AI368&lt;=T368),AU368,0),IF(AND(ISNUMBER(AJ368),AJ368&lt;=T368),AV368,0))),"AB",IF(AND(IF(AND(NOT(AND(AO368=1,AN368&lt;&gt;1)),ISNUMBER(AI368),AI368&lt;=T368),AU368,0)&gt;0,IF(AND(NOT(AND(AO368=1,AN368&lt;&gt;1)),ISNUMBER(AI368),AI368&lt;=T368),AU368,0)=MAX(IF(AND(NOT(AND(AO368=1,AN368&lt;&gt;1)),ISNUMBER(AG368),AG368&lt;=T368),AS368,0),IF(AND(NOT(AND(AO368=1,AN368&lt;&gt;1)),ISNUMBER(AH368),AH368&lt;=T368),AT368,0),IF(AND(NOT(AND(AO368=1,AN368&lt;&gt;1)),ISNUMBER(AI368),AI368&lt;=T368),AU368,0),IF(AND(ISNUMBER(AJ368),AJ368&lt;=T368),AV368,0))),"SC","Mag")))))))</f>
        <v/>
      </c>
    </row>
    <row r="369">
      <c r="A369" s="26" t="n">
        <v>364</v>
      </c>
      <c r="B369" s="27">
        <f>A369*10/60</f>
        <v/>
      </c>
      <c r="C369" s="22">
        <f>X368</f>
        <v/>
      </c>
      <c r="D369" s="27">
        <f>D368+W368</f>
        <v/>
      </c>
      <c r="E369" s="26">
        <f>E368+IF(U368="SW",1,0)</f>
        <v/>
      </c>
      <c r="F369" s="26">
        <f>F368+IF(U368="AB",1,0)</f>
        <v/>
      </c>
      <c r="G369" s="26">
        <f>G368+IF(U368="SC",1,0)</f>
        <v/>
      </c>
      <c r="H369" s="26">
        <f>H368+IF(U368="Mag",1,0)</f>
        <v/>
      </c>
      <c r="I369" s="26">
        <f>MAX(I368,IF(U368="OR",1,0))</f>
        <v/>
      </c>
      <c r="J369" s="26">
        <f>MAX(J368,IF(U368="HP",1,0))</f>
        <v/>
      </c>
      <c r="K369" s="26">
        <f>MAX(K368,IF(U368="FP",1,0))</f>
        <v/>
      </c>
      <c r="L369" s="26">
        <f>MAX(L368,IF(U368="transition",1,0))</f>
        <v/>
      </c>
      <c r="M369" s="28">
        <f>(Parameters!$B$9+(IF(E369=0,0,(Upgrades!$J$6+E369*Upgrades!$K$6)*POWER(Upgrades!$L$6,E369)))*(IF(Upgrades!$T$7="Solar Wind",POWER(Upgrades!$U$7,F369),1)*IF(Upgrades!$T$8="Solar Wind",POWER(Upgrades!$U$8,G369),1)*IF(Upgrades!$T$9="Solar Wind",POWER(Upgrades!$U$9,H369),1)*IF(Upgrades!$T$10="Solar Wind",POWER(Upgrades!$U$10,I369),1)*IF(Upgrades!$T$11="Solar Wind",POWER(Upgrades!$U$11,J369),1)*IF(Upgrades!$T$12="Solar Wind",POWER(Upgrades!$U$12,K369),1))+(IF(F369=0,0,(Upgrades!$J$7+F369*Upgrades!$K$7)*POWER(Upgrades!$L$7,F369)))*(IF(Upgrades!$T$6="Asteroid Belt",POWER(Upgrades!$U$6,E369),1)*IF(Upgrades!$T$8="Asteroid Belt",POWER(Upgrades!$U$8,G369),1)*IF(Upgrades!$T$9="Asteroid Belt",POWER(Upgrades!$U$9,H369),1)*IF(Upgrades!$T$10="Asteroid Belt",POWER(Upgrades!$U$10,I369),1)*IF(Upgrades!$T$11="Asteroid Belt",POWER(Upgrades!$U$11,J369),1)*IF(Upgrades!$T$12="Asteroid Belt",POWER(Upgrades!$U$12,K369),1))+(IF(G369=0,0,(Upgrades!$J$8+G369*Upgrades!$K$8)*POWER(Upgrades!$L$8,G369)))*(IF(Upgrades!$T$6="Stellar Coupling",POWER(Upgrades!$U$6,E369),1)*IF(Upgrades!$T$7="Stellar Coupling",POWER(Upgrades!$U$7,F369),1)*IF(Upgrades!$T$9="Stellar Coupling",POWER(Upgrades!$U$9,H369),1)*IF(Upgrades!$T$10="Stellar Coupling",POWER(Upgrades!$U$10,I369),1)*IF(Upgrades!$T$11="Stellar Coupling",POWER(Upgrades!$U$11,J369),1)*IF(Upgrades!$T$12="Stellar Coupling",POWER(Upgrades!$U$12,K369),1))+(IF(H369=0,0,(Upgrades!$J$9+H369*Upgrades!$K$9)*POWER(Upgrades!$L$9,H369)))*(IF(Upgrades!$T$6="Magnetosphere",POWER(Upgrades!$U$6,E369),1)*IF(Upgrades!$T$7="Magnetosphere",POWER(Upgrades!$U$7,F369),1)*IF(Upgrades!$T$8="Magnetosphere",POWER(Upgrades!$U$8,G369),1)*IF(Upgrades!$T$10="Magnetosphere",POWER(Upgrades!$U$10,I369),1)*IF(Upgrades!$T$11="Magnetosphere",POWER(Upgrades!$U$11,J369),1)*IF(Upgrades!$T$12="Magnetosphere",POWER(Upgrades!$U$12,K369),1))+(IF(I369=0,0,(Upgrades!$J$10+I369*Upgrades!$K$10)*POWER(Upgrades!$L$10,I369)))*(IF(Upgrades!$T$6="Orbital Resonance",POWER(Upgrades!$U$6,E369),1)*IF(Upgrades!$T$7="Orbital Resonance",POWER(Upgrades!$U$7,F369),1)*IF(Upgrades!$T$8="Orbital Resonance",POWER(Upgrades!$U$8,G369),1)*IF(Upgrades!$T$9="Orbital Resonance",POWER(Upgrades!$U$9,H369),1)*IF(Upgrades!$T$11="Orbital Resonance",POWER(Upgrades!$U$11,J369),1)*IF(Upgrades!$T$12="Orbital Resonance",POWER(Upgrades!$U$12,K369),1))+(IF(J369=0,0,(Upgrades!$J$11+J369*Upgrades!$K$11)*POWER(Upgrades!$L$11,J369)))*(IF(Upgrades!$T$6="Heliopause",POWER(Upgrades!$U$6,E369),1)*IF(Upgrades!$T$7="Heliopause",POWER(Upgrades!$U$7,F369),1)*IF(Upgrades!$T$8="Heliopause",POWER(Upgrades!$U$8,G369),1)*IF(Upgrades!$T$9="Heliopause",POWER(Upgrades!$U$9,H369),1)*IF(Upgrades!$T$10="Heliopause",POWER(Upgrades!$U$10,I369),1)*IF(Upgrades!$T$12="Heliopause",POWER(Upgrades!$U$12,K369),1))+(IF(K369=0,0,(Upgrades!$J$12+K369*Upgrades!$K$12)*POWER(Upgrades!$L$12,K369)))*(IF(Upgrades!$T$6="First Photons",POWER(Upgrades!$U$6,E369),1)*IF(Upgrades!$T$7="First Photons",POWER(Upgrades!$U$7,F369),1)*IF(Upgrades!$T$8="First Photons",POWER(Upgrades!$U$8,G369),1)*IF(Upgrades!$T$9="First Photons",POWER(Upgrades!$U$9,H369),1)*IF(Upgrades!$T$10="First Photons",POWER(Upgrades!$U$10,I369),1)*IF(Upgrades!$T$11="First Photons",POWER(Upgrades!$U$11,J369),1)))*POWER(Upgrades!$Q$6,E369)*POWER(Upgrades!$Q$7,F369)*POWER(Upgrades!$Q$8,G369)*POWER(Upgrades!$Q$9,H369)*POWER(Upgrades!$Q$10,I369)*POWER(Upgrades!$Q$11,J369)*POWER(Upgrades!$Q$12,K369)</f>
        <v/>
      </c>
      <c r="N369" s="28">
        <f>((IF(E369=0,0,(Upgrades!$G$6+E369*Upgrades!$H$6)*POWER(Upgrades!$I$6,E369)))*(IF(Upgrades!$T$7="Solar Wind",POWER(Upgrades!$U$7,F369),1)*IF(Upgrades!$T$8="Solar Wind",POWER(Upgrades!$U$8,G369),1)*IF(Upgrades!$T$9="Solar Wind",POWER(Upgrades!$U$9,H369),1)*IF(Upgrades!$T$10="Solar Wind",POWER(Upgrades!$U$10,I369),1)*IF(Upgrades!$T$11="Solar Wind",POWER(Upgrades!$U$11,J369),1)*IF(Upgrades!$T$12="Solar Wind",POWER(Upgrades!$U$12,K369),1))+(IF(F369=0,0,(Upgrades!$G$7+F369*Upgrades!$H$7)*POWER(Upgrades!$I$7,F369)))*(IF(Upgrades!$T$6="Asteroid Belt",POWER(Upgrades!$U$6,E369),1)*IF(Upgrades!$T$8="Asteroid Belt",POWER(Upgrades!$U$8,G369),1)*IF(Upgrades!$T$9="Asteroid Belt",POWER(Upgrades!$U$9,H369),1)*IF(Upgrades!$T$10="Asteroid Belt",POWER(Upgrades!$U$10,I369),1)*IF(Upgrades!$T$11="Asteroid Belt",POWER(Upgrades!$U$11,J369),1)*IF(Upgrades!$T$12="Asteroid Belt",POWER(Upgrades!$U$12,K369),1))+(IF(G369=0,0,(Upgrades!$G$8+G369*Upgrades!$H$8)*POWER(Upgrades!$I$8,G369)))*(IF(Upgrades!$T$6="Stellar Coupling",POWER(Upgrades!$U$6,E369),1)*IF(Upgrades!$T$7="Stellar Coupling",POWER(Upgrades!$U$7,F369),1)*IF(Upgrades!$T$9="Stellar Coupling",POWER(Upgrades!$U$9,H369),1)*IF(Upgrades!$T$10="Stellar Coupling",POWER(Upgrades!$U$10,I369),1)*IF(Upgrades!$T$11="Stellar Coupling",POWER(Upgrades!$U$11,J369),1)*IF(Upgrades!$T$12="Stellar Coupling",POWER(Upgrades!$U$12,K369),1))+(IF(H369=0,0,(Upgrades!$G$9+H369*Upgrades!$H$9)*POWER(Upgrades!$I$9,H369)))*(IF(Upgrades!$T$6="Magnetosphere",POWER(Upgrades!$U$6,E369),1)*IF(Upgrades!$T$7="Magnetosphere",POWER(Upgrades!$U$7,F369),1)*IF(Upgrades!$T$8="Magnetosphere",POWER(Upgrades!$U$8,G369),1)*IF(Upgrades!$T$10="Magnetosphere",POWER(Upgrades!$U$10,I369),1)*IF(Upgrades!$T$11="Magnetosphere",POWER(Upgrades!$U$11,J369),1)*IF(Upgrades!$T$12="Magnetosphere",POWER(Upgrades!$U$12,K369),1))+(IF(I369=0,0,(Upgrades!$G$10+I369*Upgrades!$H$10)*POWER(Upgrades!$I$10,I369)))*(IF(Upgrades!$T$6="Orbital Resonance",POWER(Upgrades!$U$6,E369),1)*IF(Upgrades!$T$7="Orbital Resonance",POWER(Upgrades!$U$7,F369),1)*IF(Upgrades!$T$8="Orbital Resonance",POWER(Upgrades!$U$8,G369),1)*IF(Upgrades!$T$9="Orbital Resonance",POWER(Upgrades!$U$9,H369),1)*IF(Upgrades!$T$11="Orbital Resonance",POWER(Upgrades!$U$11,J369),1)*IF(Upgrades!$T$12="Orbital Resonance",POWER(Upgrades!$U$12,K369),1))+(IF(J369=0,0,(Upgrades!$G$11+J369*Upgrades!$H$11)*POWER(Upgrades!$I$11,J369)))*(IF(Upgrades!$T$6="Heliopause",POWER(Upgrades!$U$6,E369),1)*IF(Upgrades!$T$7="Heliopause",POWER(Upgrades!$U$7,F369),1)*IF(Upgrades!$T$8="Heliopause",POWER(Upgrades!$U$8,G369),1)*IF(Upgrades!$T$9="Heliopause",POWER(Upgrades!$U$9,H369),1)*IF(Upgrades!$T$10="Heliopause",POWER(Upgrades!$U$10,I369),1)*IF(Upgrades!$T$12="Heliopause",POWER(Upgrades!$U$12,K369),1))+(IF(K369=0,0,(Upgrades!$G$12+K369*Upgrades!$H$12)*POWER(Upgrades!$I$12,K369)))*(IF(Upgrades!$T$6="First Photons",POWER(Upgrades!$U$6,E369),1)*IF(Upgrades!$T$7="First Photons",POWER(Upgrades!$U$7,F369),1)*IF(Upgrades!$T$8="First Photons",POWER(Upgrades!$U$8,G369),1)*IF(Upgrades!$T$9="First Photons",POWER(Upgrades!$U$9,H369),1)*IF(Upgrades!$T$10="First Photons",POWER(Upgrades!$U$10,I369),1)*IF(Upgrades!$T$11="First Photons",POWER(Upgrades!$U$11,J369),1)))*POWER(Upgrades!$P$6,E369)*POWER(Upgrades!$P$7,F369)*POWER(Upgrades!$P$8,G369)*POWER(Upgrades!$P$9,H369)*POWER(Upgrades!$P$10,I369)*POWER(Upgrades!$P$11,J369)*POWER(Upgrades!$P$12,K369)</f>
        <v/>
      </c>
      <c r="O369" s="28">
        <f>((IF(E369=0,0,(Upgrades!$M$6+E369*Upgrades!$N$6)*POWER(Upgrades!$O$6,E369)))*(IF(Upgrades!$T$7="Solar Wind",POWER(Upgrades!$U$7,F369),1)*IF(Upgrades!$T$8="Solar Wind",POWER(Upgrades!$U$8,G369),1)*IF(Upgrades!$T$9="Solar Wind",POWER(Upgrades!$U$9,H369),1)*IF(Upgrades!$T$10="Solar Wind",POWER(Upgrades!$U$10,I369),1)*IF(Upgrades!$T$11="Solar Wind",POWER(Upgrades!$U$11,J369),1)*IF(Upgrades!$T$12="Solar Wind",POWER(Upgrades!$U$12,K369),1))+(IF(F369=0,0,(Upgrades!$M$7+F369*Upgrades!$N$7)*POWER(Upgrades!$O$7,F369)))*(IF(Upgrades!$T$6="Asteroid Belt",POWER(Upgrades!$U$6,E369),1)*IF(Upgrades!$T$8="Asteroid Belt",POWER(Upgrades!$U$8,G369),1)*IF(Upgrades!$T$9="Asteroid Belt",POWER(Upgrades!$U$9,H369),1)*IF(Upgrades!$T$10="Asteroid Belt",POWER(Upgrades!$U$10,I369),1)*IF(Upgrades!$T$11="Asteroid Belt",POWER(Upgrades!$U$11,J369),1)*IF(Upgrades!$T$12="Asteroid Belt",POWER(Upgrades!$U$12,K369),1))+(IF(G369=0,0,(Upgrades!$M$8+G369*Upgrades!$N$8)*POWER(Upgrades!$O$8,G369)))*(IF(Upgrades!$T$6="Stellar Coupling",POWER(Upgrades!$U$6,E369),1)*IF(Upgrades!$T$7="Stellar Coupling",POWER(Upgrades!$U$7,F369),1)*IF(Upgrades!$T$9="Stellar Coupling",POWER(Upgrades!$U$9,H369),1)*IF(Upgrades!$T$10="Stellar Coupling",POWER(Upgrades!$U$10,I369),1)*IF(Upgrades!$T$11="Stellar Coupling",POWER(Upgrades!$U$11,J369),1)*IF(Upgrades!$T$12="Stellar Coupling",POWER(Upgrades!$U$12,K369),1))+(IF(H369=0,0,(Upgrades!$M$9+H369*Upgrades!$N$9)*POWER(Upgrades!$O$9,H369)))*(IF(Upgrades!$T$6="Magnetosphere",POWER(Upgrades!$U$6,E369),1)*IF(Upgrades!$T$7="Magnetosphere",POWER(Upgrades!$U$7,F369),1)*IF(Upgrades!$T$8="Magnetosphere",POWER(Upgrades!$U$8,G369),1)*IF(Upgrades!$T$10="Magnetosphere",POWER(Upgrades!$U$10,I369),1)*IF(Upgrades!$T$11="Magnetosphere",POWER(Upgrades!$U$11,J369),1)*IF(Upgrades!$T$12="Magnetosphere",POWER(Upgrades!$U$12,K369),1))+(IF(I369=0,0,(Upgrades!$M$10+I369*Upgrades!$N$10)*POWER(Upgrades!$O$10,I369)))*(IF(Upgrades!$T$6="Orbital Resonance",POWER(Upgrades!$U$6,E369),1)*IF(Upgrades!$T$7="Orbital Resonance",POWER(Upgrades!$U$7,F369),1)*IF(Upgrades!$T$8="Orbital Resonance",POWER(Upgrades!$U$8,G369),1)*IF(Upgrades!$T$9="Orbital Resonance",POWER(Upgrades!$U$9,H369),1)*IF(Upgrades!$T$11="Orbital Resonance",POWER(Upgrades!$U$11,J369),1)*IF(Upgrades!$T$12="Orbital Resonance",POWER(Upgrades!$U$12,K369),1))+(IF(J369=0,0,(Upgrades!$M$11+J369*Upgrades!$N$11)*POWER(Upgrades!$O$11,J369)))*(IF(Upgrades!$T$6="Heliopause",POWER(Upgrades!$U$6,E369),1)*IF(Upgrades!$T$7="Heliopause",POWER(Upgrades!$U$7,F369),1)*IF(Upgrades!$T$8="Heliopause",POWER(Upgrades!$U$8,G369),1)*IF(Upgrades!$T$9="Heliopause",POWER(Upgrades!$U$9,H369),1)*IF(Upgrades!$T$10="Heliopause",POWER(Upgrades!$U$10,I369),1)*IF(Upgrades!$T$12="Heliopause",POWER(Upgrades!$U$12,K369),1))+(IF(K369=0,0,(Upgrades!$M$12+K369*Upgrades!$N$12)*POWER(Upgrades!$O$12,K369)))*(IF(Upgrades!$T$6="First Photons",POWER(Upgrades!$U$6,E369),1)*IF(Upgrades!$T$7="First Photons",POWER(Upgrades!$U$7,F369),1)*IF(Upgrades!$T$8="First Photons",POWER(Upgrades!$U$8,G369),1)*IF(Upgrades!$T$9="First Photons",POWER(Upgrades!$U$9,H369),1)*IF(Upgrades!$T$10="First Photons",POWER(Upgrades!$U$10,I369),1)*IF(Upgrades!$T$11="First Photons",POWER(Upgrades!$U$11,J369),1)))*POWER(Upgrades!$R$6,E369)*POWER(Upgrades!$R$7,F369)*POWER(Upgrades!$R$8,G369)*POWER(Upgrades!$R$9,H369)*POWER(Upgrades!$R$10,I369)*POWER(Upgrades!$R$11,J369)*POWER(Upgrades!$R$12,K369)</f>
        <v/>
      </c>
      <c r="P369" s="27">
        <f>IF(L369=1,0,M369*Parameters!$B$10/60*Parameters!$B$11*10)</f>
        <v/>
      </c>
      <c r="Q369" s="27">
        <f>IF(L369=1,0,O369*M369*10)</f>
        <v/>
      </c>
      <c r="R369" s="27">
        <f>IF(L369=1,0,N369*10)</f>
        <v/>
      </c>
      <c r="S369" s="27">
        <f>P369+Q369+R369</f>
        <v/>
      </c>
      <c r="T369" s="22">
        <f>C369+S369</f>
        <v/>
      </c>
      <c r="U369" s="33">
        <f>AX369</f>
        <v/>
      </c>
      <c r="V369" s="22">
        <f>IF(U369="",0,IF(U369="transition",0,IF(U369="SW",AG369,IF(U369="AB",AH369,IF(U369="SC",AI369,IF(U369="Mag",AJ369,IF(U369="OR",AK369,IF(U369="HP",AL369,IF(U369="FP",AM369,0)))))))))</f>
        <v/>
      </c>
      <c r="W369" s="27">
        <f>IF(U369="OR",Upgrades!$F$10,IF(U369="HP",Upgrades!$F$11,IF(U369="transition",-Parameters!$B$18,0)))</f>
        <v/>
      </c>
      <c r="X369" s="22">
        <f>T369-V369</f>
        <v/>
      </c>
      <c r="Y369" s="30">
        <f>M369*Parameters!$B$10/60*Parameters!$B$11+O369*M369+N369</f>
        <v/>
      </c>
      <c r="Z369" s="34">
        <f>IF(U369="transition","→ Tier 2 (Stellar Neighborhood)",IF(U369="FP","First Photons — light begins, system quickens",IF(U369="HP","Heliopause acquired",IF(U369="OR","Orbital Resonance — passive multiplier active",IF(AND(AO369=1,L369=0,AN369&lt;&gt;1),"Cohesion ready (waiting on completionist upgrades)","")))))</f>
        <v/>
      </c>
      <c r="AA369" s="27">
        <f>(IF(E369=0,0,(Upgrades!$G$6+E369*Upgrades!$H$6)*POWER(Upgrades!$I$6,E369)))*(IF(Upgrades!$T$7="Solar Wind",POWER(Upgrades!$U$7,F369),1)*IF(Upgrades!$T$8="Solar Wind",POWER(Upgrades!$U$8,G369),1)*IF(Upgrades!$T$9="Solar Wind",POWER(Upgrades!$U$9,H369),1)*IF(Upgrades!$T$10="Solar Wind",POWER(Upgrades!$U$10,I369),1)*IF(Upgrades!$T$11="Solar Wind",POWER(Upgrades!$U$11,J369),1)*IF(Upgrades!$T$12="Solar Wind",POWER(Upgrades!$U$12,K369),1))*POWER(Upgrades!$P$6,E369)*POWER(Upgrades!$P$7,F369)*POWER(Upgrades!$P$8,G369)*POWER(Upgrades!$P$9,H369)*POWER(Upgrades!$P$10,I369)*POWER(Upgrades!$P$11,J369)*POWER(Upgrades!$P$12,K369)*60</f>
        <v/>
      </c>
      <c r="AB369" s="27">
        <f>(IF(F369=0,0,(Upgrades!$G$7+F369*Upgrades!$H$7)*POWER(Upgrades!$I$7,F369)))*(IF(Upgrades!$T$6="Asteroid Belt",POWER(Upgrades!$U$6,E369),1)*IF(Upgrades!$T$8="Asteroid Belt",POWER(Upgrades!$U$8,G369),1)*IF(Upgrades!$T$9="Asteroid Belt",POWER(Upgrades!$U$9,H369),1)*IF(Upgrades!$T$10="Asteroid Belt",POWER(Upgrades!$U$10,I369),1)*IF(Upgrades!$T$11="Asteroid Belt",POWER(Upgrades!$U$11,J369),1)*IF(Upgrades!$T$12="Asteroid Belt",POWER(Upgrades!$U$12,K369),1))*POWER(Upgrades!$P$6,E369)*POWER(Upgrades!$P$7,F369)*POWER(Upgrades!$P$8,G369)*POWER(Upgrades!$P$9,H369)*POWER(Upgrades!$P$10,I369)*POWER(Upgrades!$P$11,J369)*POWER(Upgrades!$P$12,K369)*60</f>
        <v/>
      </c>
      <c r="AC369" s="27">
        <f>(IF(G369=0,0,(Upgrades!$J$8+G369*Upgrades!$K$8)*POWER(Upgrades!$L$8,G369)))*(IF(Upgrades!$T$6="Stellar Coupling",POWER(Upgrades!$U$6,E369),1)*IF(Upgrades!$T$7="Stellar Coupling",POWER(Upgrades!$U$7,F369),1)*IF(Upgrades!$T$9="Stellar Coupling",POWER(Upgrades!$U$9,H369),1)*IF(Upgrades!$T$10="Stellar Coupling",POWER(Upgrades!$U$10,I369),1)*IF(Upgrades!$T$11="Stellar Coupling",POWER(Upgrades!$U$11,J369),1)*IF(Upgrades!$T$12="Stellar Coupling",POWER(Upgrades!$U$12,K369),1))*POWER(Upgrades!$Q$6,E369)*POWER(Upgrades!$Q$7,F369)*POWER(Upgrades!$Q$8,G369)*POWER(Upgrades!$Q$9,H369)*POWER(Upgrades!$Q$10,I369)*POWER(Upgrades!$Q$11,J369)*POWER(Upgrades!$Q$12,K369)*Parameters!$B$10*Parameters!$B$11</f>
        <v/>
      </c>
      <c r="AD369" s="27">
        <f>(IF(H369=0,0,(Upgrades!$G$9+H369*Upgrades!$H$9)*POWER(Upgrades!$I$9,H369)))*(IF(Upgrades!$T$6="Magnetosphere",POWER(Upgrades!$U$6,E369),1)*IF(Upgrades!$T$7="Magnetosphere",POWER(Upgrades!$U$7,F369),1)*IF(Upgrades!$T$8="Magnetosphere",POWER(Upgrades!$U$8,G369),1)*IF(Upgrades!$T$10="Magnetosphere",POWER(Upgrades!$U$10,I369),1)*IF(Upgrades!$T$11="Magnetosphere",POWER(Upgrades!$U$11,J369),1)*IF(Upgrades!$T$12="Magnetosphere",POWER(Upgrades!$U$12,K369),1))*POWER(Upgrades!$P$6,E369)*POWER(Upgrades!$P$7,F369)*POWER(Upgrades!$P$8,G369)*POWER(Upgrades!$P$9,H369)*POWER(Upgrades!$P$10,I369)*POWER(Upgrades!$P$11,J369)*POWER(Upgrades!$P$12,K369)*60</f>
        <v/>
      </c>
      <c r="AE369" s="27">
        <f>(IF(K369=0,0,(Upgrades!$G$12+K369*Upgrades!$H$12)*POWER(Upgrades!$I$12,K369)))*(IF(Upgrades!$T$6="First Photons",POWER(Upgrades!$U$6,E369),1)*IF(Upgrades!$T$7="First Photons",POWER(Upgrades!$U$7,F369),1)*IF(Upgrades!$T$8="First Photons",POWER(Upgrades!$U$8,G369),1)*IF(Upgrades!$T$9="First Photons",POWER(Upgrades!$U$9,H369),1)*IF(Upgrades!$T$10="First Photons",POWER(Upgrades!$U$10,I369),1)*IF(Upgrades!$T$11="First Photons",POWER(Upgrades!$U$11,J369),1))*POWER(Upgrades!$P$6,E369)*POWER(Upgrades!$P$7,F369)*POWER(Upgrades!$P$8,G369)*POWER(Upgrades!$P$9,H369)*POWER(Upgrades!$P$10,I369)*POWER(Upgrades!$P$11,J369)*POWER(Upgrades!$P$12,K369)*60</f>
        <v/>
      </c>
      <c r="AF369" s="27">
        <f>Parameters!$B$9*POWER(Upgrades!$Q$6,E369)*POWER(Upgrades!$Q$7,F369)*POWER(Upgrades!$Q$8,G369)*POWER(Upgrades!$Q$9,H369)*POWER(Upgrades!$Q$10,I369)*POWER(Upgrades!$Q$11,J369)*POWER(Upgrades!$Q$12,K369)*(Parameters!$B$10*Parameters!$B$11+O369*60)</f>
        <v/>
      </c>
      <c r="AG369" s="22">
        <f>IF(E369&gt;=Upgrades!$E$6,"",Upgrades!$C$6*POWER(Upgrades!$D$6,E369))</f>
        <v/>
      </c>
      <c r="AH369" s="22">
        <f>IF(F369&gt;=Upgrades!$E$7,"",Upgrades!$C$7*POWER(Upgrades!$D$7,F369))</f>
        <v/>
      </c>
      <c r="AI369" s="22">
        <f>IF(G369&gt;=Upgrades!$E$8,"",Upgrades!$C$8*POWER(Upgrades!$D$8,G369))</f>
        <v/>
      </c>
      <c r="AJ369" s="22">
        <f>IF(H369&gt;=Upgrades!$E$9,"",Upgrades!$C$9*POWER(Upgrades!$D$9,H369))</f>
        <v/>
      </c>
      <c r="AK369" s="22">
        <f>IF(I369&gt;=Upgrades!$E$10,"",Upgrades!$C$10*POWER(Upgrades!$D$10,I369))</f>
        <v/>
      </c>
      <c r="AL369" s="22">
        <f>IF(J369&gt;=Upgrades!$E$11,"",Upgrades!$C$11*POWER(Upgrades!$D$11,J369))</f>
        <v/>
      </c>
      <c r="AM369" s="22">
        <f>IF(K369&gt;=Upgrades!$E$12,"",Upgrades!$C$12*POWER(Upgrades!$D$12,K369))</f>
        <v/>
      </c>
      <c r="AN369" s="26">
        <f>IF(AND(D369&gt;=Parameters!$B$18,(H369&gt;=Upgrades!$E$9)*(K369&gt;=Upgrades!$E$12)=1,L369=0),1,"")</f>
        <v/>
      </c>
      <c r="AO369" s="26">
        <f>IF(AND(D369&gt;=Parameters!$B$18,L369=0),1,"")</f>
        <v/>
      </c>
      <c r="AP369" s="22">
        <f>MIN(IF(ISNUMBER(AK369),AK369,9E15),IF(ISNUMBER(AL369),AL369,9E15),IF(ISNUMBER(AM369),AM369,9E15))</f>
        <v/>
      </c>
      <c r="AQ369" s="22">
        <f>MIN(IF(ISNUMBER(AG369),AG369,9E15),IF(ISNUMBER(AH369),AH369,9E15),IF(ISNUMBER(AI369),AI369,9E15),IF(ISNUMBER(AJ369),AJ369,9E15))</f>
        <v/>
      </c>
      <c r="AR369" s="29">
        <f>IF(AW369&gt;Parameters!$B$21*(MAX(IF(AND(NOT(AND(AO369=1,AN369&lt;&gt;1)),ISNUMBER(AG369),AG369&lt;=T369),AS369,0),IF(AND(NOT(AND(AO369=1,AN369&lt;&gt;1)),ISNUMBER(AH369),AH369&lt;=T369),AT369,0),IF(AND(NOT(AND(AO369=1,AN369&lt;&gt;1)),ISNUMBER(AI369),AI369&lt;=T369),AU369,0),IF(AND(ISNUMBER(AJ369),AJ369&lt;=T369),AV369,0))),TRUE,FALSE)</f>
        <v/>
      </c>
      <c r="AS369" s="32">
        <f>IFERROR(Upgrades!$H$6*(POWER(Upgrades!$P$6,E369)*POWER(Upgrades!$P$7,F369)*POWER(Upgrades!$P$8,G369)*POWER(Upgrades!$P$9,H369)*POWER(Upgrades!$P$10,I369)*POWER(Upgrades!$P$11,J369)*POWER(Upgrades!$P$12,K369))*(IF(Upgrades!$T$7="Solar Wind",POWER(Upgrades!$U$7,F369),1)*IF(Upgrades!$T$8="Solar Wind",POWER(Upgrades!$U$8,G369),1)*IF(Upgrades!$T$9="Solar Wind",POWER(Upgrades!$U$9,H369),1)*IF(Upgrades!$T$10="Solar Wind",POWER(Upgrades!$U$10,I369),1)*IF(Upgrades!$T$11="Solar Wind",POWER(Upgrades!$U$11,J369),1)*IF(Upgrades!$T$12="Solar Wind",POWER(Upgrades!$U$12,K369),1))/AG369,0)</f>
        <v/>
      </c>
      <c r="AT369" s="32">
        <f>IFERROR(Upgrades!$H$7*(POWER(Upgrades!$P$6,E369)*POWER(Upgrades!$P$7,F369)*POWER(Upgrades!$P$8,G369)*POWER(Upgrades!$P$9,H369)*POWER(Upgrades!$P$10,I369)*POWER(Upgrades!$P$11,J369)*POWER(Upgrades!$P$12,K369))*(IF(Upgrades!$T$6="Asteroid Belt",POWER(Upgrades!$U$6,E369),1)*IF(Upgrades!$T$8="Asteroid Belt",POWER(Upgrades!$U$8,G369),1)*IF(Upgrades!$T$9="Asteroid Belt",POWER(Upgrades!$U$9,H369),1)*IF(Upgrades!$T$10="Asteroid Belt",POWER(Upgrades!$U$10,I369),1)*IF(Upgrades!$T$11="Asteroid Belt",POWER(Upgrades!$U$11,J369),1)*IF(Upgrades!$T$12="Asteroid Belt",POWER(Upgrades!$U$12,K369),1))/AH369,0)</f>
        <v/>
      </c>
      <c r="AU369" s="32">
        <f>IFERROR(Upgrades!$K$8*(POWER(Upgrades!$Q$6,E369)*POWER(Upgrades!$Q$7,F369)*POWER(Upgrades!$Q$8,G369)*POWER(Upgrades!$Q$9,H369)*POWER(Upgrades!$Q$10,I369)*POWER(Upgrades!$Q$11,J369)*POWER(Upgrades!$Q$12,K369))*(IF(Upgrades!$T$6="Stellar Coupling",POWER(Upgrades!$U$6,E369),1)*IF(Upgrades!$T$7="Stellar Coupling",POWER(Upgrades!$U$7,F369),1)*IF(Upgrades!$T$9="Stellar Coupling",POWER(Upgrades!$U$9,H369),1)*IF(Upgrades!$T$10="Stellar Coupling",POWER(Upgrades!$U$10,I369),1)*IF(Upgrades!$T$11="Stellar Coupling",POWER(Upgrades!$U$11,J369),1)*IF(Upgrades!$T$12="Stellar Coupling",POWER(Upgrades!$U$12,K369),1))*Parameters!$B$10*Parameters!$B$11/60/AI369,0)</f>
        <v/>
      </c>
      <c r="AV369" s="32">
        <f>IFERROR(Upgrades!$H$9*(POWER(Upgrades!$P$6,E369)*POWER(Upgrades!$P$7,F369)*POWER(Upgrades!$P$8,G369)*POWER(Upgrades!$P$9,H369)*POWER(Upgrades!$P$10,I369)*POWER(Upgrades!$P$11,J369)*POWER(Upgrades!$P$12,K369))*(IF(Upgrades!$T$6="Magnetosphere",POWER(Upgrades!$U$6,E369),1)*IF(Upgrades!$T$7="Magnetosphere",POWER(Upgrades!$U$7,F369),1)*IF(Upgrades!$T$8="Magnetosphere",POWER(Upgrades!$U$8,G369),1)*IF(Upgrades!$T$10="Magnetosphere",POWER(Upgrades!$U$10,I369),1)*IF(Upgrades!$T$11="Magnetosphere",POWER(Upgrades!$U$11,J369),1)*IF(Upgrades!$T$12="Magnetosphere",POWER(Upgrades!$U$12,K369),1))/AJ369,0)</f>
        <v/>
      </c>
      <c r="AW369" s="32">
        <f>MAX(IF(I369&gt;0,0,IFERROR(0.25*N369/Upgrades!$C$10,0)),IF(J369&gt;0,0,IFERROR(0.5*((IF(G369=0,0,(Upgrades!$J$8+G369*Upgrades!$K$8)*POWER(Upgrades!$L$8,G369)))*(IF(Upgrades!$T$6="Stellar Coupling",POWER(Upgrades!$U$6,E369),1)*IF(Upgrades!$T$7="Stellar Coupling",POWER(Upgrades!$U$7,F369),1)*IF(Upgrades!$T$9="Stellar Coupling",POWER(Upgrades!$U$9,H369),1)*IF(Upgrades!$T$10="Stellar Coupling",POWER(Upgrades!$U$10,I369),1)*IF(Upgrades!$T$11="Stellar Coupling",POWER(Upgrades!$U$11,J369),1)*IF(Upgrades!$T$12="Stellar Coupling",POWER(Upgrades!$U$12,K369),1))*(POWER(Upgrades!$Q$6,E369)*POWER(Upgrades!$Q$7,F369)*POWER(Upgrades!$Q$8,G369)*POWER(Upgrades!$Q$9,H369)*POWER(Upgrades!$Q$10,I369)*POWER(Upgrades!$Q$11,J369)*POWER(Upgrades!$Q$12,K369))*Parameters!$B$10*Parameters!$B$11/60)/Upgrades!$C$11,0)),IF(K369&gt;0,0,IFERROR((1.0*(POWER(Upgrades!$P$6,E369)*POWER(Upgrades!$P$7,F369)*POWER(Upgrades!$P$8,G369)*POWER(Upgrades!$P$9,H369)*POWER(Upgrades!$P$10,I369)*POWER(Upgrades!$P$11,J369)*POWER(Upgrades!$P$12,K369))+0.20*M369*Parameters!$B$10*Parameters!$B$11/60)/Upgrades!$C$12,0)),IF(AND(ISNUMBER(AG369),AG369&gt;T369),AS369,0),IF(AND(ISNUMBER(AH369),AH369&gt;T369),AT369,0),IF(AND(ISNUMBER(AI369),AI369&gt;T369),AU369,0),IF(AND(ISNUMBER(AJ369),AJ369&gt;T369),AV369,0))</f>
        <v/>
      </c>
      <c r="AX369" s="29">
        <f>IF(AN369=1,"transition",IF(MIN(IF(AND(I369=0,ISNUMBER(AK369),AK369&lt;=T369),AK369,9E15),IF(AND(J369=0,ISNUMBER(AL369),AL369&lt;=T369),AL369,9E15),IF(AND(K369=0,ISNUMBER(AM369),AM369&lt;=T369),AM369,9E15))&lt;9E15,IF(AND(AND(I369=0,ISNUMBER(AK369),AK369&lt;=T369),AK369=MIN(IF(AND(I369=0,ISNUMBER(AK369),AK369&lt;=T369),AK369,9E15),IF(AND(J369=0,ISNUMBER(AL369),AL369&lt;=T369),AL369,9E15),IF(AND(K369=0,ISNUMBER(AM369),AM369&lt;=T369),AM369,9E15))),"OR",IF(AND(AND(J369=0,ISNUMBER(AL369),AL369&lt;=T369),AL369=MIN(IF(AND(I369=0,ISNUMBER(AK369),AK369&lt;=T369),AK369,9E15),IF(AND(J369=0,ISNUMBER(AL369),AL369&lt;=T369),AL369,9E15),IF(AND(K369=0,ISNUMBER(AM369),AM369&lt;=T369),AM369,9E15))),"HP","FP")),IF(AR369=TRUE,"",IF(MAX(IF(AND(NOT(AND(AO369=1,AN369&lt;&gt;1)),ISNUMBER(AG369),AG369&lt;=T369),AS369,0),IF(AND(NOT(AND(AO369=1,AN369&lt;&gt;1)),ISNUMBER(AH369),AH369&lt;=T369),AT369,0),IF(AND(NOT(AND(AO369=1,AN369&lt;&gt;1)),ISNUMBER(AI369),AI369&lt;=T369),AU369,0),IF(AND(ISNUMBER(AJ369),AJ369&lt;=T369),AV369,0))&lt;=0,"",IF(AND(IF(AND(NOT(AND(AO369=1,AN369&lt;&gt;1)),ISNUMBER(AG369),AG369&lt;=T369),AS369,0)&gt;0,IF(AND(NOT(AND(AO369=1,AN369&lt;&gt;1)),ISNUMBER(AG369),AG369&lt;=T369),AS369,0)=MAX(IF(AND(NOT(AND(AO369=1,AN369&lt;&gt;1)),ISNUMBER(AG369),AG369&lt;=T369),AS369,0),IF(AND(NOT(AND(AO369=1,AN369&lt;&gt;1)),ISNUMBER(AH369),AH369&lt;=T369),AT369,0),IF(AND(NOT(AND(AO369=1,AN369&lt;&gt;1)),ISNUMBER(AI369),AI369&lt;=T369),AU369,0),IF(AND(ISNUMBER(AJ369),AJ369&lt;=T369),AV369,0))),"SW",IF(AND(IF(AND(NOT(AND(AO369=1,AN369&lt;&gt;1)),ISNUMBER(AH369),AH369&lt;=T369),AT369,0)&gt;0,IF(AND(NOT(AND(AO369=1,AN369&lt;&gt;1)),ISNUMBER(AH369),AH369&lt;=T369),AT369,0)=MAX(IF(AND(NOT(AND(AO369=1,AN369&lt;&gt;1)),ISNUMBER(AG369),AG369&lt;=T369),AS369,0),IF(AND(NOT(AND(AO369=1,AN369&lt;&gt;1)),ISNUMBER(AH369),AH369&lt;=T369),AT369,0),IF(AND(NOT(AND(AO369=1,AN369&lt;&gt;1)),ISNUMBER(AI369),AI369&lt;=T369),AU369,0),IF(AND(ISNUMBER(AJ369),AJ369&lt;=T369),AV369,0))),"AB",IF(AND(IF(AND(NOT(AND(AO369=1,AN369&lt;&gt;1)),ISNUMBER(AI369),AI369&lt;=T369),AU369,0)&gt;0,IF(AND(NOT(AND(AO369=1,AN369&lt;&gt;1)),ISNUMBER(AI369),AI369&lt;=T369),AU369,0)=MAX(IF(AND(NOT(AND(AO369=1,AN369&lt;&gt;1)),ISNUMBER(AG369),AG369&lt;=T369),AS369,0),IF(AND(NOT(AND(AO369=1,AN369&lt;&gt;1)),ISNUMBER(AH369),AH369&lt;=T369),AT369,0),IF(AND(NOT(AND(AO369=1,AN369&lt;&gt;1)),ISNUMBER(AI369),AI369&lt;=T369),AU369,0),IF(AND(ISNUMBER(AJ369),AJ369&lt;=T369),AV369,0))),"SC","Mag")))))))</f>
        <v/>
      </c>
    </row>
    <row r="370">
      <c r="A370" s="26" t="n">
        <v>365</v>
      </c>
      <c r="B370" s="27">
        <f>A370*10/60</f>
        <v/>
      </c>
      <c r="C370" s="22">
        <f>X369</f>
        <v/>
      </c>
      <c r="D370" s="27">
        <f>D369+W369</f>
        <v/>
      </c>
      <c r="E370" s="26">
        <f>E369+IF(U369="SW",1,0)</f>
        <v/>
      </c>
      <c r="F370" s="26">
        <f>F369+IF(U369="AB",1,0)</f>
        <v/>
      </c>
      <c r="G370" s="26">
        <f>G369+IF(U369="SC",1,0)</f>
        <v/>
      </c>
      <c r="H370" s="26">
        <f>H369+IF(U369="Mag",1,0)</f>
        <v/>
      </c>
      <c r="I370" s="26">
        <f>MAX(I369,IF(U369="OR",1,0))</f>
        <v/>
      </c>
      <c r="J370" s="26">
        <f>MAX(J369,IF(U369="HP",1,0))</f>
        <v/>
      </c>
      <c r="K370" s="26">
        <f>MAX(K369,IF(U369="FP",1,0))</f>
        <v/>
      </c>
      <c r="L370" s="26">
        <f>MAX(L369,IF(U369="transition",1,0))</f>
        <v/>
      </c>
      <c r="M370" s="28">
        <f>(Parameters!$B$9+(IF(E370=0,0,(Upgrades!$J$6+E370*Upgrades!$K$6)*POWER(Upgrades!$L$6,E370)))*(IF(Upgrades!$T$7="Solar Wind",POWER(Upgrades!$U$7,F370),1)*IF(Upgrades!$T$8="Solar Wind",POWER(Upgrades!$U$8,G370),1)*IF(Upgrades!$T$9="Solar Wind",POWER(Upgrades!$U$9,H370),1)*IF(Upgrades!$T$10="Solar Wind",POWER(Upgrades!$U$10,I370),1)*IF(Upgrades!$T$11="Solar Wind",POWER(Upgrades!$U$11,J370),1)*IF(Upgrades!$T$12="Solar Wind",POWER(Upgrades!$U$12,K370),1))+(IF(F370=0,0,(Upgrades!$J$7+F370*Upgrades!$K$7)*POWER(Upgrades!$L$7,F370)))*(IF(Upgrades!$T$6="Asteroid Belt",POWER(Upgrades!$U$6,E370),1)*IF(Upgrades!$T$8="Asteroid Belt",POWER(Upgrades!$U$8,G370),1)*IF(Upgrades!$T$9="Asteroid Belt",POWER(Upgrades!$U$9,H370),1)*IF(Upgrades!$T$10="Asteroid Belt",POWER(Upgrades!$U$10,I370),1)*IF(Upgrades!$T$11="Asteroid Belt",POWER(Upgrades!$U$11,J370),1)*IF(Upgrades!$T$12="Asteroid Belt",POWER(Upgrades!$U$12,K370),1))+(IF(G370=0,0,(Upgrades!$J$8+G370*Upgrades!$K$8)*POWER(Upgrades!$L$8,G370)))*(IF(Upgrades!$T$6="Stellar Coupling",POWER(Upgrades!$U$6,E370),1)*IF(Upgrades!$T$7="Stellar Coupling",POWER(Upgrades!$U$7,F370),1)*IF(Upgrades!$T$9="Stellar Coupling",POWER(Upgrades!$U$9,H370),1)*IF(Upgrades!$T$10="Stellar Coupling",POWER(Upgrades!$U$10,I370),1)*IF(Upgrades!$T$11="Stellar Coupling",POWER(Upgrades!$U$11,J370),1)*IF(Upgrades!$T$12="Stellar Coupling",POWER(Upgrades!$U$12,K370),1))+(IF(H370=0,0,(Upgrades!$J$9+H370*Upgrades!$K$9)*POWER(Upgrades!$L$9,H370)))*(IF(Upgrades!$T$6="Magnetosphere",POWER(Upgrades!$U$6,E370),1)*IF(Upgrades!$T$7="Magnetosphere",POWER(Upgrades!$U$7,F370),1)*IF(Upgrades!$T$8="Magnetosphere",POWER(Upgrades!$U$8,G370),1)*IF(Upgrades!$T$10="Magnetosphere",POWER(Upgrades!$U$10,I370),1)*IF(Upgrades!$T$11="Magnetosphere",POWER(Upgrades!$U$11,J370),1)*IF(Upgrades!$T$12="Magnetosphere",POWER(Upgrades!$U$12,K370),1))+(IF(I370=0,0,(Upgrades!$J$10+I370*Upgrades!$K$10)*POWER(Upgrades!$L$10,I370)))*(IF(Upgrades!$T$6="Orbital Resonance",POWER(Upgrades!$U$6,E370),1)*IF(Upgrades!$T$7="Orbital Resonance",POWER(Upgrades!$U$7,F370),1)*IF(Upgrades!$T$8="Orbital Resonance",POWER(Upgrades!$U$8,G370),1)*IF(Upgrades!$T$9="Orbital Resonance",POWER(Upgrades!$U$9,H370),1)*IF(Upgrades!$T$11="Orbital Resonance",POWER(Upgrades!$U$11,J370),1)*IF(Upgrades!$T$12="Orbital Resonance",POWER(Upgrades!$U$12,K370),1))+(IF(J370=0,0,(Upgrades!$J$11+J370*Upgrades!$K$11)*POWER(Upgrades!$L$11,J370)))*(IF(Upgrades!$T$6="Heliopause",POWER(Upgrades!$U$6,E370),1)*IF(Upgrades!$T$7="Heliopause",POWER(Upgrades!$U$7,F370),1)*IF(Upgrades!$T$8="Heliopause",POWER(Upgrades!$U$8,G370),1)*IF(Upgrades!$T$9="Heliopause",POWER(Upgrades!$U$9,H370),1)*IF(Upgrades!$T$10="Heliopause",POWER(Upgrades!$U$10,I370),1)*IF(Upgrades!$T$12="Heliopause",POWER(Upgrades!$U$12,K370),1))+(IF(K370=0,0,(Upgrades!$J$12+K370*Upgrades!$K$12)*POWER(Upgrades!$L$12,K370)))*(IF(Upgrades!$T$6="First Photons",POWER(Upgrades!$U$6,E370),1)*IF(Upgrades!$T$7="First Photons",POWER(Upgrades!$U$7,F370),1)*IF(Upgrades!$T$8="First Photons",POWER(Upgrades!$U$8,G370),1)*IF(Upgrades!$T$9="First Photons",POWER(Upgrades!$U$9,H370),1)*IF(Upgrades!$T$10="First Photons",POWER(Upgrades!$U$10,I370),1)*IF(Upgrades!$T$11="First Photons",POWER(Upgrades!$U$11,J370),1)))*POWER(Upgrades!$Q$6,E370)*POWER(Upgrades!$Q$7,F370)*POWER(Upgrades!$Q$8,G370)*POWER(Upgrades!$Q$9,H370)*POWER(Upgrades!$Q$10,I370)*POWER(Upgrades!$Q$11,J370)*POWER(Upgrades!$Q$12,K370)</f>
        <v/>
      </c>
      <c r="N370" s="28">
        <f>((IF(E370=0,0,(Upgrades!$G$6+E370*Upgrades!$H$6)*POWER(Upgrades!$I$6,E370)))*(IF(Upgrades!$T$7="Solar Wind",POWER(Upgrades!$U$7,F370),1)*IF(Upgrades!$T$8="Solar Wind",POWER(Upgrades!$U$8,G370),1)*IF(Upgrades!$T$9="Solar Wind",POWER(Upgrades!$U$9,H370),1)*IF(Upgrades!$T$10="Solar Wind",POWER(Upgrades!$U$10,I370),1)*IF(Upgrades!$T$11="Solar Wind",POWER(Upgrades!$U$11,J370),1)*IF(Upgrades!$T$12="Solar Wind",POWER(Upgrades!$U$12,K370),1))+(IF(F370=0,0,(Upgrades!$G$7+F370*Upgrades!$H$7)*POWER(Upgrades!$I$7,F370)))*(IF(Upgrades!$T$6="Asteroid Belt",POWER(Upgrades!$U$6,E370),1)*IF(Upgrades!$T$8="Asteroid Belt",POWER(Upgrades!$U$8,G370),1)*IF(Upgrades!$T$9="Asteroid Belt",POWER(Upgrades!$U$9,H370),1)*IF(Upgrades!$T$10="Asteroid Belt",POWER(Upgrades!$U$10,I370),1)*IF(Upgrades!$T$11="Asteroid Belt",POWER(Upgrades!$U$11,J370),1)*IF(Upgrades!$T$12="Asteroid Belt",POWER(Upgrades!$U$12,K370),1))+(IF(G370=0,0,(Upgrades!$G$8+G370*Upgrades!$H$8)*POWER(Upgrades!$I$8,G370)))*(IF(Upgrades!$T$6="Stellar Coupling",POWER(Upgrades!$U$6,E370),1)*IF(Upgrades!$T$7="Stellar Coupling",POWER(Upgrades!$U$7,F370),1)*IF(Upgrades!$T$9="Stellar Coupling",POWER(Upgrades!$U$9,H370),1)*IF(Upgrades!$T$10="Stellar Coupling",POWER(Upgrades!$U$10,I370),1)*IF(Upgrades!$T$11="Stellar Coupling",POWER(Upgrades!$U$11,J370),1)*IF(Upgrades!$T$12="Stellar Coupling",POWER(Upgrades!$U$12,K370),1))+(IF(H370=0,0,(Upgrades!$G$9+H370*Upgrades!$H$9)*POWER(Upgrades!$I$9,H370)))*(IF(Upgrades!$T$6="Magnetosphere",POWER(Upgrades!$U$6,E370),1)*IF(Upgrades!$T$7="Magnetosphere",POWER(Upgrades!$U$7,F370),1)*IF(Upgrades!$T$8="Magnetosphere",POWER(Upgrades!$U$8,G370),1)*IF(Upgrades!$T$10="Magnetosphere",POWER(Upgrades!$U$10,I370),1)*IF(Upgrades!$T$11="Magnetosphere",POWER(Upgrades!$U$11,J370),1)*IF(Upgrades!$T$12="Magnetosphere",POWER(Upgrades!$U$12,K370),1))+(IF(I370=0,0,(Upgrades!$G$10+I370*Upgrades!$H$10)*POWER(Upgrades!$I$10,I370)))*(IF(Upgrades!$T$6="Orbital Resonance",POWER(Upgrades!$U$6,E370),1)*IF(Upgrades!$T$7="Orbital Resonance",POWER(Upgrades!$U$7,F370),1)*IF(Upgrades!$T$8="Orbital Resonance",POWER(Upgrades!$U$8,G370),1)*IF(Upgrades!$T$9="Orbital Resonance",POWER(Upgrades!$U$9,H370),1)*IF(Upgrades!$T$11="Orbital Resonance",POWER(Upgrades!$U$11,J370),1)*IF(Upgrades!$T$12="Orbital Resonance",POWER(Upgrades!$U$12,K370),1))+(IF(J370=0,0,(Upgrades!$G$11+J370*Upgrades!$H$11)*POWER(Upgrades!$I$11,J370)))*(IF(Upgrades!$T$6="Heliopause",POWER(Upgrades!$U$6,E370),1)*IF(Upgrades!$T$7="Heliopause",POWER(Upgrades!$U$7,F370),1)*IF(Upgrades!$T$8="Heliopause",POWER(Upgrades!$U$8,G370),1)*IF(Upgrades!$T$9="Heliopause",POWER(Upgrades!$U$9,H370),1)*IF(Upgrades!$T$10="Heliopause",POWER(Upgrades!$U$10,I370),1)*IF(Upgrades!$T$12="Heliopause",POWER(Upgrades!$U$12,K370),1))+(IF(K370=0,0,(Upgrades!$G$12+K370*Upgrades!$H$12)*POWER(Upgrades!$I$12,K370)))*(IF(Upgrades!$T$6="First Photons",POWER(Upgrades!$U$6,E370),1)*IF(Upgrades!$T$7="First Photons",POWER(Upgrades!$U$7,F370),1)*IF(Upgrades!$T$8="First Photons",POWER(Upgrades!$U$8,G370),1)*IF(Upgrades!$T$9="First Photons",POWER(Upgrades!$U$9,H370),1)*IF(Upgrades!$T$10="First Photons",POWER(Upgrades!$U$10,I370),1)*IF(Upgrades!$T$11="First Photons",POWER(Upgrades!$U$11,J370),1)))*POWER(Upgrades!$P$6,E370)*POWER(Upgrades!$P$7,F370)*POWER(Upgrades!$P$8,G370)*POWER(Upgrades!$P$9,H370)*POWER(Upgrades!$P$10,I370)*POWER(Upgrades!$P$11,J370)*POWER(Upgrades!$P$12,K370)</f>
        <v/>
      </c>
      <c r="O370" s="28">
        <f>((IF(E370=0,0,(Upgrades!$M$6+E370*Upgrades!$N$6)*POWER(Upgrades!$O$6,E370)))*(IF(Upgrades!$T$7="Solar Wind",POWER(Upgrades!$U$7,F370),1)*IF(Upgrades!$T$8="Solar Wind",POWER(Upgrades!$U$8,G370),1)*IF(Upgrades!$T$9="Solar Wind",POWER(Upgrades!$U$9,H370),1)*IF(Upgrades!$T$10="Solar Wind",POWER(Upgrades!$U$10,I370),1)*IF(Upgrades!$T$11="Solar Wind",POWER(Upgrades!$U$11,J370),1)*IF(Upgrades!$T$12="Solar Wind",POWER(Upgrades!$U$12,K370),1))+(IF(F370=0,0,(Upgrades!$M$7+F370*Upgrades!$N$7)*POWER(Upgrades!$O$7,F370)))*(IF(Upgrades!$T$6="Asteroid Belt",POWER(Upgrades!$U$6,E370),1)*IF(Upgrades!$T$8="Asteroid Belt",POWER(Upgrades!$U$8,G370),1)*IF(Upgrades!$T$9="Asteroid Belt",POWER(Upgrades!$U$9,H370),1)*IF(Upgrades!$T$10="Asteroid Belt",POWER(Upgrades!$U$10,I370),1)*IF(Upgrades!$T$11="Asteroid Belt",POWER(Upgrades!$U$11,J370),1)*IF(Upgrades!$T$12="Asteroid Belt",POWER(Upgrades!$U$12,K370),1))+(IF(G370=0,0,(Upgrades!$M$8+G370*Upgrades!$N$8)*POWER(Upgrades!$O$8,G370)))*(IF(Upgrades!$T$6="Stellar Coupling",POWER(Upgrades!$U$6,E370),1)*IF(Upgrades!$T$7="Stellar Coupling",POWER(Upgrades!$U$7,F370),1)*IF(Upgrades!$T$9="Stellar Coupling",POWER(Upgrades!$U$9,H370),1)*IF(Upgrades!$T$10="Stellar Coupling",POWER(Upgrades!$U$10,I370),1)*IF(Upgrades!$T$11="Stellar Coupling",POWER(Upgrades!$U$11,J370),1)*IF(Upgrades!$T$12="Stellar Coupling",POWER(Upgrades!$U$12,K370),1))+(IF(H370=0,0,(Upgrades!$M$9+H370*Upgrades!$N$9)*POWER(Upgrades!$O$9,H370)))*(IF(Upgrades!$T$6="Magnetosphere",POWER(Upgrades!$U$6,E370),1)*IF(Upgrades!$T$7="Magnetosphere",POWER(Upgrades!$U$7,F370),1)*IF(Upgrades!$T$8="Magnetosphere",POWER(Upgrades!$U$8,G370),1)*IF(Upgrades!$T$10="Magnetosphere",POWER(Upgrades!$U$10,I370),1)*IF(Upgrades!$T$11="Magnetosphere",POWER(Upgrades!$U$11,J370),1)*IF(Upgrades!$T$12="Magnetosphere",POWER(Upgrades!$U$12,K370),1))+(IF(I370=0,0,(Upgrades!$M$10+I370*Upgrades!$N$10)*POWER(Upgrades!$O$10,I370)))*(IF(Upgrades!$T$6="Orbital Resonance",POWER(Upgrades!$U$6,E370),1)*IF(Upgrades!$T$7="Orbital Resonance",POWER(Upgrades!$U$7,F370),1)*IF(Upgrades!$T$8="Orbital Resonance",POWER(Upgrades!$U$8,G370),1)*IF(Upgrades!$T$9="Orbital Resonance",POWER(Upgrades!$U$9,H370),1)*IF(Upgrades!$T$11="Orbital Resonance",POWER(Upgrades!$U$11,J370),1)*IF(Upgrades!$T$12="Orbital Resonance",POWER(Upgrades!$U$12,K370),1))+(IF(J370=0,0,(Upgrades!$M$11+J370*Upgrades!$N$11)*POWER(Upgrades!$O$11,J370)))*(IF(Upgrades!$T$6="Heliopause",POWER(Upgrades!$U$6,E370),1)*IF(Upgrades!$T$7="Heliopause",POWER(Upgrades!$U$7,F370),1)*IF(Upgrades!$T$8="Heliopause",POWER(Upgrades!$U$8,G370),1)*IF(Upgrades!$T$9="Heliopause",POWER(Upgrades!$U$9,H370),1)*IF(Upgrades!$T$10="Heliopause",POWER(Upgrades!$U$10,I370),1)*IF(Upgrades!$T$12="Heliopause",POWER(Upgrades!$U$12,K370),1))+(IF(K370=0,0,(Upgrades!$M$12+K370*Upgrades!$N$12)*POWER(Upgrades!$O$12,K370)))*(IF(Upgrades!$T$6="First Photons",POWER(Upgrades!$U$6,E370),1)*IF(Upgrades!$T$7="First Photons",POWER(Upgrades!$U$7,F370),1)*IF(Upgrades!$T$8="First Photons",POWER(Upgrades!$U$8,G370),1)*IF(Upgrades!$T$9="First Photons",POWER(Upgrades!$U$9,H370),1)*IF(Upgrades!$T$10="First Photons",POWER(Upgrades!$U$10,I370),1)*IF(Upgrades!$T$11="First Photons",POWER(Upgrades!$U$11,J370),1)))*POWER(Upgrades!$R$6,E370)*POWER(Upgrades!$R$7,F370)*POWER(Upgrades!$R$8,G370)*POWER(Upgrades!$R$9,H370)*POWER(Upgrades!$R$10,I370)*POWER(Upgrades!$R$11,J370)*POWER(Upgrades!$R$12,K370)</f>
        <v/>
      </c>
      <c r="P370" s="27">
        <f>IF(L370=1,0,M370*Parameters!$B$10/60*Parameters!$B$11*10)</f>
        <v/>
      </c>
      <c r="Q370" s="27">
        <f>IF(L370=1,0,O370*M370*10)</f>
        <v/>
      </c>
      <c r="R370" s="27">
        <f>IF(L370=1,0,N370*10)</f>
        <v/>
      </c>
      <c r="S370" s="27">
        <f>P370+Q370+R370</f>
        <v/>
      </c>
      <c r="T370" s="22">
        <f>C370+S370</f>
        <v/>
      </c>
      <c r="U370" s="33">
        <f>AX370</f>
        <v/>
      </c>
      <c r="V370" s="22">
        <f>IF(U370="",0,IF(U370="transition",0,IF(U370="SW",AG370,IF(U370="AB",AH370,IF(U370="SC",AI370,IF(U370="Mag",AJ370,IF(U370="OR",AK370,IF(U370="HP",AL370,IF(U370="FP",AM370,0)))))))))</f>
        <v/>
      </c>
      <c r="W370" s="27">
        <f>IF(U370="OR",Upgrades!$F$10,IF(U370="HP",Upgrades!$F$11,IF(U370="transition",-Parameters!$B$18,0)))</f>
        <v/>
      </c>
      <c r="X370" s="22">
        <f>T370-V370</f>
        <v/>
      </c>
      <c r="Y370" s="30">
        <f>M370*Parameters!$B$10/60*Parameters!$B$11+O370*M370+N370</f>
        <v/>
      </c>
      <c r="Z370" s="34">
        <f>IF(U370="transition","→ Tier 2 (Stellar Neighborhood)",IF(U370="FP","First Photons — light begins, system quickens",IF(U370="HP","Heliopause acquired",IF(U370="OR","Orbital Resonance — passive multiplier active",IF(AND(AO370=1,L370=0,AN370&lt;&gt;1),"Cohesion ready (waiting on completionist upgrades)","")))))</f>
        <v/>
      </c>
      <c r="AA370" s="27">
        <f>(IF(E370=0,0,(Upgrades!$G$6+E370*Upgrades!$H$6)*POWER(Upgrades!$I$6,E370)))*(IF(Upgrades!$T$7="Solar Wind",POWER(Upgrades!$U$7,F370),1)*IF(Upgrades!$T$8="Solar Wind",POWER(Upgrades!$U$8,G370),1)*IF(Upgrades!$T$9="Solar Wind",POWER(Upgrades!$U$9,H370),1)*IF(Upgrades!$T$10="Solar Wind",POWER(Upgrades!$U$10,I370),1)*IF(Upgrades!$T$11="Solar Wind",POWER(Upgrades!$U$11,J370),1)*IF(Upgrades!$T$12="Solar Wind",POWER(Upgrades!$U$12,K370),1))*POWER(Upgrades!$P$6,E370)*POWER(Upgrades!$P$7,F370)*POWER(Upgrades!$P$8,G370)*POWER(Upgrades!$P$9,H370)*POWER(Upgrades!$P$10,I370)*POWER(Upgrades!$P$11,J370)*POWER(Upgrades!$P$12,K370)*60</f>
        <v/>
      </c>
      <c r="AB370" s="27">
        <f>(IF(F370=0,0,(Upgrades!$G$7+F370*Upgrades!$H$7)*POWER(Upgrades!$I$7,F370)))*(IF(Upgrades!$T$6="Asteroid Belt",POWER(Upgrades!$U$6,E370),1)*IF(Upgrades!$T$8="Asteroid Belt",POWER(Upgrades!$U$8,G370),1)*IF(Upgrades!$T$9="Asteroid Belt",POWER(Upgrades!$U$9,H370),1)*IF(Upgrades!$T$10="Asteroid Belt",POWER(Upgrades!$U$10,I370),1)*IF(Upgrades!$T$11="Asteroid Belt",POWER(Upgrades!$U$11,J370),1)*IF(Upgrades!$T$12="Asteroid Belt",POWER(Upgrades!$U$12,K370),1))*POWER(Upgrades!$P$6,E370)*POWER(Upgrades!$P$7,F370)*POWER(Upgrades!$P$8,G370)*POWER(Upgrades!$P$9,H370)*POWER(Upgrades!$P$10,I370)*POWER(Upgrades!$P$11,J370)*POWER(Upgrades!$P$12,K370)*60</f>
        <v/>
      </c>
      <c r="AC370" s="27">
        <f>(IF(G370=0,0,(Upgrades!$J$8+G370*Upgrades!$K$8)*POWER(Upgrades!$L$8,G370)))*(IF(Upgrades!$T$6="Stellar Coupling",POWER(Upgrades!$U$6,E370),1)*IF(Upgrades!$T$7="Stellar Coupling",POWER(Upgrades!$U$7,F370),1)*IF(Upgrades!$T$9="Stellar Coupling",POWER(Upgrades!$U$9,H370),1)*IF(Upgrades!$T$10="Stellar Coupling",POWER(Upgrades!$U$10,I370),1)*IF(Upgrades!$T$11="Stellar Coupling",POWER(Upgrades!$U$11,J370),1)*IF(Upgrades!$T$12="Stellar Coupling",POWER(Upgrades!$U$12,K370),1))*POWER(Upgrades!$Q$6,E370)*POWER(Upgrades!$Q$7,F370)*POWER(Upgrades!$Q$8,G370)*POWER(Upgrades!$Q$9,H370)*POWER(Upgrades!$Q$10,I370)*POWER(Upgrades!$Q$11,J370)*POWER(Upgrades!$Q$12,K370)*Parameters!$B$10*Parameters!$B$11</f>
        <v/>
      </c>
      <c r="AD370" s="27">
        <f>(IF(H370=0,0,(Upgrades!$G$9+H370*Upgrades!$H$9)*POWER(Upgrades!$I$9,H370)))*(IF(Upgrades!$T$6="Magnetosphere",POWER(Upgrades!$U$6,E370),1)*IF(Upgrades!$T$7="Magnetosphere",POWER(Upgrades!$U$7,F370),1)*IF(Upgrades!$T$8="Magnetosphere",POWER(Upgrades!$U$8,G370),1)*IF(Upgrades!$T$10="Magnetosphere",POWER(Upgrades!$U$10,I370),1)*IF(Upgrades!$T$11="Magnetosphere",POWER(Upgrades!$U$11,J370),1)*IF(Upgrades!$T$12="Magnetosphere",POWER(Upgrades!$U$12,K370),1))*POWER(Upgrades!$P$6,E370)*POWER(Upgrades!$P$7,F370)*POWER(Upgrades!$P$8,G370)*POWER(Upgrades!$P$9,H370)*POWER(Upgrades!$P$10,I370)*POWER(Upgrades!$P$11,J370)*POWER(Upgrades!$P$12,K370)*60</f>
        <v/>
      </c>
      <c r="AE370" s="27">
        <f>(IF(K370=0,0,(Upgrades!$G$12+K370*Upgrades!$H$12)*POWER(Upgrades!$I$12,K370)))*(IF(Upgrades!$T$6="First Photons",POWER(Upgrades!$U$6,E370),1)*IF(Upgrades!$T$7="First Photons",POWER(Upgrades!$U$7,F370),1)*IF(Upgrades!$T$8="First Photons",POWER(Upgrades!$U$8,G370),1)*IF(Upgrades!$T$9="First Photons",POWER(Upgrades!$U$9,H370),1)*IF(Upgrades!$T$10="First Photons",POWER(Upgrades!$U$10,I370),1)*IF(Upgrades!$T$11="First Photons",POWER(Upgrades!$U$11,J370),1))*POWER(Upgrades!$P$6,E370)*POWER(Upgrades!$P$7,F370)*POWER(Upgrades!$P$8,G370)*POWER(Upgrades!$P$9,H370)*POWER(Upgrades!$P$10,I370)*POWER(Upgrades!$P$11,J370)*POWER(Upgrades!$P$12,K370)*60</f>
        <v/>
      </c>
      <c r="AF370" s="27">
        <f>Parameters!$B$9*POWER(Upgrades!$Q$6,E370)*POWER(Upgrades!$Q$7,F370)*POWER(Upgrades!$Q$8,G370)*POWER(Upgrades!$Q$9,H370)*POWER(Upgrades!$Q$10,I370)*POWER(Upgrades!$Q$11,J370)*POWER(Upgrades!$Q$12,K370)*(Parameters!$B$10*Parameters!$B$11+O370*60)</f>
        <v/>
      </c>
      <c r="AG370" s="22">
        <f>IF(E370&gt;=Upgrades!$E$6,"",Upgrades!$C$6*POWER(Upgrades!$D$6,E370))</f>
        <v/>
      </c>
      <c r="AH370" s="22">
        <f>IF(F370&gt;=Upgrades!$E$7,"",Upgrades!$C$7*POWER(Upgrades!$D$7,F370))</f>
        <v/>
      </c>
      <c r="AI370" s="22">
        <f>IF(G370&gt;=Upgrades!$E$8,"",Upgrades!$C$8*POWER(Upgrades!$D$8,G370))</f>
        <v/>
      </c>
      <c r="AJ370" s="22">
        <f>IF(H370&gt;=Upgrades!$E$9,"",Upgrades!$C$9*POWER(Upgrades!$D$9,H370))</f>
        <v/>
      </c>
      <c r="AK370" s="22">
        <f>IF(I370&gt;=Upgrades!$E$10,"",Upgrades!$C$10*POWER(Upgrades!$D$10,I370))</f>
        <v/>
      </c>
      <c r="AL370" s="22">
        <f>IF(J370&gt;=Upgrades!$E$11,"",Upgrades!$C$11*POWER(Upgrades!$D$11,J370))</f>
        <v/>
      </c>
      <c r="AM370" s="22">
        <f>IF(K370&gt;=Upgrades!$E$12,"",Upgrades!$C$12*POWER(Upgrades!$D$12,K370))</f>
        <v/>
      </c>
      <c r="AN370" s="26">
        <f>IF(AND(D370&gt;=Parameters!$B$18,(H370&gt;=Upgrades!$E$9)*(K370&gt;=Upgrades!$E$12)=1,L370=0),1,"")</f>
        <v/>
      </c>
      <c r="AO370" s="26">
        <f>IF(AND(D370&gt;=Parameters!$B$18,L370=0),1,"")</f>
        <v/>
      </c>
      <c r="AP370" s="22">
        <f>MIN(IF(ISNUMBER(AK370),AK370,9E15),IF(ISNUMBER(AL370),AL370,9E15),IF(ISNUMBER(AM370),AM370,9E15))</f>
        <v/>
      </c>
      <c r="AQ370" s="22">
        <f>MIN(IF(ISNUMBER(AG370),AG370,9E15),IF(ISNUMBER(AH370),AH370,9E15),IF(ISNUMBER(AI370),AI370,9E15),IF(ISNUMBER(AJ370),AJ370,9E15))</f>
        <v/>
      </c>
      <c r="AR370" s="29">
        <f>IF(AW370&gt;Parameters!$B$21*(MAX(IF(AND(NOT(AND(AO370=1,AN370&lt;&gt;1)),ISNUMBER(AG370),AG370&lt;=T370),AS370,0),IF(AND(NOT(AND(AO370=1,AN370&lt;&gt;1)),ISNUMBER(AH370),AH370&lt;=T370),AT370,0),IF(AND(NOT(AND(AO370=1,AN370&lt;&gt;1)),ISNUMBER(AI370),AI370&lt;=T370),AU370,0),IF(AND(ISNUMBER(AJ370),AJ370&lt;=T370),AV370,0))),TRUE,FALSE)</f>
        <v/>
      </c>
      <c r="AS370" s="32">
        <f>IFERROR(Upgrades!$H$6*(POWER(Upgrades!$P$6,E370)*POWER(Upgrades!$P$7,F370)*POWER(Upgrades!$P$8,G370)*POWER(Upgrades!$P$9,H370)*POWER(Upgrades!$P$10,I370)*POWER(Upgrades!$P$11,J370)*POWER(Upgrades!$P$12,K370))*(IF(Upgrades!$T$7="Solar Wind",POWER(Upgrades!$U$7,F370),1)*IF(Upgrades!$T$8="Solar Wind",POWER(Upgrades!$U$8,G370),1)*IF(Upgrades!$T$9="Solar Wind",POWER(Upgrades!$U$9,H370),1)*IF(Upgrades!$T$10="Solar Wind",POWER(Upgrades!$U$10,I370),1)*IF(Upgrades!$T$11="Solar Wind",POWER(Upgrades!$U$11,J370),1)*IF(Upgrades!$T$12="Solar Wind",POWER(Upgrades!$U$12,K370),1))/AG370,0)</f>
        <v/>
      </c>
      <c r="AT370" s="32">
        <f>IFERROR(Upgrades!$H$7*(POWER(Upgrades!$P$6,E370)*POWER(Upgrades!$P$7,F370)*POWER(Upgrades!$P$8,G370)*POWER(Upgrades!$P$9,H370)*POWER(Upgrades!$P$10,I370)*POWER(Upgrades!$P$11,J370)*POWER(Upgrades!$P$12,K370))*(IF(Upgrades!$T$6="Asteroid Belt",POWER(Upgrades!$U$6,E370),1)*IF(Upgrades!$T$8="Asteroid Belt",POWER(Upgrades!$U$8,G370),1)*IF(Upgrades!$T$9="Asteroid Belt",POWER(Upgrades!$U$9,H370),1)*IF(Upgrades!$T$10="Asteroid Belt",POWER(Upgrades!$U$10,I370),1)*IF(Upgrades!$T$11="Asteroid Belt",POWER(Upgrades!$U$11,J370),1)*IF(Upgrades!$T$12="Asteroid Belt",POWER(Upgrades!$U$12,K370),1))/AH370,0)</f>
        <v/>
      </c>
      <c r="AU370" s="32">
        <f>IFERROR(Upgrades!$K$8*(POWER(Upgrades!$Q$6,E370)*POWER(Upgrades!$Q$7,F370)*POWER(Upgrades!$Q$8,G370)*POWER(Upgrades!$Q$9,H370)*POWER(Upgrades!$Q$10,I370)*POWER(Upgrades!$Q$11,J370)*POWER(Upgrades!$Q$12,K370))*(IF(Upgrades!$T$6="Stellar Coupling",POWER(Upgrades!$U$6,E370),1)*IF(Upgrades!$T$7="Stellar Coupling",POWER(Upgrades!$U$7,F370),1)*IF(Upgrades!$T$9="Stellar Coupling",POWER(Upgrades!$U$9,H370),1)*IF(Upgrades!$T$10="Stellar Coupling",POWER(Upgrades!$U$10,I370),1)*IF(Upgrades!$T$11="Stellar Coupling",POWER(Upgrades!$U$11,J370),1)*IF(Upgrades!$T$12="Stellar Coupling",POWER(Upgrades!$U$12,K370),1))*Parameters!$B$10*Parameters!$B$11/60/AI370,0)</f>
        <v/>
      </c>
      <c r="AV370" s="32">
        <f>IFERROR(Upgrades!$H$9*(POWER(Upgrades!$P$6,E370)*POWER(Upgrades!$P$7,F370)*POWER(Upgrades!$P$8,G370)*POWER(Upgrades!$P$9,H370)*POWER(Upgrades!$P$10,I370)*POWER(Upgrades!$P$11,J370)*POWER(Upgrades!$P$12,K370))*(IF(Upgrades!$T$6="Magnetosphere",POWER(Upgrades!$U$6,E370),1)*IF(Upgrades!$T$7="Magnetosphere",POWER(Upgrades!$U$7,F370),1)*IF(Upgrades!$T$8="Magnetosphere",POWER(Upgrades!$U$8,G370),1)*IF(Upgrades!$T$10="Magnetosphere",POWER(Upgrades!$U$10,I370),1)*IF(Upgrades!$T$11="Magnetosphere",POWER(Upgrades!$U$11,J370),1)*IF(Upgrades!$T$12="Magnetosphere",POWER(Upgrades!$U$12,K370),1))/AJ370,0)</f>
        <v/>
      </c>
      <c r="AW370" s="32">
        <f>MAX(IF(I370&gt;0,0,IFERROR(0.25*N370/Upgrades!$C$10,0)),IF(J370&gt;0,0,IFERROR(0.5*((IF(G370=0,0,(Upgrades!$J$8+G370*Upgrades!$K$8)*POWER(Upgrades!$L$8,G370)))*(IF(Upgrades!$T$6="Stellar Coupling",POWER(Upgrades!$U$6,E370),1)*IF(Upgrades!$T$7="Stellar Coupling",POWER(Upgrades!$U$7,F370),1)*IF(Upgrades!$T$9="Stellar Coupling",POWER(Upgrades!$U$9,H370),1)*IF(Upgrades!$T$10="Stellar Coupling",POWER(Upgrades!$U$10,I370),1)*IF(Upgrades!$T$11="Stellar Coupling",POWER(Upgrades!$U$11,J370),1)*IF(Upgrades!$T$12="Stellar Coupling",POWER(Upgrades!$U$12,K370),1))*(POWER(Upgrades!$Q$6,E370)*POWER(Upgrades!$Q$7,F370)*POWER(Upgrades!$Q$8,G370)*POWER(Upgrades!$Q$9,H370)*POWER(Upgrades!$Q$10,I370)*POWER(Upgrades!$Q$11,J370)*POWER(Upgrades!$Q$12,K370))*Parameters!$B$10*Parameters!$B$11/60)/Upgrades!$C$11,0)),IF(K370&gt;0,0,IFERROR((1.0*(POWER(Upgrades!$P$6,E370)*POWER(Upgrades!$P$7,F370)*POWER(Upgrades!$P$8,G370)*POWER(Upgrades!$P$9,H370)*POWER(Upgrades!$P$10,I370)*POWER(Upgrades!$P$11,J370)*POWER(Upgrades!$P$12,K370))+0.20*M370*Parameters!$B$10*Parameters!$B$11/60)/Upgrades!$C$12,0)),IF(AND(ISNUMBER(AG370),AG370&gt;T370),AS370,0),IF(AND(ISNUMBER(AH370),AH370&gt;T370),AT370,0),IF(AND(ISNUMBER(AI370),AI370&gt;T370),AU370,0),IF(AND(ISNUMBER(AJ370),AJ370&gt;T370),AV370,0))</f>
        <v/>
      </c>
      <c r="AX370" s="29">
        <f>IF(AN370=1,"transition",IF(MIN(IF(AND(I370=0,ISNUMBER(AK370),AK370&lt;=T370),AK370,9E15),IF(AND(J370=0,ISNUMBER(AL370),AL370&lt;=T370),AL370,9E15),IF(AND(K370=0,ISNUMBER(AM370),AM370&lt;=T370),AM370,9E15))&lt;9E15,IF(AND(AND(I370=0,ISNUMBER(AK370),AK370&lt;=T370),AK370=MIN(IF(AND(I370=0,ISNUMBER(AK370),AK370&lt;=T370),AK370,9E15),IF(AND(J370=0,ISNUMBER(AL370),AL370&lt;=T370),AL370,9E15),IF(AND(K370=0,ISNUMBER(AM370),AM370&lt;=T370),AM370,9E15))),"OR",IF(AND(AND(J370=0,ISNUMBER(AL370),AL370&lt;=T370),AL370=MIN(IF(AND(I370=0,ISNUMBER(AK370),AK370&lt;=T370),AK370,9E15),IF(AND(J370=0,ISNUMBER(AL370),AL370&lt;=T370),AL370,9E15),IF(AND(K370=0,ISNUMBER(AM370),AM370&lt;=T370),AM370,9E15))),"HP","FP")),IF(AR370=TRUE,"",IF(MAX(IF(AND(NOT(AND(AO370=1,AN370&lt;&gt;1)),ISNUMBER(AG370),AG370&lt;=T370),AS370,0),IF(AND(NOT(AND(AO370=1,AN370&lt;&gt;1)),ISNUMBER(AH370),AH370&lt;=T370),AT370,0),IF(AND(NOT(AND(AO370=1,AN370&lt;&gt;1)),ISNUMBER(AI370),AI370&lt;=T370),AU370,0),IF(AND(ISNUMBER(AJ370),AJ370&lt;=T370),AV370,0))&lt;=0,"",IF(AND(IF(AND(NOT(AND(AO370=1,AN370&lt;&gt;1)),ISNUMBER(AG370),AG370&lt;=T370),AS370,0)&gt;0,IF(AND(NOT(AND(AO370=1,AN370&lt;&gt;1)),ISNUMBER(AG370),AG370&lt;=T370),AS370,0)=MAX(IF(AND(NOT(AND(AO370=1,AN370&lt;&gt;1)),ISNUMBER(AG370),AG370&lt;=T370),AS370,0),IF(AND(NOT(AND(AO370=1,AN370&lt;&gt;1)),ISNUMBER(AH370),AH370&lt;=T370),AT370,0),IF(AND(NOT(AND(AO370=1,AN370&lt;&gt;1)),ISNUMBER(AI370),AI370&lt;=T370),AU370,0),IF(AND(ISNUMBER(AJ370),AJ370&lt;=T370),AV370,0))),"SW",IF(AND(IF(AND(NOT(AND(AO370=1,AN370&lt;&gt;1)),ISNUMBER(AH370),AH370&lt;=T370),AT370,0)&gt;0,IF(AND(NOT(AND(AO370=1,AN370&lt;&gt;1)),ISNUMBER(AH370),AH370&lt;=T370),AT370,0)=MAX(IF(AND(NOT(AND(AO370=1,AN370&lt;&gt;1)),ISNUMBER(AG370),AG370&lt;=T370),AS370,0),IF(AND(NOT(AND(AO370=1,AN370&lt;&gt;1)),ISNUMBER(AH370),AH370&lt;=T370),AT370,0),IF(AND(NOT(AND(AO370=1,AN370&lt;&gt;1)),ISNUMBER(AI370),AI370&lt;=T370),AU370,0),IF(AND(ISNUMBER(AJ370),AJ370&lt;=T370),AV370,0))),"AB",IF(AND(IF(AND(NOT(AND(AO370=1,AN370&lt;&gt;1)),ISNUMBER(AI370),AI370&lt;=T370),AU370,0)&gt;0,IF(AND(NOT(AND(AO370=1,AN370&lt;&gt;1)),ISNUMBER(AI370),AI370&lt;=T370),AU370,0)=MAX(IF(AND(NOT(AND(AO370=1,AN370&lt;&gt;1)),ISNUMBER(AG370),AG370&lt;=T370),AS370,0),IF(AND(NOT(AND(AO370=1,AN370&lt;&gt;1)),ISNUMBER(AH370),AH370&lt;=T370),AT370,0),IF(AND(NOT(AND(AO370=1,AN370&lt;&gt;1)),ISNUMBER(AI370),AI370&lt;=T370),AU370,0),IF(AND(ISNUMBER(AJ370),AJ370&lt;=T370),AV370,0))),"SC","Mag")))))))</f>
        <v/>
      </c>
    </row>
    <row r="371">
      <c r="A371" s="26" t="n">
        <v>366</v>
      </c>
      <c r="B371" s="27">
        <f>A371*10/60</f>
        <v/>
      </c>
      <c r="C371" s="22">
        <f>X370</f>
        <v/>
      </c>
      <c r="D371" s="27">
        <f>D370+W370</f>
        <v/>
      </c>
      <c r="E371" s="26">
        <f>E370+IF(U370="SW",1,0)</f>
        <v/>
      </c>
      <c r="F371" s="26">
        <f>F370+IF(U370="AB",1,0)</f>
        <v/>
      </c>
      <c r="G371" s="26">
        <f>G370+IF(U370="SC",1,0)</f>
        <v/>
      </c>
      <c r="H371" s="26">
        <f>H370+IF(U370="Mag",1,0)</f>
        <v/>
      </c>
      <c r="I371" s="26">
        <f>MAX(I370,IF(U370="OR",1,0))</f>
        <v/>
      </c>
      <c r="J371" s="26">
        <f>MAX(J370,IF(U370="HP",1,0))</f>
        <v/>
      </c>
      <c r="K371" s="26">
        <f>MAX(K370,IF(U370="FP",1,0))</f>
        <v/>
      </c>
      <c r="L371" s="26">
        <f>MAX(L370,IF(U370="transition",1,0))</f>
        <v/>
      </c>
      <c r="M371" s="28">
        <f>(Parameters!$B$9+(IF(E371=0,0,(Upgrades!$J$6+E371*Upgrades!$K$6)*POWER(Upgrades!$L$6,E371)))*(IF(Upgrades!$T$7="Solar Wind",POWER(Upgrades!$U$7,F371),1)*IF(Upgrades!$T$8="Solar Wind",POWER(Upgrades!$U$8,G371),1)*IF(Upgrades!$T$9="Solar Wind",POWER(Upgrades!$U$9,H371),1)*IF(Upgrades!$T$10="Solar Wind",POWER(Upgrades!$U$10,I371),1)*IF(Upgrades!$T$11="Solar Wind",POWER(Upgrades!$U$11,J371),1)*IF(Upgrades!$T$12="Solar Wind",POWER(Upgrades!$U$12,K371),1))+(IF(F371=0,0,(Upgrades!$J$7+F371*Upgrades!$K$7)*POWER(Upgrades!$L$7,F371)))*(IF(Upgrades!$T$6="Asteroid Belt",POWER(Upgrades!$U$6,E371),1)*IF(Upgrades!$T$8="Asteroid Belt",POWER(Upgrades!$U$8,G371),1)*IF(Upgrades!$T$9="Asteroid Belt",POWER(Upgrades!$U$9,H371),1)*IF(Upgrades!$T$10="Asteroid Belt",POWER(Upgrades!$U$10,I371),1)*IF(Upgrades!$T$11="Asteroid Belt",POWER(Upgrades!$U$11,J371),1)*IF(Upgrades!$T$12="Asteroid Belt",POWER(Upgrades!$U$12,K371),1))+(IF(G371=0,0,(Upgrades!$J$8+G371*Upgrades!$K$8)*POWER(Upgrades!$L$8,G371)))*(IF(Upgrades!$T$6="Stellar Coupling",POWER(Upgrades!$U$6,E371),1)*IF(Upgrades!$T$7="Stellar Coupling",POWER(Upgrades!$U$7,F371),1)*IF(Upgrades!$T$9="Stellar Coupling",POWER(Upgrades!$U$9,H371),1)*IF(Upgrades!$T$10="Stellar Coupling",POWER(Upgrades!$U$10,I371),1)*IF(Upgrades!$T$11="Stellar Coupling",POWER(Upgrades!$U$11,J371),1)*IF(Upgrades!$T$12="Stellar Coupling",POWER(Upgrades!$U$12,K371),1))+(IF(H371=0,0,(Upgrades!$J$9+H371*Upgrades!$K$9)*POWER(Upgrades!$L$9,H371)))*(IF(Upgrades!$T$6="Magnetosphere",POWER(Upgrades!$U$6,E371),1)*IF(Upgrades!$T$7="Magnetosphere",POWER(Upgrades!$U$7,F371),1)*IF(Upgrades!$T$8="Magnetosphere",POWER(Upgrades!$U$8,G371),1)*IF(Upgrades!$T$10="Magnetosphere",POWER(Upgrades!$U$10,I371),1)*IF(Upgrades!$T$11="Magnetosphere",POWER(Upgrades!$U$11,J371),1)*IF(Upgrades!$T$12="Magnetosphere",POWER(Upgrades!$U$12,K371),1))+(IF(I371=0,0,(Upgrades!$J$10+I371*Upgrades!$K$10)*POWER(Upgrades!$L$10,I371)))*(IF(Upgrades!$T$6="Orbital Resonance",POWER(Upgrades!$U$6,E371),1)*IF(Upgrades!$T$7="Orbital Resonance",POWER(Upgrades!$U$7,F371),1)*IF(Upgrades!$T$8="Orbital Resonance",POWER(Upgrades!$U$8,G371),1)*IF(Upgrades!$T$9="Orbital Resonance",POWER(Upgrades!$U$9,H371),1)*IF(Upgrades!$T$11="Orbital Resonance",POWER(Upgrades!$U$11,J371),1)*IF(Upgrades!$T$12="Orbital Resonance",POWER(Upgrades!$U$12,K371),1))+(IF(J371=0,0,(Upgrades!$J$11+J371*Upgrades!$K$11)*POWER(Upgrades!$L$11,J371)))*(IF(Upgrades!$T$6="Heliopause",POWER(Upgrades!$U$6,E371),1)*IF(Upgrades!$T$7="Heliopause",POWER(Upgrades!$U$7,F371),1)*IF(Upgrades!$T$8="Heliopause",POWER(Upgrades!$U$8,G371),1)*IF(Upgrades!$T$9="Heliopause",POWER(Upgrades!$U$9,H371),1)*IF(Upgrades!$T$10="Heliopause",POWER(Upgrades!$U$10,I371),1)*IF(Upgrades!$T$12="Heliopause",POWER(Upgrades!$U$12,K371),1))+(IF(K371=0,0,(Upgrades!$J$12+K371*Upgrades!$K$12)*POWER(Upgrades!$L$12,K371)))*(IF(Upgrades!$T$6="First Photons",POWER(Upgrades!$U$6,E371),1)*IF(Upgrades!$T$7="First Photons",POWER(Upgrades!$U$7,F371),1)*IF(Upgrades!$T$8="First Photons",POWER(Upgrades!$U$8,G371),1)*IF(Upgrades!$T$9="First Photons",POWER(Upgrades!$U$9,H371),1)*IF(Upgrades!$T$10="First Photons",POWER(Upgrades!$U$10,I371),1)*IF(Upgrades!$T$11="First Photons",POWER(Upgrades!$U$11,J371),1)))*POWER(Upgrades!$Q$6,E371)*POWER(Upgrades!$Q$7,F371)*POWER(Upgrades!$Q$8,G371)*POWER(Upgrades!$Q$9,H371)*POWER(Upgrades!$Q$10,I371)*POWER(Upgrades!$Q$11,J371)*POWER(Upgrades!$Q$12,K371)</f>
        <v/>
      </c>
      <c r="N371" s="28">
        <f>((IF(E371=0,0,(Upgrades!$G$6+E371*Upgrades!$H$6)*POWER(Upgrades!$I$6,E371)))*(IF(Upgrades!$T$7="Solar Wind",POWER(Upgrades!$U$7,F371),1)*IF(Upgrades!$T$8="Solar Wind",POWER(Upgrades!$U$8,G371),1)*IF(Upgrades!$T$9="Solar Wind",POWER(Upgrades!$U$9,H371),1)*IF(Upgrades!$T$10="Solar Wind",POWER(Upgrades!$U$10,I371),1)*IF(Upgrades!$T$11="Solar Wind",POWER(Upgrades!$U$11,J371),1)*IF(Upgrades!$T$12="Solar Wind",POWER(Upgrades!$U$12,K371),1))+(IF(F371=0,0,(Upgrades!$G$7+F371*Upgrades!$H$7)*POWER(Upgrades!$I$7,F371)))*(IF(Upgrades!$T$6="Asteroid Belt",POWER(Upgrades!$U$6,E371),1)*IF(Upgrades!$T$8="Asteroid Belt",POWER(Upgrades!$U$8,G371),1)*IF(Upgrades!$T$9="Asteroid Belt",POWER(Upgrades!$U$9,H371),1)*IF(Upgrades!$T$10="Asteroid Belt",POWER(Upgrades!$U$10,I371),1)*IF(Upgrades!$T$11="Asteroid Belt",POWER(Upgrades!$U$11,J371),1)*IF(Upgrades!$T$12="Asteroid Belt",POWER(Upgrades!$U$12,K371),1))+(IF(G371=0,0,(Upgrades!$G$8+G371*Upgrades!$H$8)*POWER(Upgrades!$I$8,G371)))*(IF(Upgrades!$T$6="Stellar Coupling",POWER(Upgrades!$U$6,E371),1)*IF(Upgrades!$T$7="Stellar Coupling",POWER(Upgrades!$U$7,F371),1)*IF(Upgrades!$T$9="Stellar Coupling",POWER(Upgrades!$U$9,H371),1)*IF(Upgrades!$T$10="Stellar Coupling",POWER(Upgrades!$U$10,I371),1)*IF(Upgrades!$T$11="Stellar Coupling",POWER(Upgrades!$U$11,J371),1)*IF(Upgrades!$T$12="Stellar Coupling",POWER(Upgrades!$U$12,K371),1))+(IF(H371=0,0,(Upgrades!$G$9+H371*Upgrades!$H$9)*POWER(Upgrades!$I$9,H371)))*(IF(Upgrades!$T$6="Magnetosphere",POWER(Upgrades!$U$6,E371),1)*IF(Upgrades!$T$7="Magnetosphere",POWER(Upgrades!$U$7,F371),1)*IF(Upgrades!$T$8="Magnetosphere",POWER(Upgrades!$U$8,G371),1)*IF(Upgrades!$T$10="Magnetosphere",POWER(Upgrades!$U$10,I371),1)*IF(Upgrades!$T$11="Magnetosphere",POWER(Upgrades!$U$11,J371),1)*IF(Upgrades!$T$12="Magnetosphere",POWER(Upgrades!$U$12,K371),1))+(IF(I371=0,0,(Upgrades!$G$10+I371*Upgrades!$H$10)*POWER(Upgrades!$I$10,I371)))*(IF(Upgrades!$T$6="Orbital Resonance",POWER(Upgrades!$U$6,E371),1)*IF(Upgrades!$T$7="Orbital Resonance",POWER(Upgrades!$U$7,F371),1)*IF(Upgrades!$T$8="Orbital Resonance",POWER(Upgrades!$U$8,G371),1)*IF(Upgrades!$T$9="Orbital Resonance",POWER(Upgrades!$U$9,H371),1)*IF(Upgrades!$T$11="Orbital Resonance",POWER(Upgrades!$U$11,J371),1)*IF(Upgrades!$T$12="Orbital Resonance",POWER(Upgrades!$U$12,K371),1))+(IF(J371=0,0,(Upgrades!$G$11+J371*Upgrades!$H$11)*POWER(Upgrades!$I$11,J371)))*(IF(Upgrades!$T$6="Heliopause",POWER(Upgrades!$U$6,E371),1)*IF(Upgrades!$T$7="Heliopause",POWER(Upgrades!$U$7,F371),1)*IF(Upgrades!$T$8="Heliopause",POWER(Upgrades!$U$8,G371),1)*IF(Upgrades!$T$9="Heliopause",POWER(Upgrades!$U$9,H371),1)*IF(Upgrades!$T$10="Heliopause",POWER(Upgrades!$U$10,I371),1)*IF(Upgrades!$T$12="Heliopause",POWER(Upgrades!$U$12,K371),1))+(IF(K371=0,0,(Upgrades!$G$12+K371*Upgrades!$H$12)*POWER(Upgrades!$I$12,K371)))*(IF(Upgrades!$T$6="First Photons",POWER(Upgrades!$U$6,E371),1)*IF(Upgrades!$T$7="First Photons",POWER(Upgrades!$U$7,F371),1)*IF(Upgrades!$T$8="First Photons",POWER(Upgrades!$U$8,G371),1)*IF(Upgrades!$T$9="First Photons",POWER(Upgrades!$U$9,H371),1)*IF(Upgrades!$T$10="First Photons",POWER(Upgrades!$U$10,I371),1)*IF(Upgrades!$T$11="First Photons",POWER(Upgrades!$U$11,J371),1)))*POWER(Upgrades!$P$6,E371)*POWER(Upgrades!$P$7,F371)*POWER(Upgrades!$P$8,G371)*POWER(Upgrades!$P$9,H371)*POWER(Upgrades!$P$10,I371)*POWER(Upgrades!$P$11,J371)*POWER(Upgrades!$P$12,K371)</f>
        <v/>
      </c>
      <c r="O371" s="28">
        <f>((IF(E371=0,0,(Upgrades!$M$6+E371*Upgrades!$N$6)*POWER(Upgrades!$O$6,E371)))*(IF(Upgrades!$T$7="Solar Wind",POWER(Upgrades!$U$7,F371),1)*IF(Upgrades!$T$8="Solar Wind",POWER(Upgrades!$U$8,G371),1)*IF(Upgrades!$T$9="Solar Wind",POWER(Upgrades!$U$9,H371),1)*IF(Upgrades!$T$10="Solar Wind",POWER(Upgrades!$U$10,I371),1)*IF(Upgrades!$T$11="Solar Wind",POWER(Upgrades!$U$11,J371),1)*IF(Upgrades!$T$12="Solar Wind",POWER(Upgrades!$U$12,K371),1))+(IF(F371=0,0,(Upgrades!$M$7+F371*Upgrades!$N$7)*POWER(Upgrades!$O$7,F371)))*(IF(Upgrades!$T$6="Asteroid Belt",POWER(Upgrades!$U$6,E371),1)*IF(Upgrades!$T$8="Asteroid Belt",POWER(Upgrades!$U$8,G371),1)*IF(Upgrades!$T$9="Asteroid Belt",POWER(Upgrades!$U$9,H371),1)*IF(Upgrades!$T$10="Asteroid Belt",POWER(Upgrades!$U$10,I371),1)*IF(Upgrades!$T$11="Asteroid Belt",POWER(Upgrades!$U$11,J371),1)*IF(Upgrades!$T$12="Asteroid Belt",POWER(Upgrades!$U$12,K371),1))+(IF(G371=0,0,(Upgrades!$M$8+G371*Upgrades!$N$8)*POWER(Upgrades!$O$8,G371)))*(IF(Upgrades!$T$6="Stellar Coupling",POWER(Upgrades!$U$6,E371),1)*IF(Upgrades!$T$7="Stellar Coupling",POWER(Upgrades!$U$7,F371),1)*IF(Upgrades!$T$9="Stellar Coupling",POWER(Upgrades!$U$9,H371),1)*IF(Upgrades!$T$10="Stellar Coupling",POWER(Upgrades!$U$10,I371),1)*IF(Upgrades!$T$11="Stellar Coupling",POWER(Upgrades!$U$11,J371),1)*IF(Upgrades!$T$12="Stellar Coupling",POWER(Upgrades!$U$12,K371),1))+(IF(H371=0,0,(Upgrades!$M$9+H371*Upgrades!$N$9)*POWER(Upgrades!$O$9,H371)))*(IF(Upgrades!$T$6="Magnetosphere",POWER(Upgrades!$U$6,E371),1)*IF(Upgrades!$T$7="Magnetosphere",POWER(Upgrades!$U$7,F371),1)*IF(Upgrades!$T$8="Magnetosphere",POWER(Upgrades!$U$8,G371),1)*IF(Upgrades!$T$10="Magnetosphere",POWER(Upgrades!$U$10,I371),1)*IF(Upgrades!$T$11="Magnetosphere",POWER(Upgrades!$U$11,J371),1)*IF(Upgrades!$T$12="Magnetosphere",POWER(Upgrades!$U$12,K371),1))+(IF(I371=0,0,(Upgrades!$M$10+I371*Upgrades!$N$10)*POWER(Upgrades!$O$10,I371)))*(IF(Upgrades!$T$6="Orbital Resonance",POWER(Upgrades!$U$6,E371),1)*IF(Upgrades!$T$7="Orbital Resonance",POWER(Upgrades!$U$7,F371),1)*IF(Upgrades!$T$8="Orbital Resonance",POWER(Upgrades!$U$8,G371),1)*IF(Upgrades!$T$9="Orbital Resonance",POWER(Upgrades!$U$9,H371),1)*IF(Upgrades!$T$11="Orbital Resonance",POWER(Upgrades!$U$11,J371),1)*IF(Upgrades!$T$12="Orbital Resonance",POWER(Upgrades!$U$12,K371),1))+(IF(J371=0,0,(Upgrades!$M$11+J371*Upgrades!$N$11)*POWER(Upgrades!$O$11,J371)))*(IF(Upgrades!$T$6="Heliopause",POWER(Upgrades!$U$6,E371),1)*IF(Upgrades!$T$7="Heliopause",POWER(Upgrades!$U$7,F371),1)*IF(Upgrades!$T$8="Heliopause",POWER(Upgrades!$U$8,G371),1)*IF(Upgrades!$T$9="Heliopause",POWER(Upgrades!$U$9,H371),1)*IF(Upgrades!$T$10="Heliopause",POWER(Upgrades!$U$10,I371),1)*IF(Upgrades!$T$12="Heliopause",POWER(Upgrades!$U$12,K371),1))+(IF(K371=0,0,(Upgrades!$M$12+K371*Upgrades!$N$12)*POWER(Upgrades!$O$12,K371)))*(IF(Upgrades!$T$6="First Photons",POWER(Upgrades!$U$6,E371),1)*IF(Upgrades!$T$7="First Photons",POWER(Upgrades!$U$7,F371),1)*IF(Upgrades!$T$8="First Photons",POWER(Upgrades!$U$8,G371),1)*IF(Upgrades!$T$9="First Photons",POWER(Upgrades!$U$9,H371),1)*IF(Upgrades!$T$10="First Photons",POWER(Upgrades!$U$10,I371),1)*IF(Upgrades!$T$11="First Photons",POWER(Upgrades!$U$11,J371),1)))*POWER(Upgrades!$R$6,E371)*POWER(Upgrades!$R$7,F371)*POWER(Upgrades!$R$8,G371)*POWER(Upgrades!$R$9,H371)*POWER(Upgrades!$R$10,I371)*POWER(Upgrades!$R$11,J371)*POWER(Upgrades!$R$12,K371)</f>
        <v/>
      </c>
      <c r="P371" s="27">
        <f>IF(L371=1,0,M371*Parameters!$B$10/60*Parameters!$B$11*10)</f>
        <v/>
      </c>
      <c r="Q371" s="27">
        <f>IF(L371=1,0,O371*M371*10)</f>
        <v/>
      </c>
      <c r="R371" s="27">
        <f>IF(L371=1,0,N371*10)</f>
        <v/>
      </c>
      <c r="S371" s="27">
        <f>P371+Q371+R371</f>
        <v/>
      </c>
      <c r="T371" s="22">
        <f>C371+S371</f>
        <v/>
      </c>
      <c r="U371" s="33">
        <f>AX371</f>
        <v/>
      </c>
      <c r="V371" s="22">
        <f>IF(U371="",0,IF(U371="transition",0,IF(U371="SW",AG371,IF(U371="AB",AH371,IF(U371="SC",AI371,IF(U371="Mag",AJ371,IF(U371="OR",AK371,IF(U371="HP",AL371,IF(U371="FP",AM371,0)))))))))</f>
        <v/>
      </c>
      <c r="W371" s="27">
        <f>IF(U371="OR",Upgrades!$F$10,IF(U371="HP",Upgrades!$F$11,IF(U371="transition",-Parameters!$B$18,0)))</f>
        <v/>
      </c>
      <c r="X371" s="22">
        <f>T371-V371</f>
        <v/>
      </c>
      <c r="Y371" s="30">
        <f>M371*Parameters!$B$10/60*Parameters!$B$11+O371*M371+N371</f>
        <v/>
      </c>
      <c r="Z371" s="34">
        <f>IF(U371="transition","→ Tier 2 (Stellar Neighborhood)",IF(U371="FP","First Photons — light begins, system quickens",IF(U371="HP","Heliopause acquired",IF(U371="OR","Orbital Resonance — passive multiplier active",IF(AND(AO371=1,L371=0,AN371&lt;&gt;1),"Cohesion ready (waiting on completionist upgrades)","")))))</f>
        <v/>
      </c>
      <c r="AA371" s="27">
        <f>(IF(E371=0,0,(Upgrades!$G$6+E371*Upgrades!$H$6)*POWER(Upgrades!$I$6,E371)))*(IF(Upgrades!$T$7="Solar Wind",POWER(Upgrades!$U$7,F371),1)*IF(Upgrades!$T$8="Solar Wind",POWER(Upgrades!$U$8,G371),1)*IF(Upgrades!$T$9="Solar Wind",POWER(Upgrades!$U$9,H371),1)*IF(Upgrades!$T$10="Solar Wind",POWER(Upgrades!$U$10,I371),1)*IF(Upgrades!$T$11="Solar Wind",POWER(Upgrades!$U$11,J371),1)*IF(Upgrades!$T$12="Solar Wind",POWER(Upgrades!$U$12,K371),1))*POWER(Upgrades!$P$6,E371)*POWER(Upgrades!$P$7,F371)*POWER(Upgrades!$P$8,G371)*POWER(Upgrades!$P$9,H371)*POWER(Upgrades!$P$10,I371)*POWER(Upgrades!$P$11,J371)*POWER(Upgrades!$P$12,K371)*60</f>
        <v/>
      </c>
      <c r="AB371" s="27">
        <f>(IF(F371=0,0,(Upgrades!$G$7+F371*Upgrades!$H$7)*POWER(Upgrades!$I$7,F371)))*(IF(Upgrades!$T$6="Asteroid Belt",POWER(Upgrades!$U$6,E371),1)*IF(Upgrades!$T$8="Asteroid Belt",POWER(Upgrades!$U$8,G371),1)*IF(Upgrades!$T$9="Asteroid Belt",POWER(Upgrades!$U$9,H371),1)*IF(Upgrades!$T$10="Asteroid Belt",POWER(Upgrades!$U$10,I371),1)*IF(Upgrades!$T$11="Asteroid Belt",POWER(Upgrades!$U$11,J371),1)*IF(Upgrades!$T$12="Asteroid Belt",POWER(Upgrades!$U$12,K371),1))*POWER(Upgrades!$P$6,E371)*POWER(Upgrades!$P$7,F371)*POWER(Upgrades!$P$8,G371)*POWER(Upgrades!$P$9,H371)*POWER(Upgrades!$P$10,I371)*POWER(Upgrades!$P$11,J371)*POWER(Upgrades!$P$12,K371)*60</f>
        <v/>
      </c>
      <c r="AC371" s="27">
        <f>(IF(G371=0,0,(Upgrades!$J$8+G371*Upgrades!$K$8)*POWER(Upgrades!$L$8,G371)))*(IF(Upgrades!$T$6="Stellar Coupling",POWER(Upgrades!$U$6,E371),1)*IF(Upgrades!$T$7="Stellar Coupling",POWER(Upgrades!$U$7,F371),1)*IF(Upgrades!$T$9="Stellar Coupling",POWER(Upgrades!$U$9,H371),1)*IF(Upgrades!$T$10="Stellar Coupling",POWER(Upgrades!$U$10,I371),1)*IF(Upgrades!$T$11="Stellar Coupling",POWER(Upgrades!$U$11,J371),1)*IF(Upgrades!$T$12="Stellar Coupling",POWER(Upgrades!$U$12,K371),1))*POWER(Upgrades!$Q$6,E371)*POWER(Upgrades!$Q$7,F371)*POWER(Upgrades!$Q$8,G371)*POWER(Upgrades!$Q$9,H371)*POWER(Upgrades!$Q$10,I371)*POWER(Upgrades!$Q$11,J371)*POWER(Upgrades!$Q$12,K371)*Parameters!$B$10*Parameters!$B$11</f>
        <v/>
      </c>
      <c r="AD371" s="27">
        <f>(IF(H371=0,0,(Upgrades!$G$9+H371*Upgrades!$H$9)*POWER(Upgrades!$I$9,H371)))*(IF(Upgrades!$T$6="Magnetosphere",POWER(Upgrades!$U$6,E371),1)*IF(Upgrades!$T$7="Magnetosphere",POWER(Upgrades!$U$7,F371),1)*IF(Upgrades!$T$8="Magnetosphere",POWER(Upgrades!$U$8,G371),1)*IF(Upgrades!$T$10="Magnetosphere",POWER(Upgrades!$U$10,I371),1)*IF(Upgrades!$T$11="Magnetosphere",POWER(Upgrades!$U$11,J371),1)*IF(Upgrades!$T$12="Magnetosphere",POWER(Upgrades!$U$12,K371),1))*POWER(Upgrades!$P$6,E371)*POWER(Upgrades!$P$7,F371)*POWER(Upgrades!$P$8,G371)*POWER(Upgrades!$P$9,H371)*POWER(Upgrades!$P$10,I371)*POWER(Upgrades!$P$11,J371)*POWER(Upgrades!$P$12,K371)*60</f>
        <v/>
      </c>
      <c r="AE371" s="27">
        <f>(IF(K371=0,0,(Upgrades!$G$12+K371*Upgrades!$H$12)*POWER(Upgrades!$I$12,K371)))*(IF(Upgrades!$T$6="First Photons",POWER(Upgrades!$U$6,E371),1)*IF(Upgrades!$T$7="First Photons",POWER(Upgrades!$U$7,F371),1)*IF(Upgrades!$T$8="First Photons",POWER(Upgrades!$U$8,G371),1)*IF(Upgrades!$T$9="First Photons",POWER(Upgrades!$U$9,H371),1)*IF(Upgrades!$T$10="First Photons",POWER(Upgrades!$U$10,I371),1)*IF(Upgrades!$T$11="First Photons",POWER(Upgrades!$U$11,J371),1))*POWER(Upgrades!$P$6,E371)*POWER(Upgrades!$P$7,F371)*POWER(Upgrades!$P$8,G371)*POWER(Upgrades!$P$9,H371)*POWER(Upgrades!$P$10,I371)*POWER(Upgrades!$P$11,J371)*POWER(Upgrades!$P$12,K371)*60</f>
        <v/>
      </c>
      <c r="AF371" s="27">
        <f>Parameters!$B$9*POWER(Upgrades!$Q$6,E371)*POWER(Upgrades!$Q$7,F371)*POWER(Upgrades!$Q$8,G371)*POWER(Upgrades!$Q$9,H371)*POWER(Upgrades!$Q$10,I371)*POWER(Upgrades!$Q$11,J371)*POWER(Upgrades!$Q$12,K371)*(Parameters!$B$10*Parameters!$B$11+O371*60)</f>
        <v/>
      </c>
      <c r="AG371" s="22">
        <f>IF(E371&gt;=Upgrades!$E$6,"",Upgrades!$C$6*POWER(Upgrades!$D$6,E371))</f>
        <v/>
      </c>
      <c r="AH371" s="22">
        <f>IF(F371&gt;=Upgrades!$E$7,"",Upgrades!$C$7*POWER(Upgrades!$D$7,F371))</f>
        <v/>
      </c>
      <c r="AI371" s="22">
        <f>IF(G371&gt;=Upgrades!$E$8,"",Upgrades!$C$8*POWER(Upgrades!$D$8,G371))</f>
        <v/>
      </c>
      <c r="AJ371" s="22">
        <f>IF(H371&gt;=Upgrades!$E$9,"",Upgrades!$C$9*POWER(Upgrades!$D$9,H371))</f>
        <v/>
      </c>
      <c r="AK371" s="22">
        <f>IF(I371&gt;=Upgrades!$E$10,"",Upgrades!$C$10*POWER(Upgrades!$D$10,I371))</f>
        <v/>
      </c>
      <c r="AL371" s="22">
        <f>IF(J371&gt;=Upgrades!$E$11,"",Upgrades!$C$11*POWER(Upgrades!$D$11,J371))</f>
        <v/>
      </c>
      <c r="AM371" s="22">
        <f>IF(K371&gt;=Upgrades!$E$12,"",Upgrades!$C$12*POWER(Upgrades!$D$12,K371))</f>
        <v/>
      </c>
      <c r="AN371" s="26">
        <f>IF(AND(D371&gt;=Parameters!$B$18,(H371&gt;=Upgrades!$E$9)*(K371&gt;=Upgrades!$E$12)=1,L371=0),1,"")</f>
        <v/>
      </c>
      <c r="AO371" s="26">
        <f>IF(AND(D371&gt;=Parameters!$B$18,L371=0),1,"")</f>
        <v/>
      </c>
      <c r="AP371" s="22">
        <f>MIN(IF(ISNUMBER(AK371),AK371,9E15),IF(ISNUMBER(AL371),AL371,9E15),IF(ISNUMBER(AM371),AM371,9E15))</f>
        <v/>
      </c>
      <c r="AQ371" s="22">
        <f>MIN(IF(ISNUMBER(AG371),AG371,9E15),IF(ISNUMBER(AH371),AH371,9E15),IF(ISNUMBER(AI371),AI371,9E15),IF(ISNUMBER(AJ371),AJ371,9E15))</f>
        <v/>
      </c>
      <c r="AR371" s="29">
        <f>IF(AW371&gt;Parameters!$B$21*(MAX(IF(AND(NOT(AND(AO371=1,AN371&lt;&gt;1)),ISNUMBER(AG371),AG371&lt;=T371),AS371,0),IF(AND(NOT(AND(AO371=1,AN371&lt;&gt;1)),ISNUMBER(AH371),AH371&lt;=T371),AT371,0),IF(AND(NOT(AND(AO371=1,AN371&lt;&gt;1)),ISNUMBER(AI371),AI371&lt;=T371),AU371,0),IF(AND(ISNUMBER(AJ371),AJ371&lt;=T371),AV371,0))),TRUE,FALSE)</f>
        <v/>
      </c>
      <c r="AS371" s="32">
        <f>IFERROR(Upgrades!$H$6*(POWER(Upgrades!$P$6,E371)*POWER(Upgrades!$P$7,F371)*POWER(Upgrades!$P$8,G371)*POWER(Upgrades!$P$9,H371)*POWER(Upgrades!$P$10,I371)*POWER(Upgrades!$P$11,J371)*POWER(Upgrades!$P$12,K371))*(IF(Upgrades!$T$7="Solar Wind",POWER(Upgrades!$U$7,F371),1)*IF(Upgrades!$T$8="Solar Wind",POWER(Upgrades!$U$8,G371),1)*IF(Upgrades!$T$9="Solar Wind",POWER(Upgrades!$U$9,H371),1)*IF(Upgrades!$T$10="Solar Wind",POWER(Upgrades!$U$10,I371),1)*IF(Upgrades!$T$11="Solar Wind",POWER(Upgrades!$U$11,J371),1)*IF(Upgrades!$T$12="Solar Wind",POWER(Upgrades!$U$12,K371),1))/AG371,0)</f>
        <v/>
      </c>
      <c r="AT371" s="32">
        <f>IFERROR(Upgrades!$H$7*(POWER(Upgrades!$P$6,E371)*POWER(Upgrades!$P$7,F371)*POWER(Upgrades!$P$8,G371)*POWER(Upgrades!$P$9,H371)*POWER(Upgrades!$P$10,I371)*POWER(Upgrades!$P$11,J371)*POWER(Upgrades!$P$12,K371))*(IF(Upgrades!$T$6="Asteroid Belt",POWER(Upgrades!$U$6,E371),1)*IF(Upgrades!$T$8="Asteroid Belt",POWER(Upgrades!$U$8,G371),1)*IF(Upgrades!$T$9="Asteroid Belt",POWER(Upgrades!$U$9,H371),1)*IF(Upgrades!$T$10="Asteroid Belt",POWER(Upgrades!$U$10,I371),1)*IF(Upgrades!$T$11="Asteroid Belt",POWER(Upgrades!$U$11,J371),1)*IF(Upgrades!$T$12="Asteroid Belt",POWER(Upgrades!$U$12,K371),1))/AH371,0)</f>
        <v/>
      </c>
      <c r="AU371" s="32">
        <f>IFERROR(Upgrades!$K$8*(POWER(Upgrades!$Q$6,E371)*POWER(Upgrades!$Q$7,F371)*POWER(Upgrades!$Q$8,G371)*POWER(Upgrades!$Q$9,H371)*POWER(Upgrades!$Q$10,I371)*POWER(Upgrades!$Q$11,J371)*POWER(Upgrades!$Q$12,K371))*(IF(Upgrades!$T$6="Stellar Coupling",POWER(Upgrades!$U$6,E371),1)*IF(Upgrades!$T$7="Stellar Coupling",POWER(Upgrades!$U$7,F371),1)*IF(Upgrades!$T$9="Stellar Coupling",POWER(Upgrades!$U$9,H371),1)*IF(Upgrades!$T$10="Stellar Coupling",POWER(Upgrades!$U$10,I371),1)*IF(Upgrades!$T$11="Stellar Coupling",POWER(Upgrades!$U$11,J371),1)*IF(Upgrades!$T$12="Stellar Coupling",POWER(Upgrades!$U$12,K371),1))*Parameters!$B$10*Parameters!$B$11/60/AI371,0)</f>
        <v/>
      </c>
      <c r="AV371" s="32">
        <f>IFERROR(Upgrades!$H$9*(POWER(Upgrades!$P$6,E371)*POWER(Upgrades!$P$7,F371)*POWER(Upgrades!$P$8,G371)*POWER(Upgrades!$P$9,H371)*POWER(Upgrades!$P$10,I371)*POWER(Upgrades!$P$11,J371)*POWER(Upgrades!$P$12,K371))*(IF(Upgrades!$T$6="Magnetosphere",POWER(Upgrades!$U$6,E371),1)*IF(Upgrades!$T$7="Magnetosphere",POWER(Upgrades!$U$7,F371),1)*IF(Upgrades!$T$8="Magnetosphere",POWER(Upgrades!$U$8,G371),1)*IF(Upgrades!$T$10="Magnetosphere",POWER(Upgrades!$U$10,I371),1)*IF(Upgrades!$T$11="Magnetosphere",POWER(Upgrades!$U$11,J371),1)*IF(Upgrades!$T$12="Magnetosphere",POWER(Upgrades!$U$12,K371),1))/AJ371,0)</f>
        <v/>
      </c>
      <c r="AW371" s="32">
        <f>MAX(IF(I371&gt;0,0,IFERROR(0.25*N371/Upgrades!$C$10,0)),IF(J371&gt;0,0,IFERROR(0.5*((IF(G371=0,0,(Upgrades!$J$8+G371*Upgrades!$K$8)*POWER(Upgrades!$L$8,G371)))*(IF(Upgrades!$T$6="Stellar Coupling",POWER(Upgrades!$U$6,E371),1)*IF(Upgrades!$T$7="Stellar Coupling",POWER(Upgrades!$U$7,F371),1)*IF(Upgrades!$T$9="Stellar Coupling",POWER(Upgrades!$U$9,H371),1)*IF(Upgrades!$T$10="Stellar Coupling",POWER(Upgrades!$U$10,I371),1)*IF(Upgrades!$T$11="Stellar Coupling",POWER(Upgrades!$U$11,J371),1)*IF(Upgrades!$T$12="Stellar Coupling",POWER(Upgrades!$U$12,K371),1))*(POWER(Upgrades!$Q$6,E371)*POWER(Upgrades!$Q$7,F371)*POWER(Upgrades!$Q$8,G371)*POWER(Upgrades!$Q$9,H371)*POWER(Upgrades!$Q$10,I371)*POWER(Upgrades!$Q$11,J371)*POWER(Upgrades!$Q$12,K371))*Parameters!$B$10*Parameters!$B$11/60)/Upgrades!$C$11,0)),IF(K371&gt;0,0,IFERROR((1.0*(POWER(Upgrades!$P$6,E371)*POWER(Upgrades!$P$7,F371)*POWER(Upgrades!$P$8,G371)*POWER(Upgrades!$P$9,H371)*POWER(Upgrades!$P$10,I371)*POWER(Upgrades!$P$11,J371)*POWER(Upgrades!$P$12,K371))+0.20*M371*Parameters!$B$10*Parameters!$B$11/60)/Upgrades!$C$12,0)),IF(AND(ISNUMBER(AG371),AG371&gt;T371),AS371,0),IF(AND(ISNUMBER(AH371),AH371&gt;T371),AT371,0),IF(AND(ISNUMBER(AI371),AI371&gt;T371),AU371,0),IF(AND(ISNUMBER(AJ371),AJ371&gt;T371),AV371,0))</f>
        <v/>
      </c>
      <c r="AX371" s="29">
        <f>IF(AN371=1,"transition",IF(MIN(IF(AND(I371=0,ISNUMBER(AK371),AK371&lt;=T371),AK371,9E15),IF(AND(J371=0,ISNUMBER(AL371),AL371&lt;=T371),AL371,9E15),IF(AND(K371=0,ISNUMBER(AM371),AM371&lt;=T371),AM371,9E15))&lt;9E15,IF(AND(AND(I371=0,ISNUMBER(AK371),AK371&lt;=T371),AK371=MIN(IF(AND(I371=0,ISNUMBER(AK371),AK371&lt;=T371),AK371,9E15),IF(AND(J371=0,ISNUMBER(AL371),AL371&lt;=T371),AL371,9E15),IF(AND(K371=0,ISNUMBER(AM371),AM371&lt;=T371),AM371,9E15))),"OR",IF(AND(AND(J371=0,ISNUMBER(AL371),AL371&lt;=T371),AL371=MIN(IF(AND(I371=0,ISNUMBER(AK371),AK371&lt;=T371),AK371,9E15),IF(AND(J371=0,ISNUMBER(AL371),AL371&lt;=T371),AL371,9E15),IF(AND(K371=0,ISNUMBER(AM371),AM371&lt;=T371),AM371,9E15))),"HP","FP")),IF(AR371=TRUE,"",IF(MAX(IF(AND(NOT(AND(AO371=1,AN371&lt;&gt;1)),ISNUMBER(AG371),AG371&lt;=T371),AS371,0),IF(AND(NOT(AND(AO371=1,AN371&lt;&gt;1)),ISNUMBER(AH371),AH371&lt;=T371),AT371,0),IF(AND(NOT(AND(AO371=1,AN371&lt;&gt;1)),ISNUMBER(AI371),AI371&lt;=T371),AU371,0),IF(AND(ISNUMBER(AJ371),AJ371&lt;=T371),AV371,0))&lt;=0,"",IF(AND(IF(AND(NOT(AND(AO371=1,AN371&lt;&gt;1)),ISNUMBER(AG371),AG371&lt;=T371),AS371,0)&gt;0,IF(AND(NOT(AND(AO371=1,AN371&lt;&gt;1)),ISNUMBER(AG371),AG371&lt;=T371),AS371,0)=MAX(IF(AND(NOT(AND(AO371=1,AN371&lt;&gt;1)),ISNUMBER(AG371),AG371&lt;=T371),AS371,0),IF(AND(NOT(AND(AO371=1,AN371&lt;&gt;1)),ISNUMBER(AH371),AH371&lt;=T371),AT371,0),IF(AND(NOT(AND(AO371=1,AN371&lt;&gt;1)),ISNUMBER(AI371),AI371&lt;=T371),AU371,0),IF(AND(ISNUMBER(AJ371),AJ371&lt;=T371),AV371,0))),"SW",IF(AND(IF(AND(NOT(AND(AO371=1,AN371&lt;&gt;1)),ISNUMBER(AH371),AH371&lt;=T371),AT371,0)&gt;0,IF(AND(NOT(AND(AO371=1,AN371&lt;&gt;1)),ISNUMBER(AH371),AH371&lt;=T371),AT371,0)=MAX(IF(AND(NOT(AND(AO371=1,AN371&lt;&gt;1)),ISNUMBER(AG371),AG371&lt;=T371),AS371,0),IF(AND(NOT(AND(AO371=1,AN371&lt;&gt;1)),ISNUMBER(AH371),AH371&lt;=T371),AT371,0),IF(AND(NOT(AND(AO371=1,AN371&lt;&gt;1)),ISNUMBER(AI371),AI371&lt;=T371),AU371,0),IF(AND(ISNUMBER(AJ371),AJ371&lt;=T371),AV371,0))),"AB",IF(AND(IF(AND(NOT(AND(AO371=1,AN371&lt;&gt;1)),ISNUMBER(AI371),AI371&lt;=T371),AU371,0)&gt;0,IF(AND(NOT(AND(AO371=1,AN371&lt;&gt;1)),ISNUMBER(AI371),AI371&lt;=T371),AU371,0)=MAX(IF(AND(NOT(AND(AO371=1,AN371&lt;&gt;1)),ISNUMBER(AG371),AG371&lt;=T371),AS371,0),IF(AND(NOT(AND(AO371=1,AN371&lt;&gt;1)),ISNUMBER(AH371),AH371&lt;=T371),AT371,0),IF(AND(NOT(AND(AO371=1,AN371&lt;&gt;1)),ISNUMBER(AI371),AI371&lt;=T371),AU371,0),IF(AND(ISNUMBER(AJ371),AJ371&lt;=T371),AV371,0))),"SC","Mag")))))))</f>
        <v/>
      </c>
    </row>
    <row r="372">
      <c r="A372" s="26" t="n">
        <v>367</v>
      </c>
      <c r="B372" s="27">
        <f>A372*10/60</f>
        <v/>
      </c>
      <c r="C372" s="22">
        <f>X371</f>
        <v/>
      </c>
      <c r="D372" s="27">
        <f>D371+W371</f>
        <v/>
      </c>
      <c r="E372" s="26">
        <f>E371+IF(U371="SW",1,0)</f>
        <v/>
      </c>
      <c r="F372" s="26">
        <f>F371+IF(U371="AB",1,0)</f>
        <v/>
      </c>
      <c r="G372" s="26">
        <f>G371+IF(U371="SC",1,0)</f>
        <v/>
      </c>
      <c r="H372" s="26">
        <f>H371+IF(U371="Mag",1,0)</f>
        <v/>
      </c>
      <c r="I372" s="26">
        <f>MAX(I371,IF(U371="OR",1,0))</f>
        <v/>
      </c>
      <c r="J372" s="26">
        <f>MAX(J371,IF(U371="HP",1,0))</f>
        <v/>
      </c>
      <c r="K372" s="26">
        <f>MAX(K371,IF(U371="FP",1,0))</f>
        <v/>
      </c>
      <c r="L372" s="26">
        <f>MAX(L371,IF(U371="transition",1,0))</f>
        <v/>
      </c>
      <c r="M372" s="28">
        <f>(Parameters!$B$9+(IF(E372=0,0,(Upgrades!$J$6+E372*Upgrades!$K$6)*POWER(Upgrades!$L$6,E372)))*(IF(Upgrades!$T$7="Solar Wind",POWER(Upgrades!$U$7,F372),1)*IF(Upgrades!$T$8="Solar Wind",POWER(Upgrades!$U$8,G372),1)*IF(Upgrades!$T$9="Solar Wind",POWER(Upgrades!$U$9,H372),1)*IF(Upgrades!$T$10="Solar Wind",POWER(Upgrades!$U$10,I372),1)*IF(Upgrades!$T$11="Solar Wind",POWER(Upgrades!$U$11,J372),1)*IF(Upgrades!$T$12="Solar Wind",POWER(Upgrades!$U$12,K372),1))+(IF(F372=0,0,(Upgrades!$J$7+F372*Upgrades!$K$7)*POWER(Upgrades!$L$7,F372)))*(IF(Upgrades!$T$6="Asteroid Belt",POWER(Upgrades!$U$6,E372),1)*IF(Upgrades!$T$8="Asteroid Belt",POWER(Upgrades!$U$8,G372),1)*IF(Upgrades!$T$9="Asteroid Belt",POWER(Upgrades!$U$9,H372),1)*IF(Upgrades!$T$10="Asteroid Belt",POWER(Upgrades!$U$10,I372),1)*IF(Upgrades!$T$11="Asteroid Belt",POWER(Upgrades!$U$11,J372),1)*IF(Upgrades!$T$12="Asteroid Belt",POWER(Upgrades!$U$12,K372),1))+(IF(G372=0,0,(Upgrades!$J$8+G372*Upgrades!$K$8)*POWER(Upgrades!$L$8,G372)))*(IF(Upgrades!$T$6="Stellar Coupling",POWER(Upgrades!$U$6,E372),1)*IF(Upgrades!$T$7="Stellar Coupling",POWER(Upgrades!$U$7,F372),1)*IF(Upgrades!$T$9="Stellar Coupling",POWER(Upgrades!$U$9,H372),1)*IF(Upgrades!$T$10="Stellar Coupling",POWER(Upgrades!$U$10,I372),1)*IF(Upgrades!$T$11="Stellar Coupling",POWER(Upgrades!$U$11,J372),1)*IF(Upgrades!$T$12="Stellar Coupling",POWER(Upgrades!$U$12,K372),1))+(IF(H372=0,0,(Upgrades!$J$9+H372*Upgrades!$K$9)*POWER(Upgrades!$L$9,H372)))*(IF(Upgrades!$T$6="Magnetosphere",POWER(Upgrades!$U$6,E372),1)*IF(Upgrades!$T$7="Magnetosphere",POWER(Upgrades!$U$7,F372),1)*IF(Upgrades!$T$8="Magnetosphere",POWER(Upgrades!$U$8,G372),1)*IF(Upgrades!$T$10="Magnetosphere",POWER(Upgrades!$U$10,I372),1)*IF(Upgrades!$T$11="Magnetosphere",POWER(Upgrades!$U$11,J372),1)*IF(Upgrades!$T$12="Magnetosphere",POWER(Upgrades!$U$12,K372),1))+(IF(I372=0,0,(Upgrades!$J$10+I372*Upgrades!$K$10)*POWER(Upgrades!$L$10,I372)))*(IF(Upgrades!$T$6="Orbital Resonance",POWER(Upgrades!$U$6,E372),1)*IF(Upgrades!$T$7="Orbital Resonance",POWER(Upgrades!$U$7,F372),1)*IF(Upgrades!$T$8="Orbital Resonance",POWER(Upgrades!$U$8,G372),1)*IF(Upgrades!$T$9="Orbital Resonance",POWER(Upgrades!$U$9,H372),1)*IF(Upgrades!$T$11="Orbital Resonance",POWER(Upgrades!$U$11,J372),1)*IF(Upgrades!$T$12="Orbital Resonance",POWER(Upgrades!$U$12,K372),1))+(IF(J372=0,0,(Upgrades!$J$11+J372*Upgrades!$K$11)*POWER(Upgrades!$L$11,J372)))*(IF(Upgrades!$T$6="Heliopause",POWER(Upgrades!$U$6,E372),1)*IF(Upgrades!$T$7="Heliopause",POWER(Upgrades!$U$7,F372),1)*IF(Upgrades!$T$8="Heliopause",POWER(Upgrades!$U$8,G372),1)*IF(Upgrades!$T$9="Heliopause",POWER(Upgrades!$U$9,H372),1)*IF(Upgrades!$T$10="Heliopause",POWER(Upgrades!$U$10,I372),1)*IF(Upgrades!$T$12="Heliopause",POWER(Upgrades!$U$12,K372),1))+(IF(K372=0,0,(Upgrades!$J$12+K372*Upgrades!$K$12)*POWER(Upgrades!$L$12,K372)))*(IF(Upgrades!$T$6="First Photons",POWER(Upgrades!$U$6,E372),1)*IF(Upgrades!$T$7="First Photons",POWER(Upgrades!$U$7,F372),1)*IF(Upgrades!$T$8="First Photons",POWER(Upgrades!$U$8,G372),1)*IF(Upgrades!$T$9="First Photons",POWER(Upgrades!$U$9,H372),1)*IF(Upgrades!$T$10="First Photons",POWER(Upgrades!$U$10,I372),1)*IF(Upgrades!$T$11="First Photons",POWER(Upgrades!$U$11,J372),1)))*POWER(Upgrades!$Q$6,E372)*POWER(Upgrades!$Q$7,F372)*POWER(Upgrades!$Q$8,G372)*POWER(Upgrades!$Q$9,H372)*POWER(Upgrades!$Q$10,I372)*POWER(Upgrades!$Q$11,J372)*POWER(Upgrades!$Q$12,K372)</f>
        <v/>
      </c>
      <c r="N372" s="28">
        <f>((IF(E372=0,0,(Upgrades!$G$6+E372*Upgrades!$H$6)*POWER(Upgrades!$I$6,E372)))*(IF(Upgrades!$T$7="Solar Wind",POWER(Upgrades!$U$7,F372),1)*IF(Upgrades!$T$8="Solar Wind",POWER(Upgrades!$U$8,G372),1)*IF(Upgrades!$T$9="Solar Wind",POWER(Upgrades!$U$9,H372),1)*IF(Upgrades!$T$10="Solar Wind",POWER(Upgrades!$U$10,I372),1)*IF(Upgrades!$T$11="Solar Wind",POWER(Upgrades!$U$11,J372),1)*IF(Upgrades!$T$12="Solar Wind",POWER(Upgrades!$U$12,K372),1))+(IF(F372=0,0,(Upgrades!$G$7+F372*Upgrades!$H$7)*POWER(Upgrades!$I$7,F372)))*(IF(Upgrades!$T$6="Asteroid Belt",POWER(Upgrades!$U$6,E372),1)*IF(Upgrades!$T$8="Asteroid Belt",POWER(Upgrades!$U$8,G372),1)*IF(Upgrades!$T$9="Asteroid Belt",POWER(Upgrades!$U$9,H372),1)*IF(Upgrades!$T$10="Asteroid Belt",POWER(Upgrades!$U$10,I372),1)*IF(Upgrades!$T$11="Asteroid Belt",POWER(Upgrades!$U$11,J372),1)*IF(Upgrades!$T$12="Asteroid Belt",POWER(Upgrades!$U$12,K372),1))+(IF(G372=0,0,(Upgrades!$G$8+G372*Upgrades!$H$8)*POWER(Upgrades!$I$8,G372)))*(IF(Upgrades!$T$6="Stellar Coupling",POWER(Upgrades!$U$6,E372),1)*IF(Upgrades!$T$7="Stellar Coupling",POWER(Upgrades!$U$7,F372),1)*IF(Upgrades!$T$9="Stellar Coupling",POWER(Upgrades!$U$9,H372),1)*IF(Upgrades!$T$10="Stellar Coupling",POWER(Upgrades!$U$10,I372),1)*IF(Upgrades!$T$11="Stellar Coupling",POWER(Upgrades!$U$11,J372),1)*IF(Upgrades!$T$12="Stellar Coupling",POWER(Upgrades!$U$12,K372),1))+(IF(H372=0,0,(Upgrades!$G$9+H372*Upgrades!$H$9)*POWER(Upgrades!$I$9,H372)))*(IF(Upgrades!$T$6="Magnetosphere",POWER(Upgrades!$U$6,E372),1)*IF(Upgrades!$T$7="Magnetosphere",POWER(Upgrades!$U$7,F372),1)*IF(Upgrades!$T$8="Magnetosphere",POWER(Upgrades!$U$8,G372),1)*IF(Upgrades!$T$10="Magnetosphere",POWER(Upgrades!$U$10,I372),1)*IF(Upgrades!$T$11="Magnetosphere",POWER(Upgrades!$U$11,J372),1)*IF(Upgrades!$T$12="Magnetosphere",POWER(Upgrades!$U$12,K372),1))+(IF(I372=0,0,(Upgrades!$G$10+I372*Upgrades!$H$10)*POWER(Upgrades!$I$10,I372)))*(IF(Upgrades!$T$6="Orbital Resonance",POWER(Upgrades!$U$6,E372),1)*IF(Upgrades!$T$7="Orbital Resonance",POWER(Upgrades!$U$7,F372),1)*IF(Upgrades!$T$8="Orbital Resonance",POWER(Upgrades!$U$8,G372),1)*IF(Upgrades!$T$9="Orbital Resonance",POWER(Upgrades!$U$9,H372),1)*IF(Upgrades!$T$11="Orbital Resonance",POWER(Upgrades!$U$11,J372),1)*IF(Upgrades!$T$12="Orbital Resonance",POWER(Upgrades!$U$12,K372),1))+(IF(J372=0,0,(Upgrades!$G$11+J372*Upgrades!$H$11)*POWER(Upgrades!$I$11,J372)))*(IF(Upgrades!$T$6="Heliopause",POWER(Upgrades!$U$6,E372),1)*IF(Upgrades!$T$7="Heliopause",POWER(Upgrades!$U$7,F372),1)*IF(Upgrades!$T$8="Heliopause",POWER(Upgrades!$U$8,G372),1)*IF(Upgrades!$T$9="Heliopause",POWER(Upgrades!$U$9,H372),1)*IF(Upgrades!$T$10="Heliopause",POWER(Upgrades!$U$10,I372),1)*IF(Upgrades!$T$12="Heliopause",POWER(Upgrades!$U$12,K372),1))+(IF(K372=0,0,(Upgrades!$G$12+K372*Upgrades!$H$12)*POWER(Upgrades!$I$12,K372)))*(IF(Upgrades!$T$6="First Photons",POWER(Upgrades!$U$6,E372),1)*IF(Upgrades!$T$7="First Photons",POWER(Upgrades!$U$7,F372),1)*IF(Upgrades!$T$8="First Photons",POWER(Upgrades!$U$8,G372),1)*IF(Upgrades!$T$9="First Photons",POWER(Upgrades!$U$9,H372),1)*IF(Upgrades!$T$10="First Photons",POWER(Upgrades!$U$10,I372),1)*IF(Upgrades!$T$11="First Photons",POWER(Upgrades!$U$11,J372),1)))*POWER(Upgrades!$P$6,E372)*POWER(Upgrades!$P$7,F372)*POWER(Upgrades!$P$8,G372)*POWER(Upgrades!$P$9,H372)*POWER(Upgrades!$P$10,I372)*POWER(Upgrades!$P$11,J372)*POWER(Upgrades!$P$12,K372)</f>
        <v/>
      </c>
      <c r="O372" s="28">
        <f>((IF(E372=0,0,(Upgrades!$M$6+E372*Upgrades!$N$6)*POWER(Upgrades!$O$6,E372)))*(IF(Upgrades!$T$7="Solar Wind",POWER(Upgrades!$U$7,F372),1)*IF(Upgrades!$T$8="Solar Wind",POWER(Upgrades!$U$8,G372),1)*IF(Upgrades!$T$9="Solar Wind",POWER(Upgrades!$U$9,H372),1)*IF(Upgrades!$T$10="Solar Wind",POWER(Upgrades!$U$10,I372),1)*IF(Upgrades!$T$11="Solar Wind",POWER(Upgrades!$U$11,J372),1)*IF(Upgrades!$T$12="Solar Wind",POWER(Upgrades!$U$12,K372),1))+(IF(F372=0,0,(Upgrades!$M$7+F372*Upgrades!$N$7)*POWER(Upgrades!$O$7,F372)))*(IF(Upgrades!$T$6="Asteroid Belt",POWER(Upgrades!$U$6,E372),1)*IF(Upgrades!$T$8="Asteroid Belt",POWER(Upgrades!$U$8,G372),1)*IF(Upgrades!$T$9="Asteroid Belt",POWER(Upgrades!$U$9,H372),1)*IF(Upgrades!$T$10="Asteroid Belt",POWER(Upgrades!$U$10,I372),1)*IF(Upgrades!$T$11="Asteroid Belt",POWER(Upgrades!$U$11,J372),1)*IF(Upgrades!$T$12="Asteroid Belt",POWER(Upgrades!$U$12,K372),1))+(IF(G372=0,0,(Upgrades!$M$8+G372*Upgrades!$N$8)*POWER(Upgrades!$O$8,G372)))*(IF(Upgrades!$T$6="Stellar Coupling",POWER(Upgrades!$U$6,E372),1)*IF(Upgrades!$T$7="Stellar Coupling",POWER(Upgrades!$U$7,F372),1)*IF(Upgrades!$T$9="Stellar Coupling",POWER(Upgrades!$U$9,H372),1)*IF(Upgrades!$T$10="Stellar Coupling",POWER(Upgrades!$U$10,I372),1)*IF(Upgrades!$T$11="Stellar Coupling",POWER(Upgrades!$U$11,J372),1)*IF(Upgrades!$T$12="Stellar Coupling",POWER(Upgrades!$U$12,K372),1))+(IF(H372=0,0,(Upgrades!$M$9+H372*Upgrades!$N$9)*POWER(Upgrades!$O$9,H372)))*(IF(Upgrades!$T$6="Magnetosphere",POWER(Upgrades!$U$6,E372),1)*IF(Upgrades!$T$7="Magnetosphere",POWER(Upgrades!$U$7,F372),1)*IF(Upgrades!$T$8="Magnetosphere",POWER(Upgrades!$U$8,G372),1)*IF(Upgrades!$T$10="Magnetosphere",POWER(Upgrades!$U$10,I372),1)*IF(Upgrades!$T$11="Magnetosphere",POWER(Upgrades!$U$11,J372),1)*IF(Upgrades!$T$12="Magnetosphere",POWER(Upgrades!$U$12,K372),1))+(IF(I372=0,0,(Upgrades!$M$10+I372*Upgrades!$N$10)*POWER(Upgrades!$O$10,I372)))*(IF(Upgrades!$T$6="Orbital Resonance",POWER(Upgrades!$U$6,E372),1)*IF(Upgrades!$T$7="Orbital Resonance",POWER(Upgrades!$U$7,F372),1)*IF(Upgrades!$T$8="Orbital Resonance",POWER(Upgrades!$U$8,G372),1)*IF(Upgrades!$T$9="Orbital Resonance",POWER(Upgrades!$U$9,H372),1)*IF(Upgrades!$T$11="Orbital Resonance",POWER(Upgrades!$U$11,J372),1)*IF(Upgrades!$T$12="Orbital Resonance",POWER(Upgrades!$U$12,K372),1))+(IF(J372=0,0,(Upgrades!$M$11+J372*Upgrades!$N$11)*POWER(Upgrades!$O$11,J372)))*(IF(Upgrades!$T$6="Heliopause",POWER(Upgrades!$U$6,E372),1)*IF(Upgrades!$T$7="Heliopause",POWER(Upgrades!$U$7,F372),1)*IF(Upgrades!$T$8="Heliopause",POWER(Upgrades!$U$8,G372),1)*IF(Upgrades!$T$9="Heliopause",POWER(Upgrades!$U$9,H372),1)*IF(Upgrades!$T$10="Heliopause",POWER(Upgrades!$U$10,I372),1)*IF(Upgrades!$T$12="Heliopause",POWER(Upgrades!$U$12,K372),1))+(IF(K372=0,0,(Upgrades!$M$12+K372*Upgrades!$N$12)*POWER(Upgrades!$O$12,K372)))*(IF(Upgrades!$T$6="First Photons",POWER(Upgrades!$U$6,E372),1)*IF(Upgrades!$T$7="First Photons",POWER(Upgrades!$U$7,F372),1)*IF(Upgrades!$T$8="First Photons",POWER(Upgrades!$U$8,G372),1)*IF(Upgrades!$T$9="First Photons",POWER(Upgrades!$U$9,H372),1)*IF(Upgrades!$T$10="First Photons",POWER(Upgrades!$U$10,I372),1)*IF(Upgrades!$T$11="First Photons",POWER(Upgrades!$U$11,J372),1)))*POWER(Upgrades!$R$6,E372)*POWER(Upgrades!$R$7,F372)*POWER(Upgrades!$R$8,G372)*POWER(Upgrades!$R$9,H372)*POWER(Upgrades!$R$10,I372)*POWER(Upgrades!$R$11,J372)*POWER(Upgrades!$R$12,K372)</f>
        <v/>
      </c>
      <c r="P372" s="27">
        <f>IF(L372=1,0,M372*Parameters!$B$10/60*Parameters!$B$11*10)</f>
        <v/>
      </c>
      <c r="Q372" s="27">
        <f>IF(L372=1,0,O372*M372*10)</f>
        <v/>
      </c>
      <c r="R372" s="27">
        <f>IF(L372=1,0,N372*10)</f>
        <v/>
      </c>
      <c r="S372" s="27">
        <f>P372+Q372+R372</f>
        <v/>
      </c>
      <c r="T372" s="22">
        <f>C372+S372</f>
        <v/>
      </c>
      <c r="U372" s="33">
        <f>AX372</f>
        <v/>
      </c>
      <c r="V372" s="22">
        <f>IF(U372="",0,IF(U372="transition",0,IF(U372="SW",AG372,IF(U372="AB",AH372,IF(U372="SC",AI372,IF(U372="Mag",AJ372,IF(U372="OR",AK372,IF(U372="HP",AL372,IF(U372="FP",AM372,0)))))))))</f>
        <v/>
      </c>
      <c r="W372" s="27">
        <f>IF(U372="OR",Upgrades!$F$10,IF(U372="HP",Upgrades!$F$11,IF(U372="transition",-Parameters!$B$18,0)))</f>
        <v/>
      </c>
      <c r="X372" s="22">
        <f>T372-V372</f>
        <v/>
      </c>
      <c r="Y372" s="30">
        <f>M372*Parameters!$B$10/60*Parameters!$B$11+O372*M372+N372</f>
        <v/>
      </c>
      <c r="Z372" s="34">
        <f>IF(U372="transition","→ Tier 2 (Stellar Neighborhood)",IF(U372="FP","First Photons — light begins, system quickens",IF(U372="HP","Heliopause acquired",IF(U372="OR","Orbital Resonance — passive multiplier active",IF(AND(AO372=1,L372=0,AN372&lt;&gt;1),"Cohesion ready (waiting on completionist upgrades)","")))))</f>
        <v/>
      </c>
      <c r="AA372" s="27">
        <f>(IF(E372=0,0,(Upgrades!$G$6+E372*Upgrades!$H$6)*POWER(Upgrades!$I$6,E372)))*(IF(Upgrades!$T$7="Solar Wind",POWER(Upgrades!$U$7,F372),1)*IF(Upgrades!$T$8="Solar Wind",POWER(Upgrades!$U$8,G372),1)*IF(Upgrades!$T$9="Solar Wind",POWER(Upgrades!$U$9,H372),1)*IF(Upgrades!$T$10="Solar Wind",POWER(Upgrades!$U$10,I372),1)*IF(Upgrades!$T$11="Solar Wind",POWER(Upgrades!$U$11,J372),1)*IF(Upgrades!$T$12="Solar Wind",POWER(Upgrades!$U$12,K372),1))*POWER(Upgrades!$P$6,E372)*POWER(Upgrades!$P$7,F372)*POWER(Upgrades!$P$8,G372)*POWER(Upgrades!$P$9,H372)*POWER(Upgrades!$P$10,I372)*POWER(Upgrades!$P$11,J372)*POWER(Upgrades!$P$12,K372)*60</f>
        <v/>
      </c>
      <c r="AB372" s="27">
        <f>(IF(F372=0,0,(Upgrades!$G$7+F372*Upgrades!$H$7)*POWER(Upgrades!$I$7,F372)))*(IF(Upgrades!$T$6="Asteroid Belt",POWER(Upgrades!$U$6,E372),1)*IF(Upgrades!$T$8="Asteroid Belt",POWER(Upgrades!$U$8,G372),1)*IF(Upgrades!$T$9="Asteroid Belt",POWER(Upgrades!$U$9,H372),1)*IF(Upgrades!$T$10="Asteroid Belt",POWER(Upgrades!$U$10,I372),1)*IF(Upgrades!$T$11="Asteroid Belt",POWER(Upgrades!$U$11,J372),1)*IF(Upgrades!$T$12="Asteroid Belt",POWER(Upgrades!$U$12,K372),1))*POWER(Upgrades!$P$6,E372)*POWER(Upgrades!$P$7,F372)*POWER(Upgrades!$P$8,G372)*POWER(Upgrades!$P$9,H372)*POWER(Upgrades!$P$10,I372)*POWER(Upgrades!$P$11,J372)*POWER(Upgrades!$P$12,K372)*60</f>
        <v/>
      </c>
      <c r="AC372" s="27">
        <f>(IF(G372=0,0,(Upgrades!$J$8+G372*Upgrades!$K$8)*POWER(Upgrades!$L$8,G372)))*(IF(Upgrades!$T$6="Stellar Coupling",POWER(Upgrades!$U$6,E372),1)*IF(Upgrades!$T$7="Stellar Coupling",POWER(Upgrades!$U$7,F372),1)*IF(Upgrades!$T$9="Stellar Coupling",POWER(Upgrades!$U$9,H372),1)*IF(Upgrades!$T$10="Stellar Coupling",POWER(Upgrades!$U$10,I372),1)*IF(Upgrades!$T$11="Stellar Coupling",POWER(Upgrades!$U$11,J372),1)*IF(Upgrades!$T$12="Stellar Coupling",POWER(Upgrades!$U$12,K372),1))*POWER(Upgrades!$Q$6,E372)*POWER(Upgrades!$Q$7,F372)*POWER(Upgrades!$Q$8,G372)*POWER(Upgrades!$Q$9,H372)*POWER(Upgrades!$Q$10,I372)*POWER(Upgrades!$Q$11,J372)*POWER(Upgrades!$Q$12,K372)*Parameters!$B$10*Parameters!$B$11</f>
        <v/>
      </c>
      <c r="AD372" s="27">
        <f>(IF(H372=0,0,(Upgrades!$G$9+H372*Upgrades!$H$9)*POWER(Upgrades!$I$9,H372)))*(IF(Upgrades!$T$6="Magnetosphere",POWER(Upgrades!$U$6,E372),1)*IF(Upgrades!$T$7="Magnetosphere",POWER(Upgrades!$U$7,F372),1)*IF(Upgrades!$T$8="Magnetosphere",POWER(Upgrades!$U$8,G372),1)*IF(Upgrades!$T$10="Magnetosphere",POWER(Upgrades!$U$10,I372),1)*IF(Upgrades!$T$11="Magnetosphere",POWER(Upgrades!$U$11,J372),1)*IF(Upgrades!$T$12="Magnetosphere",POWER(Upgrades!$U$12,K372),1))*POWER(Upgrades!$P$6,E372)*POWER(Upgrades!$P$7,F372)*POWER(Upgrades!$P$8,G372)*POWER(Upgrades!$P$9,H372)*POWER(Upgrades!$P$10,I372)*POWER(Upgrades!$P$11,J372)*POWER(Upgrades!$P$12,K372)*60</f>
        <v/>
      </c>
      <c r="AE372" s="27">
        <f>(IF(K372=0,0,(Upgrades!$G$12+K372*Upgrades!$H$12)*POWER(Upgrades!$I$12,K372)))*(IF(Upgrades!$T$6="First Photons",POWER(Upgrades!$U$6,E372),1)*IF(Upgrades!$T$7="First Photons",POWER(Upgrades!$U$7,F372),1)*IF(Upgrades!$T$8="First Photons",POWER(Upgrades!$U$8,G372),1)*IF(Upgrades!$T$9="First Photons",POWER(Upgrades!$U$9,H372),1)*IF(Upgrades!$T$10="First Photons",POWER(Upgrades!$U$10,I372),1)*IF(Upgrades!$T$11="First Photons",POWER(Upgrades!$U$11,J372),1))*POWER(Upgrades!$P$6,E372)*POWER(Upgrades!$P$7,F372)*POWER(Upgrades!$P$8,G372)*POWER(Upgrades!$P$9,H372)*POWER(Upgrades!$P$10,I372)*POWER(Upgrades!$P$11,J372)*POWER(Upgrades!$P$12,K372)*60</f>
        <v/>
      </c>
      <c r="AF372" s="27">
        <f>Parameters!$B$9*POWER(Upgrades!$Q$6,E372)*POWER(Upgrades!$Q$7,F372)*POWER(Upgrades!$Q$8,G372)*POWER(Upgrades!$Q$9,H372)*POWER(Upgrades!$Q$10,I372)*POWER(Upgrades!$Q$11,J372)*POWER(Upgrades!$Q$12,K372)*(Parameters!$B$10*Parameters!$B$11+O372*60)</f>
        <v/>
      </c>
      <c r="AG372" s="22">
        <f>IF(E372&gt;=Upgrades!$E$6,"",Upgrades!$C$6*POWER(Upgrades!$D$6,E372))</f>
        <v/>
      </c>
      <c r="AH372" s="22">
        <f>IF(F372&gt;=Upgrades!$E$7,"",Upgrades!$C$7*POWER(Upgrades!$D$7,F372))</f>
        <v/>
      </c>
      <c r="AI372" s="22">
        <f>IF(G372&gt;=Upgrades!$E$8,"",Upgrades!$C$8*POWER(Upgrades!$D$8,G372))</f>
        <v/>
      </c>
      <c r="AJ372" s="22">
        <f>IF(H372&gt;=Upgrades!$E$9,"",Upgrades!$C$9*POWER(Upgrades!$D$9,H372))</f>
        <v/>
      </c>
      <c r="AK372" s="22">
        <f>IF(I372&gt;=Upgrades!$E$10,"",Upgrades!$C$10*POWER(Upgrades!$D$10,I372))</f>
        <v/>
      </c>
      <c r="AL372" s="22">
        <f>IF(J372&gt;=Upgrades!$E$11,"",Upgrades!$C$11*POWER(Upgrades!$D$11,J372))</f>
        <v/>
      </c>
      <c r="AM372" s="22">
        <f>IF(K372&gt;=Upgrades!$E$12,"",Upgrades!$C$12*POWER(Upgrades!$D$12,K372))</f>
        <v/>
      </c>
      <c r="AN372" s="26">
        <f>IF(AND(D372&gt;=Parameters!$B$18,(H372&gt;=Upgrades!$E$9)*(K372&gt;=Upgrades!$E$12)=1,L372=0),1,"")</f>
        <v/>
      </c>
      <c r="AO372" s="26">
        <f>IF(AND(D372&gt;=Parameters!$B$18,L372=0),1,"")</f>
        <v/>
      </c>
      <c r="AP372" s="22">
        <f>MIN(IF(ISNUMBER(AK372),AK372,9E15),IF(ISNUMBER(AL372),AL372,9E15),IF(ISNUMBER(AM372),AM372,9E15))</f>
        <v/>
      </c>
      <c r="AQ372" s="22">
        <f>MIN(IF(ISNUMBER(AG372),AG372,9E15),IF(ISNUMBER(AH372),AH372,9E15),IF(ISNUMBER(AI372),AI372,9E15),IF(ISNUMBER(AJ372),AJ372,9E15))</f>
        <v/>
      </c>
      <c r="AR372" s="29">
        <f>IF(AW372&gt;Parameters!$B$21*(MAX(IF(AND(NOT(AND(AO372=1,AN372&lt;&gt;1)),ISNUMBER(AG372),AG372&lt;=T372),AS372,0),IF(AND(NOT(AND(AO372=1,AN372&lt;&gt;1)),ISNUMBER(AH372),AH372&lt;=T372),AT372,0),IF(AND(NOT(AND(AO372=1,AN372&lt;&gt;1)),ISNUMBER(AI372),AI372&lt;=T372),AU372,0),IF(AND(ISNUMBER(AJ372),AJ372&lt;=T372),AV372,0))),TRUE,FALSE)</f>
        <v/>
      </c>
      <c r="AS372" s="32">
        <f>IFERROR(Upgrades!$H$6*(POWER(Upgrades!$P$6,E372)*POWER(Upgrades!$P$7,F372)*POWER(Upgrades!$P$8,G372)*POWER(Upgrades!$P$9,H372)*POWER(Upgrades!$P$10,I372)*POWER(Upgrades!$P$11,J372)*POWER(Upgrades!$P$12,K372))*(IF(Upgrades!$T$7="Solar Wind",POWER(Upgrades!$U$7,F372),1)*IF(Upgrades!$T$8="Solar Wind",POWER(Upgrades!$U$8,G372),1)*IF(Upgrades!$T$9="Solar Wind",POWER(Upgrades!$U$9,H372),1)*IF(Upgrades!$T$10="Solar Wind",POWER(Upgrades!$U$10,I372),1)*IF(Upgrades!$T$11="Solar Wind",POWER(Upgrades!$U$11,J372),1)*IF(Upgrades!$T$12="Solar Wind",POWER(Upgrades!$U$12,K372),1))/AG372,0)</f>
        <v/>
      </c>
      <c r="AT372" s="32">
        <f>IFERROR(Upgrades!$H$7*(POWER(Upgrades!$P$6,E372)*POWER(Upgrades!$P$7,F372)*POWER(Upgrades!$P$8,G372)*POWER(Upgrades!$P$9,H372)*POWER(Upgrades!$P$10,I372)*POWER(Upgrades!$P$11,J372)*POWER(Upgrades!$P$12,K372))*(IF(Upgrades!$T$6="Asteroid Belt",POWER(Upgrades!$U$6,E372),1)*IF(Upgrades!$T$8="Asteroid Belt",POWER(Upgrades!$U$8,G372),1)*IF(Upgrades!$T$9="Asteroid Belt",POWER(Upgrades!$U$9,H372),1)*IF(Upgrades!$T$10="Asteroid Belt",POWER(Upgrades!$U$10,I372),1)*IF(Upgrades!$T$11="Asteroid Belt",POWER(Upgrades!$U$11,J372),1)*IF(Upgrades!$T$12="Asteroid Belt",POWER(Upgrades!$U$12,K372),1))/AH372,0)</f>
        <v/>
      </c>
      <c r="AU372" s="32">
        <f>IFERROR(Upgrades!$K$8*(POWER(Upgrades!$Q$6,E372)*POWER(Upgrades!$Q$7,F372)*POWER(Upgrades!$Q$8,G372)*POWER(Upgrades!$Q$9,H372)*POWER(Upgrades!$Q$10,I372)*POWER(Upgrades!$Q$11,J372)*POWER(Upgrades!$Q$12,K372))*(IF(Upgrades!$T$6="Stellar Coupling",POWER(Upgrades!$U$6,E372),1)*IF(Upgrades!$T$7="Stellar Coupling",POWER(Upgrades!$U$7,F372),1)*IF(Upgrades!$T$9="Stellar Coupling",POWER(Upgrades!$U$9,H372),1)*IF(Upgrades!$T$10="Stellar Coupling",POWER(Upgrades!$U$10,I372),1)*IF(Upgrades!$T$11="Stellar Coupling",POWER(Upgrades!$U$11,J372),1)*IF(Upgrades!$T$12="Stellar Coupling",POWER(Upgrades!$U$12,K372),1))*Parameters!$B$10*Parameters!$B$11/60/AI372,0)</f>
        <v/>
      </c>
      <c r="AV372" s="32">
        <f>IFERROR(Upgrades!$H$9*(POWER(Upgrades!$P$6,E372)*POWER(Upgrades!$P$7,F372)*POWER(Upgrades!$P$8,G372)*POWER(Upgrades!$P$9,H372)*POWER(Upgrades!$P$10,I372)*POWER(Upgrades!$P$11,J372)*POWER(Upgrades!$P$12,K372))*(IF(Upgrades!$T$6="Magnetosphere",POWER(Upgrades!$U$6,E372),1)*IF(Upgrades!$T$7="Magnetosphere",POWER(Upgrades!$U$7,F372),1)*IF(Upgrades!$T$8="Magnetosphere",POWER(Upgrades!$U$8,G372),1)*IF(Upgrades!$T$10="Magnetosphere",POWER(Upgrades!$U$10,I372),1)*IF(Upgrades!$T$11="Magnetosphere",POWER(Upgrades!$U$11,J372),1)*IF(Upgrades!$T$12="Magnetosphere",POWER(Upgrades!$U$12,K372),1))/AJ372,0)</f>
        <v/>
      </c>
      <c r="AW372" s="32">
        <f>MAX(IF(I372&gt;0,0,IFERROR(0.25*N372/Upgrades!$C$10,0)),IF(J372&gt;0,0,IFERROR(0.5*((IF(G372=0,0,(Upgrades!$J$8+G372*Upgrades!$K$8)*POWER(Upgrades!$L$8,G372)))*(IF(Upgrades!$T$6="Stellar Coupling",POWER(Upgrades!$U$6,E372),1)*IF(Upgrades!$T$7="Stellar Coupling",POWER(Upgrades!$U$7,F372),1)*IF(Upgrades!$T$9="Stellar Coupling",POWER(Upgrades!$U$9,H372),1)*IF(Upgrades!$T$10="Stellar Coupling",POWER(Upgrades!$U$10,I372),1)*IF(Upgrades!$T$11="Stellar Coupling",POWER(Upgrades!$U$11,J372),1)*IF(Upgrades!$T$12="Stellar Coupling",POWER(Upgrades!$U$12,K372),1))*(POWER(Upgrades!$Q$6,E372)*POWER(Upgrades!$Q$7,F372)*POWER(Upgrades!$Q$8,G372)*POWER(Upgrades!$Q$9,H372)*POWER(Upgrades!$Q$10,I372)*POWER(Upgrades!$Q$11,J372)*POWER(Upgrades!$Q$12,K372))*Parameters!$B$10*Parameters!$B$11/60)/Upgrades!$C$11,0)),IF(K372&gt;0,0,IFERROR((1.0*(POWER(Upgrades!$P$6,E372)*POWER(Upgrades!$P$7,F372)*POWER(Upgrades!$P$8,G372)*POWER(Upgrades!$P$9,H372)*POWER(Upgrades!$P$10,I372)*POWER(Upgrades!$P$11,J372)*POWER(Upgrades!$P$12,K372))+0.20*M372*Parameters!$B$10*Parameters!$B$11/60)/Upgrades!$C$12,0)),IF(AND(ISNUMBER(AG372),AG372&gt;T372),AS372,0),IF(AND(ISNUMBER(AH372),AH372&gt;T372),AT372,0),IF(AND(ISNUMBER(AI372),AI372&gt;T372),AU372,0),IF(AND(ISNUMBER(AJ372),AJ372&gt;T372),AV372,0))</f>
        <v/>
      </c>
      <c r="AX372" s="29">
        <f>IF(AN372=1,"transition",IF(MIN(IF(AND(I372=0,ISNUMBER(AK372),AK372&lt;=T372),AK372,9E15),IF(AND(J372=0,ISNUMBER(AL372),AL372&lt;=T372),AL372,9E15),IF(AND(K372=0,ISNUMBER(AM372),AM372&lt;=T372),AM372,9E15))&lt;9E15,IF(AND(AND(I372=0,ISNUMBER(AK372),AK372&lt;=T372),AK372=MIN(IF(AND(I372=0,ISNUMBER(AK372),AK372&lt;=T372),AK372,9E15),IF(AND(J372=0,ISNUMBER(AL372),AL372&lt;=T372),AL372,9E15),IF(AND(K372=0,ISNUMBER(AM372),AM372&lt;=T372),AM372,9E15))),"OR",IF(AND(AND(J372=0,ISNUMBER(AL372),AL372&lt;=T372),AL372=MIN(IF(AND(I372=0,ISNUMBER(AK372),AK372&lt;=T372),AK372,9E15),IF(AND(J372=0,ISNUMBER(AL372),AL372&lt;=T372),AL372,9E15),IF(AND(K372=0,ISNUMBER(AM372),AM372&lt;=T372),AM372,9E15))),"HP","FP")),IF(AR372=TRUE,"",IF(MAX(IF(AND(NOT(AND(AO372=1,AN372&lt;&gt;1)),ISNUMBER(AG372),AG372&lt;=T372),AS372,0),IF(AND(NOT(AND(AO372=1,AN372&lt;&gt;1)),ISNUMBER(AH372),AH372&lt;=T372),AT372,0),IF(AND(NOT(AND(AO372=1,AN372&lt;&gt;1)),ISNUMBER(AI372),AI372&lt;=T372),AU372,0),IF(AND(ISNUMBER(AJ372),AJ372&lt;=T372),AV372,0))&lt;=0,"",IF(AND(IF(AND(NOT(AND(AO372=1,AN372&lt;&gt;1)),ISNUMBER(AG372),AG372&lt;=T372),AS372,0)&gt;0,IF(AND(NOT(AND(AO372=1,AN372&lt;&gt;1)),ISNUMBER(AG372),AG372&lt;=T372),AS372,0)=MAX(IF(AND(NOT(AND(AO372=1,AN372&lt;&gt;1)),ISNUMBER(AG372),AG372&lt;=T372),AS372,0),IF(AND(NOT(AND(AO372=1,AN372&lt;&gt;1)),ISNUMBER(AH372),AH372&lt;=T372),AT372,0),IF(AND(NOT(AND(AO372=1,AN372&lt;&gt;1)),ISNUMBER(AI372),AI372&lt;=T372),AU372,0),IF(AND(ISNUMBER(AJ372),AJ372&lt;=T372),AV372,0))),"SW",IF(AND(IF(AND(NOT(AND(AO372=1,AN372&lt;&gt;1)),ISNUMBER(AH372),AH372&lt;=T372),AT372,0)&gt;0,IF(AND(NOT(AND(AO372=1,AN372&lt;&gt;1)),ISNUMBER(AH372),AH372&lt;=T372),AT372,0)=MAX(IF(AND(NOT(AND(AO372=1,AN372&lt;&gt;1)),ISNUMBER(AG372),AG372&lt;=T372),AS372,0),IF(AND(NOT(AND(AO372=1,AN372&lt;&gt;1)),ISNUMBER(AH372),AH372&lt;=T372),AT372,0),IF(AND(NOT(AND(AO372=1,AN372&lt;&gt;1)),ISNUMBER(AI372),AI372&lt;=T372),AU372,0),IF(AND(ISNUMBER(AJ372),AJ372&lt;=T372),AV372,0))),"AB",IF(AND(IF(AND(NOT(AND(AO372=1,AN372&lt;&gt;1)),ISNUMBER(AI372),AI372&lt;=T372),AU372,0)&gt;0,IF(AND(NOT(AND(AO372=1,AN372&lt;&gt;1)),ISNUMBER(AI372),AI372&lt;=T372),AU372,0)=MAX(IF(AND(NOT(AND(AO372=1,AN372&lt;&gt;1)),ISNUMBER(AG372),AG372&lt;=T372),AS372,0),IF(AND(NOT(AND(AO372=1,AN372&lt;&gt;1)),ISNUMBER(AH372),AH372&lt;=T372),AT372,0),IF(AND(NOT(AND(AO372=1,AN372&lt;&gt;1)),ISNUMBER(AI372),AI372&lt;=T372),AU372,0),IF(AND(ISNUMBER(AJ372),AJ372&lt;=T372),AV372,0))),"SC","Mag")))))))</f>
        <v/>
      </c>
    </row>
    <row r="373">
      <c r="A373" s="26" t="n">
        <v>368</v>
      </c>
      <c r="B373" s="27">
        <f>A373*10/60</f>
        <v/>
      </c>
      <c r="C373" s="22">
        <f>X372</f>
        <v/>
      </c>
      <c r="D373" s="27">
        <f>D372+W372</f>
        <v/>
      </c>
      <c r="E373" s="26">
        <f>E372+IF(U372="SW",1,0)</f>
        <v/>
      </c>
      <c r="F373" s="26">
        <f>F372+IF(U372="AB",1,0)</f>
        <v/>
      </c>
      <c r="G373" s="26">
        <f>G372+IF(U372="SC",1,0)</f>
        <v/>
      </c>
      <c r="H373" s="26">
        <f>H372+IF(U372="Mag",1,0)</f>
        <v/>
      </c>
      <c r="I373" s="26">
        <f>MAX(I372,IF(U372="OR",1,0))</f>
        <v/>
      </c>
      <c r="J373" s="26">
        <f>MAX(J372,IF(U372="HP",1,0))</f>
        <v/>
      </c>
      <c r="K373" s="26">
        <f>MAX(K372,IF(U372="FP",1,0))</f>
        <v/>
      </c>
      <c r="L373" s="26">
        <f>MAX(L372,IF(U372="transition",1,0))</f>
        <v/>
      </c>
      <c r="M373" s="28">
        <f>(Parameters!$B$9+(IF(E373=0,0,(Upgrades!$J$6+E373*Upgrades!$K$6)*POWER(Upgrades!$L$6,E373)))*(IF(Upgrades!$T$7="Solar Wind",POWER(Upgrades!$U$7,F373),1)*IF(Upgrades!$T$8="Solar Wind",POWER(Upgrades!$U$8,G373),1)*IF(Upgrades!$T$9="Solar Wind",POWER(Upgrades!$U$9,H373),1)*IF(Upgrades!$T$10="Solar Wind",POWER(Upgrades!$U$10,I373),1)*IF(Upgrades!$T$11="Solar Wind",POWER(Upgrades!$U$11,J373),1)*IF(Upgrades!$T$12="Solar Wind",POWER(Upgrades!$U$12,K373),1))+(IF(F373=0,0,(Upgrades!$J$7+F373*Upgrades!$K$7)*POWER(Upgrades!$L$7,F373)))*(IF(Upgrades!$T$6="Asteroid Belt",POWER(Upgrades!$U$6,E373),1)*IF(Upgrades!$T$8="Asteroid Belt",POWER(Upgrades!$U$8,G373),1)*IF(Upgrades!$T$9="Asteroid Belt",POWER(Upgrades!$U$9,H373),1)*IF(Upgrades!$T$10="Asteroid Belt",POWER(Upgrades!$U$10,I373),1)*IF(Upgrades!$T$11="Asteroid Belt",POWER(Upgrades!$U$11,J373),1)*IF(Upgrades!$T$12="Asteroid Belt",POWER(Upgrades!$U$12,K373),1))+(IF(G373=0,0,(Upgrades!$J$8+G373*Upgrades!$K$8)*POWER(Upgrades!$L$8,G373)))*(IF(Upgrades!$T$6="Stellar Coupling",POWER(Upgrades!$U$6,E373),1)*IF(Upgrades!$T$7="Stellar Coupling",POWER(Upgrades!$U$7,F373),1)*IF(Upgrades!$T$9="Stellar Coupling",POWER(Upgrades!$U$9,H373),1)*IF(Upgrades!$T$10="Stellar Coupling",POWER(Upgrades!$U$10,I373),1)*IF(Upgrades!$T$11="Stellar Coupling",POWER(Upgrades!$U$11,J373),1)*IF(Upgrades!$T$12="Stellar Coupling",POWER(Upgrades!$U$12,K373),1))+(IF(H373=0,0,(Upgrades!$J$9+H373*Upgrades!$K$9)*POWER(Upgrades!$L$9,H373)))*(IF(Upgrades!$T$6="Magnetosphere",POWER(Upgrades!$U$6,E373),1)*IF(Upgrades!$T$7="Magnetosphere",POWER(Upgrades!$U$7,F373),1)*IF(Upgrades!$T$8="Magnetosphere",POWER(Upgrades!$U$8,G373),1)*IF(Upgrades!$T$10="Magnetosphere",POWER(Upgrades!$U$10,I373),1)*IF(Upgrades!$T$11="Magnetosphere",POWER(Upgrades!$U$11,J373),1)*IF(Upgrades!$T$12="Magnetosphere",POWER(Upgrades!$U$12,K373),1))+(IF(I373=0,0,(Upgrades!$J$10+I373*Upgrades!$K$10)*POWER(Upgrades!$L$10,I373)))*(IF(Upgrades!$T$6="Orbital Resonance",POWER(Upgrades!$U$6,E373),1)*IF(Upgrades!$T$7="Orbital Resonance",POWER(Upgrades!$U$7,F373),1)*IF(Upgrades!$T$8="Orbital Resonance",POWER(Upgrades!$U$8,G373),1)*IF(Upgrades!$T$9="Orbital Resonance",POWER(Upgrades!$U$9,H373),1)*IF(Upgrades!$T$11="Orbital Resonance",POWER(Upgrades!$U$11,J373),1)*IF(Upgrades!$T$12="Orbital Resonance",POWER(Upgrades!$U$12,K373),1))+(IF(J373=0,0,(Upgrades!$J$11+J373*Upgrades!$K$11)*POWER(Upgrades!$L$11,J373)))*(IF(Upgrades!$T$6="Heliopause",POWER(Upgrades!$U$6,E373),1)*IF(Upgrades!$T$7="Heliopause",POWER(Upgrades!$U$7,F373),1)*IF(Upgrades!$T$8="Heliopause",POWER(Upgrades!$U$8,G373),1)*IF(Upgrades!$T$9="Heliopause",POWER(Upgrades!$U$9,H373),1)*IF(Upgrades!$T$10="Heliopause",POWER(Upgrades!$U$10,I373),1)*IF(Upgrades!$T$12="Heliopause",POWER(Upgrades!$U$12,K373),1))+(IF(K373=0,0,(Upgrades!$J$12+K373*Upgrades!$K$12)*POWER(Upgrades!$L$12,K373)))*(IF(Upgrades!$T$6="First Photons",POWER(Upgrades!$U$6,E373),1)*IF(Upgrades!$T$7="First Photons",POWER(Upgrades!$U$7,F373),1)*IF(Upgrades!$T$8="First Photons",POWER(Upgrades!$U$8,G373),1)*IF(Upgrades!$T$9="First Photons",POWER(Upgrades!$U$9,H373),1)*IF(Upgrades!$T$10="First Photons",POWER(Upgrades!$U$10,I373),1)*IF(Upgrades!$T$11="First Photons",POWER(Upgrades!$U$11,J373),1)))*POWER(Upgrades!$Q$6,E373)*POWER(Upgrades!$Q$7,F373)*POWER(Upgrades!$Q$8,G373)*POWER(Upgrades!$Q$9,H373)*POWER(Upgrades!$Q$10,I373)*POWER(Upgrades!$Q$11,J373)*POWER(Upgrades!$Q$12,K373)</f>
        <v/>
      </c>
      <c r="N373" s="28">
        <f>((IF(E373=0,0,(Upgrades!$G$6+E373*Upgrades!$H$6)*POWER(Upgrades!$I$6,E373)))*(IF(Upgrades!$T$7="Solar Wind",POWER(Upgrades!$U$7,F373),1)*IF(Upgrades!$T$8="Solar Wind",POWER(Upgrades!$U$8,G373),1)*IF(Upgrades!$T$9="Solar Wind",POWER(Upgrades!$U$9,H373),1)*IF(Upgrades!$T$10="Solar Wind",POWER(Upgrades!$U$10,I373),1)*IF(Upgrades!$T$11="Solar Wind",POWER(Upgrades!$U$11,J373),1)*IF(Upgrades!$T$12="Solar Wind",POWER(Upgrades!$U$12,K373),1))+(IF(F373=0,0,(Upgrades!$G$7+F373*Upgrades!$H$7)*POWER(Upgrades!$I$7,F373)))*(IF(Upgrades!$T$6="Asteroid Belt",POWER(Upgrades!$U$6,E373),1)*IF(Upgrades!$T$8="Asteroid Belt",POWER(Upgrades!$U$8,G373),1)*IF(Upgrades!$T$9="Asteroid Belt",POWER(Upgrades!$U$9,H373),1)*IF(Upgrades!$T$10="Asteroid Belt",POWER(Upgrades!$U$10,I373),1)*IF(Upgrades!$T$11="Asteroid Belt",POWER(Upgrades!$U$11,J373),1)*IF(Upgrades!$T$12="Asteroid Belt",POWER(Upgrades!$U$12,K373),1))+(IF(G373=0,0,(Upgrades!$G$8+G373*Upgrades!$H$8)*POWER(Upgrades!$I$8,G373)))*(IF(Upgrades!$T$6="Stellar Coupling",POWER(Upgrades!$U$6,E373),1)*IF(Upgrades!$T$7="Stellar Coupling",POWER(Upgrades!$U$7,F373),1)*IF(Upgrades!$T$9="Stellar Coupling",POWER(Upgrades!$U$9,H373),1)*IF(Upgrades!$T$10="Stellar Coupling",POWER(Upgrades!$U$10,I373),1)*IF(Upgrades!$T$11="Stellar Coupling",POWER(Upgrades!$U$11,J373),1)*IF(Upgrades!$T$12="Stellar Coupling",POWER(Upgrades!$U$12,K373),1))+(IF(H373=0,0,(Upgrades!$G$9+H373*Upgrades!$H$9)*POWER(Upgrades!$I$9,H373)))*(IF(Upgrades!$T$6="Magnetosphere",POWER(Upgrades!$U$6,E373),1)*IF(Upgrades!$T$7="Magnetosphere",POWER(Upgrades!$U$7,F373),1)*IF(Upgrades!$T$8="Magnetosphere",POWER(Upgrades!$U$8,G373),1)*IF(Upgrades!$T$10="Magnetosphere",POWER(Upgrades!$U$10,I373),1)*IF(Upgrades!$T$11="Magnetosphere",POWER(Upgrades!$U$11,J373),1)*IF(Upgrades!$T$12="Magnetosphere",POWER(Upgrades!$U$12,K373),1))+(IF(I373=0,0,(Upgrades!$G$10+I373*Upgrades!$H$10)*POWER(Upgrades!$I$10,I373)))*(IF(Upgrades!$T$6="Orbital Resonance",POWER(Upgrades!$U$6,E373),1)*IF(Upgrades!$T$7="Orbital Resonance",POWER(Upgrades!$U$7,F373),1)*IF(Upgrades!$T$8="Orbital Resonance",POWER(Upgrades!$U$8,G373),1)*IF(Upgrades!$T$9="Orbital Resonance",POWER(Upgrades!$U$9,H373),1)*IF(Upgrades!$T$11="Orbital Resonance",POWER(Upgrades!$U$11,J373),1)*IF(Upgrades!$T$12="Orbital Resonance",POWER(Upgrades!$U$12,K373),1))+(IF(J373=0,0,(Upgrades!$G$11+J373*Upgrades!$H$11)*POWER(Upgrades!$I$11,J373)))*(IF(Upgrades!$T$6="Heliopause",POWER(Upgrades!$U$6,E373),1)*IF(Upgrades!$T$7="Heliopause",POWER(Upgrades!$U$7,F373),1)*IF(Upgrades!$T$8="Heliopause",POWER(Upgrades!$U$8,G373),1)*IF(Upgrades!$T$9="Heliopause",POWER(Upgrades!$U$9,H373),1)*IF(Upgrades!$T$10="Heliopause",POWER(Upgrades!$U$10,I373),1)*IF(Upgrades!$T$12="Heliopause",POWER(Upgrades!$U$12,K373),1))+(IF(K373=0,0,(Upgrades!$G$12+K373*Upgrades!$H$12)*POWER(Upgrades!$I$12,K373)))*(IF(Upgrades!$T$6="First Photons",POWER(Upgrades!$U$6,E373),1)*IF(Upgrades!$T$7="First Photons",POWER(Upgrades!$U$7,F373),1)*IF(Upgrades!$T$8="First Photons",POWER(Upgrades!$U$8,G373),1)*IF(Upgrades!$T$9="First Photons",POWER(Upgrades!$U$9,H373),1)*IF(Upgrades!$T$10="First Photons",POWER(Upgrades!$U$10,I373),1)*IF(Upgrades!$T$11="First Photons",POWER(Upgrades!$U$11,J373),1)))*POWER(Upgrades!$P$6,E373)*POWER(Upgrades!$P$7,F373)*POWER(Upgrades!$P$8,G373)*POWER(Upgrades!$P$9,H373)*POWER(Upgrades!$P$10,I373)*POWER(Upgrades!$P$11,J373)*POWER(Upgrades!$P$12,K373)</f>
        <v/>
      </c>
      <c r="O373" s="28">
        <f>((IF(E373=0,0,(Upgrades!$M$6+E373*Upgrades!$N$6)*POWER(Upgrades!$O$6,E373)))*(IF(Upgrades!$T$7="Solar Wind",POWER(Upgrades!$U$7,F373),1)*IF(Upgrades!$T$8="Solar Wind",POWER(Upgrades!$U$8,G373),1)*IF(Upgrades!$T$9="Solar Wind",POWER(Upgrades!$U$9,H373),1)*IF(Upgrades!$T$10="Solar Wind",POWER(Upgrades!$U$10,I373),1)*IF(Upgrades!$T$11="Solar Wind",POWER(Upgrades!$U$11,J373),1)*IF(Upgrades!$T$12="Solar Wind",POWER(Upgrades!$U$12,K373),1))+(IF(F373=0,0,(Upgrades!$M$7+F373*Upgrades!$N$7)*POWER(Upgrades!$O$7,F373)))*(IF(Upgrades!$T$6="Asteroid Belt",POWER(Upgrades!$U$6,E373),1)*IF(Upgrades!$T$8="Asteroid Belt",POWER(Upgrades!$U$8,G373),1)*IF(Upgrades!$T$9="Asteroid Belt",POWER(Upgrades!$U$9,H373),1)*IF(Upgrades!$T$10="Asteroid Belt",POWER(Upgrades!$U$10,I373),1)*IF(Upgrades!$T$11="Asteroid Belt",POWER(Upgrades!$U$11,J373),1)*IF(Upgrades!$T$12="Asteroid Belt",POWER(Upgrades!$U$12,K373),1))+(IF(G373=0,0,(Upgrades!$M$8+G373*Upgrades!$N$8)*POWER(Upgrades!$O$8,G373)))*(IF(Upgrades!$T$6="Stellar Coupling",POWER(Upgrades!$U$6,E373),1)*IF(Upgrades!$T$7="Stellar Coupling",POWER(Upgrades!$U$7,F373),1)*IF(Upgrades!$T$9="Stellar Coupling",POWER(Upgrades!$U$9,H373),1)*IF(Upgrades!$T$10="Stellar Coupling",POWER(Upgrades!$U$10,I373),1)*IF(Upgrades!$T$11="Stellar Coupling",POWER(Upgrades!$U$11,J373),1)*IF(Upgrades!$T$12="Stellar Coupling",POWER(Upgrades!$U$12,K373),1))+(IF(H373=0,0,(Upgrades!$M$9+H373*Upgrades!$N$9)*POWER(Upgrades!$O$9,H373)))*(IF(Upgrades!$T$6="Magnetosphere",POWER(Upgrades!$U$6,E373),1)*IF(Upgrades!$T$7="Magnetosphere",POWER(Upgrades!$U$7,F373),1)*IF(Upgrades!$T$8="Magnetosphere",POWER(Upgrades!$U$8,G373),1)*IF(Upgrades!$T$10="Magnetosphere",POWER(Upgrades!$U$10,I373),1)*IF(Upgrades!$T$11="Magnetosphere",POWER(Upgrades!$U$11,J373),1)*IF(Upgrades!$T$12="Magnetosphere",POWER(Upgrades!$U$12,K373),1))+(IF(I373=0,0,(Upgrades!$M$10+I373*Upgrades!$N$10)*POWER(Upgrades!$O$10,I373)))*(IF(Upgrades!$T$6="Orbital Resonance",POWER(Upgrades!$U$6,E373),1)*IF(Upgrades!$T$7="Orbital Resonance",POWER(Upgrades!$U$7,F373),1)*IF(Upgrades!$T$8="Orbital Resonance",POWER(Upgrades!$U$8,G373),1)*IF(Upgrades!$T$9="Orbital Resonance",POWER(Upgrades!$U$9,H373),1)*IF(Upgrades!$T$11="Orbital Resonance",POWER(Upgrades!$U$11,J373),1)*IF(Upgrades!$T$12="Orbital Resonance",POWER(Upgrades!$U$12,K373),1))+(IF(J373=0,0,(Upgrades!$M$11+J373*Upgrades!$N$11)*POWER(Upgrades!$O$11,J373)))*(IF(Upgrades!$T$6="Heliopause",POWER(Upgrades!$U$6,E373),1)*IF(Upgrades!$T$7="Heliopause",POWER(Upgrades!$U$7,F373),1)*IF(Upgrades!$T$8="Heliopause",POWER(Upgrades!$U$8,G373),1)*IF(Upgrades!$T$9="Heliopause",POWER(Upgrades!$U$9,H373),1)*IF(Upgrades!$T$10="Heliopause",POWER(Upgrades!$U$10,I373),1)*IF(Upgrades!$T$12="Heliopause",POWER(Upgrades!$U$12,K373),1))+(IF(K373=0,0,(Upgrades!$M$12+K373*Upgrades!$N$12)*POWER(Upgrades!$O$12,K373)))*(IF(Upgrades!$T$6="First Photons",POWER(Upgrades!$U$6,E373),1)*IF(Upgrades!$T$7="First Photons",POWER(Upgrades!$U$7,F373),1)*IF(Upgrades!$T$8="First Photons",POWER(Upgrades!$U$8,G373),1)*IF(Upgrades!$T$9="First Photons",POWER(Upgrades!$U$9,H373),1)*IF(Upgrades!$T$10="First Photons",POWER(Upgrades!$U$10,I373),1)*IF(Upgrades!$T$11="First Photons",POWER(Upgrades!$U$11,J373),1)))*POWER(Upgrades!$R$6,E373)*POWER(Upgrades!$R$7,F373)*POWER(Upgrades!$R$8,G373)*POWER(Upgrades!$R$9,H373)*POWER(Upgrades!$R$10,I373)*POWER(Upgrades!$R$11,J373)*POWER(Upgrades!$R$12,K373)</f>
        <v/>
      </c>
      <c r="P373" s="27">
        <f>IF(L373=1,0,M373*Parameters!$B$10/60*Parameters!$B$11*10)</f>
        <v/>
      </c>
      <c r="Q373" s="27">
        <f>IF(L373=1,0,O373*M373*10)</f>
        <v/>
      </c>
      <c r="R373" s="27">
        <f>IF(L373=1,0,N373*10)</f>
        <v/>
      </c>
      <c r="S373" s="27">
        <f>P373+Q373+R373</f>
        <v/>
      </c>
      <c r="T373" s="22">
        <f>C373+S373</f>
        <v/>
      </c>
      <c r="U373" s="33">
        <f>AX373</f>
        <v/>
      </c>
      <c r="V373" s="22">
        <f>IF(U373="",0,IF(U373="transition",0,IF(U373="SW",AG373,IF(U373="AB",AH373,IF(U373="SC",AI373,IF(U373="Mag",AJ373,IF(U373="OR",AK373,IF(U373="HP",AL373,IF(U373="FP",AM373,0)))))))))</f>
        <v/>
      </c>
      <c r="W373" s="27">
        <f>IF(U373="OR",Upgrades!$F$10,IF(U373="HP",Upgrades!$F$11,IF(U373="transition",-Parameters!$B$18,0)))</f>
        <v/>
      </c>
      <c r="X373" s="22">
        <f>T373-V373</f>
        <v/>
      </c>
      <c r="Y373" s="30">
        <f>M373*Parameters!$B$10/60*Parameters!$B$11+O373*M373+N373</f>
        <v/>
      </c>
      <c r="Z373" s="34">
        <f>IF(U373="transition","→ Tier 2 (Stellar Neighborhood)",IF(U373="FP","First Photons — light begins, system quickens",IF(U373="HP","Heliopause acquired",IF(U373="OR","Orbital Resonance — passive multiplier active",IF(AND(AO373=1,L373=0,AN373&lt;&gt;1),"Cohesion ready (waiting on completionist upgrades)","")))))</f>
        <v/>
      </c>
      <c r="AA373" s="27">
        <f>(IF(E373=0,0,(Upgrades!$G$6+E373*Upgrades!$H$6)*POWER(Upgrades!$I$6,E373)))*(IF(Upgrades!$T$7="Solar Wind",POWER(Upgrades!$U$7,F373),1)*IF(Upgrades!$T$8="Solar Wind",POWER(Upgrades!$U$8,G373),1)*IF(Upgrades!$T$9="Solar Wind",POWER(Upgrades!$U$9,H373),1)*IF(Upgrades!$T$10="Solar Wind",POWER(Upgrades!$U$10,I373),1)*IF(Upgrades!$T$11="Solar Wind",POWER(Upgrades!$U$11,J373),1)*IF(Upgrades!$T$12="Solar Wind",POWER(Upgrades!$U$12,K373),1))*POWER(Upgrades!$P$6,E373)*POWER(Upgrades!$P$7,F373)*POWER(Upgrades!$P$8,G373)*POWER(Upgrades!$P$9,H373)*POWER(Upgrades!$P$10,I373)*POWER(Upgrades!$P$11,J373)*POWER(Upgrades!$P$12,K373)*60</f>
        <v/>
      </c>
      <c r="AB373" s="27">
        <f>(IF(F373=0,0,(Upgrades!$G$7+F373*Upgrades!$H$7)*POWER(Upgrades!$I$7,F373)))*(IF(Upgrades!$T$6="Asteroid Belt",POWER(Upgrades!$U$6,E373),1)*IF(Upgrades!$T$8="Asteroid Belt",POWER(Upgrades!$U$8,G373),1)*IF(Upgrades!$T$9="Asteroid Belt",POWER(Upgrades!$U$9,H373),1)*IF(Upgrades!$T$10="Asteroid Belt",POWER(Upgrades!$U$10,I373),1)*IF(Upgrades!$T$11="Asteroid Belt",POWER(Upgrades!$U$11,J373),1)*IF(Upgrades!$T$12="Asteroid Belt",POWER(Upgrades!$U$12,K373),1))*POWER(Upgrades!$P$6,E373)*POWER(Upgrades!$P$7,F373)*POWER(Upgrades!$P$8,G373)*POWER(Upgrades!$P$9,H373)*POWER(Upgrades!$P$10,I373)*POWER(Upgrades!$P$11,J373)*POWER(Upgrades!$P$12,K373)*60</f>
        <v/>
      </c>
      <c r="AC373" s="27">
        <f>(IF(G373=0,0,(Upgrades!$J$8+G373*Upgrades!$K$8)*POWER(Upgrades!$L$8,G373)))*(IF(Upgrades!$T$6="Stellar Coupling",POWER(Upgrades!$U$6,E373),1)*IF(Upgrades!$T$7="Stellar Coupling",POWER(Upgrades!$U$7,F373),1)*IF(Upgrades!$T$9="Stellar Coupling",POWER(Upgrades!$U$9,H373),1)*IF(Upgrades!$T$10="Stellar Coupling",POWER(Upgrades!$U$10,I373),1)*IF(Upgrades!$T$11="Stellar Coupling",POWER(Upgrades!$U$11,J373),1)*IF(Upgrades!$T$12="Stellar Coupling",POWER(Upgrades!$U$12,K373),1))*POWER(Upgrades!$Q$6,E373)*POWER(Upgrades!$Q$7,F373)*POWER(Upgrades!$Q$8,G373)*POWER(Upgrades!$Q$9,H373)*POWER(Upgrades!$Q$10,I373)*POWER(Upgrades!$Q$11,J373)*POWER(Upgrades!$Q$12,K373)*Parameters!$B$10*Parameters!$B$11</f>
        <v/>
      </c>
      <c r="AD373" s="27">
        <f>(IF(H373=0,0,(Upgrades!$G$9+H373*Upgrades!$H$9)*POWER(Upgrades!$I$9,H373)))*(IF(Upgrades!$T$6="Magnetosphere",POWER(Upgrades!$U$6,E373),1)*IF(Upgrades!$T$7="Magnetosphere",POWER(Upgrades!$U$7,F373),1)*IF(Upgrades!$T$8="Magnetosphere",POWER(Upgrades!$U$8,G373),1)*IF(Upgrades!$T$10="Magnetosphere",POWER(Upgrades!$U$10,I373),1)*IF(Upgrades!$T$11="Magnetosphere",POWER(Upgrades!$U$11,J373),1)*IF(Upgrades!$T$12="Magnetosphere",POWER(Upgrades!$U$12,K373),1))*POWER(Upgrades!$P$6,E373)*POWER(Upgrades!$P$7,F373)*POWER(Upgrades!$P$8,G373)*POWER(Upgrades!$P$9,H373)*POWER(Upgrades!$P$10,I373)*POWER(Upgrades!$P$11,J373)*POWER(Upgrades!$P$12,K373)*60</f>
        <v/>
      </c>
      <c r="AE373" s="27">
        <f>(IF(K373=0,0,(Upgrades!$G$12+K373*Upgrades!$H$12)*POWER(Upgrades!$I$12,K373)))*(IF(Upgrades!$T$6="First Photons",POWER(Upgrades!$U$6,E373),1)*IF(Upgrades!$T$7="First Photons",POWER(Upgrades!$U$7,F373),1)*IF(Upgrades!$T$8="First Photons",POWER(Upgrades!$U$8,G373),1)*IF(Upgrades!$T$9="First Photons",POWER(Upgrades!$U$9,H373),1)*IF(Upgrades!$T$10="First Photons",POWER(Upgrades!$U$10,I373),1)*IF(Upgrades!$T$11="First Photons",POWER(Upgrades!$U$11,J373),1))*POWER(Upgrades!$P$6,E373)*POWER(Upgrades!$P$7,F373)*POWER(Upgrades!$P$8,G373)*POWER(Upgrades!$P$9,H373)*POWER(Upgrades!$P$10,I373)*POWER(Upgrades!$P$11,J373)*POWER(Upgrades!$P$12,K373)*60</f>
        <v/>
      </c>
      <c r="AF373" s="27">
        <f>Parameters!$B$9*POWER(Upgrades!$Q$6,E373)*POWER(Upgrades!$Q$7,F373)*POWER(Upgrades!$Q$8,G373)*POWER(Upgrades!$Q$9,H373)*POWER(Upgrades!$Q$10,I373)*POWER(Upgrades!$Q$11,J373)*POWER(Upgrades!$Q$12,K373)*(Parameters!$B$10*Parameters!$B$11+O373*60)</f>
        <v/>
      </c>
      <c r="AG373" s="22">
        <f>IF(E373&gt;=Upgrades!$E$6,"",Upgrades!$C$6*POWER(Upgrades!$D$6,E373))</f>
        <v/>
      </c>
      <c r="AH373" s="22">
        <f>IF(F373&gt;=Upgrades!$E$7,"",Upgrades!$C$7*POWER(Upgrades!$D$7,F373))</f>
        <v/>
      </c>
      <c r="AI373" s="22">
        <f>IF(G373&gt;=Upgrades!$E$8,"",Upgrades!$C$8*POWER(Upgrades!$D$8,G373))</f>
        <v/>
      </c>
      <c r="AJ373" s="22">
        <f>IF(H373&gt;=Upgrades!$E$9,"",Upgrades!$C$9*POWER(Upgrades!$D$9,H373))</f>
        <v/>
      </c>
      <c r="AK373" s="22">
        <f>IF(I373&gt;=Upgrades!$E$10,"",Upgrades!$C$10*POWER(Upgrades!$D$10,I373))</f>
        <v/>
      </c>
      <c r="AL373" s="22">
        <f>IF(J373&gt;=Upgrades!$E$11,"",Upgrades!$C$11*POWER(Upgrades!$D$11,J373))</f>
        <v/>
      </c>
      <c r="AM373" s="22">
        <f>IF(K373&gt;=Upgrades!$E$12,"",Upgrades!$C$12*POWER(Upgrades!$D$12,K373))</f>
        <v/>
      </c>
      <c r="AN373" s="26">
        <f>IF(AND(D373&gt;=Parameters!$B$18,(H373&gt;=Upgrades!$E$9)*(K373&gt;=Upgrades!$E$12)=1,L373=0),1,"")</f>
        <v/>
      </c>
      <c r="AO373" s="26">
        <f>IF(AND(D373&gt;=Parameters!$B$18,L373=0),1,"")</f>
        <v/>
      </c>
      <c r="AP373" s="22">
        <f>MIN(IF(ISNUMBER(AK373),AK373,9E15),IF(ISNUMBER(AL373),AL373,9E15),IF(ISNUMBER(AM373),AM373,9E15))</f>
        <v/>
      </c>
      <c r="AQ373" s="22">
        <f>MIN(IF(ISNUMBER(AG373),AG373,9E15),IF(ISNUMBER(AH373),AH373,9E15),IF(ISNUMBER(AI373),AI373,9E15),IF(ISNUMBER(AJ373),AJ373,9E15))</f>
        <v/>
      </c>
      <c r="AR373" s="29">
        <f>IF(AW373&gt;Parameters!$B$21*(MAX(IF(AND(NOT(AND(AO373=1,AN373&lt;&gt;1)),ISNUMBER(AG373),AG373&lt;=T373),AS373,0),IF(AND(NOT(AND(AO373=1,AN373&lt;&gt;1)),ISNUMBER(AH373),AH373&lt;=T373),AT373,0),IF(AND(NOT(AND(AO373=1,AN373&lt;&gt;1)),ISNUMBER(AI373),AI373&lt;=T373),AU373,0),IF(AND(ISNUMBER(AJ373),AJ373&lt;=T373),AV373,0))),TRUE,FALSE)</f>
        <v/>
      </c>
      <c r="AS373" s="32">
        <f>IFERROR(Upgrades!$H$6*(POWER(Upgrades!$P$6,E373)*POWER(Upgrades!$P$7,F373)*POWER(Upgrades!$P$8,G373)*POWER(Upgrades!$P$9,H373)*POWER(Upgrades!$P$10,I373)*POWER(Upgrades!$P$11,J373)*POWER(Upgrades!$P$12,K373))*(IF(Upgrades!$T$7="Solar Wind",POWER(Upgrades!$U$7,F373),1)*IF(Upgrades!$T$8="Solar Wind",POWER(Upgrades!$U$8,G373),1)*IF(Upgrades!$T$9="Solar Wind",POWER(Upgrades!$U$9,H373),1)*IF(Upgrades!$T$10="Solar Wind",POWER(Upgrades!$U$10,I373),1)*IF(Upgrades!$T$11="Solar Wind",POWER(Upgrades!$U$11,J373),1)*IF(Upgrades!$T$12="Solar Wind",POWER(Upgrades!$U$12,K373),1))/AG373,0)</f>
        <v/>
      </c>
      <c r="AT373" s="32">
        <f>IFERROR(Upgrades!$H$7*(POWER(Upgrades!$P$6,E373)*POWER(Upgrades!$P$7,F373)*POWER(Upgrades!$P$8,G373)*POWER(Upgrades!$P$9,H373)*POWER(Upgrades!$P$10,I373)*POWER(Upgrades!$P$11,J373)*POWER(Upgrades!$P$12,K373))*(IF(Upgrades!$T$6="Asteroid Belt",POWER(Upgrades!$U$6,E373),1)*IF(Upgrades!$T$8="Asteroid Belt",POWER(Upgrades!$U$8,G373),1)*IF(Upgrades!$T$9="Asteroid Belt",POWER(Upgrades!$U$9,H373),1)*IF(Upgrades!$T$10="Asteroid Belt",POWER(Upgrades!$U$10,I373),1)*IF(Upgrades!$T$11="Asteroid Belt",POWER(Upgrades!$U$11,J373),1)*IF(Upgrades!$T$12="Asteroid Belt",POWER(Upgrades!$U$12,K373),1))/AH373,0)</f>
        <v/>
      </c>
      <c r="AU373" s="32">
        <f>IFERROR(Upgrades!$K$8*(POWER(Upgrades!$Q$6,E373)*POWER(Upgrades!$Q$7,F373)*POWER(Upgrades!$Q$8,G373)*POWER(Upgrades!$Q$9,H373)*POWER(Upgrades!$Q$10,I373)*POWER(Upgrades!$Q$11,J373)*POWER(Upgrades!$Q$12,K373))*(IF(Upgrades!$T$6="Stellar Coupling",POWER(Upgrades!$U$6,E373),1)*IF(Upgrades!$T$7="Stellar Coupling",POWER(Upgrades!$U$7,F373),1)*IF(Upgrades!$T$9="Stellar Coupling",POWER(Upgrades!$U$9,H373),1)*IF(Upgrades!$T$10="Stellar Coupling",POWER(Upgrades!$U$10,I373),1)*IF(Upgrades!$T$11="Stellar Coupling",POWER(Upgrades!$U$11,J373),1)*IF(Upgrades!$T$12="Stellar Coupling",POWER(Upgrades!$U$12,K373),1))*Parameters!$B$10*Parameters!$B$11/60/AI373,0)</f>
        <v/>
      </c>
      <c r="AV373" s="32">
        <f>IFERROR(Upgrades!$H$9*(POWER(Upgrades!$P$6,E373)*POWER(Upgrades!$P$7,F373)*POWER(Upgrades!$P$8,G373)*POWER(Upgrades!$P$9,H373)*POWER(Upgrades!$P$10,I373)*POWER(Upgrades!$P$11,J373)*POWER(Upgrades!$P$12,K373))*(IF(Upgrades!$T$6="Magnetosphere",POWER(Upgrades!$U$6,E373),1)*IF(Upgrades!$T$7="Magnetosphere",POWER(Upgrades!$U$7,F373),1)*IF(Upgrades!$T$8="Magnetosphere",POWER(Upgrades!$U$8,G373),1)*IF(Upgrades!$T$10="Magnetosphere",POWER(Upgrades!$U$10,I373),1)*IF(Upgrades!$T$11="Magnetosphere",POWER(Upgrades!$U$11,J373),1)*IF(Upgrades!$T$12="Magnetosphere",POWER(Upgrades!$U$12,K373),1))/AJ373,0)</f>
        <v/>
      </c>
      <c r="AW373" s="32">
        <f>MAX(IF(I373&gt;0,0,IFERROR(0.25*N373/Upgrades!$C$10,0)),IF(J373&gt;0,0,IFERROR(0.5*((IF(G373=0,0,(Upgrades!$J$8+G373*Upgrades!$K$8)*POWER(Upgrades!$L$8,G373)))*(IF(Upgrades!$T$6="Stellar Coupling",POWER(Upgrades!$U$6,E373),1)*IF(Upgrades!$T$7="Stellar Coupling",POWER(Upgrades!$U$7,F373),1)*IF(Upgrades!$T$9="Stellar Coupling",POWER(Upgrades!$U$9,H373),1)*IF(Upgrades!$T$10="Stellar Coupling",POWER(Upgrades!$U$10,I373),1)*IF(Upgrades!$T$11="Stellar Coupling",POWER(Upgrades!$U$11,J373),1)*IF(Upgrades!$T$12="Stellar Coupling",POWER(Upgrades!$U$12,K373),1))*(POWER(Upgrades!$Q$6,E373)*POWER(Upgrades!$Q$7,F373)*POWER(Upgrades!$Q$8,G373)*POWER(Upgrades!$Q$9,H373)*POWER(Upgrades!$Q$10,I373)*POWER(Upgrades!$Q$11,J373)*POWER(Upgrades!$Q$12,K373))*Parameters!$B$10*Parameters!$B$11/60)/Upgrades!$C$11,0)),IF(K373&gt;0,0,IFERROR((1.0*(POWER(Upgrades!$P$6,E373)*POWER(Upgrades!$P$7,F373)*POWER(Upgrades!$P$8,G373)*POWER(Upgrades!$P$9,H373)*POWER(Upgrades!$P$10,I373)*POWER(Upgrades!$P$11,J373)*POWER(Upgrades!$P$12,K373))+0.20*M373*Parameters!$B$10*Parameters!$B$11/60)/Upgrades!$C$12,0)),IF(AND(ISNUMBER(AG373),AG373&gt;T373),AS373,0),IF(AND(ISNUMBER(AH373),AH373&gt;T373),AT373,0),IF(AND(ISNUMBER(AI373),AI373&gt;T373),AU373,0),IF(AND(ISNUMBER(AJ373),AJ373&gt;T373),AV373,0))</f>
        <v/>
      </c>
      <c r="AX373" s="29">
        <f>IF(AN373=1,"transition",IF(MIN(IF(AND(I373=0,ISNUMBER(AK373),AK373&lt;=T373),AK373,9E15),IF(AND(J373=0,ISNUMBER(AL373),AL373&lt;=T373),AL373,9E15),IF(AND(K373=0,ISNUMBER(AM373),AM373&lt;=T373),AM373,9E15))&lt;9E15,IF(AND(AND(I373=0,ISNUMBER(AK373),AK373&lt;=T373),AK373=MIN(IF(AND(I373=0,ISNUMBER(AK373),AK373&lt;=T373),AK373,9E15),IF(AND(J373=0,ISNUMBER(AL373),AL373&lt;=T373),AL373,9E15),IF(AND(K373=0,ISNUMBER(AM373),AM373&lt;=T373),AM373,9E15))),"OR",IF(AND(AND(J373=0,ISNUMBER(AL373),AL373&lt;=T373),AL373=MIN(IF(AND(I373=0,ISNUMBER(AK373),AK373&lt;=T373),AK373,9E15),IF(AND(J373=0,ISNUMBER(AL373),AL373&lt;=T373),AL373,9E15),IF(AND(K373=0,ISNUMBER(AM373),AM373&lt;=T373),AM373,9E15))),"HP","FP")),IF(AR373=TRUE,"",IF(MAX(IF(AND(NOT(AND(AO373=1,AN373&lt;&gt;1)),ISNUMBER(AG373),AG373&lt;=T373),AS373,0),IF(AND(NOT(AND(AO373=1,AN373&lt;&gt;1)),ISNUMBER(AH373),AH373&lt;=T373),AT373,0),IF(AND(NOT(AND(AO373=1,AN373&lt;&gt;1)),ISNUMBER(AI373),AI373&lt;=T373),AU373,0),IF(AND(ISNUMBER(AJ373),AJ373&lt;=T373),AV373,0))&lt;=0,"",IF(AND(IF(AND(NOT(AND(AO373=1,AN373&lt;&gt;1)),ISNUMBER(AG373),AG373&lt;=T373),AS373,0)&gt;0,IF(AND(NOT(AND(AO373=1,AN373&lt;&gt;1)),ISNUMBER(AG373),AG373&lt;=T373),AS373,0)=MAX(IF(AND(NOT(AND(AO373=1,AN373&lt;&gt;1)),ISNUMBER(AG373),AG373&lt;=T373),AS373,0),IF(AND(NOT(AND(AO373=1,AN373&lt;&gt;1)),ISNUMBER(AH373),AH373&lt;=T373),AT373,0),IF(AND(NOT(AND(AO373=1,AN373&lt;&gt;1)),ISNUMBER(AI373),AI373&lt;=T373),AU373,0),IF(AND(ISNUMBER(AJ373),AJ373&lt;=T373),AV373,0))),"SW",IF(AND(IF(AND(NOT(AND(AO373=1,AN373&lt;&gt;1)),ISNUMBER(AH373),AH373&lt;=T373),AT373,0)&gt;0,IF(AND(NOT(AND(AO373=1,AN373&lt;&gt;1)),ISNUMBER(AH373),AH373&lt;=T373),AT373,0)=MAX(IF(AND(NOT(AND(AO373=1,AN373&lt;&gt;1)),ISNUMBER(AG373),AG373&lt;=T373),AS373,0),IF(AND(NOT(AND(AO373=1,AN373&lt;&gt;1)),ISNUMBER(AH373),AH373&lt;=T373),AT373,0),IF(AND(NOT(AND(AO373=1,AN373&lt;&gt;1)),ISNUMBER(AI373),AI373&lt;=T373),AU373,0),IF(AND(ISNUMBER(AJ373),AJ373&lt;=T373),AV373,0))),"AB",IF(AND(IF(AND(NOT(AND(AO373=1,AN373&lt;&gt;1)),ISNUMBER(AI373),AI373&lt;=T373),AU373,0)&gt;0,IF(AND(NOT(AND(AO373=1,AN373&lt;&gt;1)),ISNUMBER(AI373),AI373&lt;=T373),AU373,0)=MAX(IF(AND(NOT(AND(AO373=1,AN373&lt;&gt;1)),ISNUMBER(AG373),AG373&lt;=T373),AS373,0),IF(AND(NOT(AND(AO373=1,AN373&lt;&gt;1)),ISNUMBER(AH373),AH373&lt;=T373),AT373,0),IF(AND(NOT(AND(AO373=1,AN373&lt;&gt;1)),ISNUMBER(AI373),AI373&lt;=T373),AU373,0),IF(AND(ISNUMBER(AJ373),AJ373&lt;=T373),AV373,0))),"SC","Mag")))))))</f>
        <v/>
      </c>
    </row>
    <row r="374">
      <c r="A374" s="26" t="n">
        <v>369</v>
      </c>
      <c r="B374" s="27">
        <f>A374*10/60</f>
        <v/>
      </c>
      <c r="C374" s="22">
        <f>X373</f>
        <v/>
      </c>
      <c r="D374" s="27">
        <f>D373+W373</f>
        <v/>
      </c>
      <c r="E374" s="26">
        <f>E373+IF(U373="SW",1,0)</f>
        <v/>
      </c>
      <c r="F374" s="26">
        <f>F373+IF(U373="AB",1,0)</f>
        <v/>
      </c>
      <c r="G374" s="26">
        <f>G373+IF(U373="SC",1,0)</f>
        <v/>
      </c>
      <c r="H374" s="26">
        <f>H373+IF(U373="Mag",1,0)</f>
        <v/>
      </c>
      <c r="I374" s="26">
        <f>MAX(I373,IF(U373="OR",1,0))</f>
        <v/>
      </c>
      <c r="J374" s="26">
        <f>MAX(J373,IF(U373="HP",1,0))</f>
        <v/>
      </c>
      <c r="K374" s="26">
        <f>MAX(K373,IF(U373="FP",1,0))</f>
        <v/>
      </c>
      <c r="L374" s="26">
        <f>MAX(L373,IF(U373="transition",1,0))</f>
        <v/>
      </c>
      <c r="M374" s="28">
        <f>(Parameters!$B$9+(IF(E374=0,0,(Upgrades!$J$6+E374*Upgrades!$K$6)*POWER(Upgrades!$L$6,E374)))*(IF(Upgrades!$T$7="Solar Wind",POWER(Upgrades!$U$7,F374),1)*IF(Upgrades!$T$8="Solar Wind",POWER(Upgrades!$U$8,G374),1)*IF(Upgrades!$T$9="Solar Wind",POWER(Upgrades!$U$9,H374),1)*IF(Upgrades!$T$10="Solar Wind",POWER(Upgrades!$U$10,I374),1)*IF(Upgrades!$T$11="Solar Wind",POWER(Upgrades!$U$11,J374),1)*IF(Upgrades!$T$12="Solar Wind",POWER(Upgrades!$U$12,K374),1))+(IF(F374=0,0,(Upgrades!$J$7+F374*Upgrades!$K$7)*POWER(Upgrades!$L$7,F374)))*(IF(Upgrades!$T$6="Asteroid Belt",POWER(Upgrades!$U$6,E374),1)*IF(Upgrades!$T$8="Asteroid Belt",POWER(Upgrades!$U$8,G374),1)*IF(Upgrades!$T$9="Asteroid Belt",POWER(Upgrades!$U$9,H374),1)*IF(Upgrades!$T$10="Asteroid Belt",POWER(Upgrades!$U$10,I374),1)*IF(Upgrades!$T$11="Asteroid Belt",POWER(Upgrades!$U$11,J374),1)*IF(Upgrades!$T$12="Asteroid Belt",POWER(Upgrades!$U$12,K374),1))+(IF(G374=0,0,(Upgrades!$J$8+G374*Upgrades!$K$8)*POWER(Upgrades!$L$8,G374)))*(IF(Upgrades!$T$6="Stellar Coupling",POWER(Upgrades!$U$6,E374),1)*IF(Upgrades!$T$7="Stellar Coupling",POWER(Upgrades!$U$7,F374),1)*IF(Upgrades!$T$9="Stellar Coupling",POWER(Upgrades!$U$9,H374),1)*IF(Upgrades!$T$10="Stellar Coupling",POWER(Upgrades!$U$10,I374),1)*IF(Upgrades!$T$11="Stellar Coupling",POWER(Upgrades!$U$11,J374),1)*IF(Upgrades!$T$12="Stellar Coupling",POWER(Upgrades!$U$12,K374),1))+(IF(H374=0,0,(Upgrades!$J$9+H374*Upgrades!$K$9)*POWER(Upgrades!$L$9,H374)))*(IF(Upgrades!$T$6="Magnetosphere",POWER(Upgrades!$U$6,E374),1)*IF(Upgrades!$T$7="Magnetosphere",POWER(Upgrades!$U$7,F374),1)*IF(Upgrades!$T$8="Magnetosphere",POWER(Upgrades!$U$8,G374),1)*IF(Upgrades!$T$10="Magnetosphere",POWER(Upgrades!$U$10,I374),1)*IF(Upgrades!$T$11="Magnetosphere",POWER(Upgrades!$U$11,J374),1)*IF(Upgrades!$T$12="Magnetosphere",POWER(Upgrades!$U$12,K374),1))+(IF(I374=0,0,(Upgrades!$J$10+I374*Upgrades!$K$10)*POWER(Upgrades!$L$10,I374)))*(IF(Upgrades!$T$6="Orbital Resonance",POWER(Upgrades!$U$6,E374),1)*IF(Upgrades!$T$7="Orbital Resonance",POWER(Upgrades!$U$7,F374),1)*IF(Upgrades!$T$8="Orbital Resonance",POWER(Upgrades!$U$8,G374),1)*IF(Upgrades!$T$9="Orbital Resonance",POWER(Upgrades!$U$9,H374),1)*IF(Upgrades!$T$11="Orbital Resonance",POWER(Upgrades!$U$11,J374),1)*IF(Upgrades!$T$12="Orbital Resonance",POWER(Upgrades!$U$12,K374),1))+(IF(J374=0,0,(Upgrades!$J$11+J374*Upgrades!$K$11)*POWER(Upgrades!$L$11,J374)))*(IF(Upgrades!$T$6="Heliopause",POWER(Upgrades!$U$6,E374),1)*IF(Upgrades!$T$7="Heliopause",POWER(Upgrades!$U$7,F374),1)*IF(Upgrades!$T$8="Heliopause",POWER(Upgrades!$U$8,G374),1)*IF(Upgrades!$T$9="Heliopause",POWER(Upgrades!$U$9,H374),1)*IF(Upgrades!$T$10="Heliopause",POWER(Upgrades!$U$10,I374),1)*IF(Upgrades!$T$12="Heliopause",POWER(Upgrades!$U$12,K374),1))+(IF(K374=0,0,(Upgrades!$J$12+K374*Upgrades!$K$12)*POWER(Upgrades!$L$12,K374)))*(IF(Upgrades!$T$6="First Photons",POWER(Upgrades!$U$6,E374),1)*IF(Upgrades!$T$7="First Photons",POWER(Upgrades!$U$7,F374),1)*IF(Upgrades!$T$8="First Photons",POWER(Upgrades!$U$8,G374),1)*IF(Upgrades!$T$9="First Photons",POWER(Upgrades!$U$9,H374),1)*IF(Upgrades!$T$10="First Photons",POWER(Upgrades!$U$10,I374),1)*IF(Upgrades!$T$11="First Photons",POWER(Upgrades!$U$11,J374),1)))*POWER(Upgrades!$Q$6,E374)*POWER(Upgrades!$Q$7,F374)*POWER(Upgrades!$Q$8,G374)*POWER(Upgrades!$Q$9,H374)*POWER(Upgrades!$Q$10,I374)*POWER(Upgrades!$Q$11,J374)*POWER(Upgrades!$Q$12,K374)</f>
        <v/>
      </c>
      <c r="N374" s="28">
        <f>((IF(E374=0,0,(Upgrades!$G$6+E374*Upgrades!$H$6)*POWER(Upgrades!$I$6,E374)))*(IF(Upgrades!$T$7="Solar Wind",POWER(Upgrades!$U$7,F374),1)*IF(Upgrades!$T$8="Solar Wind",POWER(Upgrades!$U$8,G374),1)*IF(Upgrades!$T$9="Solar Wind",POWER(Upgrades!$U$9,H374),1)*IF(Upgrades!$T$10="Solar Wind",POWER(Upgrades!$U$10,I374),1)*IF(Upgrades!$T$11="Solar Wind",POWER(Upgrades!$U$11,J374),1)*IF(Upgrades!$T$12="Solar Wind",POWER(Upgrades!$U$12,K374),1))+(IF(F374=0,0,(Upgrades!$G$7+F374*Upgrades!$H$7)*POWER(Upgrades!$I$7,F374)))*(IF(Upgrades!$T$6="Asteroid Belt",POWER(Upgrades!$U$6,E374),1)*IF(Upgrades!$T$8="Asteroid Belt",POWER(Upgrades!$U$8,G374),1)*IF(Upgrades!$T$9="Asteroid Belt",POWER(Upgrades!$U$9,H374),1)*IF(Upgrades!$T$10="Asteroid Belt",POWER(Upgrades!$U$10,I374),1)*IF(Upgrades!$T$11="Asteroid Belt",POWER(Upgrades!$U$11,J374),1)*IF(Upgrades!$T$12="Asteroid Belt",POWER(Upgrades!$U$12,K374),1))+(IF(G374=0,0,(Upgrades!$G$8+G374*Upgrades!$H$8)*POWER(Upgrades!$I$8,G374)))*(IF(Upgrades!$T$6="Stellar Coupling",POWER(Upgrades!$U$6,E374),1)*IF(Upgrades!$T$7="Stellar Coupling",POWER(Upgrades!$U$7,F374),1)*IF(Upgrades!$T$9="Stellar Coupling",POWER(Upgrades!$U$9,H374),1)*IF(Upgrades!$T$10="Stellar Coupling",POWER(Upgrades!$U$10,I374),1)*IF(Upgrades!$T$11="Stellar Coupling",POWER(Upgrades!$U$11,J374),1)*IF(Upgrades!$T$12="Stellar Coupling",POWER(Upgrades!$U$12,K374),1))+(IF(H374=0,0,(Upgrades!$G$9+H374*Upgrades!$H$9)*POWER(Upgrades!$I$9,H374)))*(IF(Upgrades!$T$6="Magnetosphere",POWER(Upgrades!$U$6,E374),1)*IF(Upgrades!$T$7="Magnetosphere",POWER(Upgrades!$U$7,F374),1)*IF(Upgrades!$T$8="Magnetosphere",POWER(Upgrades!$U$8,G374),1)*IF(Upgrades!$T$10="Magnetosphere",POWER(Upgrades!$U$10,I374),1)*IF(Upgrades!$T$11="Magnetosphere",POWER(Upgrades!$U$11,J374),1)*IF(Upgrades!$T$12="Magnetosphere",POWER(Upgrades!$U$12,K374),1))+(IF(I374=0,0,(Upgrades!$G$10+I374*Upgrades!$H$10)*POWER(Upgrades!$I$10,I374)))*(IF(Upgrades!$T$6="Orbital Resonance",POWER(Upgrades!$U$6,E374),1)*IF(Upgrades!$T$7="Orbital Resonance",POWER(Upgrades!$U$7,F374),1)*IF(Upgrades!$T$8="Orbital Resonance",POWER(Upgrades!$U$8,G374),1)*IF(Upgrades!$T$9="Orbital Resonance",POWER(Upgrades!$U$9,H374),1)*IF(Upgrades!$T$11="Orbital Resonance",POWER(Upgrades!$U$11,J374),1)*IF(Upgrades!$T$12="Orbital Resonance",POWER(Upgrades!$U$12,K374),1))+(IF(J374=0,0,(Upgrades!$G$11+J374*Upgrades!$H$11)*POWER(Upgrades!$I$11,J374)))*(IF(Upgrades!$T$6="Heliopause",POWER(Upgrades!$U$6,E374),1)*IF(Upgrades!$T$7="Heliopause",POWER(Upgrades!$U$7,F374),1)*IF(Upgrades!$T$8="Heliopause",POWER(Upgrades!$U$8,G374),1)*IF(Upgrades!$T$9="Heliopause",POWER(Upgrades!$U$9,H374),1)*IF(Upgrades!$T$10="Heliopause",POWER(Upgrades!$U$10,I374),1)*IF(Upgrades!$T$12="Heliopause",POWER(Upgrades!$U$12,K374),1))+(IF(K374=0,0,(Upgrades!$G$12+K374*Upgrades!$H$12)*POWER(Upgrades!$I$12,K374)))*(IF(Upgrades!$T$6="First Photons",POWER(Upgrades!$U$6,E374),1)*IF(Upgrades!$T$7="First Photons",POWER(Upgrades!$U$7,F374),1)*IF(Upgrades!$T$8="First Photons",POWER(Upgrades!$U$8,G374),1)*IF(Upgrades!$T$9="First Photons",POWER(Upgrades!$U$9,H374),1)*IF(Upgrades!$T$10="First Photons",POWER(Upgrades!$U$10,I374),1)*IF(Upgrades!$T$11="First Photons",POWER(Upgrades!$U$11,J374),1)))*POWER(Upgrades!$P$6,E374)*POWER(Upgrades!$P$7,F374)*POWER(Upgrades!$P$8,G374)*POWER(Upgrades!$P$9,H374)*POWER(Upgrades!$P$10,I374)*POWER(Upgrades!$P$11,J374)*POWER(Upgrades!$P$12,K374)</f>
        <v/>
      </c>
      <c r="O374" s="28">
        <f>((IF(E374=0,0,(Upgrades!$M$6+E374*Upgrades!$N$6)*POWER(Upgrades!$O$6,E374)))*(IF(Upgrades!$T$7="Solar Wind",POWER(Upgrades!$U$7,F374),1)*IF(Upgrades!$T$8="Solar Wind",POWER(Upgrades!$U$8,G374),1)*IF(Upgrades!$T$9="Solar Wind",POWER(Upgrades!$U$9,H374),1)*IF(Upgrades!$T$10="Solar Wind",POWER(Upgrades!$U$10,I374),1)*IF(Upgrades!$T$11="Solar Wind",POWER(Upgrades!$U$11,J374),1)*IF(Upgrades!$T$12="Solar Wind",POWER(Upgrades!$U$12,K374),1))+(IF(F374=0,0,(Upgrades!$M$7+F374*Upgrades!$N$7)*POWER(Upgrades!$O$7,F374)))*(IF(Upgrades!$T$6="Asteroid Belt",POWER(Upgrades!$U$6,E374),1)*IF(Upgrades!$T$8="Asteroid Belt",POWER(Upgrades!$U$8,G374),1)*IF(Upgrades!$T$9="Asteroid Belt",POWER(Upgrades!$U$9,H374),1)*IF(Upgrades!$T$10="Asteroid Belt",POWER(Upgrades!$U$10,I374),1)*IF(Upgrades!$T$11="Asteroid Belt",POWER(Upgrades!$U$11,J374),1)*IF(Upgrades!$T$12="Asteroid Belt",POWER(Upgrades!$U$12,K374),1))+(IF(G374=0,0,(Upgrades!$M$8+G374*Upgrades!$N$8)*POWER(Upgrades!$O$8,G374)))*(IF(Upgrades!$T$6="Stellar Coupling",POWER(Upgrades!$U$6,E374),1)*IF(Upgrades!$T$7="Stellar Coupling",POWER(Upgrades!$U$7,F374),1)*IF(Upgrades!$T$9="Stellar Coupling",POWER(Upgrades!$U$9,H374),1)*IF(Upgrades!$T$10="Stellar Coupling",POWER(Upgrades!$U$10,I374),1)*IF(Upgrades!$T$11="Stellar Coupling",POWER(Upgrades!$U$11,J374),1)*IF(Upgrades!$T$12="Stellar Coupling",POWER(Upgrades!$U$12,K374),1))+(IF(H374=0,0,(Upgrades!$M$9+H374*Upgrades!$N$9)*POWER(Upgrades!$O$9,H374)))*(IF(Upgrades!$T$6="Magnetosphere",POWER(Upgrades!$U$6,E374),1)*IF(Upgrades!$T$7="Magnetosphere",POWER(Upgrades!$U$7,F374),1)*IF(Upgrades!$T$8="Magnetosphere",POWER(Upgrades!$U$8,G374),1)*IF(Upgrades!$T$10="Magnetosphere",POWER(Upgrades!$U$10,I374),1)*IF(Upgrades!$T$11="Magnetosphere",POWER(Upgrades!$U$11,J374),1)*IF(Upgrades!$T$12="Magnetosphere",POWER(Upgrades!$U$12,K374),1))+(IF(I374=0,0,(Upgrades!$M$10+I374*Upgrades!$N$10)*POWER(Upgrades!$O$10,I374)))*(IF(Upgrades!$T$6="Orbital Resonance",POWER(Upgrades!$U$6,E374),1)*IF(Upgrades!$T$7="Orbital Resonance",POWER(Upgrades!$U$7,F374),1)*IF(Upgrades!$T$8="Orbital Resonance",POWER(Upgrades!$U$8,G374),1)*IF(Upgrades!$T$9="Orbital Resonance",POWER(Upgrades!$U$9,H374),1)*IF(Upgrades!$T$11="Orbital Resonance",POWER(Upgrades!$U$11,J374),1)*IF(Upgrades!$T$12="Orbital Resonance",POWER(Upgrades!$U$12,K374),1))+(IF(J374=0,0,(Upgrades!$M$11+J374*Upgrades!$N$11)*POWER(Upgrades!$O$11,J374)))*(IF(Upgrades!$T$6="Heliopause",POWER(Upgrades!$U$6,E374),1)*IF(Upgrades!$T$7="Heliopause",POWER(Upgrades!$U$7,F374),1)*IF(Upgrades!$T$8="Heliopause",POWER(Upgrades!$U$8,G374),1)*IF(Upgrades!$T$9="Heliopause",POWER(Upgrades!$U$9,H374),1)*IF(Upgrades!$T$10="Heliopause",POWER(Upgrades!$U$10,I374),1)*IF(Upgrades!$T$12="Heliopause",POWER(Upgrades!$U$12,K374),1))+(IF(K374=0,0,(Upgrades!$M$12+K374*Upgrades!$N$12)*POWER(Upgrades!$O$12,K374)))*(IF(Upgrades!$T$6="First Photons",POWER(Upgrades!$U$6,E374),1)*IF(Upgrades!$T$7="First Photons",POWER(Upgrades!$U$7,F374),1)*IF(Upgrades!$T$8="First Photons",POWER(Upgrades!$U$8,G374),1)*IF(Upgrades!$T$9="First Photons",POWER(Upgrades!$U$9,H374),1)*IF(Upgrades!$T$10="First Photons",POWER(Upgrades!$U$10,I374),1)*IF(Upgrades!$T$11="First Photons",POWER(Upgrades!$U$11,J374),1)))*POWER(Upgrades!$R$6,E374)*POWER(Upgrades!$R$7,F374)*POWER(Upgrades!$R$8,G374)*POWER(Upgrades!$R$9,H374)*POWER(Upgrades!$R$10,I374)*POWER(Upgrades!$R$11,J374)*POWER(Upgrades!$R$12,K374)</f>
        <v/>
      </c>
      <c r="P374" s="27">
        <f>IF(L374=1,0,M374*Parameters!$B$10/60*Parameters!$B$11*10)</f>
        <v/>
      </c>
      <c r="Q374" s="27">
        <f>IF(L374=1,0,O374*M374*10)</f>
        <v/>
      </c>
      <c r="R374" s="27">
        <f>IF(L374=1,0,N374*10)</f>
        <v/>
      </c>
      <c r="S374" s="27">
        <f>P374+Q374+R374</f>
        <v/>
      </c>
      <c r="T374" s="22">
        <f>C374+S374</f>
        <v/>
      </c>
      <c r="U374" s="33">
        <f>AX374</f>
        <v/>
      </c>
      <c r="V374" s="22">
        <f>IF(U374="",0,IF(U374="transition",0,IF(U374="SW",AG374,IF(U374="AB",AH374,IF(U374="SC",AI374,IF(U374="Mag",AJ374,IF(U374="OR",AK374,IF(U374="HP",AL374,IF(U374="FP",AM374,0)))))))))</f>
        <v/>
      </c>
      <c r="W374" s="27">
        <f>IF(U374="OR",Upgrades!$F$10,IF(U374="HP",Upgrades!$F$11,IF(U374="transition",-Parameters!$B$18,0)))</f>
        <v/>
      </c>
      <c r="X374" s="22">
        <f>T374-V374</f>
        <v/>
      </c>
      <c r="Y374" s="30">
        <f>M374*Parameters!$B$10/60*Parameters!$B$11+O374*M374+N374</f>
        <v/>
      </c>
      <c r="Z374" s="34">
        <f>IF(U374="transition","→ Tier 2 (Stellar Neighborhood)",IF(U374="FP","First Photons — light begins, system quickens",IF(U374="HP","Heliopause acquired",IF(U374="OR","Orbital Resonance — passive multiplier active",IF(AND(AO374=1,L374=0,AN374&lt;&gt;1),"Cohesion ready (waiting on completionist upgrades)","")))))</f>
        <v/>
      </c>
      <c r="AA374" s="27">
        <f>(IF(E374=0,0,(Upgrades!$G$6+E374*Upgrades!$H$6)*POWER(Upgrades!$I$6,E374)))*(IF(Upgrades!$T$7="Solar Wind",POWER(Upgrades!$U$7,F374),1)*IF(Upgrades!$T$8="Solar Wind",POWER(Upgrades!$U$8,G374),1)*IF(Upgrades!$T$9="Solar Wind",POWER(Upgrades!$U$9,H374),1)*IF(Upgrades!$T$10="Solar Wind",POWER(Upgrades!$U$10,I374),1)*IF(Upgrades!$T$11="Solar Wind",POWER(Upgrades!$U$11,J374),1)*IF(Upgrades!$T$12="Solar Wind",POWER(Upgrades!$U$12,K374),1))*POWER(Upgrades!$P$6,E374)*POWER(Upgrades!$P$7,F374)*POWER(Upgrades!$P$8,G374)*POWER(Upgrades!$P$9,H374)*POWER(Upgrades!$P$10,I374)*POWER(Upgrades!$P$11,J374)*POWER(Upgrades!$P$12,K374)*60</f>
        <v/>
      </c>
      <c r="AB374" s="27">
        <f>(IF(F374=0,0,(Upgrades!$G$7+F374*Upgrades!$H$7)*POWER(Upgrades!$I$7,F374)))*(IF(Upgrades!$T$6="Asteroid Belt",POWER(Upgrades!$U$6,E374),1)*IF(Upgrades!$T$8="Asteroid Belt",POWER(Upgrades!$U$8,G374),1)*IF(Upgrades!$T$9="Asteroid Belt",POWER(Upgrades!$U$9,H374),1)*IF(Upgrades!$T$10="Asteroid Belt",POWER(Upgrades!$U$10,I374),1)*IF(Upgrades!$T$11="Asteroid Belt",POWER(Upgrades!$U$11,J374),1)*IF(Upgrades!$T$12="Asteroid Belt",POWER(Upgrades!$U$12,K374),1))*POWER(Upgrades!$P$6,E374)*POWER(Upgrades!$P$7,F374)*POWER(Upgrades!$P$8,G374)*POWER(Upgrades!$P$9,H374)*POWER(Upgrades!$P$10,I374)*POWER(Upgrades!$P$11,J374)*POWER(Upgrades!$P$12,K374)*60</f>
        <v/>
      </c>
      <c r="AC374" s="27">
        <f>(IF(G374=0,0,(Upgrades!$J$8+G374*Upgrades!$K$8)*POWER(Upgrades!$L$8,G374)))*(IF(Upgrades!$T$6="Stellar Coupling",POWER(Upgrades!$U$6,E374),1)*IF(Upgrades!$T$7="Stellar Coupling",POWER(Upgrades!$U$7,F374),1)*IF(Upgrades!$T$9="Stellar Coupling",POWER(Upgrades!$U$9,H374),1)*IF(Upgrades!$T$10="Stellar Coupling",POWER(Upgrades!$U$10,I374),1)*IF(Upgrades!$T$11="Stellar Coupling",POWER(Upgrades!$U$11,J374),1)*IF(Upgrades!$T$12="Stellar Coupling",POWER(Upgrades!$U$12,K374),1))*POWER(Upgrades!$Q$6,E374)*POWER(Upgrades!$Q$7,F374)*POWER(Upgrades!$Q$8,G374)*POWER(Upgrades!$Q$9,H374)*POWER(Upgrades!$Q$10,I374)*POWER(Upgrades!$Q$11,J374)*POWER(Upgrades!$Q$12,K374)*Parameters!$B$10*Parameters!$B$11</f>
        <v/>
      </c>
      <c r="AD374" s="27">
        <f>(IF(H374=0,0,(Upgrades!$G$9+H374*Upgrades!$H$9)*POWER(Upgrades!$I$9,H374)))*(IF(Upgrades!$T$6="Magnetosphere",POWER(Upgrades!$U$6,E374),1)*IF(Upgrades!$T$7="Magnetosphere",POWER(Upgrades!$U$7,F374),1)*IF(Upgrades!$T$8="Magnetosphere",POWER(Upgrades!$U$8,G374),1)*IF(Upgrades!$T$10="Magnetosphere",POWER(Upgrades!$U$10,I374),1)*IF(Upgrades!$T$11="Magnetosphere",POWER(Upgrades!$U$11,J374),1)*IF(Upgrades!$T$12="Magnetosphere",POWER(Upgrades!$U$12,K374),1))*POWER(Upgrades!$P$6,E374)*POWER(Upgrades!$P$7,F374)*POWER(Upgrades!$P$8,G374)*POWER(Upgrades!$P$9,H374)*POWER(Upgrades!$P$10,I374)*POWER(Upgrades!$P$11,J374)*POWER(Upgrades!$P$12,K374)*60</f>
        <v/>
      </c>
      <c r="AE374" s="27">
        <f>(IF(K374=0,0,(Upgrades!$G$12+K374*Upgrades!$H$12)*POWER(Upgrades!$I$12,K374)))*(IF(Upgrades!$T$6="First Photons",POWER(Upgrades!$U$6,E374),1)*IF(Upgrades!$T$7="First Photons",POWER(Upgrades!$U$7,F374),1)*IF(Upgrades!$T$8="First Photons",POWER(Upgrades!$U$8,G374),1)*IF(Upgrades!$T$9="First Photons",POWER(Upgrades!$U$9,H374),1)*IF(Upgrades!$T$10="First Photons",POWER(Upgrades!$U$10,I374),1)*IF(Upgrades!$T$11="First Photons",POWER(Upgrades!$U$11,J374),1))*POWER(Upgrades!$P$6,E374)*POWER(Upgrades!$P$7,F374)*POWER(Upgrades!$P$8,G374)*POWER(Upgrades!$P$9,H374)*POWER(Upgrades!$P$10,I374)*POWER(Upgrades!$P$11,J374)*POWER(Upgrades!$P$12,K374)*60</f>
        <v/>
      </c>
      <c r="AF374" s="27">
        <f>Parameters!$B$9*POWER(Upgrades!$Q$6,E374)*POWER(Upgrades!$Q$7,F374)*POWER(Upgrades!$Q$8,G374)*POWER(Upgrades!$Q$9,H374)*POWER(Upgrades!$Q$10,I374)*POWER(Upgrades!$Q$11,J374)*POWER(Upgrades!$Q$12,K374)*(Parameters!$B$10*Parameters!$B$11+O374*60)</f>
        <v/>
      </c>
      <c r="AG374" s="22">
        <f>IF(E374&gt;=Upgrades!$E$6,"",Upgrades!$C$6*POWER(Upgrades!$D$6,E374))</f>
        <v/>
      </c>
      <c r="AH374" s="22">
        <f>IF(F374&gt;=Upgrades!$E$7,"",Upgrades!$C$7*POWER(Upgrades!$D$7,F374))</f>
        <v/>
      </c>
      <c r="AI374" s="22">
        <f>IF(G374&gt;=Upgrades!$E$8,"",Upgrades!$C$8*POWER(Upgrades!$D$8,G374))</f>
        <v/>
      </c>
      <c r="AJ374" s="22">
        <f>IF(H374&gt;=Upgrades!$E$9,"",Upgrades!$C$9*POWER(Upgrades!$D$9,H374))</f>
        <v/>
      </c>
      <c r="AK374" s="22">
        <f>IF(I374&gt;=Upgrades!$E$10,"",Upgrades!$C$10*POWER(Upgrades!$D$10,I374))</f>
        <v/>
      </c>
      <c r="AL374" s="22">
        <f>IF(J374&gt;=Upgrades!$E$11,"",Upgrades!$C$11*POWER(Upgrades!$D$11,J374))</f>
        <v/>
      </c>
      <c r="AM374" s="22">
        <f>IF(K374&gt;=Upgrades!$E$12,"",Upgrades!$C$12*POWER(Upgrades!$D$12,K374))</f>
        <v/>
      </c>
      <c r="AN374" s="26">
        <f>IF(AND(D374&gt;=Parameters!$B$18,(H374&gt;=Upgrades!$E$9)*(K374&gt;=Upgrades!$E$12)=1,L374=0),1,"")</f>
        <v/>
      </c>
      <c r="AO374" s="26">
        <f>IF(AND(D374&gt;=Parameters!$B$18,L374=0),1,"")</f>
        <v/>
      </c>
      <c r="AP374" s="22">
        <f>MIN(IF(ISNUMBER(AK374),AK374,9E15),IF(ISNUMBER(AL374),AL374,9E15),IF(ISNUMBER(AM374),AM374,9E15))</f>
        <v/>
      </c>
      <c r="AQ374" s="22">
        <f>MIN(IF(ISNUMBER(AG374),AG374,9E15),IF(ISNUMBER(AH374),AH374,9E15),IF(ISNUMBER(AI374),AI374,9E15),IF(ISNUMBER(AJ374),AJ374,9E15))</f>
        <v/>
      </c>
      <c r="AR374" s="29">
        <f>IF(AW374&gt;Parameters!$B$21*(MAX(IF(AND(NOT(AND(AO374=1,AN374&lt;&gt;1)),ISNUMBER(AG374),AG374&lt;=T374),AS374,0),IF(AND(NOT(AND(AO374=1,AN374&lt;&gt;1)),ISNUMBER(AH374),AH374&lt;=T374),AT374,0),IF(AND(NOT(AND(AO374=1,AN374&lt;&gt;1)),ISNUMBER(AI374),AI374&lt;=T374),AU374,0),IF(AND(ISNUMBER(AJ374),AJ374&lt;=T374),AV374,0))),TRUE,FALSE)</f>
        <v/>
      </c>
      <c r="AS374" s="32">
        <f>IFERROR(Upgrades!$H$6*(POWER(Upgrades!$P$6,E374)*POWER(Upgrades!$P$7,F374)*POWER(Upgrades!$P$8,G374)*POWER(Upgrades!$P$9,H374)*POWER(Upgrades!$P$10,I374)*POWER(Upgrades!$P$11,J374)*POWER(Upgrades!$P$12,K374))*(IF(Upgrades!$T$7="Solar Wind",POWER(Upgrades!$U$7,F374),1)*IF(Upgrades!$T$8="Solar Wind",POWER(Upgrades!$U$8,G374),1)*IF(Upgrades!$T$9="Solar Wind",POWER(Upgrades!$U$9,H374),1)*IF(Upgrades!$T$10="Solar Wind",POWER(Upgrades!$U$10,I374),1)*IF(Upgrades!$T$11="Solar Wind",POWER(Upgrades!$U$11,J374),1)*IF(Upgrades!$T$12="Solar Wind",POWER(Upgrades!$U$12,K374),1))/AG374,0)</f>
        <v/>
      </c>
      <c r="AT374" s="32">
        <f>IFERROR(Upgrades!$H$7*(POWER(Upgrades!$P$6,E374)*POWER(Upgrades!$P$7,F374)*POWER(Upgrades!$P$8,G374)*POWER(Upgrades!$P$9,H374)*POWER(Upgrades!$P$10,I374)*POWER(Upgrades!$P$11,J374)*POWER(Upgrades!$P$12,K374))*(IF(Upgrades!$T$6="Asteroid Belt",POWER(Upgrades!$U$6,E374),1)*IF(Upgrades!$T$8="Asteroid Belt",POWER(Upgrades!$U$8,G374),1)*IF(Upgrades!$T$9="Asteroid Belt",POWER(Upgrades!$U$9,H374),1)*IF(Upgrades!$T$10="Asteroid Belt",POWER(Upgrades!$U$10,I374),1)*IF(Upgrades!$T$11="Asteroid Belt",POWER(Upgrades!$U$11,J374),1)*IF(Upgrades!$T$12="Asteroid Belt",POWER(Upgrades!$U$12,K374),1))/AH374,0)</f>
        <v/>
      </c>
      <c r="AU374" s="32">
        <f>IFERROR(Upgrades!$K$8*(POWER(Upgrades!$Q$6,E374)*POWER(Upgrades!$Q$7,F374)*POWER(Upgrades!$Q$8,G374)*POWER(Upgrades!$Q$9,H374)*POWER(Upgrades!$Q$10,I374)*POWER(Upgrades!$Q$11,J374)*POWER(Upgrades!$Q$12,K374))*(IF(Upgrades!$T$6="Stellar Coupling",POWER(Upgrades!$U$6,E374),1)*IF(Upgrades!$T$7="Stellar Coupling",POWER(Upgrades!$U$7,F374),1)*IF(Upgrades!$T$9="Stellar Coupling",POWER(Upgrades!$U$9,H374),1)*IF(Upgrades!$T$10="Stellar Coupling",POWER(Upgrades!$U$10,I374),1)*IF(Upgrades!$T$11="Stellar Coupling",POWER(Upgrades!$U$11,J374),1)*IF(Upgrades!$T$12="Stellar Coupling",POWER(Upgrades!$U$12,K374),1))*Parameters!$B$10*Parameters!$B$11/60/AI374,0)</f>
        <v/>
      </c>
      <c r="AV374" s="32">
        <f>IFERROR(Upgrades!$H$9*(POWER(Upgrades!$P$6,E374)*POWER(Upgrades!$P$7,F374)*POWER(Upgrades!$P$8,G374)*POWER(Upgrades!$P$9,H374)*POWER(Upgrades!$P$10,I374)*POWER(Upgrades!$P$11,J374)*POWER(Upgrades!$P$12,K374))*(IF(Upgrades!$T$6="Magnetosphere",POWER(Upgrades!$U$6,E374),1)*IF(Upgrades!$T$7="Magnetosphere",POWER(Upgrades!$U$7,F374),1)*IF(Upgrades!$T$8="Magnetosphere",POWER(Upgrades!$U$8,G374),1)*IF(Upgrades!$T$10="Magnetosphere",POWER(Upgrades!$U$10,I374),1)*IF(Upgrades!$T$11="Magnetosphere",POWER(Upgrades!$U$11,J374),1)*IF(Upgrades!$T$12="Magnetosphere",POWER(Upgrades!$U$12,K374),1))/AJ374,0)</f>
        <v/>
      </c>
      <c r="AW374" s="32">
        <f>MAX(IF(I374&gt;0,0,IFERROR(0.25*N374/Upgrades!$C$10,0)),IF(J374&gt;0,0,IFERROR(0.5*((IF(G374=0,0,(Upgrades!$J$8+G374*Upgrades!$K$8)*POWER(Upgrades!$L$8,G374)))*(IF(Upgrades!$T$6="Stellar Coupling",POWER(Upgrades!$U$6,E374),1)*IF(Upgrades!$T$7="Stellar Coupling",POWER(Upgrades!$U$7,F374),1)*IF(Upgrades!$T$9="Stellar Coupling",POWER(Upgrades!$U$9,H374),1)*IF(Upgrades!$T$10="Stellar Coupling",POWER(Upgrades!$U$10,I374),1)*IF(Upgrades!$T$11="Stellar Coupling",POWER(Upgrades!$U$11,J374),1)*IF(Upgrades!$T$12="Stellar Coupling",POWER(Upgrades!$U$12,K374),1))*(POWER(Upgrades!$Q$6,E374)*POWER(Upgrades!$Q$7,F374)*POWER(Upgrades!$Q$8,G374)*POWER(Upgrades!$Q$9,H374)*POWER(Upgrades!$Q$10,I374)*POWER(Upgrades!$Q$11,J374)*POWER(Upgrades!$Q$12,K374))*Parameters!$B$10*Parameters!$B$11/60)/Upgrades!$C$11,0)),IF(K374&gt;0,0,IFERROR((1.0*(POWER(Upgrades!$P$6,E374)*POWER(Upgrades!$P$7,F374)*POWER(Upgrades!$P$8,G374)*POWER(Upgrades!$P$9,H374)*POWER(Upgrades!$P$10,I374)*POWER(Upgrades!$P$11,J374)*POWER(Upgrades!$P$12,K374))+0.20*M374*Parameters!$B$10*Parameters!$B$11/60)/Upgrades!$C$12,0)),IF(AND(ISNUMBER(AG374),AG374&gt;T374),AS374,0),IF(AND(ISNUMBER(AH374),AH374&gt;T374),AT374,0),IF(AND(ISNUMBER(AI374),AI374&gt;T374),AU374,0),IF(AND(ISNUMBER(AJ374),AJ374&gt;T374),AV374,0))</f>
        <v/>
      </c>
      <c r="AX374" s="29">
        <f>IF(AN374=1,"transition",IF(MIN(IF(AND(I374=0,ISNUMBER(AK374),AK374&lt;=T374),AK374,9E15),IF(AND(J374=0,ISNUMBER(AL374),AL374&lt;=T374),AL374,9E15),IF(AND(K374=0,ISNUMBER(AM374),AM374&lt;=T374),AM374,9E15))&lt;9E15,IF(AND(AND(I374=0,ISNUMBER(AK374),AK374&lt;=T374),AK374=MIN(IF(AND(I374=0,ISNUMBER(AK374),AK374&lt;=T374),AK374,9E15),IF(AND(J374=0,ISNUMBER(AL374),AL374&lt;=T374),AL374,9E15),IF(AND(K374=0,ISNUMBER(AM374),AM374&lt;=T374),AM374,9E15))),"OR",IF(AND(AND(J374=0,ISNUMBER(AL374),AL374&lt;=T374),AL374=MIN(IF(AND(I374=0,ISNUMBER(AK374),AK374&lt;=T374),AK374,9E15),IF(AND(J374=0,ISNUMBER(AL374),AL374&lt;=T374),AL374,9E15),IF(AND(K374=0,ISNUMBER(AM374),AM374&lt;=T374),AM374,9E15))),"HP","FP")),IF(AR374=TRUE,"",IF(MAX(IF(AND(NOT(AND(AO374=1,AN374&lt;&gt;1)),ISNUMBER(AG374),AG374&lt;=T374),AS374,0),IF(AND(NOT(AND(AO374=1,AN374&lt;&gt;1)),ISNUMBER(AH374),AH374&lt;=T374),AT374,0),IF(AND(NOT(AND(AO374=1,AN374&lt;&gt;1)),ISNUMBER(AI374),AI374&lt;=T374),AU374,0),IF(AND(ISNUMBER(AJ374),AJ374&lt;=T374),AV374,0))&lt;=0,"",IF(AND(IF(AND(NOT(AND(AO374=1,AN374&lt;&gt;1)),ISNUMBER(AG374),AG374&lt;=T374),AS374,0)&gt;0,IF(AND(NOT(AND(AO374=1,AN374&lt;&gt;1)),ISNUMBER(AG374),AG374&lt;=T374),AS374,0)=MAX(IF(AND(NOT(AND(AO374=1,AN374&lt;&gt;1)),ISNUMBER(AG374),AG374&lt;=T374),AS374,0),IF(AND(NOT(AND(AO374=1,AN374&lt;&gt;1)),ISNUMBER(AH374),AH374&lt;=T374),AT374,0),IF(AND(NOT(AND(AO374=1,AN374&lt;&gt;1)),ISNUMBER(AI374),AI374&lt;=T374),AU374,0),IF(AND(ISNUMBER(AJ374),AJ374&lt;=T374),AV374,0))),"SW",IF(AND(IF(AND(NOT(AND(AO374=1,AN374&lt;&gt;1)),ISNUMBER(AH374),AH374&lt;=T374),AT374,0)&gt;0,IF(AND(NOT(AND(AO374=1,AN374&lt;&gt;1)),ISNUMBER(AH374),AH374&lt;=T374),AT374,0)=MAX(IF(AND(NOT(AND(AO374=1,AN374&lt;&gt;1)),ISNUMBER(AG374),AG374&lt;=T374),AS374,0),IF(AND(NOT(AND(AO374=1,AN374&lt;&gt;1)),ISNUMBER(AH374),AH374&lt;=T374),AT374,0),IF(AND(NOT(AND(AO374=1,AN374&lt;&gt;1)),ISNUMBER(AI374),AI374&lt;=T374),AU374,0),IF(AND(ISNUMBER(AJ374),AJ374&lt;=T374),AV374,0))),"AB",IF(AND(IF(AND(NOT(AND(AO374=1,AN374&lt;&gt;1)),ISNUMBER(AI374),AI374&lt;=T374),AU374,0)&gt;0,IF(AND(NOT(AND(AO374=1,AN374&lt;&gt;1)),ISNUMBER(AI374),AI374&lt;=T374),AU374,0)=MAX(IF(AND(NOT(AND(AO374=1,AN374&lt;&gt;1)),ISNUMBER(AG374),AG374&lt;=T374),AS374,0),IF(AND(NOT(AND(AO374=1,AN374&lt;&gt;1)),ISNUMBER(AH374),AH374&lt;=T374),AT374,0),IF(AND(NOT(AND(AO374=1,AN374&lt;&gt;1)),ISNUMBER(AI374),AI374&lt;=T374),AU374,0),IF(AND(ISNUMBER(AJ374),AJ374&lt;=T374),AV374,0))),"SC","Mag")))))))</f>
        <v/>
      </c>
    </row>
    <row r="375">
      <c r="A375" s="26" t="n">
        <v>370</v>
      </c>
      <c r="B375" s="27">
        <f>A375*10/60</f>
        <v/>
      </c>
      <c r="C375" s="22">
        <f>X374</f>
        <v/>
      </c>
      <c r="D375" s="27">
        <f>D374+W374</f>
        <v/>
      </c>
      <c r="E375" s="26">
        <f>E374+IF(U374="SW",1,0)</f>
        <v/>
      </c>
      <c r="F375" s="26">
        <f>F374+IF(U374="AB",1,0)</f>
        <v/>
      </c>
      <c r="G375" s="26">
        <f>G374+IF(U374="SC",1,0)</f>
        <v/>
      </c>
      <c r="H375" s="26">
        <f>H374+IF(U374="Mag",1,0)</f>
        <v/>
      </c>
      <c r="I375" s="26">
        <f>MAX(I374,IF(U374="OR",1,0))</f>
        <v/>
      </c>
      <c r="J375" s="26">
        <f>MAX(J374,IF(U374="HP",1,0))</f>
        <v/>
      </c>
      <c r="K375" s="26">
        <f>MAX(K374,IF(U374="FP",1,0))</f>
        <v/>
      </c>
      <c r="L375" s="26">
        <f>MAX(L374,IF(U374="transition",1,0))</f>
        <v/>
      </c>
      <c r="M375" s="28">
        <f>(Parameters!$B$9+(IF(E375=0,0,(Upgrades!$J$6+E375*Upgrades!$K$6)*POWER(Upgrades!$L$6,E375)))*(IF(Upgrades!$T$7="Solar Wind",POWER(Upgrades!$U$7,F375),1)*IF(Upgrades!$T$8="Solar Wind",POWER(Upgrades!$U$8,G375),1)*IF(Upgrades!$T$9="Solar Wind",POWER(Upgrades!$U$9,H375),1)*IF(Upgrades!$T$10="Solar Wind",POWER(Upgrades!$U$10,I375),1)*IF(Upgrades!$T$11="Solar Wind",POWER(Upgrades!$U$11,J375),1)*IF(Upgrades!$T$12="Solar Wind",POWER(Upgrades!$U$12,K375),1))+(IF(F375=0,0,(Upgrades!$J$7+F375*Upgrades!$K$7)*POWER(Upgrades!$L$7,F375)))*(IF(Upgrades!$T$6="Asteroid Belt",POWER(Upgrades!$U$6,E375),1)*IF(Upgrades!$T$8="Asteroid Belt",POWER(Upgrades!$U$8,G375),1)*IF(Upgrades!$T$9="Asteroid Belt",POWER(Upgrades!$U$9,H375),1)*IF(Upgrades!$T$10="Asteroid Belt",POWER(Upgrades!$U$10,I375),1)*IF(Upgrades!$T$11="Asteroid Belt",POWER(Upgrades!$U$11,J375),1)*IF(Upgrades!$T$12="Asteroid Belt",POWER(Upgrades!$U$12,K375),1))+(IF(G375=0,0,(Upgrades!$J$8+G375*Upgrades!$K$8)*POWER(Upgrades!$L$8,G375)))*(IF(Upgrades!$T$6="Stellar Coupling",POWER(Upgrades!$U$6,E375),1)*IF(Upgrades!$T$7="Stellar Coupling",POWER(Upgrades!$U$7,F375),1)*IF(Upgrades!$T$9="Stellar Coupling",POWER(Upgrades!$U$9,H375),1)*IF(Upgrades!$T$10="Stellar Coupling",POWER(Upgrades!$U$10,I375),1)*IF(Upgrades!$T$11="Stellar Coupling",POWER(Upgrades!$U$11,J375),1)*IF(Upgrades!$T$12="Stellar Coupling",POWER(Upgrades!$U$12,K375),1))+(IF(H375=0,0,(Upgrades!$J$9+H375*Upgrades!$K$9)*POWER(Upgrades!$L$9,H375)))*(IF(Upgrades!$T$6="Magnetosphere",POWER(Upgrades!$U$6,E375),1)*IF(Upgrades!$T$7="Magnetosphere",POWER(Upgrades!$U$7,F375),1)*IF(Upgrades!$T$8="Magnetosphere",POWER(Upgrades!$U$8,G375),1)*IF(Upgrades!$T$10="Magnetosphere",POWER(Upgrades!$U$10,I375),1)*IF(Upgrades!$T$11="Magnetosphere",POWER(Upgrades!$U$11,J375),1)*IF(Upgrades!$T$12="Magnetosphere",POWER(Upgrades!$U$12,K375),1))+(IF(I375=0,0,(Upgrades!$J$10+I375*Upgrades!$K$10)*POWER(Upgrades!$L$10,I375)))*(IF(Upgrades!$T$6="Orbital Resonance",POWER(Upgrades!$U$6,E375),1)*IF(Upgrades!$T$7="Orbital Resonance",POWER(Upgrades!$U$7,F375),1)*IF(Upgrades!$T$8="Orbital Resonance",POWER(Upgrades!$U$8,G375),1)*IF(Upgrades!$T$9="Orbital Resonance",POWER(Upgrades!$U$9,H375),1)*IF(Upgrades!$T$11="Orbital Resonance",POWER(Upgrades!$U$11,J375),1)*IF(Upgrades!$T$12="Orbital Resonance",POWER(Upgrades!$U$12,K375),1))+(IF(J375=0,0,(Upgrades!$J$11+J375*Upgrades!$K$11)*POWER(Upgrades!$L$11,J375)))*(IF(Upgrades!$T$6="Heliopause",POWER(Upgrades!$U$6,E375),1)*IF(Upgrades!$T$7="Heliopause",POWER(Upgrades!$U$7,F375),1)*IF(Upgrades!$T$8="Heliopause",POWER(Upgrades!$U$8,G375),1)*IF(Upgrades!$T$9="Heliopause",POWER(Upgrades!$U$9,H375),1)*IF(Upgrades!$T$10="Heliopause",POWER(Upgrades!$U$10,I375),1)*IF(Upgrades!$T$12="Heliopause",POWER(Upgrades!$U$12,K375),1))+(IF(K375=0,0,(Upgrades!$J$12+K375*Upgrades!$K$12)*POWER(Upgrades!$L$12,K375)))*(IF(Upgrades!$T$6="First Photons",POWER(Upgrades!$U$6,E375),1)*IF(Upgrades!$T$7="First Photons",POWER(Upgrades!$U$7,F375),1)*IF(Upgrades!$T$8="First Photons",POWER(Upgrades!$U$8,G375),1)*IF(Upgrades!$T$9="First Photons",POWER(Upgrades!$U$9,H375),1)*IF(Upgrades!$T$10="First Photons",POWER(Upgrades!$U$10,I375),1)*IF(Upgrades!$T$11="First Photons",POWER(Upgrades!$U$11,J375),1)))*POWER(Upgrades!$Q$6,E375)*POWER(Upgrades!$Q$7,F375)*POWER(Upgrades!$Q$8,G375)*POWER(Upgrades!$Q$9,H375)*POWER(Upgrades!$Q$10,I375)*POWER(Upgrades!$Q$11,J375)*POWER(Upgrades!$Q$12,K375)</f>
        <v/>
      </c>
      <c r="N375" s="28">
        <f>((IF(E375=0,0,(Upgrades!$G$6+E375*Upgrades!$H$6)*POWER(Upgrades!$I$6,E375)))*(IF(Upgrades!$T$7="Solar Wind",POWER(Upgrades!$U$7,F375),1)*IF(Upgrades!$T$8="Solar Wind",POWER(Upgrades!$U$8,G375),1)*IF(Upgrades!$T$9="Solar Wind",POWER(Upgrades!$U$9,H375),1)*IF(Upgrades!$T$10="Solar Wind",POWER(Upgrades!$U$10,I375),1)*IF(Upgrades!$T$11="Solar Wind",POWER(Upgrades!$U$11,J375),1)*IF(Upgrades!$T$12="Solar Wind",POWER(Upgrades!$U$12,K375),1))+(IF(F375=0,0,(Upgrades!$G$7+F375*Upgrades!$H$7)*POWER(Upgrades!$I$7,F375)))*(IF(Upgrades!$T$6="Asteroid Belt",POWER(Upgrades!$U$6,E375),1)*IF(Upgrades!$T$8="Asteroid Belt",POWER(Upgrades!$U$8,G375),1)*IF(Upgrades!$T$9="Asteroid Belt",POWER(Upgrades!$U$9,H375),1)*IF(Upgrades!$T$10="Asteroid Belt",POWER(Upgrades!$U$10,I375),1)*IF(Upgrades!$T$11="Asteroid Belt",POWER(Upgrades!$U$11,J375),1)*IF(Upgrades!$T$12="Asteroid Belt",POWER(Upgrades!$U$12,K375),1))+(IF(G375=0,0,(Upgrades!$G$8+G375*Upgrades!$H$8)*POWER(Upgrades!$I$8,G375)))*(IF(Upgrades!$T$6="Stellar Coupling",POWER(Upgrades!$U$6,E375),1)*IF(Upgrades!$T$7="Stellar Coupling",POWER(Upgrades!$U$7,F375),1)*IF(Upgrades!$T$9="Stellar Coupling",POWER(Upgrades!$U$9,H375),1)*IF(Upgrades!$T$10="Stellar Coupling",POWER(Upgrades!$U$10,I375),1)*IF(Upgrades!$T$11="Stellar Coupling",POWER(Upgrades!$U$11,J375),1)*IF(Upgrades!$T$12="Stellar Coupling",POWER(Upgrades!$U$12,K375),1))+(IF(H375=0,0,(Upgrades!$G$9+H375*Upgrades!$H$9)*POWER(Upgrades!$I$9,H375)))*(IF(Upgrades!$T$6="Magnetosphere",POWER(Upgrades!$U$6,E375),1)*IF(Upgrades!$T$7="Magnetosphere",POWER(Upgrades!$U$7,F375),1)*IF(Upgrades!$T$8="Magnetosphere",POWER(Upgrades!$U$8,G375),1)*IF(Upgrades!$T$10="Magnetosphere",POWER(Upgrades!$U$10,I375),1)*IF(Upgrades!$T$11="Magnetosphere",POWER(Upgrades!$U$11,J375),1)*IF(Upgrades!$T$12="Magnetosphere",POWER(Upgrades!$U$12,K375),1))+(IF(I375=0,0,(Upgrades!$G$10+I375*Upgrades!$H$10)*POWER(Upgrades!$I$10,I375)))*(IF(Upgrades!$T$6="Orbital Resonance",POWER(Upgrades!$U$6,E375),1)*IF(Upgrades!$T$7="Orbital Resonance",POWER(Upgrades!$U$7,F375),1)*IF(Upgrades!$T$8="Orbital Resonance",POWER(Upgrades!$U$8,G375),1)*IF(Upgrades!$T$9="Orbital Resonance",POWER(Upgrades!$U$9,H375),1)*IF(Upgrades!$T$11="Orbital Resonance",POWER(Upgrades!$U$11,J375),1)*IF(Upgrades!$T$12="Orbital Resonance",POWER(Upgrades!$U$12,K375),1))+(IF(J375=0,0,(Upgrades!$G$11+J375*Upgrades!$H$11)*POWER(Upgrades!$I$11,J375)))*(IF(Upgrades!$T$6="Heliopause",POWER(Upgrades!$U$6,E375),1)*IF(Upgrades!$T$7="Heliopause",POWER(Upgrades!$U$7,F375),1)*IF(Upgrades!$T$8="Heliopause",POWER(Upgrades!$U$8,G375),1)*IF(Upgrades!$T$9="Heliopause",POWER(Upgrades!$U$9,H375),1)*IF(Upgrades!$T$10="Heliopause",POWER(Upgrades!$U$10,I375),1)*IF(Upgrades!$T$12="Heliopause",POWER(Upgrades!$U$12,K375),1))+(IF(K375=0,0,(Upgrades!$G$12+K375*Upgrades!$H$12)*POWER(Upgrades!$I$12,K375)))*(IF(Upgrades!$T$6="First Photons",POWER(Upgrades!$U$6,E375),1)*IF(Upgrades!$T$7="First Photons",POWER(Upgrades!$U$7,F375),1)*IF(Upgrades!$T$8="First Photons",POWER(Upgrades!$U$8,G375),1)*IF(Upgrades!$T$9="First Photons",POWER(Upgrades!$U$9,H375),1)*IF(Upgrades!$T$10="First Photons",POWER(Upgrades!$U$10,I375),1)*IF(Upgrades!$T$11="First Photons",POWER(Upgrades!$U$11,J375),1)))*POWER(Upgrades!$P$6,E375)*POWER(Upgrades!$P$7,F375)*POWER(Upgrades!$P$8,G375)*POWER(Upgrades!$P$9,H375)*POWER(Upgrades!$P$10,I375)*POWER(Upgrades!$P$11,J375)*POWER(Upgrades!$P$12,K375)</f>
        <v/>
      </c>
      <c r="O375" s="28">
        <f>((IF(E375=0,0,(Upgrades!$M$6+E375*Upgrades!$N$6)*POWER(Upgrades!$O$6,E375)))*(IF(Upgrades!$T$7="Solar Wind",POWER(Upgrades!$U$7,F375),1)*IF(Upgrades!$T$8="Solar Wind",POWER(Upgrades!$U$8,G375),1)*IF(Upgrades!$T$9="Solar Wind",POWER(Upgrades!$U$9,H375),1)*IF(Upgrades!$T$10="Solar Wind",POWER(Upgrades!$U$10,I375),1)*IF(Upgrades!$T$11="Solar Wind",POWER(Upgrades!$U$11,J375),1)*IF(Upgrades!$T$12="Solar Wind",POWER(Upgrades!$U$12,K375),1))+(IF(F375=0,0,(Upgrades!$M$7+F375*Upgrades!$N$7)*POWER(Upgrades!$O$7,F375)))*(IF(Upgrades!$T$6="Asteroid Belt",POWER(Upgrades!$U$6,E375),1)*IF(Upgrades!$T$8="Asteroid Belt",POWER(Upgrades!$U$8,G375),1)*IF(Upgrades!$T$9="Asteroid Belt",POWER(Upgrades!$U$9,H375),1)*IF(Upgrades!$T$10="Asteroid Belt",POWER(Upgrades!$U$10,I375),1)*IF(Upgrades!$T$11="Asteroid Belt",POWER(Upgrades!$U$11,J375),1)*IF(Upgrades!$T$12="Asteroid Belt",POWER(Upgrades!$U$12,K375),1))+(IF(G375=0,0,(Upgrades!$M$8+G375*Upgrades!$N$8)*POWER(Upgrades!$O$8,G375)))*(IF(Upgrades!$T$6="Stellar Coupling",POWER(Upgrades!$U$6,E375),1)*IF(Upgrades!$T$7="Stellar Coupling",POWER(Upgrades!$U$7,F375),1)*IF(Upgrades!$T$9="Stellar Coupling",POWER(Upgrades!$U$9,H375),1)*IF(Upgrades!$T$10="Stellar Coupling",POWER(Upgrades!$U$10,I375),1)*IF(Upgrades!$T$11="Stellar Coupling",POWER(Upgrades!$U$11,J375),1)*IF(Upgrades!$T$12="Stellar Coupling",POWER(Upgrades!$U$12,K375),1))+(IF(H375=0,0,(Upgrades!$M$9+H375*Upgrades!$N$9)*POWER(Upgrades!$O$9,H375)))*(IF(Upgrades!$T$6="Magnetosphere",POWER(Upgrades!$U$6,E375),1)*IF(Upgrades!$T$7="Magnetosphere",POWER(Upgrades!$U$7,F375),1)*IF(Upgrades!$T$8="Magnetosphere",POWER(Upgrades!$U$8,G375),1)*IF(Upgrades!$T$10="Magnetosphere",POWER(Upgrades!$U$10,I375),1)*IF(Upgrades!$T$11="Magnetosphere",POWER(Upgrades!$U$11,J375),1)*IF(Upgrades!$T$12="Magnetosphere",POWER(Upgrades!$U$12,K375),1))+(IF(I375=0,0,(Upgrades!$M$10+I375*Upgrades!$N$10)*POWER(Upgrades!$O$10,I375)))*(IF(Upgrades!$T$6="Orbital Resonance",POWER(Upgrades!$U$6,E375),1)*IF(Upgrades!$T$7="Orbital Resonance",POWER(Upgrades!$U$7,F375),1)*IF(Upgrades!$T$8="Orbital Resonance",POWER(Upgrades!$U$8,G375),1)*IF(Upgrades!$T$9="Orbital Resonance",POWER(Upgrades!$U$9,H375),1)*IF(Upgrades!$T$11="Orbital Resonance",POWER(Upgrades!$U$11,J375),1)*IF(Upgrades!$T$12="Orbital Resonance",POWER(Upgrades!$U$12,K375),1))+(IF(J375=0,0,(Upgrades!$M$11+J375*Upgrades!$N$11)*POWER(Upgrades!$O$11,J375)))*(IF(Upgrades!$T$6="Heliopause",POWER(Upgrades!$U$6,E375),1)*IF(Upgrades!$T$7="Heliopause",POWER(Upgrades!$U$7,F375),1)*IF(Upgrades!$T$8="Heliopause",POWER(Upgrades!$U$8,G375),1)*IF(Upgrades!$T$9="Heliopause",POWER(Upgrades!$U$9,H375),1)*IF(Upgrades!$T$10="Heliopause",POWER(Upgrades!$U$10,I375),1)*IF(Upgrades!$T$12="Heliopause",POWER(Upgrades!$U$12,K375),1))+(IF(K375=0,0,(Upgrades!$M$12+K375*Upgrades!$N$12)*POWER(Upgrades!$O$12,K375)))*(IF(Upgrades!$T$6="First Photons",POWER(Upgrades!$U$6,E375),1)*IF(Upgrades!$T$7="First Photons",POWER(Upgrades!$U$7,F375),1)*IF(Upgrades!$T$8="First Photons",POWER(Upgrades!$U$8,G375),1)*IF(Upgrades!$T$9="First Photons",POWER(Upgrades!$U$9,H375),1)*IF(Upgrades!$T$10="First Photons",POWER(Upgrades!$U$10,I375),1)*IF(Upgrades!$T$11="First Photons",POWER(Upgrades!$U$11,J375),1)))*POWER(Upgrades!$R$6,E375)*POWER(Upgrades!$R$7,F375)*POWER(Upgrades!$R$8,G375)*POWER(Upgrades!$R$9,H375)*POWER(Upgrades!$R$10,I375)*POWER(Upgrades!$R$11,J375)*POWER(Upgrades!$R$12,K375)</f>
        <v/>
      </c>
      <c r="P375" s="27">
        <f>IF(L375=1,0,M375*Parameters!$B$10/60*Parameters!$B$11*10)</f>
        <v/>
      </c>
      <c r="Q375" s="27">
        <f>IF(L375=1,0,O375*M375*10)</f>
        <v/>
      </c>
      <c r="R375" s="27">
        <f>IF(L375=1,0,N375*10)</f>
        <v/>
      </c>
      <c r="S375" s="27">
        <f>P375+Q375+R375</f>
        <v/>
      </c>
      <c r="T375" s="22">
        <f>C375+S375</f>
        <v/>
      </c>
      <c r="U375" s="33">
        <f>AX375</f>
        <v/>
      </c>
      <c r="V375" s="22">
        <f>IF(U375="",0,IF(U375="transition",0,IF(U375="SW",AG375,IF(U375="AB",AH375,IF(U375="SC",AI375,IF(U375="Mag",AJ375,IF(U375="OR",AK375,IF(U375="HP",AL375,IF(U375="FP",AM375,0)))))))))</f>
        <v/>
      </c>
      <c r="W375" s="27">
        <f>IF(U375="OR",Upgrades!$F$10,IF(U375="HP",Upgrades!$F$11,IF(U375="transition",-Parameters!$B$18,0)))</f>
        <v/>
      </c>
      <c r="X375" s="22">
        <f>T375-V375</f>
        <v/>
      </c>
      <c r="Y375" s="30">
        <f>M375*Parameters!$B$10/60*Parameters!$B$11+O375*M375+N375</f>
        <v/>
      </c>
      <c r="Z375" s="34">
        <f>IF(U375="transition","→ Tier 2 (Stellar Neighborhood)",IF(U375="FP","First Photons — light begins, system quickens",IF(U375="HP","Heliopause acquired",IF(U375="OR","Orbital Resonance — passive multiplier active",IF(AND(AO375=1,L375=0,AN375&lt;&gt;1),"Cohesion ready (waiting on completionist upgrades)","")))))</f>
        <v/>
      </c>
      <c r="AA375" s="27">
        <f>(IF(E375=0,0,(Upgrades!$G$6+E375*Upgrades!$H$6)*POWER(Upgrades!$I$6,E375)))*(IF(Upgrades!$T$7="Solar Wind",POWER(Upgrades!$U$7,F375),1)*IF(Upgrades!$T$8="Solar Wind",POWER(Upgrades!$U$8,G375),1)*IF(Upgrades!$T$9="Solar Wind",POWER(Upgrades!$U$9,H375),1)*IF(Upgrades!$T$10="Solar Wind",POWER(Upgrades!$U$10,I375),1)*IF(Upgrades!$T$11="Solar Wind",POWER(Upgrades!$U$11,J375),1)*IF(Upgrades!$T$12="Solar Wind",POWER(Upgrades!$U$12,K375),1))*POWER(Upgrades!$P$6,E375)*POWER(Upgrades!$P$7,F375)*POWER(Upgrades!$P$8,G375)*POWER(Upgrades!$P$9,H375)*POWER(Upgrades!$P$10,I375)*POWER(Upgrades!$P$11,J375)*POWER(Upgrades!$P$12,K375)*60</f>
        <v/>
      </c>
      <c r="AB375" s="27">
        <f>(IF(F375=0,0,(Upgrades!$G$7+F375*Upgrades!$H$7)*POWER(Upgrades!$I$7,F375)))*(IF(Upgrades!$T$6="Asteroid Belt",POWER(Upgrades!$U$6,E375),1)*IF(Upgrades!$T$8="Asteroid Belt",POWER(Upgrades!$U$8,G375),1)*IF(Upgrades!$T$9="Asteroid Belt",POWER(Upgrades!$U$9,H375),1)*IF(Upgrades!$T$10="Asteroid Belt",POWER(Upgrades!$U$10,I375),1)*IF(Upgrades!$T$11="Asteroid Belt",POWER(Upgrades!$U$11,J375),1)*IF(Upgrades!$T$12="Asteroid Belt",POWER(Upgrades!$U$12,K375),1))*POWER(Upgrades!$P$6,E375)*POWER(Upgrades!$P$7,F375)*POWER(Upgrades!$P$8,G375)*POWER(Upgrades!$P$9,H375)*POWER(Upgrades!$P$10,I375)*POWER(Upgrades!$P$11,J375)*POWER(Upgrades!$P$12,K375)*60</f>
        <v/>
      </c>
      <c r="AC375" s="27">
        <f>(IF(G375=0,0,(Upgrades!$J$8+G375*Upgrades!$K$8)*POWER(Upgrades!$L$8,G375)))*(IF(Upgrades!$T$6="Stellar Coupling",POWER(Upgrades!$U$6,E375),1)*IF(Upgrades!$T$7="Stellar Coupling",POWER(Upgrades!$U$7,F375),1)*IF(Upgrades!$T$9="Stellar Coupling",POWER(Upgrades!$U$9,H375),1)*IF(Upgrades!$T$10="Stellar Coupling",POWER(Upgrades!$U$10,I375),1)*IF(Upgrades!$T$11="Stellar Coupling",POWER(Upgrades!$U$11,J375),1)*IF(Upgrades!$T$12="Stellar Coupling",POWER(Upgrades!$U$12,K375),1))*POWER(Upgrades!$Q$6,E375)*POWER(Upgrades!$Q$7,F375)*POWER(Upgrades!$Q$8,G375)*POWER(Upgrades!$Q$9,H375)*POWER(Upgrades!$Q$10,I375)*POWER(Upgrades!$Q$11,J375)*POWER(Upgrades!$Q$12,K375)*Parameters!$B$10*Parameters!$B$11</f>
        <v/>
      </c>
      <c r="AD375" s="27">
        <f>(IF(H375=0,0,(Upgrades!$G$9+H375*Upgrades!$H$9)*POWER(Upgrades!$I$9,H375)))*(IF(Upgrades!$T$6="Magnetosphere",POWER(Upgrades!$U$6,E375),1)*IF(Upgrades!$T$7="Magnetosphere",POWER(Upgrades!$U$7,F375),1)*IF(Upgrades!$T$8="Magnetosphere",POWER(Upgrades!$U$8,G375),1)*IF(Upgrades!$T$10="Magnetosphere",POWER(Upgrades!$U$10,I375),1)*IF(Upgrades!$T$11="Magnetosphere",POWER(Upgrades!$U$11,J375),1)*IF(Upgrades!$T$12="Magnetosphere",POWER(Upgrades!$U$12,K375),1))*POWER(Upgrades!$P$6,E375)*POWER(Upgrades!$P$7,F375)*POWER(Upgrades!$P$8,G375)*POWER(Upgrades!$P$9,H375)*POWER(Upgrades!$P$10,I375)*POWER(Upgrades!$P$11,J375)*POWER(Upgrades!$P$12,K375)*60</f>
        <v/>
      </c>
      <c r="AE375" s="27">
        <f>(IF(K375=0,0,(Upgrades!$G$12+K375*Upgrades!$H$12)*POWER(Upgrades!$I$12,K375)))*(IF(Upgrades!$T$6="First Photons",POWER(Upgrades!$U$6,E375),1)*IF(Upgrades!$T$7="First Photons",POWER(Upgrades!$U$7,F375),1)*IF(Upgrades!$T$8="First Photons",POWER(Upgrades!$U$8,G375),1)*IF(Upgrades!$T$9="First Photons",POWER(Upgrades!$U$9,H375),1)*IF(Upgrades!$T$10="First Photons",POWER(Upgrades!$U$10,I375),1)*IF(Upgrades!$T$11="First Photons",POWER(Upgrades!$U$11,J375),1))*POWER(Upgrades!$P$6,E375)*POWER(Upgrades!$P$7,F375)*POWER(Upgrades!$P$8,G375)*POWER(Upgrades!$P$9,H375)*POWER(Upgrades!$P$10,I375)*POWER(Upgrades!$P$11,J375)*POWER(Upgrades!$P$12,K375)*60</f>
        <v/>
      </c>
      <c r="AF375" s="27">
        <f>Parameters!$B$9*POWER(Upgrades!$Q$6,E375)*POWER(Upgrades!$Q$7,F375)*POWER(Upgrades!$Q$8,G375)*POWER(Upgrades!$Q$9,H375)*POWER(Upgrades!$Q$10,I375)*POWER(Upgrades!$Q$11,J375)*POWER(Upgrades!$Q$12,K375)*(Parameters!$B$10*Parameters!$B$11+O375*60)</f>
        <v/>
      </c>
      <c r="AG375" s="22">
        <f>IF(E375&gt;=Upgrades!$E$6,"",Upgrades!$C$6*POWER(Upgrades!$D$6,E375))</f>
        <v/>
      </c>
      <c r="AH375" s="22">
        <f>IF(F375&gt;=Upgrades!$E$7,"",Upgrades!$C$7*POWER(Upgrades!$D$7,F375))</f>
        <v/>
      </c>
      <c r="AI375" s="22">
        <f>IF(G375&gt;=Upgrades!$E$8,"",Upgrades!$C$8*POWER(Upgrades!$D$8,G375))</f>
        <v/>
      </c>
      <c r="AJ375" s="22">
        <f>IF(H375&gt;=Upgrades!$E$9,"",Upgrades!$C$9*POWER(Upgrades!$D$9,H375))</f>
        <v/>
      </c>
      <c r="AK375" s="22">
        <f>IF(I375&gt;=Upgrades!$E$10,"",Upgrades!$C$10*POWER(Upgrades!$D$10,I375))</f>
        <v/>
      </c>
      <c r="AL375" s="22">
        <f>IF(J375&gt;=Upgrades!$E$11,"",Upgrades!$C$11*POWER(Upgrades!$D$11,J375))</f>
        <v/>
      </c>
      <c r="AM375" s="22">
        <f>IF(K375&gt;=Upgrades!$E$12,"",Upgrades!$C$12*POWER(Upgrades!$D$12,K375))</f>
        <v/>
      </c>
      <c r="AN375" s="26">
        <f>IF(AND(D375&gt;=Parameters!$B$18,(H375&gt;=Upgrades!$E$9)*(K375&gt;=Upgrades!$E$12)=1,L375=0),1,"")</f>
        <v/>
      </c>
      <c r="AO375" s="26">
        <f>IF(AND(D375&gt;=Parameters!$B$18,L375=0),1,"")</f>
        <v/>
      </c>
      <c r="AP375" s="22">
        <f>MIN(IF(ISNUMBER(AK375),AK375,9E15),IF(ISNUMBER(AL375),AL375,9E15),IF(ISNUMBER(AM375),AM375,9E15))</f>
        <v/>
      </c>
      <c r="AQ375" s="22">
        <f>MIN(IF(ISNUMBER(AG375),AG375,9E15),IF(ISNUMBER(AH375),AH375,9E15),IF(ISNUMBER(AI375),AI375,9E15),IF(ISNUMBER(AJ375),AJ375,9E15))</f>
        <v/>
      </c>
      <c r="AR375" s="29">
        <f>IF(AW375&gt;Parameters!$B$21*(MAX(IF(AND(NOT(AND(AO375=1,AN375&lt;&gt;1)),ISNUMBER(AG375),AG375&lt;=T375),AS375,0),IF(AND(NOT(AND(AO375=1,AN375&lt;&gt;1)),ISNUMBER(AH375),AH375&lt;=T375),AT375,0),IF(AND(NOT(AND(AO375=1,AN375&lt;&gt;1)),ISNUMBER(AI375),AI375&lt;=T375),AU375,0),IF(AND(ISNUMBER(AJ375),AJ375&lt;=T375),AV375,0))),TRUE,FALSE)</f>
        <v/>
      </c>
      <c r="AS375" s="32">
        <f>IFERROR(Upgrades!$H$6*(POWER(Upgrades!$P$6,E375)*POWER(Upgrades!$P$7,F375)*POWER(Upgrades!$P$8,G375)*POWER(Upgrades!$P$9,H375)*POWER(Upgrades!$P$10,I375)*POWER(Upgrades!$P$11,J375)*POWER(Upgrades!$P$12,K375))*(IF(Upgrades!$T$7="Solar Wind",POWER(Upgrades!$U$7,F375),1)*IF(Upgrades!$T$8="Solar Wind",POWER(Upgrades!$U$8,G375),1)*IF(Upgrades!$T$9="Solar Wind",POWER(Upgrades!$U$9,H375),1)*IF(Upgrades!$T$10="Solar Wind",POWER(Upgrades!$U$10,I375),1)*IF(Upgrades!$T$11="Solar Wind",POWER(Upgrades!$U$11,J375),1)*IF(Upgrades!$T$12="Solar Wind",POWER(Upgrades!$U$12,K375),1))/AG375,0)</f>
        <v/>
      </c>
      <c r="AT375" s="32">
        <f>IFERROR(Upgrades!$H$7*(POWER(Upgrades!$P$6,E375)*POWER(Upgrades!$P$7,F375)*POWER(Upgrades!$P$8,G375)*POWER(Upgrades!$P$9,H375)*POWER(Upgrades!$P$10,I375)*POWER(Upgrades!$P$11,J375)*POWER(Upgrades!$P$12,K375))*(IF(Upgrades!$T$6="Asteroid Belt",POWER(Upgrades!$U$6,E375),1)*IF(Upgrades!$T$8="Asteroid Belt",POWER(Upgrades!$U$8,G375),1)*IF(Upgrades!$T$9="Asteroid Belt",POWER(Upgrades!$U$9,H375),1)*IF(Upgrades!$T$10="Asteroid Belt",POWER(Upgrades!$U$10,I375),1)*IF(Upgrades!$T$11="Asteroid Belt",POWER(Upgrades!$U$11,J375),1)*IF(Upgrades!$T$12="Asteroid Belt",POWER(Upgrades!$U$12,K375),1))/AH375,0)</f>
        <v/>
      </c>
      <c r="AU375" s="32">
        <f>IFERROR(Upgrades!$K$8*(POWER(Upgrades!$Q$6,E375)*POWER(Upgrades!$Q$7,F375)*POWER(Upgrades!$Q$8,G375)*POWER(Upgrades!$Q$9,H375)*POWER(Upgrades!$Q$10,I375)*POWER(Upgrades!$Q$11,J375)*POWER(Upgrades!$Q$12,K375))*(IF(Upgrades!$T$6="Stellar Coupling",POWER(Upgrades!$U$6,E375),1)*IF(Upgrades!$T$7="Stellar Coupling",POWER(Upgrades!$U$7,F375),1)*IF(Upgrades!$T$9="Stellar Coupling",POWER(Upgrades!$U$9,H375),1)*IF(Upgrades!$T$10="Stellar Coupling",POWER(Upgrades!$U$10,I375),1)*IF(Upgrades!$T$11="Stellar Coupling",POWER(Upgrades!$U$11,J375),1)*IF(Upgrades!$T$12="Stellar Coupling",POWER(Upgrades!$U$12,K375),1))*Parameters!$B$10*Parameters!$B$11/60/AI375,0)</f>
        <v/>
      </c>
      <c r="AV375" s="32">
        <f>IFERROR(Upgrades!$H$9*(POWER(Upgrades!$P$6,E375)*POWER(Upgrades!$P$7,F375)*POWER(Upgrades!$P$8,G375)*POWER(Upgrades!$P$9,H375)*POWER(Upgrades!$P$10,I375)*POWER(Upgrades!$P$11,J375)*POWER(Upgrades!$P$12,K375))*(IF(Upgrades!$T$6="Magnetosphere",POWER(Upgrades!$U$6,E375),1)*IF(Upgrades!$T$7="Magnetosphere",POWER(Upgrades!$U$7,F375),1)*IF(Upgrades!$T$8="Magnetosphere",POWER(Upgrades!$U$8,G375),1)*IF(Upgrades!$T$10="Magnetosphere",POWER(Upgrades!$U$10,I375),1)*IF(Upgrades!$T$11="Magnetosphere",POWER(Upgrades!$U$11,J375),1)*IF(Upgrades!$T$12="Magnetosphere",POWER(Upgrades!$U$12,K375),1))/AJ375,0)</f>
        <v/>
      </c>
      <c r="AW375" s="32">
        <f>MAX(IF(I375&gt;0,0,IFERROR(0.25*N375/Upgrades!$C$10,0)),IF(J375&gt;0,0,IFERROR(0.5*((IF(G375=0,0,(Upgrades!$J$8+G375*Upgrades!$K$8)*POWER(Upgrades!$L$8,G375)))*(IF(Upgrades!$T$6="Stellar Coupling",POWER(Upgrades!$U$6,E375),1)*IF(Upgrades!$T$7="Stellar Coupling",POWER(Upgrades!$U$7,F375),1)*IF(Upgrades!$T$9="Stellar Coupling",POWER(Upgrades!$U$9,H375),1)*IF(Upgrades!$T$10="Stellar Coupling",POWER(Upgrades!$U$10,I375),1)*IF(Upgrades!$T$11="Stellar Coupling",POWER(Upgrades!$U$11,J375),1)*IF(Upgrades!$T$12="Stellar Coupling",POWER(Upgrades!$U$12,K375),1))*(POWER(Upgrades!$Q$6,E375)*POWER(Upgrades!$Q$7,F375)*POWER(Upgrades!$Q$8,G375)*POWER(Upgrades!$Q$9,H375)*POWER(Upgrades!$Q$10,I375)*POWER(Upgrades!$Q$11,J375)*POWER(Upgrades!$Q$12,K375))*Parameters!$B$10*Parameters!$B$11/60)/Upgrades!$C$11,0)),IF(K375&gt;0,0,IFERROR((1.0*(POWER(Upgrades!$P$6,E375)*POWER(Upgrades!$P$7,F375)*POWER(Upgrades!$P$8,G375)*POWER(Upgrades!$P$9,H375)*POWER(Upgrades!$P$10,I375)*POWER(Upgrades!$P$11,J375)*POWER(Upgrades!$P$12,K375))+0.20*M375*Parameters!$B$10*Parameters!$B$11/60)/Upgrades!$C$12,0)),IF(AND(ISNUMBER(AG375),AG375&gt;T375),AS375,0),IF(AND(ISNUMBER(AH375),AH375&gt;T375),AT375,0),IF(AND(ISNUMBER(AI375),AI375&gt;T375),AU375,0),IF(AND(ISNUMBER(AJ375),AJ375&gt;T375),AV375,0))</f>
        <v/>
      </c>
      <c r="AX375" s="29">
        <f>IF(AN375=1,"transition",IF(MIN(IF(AND(I375=0,ISNUMBER(AK375),AK375&lt;=T375),AK375,9E15),IF(AND(J375=0,ISNUMBER(AL375),AL375&lt;=T375),AL375,9E15),IF(AND(K375=0,ISNUMBER(AM375),AM375&lt;=T375),AM375,9E15))&lt;9E15,IF(AND(AND(I375=0,ISNUMBER(AK375),AK375&lt;=T375),AK375=MIN(IF(AND(I375=0,ISNUMBER(AK375),AK375&lt;=T375),AK375,9E15),IF(AND(J375=0,ISNUMBER(AL375),AL375&lt;=T375),AL375,9E15),IF(AND(K375=0,ISNUMBER(AM375),AM375&lt;=T375),AM375,9E15))),"OR",IF(AND(AND(J375=0,ISNUMBER(AL375),AL375&lt;=T375),AL375=MIN(IF(AND(I375=0,ISNUMBER(AK375),AK375&lt;=T375),AK375,9E15),IF(AND(J375=0,ISNUMBER(AL375),AL375&lt;=T375),AL375,9E15),IF(AND(K375=0,ISNUMBER(AM375),AM375&lt;=T375),AM375,9E15))),"HP","FP")),IF(AR375=TRUE,"",IF(MAX(IF(AND(NOT(AND(AO375=1,AN375&lt;&gt;1)),ISNUMBER(AG375),AG375&lt;=T375),AS375,0),IF(AND(NOT(AND(AO375=1,AN375&lt;&gt;1)),ISNUMBER(AH375),AH375&lt;=T375),AT375,0),IF(AND(NOT(AND(AO375=1,AN375&lt;&gt;1)),ISNUMBER(AI375),AI375&lt;=T375),AU375,0),IF(AND(ISNUMBER(AJ375),AJ375&lt;=T375),AV375,0))&lt;=0,"",IF(AND(IF(AND(NOT(AND(AO375=1,AN375&lt;&gt;1)),ISNUMBER(AG375),AG375&lt;=T375),AS375,0)&gt;0,IF(AND(NOT(AND(AO375=1,AN375&lt;&gt;1)),ISNUMBER(AG375),AG375&lt;=T375),AS375,0)=MAX(IF(AND(NOT(AND(AO375=1,AN375&lt;&gt;1)),ISNUMBER(AG375),AG375&lt;=T375),AS375,0),IF(AND(NOT(AND(AO375=1,AN375&lt;&gt;1)),ISNUMBER(AH375),AH375&lt;=T375),AT375,0),IF(AND(NOT(AND(AO375=1,AN375&lt;&gt;1)),ISNUMBER(AI375),AI375&lt;=T375),AU375,0),IF(AND(ISNUMBER(AJ375),AJ375&lt;=T375),AV375,0))),"SW",IF(AND(IF(AND(NOT(AND(AO375=1,AN375&lt;&gt;1)),ISNUMBER(AH375),AH375&lt;=T375),AT375,0)&gt;0,IF(AND(NOT(AND(AO375=1,AN375&lt;&gt;1)),ISNUMBER(AH375),AH375&lt;=T375),AT375,0)=MAX(IF(AND(NOT(AND(AO375=1,AN375&lt;&gt;1)),ISNUMBER(AG375),AG375&lt;=T375),AS375,0),IF(AND(NOT(AND(AO375=1,AN375&lt;&gt;1)),ISNUMBER(AH375),AH375&lt;=T375),AT375,0),IF(AND(NOT(AND(AO375=1,AN375&lt;&gt;1)),ISNUMBER(AI375),AI375&lt;=T375),AU375,0),IF(AND(ISNUMBER(AJ375),AJ375&lt;=T375),AV375,0))),"AB",IF(AND(IF(AND(NOT(AND(AO375=1,AN375&lt;&gt;1)),ISNUMBER(AI375),AI375&lt;=T375),AU375,0)&gt;0,IF(AND(NOT(AND(AO375=1,AN375&lt;&gt;1)),ISNUMBER(AI375),AI375&lt;=T375),AU375,0)=MAX(IF(AND(NOT(AND(AO375=1,AN375&lt;&gt;1)),ISNUMBER(AG375),AG375&lt;=T375),AS375,0),IF(AND(NOT(AND(AO375=1,AN375&lt;&gt;1)),ISNUMBER(AH375),AH375&lt;=T375),AT375,0),IF(AND(NOT(AND(AO375=1,AN375&lt;&gt;1)),ISNUMBER(AI375),AI375&lt;=T375),AU375,0),IF(AND(ISNUMBER(AJ375),AJ375&lt;=T375),AV375,0))),"SC","Mag")))))))</f>
        <v/>
      </c>
    </row>
    <row r="376">
      <c r="A376" s="26" t="n">
        <v>371</v>
      </c>
      <c r="B376" s="27">
        <f>A376*10/60</f>
        <v/>
      </c>
      <c r="C376" s="22">
        <f>X375</f>
        <v/>
      </c>
      <c r="D376" s="27">
        <f>D375+W375</f>
        <v/>
      </c>
      <c r="E376" s="26">
        <f>E375+IF(U375="SW",1,0)</f>
        <v/>
      </c>
      <c r="F376" s="26">
        <f>F375+IF(U375="AB",1,0)</f>
        <v/>
      </c>
      <c r="G376" s="26">
        <f>G375+IF(U375="SC",1,0)</f>
        <v/>
      </c>
      <c r="H376" s="26">
        <f>H375+IF(U375="Mag",1,0)</f>
        <v/>
      </c>
      <c r="I376" s="26">
        <f>MAX(I375,IF(U375="OR",1,0))</f>
        <v/>
      </c>
      <c r="J376" s="26">
        <f>MAX(J375,IF(U375="HP",1,0))</f>
        <v/>
      </c>
      <c r="K376" s="26">
        <f>MAX(K375,IF(U375="FP",1,0))</f>
        <v/>
      </c>
      <c r="L376" s="26">
        <f>MAX(L375,IF(U375="transition",1,0))</f>
        <v/>
      </c>
      <c r="M376" s="28">
        <f>(Parameters!$B$9+(IF(E376=0,0,(Upgrades!$J$6+E376*Upgrades!$K$6)*POWER(Upgrades!$L$6,E376)))*(IF(Upgrades!$T$7="Solar Wind",POWER(Upgrades!$U$7,F376),1)*IF(Upgrades!$T$8="Solar Wind",POWER(Upgrades!$U$8,G376),1)*IF(Upgrades!$T$9="Solar Wind",POWER(Upgrades!$U$9,H376),1)*IF(Upgrades!$T$10="Solar Wind",POWER(Upgrades!$U$10,I376),1)*IF(Upgrades!$T$11="Solar Wind",POWER(Upgrades!$U$11,J376),1)*IF(Upgrades!$T$12="Solar Wind",POWER(Upgrades!$U$12,K376),1))+(IF(F376=0,0,(Upgrades!$J$7+F376*Upgrades!$K$7)*POWER(Upgrades!$L$7,F376)))*(IF(Upgrades!$T$6="Asteroid Belt",POWER(Upgrades!$U$6,E376),1)*IF(Upgrades!$T$8="Asteroid Belt",POWER(Upgrades!$U$8,G376),1)*IF(Upgrades!$T$9="Asteroid Belt",POWER(Upgrades!$U$9,H376),1)*IF(Upgrades!$T$10="Asteroid Belt",POWER(Upgrades!$U$10,I376),1)*IF(Upgrades!$T$11="Asteroid Belt",POWER(Upgrades!$U$11,J376),1)*IF(Upgrades!$T$12="Asteroid Belt",POWER(Upgrades!$U$12,K376),1))+(IF(G376=0,0,(Upgrades!$J$8+G376*Upgrades!$K$8)*POWER(Upgrades!$L$8,G376)))*(IF(Upgrades!$T$6="Stellar Coupling",POWER(Upgrades!$U$6,E376),1)*IF(Upgrades!$T$7="Stellar Coupling",POWER(Upgrades!$U$7,F376),1)*IF(Upgrades!$T$9="Stellar Coupling",POWER(Upgrades!$U$9,H376),1)*IF(Upgrades!$T$10="Stellar Coupling",POWER(Upgrades!$U$10,I376),1)*IF(Upgrades!$T$11="Stellar Coupling",POWER(Upgrades!$U$11,J376),1)*IF(Upgrades!$T$12="Stellar Coupling",POWER(Upgrades!$U$12,K376),1))+(IF(H376=0,0,(Upgrades!$J$9+H376*Upgrades!$K$9)*POWER(Upgrades!$L$9,H376)))*(IF(Upgrades!$T$6="Magnetosphere",POWER(Upgrades!$U$6,E376),1)*IF(Upgrades!$T$7="Magnetosphere",POWER(Upgrades!$U$7,F376),1)*IF(Upgrades!$T$8="Magnetosphere",POWER(Upgrades!$U$8,G376),1)*IF(Upgrades!$T$10="Magnetosphere",POWER(Upgrades!$U$10,I376),1)*IF(Upgrades!$T$11="Magnetosphere",POWER(Upgrades!$U$11,J376),1)*IF(Upgrades!$T$12="Magnetosphere",POWER(Upgrades!$U$12,K376),1))+(IF(I376=0,0,(Upgrades!$J$10+I376*Upgrades!$K$10)*POWER(Upgrades!$L$10,I376)))*(IF(Upgrades!$T$6="Orbital Resonance",POWER(Upgrades!$U$6,E376),1)*IF(Upgrades!$T$7="Orbital Resonance",POWER(Upgrades!$U$7,F376),1)*IF(Upgrades!$T$8="Orbital Resonance",POWER(Upgrades!$U$8,G376),1)*IF(Upgrades!$T$9="Orbital Resonance",POWER(Upgrades!$U$9,H376),1)*IF(Upgrades!$T$11="Orbital Resonance",POWER(Upgrades!$U$11,J376),1)*IF(Upgrades!$T$12="Orbital Resonance",POWER(Upgrades!$U$12,K376),1))+(IF(J376=0,0,(Upgrades!$J$11+J376*Upgrades!$K$11)*POWER(Upgrades!$L$11,J376)))*(IF(Upgrades!$T$6="Heliopause",POWER(Upgrades!$U$6,E376),1)*IF(Upgrades!$T$7="Heliopause",POWER(Upgrades!$U$7,F376),1)*IF(Upgrades!$T$8="Heliopause",POWER(Upgrades!$U$8,G376),1)*IF(Upgrades!$T$9="Heliopause",POWER(Upgrades!$U$9,H376),1)*IF(Upgrades!$T$10="Heliopause",POWER(Upgrades!$U$10,I376),1)*IF(Upgrades!$T$12="Heliopause",POWER(Upgrades!$U$12,K376),1))+(IF(K376=0,0,(Upgrades!$J$12+K376*Upgrades!$K$12)*POWER(Upgrades!$L$12,K376)))*(IF(Upgrades!$T$6="First Photons",POWER(Upgrades!$U$6,E376),1)*IF(Upgrades!$T$7="First Photons",POWER(Upgrades!$U$7,F376),1)*IF(Upgrades!$T$8="First Photons",POWER(Upgrades!$U$8,G376),1)*IF(Upgrades!$T$9="First Photons",POWER(Upgrades!$U$9,H376),1)*IF(Upgrades!$T$10="First Photons",POWER(Upgrades!$U$10,I376),1)*IF(Upgrades!$T$11="First Photons",POWER(Upgrades!$U$11,J376),1)))*POWER(Upgrades!$Q$6,E376)*POWER(Upgrades!$Q$7,F376)*POWER(Upgrades!$Q$8,G376)*POWER(Upgrades!$Q$9,H376)*POWER(Upgrades!$Q$10,I376)*POWER(Upgrades!$Q$11,J376)*POWER(Upgrades!$Q$12,K376)</f>
        <v/>
      </c>
      <c r="N376" s="28">
        <f>((IF(E376=0,0,(Upgrades!$G$6+E376*Upgrades!$H$6)*POWER(Upgrades!$I$6,E376)))*(IF(Upgrades!$T$7="Solar Wind",POWER(Upgrades!$U$7,F376),1)*IF(Upgrades!$T$8="Solar Wind",POWER(Upgrades!$U$8,G376),1)*IF(Upgrades!$T$9="Solar Wind",POWER(Upgrades!$U$9,H376),1)*IF(Upgrades!$T$10="Solar Wind",POWER(Upgrades!$U$10,I376),1)*IF(Upgrades!$T$11="Solar Wind",POWER(Upgrades!$U$11,J376),1)*IF(Upgrades!$T$12="Solar Wind",POWER(Upgrades!$U$12,K376),1))+(IF(F376=0,0,(Upgrades!$G$7+F376*Upgrades!$H$7)*POWER(Upgrades!$I$7,F376)))*(IF(Upgrades!$T$6="Asteroid Belt",POWER(Upgrades!$U$6,E376),1)*IF(Upgrades!$T$8="Asteroid Belt",POWER(Upgrades!$U$8,G376),1)*IF(Upgrades!$T$9="Asteroid Belt",POWER(Upgrades!$U$9,H376),1)*IF(Upgrades!$T$10="Asteroid Belt",POWER(Upgrades!$U$10,I376),1)*IF(Upgrades!$T$11="Asteroid Belt",POWER(Upgrades!$U$11,J376),1)*IF(Upgrades!$T$12="Asteroid Belt",POWER(Upgrades!$U$12,K376),1))+(IF(G376=0,0,(Upgrades!$G$8+G376*Upgrades!$H$8)*POWER(Upgrades!$I$8,G376)))*(IF(Upgrades!$T$6="Stellar Coupling",POWER(Upgrades!$U$6,E376),1)*IF(Upgrades!$T$7="Stellar Coupling",POWER(Upgrades!$U$7,F376),1)*IF(Upgrades!$T$9="Stellar Coupling",POWER(Upgrades!$U$9,H376),1)*IF(Upgrades!$T$10="Stellar Coupling",POWER(Upgrades!$U$10,I376),1)*IF(Upgrades!$T$11="Stellar Coupling",POWER(Upgrades!$U$11,J376),1)*IF(Upgrades!$T$12="Stellar Coupling",POWER(Upgrades!$U$12,K376),1))+(IF(H376=0,0,(Upgrades!$G$9+H376*Upgrades!$H$9)*POWER(Upgrades!$I$9,H376)))*(IF(Upgrades!$T$6="Magnetosphere",POWER(Upgrades!$U$6,E376),1)*IF(Upgrades!$T$7="Magnetosphere",POWER(Upgrades!$U$7,F376),1)*IF(Upgrades!$T$8="Magnetosphere",POWER(Upgrades!$U$8,G376),1)*IF(Upgrades!$T$10="Magnetosphere",POWER(Upgrades!$U$10,I376),1)*IF(Upgrades!$T$11="Magnetosphere",POWER(Upgrades!$U$11,J376),1)*IF(Upgrades!$T$12="Magnetosphere",POWER(Upgrades!$U$12,K376),1))+(IF(I376=0,0,(Upgrades!$G$10+I376*Upgrades!$H$10)*POWER(Upgrades!$I$10,I376)))*(IF(Upgrades!$T$6="Orbital Resonance",POWER(Upgrades!$U$6,E376),1)*IF(Upgrades!$T$7="Orbital Resonance",POWER(Upgrades!$U$7,F376),1)*IF(Upgrades!$T$8="Orbital Resonance",POWER(Upgrades!$U$8,G376),1)*IF(Upgrades!$T$9="Orbital Resonance",POWER(Upgrades!$U$9,H376),1)*IF(Upgrades!$T$11="Orbital Resonance",POWER(Upgrades!$U$11,J376),1)*IF(Upgrades!$T$12="Orbital Resonance",POWER(Upgrades!$U$12,K376),1))+(IF(J376=0,0,(Upgrades!$G$11+J376*Upgrades!$H$11)*POWER(Upgrades!$I$11,J376)))*(IF(Upgrades!$T$6="Heliopause",POWER(Upgrades!$U$6,E376),1)*IF(Upgrades!$T$7="Heliopause",POWER(Upgrades!$U$7,F376),1)*IF(Upgrades!$T$8="Heliopause",POWER(Upgrades!$U$8,G376),1)*IF(Upgrades!$T$9="Heliopause",POWER(Upgrades!$U$9,H376),1)*IF(Upgrades!$T$10="Heliopause",POWER(Upgrades!$U$10,I376),1)*IF(Upgrades!$T$12="Heliopause",POWER(Upgrades!$U$12,K376),1))+(IF(K376=0,0,(Upgrades!$G$12+K376*Upgrades!$H$12)*POWER(Upgrades!$I$12,K376)))*(IF(Upgrades!$T$6="First Photons",POWER(Upgrades!$U$6,E376),1)*IF(Upgrades!$T$7="First Photons",POWER(Upgrades!$U$7,F376),1)*IF(Upgrades!$T$8="First Photons",POWER(Upgrades!$U$8,G376),1)*IF(Upgrades!$T$9="First Photons",POWER(Upgrades!$U$9,H376),1)*IF(Upgrades!$T$10="First Photons",POWER(Upgrades!$U$10,I376),1)*IF(Upgrades!$T$11="First Photons",POWER(Upgrades!$U$11,J376),1)))*POWER(Upgrades!$P$6,E376)*POWER(Upgrades!$P$7,F376)*POWER(Upgrades!$P$8,G376)*POWER(Upgrades!$P$9,H376)*POWER(Upgrades!$P$10,I376)*POWER(Upgrades!$P$11,J376)*POWER(Upgrades!$P$12,K376)</f>
        <v/>
      </c>
      <c r="O376" s="28">
        <f>((IF(E376=0,0,(Upgrades!$M$6+E376*Upgrades!$N$6)*POWER(Upgrades!$O$6,E376)))*(IF(Upgrades!$T$7="Solar Wind",POWER(Upgrades!$U$7,F376),1)*IF(Upgrades!$T$8="Solar Wind",POWER(Upgrades!$U$8,G376),1)*IF(Upgrades!$T$9="Solar Wind",POWER(Upgrades!$U$9,H376),1)*IF(Upgrades!$T$10="Solar Wind",POWER(Upgrades!$U$10,I376),1)*IF(Upgrades!$T$11="Solar Wind",POWER(Upgrades!$U$11,J376),1)*IF(Upgrades!$T$12="Solar Wind",POWER(Upgrades!$U$12,K376),1))+(IF(F376=0,0,(Upgrades!$M$7+F376*Upgrades!$N$7)*POWER(Upgrades!$O$7,F376)))*(IF(Upgrades!$T$6="Asteroid Belt",POWER(Upgrades!$U$6,E376),1)*IF(Upgrades!$T$8="Asteroid Belt",POWER(Upgrades!$U$8,G376),1)*IF(Upgrades!$T$9="Asteroid Belt",POWER(Upgrades!$U$9,H376),1)*IF(Upgrades!$T$10="Asteroid Belt",POWER(Upgrades!$U$10,I376),1)*IF(Upgrades!$T$11="Asteroid Belt",POWER(Upgrades!$U$11,J376),1)*IF(Upgrades!$T$12="Asteroid Belt",POWER(Upgrades!$U$12,K376),1))+(IF(G376=0,0,(Upgrades!$M$8+G376*Upgrades!$N$8)*POWER(Upgrades!$O$8,G376)))*(IF(Upgrades!$T$6="Stellar Coupling",POWER(Upgrades!$U$6,E376),1)*IF(Upgrades!$T$7="Stellar Coupling",POWER(Upgrades!$U$7,F376),1)*IF(Upgrades!$T$9="Stellar Coupling",POWER(Upgrades!$U$9,H376),1)*IF(Upgrades!$T$10="Stellar Coupling",POWER(Upgrades!$U$10,I376),1)*IF(Upgrades!$T$11="Stellar Coupling",POWER(Upgrades!$U$11,J376),1)*IF(Upgrades!$T$12="Stellar Coupling",POWER(Upgrades!$U$12,K376),1))+(IF(H376=0,0,(Upgrades!$M$9+H376*Upgrades!$N$9)*POWER(Upgrades!$O$9,H376)))*(IF(Upgrades!$T$6="Magnetosphere",POWER(Upgrades!$U$6,E376),1)*IF(Upgrades!$T$7="Magnetosphere",POWER(Upgrades!$U$7,F376),1)*IF(Upgrades!$T$8="Magnetosphere",POWER(Upgrades!$U$8,G376),1)*IF(Upgrades!$T$10="Magnetosphere",POWER(Upgrades!$U$10,I376),1)*IF(Upgrades!$T$11="Magnetosphere",POWER(Upgrades!$U$11,J376),1)*IF(Upgrades!$T$12="Magnetosphere",POWER(Upgrades!$U$12,K376),1))+(IF(I376=0,0,(Upgrades!$M$10+I376*Upgrades!$N$10)*POWER(Upgrades!$O$10,I376)))*(IF(Upgrades!$T$6="Orbital Resonance",POWER(Upgrades!$U$6,E376),1)*IF(Upgrades!$T$7="Orbital Resonance",POWER(Upgrades!$U$7,F376),1)*IF(Upgrades!$T$8="Orbital Resonance",POWER(Upgrades!$U$8,G376),1)*IF(Upgrades!$T$9="Orbital Resonance",POWER(Upgrades!$U$9,H376),1)*IF(Upgrades!$T$11="Orbital Resonance",POWER(Upgrades!$U$11,J376),1)*IF(Upgrades!$T$12="Orbital Resonance",POWER(Upgrades!$U$12,K376),1))+(IF(J376=0,0,(Upgrades!$M$11+J376*Upgrades!$N$11)*POWER(Upgrades!$O$11,J376)))*(IF(Upgrades!$T$6="Heliopause",POWER(Upgrades!$U$6,E376),1)*IF(Upgrades!$T$7="Heliopause",POWER(Upgrades!$U$7,F376),1)*IF(Upgrades!$T$8="Heliopause",POWER(Upgrades!$U$8,G376),1)*IF(Upgrades!$T$9="Heliopause",POWER(Upgrades!$U$9,H376),1)*IF(Upgrades!$T$10="Heliopause",POWER(Upgrades!$U$10,I376),1)*IF(Upgrades!$T$12="Heliopause",POWER(Upgrades!$U$12,K376),1))+(IF(K376=0,0,(Upgrades!$M$12+K376*Upgrades!$N$12)*POWER(Upgrades!$O$12,K376)))*(IF(Upgrades!$T$6="First Photons",POWER(Upgrades!$U$6,E376),1)*IF(Upgrades!$T$7="First Photons",POWER(Upgrades!$U$7,F376),1)*IF(Upgrades!$T$8="First Photons",POWER(Upgrades!$U$8,G376),1)*IF(Upgrades!$T$9="First Photons",POWER(Upgrades!$U$9,H376),1)*IF(Upgrades!$T$10="First Photons",POWER(Upgrades!$U$10,I376),1)*IF(Upgrades!$T$11="First Photons",POWER(Upgrades!$U$11,J376),1)))*POWER(Upgrades!$R$6,E376)*POWER(Upgrades!$R$7,F376)*POWER(Upgrades!$R$8,G376)*POWER(Upgrades!$R$9,H376)*POWER(Upgrades!$R$10,I376)*POWER(Upgrades!$R$11,J376)*POWER(Upgrades!$R$12,K376)</f>
        <v/>
      </c>
      <c r="P376" s="27">
        <f>IF(L376=1,0,M376*Parameters!$B$10/60*Parameters!$B$11*10)</f>
        <v/>
      </c>
      <c r="Q376" s="27">
        <f>IF(L376=1,0,O376*M376*10)</f>
        <v/>
      </c>
      <c r="R376" s="27">
        <f>IF(L376=1,0,N376*10)</f>
        <v/>
      </c>
      <c r="S376" s="27">
        <f>P376+Q376+R376</f>
        <v/>
      </c>
      <c r="T376" s="22">
        <f>C376+S376</f>
        <v/>
      </c>
      <c r="U376" s="33">
        <f>AX376</f>
        <v/>
      </c>
      <c r="V376" s="22">
        <f>IF(U376="",0,IF(U376="transition",0,IF(U376="SW",AG376,IF(U376="AB",AH376,IF(U376="SC",AI376,IF(U376="Mag",AJ376,IF(U376="OR",AK376,IF(U376="HP",AL376,IF(U376="FP",AM376,0)))))))))</f>
        <v/>
      </c>
      <c r="W376" s="27">
        <f>IF(U376="OR",Upgrades!$F$10,IF(U376="HP",Upgrades!$F$11,IF(U376="transition",-Parameters!$B$18,0)))</f>
        <v/>
      </c>
      <c r="X376" s="22">
        <f>T376-V376</f>
        <v/>
      </c>
      <c r="Y376" s="30">
        <f>M376*Parameters!$B$10/60*Parameters!$B$11+O376*M376+N376</f>
        <v/>
      </c>
      <c r="Z376" s="34">
        <f>IF(U376="transition","→ Tier 2 (Stellar Neighborhood)",IF(U376="FP","First Photons — light begins, system quickens",IF(U376="HP","Heliopause acquired",IF(U376="OR","Orbital Resonance — passive multiplier active",IF(AND(AO376=1,L376=0,AN376&lt;&gt;1),"Cohesion ready (waiting on completionist upgrades)","")))))</f>
        <v/>
      </c>
      <c r="AA376" s="27">
        <f>(IF(E376=0,0,(Upgrades!$G$6+E376*Upgrades!$H$6)*POWER(Upgrades!$I$6,E376)))*(IF(Upgrades!$T$7="Solar Wind",POWER(Upgrades!$U$7,F376),1)*IF(Upgrades!$T$8="Solar Wind",POWER(Upgrades!$U$8,G376),1)*IF(Upgrades!$T$9="Solar Wind",POWER(Upgrades!$U$9,H376),1)*IF(Upgrades!$T$10="Solar Wind",POWER(Upgrades!$U$10,I376),1)*IF(Upgrades!$T$11="Solar Wind",POWER(Upgrades!$U$11,J376),1)*IF(Upgrades!$T$12="Solar Wind",POWER(Upgrades!$U$12,K376),1))*POWER(Upgrades!$P$6,E376)*POWER(Upgrades!$P$7,F376)*POWER(Upgrades!$P$8,G376)*POWER(Upgrades!$P$9,H376)*POWER(Upgrades!$P$10,I376)*POWER(Upgrades!$P$11,J376)*POWER(Upgrades!$P$12,K376)*60</f>
        <v/>
      </c>
      <c r="AB376" s="27">
        <f>(IF(F376=0,0,(Upgrades!$G$7+F376*Upgrades!$H$7)*POWER(Upgrades!$I$7,F376)))*(IF(Upgrades!$T$6="Asteroid Belt",POWER(Upgrades!$U$6,E376),1)*IF(Upgrades!$T$8="Asteroid Belt",POWER(Upgrades!$U$8,G376),1)*IF(Upgrades!$T$9="Asteroid Belt",POWER(Upgrades!$U$9,H376),1)*IF(Upgrades!$T$10="Asteroid Belt",POWER(Upgrades!$U$10,I376),1)*IF(Upgrades!$T$11="Asteroid Belt",POWER(Upgrades!$U$11,J376),1)*IF(Upgrades!$T$12="Asteroid Belt",POWER(Upgrades!$U$12,K376),1))*POWER(Upgrades!$P$6,E376)*POWER(Upgrades!$P$7,F376)*POWER(Upgrades!$P$8,G376)*POWER(Upgrades!$P$9,H376)*POWER(Upgrades!$P$10,I376)*POWER(Upgrades!$P$11,J376)*POWER(Upgrades!$P$12,K376)*60</f>
        <v/>
      </c>
      <c r="AC376" s="27">
        <f>(IF(G376=0,0,(Upgrades!$J$8+G376*Upgrades!$K$8)*POWER(Upgrades!$L$8,G376)))*(IF(Upgrades!$T$6="Stellar Coupling",POWER(Upgrades!$U$6,E376),1)*IF(Upgrades!$T$7="Stellar Coupling",POWER(Upgrades!$U$7,F376),1)*IF(Upgrades!$T$9="Stellar Coupling",POWER(Upgrades!$U$9,H376),1)*IF(Upgrades!$T$10="Stellar Coupling",POWER(Upgrades!$U$10,I376),1)*IF(Upgrades!$T$11="Stellar Coupling",POWER(Upgrades!$U$11,J376),1)*IF(Upgrades!$T$12="Stellar Coupling",POWER(Upgrades!$U$12,K376),1))*POWER(Upgrades!$Q$6,E376)*POWER(Upgrades!$Q$7,F376)*POWER(Upgrades!$Q$8,G376)*POWER(Upgrades!$Q$9,H376)*POWER(Upgrades!$Q$10,I376)*POWER(Upgrades!$Q$11,J376)*POWER(Upgrades!$Q$12,K376)*Parameters!$B$10*Parameters!$B$11</f>
        <v/>
      </c>
      <c r="AD376" s="27">
        <f>(IF(H376=0,0,(Upgrades!$G$9+H376*Upgrades!$H$9)*POWER(Upgrades!$I$9,H376)))*(IF(Upgrades!$T$6="Magnetosphere",POWER(Upgrades!$U$6,E376),1)*IF(Upgrades!$T$7="Magnetosphere",POWER(Upgrades!$U$7,F376),1)*IF(Upgrades!$T$8="Magnetosphere",POWER(Upgrades!$U$8,G376),1)*IF(Upgrades!$T$10="Magnetosphere",POWER(Upgrades!$U$10,I376),1)*IF(Upgrades!$T$11="Magnetosphere",POWER(Upgrades!$U$11,J376),1)*IF(Upgrades!$T$12="Magnetosphere",POWER(Upgrades!$U$12,K376),1))*POWER(Upgrades!$P$6,E376)*POWER(Upgrades!$P$7,F376)*POWER(Upgrades!$P$8,G376)*POWER(Upgrades!$P$9,H376)*POWER(Upgrades!$P$10,I376)*POWER(Upgrades!$P$11,J376)*POWER(Upgrades!$P$12,K376)*60</f>
        <v/>
      </c>
      <c r="AE376" s="27">
        <f>(IF(K376=0,0,(Upgrades!$G$12+K376*Upgrades!$H$12)*POWER(Upgrades!$I$12,K376)))*(IF(Upgrades!$T$6="First Photons",POWER(Upgrades!$U$6,E376),1)*IF(Upgrades!$T$7="First Photons",POWER(Upgrades!$U$7,F376),1)*IF(Upgrades!$T$8="First Photons",POWER(Upgrades!$U$8,G376),1)*IF(Upgrades!$T$9="First Photons",POWER(Upgrades!$U$9,H376),1)*IF(Upgrades!$T$10="First Photons",POWER(Upgrades!$U$10,I376),1)*IF(Upgrades!$T$11="First Photons",POWER(Upgrades!$U$11,J376),1))*POWER(Upgrades!$P$6,E376)*POWER(Upgrades!$P$7,F376)*POWER(Upgrades!$P$8,G376)*POWER(Upgrades!$P$9,H376)*POWER(Upgrades!$P$10,I376)*POWER(Upgrades!$P$11,J376)*POWER(Upgrades!$P$12,K376)*60</f>
        <v/>
      </c>
      <c r="AF376" s="27">
        <f>Parameters!$B$9*POWER(Upgrades!$Q$6,E376)*POWER(Upgrades!$Q$7,F376)*POWER(Upgrades!$Q$8,G376)*POWER(Upgrades!$Q$9,H376)*POWER(Upgrades!$Q$10,I376)*POWER(Upgrades!$Q$11,J376)*POWER(Upgrades!$Q$12,K376)*(Parameters!$B$10*Parameters!$B$11+O376*60)</f>
        <v/>
      </c>
      <c r="AG376" s="22">
        <f>IF(E376&gt;=Upgrades!$E$6,"",Upgrades!$C$6*POWER(Upgrades!$D$6,E376))</f>
        <v/>
      </c>
      <c r="AH376" s="22">
        <f>IF(F376&gt;=Upgrades!$E$7,"",Upgrades!$C$7*POWER(Upgrades!$D$7,F376))</f>
        <v/>
      </c>
      <c r="AI376" s="22">
        <f>IF(G376&gt;=Upgrades!$E$8,"",Upgrades!$C$8*POWER(Upgrades!$D$8,G376))</f>
        <v/>
      </c>
      <c r="AJ376" s="22">
        <f>IF(H376&gt;=Upgrades!$E$9,"",Upgrades!$C$9*POWER(Upgrades!$D$9,H376))</f>
        <v/>
      </c>
      <c r="AK376" s="22">
        <f>IF(I376&gt;=Upgrades!$E$10,"",Upgrades!$C$10*POWER(Upgrades!$D$10,I376))</f>
        <v/>
      </c>
      <c r="AL376" s="22">
        <f>IF(J376&gt;=Upgrades!$E$11,"",Upgrades!$C$11*POWER(Upgrades!$D$11,J376))</f>
        <v/>
      </c>
      <c r="AM376" s="22">
        <f>IF(K376&gt;=Upgrades!$E$12,"",Upgrades!$C$12*POWER(Upgrades!$D$12,K376))</f>
        <v/>
      </c>
      <c r="AN376" s="26">
        <f>IF(AND(D376&gt;=Parameters!$B$18,(H376&gt;=Upgrades!$E$9)*(K376&gt;=Upgrades!$E$12)=1,L376=0),1,"")</f>
        <v/>
      </c>
      <c r="AO376" s="26">
        <f>IF(AND(D376&gt;=Parameters!$B$18,L376=0),1,"")</f>
        <v/>
      </c>
      <c r="AP376" s="22">
        <f>MIN(IF(ISNUMBER(AK376),AK376,9E15),IF(ISNUMBER(AL376),AL376,9E15),IF(ISNUMBER(AM376),AM376,9E15))</f>
        <v/>
      </c>
      <c r="AQ376" s="22">
        <f>MIN(IF(ISNUMBER(AG376),AG376,9E15),IF(ISNUMBER(AH376),AH376,9E15),IF(ISNUMBER(AI376),AI376,9E15),IF(ISNUMBER(AJ376),AJ376,9E15))</f>
        <v/>
      </c>
      <c r="AR376" s="29">
        <f>IF(AW376&gt;Parameters!$B$21*(MAX(IF(AND(NOT(AND(AO376=1,AN376&lt;&gt;1)),ISNUMBER(AG376),AG376&lt;=T376),AS376,0),IF(AND(NOT(AND(AO376=1,AN376&lt;&gt;1)),ISNUMBER(AH376),AH376&lt;=T376),AT376,0),IF(AND(NOT(AND(AO376=1,AN376&lt;&gt;1)),ISNUMBER(AI376),AI376&lt;=T376),AU376,0),IF(AND(ISNUMBER(AJ376),AJ376&lt;=T376),AV376,0))),TRUE,FALSE)</f>
        <v/>
      </c>
      <c r="AS376" s="32">
        <f>IFERROR(Upgrades!$H$6*(POWER(Upgrades!$P$6,E376)*POWER(Upgrades!$P$7,F376)*POWER(Upgrades!$P$8,G376)*POWER(Upgrades!$P$9,H376)*POWER(Upgrades!$P$10,I376)*POWER(Upgrades!$P$11,J376)*POWER(Upgrades!$P$12,K376))*(IF(Upgrades!$T$7="Solar Wind",POWER(Upgrades!$U$7,F376),1)*IF(Upgrades!$T$8="Solar Wind",POWER(Upgrades!$U$8,G376),1)*IF(Upgrades!$T$9="Solar Wind",POWER(Upgrades!$U$9,H376),1)*IF(Upgrades!$T$10="Solar Wind",POWER(Upgrades!$U$10,I376),1)*IF(Upgrades!$T$11="Solar Wind",POWER(Upgrades!$U$11,J376),1)*IF(Upgrades!$T$12="Solar Wind",POWER(Upgrades!$U$12,K376),1))/AG376,0)</f>
        <v/>
      </c>
      <c r="AT376" s="32">
        <f>IFERROR(Upgrades!$H$7*(POWER(Upgrades!$P$6,E376)*POWER(Upgrades!$P$7,F376)*POWER(Upgrades!$P$8,G376)*POWER(Upgrades!$P$9,H376)*POWER(Upgrades!$P$10,I376)*POWER(Upgrades!$P$11,J376)*POWER(Upgrades!$P$12,K376))*(IF(Upgrades!$T$6="Asteroid Belt",POWER(Upgrades!$U$6,E376),1)*IF(Upgrades!$T$8="Asteroid Belt",POWER(Upgrades!$U$8,G376),1)*IF(Upgrades!$T$9="Asteroid Belt",POWER(Upgrades!$U$9,H376),1)*IF(Upgrades!$T$10="Asteroid Belt",POWER(Upgrades!$U$10,I376),1)*IF(Upgrades!$T$11="Asteroid Belt",POWER(Upgrades!$U$11,J376),1)*IF(Upgrades!$T$12="Asteroid Belt",POWER(Upgrades!$U$12,K376),1))/AH376,0)</f>
        <v/>
      </c>
      <c r="AU376" s="32">
        <f>IFERROR(Upgrades!$K$8*(POWER(Upgrades!$Q$6,E376)*POWER(Upgrades!$Q$7,F376)*POWER(Upgrades!$Q$8,G376)*POWER(Upgrades!$Q$9,H376)*POWER(Upgrades!$Q$10,I376)*POWER(Upgrades!$Q$11,J376)*POWER(Upgrades!$Q$12,K376))*(IF(Upgrades!$T$6="Stellar Coupling",POWER(Upgrades!$U$6,E376),1)*IF(Upgrades!$T$7="Stellar Coupling",POWER(Upgrades!$U$7,F376),1)*IF(Upgrades!$T$9="Stellar Coupling",POWER(Upgrades!$U$9,H376),1)*IF(Upgrades!$T$10="Stellar Coupling",POWER(Upgrades!$U$10,I376),1)*IF(Upgrades!$T$11="Stellar Coupling",POWER(Upgrades!$U$11,J376),1)*IF(Upgrades!$T$12="Stellar Coupling",POWER(Upgrades!$U$12,K376),1))*Parameters!$B$10*Parameters!$B$11/60/AI376,0)</f>
        <v/>
      </c>
      <c r="AV376" s="32">
        <f>IFERROR(Upgrades!$H$9*(POWER(Upgrades!$P$6,E376)*POWER(Upgrades!$P$7,F376)*POWER(Upgrades!$P$8,G376)*POWER(Upgrades!$P$9,H376)*POWER(Upgrades!$P$10,I376)*POWER(Upgrades!$P$11,J376)*POWER(Upgrades!$P$12,K376))*(IF(Upgrades!$T$6="Magnetosphere",POWER(Upgrades!$U$6,E376),1)*IF(Upgrades!$T$7="Magnetosphere",POWER(Upgrades!$U$7,F376),1)*IF(Upgrades!$T$8="Magnetosphere",POWER(Upgrades!$U$8,G376),1)*IF(Upgrades!$T$10="Magnetosphere",POWER(Upgrades!$U$10,I376),1)*IF(Upgrades!$T$11="Magnetosphere",POWER(Upgrades!$U$11,J376),1)*IF(Upgrades!$T$12="Magnetosphere",POWER(Upgrades!$U$12,K376),1))/AJ376,0)</f>
        <v/>
      </c>
      <c r="AW376" s="32">
        <f>MAX(IF(I376&gt;0,0,IFERROR(0.25*N376/Upgrades!$C$10,0)),IF(J376&gt;0,0,IFERROR(0.5*((IF(G376=0,0,(Upgrades!$J$8+G376*Upgrades!$K$8)*POWER(Upgrades!$L$8,G376)))*(IF(Upgrades!$T$6="Stellar Coupling",POWER(Upgrades!$U$6,E376),1)*IF(Upgrades!$T$7="Stellar Coupling",POWER(Upgrades!$U$7,F376),1)*IF(Upgrades!$T$9="Stellar Coupling",POWER(Upgrades!$U$9,H376),1)*IF(Upgrades!$T$10="Stellar Coupling",POWER(Upgrades!$U$10,I376),1)*IF(Upgrades!$T$11="Stellar Coupling",POWER(Upgrades!$U$11,J376),1)*IF(Upgrades!$T$12="Stellar Coupling",POWER(Upgrades!$U$12,K376),1))*(POWER(Upgrades!$Q$6,E376)*POWER(Upgrades!$Q$7,F376)*POWER(Upgrades!$Q$8,G376)*POWER(Upgrades!$Q$9,H376)*POWER(Upgrades!$Q$10,I376)*POWER(Upgrades!$Q$11,J376)*POWER(Upgrades!$Q$12,K376))*Parameters!$B$10*Parameters!$B$11/60)/Upgrades!$C$11,0)),IF(K376&gt;0,0,IFERROR((1.0*(POWER(Upgrades!$P$6,E376)*POWER(Upgrades!$P$7,F376)*POWER(Upgrades!$P$8,G376)*POWER(Upgrades!$P$9,H376)*POWER(Upgrades!$P$10,I376)*POWER(Upgrades!$P$11,J376)*POWER(Upgrades!$P$12,K376))+0.20*M376*Parameters!$B$10*Parameters!$B$11/60)/Upgrades!$C$12,0)),IF(AND(ISNUMBER(AG376),AG376&gt;T376),AS376,0),IF(AND(ISNUMBER(AH376),AH376&gt;T376),AT376,0),IF(AND(ISNUMBER(AI376),AI376&gt;T376),AU376,0),IF(AND(ISNUMBER(AJ376),AJ376&gt;T376),AV376,0))</f>
        <v/>
      </c>
      <c r="AX376" s="29">
        <f>IF(AN376=1,"transition",IF(MIN(IF(AND(I376=0,ISNUMBER(AK376),AK376&lt;=T376),AK376,9E15),IF(AND(J376=0,ISNUMBER(AL376),AL376&lt;=T376),AL376,9E15),IF(AND(K376=0,ISNUMBER(AM376),AM376&lt;=T376),AM376,9E15))&lt;9E15,IF(AND(AND(I376=0,ISNUMBER(AK376),AK376&lt;=T376),AK376=MIN(IF(AND(I376=0,ISNUMBER(AK376),AK376&lt;=T376),AK376,9E15),IF(AND(J376=0,ISNUMBER(AL376),AL376&lt;=T376),AL376,9E15),IF(AND(K376=0,ISNUMBER(AM376),AM376&lt;=T376),AM376,9E15))),"OR",IF(AND(AND(J376=0,ISNUMBER(AL376),AL376&lt;=T376),AL376=MIN(IF(AND(I376=0,ISNUMBER(AK376),AK376&lt;=T376),AK376,9E15),IF(AND(J376=0,ISNUMBER(AL376),AL376&lt;=T376),AL376,9E15),IF(AND(K376=0,ISNUMBER(AM376),AM376&lt;=T376),AM376,9E15))),"HP","FP")),IF(AR376=TRUE,"",IF(MAX(IF(AND(NOT(AND(AO376=1,AN376&lt;&gt;1)),ISNUMBER(AG376),AG376&lt;=T376),AS376,0),IF(AND(NOT(AND(AO376=1,AN376&lt;&gt;1)),ISNUMBER(AH376),AH376&lt;=T376),AT376,0),IF(AND(NOT(AND(AO376=1,AN376&lt;&gt;1)),ISNUMBER(AI376),AI376&lt;=T376),AU376,0),IF(AND(ISNUMBER(AJ376),AJ376&lt;=T376),AV376,0))&lt;=0,"",IF(AND(IF(AND(NOT(AND(AO376=1,AN376&lt;&gt;1)),ISNUMBER(AG376),AG376&lt;=T376),AS376,0)&gt;0,IF(AND(NOT(AND(AO376=1,AN376&lt;&gt;1)),ISNUMBER(AG376),AG376&lt;=T376),AS376,0)=MAX(IF(AND(NOT(AND(AO376=1,AN376&lt;&gt;1)),ISNUMBER(AG376),AG376&lt;=T376),AS376,0),IF(AND(NOT(AND(AO376=1,AN376&lt;&gt;1)),ISNUMBER(AH376),AH376&lt;=T376),AT376,0),IF(AND(NOT(AND(AO376=1,AN376&lt;&gt;1)),ISNUMBER(AI376),AI376&lt;=T376),AU376,0),IF(AND(ISNUMBER(AJ376),AJ376&lt;=T376),AV376,0))),"SW",IF(AND(IF(AND(NOT(AND(AO376=1,AN376&lt;&gt;1)),ISNUMBER(AH376),AH376&lt;=T376),AT376,0)&gt;0,IF(AND(NOT(AND(AO376=1,AN376&lt;&gt;1)),ISNUMBER(AH376),AH376&lt;=T376),AT376,0)=MAX(IF(AND(NOT(AND(AO376=1,AN376&lt;&gt;1)),ISNUMBER(AG376),AG376&lt;=T376),AS376,0),IF(AND(NOT(AND(AO376=1,AN376&lt;&gt;1)),ISNUMBER(AH376),AH376&lt;=T376),AT376,0),IF(AND(NOT(AND(AO376=1,AN376&lt;&gt;1)),ISNUMBER(AI376),AI376&lt;=T376),AU376,0),IF(AND(ISNUMBER(AJ376),AJ376&lt;=T376),AV376,0))),"AB",IF(AND(IF(AND(NOT(AND(AO376=1,AN376&lt;&gt;1)),ISNUMBER(AI376),AI376&lt;=T376),AU376,0)&gt;0,IF(AND(NOT(AND(AO376=1,AN376&lt;&gt;1)),ISNUMBER(AI376),AI376&lt;=T376),AU376,0)=MAX(IF(AND(NOT(AND(AO376=1,AN376&lt;&gt;1)),ISNUMBER(AG376),AG376&lt;=T376),AS376,0),IF(AND(NOT(AND(AO376=1,AN376&lt;&gt;1)),ISNUMBER(AH376),AH376&lt;=T376),AT376,0),IF(AND(NOT(AND(AO376=1,AN376&lt;&gt;1)),ISNUMBER(AI376),AI376&lt;=T376),AU376,0),IF(AND(ISNUMBER(AJ376),AJ376&lt;=T376),AV376,0))),"SC","Mag")))))))</f>
        <v/>
      </c>
    </row>
    <row r="377">
      <c r="A377" s="26" t="n">
        <v>372</v>
      </c>
      <c r="B377" s="27">
        <f>A377*10/60</f>
        <v/>
      </c>
      <c r="C377" s="22">
        <f>X376</f>
        <v/>
      </c>
      <c r="D377" s="27">
        <f>D376+W376</f>
        <v/>
      </c>
      <c r="E377" s="26">
        <f>E376+IF(U376="SW",1,0)</f>
        <v/>
      </c>
      <c r="F377" s="26">
        <f>F376+IF(U376="AB",1,0)</f>
        <v/>
      </c>
      <c r="G377" s="26">
        <f>G376+IF(U376="SC",1,0)</f>
        <v/>
      </c>
      <c r="H377" s="26">
        <f>H376+IF(U376="Mag",1,0)</f>
        <v/>
      </c>
      <c r="I377" s="26">
        <f>MAX(I376,IF(U376="OR",1,0))</f>
        <v/>
      </c>
      <c r="J377" s="26">
        <f>MAX(J376,IF(U376="HP",1,0))</f>
        <v/>
      </c>
      <c r="K377" s="26">
        <f>MAX(K376,IF(U376="FP",1,0))</f>
        <v/>
      </c>
      <c r="L377" s="26">
        <f>MAX(L376,IF(U376="transition",1,0))</f>
        <v/>
      </c>
      <c r="M377" s="28">
        <f>(Parameters!$B$9+(IF(E377=0,0,(Upgrades!$J$6+E377*Upgrades!$K$6)*POWER(Upgrades!$L$6,E377)))*(IF(Upgrades!$T$7="Solar Wind",POWER(Upgrades!$U$7,F377),1)*IF(Upgrades!$T$8="Solar Wind",POWER(Upgrades!$U$8,G377),1)*IF(Upgrades!$T$9="Solar Wind",POWER(Upgrades!$U$9,H377),1)*IF(Upgrades!$T$10="Solar Wind",POWER(Upgrades!$U$10,I377),1)*IF(Upgrades!$T$11="Solar Wind",POWER(Upgrades!$U$11,J377),1)*IF(Upgrades!$T$12="Solar Wind",POWER(Upgrades!$U$12,K377),1))+(IF(F377=0,0,(Upgrades!$J$7+F377*Upgrades!$K$7)*POWER(Upgrades!$L$7,F377)))*(IF(Upgrades!$T$6="Asteroid Belt",POWER(Upgrades!$U$6,E377),1)*IF(Upgrades!$T$8="Asteroid Belt",POWER(Upgrades!$U$8,G377),1)*IF(Upgrades!$T$9="Asteroid Belt",POWER(Upgrades!$U$9,H377),1)*IF(Upgrades!$T$10="Asteroid Belt",POWER(Upgrades!$U$10,I377),1)*IF(Upgrades!$T$11="Asteroid Belt",POWER(Upgrades!$U$11,J377),1)*IF(Upgrades!$T$12="Asteroid Belt",POWER(Upgrades!$U$12,K377),1))+(IF(G377=0,0,(Upgrades!$J$8+G377*Upgrades!$K$8)*POWER(Upgrades!$L$8,G377)))*(IF(Upgrades!$T$6="Stellar Coupling",POWER(Upgrades!$U$6,E377),1)*IF(Upgrades!$T$7="Stellar Coupling",POWER(Upgrades!$U$7,F377),1)*IF(Upgrades!$T$9="Stellar Coupling",POWER(Upgrades!$U$9,H377),1)*IF(Upgrades!$T$10="Stellar Coupling",POWER(Upgrades!$U$10,I377),1)*IF(Upgrades!$T$11="Stellar Coupling",POWER(Upgrades!$U$11,J377),1)*IF(Upgrades!$T$12="Stellar Coupling",POWER(Upgrades!$U$12,K377),1))+(IF(H377=0,0,(Upgrades!$J$9+H377*Upgrades!$K$9)*POWER(Upgrades!$L$9,H377)))*(IF(Upgrades!$T$6="Magnetosphere",POWER(Upgrades!$U$6,E377),1)*IF(Upgrades!$T$7="Magnetosphere",POWER(Upgrades!$U$7,F377),1)*IF(Upgrades!$T$8="Magnetosphere",POWER(Upgrades!$U$8,G377),1)*IF(Upgrades!$T$10="Magnetosphere",POWER(Upgrades!$U$10,I377),1)*IF(Upgrades!$T$11="Magnetosphere",POWER(Upgrades!$U$11,J377),1)*IF(Upgrades!$T$12="Magnetosphere",POWER(Upgrades!$U$12,K377),1))+(IF(I377=0,0,(Upgrades!$J$10+I377*Upgrades!$K$10)*POWER(Upgrades!$L$10,I377)))*(IF(Upgrades!$T$6="Orbital Resonance",POWER(Upgrades!$U$6,E377),1)*IF(Upgrades!$T$7="Orbital Resonance",POWER(Upgrades!$U$7,F377),1)*IF(Upgrades!$T$8="Orbital Resonance",POWER(Upgrades!$U$8,G377),1)*IF(Upgrades!$T$9="Orbital Resonance",POWER(Upgrades!$U$9,H377),1)*IF(Upgrades!$T$11="Orbital Resonance",POWER(Upgrades!$U$11,J377),1)*IF(Upgrades!$T$12="Orbital Resonance",POWER(Upgrades!$U$12,K377),1))+(IF(J377=0,0,(Upgrades!$J$11+J377*Upgrades!$K$11)*POWER(Upgrades!$L$11,J377)))*(IF(Upgrades!$T$6="Heliopause",POWER(Upgrades!$U$6,E377),1)*IF(Upgrades!$T$7="Heliopause",POWER(Upgrades!$U$7,F377),1)*IF(Upgrades!$T$8="Heliopause",POWER(Upgrades!$U$8,G377),1)*IF(Upgrades!$T$9="Heliopause",POWER(Upgrades!$U$9,H377),1)*IF(Upgrades!$T$10="Heliopause",POWER(Upgrades!$U$10,I377),1)*IF(Upgrades!$T$12="Heliopause",POWER(Upgrades!$U$12,K377),1))+(IF(K377=0,0,(Upgrades!$J$12+K377*Upgrades!$K$12)*POWER(Upgrades!$L$12,K377)))*(IF(Upgrades!$T$6="First Photons",POWER(Upgrades!$U$6,E377),1)*IF(Upgrades!$T$7="First Photons",POWER(Upgrades!$U$7,F377),1)*IF(Upgrades!$T$8="First Photons",POWER(Upgrades!$U$8,G377),1)*IF(Upgrades!$T$9="First Photons",POWER(Upgrades!$U$9,H377),1)*IF(Upgrades!$T$10="First Photons",POWER(Upgrades!$U$10,I377),1)*IF(Upgrades!$T$11="First Photons",POWER(Upgrades!$U$11,J377),1)))*POWER(Upgrades!$Q$6,E377)*POWER(Upgrades!$Q$7,F377)*POWER(Upgrades!$Q$8,G377)*POWER(Upgrades!$Q$9,H377)*POWER(Upgrades!$Q$10,I377)*POWER(Upgrades!$Q$11,J377)*POWER(Upgrades!$Q$12,K377)</f>
        <v/>
      </c>
      <c r="N377" s="28">
        <f>((IF(E377=0,0,(Upgrades!$G$6+E377*Upgrades!$H$6)*POWER(Upgrades!$I$6,E377)))*(IF(Upgrades!$T$7="Solar Wind",POWER(Upgrades!$U$7,F377),1)*IF(Upgrades!$T$8="Solar Wind",POWER(Upgrades!$U$8,G377),1)*IF(Upgrades!$T$9="Solar Wind",POWER(Upgrades!$U$9,H377),1)*IF(Upgrades!$T$10="Solar Wind",POWER(Upgrades!$U$10,I377),1)*IF(Upgrades!$T$11="Solar Wind",POWER(Upgrades!$U$11,J377),1)*IF(Upgrades!$T$12="Solar Wind",POWER(Upgrades!$U$12,K377),1))+(IF(F377=0,0,(Upgrades!$G$7+F377*Upgrades!$H$7)*POWER(Upgrades!$I$7,F377)))*(IF(Upgrades!$T$6="Asteroid Belt",POWER(Upgrades!$U$6,E377),1)*IF(Upgrades!$T$8="Asteroid Belt",POWER(Upgrades!$U$8,G377),1)*IF(Upgrades!$T$9="Asteroid Belt",POWER(Upgrades!$U$9,H377),1)*IF(Upgrades!$T$10="Asteroid Belt",POWER(Upgrades!$U$10,I377),1)*IF(Upgrades!$T$11="Asteroid Belt",POWER(Upgrades!$U$11,J377),1)*IF(Upgrades!$T$12="Asteroid Belt",POWER(Upgrades!$U$12,K377),1))+(IF(G377=0,0,(Upgrades!$G$8+G377*Upgrades!$H$8)*POWER(Upgrades!$I$8,G377)))*(IF(Upgrades!$T$6="Stellar Coupling",POWER(Upgrades!$U$6,E377),1)*IF(Upgrades!$T$7="Stellar Coupling",POWER(Upgrades!$U$7,F377),1)*IF(Upgrades!$T$9="Stellar Coupling",POWER(Upgrades!$U$9,H377),1)*IF(Upgrades!$T$10="Stellar Coupling",POWER(Upgrades!$U$10,I377),1)*IF(Upgrades!$T$11="Stellar Coupling",POWER(Upgrades!$U$11,J377),1)*IF(Upgrades!$T$12="Stellar Coupling",POWER(Upgrades!$U$12,K377),1))+(IF(H377=0,0,(Upgrades!$G$9+H377*Upgrades!$H$9)*POWER(Upgrades!$I$9,H377)))*(IF(Upgrades!$T$6="Magnetosphere",POWER(Upgrades!$U$6,E377),1)*IF(Upgrades!$T$7="Magnetosphere",POWER(Upgrades!$U$7,F377),1)*IF(Upgrades!$T$8="Magnetosphere",POWER(Upgrades!$U$8,G377),1)*IF(Upgrades!$T$10="Magnetosphere",POWER(Upgrades!$U$10,I377),1)*IF(Upgrades!$T$11="Magnetosphere",POWER(Upgrades!$U$11,J377),1)*IF(Upgrades!$T$12="Magnetosphere",POWER(Upgrades!$U$12,K377),1))+(IF(I377=0,0,(Upgrades!$G$10+I377*Upgrades!$H$10)*POWER(Upgrades!$I$10,I377)))*(IF(Upgrades!$T$6="Orbital Resonance",POWER(Upgrades!$U$6,E377),1)*IF(Upgrades!$T$7="Orbital Resonance",POWER(Upgrades!$U$7,F377),1)*IF(Upgrades!$T$8="Orbital Resonance",POWER(Upgrades!$U$8,G377),1)*IF(Upgrades!$T$9="Orbital Resonance",POWER(Upgrades!$U$9,H377),1)*IF(Upgrades!$T$11="Orbital Resonance",POWER(Upgrades!$U$11,J377),1)*IF(Upgrades!$T$12="Orbital Resonance",POWER(Upgrades!$U$12,K377),1))+(IF(J377=0,0,(Upgrades!$G$11+J377*Upgrades!$H$11)*POWER(Upgrades!$I$11,J377)))*(IF(Upgrades!$T$6="Heliopause",POWER(Upgrades!$U$6,E377),1)*IF(Upgrades!$T$7="Heliopause",POWER(Upgrades!$U$7,F377),1)*IF(Upgrades!$T$8="Heliopause",POWER(Upgrades!$U$8,G377),1)*IF(Upgrades!$T$9="Heliopause",POWER(Upgrades!$U$9,H377),1)*IF(Upgrades!$T$10="Heliopause",POWER(Upgrades!$U$10,I377),1)*IF(Upgrades!$T$12="Heliopause",POWER(Upgrades!$U$12,K377),1))+(IF(K377=0,0,(Upgrades!$G$12+K377*Upgrades!$H$12)*POWER(Upgrades!$I$12,K377)))*(IF(Upgrades!$T$6="First Photons",POWER(Upgrades!$U$6,E377),1)*IF(Upgrades!$T$7="First Photons",POWER(Upgrades!$U$7,F377),1)*IF(Upgrades!$T$8="First Photons",POWER(Upgrades!$U$8,G377),1)*IF(Upgrades!$T$9="First Photons",POWER(Upgrades!$U$9,H377),1)*IF(Upgrades!$T$10="First Photons",POWER(Upgrades!$U$10,I377),1)*IF(Upgrades!$T$11="First Photons",POWER(Upgrades!$U$11,J377),1)))*POWER(Upgrades!$P$6,E377)*POWER(Upgrades!$P$7,F377)*POWER(Upgrades!$P$8,G377)*POWER(Upgrades!$P$9,H377)*POWER(Upgrades!$P$10,I377)*POWER(Upgrades!$P$11,J377)*POWER(Upgrades!$P$12,K377)</f>
        <v/>
      </c>
      <c r="O377" s="28">
        <f>((IF(E377=0,0,(Upgrades!$M$6+E377*Upgrades!$N$6)*POWER(Upgrades!$O$6,E377)))*(IF(Upgrades!$T$7="Solar Wind",POWER(Upgrades!$U$7,F377),1)*IF(Upgrades!$T$8="Solar Wind",POWER(Upgrades!$U$8,G377),1)*IF(Upgrades!$T$9="Solar Wind",POWER(Upgrades!$U$9,H377),1)*IF(Upgrades!$T$10="Solar Wind",POWER(Upgrades!$U$10,I377),1)*IF(Upgrades!$T$11="Solar Wind",POWER(Upgrades!$U$11,J377),1)*IF(Upgrades!$T$12="Solar Wind",POWER(Upgrades!$U$12,K377),1))+(IF(F377=0,0,(Upgrades!$M$7+F377*Upgrades!$N$7)*POWER(Upgrades!$O$7,F377)))*(IF(Upgrades!$T$6="Asteroid Belt",POWER(Upgrades!$U$6,E377),1)*IF(Upgrades!$T$8="Asteroid Belt",POWER(Upgrades!$U$8,G377),1)*IF(Upgrades!$T$9="Asteroid Belt",POWER(Upgrades!$U$9,H377),1)*IF(Upgrades!$T$10="Asteroid Belt",POWER(Upgrades!$U$10,I377),1)*IF(Upgrades!$T$11="Asteroid Belt",POWER(Upgrades!$U$11,J377),1)*IF(Upgrades!$T$12="Asteroid Belt",POWER(Upgrades!$U$12,K377),1))+(IF(G377=0,0,(Upgrades!$M$8+G377*Upgrades!$N$8)*POWER(Upgrades!$O$8,G377)))*(IF(Upgrades!$T$6="Stellar Coupling",POWER(Upgrades!$U$6,E377),1)*IF(Upgrades!$T$7="Stellar Coupling",POWER(Upgrades!$U$7,F377),1)*IF(Upgrades!$T$9="Stellar Coupling",POWER(Upgrades!$U$9,H377),1)*IF(Upgrades!$T$10="Stellar Coupling",POWER(Upgrades!$U$10,I377),1)*IF(Upgrades!$T$11="Stellar Coupling",POWER(Upgrades!$U$11,J377),1)*IF(Upgrades!$T$12="Stellar Coupling",POWER(Upgrades!$U$12,K377),1))+(IF(H377=0,0,(Upgrades!$M$9+H377*Upgrades!$N$9)*POWER(Upgrades!$O$9,H377)))*(IF(Upgrades!$T$6="Magnetosphere",POWER(Upgrades!$U$6,E377),1)*IF(Upgrades!$T$7="Magnetosphere",POWER(Upgrades!$U$7,F377),1)*IF(Upgrades!$T$8="Magnetosphere",POWER(Upgrades!$U$8,G377),1)*IF(Upgrades!$T$10="Magnetosphere",POWER(Upgrades!$U$10,I377),1)*IF(Upgrades!$T$11="Magnetosphere",POWER(Upgrades!$U$11,J377),1)*IF(Upgrades!$T$12="Magnetosphere",POWER(Upgrades!$U$12,K377),1))+(IF(I377=0,0,(Upgrades!$M$10+I377*Upgrades!$N$10)*POWER(Upgrades!$O$10,I377)))*(IF(Upgrades!$T$6="Orbital Resonance",POWER(Upgrades!$U$6,E377),1)*IF(Upgrades!$T$7="Orbital Resonance",POWER(Upgrades!$U$7,F377),1)*IF(Upgrades!$T$8="Orbital Resonance",POWER(Upgrades!$U$8,G377),1)*IF(Upgrades!$T$9="Orbital Resonance",POWER(Upgrades!$U$9,H377),1)*IF(Upgrades!$T$11="Orbital Resonance",POWER(Upgrades!$U$11,J377),1)*IF(Upgrades!$T$12="Orbital Resonance",POWER(Upgrades!$U$12,K377),1))+(IF(J377=0,0,(Upgrades!$M$11+J377*Upgrades!$N$11)*POWER(Upgrades!$O$11,J377)))*(IF(Upgrades!$T$6="Heliopause",POWER(Upgrades!$U$6,E377),1)*IF(Upgrades!$T$7="Heliopause",POWER(Upgrades!$U$7,F377),1)*IF(Upgrades!$T$8="Heliopause",POWER(Upgrades!$U$8,G377),1)*IF(Upgrades!$T$9="Heliopause",POWER(Upgrades!$U$9,H377),1)*IF(Upgrades!$T$10="Heliopause",POWER(Upgrades!$U$10,I377),1)*IF(Upgrades!$T$12="Heliopause",POWER(Upgrades!$U$12,K377),1))+(IF(K377=0,0,(Upgrades!$M$12+K377*Upgrades!$N$12)*POWER(Upgrades!$O$12,K377)))*(IF(Upgrades!$T$6="First Photons",POWER(Upgrades!$U$6,E377),1)*IF(Upgrades!$T$7="First Photons",POWER(Upgrades!$U$7,F377),1)*IF(Upgrades!$T$8="First Photons",POWER(Upgrades!$U$8,G377),1)*IF(Upgrades!$T$9="First Photons",POWER(Upgrades!$U$9,H377),1)*IF(Upgrades!$T$10="First Photons",POWER(Upgrades!$U$10,I377),1)*IF(Upgrades!$T$11="First Photons",POWER(Upgrades!$U$11,J377),1)))*POWER(Upgrades!$R$6,E377)*POWER(Upgrades!$R$7,F377)*POWER(Upgrades!$R$8,G377)*POWER(Upgrades!$R$9,H377)*POWER(Upgrades!$R$10,I377)*POWER(Upgrades!$R$11,J377)*POWER(Upgrades!$R$12,K377)</f>
        <v/>
      </c>
      <c r="P377" s="27">
        <f>IF(L377=1,0,M377*Parameters!$B$10/60*Parameters!$B$11*10)</f>
        <v/>
      </c>
      <c r="Q377" s="27">
        <f>IF(L377=1,0,O377*M377*10)</f>
        <v/>
      </c>
      <c r="R377" s="27">
        <f>IF(L377=1,0,N377*10)</f>
        <v/>
      </c>
      <c r="S377" s="27">
        <f>P377+Q377+R377</f>
        <v/>
      </c>
      <c r="T377" s="22">
        <f>C377+S377</f>
        <v/>
      </c>
      <c r="U377" s="33">
        <f>AX377</f>
        <v/>
      </c>
      <c r="V377" s="22">
        <f>IF(U377="",0,IF(U377="transition",0,IF(U377="SW",AG377,IF(U377="AB",AH377,IF(U377="SC",AI377,IF(U377="Mag",AJ377,IF(U377="OR",AK377,IF(U377="HP",AL377,IF(U377="FP",AM377,0)))))))))</f>
        <v/>
      </c>
      <c r="W377" s="27">
        <f>IF(U377="OR",Upgrades!$F$10,IF(U377="HP",Upgrades!$F$11,IF(U377="transition",-Parameters!$B$18,0)))</f>
        <v/>
      </c>
      <c r="X377" s="22">
        <f>T377-V377</f>
        <v/>
      </c>
      <c r="Y377" s="30">
        <f>M377*Parameters!$B$10/60*Parameters!$B$11+O377*M377+N377</f>
        <v/>
      </c>
      <c r="Z377" s="34">
        <f>IF(U377="transition","→ Tier 2 (Stellar Neighborhood)",IF(U377="FP","First Photons — light begins, system quickens",IF(U377="HP","Heliopause acquired",IF(U377="OR","Orbital Resonance — passive multiplier active",IF(AND(AO377=1,L377=0,AN377&lt;&gt;1),"Cohesion ready (waiting on completionist upgrades)","")))))</f>
        <v/>
      </c>
      <c r="AA377" s="27">
        <f>(IF(E377=0,0,(Upgrades!$G$6+E377*Upgrades!$H$6)*POWER(Upgrades!$I$6,E377)))*(IF(Upgrades!$T$7="Solar Wind",POWER(Upgrades!$U$7,F377),1)*IF(Upgrades!$T$8="Solar Wind",POWER(Upgrades!$U$8,G377),1)*IF(Upgrades!$T$9="Solar Wind",POWER(Upgrades!$U$9,H377),1)*IF(Upgrades!$T$10="Solar Wind",POWER(Upgrades!$U$10,I377),1)*IF(Upgrades!$T$11="Solar Wind",POWER(Upgrades!$U$11,J377),1)*IF(Upgrades!$T$12="Solar Wind",POWER(Upgrades!$U$12,K377),1))*POWER(Upgrades!$P$6,E377)*POWER(Upgrades!$P$7,F377)*POWER(Upgrades!$P$8,G377)*POWER(Upgrades!$P$9,H377)*POWER(Upgrades!$P$10,I377)*POWER(Upgrades!$P$11,J377)*POWER(Upgrades!$P$12,K377)*60</f>
        <v/>
      </c>
      <c r="AB377" s="27">
        <f>(IF(F377=0,0,(Upgrades!$G$7+F377*Upgrades!$H$7)*POWER(Upgrades!$I$7,F377)))*(IF(Upgrades!$T$6="Asteroid Belt",POWER(Upgrades!$U$6,E377),1)*IF(Upgrades!$T$8="Asteroid Belt",POWER(Upgrades!$U$8,G377),1)*IF(Upgrades!$T$9="Asteroid Belt",POWER(Upgrades!$U$9,H377),1)*IF(Upgrades!$T$10="Asteroid Belt",POWER(Upgrades!$U$10,I377),1)*IF(Upgrades!$T$11="Asteroid Belt",POWER(Upgrades!$U$11,J377),1)*IF(Upgrades!$T$12="Asteroid Belt",POWER(Upgrades!$U$12,K377),1))*POWER(Upgrades!$P$6,E377)*POWER(Upgrades!$P$7,F377)*POWER(Upgrades!$P$8,G377)*POWER(Upgrades!$P$9,H377)*POWER(Upgrades!$P$10,I377)*POWER(Upgrades!$P$11,J377)*POWER(Upgrades!$P$12,K377)*60</f>
        <v/>
      </c>
      <c r="AC377" s="27">
        <f>(IF(G377=0,0,(Upgrades!$J$8+G377*Upgrades!$K$8)*POWER(Upgrades!$L$8,G377)))*(IF(Upgrades!$T$6="Stellar Coupling",POWER(Upgrades!$U$6,E377),1)*IF(Upgrades!$T$7="Stellar Coupling",POWER(Upgrades!$U$7,F377),1)*IF(Upgrades!$T$9="Stellar Coupling",POWER(Upgrades!$U$9,H377),1)*IF(Upgrades!$T$10="Stellar Coupling",POWER(Upgrades!$U$10,I377),1)*IF(Upgrades!$T$11="Stellar Coupling",POWER(Upgrades!$U$11,J377),1)*IF(Upgrades!$T$12="Stellar Coupling",POWER(Upgrades!$U$12,K377),1))*POWER(Upgrades!$Q$6,E377)*POWER(Upgrades!$Q$7,F377)*POWER(Upgrades!$Q$8,G377)*POWER(Upgrades!$Q$9,H377)*POWER(Upgrades!$Q$10,I377)*POWER(Upgrades!$Q$11,J377)*POWER(Upgrades!$Q$12,K377)*Parameters!$B$10*Parameters!$B$11</f>
        <v/>
      </c>
      <c r="AD377" s="27">
        <f>(IF(H377=0,0,(Upgrades!$G$9+H377*Upgrades!$H$9)*POWER(Upgrades!$I$9,H377)))*(IF(Upgrades!$T$6="Magnetosphere",POWER(Upgrades!$U$6,E377),1)*IF(Upgrades!$T$7="Magnetosphere",POWER(Upgrades!$U$7,F377),1)*IF(Upgrades!$T$8="Magnetosphere",POWER(Upgrades!$U$8,G377),1)*IF(Upgrades!$T$10="Magnetosphere",POWER(Upgrades!$U$10,I377),1)*IF(Upgrades!$T$11="Magnetosphere",POWER(Upgrades!$U$11,J377),1)*IF(Upgrades!$T$12="Magnetosphere",POWER(Upgrades!$U$12,K377),1))*POWER(Upgrades!$P$6,E377)*POWER(Upgrades!$P$7,F377)*POWER(Upgrades!$P$8,G377)*POWER(Upgrades!$P$9,H377)*POWER(Upgrades!$P$10,I377)*POWER(Upgrades!$P$11,J377)*POWER(Upgrades!$P$12,K377)*60</f>
        <v/>
      </c>
      <c r="AE377" s="27">
        <f>(IF(K377=0,0,(Upgrades!$G$12+K377*Upgrades!$H$12)*POWER(Upgrades!$I$12,K377)))*(IF(Upgrades!$T$6="First Photons",POWER(Upgrades!$U$6,E377),1)*IF(Upgrades!$T$7="First Photons",POWER(Upgrades!$U$7,F377),1)*IF(Upgrades!$T$8="First Photons",POWER(Upgrades!$U$8,G377),1)*IF(Upgrades!$T$9="First Photons",POWER(Upgrades!$U$9,H377),1)*IF(Upgrades!$T$10="First Photons",POWER(Upgrades!$U$10,I377),1)*IF(Upgrades!$T$11="First Photons",POWER(Upgrades!$U$11,J377),1))*POWER(Upgrades!$P$6,E377)*POWER(Upgrades!$P$7,F377)*POWER(Upgrades!$P$8,G377)*POWER(Upgrades!$P$9,H377)*POWER(Upgrades!$P$10,I377)*POWER(Upgrades!$P$11,J377)*POWER(Upgrades!$P$12,K377)*60</f>
        <v/>
      </c>
      <c r="AF377" s="27">
        <f>Parameters!$B$9*POWER(Upgrades!$Q$6,E377)*POWER(Upgrades!$Q$7,F377)*POWER(Upgrades!$Q$8,G377)*POWER(Upgrades!$Q$9,H377)*POWER(Upgrades!$Q$10,I377)*POWER(Upgrades!$Q$11,J377)*POWER(Upgrades!$Q$12,K377)*(Parameters!$B$10*Parameters!$B$11+O377*60)</f>
        <v/>
      </c>
      <c r="AG377" s="22">
        <f>IF(E377&gt;=Upgrades!$E$6,"",Upgrades!$C$6*POWER(Upgrades!$D$6,E377))</f>
        <v/>
      </c>
      <c r="AH377" s="22">
        <f>IF(F377&gt;=Upgrades!$E$7,"",Upgrades!$C$7*POWER(Upgrades!$D$7,F377))</f>
        <v/>
      </c>
      <c r="AI377" s="22">
        <f>IF(G377&gt;=Upgrades!$E$8,"",Upgrades!$C$8*POWER(Upgrades!$D$8,G377))</f>
        <v/>
      </c>
      <c r="AJ377" s="22">
        <f>IF(H377&gt;=Upgrades!$E$9,"",Upgrades!$C$9*POWER(Upgrades!$D$9,H377))</f>
        <v/>
      </c>
      <c r="AK377" s="22">
        <f>IF(I377&gt;=Upgrades!$E$10,"",Upgrades!$C$10*POWER(Upgrades!$D$10,I377))</f>
        <v/>
      </c>
      <c r="AL377" s="22">
        <f>IF(J377&gt;=Upgrades!$E$11,"",Upgrades!$C$11*POWER(Upgrades!$D$11,J377))</f>
        <v/>
      </c>
      <c r="AM377" s="22">
        <f>IF(K377&gt;=Upgrades!$E$12,"",Upgrades!$C$12*POWER(Upgrades!$D$12,K377))</f>
        <v/>
      </c>
      <c r="AN377" s="26">
        <f>IF(AND(D377&gt;=Parameters!$B$18,(H377&gt;=Upgrades!$E$9)*(K377&gt;=Upgrades!$E$12)=1,L377=0),1,"")</f>
        <v/>
      </c>
      <c r="AO377" s="26">
        <f>IF(AND(D377&gt;=Parameters!$B$18,L377=0),1,"")</f>
        <v/>
      </c>
      <c r="AP377" s="22">
        <f>MIN(IF(ISNUMBER(AK377),AK377,9E15),IF(ISNUMBER(AL377),AL377,9E15),IF(ISNUMBER(AM377),AM377,9E15))</f>
        <v/>
      </c>
      <c r="AQ377" s="22">
        <f>MIN(IF(ISNUMBER(AG377),AG377,9E15),IF(ISNUMBER(AH377),AH377,9E15),IF(ISNUMBER(AI377),AI377,9E15),IF(ISNUMBER(AJ377),AJ377,9E15))</f>
        <v/>
      </c>
      <c r="AR377" s="29">
        <f>IF(AW377&gt;Parameters!$B$21*(MAX(IF(AND(NOT(AND(AO377=1,AN377&lt;&gt;1)),ISNUMBER(AG377),AG377&lt;=T377),AS377,0),IF(AND(NOT(AND(AO377=1,AN377&lt;&gt;1)),ISNUMBER(AH377),AH377&lt;=T377),AT377,0),IF(AND(NOT(AND(AO377=1,AN377&lt;&gt;1)),ISNUMBER(AI377),AI377&lt;=T377),AU377,0),IF(AND(ISNUMBER(AJ377),AJ377&lt;=T377),AV377,0))),TRUE,FALSE)</f>
        <v/>
      </c>
      <c r="AS377" s="32">
        <f>IFERROR(Upgrades!$H$6*(POWER(Upgrades!$P$6,E377)*POWER(Upgrades!$P$7,F377)*POWER(Upgrades!$P$8,G377)*POWER(Upgrades!$P$9,H377)*POWER(Upgrades!$P$10,I377)*POWER(Upgrades!$P$11,J377)*POWER(Upgrades!$P$12,K377))*(IF(Upgrades!$T$7="Solar Wind",POWER(Upgrades!$U$7,F377),1)*IF(Upgrades!$T$8="Solar Wind",POWER(Upgrades!$U$8,G377),1)*IF(Upgrades!$T$9="Solar Wind",POWER(Upgrades!$U$9,H377),1)*IF(Upgrades!$T$10="Solar Wind",POWER(Upgrades!$U$10,I377),1)*IF(Upgrades!$T$11="Solar Wind",POWER(Upgrades!$U$11,J377),1)*IF(Upgrades!$T$12="Solar Wind",POWER(Upgrades!$U$12,K377),1))/AG377,0)</f>
        <v/>
      </c>
      <c r="AT377" s="32">
        <f>IFERROR(Upgrades!$H$7*(POWER(Upgrades!$P$6,E377)*POWER(Upgrades!$P$7,F377)*POWER(Upgrades!$P$8,G377)*POWER(Upgrades!$P$9,H377)*POWER(Upgrades!$P$10,I377)*POWER(Upgrades!$P$11,J377)*POWER(Upgrades!$P$12,K377))*(IF(Upgrades!$T$6="Asteroid Belt",POWER(Upgrades!$U$6,E377),1)*IF(Upgrades!$T$8="Asteroid Belt",POWER(Upgrades!$U$8,G377),1)*IF(Upgrades!$T$9="Asteroid Belt",POWER(Upgrades!$U$9,H377),1)*IF(Upgrades!$T$10="Asteroid Belt",POWER(Upgrades!$U$10,I377),1)*IF(Upgrades!$T$11="Asteroid Belt",POWER(Upgrades!$U$11,J377),1)*IF(Upgrades!$T$12="Asteroid Belt",POWER(Upgrades!$U$12,K377),1))/AH377,0)</f>
        <v/>
      </c>
      <c r="AU377" s="32">
        <f>IFERROR(Upgrades!$K$8*(POWER(Upgrades!$Q$6,E377)*POWER(Upgrades!$Q$7,F377)*POWER(Upgrades!$Q$8,G377)*POWER(Upgrades!$Q$9,H377)*POWER(Upgrades!$Q$10,I377)*POWER(Upgrades!$Q$11,J377)*POWER(Upgrades!$Q$12,K377))*(IF(Upgrades!$T$6="Stellar Coupling",POWER(Upgrades!$U$6,E377),1)*IF(Upgrades!$T$7="Stellar Coupling",POWER(Upgrades!$U$7,F377),1)*IF(Upgrades!$T$9="Stellar Coupling",POWER(Upgrades!$U$9,H377),1)*IF(Upgrades!$T$10="Stellar Coupling",POWER(Upgrades!$U$10,I377),1)*IF(Upgrades!$T$11="Stellar Coupling",POWER(Upgrades!$U$11,J377),1)*IF(Upgrades!$T$12="Stellar Coupling",POWER(Upgrades!$U$12,K377),1))*Parameters!$B$10*Parameters!$B$11/60/AI377,0)</f>
        <v/>
      </c>
      <c r="AV377" s="32">
        <f>IFERROR(Upgrades!$H$9*(POWER(Upgrades!$P$6,E377)*POWER(Upgrades!$P$7,F377)*POWER(Upgrades!$P$8,G377)*POWER(Upgrades!$P$9,H377)*POWER(Upgrades!$P$10,I377)*POWER(Upgrades!$P$11,J377)*POWER(Upgrades!$P$12,K377))*(IF(Upgrades!$T$6="Magnetosphere",POWER(Upgrades!$U$6,E377),1)*IF(Upgrades!$T$7="Magnetosphere",POWER(Upgrades!$U$7,F377),1)*IF(Upgrades!$T$8="Magnetosphere",POWER(Upgrades!$U$8,G377),1)*IF(Upgrades!$T$10="Magnetosphere",POWER(Upgrades!$U$10,I377),1)*IF(Upgrades!$T$11="Magnetosphere",POWER(Upgrades!$U$11,J377),1)*IF(Upgrades!$T$12="Magnetosphere",POWER(Upgrades!$U$12,K377),1))/AJ377,0)</f>
        <v/>
      </c>
      <c r="AW377" s="32">
        <f>MAX(IF(I377&gt;0,0,IFERROR(0.25*N377/Upgrades!$C$10,0)),IF(J377&gt;0,0,IFERROR(0.5*((IF(G377=0,0,(Upgrades!$J$8+G377*Upgrades!$K$8)*POWER(Upgrades!$L$8,G377)))*(IF(Upgrades!$T$6="Stellar Coupling",POWER(Upgrades!$U$6,E377),1)*IF(Upgrades!$T$7="Stellar Coupling",POWER(Upgrades!$U$7,F377),1)*IF(Upgrades!$T$9="Stellar Coupling",POWER(Upgrades!$U$9,H377),1)*IF(Upgrades!$T$10="Stellar Coupling",POWER(Upgrades!$U$10,I377),1)*IF(Upgrades!$T$11="Stellar Coupling",POWER(Upgrades!$U$11,J377),1)*IF(Upgrades!$T$12="Stellar Coupling",POWER(Upgrades!$U$12,K377),1))*(POWER(Upgrades!$Q$6,E377)*POWER(Upgrades!$Q$7,F377)*POWER(Upgrades!$Q$8,G377)*POWER(Upgrades!$Q$9,H377)*POWER(Upgrades!$Q$10,I377)*POWER(Upgrades!$Q$11,J377)*POWER(Upgrades!$Q$12,K377))*Parameters!$B$10*Parameters!$B$11/60)/Upgrades!$C$11,0)),IF(K377&gt;0,0,IFERROR((1.0*(POWER(Upgrades!$P$6,E377)*POWER(Upgrades!$P$7,F377)*POWER(Upgrades!$P$8,G377)*POWER(Upgrades!$P$9,H377)*POWER(Upgrades!$P$10,I377)*POWER(Upgrades!$P$11,J377)*POWER(Upgrades!$P$12,K377))+0.20*M377*Parameters!$B$10*Parameters!$B$11/60)/Upgrades!$C$12,0)),IF(AND(ISNUMBER(AG377),AG377&gt;T377),AS377,0),IF(AND(ISNUMBER(AH377),AH377&gt;T377),AT377,0),IF(AND(ISNUMBER(AI377),AI377&gt;T377),AU377,0),IF(AND(ISNUMBER(AJ377),AJ377&gt;T377),AV377,0))</f>
        <v/>
      </c>
      <c r="AX377" s="29">
        <f>IF(AN377=1,"transition",IF(MIN(IF(AND(I377=0,ISNUMBER(AK377),AK377&lt;=T377),AK377,9E15),IF(AND(J377=0,ISNUMBER(AL377),AL377&lt;=T377),AL377,9E15),IF(AND(K377=0,ISNUMBER(AM377),AM377&lt;=T377),AM377,9E15))&lt;9E15,IF(AND(AND(I377=0,ISNUMBER(AK377),AK377&lt;=T377),AK377=MIN(IF(AND(I377=0,ISNUMBER(AK377),AK377&lt;=T377),AK377,9E15),IF(AND(J377=0,ISNUMBER(AL377),AL377&lt;=T377),AL377,9E15),IF(AND(K377=0,ISNUMBER(AM377),AM377&lt;=T377),AM377,9E15))),"OR",IF(AND(AND(J377=0,ISNUMBER(AL377),AL377&lt;=T377),AL377=MIN(IF(AND(I377=0,ISNUMBER(AK377),AK377&lt;=T377),AK377,9E15),IF(AND(J377=0,ISNUMBER(AL377),AL377&lt;=T377),AL377,9E15),IF(AND(K377=0,ISNUMBER(AM377),AM377&lt;=T377),AM377,9E15))),"HP","FP")),IF(AR377=TRUE,"",IF(MAX(IF(AND(NOT(AND(AO377=1,AN377&lt;&gt;1)),ISNUMBER(AG377),AG377&lt;=T377),AS377,0),IF(AND(NOT(AND(AO377=1,AN377&lt;&gt;1)),ISNUMBER(AH377),AH377&lt;=T377),AT377,0),IF(AND(NOT(AND(AO377=1,AN377&lt;&gt;1)),ISNUMBER(AI377),AI377&lt;=T377),AU377,0),IF(AND(ISNUMBER(AJ377),AJ377&lt;=T377),AV377,0))&lt;=0,"",IF(AND(IF(AND(NOT(AND(AO377=1,AN377&lt;&gt;1)),ISNUMBER(AG377),AG377&lt;=T377),AS377,0)&gt;0,IF(AND(NOT(AND(AO377=1,AN377&lt;&gt;1)),ISNUMBER(AG377),AG377&lt;=T377),AS377,0)=MAX(IF(AND(NOT(AND(AO377=1,AN377&lt;&gt;1)),ISNUMBER(AG377),AG377&lt;=T377),AS377,0),IF(AND(NOT(AND(AO377=1,AN377&lt;&gt;1)),ISNUMBER(AH377),AH377&lt;=T377),AT377,0),IF(AND(NOT(AND(AO377=1,AN377&lt;&gt;1)),ISNUMBER(AI377),AI377&lt;=T377),AU377,0),IF(AND(ISNUMBER(AJ377),AJ377&lt;=T377),AV377,0))),"SW",IF(AND(IF(AND(NOT(AND(AO377=1,AN377&lt;&gt;1)),ISNUMBER(AH377),AH377&lt;=T377),AT377,0)&gt;0,IF(AND(NOT(AND(AO377=1,AN377&lt;&gt;1)),ISNUMBER(AH377),AH377&lt;=T377),AT377,0)=MAX(IF(AND(NOT(AND(AO377=1,AN377&lt;&gt;1)),ISNUMBER(AG377),AG377&lt;=T377),AS377,0),IF(AND(NOT(AND(AO377=1,AN377&lt;&gt;1)),ISNUMBER(AH377),AH377&lt;=T377),AT377,0),IF(AND(NOT(AND(AO377=1,AN377&lt;&gt;1)),ISNUMBER(AI377),AI377&lt;=T377),AU377,0),IF(AND(ISNUMBER(AJ377),AJ377&lt;=T377),AV377,0))),"AB",IF(AND(IF(AND(NOT(AND(AO377=1,AN377&lt;&gt;1)),ISNUMBER(AI377),AI377&lt;=T377),AU377,0)&gt;0,IF(AND(NOT(AND(AO377=1,AN377&lt;&gt;1)),ISNUMBER(AI377),AI377&lt;=T377),AU377,0)=MAX(IF(AND(NOT(AND(AO377=1,AN377&lt;&gt;1)),ISNUMBER(AG377),AG377&lt;=T377),AS377,0),IF(AND(NOT(AND(AO377=1,AN377&lt;&gt;1)),ISNUMBER(AH377),AH377&lt;=T377),AT377,0),IF(AND(NOT(AND(AO377=1,AN377&lt;&gt;1)),ISNUMBER(AI377),AI377&lt;=T377),AU377,0),IF(AND(ISNUMBER(AJ377),AJ377&lt;=T377),AV377,0))),"SC","Mag")))))))</f>
        <v/>
      </c>
    </row>
    <row r="378">
      <c r="A378" s="26" t="n">
        <v>373</v>
      </c>
      <c r="B378" s="27">
        <f>A378*10/60</f>
        <v/>
      </c>
      <c r="C378" s="22">
        <f>X377</f>
        <v/>
      </c>
      <c r="D378" s="27">
        <f>D377+W377</f>
        <v/>
      </c>
      <c r="E378" s="26">
        <f>E377+IF(U377="SW",1,0)</f>
        <v/>
      </c>
      <c r="F378" s="26">
        <f>F377+IF(U377="AB",1,0)</f>
        <v/>
      </c>
      <c r="G378" s="26">
        <f>G377+IF(U377="SC",1,0)</f>
        <v/>
      </c>
      <c r="H378" s="26">
        <f>H377+IF(U377="Mag",1,0)</f>
        <v/>
      </c>
      <c r="I378" s="26">
        <f>MAX(I377,IF(U377="OR",1,0))</f>
        <v/>
      </c>
      <c r="J378" s="26">
        <f>MAX(J377,IF(U377="HP",1,0))</f>
        <v/>
      </c>
      <c r="K378" s="26">
        <f>MAX(K377,IF(U377="FP",1,0))</f>
        <v/>
      </c>
      <c r="L378" s="26">
        <f>MAX(L377,IF(U377="transition",1,0))</f>
        <v/>
      </c>
      <c r="M378" s="28">
        <f>(Parameters!$B$9+(IF(E378=0,0,(Upgrades!$J$6+E378*Upgrades!$K$6)*POWER(Upgrades!$L$6,E378)))*(IF(Upgrades!$T$7="Solar Wind",POWER(Upgrades!$U$7,F378),1)*IF(Upgrades!$T$8="Solar Wind",POWER(Upgrades!$U$8,G378),1)*IF(Upgrades!$T$9="Solar Wind",POWER(Upgrades!$U$9,H378),1)*IF(Upgrades!$T$10="Solar Wind",POWER(Upgrades!$U$10,I378),1)*IF(Upgrades!$T$11="Solar Wind",POWER(Upgrades!$U$11,J378),1)*IF(Upgrades!$T$12="Solar Wind",POWER(Upgrades!$U$12,K378),1))+(IF(F378=0,0,(Upgrades!$J$7+F378*Upgrades!$K$7)*POWER(Upgrades!$L$7,F378)))*(IF(Upgrades!$T$6="Asteroid Belt",POWER(Upgrades!$U$6,E378),1)*IF(Upgrades!$T$8="Asteroid Belt",POWER(Upgrades!$U$8,G378),1)*IF(Upgrades!$T$9="Asteroid Belt",POWER(Upgrades!$U$9,H378),1)*IF(Upgrades!$T$10="Asteroid Belt",POWER(Upgrades!$U$10,I378),1)*IF(Upgrades!$T$11="Asteroid Belt",POWER(Upgrades!$U$11,J378),1)*IF(Upgrades!$T$12="Asteroid Belt",POWER(Upgrades!$U$12,K378),1))+(IF(G378=0,0,(Upgrades!$J$8+G378*Upgrades!$K$8)*POWER(Upgrades!$L$8,G378)))*(IF(Upgrades!$T$6="Stellar Coupling",POWER(Upgrades!$U$6,E378),1)*IF(Upgrades!$T$7="Stellar Coupling",POWER(Upgrades!$U$7,F378),1)*IF(Upgrades!$T$9="Stellar Coupling",POWER(Upgrades!$U$9,H378),1)*IF(Upgrades!$T$10="Stellar Coupling",POWER(Upgrades!$U$10,I378),1)*IF(Upgrades!$T$11="Stellar Coupling",POWER(Upgrades!$U$11,J378),1)*IF(Upgrades!$T$12="Stellar Coupling",POWER(Upgrades!$U$12,K378),1))+(IF(H378=0,0,(Upgrades!$J$9+H378*Upgrades!$K$9)*POWER(Upgrades!$L$9,H378)))*(IF(Upgrades!$T$6="Magnetosphere",POWER(Upgrades!$U$6,E378),1)*IF(Upgrades!$T$7="Magnetosphere",POWER(Upgrades!$U$7,F378),1)*IF(Upgrades!$T$8="Magnetosphere",POWER(Upgrades!$U$8,G378),1)*IF(Upgrades!$T$10="Magnetosphere",POWER(Upgrades!$U$10,I378),1)*IF(Upgrades!$T$11="Magnetosphere",POWER(Upgrades!$U$11,J378),1)*IF(Upgrades!$T$12="Magnetosphere",POWER(Upgrades!$U$12,K378),1))+(IF(I378=0,0,(Upgrades!$J$10+I378*Upgrades!$K$10)*POWER(Upgrades!$L$10,I378)))*(IF(Upgrades!$T$6="Orbital Resonance",POWER(Upgrades!$U$6,E378),1)*IF(Upgrades!$T$7="Orbital Resonance",POWER(Upgrades!$U$7,F378),1)*IF(Upgrades!$T$8="Orbital Resonance",POWER(Upgrades!$U$8,G378),1)*IF(Upgrades!$T$9="Orbital Resonance",POWER(Upgrades!$U$9,H378),1)*IF(Upgrades!$T$11="Orbital Resonance",POWER(Upgrades!$U$11,J378),1)*IF(Upgrades!$T$12="Orbital Resonance",POWER(Upgrades!$U$12,K378),1))+(IF(J378=0,0,(Upgrades!$J$11+J378*Upgrades!$K$11)*POWER(Upgrades!$L$11,J378)))*(IF(Upgrades!$T$6="Heliopause",POWER(Upgrades!$U$6,E378),1)*IF(Upgrades!$T$7="Heliopause",POWER(Upgrades!$U$7,F378),1)*IF(Upgrades!$T$8="Heliopause",POWER(Upgrades!$U$8,G378),1)*IF(Upgrades!$T$9="Heliopause",POWER(Upgrades!$U$9,H378),1)*IF(Upgrades!$T$10="Heliopause",POWER(Upgrades!$U$10,I378),1)*IF(Upgrades!$T$12="Heliopause",POWER(Upgrades!$U$12,K378),1))+(IF(K378=0,0,(Upgrades!$J$12+K378*Upgrades!$K$12)*POWER(Upgrades!$L$12,K378)))*(IF(Upgrades!$T$6="First Photons",POWER(Upgrades!$U$6,E378),1)*IF(Upgrades!$T$7="First Photons",POWER(Upgrades!$U$7,F378),1)*IF(Upgrades!$T$8="First Photons",POWER(Upgrades!$U$8,G378),1)*IF(Upgrades!$T$9="First Photons",POWER(Upgrades!$U$9,H378),1)*IF(Upgrades!$T$10="First Photons",POWER(Upgrades!$U$10,I378),1)*IF(Upgrades!$T$11="First Photons",POWER(Upgrades!$U$11,J378),1)))*POWER(Upgrades!$Q$6,E378)*POWER(Upgrades!$Q$7,F378)*POWER(Upgrades!$Q$8,G378)*POWER(Upgrades!$Q$9,H378)*POWER(Upgrades!$Q$10,I378)*POWER(Upgrades!$Q$11,J378)*POWER(Upgrades!$Q$12,K378)</f>
        <v/>
      </c>
      <c r="N378" s="28">
        <f>((IF(E378=0,0,(Upgrades!$G$6+E378*Upgrades!$H$6)*POWER(Upgrades!$I$6,E378)))*(IF(Upgrades!$T$7="Solar Wind",POWER(Upgrades!$U$7,F378),1)*IF(Upgrades!$T$8="Solar Wind",POWER(Upgrades!$U$8,G378),1)*IF(Upgrades!$T$9="Solar Wind",POWER(Upgrades!$U$9,H378),1)*IF(Upgrades!$T$10="Solar Wind",POWER(Upgrades!$U$10,I378),1)*IF(Upgrades!$T$11="Solar Wind",POWER(Upgrades!$U$11,J378),1)*IF(Upgrades!$T$12="Solar Wind",POWER(Upgrades!$U$12,K378),1))+(IF(F378=0,0,(Upgrades!$G$7+F378*Upgrades!$H$7)*POWER(Upgrades!$I$7,F378)))*(IF(Upgrades!$T$6="Asteroid Belt",POWER(Upgrades!$U$6,E378),1)*IF(Upgrades!$T$8="Asteroid Belt",POWER(Upgrades!$U$8,G378),1)*IF(Upgrades!$T$9="Asteroid Belt",POWER(Upgrades!$U$9,H378),1)*IF(Upgrades!$T$10="Asteroid Belt",POWER(Upgrades!$U$10,I378),1)*IF(Upgrades!$T$11="Asteroid Belt",POWER(Upgrades!$U$11,J378),1)*IF(Upgrades!$T$12="Asteroid Belt",POWER(Upgrades!$U$12,K378),1))+(IF(G378=0,0,(Upgrades!$G$8+G378*Upgrades!$H$8)*POWER(Upgrades!$I$8,G378)))*(IF(Upgrades!$T$6="Stellar Coupling",POWER(Upgrades!$U$6,E378),1)*IF(Upgrades!$T$7="Stellar Coupling",POWER(Upgrades!$U$7,F378),1)*IF(Upgrades!$T$9="Stellar Coupling",POWER(Upgrades!$U$9,H378),1)*IF(Upgrades!$T$10="Stellar Coupling",POWER(Upgrades!$U$10,I378),1)*IF(Upgrades!$T$11="Stellar Coupling",POWER(Upgrades!$U$11,J378),1)*IF(Upgrades!$T$12="Stellar Coupling",POWER(Upgrades!$U$12,K378),1))+(IF(H378=0,0,(Upgrades!$G$9+H378*Upgrades!$H$9)*POWER(Upgrades!$I$9,H378)))*(IF(Upgrades!$T$6="Magnetosphere",POWER(Upgrades!$U$6,E378),1)*IF(Upgrades!$T$7="Magnetosphere",POWER(Upgrades!$U$7,F378),1)*IF(Upgrades!$T$8="Magnetosphere",POWER(Upgrades!$U$8,G378),1)*IF(Upgrades!$T$10="Magnetosphere",POWER(Upgrades!$U$10,I378),1)*IF(Upgrades!$T$11="Magnetosphere",POWER(Upgrades!$U$11,J378),1)*IF(Upgrades!$T$12="Magnetosphere",POWER(Upgrades!$U$12,K378),1))+(IF(I378=0,0,(Upgrades!$G$10+I378*Upgrades!$H$10)*POWER(Upgrades!$I$10,I378)))*(IF(Upgrades!$T$6="Orbital Resonance",POWER(Upgrades!$U$6,E378),1)*IF(Upgrades!$T$7="Orbital Resonance",POWER(Upgrades!$U$7,F378),1)*IF(Upgrades!$T$8="Orbital Resonance",POWER(Upgrades!$U$8,G378),1)*IF(Upgrades!$T$9="Orbital Resonance",POWER(Upgrades!$U$9,H378),1)*IF(Upgrades!$T$11="Orbital Resonance",POWER(Upgrades!$U$11,J378),1)*IF(Upgrades!$T$12="Orbital Resonance",POWER(Upgrades!$U$12,K378),1))+(IF(J378=0,0,(Upgrades!$G$11+J378*Upgrades!$H$11)*POWER(Upgrades!$I$11,J378)))*(IF(Upgrades!$T$6="Heliopause",POWER(Upgrades!$U$6,E378),1)*IF(Upgrades!$T$7="Heliopause",POWER(Upgrades!$U$7,F378),1)*IF(Upgrades!$T$8="Heliopause",POWER(Upgrades!$U$8,G378),1)*IF(Upgrades!$T$9="Heliopause",POWER(Upgrades!$U$9,H378),1)*IF(Upgrades!$T$10="Heliopause",POWER(Upgrades!$U$10,I378),1)*IF(Upgrades!$T$12="Heliopause",POWER(Upgrades!$U$12,K378),1))+(IF(K378=0,0,(Upgrades!$G$12+K378*Upgrades!$H$12)*POWER(Upgrades!$I$12,K378)))*(IF(Upgrades!$T$6="First Photons",POWER(Upgrades!$U$6,E378),1)*IF(Upgrades!$T$7="First Photons",POWER(Upgrades!$U$7,F378),1)*IF(Upgrades!$T$8="First Photons",POWER(Upgrades!$U$8,G378),1)*IF(Upgrades!$T$9="First Photons",POWER(Upgrades!$U$9,H378),1)*IF(Upgrades!$T$10="First Photons",POWER(Upgrades!$U$10,I378),1)*IF(Upgrades!$T$11="First Photons",POWER(Upgrades!$U$11,J378),1)))*POWER(Upgrades!$P$6,E378)*POWER(Upgrades!$P$7,F378)*POWER(Upgrades!$P$8,G378)*POWER(Upgrades!$P$9,H378)*POWER(Upgrades!$P$10,I378)*POWER(Upgrades!$P$11,J378)*POWER(Upgrades!$P$12,K378)</f>
        <v/>
      </c>
      <c r="O378" s="28">
        <f>((IF(E378=0,0,(Upgrades!$M$6+E378*Upgrades!$N$6)*POWER(Upgrades!$O$6,E378)))*(IF(Upgrades!$T$7="Solar Wind",POWER(Upgrades!$U$7,F378),1)*IF(Upgrades!$T$8="Solar Wind",POWER(Upgrades!$U$8,G378),1)*IF(Upgrades!$T$9="Solar Wind",POWER(Upgrades!$U$9,H378),1)*IF(Upgrades!$T$10="Solar Wind",POWER(Upgrades!$U$10,I378),1)*IF(Upgrades!$T$11="Solar Wind",POWER(Upgrades!$U$11,J378),1)*IF(Upgrades!$T$12="Solar Wind",POWER(Upgrades!$U$12,K378),1))+(IF(F378=0,0,(Upgrades!$M$7+F378*Upgrades!$N$7)*POWER(Upgrades!$O$7,F378)))*(IF(Upgrades!$T$6="Asteroid Belt",POWER(Upgrades!$U$6,E378),1)*IF(Upgrades!$T$8="Asteroid Belt",POWER(Upgrades!$U$8,G378),1)*IF(Upgrades!$T$9="Asteroid Belt",POWER(Upgrades!$U$9,H378),1)*IF(Upgrades!$T$10="Asteroid Belt",POWER(Upgrades!$U$10,I378),1)*IF(Upgrades!$T$11="Asteroid Belt",POWER(Upgrades!$U$11,J378),1)*IF(Upgrades!$T$12="Asteroid Belt",POWER(Upgrades!$U$12,K378),1))+(IF(G378=0,0,(Upgrades!$M$8+G378*Upgrades!$N$8)*POWER(Upgrades!$O$8,G378)))*(IF(Upgrades!$T$6="Stellar Coupling",POWER(Upgrades!$U$6,E378),1)*IF(Upgrades!$T$7="Stellar Coupling",POWER(Upgrades!$U$7,F378),1)*IF(Upgrades!$T$9="Stellar Coupling",POWER(Upgrades!$U$9,H378),1)*IF(Upgrades!$T$10="Stellar Coupling",POWER(Upgrades!$U$10,I378),1)*IF(Upgrades!$T$11="Stellar Coupling",POWER(Upgrades!$U$11,J378),1)*IF(Upgrades!$T$12="Stellar Coupling",POWER(Upgrades!$U$12,K378),1))+(IF(H378=0,0,(Upgrades!$M$9+H378*Upgrades!$N$9)*POWER(Upgrades!$O$9,H378)))*(IF(Upgrades!$T$6="Magnetosphere",POWER(Upgrades!$U$6,E378),1)*IF(Upgrades!$T$7="Magnetosphere",POWER(Upgrades!$U$7,F378),1)*IF(Upgrades!$T$8="Magnetosphere",POWER(Upgrades!$U$8,G378),1)*IF(Upgrades!$T$10="Magnetosphere",POWER(Upgrades!$U$10,I378),1)*IF(Upgrades!$T$11="Magnetosphere",POWER(Upgrades!$U$11,J378),1)*IF(Upgrades!$T$12="Magnetosphere",POWER(Upgrades!$U$12,K378),1))+(IF(I378=0,0,(Upgrades!$M$10+I378*Upgrades!$N$10)*POWER(Upgrades!$O$10,I378)))*(IF(Upgrades!$T$6="Orbital Resonance",POWER(Upgrades!$U$6,E378),1)*IF(Upgrades!$T$7="Orbital Resonance",POWER(Upgrades!$U$7,F378),1)*IF(Upgrades!$T$8="Orbital Resonance",POWER(Upgrades!$U$8,G378),1)*IF(Upgrades!$T$9="Orbital Resonance",POWER(Upgrades!$U$9,H378),1)*IF(Upgrades!$T$11="Orbital Resonance",POWER(Upgrades!$U$11,J378),1)*IF(Upgrades!$T$12="Orbital Resonance",POWER(Upgrades!$U$12,K378),1))+(IF(J378=0,0,(Upgrades!$M$11+J378*Upgrades!$N$11)*POWER(Upgrades!$O$11,J378)))*(IF(Upgrades!$T$6="Heliopause",POWER(Upgrades!$U$6,E378),1)*IF(Upgrades!$T$7="Heliopause",POWER(Upgrades!$U$7,F378),1)*IF(Upgrades!$T$8="Heliopause",POWER(Upgrades!$U$8,G378),1)*IF(Upgrades!$T$9="Heliopause",POWER(Upgrades!$U$9,H378),1)*IF(Upgrades!$T$10="Heliopause",POWER(Upgrades!$U$10,I378),1)*IF(Upgrades!$T$12="Heliopause",POWER(Upgrades!$U$12,K378),1))+(IF(K378=0,0,(Upgrades!$M$12+K378*Upgrades!$N$12)*POWER(Upgrades!$O$12,K378)))*(IF(Upgrades!$T$6="First Photons",POWER(Upgrades!$U$6,E378),1)*IF(Upgrades!$T$7="First Photons",POWER(Upgrades!$U$7,F378),1)*IF(Upgrades!$T$8="First Photons",POWER(Upgrades!$U$8,G378),1)*IF(Upgrades!$T$9="First Photons",POWER(Upgrades!$U$9,H378),1)*IF(Upgrades!$T$10="First Photons",POWER(Upgrades!$U$10,I378),1)*IF(Upgrades!$T$11="First Photons",POWER(Upgrades!$U$11,J378),1)))*POWER(Upgrades!$R$6,E378)*POWER(Upgrades!$R$7,F378)*POWER(Upgrades!$R$8,G378)*POWER(Upgrades!$R$9,H378)*POWER(Upgrades!$R$10,I378)*POWER(Upgrades!$R$11,J378)*POWER(Upgrades!$R$12,K378)</f>
        <v/>
      </c>
      <c r="P378" s="27">
        <f>IF(L378=1,0,M378*Parameters!$B$10/60*Parameters!$B$11*10)</f>
        <v/>
      </c>
      <c r="Q378" s="27">
        <f>IF(L378=1,0,O378*M378*10)</f>
        <v/>
      </c>
      <c r="R378" s="27">
        <f>IF(L378=1,0,N378*10)</f>
        <v/>
      </c>
      <c r="S378" s="27">
        <f>P378+Q378+R378</f>
        <v/>
      </c>
      <c r="T378" s="22">
        <f>C378+S378</f>
        <v/>
      </c>
      <c r="U378" s="33">
        <f>AX378</f>
        <v/>
      </c>
      <c r="V378" s="22">
        <f>IF(U378="",0,IF(U378="transition",0,IF(U378="SW",AG378,IF(U378="AB",AH378,IF(U378="SC",AI378,IF(U378="Mag",AJ378,IF(U378="OR",AK378,IF(U378="HP",AL378,IF(U378="FP",AM378,0)))))))))</f>
        <v/>
      </c>
      <c r="W378" s="27">
        <f>IF(U378="OR",Upgrades!$F$10,IF(U378="HP",Upgrades!$F$11,IF(U378="transition",-Parameters!$B$18,0)))</f>
        <v/>
      </c>
      <c r="X378" s="22">
        <f>T378-V378</f>
        <v/>
      </c>
      <c r="Y378" s="30">
        <f>M378*Parameters!$B$10/60*Parameters!$B$11+O378*M378+N378</f>
        <v/>
      </c>
      <c r="Z378" s="34">
        <f>IF(U378="transition","→ Tier 2 (Stellar Neighborhood)",IF(U378="FP","First Photons — light begins, system quickens",IF(U378="HP","Heliopause acquired",IF(U378="OR","Orbital Resonance — passive multiplier active",IF(AND(AO378=1,L378=0,AN378&lt;&gt;1),"Cohesion ready (waiting on completionist upgrades)","")))))</f>
        <v/>
      </c>
      <c r="AA378" s="27">
        <f>(IF(E378=0,0,(Upgrades!$G$6+E378*Upgrades!$H$6)*POWER(Upgrades!$I$6,E378)))*(IF(Upgrades!$T$7="Solar Wind",POWER(Upgrades!$U$7,F378),1)*IF(Upgrades!$T$8="Solar Wind",POWER(Upgrades!$U$8,G378),1)*IF(Upgrades!$T$9="Solar Wind",POWER(Upgrades!$U$9,H378),1)*IF(Upgrades!$T$10="Solar Wind",POWER(Upgrades!$U$10,I378),1)*IF(Upgrades!$T$11="Solar Wind",POWER(Upgrades!$U$11,J378),1)*IF(Upgrades!$T$12="Solar Wind",POWER(Upgrades!$U$12,K378),1))*POWER(Upgrades!$P$6,E378)*POWER(Upgrades!$P$7,F378)*POWER(Upgrades!$P$8,G378)*POWER(Upgrades!$P$9,H378)*POWER(Upgrades!$P$10,I378)*POWER(Upgrades!$P$11,J378)*POWER(Upgrades!$P$12,K378)*60</f>
        <v/>
      </c>
      <c r="AB378" s="27">
        <f>(IF(F378=0,0,(Upgrades!$G$7+F378*Upgrades!$H$7)*POWER(Upgrades!$I$7,F378)))*(IF(Upgrades!$T$6="Asteroid Belt",POWER(Upgrades!$U$6,E378),1)*IF(Upgrades!$T$8="Asteroid Belt",POWER(Upgrades!$U$8,G378),1)*IF(Upgrades!$T$9="Asteroid Belt",POWER(Upgrades!$U$9,H378),1)*IF(Upgrades!$T$10="Asteroid Belt",POWER(Upgrades!$U$10,I378),1)*IF(Upgrades!$T$11="Asteroid Belt",POWER(Upgrades!$U$11,J378),1)*IF(Upgrades!$T$12="Asteroid Belt",POWER(Upgrades!$U$12,K378),1))*POWER(Upgrades!$P$6,E378)*POWER(Upgrades!$P$7,F378)*POWER(Upgrades!$P$8,G378)*POWER(Upgrades!$P$9,H378)*POWER(Upgrades!$P$10,I378)*POWER(Upgrades!$P$11,J378)*POWER(Upgrades!$P$12,K378)*60</f>
        <v/>
      </c>
      <c r="AC378" s="27">
        <f>(IF(G378=0,0,(Upgrades!$J$8+G378*Upgrades!$K$8)*POWER(Upgrades!$L$8,G378)))*(IF(Upgrades!$T$6="Stellar Coupling",POWER(Upgrades!$U$6,E378),1)*IF(Upgrades!$T$7="Stellar Coupling",POWER(Upgrades!$U$7,F378),1)*IF(Upgrades!$T$9="Stellar Coupling",POWER(Upgrades!$U$9,H378),1)*IF(Upgrades!$T$10="Stellar Coupling",POWER(Upgrades!$U$10,I378),1)*IF(Upgrades!$T$11="Stellar Coupling",POWER(Upgrades!$U$11,J378),1)*IF(Upgrades!$T$12="Stellar Coupling",POWER(Upgrades!$U$12,K378),1))*POWER(Upgrades!$Q$6,E378)*POWER(Upgrades!$Q$7,F378)*POWER(Upgrades!$Q$8,G378)*POWER(Upgrades!$Q$9,H378)*POWER(Upgrades!$Q$10,I378)*POWER(Upgrades!$Q$11,J378)*POWER(Upgrades!$Q$12,K378)*Parameters!$B$10*Parameters!$B$11</f>
        <v/>
      </c>
      <c r="AD378" s="27">
        <f>(IF(H378=0,0,(Upgrades!$G$9+H378*Upgrades!$H$9)*POWER(Upgrades!$I$9,H378)))*(IF(Upgrades!$T$6="Magnetosphere",POWER(Upgrades!$U$6,E378),1)*IF(Upgrades!$T$7="Magnetosphere",POWER(Upgrades!$U$7,F378),1)*IF(Upgrades!$T$8="Magnetosphere",POWER(Upgrades!$U$8,G378),1)*IF(Upgrades!$T$10="Magnetosphere",POWER(Upgrades!$U$10,I378),1)*IF(Upgrades!$T$11="Magnetosphere",POWER(Upgrades!$U$11,J378),1)*IF(Upgrades!$T$12="Magnetosphere",POWER(Upgrades!$U$12,K378),1))*POWER(Upgrades!$P$6,E378)*POWER(Upgrades!$P$7,F378)*POWER(Upgrades!$P$8,G378)*POWER(Upgrades!$P$9,H378)*POWER(Upgrades!$P$10,I378)*POWER(Upgrades!$P$11,J378)*POWER(Upgrades!$P$12,K378)*60</f>
        <v/>
      </c>
      <c r="AE378" s="27">
        <f>(IF(K378=0,0,(Upgrades!$G$12+K378*Upgrades!$H$12)*POWER(Upgrades!$I$12,K378)))*(IF(Upgrades!$T$6="First Photons",POWER(Upgrades!$U$6,E378),1)*IF(Upgrades!$T$7="First Photons",POWER(Upgrades!$U$7,F378),1)*IF(Upgrades!$T$8="First Photons",POWER(Upgrades!$U$8,G378),1)*IF(Upgrades!$T$9="First Photons",POWER(Upgrades!$U$9,H378),1)*IF(Upgrades!$T$10="First Photons",POWER(Upgrades!$U$10,I378),1)*IF(Upgrades!$T$11="First Photons",POWER(Upgrades!$U$11,J378),1))*POWER(Upgrades!$P$6,E378)*POWER(Upgrades!$P$7,F378)*POWER(Upgrades!$P$8,G378)*POWER(Upgrades!$P$9,H378)*POWER(Upgrades!$P$10,I378)*POWER(Upgrades!$P$11,J378)*POWER(Upgrades!$P$12,K378)*60</f>
        <v/>
      </c>
      <c r="AF378" s="27">
        <f>Parameters!$B$9*POWER(Upgrades!$Q$6,E378)*POWER(Upgrades!$Q$7,F378)*POWER(Upgrades!$Q$8,G378)*POWER(Upgrades!$Q$9,H378)*POWER(Upgrades!$Q$10,I378)*POWER(Upgrades!$Q$11,J378)*POWER(Upgrades!$Q$12,K378)*(Parameters!$B$10*Parameters!$B$11+O378*60)</f>
        <v/>
      </c>
      <c r="AG378" s="22">
        <f>IF(E378&gt;=Upgrades!$E$6,"",Upgrades!$C$6*POWER(Upgrades!$D$6,E378))</f>
        <v/>
      </c>
      <c r="AH378" s="22">
        <f>IF(F378&gt;=Upgrades!$E$7,"",Upgrades!$C$7*POWER(Upgrades!$D$7,F378))</f>
        <v/>
      </c>
      <c r="AI378" s="22">
        <f>IF(G378&gt;=Upgrades!$E$8,"",Upgrades!$C$8*POWER(Upgrades!$D$8,G378))</f>
        <v/>
      </c>
      <c r="AJ378" s="22">
        <f>IF(H378&gt;=Upgrades!$E$9,"",Upgrades!$C$9*POWER(Upgrades!$D$9,H378))</f>
        <v/>
      </c>
      <c r="AK378" s="22">
        <f>IF(I378&gt;=Upgrades!$E$10,"",Upgrades!$C$10*POWER(Upgrades!$D$10,I378))</f>
        <v/>
      </c>
      <c r="AL378" s="22">
        <f>IF(J378&gt;=Upgrades!$E$11,"",Upgrades!$C$11*POWER(Upgrades!$D$11,J378))</f>
        <v/>
      </c>
      <c r="AM378" s="22">
        <f>IF(K378&gt;=Upgrades!$E$12,"",Upgrades!$C$12*POWER(Upgrades!$D$12,K378))</f>
        <v/>
      </c>
      <c r="AN378" s="26">
        <f>IF(AND(D378&gt;=Parameters!$B$18,(H378&gt;=Upgrades!$E$9)*(K378&gt;=Upgrades!$E$12)=1,L378=0),1,"")</f>
        <v/>
      </c>
      <c r="AO378" s="26">
        <f>IF(AND(D378&gt;=Parameters!$B$18,L378=0),1,"")</f>
        <v/>
      </c>
      <c r="AP378" s="22">
        <f>MIN(IF(ISNUMBER(AK378),AK378,9E15),IF(ISNUMBER(AL378),AL378,9E15),IF(ISNUMBER(AM378),AM378,9E15))</f>
        <v/>
      </c>
      <c r="AQ378" s="22">
        <f>MIN(IF(ISNUMBER(AG378),AG378,9E15),IF(ISNUMBER(AH378),AH378,9E15),IF(ISNUMBER(AI378),AI378,9E15),IF(ISNUMBER(AJ378),AJ378,9E15))</f>
        <v/>
      </c>
      <c r="AR378" s="29">
        <f>IF(AW378&gt;Parameters!$B$21*(MAX(IF(AND(NOT(AND(AO378=1,AN378&lt;&gt;1)),ISNUMBER(AG378),AG378&lt;=T378),AS378,0),IF(AND(NOT(AND(AO378=1,AN378&lt;&gt;1)),ISNUMBER(AH378),AH378&lt;=T378),AT378,0),IF(AND(NOT(AND(AO378=1,AN378&lt;&gt;1)),ISNUMBER(AI378),AI378&lt;=T378),AU378,0),IF(AND(ISNUMBER(AJ378),AJ378&lt;=T378),AV378,0))),TRUE,FALSE)</f>
        <v/>
      </c>
      <c r="AS378" s="32">
        <f>IFERROR(Upgrades!$H$6*(POWER(Upgrades!$P$6,E378)*POWER(Upgrades!$P$7,F378)*POWER(Upgrades!$P$8,G378)*POWER(Upgrades!$P$9,H378)*POWER(Upgrades!$P$10,I378)*POWER(Upgrades!$P$11,J378)*POWER(Upgrades!$P$12,K378))*(IF(Upgrades!$T$7="Solar Wind",POWER(Upgrades!$U$7,F378),1)*IF(Upgrades!$T$8="Solar Wind",POWER(Upgrades!$U$8,G378),1)*IF(Upgrades!$T$9="Solar Wind",POWER(Upgrades!$U$9,H378),1)*IF(Upgrades!$T$10="Solar Wind",POWER(Upgrades!$U$10,I378),1)*IF(Upgrades!$T$11="Solar Wind",POWER(Upgrades!$U$11,J378),1)*IF(Upgrades!$T$12="Solar Wind",POWER(Upgrades!$U$12,K378),1))/AG378,0)</f>
        <v/>
      </c>
      <c r="AT378" s="32">
        <f>IFERROR(Upgrades!$H$7*(POWER(Upgrades!$P$6,E378)*POWER(Upgrades!$P$7,F378)*POWER(Upgrades!$P$8,G378)*POWER(Upgrades!$P$9,H378)*POWER(Upgrades!$P$10,I378)*POWER(Upgrades!$P$11,J378)*POWER(Upgrades!$P$12,K378))*(IF(Upgrades!$T$6="Asteroid Belt",POWER(Upgrades!$U$6,E378),1)*IF(Upgrades!$T$8="Asteroid Belt",POWER(Upgrades!$U$8,G378),1)*IF(Upgrades!$T$9="Asteroid Belt",POWER(Upgrades!$U$9,H378),1)*IF(Upgrades!$T$10="Asteroid Belt",POWER(Upgrades!$U$10,I378),1)*IF(Upgrades!$T$11="Asteroid Belt",POWER(Upgrades!$U$11,J378),1)*IF(Upgrades!$T$12="Asteroid Belt",POWER(Upgrades!$U$12,K378),1))/AH378,0)</f>
        <v/>
      </c>
      <c r="AU378" s="32">
        <f>IFERROR(Upgrades!$K$8*(POWER(Upgrades!$Q$6,E378)*POWER(Upgrades!$Q$7,F378)*POWER(Upgrades!$Q$8,G378)*POWER(Upgrades!$Q$9,H378)*POWER(Upgrades!$Q$10,I378)*POWER(Upgrades!$Q$11,J378)*POWER(Upgrades!$Q$12,K378))*(IF(Upgrades!$T$6="Stellar Coupling",POWER(Upgrades!$U$6,E378),1)*IF(Upgrades!$T$7="Stellar Coupling",POWER(Upgrades!$U$7,F378),1)*IF(Upgrades!$T$9="Stellar Coupling",POWER(Upgrades!$U$9,H378),1)*IF(Upgrades!$T$10="Stellar Coupling",POWER(Upgrades!$U$10,I378),1)*IF(Upgrades!$T$11="Stellar Coupling",POWER(Upgrades!$U$11,J378),1)*IF(Upgrades!$T$12="Stellar Coupling",POWER(Upgrades!$U$12,K378),1))*Parameters!$B$10*Parameters!$B$11/60/AI378,0)</f>
        <v/>
      </c>
      <c r="AV378" s="32">
        <f>IFERROR(Upgrades!$H$9*(POWER(Upgrades!$P$6,E378)*POWER(Upgrades!$P$7,F378)*POWER(Upgrades!$P$8,G378)*POWER(Upgrades!$P$9,H378)*POWER(Upgrades!$P$10,I378)*POWER(Upgrades!$P$11,J378)*POWER(Upgrades!$P$12,K378))*(IF(Upgrades!$T$6="Magnetosphere",POWER(Upgrades!$U$6,E378),1)*IF(Upgrades!$T$7="Magnetosphere",POWER(Upgrades!$U$7,F378),1)*IF(Upgrades!$T$8="Magnetosphere",POWER(Upgrades!$U$8,G378),1)*IF(Upgrades!$T$10="Magnetosphere",POWER(Upgrades!$U$10,I378),1)*IF(Upgrades!$T$11="Magnetosphere",POWER(Upgrades!$U$11,J378),1)*IF(Upgrades!$T$12="Magnetosphere",POWER(Upgrades!$U$12,K378),1))/AJ378,0)</f>
        <v/>
      </c>
      <c r="AW378" s="32">
        <f>MAX(IF(I378&gt;0,0,IFERROR(0.25*N378/Upgrades!$C$10,0)),IF(J378&gt;0,0,IFERROR(0.5*((IF(G378=0,0,(Upgrades!$J$8+G378*Upgrades!$K$8)*POWER(Upgrades!$L$8,G378)))*(IF(Upgrades!$T$6="Stellar Coupling",POWER(Upgrades!$U$6,E378),1)*IF(Upgrades!$T$7="Stellar Coupling",POWER(Upgrades!$U$7,F378),1)*IF(Upgrades!$T$9="Stellar Coupling",POWER(Upgrades!$U$9,H378),1)*IF(Upgrades!$T$10="Stellar Coupling",POWER(Upgrades!$U$10,I378),1)*IF(Upgrades!$T$11="Stellar Coupling",POWER(Upgrades!$U$11,J378),1)*IF(Upgrades!$T$12="Stellar Coupling",POWER(Upgrades!$U$12,K378),1))*(POWER(Upgrades!$Q$6,E378)*POWER(Upgrades!$Q$7,F378)*POWER(Upgrades!$Q$8,G378)*POWER(Upgrades!$Q$9,H378)*POWER(Upgrades!$Q$10,I378)*POWER(Upgrades!$Q$11,J378)*POWER(Upgrades!$Q$12,K378))*Parameters!$B$10*Parameters!$B$11/60)/Upgrades!$C$11,0)),IF(K378&gt;0,0,IFERROR((1.0*(POWER(Upgrades!$P$6,E378)*POWER(Upgrades!$P$7,F378)*POWER(Upgrades!$P$8,G378)*POWER(Upgrades!$P$9,H378)*POWER(Upgrades!$P$10,I378)*POWER(Upgrades!$P$11,J378)*POWER(Upgrades!$P$12,K378))+0.20*M378*Parameters!$B$10*Parameters!$B$11/60)/Upgrades!$C$12,0)),IF(AND(ISNUMBER(AG378),AG378&gt;T378),AS378,0),IF(AND(ISNUMBER(AH378),AH378&gt;T378),AT378,0),IF(AND(ISNUMBER(AI378),AI378&gt;T378),AU378,0),IF(AND(ISNUMBER(AJ378),AJ378&gt;T378),AV378,0))</f>
        <v/>
      </c>
      <c r="AX378" s="29">
        <f>IF(AN378=1,"transition",IF(MIN(IF(AND(I378=0,ISNUMBER(AK378),AK378&lt;=T378),AK378,9E15),IF(AND(J378=0,ISNUMBER(AL378),AL378&lt;=T378),AL378,9E15),IF(AND(K378=0,ISNUMBER(AM378),AM378&lt;=T378),AM378,9E15))&lt;9E15,IF(AND(AND(I378=0,ISNUMBER(AK378),AK378&lt;=T378),AK378=MIN(IF(AND(I378=0,ISNUMBER(AK378),AK378&lt;=T378),AK378,9E15),IF(AND(J378=0,ISNUMBER(AL378),AL378&lt;=T378),AL378,9E15),IF(AND(K378=0,ISNUMBER(AM378),AM378&lt;=T378),AM378,9E15))),"OR",IF(AND(AND(J378=0,ISNUMBER(AL378),AL378&lt;=T378),AL378=MIN(IF(AND(I378=0,ISNUMBER(AK378),AK378&lt;=T378),AK378,9E15),IF(AND(J378=0,ISNUMBER(AL378),AL378&lt;=T378),AL378,9E15),IF(AND(K378=0,ISNUMBER(AM378),AM378&lt;=T378),AM378,9E15))),"HP","FP")),IF(AR378=TRUE,"",IF(MAX(IF(AND(NOT(AND(AO378=1,AN378&lt;&gt;1)),ISNUMBER(AG378),AG378&lt;=T378),AS378,0),IF(AND(NOT(AND(AO378=1,AN378&lt;&gt;1)),ISNUMBER(AH378),AH378&lt;=T378),AT378,0),IF(AND(NOT(AND(AO378=1,AN378&lt;&gt;1)),ISNUMBER(AI378),AI378&lt;=T378),AU378,0),IF(AND(ISNUMBER(AJ378),AJ378&lt;=T378),AV378,0))&lt;=0,"",IF(AND(IF(AND(NOT(AND(AO378=1,AN378&lt;&gt;1)),ISNUMBER(AG378),AG378&lt;=T378),AS378,0)&gt;0,IF(AND(NOT(AND(AO378=1,AN378&lt;&gt;1)),ISNUMBER(AG378),AG378&lt;=T378),AS378,0)=MAX(IF(AND(NOT(AND(AO378=1,AN378&lt;&gt;1)),ISNUMBER(AG378),AG378&lt;=T378),AS378,0),IF(AND(NOT(AND(AO378=1,AN378&lt;&gt;1)),ISNUMBER(AH378),AH378&lt;=T378),AT378,0),IF(AND(NOT(AND(AO378=1,AN378&lt;&gt;1)),ISNUMBER(AI378),AI378&lt;=T378),AU378,0),IF(AND(ISNUMBER(AJ378),AJ378&lt;=T378),AV378,0))),"SW",IF(AND(IF(AND(NOT(AND(AO378=1,AN378&lt;&gt;1)),ISNUMBER(AH378),AH378&lt;=T378),AT378,0)&gt;0,IF(AND(NOT(AND(AO378=1,AN378&lt;&gt;1)),ISNUMBER(AH378),AH378&lt;=T378),AT378,0)=MAX(IF(AND(NOT(AND(AO378=1,AN378&lt;&gt;1)),ISNUMBER(AG378),AG378&lt;=T378),AS378,0),IF(AND(NOT(AND(AO378=1,AN378&lt;&gt;1)),ISNUMBER(AH378),AH378&lt;=T378),AT378,0),IF(AND(NOT(AND(AO378=1,AN378&lt;&gt;1)),ISNUMBER(AI378),AI378&lt;=T378),AU378,0),IF(AND(ISNUMBER(AJ378),AJ378&lt;=T378),AV378,0))),"AB",IF(AND(IF(AND(NOT(AND(AO378=1,AN378&lt;&gt;1)),ISNUMBER(AI378),AI378&lt;=T378),AU378,0)&gt;0,IF(AND(NOT(AND(AO378=1,AN378&lt;&gt;1)),ISNUMBER(AI378),AI378&lt;=T378),AU378,0)=MAX(IF(AND(NOT(AND(AO378=1,AN378&lt;&gt;1)),ISNUMBER(AG378),AG378&lt;=T378),AS378,0),IF(AND(NOT(AND(AO378=1,AN378&lt;&gt;1)),ISNUMBER(AH378),AH378&lt;=T378),AT378,0),IF(AND(NOT(AND(AO378=1,AN378&lt;&gt;1)),ISNUMBER(AI378),AI378&lt;=T378),AU378,0),IF(AND(ISNUMBER(AJ378),AJ378&lt;=T378),AV378,0))),"SC","Mag")))))))</f>
        <v/>
      </c>
    </row>
    <row r="379">
      <c r="A379" s="26" t="n">
        <v>374</v>
      </c>
      <c r="B379" s="27">
        <f>A379*10/60</f>
        <v/>
      </c>
      <c r="C379" s="22">
        <f>X378</f>
        <v/>
      </c>
      <c r="D379" s="27">
        <f>D378+W378</f>
        <v/>
      </c>
      <c r="E379" s="26">
        <f>E378+IF(U378="SW",1,0)</f>
        <v/>
      </c>
      <c r="F379" s="26">
        <f>F378+IF(U378="AB",1,0)</f>
        <v/>
      </c>
      <c r="G379" s="26">
        <f>G378+IF(U378="SC",1,0)</f>
        <v/>
      </c>
      <c r="H379" s="26">
        <f>H378+IF(U378="Mag",1,0)</f>
        <v/>
      </c>
      <c r="I379" s="26">
        <f>MAX(I378,IF(U378="OR",1,0))</f>
        <v/>
      </c>
      <c r="J379" s="26">
        <f>MAX(J378,IF(U378="HP",1,0))</f>
        <v/>
      </c>
      <c r="K379" s="26">
        <f>MAX(K378,IF(U378="FP",1,0))</f>
        <v/>
      </c>
      <c r="L379" s="26">
        <f>MAX(L378,IF(U378="transition",1,0))</f>
        <v/>
      </c>
      <c r="M379" s="28">
        <f>(Parameters!$B$9+(IF(E379=0,0,(Upgrades!$J$6+E379*Upgrades!$K$6)*POWER(Upgrades!$L$6,E379)))*(IF(Upgrades!$T$7="Solar Wind",POWER(Upgrades!$U$7,F379),1)*IF(Upgrades!$T$8="Solar Wind",POWER(Upgrades!$U$8,G379),1)*IF(Upgrades!$T$9="Solar Wind",POWER(Upgrades!$U$9,H379),1)*IF(Upgrades!$T$10="Solar Wind",POWER(Upgrades!$U$10,I379),1)*IF(Upgrades!$T$11="Solar Wind",POWER(Upgrades!$U$11,J379),1)*IF(Upgrades!$T$12="Solar Wind",POWER(Upgrades!$U$12,K379),1))+(IF(F379=0,0,(Upgrades!$J$7+F379*Upgrades!$K$7)*POWER(Upgrades!$L$7,F379)))*(IF(Upgrades!$T$6="Asteroid Belt",POWER(Upgrades!$U$6,E379),1)*IF(Upgrades!$T$8="Asteroid Belt",POWER(Upgrades!$U$8,G379),1)*IF(Upgrades!$T$9="Asteroid Belt",POWER(Upgrades!$U$9,H379),1)*IF(Upgrades!$T$10="Asteroid Belt",POWER(Upgrades!$U$10,I379),1)*IF(Upgrades!$T$11="Asteroid Belt",POWER(Upgrades!$U$11,J379),1)*IF(Upgrades!$T$12="Asteroid Belt",POWER(Upgrades!$U$12,K379),1))+(IF(G379=0,0,(Upgrades!$J$8+G379*Upgrades!$K$8)*POWER(Upgrades!$L$8,G379)))*(IF(Upgrades!$T$6="Stellar Coupling",POWER(Upgrades!$U$6,E379),1)*IF(Upgrades!$T$7="Stellar Coupling",POWER(Upgrades!$U$7,F379),1)*IF(Upgrades!$T$9="Stellar Coupling",POWER(Upgrades!$U$9,H379),1)*IF(Upgrades!$T$10="Stellar Coupling",POWER(Upgrades!$U$10,I379),1)*IF(Upgrades!$T$11="Stellar Coupling",POWER(Upgrades!$U$11,J379),1)*IF(Upgrades!$T$12="Stellar Coupling",POWER(Upgrades!$U$12,K379),1))+(IF(H379=0,0,(Upgrades!$J$9+H379*Upgrades!$K$9)*POWER(Upgrades!$L$9,H379)))*(IF(Upgrades!$T$6="Magnetosphere",POWER(Upgrades!$U$6,E379),1)*IF(Upgrades!$T$7="Magnetosphere",POWER(Upgrades!$U$7,F379),1)*IF(Upgrades!$T$8="Magnetosphere",POWER(Upgrades!$U$8,G379),1)*IF(Upgrades!$T$10="Magnetosphere",POWER(Upgrades!$U$10,I379),1)*IF(Upgrades!$T$11="Magnetosphere",POWER(Upgrades!$U$11,J379),1)*IF(Upgrades!$T$12="Magnetosphere",POWER(Upgrades!$U$12,K379),1))+(IF(I379=0,0,(Upgrades!$J$10+I379*Upgrades!$K$10)*POWER(Upgrades!$L$10,I379)))*(IF(Upgrades!$T$6="Orbital Resonance",POWER(Upgrades!$U$6,E379),1)*IF(Upgrades!$T$7="Orbital Resonance",POWER(Upgrades!$U$7,F379),1)*IF(Upgrades!$T$8="Orbital Resonance",POWER(Upgrades!$U$8,G379),1)*IF(Upgrades!$T$9="Orbital Resonance",POWER(Upgrades!$U$9,H379),1)*IF(Upgrades!$T$11="Orbital Resonance",POWER(Upgrades!$U$11,J379),1)*IF(Upgrades!$T$12="Orbital Resonance",POWER(Upgrades!$U$12,K379),1))+(IF(J379=0,0,(Upgrades!$J$11+J379*Upgrades!$K$11)*POWER(Upgrades!$L$11,J379)))*(IF(Upgrades!$T$6="Heliopause",POWER(Upgrades!$U$6,E379),1)*IF(Upgrades!$T$7="Heliopause",POWER(Upgrades!$U$7,F379),1)*IF(Upgrades!$T$8="Heliopause",POWER(Upgrades!$U$8,G379),1)*IF(Upgrades!$T$9="Heliopause",POWER(Upgrades!$U$9,H379),1)*IF(Upgrades!$T$10="Heliopause",POWER(Upgrades!$U$10,I379),1)*IF(Upgrades!$T$12="Heliopause",POWER(Upgrades!$U$12,K379),1))+(IF(K379=0,0,(Upgrades!$J$12+K379*Upgrades!$K$12)*POWER(Upgrades!$L$12,K379)))*(IF(Upgrades!$T$6="First Photons",POWER(Upgrades!$U$6,E379),1)*IF(Upgrades!$T$7="First Photons",POWER(Upgrades!$U$7,F379),1)*IF(Upgrades!$T$8="First Photons",POWER(Upgrades!$U$8,G379),1)*IF(Upgrades!$T$9="First Photons",POWER(Upgrades!$U$9,H379),1)*IF(Upgrades!$T$10="First Photons",POWER(Upgrades!$U$10,I379),1)*IF(Upgrades!$T$11="First Photons",POWER(Upgrades!$U$11,J379),1)))*POWER(Upgrades!$Q$6,E379)*POWER(Upgrades!$Q$7,F379)*POWER(Upgrades!$Q$8,G379)*POWER(Upgrades!$Q$9,H379)*POWER(Upgrades!$Q$10,I379)*POWER(Upgrades!$Q$11,J379)*POWER(Upgrades!$Q$12,K379)</f>
        <v/>
      </c>
      <c r="N379" s="28">
        <f>((IF(E379=0,0,(Upgrades!$G$6+E379*Upgrades!$H$6)*POWER(Upgrades!$I$6,E379)))*(IF(Upgrades!$T$7="Solar Wind",POWER(Upgrades!$U$7,F379),1)*IF(Upgrades!$T$8="Solar Wind",POWER(Upgrades!$U$8,G379),1)*IF(Upgrades!$T$9="Solar Wind",POWER(Upgrades!$U$9,H379),1)*IF(Upgrades!$T$10="Solar Wind",POWER(Upgrades!$U$10,I379),1)*IF(Upgrades!$T$11="Solar Wind",POWER(Upgrades!$U$11,J379),1)*IF(Upgrades!$T$12="Solar Wind",POWER(Upgrades!$U$12,K379),1))+(IF(F379=0,0,(Upgrades!$G$7+F379*Upgrades!$H$7)*POWER(Upgrades!$I$7,F379)))*(IF(Upgrades!$T$6="Asteroid Belt",POWER(Upgrades!$U$6,E379),1)*IF(Upgrades!$T$8="Asteroid Belt",POWER(Upgrades!$U$8,G379),1)*IF(Upgrades!$T$9="Asteroid Belt",POWER(Upgrades!$U$9,H379),1)*IF(Upgrades!$T$10="Asteroid Belt",POWER(Upgrades!$U$10,I379),1)*IF(Upgrades!$T$11="Asteroid Belt",POWER(Upgrades!$U$11,J379),1)*IF(Upgrades!$T$12="Asteroid Belt",POWER(Upgrades!$U$12,K379),1))+(IF(G379=0,0,(Upgrades!$G$8+G379*Upgrades!$H$8)*POWER(Upgrades!$I$8,G379)))*(IF(Upgrades!$T$6="Stellar Coupling",POWER(Upgrades!$U$6,E379),1)*IF(Upgrades!$T$7="Stellar Coupling",POWER(Upgrades!$U$7,F379),1)*IF(Upgrades!$T$9="Stellar Coupling",POWER(Upgrades!$U$9,H379),1)*IF(Upgrades!$T$10="Stellar Coupling",POWER(Upgrades!$U$10,I379),1)*IF(Upgrades!$T$11="Stellar Coupling",POWER(Upgrades!$U$11,J379),1)*IF(Upgrades!$T$12="Stellar Coupling",POWER(Upgrades!$U$12,K379),1))+(IF(H379=0,0,(Upgrades!$G$9+H379*Upgrades!$H$9)*POWER(Upgrades!$I$9,H379)))*(IF(Upgrades!$T$6="Magnetosphere",POWER(Upgrades!$U$6,E379),1)*IF(Upgrades!$T$7="Magnetosphere",POWER(Upgrades!$U$7,F379),1)*IF(Upgrades!$T$8="Magnetosphere",POWER(Upgrades!$U$8,G379),1)*IF(Upgrades!$T$10="Magnetosphere",POWER(Upgrades!$U$10,I379),1)*IF(Upgrades!$T$11="Magnetosphere",POWER(Upgrades!$U$11,J379),1)*IF(Upgrades!$T$12="Magnetosphere",POWER(Upgrades!$U$12,K379),1))+(IF(I379=0,0,(Upgrades!$G$10+I379*Upgrades!$H$10)*POWER(Upgrades!$I$10,I379)))*(IF(Upgrades!$T$6="Orbital Resonance",POWER(Upgrades!$U$6,E379),1)*IF(Upgrades!$T$7="Orbital Resonance",POWER(Upgrades!$U$7,F379),1)*IF(Upgrades!$T$8="Orbital Resonance",POWER(Upgrades!$U$8,G379),1)*IF(Upgrades!$T$9="Orbital Resonance",POWER(Upgrades!$U$9,H379),1)*IF(Upgrades!$T$11="Orbital Resonance",POWER(Upgrades!$U$11,J379),1)*IF(Upgrades!$T$12="Orbital Resonance",POWER(Upgrades!$U$12,K379),1))+(IF(J379=0,0,(Upgrades!$G$11+J379*Upgrades!$H$11)*POWER(Upgrades!$I$11,J379)))*(IF(Upgrades!$T$6="Heliopause",POWER(Upgrades!$U$6,E379),1)*IF(Upgrades!$T$7="Heliopause",POWER(Upgrades!$U$7,F379),1)*IF(Upgrades!$T$8="Heliopause",POWER(Upgrades!$U$8,G379),1)*IF(Upgrades!$T$9="Heliopause",POWER(Upgrades!$U$9,H379),1)*IF(Upgrades!$T$10="Heliopause",POWER(Upgrades!$U$10,I379),1)*IF(Upgrades!$T$12="Heliopause",POWER(Upgrades!$U$12,K379),1))+(IF(K379=0,0,(Upgrades!$G$12+K379*Upgrades!$H$12)*POWER(Upgrades!$I$12,K379)))*(IF(Upgrades!$T$6="First Photons",POWER(Upgrades!$U$6,E379),1)*IF(Upgrades!$T$7="First Photons",POWER(Upgrades!$U$7,F379),1)*IF(Upgrades!$T$8="First Photons",POWER(Upgrades!$U$8,G379),1)*IF(Upgrades!$T$9="First Photons",POWER(Upgrades!$U$9,H379),1)*IF(Upgrades!$T$10="First Photons",POWER(Upgrades!$U$10,I379),1)*IF(Upgrades!$T$11="First Photons",POWER(Upgrades!$U$11,J379),1)))*POWER(Upgrades!$P$6,E379)*POWER(Upgrades!$P$7,F379)*POWER(Upgrades!$P$8,G379)*POWER(Upgrades!$P$9,H379)*POWER(Upgrades!$P$10,I379)*POWER(Upgrades!$P$11,J379)*POWER(Upgrades!$P$12,K379)</f>
        <v/>
      </c>
      <c r="O379" s="28">
        <f>((IF(E379=0,0,(Upgrades!$M$6+E379*Upgrades!$N$6)*POWER(Upgrades!$O$6,E379)))*(IF(Upgrades!$T$7="Solar Wind",POWER(Upgrades!$U$7,F379),1)*IF(Upgrades!$T$8="Solar Wind",POWER(Upgrades!$U$8,G379),1)*IF(Upgrades!$T$9="Solar Wind",POWER(Upgrades!$U$9,H379),1)*IF(Upgrades!$T$10="Solar Wind",POWER(Upgrades!$U$10,I379),1)*IF(Upgrades!$T$11="Solar Wind",POWER(Upgrades!$U$11,J379),1)*IF(Upgrades!$T$12="Solar Wind",POWER(Upgrades!$U$12,K379),1))+(IF(F379=0,0,(Upgrades!$M$7+F379*Upgrades!$N$7)*POWER(Upgrades!$O$7,F379)))*(IF(Upgrades!$T$6="Asteroid Belt",POWER(Upgrades!$U$6,E379),1)*IF(Upgrades!$T$8="Asteroid Belt",POWER(Upgrades!$U$8,G379),1)*IF(Upgrades!$T$9="Asteroid Belt",POWER(Upgrades!$U$9,H379),1)*IF(Upgrades!$T$10="Asteroid Belt",POWER(Upgrades!$U$10,I379),1)*IF(Upgrades!$T$11="Asteroid Belt",POWER(Upgrades!$U$11,J379),1)*IF(Upgrades!$T$12="Asteroid Belt",POWER(Upgrades!$U$12,K379),1))+(IF(G379=0,0,(Upgrades!$M$8+G379*Upgrades!$N$8)*POWER(Upgrades!$O$8,G379)))*(IF(Upgrades!$T$6="Stellar Coupling",POWER(Upgrades!$U$6,E379),1)*IF(Upgrades!$T$7="Stellar Coupling",POWER(Upgrades!$U$7,F379),1)*IF(Upgrades!$T$9="Stellar Coupling",POWER(Upgrades!$U$9,H379),1)*IF(Upgrades!$T$10="Stellar Coupling",POWER(Upgrades!$U$10,I379),1)*IF(Upgrades!$T$11="Stellar Coupling",POWER(Upgrades!$U$11,J379),1)*IF(Upgrades!$T$12="Stellar Coupling",POWER(Upgrades!$U$12,K379),1))+(IF(H379=0,0,(Upgrades!$M$9+H379*Upgrades!$N$9)*POWER(Upgrades!$O$9,H379)))*(IF(Upgrades!$T$6="Magnetosphere",POWER(Upgrades!$U$6,E379),1)*IF(Upgrades!$T$7="Magnetosphere",POWER(Upgrades!$U$7,F379),1)*IF(Upgrades!$T$8="Magnetosphere",POWER(Upgrades!$U$8,G379),1)*IF(Upgrades!$T$10="Magnetosphere",POWER(Upgrades!$U$10,I379),1)*IF(Upgrades!$T$11="Magnetosphere",POWER(Upgrades!$U$11,J379),1)*IF(Upgrades!$T$12="Magnetosphere",POWER(Upgrades!$U$12,K379),1))+(IF(I379=0,0,(Upgrades!$M$10+I379*Upgrades!$N$10)*POWER(Upgrades!$O$10,I379)))*(IF(Upgrades!$T$6="Orbital Resonance",POWER(Upgrades!$U$6,E379),1)*IF(Upgrades!$T$7="Orbital Resonance",POWER(Upgrades!$U$7,F379),1)*IF(Upgrades!$T$8="Orbital Resonance",POWER(Upgrades!$U$8,G379),1)*IF(Upgrades!$T$9="Orbital Resonance",POWER(Upgrades!$U$9,H379),1)*IF(Upgrades!$T$11="Orbital Resonance",POWER(Upgrades!$U$11,J379),1)*IF(Upgrades!$T$12="Orbital Resonance",POWER(Upgrades!$U$12,K379),1))+(IF(J379=0,0,(Upgrades!$M$11+J379*Upgrades!$N$11)*POWER(Upgrades!$O$11,J379)))*(IF(Upgrades!$T$6="Heliopause",POWER(Upgrades!$U$6,E379),1)*IF(Upgrades!$T$7="Heliopause",POWER(Upgrades!$U$7,F379),1)*IF(Upgrades!$T$8="Heliopause",POWER(Upgrades!$U$8,G379),1)*IF(Upgrades!$T$9="Heliopause",POWER(Upgrades!$U$9,H379),1)*IF(Upgrades!$T$10="Heliopause",POWER(Upgrades!$U$10,I379),1)*IF(Upgrades!$T$12="Heliopause",POWER(Upgrades!$U$12,K379),1))+(IF(K379=0,0,(Upgrades!$M$12+K379*Upgrades!$N$12)*POWER(Upgrades!$O$12,K379)))*(IF(Upgrades!$T$6="First Photons",POWER(Upgrades!$U$6,E379),1)*IF(Upgrades!$T$7="First Photons",POWER(Upgrades!$U$7,F379),1)*IF(Upgrades!$T$8="First Photons",POWER(Upgrades!$U$8,G379),1)*IF(Upgrades!$T$9="First Photons",POWER(Upgrades!$U$9,H379),1)*IF(Upgrades!$T$10="First Photons",POWER(Upgrades!$U$10,I379),1)*IF(Upgrades!$T$11="First Photons",POWER(Upgrades!$U$11,J379),1)))*POWER(Upgrades!$R$6,E379)*POWER(Upgrades!$R$7,F379)*POWER(Upgrades!$R$8,G379)*POWER(Upgrades!$R$9,H379)*POWER(Upgrades!$R$10,I379)*POWER(Upgrades!$R$11,J379)*POWER(Upgrades!$R$12,K379)</f>
        <v/>
      </c>
      <c r="P379" s="27">
        <f>IF(L379=1,0,M379*Parameters!$B$10/60*Parameters!$B$11*10)</f>
        <v/>
      </c>
      <c r="Q379" s="27">
        <f>IF(L379=1,0,O379*M379*10)</f>
        <v/>
      </c>
      <c r="R379" s="27">
        <f>IF(L379=1,0,N379*10)</f>
        <v/>
      </c>
      <c r="S379" s="27">
        <f>P379+Q379+R379</f>
        <v/>
      </c>
      <c r="T379" s="22">
        <f>C379+S379</f>
        <v/>
      </c>
      <c r="U379" s="33">
        <f>AX379</f>
        <v/>
      </c>
      <c r="V379" s="22">
        <f>IF(U379="",0,IF(U379="transition",0,IF(U379="SW",AG379,IF(U379="AB",AH379,IF(U379="SC",AI379,IF(U379="Mag",AJ379,IF(U379="OR",AK379,IF(U379="HP",AL379,IF(U379="FP",AM379,0)))))))))</f>
        <v/>
      </c>
      <c r="W379" s="27">
        <f>IF(U379="OR",Upgrades!$F$10,IF(U379="HP",Upgrades!$F$11,IF(U379="transition",-Parameters!$B$18,0)))</f>
        <v/>
      </c>
      <c r="X379" s="22">
        <f>T379-V379</f>
        <v/>
      </c>
      <c r="Y379" s="30">
        <f>M379*Parameters!$B$10/60*Parameters!$B$11+O379*M379+N379</f>
        <v/>
      </c>
      <c r="Z379" s="34">
        <f>IF(U379="transition","→ Tier 2 (Stellar Neighborhood)",IF(U379="FP","First Photons — light begins, system quickens",IF(U379="HP","Heliopause acquired",IF(U379="OR","Orbital Resonance — passive multiplier active",IF(AND(AO379=1,L379=0,AN379&lt;&gt;1),"Cohesion ready (waiting on completionist upgrades)","")))))</f>
        <v/>
      </c>
      <c r="AA379" s="27">
        <f>(IF(E379=0,0,(Upgrades!$G$6+E379*Upgrades!$H$6)*POWER(Upgrades!$I$6,E379)))*(IF(Upgrades!$T$7="Solar Wind",POWER(Upgrades!$U$7,F379),1)*IF(Upgrades!$T$8="Solar Wind",POWER(Upgrades!$U$8,G379),1)*IF(Upgrades!$T$9="Solar Wind",POWER(Upgrades!$U$9,H379),1)*IF(Upgrades!$T$10="Solar Wind",POWER(Upgrades!$U$10,I379),1)*IF(Upgrades!$T$11="Solar Wind",POWER(Upgrades!$U$11,J379),1)*IF(Upgrades!$T$12="Solar Wind",POWER(Upgrades!$U$12,K379),1))*POWER(Upgrades!$P$6,E379)*POWER(Upgrades!$P$7,F379)*POWER(Upgrades!$P$8,G379)*POWER(Upgrades!$P$9,H379)*POWER(Upgrades!$P$10,I379)*POWER(Upgrades!$P$11,J379)*POWER(Upgrades!$P$12,K379)*60</f>
        <v/>
      </c>
      <c r="AB379" s="27">
        <f>(IF(F379=0,0,(Upgrades!$G$7+F379*Upgrades!$H$7)*POWER(Upgrades!$I$7,F379)))*(IF(Upgrades!$T$6="Asteroid Belt",POWER(Upgrades!$U$6,E379),1)*IF(Upgrades!$T$8="Asteroid Belt",POWER(Upgrades!$U$8,G379),1)*IF(Upgrades!$T$9="Asteroid Belt",POWER(Upgrades!$U$9,H379),1)*IF(Upgrades!$T$10="Asteroid Belt",POWER(Upgrades!$U$10,I379),1)*IF(Upgrades!$T$11="Asteroid Belt",POWER(Upgrades!$U$11,J379),1)*IF(Upgrades!$T$12="Asteroid Belt",POWER(Upgrades!$U$12,K379),1))*POWER(Upgrades!$P$6,E379)*POWER(Upgrades!$P$7,F379)*POWER(Upgrades!$P$8,G379)*POWER(Upgrades!$P$9,H379)*POWER(Upgrades!$P$10,I379)*POWER(Upgrades!$P$11,J379)*POWER(Upgrades!$P$12,K379)*60</f>
        <v/>
      </c>
      <c r="AC379" s="27">
        <f>(IF(G379=0,0,(Upgrades!$J$8+G379*Upgrades!$K$8)*POWER(Upgrades!$L$8,G379)))*(IF(Upgrades!$T$6="Stellar Coupling",POWER(Upgrades!$U$6,E379),1)*IF(Upgrades!$T$7="Stellar Coupling",POWER(Upgrades!$U$7,F379),1)*IF(Upgrades!$T$9="Stellar Coupling",POWER(Upgrades!$U$9,H379),1)*IF(Upgrades!$T$10="Stellar Coupling",POWER(Upgrades!$U$10,I379),1)*IF(Upgrades!$T$11="Stellar Coupling",POWER(Upgrades!$U$11,J379),1)*IF(Upgrades!$T$12="Stellar Coupling",POWER(Upgrades!$U$12,K379),1))*POWER(Upgrades!$Q$6,E379)*POWER(Upgrades!$Q$7,F379)*POWER(Upgrades!$Q$8,G379)*POWER(Upgrades!$Q$9,H379)*POWER(Upgrades!$Q$10,I379)*POWER(Upgrades!$Q$11,J379)*POWER(Upgrades!$Q$12,K379)*Parameters!$B$10*Parameters!$B$11</f>
        <v/>
      </c>
      <c r="AD379" s="27">
        <f>(IF(H379=0,0,(Upgrades!$G$9+H379*Upgrades!$H$9)*POWER(Upgrades!$I$9,H379)))*(IF(Upgrades!$T$6="Magnetosphere",POWER(Upgrades!$U$6,E379),1)*IF(Upgrades!$T$7="Magnetosphere",POWER(Upgrades!$U$7,F379),1)*IF(Upgrades!$T$8="Magnetosphere",POWER(Upgrades!$U$8,G379),1)*IF(Upgrades!$T$10="Magnetosphere",POWER(Upgrades!$U$10,I379),1)*IF(Upgrades!$T$11="Magnetosphere",POWER(Upgrades!$U$11,J379),1)*IF(Upgrades!$T$12="Magnetosphere",POWER(Upgrades!$U$12,K379),1))*POWER(Upgrades!$P$6,E379)*POWER(Upgrades!$P$7,F379)*POWER(Upgrades!$P$8,G379)*POWER(Upgrades!$P$9,H379)*POWER(Upgrades!$P$10,I379)*POWER(Upgrades!$P$11,J379)*POWER(Upgrades!$P$12,K379)*60</f>
        <v/>
      </c>
      <c r="AE379" s="27">
        <f>(IF(K379=0,0,(Upgrades!$G$12+K379*Upgrades!$H$12)*POWER(Upgrades!$I$12,K379)))*(IF(Upgrades!$T$6="First Photons",POWER(Upgrades!$U$6,E379),1)*IF(Upgrades!$T$7="First Photons",POWER(Upgrades!$U$7,F379),1)*IF(Upgrades!$T$8="First Photons",POWER(Upgrades!$U$8,G379),1)*IF(Upgrades!$T$9="First Photons",POWER(Upgrades!$U$9,H379),1)*IF(Upgrades!$T$10="First Photons",POWER(Upgrades!$U$10,I379),1)*IF(Upgrades!$T$11="First Photons",POWER(Upgrades!$U$11,J379),1))*POWER(Upgrades!$P$6,E379)*POWER(Upgrades!$P$7,F379)*POWER(Upgrades!$P$8,G379)*POWER(Upgrades!$P$9,H379)*POWER(Upgrades!$P$10,I379)*POWER(Upgrades!$P$11,J379)*POWER(Upgrades!$P$12,K379)*60</f>
        <v/>
      </c>
      <c r="AF379" s="27">
        <f>Parameters!$B$9*POWER(Upgrades!$Q$6,E379)*POWER(Upgrades!$Q$7,F379)*POWER(Upgrades!$Q$8,G379)*POWER(Upgrades!$Q$9,H379)*POWER(Upgrades!$Q$10,I379)*POWER(Upgrades!$Q$11,J379)*POWER(Upgrades!$Q$12,K379)*(Parameters!$B$10*Parameters!$B$11+O379*60)</f>
        <v/>
      </c>
      <c r="AG379" s="22">
        <f>IF(E379&gt;=Upgrades!$E$6,"",Upgrades!$C$6*POWER(Upgrades!$D$6,E379))</f>
        <v/>
      </c>
      <c r="AH379" s="22">
        <f>IF(F379&gt;=Upgrades!$E$7,"",Upgrades!$C$7*POWER(Upgrades!$D$7,F379))</f>
        <v/>
      </c>
      <c r="AI379" s="22">
        <f>IF(G379&gt;=Upgrades!$E$8,"",Upgrades!$C$8*POWER(Upgrades!$D$8,G379))</f>
        <v/>
      </c>
      <c r="AJ379" s="22">
        <f>IF(H379&gt;=Upgrades!$E$9,"",Upgrades!$C$9*POWER(Upgrades!$D$9,H379))</f>
        <v/>
      </c>
      <c r="AK379" s="22">
        <f>IF(I379&gt;=Upgrades!$E$10,"",Upgrades!$C$10*POWER(Upgrades!$D$10,I379))</f>
        <v/>
      </c>
      <c r="AL379" s="22">
        <f>IF(J379&gt;=Upgrades!$E$11,"",Upgrades!$C$11*POWER(Upgrades!$D$11,J379))</f>
        <v/>
      </c>
      <c r="AM379" s="22">
        <f>IF(K379&gt;=Upgrades!$E$12,"",Upgrades!$C$12*POWER(Upgrades!$D$12,K379))</f>
        <v/>
      </c>
      <c r="AN379" s="26">
        <f>IF(AND(D379&gt;=Parameters!$B$18,(H379&gt;=Upgrades!$E$9)*(K379&gt;=Upgrades!$E$12)=1,L379=0),1,"")</f>
        <v/>
      </c>
      <c r="AO379" s="26">
        <f>IF(AND(D379&gt;=Parameters!$B$18,L379=0),1,"")</f>
        <v/>
      </c>
      <c r="AP379" s="22">
        <f>MIN(IF(ISNUMBER(AK379),AK379,9E15),IF(ISNUMBER(AL379),AL379,9E15),IF(ISNUMBER(AM379),AM379,9E15))</f>
        <v/>
      </c>
      <c r="AQ379" s="22">
        <f>MIN(IF(ISNUMBER(AG379),AG379,9E15),IF(ISNUMBER(AH379),AH379,9E15),IF(ISNUMBER(AI379),AI379,9E15),IF(ISNUMBER(AJ379),AJ379,9E15))</f>
        <v/>
      </c>
      <c r="AR379" s="29">
        <f>IF(AW379&gt;Parameters!$B$21*(MAX(IF(AND(NOT(AND(AO379=1,AN379&lt;&gt;1)),ISNUMBER(AG379),AG379&lt;=T379),AS379,0),IF(AND(NOT(AND(AO379=1,AN379&lt;&gt;1)),ISNUMBER(AH379),AH379&lt;=T379),AT379,0),IF(AND(NOT(AND(AO379=1,AN379&lt;&gt;1)),ISNUMBER(AI379),AI379&lt;=T379),AU379,0),IF(AND(ISNUMBER(AJ379),AJ379&lt;=T379),AV379,0))),TRUE,FALSE)</f>
        <v/>
      </c>
      <c r="AS379" s="32">
        <f>IFERROR(Upgrades!$H$6*(POWER(Upgrades!$P$6,E379)*POWER(Upgrades!$P$7,F379)*POWER(Upgrades!$P$8,G379)*POWER(Upgrades!$P$9,H379)*POWER(Upgrades!$P$10,I379)*POWER(Upgrades!$P$11,J379)*POWER(Upgrades!$P$12,K379))*(IF(Upgrades!$T$7="Solar Wind",POWER(Upgrades!$U$7,F379),1)*IF(Upgrades!$T$8="Solar Wind",POWER(Upgrades!$U$8,G379),1)*IF(Upgrades!$T$9="Solar Wind",POWER(Upgrades!$U$9,H379),1)*IF(Upgrades!$T$10="Solar Wind",POWER(Upgrades!$U$10,I379),1)*IF(Upgrades!$T$11="Solar Wind",POWER(Upgrades!$U$11,J379),1)*IF(Upgrades!$T$12="Solar Wind",POWER(Upgrades!$U$12,K379),1))/AG379,0)</f>
        <v/>
      </c>
      <c r="AT379" s="32">
        <f>IFERROR(Upgrades!$H$7*(POWER(Upgrades!$P$6,E379)*POWER(Upgrades!$P$7,F379)*POWER(Upgrades!$P$8,G379)*POWER(Upgrades!$P$9,H379)*POWER(Upgrades!$P$10,I379)*POWER(Upgrades!$P$11,J379)*POWER(Upgrades!$P$12,K379))*(IF(Upgrades!$T$6="Asteroid Belt",POWER(Upgrades!$U$6,E379),1)*IF(Upgrades!$T$8="Asteroid Belt",POWER(Upgrades!$U$8,G379),1)*IF(Upgrades!$T$9="Asteroid Belt",POWER(Upgrades!$U$9,H379),1)*IF(Upgrades!$T$10="Asteroid Belt",POWER(Upgrades!$U$10,I379),1)*IF(Upgrades!$T$11="Asteroid Belt",POWER(Upgrades!$U$11,J379),1)*IF(Upgrades!$T$12="Asteroid Belt",POWER(Upgrades!$U$12,K379),1))/AH379,0)</f>
        <v/>
      </c>
      <c r="AU379" s="32">
        <f>IFERROR(Upgrades!$K$8*(POWER(Upgrades!$Q$6,E379)*POWER(Upgrades!$Q$7,F379)*POWER(Upgrades!$Q$8,G379)*POWER(Upgrades!$Q$9,H379)*POWER(Upgrades!$Q$10,I379)*POWER(Upgrades!$Q$11,J379)*POWER(Upgrades!$Q$12,K379))*(IF(Upgrades!$T$6="Stellar Coupling",POWER(Upgrades!$U$6,E379),1)*IF(Upgrades!$T$7="Stellar Coupling",POWER(Upgrades!$U$7,F379),1)*IF(Upgrades!$T$9="Stellar Coupling",POWER(Upgrades!$U$9,H379),1)*IF(Upgrades!$T$10="Stellar Coupling",POWER(Upgrades!$U$10,I379),1)*IF(Upgrades!$T$11="Stellar Coupling",POWER(Upgrades!$U$11,J379),1)*IF(Upgrades!$T$12="Stellar Coupling",POWER(Upgrades!$U$12,K379),1))*Parameters!$B$10*Parameters!$B$11/60/AI379,0)</f>
        <v/>
      </c>
      <c r="AV379" s="32">
        <f>IFERROR(Upgrades!$H$9*(POWER(Upgrades!$P$6,E379)*POWER(Upgrades!$P$7,F379)*POWER(Upgrades!$P$8,G379)*POWER(Upgrades!$P$9,H379)*POWER(Upgrades!$P$10,I379)*POWER(Upgrades!$P$11,J379)*POWER(Upgrades!$P$12,K379))*(IF(Upgrades!$T$6="Magnetosphere",POWER(Upgrades!$U$6,E379),1)*IF(Upgrades!$T$7="Magnetosphere",POWER(Upgrades!$U$7,F379),1)*IF(Upgrades!$T$8="Magnetosphere",POWER(Upgrades!$U$8,G379),1)*IF(Upgrades!$T$10="Magnetosphere",POWER(Upgrades!$U$10,I379),1)*IF(Upgrades!$T$11="Magnetosphere",POWER(Upgrades!$U$11,J379),1)*IF(Upgrades!$T$12="Magnetosphere",POWER(Upgrades!$U$12,K379),1))/AJ379,0)</f>
        <v/>
      </c>
      <c r="AW379" s="32">
        <f>MAX(IF(I379&gt;0,0,IFERROR(0.25*N379/Upgrades!$C$10,0)),IF(J379&gt;0,0,IFERROR(0.5*((IF(G379=0,0,(Upgrades!$J$8+G379*Upgrades!$K$8)*POWER(Upgrades!$L$8,G379)))*(IF(Upgrades!$T$6="Stellar Coupling",POWER(Upgrades!$U$6,E379),1)*IF(Upgrades!$T$7="Stellar Coupling",POWER(Upgrades!$U$7,F379),1)*IF(Upgrades!$T$9="Stellar Coupling",POWER(Upgrades!$U$9,H379),1)*IF(Upgrades!$T$10="Stellar Coupling",POWER(Upgrades!$U$10,I379),1)*IF(Upgrades!$T$11="Stellar Coupling",POWER(Upgrades!$U$11,J379),1)*IF(Upgrades!$T$12="Stellar Coupling",POWER(Upgrades!$U$12,K379),1))*(POWER(Upgrades!$Q$6,E379)*POWER(Upgrades!$Q$7,F379)*POWER(Upgrades!$Q$8,G379)*POWER(Upgrades!$Q$9,H379)*POWER(Upgrades!$Q$10,I379)*POWER(Upgrades!$Q$11,J379)*POWER(Upgrades!$Q$12,K379))*Parameters!$B$10*Parameters!$B$11/60)/Upgrades!$C$11,0)),IF(K379&gt;0,0,IFERROR((1.0*(POWER(Upgrades!$P$6,E379)*POWER(Upgrades!$P$7,F379)*POWER(Upgrades!$P$8,G379)*POWER(Upgrades!$P$9,H379)*POWER(Upgrades!$P$10,I379)*POWER(Upgrades!$P$11,J379)*POWER(Upgrades!$P$12,K379))+0.20*M379*Parameters!$B$10*Parameters!$B$11/60)/Upgrades!$C$12,0)),IF(AND(ISNUMBER(AG379),AG379&gt;T379),AS379,0),IF(AND(ISNUMBER(AH379),AH379&gt;T379),AT379,0),IF(AND(ISNUMBER(AI379),AI379&gt;T379),AU379,0),IF(AND(ISNUMBER(AJ379),AJ379&gt;T379),AV379,0))</f>
        <v/>
      </c>
      <c r="AX379" s="29">
        <f>IF(AN379=1,"transition",IF(MIN(IF(AND(I379=0,ISNUMBER(AK379),AK379&lt;=T379),AK379,9E15),IF(AND(J379=0,ISNUMBER(AL379),AL379&lt;=T379),AL379,9E15),IF(AND(K379=0,ISNUMBER(AM379),AM379&lt;=T379),AM379,9E15))&lt;9E15,IF(AND(AND(I379=0,ISNUMBER(AK379),AK379&lt;=T379),AK379=MIN(IF(AND(I379=0,ISNUMBER(AK379),AK379&lt;=T379),AK379,9E15),IF(AND(J379=0,ISNUMBER(AL379),AL379&lt;=T379),AL379,9E15),IF(AND(K379=0,ISNUMBER(AM379),AM379&lt;=T379),AM379,9E15))),"OR",IF(AND(AND(J379=0,ISNUMBER(AL379),AL379&lt;=T379),AL379=MIN(IF(AND(I379=0,ISNUMBER(AK379),AK379&lt;=T379),AK379,9E15),IF(AND(J379=0,ISNUMBER(AL379),AL379&lt;=T379),AL379,9E15),IF(AND(K379=0,ISNUMBER(AM379),AM379&lt;=T379),AM379,9E15))),"HP","FP")),IF(AR379=TRUE,"",IF(MAX(IF(AND(NOT(AND(AO379=1,AN379&lt;&gt;1)),ISNUMBER(AG379),AG379&lt;=T379),AS379,0),IF(AND(NOT(AND(AO379=1,AN379&lt;&gt;1)),ISNUMBER(AH379),AH379&lt;=T379),AT379,0),IF(AND(NOT(AND(AO379=1,AN379&lt;&gt;1)),ISNUMBER(AI379),AI379&lt;=T379),AU379,0),IF(AND(ISNUMBER(AJ379),AJ379&lt;=T379),AV379,0))&lt;=0,"",IF(AND(IF(AND(NOT(AND(AO379=1,AN379&lt;&gt;1)),ISNUMBER(AG379),AG379&lt;=T379),AS379,0)&gt;0,IF(AND(NOT(AND(AO379=1,AN379&lt;&gt;1)),ISNUMBER(AG379),AG379&lt;=T379),AS379,0)=MAX(IF(AND(NOT(AND(AO379=1,AN379&lt;&gt;1)),ISNUMBER(AG379),AG379&lt;=T379),AS379,0),IF(AND(NOT(AND(AO379=1,AN379&lt;&gt;1)),ISNUMBER(AH379),AH379&lt;=T379),AT379,0),IF(AND(NOT(AND(AO379=1,AN379&lt;&gt;1)),ISNUMBER(AI379),AI379&lt;=T379),AU379,0),IF(AND(ISNUMBER(AJ379),AJ379&lt;=T379),AV379,0))),"SW",IF(AND(IF(AND(NOT(AND(AO379=1,AN379&lt;&gt;1)),ISNUMBER(AH379),AH379&lt;=T379),AT379,0)&gt;0,IF(AND(NOT(AND(AO379=1,AN379&lt;&gt;1)),ISNUMBER(AH379),AH379&lt;=T379),AT379,0)=MAX(IF(AND(NOT(AND(AO379=1,AN379&lt;&gt;1)),ISNUMBER(AG379),AG379&lt;=T379),AS379,0),IF(AND(NOT(AND(AO379=1,AN379&lt;&gt;1)),ISNUMBER(AH379),AH379&lt;=T379),AT379,0),IF(AND(NOT(AND(AO379=1,AN379&lt;&gt;1)),ISNUMBER(AI379),AI379&lt;=T379),AU379,0),IF(AND(ISNUMBER(AJ379),AJ379&lt;=T379),AV379,0))),"AB",IF(AND(IF(AND(NOT(AND(AO379=1,AN379&lt;&gt;1)),ISNUMBER(AI379),AI379&lt;=T379),AU379,0)&gt;0,IF(AND(NOT(AND(AO379=1,AN379&lt;&gt;1)),ISNUMBER(AI379),AI379&lt;=T379),AU379,0)=MAX(IF(AND(NOT(AND(AO379=1,AN379&lt;&gt;1)),ISNUMBER(AG379),AG379&lt;=T379),AS379,0),IF(AND(NOT(AND(AO379=1,AN379&lt;&gt;1)),ISNUMBER(AH379),AH379&lt;=T379),AT379,0),IF(AND(NOT(AND(AO379=1,AN379&lt;&gt;1)),ISNUMBER(AI379),AI379&lt;=T379),AU379,0),IF(AND(ISNUMBER(AJ379),AJ379&lt;=T379),AV379,0))),"SC","Mag")))))))</f>
        <v/>
      </c>
    </row>
    <row r="380">
      <c r="A380" s="26" t="n">
        <v>375</v>
      </c>
      <c r="B380" s="27">
        <f>A380*10/60</f>
        <v/>
      </c>
      <c r="C380" s="22">
        <f>X379</f>
        <v/>
      </c>
      <c r="D380" s="27">
        <f>D379+W379</f>
        <v/>
      </c>
      <c r="E380" s="26">
        <f>E379+IF(U379="SW",1,0)</f>
        <v/>
      </c>
      <c r="F380" s="26">
        <f>F379+IF(U379="AB",1,0)</f>
        <v/>
      </c>
      <c r="G380" s="26">
        <f>G379+IF(U379="SC",1,0)</f>
        <v/>
      </c>
      <c r="H380" s="26">
        <f>H379+IF(U379="Mag",1,0)</f>
        <v/>
      </c>
      <c r="I380" s="26">
        <f>MAX(I379,IF(U379="OR",1,0))</f>
        <v/>
      </c>
      <c r="J380" s="26">
        <f>MAX(J379,IF(U379="HP",1,0))</f>
        <v/>
      </c>
      <c r="K380" s="26">
        <f>MAX(K379,IF(U379="FP",1,0))</f>
        <v/>
      </c>
      <c r="L380" s="26">
        <f>MAX(L379,IF(U379="transition",1,0))</f>
        <v/>
      </c>
      <c r="M380" s="28">
        <f>(Parameters!$B$9+(IF(E380=0,0,(Upgrades!$J$6+E380*Upgrades!$K$6)*POWER(Upgrades!$L$6,E380)))*(IF(Upgrades!$T$7="Solar Wind",POWER(Upgrades!$U$7,F380),1)*IF(Upgrades!$T$8="Solar Wind",POWER(Upgrades!$U$8,G380),1)*IF(Upgrades!$T$9="Solar Wind",POWER(Upgrades!$U$9,H380),1)*IF(Upgrades!$T$10="Solar Wind",POWER(Upgrades!$U$10,I380),1)*IF(Upgrades!$T$11="Solar Wind",POWER(Upgrades!$U$11,J380),1)*IF(Upgrades!$T$12="Solar Wind",POWER(Upgrades!$U$12,K380),1))+(IF(F380=0,0,(Upgrades!$J$7+F380*Upgrades!$K$7)*POWER(Upgrades!$L$7,F380)))*(IF(Upgrades!$T$6="Asteroid Belt",POWER(Upgrades!$U$6,E380),1)*IF(Upgrades!$T$8="Asteroid Belt",POWER(Upgrades!$U$8,G380),1)*IF(Upgrades!$T$9="Asteroid Belt",POWER(Upgrades!$U$9,H380),1)*IF(Upgrades!$T$10="Asteroid Belt",POWER(Upgrades!$U$10,I380),1)*IF(Upgrades!$T$11="Asteroid Belt",POWER(Upgrades!$U$11,J380),1)*IF(Upgrades!$T$12="Asteroid Belt",POWER(Upgrades!$U$12,K380),1))+(IF(G380=0,0,(Upgrades!$J$8+G380*Upgrades!$K$8)*POWER(Upgrades!$L$8,G380)))*(IF(Upgrades!$T$6="Stellar Coupling",POWER(Upgrades!$U$6,E380),1)*IF(Upgrades!$T$7="Stellar Coupling",POWER(Upgrades!$U$7,F380),1)*IF(Upgrades!$T$9="Stellar Coupling",POWER(Upgrades!$U$9,H380),1)*IF(Upgrades!$T$10="Stellar Coupling",POWER(Upgrades!$U$10,I380),1)*IF(Upgrades!$T$11="Stellar Coupling",POWER(Upgrades!$U$11,J380),1)*IF(Upgrades!$T$12="Stellar Coupling",POWER(Upgrades!$U$12,K380),1))+(IF(H380=0,0,(Upgrades!$J$9+H380*Upgrades!$K$9)*POWER(Upgrades!$L$9,H380)))*(IF(Upgrades!$T$6="Magnetosphere",POWER(Upgrades!$U$6,E380),1)*IF(Upgrades!$T$7="Magnetosphere",POWER(Upgrades!$U$7,F380),1)*IF(Upgrades!$T$8="Magnetosphere",POWER(Upgrades!$U$8,G380),1)*IF(Upgrades!$T$10="Magnetosphere",POWER(Upgrades!$U$10,I380),1)*IF(Upgrades!$T$11="Magnetosphere",POWER(Upgrades!$U$11,J380),1)*IF(Upgrades!$T$12="Magnetosphere",POWER(Upgrades!$U$12,K380),1))+(IF(I380=0,0,(Upgrades!$J$10+I380*Upgrades!$K$10)*POWER(Upgrades!$L$10,I380)))*(IF(Upgrades!$T$6="Orbital Resonance",POWER(Upgrades!$U$6,E380),1)*IF(Upgrades!$T$7="Orbital Resonance",POWER(Upgrades!$U$7,F380),1)*IF(Upgrades!$T$8="Orbital Resonance",POWER(Upgrades!$U$8,G380),1)*IF(Upgrades!$T$9="Orbital Resonance",POWER(Upgrades!$U$9,H380),1)*IF(Upgrades!$T$11="Orbital Resonance",POWER(Upgrades!$U$11,J380),1)*IF(Upgrades!$T$12="Orbital Resonance",POWER(Upgrades!$U$12,K380),1))+(IF(J380=0,0,(Upgrades!$J$11+J380*Upgrades!$K$11)*POWER(Upgrades!$L$11,J380)))*(IF(Upgrades!$T$6="Heliopause",POWER(Upgrades!$U$6,E380),1)*IF(Upgrades!$T$7="Heliopause",POWER(Upgrades!$U$7,F380),1)*IF(Upgrades!$T$8="Heliopause",POWER(Upgrades!$U$8,G380),1)*IF(Upgrades!$T$9="Heliopause",POWER(Upgrades!$U$9,H380),1)*IF(Upgrades!$T$10="Heliopause",POWER(Upgrades!$U$10,I380),1)*IF(Upgrades!$T$12="Heliopause",POWER(Upgrades!$U$12,K380),1))+(IF(K380=0,0,(Upgrades!$J$12+K380*Upgrades!$K$12)*POWER(Upgrades!$L$12,K380)))*(IF(Upgrades!$T$6="First Photons",POWER(Upgrades!$U$6,E380),1)*IF(Upgrades!$T$7="First Photons",POWER(Upgrades!$U$7,F380),1)*IF(Upgrades!$T$8="First Photons",POWER(Upgrades!$U$8,G380),1)*IF(Upgrades!$T$9="First Photons",POWER(Upgrades!$U$9,H380),1)*IF(Upgrades!$T$10="First Photons",POWER(Upgrades!$U$10,I380),1)*IF(Upgrades!$T$11="First Photons",POWER(Upgrades!$U$11,J380),1)))*POWER(Upgrades!$Q$6,E380)*POWER(Upgrades!$Q$7,F380)*POWER(Upgrades!$Q$8,G380)*POWER(Upgrades!$Q$9,H380)*POWER(Upgrades!$Q$10,I380)*POWER(Upgrades!$Q$11,J380)*POWER(Upgrades!$Q$12,K380)</f>
        <v/>
      </c>
      <c r="N380" s="28">
        <f>((IF(E380=0,0,(Upgrades!$G$6+E380*Upgrades!$H$6)*POWER(Upgrades!$I$6,E380)))*(IF(Upgrades!$T$7="Solar Wind",POWER(Upgrades!$U$7,F380),1)*IF(Upgrades!$T$8="Solar Wind",POWER(Upgrades!$U$8,G380),1)*IF(Upgrades!$T$9="Solar Wind",POWER(Upgrades!$U$9,H380),1)*IF(Upgrades!$T$10="Solar Wind",POWER(Upgrades!$U$10,I380),1)*IF(Upgrades!$T$11="Solar Wind",POWER(Upgrades!$U$11,J380),1)*IF(Upgrades!$T$12="Solar Wind",POWER(Upgrades!$U$12,K380),1))+(IF(F380=0,0,(Upgrades!$G$7+F380*Upgrades!$H$7)*POWER(Upgrades!$I$7,F380)))*(IF(Upgrades!$T$6="Asteroid Belt",POWER(Upgrades!$U$6,E380),1)*IF(Upgrades!$T$8="Asteroid Belt",POWER(Upgrades!$U$8,G380),1)*IF(Upgrades!$T$9="Asteroid Belt",POWER(Upgrades!$U$9,H380),1)*IF(Upgrades!$T$10="Asteroid Belt",POWER(Upgrades!$U$10,I380),1)*IF(Upgrades!$T$11="Asteroid Belt",POWER(Upgrades!$U$11,J380),1)*IF(Upgrades!$T$12="Asteroid Belt",POWER(Upgrades!$U$12,K380),1))+(IF(G380=0,0,(Upgrades!$G$8+G380*Upgrades!$H$8)*POWER(Upgrades!$I$8,G380)))*(IF(Upgrades!$T$6="Stellar Coupling",POWER(Upgrades!$U$6,E380),1)*IF(Upgrades!$T$7="Stellar Coupling",POWER(Upgrades!$U$7,F380),1)*IF(Upgrades!$T$9="Stellar Coupling",POWER(Upgrades!$U$9,H380),1)*IF(Upgrades!$T$10="Stellar Coupling",POWER(Upgrades!$U$10,I380),1)*IF(Upgrades!$T$11="Stellar Coupling",POWER(Upgrades!$U$11,J380),1)*IF(Upgrades!$T$12="Stellar Coupling",POWER(Upgrades!$U$12,K380),1))+(IF(H380=0,0,(Upgrades!$G$9+H380*Upgrades!$H$9)*POWER(Upgrades!$I$9,H380)))*(IF(Upgrades!$T$6="Magnetosphere",POWER(Upgrades!$U$6,E380),1)*IF(Upgrades!$T$7="Magnetosphere",POWER(Upgrades!$U$7,F380),1)*IF(Upgrades!$T$8="Magnetosphere",POWER(Upgrades!$U$8,G380),1)*IF(Upgrades!$T$10="Magnetosphere",POWER(Upgrades!$U$10,I380),1)*IF(Upgrades!$T$11="Magnetosphere",POWER(Upgrades!$U$11,J380),1)*IF(Upgrades!$T$12="Magnetosphere",POWER(Upgrades!$U$12,K380),1))+(IF(I380=0,0,(Upgrades!$G$10+I380*Upgrades!$H$10)*POWER(Upgrades!$I$10,I380)))*(IF(Upgrades!$T$6="Orbital Resonance",POWER(Upgrades!$U$6,E380),1)*IF(Upgrades!$T$7="Orbital Resonance",POWER(Upgrades!$U$7,F380),1)*IF(Upgrades!$T$8="Orbital Resonance",POWER(Upgrades!$U$8,G380),1)*IF(Upgrades!$T$9="Orbital Resonance",POWER(Upgrades!$U$9,H380),1)*IF(Upgrades!$T$11="Orbital Resonance",POWER(Upgrades!$U$11,J380),1)*IF(Upgrades!$T$12="Orbital Resonance",POWER(Upgrades!$U$12,K380),1))+(IF(J380=0,0,(Upgrades!$G$11+J380*Upgrades!$H$11)*POWER(Upgrades!$I$11,J380)))*(IF(Upgrades!$T$6="Heliopause",POWER(Upgrades!$U$6,E380),1)*IF(Upgrades!$T$7="Heliopause",POWER(Upgrades!$U$7,F380),1)*IF(Upgrades!$T$8="Heliopause",POWER(Upgrades!$U$8,G380),1)*IF(Upgrades!$T$9="Heliopause",POWER(Upgrades!$U$9,H380),1)*IF(Upgrades!$T$10="Heliopause",POWER(Upgrades!$U$10,I380),1)*IF(Upgrades!$T$12="Heliopause",POWER(Upgrades!$U$12,K380),1))+(IF(K380=0,0,(Upgrades!$G$12+K380*Upgrades!$H$12)*POWER(Upgrades!$I$12,K380)))*(IF(Upgrades!$T$6="First Photons",POWER(Upgrades!$U$6,E380),1)*IF(Upgrades!$T$7="First Photons",POWER(Upgrades!$U$7,F380),1)*IF(Upgrades!$T$8="First Photons",POWER(Upgrades!$U$8,G380),1)*IF(Upgrades!$T$9="First Photons",POWER(Upgrades!$U$9,H380),1)*IF(Upgrades!$T$10="First Photons",POWER(Upgrades!$U$10,I380),1)*IF(Upgrades!$T$11="First Photons",POWER(Upgrades!$U$11,J380),1)))*POWER(Upgrades!$P$6,E380)*POWER(Upgrades!$P$7,F380)*POWER(Upgrades!$P$8,G380)*POWER(Upgrades!$P$9,H380)*POWER(Upgrades!$P$10,I380)*POWER(Upgrades!$P$11,J380)*POWER(Upgrades!$P$12,K380)</f>
        <v/>
      </c>
      <c r="O380" s="28">
        <f>((IF(E380=0,0,(Upgrades!$M$6+E380*Upgrades!$N$6)*POWER(Upgrades!$O$6,E380)))*(IF(Upgrades!$T$7="Solar Wind",POWER(Upgrades!$U$7,F380),1)*IF(Upgrades!$T$8="Solar Wind",POWER(Upgrades!$U$8,G380),1)*IF(Upgrades!$T$9="Solar Wind",POWER(Upgrades!$U$9,H380),1)*IF(Upgrades!$T$10="Solar Wind",POWER(Upgrades!$U$10,I380),1)*IF(Upgrades!$T$11="Solar Wind",POWER(Upgrades!$U$11,J380),1)*IF(Upgrades!$T$12="Solar Wind",POWER(Upgrades!$U$12,K380),1))+(IF(F380=0,0,(Upgrades!$M$7+F380*Upgrades!$N$7)*POWER(Upgrades!$O$7,F380)))*(IF(Upgrades!$T$6="Asteroid Belt",POWER(Upgrades!$U$6,E380),1)*IF(Upgrades!$T$8="Asteroid Belt",POWER(Upgrades!$U$8,G380),1)*IF(Upgrades!$T$9="Asteroid Belt",POWER(Upgrades!$U$9,H380),1)*IF(Upgrades!$T$10="Asteroid Belt",POWER(Upgrades!$U$10,I380),1)*IF(Upgrades!$T$11="Asteroid Belt",POWER(Upgrades!$U$11,J380),1)*IF(Upgrades!$T$12="Asteroid Belt",POWER(Upgrades!$U$12,K380),1))+(IF(G380=0,0,(Upgrades!$M$8+G380*Upgrades!$N$8)*POWER(Upgrades!$O$8,G380)))*(IF(Upgrades!$T$6="Stellar Coupling",POWER(Upgrades!$U$6,E380),1)*IF(Upgrades!$T$7="Stellar Coupling",POWER(Upgrades!$U$7,F380),1)*IF(Upgrades!$T$9="Stellar Coupling",POWER(Upgrades!$U$9,H380),1)*IF(Upgrades!$T$10="Stellar Coupling",POWER(Upgrades!$U$10,I380),1)*IF(Upgrades!$T$11="Stellar Coupling",POWER(Upgrades!$U$11,J380),1)*IF(Upgrades!$T$12="Stellar Coupling",POWER(Upgrades!$U$12,K380),1))+(IF(H380=0,0,(Upgrades!$M$9+H380*Upgrades!$N$9)*POWER(Upgrades!$O$9,H380)))*(IF(Upgrades!$T$6="Magnetosphere",POWER(Upgrades!$U$6,E380),1)*IF(Upgrades!$T$7="Magnetosphere",POWER(Upgrades!$U$7,F380),1)*IF(Upgrades!$T$8="Magnetosphere",POWER(Upgrades!$U$8,G380),1)*IF(Upgrades!$T$10="Magnetosphere",POWER(Upgrades!$U$10,I380),1)*IF(Upgrades!$T$11="Magnetosphere",POWER(Upgrades!$U$11,J380),1)*IF(Upgrades!$T$12="Magnetosphere",POWER(Upgrades!$U$12,K380),1))+(IF(I380=0,0,(Upgrades!$M$10+I380*Upgrades!$N$10)*POWER(Upgrades!$O$10,I380)))*(IF(Upgrades!$T$6="Orbital Resonance",POWER(Upgrades!$U$6,E380),1)*IF(Upgrades!$T$7="Orbital Resonance",POWER(Upgrades!$U$7,F380),1)*IF(Upgrades!$T$8="Orbital Resonance",POWER(Upgrades!$U$8,G380),1)*IF(Upgrades!$T$9="Orbital Resonance",POWER(Upgrades!$U$9,H380),1)*IF(Upgrades!$T$11="Orbital Resonance",POWER(Upgrades!$U$11,J380),1)*IF(Upgrades!$T$12="Orbital Resonance",POWER(Upgrades!$U$12,K380),1))+(IF(J380=0,0,(Upgrades!$M$11+J380*Upgrades!$N$11)*POWER(Upgrades!$O$11,J380)))*(IF(Upgrades!$T$6="Heliopause",POWER(Upgrades!$U$6,E380),1)*IF(Upgrades!$T$7="Heliopause",POWER(Upgrades!$U$7,F380),1)*IF(Upgrades!$T$8="Heliopause",POWER(Upgrades!$U$8,G380),1)*IF(Upgrades!$T$9="Heliopause",POWER(Upgrades!$U$9,H380),1)*IF(Upgrades!$T$10="Heliopause",POWER(Upgrades!$U$10,I380),1)*IF(Upgrades!$T$12="Heliopause",POWER(Upgrades!$U$12,K380),1))+(IF(K380=0,0,(Upgrades!$M$12+K380*Upgrades!$N$12)*POWER(Upgrades!$O$12,K380)))*(IF(Upgrades!$T$6="First Photons",POWER(Upgrades!$U$6,E380),1)*IF(Upgrades!$T$7="First Photons",POWER(Upgrades!$U$7,F380),1)*IF(Upgrades!$T$8="First Photons",POWER(Upgrades!$U$8,G380),1)*IF(Upgrades!$T$9="First Photons",POWER(Upgrades!$U$9,H380),1)*IF(Upgrades!$T$10="First Photons",POWER(Upgrades!$U$10,I380),1)*IF(Upgrades!$T$11="First Photons",POWER(Upgrades!$U$11,J380),1)))*POWER(Upgrades!$R$6,E380)*POWER(Upgrades!$R$7,F380)*POWER(Upgrades!$R$8,G380)*POWER(Upgrades!$R$9,H380)*POWER(Upgrades!$R$10,I380)*POWER(Upgrades!$R$11,J380)*POWER(Upgrades!$R$12,K380)</f>
        <v/>
      </c>
      <c r="P380" s="27">
        <f>IF(L380=1,0,M380*Parameters!$B$10/60*Parameters!$B$11*10)</f>
        <v/>
      </c>
      <c r="Q380" s="27">
        <f>IF(L380=1,0,O380*M380*10)</f>
        <v/>
      </c>
      <c r="R380" s="27">
        <f>IF(L380=1,0,N380*10)</f>
        <v/>
      </c>
      <c r="S380" s="27">
        <f>P380+Q380+R380</f>
        <v/>
      </c>
      <c r="T380" s="22">
        <f>C380+S380</f>
        <v/>
      </c>
      <c r="U380" s="33">
        <f>AX380</f>
        <v/>
      </c>
      <c r="V380" s="22">
        <f>IF(U380="",0,IF(U380="transition",0,IF(U380="SW",AG380,IF(U380="AB",AH380,IF(U380="SC",AI380,IF(U380="Mag",AJ380,IF(U380="OR",AK380,IF(U380="HP",AL380,IF(U380="FP",AM380,0)))))))))</f>
        <v/>
      </c>
      <c r="W380" s="27">
        <f>IF(U380="OR",Upgrades!$F$10,IF(U380="HP",Upgrades!$F$11,IF(U380="transition",-Parameters!$B$18,0)))</f>
        <v/>
      </c>
      <c r="X380" s="22">
        <f>T380-V380</f>
        <v/>
      </c>
      <c r="Y380" s="30">
        <f>M380*Parameters!$B$10/60*Parameters!$B$11+O380*M380+N380</f>
        <v/>
      </c>
      <c r="Z380" s="34">
        <f>IF(U380="transition","→ Tier 2 (Stellar Neighborhood)",IF(U380="FP","First Photons — light begins, system quickens",IF(U380="HP","Heliopause acquired",IF(U380="OR","Orbital Resonance — passive multiplier active",IF(AND(AO380=1,L380=0,AN380&lt;&gt;1),"Cohesion ready (waiting on completionist upgrades)","")))))</f>
        <v/>
      </c>
      <c r="AA380" s="27">
        <f>(IF(E380=0,0,(Upgrades!$G$6+E380*Upgrades!$H$6)*POWER(Upgrades!$I$6,E380)))*(IF(Upgrades!$T$7="Solar Wind",POWER(Upgrades!$U$7,F380),1)*IF(Upgrades!$T$8="Solar Wind",POWER(Upgrades!$U$8,G380),1)*IF(Upgrades!$T$9="Solar Wind",POWER(Upgrades!$U$9,H380),1)*IF(Upgrades!$T$10="Solar Wind",POWER(Upgrades!$U$10,I380),1)*IF(Upgrades!$T$11="Solar Wind",POWER(Upgrades!$U$11,J380),1)*IF(Upgrades!$T$12="Solar Wind",POWER(Upgrades!$U$12,K380),1))*POWER(Upgrades!$P$6,E380)*POWER(Upgrades!$P$7,F380)*POWER(Upgrades!$P$8,G380)*POWER(Upgrades!$P$9,H380)*POWER(Upgrades!$P$10,I380)*POWER(Upgrades!$P$11,J380)*POWER(Upgrades!$P$12,K380)*60</f>
        <v/>
      </c>
      <c r="AB380" s="27">
        <f>(IF(F380=0,0,(Upgrades!$G$7+F380*Upgrades!$H$7)*POWER(Upgrades!$I$7,F380)))*(IF(Upgrades!$T$6="Asteroid Belt",POWER(Upgrades!$U$6,E380),1)*IF(Upgrades!$T$8="Asteroid Belt",POWER(Upgrades!$U$8,G380),1)*IF(Upgrades!$T$9="Asteroid Belt",POWER(Upgrades!$U$9,H380),1)*IF(Upgrades!$T$10="Asteroid Belt",POWER(Upgrades!$U$10,I380),1)*IF(Upgrades!$T$11="Asteroid Belt",POWER(Upgrades!$U$11,J380),1)*IF(Upgrades!$T$12="Asteroid Belt",POWER(Upgrades!$U$12,K380),1))*POWER(Upgrades!$P$6,E380)*POWER(Upgrades!$P$7,F380)*POWER(Upgrades!$P$8,G380)*POWER(Upgrades!$P$9,H380)*POWER(Upgrades!$P$10,I380)*POWER(Upgrades!$P$11,J380)*POWER(Upgrades!$P$12,K380)*60</f>
        <v/>
      </c>
      <c r="AC380" s="27">
        <f>(IF(G380=0,0,(Upgrades!$J$8+G380*Upgrades!$K$8)*POWER(Upgrades!$L$8,G380)))*(IF(Upgrades!$T$6="Stellar Coupling",POWER(Upgrades!$U$6,E380),1)*IF(Upgrades!$T$7="Stellar Coupling",POWER(Upgrades!$U$7,F380),1)*IF(Upgrades!$T$9="Stellar Coupling",POWER(Upgrades!$U$9,H380),1)*IF(Upgrades!$T$10="Stellar Coupling",POWER(Upgrades!$U$10,I380),1)*IF(Upgrades!$T$11="Stellar Coupling",POWER(Upgrades!$U$11,J380),1)*IF(Upgrades!$T$12="Stellar Coupling",POWER(Upgrades!$U$12,K380),1))*POWER(Upgrades!$Q$6,E380)*POWER(Upgrades!$Q$7,F380)*POWER(Upgrades!$Q$8,G380)*POWER(Upgrades!$Q$9,H380)*POWER(Upgrades!$Q$10,I380)*POWER(Upgrades!$Q$11,J380)*POWER(Upgrades!$Q$12,K380)*Parameters!$B$10*Parameters!$B$11</f>
        <v/>
      </c>
      <c r="AD380" s="27">
        <f>(IF(H380=0,0,(Upgrades!$G$9+H380*Upgrades!$H$9)*POWER(Upgrades!$I$9,H380)))*(IF(Upgrades!$T$6="Magnetosphere",POWER(Upgrades!$U$6,E380),1)*IF(Upgrades!$T$7="Magnetosphere",POWER(Upgrades!$U$7,F380),1)*IF(Upgrades!$T$8="Magnetosphere",POWER(Upgrades!$U$8,G380),1)*IF(Upgrades!$T$10="Magnetosphere",POWER(Upgrades!$U$10,I380),1)*IF(Upgrades!$T$11="Magnetosphere",POWER(Upgrades!$U$11,J380),1)*IF(Upgrades!$T$12="Magnetosphere",POWER(Upgrades!$U$12,K380),1))*POWER(Upgrades!$P$6,E380)*POWER(Upgrades!$P$7,F380)*POWER(Upgrades!$P$8,G380)*POWER(Upgrades!$P$9,H380)*POWER(Upgrades!$P$10,I380)*POWER(Upgrades!$P$11,J380)*POWER(Upgrades!$P$12,K380)*60</f>
        <v/>
      </c>
      <c r="AE380" s="27">
        <f>(IF(K380=0,0,(Upgrades!$G$12+K380*Upgrades!$H$12)*POWER(Upgrades!$I$12,K380)))*(IF(Upgrades!$T$6="First Photons",POWER(Upgrades!$U$6,E380),1)*IF(Upgrades!$T$7="First Photons",POWER(Upgrades!$U$7,F380),1)*IF(Upgrades!$T$8="First Photons",POWER(Upgrades!$U$8,G380),1)*IF(Upgrades!$T$9="First Photons",POWER(Upgrades!$U$9,H380),1)*IF(Upgrades!$T$10="First Photons",POWER(Upgrades!$U$10,I380),1)*IF(Upgrades!$T$11="First Photons",POWER(Upgrades!$U$11,J380),1))*POWER(Upgrades!$P$6,E380)*POWER(Upgrades!$P$7,F380)*POWER(Upgrades!$P$8,G380)*POWER(Upgrades!$P$9,H380)*POWER(Upgrades!$P$10,I380)*POWER(Upgrades!$P$11,J380)*POWER(Upgrades!$P$12,K380)*60</f>
        <v/>
      </c>
      <c r="AF380" s="27">
        <f>Parameters!$B$9*POWER(Upgrades!$Q$6,E380)*POWER(Upgrades!$Q$7,F380)*POWER(Upgrades!$Q$8,G380)*POWER(Upgrades!$Q$9,H380)*POWER(Upgrades!$Q$10,I380)*POWER(Upgrades!$Q$11,J380)*POWER(Upgrades!$Q$12,K380)*(Parameters!$B$10*Parameters!$B$11+O380*60)</f>
        <v/>
      </c>
      <c r="AG380" s="22">
        <f>IF(E380&gt;=Upgrades!$E$6,"",Upgrades!$C$6*POWER(Upgrades!$D$6,E380))</f>
        <v/>
      </c>
      <c r="AH380" s="22">
        <f>IF(F380&gt;=Upgrades!$E$7,"",Upgrades!$C$7*POWER(Upgrades!$D$7,F380))</f>
        <v/>
      </c>
      <c r="AI380" s="22">
        <f>IF(G380&gt;=Upgrades!$E$8,"",Upgrades!$C$8*POWER(Upgrades!$D$8,G380))</f>
        <v/>
      </c>
      <c r="AJ380" s="22">
        <f>IF(H380&gt;=Upgrades!$E$9,"",Upgrades!$C$9*POWER(Upgrades!$D$9,H380))</f>
        <v/>
      </c>
      <c r="AK380" s="22">
        <f>IF(I380&gt;=Upgrades!$E$10,"",Upgrades!$C$10*POWER(Upgrades!$D$10,I380))</f>
        <v/>
      </c>
      <c r="AL380" s="22">
        <f>IF(J380&gt;=Upgrades!$E$11,"",Upgrades!$C$11*POWER(Upgrades!$D$11,J380))</f>
        <v/>
      </c>
      <c r="AM380" s="22">
        <f>IF(K380&gt;=Upgrades!$E$12,"",Upgrades!$C$12*POWER(Upgrades!$D$12,K380))</f>
        <v/>
      </c>
      <c r="AN380" s="26">
        <f>IF(AND(D380&gt;=Parameters!$B$18,(H380&gt;=Upgrades!$E$9)*(K380&gt;=Upgrades!$E$12)=1,L380=0),1,"")</f>
        <v/>
      </c>
      <c r="AO380" s="26">
        <f>IF(AND(D380&gt;=Parameters!$B$18,L380=0),1,"")</f>
        <v/>
      </c>
      <c r="AP380" s="22">
        <f>MIN(IF(ISNUMBER(AK380),AK380,9E15),IF(ISNUMBER(AL380),AL380,9E15),IF(ISNUMBER(AM380),AM380,9E15))</f>
        <v/>
      </c>
      <c r="AQ380" s="22">
        <f>MIN(IF(ISNUMBER(AG380),AG380,9E15),IF(ISNUMBER(AH380),AH380,9E15),IF(ISNUMBER(AI380),AI380,9E15),IF(ISNUMBER(AJ380),AJ380,9E15))</f>
        <v/>
      </c>
      <c r="AR380" s="29">
        <f>IF(AW380&gt;Parameters!$B$21*(MAX(IF(AND(NOT(AND(AO380=1,AN380&lt;&gt;1)),ISNUMBER(AG380),AG380&lt;=T380),AS380,0),IF(AND(NOT(AND(AO380=1,AN380&lt;&gt;1)),ISNUMBER(AH380),AH380&lt;=T380),AT380,0),IF(AND(NOT(AND(AO380=1,AN380&lt;&gt;1)),ISNUMBER(AI380),AI380&lt;=T380),AU380,0),IF(AND(ISNUMBER(AJ380),AJ380&lt;=T380),AV380,0))),TRUE,FALSE)</f>
        <v/>
      </c>
      <c r="AS380" s="32">
        <f>IFERROR(Upgrades!$H$6*(POWER(Upgrades!$P$6,E380)*POWER(Upgrades!$P$7,F380)*POWER(Upgrades!$P$8,G380)*POWER(Upgrades!$P$9,H380)*POWER(Upgrades!$P$10,I380)*POWER(Upgrades!$P$11,J380)*POWER(Upgrades!$P$12,K380))*(IF(Upgrades!$T$7="Solar Wind",POWER(Upgrades!$U$7,F380),1)*IF(Upgrades!$T$8="Solar Wind",POWER(Upgrades!$U$8,G380),1)*IF(Upgrades!$T$9="Solar Wind",POWER(Upgrades!$U$9,H380),1)*IF(Upgrades!$T$10="Solar Wind",POWER(Upgrades!$U$10,I380),1)*IF(Upgrades!$T$11="Solar Wind",POWER(Upgrades!$U$11,J380),1)*IF(Upgrades!$T$12="Solar Wind",POWER(Upgrades!$U$12,K380),1))/AG380,0)</f>
        <v/>
      </c>
      <c r="AT380" s="32">
        <f>IFERROR(Upgrades!$H$7*(POWER(Upgrades!$P$6,E380)*POWER(Upgrades!$P$7,F380)*POWER(Upgrades!$P$8,G380)*POWER(Upgrades!$P$9,H380)*POWER(Upgrades!$P$10,I380)*POWER(Upgrades!$P$11,J380)*POWER(Upgrades!$P$12,K380))*(IF(Upgrades!$T$6="Asteroid Belt",POWER(Upgrades!$U$6,E380),1)*IF(Upgrades!$T$8="Asteroid Belt",POWER(Upgrades!$U$8,G380),1)*IF(Upgrades!$T$9="Asteroid Belt",POWER(Upgrades!$U$9,H380),1)*IF(Upgrades!$T$10="Asteroid Belt",POWER(Upgrades!$U$10,I380),1)*IF(Upgrades!$T$11="Asteroid Belt",POWER(Upgrades!$U$11,J380),1)*IF(Upgrades!$T$12="Asteroid Belt",POWER(Upgrades!$U$12,K380),1))/AH380,0)</f>
        <v/>
      </c>
      <c r="AU380" s="32">
        <f>IFERROR(Upgrades!$K$8*(POWER(Upgrades!$Q$6,E380)*POWER(Upgrades!$Q$7,F380)*POWER(Upgrades!$Q$8,G380)*POWER(Upgrades!$Q$9,H380)*POWER(Upgrades!$Q$10,I380)*POWER(Upgrades!$Q$11,J380)*POWER(Upgrades!$Q$12,K380))*(IF(Upgrades!$T$6="Stellar Coupling",POWER(Upgrades!$U$6,E380),1)*IF(Upgrades!$T$7="Stellar Coupling",POWER(Upgrades!$U$7,F380),1)*IF(Upgrades!$T$9="Stellar Coupling",POWER(Upgrades!$U$9,H380),1)*IF(Upgrades!$T$10="Stellar Coupling",POWER(Upgrades!$U$10,I380),1)*IF(Upgrades!$T$11="Stellar Coupling",POWER(Upgrades!$U$11,J380),1)*IF(Upgrades!$T$12="Stellar Coupling",POWER(Upgrades!$U$12,K380),1))*Parameters!$B$10*Parameters!$B$11/60/AI380,0)</f>
        <v/>
      </c>
      <c r="AV380" s="32">
        <f>IFERROR(Upgrades!$H$9*(POWER(Upgrades!$P$6,E380)*POWER(Upgrades!$P$7,F380)*POWER(Upgrades!$P$8,G380)*POWER(Upgrades!$P$9,H380)*POWER(Upgrades!$P$10,I380)*POWER(Upgrades!$P$11,J380)*POWER(Upgrades!$P$12,K380))*(IF(Upgrades!$T$6="Magnetosphere",POWER(Upgrades!$U$6,E380),1)*IF(Upgrades!$T$7="Magnetosphere",POWER(Upgrades!$U$7,F380),1)*IF(Upgrades!$T$8="Magnetosphere",POWER(Upgrades!$U$8,G380),1)*IF(Upgrades!$T$10="Magnetosphere",POWER(Upgrades!$U$10,I380),1)*IF(Upgrades!$T$11="Magnetosphere",POWER(Upgrades!$U$11,J380),1)*IF(Upgrades!$T$12="Magnetosphere",POWER(Upgrades!$U$12,K380),1))/AJ380,0)</f>
        <v/>
      </c>
      <c r="AW380" s="32">
        <f>MAX(IF(I380&gt;0,0,IFERROR(0.25*N380/Upgrades!$C$10,0)),IF(J380&gt;0,0,IFERROR(0.5*((IF(G380=0,0,(Upgrades!$J$8+G380*Upgrades!$K$8)*POWER(Upgrades!$L$8,G380)))*(IF(Upgrades!$T$6="Stellar Coupling",POWER(Upgrades!$U$6,E380),1)*IF(Upgrades!$T$7="Stellar Coupling",POWER(Upgrades!$U$7,F380),1)*IF(Upgrades!$T$9="Stellar Coupling",POWER(Upgrades!$U$9,H380),1)*IF(Upgrades!$T$10="Stellar Coupling",POWER(Upgrades!$U$10,I380),1)*IF(Upgrades!$T$11="Stellar Coupling",POWER(Upgrades!$U$11,J380),1)*IF(Upgrades!$T$12="Stellar Coupling",POWER(Upgrades!$U$12,K380),1))*(POWER(Upgrades!$Q$6,E380)*POWER(Upgrades!$Q$7,F380)*POWER(Upgrades!$Q$8,G380)*POWER(Upgrades!$Q$9,H380)*POWER(Upgrades!$Q$10,I380)*POWER(Upgrades!$Q$11,J380)*POWER(Upgrades!$Q$12,K380))*Parameters!$B$10*Parameters!$B$11/60)/Upgrades!$C$11,0)),IF(K380&gt;0,0,IFERROR((1.0*(POWER(Upgrades!$P$6,E380)*POWER(Upgrades!$P$7,F380)*POWER(Upgrades!$P$8,G380)*POWER(Upgrades!$P$9,H380)*POWER(Upgrades!$P$10,I380)*POWER(Upgrades!$P$11,J380)*POWER(Upgrades!$P$12,K380))+0.20*M380*Parameters!$B$10*Parameters!$B$11/60)/Upgrades!$C$12,0)),IF(AND(ISNUMBER(AG380),AG380&gt;T380),AS380,0),IF(AND(ISNUMBER(AH380),AH380&gt;T380),AT380,0),IF(AND(ISNUMBER(AI380),AI380&gt;T380),AU380,0),IF(AND(ISNUMBER(AJ380),AJ380&gt;T380),AV380,0))</f>
        <v/>
      </c>
      <c r="AX380" s="29">
        <f>IF(AN380=1,"transition",IF(MIN(IF(AND(I380=0,ISNUMBER(AK380),AK380&lt;=T380),AK380,9E15),IF(AND(J380=0,ISNUMBER(AL380),AL380&lt;=T380),AL380,9E15),IF(AND(K380=0,ISNUMBER(AM380),AM380&lt;=T380),AM380,9E15))&lt;9E15,IF(AND(AND(I380=0,ISNUMBER(AK380),AK380&lt;=T380),AK380=MIN(IF(AND(I380=0,ISNUMBER(AK380),AK380&lt;=T380),AK380,9E15),IF(AND(J380=0,ISNUMBER(AL380),AL380&lt;=T380),AL380,9E15),IF(AND(K380=0,ISNUMBER(AM380),AM380&lt;=T380),AM380,9E15))),"OR",IF(AND(AND(J380=0,ISNUMBER(AL380),AL380&lt;=T380),AL380=MIN(IF(AND(I380=0,ISNUMBER(AK380),AK380&lt;=T380),AK380,9E15),IF(AND(J380=0,ISNUMBER(AL380),AL380&lt;=T380),AL380,9E15),IF(AND(K380=0,ISNUMBER(AM380),AM380&lt;=T380),AM380,9E15))),"HP","FP")),IF(AR380=TRUE,"",IF(MAX(IF(AND(NOT(AND(AO380=1,AN380&lt;&gt;1)),ISNUMBER(AG380),AG380&lt;=T380),AS380,0),IF(AND(NOT(AND(AO380=1,AN380&lt;&gt;1)),ISNUMBER(AH380),AH380&lt;=T380),AT380,0),IF(AND(NOT(AND(AO380=1,AN380&lt;&gt;1)),ISNUMBER(AI380),AI380&lt;=T380),AU380,0),IF(AND(ISNUMBER(AJ380),AJ380&lt;=T380),AV380,0))&lt;=0,"",IF(AND(IF(AND(NOT(AND(AO380=1,AN380&lt;&gt;1)),ISNUMBER(AG380),AG380&lt;=T380),AS380,0)&gt;0,IF(AND(NOT(AND(AO380=1,AN380&lt;&gt;1)),ISNUMBER(AG380),AG380&lt;=T380),AS380,0)=MAX(IF(AND(NOT(AND(AO380=1,AN380&lt;&gt;1)),ISNUMBER(AG380),AG380&lt;=T380),AS380,0),IF(AND(NOT(AND(AO380=1,AN380&lt;&gt;1)),ISNUMBER(AH380),AH380&lt;=T380),AT380,0),IF(AND(NOT(AND(AO380=1,AN380&lt;&gt;1)),ISNUMBER(AI380),AI380&lt;=T380),AU380,0),IF(AND(ISNUMBER(AJ380),AJ380&lt;=T380),AV380,0))),"SW",IF(AND(IF(AND(NOT(AND(AO380=1,AN380&lt;&gt;1)),ISNUMBER(AH380),AH380&lt;=T380),AT380,0)&gt;0,IF(AND(NOT(AND(AO380=1,AN380&lt;&gt;1)),ISNUMBER(AH380),AH380&lt;=T380),AT380,0)=MAX(IF(AND(NOT(AND(AO380=1,AN380&lt;&gt;1)),ISNUMBER(AG380),AG380&lt;=T380),AS380,0),IF(AND(NOT(AND(AO380=1,AN380&lt;&gt;1)),ISNUMBER(AH380),AH380&lt;=T380),AT380,0),IF(AND(NOT(AND(AO380=1,AN380&lt;&gt;1)),ISNUMBER(AI380),AI380&lt;=T380),AU380,0),IF(AND(ISNUMBER(AJ380),AJ380&lt;=T380),AV380,0))),"AB",IF(AND(IF(AND(NOT(AND(AO380=1,AN380&lt;&gt;1)),ISNUMBER(AI380),AI380&lt;=T380),AU380,0)&gt;0,IF(AND(NOT(AND(AO380=1,AN380&lt;&gt;1)),ISNUMBER(AI380),AI380&lt;=T380),AU380,0)=MAX(IF(AND(NOT(AND(AO380=1,AN380&lt;&gt;1)),ISNUMBER(AG380),AG380&lt;=T380),AS380,0),IF(AND(NOT(AND(AO380=1,AN380&lt;&gt;1)),ISNUMBER(AH380),AH380&lt;=T380),AT380,0),IF(AND(NOT(AND(AO380=1,AN380&lt;&gt;1)),ISNUMBER(AI380),AI380&lt;=T380),AU380,0),IF(AND(ISNUMBER(AJ380),AJ380&lt;=T380),AV380,0))),"SC","Mag")))))))</f>
        <v/>
      </c>
    </row>
    <row r="381">
      <c r="A381" s="26" t="n">
        <v>376</v>
      </c>
      <c r="B381" s="27">
        <f>A381*10/60</f>
        <v/>
      </c>
      <c r="C381" s="22">
        <f>X380</f>
        <v/>
      </c>
      <c r="D381" s="27">
        <f>D380+W380</f>
        <v/>
      </c>
      <c r="E381" s="26">
        <f>E380+IF(U380="SW",1,0)</f>
        <v/>
      </c>
      <c r="F381" s="26">
        <f>F380+IF(U380="AB",1,0)</f>
        <v/>
      </c>
      <c r="G381" s="26">
        <f>G380+IF(U380="SC",1,0)</f>
        <v/>
      </c>
      <c r="H381" s="26">
        <f>H380+IF(U380="Mag",1,0)</f>
        <v/>
      </c>
      <c r="I381" s="26">
        <f>MAX(I380,IF(U380="OR",1,0))</f>
        <v/>
      </c>
      <c r="J381" s="26">
        <f>MAX(J380,IF(U380="HP",1,0))</f>
        <v/>
      </c>
      <c r="K381" s="26">
        <f>MAX(K380,IF(U380="FP",1,0))</f>
        <v/>
      </c>
      <c r="L381" s="26">
        <f>MAX(L380,IF(U380="transition",1,0))</f>
        <v/>
      </c>
      <c r="M381" s="28">
        <f>(Parameters!$B$9+(IF(E381=0,0,(Upgrades!$J$6+E381*Upgrades!$K$6)*POWER(Upgrades!$L$6,E381)))*(IF(Upgrades!$T$7="Solar Wind",POWER(Upgrades!$U$7,F381),1)*IF(Upgrades!$T$8="Solar Wind",POWER(Upgrades!$U$8,G381),1)*IF(Upgrades!$T$9="Solar Wind",POWER(Upgrades!$U$9,H381),1)*IF(Upgrades!$T$10="Solar Wind",POWER(Upgrades!$U$10,I381),1)*IF(Upgrades!$T$11="Solar Wind",POWER(Upgrades!$U$11,J381),1)*IF(Upgrades!$T$12="Solar Wind",POWER(Upgrades!$U$12,K381),1))+(IF(F381=0,0,(Upgrades!$J$7+F381*Upgrades!$K$7)*POWER(Upgrades!$L$7,F381)))*(IF(Upgrades!$T$6="Asteroid Belt",POWER(Upgrades!$U$6,E381),1)*IF(Upgrades!$T$8="Asteroid Belt",POWER(Upgrades!$U$8,G381),1)*IF(Upgrades!$T$9="Asteroid Belt",POWER(Upgrades!$U$9,H381),1)*IF(Upgrades!$T$10="Asteroid Belt",POWER(Upgrades!$U$10,I381),1)*IF(Upgrades!$T$11="Asteroid Belt",POWER(Upgrades!$U$11,J381),1)*IF(Upgrades!$T$12="Asteroid Belt",POWER(Upgrades!$U$12,K381),1))+(IF(G381=0,0,(Upgrades!$J$8+G381*Upgrades!$K$8)*POWER(Upgrades!$L$8,G381)))*(IF(Upgrades!$T$6="Stellar Coupling",POWER(Upgrades!$U$6,E381),1)*IF(Upgrades!$T$7="Stellar Coupling",POWER(Upgrades!$U$7,F381),1)*IF(Upgrades!$T$9="Stellar Coupling",POWER(Upgrades!$U$9,H381),1)*IF(Upgrades!$T$10="Stellar Coupling",POWER(Upgrades!$U$10,I381),1)*IF(Upgrades!$T$11="Stellar Coupling",POWER(Upgrades!$U$11,J381),1)*IF(Upgrades!$T$12="Stellar Coupling",POWER(Upgrades!$U$12,K381),1))+(IF(H381=0,0,(Upgrades!$J$9+H381*Upgrades!$K$9)*POWER(Upgrades!$L$9,H381)))*(IF(Upgrades!$T$6="Magnetosphere",POWER(Upgrades!$U$6,E381),1)*IF(Upgrades!$T$7="Magnetosphere",POWER(Upgrades!$U$7,F381),1)*IF(Upgrades!$T$8="Magnetosphere",POWER(Upgrades!$U$8,G381),1)*IF(Upgrades!$T$10="Magnetosphere",POWER(Upgrades!$U$10,I381),1)*IF(Upgrades!$T$11="Magnetosphere",POWER(Upgrades!$U$11,J381),1)*IF(Upgrades!$T$12="Magnetosphere",POWER(Upgrades!$U$12,K381),1))+(IF(I381=0,0,(Upgrades!$J$10+I381*Upgrades!$K$10)*POWER(Upgrades!$L$10,I381)))*(IF(Upgrades!$T$6="Orbital Resonance",POWER(Upgrades!$U$6,E381),1)*IF(Upgrades!$T$7="Orbital Resonance",POWER(Upgrades!$U$7,F381),1)*IF(Upgrades!$T$8="Orbital Resonance",POWER(Upgrades!$U$8,G381),1)*IF(Upgrades!$T$9="Orbital Resonance",POWER(Upgrades!$U$9,H381),1)*IF(Upgrades!$T$11="Orbital Resonance",POWER(Upgrades!$U$11,J381),1)*IF(Upgrades!$T$12="Orbital Resonance",POWER(Upgrades!$U$12,K381),1))+(IF(J381=0,0,(Upgrades!$J$11+J381*Upgrades!$K$11)*POWER(Upgrades!$L$11,J381)))*(IF(Upgrades!$T$6="Heliopause",POWER(Upgrades!$U$6,E381),1)*IF(Upgrades!$T$7="Heliopause",POWER(Upgrades!$U$7,F381),1)*IF(Upgrades!$T$8="Heliopause",POWER(Upgrades!$U$8,G381),1)*IF(Upgrades!$T$9="Heliopause",POWER(Upgrades!$U$9,H381),1)*IF(Upgrades!$T$10="Heliopause",POWER(Upgrades!$U$10,I381),1)*IF(Upgrades!$T$12="Heliopause",POWER(Upgrades!$U$12,K381),1))+(IF(K381=0,0,(Upgrades!$J$12+K381*Upgrades!$K$12)*POWER(Upgrades!$L$12,K381)))*(IF(Upgrades!$T$6="First Photons",POWER(Upgrades!$U$6,E381),1)*IF(Upgrades!$T$7="First Photons",POWER(Upgrades!$U$7,F381),1)*IF(Upgrades!$T$8="First Photons",POWER(Upgrades!$U$8,G381),1)*IF(Upgrades!$T$9="First Photons",POWER(Upgrades!$U$9,H381),1)*IF(Upgrades!$T$10="First Photons",POWER(Upgrades!$U$10,I381),1)*IF(Upgrades!$T$11="First Photons",POWER(Upgrades!$U$11,J381),1)))*POWER(Upgrades!$Q$6,E381)*POWER(Upgrades!$Q$7,F381)*POWER(Upgrades!$Q$8,G381)*POWER(Upgrades!$Q$9,H381)*POWER(Upgrades!$Q$10,I381)*POWER(Upgrades!$Q$11,J381)*POWER(Upgrades!$Q$12,K381)</f>
        <v/>
      </c>
      <c r="N381" s="28">
        <f>((IF(E381=0,0,(Upgrades!$G$6+E381*Upgrades!$H$6)*POWER(Upgrades!$I$6,E381)))*(IF(Upgrades!$T$7="Solar Wind",POWER(Upgrades!$U$7,F381),1)*IF(Upgrades!$T$8="Solar Wind",POWER(Upgrades!$U$8,G381),1)*IF(Upgrades!$T$9="Solar Wind",POWER(Upgrades!$U$9,H381),1)*IF(Upgrades!$T$10="Solar Wind",POWER(Upgrades!$U$10,I381),1)*IF(Upgrades!$T$11="Solar Wind",POWER(Upgrades!$U$11,J381),1)*IF(Upgrades!$T$12="Solar Wind",POWER(Upgrades!$U$12,K381),1))+(IF(F381=0,0,(Upgrades!$G$7+F381*Upgrades!$H$7)*POWER(Upgrades!$I$7,F381)))*(IF(Upgrades!$T$6="Asteroid Belt",POWER(Upgrades!$U$6,E381),1)*IF(Upgrades!$T$8="Asteroid Belt",POWER(Upgrades!$U$8,G381),1)*IF(Upgrades!$T$9="Asteroid Belt",POWER(Upgrades!$U$9,H381),1)*IF(Upgrades!$T$10="Asteroid Belt",POWER(Upgrades!$U$10,I381),1)*IF(Upgrades!$T$11="Asteroid Belt",POWER(Upgrades!$U$11,J381),1)*IF(Upgrades!$T$12="Asteroid Belt",POWER(Upgrades!$U$12,K381),1))+(IF(G381=0,0,(Upgrades!$G$8+G381*Upgrades!$H$8)*POWER(Upgrades!$I$8,G381)))*(IF(Upgrades!$T$6="Stellar Coupling",POWER(Upgrades!$U$6,E381),1)*IF(Upgrades!$T$7="Stellar Coupling",POWER(Upgrades!$U$7,F381),1)*IF(Upgrades!$T$9="Stellar Coupling",POWER(Upgrades!$U$9,H381),1)*IF(Upgrades!$T$10="Stellar Coupling",POWER(Upgrades!$U$10,I381),1)*IF(Upgrades!$T$11="Stellar Coupling",POWER(Upgrades!$U$11,J381),1)*IF(Upgrades!$T$12="Stellar Coupling",POWER(Upgrades!$U$12,K381),1))+(IF(H381=0,0,(Upgrades!$G$9+H381*Upgrades!$H$9)*POWER(Upgrades!$I$9,H381)))*(IF(Upgrades!$T$6="Magnetosphere",POWER(Upgrades!$U$6,E381),1)*IF(Upgrades!$T$7="Magnetosphere",POWER(Upgrades!$U$7,F381),1)*IF(Upgrades!$T$8="Magnetosphere",POWER(Upgrades!$U$8,G381),1)*IF(Upgrades!$T$10="Magnetosphere",POWER(Upgrades!$U$10,I381),1)*IF(Upgrades!$T$11="Magnetosphere",POWER(Upgrades!$U$11,J381),1)*IF(Upgrades!$T$12="Magnetosphere",POWER(Upgrades!$U$12,K381),1))+(IF(I381=0,0,(Upgrades!$G$10+I381*Upgrades!$H$10)*POWER(Upgrades!$I$10,I381)))*(IF(Upgrades!$T$6="Orbital Resonance",POWER(Upgrades!$U$6,E381),1)*IF(Upgrades!$T$7="Orbital Resonance",POWER(Upgrades!$U$7,F381),1)*IF(Upgrades!$T$8="Orbital Resonance",POWER(Upgrades!$U$8,G381),1)*IF(Upgrades!$T$9="Orbital Resonance",POWER(Upgrades!$U$9,H381),1)*IF(Upgrades!$T$11="Orbital Resonance",POWER(Upgrades!$U$11,J381),1)*IF(Upgrades!$T$12="Orbital Resonance",POWER(Upgrades!$U$12,K381),1))+(IF(J381=0,0,(Upgrades!$G$11+J381*Upgrades!$H$11)*POWER(Upgrades!$I$11,J381)))*(IF(Upgrades!$T$6="Heliopause",POWER(Upgrades!$U$6,E381),1)*IF(Upgrades!$T$7="Heliopause",POWER(Upgrades!$U$7,F381),1)*IF(Upgrades!$T$8="Heliopause",POWER(Upgrades!$U$8,G381),1)*IF(Upgrades!$T$9="Heliopause",POWER(Upgrades!$U$9,H381),1)*IF(Upgrades!$T$10="Heliopause",POWER(Upgrades!$U$10,I381),1)*IF(Upgrades!$T$12="Heliopause",POWER(Upgrades!$U$12,K381),1))+(IF(K381=0,0,(Upgrades!$G$12+K381*Upgrades!$H$12)*POWER(Upgrades!$I$12,K381)))*(IF(Upgrades!$T$6="First Photons",POWER(Upgrades!$U$6,E381),1)*IF(Upgrades!$T$7="First Photons",POWER(Upgrades!$U$7,F381),1)*IF(Upgrades!$T$8="First Photons",POWER(Upgrades!$U$8,G381),1)*IF(Upgrades!$T$9="First Photons",POWER(Upgrades!$U$9,H381),1)*IF(Upgrades!$T$10="First Photons",POWER(Upgrades!$U$10,I381),1)*IF(Upgrades!$T$11="First Photons",POWER(Upgrades!$U$11,J381),1)))*POWER(Upgrades!$P$6,E381)*POWER(Upgrades!$P$7,F381)*POWER(Upgrades!$P$8,G381)*POWER(Upgrades!$P$9,H381)*POWER(Upgrades!$P$10,I381)*POWER(Upgrades!$P$11,J381)*POWER(Upgrades!$P$12,K381)</f>
        <v/>
      </c>
      <c r="O381" s="28">
        <f>((IF(E381=0,0,(Upgrades!$M$6+E381*Upgrades!$N$6)*POWER(Upgrades!$O$6,E381)))*(IF(Upgrades!$T$7="Solar Wind",POWER(Upgrades!$U$7,F381),1)*IF(Upgrades!$T$8="Solar Wind",POWER(Upgrades!$U$8,G381),1)*IF(Upgrades!$T$9="Solar Wind",POWER(Upgrades!$U$9,H381),1)*IF(Upgrades!$T$10="Solar Wind",POWER(Upgrades!$U$10,I381),1)*IF(Upgrades!$T$11="Solar Wind",POWER(Upgrades!$U$11,J381),1)*IF(Upgrades!$T$12="Solar Wind",POWER(Upgrades!$U$12,K381),1))+(IF(F381=0,0,(Upgrades!$M$7+F381*Upgrades!$N$7)*POWER(Upgrades!$O$7,F381)))*(IF(Upgrades!$T$6="Asteroid Belt",POWER(Upgrades!$U$6,E381),1)*IF(Upgrades!$T$8="Asteroid Belt",POWER(Upgrades!$U$8,G381),1)*IF(Upgrades!$T$9="Asteroid Belt",POWER(Upgrades!$U$9,H381),1)*IF(Upgrades!$T$10="Asteroid Belt",POWER(Upgrades!$U$10,I381),1)*IF(Upgrades!$T$11="Asteroid Belt",POWER(Upgrades!$U$11,J381),1)*IF(Upgrades!$T$12="Asteroid Belt",POWER(Upgrades!$U$12,K381),1))+(IF(G381=0,0,(Upgrades!$M$8+G381*Upgrades!$N$8)*POWER(Upgrades!$O$8,G381)))*(IF(Upgrades!$T$6="Stellar Coupling",POWER(Upgrades!$U$6,E381),1)*IF(Upgrades!$T$7="Stellar Coupling",POWER(Upgrades!$U$7,F381),1)*IF(Upgrades!$T$9="Stellar Coupling",POWER(Upgrades!$U$9,H381),1)*IF(Upgrades!$T$10="Stellar Coupling",POWER(Upgrades!$U$10,I381),1)*IF(Upgrades!$T$11="Stellar Coupling",POWER(Upgrades!$U$11,J381),1)*IF(Upgrades!$T$12="Stellar Coupling",POWER(Upgrades!$U$12,K381),1))+(IF(H381=0,0,(Upgrades!$M$9+H381*Upgrades!$N$9)*POWER(Upgrades!$O$9,H381)))*(IF(Upgrades!$T$6="Magnetosphere",POWER(Upgrades!$U$6,E381),1)*IF(Upgrades!$T$7="Magnetosphere",POWER(Upgrades!$U$7,F381),1)*IF(Upgrades!$T$8="Magnetosphere",POWER(Upgrades!$U$8,G381),1)*IF(Upgrades!$T$10="Magnetosphere",POWER(Upgrades!$U$10,I381),1)*IF(Upgrades!$T$11="Magnetosphere",POWER(Upgrades!$U$11,J381),1)*IF(Upgrades!$T$12="Magnetosphere",POWER(Upgrades!$U$12,K381),1))+(IF(I381=0,0,(Upgrades!$M$10+I381*Upgrades!$N$10)*POWER(Upgrades!$O$10,I381)))*(IF(Upgrades!$T$6="Orbital Resonance",POWER(Upgrades!$U$6,E381),1)*IF(Upgrades!$T$7="Orbital Resonance",POWER(Upgrades!$U$7,F381),1)*IF(Upgrades!$T$8="Orbital Resonance",POWER(Upgrades!$U$8,G381),1)*IF(Upgrades!$T$9="Orbital Resonance",POWER(Upgrades!$U$9,H381),1)*IF(Upgrades!$T$11="Orbital Resonance",POWER(Upgrades!$U$11,J381),1)*IF(Upgrades!$T$12="Orbital Resonance",POWER(Upgrades!$U$12,K381),1))+(IF(J381=0,0,(Upgrades!$M$11+J381*Upgrades!$N$11)*POWER(Upgrades!$O$11,J381)))*(IF(Upgrades!$T$6="Heliopause",POWER(Upgrades!$U$6,E381),1)*IF(Upgrades!$T$7="Heliopause",POWER(Upgrades!$U$7,F381),1)*IF(Upgrades!$T$8="Heliopause",POWER(Upgrades!$U$8,G381),1)*IF(Upgrades!$T$9="Heliopause",POWER(Upgrades!$U$9,H381),1)*IF(Upgrades!$T$10="Heliopause",POWER(Upgrades!$U$10,I381),1)*IF(Upgrades!$T$12="Heliopause",POWER(Upgrades!$U$12,K381),1))+(IF(K381=0,0,(Upgrades!$M$12+K381*Upgrades!$N$12)*POWER(Upgrades!$O$12,K381)))*(IF(Upgrades!$T$6="First Photons",POWER(Upgrades!$U$6,E381),1)*IF(Upgrades!$T$7="First Photons",POWER(Upgrades!$U$7,F381),1)*IF(Upgrades!$T$8="First Photons",POWER(Upgrades!$U$8,G381),1)*IF(Upgrades!$T$9="First Photons",POWER(Upgrades!$U$9,H381),1)*IF(Upgrades!$T$10="First Photons",POWER(Upgrades!$U$10,I381),1)*IF(Upgrades!$T$11="First Photons",POWER(Upgrades!$U$11,J381),1)))*POWER(Upgrades!$R$6,E381)*POWER(Upgrades!$R$7,F381)*POWER(Upgrades!$R$8,G381)*POWER(Upgrades!$R$9,H381)*POWER(Upgrades!$R$10,I381)*POWER(Upgrades!$R$11,J381)*POWER(Upgrades!$R$12,K381)</f>
        <v/>
      </c>
      <c r="P381" s="27">
        <f>IF(L381=1,0,M381*Parameters!$B$10/60*Parameters!$B$11*10)</f>
        <v/>
      </c>
      <c r="Q381" s="27">
        <f>IF(L381=1,0,O381*M381*10)</f>
        <v/>
      </c>
      <c r="R381" s="27">
        <f>IF(L381=1,0,N381*10)</f>
        <v/>
      </c>
      <c r="S381" s="27">
        <f>P381+Q381+R381</f>
        <v/>
      </c>
      <c r="T381" s="22">
        <f>C381+S381</f>
        <v/>
      </c>
      <c r="U381" s="33">
        <f>AX381</f>
        <v/>
      </c>
      <c r="V381" s="22">
        <f>IF(U381="",0,IF(U381="transition",0,IF(U381="SW",AG381,IF(U381="AB",AH381,IF(U381="SC",AI381,IF(U381="Mag",AJ381,IF(U381="OR",AK381,IF(U381="HP",AL381,IF(U381="FP",AM381,0)))))))))</f>
        <v/>
      </c>
      <c r="W381" s="27">
        <f>IF(U381="OR",Upgrades!$F$10,IF(U381="HP",Upgrades!$F$11,IF(U381="transition",-Parameters!$B$18,0)))</f>
        <v/>
      </c>
      <c r="X381" s="22">
        <f>T381-V381</f>
        <v/>
      </c>
      <c r="Y381" s="30">
        <f>M381*Parameters!$B$10/60*Parameters!$B$11+O381*M381+N381</f>
        <v/>
      </c>
      <c r="Z381" s="34">
        <f>IF(U381="transition","→ Tier 2 (Stellar Neighborhood)",IF(U381="FP","First Photons — light begins, system quickens",IF(U381="HP","Heliopause acquired",IF(U381="OR","Orbital Resonance — passive multiplier active",IF(AND(AO381=1,L381=0,AN381&lt;&gt;1),"Cohesion ready (waiting on completionist upgrades)","")))))</f>
        <v/>
      </c>
      <c r="AA381" s="27">
        <f>(IF(E381=0,0,(Upgrades!$G$6+E381*Upgrades!$H$6)*POWER(Upgrades!$I$6,E381)))*(IF(Upgrades!$T$7="Solar Wind",POWER(Upgrades!$U$7,F381),1)*IF(Upgrades!$T$8="Solar Wind",POWER(Upgrades!$U$8,G381),1)*IF(Upgrades!$T$9="Solar Wind",POWER(Upgrades!$U$9,H381),1)*IF(Upgrades!$T$10="Solar Wind",POWER(Upgrades!$U$10,I381),1)*IF(Upgrades!$T$11="Solar Wind",POWER(Upgrades!$U$11,J381),1)*IF(Upgrades!$T$12="Solar Wind",POWER(Upgrades!$U$12,K381),1))*POWER(Upgrades!$P$6,E381)*POWER(Upgrades!$P$7,F381)*POWER(Upgrades!$P$8,G381)*POWER(Upgrades!$P$9,H381)*POWER(Upgrades!$P$10,I381)*POWER(Upgrades!$P$11,J381)*POWER(Upgrades!$P$12,K381)*60</f>
        <v/>
      </c>
      <c r="AB381" s="27">
        <f>(IF(F381=0,0,(Upgrades!$G$7+F381*Upgrades!$H$7)*POWER(Upgrades!$I$7,F381)))*(IF(Upgrades!$T$6="Asteroid Belt",POWER(Upgrades!$U$6,E381),1)*IF(Upgrades!$T$8="Asteroid Belt",POWER(Upgrades!$U$8,G381),1)*IF(Upgrades!$T$9="Asteroid Belt",POWER(Upgrades!$U$9,H381),1)*IF(Upgrades!$T$10="Asteroid Belt",POWER(Upgrades!$U$10,I381),1)*IF(Upgrades!$T$11="Asteroid Belt",POWER(Upgrades!$U$11,J381),1)*IF(Upgrades!$T$12="Asteroid Belt",POWER(Upgrades!$U$12,K381),1))*POWER(Upgrades!$P$6,E381)*POWER(Upgrades!$P$7,F381)*POWER(Upgrades!$P$8,G381)*POWER(Upgrades!$P$9,H381)*POWER(Upgrades!$P$10,I381)*POWER(Upgrades!$P$11,J381)*POWER(Upgrades!$P$12,K381)*60</f>
        <v/>
      </c>
      <c r="AC381" s="27">
        <f>(IF(G381=0,0,(Upgrades!$J$8+G381*Upgrades!$K$8)*POWER(Upgrades!$L$8,G381)))*(IF(Upgrades!$T$6="Stellar Coupling",POWER(Upgrades!$U$6,E381),1)*IF(Upgrades!$T$7="Stellar Coupling",POWER(Upgrades!$U$7,F381),1)*IF(Upgrades!$T$9="Stellar Coupling",POWER(Upgrades!$U$9,H381),1)*IF(Upgrades!$T$10="Stellar Coupling",POWER(Upgrades!$U$10,I381),1)*IF(Upgrades!$T$11="Stellar Coupling",POWER(Upgrades!$U$11,J381),1)*IF(Upgrades!$T$12="Stellar Coupling",POWER(Upgrades!$U$12,K381),1))*POWER(Upgrades!$Q$6,E381)*POWER(Upgrades!$Q$7,F381)*POWER(Upgrades!$Q$8,G381)*POWER(Upgrades!$Q$9,H381)*POWER(Upgrades!$Q$10,I381)*POWER(Upgrades!$Q$11,J381)*POWER(Upgrades!$Q$12,K381)*Parameters!$B$10*Parameters!$B$11</f>
        <v/>
      </c>
      <c r="AD381" s="27">
        <f>(IF(H381=0,0,(Upgrades!$G$9+H381*Upgrades!$H$9)*POWER(Upgrades!$I$9,H381)))*(IF(Upgrades!$T$6="Magnetosphere",POWER(Upgrades!$U$6,E381),1)*IF(Upgrades!$T$7="Magnetosphere",POWER(Upgrades!$U$7,F381),1)*IF(Upgrades!$T$8="Magnetosphere",POWER(Upgrades!$U$8,G381),1)*IF(Upgrades!$T$10="Magnetosphere",POWER(Upgrades!$U$10,I381),1)*IF(Upgrades!$T$11="Magnetosphere",POWER(Upgrades!$U$11,J381),1)*IF(Upgrades!$T$12="Magnetosphere",POWER(Upgrades!$U$12,K381),1))*POWER(Upgrades!$P$6,E381)*POWER(Upgrades!$P$7,F381)*POWER(Upgrades!$P$8,G381)*POWER(Upgrades!$P$9,H381)*POWER(Upgrades!$P$10,I381)*POWER(Upgrades!$P$11,J381)*POWER(Upgrades!$P$12,K381)*60</f>
        <v/>
      </c>
      <c r="AE381" s="27">
        <f>(IF(K381=0,0,(Upgrades!$G$12+K381*Upgrades!$H$12)*POWER(Upgrades!$I$12,K381)))*(IF(Upgrades!$T$6="First Photons",POWER(Upgrades!$U$6,E381),1)*IF(Upgrades!$T$7="First Photons",POWER(Upgrades!$U$7,F381),1)*IF(Upgrades!$T$8="First Photons",POWER(Upgrades!$U$8,G381),1)*IF(Upgrades!$T$9="First Photons",POWER(Upgrades!$U$9,H381),1)*IF(Upgrades!$T$10="First Photons",POWER(Upgrades!$U$10,I381),1)*IF(Upgrades!$T$11="First Photons",POWER(Upgrades!$U$11,J381),1))*POWER(Upgrades!$P$6,E381)*POWER(Upgrades!$P$7,F381)*POWER(Upgrades!$P$8,G381)*POWER(Upgrades!$P$9,H381)*POWER(Upgrades!$P$10,I381)*POWER(Upgrades!$P$11,J381)*POWER(Upgrades!$P$12,K381)*60</f>
        <v/>
      </c>
      <c r="AF381" s="27">
        <f>Parameters!$B$9*POWER(Upgrades!$Q$6,E381)*POWER(Upgrades!$Q$7,F381)*POWER(Upgrades!$Q$8,G381)*POWER(Upgrades!$Q$9,H381)*POWER(Upgrades!$Q$10,I381)*POWER(Upgrades!$Q$11,J381)*POWER(Upgrades!$Q$12,K381)*(Parameters!$B$10*Parameters!$B$11+O381*60)</f>
        <v/>
      </c>
      <c r="AG381" s="22">
        <f>IF(E381&gt;=Upgrades!$E$6,"",Upgrades!$C$6*POWER(Upgrades!$D$6,E381))</f>
        <v/>
      </c>
      <c r="AH381" s="22">
        <f>IF(F381&gt;=Upgrades!$E$7,"",Upgrades!$C$7*POWER(Upgrades!$D$7,F381))</f>
        <v/>
      </c>
      <c r="AI381" s="22">
        <f>IF(G381&gt;=Upgrades!$E$8,"",Upgrades!$C$8*POWER(Upgrades!$D$8,G381))</f>
        <v/>
      </c>
      <c r="AJ381" s="22">
        <f>IF(H381&gt;=Upgrades!$E$9,"",Upgrades!$C$9*POWER(Upgrades!$D$9,H381))</f>
        <v/>
      </c>
      <c r="AK381" s="22">
        <f>IF(I381&gt;=Upgrades!$E$10,"",Upgrades!$C$10*POWER(Upgrades!$D$10,I381))</f>
        <v/>
      </c>
      <c r="AL381" s="22">
        <f>IF(J381&gt;=Upgrades!$E$11,"",Upgrades!$C$11*POWER(Upgrades!$D$11,J381))</f>
        <v/>
      </c>
      <c r="AM381" s="22">
        <f>IF(K381&gt;=Upgrades!$E$12,"",Upgrades!$C$12*POWER(Upgrades!$D$12,K381))</f>
        <v/>
      </c>
      <c r="AN381" s="26">
        <f>IF(AND(D381&gt;=Parameters!$B$18,(H381&gt;=Upgrades!$E$9)*(K381&gt;=Upgrades!$E$12)=1,L381=0),1,"")</f>
        <v/>
      </c>
      <c r="AO381" s="26">
        <f>IF(AND(D381&gt;=Parameters!$B$18,L381=0),1,"")</f>
        <v/>
      </c>
      <c r="AP381" s="22">
        <f>MIN(IF(ISNUMBER(AK381),AK381,9E15),IF(ISNUMBER(AL381),AL381,9E15),IF(ISNUMBER(AM381),AM381,9E15))</f>
        <v/>
      </c>
      <c r="AQ381" s="22">
        <f>MIN(IF(ISNUMBER(AG381),AG381,9E15),IF(ISNUMBER(AH381),AH381,9E15),IF(ISNUMBER(AI381),AI381,9E15),IF(ISNUMBER(AJ381),AJ381,9E15))</f>
        <v/>
      </c>
      <c r="AR381" s="29">
        <f>IF(AW381&gt;Parameters!$B$21*(MAX(IF(AND(NOT(AND(AO381=1,AN381&lt;&gt;1)),ISNUMBER(AG381),AG381&lt;=T381),AS381,0),IF(AND(NOT(AND(AO381=1,AN381&lt;&gt;1)),ISNUMBER(AH381),AH381&lt;=T381),AT381,0),IF(AND(NOT(AND(AO381=1,AN381&lt;&gt;1)),ISNUMBER(AI381),AI381&lt;=T381),AU381,0),IF(AND(ISNUMBER(AJ381),AJ381&lt;=T381),AV381,0))),TRUE,FALSE)</f>
        <v/>
      </c>
      <c r="AS381" s="32">
        <f>IFERROR(Upgrades!$H$6*(POWER(Upgrades!$P$6,E381)*POWER(Upgrades!$P$7,F381)*POWER(Upgrades!$P$8,G381)*POWER(Upgrades!$P$9,H381)*POWER(Upgrades!$P$10,I381)*POWER(Upgrades!$P$11,J381)*POWER(Upgrades!$P$12,K381))*(IF(Upgrades!$T$7="Solar Wind",POWER(Upgrades!$U$7,F381),1)*IF(Upgrades!$T$8="Solar Wind",POWER(Upgrades!$U$8,G381),1)*IF(Upgrades!$T$9="Solar Wind",POWER(Upgrades!$U$9,H381),1)*IF(Upgrades!$T$10="Solar Wind",POWER(Upgrades!$U$10,I381),1)*IF(Upgrades!$T$11="Solar Wind",POWER(Upgrades!$U$11,J381),1)*IF(Upgrades!$T$12="Solar Wind",POWER(Upgrades!$U$12,K381),1))/AG381,0)</f>
        <v/>
      </c>
      <c r="AT381" s="32">
        <f>IFERROR(Upgrades!$H$7*(POWER(Upgrades!$P$6,E381)*POWER(Upgrades!$P$7,F381)*POWER(Upgrades!$P$8,G381)*POWER(Upgrades!$P$9,H381)*POWER(Upgrades!$P$10,I381)*POWER(Upgrades!$P$11,J381)*POWER(Upgrades!$P$12,K381))*(IF(Upgrades!$T$6="Asteroid Belt",POWER(Upgrades!$U$6,E381),1)*IF(Upgrades!$T$8="Asteroid Belt",POWER(Upgrades!$U$8,G381),1)*IF(Upgrades!$T$9="Asteroid Belt",POWER(Upgrades!$U$9,H381),1)*IF(Upgrades!$T$10="Asteroid Belt",POWER(Upgrades!$U$10,I381),1)*IF(Upgrades!$T$11="Asteroid Belt",POWER(Upgrades!$U$11,J381),1)*IF(Upgrades!$T$12="Asteroid Belt",POWER(Upgrades!$U$12,K381),1))/AH381,0)</f>
        <v/>
      </c>
      <c r="AU381" s="32">
        <f>IFERROR(Upgrades!$K$8*(POWER(Upgrades!$Q$6,E381)*POWER(Upgrades!$Q$7,F381)*POWER(Upgrades!$Q$8,G381)*POWER(Upgrades!$Q$9,H381)*POWER(Upgrades!$Q$10,I381)*POWER(Upgrades!$Q$11,J381)*POWER(Upgrades!$Q$12,K381))*(IF(Upgrades!$T$6="Stellar Coupling",POWER(Upgrades!$U$6,E381),1)*IF(Upgrades!$T$7="Stellar Coupling",POWER(Upgrades!$U$7,F381),1)*IF(Upgrades!$T$9="Stellar Coupling",POWER(Upgrades!$U$9,H381),1)*IF(Upgrades!$T$10="Stellar Coupling",POWER(Upgrades!$U$10,I381),1)*IF(Upgrades!$T$11="Stellar Coupling",POWER(Upgrades!$U$11,J381),1)*IF(Upgrades!$T$12="Stellar Coupling",POWER(Upgrades!$U$12,K381),1))*Parameters!$B$10*Parameters!$B$11/60/AI381,0)</f>
        <v/>
      </c>
      <c r="AV381" s="32">
        <f>IFERROR(Upgrades!$H$9*(POWER(Upgrades!$P$6,E381)*POWER(Upgrades!$P$7,F381)*POWER(Upgrades!$P$8,G381)*POWER(Upgrades!$P$9,H381)*POWER(Upgrades!$P$10,I381)*POWER(Upgrades!$P$11,J381)*POWER(Upgrades!$P$12,K381))*(IF(Upgrades!$T$6="Magnetosphere",POWER(Upgrades!$U$6,E381),1)*IF(Upgrades!$T$7="Magnetosphere",POWER(Upgrades!$U$7,F381),1)*IF(Upgrades!$T$8="Magnetosphere",POWER(Upgrades!$U$8,G381),1)*IF(Upgrades!$T$10="Magnetosphere",POWER(Upgrades!$U$10,I381),1)*IF(Upgrades!$T$11="Magnetosphere",POWER(Upgrades!$U$11,J381),1)*IF(Upgrades!$T$12="Magnetosphere",POWER(Upgrades!$U$12,K381),1))/AJ381,0)</f>
        <v/>
      </c>
      <c r="AW381" s="32">
        <f>MAX(IF(I381&gt;0,0,IFERROR(0.25*N381/Upgrades!$C$10,0)),IF(J381&gt;0,0,IFERROR(0.5*((IF(G381=0,0,(Upgrades!$J$8+G381*Upgrades!$K$8)*POWER(Upgrades!$L$8,G381)))*(IF(Upgrades!$T$6="Stellar Coupling",POWER(Upgrades!$U$6,E381),1)*IF(Upgrades!$T$7="Stellar Coupling",POWER(Upgrades!$U$7,F381),1)*IF(Upgrades!$T$9="Stellar Coupling",POWER(Upgrades!$U$9,H381),1)*IF(Upgrades!$T$10="Stellar Coupling",POWER(Upgrades!$U$10,I381),1)*IF(Upgrades!$T$11="Stellar Coupling",POWER(Upgrades!$U$11,J381),1)*IF(Upgrades!$T$12="Stellar Coupling",POWER(Upgrades!$U$12,K381),1))*(POWER(Upgrades!$Q$6,E381)*POWER(Upgrades!$Q$7,F381)*POWER(Upgrades!$Q$8,G381)*POWER(Upgrades!$Q$9,H381)*POWER(Upgrades!$Q$10,I381)*POWER(Upgrades!$Q$11,J381)*POWER(Upgrades!$Q$12,K381))*Parameters!$B$10*Parameters!$B$11/60)/Upgrades!$C$11,0)),IF(K381&gt;0,0,IFERROR((1.0*(POWER(Upgrades!$P$6,E381)*POWER(Upgrades!$P$7,F381)*POWER(Upgrades!$P$8,G381)*POWER(Upgrades!$P$9,H381)*POWER(Upgrades!$P$10,I381)*POWER(Upgrades!$P$11,J381)*POWER(Upgrades!$P$12,K381))+0.20*M381*Parameters!$B$10*Parameters!$B$11/60)/Upgrades!$C$12,0)),IF(AND(ISNUMBER(AG381),AG381&gt;T381),AS381,0),IF(AND(ISNUMBER(AH381),AH381&gt;T381),AT381,0),IF(AND(ISNUMBER(AI381),AI381&gt;T381),AU381,0),IF(AND(ISNUMBER(AJ381),AJ381&gt;T381),AV381,0))</f>
        <v/>
      </c>
      <c r="AX381" s="29">
        <f>IF(AN381=1,"transition",IF(MIN(IF(AND(I381=0,ISNUMBER(AK381),AK381&lt;=T381),AK381,9E15),IF(AND(J381=0,ISNUMBER(AL381),AL381&lt;=T381),AL381,9E15),IF(AND(K381=0,ISNUMBER(AM381),AM381&lt;=T381),AM381,9E15))&lt;9E15,IF(AND(AND(I381=0,ISNUMBER(AK381),AK381&lt;=T381),AK381=MIN(IF(AND(I381=0,ISNUMBER(AK381),AK381&lt;=T381),AK381,9E15),IF(AND(J381=0,ISNUMBER(AL381),AL381&lt;=T381),AL381,9E15),IF(AND(K381=0,ISNUMBER(AM381),AM381&lt;=T381),AM381,9E15))),"OR",IF(AND(AND(J381=0,ISNUMBER(AL381),AL381&lt;=T381),AL381=MIN(IF(AND(I381=0,ISNUMBER(AK381),AK381&lt;=T381),AK381,9E15),IF(AND(J381=0,ISNUMBER(AL381),AL381&lt;=T381),AL381,9E15),IF(AND(K381=0,ISNUMBER(AM381),AM381&lt;=T381),AM381,9E15))),"HP","FP")),IF(AR381=TRUE,"",IF(MAX(IF(AND(NOT(AND(AO381=1,AN381&lt;&gt;1)),ISNUMBER(AG381),AG381&lt;=T381),AS381,0),IF(AND(NOT(AND(AO381=1,AN381&lt;&gt;1)),ISNUMBER(AH381),AH381&lt;=T381),AT381,0),IF(AND(NOT(AND(AO381=1,AN381&lt;&gt;1)),ISNUMBER(AI381),AI381&lt;=T381),AU381,0),IF(AND(ISNUMBER(AJ381),AJ381&lt;=T381),AV381,0))&lt;=0,"",IF(AND(IF(AND(NOT(AND(AO381=1,AN381&lt;&gt;1)),ISNUMBER(AG381),AG381&lt;=T381),AS381,0)&gt;0,IF(AND(NOT(AND(AO381=1,AN381&lt;&gt;1)),ISNUMBER(AG381),AG381&lt;=T381),AS381,0)=MAX(IF(AND(NOT(AND(AO381=1,AN381&lt;&gt;1)),ISNUMBER(AG381),AG381&lt;=T381),AS381,0),IF(AND(NOT(AND(AO381=1,AN381&lt;&gt;1)),ISNUMBER(AH381),AH381&lt;=T381),AT381,0),IF(AND(NOT(AND(AO381=1,AN381&lt;&gt;1)),ISNUMBER(AI381),AI381&lt;=T381),AU381,0),IF(AND(ISNUMBER(AJ381),AJ381&lt;=T381),AV381,0))),"SW",IF(AND(IF(AND(NOT(AND(AO381=1,AN381&lt;&gt;1)),ISNUMBER(AH381),AH381&lt;=T381),AT381,0)&gt;0,IF(AND(NOT(AND(AO381=1,AN381&lt;&gt;1)),ISNUMBER(AH381),AH381&lt;=T381),AT381,0)=MAX(IF(AND(NOT(AND(AO381=1,AN381&lt;&gt;1)),ISNUMBER(AG381),AG381&lt;=T381),AS381,0),IF(AND(NOT(AND(AO381=1,AN381&lt;&gt;1)),ISNUMBER(AH381),AH381&lt;=T381),AT381,0),IF(AND(NOT(AND(AO381=1,AN381&lt;&gt;1)),ISNUMBER(AI381),AI381&lt;=T381),AU381,0),IF(AND(ISNUMBER(AJ381),AJ381&lt;=T381),AV381,0))),"AB",IF(AND(IF(AND(NOT(AND(AO381=1,AN381&lt;&gt;1)),ISNUMBER(AI381),AI381&lt;=T381),AU381,0)&gt;0,IF(AND(NOT(AND(AO381=1,AN381&lt;&gt;1)),ISNUMBER(AI381),AI381&lt;=T381),AU381,0)=MAX(IF(AND(NOT(AND(AO381=1,AN381&lt;&gt;1)),ISNUMBER(AG381),AG381&lt;=T381),AS381,0),IF(AND(NOT(AND(AO381=1,AN381&lt;&gt;1)),ISNUMBER(AH381),AH381&lt;=T381),AT381,0),IF(AND(NOT(AND(AO381=1,AN381&lt;&gt;1)),ISNUMBER(AI381),AI381&lt;=T381),AU381,0),IF(AND(ISNUMBER(AJ381),AJ381&lt;=T381),AV381,0))),"SC","Mag")))))))</f>
        <v/>
      </c>
    </row>
    <row r="382">
      <c r="A382" s="26" t="n">
        <v>377</v>
      </c>
      <c r="B382" s="27">
        <f>A382*10/60</f>
        <v/>
      </c>
      <c r="C382" s="22">
        <f>X381</f>
        <v/>
      </c>
      <c r="D382" s="27">
        <f>D381+W381</f>
        <v/>
      </c>
      <c r="E382" s="26">
        <f>E381+IF(U381="SW",1,0)</f>
        <v/>
      </c>
      <c r="F382" s="26">
        <f>F381+IF(U381="AB",1,0)</f>
        <v/>
      </c>
      <c r="G382" s="26">
        <f>G381+IF(U381="SC",1,0)</f>
        <v/>
      </c>
      <c r="H382" s="26">
        <f>H381+IF(U381="Mag",1,0)</f>
        <v/>
      </c>
      <c r="I382" s="26">
        <f>MAX(I381,IF(U381="OR",1,0))</f>
        <v/>
      </c>
      <c r="J382" s="26">
        <f>MAX(J381,IF(U381="HP",1,0))</f>
        <v/>
      </c>
      <c r="K382" s="26">
        <f>MAX(K381,IF(U381="FP",1,0))</f>
        <v/>
      </c>
      <c r="L382" s="26">
        <f>MAX(L381,IF(U381="transition",1,0))</f>
        <v/>
      </c>
      <c r="M382" s="28">
        <f>(Parameters!$B$9+(IF(E382=0,0,(Upgrades!$J$6+E382*Upgrades!$K$6)*POWER(Upgrades!$L$6,E382)))*(IF(Upgrades!$T$7="Solar Wind",POWER(Upgrades!$U$7,F382),1)*IF(Upgrades!$T$8="Solar Wind",POWER(Upgrades!$U$8,G382),1)*IF(Upgrades!$T$9="Solar Wind",POWER(Upgrades!$U$9,H382),1)*IF(Upgrades!$T$10="Solar Wind",POWER(Upgrades!$U$10,I382),1)*IF(Upgrades!$T$11="Solar Wind",POWER(Upgrades!$U$11,J382),1)*IF(Upgrades!$T$12="Solar Wind",POWER(Upgrades!$U$12,K382),1))+(IF(F382=0,0,(Upgrades!$J$7+F382*Upgrades!$K$7)*POWER(Upgrades!$L$7,F382)))*(IF(Upgrades!$T$6="Asteroid Belt",POWER(Upgrades!$U$6,E382),1)*IF(Upgrades!$T$8="Asteroid Belt",POWER(Upgrades!$U$8,G382),1)*IF(Upgrades!$T$9="Asteroid Belt",POWER(Upgrades!$U$9,H382),1)*IF(Upgrades!$T$10="Asteroid Belt",POWER(Upgrades!$U$10,I382),1)*IF(Upgrades!$T$11="Asteroid Belt",POWER(Upgrades!$U$11,J382),1)*IF(Upgrades!$T$12="Asteroid Belt",POWER(Upgrades!$U$12,K382),1))+(IF(G382=0,0,(Upgrades!$J$8+G382*Upgrades!$K$8)*POWER(Upgrades!$L$8,G382)))*(IF(Upgrades!$T$6="Stellar Coupling",POWER(Upgrades!$U$6,E382),1)*IF(Upgrades!$T$7="Stellar Coupling",POWER(Upgrades!$U$7,F382),1)*IF(Upgrades!$T$9="Stellar Coupling",POWER(Upgrades!$U$9,H382),1)*IF(Upgrades!$T$10="Stellar Coupling",POWER(Upgrades!$U$10,I382),1)*IF(Upgrades!$T$11="Stellar Coupling",POWER(Upgrades!$U$11,J382),1)*IF(Upgrades!$T$12="Stellar Coupling",POWER(Upgrades!$U$12,K382),1))+(IF(H382=0,0,(Upgrades!$J$9+H382*Upgrades!$K$9)*POWER(Upgrades!$L$9,H382)))*(IF(Upgrades!$T$6="Magnetosphere",POWER(Upgrades!$U$6,E382),1)*IF(Upgrades!$T$7="Magnetosphere",POWER(Upgrades!$U$7,F382),1)*IF(Upgrades!$T$8="Magnetosphere",POWER(Upgrades!$U$8,G382),1)*IF(Upgrades!$T$10="Magnetosphere",POWER(Upgrades!$U$10,I382),1)*IF(Upgrades!$T$11="Magnetosphere",POWER(Upgrades!$U$11,J382),1)*IF(Upgrades!$T$12="Magnetosphere",POWER(Upgrades!$U$12,K382),1))+(IF(I382=0,0,(Upgrades!$J$10+I382*Upgrades!$K$10)*POWER(Upgrades!$L$10,I382)))*(IF(Upgrades!$T$6="Orbital Resonance",POWER(Upgrades!$U$6,E382),1)*IF(Upgrades!$T$7="Orbital Resonance",POWER(Upgrades!$U$7,F382),1)*IF(Upgrades!$T$8="Orbital Resonance",POWER(Upgrades!$U$8,G382),1)*IF(Upgrades!$T$9="Orbital Resonance",POWER(Upgrades!$U$9,H382),1)*IF(Upgrades!$T$11="Orbital Resonance",POWER(Upgrades!$U$11,J382),1)*IF(Upgrades!$T$12="Orbital Resonance",POWER(Upgrades!$U$12,K382),1))+(IF(J382=0,0,(Upgrades!$J$11+J382*Upgrades!$K$11)*POWER(Upgrades!$L$11,J382)))*(IF(Upgrades!$T$6="Heliopause",POWER(Upgrades!$U$6,E382),1)*IF(Upgrades!$T$7="Heliopause",POWER(Upgrades!$U$7,F382),1)*IF(Upgrades!$T$8="Heliopause",POWER(Upgrades!$U$8,G382),1)*IF(Upgrades!$T$9="Heliopause",POWER(Upgrades!$U$9,H382),1)*IF(Upgrades!$T$10="Heliopause",POWER(Upgrades!$U$10,I382),1)*IF(Upgrades!$T$12="Heliopause",POWER(Upgrades!$U$12,K382),1))+(IF(K382=0,0,(Upgrades!$J$12+K382*Upgrades!$K$12)*POWER(Upgrades!$L$12,K382)))*(IF(Upgrades!$T$6="First Photons",POWER(Upgrades!$U$6,E382),1)*IF(Upgrades!$T$7="First Photons",POWER(Upgrades!$U$7,F382),1)*IF(Upgrades!$T$8="First Photons",POWER(Upgrades!$U$8,G382),1)*IF(Upgrades!$T$9="First Photons",POWER(Upgrades!$U$9,H382),1)*IF(Upgrades!$T$10="First Photons",POWER(Upgrades!$U$10,I382),1)*IF(Upgrades!$T$11="First Photons",POWER(Upgrades!$U$11,J382),1)))*POWER(Upgrades!$Q$6,E382)*POWER(Upgrades!$Q$7,F382)*POWER(Upgrades!$Q$8,G382)*POWER(Upgrades!$Q$9,H382)*POWER(Upgrades!$Q$10,I382)*POWER(Upgrades!$Q$11,J382)*POWER(Upgrades!$Q$12,K382)</f>
        <v/>
      </c>
      <c r="N382" s="28">
        <f>((IF(E382=0,0,(Upgrades!$G$6+E382*Upgrades!$H$6)*POWER(Upgrades!$I$6,E382)))*(IF(Upgrades!$T$7="Solar Wind",POWER(Upgrades!$U$7,F382),1)*IF(Upgrades!$T$8="Solar Wind",POWER(Upgrades!$U$8,G382),1)*IF(Upgrades!$T$9="Solar Wind",POWER(Upgrades!$U$9,H382),1)*IF(Upgrades!$T$10="Solar Wind",POWER(Upgrades!$U$10,I382),1)*IF(Upgrades!$T$11="Solar Wind",POWER(Upgrades!$U$11,J382),1)*IF(Upgrades!$T$12="Solar Wind",POWER(Upgrades!$U$12,K382),1))+(IF(F382=0,0,(Upgrades!$G$7+F382*Upgrades!$H$7)*POWER(Upgrades!$I$7,F382)))*(IF(Upgrades!$T$6="Asteroid Belt",POWER(Upgrades!$U$6,E382),1)*IF(Upgrades!$T$8="Asteroid Belt",POWER(Upgrades!$U$8,G382),1)*IF(Upgrades!$T$9="Asteroid Belt",POWER(Upgrades!$U$9,H382),1)*IF(Upgrades!$T$10="Asteroid Belt",POWER(Upgrades!$U$10,I382),1)*IF(Upgrades!$T$11="Asteroid Belt",POWER(Upgrades!$U$11,J382),1)*IF(Upgrades!$T$12="Asteroid Belt",POWER(Upgrades!$U$12,K382),1))+(IF(G382=0,0,(Upgrades!$G$8+G382*Upgrades!$H$8)*POWER(Upgrades!$I$8,G382)))*(IF(Upgrades!$T$6="Stellar Coupling",POWER(Upgrades!$U$6,E382),1)*IF(Upgrades!$T$7="Stellar Coupling",POWER(Upgrades!$U$7,F382),1)*IF(Upgrades!$T$9="Stellar Coupling",POWER(Upgrades!$U$9,H382),1)*IF(Upgrades!$T$10="Stellar Coupling",POWER(Upgrades!$U$10,I382),1)*IF(Upgrades!$T$11="Stellar Coupling",POWER(Upgrades!$U$11,J382),1)*IF(Upgrades!$T$12="Stellar Coupling",POWER(Upgrades!$U$12,K382),1))+(IF(H382=0,0,(Upgrades!$G$9+H382*Upgrades!$H$9)*POWER(Upgrades!$I$9,H382)))*(IF(Upgrades!$T$6="Magnetosphere",POWER(Upgrades!$U$6,E382),1)*IF(Upgrades!$T$7="Magnetosphere",POWER(Upgrades!$U$7,F382),1)*IF(Upgrades!$T$8="Magnetosphere",POWER(Upgrades!$U$8,G382),1)*IF(Upgrades!$T$10="Magnetosphere",POWER(Upgrades!$U$10,I382),1)*IF(Upgrades!$T$11="Magnetosphere",POWER(Upgrades!$U$11,J382),1)*IF(Upgrades!$T$12="Magnetosphere",POWER(Upgrades!$U$12,K382),1))+(IF(I382=0,0,(Upgrades!$G$10+I382*Upgrades!$H$10)*POWER(Upgrades!$I$10,I382)))*(IF(Upgrades!$T$6="Orbital Resonance",POWER(Upgrades!$U$6,E382),1)*IF(Upgrades!$T$7="Orbital Resonance",POWER(Upgrades!$U$7,F382),1)*IF(Upgrades!$T$8="Orbital Resonance",POWER(Upgrades!$U$8,G382),1)*IF(Upgrades!$T$9="Orbital Resonance",POWER(Upgrades!$U$9,H382),1)*IF(Upgrades!$T$11="Orbital Resonance",POWER(Upgrades!$U$11,J382),1)*IF(Upgrades!$T$12="Orbital Resonance",POWER(Upgrades!$U$12,K382),1))+(IF(J382=0,0,(Upgrades!$G$11+J382*Upgrades!$H$11)*POWER(Upgrades!$I$11,J382)))*(IF(Upgrades!$T$6="Heliopause",POWER(Upgrades!$U$6,E382),1)*IF(Upgrades!$T$7="Heliopause",POWER(Upgrades!$U$7,F382),1)*IF(Upgrades!$T$8="Heliopause",POWER(Upgrades!$U$8,G382),1)*IF(Upgrades!$T$9="Heliopause",POWER(Upgrades!$U$9,H382),1)*IF(Upgrades!$T$10="Heliopause",POWER(Upgrades!$U$10,I382),1)*IF(Upgrades!$T$12="Heliopause",POWER(Upgrades!$U$12,K382),1))+(IF(K382=0,0,(Upgrades!$G$12+K382*Upgrades!$H$12)*POWER(Upgrades!$I$12,K382)))*(IF(Upgrades!$T$6="First Photons",POWER(Upgrades!$U$6,E382),1)*IF(Upgrades!$T$7="First Photons",POWER(Upgrades!$U$7,F382),1)*IF(Upgrades!$T$8="First Photons",POWER(Upgrades!$U$8,G382),1)*IF(Upgrades!$T$9="First Photons",POWER(Upgrades!$U$9,H382),1)*IF(Upgrades!$T$10="First Photons",POWER(Upgrades!$U$10,I382),1)*IF(Upgrades!$T$11="First Photons",POWER(Upgrades!$U$11,J382),1)))*POWER(Upgrades!$P$6,E382)*POWER(Upgrades!$P$7,F382)*POWER(Upgrades!$P$8,G382)*POWER(Upgrades!$P$9,H382)*POWER(Upgrades!$P$10,I382)*POWER(Upgrades!$P$11,J382)*POWER(Upgrades!$P$12,K382)</f>
        <v/>
      </c>
      <c r="O382" s="28">
        <f>((IF(E382=0,0,(Upgrades!$M$6+E382*Upgrades!$N$6)*POWER(Upgrades!$O$6,E382)))*(IF(Upgrades!$T$7="Solar Wind",POWER(Upgrades!$U$7,F382),1)*IF(Upgrades!$T$8="Solar Wind",POWER(Upgrades!$U$8,G382),1)*IF(Upgrades!$T$9="Solar Wind",POWER(Upgrades!$U$9,H382),1)*IF(Upgrades!$T$10="Solar Wind",POWER(Upgrades!$U$10,I382),1)*IF(Upgrades!$T$11="Solar Wind",POWER(Upgrades!$U$11,J382),1)*IF(Upgrades!$T$12="Solar Wind",POWER(Upgrades!$U$12,K382),1))+(IF(F382=0,0,(Upgrades!$M$7+F382*Upgrades!$N$7)*POWER(Upgrades!$O$7,F382)))*(IF(Upgrades!$T$6="Asteroid Belt",POWER(Upgrades!$U$6,E382),1)*IF(Upgrades!$T$8="Asteroid Belt",POWER(Upgrades!$U$8,G382),1)*IF(Upgrades!$T$9="Asteroid Belt",POWER(Upgrades!$U$9,H382),1)*IF(Upgrades!$T$10="Asteroid Belt",POWER(Upgrades!$U$10,I382),1)*IF(Upgrades!$T$11="Asteroid Belt",POWER(Upgrades!$U$11,J382),1)*IF(Upgrades!$T$12="Asteroid Belt",POWER(Upgrades!$U$12,K382),1))+(IF(G382=0,0,(Upgrades!$M$8+G382*Upgrades!$N$8)*POWER(Upgrades!$O$8,G382)))*(IF(Upgrades!$T$6="Stellar Coupling",POWER(Upgrades!$U$6,E382),1)*IF(Upgrades!$T$7="Stellar Coupling",POWER(Upgrades!$U$7,F382),1)*IF(Upgrades!$T$9="Stellar Coupling",POWER(Upgrades!$U$9,H382),1)*IF(Upgrades!$T$10="Stellar Coupling",POWER(Upgrades!$U$10,I382),1)*IF(Upgrades!$T$11="Stellar Coupling",POWER(Upgrades!$U$11,J382),1)*IF(Upgrades!$T$12="Stellar Coupling",POWER(Upgrades!$U$12,K382),1))+(IF(H382=0,0,(Upgrades!$M$9+H382*Upgrades!$N$9)*POWER(Upgrades!$O$9,H382)))*(IF(Upgrades!$T$6="Magnetosphere",POWER(Upgrades!$U$6,E382),1)*IF(Upgrades!$T$7="Magnetosphere",POWER(Upgrades!$U$7,F382),1)*IF(Upgrades!$T$8="Magnetosphere",POWER(Upgrades!$U$8,G382),1)*IF(Upgrades!$T$10="Magnetosphere",POWER(Upgrades!$U$10,I382),1)*IF(Upgrades!$T$11="Magnetosphere",POWER(Upgrades!$U$11,J382),1)*IF(Upgrades!$T$12="Magnetosphere",POWER(Upgrades!$U$12,K382),1))+(IF(I382=0,0,(Upgrades!$M$10+I382*Upgrades!$N$10)*POWER(Upgrades!$O$10,I382)))*(IF(Upgrades!$T$6="Orbital Resonance",POWER(Upgrades!$U$6,E382),1)*IF(Upgrades!$T$7="Orbital Resonance",POWER(Upgrades!$U$7,F382),1)*IF(Upgrades!$T$8="Orbital Resonance",POWER(Upgrades!$U$8,G382),1)*IF(Upgrades!$T$9="Orbital Resonance",POWER(Upgrades!$U$9,H382),1)*IF(Upgrades!$T$11="Orbital Resonance",POWER(Upgrades!$U$11,J382),1)*IF(Upgrades!$T$12="Orbital Resonance",POWER(Upgrades!$U$12,K382),1))+(IF(J382=0,0,(Upgrades!$M$11+J382*Upgrades!$N$11)*POWER(Upgrades!$O$11,J382)))*(IF(Upgrades!$T$6="Heliopause",POWER(Upgrades!$U$6,E382),1)*IF(Upgrades!$T$7="Heliopause",POWER(Upgrades!$U$7,F382),1)*IF(Upgrades!$T$8="Heliopause",POWER(Upgrades!$U$8,G382),1)*IF(Upgrades!$T$9="Heliopause",POWER(Upgrades!$U$9,H382),1)*IF(Upgrades!$T$10="Heliopause",POWER(Upgrades!$U$10,I382),1)*IF(Upgrades!$T$12="Heliopause",POWER(Upgrades!$U$12,K382),1))+(IF(K382=0,0,(Upgrades!$M$12+K382*Upgrades!$N$12)*POWER(Upgrades!$O$12,K382)))*(IF(Upgrades!$T$6="First Photons",POWER(Upgrades!$U$6,E382),1)*IF(Upgrades!$T$7="First Photons",POWER(Upgrades!$U$7,F382),1)*IF(Upgrades!$T$8="First Photons",POWER(Upgrades!$U$8,G382),1)*IF(Upgrades!$T$9="First Photons",POWER(Upgrades!$U$9,H382),1)*IF(Upgrades!$T$10="First Photons",POWER(Upgrades!$U$10,I382),1)*IF(Upgrades!$T$11="First Photons",POWER(Upgrades!$U$11,J382),1)))*POWER(Upgrades!$R$6,E382)*POWER(Upgrades!$R$7,F382)*POWER(Upgrades!$R$8,G382)*POWER(Upgrades!$R$9,H382)*POWER(Upgrades!$R$10,I382)*POWER(Upgrades!$R$11,J382)*POWER(Upgrades!$R$12,K382)</f>
        <v/>
      </c>
      <c r="P382" s="27">
        <f>IF(L382=1,0,M382*Parameters!$B$10/60*Parameters!$B$11*10)</f>
        <v/>
      </c>
      <c r="Q382" s="27">
        <f>IF(L382=1,0,O382*M382*10)</f>
        <v/>
      </c>
      <c r="R382" s="27">
        <f>IF(L382=1,0,N382*10)</f>
        <v/>
      </c>
      <c r="S382" s="27">
        <f>P382+Q382+R382</f>
        <v/>
      </c>
      <c r="T382" s="22">
        <f>C382+S382</f>
        <v/>
      </c>
      <c r="U382" s="33">
        <f>AX382</f>
        <v/>
      </c>
      <c r="V382" s="22">
        <f>IF(U382="",0,IF(U382="transition",0,IF(U382="SW",AG382,IF(U382="AB",AH382,IF(U382="SC",AI382,IF(U382="Mag",AJ382,IF(U382="OR",AK382,IF(U382="HP",AL382,IF(U382="FP",AM382,0)))))))))</f>
        <v/>
      </c>
      <c r="W382" s="27">
        <f>IF(U382="OR",Upgrades!$F$10,IF(U382="HP",Upgrades!$F$11,IF(U382="transition",-Parameters!$B$18,0)))</f>
        <v/>
      </c>
      <c r="X382" s="22">
        <f>T382-V382</f>
        <v/>
      </c>
      <c r="Y382" s="30">
        <f>M382*Parameters!$B$10/60*Parameters!$B$11+O382*M382+N382</f>
        <v/>
      </c>
      <c r="Z382" s="34">
        <f>IF(U382="transition","→ Tier 2 (Stellar Neighborhood)",IF(U382="FP","First Photons — light begins, system quickens",IF(U382="HP","Heliopause acquired",IF(U382="OR","Orbital Resonance — passive multiplier active",IF(AND(AO382=1,L382=0,AN382&lt;&gt;1),"Cohesion ready (waiting on completionist upgrades)","")))))</f>
        <v/>
      </c>
      <c r="AA382" s="27">
        <f>(IF(E382=0,0,(Upgrades!$G$6+E382*Upgrades!$H$6)*POWER(Upgrades!$I$6,E382)))*(IF(Upgrades!$T$7="Solar Wind",POWER(Upgrades!$U$7,F382),1)*IF(Upgrades!$T$8="Solar Wind",POWER(Upgrades!$U$8,G382),1)*IF(Upgrades!$T$9="Solar Wind",POWER(Upgrades!$U$9,H382),1)*IF(Upgrades!$T$10="Solar Wind",POWER(Upgrades!$U$10,I382),1)*IF(Upgrades!$T$11="Solar Wind",POWER(Upgrades!$U$11,J382),1)*IF(Upgrades!$T$12="Solar Wind",POWER(Upgrades!$U$12,K382),1))*POWER(Upgrades!$P$6,E382)*POWER(Upgrades!$P$7,F382)*POWER(Upgrades!$P$8,G382)*POWER(Upgrades!$P$9,H382)*POWER(Upgrades!$P$10,I382)*POWER(Upgrades!$P$11,J382)*POWER(Upgrades!$P$12,K382)*60</f>
        <v/>
      </c>
      <c r="AB382" s="27">
        <f>(IF(F382=0,0,(Upgrades!$G$7+F382*Upgrades!$H$7)*POWER(Upgrades!$I$7,F382)))*(IF(Upgrades!$T$6="Asteroid Belt",POWER(Upgrades!$U$6,E382),1)*IF(Upgrades!$T$8="Asteroid Belt",POWER(Upgrades!$U$8,G382),1)*IF(Upgrades!$T$9="Asteroid Belt",POWER(Upgrades!$U$9,H382),1)*IF(Upgrades!$T$10="Asteroid Belt",POWER(Upgrades!$U$10,I382),1)*IF(Upgrades!$T$11="Asteroid Belt",POWER(Upgrades!$U$11,J382),1)*IF(Upgrades!$T$12="Asteroid Belt",POWER(Upgrades!$U$12,K382),1))*POWER(Upgrades!$P$6,E382)*POWER(Upgrades!$P$7,F382)*POWER(Upgrades!$P$8,G382)*POWER(Upgrades!$P$9,H382)*POWER(Upgrades!$P$10,I382)*POWER(Upgrades!$P$11,J382)*POWER(Upgrades!$P$12,K382)*60</f>
        <v/>
      </c>
      <c r="AC382" s="27">
        <f>(IF(G382=0,0,(Upgrades!$J$8+G382*Upgrades!$K$8)*POWER(Upgrades!$L$8,G382)))*(IF(Upgrades!$T$6="Stellar Coupling",POWER(Upgrades!$U$6,E382),1)*IF(Upgrades!$T$7="Stellar Coupling",POWER(Upgrades!$U$7,F382),1)*IF(Upgrades!$T$9="Stellar Coupling",POWER(Upgrades!$U$9,H382),1)*IF(Upgrades!$T$10="Stellar Coupling",POWER(Upgrades!$U$10,I382),1)*IF(Upgrades!$T$11="Stellar Coupling",POWER(Upgrades!$U$11,J382),1)*IF(Upgrades!$T$12="Stellar Coupling",POWER(Upgrades!$U$12,K382),1))*POWER(Upgrades!$Q$6,E382)*POWER(Upgrades!$Q$7,F382)*POWER(Upgrades!$Q$8,G382)*POWER(Upgrades!$Q$9,H382)*POWER(Upgrades!$Q$10,I382)*POWER(Upgrades!$Q$11,J382)*POWER(Upgrades!$Q$12,K382)*Parameters!$B$10*Parameters!$B$11</f>
        <v/>
      </c>
      <c r="AD382" s="27">
        <f>(IF(H382=0,0,(Upgrades!$G$9+H382*Upgrades!$H$9)*POWER(Upgrades!$I$9,H382)))*(IF(Upgrades!$T$6="Magnetosphere",POWER(Upgrades!$U$6,E382),1)*IF(Upgrades!$T$7="Magnetosphere",POWER(Upgrades!$U$7,F382),1)*IF(Upgrades!$T$8="Magnetosphere",POWER(Upgrades!$U$8,G382),1)*IF(Upgrades!$T$10="Magnetosphere",POWER(Upgrades!$U$10,I382),1)*IF(Upgrades!$T$11="Magnetosphere",POWER(Upgrades!$U$11,J382),1)*IF(Upgrades!$T$12="Magnetosphere",POWER(Upgrades!$U$12,K382),1))*POWER(Upgrades!$P$6,E382)*POWER(Upgrades!$P$7,F382)*POWER(Upgrades!$P$8,G382)*POWER(Upgrades!$P$9,H382)*POWER(Upgrades!$P$10,I382)*POWER(Upgrades!$P$11,J382)*POWER(Upgrades!$P$12,K382)*60</f>
        <v/>
      </c>
      <c r="AE382" s="27">
        <f>(IF(K382=0,0,(Upgrades!$G$12+K382*Upgrades!$H$12)*POWER(Upgrades!$I$12,K382)))*(IF(Upgrades!$T$6="First Photons",POWER(Upgrades!$U$6,E382),1)*IF(Upgrades!$T$7="First Photons",POWER(Upgrades!$U$7,F382),1)*IF(Upgrades!$T$8="First Photons",POWER(Upgrades!$U$8,G382),1)*IF(Upgrades!$T$9="First Photons",POWER(Upgrades!$U$9,H382),1)*IF(Upgrades!$T$10="First Photons",POWER(Upgrades!$U$10,I382),1)*IF(Upgrades!$T$11="First Photons",POWER(Upgrades!$U$11,J382),1))*POWER(Upgrades!$P$6,E382)*POWER(Upgrades!$P$7,F382)*POWER(Upgrades!$P$8,G382)*POWER(Upgrades!$P$9,H382)*POWER(Upgrades!$P$10,I382)*POWER(Upgrades!$P$11,J382)*POWER(Upgrades!$P$12,K382)*60</f>
        <v/>
      </c>
      <c r="AF382" s="27">
        <f>Parameters!$B$9*POWER(Upgrades!$Q$6,E382)*POWER(Upgrades!$Q$7,F382)*POWER(Upgrades!$Q$8,G382)*POWER(Upgrades!$Q$9,H382)*POWER(Upgrades!$Q$10,I382)*POWER(Upgrades!$Q$11,J382)*POWER(Upgrades!$Q$12,K382)*(Parameters!$B$10*Parameters!$B$11+O382*60)</f>
        <v/>
      </c>
      <c r="AG382" s="22">
        <f>IF(E382&gt;=Upgrades!$E$6,"",Upgrades!$C$6*POWER(Upgrades!$D$6,E382))</f>
        <v/>
      </c>
      <c r="AH382" s="22">
        <f>IF(F382&gt;=Upgrades!$E$7,"",Upgrades!$C$7*POWER(Upgrades!$D$7,F382))</f>
        <v/>
      </c>
      <c r="AI382" s="22">
        <f>IF(G382&gt;=Upgrades!$E$8,"",Upgrades!$C$8*POWER(Upgrades!$D$8,G382))</f>
        <v/>
      </c>
      <c r="AJ382" s="22">
        <f>IF(H382&gt;=Upgrades!$E$9,"",Upgrades!$C$9*POWER(Upgrades!$D$9,H382))</f>
        <v/>
      </c>
      <c r="AK382" s="22">
        <f>IF(I382&gt;=Upgrades!$E$10,"",Upgrades!$C$10*POWER(Upgrades!$D$10,I382))</f>
        <v/>
      </c>
      <c r="AL382" s="22">
        <f>IF(J382&gt;=Upgrades!$E$11,"",Upgrades!$C$11*POWER(Upgrades!$D$11,J382))</f>
        <v/>
      </c>
      <c r="AM382" s="22">
        <f>IF(K382&gt;=Upgrades!$E$12,"",Upgrades!$C$12*POWER(Upgrades!$D$12,K382))</f>
        <v/>
      </c>
      <c r="AN382" s="26">
        <f>IF(AND(D382&gt;=Parameters!$B$18,(H382&gt;=Upgrades!$E$9)*(K382&gt;=Upgrades!$E$12)=1,L382=0),1,"")</f>
        <v/>
      </c>
      <c r="AO382" s="26">
        <f>IF(AND(D382&gt;=Parameters!$B$18,L382=0),1,"")</f>
        <v/>
      </c>
      <c r="AP382" s="22">
        <f>MIN(IF(ISNUMBER(AK382),AK382,9E15),IF(ISNUMBER(AL382),AL382,9E15),IF(ISNUMBER(AM382),AM382,9E15))</f>
        <v/>
      </c>
      <c r="AQ382" s="22">
        <f>MIN(IF(ISNUMBER(AG382),AG382,9E15),IF(ISNUMBER(AH382),AH382,9E15),IF(ISNUMBER(AI382),AI382,9E15),IF(ISNUMBER(AJ382),AJ382,9E15))</f>
        <v/>
      </c>
      <c r="AR382" s="29">
        <f>IF(AW382&gt;Parameters!$B$21*(MAX(IF(AND(NOT(AND(AO382=1,AN382&lt;&gt;1)),ISNUMBER(AG382),AG382&lt;=T382),AS382,0),IF(AND(NOT(AND(AO382=1,AN382&lt;&gt;1)),ISNUMBER(AH382),AH382&lt;=T382),AT382,0),IF(AND(NOT(AND(AO382=1,AN382&lt;&gt;1)),ISNUMBER(AI382),AI382&lt;=T382),AU382,0),IF(AND(ISNUMBER(AJ382),AJ382&lt;=T382),AV382,0))),TRUE,FALSE)</f>
        <v/>
      </c>
      <c r="AS382" s="32">
        <f>IFERROR(Upgrades!$H$6*(POWER(Upgrades!$P$6,E382)*POWER(Upgrades!$P$7,F382)*POWER(Upgrades!$P$8,G382)*POWER(Upgrades!$P$9,H382)*POWER(Upgrades!$P$10,I382)*POWER(Upgrades!$P$11,J382)*POWER(Upgrades!$P$12,K382))*(IF(Upgrades!$T$7="Solar Wind",POWER(Upgrades!$U$7,F382),1)*IF(Upgrades!$T$8="Solar Wind",POWER(Upgrades!$U$8,G382),1)*IF(Upgrades!$T$9="Solar Wind",POWER(Upgrades!$U$9,H382),1)*IF(Upgrades!$T$10="Solar Wind",POWER(Upgrades!$U$10,I382),1)*IF(Upgrades!$T$11="Solar Wind",POWER(Upgrades!$U$11,J382),1)*IF(Upgrades!$T$12="Solar Wind",POWER(Upgrades!$U$12,K382),1))/AG382,0)</f>
        <v/>
      </c>
      <c r="AT382" s="32">
        <f>IFERROR(Upgrades!$H$7*(POWER(Upgrades!$P$6,E382)*POWER(Upgrades!$P$7,F382)*POWER(Upgrades!$P$8,G382)*POWER(Upgrades!$P$9,H382)*POWER(Upgrades!$P$10,I382)*POWER(Upgrades!$P$11,J382)*POWER(Upgrades!$P$12,K382))*(IF(Upgrades!$T$6="Asteroid Belt",POWER(Upgrades!$U$6,E382),1)*IF(Upgrades!$T$8="Asteroid Belt",POWER(Upgrades!$U$8,G382),1)*IF(Upgrades!$T$9="Asteroid Belt",POWER(Upgrades!$U$9,H382),1)*IF(Upgrades!$T$10="Asteroid Belt",POWER(Upgrades!$U$10,I382),1)*IF(Upgrades!$T$11="Asteroid Belt",POWER(Upgrades!$U$11,J382),1)*IF(Upgrades!$T$12="Asteroid Belt",POWER(Upgrades!$U$12,K382),1))/AH382,0)</f>
        <v/>
      </c>
      <c r="AU382" s="32">
        <f>IFERROR(Upgrades!$K$8*(POWER(Upgrades!$Q$6,E382)*POWER(Upgrades!$Q$7,F382)*POWER(Upgrades!$Q$8,G382)*POWER(Upgrades!$Q$9,H382)*POWER(Upgrades!$Q$10,I382)*POWER(Upgrades!$Q$11,J382)*POWER(Upgrades!$Q$12,K382))*(IF(Upgrades!$T$6="Stellar Coupling",POWER(Upgrades!$U$6,E382),1)*IF(Upgrades!$T$7="Stellar Coupling",POWER(Upgrades!$U$7,F382),1)*IF(Upgrades!$T$9="Stellar Coupling",POWER(Upgrades!$U$9,H382),1)*IF(Upgrades!$T$10="Stellar Coupling",POWER(Upgrades!$U$10,I382),1)*IF(Upgrades!$T$11="Stellar Coupling",POWER(Upgrades!$U$11,J382),1)*IF(Upgrades!$T$12="Stellar Coupling",POWER(Upgrades!$U$12,K382),1))*Parameters!$B$10*Parameters!$B$11/60/AI382,0)</f>
        <v/>
      </c>
      <c r="AV382" s="32">
        <f>IFERROR(Upgrades!$H$9*(POWER(Upgrades!$P$6,E382)*POWER(Upgrades!$P$7,F382)*POWER(Upgrades!$P$8,G382)*POWER(Upgrades!$P$9,H382)*POWER(Upgrades!$P$10,I382)*POWER(Upgrades!$P$11,J382)*POWER(Upgrades!$P$12,K382))*(IF(Upgrades!$T$6="Magnetosphere",POWER(Upgrades!$U$6,E382),1)*IF(Upgrades!$T$7="Magnetosphere",POWER(Upgrades!$U$7,F382),1)*IF(Upgrades!$T$8="Magnetosphere",POWER(Upgrades!$U$8,G382),1)*IF(Upgrades!$T$10="Magnetosphere",POWER(Upgrades!$U$10,I382),1)*IF(Upgrades!$T$11="Magnetosphere",POWER(Upgrades!$U$11,J382),1)*IF(Upgrades!$T$12="Magnetosphere",POWER(Upgrades!$U$12,K382),1))/AJ382,0)</f>
        <v/>
      </c>
      <c r="AW382" s="32">
        <f>MAX(IF(I382&gt;0,0,IFERROR(0.25*N382/Upgrades!$C$10,0)),IF(J382&gt;0,0,IFERROR(0.5*((IF(G382=0,0,(Upgrades!$J$8+G382*Upgrades!$K$8)*POWER(Upgrades!$L$8,G382)))*(IF(Upgrades!$T$6="Stellar Coupling",POWER(Upgrades!$U$6,E382),1)*IF(Upgrades!$T$7="Stellar Coupling",POWER(Upgrades!$U$7,F382),1)*IF(Upgrades!$T$9="Stellar Coupling",POWER(Upgrades!$U$9,H382),1)*IF(Upgrades!$T$10="Stellar Coupling",POWER(Upgrades!$U$10,I382),1)*IF(Upgrades!$T$11="Stellar Coupling",POWER(Upgrades!$U$11,J382),1)*IF(Upgrades!$T$12="Stellar Coupling",POWER(Upgrades!$U$12,K382),1))*(POWER(Upgrades!$Q$6,E382)*POWER(Upgrades!$Q$7,F382)*POWER(Upgrades!$Q$8,G382)*POWER(Upgrades!$Q$9,H382)*POWER(Upgrades!$Q$10,I382)*POWER(Upgrades!$Q$11,J382)*POWER(Upgrades!$Q$12,K382))*Parameters!$B$10*Parameters!$B$11/60)/Upgrades!$C$11,0)),IF(K382&gt;0,0,IFERROR((1.0*(POWER(Upgrades!$P$6,E382)*POWER(Upgrades!$P$7,F382)*POWER(Upgrades!$P$8,G382)*POWER(Upgrades!$P$9,H382)*POWER(Upgrades!$P$10,I382)*POWER(Upgrades!$P$11,J382)*POWER(Upgrades!$P$12,K382))+0.20*M382*Parameters!$B$10*Parameters!$B$11/60)/Upgrades!$C$12,0)),IF(AND(ISNUMBER(AG382),AG382&gt;T382),AS382,0),IF(AND(ISNUMBER(AH382),AH382&gt;T382),AT382,0),IF(AND(ISNUMBER(AI382),AI382&gt;T382),AU382,0),IF(AND(ISNUMBER(AJ382),AJ382&gt;T382),AV382,0))</f>
        <v/>
      </c>
      <c r="AX382" s="29">
        <f>IF(AN382=1,"transition",IF(MIN(IF(AND(I382=0,ISNUMBER(AK382),AK382&lt;=T382),AK382,9E15),IF(AND(J382=0,ISNUMBER(AL382),AL382&lt;=T382),AL382,9E15),IF(AND(K382=0,ISNUMBER(AM382),AM382&lt;=T382),AM382,9E15))&lt;9E15,IF(AND(AND(I382=0,ISNUMBER(AK382),AK382&lt;=T382),AK382=MIN(IF(AND(I382=0,ISNUMBER(AK382),AK382&lt;=T382),AK382,9E15),IF(AND(J382=0,ISNUMBER(AL382),AL382&lt;=T382),AL382,9E15),IF(AND(K382=0,ISNUMBER(AM382),AM382&lt;=T382),AM382,9E15))),"OR",IF(AND(AND(J382=0,ISNUMBER(AL382),AL382&lt;=T382),AL382=MIN(IF(AND(I382=0,ISNUMBER(AK382),AK382&lt;=T382),AK382,9E15),IF(AND(J382=0,ISNUMBER(AL382),AL382&lt;=T382),AL382,9E15),IF(AND(K382=0,ISNUMBER(AM382),AM382&lt;=T382),AM382,9E15))),"HP","FP")),IF(AR382=TRUE,"",IF(MAX(IF(AND(NOT(AND(AO382=1,AN382&lt;&gt;1)),ISNUMBER(AG382),AG382&lt;=T382),AS382,0),IF(AND(NOT(AND(AO382=1,AN382&lt;&gt;1)),ISNUMBER(AH382),AH382&lt;=T382),AT382,0),IF(AND(NOT(AND(AO382=1,AN382&lt;&gt;1)),ISNUMBER(AI382),AI382&lt;=T382),AU382,0),IF(AND(ISNUMBER(AJ382),AJ382&lt;=T382),AV382,0))&lt;=0,"",IF(AND(IF(AND(NOT(AND(AO382=1,AN382&lt;&gt;1)),ISNUMBER(AG382),AG382&lt;=T382),AS382,0)&gt;0,IF(AND(NOT(AND(AO382=1,AN382&lt;&gt;1)),ISNUMBER(AG382),AG382&lt;=T382),AS382,0)=MAX(IF(AND(NOT(AND(AO382=1,AN382&lt;&gt;1)),ISNUMBER(AG382),AG382&lt;=T382),AS382,0),IF(AND(NOT(AND(AO382=1,AN382&lt;&gt;1)),ISNUMBER(AH382),AH382&lt;=T382),AT382,0),IF(AND(NOT(AND(AO382=1,AN382&lt;&gt;1)),ISNUMBER(AI382),AI382&lt;=T382),AU382,0),IF(AND(ISNUMBER(AJ382),AJ382&lt;=T382),AV382,0))),"SW",IF(AND(IF(AND(NOT(AND(AO382=1,AN382&lt;&gt;1)),ISNUMBER(AH382),AH382&lt;=T382),AT382,0)&gt;0,IF(AND(NOT(AND(AO382=1,AN382&lt;&gt;1)),ISNUMBER(AH382),AH382&lt;=T382),AT382,0)=MAX(IF(AND(NOT(AND(AO382=1,AN382&lt;&gt;1)),ISNUMBER(AG382),AG382&lt;=T382),AS382,0),IF(AND(NOT(AND(AO382=1,AN382&lt;&gt;1)),ISNUMBER(AH382),AH382&lt;=T382),AT382,0),IF(AND(NOT(AND(AO382=1,AN382&lt;&gt;1)),ISNUMBER(AI382),AI382&lt;=T382),AU382,0),IF(AND(ISNUMBER(AJ382),AJ382&lt;=T382),AV382,0))),"AB",IF(AND(IF(AND(NOT(AND(AO382=1,AN382&lt;&gt;1)),ISNUMBER(AI382),AI382&lt;=T382),AU382,0)&gt;0,IF(AND(NOT(AND(AO382=1,AN382&lt;&gt;1)),ISNUMBER(AI382),AI382&lt;=T382),AU382,0)=MAX(IF(AND(NOT(AND(AO382=1,AN382&lt;&gt;1)),ISNUMBER(AG382),AG382&lt;=T382),AS382,0),IF(AND(NOT(AND(AO382=1,AN382&lt;&gt;1)),ISNUMBER(AH382),AH382&lt;=T382),AT382,0),IF(AND(NOT(AND(AO382=1,AN382&lt;&gt;1)),ISNUMBER(AI382),AI382&lt;=T382),AU382,0),IF(AND(ISNUMBER(AJ382),AJ382&lt;=T382),AV382,0))),"SC","Mag")))))))</f>
        <v/>
      </c>
    </row>
    <row r="383">
      <c r="A383" s="26" t="n">
        <v>378</v>
      </c>
      <c r="B383" s="27">
        <f>A383*10/60</f>
        <v/>
      </c>
      <c r="C383" s="22">
        <f>X382</f>
        <v/>
      </c>
      <c r="D383" s="27">
        <f>D382+W382</f>
        <v/>
      </c>
      <c r="E383" s="26">
        <f>E382+IF(U382="SW",1,0)</f>
        <v/>
      </c>
      <c r="F383" s="26">
        <f>F382+IF(U382="AB",1,0)</f>
        <v/>
      </c>
      <c r="G383" s="26">
        <f>G382+IF(U382="SC",1,0)</f>
        <v/>
      </c>
      <c r="H383" s="26">
        <f>H382+IF(U382="Mag",1,0)</f>
        <v/>
      </c>
      <c r="I383" s="26">
        <f>MAX(I382,IF(U382="OR",1,0))</f>
        <v/>
      </c>
      <c r="J383" s="26">
        <f>MAX(J382,IF(U382="HP",1,0))</f>
        <v/>
      </c>
      <c r="K383" s="26">
        <f>MAX(K382,IF(U382="FP",1,0))</f>
        <v/>
      </c>
      <c r="L383" s="26">
        <f>MAX(L382,IF(U382="transition",1,0))</f>
        <v/>
      </c>
      <c r="M383" s="28">
        <f>(Parameters!$B$9+(IF(E383=0,0,(Upgrades!$J$6+E383*Upgrades!$K$6)*POWER(Upgrades!$L$6,E383)))*(IF(Upgrades!$T$7="Solar Wind",POWER(Upgrades!$U$7,F383),1)*IF(Upgrades!$T$8="Solar Wind",POWER(Upgrades!$U$8,G383),1)*IF(Upgrades!$T$9="Solar Wind",POWER(Upgrades!$U$9,H383),1)*IF(Upgrades!$T$10="Solar Wind",POWER(Upgrades!$U$10,I383),1)*IF(Upgrades!$T$11="Solar Wind",POWER(Upgrades!$U$11,J383),1)*IF(Upgrades!$T$12="Solar Wind",POWER(Upgrades!$U$12,K383),1))+(IF(F383=0,0,(Upgrades!$J$7+F383*Upgrades!$K$7)*POWER(Upgrades!$L$7,F383)))*(IF(Upgrades!$T$6="Asteroid Belt",POWER(Upgrades!$U$6,E383),1)*IF(Upgrades!$T$8="Asteroid Belt",POWER(Upgrades!$U$8,G383),1)*IF(Upgrades!$T$9="Asteroid Belt",POWER(Upgrades!$U$9,H383),1)*IF(Upgrades!$T$10="Asteroid Belt",POWER(Upgrades!$U$10,I383),1)*IF(Upgrades!$T$11="Asteroid Belt",POWER(Upgrades!$U$11,J383),1)*IF(Upgrades!$T$12="Asteroid Belt",POWER(Upgrades!$U$12,K383),1))+(IF(G383=0,0,(Upgrades!$J$8+G383*Upgrades!$K$8)*POWER(Upgrades!$L$8,G383)))*(IF(Upgrades!$T$6="Stellar Coupling",POWER(Upgrades!$U$6,E383),1)*IF(Upgrades!$T$7="Stellar Coupling",POWER(Upgrades!$U$7,F383),1)*IF(Upgrades!$T$9="Stellar Coupling",POWER(Upgrades!$U$9,H383),1)*IF(Upgrades!$T$10="Stellar Coupling",POWER(Upgrades!$U$10,I383),1)*IF(Upgrades!$T$11="Stellar Coupling",POWER(Upgrades!$U$11,J383),1)*IF(Upgrades!$T$12="Stellar Coupling",POWER(Upgrades!$U$12,K383),1))+(IF(H383=0,0,(Upgrades!$J$9+H383*Upgrades!$K$9)*POWER(Upgrades!$L$9,H383)))*(IF(Upgrades!$T$6="Magnetosphere",POWER(Upgrades!$U$6,E383),1)*IF(Upgrades!$T$7="Magnetosphere",POWER(Upgrades!$U$7,F383),1)*IF(Upgrades!$T$8="Magnetosphere",POWER(Upgrades!$U$8,G383),1)*IF(Upgrades!$T$10="Magnetosphere",POWER(Upgrades!$U$10,I383),1)*IF(Upgrades!$T$11="Magnetosphere",POWER(Upgrades!$U$11,J383),1)*IF(Upgrades!$T$12="Magnetosphere",POWER(Upgrades!$U$12,K383),1))+(IF(I383=0,0,(Upgrades!$J$10+I383*Upgrades!$K$10)*POWER(Upgrades!$L$10,I383)))*(IF(Upgrades!$T$6="Orbital Resonance",POWER(Upgrades!$U$6,E383),1)*IF(Upgrades!$T$7="Orbital Resonance",POWER(Upgrades!$U$7,F383),1)*IF(Upgrades!$T$8="Orbital Resonance",POWER(Upgrades!$U$8,G383),1)*IF(Upgrades!$T$9="Orbital Resonance",POWER(Upgrades!$U$9,H383),1)*IF(Upgrades!$T$11="Orbital Resonance",POWER(Upgrades!$U$11,J383),1)*IF(Upgrades!$T$12="Orbital Resonance",POWER(Upgrades!$U$12,K383),1))+(IF(J383=0,0,(Upgrades!$J$11+J383*Upgrades!$K$11)*POWER(Upgrades!$L$11,J383)))*(IF(Upgrades!$T$6="Heliopause",POWER(Upgrades!$U$6,E383),1)*IF(Upgrades!$T$7="Heliopause",POWER(Upgrades!$U$7,F383),1)*IF(Upgrades!$T$8="Heliopause",POWER(Upgrades!$U$8,G383),1)*IF(Upgrades!$T$9="Heliopause",POWER(Upgrades!$U$9,H383),1)*IF(Upgrades!$T$10="Heliopause",POWER(Upgrades!$U$10,I383),1)*IF(Upgrades!$T$12="Heliopause",POWER(Upgrades!$U$12,K383),1))+(IF(K383=0,0,(Upgrades!$J$12+K383*Upgrades!$K$12)*POWER(Upgrades!$L$12,K383)))*(IF(Upgrades!$T$6="First Photons",POWER(Upgrades!$U$6,E383),1)*IF(Upgrades!$T$7="First Photons",POWER(Upgrades!$U$7,F383),1)*IF(Upgrades!$T$8="First Photons",POWER(Upgrades!$U$8,G383),1)*IF(Upgrades!$T$9="First Photons",POWER(Upgrades!$U$9,H383),1)*IF(Upgrades!$T$10="First Photons",POWER(Upgrades!$U$10,I383),1)*IF(Upgrades!$T$11="First Photons",POWER(Upgrades!$U$11,J383),1)))*POWER(Upgrades!$Q$6,E383)*POWER(Upgrades!$Q$7,F383)*POWER(Upgrades!$Q$8,G383)*POWER(Upgrades!$Q$9,H383)*POWER(Upgrades!$Q$10,I383)*POWER(Upgrades!$Q$11,J383)*POWER(Upgrades!$Q$12,K383)</f>
        <v/>
      </c>
      <c r="N383" s="28">
        <f>((IF(E383=0,0,(Upgrades!$G$6+E383*Upgrades!$H$6)*POWER(Upgrades!$I$6,E383)))*(IF(Upgrades!$T$7="Solar Wind",POWER(Upgrades!$U$7,F383),1)*IF(Upgrades!$T$8="Solar Wind",POWER(Upgrades!$U$8,G383),1)*IF(Upgrades!$T$9="Solar Wind",POWER(Upgrades!$U$9,H383),1)*IF(Upgrades!$T$10="Solar Wind",POWER(Upgrades!$U$10,I383),1)*IF(Upgrades!$T$11="Solar Wind",POWER(Upgrades!$U$11,J383),1)*IF(Upgrades!$T$12="Solar Wind",POWER(Upgrades!$U$12,K383),1))+(IF(F383=0,0,(Upgrades!$G$7+F383*Upgrades!$H$7)*POWER(Upgrades!$I$7,F383)))*(IF(Upgrades!$T$6="Asteroid Belt",POWER(Upgrades!$U$6,E383),1)*IF(Upgrades!$T$8="Asteroid Belt",POWER(Upgrades!$U$8,G383),1)*IF(Upgrades!$T$9="Asteroid Belt",POWER(Upgrades!$U$9,H383),1)*IF(Upgrades!$T$10="Asteroid Belt",POWER(Upgrades!$U$10,I383),1)*IF(Upgrades!$T$11="Asteroid Belt",POWER(Upgrades!$U$11,J383),1)*IF(Upgrades!$T$12="Asteroid Belt",POWER(Upgrades!$U$12,K383),1))+(IF(G383=0,0,(Upgrades!$G$8+G383*Upgrades!$H$8)*POWER(Upgrades!$I$8,G383)))*(IF(Upgrades!$T$6="Stellar Coupling",POWER(Upgrades!$U$6,E383),1)*IF(Upgrades!$T$7="Stellar Coupling",POWER(Upgrades!$U$7,F383),1)*IF(Upgrades!$T$9="Stellar Coupling",POWER(Upgrades!$U$9,H383),1)*IF(Upgrades!$T$10="Stellar Coupling",POWER(Upgrades!$U$10,I383),1)*IF(Upgrades!$T$11="Stellar Coupling",POWER(Upgrades!$U$11,J383),1)*IF(Upgrades!$T$12="Stellar Coupling",POWER(Upgrades!$U$12,K383),1))+(IF(H383=0,0,(Upgrades!$G$9+H383*Upgrades!$H$9)*POWER(Upgrades!$I$9,H383)))*(IF(Upgrades!$T$6="Magnetosphere",POWER(Upgrades!$U$6,E383),1)*IF(Upgrades!$T$7="Magnetosphere",POWER(Upgrades!$U$7,F383),1)*IF(Upgrades!$T$8="Magnetosphere",POWER(Upgrades!$U$8,G383),1)*IF(Upgrades!$T$10="Magnetosphere",POWER(Upgrades!$U$10,I383),1)*IF(Upgrades!$T$11="Magnetosphere",POWER(Upgrades!$U$11,J383),1)*IF(Upgrades!$T$12="Magnetosphere",POWER(Upgrades!$U$12,K383),1))+(IF(I383=0,0,(Upgrades!$G$10+I383*Upgrades!$H$10)*POWER(Upgrades!$I$10,I383)))*(IF(Upgrades!$T$6="Orbital Resonance",POWER(Upgrades!$U$6,E383),1)*IF(Upgrades!$T$7="Orbital Resonance",POWER(Upgrades!$U$7,F383),1)*IF(Upgrades!$T$8="Orbital Resonance",POWER(Upgrades!$U$8,G383),1)*IF(Upgrades!$T$9="Orbital Resonance",POWER(Upgrades!$U$9,H383),1)*IF(Upgrades!$T$11="Orbital Resonance",POWER(Upgrades!$U$11,J383),1)*IF(Upgrades!$T$12="Orbital Resonance",POWER(Upgrades!$U$12,K383),1))+(IF(J383=0,0,(Upgrades!$G$11+J383*Upgrades!$H$11)*POWER(Upgrades!$I$11,J383)))*(IF(Upgrades!$T$6="Heliopause",POWER(Upgrades!$U$6,E383),1)*IF(Upgrades!$T$7="Heliopause",POWER(Upgrades!$U$7,F383),1)*IF(Upgrades!$T$8="Heliopause",POWER(Upgrades!$U$8,G383),1)*IF(Upgrades!$T$9="Heliopause",POWER(Upgrades!$U$9,H383),1)*IF(Upgrades!$T$10="Heliopause",POWER(Upgrades!$U$10,I383),1)*IF(Upgrades!$T$12="Heliopause",POWER(Upgrades!$U$12,K383),1))+(IF(K383=0,0,(Upgrades!$G$12+K383*Upgrades!$H$12)*POWER(Upgrades!$I$12,K383)))*(IF(Upgrades!$T$6="First Photons",POWER(Upgrades!$U$6,E383),1)*IF(Upgrades!$T$7="First Photons",POWER(Upgrades!$U$7,F383),1)*IF(Upgrades!$T$8="First Photons",POWER(Upgrades!$U$8,G383),1)*IF(Upgrades!$T$9="First Photons",POWER(Upgrades!$U$9,H383),1)*IF(Upgrades!$T$10="First Photons",POWER(Upgrades!$U$10,I383),1)*IF(Upgrades!$T$11="First Photons",POWER(Upgrades!$U$11,J383),1)))*POWER(Upgrades!$P$6,E383)*POWER(Upgrades!$P$7,F383)*POWER(Upgrades!$P$8,G383)*POWER(Upgrades!$P$9,H383)*POWER(Upgrades!$P$10,I383)*POWER(Upgrades!$P$11,J383)*POWER(Upgrades!$P$12,K383)</f>
        <v/>
      </c>
      <c r="O383" s="28">
        <f>((IF(E383=0,0,(Upgrades!$M$6+E383*Upgrades!$N$6)*POWER(Upgrades!$O$6,E383)))*(IF(Upgrades!$T$7="Solar Wind",POWER(Upgrades!$U$7,F383),1)*IF(Upgrades!$T$8="Solar Wind",POWER(Upgrades!$U$8,G383),1)*IF(Upgrades!$T$9="Solar Wind",POWER(Upgrades!$U$9,H383),1)*IF(Upgrades!$T$10="Solar Wind",POWER(Upgrades!$U$10,I383),1)*IF(Upgrades!$T$11="Solar Wind",POWER(Upgrades!$U$11,J383),1)*IF(Upgrades!$T$12="Solar Wind",POWER(Upgrades!$U$12,K383),1))+(IF(F383=0,0,(Upgrades!$M$7+F383*Upgrades!$N$7)*POWER(Upgrades!$O$7,F383)))*(IF(Upgrades!$T$6="Asteroid Belt",POWER(Upgrades!$U$6,E383),1)*IF(Upgrades!$T$8="Asteroid Belt",POWER(Upgrades!$U$8,G383),1)*IF(Upgrades!$T$9="Asteroid Belt",POWER(Upgrades!$U$9,H383),1)*IF(Upgrades!$T$10="Asteroid Belt",POWER(Upgrades!$U$10,I383),1)*IF(Upgrades!$T$11="Asteroid Belt",POWER(Upgrades!$U$11,J383),1)*IF(Upgrades!$T$12="Asteroid Belt",POWER(Upgrades!$U$12,K383),1))+(IF(G383=0,0,(Upgrades!$M$8+G383*Upgrades!$N$8)*POWER(Upgrades!$O$8,G383)))*(IF(Upgrades!$T$6="Stellar Coupling",POWER(Upgrades!$U$6,E383),1)*IF(Upgrades!$T$7="Stellar Coupling",POWER(Upgrades!$U$7,F383),1)*IF(Upgrades!$T$9="Stellar Coupling",POWER(Upgrades!$U$9,H383),1)*IF(Upgrades!$T$10="Stellar Coupling",POWER(Upgrades!$U$10,I383),1)*IF(Upgrades!$T$11="Stellar Coupling",POWER(Upgrades!$U$11,J383),1)*IF(Upgrades!$T$12="Stellar Coupling",POWER(Upgrades!$U$12,K383),1))+(IF(H383=0,0,(Upgrades!$M$9+H383*Upgrades!$N$9)*POWER(Upgrades!$O$9,H383)))*(IF(Upgrades!$T$6="Magnetosphere",POWER(Upgrades!$U$6,E383),1)*IF(Upgrades!$T$7="Magnetosphere",POWER(Upgrades!$U$7,F383),1)*IF(Upgrades!$T$8="Magnetosphere",POWER(Upgrades!$U$8,G383),1)*IF(Upgrades!$T$10="Magnetosphere",POWER(Upgrades!$U$10,I383),1)*IF(Upgrades!$T$11="Magnetosphere",POWER(Upgrades!$U$11,J383),1)*IF(Upgrades!$T$12="Magnetosphere",POWER(Upgrades!$U$12,K383),1))+(IF(I383=0,0,(Upgrades!$M$10+I383*Upgrades!$N$10)*POWER(Upgrades!$O$10,I383)))*(IF(Upgrades!$T$6="Orbital Resonance",POWER(Upgrades!$U$6,E383),1)*IF(Upgrades!$T$7="Orbital Resonance",POWER(Upgrades!$U$7,F383),1)*IF(Upgrades!$T$8="Orbital Resonance",POWER(Upgrades!$U$8,G383),1)*IF(Upgrades!$T$9="Orbital Resonance",POWER(Upgrades!$U$9,H383),1)*IF(Upgrades!$T$11="Orbital Resonance",POWER(Upgrades!$U$11,J383),1)*IF(Upgrades!$T$12="Orbital Resonance",POWER(Upgrades!$U$12,K383),1))+(IF(J383=0,0,(Upgrades!$M$11+J383*Upgrades!$N$11)*POWER(Upgrades!$O$11,J383)))*(IF(Upgrades!$T$6="Heliopause",POWER(Upgrades!$U$6,E383),1)*IF(Upgrades!$T$7="Heliopause",POWER(Upgrades!$U$7,F383),1)*IF(Upgrades!$T$8="Heliopause",POWER(Upgrades!$U$8,G383),1)*IF(Upgrades!$T$9="Heliopause",POWER(Upgrades!$U$9,H383),1)*IF(Upgrades!$T$10="Heliopause",POWER(Upgrades!$U$10,I383),1)*IF(Upgrades!$T$12="Heliopause",POWER(Upgrades!$U$12,K383),1))+(IF(K383=0,0,(Upgrades!$M$12+K383*Upgrades!$N$12)*POWER(Upgrades!$O$12,K383)))*(IF(Upgrades!$T$6="First Photons",POWER(Upgrades!$U$6,E383),1)*IF(Upgrades!$T$7="First Photons",POWER(Upgrades!$U$7,F383),1)*IF(Upgrades!$T$8="First Photons",POWER(Upgrades!$U$8,G383),1)*IF(Upgrades!$T$9="First Photons",POWER(Upgrades!$U$9,H383),1)*IF(Upgrades!$T$10="First Photons",POWER(Upgrades!$U$10,I383),1)*IF(Upgrades!$T$11="First Photons",POWER(Upgrades!$U$11,J383),1)))*POWER(Upgrades!$R$6,E383)*POWER(Upgrades!$R$7,F383)*POWER(Upgrades!$R$8,G383)*POWER(Upgrades!$R$9,H383)*POWER(Upgrades!$R$10,I383)*POWER(Upgrades!$R$11,J383)*POWER(Upgrades!$R$12,K383)</f>
        <v/>
      </c>
      <c r="P383" s="27">
        <f>IF(L383=1,0,M383*Parameters!$B$10/60*Parameters!$B$11*10)</f>
        <v/>
      </c>
      <c r="Q383" s="27">
        <f>IF(L383=1,0,O383*M383*10)</f>
        <v/>
      </c>
      <c r="R383" s="27">
        <f>IF(L383=1,0,N383*10)</f>
        <v/>
      </c>
      <c r="S383" s="27">
        <f>P383+Q383+R383</f>
        <v/>
      </c>
      <c r="T383" s="22">
        <f>C383+S383</f>
        <v/>
      </c>
      <c r="U383" s="33">
        <f>AX383</f>
        <v/>
      </c>
      <c r="V383" s="22">
        <f>IF(U383="",0,IF(U383="transition",0,IF(U383="SW",AG383,IF(U383="AB",AH383,IF(U383="SC",AI383,IF(U383="Mag",AJ383,IF(U383="OR",AK383,IF(U383="HP",AL383,IF(U383="FP",AM383,0)))))))))</f>
        <v/>
      </c>
      <c r="W383" s="27">
        <f>IF(U383="OR",Upgrades!$F$10,IF(U383="HP",Upgrades!$F$11,IF(U383="transition",-Parameters!$B$18,0)))</f>
        <v/>
      </c>
      <c r="X383" s="22">
        <f>T383-V383</f>
        <v/>
      </c>
      <c r="Y383" s="30">
        <f>M383*Parameters!$B$10/60*Parameters!$B$11+O383*M383+N383</f>
        <v/>
      </c>
      <c r="Z383" s="34">
        <f>IF(U383="transition","→ Tier 2 (Stellar Neighborhood)",IF(U383="FP","First Photons — light begins, system quickens",IF(U383="HP","Heliopause acquired",IF(U383="OR","Orbital Resonance — passive multiplier active",IF(AND(AO383=1,L383=0,AN383&lt;&gt;1),"Cohesion ready (waiting on completionist upgrades)","")))))</f>
        <v/>
      </c>
      <c r="AA383" s="27">
        <f>(IF(E383=0,0,(Upgrades!$G$6+E383*Upgrades!$H$6)*POWER(Upgrades!$I$6,E383)))*(IF(Upgrades!$T$7="Solar Wind",POWER(Upgrades!$U$7,F383),1)*IF(Upgrades!$T$8="Solar Wind",POWER(Upgrades!$U$8,G383),1)*IF(Upgrades!$T$9="Solar Wind",POWER(Upgrades!$U$9,H383),1)*IF(Upgrades!$T$10="Solar Wind",POWER(Upgrades!$U$10,I383),1)*IF(Upgrades!$T$11="Solar Wind",POWER(Upgrades!$U$11,J383),1)*IF(Upgrades!$T$12="Solar Wind",POWER(Upgrades!$U$12,K383),1))*POWER(Upgrades!$P$6,E383)*POWER(Upgrades!$P$7,F383)*POWER(Upgrades!$P$8,G383)*POWER(Upgrades!$P$9,H383)*POWER(Upgrades!$P$10,I383)*POWER(Upgrades!$P$11,J383)*POWER(Upgrades!$P$12,K383)*60</f>
        <v/>
      </c>
      <c r="AB383" s="27">
        <f>(IF(F383=0,0,(Upgrades!$G$7+F383*Upgrades!$H$7)*POWER(Upgrades!$I$7,F383)))*(IF(Upgrades!$T$6="Asteroid Belt",POWER(Upgrades!$U$6,E383),1)*IF(Upgrades!$T$8="Asteroid Belt",POWER(Upgrades!$U$8,G383),1)*IF(Upgrades!$T$9="Asteroid Belt",POWER(Upgrades!$U$9,H383),1)*IF(Upgrades!$T$10="Asteroid Belt",POWER(Upgrades!$U$10,I383),1)*IF(Upgrades!$T$11="Asteroid Belt",POWER(Upgrades!$U$11,J383),1)*IF(Upgrades!$T$12="Asteroid Belt",POWER(Upgrades!$U$12,K383),1))*POWER(Upgrades!$P$6,E383)*POWER(Upgrades!$P$7,F383)*POWER(Upgrades!$P$8,G383)*POWER(Upgrades!$P$9,H383)*POWER(Upgrades!$P$10,I383)*POWER(Upgrades!$P$11,J383)*POWER(Upgrades!$P$12,K383)*60</f>
        <v/>
      </c>
      <c r="AC383" s="27">
        <f>(IF(G383=0,0,(Upgrades!$J$8+G383*Upgrades!$K$8)*POWER(Upgrades!$L$8,G383)))*(IF(Upgrades!$T$6="Stellar Coupling",POWER(Upgrades!$U$6,E383),1)*IF(Upgrades!$T$7="Stellar Coupling",POWER(Upgrades!$U$7,F383),1)*IF(Upgrades!$T$9="Stellar Coupling",POWER(Upgrades!$U$9,H383),1)*IF(Upgrades!$T$10="Stellar Coupling",POWER(Upgrades!$U$10,I383),1)*IF(Upgrades!$T$11="Stellar Coupling",POWER(Upgrades!$U$11,J383),1)*IF(Upgrades!$T$12="Stellar Coupling",POWER(Upgrades!$U$12,K383),1))*POWER(Upgrades!$Q$6,E383)*POWER(Upgrades!$Q$7,F383)*POWER(Upgrades!$Q$8,G383)*POWER(Upgrades!$Q$9,H383)*POWER(Upgrades!$Q$10,I383)*POWER(Upgrades!$Q$11,J383)*POWER(Upgrades!$Q$12,K383)*Parameters!$B$10*Parameters!$B$11</f>
        <v/>
      </c>
      <c r="AD383" s="27">
        <f>(IF(H383=0,0,(Upgrades!$G$9+H383*Upgrades!$H$9)*POWER(Upgrades!$I$9,H383)))*(IF(Upgrades!$T$6="Magnetosphere",POWER(Upgrades!$U$6,E383),1)*IF(Upgrades!$T$7="Magnetosphere",POWER(Upgrades!$U$7,F383),1)*IF(Upgrades!$T$8="Magnetosphere",POWER(Upgrades!$U$8,G383),1)*IF(Upgrades!$T$10="Magnetosphere",POWER(Upgrades!$U$10,I383),1)*IF(Upgrades!$T$11="Magnetosphere",POWER(Upgrades!$U$11,J383),1)*IF(Upgrades!$T$12="Magnetosphere",POWER(Upgrades!$U$12,K383),1))*POWER(Upgrades!$P$6,E383)*POWER(Upgrades!$P$7,F383)*POWER(Upgrades!$P$8,G383)*POWER(Upgrades!$P$9,H383)*POWER(Upgrades!$P$10,I383)*POWER(Upgrades!$P$11,J383)*POWER(Upgrades!$P$12,K383)*60</f>
        <v/>
      </c>
      <c r="AE383" s="27">
        <f>(IF(K383=0,0,(Upgrades!$G$12+K383*Upgrades!$H$12)*POWER(Upgrades!$I$12,K383)))*(IF(Upgrades!$T$6="First Photons",POWER(Upgrades!$U$6,E383),1)*IF(Upgrades!$T$7="First Photons",POWER(Upgrades!$U$7,F383),1)*IF(Upgrades!$T$8="First Photons",POWER(Upgrades!$U$8,G383),1)*IF(Upgrades!$T$9="First Photons",POWER(Upgrades!$U$9,H383),1)*IF(Upgrades!$T$10="First Photons",POWER(Upgrades!$U$10,I383),1)*IF(Upgrades!$T$11="First Photons",POWER(Upgrades!$U$11,J383),1))*POWER(Upgrades!$P$6,E383)*POWER(Upgrades!$P$7,F383)*POWER(Upgrades!$P$8,G383)*POWER(Upgrades!$P$9,H383)*POWER(Upgrades!$P$10,I383)*POWER(Upgrades!$P$11,J383)*POWER(Upgrades!$P$12,K383)*60</f>
        <v/>
      </c>
      <c r="AF383" s="27">
        <f>Parameters!$B$9*POWER(Upgrades!$Q$6,E383)*POWER(Upgrades!$Q$7,F383)*POWER(Upgrades!$Q$8,G383)*POWER(Upgrades!$Q$9,H383)*POWER(Upgrades!$Q$10,I383)*POWER(Upgrades!$Q$11,J383)*POWER(Upgrades!$Q$12,K383)*(Parameters!$B$10*Parameters!$B$11+O383*60)</f>
        <v/>
      </c>
      <c r="AG383" s="22">
        <f>IF(E383&gt;=Upgrades!$E$6,"",Upgrades!$C$6*POWER(Upgrades!$D$6,E383))</f>
        <v/>
      </c>
      <c r="AH383" s="22">
        <f>IF(F383&gt;=Upgrades!$E$7,"",Upgrades!$C$7*POWER(Upgrades!$D$7,F383))</f>
        <v/>
      </c>
      <c r="AI383" s="22">
        <f>IF(G383&gt;=Upgrades!$E$8,"",Upgrades!$C$8*POWER(Upgrades!$D$8,G383))</f>
        <v/>
      </c>
      <c r="AJ383" s="22">
        <f>IF(H383&gt;=Upgrades!$E$9,"",Upgrades!$C$9*POWER(Upgrades!$D$9,H383))</f>
        <v/>
      </c>
      <c r="AK383" s="22">
        <f>IF(I383&gt;=Upgrades!$E$10,"",Upgrades!$C$10*POWER(Upgrades!$D$10,I383))</f>
        <v/>
      </c>
      <c r="AL383" s="22">
        <f>IF(J383&gt;=Upgrades!$E$11,"",Upgrades!$C$11*POWER(Upgrades!$D$11,J383))</f>
        <v/>
      </c>
      <c r="AM383" s="22">
        <f>IF(K383&gt;=Upgrades!$E$12,"",Upgrades!$C$12*POWER(Upgrades!$D$12,K383))</f>
        <v/>
      </c>
      <c r="AN383" s="26">
        <f>IF(AND(D383&gt;=Parameters!$B$18,(H383&gt;=Upgrades!$E$9)*(K383&gt;=Upgrades!$E$12)=1,L383=0),1,"")</f>
        <v/>
      </c>
      <c r="AO383" s="26">
        <f>IF(AND(D383&gt;=Parameters!$B$18,L383=0),1,"")</f>
        <v/>
      </c>
      <c r="AP383" s="22">
        <f>MIN(IF(ISNUMBER(AK383),AK383,9E15),IF(ISNUMBER(AL383),AL383,9E15),IF(ISNUMBER(AM383),AM383,9E15))</f>
        <v/>
      </c>
      <c r="AQ383" s="22">
        <f>MIN(IF(ISNUMBER(AG383),AG383,9E15),IF(ISNUMBER(AH383),AH383,9E15),IF(ISNUMBER(AI383),AI383,9E15),IF(ISNUMBER(AJ383),AJ383,9E15))</f>
        <v/>
      </c>
      <c r="AR383" s="29">
        <f>IF(AW383&gt;Parameters!$B$21*(MAX(IF(AND(NOT(AND(AO383=1,AN383&lt;&gt;1)),ISNUMBER(AG383),AG383&lt;=T383),AS383,0),IF(AND(NOT(AND(AO383=1,AN383&lt;&gt;1)),ISNUMBER(AH383),AH383&lt;=T383),AT383,0),IF(AND(NOT(AND(AO383=1,AN383&lt;&gt;1)),ISNUMBER(AI383),AI383&lt;=T383),AU383,0),IF(AND(ISNUMBER(AJ383),AJ383&lt;=T383),AV383,0))),TRUE,FALSE)</f>
        <v/>
      </c>
      <c r="AS383" s="32">
        <f>IFERROR(Upgrades!$H$6*(POWER(Upgrades!$P$6,E383)*POWER(Upgrades!$P$7,F383)*POWER(Upgrades!$P$8,G383)*POWER(Upgrades!$P$9,H383)*POWER(Upgrades!$P$10,I383)*POWER(Upgrades!$P$11,J383)*POWER(Upgrades!$P$12,K383))*(IF(Upgrades!$T$7="Solar Wind",POWER(Upgrades!$U$7,F383),1)*IF(Upgrades!$T$8="Solar Wind",POWER(Upgrades!$U$8,G383),1)*IF(Upgrades!$T$9="Solar Wind",POWER(Upgrades!$U$9,H383),1)*IF(Upgrades!$T$10="Solar Wind",POWER(Upgrades!$U$10,I383),1)*IF(Upgrades!$T$11="Solar Wind",POWER(Upgrades!$U$11,J383),1)*IF(Upgrades!$T$12="Solar Wind",POWER(Upgrades!$U$12,K383),1))/AG383,0)</f>
        <v/>
      </c>
      <c r="AT383" s="32">
        <f>IFERROR(Upgrades!$H$7*(POWER(Upgrades!$P$6,E383)*POWER(Upgrades!$P$7,F383)*POWER(Upgrades!$P$8,G383)*POWER(Upgrades!$P$9,H383)*POWER(Upgrades!$P$10,I383)*POWER(Upgrades!$P$11,J383)*POWER(Upgrades!$P$12,K383))*(IF(Upgrades!$T$6="Asteroid Belt",POWER(Upgrades!$U$6,E383),1)*IF(Upgrades!$T$8="Asteroid Belt",POWER(Upgrades!$U$8,G383),1)*IF(Upgrades!$T$9="Asteroid Belt",POWER(Upgrades!$U$9,H383),1)*IF(Upgrades!$T$10="Asteroid Belt",POWER(Upgrades!$U$10,I383),1)*IF(Upgrades!$T$11="Asteroid Belt",POWER(Upgrades!$U$11,J383),1)*IF(Upgrades!$T$12="Asteroid Belt",POWER(Upgrades!$U$12,K383),1))/AH383,0)</f>
        <v/>
      </c>
      <c r="AU383" s="32">
        <f>IFERROR(Upgrades!$K$8*(POWER(Upgrades!$Q$6,E383)*POWER(Upgrades!$Q$7,F383)*POWER(Upgrades!$Q$8,G383)*POWER(Upgrades!$Q$9,H383)*POWER(Upgrades!$Q$10,I383)*POWER(Upgrades!$Q$11,J383)*POWER(Upgrades!$Q$12,K383))*(IF(Upgrades!$T$6="Stellar Coupling",POWER(Upgrades!$U$6,E383),1)*IF(Upgrades!$T$7="Stellar Coupling",POWER(Upgrades!$U$7,F383),1)*IF(Upgrades!$T$9="Stellar Coupling",POWER(Upgrades!$U$9,H383),1)*IF(Upgrades!$T$10="Stellar Coupling",POWER(Upgrades!$U$10,I383),1)*IF(Upgrades!$T$11="Stellar Coupling",POWER(Upgrades!$U$11,J383),1)*IF(Upgrades!$T$12="Stellar Coupling",POWER(Upgrades!$U$12,K383),1))*Parameters!$B$10*Parameters!$B$11/60/AI383,0)</f>
        <v/>
      </c>
      <c r="AV383" s="32">
        <f>IFERROR(Upgrades!$H$9*(POWER(Upgrades!$P$6,E383)*POWER(Upgrades!$P$7,F383)*POWER(Upgrades!$P$8,G383)*POWER(Upgrades!$P$9,H383)*POWER(Upgrades!$P$10,I383)*POWER(Upgrades!$P$11,J383)*POWER(Upgrades!$P$12,K383))*(IF(Upgrades!$T$6="Magnetosphere",POWER(Upgrades!$U$6,E383),1)*IF(Upgrades!$T$7="Magnetosphere",POWER(Upgrades!$U$7,F383),1)*IF(Upgrades!$T$8="Magnetosphere",POWER(Upgrades!$U$8,G383),1)*IF(Upgrades!$T$10="Magnetosphere",POWER(Upgrades!$U$10,I383),1)*IF(Upgrades!$T$11="Magnetosphere",POWER(Upgrades!$U$11,J383),1)*IF(Upgrades!$T$12="Magnetosphere",POWER(Upgrades!$U$12,K383),1))/AJ383,0)</f>
        <v/>
      </c>
      <c r="AW383" s="32">
        <f>MAX(IF(I383&gt;0,0,IFERROR(0.25*N383/Upgrades!$C$10,0)),IF(J383&gt;0,0,IFERROR(0.5*((IF(G383=0,0,(Upgrades!$J$8+G383*Upgrades!$K$8)*POWER(Upgrades!$L$8,G383)))*(IF(Upgrades!$T$6="Stellar Coupling",POWER(Upgrades!$U$6,E383),1)*IF(Upgrades!$T$7="Stellar Coupling",POWER(Upgrades!$U$7,F383),1)*IF(Upgrades!$T$9="Stellar Coupling",POWER(Upgrades!$U$9,H383),1)*IF(Upgrades!$T$10="Stellar Coupling",POWER(Upgrades!$U$10,I383),1)*IF(Upgrades!$T$11="Stellar Coupling",POWER(Upgrades!$U$11,J383),1)*IF(Upgrades!$T$12="Stellar Coupling",POWER(Upgrades!$U$12,K383),1))*(POWER(Upgrades!$Q$6,E383)*POWER(Upgrades!$Q$7,F383)*POWER(Upgrades!$Q$8,G383)*POWER(Upgrades!$Q$9,H383)*POWER(Upgrades!$Q$10,I383)*POWER(Upgrades!$Q$11,J383)*POWER(Upgrades!$Q$12,K383))*Parameters!$B$10*Parameters!$B$11/60)/Upgrades!$C$11,0)),IF(K383&gt;0,0,IFERROR((1.0*(POWER(Upgrades!$P$6,E383)*POWER(Upgrades!$P$7,F383)*POWER(Upgrades!$P$8,G383)*POWER(Upgrades!$P$9,H383)*POWER(Upgrades!$P$10,I383)*POWER(Upgrades!$P$11,J383)*POWER(Upgrades!$P$12,K383))+0.20*M383*Parameters!$B$10*Parameters!$B$11/60)/Upgrades!$C$12,0)),IF(AND(ISNUMBER(AG383),AG383&gt;T383),AS383,0),IF(AND(ISNUMBER(AH383),AH383&gt;T383),AT383,0),IF(AND(ISNUMBER(AI383),AI383&gt;T383),AU383,0),IF(AND(ISNUMBER(AJ383),AJ383&gt;T383),AV383,0))</f>
        <v/>
      </c>
      <c r="AX383" s="29">
        <f>IF(AN383=1,"transition",IF(MIN(IF(AND(I383=0,ISNUMBER(AK383),AK383&lt;=T383),AK383,9E15),IF(AND(J383=0,ISNUMBER(AL383),AL383&lt;=T383),AL383,9E15),IF(AND(K383=0,ISNUMBER(AM383),AM383&lt;=T383),AM383,9E15))&lt;9E15,IF(AND(AND(I383=0,ISNUMBER(AK383),AK383&lt;=T383),AK383=MIN(IF(AND(I383=0,ISNUMBER(AK383),AK383&lt;=T383),AK383,9E15),IF(AND(J383=0,ISNUMBER(AL383),AL383&lt;=T383),AL383,9E15),IF(AND(K383=0,ISNUMBER(AM383),AM383&lt;=T383),AM383,9E15))),"OR",IF(AND(AND(J383=0,ISNUMBER(AL383),AL383&lt;=T383),AL383=MIN(IF(AND(I383=0,ISNUMBER(AK383),AK383&lt;=T383),AK383,9E15),IF(AND(J383=0,ISNUMBER(AL383),AL383&lt;=T383),AL383,9E15),IF(AND(K383=0,ISNUMBER(AM383),AM383&lt;=T383),AM383,9E15))),"HP","FP")),IF(AR383=TRUE,"",IF(MAX(IF(AND(NOT(AND(AO383=1,AN383&lt;&gt;1)),ISNUMBER(AG383),AG383&lt;=T383),AS383,0),IF(AND(NOT(AND(AO383=1,AN383&lt;&gt;1)),ISNUMBER(AH383),AH383&lt;=T383),AT383,0),IF(AND(NOT(AND(AO383=1,AN383&lt;&gt;1)),ISNUMBER(AI383),AI383&lt;=T383),AU383,0),IF(AND(ISNUMBER(AJ383),AJ383&lt;=T383),AV383,0))&lt;=0,"",IF(AND(IF(AND(NOT(AND(AO383=1,AN383&lt;&gt;1)),ISNUMBER(AG383),AG383&lt;=T383),AS383,0)&gt;0,IF(AND(NOT(AND(AO383=1,AN383&lt;&gt;1)),ISNUMBER(AG383),AG383&lt;=T383),AS383,0)=MAX(IF(AND(NOT(AND(AO383=1,AN383&lt;&gt;1)),ISNUMBER(AG383),AG383&lt;=T383),AS383,0),IF(AND(NOT(AND(AO383=1,AN383&lt;&gt;1)),ISNUMBER(AH383),AH383&lt;=T383),AT383,0),IF(AND(NOT(AND(AO383=1,AN383&lt;&gt;1)),ISNUMBER(AI383),AI383&lt;=T383),AU383,0),IF(AND(ISNUMBER(AJ383),AJ383&lt;=T383),AV383,0))),"SW",IF(AND(IF(AND(NOT(AND(AO383=1,AN383&lt;&gt;1)),ISNUMBER(AH383),AH383&lt;=T383),AT383,0)&gt;0,IF(AND(NOT(AND(AO383=1,AN383&lt;&gt;1)),ISNUMBER(AH383),AH383&lt;=T383),AT383,0)=MAX(IF(AND(NOT(AND(AO383=1,AN383&lt;&gt;1)),ISNUMBER(AG383),AG383&lt;=T383),AS383,0),IF(AND(NOT(AND(AO383=1,AN383&lt;&gt;1)),ISNUMBER(AH383),AH383&lt;=T383),AT383,0),IF(AND(NOT(AND(AO383=1,AN383&lt;&gt;1)),ISNUMBER(AI383),AI383&lt;=T383),AU383,0),IF(AND(ISNUMBER(AJ383),AJ383&lt;=T383),AV383,0))),"AB",IF(AND(IF(AND(NOT(AND(AO383=1,AN383&lt;&gt;1)),ISNUMBER(AI383),AI383&lt;=T383),AU383,0)&gt;0,IF(AND(NOT(AND(AO383=1,AN383&lt;&gt;1)),ISNUMBER(AI383),AI383&lt;=T383),AU383,0)=MAX(IF(AND(NOT(AND(AO383=1,AN383&lt;&gt;1)),ISNUMBER(AG383),AG383&lt;=T383),AS383,0),IF(AND(NOT(AND(AO383=1,AN383&lt;&gt;1)),ISNUMBER(AH383),AH383&lt;=T383),AT383,0),IF(AND(NOT(AND(AO383=1,AN383&lt;&gt;1)),ISNUMBER(AI383),AI383&lt;=T383),AU383,0),IF(AND(ISNUMBER(AJ383),AJ383&lt;=T383),AV383,0))),"SC","Mag")))))))</f>
        <v/>
      </c>
    </row>
    <row r="384">
      <c r="A384" s="26" t="n">
        <v>379</v>
      </c>
      <c r="B384" s="27">
        <f>A384*10/60</f>
        <v/>
      </c>
      <c r="C384" s="22">
        <f>X383</f>
        <v/>
      </c>
      <c r="D384" s="27">
        <f>D383+W383</f>
        <v/>
      </c>
      <c r="E384" s="26">
        <f>E383+IF(U383="SW",1,0)</f>
        <v/>
      </c>
      <c r="F384" s="26">
        <f>F383+IF(U383="AB",1,0)</f>
        <v/>
      </c>
      <c r="G384" s="26">
        <f>G383+IF(U383="SC",1,0)</f>
        <v/>
      </c>
      <c r="H384" s="26">
        <f>H383+IF(U383="Mag",1,0)</f>
        <v/>
      </c>
      <c r="I384" s="26">
        <f>MAX(I383,IF(U383="OR",1,0))</f>
        <v/>
      </c>
      <c r="J384" s="26">
        <f>MAX(J383,IF(U383="HP",1,0))</f>
        <v/>
      </c>
      <c r="K384" s="26">
        <f>MAX(K383,IF(U383="FP",1,0))</f>
        <v/>
      </c>
      <c r="L384" s="26">
        <f>MAX(L383,IF(U383="transition",1,0))</f>
        <v/>
      </c>
      <c r="M384" s="28">
        <f>(Parameters!$B$9+(IF(E384=0,0,(Upgrades!$J$6+E384*Upgrades!$K$6)*POWER(Upgrades!$L$6,E384)))*(IF(Upgrades!$T$7="Solar Wind",POWER(Upgrades!$U$7,F384),1)*IF(Upgrades!$T$8="Solar Wind",POWER(Upgrades!$U$8,G384),1)*IF(Upgrades!$T$9="Solar Wind",POWER(Upgrades!$U$9,H384),1)*IF(Upgrades!$T$10="Solar Wind",POWER(Upgrades!$U$10,I384),1)*IF(Upgrades!$T$11="Solar Wind",POWER(Upgrades!$U$11,J384),1)*IF(Upgrades!$T$12="Solar Wind",POWER(Upgrades!$U$12,K384),1))+(IF(F384=0,0,(Upgrades!$J$7+F384*Upgrades!$K$7)*POWER(Upgrades!$L$7,F384)))*(IF(Upgrades!$T$6="Asteroid Belt",POWER(Upgrades!$U$6,E384),1)*IF(Upgrades!$T$8="Asteroid Belt",POWER(Upgrades!$U$8,G384),1)*IF(Upgrades!$T$9="Asteroid Belt",POWER(Upgrades!$U$9,H384),1)*IF(Upgrades!$T$10="Asteroid Belt",POWER(Upgrades!$U$10,I384),1)*IF(Upgrades!$T$11="Asteroid Belt",POWER(Upgrades!$U$11,J384),1)*IF(Upgrades!$T$12="Asteroid Belt",POWER(Upgrades!$U$12,K384),1))+(IF(G384=0,0,(Upgrades!$J$8+G384*Upgrades!$K$8)*POWER(Upgrades!$L$8,G384)))*(IF(Upgrades!$T$6="Stellar Coupling",POWER(Upgrades!$U$6,E384),1)*IF(Upgrades!$T$7="Stellar Coupling",POWER(Upgrades!$U$7,F384),1)*IF(Upgrades!$T$9="Stellar Coupling",POWER(Upgrades!$U$9,H384),1)*IF(Upgrades!$T$10="Stellar Coupling",POWER(Upgrades!$U$10,I384),1)*IF(Upgrades!$T$11="Stellar Coupling",POWER(Upgrades!$U$11,J384),1)*IF(Upgrades!$T$12="Stellar Coupling",POWER(Upgrades!$U$12,K384),1))+(IF(H384=0,0,(Upgrades!$J$9+H384*Upgrades!$K$9)*POWER(Upgrades!$L$9,H384)))*(IF(Upgrades!$T$6="Magnetosphere",POWER(Upgrades!$U$6,E384),1)*IF(Upgrades!$T$7="Magnetosphere",POWER(Upgrades!$U$7,F384),1)*IF(Upgrades!$T$8="Magnetosphere",POWER(Upgrades!$U$8,G384),1)*IF(Upgrades!$T$10="Magnetosphere",POWER(Upgrades!$U$10,I384),1)*IF(Upgrades!$T$11="Magnetosphere",POWER(Upgrades!$U$11,J384),1)*IF(Upgrades!$T$12="Magnetosphere",POWER(Upgrades!$U$12,K384),1))+(IF(I384=0,0,(Upgrades!$J$10+I384*Upgrades!$K$10)*POWER(Upgrades!$L$10,I384)))*(IF(Upgrades!$T$6="Orbital Resonance",POWER(Upgrades!$U$6,E384),1)*IF(Upgrades!$T$7="Orbital Resonance",POWER(Upgrades!$U$7,F384),1)*IF(Upgrades!$T$8="Orbital Resonance",POWER(Upgrades!$U$8,G384),1)*IF(Upgrades!$T$9="Orbital Resonance",POWER(Upgrades!$U$9,H384),1)*IF(Upgrades!$T$11="Orbital Resonance",POWER(Upgrades!$U$11,J384),1)*IF(Upgrades!$T$12="Orbital Resonance",POWER(Upgrades!$U$12,K384),1))+(IF(J384=0,0,(Upgrades!$J$11+J384*Upgrades!$K$11)*POWER(Upgrades!$L$11,J384)))*(IF(Upgrades!$T$6="Heliopause",POWER(Upgrades!$U$6,E384),1)*IF(Upgrades!$T$7="Heliopause",POWER(Upgrades!$U$7,F384),1)*IF(Upgrades!$T$8="Heliopause",POWER(Upgrades!$U$8,G384),1)*IF(Upgrades!$T$9="Heliopause",POWER(Upgrades!$U$9,H384),1)*IF(Upgrades!$T$10="Heliopause",POWER(Upgrades!$U$10,I384),1)*IF(Upgrades!$T$12="Heliopause",POWER(Upgrades!$U$12,K384),1))+(IF(K384=0,0,(Upgrades!$J$12+K384*Upgrades!$K$12)*POWER(Upgrades!$L$12,K384)))*(IF(Upgrades!$T$6="First Photons",POWER(Upgrades!$U$6,E384),1)*IF(Upgrades!$T$7="First Photons",POWER(Upgrades!$U$7,F384),1)*IF(Upgrades!$T$8="First Photons",POWER(Upgrades!$U$8,G384),1)*IF(Upgrades!$T$9="First Photons",POWER(Upgrades!$U$9,H384),1)*IF(Upgrades!$T$10="First Photons",POWER(Upgrades!$U$10,I384),1)*IF(Upgrades!$T$11="First Photons",POWER(Upgrades!$U$11,J384),1)))*POWER(Upgrades!$Q$6,E384)*POWER(Upgrades!$Q$7,F384)*POWER(Upgrades!$Q$8,G384)*POWER(Upgrades!$Q$9,H384)*POWER(Upgrades!$Q$10,I384)*POWER(Upgrades!$Q$11,J384)*POWER(Upgrades!$Q$12,K384)</f>
        <v/>
      </c>
      <c r="N384" s="28">
        <f>((IF(E384=0,0,(Upgrades!$G$6+E384*Upgrades!$H$6)*POWER(Upgrades!$I$6,E384)))*(IF(Upgrades!$T$7="Solar Wind",POWER(Upgrades!$U$7,F384),1)*IF(Upgrades!$T$8="Solar Wind",POWER(Upgrades!$U$8,G384),1)*IF(Upgrades!$T$9="Solar Wind",POWER(Upgrades!$U$9,H384),1)*IF(Upgrades!$T$10="Solar Wind",POWER(Upgrades!$U$10,I384),1)*IF(Upgrades!$T$11="Solar Wind",POWER(Upgrades!$U$11,J384),1)*IF(Upgrades!$T$12="Solar Wind",POWER(Upgrades!$U$12,K384),1))+(IF(F384=0,0,(Upgrades!$G$7+F384*Upgrades!$H$7)*POWER(Upgrades!$I$7,F384)))*(IF(Upgrades!$T$6="Asteroid Belt",POWER(Upgrades!$U$6,E384),1)*IF(Upgrades!$T$8="Asteroid Belt",POWER(Upgrades!$U$8,G384),1)*IF(Upgrades!$T$9="Asteroid Belt",POWER(Upgrades!$U$9,H384),1)*IF(Upgrades!$T$10="Asteroid Belt",POWER(Upgrades!$U$10,I384),1)*IF(Upgrades!$T$11="Asteroid Belt",POWER(Upgrades!$U$11,J384),1)*IF(Upgrades!$T$12="Asteroid Belt",POWER(Upgrades!$U$12,K384),1))+(IF(G384=0,0,(Upgrades!$G$8+G384*Upgrades!$H$8)*POWER(Upgrades!$I$8,G384)))*(IF(Upgrades!$T$6="Stellar Coupling",POWER(Upgrades!$U$6,E384),1)*IF(Upgrades!$T$7="Stellar Coupling",POWER(Upgrades!$U$7,F384),1)*IF(Upgrades!$T$9="Stellar Coupling",POWER(Upgrades!$U$9,H384),1)*IF(Upgrades!$T$10="Stellar Coupling",POWER(Upgrades!$U$10,I384),1)*IF(Upgrades!$T$11="Stellar Coupling",POWER(Upgrades!$U$11,J384),1)*IF(Upgrades!$T$12="Stellar Coupling",POWER(Upgrades!$U$12,K384),1))+(IF(H384=0,0,(Upgrades!$G$9+H384*Upgrades!$H$9)*POWER(Upgrades!$I$9,H384)))*(IF(Upgrades!$T$6="Magnetosphere",POWER(Upgrades!$U$6,E384),1)*IF(Upgrades!$T$7="Magnetosphere",POWER(Upgrades!$U$7,F384),1)*IF(Upgrades!$T$8="Magnetosphere",POWER(Upgrades!$U$8,G384),1)*IF(Upgrades!$T$10="Magnetosphere",POWER(Upgrades!$U$10,I384),1)*IF(Upgrades!$T$11="Magnetosphere",POWER(Upgrades!$U$11,J384),1)*IF(Upgrades!$T$12="Magnetosphere",POWER(Upgrades!$U$12,K384),1))+(IF(I384=0,0,(Upgrades!$G$10+I384*Upgrades!$H$10)*POWER(Upgrades!$I$10,I384)))*(IF(Upgrades!$T$6="Orbital Resonance",POWER(Upgrades!$U$6,E384),1)*IF(Upgrades!$T$7="Orbital Resonance",POWER(Upgrades!$U$7,F384),1)*IF(Upgrades!$T$8="Orbital Resonance",POWER(Upgrades!$U$8,G384),1)*IF(Upgrades!$T$9="Orbital Resonance",POWER(Upgrades!$U$9,H384),1)*IF(Upgrades!$T$11="Orbital Resonance",POWER(Upgrades!$U$11,J384),1)*IF(Upgrades!$T$12="Orbital Resonance",POWER(Upgrades!$U$12,K384),1))+(IF(J384=0,0,(Upgrades!$G$11+J384*Upgrades!$H$11)*POWER(Upgrades!$I$11,J384)))*(IF(Upgrades!$T$6="Heliopause",POWER(Upgrades!$U$6,E384),1)*IF(Upgrades!$T$7="Heliopause",POWER(Upgrades!$U$7,F384),1)*IF(Upgrades!$T$8="Heliopause",POWER(Upgrades!$U$8,G384),1)*IF(Upgrades!$T$9="Heliopause",POWER(Upgrades!$U$9,H384),1)*IF(Upgrades!$T$10="Heliopause",POWER(Upgrades!$U$10,I384),1)*IF(Upgrades!$T$12="Heliopause",POWER(Upgrades!$U$12,K384),1))+(IF(K384=0,0,(Upgrades!$G$12+K384*Upgrades!$H$12)*POWER(Upgrades!$I$12,K384)))*(IF(Upgrades!$T$6="First Photons",POWER(Upgrades!$U$6,E384),1)*IF(Upgrades!$T$7="First Photons",POWER(Upgrades!$U$7,F384),1)*IF(Upgrades!$T$8="First Photons",POWER(Upgrades!$U$8,G384),1)*IF(Upgrades!$T$9="First Photons",POWER(Upgrades!$U$9,H384),1)*IF(Upgrades!$T$10="First Photons",POWER(Upgrades!$U$10,I384),1)*IF(Upgrades!$T$11="First Photons",POWER(Upgrades!$U$11,J384),1)))*POWER(Upgrades!$P$6,E384)*POWER(Upgrades!$P$7,F384)*POWER(Upgrades!$P$8,G384)*POWER(Upgrades!$P$9,H384)*POWER(Upgrades!$P$10,I384)*POWER(Upgrades!$P$11,J384)*POWER(Upgrades!$P$12,K384)</f>
        <v/>
      </c>
      <c r="O384" s="28">
        <f>((IF(E384=0,0,(Upgrades!$M$6+E384*Upgrades!$N$6)*POWER(Upgrades!$O$6,E384)))*(IF(Upgrades!$T$7="Solar Wind",POWER(Upgrades!$U$7,F384),1)*IF(Upgrades!$T$8="Solar Wind",POWER(Upgrades!$U$8,G384),1)*IF(Upgrades!$T$9="Solar Wind",POWER(Upgrades!$U$9,H384),1)*IF(Upgrades!$T$10="Solar Wind",POWER(Upgrades!$U$10,I384),1)*IF(Upgrades!$T$11="Solar Wind",POWER(Upgrades!$U$11,J384),1)*IF(Upgrades!$T$12="Solar Wind",POWER(Upgrades!$U$12,K384),1))+(IF(F384=0,0,(Upgrades!$M$7+F384*Upgrades!$N$7)*POWER(Upgrades!$O$7,F384)))*(IF(Upgrades!$T$6="Asteroid Belt",POWER(Upgrades!$U$6,E384),1)*IF(Upgrades!$T$8="Asteroid Belt",POWER(Upgrades!$U$8,G384),1)*IF(Upgrades!$T$9="Asteroid Belt",POWER(Upgrades!$U$9,H384),1)*IF(Upgrades!$T$10="Asteroid Belt",POWER(Upgrades!$U$10,I384),1)*IF(Upgrades!$T$11="Asteroid Belt",POWER(Upgrades!$U$11,J384),1)*IF(Upgrades!$T$12="Asteroid Belt",POWER(Upgrades!$U$12,K384),1))+(IF(G384=0,0,(Upgrades!$M$8+G384*Upgrades!$N$8)*POWER(Upgrades!$O$8,G384)))*(IF(Upgrades!$T$6="Stellar Coupling",POWER(Upgrades!$U$6,E384),1)*IF(Upgrades!$T$7="Stellar Coupling",POWER(Upgrades!$U$7,F384),1)*IF(Upgrades!$T$9="Stellar Coupling",POWER(Upgrades!$U$9,H384),1)*IF(Upgrades!$T$10="Stellar Coupling",POWER(Upgrades!$U$10,I384),1)*IF(Upgrades!$T$11="Stellar Coupling",POWER(Upgrades!$U$11,J384),1)*IF(Upgrades!$T$12="Stellar Coupling",POWER(Upgrades!$U$12,K384),1))+(IF(H384=0,0,(Upgrades!$M$9+H384*Upgrades!$N$9)*POWER(Upgrades!$O$9,H384)))*(IF(Upgrades!$T$6="Magnetosphere",POWER(Upgrades!$U$6,E384),1)*IF(Upgrades!$T$7="Magnetosphere",POWER(Upgrades!$U$7,F384),1)*IF(Upgrades!$T$8="Magnetosphere",POWER(Upgrades!$U$8,G384),1)*IF(Upgrades!$T$10="Magnetosphere",POWER(Upgrades!$U$10,I384),1)*IF(Upgrades!$T$11="Magnetosphere",POWER(Upgrades!$U$11,J384),1)*IF(Upgrades!$T$12="Magnetosphere",POWER(Upgrades!$U$12,K384),1))+(IF(I384=0,0,(Upgrades!$M$10+I384*Upgrades!$N$10)*POWER(Upgrades!$O$10,I384)))*(IF(Upgrades!$T$6="Orbital Resonance",POWER(Upgrades!$U$6,E384),1)*IF(Upgrades!$T$7="Orbital Resonance",POWER(Upgrades!$U$7,F384),1)*IF(Upgrades!$T$8="Orbital Resonance",POWER(Upgrades!$U$8,G384),1)*IF(Upgrades!$T$9="Orbital Resonance",POWER(Upgrades!$U$9,H384),1)*IF(Upgrades!$T$11="Orbital Resonance",POWER(Upgrades!$U$11,J384),1)*IF(Upgrades!$T$12="Orbital Resonance",POWER(Upgrades!$U$12,K384),1))+(IF(J384=0,0,(Upgrades!$M$11+J384*Upgrades!$N$11)*POWER(Upgrades!$O$11,J384)))*(IF(Upgrades!$T$6="Heliopause",POWER(Upgrades!$U$6,E384),1)*IF(Upgrades!$T$7="Heliopause",POWER(Upgrades!$U$7,F384),1)*IF(Upgrades!$T$8="Heliopause",POWER(Upgrades!$U$8,G384),1)*IF(Upgrades!$T$9="Heliopause",POWER(Upgrades!$U$9,H384),1)*IF(Upgrades!$T$10="Heliopause",POWER(Upgrades!$U$10,I384),1)*IF(Upgrades!$T$12="Heliopause",POWER(Upgrades!$U$12,K384),1))+(IF(K384=0,0,(Upgrades!$M$12+K384*Upgrades!$N$12)*POWER(Upgrades!$O$12,K384)))*(IF(Upgrades!$T$6="First Photons",POWER(Upgrades!$U$6,E384),1)*IF(Upgrades!$T$7="First Photons",POWER(Upgrades!$U$7,F384),1)*IF(Upgrades!$T$8="First Photons",POWER(Upgrades!$U$8,G384),1)*IF(Upgrades!$T$9="First Photons",POWER(Upgrades!$U$9,H384),1)*IF(Upgrades!$T$10="First Photons",POWER(Upgrades!$U$10,I384),1)*IF(Upgrades!$T$11="First Photons",POWER(Upgrades!$U$11,J384),1)))*POWER(Upgrades!$R$6,E384)*POWER(Upgrades!$R$7,F384)*POWER(Upgrades!$R$8,G384)*POWER(Upgrades!$R$9,H384)*POWER(Upgrades!$R$10,I384)*POWER(Upgrades!$R$11,J384)*POWER(Upgrades!$R$12,K384)</f>
        <v/>
      </c>
      <c r="P384" s="27">
        <f>IF(L384=1,0,M384*Parameters!$B$10/60*Parameters!$B$11*10)</f>
        <v/>
      </c>
      <c r="Q384" s="27">
        <f>IF(L384=1,0,O384*M384*10)</f>
        <v/>
      </c>
      <c r="R384" s="27">
        <f>IF(L384=1,0,N384*10)</f>
        <v/>
      </c>
      <c r="S384" s="27">
        <f>P384+Q384+R384</f>
        <v/>
      </c>
      <c r="T384" s="22">
        <f>C384+S384</f>
        <v/>
      </c>
      <c r="U384" s="33">
        <f>AX384</f>
        <v/>
      </c>
      <c r="V384" s="22">
        <f>IF(U384="",0,IF(U384="transition",0,IF(U384="SW",AG384,IF(U384="AB",AH384,IF(U384="SC",AI384,IF(U384="Mag",AJ384,IF(U384="OR",AK384,IF(U384="HP",AL384,IF(U384="FP",AM384,0)))))))))</f>
        <v/>
      </c>
      <c r="W384" s="27">
        <f>IF(U384="OR",Upgrades!$F$10,IF(U384="HP",Upgrades!$F$11,IF(U384="transition",-Parameters!$B$18,0)))</f>
        <v/>
      </c>
      <c r="X384" s="22">
        <f>T384-V384</f>
        <v/>
      </c>
      <c r="Y384" s="30">
        <f>M384*Parameters!$B$10/60*Parameters!$B$11+O384*M384+N384</f>
        <v/>
      </c>
      <c r="Z384" s="34">
        <f>IF(U384="transition","→ Tier 2 (Stellar Neighborhood)",IF(U384="FP","First Photons — light begins, system quickens",IF(U384="HP","Heliopause acquired",IF(U384="OR","Orbital Resonance — passive multiplier active",IF(AND(AO384=1,L384=0,AN384&lt;&gt;1),"Cohesion ready (waiting on completionist upgrades)","")))))</f>
        <v/>
      </c>
      <c r="AA384" s="27">
        <f>(IF(E384=0,0,(Upgrades!$G$6+E384*Upgrades!$H$6)*POWER(Upgrades!$I$6,E384)))*(IF(Upgrades!$T$7="Solar Wind",POWER(Upgrades!$U$7,F384),1)*IF(Upgrades!$T$8="Solar Wind",POWER(Upgrades!$U$8,G384),1)*IF(Upgrades!$T$9="Solar Wind",POWER(Upgrades!$U$9,H384),1)*IF(Upgrades!$T$10="Solar Wind",POWER(Upgrades!$U$10,I384),1)*IF(Upgrades!$T$11="Solar Wind",POWER(Upgrades!$U$11,J384),1)*IF(Upgrades!$T$12="Solar Wind",POWER(Upgrades!$U$12,K384),1))*POWER(Upgrades!$P$6,E384)*POWER(Upgrades!$P$7,F384)*POWER(Upgrades!$P$8,G384)*POWER(Upgrades!$P$9,H384)*POWER(Upgrades!$P$10,I384)*POWER(Upgrades!$P$11,J384)*POWER(Upgrades!$P$12,K384)*60</f>
        <v/>
      </c>
      <c r="AB384" s="27">
        <f>(IF(F384=0,0,(Upgrades!$G$7+F384*Upgrades!$H$7)*POWER(Upgrades!$I$7,F384)))*(IF(Upgrades!$T$6="Asteroid Belt",POWER(Upgrades!$U$6,E384),1)*IF(Upgrades!$T$8="Asteroid Belt",POWER(Upgrades!$U$8,G384),1)*IF(Upgrades!$T$9="Asteroid Belt",POWER(Upgrades!$U$9,H384),1)*IF(Upgrades!$T$10="Asteroid Belt",POWER(Upgrades!$U$10,I384),1)*IF(Upgrades!$T$11="Asteroid Belt",POWER(Upgrades!$U$11,J384),1)*IF(Upgrades!$T$12="Asteroid Belt",POWER(Upgrades!$U$12,K384),1))*POWER(Upgrades!$P$6,E384)*POWER(Upgrades!$P$7,F384)*POWER(Upgrades!$P$8,G384)*POWER(Upgrades!$P$9,H384)*POWER(Upgrades!$P$10,I384)*POWER(Upgrades!$P$11,J384)*POWER(Upgrades!$P$12,K384)*60</f>
        <v/>
      </c>
      <c r="AC384" s="27">
        <f>(IF(G384=0,0,(Upgrades!$J$8+G384*Upgrades!$K$8)*POWER(Upgrades!$L$8,G384)))*(IF(Upgrades!$T$6="Stellar Coupling",POWER(Upgrades!$U$6,E384),1)*IF(Upgrades!$T$7="Stellar Coupling",POWER(Upgrades!$U$7,F384),1)*IF(Upgrades!$T$9="Stellar Coupling",POWER(Upgrades!$U$9,H384),1)*IF(Upgrades!$T$10="Stellar Coupling",POWER(Upgrades!$U$10,I384),1)*IF(Upgrades!$T$11="Stellar Coupling",POWER(Upgrades!$U$11,J384),1)*IF(Upgrades!$T$12="Stellar Coupling",POWER(Upgrades!$U$12,K384),1))*POWER(Upgrades!$Q$6,E384)*POWER(Upgrades!$Q$7,F384)*POWER(Upgrades!$Q$8,G384)*POWER(Upgrades!$Q$9,H384)*POWER(Upgrades!$Q$10,I384)*POWER(Upgrades!$Q$11,J384)*POWER(Upgrades!$Q$12,K384)*Parameters!$B$10*Parameters!$B$11</f>
        <v/>
      </c>
      <c r="AD384" s="27">
        <f>(IF(H384=0,0,(Upgrades!$G$9+H384*Upgrades!$H$9)*POWER(Upgrades!$I$9,H384)))*(IF(Upgrades!$T$6="Magnetosphere",POWER(Upgrades!$U$6,E384),1)*IF(Upgrades!$T$7="Magnetosphere",POWER(Upgrades!$U$7,F384),1)*IF(Upgrades!$T$8="Magnetosphere",POWER(Upgrades!$U$8,G384),1)*IF(Upgrades!$T$10="Magnetosphere",POWER(Upgrades!$U$10,I384),1)*IF(Upgrades!$T$11="Magnetosphere",POWER(Upgrades!$U$11,J384),1)*IF(Upgrades!$T$12="Magnetosphere",POWER(Upgrades!$U$12,K384),1))*POWER(Upgrades!$P$6,E384)*POWER(Upgrades!$P$7,F384)*POWER(Upgrades!$P$8,G384)*POWER(Upgrades!$P$9,H384)*POWER(Upgrades!$P$10,I384)*POWER(Upgrades!$P$11,J384)*POWER(Upgrades!$P$12,K384)*60</f>
        <v/>
      </c>
      <c r="AE384" s="27">
        <f>(IF(K384=0,0,(Upgrades!$G$12+K384*Upgrades!$H$12)*POWER(Upgrades!$I$12,K384)))*(IF(Upgrades!$T$6="First Photons",POWER(Upgrades!$U$6,E384),1)*IF(Upgrades!$T$7="First Photons",POWER(Upgrades!$U$7,F384),1)*IF(Upgrades!$T$8="First Photons",POWER(Upgrades!$U$8,G384),1)*IF(Upgrades!$T$9="First Photons",POWER(Upgrades!$U$9,H384),1)*IF(Upgrades!$T$10="First Photons",POWER(Upgrades!$U$10,I384),1)*IF(Upgrades!$T$11="First Photons",POWER(Upgrades!$U$11,J384),1))*POWER(Upgrades!$P$6,E384)*POWER(Upgrades!$P$7,F384)*POWER(Upgrades!$P$8,G384)*POWER(Upgrades!$P$9,H384)*POWER(Upgrades!$P$10,I384)*POWER(Upgrades!$P$11,J384)*POWER(Upgrades!$P$12,K384)*60</f>
        <v/>
      </c>
      <c r="AF384" s="27">
        <f>Parameters!$B$9*POWER(Upgrades!$Q$6,E384)*POWER(Upgrades!$Q$7,F384)*POWER(Upgrades!$Q$8,G384)*POWER(Upgrades!$Q$9,H384)*POWER(Upgrades!$Q$10,I384)*POWER(Upgrades!$Q$11,J384)*POWER(Upgrades!$Q$12,K384)*(Parameters!$B$10*Parameters!$B$11+O384*60)</f>
        <v/>
      </c>
      <c r="AG384" s="22">
        <f>IF(E384&gt;=Upgrades!$E$6,"",Upgrades!$C$6*POWER(Upgrades!$D$6,E384))</f>
        <v/>
      </c>
      <c r="AH384" s="22">
        <f>IF(F384&gt;=Upgrades!$E$7,"",Upgrades!$C$7*POWER(Upgrades!$D$7,F384))</f>
        <v/>
      </c>
      <c r="AI384" s="22">
        <f>IF(G384&gt;=Upgrades!$E$8,"",Upgrades!$C$8*POWER(Upgrades!$D$8,G384))</f>
        <v/>
      </c>
      <c r="AJ384" s="22">
        <f>IF(H384&gt;=Upgrades!$E$9,"",Upgrades!$C$9*POWER(Upgrades!$D$9,H384))</f>
        <v/>
      </c>
      <c r="AK384" s="22">
        <f>IF(I384&gt;=Upgrades!$E$10,"",Upgrades!$C$10*POWER(Upgrades!$D$10,I384))</f>
        <v/>
      </c>
      <c r="AL384" s="22">
        <f>IF(J384&gt;=Upgrades!$E$11,"",Upgrades!$C$11*POWER(Upgrades!$D$11,J384))</f>
        <v/>
      </c>
      <c r="AM384" s="22">
        <f>IF(K384&gt;=Upgrades!$E$12,"",Upgrades!$C$12*POWER(Upgrades!$D$12,K384))</f>
        <v/>
      </c>
      <c r="AN384" s="26">
        <f>IF(AND(D384&gt;=Parameters!$B$18,(H384&gt;=Upgrades!$E$9)*(K384&gt;=Upgrades!$E$12)=1,L384=0),1,"")</f>
        <v/>
      </c>
      <c r="AO384" s="26">
        <f>IF(AND(D384&gt;=Parameters!$B$18,L384=0),1,"")</f>
        <v/>
      </c>
      <c r="AP384" s="22">
        <f>MIN(IF(ISNUMBER(AK384),AK384,9E15),IF(ISNUMBER(AL384),AL384,9E15),IF(ISNUMBER(AM384),AM384,9E15))</f>
        <v/>
      </c>
      <c r="AQ384" s="22">
        <f>MIN(IF(ISNUMBER(AG384),AG384,9E15),IF(ISNUMBER(AH384),AH384,9E15),IF(ISNUMBER(AI384),AI384,9E15),IF(ISNUMBER(AJ384),AJ384,9E15))</f>
        <v/>
      </c>
      <c r="AR384" s="29">
        <f>IF(AW384&gt;Parameters!$B$21*(MAX(IF(AND(NOT(AND(AO384=1,AN384&lt;&gt;1)),ISNUMBER(AG384),AG384&lt;=T384),AS384,0),IF(AND(NOT(AND(AO384=1,AN384&lt;&gt;1)),ISNUMBER(AH384),AH384&lt;=T384),AT384,0),IF(AND(NOT(AND(AO384=1,AN384&lt;&gt;1)),ISNUMBER(AI384),AI384&lt;=T384),AU384,0),IF(AND(ISNUMBER(AJ384),AJ384&lt;=T384),AV384,0))),TRUE,FALSE)</f>
        <v/>
      </c>
      <c r="AS384" s="32">
        <f>IFERROR(Upgrades!$H$6*(POWER(Upgrades!$P$6,E384)*POWER(Upgrades!$P$7,F384)*POWER(Upgrades!$P$8,G384)*POWER(Upgrades!$P$9,H384)*POWER(Upgrades!$P$10,I384)*POWER(Upgrades!$P$11,J384)*POWER(Upgrades!$P$12,K384))*(IF(Upgrades!$T$7="Solar Wind",POWER(Upgrades!$U$7,F384),1)*IF(Upgrades!$T$8="Solar Wind",POWER(Upgrades!$U$8,G384),1)*IF(Upgrades!$T$9="Solar Wind",POWER(Upgrades!$U$9,H384),1)*IF(Upgrades!$T$10="Solar Wind",POWER(Upgrades!$U$10,I384),1)*IF(Upgrades!$T$11="Solar Wind",POWER(Upgrades!$U$11,J384),1)*IF(Upgrades!$T$12="Solar Wind",POWER(Upgrades!$U$12,K384),1))/AG384,0)</f>
        <v/>
      </c>
      <c r="AT384" s="32">
        <f>IFERROR(Upgrades!$H$7*(POWER(Upgrades!$P$6,E384)*POWER(Upgrades!$P$7,F384)*POWER(Upgrades!$P$8,G384)*POWER(Upgrades!$P$9,H384)*POWER(Upgrades!$P$10,I384)*POWER(Upgrades!$P$11,J384)*POWER(Upgrades!$P$12,K384))*(IF(Upgrades!$T$6="Asteroid Belt",POWER(Upgrades!$U$6,E384),1)*IF(Upgrades!$T$8="Asteroid Belt",POWER(Upgrades!$U$8,G384),1)*IF(Upgrades!$T$9="Asteroid Belt",POWER(Upgrades!$U$9,H384),1)*IF(Upgrades!$T$10="Asteroid Belt",POWER(Upgrades!$U$10,I384),1)*IF(Upgrades!$T$11="Asteroid Belt",POWER(Upgrades!$U$11,J384),1)*IF(Upgrades!$T$12="Asteroid Belt",POWER(Upgrades!$U$12,K384),1))/AH384,0)</f>
        <v/>
      </c>
      <c r="AU384" s="32">
        <f>IFERROR(Upgrades!$K$8*(POWER(Upgrades!$Q$6,E384)*POWER(Upgrades!$Q$7,F384)*POWER(Upgrades!$Q$8,G384)*POWER(Upgrades!$Q$9,H384)*POWER(Upgrades!$Q$10,I384)*POWER(Upgrades!$Q$11,J384)*POWER(Upgrades!$Q$12,K384))*(IF(Upgrades!$T$6="Stellar Coupling",POWER(Upgrades!$U$6,E384),1)*IF(Upgrades!$T$7="Stellar Coupling",POWER(Upgrades!$U$7,F384),1)*IF(Upgrades!$T$9="Stellar Coupling",POWER(Upgrades!$U$9,H384),1)*IF(Upgrades!$T$10="Stellar Coupling",POWER(Upgrades!$U$10,I384),1)*IF(Upgrades!$T$11="Stellar Coupling",POWER(Upgrades!$U$11,J384),1)*IF(Upgrades!$T$12="Stellar Coupling",POWER(Upgrades!$U$12,K384),1))*Parameters!$B$10*Parameters!$B$11/60/AI384,0)</f>
        <v/>
      </c>
      <c r="AV384" s="32">
        <f>IFERROR(Upgrades!$H$9*(POWER(Upgrades!$P$6,E384)*POWER(Upgrades!$P$7,F384)*POWER(Upgrades!$P$8,G384)*POWER(Upgrades!$P$9,H384)*POWER(Upgrades!$P$10,I384)*POWER(Upgrades!$P$11,J384)*POWER(Upgrades!$P$12,K384))*(IF(Upgrades!$T$6="Magnetosphere",POWER(Upgrades!$U$6,E384),1)*IF(Upgrades!$T$7="Magnetosphere",POWER(Upgrades!$U$7,F384),1)*IF(Upgrades!$T$8="Magnetosphere",POWER(Upgrades!$U$8,G384),1)*IF(Upgrades!$T$10="Magnetosphere",POWER(Upgrades!$U$10,I384),1)*IF(Upgrades!$T$11="Magnetosphere",POWER(Upgrades!$U$11,J384),1)*IF(Upgrades!$T$12="Magnetosphere",POWER(Upgrades!$U$12,K384),1))/AJ384,0)</f>
        <v/>
      </c>
      <c r="AW384" s="32">
        <f>MAX(IF(I384&gt;0,0,IFERROR(0.25*N384/Upgrades!$C$10,0)),IF(J384&gt;0,0,IFERROR(0.5*((IF(G384=0,0,(Upgrades!$J$8+G384*Upgrades!$K$8)*POWER(Upgrades!$L$8,G384)))*(IF(Upgrades!$T$6="Stellar Coupling",POWER(Upgrades!$U$6,E384),1)*IF(Upgrades!$T$7="Stellar Coupling",POWER(Upgrades!$U$7,F384),1)*IF(Upgrades!$T$9="Stellar Coupling",POWER(Upgrades!$U$9,H384),1)*IF(Upgrades!$T$10="Stellar Coupling",POWER(Upgrades!$U$10,I384),1)*IF(Upgrades!$T$11="Stellar Coupling",POWER(Upgrades!$U$11,J384),1)*IF(Upgrades!$T$12="Stellar Coupling",POWER(Upgrades!$U$12,K384),1))*(POWER(Upgrades!$Q$6,E384)*POWER(Upgrades!$Q$7,F384)*POWER(Upgrades!$Q$8,G384)*POWER(Upgrades!$Q$9,H384)*POWER(Upgrades!$Q$10,I384)*POWER(Upgrades!$Q$11,J384)*POWER(Upgrades!$Q$12,K384))*Parameters!$B$10*Parameters!$B$11/60)/Upgrades!$C$11,0)),IF(K384&gt;0,0,IFERROR((1.0*(POWER(Upgrades!$P$6,E384)*POWER(Upgrades!$P$7,F384)*POWER(Upgrades!$P$8,G384)*POWER(Upgrades!$P$9,H384)*POWER(Upgrades!$P$10,I384)*POWER(Upgrades!$P$11,J384)*POWER(Upgrades!$P$12,K384))+0.20*M384*Parameters!$B$10*Parameters!$B$11/60)/Upgrades!$C$12,0)),IF(AND(ISNUMBER(AG384),AG384&gt;T384),AS384,0),IF(AND(ISNUMBER(AH384),AH384&gt;T384),AT384,0),IF(AND(ISNUMBER(AI384),AI384&gt;T384),AU384,0),IF(AND(ISNUMBER(AJ384),AJ384&gt;T384),AV384,0))</f>
        <v/>
      </c>
      <c r="AX384" s="29">
        <f>IF(AN384=1,"transition",IF(MIN(IF(AND(I384=0,ISNUMBER(AK384),AK384&lt;=T384),AK384,9E15),IF(AND(J384=0,ISNUMBER(AL384),AL384&lt;=T384),AL384,9E15),IF(AND(K384=0,ISNUMBER(AM384),AM384&lt;=T384),AM384,9E15))&lt;9E15,IF(AND(AND(I384=0,ISNUMBER(AK384),AK384&lt;=T384),AK384=MIN(IF(AND(I384=0,ISNUMBER(AK384),AK384&lt;=T384),AK384,9E15),IF(AND(J384=0,ISNUMBER(AL384),AL384&lt;=T384),AL384,9E15),IF(AND(K384=0,ISNUMBER(AM384),AM384&lt;=T384),AM384,9E15))),"OR",IF(AND(AND(J384=0,ISNUMBER(AL384),AL384&lt;=T384),AL384=MIN(IF(AND(I384=0,ISNUMBER(AK384),AK384&lt;=T384),AK384,9E15),IF(AND(J384=0,ISNUMBER(AL384),AL384&lt;=T384),AL384,9E15),IF(AND(K384=0,ISNUMBER(AM384),AM384&lt;=T384),AM384,9E15))),"HP","FP")),IF(AR384=TRUE,"",IF(MAX(IF(AND(NOT(AND(AO384=1,AN384&lt;&gt;1)),ISNUMBER(AG384),AG384&lt;=T384),AS384,0),IF(AND(NOT(AND(AO384=1,AN384&lt;&gt;1)),ISNUMBER(AH384),AH384&lt;=T384),AT384,0),IF(AND(NOT(AND(AO384=1,AN384&lt;&gt;1)),ISNUMBER(AI384),AI384&lt;=T384),AU384,0),IF(AND(ISNUMBER(AJ384),AJ384&lt;=T384),AV384,0))&lt;=0,"",IF(AND(IF(AND(NOT(AND(AO384=1,AN384&lt;&gt;1)),ISNUMBER(AG384),AG384&lt;=T384),AS384,0)&gt;0,IF(AND(NOT(AND(AO384=1,AN384&lt;&gt;1)),ISNUMBER(AG384),AG384&lt;=T384),AS384,0)=MAX(IF(AND(NOT(AND(AO384=1,AN384&lt;&gt;1)),ISNUMBER(AG384),AG384&lt;=T384),AS384,0),IF(AND(NOT(AND(AO384=1,AN384&lt;&gt;1)),ISNUMBER(AH384),AH384&lt;=T384),AT384,0),IF(AND(NOT(AND(AO384=1,AN384&lt;&gt;1)),ISNUMBER(AI384),AI384&lt;=T384),AU384,0),IF(AND(ISNUMBER(AJ384),AJ384&lt;=T384),AV384,0))),"SW",IF(AND(IF(AND(NOT(AND(AO384=1,AN384&lt;&gt;1)),ISNUMBER(AH384),AH384&lt;=T384),AT384,0)&gt;0,IF(AND(NOT(AND(AO384=1,AN384&lt;&gt;1)),ISNUMBER(AH384),AH384&lt;=T384),AT384,0)=MAX(IF(AND(NOT(AND(AO384=1,AN384&lt;&gt;1)),ISNUMBER(AG384),AG384&lt;=T384),AS384,0),IF(AND(NOT(AND(AO384=1,AN384&lt;&gt;1)),ISNUMBER(AH384),AH384&lt;=T384),AT384,0),IF(AND(NOT(AND(AO384=1,AN384&lt;&gt;1)),ISNUMBER(AI384),AI384&lt;=T384),AU384,0),IF(AND(ISNUMBER(AJ384),AJ384&lt;=T384),AV384,0))),"AB",IF(AND(IF(AND(NOT(AND(AO384=1,AN384&lt;&gt;1)),ISNUMBER(AI384),AI384&lt;=T384),AU384,0)&gt;0,IF(AND(NOT(AND(AO384=1,AN384&lt;&gt;1)),ISNUMBER(AI384),AI384&lt;=T384),AU384,0)=MAX(IF(AND(NOT(AND(AO384=1,AN384&lt;&gt;1)),ISNUMBER(AG384),AG384&lt;=T384),AS384,0),IF(AND(NOT(AND(AO384=1,AN384&lt;&gt;1)),ISNUMBER(AH384),AH384&lt;=T384),AT384,0),IF(AND(NOT(AND(AO384=1,AN384&lt;&gt;1)),ISNUMBER(AI384),AI384&lt;=T384),AU384,0),IF(AND(ISNUMBER(AJ384),AJ384&lt;=T384),AV384,0))),"SC","Mag")))))))</f>
        <v/>
      </c>
    </row>
    <row r="385">
      <c r="A385" s="26" t="n">
        <v>380</v>
      </c>
      <c r="B385" s="27">
        <f>A385*10/60</f>
        <v/>
      </c>
      <c r="C385" s="22">
        <f>X384</f>
        <v/>
      </c>
      <c r="D385" s="27">
        <f>D384+W384</f>
        <v/>
      </c>
      <c r="E385" s="26">
        <f>E384+IF(U384="SW",1,0)</f>
        <v/>
      </c>
      <c r="F385" s="26">
        <f>F384+IF(U384="AB",1,0)</f>
        <v/>
      </c>
      <c r="G385" s="26">
        <f>G384+IF(U384="SC",1,0)</f>
        <v/>
      </c>
      <c r="H385" s="26">
        <f>H384+IF(U384="Mag",1,0)</f>
        <v/>
      </c>
      <c r="I385" s="26">
        <f>MAX(I384,IF(U384="OR",1,0))</f>
        <v/>
      </c>
      <c r="J385" s="26">
        <f>MAX(J384,IF(U384="HP",1,0))</f>
        <v/>
      </c>
      <c r="K385" s="26">
        <f>MAX(K384,IF(U384="FP",1,0))</f>
        <v/>
      </c>
      <c r="L385" s="26">
        <f>MAX(L384,IF(U384="transition",1,0))</f>
        <v/>
      </c>
      <c r="M385" s="28">
        <f>(Parameters!$B$9+(IF(E385=0,0,(Upgrades!$J$6+E385*Upgrades!$K$6)*POWER(Upgrades!$L$6,E385)))*(IF(Upgrades!$T$7="Solar Wind",POWER(Upgrades!$U$7,F385),1)*IF(Upgrades!$T$8="Solar Wind",POWER(Upgrades!$U$8,G385),1)*IF(Upgrades!$T$9="Solar Wind",POWER(Upgrades!$U$9,H385),1)*IF(Upgrades!$T$10="Solar Wind",POWER(Upgrades!$U$10,I385),1)*IF(Upgrades!$T$11="Solar Wind",POWER(Upgrades!$U$11,J385),1)*IF(Upgrades!$T$12="Solar Wind",POWER(Upgrades!$U$12,K385),1))+(IF(F385=0,0,(Upgrades!$J$7+F385*Upgrades!$K$7)*POWER(Upgrades!$L$7,F385)))*(IF(Upgrades!$T$6="Asteroid Belt",POWER(Upgrades!$U$6,E385),1)*IF(Upgrades!$T$8="Asteroid Belt",POWER(Upgrades!$U$8,G385),1)*IF(Upgrades!$T$9="Asteroid Belt",POWER(Upgrades!$U$9,H385),1)*IF(Upgrades!$T$10="Asteroid Belt",POWER(Upgrades!$U$10,I385),1)*IF(Upgrades!$T$11="Asteroid Belt",POWER(Upgrades!$U$11,J385),1)*IF(Upgrades!$T$12="Asteroid Belt",POWER(Upgrades!$U$12,K385),1))+(IF(G385=0,0,(Upgrades!$J$8+G385*Upgrades!$K$8)*POWER(Upgrades!$L$8,G385)))*(IF(Upgrades!$T$6="Stellar Coupling",POWER(Upgrades!$U$6,E385),1)*IF(Upgrades!$T$7="Stellar Coupling",POWER(Upgrades!$U$7,F385),1)*IF(Upgrades!$T$9="Stellar Coupling",POWER(Upgrades!$U$9,H385),1)*IF(Upgrades!$T$10="Stellar Coupling",POWER(Upgrades!$U$10,I385),1)*IF(Upgrades!$T$11="Stellar Coupling",POWER(Upgrades!$U$11,J385),1)*IF(Upgrades!$T$12="Stellar Coupling",POWER(Upgrades!$U$12,K385),1))+(IF(H385=0,0,(Upgrades!$J$9+H385*Upgrades!$K$9)*POWER(Upgrades!$L$9,H385)))*(IF(Upgrades!$T$6="Magnetosphere",POWER(Upgrades!$U$6,E385),1)*IF(Upgrades!$T$7="Magnetosphere",POWER(Upgrades!$U$7,F385),1)*IF(Upgrades!$T$8="Magnetosphere",POWER(Upgrades!$U$8,G385),1)*IF(Upgrades!$T$10="Magnetosphere",POWER(Upgrades!$U$10,I385),1)*IF(Upgrades!$T$11="Magnetosphere",POWER(Upgrades!$U$11,J385),1)*IF(Upgrades!$T$12="Magnetosphere",POWER(Upgrades!$U$12,K385),1))+(IF(I385=0,0,(Upgrades!$J$10+I385*Upgrades!$K$10)*POWER(Upgrades!$L$10,I385)))*(IF(Upgrades!$T$6="Orbital Resonance",POWER(Upgrades!$U$6,E385),1)*IF(Upgrades!$T$7="Orbital Resonance",POWER(Upgrades!$U$7,F385),1)*IF(Upgrades!$T$8="Orbital Resonance",POWER(Upgrades!$U$8,G385),1)*IF(Upgrades!$T$9="Orbital Resonance",POWER(Upgrades!$U$9,H385),1)*IF(Upgrades!$T$11="Orbital Resonance",POWER(Upgrades!$U$11,J385),1)*IF(Upgrades!$T$12="Orbital Resonance",POWER(Upgrades!$U$12,K385),1))+(IF(J385=0,0,(Upgrades!$J$11+J385*Upgrades!$K$11)*POWER(Upgrades!$L$11,J385)))*(IF(Upgrades!$T$6="Heliopause",POWER(Upgrades!$U$6,E385),1)*IF(Upgrades!$T$7="Heliopause",POWER(Upgrades!$U$7,F385),1)*IF(Upgrades!$T$8="Heliopause",POWER(Upgrades!$U$8,G385),1)*IF(Upgrades!$T$9="Heliopause",POWER(Upgrades!$U$9,H385),1)*IF(Upgrades!$T$10="Heliopause",POWER(Upgrades!$U$10,I385),1)*IF(Upgrades!$T$12="Heliopause",POWER(Upgrades!$U$12,K385),1))+(IF(K385=0,0,(Upgrades!$J$12+K385*Upgrades!$K$12)*POWER(Upgrades!$L$12,K385)))*(IF(Upgrades!$T$6="First Photons",POWER(Upgrades!$U$6,E385),1)*IF(Upgrades!$T$7="First Photons",POWER(Upgrades!$U$7,F385),1)*IF(Upgrades!$T$8="First Photons",POWER(Upgrades!$U$8,G385),1)*IF(Upgrades!$T$9="First Photons",POWER(Upgrades!$U$9,H385),1)*IF(Upgrades!$T$10="First Photons",POWER(Upgrades!$U$10,I385),1)*IF(Upgrades!$T$11="First Photons",POWER(Upgrades!$U$11,J385),1)))*POWER(Upgrades!$Q$6,E385)*POWER(Upgrades!$Q$7,F385)*POWER(Upgrades!$Q$8,G385)*POWER(Upgrades!$Q$9,H385)*POWER(Upgrades!$Q$10,I385)*POWER(Upgrades!$Q$11,J385)*POWER(Upgrades!$Q$12,K385)</f>
        <v/>
      </c>
      <c r="N385" s="28">
        <f>((IF(E385=0,0,(Upgrades!$G$6+E385*Upgrades!$H$6)*POWER(Upgrades!$I$6,E385)))*(IF(Upgrades!$T$7="Solar Wind",POWER(Upgrades!$U$7,F385),1)*IF(Upgrades!$T$8="Solar Wind",POWER(Upgrades!$U$8,G385),1)*IF(Upgrades!$T$9="Solar Wind",POWER(Upgrades!$U$9,H385),1)*IF(Upgrades!$T$10="Solar Wind",POWER(Upgrades!$U$10,I385),1)*IF(Upgrades!$T$11="Solar Wind",POWER(Upgrades!$U$11,J385),1)*IF(Upgrades!$T$12="Solar Wind",POWER(Upgrades!$U$12,K385),1))+(IF(F385=0,0,(Upgrades!$G$7+F385*Upgrades!$H$7)*POWER(Upgrades!$I$7,F385)))*(IF(Upgrades!$T$6="Asteroid Belt",POWER(Upgrades!$U$6,E385),1)*IF(Upgrades!$T$8="Asteroid Belt",POWER(Upgrades!$U$8,G385),1)*IF(Upgrades!$T$9="Asteroid Belt",POWER(Upgrades!$U$9,H385),1)*IF(Upgrades!$T$10="Asteroid Belt",POWER(Upgrades!$U$10,I385),1)*IF(Upgrades!$T$11="Asteroid Belt",POWER(Upgrades!$U$11,J385),1)*IF(Upgrades!$T$12="Asteroid Belt",POWER(Upgrades!$U$12,K385),1))+(IF(G385=0,0,(Upgrades!$G$8+G385*Upgrades!$H$8)*POWER(Upgrades!$I$8,G385)))*(IF(Upgrades!$T$6="Stellar Coupling",POWER(Upgrades!$U$6,E385),1)*IF(Upgrades!$T$7="Stellar Coupling",POWER(Upgrades!$U$7,F385),1)*IF(Upgrades!$T$9="Stellar Coupling",POWER(Upgrades!$U$9,H385),1)*IF(Upgrades!$T$10="Stellar Coupling",POWER(Upgrades!$U$10,I385),1)*IF(Upgrades!$T$11="Stellar Coupling",POWER(Upgrades!$U$11,J385),1)*IF(Upgrades!$T$12="Stellar Coupling",POWER(Upgrades!$U$12,K385),1))+(IF(H385=0,0,(Upgrades!$G$9+H385*Upgrades!$H$9)*POWER(Upgrades!$I$9,H385)))*(IF(Upgrades!$T$6="Magnetosphere",POWER(Upgrades!$U$6,E385),1)*IF(Upgrades!$T$7="Magnetosphere",POWER(Upgrades!$U$7,F385),1)*IF(Upgrades!$T$8="Magnetosphere",POWER(Upgrades!$U$8,G385),1)*IF(Upgrades!$T$10="Magnetosphere",POWER(Upgrades!$U$10,I385),1)*IF(Upgrades!$T$11="Magnetosphere",POWER(Upgrades!$U$11,J385),1)*IF(Upgrades!$T$12="Magnetosphere",POWER(Upgrades!$U$12,K385),1))+(IF(I385=0,0,(Upgrades!$G$10+I385*Upgrades!$H$10)*POWER(Upgrades!$I$10,I385)))*(IF(Upgrades!$T$6="Orbital Resonance",POWER(Upgrades!$U$6,E385),1)*IF(Upgrades!$T$7="Orbital Resonance",POWER(Upgrades!$U$7,F385),1)*IF(Upgrades!$T$8="Orbital Resonance",POWER(Upgrades!$U$8,G385),1)*IF(Upgrades!$T$9="Orbital Resonance",POWER(Upgrades!$U$9,H385),1)*IF(Upgrades!$T$11="Orbital Resonance",POWER(Upgrades!$U$11,J385),1)*IF(Upgrades!$T$12="Orbital Resonance",POWER(Upgrades!$U$12,K385),1))+(IF(J385=0,0,(Upgrades!$G$11+J385*Upgrades!$H$11)*POWER(Upgrades!$I$11,J385)))*(IF(Upgrades!$T$6="Heliopause",POWER(Upgrades!$U$6,E385),1)*IF(Upgrades!$T$7="Heliopause",POWER(Upgrades!$U$7,F385),1)*IF(Upgrades!$T$8="Heliopause",POWER(Upgrades!$U$8,G385),1)*IF(Upgrades!$T$9="Heliopause",POWER(Upgrades!$U$9,H385),1)*IF(Upgrades!$T$10="Heliopause",POWER(Upgrades!$U$10,I385),1)*IF(Upgrades!$T$12="Heliopause",POWER(Upgrades!$U$12,K385),1))+(IF(K385=0,0,(Upgrades!$G$12+K385*Upgrades!$H$12)*POWER(Upgrades!$I$12,K385)))*(IF(Upgrades!$T$6="First Photons",POWER(Upgrades!$U$6,E385),1)*IF(Upgrades!$T$7="First Photons",POWER(Upgrades!$U$7,F385),1)*IF(Upgrades!$T$8="First Photons",POWER(Upgrades!$U$8,G385),1)*IF(Upgrades!$T$9="First Photons",POWER(Upgrades!$U$9,H385),1)*IF(Upgrades!$T$10="First Photons",POWER(Upgrades!$U$10,I385),1)*IF(Upgrades!$T$11="First Photons",POWER(Upgrades!$U$11,J385),1)))*POWER(Upgrades!$P$6,E385)*POWER(Upgrades!$P$7,F385)*POWER(Upgrades!$P$8,G385)*POWER(Upgrades!$P$9,H385)*POWER(Upgrades!$P$10,I385)*POWER(Upgrades!$P$11,J385)*POWER(Upgrades!$P$12,K385)</f>
        <v/>
      </c>
      <c r="O385" s="28">
        <f>((IF(E385=0,0,(Upgrades!$M$6+E385*Upgrades!$N$6)*POWER(Upgrades!$O$6,E385)))*(IF(Upgrades!$T$7="Solar Wind",POWER(Upgrades!$U$7,F385),1)*IF(Upgrades!$T$8="Solar Wind",POWER(Upgrades!$U$8,G385),1)*IF(Upgrades!$T$9="Solar Wind",POWER(Upgrades!$U$9,H385),1)*IF(Upgrades!$T$10="Solar Wind",POWER(Upgrades!$U$10,I385),1)*IF(Upgrades!$T$11="Solar Wind",POWER(Upgrades!$U$11,J385),1)*IF(Upgrades!$T$12="Solar Wind",POWER(Upgrades!$U$12,K385),1))+(IF(F385=0,0,(Upgrades!$M$7+F385*Upgrades!$N$7)*POWER(Upgrades!$O$7,F385)))*(IF(Upgrades!$T$6="Asteroid Belt",POWER(Upgrades!$U$6,E385),1)*IF(Upgrades!$T$8="Asteroid Belt",POWER(Upgrades!$U$8,G385),1)*IF(Upgrades!$T$9="Asteroid Belt",POWER(Upgrades!$U$9,H385),1)*IF(Upgrades!$T$10="Asteroid Belt",POWER(Upgrades!$U$10,I385),1)*IF(Upgrades!$T$11="Asteroid Belt",POWER(Upgrades!$U$11,J385),1)*IF(Upgrades!$T$12="Asteroid Belt",POWER(Upgrades!$U$12,K385),1))+(IF(G385=0,0,(Upgrades!$M$8+G385*Upgrades!$N$8)*POWER(Upgrades!$O$8,G385)))*(IF(Upgrades!$T$6="Stellar Coupling",POWER(Upgrades!$U$6,E385),1)*IF(Upgrades!$T$7="Stellar Coupling",POWER(Upgrades!$U$7,F385),1)*IF(Upgrades!$T$9="Stellar Coupling",POWER(Upgrades!$U$9,H385),1)*IF(Upgrades!$T$10="Stellar Coupling",POWER(Upgrades!$U$10,I385),1)*IF(Upgrades!$T$11="Stellar Coupling",POWER(Upgrades!$U$11,J385),1)*IF(Upgrades!$T$12="Stellar Coupling",POWER(Upgrades!$U$12,K385),1))+(IF(H385=0,0,(Upgrades!$M$9+H385*Upgrades!$N$9)*POWER(Upgrades!$O$9,H385)))*(IF(Upgrades!$T$6="Magnetosphere",POWER(Upgrades!$U$6,E385),1)*IF(Upgrades!$T$7="Magnetosphere",POWER(Upgrades!$U$7,F385),1)*IF(Upgrades!$T$8="Magnetosphere",POWER(Upgrades!$U$8,G385),1)*IF(Upgrades!$T$10="Magnetosphere",POWER(Upgrades!$U$10,I385),1)*IF(Upgrades!$T$11="Magnetosphere",POWER(Upgrades!$U$11,J385),1)*IF(Upgrades!$T$12="Magnetosphere",POWER(Upgrades!$U$12,K385),1))+(IF(I385=0,0,(Upgrades!$M$10+I385*Upgrades!$N$10)*POWER(Upgrades!$O$10,I385)))*(IF(Upgrades!$T$6="Orbital Resonance",POWER(Upgrades!$U$6,E385),1)*IF(Upgrades!$T$7="Orbital Resonance",POWER(Upgrades!$U$7,F385),1)*IF(Upgrades!$T$8="Orbital Resonance",POWER(Upgrades!$U$8,G385),1)*IF(Upgrades!$T$9="Orbital Resonance",POWER(Upgrades!$U$9,H385),1)*IF(Upgrades!$T$11="Orbital Resonance",POWER(Upgrades!$U$11,J385),1)*IF(Upgrades!$T$12="Orbital Resonance",POWER(Upgrades!$U$12,K385),1))+(IF(J385=0,0,(Upgrades!$M$11+J385*Upgrades!$N$11)*POWER(Upgrades!$O$11,J385)))*(IF(Upgrades!$T$6="Heliopause",POWER(Upgrades!$U$6,E385),1)*IF(Upgrades!$T$7="Heliopause",POWER(Upgrades!$U$7,F385),1)*IF(Upgrades!$T$8="Heliopause",POWER(Upgrades!$U$8,G385),1)*IF(Upgrades!$T$9="Heliopause",POWER(Upgrades!$U$9,H385),1)*IF(Upgrades!$T$10="Heliopause",POWER(Upgrades!$U$10,I385),1)*IF(Upgrades!$T$12="Heliopause",POWER(Upgrades!$U$12,K385),1))+(IF(K385=0,0,(Upgrades!$M$12+K385*Upgrades!$N$12)*POWER(Upgrades!$O$12,K385)))*(IF(Upgrades!$T$6="First Photons",POWER(Upgrades!$U$6,E385),1)*IF(Upgrades!$T$7="First Photons",POWER(Upgrades!$U$7,F385),1)*IF(Upgrades!$T$8="First Photons",POWER(Upgrades!$U$8,G385),1)*IF(Upgrades!$T$9="First Photons",POWER(Upgrades!$U$9,H385),1)*IF(Upgrades!$T$10="First Photons",POWER(Upgrades!$U$10,I385),1)*IF(Upgrades!$T$11="First Photons",POWER(Upgrades!$U$11,J385),1)))*POWER(Upgrades!$R$6,E385)*POWER(Upgrades!$R$7,F385)*POWER(Upgrades!$R$8,G385)*POWER(Upgrades!$R$9,H385)*POWER(Upgrades!$R$10,I385)*POWER(Upgrades!$R$11,J385)*POWER(Upgrades!$R$12,K385)</f>
        <v/>
      </c>
      <c r="P385" s="27">
        <f>IF(L385=1,0,M385*Parameters!$B$10/60*Parameters!$B$11*10)</f>
        <v/>
      </c>
      <c r="Q385" s="27">
        <f>IF(L385=1,0,O385*M385*10)</f>
        <v/>
      </c>
      <c r="R385" s="27">
        <f>IF(L385=1,0,N385*10)</f>
        <v/>
      </c>
      <c r="S385" s="27">
        <f>P385+Q385+R385</f>
        <v/>
      </c>
      <c r="T385" s="22">
        <f>C385+S385</f>
        <v/>
      </c>
      <c r="U385" s="33">
        <f>AX385</f>
        <v/>
      </c>
      <c r="V385" s="22">
        <f>IF(U385="",0,IF(U385="transition",0,IF(U385="SW",AG385,IF(U385="AB",AH385,IF(U385="SC",AI385,IF(U385="Mag",AJ385,IF(U385="OR",AK385,IF(U385="HP",AL385,IF(U385="FP",AM385,0)))))))))</f>
        <v/>
      </c>
      <c r="W385" s="27">
        <f>IF(U385="OR",Upgrades!$F$10,IF(U385="HP",Upgrades!$F$11,IF(U385="transition",-Parameters!$B$18,0)))</f>
        <v/>
      </c>
      <c r="X385" s="22">
        <f>T385-V385</f>
        <v/>
      </c>
      <c r="Y385" s="30">
        <f>M385*Parameters!$B$10/60*Parameters!$B$11+O385*M385+N385</f>
        <v/>
      </c>
      <c r="Z385" s="34">
        <f>IF(U385="transition","→ Tier 2 (Stellar Neighborhood)",IF(U385="FP","First Photons — light begins, system quickens",IF(U385="HP","Heliopause acquired",IF(U385="OR","Orbital Resonance — passive multiplier active",IF(AND(AO385=1,L385=0,AN385&lt;&gt;1),"Cohesion ready (waiting on completionist upgrades)","")))))</f>
        <v/>
      </c>
      <c r="AA385" s="27">
        <f>(IF(E385=0,0,(Upgrades!$G$6+E385*Upgrades!$H$6)*POWER(Upgrades!$I$6,E385)))*(IF(Upgrades!$T$7="Solar Wind",POWER(Upgrades!$U$7,F385),1)*IF(Upgrades!$T$8="Solar Wind",POWER(Upgrades!$U$8,G385),1)*IF(Upgrades!$T$9="Solar Wind",POWER(Upgrades!$U$9,H385),1)*IF(Upgrades!$T$10="Solar Wind",POWER(Upgrades!$U$10,I385),1)*IF(Upgrades!$T$11="Solar Wind",POWER(Upgrades!$U$11,J385),1)*IF(Upgrades!$T$12="Solar Wind",POWER(Upgrades!$U$12,K385),1))*POWER(Upgrades!$P$6,E385)*POWER(Upgrades!$P$7,F385)*POWER(Upgrades!$P$8,G385)*POWER(Upgrades!$P$9,H385)*POWER(Upgrades!$P$10,I385)*POWER(Upgrades!$P$11,J385)*POWER(Upgrades!$P$12,K385)*60</f>
        <v/>
      </c>
      <c r="AB385" s="27">
        <f>(IF(F385=0,0,(Upgrades!$G$7+F385*Upgrades!$H$7)*POWER(Upgrades!$I$7,F385)))*(IF(Upgrades!$T$6="Asteroid Belt",POWER(Upgrades!$U$6,E385),1)*IF(Upgrades!$T$8="Asteroid Belt",POWER(Upgrades!$U$8,G385),1)*IF(Upgrades!$T$9="Asteroid Belt",POWER(Upgrades!$U$9,H385),1)*IF(Upgrades!$T$10="Asteroid Belt",POWER(Upgrades!$U$10,I385),1)*IF(Upgrades!$T$11="Asteroid Belt",POWER(Upgrades!$U$11,J385),1)*IF(Upgrades!$T$12="Asteroid Belt",POWER(Upgrades!$U$12,K385),1))*POWER(Upgrades!$P$6,E385)*POWER(Upgrades!$P$7,F385)*POWER(Upgrades!$P$8,G385)*POWER(Upgrades!$P$9,H385)*POWER(Upgrades!$P$10,I385)*POWER(Upgrades!$P$11,J385)*POWER(Upgrades!$P$12,K385)*60</f>
        <v/>
      </c>
      <c r="AC385" s="27">
        <f>(IF(G385=0,0,(Upgrades!$J$8+G385*Upgrades!$K$8)*POWER(Upgrades!$L$8,G385)))*(IF(Upgrades!$T$6="Stellar Coupling",POWER(Upgrades!$U$6,E385),1)*IF(Upgrades!$T$7="Stellar Coupling",POWER(Upgrades!$U$7,F385),1)*IF(Upgrades!$T$9="Stellar Coupling",POWER(Upgrades!$U$9,H385),1)*IF(Upgrades!$T$10="Stellar Coupling",POWER(Upgrades!$U$10,I385),1)*IF(Upgrades!$T$11="Stellar Coupling",POWER(Upgrades!$U$11,J385),1)*IF(Upgrades!$T$12="Stellar Coupling",POWER(Upgrades!$U$12,K385),1))*POWER(Upgrades!$Q$6,E385)*POWER(Upgrades!$Q$7,F385)*POWER(Upgrades!$Q$8,G385)*POWER(Upgrades!$Q$9,H385)*POWER(Upgrades!$Q$10,I385)*POWER(Upgrades!$Q$11,J385)*POWER(Upgrades!$Q$12,K385)*Parameters!$B$10*Parameters!$B$11</f>
        <v/>
      </c>
      <c r="AD385" s="27">
        <f>(IF(H385=0,0,(Upgrades!$G$9+H385*Upgrades!$H$9)*POWER(Upgrades!$I$9,H385)))*(IF(Upgrades!$T$6="Magnetosphere",POWER(Upgrades!$U$6,E385),1)*IF(Upgrades!$T$7="Magnetosphere",POWER(Upgrades!$U$7,F385),1)*IF(Upgrades!$T$8="Magnetosphere",POWER(Upgrades!$U$8,G385),1)*IF(Upgrades!$T$10="Magnetosphere",POWER(Upgrades!$U$10,I385),1)*IF(Upgrades!$T$11="Magnetosphere",POWER(Upgrades!$U$11,J385),1)*IF(Upgrades!$T$12="Magnetosphere",POWER(Upgrades!$U$12,K385),1))*POWER(Upgrades!$P$6,E385)*POWER(Upgrades!$P$7,F385)*POWER(Upgrades!$P$8,G385)*POWER(Upgrades!$P$9,H385)*POWER(Upgrades!$P$10,I385)*POWER(Upgrades!$P$11,J385)*POWER(Upgrades!$P$12,K385)*60</f>
        <v/>
      </c>
      <c r="AE385" s="27">
        <f>(IF(K385=0,0,(Upgrades!$G$12+K385*Upgrades!$H$12)*POWER(Upgrades!$I$12,K385)))*(IF(Upgrades!$T$6="First Photons",POWER(Upgrades!$U$6,E385),1)*IF(Upgrades!$T$7="First Photons",POWER(Upgrades!$U$7,F385),1)*IF(Upgrades!$T$8="First Photons",POWER(Upgrades!$U$8,G385),1)*IF(Upgrades!$T$9="First Photons",POWER(Upgrades!$U$9,H385),1)*IF(Upgrades!$T$10="First Photons",POWER(Upgrades!$U$10,I385),1)*IF(Upgrades!$T$11="First Photons",POWER(Upgrades!$U$11,J385),1))*POWER(Upgrades!$P$6,E385)*POWER(Upgrades!$P$7,F385)*POWER(Upgrades!$P$8,G385)*POWER(Upgrades!$P$9,H385)*POWER(Upgrades!$P$10,I385)*POWER(Upgrades!$P$11,J385)*POWER(Upgrades!$P$12,K385)*60</f>
        <v/>
      </c>
      <c r="AF385" s="27">
        <f>Parameters!$B$9*POWER(Upgrades!$Q$6,E385)*POWER(Upgrades!$Q$7,F385)*POWER(Upgrades!$Q$8,G385)*POWER(Upgrades!$Q$9,H385)*POWER(Upgrades!$Q$10,I385)*POWER(Upgrades!$Q$11,J385)*POWER(Upgrades!$Q$12,K385)*(Parameters!$B$10*Parameters!$B$11+O385*60)</f>
        <v/>
      </c>
      <c r="AG385" s="22">
        <f>IF(E385&gt;=Upgrades!$E$6,"",Upgrades!$C$6*POWER(Upgrades!$D$6,E385))</f>
        <v/>
      </c>
      <c r="AH385" s="22">
        <f>IF(F385&gt;=Upgrades!$E$7,"",Upgrades!$C$7*POWER(Upgrades!$D$7,F385))</f>
        <v/>
      </c>
      <c r="AI385" s="22">
        <f>IF(G385&gt;=Upgrades!$E$8,"",Upgrades!$C$8*POWER(Upgrades!$D$8,G385))</f>
        <v/>
      </c>
      <c r="AJ385" s="22">
        <f>IF(H385&gt;=Upgrades!$E$9,"",Upgrades!$C$9*POWER(Upgrades!$D$9,H385))</f>
        <v/>
      </c>
      <c r="AK385" s="22">
        <f>IF(I385&gt;=Upgrades!$E$10,"",Upgrades!$C$10*POWER(Upgrades!$D$10,I385))</f>
        <v/>
      </c>
      <c r="AL385" s="22">
        <f>IF(J385&gt;=Upgrades!$E$11,"",Upgrades!$C$11*POWER(Upgrades!$D$11,J385))</f>
        <v/>
      </c>
      <c r="AM385" s="22">
        <f>IF(K385&gt;=Upgrades!$E$12,"",Upgrades!$C$12*POWER(Upgrades!$D$12,K385))</f>
        <v/>
      </c>
      <c r="AN385" s="26">
        <f>IF(AND(D385&gt;=Parameters!$B$18,(H385&gt;=Upgrades!$E$9)*(K385&gt;=Upgrades!$E$12)=1,L385=0),1,"")</f>
        <v/>
      </c>
      <c r="AO385" s="26">
        <f>IF(AND(D385&gt;=Parameters!$B$18,L385=0),1,"")</f>
        <v/>
      </c>
      <c r="AP385" s="22">
        <f>MIN(IF(ISNUMBER(AK385),AK385,9E15),IF(ISNUMBER(AL385),AL385,9E15),IF(ISNUMBER(AM385),AM385,9E15))</f>
        <v/>
      </c>
      <c r="AQ385" s="22">
        <f>MIN(IF(ISNUMBER(AG385),AG385,9E15),IF(ISNUMBER(AH385),AH385,9E15),IF(ISNUMBER(AI385),AI385,9E15),IF(ISNUMBER(AJ385),AJ385,9E15))</f>
        <v/>
      </c>
      <c r="AR385" s="29">
        <f>IF(AW385&gt;Parameters!$B$21*(MAX(IF(AND(NOT(AND(AO385=1,AN385&lt;&gt;1)),ISNUMBER(AG385),AG385&lt;=T385),AS385,0),IF(AND(NOT(AND(AO385=1,AN385&lt;&gt;1)),ISNUMBER(AH385),AH385&lt;=T385),AT385,0),IF(AND(NOT(AND(AO385=1,AN385&lt;&gt;1)),ISNUMBER(AI385),AI385&lt;=T385),AU385,0),IF(AND(ISNUMBER(AJ385),AJ385&lt;=T385),AV385,0))),TRUE,FALSE)</f>
        <v/>
      </c>
      <c r="AS385" s="32">
        <f>IFERROR(Upgrades!$H$6*(POWER(Upgrades!$P$6,E385)*POWER(Upgrades!$P$7,F385)*POWER(Upgrades!$P$8,G385)*POWER(Upgrades!$P$9,H385)*POWER(Upgrades!$P$10,I385)*POWER(Upgrades!$P$11,J385)*POWER(Upgrades!$P$12,K385))*(IF(Upgrades!$T$7="Solar Wind",POWER(Upgrades!$U$7,F385),1)*IF(Upgrades!$T$8="Solar Wind",POWER(Upgrades!$U$8,G385),1)*IF(Upgrades!$T$9="Solar Wind",POWER(Upgrades!$U$9,H385),1)*IF(Upgrades!$T$10="Solar Wind",POWER(Upgrades!$U$10,I385),1)*IF(Upgrades!$T$11="Solar Wind",POWER(Upgrades!$U$11,J385),1)*IF(Upgrades!$T$12="Solar Wind",POWER(Upgrades!$U$12,K385),1))/AG385,0)</f>
        <v/>
      </c>
      <c r="AT385" s="32">
        <f>IFERROR(Upgrades!$H$7*(POWER(Upgrades!$P$6,E385)*POWER(Upgrades!$P$7,F385)*POWER(Upgrades!$P$8,G385)*POWER(Upgrades!$P$9,H385)*POWER(Upgrades!$P$10,I385)*POWER(Upgrades!$P$11,J385)*POWER(Upgrades!$P$12,K385))*(IF(Upgrades!$T$6="Asteroid Belt",POWER(Upgrades!$U$6,E385),1)*IF(Upgrades!$T$8="Asteroid Belt",POWER(Upgrades!$U$8,G385),1)*IF(Upgrades!$T$9="Asteroid Belt",POWER(Upgrades!$U$9,H385),1)*IF(Upgrades!$T$10="Asteroid Belt",POWER(Upgrades!$U$10,I385),1)*IF(Upgrades!$T$11="Asteroid Belt",POWER(Upgrades!$U$11,J385),1)*IF(Upgrades!$T$12="Asteroid Belt",POWER(Upgrades!$U$12,K385),1))/AH385,0)</f>
        <v/>
      </c>
      <c r="AU385" s="32">
        <f>IFERROR(Upgrades!$K$8*(POWER(Upgrades!$Q$6,E385)*POWER(Upgrades!$Q$7,F385)*POWER(Upgrades!$Q$8,G385)*POWER(Upgrades!$Q$9,H385)*POWER(Upgrades!$Q$10,I385)*POWER(Upgrades!$Q$11,J385)*POWER(Upgrades!$Q$12,K385))*(IF(Upgrades!$T$6="Stellar Coupling",POWER(Upgrades!$U$6,E385),1)*IF(Upgrades!$T$7="Stellar Coupling",POWER(Upgrades!$U$7,F385),1)*IF(Upgrades!$T$9="Stellar Coupling",POWER(Upgrades!$U$9,H385),1)*IF(Upgrades!$T$10="Stellar Coupling",POWER(Upgrades!$U$10,I385),1)*IF(Upgrades!$T$11="Stellar Coupling",POWER(Upgrades!$U$11,J385),1)*IF(Upgrades!$T$12="Stellar Coupling",POWER(Upgrades!$U$12,K385),1))*Parameters!$B$10*Parameters!$B$11/60/AI385,0)</f>
        <v/>
      </c>
      <c r="AV385" s="32">
        <f>IFERROR(Upgrades!$H$9*(POWER(Upgrades!$P$6,E385)*POWER(Upgrades!$P$7,F385)*POWER(Upgrades!$P$8,G385)*POWER(Upgrades!$P$9,H385)*POWER(Upgrades!$P$10,I385)*POWER(Upgrades!$P$11,J385)*POWER(Upgrades!$P$12,K385))*(IF(Upgrades!$T$6="Magnetosphere",POWER(Upgrades!$U$6,E385),1)*IF(Upgrades!$T$7="Magnetosphere",POWER(Upgrades!$U$7,F385),1)*IF(Upgrades!$T$8="Magnetosphere",POWER(Upgrades!$U$8,G385),1)*IF(Upgrades!$T$10="Magnetosphere",POWER(Upgrades!$U$10,I385),1)*IF(Upgrades!$T$11="Magnetosphere",POWER(Upgrades!$U$11,J385),1)*IF(Upgrades!$T$12="Magnetosphere",POWER(Upgrades!$U$12,K385),1))/AJ385,0)</f>
        <v/>
      </c>
      <c r="AW385" s="32">
        <f>MAX(IF(I385&gt;0,0,IFERROR(0.25*N385/Upgrades!$C$10,0)),IF(J385&gt;0,0,IFERROR(0.5*((IF(G385=0,0,(Upgrades!$J$8+G385*Upgrades!$K$8)*POWER(Upgrades!$L$8,G385)))*(IF(Upgrades!$T$6="Stellar Coupling",POWER(Upgrades!$U$6,E385),1)*IF(Upgrades!$T$7="Stellar Coupling",POWER(Upgrades!$U$7,F385),1)*IF(Upgrades!$T$9="Stellar Coupling",POWER(Upgrades!$U$9,H385),1)*IF(Upgrades!$T$10="Stellar Coupling",POWER(Upgrades!$U$10,I385),1)*IF(Upgrades!$T$11="Stellar Coupling",POWER(Upgrades!$U$11,J385),1)*IF(Upgrades!$T$12="Stellar Coupling",POWER(Upgrades!$U$12,K385),1))*(POWER(Upgrades!$Q$6,E385)*POWER(Upgrades!$Q$7,F385)*POWER(Upgrades!$Q$8,G385)*POWER(Upgrades!$Q$9,H385)*POWER(Upgrades!$Q$10,I385)*POWER(Upgrades!$Q$11,J385)*POWER(Upgrades!$Q$12,K385))*Parameters!$B$10*Parameters!$B$11/60)/Upgrades!$C$11,0)),IF(K385&gt;0,0,IFERROR((1.0*(POWER(Upgrades!$P$6,E385)*POWER(Upgrades!$P$7,F385)*POWER(Upgrades!$P$8,G385)*POWER(Upgrades!$P$9,H385)*POWER(Upgrades!$P$10,I385)*POWER(Upgrades!$P$11,J385)*POWER(Upgrades!$P$12,K385))+0.20*M385*Parameters!$B$10*Parameters!$B$11/60)/Upgrades!$C$12,0)),IF(AND(ISNUMBER(AG385),AG385&gt;T385),AS385,0),IF(AND(ISNUMBER(AH385),AH385&gt;T385),AT385,0),IF(AND(ISNUMBER(AI385),AI385&gt;T385),AU385,0),IF(AND(ISNUMBER(AJ385),AJ385&gt;T385),AV385,0))</f>
        <v/>
      </c>
      <c r="AX385" s="29">
        <f>IF(AN385=1,"transition",IF(MIN(IF(AND(I385=0,ISNUMBER(AK385),AK385&lt;=T385),AK385,9E15),IF(AND(J385=0,ISNUMBER(AL385),AL385&lt;=T385),AL385,9E15),IF(AND(K385=0,ISNUMBER(AM385),AM385&lt;=T385),AM385,9E15))&lt;9E15,IF(AND(AND(I385=0,ISNUMBER(AK385),AK385&lt;=T385),AK385=MIN(IF(AND(I385=0,ISNUMBER(AK385),AK385&lt;=T385),AK385,9E15),IF(AND(J385=0,ISNUMBER(AL385),AL385&lt;=T385),AL385,9E15),IF(AND(K385=0,ISNUMBER(AM385),AM385&lt;=T385),AM385,9E15))),"OR",IF(AND(AND(J385=0,ISNUMBER(AL385),AL385&lt;=T385),AL385=MIN(IF(AND(I385=0,ISNUMBER(AK385),AK385&lt;=T385),AK385,9E15),IF(AND(J385=0,ISNUMBER(AL385),AL385&lt;=T385),AL385,9E15),IF(AND(K385=0,ISNUMBER(AM385),AM385&lt;=T385),AM385,9E15))),"HP","FP")),IF(AR385=TRUE,"",IF(MAX(IF(AND(NOT(AND(AO385=1,AN385&lt;&gt;1)),ISNUMBER(AG385),AG385&lt;=T385),AS385,0),IF(AND(NOT(AND(AO385=1,AN385&lt;&gt;1)),ISNUMBER(AH385),AH385&lt;=T385),AT385,0),IF(AND(NOT(AND(AO385=1,AN385&lt;&gt;1)),ISNUMBER(AI385),AI385&lt;=T385),AU385,0),IF(AND(ISNUMBER(AJ385),AJ385&lt;=T385),AV385,0))&lt;=0,"",IF(AND(IF(AND(NOT(AND(AO385=1,AN385&lt;&gt;1)),ISNUMBER(AG385),AG385&lt;=T385),AS385,0)&gt;0,IF(AND(NOT(AND(AO385=1,AN385&lt;&gt;1)),ISNUMBER(AG385),AG385&lt;=T385),AS385,0)=MAX(IF(AND(NOT(AND(AO385=1,AN385&lt;&gt;1)),ISNUMBER(AG385),AG385&lt;=T385),AS385,0),IF(AND(NOT(AND(AO385=1,AN385&lt;&gt;1)),ISNUMBER(AH385),AH385&lt;=T385),AT385,0),IF(AND(NOT(AND(AO385=1,AN385&lt;&gt;1)),ISNUMBER(AI385),AI385&lt;=T385),AU385,0),IF(AND(ISNUMBER(AJ385),AJ385&lt;=T385),AV385,0))),"SW",IF(AND(IF(AND(NOT(AND(AO385=1,AN385&lt;&gt;1)),ISNUMBER(AH385),AH385&lt;=T385),AT385,0)&gt;0,IF(AND(NOT(AND(AO385=1,AN385&lt;&gt;1)),ISNUMBER(AH385),AH385&lt;=T385),AT385,0)=MAX(IF(AND(NOT(AND(AO385=1,AN385&lt;&gt;1)),ISNUMBER(AG385),AG385&lt;=T385),AS385,0),IF(AND(NOT(AND(AO385=1,AN385&lt;&gt;1)),ISNUMBER(AH385),AH385&lt;=T385),AT385,0),IF(AND(NOT(AND(AO385=1,AN385&lt;&gt;1)),ISNUMBER(AI385),AI385&lt;=T385),AU385,0),IF(AND(ISNUMBER(AJ385),AJ385&lt;=T385),AV385,0))),"AB",IF(AND(IF(AND(NOT(AND(AO385=1,AN385&lt;&gt;1)),ISNUMBER(AI385),AI385&lt;=T385),AU385,0)&gt;0,IF(AND(NOT(AND(AO385=1,AN385&lt;&gt;1)),ISNUMBER(AI385),AI385&lt;=T385),AU385,0)=MAX(IF(AND(NOT(AND(AO385=1,AN385&lt;&gt;1)),ISNUMBER(AG385),AG385&lt;=T385),AS385,0),IF(AND(NOT(AND(AO385=1,AN385&lt;&gt;1)),ISNUMBER(AH385),AH385&lt;=T385),AT385,0),IF(AND(NOT(AND(AO385=1,AN385&lt;&gt;1)),ISNUMBER(AI385),AI385&lt;=T385),AU385,0),IF(AND(ISNUMBER(AJ385),AJ385&lt;=T385),AV385,0))),"SC","Mag")))))))</f>
        <v/>
      </c>
    </row>
    <row r="386">
      <c r="A386" s="26" t="n">
        <v>381</v>
      </c>
      <c r="B386" s="27">
        <f>A386*10/60</f>
        <v/>
      </c>
      <c r="C386" s="22">
        <f>X385</f>
        <v/>
      </c>
      <c r="D386" s="27">
        <f>D385+W385</f>
        <v/>
      </c>
      <c r="E386" s="26">
        <f>E385+IF(U385="SW",1,0)</f>
        <v/>
      </c>
      <c r="F386" s="26">
        <f>F385+IF(U385="AB",1,0)</f>
        <v/>
      </c>
      <c r="G386" s="26">
        <f>G385+IF(U385="SC",1,0)</f>
        <v/>
      </c>
      <c r="H386" s="26">
        <f>H385+IF(U385="Mag",1,0)</f>
        <v/>
      </c>
      <c r="I386" s="26">
        <f>MAX(I385,IF(U385="OR",1,0))</f>
        <v/>
      </c>
      <c r="J386" s="26">
        <f>MAX(J385,IF(U385="HP",1,0))</f>
        <v/>
      </c>
      <c r="K386" s="26">
        <f>MAX(K385,IF(U385="FP",1,0))</f>
        <v/>
      </c>
      <c r="L386" s="26">
        <f>MAX(L385,IF(U385="transition",1,0))</f>
        <v/>
      </c>
      <c r="M386" s="28">
        <f>(Parameters!$B$9+(IF(E386=0,0,(Upgrades!$J$6+E386*Upgrades!$K$6)*POWER(Upgrades!$L$6,E386)))*(IF(Upgrades!$T$7="Solar Wind",POWER(Upgrades!$U$7,F386),1)*IF(Upgrades!$T$8="Solar Wind",POWER(Upgrades!$U$8,G386),1)*IF(Upgrades!$T$9="Solar Wind",POWER(Upgrades!$U$9,H386),1)*IF(Upgrades!$T$10="Solar Wind",POWER(Upgrades!$U$10,I386),1)*IF(Upgrades!$T$11="Solar Wind",POWER(Upgrades!$U$11,J386),1)*IF(Upgrades!$T$12="Solar Wind",POWER(Upgrades!$U$12,K386),1))+(IF(F386=0,0,(Upgrades!$J$7+F386*Upgrades!$K$7)*POWER(Upgrades!$L$7,F386)))*(IF(Upgrades!$T$6="Asteroid Belt",POWER(Upgrades!$U$6,E386),1)*IF(Upgrades!$T$8="Asteroid Belt",POWER(Upgrades!$U$8,G386),1)*IF(Upgrades!$T$9="Asteroid Belt",POWER(Upgrades!$U$9,H386),1)*IF(Upgrades!$T$10="Asteroid Belt",POWER(Upgrades!$U$10,I386),1)*IF(Upgrades!$T$11="Asteroid Belt",POWER(Upgrades!$U$11,J386),1)*IF(Upgrades!$T$12="Asteroid Belt",POWER(Upgrades!$U$12,K386),1))+(IF(G386=0,0,(Upgrades!$J$8+G386*Upgrades!$K$8)*POWER(Upgrades!$L$8,G386)))*(IF(Upgrades!$T$6="Stellar Coupling",POWER(Upgrades!$U$6,E386),1)*IF(Upgrades!$T$7="Stellar Coupling",POWER(Upgrades!$U$7,F386),1)*IF(Upgrades!$T$9="Stellar Coupling",POWER(Upgrades!$U$9,H386),1)*IF(Upgrades!$T$10="Stellar Coupling",POWER(Upgrades!$U$10,I386),1)*IF(Upgrades!$T$11="Stellar Coupling",POWER(Upgrades!$U$11,J386),1)*IF(Upgrades!$T$12="Stellar Coupling",POWER(Upgrades!$U$12,K386),1))+(IF(H386=0,0,(Upgrades!$J$9+H386*Upgrades!$K$9)*POWER(Upgrades!$L$9,H386)))*(IF(Upgrades!$T$6="Magnetosphere",POWER(Upgrades!$U$6,E386),1)*IF(Upgrades!$T$7="Magnetosphere",POWER(Upgrades!$U$7,F386),1)*IF(Upgrades!$T$8="Magnetosphere",POWER(Upgrades!$U$8,G386),1)*IF(Upgrades!$T$10="Magnetosphere",POWER(Upgrades!$U$10,I386),1)*IF(Upgrades!$T$11="Magnetosphere",POWER(Upgrades!$U$11,J386),1)*IF(Upgrades!$T$12="Magnetosphere",POWER(Upgrades!$U$12,K386),1))+(IF(I386=0,0,(Upgrades!$J$10+I386*Upgrades!$K$10)*POWER(Upgrades!$L$10,I386)))*(IF(Upgrades!$T$6="Orbital Resonance",POWER(Upgrades!$U$6,E386),1)*IF(Upgrades!$T$7="Orbital Resonance",POWER(Upgrades!$U$7,F386),1)*IF(Upgrades!$T$8="Orbital Resonance",POWER(Upgrades!$U$8,G386),1)*IF(Upgrades!$T$9="Orbital Resonance",POWER(Upgrades!$U$9,H386),1)*IF(Upgrades!$T$11="Orbital Resonance",POWER(Upgrades!$U$11,J386),1)*IF(Upgrades!$T$12="Orbital Resonance",POWER(Upgrades!$U$12,K386),1))+(IF(J386=0,0,(Upgrades!$J$11+J386*Upgrades!$K$11)*POWER(Upgrades!$L$11,J386)))*(IF(Upgrades!$T$6="Heliopause",POWER(Upgrades!$U$6,E386),1)*IF(Upgrades!$T$7="Heliopause",POWER(Upgrades!$U$7,F386),1)*IF(Upgrades!$T$8="Heliopause",POWER(Upgrades!$U$8,G386),1)*IF(Upgrades!$T$9="Heliopause",POWER(Upgrades!$U$9,H386),1)*IF(Upgrades!$T$10="Heliopause",POWER(Upgrades!$U$10,I386),1)*IF(Upgrades!$T$12="Heliopause",POWER(Upgrades!$U$12,K386),1))+(IF(K386=0,0,(Upgrades!$J$12+K386*Upgrades!$K$12)*POWER(Upgrades!$L$12,K386)))*(IF(Upgrades!$T$6="First Photons",POWER(Upgrades!$U$6,E386),1)*IF(Upgrades!$T$7="First Photons",POWER(Upgrades!$U$7,F386),1)*IF(Upgrades!$T$8="First Photons",POWER(Upgrades!$U$8,G386),1)*IF(Upgrades!$T$9="First Photons",POWER(Upgrades!$U$9,H386),1)*IF(Upgrades!$T$10="First Photons",POWER(Upgrades!$U$10,I386),1)*IF(Upgrades!$T$11="First Photons",POWER(Upgrades!$U$11,J386),1)))*POWER(Upgrades!$Q$6,E386)*POWER(Upgrades!$Q$7,F386)*POWER(Upgrades!$Q$8,G386)*POWER(Upgrades!$Q$9,H386)*POWER(Upgrades!$Q$10,I386)*POWER(Upgrades!$Q$11,J386)*POWER(Upgrades!$Q$12,K386)</f>
        <v/>
      </c>
      <c r="N386" s="28">
        <f>((IF(E386=0,0,(Upgrades!$G$6+E386*Upgrades!$H$6)*POWER(Upgrades!$I$6,E386)))*(IF(Upgrades!$T$7="Solar Wind",POWER(Upgrades!$U$7,F386),1)*IF(Upgrades!$T$8="Solar Wind",POWER(Upgrades!$U$8,G386),1)*IF(Upgrades!$T$9="Solar Wind",POWER(Upgrades!$U$9,H386),1)*IF(Upgrades!$T$10="Solar Wind",POWER(Upgrades!$U$10,I386),1)*IF(Upgrades!$T$11="Solar Wind",POWER(Upgrades!$U$11,J386),1)*IF(Upgrades!$T$12="Solar Wind",POWER(Upgrades!$U$12,K386),1))+(IF(F386=0,0,(Upgrades!$G$7+F386*Upgrades!$H$7)*POWER(Upgrades!$I$7,F386)))*(IF(Upgrades!$T$6="Asteroid Belt",POWER(Upgrades!$U$6,E386),1)*IF(Upgrades!$T$8="Asteroid Belt",POWER(Upgrades!$U$8,G386),1)*IF(Upgrades!$T$9="Asteroid Belt",POWER(Upgrades!$U$9,H386),1)*IF(Upgrades!$T$10="Asteroid Belt",POWER(Upgrades!$U$10,I386),1)*IF(Upgrades!$T$11="Asteroid Belt",POWER(Upgrades!$U$11,J386),1)*IF(Upgrades!$T$12="Asteroid Belt",POWER(Upgrades!$U$12,K386),1))+(IF(G386=0,0,(Upgrades!$G$8+G386*Upgrades!$H$8)*POWER(Upgrades!$I$8,G386)))*(IF(Upgrades!$T$6="Stellar Coupling",POWER(Upgrades!$U$6,E386),1)*IF(Upgrades!$T$7="Stellar Coupling",POWER(Upgrades!$U$7,F386),1)*IF(Upgrades!$T$9="Stellar Coupling",POWER(Upgrades!$U$9,H386),1)*IF(Upgrades!$T$10="Stellar Coupling",POWER(Upgrades!$U$10,I386),1)*IF(Upgrades!$T$11="Stellar Coupling",POWER(Upgrades!$U$11,J386),1)*IF(Upgrades!$T$12="Stellar Coupling",POWER(Upgrades!$U$12,K386),1))+(IF(H386=0,0,(Upgrades!$G$9+H386*Upgrades!$H$9)*POWER(Upgrades!$I$9,H386)))*(IF(Upgrades!$T$6="Magnetosphere",POWER(Upgrades!$U$6,E386),1)*IF(Upgrades!$T$7="Magnetosphere",POWER(Upgrades!$U$7,F386),1)*IF(Upgrades!$T$8="Magnetosphere",POWER(Upgrades!$U$8,G386),1)*IF(Upgrades!$T$10="Magnetosphere",POWER(Upgrades!$U$10,I386),1)*IF(Upgrades!$T$11="Magnetosphere",POWER(Upgrades!$U$11,J386),1)*IF(Upgrades!$T$12="Magnetosphere",POWER(Upgrades!$U$12,K386),1))+(IF(I386=0,0,(Upgrades!$G$10+I386*Upgrades!$H$10)*POWER(Upgrades!$I$10,I386)))*(IF(Upgrades!$T$6="Orbital Resonance",POWER(Upgrades!$U$6,E386),1)*IF(Upgrades!$T$7="Orbital Resonance",POWER(Upgrades!$U$7,F386),1)*IF(Upgrades!$T$8="Orbital Resonance",POWER(Upgrades!$U$8,G386),1)*IF(Upgrades!$T$9="Orbital Resonance",POWER(Upgrades!$U$9,H386),1)*IF(Upgrades!$T$11="Orbital Resonance",POWER(Upgrades!$U$11,J386),1)*IF(Upgrades!$T$12="Orbital Resonance",POWER(Upgrades!$U$12,K386),1))+(IF(J386=0,0,(Upgrades!$G$11+J386*Upgrades!$H$11)*POWER(Upgrades!$I$11,J386)))*(IF(Upgrades!$T$6="Heliopause",POWER(Upgrades!$U$6,E386),1)*IF(Upgrades!$T$7="Heliopause",POWER(Upgrades!$U$7,F386),1)*IF(Upgrades!$T$8="Heliopause",POWER(Upgrades!$U$8,G386),1)*IF(Upgrades!$T$9="Heliopause",POWER(Upgrades!$U$9,H386),1)*IF(Upgrades!$T$10="Heliopause",POWER(Upgrades!$U$10,I386),1)*IF(Upgrades!$T$12="Heliopause",POWER(Upgrades!$U$12,K386),1))+(IF(K386=0,0,(Upgrades!$G$12+K386*Upgrades!$H$12)*POWER(Upgrades!$I$12,K386)))*(IF(Upgrades!$T$6="First Photons",POWER(Upgrades!$U$6,E386),1)*IF(Upgrades!$T$7="First Photons",POWER(Upgrades!$U$7,F386),1)*IF(Upgrades!$T$8="First Photons",POWER(Upgrades!$U$8,G386),1)*IF(Upgrades!$T$9="First Photons",POWER(Upgrades!$U$9,H386),1)*IF(Upgrades!$T$10="First Photons",POWER(Upgrades!$U$10,I386),1)*IF(Upgrades!$T$11="First Photons",POWER(Upgrades!$U$11,J386),1)))*POWER(Upgrades!$P$6,E386)*POWER(Upgrades!$P$7,F386)*POWER(Upgrades!$P$8,G386)*POWER(Upgrades!$P$9,H386)*POWER(Upgrades!$P$10,I386)*POWER(Upgrades!$P$11,J386)*POWER(Upgrades!$P$12,K386)</f>
        <v/>
      </c>
      <c r="O386" s="28">
        <f>((IF(E386=0,0,(Upgrades!$M$6+E386*Upgrades!$N$6)*POWER(Upgrades!$O$6,E386)))*(IF(Upgrades!$T$7="Solar Wind",POWER(Upgrades!$U$7,F386),1)*IF(Upgrades!$T$8="Solar Wind",POWER(Upgrades!$U$8,G386),1)*IF(Upgrades!$T$9="Solar Wind",POWER(Upgrades!$U$9,H386),1)*IF(Upgrades!$T$10="Solar Wind",POWER(Upgrades!$U$10,I386),1)*IF(Upgrades!$T$11="Solar Wind",POWER(Upgrades!$U$11,J386),1)*IF(Upgrades!$T$12="Solar Wind",POWER(Upgrades!$U$12,K386),1))+(IF(F386=0,0,(Upgrades!$M$7+F386*Upgrades!$N$7)*POWER(Upgrades!$O$7,F386)))*(IF(Upgrades!$T$6="Asteroid Belt",POWER(Upgrades!$U$6,E386),1)*IF(Upgrades!$T$8="Asteroid Belt",POWER(Upgrades!$U$8,G386),1)*IF(Upgrades!$T$9="Asteroid Belt",POWER(Upgrades!$U$9,H386),1)*IF(Upgrades!$T$10="Asteroid Belt",POWER(Upgrades!$U$10,I386),1)*IF(Upgrades!$T$11="Asteroid Belt",POWER(Upgrades!$U$11,J386),1)*IF(Upgrades!$T$12="Asteroid Belt",POWER(Upgrades!$U$12,K386),1))+(IF(G386=0,0,(Upgrades!$M$8+G386*Upgrades!$N$8)*POWER(Upgrades!$O$8,G386)))*(IF(Upgrades!$T$6="Stellar Coupling",POWER(Upgrades!$U$6,E386),1)*IF(Upgrades!$T$7="Stellar Coupling",POWER(Upgrades!$U$7,F386),1)*IF(Upgrades!$T$9="Stellar Coupling",POWER(Upgrades!$U$9,H386),1)*IF(Upgrades!$T$10="Stellar Coupling",POWER(Upgrades!$U$10,I386),1)*IF(Upgrades!$T$11="Stellar Coupling",POWER(Upgrades!$U$11,J386),1)*IF(Upgrades!$T$12="Stellar Coupling",POWER(Upgrades!$U$12,K386),1))+(IF(H386=0,0,(Upgrades!$M$9+H386*Upgrades!$N$9)*POWER(Upgrades!$O$9,H386)))*(IF(Upgrades!$T$6="Magnetosphere",POWER(Upgrades!$U$6,E386),1)*IF(Upgrades!$T$7="Magnetosphere",POWER(Upgrades!$U$7,F386),1)*IF(Upgrades!$T$8="Magnetosphere",POWER(Upgrades!$U$8,G386),1)*IF(Upgrades!$T$10="Magnetosphere",POWER(Upgrades!$U$10,I386),1)*IF(Upgrades!$T$11="Magnetosphere",POWER(Upgrades!$U$11,J386),1)*IF(Upgrades!$T$12="Magnetosphere",POWER(Upgrades!$U$12,K386),1))+(IF(I386=0,0,(Upgrades!$M$10+I386*Upgrades!$N$10)*POWER(Upgrades!$O$10,I386)))*(IF(Upgrades!$T$6="Orbital Resonance",POWER(Upgrades!$U$6,E386),1)*IF(Upgrades!$T$7="Orbital Resonance",POWER(Upgrades!$U$7,F386),1)*IF(Upgrades!$T$8="Orbital Resonance",POWER(Upgrades!$U$8,G386),1)*IF(Upgrades!$T$9="Orbital Resonance",POWER(Upgrades!$U$9,H386),1)*IF(Upgrades!$T$11="Orbital Resonance",POWER(Upgrades!$U$11,J386),1)*IF(Upgrades!$T$12="Orbital Resonance",POWER(Upgrades!$U$12,K386),1))+(IF(J386=0,0,(Upgrades!$M$11+J386*Upgrades!$N$11)*POWER(Upgrades!$O$11,J386)))*(IF(Upgrades!$T$6="Heliopause",POWER(Upgrades!$U$6,E386),1)*IF(Upgrades!$T$7="Heliopause",POWER(Upgrades!$U$7,F386),1)*IF(Upgrades!$T$8="Heliopause",POWER(Upgrades!$U$8,G386),1)*IF(Upgrades!$T$9="Heliopause",POWER(Upgrades!$U$9,H386),1)*IF(Upgrades!$T$10="Heliopause",POWER(Upgrades!$U$10,I386),1)*IF(Upgrades!$T$12="Heliopause",POWER(Upgrades!$U$12,K386),1))+(IF(K386=0,0,(Upgrades!$M$12+K386*Upgrades!$N$12)*POWER(Upgrades!$O$12,K386)))*(IF(Upgrades!$T$6="First Photons",POWER(Upgrades!$U$6,E386),1)*IF(Upgrades!$T$7="First Photons",POWER(Upgrades!$U$7,F386),1)*IF(Upgrades!$T$8="First Photons",POWER(Upgrades!$U$8,G386),1)*IF(Upgrades!$T$9="First Photons",POWER(Upgrades!$U$9,H386),1)*IF(Upgrades!$T$10="First Photons",POWER(Upgrades!$U$10,I386),1)*IF(Upgrades!$T$11="First Photons",POWER(Upgrades!$U$11,J386),1)))*POWER(Upgrades!$R$6,E386)*POWER(Upgrades!$R$7,F386)*POWER(Upgrades!$R$8,G386)*POWER(Upgrades!$R$9,H386)*POWER(Upgrades!$R$10,I386)*POWER(Upgrades!$R$11,J386)*POWER(Upgrades!$R$12,K386)</f>
        <v/>
      </c>
      <c r="P386" s="27">
        <f>IF(L386=1,0,M386*Parameters!$B$10/60*Parameters!$B$11*10)</f>
        <v/>
      </c>
      <c r="Q386" s="27">
        <f>IF(L386=1,0,O386*M386*10)</f>
        <v/>
      </c>
      <c r="R386" s="27">
        <f>IF(L386=1,0,N386*10)</f>
        <v/>
      </c>
      <c r="S386" s="27">
        <f>P386+Q386+R386</f>
        <v/>
      </c>
      <c r="T386" s="22">
        <f>C386+S386</f>
        <v/>
      </c>
      <c r="U386" s="33">
        <f>AX386</f>
        <v/>
      </c>
      <c r="V386" s="22">
        <f>IF(U386="",0,IF(U386="transition",0,IF(U386="SW",AG386,IF(U386="AB",AH386,IF(U386="SC",AI386,IF(U386="Mag",AJ386,IF(U386="OR",AK386,IF(U386="HP",AL386,IF(U386="FP",AM386,0)))))))))</f>
        <v/>
      </c>
      <c r="W386" s="27">
        <f>IF(U386="OR",Upgrades!$F$10,IF(U386="HP",Upgrades!$F$11,IF(U386="transition",-Parameters!$B$18,0)))</f>
        <v/>
      </c>
      <c r="X386" s="22">
        <f>T386-V386</f>
        <v/>
      </c>
      <c r="Y386" s="30">
        <f>M386*Parameters!$B$10/60*Parameters!$B$11+O386*M386+N386</f>
        <v/>
      </c>
      <c r="Z386" s="34">
        <f>IF(U386="transition","→ Tier 2 (Stellar Neighborhood)",IF(U386="FP","First Photons — light begins, system quickens",IF(U386="HP","Heliopause acquired",IF(U386="OR","Orbital Resonance — passive multiplier active",IF(AND(AO386=1,L386=0,AN386&lt;&gt;1),"Cohesion ready (waiting on completionist upgrades)","")))))</f>
        <v/>
      </c>
      <c r="AA386" s="27">
        <f>(IF(E386=0,0,(Upgrades!$G$6+E386*Upgrades!$H$6)*POWER(Upgrades!$I$6,E386)))*(IF(Upgrades!$T$7="Solar Wind",POWER(Upgrades!$U$7,F386),1)*IF(Upgrades!$T$8="Solar Wind",POWER(Upgrades!$U$8,G386),1)*IF(Upgrades!$T$9="Solar Wind",POWER(Upgrades!$U$9,H386),1)*IF(Upgrades!$T$10="Solar Wind",POWER(Upgrades!$U$10,I386),1)*IF(Upgrades!$T$11="Solar Wind",POWER(Upgrades!$U$11,J386),1)*IF(Upgrades!$T$12="Solar Wind",POWER(Upgrades!$U$12,K386),1))*POWER(Upgrades!$P$6,E386)*POWER(Upgrades!$P$7,F386)*POWER(Upgrades!$P$8,G386)*POWER(Upgrades!$P$9,H386)*POWER(Upgrades!$P$10,I386)*POWER(Upgrades!$P$11,J386)*POWER(Upgrades!$P$12,K386)*60</f>
        <v/>
      </c>
      <c r="AB386" s="27">
        <f>(IF(F386=0,0,(Upgrades!$G$7+F386*Upgrades!$H$7)*POWER(Upgrades!$I$7,F386)))*(IF(Upgrades!$T$6="Asteroid Belt",POWER(Upgrades!$U$6,E386),1)*IF(Upgrades!$T$8="Asteroid Belt",POWER(Upgrades!$U$8,G386),1)*IF(Upgrades!$T$9="Asteroid Belt",POWER(Upgrades!$U$9,H386),1)*IF(Upgrades!$T$10="Asteroid Belt",POWER(Upgrades!$U$10,I386),1)*IF(Upgrades!$T$11="Asteroid Belt",POWER(Upgrades!$U$11,J386),1)*IF(Upgrades!$T$12="Asteroid Belt",POWER(Upgrades!$U$12,K386),1))*POWER(Upgrades!$P$6,E386)*POWER(Upgrades!$P$7,F386)*POWER(Upgrades!$P$8,G386)*POWER(Upgrades!$P$9,H386)*POWER(Upgrades!$P$10,I386)*POWER(Upgrades!$P$11,J386)*POWER(Upgrades!$P$12,K386)*60</f>
        <v/>
      </c>
      <c r="AC386" s="27">
        <f>(IF(G386=0,0,(Upgrades!$J$8+G386*Upgrades!$K$8)*POWER(Upgrades!$L$8,G386)))*(IF(Upgrades!$T$6="Stellar Coupling",POWER(Upgrades!$U$6,E386),1)*IF(Upgrades!$T$7="Stellar Coupling",POWER(Upgrades!$U$7,F386),1)*IF(Upgrades!$T$9="Stellar Coupling",POWER(Upgrades!$U$9,H386),1)*IF(Upgrades!$T$10="Stellar Coupling",POWER(Upgrades!$U$10,I386),1)*IF(Upgrades!$T$11="Stellar Coupling",POWER(Upgrades!$U$11,J386),1)*IF(Upgrades!$T$12="Stellar Coupling",POWER(Upgrades!$U$12,K386),1))*POWER(Upgrades!$Q$6,E386)*POWER(Upgrades!$Q$7,F386)*POWER(Upgrades!$Q$8,G386)*POWER(Upgrades!$Q$9,H386)*POWER(Upgrades!$Q$10,I386)*POWER(Upgrades!$Q$11,J386)*POWER(Upgrades!$Q$12,K386)*Parameters!$B$10*Parameters!$B$11</f>
        <v/>
      </c>
      <c r="AD386" s="27">
        <f>(IF(H386=0,0,(Upgrades!$G$9+H386*Upgrades!$H$9)*POWER(Upgrades!$I$9,H386)))*(IF(Upgrades!$T$6="Magnetosphere",POWER(Upgrades!$U$6,E386),1)*IF(Upgrades!$T$7="Magnetosphere",POWER(Upgrades!$U$7,F386),1)*IF(Upgrades!$T$8="Magnetosphere",POWER(Upgrades!$U$8,G386),1)*IF(Upgrades!$T$10="Magnetosphere",POWER(Upgrades!$U$10,I386),1)*IF(Upgrades!$T$11="Magnetosphere",POWER(Upgrades!$U$11,J386),1)*IF(Upgrades!$T$12="Magnetosphere",POWER(Upgrades!$U$12,K386),1))*POWER(Upgrades!$P$6,E386)*POWER(Upgrades!$P$7,F386)*POWER(Upgrades!$P$8,G386)*POWER(Upgrades!$P$9,H386)*POWER(Upgrades!$P$10,I386)*POWER(Upgrades!$P$11,J386)*POWER(Upgrades!$P$12,K386)*60</f>
        <v/>
      </c>
      <c r="AE386" s="27">
        <f>(IF(K386=0,0,(Upgrades!$G$12+K386*Upgrades!$H$12)*POWER(Upgrades!$I$12,K386)))*(IF(Upgrades!$T$6="First Photons",POWER(Upgrades!$U$6,E386),1)*IF(Upgrades!$T$7="First Photons",POWER(Upgrades!$U$7,F386),1)*IF(Upgrades!$T$8="First Photons",POWER(Upgrades!$U$8,G386),1)*IF(Upgrades!$T$9="First Photons",POWER(Upgrades!$U$9,H386),1)*IF(Upgrades!$T$10="First Photons",POWER(Upgrades!$U$10,I386),1)*IF(Upgrades!$T$11="First Photons",POWER(Upgrades!$U$11,J386),1))*POWER(Upgrades!$P$6,E386)*POWER(Upgrades!$P$7,F386)*POWER(Upgrades!$P$8,G386)*POWER(Upgrades!$P$9,H386)*POWER(Upgrades!$P$10,I386)*POWER(Upgrades!$P$11,J386)*POWER(Upgrades!$P$12,K386)*60</f>
        <v/>
      </c>
      <c r="AF386" s="27">
        <f>Parameters!$B$9*POWER(Upgrades!$Q$6,E386)*POWER(Upgrades!$Q$7,F386)*POWER(Upgrades!$Q$8,G386)*POWER(Upgrades!$Q$9,H386)*POWER(Upgrades!$Q$10,I386)*POWER(Upgrades!$Q$11,J386)*POWER(Upgrades!$Q$12,K386)*(Parameters!$B$10*Parameters!$B$11+O386*60)</f>
        <v/>
      </c>
      <c r="AG386" s="22">
        <f>IF(E386&gt;=Upgrades!$E$6,"",Upgrades!$C$6*POWER(Upgrades!$D$6,E386))</f>
        <v/>
      </c>
      <c r="AH386" s="22">
        <f>IF(F386&gt;=Upgrades!$E$7,"",Upgrades!$C$7*POWER(Upgrades!$D$7,F386))</f>
        <v/>
      </c>
      <c r="AI386" s="22">
        <f>IF(G386&gt;=Upgrades!$E$8,"",Upgrades!$C$8*POWER(Upgrades!$D$8,G386))</f>
        <v/>
      </c>
      <c r="AJ386" s="22">
        <f>IF(H386&gt;=Upgrades!$E$9,"",Upgrades!$C$9*POWER(Upgrades!$D$9,H386))</f>
        <v/>
      </c>
      <c r="AK386" s="22">
        <f>IF(I386&gt;=Upgrades!$E$10,"",Upgrades!$C$10*POWER(Upgrades!$D$10,I386))</f>
        <v/>
      </c>
      <c r="AL386" s="22">
        <f>IF(J386&gt;=Upgrades!$E$11,"",Upgrades!$C$11*POWER(Upgrades!$D$11,J386))</f>
        <v/>
      </c>
      <c r="AM386" s="22">
        <f>IF(K386&gt;=Upgrades!$E$12,"",Upgrades!$C$12*POWER(Upgrades!$D$12,K386))</f>
        <v/>
      </c>
      <c r="AN386" s="26">
        <f>IF(AND(D386&gt;=Parameters!$B$18,(H386&gt;=Upgrades!$E$9)*(K386&gt;=Upgrades!$E$12)=1,L386=0),1,"")</f>
        <v/>
      </c>
      <c r="AO386" s="26">
        <f>IF(AND(D386&gt;=Parameters!$B$18,L386=0),1,"")</f>
        <v/>
      </c>
      <c r="AP386" s="22">
        <f>MIN(IF(ISNUMBER(AK386),AK386,9E15),IF(ISNUMBER(AL386),AL386,9E15),IF(ISNUMBER(AM386),AM386,9E15))</f>
        <v/>
      </c>
      <c r="AQ386" s="22">
        <f>MIN(IF(ISNUMBER(AG386),AG386,9E15),IF(ISNUMBER(AH386),AH386,9E15),IF(ISNUMBER(AI386),AI386,9E15),IF(ISNUMBER(AJ386),AJ386,9E15))</f>
        <v/>
      </c>
      <c r="AR386" s="29">
        <f>IF(AW386&gt;Parameters!$B$21*(MAX(IF(AND(NOT(AND(AO386=1,AN386&lt;&gt;1)),ISNUMBER(AG386),AG386&lt;=T386),AS386,0),IF(AND(NOT(AND(AO386=1,AN386&lt;&gt;1)),ISNUMBER(AH386),AH386&lt;=T386),AT386,0),IF(AND(NOT(AND(AO386=1,AN386&lt;&gt;1)),ISNUMBER(AI386),AI386&lt;=T386),AU386,0),IF(AND(ISNUMBER(AJ386),AJ386&lt;=T386),AV386,0))),TRUE,FALSE)</f>
        <v/>
      </c>
      <c r="AS386" s="32">
        <f>IFERROR(Upgrades!$H$6*(POWER(Upgrades!$P$6,E386)*POWER(Upgrades!$P$7,F386)*POWER(Upgrades!$P$8,G386)*POWER(Upgrades!$P$9,H386)*POWER(Upgrades!$P$10,I386)*POWER(Upgrades!$P$11,J386)*POWER(Upgrades!$P$12,K386))*(IF(Upgrades!$T$7="Solar Wind",POWER(Upgrades!$U$7,F386),1)*IF(Upgrades!$T$8="Solar Wind",POWER(Upgrades!$U$8,G386),1)*IF(Upgrades!$T$9="Solar Wind",POWER(Upgrades!$U$9,H386),1)*IF(Upgrades!$T$10="Solar Wind",POWER(Upgrades!$U$10,I386),1)*IF(Upgrades!$T$11="Solar Wind",POWER(Upgrades!$U$11,J386),1)*IF(Upgrades!$T$12="Solar Wind",POWER(Upgrades!$U$12,K386),1))/AG386,0)</f>
        <v/>
      </c>
      <c r="AT386" s="32">
        <f>IFERROR(Upgrades!$H$7*(POWER(Upgrades!$P$6,E386)*POWER(Upgrades!$P$7,F386)*POWER(Upgrades!$P$8,G386)*POWER(Upgrades!$P$9,H386)*POWER(Upgrades!$P$10,I386)*POWER(Upgrades!$P$11,J386)*POWER(Upgrades!$P$12,K386))*(IF(Upgrades!$T$6="Asteroid Belt",POWER(Upgrades!$U$6,E386),1)*IF(Upgrades!$T$8="Asteroid Belt",POWER(Upgrades!$U$8,G386),1)*IF(Upgrades!$T$9="Asteroid Belt",POWER(Upgrades!$U$9,H386),1)*IF(Upgrades!$T$10="Asteroid Belt",POWER(Upgrades!$U$10,I386),1)*IF(Upgrades!$T$11="Asteroid Belt",POWER(Upgrades!$U$11,J386),1)*IF(Upgrades!$T$12="Asteroid Belt",POWER(Upgrades!$U$12,K386),1))/AH386,0)</f>
        <v/>
      </c>
      <c r="AU386" s="32">
        <f>IFERROR(Upgrades!$K$8*(POWER(Upgrades!$Q$6,E386)*POWER(Upgrades!$Q$7,F386)*POWER(Upgrades!$Q$8,G386)*POWER(Upgrades!$Q$9,H386)*POWER(Upgrades!$Q$10,I386)*POWER(Upgrades!$Q$11,J386)*POWER(Upgrades!$Q$12,K386))*(IF(Upgrades!$T$6="Stellar Coupling",POWER(Upgrades!$U$6,E386),1)*IF(Upgrades!$T$7="Stellar Coupling",POWER(Upgrades!$U$7,F386),1)*IF(Upgrades!$T$9="Stellar Coupling",POWER(Upgrades!$U$9,H386),1)*IF(Upgrades!$T$10="Stellar Coupling",POWER(Upgrades!$U$10,I386),1)*IF(Upgrades!$T$11="Stellar Coupling",POWER(Upgrades!$U$11,J386),1)*IF(Upgrades!$T$12="Stellar Coupling",POWER(Upgrades!$U$12,K386),1))*Parameters!$B$10*Parameters!$B$11/60/AI386,0)</f>
        <v/>
      </c>
      <c r="AV386" s="32">
        <f>IFERROR(Upgrades!$H$9*(POWER(Upgrades!$P$6,E386)*POWER(Upgrades!$P$7,F386)*POWER(Upgrades!$P$8,G386)*POWER(Upgrades!$P$9,H386)*POWER(Upgrades!$P$10,I386)*POWER(Upgrades!$P$11,J386)*POWER(Upgrades!$P$12,K386))*(IF(Upgrades!$T$6="Magnetosphere",POWER(Upgrades!$U$6,E386),1)*IF(Upgrades!$T$7="Magnetosphere",POWER(Upgrades!$U$7,F386),1)*IF(Upgrades!$T$8="Magnetosphere",POWER(Upgrades!$U$8,G386),1)*IF(Upgrades!$T$10="Magnetosphere",POWER(Upgrades!$U$10,I386),1)*IF(Upgrades!$T$11="Magnetosphere",POWER(Upgrades!$U$11,J386),1)*IF(Upgrades!$T$12="Magnetosphere",POWER(Upgrades!$U$12,K386),1))/AJ386,0)</f>
        <v/>
      </c>
      <c r="AW386" s="32">
        <f>MAX(IF(I386&gt;0,0,IFERROR(0.25*N386/Upgrades!$C$10,0)),IF(J386&gt;0,0,IFERROR(0.5*((IF(G386=0,0,(Upgrades!$J$8+G386*Upgrades!$K$8)*POWER(Upgrades!$L$8,G386)))*(IF(Upgrades!$T$6="Stellar Coupling",POWER(Upgrades!$U$6,E386),1)*IF(Upgrades!$T$7="Stellar Coupling",POWER(Upgrades!$U$7,F386),1)*IF(Upgrades!$T$9="Stellar Coupling",POWER(Upgrades!$U$9,H386),1)*IF(Upgrades!$T$10="Stellar Coupling",POWER(Upgrades!$U$10,I386),1)*IF(Upgrades!$T$11="Stellar Coupling",POWER(Upgrades!$U$11,J386),1)*IF(Upgrades!$T$12="Stellar Coupling",POWER(Upgrades!$U$12,K386),1))*(POWER(Upgrades!$Q$6,E386)*POWER(Upgrades!$Q$7,F386)*POWER(Upgrades!$Q$8,G386)*POWER(Upgrades!$Q$9,H386)*POWER(Upgrades!$Q$10,I386)*POWER(Upgrades!$Q$11,J386)*POWER(Upgrades!$Q$12,K386))*Parameters!$B$10*Parameters!$B$11/60)/Upgrades!$C$11,0)),IF(K386&gt;0,0,IFERROR((1.0*(POWER(Upgrades!$P$6,E386)*POWER(Upgrades!$P$7,F386)*POWER(Upgrades!$P$8,G386)*POWER(Upgrades!$P$9,H386)*POWER(Upgrades!$P$10,I386)*POWER(Upgrades!$P$11,J386)*POWER(Upgrades!$P$12,K386))+0.20*M386*Parameters!$B$10*Parameters!$B$11/60)/Upgrades!$C$12,0)),IF(AND(ISNUMBER(AG386),AG386&gt;T386),AS386,0),IF(AND(ISNUMBER(AH386),AH386&gt;T386),AT386,0),IF(AND(ISNUMBER(AI386),AI386&gt;T386),AU386,0),IF(AND(ISNUMBER(AJ386),AJ386&gt;T386),AV386,0))</f>
        <v/>
      </c>
      <c r="AX386" s="29">
        <f>IF(AN386=1,"transition",IF(MIN(IF(AND(I386=0,ISNUMBER(AK386),AK386&lt;=T386),AK386,9E15),IF(AND(J386=0,ISNUMBER(AL386),AL386&lt;=T386),AL386,9E15),IF(AND(K386=0,ISNUMBER(AM386),AM386&lt;=T386),AM386,9E15))&lt;9E15,IF(AND(AND(I386=0,ISNUMBER(AK386),AK386&lt;=T386),AK386=MIN(IF(AND(I386=0,ISNUMBER(AK386),AK386&lt;=T386),AK386,9E15),IF(AND(J386=0,ISNUMBER(AL386),AL386&lt;=T386),AL386,9E15),IF(AND(K386=0,ISNUMBER(AM386),AM386&lt;=T386),AM386,9E15))),"OR",IF(AND(AND(J386=0,ISNUMBER(AL386),AL386&lt;=T386),AL386=MIN(IF(AND(I386=0,ISNUMBER(AK386),AK386&lt;=T386),AK386,9E15),IF(AND(J386=0,ISNUMBER(AL386),AL386&lt;=T386),AL386,9E15),IF(AND(K386=0,ISNUMBER(AM386),AM386&lt;=T386),AM386,9E15))),"HP","FP")),IF(AR386=TRUE,"",IF(MAX(IF(AND(NOT(AND(AO386=1,AN386&lt;&gt;1)),ISNUMBER(AG386),AG386&lt;=T386),AS386,0),IF(AND(NOT(AND(AO386=1,AN386&lt;&gt;1)),ISNUMBER(AH386),AH386&lt;=T386),AT386,0),IF(AND(NOT(AND(AO386=1,AN386&lt;&gt;1)),ISNUMBER(AI386),AI386&lt;=T386),AU386,0),IF(AND(ISNUMBER(AJ386),AJ386&lt;=T386),AV386,0))&lt;=0,"",IF(AND(IF(AND(NOT(AND(AO386=1,AN386&lt;&gt;1)),ISNUMBER(AG386),AG386&lt;=T386),AS386,0)&gt;0,IF(AND(NOT(AND(AO386=1,AN386&lt;&gt;1)),ISNUMBER(AG386),AG386&lt;=T386),AS386,0)=MAX(IF(AND(NOT(AND(AO386=1,AN386&lt;&gt;1)),ISNUMBER(AG386),AG386&lt;=T386),AS386,0),IF(AND(NOT(AND(AO386=1,AN386&lt;&gt;1)),ISNUMBER(AH386),AH386&lt;=T386),AT386,0),IF(AND(NOT(AND(AO386=1,AN386&lt;&gt;1)),ISNUMBER(AI386),AI386&lt;=T386),AU386,0),IF(AND(ISNUMBER(AJ386),AJ386&lt;=T386),AV386,0))),"SW",IF(AND(IF(AND(NOT(AND(AO386=1,AN386&lt;&gt;1)),ISNUMBER(AH386),AH386&lt;=T386),AT386,0)&gt;0,IF(AND(NOT(AND(AO386=1,AN386&lt;&gt;1)),ISNUMBER(AH386),AH386&lt;=T386),AT386,0)=MAX(IF(AND(NOT(AND(AO386=1,AN386&lt;&gt;1)),ISNUMBER(AG386),AG386&lt;=T386),AS386,0),IF(AND(NOT(AND(AO386=1,AN386&lt;&gt;1)),ISNUMBER(AH386),AH386&lt;=T386),AT386,0),IF(AND(NOT(AND(AO386=1,AN386&lt;&gt;1)),ISNUMBER(AI386),AI386&lt;=T386),AU386,0),IF(AND(ISNUMBER(AJ386),AJ386&lt;=T386),AV386,0))),"AB",IF(AND(IF(AND(NOT(AND(AO386=1,AN386&lt;&gt;1)),ISNUMBER(AI386),AI386&lt;=T386),AU386,0)&gt;0,IF(AND(NOT(AND(AO386=1,AN386&lt;&gt;1)),ISNUMBER(AI386),AI386&lt;=T386),AU386,0)=MAX(IF(AND(NOT(AND(AO386=1,AN386&lt;&gt;1)),ISNUMBER(AG386),AG386&lt;=T386),AS386,0),IF(AND(NOT(AND(AO386=1,AN386&lt;&gt;1)),ISNUMBER(AH386),AH386&lt;=T386),AT386,0),IF(AND(NOT(AND(AO386=1,AN386&lt;&gt;1)),ISNUMBER(AI386),AI386&lt;=T386),AU386,0),IF(AND(ISNUMBER(AJ386),AJ386&lt;=T386),AV386,0))),"SC","Mag")))))))</f>
        <v/>
      </c>
    </row>
    <row r="387">
      <c r="A387" s="26" t="n">
        <v>382</v>
      </c>
      <c r="B387" s="27">
        <f>A387*10/60</f>
        <v/>
      </c>
      <c r="C387" s="22">
        <f>X386</f>
        <v/>
      </c>
      <c r="D387" s="27">
        <f>D386+W386</f>
        <v/>
      </c>
      <c r="E387" s="26">
        <f>E386+IF(U386="SW",1,0)</f>
        <v/>
      </c>
      <c r="F387" s="26">
        <f>F386+IF(U386="AB",1,0)</f>
        <v/>
      </c>
      <c r="G387" s="26">
        <f>G386+IF(U386="SC",1,0)</f>
        <v/>
      </c>
      <c r="H387" s="26">
        <f>H386+IF(U386="Mag",1,0)</f>
        <v/>
      </c>
      <c r="I387" s="26">
        <f>MAX(I386,IF(U386="OR",1,0))</f>
        <v/>
      </c>
      <c r="J387" s="26">
        <f>MAX(J386,IF(U386="HP",1,0))</f>
        <v/>
      </c>
      <c r="K387" s="26">
        <f>MAX(K386,IF(U386="FP",1,0))</f>
        <v/>
      </c>
      <c r="L387" s="26">
        <f>MAX(L386,IF(U386="transition",1,0))</f>
        <v/>
      </c>
      <c r="M387" s="28">
        <f>(Parameters!$B$9+(IF(E387=0,0,(Upgrades!$J$6+E387*Upgrades!$K$6)*POWER(Upgrades!$L$6,E387)))*(IF(Upgrades!$T$7="Solar Wind",POWER(Upgrades!$U$7,F387),1)*IF(Upgrades!$T$8="Solar Wind",POWER(Upgrades!$U$8,G387),1)*IF(Upgrades!$T$9="Solar Wind",POWER(Upgrades!$U$9,H387),1)*IF(Upgrades!$T$10="Solar Wind",POWER(Upgrades!$U$10,I387),1)*IF(Upgrades!$T$11="Solar Wind",POWER(Upgrades!$U$11,J387),1)*IF(Upgrades!$T$12="Solar Wind",POWER(Upgrades!$U$12,K387),1))+(IF(F387=0,0,(Upgrades!$J$7+F387*Upgrades!$K$7)*POWER(Upgrades!$L$7,F387)))*(IF(Upgrades!$T$6="Asteroid Belt",POWER(Upgrades!$U$6,E387),1)*IF(Upgrades!$T$8="Asteroid Belt",POWER(Upgrades!$U$8,G387),1)*IF(Upgrades!$T$9="Asteroid Belt",POWER(Upgrades!$U$9,H387),1)*IF(Upgrades!$T$10="Asteroid Belt",POWER(Upgrades!$U$10,I387),1)*IF(Upgrades!$T$11="Asteroid Belt",POWER(Upgrades!$U$11,J387),1)*IF(Upgrades!$T$12="Asteroid Belt",POWER(Upgrades!$U$12,K387),1))+(IF(G387=0,0,(Upgrades!$J$8+G387*Upgrades!$K$8)*POWER(Upgrades!$L$8,G387)))*(IF(Upgrades!$T$6="Stellar Coupling",POWER(Upgrades!$U$6,E387),1)*IF(Upgrades!$T$7="Stellar Coupling",POWER(Upgrades!$U$7,F387),1)*IF(Upgrades!$T$9="Stellar Coupling",POWER(Upgrades!$U$9,H387),1)*IF(Upgrades!$T$10="Stellar Coupling",POWER(Upgrades!$U$10,I387),1)*IF(Upgrades!$T$11="Stellar Coupling",POWER(Upgrades!$U$11,J387),1)*IF(Upgrades!$T$12="Stellar Coupling",POWER(Upgrades!$U$12,K387),1))+(IF(H387=0,0,(Upgrades!$J$9+H387*Upgrades!$K$9)*POWER(Upgrades!$L$9,H387)))*(IF(Upgrades!$T$6="Magnetosphere",POWER(Upgrades!$U$6,E387),1)*IF(Upgrades!$T$7="Magnetosphere",POWER(Upgrades!$U$7,F387),1)*IF(Upgrades!$T$8="Magnetosphere",POWER(Upgrades!$U$8,G387),1)*IF(Upgrades!$T$10="Magnetosphere",POWER(Upgrades!$U$10,I387),1)*IF(Upgrades!$T$11="Magnetosphere",POWER(Upgrades!$U$11,J387),1)*IF(Upgrades!$T$12="Magnetosphere",POWER(Upgrades!$U$12,K387),1))+(IF(I387=0,0,(Upgrades!$J$10+I387*Upgrades!$K$10)*POWER(Upgrades!$L$10,I387)))*(IF(Upgrades!$T$6="Orbital Resonance",POWER(Upgrades!$U$6,E387),1)*IF(Upgrades!$T$7="Orbital Resonance",POWER(Upgrades!$U$7,F387),1)*IF(Upgrades!$T$8="Orbital Resonance",POWER(Upgrades!$U$8,G387),1)*IF(Upgrades!$T$9="Orbital Resonance",POWER(Upgrades!$U$9,H387),1)*IF(Upgrades!$T$11="Orbital Resonance",POWER(Upgrades!$U$11,J387),1)*IF(Upgrades!$T$12="Orbital Resonance",POWER(Upgrades!$U$12,K387),1))+(IF(J387=0,0,(Upgrades!$J$11+J387*Upgrades!$K$11)*POWER(Upgrades!$L$11,J387)))*(IF(Upgrades!$T$6="Heliopause",POWER(Upgrades!$U$6,E387),1)*IF(Upgrades!$T$7="Heliopause",POWER(Upgrades!$U$7,F387),1)*IF(Upgrades!$T$8="Heliopause",POWER(Upgrades!$U$8,G387),1)*IF(Upgrades!$T$9="Heliopause",POWER(Upgrades!$U$9,H387),1)*IF(Upgrades!$T$10="Heliopause",POWER(Upgrades!$U$10,I387),1)*IF(Upgrades!$T$12="Heliopause",POWER(Upgrades!$U$12,K387),1))+(IF(K387=0,0,(Upgrades!$J$12+K387*Upgrades!$K$12)*POWER(Upgrades!$L$12,K387)))*(IF(Upgrades!$T$6="First Photons",POWER(Upgrades!$U$6,E387),1)*IF(Upgrades!$T$7="First Photons",POWER(Upgrades!$U$7,F387),1)*IF(Upgrades!$T$8="First Photons",POWER(Upgrades!$U$8,G387),1)*IF(Upgrades!$T$9="First Photons",POWER(Upgrades!$U$9,H387),1)*IF(Upgrades!$T$10="First Photons",POWER(Upgrades!$U$10,I387),1)*IF(Upgrades!$T$11="First Photons",POWER(Upgrades!$U$11,J387),1)))*POWER(Upgrades!$Q$6,E387)*POWER(Upgrades!$Q$7,F387)*POWER(Upgrades!$Q$8,G387)*POWER(Upgrades!$Q$9,H387)*POWER(Upgrades!$Q$10,I387)*POWER(Upgrades!$Q$11,J387)*POWER(Upgrades!$Q$12,K387)</f>
        <v/>
      </c>
      <c r="N387" s="28">
        <f>((IF(E387=0,0,(Upgrades!$G$6+E387*Upgrades!$H$6)*POWER(Upgrades!$I$6,E387)))*(IF(Upgrades!$T$7="Solar Wind",POWER(Upgrades!$U$7,F387),1)*IF(Upgrades!$T$8="Solar Wind",POWER(Upgrades!$U$8,G387),1)*IF(Upgrades!$T$9="Solar Wind",POWER(Upgrades!$U$9,H387),1)*IF(Upgrades!$T$10="Solar Wind",POWER(Upgrades!$U$10,I387),1)*IF(Upgrades!$T$11="Solar Wind",POWER(Upgrades!$U$11,J387),1)*IF(Upgrades!$T$12="Solar Wind",POWER(Upgrades!$U$12,K387),1))+(IF(F387=0,0,(Upgrades!$G$7+F387*Upgrades!$H$7)*POWER(Upgrades!$I$7,F387)))*(IF(Upgrades!$T$6="Asteroid Belt",POWER(Upgrades!$U$6,E387),1)*IF(Upgrades!$T$8="Asteroid Belt",POWER(Upgrades!$U$8,G387),1)*IF(Upgrades!$T$9="Asteroid Belt",POWER(Upgrades!$U$9,H387),1)*IF(Upgrades!$T$10="Asteroid Belt",POWER(Upgrades!$U$10,I387),1)*IF(Upgrades!$T$11="Asteroid Belt",POWER(Upgrades!$U$11,J387),1)*IF(Upgrades!$T$12="Asteroid Belt",POWER(Upgrades!$U$12,K387),1))+(IF(G387=0,0,(Upgrades!$G$8+G387*Upgrades!$H$8)*POWER(Upgrades!$I$8,G387)))*(IF(Upgrades!$T$6="Stellar Coupling",POWER(Upgrades!$U$6,E387),1)*IF(Upgrades!$T$7="Stellar Coupling",POWER(Upgrades!$U$7,F387),1)*IF(Upgrades!$T$9="Stellar Coupling",POWER(Upgrades!$U$9,H387),1)*IF(Upgrades!$T$10="Stellar Coupling",POWER(Upgrades!$U$10,I387),1)*IF(Upgrades!$T$11="Stellar Coupling",POWER(Upgrades!$U$11,J387),1)*IF(Upgrades!$T$12="Stellar Coupling",POWER(Upgrades!$U$12,K387),1))+(IF(H387=0,0,(Upgrades!$G$9+H387*Upgrades!$H$9)*POWER(Upgrades!$I$9,H387)))*(IF(Upgrades!$T$6="Magnetosphere",POWER(Upgrades!$U$6,E387),1)*IF(Upgrades!$T$7="Magnetosphere",POWER(Upgrades!$U$7,F387),1)*IF(Upgrades!$T$8="Magnetosphere",POWER(Upgrades!$U$8,G387),1)*IF(Upgrades!$T$10="Magnetosphere",POWER(Upgrades!$U$10,I387),1)*IF(Upgrades!$T$11="Magnetosphere",POWER(Upgrades!$U$11,J387),1)*IF(Upgrades!$T$12="Magnetosphere",POWER(Upgrades!$U$12,K387),1))+(IF(I387=0,0,(Upgrades!$G$10+I387*Upgrades!$H$10)*POWER(Upgrades!$I$10,I387)))*(IF(Upgrades!$T$6="Orbital Resonance",POWER(Upgrades!$U$6,E387),1)*IF(Upgrades!$T$7="Orbital Resonance",POWER(Upgrades!$U$7,F387),1)*IF(Upgrades!$T$8="Orbital Resonance",POWER(Upgrades!$U$8,G387),1)*IF(Upgrades!$T$9="Orbital Resonance",POWER(Upgrades!$U$9,H387),1)*IF(Upgrades!$T$11="Orbital Resonance",POWER(Upgrades!$U$11,J387),1)*IF(Upgrades!$T$12="Orbital Resonance",POWER(Upgrades!$U$12,K387),1))+(IF(J387=0,0,(Upgrades!$G$11+J387*Upgrades!$H$11)*POWER(Upgrades!$I$11,J387)))*(IF(Upgrades!$T$6="Heliopause",POWER(Upgrades!$U$6,E387),1)*IF(Upgrades!$T$7="Heliopause",POWER(Upgrades!$U$7,F387),1)*IF(Upgrades!$T$8="Heliopause",POWER(Upgrades!$U$8,G387),1)*IF(Upgrades!$T$9="Heliopause",POWER(Upgrades!$U$9,H387),1)*IF(Upgrades!$T$10="Heliopause",POWER(Upgrades!$U$10,I387),1)*IF(Upgrades!$T$12="Heliopause",POWER(Upgrades!$U$12,K387),1))+(IF(K387=0,0,(Upgrades!$G$12+K387*Upgrades!$H$12)*POWER(Upgrades!$I$12,K387)))*(IF(Upgrades!$T$6="First Photons",POWER(Upgrades!$U$6,E387),1)*IF(Upgrades!$T$7="First Photons",POWER(Upgrades!$U$7,F387),1)*IF(Upgrades!$T$8="First Photons",POWER(Upgrades!$U$8,G387),1)*IF(Upgrades!$T$9="First Photons",POWER(Upgrades!$U$9,H387),1)*IF(Upgrades!$T$10="First Photons",POWER(Upgrades!$U$10,I387),1)*IF(Upgrades!$T$11="First Photons",POWER(Upgrades!$U$11,J387),1)))*POWER(Upgrades!$P$6,E387)*POWER(Upgrades!$P$7,F387)*POWER(Upgrades!$P$8,G387)*POWER(Upgrades!$P$9,H387)*POWER(Upgrades!$P$10,I387)*POWER(Upgrades!$P$11,J387)*POWER(Upgrades!$P$12,K387)</f>
        <v/>
      </c>
      <c r="O387" s="28">
        <f>((IF(E387=0,0,(Upgrades!$M$6+E387*Upgrades!$N$6)*POWER(Upgrades!$O$6,E387)))*(IF(Upgrades!$T$7="Solar Wind",POWER(Upgrades!$U$7,F387),1)*IF(Upgrades!$T$8="Solar Wind",POWER(Upgrades!$U$8,G387),1)*IF(Upgrades!$T$9="Solar Wind",POWER(Upgrades!$U$9,H387),1)*IF(Upgrades!$T$10="Solar Wind",POWER(Upgrades!$U$10,I387),1)*IF(Upgrades!$T$11="Solar Wind",POWER(Upgrades!$U$11,J387),1)*IF(Upgrades!$T$12="Solar Wind",POWER(Upgrades!$U$12,K387),1))+(IF(F387=0,0,(Upgrades!$M$7+F387*Upgrades!$N$7)*POWER(Upgrades!$O$7,F387)))*(IF(Upgrades!$T$6="Asteroid Belt",POWER(Upgrades!$U$6,E387),1)*IF(Upgrades!$T$8="Asteroid Belt",POWER(Upgrades!$U$8,G387),1)*IF(Upgrades!$T$9="Asteroid Belt",POWER(Upgrades!$U$9,H387),1)*IF(Upgrades!$T$10="Asteroid Belt",POWER(Upgrades!$U$10,I387),1)*IF(Upgrades!$T$11="Asteroid Belt",POWER(Upgrades!$U$11,J387),1)*IF(Upgrades!$T$12="Asteroid Belt",POWER(Upgrades!$U$12,K387),1))+(IF(G387=0,0,(Upgrades!$M$8+G387*Upgrades!$N$8)*POWER(Upgrades!$O$8,G387)))*(IF(Upgrades!$T$6="Stellar Coupling",POWER(Upgrades!$U$6,E387),1)*IF(Upgrades!$T$7="Stellar Coupling",POWER(Upgrades!$U$7,F387),1)*IF(Upgrades!$T$9="Stellar Coupling",POWER(Upgrades!$U$9,H387),1)*IF(Upgrades!$T$10="Stellar Coupling",POWER(Upgrades!$U$10,I387),1)*IF(Upgrades!$T$11="Stellar Coupling",POWER(Upgrades!$U$11,J387),1)*IF(Upgrades!$T$12="Stellar Coupling",POWER(Upgrades!$U$12,K387),1))+(IF(H387=0,0,(Upgrades!$M$9+H387*Upgrades!$N$9)*POWER(Upgrades!$O$9,H387)))*(IF(Upgrades!$T$6="Magnetosphere",POWER(Upgrades!$U$6,E387),1)*IF(Upgrades!$T$7="Magnetosphere",POWER(Upgrades!$U$7,F387),1)*IF(Upgrades!$T$8="Magnetosphere",POWER(Upgrades!$U$8,G387),1)*IF(Upgrades!$T$10="Magnetosphere",POWER(Upgrades!$U$10,I387),1)*IF(Upgrades!$T$11="Magnetosphere",POWER(Upgrades!$U$11,J387),1)*IF(Upgrades!$T$12="Magnetosphere",POWER(Upgrades!$U$12,K387),1))+(IF(I387=0,0,(Upgrades!$M$10+I387*Upgrades!$N$10)*POWER(Upgrades!$O$10,I387)))*(IF(Upgrades!$T$6="Orbital Resonance",POWER(Upgrades!$U$6,E387),1)*IF(Upgrades!$T$7="Orbital Resonance",POWER(Upgrades!$U$7,F387),1)*IF(Upgrades!$T$8="Orbital Resonance",POWER(Upgrades!$U$8,G387),1)*IF(Upgrades!$T$9="Orbital Resonance",POWER(Upgrades!$U$9,H387),1)*IF(Upgrades!$T$11="Orbital Resonance",POWER(Upgrades!$U$11,J387),1)*IF(Upgrades!$T$12="Orbital Resonance",POWER(Upgrades!$U$12,K387),1))+(IF(J387=0,0,(Upgrades!$M$11+J387*Upgrades!$N$11)*POWER(Upgrades!$O$11,J387)))*(IF(Upgrades!$T$6="Heliopause",POWER(Upgrades!$U$6,E387),1)*IF(Upgrades!$T$7="Heliopause",POWER(Upgrades!$U$7,F387),1)*IF(Upgrades!$T$8="Heliopause",POWER(Upgrades!$U$8,G387),1)*IF(Upgrades!$T$9="Heliopause",POWER(Upgrades!$U$9,H387),1)*IF(Upgrades!$T$10="Heliopause",POWER(Upgrades!$U$10,I387),1)*IF(Upgrades!$T$12="Heliopause",POWER(Upgrades!$U$12,K387),1))+(IF(K387=0,0,(Upgrades!$M$12+K387*Upgrades!$N$12)*POWER(Upgrades!$O$12,K387)))*(IF(Upgrades!$T$6="First Photons",POWER(Upgrades!$U$6,E387),1)*IF(Upgrades!$T$7="First Photons",POWER(Upgrades!$U$7,F387),1)*IF(Upgrades!$T$8="First Photons",POWER(Upgrades!$U$8,G387),1)*IF(Upgrades!$T$9="First Photons",POWER(Upgrades!$U$9,H387),1)*IF(Upgrades!$T$10="First Photons",POWER(Upgrades!$U$10,I387),1)*IF(Upgrades!$T$11="First Photons",POWER(Upgrades!$U$11,J387),1)))*POWER(Upgrades!$R$6,E387)*POWER(Upgrades!$R$7,F387)*POWER(Upgrades!$R$8,G387)*POWER(Upgrades!$R$9,H387)*POWER(Upgrades!$R$10,I387)*POWER(Upgrades!$R$11,J387)*POWER(Upgrades!$R$12,K387)</f>
        <v/>
      </c>
      <c r="P387" s="27">
        <f>IF(L387=1,0,M387*Parameters!$B$10/60*Parameters!$B$11*10)</f>
        <v/>
      </c>
      <c r="Q387" s="27">
        <f>IF(L387=1,0,O387*M387*10)</f>
        <v/>
      </c>
      <c r="R387" s="27">
        <f>IF(L387=1,0,N387*10)</f>
        <v/>
      </c>
      <c r="S387" s="27">
        <f>P387+Q387+R387</f>
        <v/>
      </c>
      <c r="T387" s="22">
        <f>C387+S387</f>
        <v/>
      </c>
      <c r="U387" s="33">
        <f>AX387</f>
        <v/>
      </c>
      <c r="V387" s="22">
        <f>IF(U387="",0,IF(U387="transition",0,IF(U387="SW",AG387,IF(U387="AB",AH387,IF(U387="SC",AI387,IF(U387="Mag",AJ387,IF(U387="OR",AK387,IF(U387="HP",AL387,IF(U387="FP",AM387,0)))))))))</f>
        <v/>
      </c>
      <c r="W387" s="27">
        <f>IF(U387="OR",Upgrades!$F$10,IF(U387="HP",Upgrades!$F$11,IF(U387="transition",-Parameters!$B$18,0)))</f>
        <v/>
      </c>
      <c r="X387" s="22">
        <f>T387-V387</f>
        <v/>
      </c>
      <c r="Y387" s="30">
        <f>M387*Parameters!$B$10/60*Parameters!$B$11+O387*M387+N387</f>
        <v/>
      </c>
      <c r="Z387" s="34">
        <f>IF(U387="transition","→ Tier 2 (Stellar Neighborhood)",IF(U387="FP","First Photons — light begins, system quickens",IF(U387="HP","Heliopause acquired",IF(U387="OR","Orbital Resonance — passive multiplier active",IF(AND(AO387=1,L387=0,AN387&lt;&gt;1),"Cohesion ready (waiting on completionist upgrades)","")))))</f>
        <v/>
      </c>
      <c r="AA387" s="27">
        <f>(IF(E387=0,0,(Upgrades!$G$6+E387*Upgrades!$H$6)*POWER(Upgrades!$I$6,E387)))*(IF(Upgrades!$T$7="Solar Wind",POWER(Upgrades!$U$7,F387),1)*IF(Upgrades!$T$8="Solar Wind",POWER(Upgrades!$U$8,G387),1)*IF(Upgrades!$T$9="Solar Wind",POWER(Upgrades!$U$9,H387),1)*IF(Upgrades!$T$10="Solar Wind",POWER(Upgrades!$U$10,I387),1)*IF(Upgrades!$T$11="Solar Wind",POWER(Upgrades!$U$11,J387),1)*IF(Upgrades!$T$12="Solar Wind",POWER(Upgrades!$U$12,K387),1))*POWER(Upgrades!$P$6,E387)*POWER(Upgrades!$P$7,F387)*POWER(Upgrades!$P$8,G387)*POWER(Upgrades!$P$9,H387)*POWER(Upgrades!$P$10,I387)*POWER(Upgrades!$P$11,J387)*POWER(Upgrades!$P$12,K387)*60</f>
        <v/>
      </c>
      <c r="AB387" s="27">
        <f>(IF(F387=0,0,(Upgrades!$G$7+F387*Upgrades!$H$7)*POWER(Upgrades!$I$7,F387)))*(IF(Upgrades!$T$6="Asteroid Belt",POWER(Upgrades!$U$6,E387),1)*IF(Upgrades!$T$8="Asteroid Belt",POWER(Upgrades!$U$8,G387),1)*IF(Upgrades!$T$9="Asteroid Belt",POWER(Upgrades!$U$9,H387),1)*IF(Upgrades!$T$10="Asteroid Belt",POWER(Upgrades!$U$10,I387),1)*IF(Upgrades!$T$11="Asteroid Belt",POWER(Upgrades!$U$11,J387),1)*IF(Upgrades!$T$12="Asteroid Belt",POWER(Upgrades!$U$12,K387),1))*POWER(Upgrades!$P$6,E387)*POWER(Upgrades!$P$7,F387)*POWER(Upgrades!$P$8,G387)*POWER(Upgrades!$P$9,H387)*POWER(Upgrades!$P$10,I387)*POWER(Upgrades!$P$11,J387)*POWER(Upgrades!$P$12,K387)*60</f>
        <v/>
      </c>
      <c r="AC387" s="27">
        <f>(IF(G387=0,0,(Upgrades!$J$8+G387*Upgrades!$K$8)*POWER(Upgrades!$L$8,G387)))*(IF(Upgrades!$T$6="Stellar Coupling",POWER(Upgrades!$U$6,E387),1)*IF(Upgrades!$T$7="Stellar Coupling",POWER(Upgrades!$U$7,F387),1)*IF(Upgrades!$T$9="Stellar Coupling",POWER(Upgrades!$U$9,H387),1)*IF(Upgrades!$T$10="Stellar Coupling",POWER(Upgrades!$U$10,I387),1)*IF(Upgrades!$T$11="Stellar Coupling",POWER(Upgrades!$U$11,J387),1)*IF(Upgrades!$T$12="Stellar Coupling",POWER(Upgrades!$U$12,K387),1))*POWER(Upgrades!$Q$6,E387)*POWER(Upgrades!$Q$7,F387)*POWER(Upgrades!$Q$8,G387)*POWER(Upgrades!$Q$9,H387)*POWER(Upgrades!$Q$10,I387)*POWER(Upgrades!$Q$11,J387)*POWER(Upgrades!$Q$12,K387)*Parameters!$B$10*Parameters!$B$11</f>
        <v/>
      </c>
      <c r="AD387" s="27">
        <f>(IF(H387=0,0,(Upgrades!$G$9+H387*Upgrades!$H$9)*POWER(Upgrades!$I$9,H387)))*(IF(Upgrades!$T$6="Magnetosphere",POWER(Upgrades!$U$6,E387),1)*IF(Upgrades!$T$7="Magnetosphere",POWER(Upgrades!$U$7,F387),1)*IF(Upgrades!$T$8="Magnetosphere",POWER(Upgrades!$U$8,G387),1)*IF(Upgrades!$T$10="Magnetosphere",POWER(Upgrades!$U$10,I387),1)*IF(Upgrades!$T$11="Magnetosphere",POWER(Upgrades!$U$11,J387),1)*IF(Upgrades!$T$12="Magnetosphere",POWER(Upgrades!$U$12,K387),1))*POWER(Upgrades!$P$6,E387)*POWER(Upgrades!$P$7,F387)*POWER(Upgrades!$P$8,G387)*POWER(Upgrades!$P$9,H387)*POWER(Upgrades!$P$10,I387)*POWER(Upgrades!$P$11,J387)*POWER(Upgrades!$P$12,K387)*60</f>
        <v/>
      </c>
      <c r="AE387" s="27">
        <f>(IF(K387=0,0,(Upgrades!$G$12+K387*Upgrades!$H$12)*POWER(Upgrades!$I$12,K387)))*(IF(Upgrades!$T$6="First Photons",POWER(Upgrades!$U$6,E387),1)*IF(Upgrades!$T$7="First Photons",POWER(Upgrades!$U$7,F387),1)*IF(Upgrades!$T$8="First Photons",POWER(Upgrades!$U$8,G387),1)*IF(Upgrades!$T$9="First Photons",POWER(Upgrades!$U$9,H387),1)*IF(Upgrades!$T$10="First Photons",POWER(Upgrades!$U$10,I387),1)*IF(Upgrades!$T$11="First Photons",POWER(Upgrades!$U$11,J387),1))*POWER(Upgrades!$P$6,E387)*POWER(Upgrades!$P$7,F387)*POWER(Upgrades!$P$8,G387)*POWER(Upgrades!$P$9,H387)*POWER(Upgrades!$P$10,I387)*POWER(Upgrades!$P$11,J387)*POWER(Upgrades!$P$12,K387)*60</f>
        <v/>
      </c>
      <c r="AF387" s="27">
        <f>Parameters!$B$9*POWER(Upgrades!$Q$6,E387)*POWER(Upgrades!$Q$7,F387)*POWER(Upgrades!$Q$8,G387)*POWER(Upgrades!$Q$9,H387)*POWER(Upgrades!$Q$10,I387)*POWER(Upgrades!$Q$11,J387)*POWER(Upgrades!$Q$12,K387)*(Parameters!$B$10*Parameters!$B$11+O387*60)</f>
        <v/>
      </c>
      <c r="AG387" s="22">
        <f>IF(E387&gt;=Upgrades!$E$6,"",Upgrades!$C$6*POWER(Upgrades!$D$6,E387))</f>
        <v/>
      </c>
      <c r="AH387" s="22">
        <f>IF(F387&gt;=Upgrades!$E$7,"",Upgrades!$C$7*POWER(Upgrades!$D$7,F387))</f>
        <v/>
      </c>
      <c r="AI387" s="22">
        <f>IF(G387&gt;=Upgrades!$E$8,"",Upgrades!$C$8*POWER(Upgrades!$D$8,G387))</f>
        <v/>
      </c>
      <c r="AJ387" s="22">
        <f>IF(H387&gt;=Upgrades!$E$9,"",Upgrades!$C$9*POWER(Upgrades!$D$9,H387))</f>
        <v/>
      </c>
      <c r="AK387" s="22">
        <f>IF(I387&gt;=Upgrades!$E$10,"",Upgrades!$C$10*POWER(Upgrades!$D$10,I387))</f>
        <v/>
      </c>
      <c r="AL387" s="22">
        <f>IF(J387&gt;=Upgrades!$E$11,"",Upgrades!$C$11*POWER(Upgrades!$D$11,J387))</f>
        <v/>
      </c>
      <c r="AM387" s="22">
        <f>IF(K387&gt;=Upgrades!$E$12,"",Upgrades!$C$12*POWER(Upgrades!$D$12,K387))</f>
        <v/>
      </c>
      <c r="AN387" s="26">
        <f>IF(AND(D387&gt;=Parameters!$B$18,(H387&gt;=Upgrades!$E$9)*(K387&gt;=Upgrades!$E$12)=1,L387=0),1,"")</f>
        <v/>
      </c>
      <c r="AO387" s="26">
        <f>IF(AND(D387&gt;=Parameters!$B$18,L387=0),1,"")</f>
        <v/>
      </c>
      <c r="AP387" s="22">
        <f>MIN(IF(ISNUMBER(AK387),AK387,9E15),IF(ISNUMBER(AL387),AL387,9E15),IF(ISNUMBER(AM387),AM387,9E15))</f>
        <v/>
      </c>
      <c r="AQ387" s="22">
        <f>MIN(IF(ISNUMBER(AG387),AG387,9E15),IF(ISNUMBER(AH387),AH387,9E15),IF(ISNUMBER(AI387),AI387,9E15),IF(ISNUMBER(AJ387),AJ387,9E15))</f>
        <v/>
      </c>
      <c r="AR387" s="29">
        <f>IF(AW387&gt;Parameters!$B$21*(MAX(IF(AND(NOT(AND(AO387=1,AN387&lt;&gt;1)),ISNUMBER(AG387),AG387&lt;=T387),AS387,0),IF(AND(NOT(AND(AO387=1,AN387&lt;&gt;1)),ISNUMBER(AH387),AH387&lt;=T387),AT387,0),IF(AND(NOT(AND(AO387=1,AN387&lt;&gt;1)),ISNUMBER(AI387),AI387&lt;=T387),AU387,0),IF(AND(ISNUMBER(AJ387),AJ387&lt;=T387),AV387,0))),TRUE,FALSE)</f>
        <v/>
      </c>
      <c r="AS387" s="32">
        <f>IFERROR(Upgrades!$H$6*(POWER(Upgrades!$P$6,E387)*POWER(Upgrades!$P$7,F387)*POWER(Upgrades!$P$8,G387)*POWER(Upgrades!$P$9,H387)*POWER(Upgrades!$P$10,I387)*POWER(Upgrades!$P$11,J387)*POWER(Upgrades!$P$12,K387))*(IF(Upgrades!$T$7="Solar Wind",POWER(Upgrades!$U$7,F387),1)*IF(Upgrades!$T$8="Solar Wind",POWER(Upgrades!$U$8,G387),1)*IF(Upgrades!$T$9="Solar Wind",POWER(Upgrades!$U$9,H387),1)*IF(Upgrades!$T$10="Solar Wind",POWER(Upgrades!$U$10,I387),1)*IF(Upgrades!$T$11="Solar Wind",POWER(Upgrades!$U$11,J387),1)*IF(Upgrades!$T$12="Solar Wind",POWER(Upgrades!$U$12,K387),1))/AG387,0)</f>
        <v/>
      </c>
      <c r="AT387" s="32">
        <f>IFERROR(Upgrades!$H$7*(POWER(Upgrades!$P$6,E387)*POWER(Upgrades!$P$7,F387)*POWER(Upgrades!$P$8,G387)*POWER(Upgrades!$P$9,H387)*POWER(Upgrades!$P$10,I387)*POWER(Upgrades!$P$11,J387)*POWER(Upgrades!$P$12,K387))*(IF(Upgrades!$T$6="Asteroid Belt",POWER(Upgrades!$U$6,E387),1)*IF(Upgrades!$T$8="Asteroid Belt",POWER(Upgrades!$U$8,G387),1)*IF(Upgrades!$T$9="Asteroid Belt",POWER(Upgrades!$U$9,H387),1)*IF(Upgrades!$T$10="Asteroid Belt",POWER(Upgrades!$U$10,I387),1)*IF(Upgrades!$T$11="Asteroid Belt",POWER(Upgrades!$U$11,J387),1)*IF(Upgrades!$T$12="Asteroid Belt",POWER(Upgrades!$U$12,K387),1))/AH387,0)</f>
        <v/>
      </c>
      <c r="AU387" s="32">
        <f>IFERROR(Upgrades!$K$8*(POWER(Upgrades!$Q$6,E387)*POWER(Upgrades!$Q$7,F387)*POWER(Upgrades!$Q$8,G387)*POWER(Upgrades!$Q$9,H387)*POWER(Upgrades!$Q$10,I387)*POWER(Upgrades!$Q$11,J387)*POWER(Upgrades!$Q$12,K387))*(IF(Upgrades!$T$6="Stellar Coupling",POWER(Upgrades!$U$6,E387),1)*IF(Upgrades!$T$7="Stellar Coupling",POWER(Upgrades!$U$7,F387),1)*IF(Upgrades!$T$9="Stellar Coupling",POWER(Upgrades!$U$9,H387),1)*IF(Upgrades!$T$10="Stellar Coupling",POWER(Upgrades!$U$10,I387),1)*IF(Upgrades!$T$11="Stellar Coupling",POWER(Upgrades!$U$11,J387),1)*IF(Upgrades!$T$12="Stellar Coupling",POWER(Upgrades!$U$12,K387),1))*Parameters!$B$10*Parameters!$B$11/60/AI387,0)</f>
        <v/>
      </c>
      <c r="AV387" s="32">
        <f>IFERROR(Upgrades!$H$9*(POWER(Upgrades!$P$6,E387)*POWER(Upgrades!$P$7,F387)*POWER(Upgrades!$P$8,G387)*POWER(Upgrades!$P$9,H387)*POWER(Upgrades!$P$10,I387)*POWER(Upgrades!$P$11,J387)*POWER(Upgrades!$P$12,K387))*(IF(Upgrades!$T$6="Magnetosphere",POWER(Upgrades!$U$6,E387),1)*IF(Upgrades!$T$7="Magnetosphere",POWER(Upgrades!$U$7,F387),1)*IF(Upgrades!$T$8="Magnetosphere",POWER(Upgrades!$U$8,G387),1)*IF(Upgrades!$T$10="Magnetosphere",POWER(Upgrades!$U$10,I387),1)*IF(Upgrades!$T$11="Magnetosphere",POWER(Upgrades!$U$11,J387),1)*IF(Upgrades!$T$12="Magnetosphere",POWER(Upgrades!$U$12,K387),1))/AJ387,0)</f>
        <v/>
      </c>
      <c r="AW387" s="32">
        <f>MAX(IF(I387&gt;0,0,IFERROR(0.25*N387/Upgrades!$C$10,0)),IF(J387&gt;0,0,IFERROR(0.5*((IF(G387=0,0,(Upgrades!$J$8+G387*Upgrades!$K$8)*POWER(Upgrades!$L$8,G387)))*(IF(Upgrades!$T$6="Stellar Coupling",POWER(Upgrades!$U$6,E387),1)*IF(Upgrades!$T$7="Stellar Coupling",POWER(Upgrades!$U$7,F387),1)*IF(Upgrades!$T$9="Stellar Coupling",POWER(Upgrades!$U$9,H387),1)*IF(Upgrades!$T$10="Stellar Coupling",POWER(Upgrades!$U$10,I387),1)*IF(Upgrades!$T$11="Stellar Coupling",POWER(Upgrades!$U$11,J387),1)*IF(Upgrades!$T$12="Stellar Coupling",POWER(Upgrades!$U$12,K387),1))*(POWER(Upgrades!$Q$6,E387)*POWER(Upgrades!$Q$7,F387)*POWER(Upgrades!$Q$8,G387)*POWER(Upgrades!$Q$9,H387)*POWER(Upgrades!$Q$10,I387)*POWER(Upgrades!$Q$11,J387)*POWER(Upgrades!$Q$12,K387))*Parameters!$B$10*Parameters!$B$11/60)/Upgrades!$C$11,0)),IF(K387&gt;0,0,IFERROR((1.0*(POWER(Upgrades!$P$6,E387)*POWER(Upgrades!$P$7,F387)*POWER(Upgrades!$P$8,G387)*POWER(Upgrades!$P$9,H387)*POWER(Upgrades!$P$10,I387)*POWER(Upgrades!$P$11,J387)*POWER(Upgrades!$P$12,K387))+0.20*M387*Parameters!$B$10*Parameters!$B$11/60)/Upgrades!$C$12,0)),IF(AND(ISNUMBER(AG387),AG387&gt;T387),AS387,0),IF(AND(ISNUMBER(AH387),AH387&gt;T387),AT387,0),IF(AND(ISNUMBER(AI387),AI387&gt;T387),AU387,0),IF(AND(ISNUMBER(AJ387),AJ387&gt;T387),AV387,0))</f>
        <v/>
      </c>
      <c r="AX387" s="29">
        <f>IF(AN387=1,"transition",IF(MIN(IF(AND(I387=0,ISNUMBER(AK387),AK387&lt;=T387),AK387,9E15),IF(AND(J387=0,ISNUMBER(AL387),AL387&lt;=T387),AL387,9E15),IF(AND(K387=0,ISNUMBER(AM387),AM387&lt;=T387),AM387,9E15))&lt;9E15,IF(AND(AND(I387=0,ISNUMBER(AK387),AK387&lt;=T387),AK387=MIN(IF(AND(I387=0,ISNUMBER(AK387),AK387&lt;=T387),AK387,9E15),IF(AND(J387=0,ISNUMBER(AL387),AL387&lt;=T387),AL387,9E15),IF(AND(K387=0,ISNUMBER(AM387),AM387&lt;=T387),AM387,9E15))),"OR",IF(AND(AND(J387=0,ISNUMBER(AL387),AL387&lt;=T387),AL387=MIN(IF(AND(I387=0,ISNUMBER(AK387),AK387&lt;=T387),AK387,9E15),IF(AND(J387=0,ISNUMBER(AL387),AL387&lt;=T387),AL387,9E15),IF(AND(K387=0,ISNUMBER(AM387),AM387&lt;=T387),AM387,9E15))),"HP","FP")),IF(AR387=TRUE,"",IF(MAX(IF(AND(NOT(AND(AO387=1,AN387&lt;&gt;1)),ISNUMBER(AG387),AG387&lt;=T387),AS387,0),IF(AND(NOT(AND(AO387=1,AN387&lt;&gt;1)),ISNUMBER(AH387),AH387&lt;=T387),AT387,0),IF(AND(NOT(AND(AO387=1,AN387&lt;&gt;1)),ISNUMBER(AI387),AI387&lt;=T387),AU387,0),IF(AND(ISNUMBER(AJ387),AJ387&lt;=T387),AV387,0))&lt;=0,"",IF(AND(IF(AND(NOT(AND(AO387=1,AN387&lt;&gt;1)),ISNUMBER(AG387),AG387&lt;=T387),AS387,0)&gt;0,IF(AND(NOT(AND(AO387=1,AN387&lt;&gt;1)),ISNUMBER(AG387),AG387&lt;=T387),AS387,0)=MAX(IF(AND(NOT(AND(AO387=1,AN387&lt;&gt;1)),ISNUMBER(AG387),AG387&lt;=T387),AS387,0),IF(AND(NOT(AND(AO387=1,AN387&lt;&gt;1)),ISNUMBER(AH387),AH387&lt;=T387),AT387,0),IF(AND(NOT(AND(AO387=1,AN387&lt;&gt;1)),ISNUMBER(AI387),AI387&lt;=T387),AU387,0),IF(AND(ISNUMBER(AJ387),AJ387&lt;=T387),AV387,0))),"SW",IF(AND(IF(AND(NOT(AND(AO387=1,AN387&lt;&gt;1)),ISNUMBER(AH387),AH387&lt;=T387),AT387,0)&gt;0,IF(AND(NOT(AND(AO387=1,AN387&lt;&gt;1)),ISNUMBER(AH387),AH387&lt;=T387),AT387,0)=MAX(IF(AND(NOT(AND(AO387=1,AN387&lt;&gt;1)),ISNUMBER(AG387),AG387&lt;=T387),AS387,0),IF(AND(NOT(AND(AO387=1,AN387&lt;&gt;1)),ISNUMBER(AH387),AH387&lt;=T387),AT387,0),IF(AND(NOT(AND(AO387=1,AN387&lt;&gt;1)),ISNUMBER(AI387),AI387&lt;=T387),AU387,0),IF(AND(ISNUMBER(AJ387),AJ387&lt;=T387),AV387,0))),"AB",IF(AND(IF(AND(NOT(AND(AO387=1,AN387&lt;&gt;1)),ISNUMBER(AI387),AI387&lt;=T387),AU387,0)&gt;0,IF(AND(NOT(AND(AO387=1,AN387&lt;&gt;1)),ISNUMBER(AI387),AI387&lt;=T387),AU387,0)=MAX(IF(AND(NOT(AND(AO387=1,AN387&lt;&gt;1)),ISNUMBER(AG387),AG387&lt;=T387),AS387,0),IF(AND(NOT(AND(AO387=1,AN387&lt;&gt;1)),ISNUMBER(AH387),AH387&lt;=T387),AT387,0),IF(AND(NOT(AND(AO387=1,AN387&lt;&gt;1)),ISNUMBER(AI387),AI387&lt;=T387),AU387,0),IF(AND(ISNUMBER(AJ387),AJ387&lt;=T387),AV387,0))),"SC","Mag")))))))</f>
        <v/>
      </c>
    </row>
    <row r="388">
      <c r="A388" s="26" t="n">
        <v>383</v>
      </c>
      <c r="B388" s="27">
        <f>A388*10/60</f>
        <v/>
      </c>
      <c r="C388" s="22">
        <f>X387</f>
        <v/>
      </c>
      <c r="D388" s="27">
        <f>D387+W387</f>
        <v/>
      </c>
      <c r="E388" s="26">
        <f>E387+IF(U387="SW",1,0)</f>
        <v/>
      </c>
      <c r="F388" s="26">
        <f>F387+IF(U387="AB",1,0)</f>
        <v/>
      </c>
      <c r="G388" s="26">
        <f>G387+IF(U387="SC",1,0)</f>
        <v/>
      </c>
      <c r="H388" s="26">
        <f>H387+IF(U387="Mag",1,0)</f>
        <v/>
      </c>
      <c r="I388" s="26">
        <f>MAX(I387,IF(U387="OR",1,0))</f>
        <v/>
      </c>
      <c r="J388" s="26">
        <f>MAX(J387,IF(U387="HP",1,0))</f>
        <v/>
      </c>
      <c r="K388" s="26">
        <f>MAX(K387,IF(U387="FP",1,0))</f>
        <v/>
      </c>
      <c r="L388" s="26">
        <f>MAX(L387,IF(U387="transition",1,0))</f>
        <v/>
      </c>
      <c r="M388" s="28">
        <f>(Parameters!$B$9+(IF(E388=0,0,(Upgrades!$J$6+E388*Upgrades!$K$6)*POWER(Upgrades!$L$6,E388)))*(IF(Upgrades!$T$7="Solar Wind",POWER(Upgrades!$U$7,F388),1)*IF(Upgrades!$T$8="Solar Wind",POWER(Upgrades!$U$8,G388),1)*IF(Upgrades!$T$9="Solar Wind",POWER(Upgrades!$U$9,H388),1)*IF(Upgrades!$T$10="Solar Wind",POWER(Upgrades!$U$10,I388),1)*IF(Upgrades!$T$11="Solar Wind",POWER(Upgrades!$U$11,J388),1)*IF(Upgrades!$T$12="Solar Wind",POWER(Upgrades!$U$12,K388),1))+(IF(F388=0,0,(Upgrades!$J$7+F388*Upgrades!$K$7)*POWER(Upgrades!$L$7,F388)))*(IF(Upgrades!$T$6="Asteroid Belt",POWER(Upgrades!$U$6,E388),1)*IF(Upgrades!$T$8="Asteroid Belt",POWER(Upgrades!$U$8,G388),1)*IF(Upgrades!$T$9="Asteroid Belt",POWER(Upgrades!$U$9,H388),1)*IF(Upgrades!$T$10="Asteroid Belt",POWER(Upgrades!$U$10,I388),1)*IF(Upgrades!$T$11="Asteroid Belt",POWER(Upgrades!$U$11,J388),1)*IF(Upgrades!$T$12="Asteroid Belt",POWER(Upgrades!$U$12,K388),1))+(IF(G388=0,0,(Upgrades!$J$8+G388*Upgrades!$K$8)*POWER(Upgrades!$L$8,G388)))*(IF(Upgrades!$T$6="Stellar Coupling",POWER(Upgrades!$U$6,E388),1)*IF(Upgrades!$T$7="Stellar Coupling",POWER(Upgrades!$U$7,F388),1)*IF(Upgrades!$T$9="Stellar Coupling",POWER(Upgrades!$U$9,H388),1)*IF(Upgrades!$T$10="Stellar Coupling",POWER(Upgrades!$U$10,I388),1)*IF(Upgrades!$T$11="Stellar Coupling",POWER(Upgrades!$U$11,J388),1)*IF(Upgrades!$T$12="Stellar Coupling",POWER(Upgrades!$U$12,K388),1))+(IF(H388=0,0,(Upgrades!$J$9+H388*Upgrades!$K$9)*POWER(Upgrades!$L$9,H388)))*(IF(Upgrades!$T$6="Magnetosphere",POWER(Upgrades!$U$6,E388),1)*IF(Upgrades!$T$7="Magnetosphere",POWER(Upgrades!$U$7,F388),1)*IF(Upgrades!$T$8="Magnetosphere",POWER(Upgrades!$U$8,G388),1)*IF(Upgrades!$T$10="Magnetosphere",POWER(Upgrades!$U$10,I388),1)*IF(Upgrades!$T$11="Magnetosphere",POWER(Upgrades!$U$11,J388),1)*IF(Upgrades!$T$12="Magnetosphere",POWER(Upgrades!$U$12,K388),1))+(IF(I388=0,0,(Upgrades!$J$10+I388*Upgrades!$K$10)*POWER(Upgrades!$L$10,I388)))*(IF(Upgrades!$T$6="Orbital Resonance",POWER(Upgrades!$U$6,E388),1)*IF(Upgrades!$T$7="Orbital Resonance",POWER(Upgrades!$U$7,F388),1)*IF(Upgrades!$T$8="Orbital Resonance",POWER(Upgrades!$U$8,G388),1)*IF(Upgrades!$T$9="Orbital Resonance",POWER(Upgrades!$U$9,H388),1)*IF(Upgrades!$T$11="Orbital Resonance",POWER(Upgrades!$U$11,J388),1)*IF(Upgrades!$T$12="Orbital Resonance",POWER(Upgrades!$U$12,K388),1))+(IF(J388=0,0,(Upgrades!$J$11+J388*Upgrades!$K$11)*POWER(Upgrades!$L$11,J388)))*(IF(Upgrades!$T$6="Heliopause",POWER(Upgrades!$U$6,E388),1)*IF(Upgrades!$T$7="Heliopause",POWER(Upgrades!$U$7,F388),1)*IF(Upgrades!$T$8="Heliopause",POWER(Upgrades!$U$8,G388),1)*IF(Upgrades!$T$9="Heliopause",POWER(Upgrades!$U$9,H388),1)*IF(Upgrades!$T$10="Heliopause",POWER(Upgrades!$U$10,I388),1)*IF(Upgrades!$T$12="Heliopause",POWER(Upgrades!$U$12,K388),1))+(IF(K388=0,0,(Upgrades!$J$12+K388*Upgrades!$K$12)*POWER(Upgrades!$L$12,K388)))*(IF(Upgrades!$T$6="First Photons",POWER(Upgrades!$U$6,E388),1)*IF(Upgrades!$T$7="First Photons",POWER(Upgrades!$U$7,F388),1)*IF(Upgrades!$T$8="First Photons",POWER(Upgrades!$U$8,G388),1)*IF(Upgrades!$T$9="First Photons",POWER(Upgrades!$U$9,H388),1)*IF(Upgrades!$T$10="First Photons",POWER(Upgrades!$U$10,I388),1)*IF(Upgrades!$T$11="First Photons",POWER(Upgrades!$U$11,J388),1)))*POWER(Upgrades!$Q$6,E388)*POWER(Upgrades!$Q$7,F388)*POWER(Upgrades!$Q$8,G388)*POWER(Upgrades!$Q$9,H388)*POWER(Upgrades!$Q$10,I388)*POWER(Upgrades!$Q$11,J388)*POWER(Upgrades!$Q$12,K388)</f>
        <v/>
      </c>
      <c r="N388" s="28">
        <f>((IF(E388=0,0,(Upgrades!$G$6+E388*Upgrades!$H$6)*POWER(Upgrades!$I$6,E388)))*(IF(Upgrades!$T$7="Solar Wind",POWER(Upgrades!$U$7,F388),1)*IF(Upgrades!$T$8="Solar Wind",POWER(Upgrades!$U$8,G388),1)*IF(Upgrades!$T$9="Solar Wind",POWER(Upgrades!$U$9,H388),1)*IF(Upgrades!$T$10="Solar Wind",POWER(Upgrades!$U$10,I388),1)*IF(Upgrades!$T$11="Solar Wind",POWER(Upgrades!$U$11,J388),1)*IF(Upgrades!$T$12="Solar Wind",POWER(Upgrades!$U$12,K388),1))+(IF(F388=0,0,(Upgrades!$G$7+F388*Upgrades!$H$7)*POWER(Upgrades!$I$7,F388)))*(IF(Upgrades!$T$6="Asteroid Belt",POWER(Upgrades!$U$6,E388),1)*IF(Upgrades!$T$8="Asteroid Belt",POWER(Upgrades!$U$8,G388),1)*IF(Upgrades!$T$9="Asteroid Belt",POWER(Upgrades!$U$9,H388),1)*IF(Upgrades!$T$10="Asteroid Belt",POWER(Upgrades!$U$10,I388),1)*IF(Upgrades!$T$11="Asteroid Belt",POWER(Upgrades!$U$11,J388),1)*IF(Upgrades!$T$12="Asteroid Belt",POWER(Upgrades!$U$12,K388),1))+(IF(G388=0,0,(Upgrades!$G$8+G388*Upgrades!$H$8)*POWER(Upgrades!$I$8,G388)))*(IF(Upgrades!$T$6="Stellar Coupling",POWER(Upgrades!$U$6,E388),1)*IF(Upgrades!$T$7="Stellar Coupling",POWER(Upgrades!$U$7,F388),1)*IF(Upgrades!$T$9="Stellar Coupling",POWER(Upgrades!$U$9,H388),1)*IF(Upgrades!$T$10="Stellar Coupling",POWER(Upgrades!$U$10,I388),1)*IF(Upgrades!$T$11="Stellar Coupling",POWER(Upgrades!$U$11,J388),1)*IF(Upgrades!$T$12="Stellar Coupling",POWER(Upgrades!$U$12,K388),1))+(IF(H388=0,0,(Upgrades!$G$9+H388*Upgrades!$H$9)*POWER(Upgrades!$I$9,H388)))*(IF(Upgrades!$T$6="Magnetosphere",POWER(Upgrades!$U$6,E388),1)*IF(Upgrades!$T$7="Magnetosphere",POWER(Upgrades!$U$7,F388),1)*IF(Upgrades!$T$8="Magnetosphere",POWER(Upgrades!$U$8,G388),1)*IF(Upgrades!$T$10="Magnetosphere",POWER(Upgrades!$U$10,I388),1)*IF(Upgrades!$T$11="Magnetosphere",POWER(Upgrades!$U$11,J388),1)*IF(Upgrades!$T$12="Magnetosphere",POWER(Upgrades!$U$12,K388),1))+(IF(I388=0,0,(Upgrades!$G$10+I388*Upgrades!$H$10)*POWER(Upgrades!$I$10,I388)))*(IF(Upgrades!$T$6="Orbital Resonance",POWER(Upgrades!$U$6,E388),1)*IF(Upgrades!$T$7="Orbital Resonance",POWER(Upgrades!$U$7,F388),1)*IF(Upgrades!$T$8="Orbital Resonance",POWER(Upgrades!$U$8,G388),1)*IF(Upgrades!$T$9="Orbital Resonance",POWER(Upgrades!$U$9,H388),1)*IF(Upgrades!$T$11="Orbital Resonance",POWER(Upgrades!$U$11,J388),1)*IF(Upgrades!$T$12="Orbital Resonance",POWER(Upgrades!$U$12,K388),1))+(IF(J388=0,0,(Upgrades!$G$11+J388*Upgrades!$H$11)*POWER(Upgrades!$I$11,J388)))*(IF(Upgrades!$T$6="Heliopause",POWER(Upgrades!$U$6,E388),1)*IF(Upgrades!$T$7="Heliopause",POWER(Upgrades!$U$7,F388),1)*IF(Upgrades!$T$8="Heliopause",POWER(Upgrades!$U$8,G388),1)*IF(Upgrades!$T$9="Heliopause",POWER(Upgrades!$U$9,H388),1)*IF(Upgrades!$T$10="Heliopause",POWER(Upgrades!$U$10,I388),1)*IF(Upgrades!$T$12="Heliopause",POWER(Upgrades!$U$12,K388),1))+(IF(K388=0,0,(Upgrades!$G$12+K388*Upgrades!$H$12)*POWER(Upgrades!$I$12,K388)))*(IF(Upgrades!$T$6="First Photons",POWER(Upgrades!$U$6,E388),1)*IF(Upgrades!$T$7="First Photons",POWER(Upgrades!$U$7,F388),1)*IF(Upgrades!$T$8="First Photons",POWER(Upgrades!$U$8,G388),1)*IF(Upgrades!$T$9="First Photons",POWER(Upgrades!$U$9,H388),1)*IF(Upgrades!$T$10="First Photons",POWER(Upgrades!$U$10,I388),1)*IF(Upgrades!$T$11="First Photons",POWER(Upgrades!$U$11,J388),1)))*POWER(Upgrades!$P$6,E388)*POWER(Upgrades!$P$7,F388)*POWER(Upgrades!$P$8,G388)*POWER(Upgrades!$P$9,H388)*POWER(Upgrades!$P$10,I388)*POWER(Upgrades!$P$11,J388)*POWER(Upgrades!$P$12,K388)</f>
        <v/>
      </c>
      <c r="O388" s="28">
        <f>((IF(E388=0,0,(Upgrades!$M$6+E388*Upgrades!$N$6)*POWER(Upgrades!$O$6,E388)))*(IF(Upgrades!$T$7="Solar Wind",POWER(Upgrades!$U$7,F388),1)*IF(Upgrades!$T$8="Solar Wind",POWER(Upgrades!$U$8,G388),1)*IF(Upgrades!$T$9="Solar Wind",POWER(Upgrades!$U$9,H388),1)*IF(Upgrades!$T$10="Solar Wind",POWER(Upgrades!$U$10,I388),1)*IF(Upgrades!$T$11="Solar Wind",POWER(Upgrades!$U$11,J388),1)*IF(Upgrades!$T$12="Solar Wind",POWER(Upgrades!$U$12,K388),1))+(IF(F388=0,0,(Upgrades!$M$7+F388*Upgrades!$N$7)*POWER(Upgrades!$O$7,F388)))*(IF(Upgrades!$T$6="Asteroid Belt",POWER(Upgrades!$U$6,E388),1)*IF(Upgrades!$T$8="Asteroid Belt",POWER(Upgrades!$U$8,G388),1)*IF(Upgrades!$T$9="Asteroid Belt",POWER(Upgrades!$U$9,H388),1)*IF(Upgrades!$T$10="Asteroid Belt",POWER(Upgrades!$U$10,I388),1)*IF(Upgrades!$T$11="Asteroid Belt",POWER(Upgrades!$U$11,J388),1)*IF(Upgrades!$T$12="Asteroid Belt",POWER(Upgrades!$U$12,K388),1))+(IF(G388=0,0,(Upgrades!$M$8+G388*Upgrades!$N$8)*POWER(Upgrades!$O$8,G388)))*(IF(Upgrades!$T$6="Stellar Coupling",POWER(Upgrades!$U$6,E388),1)*IF(Upgrades!$T$7="Stellar Coupling",POWER(Upgrades!$U$7,F388),1)*IF(Upgrades!$T$9="Stellar Coupling",POWER(Upgrades!$U$9,H388),1)*IF(Upgrades!$T$10="Stellar Coupling",POWER(Upgrades!$U$10,I388),1)*IF(Upgrades!$T$11="Stellar Coupling",POWER(Upgrades!$U$11,J388),1)*IF(Upgrades!$T$12="Stellar Coupling",POWER(Upgrades!$U$12,K388),1))+(IF(H388=0,0,(Upgrades!$M$9+H388*Upgrades!$N$9)*POWER(Upgrades!$O$9,H388)))*(IF(Upgrades!$T$6="Magnetosphere",POWER(Upgrades!$U$6,E388),1)*IF(Upgrades!$T$7="Magnetosphere",POWER(Upgrades!$U$7,F388),1)*IF(Upgrades!$T$8="Magnetosphere",POWER(Upgrades!$U$8,G388),1)*IF(Upgrades!$T$10="Magnetosphere",POWER(Upgrades!$U$10,I388),1)*IF(Upgrades!$T$11="Magnetosphere",POWER(Upgrades!$U$11,J388),1)*IF(Upgrades!$T$12="Magnetosphere",POWER(Upgrades!$U$12,K388),1))+(IF(I388=0,0,(Upgrades!$M$10+I388*Upgrades!$N$10)*POWER(Upgrades!$O$10,I388)))*(IF(Upgrades!$T$6="Orbital Resonance",POWER(Upgrades!$U$6,E388),1)*IF(Upgrades!$T$7="Orbital Resonance",POWER(Upgrades!$U$7,F388),1)*IF(Upgrades!$T$8="Orbital Resonance",POWER(Upgrades!$U$8,G388),1)*IF(Upgrades!$T$9="Orbital Resonance",POWER(Upgrades!$U$9,H388),1)*IF(Upgrades!$T$11="Orbital Resonance",POWER(Upgrades!$U$11,J388),1)*IF(Upgrades!$T$12="Orbital Resonance",POWER(Upgrades!$U$12,K388),1))+(IF(J388=0,0,(Upgrades!$M$11+J388*Upgrades!$N$11)*POWER(Upgrades!$O$11,J388)))*(IF(Upgrades!$T$6="Heliopause",POWER(Upgrades!$U$6,E388),1)*IF(Upgrades!$T$7="Heliopause",POWER(Upgrades!$U$7,F388),1)*IF(Upgrades!$T$8="Heliopause",POWER(Upgrades!$U$8,G388),1)*IF(Upgrades!$T$9="Heliopause",POWER(Upgrades!$U$9,H388),1)*IF(Upgrades!$T$10="Heliopause",POWER(Upgrades!$U$10,I388),1)*IF(Upgrades!$T$12="Heliopause",POWER(Upgrades!$U$12,K388),1))+(IF(K388=0,0,(Upgrades!$M$12+K388*Upgrades!$N$12)*POWER(Upgrades!$O$12,K388)))*(IF(Upgrades!$T$6="First Photons",POWER(Upgrades!$U$6,E388),1)*IF(Upgrades!$T$7="First Photons",POWER(Upgrades!$U$7,F388),1)*IF(Upgrades!$T$8="First Photons",POWER(Upgrades!$U$8,G388),1)*IF(Upgrades!$T$9="First Photons",POWER(Upgrades!$U$9,H388),1)*IF(Upgrades!$T$10="First Photons",POWER(Upgrades!$U$10,I388),1)*IF(Upgrades!$T$11="First Photons",POWER(Upgrades!$U$11,J388),1)))*POWER(Upgrades!$R$6,E388)*POWER(Upgrades!$R$7,F388)*POWER(Upgrades!$R$8,G388)*POWER(Upgrades!$R$9,H388)*POWER(Upgrades!$R$10,I388)*POWER(Upgrades!$R$11,J388)*POWER(Upgrades!$R$12,K388)</f>
        <v/>
      </c>
      <c r="P388" s="27">
        <f>IF(L388=1,0,M388*Parameters!$B$10/60*Parameters!$B$11*10)</f>
        <v/>
      </c>
      <c r="Q388" s="27">
        <f>IF(L388=1,0,O388*M388*10)</f>
        <v/>
      </c>
      <c r="R388" s="27">
        <f>IF(L388=1,0,N388*10)</f>
        <v/>
      </c>
      <c r="S388" s="27">
        <f>P388+Q388+R388</f>
        <v/>
      </c>
      <c r="T388" s="22">
        <f>C388+S388</f>
        <v/>
      </c>
      <c r="U388" s="33">
        <f>AX388</f>
        <v/>
      </c>
      <c r="V388" s="22">
        <f>IF(U388="",0,IF(U388="transition",0,IF(U388="SW",AG388,IF(U388="AB",AH388,IF(U388="SC",AI388,IF(U388="Mag",AJ388,IF(U388="OR",AK388,IF(U388="HP",AL388,IF(U388="FP",AM388,0)))))))))</f>
        <v/>
      </c>
      <c r="W388" s="27">
        <f>IF(U388="OR",Upgrades!$F$10,IF(U388="HP",Upgrades!$F$11,IF(U388="transition",-Parameters!$B$18,0)))</f>
        <v/>
      </c>
      <c r="X388" s="22">
        <f>T388-V388</f>
        <v/>
      </c>
      <c r="Y388" s="30">
        <f>M388*Parameters!$B$10/60*Parameters!$B$11+O388*M388+N388</f>
        <v/>
      </c>
      <c r="Z388" s="34">
        <f>IF(U388="transition","→ Tier 2 (Stellar Neighborhood)",IF(U388="FP","First Photons — light begins, system quickens",IF(U388="HP","Heliopause acquired",IF(U388="OR","Orbital Resonance — passive multiplier active",IF(AND(AO388=1,L388=0,AN388&lt;&gt;1),"Cohesion ready (waiting on completionist upgrades)","")))))</f>
        <v/>
      </c>
      <c r="AA388" s="27">
        <f>(IF(E388=0,0,(Upgrades!$G$6+E388*Upgrades!$H$6)*POWER(Upgrades!$I$6,E388)))*(IF(Upgrades!$T$7="Solar Wind",POWER(Upgrades!$U$7,F388),1)*IF(Upgrades!$T$8="Solar Wind",POWER(Upgrades!$U$8,G388),1)*IF(Upgrades!$T$9="Solar Wind",POWER(Upgrades!$U$9,H388),1)*IF(Upgrades!$T$10="Solar Wind",POWER(Upgrades!$U$10,I388),1)*IF(Upgrades!$T$11="Solar Wind",POWER(Upgrades!$U$11,J388),1)*IF(Upgrades!$T$12="Solar Wind",POWER(Upgrades!$U$12,K388),1))*POWER(Upgrades!$P$6,E388)*POWER(Upgrades!$P$7,F388)*POWER(Upgrades!$P$8,G388)*POWER(Upgrades!$P$9,H388)*POWER(Upgrades!$P$10,I388)*POWER(Upgrades!$P$11,J388)*POWER(Upgrades!$P$12,K388)*60</f>
        <v/>
      </c>
      <c r="AB388" s="27">
        <f>(IF(F388=0,0,(Upgrades!$G$7+F388*Upgrades!$H$7)*POWER(Upgrades!$I$7,F388)))*(IF(Upgrades!$T$6="Asteroid Belt",POWER(Upgrades!$U$6,E388),1)*IF(Upgrades!$T$8="Asteroid Belt",POWER(Upgrades!$U$8,G388),1)*IF(Upgrades!$T$9="Asteroid Belt",POWER(Upgrades!$U$9,H388),1)*IF(Upgrades!$T$10="Asteroid Belt",POWER(Upgrades!$U$10,I388),1)*IF(Upgrades!$T$11="Asteroid Belt",POWER(Upgrades!$U$11,J388),1)*IF(Upgrades!$T$12="Asteroid Belt",POWER(Upgrades!$U$12,K388),1))*POWER(Upgrades!$P$6,E388)*POWER(Upgrades!$P$7,F388)*POWER(Upgrades!$P$8,G388)*POWER(Upgrades!$P$9,H388)*POWER(Upgrades!$P$10,I388)*POWER(Upgrades!$P$11,J388)*POWER(Upgrades!$P$12,K388)*60</f>
        <v/>
      </c>
      <c r="AC388" s="27">
        <f>(IF(G388=0,0,(Upgrades!$J$8+G388*Upgrades!$K$8)*POWER(Upgrades!$L$8,G388)))*(IF(Upgrades!$T$6="Stellar Coupling",POWER(Upgrades!$U$6,E388),1)*IF(Upgrades!$T$7="Stellar Coupling",POWER(Upgrades!$U$7,F388),1)*IF(Upgrades!$T$9="Stellar Coupling",POWER(Upgrades!$U$9,H388),1)*IF(Upgrades!$T$10="Stellar Coupling",POWER(Upgrades!$U$10,I388),1)*IF(Upgrades!$T$11="Stellar Coupling",POWER(Upgrades!$U$11,J388),1)*IF(Upgrades!$T$12="Stellar Coupling",POWER(Upgrades!$U$12,K388),1))*POWER(Upgrades!$Q$6,E388)*POWER(Upgrades!$Q$7,F388)*POWER(Upgrades!$Q$8,G388)*POWER(Upgrades!$Q$9,H388)*POWER(Upgrades!$Q$10,I388)*POWER(Upgrades!$Q$11,J388)*POWER(Upgrades!$Q$12,K388)*Parameters!$B$10*Parameters!$B$11</f>
        <v/>
      </c>
      <c r="AD388" s="27">
        <f>(IF(H388=0,0,(Upgrades!$G$9+H388*Upgrades!$H$9)*POWER(Upgrades!$I$9,H388)))*(IF(Upgrades!$T$6="Magnetosphere",POWER(Upgrades!$U$6,E388),1)*IF(Upgrades!$T$7="Magnetosphere",POWER(Upgrades!$U$7,F388),1)*IF(Upgrades!$T$8="Magnetosphere",POWER(Upgrades!$U$8,G388),1)*IF(Upgrades!$T$10="Magnetosphere",POWER(Upgrades!$U$10,I388),1)*IF(Upgrades!$T$11="Magnetosphere",POWER(Upgrades!$U$11,J388),1)*IF(Upgrades!$T$12="Magnetosphere",POWER(Upgrades!$U$12,K388),1))*POWER(Upgrades!$P$6,E388)*POWER(Upgrades!$P$7,F388)*POWER(Upgrades!$P$8,G388)*POWER(Upgrades!$P$9,H388)*POWER(Upgrades!$P$10,I388)*POWER(Upgrades!$P$11,J388)*POWER(Upgrades!$P$12,K388)*60</f>
        <v/>
      </c>
      <c r="AE388" s="27">
        <f>(IF(K388=0,0,(Upgrades!$G$12+K388*Upgrades!$H$12)*POWER(Upgrades!$I$12,K388)))*(IF(Upgrades!$T$6="First Photons",POWER(Upgrades!$U$6,E388),1)*IF(Upgrades!$T$7="First Photons",POWER(Upgrades!$U$7,F388),1)*IF(Upgrades!$T$8="First Photons",POWER(Upgrades!$U$8,G388),1)*IF(Upgrades!$T$9="First Photons",POWER(Upgrades!$U$9,H388),1)*IF(Upgrades!$T$10="First Photons",POWER(Upgrades!$U$10,I388),1)*IF(Upgrades!$T$11="First Photons",POWER(Upgrades!$U$11,J388),1))*POWER(Upgrades!$P$6,E388)*POWER(Upgrades!$P$7,F388)*POWER(Upgrades!$P$8,G388)*POWER(Upgrades!$P$9,H388)*POWER(Upgrades!$P$10,I388)*POWER(Upgrades!$P$11,J388)*POWER(Upgrades!$P$12,K388)*60</f>
        <v/>
      </c>
      <c r="AF388" s="27">
        <f>Parameters!$B$9*POWER(Upgrades!$Q$6,E388)*POWER(Upgrades!$Q$7,F388)*POWER(Upgrades!$Q$8,G388)*POWER(Upgrades!$Q$9,H388)*POWER(Upgrades!$Q$10,I388)*POWER(Upgrades!$Q$11,J388)*POWER(Upgrades!$Q$12,K388)*(Parameters!$B$10*Parameters!$B$11+O388*60)</f>
        <v/>
      </c>
      <c r="AG388" s="22">
        <f>IF(E388&gt;=Upgrades!$E$6,"",Upgrades!$C$6*POWER(Upgrades!$D$6,E388))</f>
        <v/>
      </c>
      <c r="AH388" s="22">
        <f>IF(F388&gt;=Upgrades!$E$7,"",Upgrades!$C$7*POWER(Upgrades!$D$7,F388))</f>
        <v/>
      </c>
      <c r="AI388" s="22">
        <f>IF(G388&gt;=Upgrades!$E$8,"",Upgrades!$C$8*POWER(Upgrades!$D$8,G388))</f>
        <v/>
      </c>
      <c r="AJ388" s="22">
        <f>IF(H388&gt;=Upgrades!$E$9,"",Upgrades!$C$9*POWER(Upgrades!$D$9,H388))</f>
        <v/>
      </c>
      <c r="AK388" s="22">
        <f>IF(I388&gt;=Upgrades!$E$10,"",Upgrades!$C$10*POWER(Upgrades!$D$10,I388))</f>
        <v/>
      </c>
      <c r="AL388" s="22">
        <f>IF(J388&gt;=Upgrades!$E$11,"",Upgrades!$C$11*POWER(Upgrades!$D$11,J388))</f>
        <v/>
      </c>
      <c r="AM388" s="22">
        <f>IF(K388&gt;=Upgrades!$E$12,"",Upgrades!$C$12*POWER(Upgrades!$D$12,K388))</f>
        <v/>
      </c>
      <c r="AN388" s="26">
        <f>IF(AND(D388&gt;=Parameters!$B$18,(H388&gt;=Upgrades!$E$9)*(K388&gt;=Upgrades!$E$12)=1,L388=0),1,"")</f>
        <v/>
      </c>
      <c r="AO388" s="26">
        <f>IF(AND(D388&gt;=Parameters!$B$18,L388=0),1,"")</f>
        <v/>
      </c>
      <c r="AP388" s="22">
        <f>MIN(IF(ISNUMBER(AK388),AK388,9E15),IF(ISNUMBER(AL388),AL388,9E15),IF(ISNUMBER(AM388),AM388,9E15))</f>
        <v/>
      </c>
      <c r="AQ388" s="22">
        <f>MIN(IF(ISNUMBER(AG388),AG388,9E15),IF(ISNUMBER(AH388),AH388,9E15),IF(ISNUMBER(AI388),AI388,9E15),IF(ISNUMBER(AJ388),AJ388,9E15))</f>
        <v/>
      </c>
      <c r="AR388" s="29">
        <f>IF(AW388&gt;Parameters!$B$21*(MAX(IF(AND(NOT(AND(AO388=1,AN388&lt;&gt;1)),ISNUMBER(AG388),AG388&lt;=T388),AS388,0),IF(AND(NOT(AND(AO388=1,AN388&lt;&gt;1)),ISNUMBER(AH388),AH388&lt;=T388),AT388,0),IF(AND(NOT(AND(AO388=1,AN388&lt;&gt;1)),ISNUMBER(AI388),AI388&lt;=T388),AU388,0),IF(AND(ISNUMBER(AJ388),AJ388&lt;=T388),AV388,0))),TRUE,FALSE)</f>
        <v/>
      </c>
      <c r="AS388" s="32">
        <f>IFERROR(Upgrades!$H$6*(POWER(Upgrades!$P$6,E388)*POWER(Upgrades!$P$7,F388)*POWER(Upgrades!$P$8,G388)*POWER(Upgrades!$P$9,H388)*POWER(Upgrades!$P$10,I388)*POWER(Upgrades!$P$11,J388)*POWER(Upgrades!$P$12,K388))*(IF(Upgrades!$T$7="Solar Wind",POWER(Upgrades!$U$7,F388),1)*IF(Upgrades!$T$8="Solar Wind",POWER(Upgrades!$U$8,G388),1)*IF(Upgrades!$T$9="Solar Wind",POWER(Upgrades!$U$9,H388),1)*IF(Upgrades!$T$10="Solar Wind",POWER(Upgrades!$U$10,I388),1)*IF(Upgrades!$T$11="Solar Wind",POWER(Upgrades!$U$11,J388),1)*IF(Upgrades!$T$12="Solar Wind",POWER(Upgrades!$U$12,K388),1))/AG388,0)</f>
        <v/>
      </c>
      <c r="AT388" s="32">
        <f>IFERROR(Upgrades!$H$7*(POWER(Upgrades!$P$6,E388)*POWER(Upgrades!$P$7,F388)*POWER(Upgrades!$P$8,G388)*POWER(Upgrades!$P$9,H388)*POWER(Upgrades!$P$10,I388)*POWER(Upgrades!$P$11,J388)*POWER(Upgrades!$P$12,K388))*(IF(Upgrades!$T$6="Asteroid Belt",POWER(Upgrades!$U$6,E388),1)*IF(Upgrades!$T$8="Asteroid Belt",POWER(Upgrades!$U$8,G388),1)*IF(Upgrades!$T$9="Asteroid Belt",POWER(Upgrades!$U$9,H388),1)*IF(Upgrades!$T$10="Asteroid Belt",POWER(Upgrades!$U$10,I388),1)*IF(Upgrades!$T$11="Asteroid Belt",POWER(Upgrades!$U$11,J388),1)*IF(Upgrades!$T$12="Asteroid Belt",POWER(Upgrades!$U$12,K388),1))/AH388,0)</f>
        <v/>
      </c>
      <c r="AU388" s="32">
        <f>IFERROR(Upgrades!$K$8*(POWER(Upgrades!$Q$6,E388)*POWER(Upgrades!$Q$7,F388)*POWER(Upgrades!$Q$8,G388)*POWER(Upgrades!$Q$9,H388)*POWER(Upgrades!$Q$10,I388)*POWER(Upgrades!$Q$11,J388)*POWER(Upgrades!$Q$12,K388))*(IF(Upgrades!$T$6="Stellar Coupling",POWER(Upgrades!$U$6,E388),1)*IF(Upgrades!$T$7="Stellar Coupling",POWER(Upgrades!$U$7,F388),1)*IF(Upgrades!$T$9="Stellar Coupling",POWER(Upgrades!$U$9,H388),1)*IF(Upgrades!$T$10="Stellar Coupling",POWER(Upgrades!$U$10,I388),1)*IF(Upgrades!$T$11="Stellar Coupling",POWER(Upgrades!$U$11,J388),1)*IF(Upgrades!$T$12="Stellar Coupling",POWER(Upgrades!$U$12,K388),1))*Parameters!$B$10*Parameters!$B$11/60/AI388,0)</f>
        <v/>
      </c>
      <c r="AV388" s="32">
        <f>IFERROR(Upgrades!$H$9*(POWER(Upgrades!$P$6,E388)*POWER(Upgrades!$P$7,F388)*POWER(Upgrades!$P$8,G388)*POWER(Upgrades!$P$9,H388)*POWER(Upgrades!$P$10,I388)*POWER(Upgrades!$P$11,J388)*POWER(Upgrades!$P$12,K388))*(IF(Upgrades!$T$6="Magnetosphere",POWER(Upgrades!$U$6,E388),1)*IF(Upgrades!$T$7="Magnetosphere",POWER(Upgrades!$U$7,F388),1)*IF(Upgrades!$T$8="Magnetosphere",POWER(Upgrades!$U$8,G388),1)*IF(Upgrades!$T$10="Magnetosphere",POWER(Upgrades!$U$10,I388),1)*IF(Upgrades!$T$11="Magnetosphere",POWER(Upgrades!$U$11,J388),1)*IF(Upgrades!$T$12="Magnetosphere",POWER(Upgrades!$U$12,K388),1))/AJ388,0)</f>
        <v/>
      </c>
      <c r="AW388" s="32">
        <f>MAX(IF(I388&gt;0,0,IFERROR(0.25*N388/Upgrades!$C$10,0)),IF(J388&gt;0,0,IFERROR(0.5*((IF(G388=0,0,(Upgrades!$J$8+G388*Upgrades!$K$8)*POWER(Upgrades!$L$8,G388)))*(IF(Upgrades!$T$6="Stellar Coupling",POWER(Upgrades!$U$6,E388),1)*IF(Upgrades!$T$7="Stellar Coupling",POWER(Upgrades!$U$7,F388),1)*IF(Upgrades!$T$9="Stellar Coupling",POWER(Upgrades!$U$9,H388),1)*IF(Upgrades!$T$10="Stellar Coupling",POWER(Upgrades!$U$10,I388),1)*IF(Upgrades!$T$11="Stellar Coupling",POWER(Upgrades!$U$11,J388),1)*IF(Upgrades!$T$12="Stellar Coupling",POWER(Upgrades!$U$12,K388),1))*(POWER(Upgrades!$Q$6,E388)*POWER(Upgrades!$Q$7,F388)*POWER(Upgrades!$Q$8,G388)*POWER(Upgrades!$Q$9,H388)*POWER(Upgrades!$Q$10,I388)*POWER(Upgrades!$Q$11,J388)*POWER(Upgrades!$Q$12,K388))*Parameters!$B$10*Parameters!$B$11/60)/Upgrades!$C$11,0)),IF(K388&gt;0,0,IFERROR((1.0*(POWER(Upgrades!$P$6,E388)*POWER(Upgrades!$P$7,F388)*POWER(Upgrades!$P$8,G388)*POWER(Upgrades!$P$9,H388)*POWER(Upgrades!$P$10,I388)*POWER(Upgrades!$P$11,J388)*POWER(Upgrades!$P$12,K388))+0.20*M388*Parameters!$B$10*Parameters!$B$11/60)/Upgrades!$C$12,0)),IF(AND(ISNUMBER(AG388),AG388&gt;T388),AS388,0),IF(AND(ISNUMBER(AH388),AH388&gt;T388),AT388,0),IF(AND(ISNUMBER(AI388),AI388&gt;T388),AU388,0),IF(AND(ISNUMBER(AJ388),AJ388&gt;T388),AV388,0))</f>
        <v/>
      </c>
      <c r="AX388" s="29">
        <f>IF(AN388=1,"transition",IF(MIN(IF(AND(I388=0,ISNUMBER(AK388),AK388&lt;=T388),AK388,9E15),IF(AND(J388=0,ISNUMBER(AL388),AL388&lt;=T388),AL388,9E15),IF(AND(K388=0,ISNUMBER(AM388),AM388&lt;=T388),AM388,9E15))&lt;9E15,IF(AND(AND(I388=0,ISNUMBER(AK388),AK388&lt;=T388),AK388=MIN(IF(AND(I388=0,ISNUMBER(AK388),AK388&lt;=T388),AK388,9E15),IF(AND(J388=0,ISNUMBER(AL388),AL388&lt;=T388),AL388,9E15),IF(AND(K388=0,ISNUMBER(AM388),AM388&lt;=T388),AM388,9E15))),"OR",IF(AND(AND(J388=0,ISNUMBER(AL388),AL388&lt;=T388),AL388=MIN(IF(AND(I388=0,ISNUMBER(AK388),AK388&lt;=T388),AK388,9E15),IF(AND(J388=0,ISNUMBER(AL388),AL388&lt;=T388),AL388,9E15),IF(AND(K388=0,ISNUMBER(AM388),AM388&lt;=T388),AM388,9E15))),"HP","FP")),IF(AR388=TRUE,"",IF(MAX(IF(AND(NOT(AND(AO388=1,AN388&lt;&gt;1)),ISNUMBER(AG388),AG388&lt;=T388),AS388,0),IF(AND(NOT(AND(AO388=1,AN388&lt;&gt;1)),ISNUMBER(AH388),AH388&lt;=T388),AT388,0),IF(AND(NOT(AND(AO388=1,AN388&lt;&gt;1)),ISNUMBER(AI388),AI388&lt;=T388),AU388,0),IF(AND(ISNUMBER(AJ388),AJ388&lt;=T388),AV388,0))&lt;=0,"",IF(AND(IF(AND(NOT(AND(AO388=1,AN388&lt;&gt;1)),ISNUMBER(AG388),AG388&lt;=T388),AS388,0)&gt;0,IF(AND(NOT(AND(AO388=1,AN388&lt;&gt;1)),ISNUMBER(AG388),AG388&lt;=T388),AS388,0)=MAX(IF(AND(NOT(AND(AO388=1,AN388&lt;&gt;1)),ISNUMBER(AG388),AG388&lt;=T388),AS388,0),IF(AND(NOT(AND(AO388=1,AN388&lt;&gt;1)),ISNUMBER(AH388),AH388&lt;=T388),AT388,0),IF(AND(NOT(AND(AO388=1,AN388&lt;&gt;1)),ISNUMBER(AI388),AI388&lt;=T388),AU388,0),IF(AND(ISNUMBER(AJ388),AJ388&lt;=T388),AV388,0))),"SW",IF(AND(IF(AND(NOT(AND(AO388=1,AN388&lt;&gt;1)),ISNUMBER(AH388),AH388&lt;=T388),AT388,0)&gt;0,IF(AND(NOT(AND(AO388=1,AN388&lt;&gt;1)),ISNUMBER(AH388),AH388&lt;=T388),AT388,0)=MAX(IF(AND(NOT(AND(AO388=1,AN388&lt;&gt;1)),ISNUMBER(AG388),AG388&lt;=T388),AS388,0),IF(AND(NOT(AND(AO388=1,AN388&lt;&gt;1)),ISNUMBER(AH388),AH388&lt;=T388),AT388,0),IF(AND(NOT(AND(AO388=1,AN388&lt;&gt;1)),ISNUMBER(AI388),AI388&lt;=T388),AU388,0),IF(AND(ISNUMBER(AJ388),AJ388&lt;=T388),AV388,0))),"AB",IF(AND(IF(AND(NOT(AND(AO388=1,AN388&lt;&gt;1)),ISNUMBER(AI388),AI388&lt;=T388),AU388,0)&gt;0,IF(AND(NOT(AND(AO388=1,AN388&lt;&gt;1)),ISNUMBER(AI388),AI388&lt;=T388),AU388,0)=MAX(IF(AND(NOT(AND(AO388=1,AN388&lt;&gt;1)),ISNUMBER(AG388),AG388&lt;=T388),AS388,0),IF(AND(NOT(AND(AO388=1,AN388&lt;&gt;1)),ISNUMBER(AH388),AH388&lt;=T388),AT388,0),IF(AND(NOT(AND(AO388=1,AN388&lt;&gt;1)),ISNUMBER(AI388),AI388&lt;=T388),AU388,0),IF(AND(ISNUMBER(AJ388),AJ388&lt;=T388),AV388,0))),"SC","Mag")))))))</f>
        <v/>
      </c>
    </row>
    <row r="389">
      <c r="A389" s="26" t="n">
        <v>384</v>
      </c>
      <c r="B389" s="27">
        <f>A389*10/60</f>
        <v/>
      </c>
      <c r="C389" s="22">
        <f>X388</f>
        <v/>
      </c>
      <c r="D389" s="27">
        <f>D388+W388</f>
        <v/>
      </c>
      <c r="E389" s="26">
        <f>E388+IF(U388="SW",1,0)</f>
        <v/>
      </c>
      <c r="F389" s="26">
        <f>F388+IF(U388="AB",1,0)</f>
        <v/>
      </c>
      <c r="G389" s="26">
        <f>G388+IF(U388="SC",1,0)</f>
        <v/>
      </c>
      <c r="H389" s="26">
        <f>H388+IF(U388="Mag",1,0)</f>
        <v/>
      </c>
      <c r="I389" s="26">
        <f>MAX(I388,IF(U388="OR",1,0))</f>
        <v/>
      </c>
      <c r="J389" s="26">
        <f>MAX(J388,IF(U388="HP",1,0))</f>
        <v/>
      </c>
      <c r="K389" s="26">
        <f>MAX(K388,IF(U388="FP",1,0))</f>
        <v/>
      </c>
      <c r="L389" s="26">
        <f>MAX(L388,IF(U388="transition",1,0))</f>
        <v/>
      </c>
      <c r="M389" s="28">
        <f>(Parameters!$B$9+(IF(E389=0,0,(Upgrades!$J$6+E389*Upgrades!$K$6)*POWER(Upgrades!$L$6,E389)))*(IF(Upgrades!$T$7="Solar Wind",POWER(Upgrades!$U$7,F389),1)*IF(Upgrades!$T$8="Solar Wind",POWER(Upgrades!$U$8,G389),1)*IF(Upgrades!$T$9="Solar Wind",POWER(Upgrades!$U$9,H389),1)*IF(Upgrades!$T$10="Solar Wind",POWER(Upgrades!$U$10,I389),1)*IF(Upgrades!$T$11="Solar Wind",POWER(Upgrades!$U$11,J389),1)*IF(Upgrades!$T$12="Solar Wind",POWER(Upgrades!$U$12,K389),1))+(IF(F389=0,0,(Upgrades!$J$7+F389*Upgrades!$K$7)*POWER(Upgrades!$L$7,F389)))*(IF(Upgrades!$T$6="Asteroid Belt",POWER(Upgrades!$U$6,E389),1)*IF(Upgrades!$T$8="Asteroid Belt",POWER(Upgrades!$U$8,G389),1)*IF(Upgrades!$T$9="Asteroid Belt",POWER(Upgrades!$U$9,H389),1)*IF(Upgrades!$T$10="Asteroid Belt",POWER(Upgrades!$U$10,I389),1)*IF(Upgrades!$T$11="Asteroid Belt",POWER(Upgrades!$U$11,J389),1)*IF(Upgrades!$T$12="Asteroid Belt",POWER(Upgrades!$U$12,K389),1))+(IF(G389=0,0,(Upgrades!$J$8+G389*Upgrades!$K$8)*POWER(Upgrades!$L$8,G389)))*(IF(Upgrades!$T$6="Stellar Coupling",POWER(Upgrades!$U$6,E389),1)*IF(Upgrades!$T$7="Stellar Coupling",POWER(Upgrades!$U$7,F389),1)*IF(Upgrades!$T$9="Stellar Coupling",POWER(Upgrades!$U$9,H389),1)*IF(Upgrades!$T$10="Stellar Coupling",POWER(Upgrades!$U$10,I389),1)*IF(Upgrades!$T$11="Stellar Coupling",POWER(Upgrades!$U$11,J389),1)*IF(Upgrades!$T$12="Stellar Coupling",POWER(Upgrades!$U$12,K389),1))+(IF(H389=0,0,(Upgrades!$J$9+H389*Upgrades!$K$9)*POWER(Upgrades!$L$9,H389)))*(IF(Upgrades!$T$6="Magnetosphere",POWER(Upgrades!$U$6,E389),1)*IF(Upgrades!$T$7="Magnetosphere",POWER(Upgrades!$U$7,F389),1)*IF(Upgrades!$T$8="Magnetosphere",POWER(Upgrades!$U$8,G389),1)*IF(Upgrades!$T$10="Magnetosphere",POWER(Upgrades!$U$10,I389),1)*IF(Upgrades!$T$11="Magnetosphere",POWER(Upgrades!$U$11,J389),1)*IF(Upgrades!$T$12="Magnetosphere",POWER(Upgrades!$U$12,K389),1))+(IF(I389=0,0,(Upgrades!$J$10+I389*Upgrades!$K$10)*POWER(Upgrades!$L$10,I389)))*(IF(Upgrades!$T$6="Orbital Resonance",POWER(Upgrades!$U$6,E389),1)*IF(Upgrades!$T$7="Orbital Resonance",POWER(Upgrades!$U$7,F389),1)*IF(Upgrades!$T$8="Orbital Resonance",POWER(Upgrades!$U$8,G389),1)*IF(Upgrades!$T$9="Orbital Resonance",POWER(Upgrades!$U$9,H389),1)*IF(Upgrades!$T$11="Orbital Resonance",POWER(Upgrades!$U$11,J389),1)*IF(Upgrades!$T$12="Orbital Resonance",POWER(Upgrades!$U$12,K389),1))+(IF(J389=0,0,(Upgrades!$J$11+J389*Upgrades!$K$11)*POWER(Upgrades!$L$11,J389)))*(IF(Upgrades!$T$6="Heliopause",POWER(Upgrades!$U$6,E389),1)*IF(Upgrades!$T$7="Heliopause",POWER(Upgrades!$U$7,F389),1)*IF(Upgrades!$T$8="Heliopause",POWER(Upgrades!$U$8,G389),1)*IF(Upgrades!$T$9="Heliopause",POWER(Upgrades!$U$9,H389),1)*IF(Upgrades!$T$10="Heliopause",POWER(Upgrades!$U$10,I389),1)*IF(Upgrades!$T$12="Heliopause",POWER(Upgrades!$U$12,K389),1))+(IF(K389=0,0,(Upgrades!$J$12+K389*Upgrades!$K$12)*POWER(Upgrades!$L$12,K389)))*(IF(Upgrades!$T$6="First Photons",POWER(Upgrades!$U$6,E389),1)*IF(Upgrades!$T$7="First Photons",POWER(Upgrades!$U$7,F389),1)*IF(Upgrades!$T$8="First Photons",POWER(Upgrades!$U$8,G389),1)*IF(Upgrades!$T$9="First Photons",POWER(Upgrades!$U$9,H389),1)*IF(Upgrades!$T$10="First Photons",POWER(Upgrades!$U$10,I389),1)*IF(Upgrades!$T$11="First Photons",POWER(Upgrades!$U$11,J389),1)))*POWER(Upgrades!$Q$6,E389)*POWER(Upgrades!$Q$7,F389)*POWER(Upgrades!$Q$8,G389)*POWER(Upgrades!$Q$9,H389)*POWER(Upgrades!$Q$10,I389)*POWER(Upgrades!$Q$11,J389)*POWER(Upgrades!$Q$12,K389)</f>
        <v/>
      </c>
      <c r="N389" s="28">
        <f>((IF(E389=0,0,(Upgrades!$G$6+E389*Upgrades!$H$6)*POWER(Upgrades!$I$6,E389)))*(IF(Upgrades!$T$7="Solar Wind",POWER(Upgrades!$U$7,F389),1)*IF(Upgrades!$T$8="Solar Wind",POWER(Upgrades!$U$8,G389),1)*IF(Upgrades!$T$9="Solar Wind",POWER(Upgrades!$U$9,H389),1)*IF(Upgrades!$T$10="Solar Wind",POWER(Upgrades!$U$10,I389),1)*IF(Upgrades!$T$11="Solar Wind",POWER(Upgrades!$U$11,J389),1)*IF(Upgrades!$T$12="Solar Wind",POWER(Upgrades!$U$12,K389),1))+(IF(F389=0,0,(Upgrades!$G$7+F389*Upgrades!$H$7)*POWER(Upgrades!$I$7,F389)))*(IF(Upgrades!$T$6="Asteroid Belt",POWER(Upgrades!$U$6,E389),1)*IF(Upgrades!$T$8="Asteroid Belt",POWER(Upgrades!$U$8,G389),1)*IF(Upgrades!$T$9="Asteroid Belt",POWER(Upgrades!$U$9,H389),1)*IF(Upgrades!$T$10="Asteroid Belt",POWER(Upgrades!$U$10,I389),1)*IF(Upgrades!$T$11="Asteroid Belt",POWER(Upgrades!$U$11,J389),1)*IF(Upgrades!$T$12="Asteroid Belt",POWER(Upgrades!$U$12,K389),1))+(IF(G389=0,0,(Upgrades!$G$8+G389*Upgrades!$H$8)*POWER(Upgrades!$I$8,G389)))*(IF(Upgrades!$T$6="Stellar Coupling",POWER(Upgrades!$U$6,E389),1)*IF(Upgrades!$T$7="Stellar Coupling",POWER(Upgrades!$U$7,F389),1)*IF(Upgrades!$T$9="Stellar Coupling",POWER(Upgrades!$U$9,H389),1)*IF(Upgrades!$T$10="Stellar Coupling",POWER(Upgrades!$U$10,I389),1)*IF(Upgrades!$T$11="Stellar Coupling",POWER(Upgrades!$U$11,J389),1)*IF(Upgrades!$T$12="Stellar Coupling",POWER(Upgrades!$U$12,K389),1))+(IF(H389=0,0,(Upgrades!$G$9+H389*Upgrades!$H$9)*POWER(Upgrades!$I$9,H389)))*(IF(Upgrades!$T$6="Magnetosphere",POWER(Upgrades!$U$6,E389),1)*IF(Upgrades!$T$7="Magnetosphere",POWER(Upgrades!$U$7,F389),1)*IF(Upgrades!$T$8="Magnetosphere",POWER(Upgrades!$U$8,G389),1)*IF(Upgrades!$T$10="Magnetosphere",POWER(Upgrades!$U$10,I389),1)*IF(Upgrades!$T$11="Magnetosphere",POWER(Upgrades!$U$11,J389),1)*IF(Upgrades!$T$12="Magnetosphere",POWER(Upgrades!$U$12,K389),1))+(IF(I389=0,0,(Upgrades!$G$10+I389*Upgrades!$H$10)*POWER(Upgrades!$I$10,I389)))*(IF(Upgrades!$T$6="Orbital Resonance",POWER(Upgrades!$U$6,E389),1)*IF(Upgrades!$T$7="Orbital Resonance",POWER(Upgrades!$U$7,F389),1)*IF(Upgrades!$T$8="Orbital Resonance",POWER(Upgrades!$U$8,G389),1)*IF(Upgrades!$T$9="Orbital Resonance",POWER(Upgrades!$U$9,H389),1)*IF(Upgrades!$T$11="Orbital Resonance",POWER(Upgrades!$U$11,J389),1)*IF(Upgrades!$T$12="Orbital Resonance",POWER(Upgrades!$U$12,K389),1))+(IF(J389=0,0,(Upgrades!$G$11+J389*Upgrades!$H$11)*POWER(Upgrades!$I$11,J389)))*(IF(Upgrades!$T$6="Heliopause",POWER(Upgrades!$U$6,E389),1)*IF(Upgrades!$T$7="Heliopause",POWER(Upgrades!$U$7,F389),1)*IF(Upgrades!$T$8="Heliopause",POWER(Upgrades!$U$8,G389),1)*IF(Upgrades!$T$9="Heliopause",POWER(Upgrades!$U$9,H389),1)*IF(Upgrades!$T$10="Heliopause",POWER(Upgrades!$U$10,I389),1)*IF(Upgrades!$T$12="Heliopause",POWER(Upgrades!$U$12,K389),1))+(IF(K389=0,0,(Upgrades!$G$12+K389*Upgrades!$H$12)*POWER(Upgrades!$I$12,K389)))*(IF(Upgrades!$T$6="First Photons",POWER(Upgrades!$U$6,E389),1)*IF(Upgrades!$T$7="First Photons",POWER(Upgrades!$U$7,F389),1)*IF(Upgrades!$T$8="First Photons",POWER(Upgrades!$U$8,G389),1)*IF(Upgrades!$T$9="First Photons",POWER(Upgrades!$U$9,H389),1)*IF(Upgrades!$T$10="First Photons",POWER(Upgrades!$U$10,I389),1)*IF(Upgrades!$T$11="First Photons",POWER(Upgrades!$U$11,J389),1)))*POWER(Upgrades!$P$6,E389)*POWER(Upgrades!$P$7,F389)*POWER(Upgrades!$P$8,G389)*POWER(Upgrades!$P$9,H389)*POWER(Upgrades!$P$10,I389)*POWER(Upgrades!$P$11,J389)*POWER(Upgrades!$P$12,K389)</f>
        <v/>
      </c>
      <c r="O389" s="28">
        <f>((IF(E389=0,0,(Upgrades!$M$6+E389*Upgrades!$N$6)*POWER(Upgrades!$O$6,E389)))*(IF(Upgrades!$T$7="Solar Wind",POWER(Upgrades!$U$7,F389),1)*IF(Upgrades!$T$8="Solar Wind",POWER(Upgrades!$U$8,G389),1)*IF(Upgrades!$T$9="Solar Wind",POWER(Upgrades!$U$9,H389),1)*IF(Upgrades!$T$10="Solar Wind",POWER(Upgrades!$U$10,I389),1)*IF(Upgrades!$T$11="Solar Wind",POWER(Upgrades!$U$11,J389),1)*IF(Upgrades!$T$12="Solar Wind",POWER(Upgrades!$U$12,K389),1))+(IF(F389=0,0,(Upgrades!$M$7+F389*Upgrades!$N$7)*POWER(Upgrades!$O$7,F389)))*(IF(Upgrades!$T$6="Asteroid Belt",POWER(Upgrades!$U$6,E389),1)*IF(Upgrades!$T$8="Asteroid Belt",POWER(Upgrades!$U$8,G389),1)*IF(Upgrades!$T$9="Asteroid Belt",POWER(Upgrades!$U$9,H389),1)*IF(Upgrades!$T$10="Asteroid Belt",POWER(Upgrades!$U$10,I389),1)*IF(Upgrades!$T$11="Asteroid Belt",POWER(Upgrades!$U$11,J389),1)*IF(Upgrades!$T$12="Asteroid Belt",POWER(Upgrades!$U$12,K389),1))+(IF(G389=0,0,(Upgrades!$M$8+G389*Upgrades!$N$8)*POWER(Upgrades!$O$8,G389)))*(IF(Upgrades!$T$6="Stellar Coupling",POWER(Upgrades!$U$6,E389),1)*IF(Upgrades!$T$7="Stellar Coupling",POWER(Upgrades!$U$7,F389),1)*IF(Upgrades!$T$9="Stellar Coupling",POWER(Upgrades!$U$9,H389),1)*IF(Upgrades!$T$10="Stellar Coupling",POWER(Upgrades!$U$10,I389),1)*IF(Upgrades!$T$11="Stellar Coupling",POWER(Upgrades!$U$11,J389),1)*IF(Upgrades!$T$12="Stellar Coupling",POWER(Upgrades!$U$12,K389),1))+(IF(H389=0,0,(Upgrades!$M$9+H389*Upgrades!$N$9)*POWER(Upgrades!$O$9,H389)))*(IF(Upgrades!$T$6="Magnetosphere",POWER(Upgrades!$U$6,E389),1)*IF(Upgrades!$T$7="Magnetosphere",POWER(Upgrades!$U$7,F389),1)*IF(Upgrades!$T$8="Magnetosphere",POWER(Upgrades!$U$8,G389),1)*IF(Upgrades!$T$10="Magnetosphere",POWER(Upgrades!$U$10,I389),1)*IF(Upgrades!$T$11="Magnetosphere",POWER(Upgrades!$U$11,J389),1)*IF(Upgrades!$T$12="Magnetosphere",POWER(Upgrades!$U$12,K389),1))+(IF(I389=0,0,(Upgrades!$M$10+I389*Upgrades!$N$10)*POWER(Upgrades!$O$10,I389)))*(IF(Upgrades!$T$6="Orbital Resonance",POWER(Upgrades!$U$6,E389),1)*IF(Upgrades!$T$7="Orbital Resonance",POWER(Upgrades!$U$7,F389),1)*IF(Upgrades!$T$8="Orbital Resonance",POWER(Upgrades!$U$8,G389),1)*IF(Upgrades!$T$9="Orbital Resonance",POWER(Upgrades!$U$9,H389),1)*IF(Upgrades!$T$11="Orbital Resonance",POWER(Upgrades!$U$11,J389),1)*IF(Upgrades!$T$12="Orbital Resonance",POWER(Upgrades!$U$12,K389),1))+(IF(J389=0,0,(Upgrades!$M$11+J389*Upgrades!$N$11)*POWER(Upgrades!$O$11,J389)))*(IF(Upgrades!$T$6="Heliopause",POWER(Upgrades!$U$6,E389),1)*IF(Upgrades!$T$7="Heliopause",POWER(Upgrades!$U$7,F389),1)*IF(Upgrades!$T$8="Heliopause",POWER(Upgrades!$U$8,G389),1)*IF(Upgrades!$T$9="Heliopause",POWER(Upgrades!$U$9,H389),1)*IF(Upgrades!$T$10="Heliopause",POWER(Upgrades!$U$10,I389),1)*IF(Upgrades!$T$12="Heliopause",POWER(Upgrades!$U$12,K389),1))+(IF(K389=0,0,(Upgrades!$M$12+K389*Upgrades!$N$12)*POWER(Upgrades!$O$12,K389)))*(IF(Upgrades!$T$6="First Photons",POWER(Upgrades!$U$6,E389),1)*IF(Upgrades!$T$7="First Photons",POWER(Upgrades!$U$7,F389),1)*IF(Upgrades!$T$8="First Photons",POWER(Upgrades!$U$8,G389),1)*IF(Upgrades!$T$9="First Photons",POWER(Upgrades!$U$9,H389),1)*IF(Upgrades!$T$10="First Photons",POWER(Upgrades!$U$10,I389),1)*IF(Upgrades!$T$11="First Photons",POWER(Upgrades!$U$11,J389),1)))*POWER(Upgrades!$R$6,E389)*POWER(Upgrades!$R$7,F389)*POWER(Upgrades!$R$8,G389)*POWER(Upgrades!$R$9,H389)*POWER(Upgrades!$R$10,I389)*POWER(Upgrades!$R$11,J389)*POWER(Upgrades!$R$12,K389)</f>
        <v/>
      </c>
      <c r="P389" s="27">
        <f>IF(L389=1,0,M389*Parameters!$B$10/60*Parameters!$B$11*10)</f>
        <v/>
      </c>
      <c r="Q389" s="27">
        <f>IF(L389=1,0,O389*M389*10)</f>
        <v/>
      </c>
      <c r="R389" s="27">
        <f>IF(L389=1,0,N389*10)</f>
        <v/>
      </c>
      <c r="S389" s="27">
        <f>P389+Q389+R389</f>
        <v/>
      </c>
      <c r="T389" s="22">
        <f>C389+S389</f>
        <v/>
      </c>
      <c r="U389" s="33">
        <f>AX389</f>
        <v/>
      </c>
      <c r="V389" s="22">
        <f>IF(U389="",0,IF(U389="transition",0,IF(U389="SW",AG389,IF(U389="AB",AH389,IF(U389="SC",AI389,IF(U389="Mag",AJ389,IF(U389="OR",AK389,IF(U389="HP",AL389,IF(U389="FP",AM389,0)))))))))</f>
        <v/>
      </c>
      <c r="W389" s="27">
        <f>IF(U389="OR",Upgrades!$F$10,IF(U389="HP",Upgrades!$F$11,IF(U389="transition",-Parameters!$B$18,0)))</f>
        <v/>
      </c>
      <c r="X389" s="22">
        <f>T389-V389</f>
        <v/>
      </c>
      <c r="Y389" s="30">
        <f>M389*Parameters!$B$10/60*Parameters!$B$11+O389*M389+N389</f>
        <v/>
      </c>
      <c r="Z389" s="34">
        <f>IF(U389="transition","→ Tier 2 (Stellar Neighborhood)",IF(U389="FP","First Photons — light begins, system quickens",IF(U389="HP","Heliopause acquired",IF(U389="OR","Orbital Resonance — passive multiplier active",IF(AND(AO389=1,L389=0,AN389&lt;&gt;1),"Cohesion ready (waiting on completionist upgrades)","")))))</f>
        <v/>
      </c>
      <c r="AA389" s="27">
        <f>(IF(E389=0,0,(Upgrades!$G$6+E389*Upgrades!$H$6)*POWER(Upgrades!$I$6,E389)))*(IF(Upgrades!$T$7="Solar Wind",POWER(Upgrades!$U$7,F389),1)*IF(Upgrades!$T$8="Solar Wind",POWER(Upgrades!$U$8,G389),1)*IF(Upgrades!$T$9="Solar Wind",POWER(Upgrades!$U$9,H389),1)*IF(Upgrades!$T$10="Solar Wind",POWER(Upgrades!$U$10,I389),1)*IF(Upgrades!$T$11="Solar Wind",POWER(Upgrades!$U$11,J389),1)*IF(Upgrades!$T$12="Solar Wind",POWER(Upgrades!$U$12,K389),1))*POWER(Upgrades!$P$6,E389)*POWER(Upgrades!$P$7,F389)*POWER(Upgrades!$P$8,G389)*POWER(Upgrades!$P$9,H389)*POWER(Upgrades!$P$10,I389)*POWER(Upgrades!$P$11,J389)*POWER(Upgrades!$P$12,K389)*60</f>
        <v/>
      </c>
      <c r="AB389" s="27">
        <f>(IF(F389=0,0,(Upgrades!$G$7+F389*Upgrades!$H$7)*POWER(Upgrades!$I$7,F389)))*(IF(Upgrades!$T$6="Asteroid Belt",POWER(Upgrades!$U$6,E389),1)*IF(Upgrades!$T$8="Asteroid Belt",POWER(Upgrades!$U$8,G389),1)*IF(Upgrades!$T$9="Asteroid Belt",POWER(Upgrades!$U$9,H389),1)*IF(Upgrades!$T$10="Asteroid Belt",POWER(Upgrades!$U$10,I389),1)*IF(Upgrades!$T$11="Asteroid Belt",POWER(Upgrades!$U$11,J389),1)*IF(Upgrades!$T$12="Asteroid Belt",POWER(Upgrades!$U$12,K389),1))*POWER(Upgrades!$P$6,E389)*POWER(Upgrades!$P$7,F389)*POWER(Upgrades!$P$8,G389)*POWER(Upgrades!$P$9,H389)*POWER(Upgrades!$P$10,I389)*POWER(Upgrades!$P$11,J389)*POWER(Upgrades!$P$12,K389)*60</f>
        <v/>
      </c>
      <c r="AC389" s="27">
        <f>(IF(G389=0,0,(Upgrades!$J$8+G389*Upgrades!$K$8)*POWER(Upgrades!$L$8,G389)))*(IF(Upgrades!$T$6="Stellar Coupling",POWER(Upgrades!$U$6,E389),1)*IF(Upgrades!$T$7="Stellar Coupling",POWER(Upgrades!$U$7,F389),1)*IF(Upgrades!$T$9="Stellar Coupling",POWER(Upgrades!$U$9,H389),1)*IF(Upgrades!$T$10="Stellar Coupling",POWER(Upgrades!$U$10,I389),1)*IF(Upgrades!$T$11="Stellar Coupling",POWER(Upgrades!$U$11,J389),1)*IF(Upgrades!$T$12="Stellar Coupling",POWER(Upgrades!$U$12,K389),1))*POWER(Upgrades!$Q$6,E389)*POWER(Upgrades!$Q$7,F389)*POWER(Upgrades!$Q$8,G389)*POWER(Upgrades!$Q$9,H389)*POWER(Upgrades!$Q$10,I389)*POWER(Upgrades!$Q$11,J389)*POWER(Upgrades!$Q$12,K389)*Parameters!$B$10*Parameters!$B$11</f>
        <v/>
      </c>
      <c r="AD389" s="27">
        <f>(IF(H389=0,0,(Upgrades!$G$9+H389*Upgrades!$H$9)*POWER(Upgrades!$I$9,H389)))*(IF(Upgrades!$T$6="Magnetosphere",POWER(Upgrades!$U$6,E389),1)*IF(Upgrades!$T$7="Magnetosphere",POWER(Upgrades!$U$7,F389),1)*IF(Upgrades!$T$8="Magnetosphere",POWER(Upgrades!$U$8,G389),1)*IF(Upgrades!$T$10="Magnetosphere",POWER(Upgrades!$U$10,I389),1)*IF(Upgrades!$T$11="Magnetosphere",POWER(Upgrades!$U$11,J389),1)*IF(Upgrades!$T$12="Magnetosphere",POWER(Upgrades!$U$12,K389),1))*POWER(Upgrades!$P$6,E389)*POWER(Upgrades!$P$7,F389)*POWER(Upgrades!$P$8,G389)*POWER(Upgrades!$P$9,H389)*POWER(Upgrades!$P$10,I389)*POWER(Upgrades!$P$11,J389)*POWER(Upgrades!$P$12,K389)*60</f>
        <v/>
      </c>
      <c r="AE389" s="27">
        <f>(IF(K389=0,0,(Upgrades!$G$12+K389*Upgrades!$H$12)*POWER(Upgrades!$I$12,K389)))*(IF(Upgrades!$T$6="First Photons",POWER(Upgrades!$U$6,E389),1)*IF(Upgrades!$T$7="First Photons",POWER(Upgrades!$U$7,F389),1)*IF(Upgrades!$T$8="First Photons",POWER(Upgrades!$U$8,G389),1)*IF(Upgrades!$T$9="First Photons",POWER(Upgrades!$U$9,H389),1)*IF(Upgrades!$T$10="First Photons",POWER(Upgrades!$U$10,I389),1)*IF(Upgrades!$T$11="First Photons",POWER(Upgrades!$U$11,J389),1))*POWER(Upgrades!$P$6,E389)*POWER(Upgrades!$P$7,F389)*POWER(Upgrades!$P$8,G389)*POWER(Upgrades!$P$9,H389)*POWER(Upgrades!$P$10,I389)*POWER(Upgrades!$P$11,J389)*POWER(Upgrades!$P$12,K389)*60</f>
        <v/>
      </c>
      <c r="AF389" s="27">
        <f>Parameters!$B$9*POWER(Upgrades!$Q$6,E389)*POWER(Upgrades!$Q$7,F389)*POWER(Upgrades!$Q$8,G389)*POWER(Upgrades!$Q$9,H389)*POWER(Upgrades!$Q$10,I389)*POWER(Upgrades!$Q$11,J389)*POWER(Upgrades!$Q$12,K389)*(Parameters!$B$10*Parameters!$B$11+O389*60)</f>
        <v/>
      </c>
      <c r="AG389" s="22">
        <f>IF(E389&gt;=Upgrades!$E$6,"",Upgrades!$C$6*POWER(Upgrades!$D$6,E389))</f>
        <v/>
      </c>
      <c r="AH389" s="22">
        <f>IF(F389&gt;=Upgrades!$E$7,"",Upgrades!$C$7*POWER(Upgrades!$D$7,F389))</f>
        <v/>
      </c>
      <c r="AI389" s="22">
        <f>IF(G389&gt;=Upgrades!$E$8,"",Upgrades!$C$8*POWER(Upgrades!$D$8,G389))</f>
        <v/>
      </c>
      <c r="AJ389" s="22">
        <f>IF(H389&gt;=Upgrades!$E$9,"",Upgrades!$C$9*POWER(Upgrades!$D$9,H389))</f>
        <v/>
      </c>
      <c r="AK389" s="22">
        <f>IF(I389&gt;=Upgrades!$E$10,"",Upgrades!$C$10*POWER(Upgrades!$D$10,I389))</f>
        <v/>
      </c>
      <c r="AL389" s="22">
        <f>IF(J389&gt;=Upgrades!$E$11,"",Upgrades!$C$11*POWER(Upgrades!$D$11,J389))</f>
        <v/>
      </c>
      <c r="AM389" s="22">
        <f>IF(K389&gt;=Upgrades!$E$12,"",Upgrades!$C$12*POWER(Upgrades!$D$12,K389))</f>
        <v/>
      </c>
      <c r="AN389" s="26">
        <f>IF(AND(D389&gt;=Parameters!$B$18,(H389&gt;=Upgrades!$E$9)*(K389&gt;=Upgrades!$E$12)=1,L389=0),1,"")</f>
        <v/>
      </c>
      <c r="AO389" s="26">
        <f>IF(AND(D389&gt;=Parameters!$B$18,L389=0),1,"")</f>
        <v/>
      </c>
      <c r="AP389" s="22">
        <f>MIN(IF(ISNUMBER(AK389),AK389,9E15),IF(ISNUMBER(AL389),AL389,9E15),IF(ISNUMBER(AM389),AM389,9E15))</f>
        <v/>
      </c>
      <c r="AQ389" s="22">
        <f>MIN(IF(ISNUMBER(AG389),AG389,9E15),IF(ISNUMBER(AH389),AH389,9E15),IF(ISNUMBER(AI389),AI389,9E15),IF(ISNUMBER(AJ389),AJ389,9E15))</f>
        <v/>
      </c>
      <c r="AR389" s="29">
        <f>IF(AW389&gt;Parameters!$B$21*(MAX(IF(AND(NOT(AND(AO389=1,AN389&lt;&gt;1)),ISNUMBER(AG389),AG389&lt;=T389),AS389,0),IF(AND(NOT(AND(AO389=1,AN389&lt;&gt;1)),ISNUMBER(AH389),AH389&lt;=T389),AT389,0),IF(AND(NOT(AND(AO389=1,AN389&lt;&gt;1)),ISNUMBER(AI389),AI389&lt;=T389),AU389,0),IF(AND(ISNUMBER(AJ389),AJ389&lt;=T389),AV389,0))),TRUE,FALSE)</f>
        <v/>
      </c>
      <c r="AS389" s="32">
        <f>IFERROR(Upgrades!$H$6*(POWER(Upgrades!$P$6,E389)*POWER(Upgrades!$P$7,F389)*POWER(Upgrades!$P$8,G389)*POWER(Upgrades!$P$9,H389)*POWER(Upgrades!$P$10,I389)*POWER(Upgrades!$P$11,J389)*POWER(Upgrades!$P$12,K389))*(IF(Upgrades!$T$7="Solar Wind",POWER(Upgrades!$U$7,F389),1)*IF(Upgrades!$T$8="Solar Wind",POWER(Upgrades!$U$8,G389),1)*IF(Upgrades!$T$9="Solar Wind",POWER(Upgrades!$U$9,H389),1)*IF(Upgrades!$T$10="Solar Wind",POWER(Upgrades!$U$10,I389),1)*IF(Upgrades!$T$11="Solar Wind",POWER(Upgrades!$U$11,J389),1)*IF(Upgrades!$T$12="Solar Wind",POWER(Upgrades!$U$12,K389),1))/AG389,0)</f>
        <v/>
      </c>
      <c r="AT389" s="32">
        <f>IFERROR(Upgrades!$H$7*(POWER(Upgrades!$P$6,E389)*POWER(Upgrades!$P$7,F389)*POWER(Upgrades!$P$8,G389)*POWER(Upgrades!$P$9,H389)*POWER(Upgrades!$P$10,I389)*POWER(Upgrades!$P$11,J389)*POWER(Upgrades!$P$12,K389))*(IF(Upgrades!$T$6="Asteroid Belt",POWER(Upgrades!$U$6,E389),1)*IF(Upgrades!$T$8="Asteroid Belt",POWER(Upgrades!$U$8,G389),1)*IF(Upgrades!$T$9="Asteroid Belt",POWER(Upgrades!$U$9,H389),1)*IF(Upgrades!$T$10="Asteroid Belt",POWER(Upgrades!$U$10,I389),1)*IF(Upgrades!$T$11="Asteroid Belt",POWER(Upgrades!$U$11,J389),1)*IF(Upgrades!$T$12="Asteroid Belt",POWER(Upgrades!$U$12,K389),1))/AH389,0)</f>
        <v/>
      </c>
      <c r="AU389" s="32">
        <f>IFERROR(Upgrades!$K$8*(POWER(Upgrades!$Q$6,E389)*POWER(Upgrades!$Q$7,F389)*POWER(Upgrades!$Q$8,G389)*POWER(Upgrades!$Q$9,H389)*POWER(Upgrades!$Q$10,I389)*POWER(Upgrades!$Q$11,J389)*POWER(Upgrades!$Q$12,K389))*(IF(Upgrades!$T$6="Stellar Coupling",POWER(Upgrades!$U$6,E389),1)*IF(Upgrades!$T$7="Stellar Coupling",POWER(Upgrades!$U$7,F389),1)*IF(Upgrades!$T$9="Stellar Coupling",POWER(Upgrades!$U$9,H389),1)*IF(Upgrades!$T$10="Stellar Coupling",POWER(Upgrades!$U$10,I389),1)*IF(Upgrades!$T$11="Stellar Coupling",POWER(Upgrades!$U$11,J389),1)*IF(Upgrades!$T$12="Stellar Coupling",POWER(Upgrades!$U$12,K389),1))*Parameters!$B$10*Parameters!$B$11/60/AI389,0)</f>
        <v/>
      </c>
      <c r="AV389" s="32">
        <f>IFERROR(Upgrades!$H$9*(POWER(Upgrades!$P$6,E389)*POWER(Upgrades!$P$7,F389)*POWER(Upgrades!$P$8,G389)*POWER(Upgrades!$P$9,H389)*POWER(Upgrades!$P$10,I389)*POWER(Upgrades!$P$11,J389)*POWER(Upgrades!$P$12,K389))*(IF(Upgrades!$T$6="Magnetosphere",POWER(Upgrades!$U$6,E389),1)*IF(Upgrades!$T$7="Magnetosphere",POWER(Upgrades!$U$7,F389),1)*IF(Upgrades!$T$8="Magnetosphere",POWER(Upgrades!$U$8,G389),1)*IF(Upgrades!$T$10="Magnetosphere",POWER(Upgrades!$U$10,I389),1)*IF(Upgrades!$T$11="Magnetosphere",POWER(Upgrades!$U$11,J389),1)*IF(Upgrades!$T$12="Magnetosphere",POWER(Upgrades!$U$12,K389),1))/AJ389,0)</f>
        <v/>
      </c>
      <c r="AW389" s="32">
        <f>MAX(IF(I389&gt;0,0,IFERROR(0.25*N389/Upgrades!$C$10,0)),IF(J389&gt;0,0,IFERROR(0.5*((IF(G389=0,0,(Upgrades!$J$8+G389*Upgrades!$K$8)*POWER(Upgrades!$L$8,G389)))*(IF(Upgrades!$T$6="Stellar Coupling",POWER(Upgrades!$U$6,E389),1)*IF(Upgrades!$T$7="Stellar Coupling",POWER(Upgrades!$U$7,F389),1)*IF(Upgrades!$T$9="Stellar Coupling",POWER(Upgrades!$U$9,H389),1)*IF(Upgrades!$T$10="Stellar Coupling",POWER(Upgrades!$U$10,I389),1)*IF(Upgrades!$T$11="Stellar Coupling",POWER(Upgrades!$U$11,J389),1)*IF(Upgrades!$T$12="Stellar Coupling",POWER(Upgrades!$U$12,K389),1))*(POWER(Upgrades!$Q$6,E389)*POWER(Upgrades!$Q$7,F389)*POWER(Upgrades!$Q$8,G389)*POWER(Upgrades!$Q$9,H389)*POWER(Upgrades!$Q$10,I389)*POWER(Upgrades!$Q$11,J389)*POWER(Upgrades!$Q$12,K389))*Parameters!$B$10*Parameters!$B$11/60)/Upgrades!$C$11,0)),IF(K389&gt;0,0,IFERROR((1.0*(POWER(Upgrades!$P$6,E389)*POWER(Upgrades!$P$7,F389)*POWER(Upgrades!$P$8,G389)*POWER(Upgrades!$P$9,H389)*POWER(Upgrades!$P$10,I389)*POWER(Upgrades!$P$11,J389)*POWER(Upgrades!$P$12,K389))+0.20*M389*Parameters!$B$10*Parameters!$B$11/60)/Upgrades!$C$12,0)),IF(AND(ISNUMBER(AG389),AG389&gt;T389),AS389,0),IF(AND(ISNUMBER(AH389),AH389&gt;T389),AT389,0),IF(AND(ISNUMBER(AI389),AI389&gt;T389),AU389,0),IF(AND(ISNUMBER(AJ389),AJ389&gt;T389),AV389,0))</f>
        <v/>
      </c>
      <c r="AX389" s="29">
        <f>IF(AN389=1,"transition",IF(MIN(IF(AND(I389=0,ISNUMBER(AK389),AK389&lt;=T389),AK389,9E15),IF(AND(J389=0,ISNUMBER(AL389),AL389&lt;=T389),AL389,9E15),IF(AND(K389=0,ISNUMBER(AM389),AM389&lt;=T389),AM389,9E15))&lt;9E15,IF(AND(AND(I389=0,ISNUMBER(AK389),AK389&lt;=T389),AK389=MIN(IF(AND(I389=0,ISNUMBER(AK389),AK389&lt;=T389),AK389,9E15),IF(AND(J389=0,ISNUMBER(AL389),AL389&lt;=T389),AL389,9E15),IF(AND(K389=0,ISNUMBER(AM389),AM389&lt;=T389),AM389,9E15))),"OR",IF(AND(AND(J389=0,ISNUMBER(AL389),AL389&lt;=T389),AL389=MIN(IF(AND(I389=0,ISNUMBER(AK389),AK389&lt;=T389),AK389,9E15),IF(AND(J389=0,ISNUMBER(AL389),AL389&lt;=T389),AL389,9E15),IF(AND(K389=0,ISNUMBER(AM389),AM389&lt;=T389),AM389,9E15))),"HP","FP")),IF(AR389=TRUE,"",IF(MAX(IF(AND(NOT(AND(AO389=1,AN389&lt;&gt;1)),ISNUMBER(AG389),AG389&lt;=T389),AS389,0),IF(AND(NOT(AND(AO389=1,AN389&lt;&gt;1)),ISNUMBER(AH389),AH389&lt;=T389),AT389,0),IF(AND(NOT(AND(AO389=1,AN389&lt;&gt;1)),ISNUMBER(AI389),AI389&lt;=T389),AU389,0),IF(AND(ISNUMBER(AJ389),AJ389&lt;=T389),AV389,0))&lt;=0,"",IF(AND(IF(AND(NOT(AND(AO389=1,AN389&lt;&gt;1)),ISNUMBER(AG389),AG389&lt;=T389),AS389,0)&gt;0,IF(AND(NOT(AND(AO389=1,AN389&lt;&gt;1)),ISNUMBER(AG389),AG389&lt;=T389),AS389,0)=MAX(IF(AND(NOT(AND(AO389=1,AN389&lt;&gt;1)),ISNUMBER(AG389),AG389&lt;=T389),AS389,0),IF(AND(NOT(AND(AO389=1,AN389&lt;&gt;1)),ISNUMBER(AH389),AH389&lt;=T389),AT389,0),IF(AND(NOT(AND(AO389=1,AN389&lt;&gt;1)),ISNUMBER(AI389),AI389&lt;=T389),AU389,0),IF(AND(ISNUMBER(AJ389),AJ389&lt;=T389),AV389,0))),"SW",IF(AND(IF(AND(NOT(AND(AO389=1,AN389&lt;&gt;1)),ISNUMBER(AH389),AH389&lt;=T389),AT389,0)&gt;0,IF(AND(NOT(AND(AO389=1,AN389&lt;&gt;1)),ISNUMBER(AH389),AH389&lt;=T389),AT389,0)=MAX(IF(AND(NOT(AND(AO389=1,AN389&lt;&gt;1)),ISNUMBER(AG389),AG389&lt;=T389),AS389,0),IF(AND(NOT(AND(AO389=1,AN389&lt;&gt;1)),ISNUMBER(AH389),AH389&lt;=T389),AT389,0),IF(AND(NOT(AND(AO389=1,AN389&lt;&gt;1)),ISNUMBER(AI389),AI389&lt;=T389),AU389,0),IF(AND(ISNUMBER(AJ389),AJ389&lt;=T389),AV389,0))),"AB",IF(AND(IF(AND(NOT(AND(AO389=1,AN389&lt;&gt;1)),ISNUMBER(AI389),AI389&lt;=T389),AU389,0)&gt;0,IF(AND(NOT(AND(AO389=1,AN389&lt;&gt;1)),ISNUMBER(AI389),AI389&lt;=T389),AU389,0)=MAX(IF(AND(NOT(AND(AO389=1,AN389&lt;&gt;1)),ISNUMBER(AG389),AG389&lt;=T389),AS389,0),IF(AND(NOT(AND(AO389=1,AN389&lt;&gt;1)),ISNUMBER(AH389),AH389&lt;=T389),AT389,0),IF(AND(NOT(AND(AO389=1,AN389&lt;&gt;1)),ISNUMBER(AI389),AI389&lt;=T389),AU389,0),IF(AND(ISNUMBER(AJ389),AJ389&lt;=T389),AV389,0))),"SC","Mag")))))))</f>
        <v/>
      </c>
    </row>
    <row r="390">
      <c r="A390" s="26" t="n">
        <v>385</v>
      </c>
      <c r="B390" s="27">
        <f>A390*10/60</f>
        <v/>
      </c>
      <c r="C390" s="22">
        <f>X389</f>
        <v/>
      </c>
      <c r="D390" s="27">
        <f>D389+W389</f>
        <v/>
      </c>
      <c r="E390" s="26">
        <f>E389+IF(U389="SW",1,0)</f>
        <v/>
      </c>
      <c r="F390" s="26">
        <f>F389+IF(U389="AB",1,0)</f>
        <v/>
      </c>
      <c r="G390" s="26">
        <f>G389+IF(U389="SC",1,0)</f>
        <v/>
      </c>
      <c r="H390" s="26">
        <f>H389+IF(U389="Mag",1,0)</f>
        <v/>
      </c>
      <c r="I390" s="26">
        <f>MAX(I389,IF(U389="OR",1,0))</f>
        <v/>
      </c>
      <c r="J390" s="26">
        <f>MAX(J389,IF(U389="HP",1,0))</f>
        <v/>
      </c>
      <c r="K390" s="26">
        <f>MAX(K389,IF(U389="FP",1,0))</f>
        <v/>
      </c>
      <c r="L390" s="26">
        <f>MAX(L389,IF(U389="transition",1,0))</f>
        <v/>
      </c>
      <c r="M390" s="28">
        <f>(Parameters!$B$9+(IF(E390=0,0,(Upgrades!$J$6+E390*Upgrades!$K$6)*POWER(Upgrades!$L$6,E390)))*(IF(Upgrades!$T$7="Solar Wind",POWER(Upgrades!$U$7,F390),1)*IF(Upgrades!$T$8="Solar Wind",POWER(Upgrades!$U$8,G390),1)*IF(Upgrades!$T$9="Solar Wind",POWER(Upgrades!$U$9,H390),1)*IF(Upgrades!$T$10="Solar Wind",POWER(Upgrades!$U$10,I390),1)*IF(Upgrades!$T$11="Solar Wind",POWER(Upgrades!$U$11,J390),1)*IF(Upgrades!$T$12="Solar Wind",POWER(Upgrades!$U$12,K390),1))+(IF(F390=0,0,(Upgrades!$J$7+F390*Upgrades!$K$7)*POWER(Upgrades!$L$7,F390)))*(IF(Upgrades!$T$6="Asteroid Belt",POWER(Upgrades!$U$6,E390),1)*IF(Upgrades!$T$8="Asteroid Belt",POWER(Upgrades!$U$8,G390),1)*IF(Upgrades!$T$9="Asteroid Belt",POWER(Upgrades!$U$9,H390),1)*IF(Upgrades!$T$10="Asteroid Belt",POWER(Upgrades!$U$10,I390),1)*IF(Upgrades!$T$11="Asteroid Belt",POWER(Upgrades!$U$11,J390),1)*IF(Upgrades!$T$12="Asteroid Belt",POWER(Upgrades!$U$12,K390),1))+(IF(G390=0,0,(Upgrades!$J$8+G390*Upgrades!$K$8)*POWER(Upgrades!$L$8,G390)))*(IF(Upgrades!$T$6="Stellar Coupling",POWER(Upgrades!$U$6,E390),1)*IF(Upgrades!$T$7="Stellar Coupling",POWER(Upgrades!$U$7,F390),1)*IF(Upgrades!$T$9="Stellar Coupling",POWER(Upgrades!$U$9,H390),1)*IF(Upgrades!$T$10="Stellar Coupling",POWER(Upgrades!$U$10,I390),1)*IF(Upgrades!$T$11="Stellar Coupling",POWER(Upgrades!$U$11,J390),1)*IF(Upgrades!$T$12="Stellar Coupling",POWER(Upgrades!$U$12,K390),1))+(IF(H390=0,0,(Upgrades!$J$9+H390*Upgrades!$K$9)*POWER(Upgrades!$L$9,H390)))*(IF(Upgrades!$T$6="Magnetosphere",POWER(Upgrades!$U$6,E390),1)*IF(Upgrades!$T$7="Magnetosphere",POWER(Upgrades!$U$7,F390),1)*IF(Upgrades!$T$8="Magnetosphere",POWER(Upgrades!$U$8,G390),1)*IF(Upgrades!$T$10="Magnetosphere",POWER(Upgrades!$U$10,I390),1)*IF(Upgrades!$T$11="Magnetosphere",POWER(Upgrades!$U$11,J390),1)*IF(Upgrades!$T$12="Magnetosphere",POWER(Upgrades!$U$12,K390),1))+(IF(I390=0,0,(Upgrades!$J$10+I390*Upgrades!$K$10)*POWER(Upgrades!$L$10,I390)))*(IF(Upgrades!$T$6="Orbital Resonance",POWER(Upgrades!$U$6,E390),1)*IF(Upgrades!$T$7="Orbital Resonance",POWER(Upgrades!$U$7,F390),1)*IF(Upgrades!$T$8="Orbital Resonance",POWER(Upgrades!$U$8,G390),1)*IF(Upgrades!$T$9="Orbital Resonance",POWER(Upgrades!$U$9,H390),1)*IF(Upgrades!$T$11="Orbital Resonance",POWER(Upgrades!$U$11,J390),1)*IF(Upgrades!$T$12="Orbital Resonance",POWER(Upgrades!$U$12,K390),1))+(IF(J390=0,0,(Upgrades!$J$11+J390*Upgrades!$K$11)*POWER(Upgrades!$L$11,J390)))*(IF(Upgrades!$T$6="Heliopause",POWER(Upgrades!$U$6,E390),1)*IF(Upgrades!$T$7="Heliopause",POWER(Upgrades!$U$7,F390),1)*IF(Upgrades!$T$8="Heliopause",POWER(Upgrades!$U$8,G390),1)*IF(Upgrades!$T$9="Heliopause",POWER(Upgrades!$U$9,H390),1)*IF(Upgrades!$T$10="Heliopause",POWER(Upgrades!$U$10,I390),1)*IF(Upgrades!$T$12="Heliopause",POWER(Upgrades!$U$12,K390),1))+(IF(K390=0,0,(Upgrades!$J$12+K390*Upgrades!$K$12)*POWER(Upgrades!$L$12,K390)))*(IF(Upgrades!$T$6="First Photons",POWER(Upgrades!$U$6,E390),1)*IF(Upgrades!$T$7="First Photons",POWER(Upgrades!$U$7,F390),1)*IF(Upgrades!$T$8="First Photons",POWER(Upgrades!$U$8,G390),1)*IF(Upgrades!$T$9="First Photons",POWER(Upgrades!$U$9,H390),1)*IF(Upgrades!$T$10="First Photons",POWER(Upgrades!$U$10,I390),1)*IF(Upgrades!$T$11="First Photons",POWER(Upgrades!$U$11,J390),1)))*POWER(Upgrades!$Q$6,E390)*POWER(Upgrades!$Q$7,F390)*POWER(Upgrades!$Q$8,G390)*POWER(Upgrades!$Q$9,H390)*POWER(Upgrades!$Q$10,I390)*POWER(Upgrades!$Q$11,J390)*POWER(Upgrades!$Q$12,K390)</f>
        <v/>
      </c>
      <c r="N390" s="28">
        <f>((IF(E390=0,0,(Upgrades!$G$6+E390*Upgrades!$H$6)*POWER(Upgrades!$I$6,E390)))*(IF(Upgrades!$T$7="Solar Wind",POWER(Upgrades!$U$7,F390),1)*IF(Upgrades!$T$8="Solar Wind",POWER(Upgrades!$U$8,G390),1)*IF(Upgrades!$T$9="Solar Wind",POWER(Upgrades!$U$9,H390),1)*IF(Upgrades!$T$10="Solar Wind",POWER(Upgrades!$U$10,I390),1)*IF(Upgrades!$T$11="Solar Wind",POWER(Upgrades!$U$11,J390),1)*IF(Upgrades!$T$12="Solar Wind",POWER(Upgrades!$U$12,K390),1))+(IF(F390=0,0,(Upgrades!$G$7+F390*Upgrades!$H$7)*POWER(Upgrades!$I$7,F390)))*(IF(Upgrades!$T$6="Asteroid Belt",POWER(Upgrades!$U$6,E390),1)*IF(Upgrades!$T$8="Asteroid Belt",POWER(Upgrades!$U$8,G390),1)*IF(Upgrades!$T$9="Asteroid Belt",POWER(Upgrades!$U$9,H390),1)*IF(Upgrades!$T$10="Asteroid Belt",POWER(Upgrades!$U$10,I390),1)*IF(Upgrades!$T$11="Asteroid Belt",POWER(Upgrades!$U$11,J390),1)*IF(Upgrades!$T$12="Asteroid Belt",POWER(Upgrades!$U$12,K390),1))+(IF(G390=0,0,(Upgrades!$G$8+G390*Upgrades!$H$8)*POWER(Upgrades!$I$8,G390)))*(IF(Upgrades!$T$6="Stellar Coupling",POWER(Upgrades!$U$6,E390),1)*IF(Upgrades!$T$7="Stellar Coupling",POWER(Upgrades!$U$7,F390),1)*IF(Upgrades!$T$9="Stellar Coupling",POWER(Upgrades!$U$9,H390),1)*IF(Upgrades!$T$10="Stellar Coupling",POWER(Upgrades!$U$10,I390),1)*IF(Upgrades!$T$11="Stellar Coupling",POWER(Upgrades!$U$11,J390),1)*IF(Upgrades!$T$12="Stellar Coupling",POWER(Upgrades!$U$12,K390),1))+(IF(H390=0,0,(Upgrades!$G$9+H390*Upgrades!$H$9)*POWER(Upgrades!$I$9,H390)))*(IF(Upgrades!$T$6="Magnetosphere",POWER(Upgrades!$U$6,E390),1)*IF(Upgrades!$T$7="Magnetosphere",POWER(Upgrades!$U$7,F390),1)*IF(Upgrades!$T$8="Magnetosphere",POWER(Upgrades!$U$8,G390),1)*IF(Upgrades!$T$10="Magnetosphere",POWER(Upgrades!$U$10,I390),1)*IF(Upgrades!$T$11="Magnetosphere",POWER(Upgrades!$U$11,J390),1)*IF(Upgrades!$T$12="Magnetosphere",POWER(Upgrades!$U$12,K390),1))+(IF(I390=0,0,(Upgrades!$G$10+I390*Upgrades!$H$10)*POWER(Upgrades!$I$10,I390)))*(IF(Upgrades!$T$6="Orbital Resonance",POWER(Upgrades!$U$6,E390),1)*IF(Upgrades!$T$7="Orbital Resonance",POWER(Upgrades!$U$7,F390),1)*IF(Upgrades!$T$8="Orbital Resonance",POWER(Upgrades!$U$8,G390),1)*IF(Upgrades!$T$9="Orbital Resonance",POWER(Upgrades!$U$9,H390),1)*IF(Upgrades!$T$11="Orbital Resonance",POWER(Upgrades!$U$11,J390),1)*IF(Upgrades!$T$12="Orbital Resonance",POWER(Upgrades!$U$12,K390),1))+(IF(J390=0,0,(Upgrades!$G$11+J390*Upgrades!$H$11)*POWER(Upgrades!$I$11,J390)))*(IF(Upgrades!$T$6="Heliopause",POWER(Upgrades!$U$6,E390),1)*IF(Upgrades!$T$7="Heliopause",POWER(Upgrades!$U$7,F390),1)*IF(Upgrades!$T$8="Heliopause",POWER(Upgrades!$U$8,G390),1)*IF(Upgrades!$T$9="Heliopause",POWER(Upgrades!$U$9,H390),1)*IF(Upgrades!$T$10="Heliopause",POWER(Upgrades!$U$10,I390),1)*IF(Upgrades!$T$12="Heliopause",POWER(Upgrades!$U$12,K390),1))+(IF(K390=0,0,(Upgrades!$G$12+K390*Upgrades!$H$12)*POWER(Upgrades!$I$12,K390)))*(IF(Upgrades!$T$6="First Photons",POWER(Upgrades!$U$6,E390),1)*IF(Upgrades!$T$7="First Photons",POWER(Upgrades!$U$7,F390),1)*IF(Upgrades!$T$8="First Photons",POWER(Upgrades!$U$8,G390),1)*IF(Upgrades!$T$9="First Photons",POWER(Upgrades!$U$9,H390),1)*IF(Upgrades!$T$10="First Photons",POWER(Upgrades!$U$10,I390),1)*IF(Upgrades!$T$11="First Photons",POWER(Upgrades!$U$11,J390),1)))*POWER(Upgrades!$P$6,E390)*POWER(Upgrades!$P$7,F390)*POWER(Upgrades!$P$8,G390)*POWER(Upgrades!$P$9,H390)*POWER(Upgrades!$P$10,I390)*POWER(Upgrades!$P$11,J390)*POWER(Upgrades!$P$12,K390)</f>
        <v/>
      </c>
      <c r="O390" s="28">
        <f>((IF(E390=0,0,(Upgrades!$M$6+E390*Upgrades!$N$6)*POWER(Upgrades!$O$6,E390)))*(IF(Upgrades!$T$7="Solar Wind",POWER(Upgrades!$U$7,F390),1)*IF(Upgrades!$T$8="Solar Wind",POWER(Upgrades!$U$8,G390),1)*IF(Upgrades!$T$9="Solar Wind",POWER(Upgrades!$U$9,H390),1)*IF(Upgrades!$T$10="Solar Wind",POWER(Upgrades!$U$10,I390),1)*IF(Upgrades!$T$11="Solar Wind",POWER(Upgrades!$U$11,J390),1)*IF(Upgrades!$T$12="Solar Wind",POWER(Upgrades!$U$12,K390),1))+(IF(F390=0,0,(Upgrades!$M$7+F390*Upgrades!$N$7)*POWER(Upgrades!$O$7,F390)))*(IF(Upgrades!$T$6="Asteroid Belt",POWER(Upgrades!$U$6,E390),1)*IF(Upgrades!$T$8="Asteroid Belt",POWER(Upgrades!$U$8,G390),1)*IF(Upgrades!$T$9="Asteroid Belt",POWER(Upgrades!$U$9,H390),1)*IF(Upgrades!$T$10="Asteroid Belt",POWER(Upgrades!$U$10,I390),1)*IF(Upgrades!$T$11="Asteroid Belt",POWER(Upgrades!$U$11,J390),1)*IF(Upgrades!$T$12="Asteroid Belt",POWER(Upgrades!$U$12,K390),1))+(IF(G390=0,0,(Upgrades!$M$8+G390*Upgrades!$N$8)*POWER(Upgrades!$O$8,G390)))*(IF(Upgrades!$T$6="Stellar Coupling",POWER(Upgrades!$U$6,E390),1)*IF(Upgrades!$T$7="Stellar Coupling",POWER(Upgrades!$U$7,F390),1)*IF(Upgrades!$T$9="Stellar Coupling",POWER(Upgrades!$U$9,H390),1)*IF(Upgrades!$T$10="Stellar Coupling",POWER(Upgrades!$U$10,I390),1)*IF(Upgrades!$T$11="Stellar Coupling",POWER(Upgrades!$U$11,J390),1)*IF(Upgrades!$T$12="Stellar Coupling",POWER(Upgrades!$U$12,K390),1))+(IF(H390=0,0,(Upgrades!$M$9+H390*Upgrades!$N$9)*POWER(Upgrades!$O$9,H390)))*(IF(Upgrades!$T$6="Magnetosphere",POWER(Upgrades!$U$6,E390),1)*IF(Upgrades!$T$7="Magnetosphere",POWER(Upgrades!$U$7,F390),1)*IF(Upgrades!$T$8="Magnetosphere",POWER(Upgrades!$U$8,G390),1)*IF(Upgrades!$T$10="Magnetosphere",POWER(Upgrades!$U$10,I390),1)*IF(Upgrades!$T$11="Magnetosphere",POWER(Upgrades!$U$11,J390),1)*IF(Upgrades!$T$12="Magnetosphere",POWER(Upgrades!$U$12,K390),1))+(IF(I390=0,0,(Upgrades!$M$10+I390*Upgrades!$N$10)*POWER(Upgrades!$O$10,I390)))*(IF(Upgrades!$T$6="Orbital Resonance",POWER(Upgrades!$U$6,E390),1)*IF(Upgrades!$T$7="Orbital Resonance",POWER(Upgrades!$U$7,F390),1)*IF(Upgrades!$T$8="Orbital Resonance",POWER(Upgrades!$U$8,G390),1)*IF(Upgrades!$T$9="Orbital Resonance",POWER(Upgrades!$U$9,H390),1)*IF(Upgrades!$T$11="Orbital Resonance",POWER(Upgrades!$U$11,J390),1)*IF(Upgrades!$T$12="Orbital Resonance",POWER(Upgrades!$U$12,K390),1))+(IF(J390=0,0,(Upgrades!$M$11+J390*Upgrades!$N$11)*POWER(Upgrades!$O$11,J390)))*(IF(Upgrades!$T$6="Heliopause",POWER(Upgrades!$U$6,E390),1)*IF(Upgrades!$T$7="Heliopause",POWER(Upgrades!$U$7,F390),1)*IF(Upgrades!$T$8="Heliopause",POWER(Upgrades!$U$8,G390),1)*IF(Upgrades!$T$9="Heliopause",POWER(Upgrades!$U$9,H390),1)*IF(Upgrades!$T$10="Heliopause",POWER(Upgrades!$U$10,I390),1)*IF(Upgrades!$T$12="Heliopause",POWER(Upgrades!$U$12,K390),1))+(IF(K390=0,0,(Upgrades!$M$12+K390*Upgrades!$N$12)*POWER(Upgrades!$O$12,K390)))*(IF(Upgrades!$T$6="First Photons",POWER(Upgrades!$U$6,E390),1)*IF(Upgrades!$T$7="First Photons",POWER(Upgrades!$U$7,F390),1)*IF(Upgrades!$T$8="First Photons",POWER(Upgrades!$U$8,G390),1)*IF(Upgrades!$T$9="First Photons",POWER(Upgrades!$U$9,H390),1)*IF(Upgrades!$T$10="First Photons",POWER(Upgrades!$U$10,I390),1)*IF(Upgrades!$T$11="First Photons",POWER(Upgrades!$U$11,J390),1)))*POWER(Upgrades!$R$6,E390)*POWER(Upgrades!$R$7,F390)*POWER(Upgrades!$R$8,G390)*POWER(Upgrades!$R$9,H390)*POWER(Upgrades!$R$10,I390)*POWER(Upgrades!$R$11,J390)*POWER(Upgrades!$R$12,K390)</f>
        <v/>
      </c>
      <c r="P390" s="27">
        <f>IF(L390=1,0,M390*Parameters!$B$10/60*Parameters!$B$11*10)</f>
        <v/>
      </c>
      <c r="Q390" s="27">
        <f>IF(L390=1,0,O390*M390*10)</f>
        <v/>
      </c>
      <c r="R390" s="27">
        <f>IF(L390=1,0,N390*10)</f>
        <v/>
      </c>
      <c r="S390" s="27">
        <f>P390+Q390+R390</f>
        <v/>
      </c>
      <c r="T390" s="22">
        <f>C390+S390</f>
        <v/>
      </c>
      <c r="U390" s="33">
        <f>AX390</f>
        <v/>
      </c>
      <c r="V390" s="22">
        <f>IF(U390="",0,IF(U390="transition",0,IF(U390="SW",AG390,IF(U390="AB",AH390,IF(U390="SC",AI390,IF(U390="Mag",AJ390,IF(U390="OR",AK390,IF(U390="HP",AL390,IF(U390="FP",AM390,0)))))))))</f>
        <v/>
      </c>
      <c r="W390" s="27">
        <f>IF(U390="OR",Upgrades!$F$10,IF(U390="HP",Upgrades!$F$11,IF(U390="transition",-Parameters!$B$18,0)))</f>
        <v/>
      </c>
      <c r="X390" s="22">
        <f>T390-V390</f>
        <v/>
      </c>
      <c r="Y390" s="30">
        <f>M390*Parameters!$B$10/60*Parameters!$B$11+O390*M390+N390</f>
        <v/>
      </c>
      <c r="Z390" s="34">
        <f>IF(U390="transition","→ Tier 2 (Stellar Neighborhood)",IF(U390="FP","First Photons — light begins, system quickens",IF(U390="HP","Heliopause acquired",IF(U390="OR","Orbital Resonance — passive multiplier active",IF(AND(AO390=1,L390=0,AN390&lt;&gt;1),"Cohesion ready (waiting on completionist upgrades)","")))))</f>
        <v/>
      </c>
      <c r="AA390" s="27">
        <f>(IF(E390=0,0,(Upgrades!$G$6+E390*Upgrades!$H$6)*POWER(Upgrades!$I$6,E390)))*(IF(Upgrades!$T$7="Solar Wind",POWER(Upgrades!$U$7,F390),1)*IF(Upgrades!$T$8="Solar Wind",POWER(Upgrades!$U$8,G390),1)*IF(Upgrades!$T$9="Solar Wind",POWER(Upgrades!$U$9,H390),1)*IF(Upgrades!$T$10="Solar Wind",POWER(Upgrades!$U$10,I390),1)*IF(Upgrades!$T$11="Solar Wind",POWER(Upgrades!$U$11,J390),1)*IF(Upgrades!$T$12="Solar Wind",POWER(Upgrades!$U$12,K390),1))*POWER(Upgrades!$P$6,E390)*POWER(Upgrades!$P$7,F390)*POWER(Upgrades!$P$8,G390)*POWER(Upgrades!$P$9,H390)*POWER(Upgrades!$P$10,I390)*POWER(Upgrades!$P$11,J390)*POWER(Upgrades!$P$12,K390)*60</f>
        <v/>
      </c>
      <c r="AB390" s="27">
        <f>(IF(F390=0,0,(Upgrades!$G$7+F390*Upgrades!$H$7)*POWER(Upgrades!$I$7,F390)))*(IF(Upgrades!$T$6="Asteroid Belt",POWER(Upgrades!$U$6,E390),1)*IF(Upgrades!$T$8="Asteroid Belt",POWER(Upgrades!$U$8,G390),1)*IF(Upgrades!$T$9="Asteroid Belt",POWER(Upgrades!$U$9,H390),1)*IF(Upgrades!$T$10="Asteroid Belt",POWER(Upgrades!$U$10,I390),1)*IF(Upgrades!$T$11="Asteroid Belt",POWER(Upgrades!$U$11,J390),1)*IF(Upgrades!$T$12="Asteroid Belt",POWER(Upgrades!$U$12,K390),1))*POWER(Upgrades!$P$6,E390)*POWER(Upgrades!$P$7,F390)*POWER(Upgrades!$P$8,G390)*POWER(Upgrades!$P$9,H390)*POWER(Upgrades!$P$10,I390)*POWER(Upgrades!$P$11,J390)*POWER(Upgrades!$P$12,K390)*60</f>
        <v/>
      </c>
      <c r="AC390" s="27">
        <f>(IF(G390=0,0,(Upgrades!$J$8+G390*Upgrades!$K$8)*POWER(Upgrades!$L$8,G390)))*(IF(Upgrades!$T$6="Stellar Coupling",POWER(Upgrades!$U$6,E390),1)*IF(Upgrades!$T$7="Stellar Coupling",POWER(Upgrades!$U$7,F390),1)*IF(Upgrades!$T$9="Stellar Coupling",POWER(Upgrades!$U$9,H390),1)*IF(Upgrades!$T$10="Stellar Coupling",POWER(Upgrades!$U$10,I390),1)*IF(Upgrades!$T$11="Stellar Coupling",POWER(Upgrades!$U$11,J390),1)*IF(Upgrades!$T$12="Stellar Coupling",POWER(Upgrades!$U$12,K390),1))*POWER(Upgrades!$Q$6,E390)*POWER(Upgrades!$Q$7,F390)*POWER(Upgrades!$Q$8,G390)*POWER(Upgrades!$Q$9,H390)*POWER(Upgrades!$Q$10,I390)*POWER(Upgrades!$Q$11,J390)*POWER(Upgrades!$Q$12,K390)*Parameters!$B$10*Parameters!$B$11</f>
        <v/>
      </c>
      <c r="AD390" s="27">
        <f>(IF(H390=0,0,(Upgrades!$G$9+H390*Upgrades!$H$9)*POWER(Upgrades!$I$9,H390)))*(IF(Upgrades!$T$6="Magnetosphere",POWER(Upgrades!$U$6,E390),1)*IF(Upgrades!$T$7="Magnetosphere",POWER(Upgrades!$U$7,F390),1)*IF(Upgrades!$T$8="Magnetosphere",POWER(Upgrades!$U$8,G390),1)*IF(Upgrades!$T$10="Magnetosphere",POWER(Upgrades!$U$10,I390),1)*IF(Upgrades!$T$11="Magnetosphere",POWER(Upgrades!$U$11,J390),1)*IF(Upgrades!$T$12="Magnetosphere",POWER(Upgrades!$U$12,K390),1))*POWER(Upgrades!$P$6,E390)*POWER(Upgrades!$P$7,F390)*POWER(Upgrades!$P$8,G390)*POWER(Upgrades!$P$9,H390)*POWER(Upgrades!$P$10,I390)*POWER(Upgrades!$P$11,J390)*POWER(Upgrades!$P$12,K390)*60</f>
        <v/>
      </c>
      <c r="AE390" s="27">
        <f>(IF(K390=0,0,(Upgrades!$G$12+K390*Upgrades!$H$12)*POWER(Upgrades!$I$12,K390)))*(IF(Upgrades!$T$6="First Photons",POWER(Upgrades!$U$6,E390),1)*IF(Upgrades!$T$7="First Photons",POWER(Upgrades!$U$7,F390),1)*IF(Upgrades!$T$8="First Photons",POWER(Upgrades!$U$8,G390),1)*IF(Upgrades!$T$9="First Photons",POWER(Upgrades!$U$9,H390),1)*IF(Upgrades!$T$10="First Photons",POWER(Upgrades!$U$10,I390),1)*IF(Upgrades!$T$11="First Photons",POWER(Upgrades!$U$11,J390),1))*POWER(Upgrades!$P$6,E390)*POWER(Upgrades!$P$7,F390)*POWER(Upgrades!$P$8,G390)*POWER(Upgrades!$P$9,H390)*POWER(Upgrades!$P$10,I390)*POWER(Upgrades!$P$11,J390)*POWER(Upgrades!$P$12,K390)*60</f>
        <v/>
      </c>
      <c r="AF390" s="27">
        <f>Parameters!$B$9*POWER(Upgrades!$Q$6,E390)*POWER(Upgrades!$Q$7,F390)*POWER(Upgrades!$Q$8,G390)*POWER(Upgrades!$Q$9,H390)*POWER(Upgrades!$Q$10,I390)*POWER(Upgrades!$Q$11,J390)*POWER(Upgrades!$Q$12,K390)*(Parameters!$B$10*Parameters!$B$11+O390*60)</f>
        <v/>
      </c>
      <c r="AG390" s="22">
        <f>IF(E390&gt;=Upgrades!$E$6,"",Upgrades!$C$6*POWER(Upgrades!$D$6,E390))</f>
        <v/>
      </c>
      <c r="AH390" s="22">
        <f>IF(F390&gt;=Upgrades!$E$7,"",Upgrades!$C$7*POWER(Upgrades!$D$7,F390))</f>
        <v/>
      </c>
      <c r="AI390" s="22">
        <f>IF(G390&gt;=Upgrades!$E$8,"",Upgrades!$C$8*POWER(Upgrades!$D$8,G390))</f>
        <v/>
      </c>
      <c r="AJ390" s="22">
        <f>IF(H390&gt;=Upgrades!$E$9,"",Upgrades!$C$9*POWER(Upgrades!$D$9,H390))</f>
        <v/>
      </c>
      <c r="AK390" s="22">
        <f>IF(I390&gt;=Upgrades!$E$10,"",Upgrades!$C$10*POWER(Upgrades!$D$10,I390))</f>
        <v/>
      </c>
      <c r="AL390" s="22">
        <f>IF(J390&gt;=Upgrades!$E$11,"",Upgrades!$C$11*POWER(Upgrades!$D$11,J390))</f>
        <v/>
      </c>
      <c r="AM390" s="22">
        <f>IF(K390&gt;=Upgrades!$E$12,"",Upgrades!$C$12*POWER(Upgrades!$D$12,K390))</f>
        <v/>
      </c>
      <c r="AN390" s="26">
        <f>IF(AND(D390&gt;=Parameters!$B$18,(H390&gt;=Upgrades!$E$9)*(K390&gt;=Upgrades!$E$12)=1,L390=0),1,"")</f>
        <v/>
      </c>
      <c r="AO390" s="26">
        <f>IF(AND(D390&gt;=Parameters!$B$18,L390=0),1,"")</f>
        <v/>
      </c>
      <c r="AP390" s="22">
        <f>MIN(IF(ISNUMBER(AK390),AK390,9E15),IF(ISNUMBER(AL390),AL390,9E15),IF(ISNUMBER(AM390),AM390,9E15))</f>
        <v/>
      </c>
      <c r="AQ390" s="22">
        <f>MIN(IF(ISNUMBER(AG390),AG390,9E15),IF(ISNUMBER(AH390),AH390,9E15),IF(ISNUMBER(AI390),AI390,9E15),IF(ISNUMBER(AJ390),AJ390,9E15))</f>
        <v/>
      </c>
      <c r="AR390" s="29">
        <f>IF(AW390&gt;Parameters!$B$21*(MAX(IF(AND(NOT(AND(AO390=1,AN390&lt;&gt;1)),ISNUMBER(AG390),AG390&lt;=T390),AS390,0),IF(AND(NOT(AND(AO390=1,AN390&lt;&gt;1)),ISNUMBER(AH390),AH390&lt;=T390),AT390,0),IF(AND(NOT(AND(AO390=1,AN390&lt;&gt;1)),ISNUMBER(AI390),AI390&lt;=T390),AU390,0),IF(AND(ISNUMBER(AJ390),AJ390&lt;=T390),AV390,0))),TRUE,FALSE)</f>
        <v/>
      </c>
      <c r="AS390" s="32">
        <f>IFERROR(Upgrades!$H$6*(POWER(Upgrades!$P$6,E390)*POWER(Upgrades!$P$7,F390)*POWER(Upgrades!$P$8,G390)*POWER(Upgrades!$P$9,H390)*POWER(Upgrades!$P$10,I390)*POWER(Upgrades!$P$11,J390)*POWER(Upgrades!$P$12,K390))*(IF(Upgrades!$T$7="Solar Wind",POWER(Upgrades!$U$7,F390),1)*IF(Upgrades!$T$8="Solar Wind",POWER(Upgrades!$U$8,G390),1)*IF(Upgrades!$T$9="Solar Wind",POWER(Upgrades!$U$9,H390),1)*IF(Upgrades!$T$10="Solar Wind",POWER(Upgrades!$U$10,I390),1)*IF(Upgrades!$T$11="Solar Wind",POWER(Upgrades!$U$11,J390),1)*IF(Upgrades!$T$12="Solar Wind",POWER(Upgrades!$U$12,K390),1))/AG390,0)</f>
        <v/>
      </c>
      <c r="AT390" s="32">
        <f>IFERROR(Upgrades!$H$7*(POWER(Upgrades!$P$6,E390)*POWER(Upgrades!$P$7,F390)*POWER(Upgrades!$P$8,G390)*POWER(Upgrades!$P$9,H390)*POWER(Upgrades!$P$10,I390)*POWER(Upgrades!$P$11,J390)*POWER(Upgrades!$P$12,K390))*(IF(Upgrades!$T$6="Asteroid Belt",POWER(Upgrades!$U$6,E390),1)*IF(Upgrades!$T$8="Asteroid Belt",POWER(Upgrades!$U$8,G390),1)*IF(Upgrades!$T$9="Asteroid Belt",POWER(Upgrades!$U$9,H390),1)*IF(Upgrades!$T$10="Asteroid Belt",POWER(Upgrades!$U$10,I390),1)*IF(Upgrades!$T$11="Asteroid Belt",POWER(Upgrades!$U$11,J390),1)*IF(Upgrades!$T$12="Asteroid Belt",POWER(Upgrades!$U$12,K390),1))/AH390,0)</f>
        <v/>
      </c>
      <c r="AU390" s="32">
        <f>IFERROR(Upgrades!$K$8*(POWER(Upgrades!$Q$6,E390)*POWER(Upgrades!$Q$7,F390)*POWER(Upgrades!$Q$8,G390)*POWER(Upgrades!$Q$9,H390)*POWER(Upgrades!$Q$10,I390)*POWER(Upgrades!$Q$11,J390)*POWER(Upgrades!$Q$12,K390))*(IF(Upgrades!$T$6="Stellar Coupling",POWER(Upgrades!$U$6,E390),1)*IF(Upgrades!$T$7="Stellar Coupling",POWER(Upgrades!$U$7,F390),1)*IF(Upgrades!$T$9="Stellar Coupling",POWER(Upgrades!$U$9,H390),1)*IF(Upgrades!$T$10="Stellar Coupling",POWER(Upgrades!$U$10,I390),1)*IF(Upgrades!$T$11="Stellar Coupling",POWER(Upgrades!$U$11,J390),1)*IF(Upgrades!$T$12="Stellar Coupling",POWER(Upgrades!$U$12,K390),1))*Parameters!$B$10*Parameters!$B$11/60/AI390,0)</f>
        <v/>
      </c>
      <c r="AV390" s="32">
        <f>IFERROR(Upgrades!$H$9*(POWER(Upgrades!$P$6,E390)*POWER(Upgrades!$P$7,F390)*POWER(Upgrades!$P$8,G390)*POWER(Upgrades!$P$9,H390)*POWER(Upgrades!$P$10,I390)*POWER(Upgrades!$P$11,J390)*POWER(Upgrades!$P$12,K390))*(IF(Upgrades!$T$6="Magnetosphere",POWER(Upgrades!$U$6,E390),1)*IF(Upgrades!$T$7="Magnetosphere",POWER(Upgrades!$U$7,F390),1)*IF(Upgrades!$T$8="Magnetosphere",POWER(Upgrades!$U$8,G390),1)*IF(Upgrades!$T$10="Magnetosphere",POWER(Upgrades!$U$10,I390),1)*IF(Upgrades!$T$11="Magnetosphere",POWER(Upgrades!$U$11,J390),1)*IF(Upgrades!$T$12="Magnetosphere",POWER(Upgrades!$U$12,K390),1))/AJ390,0)</f>
        <v/>
      </c>
      <c r="AW390" s="32">
        <f>MAX(IF(I390&gt;0,0,IFERROR(0.25*N390/Upgrades!$C$10,0)),IF(J390&gt;0,0,IFERROR(0.5*((IF(G390=0,0,(Upgrades!$J$8+G390*Upgrades!$K$8)*POWER(Upgrades!$L$8,G390)))*(IF(Upgrades!$T$6="Stellar Coupling",POWER(Upgrades!$U$6,E390),1)*IF(Upgrades!$T$7="Stellar Coupling",POWER(Upgrades!$U$7,F390),1)*IF(Upgrades!$T$9="Stellar Coupling",POWER(Upgrades!$U$9,H390),1)*IF(Upgrades!$T$10="Stellar Coupling",POWER(Upgrades!$U$10,I390),1)*IF(Upgrades!$T$11="Stellar Coupling",POWER(Upgrades!$U$11,J390),1)*IF(Upgrades!$T$12="Stellar Coupling",POWER(Upgrades!$U$12,K390),1))*(POWER(Upgrades!$Q$6,E390)*POWER(Upgrades!$Q$7,F390)*POWER(Upgrades!$Q$8,G390)*POWER(Upgrades!$Q$9,H390)*POWER(Upgrades!$Q$10,I390)*POWER(Upgrades!$Q$11,J390)*POWER(Upgrades!$Q$12,K390))*Parameters!$B$10*Parameters!$B$11/60)/Upgrades!$C$11,0)),IF(K390&gt;0,0,IFERROR((1.0*(POWER(Upgrades!$P$6,E390)*POWER(Upgrades!$P$7,F390)*POWER(Upgrades!$P$8,G390)*POWER(Upgrades!$P$9,H390)*POWER(Upgrades!$P$10,I390)*POWER(Upgrades!$P$11,J390)*POWER(Upgrades!$P$12,K390))+0.20*M390*Parameters!$B$10*Parameters!$B$11/60)/Upgrades!$C$12,0)),IF(AND(ISNUMBER(AG390),AG390&gt;T390),AS390,0),IF(AND(ISNUMBER(AH390),AH390&gt;T390),AT390,0),IF(AND(ISNUMBER(AI390),AI390&gt;T390),AU390,0),IF(AND(ISNUMBER(AJ390),AJ390&gt;T390),AV390,0))</f>
        <v/>
      </c>
      <c r="AX390" s="29">
        <f>IF(AN390=1,"transition",IF(MIN(IF(AND(I390=0,ISNUMBER(AK390),AK390&lt;=T390),AK390,9E15),IF(AND(J390=0,ISNUMBER(AL390),AL390&lt;=T390),AL390,9E15),IF(AND(K390=0,ISNUMBER(AM390),AM390&lt;=T390),AM390,9E15))&lt;9E15,IF(AND(AND(I390=0,ISNUMBER(AK390),AK390&lt;=T390),AK390=MIN(IF(AND(I390=0,ISNUMBER(AK390),AK390&lt;=T390),AK390,9E15),IF(AND(J390=0,ISNUMBER(AL390),AL390&lt;=T390),AL390,9E15),IF(AND(K390=0,ISNUMBER(AM390),AM390&lt;=T390),AM390,9E15))),"OR",IF(AND(AND(J390=0,ISNUMBER(AL390),AL390&lt;=T390),AL390=MIN(IF(AND(I390=0,ISNUMBER(AK390),AK390&lt;=T390),AK390,9E15),IF(AND(J390=0,ISNUMBER(AL390),AL390&lt;=T390),AL390,9E15),IF(AND(K390=0,ISNUMBER(AM390),AM390&lt;=T390),AM390,9E15))),"HP","FP")),IF(AR390=TRUE,"",IF(MAX(IF(AND(NOT(AND(AO390=1,AN390&lt;&gt;1)),ISNUMBER(AG390),AG390&lt;=T390),AS390,0),IF(AND(NOT(AND(AO390=1,AN390&lt;&gt;1)),ISNUMBER(AH390),AH390&lt;=T390),AT390,0),IF(AND(NOT(AND(AO390=1,AN390&lt;&gt;1)),ISNUMBER(AI390),AI390&lt;=T390),AU390,0),IF(AND(ISNUMBER(AJ390),AJ390&lt;=T390),AV390,0))&lt;=0,"",IF(AND(IF(AND(NOT(AND(AO390=1,AN390&lt;&gt;1)),ISNUMBER(AG390),AG390&lt;=T390),AS390,0)&gt;0,IF(AND(NOT(AND(AO390=1,AN390&lt;&gt;1)),ISNUMBER(AG390),AG390&lt;=T390),AS390,0)=MAX(IF(AND(NOT(AND(AO390=1,AN390&lt;&gt;1)),ISNUMBER(AG390),AG390&lt;=T390),AS390,0),IF(AND(NOT(AND(AO390=1,AN390&lt;&gt;1)),ISNUMBER(AH390),AH390&lt;=T390),AT390,0),IF(AND(NOT(AND(AO390=1,AN390&lt;&gt;1)),ISNUMBER(AI390),AI390&lt;=T390),AU390,0),IF(AND(ISNUMBER(AJ390),AJ390&lt;=T390),AV390,0))),"SW",IF(AND(IF(AND(NOT(AND(AO390=1,AN390&lt;&gt;1)),ISNUMBER(AH390),AH390&lt;=T390),AT390,0)&gt;0,IF(AND(NOT(AND(AO390=1,AN390&lt;&gt;1)),ISNUMBER(AH390),AH390&lt;=T390),AT390,0)=MAX(IF(AND(NOT(AND(AO390=1,AN390&lt;&gt;1)),ISNUMBER(AG390),AG390&lt;=T390),AS390,0),IF(AND(NOT(AND(AO390=1,AN390&lt;&gt;1)),ISNUMBER(AH390),AH390&lt;=T390),AT390,0),IF(AND(NOT(AND(AO390=1,AN390&lt;&gt;1)),ISNUMBER(AI390),AI390&lt;=T390),AU390,0),IF(AND(ISNUMBER(AJ390),AJ390&lt;=T390),AV390,0))),"AB",IF(AND(IF(AND(NOT(AND(AO390=1,AN390&lt;&gt;1)),ISNUMBER(AI390),AI390&lt;=T390),AU390,0)&gt;0,IF(AND(NOT(AND(AO390=1,AN390&lt;&gt;1)),ISNUMBER(AI390),AI390&lt;=T390),AU390,0)=MAX(IF(AND(NOT(AND(AO390=1,AN390&lt;&gt;1)),ISNUMBER(AG390),AG390&lt;=T390),AS390,0),IF(AND(NOT(AND(AO390=1,AN390&lt;&gt;1)),ISNUMBER(AH390),AH390&lt;=T390),AT390,0),IF(AND(NOT(AND(AO390=1,AN390&lt;&gt;1)),ISNUMBER(AI390),AI390&lt;=T390),AU390,0),IF(AND(ISNUMBER(AJ390),AJ390&lt;=T390),AV390,0))),"SC","Mag")))))))</f>
        <v/>
      </c>
    </row>
    <row r="391">
      <c r="A391" s="26" t="n">
        <v>386</v>
      </c>
      <c r="B391" s="27">
        <f>A391*10/60</f>
        <v/>
      </c>
      <c r="C391" s="22">
        <f>X390</f>
        <v/>
      </c>
      <c r="D391" s="27">
        <f>D390+W390</f>
        <v/>
      </c>
      <c r="E391" s="26">
        <f>E390+IF(U390="SW",1,0)</f>
        <v/>
      </c>
      <c r="F391" s="26">
        <f>F390+IF(U390="AB",1,0)</f>
        <v/>
      </c>
      <c r="G391" s="26">
        <f>G390+IF(U390="SC",1,0)</f>
        <v/>
      </c>
      <c r="H391" s="26">
        <f>H390+IF(U390="Mag",1,0)</f>
        <v/>
      </c>
      <c r="I391" s="26">
        <f>MAX(I390,IF(U390="OR",1,0))</f>
        <v/>
      </c>
      <c r="J391" s="26">
        <f>MAX(J390,IF(U390="HP",1,0))</f>
        <v/>
      </c>
      <c r="K391" s="26">
        <f>MAX(K390,IF(U390="FP",1,0))</f>
        <v/>
      </c>
      <c r="L391" s="26">
        <f>MAX(L390,IF(U390="transition",1,0))</f>
        <v/>
      </c>
      <c r="M391" s="28">
        <f>(Parameters!$B$9+(IF(E391=0,0,(Upgrades!$J$6+E391*Upgrades!$K$6)*POWER(Upgrades!$L$6,E391)))*(IF(Upgrades!$T$7="Solar Wind",POWER(Upgrades!$U$7,F391),1)*IF(Upgrades!$T$8="Solar Wind",POWER(Upgrades!$U$8,G391),1)*IF(Upgrades!$T$9="Solar Wind",POWER(Upgrades!$U$9,H391),1)*IF(Upgrades!$T$10="Solar Wind",POWER(Upgrades!$U$10,I391),1)*IF(Upgrades!$T$11="Solar Wind",POWER(Upgrades!$U$11,J391),1)*IF(Upgrades!$T$12="Solar Wind",POWER(Upgrades!$U$12,K391),1))+(IF(F391=0,0,(Upgrades!$J$7+F391*Upgrades!$K$7)*POWER(Upgrades!$L$7,F391)))*(IF(Upgrades!$T$6="Asteroid Belt",POWER(Upgrades!$U$6,E391),1)*IF(Upgrades!$T$8="Asteroid Belt",POWER(Upgrades!$U$8,G391),1)*IF(Upgrades!$T$9="Asteroid Belt",POWER(Upgrades!$U$9,H391),1)*IF(Upgrades!$T$10="Asteroid Belt",POWER(Upgrades!$U$10,I391),1)*IF(Upgrades!$T$11="Asteroid Belt",POWER(Upgrades!$U$11,J391),1)*IF(Upgrades!$T$12="Asteroid Belt",POWER(Upgrades!$U$12,K391),1))+(IF(G391=0,0,(Upgrades!$J$8+G391*Upgrades!$K$8)*POWER(Upgrades!$L$8,G391)))*(IF(Upgrades!$T$6="Stellar Coupling",POWER(Upgrades!$U$6,E391),1)*IF(Upgrades!$T$7="Stellar Coupling",POWER(Upgrades!$U$7,F391),1)*IF(Upgrades!$T$9="Stellar Coupling",POWER(Upgrades!$U$9,H391),1)*IF(Upgrades!$T$10="Stellar Coupling",POWER(Upgrades!$U$10,I391),1)*IF(Upgrades!$T$11="Stellar Coupling",POWER(Upgrades!$U$11,J391),1)*IF(Upgrades!$T$12="Stellar Coupling",POWER(Upgrades!$U$12,K391),1))+(IF(H391=0,0,(Upgrades!$J$9+H391*Upgrades!$K$9)*POWER(Upgrades!$L$9,H391)))*(IF(Upgrades!$T$6="Magnetosphere",POWER(Upgrades!$U$6,E391),1)*IF(Upgrades!$T$7="Magnetosphere",POWER(Upgrades!$U$7,F391),1)*IF(Upgrades!$T$8="Magnetosphere",POWER(Upgrades!$U$8,G391),1)*IF(Upgrades!$T$10="Magnetosphere",POWER(Upgrades!$U$10,I391),1)*IF(Upgrades!$T$11="Magnetosphere",POWER(Upgrades!$U$11,J391),1)*IF(Upgrades!$T$12="Magnetosphere",POWER(Upgrades!$U$12,K391),1))+(IF(I391=0,0,(Upgrades!$J$10+I391*Upgrades!$K$10)*POWER(Upgrades!$L$10,I391)))*(IF(Upgrades!$T$6="Orbital Resonance",POWER(Upgrades!$U$6,E391),1)*IF(Upgrades!$T$7="Orbital Resonance",POWER(Upgrades!$U$7,F391),1)*IF(Upgrades!$T$8="Orbital Resonance",POWER(Upgrades!$U$8,G391),1)*IF(Upgrades!$T$9="Orbital Resonance",POWER(Upgrades!$U$9,H391),1)*IF(Upgrades!$T$11="Orbital Resonance",POWER(Upgrades!$U$11,J391),1)*IF(Upgrades!$T$12="Orbital Resonance",POWER(Upgrades!$U$12,K391),1))+(IF(J391=0,0,(Upgrades!$J$11+J391*Upgrades!$K$11)*POWER(Upgrades!$L$11,J391)))*(IF(Upgrades!$T$6="Heliopause",POWER(Upgrades!$U$6,E391),1)*IF(Upgrades!$T$7="Heliopause",POWER(Upgrades!$U$7,F391),1)*IF(Upgrades!$T$8="Heliopause",POWER(Upgrades!$U$8,G391),1)*IF(Upgrades!$T$9="Heliopause",POWER(Upgrades!$U$9,H391),1)*IF(Upgrades!$T$10="Heliopause",POWER(Upgrades!$U$10,I391),1)*IF(Upgrades!$T$12="Heliopause",POWER(Upgrades!$U$12,K391),1))+(IF(K391=0,0,(Upgrades!$J$12+K391*Upgrades!$K$12)*POWER(Upgrades!$L$12,K391)))*(IF(Upgrades!$T$6="First Photons",POWER(Upgrades!$U$6,E391),1)*IF(Upgrades!$T$7="First Photons",POWER(Upgrades!$U$7,F391),1)*IF(Upgrades!$T$8="First Photons",POWER(Upgrades!$U$8,G391),1)*IF(Upgrades!$T$9="First Photons",POWER(Upgrades!$U$9,H391),1)*IF(Upgrades!$T$10="First Photons",POWER(Upgrades!$U$10,I391),1)*IF(Upgrades!$T$11="First Photons",POWER(Upgrades!$U$11,J391),1)))*POWER(Upgrades!$Q$6,E391)*POWER(Upgrades!$Q$7,F391)*POWER(Upgrades!$Q$8,G391)*POWER(Upgrades!$Q$9,H391)*POWER(Upgrades!$Q$10,I391)*POWER(Upgrades!$Q$11,J391)*POWER(Upgrades!$Q$12,K391)</f>
        <v/>
      </c>
      <c r="N391" s="28">
        <f>((IF(E391=0,0,(Upgrades!$G$6+E391*Upgrades!$H$6)*POWER(Upgrades!$I$6,E391)))*(IF(Upgrades!$T$7="Solar Wind",POWER(Upgrades!$U$7,F391),1)*IF(Upgrades!$T$8="Solar Wind",POWER(Upgrades!$U$8,G391),1)*IF(Upgrades!$T$9="Solar Wind",POWER(Upgrades!$U$9,H391),1)*IF(Upgrades!$T$10="Solar Wind",POWER(Upgrades!$U$10,I391),1)*IF(Upgrades!$T$11="Solar Wind",POWER(Upgrades!$U$11,J391),1)*IF(Upgrades!$T$12="Solar Wind",POWER(Upgrades!$U$12,K391),1))+(IF(F391=0,0,(Upgrades!$G$7+F391*Upgrades!$H$7)*POWER(Upgrades!$I$7,F391)))*(IF(Upgrades!$T$6="Asteroid Belt",POWER(Upgrades!$U$6,E391),1)*IF(Upgrades!$T$8="Asteroid Belt",POWER(Upgrades!$U$8,G391),1)*IF(Upgrades!$T$9="Asteroid Belt",POWER(Upgrades!$U$9,H391),1)*IF(Upgrades!$T$10="Asteroid Belt",POWER(Upgrades!$U$10,I391),1)*IF(Upgrades!$T$11="Asteroid Belt",POWER(Upgrades!$U$11,J391),1)*IF(Upgrades!$T$12="Asteroid Belt",POWER(Upgrades!$U$12,K391),1))+(IF(G391=0,0,(Upgrades!$G$8+G391*Upgrades!$H$8)*POWER(Upgrades!$I$8,G391)))*(IF(Upgrades!$T$6="Stellar Coupling",POWER(Upgrades!$U$6,E391),1)*IF(Upgrades!$T$7="Stellar Coupling",POWER(Upgrades!$U$7,F391),1)*IF(Upgrades!$T$9="Stellar Coupling",POWER(Upgrades!$U$9,H391),1)*IF(Upgrades!$T$10="Stellar Coupling",POWER(Upgrades!$U$10,I391),1)*IF(Upgrades!$T$11="Stellar Coupling",POWER(Upgrades!$U$11,J391),1)*IF(Upgrades!$T$12="Stellar Coupling",POWER(Upgrades!$U$12,K391),1))+(IF(H391=0,0,(Upgrades!$G$9+H391*Upgrades!$H$9)*POWER(Upgrades!$I$9,H391)))*(IF(Upgrades!$T$6="Magnetosphere",POWER(Upgrades!$U$6,E391),1)*IF(Upgrades!$T$7="Magnetosphere",POWER(Upgrades!$U$7,F391),1)*IF(Upgrades!$T$8="Magnetosphere",POWER(Upgrades!$U$8,G391),1)*IF(Upgrades!$T$10="Magnetosphere",POWER(Upgrades!$U$10,I391),1)*IF(Upgrades!$T$11="Magnetosphere",POWER(Upgrades!$U$11,J391),1)*IF(Upgrades!$T$12="Magnetosphere",POWER(Upgrades!$U$12,K391),1))+(IF(I391=0,0,(Upgrades!$G$10+I391*Upgrades!$H$10)*POWER(Upgrades!$I$10,I391)))*(IF(Upgrades!$T$6="Orbital Resonance",POWER(Upgrades!$U$6,E391),1)*IF(Upgrades!$T$7="Orbital Resonance",POWER(Upgrades!$U$7,F391),1)*IF(Upgrades!$T$8="Orbital Resonance",POWER(Upgrades!$U$8,G391),1)*IF(Upgrades!$T$9="Orbital Resonance",POWER(Upgrades!$U$9,H391),1)*IF(Upgrades!$T$11="Orbital Resonance",POWER(Upgrades!$U$11,J391),1)*IF(Upgrades!$T$12="Orbital Resonance",POWER(Upgrades!$U$12,K391),1))+(IF(J391=0,0,(Upgrades!$G$11+J391*Upgrades!$H$11)*POWER(Upgrades!$I$11,J391)))*(IF(Upgrades!$T$6="Heliopause",POWER(Upgrades!$U$6,E391),1)*IF(Upgrades!$T$7="Heliopause",POWER(Upgrades!$U$7,F391),1)*IF(Upgrades!$T$8="Heliopause",POWER(Upgrades!$U$8,G391),1)*IF(Upgrades!$T$9="Heliopause",POWER(Upgrades!$U$9,H391),1)*IF(Upgrades!$T$10="Heliopause",POWER(Upgrades!$U$10,I391),1)*IF(Upgrades!$T$12="Heliopause",POWER(Upgrades!$U$12,K391),1))+(IF(K391=0,0,(Upgrades!$G$12+K391*Upgrades!$H$12)*POWER(Upgrades!$I$12,K391)))*(IF(Upgrades!$T$6="First Photons",POWER(Upgrades!$U$6,E391),1)*IF(Upgrades!$T$7="First Photons",POWER(Upgrades!$U$7,F391),1)*IF(Upgrades!$T$8="First Photons",POWER(Upgrades!$U$8,G391),1)*IF(Upgrades!$T$9="First Photons",POWER(Upgrades!$U$9,H391),1)*IF(Upgrades!$T$10="First Photons",POWER(Upgrades!$U$10,I391),1)*IF(Upgrades!$T$11="First Photons",POWER(Upgrades!$U$11,J391),1)))*POWER(Upgrades!$P$6,E391)*POWER(Upgrades!$P$7,F391)*POWER(Upgrades!$P$8,G391)*POWER(Upgrades!$P$9,H391)*POWER(Upgrades!$P$10,I391)*POWER(Upgrades!$P$11,J391)*POWER(Upgrades!$P$12,K391)</f>
        <v/>
      </c>
      <c r="O391" s="28">
        <f>((IF(E391=0,0,(Upgrades!$M$6+E391*Upgrades!$N$6)*POWER(Upgrades!$O$6,E391)))*(IF(Upgrades!$T$7="Solar Wind",POWER(Upgrades!$U$7,F391),1)*IF(Upgrades!$T$8="Solar Wind",POWER(Upgrades!$U$8,G391),1)*IF(Upgrades!$T$9="Solar Wind",POWER(Upgrades!$U$9,H391),1)*IF(Upgrades!$T$10="Solar Wind",POWER(Upgrades!$U$10,I391),1)*IF(Upgrades!$T$11="Solar Wind",POWER(Upgrades!$U$11,J391),1)*IF(Upgrades!$T$12="Solar Wind",POWER(Upgrades!$U$12,K391),1))+(IF(F391=0,0,(Upgrades!$M$7+F391*Upgrades!$N$7)*POWER(Upgrades!$O$7,F391)))*(IF(Upgrades!$T$6="Asteroid Belt",POWER(Upgrades!$U$6,E391),1)*IF(Upgrades!$T$8="Asteroid Belt",POWER(Upgrades!$U$8,G391),1)*IF(Upgrades!$T$9="Asteroid Belt",POWER(Upgrades!$U$9,H391),1)*IF(Upgrades!$T$10="Asteroid Belt",POWER(Upgrades!$U$10,I391),1)*IF(Upgrades!$T$11="Asteroid Belt",POWER(Upgrades!$U$11,J391),1)*IF(Upgrades!$T$12="Asteroid Belt",POWER(Upgrades!$U$12,K391),1))+(IF(G391=0,0,(Upgrades!$M$8+G391*Upgrades!$N$8)*POWER(Upgrades!$O$8,G391)))*(IF(Upgrades!$T$6="Stellar Coupling",POWER(Upgrades!$U$6,E391),1)*IF(Upgrades!$T$7="Stellar Coupling",POWER(Upgrades!$U$7,F391),1)*IF(Upgrades!$T$9="Stellar Coupling",POWER(Upgrades!$U$9,H391),1)*IF(Upgrades!$T$10="Stellar Coupling",POWER(Upgrades!$U$10,I391),1)*IF(Upgrades!$T$11="Stellar Coupling",POWER(Upgrades!$U$11,J391),1)*IF(Upgrades!$T$12="Stellar Coupling",POWER(Upgrades!$U$12,K391),1))+(IF(H391=0,0,(Upgrades!$M$9+H391*Upgrades!$N$9)*POWER(Upgrades!$O$9,H391)))*(IF(Upgrades!$T$6="Magnetosphere",POWER(Upgrades!$U$6,E391),1)*IF(Upgrades!$T$7="Magnetosphere",POWER(Upgrades!$U$7,F391),1)*IF(Upgrades!$T$8="Magnetosphere",POWER(Upgrades!$U$8,G391),1)*IF(Upgrades!$T$10="Magnetosphere",POWER(Upgrades!$U$10,I391),1)*IF(Upgrades!$T$11="Magnetosphere",POWER(Upgrades!$U$11,J391),1)*IF(Upgrades!$T$12="Magnetosphere",POWER(Upgrades!$U$12,K391),1))+(IF(I391=0,0,(Upgrades!$M$10+I391*Upgrades!$N$10)*POWER(Upgrades!$O$10,I391)))*(IF(Upgrades!$T$6="Orbital Resonance",POWER(Upgrades!$U$6,E391),1)*IF(Upgrades!$T$7="Orbital Resonance",POWER(Upgrades!$U$7,F391),1)*IF(Upgrades!$T$8="Orbital Resonance",POWER(Upgrades!$U$8,G391),1)*IF(Upgrades!$T$9="Orbital Resonance",POWER(Upgrades!$U$9,H391),1)*IF(Upgrades!$T$11="Orbital Resonance",POWER(Upgrades!$U$11,J391),1)*IF(Upgrades!$T$12="Orbital Resonance",POWER(Upgrades!$U$12,K391),1))+(IF(J391=0,0,(Upgrades!$M$11+J391*Upgrades!$N$11)*POWER(Upgrades!$O$11,J391)))*(IF(Upgrades!$T$6="Heliopause",POWER(Upgrades!$U$6,E391),1)*IF(Upgrades!$T$7="Heliopause",POWER(Upgrades!$U$7,F391),1)*IF(Upgrades!$T$8="Heliopause",POWER(Upgrades!$U$8,G391),1)*IF(Upgrades!$T$9="Heliopause",POWER(Upgrades!$U$9,H391),1)*IF(Upgrades!$T$10="Heliopause",POWER(Upgrades!$U$10,I391),1)*IF(Upgrades!$T$12="Heliopause",POWER(Upgrades!$U$12,K391),1))+(IF(K391=0,0,(Upgrades!$M$12+K391*Upgrades!$N$12)*POWER(Upgrades!$O$12,K391)))*(IF(Upgrades!$T$6="First Photons",POWER(Upgrades!$U$6,E391),1)*IF(Upgrades!$T$7="First Photons",POWER(Upgrades!$U$7,F391),1)*IF(Upgrades!$T$8="First Photons",POWER(Upgrades!$U$8,G391),1)*IF(Upgrades!$T$9="First Photons",POWER(Upgrades!$U$9,H391),1)*IF(Upgrades!$T$10="First Photons",POWER(Upgrades!$U$10,I391),1)*IF(Upgrades!$T$11="First Photons",POWER(Upgrades!$U$11,J391),1)))*POWER(Upgrades!$R$6,E391)*POWER(Upgrades!$R$7,F391)*POWER(Upgrades!$R$8,G391)*POWER(Upgrades!$R$9,H391)*POWER(Upgrades!$R$10,I391)*POWER(Upgrades!$R$11,J391)*POWER(Upgrades!$R$12,K391)</f>
        <v/>
      </c>
      <c r="P391" s="27">
        <f>IF(L391=1,0,M391*Parameters!$B$10/60*Parameters!$B$11*10)</f>
        <v/>
      </c>
      <c r="Q391" s="27">
        <f>IF(L391=1,0,O391*M391*10)</f>
        <v/>
      </c>
      <c r="R391" s="27">
        <f>IF(L391=1,0,N391*10)</f>
        <v/>
      </c>
      <c r="S391" s="27">
        <f>P391+Q391+R391</f>
        <v/>
      </c>
      <c r="T391" s="22">
        <f>C391+S391</f>
        <v/>
      </c>
      <c r="U391" s="33">
        <f>AX391</f>
        <v/>
      </c>
      <c r="V391" s="22">
        <f>IF(U391="",0,IF(U391="transition",0,IF(U391="SW",AG391,IF(U391="AB",AH391,IF(U391="SC",AI391,IF(U391="Mag",AJ391,IF(U391="OR",AK391,IF(U391="HP",AL391,IF(U391="FP",AM391,0)))))))))</f>
        <v/>
      </c>
      <c r="W391" s="27">
        <f>IF(U391="OR",Upgrades!$F$10,IF(U391="HP",Upgrades!$F$11,IF(U391="transition",-Parameters!$B$18,0)))</f>
        <v/>
      </c>
      <c r="X391" s="22">
        <f>T391-V391</f>
        <v/>
      </c>
      <c r="Y391" s="30">
        <f>M391*Parameters!$B$10/60*Parameters!$B$11+O391*M391+N391</f>
        <v/>
      </c>
      <c r="Z391" s="34">
        <f>IF(U391="transition","→ Tier 2 (Stellar Neighborhood)",IF(U391="FP","First Photons — light begins, system quickens",IF(U391="HP","Heliopause acquired",IF(U391="OR","Orbital Resonance — passive multiplier active",IF(AND(AO391=1,L391=0,AN391&lt;&gt;1),"Cohesion ready (waiting on completionist upgrades)","")))))</f>
        <v/>
      </c>
      <c r="AA391" s="27">
        <f>(IF(E391=0,0,(Upgrades!$G$6+E391*Upgrades!$H$6)*POWER(Upgrades!$I$6,E391)))*(IF(Upgrades!$T$7="Solar Wind",POWER(Upgrades!$U$7,F391),1)*IF(Upgrades!$T$8="Solar Wind",POWER(Upgrades!$U$8,G391),1)*IF(Upgrades!$T$9="Solar Wind",POWER(Upgrades!$U$9,H391),1)*IF(Upgrades!$T$10="Solar Wind",POWER(Upgrades!$U$10,I391),1)*IF(Upgrades!$T$11="Solar Wind",POWER(Upgrades!$U$11,J391),1)*IF(Upgrades!$T$12="Solar Wind",POWER(Upgrades!$U$12,K391),1))*POWER(Upgrades!$P$6,E391)*POWER(Upgrades!$P$7,F391)*POWER(Upgrades!$P$8,G391)*POWER(Upgrades!$P$9,H391)*POWER(Upgrades!$P$10,I391)*POWER(Upgrades!$P$11,J391)*POWER(Upgrades!$P$12,K391)*60</f>
        <v/>
      </c>
      <c r="AB391" s="27">
        <f>(IF(F391=0,0,(Upgrades!$G$7+F391*Upgrades!$H$7)*POWER(Upgrades!$I$7,F391)))*(IF(Upgrades!$T$6="Asteroid Belt",POWER(Upgrades!$U$6,E391),1)*IF(Upgrades!$T$8="Asteroid Belt",POWER(Upgrades!$U$8,G391),1)*IF(Upgrades!$T$9="Asteroid Belt",POWER(Upgrades!$U$9,H391),1)*IF(Upgrades!$T$10="Asteroid Belt",POWER(Upgrades!$U$10,I391),1)*IF(Upgrades!$T$11="Asteroid Belt",POWER(Upgrades!$U$11,J391),1)*IF(Upgrades!$T$12="Asteroid Belt",POWER(Upgrades!$U$12,K391),1))*POWER(Upgrades!$P$6,E391)*POWER(Upgrades!$P$7,F391)*POWER(Upgrades!$P$8,G391)*POWER(Upgrades!$P$9,H391)*POWER(Upgrades!$P$10,I391)*POWER(Upgrades!$P$11,J391)*POWER(Upgrades!$P$12,K391)*60</f>
        <v/>
      </c>
      <c r="AC391" s="27">
        <f>(IF(G391=0,0,(Upgrades!$J$8+G391*Upgrades!$K$8)*POWER(Upgrades!$L$8,G391)))*(IF(Upgrades!$T$6="Stellar Coupling",POWER(Upgrades!$U$6,E391),1)*IF(Upgrades!$T$7="Stellar Coupling",POWER(Upgrades!$U$7,F391),1)*IF(Upgrades!$T$9="Stellar Coupling",POWER(Upgrades!$U$9,H391),1)*IF(Upgrades!$T$10="Stellar Coupling",POWER(Upgrades!$U$10,I391),1)*IF(Upgrades!$T$11="Stellar Coupling",POWER(Upgrades!$U$11,J391),1)*IF(Upgrades!$T$12="Stellar Coupling",POWER(Upgrades!$U$12,K391),1))*POWER(Upgrades!$Q$6,E391)*POWER(Upgrades!$Q$7,F391)*POWER(Upgrades!$Q$8,G391)*POWER(Upgrades!$Q$9,H391)*POWER(Upgrades!$Q$10,I391)*POWER(Upgrades!$Q$11,J391)*POWER(Upgrades!$Q$12,K391)*Parameters!$B$10*Parameters!$B$11</f>
        <v/>
      </c>
      <c r="AD391" s="27">
        <f>(IF(H391=0,0,(Upgrades!$G$9+H391*Upgrades!$H$9)*POWER(Upgrades!$I$9,H391)))*(IF(Upgrades!$T$6="Magnetosphere",POWER(Upgrades!$U$6,E391),1)*IF(Upgrades!$T$7="Magnetosphere",POWER(Upgrades!$U$7,F391),1)*IF(Upgrades!$T$8="Magnetosphere",POWER(Upgrades!$U$8,G391),1)*IF(Upgrades!$T$10="Magnetosphere",POWER(Upgrades!$U$10,I391),1)*IF(Upgrades!$T$11="Magnetosphere",POWER(Upgrades!$U$11,J391),1)*IF(Upgrades!$T$12="Magnetosphere",POWER(Upgrades!$U$12,K391),1))*POWER(Upgrades!$P$6,E391)*POWER(Upgrades!$P$7,F391)*POWER(Upgrades!$P$8,G391)*POWER(Upgrades!$P$9,H391)*POWER(Upgrades!$P$10,I391)*POWER(Upgrades!$P$11,J391)*POWER(Upgrades!$P$12,K391)*60</f>
        <v/>
      </c>
      <c r="AE391" s="27">
        <f>(IF(K391=0,0,(Upgrades!$G$12+K391*Upgrades!$H$12)*POWER(Upgrades!$I$12,K391)))*(IF(Upgrades!$T$6="First Photons",POWER(Upgrades!$U$6,E391),1)*IF(Upgrades!$T$7="First Photons",POWER(Upgrades!$U$7,F391),1)*IF(Upgrades!$T$8="First Photons",POWER(Upgrades!$U$8,G391),1)*IF(Upgrades!$T$9="First Photons",POWER(Upgrades!$U$9,H391),1)*IF(Upgrades!$T$10="First Photons",POWER(Upgrades!$U$10,I391),1)*IF(Upgrades!$T$11="First Photons",POWER(Upgrades!$U$11,J391),1))*POWER(Upgrades!$P$6,E391)*POWER(Upgrades!$P$7,F391)*POWER(Upgrades!$P$8,G391)*POWER(Upgrades!$P$9,H391)*POWER(Upgrades!$P$10,I391)*POWER(Upgrades!$P$11,J391)*POWER(Upgrades!$P$12,K391)*60</f>
        <v/>
      </c>
      <c r="AF391" s="27">
        <f>Parameters!$B$9*POWER(Upgrades!$Q$6,E391)*POWER(Upgrades!$Q$7,F391)*POWER(Upgrades!$Q$8,G391)*POWER(Upgrades!$Q$9,H391)*POWER(Upgrades!$Q$10,I391)*POWER(Upgrades!$Q$11,J391)*POWER(Upgrades!$Q$12,K391)*(Parameters!$B$10*Parameters!$B$11+O391*60)</f>
        <v/>
      </c>
      <c r="AG391" s="22">
        <f>IF(E391&gt;=Upgrades!$E$6,"",Upgrades!$C$6*POWER(Upgrades!$D$6,E391))</f>
        <v/>
      </c>
      <c r="AH391" s="22">
        <f>IF(F391&gt;=Upgrades!$E$7,"",Upgrades!$C$7*POWER(Upgrades!$D$7,F391))</f>
        <v/>
      </c>
      <c r="AI391" s="22">
        <f>IF(G391&gt;=Upgrades!$E$8,"",Upgrades!$C$8*POWER(Upgrades!$D$8,G391))</f>
        <v/>
      </c>
      <c r="AJ391" s="22">
        <f>IF(H391&gt;=Upgrades!$E$9,"",Upgrades!$C$9*POWER(Upgrades!$D$9,H391))</f>
        <v/>
      </c>
      <c r="AK391" s="22">
        <f>IF(I391&gt;=Upgrades!$E$10,"",Upgrades!$C$10*POWER(Upgrades!$D$10,I391))</f>
        <v/>
      </c>
      <c r="AL391" s="22">
        <f>IF(J391&gt;=Upgrades!$E$11,"",Upgrades!$C$11*POWER(Upgrades!$D$11,J391))</f>
        <v/>
      </c>
      <c r="AM391" s="22">
        <f>IF(K391&gt;=Upgrades!$E$12,"",Upgrades!$C$12*POWER(Upgrades!$D$12,K391))</f>
        <v/>
      </c>
      <c r="AN391" s="26">
        <f>IF(AND(D391&gt;=Parameters!$B$18,(H391&gt;=Upgrades!$E$9)*(K391&gt;=Upgrades!$E$12)=1,L391=0),1,"")</f>
        <v/>
      </c>
      <c r="AO391" s="26">
        <f>IF(AND(D391&gt;=Parameters!$B$18,L391=0),1,"")</f>
        <v/>
      </c>
      <c r="AP391" s="22">
        <f>MIN(IF(ISNUMBER(AK391),AK391,9E15),IF(ISNUMBER(AL391),AL391,9E15),IF(ISNUMBER(AM391),AM391,9E15))</f>
        <v/>
      </c>
      <c r="AQ391" s="22">
        <f>MIN(IF(ISNUMBER(AG391),AG391,9E15),IF(ISNUMBER(AH391),AH391,9E15),IF(ISNUMBER(AI391),AI391,9E15),IF(ISNUMBER(AJ391),AJ391,9E15))</f>
        <v/>
      </c>
      <c r="AR391" s="29">
        <f>IF(AW391&gt;Parameters!$B$21*(MAX(IF(AND(NOT(AND(AO391=1,AN391&lt;&gt;1)),ISNUMBER(AG391),AG391&lt;=T391),AS391,0),IF(AND(NOT(AND(AO391=1,AN391&lt;&gt;1)),ISNUMBER(AH391),AH391&lt;=T391),AT391,0),IF(AND(NOT(AND(AO391=1,AN391&lt;&gt;1)),ISNUMBER(AI391),AI391&lt;=T391),AU391,0),IF(AND(ISNUMBER(AJ391),AJ391&lt;=T391),AV391,0))),TRUE,FALSE)</f>
        <v/>
      </c>
      <c r="AS391" s="32">
        <f>IFERROR(Upgrades!$H$6*(POWER(Upgrades!$P$6,E391)*POWER(Upgrades!$P$7,F391)*POWER(Upgrades!$P$8,G391)*POWER(Upgrades!$P$9,H391)*POWER(Upgrades!$P$10,I391)*POWER(Upgrades!$P$11,J391)*POWER(Upgrades!$P$12,K391))*(IF(Upgrades!$T$7="Solar Wind",POWER(Upgrades!$U$7,F391),1)*IF(Upgrades!$T$8="Solar Wind",POWER(Upgrades!$U$8,G391),1)*IF(Upgrades!$T$9="Solar Wind",POWER(Upgrades!$U$9,H391),1)*IF(Upgrades!$T$10="Solar Wind",POWER(Upgrades!$U$10,I391),1)*IF(Upgrades!$T$11="Solar Wind",POWER(Upgrades!$U$11,J391),1)*IF(Upgrades!$T$12="Solar Wind",POWER(Upgrades!$U$12,K391),1))/AG391,0)</f>
        <v/>
      </c>
      <c r="AT391" s="32">
        <f>IFERROR(Upgrades!$H$7*(POWER(Upgrades!$P$6,E391)*POWER(Upgrades!$P$7,F391)*POWER(Upgrades!$P$8,G391)*POWER(Upgrades!$P$9,H391)*POWER(Upgrades!$P$10,I391)*POWER(Upgrades!$P$11,J391)*POWER(Upgrades!$P$12,K391))*(IF(Upgrades!$T$6="Asteroid Belt",POWER(Upgrades!$U$6,E391),1)*IF(Upgrades!$T$8="Asteroid Belt",POWER(Upgrades!$U$8,G391),1)*IF(Upgrades!$T$9="Asteroid Belt",POWER(Upgrades!$U$9,H391),1)*IF(Upgrades!$T$10="Asteroid Belt",POWER(Upgrades!$U$10,I391),1)*IF(Upgrades!$T$11="Asteroid Belt",POWER(Upgrades!$U$11,J391),1)*IF(Upgrades!$T$12="Asteroid Belt",POWER(Upgrades!$U$12,K391),1))/AH391,0)</f>
        <v/>
      </c>
      <c r="AU391" s="32">
        <f>IFERROR(Upgrades!$K$8*(POWER(Upgrades!$Q$6,E391)*POWER(Upgrades!$Q$7,F391)*POWER(Upgrades!$Q$8,G391)*POWER(Upgrades!$Q$9,H391)*POWER(Upgrades!$Q$10,I391)*POWER(Upgrades!$Q$11,J391)*POWER(Upgrades!$Q$12,K391))*(IF(Upgrades!$T$6="Stellar Coupling",POWER(Upgrades!$U$6,E391),1)*IF(Upgrades!$T$7="Stellar Coupling",POWER(Upgrades!$U$7,F391),1)*IF(Upgrades!$T$9="Stellar Coupling",POWER(Upgrades!$U$9,H391),1)*IF(Upgrades!$T$10="Stellar Coupling",POWER(Upgrades!$U$10,I391),1)*IF(Upgrades!$T$11="Stellar Coupling",POWER(Upgrades!$U$11,J391),1)*IF(Upgrades!$T$12="Stellar Coupling",POWER(Upgrades!$U$12,K391),1))*Parameters!$B$10*Parameters!$B$11/60/AI391,0)</f>
        <v/>
      </c>
      <c r="AV391" s="32">
        <f>IFERROR(Upgrades!$H$9*(POWER(Upgrades!$P$6,E391)*POWER(Upgrades!$P$7,F391)*POWER(Upgrades!$P$8,G391)*POWER(Upgrades!$P$9,H391)*POWER(Upgrades!$P$10,I391)*POWER(Upgrades!$P$11,J391)*POWER(Upgrades!$P$12,K391))*(IF(Upgrades!$T$6="Magnetosphere",POWER(Upgrades!$U$6,E391),1)*IF(Upgrades!$T$7="Magnetosphere",POWER(Upgrades!$U$7,F391),1)*IF(Upgrades!$T$8="Magnetosphere",POWER(Upgrades!$U$8,G391),1)*IF(Upgrades!$T$10="Magnetosphere",POWER(Upgrades!$U$10,I391),1)*IF(Upgrades!$T$11="Magnetosphere",POWER(Upgrades!$U$11,J391),1)*IF(Upgrades!$T$12="Magnetosphere",POWER(Upgrades!$U$12,K391),1))/AJ391,0)</f>
        <v/>
      </c>
      <c r="AW391" s="32">
        <f>MAX(IF(I391&gt;0,0,IFERROR(0.25*N391/Upgrades!$C$10,0)),IF(J391&gt;0,0,IFERROR(0.5*((IF(G391=0,0,(Upgrades!$J$8+G391*Upgrades!$K$8)*POWER(Upgrades!$L$8,G391)))*(IF(Upgrades!$T$6="Stellar Coupling",POWER(Upgrades!$U$6,E391),1)*IF(Upgrades!$T$7="Stellar Coupling",POWER(Upgrades!$U$7,F391),1)*IF(Upgrades!$T$9="Stellar Coupling",POWER(Upgrades!$U$9,H391),1)*IF(Upgrades!$T$10="Stellar Coupling",POWER(Upgrades!$U$10,I391),1)*IF(Upgrades!$T$11="Stellar Coupling",POWER(Upgrades!$U$11,J391),1)*IF(Upgrades!$T$12="Stellar Coupling",POWER(Upgrades!$U$12,K391),1))*(POWER(Upgrades!$Q$6,E391)*POWER(Upgrades!$Q$7,F391)*POWER(Upgrades!$Q$8,G391)*POWER(Upgrades!$Q$9,H391)*POWER(Upgrades!$Q$10,I391)*POWER(Upgrades!$Q$11,J391)*POWER(Upgrades!$Q$12,K391))*Parameters!$B$10*Parameters!$B$11/60)/Upgrades!$C$11,0)),IF(K391&gt;0,0,IFERROR((1.0*(POWER(Upgrades!$P$6,E391)*POWER(Upgrades!$P$7,F391)*POWER(Upgrades!$P$8,G391)*POWER(Upgrades!$P$9,H391)*POWER(Upgrades!$P$10,I391)*POWER(Upgrades!$P$11,J391)*POWER(Upgrades!$P$12,K391))+0.20*M391*Parameters!$B$10*Parameters!$B$11/60)/Upgrades!$C$12,0)),IF(AND(ISNUMBER(AG391),AG391&gt;T391),AS391,0),IF(AND(ISNUMBER(AH391),AH391&gt;T391),AT391,0),IF(AND(ISNUMBER(AI391),AI391&gt;T391),AU391,0),IF(AND(ISNUMBER(AJ391),AJ391&gt;T391),AV391,0))</f>
        <v/>
      </c>
      <c r="AX391" s="29">
        <f>IF(AN391=1,"transition",IF(MIN(IF(AND(I391=0,ISNUMBER(AK391),AK391&lt;=T391),AK391,9E15),IF(AND(J391=0,ISNUMBER(AL391),AL391&lt;=T391),AL391,9E15),IF(AND(K391=0,ISNUMBER(AM391),AM391&lt;=T391),AM391,9E15))&lt;9E15,IF(AND(AND(I391=0,ISNUMBER(AK391),AK391&lt;=T391),AK391=MIN(IF(AND(I391=0,ISNUMBER(AK391),AK391&lt;=T391),AK391,9E15),IF(AND(J391=0,ISNUMBER(AL391),AL391&lt;=T391),AL391,9E15),IF(AND(K391=0,ISNUMBER(AM391),AM391&lt;=T391),AM391,9E15))),"OR",IF(AND(AND(J391=0,ISNUMBER(AL391),AL391&lt;=T391),AL391=MIN(IF(AND(I391=0,ISNUMBER(AK391),AK391&lt;=T391),AK391,9E15),IF(AND(J391=0,ISNUMBER(AL391),AL391&lt;=T391),AL391,9E15),IF(AND(K391=0,ISNUMBER(AM391),AM391&lt;=T391),AM391,9E15))),"HP","FP")),IF(AR391=TRUE,"",IF(MAX(IF(AND(NOT(AND(AO391=1,AN391&lt;&gt;1)),ISNUMBER(AG391),AG391&lt;=T391),AS391,0),IF(AND(NOT(AND(AO391=1,AN391&lt;&gt;1)),ISNUMBER(AH391),AH391&lt;=T391),AT391,0),IF(AND(NOT(AND(AO391=1,AN391&lt;&gt;1)),ISNUMBER(AI391),AI391&lt;=T391),AU391,0),IF(AND(ISNUMBER(AJ391),AJ391&lt;=T391),AV391,0))&lt;=0,"",IF(AND(IF(AND(NOT(AND(AO391=1,AN391&lt;&gt;1)),ISNUMBER(AG391),AG391&lt;=T391),AS391,0)&gt;0,IF(AND(NOT(AND(AO391=1,AN391&lt;&gt;1)),ISNUMBER(AG391),AG391&lt;=T391),AS391,0)=MAX(IF(AND(NOT(AND(AO391=1,AN391&lt;&gt;1)),ISNUMBER(AG391),AG391&lt;=T391),AS391,0),IF(AND(NOT(AND(AO391=1,AN391&lt;&gt;1)),ISNUMBER(AH391),AH391&lt;=T391),AT391,0),IF(AND(NOT(AND(AO391=1,AN391&lt;&gt;1)),ISNUMBER(AI391),AI391&lt;=T391),AU391,0),IF(AND(ISNUMBER(AJ391),AJ391&lt;=T391),AV391,0))),"SW",IF(AND(IF(AND(NOT(AND(AO391=1,AN391&lt;&gt;1)),ISNUMBER(AH391),AH391&lt;=T391),AT391,0)&gt;0,IF(AND(NOT(AND(AO391=1,AN391&lt;&gt;1)),ISNUMBER(AH391),AH391&lt;=T391),AT391,0)=MAX(IF(AND(NOT(AND(AO391=1,AN391&lt;&gt;1)),ISNUMBER(AG391),AG391&lt;=T391),AS391,0),IF(AND(NOT(AND(AO391=1,AN391&lt;&gt;1)),ISNUMBER(AH391),AH391&lt;=T391),AT391,0),IF(AND(NOT(AND(AO391=1,AN391&lt;&gt;1)),ISNUMBER(AI391),AI391&lt;=T391),AU391,0),IF(AND(ISNUMBER(AJ391),AJ391&lt;=T391),AV391,0))),"AB",IF(AND(IF(AND(NOT(AND(AO391=1,AN391&lt;&gt;1)),ISNUMBER(AI391),AI391&lt;=T391),AU391,0)&gt;0,IF(AND(NOT(AND(AO391=1,AN391&lt;&gt;1)),ISNUMBER(AI391),AI391&lt;=T391),AU391,0)=MAX(IF(AND(NOT(AND(AO391=1,AN391&lt;&gt;1)),ISNUMBER(AG391),AG391&lt;=T391),AS391,0),IF(AND(NOT(AND(AO391=1,AN391&lt;&gt;1)),ISNUMBER(AH391),AH391&lt;=T391),AT391,0),IF(AND(NOT(AND(AO391=1,AN391&lt;&gt;1)),ISNUMBER(AI391),AI391&lt;=T391),AU391,0),IF(AND(ISNUMBER(AJ391),AJ391&lt;=T391),AV391,0))),"SC","Mag")))))))</f>
        <v/>
      </c>
    </row>
    <row r="392">
      <c r="A392" s="26" t="n">
        <v>387</v>
      </c>
      <c r="B392" s="27">
        <f>A392*10/60</f>
        <v/>
      </c>
      <c r="C392" s="22">
        <f>X391</f>
        <v/>
      </c>
      <c r="D392" s="27">
        <f>D391+W391</f>
        <v/>
      </c>
      <c r="E392" s="26">
        <f>E391+IF(U391="SW",1,0)</f>
        <v/>
      </c>
      <c r="F392" s="26">
        <f>F391+IF(U391="AB",1,0)</f>
        <v/>
      </c>
      <c r="G392" s="26">
        <f>G391+IF(U391="SC",1,0)</f>
        <v/>
      </c>
      <c r="H392" s="26">
        <f>H391+IF(U391="Mag",1,0)</f>
        <v/>
      </c>
      <c r="I392" s="26">
        <f>MAX(I391,IF(U391="OR",1,0))</f>
        <v/>
      </c>
      <c r="J392" s="26">
        <f>MAX(J391,IF(U391="HP",1,0))</f>
        <v/>
      </c>
      <c r="K392" s="26">
        <f>MAX(K391,IF(U391="FP",1,0))</f>
        <v/>
      </c>
      <c r="L392" s="26">
        <f>MAX(L391,IF(U391="transition",1,0))</f>
        <v/>
      </c>
      <c r="M392" s="28">
        <f>(Parameters!$B$9+(IF(E392=0,0,(Upgrades!$J$6+E392*Upgrades!$K$6)*POWER(Upgrades!$L$6,E392)))*(IF(Upgrades!$T$7="Solar Wind",POWER(Upgrades!$U$7,F392),1)*IF(Upgrades!$T$8="Solar Wind",POWER(Upgrades!$U$8,G392),1)*IF(Upgrades!$T$9="Solar Wind",POWER(Upgrades!$U$9,H392),1)*IF(Upgrades!$T$10="Solar Wind",POWER(Upgrades!$U$10,I392),1)*IF(Upgrades!$T$11="Solar Wind",POWER(Upgrades!$U$11,J392),1)*IF(Upgrades!$T$12="Solar Wind",POWER(Upgrades!$U$12,K392),1))+(IF(F392=0,0,(Upgrades!$J$7+F392*Upgrades!$K$7)*POWER(Upgrades!$L$7,F392)))*(IF(Upgrades!$T$6="Asteroid Belt",POWER(Upgrades!$U$6,E392),1)*IF(Upgrades!$T$8="Asteroid Belt",POWER(Upgrades!$U$8,G392),1)*IF(Upgrades!$T$9="Asteroid Belt",POWER(Upgrades!$U$9,H392),1)*IF(Upgrades!$T$10="Asteroid Belt",POWER(Upgrades!$U$10,I392),1)*IF(Upgrades!$T$11="Asteroid Belt",POWER(Upgrades!$U$11,J392),1)*IF(Upgrades!$T$12="Asteroid Belt",POWER(Upgrades!$U$12,K392),1))+(IF(G392=0,0,(Upgrades!$J$8+G392*Upgrades!$K$8)*POWER(Upgrades!$L$8,G392)))*(IF(Upgrades!$T$6="Stellar Coupling",POWER(Upgrades!$U$6,E392),1)*IF(Upgrades!$T$7="Stellar Coupling",POWER(Upgrades!$U$7,F392),1)*IF(Upgrades!$T$9="Stellar Coupling",POWER(Upgrades!$U$9,H392),1)*IF(Upgrades!$T$10="Stellar Coupling",POWER(Upgrades!$U$10,I392),1)*IF(Upgrades!$T$11="Stellar Coupling",POWER(Upgrades!$U$11,J392),1)*IF(Upgrades!$T$12="Stellar Coupling",POWER(Upgrades!$U$12,K392),1))+(IF(H392=0,0,(Upgrades!$J$9+H392*Upgrades!$K$9)*POWER(Upgrades!$L$9,H392)))*(IF(Upgrades!$T$6="Magnetosphere",POWER(Upgrades!$U$6,E392),1)*IF(Upgrades!$T$7="Magnetosphere",POWER(Upgrades!$U$7,F392),1)*IF(Upgrades!$T$8="Magnetosphere",POWER(Upgrades!$U$8,G392),1)*IF(Upgrades!$T$10="Magnetosphere",POWER(Upgrades!$U$10,I392),1)*IF(Upgrades!$T$11="Magnetosphere",POWER(Upgrades!$U$11,J392),1)*IF(Upgrades!$T$12="Magnetosphere",POWER(Upgrades!$U$12,K392),1))+(IF(I392=0,0,(Upgrades!$J$10+I392*Upgrades!$K$10)*POWER(Upgrades!$L$10,I392)))*(IF(Upgrades!$T$6="Orbital Resonance",POWER(Upgrades!$U$6,E392),1)*IF(Upgrades!$T$7="Orbital Resonance",POWER(Upgrades!$U$7,F392),1)*IF(Upgrades!$T$8="Orbital Resonance",POWER(Upgrades!$U$8,G392),1)*IF(Upgrades!$T$9="Orbital Resonance",POWER(Upgrades!$U$9,H392),1)*IF(Upgrades!$T$11="Orbital Resonance",POWER(Upgrades!$U$11,J392),1)*IF(Upgrades!$T$12="Orbital Resonance",POWER(Upgrades!$U$12,K392),1))+(IF(J392=0,0,(Upgrades!$J$11+J392*Upgrades!$K$11)*POWER(Upgrades!$L$11,J392)))*(IF(Upgrades!$T$6="Heliopause",POWER(Upgrades!$U$6,E392),1)*IF(Upgrades!$T$7="Heliopause",POWER(Upgrades!$U$7,F392),1)*IF(Upgrades!$T$8="Heliopause",POWER(Upgrades!$U$8,G392),1)*IF(Upgrades!$T$9="Heliopause",POWER(Upgrades!$U$9,H392),1)*IF(Upgrades!$T$10="Heliopause",POWER(Upgrades!$U$10,I392),1)*IF(Upgrades!$T$12="Heliopause",POWER(Upgrades!$U$12,K392),1))+(IF(K392=0,0,(Upgrades!$J$12+K392*Upgrades!$K$12)*POWER(Upgrades!$L$12,K392)))*(IF(Upgrades!$T$6="First Photons",POWER(Upgrades!$U$6,E392),1)*IF(Upgrades!$T$7="First Photons",POWER(Upgrades!$U$7,F392),1)*IF(Upgrades!$T$8="First Photons",POWER(Upgrades!$U$8,G392),1)*IF(Upgrades!$T$9="First Photons",POWER(Upgrades!$U$9,H392),1)*IF(Upgrades!$T$10="First Photons",POWER(Upgrades!$U$10,I392),1)*IF(Upgrades!$T$11="First Photons",POWER(Upgrades!$U$11,J392),1)))*POWER(Upgrades!$Q$6,E392)*POWER(Upgrades!$Q$7,F392)*POWER(Upgrades!$Q$8,G392)*POWER(Upgrades!$Q$9,H392)*POWER(Upgrades!$Q$10,I392)*POWER(Upgrades!$Q$11,J392)*POWER(Upgrades!$Q$12,K392)</f>
        <v/>
      </c>
      <c r="N392" s="28">
        <f>((IF(E392=0,0,(Upgrades!$G$6+E392*Upgrades!$H$6)*POWER(Upgrades!$I$6,E392)))*(IF(Upgrades!$T$7="Solar Wind",POWER(Upgrades!$U$7,F392),1)*IF(Upgrades!$T$8="Solar Wind",POWER(Upgrades!$U$8,G392),1)*IF(Upgrades!$T$9="Solar Wind",POWER(Upgrades!$U$9,H392),1)*IF(Upgrades!$T$10="Solar Wind",POWER(Upgrades!$U$10,I392),1)*IF(Upgrades!$T$11="Solar Wind",POWER(Upgrades!$U$11,J392),1)*IF(Upgrades!$T$12="Solar Wind",POWER(Upgrades!$U$12,K392),1))+(IF(F392=0,0,(Upgrades!$G$7+F392*Upgrades!$H$7)*POWER(Upgrades!$I$7,F392)))*(IF(Upgrades!$T$6="Asteroid Belt",POWER(Upgrades!$U$6,E392),1)*IF(Upgrades!$T$8="Asteroid Belt",POWER(Upgrades!$U$8,G392),1)*IF(Upgrades!$T$9="Asteroid Belt",POWER(Upgrades!$U$9,H392),1)*IF(Upgrades!$T$10="Asteroid Belt",POWER(Upgrades!$U$10,I392),1)*IF(Upgrades!$T$11="Asteroid Belt",POWER(Upgrades!$U$11,J392),1)*IF(Upgrades!$T$12="Asteroid Belt",POWER(Upgrades!$U$12,K392),1))+(IF(G392=0,0,(Upgrades!$G$8+G392*Upgrades!$H$8)*POWER(Upgrades!$I$8,G392)))*(IF(Upgrades!$T$6="Stellar Coupling",POWER(Upgrades!$U$6,E392),1)*IF(Upgrades!$T$7="Stellar Coupling",POWER(Upgrades!$U$7,F392),1)*IF(Upgrades!$T$9="Stellar Coupling",POWER(Upgrades!$U$9,H392),1)*IF(Upgrades!$T$10="Stellar Coupling",POWER(Upgrades!$U$10,I392),1)*IF(Upgrades!$T$11="Stellar Coupling",POWER(Upgrades!$U$11,J392),1)*IF(Upgrades!$T$12="Stellar Coupling",POWER(Upgrades!$U$12,K392),1))+(IF(H392=0,0,(Upgrades!$G$9+H392*Upgrades!$H$9)*POWER(Upgrades!$I$9,H392)))*(IF(Upgrades!$T$6="Magnetosphere",POWER(Upgrades!$U$6,E392),1)*IF(Upgrades!$T$7="Magnetosphere",POWER(Upgrades!$U$7,F392),1)*IF(Upgrades!$T$8="Magnetosphere",POWER(Upgrades!$U$8,G392),1)*IF(Upgrades!$T$10="Magnetosphere",POWER(Upgrades!$U$10,I392),1)*IF(Upgrades!$T$11="Magnetosphere",POWER(Upgrades!$U$11,J392),1)*IF(Upgrades!$T$12="Magnetosphere",POWER(Upgrades!$U$12,K392),1))+(IF(I392=0,0,(Upgrades!$G$10+I392*Upgrades!$H$10)*POWER(Upgrades!$I$10,I392)))*(IF(Upgrades!$T$6="Orbital Resonance",POWER(Upgrades!$U$6,E392),1)*IF(Upgrades!$T$7="Orbital Resonance",POWER(Upgrades!$U$7,F392),1)*IF(Upgrades!$T$8="Orbital Resonance",POWER(Upgrades!$U$8,G392),1)*IF(Upgrades!$T$9="Orbital Resonance",POWER(Upgrades!$U$9,H392),1)*IF(Upgrades!$T$11="Orbital Resonance",POWER(Upgrades!$U$11,J392),1)*IF(Upgrades!$T$12="Orbital Resonance",POWER(Upgrades!$U$12,K392),1))+(IF(J392=0,0,(Upgrades!$G$11+J392*Upgrades!$H$11)*POWER(Upgrades!$I$11,J392)))*(IF(Upgrades!$T$6="Heliopause",POWER(Upgrades!$U$6,E392),1)*IF(Upgrades!$T$7="Heliopause",POWER(Upgrades!$U$7,F392),1)*IF(Upgrades!$T$8="Heliopause",POWER(Upgrades!$U$8,G392),1)*IF(Upgrades!$T$9="Heliopause",POWER(Upgrades!$U$9,H392),1)*IF(Upgrades!$T$10="Heliopause",POWER(Upgrades!$U$10,I392),1)*IF(Upgrades!$T$12="Heliopause",POWER(Upgrades!$U$12,K392),1))+(IF(K392=0,0,(Upgrades!$G$12+K392*Upgrades!$H$12)*POWER(Upgrades!$I$12,K392)))*(IF(Upgrades!$T$6="First Photons",POWER(Upgrades!$U$6,E392),1)*IF(Upgrades!$T$7="First Photons",POWER(Upgrades!$U$7,F392),1)*IF(Upgrades!$T$8="First Photons",POWER(Upgrades!$U$8,G392),1)*IF(Upgrades!$T$9="First Photons",POWER(Upgrades!$U$9,H392),1)*IF(Upgrades!$T$10="First Photons",POWER(Upgrades!$U$10,I392),1)*IF(Upgrades!$T$11="First Photons",POWER(Upgrades!$U$11,J392),1)))*POWER(Upgrades!$P$6,E392)*POWER(Upgrades!$P$7,F392)*POWER(Upgrades!$P$8,G392)*POWER(Upgrades!$P$9,H392)*POWER(Upgrades!$P$10,I392)*POWER(Upgrades!$P$11,J392)*POWER(Upgrades!$P$12,K392)</f>
        <v/>
      </c>
      <c r="O392" s="28">
        <f>((IF(E392=0,0,(Upgrades!$M$6+E392*Upgrades!$N$6)*POWER(Upgrades!$O$6,E392)))*(IF(Upgrades!$T$7="Solar Wind",POWER(Upgrades!$U$7,F392),1)*IF(Upgrades!$T$8="Solar Wind",POWER(Upgrades!$U$8,G392),1)*IF(Upgrades!$T$9="Solar Wind",POWER(Upgrades!$U$9,H392),1)*IF(Upgrades!$T$10="Solar Wind",POWER(Upgrades!$U$10,I392),1)*IF(Upgrades!$T$11="Solar Wind",POWER(Upgrades!$U$11,J392),1)*IF(Upgrades!$T$12="Solar Wind",POWER(Upgrades!$U$12,K392),1))+(IF(F392=0,0,(Upgrades!$M$7+F392*Upgrades!$N$7)*POWER(Upgrades!$O$7,F392)))*(IF(Upgrades!$T$6="Asteroid Belt",POWER(Upgrades!$U$6,E392),1)*IF(Upgrades!$T$8="Asteroid Belt",POWER(Upgrades!$U$8,G392),1)*IF(Upgrades!$T$9="Asteroid Belt",POWER(Upgrades!$U$9,H392),1)*IF(Upgrades!$T$10="Asteroid Belt",POWER(Upgrades!$U$10,I392),1)*IF(Upgrades!$T$11="Asteroid Belt",POWER(Upgrades!$U$11,J392),1)*IF(Upgrades!$T$12="Asteroid Belt",POWER(Upgrades!$U$12,K392),1))+(IF(G392=0,0,(Upgrades!$M$8+G392*Upgrades!$N$8)*POWER(Upgrades!$O$8,G392)))*(IF(Upgrades!$T$6="Stellar Coupling",POWER(Upgrades!$U$6,E392),1)*IF(Upgrades!$T$7="Stellar Coupling",POWER(Upgrades!$U$7,F392),1)*IF(Upgrades!$T$9="Stellar Coupling",POWER(Upgrades!$U$9,H392),1)*IF(Upgrades!$T$10="Stellar Coupling",POWER(Upgrades!$U$10,I392),1)*IF(Upgrades!$T$11="Stellar Coupling",POWER(Upgrades!$U$11,J392),1)*IF(Upgrades!$T$12="Stellar Coupling",POWER(Upgrades!$U$12,K392),1))+(IF(H392=0,0,(Upgrades!$M$9+H392*Upgrades!$N$9)*POWER(Upgrades!$O$9,H392)))*(IF(Upgrades!$T$6="Magnetosphere",POWER(Upgrades!$U$6,E392),1)*IF(Upgrades!$T$7="Magnetosphere",POWER(Upgrades!$U$7,F392),1)*IF(Upgrades!$T$8="Magnetosphere",POWER(Upgrades!$U$8,G392),1)*IF(Upgrades!$T$10="Magnetosphere",POWER(Upgrades!$U$10,I392),1)*IF(Upgrades!$T$11="Magnetosphere",POWER(Upgrades!$U$11,J392),1)*IF(Upgrades!$T$12="Magnetosphere",POWER(Upgrades!$U$12,K392),1))+(IF(I392=0,0,(Upgrades!$M$10+I392*Upgrades!$N$10)*POWER(Upgrades!$O$10,I392)))*(IF(Upgrades!$T$6="Orbital Resonance",POWER(Upgrades!$U$6,E392),1)*IF(Upgrades!$T$7="Orbital Resonance",POWER(Upgrades!$U$7,F392),1)*IF(Upgrades!$T$8="Orbital Resonance",POWER(Upgrades!$U$8,G392),1)*IF(Upgrades!$T$9="Orbital Resonance",POWER(Upgrades!$U$9,H392),1)*IF(Upgrades!$T$11="Orbital Resonance",POWER(Upgrades!$U$11,J392),1)*IF(Upgrades!$T$12="Orbital Resonance",POWER(Upgrades!$U$12,K392),1))+(IF(J392=0,0,(Upgrades!$M$11+J392*Upgrades!$N$11)*POWER(Upgrades!$O$11,J392)))*(IF(Upgrades!$T$6="Heliopause",POWER(Upgrades!$U$6,E392),1)*IF(Upgrades!$T$7="Heliopause",POWER(Upgrades!$U$7,F392),1)*IF(Upgrades!$T$8="Heliopause",POWER(Upgrades!$U$8,G392),1)*IF(Upgrades!$T$9="Heliopause",POWER(Upgrades!$U$9,H392),1)*IF(Upgrades!$T$10="Heliopause",POWER(Upgrades!$U$10,I392),1)*IF(Upgrades!$T$12="Heliopause",POWER(Upgrades!$U$12,K392),1))+(IF(K392=0,0,(Upgrades!$M$12+K392*Upgrades!$N$12)*POWER(Upgrades!$O$12,K392)))*(IF(Upgrades!$T$6="First Photons",POWER(Upgrades!$U$6,E392),1)*IF(Upgrades!$T$7="First Photons",POWER(Upgrades!$U$7,F392),1)*IF(Upgrades!$T$8="First Photons",POWER(Upgrades!$U$8,G392),1)*IF(Upgrades!$T$9="First Photons",POWER(Upgrades!$U$9,H392),1)*IF(Upgrades!$T$10="First Photons",POWER(Upgrades!$U$10,I392),1)*IF(Upgrades!$T$11="First Photons",POWER(Upgrades!$U$11,J392),1)))*POWER(Upgrades!$R$6,E392)*POWER(Upgrades!$R$7,F392)*POWER(Upgrades!$R$8,G392)*POWER(Upgrades!$R$9,H392)*POWER(Upgrades!$R$10,I392)*POWER(Upgrades!$R$11,J392)*POWER(Upgrades!$R$12,K392)</f>
        <v/>
      </c>
      <c r="P392" s="27">
        <f>IF(L392=1,0,M392*Parameters!$B$10/60*Parameters!$B$11*10)</f>
        <v/>
      </c>
      <c r="Q392" s="27">
        <f>IF(L392=1,0,O392*M392*10)</f>
        <v/>
      </c>
      <c r="R392" s="27">
        <f>IF(L392=1,0,N392*10)</f>
        <v/>
      </c>
      <c r="S392" s="27">
        <f>P392+Q392+R392</f>
        <v/>
      </c>
      <c r="T392" s="22">
        <f>C392+S392</f>
        <v/>
      </c>
      <c r="U392" s="33">
        <f>AX392</f>
        <v/>
      </c>
      <c r="V392" s="22">
        <f>IF(U392="",0,IF(U392="transition",0,IF(U392="SW",AG392,IF(U392="AB",AH392,IF(U392="SC",AI392,IF(U392="Mag",AJ392,IF(U392="OR",AK392,IF(U392="HP",AL392,IF(U392="FP",AM392,0)))))))))</f>
        <v/>
      </c>
      <c r="W392" s="27">
        <f>IF(U392="OR",Upgrades!$F$10,IF(U392="HP",Upgrades!$F$11,IF(U392="transition",-Parameters!$B$18,0)))</f>
        <v/>
      </c>
      <c r="X392" s="22">
        <f>T392-V392</f>
        <v/>
      </c>
      <c r="Y392" s="30">
        <f>M392*Parameters!$B$10/60*Parameters!$B$11+O392*M392+N392</f>
        <v/>
      </c>
      <c r="Z392" s="34">
        <f>IF(U392="transition","→ Tier 2 (Stellar Neighborhood)",IF(U392="FP","First Photons — light begins, system quickens",IF(U392="HP","Heliopause acquired",IF(U392="OR","Orbital Resonance — passive multiplier active",IF(AND(AO392=1,L392=0,AN392&lt;&gt;1),"Cohesion ready (waiting on completionist upgrades)","")))))</f>
        <v/>
      </c>
      <c r="AA392" s="27">
        <f>(IF(E392=0,0,(Upgrades!$G$6+E392*Upgrades!$H$6)*POWER(Upgrades!$I$6,E392)))*(IF(Upgrades!$T$7="Solar Wind",POWER(Upgrades!$U$7,F392),1)*IF(Upgrades!$T$8="Solar Wind",POWER(Upgrades!$U$8,G392),1)*IF(Upgrades!$T$9="Solar Wind",POWER(Upgrades!$U$9,H392),1)*IF(Upgrades!$T$10="Solar Wind",POWER(Upgrades!$U$10,I392),1)*IF(Upgrades!$T$11="Solar Wind",POWER(Upgrades!$U$11,J392),1)*IF(Upgrades!$T$12="Solar Wind",POWER(Upgrades!$U$12,K392),1))*POWER(Upgrades!$P$6,E392)*POWER(Upgrades!$P$7,F392)*POWER(Upgrades!$P$8,G392)*POWER(Upgrades!$P$9,H392)*POWER(Upgrades!$P$10,I392)*POWER(Upgrades!$P$11,J392)*POWER(Upgrades!$P$12,K392)*60</f>
        <v/>
      </c>
      <c r="AB392" s="27">
        <f>(IF(F392=0,0,(Upgrades!$G$7+F392*Upgrades!$H$7)*POWER(Upgrades!$I$7,F392)))*(IF(Upgrades!$T$6="Asteroid Belt",POWER(Upgrades!$U$6,E392),1)*IF(Upgrades!$T$8="Asteroid Belt",POWER(Upgrades!$U$8,G392),1)*IF(Upgrades!$T$9="Asteroid Belt",POWER(Upgrades!$U$9,H392),1)*IF(Upgrades!$T$10="Asteroid Belt",POWER(Upgrades!$U$10,I392),1)*IF(Upgrades!$T$11="Asteroid Belt",POWER(Upgrades!$U$11,J392),1)*IF(Upgrades!$T$12="Asteroid Belt",POWER(Upgrades!$U$12,K392),1))*POWER(Upgrades!$P$6,E392)*POWER(Upgrades!$P$7,F392)*POWER(Upgrades!$P$8,G392)*POWER(Upgrades!$P$9,H392)*POWER(Upgrades!$P$10,I392)*POWER(Upgrades!$P$11,J392)*POWER(Upgrades!$P$12,K392)*60</f>
        <v/>
      </c>
      <c r="AC392" s="27">
        <f>(IF(G392=0,0,(Upgrades!$J$8+G392*Upgrades!$K$8)*POWER(Upgrades!$L$8,G392)))*(IF(Upgrades!$T$6="Stellar Coupling",POWER(Upgrades!$U$6,E392),1)*IF(Upgrades!$T$7="Stellar Coupling",POWER(Upgrades!$U$7,F392),1)*IF(Upgrades!$T$9="Stellar Coupling",POWER(Upgrades!$U$9,H392),1)*IF(Upgrades!$T$10="Stellar Coupling",POWER(Upgrades!$U$10,I392),1)*IF(Upgrades!$T$11="Stellar Coupling",POWER(Upgrades!$U$11,J392),1)*IF(Upgrades!$T$12="Stellar Coupling",POWER(Upgrades!$U$12,K392),1))*POWER(Upgrades!$Q$6,E392)*POWER(Upgrades!$Q$7,F392)*POWER(Upgrades!$Q$8,G392)*POWER(Upgrades!$Q$9,H392)*POWER(Upgrades!$Q$10,I392)*POWER(Upgrades!$Q$11,J392)*POWER(Upgrades!$Q$12,K392)*Parameters!$B$10*Parameters!$B$11</f>
        <v/>
      </c>
      <c r="AD392" s="27">
        <f>(IF(H392=0,0,(Upgrades!$G$9+H392*Upgrades!$H$9)*POWER(Upgrades!$I$9,H392)))*(IF(Upgrades!$T$6="Magnetosphere",POWER(Upgrades!$U$6,E392),1)*IF(Upgrades!$T$7="Magnetosphere",POWER(Upgrades!$U$7,F392),1)*IF(Upgrades!$T$8="Magnetosphere",POWER(Upgrades!$U$8,G392),1)*IF(Upgrades!$T$10="Magnetosphere",POWER(Upgrades!$U$10,I392),1)*IF(Upgrades!$T$11="Magnetosphere",POWER(Upgrades!$U$11,J392),1)*IF(Upgrades!$T$12="Magnetosphere",POWER(Upgrades!$U$12,K392),1))*POWER(Upgrades!$P$6,E392)*POWER(Upgrades!$P$7,F392)*POWER(Upgrades!$P$8,G392)*POWER(Upgrades!$P$9,H392)*POWER(Upgrades!$P$10,I392)*POWER(Upgrades!$P$11,J392)*POWER(Upgrades!$P$12,K392)*60</f>
        <v/>
      </c>
      <c r="AE392" s="27">
        <f>(IF(K392=0,0,(Upgrades!$G$12+K392*Upgrades!$H$12)*POWER(Upgrades!$I$12,K392)))*(IF(Upgrades!$T$6="First Photons",POWER(Upgrades!$U$6,E392),1)*IF(Upgrades!$T$7="First Photons",POWER(Upgrades!$U$7,F392),1)*IF(Upgrades!$T$8="First Photons",POWER(Upgrades!$U$8,G392),1)*IF(Upgrades!$T$9="First Photons",POWER(Upgrades!$U$9,H392),1)*IF(Upgrades!$T$10="First Photons",POWER(Upgrades!$U$10,I392),1)*IF(Upgrades!$T$11="First Photons",POWER(Upgrades!$U$11,J392),1))*POWER(Upgrades!$P$6,E392)*POWER(Upgrades!$P$7,F392)*POWER(Upgrades!$P$8,G392)*POWER(Upgrades!$P$9,H392)*POWER(Upgrades!$P$10,I392)*POWER(Upgrades!$P$11,J392)*POWER(Upgrades!$P$12,K392)*60</f>
        <v/>
      </c>
      <c r="AF392" s="27">
        <f>Parameters!$B$9*POWER(Upgrades!$Q$6,E392)*POWER(Upgrades!$Q$7,F392)*POWER(Upgrades!$Q$8,G392)*POWER(Upgrades!$Q$9,H392)*POWER(Upgrades!$Q$10,I392)*POWER(Upgrades!$Q$11,J392)*POWER(Upgrades!$Q$12,K392)*(Parameters!$B$10*Parameters!$B$11+O392*60)</f>
        <v/>
      </c>
      <c r="AG392" s="22">
        <f>IF(E392&gt;=Upgrades!$E$6,"",Upgrades!$C$6*POWER(Upgrades!$D$6,E392))</f>
        <v/>
      </c>
      <c r="AH392" s="22">
        <f>IF(F392&gt;=Upgrades!$E$7,"",Upgrades!$C$7*POWER(Upgrades!$D$7,F392))</f>
        <v/>
      </c>
      <c r="AI392" s="22">
        <f>IF(G392&gt;=Upgrades!$E$8,"",Upgrades!$C$8*POWER(Upgrades!$D$8,G392))</f>
        <v/>
      </c>
      <c r="AJ392" s="22">
        <f>IF(H392&gt;=Upgrades!$E$9,"",Upgrades!$C$9*POWER(Upgrades!$D$9,H392))</f>
        <v/>
      </c>
      <c r="AK392" s="22">
        <f>IF(I392&gt;=Upgrades!$E$10,"",Upgrades!$C$10*POWER(Upgrades!$D$10,I392))</f>
        <v/>
      </c>
      <c r="AL392" s="22">
        <f>IF(J392&gt;=Upgrades!$E$11,"",Upgrades!$C$11*POWER(Upgrades!$D$11,J392))</f>
        <v/>
      </c>
      <c r="AM392" s="22">
        <f>IF(K392&gt;=Upgrades!$E$12,"",Upgrades!$C$12*POWER(Upgrades!$D$12,K392))</f>
        <v/>
      </c>
      <c r="AN392" s="26">
        <f>IF(AND(D392&gt;=Parameters!$B$18,(H392&gt;=Upgrades!$E$9)*(K392&gt;=Upgrades!$E$12)=1,L392=0),1,"")</f>
        <v/>
      </c>
      <c r="AO392" s="26">
        <f>IF(AND(D392&gt;=Parameters!$B$18,L392=0),1,"")</f>
        <v/>
      </c>
      <c r="AP392" s="22">
        <f>MIN(IF(ISNUMBER(AK392),AK392,9E15),IF(ISNUMBER(AL392),AL392,9E15),IF(ISNUMBER(AM392),AM392,9E15))</f>
        <v/>
      </c>
      <c r="AQ392" s="22">
        <f>MIN(IF(ISNUMBER(AG392),AG392,9E15),IF(ISNUMBER(AH392),AH392,9E15),IF(ISNUMBER(AI392),AI392,9E15),IF(ISNUMBER(AJ392),AJ392,9E15))</f>
        <v/>
      </c>
      <c r="AR392" s="29">
        <f>IF(AW392&gt;Parameters!$B$21*(MAX(IF(AND(NOT(AND(AO392=1,AN392&lt;&gt;1)),ISNUMBER(AG392),AG392&lt;=T392),AS392,0),IF(AND(NOT(AND(AO392=1,AN392&lt;&gt;1)),ISNUMBER(AH392),AH392&lt;=T392),AT392,0),IF(AND(NOT(AND(AO392=1,AN392&lt;&gt;1)),ISNUMBER(AI392),AI392&lt;=T392),AU392,0),IF(AND(ISNUMBER(AJ392),AJ392&lt;=T392),AV392,0))),TRUE,FALSE)</f>
        <v/>
      </c>
      <c r="AS392" s="32">
        <f>IFERROR(Upgrades!$H$6*(POWER(Upgrades!$P$6,E392)*POWER(Upgrades!$P$7,F392)*POWER(Upgrades!$P$8,G392)*POWER(Upgrades!$P$9,H392)*POWER(Upgrades!$P$10,I392)*POWER(Upgrades!$P$11,J392)*POWER(Upgrades!$P$12,K392))*(IF(Upgrades!$T$7="Solar Wind",POWER(Upgrades!$U$7,F392),1)*IF(Upgrades!$T$8="Solar Wind",POWER(Upgrades!$U$8,G392),1)*IF(Upgrades!$T$9="Solar Wind",POWER(Upgrades!$U$9,H392),1)*IF(Upgrades!$T$10="Solar Wind",POWER(Upgrades!$U$10,I392),1)*IF(Upgrades!$T$11="Solar Wind",POWER(Upgrades!$U$11,J392),1)*IF(Upgrades!$T$12="Solar Wind",POWER(Upgrades!$U$12,K392),1))/AG392,0)</f>
        <v/>
      </c>
      <c r="AT392" s="32">
        <f>IFERROR(Upgrades!$H$7*(POWER(Upgrades!$P$6,E392)*POWER(Upgrades!$P$7,F392)*POWER(Upgrades!$P$8,G392)*POWER(Upgrades!$P$9,H392)*POWER(Upgrades!$P$10,I392)*POWER(Upgrades!$P$11,J392)*POWER(Upgrades!$P$12,K392))*(IF(Upgrades!$T$6="Asteroid Belt",POWER(Upgrades!$U$6,E392),1)*IF(Upgrades!$T$8="Asteroid Belt",POWER(Upgrades!$U$8,G392),1)*IF(Upgrades!$T$9="Asteroid Belt",POWER(Upgrades!$U$9,H392),1)*IF(Upgrades!$T$10="Asteroid Belt",POWER(Upgrades!$U$10,I392),1)*IF(Upgrades!$T$11="Asteroid Belt",POWER(Upgrades!$U$11,J392),1)*IF(Upgrades!$T$12="Asteroid Belt",POWER(Upgrades!$U$12,K392),1))/AH392,0)</f>
        <v/>
      </c>
      <c r="AU392" s="32">
        <f>IFERROR(Upgrades!$K$8*(POWER(Upgrades!$Q$6,E392)*POWER(Upgrades!$Q$7,F392)*POWER(Upgrades!$Q$8,G392)*POWER(Upgrades!$Q$9,H392)*POWER(Upgrades!$Q$10,I392)*POWER(Upgrades!$Q$11,J392)*POWER(Upgrades!$Q$12,K392))*(IF(Upgrades!$T$6="Stellar Coupling",POWER(Upgrades!$U$6,E392),1)*IF(Upgrades!$T$7="Stellar Coupling",POWER(Upgrades!$U$7,F392),1)*IF(Upgrades!$T$9="Stellar Coupling",POWER(Upgrades!$U$9,H392),1)*IF(Upgrades!$T$10="Stellar Coupling",POWER(Upgrades!$U$10,I392),1)*IF(Upgrades!$T$11="Stellar Coupling",POWER(Upgrades!$U$11,J392),1)*IF(Upgrades!$T$12="Stellar Coupling",POWER(Upgrades!$U$12,K392),1))*Parameters!$B$10*Parameters!$B$11/60/AI392,0)</f>
        <v/>
      </c>
      <c r="AV392" s="32">
        <f>IFERROR(Upgrades!$H$9*(POWER(Upgrades!$P$6,E392)*POWER(Upgrades!$P$7,F392)*POWER(Upgrades!$P$8,G392)*POWER(Upgrades!$P$9,H392)*POWER(Upgrades!$P$10,I392)*POWER(Upgrades!$P$11,J392)*POWER(Upgrades!$P$12,K392))*(IF(Upgrades!$T$6="Magnetosphere",POWER(Upgrades!$U$6,E392),1)*IF(Upgrades!$T$7="Magnetosphere",POWER(Upgrades!$U$7,F392),1)*IF(Upgrades!$T$8="Magnetosphere",POWER(Upgrades!$U$8,G392),1)*IF(Upgrades!$T$10="Magnetosphere",POWER(Upgrades!$U$10,I392),1)*IF(Upgrades!$T$11="Magnetosphere",POWER(Upgrades!$U$11,J392),1)*IF(Upgrades!$T$12="Magnetosphere",POWER(Upgrades!$U$12,K392),1))/AJ392,0)</f>
        <v/>
      </c>
      <c r="AW392" s="32">
        <f>MAX(IF(I392&gt;0,0,IFERROR(0.25*N392/Upgrades!$C$10,0)),IF(J392&gt;0,0,IFERROR(0.5*((IF(G392=0,0,(Upgrades!$J$8+G392*Upgrades!$K$8)*POWER(Upgrades!$L$8,G392)))*(IF(Upgrades!$T$6="Stellar Coupling",POWER(Upgrades!$U$6,E392),1)*IF(Upgrades!$T$7="Stellar Coupling",POWER(Upgrades!$U$7,F392),1)*IF(Upgrades!$T$9="Stellar Coupling",POWER(Upgrades!$U$9,H392),1)*IF(Upgrades!$T$10="Stellar Coupling",POWER(Upgrades!$U$10,I392),1)*IF(Upgrades!$T$11="Stellar Coupling",POWER(Upgrades!$U$11,J392),1)*IF(Upgrades!$T$12="Stellar Coupling",POWER(Upgrades!$U$12,K392),1))*(POWER(Upgrades!$Q$6,E392)*POWER(Upgrades!$Q$7,F392)*POWER(Upgrades!$Q$8,G392)*POWER(Upgrades!$Q$9,H392)*POWER(Upgrades!$Q$10,I392)*POWER(Upgrades!$Q$11,J392)*POWER(Upgrades!$Q$12,K392))*Parameters!$B$10*Parameters!$B$11/60)/Upgrades!$C$11,0)),IF(K392&gt;0,0,IFERROR((1.0*(POWER(Upgrades!$P$6,E392)*POWER(Upgrades!$P$7,F392)*POWER(Upgrades!$P$8,G392)*POWER(Upgrades!$P$9,H392)*POWER(Upgrades!$P$10,I392)*POWER(Upgrades!$P$11,J392)*POWER(Upgrades!$P$12,K392))+0.20*M392*Parameters!$B$10*Parameters!$B$11/60)/Upgrades!$C$12,0)),IF(AND(ISNUMBER(AG392),AG392&gt;T392),AS392,0),IF(AND(ISNUMBER(AH392),AH392&gt;T392),AT392,0),IF(AND(ISNUMBER(AI392),AI392&gt;T392),AU392,0),IF(AND(ISNUMBER(AJ392),AJ392&gt;T392),AV392,0))</f>
        <v/>
      </c>
      <c r="AX392" s="29">
        <f>IF(AN392=1,"transition",IF(MIN(IF(AND(I392=0,ISNUMBER(AK392),AK392&lt;=T392),AK392,9E15),IF(AND(J392=0,ISNUMBER(AL392),AL392&lt;=T392),AL392,9E15),IF(AND(K392=0,ISNUMBER(AM392),AM392&lt;=T392),AM392,9E15))&lt;9E15,IF(AND(AND(I392=0,ISNUMBER(AK392),AK392&lt;=T392),AK392=MIN(IF(AND(I392=0,ISNUMBER(AK392),AK392&lt;=T392),AK392,9E15),IF(AND(J392=0,ISNUMBER(AL392),AL392&lt;=T392),AL392,9E15),IF(AND(K392=0,ISNUMBER(AM392),AM392&lt;=T392),AM392,9E15))),"OR",IF(AND(AND(J392=0,ISNUMBER(AL392),AL392&lt;=T392),AL392=MIN(IF(AND(I392=0,ISNUMBER(AK392),AK392&lt;=T392),AK392,9E15),IF(AND(J392=0,ISNUMBER(AL392),AL392&lt;=T392),AL392,9E15),IF(AND(K392=0,ISNUMBER(AM392),AM392&lt;=T392),AM392,9E15))),"HP","FP")),IF(AR392=TRUE,"",IF(MAX(IF(AND(NOT(AND(AO392=1,AN392&lt;&gt;1)),ISNUMBER(AG392),AG392&lt;=T392),AS392,0),IF(AND(NOT(AND(AO392=1,AN392&lt;&gt;1)),ISNUMBER(AH392),AH392&lt;=T392),AT392,0),IF(AND(NOT(AND(AO392=1,AN392&lt;&gt;1)),ISNUMBER(AI392),AI392&lt;=T392),AU392,0),IF(AND(ISNUMBER(AJ392),AJ392&lt;=T392),AV392,0))&lt;=0,"",IF(AND(IF(AND(NOT(AND(AO392=1,AN392&lt;&gt;1)),ISNUMBER(AG392),AG392&lt;=T392),AS392,0)&gt;0,IF(AND(NOT(AND(AO392=1,AN392&lt;&gt;1)),ISNUMBER(AG392),AG392&lt;=T392),AS392,0)=MAX(IF(AND(NOT(AND(AO392=1,AN392&lt;&gt;1)),ISNUMBER(AG392),AG392&lt;=T392),AS392,0),IF(AND(NOT(AND(AO392=1,AN392&lt;&gt;1)),ISNUMBER(AH392),AH392&lt;=T392),AT392,0),IF(AND(NOT(AND(AO392=1,AN392&lt;&gt;1)),ISNUMBER(AI392),AI392&lt;=T392),AU392,0),IF(AND(ISNUMBER(AJ392),AJ392&lt;=T392),AV392,0))),"SW",IF(AND(IF(AND(NOT(AND(AO392=1,AN392&lt;&gt;1)),ISNUMBER(AH392),AH392&lt;=T392),AT392,0)&gt;0,IF(AND(NOT(AND(AO392=1,AN392&lt;&gt;1)),ISNUMBER(AH392),AH392&lt;=T392),AT392,0)=MAX(IF(AND(NOT(AND(AO392=1,AN392&lt;&gt;1)),ISNUMBER(AG392),AG392&lt;=T392),AS392,0),IF(AND(NOT(AND(AO392=1,AN392&lt;&gt;1)),ISNUMBER(AH392),AH392&lt;=T392),AT392,0),IF(AND(NOT(AND(AO392=1,AN392&lt;&gt;1)),ISNUMBER(AI392),AI392&lt;=T392),AU392,0),IF(AND(ISNUMBER(AJ392),AJ392&lt;=T392),AV392,0))),"AB",IF(AND(IF(AND(NOT(AND(AO392=1,AN392&lt;&gt;1)),ISNUMBER(AI392),AI392&lt;=T392),AU392,0)&gt;0,IF(AND(NOT(AND(AO392=1,AN392&lt;&gt;1)),ISNUMBER(AI392),AI392&lt;=T392),AU392,0)=MAX(IF(AND(NOT(AND(AO392=1,AN392&lt;&gt;1)),ISNUMBER(AG392),AG392&lt;=T392),AS392,0),IF(AND(NOT(AND(AO392=1,AN392&lt;&gt;1)),ISNUMBER(AH392),AH392&lt;=T392),AT392,0),IF(AND(NOT(AND(AO392=1,AN392&lt;&gt;1)),ISNUMBER(AI392),AI392&lt;=T392),AU392,0),IF(AND(ISNUMBER(AJ392),AJ392&lt;=T392),AV392,0))),"SC","Mag")))))))</f>
        <v/>
      </c>
    </row>
    <row r="393">
      <c r="A393" s="26" t="n">
        <v>388</v>
      </c>
      <c r="B393" s="27">
        <f>A393*10/60</f>
        <v/>
      </c>
      <c r="C393" s="22">
        <f>X392</f>
        <v/>
      </c>
      <c r="D393" s="27">
        <f>D392+W392</f>
        <v/>
      </c>
      <c r="E393" s="26">
        <f>E392+IF(U392="SW",1,0)</f>
        <v/>
      </c>
      <c r="F393" s="26">
        <f>F392+IF(U392="AB",1,0)</f>
        <v/>
      </c>
      <c r="G393" s="26">
        <f>G392+IF(U392="SC",1,0)</f>
        <v/>
      </c>
      <c r="H393" s="26">
        <f>H392+IF(U392="Mag",1,0)</f>
        <v/>
      </c>
      <c r="I393" s="26">
        <f>MAX(I392,IF(U392="OR",1,0))</f>
        <v/>
      </c>
      <c r="J393" s="26">
        <f>MAX(J392,IF(U392="HP",1,0))</f>
        <v/>
      </c>
      <c r="K393" s="26">
        <f>MAX(K392,IF(U392="FP",1,0))</f>
        <v/>
      </c>
      <c r="L393" s="26">
        <f>MAX(L392,IF(U392="transition",1,0))</f>
        <v/>
      </c>
      <c r="M393" s="28">
        <f>(Parameters!$B$9+(IF(E393=0,0,(Upgrades!$J$6+E393*Upgrades!$K$6)*POWER(Upgrades!$L$6,E393)))*(IF(Upgrades!$T$7="Solar Wind",POWER(Upgrades!$U$7,F393),1)*IF(Upgrades!$T$8="Solar Wind",POWER(Upgrades!$U$8,G393),1)*IF(Upgrades!$T$9="Solar Wind",POWER(Upgrades!$U$9,H393),1)*IF(Upgrades!$T$10="Solar Wind",POWER(Upgrades!$U$10,I393),1)*IF(Upgrades!$T$11="Solar Wind",POWER(Upgrades!$U$11,J393),1)*IF(Upgrades!$T$12="Solar Wind",POWER(Upgrades!$U$12,K393),1))+(IF(F393=0,0,(Upgrades!$J$7+F393*Upgrades!$K$7)*POWER(Upgrades!$L$7,F393)))*(IF(Upgrades!$T$6="Asteroid Belt",POWER(Upgrades!$U$6,E393),1)*IF(Upgrades!$T$8="Asteroid Belt",POWER(Upgrades!$U$8,G393),1)*IF(Upgrades!$T$9="Asteroid Belt",POWER(Upgrades!$U$9,H393),1)*IF(Upgrades!$T$10="Asteroid Belt",POWER(Upgrades!$U$10,I393),1)*IF(Upgrades!$T$11="Asteroid Belt",POWER(Upgrades!$U$11,J393),1)*IF(Upgrades!$T$12="Asteroid Belt",POWER(Upgrades!$U$12,K393),1))+(IF(G393=0,0,(Upgrades!$J$8+G393*Upgrades!$K$8)*POWER(Upgrades!$L$8,G393)))*(IF(Upgrades!$T$6="Stellar Coupling",POWER(Upgrades!$U$6,E393),1)*IF(Upgrades!$T$7="Stellar Coupling",POWER(Upgrades!$U$7,F393),1)*IF(Upgrades!$T$9="Stellar Coupling",POWER(Upgrades!$U$9,H393),1)*IF(Upgrades!$T$10="Stellar Coupling",POWER(Upgrades!$U$10,I393),1)*IF(Upgrades!$T$11="Stellar Coupling",POWER(Upgrades!$U$11,J393),1)*IF(Upgrades!$T$12="Stellar Coupling",POWER(Upgrades!$U$12,K393),1))+(IF(H393=0,0,(Upgrades!$J$9+H393*Upgrades!$K$9)*POWER(Upgrades!$L$9,H393)))*(IF(Upgrades!$T$6="Magnetosphere",POWER(Upgrades!$U$6,E393),1)*IF(Upgrades!$T$7="Magnetosphere",POWER(Upgrades!$U$7,F393),1)*IF(Upgrades!$T$8="Magnetosphere",POWER(Upgrades!$U$8,G393),1)*IF(Upgrades!$T$10="Magnetosphere",POWER(Upgrades!$U$10,I393),1)*IF(Upgrades!$T$11="Magnetosphere",POWER(Upgrades!$U$11,J393),1)*IF(Upgrades!$T$12="Magnetosphere",POWER(Upgrades!$U$12,K393),1))+(IF(I393=0,0,(Upgrades!$J$10+I393*Upgrades!$K$10)*POWER(Upgrades!$L$10,I393)))*(IF(Upgrades!$T$6="Orbital Resonance",POWER(Upgrades!$U$6,E393),1)*IF(Upgrades!$T$7="Orbital Resonance",POWER(Upgrades!$U$7,F393),1)*IF(Upgrades!$T$8="Orbital Resonance",POWER(Upgrades!$U$8,G393),1)*IF(Upgrades!$T$9="Orbital Resonance",POWER(Upgrades!$U$9,H393),1)*IF(Upgrades!$T$11="Orbital Resonance",POWER(Upgrades!$U$11,J393),1)*IF(Upgrades!$T$12="Orbital Resonance",POWER(Upgrades!$U$12,K393),1))+(IF(J393=0,0,(Upgrades!$J$11+J393*Upgrades!$K$11)*POWER(Upgrades!$L$11,J393)))*(IF(Upgrades!$T$6="Heliopause",POWER(Upgrades!$U$6,E393),1)*IF(Upgrades!$T$7="Heliopause",POWER(Upgrades!$U$7,F393),1)*IF(Upgrades!$T$8="Heliopause",POWER(Upgrades!$U$8,G393),1)*IF(Upgrades!$T$9="Heliopause",POWER(Upgrades!$U$9,H393),1)*IF(Upgrades!$T$10="Heliopause",POWER(Upgrades!$U$10,I393),1)*IF(Upgrades!$T$12="Heliopause",POWER(Upgrades!$U$12,K393),1))+(IF(K393=0,0,(Upgrades!$J$12+K393*Upgrades!$K$12)*POWER(Upgrades!$L$12,K393)))*(IF(Upgrades!$T$6="First Photons",POWER(Upgrades!$U$6,E393),1)*IF(Upgrades!$T$7="First Photons",POWER(Upgrades!$U$7,F393),1)*IF(Upgrades!$T$8="First Photons",POWER(Upgrades!$U$8,G393),1)*IF(Upgrades!$T$9="First Photons",POWER(Upgrades!$U$9,H393),1)*IF(Upgrades!$T$10="First Photons",POWER(Upgrades!$U$10,I393),1)*IF(Upgrades!$T$11="First Photons",POWER(Upgrades!$U$11,J393),1)))*POWER(Upgrades!$Q$6,E393)*POWER(Upgrades!$Q$7,F393)*POWER(Upgrades!$Q$8,G393)*POWER(Upgrades!$Q$9,H393)*POWER(Upgrades!$Q$10,I393)*POWER(Upgrades!$Q$11,J393)*POWER(Upgrades!$Q$12,K393)</f>
        <v/>
      </c>
      <c r="N393" s="28">
        <f>((IF(E393=0,0,(Upgrades!$G$6+E393*Upgrades!$H$6)*POWER(Upgrades!$I$6,E393)))*(IF(Upgrades!$T$7="Solar Wind",POWER(Upgrades!$U$7,F393),1)*IF(Upgrades!$T$8="Solar Wind",POWER(Upgrades!$U$8,G393),1)*IF(Upgrades!$T$9="Solar Wind",POWER(Upgrades!$U$9,H393),1)*IF(Upgrades!$T$10="Solar Wind",POWER(Upgrades!$U$10,I393),1)*IF(Upgrades!$T$11="Solar Wind",POWER(Upgrades!$U$11,J393),1)*IF(Upgrades!$T$12="Solar Wind",POWER(Upgrades!$U$12,K393),1))+(IF(F393=0,0,(Upgrades!$G$7+F393*Upgrades!$H$7)*POWER(Upgrades!$I$7,F393)))*(IF(Upgrades!$T$6="Asteroid Belt",POWER(Upgrades!$U$6,E393),1)*IF(Upgrades!$T$8="Asteroid Belt",POWER(Upgrades!$U$8,G393),1)*IF(Upgrades!$T$9="Asteroid Belt",POWER(Upgrades!$U$9,H393),1)*IF(Upgrades!$T$10="Asteroid Belt",POWER(Upgrades!$U$10,I393),1)*IF(Upgrades!$T$11="Asteroid Belt",POWER(Upgrades!$U$11,J393),1)*IF(Upgrades!$T$12="Asteroid Belt",POWER(Upgrades!$U$12,K393),1))+(IF(G393=0,0,(Upgrades!$G$8+G393*Upgrades!$H$8)*POWER(Upgrades!$I$8,G393)))*(IF(Upgrades!$T$6="Stellar Coupling",POWER(Upgrades!$U$6,E393),1)*IF(Upgrades!$T$7="Stellar Coupling",POWER(Upgrades!$U$7,F393),1)*IF(Upgrades!$T$9="Stellar Coupling",POWER(Upgrades!$U$9,H393),1)*IF(Upgrades!$T$10="Stellar Coupling",POWER(Upgrades!$U$10,I393),1)*IF(Upgrades!$T$11="Stellar Coupling",POWER(Upgrades!$U$11,J393),1)*IF(Upgrades!$T$12="Stellar Coupling",POWER(Upgrades!$U$12,K393),1))+(IF(H393=0,0,(Upgrades!$G$9+H393*Upgrades!$H$9)*POWER(Upgrades!$I$9,H393)))*(IF(Upgrades!$T$6="Magnetosphere",POWER(Upgrades!$U$6,E393),1)*IF(Upgrades!$T$7="Magnetosphere",POWER(Upgrades!$U$7,F393),1)*IF(Upgrades!$T$8="Magnetosphere",POWER(Upgrades!$U$8,G393),1)*IF(Upgrades!$T$10="Magnetosphere",POWER(Upgrades!$U$10,I393),1)*IF(Upgrades!$T$11="Magnetosphere",POWER(Upgrades!$U$11,J393),1)*IF(Upgrades!$T$12="Magnetosphere",POWER(Upgrades!$U$12,K393),1))+(IF(I393=0,0,(Upgrades!$G$10+I393*Upgrades!$H$10)*POWER(Upgrades!$I$10,I393)))*(IF(Upgrades!$T$6="Orbital Resonance",POWER(Upgrades!$U$6,E393),1)*IF(Upgrades!$T$7="Orbital Resonance",POWER(Upgrades!$U$7,F393),1)*IF(Upgrades!$T$8="Orbital Resonance",POWER(Upgrades!$U$8,G393),1)*IF(Upgrades!$T$9="Orbital Resonance",POWER(Upgrades!$U$9,H393),1)*IF(Upgrades!$T$11="Orbital Resonance",POWER(Upgrades!$U$11,J393),1)*IF(Upgrades!$T$12="Orbital Resonance",POWER(Upgrades!$U$12,K393),1))+(IF(J393=0,0,(Upgrades!$G$11+J393*Upgrades!$H$11)*POWER(Upgrades!$I$11,J393)))*(IF(Upgrades!$T$6="Heliopause",POWER(Upgrades!$U$6,E393),1)*IF(Upgrades!$T$7="Heliopause",POWER(Upgrades!$U$7,F393),1)*IF(Upgrades!$T$8="Heliopause",POWER(Upgrades!$U$8,G393),1)*IF(Upgrades!$T$9="Heliopause",POWER(Upgrades!$U$9,H393),1)*IF(Upgrades!$T$10="Heliopause",POWER(Upgrades!$U$10,I393),1)*IF(Upgrades!$T$12="Heliopause",POWER(Upgrades!$U$12,K393),1))+(IF(K393=0,0,(Upgrades!$G$12+K393*Upgrades!$H$12)*POWER(Upgrades!$I$12,K393)))*(IF(Upgrades!$T$6="First Photons",POWER(Upgrades!$U$6,E393),1)*IF(Upgrades!$T$7="First Photons",POWER(Upgrades!$U$7,F393),1)*IF(Upgrades!$T$8="First Photons",POWER(Upgrades!$U$8,G393),1)*IF(Upgrades!$T$9="First Photons",POWER(Upgrades!$U$9,H393),1)*IF(Upgrades!$T$10="First Photons",POWER(Upgrades!$U$10,I393),1)*IF(Upgrades!$T$11="First Photons",POWER(Upgrades!$U$11,J393),1)))*POWER(Upgrades!$P$6,E393)*POWER(Upgrades!$P$7,F393)*POWER(Upgrades!$P$8,G393)*POWER(Upgrades!$P$9,H393)*POWER(Upgrades!$P$10,I393)*POWER(Upgrades!$P$11,J393)*POWER(Upgrades!$P$12,K393)</f>
        <v/>
      </c>
      <c r="O393" s="28">
        <f>((IF(E393=0,0,(Upgrades!$M$6+E393*Upgrades!$N$6)*POWER(Upgrades!$O$6,E393)))*(IF(Upgrades!$T$7="Solar Wind",POWER(Upgrades!$U$7,F393),1)*IF(Upgrades!$T$8="Solar Wind",POWER(Upgrades!$U$8,G393),1)*IF(Upgrades!$T$9="Solar Wind",POWER(Upgrades!$U$9,H393),1)*IF(Upgrades!$T$10="Solar Wind",POWER(Upgrades!$U$10,I393),1)*IF(Upgrades!$T$11="Solar Wind",POWER(Upgrades!$U$11,J393),1)*IF(Upgrades!$T$12="Solar Wind",POWER(Upgrades!$U$12,K393),1))+(IF(F393=0,0,(Upgrades!$M$7+F393*Upgrades!$N$7)*POWER(Upgrades!$O$7,F393)))*(IF(Upgrades!$T$6="Asteroid Belt",POWER(Upgrades!$U$6,E393),1)*IF(Upgrades!$T$8="Asteroid Belt",POWER(Upgrades!$U$8,G393),1)*IF(Upgrades!$T$9="Asteroid Belt",POWER(Upgrades!$U$9,H393),1)*IF(Upgrades!$T$10="Asteroid Belt",POWER(Upgrades!$U$10,I393),1)*IF(Upgrades!$T$11="Asteroid Belt",POWER(Upgrades!$U$11,J393),1)*IF(Upgrades!$T$12="Asteroid Belt",POWER(Upgrades!$U$12,K393),1))+(IF(G393=0,0,(Upgrades!$M$8+G393*Upgrades!$N$8)*POWER(Upgrades!$O$8,G393)))*(IF(Upgrades!$T$6="Stellar Coupling",POWER(Upgrades!$U$6,E393),1)*IF(Upgrades!$T$7="Stellar Coupling",POWER(Upgrades!$U$7,F393),1)*IF(Upgrades!$T$9="Stellar Coupling",POWER(Upgrades!$U$9,H393),1)*IF(Upgrades!$T$10="Stellar Coupling",POWER(Upgrades!$U$10,I393),1)*IF(Upgrades!$T$11="Stellar Coupling",POWER(Upgrades!$U$11,J393),1)*IF(Upgrades!$T$12="Stellar Coupling",POWER(Upgrades!$U$12,K393),1))+(IF(H393=0,0,(Upgrades!$M$9+H393*Upgrades!$N$9)*POWER(Upgrades!$O$9,H393)))*(IF(Upgrades!$T$6="Magnetosphere",POWER(Upgrades!$U$6,E393),1)*IF(Upgrades!$T$7="Magnetosphere",POWER(Upgrades!$U$7,F393),1)*IF(Upgrades!$T$8="Magnetosphere",POWER(Upgrades!$U$8,G393),1)*IF(Upgrades!$T$10="Magnetosphere",POWER(Upgrades!$U$10,I393),1)*IF(Upgrades!$T$11="Magnetosphere",POWER(Upgrades!$U$11,J393),1)*IF(Upgrades!$T$12="Magnetosphere",POWER(Upgrades!$U$12,K393),1))+(IF(I393=0,0,(Upgrades!$M$10+I393*Upgrades!$N$10)*POWER(Upgrades!$O$10,I393)))*(IF(Upgrades!$T$6="Orbital Resonance",POWER(Upgrades!$U$6,E393),1)*IF(Upgrades!$T$7="Orbital Resonance",POWER(Upgrades!$U$7,F393),1)*IF(Upgrades!$T$8="Orbital Resonance",POWER(Upgrades!$U$8,G393),1)*IF(Upgrades!$T$9="Orbital Resonance",POWER(Upgrades!$U$9,H393),1)*IF(Upgrades!$T$11="Orbital Resonance",POWER(Upgrades!$U$11,J393),1)*IF(Upgrades!$T$12="Orbital Resonance",POWER(Upgrades!$U$12,K393),1))+(IF(J393=0,0,(Upgrades!$M$11+J393*Upgrades!$N$11)*POWER(Upgrades!$O$11,J393)))*(IF(Upgrades!$T$6="Heliopause",POWER(Upgrades!$U$6,E393),1)*IF(Upgrades!$T$7="Heliopause",POWER(Upgrades!$U$7,F393),1)*IF(Upgrades!$T$8="Heliopause",POWER(Upgrades!$U$8,G393),1)*IF(Upgrades!$T$9="Heliopause",POWER(Upgrades!$U$9,H393),1)*IF(Upgrades!$T$10="Heliopause",POWER(Upgrades!$U$10,I393),1)*IF(Upgrades!$T$12="Heliopause",POWER(Upgrades!$U$12,K393),1))+(IF(K393=0,0,(Upgrades!$M$12+K393*Upgrades!$N$12)*POWER(Upgrades!$O$12,K393)))*(IF(Upgrades!$T$6="First Photons",POWER(Upgrades!$U$6,E393),1)*IF(Upgrades!$T$7="First Photons",POWER(Upgrades!$U$7,F393),1)*IF(Upgrades!$T$8="First Photons",POWER(Upgrades!$U$8,G393),1)*IF(Upgrades!$T$9="First Photons",POWER(Upgrades!$U$9,H393),1)*IF(Upgrades!$T$10="First Photons",POWER(Upgrades!$U$10,I393),1)*IF(Upgrades!$T$11="First Photons",POWER(Upgrades!$U$11,J393),1)))*POWER(Upgrades!$R$6,E393)*POWER(Upgrades!$R$7,F393)*POWER(Upgrades!$R$8,G393)*POWER(Upgrades!$R$9,H393)*POWER(Upgrades!$R$10,I393)*POWER(Upgrades!$R$11,J393)*POWER(Upgrades!$R$12,K393)</f>
        <v/>
      </c>
      <c r="P393" s="27">
        <f>IF(L393=1,0,M393*Parameters!$B$10/60*Parameters!$B$11*10)</f>
        <v/>
      </c>
      <c r="Q393" s="27">
        <f>IF(L393=1,0,O393*M393*10)</f>
        <v/>
      </c>
      <c r="R393" s="27">
        <f>IF(L393=1,0,N393*10)</f>
        <v/>
      </c>
      <c r="S393" s="27">
        <f>P393+Q393+R393</f>
        <v/>
      </c>
      <c r="T393" s="22">
        <f>C393+S393</f>
        <v/>
      </c>
      <c r="U393" s="33">
        <f>AX393</f>
        <v/>
      </c>
      <c r="V393" s="22">
        <f>IF(U393="",0,IF(U393="transition",0,IF(U393="SW",AG393,IF(U393="AB",AH393,IF(U393="SC",AI393,IF(U393="Mag",AJ393,IF(U393="OR",AK393,IF(U393="HP",AL393,IF(U393="FP",AM393,0)))))))))</f>
        <v/>
      </c>
      <c r="W393" s="27">
        <f>IF(U393="OR",Upgrades!$F$10,IF(U393="HP",Upgrades!$F$11,IF(U393="transition",-Parameters!$B$18,0)))</f>
        <v/>
      </c>
      <c r="X393" s="22">
        <f>T393-V393</f>
        <v/>
      </c>
      <c r="Y393" s="30">
        <f>M393*Parameters!$B$10/60*Parameters!$B$11+O393*M393+N393</f>
        <v/>
      </c>
      <c r="Z393" s="34">
        <f>IF(U393="transition","→ Tier 2 (Stellar Neighborhood)",IF(U393="FP","First Photons — light begins, system quickens",IF(U393="HP","Heliopause acquired",IF(U393="OR","Orbital Resonance — passive multiplier active",IF(AND(AO393=1,L393=0,AN393&lt;&gt;1),"Cohesion ready (waiting on completionist upgrades)","")))))</f>
        <v/>
      </c>
      <c r="AA393" s="27">
        <f>(IF(E393=0,0,(Upgrades!$G$6+E393*Upgrades!$H$6)*POWER(Upgrades!$I$6,E393)))*(IF(Upgrades!$T$7="Solar Wind",POWER(Upgrades!$U$7,F393),1)*IF(Upgrades!$T$8="Solar Wind",POWER(Upgrades!$U$8,G393),1)*IF(Upgrades!$T$9="Solar Wind",POWER(Upgrades!$U$9,H393),1)*IF(Upgrades!$T$10="Solar Wind",POWER(Upgrades!$U$10,I393),1)*IF(Upgrades!$T$11="Solar Wind",POWER(Upgrades!$U$11,J393),1)*IF(Upgrades!$T$12="Solar Wind",POWER(Upgrades!$U$12,K393),1))*POWER(Upgrades!$P$6,E393)*POWER(Upgrades!$P$7,F393)*POWER(Upgrades!$P$8,G393)*POWER(Upgrades!$P$9,H393)*POWER(Upgrades!$P$10,I393)*POWER(Upgrades!$P$11,J393)*POWER(Upgrades!$P$12,K393)*60</f>
        <v/>
      </c>
      <c r="AB393" s="27">
        <f>(IF(F393=0,0,(Upgrades!$G$7+F393*Upgrades!$H$7)*POWER(Upgrades!$I$7,F393)))*(IF(Upgrades!$T$6="Asteroid Belt",POWER(Upgrades!$U$6,E393),1)*IF(Upgrades!$T$8="Asteroid Belt",POWER(Upgrades!$U$8,G393),1)*IF(Upgrades!$T$9="Asteroid Belt",POWER(Upgrades!$U$9,H393),1)*IF(Upgrades!$T$10="Asteroid Belt",POWER(Upgrades!$U$10,I393),1)*IF(Upgrades!$T$11="Asteroid Belt",POWER(Upgrades!$U$11,J393),1)*IF(Upgrades!$T$12="Asteroid Belt",POWER(Upgrades!$U$12,K393),1))*POWER(Upgrades!$P$6,E393)*POWER(Upgrades!$P$7,F393)*POWER(Upgrades!$P$8,G393)*POWER(Upgrades!$P$9,H393)*POWER(Upgrades!$P$10,I393)*POWER(Upgrades!$P$11,J393)*POWER(Upgrades!$P$12,K393)*60</f>
        <v/>
      </c>
      <c r="AC393" s="27">
        <f>(IF(G393=0,0,(Upgrades!$J$8+G393*Upgrades!$K$8)*POWER(Upgrades!$L$8,G393)))*(IF(Upgrades!$T$6="Stellar Coupling",POWER(Upgrades!$U$6,E393),1)*IF(Upgrades!$T$7="Stellar Coupling",POWER(Upgrades!$U$7,F393),1)*IF(Upgrades!$T$9="Stellar Coupling",POWER(Upgrades!$U$9,H393),1)*IF(Upgrades!$T$10="Stellar Coupling",POWER(Upgrades!$U$10,I393),1)*IF(Upgrades!$T$11="Stellar Coupling",POWER(Upgrades!$U$11,J393),1)*IF(Upgrades!$T$12="Stellar Coupling",POWER(Upgrades!$U$12,K393),1))*POWER(Upgrades!$Q$6,E393)*POWER(Upgrades!$Q$7,F393)*POWER(Upgrades!$Q$8,G393)*POWER(Upgrades!$Q$9,H393)*POWER(Upgrades!$Q$10,I393)*POWER(Upgrades!$Q$11,J393)*POWER(Upgrades!$Q$12,K393)*Parameters!$B$10*Parameters!$B$11</f>
        <v/>
      </c>
      <c r="AD393" s="27">
        <f>(IF(H393=0,0,(Upgrades!$G$9+H393*Upgrades!$H$9)*POWER(Upgrades!$I$9,H393)))*(IF(Upgrades!$T$6="Magnetosphere",POWER(Upgrades!$U$6,E393),1)*IF(Upgrades!$T$7="Magnetosphere",POWER(Upgrades!$U$7,F393),1)*IF(Upgrades!$T$8="Magnetosphere",POWER(Upgrades!$U$8,G393),1)*IF(Upgrades!$T$10="Magnetosphere",POWER(Upgrades!$U$10,I393),1)*IF(Upgrades!$T$11="Magnetosphere",POWER(Upgrades!$U$11,J393),1)*IF(Upgrades!$T$12="Magnetosphere",POWER(Upgrades!$U$12,K393),1))*POWER(Upgrades!$P$6,E393)*POWER(Upgrades!$P$7,F393)*POWER(Upgrades!$P$8,G393)*POWER(Upgrades!$P$9,H393)*POWER(Upgrades!$P$10,I393)*POWER(Upgrades!$P$11,J393)*POWER(Upgrades!$P$12,K393)*60</f>
        <v/>
      </c>
      <c r="AE393" s="27">
        <f>(IF(K393=0,0,(Upgrades!$G$12+K393*Upgrades!$H$12)*POWER(Upgrades!$I$12,K393)))*(IF(Upgrades!$T$6="First Photons",POWER(Upgrades!$U$6,E393),1)*IF(Upgrades!$T$7="First Photons",POWER(Upgrades!$U$7,F393),1)*IF(Upgrades!$T$8="First Photons",POWER(Upgrades!$U$8,G393),1)*IF(Upgrades!$T$9="First Photons",POWER(Upgrades!$U$9,H393),1)*IF(Upgrades!$T$10="First Photons",POWER(Upgrades!$U$10,I393),1)*IF(Upgrades!$T$11="First Photons",POWER(Upgrades!$U$11,J393),1))*POWER(Upgrades!$P$6,E393)*POWER(Upgrades!$P$7,F393)*POWER(Upgrades!$P$8,G393)*POWER(Upgrades!$P$9,H393)*POWER(Upgrades!$P$10,I393)*POWER(Upgrades!$P$11,J393)*POWER(Upgrades!$P$12,K393)*60</f>
        <v/>
      </c>
      <c r="AF393" s="27">
        <f>Parameters!$B$9*POWER(Upgrades!$Q$6,E393)*POWER(Upgrades!$Q$7,F393)*POWER(Upgrades!$Q$8,G393)*POWER(Upgrades!$Q$9,H393)*POWER(Upgrades!$Q$10,I393)*POWER(Upgrades!$Q$11,J393)*POWER(Upgrades!$Q$12,K393)*(Parameters!$B$10*Parameters!$B$11+O393*60)</f>
        <v/>
      </c>
      <c r="AG393" s="22">
        <f>IF(E393&gt;=Upgrades!$E$6,"",Upgrades!$C$6*POWER(Upgrades!$D$6,E393))</f>
        <v/>
      </c>
      <c r="AH393" s="22">
        <f>IF(F393&gt;=Upgrades!$E$7,"",Upgrades!$C$7*POWER(Upgrades!$D$7,F393))</f>
        <v/>
      </c>
      <c r="AI393" s="22">
        <f>IF(G393&gt;=Upgrades!$E$8,"",Upgrades!$C$8*POWER(Upgrades!$D$8,G393))</f>
        <v/>
      </c>
      <c r="AJ393" s="22">
        <f>IF(H393&gt;=Upgrades!$E$9,"",Upgrades!$C$9*POWER(Upgrades!$D$9,H393))</f>
        <v/>
      </c>
      <c r="AK393" s="22">
        <f>IF(I393&gt;=Upgrades!$E$10,"",Upgrades!$C$10*POWER(Upgrades!$D$10,I393))</f>
        <v/>
      </c>
      <c r="AL393" s="22">
        <f>IF(J393&gt;=Upgrades!$E$11,"",Upgrades!$C$11*POWER(Upgrades!$D$11,J393))</f>
        <v/>
      </c>
      <c r="AM393" s="22">
        <f>IF(K393&gt;=Upgrades!$E$12,"",Upgrades!$C$12*POWER(Upgrades!$D$12,K393))</f>
        <v/>
      </c>
      <c r="AN393" s="26">
        <f>IF(AND(D393&gt;=Parameters!$B$18,(H393&gt;=Upgrades!$E$9)*(K393&gt;=Upgrades!$E$12)=1,L393=0),1,"")</f>
        <v/>
      </c>
      <c r="AO393" s="26">
        <f>IF(AND(D393&gt;=Parameters!$B$18,L393=0),1,"")</f>
        <v/>
      </c>
      <c r="AP393" s="22">
        <f>MIN(IF(ISNUMBER(AK393),AK393,9E15),IF(ISNUMBER(AL393),AL393,9E15),IF(ISNUMBER(AM393),AM393,9E15))</f>
        <v/>
      </c>
      <c r="AQ393" s="22">
        <f>MIN(IF(ISNUMBER(AG393),AG393,9E15),IF(ISNUMBER(AH393),AH393,9E15),IF(ISNUMBER(AI393),AI393,9E15),IF(ISNUMBER(AJ393),AJ393,9E15))</f>
        <v/>
      </c>
      <c r="AR393" s="29">
        <f>IF(AW393&gt;Parameters!$B$21*(MAX(IF(AND(NOT(AND(AO393=1,AN393&lt;&gt;1)),ISNUMBER(AG393),AG393&lt;=T393),AS393,0),IF(AND(NOT(AND(AO393=1,AN393&lt;&gt;1)),ISNUMBER(AH393),AH393&lt;=T393),AT393,0),IF(AND(NOT(AND(AO393=1,AN393&lt;&gt;1)),ISNUMBER(AI393),AI393&lt;=T393),AU393,0),IF(AND(ISNUMBER(AJ393),AJ393&lt;=T393),AV393,0))),TRUE,FALSE)</f>
        <v/>
      </c>
      <c r="AS393" s="32">
        <f>IFERROR(Upgrades!$H$6*(POWER(Upgrades!$P$6,E393)*POWER(Upgrades!$P$7,F393)*POWER(Upgrades!$P$8,G393)*POWER(Upgrades!$P$9,H393)*POWER(Upgrades!$P$10,I393)*POWER(Upgrades!$P$11,J393)*POWER(Upgrades!$P$12,K393))*(IF(Upgrades!$T$7="Solar Wind",POWER(Upgrades!$U$7,F393),1)*IF(Upgrades!$T$8="Solar Wind",POWER(Upgrades!$U$8,G393),1)*IF(Upgrades!$T$9="Solar Wind",POWER(Upgrades!$U$9,H393),1)*IF(Upgrades!$T$10="Solar Wind",POWER(Upgrades!$U$10,I393),1)*IF(Upgrades!$T$11="Solar Wind",POWER(Upgrades!$U$11,J393),1)*IF(Upgrades!$T$12="Solar Wind",POWER(Upgrades!$U$12,K393),1))/AG393,0)</f>
        <v/>
      </c>
      <c r="AT393" s="32">
        <f>IFERROR(Upgrades!$H$7*(POWER(Upgrades!$P$6,E393)*POWER(Upgrades!$P$7,F393)*POWER(Upgrades!$P$8,G393)*POWER(Upgrades!$P$9,H393)*POWER(Upgrades!$P$10,I393)*POWER(Upgrades!$P$11,J393)*POWER(Upgrades!$P$12,K393))*(IF(Upgrades!$T$6="Asteroid Belt",POWER(Upgrades!$U$6,E393),1)*IF(Upgrades!$T$8="Asteroid Belt",POWER(Upgrades!$U$8,G393),1)*IF(Upgrades!$T$9="Asteroid Belt",POWER(Upgrades!$U$9,H393),1)*IF(Upgrades!$T$10="Asteroid Belt",POWER(Upgrades!$U$10,I393),1)*IF(Upgrades!$T$11="Asteroid Belt",POWER(Upgrades!$U$11,J393),1)*IF(Upgrades!$T$12="Asteroid Belt",POWER(Upgrades!$U$12,K393),1))/AH393,0)</f>
        <v/>
      </c>
      <c r="AU393" s="32">
        <f>IFERROR(Upgrades!$K$8*(POWER(Upgrades!$Q$6,E393)*POWER(Upgrades!$Q$7,F393)*POWER(Upgrades!$Q$8,G393)*POWER(Upgrades!$Q$9,H393)*POWER(Upgrades!$Q$10,I393)*POWER(Upgrades!$Q$11,J393)*POWER(Upgrades!$Q$12,K393))*(IF(Upgrades!$T$6="Stellar Coupling",POWER(Upgrades!$U$6,E393),1)*IF(Upgrades!$T$7="Stellar Coupling",POWER(Upgrades!$U$7,F393),1)*IF(Upgrades!$T$9="Stellar Coupling",POWER(Upgrades!$U$9,H393),1)*IF(Upgrades!$T$10="Stellar Coupling",POWER(Upgrades!$U$10,I393),1)*IF(Upgrades!$T$11="Stellar Coupling",POWER(Upgrades!$U$11,J393),1)*IF(Upgrades!$T$12="Stellar Coupling",POWER(Upgrades!$U$12,K393),1))*Parameters!$B$10*Parameters!$B$11/60/AI393,0)</f>
        <v/>
      </c>
      <c r="AV393" s="32">
        <f>IFERROR(Upgrades!$H$9*(POWER(Upgrades!$P$6,E393)*POWER(Upgrades!$P$7,F393)*POWER(Upgrades!$P$8,G393)*POWER(Upgrades!$P$9,H393)*POWER(Upgrades!$P$10,I393)*POWER(Upgrades!$P$11,J393)*POWER(Upgrades!$P$12,K393))*(IF(Upgrades!$T$6="Magnetosphere",POWER(Upgrades!$U$6,E393),1)*IF(Upgrades!$T$7="Magnetosphere",POWER(Upgrades!$U$7,F393),1)*IF(Upgrades!$T$8="Magnetosphere",POWER(Upgrades!$U$8,G393),1)*IF(Upgrades!$T$10="Magnetosphere",POWER(Upgrades!$U$10,I393),1)*IF(Upgrades!$T$11="Magnetosphere",POWER(Upgrades!$U$11,J393),1)*IF(Upgrades!$T$12="Magnetosphere",POWER(Upgrades!$U$12,K393),1))/AJ393,0)</f>
        <v/>
      </c>
      <c r="AW393" s="32">
        <f>MAX(IF(I393&gt;0,0,IFERROR(0.25*N393/Upgrades!$C$10,0)),IF(J393&gt;0,0,IFERROR(0.5*((IF(G393=0,0,(Upgrades!$J$8+G393*Upgrades!$K$8)*POWER(Upgrades!$L$8,G393)))*(IF(Upgrades!$T$6="Stellar Coupling",POWER(Upgrades!$U$6,E393),1)*IF(Upgrades!$T$7="Stellar Coupling",POWER(Upgrades!$U$7,F393),1)*IF(Upgrades!$T$9="Stellar Coupling",POWER(Upgrades!$U$9,H393),1)*IF(Upgrades!$T$10="Stellar Coupling",POWER(Upgrades!$U$10,I393),1)*IF(Upgrades!$T$11="Stellar Coupling",POWER(Upgrades!$U$11,J393),1)*IF(Upgrades!$T$12="Stellar Coupling",POWER(Upgrades!$U$12,K393),1))*(POWER(Upgrades!$Q$6,E393)*POWER(Upgrades!$Q$7,F393)*POWER(Upgrades!$Q$8,G393)*POWER(Upgrades!$Q$9,H393)*POWER(Upgrades!$Q$10,I393)*POWER(Upgrades!$Q$11,J393)*POWER(Upgrades!$Q$12,K393))*Parameters!$B$10*Parameters!$B$11/60)/Upgrades!$C$11,0)),IF(K393&gt;0,0,IFERROR((1.0*(POWER(Upgrades!$P$6,E393)*POWER(Upgrades!$P$7,F393)*POWER(Upgrades!$P$8,G393)*POWER(Upgrades!$P$9,H393)*POWER(Upgrades!$P$10,I393)*POWER(Upgrades!$P$11,J393)*POWER(Upgrades!$P$12,K393))+0.20*M393*Parameters!$B$10*Parameters!$B$11/60)/Upgrades!$C$12,0)),IF(AND(ISNUMBER(AG393),AG393&gt;T393),AS393,0),IF(AND(ISNUMBER(AH393),AH393&gt;T393),AT393,0),IF(AND(ISNUMBER(AI393),AI393&gt;T393),AU393,0),IF(AND(ISNUMBER(AJ393),AJ393&gt;T393),AV393,0))</f>
        <v/>
      </c>
      <c r="AX393" s="29">
        <f>IF(AN393=1,"transition",IF(MIN(IF(AND(I393=0,ISNUMBER(AK393),AK393&lt;=T393),AK393,9E15),IF(AND(J393=0,ISNUMBER(AL393),AL393&lt;=T393),AL393,9E15),IF(AND(K393=0,ISNUMBER(AM393),AM393&lt;=T393),AM393,9E15))&lt;9E15,IF(AND(AND(I393=0,ISNUMBER(AK393),AK393&lt;=T393),AK393=MIN(IF(AND(I393=0,ISNUMBER(AK393),AK393&lt;=T393),AK393,9E15),IF(AND(J393=0,ISNUMBER(AL393),AL393&lt;=T393),AL393,9E15),IF(AND(K393=0,ISNUMBER(AM393),AM393&lt;=T393),AM393,9E15))),"OR",IF(AND(AND(J393=0,ISNUMBER(AL393),AL393&lt;=T393),AL393=MIN(IF(AND(I393=0,ISNUMBER(AK393),AK393&lt;=T393),AK393,9E15),IF(AND(J393=0,ISNUMBER(AL393),AL393&lt;=T393),AL393,9E15),IF(AND(K393=0,ISNUMBER(AM393),AM393&lt;=T393),AM393,9E15))),"HP","FP")),IF(AR393=TRUE,"",IF(MAX(IF(AND(NOT(AND(AO393=1,AN393&lt;&gt;1)),ISNUMBER(AG393),AG393&lt;=T393),AS393,0),IF(AND(NOT(AND(AO393=1,AN393&lt;&gt;1)),ISNUMBER(AH393),AH393&lt;=T393),AT393,0),IF(AND(NOT(AND(AO393=1,AN393&lt;&gt;1)),ISNUMBER(AI393),AI393&lt;=T393),AU393,0),IF(AND(ISNUMBER(AJ393),AJ393&lt;=T393),AV393,0))&lt;=0,"",IF(AND(IF(AND(NOT(AND(AO393=1,AN393&lt;&gt;1)),ISNUMBER(AG393),AG393&lt;=T393),AS393,0)&gt;0,IF(AND(NOT(AND(AO393=1,AN393&lt;&gt;1)),ISNUMBER(AG393),AG393&lt;=T393),AS393,0)=MAX(IF(AND(NOT(AND(AO393=1,AN393&lt;&gt;1)),ISNUMBER(AG393),AG393&lt;=T393),AS393,0),IF(AND(NOT(AND(AO393=1,AN393&lt;&gt;1)),ISNUMBER(AH393),AH393&lt;=T393),AT393,0),IF(AND(NOT(AND(AO393=1,AN393&lt;&gt;1)),ISNUMBER(AI393),AI393&lt;=T393),AU393,0),IF(AND(ISNUMBER(AJ393),AJ393&lt;=T393),AV393,0))),"SW",IF(AND(IF(AND(NOT(AND(AO393=1,AN393&lt;&gt;1)),ISNUMBER(AH393),AH393&lt;=T393),AT393,0)&gt;0,IF(AND(NOT(AND(AO393=1,AN393&lt;&gt;1)),ISNUMBER(AH393),AH393&lt;=T393),AT393,0)=MAX(IF(AND(NOT(AND(AO393=1,AN393&lt;&gt;1)),ISNUMBER(AG393),AG393&lt;=T393),AS393,0),IF(AND(NOT(AND(AO393=1,AN393&lt;&gt;1)),ISNUMBER(AH393),AH393&lt;=T393),AT393,0),IF(AND(NOT(AND(AO393=1,AN393&lt;&gt;1)),ISNUMBER(AI393),AI393&lt;=T393),AU393,0),IF(AND(ISNUMBER(AJ393),AJ393&lt;=T393),AV393,0))),"AB",IF(AND(IF(AND(NOT(AND(AO393=1,AN393&lt;&gt;1)),ISNUMBER(AI393),AI393&lt;=T393),AU393,0)&gt;0,IF(AND(NOT(AND(AO393=1,AN393&lt;&gt;1)),ISNUMBER(AI393),AI393&lt;=T393),AU393,0)=MAX(IF(AND(NOT(AND(AO393=1,AN393&lt;&gt;1)),ISNUMBER(AG393),AG393&lt;=T393),AS393,0),IF(AND(NOT(AND(AO393=1,AN393&lt;&gt;1)),ISNUMBER(AH393),AH393&lt;=T393),AT393,0),IF(AND(NOT(AND(AO393=1,AN393&lt;&gt;1)),ISNUMBER(AI393),AI393&lt;=T393),AU393,0),IF(AND(ISNUMBER(AJ393),AJ393&lt;=T393),AV393,0))),"SC","Mag")))))))</f>
        <v/>
      </c>
    </row>
    <row r="394">
      <c r="A394" s="26" t="n">
        <v>389</v>
      </c>
      <c r="B394" s="27">
        <f>A394*10/60</f>
        <v/>
      </c>
      <c r="C394" s="22">
        <f>X393</f>
        <v/>
      </c>
      <c r="D394" s="27">
        <f>D393+W393</f>
        <v/>
      </c>
      <c r="E394" s="26">
        <f>E393+IF(U393="SW",1,0)</f>
        <v/>
      </c>
      <c r="F394" s="26">
        <f>F393+IF(U393="AB",1,0)</f>
        <v/>
      </c>
      <c r="G394" s="26">
        <f>G393+IF(U393="SC",1,0)</f>
        <v/>
      </c>
      <c r="H394" s="26">
        <f>H393+IF(U393="Mag",1,0)</f>
        <v/>
      </c>
      <c r="I394" s="26">
        <f>MAX(I393,IF(U393="OR",1,0))</f>
        <v/>
      </c>
      <c r="J394" s="26">
        <f>MAX(J393,IF(U393="HP",1,0))</f>
        <v/>
      </c>
      <c r="K394" s="26">
        <f>MAX(K393,IF(U393="FP",1,0))</f>
        <v/>
      </c>
      <c r="L394" s="26">
        <f>MAX(L393,IF(U393="transition",1,0))</f>
        <v/>
      </c>
      <c r="M394" s="28">
        <f>(Parameters!$B$9+(IF(E394=0,0,(Upgrades!$J$6+E394*Upgrades!$K$6)*POWER(Upgrades!$L$6,E394)))*(IF(Upgrades!$T$7="Solar Wind",POWER(Upgrades!$U$7,F394),1)*IF(Upgrades!$T$8="Solar Wind",POWER(Upgrades!$U$8,G394),1)*IF(Upgrades!$T$9="Solar Wind",POWER(Upgrades!$U$9,H394),1)*IF(Upgrades!$T$10="Solar Wind",POWER(Upgrades!$U$10,I394),1)*IF(Upgrades!$T$11="Solar Wind",POWER(Upgrades!$U$11,J394),1)*IF(Upgrades!$T$12="Solar Wind",POWER(Upgrades!$U$12,K394),1))+(IF(F394=0,0,(Upgrades!$J$7+F394*Upgrades!$K$7)*POWER(Upgrades!$L$7,F394)))*(IF(Upgrades!$T$6="Asteroid Belt",POWER(Upgrades!$U$6,E394),1)*IF(Upgrades!$T$8="Asteroid Belt",POWER(Upgrades!$U$8,G394),1)*IF(Upgrades!$T$9="Asteroid Belt",POWER(Upgrades!$U$9,H394),1)*IF(Upgrades!$T$10="Asteroid Belt",POWER(Upgrades!$U$10,I394),1)*IF(Upgrades!$T$11="Asteroid Belt",POWER(Upgrades!$U$11,J394),1)*IF(Upgrades!$T$12="Asteroid Belt",POWER(Upgrades!$U$12,K394),1))+(IF(G394=0,0,(Upgrades!$J$8+G394*Upgrades!$K$8)*POWER(Upgrades!$L$8,G394)))*(IF(Upgrades!$T$6="Stellar Coupling",POWER(Upgrades!$U$6,E394),1)*IF(Upgrades!$T$7="Stellar Coupling",POWER(Upgrades!$U$7,F394),1)*IF(Upgrades!$T$9="Stellar Coupling",POWER(Upgrades!$U$9,H394),1)*IF(Upgrades!$T$10="Stellar Coupling",POWER(Upgrades!$U$10,I394),1)*IF(Upgrades!$T$11="Stellar Coupling",POWER(Upgrades!$U$11,J394),1)*IF(Upgrades!$T$12="Stellar Coupling",POWER(Upgrades!$U$12,K394),1))+(IF(H394=0,0,(Upgrades!$J$9+H394*Upgrades!$K$9)*POWER(Upgrades!$L$9,H394)))*(IF(Upgrades!$T$6="Magnetosphere",POWER(Upgrades!$U$6,E394),1)*IF(Upgrades!$T$7="Magnetosphere",POWER(Upgrades!$U$7,F394),1)*IF(Upgrades!$T$8="Magnetosphere",POWER(Upgrades!$U$8,G394),1)*IF(Upgrades!$T$10="Magnetosphere",POWER(Upgrades!$U$10,I394),1)*IF(Upgrades!$T$11="Magnetosphere",POWER(Upgrades!$U$11,J394),1)*IF(Upgrades!$T$12="Magnetosphere",POWER(Upgrades!$U$12,K394),1))+(IF(I394=0,0,(Upgrades!$J$10+I394*Upgrades!$K$10)*POWER(Upgrades!$L$10,I394)))*(IF(Upgrades!$T$6="Orbital Resonance",POWER(Upgrades!$U$6,E394),1)*IF(Upgrades!$T$7="Orbital Resonance",POWER(Upgrades!$U$7,F394),1)*IF(Upgrades!$T$8="Orbital Resonance",POWER(Upgrades!$U$8,G394),1)*IF(Upgrades!$T$9="Orbital Resonance",POWER(Upgrades!$U$9,H394),1)*IF(Upgrades!$T$11="Orbital Resonance",POWER(Upgrades!$U$11,J394),1)*IF(Upgrades!$T$12="Orbital Resonance",POWER(Upgrades!$U$12,K394),1))+(IF(J394=0,0,(Upgrades!$J$11+J394*Upgrades!$K$11)*POWER(Upgrades!$L$11,J394)))*(IF(Upgrades!$T$6="Heliopause",POWER(Upgrades!$U$6,E394),1)*IF(Upgrades!$T$7="Heliopause",POWER(Upgrades!$U$7,F394),1)*IF(Upgrades!$T$8="Heliopause",POWER(Upgrades!$U$8,G394),1)*IF(Upgrades!$T$9="Heliopause",POWER(Upgrades!$U$9,H394),1)*IF(Upgrades!$T$10="Heliopause",POWER(Upgrades!$U$10,I394),1)*IF(Upgrades!$T$12="Heliopause",POWER(Upgrades!$U$12,K394),1))+(IF(K394=0,0,(Upgrades!$J$12+K394*Upgrades!$K$12)*POWER(Upgrades!$L$12,K394)))*(IF(Upgrades!$T$6="First Photons",POWER(Upgrades!$U$6,E394),1)*IF(Upgrades!$T$7="First Photons",POWER(Upgrades!$U$7,F394),1)*IF(Upgrades!$T$8="First Photons",POWER(Upgrades!$U$8,G394),1)*IF(Upgrades!$T$9="First Photons",POWER(Upgrades!$U$9,H394),1)*IF(Upgrades!$T$10="First Photons",POWER(Upgrades!$U$10,I394),1)*IF(Upgrades!$T$11="First Photons",POWER(Upgrades!$U$11,J394),1)))*POWER(Upgrades!$Q$6,E394)*POWER(Upgrades!$Q$7,F394)*POWER(Upgrades!$Q$8,G394)*POWER(Upgrades!$Q$9,H394)*POWER(Upgrades!$Q$10,I394)*POWER(Upgrades!$Q$11,J394)*POWER(Upgrades!$Q$12,K394)</f>
        <v/>
      </c>
      <c r="N394" s="28">
        <f>((IF(E394=0,0,(Upgrades!$G$6+E394*Upgrades!$H$6)*POWER(Upgrades!$I$6,E394)))*(IF(Upgrades!$T$7="Solar Wind",POWER(Upgrades!$U$7,F394),1)*IF(Upgrades!$T$8="Solar Wind",POWER(Upgrades!$U$8,G394),1)*IF(Upgrades!$T$9="Solar Wind",POWER(Upgrades!$U$9,H394),1)*IF(Upgrades!$T$10="Solar Wind",POWER(Upgrades!$U$10,I394),1)*IF(Upgrades!$T$11="Solar Wind",POWER(Upgrades!$U$11,J394),1)*IF(Upgrades!$T$12="Solar Wind",POWER(Upgrades!$U$12,K394),1))+(IF(F394=0,0,(Upgrades!$G$7+F394*Upgrades!$H$7)*POWER(Upgrades!$I$7,F394)))*(IF(Upgrades!$T$6="Asteroid Belt",POWER(Upgrades!$U$6,E394),1)*IF(Upgrades!$T$8="Asteroid Belt",POWER(Upgrades!$U$8,G394),1)*IF(Upgrades!$T$9="Asteroid Belt",POWER(Upgrades!$U$9,H394),1)*IF(Upgrades!$T$10="Asteroid Belt",POWER(Upgrades!$U$10,I394),1)*IF(Upgrades!$T$11="Asteroid Belt",POWER(Upgrades!$U$11,J394),1)*IF(Upgrades!$T$12="Asteroid Belt",POWER(Upgrades!$U$12,K394),1))+(IF(G394=0,0,(Upgrades!$G$8+G394*Upgrades!$H$8)*POWER(Upgrades!$I$8,G394)))*(IF(Upgrades!$T$6="Stellar Coupling",POWER(Upgrades!$U$6,E394),1)*IF(Upgrades!$T$7="Stellar Coupling",POWER(Upgrades!$U$7,F394),1)*IF(Upgrades!$T$9="Stellar Coupling",POWER(Upgrades!$U$9,H394),1)*IF(Upgrades!$T$10="Stellar Coupling",POWER(Upgrades!$U$10,I394),1)*IF(Upgrades!$T$11="Stellar Coupling",POWER(Upgrades!$U$11,J394),1)*IF(Upgrades!$T$12="Stellar Coupling",POWER(Upgrades!$U$12,K394),1))+(IF(H394=0,0,(Upgrades!$G$9+H394*Upgrades!$H$9)*POWER(Upgrades!$I$9,H394)))*(IF(Upgrades!$T$6="Magnetosphere",POWER(Upgrades!$U$6,E394),1)*IF(Upgrades!$T$7="Magnetosphere",POWER(Upgrades!$U$7,F394),1)*IF(Upgrades!$T$8="Magnetosphere",POWER(Upgrades!$U$8,G394),1)*IF(Upgrades!$T$10="Magnetosphere",POWER(Upgrades!$U$10,I394),1)*IF(Upgrades!$T$11="Magnetosphere",POWER(Upgrades!$U$11,J394),1)*IF(Upgrades!$T$12="Magnetosphere",POWER(Upgrades!$U$12,K394),1))+(IF(I394=0,0,(Upgrades!$G$10+I394*Upgrades!$H$10)*POWER(Upgrades!$I$10,I394)))*(IF(Upgrades!$T$6="Orbital Resonance",POWER(Upgrades!$U$6,E394),1)*IF(Upgrades!$T$7="Orbital Resonance",POWER(Upgrades!$U$7,F394),1)*IF(Upgrades!$T$8="Orbital Resonance",POWER(Upgrades!$U$8,G394),1)*IF(Upgrades!$T$9="Orbital Resonance",POWER(Upgrades!$U$9,H394),1)*IF(Upgrades!$T$11="Orbital Resonance",POWER(Upgrades!$U$11,J394),1)*IF(Upgrades!$T$12="Orbital Resonance",POWER(Upgrades!$U$12,K394),1))+(IF(J394=0,0,(Upgrades!$G$11+J394*Upgrades!$H$11)*POWER(Upgrades!$I$11,J394)))*(IF(Upgrades!$T$6="Heliopause",POWER(Upgrades!$U$6,E394),1)*IF(Upgrades!$T$7="Heliopause",POWER(Upgrades!$U$7,F394),1)*IF(Upgrades!$T$8="Heliopause",POWER(Upgrades!$U$8,G394),1)*IF(Upgrades!$T$9="Heliopause",POWER(Upgrades!$U$9,H394),1)*IF(Upgrades!$T$10="Heliopause",POWER(Upgrades!$U$10,I394),1)*IF(Upgrades!$T$12="Heliopause",POWER(Upgrades!$U$12,K394),1))+(IF(K394=0,0,(Upgrades!$G$12+K394*Upgrades!$H$12)*POWER(Upgrades!$I$12,K394)))*(IF(Upgrades!$T$6="First Photons",POWER(Upgrades!$U$6,E394),1)*IF(Upgrades!$T$7="First Photons",POWER(Upgrades!$U$7,F394),1)*IF(Upgrades!$T$8="First Photons",POWER(Upgrades!$U$8,G394),1)*IF(Upgrades!$T$9="First Photons",POWER(Upgrades!$U$9,H394),1)*IF(Upgrades!$T$10="First Photons",POWER(Upgrades!$U$10,I394),1)*IF(Upgrades!$T$11="First Photons",POWER(Upgrades!$U$11,J394),1)))*POWER(Upgrades!$P$6,E394)*POWER(Upgrades!$P$7,F394)*POWER(Upgrades!$P$8,G394)*POWER(Upgrades!$P$9,H394)*POWER(Upgrades!$P$10,I394)*POWER(Upgrades!$P$11,J394)*POWER(Upgrades!$P$12,K394)</f>
        <v/>
      </c>
      <c r="O394" s="28">
        <f>((IF(E394=0,0,(Upgrades!$M$6+E394*Upgrades!$N$6)*POWER(Upgrades!$O$6,E394)))*(IF(Upgrades!$T$7="Solar Wind",POWER(Upgrades!$U$7,F394),1)*IF(Upgrades!$T$8="Solar Wind",POWER(Upgrades!$U$8,G394),1)*IF(Upgrades!$T$9="Solar Wind",POWER(Upgrades!$U$9,H394),1)*IF(Upgrades!$T$10="Solar Wind",POWER(Upgrades!$U$10,I394),1)*IF(Upgrades!$T$11="Solar Wind",POWER(Upgrades!$U$11,J394),1)*IF(Upgrades!$T$12="Solar Wind",POWER(Upgrades!$U$12,K394),1))+(IF(F394=0,0,(Upgrades!$M$7+F394*Upgrades!$N$7)*POWER(Upgrades!$O$7,F394)))*(IF(Upgrades!$T$6="Asteroid Belt",POWER(Upgrades!$U$6,E394),1)*IF(Upgrades!$T$8="Asteroid Belt",POWER(Upgrades!$U$8,G394),1)*IF(Upgrades!$T$9="Asteroid Belt",POWER(Upgrades!$U$9,H394),1)*IF(Upgrades!$T$10="Asteroid Belt",POWER(Upgrades!$U$10,I394),1)*IF(Upgrades!$T$11="Asteroid Belt",POWER(Upgrades!$U$11,J394),1)*IF(Upgrades!$T$12="Asteroid Belt",POWER(Upgrades!$U$12,K394),1))+(IF(G394=0,0,(Upgrades!$M$8+G394*Upgrades!$N$8)*POWER(Upgrades!$O$8,G394)))*(IF(Upgrades!$T$6="Stellar Coupling",POWER(Upgrades!$U$6,E394),1)*IF(Upgrades!$T$7="Stellar Coupling",POWER(Upgrades!$U$7,F394),1)*IF(Upgrades!$T$9="Stellar Coupling",POWER(Upgrades!$U$9,H394),1)*IF(Upgrades!$T$10="Stellar Coupling",POWER(Upgrades!$U$10,I394),1)*IF(Upgrades!$T$11="Stellar Coupling",POWER(Upgrades!$U$11,J394),1)*IF(Upgrades!$T$12="Stellar Coupling",POWER(Upgrades!$U$12,K394),1))+(IF(H394=0,0,(Upgrades!$M$9+H394*Upgrades!$N$9)*POWER(Upgrades!$O$9,H394)))*(IF(Upgrades!$T$6="Magnetosphere",POWER(Upgrades!$U$6,E394),1)*IF(Upgrades!$T$7="Magnetosphere",POWER(Upgrades!$U$7,F394),1)*IF(Upgrades!$T$8="Magnetosphere",POWER(Upgrades!$U$8,G394),1)*IF(Upgrades!$T$10="Magnetosphere",POWER(Upgrades!$U$10,I394),1)*IF(Upgrades!$T$11="Magnetosphere",POWER(Upgrades!$U$11,J394),1)*IF(Upgrades!$T$12="Magnetosphere",POWER(Upgrades!$U$12,K394),1))+(IF(I394=0,0,(Upgrades!$M$10+I394*Upgrades!$N$10)*POWER(Upgrades!$O$10,I394)))*(IF(Upgrades!$T$6="Orbital Resonance",POWER(Upgrades!$U$6,E394),1)*IF(Upgrades!$T$7="Orbital Resonance",POWER(Upgrades!$U$7,F394),1)*IF(Upgrades!$T$8="Orbital Resonance",POWER(Upgrades!$U$8,G394),1)*IF(Upgrades!$T$9="Orbital Resonance",POWER(Upgrades!$U$9,H394),1)*IF(Upgrades!$T$11="Orbital Resonance",POWER(Upgrades!$U$11,J394),1)*IF(Upgrades!$T$12="Orbital Resonance",POWER(Upgrades!$U$12,K394),1))+(IF(J394=0,0,(Upgrades!$M$11+J394*Upgrades!$N$11)*POWER(Upgrades!$O$11,J394)))*(IF(Upgrades!$T$6="Heliopause",POWER(Upgrades!$U$6,E394),1)*IF(Upgrades!$T$7="Heliopause",POWER(Upgrades!$U$7,F394),1)*IF(Upgrades!$T$8="Heliopause",POWER(Upgrades!$U$8,G394),1)*IF(Upgrades!$T$9="Heliopause",POWER(Upgrades!$U$9,H394),1)*IF(Upgrades!$T$10="Heliopause",POWER(Upgrades!$U$10,I394),1)*IF(Upgrades!$T$12="Heliopause",POWER(Upgrades!$U$12,K394),1))+(IF(K394=0,0,(Upgrades!$M$12+K394*Upgrades!$N$12)*POWER(Upgrades!$O$12,K394)))*(IF(Upgrades!$T$6="First Photons",POWER(Upgrades!$U$6,E394),1)*IF(Upgrades!$T$7="First Photons",POWER(Upgrades!$U$7,F394),1)*IF(Upgrades!$T$8="First Photons",POWER(Upgrades!$U$8,G394),1)*IF(Upgrades!$T$9="First Photons",POWER(Upgrades!$U$9,H394),1)*IF(Upgrades!$T$10="First Photons",POWER(Upgrades!$U$10,I394),1)*IF(Upgrades!$T$11="First Photons",POWER(Upgrades!$U$11,J394),1)))*POWER(Upgrades!$R$6,E394)*POWER(Upgrades!$R$7,F394)*POWER(Upgrades!$R$8,G394)*POWER(Upgrades!$R$9,H394)*POWER(Upgrades!$R$10,I394)*POWER(Upgrades!$R$11,J394)*POWER(Upgrades!$R$12,K394)</f>
        <v/>
      </c>
      <c r="P394" s="27">
        <f>IF(L394=1,0,M394*Parameters!$B$10/60*Parameters!$B$11*10)</f>
        <v/>
      </c>
      <c r="Q394" s="27">
        <f>IF(L394=1,0,O394*M394*10)</f>
        <v/>
      </c>
      <c r="R394" s="27">
        <f>IF(L394=1,0,N394*10)</f>
        <v/>
      </c>
      <c r="S394" s="27">
        <f>P394+Q394+R394</f>
        <v/>
      </c>
      <c r="T394" s="22">
        <f>C394+S394</f>
        <v/>
      </c>
      <c r="U394" s="33">
        <f>AX394</f>
        <v/>
      </c>
      <c r="V394" s="22">
        <f>IF(U394="",0,IF(U394="transition",0,IF(U394="SW",AG394,IF(U394="AB",AH394,IF(U394="SC",AI394,IF(U394="Mag",AJ394,IF(U394="OR",AK394,IF(U394="HP",AL394,IF(U394="FP",AM394,0)))))))))</f>
        <v/>
      </c>
      <c r="W394" s="27">
        <f>IF(U394="OR",Upgrades!$F$10,IF(U394="HP",Upgrades!$F$11,IF(U394="transition",-Parameters!$B$18,0)))</f>
        <v/>
      </c>
      <c r="X394" s="22">
        <f>T394-V394</f>
        <v/>
      </c>
      <c r="Y394" s="30">
        <f>M394*Parameters!$B$10/60*Parameters!$B$11+O394*M394+N394</f>
        <v/>
      </c>
      <c r="Z394" s="34">
        <f>IF(U394="transition","→ Tier 2 (Stellar Neighborhood)",IF(U394="FP","First Photons — light begins, system quickens",IF(U394="HP","Heliopause acquired",IF(U394="OR","Orbital Resonance — passive multiplier active",IF(AND(AO394=1,L394=0,AN394&lt;&gt;1),"Cohesion ready (waiting on completionist upgrades)","")))))</f>
        <v/>
      </c>
      <c r="AA394" s="27">
        <f>(IF(E394=0,0,(Upgrades!$G$6+E394*Upgrades!$H$6)*POWER(Upgrades!$I$6,E394)))*(IF(Upgrades!$T$7="Solar Wind",POWER(Upgrades!$U$7,F394),1)*IF(Upgrades!$T$8="Solar Wind",POWER(Upgrades!$U$8,G394),1)*IF(Upgrades!$T$9="Solar Wind",POWER(Upgrades!$U$9,H394),1)*IF(Upgrades!$T$10="Solar Wind",POWER(Upgrades!$U$10,I394),1)*IF(Upgrades!$T$11="Solar Wind",POWER(Upgrades!$U$11,J394),1)*IF(Upgrades!$T$12="Solar Wind",POWER(Upgrades!$U$12,K394),1))*POWER(Upgrades!$P$6,E394)*POWER(Upgrades!$P$7,F394)*POWER(Upgrades!$P$8,G394)*POWER(Upgrades!$P$9,H394)*POWER(Upgrades!$P$10,I394)*POWER(Upgrades!$P$11,J394)*POWER(Upgrades!$P$12,K394)*60</f>
        <v/>
      </c>
      <c r="AB394" s="27">
        <f>(IF(F394=0,0,(Upgrades!$G$7+F394*Upgrades!$H$7)*POWER(Upgrades!$I$7,F394)))*(IF(Upgrades!$T$6="Asteroid Belt",POWER(Upgrades!$U$6,E394),1)*IF(Upgrades!$T$8="Asteroid Belt",POWER(Upgrades!$U$8,G394),1)*IF(Upgrades!$T$9="Asteroid Belt",POWER(Upgrades!$U$9,H394),1)*IF(Upgrades!$T$10="Asteroid Belt",POWER(Upgrades!$U$10,I394),1)*IF(Upgrades!$T$11="Asteroid Belt",POWER(Upgrades!$U$11,J394),1)*IF(Upgrades!$T$12="Asteroid Belt",POWER(Upgrades!$U$12,K394),1))*POWER(Upgrades!$P$6,E394)*POWER(Upgrades!$P$7,F394)*POWER(Upgrades!$P$8,G394)*POWER(Upgrades!$P$9,H394)*POWER(Upgrades!$P$10,I394)*POWER(Upgrades!$P$11,J394)*POWER(Upgrades!$P$12,K394)*60</f>
        <v/>
      </c>
      <c r="AC394" s="27">
        <f>(IF(G394=0,0,(Upgrades!$J$8+G394*Upgrades!$K$8)*POWER(Upgrades!$L$8,G394)))*(IF(Upgrades!$T$6="Stellar Coupling",POWER(Upgrades!$U$6,E394),1)*IF(Upgrades!$T$7="Stellar Coupling",POWER(Upgrades!$U$7,F394),1)*IF(Upgrades!$T$9="Stellar Coupling",POWER(Upgrades!$U$9,H394),1)*IF(Upgrades!$T$10="Stellar Coupling",POWER(Upgrades!$U$10,I394),1)*IF(Upgrades!$T$11="Stellar Coupling",POWER(Upgrades!$U$11,J394),1)*IF(Upgrades!$T$12="Stellar Coupling",POWER(Upgrades!$U$12,K394),1))*POWER(Upgrades!$Q$6,E394)*POWER(Upgrades!$Q$7,F394)*POWER(Upgrades!$Q$8,G394)*POWER(Upgrades!$Q$9,H394)*POWER(Upgrades!$Q$10,I394)*POWER(Upgrades!$Q$11,J394)*POWER(Upgrades!$Q$12,K394)*Parameters!$B$10*Parameters!$B$11</f>
        <v/>
      </c>
      <c r="AD394" s="27">
        <f>(IF(H394=0,0,(Upgrades!$G$9+H394*Upgrades!$H$9)*POWER(Upgrades!$I$9,H394)))*(IF(Upgrades!$T$6="Magnetosphere",POWER(Upgrades!$U$6,E394),1)*IF(Upgrades!$T$7="Magnetosphere",POWER(Upgrades!$U$7,F394),1)*IF(Upgrades!$T$8="Magnetosphere",POWER(Upgrades!$U$8,G394),1)*IF(Upgrades!$T$10="Magnetosphere",POWER(Upgrades!$U$10,I394),1)*IF(Upgrades!$T$11="Magnetosphere",POWER(Upgrades!$U$11,J394),1)*IF(Upgrades!$T$12="Magnetosphere",POWER(Upgrades!$U$12,K394),1))*POWER(Upgrades!$P$6,E394)*POWER(Upgrades!$P$7,F394)*POWER(Upgrades!$P$8,G394)*POWER(Upgrades!$P$9,H394)*POWER(Upgrades!$P$10,I394)*POWER(Upgrades!$P$11,J394)*POWER(Upgrades!$P$12,K394)*60</f>
        <v/>
      </c>
      <c r="AE394" s="27">
        <f>(IF(K394=0,0,(Upgrades!$G$12+K394*Upgrades!$H$12)*POWER(Upgrades!$I$12,K394)))*(IF(Upgrades!$T$6="First Photons",POWER(Upgrades!$U$6,E394),1)*IF(Upgrades!$T$7="First Photons",POWER(Upgrades!$U$7,F394),1)*IF(Upgrades!$T$8="First Photons",POWER(Upgrades!$U$8,G394),1)*IF(Upgrades!$T$9="First Photons",POWER(Upgrades!$U$9,H394),1)*IF(Upgrades!$T$10="First Photons",POWER(Upgrades!$U$10,I394),1)*IF(Upgrades!$T$11="First Photons",POWER(Upgrades!$U$11,J394),1))*POWER(Upgrades!$P$6,E394)*POWER(Upgrades!$P$7,F394)*POWER(Upgrades!$P$8,G394)*POWER(Upgrades!$P$9,H394)*POWER(Upgrades!$P$10,I394)*POWER(Upgrades!$P$11,J394)*POWER(Upgrades!$P$12,K394)*60</f>
        <v/>
      </c>
      <c r="AF394" s="27">
        <f>Parameters!$B$9*POWER(Upgrades!$Q$6,E394)*POWER(Upgrades!$Q$7,F394)*POWER(Upgrades!$Q$8,G394)*POWER(Upgrades!$Q$9,H394)*POWER(Upgrades!$Q$10,I394)*POWER(Upgrades!$Q$11,J394)*POWER(Upgrades!$Q$12,K394)*(Parameters!$B$10*Parameters!$B$11+O394*60)</f>
        <v/>
      </c>
      <c r="AG394" s="22">
        <f>IF(E394&gt;=Upgrades!$E$6,"",Upgrades!$C$6*POWER(Upgrades!$D$6,E394))</f>
        <v/>
      </c>
      <c r="AH394" s="22">
        <f>IF(F394&gt;=Upgrades!$E$7,"",Upgrades!$C$7*POWER(Upgrades!$D$7,F394))</f>
        <v/>
      </c>
      <c r="AI394" s="22">
        <f>IF(G394&gt;=Upgrades!$E$8,"",Upgrades!$C$8*POWER(Upgrades!$D$8,G394))</f>
        <v/>
      </c>
      <c r="AJ394" s="22">
        <f>IF(H394&gt;=Upgrades!$E$9,"",Upgrades!$C$9*POWER(Upgrades!$D$9,H394))</f>
        <v/>
      </c>
      <c r="AK394" s="22">
        <f>IF(I394&gt;=Upgrades!$E$10,"",Upgrades!$C$10*POWER(Upgrades!$D$10,I394))</f>
        <v/>
      </c>
      <c r="AL394" s="22">
        <f>IF(J394&gt;=Upgrades!$E$11,"",Upgrades!$C$11*POWER(Upgrades!$D$11,J394))</f>
        <v/>
      </c>
      <c r="AM394" s="22">
        <f>IF(K394&gt;=Upgrades!$E$12,"",Upgrades!$C$12*POWER(Upgrades!$D$12,K394))</f>
        <v/>
      </c>
      <c r="AN394" s="26">
        <f>IF(AND(D394&gt;=Parameters!$B$18,(H394&gt;=Upgrades!$E$9)*(K394&gt;=Upgrades!$E$12)=1,L394=0),1,"")</f>
        <v/>
      </c>
      <c r="AO394" s="26">
        <f>IF(AND(D394&gt;=Parameters!$B$18,L394=0),1,"")</f>
        <v/>
      </c>
      <c r="AP394" s="22">
        <f>MIN(IF(ISNUMBER(AK394),AK394,9E15),IF(ISNUMBER(AL394),AL394,9E15),IF(ISNUMBER(AM394),AM394,9E15))</f>
        <v/>
      </c>
      <c r="AQ394" s="22">
        <f>MIN(IF(ISNUMBER(AG394),AG394,9E15),IF(ISNUMBER(AH394),AH394,9E15),IF(ISNUMBER(AI394),AI394,9E15),IF(ISNUMBER(AJ394),AJ394,9E15))</f>
        <v/>
      </c>
      <c r="AR394" s="29">
        <f>IF(AW394&gt;Parameters!$B$21*(MAX(IF(AND(NOT(AND(AO394=1,AN394&lt;&gt;1)),ISNUMBER(AG394),AG394&lt;=T394),AS394,0),IF(AND(NOT(AND(AO394=1,AN394&lt;&gt;1)),ISNUMBER(AH394),AH394&lt;=T394),AT394,0),IF(AND(NOT(AND(AO394=1,AN394&lt;&gt;1)),ISNUMBER(AI394),AI394&lt;=T394),AU394,0),IF(AND(ISNUMBER(AJ394),AJ394&lt;=T394),AV394,0))),TRUE,FALSE)</f>
        <v/>
      </c>
      <c r="AS394" s="32">
        <f>IFERROR(Upgrades!$H$6*(POWER(Upgrades!$P$6,E394)*POWER(Upgrades!$P$7,F394)*POWER(Upgrades!$P$8,G394)*POWER(Upgrades!$P$9,H394)*POWER(Upgrades!$P$10,I394)*POWER(Upgrades!$P$11,J394)*POWER(Upgrades!$P$12,K394))*(IF(Upgrades!$T$7="Solar Wind",POWER(Upgrades!$U$7,F394),1)*IF(Upgrades!$T$8="Solar Wind",POWER(Upgrades!$U$8,G394),1)*IF(Upgrades!$T$9="Solar Wind",POWER(Upgrades!$U$9,H394),1)*IF(Upgrades!$T$10="Solar Wind",POWER(Upgrades!$U$10,I394),1)*IF(Upgrades!$T$11="Solar Wind",POWER(Upgrades!$U$11,J394),1)*IF(Upgrades!$T$12="Solar Wind",POWER(Upgrades!$U$12,K394),1))/AG394,0)</f>
        <v/>
      </c>
      <c r="AT394" s="32">
        <f>IFERROR(Upgrades!$H$7*(POWER(Upgrades!$P$6,E394)*POWER(Upgrades!$P$7,F394)*POWER(Upgrades!$P$8,G394)*POWER(Upgrades!$P$9,H394)*POWER(Upgrades!$P$10,I394)*POWER(Upgrades!$P$11,J394)*POWER(Upgrades!$P$12,K394))*(IF(Upgrades!$T$6="Asteroid Belt",POWER(Upgrades!$U$6,E394),1)*IF(Upgrades!$T$8="Asteroid Belt",POWER(Upgrades!$U$8,G394),1)*IF(Upgrades!$T$9="Asteroid Belt",POWER(Upgrades!$U$9,H394),1)*IF(Upgrades!$T$10="Asteroid Belt",POWER(Upgrades!$U$10,I394),1)*IF(Upgrades!$T$11="Asteroid Belt",POWER(Upgrades!$U$11,J394),1)*IF(Upgrades!$T$12="Asteroid Belt",POWER(Upgrades!$U$12,K394),1))/AH394,0)</f>
        <v/>
      </c>
      <c r="AU394" s="32">
        <f>IFERROR(Upgrades!$K$8*(POWER(Upgrades!$Q$6,E394)*POWER(Upgrades!$Q$7,F394)*POWER(Upgrades!$Q$8,G394)*POWER(Upgrades!$Q$9,H394)*POWER(Upgrades!$Q$10,I394)*POWER(Upgrades!$Q$11,J394)*POWER(Upgrades!$Q$12,K394))*(IF(Upgrades!$T$6="Stellar Coupling",POWER(Upgrades!$U$6,E394),1)*IF(Upgrades!$T$7="Stellar Coupling",POWER(Upgrades!$U$7,F394),1)*IF(Upgrades!$T$9="Stellar Coupling",POWER(Upgrades!$U$9,H394),1)*IF(Upgrades!$T$10="Stellar Coupling",POWER(Upgrades!$U$10,I394),1)*IF(Upgrades!$T$11="Stellar Coupling",POWER(Upgrades!$U$11,J394),1)*IF(Upgrades!$T$12="Stellar Coupling",POWER(Upgrades!$U$12,K394),1))*Parameters!$B$10*Parameters!$B$11/60/AI394,0)</f>
        <v/>
      </c>
      <c r="AV394" s="32">
        <f>IFERROR(Upgrades!$H$9*(POWER(Upgrades!$P$6,E394)*POWER(Upgrades!$P$7,F394)*POWER(Upgrades!$P$8,G394)*POWER(Upgrades!$P$9,H394)*POWER(Upgrades!$P$10,I394)*POWER(Upgrades!$P$11,J394)*POWER(Upgrades!$P$12,K394))*(IF(Upgrades!$T$6="Magnetosphere",POWER(Upgrades!$U$6,E394),1)*IF(Upgrades!$T$7="Magnetosphere",POWER(Upgrades!$U$7,F394),1)*IF(Upgrades!$T$8="Magnetosphere",POWER(Upgrades!$U$8,G394),1)*IF(Upgrades!$T$10="Magnetosphere",POWER(Upgrades!$U$10,I394),1)*IF(Upgrades!$T$11="Magnetosphere",POWER(Upgrades!$U$11,J394),1)*IF(Upgrades!$T$12="Magnetosphere",POWER(Upgrades!$U$12,K394),1))/AJ394,0)</f>
        <v/>
      </c>
      <c r="AW394" s="32">
        <f>MAX(IF(I394&gt;0,0,IFERROR(0.25*N394/Upgrades!$C$10,0)),IF(J394&gt;0,0,IFERROR(0.5*((IF(G394=0,0,(Upgrades!$J$8+G394*Upgrades!$K$8)*POWER(Upgrades!$L$8,G394)))*(IF(Upgrades!$T$6="Stellar Coupling",POWER(Upgrades!$U$6,E394),1)*IF(Upgrades!$T$7="Stellar Coupling",POWER(Upgrades!$U$7,F394),1)*IF(Upgrades!$T$9="Stellar Coupling",POWER(Upgrades!$U$9,H394),1)*IF(Upgrades!$T$10="Stellar Coupling",POWER(Upgrades!$U$10,I394),1)*IF(Upgrades!$T$11="Stellar Coupling",POWER(Upgrades!$U$11,J394),1)*IF(Upgrades!$T$12="Stellar Coupling",POWER(Upgrades!$U$12,K394),1))*(POWER(Upgrades!$Q$6,E394)*POWER(Upgrades!$Q$7,F394)*POWER(Upgrades!$Q$8,G394)*POWER(Upgrades!$Q$9,H394)*POWER(Upgrades!$Q$10,I394)*POWER(Upgrades!$Q$11,J394)*POWER(Upgrades!$Q$12,K394))*Parameters!$B$10*Parameters!$B$11/60)/Upgrades!$C$11,0)),IF(K394&gt;0,0,IFERROR((1.0*(POWER(Upgrades!$P$6,E394)*POWER(Upgrades!$P$7,F394)*POWER(Upgrades!$P$8,G394)*POWER(Upgrades!$P$9,H394)*POWER(Upgrades!$P$10,I394)*POWER(Upgrades!$P$11,J394)*POWER(Upgrades!$P$12,K394))+0.20*M394*Parameters!$B$10*Parameters!$B$11/60)/Upgrades!$C$12,0)),IF(AND(ISNUMBER(AG394),AG394&gt;T394),AS394,0),IF(AND(ISNUMBER(AH394),AH394&gt;T394),AT394,0),IF(AND(ISNUMBER(AI394),AI394&gt;T394),AU394,0),IF(AND(ISNUMBER(AJ394),AJ394&gt;T394),AV394,0))</f>
        <v/>
      </c>
      <c r="AX394" s="29">
        <f>IF(AN394=1,"transition",IF(MIN(IF(AND(I394=0,ISNUMBER(AK394),AK394&lt;=T394),AK394,9E15),IF(AND(J394=0,ISNUMBER(AL394),AL394&lt;=T394),AL394,9E15),IF(AND(K394=0,ISNUMBER(AM394),AM394&lt;=T394),AM394,9E15))&lt;9E15,IF(AND(AND(I394=0,ISNUMBER(AK394),AK394&lt;=T394),AK394=MIN(IF(AND(I394=0,ISNUMBER(AK394),AK394&lt;=T394),AK394,9E15),IF(AND(J394=0,ISNUMBER(AL394),AL394&lt;=T394),AL394,9E15),IF(AND(K394=0,ISNUMBER(AM394),AM394&lt;=T394),AM394,9E15))),"OR",IF(AND(AND(J394=0,ISNUMBER(AL394),AL394&lt;=T394),AL394=MIN(IF(AND(I394=0,ISNUMBER(AK394),AK394&lt;=T394),AK394,9E15),IF(AND(J394=0,ISNUMBER(AL394),AL394&lt;=T394),AL394,9E15),IF(AND(K394=0,ISNUMBER(AM394),AM394&lt;=T394),AM394,9E15))),"HP","FP")),IF(AR394=TRUE,"",IF(MAX(IF(AND(NOT(AND(AO394=1,AN394&lt;&gt;1)),ISNUMBER(AG394),AG394&lt;=T394),AS394,0),IF(AND(NOT(AND(AO394=1,AN394&lt;&gt;1)),ISNUMBER(AH394),AH394&lt;=T394),AT394,0),IF(AND(NOT(AND(AO394=1,AN394&lt;&gt;1)),ISNUMBER(AI394),AI394&lt;=T394),AU394,0),IF(AND(ISNUMBER(AJ394),AJ394&lt;=T394),AV394,0))&lt;=0,"",IF(AND(IF(AND(NOT(AND(AO394=1,AN394&lt;&gt;1)),ISNUMBER(AG394),AG394&lt;=T394),AS394,0)&gt;0,IF(AND(NOT(AND(AO394=1,AN394&lt;&gt;1)),ISNUMBER(AG394),AG394&lt;=T394),AS394,0)=MAX(IF(AND(NOT(AND(AO394=1,AN394&lt;&gt;1)),ISNUMBER(AG394),AG394&lt;=T394),AS394,0),IF(AND(NOT(AND(AO394=1,AN394&lt;&gt;1)),ISNUMBER(AH394),AH394&lt;=T394),AT394,0),IF(AND(NOT(AND(AO394=1,AN394&lt;&gt;1)),ISNUMBER(AI394),AI394&lt;=T394),AU394,0),IF(AND(ISNUMBER(AJ394),AJ394&lt;=T394),AV394,0))),"SW",IF(AND(IF(AND(NOT(AND(AO394=1,AN394&lt;&gt;1)),ISNUMBER(AH394),AH394&lt;=T394),AT394,0)&gt;0,IF(AND(NOT(AND(AO394=1,AN394&lt;&gt;1)),ISNUMBER(AH394),AH394&lt;=T394),AT394,0)=MAX(IF(AND(NOT(AND(AO394=1,AN394&lt;&gt;1)),ISNUMBER(AG394),AG394&lt;=T394),AS394,0),IF(AND(NOT(AND(AO394=1,AN394&lt;&gt;1)),ISNUMBER(AH394),AH394&lt;=T394),AT394,0),IF(AND(NOT(AND(AO394=1,AN394&lt;&gt;1)),ISNUMBER(AI394),AI394&lt;=T394),AU394,0),IF(AND(ISNUMBER(AJ394),AJ394&lt;=T394),AV394,0))),"AB",IF(AND(IF(AND(NOT(AND(AO394=1,AN394&lt;&gt;1)),ISNUMBER(AI394),AI394&lt;=T394),AU394,0)&gt;0,IF(AND(NOT(AND(AO394=1,AN394&lt;&gt;1)),ISNUMBER(AI394),AI394&lt;=T394),AU394,0)=MAX(IF(AND(NOT(AND(AO394=1,AN394&lt;&gt;1)),ISNUMBER(AG394),AG394&lt;=T394),AS394,0),IF(AND(NOT(AND(AO394=1,AN394&lt;&gt;1)),ISNUMBER(AH394),AH394&lt;=T394),AT394,0),IF(AND(NOT(AND(AO394=1,AN394&lt;&gt;1)),ISNUMBER(AI394),AI394&lt;=T394),AU394,0),IF(AND(ISNUMBER(AJ394),AJ394&lt;=T394),AV394,0))),"SC","Mag")))))))</f>
        <v/>
      </c>
    </row>
    <row r="395">
      <c r="A395" s="26" t="n">
        <v>390</v>
      </c>
      <c r="B395" s="27">
        <f>A395*10/60</f>
        <v/>
      </c>
      <c r="C395" s="22">
        <f>X394</f>
        <v/>
      </c>
      <c r="D395" s="27">
        <f>D394+W394</f>
        <v/>
      </c>
      <c r="E395" s="26">
        <f>E394+IF(U394="SW",1,0)</f>
        <v/>
      </c>
      <c r="F395" s="26">
        <f>F394+IF(U394="AB",1,0)</f>
        <v/>
      </c>
      <c r="G395" s="26">
        <f>G394+IF(U394="SC",1,0)</f>
        <v/>
      </c>
      <c r="H395" s="26">
        <f>H394+IF(U394="Mag",1,0)</f>
        <v/>
      </c>
      <c r="I395" s="26">
        <f>MAX(I394,IF(U394="OR",1,0))</f>
        <v/>
      </c>
      <c r="J395" s="26">
        <f>MAX(J394,IF(U394="HP",1,0))</f>
        <v/>
      </c>
      <c r="K395" s="26">
        <f>MAX(K394,IF(U394="FP",1,0))</f>
        <v/>
      </c>
      <c r="L395" s="26">
        <f>MAX(L394,IF(U394="transition",1,0))</f>
        <v/>
      </c>
      <c r="M395" s="28">
        <f>(Parameters!$B$9+(IF(E395=0,0,(Upgrades!$J$6+E395*Upgrades!$K$6)*POWER(Upgrades!$L$6,E395)))*(IF(Upgrades!$T$7="Solar Wind",POWER(Upgrades!$U$7,F395),1)*IF(Upgrades!$T$8="Solar Wind",POWER(Upgrades!$U$8,G395),1)*IF(Upgrades!$T$9="Solar Wind",POWER(Upgrades!$U$9,H395),1)*IF(Upgrades!$T$10="Solar Wind",POWER(Upgrades!$U$10,I395),1)*IF(Upgrades!$T$11="Solar Wind",POWER(Upgrades!$U$11,J395),1)*IF(Upgrades!$T$12="Solar Wind",POWER(Upgrades!$U$12,K395),1))+(IF(F395=0,0,(Upgrades!$J$7+F395*Upgrades!$K$7)*POWER(Upgrades!$L$7,F395)))*(IF(Upgrades!$T$6="Asteroid Belt",POWER(Upgrades!$U$6,E395),1)*IF(Upgrades!$T$8="Asteroid Belt",POWER(Upgrades!$U$8,G395),1)*IF(Upgrades!$T$9="Asteroid Belt",POWER(Upgrades!$U$9,H395),1)*IF(Upgrades!$T$10="Asteroid Belt",POWER(Upgrades!$U$10,I395),1)*IF(Upgrades!$T$11="Asteroid Belt",POWER(Upgrades!$U$11,J395),1)*IF(Upgrades!$T$12="Asteroid Belt",POWER(Upgrades!$U$12,K395),1))+(IF(G395=0,0,(Upgrades!$J$8+G395*Upgrades!$K$8)*POWER(Upgrades!$L$8,G395)))*(IF(Upgrades!$T$6="Stellar Coupling",POWER(Upgrades!$U$6,E395),1)*IF(Upgrades!$T$7="Stellar Coupling",POWER(Upgrades!$U$7,F395),1)*IF(Upgrades!$T$9="Stellar Coupling",POWER(Upgrades!$U$9,H395),1)*IF(Upgrades!$T$10="Stellar Coupling",POWER(Upgrades!$U$10,I395),1)*IF(Upgrades!$T$11="Stellar Coupling",POWER(Upgrades!$U$11,J395),1)*IF(Upgrades!$T$12="Stellar Coupling",POWER(Upgrades!$U$12,K395),1))+(IF(H395=0,0,(Upgrades!$J$9+H395*Upgrades!$K$9)*POWER(Upgrades!$L$9,H395)))*(IF(Upgrades!$T$6="Magnetosphere",POWER(Upgrades!$U$6,E395),1)*IF(Upgrades!$T$7="Magnetosphere",POWER(Upgrades!$U$7,F395),1)*IF(Upgrades!$T$8="Magnetosphere",POWER(Upgrades!$U$8,G395),1)*IF(Upgrades!$T$10="Magnetosphere",POWER(Upgrades!$U$10,I395),1)*IF(Upgrades!$T$11="Magnetosphere",POWER(Upgrades!$U$11,J395),1)*IF(Upgrades!$T$12="Magnetosphere",POWER(Upgrades!$U$12,K395),1))+(IF(I395=0,0,(Upgrades!$J$10+I395*Upgrades!$K$10)*POWER(Upgrades!$L$10,I395)))*(IF(Upgrades!$T$6="Orbital Resonance",POWER(Upgrades!$U$6,E395),1)*IF(Upgrades!$T$7="Orbital Resonance",POWER(Upgrades!$U$7,F395),1)*IF(Upgrades!$T$8="Orbital Resonance",POWER(Upgrades!$U$8,G395),1)*IF(Upgrades!$T$9="Orbital Resonance",POWER(Upgrades!$U$9,H395),1)*IF(Upgrades!$T$11="Orbital Resonance",POWER(Upgrades!$U$11,J395),1)*IF(Upgrades!$T$12="Orbital Resonance",POWER(Upgrades!$U$12,K395),1))+(IF(J395=0,0,(Upgrades!$J$11+J395*Upgrades!$K$11)*POWER(Upgrades!$L$11,J395)))*(IF(Upgrades!$T$6="Heliopause",POWER(Upgrades!$U$6,E395),1)*IF(Upgrades!$T$7="Heliopause",POWER(Upgrades!$U$7,F395),1)*IF(Upgrades!$T$8="Heliopause",POWER(Upgrades!$U$8,G395),1)*IF(Upgrades!$T$9="Heliopause",POWER(Upgrades!$U$9,H395),1)*IF(Upgrades!$T$10="Heliopause",POWER(Upgrades!$U$10,I395),1)*IF(Upgrades!$T$12="Heliopause",POWER(Upgrades!$U$12,K395),1))+(IF(K395=0,0,(Upgrades!$J$12+K395*Upgrades!$K$12)*POWER(Upgrades!$L$12,K395)))*(IF(Upgrades!$T$6="First Photons",POWER(Upgrades!$U$6,E395),1)*IF(Upgrades!$T$7="First Photons",POWER(Upgrades!$U$7,F395),1)*IF(Upgrades!$T$8="First Photons",POWER(Upgrades!$U$8,G395),1)*IF(Upgrades!$T$9="First Photons",POWER(Upgrades!$U$9,H395),1)*IF(Upgrades!$T$10="First Photons",POWER(Upgrades!$U$10,I395),1)*IF(Upgrades!$T$11="First Photons",POWER(Upgrades!$U$11,J395),1)))*POWER(Upgrades!$Q$6,E395)*POWER(Upgrades!$Q$7,F395)*POWER(Upgrades!$Q$8,G395)*POWER(Upgrades!$Q$9,H395)*POWER(Upgrades!$Q$10,I395)*POWER(Upgrades!$Q$11,J395)*POWER(Upgrades!$Q$12,K395)</f>
        <v/>
      </c>
      <c r="N395" s="28">
        <f>((IF(E395=0,0,(Upgrades!$G$6+E395*Upgrades!$H$6)*POWER(Upgrades!$I$6,E395)))*(IF(Upgrades!$T$7="Solar Wind",POWER(Upgrades!$U$7,F395),1)*IF(Upgrades!$T$8="Solar Wind",POWER(Upgrades!$U$8,G395),1)*IF(Upgrades!$T$9="Solar Wind",POWER(Upgrades!$U$9,H395),1)*IF(Upgrades!$T$10="Solar Wind",POWER(Upgrades!$U$10,I395),1)*IF(Upgrades!$T$11="Solar Wind",POWER(Upgrades!$U$11,J395),1)*IF(Upgrades!$T$12="Solar Wind",POWER(Upgrades!$U$12,K395),1))+(IF(F395=0,0,(Upgrades!$G$7+F395*Upgrades!$H$7)*POWER(Upgrades!$I$7,F395)))*(IF(Upgrades!$T$6="Asteroid Belt",POWER(Upgrades!$U$6,E395),1)*IF(Upgrades!$T$8="Asteroid Belt",POWER(Upgrades!$U$8,G395),1)*IF(Upgrades!$T$9="Asteroid Belt",POWER(Upgrades!$U$9,H395),1)*IF(Upgrades!$T$10="Asteroid Belt",POWER(Upgrades!$U$10,I395),1)*IF(Upgrades!$T$11="Asteroid Belt",POWER(Upgrades!$U$11,J395),1)*IF(Upgrades!$T$12="Asteroid Belt",POWER(Upgrades!$U$12,K395),1))+(IF(G395=0,0,(Upgrades!$G$8+G395*Upgrades!$H$8)*POWER(Upgrades!$I$8,G395)))*(IF(Upgrades!$T$6="Stellar Coupling",POWER(Upgrades!$U$6,E395),1)*IF(Upgrades!$T$7="Stellar Coupling",POWER(Upgrades!$U$7,F395),1)*IF(Upgrades!$T$9="Stellar Coupling",POWER(Upgrades!$U$9,H395),1)*IF(Upgrades!$T$10="Stellar Coupling",POWER(Upgrades!$U$10,I395),1)*IF(Upgrades!$T$11="Stellar Coupling",POWER(Upgrades!$U$11,J395),1)*IF(Upgrades!$T$12="Stellar Coupling",POWER(Upgrades!$U$12,K395),1))+(IF(H395=0,0,(Upgrades!$G$9+H395*Upgrades!$H$9)*POWER(Upgrades!$I$9,H395)))*(IF(Upgrades!$T$6="Magnetosphere",POWER(Upgrades!$U$6,E395),1)*IF(Upgrades!$T$7="Magnetosphere",POWER(Upgrades!$U$7,F395),1)*IF(Upgrades!$T$8="Magnetosphere",POWER(Upgrades!$U$8,G395),1)*IF(Upgrades!$T$10="Magnetosphere",POWER(Upgrades!$U$10,I395),1)*IF(Upgrades!$T$11="Magnetosphere",POWER(Upgrades!$U$11,J395),1)*IF(Upgrades!$T$12="Magnetosphere",POWER(Upgrades!$U$12,K395),1))+(IF(I395=0,0,(Upgrades!$G$10+I395*Upgrades!$H$10)*POWER(Upgrades!$I$10,I395)))*(IF(Upgrades!$T$6="Orbital Resonance",POWER(Upgrades!$U$6,E395),1)*IF(Upgrades!$T$7="Orbital Resonance",POWER(Upgrades!$U$7,F395),1)*IF(Upgrades!$T$8="Orbital Resonance",POWER(Upgrades!$U$8,G395),1)*IF(Upgrades!$T$9="Orbital Resonance",POWER(Upgrades!$U$9,H395),1)*IF(Upgrades!$T$11="Orbital Resonance",POWER(Upgrades!$U$11,J395),1)*IF(Upgrades!$T$12="Orbital Resonance",POWER(Upgrades!$U$12,K395),1))+(IF(J395=0,0,(Upgrades!$G$11+J395*Upgrades!$H$11)*POWER(Upgrades!$I$11,J395)))*(IF(Upgrades!$T$6="Heliopause",POWER(Upgrades!$U$6,E395),1)*IF(Upgrades!$T$7="Heliopause",POWER(Upgrades!$U$7,F395),1)*IF(Upgrades!$T$8="Heliopause",POWER(Upgrades!$U$8,G395),1)*IF(Upgrades!$T$9="Heliopause",POWER(Upgrades!$U$9,H395),1)*IF(Upgrades!$T$10="Heliopause",POWER(Upgrades!$U$10,I395),1)*IF(Upgrades!$T$12="Heliopause",POWER(Upgrades!$U$12,K395),1))+(IF(K395=0,0,(Upgrades!$G$12+K395*Upgrades!$H$12)*POWER(Upgrades!$I$12,K395)))*(IF(Upgrades!$T$6="First Photons",POWER(Upgrades!$U$6,E395),1)*IF(Upgrades!$T$7="First Photons",POWER(Upgrades!$U$7,F395),1)*IF(Upgrades!$T$8="First Photons",POWER(Upgrades!$U$8,G395),1)*IF(Upgrades!$T$9="First Photons",POWER(Upgrades!$U$9,H395),1)*IF(Upgrades!$T$10="First Photons",POWER(Upgrades!$U$10,I395),1)*IF(Upgrades!$T$11="First Photons",POWER(Upgrades!$U$11,J395),1)))*POWER(Upgrades!$P$6,E395)*POWER(Upgrades!$P$7,F395)*POWER(Upgrades!$P$8,G395)*POWER(Upgrades!$P$9,H395)*POWER(Upgrades!$P$10,I395)*POWER(Upgrades!$P$11,J395)*POWER(Upgrades!$P$12,K395)</f>
        <v/>
      </c>
      <c r="O395" s="28">
        <f>((IF(E395=0,0,(Upgrades!$M$6+E395*Upgrades!$N$6)*POWER(Upgrades!$O$6,E395)))*(IF(Upgrades!$T$7="Solar Wind",POWER(Upgrades!$U$7,F395),1)*IF(Upgrades!$T$8="Solar Wind",POWER(Upgrades!$U$8,G395),1)*IF(Upgrades!$T$9="Solar Wind",POWER(Upgrades!$U$9,H395),1)*IF(Upgrades!$T$10="Solar Wind",POWER(Upgrades!$U$10,I395),1)*IF(Upgrades!$T$11="Solar Wind",POWER(Upgrades!$U$11,J395),1)*IF(Upgrades!$T$12="Solar Wind",POWER(Upgrades!$U$12,K395),1))+(IF(F395=0,0,(Upgrades!$M$7+F395*Upgrades!$N$7)*POWER(Upgrades!$O$7,F395)))*(IF(Upgrades!$T$6="Asteroid Belt",POWER(Upgrades!$U$6,E395),1)*IF(Upgrades!$T$8="Asteroid Belt",POWER(Upgrades!$U$8,G395),1)*IF(Upgrades!$T$9="Asteroid Belt",POWER(Upgrades!$U$9,H395),1)*IF(Upgrades!$T$10="Asteroid Belt",POWER(Upgrades!$U$10,I395),1)*IF(Upgrades!$T$11="Asteroid Belt",POWER(Upgrades!$U$11,J395),1)*IF(Upgrades!$T$12="Asteroid Belt",POWER(Upgrades!$U$12,K395),1))+(IF(G395=0,0,(Upgrades!$M$8+G395*Upgrades!$N$8)*POWER(Upgrades!$O$8,G395)))*(IF(Upgrades!$T$6="Stellar Coupling",POWER(Upgrades!$U$6,E395),1)*IF(Upgrades!$T$7="Stellar Coupling",POWER(Upgrades!$U$7,F395),1)*IF(Upgrades!$T$9="Stellar Coupling",POWER(Upgrades!$U$9,H395),1)*IF(Upgrades!$T$10="Stellar Coupling",POWER(Upgrades!$U$10,I395),1)*IF(Upgrades!$T$11="Stellar Coupling",POWER(Upgrades!$U$11,J395),1)*IF(Upgrades!$T$12="Stellar Coupling",POWER(Upgrades!$U$12,K395),1))+(IF(H395=0,0,(Upgrades!$M$9+H395*Upgrades!$N$9)*POWER(Upgrades!$O$9,H395)))*(IF(Upgrades!$T$6="Magnetosphere",POWER(Upgrades!$U$6,E395),1)*IF(Upgrades!$T$7="Magnetosphere",POWER(Upgrades!$U$7,F395),1)*IF(Upgrades!$T$8="Magnetosphere",POWER(Upgrades!$U$8,G395),1)*IF(Upgrades!$T$10="Magnetosphere",POWER(Upgrades!$U$10,I395),1)*IF(Upgrades!$T$11="Magnetosphere",POWER(Upgrades!$U$11,J395),1)*IF(Upgrades!$T$12="Magnetosphere",POWER(Upgrades!$U$12,K395),1))+(IF(I395=0,0,(Upgrades!$M$10+I395*Upgrades!$N$10)*POWER(Upgrades!$O$10,I395)))*(IF(Upgrades!$T$6="Orbital Resonance",POWER(Upgrades!$U$6,E395),1)*IF(Upgrades!$T$7="Orbital Resonance",POWER(Upgrades!$U$7,F395),1)*IF(Upgrades!$T$8="Orbital Resonance",POWER(Upgrades!$U$8,G395),1)*IF(Upgrades!$T$9="Orbital Resonance",POWER(Upgrades!$U$9,H395),1)*IF(Upgrades!$T$11="Orbital Resonance",POWER(Upgrades!$U$11,J395),1)*IF(Upgrades!$T$12="Orbital Resonance",POWER(Upgrades!$U$12,K395),1))+(IF(J395=0,0,(Upgrades!$M$11+J395*Upgrades!$N$11)*POWER(Upgrades!$O$11,J395)))*(IF(Upgrades!$T$6="Heliopause",POWER(Upgrades!$U$6,E395),1)*IF(Upgrades!$T$7="Heliopause",POWER(Upgrades!$U$7,F395),1)*IF(Upgrades!$T$8="Heliopause",POWER(Upgrades!$U$8,G395),1)*IF(Upgrades!$T$9="Heliopause",POWER(Upgrades!$U$9,H395),1)*IF(Upgrades!$T$10="Heliopause",POWER(Upgrades!$U$10,I395),1)*IF(Upgrades!$T$12="Heliopause",POWER(Upgrades!$U$12,K395),1))+(IF(K395=0,0,(Upgrades!$M$12+K395*Upgrades!$N$12)*POWER(Upgrades!$O$12,K395)))*(IF(Upgrades!$T$6="First Photons",POWER(Upgrades!$U$6,E395),1)*IF(Upgrades!$T$7="First Photons",POWER(Upgrades!$U$7,F395),1)*IF(Upgrades!$T$8="First Photons",POWER(Upgrades!$U$8,G395),1)*IF(Upgrades!$T$9="First Photons",POWER(Upgrades!$U$9,H395),1)*IF(Upgrades!$T$10="First Photons",POWER(Upgrades!$U$10,I395),1)*IF(Upgrades!$T$11="First Photons",POWER(Upgrades!$U$11,J395),1)))*POWER(Upgrades!$R$6,E395)*POWER(Upgrades!$R$7,F395)*POWER(Upgrades!$R$8,G395)*POWER(Upgrades!$R$9,H395)*POWER(Upgrades!$R$10,I395)*POWER(Upgrades!$R$11,J395)*POWER(Upgrades!$R$12,K395)</f>
        <v/>
      </c>
      <c r="P395" s="27">
        <f>IF(L395=1,0,M395*Parameters!$B$10/60*Parameters!$B$11*10)</f>
        <v/>
      </c>
      <c r="Q395" s="27">
        <f>IF(L395=1,0,O395*M395*10)</f>
        <v/>
      </c>
      <c r="R395" s="27">
        <f>IF(L395=1,0,N395*10)</f>
        <v/>
      </c>
      <c r="S395" s="27">
        <f>P395+Q395+R395</f>
        <v/>
      </c>
      <c r="T395" s="22">
        <f>C395+S395</f>
        <v/>
      </c>
      <c r="U395" s="33">
        <f>AX395</f>
        <v/>
      </c>
      <c r="V395" s="22">
        <f>IF(U395="",0,IF(U395="transition",0,IF(U395="SW",AG395,IF(U395="AB",AH395,IF(U395="SC",AI395,IF(U395="Mag",AJ395,IF(U395="OR",AK395,IF(U395="HP",AL395,IF(U395="FP",AM395,0)))))))))</f>
        <v/>
      </c>
      <c r="W395" s="27">
        <f>IF(U395="OR",Upgrades!$F$10,IF(U395="HP",Upgrades!$F$11,IF(U395="transition",-Parameters!$B$18,0)))</f>
        <v/>
      </c>
      <c r="X395" s="22">
        <f>T395-V395</f>
        <v/>
      </c>
      <c r="Y395" s="30">
        <f>M395*Parameters!$B$10/60*Parameters!$B$11+O395*M395+N395</f>
        <v/>
      </c>
      <c r="Z395" s="34">
        <f>IF(U395="transition","→ Tier 2 (Stellar Neighborhood)",IF(U395="FP","First Photons — light begins, system quickens",IF(U395="HP","Heliopause acquired",IF(U395="OR","Orbital Resonance — passive multiplier active",IF(AND(AO395=1,L395=0,AN395&lt;&gt;1),"Cohesion ready (waiting on completionist upgrades)","")))))</f>
        <v/>
      </c>
      <c r="AA395" s="27">
        <f>(IF(E395=0,0,(Upgrades!$G$6+E395*Upgrades!$H$6)*POWER(Upgrades!$I$6,E395)))*(IF(Upgrades!$T$7="Solar Wind",POWER(Upgrades!$U$7,F395),1)*IF(Upgrades!$T$8="Solar Wind",POWER(Upgrades!$U$8,G395),1)*IF(Upgrades!$T$9="Solar Wind",POWER(Upgrades!$U$9,H395),1)*IF(Upgrades!$T$10="Solar Wind",POWER(Upgrades!$U$10,I395),1)*IF(Upgrades!$T$11="Solar Wind",POWER(Upgrades!$U$11,J395),1)*IF(Upgrades!$T$12="Solar Wind",POWER(Upgrades!$U$12,K395),1))*POWER(Upgrades!$P$6,E395)*POWER(Upgrades!$P$7,F395)*POWER(Upgrades!$P$8,G395)*POWER(Upgrades!$P$9,H395)*POWER(Upgrades!$P$10,I395)*POWER(Upgrades!$P$11,J395)*POWER(Upgrades!$P$12,K395)*60</f>
        <v/>
      </c>
      <c r="AB395" s="27">
        <f>(IF(F395=0,0,(Upgrades!$G$7+F395*Upgrades!$H$7)*POWER(Upgrades!$I$7,F395)))*(IF(Upgrades!$T$6="Asteroid Belt",POWER(Upgrades!$U$6,E395),1)*IF(Upgrades!$T$8="Asteroid Belt",POWER(Upgrades!$U$8,G395),1)*IF(Upgrades!$T$9="Asteroid Belt",POWER(Upgrades!$U$9,H395),1)*IF(Upgrades!$T$10="Asteroid Belt",POWER(Upgrades!$U$10,I395),1)*IF(Upgrades!$T$11="Asteroid Belt",POWER(Upgrades!$U$11,J395),1)*IF(Upgrades!$T$12="Asteroid Belt",POWER(Upgrades!$U$12,K395),1))*POWER(Upgrades!$P$6,E395)*POWER(Upgrades!$P$7,F395)*POWER(Upgrades!$P$8,G395)*POWER(Upgrades!$P$9,H395)*POWER(Upgrades!$P$10,I395)*POWER(Upgrades!$P$11,J395)*POWER(Upgrades!$P$12,K395)*60</f>
        <v/>
      </c>
      <c r="AC395" s="27">
        <f>(IF(G395=0,0,(Upgrades!$J$8+G395*Upgrades!$K$8)*POWER(Upgrades!$L$8,G395)))*(IF(Upgrades!$T$6="Stellar Coupling",POWER(Upgrades!$U$6,E395),1)*IF(Upgrades!$T$7="Stellar Coupling",POWER(Upgrades!$U$7,F395),1)*IF(Upgrades!$T$9="Stellar Coupling",POWER(Upgrades!$U$9,H395),1)*IF(Upgrades!$T$10="Stellar Coupling",POWER(Upgrades!$U$10,I395),1)*IF(Upgrades!$T$11="Stellar Coupling",POWER(Upgrades!$U$11,J395),1)*IF(Upgrades!$T$12="Stellar Coupling",POWER(Upgrades!$U$12,K395),1))*POWER(Upgrades!$Q$6,E395)*POWER(Upgrades!$Q$7,F395)*POWER(Upgrades!$Q$8,G395)*POWER(Upgrades!$Q$9,H395)*POWER(Upgrades!$Q$10,I395)*POWER(Upgrades!$Q$11,J395)*POWER(Upgrades!$Q$12,K395)*Parameters!$B$10*Parameters!$B$11</f>
        <v/>
      </c>
      <c r="AD395" s="27">
        <f>(IF(H395=0,0,(Upgrades!$G$9+H395*Upgrades!$H$9)*POWER(Upgrades!$I$9,H395)))*(IF(Upgrades!$T$6="Magnetosphere",POWER(Upgrades!$U$6,E395),1)*IF(Upgrades!$T$7="Magnetosphere",POWER(Upgrades!$U$7,F395),1)*IF(Upgrades!$T$8="Magnetosphere",POWER(Upgrades!$U$8,G395),1)*IF(Upgrades!$T$10="Magnetosphere",POWER(Upgrades!$U$10,I395),1)*IF(Upgrades!$T$11="Magnetosphere",POWER(Upgrades!$U$11,J395),1)*IF(Upgrades!$T$12="Magnetosphere",POWER(Upgrades!$U$12,K395),1))*POWER(Upgrades!$P$6,E395)*POWER(Upgrades!$P$7,F395)*POWER(Upgrades!$P$8,G395)*POWER(Upgrades!$P$9,H395)*POWER(Upgrades!$P$10,I395)*POWER(Upgrades!$P$11,J395)*POWER(Upgrades!$P$12,K395)*60</f>
        <v/>
      </c>
      <c r="AE395" s="27">
        <f>(IF(K395=0,0,(Upgrades!$G$12+K395*Upgrades!$H$12)*POWER(Upgrades!$I$12,K395)))*(IF(Upgrades!$T$6="First Photons",POWER(Upgrades!$U$6,E395),1)*IF(Upgrades!$T$7="First Photons",POWER(Upgrades!$U$7,F395),1)*IF(Upgrades!$T$8="First Photons",POWER(Upgrades!$U$8,G395),1)*IF(Upgrades!$T$9="First Photons",POWER(Upgrades!$U$9,H395),1)*IF(Upgrades!$T$10="First Photons",POWER(Upgrades!$U$10,I395),1)*IF(Upgrades!$T$11="First Photons",POWER(Upgrades!$U$11,J395),1))*POWER(Upgrades!$P$6,E395)*POWER(Upgrades!$P$7,F395)*POWER(Upgrades!$P$8,G395)*POWER(Upgrades!$P$9,H395)*POWER(Upgrades!$P$10,I395)*POWER(Upgrades!$P$11,J395)*POWER(Upgrades!$P$12,K395)*60</f>
        <v/>
      </c>
      <c r="AF395" s="27">
        <f>Parameters!$B$9*POWER(Upgrades!$Q$6,E395)*POWER(Upgrades!$Q$7,F395)*POWER(Upgrades!$Q$8,G395)*POWER(Upgrades!$Q$9,H395)*POWER(Upgrades!$Q$10,I395)*POWER(Upgrades!$Q$11,J395)*POWER(Upgrades!$Q$12,K395)*(Parameters!$B$10*Parameters!$B$11+O395*60)</f>
        <v/>
      </c>
      <c r="AG395" s="22">
        <f>IF(E395&gt;=Upgrades!$E$6,"",Upgrades!$C$6*POWER(Upgrades!$D$6,E395))</f>
        <v/>
      </c>
      <c r="AH395" s="22">
        <f>IF(F395&gt;=Upgrades!$E$7,"",Upgrades!$C$7*POWER(Upgrades!$D$7,F395))</f>
        <v/>
      </c>
      <c r="AI395" s="22">
        <f>IF(G395&gt;=Upgrades!$E$8,"",Upgrades!$C$8*POWER(Upgrades!$D$8,G395))</f>
        <v/>
      </c>
      <c r="AJ395" s="22">
        <f>IF(H395&gt;=Upgrades!$E$9,"",Upgrades!$C$9*POWER(Upgrades!$D$9,H395))</f>
        <v/>
      </c>
      <c r="AK395" s="22">
        <f>IF(I395&gt;=Upgrades!$E$10,"",Upgrades!$C$10*POWER(Upgrades!$D$10,I395))</f>
        <v/>
      </c>
      <c r="AL395" s="22">
        <f>IF(J395&gt;=Upgrades!$E$11,"",Upgrades!$C$11*POWER(Upgrades!$D$11,J395))</f>
        <v/>
      </c>
      <c r="AM395" s="22">
        <f>IF(K395&gt;=Upgrades!$E$12,"",Upgrades!$C$12*POWER(Upgrades!$D$12,K395))</f>
        <v/>
      </c>
      <c r="AN395" s="26">
        <f>IF(AND(D395&gt;=Parameters!$B$18,(H395&gt;=Upgrades!$E$9)*(K395&gt;=Upgrades!$E$12)=1,L395=0),1,"")</f>
        <v/>
      </c>
      <c r="AO395" s="26">
        <f>IF(AND(D395&gt;=Parameters!$B$18,L395=0),1,"")</f>
        <v/>
      </c>
      <c r="AP395" s="22">
        <f>MIN(IF(ISNUMBER(AK395),AK395,9E15),IF(ISNUMBER(AL395),AL395,9E15),IF(ISNUMBER(AM395),AM395,9E15))</f>
        <v/>
      </c>
      <c r="AQ395" s="22">
        <f>MIN(IF(ISNUMBER(AG395),AG395,9E15),IF(ISNUMBER(AH395),AH395,9E15),IF(ISNUMBER(AI395),AI395,9E15),IF(ISNUMBER(AJ395),AJ395,9E15))</f>
        <v/>
      </c>
      <c r="AR395" s="29">
        <f>IF(AW395&gt;Parameters!$B$21*(MAX(IF(AND(NOT(AND(AO395=1,AN395&lt;&gt;1)),ISNUMBER(AG395),AG395&lt;=T395),AS395,0),IF(AND(NOT(AND(AO395=1,AN395&lt;&gt;1)),ISNUMBER(AH395),AH395&lt;=T395),AT395,0),IF(AND(NOT(AND(AO395=1,AN395&lt;&gt;1)),ISNUMBER(AI395),AI395&lt;=T395),AU395,0),IF(AND(ISNUMBER(AJ395),AJ395&lt;=T395),AV395,0))),TRUE,FALSE)</f>
        <v/>
      </c>
      <c r="AS395" s="32">
        <f>IFERROR(Upgrades!$H$6*(POWER(Upgrades!$P$6,E395)*POWER(Upgrades!$P$7,F395)*POWER(Upgrades!$P$8,G395)*POWER(Upgrades!$P$9,H395)*POWER(Upgrades!$P$10,I395)*POWER(Upgrades!$P$11,J395)*POWER(Upgrades!$P$12,K395))*(IF(Upgrades!$T$7="Solar Wind",POWER(Upgrades!$U$7,F395),1)*IF(Upgrades!$T$8="Solar Wind",POWER(Upgrades!$U$8,G395),1)*IF(Upgrades!$T$9="Solar Wind",POWER(Upgrades!$U$9,H395),1)*IF(Upgrades!$T$10="Solar Wind",POWER(Upgrades!$U$10,I395),1)*IF(Upgrades!$T$11="Solar Wind",POWER(Upgrades!$U$11,J395),1)*IF(Upgrades!$T$12="Solar Wind",POWER(Upgrades!$U$12,K395),1))/AG395,0)</f>
        <v/>
      </c>
      <c r="AT395" s="32">
        <f>IFERROR(Upgrades!$H$7*(POWER(Upgrades!$P$6,E395)*POWER(Upgrades!$P$7,F395)*POWER(Upgrades!$P$8,G395)*POWER(Upgrades!$P$9,H395)*POWER(Upgrades!$P$10,I395)*POWER(Upgrades!$P$11,J395)*POWER(Upgrades!$P$12,K395))*(IF(Upgrades!$T$6="Asteroid Belt",POWER(Upgrades!$U$6,E395),1)*IF(Upgrades!$T$8="Asteroid Belt",POWER(Upgrades!$U$8,G395),1)*IF(Upgrades!$T$9="Asteroid Belt",POWER(Upgrades!$U$9,H395),1)*IF(Upgrades!$T$10="Asteroid Belt",POWER(Upgrades!$U$10,I395),1)*IF(Upgrades!$T$11="Asteroid Belt",POWER(Upgrades!$U$11,J395),1)*IF(Upgrades!$T$12="Asteroid Belt",POWER(Upgrades!$U$12,K395),1))/AH395,0)</f>
        <v/>
      </c>
      <c r="AU395" s="32">
        <f>IFERROR(Upgrades!$K$8*(POWER(Upgrades!$Q$6,E395)*POWER(Upgrades!$Q$7,F395)*POWER(Upgrades!$Q$8,G395)*POWER(Upgrades!$Q$9,H395)*POWER(Upgrades!$Q$10,I395)*POWER(Upgrades!$Q$11,J395)*POWER(Upgrades!$Q$12,K395))*(IF(Upgrades!$T$6="Stellar Coupling",POWER(Upgrades!$U$6,E395),1)*IF(Upgrades!$T$7="Stellar Coupling",POWER(Upgrades!$U$7,F395),1)*IF(Upgrades!$T$9="Stellar Coupling",POWER(Upgrades!$U$9,H395),1)*IF(Upgrades!$T$10="Stellar Coupling",POWER(Upgrades!$U$10,I395),1)*IF(Upgrades!$T$11="Stellar Coupling",POWER(Upgrades!$U$11,J395),1)*IF(Upgrades!$T$12="Stellar Coupling",POWER(Upgrades!$U$12,K395),1))*Parameters!$B$10*Parameters!$B$11/60/AI395,0)</f>
        <v/>
      </c>
      <c r="AV395" s="32">
        <f>IFERROR(Upgrades!$H$9*(POWER(Upgrades!$P$6,E395)*POWER(Upgrades!$P$7,F395)*POWER(Upgrades!$P$8,G395)*POWER(Upgrades!$P$9,H395)*POWER(Upgrades!$P$10,I395)*POWER(Upgrades!$P$11,J395)*POWER(Upgrades!$P$12,K395))*(IF(Upgrades!$T$6="Magnetosphere",POWER(Upgrades!$U$6,E395),1)*IF(Upgrades!$T$7="Magnetosphere",POWER(Upgrades!$U$7,F395),1)*IF(Upgrades!$T$8="Magnetosphere",POWER(Upgrades!$U$8,G395),1)*IF(Upgrades!$T$10="Magnetosphere",POWER(Upgrades!$U$10,I395),1)*IF(Upgrades!$T$11="Magnetosphere",POWER(Upgrades!$U$11,J395),1)*IF(Upgrades!$T$12="Magnetosphere",POWER(Upgrades!$U$12,K395),1))/AJ395,0)</f>
        <v/>
      </c>
      <c r="AW395" s="32">
        <f>MAX(IF(I395&gt;0,0,IFERROR(0.25*N395/Upgrades!$C$10,0)),IF(J395&gt;0,0,IFERROR(0.5*((IF(G395=0,0,(Upgrades!$J$8+G395*Upgrades!$K$8)*POWER(Upgrades!$L$8,G395)))*(IF(Upgrades!$T$6="Stellar Coupling",POWER(Upgrades!$U$6,E395),1)*IF(Upgrades!$T$7="Stellar Coupling",POWER(Upgrades!$U$7,F395),1)*IF(Upgrades!$T$9="Stellar Coupling",POWER(Upgrades!$U$9,H395),1)*IF(Upgrades!$T$10="Stellar Coupling",POWER(Upgrades!$U$10,I395),1)*IF(Upgrades!$T$11="Stellar Coupling",POWER(Upgrades!$U$11,J395),1)*IF(Upgrades!$T$12="Stellar Coupling",POWER(Upgrades!$U$12,K395),1))*(POWER(Upgrades!$Q$6,E395)*POWER(Upgrades!$Q$7,F395)*POWER(Upgrades!$Q$8,G395)*POWER(Upgrades!$Q$9,H395)*POWER(Upgrades!$Q$10,I395)*POWER(Upgrades!$Q$11,J395)*POWER(Upgrades!$Q$12,K395))*Parameters!$B$10*Parameters!$B$11/60)/Upgrades!$C$11,0)),IF(K395&gt;0,0,IFERROR((1.0*(POWER(Upgrades!$P$6,E395)*POWER(Upgrades!$P$7,F395)*POWER(Upgrades!$P$8,G395)*POWER(Upgrades!$P$9,H395)*POWER(Upgrades!$P$10,I395)*POWER(Upgrades!$P$11,J395)*POWER(Upgrades!$P$12,K395))+0.20*M395*Parameters!$B$10*Parameters!$B$11/60)/Upgrades!$C$12,0)),IF(AND(ISNUMBER(AG395),AG395&gt;T395),AS395,0),IF(AND(ISNUMBER(AH395),AH395&gt;T395),AT395,0),IF(AND(ISNUMBER(AI395),AI395&gt;T395),AU395,0),IF(AND(ISNUMBER(AJ395),AJ395&gt;T395),AV395,0))</f>
        <v/>
      </c>
      <c r="AX395" s="29">
        <f>IF(AN395=1,"transition",IF(MIN(IF(AND(I395=0,ISNUMBER(AK395),AK395&lt;=T395),AK395,9E15),IF(AND(J395=0,ISNUMBER(AL395),AL395&lt;=T395),AL395,9E15),IF(AND(K395=0,ISNUMBER(AM395),AM395&lt;=T395),AM395,9E15))&lt;9E15,IF(AND(AND(I395=0,ISNUMBER(AK395),AK395&lt;=T395),AK395=MIN(IF(AND(I395=0,ISNUMBER(AK395),AK395&lt;=T395),AK395,9E15),IF(AND(J395=0,ISNUMBER(AL395),AL395&lt;=T395),AL395,9E15),IF(AND(K395=0,ISNUMBER(AM395),AM395&lt;=T395),AM395,9E15))),"OR",IF(AND(AND(J395=0,ISNUMBER(AL395),AL395&lt;=T395),AL395=MIN(IF(AND(I395=0,ISNUMBER(AK395),AK395&lt;=T395),AK395,9E15),IF(AND(J395=0,ISNUMBER(AL395),AL395&lt;=T395),AL395,9E15),IF(AND(K395=0,ISNUMBER(AM395),AM395&lt;=T395),AM395,9E15))),"HP","FP")),IF(AR395=TRUE,"",IF(MAX(IF(AND(NOT(AND(AO395=1,AN395&lt;&gt;1)),ISNUMBER(AG395),AG395&lt;=T395),AS395,0),IF(AND(NOT(AND(AO395=1,AN395&lt;&gt;1)),ISNUMBER(AH395),AH395&lt;=T395),AT395,0),IF(AND(NOT(AND(AO395=1,AN395&lt;&gt;1)),ISNUMBER(AI395),AI395&lt;=T395),AU395,0),IF(AND(ISNUMBER(AJ395),AJ395&lt;=T395),AV395,0))&lt;=0,"",IF(AND(IF(AND(NOT(AND(AO395=1,AN395&lt;&gt;1)),ISNUMBER(AG395),AG395&lt;=T395),AS395,0)&gt;0,IF(AND(NOT(AND(AO395=1,AN395&lt;&gt;1)),ISNUMBER(AG395),AG395&lt;=T395),AS395,0)=MAX(IF(AND(NOT(AND(AO395=1,AN395&lt;&gt;1)),ISNUMBER(AG395),AG395&lt;=T395),AS395,0),IF(AND(NOT(AND(AO395=1,AN395&lt;&gt;1)),ISNUMBER(AH395),AH395&lt;=T395),AT395,0),IF(AND(NOT(AND(AO395=1,AN395&lt;&gt;1)),ISNUMBER(AI395),AI395&lt;=T395),AU395,0),IF(AND(ISNUMBER(AJ395),AJ395&lt;=T395),AV395,0))),"SW",IF(AND(IF(AND(NOT(AND(AO395=1,AN395&lt;&gt;1)),ISNUMBER(AH395),AH395&lt;=T395),AT395,0)&gt;0,IF(AND(NOT(AND(AO395=1,AN395&lt;&gt;1)),ISNUMBER(AH395),AH395&lt;=T395),AT395,0)=MAX(IF(AND(NOT(AND(AO395=1,AN395&lt;&gt;1)),ISNUMBER(AG395),AG395&lt;=T395),AS395,0),IF(AND(NOT(AND(AO395=1,AN395&lt;&gt;1)),ISNUMBER(AH395),AH395&lt;=T395),AT395,0),IF(AND(NOT(AND(AO395=1,AN395&lt;&gt;1)),ISNUMBER(AI395),AI395&lt;=T395),AU395,0),IF(AND(ISNUMBER(AJ395),AJ395&lt;=T395),AV395,0))),"AB",IF(AND(IF(AND(NOT(AND(AO395=1,AN395&lt;&gt;1)),ISNUMBER(AI395),AI395&lt;=T395),AU395,0)&gt;0,IF(AND(NOT(AND(AO395=1,AN395&lt;&gt;1)),ISNUMBER(AI395),AI395&lt;=T395),AU395,0)=MAX(IF(AND(NOT(AND(AO395=1,AN395&lt;&gt;1)),ISNUMBER(AG395),AG395&lt;=T395),AS395,0),IF(AND(NOT(AND(AO395=1,AN395&lt;&gt;1)),ISNUMBER(AH395),AH395&lt;=T395),AT395,0),IF(AND(NOT(AND(AO395=1,AN395&lt;&gt;1)),ISNUMBER(AI395),AI395&lt;=T395),AU395,0),IF(AND(ISNUMBER(AJ395),AJ395&lt;=T395),AV395,0))),"SC","Mag")))))))</f>
        <v/>
      </c>
    </row>
    <row r="396">
      <c r="A396" s="26" t="n">
        <v>391</v>
      </c>
      <c r="B396" s="27">
        <f>A396*10/60</f>
        <v/>
      </c>
      <c r="C396" s="22">
        <f>X395</f>
        <v/>
      </c>
      <c r="D396" s="27">
        <f>D395+W395</f>
        <v/>
      </c>
      <c r="E396" s="26">
        <f>E395+IF(U395="SW",1,0)</f>
        <v/>
      </c>
      <c r="F396" s="26">
        <f>F395+IF(U395="AB",1,0)</f>
        <v/>
      </c>
      <c r="G396" s="26">
        <f>G395+IF(U395="SC",1,0)</f>
        <v/>
      </c>
      <c r="H396" s="26">
        <f>H395+IF(U395="Mag",1,0)</f>
        <v/>
      </c>
      <c r="I396" s="26">
        <f>MAX(I395,IF(U395="OR",1,0))</f>
        <v/>
      </c>
      <c r="J396" s="26">
        <f>MAX(J395,IF(U395="HP",1,0))</f>
        <v/>
      </c>
      <c r="K396" s="26">
        <f>MAX(K395,IF(U395="FP",1,0))</f>
        <v/>
      </c>
      <c r="L396" s="26">
        <f>MAX(L395,IF(U395="transition",1,0))</f>
        <v/>
      </c>
      <c r="M396" s="28">
        <f>(Parameters!$B$9+(IF(E396=0,0,(Upgrades!$J$6+E396*Upgrades!$K$6)*POWER(Upgrades!$L$6,E396)))*(IF(Upgrades!$T$7="Solar Wind",POWER(Upgrades!$U$7,F396),1)*IF(Upgrades!$T$8="Solar Wind",POWER(Upgrades!$U$8,G396),1)*IF(Upgrades!$T$9="Solar Wind",POWER(Upgrades!$U$9,H396),1)*IF(Upgrades!$T$10="Solar Wind",POWER(Upgrades!$U$10,I396),1)*IF(Upgrades!$T$11="Solar Wind",POWER(Upgrades!$U$11,J396),1)*IF(Upgrades!$T$12="Solar Wind",POWER(Upgrades!$U$12,K396),1))+(IF(F396=0,0,(Upgrades!$J$7+F396*Upgrades!$K$7)*POWER(Upgrades!$L$7,F396)))*(IF(Upgrades!$T$6="Asteroid Belt",POWER(Upgrades!$U$6,E396),1)*IF(Upgrades!$T$8="Asteroid Belt",POWER(Upgrades!$U$8,G396),1)*IF(Upgrades!$T$9="Asteroid Belt",POWER(Upgrades!$U$9,H396),1)*IF(Upgrades!$T$10="Asteroid Belt",POWER(Upgrades!$U$10,I396),1)*IF(Upgrades!$T$11="Asteroid Belt",POWER(Upgrades!$U$11,J396),1)*IF(Upgrades!$T$12="Asteroid Belt",POWER(Upgrades!$U$12,K396),1))+(IF(G396=0,0,(Upgrades!$J$8+G396*Upgrades!$K$8)*POWER(Upgrades!$L$8,G396)))*(IF(Upgrades!$T$6="Stellar Coupling",POWER(Upgrades!$U$6,E396),1)*IF(Upgrades!$T$7="Stellar Coupling",POWER(Upgrades!$U$7,F396),1)*IF(Upgrades!$T$9="Stellar Coupling",POWER(Upgrades!$U$9,H396),1)*IF(Upgrades!$T$10="Stellar Coupling",POWER(Upgrades!$U$10,I396),1)*IF(Upgrades!$T$11="Stellar Coupling",POWER(Upgrades!$U$11,J396),1)*IF(Upgrades!$T$12="Stellar Coupling",POWER(Upgrades!$U$12,K396),1))+(IF(H396=0,0,(Upgrades!$J$9+H396*Upgrades!$K$9)*POWER(Upgrades!$L$9,H396)))*(IF(Upgrades!$T$6="Magnetosphere",POWER(Upgrades!$U$6,E396),1)*IF(Upgrades!$T$7="Magnetosphere",POWER(Upgrades!$U$7,F396),1)*IF(Upgrades!$T$8="Magnetosphere",POWER(Upgrades!$U$8,G396),1)*IF(Upgrades!$T$10="Magnetosphere",POWER(Upgrades!$U$10,I396),1)*IF(Upgrades!$T$11="Magnetosphere",POWER(Upgrades!$U$11,J396),1)*IF(Upgrades!$T$12="Magnetosphere",POWER(Upgrades!$U$12,K396),1))+(IF(I396=0,0,(Upgrades!$J$10+I396*Upgrades!$K$10)*POWER(Upgrades!$L$10,I396)))*(IF(Upgrades!$T$6="Orbital Resonance",POWER(Upgrades!$U$6,E396),1)*IF(Upgrades!$T$7="Orbital Resonance",POWER(Upgrades!$U$7,F396),1)*IF(Upgrades!$T$8="Orbital Resonance",POWER(Upgrades!$U$8,G396),1)*IF(Upgrades!$T$9="Orbital Resonance",POWER(Upgrades!$U$9,H396),1)*IF(Upgrades!$T$11="Orbital Resonance",POWER(Upgrades!$U$11,J396),1)*IF(Upgrades!$T$12="Orbital Resonance",POWER(Upgrades!$U$12,K396),1))+(IF(J396=0,0,(Upgrades!$J$11+J396*Upgrades!$K$11)*POWER(Upgrades!$L$11,J396)))*(IF(Upgrades!$T$6="Heliopause",POWER(Upgrades!$U$6,E396),1)*IF(Upgrades!$T$7="Heliopause",POWER(Upgrades!$U$7,F396),1)*IF(Upgrades!$T$8="Heliopause",POWER(Upgrades!$U$8,G396),1)*IF(Upgrades!$T$9="Heliopause",POWER(Upgrades!$U$9,H396),1)*IF(Upgrades!$T$10="Heliopause",POWER(Upgrades!$U$10,I396),1)*IF(Upgrades!$T$12="Heliopause",POWER(Upgrades!$U$12,K396),1))+(IF(K396=0,0,(Upgrades!$J$12+K396*Upgrades!$K$12)*POWER(Upgrades!$L$12,K396)))*(IF(Upgrades!$T$6="First Photons",POWER(Upgrades!$U$6,E396),1)*IF(Upgrades!$T$7="First Photons",POWER(Upgrades!$U$7,F396),1)*IF(Upgrades!$T$8="First Photons",POWER(Upgrades!$U$8,G396),1)*IF(Upgrades!$T$9="First Photons",POWER(Upgrades!$U$9,H396),1)*IF(Upgrades!$T$10="First Photons",POWER(Upgrades!$U$10,I396),1)*IF(Upgrades!$T$11="First Photons",POWER(Upgrades!$U$11,J396),1)))*POWER(Upgrades!$Q$6,E396)*POWER(Upgrades!$Q$7,F396)*POWER(Upgrades!$Q$8,G396)*POWER(Upgrades!$Q$9,H396)*POWER(Upgrades!$Q$10,I396)*POWER(Upgrades!$Q$11,J396)*POWER(Upgrades!$Q$12,K396)</f>
        <v/>
      </c>
      <c r="N396" s="28">
        <f>((IF(E396=0,0,(Upgrades!$G$6+E396*Upgrades!$H$6)*POWER(Upgrades!$I$6,E396)))*(IF(Upgrades!$T$7="Solar Wind",POWER(Upgrades!$U$7,F396),1)*IF(Upgrades!$T$8="Solar Wind",POWER(Upgrades!$U$8,G396),1)*IF(Upgrades!$T$9="Solar Wind",POWER(Upgrades!$U$9,H396),1)*IF(Upgrades!$T$10="Solar Wind",POWER(Upgrades!$U$10,I396),1)*IF(Upgrades!$T$11="Solar Wind",POWER(Upgrades!$U$11,J396),1)*IF(Upgrades!$T$12="Solar Wind",POWER(Upgrades!$U$12,K396),1))+(IF(F396=0,0,(Upgrades!$G$7+F396*Upgrades!$H$7)*POWER(Upgrades!$I$7,F396)))*(IF(Upgrades!$T$6="Asteroid Belt",POWER(Upgrades!$U$6,E396),1)*IF(Upgrades!$T$8="Asteroid Belt",POWER(Upgrades!$U$8,G396),1)*IF(Upgrades!$T$9="Asteroid Belt",POWER(Upgrades!$U$9,H396),1)*IF(Upgrades!$T$10="Asteroid Belt",POWER(Upgrades!$U$10,I396),1)*IF(Upgrades!$T$11="Asteroid Belt",POWER(Upgrades!$U$11,J396),1)*IF(Upgrades!$T$12="Asteroid Belt",POWER(Upgrades!$U$12,K396),1))+(IF(G396=0,0,(Upgrades!$G$8+G396*Upgrades!$H$8)*POWER(Upgrades!$I$8,G396)))*(IF(Upgrades!$T$6="Stellar Coupling",POWER(Upgrades!$U$6,E396),1)*IF(Upgrades!$T$7="Stellar Coupling",POWER(Upgrades!$U$7,F396),1)*IF(Upgrades!$T$9="Stellar Coupling",POWER(Upgrades!$U$9,H396),1)*IF(Upgrades!$T$10="Stellar Coupling",POWER(Upgrades!$U$10,I396),1)*IF(Upgrades!$T$11="Stellar Coupling",POWER(Upgrades!$U$11,J396),1)*IF(Upgrades!$T$12="Stellar Coupling",POWER(Upgrades!$U$12,K396),1))+(IF(H396=0,0,(Upgrades!$G$9+H396*Upgrades!$H$9)*POWER(Upgrades!$I$9,H396)))*(IF(Upgrades!$T$6="Magnetosphere",POWER(Upgrades!$U$6,E396),1)*IF(Upgrades!$T$7="Magnetosphere",POWER(Upgrades!$U$7,F396),1)*IF(Upgrades!$T$8="Magnetosphere",POWER(Upgrades!$U$8,G396),1)*IF(Upgrades!$T$10="Magnetosphere",POWER(Upgrades!$U$10,I396),1)*IF(Upgrades!$T$11="Magnetosphere",POWER(Upgrades!$U$11,J396),1)*IF(Upgrades!$T$12="Magnetosphere",POWER(Upgrades!$U$12,K396),1))+(IF(I396=0,0,(Upgrades!$G$10+I396*Upgrades!$H$10)*POWER(Upgrades!$I$10,I396)))*(IF(Upgrades!$T$6="Orbital Resonance",POWER(Upgrades!$U$6,E396),1)*IF(Upgrades!$T$7="Orbital Resonance",POWER(Upgrades!$U$7,F396),1)*IF(Upgrades!$T$8="Orbital Resonance",POWER(Upgrades!$U$8,G396),1)*IF(Upgrades!$T$9="Orbital Resonance",POWER(Upgrades!$U$9,H396),1)*IF(Upgrades!$T$11="Orbital Resonance",POWER(Upgrades!$U$11,J396),1)*IF(Upgrades!$T$12="Orbital Resonance",POWER(Upgrades!$U$12,K396),1))+(IF(J396=0,0,(Upgrades!$G$11+J396*Upgrades!$H$11)*POWER(Upgrades!$I$11,J396)))*(IF(Upgrades!$T$6="Heliopause",POWER(Upgrades!$U$6,E396),1)*IF(Upgrades!$T$7="Heliopause",POWER(Upgrades!$U$7,F396),1)*IF(Upgrades!$T$8="Heliopause",POWER(Upgrades!$U$8,G396),1)*IF(Upgrades!$T$9="Heliopause",POWER(Upgrades!$U$9,H396),1)*IF(Upgrades!$T$10="Heliopause",POWER(Upgrades!$U$10,I396),1)*IF(Upgrades!$T$12="Heliopause",POWER(Upgrades!$U$12,K396),1))+(IF(K396=0,0,(Upgrades!$G$12+K396*Upgrades!$H$12)*POWER(Upgrades!$I$12,K396)))*(IF(Upgrades!$T$6="First Photons",POWER(Upgrades!$U$6,E396),1)*IF(Upgrades!$T$7="First Photons",POWER(Upgrades!$U$7,F396),1)*IF(Upgrades!$T$8="First Photons",POWER(Upgrades!$U$8,G396),1)*IF(Upgrades!$T$9="First Photons",POWER(Upgrades!$U$9,H396),1)*IF(Upgrades!$T$10="First Photons",POWER(Upgrades!$U$10,I396),1)*IF(Upgrades!$T$11="First Photons",POWER(Upgrades!$U$11,J396),1)))*POWER(Upgrades!$P$6,E396)*POWER(Upgrades!$P$7,F396)*POWER(Upgrades!$P$8,G396)*POWER(Upgrades!$P$9,H396)*POWER(Upgrades!$P$10,I396)*POWER(Upgrades!$P$11,J396)*POWER(Upgrades!$P$12,K396)</f>
        <v/>
      </c>
      <c r="O396" s="28">
        <f>((IF(E396=0,0,(Upgrades!$M$6+E396*Upgrades!$N$6)*POWER(Upgrades!$O$6,E396)))*(IF(Upgrades!$T$7="Solar Wind",POWER(Upgrades!$U$7,F396),1)*IF(Upgrades!$T$8="Solar Wind",POWER(Upgrades!$U$8,G396),1)*IF(Upgrades!$T$9="Solar Wind",POWER(Upgrades!$U$9,H396),1)*IF(Upgrades!$T$10="Solar Wind",POWER(Upgrades!$U$10,I396),1)*IF(Upgrades!$T$11="Solar Wind",POWER(Upgrades!$U$11,J396),1)*IF(Upgrades!$T$12="Solar Wind",POWER(Upgrades!$U$12,K396),1))+(IF(F396=0,0,(Upgrades!$M$7+F396*Upgrades!$N$7)*POWER(Upgrades!$O$7,F396)))*(IF(Upgrades!$T$6="Asteroid Belt",POWER(Upgrades!$U$6,E396),1)*IF(Upgrades!$T$8="Asteroid Belt",POWER(Upgrades!$U$8,G396),1)*IF(Upgrades!$T$9="Asteroid Belt",POWER(Upgrades!$U$9,H396),1)*IF(Upgrades!$T$10="Asteroid Belt",POWER(Upgrades!$U$10,I396),1)*IF(Upgrades!$T$11="Asteroid Belt",POWER(Upgrades!$U$11,J396),1)*IF(Upgrades!$T$12="Asteroid Belt",POWER(Upgrades!$U$12,K396),1))+(IF(G396=0,0,(Upgrades!$M$8+G396*Upgrades!$N$8)*POWER(Upgrades!$O$8,G396)))*(IF(Upgrades!$T$6="Stellar Coupling",POWER(Upgrades!$U$6,E396),1)*IF(Upgrades!$T$7="Stellar Coupling",POWER(Upgrades!$U$7,F396),1)*IF(Upgrades!$T$9="Stellar Coupling",POWER(Upgrades!$U$9,H396),1)*IF(Upgrades!$T$10="Stellar Coupling",POWER(Upgrades!$U$10,I396),1)*IF(Upgrades!$T$11="Stellar Coupling",POWER(Upgrades!$U$11,J396),1)*IF(Upgrades!$T$12="Stellar Coupling",POWER(Upgrades!$U$12,K396),1))+(IF(H396=0,0,(Upgrades!$M$9+H396*Upgrades!$N$9)*POWER(Upgrades!$O$9,H396)))*(IF(Upgrades!$T$6="Magnetosphere",POWER(Upgrades!$U$6,E396),1)*IF(Upgrades!$T$7="Magnetosphere",POWER(Upgrades!$U$7,F396),1)*IF(Upgrades!$T$8="Magnetosphere",POWER(Upgrades!$U$8,G396),1)*IF(Upgrades!$T$10="Magnetosphere",POWER(Upgrades!$U$10,I396),1)*IF(Upgrades!$T$11="Magnetosphere",POWER(Upgrades!$U$11,J396),1)*IF(Upgrades!$T$12="Magnetosphere",POWER(Upgrades!$U$12,K396),1))+(IF(I396=0,0,(Upgrades!$M$10+I396*Upgrades!$N$10)*POWER(Upgrades!$O$10,I396)))*(IF(Upgrades!$T$6="Orbital Resonance",POWER(Upgrades!$U$6,E396),1)*IF(Upgrades!$T$7="Orbital Resonance",POWER(Upgrades!$U$7,F396),1)*IF(Upgrades!$T$8="Orbital Resonance",POWER(Upgrades!$U$8,G396),1)*IF(Upgrades!$T$9="Orbital Resonance",POWER(Upgrades!$U$9,H396),1)*IF(Upgrades!$T$11="Orbital Resonance",POWER(Upgrades!$U$11,J396),1)*IF(Upgrades!$T$12="Orbital Resonance",POWER(Upgrades!$U$12,K396),1))+(IF(J396=0,0,(Upgrades!$M$11+J396*Upgrades!$N$11)*POWER(Upgrades!$O$11,J396)))*(IF(Upgrades!$T$6="Heliopause",POWER(Upgrades!$U$6,E396),1)*IF(Upgrades!$T$7="Heliopause",POWER(Upgrades!$U$7,F396),1)*IF(Upgrades!$T$8="Heliopause",POWER(Upgrades!$U$8,G396),1)*IF(Upgrades!$T$9="Heliopause",POWER(Upgrades!$U$9,H396),1)*IF(Upgrades!$T$10="Heliopause",POWER(Upgrades!$U$10,I396),1)*IF(Upgrades!$T$12="Heliopause",POWER(Upgrades!$U$12,K396),1))+(IF(K396=0,0,(Upgrades!$M$12+K396*Upgrades!$N$12)*POWER(Upgrades!$O$12,K396)))*(IF(Upgrades!$T$6="First Photons",POWER(Upgrades!$U$6,E396),1)*IF(Upgrades!$T$7="First Photons",POWER(Upgrades!$U$7,F396),1)*IF(Upgrades!$T$8="First Photons",POWER(Upgrades!$U$8,G396),1)*IF(Upgrades!$T$9="First Photons",POWER(Upgrades!$U$9,H396),1)*IF(Upgrades!$T$10="First Photons",POWER(Upgrades!$U$10,I396),1)*IF(Upgrades!$T$11="First Photons",POWER(Upgrades!$U$11,J396),1)))*POWER(Upgrades!$R$6,E396)*POWER(Upgrades!$R$7,F396)*POWER(Upgrades!$R$8,G396)*POWER(Upgrades!$R$9,H396)*POWER(Upgrades!$R$10,I396)*POWER(Upgrades!$R$11,J396)*POWER(Upgrades!$R$12,K396)</f>
        <v/>
      </c>
      <c r="P396" s="27">
        <f>IF(L396=1,0,M396*Parameters!$B$10/60*Parameters!$B$11*10)</f>
        <v/>
      </c>
      <c r="Q396" s="27">
        <f>IF(L396=1,0,O396*M396*10)</f>
        <v/>
      </c>
      <c r="R396" s="27">
        <f>IF(L396=1,0,N396*10)</f>
        <v/>
      </c>
      <c r="S396" s="27">
        <f>P396+Q396+R396</f>
        <v/>
      </c>
      <c r="T396" s="22">
        <f>C396+S396</f>
        <v/>
      </c>
      <c r="U396" s="33">
        <f>AX396</f>
        <v/>
      </c>
      <c r="V396" s="22">
        <f>IF(U396="",0,IF(U396="transition",0,IF(U396="SW",AG396,IF(U396="AB",AH396,IF(U396="SC",AI396,IF(U396="Mag",AJ396,IF(U396="OR",AK396,IF(U396="HP",AL396,IF(U396="FP",AM396,0)))))))))</f>
        <v/>
      </c>
      <c r="W396" s="27">
        <f>IF(U396="OR",Upgrades!$F$10,IF(U396="HP",Upgrades!$F$11,IF(U396="transition",-Parameters!$B$18,0)))</f>
        <v/>
      </c>
      <c r="X396" s="22">
        <f>T396-V396</f>
        <v/>
      </c>
      <c r="Y396" s="30">
        <f>M396*Parameters!$B$10/60*Parameters!$B$11+O396*M396+N396</f>
        <v/>
      </c>
      <c r="Z396" s="34">
        <f>IF(U396="transition","→ Tier 2 (Stellar Neighborhood)",IF(U396="FP","First Photons — light begins, system quickens",IF(U396="HP","Heliopause acquired",IF(U396="OR","Orbital Resonance — passive multiplier active",IF(AND(AO396=1,L396=0,AN396&lt;&gt;1),"Cohesion ready (waiting on completionist upgrades)","")))))</f>
        <v/>
      </c>
      <c r="AA396" s="27">
        <f>(IF(E396=0,0,(Upgrades!$G$6+E396*Upgrades!$H$6)*POWER(Upgrades!$I$6,E396)))*(IF(Upgrades!$T$7="Solar Wind",POWER(Upgrades!$U$7,F396),1)*IF(Upgrades!$T$8="Solar Wind",POWER(Upgrades!$U$8,G396),1)*IF(Upgrades!$T$9="Solar Wind",POWER(Upgrades!$U$9,H396),1)*IF(Upgrades!$T$10="Solar Wind",POWER(Upgrades!$U$10,I396),1)*IF(Upgrades!$T$11="Solar Wind",POWER(Upgrades!$U$11,J396),1)*IF(Upgrades!$T$12="Solar Wind",POWER(Upgrades!$U$12,K396),1))*POWER(Upgrades!$P$6,E396)*POWER(Upgrades!$P$7,F396)*POWER(Upgrades!$P$8,G396)*POWER(Upgrades!$P$9,H396)*POWER(Upgrades!$P$10,I396)*POWER(Upgrades!$P$11,J396)*POWER(Upgrades!$P$12,K396)*60</f>
        <v/>
      </c>
      <c r="AB396" s="27">
        <f>(IF(F396=0,0,(Upgrades!$G$7+F396*Upgrades!$H$7)*POWER(Upgrades!$I$7,F396)))*(IF(Upgrades!$T$6="Asteroid Belt",POWER(Upgrades!$U$6,E396),1)*IF(Upgrades!$T$8="Asteroid Belt",POWER(Upgrades!$U$8,G396),1)*IF(Upgrades!$T$9="Asteroid Belt",POWER(Upgrades!$U$9,H396),1)*IF(Upgrades!$T$10="Asteroid Belt",POWER(Upgrades!$U$10,I396),1)*IF(Upgrades!$T$11="Asteroid Belt",POWER(Upgrades!$U$11,J396),1)*IF(Upgrades!$T$12="Asteroid Belt",POWER(Upgrades!$U$12,K396),1))*POWER(Upgrades!$P$6,E396)*POWER(Upgrades!$P$7,F396)*POWER(Upgrades!$P$8,G396)*POWER(Upgrades!$P$9,H396)*POWER(Upgrades!$P$10,I396)*POWER(Upgrades!$P$11,J396)*POWER(Upgrades!$P$12,K396)*60</f>
        <v/>
      </c>
      <c r="AC396" s="27">
        <f>(IF(G396=0,0,(Upgrades!$J$8+G396*Upgrades!$K$8)*POWER(Upgrades!$L$8,G396)))*(IF(Upgrades!$T$6="Stellar Coupling",POWER(Upgrades!$U$6,E396),1)*IF(Upgrades!$T$7="Stellar Coupling",POWER(Upgrades!$U$7,F396),1)*IF(Upgrades!$T$9="Stellar Coupling",POWER(Upgrades!$U$9,H396),1)*IF(Upgrades!$T$10="Stellar Coupling",POWER(Upgrades!$U$10,I396),1)*IF(Upgrades!$T$11="Stellar Coupling",POWER(Upgrades!$U$11,J396),1)*IF(Upgrades!$T$12="Stellar Coupling",POWER(Upgrades!$U$12,K396),1))*POWER(Upgrades!$Q$6,E396)*POWER(Upgrades!$Q$7,F396)*POWER(Upgrades!$Q$8,G396)*POWER(Upgrades!$Q$9,H396)*POWER(Upgrades!$Q$10,I396)*POWER(Upgrades!$Q$11,J396)*POWER(Upgrades!$Q$12,K396)*Parameters!$B$10*Parameters!$B$11</f>
        <v/>
      </c>
      <c r="AD396" s="27">
        <f>(IF(H396=0,0,(Upgrades!$G$9+H396*Upgrades!$H$9)*POWER(Upgrades!$I$9,H396)))*(IF(Upgrades!$T$6="Magnetosphere",POWER(Upgrades!$U$6,E396),1)*IF(Upgrades!$T$7="Magnetosphere",POWER(Upgrades!$U$7,F396),1)*IF(Upgrades!$T$8="Magnetosphere",POWER(Upgrades!$U$8,G396),1)*IF(Upgrades!$T$10="Magnetosphere",POWER(Upgrades!$U$10,I396),1)*IF(Upgrades!$T$11="Magnetosphere",POWER(Upgrades!$U$11,J396),1)*IF(Upgrades!$T$12="Magnetosphere",POWER(Upgrades!$U$12,K396),1))*POWER(Upgrades!$P$6,E396)*POWER(Upgrades!$P$7,F396)*POWER(Upgrades!$P$8,G396)*POWER(Upgrades!$P$9,H396)*POWER(Upgrades!$P$10,I396)*POWER(Upgrades!$P$11,J396)*POWER(Upgrades!$P$12,K396)*60</f>
        <v/>
      </c>
      <c r="AE396" s="27">
        <f>(IF(K396=0,0,(Upgrades!$G$12+K396*Upgrades!$H$12)*POWER(Upgrades!$I$12,K396)))*(IF(Upgrades!$T$6="First Photons",POWER(Upgrades!$U$6,E396),1)*IF(Upgrades!$T$7="First Photons",POWER(Upgrades!$U$7,F396),1)*IF(Upgrades!$T$8="First Photons",POWER(Upgrades!$U$8,G396),1)*IF(Upgrades!$T$9="First Photons",POWER(Upgrades!$U$9,H396),1)*IF(Upgrades!$T$10="First Photons",POWER(Upgrades!$U$10,I396),1)*IF(Upgrades!$T$11="First Photons",POWER(Upgrades!$U$11,J396),1))*POWER(Upgrades!$P$6,E396)*POWER(Upgrades!$P$7,F396)*POWER(Upgrades!$P$8,G396)*POWER(Upgrades!$P$9,H396)*POWER(Upgrades!$P$10,I396)*POWER(Upgrades!$P$11,J396)*POWER(Upgrades!$P$12,K396)*60</f>
        <v/>
      </c>
      <c r="AF396" s="27">
        <f>Parameters!$B$9*POWER(Upgrades!$Q$6,E396)*POWER(Upgrades!$Q$7,F396)*POWER(Upgrades!$Q$8,G396)*POWER(Upgrades!$Q$9,H396)*POWER(Upgrades!$Q$10,I396)*POWER(Upgrades!$Q$11,J396)*POWER(Upgrades!$Q$12,K396)*(Parameters!$B$10*Parameters!$B$11+O396*60)</f>
        <v/>
      </c>
      <c r="AG396" s="22">
        <f>IF(E396&gt;=Upgrades!$E$6,"",Upgrades!$C$6*POWER(Upgrades!$D$6,E396))</f>
        <v/>
      </c>
      <c r="AH396" s="22">
        <f>IF(F396&gt;=Upgrades!$E$7,"",Upgrades!$C$7*POWER(Upgrades!$D$7,F396))</f>
        <v/>
      </c>
      <c r="AI396" s="22">
        <f>IF(G396&gt;=Upgrades!$E$8,"",Upgrades!$C$8*POWER(Upgrades!$D$8,G396))</f>
        <v/>
      </c>
      <c r="AJ396" s="22">
        <f>IF(H396&gt;=Upgrades!$E$9,"",Upgrades!$C$9*POWER(Upgrades!$D$9,H396))</f>
        <v/>
      </c>
      <c r="AK396" s="22">
        <f>IF(I396&gt;=Upgrades!$E$10,"",Upgrades!$C$10*POWER(Upgrades!$D$10,I396))</f>
        <v/>
      </c>
      <c r="AL396" s="22">
        <f>IF(J396&gt;=Upgrades!$E$11,"",Upgrades!$C$11*POWER(Upgrades!$D$11,J396))</f>
        <v/>
      </c>
      <c r="AM396" s="22">
        <f>IF(K396&gt;=Upgrades!$E$12,"",Upgrades!$C$12*POWER(Upgrades!$D$12,K396))</f>
        <v/>
      </c>
      <c r="AN396" s="26">
        <f>IF(AND(D396&gt;=Parameters!$B$18,(H396&gt;=Upgrades!$E$9)*(K396&gt;=Upgrades!$E$12)=1,L396=0),1,"")</f>
        <v/>
      </c>
      <c r="AO396" s="26">
        <f>IF(AND(D396&gt;=Parameters!$B$18,L396=0),1,"")</f>
        <v/>
      </c>
      <c r="AP396" s="22">
        <f>MIN(IF(ISNUMBER(AK396),AK396,9E15),IF(ISNUMBER(AL396),AL396,9E15),IF(ISNUMBER(AM396),AM396,9E15))</f>
        <v/>
      </c>
      <c r="AQ396" s="22">
        <f>MIN(IF(ISNUMBER(AG396),AG396,9E15),IF(ISNUMBER(AH396),AH396,9E15),IF(ISNUMBER(AI396),AI396,9E15),IF(ISNUMBER(AJ396),AJ396,9E15))</f>
        <v/>
      </c>
      <c r="AR396" s="29">
        <f>IF(AW396&gt;Parameters!$B$21*(MAX(IF(AND(NOT(AND(AO396=1,AN396&lt;&gt;1)),ISNUMBER(AG396),AG396&lt;=T396),AS396,0),IF(AND(NOT(AND(AO396=1,AN396&lt;&gt;1)),ISNUMBER(AH396),AH396&lt;=T396),AT396,0),IF(AND(NOT(AND(AO396=1,AN396&lt;&gt;1)),ISNUMBER(AI396),AI396&lt;=T396),AU396,0),IF(AND(ISNUMBER(AJ396),AJ396&lt;=T396),AV396,0))),TRUE,FALSE)</f>
        <v/>
      </c>
      <c r="AS396" s="32">
        <f>IFERROR(Upgrades!$H$6*(POWER(Upgrades!$P$6,E396)*POWER(Upgrades!$P$7,F396)*POWER(Upgrades!$P$8,G396)*POWER(Upgrades!$P$9,H396)*POWER(Upgrades!$P$10,I396)*POWER(Upgrades!$P$11,J396)*POWER(Upgrades!$P$12,K396))*(IF(Upgrades!$T$7="Solar Wind",POWER(Upgrades!$U$7,F396),1)*IF(Upgrades!$T$8="Solar Wind",POWER(Upgrades!$U$8,G396),1)*IF(Upgrades!$T$9="Solar Wind",POWER(Upgrades!$U$9,H396),1)*IF(Upgrades!$T$10="Solar Wind",POWER(Upgrades!$U$10,I396),1)*IF(Upgrades!$T$11="Solar Wind",POWER(Upgrades!$U$11,J396),1)*IF(Upgrades!$T$12="Solar Wind",POWER(Upgrades!$U$12,K396),1))/AG396,0)</f>
        <v/>
      </c>
      <c r="AT396" s="32">
        <f>IFERROR(Upgrades!$H$7*(POWER(Upgrades!$P$6,E396)*POWER(Upgrades!$P$7,F396)*POWER(Upgrades!$P$8,G396)*POWER(Upgrades!$P$9,H396)*POWER(Upgrades!$P$10,I396)*POWER(Upgrades!$P$11,J396)*POWER(Upgrades!$P$12,K396))*(IF(Upgrades!$T$6="Asteroid Belt",POWER(Upgrades!$U$6,E396),1)*IF(Upgrades!$T$8="Asteroid Belt",POWER(Upgrades!$U$8,G396),1)*IF(Upgrades!$T$9="Asteroid Belt",POWER(Upgrades!$U$9,H396),1)*IF(Upgrades!$T$10="Asteroid Belt",POWER(Upgrades!$U$10,I396),1)*IF(Upgrades!$T$11="Asteroid Belt",POWER(Upgrades!$U$11,J396),1)*IF(Upgrades!$T$12="Asteroid Belt",POWER(Upgrades!$U$12,K396),1))/AH396,0)</f>
        <v/>
      </c>
      <c r="AU396" s="32">
        <f>IFERROR(Upgrades!$K$8*(POWER(Upgrades!$Q$6,E396)*POWER(Upgrades!$Q$7,F396)*POWER(Upgrades!$Q$8,G396)*POWER(Upgrades!$Q$9,H396)*POWER(Upgrades!$Q$10,I396)*POWER(Upgrades!$Q$11,J396)*POWER(Upgrades!$Q$12,K396))*(IF(Upgrades!$T$6="Stellar Coupling",POWER(Upgrades!$U$6,E396),1)*IF(Upgrades!$T$7="Stellar Coupling",POWER(Upgrades!$U$7,F396),1)*IF(Upgrades!$T$9="Stellar Coupling",POWER(Upgrades!$U$9,H396),1)*IF(Upgrades!$T$10="Stellar Coupling",POWER(Upgrades!$U$10,I396),1)*IF(Upgrades!$T$11="Stellar Coupling",POWER(Upgrades!$U$11,J396),1)*IF(Upgrades!$T$12="Stellar Coupling",POWER(Upgrades!$U$12,K396),1))*Parameters!$B$10*Parameters!$B$11/60/AI396,0)</f>
        <v/>
      </c>
      <c r="AV396" s="32">
        <f>IFERROR(Upgrades!$H$9*(POWER(Upgrades!$P$6,E396)*POWER(Upgrades!$P$7,F396)*POWER(Upgrades!$P$8,G396)*POWER(Upgrades!$P$9,H396)*POWER(Upgrades!$P$10,I396)*POWER(Upgrades!$P$11,J396)*POWER(Upgrades!$P$12,K396))*(IF(Upgrades!$T$6="Magnetosphere",POWER(Upgrades!$U$6,E396),1)*IF(Upgrades!$T$7="Magnetosphere",POWER(Upgrades!$U$7,F396),1)*IF(Upgrades!$T$8="Magnetosphere",POWER(Upgrades!$U$8,G396),1)*IF(Upgrades!$T$10="Magnetosphere",POWER(Upgrades!$U$10,I396),1)*IF(Upgrades!$T$11="Magnetosphere",POWER(Upgrades!$U$11,J396),1)*IF(Upgrades!$T$12="Magnetosphere",POWER(Upgrades!$U$12,K396),1))/AJ396,0)</f>
        <v/>
      </c>
      <c r="AW396" s="32">
        <f>MAX(IF(I396&gt;0,0,IFERROR(0.25*N396/Upgrades!$C$10,0)),IF(J396&gt;0,0,IFERROR(0.5*((IF(G396=0,0,(Upgrades!$J$8+G396*Upgrades!$K$8)*POWER(Upgrades!$L$8,G396)))*(IF(Upgrades!$T$6="Stellar Coupling",POWER(Upgrades!$U$6,E396),1)*IF(Upgrades!$T$7="Stellar Coupling",POWER(Upgrades!$U$7,F396),1)*IF(Upgrades!$T$9="Stellar Coupling",POWER(Upgrades!$U$9,H396),1)*IF(Upgrades!$T$10="Stellar Coupling",POWER(Upgrades!$U$10,I396),1)*IF(Upgrades!$T$11="Stellar Coupling",POWER(Upgrades!$U$11,J396),1)*IF(Upgrades!$T$12="Stellar Coupling",POWER(Upgrades!$U$12,K396),1))*(POWER(Upgrades!$Q$6,E396)*POWER(Upgrades!$Q$7,F396)*POWER(Upgrades!$Q$8,G396)*POWER(Upgrades!$Q$9,H396)*POWER(Upgrades!$Q$10,I396)*POWER(Upgrades!$Q$11,J396)*POWER(Upgrades!$Q$12,K396))*Parameters!$B$10*Parameters!$B$11/60)/Upgrades!$C$11,0)),IF(K396&gt;0,0,IFERROR((1.0*(POWER(Upgrades!$P$6,E396)*POWER(Upgrades!$P$7,F396)*POWER(Upgrades!$P$8,G396)*POWER(Upgrades!$P$9,H396)*POWER(Upgrades!$P$10,I396)*POWER(Upgrades!$P$11,J396)*POWER(Upgrades!$P$12,K396))+0.20*M396*Parameters!$B$10*Parameters!$B$11/60)/Upgrades!$C$12,0)),IF(AND(ISNUMBER(AG396),AG396&gt;T396),AS396,0),IF(AND(ISNUMBER(AH396),AH396&gt;T396),AT396,0),IF(AND(ISNUMBER(AI396),AI396&gt;T396),AU396,0),IF(AND(ISNUMBER(AJ396),AJ396&gt;T396),AV396,0))</f>
        <v/>
      </c>
      <c r="AX396" s="29">
        <f>IF(AN396=1,"transition",IF(MIN(IF(AND(I396=0,ISNUMBER(AK396),AK396&lt;=T396),AK396,9E15),IF(AND(J396=0,ISNUMBER(AL396),AL396&lt;=T396),AL396,9E15),IF(AND(K396=0,ISNUMBER(AM396),AM396&lt;=T396),AM396,9E15))&lt;9E15,IF(AND(AND(I396=0,ISNUMBER(AK396),AK396&lt;=T396),AK396=MIN(IF(AND(I396=0,ISNUMBER(AK396),AK396&lt;=T396),AK396,9E15),IF(AND(J396=0,ISNUMBER(AL396),AL396&lt;=T396),AL396,9E15),IF(AND(K396=0,ISNUMBER(AM396),AM396&lt;=T396),AM396,9E15))),"OR",IF(AND(AND(J396=0,ISNUMBER(AL396),AL396&lt;=T396),AL396=MIN(IF(AND(I396=0,ISNUMBER(AK396),AK396&lt;=T396),AK396,9E15),IF(AND(J396=0,ISNUMBER(AL396),AL396&lt;=T396),AL396,9E15),IF(AND(K396=0,ISNUMBER(AM396),AM396&lt;=T396),AM396,9E15))),"HP","FP")),IF(AR396=TRUE,"",IF(MAX(IF(AND(NOT(AND(AO396=1,AN396&lt;&gt;1)),ISNUMBER(AG396),AG396&lt;=T396),AS396,0),IF(AND(NOT(AND(AO396=1,AN396&lt;&gt;1)),ISNUMBER(AH396),AH396&lt;=T396),AT396,0),IF(AND(NOT(AND(AO396=1,AN396&lt;&gt;1)),ISNUMBER(AI396),AI396&lt;=T396),AU396,0),IF(AND(ISNUMBER(AJ396),AJ396&lt;=T396),AV396,0))&lt;=0,"",IF(AND(IF(AND(NOT(AND(AO396=1,AN396&lt;&gt;1)),ISNUMBER(AG396),AG396&lt;=T396),AS396,0)&gt;0,IF(AND(NOT(AND(AO396=1,AN396&lt;&gt;1)),ISNUMBER(AG396),AG396&lt;=T396),AS396,0)=MAX(IF(AND(NOT(AND(AO396=1,AN396&lt;&gt;1)),ISNUMBER(AG396),AG396&lt;=T396),AS396,0),IF(AND(NOT(AND(AO396=1,AN396&lt;&gt;1)),ISNUMBER(AH396),AH396&lt;=T396),AT396,0),IF(AND(NOT(AND(AO396=1,AN396&lt;&gt;1)),ISNUMBER(AI396),AI396&lt;=T396),AU396,0),IF(AND(ISNUMBER(AJ396),AJ396&lt;=T396),AV396,0))),"SW",IF(AND(IF(AND(NOT(AND(AO396=1,AN396&lt;&gt;1)),ISNUMBER(AH396),AH396&lt;=T396),AT396,0)&gt;0,IF(AND(NOT(AND(AO396=1,AN396&lt;&gt;1)),ISNUMBER(AH396),AH396&lt;=T396),AT396,0)=MAX(IF(AND(NOT(AND(AO396=1,AN396&lt;&gt;1)),ISNUMBER(AG396),AG396&lt;=T396),AS396,0),IF(AND(NOT(AND(AO396=1,AN396&lt;&gt;1)),ISNUMBER(AH396),AH396&lt;=T396),AT396,0),IF(AND(NOT(AND(AO396=1,AN396&lt;&gt;1)),ISNUMBER(AI396),AI396&lt;=T396),AU396,0),IF(AND(ISNUMBER(AJ396),AJ396&lt;=T396),AV396,0))),"AB",IF(AND(IF(AND(NOT(AND(AO396=1,AN396&lt;&gt;1)),ISNUMBER(AI396),AI396&lt;=T396),AU396,0)&gt;0,IF(AND(NOT(AND(AO396=1,AN396&lt;&gt;1)),ISNUMBER(AI396),AI396&lt;=T396),AU396,0)=MAX(IF(AND(NOT(AND(AO396=1,AN396&lt;&gt;1)),ISNUMBER(AG396),AG396&lt;=T396),AS396,0),IF(AND(NOT(AND(AO396=1,AN396&lt;&gt;1)),ISNUMBER(AH396),AH396&lt;=T396),AT396,0),IF(AND(NOT(AND(AO396=1,AN396&lt;&gt;1)),ISNUMBER(AI396),AI396&lt;=T396),AU396,0),IF(AND(ISNUMBER(AJ396),AJ396&lt;=T396),AV396,0))),"SC","Mag")))))))</f>
        <v/>
      </c>
    </row>
    <row r="397">
      <c r="A397" s="26" t="n">
        <v>392</v>
      </c>
      <c r="B397" s="27">
        <f>A397*10/60</f>
        <v/>
      </c>
      <c r="C397" s="22">
        <f>X396</f>
        <v/>
      </c>
      <c r="D397" s="27">
        <f>D396+W396</f>
        <v/>
      </c>
      <c r="E397" s="26">
        <f>E396+IF(U396="SW",1,0)</f>
        <v/>
      </c>
      <c r="F397" s="26">
        <f>F396+IF(U396="AB",1,0)</f>
        <v/>
      </c>
      <c r="G397" s="26">
        <f>G396+IF(U396="SC",1,0)</f>
        <v/>
      </c>
      <c r="H397" s="26">
        <f>H396+IF(U396="Mag",1,0)</f>
        <v/>
      </c>
      <c r="I397" s="26">
        <f>MAX(I396,IF(U396="OR",1,0))</f>
        <v/>
      </c>
      <c r="J397" s="26">
        <f>MAX(J396,IF(U396="HP",1,0))</f>
        <v/>
      </c>
      <c r="K397" s="26">
        <f>MAX(K396,IF(U396="FP",1,0))</f>
        <v/>
      </c>
      <c r="L397" s="26">
        <f>MAX(L396,IF(U396="transition",1,0))</f>
        <v/>
      </c>
      <c r="M397" s="28">
        <f>(Parameters!$B$9+(IF(E397=0,0,(Upgrades!$J$6+E397*Upgrades!$K$6)*POWER(Upgrades!$L$6,E397)))*(IF(Upgrades!$T$7="Solar Wind",POWER(Upgrades!$U$7,F397),1)*IF(Upgrades!$T$8="Solar Wind",POWER(Upgrades!$U$8,G397),1)*IF(Upgrades!$T$9="Solar Wind",POWER(Upgrades!$U$9,H397),1)*IF(Upgrades!$T$10="Solar Wind",POWER(Upgrades!$U$10,I397),1)*IF(Upgrades!$T$11="Solar Wind",POWER(Upgrades!$U$11,J397),1)*IF(Upgrades!$T$12="Solar Wind",POWER(Upgrades!$U$12,K397),1))+(IF(F397=0,0,(Upgrades!$J$7+F397*Upgrades!$K$7)*POWER(Upgrades!$L$7,F397)))*(IF(Upgrades!$T$6="Asteroid Belt",POWER(Upgrades!$U$6,E397),1)*IF(Upgrades!$T$8="Asteroid Belt",POWER(Upgrades!$U$8,G397),1)*IF(Upgrades!$T$9="Asteroid Belt",POWER(Upgrades!$U$9,H397),1)*IF(Upgrades!$T$10="Asteroid Belt",POWER(Upgrades!$U$10,I397),1)*IF(Upgrades!$T$11="Asteroid Belt",POWER(Upgrades!$U$11,J397),1)*IF(Upgrades!$T$12="Asteroid Belt",POWER(Upgrades!$U$12,K397),1))+(IF(G397=0,0,(Upgrades!$J$8+G397*Upgrades!$K$8)*POWER(Upgrades!$L$8,G397)))*(IF(Upgrades!$T$6="Stellar Coupling",POWER(Upgrades!$U$6,E397),1)*IF(Upgrades!$T$7="Stellar Coupling",POWER(Upgrades!$U$7,F397),1)*IF(Upgrades!$T$9="Stellar Coupling",POWER(Upgrades!$U$9,H397),1)*IF(Upgrades!$T$10="Stellar Coupling",POWER(Upgrades!$U$10,I397),1)*IF(Upgrades!$T$11="Stellar Coupling",POWER(Upgrades!$U$11,J397),1)*IF(Upgrades!$T$12="Stellar Coupling",POWER(Upgrades!$U$12,K397),1))+(IF(H397=0,0,(Upgrades!$J$9+H397*Upgrades!$K$9)*POWER(Upgrades!$L$9,H397)))*(IF(Upgrades!$T$6="Magnetosphere",POWER(Upgrades!$U$6,E397),1)*IF(Upgrades!$T$7="Magnetosphere",POWER(Upgrades!$U$7,F397),1)*IF(Upgrades!$T$8="Magnetosphere",POWER(Upgrades!$U$8,G397),1)*IF(Upgrades!$T$10="Magnetosphere",POWER(Upgrades!$U$10,I397),1)*IF(Upgrades!$T$11="Magnetosphere",POWER(Upgrades!$U$11,J397),1)*IF(Upgrades!$T$12="Magnetosphere",POWER(Upgrades!$U$12,K397),1))+(IF(I397=0,0,(Upgrades!$J$10+I397*Upgrades!$K$10)*POWER(Upgrades!$L$10,I397)))*(IF(Upgrades!$T$6="Orbital Resonance",POWER(Upgrades!$U$6,E397),1)*IF(Upgrades!$T$7="Orbital Resonance",POWER(Upgrades!$U$7,F397),1)*IF(Upgrades!$T$8="Orbital Resonance",POWER(Upgrades!$U$8,G397),1)*IF(Upgrades!$T$9="Orbital Resonance",POWER(Upgrades!$U$9,H397),1)*IF(Upgrades!$T$11="Orbital Resonance",POWER(Upgrades!$U$11,J397),1)*IF(Upgrades!$T$12="Orbital Resonance",POWER(Upgrades!$U$12,K397),1))+(IF(J397=0,0,(Upgrades!$J$11+J397*Upgrades!$K$11)*POWER(Upgrades!$L$11,J397)))*(IF(Upgrades!$T$6="Heliopause",POWER(Upgrades!$U$6,E397),1)*IF(Upgrades!$T$7="Heliopause",POWER(Upgrades!$U$7,F397),1)*IF(Upgrades!$T$8="Heliopause",POWER(Upgrades!$U$8,G397),1)*IF(Upgrades!$T$9="Heliopause",POWER(Upgrades!$U$9,H397),1)*IF(Upgrades!$T$10="Heliopause",POWER(Upgrades!$U$10,I397),1)*IF(Upgrades!$T$12="Heliopause",POWER(Upgrades!$U$12,K397),1))+(IF(K397=0,0,(Upgrades!$J$12+K397*Upgrades!$K$12)*POWER(Upgrades!$L$12,K397)))*(IF(Upgrades!$T$6="First Photons",POWER(Upgrades!$U$6,E397),1)*IF(Upgrades!$T$7="First Photons",POWER(Upgrades!$U$7,F397),1)*IF(Upgrades!$T$8="First Photons",POWER(Upgrades!$U$8,G397),1)*IF(Upgrades!$T$9="First Photons",POWER(Upgrades!$U$9,H397),1)*IF(Upgrades!$T$10="First Photons",POWER(Upgrades!$U$10,I397),1)*IF(Upgrades!$T$11="First Photons",POWER(Upgrades!$U$11,J397),1)))*POWER(Upgrades!$Q$6,E397)*POWER(Upgrades!$Q$7,F397)*POWER(Upgrades!$Q$8,G397)*POWER(Upgrades!$Q$9,H397)*POWER(Upgrades!$Q$10,I397)*POWER(Upgrades!$Q$11,J397)*POWER(Upgrades!$Q$12,K397)</f>
        <v/>
      </c>
      <c r="N397" s="28">
        <f>((IF(E397=0,0,(Upgrades!$G$6+E397*Upgrades!$H$6)*POWER(Upgrades!$I$6,E397)))*(IF(Upgrades!$T$7="Solar Wind",POWER(Upgrades!$U$7,F397),1)*IF(Upgrades!$T$8="Solar Wind",POWER(Upgrades!$U$8,G397),1)*IF(Upgrades!$T$9="Solar Wind",POWER(Upgrades!$U$9,H397),1)*IF(Upgrades!$T$10="Solar Wind",POWER(Upgrades!$U$10,I397),1)*IF(Upgrades!$T$11="Solar Wind",POWER(Upgrades!$U$11,J397),1)*IF(Upgrades!$T$12="Solar Wind",POWER(Upgrades!$U$12,K397),1))+(IF(F397=0,0,(Upgrades!$G$7+F397*Upgrades!$H$7)*POWER(Upgrades!$I$7,F397)))*(IF(Upgrades!$T$6="Asteroid Belt",POWER(Upgrades!$U$6,E397),1)*IF(Upgrades!$T$8="Asteroid Belt",POWER(Upgrades!$U$8,G397),1)*IF(Upgrades!$T$9="Asteroid Belt",POWER(Upgrades!$U$9,H397),1)*IF(Upgrades!$T$10="Asteroid Belt",POWER(Upgrades!$U$10,I397),1)*IF(Upgrades!$T$11="Asteroid Belt",POWER(Upgrades!$U$11,J397),1)*IF(Upgrades!$T$12="Asteroid Belt",POWER(Upgrades!$U$12,K397),1))+(IF(G397=0,0,(Upgrades!$G$8+G397*Upgrades!$H$8)*POWER(Upgrades!$I$8,G397)))*(IF(Upgrades!$T$6="Stellar Coupling",POWER(Upgrades!$U$6,E397),1)*IF(Upgrades!$T$7="Stellar Coupling",POWER(Upgrades!$U$7,F397),1)*IF(Upgrades!$T$9="Stellar Coupling",POWER(Upgrades!$U$9,H397),1)*IF(Upgrades!$T$10="Stellar Coupling",POWER(Upgrades!$U$10,I397),1)*IF(Upgrades!$T$11="Stellar Coupling",POWER(Upgrades!$U$11,J397),1)*IF(Upgrades!$T$12="Stellar Coupling",POWER(Upgrades!$U$12,K397),1))+(IF(H397=0,0,(Upgrades!$G$9+H397*Upgrades!$H$9)*POWER(Upgrades!$I$9,H397)))*(IF(Upgrades!$T$6="Magnetosphere",POWER(Upgrades!$U$6,E397),1)*IF(Upgrades!$T$7="Magnetosphere",POWER(Upgrades!$U$7,F397),1)*IF(Upgrades!$T$8="Magnetosphere",POWER(Upgrades!$U$8,G397),1)*IF(Upgrades!$T$10="Magnetosphere",POWER(Upgrades!$U$10,I397),1)*IF(Upgrades!$T$11="Magnetosphere",POWER(Upgrades!$U$11,J397),1)*IF(Upgrades!$T$12="Magnetosphere",POWER(Upgrades!$U$12,K397),1))+(IF(I397=0,0,(Upgrades!$G$10+I397*Upgrades!$H$10)*POWER(Upgrades!$I$10,I397)))*(IF(Upgrades!$T$6="Orbital Resonance",POWER(Upgrades!$U$6,E397),1)*IF(Upgrades!$T$7="Orbital Resonance",POWER(Upgrades!$U$7,F397),1)*IF(Upgrades!$T$8="Orbital Resonance",POWER(Upgrades!$U$8,G397),1)*IF(Upgrades!$T$9="Orbital Resonance",POWER(Upgrades!$U$9,H397),1)*IF(Upgrades!$T$11="Orbital Resonance",POWER(Upgrades!$U$11,J397),1)*IF(Upgrades!$T$12="Orbital Resonance",POWER(Upgrades!$U$12,K397),1))+(IF(J397=0,0,(Upgrades!$G$11+J397*Upgrades!$H$11)*POWER(Upgrades!$I$11,J397)))*(IF(Upgrades!$T$6="Heliopause",POWER(Upgrades!$U$6,E397),1)*IF(Upgrades!$T$7="Heliopause",POWER(Upgrades!$U$7,F397),1)*IF(Upgrades!$T$8="Heliopause",POWER(Upgrades!$U$8,G397),1)*IF(Upgrades!$T$9="Heliopause",POWER(Upgrades!$U$9,H397),1)*IF(Upgrades!$T$10="Heliopause",POWER(Upgrades!$U$10,I397),1)*IF(Upgrades!$T$12="Heliopause",POWER(Upgrades!$U$12,K397),1))+(IF(K397=0,0,(Upgrades!$G$12+K397*Upgrades!$H$12)*POWER(Upgrades!$I$12,K397)))*(IF(Upgrades!$T$6="First Photons",POWER(Upgrades!$U$6,E397),1)*IF(Upgrades!$T$7="First Photons",POWER(Upgrades!$U$7,F397),1)*IF(Upgrades!$T$8="First Photons",POWER(Upgrades!$U$8,G397),1)*IF(Upgrades!$T$9="First Photons",POWER(Upgrades!$U$9,H397),1)*IF(Upgrades!$T$10="First Photons",POWER(Upgrades!$U$10,I397),1)*IF(Upgrades!$T$11="First Photons",POWER(Upgrades!$U$11,J397),1)))*POWER(Upgrades!$P$6,E397)*POWER(Upgrades!$P$7,F397)*POWER(Upgrades!$P$8,G397)*POWER(Upgrades!$P$9,H397)*POWER(Upgrades!$P$10,I397)*POWER(Upgrades!$P$11,J397)*POWER(Upgrades!$P$12,K397)</f>
        <v/>
      </c>
      <c r="O397" s="28">
        <f>((IF(E397=0,0,(Upgrades!$M$6+E397*Upgrades!$N$6)*POWER(Upgrades!$O$6,E397)))*(IF(Upgrades!$T$7="Solar Wind",POWER(Upgrades!$U$7,F397),1)*IF(Upgrades!$T$8="Solar Wind",POWER(Upgrades!$U$8,G397),1)*IF(Upgrades!$T$9="Solar Wind",POWER(Upgrades!$U$9,H397),1)*IF(Upgrades!$T$10="Solar Wind",POWER(Upgrades!$U$10,I397),1)*IF(Upgrades!$T$11="Solar Wind",POWER(Upgrades!$U$11,J397),1)*IF(Upgrades!$T$12="Solar Wind",POWER(Upgrades!$U$12,K397),1))+(IF(F397=0,0,(Upgrades!$M$7+F397*Upgrades!$N$7)*POWER(Upgrades!$O$7,F397)))*(IF(Upgrades!$T$6="Asteroid Belt",POWER(Upgrades!$U$6,E397),1)*IF(Upgrades!$T$8="Asteroid Belt",POWER(Upgrades!$U$8,G397),1)*IF(Upgrades!$T$9="Asteroid Belt",POWER(Upgrades!$U$9,H397),1)*IF(Upgrades!$T$10="Asteroid Belt",POWER(Upgrades!$U$10,I397),1)*IF(Upgrades!$T$11="Asteroid Belt",POWER(Upgrades!$U$11,J397),1)*IF(Upgrades!$T$12="Asteroid Belt",POWER(Upgrades!$U$12,K397),1))+(IF(G397=0,0,(Upgrades!$M$8+G397*Upgrades!$N$8)*POWER(Upgrades!$O$8,G397)))*(IF(Upgrades!$T$6="Stellar Coupling",POWER(Upgrades!$U$6,E397),1)*IF(Upgrades!$T$7="Stellar Coupling",POWER(Upgrades!$U$7,F397),1)*IF(Upgrades!$T$9="Stellar Coupling",POWER(Upgrades!$U$9,H397),1)*IF(Upgrades!$T$10="Stellar Coupling",POWER(Upgrades!$U$10,I397),1)*IF(Upgrades!$T$11="Stellar Coupling",POWER(Upgrades!$U$11,J397),1)*IF(Upgrades!$T$12="Stellar Coupling",POWER(Upgrades!$U$12,K397),1))+(IF(H397=0,0,(Upgrades!$M$9+H397*Upgrades!$N$9)*POWER(Upgrades!$O$9,H397)))*(IF(Upgrades!$T$6="Magnetosphere",POWER(Upgrades!$U$6,E397),1)*IF(Upgrades!$T$7="Magnetosphere",POWER(Upgrades!$U$7,F397),1)*IF(Upgrades!$T$8="Magnetosphere",POWER(Upgrades!$U$8,G397),1)*IF(Upgrades!$T$10="Magnetosphere",POWER(Upgrades!$U$10,I397),1)*IF(Upgrades!$T$11="Magnetosphere",POWER(Upgrades!$U$11,J397),1)*IF(Upgrades!$T$12="Magnetosphere",POWER(Upgrades!$U$12,K397),1))+(IF(I397=0,0,(Upgrades!$M$10+I397*Upgrades!$N$10)*POWER(Upgrades!$O$10,I397)))*(IF(Upgrades!$T$6="Orbital Resonance",POWER(Upgrades!$U$6,E397),1)*IF(Upgrades!$T$7="Orbital Resonance",POWER(Upgrades!$U$7,F397),1)*IF(Upgrades!$T$8="Orbital Resonance",POWER(Upgrades!$U$8,G397),1)*IF(Upgrades!$T$9="Orbital Resonance",POWER(Upgrades!$U$9,H397),1)*IF(Upgrades!$T$11="Orbital Resonance",POWER(Upgrades!$U$11,J397),1)*IF(Upgrades!$T$12="Orbital Resonance",POWER(Upgrades!$U$12,K397),1))+(IF(J397=0,0,(Upgrades!$M$11+J397*Upgrades!$N$11)*POWER(Upgrades!$O$11,J397)))*(IF(Upgrades!$T$6="Heliopause",POWER(Upgrades!$U$6,E397),1)*IF(Upgrades!$T$7="Heliopause",POWER(Upgrades!$U$7,F397),1)*IF(Upgrades!$T$8="Heliopause",POWER(Upgrades!$U$8,G397),1)*IF(Upgrades!$T$9="Heliopause",POWER(Upgrades!$U$9,H397),1)*IF(Upgrades!$T$10="Heliopause",POWER(Upgrades!$U$10,I397),1)*IF(Upgrades!$T$12="Heliopause",POWER(Upgrades!$U$12,K397),1))+(IF(K397=0,0,(Upgrades!$M$12+K397*Upgrades!$N$12)*POWER(Upgrades!$O$12,K397)))*(IF(Upgrades!$T$6="First Photons",POWER(Upgrades!$U$6,E397),1)*IF(Upgrades!$T$7="First Photons",POWER(Upgrades!$U$7,F397),1)*IF(Upgrades!$T$8="First Photons",POWER(Upgrades!$U$8,G397),1)*IF(Upgrades!$T$9="First Photons",POWER(Upgrades!$U$9,H397),1)*IF(Upgrades!$T$10="First Photons",POWER(Upgrades!$U$10,I397),1)*IF(Upgrades!$T$11="First Photons",POWER(Upgrades!$U$11,J397),1)))*POWER(Upgrades!$R$6,E397)*POWER(Upgrades!$R$7,F397)*POWER(Upgrades!$R$8,G397)*POWER(Upgrades!$R$9,H397)*POWER(Upgrades!$R$10,I397)*POWER(Upgrades!$R$11,J397)*POWER(Upgrades!$R$12,K397)</f>
        <v/>
      </c>
      <c r="P397" s="27">
        <f>IF(L397=1,0,M397*Parameters!$B$10/60*Parameters!$B$11*10)</f>
        <v/>
      </c>
      <c r="Q397" s="27">
        <f>IF(L397=1,0,O397*M397*10)</f>
        <v/>
      </c>
      <c r="R397" s="27">
        <f>IF(L397=1,0,N397*10)</f>
        <v/>
      </c>
      <c r="S397" s="27">
        <f>P397+Q397+R397</f>
        <v/>
      </c>
      <c r="T397" s="22">
        <f>C397+S397</f>
        <v/>
      </c>
      <c r="U397" s="33">
        <f>AX397</f>
        <v/>
      </c>
      <c r="V397" s="22">
        <f>IF(U397="",0,IF(U397="transition",0,IF(U397="SW",AG397,IF(U397="AB",AH397,IF(U397="SC",AI397,IF(U397="Mag",AJ397,IF(U397="OR",AK397,IF(U397="HP",AL397,IF(U397="FP",AM397,0)))))))))</f>
        <v/>
      </c>
      <c r="W397" s="27">
        <f>IF(U397="OR",Upgrades!$F$10,IF(U397="HP",Upgrades!$F$11,IF(U397="transition",-Parameters!$B$18,0)))</f>
        <v/>
      </c>
      <c r="X397" s="22">
        <f>T397-V397</f>
        <v/>
      </c>
      <c r="Y397" s="30">
        <f>M397*Parameters!$B$10/60*Parameters!$B$11+O397*M397+N397</f>
        <v/>
      </c>
      <c r="Z397" s="34">
        <f>IF(U397="transition","→ Tier 2 (Stellar Neighborhood)",IF(U397="FP","First Photons — light begins, system quickens",IF(U397="HP","Heliopause acquired",IF(U397="OR","Orbital Resonance — passive multiplier active",IF(AND(AO397=1,L397=0,AN397&lt;&gt;1),"Cohesion ready (waiting on completionist upgrades)","")))))</f>
        <v/>
      </c>
      <c r="AA397" s="27">
        <f>(IF(E397=0,0,(Upgrades!$G$6+E397*Upgrades!$H$6)*POWER(Upgrades!$I$6,E397)))*(IF(Upgrades!$T$7="Solar Wind",POWER(Upgrades!$U$7,F397),1)*IF(Upgrades!$T$8="Solar Wind",POWER(Upgrades!$U$8,G397),1)*IF(Upgrades!$T$9="Solar Wind",POWER(Upgrades!$U$9,H397),1)*IF(Upgrades!$T$10="Solar Wind",POWER(Upgrades!$U$10,I397),1)*IF(Upgrades!$T$11="Solar Wind",POWER(Upgrades!$U$11,J397),1)*IF(Upgrades!$T$12="Solar Wind",POWER(Upgrades!$U$12,K397),1))*POWER(Upgrades!$P$6,E397)*POWER(Upgrades!$P$7,F397)*POWER(Upgrades!$P$8,G397)*POWER(Upgrades!$P$9,H397)*POWER(Upgrades!$P$10,I397)*POWER(Upgrades!$P$11,J397)*POWER(Upgrades!$P$12,K397)*60</f>
        <v/>
      </c>
      <c r="AB397" s="27">
        <f>(IF(F397=0,0,(Upgrades!$G$7+F397*Upgrades!$H$7)*POWER(Upgrades!$I$7,F397)))*(IF(Upgrades!$T$6="Asteroid Belt",POWER(Upgrades!$U$6,E397),1)*IF(Upgrades!$T$8="Asteroid Belt",POWER(Upgrades!$U$8,G397),1)*IF(Upgrades!$T$9="Asteroid Belt",POWER(Upgrades!$U$9,H397),1)*IF(Upgrades!$T$10="Asteroid Belt",POWER(Upgrades!$U$10,I397),1)*IF(Upgrades!$T$11="Asteroid Belt",POWER(Upgrades!$U$11,J397),1)*IF(Upgrades!$T$12="Asteroid Belt",POWER(Upgrades!$U$12,K397),1))*POWER(Upgrades!$P$6,E397)*POWER(Upgrades!$P$7,F397)*POWER(Upgrades!$P$8,G397)*POWER(Upgrades!$P$9,H397)*POWER(Upgrades!$P$10,I397)*POWER(Upgrades!$P$11,J397)*POWER(Upgrades!$P$12,K397)*60</f>
        <v/>
      </c>
      <c r="AC397" s="27">
        <f>(IF(G397=0,0,(Upgrades!$J$8+G397*Upgrades!$K$8)*POWER(Upgrades!$L$8,G397)))*(IF(Upgrades!$T$6="Stellar Coupling",POWER(Upgrades!$U$6,E397),1)*IF(Upgrades!$T$7="Stellar Coupling",POWER(Upgrades!$U$7,F397),1)*IF(Upgrades!$T$9="Stellar Coupling",POWER(Upgrades!$U$9,H397),1)*IF(Upgrades!$T$10="Stellar Coupling",POWER(Upgrades!$U$10,I397),1)*IF(Upgrades!$T$11="Stellar Coupling",POWER(Upgrades!$U$11,J397),1)*IF(Upgrades!$T$12="Stellar Coupling",POWER(Upgrades!$U$12,K397),1))*POWER(Upgrades!$Q$6,E397)*POWER(Upgrades!$Q$7,F397)*POWER(Upgrades!$Q$8,G397)*POWER(Upgrades!$Q$9,H397)*POWER(Upgrades!$Q$10,I397)*POWER(Upgrades!$Q$11,J397)*POWER(Upgrades!$Q$12,K397)*Parameters!$B$10*Parameters!$B$11</f>
        <v/>
      </c>
      <c r="AD397" s="27">
        <f>(IF(H397=0,0,(Upgrades!$G$9+H397*Upgrades!$H$9)*POWER(Upgrades!$I$9,H397)))*(IF(Upgrades!$T$6="Magnetosphere",POWER(Upgrades!$U$6,E397),1)*IF(Upgrades!$T$7="Magnetosphere",POWER(Upgrades!$U$7,F397),1)*IF(Upgrades!$T$8="Magnetosphere",POWER(Upgrades!$U$8,G397),1)*IF(Upgrades!$T$10="Magnetosphere",POWER(Upgrades!$U$10,I397),1)*IF(Upgrades!$T$11="Magnetosphere",POWER(Upgrades!$U$11,J397),1)*IF(Upgrades!$T$12="Magnetosphere",POWER(Upgrades!$U$12,K397),1))*POWER(Upgrades!$P$6,E397)*POWER(Upgrades!$P$7,F397)*POWER(Upgrades!$P$8,G397)*POWER(Upgrades!$P$9,H397)*POWER(Upgrades!$P$10,I397)*POWER(Upgrades!$P$11,J397)*POWER(Upgrades!$P$12,K397)*60</f>
        <v/>
      </c>
      <c r="AE397" s="27">
        <f>(IF(K397=0,0,(Upgrades!$G$12+K397*Upgrades!$H$12)*POWER(Upgrades!$I$12,K397)))*(IF(Upgrades!$T$6="First Photons",POWER(Upgrades!$U$6,E397),1)*IF(Upgrades!$T$7="First Photons",POWER(Upgrades!$U$7,F397),1)*IF(Upgrades!$T$8="First Photons",POWER(Upgrades!$U$8,G397),1)*IF(Upgrades!$T$9="First Photons",POWER(Upgrades!$U$9,H397),1)*IF(Upgrades!$T$10="First Photons",POWER(Upgrades!$U$10,I397),1)*IF(Upgrades!$T$11="First Photons",POWER(Upgrades!$U$11,J397),1))*POWER(Upgrades!$P$6,E397)*POWER(Upgrades!$P$7,F397)*POWER(Upgrades!$P$8,G397)*POWER(Upgrades!$P$9,H397)*POWER(Upgrades!$P$10,I397)*POWER(Upgrades!$P$11,J397)*POWER(Upgrades!$P$12,K397)*60</f>
        <v/>
      </c>
      <c r="AF397" s="27">
        <f>Parameters!$B$9*POWER(Upgrades!$Q$6,E397)*POWER(Upgrades!$Q$7,F397)*POWER(Upgrades!$Q$8,G397)*POWER(Upgrades!$Q$9,H397)*POWER(Upgrades!$Q$10,I397)*POWER(Upgrades!$Q$11,J397)*POWER(Upgrades!$Q$12,K397)*(Parameters!$B$10*Parameters!$B$11+O397*60)</f>
        <v/>
      </c>
      <c r="AG397" s="22">
        <f>IF(E397&gt;=Upgrades!$E$6,"",Upgrades!$C$6*POWER(Upgrades!$D$6,E397))</f>
        <v/>
      </c>
      <c r="AH397" s="22">
        <f>IF(F397&gt;=Upgrades!$E$7,"",Upgrades!$C$7*POWER(Upgrades!$D$7,F397))</f>
        <v/>
      </c>
      <c r="AI397" s="22">
        <f>IF(G397&gt;=Upgrades!$E$8,"",Upgrades!$C$8*POWER(Upgrades!$D$8,G397))</f>
        <v/>
      </c>
      <c r="AJ397" s="22">
        <f>IF(H397&gt;=Upgrades!$E$9,"",Upgrades!$C$9*POWER(Upgrades!$D$9,H397))</f>
        <v/>
      </c>
      <c r="AK397" s="22">
        <f>IF(I397&gt;=Upgrades!$E$10,"",Upgrades!$C$10*POWER(Upgrades!$D$10,I397))</f>
        <v/>
      </c>
      <c r="AL397" s="22">
        <f>IF(J397&gt;=Upgrades!$E$11,"",Upgrades!$C$11*POWER(Upgrades!$D$11,J397))</f>
        <v/>
      </c>
      <c r="AM397" s="22">
        <f>IF(K397&gt;=Upgrades!$E$12,"",Upgrades!$C$12*POWER(Upgrades!$D$12,K397))</f>
        <v/>
      </c>
      <c r="AN397" s="26">
        <f>IF(AND(D397&gt;=Parameters!$B$18,(H397&gt;=Upgrades!$E$9)*(K397&gt;=Upgrades!$E$12)=1,L397=0),1,"")</f>
        <v/>
      </c>
      <c r="AO397" s="26">
        <f>IF(AND(D397&gt;=Parameters!$B$18,L397=0),1,"")</f>
        <v/>
      </c>
      <c r="AP397" s="22">
        <f>MIN(IF(ISNUMBER(AK397),AK397,9E15),IF(ISNUMBER(AL397),AL397,9E15),IF(ISNUMBER(AM397),AM397,9E15))</f>
        <v/>
      </c>
      <c r="AQ397" s="22">
        <f>MIN(IF(ISNUMBER(AG397),AG397,9E15),IF(ISNUMBER(AH397),AH397,9E15),IF(ISNUMBER(AI397),AI397,9E15),IF(ISNUMBER(AJ397),AJ397,9E15))</f>
        <v/>
      </c>
      <c r="AR397" s="29">
        <f>IF(AW397&gt;Parameters!$B$21*(MAX(IF(AND(NOT(AND(AO397=1,AN397&lt;&gt;1)),ISNUMBER(AG397),AG397&lt;=T397),AS397,0),IF(AND(NOT(AND(AO397=1,AN397&lt;&gt;1)),ISNUMBER(AH397),AH397&lt;=T397),AT397,0),IF(AND(NOT(AND(AO397=1,AN397&lt;&gt;1)),ISNUMBER(AI397),AI397&lt;=T397),AU397,0),IF(AND(ISNUMBER(AJ397),AJ397&lt;=T397),AV397,0))),TRUE,FALSE)</f>
        <v/>
      </c>
      <c r="AS397" s="32">
        <f>IFERROR(Upgrades!$H$6*(POWER(Upgrades!$P$6,E397)*POWER(Upgrades!$P$7,F397)*POWER(Upgrades!$P$8,G397)*POWER(Upgrades!$P$9,H397)*POWER(Upgrades!$P$10,I397)*POWER(Upgrades!$P$11,J397)*POWER(Upgrades!$P$12,K397))*(IF(Upgrades!$T$7="Solar Wind",POWER(Upgrades!$U$7,F397),1)*IF(Upgrades!$T$8="Solar Wind",POWER(Upgrades!$U$8,G397),1)*IF(Upgrades!$T$9="Solar Wind",POWER(Upgrades!$U$9,H397),1)*IF(Upgrades!$T$10="Solar Wind",POWER(Upgrades!$U$10,I397),1)*IF(Upgrades!$T$11="Solar Wind",POWER(Upgrades!$U$11,J397),1)*IF(Upgrades!$T$12="Solar Wind",POWER(Upgrades!$U$12,K397),1))/AG397,0)</f>
        <v/>
      </c>
      <c r="AT397" s="32">
        <f>IFERROR(Upgrades!$H$7*(POWER(Upgrades!$P$6,E397)*POWER(Upgrades!$P$7,F397)*POWER(Upgrades!$P$8,G397)*POWER(Upgrades!$P$9,H397)*POWER(Upgrades!$P$10,I397)*POWER(Upgrades!$P$11,J397)*POWER(Upgrades!$P$12,K397))*(IF(Upgrades!$T$6="Asteroid Belt",POWER(Upgrades!$U$6,E397),1)*IF(Upgrades!$T$8="Asteroid Belt",POWER(Upgrades!$U$8,G397),1)*IF(Upgrades!$T$9="Asteroid Belt",POWER(Upgrades!$U$9,H397),1)*IF(Upgrades!$T$10="Asteroid Belt",POWER(Upgrades!$U$10,I397),1)*IF(Upgrades!$T$11="Asteroid Belt",POWER(Upgrades!$U$11,J397),1)*IF(Upgrades!$T$12="Asteroid Belt",POWER(Upgrades!$U$12,K397),1))/AH397,0)</f>
        <v/>
      </c>
      <c r="AU397" s="32">
        <f>IFERROR(Upgrades!$K$8*(POWER(Upgrades!$Q$6,E397)*POWER(Upgrades!$Q$7,F397)*POWER(Upgrades!$Q$8,G397)*POWER(Upgrades!$Q$9,H397)*POWER(Upgrades!$Q$10,I397)*POWER(Upgrades!$Q$11,J397)*POWER(Upgrades!$Q$12,K397))*(IF(Upgrades!$T$6="Stellar Coupling",POWER(Upgrades!$U$6,E397),1)*IF(Upgrades!$T$7="Stellar Coupling",POWER(Upgrades!$U$7,F397),1)*IF(Upgrades!$T$9="Stellar Coupling",POWER(Upgrades!$U$9,H397),1)*IF(Upgrades!$T$10="Stellar Coupling",POWER(Upgrades!$U$10,I397),1)*IF(Upgrades!$T$11="Stellar Coupling",POWER(Upgrades!$U$11,J397),1)*IF(Upgrades!$T$12="Stellar Coupling",POWER(Upgrades!$U$12,K397),1))*Parameters!$B$10*Parameters!$B$11/60/AI397,0)</f>
        <v/>
      </c>
      <c r="AV397" s="32">
        <f>IFERROR(Upgrades!$H$9*(POWER(Upgrades!$P$6,E397)*POWER(Upgrades!$P$7,F397)*POWER(Upgrades!$P$8,G397)*POWER(Upgrades!$P$9,H397)*POWER(Upgrades!$P$10,I397)*POWER(Upgrades!$P$11,J397)*POWER(Upgrades!$P$12,K397))*(IF(Upgrades!$T$6="Magnetosphere",POWER(Upgrades!$U$6,E397),1)*IF(Upgrades!$T$7="Magnetosphere",POWER(Upgrades!$U$7,F397),1)*IF(Upgrades!$T$8="Magnetosphere",POWER(Upgrades!$U$8,G397),1)*IF(Upgrades!$T$10="Magnetosphere",POWER(Upgrades!$U$10,I397),1)*IF(Upgrades!$T$11="Magnetosphere",POWER(Upgrades!$U$11,J397),1)*IF(Upgrades!$T$12="Magnetosphere",POWER(Upgrades!$U$12,K397),1))/AJ397,0)</f>
        <v/>
      </c>
      <c r="AW397" s="32">
        <f>MAX(IF(I397&gt;0,0,IFERROR(0.25*N397/Upgrades!$C$10,0)),IF(J397&gt;0,0,IFERROR(0.5*((IF(G397=0,0,(Upgrades!$J$8+G397*Upgrades!$K$8)*POWER(Upgrades!$L$8,G397)))*(IF(Upgrades!$T$6="Stellar Coupling",POWER(Upgrades!$U$6,E397),1)*IF(Upgrades!$T$7="Stellar Coupling",POWER(Upgrades!$U$7,F397),1)*IF(Upgrades!$T$9="Stellar Coupling",POWER(Upgrades!$U$9,H397),1)*IF(Upgrades!$T$10="Stellar Coupling",POWER(Upgrades!$U$10,I397),1)*IF(Upgrades!$T$11="Stellar Coupling",POWER(Upgrades!$U$11,J397),1)*IF(Upgrades!$T$12="Stellar Coupling",POWER(Upgrades!$U$12,K397),1))*(POWER(Upgrades!$Q$6,E397)*POWER(Upgrades!$Q$7,F397)*POWER(Upgrades!$Q$8,G397)*POWER(Upgrades!$Q$9,H397)*POWER(Upgrades!$Q$10,I397)*POWER(Upgrades!$Q$11,J397)*POWER(Upgrades!$Q$12,K397))*Parameters!$B$10*Parameters!$B$11/60)/Upgrades!$C$11,0)),IF(K397&gt;0,0,IFERROR((1.0*(POWER(Upgrades!$P$6,E397)*POWER(Upgrades!$P$7,F397)*POWER(Upgrades!$P$8,G397)*POWER(Upgrades!$P$9,H397)*POWER(Upgrades!$P$10,I397)*POWER(Upgrades!$P$11,J397)*POWER(Upgrades!$P$12,K397))+0.20*M397*Parameters!$B$10*Parameters!$B$11/60)/Upgrades!$C$12,0)),IF(AND(ISNUMBER(AG397),AG397&gt;T397),AS397,0),IF(AND(ISNUMBER(AH397),AH397&gt;T397),AT397,0),IF(AND(ISNUMBER(AI397),AI397&gt;T397),AU397,0),IF(AND(ISNUMBER(AJ397),AJ397&gt;T397),AV397,0))</f>
        <v/>
      </c>
      <c r="AX397" s="29">
        <f>IF(AN397=1,"transition",IF(MIN(IF(AND(I397=0,ISNUMBER(AK397),AK397&lt;=T397),AK397,9E15),IF(AND(J397=0,ISNUMBER(AL397),AL397&lt;=T397),AL397,9E15),IF(AND(K397=0,ISNUMBER(AM397),AM397&lt;=T397),AM397,9E15))&lt;9E15,IF(AND(AND(I397=0,ISNUMBER(AK397),AK397&lt;=T397),AK397=MIN(IF(AND(I397=0,ISNUMBER(AK397),AK397&lt;=T397),AK397,9E15),IF(AND(J397=0,ISNUMBER(AL397),AL397&lt;=T397),AL397,9E15),IF(AND(K397=0,ISNUMBER(AM397),AM397&lt;=T397),AM397,9E15))),"OR",IF(AND(AND(J397=0,ISNUMBER(AL397),AL397&lt;=T397),AL397=MIN(IF(AND(I397=0,ISNUMBER(AK397),AK397&lt;=T397),AK397,9E15),IF(AND(J397=0,ISNUMBER(AL397),AL397&lt;=T397),AL397,9E15),IF(AND(K397=0,ISNUMBER(AM397),AM397&lt;=T397),AM397,9E15))),"HP","FP")),IF(AR397=TRUE,"",IF(MAX(IF(AND(NOT(AND(AO397=1,AN397&lt;&gt;1)),ISNUMBER(AG397),AG397&lt;=T397),AS397,0),IF(AND(NOT(AND(AO397=1,AN397&lt;&gt;1)),ISNUMBER(AH397),AH397&lt;=T397),AT397,0),IF(AND(NOT(AND(AO397=1,AN397&lt;&gt;1)),ISNUMBER(AI397),AI397&lt;=T397),AU397,0),IF(AND(ISNUMBER(AJ397),AJ397&lt;=T397),AV397,0))&lt;=0,"",IF(AND(IF(AND(NOT(AND(AO397=1,AN397&lt;&gt;1)),ISNUMBER(AG397),AG397&lt;=T397),AS397,0)&gt;0,IF(AND(NOT(AND(AO397=1,AN397&lt;&gt;1)),ISNUMBER(AG397),AG397&lt;=T397),AS397,0)=MAX(IF(AND(NOT(AND(AO397=1,AN397&lt;&gt;1)),ISNUMBER(AG397),AG397&lt;=T397),AS397,0),IF(AND(NOT(AND(AO397=1,AN397&lt;&gt;1)),ISNUMBER(AH397),AH397&lt;=T397),AT397,0),IF(AND(NOT(AND(AO397=1,AN397&lt;&gt;1)),ISNUMBER(AI397),AI397&lt;=T397),AU397,0),IF(AND(ISNUMBER(AJ397),AJ397&lt;=T397),AV397,0))),"SW",IF(AND(IF(AND(NOT(AND(AO397=1,AN397&lt;&gt;1)),ISNUMBER(AH397),AH397&lt;=T397),AT397,0)&gt;0,IF(AND(NOT(AND(AO397=1,AN397&lt;&gt;1)),ISNUMBER(AH397),AH397&lt;=T397),AT397,0)=MAX(IF(AND(NOT(AND(AO397=1,AN397&lt;&gt;1)),ISNUMBER(AG397),AG397&lt;=T397),AS397,0),IF(AND(NOT(AND(AO397=1,AN397&lt;&gt;1)),ISNUMBER(AH397),AH397&lt;=T397),AT397,0),IF(AND(NOT(AND(AO397=1,AN397&lt;&gt;1)),ISNUMBER(AI397),AI397&lt;=T397),AU397,0),IF(AND(ISNUMBER(AJ397),AJ397&lt;=T397),AV397,0))),"AB",IF(AND(IF(AND(NOT(AND(AO397=1,AN397&lt;&gt;1)),ISNUMBER(AI397),AI397&lt;=T397),AU397,0)&gt;0,IF(AND(NOT(AND(AO397=1,AN397&lt;&gt;1)),ISNUMBER(AI397),AI397&lt;=T397),AU397,0)=MAX(IF(AND(NOT(AND(AO397=1,AN397&lt;&gt;1)),ISNUMBER(AG397),AG397&lt;=T397),AS397,0),IF(AND(NOT(AND(AO397=1,AN397&lt;&gt;1)),ISNUMBER(AH397),AH397&lt;=T397),AT397,0),IF(AND(NOT(AND(AO397=1,AN397&lt;&gt;1)),ISNUMBER(AI397),AI397&lt;=T397),AU397,0),IF(AND(ISNUMBER(AJ397),AJ397&lt;=T397),AV397,0))),"SC","Mag")))))))</f>
        <v/>
      </c>
    </row>
    <row r="398">
      <c r="A398" s="26" t="n">
        <v>393</v>
      </c>
      <c r="B398" s="27">
        <f>A398*10/60</f>
        <v/>
      </c>
      <c r="C398" s="22">
        <f>X397</f>
        <v/>
      </c>
      <c r="D398" s="27">
        <f>D397+W397</f>
        <v/>
      </c>
      <c r="E398" s="26">
        <f>E397+IF(U397="SW",1,0)</f>
        <v/>
      </c>
      <c r="F398" s="26">
        <f>F397+IF(U397="AB",1,0)</f>
        <v/>
      </c>
      <c r="G398" s="26">
        <f>G397+IF(U397="SC",1,0)</f>
        <v/>
      </c>
      <c r="H398" s="26">
        <f>H397+IF(U397="Mag",1,0)</f>
        <v/>
      </c>
      <c r="I398" s="26">
        <f>MAX(I397,IF(U397="OR",1,0))</f>
        <v/>
      </c>
      <c r="J398" s="26">
        <f>MAX(J397,IF(U397="HP",1,0))</f>
        <v/>
      </c>
      <c r="K398" s="26">
        <f>MAX(K397,IF(U397="FP",1,0))</f>
        <v/>
      </c>
      <c r="L398" s="26">
        <f>MAX(L397,IF(U397="transition",1,0))</f>
        <v/>
      </c>
      <c r="M398" s="28">
        <f>(Parameters!$B$9+(IF(E398=0,0,(Upgrades!$J$6+E398*Upgrades!$K$6)*POWER(Upgrades!$L$6,E398)))*(IF(Upgrades!$T$7="Solar Wind",POWER(Upgrades!$U$7,F398),1)*IF(Upgrades!$T$8="Solar Wind",POWER(Upgrades!$U$8,G398),1)*IF(Upgrades!$T$9="Solar Wind",POWER(Upgrades!$U$9,H398),1)*IF(Upgrades!$T$10="Solar Wind",POWER(Upgrades!$U$10,I398),1)*IF(Upgrades!$T$11="Solar Wind",POWER(Upgrades!$U$11,J398),1)*IF(Upgrades!$T$12="Solar Wind",POWER(Upgrades!$U$12,K398),1))+(IF(F398=0,0,(Upgrades!$J$7+F398*Upgrades!$K$7)*POWER(Upgrades!$L$7,F398)))*(IF(Upgrades!$T$6="Asteroid Belt",POWER(Upgrades!$U$6,E398),1)*IF(Upgrades!$T$8="Asteroid Belt",POWER(Upgrades!$U$8,G398),1)*IF(Upgrades!$T$9="Asteroid Belt",POWER(Upgrades!$U$9,H398),1)*IF(Upgrades!$T$10="Asteroid Belt",POWER(Upgrades!$U$10,I398),1)*IF(Upgrades!$T$11="Asteroid Belt",POWER(Upgrades!$U$11,J398),1)*IF(Upgrades!$T$12="Asteroid Belt",POWER(Upgrades!$U$12,K398),1))+(IF(G398=0,0,(Upgrades!$J$8+G398*Upgrades!$K$8)*POWER(Upgrades!$L$8,G398)))*(IF(Upgrades!$T$6="Stellar Coupling",POWER(Upgrades!$U$6,E398),1)*IF(Upgrades!$T$7="Stellar Coupling",POWER(Upgrades!$U$7,F398),1)*IF(Upgrades!$T$9="Stellar Coupling",POWER(Upgrades!$U$9,H398),1)*IF(Upgrades!$T$10="Stellar Coupling",POWER(Upgrades!$U$10,I398),1)*IF(Upgrades!$T$11="Stellar Coupling",POWER(Upgrades!$U$11,J398),1)*IF(Upgrades!$T$12="Stellar Coupling",POWER(Upgrades!$U$12,K398),1))+(IF(H398=0,0,(Upgrades!$J$9+H398*Upgrades!$K$9)*POWER(Upgrades!$L$9,H398)))*(IF(Upgrades!$T$6="Magnetosphere",POWER(Upgrades!$U$6,E398),1)*IF(Upgrades!$T$7="Magnetosphere",POWER(Upgrades!$U$7,F398),1)*IF(Upgrades!$T$8="Magnetosphere",POWER(Upgrades!$U$8,G398),1)*IF(Upgrades!$T$10="Magnetosphere",POWER(Upgrades!$U$10,I398),1)*IF(Upgrades!$T$11="Magnetosphere",POWER(Upgrades!$U$11,J398),1)*IF(Upgrades!$T$12="Magnetosphere",POWER(Upgrades!$U$12,K398),1))+(IF(I398=0,0,(Upgrades!$J$10+I398*Upgrades!$K$10)*POWER(Upgrades!$L$10,I398)))*(IF(Upgrades!$T$6="Orbital Resonance",POWER(Upgrades!$U$6,E398),1)*IF(Upgrades!$T$7="Orbital Resonance",POWER(Upgrades!$U$7,F398),1)*IF(Upgrades!$T$8="Orbital Resonance",POWER(Upgrades!$U$8,G398),1)*IF(Upgrades!$T$9="Orbital Resonance",POWER(Upgrades!$U$9,H398),1)*IF(Upgrades!$T$11="Orbital Resonance",POWER(Upgrades!$U$11,J398),1)*IF(Upgrades!$T$12="Orbital Resonance",POWER(Upgrades!$U$12,K398),1))+(IF(J398=0,0,(Upgrades!$J$11+J398*Upgrades!$K$11)*POWER(Upgrades!$L$11,J398)))*(IF(Upgrades!$T$6="Heliopause",POWER(Upgrades!$U$6,E398),1)*IF(Upgrades!$T$7="Heliopause",POWER(Upgrades!$U$7,F398),1)*IF(Upgrades!$T$8="Heliopause",POWER(Upgrades!$U$8,G398),1)*IF(Upgrades!$T$9="Heliopause",POWER(Upgrades!$U$9,H398),1)*IF(Upgrades!$T$10="Heliopause",POWER(Upgrades!$U$10,I398),1)*IF(Upgrades!$T$12="Heliopause",POWER(Upgrades!$U$12,K398),1))+(IF(K398=0,0,(Upgrades!$J$12+K398*Upgrades!$K$12)*POWER(Upgrades!$L$12,K398)))*(IF(Upgrades!$T$6="First Photons",POWER(Upgrades!$U$6,E398),1)*IF(Upgrades!$T$7="First Photons",POWER(Upgrades!$U$7,F398),1)*IF(Upgrades!$T$8="First Photons",POWER(Upgrades!$U$8,G398),1)*IF(Upgrades!$T$9="First Photons",POWER(Upgrades!$U$9,H398),1)*IF(Upgrades!$T$10="First Photons",POWER(Upgrades!$U$10,I398),1)*IF(Upgrades!$T$11="First Photons",POWER(Upgrades!$U$11,J398),1)))*POWER(Upgrades!$Q$6,E398)*POWER(Upgrades!$Q$7,F398)*POWER(Upgrades!$Q$8,G398)*POWER(Upgrades!$Q$9,H398)*POWER(Upgrades!$Q$10,I398)*POWER(Upgrades!$Q$11,J398)*POWER(Upgrades!$Q$12,K398)</f>
        <v/>
      </c>
      <c r="N398" s="28">
        <f>((IF(E398=0,0,(Upgrades!$G$6+E398*Upgrades!$H$6)*POWER(Upgrades!$I$6,E398)))*(IF(Upgrades!$T$7="Solar Wind",POWER(Upgrades!$U$7,F398),1)*IF(Upgrades!$T$8="Solar Wind",POWER(Upgrades!$U$8,G398),1)*IF(Upgrades!$T$9="Solar Wind",POWER(Upgrades!$U$9,H398),1)*IF(Upgrades!$T$10="Solar Wind",POWER(Upgrades!$U$10,I398),1)*IF(Upgrades!$T$11="Solar Wind",POWER(Upgrades!$U$11,J398),1)*IF(Upgrades!$T$12="Solar Wind",POWER(Upgrades!$U$12,K398),1))+(IF(F398=0,0,(Upgrades!$G$7+F398*Upgrades!$H$7)*POWER(Upgrades!$I$7,F398)))*(IF(Upgrades!$T$6="Asteroid Belt",POWER(Upgrades!$U$6,E398),1)*IF(Upgrades!$T$8="Asteroid Belt",POWER(Upgrades!$U$8,G398),1)*IF(Upgrades!$T$9="Asteroid Belt",POWER(Upgrades!$U$9,H398),1)*IF(Upgrades!$T$10="Asteroid Belt",POWER(Upgrades!$U$10,I398),1)*IF(Upgrades!$T$11="Asteroid Belt",POWER(Upgrades!$U$11,J398),1)*IF(Upgrades!$T$12="Asteroid Belt",POWER(Upgrades!$U$12,K398),1))+(IF(G398=0,0,(Upgrades!$G$8+G398*Upgrades!$H$8)*POWER(Upgrades!$I$8,G398)))*(IF(Upgrades!$T$6="Stellar Coupling",POWER(Upgrades!$U$6,E398),1)*IF(Upgrades!$T$7="Stellar Coupling",POWER(Upgrades!$U$7,F398),1)*IF(Upgrades!$T$9="Stellar Coupling",POWER(Upgrades!$U$9,H398),1)*IF(Upgrades!$T$10="Stellar Coupling",POWER(Upgrades!$U$10,I398),1)*IF(Upgrades!$T$11="Stellar Coupling",POWER(Upgrades!$U$11,J398),1)*IF(Upgrades!$T$12="Stellar Coupling",POWER(Upgrades!$U$12,K398),1))+(IF(H398=0,0,(Upgrades!$G$9+H398*Upgrades!$H$9)*POWER(Upgrades!$I$9,H398)))*(IF(Upgrades!$T$6="Magnetosphere",POWER(Upgrades!$U$6,E398),1)*IF(Upgrades!$T$7="Magnetosphere",POWER(Upgrades!$U$7,F398),1)*IF(Upgrades!$T$8="Magnetosphere",POWER(Upgrades!$U$8,G398),1)*IF(Upgrades!$T$10="Magnetosphere",POWER(Upgrades!$U$10,I398),1)*IF(Upgrades!$T$11="Magnetosphere",POWER(Upgrades!$U$11,J398),1)*IF(Upgrades!$T$12="Magnetosphere",POWER(Upgrades!$U$12,K398),1))+(IF(I398=0,0,(Upgrades!$G$10+I398*Upgrades!$H$10)*POWER(Upgrades!$I$10,I398)))*(IF(Upgrades!$T$6="Orbital Resonance",POWER(Upgrades!$U$6,E398),1)*IF(Upgrades!$T$7="Orbital Resonance",POWER(Upgrades!$U$7,F398),1)*IF(Upgrades!$T$8="Orbital Resonance",POWER(Upgrades!$U$8,G398),1)*IF(Upgrades!$T$9="Orbital Resonance",POWER(Upgrades!$U$9,H398),1)*IF(Upgrades!$T$11="Orbital Resonance",POWER(Upgrades!$U$11,J398),1)*IF(Upgrades!$T$12="Orbital Resonance",POWER(Upgrades!$U$12,K398),1))+(IF(J398=0,0,(Upgrades!$G$11+J398*Upgrades!$H$11)*POWER(Upgrades!$I$11,J398)))*(IF(Upgrades!$T$6="Heliopause",POWER(Upgrades!$U$6,E398),1)*IF(Upgrades!$T$7="Heliopause",POWER(Upgrades!$U$7,F398),1)*IF(Upgrades!$T$8="Heliopause",POWER(Upgrades!$U$8,G398),1)*IF(Upgrades!$T$9="Heliopause",POWER(Upgrades!$U$9,H398),1)*IF(Upgrades!$T$10="Heliopause",POWER(Upgrades!$U$10,I398),1)*IF(Upgrades!$T$12="Heliopause",POWER(Upgrades!$U$12,K398),1))+(IF(K398=0,0,(Upgrades!$G$12+K398*Upgrades!$H$12)*POWER(Upgrades!$I$12,K398)))*(IF(Upgrades!$T$6="First Photons",POWER(Upgrades!$U$6,E398),1)*IF(Upgrades!$T$7="First Photons",POWER(Upgrades!$U$7,F398),1)*IF(Upgrades!$T$8="First Photons",POWER(Upgrades!$U$8,G398),1)*IF(Upgrades!$T$9="First Photons",POWER(Upgrades!$U$9,H398),1)*IF(Upgrades!$T$10="First Photons",POWER(Upgrades!$U$10,I398),1)*IF(Upgrades!$T$11="First Photons",POWER(Upgrades!$U$11,J398),1)))*POWER(Upgrades!$P$6,E398)*POWER(Upgrades!$P$7,F398)*POWER(Upgrades!$P$8,G398)*POWER(Upgrades!$P$9,H398)*POWER(Upgrades!$P$10,I398)*POWER(Upgrades!$P$11,J398)*POWER(Upgrades!$P$12,K398)</f>
        <v/>
      </c>
      <c r="O398" s="28">
        <f>((IF(E398=0,0,(Upgrades!$M$6+E398*Upgrades!$N$6)*POWER(Upgrades!$O$6,E398)))*(IF(Upgrades!$T$7="Solar Wind",POWER(Upgrades!$U$7,F398),1)*IF(Upgrades!$T$8="Solar Wind",POWER(Upgrades!$U$8,G398),1)*IF(Upgrades!$T$9="Solar Wind",POWER(Upgrades!$U$9,H398),1)*IF(Upgrades!$T$10="Solar Wind",POWER(Upgrades!$U$10,I398),1)*IF(Upgrades!$T$11="Solar Wind",POWER(Upgrades!$U$11,J398),1)*IF(Upgrades!$T$12="Solar Wind",POWER(Upgrades!$U$12,K398),1))+(IF(F398=0,0,(Upgrades!$M$7+F398*Upgrades!$N$7)*POWER(Upgrades!$O$7,F398)))*(IF(Upgrades!$T$6="Asteroid Belt",POWER(Upgrades!$U$6,E398),1)*IF(Upgrades!$T$8="Asteroid Belt",POWER(Upgrades!$U$8,G398),1)*IF(Upgrades!$T$9="Asteroid Belt",POWER(Upgrades!$U$9,H398),1)*IF(Upgrades!$T$10="Asteroid Belt",POWER(Upgrades!$U$10,I398),1)*IF(Upgrades!$T$11="Asteroid Belt",POWER(Upgrades!$U$11,J398),1)*IF(Upgrades!$T$12="Asteroid Belt",POWER(Upgrades!$U$12,K398),1))+(IF(G398=0,0,(Upgrades!$M$8+G398*Upgrades!$N$8)*POWER(Upgrades!$O$8,G398)))*(IF(Upgrades!$T$6="Stellar Coupling",POWER(Upgrades!$U$6,E398),1)*IF(Upgrades!$T$7="Stellar Coupling",POWER(Upgrades!$U$7,F398),1)*IF(Upgrades!$T$9="Stellar Coupling",POWER(Upgrades!$U$9,H398),1)*IF(Upgrades!$T$10="Stellar Coupling",POWER(Upgrades!$U$10,I398),1)*IF(Upgrades!$T$11="Stellar Coupling",POWER(Upgrades!$U$11,J398),1)*IF(Upgrades!$T$12="Stellar Coupling",POWER(Upgrades!$U$12,K398),1))+(IF(H398=0,0,(Upgrades!$M$9+H398*Upgrades!$N$9)*POWER(Upgrades!$O$9,H398)))*(IF(Upgrades!$T$6="Magnetosphere",POWER(Upgrades!$U$6,E398),1)*IF(Upgrades!$T$7="Magnetosphere",POWER(Upgrades!$U$7,F398),1)*IF(Upgrades!$T$8="Magnetosphere",POWER(Upgrades!$U$8,G398),1)*IF(Upgrades!$T$10="Magnetosphere",POWER(Upgrades!$U$10,I398),1)*IF(Upgrades!$T$11="Magnetosphere",POWER(Upgrades!$U$11,J398),1)*IF(Upgrades!$T$12="Magnetosphere",POWER(Upgrades!$U$12,K398),1))+(IF(I398=0,0,(Upgrades!$M$10+I398*Upgrades!$N$10)*POWER(Upgrades!$O$10,I398)))*(IF(Upgrades!$T$6="Orbital Resonance",POWER(Upgrades!$U$6,E398),1)*IF(Upgrades!$T$7="Orbital Resonance",POWER(Upgrades!$U$7,F398),1)*IF(Upgrades!$T$8="Orbital Resonance",POWER(Upgrades!$U$8,G398),1)*IF(Upgrades!$T$9="Orbital Resonance",POWER(Upgrades!$U$9,H398),1)*IF(Upgrades!$T$11="Orbital Resonance",POWER(Upgrades!$U$11,J398),1)*IF(Upgrades!$T$12="Orbital Resonance",POWER(Upgrades!$U$12,K398),1))+(IF(J398=0,0,(Upgrades!$M$11+J398*Upgrades!$N$11)*POWER(Upgrades!$O$11,J398)))*(IF(Upgrades!$T$6="Heliopause",POWER(Upgrades!$U$6,E398),1)*IF(Upgrades!$T$7="Heliopause",POWER(Upgrades!$U$7,F398),1)*IF(Upgrades!$T$8="Heliopause",POWER(Upgrades!$U$8,G398),1)*IF(Upgrades!$T$9="Heliopause",POWER(Upgrades!$U$9,H398),1)*IF(Upgrades!$T$10="Heliopause",POWER(Upgrades!$U$10,I398),1)*IF(Upgrades!$T$12="Heliopause",POWER(Upgrades!$U$12,K398),1))+(IF(K398=0,0,(Upgrades!$M$12+K398*Upgrades!$N$12)*POWER(Upgrades!$O$12,K398)))*(IF(Upgrades!$T$6="First Photons",POWER(Upgrades!$U$6,E398),1)*IF(Upgrades!$T$7="First Photons",POWER(Upgrades!$U$7,F398),1)*IF(Upgrades!$T$8="First Photons",POWER(Upgrades!$U$8,G398),1)*IF(Upgrades!$T$9="First Photons",POWER(Upgrades!$U$9,H398),1)*IF(Upgrades!$T$10="First Photons",POWER(Upgrades!$U$10,I398),1)*IF(Upgrades!$T$11="First Photons",POWER(Upgrades!$U$11,J398),1)))*POWER(Upgrades!$R$6,E398)*POWER(Upgrades!$R$7,F398)*POWER(Upgrades!$R$8,G398)*POWER(Upgrades!$R$9,H398)*POWER(Upgrades!$R$10,I398)*POWER(Upgrades!$R$11,J398)*POWER(Upgrades!$R$12,K398)</f>
        <v/>
      </c>
      <c r="P398" s="27">
        <f>IF(L398=1,0,M398*Parameters!$B$10/60*Parameters!$B$11*10)</f>
        <v/>
      </c>
      <c r="Q398" s="27">
        <f>IF(L398=1,0,O398*M398*10)</f>
        <v/>
      </c>
      <c r="R398" s="27">
        <f>IF(L398=1,0,N398*10)</f>
        <v/>
      </c>
      <c r="S398" s="27">
        <f>P398+Q398+R398</f>
        <v/>
      </c>
      <c r="T398" s="22">
        <f>C398+S398</f>
        <v/>
      </c>
      <c r="U398" s="33">
        <f>AX398</f>
        <v/>
      </c>
      <c r="V398" s="22">
        <f>IF(U398="",0,IF(U398="transition",0,IF(U398="SW",AG398,IF(U398="AB",AH398,IF(U398="SC",AI398,IF(U398="Mag",AJ398,IF(U398="OR",AK398,IF(U398="HP",AL398,IF(U398="FP",AM398,0)))))))))</f>
        <v/>
      </c>
      <c r="W398" s="27">
        <f>IF(U398="OR",Upgrades!$F$10,IF(U398="HP",Upgrades!$F$11,IF(U398="transition",-Parameters!$B$18,0)))</f>
        <v/>
      </c>
      <c r="X398" s="22">
        <f>T398-V398</f>
        <v/>
      </c>
      <c r="Y398" s="30">
        <f>M398*Parameters!$B$10/60*Parameters!$B$11+O398*M398+N398</f>
        <v/>
      </c>
      <c r="Z398" s="34">
        <f>IF(U398="transition","→ Tier 2 (Stellar Neighborhood)",IF(U398="FP","First Photons — light begins, system quickens",IF(U398="HP","Heliopause acquired",IF(U398="OR","Orbital Resonance — passive multiplier active",IF(AND(AO398=1,L398=0,AN398&lt;&gt;1),"Cohesion ready (waiting on completionist upgrades)","")))))</f>
        <v/>
      </c>
      <c r="AA398" s="27">
        <f>(IF(E398=0,0,(Upgrades!$G$6+E398*Upgrades!$H$6)*POWER(Upgrades!$I$6,E398)))*(IF(Upgrades!$T$7="Solar Wind",POWER(Upgrades!$U$7,F398),1)*IF(Upgrades!$T$8="Solar Wind",POWER(Upgrades!$U$8,G398),1)*IF(Upgrades!$T$9="Solar Wind",POWER(Upgrades!$U$9,H398),1)*IF(Upgrades!$T$10="Solar Wind",POWER(Upgrades!$U$10,I398),1)*IF(Upgrades!$T$11="Solar Wind",POWER(Upgrades!$U$11,J398),1)*IF(Upgrades!$T$12="Solar Wind",POWER(Upgrades!$U$12,K398),1))*POWER(Upgrades!$P$6,E398)*POWER(Upgrades!$P$7,F398)*POWER(Upgrades!$P$8,G398)*POWER(Upgrades!$P$9,H398)*POWER(Upgrades!$P$10,I398)*POWER(Upgrades!$P$11,J398)*POWER(Upgrades!$P$12,K398)*60</f>
        <v/>
      </c>
      <c r="AB398" s="27">
        <f>(IF(F398=0,0,(Upgrades!$G$7+F398*Upgrades!$H$7)*POWER(Upgrades!$I$7,F398)))*(IF(Upgrades!$T$6="Asteroid Belt",POWER(Upgrades!$U$6,E398),1)*IF(Upgrades!$T$8="Asteroid Belt",POWER(Upgrades!$U$8,G398),1)*IF(Upgrades!$T$9="Asteroid Belt",POWER(Upgrades!$U$9,H398),1)*IF(Upgrades!$T$10="Asteroid Belt",POWER(Upgrades!$U$10,I398),1)*IF(Upgrades!$T$11="Asteroid Belt",POWER(Upgrades!$U$11,J398),1)*IF(Upgrades!$T$12="Asteroid Belt",POWER(Upgrades!$U$12,K398),1))*POWER(Upgrades!$P$6,E398)*POWER(Upgrades!$P$7,F398)*POWER(Upgrades!$P$8,G398)*POWER(Upgrades!$P$9,H398)*POWER(Upgrades!$P$10,I398)*POWER(Upgrades!$P$11,J398)*POWER(Upgrades!$P$12,K398)*60</f>
        <v/>
      </c>
      <c r="AC398" s="27">
        <f>(IF(G398=0,0,(Upgrades!$J$8+G398*Upgrades!$K$8)*POWER(Upgrades!$L$8,G398)))*(IF(Upgrades!$T$6="Stellar Coupling",POWER(Upgrades!$U$6,E398),1)*IF(Upgrades!$T$7="Stellar Coupling",POWER(Upgrades!$U$7,F398),1)*IF(Upgrades!$T$9="Stellar Coupling",POWER(Upgrades!$U$9,H398),1)*IF(Upgrades!$T$10="Stellar Coupling",POWER(Upgrades!$U$10,I398),1)*IF(Upgrades!$T$11="Stellar Coupling",POWER(Upgrades!$U$11,J398),1)*IF(Upgrades!$T$12="Stellar Coupling",POWER(Upgrades!$U$12,K398),1))*POWER(Upgrades!$Q$6,E398)*POWER(Upgrades!$Q$7,F398)*POWER(Upgrades!$Q$8,G398)*POWER(Upgrades!$Q$9,H398)*POWER(Upgrades!$Q$10,I398)*POWER(Upgrades!$Q$11,J398)*POWER(Upgrades!$Q$12,K398)*Parameters!$B$10*Parameters!$B$11</f>
        <v/>
      </c>
      <c r="AD398" s="27">
        <f>(IF(H398=0,0,(Upgrades!$G$9+H398*Upgrades!$H$9)*POWER(Upgrades!$I$9,H398)))*(IF(Upgrades!$T$6="Magnetosphere",POWER(Upgrades!$U$6,E398),1)*IF(Upgrades!$T$7="Magnetosphere",POWER(Upgrades!$U$7,F398),1)*IF(Upgrades!$T$8="Magnetosphere",POWER(Upgrades!$U$8,G398),1)*IF(Upgrades!$T$10="Magnetosphere",POWER(Upgrades!$U$10,I398),1)*IF(Upgrades!$T$11="Magnetosphere",POWER(Upgrades!$U$11,J398),1)*IF(Upgrades!$T$12="Magnetosphere",POWER(Upgrades!$U$12,K398),1))*POWER(Upgrades!$P$6,E398)*POWER(Upgrades!$P$7,F398)*POWER(Upgrades!$P$8,G398)*POWER(Upgrades!$P$9,H398)*POWER(Upgrades!$P$10,I398)*POWER(Upgrades!$P$11,J398)*POWER(Upgrades!$P$12,K398)*60</f>
        <v/>
      </c>
      <c r="AE398" s="27">
        <f>(IF(K398=0,0,(Upgrades!$G$12+K398*Upgrades!$H$12)*POWER(Upgrades!$I$12,K398)))*(IF(Upgrades!$T$6="First Photons",POWER(Upgrades!$U$6,E398),1)*IF(Upgrades!$T$7="First Photons",POWER(Upgrades!$U$7,F398),1)*IF(Upgrades!$T$8="First Photons",POWER(Upgrades!$U$8,G398),1)*IF(Upgrades!$T$9="First Photons",POWER(Upgrades!$U$9,H398),1)*IF(Upgrades!$T$10="First Photons",POWER(Upgrades!$U$10,I398),1)*IF(Upgrades!$T$11="First Photons",POWER(Upgrades!$U$11,J398),1))*POWER(Upgrades!$P$6,E398)*POWER(Upgrades!$P$7,F398)*POWER(Upgrades!$P$8,G398)*POWER(Upgrades!$P$9,H398)*POWER(Upgrades!$P$10,I398)*POWER(Upgrades!$P$11,J398)*POWER(Upgrades!$P$12,K398)*60</f>
        <v/>
      </c>
      <c r="AF398" s="27">
        <f>Parameters!$B$9*POWER(Upgrades!$Q$6,E398)*POWER(Upgrades!$Q$7,F398)*POWER(Upgrades!$Q$8,G398)*POWER(Upgrades!$Q$9,H398)*POWER(Upgrades!$Q$10,I398)*POWER(Upgrades!$Q$11,J398)*POWER(Upgrades!$Q$12,K398)*(Parameters!$B$10*Parameters!$B$11+O398*60)</f>
        <v/>
      </c>
      <c r="AG398" s="22">
        <f>IF(E398&gt;=Upgrades!$E$6,"",Upgrades!$C$6*POWER(Upgrades!$D$6,E398))</f>
        <v/>
      </c>
      <c r="AH398" s="22">
        <f>IF(F398&gt;=Upgrades!$E$7,"",Upgrades!$C$7*POWER(Upgrades!$D$7,F398))</f>
        <v/>
      </c>
      <c r="AI398" s="22">
        <f>IF(G398&gt;=Upgrades!$E$8,"",Upgrades!$C$8*POWER(Upgrades!$D$8,G398))</f>
        <v/>
      </c>
      <c r="AJ398" s="22">
        <f>IF(H398&gt;=Upgrades!$E$9,"",Upgrades!$C$9*POWER(Upgrades!$D$9,H398))</f>
        <v/>
      </c>
      <c r="AK398" s="22">
        <f>IF(I398&gt;=Upgrades!$E$10,"",Upgrades!$C$10*POWER(Upgrades!$D$10,I398))</f>
        <v/>
      </c>
      <c r="AL398" s="22">
        <f>IF(J398&gt;=Upgrades!$E$11,"",Upgrades!$C$11*POWER(Upgrades!$D$11,J398))</f>
        <v/>
      </c>
      <c r="AM398" s="22">
        <f>IF(K398&gt;=Upgrades!$E$12,"",Upgrades!$C$12*POWER(Upgrades!$D$12,K398))</f>
        <v/>
      </c>
      <c r="AN398" s="26">
        <f>IF(AND(D398&gt;=Parameters!$B$18,(H398&gt;=Upgrades!$E$9)*(K398&gt;=Upgrades!$E$12)=1,L398=0),1,"")</f>
        <v/>
      </c>
      <c r="AO398" s="26">
        <f>IF(AND(D398&gt;=Parameters!$B$18,L398=0),1,"")</f>
        <v/>
      </c>
      <c r="AP398" s="22">
        <f>MIN(IF(ISNUMBER(AK398),AK398,9E15),IF(ISNUMBER(AL398),AL398,9E15),IF(ISNUMBER(AM398),AM398,9E15))</f>
        <v/>
      </c>
      <c r="AQ398" s="22">
        <f>MIN(IF(ISNUMBER(AG398),AG398,9E15),IF(ISNUMBER(AH398),AH398,9E15),IF(ISNUMBER(AI398),AI398,9E15),IF(ISNUMBER(AJ398),AJ398,9E15))</f>
        <v/>
      </c>
      <c r="AR398" s="29">
        <f>IF(AW398&gt;Parameters!$B$21*(MAX(IF(AND(NOT(AND(AO398=1,AN398&lt;&gt;1)),ISNUMBER(AG398),AG398&lt;=T398),AS398,0),IF(AND(NOT(AND(AO398=1,AN398&lt;&gt;1)),ISNUMBER(AH398),AH398&lt;=T398),AT398,0),IF(AND(NOT(AND(AO398=1,AN398&lt;&gt;1)),ISNUMBER(AI398),AI398&lt;=T398),AU398,0),IF(AND(ISNUMBER(AJ398),AJ398&lt;=T398),AV398,0))),TRUE,FALSE)</f>
        <v/>
      </c>
      <c r="AS398" s="32">
        <f>IFERROR(Upgrades!$H$6*(POWER(Upgrades!$P$6,E398)*POWER(Upgrades!$P$7,F398)*POWER(Upgrades!$P$8,G398)*POWER(Upgrades!$P$9,H398)*POWER(Upgrades!$P$10,I398)*POWER(Upgrades!$P$11,J398)*POWER(Upgrades!$P$12,K398))*(IF(Upgrades!$T$7="Solar Wind",POWER(Upgrades!$U$7,F398),1)*IF(Upgrades!$T$8="Solar Wind",POWER(Upgrades!$U$8,G398),1)*IF(Upgrades!$T$9="Solar Wind",POWER(Upgrades!$U$9,H398),1)*IF(Upgrades!$T$10="Solar Wind",POWER(Upgrades!$U$10,I398),1)*IF(Upgrades!$T$11="Solar Wind",POWER(Upgrades!$U$11,J398),1)*IF(Upgrades!$T$12="Solar Wind",POWER(Upgrades!$U$12,K398),1))/AG398,0)</f>
        <v/>
      </c>
      <c r="AT398" s="32">
        <f>IFERROR(Upgrades!$H$7*(POWER(Upgrades!$P$6,E398)*POWER(Upgrades!$P$7,F398)*POWER(Upgrades!$P$8,G398)*POWER(Upgrades!$P$9,H398)*POWER(Upgrades!$P$10,I398)*POWER(Upgrades!$P$11,J398)*POWER(Upgrades!$P$12,K398))*(IF(Upgrades!$T$6="Asteroid Belt",POWER(Upgrades!$U$6,E398),1)*IF(Upgrades!$T$8="Asteroid Belt",POWER(Upgrades!$U$8,G398),1)*IF(Upgrades!$T$9="Asteroid Belt",POWER(Upgrades!$U$9,H398),1)*IF(Upgrades!$T$10="Asteroid Belt",POWER(Upgrades!$U$10,I398),1)*IF(Upgrades!$T$11="Asteroid Belt",POWER(Upgrades!$U$11,J398),1)*IF(Upgrades!$T$12="Asteroid Belt",POWER(Upgrades!$U$12,K398),1))/AH398,0)</f>
        <v/>
      </c>
      <c r="AU398" s="32">
        <f>IFERROR(Upgrades!$K$8*(POWER(Upgrades!$Q$6,E398)*POWER(Upgrades!$Q$7,F398)*POWER(Upgrades!$Q$8,G398)*POWER(Upgrades!$Q$9,H398)*POWER(Upgrades!$Q$10,I398)*POWER(Upgrades!$Q$11,J398)*POWER(Upgrades!$Q$12,K398))*(IF(Upgrades!$T$6="Stellar Coupling",POWER(Upgrades!$U$6,E398),1)*IF(Upgrades!$T$7="Stellar Coupling",POWER(Upgrades!$U$7,F398),1)*IF(Upgrades!$T$9="Stellar Coupling",POWER(Upgrades!$U$9,H398),1)*IF(Upgrades!$T$10="Stellar Coupling",POWER(Upgrades!$U$10,I398),1)*IF(Upgrades!$T$11="Stellar Coupling",POWER(Upgrades!$U$11,J398),1)*IF(Upgrades!$T$12="Stellar Coupling",POWER(Upgrades!$U$12,K398),1))*Parameters!$B$10*Parameters!$B$11/60/AI398,0)</f>
        <v/>
      </c>
      <c r="AV398" s="32">
        <f>IFERROR(Upgrades!$H$9*(POWER(Upgrades!$P$6,E398)*POWER(Upgrades!$P$7,F398)*POWER(Upgrades!$P$8,G398)*POWER(Upgrades!$P$9,H398)*POWER(Upgrades!$P$10,I398)*POWER(Upgrades!$P$11,J398)*POWER(Upgrades!$P$12,K398))*(IF(Upgrades!$T$6="Magnetosphere",POWER(Upgrades!$U$6,E398),1)*IF(Upgrades!$T$7="Magnetosphere",POWER(Upgrades!$U$7,F398),1)*IF(Upgrades!$T$8="Magnetosphere",POWER(Upgrades!$U$8,G398),1)*IF(Upgrades!$T$10="Magnetosphere",POWER(Upgrades!$U$10,I398),1)*IF(Upgrades!$T$11="Magnetosphere",POWER(Upgrades!$U$11,J398),1)*IF(Upgrades!$T$12="Magnetosphere",POWER(Upgrades!$U$12,K398),1))/AJ398,0)</f>
        <v/>
      </c>
      <c r="AW398" s="32">
        <f>MAX(IF(I398&gt;0,0,IFERROR(0.25*N398/Upgrades!$C$10,0)),IF(J398&gt;0,0,IFERROR(0.5*((IF(G398=0,0,(Upgrades!$J$8+G398*Upgrades!$K$8)*POWER(Upgrades!$L$8,G398)))*(IF(Upgrades!$T$6="Stellar Coupling",POWER(Upgrades!$U$6,E398),1)*IF(Upgrades!$T$7="Stellar Coupling",POWER(Upgrades!$U$7,F398),1)*IF(Upgrades!$T$9="Stellar Coupling",POWER(Upgrades!$U$9,H398),1)*IF(Upgrades!$T$10="Stellar Coupling",POWER(Upgrades!$U$10,I398),1)*IF(Upgrades!$T$11="Stellar Coupling",POWER(Upgrades!$U$11,J398),1)*IF(Upgrades!$T$12="Stellar Coupling",POWER(Upgrades!$U$12,K398),1))*(POWER(Upgrades!$Q$6,E398)*POWER(Upgrades!$Q$7,F398)*POWER(Upgrades!$Q$8,G398)*POWER(Upgrades!$Q$9,H398)*POWER(Upgrades!$Q$10,I398)*POWER(Upgrades!$Q$11,J398)*POWER(Upgrades!$Q$12,K398))*Parameters!$B$10*Parameters!$B$11/60)/Upgrades!$C$11,0)),IF(K398&gt;0,0,IFERROR((1.0*(POWER(Upgrades!$P$6,E398)*POWER(Upgrades!$P$7,F398)*POWER(Upgrades!$P$8,G398)*POWER(Upgrades!$P$9,H398)*POWER(Upgrades!$P$10,I398)*POWER(Upgrades!$P$11,J398)*POWER(Upgrades!$P$12,K398))+0.20*M398*Parameters!$B$10*Parameters!$B$11/60)/Upgrades!$C$12,0)),IF(AND(ISNUMBER(AG398),AG398&gt;T398),AS398,0),IF(AND(ISNUMBER(AH398),AH398&gt;T398),AT398,0),IF(AND(ISNUMBER(AI398),AI398&gt;T398),AU398,0),IF(AND(ISNUMBER(AJ398),AJ398&gt;T398),AV398,0))</f>
        <v/>
      </c>
      <c r="AX398" s="29">
        <f>IF(AN398=1,"transition",IF(MIN(IF(AND(I398=0,ISNUMBER(AK398),AK398&lt;=T398),AK398,9E15),IF(AND(J398=0,ISNUMBER(AL398),AL398&lt;=T398),AL398,9E15),IF(AND(K398=0,ISNUMBER(AM398),AM398&lt;=T398),AM398,9E15))&lt;9E15,IF(AND(AND(I398=0,ISNUMBER(AK398),AK398&lt;=T398),AK398=MIN(IF(AND(I398=0,ISNUMBER(AK398),AK398&lt;=T398),AK398,9E15),IF(AND(J398=0,ISNUMBER(AL398),AL398&lt;=T398),AL398,9E15),IF(AND(K398=0,ISNUMBER(AM398),AM398&lt;=T398),AM398,9E15))),"OR",IF(AND(AND(J398=0,ISNUMBER(AL398),AL398&lt;=T398),AL398=MIN(IF(AND(I398=0,ISNUMBER(AK398),AK398&lt;=T398),AK398,9E15),IF(AND(J398=0,ISNUMBER(AL398),AL398&lt;=T398),AL398,9E15),IF(AND(K398=0,ISNUMBER(AM398),AM398&lt;=T398),AM398,9E15))),"HP","FP")),IF(AR398=TRUE,"",IF(MAX(IF(AND(NOT(AND(AO398=1,AN398&lt;&gt;1)),ISNUMBER(AG398),AG398&lt;=T398),AS398,0),IF(AND(NOT(AND(AO398=1,AN398&lt;&gt;1)),ISNUMBER(AH398),AH398&lt;=T398),AT398,0),IF(AND(NOT(AND(AO398=1,AN398&lt;&gt;1)),ISNUMBER(AI398),AI398&lt;=T398),AU398,0),IF(AND(ISNUMBER(AJ398),AJ398&lt;=T398),AV398,0))&lt;=0,"",IF(AND(IF(AND(NOT(AND(AO398=1,AN398&lt;&gt;1)),ISNUMBER(AG398),AG398&lt;=T398),AS398,0)&gt;0,IF(AND(NOT(AND(AO398=1,AN398&lt;&gt;1)),ISNUMBER(AG398),AG398&lt;=T398),AS398,0)=MAX(IF(AND(NOT(AND(AO398=1,AN398&lt;&gt;1)),ISNUMBER(AG398),AG398&lt;=T398),AS398,0),IF(AND(NOT(AND(AO398=1,AN398&lt;&gt;1)),ISNUMBER(AH398),AH398&lt;=T398),AT398,0),IF(AND(NOT(AND(AO398=1,AN398&lt;&gt;1)),ISNUMBER(AI398),AI398&lt;=T398),AU398,0),IF(AND(ISNUMBER(AJ398),AJ398&lt;=T398),AV398,0))),"SW",IF(AND(IF(AND(NOT(AND(AO398=1,AN398&lt;&gt;1)),ISNUMBER(AH398),AH398&lt;=T398),AT398,0)&gt;0,IF(AND(NOT(AND(AO398=1,AN398&lt;&gt;1)),ISNUMBER(AH398),AH398&lt;=T398),AT398,0)=MAX(IF(AND(NOT(AND(AO398=1,AN398&lt;&gt;1)),ISNUMBER(AG398),AG398&lt;=T398),AS398,0),IF(AND(NOT(AND(AO398=1,AN398&lt;&gt;1)),ISNUMBER(AH398),AH398&lt;=T398),AT398,0),IF(AND(NOT(AND(AO398=1,AN398&lt;&gt;1)),ISNUMBER(AI398),AI398&lt;=T398),AU398,0),IF(AND(ISNUMBER(AJ398),AJ398&lt;=T398),AV398,0))),"AB",IF(AND(IF(AND(NOT(AND(AO398=1,AN398&lt;&gt;1)),ISNUMBER(AI398),AI398&lt;=T398),AU398,0)&gt;0,IF(AND(NOT(AND(AO398=1,AN398&lt;&gt;1)),ISNUMBER(AI398),AI398&lt;=T398),AU398,0)=MAX(IF(AND(NOT(AND(AO398=1,AN398&lt;&gt;1)),ISNUMBER(AG398),AG398&lt;=T398),AS398,0),IF(AND(NOT(AND(AO398=1,AN398&lt;&gt;1)),ISNUMBER(AH398),AH398&lt;=T398),AT398,0),IF(AND(NOT(AND(AO398=1,AN398&lt;&gt;1)),ISNUMBER(AI398),AI398&lt;=T398),AU398,0),IF(AND(ISNUMBER(AJ398),AJ398&lt;=T398),AV398,0))),"SC","Mag")))))))</f>
        <v/>
      </c>
    </row>
    <row r="399">
      <c r="A399" s="26" t="n">
        <v>394</v>
      </c>
      <c r="B399" s="27">
        <f>A399*10/60</f>
        <v/>
      </c>
      <c r="C399" s="22">
        <f>X398</f>
        <v/>
      </c>
      <c r="D399" s="27">
        <f>D398+W398</f>
        <v/>
      </c>
      <c r="E399" s="26">
        <f>E398+IF(U398="SW",1,0)</f>
        <v/>
      </c>
      <c r="F399" s="26">
        <f>F398+IF(U398="AB",1,0)</f>
        <v/>
      </c>
      <c r="G399" s="26">
        <f>G398+IF(U398="SC",1,0)</f>
        <v/>
      </c>
      <c r="H399" s="26">
        <f>H398+IF(U398="Mag",1,0)</f>
        <v/>
      </c>
      <c r="I399" s="26">
        <f>MAX(I398,IF(U398="OR",1,0))</f>
        <v/>
      </c>
      <c r="J399" s="26">
        <f>MAX(J398,IF(U398="HP",1,0))</f>
        <v/>
      </c>
      <c r="K399" s="26">
        <f>MAX(K398,IF(U398="FP",1,0))</f>
        <v/>
      </c>
      <c r="L399" s="26">
        <f>MAX(L398,IF(U398="transition",1,0))</f>
        <v/>
      </c>
      <c r="M399" s="28">
        <f>(Parameters!$B$9+(IF(E399=0,0,(Upgrades!$J$6+E399*Upgrades!$K$6)*POWER(Upgrades!$L$6,E399)))*(IF(Upgrades!$T$7="Solar Wind",POWER(Upgrades!$U$7,F399),1)*IF(Upgrades!$T$8="Solar Wind",POWER(Upgrades!$U$8,G399),1)*IF(Upgrades!$T$9="Solar Wind",POWER(Upgrades!$U$9,H399),1)*IF(Upgrades!$T$10="Solar Wind",POWER(Upgrades!$U$10,I399),1)*IF(Upgrades!$T$11="Solar Wind",POWER(Upgrades!$U$11,J399),1)*IF(Upgrades!$T$12="Solar Wind",POWER(Upgrades!$U$12,K399),1))+(IF(F399=0,0,(Upgrades!$J$7+F399*Upgrades!$K$7)*POWER(Upgrades!$L$7,F399)))*(IF(Upgrades!$T$6="Asteroid Belt",POWER(Upgrades!$U$6,E399),1)*IF(Upgrades!$T$8="Asteroid Belt",POWER(Upgrades!$U$8,G399),1)*IF(Upgrades!$T$9="Asteroid Belt",POWER(Upgrades!$U$9,H399),1)*IF(Upgrades!$T$10="Asteroid Belt",POWER(Upgrades!$U$10,I399),1)*IF(Upgrades!$T$11="Asteroid Belt",POWER(Upgrades!$U$11,J399),1)*IF(Upgrades!$T$12="Asteroid Belt",POWER(Upgrades!$U$12,K399),1))+(IF(G399=0,0,(Upgrades!$J$8+G399*Upgrades!$K$8)*POWER(Upgrades!$L$8,G399)))*(IF(Upgrades!$T$6="Stellar Coupling",POWER(Upgrades!$U$6,E399),1)*IF(Upgrades!$T$7="Stellar Coupling",POWER(Upgrades!$U$7,F399),1)*IF(Upgrades!$T$9="Stellar Coupling",POWER(Upgrades!$U$9,H399),1)*IF(Upgrades!$T$10="Stellar Coupling",POWER(Upgrades!$U$10,I399),1)*IF(Upgrades!$T$11="Stellar Coupling",POWER(Upgrades!$U$11,J399),1)*IF(Upgrades!$T$12="Stellar Coupling",POWER(Upgrades!$U$12,K399),1))+(IF(H399=0,0,(Upgrades!$J$9+H399*Upgrades!$K$9)*POWER(Upgrades!$L$9,H399)))*(IF(Upgrades!$T$6="Magnetosphere",POWER(Upgrades!$U$6,E399),1)*IF(Upgrades!$T$7="Magnetosphere",POWER(Upgrades!$U$7,F399),1)*IF(Upgrades!$T$8="Magnetosphere",POWER(Upgrades!$U$8,G399),1)*IF(Upgrades!$T$10="Magnetosphere",POWER(Upgrades!$U$10,I399),1)*IF(Upgrades!$T$11="Magnetosphere",POWER(Upgrades!$U$11,J399),1)*IF(Upgrades!$T$12="Magnetosphere",POWER(Upgrades!$U$12,K399),1))+(IF(I399=0,0,(Upgrades!$J$10+I399*Upgrades!$K$10)*POWER(Upgrades!$L$10,I399)))*(IF(Upgrades!$T$6="Orbital Resonance",POWER(Upgrades!$U$6,E399),1)*IF(Upgrades!$T$7="Orbital Resonance",POWER(Upgrades!$U$7,F399),1)*IF(Upgrades!$T$8="Orbital Resonance",POWER(Upgrades!$U$8,G399),1)*IF(Upgrades!$T$9="Orbital Resonance",POWER(Upgrades!$U$9,H399),1)*IF(Upgrades!$T$11="Orbital Resonance",POWER(Upgrades!$U$11,J399),1)*IF(Upgrades!$T$12="Orbital Resonance",POWER(Upgrades!$U$12,K399),1))+(IF(J399=0,0,(Upgrades!$J$11+J399*Upgrades!$K$11)*POWER(Upgrades!$L$11,J399)))*(IF(Upgrades!$T$6="Heliopause",POWER(Upgrades!$U$6,E399),1)*IF(Upgrades!$T$7="Heliopause",POWER(Upgrades!$U$7,F399),1)*IF(Upgrades!$T$8="Heliopause",POWER(Upgrades!$U$8,G399),1)*IF(Upgrades!$T$9="Heliopause",POWER(Upgrades!$U$9,H399),1)*IF(Upgrades!$T$10="Heliopause",POWER(Upgrades!$U$10,I399),1)*IF(Upgrades!$T$12="Heliopause",POWER(Upgrades!$U$12,K399),1))+(IF(K399=0,0,(Upgrades!$J$12+K399*Upgrades!$K$12)*POWER(Upgrades!$L$12,K399)))*(IF(Upgrades!$T$6="First Photons",POWER(Upgrades!$U$6,E399),1)*IF(Upgrades!$T$7="First Photons",POWER(Upgrades!$U$7,F399),1)*IF(Upgrades!$T$8="First Photons",POWER(Upgrades!$U$8,G399),1)*IF(Upgrades!$T$9="First Photons",POWER(Upgrades!$U$9,H399),1)*IF(Upgrades!$T$10="First Photons",POWER(Upgrades!$U$10,I399),1)*IF(Upgrades!$T$11="First Photons",POWER(Upgrades!$U$11,J399),1)))*POWER(Upgrades!$Q$6,E399)*POWER(Upgrades!$Q$7,F399)*POWER(Upgrades!$Q$8,G399)*POWER(Upgrades!$Q$9,H399)*POWER(Upgrades!$Q$10,I399)*POWER(Upgrades!$Q$11,J399)*POWER(Upgrades!$Q$12,K399)</f>
        <v/>
      </c>
      <c r="N399" s="28">
        <f>((IF(E399=0,0,(Upgrades!$G$6+E399*Upgrades!$H$6)*POWER(Upgrades!$I$6,E399)))*(IF(Upgrades!$T$7="Solar Wind",POWER(Upgrades!$U$7,F399),1)*IF(Upgrades!$T$8="Solar Wind",POWER(Upgrades!$U$8,G399),1)*IF(Upgrades!$T$9="Solar Wind",POWER(Upgrades!$U$9,H399),1)*IF(Upgrades!$T$10="Solar Wind",POWER(Upgrades!$U$10,I399),1)*IF(Upgrades!$T$11="Solar Wind",POWER(Upgrades!$U$11,J399),1)*IF(Upgrades!$T$12="Solar Wind",POWER(Upgrades!$U$12,K399),1))+(IF(F399=0,0,(Upgrades!$G$7+F399*Upgrades!$H$7)*POWER(Upgrades!$I$7,F399)))*(IF(Upgrades!$T$6="Asteroid Belt",POWER(Upgrades!$U$6,E399),1)*IF(Upgrades!$T$8="Asteroid Belt",POWER(Upgrades!$U$8,G399),1)*IF(Upgrades!$T$9="Asteroid Belt",POWER(Upgrades!$U$9,H399),1)*IF(Upgrades!$T$10="Asteroid Belt",POWER(Upgrades!$U$10,I399),1)*IF(Upgrades!$T$11="Asteroid Belt",POWER(Upgrades!$U$11,J399),1)*IF(Upgrades!$T$12="Asteroid Belt",POWER(Upgrades!$U$12,K399),1))+(IF(G399=0,0,(Upgrades!$G$8+G399*Upgrades!$H$8)*POWER(Upgrades!$I$8,G399)))*(IF(Upgrades!$T$6="Stellar Coupling",POWER(Upgrades!$U$6,E399),1)*IF(Upgrades!$T$7="Stellar Coupling",POWER(Upgrades!$U$7,F399),1)*IF(Upgrades!$T$9="Stellar Coupling",POWER(Upgrades!$U$9,H399),1)*IF(Upgrades!$T$10="Stellar Coupling",POWER(Upgrades!$U$10,I399),1)*IF(Upgrades!$T$11="Stellar Coupling",POWER(Upgrades!$U$11,J399),1)*IF(Upgrades!$T$12="Stellar Coupling",POWER(Upgrades!$U$12,K399),1))+(IF(H399=0,0,(Upgrades!$G$9+H399*Upgrades!$H$9)*POWER(Upgrades!$I$9,H399)))*(IF(Upgrades!$T$6="Magnetosphere",POWER(Upgrades!$U$6,E399),1)*IF(Upgrades!$T$7="Magnetosphere",POWER(Upgrades!$U$7,F399),1)*IF(Upgrades!$T$8="Magnetosphere",POWER(Upgrades!$U$8,G399),1)*IF(Upgrades!$T$10="Magnetosphere",POWER(Upgrades!$U$10,I399),1)*IF(Upgrades!$T$11="Magnetosphere",POWER(Upgrades!$U$11,J399),1)*IF(Upgrades!$T$12="Magnetosphere",POWER(Upgrades!$U$12,K399),1))+(IF(I399=0,0,(Upgrades!$G$10+I399*Upgrades!$H$10)*POWER(Upgrades!$I$10,I399)))*(IF(Upgrades!$T$6="Orbital Resonance",POWER(Upgrades!$U$6,E399),1)*IF(Upgrades!$T$7="Orbital Resonance",POWER(Upgrades!$U$7,F399),1)*IF(Upgrades!$T$8="Orbital Resonance",POWER(Upgrades!$U$8,G399),1)*IF(Upgrades!$T$9="Orbital Resonance",POWER(Upgrades!$U$9,H399),1)*IF(Upgrades!$T$11="Orbital Resonance",POWER(Upgrades!$U$11,J399),1)*IF(Upgrades!$T$12="Orbital Resonance",POWER(Upgrades!$U$12,K399),1))+(IF(J399=0,0,(Upgrades!$G$11+J399*Upgrades!$H$11)*POWER(Upgrades!$I$11,J399)))*(IF(Upgrades!$T$6="Heliopause",POWER(Upgrades!$U$6,E399),1)*IF(Upgrades!$T$7="Heliopause",POWER(Upgrades!$U$7,F399),1)*IF(Upgrades!$T$8="Heliopause",POWER(Upgrades!$U$8,G399),1)*IF(Upgrades!$T$9="Heliopause",POWER(Upgrades!$U$9,H399),1)*IF(Upgrades!$T$10="Heliopause",POWER(Upgrades!$U$10,I399),1)*IF(Upgrades!$T$12="Heliopause",POWER(Upgrades!$U$12,K399),1))+(IF(K399=0,0,(Upgrades!$G$12+K399*Upgrades!$H$12)*POWER(Upgrades!$I$12,K399)))*(IF(Upgrades!$T$6="First Photons",POWER(Upgrades!$U$6,E399),1)*IF(Upgrades!$T$7="First Photons",POWER(Upgrades!$U$7,F399),1)*IF(Upgrades!$T$8="First Photons",POWER(Upgrades!$U$8,G399),1)*IF(Upgrades!$T$9="First Photons",POWER(Upgrades!$U$9,H399),1)*IF(Upgrades!$T$10="First Photons",POWER(Upgrades!$U$10,I399),1)*IF(Upgrades!$T$11="First Photons",POWER(Upgrades!$U$11,J399),1)))*POWER(Upgrades!$P$6,E399)*POWER(Upgrades!$P$7,F399)*POWER(Upgrades!$P$8,G399)*POWER(Upgrades!$P$9,H399)*POWER(Upgrades!$P$10,I399)*POWER(Upgrades!$P$11,J399)*POWER(Upgrades!$P$12,K399)</f>
        <v/>
      </c>
      <c r="O399" s="28">
        <f>((IF(E399=0,0,(Upgrades!$M$6+E399*Upgrades!$N$6)*POWER(Upgrades!$O$6,E399)))*(IF(Upgrades!$T$7="Solar Wind",POWER(Upgrades!$U$7,F399),1)*IF(Upgrades!$T$8="Solar Wind",POWER(Upgrades!$U$8,G399),1)*IF(Upgrades!$T$9="Solar Wind",POWER(Upgrades!$U$9,H399),1)*IF(Upgrades!$T$10="Solar Wind",POWER(Upgrades!$U$10,I399),1)*IF(Upgrades!$T$11="Solar Wind",POWER(Upgrades!$U$11,J399),1)*IF(Upgrades!$T$12="Solar Wind",POWER(Upgrades!$U$12,K399),1))+(IF(F399=0,0,(Upgrades!$M$7+F399*Upgrades!$N$7)*POWER(Upgrades!$O$7,F399)))*(IF(Upgrades!$T$6="Asteroid Belt",POWER(Upgrades!$U$6,E399),1)*IF(Upgrades!$T$8="Asteroid Belt",POWER(Upgrades!$U$8,G399),1)*IF(Upgrades!$T$9="Asteroid Belt",POWER(Upgrades!$U$9,H399),1)*IF(Upgrades!$T$10="Asteroid Belt",POWER(Upgrades!$U$10,I399),1)*IF(Upgrades!$T$11="Asteroid Belt",POWER(Upgrades!$U$11,J399),1)*IF(Upgrades!$T$12="Asteroid Belt",POWER(Upgrades!$U$12,K399),1))+(IF(G399=0,0,(Upgrades!$M$8+G399*Upgrades!$N$8)*POWER(Upgrades!$O$8,G399)))*(IF(Upgrades!$T$6="Stellar Coupling",POWER(Upgrades!$U$6,E399),1)*IF(Upgrades!$T$7="Stellar Coupling",POWER(Upgrades!$U$7,F399),1)*IF(Upgrades!$T$9="Stellar Coupling",POWER(Upgrades!$U$9,H399),1)*IF(Upgrades!$T$10="Stellar Coupling",POWER(Upgrades!$U$10,I399),1)*IF(Upgrades!$T$11="Stellar Coupling",POWER(Upgrades!$U$11,J399),1)*IF(Upgrades!$T$12="Stellar Coupling",POWER(Upgrades!$U$12,K399),1))+(IF(H399=0,0,(Upgrades!$M$9+H399*Upgrades!$N$9)*POWER(Upgrades!$O$9,H399)))*(IF(Upgrades!$T$6="Magnetosphere",POWER(Upgrades!$U$6,E399),1)*IF(Upgrades!$T$7="Magnetosphere",POWER(Upgrades!$U$7,F399),1)*IF(Upgrades!$T$8="Magnetosphere",POWER(Upgrades!$U$8,G399),1)*IF(Upgrades!$T$10="Magnetosphere",POWER(Upgrades!$U$10,I399),1)*IF(Upgrades!$T$11="Magnetosphere",POWER(Upgrades!$U$11,J399),1)*IF(Upgrades!$T$12="Magnetosphere",POWER(Upgrades!$U$12,K399),1))+(IF(I399=0,0,(Upgrades!$M$10+I399*Upgrades!$N$10)*POWER(Upgrades!$O$10,I399)))*(IF(Upgrades!$T$6="Orbital Resonance",POWER(Upgrades!$U$6,E399),1)*IF(Upgrades!$T$7="Orbital Resonance",POWER(Upgrades!$U$7,F399),1)*IF(Upgrades!$T$8="Orbital Resonance",POWER(Upgrades!$U$8,G399),1)*IF(Upgrades!$T$9="Orbital Resonance",POWER(Upgrades!$U$9,H399),1)*IF(Upgrades!$T$11="Orbital Resonance",POWER(Upgrades!$U$11,J399),1)*IF(Upgrades!$T$12="Orbital Resonance",POWER(Upgrades!$U$12,K399),1))+(IF(J399=0,0,(Upgrades!$M$11+J399*Upgrades!$N$11)*POWER(Upgrades!$O$11,J399)))*(IF(Upgrades!$T$6="Heliopause",POWER(Upgrades!$U$6,E399),1)*IF(Upgrades!$T$7="Heliopause",POWER(Upgrades!$U$7,F399),1)*IF(Upgrades!$T$8="Heliopause",POWER(Upgrades!$U$8,G399),1)*IF(Upgrades!$T$9="Heliopause",POWER(Upgrades!$U$9,H399),1)*IF(Upgrades!$T$10="Heliopause",POWER(Upgrades!$U$10,I399),1)*IF(Upgrades!$T$12="Heliopause",POWER(Upgrades!$U$12,K399),1))+(IF(K399=0,0,(Upgrades!$M$12+K399*Upgrades!$N$12)*POWER(Upgrades!$O$12,K399)))*(IF(Upgrades!$T$6="First Photons",POWER(Upgrades!$U$6,E399),1)*IF(Upgrades!$T$7="First Photons",POWER(Upgrades!$U$7,F399),1)*IF(Upgrades!$T$8="First Photons",POWER(Upgrades!$U$8,G399),1)*IF(Upgrades!$T$9="First Photons",POWER(Upgrades!$U$9,H399),1)*IF(Upgrades!$T$10="First Photons",POWER(Upgrades!$U$10,I399),1)*IF(Upgrades!$T$11="First Photons",POWER(Upgrades!$U$11,J399),1)))*POWER(Upgrades!$R$6,E399)*POWER(Upgrades!$R$7,F399)*POWER(Upgrades!$R$8,G399)*POWER(Upgrades!$R$9,H399)*POWER(Upgrades!$R$10,I399)*POWER(Upgrades!$R$11,J399)*POWER(Upgrades!$R$12,K399)</f>
        <v/>
      </c>
      <c r="P399" s="27">
        <f>IF(L399=1,0,M399*Parameters!$B$10/60*Parameters!$B$11*10)</f>
        <v/>
      </c>
      <c r="Q399" s="27">
        <f>IF(L399=1,0,O399*M399*10)</f>
        <v/>
      </c>
      <c r="R399" s="27">
        <f>IF(L399=1,0,N399*10)</f>
        <v/>
      </c>
      <c r="S399" s="27">
        <f>P399+Q399+R399</f>
        <v/>
      </c>
      <c r="T399" s="22">
        <f>C399+S399</f>
        <v/>
      </c>
      <c r="U399" s="33">
        <f>AX399</f>
        <v/>
      </c>
      <c r="V399" s="22">
        <f>IF(U399="",0,IF(U399="transition",0,IF(U399="SW",AG399,IF(U399="AB",AH399,IF(U399="SC",AI399,IF(U399="Mag",AJ399,IF(U399="OR",AK399,IF(U399="HP",AL399,IF(U399="FP",AM399,0)))))))))</f>
        <v/>
      </c>
      <c r="W399" s="27">
        <f>IF(U399="OR",Upgrades!$F$10,IF(U399="HP",Upgrades!$F$11,IF(U399="transition",-Parameters!$B$18,0)))</f>
        <v/>
      </c>
      <c r="X399" s="22">
        <f>T399-V399</f>
        <v/>
      </c>
      <c r="Y399" s="30">
        <f>M399*Parameters!$B$10/60*Parameters!$B$11+O399*M399+N399</f>
        <v/>
      </c>
      <c r="Z399" s="34">
        <f>IF(U399="transition","→ Tier 2 (Stellar Neighborhood)",IF(U399="FP","First Photons — light begins, system quickens",IF(U399="HP","Heliopause acquired",IF(U399="OR","Orbital Resonance — passive multiplier active",IF(AND(AO399=1,L399=0,AN399&lt;&gt;1),"Cohesion ready (waiting on completionist upgrades)","")))))</f>
        <v/>
      </c>
      <c r="AA399" s="27">
        <f>(IF(E399=0,0,(Upgrades!$G$6+E399*Upgrades!$H$6)*POWER(Upgrades!$I$6,E399)))*(IF(Upgrades!$T$7="Solar Wind",POWER(Upgrades!$U$7,F399),1)*IF(Upgrades!$T$8="Solar Wind",POWER(Upgrades!$U$8,G399),1)*IF(Upgrades!$T$9="Solar Wind",POWER(Upgrades!$U$9,H399),1)*IF(Upgrades!$T$10="Solar Wind",POWER(Upgrades!$U$10,I399),1)*IF(Upgrades!$T$11="Solar Wind",POWER(Upgrades!$U$11,J399),1)*IF(Upgrades!$T$12="Solar Wind",POWER(Upgrades!$U$12,K399),1))*POWER(Upgrades!$P$6,E399)*POWER(Upgrades!$P$7,F399)*POWER(Upgrades!$P$8,G399)*POWER(Upgrades!$P$9,H399)*POWER(Upgrades!$P$10,I399)*POWER(Upgrades!$P$11,J399)*POWER(Upgrades!$P$12,K399)*60</f>
        <v/>
      </c>
      <c r="AB399" s="27">
        <f>(IF(F399=0,0,(Upgrades!$G$7+F399*Upgrades!$H$7)*POWER(Upgrades!$I$7,F399)))*(IF(Upgrades!$T$6="Asteroid Belt",POWER(Upgrades!$U$6,E399),1)*IF(Upgrades!$T$8="Asteroid Belt",POWER(Upgrades!$U$8,G399),1)*IF(Upgrades!$T$9="Asteroid Belt",POWER(Upgrades!$U$9,H399),1)*IF(Upgrades!$T$10="Asteroid Belt",POWER(Upgrades!$U$10,I399),1)*IF(Upgrades!$T$11="Asteroid Belt",POWER(Upgrades!$U$11,J399),1)*IF(Upgrades!$T$12="Asteroid Belt",POWER(Upgrades!$U$12,K399),1))*POWER(Upgrades!$P$6,E399)*POWER(Upgrades!$P$7,F399)*POWER(Upgrades!$P$8,G399)*POWER(Upgrades!$P$9,H399)*POWER(Upgrades!$P$10,I399)*POWER(Upgrades!$P$11,J399)*POWER(Upgrades!$P$12,K399)*60</f>
        <v/>
      </c>
      <c r="AC399" s="27">
        <f>(IF(G399=0,0,(Upgrades!$J$8+G399*Upgrades!$K$8)*POWER(Upgrades!$L$8,G399)))*(IF(Upgrades!$T$6="Stellar Coupling",POWER(Upgrades!$U$6,E399),1)*IF(Upgrades!$T$7="Stellar Coupling",POWER(Upgrades!$U$7,F399),1)*IF(Upgrades!$T$9="Stellar Coupling",POWER(Upgrades!$U$9,H399),1)*IF(Upgrades!$T$10="Stellar Coupling",POWER(Upgrades!$U$10,I399),1)*IF(Upgrades!$T$11="Stellar Coupling",POWER(Upgrades!$U$11,J399),1)*IF(Upgrades!$T$12="Stellar Coupling",POWER(Upgrades!$U$12,K399),1))*POWER(Upgrades!$Q$6,E399)*POWER(Upgrades!$Q$7,F399)*POWER(Upgrades!$Q$8,G399)*POWER(Upgrades!$Q$9,H399)*POWER(Upgrades!$Q$10,I399)*POWER(Upgrades!$Q$11,J399)*POWER(Upgrades!$Q$12,K399)*Parameters!$B$10*Parameters!$B$11</f>
        <v/>
      </c>
      <c r="AD399" s="27">
        <f>(IF(H399=0,0,(Upgrades!$G$9+H399*Upgrades!$H$9)*POWER(Upgrades!$I$9,H399)))*(IF(Upgrades!$T$6="Magnetosphere",POWER(Upgrades!$U$6,E399),1)*IF(Upgrades!$T$7="Magnetosphere",POWER(Upgrades!$U$7,F399),1)*IF(Upgrades!$T$8="Magnetosphere",POWER(Upgrades!$U$8,G399),1)*IF(Upgrades!$T$10="Magnetosphere",POWER(Upgrades!$U$10,I399),1)*IF(Upgrades!$T$11="Magnetosphere",POWER(Upgrades!$U$11,J399),1)*IF(Upgrades!$T$12="Magnetosphere",POWER(Upgrades!$U$12,K399),1))*POWER(Upgrades!$P$6,E399)*POWER(Upgrades!$P$7,F399)*POWER(Upgrades!$P$8,G399)*POWER(Upgrades!$P$9,H399)*POWER(Upgrades!$P$10,I399)*POWER(Upgrades!$P$11,J399)*POWER(Upgrades!$P$12,K399)*60</f>
        <v/>
      </c>
      <c r="AE399" s="27">
        <f>(IF(K399=0,0,(Upgrades!$G$12+K399*Upgrades!$H$12)*POWER(Upgrades!$I$12,K399)))*(IF(Upgrades!$T$6="First Photons",POWER(Upgrades!$U$6,E399),1)*IF(Upgrades!$T$7="First Photons",POWER(Upgrades!$U$7,F399),1)*IF(Upgrades!$T$8="First Photons",POWER(Upgrades!$U$8,G399),1)*IF(Upgrades!$T$9="First Photons",POWER(Upgrades!$U$9,H399),1)*IF(Upgrades!$T$10="First Photons",POWER(Upgrades!$U$10,I399),1)*IF(Upgrades!$T$11="First Photons",POWER(Upgrades!$U$11,J399),1))*POWER(Upgrades!$P$6,E399)*POWER(Upgrades!$P$7,F399)*POWER(Upgrades!$P$8,G399)*POWER(Upgrades!$P$9,H399)*POWER(Upgrades!$P$10,I399)*POWER(Upgrades!$P$11,J399)*POWER(Upgrades!$P$12,K399)*60</f>
        <v/>
      </c>
      <c r="AF399" s="27">
        <f>Parameters!$B$9*POWER(Upgrades!$Q$6,E399)*POWER(Upgrades!$Q$7,F399)*POWER(Upgrades!$Q$8,G399)*POWER(Upgrades!$Q$9,H399)*POWER(Upgrades!$Q$10,I399)*POWER(Upgrades!$Q$11,J399)*POWER(Upgrades!$Q$12,K399)*(Parameters!$B$10*Parameters!$B$11+O399*60)</f>
        <v/>
      </c>
      <c r="AG399" s="22">
        <f>IF(E399&gt;=Upgrades!$E$6,"",Upgrades!$C$6*POWER(Upgrades!$D$6,E399))</f>
        <v/>
      </c>
      <c r="AH399" s="22">
        <f>IF(F399&gt;=Upgrades!$E$7,"",Upgrades!$C$7*POWER(Upgrades!$D$7,F399))</f>
        <v/>
      </c>
      <c r="AI399" s="22">
        <f>IF(G399&gt;=Upgrades!$E$8,"",Upgrades!$C$8*POWER(Upgrades!$D$8,G399))</f>
        <v/>
      </c>
      <c r="AJ399" s="22">
        <f>IF(H399&gt;=Upgrades!$E$9,"",Upgrades!$C$9*POWER(Upgrades!$D$9,H399))</f>
        <v/>
      </c>
      <c r="AK399" s="22">
        <f>IF(I399&gt;=Upgrades!$E$10,"",Upgrades!$C$10*POWER(Upgrades!$D$10,I399))</f>
        <v/>
      </c>
      <c r="AL399" s="22">
        <f>IF(J399&gt;=Upgrades!$E$11,"",Upgrades!$C$11*POWER(Upgrades!$D$11,J399))</f>
        <v/>
      </c>
      <c r="AM399" s="22">
        <f>IF(K399&gt;=Upgrades!$E$12,"",Upgrades!$C$12*POWER(Upgrades!$D$12,K399))</f>
        <v/>
      </c>
      <c r="AN399" s="26">
        <f>IF(AND(D399&gt;=Parameters!$B$18,(H399&gt;=Upgrades!$E$9)*(K399&gt;=Upgrades!$E$12)=1,L399=0),1,"")</f>
        <v/>
      </c>
      <c r="AO399" s="26">
        <f>IF(AND(D399&gt;=Parameters!$B$18,L399=0),1,"")</f>
        <v/>
      </c>
      <c r="AP399" s="22">
        <f>MIN(IF(ISNUMBER(AK399),AK399,9E15),IF(ISNUMBER(AL399),AL399,9E15),IF(ISNUMBER(AM399),AM399,9E15))</f>
        <v/>
      </c>
      <c r="AQ399" s="22">
        <f>MIN(IF(ISNUMBER(AG399),AG399,9E15),IF(ISNUMBER(AH399),AH399,9E15),IF(ISNUMBER(AI399),AI399,9E15),IF(ISNUMBER(AJ399),AJ399,9E15))</f>
        <v/>
      </c>
      <c r="AR399" s="29">
        <f>IF(AW399&gt;Parameters!$B$21*(MAX(IF(AND(NOT(AND(AO399=1,AN399&lt;&gt;1)),ISNUMBER(AG399),AG399&lt;=T399),AS399,0),IF(AND(NOT(AND(AO399=1,AN399&lt;&gt;1)),ISNUMBER(AH399),AH399&lt;=T399),AT399,0),IF(AND(NOT(AND(AO399=1,AN399&lt;&gt;1)),ISNUMBER(AI399),AI399&lt;=T399),AU399,0),IF(AND(ISNUMBER(AJ399),AJ399&lt;=T399),AV399,0))),TRUE,FALSE)</f>
        <v/>
      </c>
      <c r="AS399" s="32">
        <f>IFERROR(Upgrades!$H$6*(POWER(Upgrades!$P$6,E399)*POWER(Upgrades!$P$7,F399)*POWER(Upgrades!$P$8,G399)*POWER(Upgrades!$P$9,H399)*POWER(Upgrades!$P$10,I399)*POWER(Upgrades!$P$11,J399)*POWER(Upgrades!$P$12,K399))*(IF(Upgrades!$T$7="Solar Wind",POWER(Upgrades!$U$7,F399),1)*IF(Upgrades!$T$8="Solar Wind",POWER(Upgrades!$U$8,G399),1)*IF(Upgrades!$T$9="Solar Wind",POWER(Upgrades!$U$9,H399),1)*IF(Upgrades!$T$10="Solar Wind",POWER(Upgrades!$U$10,I399),1)*IF(Upgrades!$T$11="Solar Wind",POWER(Upgrades!$U$11,J399),1)*IF(Upgrades!$T$12="Solar Wind",POWER(Upgrades!$U$12,K399),1))/AG399,0)</f>
        <v/>
      </c>
      <c r="AT399" s="32">
        <f>IFERROR(Upgrades!$H$7*(POWER(Upgrades!$P$6,E399)*POWER(Upgrades!$P$7,F399)*POWER(Upgrades!$P$8,G399)*POWER(Upgrades!$P$9,H399)*POWER(Upgrades!$P$10,I399)*POWER(Upgrades!$P$11,J399)*POWER(Upgrades!$P$12,K399))*(IF(Upgrades!$T$6="Asteroid Belt",POWER(Upgrades!$U$6,E399),1)*IF(Upgrades!$T$8="Asteroid Belt",POWER(Upgrades!$U$8,G399),1)*IF(Upgrades!$T$9="Asteroid Belt",POWER(Upgrades!$U$9,H399),1)*IF(Upgrades!$T$10="Asteroid Belt",POWER(Upgrades!$U$10,I399),1)*IF(Upgrades!$T$11="Asteroid Belt",POWER(Upgrades!$U$11,J399),1)*IF(Upgrades!$T$12="Asteroid Belt",POWER(Upgrades!$U$12,K399),1))/AH399,0)</f>
        <v/>
      </c>
      <c r="AU399" s="32">
        <f>IFERROR(Upgrades!$K$8*(POWER(Upgrades!$Q$6,E399)*POWER(Upgrades!$Q$7,F399)*POWER(Upgrades!$Q$8,G399)*POWER(Upgrades!$Q$9,H399)*POWER(Upgrades!$Q$10,I399)*POWER(Upgrades!$Q$11,J399)*POWER(Upgrades!$Q$12,K399))*(IF(Upgrades!$T$6="Stellar Coupling",POWER(Upgrades!$U$6,E399),1)*IF(Upgrades!$T$7="Stellar Coupling",POWER(Upgrades!$U$7,F399),1)*IF(Upgrades!$T$9="Stellar Coupling",POWER(Upgrades!$U$9,H399),1)*IF(Upgrades!$T$10="Stellar Coupling",POWER(Upgrades!$U$10,I399),1)*IF(Upgrades!$T$11="Stellar Coupling",POWER(Upgrades!$U$11,J399),1)*IF(Upgrades!$T$12="Stellar Coupling",POWER(Upgrades!$U$12,K399),1))*Parameters!$B$10*Parameters!$B$11/60/AI399,0)</f>
        <v/>
      </c>
      <c r="AV399" s="32">
        <f>IFERROR(Upgrades!$H$9*(POWER(Upgrades!$P$6,E399)*POWER(Upgrades!$P$7,F399)*POWER(Upgrades!$P$8,G399)*POWER(Upgrades!$P$9,H399)*POWER(Upgrades!$P$10,I399)*POWER(Upgrades!$P$11,J399)*POWER(Upgrades!$P$12,K399))*(IF(Upgrades!$T$6="Magnetosphere",POWER(Upgrades!$U$6,E399),1)*IF(Upgrades!$T$7="Magnetosphere",POWER(Upgrades!$U$7,F399),1)*IF(Upgrades!$T$8="Magnetosphere",POWER(Upgrades!$U$8,G399),1)*IF(Upgrades!$T$10="Magnetosphere",POWER(Upgrades!$U$10,I399),1)*IF(Upgrades!$T$11="Magnetosphere",POWER(Upgrades!$U$11,J399),1)*IF(Upgrades!$T$12="Magnetosphere",POWER(Upgrades!$U$12,K399),1))/AJ399,0)</f>
        <v/>
      </c>
      <c r="AW399" s="32">
        <f>MAX(IF(I399&gt;0,0,IFERROR(0.25*N399/Upgrades!$C$10,0)),IF(J399&gt;0,0,IFERROR(0.5*((IF(G399=0,0,(Upgrades!$J$8+G399*Upgrades!$K$8)*POWER(Upgrades!$L$8,G399)))*(IF(Upgrades!$T$6="Stellar Coupling",POWER(Upgrades!$U$6,E399),1)*IF(Upgrades!$T$7="Stellar Coupling",POWER(Upgrades!$U$7,F399),1)*IF(Upgrades!$T$9="Stellar Coupling",POWER(Upgrades!$U$9,H399),1)*IF(Upgrades!$T$10="Stellar Coupling",POWER(Upgrades!$U$10,I399),1)*IF(Upgrades!$T$11="Stellar Coupling",POWER(Upgrades!$U$11,J399),1)*IF(Upgrades!$T$12="Stellar Coupling",POWER(Upgrades!$U$12,K399),1))*(POWER(Upgrades!$Q$6,E399)*POWER(Upgrades!$Q$7,F399)*POWER(Upgrades!$Q$8,G399)*POWER(Upgrades!$Q$9,H399)*POWER(Upgrades!$Q$10,I399)*POWER(Upgrades!$Q$11,J399)*POWER(Upgrades!$Q$12,K399))*Parameters!$B$10*Parameters!$B$11/60)/Upgrades!$C$11,0)),IF(K399&gt;0,0,IFERROR((1.0*(POWER(Upgrades!$P$6,E399)*POWER(Upgrades!$P$7,F399)*POWER(Upgrades!$P$8,G399)*POWER(Upgrades!$P$9,H399)*POWER(Upgrades!$P$10,I399)*POWER(Upgrades!$P$11,J399)*POWER(Upgrades!$P$12,K399))+0.20*M399*Parameters!$B$10*Parameters!$B$11/60)/Upgrades!$C$12,0)),IF(AND(ISNUMBER(AG399),AG399&gt;T399),AS399,0),IF(AND(ISNUMBER(AH399),AH399&gt;T399),AT399,0),IF(AND(ISNUMBER(AI399),AI399&gt;T399),AU399,0),IF(AND(ISNUMBER(AJ399),AJ399&gt;T399),AV399,0))</f>
        <v/>
      </c>
      <c r="AX399" s="29">
        <f>IF(AN399=1,"transition",IF(MIN(IF(AND(I399=0,ISNUMBER(AK399),AK399&lt;=T399),AK399,9E15),IF(AND(J399=0,ISNUMBER(AL399),AL399&lt;=T399),AL399,9E15),IF(AND(K399=0,ISNUMBER(AM399),AM399&lt;=T399),AM399,9E15))&lt;9E15,IF(AND(AND(I399=0,ISNUMBER(AK399),AK399&lt;=T399),AK399=MIN(IF(AND(I399=0,ISNUMBER(AK399),AK399&lt;=T399),AK399,9E15),IF(AND(J399=0,ISNUMBER(AL399),AL399&lt;=T399),AL399,9E15),IF(AND(K399=0,ISNUMBER(AM399),AM399&lt;=T399),AM399,9E15))),"OR",IF(AND(AND(J399=0,ISNUMBER(AL399),AL399&lt;=T399),AL399=MIN(IF(AND(I399=0,ISNUMBER(AK399),AK399&lt;=T399),AK399,9E15),IF(AND(J399=0,ISNUMBER(AL399),AL399&lt;=T399),AL399,9E15),IF(AND(K399=0,ISNUMBER(AM399),AM399&lt;=T399),AM399,9E15))),"HP","FP")),IF(AR399=TRUE,"",IF(MAX(IF(AND(NOT(AND(AO399=1,AN399&lt;&gt;1)),ISNUMBER(AG399),AG399&lt;=T399),AS399,0),IF(AND(NOT(AND(AO399=1,AN399&lt;&gt;1)),ISNUMBER(AH399),AH399&lt;=T399),AT399,0),IF(AND(NOT(AND(AO399=1,AN399&lt;&gt;1)),ISNUMBER(AI399),AI399&lt;=T399),AU399,0),IF(AND(ISNUMBER(AJ399),AJ399&lt;=T399),AV399,0))&lt;=0,"",IF(AND(IF(AND(NOT(AND(AO399=1,AN399&lt;&gt;1)),ISNUMBER(AG399),AG399&lt;=T399),AS399,0)&gt;0,IF(AND(NOT(AND(AO399=1,AN399&lt;&gt;1)),ISNUMBER(AG399),AG399&lt;=T399),AS399,0)=MAX(IF(AND(NOT(AND(AO399=1,AN399&lt;&gt;1)),ISNUMBER(AG399),AG399&lt;=T399),AS399,0),IF(AND(NOT(AND(AO399=1,AN399&lt;&gt;1)),ISNUMBER(AH399),AH399&lt;=T399),AT399,0),IF(AND(NOT(AND(AO399=1,AN399&lt;&gt;1)),ISNUMBER(AI399),AI399&lt;=T399),AU399,0),IF(AND(ISNUMBER(AJ399),AJ399&lt;=T399),AV399,0))),"SW",IF(AND(IF(AND(NOT(AND(AO399=1,AN399&lt;&gt;1)),ISNUMBER(AH399),AH399&lt;=T399),AT399,0)&gt;0,IF(AND(NOT(AND(AO399=1,AN399&lt;&gt;1)),ISNUMBER(AH399),AH399&lt;=T399),AT399,0)=MAX(IF(AND(NOT(AND(AO399=1,AN399&lt;&gt;1)),ISNUMBER(AG399),AG399&lt;=T399),AS399,0),IF(AND(NOT(AND(AO399=1,AN399&lt;&gt;1)),ISNUMBER(AH399),AH399&lt;=T399),AT399,0),IF(AND(NOT(AND(AO399=1,AN399&lt;&gt;1)),ISNUMBER(AI399),AI399&lt;=T399),AU399,0),IF(AND(ISNUMBER(AJ399),AJ399&lt;=T399),AV399,0))),"AB",IF(AND(IF(AND(NOT(AND(AO399=1,AN399&lt;&gt;1)),ISNUMBER(AI399),AI399&lt;=T399),AU399,0)&gt;0,IF(AND(NOT(AND(AO399=1,AN399&lt;&gt;1)),ISNUMBER(AI399),AI399&lt;=T399),AU399,0)=MAX(IF(AND(NOT(AND(AO399=1,AN399&lt;&gt;1)),ISNUMBER(AG399),AG399&lt;=T399),AS399,0),IF(AND(NOT(AND(AO399=1,AN399&lt;&gt;1)),ISNUMBER(AH399),AH399&lt;=T399),AT399,0),IF(AND(NOT(AND(AO399=1,AN399&lt;&gt;1)),ISNUMBER(AI399),AI399&lt;=T399),AU399,0),IF(AND(ISNUMBER(AJ399),AJ399&lt;=T399),AV399,0))),"SC","Mag")))))))</f>
        <v/>
      </c>
    </row>
    <row r="400">
      <c r="A400" s="26" t="n">
        <v>395</v>
      </c>
      <c r="B400" s="27">
        <f>A400*10/60</f>
        <v/>
      </c>
      <c r="C400" s="22">
        <f>X399</f>
        <v/>
      </c>
      <c r="D400" s="27">
        <f>D399+W399</f>
        <v/>
      </c>
      <c r="E400" s="26">
        <f>E399+IF(U399="SW",1,0)</f>
        <v/>
      </c>
      <c r="F400" s="26">
        <f>F399+IF(U399="AB",1,0)</f>
        <v/>
      </c>
      <c r="G400" s="26">
        <f>G399+IF(U399="SC",1,0)</f>
        <v/>
      </c>
      <c r="H400" s="26">
        <f>H399+IF(U399="Mag",1,0)</f>
        <v/>
      </c>
      <c r="I400" s="26">
        <f>MAX(I399,IF(U399="OR",1,0))</f>
        <v/>
      </c>
      <c r="J400" s="26">
        <f>MAX(J399,IF(U399="HP",1,0))</f>
        <v/>
      </c>
      <c r="K400" s="26">
        <f>MAX(K399,IF(U399="FP",1,0))</f>
        <v/>
      </c>
      <c r="L400" s="26">
        <f>MAX(L399,IF(U399="transition",1,0))</f>
        <v/>
      </c>
      <c r="M400" s="28">
        <f>(Parameters!$B$9+(IF(E400=0,0,(Upgrades!$J$6+E400*Upgrades!$K$6)*POWER(Upgrades!$L$6,E400)))*(IF(Upgrades!$T$7="Solar Wind",POWER(Upgrades!$U$7,F400),1)*IF(Upgrades!$T$8="Solar Wind",POWER(Upgrades!$U$8,G400),1)*IF(Upgrades!$T$9="Solar Wind",POWER(Upgrades!$U$9,H400),1)*IF(Upgrades!$T$10="Solar Wind",POWER(Upgrades!$U$10,I400),1)*IF(Upgrades!$T$11="Solar Wind",POWER(Upgrades!$U$11,J400),1)*IF(Upgrades!$T$12="Solar Wind",POWER(Upgrades!$U$12,K400),1))+(IF(F400=0,0,(Upgrades!$J$7+F400*Upgrades!$K$7)*POWER(Upgrades!$L$7,F400)))*(IF(Upgrades!$T$6="Asteroid Belt",POWER(Upgrades!$U$6,E400),1)*IF(Upgrades!$T$8="Asteroid Belt",POWER(Upgrades!$U$8,G400),1)*IF(Upgrades!$T$9="Asteroid Belt",POWER(Upgrades!$U$9,H400),1)*IF(Upgrades!$T$10="Asteroid Belt",POWER(Upgrades!$U$10,I400),1)*IF(Upgrades!$T$11="Asteroid Belt",POWER(Upgrades!$U$11,J400),1)*IF(Upgrades!$T$12="Asteroid Belt",POWER(Upgrades!$U$12,K400),1))+(IF(G400=0,0,(Upgrades!$J$8+G400*Upgrades!$K$8)*POWER(Upgrades!$L$8,G400)))*(IF(Upgrades!$T$6="Stellar Coupling",POWER(Upgrades!$U$6,E400),1)*IF(Upgrades!$T$7="Stellar Coupling",POWER(Upgrades!$U$7,F400),1)*IF(Upgrades!$T$9="Stellar Coupling",POWER(Upgrades!$U$9,H400),1)*IF(Upgrades!$T$10="Stellar Coupling",POWER(Upgrades!$U$10,I400),1)*IF(Upgrades!$T$11="Stellar Coupling",POWER(Upgrades!$U$11,J400),1)*IF(Upgrades!$T$12="Stellar Coupling",POWER(Upgrades!$U$12,K400),1))+(IF(H400=0,0,(Upgrades!$J$9+H400*Upgrades!$K$9)*POWER(Upgrades!$L$9,H400)))*(IF(Upgrades!$T$6="Magnetosphere",POWER(Upgrades!$U$6,E400),1)*IF(Upgrades!$T$7="Magnetosphere",POWER(Upgrades!$U$7,F400),1)*IF(Upgrades!$T$8="Magnetosphere",POWER(Upgrades!$U$8,G400),1)*IF(Upgrades!$T$10="Magnetosphere",POWER(Upgrades!$U$10,I400),1)*IF(Upgrades!$T$11="Magnetosphere",POWER(Upgrades!$U$11,J400),1)*IF(Upgrades!$T$12="Magnetosphere",POWER(Upgrades!$U$12,K400),1))+(IF(I400=0,0,(Upgrades!$J$10+I400*Upgrades!$K$10)*POWER(Upgrades!$L$10,I400)))*(IF(Upgrades!$T$6="Orbital Resonance",POWER(Upgrades!$U$6,E400),1)*IF(Upgrades!$T$7="Orbital Resonance",POWER(Upgrades!$U$7,F400),1)*IF(Upgrades!$T$8="Orbital Resonance",POWER(Upgrades!$U$8,G400),1)*IF(Upgrades!$T$9="Orbital Resonance",POWER(Upgrades!$U$9,H400),1)*IF(Upgrades!$T$11="Orbital Resonance",POWER(Upgrades!$U$11,J400),1)*IF(Upgrades!$T$12="Orbital Resonance",POWER(Upgrades!$U$12,K400),1))+(IF(J400=0,0,(Upgrades!$J$11+J400*Upgrades!$K$11)*POWER(Upgrades!$L$11,J400)))*(IF(Upgrades!$T$6="Heliopause",POWER(Upgrades!$U$6,E400),1)*IF(Upgrades!$T$7="Heliopause",POWER(Upgrades!$U$7,F400),1)*IF(Upgrades!$T$8="Heliopause",POWER(Upgrades!$U$8,G400),1)*IF(Upgrades!$T$9="Heliopause",POWER(Upgrades!$U$9,H400),1)*IF(Upgrades!$T$10="Heliopause",POWER(Upgrades!$U$10,I400),1)*IF(Upgrades!$T$12="Heliopause",POWER(Upgrades!$U$12,K400),1))+(IF(K400=0,0,(Upgrades!$J$12+K400*Upgrades!$K$12)*POWER(Upgrades!$L$12,K400)))*(IF(Upgrades!$T$6="First Photons",POWER(Upgrades!$U$6,E400),1)*IF(Upgrades!$T$7="First Photons",POWER(Upgrades!$U$7,F400),1)*IF(Upgrades!$T$8="First Photons",POWER(Upgrades!$U$8,G400),1)*IF(Upgrades!$T$9="First Photons",POWER(Upgrades!$U$9,H400),1)*IF(Upgrades!$T$10="First Photons",POWER(Upgrades!$U$10,I400),1)*IF(Upgrades!$T$11="First Photons",POWER(Upgrades!$U$11,J400),1)))*POWER(Upgrades!$Q$6,E400)*POWER(Upgrades!$Q$7,F400)*POWER(Upgrades!$Q$8,G400)*POWER(Upgrades!$Q$9,H400)*POWER(Upgrades!$Q$10,I400)*POWER(Upgrades!$Q$11,J400)*POWER(Upgrades!$Q$12,K400)</f>
        <v/>
      </c>
      <c r="N400" s="28">
        <f>((IF(E400=0,0,(Upgrades!$G$6+E400*Upgrades!$H$6)*POWER(Upgrades!$I$6,E400)))*(IF(Upgrades!$T$7="Solar Wind",POWER(Upgrades!$U$7,F400),1)*IF(Upgrades!$T$8="Solar Wind",POWER(Upgrades!$U$8,G400),1)*IF(Upgrades!$T$9="Solar Wind",POWER(Upgrades!$U$9,H400),1)*IF(Upgrades!$T$10="Solar Wind",POWER(Upgrades!$U$10,I400),1)*IF(Upgrades!$T$11="Solar Wind",POWER(Upgrades!$U$11,J400),1)*IF(Upgrades!$T$12="Solar Wind",POWER(Upgrades!$U$12,K400),1))+(IF(F400=0,0,(Upgrades!$G$7+F400*Upgrades!$H$7)*POWER(Upgrades!$I$7,F400)))*(IF(Upgrades!$T$6="Asteroid Belt",POWER(Upgrades!$U$6,E400),1)*IF(Upgrades!$T$8="Asteroid Belt",POWER(Upgrades!$U$8,G400),1)*IF(Upgrades!$T$9="Asteroid Belt",POWER(Upgrades!$U$9,H400),1)*IF(Upgrades!$T$10="Asteroid Belt",POWER(Upgrades!$U$10,I400),1)*IF(Upgrades!$T$11="Asteroid Belt",POWER(Upgrades!$U$11,J400),1)*IF(Upgrades!$T$12="Asteroid Belt",POWER(Upgrades!$U$12,K400),1))+(IF(G400=0,0,(Upgrades!$G$8+G400*Upgrades!$H$8)*POWER(Upgrades!$I$8,G400)))*(IF(Upgrades!$T$6="Stellar Coupling",POWER(Upgrades!$U$6,E400),1)*IF(Upgrades!$T$7="Stellar Coupling",POWER(Upgrades!$U$7,F400),1)*IF(Upgrades!$T$9="Stellar Coupling",POWER(Upgrades!$U$9,H400),1)*IF(Upgrades!$T$10="Stellar Coupling",POWER(Upgrades!$U$10,I400),1)*IF(Upgrades!$T$11="Stellar Coupling",POWER(Upgrades!$U$11,J400),1)*IF(Upgrades!$T$12="Stellar Coupling",POWER(Upgrades!$U$12,K400),1))+(IF(H400=0,0,(Upgrades!$G$9+H400*Upgrades!$H$9)*POWER(Upgrades!$I$9,H400)))*(IF(Upgrades!$T$6="Magnetosphere",POWER(Upgrades!$U$6,E400),1)*IF(Upgrades!$T$7="Magnetosphere",POWER(Upgrades!$U$7,F400),1)*IF(Upgrades!$T$8="Magnetosphere",POWER(Upgrades!$U$8,G400),1)*IF(Upgrades!$T$10="Magnetosphere",POWER(Upgrades!$U$10,I400),1)*IF(Upgrades!$T$11="Magnetosphere",POWER(Upgrades!$U$11,J400),1)*IF(Upgrades!$T$12="Magnetosphere",POWER(Upgrades!$U$12,K400),1))+(IF(I400=0,0,(Upgrades!$G$10+I400*Upgrades!$H$10)*POWER(Upgrades!$I$10,I400)))*(IF(Upgrades!$T$6="Orbital Resonance",POWER(Upgrades!$U$6,E400),1)*IF(Upgrades!$T$7="Orbital Resonance",POWER(Upgrades!$U$7,F400),1)*IF(Upgrades!$T$8="Orbital Resonance",POWER(Upgrades!$U$8,G400),1)*IF(Upgrades!$T$9="Orbital Resonance",POWER(Upgrades!$U$9,H400),1)*IF(Upgrades!$T$11="Orbital Resonance",POWER(Upgrades!$U$11,J400),1)*IF(Upgrades!$T$12="Orbital Resonance",POWER(Upgrades!$U$12,K400),1))+(IF(J400=0,0,(Upgrades!$G$11+J400*Upgrades!$H$11)*POWER(Upgrades!$I$11,J400)))*(IF(Upgrades!$T$6="Heliopause",POWER(Upgrades!$U$6,E400),1)*IF(Upgrades!$T$7="Heliopause",POWER(Upgrades!$U$7,F400),1)*IF(Upgrades!$T$8="Heliopause",POWER(Upgrades!$U$8,G400),1)*IF(Upgrades!$T$9="Heliopause",POWER(Upgrades!$U$9,H400),1)*IF(Upgrades!$T$10="Heliopause",POWER(Upgrades!$U$10,I400),1)*IF(Upgrades!$T$12="Heliopause",POWER(Upgrades!$U$12,K400),1))+(IF(K400=0,0,(Upgrades!$G$12+K400*Upgrades!$H$12)*POWER(Upgrades!$I$12,K400)))*(IF(Upgrades!$T$6="First Photons",POWER(Upgrades!$U$6,E400),1)*IF(Upgrades!$T$7="First Photons",POWER(Upgrades!$U$7,F400),1)*IF(Upgrades!$T$8="First Photons",POWER(Upgrades!$U$8,G400),1)*IF(Upgrades!$T$9="First Photons",POWER(Upgrades!$U$9,H400),1)*IF(Upgrades!$T$10="First Photons",POWER(Upgrades!$U$10,I400),1)*IF(Upgrades!$T$11="First Photons",POWER(Upgrades!$U$11,J400),1)))*POWER(Upgrades!$P$6,E400)*POWER(Upgrades!$P$7,F400)*POWER(Upgrades!$P$8,G400)*POWER(Upgrades!$P$9,H400)*POWER(Upgrades!$P$10,I400)*POWER(Upgrades!$P$11,J400)*POWER(Upgrades!$P$12,K400)</f>
        <v/>
      </c>
      <c r="O400" s="28">
        <f>((IF(E400=0,0,(Upgrades!$M$6+E400*Upgrades!$N$6)*POWER(Upgrades!$O$6,E400)))*(IF(Upgrades!$T$7="Solar Wind",POWER(Upgrades!$U$7,F400),1)*IF(Upgrades!$T$8="Solar Wind",POWER(Upgrades!$U$8,G400),1)*IF(Upgrades!$T$9="Solar Wind",POWER(Upgrades!$U$9,H400),1)*IF(Upgrades!$T$10="Solar Wind",POWER(Upgrades!$U$10,I400),1)*IF(Upgrades!$T$11="Solar Wind",POWER(Upgrades!$U$11,J400),1)*IF(Upgrades!$T$12="Solar Wind",POWER(Upgrades!$U$12,K400),1))+(IF(F400=0,0,(Upgrades!$M$7+F400*Upgrades!$N$7)*POWER(Upgrades!$O$7,F400)))*(IF(Upgrades!$T$6="Asteroid Belt",POWER(Upgrades!$U$6,E400),1)*IF(Upgrades!$T$8="Asteroid Belt",POWER(Upgrades!$U$8,G400),1)*IF(Upgrades!$T$9="Asteroid Belt",POWER(Upgrades!$U$9,H400),1)*IF(Upgrades!$T$10="Asteroid Belt",POWER(Upgrades!$U$10,I400),1)*IF(Upgrades!$T$11="Asteroid Belt",POWER(Upgrades!$U$11,J400),1)*IF(Upgrades!$T$12="Asteroid Belt",POWER(Upgrades!$U$12,K400),1))+(IF(G400=0,0,(Upgrades!$M$8+G400*Upgrades!$N$8)*POWER(Upgrades!$O$8,G400)))*(IF(Upgrades!$T$6="Stellar Coupling",POWER(Upgrades!$U$6,E400),1)*IF(Upgrades!$T$7="Stellar Coupling",POWER(Upgrades!$U$7,F400),1)*IF(Upgrades!$T$9="Stellar Coupling",POWER(Upgrades!$U$9,H400),1)*IF(Upgrades!$T$10="Stellar Coupling",POWER(Upgrades!$U$10,I400),1)*IF(Upgrades!$T$11="Stellar Coupling",POWER(Upgrades!$U$11,J400),1)*IF(Upgrades!$T$12="Stellar Coupling",POWER(Upgrades!$U$12,K400),1))+(IF(H400=0,0,(Upgrades!$M$9+H400*Upgrades!$N$9)*POWER(Upgrades!$O$9,H400)))*(IF(Upgrades!$T$6="Magnetosphere",POWER(Upgrades!$U$6,E400),1)*IF(Upgrades!$T$7="Magnetosphere",POWER(Upgrades!$U$7,F400),1)*IF(Upgrades!$T$8="Magnetosphere",POWER(Upgrades!$U$8,G400),1)*IF(Upgrades!$T$10="Magnetosphere",POWER(Upgrades!$U$10,I400),1)*IF(Upgrades!$T$11="Magnetosphere",POWER(Upgrades!$U$11,J400),1)*IF(Upgrades!$T$12="Magnetosphere",POWER(Upgrades!$U$12,K400),1))+(IF(I400=0,0,(Upgrades!$M$10+I400*Upgrades!$N$10)*POWER(Upgrades!$O$10,I400)))*(IF(Upgrades!$T$6="Orbital Resonance",POWER(Upgrades!$U$6,E400),1)*IF(Upgrades!$T$7="Orbital Resonance",POWER(Upgrades!$U$7,F400),1)*IF(Upgrades!$T$8="Orbital Resonance",POWER(Upgrades!$U$8,G400),1)*IF(Upgrades!$T$9="Orbital Resonance",POWER(Upgrades!$U$9,H400),1)*IF(Upgrades!$T$11="Orbital Resonance",POWER(Upgrades!$U$11,J400),1)*IF(Upgrades!$T$12="Orbital Resonance",POWER(Upgrades!$U$12,K400),1))+(IF(J400=0,0,(Upgrades!$M$11+J400*Upgrades!$N$11)*POWER(Upgrades!$O$11,J400)))*(IF(Upgrades!$T$6="Heliopause",POWER(Upgrades!$U$6,E400),1)*IF(Upgrades!$T$7="Heliopause",POWER(Upgrades!$U$7,F400),1)*IF(Upgrades!$T$8="Heliopause",POWER(Upgrades!$U$8,G400),1)*IF(Upgrades!$T$9="Heliopause",POWER(Upgrades!$U$9,H400),1)*IF(Upgrades!$T$10="Heliopause",POWER(Upgrades!$U$10,I400),1)*IF(Upgrades!$T$12="Heliopause",POWER(Upgrades!$U$12,K400),1))+(IF(K400=0,0,(Upgrades!$M$12+K400*Upgrades!$N$12)*POWER(Upgrades!$O$12,K400)))*(IF(Upgrades!$T$6="First Photons",POWER(Upgrades!$U$6,E400),1)*IF(Upgrades!$T$7="First Photons",POWER(Upgrades!$U$7,F400),1)*IF(Upgrades!$T$8="First Photons",POWER(Upgrades!$U$8,G400),1)*IF(Upgrades!$T$9="First Photons",POWER(Upgrades!$U$9,H400),1)*IF(Upgrades!$T$10="First Photons",POWER(Upgrades!$U$10,I400),1)*IF(Upgrades!$T$11="First Photons",POWER(Upgrades!$U$11,J400),1)))*POWER(Upgrades!$R$6,E400)*POWER(Upgrades!$R$7,F400)*POWER(Upgrades!$R$8,G400)*POWER(Upgrades!$R$9,H400)*POWER(Upgrades!$R$10,I400)*POWER(Upgrades!$R$11,J400)*POWER(Upgrades!$R$12,K400)</f>
        <v/>
      </c>
      <c r="P400" s="27">
        <f>IF(L400=1,0,M400*Parameters!$B$10/60*Parameters!$B$11*10)</f>
        <v/>
      </c>
      <c r="Q400" s="27">
        <f>IF(L400=1,0,O400*M400*10)</f>
        <v/>
      </c>
      <c r="R400" s="27">
        <f>IF(L400=1,0,N400*10)</f>
        <v/>
      </c>
      <c r="S400" s="27">
        <f>P400+Q400+R400</f>
        <v/>
      </c>
      <c r="T400" s="22">
        <f>C400+S400</f>
        <v/>
      </c>
      <c r="U400" s="33">
        <f>AX400</f>
        <v/>
      </c>
      <c r="V400" s="22">
        <f>IF(U400="",0,IF(U400="transition",0,IF(U400="SW",AG400,IF(U400="AB",AH400,IF(U400="SC",AI400,IF(U400="Mag",AJ400,IF(U400="OR",AK400,IF(U400="HP",AL400,IF(U400="FP",AM400,0)))))))))</f>
        <v/>
      </c>
      <c r="W400" s="27">
        <f>IF(U400="OR",Upgrades!$F$10,IF(U400="HP",Upgrades!$F$11,IF(U400="transition",-Parameters!$B$18,0)))</f>
        <v/>
      </c>
      <c r="X400" s="22">
        <f>T400-V400</f>
        <v/>
      </c>
      <c r="Y400" s="30">
        <f>M400*Parameters!$B$10/60*Parameters!$B$11+O400*M400+N400</f>
        <v/>
      </c>
      <c r="Z400" s="34">
        <f>IF(U400="transition","→ Tier 2 (Stellar Neighborhood)",IF(U400="FP","First Photons — light begins, system quickens",IF(U400="HP","Heliopause acquired",IF(U400="OR","Orbital Resonance — passive multiplier active",IF(AND(AO400=1,L400=0,AN400&lt;&gt;1),"Cohesion ready (waiting on completionist upgrades)","")))))</f>
        <v/>
      </c>
      <c r="AA400" s="27">
        <f>(IF(E400=0,0,(Upgrades!$G$6+E400*Upgrades!$H$6)*POWER(Upgrades!$I$6,E400)))*(IF(Upgrades!$T$7="Solar Wind",POWER(Upgrades!$U$7,F400),1)*IF(Upgrades!$T$8="Solar Wind",POWER(Upgrades!$U$8,G400),1)*IF(Upgrades!$T$9="Solar Wind",POWER(Upgrades!$U$9,H400),1)*IF(Upgrades!$T$10="Solar Wind",POWER(Upgrades!$U$10,I400),1)*IF(Upgrades!$T$11="Solar Wind",POWER(Upgrades!$U$11,J400),1)*IF(Upgrades!$T$12="Solar Wind",POWER(Upgrades!$U$12,K400),1))*POWER(Upgrades!$P$6,E400)*POWER(Upgrades!$P$7,F400)*POWER(Upgrades!$P$8,G400)*POWER(Upgrades!$P$9,H400)*POWER(Upgrades!$P$10,I400)*POWER(Upgrades!$P$11,J400)*POWER(Upgrades!$P$12,K400)*60</f>
        <v/>
      </c>
      <c r="AB400" s="27">
        <f>(IF(F400=0,0,(Upgrades!$G$7+F400*Upgrades!$H$7)*POWER(Upgrades!$I$7,F400)))*(IF(Upgrades!$T$6="Asteroid Belt",POWER(Upgrades!$U$6,E400),1)*IF(Upgrades!$T$8="Asteroid Belt",POWER(Upgrades!$U$8,G400),1)*IF(Upgrades!$T$9="Asteroid Belt",POWER(Upgrades!$U$9,H400),1)*IF(Upgrades!$T$10="Asteroid Belt",POWER(Upgrades!$U$10,I400),1)*IF(Upgrades!$T$11="Asteroid Belt",POWER(Upgrades!$U$11,J400),1)*IF(Upgrades!$T$12="Asteroid Belt",POWER(Upgrades!$U$12,K400),1))*POWER(Upgrades!$P$6,E400)*POWER(Upgrades!$P$7,F400)*POWER(Upgrades!$P$8,G400)*POWER(Upgrades!$P$9,H400)*POWER(Upgrades!$P$10,I400)*POWER(Upgrades!$P$11,J400)*POWER(Upgrades!$P$12,K400)*60</f>
        <v/>
      </c>
      <c r="AC400" s="27">
        <f>(IF(G400=0,0,(Upgrades!$J$8+G400*Upgrades!$K$8)*POWER(Upgrades!$L$8,G400)))*(IF(Upgrades!$T$6="Stellar Coupling",POWER(Upgrades!$U$6,E400),1)*IF(Upgrades!$T$7="Stellar Coupling",POWER(Upgrades!$U$7,F400),1)*IF(Upgrades!$T$9="Stellar Coupling",POWER(Upgrades!$U$9,H400),1)*IF(Upgrades!$T$10="Stellar Coupling",POWER(Upgrades!$U$10,I400),1)*IF(Upgrades!$T$11="Stellar Coupling",POWER(Upgrades!$U$11,J400),1)*IF(Upgrades!$T$12="Stellar Coupling",POWER(Upgrades!$U$12,K400),1))*POWER(Upgrades!$Q$6,E400)*POWER(Upgrades!$Q$7,F400)*POWER(Upgrades!$Q$8,G400)*POWER(Upgrades!$Q$9,H400)*POWER(Upgrades!$Q$10,I400)*POWER(Upgrades!$Q$11,J400)*POWER(Upgrades!$Q$12,K400)*Parameters!$B$10*Parameters!$B$11</f>
        <v/>
      </c>
      <c r="AD400" s="27">
        <f>(IF(H400=0,0,(Upgrades!$G$9+H400*Upgrades!$H$9)*POWER(Upgrades!$I$9,H400)))*(IF(Upgrades!$T$6="Magnetosphere",POWER(Upgrades!$U$6,E400),1)*IF(Upgrades!$T$7="Magnetosphere",POWER(Upgrades!$U$7,F400),1)*IF(Upgrades!$T$8="Magnetosphere",POWER(Upgrades!$U$8,G400),1)*IF(Upgrades!$T$10="Magnetosphere",POWER(Upgrades!$U$10,I400),1)*IF(Upgrades!$T$11="Magnetosphere",POWER(Upgrades!$U$11,J400),1)*IF(Upgrades!$T$12="Magnetosphere",POWER(Upgrades!$U$12,K400),1))*POWER(Upgrades!$P$6,E400)*POWER(Upgrades!$P$7,F400)*POWER(Upgrades!$P$8,G400)*POWER(Upgrades!$P$9,H400)*POWER(Upgrades!$P$10,I400)*POWER(Upgrades!$P$11,J400)*POWER(Upgrades!$P$12,K400)*60</f>
        <v/>
      </c>
      <c r="AE400" s="27">
        <f>(IF(K400=0,0,(Upgrades!$G$12+K400*Upgrades!$H$12)*POWER(Upgrades!$I$12,K400)))*(IF(Upgrades!$T$6="First Photons",POWER(Upgrades!$U$6,E400),1)*IF(Upgrades!$T$7="First Photons",POWER(Upgrades!$U$7,F400),1)*IF(Upgrades!$T$8="First Photons",POWER(Upgrades!$U$8,G400),1)*IF(Upgrades!$T$9="First Photons",POWER(Upgrades!$U$9,H400),1)*IF(Upgrades!$T$10="First Photons",POWER(Upgrades!$U$10,I400),1)*IF(Upgrades!$T$11="First Photons",POWER(Upgrades!$U$11,J400),1))*POWER(Upgrades!$P$6,E400)*POWER(Upgrades!$P$7,F400)*POWER(Upgrades!$P$8,G400)*POWER(Upgrades!$P$9,H400)*POWER(Upgrades!$P$10,I400)*POWER(Upgrades!$P$11,J400)*POWER(Upgrades!$P$12,K400)*60</f>
        <v/>
      </c>
      <c r="AF400" s="27">
        <f>Parameters!$B$9*POWER(Upgrades!$Q$6,E400)*POWER(Upgrades!$Q$7,F400)*POWER(Upgrades!$Q$8,G400)*POWER(Upgrades!$Q$9,H400)*POWER(Upgrades!$Q$10,I400)*POWER(Upgrades!$Q$11,J400)*POWER(Upgrades!$Q$12,K400)*(Parameters!$B$10*Parameters!$B$11+O400*60)</f>
        <v/>
      </c>
      <c r="AG400" s="22">
        <f>IF(E400&gt;=Upgrades!$E$6,"",Upgrades!$C$6*POWER(Upgrades!$D$6,E400))</f>
        <v/>
      </c>
      <c r="AH400" s="22">
        <f>IF(F400&gt;=Upgrades!$E$7,"",Upgrades!$C$7*POWER(Upgrades!$D$7,F400))</f>
        <v/>
      </c>
      <c r="AI400" s="22">
        <f>IF(G400&gt;=Upgrades!$E$8,"",Upgrades!$C$8*POWER(Upgrades!$D$8,G400))</f>
        <v/>
      </c>
      <c r="AJ400" s="22">
        <f>IF(H400&gt;=Upgrades!$E$9,"",Upgrades!$C$9*POWER(Upgrades!$D$9,H400))</f>
        <v/>
      </c>
      <c r="AK400" s="22">
        <f>IF(I400&gt;=Upgrades!$E$10,"",Upgrades!$C$10*POWER(Upgrades!$D$10,I400))</f>
        <v/>
      </c>
      <c r="AL400" s="22">
        <f>IF(J400&gt;=Upgrades!$E$11,"",Upgrades!$C$11*POWER(Upgrades!$D$11,J400))</f>
        <v/>
      </c>
      <c r="AM400" s="22">
        <f>IF(K400&gt;=Upgrades!$E$12,"",Upgrades!$C$12*POWER(Upgrades!$D$12,K400))</f>
        <v/>
      </c>
      <c r="AN400" s="26">
        <f>IF(AND(D400&gt;=Parameters!$B$18,(H400&gt;=Upgrades!$E$9)*(K400&gt;=Upgrades!$E$12)=1,L400=0),1,"")</f>
        <v/>
      </c>
      <c r="AO400" s="26">
        <f>IF(AND(D400&gt;=Parameters!$B$18,L400=0),1,"")</f>
        <v/>
      </c>
      <c r="AP400" s="22">
        <f>MIN(IF(ISNUMBER(AK400),AK400,9E15),IF(ISNUMBER(AL400),AL400,9E15),IF(ISNUMBER(AM400),AM400,9E15))</f>
        <v/>
      </c>
      <c r="AQ400" s="22">
        <f>MIN(IF(ISNUMBER(AG400),AG400,9E15),IF(ISNUMBER(AH400),AH400,9E15),IF(ISNUMBER(AI400),AI400,9E15),IF(ISNUMBER(AJ400),AJ400,9E15))</f>
        <v/>
      </c>
      <c r="AR400" s="29">
        <f>IF(AW400&gt;Parameters!$B$21*(MAX(IF(AND(NOT(AND(AO400=1,AN400&lt;&gt;1)),ISNUMBER(AG400),AG400&lt;=T400),AS400,0),IF(AND(NOT(AND(AO400=1,AN400&lt;&gt;1)),ISNUMBER(AH400),AH400&lt;=T400),AT400,0),IF(AND(NOT(AND(AO400=1,AN400&lt;&gt;1)),ISNUMBER(AI400),AI400&lt;=T400),AU400,0),IF(AND(ISNUMBER(AJ400),AJ400&lt;=T400),AV400,0))),TRUE,FALSE)</f>
        <v/>
      </c>
      <c r="AS400" s="32">
        <f>IFERROR(Upgrades!$H$6*(POWER(Upgrades!$P$6,E400)*POWER(Upgrades!$P$7,F400)*POWER(Upgrades!$P$8,G400)*POWER(Upgrades!$P$9,H400)*POWER(Upgrades!$P$10,I400)*POWER(Upgrades!$P$11,J400)*POWER(Upgrades!$P$12,K400))*(IF(Upgrades!$T$7="Solar Wind",POWER(Upgrades!$U$7,F400),1)*IF(Upgrades!$T$8="Solar Wind",POWER(Upgrades!$U$8,G400),1)*IF(Upgrades!$T$9="Solar Wind",POWER(Upgrades!$U$9,H400),1)*IF(Upgrades!$T$10="Solar Wind",POWER(Upgrades!$U$10,I400),1)*IF(Upgrades!$T$11="Solar Wind",POWER(Upgrades!$U$11,J400),1)*IF(Upgrades!$T$12="Solar Wind",POWER(Upgrades!$U$12,K400),1))/AG400,0)</f>
        <v/>
      </c>
      <c r="AT400" s="32">
        <f>IFERROR(Upgrades!$H$7*(POWER(Upgrades!$P$6,E400)*POWER(Upgrades!$P$7,F400)*POWER(Upgrades!$P$8,G400)*POWER(Upgrades!$P$9,H400)*POWER(Upgrades!$P$10,I400)*POWER(Upgrades!$P$11,J400)*POWER(Upgrades!$P$12,K400))*(IF(Upgrades!$T$6="Asteroid Belt",POWER(Upgrades!$U$6,E400),1)*IF(Upgrades!$T$8="Asteroid Belt",POWER(Upgrades!$U$8,G400),1)*IF(Upgrades!$T$9="Asteroid Belt",POWER(Upgrades!$U$9,H400),1)*IF(Upgrades!$T$10="Asteroid Belt",POWER(Upgrades!$U$10,I400),1)*IF(Upgrades!$T$11="Asteroid Belt",POWER(Upgrades!$U$11,J400),1)*IF(Upgrades!$T$12="Asteroid Belt",POWER(Upgrades!$U$12,K400),1))/AH400,0)</f>
        <v/>
      </c>
      <c r="AU400" s="32">
        <f>IFERROR(Upgrades!$K$8*(POWER(Upgrades!$Q$6,E400)*POWER(Upgrades!$Q$7,F400)*POWER(Upgrades!$Q$8,G400)*POWER(Upgrades!$Q$9,H400)*POWER(Upgrades!$Q$10,I400)*POWER(Upgrades!$Q$11,J400)*POWER(Upgrades!$Q$12,K400))*(IF(Upgrades!$T$6="Stellar Coupling",POWER(Upgrades!$U$6,E400),1)*IF(Upgrades!$T$7="Stellar Coupling",POWER(Upgrades!$U$7,F400),1)*IF(Upgrades!$T$9="Stellar Coupling",POWER(Upgrades!$U$9,H400),1)*IF(Upgrades!$T$10="Stellar Coupling",POWER(Upgrades!$U$10,I400),1)*IF(Upgrades!$T$11="Stellar Coupling",POWER(Upgrades!$U$11,J400),1)*IF(Upgrades!$T$12="Stellar Coupling",POWER(Upgrades!$U$12,K400),1))*Parameters!$B$10*Parameters!$B$11/60/AI400,0)</f>
        <v/>
      </c>
      <c r="AV400" s="32">
        <f>IFERROR(Upgrades!$H$9*(POWER(Upgrades!$P$6,E400)*POWER(Upgrades!$P$7,F400)*POWER(Upgrades!$P$8,G400)*POWER(Upgrades!$P$9,H400)*POWER(Upgrades!$P$10,I400)*POWER(Upgrades!$P$11,J400)*POWER(Upgrades!$P$12,K400))*(IF(Upgrades!$T$6="Magnetosphere",POWER(Upgrades!$U$6,E400),1)*IF(Upgrades!$T$7="Magnetosphere",POWER(Upgrades!$U$7,F400),1)*IF(Upgrades!$T$8="Magnetosphere",POWER(Upgrades!$U$8,G400),1)*IF(Upgrades!$T$10="Magnetosphere",POWER(Upgrades!$U$10,I400),1)*IF(Upgrades!$T$11="Magnetosphere",POWER(Upgrades!$U$11,J400),1)*IF(Upgrades!$T$12="Magnetosphere",POWER(Upgrades!$U$12,K400),1))/AJ400,0)</f>
        <v/>
      </c>
      <c r="AW400" s="32">
        <f>MAX(IF(I400&gt;0,0,IFERROR(0.25*N400/Upgrades!$C$10,0)),IF(J400&gt;0,0,IFERROR(0.5*((IF(G400=0,0,(Upgrades!$J$8+G400*Upgrades!$K$8)*POWER(Upgrades!$L$8,G400)))*(IF(Upgrades!$T$6="Stellar Coupling",POWER(Upgrades!$U$6,E400),1)*IF(Upgrades!$T$7="Stellar Coupling",POWER(Upgrades!$U$7,F400),1)*IF(Upgrades!$T$9="Stellar Coupling",POWER(Upgrades!$U$9,H400),1)*IF(Upgrades!$T$10="Stellar Coupling",POWER(Upgrades!$U$10,I400),1)*IF(Upgrades!$T$11="Stellar Coupling",POWER(Upgrades!$U$11,J400),1)*IF(Upgrades!$T$12="Stellar Coupling",POWER(Upgrades!$U$12,K400),1))*(POWER(Upgrades!$Q$6,E400)*POWER(Upgrades!$Q$7,F400)*POWER(Upgrades!$Q$8,G400)*POWER(Upgrades!$Q$9,H400)*POWER(Upgrades!$Q$10,I400)*POWER(Upgrades!$Q$11,J400)*POWER(Upgrades!$Q$12,K400))*Parameters!$B$10*Parameters!$B$11/60)/Upgrades!$C$11,0)),IF(K400&gt;0,0,IFERROR((1.0*(POWER(Upgrades!$P$6,E400)*POWER(Upgrades!$P$7,F400)*POWER(Upgrades!$P$8,G400)*POWER(Upgrades!$P$9,H400)*POWER(Upgrades!$P$10,I400)*POWER(Upgrades!$P$11,J400)*POWER(Upgrades!$P$12,K400))+0.20*M400*Parameters!$B$10*Parameters!$B$11/60)/Upgrades!$C$12,0)),IF(AND(ISNUMBER(AG400),AG400&gt;T400),AS400,0),IF(AND(ISNUMBER(AH400),AH400&gt;T400),AT400,0),IF(AND(ISNUMBER(AI400),AI400&gt;T400),AU400,0),IF(AND(ISNUMBER(AJ400),AJ400&gt;T400),AV400,0))</f>
        <v/>
      </c>
      <c r="AX400" s="29">
        <f>IF(AN400=1,"transition",IF(MIN(IF(AND(I400=0,ISNUMBER(AK400),AK400&lt;=T400),AK400,9E15),IF(AND(J400=0,ISNUMBER(AL400),AL400&lt;=T400),AL400,9E15),IF(AND(K400=0,ISNUMBER(AM400),AM400&lt;=T400),AM400,9E15))&lt;9E15,IF(AND(AND(I400=0,ISNUMBER(AK400),AK400&lt;=T400),AK400=MIN(IF(AND(I400=0,ISNUMBER(AK400),AK400&lt;=T400),AK400,9E15),IF(AND(J400=0,ISNUMBER(AL400),AL400&lt;=T400),AL400,9E15),IF(AND(K400=0,ISNUMBER(AM400),AM400&lt;=T400),AM400,9E15))),"OR",IF(AND(AND(J400=0,ISNUMBER(AL400),AL400&lt;=T400),AL400=MIN(IF(AND(I400=0,ISNUMBER(AK400),AK400&lt;=T400),AK400,9E15),IF(AND(J400=0,ISNUMBER(AL400),AL400&lt;=T400),AL400,9E15),IF(AND(K400=0,ISNUMBER(AM400),AM400&lt;=T400),AM400,9E15))),"HP","FP")),IF(AR400=TRUE,"",IF(MAX(IF(AND(NOT(AND(AO400=1,AN400&lt;&gt;1)),ISNUMBER(AG400),AG400&lt;=T400),AS400,0),IF(AND(NOT(AND(AO400=1,AN400&lt;&gt;1)),ISNUMBER(AH400),AH400&lt;=T400),AT400,0),IF(AND(NOT(AND(AO400=1,AN400&lt;&gt;1)),ISNUMBER(AI400),AI400&lt;=T400),AU400,0),IF(AND(ISNUMBER(AJ400),AJ400&lt;=T400),AV400,0))&lt;=0,"",IF(AND(IF(AND(NOT(AND(AO400=1,AN400&lt;&gt;1)),ISNUMBER(AG400),AG400&lt;=T400),AS400,0)&gt;0,IF(AND(NOT(AND(AO400=1,AN400&lt;&gt;1)),ISNUMBER(AG400),AG400&lt;=T400),AS400,0)=MAX(IF(AND(NOT(AND(AO400=1,AN400&lt;&gt;1)),ISNUMBER(AG400),AG400&lt;=T400),AS400,0),IF(AND(NOT(AND(AO400=1,AN400&lt;&gt;1)),ISNUMBER(AH400),AH400&lt;=T400),AT400,0),IF(AND(NOT(AND(AO400=1,AN400&lt;&gt;1)),ISNUMBER(AI400),AI400&lt;=T400),AU400,0),IF(AND(ISNUMBER(AJ400),AJ400&lt;=T400),AV400,0))),"SW",IF(AND(IF(AND(NOT(AND(AO400=1,AN400&lt;&gt;1)),ISNUMBER(AH400),AH400&lt;=T400),AT400,0)&gt;0,IF(AND(NOT(AND(AO400=1,AN400&lt;&gt;1)),ISNUMBER(AH400),AH400&lt;=T400),AT400,0)=MAX(IF(AND(NOT(AND(AO400=1,AN400&lt;&gt;1)),ISNUMBER(AG400),AG400&lt;=T400),AS400,0),IF(AND(NOT(AND(AO400=1,AN400&lt;&gt;1)),ISNUMBER(AH400),AH400&lt;=T400),AT400,0),IF(AND(NOT(AND(AO400=1,AN400&lt;&gt;1)),ISNUMBER(AI400),AI400&lt;=T400),AU400,0),IF(AND(ISNUMBER(AJ400),AJ400&lt;=T400),AV400,0))),"AB",IF(AND(IF(AND(NOT(AND(AO400=1,AN400&lt;&gt;1)),ISNUMBER(AI400),AI400&lt;=T400),AU400,0)&gt;0,IF(AND(NOT(AND(AO400=1,AN400&lt;&gt;1)),ISNUMBER(AI400),AI400&lt;=T400),AU400,0)=MAX(IF(AND(NOT(AND(AO400=1,AN400&lt;&gt;1)),ISNUMBER(AG400),AG400&lt;=T400),AS400,0),IF(AND(NOT(AND(AO400=1,AN400&lt;&gt;1)),ISNUMBER(AH400),AH400&lt;=T400),AT400,0),IF(AND(NOT(AND(AO400=1,AN400&lt;&gt;1)),ISNUMBER(AI400),AI400&lt;=T400),AU400,0),IF(AND(ISNUMBER(AJ400),AJ400&lt;=T400),AV400,0))),"SC","Mag")))))))</f>
        <v/>
      </c>
    </row>
    <row r="401">
      <c r="A401" s="26" t="n">
        <v>396</v>
      </c>
      <c r="B401" s="27">
        <f>A401*10/60</f>
        <v/>
      </c>
      <c r="C401" s="22">
        <f>X400</f>
        <v/>
      </c>
      <c r="D401" s="27">
        <f>D400+W400</f>
        <v/>
      </c>
      <c r="E401" s="26">
        <f>E400+IF(U400="SW",1,0)</f>
        <v/>
      </c>
      <c r="F401" s="26">
        <f>F400+IF(U400="AB",1,0)</f>
        <v/>
      </c>
      <c r="G401" s="26">
        <f>G400+IF(U400="SC",1,0)</f>
        <v/>
      </c>
      <c r="H401" s="26">
        <f>H400+IF(U400="Mag",1,0)</f>
        <v/>
      </c>
      <c r="I401" s="26">
        <f>MAX(I400,IF(U400="OR",1,0))</f>
        <v/>
      </c>
      <c r="J401" s="26">
        <f>MAX(J400,IF(U400="HP",1,0))</f>
        <v/>
      </c>
      <c r="K401" s="26">
        <f>MAX(K400,IF(U400="FP",1,0))</f>
        <v/>
      </c>
      <c r="L401" s="26">
        <f>MAX(L400,IF(U400="transition",1,0))</f>
        <v/>
      </c>
      <c r="M401" s="28">
        <f>(Parameters!$B$9+(IF(E401=0,0,(Upgrades!$J$6+E401*Upgrades!$K$6)*POWER(Upgrades!$L$6,E401)))*(IF(Upgrades!$T$7="Solar Wind",POWER(Upgrades!$U$7,F401),1)*IF(Upgrades!$T$8="Solar Wind",POWER(Upgrades!$U$8,G401),1)*IF(Upgrades!$T$9="Solar Wind",POWER(Upgrades!$U$9,H401),1)*IF(Upgrades!$T$10="Solar Wind",POWER(Upgrades!$U$10,I401),1)*IF(Upgrades!$T$11="Solar Wind",POWER(Upgrades!$U$11,J401),1)*IF(Upgrades!$T$12="Solar Wind",POWER(Upgrades!$U$12,K401),1))+(IF(F401=0,0,(Upgrades!$J$7+F401*Upgrades!$K$7)*POWER(Upgrades!$L$7,F401)))*(IF(Upgrades!$T$6="Asteroid Belt",POWER(Upgrades!$U$6,E401),1)*IF(Upgrades!$T$8="Asteroid Belt",POWER(Upgrades!$U$8,G401),1)*IF(Upgrades!$T$9="Asteroid Belt",POWER(Upgrades!$U$9,H401),1)*IF(Upgrades!$T$10="Asteroid Belt",POWER(Upgrades!$U$10,I401),1)*IF(Upgrades!$T$11="Asteroid Belt",POWER(Upgrades!$U$11,J401),1)*IF(Upgrades!$T$12="Asteroid Belt",POWER(Upgrades!$U$12,K401),1))+(IF(G401=0,0,(Upgrades!$J$8+G401*Upgrades!$K$8)*POWER(Upgrades!$L$8,G401)))*(IF(Upgrades!$T$6="Stellar Coupling",POWER(Upgrades!$U$6,E401),1)*IF(Upgrades!$T$7="Stellar Coupling",POWER(Upgrades!$U$7,F401),1)*IF(Upgrades!$T$9="Stellar Coupling",POWER(Upgrades!$U$9,H401),1)*IF(Upgrades!$T$10="Stellar Coupling",POWER(Upgrades!$U$10,I401),1)*IF(Upgrades!$T$11="Stellar Coupling",POWER(Upgrades!$U$11,J401),1)*IF(Upgrades!$T$12="Stellar Coupling",POWER(Upgrades!$U$12,K401),1))+(IF(H401=0,0,(Upgrades!$J$9+H401*Upgrades!$K$9)*POWER(Upgrades!$L$9,H401)))*(IF(Upgrades!$T$6="Magnetosphere",POWER(Upgrades!$U$6,E401),1)*IF(Upgrades!$T$7="Magnetosphere",POWER(Upgrades!$U$7,F401),1)*IF(Upgrades!$T$8="Magnetosphere",POWER(Upgrades!$U$8,G401),1)*IF(Upgrades!$T$10="Magnetosphere",POWER(Upgrades!$U$10,I401),1)*IF(Upgrades!$T$11="Magnetosphere",POWER(Upgrades!$U$11,J401),1)*IF(Upgrades!$T$12="Magnetosphere",POWER(Upgrades!$U$12,K401),1))+(IF(I401=0,0,(Upgrades!$J$10+I401*Upgrades!$K$10)*POWER(Upgrades!$L$10,I401)))*(IF(Upgrades!$T$6="Orbital Resonance",POWER(Upgrades!$U$6,E401),1)*IF(Upgrades!$T$7="Orbital Resonance",POWER(Upgrades!$U$7,F401),1)*IF(Upgrades!$T$8="Orbital Resonance",POWER(Upgrades!$U$8,G401),1)*IF(Upgrades!$T$9="Orbital Resonance",POWER(Upgrades!$U$9,H401),1)*IF(Upgrades!$T$11="Orbital Resonance",POWER(Upgrades!$U$11,J401),1)*IF(Upgrades!$T$12="Orbital Resonance",POWER(Upgrades!$U$12,K401),1))+(IF(J401=0,0,(Upgrades!$J$11+J401*Upgrades!$K$11)*POWER(Upgrades!$L$11,J401)))*(IF(Upgrades!$T$6="Heliopause",POWER(Upgrades!$U$6,E401),1)*IF(Upgrades!$T$7="Heliopause",POWER(Upgrades!$U$7,F401),1)*IF(Upgrades!$T$8="Heliopause",POWER(Upgrades!$U$8,G401),1)*IF(Upgrades!$T$9="Heliopause",POWER(Upgrades!$U$9,H401),1)*IF(Upgrades!$T$10="Heliopause",POWER(Upgrades!$U$10,I401),1)*IF(Upgrades!$T$12="Heliopause",POWER(Upgrades!$U$12,K401),1))+(IF(K401=0,0,(Upgrades!$J$12+K401*Upgrades!$K$12)*POWER(Upgrades!$L$12,K401)))*(IF(Upgrades!$T$6="First Photons",POWER(Upgrades!$U$6,E401),1)*IF(Upgrades!$T$7="First Photons",POWER(Upgrades!$U$7,F401),1)*IF(Upgrades!$T$8="First Photons",POWER(Upgrades!$U$8,G401),1)*IF(Upgrades!$T$9="First Photons",POWER(Upgrades!$U$9,H401),1)*IF(Upgrades!$T$10="First Photons",POWER(Upgrades!$U$10,I401),1)*IF(Upgrades!$T$11="First Photons",POWER(Upgrades!$U$11,J401),1)))*POWER(Upgrades!$Q$6,E401)*POWER(Upgrades!$Q$7,F401)*POWER(Upgrades!$Q$8,G401)*POWER(Upgrades!$Q$9,H401)*POWER(Upgrades!$Q$10,I401)*POWER(Upgrades!$Q$11,J401)*POWER(Upgrades!$Q$12,K401)</f>
        <v/>
      </c>
      <c r="N401" s="28">
        <f>((IF(E401=0,0,(Upgrades!$G$6+E401*Upgrades!$H$6)*POWER(Upgrades!$I$6,E401)))*(IF(Upgrades!$T$7="Solar Wind",POWER(Upgrades!$U$7,F401),1)*IF(Upgrades!$T$8="Solar Wind",POWER(Upgrades!$U$8,G401),1)*IF(Upgrades!$T$9="Solar Wind",POWER(Upgrades!$U$9,H401),1)*IF(Upgrades!$T$10="Solar Wind",POWER(Upgrades!$U$10,I401),1)*IF(Upgrades!$T$11="Solar Wind",POWER(Upgrades!$U$11,J401),1)*IF(Upgrades!$T$12="Solar Wind",POWER(Upgrades!$U$12,K401),1))+(IF(F401=0,0,(Upgrades!$G$7+F401*Upgrades!$H$7)*POWER(Upgrades!$I$7,F401)))*(IF(Upgrades!$T$6="Asteroid Belt",POWER(Upgrades!$U$6,E401),1)*IF(Upgrades!$T$8="Asteroid Belt",POWER(Upgrades!$U$8,G401),1)*IF(Upgrades!$T$9="Asteroid Belt",POWER(Upgrades!$U$9,H401),1)*IF(Upgrades!$T$10="Asteroid Belt",POWER(Upgrades!$U$10,I401),1)*IF(Upgrades!$T$11="Asteroid Belt",POWER(Upgrades!$U$11,J401),1)*IF(Upgrades!$T$12="Asteroid Belt",POWER(Upgrades!$U$12,K401),1))+(IF(G401=0,0,(Upgrades!$G$8+G401*Upgrades!$H$8)*POWER(Upgrades!$I$8,G401)))*(IF(Upgrades!$T$6="Stellar Coupling",POWER(Upgrades!$U$6,E401),1)*IF(Upgrades!$T$7="Stellar Coupling",POWER(Upgrades!$U$7,F401),1)*IF(Upgrades!$T$9="Stellar Coupling",POWER(Upgrades!$U$9,H401),1)*IF(Upgrades!$T$10="Stellar Coupling",POWER(Upgrades!$U$10,I401),1)*IF(Upgrades!$T$11="Stellar Coupling",POWER(Upgrades!$U$11,J401),1)*IF(Upgrades!$T$12="Stellar Coupling",POWER(Upgrades!$U$12,K401),1))+(IF(H401=0,0,(Upgrades!$G$9+H401*Upgrades!$H$9)*POWER(Upgrades!$I$9,H401)))*(IF(Upgrades!$T$6="Magnetosphere",POWER(Upgrades!$U$6,E401),1)*IF(Upgrades!$T$7="Magnetosphere",POWER(Upgrades!$U$7,F401),1)*IF(Upgrades!$T$8="Magnetosphere",POWER(Upgrades!$U$8,G401),1)*IF(Upgrades!$T$10="Magnetosphere",POWER(Upgrades!$U$10,I401),1)*IF(Upgrades!$T$11="Magnetosphere",POWER(Upgrades!$U$11,J401),1)*IF(Upgrades!$T$12="Magnetosphere",POWER(Upgrades!$U$12,K401),1))+(IF(I401=0,0,(Upgrades!$G$10+I401*Upgrades!$H$10)*POWER(Upgrades!$I$10,I401)))*(IF(Upgrades!$T$6="Orbital Resonance",POWER(Upgrades!$U$6,E401),1)*IF(Upgrades!$T$7="Orbital Resonance",POWER(Upgrades!$U$7,F401),1)*IF(Upgrades!$T$8="Orbital Resonance",POWER(Upgrades!$U$8,G401),1)*IF(Upgrades!$T$9="Orbital Resonance",POWER(Upgrades!$U$9,H401),1)*IF(Upgrades!$T$11="Orbital Resonance",POWER(Upgrades!$U$11,J401),1)*IF(Upgrades!$T$12="Orbital Resonance",POWER(Upgrades!$U$12,K401),1))+(IF(J401=0,0,(Upgrades!$G$11+J401*Upgrades!$H$11)*POWER(Upgrades!$I$11,J401)))*(IF(Upgrades!$T$6="Heliopause",POWER(Upgrades!$U$6,E401),1)*IF(Upgrades!$T$7="Heliopause",POWER(Upgrades!$U$7,F401),1)*IF(Upgrades!$T$8="Heliopause",POWER(Upgrades!$U$8,G401),1)*IF(Upgrades!$T$9="Heliopause",POWER(Upgrades!$U$9,H401),1)*IF(Upgrades!$T$10="Heliopause",POWER(Upgrades!$U$10,I401),1)*IF(Upgrades!$T$12="Heliopause",POWER(Upgrades!$U$12,K401),1))+(IF(K401=0,0,(Upgrades!$G$12+K401*Upgrades!$H$12)*POWER(Upgrades!$I$12,K401)))*(IF(Upgrades!$T$6="First Photons",POWER(Upgrades!$U$6,E401),1)*IF(Upgrades!$T$7="First Photons",POWER(Upgrades!$U$7,F401),1)*IF(Upgrades!$T$8="First Photons",POWER(Upgrades!$U$8,G401),1)*IF(Upgrades!$T$9="First Photons",POWER(Upgrades!$U$9,H401),1)*IF(Upgrades!$T$10="First Photons",POWER(Upgrades!$U$10,I401),1)*IF(Upgrades!$T$11="First Photons",POWER(Upgrades!$U$11,J401),1)))*POWER(Upgrades!$P$6,E401)*POWER(Upgrades!$P$7,F401)*POWER(Upgrades!$P$8,G401)*POWER(Upgrades!$P$9,H401)*POWER(Upgrades!$P$10,I401)*POWER(Upgrades!$P$11,J401)*POWER(Upgrades!$P$12,K401)</f>
        <v/>
      </c>
      <c r="O401" s="28">
        <f>((IF(E401=0,0,(Upgrades!$M$6+E401*Upgrades!$N$6)*POWER(Upgrades!$O$6,E401)))*(IF(Upgrades!$T$7="Solar Wind",POWER(Upgrades!$U$7,F401),1)*IF(Upgrades!$T$8="Solar Wind",POWER(Upgrades!$U$8,G401),1)*IF(Upgrades!$T$9="Solar Wind",POWER(Upgrades!$U$9,H401),1)*IF(Upgrades!$T$10="Solar Wind",POWER(Upgrades!$U$10,I401),1)*IF(Upgrades!$T$11="Solar Wind",POWER(Upgrades!$U$11,J401),1)*IF(Upgrades!$T$12="Solar Wind",POWER(Upgrades!$U$12,K401),1))+(IF(F401=0,0,(Upgrades!$M$7+F401*Upgrades!$N$7)*POWER(Upgrades!$O$7,F401)))*(IF(Upgrades!$T$6="Asteroid Belt",POWER(Upgrades!$U$6,E401),1)*IF(Upgrades!$T$8="Asteroid Belt",POWER(Upgrades!$U$8,G401),1)*IF(Upgrades!$T$9="Asteroid Belt",POWER(Upgrades!$U$9,H401),1)*IF(Upgrades!$T$10="Asteroid Belt",POWER(Upgrades!$U$10,I401),1)*IF(Upgrades!$T$11="Asteroid Belt",POWER(Upgrades!$U$11,J401),1)*IF(Upgrades!$T$12="Asteroid Belt",POWER(Upgrades!$U$12,K401),1))+(IF(G401=0,0,(Upgrades!$M$8+G401*Upgrades!$N$8)*POWER(Upgrades!$O$8,G401)))*(IF(Upgrades!$T$6="Stellar Coupling",POWER(Upgrades!$U$6,E401),1)*IF(Upgrades!$T$7="Stellar Coupling",POWER(Upgrades!$U$7,F401),1)*IF(Upgrades!$T$9="Stellar Coupling",POWER(Upgrades!$U$9,H401),1)*IF(Upgrades!$T$10="Stellar Coupling",POWER(Upgrades!$U$10,I401),1)*IF(Upgrades!$T$11="Stellar Coupling",POWER(Upgrades!$U$11,J401),1)*IF(Upgrades!$T$12="Stellar Coupling",POWER(Upgrades!$U$12,K401),1))+(IF(H401=0,0,(Upgrades!$M$9+H401*Upgrades!$N$9)*POWER(Upgrades!$O$9,H401)))*(IF(Upgrades!$T$6="Magnetosphere",POWER(Upgrades!$U$6,E401),1)*IF(Upgrades!$T$7="Magnetosphere",POWER(Upgrades!$U$7,F401),1)*IF(Upgrades!$T$8="Magnetosphere",POWER(Upgrades!$U$8,G401),1)*IF(Upgrades!$T$10="Magnetosphere",POWER(Upgrades!$U$10,I401),1)*IF(Upgrades!$T$11="Magnetosphere",POWER(Upgrades!$U$11,J401),1)*IF(Upgrades!$T$12="Magnetosphere",POWER(Upgrades!$U$12,K401),1))+(IF(I401=0,0,(Upgrades!$M$10+I401*Upgrades!$N$10)*POWER(Upgrades!$O$10,I401)))*(IF(Upgrades!$T$6="Orbital Resonance",POWER(Upgrades!$U$6,E401),1)*IF(Upgrades!$T$7="Orbital Resonance",POWER(Upgrades!$U$7,F401),1)*IF(Upgrades!$T$8="Orbital Resonance",POWER(Upgrades!$U$8,G401),1)*IF(Upgrades!$T$9="Orbital Resonance",POWER(Upgrades!$U$9,H401),1)*IF(Upgrades!$T$11="Orbital Resonance",POWER(Upgrades!$U$11,J401),1)*IF(Upgrades!$T$12="Orbital Resonance",POWER(Upgrades!$U$12,K401),1))+(IF(J401=0,0,(Upgrades!$M$11+J401*Upgrades!$N$11)*POWER(Upgrades!$O$11,J401)))*(IF(Upgrades!$T$6="Heliopause",POWER(Upgrades!$U$6,E401),1)*IF(Upgrades!$T$7="Heliopause",POWER(Upgrades!$U$7,F401),1)*IF(Upgrades!$T$8="Heliopause",POWER(Upgrades!$U$8,G401),1)*IF(Upgrades!$T$9="Heliopause",POWER(Upgrades!$U$9,H401),1)*IF(Upgrades!$T$10="Heliopause",POWER(Upgrades!$U$10,I401),1)*IF(Upgrades!$T$12="Heliopause",POWER(Upgrades!$U$12,K401),1))+(IF(K401=0,0,(Upgrades!$M$12+K401*Upgrades!$N$12)*POWER(Upgrades!$O$12,K401)))*(IF(Upgrades!$T$6="First Photons",POWER(Upgrades!$U$6,E401),1)*IF(Upgrades!$T$7="First Photons",POWER(Upgrades!$U$7,F401),1)*IF(Upgrades!$T$8="First Photons",POWER(Upgrades!$U$8,G401),1)*IF(Upgrades!$T$9="First Photons",POWER(Upgrades!$U$9,H401),1)*IF(Upgrades!$T$10="First Photons",POWER(Upgrades!$U$10,I401),1)*IF(Upgrades!$T$11="First Photons",POWER(Upgrades!$U$11,J401),1)))*POWER(Upgrades!$R$6,E401)*POWER(Upgrades!$R$7,F401)*POWER(Upgrades!$R$8,G401)*POWER(Upgrades!$R$9,H401)*POWER(Upgrades!$R$10,I401)*POWER(Upgrades!$R$11,J401)*POWER(Upgrades!$R$12,K401)</f>
        <v/>
      </c>
      <c r="P401" s="27">
        <f>IF(L401=1,0,M401*Parameters!$B$10/60*Parameters!$B$11*10)</f>
        <v/>
      </c>
      <c r="Q401" s="27">
        <f>IF(L401=1,0,O401*M401*10)</f>
        <v/>
      </c>
      <c r="R401" s="27">
        <f>IF(L401=1,0,N401*10)</f>
        <v/>
      </c>
      <c r="S401" s="27">
        <f>P401+Q401+R401</f>
        <v/>
      </c>
      <c r="T401" s="22">
        <f>C401+S401</f>
        <v/>
      </c>
      <c r="U401" s="33">
        <f>AX401</f>
        <v/>
      </c>
      <c r="V401" s="22">
        <f>IF(U401="",0,IF(U401="transition",0,IF(U401="SW",AG401,IF(U401="AB",AH401,IF(U401="SC",AI401,IF(U401="Mag",AJ401,IF(U401="OR",AK401,IF(U401="HP",AL401,IF(U401="FP",AM401,0)))))))))</f>
        <v/>
      </c>
      <c r="W401" s="27">
        <f>IF(U401="OR",Upgrades!$F$10,IF(U401="HP",Upgrades!$F$11,IF(U401="transition",-Parameters!$B$18,0)))</f>
        <v/>
      </c>
      <c r="X401" s="22">
        <f>T401-V401</f>
        <v/>
      </c>
      <c r="Y401" s="30">
        <f>M401*Parameters!$B$10/60*Parameters!$B$11+O401*M401+N401</f>
        <v/>
      </c>
      <c r="Z401" s="34">
        <f>IF(U401="transition","→ Tier 2 (Stellar Neighborhood)",IF(U401="FP","First Photons — light begins, system quickens",IF(U401="HP","Heliopause acquired",IF(U401="OR","Orbital Resonance — passive multiplier active",IF(AND(AO401=1,L401=0,AN401&lt;&gt;1),"Cohesion ready (waiting on completionist upgrades)","")))))</f>
        <v/>
      </c>
      <c r="AA401" s="27">
        <f>(IF(E401=0,0,(Upgrades!$G$6+E401*Upgrades!$H$6)*POWER(Upgrades!$I$6,E401)))*(IF(Upgrades!$T$7="Solar Wind",POWER(Upgrades!$U$7,F401),1)*IF(Upgrades!$T$8="Solar Wind",POWER(Upgrades!$U$8,G401),1)*IF(Upgrades!$T$9="Solar Wind",POWER(Upgrades!$U$9,H401),1)*IF(Upgrades!$T$10="Solar Wind",POWER(Upgrades!$U$10,I401),1)*IF(Upgrades!$T$11="Solar Wind",POWER(Upgrades!$U$11,J401),1)*IF(Upgrades!$T$12="Solar Wind",POWER(Upgrades!$U$12,K401),1))*POWER(Upgrades!$P$6,E401)*POWER(Upgrades!$P$7,F401)*POWER(Upgrades!$P$8,G401)*POWER(Upgrades!$P$9,H401)*POWER(Upgrades!$P$10,I401)*POWER(Upgrades!$P$11,J401)*POWER(Upgrades!$P$12,K401)*60</f>
        <v/>
      </c>
      <c r="AB401" s="27">
        <f>(IF(F401=0,0,(Upgrades!$G$7+F401*Upgrades!$H$7)*POWER(Upgrades!$I$7,F401)))*(IF(Upgrades!$T$6="Asteroid Belt",POWER(Upgrades!$U$6,E401),1)*IF(Upgrades!$T$8="Asteroid Belt",POWER(Upgrades!$U$8,G401),1)*IF(Upgrades!$T$9="Asteroid Belt",POWER(Upgrades!$U$9,H401),1)*IF(Upgrades!$T$10="Asteroid Belt",POWER(Upgrades!$U$10,I401),1)*IF(Upgrades!$T$11="Asteroid Belt",POWER(Upgrades!$U$11,J401),1)*IF(Upgrades!$T$12="Asteroid Belt",POWER(Upgrades!$U$12,K401),1))*POWER(Upgrades!$P$6,E401)*POWER(Upgrades!$P$7,F401)*POWER(Upgrades!$P$8,G401)*POWER(Upgrades!$P$9,H401)*POWER(Upgrades!$P$10,I401)*POWER(Upgrades!$P$11,J401)*POWER(Upgrades!$P$12,K401)*60</f>
        <v/>
      </c>
      <c r="AC401" s="27">
        <f>(IF(G401=0,0,(Upgrades!$J$8+G401*Upgrades!$K$8)*POWER(Upgrades!$L$8,G401)))*(IF(Upgrades!$T$6="Stellar Coupling",POWER(Upgrades!$U$6,E401),1)*IF(Upgrades!$T$7="Stellar Coupling",POWER(Upgrades!$U$7,F401),1)*IF(Upgrades!$T$9="Stellar Coupling",POWER(Upgrades!$U$9,H401),1)*IF(Upgrades!$T$10="Stellar Coupling",POWER(Upgrades!$U$10,I401),1)*IF(Upgrades!$T$11="Stellar Coupling",POWER(Upgrades!$U$11,J401),1)*IF(Upgrades!$T$12="Stellar Coupling",POWER(Upgrades!$U$12,K401),1))*POWER(Upgrades!$Q$6,E401)*POWER(Upgrades!$Q$7,F401)*POWER(Upgrades!$Q$8,G401)*POWER(Upgrades!$Q$9,H401)*POWER(Upgrades!$Q$10,I401)*POWER(Upgrades!$Q$11,J401)*POWER(Upgrades!$Q$12,K401)*Parameters!$B$10*Parameters!$B$11</f>
        <v/>
      </c>
      <c r="AD401" s="27">
        <f>(IF(H401=0,0,(Upgrades!$G$9+H401*Upgrades!$H$9)*POWER(Upgrades!$I$9,H401)))*(IF(Upgrades!$T$6="Magnetosphere",POWER(Upgrades!$U$6,E401),1)*IF(Upgrades!$T$7="Magnetosphere",POWER(Upgrades!$U$7,F401),1)*IF(Upgrades!$T$8="Magnetosphere",POWER(Upgrades!$U$8,G401),1)*IF(Upgrades!$T$10="Magnetosphere",POWER(Upgrades!$U$10,I401),1)*IF(Upgrades!$T$11="Magnetosphere",POWER(Upgrades!$U$11,J401),1)*IF(Upgrades!$T$12="Magnetosphere",POWER(Upgrades!$U$12,K401),1))*POWER(Upgrades!$P$6,E401)*POWER(Upgrades!$P$7,F401)*POWER(Upgrades!$P$8,G401)*POWER(Upgrades!$P$9,H401)*POWER(Upgrades!$P$10,I401)*POWER(Upgrades!$P$11,J401)*POWER(Upgrades!$P$12,K401)*60</f>
        <v/>
      </c>
      <c r="AE401" s="27">
        <f>(IF(K401=0,0,(Upgrades!$G$12+K401*Upgrades!$H$12)*POWER(Upgrades!$I$12,K401)))*(IF(Upgrades!$T$6="First Photons",POWER(Upgrades!$U$6,E401),1)*IF(Upgrades!$T$7="First Photons",POWER(Upgrades!$U$7,F401),1)*IF(Upgrades!$T$8="First Photons",POWER(Upgrades!$U$8,G401),1)*IF(Upgrades!$T$9="First Photons",POWER(Upgrades!$U$9,H401),1)*IF(Upgrades!$T$10="First Photons",POWER(Upgrades!$U$10,I401),1)*IF(Upgrades!$T$11="First Photons",POWER(Upgrades!$U$11,J401),1))*POWER(Upgrades!$P$6,E401)*POWER(Upgrades!$P$7,F401)*POWER(Upgrades!$P$8,G401)*POWER(Upgrades!$P$9,H401)*POWER(Upgrades!$P$10,I401)*POWER(Upgrades!$P$11,J401)*POWER(Upgrades!$P$12,K401)*60</f>
        <v/>
      </c>
      <c r="AF401" s="27">
        <f>Parameters!$B$9*POWER(Upgrades!$Q$6,E401)*POWER(Upgrades!$Q$7,F401)*POWER(Upgrades!$Q$8,G401)*POWER(Upgrades!$Q$9,H401)*POWER(Upgrades!$Q$10,I401)*POWER(Upgrades!$Q$11,J401)*POWER(Upgrades!$Q$12,K401)*(Parameters!$B$10*Parameters!$B$11+O401*60)</f>
        <v/>
      </c>
      <c r="AG401" s="22">
        <f>IF(E401&gt;=Upgrades!$E$6,"",Upgrades!$C$6*POWER(Upgrades!$D$6,E401))</f>
        <v/>
      </c>
      <c r="AH401" s="22">
        <f>IF(F401&gt;=Upgrades!$E$7,"",Upgrades!$C$7*POWER(Upgrades!$D$7,F401))</f>
        <v/>
      </c>
      <c r="AI401" s="22">
        <f>IF(G401&gt;=Upgrades!$E$8,"",Upgrades!$C$8*POWER(Upgrades!$D$8,G401))</f>
        <v/>
      </c>
      <c r="AJ401" s="22">
        <f>IF(H401&gt;=Upgrades!$E$9,"",Upgrades!$C$9*POWER(Upgrades!$D$9,H401))</f>
        <v/>
      </c>
      <c r="AK401" s="22">
        <f>IF(I401&gt;=Upgrades!$E$10,"",Upgrades!$C$10*POWER(Upgrades!$D$10,I401))</f>
        <v/>
      </c>
      <c r="AL401" s="22">
        <f>IF(J401&gt;=Upgrades!$E$11,"",Upgrades!$C$11*POWER(Upgrades!$D$11,J401))</f>
        <v/>
      </c>
      <c r="AM401" s="22">
        <f>IF(K401&gt;=Upgrades!$E$12,"",Upgrades!$C$12*POWER(Upgrades!$D$12,K401))</f>
        <v/>
      </c>
      <c r="AN401" s="26">
        <f>IF(AND(D401&gt;=Parameters!$B$18,(H401&gt;=Upgrades!$E$9)*(K401&gt;=Upgrades!$E$12)=1,L401=0),1,"")</f>
        <v/>
      </c>
      <c r="AO401" s="26">
        <f>IF(AND(D401&gt;=Parameters!$B$18,L401=0),1,"")</f>
        <v/>
      </c>
      <c r="AP401" s="22">
        <f>MIN(IF(ISNUMBER(AK401),AK401,9E15),IF(ISNUMBER(AL401),AL401,9E15),IF(ISNUMBER(AM401),AM401,9E15))</f>
        <v/>
      </c>
      <c r="AQ401" s="22">
        <f>MIN(IF(ISNUMBER(AG401),AG401,9E15),IF(ISNUMBER(AH401),AH401,9E15),IF(ISNUMBER(AI401),AI401,9E15),IF(ISNUMBER(AJ401),AJ401,9E15))</f>
        <v/>
      </c>
      <c r="AR401" s="29">
        <f>IF(AW401&gt;Parameters!$B$21*(MAX(IF(AND(NOT(AND(AO401=1,AN401&lt;&gt;1)),ISNUMBER(AG401),AG401&lt;=T401),AS401,0),IF(AND(NOT(AND(AO401=1,AN401&lt;&gt;1)),ISNUMBER(AH401),AH401&lt;=T401),AT401,0),IF(AND(NOT(AND(AO401=1,AN401&lt;&gt;1)),ISNUMBER(AI401),AI401&lt;=T401),AU401,0),IF(AND(ISNUMBER(AJ401),AJ401&lt;=T401),AV401,0))),TRUE,FALSE)</f>
        <v/>
      </c>
      <c r="AS401" s="32">
        <f>IFERROR(Upgrades!$H$6*(POWER(Upgrades!$P$6,E401)*POWER(Upgrades!$P$7,F401)*POWER(Upgrades!$P$8,G401)*POWER(Upgrades!$P$9,H401)*POWER(Upgrades!$P$10,I401)*POWER(Upgrades!$P$11,J401)*POWER(Upgrades!$P$12,K401))*(IF(Upgrades!$T$7="Solar Wind",POWER(Upgrades!$U$7,F401),1)*IF(Upgrades!$T$8="Solar Wind",POWER(Upgrades!$U$8,G401),1)*IF(Upgrades!$T$9="Solar Wind",POWER(Upgrades!$U$9,H401),1)*IF(Upgrades!$T$10="Solar Wind",POWER(Upgrades!$U$10,I401),1)*IF(Upgrades!$T$11="Solar Wind",POWER(Upgrades!$U$11,J401),1)*IF(Upgrades!$T$12="Solar Wind",POWER(Upgrades!$U$12,K401),1))/AG401,0)</f>
        <v/>
      </c>
      <c r="AT401" s="32">
        <f>IFERROR(Upgrades!$H$7*(POWER(Upgrades!$P$6,E401)*POWER(Upgrades!$P$7,F401)*POWER(Upgrades!$P$8,G401)*POWER(Upgrades!$P$9,H401)*POWER(Upgrades!$P$10,I401)*POWER(Upgrades!$P$11,J401)*POWER(Upgrades!$P$12,K401))*(IF(Upgrades!$T$6="Asteroid Belt",POWER(Upgrades!$U$6,E401),1)*IF(Upgrades!$T$8="Asteroid Belt",POWER(Upgrades!$U$8,G401),1)*IF(Upgrades!$T$9="Asteroid Belt",POWER(Upgrades!$U$9,H401),1)*IF(Upgrades!$T$10="Asteroid Belt",POWER(Upgrades!$U$10,I401),1)*IF(Upgrades!$T$11="Asteroid Belt",POWER(Upgrades!$U$11,J401),1)*IF(Upgrades!$T$12="Asteroid Belt",POWER(Upgrades!$U$12,K401),1))/AH401,0)</f>
        <v/>
      </c>
      <c r="AU401" s="32">
        <f>IFERROR(Upgrades!$K$8*(POWER(Upgrades!$Q$6,E401)*POWER(Upgrades!$Q$7,F401)*POWER(Upgrades!$Q$8,G401)*POWER(Upgrades!$Q$9,H401)*POWER(Upgrades!$Q$10,I401)*POWER(Upgrades!$Q$11,J401)*POWER(Upgrades!$Q$12,K401))*(IF(Upgrades!$T$6="Stellar Coupling",POWER(Upgrades!$U$6,E401),1)*IF(Upgrades!$T$7="Stellar Coupling",POWER(Upgrades!$U$7,F401),1)*IF(Upgrades!$T$9="Stellar Coupling",POWER(Upgrades!$U$9,H401),1)*IF(Upgrades!$T$10="Stellar Coupling",POWER(Upgrades!$U$10,I401),1)*IF(Upgrades!$T$11="Stellar Coupling",POWER(Upgrades!$U$11,J401),1)*IF(Upgrades!$T$12="Stellar Coupling",POWER(Upgrades!$U$12,K401),1))*Parameters!$B$10*Parameters!$B$11/60/AI401,0)</f>
        <v/>
      </c>
      <c r="AV401" s="32">
        <f>IFERROR(Upgrades!$H$9*(POWER(Upgrades!$P$6,E401)*POWER(Upgrades!$P$7,F401)*POWER(Upgrades!$P$8,G401)*POWER(Upgrades!$P$9,H401)*POWER(Upgrades!$P$10,I401)*POWER(Upgrades!$P$11,J401)*POWER(Upgrades!$P$12,K401))*(IF(Upgrades!$T$6="Magnetosphere",POWER(Upgrades!$U$6,E401),1)*IF(Upgrades!$T$7="Magnetosphere",POWER(Upgrades!$U$7,F401),1)*IF(Upgrades!$T$8="Magnetosphere",POWER(Upgrades!$U$8,G401),1)*IF(Upgrades!$T$10="Magnetosphere",POWER(Upgrades!$U$10,I401),1)*IF(Upgrades!$T$11="Magnetosphere",POWER(Upgrades!$U$11,J401),1)*IF(Upgrades!$T$12="Magnetosphere",POWER(Upgrades!$U$12,K401),1))/AJ401,0)</f>
        <v/>
      </c>
      <c r="AW401" s="32">
        <f>MAX(IF(I401&gt;0,0,IFERROR(0.25*N401/Upgrades!$C$10,0)),IF(J401&gt;0,0,IFERROR(0.5*((IF(G401=0,0,(Upgrades!$J$8+G401*Upgrades!$K$8)*POWER(Upgrades!$L$8,G401)))*(IF(Upgrades!$T$6="Stellar Coupling",POWER(Upgrades!$U$6,E401),1)*IF(Upgrades!$T$7="Stellar Coupling",POWER(Upgrades!$U$7,F401),1)*IF(Upgrades!$T$9="Stellar Coupling",POWER(Upgrades!$U$9,H401),1)*IF(Upgrades!$T$10="Stellar Coupling",POWER(Upgrades!$U$10,I401),1)*IF(Upgrades!$T$11="Stellar Coupling",POWER(Upgrades!$U$11,J401),1)*IF(Upgrades!$T$12="Stellar Coupling",POWER(Upgrades!$U$12,K401),1))*(POWER(Upgrades!$Q$6,E401)*POWER(Upgrades!$Q$7,F401)*POWER(Upgrades!$Q$8,G401)*POWER(Upgrades!$Q$9,H401)*POWER(Upgrades!$Q$10,I401)*POWER(Upgrades!$Q$11,J401)*POWER(Upgrades!$Q$12,K401))*Parameters!$B$10*Parameters!$B$11/60)/Upgrades!$C$11,0)),IF(K401&gt;0,0,IFERROR((1.0*(POWER(Upgrades!$P$6,E401)*POWER(Upgrades!$P$7,F401)*POWER(Upgrades!$P$8,G401)*POWER(Upgrades!$P$9,H401)*POWER(Upgrades!$P$10,I401)*POWER(Upgrades!$P$11,J401)*POWER(Upgrades!$P$12,K401))+0.20*M401*Parameters!$B$10*Parameters!$B$11/60)/Upgrades!$C$12,0)),IF(AND(ISNUMBER(AG401),AG401&gt;T401),AS401,0),IF(AND(ISNUMBER(AH401),AH401&gt;T401),AT401,0),IF(AND(ISNUMBER(AI401),AI401&gt;T401),AU401,0),IF(AND(ISNUMBER(AJ401),AJ401&gt;T401),AV401,0))</f>
        <v/>
      </c>
      <c r="AX401" s="29">
        <f>IF(AN401=1,"transition",IF(MIN(IF(AND(I401=0,ISNUMBER(AK401),AK401&lt;=T401),AK401,9E15),IF(AND(J401=0,ISNUMBER(AL401),AL401&lt;=T401),AL401,9E15),IF(AND(K401=0,ISNUMBER(AM401),AM401&lt;=T401),AM401,9E15))&lt;9E15,IF(AND(AND(I401=0,ISNUMBER(AK401),AK401&lt;=T401),AK401=MIN(IF(AND(I401=0,ISNUMBER(AK401),AK401&lt;=T401),AK401,9E15),IF(AND(J401=0,ISNUMBER(AL401),AL401&lt;=T401),AL401,9E15),IF(AND(K401=0,ISNUMBER(AM401),AM401&lt;=T401),AM401,9E15))),"OR",IF(AND(AND(J401=0,ISNUMBER(AL401),AL401&lt;=T401),AL401=MIN(IF(AND(I401=0,ISNUMBER(AK401),AK401&lt;=T401),AK401,9E15),IF(AND(J401=0,ISNUMBER(AL401),AL401&lt;=T401),AL401,9E15),IF(AND(K401=0,ISNUMBER(AM401),AM401&lt;=T401),AM401,9E15))),"HP","FP")),IF(AR401=TRUE,"",IF(MAX(IF(AND(NOT(AND(AO401=1,AN401&lt;&gt;1)),ISNUMBER(AG401),AG401&lt;=T401),AS401,0),IF(AND(NOT(AND(AO401=1,AN401&lt;&gt;1)),ISNUMBER(AH401),AH401&lt;=T401),AT401,0),IF(AND(NOT(AND(AO401=1,AN401&lt;&gt;1)),ISNUMBER(AI401),AI401&lt;=T401),AU401,0),IF(AND(ISNUMBER(AJ401),AJ401&lt;=T401),AV401,0))&lt;=0,"",IF(AND(IF(AND(NOT(AND(AO401=1,AN401&lt;&gt;1)),ISNUMBER(AG401),AG401&lt;=T401),AS401,0)&gt;0,IF(AND(NOT(AND(AO401=1,AN401&lt;&gt;1)),ISNUMBER(AG401),AG401&lt;=T401),AS401,0)=MAX(IF(AND(NOT(AND(AO401=1,AN401&lt;&gt;1)),ISNUMBER(AG401),AG401&lt;=T401),AS401,0),IF(AND(NOT(AND(AO401=1,AN401&lt;&gt;1)),ISNUMBER(AH401),AH401&lt;=T401),AT401,0),IF(AND(NOT(AND(AO401=1,AN401&lt;&gt;1)),ISNUMBER(AI401),AI401&lt;=T401),AU401,0),IF(AND(ISNUMBER(AJ401),AJ401&lt;=T401),AV401,0))),"SW",IF(AND(IF(AND(NOT(AND(AO401=1,AN401&lt;&gt;1)),ISNUMBER(AH401),AH401&lt;=T401),AT401,0)&gt;0,IF(AND(NOT(AND(AO401=1,AN401&lt;&gt;1)),ISNUMBER(AH401),AH401&lt;=T401),AT401,0)=MAX(IF(AND(NOT(AND(AO401=1,AN401&lt;&gt;1)),ISNUMBER(AG401),AG401&lt;=T401),AS401,0),IF(AND(NOT(AND(AO401=1,AN401&lt;&gt;1)),ISNUMBER(AH401),AH401&lt;=T401),AT401,0),IF(AND(NOT(AND(AO401=1,AN401&lt;&gt;1)),ISNUMBER(AI401),AI401&lt;=T401),AU401,0),IF(AND(ISNUMBER(AJ401),AJ401&lt;=T401),AV401,0))),"AB",IF(AND(IF(AND(NOT(AND(AO401=1,AN401&lt;&gt;1)),ISNUMBER(AI401),AI401&lt;=T401),AU401,0)&gt;0,IF(AND(NOT(AND(AO401=1,AN401&lt;&gt;1)),ISNUMBER(AI401),AI401&lt;=T401),AU401,0)=MAX(IF(AND(NOT(AND(AO401=1,AN401&lt;&gt;1)),ISNUMBER(AG401),AG401&lt;=T401),AS401,0),IF(AND(NOT(AND(AO401=1,AN401&lt;&gt;1)),ISNUMBER(AH401),AH401&lt;=T401),AT401,0),IF(AND(NOT(AND(AO401=1,AN401&lt;&gt;1)),ISNUMBER(AI401),AI401&lt;=T401),AU401,0),IF(AND(ISNUMBER(AJ401),AJ401&lt;=T401),AV401,0))),"SC","Mag")))))))</f>
        <v/>
      </c>
    </row>
    <row r="402">
      <c r="A402" s="26" t="n">
        <v>397</v>
      </c>
      <c r="B402" s="27">
        <f>A402*10/60</f>
        <v/>
      </c>
      <c r="C402" s="22">
        <f>X401</f>
        <v/>
      </c>
      <c r="D402" s="27">
        <f>D401+W401</f>
        <v/>
      </c>
      <c r="E402" s="26">
        <f>E401+IF(U401="SW",1,0)</f>
        <v/>
      </c>
      <c r="F402" s="26">
        <f>F401+IF(U401="AB",1,0)</f>
        <v/>
      </c>
      <c r="G402" s="26">
        <f>G401+IF(U401="SC",1,0)</f>
        <v/>
      </c>
      <c r="H402" s="26">
        <f>H401+IF(U401="Mag",1,0)</f>
        <v/>
      </c>
      <c r="I402" s="26">
        <f>MAX(I401,IF(U401="OR",1,0))</f>
        <v/>
      </c>
      <c r="J402" s="26">
        <f>MAX(J401,IF(U401="HP",1,0))</f>
        <v/>
      </c>
      <c r="K402" s="26">
        <f>MAX(K401,IF(U401="FP",1,0))</f>
        <v/>
      </c>
      <c r="L402" s="26">
        <f>MAX(L401,IF(U401="transition",1,0))</f>
        <v/>
      </c>
      <c r="M402" s="28">
        <f>(Parameters!$B$9+(IF(E402=0,0,(Upgrades!$J$6+E402*Upgrades!$K$6)*POWER(Upgrades!$L$6,E402)))*(IF(Upgrades!$T$7="Solar Wind",POWER(Upgrades!$U$7,F402),1)*IF(Upgrades!$T$8="Solar Wind",POWER(Upgrades!$U$8,G402),1)*IF(Upgrades!$T$9="Solar Wind",POWER(Upgrades!$U$9,H402),1)*IF(Upgrades!$T$10="Solar Wind",POWER(Upgrades!$U$10,I402),1)*IF(Upgrades!$T$11="Solar Wind",POWER(Upgrades!$U$11,J402),1)*IF(Upgrades!$T$12="Solar Wind",POWER(Upgrades!$U$12,K402),1))+(IF(F402=0,0,(Upgrades!$J$7+F402*Upgrades!$K$7)*POWER(Upgrades!$L$7,F402)))*(IF(Upgrades!$T$6="Asteroid Belt",POWER(Upgrades!$U$6,E402),1)*IF(Upgrades!$T$8="Asteroid Belt",POWER(Upgrades!$U$8,G402),1)*IF(Upgrades!$T$9="Asteroid Belt",POWER(Upgrades!$U$9,H402),1)*IF(Upgrades!$T$10="Asteroid Belt",POWER(Upgrades!$U$10,I402),1)*IF(Upgrades!$T$11="Asteroid Belt",POWER(Upgrades!$U$11,J402),1)*IF(Upgrades!$T$12="Asteroid Belt",POWER(Upgrades!$U$12,K402),1))+(IF(G402=0,0,(Upgrades!$J$8+G402*Upgrades!$K$8)*POWER(Upgrades!$L$8,G402)))*(IF(Upgrades!$T$6="Stellar Coupling",POWER(Upgrades!$U$6,E402),1)*IF(Upgrades!$T$7="Stellar Coupling",POWER(Upgrades!$U$7,F402),1)*IF(Upgrades!$T$9="Stellar Coupling",POWER(Upgrades!$U$9,H402),1)*IF(Upgrades!$T$10="Stellar Coupling",POWER(Upgrades!$U$10,I402),1)*IF(Upgrades!$T$11="Stellar Coupling",POWER(Upgrades!$U$11,J402),1)*IF(Upgrades!$T$12="Stellar Coupling",POWER(Upgrades!$U$12,K402),1))+(IF(H402=0,0,(Upgrades!$J$9+H402*Upgrades!$K$9)*POWER(Upgrades!$L$9,H402)))*(IF(Upgrades!$T$6="Magnetosphere",POWER(Upgrades!$U$6,E402),1)*IF(Upgrades!$T$7="Magnetosphere",POWER(Upgrades!$U$7,F402),1)*IF(Upgrades!$T$8="Magnetosphere",POWER(Upgrades!$U$8,G402),1)*IF(Upgrades!$T$10="Magnetosphere",POWER(Upgrades!$U$10,I402),1)*IF(Upgrades!$T$11="Magnetosphere",POWER(Upgrades!$U$11,J402),1)*IF(Upgrades!$T$12="Magnetosphere",POWER(Upgrades!$U$12,K402),1))+(IF(I402=0,0,(Upgrades!$J$10+I402*Upgrades!$K$10)*POWER(Upgrades!$L$10,I402)))*(IF(Upgrades!$T$6="Orbital Resonance",POWER(Upgrades!$U$6,E402),1)*IF(Upgrades!$T$7="Orbital Resonance",POWER(Upgrades!$U$7,F402),1)*IF(Upgrades!$T$8="Orbital Resonance",POWER(Upgrades!$U$8,G402),1)*IF(Upgrades!$T$9="Orbital Resonance",POWER(Upgrades!$U$9,H402),1)*IF(Upgrades!$T$11="Orbital Resonance",POWER(Upgrades!$U$11,J402),1)*IF(Upgrades!$T$12="Orbital Resonance",POWER(Upgrades!$U$12,K402),1))+(IF(J402=0,0,(Upgrades!$J$11+J402*Upgrades!$K$11)*POWER(Upgrades!$L$11,J402)))*(IF(Upgrades!$T$6="Heliopause",POWER(Upgrades!$U$6,E402),1)*IF(Upgrades!$T$7="Heliopause",POWER(Upgrades!$U$7,F402),1)*IF(Upgrades!$T$8="Heliopause",POWER(Upgrades!$U$8,G402),1)*IF(Upgrades!$T$9="Heliopause",POWER(Upgrades!$U$9,H402),1)*IF(Upgrades!$T$10="Heliopause",POWER(Upgrades!$U$10,I402),1)*IF(Upgrades!$T$12="Heliopause",POWER(Upgrades!$U$12,K402),1))+(IF(K402=0,0,(Upgrades!$J$12+K402*Upgrades!$K$12)*POWER(Upgrades!$L$12,K402)))*(IF(Upgrades!$T$6="First Photons",POWER(Upgrades!$U$6,E402),1)*IF(Upgrades!$T$7="First Photons",POWER(Upgrades!$U$7,F402),1)*IF(Upgrades!$T$8="First Photons",POWER(Upgrades!$U$8,G402),1)*IF(Upgrades!$T$9="First Photons",POWER(Upgrades!$U$9,H402),1)*IF(Upgrades!$T$10="First Photons",POWER(Upgrades!$U$10,I402),1)*IF(Upgrades!$T$11="First Photons",POWER(Upgrades!$U$11,J402),1)))*POWER(Upgrades!$Q$6,E402)*POWER(Upgrades!$Q$7,F402)*POWER(Upgrades!$Q$8,G402)*POWER(Upgrades!$Q$9,H402)*POWER(Upgrades!$Q$10,I402)*POWER(Upgrades!$Q$11,J402)*POWER(Upgrades!$Q$12,K402)</f>
        <v/>
      </c>
      <c r="N402" s="28">
        <f>((IF(E402=0,0,(Upgrades!$G$6+E402*Upgrades!$H$6)*POWER(Upgrades!$I$6,E402)))*(IF(Upgrades!$T$7="Solar Wind",POWER(Upgrades!$U$7,F402),1)*IF(Upgrades!$T$8="Solar Wind",POWER(Upgrades!$U$8,G402),1)*IF(Upgrades!$T$9="Solar Wind",POWER(Upgrades!$U$9,H402),1)*IF(Upgrades!$T$10="Solar Wind",POWER(Upgrades!$U$10,I402),1)*IF(Upgrades!$T$11="Solar Wind",POWER(Upgrades!$U$11,J402),1)*IF(Upgrades!$T$12="Solar Wind",POWER(Upgrades!$U$12,K402),1))+(IF(F402=0,0,(Upgrades!$G$7+F402*Upgrades!$H$7)*POWER(Upgrades!$I$7,F402)))*(IF(Upgrades!$T$6="Asteroid Belt",POWER(Upgrades!$U$6,E402),1)*IF(Upgrades!$T$8="Asteroid Belt",POWER(Upgrades!$U$8,G402),1)*IF(Upgrades!$T$9="Asteroid Belt",POWER(Upgrades!$U$9,H402),1)*IF(Upgrades!$T$10="Asteroid Belt",POWER(Upgrades!$U$10,I402),1)*IF(Upgrades!$T$11="Asteroid Belt",POWER(Upgrades!$U$11,J402),1)*IF(Upgrades!$T$12="Asteroid Belt",POWER(Upgrades!$U$12,K402),1))+(IF(G402=0,0,(Upgrades!$G$8+G402*Upgrades!$H$8)*POWER(Upgrades!$I$8,G402)))*(IF(Upgrades!$T$6="Stellar Coupling",POWER(Upgrades!$U$6,E402),1)*IF(Upgrades!$T$7="Stellar Coupling",POWER(Upgrades!$U$7,F402),1)*IF(Upgrades!$T$9="Stellar Coupling",POWER(Upgrades!$U$9,H402),1)*IF(Upgrades!$T$10="Stellar Coupling",POWER(Upgrades!$U$10,I402),1)*IF(Upgrades!$T$11="Stellar Coupling",POWER(Upgrades!$U$11,J402),1)*IF(Upgrades!$T$12="Stellar Coupling",POWER(Upgrades!$U$12,K402),1))+(IF(H402=0,0,(Upgrades!$G$9+H402*Upgrades!$H$9)*POWER(Upgrades!$I$9,H402)))*(IF(Upgrades!$T$6="Magnetosphere",POWER(Upgrades!$U$6,E402),1)*IF(Upgrades!$T$7="Magnetosphere",POWER(Upgrades!$U$7,F402),1)*IF(Upgrades!$T$8="Magnetosphere",POWER(Upgrades!$U$8,G402),1)*IF(Upgrades!$T$10="Magnetosphere",POWER(Upgrades!$U$10,I402),1)*IF(Upgrades!$T$11="Magnetosphere",POWER(Upgrades!$U$11,J402),1)*IF(Upgrades!$T$12="Magnetosphere",POWER(Upgrades!$U$12,K402),1))+(IF(I402=0,0,(Upgrades!$G$10+I402*Upgrades!$H$10)*POWER(Upgrades!$I$10,I402)))*(IF(Upgrades!$T$6="Orbital Resonance",POWER(Upgrades!$U$6,E402),1)*IF(Upgrades!$T$7="Orbital Resonance",POWER(Upgrades!$U$7,F402),1)*IF(Upgrades!$T$8="Orbital Resonance",POWER(Upgrades!$U$8,G402),1)*IF(Upgrades!$T$9="Orbital Resonance",POWER(Upgrades!$U$9,H402),1)*IF(Upgrades!$T$11="Orbital Resonance",POWER(Upgrades!$U$11,J402),1)*IF(Upgrades!$T$12="Orbital Resonance",POWER(Upgrades!$U$12,K402),1))+(IF(J402=0,0,(Upgrades!$G$11+J402*Upgrades!$H$11)*POWER(Upgrades!$I$11,J402)))*(IF(Upgrades!$T$6="Heliopause",POWER(Upgrades!$U$6,E402),1)*IF(Upgrades!$T$7="Heliopause",POWER(Upgrades!$U$7,F402),1)*IF(Upgrades!$T$8="Heliopause",POWER(Upgrades!$U$8,G402),1)*IF(Upgrades!$T$9="Heliopause",POWER(Upgrades!$U$9,H402),1)*IF(Upgrades!$T$10="Heliopause",POWER(Upgrades!$U$10,I402),1)*IF(Upgrades!$T$12="Heliopause",POWER(Upgrades!$U$12,K402),1))+(IF(K402=0,0,(Upgrades!$G$12+K402*Upgrades!$H$12)*POWER(Upgrades!$I$12,K402)))*(IF(Upgrades!$T$6="First Photons",POWER(Upgrades!$U$6,E402),1)*IF(Upgrades!$T$7="First Photons",POWER(Upgrades!$U$7,F402),1)*IF(Upgrades!$T$8="First Photons",POWER(Upgrades!$U$8,G402),1)*IF(Upgrades!$T$9="First Photons",POWER(Upgrades!$U$9,H402),1)*IF(Upgrades!$T$10="First Photons",POWER(Upgrades!$U$10,I402),1)*IF(Upgrades!$T$11="First Photons",POWER(Upgrades!$U$11,J402),1)))*POWER(Upgrades!$P$6,E402)*POWER(Upgrades!$P$7,F402)*POWER(Upgrades!$P$8,G402)*POWER(Upgrades!$P$9,H402)*POWER(Upgrades!$P$10,I402)*POWER(Upgrades!$P$11,J402)*POWER(Upgrades!$P$12,K402)</f>
        <v/>
      </c>
      <c r="O402" s="28">
        <f>((IF(E402=0,0,(Upgrades!$M$6+E402*Upgrades!$N$6)*POWER(Upgrades!$O$6,E402)))*(IF(Upgrades!$T$7="Solar Wind",POWER(Upgrades!$U$7,F402),1)*IF(Upgrades!$T$8="Solar Wind",POWER(Upgrades!$U$8,G402),1)*IF(Upgrades!$T$9="Solar Wind",POWER(Upgrades!$U$9,H402),1)*IF(Upgrades!$T$10="Solar Wind",POWER(Upgrades!$U$10,I402),1)*IF(Upgrades!$T$11="Solar Wind",POWER(Upgrades!$U$11,J402),1)*IF(Upgrades!$T$12="Solar Wind",POWER(Upgrades!$U$12,K402),1))+(IF(F402=0,0,(Upgrades!$M$7+F402*Upgrades!$N$7)*POWER(Upgrades!$O$7,F402)))*(IF(Upgrades!$T$6="Asteroid Belt",POWER(Upgrades!$U$6,E402),1)*IF(Upgrades!$T$8="Asteroid Belt",POWER(Upgrades!$U$8,G402),1)*IF(Upgrades!$T$9="Asteroid Belt",POWER(Upgrades!$U$9,H402),1)*IF(Upgrades!$T$10="Asteroid Belt",POWER(Upgrades!$U$10,I402),1)*IF(Upgrades!$T$11="Asteroid Belt",POWER(Upgrades!$U$11,J402),1)*IF(Upgrades!$T$12="Asteroid Belt",POWER(Upgrades!$U$12,K402),1))+(IF(G402=0,0,(Upgrades!$M$8+G402*Upgrades!$N$8)*POWER(Upgrades!$O$8,G402)))*(IF(Upgrades!$T$6="Stellar Coupling",POWER(Upgrades!$U$6,E402),1)*IF(Upgrades!$T$7="Stellar Coupling",POWER(Upgrades!$U$7,F402),1)*IF(Upgrades!$T$9="Stellar Coupling",POWER(Upgrades!$U$9,H402),1)*IF(Upgrades!$T$10="Stellar Coupling",POWER(Upgrades!$U$10,I402),1)*IF(Upgrades!$T$11="Stellar Coupling",POWER(Upgrades!$U$11,J402),1)*IF(Upgrades!$T$12="Stellar Coupling",POWER(Upgrades!$U$12,K402),1))+(IF(H402=0,0,(Upgrades!$M$9+H402*Upgrades!$N$9)*POWER(Upgrades!$O$9,H402)))*(IF(Upgrades!$T$6="Magnetosphere",POWER(Upgrades!$U$6,E402),1)*IF(Upgrades!$T$7="Magnetosphere",POWER(Upgrades!$U$7,F402),1)*IF(Upgrades!$T$8="Magnetosphere",POWER(Upgrades!$U$8,G402),1)*IF(Upgrades!$T$10="Magnetosphere",POWER(Upgrades!$U$10,I402),1)*IF(Upgrades!$T$11="Magnetosphere",POWER(Upgrades!$U$11,J402),1)*IF(Upgrades!$T$12="Magnetosphere",POWER(Upgrades!$U$12,K402),1))+(IF(I402=0,0,(Upgrades!$M$10+I402*Upgrades!$N$10)*POWER(Upgrades!$O$10,I402)))*(IF(Upgrades!$T$6="Orbital Resonance",POWER(Upgrades!$U$6,E402),1)*IF(Upgrades!$T$7="Orbital Resonance",POWER(Upgrades!$U$7,F402),1)*IF(Upgrades!$T$8="Orbital Resonance",POWER(Upgrades!$U$8,G402),1)*IF(Upgrades!$T$9="Orbital Resonance",POWER(Upgrades!$U$9,H402),1)*IF(Upgrades!$T$11="Orbital Resonance",POWER(Upgrades!$U$11,J402),1)*IF(Upgrades!$T$12="Orbital Resonance",POWER(Upgrades!$U$12,K402),1))+(IF(J402=0,0,(Upgrades!$M$11+J402*Upgrades!$N$11)*POWER(Upgrades!$O$11,J402)))*(IF(Upgrades!$T$6="Heliopause",POWER(Upgrades!$U$6,E402),1)*IF(Upgrades!$T$7="Heliopause",POWER(Upgrades!$U$7,F402),1)*IF(Upgrades!$T$8="Heliopause",POWER(Upgrades!$U$8,G402),1)*IF(Upgrades!$T$9="Heliopause",POWER(Upgrades!$U$9,H402),1)*IF(Upgrades!$T$10="Heliopause",POWER(Upgrades!$U$10,I402),1)*IF(Upgrades!$T$12="Heliopause",POWER(Upgrades!$U$12,K402),1))+(IF(K402=0,0,(Upgrades!$M$12+K402*Upgrades!$N$12)*POWER(Upgrades!$O$12,K402)))*(IF(Upgrades!$T$6="First Photons",POWER(Upgrades!$U$6,E402),1)*IF(Upgrades!$T$7="First Photons",POWER(Upgrades!$U$7,F402),1)*IF(Upgrades!$T$8="First Photons",POWER(Upgrades!$U$8,G402),1)*IF(Upgrades!$T$9="First Photons",POWER(Upgrades!$U$9,H402),1)*IF(Upgrades!$T$10="First Photons",POWER(Upgrades!$U$10,I402),1)*IF(Upgrades!$T$11="First Photons",POWER(Upgrades!$U$11,J402),1)))*POWER(Upgrades!$R$6,E402)*POWER(Upgrades!$R$7,F402)*POWER(Upgrades!$R$8,G402)*POWER(Upgrades!$R$9,H402)*POWER(Upgrades!$R$10,I402)*POWER(Upgrades!$R$11,J402)*POWER(Upgrades!$R$12,K402)</f>
        <v/>
      </c>
      <c r="P402" s="27">
        <f>IF(L402=1,0,M402*Parameters!$B$10/60*Parameters!$B$11*10)</f>
        <v/>
      </c>
      <c r="Q402" s="27">
        <f>IF(L402=1,0,O402*M402*10)</f>
        <v/>
      </c>
      <c r="R402" s="27">
        <f>IF(L402=1,0,N402*10)</f>
        <v/>
      </c>
      <c r="S402" s="27">
        <f>P402+Q402+R402</f>
        <v/>
      </c>
      <c r="T402" s="22">
        <f>C402+S402</f>
        <v/>
      </c>
      <c r="U402" s="33">
        <f>AX402</f>
        <v/>
      </c>
      <c r="V402" s="22">
        <f>IF(U402="",0,IF(U402="transition",0,IF(U402="SW",AG402,IF(U402="AB",AH402,IF(U402="SC",AI402,IF(U402="Mag",AJ402,IF(U402="OR",AK402,IF(U402="HP",AL402,IF(U402="FP",AM402,0)))))))))</f>
        <v/>
      </c>
      <c r="W402" s="27">
        <f>IF(U402="OR",Upgrades!$F$10,IF(U402="HP",Upgrades!$F$11,IF(U402="transition",-Parameters!$B$18,0)))</f>
        <v/>
      </c>
      <c r="X402" s="22">
        <f>T402-V402</f>
        <v/>
      </c>
      <c r="Y402" s="30">
        <f>M402*Parameters!$B$10/60*Parameters!$B$11+O402*M402+N402</f>
        <v/>
      </c>
      <c r="Z402" s="34">
        <f>IF(U402="transition","→ Tier 2 (Stellar Neighborhood)",IF(U402="FP","First Photons — light begins, system quickens",IF(U402="HP","Heliopause acquired",IF(U402="OR","Orbital Resonance — passive multiplier active",IF(AND(AO402=1,L402=0,AN402&lt;&gt;1),"Cohesion ready (waiting on completionist upgrades)","")))))</f>
        <v/>
      </c>
      <c r="AA402" s="27">
        <f>(IF(E402=0,0,(Upgrades!$G$6+E402*Upgrades!$H$6)*POWER(Upgrades!$I$6,E402)))*(IF(Upgrades!$T$7="Solar Wind",POWER(Upgrades!$U$7,F402),1)*IF(Upgrades!$T$8="Solar Wind",POWER(Upgrades!$U$8,G402),1)*IF(Upgrades!$T$9="Solar Wind",POWER(Upgrades!$U$9,H402),1)*IF(Upgrades!$T$10="Solar Wind",POWER(Upgrades!$U$10,I402),1)*IF(Upgrades!$T$11="Solar Wind",POWER(Upgrades!$U$11,J402),1)*IF(Upgrades!$T$12="Solar Wind",POWER(Upgrades!$U$12,K402),1))*POWER(Upgrades!$P$6,E402)*POWER(Upgrades!$P$7,F402)*POWER(Upgrades!$P$8,G402)*POWER(Upgrades!$P$9,H402)*POWER(Upgrades!$P$10,I402)*POWER(Upgrades!$P$11,J402)*POWER(Upgrades!$P$12,K402)*60</f>
        <v/>
      </c>
      <c r="AB402" s="27">
        <f>(IF(F402=0,0,(Upgrades!$G$7+F402*Upgrades!$H$7)*POWER(Upgrades!$I$7,F402)))*(IF(Upgrades!$T$6="Asteroid Belt",POWER(Upgrades!$U$6,E402),1)*IF(Upgrades!$T$8="Asteroid Belt",POWER(Upgrades!$U$8,G402),1)*IF(Upgrades!$T$9="Asteroid Belt",POWER(Upgrades!$U$9,H402),1)*IF(Upgrades!$T$10="Asteroid Belt",POWER(Upgrades!$U$10,I402),1)*IF(Upgrades!$T$11="Asteroid Belt",POWER(Upgrades!$U$11,J402),1)*IF(Upgrades!$T$12="Asteroid Belt",POWER(Upgrades!$U$12,K402),1))*POWER(Upgrades!$P$6,E402)*POWER(Upgrades!$P$7,F402)*POWER(Upgrades!$P$8,G402)*POWER(Upgrades!$P$9,H402)*POWER(Upgrades!$P$10,I402)*POWER(Upgrades!$P$11,J402)*POWER(Upgrades!$P$12,K402)*60</f>
        <v/>
      </c>
      <c r="AC402" s="27">
        <f>(IF(G402=0,0,(Upgrades!$J$8+G402*Upgrades!$K$8)*POWER(Upgrades!$L$8,G402)))*(IF(Upgrades!$T$6="Stellar Coupling",POWER(Upgrades!$U$6,E402),1)*IF(Upgrades!$T$7="Stellar Coupling",POWER(Upgrades!$U$7,F402),1)*IF(Upgrades!$T$9="Stellar Coupling",POWER(Upgrades!$U$9,H402),1)*IF(Upgrades!$T$10="Stellar Coupling",POWER(Upgrades!$U$10,I402),1)*IF(Upgrades!$T$11="Stellar Coupling",POWER(Upgrades!$U$11,J402),1)*IF(Upgrades!$T$12="Stellar Coupling",POWER(Upgrades!$U$12,K402),1))*POWER(Upgrades!$Q$6,E402)*POWER(Upgrades!$Q$7,F402)*POWER(Upgrades!$Q$8,G402)*POWER(Upgrades!$Q$9,H402)*POWER(Upgrades!$Q$10,I402)*POWER(Upgrades!$Q$11,J402)*POWER(Upgrades!$Q$12,K402)*Parameters!$B$10*Parameters!$B$11</f>
        <v/>
      </c>
      <c r="AD402" s="27">
        <f>(IF(H402=0,0,(Upgrades!$G$9+H402*Upgrades!$H$9)*POWER(Upgrades!$I$9,H402)))*(IF(Upgrades!$T$6="Magnetosphere",POWER(Upgrades!$U$6,E402),1)*IF(Upgrades!$T$7="Magnetosphere",POWER(Upgrades!$U$7,F402),1)*IF(Upgrades!$T$8="Magnetosphere",POWER(Upgrades!$U$8,G402),1)*IF(Upgrades!$T$10="Magnetosphere",POWER(Upgrades!$U$10,I402),1)*IF(Upgrades!$T$11="Magnetosphere",POWER(Upgrades!$U$11,J402),1)*IF(Upgrades!$T$12="Magnetosphere",POWER(Upgrades!$U$12,K402),1))*POWER(Upgrades!$P$6,E402)*POWER(Upgrades!$P$7,F402)*POWER(Upgrades!$P$8,G402)*POWER(Upgrades!$P$9,H402)*POWER(Upgrades!$P$10,I402)*POWER(Upgrades!$P$11,J402)*POWER(Upgrades!$P$12,K402)*60</f>
        <v/>
      </c>
      <c r="AE402" s="27">
        <f>(IF(K402=0,0,(Upgrades!$G$12+K402*Upgrades!$H$12)*POWER(Upgrades!$I$12,K402)))*(IF(Upgrades!$T$6="First Photons",POWER(Upgrades!$U$6,E402),1)*IF(Upgrades!$T$7="First Photons",POWER(Upgrades!$U$7,F402),1)*IF(Upgrades!$T$8="First Photons",POWER(Upgrades!$U$8,G402),1)*IF(Upgrades!$T$9="First Photons",POWER(Upgrades!$U$9,H402),1)*IF(Upgrades!$T$10="First Photons",POWER(Upgrades!$U$10,I402),1)*IF(Upgrades!$T$11="First Photons",POWER(Upgrades!$U$11,J402),1))*POWER(Upgrades!$P$6,E402)*POWER(Upgrades!$P$7,F402)*POWER(Upgrades!$P$8,G402)*POWER(Upgrades!$P$9,H402)*POWER(Upgrades!$P$10,I402)*POWER(Upgrades!$P$11,J402)*POWER(Upgrades!$P$12,K402)*60</f>
        <v/>
      </c>
      <c r="AF402" s="27">
        <f>Parameters!$B$9*POWER(Upgrades!$Q$6,E402)*POWER(Upgrades!$Q$7,F402)*POWER(Upgrades!$Q$8,G402)*POWER(Upgrades!$Q$9,H402)*POWER(Upgrades!$Q$10,I402)*POWER(Upgrades!$Q$11,J402)*POWER(Upgrades!$Q$12,K402)*(Parameters!$B$10*Parameters!$B$11+O402*60)</f>
        <v/>
      </c>
      <c r="AG402" s="22">
        <f>IF(E402&gt;=Upgrades!$E$6,"",Upgrades!$C$6*POWER(Upgrades!$D$6,E402))</f>
        <v/>
      </c>
      <c r="AH402" s="22">
        <f>IF(F402&gt;=Upgrades!$E$7,"",Upgrades!$C$7*POWER(Upgrades!$D$7,F402))</f>
        <v/>
      </c>
      <c r="AI402" s="22">
        <f>IF(G402&gt;=Upgrades!$E$8,"",Upgrades!$C$8*POWER(Upgrades!$D$8,G402))</f>
        <v/>
      </c>
      <c r="AJ402" s="22">
        <f>IF(H402&gt;=Upgrades!$E$9,"",Upgrades!$C$9*POWER(Upgrades!$D$9,H402))</f>
        <v/>
      </c>
      <c r="AK402" s="22">
        <f>IF(I402&gt;=Upgrades!$E$10,"",Upgrades!$C$10*POWER(Upgrades!$D$10,I402))</f>
        <v/>
      </c>
      <c r="AL402" s="22">
        <f>IF(J402&gt;=Upgrades!$E$11,"",Upgrades!$C$11*POWER(Upgrades!$D$11,J402))</f>
        <v/>
      </c>
      <c r="AM402" s="22">
        <f>IF(K402&gt;=Upgrades!$E$12,"",Upgrades!$C$12*POWER(Upgrades!$D$12,K402))</f>
        <v/>
      </c>
      <c r="AN402" s="26">
        <f>IF(AND(D402&gt;=Parameters!$B$18,(H402&gt;=Upgrades!$E$9)*(K402&gt;=Upgrades!$E$12)=1,L402=0),1,"")</f>
        <v/>
      </c>
      <c r="AO402" s="26">
        <f>IF(AND(D402&gt;=Parameters!$B$18,L402=0),1,"")</f>
        <v/>
      </c>
      <c r="AP402" s="22">
        <f>MIN(IF(ISNUMBER(AK402),AK402,9E15),IF(ISNUMBER(AL402),AL402,9E15),IF(ISNUMBER(AM402),AM402,9E15))</f>
        <v/>
      </c>
      <c r="AQ402" s="22">
        <f>MIN(IF(ISNUMBER(AG402),AG402,9E15),IF(ISNUMBER(AH402),AH402,9E15),IF(ISNUMBER(AI402),AI402,9E15),IF(ISNUMBER(AJ402),AJ402,9E15))</f>
        <v/>
      </c>
      <c r="AR402" s="29">
        <f>IF(AW402&gt;Parameters!$B$21*(MAX(IF(AND(NOT(AND(AO402=1,AN402&lt;&gt;1)),ISNUMBER(AG402),AG402&lt;=T402),AS402,0),IF(AND(NOT(AND(AO402=1,AN402&lt;&gt;1)),ISNUMBER(AH402),AH402&lt;=T402),AT402,0),IF(AND(NOT(AND(AO402=1,AN402&lt;&gt;1)),ISNUMBER(AI402),AI402&lt;=T402),AU402,0),IF(AND(ISNUMBER(AJ402),AJ402&lt;=T402),AV402,0))),TRUE,FALSE)</f>
        <v/>
      </c>
      <c r="AS402" s="32">
        <f>IFERROR(Upgrades!$H$6*(POWER(Upgrades!$P$6,E402)*POWER(Upgrades!$P$7,F402)*POWER(Upgrades!$P$8,G402)*POWER(Upgrades!$P$9,H402)*POWER(Upgrades!$P$10,I402)*POWER(Upgrades!$P$11,J402)*POWER(Upgrades!$P$12,K402))*(IF(Upgrades!$T$7="Solar Wind",POWER(Upgrades!$U$7,F402),1)*IF(Upgrades!$T$8="Solar Wind",POWER(Upgrades!$U$8,G402),1)*IF(Upgrades!$T$9="Solar Wind",POWER(Upgrades!$U$9,H402),1)*IF(Upgrades!$T$10="Solar Wind",POWER(Upgrades!$U$10,I402),1)*IF(Upgrades!$T$11="Solar Wind",POWER(Upgrades!$U$11,J402),1)*IF(Upgrades!$T$12="Solar Wind",POWER(Upgrades!$U$12,K402),1))/AG402,0)</f>
        <v/>
      </c>
      <c r="AT402" s="32">
        <f>IFERROR(Upgrades!$H$7*(POWER(Upgrades!$P$6,E402)*POWER(Upgrades!$P$7,F402)*POWER(Upgrades!$P$8,G402)*POWER(Upgrades!$P$9,H402)*POWER(Upgrades!$P$10,I402)*POWER(Upgrades!$P$11,J402)*POWER(Upgrades!$P$12,K402))*(IF(Upgrades!$T$6="Asteroid Belt",POWER(Upgrades!$U$6,E402),1)*IF(Upgrades!$T$8="Asteroid Belt",POWER(Upgrades!$U$8,G402),1)*IF(Upgrades!$T$9="Asteroid Belt",POWER(Upgrades!$U$9,H402),1)*IF(Upgrades!$T$10="Asteroid Belt",POWER(Upgrades!$U$10,I402),1)*IF(Upgrades!$T$11="Asteroid Belt",POWER(Upgrades!$U$11,J402),1)*IF(Upgrades!$T$12="Asteroid Belt",POWER(Upgrades!$U$12,K402),1))/AH402,0)</f>
        <v/>
      </c>
      <c r="AU402" s="32">
        <f>IFERROR(Upgrades!$K$8*(POWER(Upgrades!$Q$6,E402)*POWER(Upgrades!$Q$7,F402)*POWER(Upgrades!$Q$8,G402)*POWER(Upgrades!$Q$9,H402)*POWER(Upgrades!$Q$10,I402)*POWER(Upgrades!$Q$11,J402)*POWER(Upgrades!$Q$12,K402))*(IF(Upgrades!$T$6="Stellar Coupling",POWER(Upgrades!$U$6,E402),1)*IF(Upgrades!$T$7="Stellar Coupling",POWER(Upgrades!$U$7,F402),1)*IF(Upgrades!$T$9="Stellar Coupling",POWER(Upgrades!$U$9,H402),1)*IF(Upgrades!$T$10="Stellar Coupling",POWER(Upgrades!$U$10,I402),1)*IF(Upgrades!$T$11="Stellar Coupling",POWER(Upgrades!$U$11,J402),1)*IF(Upgrades!$T$12="Stellar Coupling",POWER(Upgrades!$U$12,K402),1))*Parameters!$B$10*Parameters!$B$11/60/AI402,0)</f>
        <v/>
      </c>
      <c r="AV402" s="32">
        <f>IFERROR(Upgrades!$H$9*(POWER(Upgrades!$P$6,E402)*POWER(Upgrades!$P$7,F402)*POWER(Upgrades!$P$8,G402)*POWER(Upgrades!$P$9,H402)*POWER(Upgrades!$P$10,I402)*POWER(Upgrades!$P$11,J402)*POWER(Upgrades!$P$12,K402))*(IF(Upgrades!$T$6="Magnetosphere",POWER(Upgrades!$U$6,E402),1)*IF(Upgrades!$T$7="Magnetosphere",POWER(Upgrades!$U$7,F402),1)*IF(Upgrades!$T$8="Magnetosphere",POWER(Upgrades!$U$8,G402),1)*IF(Upgrades!$T$10="Magnetosphere",POWER(Upgrades!$U$10,I402),1)*IF(Upgrades!$T$11="Magnetosphere",POWER(Upgrades!$U$11,J402),1)*IF(Upgrades!$T$12="Magnetosphere",POWER(Upgrades!$U$12,K402),1))/AJ402,0)</f>
        <v/>
      </c>
      <c r="AW402" s="32">
        <f>MAX(IF(I402&gt;0,0,IFERROR(0.25*N402/Upgrades!$C$10,0)),IF(J402&gt;0,0,IFERROR(0.5*((IF(G402=0,0,(Upgrades!$J$8+G402*Upgrades!$K$8)*POWER(Upgrades!$L$8,G402)))*(IF(Upgrades!$T$6="Stellar Coupling",POWER(Upgrades!$U$6,E402),1)*IF(Upgrades!$T$7="Stellar Coupling",POWER(Upgrades!$U$7,F402),1)*IF(Upgrades!$T$9="Stellar Coupling",POWER(Upgrades!$U$9,H402),1)*IF(Upgrades!$T$10="Stellar Coupling",POWER(Upgrades!$U$10,I402),1)*IF(Upgrades!$T$11="Stellar Coupling",POWER(Upgrades!$U$11,J402),1)*IF(Upgrades!$T$12="Stellar Coupling",POWER(Upgrades!$U$12,K402),1))*(POWER(Upgrades!$Q$6,E402)*POWER(Upgrades!$Q$7,F402)*POWER(Upgrades!$Q$8,G402)*POWER(Upgrades!$Q$9,H402)*POWER(Upgrades!$Q$10,I402)*POWER(Upgrades!$Q$11,J402)*POWER(Upgrades!$Q$12,K402))*Parameters!$B$10*Parameters!$B$11/60)/Upgrades!$C$11,0)),IF(K402&gt;0,0,IFERROR((1.0*(POWER(Upgrades!$P$6,E402)*POWER(Upgrades!$P$7,F402)*POWER(Upgrades!$P$8,G402)*POWER(Upgrades!$P$9,H402)*POWER(Upgrades!$P$10,I402)*POWER(Upgrades!$P$11,J402)*POWER(Upgrades!$P$12,K402))+0.20*M402*Parameters!$B$10*Parameters!$B$11/60)/Upgrades!$C$12,0)),IF(AND(ISNUMBER(AG402),AG402&gt;T402),AS402,0),IF(AND(ISNUMBER(AH402),AH402&gt;T402),AT402,0),IF(AND(ISNUMBER(AI402),AI402&gt;T402),AU402,0),IF(AND(ISNUMBER(AJ402),AJ402&gt;T402),AV402,0))</f>
        <v/>
      </c>
      <c r="AX402" s="29">
        <f>IF(AN402=1,"transition",IF(MIN(IF(AND(I402=0,ISNUMBER(AK402),AK402&lt;=T402),AK402,9E15),IF(AND(J402=0,ISNUMBER(AL402),AL402&lt;=T402),AL402,9E15),IF(AND(K402=0,ISNUMBER(AM402),AM402&lt;=T402),AM402,9E15))&lt;9E15,IF(AND(AND(I402=0,ISNUMBER(AK402),AK402&lt;=T402),AK402=MIN(IF(AND(I402=0,ISNUMBER(AK402),AK402&lt;=T402),AK402,9E15),IF(AND(J402=0,ISNUMBER(AL402),AL402&lt;=T402),AL402,9E15),IF(AND(K402=0,ISNUMBER(AM402),AM402&lt;=T402),AM402,9E15))),"OR",IF(AND(AND(J402=0,ISNUMBER(AL402),AL402&lt;=T402),AL402=MIN(IF(AND(I402=0,ISNUMBER(AK402),AK402&lt;=T402),AK402,9E15),IF(AND(J402=0,ISNUMBER(AL402),AL402&lt;=T402),AL402,9E15),IF(AND(K402=0,ISNUMBER(AM402),AM402&lt;=T402),AM402,9E15))),"HP","FP")),IF(AR402=TRUE,"",IF(MAX(IF(AND(NOT(AND(AO402=1,AN402&lt;&gt;1)),ISNUMBER(AG402),AG402&lt;=T402),AS402,0),IF(AND(NOT(AND(AO402=1,AN402&lt;&gt;1)),ISNUMBER(AH402),AH402&lt;=T402),AT402,0),IF(AND(NOT(AND(AO402=1,AN402&lt;&gt;1)),ISNUMBER(AI402),AI402&lt;=T402),AU402,0),IF(AND(ISNUMBER(AJ402),AJ402&lt;=T402),AV402,0))&lt;=0,"",IF(AND(IF(AND(NOT(AND(AO402=1,AN402&lt;&gt;1)),ISNUMBER(AG402),AG402&lt;=T402),AS402,0)&gt;0,IF(AND(NOT(AND(AO402=1,AN402&lt;&gt;1)),ISNUMBER(AG402),AG402&lt;=T402),AS402,0)=MAX(IF(AND(NOT(AND(AO402=1,AN402&lt;&gt;1)),ISNUMBER(AG402),AG402&lt;=T402),AS402,0),IF(AND(NOT(AND(AO402=1,AN402&lt;&gt;1)),ISNUMBER(AH402),AH402&lt;=T402),AT402,0),IF(AND(NOT(AND(AO402=1,AN402&lt;&gt;1)),ISNUMBER(AI402),AI402&lt;=T402),AU402,0),IF(AND(ISNUMBER(AJ402),AJ402&lt;=T402),AV402,0))),"SW",IF(AND(IF(AND(NOT(AND(AO402=1,AN402&lt;&gt;1)),ISNUMBER(AH402),AH402&lt;=T402),AT402,0)&gt;0,IF(AND(NOT(AND(AO402=1,AN402&lt;&gt;1)),ISNUMBER(AH402),AH402&lt;=T402),AT402,0)=MAX(IF(AND(NOT(AND(AO402=1,AN402&lt;&gt;1)),ISNUMBER(AG402),AG402&lt;=T402),AS402,0),IF(AND(NOT(AND(AO402=1,AN402&lt;&gt;1)),ISNUMBER(AH402),AH402&lt;=T402),AT402,0),IF(AND(NOT(AND(AO402=1,AN402&lt;&gt;1)),ISNUMBER(AI402),AI402&lt;=T402),AU402,0),IF(AND(ISNUMBER(AJ402),AJ402&lt;=T402),AV402,0))),"AB",IF(AND(IF(AND(NOT(AND(AO402=1,AN402&lt;&gt;1)),ISNUMBER(AI402),AI402&lt;=T402),AU402,0)&gt;0,IF(AND(NOT(AND(AO402=1,AN402&lt;&gt;1)),ISNUMBER(AI402),AI402&lt;=T402),AU402,0)=MAX(IF(AND(NOT(AND(AO402=1,AN402&lt;&gt;1)),ISNUMBER(AG402),AG402&lt;=T402),AS402,0),IF(AND(NOT(AND(AO402=1,AN402&lt;&gt;1)),ISNUMBER(AH402),AH402&lt;=T402),AT402,0),IF(AND(NOT(AND(AO402=1,AN402&lt;&gt;1)),ISNUMBER(AI402),AI402&lt;=T402),AU402,0),IF(AND(ISNUMBER(AJ402),AJ402&lt;=T402),AV402,0))),"SC","Mag")))))))</f>
        <v/>
      </c>
    </row>
    <row r="403">
      <c r="A403" s="26" t="n">
        <v>398</v>
      </c>
      <c r="B403" s="27">
        <f>A403*10/60</f>
        <v/>
      </c>
      <c r="C403" s="22">
        <f>X402</f>
        <v/>
      </c>
      <c r="D403" s="27">
        <f>D402+W402</f>
        <v/>
      </c>
      <c r="E403" s="26">
        <f>E402+IF(U402="SW",1,0)</f>
        <v/>
      </c>
      <c r="F403" s="26">
        <f>F402+IF(U402="AB",1,0)</f>
        <v/>
      </c>
      <c r="G403" s="26">
        <f>G402+IF(U402="SC",1,0)</f>
        <v/>
      </c>
      <c r="H403" s="26">
        <f>H402+IF(U402="Mag",1,0)</f>
        <v/>
      </c>
      <c r="I403" s="26">
        <f>MAX(I402,IF(U402="OR",1,0))</f>
        <v/>
      </c>
      <c r="J403" s="26">
        <f>MAX(J402,IF(U402="HP",1,0))</f>
        <v/>
      </c>
      <c r="K403" s="26">
        <f>MAX(K402,IF(U402="FP",1,0))</f>
        <v/>
      </c>
      <c r="L403" s="26">
        <f>MAX(L402,IF(U402="transition",1,0))</f>
        <v/>
      </c>
      <c r="M403" s="28">
        <f>(Parameters!$B$9+(IF(E403=0,0,(Upgrades!$J$6+E403*Upgrades!$K$6)*POWER(Upgrades!$L$6,E403)))*(IF(Upgrades!$T$7="Solar Wind",POWER(Upgrades!$U$7,F403),1)*IF(Upgrades!$T$8="Solar Wind",POWER(Upgrades!$U$8,G403),1)*IF(Upgrades!$T$9="Solar Wind",POWER(Upgrades!$U$9,H403),1)*IF(Upgrades!$T$10="Solar Wind",POWER(Upgrades!$U$10,I403),1)*IF(Upgrades!$T$11="Solar Wind",POWER(Upgrades!$U$11,J403),1)*IF(Upgrades!$T$12="Solar Wind",POWER(Upgrades!$U$12,K403),1))+(IF(F403=0,0,(Upgrades!$J$7+F403*Upgrades!$K$7)*POWER(Upgrades!$L$7,F403)))*(IF(Upgrades!$T$6="Asteroid Belt",POWER(Upgrades!$U$6,E403),1)*IF(Upgrades!$T$8="Asteroid Belt",POWER(Upgrades!$U$8,G403),1)*IF(Upgrades!$T$9="Asteroid Belt",POWER(Upgrades!$U$9,H403),1)*IF(Upgrades!$T$10="Asteroid Belt",POWER(Upgrades!$U$10,I403),1)*IF(Upgrades!$T$11="Asteroid Belt",POWER(Upgrades!$U$11,J403),1)*IF(Upgrades!$T$12="Asteroid Belt",POWER(Upgrades!$U$12,K403),1))+(IF(G403=0,0,(Upgrades!$J$8+G403*Upgrades!$K$8)*POWER(Upgrades!$L$8,G403)))*(IF(Upgrades!$T$6="Stellar Coupling",POWER(Upgrades!$U$6,E403),1)*IF(Upgrades!$T$7="Stellar Coupling",POWER(Upgrades!$U$7,F403),1)*IF(Upgrades!$T$9="Stellar Coupling",POWER(Upgrades!$U$9,H403),1)*IF(Upgrades!$T$10="Stellar Coupling",POWER(Upgrades!$U$10,I403),1)*IF(Upgrades!$T$11="Stellar Coupling",POWER(Upgrades!$U$11,J403),1)*IF(Upgrades!$T$12="Stellar Coupling",POWER(Upgrades!$U$12,K403),1))+(IF(H403=0,0,(Upgrades!$J$9+H403*Upgrades!$K$9)*POWER(Upgrades!$L$9,H403)))*(IF(Upgrades!$T$6="Magnetosphere",POWER(Upgrades!$U$6,E403),1)*IF(Upgrades!$T$7="Magnetosphere",POWER(Upgrades!$U$7,F403),1)*IF(Upgrades!$T$8="Magnetosphere",POWER(Upgrades!$U$8,G403),1)*IF(Upgrades!$T$10="Magnetosphere",POWER(Upgrades!$U$10,I403),1)*IF(Upgrades!$T$11="Magnetosphere",POWER(Upgrades!$U$11,J403),1)*IF(Upgrades!$T$12="Magnetosphere",POWER(Upgrades!$U$12,K403),1))+(IF(I403=0,0,(Upgrades!$J$10+I403*Upgrades!$K$10)*POWER(Upgrades!$L$10,I403)))*(IF(Upgrades!$T$6="Orbital Resonance",POWER(Upgrades!$U$6,E403),1)*IF(Upgrades!$T$7="Orbital Resonance",POWER(Upgrades!$U$7,F403),1)*IF(Upgrades!$T$8="Orbital Resonance",POWER(Upgrades!$U$8,G403),1)*IF(Upgrades!$T$9="Orbital Resonance",POWER(Upgrades!$U$9,H403),1)*IF(Upgrades!$T$11="Orbital Resonance",POWER(Upgrades!$U$11,J403),1)*IF(Upgrades!$T$12="Orbital Resonance",POWER(Upgrades!$U$12,K403),1))+(IF(J403=0,0,(Upgrades!$J$11+J403*Upgrades!$K$11)*POWER(Upgrades!$L$11,J403)))*(IF(Upgrades!$T$6="Heliopause",POWER(Upgrades!$U$6,E403),1)*IF(Upgrades!$T$7="Heliopause",POWER(Upgrades!$U$7,F403),1)*IF(Upgrades!$T$8="Heliopause",POWER(Upgrades!$U$8,G403),1)*IF(Upgrades!$T$9="Heliopause",POWER(Upgrades!$U$9,H403),1)*IF(Upgrades!$T$10="Heliopause",POWER(Upgrades!$U$10,I403),1)*IF(Upgrades!$T$12="Heliopause",POWER(Upgrades!$U$12,K403),1))+(IF(K403=0,0,(Upgrades!$J$12+K403*Upgrades!$K$12)*POWER(Upgrades!$L$12,K403)))*(IF(Upgrades!$T$6="First Photons",POWER(Upgrades!$U$6,E403),1)*IF(Upgrades!$T$7="First Photons",POWER(Upgrades!$U$7,F403),1)*IF(Upgrades!$T$8="First Photons",POWER(Upgrades!$U$8,G403),1)*IF(Upgrades!$T$9="First Photons",POWER(Upgrades!$U$9,H403),1)*IF(Upgrades!$T$10="First Photons",POWER(Upgrades!$U$10,I403),1)*IF(Upgrades!$T$11="First Photons",POWER(Upgrades!$U$11,J403),1)))*POWER(Upgrades!$Q$6,E403)*POWER(Upgrades!$Q$7,F403)*POWER(Upgrades!$Q$8,G403)*POWER(Upgrades!$Q$9,H403)*POWER(Upgrades!$Q$10,I403)*POWER(Upgrades!$Q$11,J403)*POWER(Upgrades!$Q$12,K403)</f>
        <v/>
      </c>
      <c r="N403" s="28">
        <f>((IF(E403=0,0,(Upgrades!$G$6+E403*Upgrades!$H$6)*POWER(Upgrades!$I$6,E403)))*(IF(Upgrades!$T$7="Solar Wind",POWER(Upgrades!$U$7,F403),1)*IF(Upgrades!$T$8="Solar Wind",POWER(Upgrades!$U$8,G403),1)*IF(Upgrades!$T$9="Solar Wind",POWER(Upgrades!$U$9,H403),1)*IF(Upgrades!$T$10="Solar Wind",POWER(Upgrades!$U$10,I403),1)*IF(Upgrades!$T$11="Solar Wind",POWER(Upgrades!$U$11,J403),1)*IF(Upgrades!$T$12="Solar Wind",POWER(Upgrades!$U$12,K403),1))+(IF(F403=0,0,(Upgrades!$G$7+F403*Upgrades!$H$7)*POWER(Upgrades!$I$7,F403)))*(IF(Upgrades!$T$6="Asteroid Belt",POWER(Upgrades!$U$6,E403),1)*IF(Upgrades!$T$8="Asteroid Belt",POWER(Upgrades!$U$8,G403),1)*IF(Upgrades!$T$9="Asteroid Belt",POWER(Upgrades!$U$9,H403),1)*IF(Upgrades!$T$10="Asteroid Belt",POWER(Upgrades!$U$10,I403),1)*IF(Upgrades!$T$11="Asteroid Belt",POWER(Upgrades!$U$11,J403),1)*IF(Upgrades!$T$12="Asteroid Belt",POWER(Upgrades!$U$12,K403),1))+(IF(G403=0,0,(Upgrades!$G$8+G403*Upgrades!$H$8)*POWER(Upgrades!$I$8,G403)))*(IF(Upgrades!$T$6="Stellar Coupling",POWER(Upgrades!$U$6,E403),1)*IF(Upgrades!$T$7="Stellar Coupling",POWER(Upgrades!$U$7,F403),1)*IF(Upgrades!$T$9="Stellar Coupling",POWER(Upgrades!$U$9,H403),1)*IF(Upgrades!$T$10="Stellar Coupling",POWER(Upgrades!$U$10,I403),1)*IF(Upgrades!$T$11="Stellar Coupling",POWER(Upgrades!$U$11,J403),1)*IF(Upgrades!$T$12="Stellar Coupling",POWER(Upgrades!$U$12,K403),1))+(IF(H403=0,0,(Upgrades!$G$9+H403*Upgrades!$H$9)*POWER(Upgrades!$I$9,H403)))*(IF(Upgrades!$T$6="Magnetosphere",POWER(Upgrades!$U$6,E403),1)*IF(Upgrades!$T$7="Magnetosphere",POWER(Upgrades!$U$7,F403),1)*IF(Upgrades!$T$8="Magnetosphere",POWER(Upgrades!$U$8,G403),1)*IF(Upgrades!$T$10="Magnetosphere",POWER(Upgrades!$U$10,I403),1)*IF(Upgrades!$T$11="Magnetosphere",POWER(Upgrades!$U$11,J403),1)*IF(Upgrades!$T$12="Magnetosphere",POWER(Upgrades!$U$12,K403),1))+(IF(I403=0,0,(Upgrades!$G$10+I403*Upgrades!$H$10)*POWER(Upgrades!$I$10,I403)))*(IF(Upgrades!$T$6="Orbital Resonance",POWER(Upgrades!$U$6,E403),1)*IF(Upgrades!$T$7="Orbital Resonance",POWER(Upgrades!$U$7,F403),1)*IF(Upgrades!$T$8="Orbital Resonance",POWER(Upgrades!$U$8,G403),1)*IF(Upgrades!$T$9="Orbital Resonance",POWER(Upgrades!$U$9,H403),1)*IF(Upgrades!$T$11="Orbital Resonance",POWER(Upgrades!$U$11,J403),1)*IF(Upgrades!$T$12="Orbital Resonance",POWER(Upgrades!$U$12,K403),1))+(IF(J403=0,0,(Upgrades!$G$11+J403*Upgrades!$H$11)*POWER(Upgrades!$I$11,J403)))*(IF(Upgrades!$T$6="Heliopause",POWER(Upgrades!$U$6,E403),1)*IF(Upgrades!$T$7="Heliopause",POWER(Upgrades!$U$7,F403),1)*IF(Upgrades!$T$8="Heliopause",POWER(Upgrades!$U$8,G403),1)*IF(Upgrades!$T$9="Heliopause",POWER(Upgrades!$U$9,H403),1)*IF(Upgrades!$T$10="Heliopause",POWER(Upgrades!$U$10,I403),1)*IF(Upgrades!$T$12="Heliopause",POWER(Upgrades!$U$12,K403),1))+(IF(K403=0,0,(Upgrades!$G$12+K403*Upgrades!$H$12)*POWER(Upgrades!$I$12,K403)))*(IF(Upgrades!$T$6="First Photons",POWER(Upgrades!$U$6,E403),1)*IF(Upgrades!$T$7="First Photons",POWER(Upgrades!$U$7,F403),1)*IF(Upgrades!$T$8="First Photons",POWER(Upgrades!$U$8,G403),1)*IF(Upgrades!$T$9="First Photons",POWER(Upgrades!$U$9,H403),1)*IF(Upgrades!$T$10="First Photons",POWER(Upgrades!$U$10,I403),1)*IF(Upgrades!$T$11="First Photons",POWER(Upgrades!$U$11,J403),1)))*POWER(Upgrades!$P$6,E403)*POWER(Upgrades!$P$7,F403)*POWER(Upgrades!$P$8,G403)*POWER(Upgrades!$P$9,H403)*POWER(Upgrades!$P$10,I403)*POWER(Upgrades!$P$11,J403)*POWER(Upgrades!$P$12,K403)</f>
        <v/>
      </c>
      <c r="O403" s="28">
        <f>((IF(E403=0,0,(Upgrades!$M$6+E403*Upgrades!$N$6)*POWER(Upgrades!$O$6,E403)))*(IF(Upgrades!$T$7="Solar Wind",POWER(Upgrades!$U$7,F403),1)*IF(Upgrades!$T$8="Solar Wind",POWER(Upgrades!$U$8,G403),1)*IF(Upgrades!$T$9="Solar Wind",POWER(Upgrades!$U$9,H403),1)*IF(Upgrades!$T$10="Solar Wind",POWER(Upgrades!$U$10,I403),1)*IF(Upgrades!$T$11="Solar Wind",POWER(Upgrades!$U$11,J403),1)*IF(Upgrades!$T$12="Solar Wind",POWER(Upgrades!$U$12,K403),1))+(IF(F403=0,0,(Upgrades!$M$7+F403*Upgrades!$N$7)*POWER(Upgrades!$O$7,F403)))*(IF(Upgrades!$T$6="Asteroid Belt",POWER(Upgrades!$U$6,E403),1)*IF(Upgrades!$T$8="Asteroid Belt",POWER(Upgrades!$U$8,G403),1)*IF(Upgrades!$T$9="Asteroid Belt",POWER(Upgrades!$U$9,H403),1)*IF(Upgrades!$T$10="Asteroid Belt",POWER(Upgrades!$U$10,I403),1)*IF(Upgrades!$T$11="Asteroid Belt",POWER(Upgrades!$U$11,J403),1)*IF(Upgrades!$T$12="Asteroid Belt",POWER(Upgrades!$U$12,K403),1))+(IF(G403=0,0,(Upgrades!$M$8+G403*Upgrades!$N$8)*POWER(Upgrades!$O$8,G403)))*(IF(Upgrades!$T$6="Stellar Coupling",POWER(Upgrades!$U$6,E403),1)*IF(Upgrades!$T$7="Stellar Coupling",POWER(Upgrades!$U$7,F403),1)*IF(Upgrades!$T$9="Stellar Coupling",POWER(Upgrades!$U$9,H403),1)*IF(Upgrades!$T$10="Stellar Coupling",POWER(Upgrades!$U$10,I403),1)*IF(Upgrades!$T$11="Stellar Coupling",POWER(Upgrades!$U$11,J403),1)*IF(Upgrades!$T$12="Stellar Coupling",POWER(Upgrades!$U$12,K403),1))+(IF(H403=0,0,(Upgrades!$M$9+H403*Upgrades!$N$9)*POWER(Upgrades!$O$9,H403)))*(IF(Upgrades!$T$6="Magnetosphere",POWER(Upgrades!$U$6,E403),1)*IF(Upgrades!$T$7="Magnetosphere",POWER(Upgrades!$U$7,F403),1)*IF(Upgrades!$T$8="Magnetosphere",POWER(Upgrades!$U$8,G403),1)*IF(Upgrades!$T$10="Magnetosphere",POWER(Upgrades!$U$10,I403),1)*IF(Upgrades!$T$11="Magnetosphere",POWER(Upgrades!$U$11,J403),1)*IF(Upgrades!$T$12="Magnetosphere",POWER(Upgrades!$U$12,K403),1))+(IF(I403=0,0,(Upgrades!$M$10+I403*Upgrades!$N$10)*POWER(Upgrades!$O$10,I403)))*(IF(Upgrades!$T$6="Orbital Resonance",POWER(Upgrades!$U$6,E403),1)*IF(Upgrades!$T$7="Orbital Resonance",POWER(Upgrades!$U$7,F403),1)*IF(Upgrades!$T$8="Orbital Resonance",POWER(Upgrades!$U$8,G403),1)*IF(Upgrades!$T$9="Orbital Resonance",POWER(Upgrades!$U$9,H403),1)*IF(Upgrades!$T$11="Orbital Resonance",POWER(Upgrades!$U$11,J403),1)*IF(Upgrades!$T$12="Orbital Resonance",POWER(Upgrades!$U$12,K403),1))+(IF(J403=0,0,(Upgrades!$M$11+J403*Upgrades!$N$11)*POWER(Upgrades!$O$11,J403)))*(IF(Upgrades!$T$6="Heliopause",POWER(Upgrades!$U$6,E403),1)*IF(Upgrades!$T$7="Heliopause",POWER(Upgrades!$U$7,F403),1)*IF(Upgrades!$T$8="Heliopause",POWER(Upgrades!$U$8,G403),1)*IF(Upgrades!$T$9="Heliopause",POWER(Upgrades!$U$9,H403),1)*IF(Upgrades!$T$10="Heliopause",POWER(Upgrades!$U$10,I403),1)*IF(Upgrades!$T$12="Heliopause",POWER(Upgrades!$U$12,K403),1))+(IF(K403=0,0,(Upgrades!$M$12+K403*Upgrades!$N$12)*POWER(Upgrades!$O$12,K403)))*(IF(Upgrades!$T$6="First Photons",POWER(Upgrades!$U$6,E403),1)*IF(Upgrades!$T$7="First Photons",POWER(Upgrades!$U$7,F403),1)*IF(Upgrades!$T$8="First Photons",POWER(Upgrades!$U$8,G403),1)*IF(Upgrades!$T$9="First Photons",POWER(Upgrades!$U$9,H403),1)*IF(Upgrades!$T$10="First Photons",POWER(Upgrades!$U$10,I403),1)*IF(Upgrades!$T$11="First Photons",POWER(Upgrades!$U$11,J403),1)))*POWER(Upgrades!$R$6,E403)*POWER(Upgrades!$R$7,F403)*POWER(Upgrades!$R$8,G403)*POWER(Upgrades!$R$9,H403)*POWER(Upgrades!$R$10,I403)*POWER(Upgrades!$R$11,J403)*POWER(Upgrades!$R$12,K403)</f>
        <v/>
      </c>
      <c r="P403" s="27">
        <f>IF(L403=1,0,M403*Parameters!$B$10/60*Parameters!$B$11*10)</f>
        <v/>
      </c>
      <c r="Q403" s="27">
        <f>IF(L403=1,0,O403*M403*10)</f>
        <v/>
      </c>
      <c r="R403" s="27">
        <f>IF(L403=1,0,N403*10)</f>
        <v/>
      </c>
      <c r="S403" s="27">
        <f>P403+Q403+R403</f>
        <v/>
      </c>
      <c r="T403" s="22">
        <f>C403+S403</f>
        <v/>
      </c>
      <c r="U403" s="33">
        <f>AX403</f>
        <v/>
      </c>
      <c r="V403" s="22">
        <f>IF(U403="",0,IF(U403="transition",0,IF(U403="SW",AG403,IF(U403="AB",AH403,IF(U403="SC",AI403,IF(U403="Mag",AJ403,IF(U403="OR",AK403,IF(U403="HP",AL403,IF(U403="FP",AM403,0)))))))))</f>
        <v/>
      </c>
      <c r="W403" s="27">
        <f>IF(U403="OR",Upgrades!$F$10,IF(U403="HP",Upgrades!$F$11,IF(U403="transition",-Parameters!$B$18,0)))</f>
        <v/>
      </c>
      <c r="X403" s="22">
        <f>T403-V403</f>
        <v/>
      </c>
      <c r="Y403" s="30">
        <f>M403*Parameters!$B$10/60*Parameters!$B$11+O403*M403+N403</f>
        <v/>
      </c>
      <c r="Z403" s="34">
        <f>IF(U403="transition","→ Tier 2 (Stellar Neighborhood)",IF(U403="FP","First Photons — light begins, system quickens",IF(U403="HP","Heliopause acquired",IF(U403="OR","Orbital Resonance — passive multiplier active",IF(AND(AO403=1,L403=0,AN403&lt;&gt;1),"Cohesion ready (waiting on completionist upgrades)","")))))</f>
        <v/>
      </c>
      <c r="AA403" s="27">
        <f>(IF(E403=0,0,(Upgrades!$G$6+E403*Upgrades!$H$6)*POWER(Upgrades!$I$6,E403)))*(IF(Upgrades!$T$7="Solar Wind",POWER(Upgrades!$U$7,F403),1)*IF(Upgrades!$T$8="Solar Wind",POWER(Upgrades!$U$8,G403),1)*IF(Upgrades!$T$9="Solar Wind",POWER(Upgrades!$U$9,H403),1)*IF(Upgrades!$T$10="Solar Wind",POWER(Upgrades!$U$10,I403),1)*IF(Upgrades!$T$11="Solar Wind",POWER(Upgrades!$U$11,J403),1)*IF(Upgrades!$T$12="Solar Wind",POWER(Upgrades!$U$12,K403),1))*POWER(Upgrades!$P$6,E403)*POWER(Upgrades!$P$7,F403)*POWER(Upgrades!$P$8,G403)*POWER(Upgrades!$P$9,H403)*POWER(Upgrades!$P$10,I403)*POWER(Upgrades!$P$11,J403)*POWER(Upgrades!$P$12,K403)*60</f>
        <v/>
      </c>
      <c r="AB403" s="27">
        <f>(IF(F403=0,0,(Upgrades!$G$7+F403*Upgrades!$H$7)*POWER(Upgrades!$I$7,F403)))*(IF(Upgrades!$T$6="Asteroid Belt",POWER(Upgrades!$U$6,E403),1)*IF(Upgrades!$T$8="Asteroid Belt",POWER(Upgrades!$U$8,G403),1)*IF(Upgrades!$T$9="Asteroid Belt",POWER(Upgrades!$U$9,H403),1)*IF(Upgrades!$T$10="Asteroid Belt",POWER(Upgrades!$U$10,I403),1)*IF(Upgrades!$T$11="Asteroid Belt",POWER(Upgrades!$U$11,J403),1)*IF(Upgrades!$T$12="Asteroid Belt",POWER(Upgrades!$U$12,K403),1))*POWER(Upgrades!$P$6,E403)*POWER(Upgrades!$P$7,F403)*POWER(Upgrades!$P$8,G403)*POWER(Upgrades!$P$9,H403)*POWER(Upgrades!$P$10,I403)*POWER(Upgrades!$P$11,J403)*POWER(Upgrades!$P$12,K403)*60</f>
        <v/>
      </c>
      <c r="AC403" s="27">
        <f>(IF(G403=0,0,(Upgrades!$J$8+G403*Upgrades!$K$8)*POWER(Upgrades!$L$8,G403)))*(IF(Upgrades!$T$6="Stellar Coupling",POWER(Upgrades!$U$6,E403),1)*IF(Upgrades!$T$7="Stellar Coupling",POWER(Upgrades!$U$7,F403),1)*IF(Upgrades!$T$9="Stellar Coupling",POWER(Upgrades!$U$9,H403),1)*IF(Upgrades!$T$10="Stellar Coupling",POWER(Upgrades!$U$10,I403),1)*IF(Upgrades!$T$11="Stellar Coupling",POWER(Upgrades!$U$11,J403),1)*IF(Upgrades!$T$12="Stellar Coupling",POWER(Upgrades!$U$12,K403),1))*POWER(Upgrades!$Q$6,E403)*POWER(Upgrades!$Q$7,F403)*POWER(Upgrades!$Q$8,G403)*POWER(Upgrades!$Q$9,H403)*POWER(Upgrades!$Q$10,I403)*POWER(Upgrades!$Q$11,J403)*POWER(Upgrades!$Q$12,K403)*Parameters!$B$10*Parameters!$B$11</f>
        <v/>
      </c>
      <c r="AD403" s="27">
        <f>(IF(H403=0,0,(Upgrades!$G$9+H403*Upgrades!$H$9)*POWER(Upgrades!$I$9,H403)))*(IF(Upgrades!$T$6="Magnetosphere",POWER(Upgrades!$U$6,E403),1)*IF(Upgrades!$T$7="Magnetosphere",POWER(Upgrades!$U$7,F403),1)*IF(Upgrades!$T$8="Magnetosphere",POWER(Upgrades!$U$8,G403),1)*IF(Upgrades!$T$10="Magnetosphere",POWER(Upgrades!$U$10,I403),1)*IF(Upgrades!$T$11="Magnetosphere",POWER(Upgrades!$U$11,J403),1)*IF(Upgrades!$T$12="Magnetosphere",POWER(Upgrades!$U$12,K403),1))*POWER(Upgrades!$P$6,E403)*POWER(Upgrades!$P$7,F403)*POWER(Upgrades!$P$8,G403)*POWER(Upgrades!$P$9,H403)*POWER(Upgrades!$P$10,I403)*POWER(Upgrades!$P$11,J403)*POWER(Upgrades!$P$12,K403)*60</f>
        <v/>
      </c>
      <c r="AE403" s="27">
        <f>(IF(K403=0,0,(Upgrades!$G$12+K403*Upgrades!$H$12)*POWER(Upgrades!$I$12,K403)))*(IF(Upgrades!$T$6="First Photons",POWER(Upgrades!$U$6,E403),1)*IF(Upgrades!$T$7="First Photons",POWER(Upgrades!$U$7,F403),1)*IF(Upgrades!$T$8="First Photons",POWER(Upgrades!$U$8,G403),1)*IF(Upgrades!$T$9="First Photons",POWER(Upgrades!$U$9,H403),1)*IF(Upgrades!$T$10="First Photons",POWER(Upgrades!$U$10,I403),1)*IF(Upgrades!$T$11="First Photons",POWER(Upgrades!$U$11,J403),1))*POWER(Upgrades!$P$6,E403)*POWER(Upgrades!$P$7,F403)*POWER(Upgrades!$P$8,G403)*POWER(Upgrades!$P$9,H403)*POWER(Upgrades!$P$10,I403)*POWER(Upgrades!$P$11,J403)*POWER(Upgrades!$P$12,K403)*60</f>
        <v/>
      </c>
      <c r="AF403" s="27">
        <f>Parameters!$B$9*POWER(Upgrades!$Q$6,E403)*POWER(Upgrades!$Q$7,F403)*POWER(Upgrades!$Q$8,G403)*POWER(Upgrades!$Q$9,H403)*POWER(Upgrades!$Q$10,I403)*POWER(Upgrades!$Q$11,J403)*POWER(Upgrades!$Q$12,K403)*(Parameters!$B$10*Parameters!$B$11+O403*60)</f>
        <v/>
      </c>
      <c r="AG403" s="22">
        <f>IF(E403&gt;=Upgrades!$E$6,"",Upgrades!$C$6*POWER(Upgrades!$D$6,E403))</f>
        <v/>
      </c>
      <c r="AH403" s="22">
        <f>IF(F403&gt;=Upgrades!$E$7,"",Upgrades!$C$7*POWER(Upgrades!$D$7,F403))</f>
        <v/>
      </c>
      <c r="AI403" s="22">
        <f>IF(G403&gt;=Upgrades!$E$8,"",Upgrades!$C$8*POWER(Upgrades!$D$8,G403))</f>
        <v/>
      </c>
      <c r="AJ403" s="22">
        <f>IF(H403&gt;=Upgrades!$E$9,"",Upgrades!$C$9*POWER(Upgrades!$D$9,H403))</f>
        <v/>
      </c>
      <c r="AK403" s="22">
        <f>IF(I403&gt;=Upgrades!$E$10,"",Upgrades!$C$10*POWER(Upgrades!$D$10,I403))</f>
        <v/>
      </c>
      <c r="AL403" s="22">
        <f>IF(J403&gt;=Upgrades!$E$11,"",Upgrades!$C$11*POWER(Upgrades!$D$11,J403))</f>
        <v/>
      </c>
      <c r="AM403" s="22">
        <f>IF(K403&gt;=Upgrades!$E$12,"",Upgrades!$C$12*POWER(Upgrades!$D$12,K403))</f>
        <v/>
      </c>
      <c r="AN403" s="26">
        <f>IF(AND(D403&gt;=Parameters!$B$18,(H403&gt;=Upgrades!$E$9)*(K403&gt;=Upgrades!$E$12)=1,L403=0),1,"")</f>
        <v/>
      </c>
      <c r="AO403" s="26">
        <f>IF(AND(D403&gt;=Parameters!$B$18,L403=0),1,"")</f>
        <v/>
      </c>
      <c r="AP403" s="22">
        <f>MIN(IF(ISNUMBER(AK403),AK403,9E15),IF(ISNUMBER(AL403),AL403,9E15),IF(ISNUMBER(AM403),AM403,9E15))</f>
        <v/>
      </c>
      <c r="AQ403" s="22">
        <f>MIN(IF(ISNUMBER(AG403),AG403,9E15),IF(ISNUMBER(AH403),AH403,9E15),IF(ISNUMBER(AI403),AI403,9E15),IF(ISNUMBER(AJ403),AJ403,9E15))</f>
        <v/>
      </c>
      <c r="AR403" s="29">
        <f>IF(AW403&gt;Parameters!$B$21*(MAX(IF(AND(NOT(AND(AO403=1,AN403&lt;&gt;1)),ISNUMBER(AG403),AG403&lt;=T403),AS403,0),IF(AND(NOT(AND(AO403=1,AN403&lt;&gt;1)),ISNUMBER(AH403),AH403&lt;=T403),AT403,0),IF(AND(NOT(AND(AO403=1,AN403&lt;&gt;1)),ISNUMBER(AI403),AI403&lt;=T403),AU403,0),IF(AND(ISNUMBER(AJ403),AJ403&lt;=T403),AV403,0))),TRUE,FALSE)</f>
        <v/>
      </c>
      <c r="AS403" s="32">
        <f>IFERROR(Upgrades!$H$6*(POWER(Upgrades!$P$6,E403)*POWER(Upgrades!$P$7,F403)*POWER(Upgrades!$P$8,G403)*POWER(Upgrades!$P$9,H403)*POWER(Upgrades!$P$10,I403)*POWER(Upgrades!$P$11,J403)*POWER(Upgrades!$P$12,K403))*(IF(Upgrades!$T$7="Solar Wind",POWER(Upgrades!$U$7,F403),1)*IF(Upgrades!$T$8="Solar Wind",POWER(Upgrades!$U$8,G403),1)*IF(Upgrades!$T$9="Solar Wind",POWER(Upgrades!$U$9,H403),1)*IF(Upgrades!$T$10="Solar Wind",POWER(Upgrades!$U$10,I403),1)*IF(Upgrades!$T$11="Solar Wind",POWER(Upgrades!$U$11,J403),1)*IF(Upgrades!$T$12="Solar Wind",POWER(Upgrades!$U$12,K403),1))/AG403,0)</f>
        <v/>
      </c>
      <c r="AT403" s="32">
        <f>IFERROR(Upgrades!$H$7*(POWER(Upgrades!$P$6,E403)*POWER(Upgrades!$P$7,F403)*POWER(Upgrades!$P$8,G403)*POWER(Upgrades!$P$9,H403)*POWER(Upgrades!$P$10,I403)*POWER(Upgrades!$P$11,J403)*POWER(Upgrades!$P$12,K403))*(IF(Upgrades!$T$6="Asteroid Belt",POWER(Upgrades!$U$6,E403),1)*IF(Upgrades!$T$8="Asteroid Belt",POWER(Upgrades!$U$8,G403),1)*IF(Upgrades!$T$9="Asteroid Belt",POWER(Upgrades!$U$9,H403),1)*IF(Upgrades!$T$10="Asteroid Belt",POWER(Upgrades!$U$10,I403),1)*IF(Upgrades!$T$11="Asteroid Belt",POWER(Upgrades!$U$11,J403),1)*IF(Upgrades!$T$12="Asteroid Belt",POWER(Upgrades!$U$12,K403),1))/AH403,0)</f>
        <v/>
      </c>
      <c r="AU403" s="32">
        <f>IFERROR(Upgrades!$K$8*(POWER(Upgrades!$Q$6,E403)*POWER(Upgrades!$Q$7,F403)*POWER(Upgrades!$Q$8,G403)*POWER(Upgrades!$Q$9,H403)*POWER(Upgrades!$Q$10,I403)*POWER(Upgrades!$Q$11,J403)*POWER(Upgrades!$Q$12,K403))*(IF(Upgrades!$T$6="Stellar Coupling",POWER(Upgrades!$U$6,E403),1)*IF(Upgrades!$T$7="Stellar Coupling",POWER(Upgrades!$U$7,F403),1)*IF(Upgrades!$T$9="Stellar Coupling",POWER(Upgrades!$U$9,H403),1)*IF(Upgrades!$T$10="Stellar Coupling",POWER(Upgrades!$U$10,I403),1)*IF(Upgrades!$T$11="Stellar Coupling",POWER(Upgrades!$U$11,J403),1)*IF(Upgrades!$T$12="Stellar Coupling",POWER(Upgrades!$U$12,K403),1))*Parameters!$B$10*Parameters!$B$11/60/AI403,0)</f>
        <v/>
      </c>
      <c r="AV403" s="32">
        <f>IFERROR(Upgrades!$H$9*(POWER(Upgrades!$P$6,E403)*POWER(Upgrades!$P$7,F403)*POWER(Upgrades!$P$8,G403)*POWER(Upgrades!$P$9,H403)*POWER(Upgrades!$P$10,I403)*POWER(Upgrades!$P$11,J403)*POWER(Upgrades!$P$12,K403))*(IF(Upgrades!$T$6="Magnetosphere",POWER(Upgrades!$U$6,E403),1)*IF(Upgrades!$T$7="Magnetosphere",POWER(Upgrades!$U$7,F403),1)*IF(Upgrades!$T$8="Magnetosphere",POWER(Upgrades!$U$8,G403),1)*IF(Upgrades!$T$10="Magnetosphere",POWER(Upgrades!$U$10,I403),1)*IF(Upgrades!$T$11="Magnetosphere",POWER(Upgrades!$U$11,J403),1)*IF(Upgrades!$T$12="Magnetosphere",POWER(Upgrades!$U$12,K403),1))/AJ403,0)</f>
        <v/>
      </c>
      <c r="AW403" s="32">
        <f>MAX(IF(I403&gt;0,0,IFERROR(0.25*N403/Upgrades!$C$10,0)),IF(J403&gt;0,0,IFERROR(0.5*((IF(G403=0,0,(Upgrades!$J$8+G403*Upgrades!$K$8)*POWER(Upgrades!$L$8,G403)))*(IF(Upgrades!$T$6="Stellar Coupling",POWER(Upgrades!$U$6,E403),1)*IF(Upgrades!$T$7="Stellar Coupling",POWER(Upgrades!$U$7,F403),1)*IF(Upgrades!$T$9="Stellar Coupling",POWER(Upgrades!$U$9,H403),1)*IF(Upgrades!$T$10="Stellar Coupling",POWER(Upgrades!$U$10,I403),1)*IF(Upgrades!$T$11="Stellar Coupling",POWER(Upgrades!$U$11,J403),1)*IF(Upgrades!$T$12="Stellar Coupling",POWER(Upgrades!$U$12,K403),1))*(POWER(Upgrades!$Q$6,E403)*POWER(Upgrades!$Q$7,F403)*POWER(Upgrades!$Q$8,G403)*POWER(Upgrades!$Q$9,H403)*POWER(Upgrades!$Q$10,I403)*POWER(Upgrades!$Q$11,J403)*POWER(Upgrades!$Q$12,K403))*Parameters!$B$10*Parameters!$B$11/60)/Upgrades!$C$11,0)),IF(K403&gt;0,0,IFERROR((1.0*(POWER(Upgrades!$P$6,E403)*POWER(Upgrades!$P$7,F403)*POWER(Upgrades!$P$8,G403)*POWER(Upgrades!$P$9,H403)*POWER(Upgrades!$P$10,I403)*POWER(Upgrades!$P$11,J403)*POWER(Upgrades!$P$12,K403))+0.20*M403*Parameters!$B$10*Parameters!$B$11/60)/Upgrades!$C$12,0)),IF(AND(ISNUMBER(AG403),AG403&gt;T403),AS403,0),IF(AND(ISNUMBER(AH403),AH403&gt;T403),AT403,0),IF(AND(ISNUMBER(AI403),AI403&gt;T403),AU403,0),IF(AND(ISNUMBER(AJ403),AJ403&gt;T403),AV403,0))</f>
        <v/>
      </c>
      <c r="AX403" s="29">
        <f>IF(AN403=1,"transition",IF(MIN(IF(AND(I403=0,ISNUMBER(AK403),AK403&lt;=T403),AK403,9E15),IF(AND(J403=0,ISNUMBER(AL403),AL403&lt;=T403),AL403,9E15),IF(AND(K403=0,ISNUMBER(AM403),AM403&lt;=T403),AM403,9E15))&lt;9E15,IF(AND(AND(I403=0,ISNUMBER(AK403),AK403&lt;=T403),AK403=MIN(IF(AND(I403=0,ISNUMBER(AK403),AK403&lt;=T403),AK403,9E15),IF(AND(J403=0,ISNUMBER(AL403),AL403&lt;=T403),AL403,9E15),IF(AND(K403=0,ISNUMBER(AM403),AM403&lt;=T403),AM403,9E15))),"OR",IF(AND(AND(J403=0,ISNUMBER(AL403),AL403&lt;=T403),AL403=MIN(IF(AND(I403=0,ISNUMBER(AK403),AK403&lt;=T403),AK403,9E15),IF(AND(J403=0,ISNUMBER(AL403),AL403&lt;=T403),AL403,9E15),IF(AND(K403=0,ISNUMBER(AM403),AM403&lt;=T403),AM403,9E15))),"HP","FP")),IF(AR403=TRUE,"",IF(MAX(IF(AND(NOT(AND(AO403=1,AN403&lt;&gt;1)),ISNUMBER(AG403),AG403&lt;=T403),AS403,0),IF(AND(NOT(AND(AO403=1,AN403&lt;&gt;1)),ISNUMBER(AH403),AH403&lt;=T403),AT403,0),IF(AND(NOT(AND(AO403=1,AN403&lt;&gt;1)),ISNUMBER(AI403),AI403&lt;=T403),AU403,0),IF(AND(ISNUMBER(AJ403),AJ403&lt;=T403),AV403,0))&lt;=0,"",IF(AND(IF(AND(NOT(AND(AO403=1,AN403&lt;&gt;1)),ISNUMBER(AG403),AG403&lt;=T403),AS403,0)&gt;0,IF(AND(NOT(AND(AO403=1,AN403&lt;&gt;1)),ISNUMBER(AG403),AG403&lt;=T403),AS403,0)=MAX(IF(AND(NOT(AND(AO403=1,AN403&lt;&gt;1)),ISNUMBER(AG403),AG403&lt;=T403),AS403,0),IF(AND(NOT(AND(AO403=1,AN403&lt;&gt;1)),ISNUMBER(AH403),AH403&lt;=T403),AT403,0),IF(AND(NOT(AND(AO403=1,AN403&lt;&gt;1)),ISNUMBER(AI403),AI403&lt;=T403),AU403,0),IF(AND(ISNUMBER(AJ403),AJ403&lt;=T403),AV403,0))),"SW",IF(AND(IF(AND(NOT(AND(AO403=1,AN403&lt;&gt;1)),ISNUMBER(AH403),AH403&lt;=T403),AT403,0)&gt;0,IF(AND(NOT(AND(AO403=1,AN403&lt;&gt;1)),ISNUMBER(AH403),AH403&lt;=T403),AT403,0)=MAX(IF(AND(NOT(AND(AO403=1,AN403&lt;&gt;1)),ISNUMBER(AG403),AG403&lt;=T403),AS403,0),IF(AND(NOT(AND(AO403=1,AN403&lt;&gt;1)),ISNUMBER(AH403),AH403&lt;=T403),AT403,0),IF(AND(NOT(AND(AO403=1,AN403&lt;&gt;1)),ISNUMBER(AI403),AI403&lt;=T403),AU403,0),IF(AND(ISNUMBER(AJ403),AJ403&lt;=T403),AV403,0))),"AB",IF(AND(IF(AND(NOT(AND(AO403=1,AN403&lt;&gt;1)),ISNUMBER(AI403),AI403&lt;=T403),AU403,0)&gt;0,IF(AND(NOT(AND(AO403=1,AN403&lt;&gt;1)),ISNUMBER(AI403),AI403&lt;=T403),AU403,0)=MAX(IF(AND(NOT(AND(AO403=1,AN403&lt;&gt;1)),ISNUMBER(AG403),AG403&lt;=T403),AS403,0),IF(AND(NOT(AND(AO403=1,AN403&lt;&gt;1)),ISNUMBER(AH403),AH403&lt;=T403),AT403,0),IF(AND(NOT(AND(AO403=1,AN403&lt;&gt;1)),ISNUMBER(AI403),AI403&lt;=T403),AU403,0),IF(AND(ISNUMBER(AJ403),AJ403&lt;=T403),AV403,0))),"SC","Mag")))))))</f>
        <v/>
      </c>
    </row>
    <row r="404">
      <c r="A404" s="26" t="n">
        <v>399</v>
      </c>
      <c r="B404" s="27">
        <f>A404*10/60</f>
        <v/>
      </c>
      <c r="C404" s="22">
        <f>X403</f>
        <v/>
      </c>
      <c r="D404" s="27">
        <f>D403+W403</f>
        <v/>
      </c>
      <c r="E404" s="26">
        <f>E403+IF(U403="SW",1,0)</f>
        <v/>
      </c>
      <c r="F404" s="26">
        <f>F403+IF(U403="AB",1,0)</f>
        <v/>
      </c>
      <c r="G404" s="26">
        <f>G403+IF(U403="SC",1,0)</f>
        <v/>
      </c>
      <c r="H404" s="26">
        <f>H403+IF(U403="Mag",1,0)</f>
        <v/>
      </c>
      <c r="I404" s="26">
        <f>MAX(I403,IF(U403="OR",1,0))</f>
        <v/>
      </c>
      <c r="J404" s="26">
        <f>MAX(J403,IF(U403="HP",1,0))</f>
        <v/>
      </c>
      <c r="K404" s="26">
        <f>MAX(K403,IF(U403="FP",1,0))</f>
        <v/>
      </c>
      <c r="L404" s="26">
        <f>MAX(L403,IF(U403="transition",1,0))</f>
        <v/>
      </c>
      <c r="M404" s="28">
        <f>(Parameters!$B$9+(IF(E404=0,0,(Upgrades!$J$6+E404*Upgrades!$K$6)*POWER(Upgrades!$L$6,E404)))*(IF(Upgrades!$T$7="Solar Wind",POWER(Upgrades!$U$7,F404),1)*IF(Upgrades!$T$8="Solar Wind",POWER(Upgrades!$U$8,G404),1)*IF(Upgrades!$T$9="Solar Wind",POWER(Upgrades!$U$9,H404),1)*IF(Upgrades!$T$10="Solar Wind",POWER(Upgrades!$U$10,I404),1)*IF(Upgrades!$T$11="Solar Wind",POWER(Upgrades!$U$11,J404),1)*IF(Upgrades!$T$12="Solar Wind",POWER(Upgrades!$U$12,K404),1))+(IF(F404=0,0,(Upgrades!$J$7+F404*Upgrades!$K$7)*POWER(Upgrades!$L$7,F404)))*(IF(Upgrades!$T$6="Asteroid Belt",POWER(Upgrades!$U$6,E404),1)*IF(Upgrades!$T$8="Asteroid Belt",POWER(Upgrades!$U$8,G404),1)*IF(Upgrades!$T$9="Asteroid Belt",POWER(Upgrades!$U$9,H404),1)*IF(Upgrades!$T$10="Asteroid Belt",POWER(Upgrades!$U$10,I404),1)*IF(Upgrades!$T$11="Asteroid Belt",POWER(Upgrades!$U$11,J404),1)*IF(Upgrades!$T$12="Asteroid Belt",POWER(Upgrades!$U$12,K404),1))+(IF(G404=0,0,(Upgrades!$J$8+G404*Upgrades!$K$8)*POWER(Upgrades!$L$8,G404)))*(IF(Upgrades!$T$6="Stellar Coupling",POWER(Upgrades!$U$6,E404),1)*IF(Upgrades!$T$7="Stellar Coupling",POWER(Upgrades!$U$7,F404),1)*IF(Upgrades!$T$9="Stellar Coupling",POWER(Upgrades!$U$9,H404),1)*IF(Upgrades!$T$10="Stellar Coupling",POWER(Upgrades!$U$10,I404),1)*IF(Upgrades!$T$11="Stellar Coupling",POWER(Upgrades!$U$11,J404),1)*IF(Upgrades!$T$12="Stellar Coupling",POWER(Upgrades!$U$12,K404),1))+(IF(H404=0,0,(Upgrades!$J$9+H404*Upgrades!$K$9)*POWER(Upgrades!$L$9,H404)))*(IF(Upgrades!$T$6="Magnetosphere",POWER(Upgrades!$U$6,E404),1)*IF(Upgrades!$T$7="Magnetosphere",POWER(Upgrades!$U$7,F404),1)*IF(Upgrades!$T$8="Magnetosphere",POWER(Upgrades!$U$8,G404),1)*IF(Upgrades!$T$10="Magnetosphere",POWER(Upgrades!$U$10,I404),1)*IF(Upgrades!$T$11="Magnetosphere",POWER(Upgrades!$U$11,J404),1)*IF(Upgrades!$T$12="Magnetosphere",POWER(Upgrades!$U$12,K404),1))+(IF(I404=0,0,(Upgrades!$J$10+I404*Upgrades!$K$10)*POWER(Upgrades!$L$10,I404)))*(IF(Upgrades!$T$6="Orbital Resonance",POWER(Upgrades!$U$6,E404),1)*IF(Upgrades!$T$7="Orbital Resonance",POWER(Upgrades!$U$7,F404),1)*IF(Upgrades!$T$8="Orbital Resonance",POWER(Upgrades!$U$8,G404),1)*IF(Upgrades!$T$9="Orbital Resonance",POWER(Upgrades!$U$9,H404),1)*IF(Upgrades!$T$11="Orbital Resonance",POWER(Upgrades!$U$11,J404),1)*IF(Upgrades!$T$12="Orbital Resonance",POWER(Upgrades!$U$12,K404),1))+(IF(J404=0,0,(Upgrades!$J$11+J404*Upgrades!$K$11)*POWER(Upgrades!$L$11,J404)))*(IF(Upgrades!$T$6="Heliopause",POWER(Upgrades!$U$6,E404),1)*IF(Upgrades!$T$7="Heliopause",POWER(Upgrades!$U$7,F404),1)*IF(Upgrades!$T$8="Heliopause",POWER(Upgrades!$U$8,G404),1)*IF(Upgrades!$T$9="Heliopause",POWER(Upgrades!$U$9,H404),1)*IF(Upgrades!$T$10="Heliopause",POWER(Upgrades!$U$10,I404),1)*IF(Upgrades!$T$12="Heliopause",POWER(Upgrades!$U$12,K404),1))+(IF(K404=0,0,(Upgrades!$J$12+K404*Upgrades!$K$12)*POWER(Upgrades!$L$12,K404)))*(IF(Upgrades!$T$6="First Photons",POWER(Upgrades!$U$6,E404),1)*IF(Upgrades!$T$7="First Photons",POWER(Upgrades!$U$7,F404),1)*IF(Upgrades!$T$8="First Photons",POWER(Upgrades!$U$8,G404),1)*IF(Upgrades!$T$9="First Photons",POWER(Upgrades!$U$9,H404),1)*IF(Upgrades!$T$10="First Photons",POWER(Upgrades!$U$10,I404),1)*IF(Upgrades!$T$11="First Photons",POWER(Upgrades!$U$11,J404),1)))*POWER(Upgrades!$Q$6,E404)*POWER(Upgrades!$Q$7,F404)*POWER(Upgrades!$Q$8,G404)*POWER(Upgrades!$Q$9,H404)*POWER(Upgrades!$Q$10,I404)*POWER(Upgrades!$Q$11,J404)*POWER(Upgrades!$Q$12,K404)</f>
        <v/>
      </c>
      <c r="N404" s="28">
        <f>((IF(E404=0,0,(Upgrades!$G$6+E404*Upgrades!$H$6)*POWER(Upgrades!$I$6,E404)))*(IF(Upgrades!$T$7="Solar Wind",POWER(Upgrades!$U$7,F404),1)*IF(Upgrades!$T$8="Solar Wind",POWER(Upgrades!$U$8,G404),1)*IF(Upgrades!$T$9="Solar Wind",POWER(Upgrades!$U$9,H404),1)*IF(Upgrades!$T$10="Solar Wind",POWER(Upgrades!$U$10,I404),1)*IF(Upgrades!$T$11="Solar Wind",POWER(Upgrades!$U$11,J404),1)*IF(Upgrades!$T$12="Solar Wind",POWER(Upgrades!$U$12,K404),1))+(IF(F404=0,0,(Upgrades!$G$7+F404*Upgrades!$H$7)*POWER(Upgrades!$I$7,F404)))*(IF(Upgrades!$T$6="Asteroid Belt",POWER(Upgrades!$U$6,E404),1)*IF(Upgrades!$T$8="Asteroid Belt",POWER(Upgrades!$U$8,G404),1)*IF(Upgrades!$T$9="Asteroid Belt",POWER(Upgrades!$U$9,H404),1)*IF(Upgrades!$T$10="Asteroid Belt",POWER(Upgrades!$U$10,I404),1)*IF(Upgrades!$T$11="Asteroid Belt",POWER(Upgrades!$U$11,J404),1)*IF(Upgrades!$T$12="Asteroid Belt",POWER(Upgrades!$U$12,K404),1))+(IF(G404=0,0,(Upgrades!$G$8+G404*Upgrades!$H$8)*POWER(Upgrades!$I$8,G404)))*(IF(Upgrades!$T$6="Stellar Coupling",POWER(Upgrades!$U$6,E404),1)*IF(Upgrades!$T$7="Stellar Coupling",POWER(Upgrades!$U$7,F404),1)*IF(Upgrades!$T$9="Stellar Coupling",POWER(Upgrades!$U$9,H404),1)*IF(Upgrades!$T$10="Stellar Coupling",POWER(Upgrades!$U$10,I404),1)*IF(Upgrades!$T$11="Stellar Coupling",POWER(Upgrades!$U$11,J404),1)*IF(Upgrades!$T$12="Stellar Coupling",POWER(Upgrades!$U$12,K404),1))+(IF(H404=0,0,(Upgrades!$G$9+H404*Upgrades!$H$9)*POWER(Upgrades!$I$9,H404)))*(IF(Upgrades!$T$6="Magnetosphere",POWER(Upgrades!$U$6,E404),1)*IF(Upgrades!$T$7="Magnetosphere",POWER(Upgrades!$U$7,F404),1)*IF(Upgrades!$T$8="Magnetosphere",POWER(Upgrades!$U$8,G404),1)*IF(Upgrades!$T$10="Magnetosphere",POWER(Upgrades!$U$10,I404),1)*IF(Upgrades!$T$11="Magnetosphere",POWER(Upgrades!$U$11,J404),1)*IF(Upgrades!$T$12="Magnetosphere",POWER(Upgrades!$U$12,K404),1))+(IF(I404=0,0,(Upgrades!$G$10+I404*Upgrades!$H$10)*POWER(Upgrades!$I$10,I404)))*(IF(Upgrades!$T$6="Orbital Resonance",POWER(Upgrades!$U$6,E404),1)*IF(Upgrades!$T$7="Orbital Resonance",POWER(Upgrades!$U$7,F404),1)*IF(Upgrades!$T$8="Orbital Resonance",POWER(Upgrades!$U$8,G404),1)*IF(Upgrades!$T$9="Orbital Resonance",POWER(Upgrades!$U$9,H404),1)*IF(Upgrades!$T$11="Orbital Resonance",POWER(Upgrades!$U$11,J404),1)*IF(Upgrades!$T$12="Orbital Resonance",POWER(Upgrades!$U$12,K404),1))+(IF(J404=0,0,(Upgrades!$G$11+J404*Upgrades!$H$11)*POWER(Upgrades!$I$11,J404)))*(IF(Upgrades!$T$6="Heliopause",POWER(Upgrades!$U$6,E404),1)*IF(Upgrades!$T$7="Heliopause",POWER(Upgrades!$U$7,F404),1)*IF(Upgrades!$T$8="Heliopause",POWER(Upgrades!$U$8,G404),1)*IF(Upgrades!$T$9="Heliopause",POWER(Upgrades!$U$9,H404),1)*IF(Upgrades!$T$10="Heliopause",POWER(Upgrades!$U$10,I404),1)*IF(Upgrades!$T$12="Heliopause",POWER(Upgrades!$U$12,K404),1))+(IF(K404=0,0,(Upgrades!$G$12+K404*Upgrades!$H$12)*POWER(Upgrades!$I$12,K404)))*(IF(Upgrades!$T$6="First Photons",POWER(Upgrades!$U$6,E404),1)*IF(Upgrades!$T$7="First Photons",POWER(Upgrades!$U$7,F404),1)*IF(Upgrades!$T$8="First Photons",POWER(Upgrades!$U$8,G404),1)*IF(Upgrades!$T$9="First Photons",POWER(Upgrades!$U$9,H404),1)*IF(Upgrades!$T$10="First Photons",POWER(Upgrades!$U$10,I404),1)*IF(Upgrades!$T$11="First Photons",POWER(Upgrades!$U$11,J404),1)))*POWER(Upgrades!$P$6,E404)*POWER(Upgrades!$P$7,F404)*POWER(Upgrades!$P$8,G404)*POWER(Upgrades!$P$9,H404)*POWER(Upgrades!$P$10,I404)*POWER(Upgrades!$P$11,J404)*POWER(Upgrades!$P$12,K404)</f>
        <v/>
      </c>
      <c r="O404" s="28">
        <f>((IF(E404=0,0,(Upgrades!$M$6+E404*Upgrades!$N$6)*POWER(Upgrades!$O$6,E404)))*(IF(Upgrades!$T$7="Solar Wind",POWER(Upgrades!$U$7,F404),1)*IF(Upgrades!$T$8="Solar Wind",POWER(Upgrades!$U$8,G404),1)*IF(Upgrades!$T$9="Solar Wind",POWER(Upgrades!$U$9,H404),1)*IF(Upgrades!$T$10="Solar Wind",POWER(Upgrades!$U$10,I404),1)*IF(Upgrades!$T$11="Solar Wind",POWER(Upgrades!$U$11,J404),1)*IF(Upgrades!$T$12="Solar Wind",POWER(Upgrades!$U$12,K404),1))+(IF(F404=0,0,(Upgrades!$M$7+F404*Upgrades!$N$7)*POWER(Upgrades!$O$7,F404)))*(IF(Upgrades!$T$6="Asteroid Belt",POWER(Upgrades!$U$6,E404),1)*IF(Upgrades!$T$8="Asteroid Belt",POWER(Upgrades!$U$8,G404),1)*IF(Upgrades!$T$9="Asteroid Belt",POWER(Upgrades!$U$9,H404),1)*IF(Upgrades!$T$10="Asteroid Belt",POWER(Upgrades!$U$10,I404),1)*IF(Upgrades!$T$11="Asteroid Belt",POWER(Upgrades!$U$11,J404),1)*IF(Upgrades!$T$12="Asteroid Belt",POWER(Upgrades!$U$12,K404),1))+(IF(G404=0,0,(Upgrades!$M$8+G404*Upgrades!$N$8)*POWER(Upgrades!$O$8,G404)))*(IF(Upgrades!$T$6="Stellar Coupling",POWER(Upgrades!$U$6,E404),1)*IF(Upgrades!$T$7="Stellar Coupling",POWER(Upgrades!$U$7,F404),1)*IF(Upgrades!$T$9="Stellar Coupling",POWER(Upgrades!$U$9,H404),1)*IF(Upgrades!$T$10="Stellar Coupling",POWER(Upgrades!$U$10,I404),1)*IF(Upgrades!$T$11="Stellar Coupling",POWER(Upgrades!$U$11,J404),1)*IF(Upgrades!$T$12="Stellar Coupling",POWER(Upgrades!$U$12,K404),1))+(IF(H404=0,0,(Upgrades!$M$9+H404*Upgrades!$N$9)*POWER(Upgrades!$O$9,H404)))*(IF(Upgrades!$T$6="Magnetosphere",POWER(Upgrades!$U$6,E404),1)*IF(Upgrades!$T$7="Magnetosphere",POWER(Upgrades!$U$7,F404),1)*IF(Upgrades!$T$8="Magnetosphere",POWER(Upgrades!$U$8,G404),1)*IF(Upgrades!$T$10="Magnetosphere",POWER(Upgrades!$U$10,I404),1)*IF(Upgrades!$T$11="Magnetosphere",POWER(Upgrades!$U$11,J404),1)*IF(Upgrades!$T$12="Magnetosphere",POWER(Upgrades!$U$12,K404),1))+(IF(I404=0,0,(Upgrades!$M$10+I404*Upgrades!$N$10)*POWER(Upgrades!$O$10,I404)))*(IF(Upgrades!$T$6="Orbital Resonance",POWER(Upgrades!$U$6,E404),1)*IF(Upgrades!$T$7="Orbital Resonance",POWER(Upgrades!$U$7,F404),1)*IF(Upgrades!$T$8="Orbital Resonance",POWER(Upgrades!$U$8,G404),1)*IF(Upgrades!$T$9="Orbital Resonance",POWER(Upgrades!$U$9,H404),1)*IF(Upgrades!$T$11="Orbital Resonance",POWER(Upgrades!$U$11,J404),1)*IF(Upgrades!$T$12="Orbital Resonance",POWER(Upgrades!$U$12,K404),1))+(IF(J404=0,0,(Upgrades!$M$11+J404*Upgrades!$N$11)*POWER(Upgrades!$O$11,J404)))*(IF(Upgrades!$T$6="Heliopause",POWER(Upgrades!$U$6,E404),1)*IF(Upgrades!$T$7="Heliopause",POWER(Upgrades!$U$7,F404),1)*IF(Upgrades!$T$8="Heliopause",POWER(Upgrades!$U$8,G404),1)*IF(Upgrades!$T$9="Heliopause",POWER(Upgrades!$U$9,H404),1)*IF(Upgrades!$T$10="Heliopause",POWER(Upgrades!$U$10,I404),1)*IF(Upgrades!$T$12="Heliopause",POWER(Upgrades!$U$12,K404),1))+(IF(K404=0,0,(Upgrades!$M$12+K404*Upgrades!$N$12)*POWER(Upgrades!$O$12,K404)))*(IF(Upgrades!$T$6="First Photons",POWER(Upgrades!$U$6,E404),1)*IF(Upgrades!$T$7="First Photons",POWER(Upgrades!$U$7,F404),1)*IF(Upgrades!$T$8="First Photons",POWER(Upgrades!$U$8,G404),1)*IF(Upgrades!$T$9="First Photons",POWER(Upgrades!$U$9,H404),1)*IF(Upgrades!$T$10="First Photons",POWER(Upgrades!$U$10,I404),1)*IF(Upgrades!$T$11="First Photons",POWER(Upgrades!$U$11,J404),1)))*POWER(Upgrades!$R$6,E404)*POWER(Upgrades!$R$7,F404)*POWER(Upgrades!$R$8,G404)*POWER(Upgrades!$R$9,H404)*POWER(Upgrades!$R$10,I404)*POWER(Upgrades!$R$11,J404)*POWER(Upgrades!$R$12,K404)</f>
        <v/>
      </c>
      <c r="P404" s="27">
        <f>IF(L404=1,0,M404*Parameters!$B$10/60*Parameters!$B$11*10)</f>
        <v/>
      </c>
      <c r="Q404" s="27">
        <f>IF(L404=1,0,O404*M404*10)</f>
        <v/>
      </c>
      <c r="R404" s="27">
        <f>IF(L404=1,0,N404*10)</f>
        <v/>
      </c>
      <c r="S404" s="27">
        <f>P404+Q404+R404</f>
        <v/>
      </c>
      <c r="T404" s="22">
        <f>C404+S404</f>
        <v/>
      </c>
      <c r="U404" s="33">
        <f>AX404</f>
        <v/>
      </c>
      <c r="V404" s="22">
        <f>IF(U404="",0,IF(U404="transition",0,IF(U404="SW",AG404,IF(U404="AB",AH404,IF(U404="SC",AI404,IF(U404="Mag",AJ404,IF(U404="OR",AK404,IF(U404="HP",AL404,IF(U404="FP",AM404,0)))))))))</f>
        <v/>
      </c>
      <c r="W404" s="27">
        <f>IF(U404="OR",Upgrades!$F$10,IF(U404="HP",Upgrades!$F$11,IF(U404="transition",-Parameters!$B$18,0)))</f>
        <v/>
      </c>
      <c r="X404" s="22">
        <f>T404-V404</f>
        <v/>
      </c>
      <c r="Y404" s="30">
        <f>M404*Parameters!$B$10/60*Parameters!$B$11+O404*M404+N404</f>
        <v/>
      </c>
      <c r="Z404" s="34">
        <f>IF(U404="transition","→ Tier 2 (Stellar Neighborhood)",IF(U404="FP","First Photons — light begins, system quickens",IF(U404="HP","Heliopause acquired",IF(U404="OR","Orbital Resonance — passive multiplier active",IF(AND(AO404=1,L404=0,AN404&lt;&gt;1),"Cohesion ready (waiting on completionist upgrades)","")))))</f>
        <v/>
      </c>
      <c r="AA404" s="27">
        <f>(IF(E404=0,0,(Upgrades!$G$6+E404*Upgrades!$H$6)*POWER(Upgrades!$I$6,E404)))*(IF(Upgrades!$T$7="Solar Wind",POWER(Upgrades!$U$7,F404),1)*IF(Upgrades!$T$8="Solar Wind",POWER(Upgrades!$U$8,G404),1)*IF(Upgrades!$T$9="Solar Wind",POWER(Upgrades!$U$9,H404),1)*IF(Upgrades!$T$10="Solar Wind",POWER(Upgrades!$U$10,I404),1)*IF(Upgrades!$T$11="Solar Wind",POWER(Upgrades!$U$11,J404),1)*IF(Upgrades!$T$12="Solar Wind",POWER(Upgrades!$U$12,K404),1))*POWER(Upgrades!$P$6,E404)*POWER(Upgrades!$P$7,F404)*POWER(Upgrades!$P$8,G404)*POWER(Upgrades!$P$9,H404)*POWER(Upgrades!$P$10,I404)*POWER(Upgrades!$P$11,J404)*POWER(Upgrades!$P$12,K404)*60</f>
        <v/>
      </c>
      <c r="AB404" s="27">
        <f>(IF(F404=0,0,(Upgrades!$G$7+F404*Upgrades!$H$7)*POWER(Upgrades!$I$7,F404)))*(IF(Upgrades!$T$6="Asteroid Belt",POWER(Upgrades!$U$6,E404),1)*IF(Upgrades!$T$8="Asteroid Belt",POWER(Upgrades!$U$8,G404),1)*IF(Upgrades!$T$9="Asteroid Belt",POWER(Upgrades!$U$9,H404),1)*IF(Upgrades!$T$10="Asteroid Belt",POWER(Upgrades!$U$10,I404),1)*IF(Upgrades!$T$11="Asteroid Belt",POWER(Upgrades!$U$11,J404),1)*IF(Upgrades!$T$12="Asteroid Belt",POWER(Upgrades!$U$12,K404),1))*POWER(Upgrades!$P$6,E404)*POWER(Upgrades!$P$7,F404)*POWER(Upgrades!$P$8,G404)*POWER(Upgrades!$P$9,H404)*POWER(Upgrades!$P$10,I404)*POWER(Upgrades!$P$11,J404)*POWER(Upgrades!$P$12,K404)*60</f>
        <v/>
      </c>
      <c r="AC404" s="27">
        <f>(IF(G404=0,0,(Upgrades!$J$8+G404*Upgrades!$K$8)*POWER(Upgrades!$L$8,G404)))*(IF(Upgrades!$T$6="Stellar Coupling",POWER(Upgrades!$U$6,E404),1)*IF(Upgrades!$T$7="Stellar Coupling",POWER(Upgrades!$U$7,F404),1)*IF(Upgrades!$T$9="Stellar Coupling",POWER(Upgrades!$U$9,H404),1)*IF(Upgrades!$T$10="Stellar Coupling",POWER(Upgrades!$U$10,I404),1)*IF(Upgrades!$T$11="Stellar Coupling",POWER(Upgrades!$U$11,J404),1)*IF(Upgrades!$T$12="Stellar Coupling",POWER(Upgrades!$U$12,K404),1))*POWER(Upgrades!$Q$6,E404)*POWER(Upgrades!$Q$7,F404)*POWER(Upgrades!$Q$8,G404)*POWER(Upgrades!$Q$9,H404)*POWER(Upgrades!$Q$10,I404)*POWER(Upgrades!$Q$11,J404)*POWER(Upgrades!$Q$12,K404)*Parameters!$B$10*Parameters!$B$11</f>
        <v/>
      </c>
      <c r="AD404" s="27">
        <f>(IF(H404=0,0,(Upgrades!$G$9+H404*Upgrades!$H$9)*POWER(Upgrades!$I$9,H404)))*(IF(Upgrades!$T$6="Magnetosphere",POWER(Upgrades!$U$6,E404),1)*IF(Upgrades!$T$7="Magnetosphere",POWER(Upgrades!$U$7,F404),1)*IF(Upgrades!$T$8="Magnetosphere",POWER(Upgrades!$U$8,G404),1)*IF(Upgrades!$T$10="Magnetosphere",POWER(Upgrades!$U$10,I404),1)*IF(Upgrades!$T$11="Magnetosphere",POWER(Upgrades!$U$11,J404),1)*IF(Upgrades!$T$12="Magnetosphere",POWER(Upgrades!$U$12,K404),1))*POWER(Upgrades!$P$6,E404)*POWER(Upgrades!$P$7,F404)*POWER(Upgrades!$P$8,G404)*POWER(Upgrades!$P$9,H404)*POWER(Upgrades!$P$10,I404)*POWER(Upgrades!$P$11,J404)*POWER(Upgrades!$P$12,K404)*60</f>
        <v/>
      </c>
      <c r="AE404" s="27">
        <f>(IF(K404=0,0,(Upgrades!$G$12+K404*Upgrades!$H$12)*POWER(Upgrades!$I$12,K404)))*(IF(Upgrades!$T$6="First Photons",POWER(Upgrades!$U$6,E404),1)*IF(Upgrades!$T$7="First Photons",POWER(Upgrades!$U$7,F404),1)*IF(Upgrades!$T$8="First Photons",POWER(Upgrades!$U$8,G404),1)*IF(Upgrades!$T$9="First Photons",POWER(Upgrades!$U$9,H404),1)*IF(Upgrades!$T$10="First Photons",POWER(Upgrades!$U$10,I404),1)*IF(Upgrades!$T$11="First Photons",POWER(Upgrades!$U$11,J404),1))*POWER(Upgrades!$P$6,E404)*POWER(Upgrades!$P$7,F404)*POWER(Upgrades!$P$8,G404)*POWER(Upgrades!$P$9,H404)*POWER(Upgrades!$P$10,I404)*POWER(Upgrades!$P$11,J404)*POWER(Upgrades!$P$12,K404)*60</f>
        <v/>
      </c>
      <c r="AF404" s="27">
        <f>Parameters!$B$9*POWER(Upgrades!$Q$6,E404)*POWER(Upgrades!$Q$7,F404)*POWER(Upgrades!$Q$8,G404)*POWER(Upgrades!$Q$9,H404)*POWER(Upgrades!$Q$10,I404)*POWER(Upgrades!$Q$11,J404)*POWER(Upgrades!$Q$12,K404)*(Parameters!$B$10*Parameters!$B$11+O404*60)</f>
        <v/>
      </c>
      <c r="AG404" s="22">
        <f>IF(E404&gt;=Upgrades!$E$6,"",Upgrades!$C$6*POWER(Upgrades!$D$6,E404))</f>
        <v/>
      </c>
      <c r="AH404" s="22">
        <f>IF(F404&gt;=Upgrades!$E$7,"",Upgrades!$C$7*POWER(Upgrades!$D$7,F404))</f>
        <v/>
      </c>
      <c r="AI404" s="22">
        <f>IF(G404&gt;=Upgrades!$E$8,"",Upgrades!$C$8*POWER(Upgrades!$D$8,G404))</f>
        <v/>
      </c>
      <c r="AJ404" s="22">
        <f>IF(H404&gt;=Upgrades!$E$9,"",Upgrades!$C$9*POWER(Upgrades!$D$9,H404))</f>
        <v/>
      </c>
      <c r="AK404" s="22">
        <f>IF(I404&gt;=Upgrades!$E$10,"",Upgrades!$C$10*POWER(Upgrades!$D$10,I404))</f>
        <v/>
      </c>
      <c r="AL404" s="22">
        <f>IF(J404&gt;=Upgrades!$E$11,"",Upgrades!$C$11*POWER(Upgrades!$D$11,J404))</f>
        <v/>
      </c>
      <c r="AM404" s="22">
        <f>IF(K404&gt;=Upgrades!$E$12,"",Upgrades!$C$12*POWER(Upgrades!$D$12,K404))</f>
        <v/>
      </c>
      <c r="AN404" s="26">
        <f>IF(AND(D404&gt;=Parameters!$B$18,(H404&gt;=Upgrades!$E$9)*(K404&gt;=Upgrades!$E$12)=1,L404=0),1,"")</f>
        <v/>
      </c>
      <c r="AO404" s="26">
        <f>IF(AND(D404&gt;=Parameters!$B$18,L404=0),1,"")</f>
        <v/>
      </c>
      <c r="AP404" s="22">
        <f>MIN(IF(ISNUMBER(AK404),AK404,9E15),IF(ISNUMBER(AL404),AL404,9E15),IF(ISNUMBER(AM404),AM404,9E15))</f>
        <v/>
      </c>
      <c r="AQ404" s="22">
        <f>MIN(IF(ISNUMBER(AG404),AG404,9E15),IF(ISNUMBER(AH404),AH404,9E15),IF(ISNUMBER(AI404),AI404,9E15),IF(ISNUMBER(AJ404),AJ404,9E15))</f>
        <v/>
      </c>
      <c r="AR404" s="29">
        <f>IF(AW404&gt;Parameters!$B$21*(MAX(IF(AND(NOT(AND(AO404=1,AN404&lt;&gt;1)),ISNUMBER(AG404),AG404&lt;=T404),AS404,0),IF(AND(NOT(AND(AO404=1,AN404&lt;&gt;1)),ISNUMBER(AH404),AH404&lt;=T404),AT404,0),IF(AND(NOT(AND(AO404=1,AN404&lt;&gt;1)),ISNUMBER(AI404),AI404&lt;=T404),AU404,0),IF(AND(ISNUMBER(AJ404),AJ404&lt;=T404),AV404,0))),TRUE,FALSE)</f>
        <v/>
      </c>
      <c r="AS404" s="32">
        <f>IFERROR(Upgrades!$H$6*(POWER(Upgrades!$P$6,E404)*POWER(Upgrades!$P$7,F404)*POWER(Upgrades!$P$8,G404)*POWER(Upgrades!$P$9,H404)*POWER(Upgrades!$P$10,I404)*POWER(Upgrades!$P$11,J404)*POWER(Upgrades!$P$12,K404))*(IF(Upgrades!$T$7="Solar Wind",POWER(Upgrades!$U$7,F404),1)*IF(Upgrades!$T$8="Solar Wind",POWER(Upgrades!$U$8,G404),1)*IF(Upgrades!$T$9="Solar Wind",POWER(Upgrades!$U$9,H404),1)*IF(Upgrades!$T$10="Solar Wind",POWER(Upgrades!$U$10,I404),1)*IF(Upgrades!$T$11="Solar Wind",POWER(Upgrades!$U$11,J404),1)*IF(Upgrades!$T$12="Solar Wind",POWER(Upgrades!$U$12,K404),1))/AG404,0)</f>
        <v/>
      </c>
      <c r="AT404" s="32">
        <f>IFERROR(Upgrades!$H$7*(POWER(Upgrades!$P$6,E404)*POWER(Upgrades!$P$7,F404)*POWER(Upgrades!$P$8,G404)*POWER(Upgrades!$P$9,H404)*POWER(Upgrades!$P$10,I404)*POWER(Upgrades!$P$11,J404)*POWER(Upgrades!$P$12,K404))*(IF(Upgrades!$T$6="Asteroid Belt",POWER(Upgrades!$U$6,E404),1)*IF(Upgrades!$T$8="Asteroid Belt",POWER(Upgrades!$U$8,G404),1)*IF(Upgrades!$T$9="Asteroid Belt",POWER(Upgrades!$U$9,H404),1)*IF(Upgrades!$T$10="Asteroid Belt",POWER(Upgrades!$U$10,I404),1)*IF(Upgrades!$T$11="Asteroid Belt",POWER(Upgrades!$U$11,J404),1)*IF(Upgrades!$T$12="Asteroid Belt",POWER(Upgrades!$U$12,K404),1))/AH404,0)</f>
        <v/>
      </c>
      <c r="AU404" s="32">
        <f>IFERROR(Upgrades!$K$8*(POWER(Upgrades!$Q$6,E404)*POWER(Upgrades!$Q$7,F404)*POWER(Upgrades!$Q$8,G404)*POWER(Upgrades!$Q$9,H404)*POWER(Upgrades!$Q$10,I404)*POWER(Upgrades!$Q$11,J404)*POWER(Upgrades!$Q$12,K404))*(IF(Upgrades!$T$6="Stellar Coupling",POWER(Upgrades!$U$6,E404),1)*IF(Upgrades!$T$7="Stellar Coupling",POWER(Upgrades!$U$7,F404),1)*IF(Upgrades!$T$9="Stellar Coupling",POWER(Upgrades!$U$9,H404),1)*IF(Upgrades!$T$10="Stellar Coupling",POWER(Upgrades!$U$10,I404),1)*IF(Upgrades!$T$11="Stellar Coupling",POWER(Upgrades!$U$11,J404),1)*IF(Upgrades!$T$12="Stellar Coupling",POWER(Upgrades!$U$12,K404),1))*Parameters!$B$10*Parameters!$B$11/60/AI404,0)</f>
        <v/>
      </c>
      <c r="AV404" s="32">
        <f>IFERROR(Upgrades!$H$9*(POWER(Upgrades!$P$6,E404)*POWER(Upgrades!$P$7,F404)*POWER(Upgrades!$P$8,G404)*POWER(Upgrades!$P$9,H404)*POWER(Upgrades!$P$10,I404)*POWER(Upgrades!$P$11,J404)*POWER(Upgrades!$P$12,K404))*(IF(Upgrades!$T$6="Magnetosphere",POWER(Upgrades!$U$6,E404),1)*IF(Upgrades!$T$7="Magnetosphere",POWER(Upgrades!$U$7,F404),1)*IF(Upgrades!$T$8="Magnetosphere",POWER(Upgrades!$U$8,G404),1)*IF(Upgrades!$T$10="Magnetosphere",POWER(Upgrades!$U$10,I404),1)*IF(Upgrades!$T$11="Magnetosphere",POWER(Upgrades!$U$11,J404),1)*IF(Upgrades!$T$12="Magnetosphere",POWER(Upgrades!$U$12,K404),1))/AJ404,0)</f>
        <v/>
      </c>
      <c r="AW404" s="32">
        <f>MAX(IF(I404&gt;0,0,IFERROR(0.25*N404/Upgrades!$C$10,0)),IF(J404&gt;0,0,IFERROR(0.5*((IF(G404=0,0,(Upgrades!$J$8+G404*Upgrades!$K$8)*POWER(Upgrades!$L$8,G404)))*(IF(Upgrades!$T$6="Stellar Coupling",POWER(Upgrades!$U$6,E404),1)*IF(Upgrades!$T$7="Stellar Coupling",POWER(Upgrades!$U$7,F404),1)*IF(Upgrades!$T$9="Stellar Coupling",POWER(Upgrades!$U$9,H404),1)*IF(Upgrades!$T$10="Stellar Coupling",POWER(Upgrades!$U$10,I404),1)*IF(Upgrades!$T$11="Stellar Coupling",POWER(Upgrades!$U$11,J404),1)*IF(Upgrades!$T$12="Stellar Coupling",POWER(Upgrades!$U$12,K404),1))*(POWER(Upgrades!$Q$6,E404)*POWER(Upgrades!$Q$7,F404)*POWER(Upgrades!$Q$8,G404)*POWER(Upgrades!$Q$9,H404)*POWER(Upgrades!$Q$10,I404)*POWER(Upgrades!$Q$11,J404)*POWER(Upgrades!$Q$12,K404))*Parameters!$B$10*Parameters!$B$11/60)/Upgrades!$C$11,0)),IF(K404&gt;0,0,IFERROR((1.0*(POWER(Upgrades!$P$6,E404)*POWER(Upgrades!$P$7,F404)*POWER(Upgrades!$P$8,G404)*POWER(Upgrades!$P$9,H404)*POWER(Upgrades!$P$10,I404)*POWER(Upgrades!$P$11,J404)*POWER(Upgrades!$P$12,K404))+0.20*M404*Parameters!$B$10*Parameters!$B$11/60)/Upgrades!$C$12,0)),IF(AND(ISNUMBER(AG404),AG404&gt;T404),AS404,0),IF(AND(ISNUMBER(AH404),AH404&gt;T404),AT404,0),IF(AND(ISNUMBER(AI404),AI404&gt;T404),AU404,0),IF(AND(ISNUMBER(AJ404),AJ404&gt;T404),AV404,0))</f>
        <v/>
      </c>
      <c r="AX404" s="29">
        <f>IF(AN404=1,"transition",IF(MIN(IF(AND(I404=0,ISNUMBER(AK404),AK404&lt;=T404),AK404,9E15),IF(AND(J404=0,ISNUMBER(AL404),AL404&lt;=T404),AL404,9E15),IF(AND(K404=0,ISNUMBER(AM404),AM404&lt;=T404),AM404,9E15))&lt;9E15,IF(AND(AND(I404=0,ISNUMBER(AK404),AK404&lt;=T404),AK404=MIN(IF(AND(I404=0,ISNUMBER(AK404),AK404&lt;=T404),AK404,9E15),IF(AND(J404=0,ISNUMBER(AL404),AL404&lt;=T404),AL404,9E15),IF(AND(K404=0,ISNUMBER(AM404),AM404&lt;=T404),AM404,9E15))),"OR",IF(AND(AND(J404=0,ISNUMBER(AL404),AL404&lt;=T404),AL404=MIN(IF(AND(I404=0,ISNUMBER(AK404),AK404&lt;=T404),AK404,9E15),IF(AND(J404=0,ISNUMBER(AL404),AL404&lt;=T404),AL404,9E15),IF(AND(K404=0,ISNUMBER(AM404),AM404&lt;=T404),AM404,9E15))),"HP","FP")),IF(AR404=TRUE,"",IF(MAX(IF(AND(NOT(AND(AO404=1,AN404&lt;&gt;1)),ISNUMBER(AG404),AG404&lt;=T404),AS404,0),IF(AND(NOT(AND(AO404=1,AN404&lt;&gt;1)),ISNUMBER(AH404),AH404&lt;=T404),AT404,0),IF(AND(NOT(AND(AO404=1,AN404&lt;&gt;1)),ISNUMBER(AI404),AI404&lt;=T404),AU404,0),IF(AND(ISNUMBER(AJ404),AJ404&lt;=T404),AV404,0))&lt;=0,"",IF(AND(IF(AND(NOT(AND(AO404=1,AN404&lt;&gt;1)),ISNUMBER(AG404),AG404&lt;=T404),AS404,0)&gt;0,IF(AND(NOT(AND(AO404=1,AN404&lt;&gt;1)),ISNUMBER(AG404),AG404&lt;=T404),AS404,0)=MAX(IF(AND(NOT(AND(AO404=1,AN404&lt;&gt;1)),ISNUMBER(AG404),AG404&lt;=T404),AS404,0),IF(AND(NOT(AND(AO404=1,AN404&lt;&gt;1)),ISNUMBER(AH404),AH404&lt;=T404),AT404,0),IF(AND(NOT(AND(AO404=1,AN404&lt;&gt;1)),ISNUMBER(AI404),AI404&lt;=T404),AU404,0),IF(AND(ISNUMBER(AJ404),AJ404&lt;=T404),AV404,0))),"SW",IF(AND(IF(AND(NOT(AND(AO404=1,AN404&lt;&gt;1)),ISNUMBER(AH404),AH404&lt;=T404),AT404,0)&gt;0,IF(AND(NOT(AND(AO404=1,AN404&lt;&gt;1)),ISNUMBER(AH404),AH404&lt;=T404),AT404,0)=MAX(IF(AND(NOT(AND(AO404=1,AN404&lt;&gt;1)),ISNUMBER(AG404),AG404&lt;=T404),AS404,0),IF(AND(NOT(AND(AO404=1,AN404&lt;&gt;1)),ISNUMBER(AH404),AH404&lt;=T404),AT404,0),IF(AND(NOT(AND(AO404=1,AN404&lt;&gt;1)),ISNUMBER(AI404),AI404&lt;=T404),AU404,0),IF(AND(ISNUMBER(AJ404),AJ404&lt;=T404),AV404,0))),"AB",IF(AND(IF(AND(NOT(AND(AO404=1,AN404&lt;&gt;1)),ISNUMBER(AI404),AI404&lt;=T404),AU404,0)&gt;0,IF(AND(NOT(AND(AO404=1,AN404&lt;&gt;1)),ISNUMBER(AI404),AI404&lt;=T404),AU404,0)=MAX(IF(AND(NOT(AND(AO404=1,AN404&lt;&gt;1)),ISNUMBER(AG404),AG404&lt;=T404),AS404,0),IF(AND(NOT(AND(AO404=1,AN404&lt;&gt;1)),ISNUMBER(AH404),AH404&lt;=T404),AT404,0),IF(AND(NOT(AND(AO404=1,AN404&lt;&gt;1)),ISNUMBER(AI404),AI404&lt;=T404),AU404,0),IF(AND(ISNUMBER(AJ404),AJ404&lt;=T404),AV404,0))),"SC","Mag")))))))</f>
        <v/>
      </c>
    </row>
    <row r="405">
      <c r="A405" s="26" t="n">
        <v>400</v>
      </c>
      <c r="B405" s="27">
        <f>A405*10/60</f>
        <v/>
      </c>
      <c r="C405" s="22">
        <f>X404</f>
        <v/>
      </c>
      <c r="D405" s="27">
        <f>D404+W404</f>
        <v/>
      </c>
      <c r="E405" s="26">
        <f>E404+IF(U404="SW",1,0)</f>
        <v/>
      </c>
      <c r="F405" s="26">
        <f>F404+IF(U404="AB",1,0)</f>
        <v/>
      </c>
      <c r="G405" s="26">
        <f>G404+IF(U404="SC",1,0)</f>
        <v/>
      </c>
      <c r="H405" s="26">
        <f>H404+IF(U404="Mag",1,0)</f>
        <v/>
      </c>
      <c r="I405" s="26">
        <f>MAX(I404,IF(U404="OR",1,0))</f>
        <v/>
      </c>
      <c r="J405" s="26">
        <f>MAX(J404,IF(U404="HP",1,0))</f>
        <v/>
      </c>
      <c r="K405" s="26">
        <f>MAX(K404,IF(U404="FP",1,0))</f>
        <v/>
      </c>
      <c r="L405" s="26">
        <f>MAX(L404,IF(U404="transition",1,0))</f>
        <v/>
      </c>
      <c r="M405" s="28">
        <f>(Parameters!$B$9+(IF(E405=0,0,(Upgrades!$J$6+E405*Upgrades!$K$6)*POWER(Upgrades!$L$6,E405)))*(IF(Upgrades!$T$7="Solar Wind",POWER(Upgrades!$U$7,F405),1)*IF(Upgrades!$T$8="Solar Wind",POWER(Upgrades!$U$8,G405),1)*IF(Upgrades!$T$9="Solar Wind",POWER(Upgrades!$U$9,H405),1)*IF(Upgrades!$T$10="Solar Wind",POWER(Upgrades!$U$10,I405),1)*IF(Upgrades!$T$11="Solar Wind",POWER(Upgrades!$U$11,J405),1)*IF(Upgrades!$T$12="Solar Wind",POWER(Upgrades!$U$12,K405),1))+(IF(F405=0,0,(Upgrades!$J$7+F405*Upgrades!$K$7)*POWER(Upgrades!$L$7,F405)))*(IF(Upgrades!$T$6="Asteroid Belt",POWER(Upgrades!$U$6,E405),1)*IF(Upgrades!$T$8="Asteroid Belt",POWER(Upgrades!$U$8,G405),1)*IF(Upgrades!$T$9="Asteroid Belt",POWER(Upgrades!$U$9,H405),1)*IF(Upgrades!$T$10="Asteroid Belt",POWER(Upgrades!$U$10,I405),1)*IF(Upgrades!$T$11="Asteroid Belt",POWER(Upgrades!$U$11,J405),1)*IF(Upgrades!$T$12="Asteroid Belt",POWER(Upgrades!$U$12,K405),1))+(IF(G405=0,0,(Upgrades!$J$8+G405*Upgrades!$K$8)*POWER(Upgrades!$L$8,G405)))*(IF(Upgrades!$T$6="Stellar Coupling",POWER(Upgrades!$U$6,E405),1)*IF(Upgrades!$T$7="Stellar Coupling",POWER(Upgrades!$U$7,F405),1)*IF(Upgrades!$T$9="Stellar Coupling",POWER(Upgrades!$U$9,H405),1)*IF(Upgrades!$T$10="Stellar Coupling",POWER(Upgrades!$U$10,I405),1)*IF(Upgrades!$T$11="Stellar Coupling",POWER(Upgrades!$U$11,J405),1)*IF(Upgrades!$T$12="Stellar Coupling",POWER(Upgrades!$U$12,K405),1))+(IF(H405=0,0,(Upgrades!$J$9+H405*Upgrades!$K$9)*POWER(Upgrades!$L$9,H405)))*(IF(Upgrades!$T$6="Magnetosphere",POWER(Upgrades!$U$6,E405),1)*IF(Upgrades!$T$7="Magnetosphere",POWER(Upgrades!$U$7,F405),1)*IF(Upgrades!$T$8="Magnetosphere",POWER(Upgrades!$U$8,G405),1)*IF(Upgrades!$T$10="Magnetosphere",POWER(Upgrades!$U$10,I405),1)*IF(Upgrades!$T$11="Magnetosphere",POWER(Upgrades!$U$11,J405),1)*IF(Upgrades!$T$12="Magnetosphere",POWER(Upgrades!$U$12,K405),1))+(IF(I405=0,0,(Upgrades!$J$10+I405*Upgrades!$K$10)*POWER(Upgrades!$L$10,I405)))*(IF(Upgrades!$T$6="Orbital Resonance",POWER(Upgrades!$U$6,E405),1)*IF(Upgrades!$T$7="Orbital Resonance",POWER(Upgrades!$U$7,F405),1)*IF(Upgrades!$T$8="Orbital Resonance",POWER(Upgrades!$U$8,G405),1)*IF(Upgrades!$T$9="Orbital Resonance",POWER(Upgrades!$U$9,H405),1)*IF(Upgrades!$T$11="Orbital Resonance",POWER(Upgrades!$U$11,J405),1)*IF(Upgrades!$T$12="Orbital Resonance",POWER(Upgrades!$U$12,K405),1))+(IF(J405=0,0,(Upgrades!$J$11+J405*Upgrades!$K$11)*POWER(Upgrades!$L$11,J405)))*(IF(Upgrades!$T$6="Heliopause",POWER(Upgrades!$U$6,E405),1)*IF(Upgrades!$T$7="Heliopause",POWER(Upgrades!$U$7,F405),1)*IF(Upgrades!$T$8="Heliopause",POWER(Upgrades!$U$8,G405),1)*IF(Upgrades!$T$9="Heliopause",POWER(Upgrades!$U$9,H405),1)*IF(Upgrades!$T$10="Heliopause",POWER(Upgrades!$U$10,I405),1)*IF(Upgrades!$T$12="Heliopause",POWER(Upgrades!$U$12,K405),1))+(IF(K405=0,0,(Upgrades!$J$12+K405*Upgrades!$K$12)*POWER(Upgrades!$L$12,K405)))*(IF(Upgrades!$T$6="First Photons",POWER(Upgrades!$U$6,E405),1)*IF(Upgrades!$T$7="First Photons",POWER(Upgrades!$U$7,F405),1)*IF(Upgrades!$T$8="First Photons",POWER(Upgrades!$U$8,G405),1)*IF(Upgrades!$T$9="First Photons",POWER(Upgrades!$U$9,H405),1)*IF(Upgrades!$T$10="First Photons",POWER(Upgrades!$U$10,I405),1)*IF(Upgrades!$T$11="First Photons",POWER(Upgrades!$U$11,J405),1)))*POWER(Upgrades!$Q$6,E405)*POWER(Upgrades!$Q$7,F405)*POWER(Upgrades!$Q$8,G405)*POWER(Upgrades!$Q$9,H405)*POWER(Upgrades!$Q$10,I405)*POWER(Upgrades!$Q$11,J405)*POWER(Upgrades!$Q$12,K405)</f>
        <v/>
      </c>
      <c r="N405" s="28">
        <f>((IF(E405=0,0,(Upgrades!$G$6+E405*Upgrades!$H$6)*POWER(Upgrades!$I$6,E405)))*(IF(Upgrades!$T$7="Solar Wind",POWER(Upgrades!$U$7,F405),1)*IF(Upgrades!$T$8="Solar Wind",POWER(Upgrades!$U$8,G405),1)*IF(Upgrades!$T$9="Solar Wind",POWER(Upgrades!$U$9,H405),1)*IF(Upgrades!$T$10="Solar Wind",POWER(Upgrades!$U$10,I405),1)*IF(Upgrades!$T$11="Solar Wind",POWER(Upgrades!$U$11,J405),1)*IF(Upgrades!$T$12="Solar Wind",POWER(Upgrades!$U$12,K405),1))+(IF(F405=0,0,(Upgrades!$G$7+F405*Upgrades!$H$7)*POWER(Upgrades!$I$7,F405)))*(IF(Upgrades!$T$6="Asteroid Belt",POWER(Upgrades!$U$6,E405),1)*IF(Upgrades!$T$8="Asteroid Belt",POWER(Upgrades!$U$8,G405),1)*IF(Upgrades!$T$9="Asteroid Belt",POWER(Upgrades!$U$9,H405),1)*IF(Upgrades!$T$10="Asteroid Belt",POWER(Upgrades!$U$10,I405),1)*IF(Upgrades!$T$11="Asteroid Belt",POWER(Upgrades!$U$11,J405),1)*IF(Upgrades!$T$12="Asteroid Belt",POWER(Upgrades!$U$12,K405),1))+(IF(G405=0,0,(Upgrades!$G$8+G405*Upgrades!$H$8)*POWER(Upgrades!$I$8,G405)))*(IF(Upgrades!$T$6="Stellar Coupling",POWER(Upgrades!$U$6,E405),1)*IF(Upgrades!$T$7="Stellar Coupling",POWER(Upgrades!$U$7,F405),1)*IF(Upgrades!$T$9="Stellar Coupling",POWER(Upgrades!$U$9,H405),1)*IF(Upgrades!$T$10="Stellar Coupling",POWER(Upgrades!$U$10,I405),1)*IF(Upgrades!$T$11="Stellar Coupling",POWER(Upgrades!$U$11,J405),1)*IF(Upgrades!$T$12="Stellar Coupling",POWER(Upgrades!$U$12,K405),1))+(IF(H405=0,0,(Upgrades!$G$9+H405*Upgrades!$H$9)*POWER(Upgrades!$I$9,H405)))*(IF(Upgrades!$T$6="Magnetosphere",POWER(Upgrades!$U$6,E405),1)*IF(Upgrades!$T$7="Magnetosphere",POWER(Upgrades!$U$7,F405),1)*IF(Upgrades!$T$8="Magnetosphere",POWER(Upgrades!$U$8,G405),1)*IF(Upgrades!$T$10="Magnetosphere",POWER(Upgrades!$U$10,I405),1)*IF(Upgrades!$T$11="Magnetosphere",POWER(Upgrades!$U$11,J405),1)*IF(Upgrades!$T$12="Magnetosphere",POWER(Upgrades!$U$12,K405),1))+(IF(I405=0,0,(Upgrades!$G$10+I405*Upgrades!$H$10)*POWER(Upgrades!$I$10,I405)))*(IF(Upgrades!$T$6="Orbital Resonance",POWER(Upgrades!$U$6,E405),1)*IF(Upgrades!$T$7="Orbital Resonance",POWER(Upgrades!$U$7,F405),1)*IF(Upgrades!$T$8="Orbital Resonance",POWER(Upgrades!$U$8,G405),1)*IF(Upgrades!$T$9="Orbital Resonance",POWER(Upgrades!$U$9,H405),1)*IF(Upgrades!$T$11="Orbital Resonance",POWER(Upgrades!$U$11,J405),1)*IF(Upgrades!$T$12="Orbital Resonance",POWER(Upgrades!$U$12,K405),1))+(IF(J405=0,0,(Upgrades!$G$11+J405*Upgrades!$H$11)*POWER(Upgrades!$I$11,J405)))*(IF(Upgrades!$T$6="Heliopause",POWER(Upgrades!$U$6,E405),1)*IF(Upgrades!$T$7="Heliopause",POWER(Upgrades!$U$7,F405),1)*IF(Upgrades!$T$8="Heliopause",POWER(Upgrades!$U$8,G405),1)*IF(Upgrades!$T$9="Heliopause",POWER(Upgrades!$U$9,H405),1)*IF(Upgrades!$T$10="Heliopause",POWER(Upgrades!$U$10,I405),1)*IF(Upgrades!$T$12="Heliopause",POWER(Upgrades!$U$12,K405),1))+(IF(K405=0,0,(Upgrades!$G$12+K405*Upgrades!$H$12)*POWER(Upgrades!$I$12,K405)))*(IF(Upgrades!$T$6="First Photons",POWER(Upgrades!$U$6,E405),1)*IF(Upgrades!$T$7="First Photons",POWER(Upgrades!$U$7,F405),1)*IF(Upgrades!$T$8="First Photons",POWER(Upgrades!$U$8,G405),1)*IF(Upgrades!$T$9="First Photons",POWER(Upgrades!$U$9,H405),1)*IF(Upgrades!$T$10="First Photons",POWER(Upgrades!$U$10,I405),1)*IF(Upgrades!$T$11="First Photons",POWER(Upgrades!$U$11,J405),1)))*POWER(Upgrades!$P$6,E405)*POWER(Upgrades!$P$7,F405)*POWER(Upgrades!$P$8,G405)*POWER(Upgrades!$P$9,H405)*POWER(Upgrades!$P$10,I405)*POWER(Upgrades!$P$11,J405)*POWER(Upgrades!$P$12,K405)</f>
        <v/>
      </c>
      <c r="O405" s="28">
        <f>((IF(E405=0,0,(Upgrades!$M$6+E405*Upgrades!$N$6)*POWER(Upgrades!$O$6,E405)))*(IF(Upgrades!$T$7="Solar Wind",POWER(Upgrades!$U$7,F405),1)*IF(Upgrades!$T$8="Solar Wind",POWER(Upgrades!$U$8,G405),1)*IF(Upgrades!$T$9="Solar Wind",POWER(Upgrades!$U$9,H405),1)*IF(Upgrades!$T$10="Solar Wind",POWER(Upgrades!$U$10,I405),1)*IF(Upgrades!$T$11="Solar Wind",POWER(Upgrades!$U$11,J405),1)*IF(Upgrades!$T$12="Solar Wind",POWER(Upgrades!$U$12,K405),1))+(IF(F405=0,0,(Upgrades!$M$7+F405*Upgrades!$N$7)*POWER(Upgrades!$O$7,F405)))*(IF(Upgrades!$T$6="Asteroid Belt",POWER(Upgrades!$U$6,E405),1)*IF(Upgrades!$T$8="Asteroid Belt",POWER(Upgrades!$U$8,G405),1)*IF(Upgrades!$T$9="Asteroid Belt",POWER(Upgrades!$U$9,H405),1)*IF(Upgrades!$T$10="Asteroid Belt",POWER(Upgrades!$U$10,I405),1)*IF(Upgrades!$T$11="Asteroid Belt",POWER(Upgrades!$U$11,J405),1)*IF(Upgrades!$T$12="Asteroid Belt",POWER(Upgrades!$U$12,K405),1))+(IF(G405=0,0,(Upgrades!$M$8+G405*Upgrades!$N$8)*POWER(Upgrades!$O$8,G405)))*(IF(Upgrades!$T$6="Stellar Coupling",POWER(Upgrades!$U$6,E405),1)*IF(Upgrades!$T$7="Stellar Coupling",POWER(Upgrades!$U$7,F405),1)*IF(Upgrades!$T$9="Stellar Coupling",POWER(Upgrades!$U$9,H405),1)*IF(Upgrades!$T$10="Stellar Coupling",POWER(Upgrades!$U$10,I405),1)*IF(Upgrades!$T$11="Stellar Coupling",POWER(Upgrades!$U$11,J405),1)*IF(Upgrades!$T$12="Stellar Coupling",POWER(Upgrades!$U$12,K405),1))+(IF(H405=0,0,(Upgrades!$M$9+H405*Upgrades!$N$9)*POWER(Upgrades!$O$9,H405)))*(IF(Upgrades!$T$6="Magnetosphere",POWER(Upgrades!$U$6,E405),1)*IF(Upgrades!$T$7="Magnetosphere",POWER(Upgrades!$U$7,F405),1)*IF(Upgrades!$T$8="Magnetosphere",POWER(Upgrades!$U$8,G405),1)*IF(Upgrades!$T$10="Magnetosphere",POWER(Upgrades!$U$10,I405),1)*IF(Upgrades!$T$11="Magnetosphere",POWER(Upgrades!$U$11,J405),1)*IF(Upgrades!$T$12="Magnetosphere",POWER(Upgrades!$U$12,K405),1))+(IF(I405=0,0,(Upgrades!$M$10+I405*Upgrades!$N$10)*POWER(Upgrades!$O$10,I405)))*(IF(Upgrades!$T$6="Orbital Resonance",POWER(Upgrades!$U$6,E405),1)*IF(Upgrades!$T$7="Orbital Resonance",POWER(Upgrades!$U$7,F405),1)*IF(Upgrades!$T$8="Orbital Resonance",POWER(Upgrades!$U$8,G405),1)*IF(Upgrades!$T$9="Orbital Resonance",POWER(Upgrades!$U$9,H405),1)*IF(Upgrades!$T$11="Orbital Resonance",POWER(Upgrades!$U$11,J405),1)*IF(Upgrades!$T$12="Orbital Resonance",POWER(Upgrades!$U$12,K405),1))+(IF(J405=0,0,(Upgrades!$M$11+J405*Upgrades!$N$11)*POWER(Upgrades!$O$11,J405)))*(IF(Upgrades!$T$6="Heliopause",POWER(Upgrades!$U$6,E405),1)*IF(Upgrades!$T$7="Heliopause",POWER(Upgrades!$U$7,F405),1)*IF(Upgrades!$T$8="Heliopause",POWER(Upgrades!$U$8,G405),1)*IF(Upgrades!$T$9="Heliopause",POWER(Upgrades!$U$9,H405),1)*IF(Upgrades!$T$10="Heliopause",POWER(Upgrades!$U$10,I405),1)*IF(Upgrades!$T$12="Heliopause",POWER(Upgrades!$U$12,K405),1))+(IF(K405=0,0,(Upgrades!$M$12+K405*Upgrades!$N$12)*POWER(Upgrades!$O$12,K405)))*(IF(Upgrades!$T$6="First Photons",POWER(Upgrades!$U$6,E405),1)*IF(Upgrades!$T$7="First Photons",POWER(Upgrades!$U$7,F405),1)*IF(Upgrades!$T$8="First Photons",POWER(Upgrades!$U$8,G405),1)*IF(Upgrades!$T$9="First Photons",POWER(Upgrades!$U$9,H405),1)*IF(Upgrades!$T$10="First Photons",POWER(Upgrades!$U$10,I405),1)*IF(Upgrades!$T$11="First Photons",POWER(Upgrades!$U$11,J405),1)))*POWER(Upgrades!$R$6,E405)*POWER(Upgrades!$R$7,F405)*POWER(Upgrades!$R$8,G405)*POWER(Upgrades!$R$9,H405)*POWER(Upgrades!$R$10,I405)*POWER(Upgrades!$R$11,J405)*POWER(Upgrades!$R$12,K405)</f>
        <v/>
      </c>
      <c r="P405" s="27">
        <f>IF(L405=1,0,M405*Parameters!$B$10/60*Parameters!$B$11*10)</f>
        <v/>
      </c>
      <c r="Q405" s="27">
        <f>IF(L405=1,0,O405*M405*10)</f>
        <v/>
      </c>
      <c r="R405" s="27">
        <f>IF(L405=1,0,N405*10)</f>
        <v/>
      </c>
      <c r="S405" s="27">
        <f>P405+Q405+R405</f>
        <v/>
      </c>
      <c r="T405" s="22">
        <f>C405+S405</f>
        <v/>
      </c>
      <c r="U405" s="33">
        <f>AX405</f>
        <v/>
      </c>
      <c r="V405" s="22">
        <f>IF(U405="",0,IF(U405="transition",0,IF(U405="SW",AG405,IF(U405="AB",AH405,IF(U405="SC",AI405,IF(U405="Mag",AJ405,IF(U405="OR",AK405,IF(U405="HP",AL405,IF(U405="FP",AM405,0)))))))))</f>
        <v/>
      </c>
      <c r="W405" s="27">
        <f>IF(U405="OR",Upgrades!$F$10,IF(U405="HP",Upgrades!$F$11,IF(U405="transition",-Parameters!$B$18,0)))</f>
        <v/>
      </c>
      <c r="X405" s="22">
        <f>T405-V405</f>
        <v/>
      </c>
      <c r="Y405" s="30">
        <f>M405*Parameters!$B$10/60*Parameters!$B$11+O405*M405+N405</f>
        <v/>
      </c>
      <c r="Z405" s="34">
        <f>IF(U405="transition","→ Tier 2 (Stellar Neighborhood)",IF(U405="FP","First Photons — light begins, system quickens",IF(U405="HP","Heliopause acquired",IF(U405="OR","Orbital Resonance — passive multiplier active",IF(AND(AO405=1,L405=0,AN405&lt;&gt;1),"Cohesion ready (waiting on completionist upgrades)","")))))</f>
        <v/>
      </c>
      <c r="AA405" s="27">
        <f>(IF(E405=0,0,(Upgrades!$G$6+E405*Upgrades!$H$6)*POWER(Upgrades!$I$6,E405)))*(IF(Upgrades!$T$7="Solar Wind",POWER(Upgrades!$U$7,F405),1)*IF(Upgrades!$T$8="Solar Wind",POWER(Upgrades!$U$8,G405),1)*IF(Upgrades!$T$9="Solar Wind",POWER(Upgrades!$U$9,H405),1)*IF(Upgrades!$T$10="Solar Wind",POWER(Upgrades!$U$10,I405),1)*IF(Upgrades!$T$11="Solar Wind",POWER(Upgrades!$U$11,J405),1)*IF(Upgrades!$T$12="Solar Wind",POWER(Upgrades!$U$12,K405),1))*POWER(Upgrades!$P$6,E405)*POWER(Upgrades!$P$7,F405)*POWER(Upgrades!$P$8,G405)*POWER(Upgrades!$P$9,H405)*POWER(Upgrades!$P$10,I405)*POWER(Upgrades!$P$11,J405)*POWER(Upgrades!$P$12,K405)*60</f>
        <v/>
      </c>
      <c r="AB405" s="27">
        <f>(IF(F405=0,0,(Upgrades!$G$7+F405*Upgrades!$H$7)*POWER(Upgrades!$I$7,F405)))*(IF(Upgrades!$T$6="Asteroid Belt",POWER(Upgrades!$U$6,E405),1)*IF(Upgrades!$T$8="Asteroid Belt",POWER(Upgrades!$U$8,G405),1)*IF(Upgrades!$T$9="Asteroid Belt",POWER(Upgrades!$U$9,H405),1)*IF(Upgrades!$T$10="Asteroid Belt",POWER(Upgrades!$U$10,I405),1)*IF(Upgrades!$T$11="Asteroid Belt",POWER(Upgrades!$U$11,J405),1)*IF(Upgrades!$T$12="Asteroid Belt",POWER(Upgrades!$U$12,K405),1))*POWER(Upgrades!$P$6,E405)*POWER(Upgrades!$P$7,F405)*POWER(Upgrades!$P$8,G405)*POWER(Upgrades!$P$9,H405)*POWER(Upgrades!$P$10,I405)*POWER(Upgrades!$P$11,J405)*POWER(Upgrades!$P$12,K405)*60</f>
        <v/>
      </c>
      <c r="AC405" s="27">
        <f>(IF(G405=0,0,(Upgrades!$J$8+G405*Upgrades!$K$8)*POWER(Upgrades!$L$8,G405)))*(IF(Upgrades!$T$6="Stellar Coupling",POWER(Upgrades!$U$6,E405),1)*IF(Upgrades!$T$7="Stellar Coupling",POWER(Upgrades!$U$7,F405),1)*IF(Upgrades!$T$9="Stellar Coupling",POWER(Upgrades!$U$9,H405),1)*IF(Upgrades!$T$10="Stellar Coupling",POWER(Upgrades!$U$10,I405),1)*IF(Upgrades!$T$11="Stellar Coupling",POWER(Upgrades!$U$11,J405),1)*IF(Upgrades!$T$12="Stellar Coupling",POWER(Upgrades!$U$12,K405),1))*POWER(Upgrades!$Q$6,E405)*POWER(Upgrades!$Q$7,F405)*POWER(Upgrades!$Q$8,G405)*POWER(Upgrades!$Q$9,H405)*POWER(Upgrades!$Q$10,I405)*POWER(Upgrades!$Q$11,J405)*POWER(Upgrades!$Q$12,K405)*Parameters!$B$10*Parameters!$B$11</f>
        <v/>
      </c>
      <c r="AD405" s="27">
        <f>(IF(H405=0,0,(Upgrades!$G$9+H405*Upgrades!$H$9)*POWER(Upgrades!$I$9,H405)))*(IF(Upgrades!$T$6="Magnetosphere",POWER(Upgrades!$U$6,E405),1)*IF(Upgrades!$T$7="Magnetosphere",POWER(Upgrades!$U$7,F405),1)*IF(Upgrades!$T$8="Magnetosphere",POWER(Upgrades!$U$8,G405),1)*IF(Upgrades!$T$10="Magnetosphere",POWER(Upgrades!$U$10,I405),1)*IF(Upgrades!$T$11="Magnetosphere",POWER(Upgrades!$U$11,J405),1)*IF(Upgrades!$T$12="Magnetosphere",POWER(Upgrades!$U$12,K405),1))*POWER(Upgrades!$P$6,E405)*POWER(Upgrades!$P$7,F405)*POWER(Upgrades!$P$8,G405)*POWER(Upgrades!$P$9,H405)*POWER(Upgrades!$P$10,I405)*POWER(Upgrades!$P$11,J405)*POWER(Upgrades!$P$12,K405)*60</f>
        <v/>
      </c>
      <c r="AE405" s="27">
        <f>(IF(K405=0,0,(Upgrades!$G$12+K405*Upgrades!$H$12)*POWER(Upgrades!$I$12,K405)))*(IF(Upgrades!$T$6="First Photons",POWER(Upgrades!$U$6,E405),1)*IF(Upgrades!$T$7="First Photons",POWER(Upgrades!$U$7,F405),1)*IF(Upgrades!$T$8="First Photons",POWER(Upgrades!$U$8,G405),1)*IF(Upgrades!$T$9="First Photons",POWER(Upgrades!$U$9,H405),1)*IF(Upgrades!$T$10="First Photons",POWER(Upgrades!$U$10,I405),1)*IF(Upgrades!$T$11="First Photons",POWER(Upgrades!$U$11,J405),1))*POWER(Upgrades!$P$6,E405)*POWER(Upgrades!$P$7,F405)*POWER(Upgrades!$P$8,G405)*POWER(Upgrades!$P$9,H405)*POWER(Upgrades!$P$10,I405)*POWER(Upgrades!$P$11,J405)*POWER(Upgrades!$P$12,K405)*60</f>
        <v/>
      </c>
      <c r="AF405" s="27">
        <f>Parameters!$B$9*POWER(Upgrades!$Q$6,E405)*POWER(Upgrades!$Q$7,F405)*POWER(Upgrades!$Q$8,G405)*POWER(Upgrades!$Q$9,H405)*POWER(Upgrades!$Q$10,I405)*POWER(Upgrades!$Q$11,J405)*POWER(Upgrades!$Q$12,K405)*(Parameters!$B$10*Parameters!$B$11+O405*60)</f>
        <v/>
      </c>
      <c r="AG405" s="22">
        <f>IF(E405&gt;=Upgrades!$E$6,"",Upgrades!$C$6*POWER(Upgrades!$D$6,E405))</f>
        <v/>
      </c>
      <c r="AH405" s="22">
        <f>IF(F405&gt;=Upgrades!$E$7,"",Upgrades!$C$7*POWER(Upgrades!$D$7,F405))</f>
        <v/>
      </c>
      <c r="AI405" s="22">
        <f>IF(G405&gt;=Upgrades!$E$8,"",Upgrades!$C$8*POWER(Upgrades!$D$8,G405))</f>
        <v/>
      </c>
      <c r="AJ405" s="22">
        <f>IF(H405&gt;=Upgrades!$E$9,"",Upgrades!$C$9*POWER(Upgrades!$D$9,H405))</f>
        <v/>
      </c>
      <c r="AK405" s="22">
        <f>IF(I405&gt;=Upgrades!$E$10,"",Upgrades!$C$10*POWER(Upgrades!$D$10,I405))</f>
        <v/>
      </c>
      <c r="AL405" s="22">
        <f>IF(J405&gt;=Upgrades!$E$11,"",Upgrades!$C$11*POWER(Upgrades!$D$11,J405))</f>
        <v/>
      </c>
      <c r="AM405" s="22">
        <f>IF(K405&gt;=Upgrades!$E$12,"",Upgrades!$C$12*POWER(Upgrades!$D$12,K405))</f>
        <v/>
      </c>
      <c r="AN405" s="26">
        <f>IF(AND(D405&gt;=Parameters!$B$18,(H405&gt;=Upgrades!$E$9)*(K405&gt;=Upgrades!$E$12)=1,L405=0),1,"")</f>
        <v/>
      </c>
      <c r="AO405" s="26">
        <f>IF(AND(D405&gt;=Parameters!$B$18,L405=0),1,"")</f>
        <v/>
      </c>
      <c r="AP405" s="22">
        <f>MIN(IF(ISNUMBER(AK405),AK405,9E15),IF(ISNUMBER(AL405),AL405,9E15),IF(ISNUMBER(AM405),AM405,9E15))</f>
        <v/>
      </c>
      <c r="AQ405" s="22">
        <f>MIN(IF(ISNUMBER(AG405),AG405,9E15),IF(ISNUMBER(AH405),AH405,9E15),IF(ISNUMBER(AI405),AI405,9E15),IF(ISNUMBER(AJ405),AJ405,9E15))</f>
        <v/>
      </c>
      <c r="AR405" s="29">
        <f>IF(AW405&gt;Parameters!$B$21*(MAX(IF(AND(NOT(AND(AO405=1,AN405&lt;&gt;1)),ISNUMBER(AG405),AG405&lt;=T405),AS405,0),IF(AND(NOT(AND(AO405=1,AN405&lt;&gt;1)),ISNUMBER(AH405),AH405&lt;=T405),AT405,0),IF(AND(NOT(AND(AO405=1,AN405&lt;&gt;1)),ISNUMBER(AI405),AI405&lt;=T405),AU405,0),IF(AND(ISNUMBER(AJ405),AJ405&lt;=T405),AV405,0))),TRUE,FALSE)</f>
        <v/>
      </c>
      <c r="AS405" s="32">
        <f>IFERROR(Upgrades!$H$6*(POWER(Upgrades!$P$6,E405)*POWER(Upgrades!$P$7,F405)*POWER(Upgrades!$P$8,G405)*POWER(Upgrades!$P$9,H405)*POWER(Upgrades!$P$10,I405)*POWER(Upgrades!$P$11,J405)*POWER(Upgrades!$P$12,K405))*(IF(Upgrades!$T$7="Solar Wind",POWER(Upgrades!$U$7,F405),1)*IF(Upgrades!$T$8="Solar Wind",POWER(Upgrades!$U$8,G405),1)*IF(Upgrades!$T$9="Solar Wind",POWER(Upgrades!$U$9,H405),1)*IF(Upgrades!$T$10="Solar Wind",POWER(Upgrades!$U$10,I405),1)*IF(Upgrades!$T$11="Solar Wind",POWER(Upgrades!$U$11,J405),1)*IF(Upgrades!$T$12="Solar Wind",POWER(Upgrades!$U$12,K405),1))/AG405,0)</f>
        <v/>
      </c>
      <c r="AT405" s="32">
        <f>IFERROR(Upgrades!$H$7*(POWER(Upgrades!$P$6,E405)*POWER(Upgrades!$P$7,F405)*POWER(Upgrades!$P$8,G405)*POWER(Upgrades!$P$9,H405)*POWER(Upgrades!$P$10,I405)*POWER(Upgrades!$P$11,J405)*POWER(Upgrades!$P$12,K405))*(IF(Upgrades!$T$6="Asteroid Belt",POWER(Upgrades!$U$6,E405),1)*IF(Upgrades!$T$8="Asteroid Belt",POWER(Upgrades!$U$8,G405),1)*IF(Upgrades!$T$9="Asteroid Belt",POWER(Upgrades!$U$9,H405),1)*IF(Upgrades!$T$10="Asteroid Belt",POWER(Upgrades!$U$10,I405),1)*IF(Upgrades!$T$11="Asteroid Belt",POWER(Upgrades!$U$11,J405),1)*IF(Upgrades!$T$12="Asteroid Belt",POWER(Upgrades!$U$12,K405),1))/AH405,0)</f>
        <v/>
      </c>
      <c r="AU405" s="32">
        <f>IFERROR(Upgrades!$K$8*(POWER(Upgrades!$Q$6,E405)*POWER(Upgrades!$Q$7,F405)*POWER(Upgrades!$Q$8,G405)*POWER(Upgrades!$Q$9,H405)*POWER(Upgrades!$Q$10,I405)*POWER(Upgrades!$Q$11,J405)*POWER(Upgrades!$Q$12,K405))*(IF(Upgrades!$T$6="Stellar Coupling",POWER(Upgrades!$U$6,E405),1)*IF(Upgrades!$T$7="Stellar Coupling",POWER(Upgrades!$U$7,F405),1)*IF(Upgrades!$T$9="Stellar Coupling",POWER(Upgrades!$U$9,H405),1)*IF(Upgrades!$T$10="Stellar Coupling",POWER(Upgrades!$U$10,I405),1)*IF(Upgrades!$T$11="Stellar Coupling",POWER(Upgrades!$U$11,J405),1)*IF(Upgrades!$T$12="Stellar Coupling",POWER(Upgrades!$U$12,K405),1))*Parameters!$B$10*Parameters!$B$11/60/AI405,0)</f>
        <v/>
      </c>
      <c r="AV405" s="32">
        <f>IFERROR(Upgrades!$H$9*(POWER(Upgrades!$P$6,E405)*POWER(Upgrades!$P$7,F405)*POWER(Upgrades!$P$8,G405)*POWER(Upgrades!$P$9,H405)*POWER(Upgrades!$P$10,I405)*POWER(Upgrades!$P$11,J405)*POWER(Upgrades!$P$12,K405))*(IF(Upgrades!$T$6="Magnetosphere",POWER(Upgrades!$U$6,E405),1)*IF(Upgrades!$T$7="Magnetosphere",POWER(Upgrades!$U$7,F405),1)*IF(Upgrades!$T$8="Magnetosphere",POWER(Upgrades!$U$8,G405),1)*IF(Upgrades!$T$10="Magnetosphere",POWER(Upgrades!$U$10,I405),1)*IF(Upgrades!$T$11="Magnetosphere",POWER(Upgrades!$U$11,J405),1)*IF(Upgrades!$T$12="Magnetosphere",POWER(Upgrades!$U$12,K405),1))/AJ405,0)</f>
        <v/>
      </c>
      <c r="AW405" s="32">
        <f>MAX(IF(I405&gt;0,0,IFERROR(0.25*N405/Upgrades!$C$10,0)),IF(J405&gt;0,0,IFERROR(0.5*((IF(G405=0,0,(Upgrades!$J$8+G405*Upgrades!$K$8)*POWER(Upgrades!$L$8,G405)))*(IF(Upgrades!$T$6="Stellar Coupling",POWER(Upgrades!$U$6,E405),1)*IF(Upgrades!$T$7="Stellar Coupling",POWER(Upgrades!$U$7,F405),1)*IF(Upgrades!$T$9="Stellar Coupling",POWER(Upgrades!$U$9,H405),1)*IF(Upgrades!$T$10="Stellar Coupling",POWER(Upgrades!$U$10,I405),1)*IF(Upgrades!$T$11="Stellar Coupling",POWER(Upgrades!$U$11,J405),1)*IF(Upgrades!$T$12="Stellar Coupling",POWER(Upgrades!$U$12,K405),1))*(POWER(Upgrades!$Q$6,E405)*POWER(Upgrades!$Q$7,F405)*POWER(Upgrades!$Q$8,G405)*POWER(Upgrades!$Q$9,H405)*POWER(Upgrades!$Q$10,I405)*POWER(Upgrades!$Q$11,J405)*POWER(Upgrades!$Q$12,K405))*Parameters!$B$10*Parameters!$B$11/60)/Upgrades!$C$11,0)),IF(K405&gt;0,0,IFERROR((1.0*(POWER(Upgrades!$P$6,E405)*POWER(Upgrades!$P$7,F405)*POWER(Upgrades!$P$8,G405)*POWER(Upgrades!$P$9,H405)*POWER(Upgrades!$P$10,I405)*POWER(Upgrades!$P$11,J405)*POWER(Upgrades!$P$12,K405))+0.20*M405*Parameters!$B$10*Parameters!$B$11/60)/Upgrades!$C$12,0)),IF(AND(ISNUMBER(AG405),AG405&gt;T405),AS405,0),IF(AND(ISNUMBER(AH405),AH405&gt;T405),AT405,0),IF(AND(ISNUMBER(AI405),AI405&gt;T405),AU405,0),IF(AND(ISNUMBER(AJ405),AJ405&gt;T405),AV405,0))</f>
        <v/>
      </c>
      <c r="AX405" s="29">
        <f>IF(AN405=1,"transition",IF(MIN(IF(AND(I405=0,ISNUMBER(AK405),AK405&lt;=T405),AK405,9E15),IF(AND(J405=0,ISNUMBER(AL405),AL405&lt;=T405),AL405,9E15),IF(AND(K405=0,ISNUMBER(AM405),AM405&lt;=T405),AM405,9E15))&lt;9E15,IF(AND(AND(I405=0,ISNUMBER(AK405),AK405&lt;=T405),AK405=MIN(IF(AND(I405=0,ISNUMBER(AK405),AK405&lt;=T405),AK405,9E15),IF(AND(J405=0,ISNUMBER(AL405),AL405&lt;=T405),AL405,9E15),IF(AND(K405=0,ISNUMBER(AM405),AM405&lt;=T405),AM405,9E15))),"OR",IF(AND(AND(J405=0,ISNUMBER(AL405),AL405&lt;=T405),AL405=MIN(IF(AND(I405=0,ISNUMBER(AK405),AK405&lt;=T405),AK405,9E15),IF(AND(J405=0,ISNUMBER(AL405),AL405&lt;=T405),AL405,9E15),IF(AND(K405=0,ISNUMBER(AM405),AM405&lt;=T405),AM405,9E15))),"HP","FP")),IF(AR405=TRUE,"",IF(MAX(IF(AND(NOT(AND(AO405=1,AN405&lt;&gt;1)),ISNUMBER(AG405),AG405&lt;=T405),AS405,0),IF(AND(NOT(AND(AO405=1,AN405&lt;&gt;1)),ISNUMBER(AH405),AH405&lt;=T405),AT405,0),IF(AND(NOT(AND(AO405=1,AN405&lt;&gt;1)),ISNUMBER(AI405),AI405&lt;=T405),AU405,0),IF(AND(ISNUMBER(AJ405),AJ405&lt;=T405),AV405,0))&lt;=0,"",IF(AND(IF(AND(NOT(AND(AO405=1,AN405&lt;&gt;1)),ISNUMBER(AG405),AG405&lt;=T405),AS405,0)&gt;0,IF(AND(NOT(AND(AO405=1,AN405&lt;&gt;1)),ISNUMBER(AG405),AG405&lt;=T405),AS405,0)=MAX(IF(AND(NOT(AND(AO405=1,AN405&lt;&gt;1)),ISNUMBER(AG405),AG405&lt;=T405),AS405,0),IF(AND(NOT(AND(AO405=1,AN405&lt;&gt;1)),ISNUMBER(AH405),AH405&lt;=T405),AT405,0),IF(AND(NOT(AND(AO405=1,AN405&lt;&gt;1)),ISNUMBER(AI405),AI405&lt;=T405),AU405,0),IF(AND(ISNUMBER(AJ405),AJ405&lt;=T405),AV405,0))),"SW",IF(AND(IF(AND(NOT(AND(AO405=1,AN405&lt;&gt;1)),ISNUMBER(AH405),AH405&lt;=T405),AT405,0)&gt;0,IF(AND(NOT(AND(AO405=1,AN405&lt;&gt;1)),ISNUMBER(AH405),AH405&lt;=T405),AT405,0)=MAX(IF(AND(NOT(AND(AO405=1,AN405&lt;&gt;1)),ISNUMBER(AG405),AG405&lt;=T405),AS405,0),IF(AND(NOT(AND(AO405=1,AN405&lt;&gt;1)),ISNUMBER(AH405),AH405&lt;=T405),AT405,0),IF(AND(NOT(AND(AO405=1,AN405&lt;&gt;1)),ISNUMBER(AI405),AI405&lt;=T405),AU405,0),IF(AND(ISNUMBER(AJ405),AJ405&lt;=T405),AV405,0))),"AB",IF(AND(IF(AND(NOT(AND(AO405=1,AN405&lt;&gt;1)),ISNUMBER(AI405),AI405&lt;=T405),AU405,0)&gt;0,IF(AND(NOT(AND(AO405=1,AN405&lt;&gt;1)),ISNUMBER(AI405),AI405&lt;=T405),AU405,0)=MAX(IF(AND(NOT(AND(AO405=1,AN405&lt;&gt;1)),ISNUMBER(AG405),AG405&lt;=T405),AS405,0),IF(AND(NOT(AND(AO405=1,AN405&lt;&gt;1)),ISNUMBER(AH405),AH405&lt;=T405),AT405,0),IF(AND(NOT(AND(AO405=1,AN405&lt;&gt;1)),ISNUMBER(AI405),AI405&lt;=T405),AU405,0),IF(AND(ISNUMBER(AJ405),AJ405&lt;=T405),AV405,0))),"SC","Mag")))))))</f>
        <v/>
      </c>
    </row>
  </sheetData>
  <mergeCells count="2">
    <mergeCell ref="H3:L3"/>
    <mergeCell ref="A3:D3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Curves</t>
        </is>
      </c>
    </row>
    <row r="2">
      <c r="A2" s="2" t="inlineStr">
        <is>
          <t>Purchase cadence and click share diagnostics for T1.</t>
        </is>
      </c>
    </row>
    <row r="4">
      <c r="A4" s="17" t="inlineStr">
        <is>
          <t>Minute</t>
        </is>
      </c>
      <c r="B4" s="17" t="inlineStr">
        <is>
          <t>Purchases</t>
        </is>
      </c>
      <c r="C4" s="17" t="inlineStr">
        <is>
          <t>Cum purchases</t>
        </is>
      </c>
      <c r="D4" s="17" t="inlineStr">
        <is>
          <t>Click share %</t>
        </is>
      </c>
      <c r="E4" s="17" t="inlineStr">
        <is>
          <t>Click share target</t>
        </is>
      </c>
    </row>
    <row r="5">
      <c r="A5" s="35" t="n">
        <v>0</v>
      </c>
      <c r="B5" s="35">
        <f>COUNTIFS(UpgradeSim!$B$5:$B$405,"&gt;="&amp;0,UpgradeSim!$B$5:$B$405,"&lt;"&amp;1,UpgradeSim!$U$5:$U$405,"?*")</f>
        <v/>
      </c>
      <c r="C5" s="35">
        <f>SUM(B$5:B5)</f>
        <v/>
      </c>
      <c r="D5" s="36">
        <f>IFERROR(INDEX(UpgradeSim!$P$5:$P$405,MATCH(1,UpgradeSim!$B$5:$B$405,1))/(INDEX(UpgradeSim!$S$5:$S$405,MATCH(1,UpgradeSim!$B$5:$B$405,1))),0)</f>
        <v/>
      </c>
      <c r="E5" s="36">
        <f>Parameters!$B$13</f>
        <v/>
      </c>
    </row>
    <row r="6">
      <c r="A6" s="35" t="n">
        <v>1</v>
      </c>
      <c r="B6" s="35">
        <f>COUNTIFS(UpgradeSim!$B$5:$B$405,"&gt;="&amp;1,UpgradeSim!$B$5:$B$405,"&lt;"&amp;2,UpgradeSim!$U$5:$U$405,"?*")</f>
        <v/>
      </c>
      <c r="C6" s="35">
        <f>SUM(B$5:B6)</f>
        <v/>
      </c>
      <c r="D6" s="36">
        <f>IFERROR(INDEX(UpgradeSim!$P$5:$P$405,MATCH(2,UpgradeSim!$B$5:$B$405,1))/(INDEX(UpgradeSim!$S$5:$S$405,MATCH(2,UpgradeSim!$B$5:$B$405,1))),0)</f>
        <v/>
      </c>
      <c r="E6" s="36">
        <f>Parameters!$B$13</f>
        <v/>
      </c>
    </row>
    <row r="7">
      <c r="A7" s="35" t="n">
        <v>2</v>
      </c>
      <c r="B7" s="35">
        <f>COUNTIFS(UpgradeSim!$B$5:$B$405,"&gt;="&amp;2,UpgradeSim!$B$5:$B$405,"&lt;"&amp;3,UpgradeSim!$U$5:$U$405,"?*")</f>
        <v/>
      </c>
      <c r="C7" s="35">
        <f>SUM(B$5:B7)</f>
        <v/>
      </c>
      <c r="D7" s="36">
        <f>IFERROR(INDEX(UpgradeSim!$P$5:$P$405,MATCH(3,UpgradeSim!$B$5:$B$405,1))/(INDEX(UpgradeSim!$S$5:$S$405,MATCH(3,UpgradeSim!$B$5:$B$405,1))),0)</f>
        <v/>
      </c>
      <c r="E7" s="36">
        <f>Parameters!$B$13</f>
        <v/>
      </c>
    </row>
    <row r="8">
      <c r="A8" s="35" t="n">
        <v>3</v>
      </c>
      <c r="B8" s="35">
        <f>COUNTIFS(UpgradeSim!$B$5:$B$405,"&gt;="&amp;3,UpgradeSim!$B$5:$B$405,"&lt;"&amp;4,UpgradeSim!$U$5:$U$405,"?*")</f>
        <v/>
      </c>
      <c r="C8" s="35">
        <f>SUM(B$5:B8)</f>
        <v/>
      </c>
      <c r="D8" s="36">
        <f>IFERROR(INDEX(UpgradeSim!$P$5:$P$405,MATCH(4,UpgradeSim!$B$5:$B$405,1))/(INDEX(UpgradeSim!$S$5:$S$405,MATCH(4,UpgradeSim!$B$5:$B$405,1))),0)</f>
        <v/>
      </c>
      <c r="E8" s="36">
        <f>Parameters!$B$13</f>
        <v/>
      </c>
    </row>
    <row r="9">
      <c r="A9" s="35" t="n">
        <v>4</v>
      </c>
      <c r="B9" s="35">
        <f>COUNTIFS(UpgradeSim!$B$5:$B$405,"&gt;="&amp;4,UpgradeSim!$B$5:$B$405,"&lt;"&amp;5,UpgradeSim!$U$5:$U$405,"?*")</f>
        <v/>
      </c>
      <c r="C9" s="35">
        <f>SUM(B$5:B9)</f>
        <v/>
      </c>
      <c r="D9" s="36">
        <f>IFERROR(INDEX(UpgradeSim!$P$5:$P$405,MATCH(5,UpgradeSim!$B$5:$B$405,1))/(INDEX(UpgradeSim!$S$5:$S$405,MATCH(5,UpgradeSim!$B$5:$B$405,1))),0)</f>
        <v/>
      </c>
      <c r="E9" s="36">
        <f>Parameters!$B$13</f>
        <v/>
      </c>
    </row>
    <row r="10">
      <c r="A10" s="35" t="n">
        <v>5</v>
      </c>
      <c r="B10" s="35">
        <f>COUNTIFS(UpgradeSim!$B$5:$B$405,"&gt;="&amp;5,UpgradeSim!$B$5:$B$405,"&lt;"&amp;6,UpgradeSim!$U$5:$U$405,"?*")</f>
        <v/>
      </c>
      <c r="C10" s="35">
        <f>SUM(B$5:B10)</f>
        <v/>
      </c>
      <c r="D10" s="36">
        <f>IFERROR(INDEX(UpgradeSim!$P$5:$P$405,MATCH(6,UpgradeSim!$B$5:$B$405,1))/(INDEX(UpgradeSim!$S$5:$S$405,MATCH(6,UpgradeSim!$B$5:$B$405,1))),0)</f>
        <v/>
      </c>
      <c r="E10" s="36">
        <f>Parameters!$B$13</f>
        <v/>
      </c>
    </row>
    <row r="11">
      <c r="A11" s="35" t="n">
        <v>6</v>
      </c>
      <c r="B11" s="35">
        <f>COUNTIFS(UpgradeSim!$B$5:$B$405,"&gt;="&amp;6,UpgradeSim!$B$5:$B$405,"&lt;"&amp;7,UpgradeSim!$U$5:$U$405,"?*")</f>
        <v/>
      </c>
      <c r="C11" s="35">
        <f>SUM(B$5:B11)</f>
        <v/>
      </c>
      <c r="D11" s="36">
        <f>IFERROR(INDEX(UpgradeSim!$P$5:$P$405,MATCH(7,UpgradeSim!$B$5:$B$405,1))/(INDEX(UpgradeSim!$S$5:$S$405,MATCH(7,UpgradeSim!$B$5:$B$405,1))),0)</f>
        <v/>
      </c>
      <c r="E11" s="36">
        <f>Parameters!$B$13</f>
        <v/>
      </c>
    </row>
    <row r="12">
      <c r="A12" s="35" t="n">
        <v>7</v>
      </c>
      <c r="B12" s="35">
        <f>COUNTIFS(UpgradeSim!$B$5:$B$405,"&gt;="&amp;7,UpgradeSim!$B$5:$B$405,"&lt;"&amp;8,UpgradeSim!$U$5:$U$405,"?*")</f>
        <v/>
      </c>
      <c r="C12" s="35">
        <f>SUM(B$5:B12)</f>
        <v/>
      </c>
      <c r="D12" s="36">
        <f>IFERROR(INDEX(UpgradeSim!$P$5:$P$405,MATCH(8,UpgradeSim!$B$5:$B$405,1))/(INDEX(UpgradeSim!$S$5:$S$405,MATCH(8,UpgradeSim!$B$5:$B$405,1))),0)</f>
        <v/>
      </c>
      <c r="E12" s="36">
        <f>Parameters!$B$13</f>
        <v/>
      </c>
    </row>
    <row r="13">
      <c r="A13" s="35" t="n">
        <v>8</v>
      </c>
      <c r="B13" s="35">
        <f>COUNTIFS(UpgradeSim!$B$5:$B$405,"&gt;="&amp;8,UpgradeSim!$B$5:$B$405,"&lt;"&amp;9,UpgradeSim!$U$5:$U$405,"?*")</f>
        <v/>
      </c>
      <c r="C13" s="35">
        <f>SUM(B$5:B13)</f>
        <v/>
      </c>
      <c r="D13" s="36">
        <f>IFERROR(INDEX(UpgradeSim!$P$5:$P$405,MATCH(9,UpgradeSim!$B$5:$B$405,1))/(INDEX(UpgradeSim!$S$5:$S$405,MATCH(9,UpgradeSim!$B$5:$B$405,1))),0)</f>
        <v/>
      </c>
      <c r="E13" s="36">
        <f>Parameters!$B$13</f>
        <v/>
      </c>
    </row>
    <row r="14">
      <c r="A14" s="35" t="n">
        <v>9</v>
      </c>
      <c r="B14" s="35">
        <f>COUNTIFS(UpgradeSim!$B$5:$B$405,"&gt;="&amp;9,UpgradeSim!$B$5:$B$405,"&lt;"&amp;10,UpgradeSim!$U$5:$U$405,"?*")</f>
        <v/>
      </c>
      <c r="C14" s="35">
        <f>SUM(B$5:B14)</f>
        <v/>
      </c>
      <c r="D14" s="36">
        <f>IFERROR(INDEX(UpgradeSim!$P$5:$P$405,MATCH(10,UpgradeSim!$B$5:$B$405,1))/(INDEX(UpgradeSim!$S$5:$S$405,MATCH(10,UpgradeSim!$B$5:$B$405,1))),0)</f>
        <v/>
      </c>
      <c r="E14" s="36">
        <f>Parameters!$B$13</f>
        <v/>
      </c>
    </row>
    <row r="15">
      <c r="A15" s="35" t="n">
        <v>10</v>
      </c>
      <c r="B15" s="35">
        <f>COUNTIFS(UpgradeSim!$B$5:$B$405,"&gt;="&amp;10,UpgradeSim!$B$5:$B$405,"&lt;"&amp;11,UpgradeSim!$U$5:$U$405,"?*")</f>
        <v/>
      </c>
      <c r="C15" s="35">
        <f>SUM(B$5:B15)</f>
        <v/>
      </c>
      <c r="D15" s="36">
        <f>IFERROR(INDEX(UpgradeSim!$P$5:$P$405,MATCH(11,UpgradeSim!$B$5:$B$405,1))/(INDEX(UpgradeSim!$S$5:$S$405,MATCH(11,UpgradeSim!$B$5:$B$405,1))),0)</f>
        <v/>
      </c>
      <c r="E15" s="36">
        <f>Parameters!$B$13</f>
        <v/>
      </c>
    </row>
    <row r="16">
      <c r="A16" s="35" t="n">
        <v>11</v>
      </c>
      <c r="B16" s="35">
        <f>COUNTIFS(UpgradeSim!$B$5:$B$405,"&gt;="&amp;11,UpgradeSim!$B$5:$B$405,"&lt;"&amp;12,UpgradeSim!$U$5:$U$405,"?*")</f>
        <v/>
      </c>
      <c r="C16" s="35">
        <f>SUM(B$5:B16)</f>
        <v/>
      </c>
      <c r="D16" s="36">
        <f>IFERROR(INDEX(UpgradeSim!$P$5:$P$405,MATCH(12,UpgradeSim!$B$5:$B$405,1))/(INDEX(UpgradeSim!$S$5:$S$405,MATCH(12,UpgradeSim!$B$5:$B$405,1))),0)</f>
        <v/>
      </c>
      <c r="E16" s="36">
        <f>Parameters!$B$13</f>
        <v/>
      </c>
    </row>
    <row r="17">
      <c r="A17" s="35" t="n">
        <v>12</v>
      </c>
      <c r="B17" s="35">
        <f>COUNTIFS(UpgradeSim!$B$5:$B$405,"&gt;="&amp;12,UpgradeSim!$B$5:$B$405,"&lt;"&amp;13,UpgradeSim!$U$5:$U$405,"?*")</f>
        <v/>
      </c>
      <c r="C17" s="35">
        <f>SUM(B$5:B17)</f>
        <v/>
      </c>
      <c r="D17" s="36">
        <f>IFERROR(INDEX(UpgradeSim!$P$5:$P$405,MATCH(13,UpgradeSim!$B$5:$B$405,1))/(INDEX(UpgradeSim!$S$5:$S$405,MATCH(13,UpgradeSim!$B$5:$B$405,1))),0)</f>
        <v/>
      </c>
      <c r="E17" s="36">
        <f>Parameters!$B$13</f>
        <v/>
      </c>
    </row>
    <row r="18">
      <c r="A18" s="35" t="n">
        <v>13</v>
      </c>
      <c r="B18" s="35">
        <f>COUNTIFS(UpgradeSim!$B$5:$B$405,"&gt;="&amp;13,UpgradeSim!$B$5:$B$405,"&lt;"&amp;14,UpgradeSim!$U$5:$U$405,"?*")</f>
        <v/>
      </c>
      <c r="C18" s="35">
        <f>SUM(B$5:B18)</f>
        <v/>
      </c>
      <c r="D18" s="36">
        <f>IFERROR(INDEX(UpgradeSim!$P$5:$P$405,MATCH(14,UpgradeSim!$B$5:$B$405,1))/(INDEX(UpgradeSim!$S$5:$S$405,MATCH(14,UpgradeSim!$B$5:$B$405,1))),0)</f>
        <v/>
      </c>
      <c r="E18" s="36">
        <f>Parameters!$B$13</f>
        <v/>
      </c>
    </row>
    <row r="19">
      <c r="A19" s="35" t="n">
        <v>14</v>
      </c>
      <c r="B19" s="35">
        <f>COUNTIFS(UpgradeSim!$B$5:$B$405,"&gt;="&amp;14,UpgradeSim!$B$5:$B$405,"&lt;"&amp;15,UpgradeSim!$U$5:$U$405,"?*")</f>
        <v/>
      </c>
      <c r="C19" s="35">
        <f>SUM(B$5:B19)</f>
        <v/>
      </c>
      <c r="D19" s="36">
        <f>IFERROR(INDEX(UpgradeSim!$P$5:$P$405,MATCH(15,UpgradeSim!$B$5:$B$405,1))/(INDEX(UpgradeSim!$S$5:$S$405,MATCH(15,UpgradeSim!$B$5:$B$405,1))),0)</f>
        <v/>
      </c>
      <c r="E19" s="36">
        <f>Parameters!$B$13</f>
        <v/>
      </c>
    </row>
    <row r="20">
      <c r="A20" s="35" t="n">
        <v>15</v>
      </c>
      <c r="B20" s="35">
        <f>COUNTIFS(UpgradeSim!$B$5:$B$405,"&gt;="&amp;15,UpgradeSim!$B$5:$B$405,"&lt;"&amp;16,UpgradeSim!$U$5:$U$405,"?*")</f>
        <v/>
      </c>
      <c r="C20" s="35">
        <f>SUM(B$5:B20)</f>
        <v/>
      </c>
      <c r="D20" s="36">
        <f>IFERROR(INDEX(UpgradeSim!$P$5:$P$405,MATCH(16,UpgradeSim!$B$5:$B$405,1))/(INDEX(UpgradeSim!$S$5:$S$405,MATCH(16,UpgradeSim!$B$5:$B$405,1))),0)</f>
        <v/>
      </c>
      <c r="E20" s="36">
        <f>Parameters!$B$13</f>
        <v/>
      </c>
    </row>
    <row r="21">
      <c r="A21" s="35" t="n">
        <v>16</v>
      </c>
      <c r="B21" s="35">
        <f>COUNTIFS(UpgradeSim!$B$5:$B$405,"&gt;="&amp;16,UpgradeSim!$B$5:$B$405,"&lt;"&amp;17,UpgradeSim!$U$5:$U$405,"?*")</f>
        <v/>
      </c>
      <c r="C21" s="35">
        <f>SUM(B$5:B21)</f>
        <v/>
      </c>
      <c r="D21" s="36">
        <f>IFERROR(INDEX(UpgradeSim!$P$5:$P$405,MATCH(17,UpgradeSim!$B$5:$B$405,1))/(INDEX(UpgradeSim!$S$5:$S$405,MATCH(17,UpgradeSim!$B$5:$B$405,1))),0)</f>
        <v/>
      </c>
      <c r="E21" s="36">
        <f>Parameters!$B$13</f>
        <v/>
      </c>
    </row>
    <row r="22">
      <c r="A22" s="35" t="n">
        <v>17</v>
      </c>
      <c r="B22" s="35">
        <f>COUNTIFS(UpgradeSim!$B$5:$B$405,"&gt;="&amp;17,UpgradeSim!$B$5:$B$405,"&lt;"&amp;18,UpgradeSim!$U$5:$U$405,"?*")</f>
        <v/>
      </c>
      <c r="C22" s="35">
        <f>SUM(B$5:B22)</f>
        <v/>
      </c>
      <c r="D22" s="36">
        <f>IFERROR(INDEX(UpgradeSim!$P$5:$P$405,MATCH(18,UpgradeSim!$B$5:$B$405,1))/(INDEX(UpgradeSim!$S$5:$S$405,MATCH(18,UpgradeSim!$B$5:$B$405,1))),0)</f>
        <v/>
      </c>
      <c r="E22" s="36">
        <f>Parameters!$B$13</f>
        <v/>
      </c>
    </row>
    <row r="23">
      <c r="A23" s="35" t="n">
        <v>18</v>
      </c>
      <c r="B23" s="35">
        <f>COUNTIFS(UpgradeSim!$B$5:$B$405,"&gt;="&amp;18,UpgradeSim!$B$5:$B$405,"&lt;"&amp;19,UpgradeSim!$U$5:$U$405,"?*")</f>
        <v/>
      </c>
      <c r="C23" s="35">
        <f>SUM(B$5:B23)</f>
        <v/>
      </c>
      <c r="D23" s="36">
        <f>IFERROR(INDEX(UpgradeSim!$P$5:$P$405,MATCH(19,UpgradeSim!$B$5:$B$405,1))/(INDEX(UpgradeSim!$S$5:$S$405,MATCH(19,UpgradeSim!$B$5:$B$405,1))),0)</f>
        <v/>
      </c>
      <c r="E23" s="36">
        <f>Parameters!$B$13</f>
        <v/>
      </c>
    </row>
    <row r="24">
      <c r="A24" s="35" t="n">
        <v>19</v>
      </c>
      <c r="B24" s="35">
        <f>COUNTIFS(UpgradeSim!$B$5:$B$405,"&gt;="&amp;19,UpgradeSim!$B$5:$B$405,"&lt;"&amp;20,UpgradeSim!$U$5:$U$405,"?*")</f>
        <v/>
      </c>
      <c r="C24" s="35">
        <f>SUM(B$5:B24)</f>
        <v/>
      </c>
      <c r="D24" s="36">
        <f>IFERROR(INDEX(UpgradeSim!$P$5:$P$405,MATCH(20,UpgradeSim!$B$5:$B$405,1))/(INDEX(UpgradeSim!$S$5:$S$405,MATCH(20,UpgradeSim!$B$5:$B$405,1))),0)</f>
        <v/>
      </c>
      <c r="E24" s="36">
        <f>Parameters!$B$13</f>
        <v/>
      </c>
    </row>
    <row r="25">
      <c r="A25" s="35" t="n">
        <v>20</v>
      </c>
      <c r="B25" s="35">
        <f>COUNTIFS(UpgradeSim!$B$5:$B$405,"&gt;="&amp;20,UpgradeSim!$B$5:$B$405,"&lt;"&amp;21,UpgradeSim!$U$5:$U$405,"?*")</f>
        <v/>
      </c>
      <c r="C25" s="35">
        <f>SUM(B$5:B25)</f>
        <v/>
      </c>
      <c r="D25" s="36">
        <f>IFERROR(INDEX(UpgradeSim!$P$5:$P$405,MATCH(21,UpgradeSim!$B$5:$B$405,1))/(INDEX(UpgradeSim!$S$5:$S$405,MATCH(21,UpgradeSim!$B$5:$B$405,1))),0)</f>
        <v/>
      </c>
      <c r="E25" s="36">
        <f>Parameters!$B$13</f>
        <v/>
      </c>
    </row>
    <row r="26">
      <c r="A26" s="35" t="n">
        <v>21</v>
      </c>
      <c r="B26" s="35">
        <f>COUNTIFS(UpgradeSim!$B$5:$B$405,"&gt;="&amp;21,UpgradeSim!$B$5:$B$405,"&lt;"&amp;22,UpgradeSim!$U$5:$U$405,"?*")</f>
        <v/>
      </c>
      <c r="C26" s="35">
        <f>SUM(B$5:B26)</f>
        <v/>
      </c>
      <c r="D26" s="36">
        <f>IFERROR(INDEX(UpgradeSim!$P$5:$P$405,MATCH(22,UpgradeSim!$B$5:$B$405,1))/(INDEX(UpgradeSim!$S$5:$S$405,MATCH(22,UpgradeSim!$B$5:$B$405,1))),0)</f>
        <v/>
      </c>
      <c r="E26" s="36">
        <f>Parameters!$B$13</f>
        <v/>
      </c>
    </row>
    <row r="27">
      <c r="A27" s="35" t="n">
        <v>22</v>
      </c>
      <c r="B27" s="35">
        <f>COUNTIFS(UpgradeSim!$B$5:$B$405,"&gt;="&amp;22,UpgradeSim!$B$5:$B$405,"&lt;"&amp;23,UpgradeSim!$U$5:$U$405,"?*")</f>
        <v/>
      </c>
      <c r="C27" s="35">
        <f>SUM(B$5:B27)</f>
        <v/>
      </c>
      <c r="D27" s="36">
        <f>IFERROR(INDEX(UpgradeSim!$P$5:$P$405,MATCH(23,UpgradeSim!$B$5:$B$405,1))/(INDEX(UpgradeSim!$S$5:$S$405,MATCH(23,UpgradeSim!$B$5:$B$405,1))),0)</f>
        <v/>
      </c>
      <c r="E27" s="36">
        <f>Parameters!$B$13</f>
        <v/>
      </c>
    </row>
    <row r="28">
      <c r="A28" s="35" t="n">
        <v>23</v>
      </c>
      <c r="B28" s="35">
        <f>COUNTIFS(UpgradeSim!$B$5:$B$405,"&gt;="&amp;23,UpgradeSim!$B$5:$B$405,"&lt;"&amp;24,UpgradeSim!$U$5:$U$405,"?*")</f>
        <v/>
      </c>
      <c r="C28" s="35">
        <f>SUM(B$5:B28)</f>
        <v/>
      </c>
      <c r="D28" s="36">
        <f>IFERROR(INDEX(UpgradeSim!$P$5:$P$405,MATCH(24,UpgradeSim!$B$5:$B$405,1))/(INDEX(UpgradeSim!$S$5:$S$405,MATCH(24,UpgradeSim!$B$5:$B$405,1))),0)</f>
        <v/>
      </c>
      <c r="E28" s="36">
        <f>Parameters!$B$13</f>
        <v/>
      </c>
    </row>
    <row r="29">
      <c r="A29" s="35" t="n">
        <v>24</v>
      </c>
      <c r="B29" s="35">
        <f>COUNTIFS(UpgradeSim!$B$5:$B$405,"&gt;="&amp;24,UpgradeSim!$B$5:$B$405,"&lt;"&amp;25,UpgradeSim!$U$5:$U$405,"?*")</f>
        <v/>
      </c>
      <c r="C29" s="35">
        <f>SUM(B$5:B29)</f>
        <v/>
      </c>
      <c r="D29" s="36">
        <f>IFERROR(INDEX(UpgradeSim!$P$5:$P$405,MATCH(25,UpgradeSim!$B$5:$B$405,1))/(INDEX(UpgradeSim!$S$5:$S$405,MATCH(25,UpgradeSim!$B$5:$B$405,1))),0)</f>
        <v/>
      </c>
      <c r="E29" s="36">
        <f>Parameters!$B$13</f>
        <v/>
      </c>
    </row>
    <row r="30">
      <c r="A30" s="35" t="n">
        <v>25</v>
      </c>
      <c r="B30" s="35">
        <f>COUNTIFS(UpgradeSim!$B$5:$B$405,"&gt;="&amp;25,UpgradeSim!$B$5:$B$405,"&lt;"&amp;26,UpgradeSim!$U$5:$U$405,"?*")</f>
        <v/>
      </c>
      <c r="C30" s="35">
        <f>SUM(B$5:B30)</f>
        <v/>
      </c>
      <c r="D30" s="36">
        <f>IFERROR(INDEX(UpgradeSim!$P$5:$P$405,MATCH(26,UpgradeSim!$B$5:$B$405,1))/(INDEX(UpgradeSim!$S$5:$S$405,MATCH(26,UpgradeSim!$B$5:$B$405,1))),0)</f>
        <v/>
      </c>
      <c r="E30" s="36">
        <f>Parameters!$B$13</f>
        <v/>
      </c>
    </row>
    <row r="31">
      <c r="A31" s="35" t="n">
        <v>26</v>
      </c>
      <c r="B31" s="35">
        <f>COUNTIFS(UpgradeSim!$B$5:$B$405,"&gt;="&amp;26,UpgradeSim!$B$5:$B$405,"&lt;"&amp;27,UpgradeSim!$U$5:$U$405,"?*")</f>
        <v/>
      </c>
      <c r="C31" s="35">
        <f>SUM(B$5:B31)</f>
        <v/>
      </c>
      <c r="D31" s="36">
        <f>IFERROR(INDEX(UpgradeSim!$P$5:$P$405,MATCH(27,UpgradeSim!$B$5:$B$405,1))/(INDEX(UpgradeSim!$S$5:$S$405,MATCH(27,UpgradeSim!$B$5:$B$405,1))),0)</f>
        <v/>
      </c>
      <c r="E31" s="36">
        <f>Parameters!$B$13</f>
        <v/>
      </c>
    </row>
    <row r="32">
      <c r="A32" s="35" t="n">
        <v>27</v>
      </c>
      <c r="B32" s="35">
        <f>COUNTIFS(UpgradeSim!$B$5:$B$405,"&gt;="&amp;27,UpgradeSim!$B$5:$B$405,"&lt;"&amp;28,UpgradeSim!$U$5:$U$405,"?*")</f>
        <v/>
      </c>
      <c r="C32" s="35">
        <f>SUM(B$5:B32)</f>
        <v/>
      </c>
      <c r="D32" s="36">
        <f>IFERROR(INDEX(UpgradeSim!$P$5:$P$405,MATCH(28,UpgradeSim!$B$5:$B$405,1))/(INDEX(UpgradeSim!$S$5:$S$405,MATCH(28,UpgradeSim!$B$5:$B$405,1))),0)</f>
        <v/>
      </c>
      <c r="E32" s="36">
        <f>Parameters!$B$13</f>
        <v/>
      </c>
    </row>
    <row r="33">
      <c r="A33" s="35" t="n">
        <v>28</v>
      </c>
      <c r="B33" s="35">
        <f>COUNTIFS(UpgradeSim!$B$5:$B$405,"&gt;="&amp;28,UpgradeSim!$B$5:$B$405,"&lt;"&amp;29,UpgradeSim!$U$5:$U$405,"?*")</f>
        <v/>
      </c>
      <c r="C33" s="35">
        <f>SUM(B$5:B33)</f>
        <v/>
      </c>
      <c r="D33" s="36">
        <f>IFERROR(INDEX(UpgradeSim!$P$5:$P$405,MATCH(29,UpgradeSim!$B$5:$B$405,1))/(INDEX(UpgradeSim!$S$5:$S$405,MATCH(29,UpgradeSim!$B$5:$B$405,1))),0)</f>
        <v/>
      </c>
      <c r="E33" s="36">
        <f>Parameters!$B$13</f>
        <v/>
      </c>
    </row>
    <row r="34">
      <c r="A34" s="35" t="n">
        <v>29</v>
      </c>
      <c r="B34" s="35">
        <f>COUNTIFS(UpgradeSim!$B$5:$B$405,"&gt;="&amp;29,UpgradeSim!$B$5:$B$405,"&lt;"&amp;30,UpgradeSim!$U$5:$U$405,"?*")</f>
        <v/>
      </c>
      <c r="C34" s="35">
        <f>SUM(B$5:B34)</f>
        <v/>
      </c>
      <c r="D34" s="36">
        <f>IFERROR(INDEX(UpgradeSim!$P$5:$P$405,MATCH(30,UpgradeSim!$B$5:$B$405,1))/(INDEX(UpgradeSim!$S$5:$S$405,MATCH(30,UpgradeSim!$B$5:$B$405,1))),0)</f>
        <v/>
      </c>
      <c r="E34" s="36">
        <f>Parameters!$B$13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411"/>
  <sheetViews>
    <sheetView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14" customWidth="1" min="3" max="3"/>
    <col width="8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6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8" customWidth="1" min="21" max="21"/>
    <col width="12" customWidth="1" min="22" max="22"/>
    <col width="9" customWidth="1" min="23" max="23"/>
    <col width="14" customWidth="1" min="24" max="24"/>
    <col width="10" customWidth="1" min="25" max="25"/>
    <col width="32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hidden="1" width="9" customWidth="1" min="37" max="37"/>
    <col hidden="1" width="9" customWidth="1" min="38" max="38"/>
    <col hidden="1" width="9" customWidth="1" min="39" max="39"/>
    <col hidden="1" width="9" customWidth="1" min="40" max="40"/>
    <col hidden="1" width="9" customWidth="1" min="41" max="41"/>
    <col hidden="1" width="9" customWidth="1" min="42" max="42"/>
    <col hidden="1" width="9" customWidth="1" min="43" max="43"/>
    <col hidden="1" width="9" customWidth="1" min="44" max="44"/>
    <col hidden="1" width="9" customWidth="1" min="45" max="45"/>
    <col hidden="1" width="8" customWidth="1" min="46" max="46"/>
    <col hidden="1" width="8" customWidth="1" min="47" max="47"/>
    <col hidden="1" width="11" customWidth="1" min="48" max="48"/>
    <col hidden="1" width="11" customWidth="1" min="49" max="49"/>
    <col hidden="1" width="9" customWidth="1" min="50" max="50"/>
    <col hidden="1" width="12" customWidth="1" min="51" max="51"/>
    <col hidden="1" width="12" customWidth="1" min="52" max="52"/>
    <col hidden="1" width="12" customWidth="1" min="53" max="53"/>
    <col hidden="1" width="12" customWidth="1" min="54" max="54"/>
    <col hidden="1" width="12" customWidth="1" min="55" max="55"/>
    <col hidden="1" width="12" customWidth="1" min="56" max="56"/>
    <col hidden="1" width="12" customWidth="1" min="57" max="57"/>
  </cols>
  <sheetData>
    <row r="1">
      <c r="A1" s="1" t="inlineStr">
        <is>
          <t>UpgradeSimT2 — Tier 2 (Stellar Neighborhood)</t>
        </is>
      </c>
    </row>
    <row r="2">
      <c r="A2" s="2" t="inlineStr">
        <is>
          <t>10-second tick simulation, parallel to UpgradeSim. Carryover state from T1 is shown in the blue block at the top. Mode toggle on Parameters chooses between Completion-exit and Threshold-exit handoff.</t>
        </is>
      </c>
    </row>
    <row r="4">
      <c r="A4" s="37" t="inlineStr">
        <is>
          <t>Carryover from T1</t>
        </is>
      </c>
    </row>
    <row r="5">
      <c r="A5" s="14" t="inlineStr">
        <is>
          <t>Mode</t>
        </is>
      </c>
      <c r="B5" s="14" t="inlineStr">
        <is>
          <t>Mass</t>
        </is>
      </c>
      <c r="C5" s="14" t="inlineStr">
        <is>
          <t>MPS floor</t>
        </is>
      </c>
      <c r="D5" s="14" t="inlineStr">
        <is>
          <t>MPC floor</t>
        </is>
      </c>
      <c r="E5" s="14" t="inlineStr">
        <is>
          <t>APS floor</t>
        </is>
      </c>
      <c r="F5" s="14" t="inlineStr">
        <is>
          <t>× all M/s</t>
        </is>
      </c>
      <c r="G5" s="14" t="inlineStr">
        <is>
          <t>× all M/c</t>
        </is>
      </c>
      <c r="H5" s="14" t="inlineStr">
        <is>
          <t>× all AC/s</t>
        </is>
      </c>
    </row>
    <row r="6">
      <c r="A6" s="38">
        <f>IF(Parameters!$B$23=1,"Completion","Threshold")</f>
        <v/>
      </c>
      <c r="B6" s="39">
        <f>IF(Parameters!$B$23=1,Parameters!$B$24,Parameters!$B$25)</f>
        <v/>
      </c>
      <c r="C6" s="40">
        <f>IF(Parameters!$B$23=1,Parameters!$B$26,Parameters!$B$27)</f>
        <v/>
      </c>
      <c r="D6" s="40">
        <f>IF(Parameters!$B$23=1,Parameters!$B$28,Parameters!$B$29)</f>
        <v/>
      </c>
      <c r="E6" s="40">
        <f>Parameters!$B$30</f>
        <v/>
      </c>
      <c r="F6" s="40">
        <f>IF(Parameters!$B$23=1,Parameters!$B$31,Parameters!$B$32)</f>
        <v/>
      </c>
      <c r="G6" s="40">
        <f>IF(Parameters!$B$23=1,Parameters!$B$33,Parameters!$B$34)</f>
        <v/>
      </c>
      <c r="H6" s="40">
        <f>Parameters!$B$35</f>
        <v/>
      </c>
    </row>
    <row r="8">
      <c r="A8" s="2" t="inlineStr">
        <is>
          <t>Earliest possible T3 transition (cohesion ready):</t>
        </is>
      </c>
      <c r="E8" s="25">
        <f>IFERROR(INDEX(B:B,MATCH(1,AU:AU,0))&amp;" min","—")</f>
        <v/>
      </c>
      <c r="H8" s="2" t="inlineStr">
        <is>
          <t>Actual T3 transition (completion path):</t>
        </is>
      </c>
      <c r="N8" s="25">
        <f>IFERROR(INDEX(B:B,MATCH("transition",U:U,0))&amp;" min","—")</f>
        <v/>
      </c>
    </row>
    <row r="10">
      <c r="A10" s="17" t="inlineStr">
        <is>
          <t>Tick</t>
        </is>
      </c>
      <c r="B10" s="17" t="inlineStr">
        <is>
          <t>Time (min)</t>
        </is>
      </c>
      <c r="C10" s="17" t="inlineStr">
        <is>
          <t>Mass start</t>
        </is>
      </c>
      <c r="D10" s="17" t="inlineStr">
        <is>
          <t>Cohesion</t>
        </is>
      </c>
      <c r="E10" s="17" t="inlineStr">
        <is>
          <t>SK</t>
        </is>
      </c>
      <c r="F10" s="17" t="inlineStr">
        <is>
          <t>LB</t>
        </is>
      </c>
      <c r="G10" s="17" t="inlineStr">
        <is>
          <t>ML</t>
        </is>
      </c>
      <c r="H10" s="17" t="inlineStr">
        <is>
          <t>RLO</t>
        </is>
      </c>
      <c r="I10" s="17" t="inlineStr">
        <is>
          <t>BD</t>
        </is>
      </c>
      <c r="J10" s="17" t="inlineStr">
        <is>
          <t>BiP</t>
        </is>
      </c>
      <c r="K10" s="17" t="inlineStr">
        <is>
          <t>PV</t>
        </is>
      </c>
      <c r="L10" s="17" t="inlineStr">
        <is>
          <t>OC</t>
        </is>
      </c>
      <c r="M10" s="17" t="inlineStr">
        <is>
          <t>MG</t>
        </is>
      </c>
      <c r="N10" s="17" t="inlineStr">
        <is>
          <t>T3?</t>
        </is>
      </c>
      <c r="O10" s="17" t="inlineStr">
        <is>
          <t>MPC</t>
        </is>
      </c>
      <c r="P10" s="17" t="inlineStr">
        <is>
          <t>MPS</t>
        </is>
      </c>
      <c r="Q10" s="17" t="inlineStr">
        <is>
          <t>APS</t>
        </is>
      </c>
      <c r="R10" s="17" t="inlineStr">
        <is>
          <t>Click inc</t>
        </is>
      </c>
      <c r="S10" s="17" t="inlineStr">
        <is>
          <t>Auto inc</t>
        </is>
      </c>
      <c r="T10" s="17" t="inlineStr">
        <is>
          <t>Total inc</t>
        </is>
      </c>
      <c r="U10" s="17" t="inlineStr">
        <is>
          <t>Buy?</t>
        </is>
      </c>
      <c r="V10" s="17" t="inlineStr">
        <is>
          <t>Cost</t>
        </is>
      </c>
      <c r="W10" s="17" t="inlineStr">
        <is>
          <t>Coh +</t>
        </is>
      </c>
      <c r="X10" s="17" t="inlineStr">
        <is>
          <t>Mass end</t>
        </is>
      </c>
      <c r="Y10" s="17" t="inlineStr">
        <is>
          <t>M/sec</t>
        </is>
      </c>
      <c r="Z10" s="17" t="inlineStr">
        <is>
          <t>Note</t>
        </is>
      </c>
      <c r="AA10" s="17" t="inlineStr">
        <is>
          <t>SK M/min</t>
        </is>
      </c>
      <c r="AB10" s="17" t="inlineStr">
        <is>
          <t>LB M/min</t>
        </is>
      </c>
      <c r="AC10" s="17" t="inlineStr">
        <is>
          <t>ML M/min</t>
        </is>
      </c>
      <c r="AD10" s="17" t="inlineStr">
        <is>
          <t>RLO M/min</t>
        </is>
      </c>
      <c r="AE10" s="17" t="inlineStr">
        <is>
          <t>BD M/min</t>
        </is>
      </c>
      <c r="AF10" s="17" t="inlineStr">
        <is>
          <t>BiP M/min</t>
        </is>
      </c>
      <c r="AG10" s="17" t="inlineStr">
        <is>
          <t>PV M/min</t>
        </is>
      </c>
      <c r="AH10" s="17" t="inlineStr">
        <is>
          <t>OC M/min</t>
        </is>
      </c>
      <c r="AI10" s="17" t="inlineStr">
        <is>
          <t>MG M/min</t>
        </is>
      </c>
      <c r="AJ10" s="17" t="inlineStr">
        <is>
          <t>Carry M/min</t>
        </is>
      </c>
      <c r="AK10" s="17" t="inlineStr">
        <is>
          <t>SK cost</t>
        </is>
      </c>
      <c r="AL10" s="17" t="inlineStr">
        <is>
          <t>LB cost</t>
        </is>
      </c>
      <c r="AM10" s="17" t="inlineStr">
        <is>
          <t>ML cost</t>
        </is>
      </c>
      <c r="AN10" s="17" t="inlineStr">
        <is>
          <t>RLO cost</t>
        </is>
      </c>
      <c r="AO10" s="17" t="inlineStr">
        <is>
          <t>BD cost</t>
        </is>
      </c>
      <c r="AP10" s="17" t="inlineStr">
        <is>
          <t>BiP cost</t>
        </is>
      </c>
      <c r="AQ10" s="17" t="inlineStr">
        <is>
          <t>PV cost</t>
        </is>
      </c>
      <c r="AR10" s="17" t="inlineStr">
        <is>
          <t>OC cost</t>
        </is>
      </c>
      <c r="AS10" s="17" t="inlineStr">
        <is>
          <t>MG cost</t>
        </is>
      </c>
      <c r="AT10" s="17" t="inlineStr">
        <is>
          <t>Trans?</t>
        </is>
      </c>
      <c r="AU10" s="17" t="inlineStr">
        <is>
          <t>Could-trans?</t>
        </is>
      </c>
      <c r="AV10" s="17" t="inlineStr">
        <is>
          <t>Next OS cost</t>
        </is>
      </c>
      <c r="AW10" s="17" t="inlineStr">
        <is>
          <t>Cheapest stack</t>
        </is>
      </c>
      <c r="AX10" s="17" t="inlineStr">
        <is>
          <t>Save mode</t>
        </is>
      </c>
      <c r="AY10" s="17" t="inlineStr">
        <is>
          <t>SK VPC</t>
        </is>
      </c>
      <c r="AZ10" s="17" t="inlineStr">
        <is>
          <t>LB VPC</t>
        </is>
      </c>
      <c r="BA10" s="17" t="inlineStr">
        <is>
          <t>ML VPC</t>
        </is>
      </c>
      <c r="BB10" s="17" t="inlineStr">
        <is>
          <t>RLO VPC</t>
        </is>
      </c>
      <c r="BC10" s="17" t="inlineStr">
        <is>
          <t>BD VPC</t>
        </is>
      </c>
      <c r="BD10" s="17" t="inlineStr">
        <is>
          <t>Next OS VPC</t>
        </is>
      </c>
      <c r="BE10" s="17" t="inlineStr">
        <is>
          <t>Action</t>
        </is>
      </c>
    </row>
    <row r="11">
      <c r="A11" s="26" t="n">
        <v>0</v>
      </c>
      <c r="B11" s="27" t="n">
        <v>0</v>
      </c>
      <c r="C11" s="22">
        <f>$B$6</f>
        <v/>
      </c>
      <c r="D11" s="27" t="n">
        <v>0</v>
      </c>
      <c r="E11" s="26" t="n">
        <v>0</v>
      </c>
      <c r="F11" s="26" t="n">
        <v>0</v>
      </c>
      <c r="G11" s="26" t="n">
        <v>0</v>
      </c>
      <c r="H11" s="26" t="n">
        <v>0</v>
      </c>
      <c r="I11" s="26" t="n">
        <v>0</v>
      </c>
      <c r="J11" s="26" t="n">
        <v>0</v>
      </c>
      <c r="K11" s="26" t="n">
        <v>0</v>
      </c>
      <c r="L11" s="26" t="n">
        <v>0</v>
      </c>
      <c r="M11" s="26" t="n">
        <v>0</v>
      </c>
      <c r="N11" s="26" t="n">
        <v>0</v>
      </c>
      <c r="O11" s="28">
        <f>(Parameters!$B$9+(IF(E11=0,0,(Upgrades!$J$13+E11*Upgrades!$K$13)*POWER(Upgrades!$L$13,E11)))*(IF(Upgrades!$T$14="Stellar Kinematics",POWER(Upgrades!$U$14,F11),1)*IF(Upgrades!$T$15="Stellar Kinematics",POWER(Upgrades!$U$15,G11),1)*IF(Upgrades!$T$16="Stellar Kinematics",POWER(Upgrades!$U$16,H11),1)*IF(Upgrades!$T$17="Stellar Kinematics",POWER(Upgrades!$U$17,I11),1)*IF(Upgrades!$T$18="Stellar Kinematics",POWER(Upgrades!$U$18,J11),1)*IF(Upgrades!$T$19="Stellar Kinematics",POWER(Upgrades!$U$19,K11),1)*IF(Upgrades!$T$20="Stellar Kinematics",POWER(Upgrades!$U$20,L11),1)*IF(Upgrades!$T$21="Stellar Kinematics",POWER(Upgrades!$U$21,M11),1))+(IF(F11=0,0,(Upgrades!$J$14+F11*Upgrades!$K$14)*POWER(Upgrades!$L$14,F11)))*(IF(Upgrades!$T$13="Local Bubble",POWER(Upgrades!$U$13,E11),1)*IF(Upgrades!$T$15="Local Bubble",POWER(Upgrades!$U$15,G11),1)*IF(Upgrades!$T$16="Local Bubble",POWER(Upgrades!$U$16,H11),1)*IF(Upgrades!$T$17="Local Bubble",POWER(Upgrades!$U$17,I11),1)*IF(Upgrades!$T$18="Local Bubble",POWER(Upgrades!$U$18,J11),1)*IF(Upgrades!$T$19="Local Bubble",POWER(Upgrades!$U$19,K11),1)*IF(Upgrades!$T$20="Local Bubble",POWER(Upgrades!$U$20,L11),1)*IF(Upgrades!$T$21="Local Bubble",POWER(Upgrades!$U$21,M11),1))+(IF(G11=0,0,(Upgrades!$J$15+G11*Upgrades!$K$15)*POWER(Upgrades!$L$15,G11)))*(IF(Upgrades!$T$13="Microlensing",POWER(Upgrades!$U$13,E11),1)*IF(Upgrades!$T$14="Microlensing",POWER(Upgrades!$U$14,F11),1)*IF(Upgrades!$T$16="Microlensing",POWER(Upgrades!$U$16,H11),1)*IF(Upgrades!$T$17="Microlensing",POWER(Upgrades!$U$17,I11),1)*IF(Upgrades!$T$18="Microlensing",POWER(Upgrades!$U$18,J11),1)*IF(Upgrades!$T$19="Microlensing",POWER(Upgrades!$U$19,K11),1)*IF(Upgrades!$T$20="Microlensing",POWER(Upgrades!$U$20,L11),1)*IF(Upgrades!$T$21="Microlensing",POWER(Upgrades!$U$21,M11),1))+(IF(H11=0,0,(Upgrades!$J$16+H11*Upgrades!$K$16)*POWER(Upgrades!$L$16,H11)))*(IF(Upgrades!$T$13="Roche Lobe Overflow",POWER(Upgrades!$U$13,E11),1)*IF(Upgrades!$T$14="Roche Lobe Overflow",POWER(Upgrades!$U$14,F11),1)*IF(Upgrades!$T$15="Roche Lobe Overflow",POWER(Upgrades!$U$15,G11),1)*IF(Upgrades!$T$17="Roche Lobe Overflow",POWER(Upgrades!$U$17,I11),1)*IF(Upgrades!$T$18="Roche Lobe Overflow",POWER(Upgrades!$U$18,J11),1)*IF(Upgrades!$T$19="Roche Lobe Overflow",POWER(Upgrades!$U$19,K11),1)*IF(Upgrades!$T$20="Roche Lobe Overflow",POWER(Upgrades!$U$20,L11),1)*IF(Upgrades!$T$21="Roche Lobe Overflow",POWER(Upgrades!$U$21,M11),1))+(IF(I11=0,0,(Upgrades!$J$17+I11*Upgrades!$K$17)*POWER(Upgrades!$L$17,I11)))*(IF(Upgrades!$T$13="Brown Dwarf",POWER(Upgrades!$U$13,E11),1)*IF(Upgrades!$T$14="Brown Dwarf",POWER(Upgrades!$U$14,F11),1)*IF(Upgrades!$T$15="Brown Dwarf",POWER(Upgrades!$U$15,G11),1)*IF(Upgrades!$T$16="Brown Dwarf",POWER(Upgrades!$U$16,H11),1)*IF(Upgrades!$T$18="Brown Dwarf",POWER(Upgrades!$U$18,J11),1)*IF(Upgrades!$T$19="Brown Dwarf",POWER(Upgrades!$U$19,K11),1)*IF(Upgrades!$T$20="Brown Dwarf",POWER(Upgrades!$U$20,L11),1)*IF(Upgrades!$T$21="Brown Dwarf",POWER(Upgrades!$U$21,M11),1))+(IF(J11=0,0,(Upgrades!$J$18+J11*Upgrades!$K$18)*POWER(Upgrades!$L$18,J11)))*(IF(Upgrades!$T$13="Binary Partner",POWER(Upgrades!$U$13,E11),1)*IF(Upgrades!$T$14="Binary Partner",POWER(Upgrades!$U$14,F11),1)*IF(Upgrades!$T$15="Binary Partner",POWER(Upgrades!$U$15,G11),1)*IF(Upgrades!$T$16="Binary Partner",POWER(Upgrades!$U$16,H11),1)*IF(Upgrades!$T$17="Binary Partner",POWER(Upgrades!$U$17,I11),1)*IF(Upgrades!$T$19="Binary Partner",POWER(Upgrades!$U$19,K11),1)*IF(Upgrades!$T$20="Binary Partner",POWER(Upgrades!$U$20,L11),1)*IF(Upgrades!$T$21="Binary Partner",POWER(Upgrades!$U$21,M11),1))+(IF(K11=0,0,(Upgrades!$J$19+K11*Upgrades!$K$19)*POWER(Upgrades!$L$19,K11)))*(IF(Upgrades!$T$13="Peculiar Velocity",POWER(Upgrades!$U$13,E11),1)*IF(Upgrades!$T$14="Peculiar Velocity",POWER(Upgrades!$U$14,F11),1)*IF(Upgrades!$T$15="Peculiar Velocity",POWER(Upgrades!$U$15,G11),1)*IF(Upgrades!$T$16="Peculiar Velocity",POWER(Upgrades!$U$16,H11),1)*IF(Upgrades!$T$17="Peculiar Velocity",POWER(Upgrades!$U$17,I11),1)*IF(Upgrades!$T$18="Peculiar Velocity",POWER(Upgrades!$U$18,J11),1)*IF(Upgrades!$T$20="Peculiar Velocity",POWER(Upgrades!$U$20,L11),1)*IF(Upgrades!$T$21="Peculiar Velocity",POWER(Upgrades!$U$21,M11),1))+(IF(L11=0,0,(Upgrades!$J$20+L11*Upgrades!$K$20)*POWER(Upgrades!$L$20,L11)))*(IF(Upgrades!$T$13="Open Cluster",POWER(Upgrades!$U$13,E11),1)*IF(Upgrades!$T$14="Open Cluster",POWER(Upgrades!$U$14,F11),1)*IF(Upgrades!$T$15="Open Cluster",POWER(Upgrades!$U$15,G11),1)*IF(Upgrades!$T$16="Open Cluster",POWER(Upgrades!$U$16,H11),1)*IF(Upgrades!$T$17="Open Cluster",POWER(Upgrades!$U$17,I11),1)*IF(Upgrades!$T$18="Open Cluster",POWER(Upgrades!$U$18,J11),1)*IF(Upgrades!$T$19="Open Cluster",POWER(Upgrades!$U$19,K11),1)*IF(Upgrades!$T$21="Open Cluster",POWER(Upgrades!$U$21,M11),1))+(IF(M11=0,0,(Upgrades!$J$21+M11*Upgrades!$K$21)*POWER(Upgrades!$L$21,M11)))*(IF(Upgrades!$T$13="Moving Group",POWER(Upgrades!$U$13,E11),1)*IF(Upgrades!$T$14="Moving Group",POWER(Upgrades!$U$14,F11),1)*IF(Upgrades!$T$15="Moving Group",POWER(Upgrades!$U$15,G11),1)*IF(Upgrades!$T$16="Moving Group",POWER(Upgrades!$U$16,H11),1)*IF(Upgrades!$T$17="Moving Group",POWER(Upgrades!$U$17,I11),1)*IF(Upgrades!$T$18="Moving Group",POWER(Upgrades!$U$18,J11),1)*IF(Upgrades!$T$19="Moving Group",POWER(Upgrades!$U$19,K11),1)*IF(Upgrades!$T$20="Moving Group",POWER(Upgrades!$U$20,L11),1)))*POWER(Upgrades!$Q$13,E11)*POWER(Upgrades!$Q$14,F11)*POWER(Upgrades!$Q$15,G11)*POWER(Upgrades!$Q$16,H11)*POWER(Upgrades!$Q$17,I11)*POWER(Upgrades!$Q$18,J11)*POWER(Upgrades!$Q$19,K11)*POWER(Upgrades!$Q$20,L11)*POWER(Upgrades!$Q$21,M11)*$G$6+$D$6</f>
        <v/>
      </c>
      <c r="P11" s="28">
        <f>((IF(E11=0,0,(Upgrades!$G$13+E11*Upgrades!$H$13)*POWER(Upgrades!$I$13,E11)))*(IF(Upgrades!$T$14="Stellar Kinematics",POWER(Upgrades!$U$14,F11),1)*IF(Upgrades!$T$15="Stellar Kinematics",POWER(Upgrades!$U$15,G11),1)*IF(Upgrades!$T$16="Stellar Kinematics",POWER(Upgrades!$U$16,H11),1)*IF(Upgrades!$T$17="Stellar Kinematics",POWER(Upgrades!$U$17,I11),1)*IF(Upgrades!$T$18="Stellar Kinematics",POWER(Upgrades!$U$18,J11),1)*IF(Upgrades!$T$19="Stellar Kinematics",POWER(Upgrades!$U$19,K11),1)*IF(Upgrades!$T$20="Stellar Kinematics",POWER(Upgrades!$U$20,L11),1)*IF(Upgrades!$T$21="Stellar Kinematics",POWER(Upgrades!$U$21,M11),1))+(IF(F11=0,0,(Upgrades!$G$14+F11*Upgrades!$H$14)*POWER(Upgrades!$I$14,F11)))*(IF(Upgrades!$T$13="Local Bubble",POWER(Upgrades!$U$13,E11),1)*IF(Upgrades!$T$15="Local Bubble",POWER(Upgrades!$U$15,G11),1)*IF(Upgrades!$T$16="Local Bubble",POWER(Upgrades!$U$16,H11),1)*IF(Upgrades!$T$17="Local Bubble",POWER(Upgrades!$U$17,I11),1)*IF(Upgrades!$T$18="Local Bubble",POWER(Upgrades!$U$18,J11),1)*IF(Upgrades!$T$19="Local Bubble",POWER(Upgrades!$U$19,K11),1)*IF(Upgrades!$T$20="Local Bubble",POWER(Upgrades!$U$20,L11),1)*IF(Upgrades!$T$21="Local Bubble",POWER(Upgrades!$U$21,M11),1))+(IF(G11=0,0,(Upgrades!$G$15+G11*Upgrades!$H$15)*POWER(Upgrades!$I$15,G11)))*(IF(Upgrades!$T$13="Microlensing",POWER(Upgrades!$U$13,E11),1)*IF(Upgrades!$T$14="Microlensing",POWER(Upgrades!$U$14,F11),1)*IF(Upgrades!$T$16="Microlensing",POWER(Upgrades!$U$16,H11),1)*IF(Upgrades!$T$17="Microlensing",POWER(Upgrades!$U$17,I11),1)*IF(Upgrades!$T$18="Microlensing",POWER(Upgrades!$U$18,J11),1)*IF(Upgrades!$T$19="Microlensing",POWER(Upgrades!$U$19,K11),1)*IF(Upgrades!$T$20="Microlensing",POWER(Upgrades!$U$20,L11),1)*IF(Upgrades!$T$21="Microlensing",POWER(Upgrades!$U$21,M11),1))+(IF(H11=0,0,(Upgrades!$G$16+H11*Upgrades!$H$16)*POWER(Upgrades!$I$16,H11)))*(IF(Upgrades!$T$13="Roche Lobe Overflow",POWER(Upgrades!$U$13,E11),1)*IF(Upgrades!$T$14="Roche Lobe Overflow",POWER(Upgrades!$U$14,F11),1)*IF(Upgrades!$T$15="Roche Lobe Overflow",POWER(Upgrades!$U$15,G11),1)*IF(Upgrades!$T$17="Roche Lobe Overflow",POWER(Upgrades!$U$17,I11),1)*IF(Upgrades!$T$18="Roche Lobe Overflow",POWER(Upgrades!$U$18,J11),1)*IF(Upgrades!$T$19="Roche Lobe Overflow",POWER(Upgrades!$U$19,K11),1)*IF(Upgrades!$T$20="Roche Lobe Overflow",POWER(Upgrades!$U$20,L11),1)*IF(Upgrades!$T$21="Roche Lobe Overflow",POWER(Upgrades!$U$21,M11),1))+(IF(I11=0,0,(Upgrades!$G$17+I11*Upgrades!$H$17)*POWER(Upgrades!$I$17,I11)))*(IF(Upgrades!$T$13="Brown Dwarf",POWER(Upgrades!$U$13,E11),1)*IF(Upgrades!$T$14="Brown Dwarf",POWER(Upgrades!$U$14,F11),1)*IF(Upgrades!$T$15="Brown Dwarf",POWER(Upgrades!$U$15,G11),1)*IF(Upgrades!$T$16="Brown Dwarf",POWER(Upgrades!$U$16,H11),1)*IF(Upgrades!$T$18="Brown Dwarf",POWER(Upgrades!$U$18,J11),1)*IF(Upgrades!$T$19="Brown Dwarf",POWER(Upgrades!$U$19,K11),1)*IF(Upgrades!$T$20="Brown Dwarf",POWER(Upgrades!$U$20,L11),1)*IF(Upgrades!$T$21="Brown Dwarf",POWER(Upgrades!$U$21,M11),1))+(IF(J11=0,0,(Upgrades!$G$18+J11*Upgrades!$H$18)*POWER(Upgrades!$I$18,J11)))*(IF(Upgrades!$T$13="Binary Partner",POWER(Upgrades!$U$13,E11),1)*IF(Upgrades!$T$14="Binary Partner",POWER(Upgrades!$U$14,F11),1)*IF(Upgrades!$T$15="Binary Partner",POWER(Upgrades!$U$15,G11),1)*IF(Upgrades!$T$16="Binary Partner",POWER(Upgrades!$U$16,H11),1)*IF(Upgrades!$T$17="Binary Partner",POWER(Upgrades!$U$17,I11),1)*IF(Upgrades!$T$19="Binary Partner",POWER(Upgrades!$U$19,K11),1)*IF(Upgrades!$T$20="Binary Partner",POWER(Upgrades!$U$20,L11),1)*IF(Upgrades!$T$21="Binary Partner",POWER(Upgrades!$U$21,M11),1))+(IF(K11=0,0,(Upgrades!$G$19+K11*Upgrades!$H$19)*POWER(Upgrades!$I$19,K11)))*(IF(Upgrades!$T$13="Peculiar Velocity",POWER(Upgrades!$U$13,E11),1)*IF(Upgrades!$T$14="Peculiar Velocity",POWER(Upgrades!$U$14,F11),1)*IF(Upgrades!$T$15="Peculiar Velocity",POWER(Upgrades!$U$15,G11),1)*IF(Upgrades!$T$16="Peculiar Velocity",POWER(Upgrades!$U$16,H11),1)*IF(Upgrades!$T$17="Peculiar Velocity",POWER(Upgrades!$U$17,I11),1)*IF(Upgrades!$T$18="Peculiar Velocity",POWER(Upgrades!$U$18,J11),1)*IF(Upgrades!$T$20="Peculiar Velocity",POWER(Upgrades!$U$20,L11),1)*IF(Upgrades!$T$21="Peculiar Velocity",POWER(Upgrades!$U$21,M11),1))+(IF(L11=0,0,(Upgrades!$G$20+L11*Upgrades!$H$20)*POWER(Upgrades!$I$20,L11)))*(IF(Upgrades!$T$13="Open Cluster",POWER(Upgrades!$U$13,E11),1)*IF(Upgrades!$T$14="Open Cluster",POWER(Upgrades!$U$14,F11),1)*IF(Upgrades!$T$15="Open Cluster",POWER(Upgrades!$U$15,G11),1)*IF(Upgrades!$T$16="Open Cluster",POWER(Upgrades!$U$16,H11),1)*IF(Upgrades!$T$17="Open Cluster",POWER(Upgrades!$U$17,I11),1)*IF(Upgrades!$T$18="Open Cluster",POWER(Upgrades!$U$18,J11),1)*IF(Upgrades!$T$19="Open Cluster",POWER(Upgrades!$U$19,K11),1)*IF(Upgrades!$T$21="Open Cluster",POWER(Upgrades!$U$21,M11),1))+(IF(M11=0,0,(Upgrades!$G$21+M11*Upgrades!$H$21)*POWER(Upgrades!$I$21,M11)))*(IF(Upgrades!$T$13="Moving Group",POWER(Upgrades!$U$13,E11),1)*IF(Upgrades!$T$14="Moving Group",POWER(Upgrades!$U$14,F11),1)*IF(Upgrades!$T$15="Moving Group",POWER(Upgrades!$U$15,G11),1)*IF(Upgrades!$T$16="Moving Group",POWER(Upgrades!$U$16,H11),1)*IF(Upgrades!$T$17="Moving Group",POWER(Upgrades!$U$17,I11),1)*IF(Upgrades!$T$18="Moving Group",POWER(Upgrades!$U$18,J11),1)*IF(Upgrades!$T$19="Moving Group",POWER(Upgrades!$U$19,K11),1)*IF(Upgrades!$T$20="Moving Group",POWER(Upgrades!$U$20,L11),1)))*POWER(Upgrades!$P$13,E11)*POWER(Upgrades!$P$14,F11)*POWER(Upgrades!$P$15,G11)*POWER(Upgrades!$P$16,H11)*POWER(Upgrades!$P$17,I11)*POWER(Upgrades!$P$18,J11)*POWER(Upgrades!$P$19,K11)*POWER(Upgrades!$P$20,L11)*POWER(Upgrades!$P$21,M11)*$F$6+$C$6</f>
        <v/>
      </c>
      <c r="Q11" s="28">
        <f>((IF(E11=0,0,(Upgrades!$M$13+E11*Upgrades!$N$13)*POWER(Upgrades!$O$13,E11)))*(IF(Upgrades!$T$14="Stellar Kinematics",POWER(Upgrades!$U$14,F11),1)*IF(Upgrades!$T$15="Stellar Kinematics",POWER(Upgrades!$U$15,G11),1)*IF(Upgrades!$T$16="Stellar Kinematics",POWER(Upgrades!$U$16,H11),1)*IF(Upgrades!$T$17="Stellar Kinematics",POWER(Upgrades!$U$17,I11),1)*IF(Upgrades!$T$18="Stellar Kinematics",POWER(Upgrades!$U$18,J11),1)*IF(Upgrades!$T$19="Stellar Kinematics",POWER(Upgrades!$U$19,K11),1)*IF(Upgrades!$T$20="Stellar Kinematics",POWER(Upgrades!$U$20,L11),1)*IF(Upgrades!$T$21="Stellar Kinematics",POWER(Upgrades!$U$21,M11),1))+(IF(F11=0,0,(Upgrades!$M$14+F11*Upgrades!$N$14)*POWER(Upgrades!$O$14,F11)))*(IF(Upgrades!$T$13="Local Bubble",POWER(Upgrades!$U$13,E11),1)*IF(Upgrades!$T$15="Local Bubble",POWER(Upgrades!$U$15,G11),1)*IF(Upgrades!$T$16="Local Bubble",POWER(Upgrades!$U$16,H11),1)*IF(Upgrades!$T$17="Local Bubble",POWER(Upgrades!$U$17,I11),1)*IF(Upgrades!$T$18="Local Bubble",POWER(Upgrades!$U$18,J11),1)*IF(Upgrades!$T$19="Local Bubble",POWER(Upgrades!$U$19,K11),1)*IF(Upgrades!$T$20="Local Bubble",POWER(Upgrades!$U$20,L11),1)*IF(Upgrades!$T$21="Local Bubble",POWER(Upgrades!$U$21,M11),1))+(IF(G11=0,0,(Upgrades!$M$15+G11*Upgrades!$N$15)*POWER(Upgrades!$O$15,G11)))*(IF(Upgrades!$T$13="Microlensing",POWER(Upgrades!$U$13,E11),1)*IF(Upgrades!$T$14="Microlensing",POWER(Upgrades!$U$14,F11),1)*IF(Upgrades!$T$16="Microlensing",POWER(Upgrades!$U$16,H11),1)*IF(Upgrades!$T$17="Microlensing",POWER(Upgrades!$U$17,I11),1)*IF(Upgrades!$T$18="Microlensing",POWER(Upgrades!$U$18,J11),1)*IF(Upgrades!$T$19="Microlensing",POWER(Upgrades!$U$19,K11),1)*IF(Upgrades!$T$20="Microlensing",POWER(Upgrades!$U$20,L11),1)*IF(Upgrades!$T$21="Microlensing",POWER(Upgrades!$U$21,M11),1))+(IF(H11=0,0,(Upgrades!$M$16+H11*Upgrades!$N$16)*POWER(Upgrades!$O$16,H11)))*(IF(Upgrades!$T$13="Roche Lobe Overflow",POWER(Upgrades!$U$13,E11),1)*IF(Upgrades!$T$14="Roche Lobe Overflow",POWER(Upgrades!$U$14,F11),1)*IF(Upgrades!$T$15="Roche Lobe Overflow",POWER(Upgrades!$U$15,G11),1)*IF(Upgrades!$T$17="Roche Lobe Overflow",POWER(Upgrades!$U$17,I11),1)*IF(Upgrades!$T$18="Roche Lobe Overflow",POWER(Upgrades!$U$18,J11),1)*IF(Upgrades!$T$19="Roche Lobe Overflow",POWER(Upgrades!$U$19,K11),1)*IF(Upgrades!$T$20="Roche Lobe Overflow",POWER(Upgrades!$U$20,L11),1)*IF(Upgrades!$T$21="Roche Lobe Overflow",POWER(Upgrades!$U$21,M11),1))+(IF(I11=0,0,(Upgrades!$M$17+I11*Upgrades!$N$17)*POWER(Upgrades!$O$17,I11)))*(IF(Upgrades!$T$13="Brown Dwarf",POWER(Upgrades!$U$13,E11),1)*IF(Upgrades!$T$14="Brown Dwarf",POWER(Upgrades!$U$14,F11),1)*IF(Upgrades!$T$15="Brown Dwarf",POWER(Upgrades!$U$15,G11),1)*IF(Upgrades!$T$16="Brown Dwarf",POWER(Upgrades!$U$16,H11),1)*IF(Upgrades!$T$18="Brown Dwarf",POWER(Upgrades!$U$18,J11),1)*IF(Upgrades!$T$19="Brown Dwarf",POWER(Upgrades!$U$19,K11),1)*IF(Upgrades!$T$20="Brown Dwarf",POWER(Upgrades!$U$20,L11),1)*IF(Upgrades!$T$21="Brown Dwarf",POWER(Upgrades!$U$21,M11),1))+(IF(J11=0,0,(Upgrades!$M$18+J11*Upgrades!$N$18)*POWER(Upgrades!$O$18,J11)))*(IF(Upgrades!$T$13="Binary Partner",POWER(Upgrades!$U$13,E11),1)*IF(Upgrades!$T$14="Binary Partner",POWER(Upgrades!$U$14,F11),1)*IF(Upgrades!$T$15="Binary Partner",POWER(Upgrades!$U$15,G11),1)*IF(Upgrades!$T$16="Binary Partner",POWER(Upgrades!$U$16,H11),1)*IF(Upgrades!$T$17="Binary Partner",POWER(Upgrades!$U$17,I11),1)*IF(Upgrades!$T$19="Binary Partner",POWER(Upgrades!$U$19,K11),1)*IF(Upgrades!$T$20="Binary Partner",POWER(Upgrades!$U$20,L11),1)*IF(Upgrades!$T$21="Binary Partner",POWER(Upgrades!$U$21,M11),1))+(IF(K11=0,0,(Upgrades!$M$19+K11*Upgrades!$N$19)*POWER(Upgrades!$O$19,K11)))*(IF(Upgrades!$T$13="Peculiar Velocity",POWER(Upgrades!$U$13,E11),1)*IF(Upgrades!$T$14="Peculiar Velocity",POWER(Upgrades!$U$14,F11),1)*IF(Upgrades!$T$15="Peculiar Velocity",POWER(Upgrades!$U$15,G11),1)*IF(Upgrades!$T$16="Peculiar Velocity",POWER(Upgrades!$U$16,H11),1)*IF(Upgrades!$T$17="Peculiar Velocity",POWER(Upgrades!$U$17,I11),1)*IF(Upgrades!$T$18="Peculiar Velocity",POWER(Upgrades!$U$18,J11),1)*IF(Upgrades!$T$20="Peculiar Velocity",POWER(Upgrades!$U$20,L11),1)*IF(Upgrades!$T$21="Peculiar Velocity",POWER(Upgrades!$U$21,M11),1))+(IF(L11=0,0,(Upgrades!$M$20+L11*Upgrades!$N$20)*POWER(Upgrades!$O$20,L11)))*(IF(Upgrades!$T$13="Open Cluster",POWER(Upgrades!$U$13,E11),1)*IF(Upgrades!$T$14="Open Cluster",POWER(Upgrades!$U$14,F11),1)*IF(Upgrades!$T$15="Open Cluster",POWER(Upgrades!$U$15,G11),1)*IF(Upgrades!$T$16="Open Cluster",POWER(Upgrades!$U$16,H11),1)*IF(Upgrades!$T$17="Open Cluster",POWER(Upgrades!$U$17,I11),1)*IF(Upgrades!$T$18="Open Cluster",POWER(Upgrades!$U$18,J11),1)*IF(Upgrades!$T$19="Open Cluster",POWER(Upgrades!$U$19,K11),1)*IF(Upgrades!$T$21="Open Cluster",POWER(Upgrades!$U$21,M11),1))+(IF(M11=0,0,(Upgrades!$M$21+M11*Upgrades!$N$21)*POWER(Upgrades!$O$21,M11)))*(IF(Upgrades!$T$13="Moving Group",POWER(Upgrades!$U$13,E11),1)*IF(Upgrades!$T$14="Moving Group",POWER(Upgrades!$U$14,F11),1)*IF(Upgrades!$T$15="Moving Group",POWER(Upgrades!$U$15,G11),1)*IF(Upgrades!$T$16="Moving Group",POWER(Upgrades!$U$16,H11),1)*IF(Upgrades!$T$17="Moving Group",POWER(Upgrades!$U$17,I11),1)*IF(Upgrades!$T$18="Moving Group",POWER(Upgrades!$U$18,J11),1)*IF(Upgrades!$T$19="Moving Group",POWER(Upgrades!$U$19,K11),1)*IF(Upgrades!$T$20="Moving Group",POWER(Upgrades!$U$20,L11),1)))*POWER(Upgrades!$R$13,E11)*POWER(Upgrades!$R$14,F11)*POWER(Upgrades!$R$15,G11)*POWER(Upgrades!$R$16,H11)*POWER(Upgrades!$R$17,I11)*POWER(Upgrades!$R$18,J11)*POWER(Upgrades!$R$19,K11)*POWER(Upgrades!$R$20,L11)*POWER(Upgrades!$R$21,M11)*$H$6+$E$6</f>
        <v/>
      </c>
      <c r="R11" s="27" t="n">
        <v>0</v>
      </c>
      <c r="S11" s="27" t="n">
        <v>0</v>
      </c>
      <c r="T11" s="27" t="n">
        <v>0</v>
      </c>
      <c r="U11" s="29" t="inlineStr"/>
      <c r="V11" s="22" t="n">
        <v>0</v>
      </c>
      <c r="W11" s="27" t="n">
        <v>0</v>
      </c>
      <c r="X11" s="22">
        <f>C11</f>
        <v/>
      </c>
      <c r="Y11" s="30">
        <f>O11*Parameters!$B$10/60*Parameters!$B$11+Q11*O11+P11</f>
        <v/>
      </c>
      <c r="Z11" s="31" t="inlineStr">
        <is>
          <t>T2 start (T1 carryover loaded)</t>
        </is>
      </c>
      <c r="AA11" s="27" t="n">
        <v>0</v>
      </c>
      <c r="AB11" s="27" t="n">
        <v>0</v>
      </c>
      <c r="AC11" s="27" t="n">
        <v>0</v>
      </c>
      <c r="AD11" s="27" t="n">
        <v>0</v>
      </c>
      <c r="AE11" s="27" t="n">
        <v>0</v>
      </c>
      <c r="AF11" s="27" t="n">
        <v>0</v>
      </c>
      <c r="AG11" s="27" t="n">
        <v>0</v>
      </c>
      <c r="AH11" s="27" t="n">
        <v>0</v>
      </c>
      <c r="AI11" s="27" t="n">
        <v>0</v>
      </c>
      <c r="AJ11" s="27">
        <f>$C$6*60</f>
        <v/>
      </c>
      <c r="AK11" s="22">
        <f>IF(E11&gt;=Upgrades!$E$13,"",Upgrades!$C$13*POWER(Upgrades!$D$13,E11))</f>
        <v/>
      </c>
      <c r="AL11" s="22">
        <f>IF(F11&gt;=Upgrades!$E$14,"",Upgrades!$C$14*POWER(Upgrades!$D$14,F11))</f>
        <v/>
      </c>
      <c r="AM11" s="22">
        <f>IF(G11&gt;=Upgrades!$E$15,"",Upgrades!$C$15*POWER(Upgrades!$D$15,G11))</f>
        <v/>
      </c>
      <c r="AN11" s="22">
        <f>IF(H11&gt;=Upgrades!$E$16,"",Upgrades!$C$16*POWER(Upgrades!$D$16,H11))</f>
        <v/>
      </c>
      <c r="AO11" s="22">
        <f>IF(I11&gt;=Upgrades!$E$17,"",Upgrades!$C$17*POWER(Upgrades!$D$17,I11))</f>
        <v/>
      </c>
      <c r="AP11" s="22">
        <f>IF(J11&gt;=Upgrades!$E$18,"",Upgrades!$C$18*POWER(Upgrades!$D$18,J11))</f>
        <v/>
      </c>
      <c r="AQ11" s="22">
        <f>IF(K11&gt;=Upgrades!$E$19,"",Upgrades!$C$19*POWER(Upgrades!$D$19,K11))</f>
        <v/>
      </c>
      <c r="AR11" s="22">
        <f>IF(L11&gt;=Upgrades!$E$20,"",Upgrades!$C$20*POWER(Upgrades!$D$20,L11))</f>
        <v/>
      </c>
      <c r="AS11" s="22">
        <f>IF(M11&gt;=Upgrades!$E$21,"",Upgrades!$C$21*POWER(Upgrades!$D$21,M11))</f>
        <v/>
      </c>
      <c r="AT11" s="26">
        <f>IF(AND(D11&gt;=Parameters!$B$18*Parameters!$B$19,(I11&gt;=Upgrades!$E$17)*(M11&gt;=Upgrades!$E$21)=1,N11=0),1,"")</f>
        <v/>
      </c>
      <c r="AU11" s="26">
        <f>IF(AND(D11&gt;=Parameters!$B$18*Parameters!$B$19,N11=0),1,"")</f>
        <v/>
      </c>
      <c r="AV11" s="22">
        <f>MIN(IF(ISNUMBER(AP11),AP11,9E15),IF(ISNUMBER(AQ11),AQ11,9E15),IF(ISNUMBER(AR11),AR11,9E15),IF(ISNUMBER(AS11),AS11,9E15))</f>
        <v/>
      </c>
      <c r="AW11" s="22">
        <f>MIN(IF(ISNUMBER(AK11),AK11,9E15),IF(ISNUMBER(AL11),AL11,9E15),IF(ISNUMBER(AM11),AM11,9E15),IF(ISNUMBER(AN11),AN11,9E15),IF(ISNUMBER(AO11),AO11,9E15))</f>
        <v/>
      </c>
      <c r="AX11" s="29">
        <f>FALSE</f>
        <v/>
      </c>
      <c r="AY11" s="32" t="n">
        <v>0</v>
      </c>
      <c r="AZ11" s="32" t="n">
        <v>0</v>
      </c>
      <c r="BA11" s="32" t="n">
        <v>0</v>
      </c>
      <c r="BB11" s="32" t="n">
        <v>0</v>
      </c>
      <c r="BC11" s="32" t="n">
        <v>0</v>
      </c>
      <c r="BD11" s="32" t="n">
        <v>0</v>
      </c>
      <c r="BE11" s="29" t="inlineStr"/>
    </row>
    <row r="12">
      <c r="A12" s="26" t="n">
        <v>1</v>
      </c>
      <c r="B12" s="27">
        <f>A12*10/60</f>
        <v/>
      </c>
      <c r="C12" s="22">
        <f>X11</f>
        <v/>
      </c>
      <c r="D12" s="27">
        <f>D11+W11</f>
        <v/>
      </c>
      <c r="E12" s="26">
        <f>E11+IF(U11="SK",1,0)</f>
        <v/>
      </c>
      <c r="F12" s="26">
        <f>F11+IF(U11="LB",1,0)</f>
        <v/>
      </c>
      <c r="G12" s="26">
        <f>G11+IF(U11="ML",1,0)</f>
        <v/>
      </c>
      <c r="H12" s="26">
        <f>H11+IF(U11="RLO",1,0)</f>
        <v/>
      </c>
      <c r="I12" s="26">
        <f>I11+IF(U11="BD",1,0)</f>
        <v/>
      </c>
      <c r="J12" s="26">
        <f>MAX(J11,IF(U11="BiP",1,0))</f>
        <v/>
      </c>
      <c r="K12" s="26">
        <f>MAX(K11,IF(U11="PV",1,0))</f>
        <v/>
      </c>
      <c r="L12" s="26">
        <f>MAX(L11,IF(U11="OC",1,0))</f>
        <v/>
      </c>
      <c r="M12" s="26">
        <f>MAX(M11,IF(U11="MG",1,0))</f>
        <v/>
      </c>
      <c r="N12" s="26">
        <f>MAX(N11,IF(U11="transition",1,0))</f>
        <v/>
      </c>
      <c r="O12" s="28">
        <f>(Parameters!$B$9+(IF(E12=0,0,(Upgrades!$J$13+E12*Upgrades!$K$13)*POWER(Upgrades!$L$13,E12)))*(IF(Upgrades!$T$14="Stellar Kinematics",POWER(Upgrades!$U$14,F12),1)*IF(Upgrades!$T$15="Stellar Kinematics",POWER(Upgrades!$U$15,G12),1)*IF(Upgrades!$T$16="Stellar Kinematics",POWER(Upgrades!$U$16,H12),1)*IF(Upgrades!$T$17="Stellar Kinematics",POWER(Upgrades!$U$17,I12),1)*IF(Upgrades!$T$18="Stellar Kinematics",POWER(Upgrades!$U$18,J12),1)*IF(Upgrades!$T$19="Stellar Kinematics",POWER(Upgrades!$U$19,K12),1)*IF(Upgrades!$T$20="Stellar Kinematics",POWER(Upgrades!$U$20,L12),1)*IF(Upgrades!$T$21="Stellar Kinematics",POWER(Upgrades!$U$21,M12),1))+(IF(F12=0,0,(Upgrades!$J$14+F12*Upgrades!$K$14)*POWER(Upgrades!$L$14,F12)))*(IF(Upgrades!$T$13="Local Bubble",POWER(Upgrades!$U$13,E12),1)*IF(Upgrades!$T$15="Local Bubble",POWER(Upgrades!$U$15,G12),1)*IF(Upgrades!$T$16="Local Bubble",POWER(Upgrades!$U$16,H12),1)*IF(Upgrades!$T$17="Local Bubble",POWER(Upgrades!$U$17,I12),1)*IF(Upgrades!$T$18="Local Bubble",POWER(Upgrades!$U$18,J12),1)*IF(Upgrades!$T$19="Local Bubble",POWER(Upgrades!$U$19,K12),1)*IF(Upgrades!$T$20="Local Bubble",POWER(Upgrades!$U$20,L12),1)*IF(Upgrades!$T$21="Local Bubble",POWER(Upgrades!$U$21,M12),1))+(IF(G12=0,0,(Upgrades!$J$15+G12*Upgrades!$K$15)*POWER(Upgrades!$L$15,G12)))*(IF(Upgrades!$T$13="Microlensing",POWER(Upgrades!$U$13,E12),1)*IF(Upgrades!$T$14="Microlensing",POWER(Upgrades!$U$14,F12),1)*IF(Upgrades!$T$16="Microlensing",POWER(Upgrades!$U$16,H12),1)*IF(Upgrades!$T$17="Microlensing",POWER(Upgrades!$U$17,I12),1)*IF(Upgrades!$T$18="Microlensing",POWER(Upgrades!$U$18,J12),1)*IF(Upgrades!$T$19="Microlensing",POWER(Upgrades!$U$19,K12),1)*IF(Upgrades!$T$20="Microlensing",POWER(Upgrades!$U$20,L12),1)*IF(Upgrades!$T$21="Microlensing",POWER(Upgrades!$U$21,M12),1))+(IF(H12=0,0,(Upgrades!$J$16+H12*Upgrades!$K$16)*POWER(Upgrades!$L$16,H12)))*(IF(Upgrades!$T$13="Roche Lobe Overflow",POWER(Upgrades!$U$13,E12),1)*IF(Upgrades!$T$14="Roche Lobe Overflow",POWER(Upgrades!$U$14,F12),1)*IF(Upgrades!$T$15="Roche Lobe Overflow",POWER(Upgrades!$U$15,G12),1)*IF(Upgrades!$T$17="Roche Lobe Overflow",POWER(Upgrades!$U$17,I12),1)*IF(Upgrades!$T$18="Roche Lobe Overflow",POWER(Upgrades!$U$18,J12),1)*IF(Upgrades!$T$19="Roche Lobe Overflow",POWER(Upgrades!$U$19,K12),1)*IF(Upgrades!$T$20="Roche Lobe Overflow",POWER(Upgrades!$U$20,L12),1)*IF(Upgrades!$T$21="Roche Lobe Overflow",POWER(Upgrades!$U$21,M12),1))+(IF(I12=0,0,(Upgrades!$J$17+I12*Upgrades!$K$17)*POWER(Upgrades!$L$17,I12)))*(IF(Upgrades!$T$13="Brown Dwarf",POWER(Upgrades!$U$13,E12),1)*IF(Upgrades!$T$14="Brown Dwarf",POWER(Upgrades!$U$14,F12),1)*IF(Upgrades!$T$15="Brown Dwarf",POWER(Upgrades!$U$15,G12),1)*IF(Upgrades!$T$16="Brown Dwarf",POWER(Upgrades!$U$16,H12),1)*IF(Upgrades!$T$18="Brown Dwarf",POWER(Upgrades!$U$18,J12),1)*IF(Upgrades!$T$19="Brown Dwarf",POWER(Upgrades!$U$19,K12),1)*IF(Upgrades!$T$20="Brown Dwarf",POWER(Upgrades!$U$20,L12),1)*IF(Upgrades!$T$21="Brown Dwarf",POWER(Upgrades!$U$21,M12),1))+(IF(J12=0,0,(Upgrades!$J$18+J12*Upgrades!$K$18)*POWER(Upgrades!$L$18,J12)))*(IF(Upgrades!$T$13="Binary Partner",POWER(Upgrades!$U$13,E12),1)*IF(Upgrades!$T$14="Binary Partner",POWER(Upgrades!$U$14,F12),1)*IF(Upgrades!$T$15="Binary Partner",POWER(Upgrades!$U$15,G12),1)*IF(Upgrades!$T$16="Binary Partner",POWER(Upgrades!$U$16,H12),1)*IF(Upgrades!$T$17="Binary Partner",POWER(Upgrades!$U$17,I12),1)*IF(Upgrades!$T$19="Binary Partner",POWER(Upgrades!$U$19,K12),1)*IF(Upgrades!$T$20="Binary Partner",POWER(Upgrades!$U$20,L12),1)*IF(Upgrades!$T$21="Binary Partner",POWER(Upgrades!$U$21,M12),1))+(IF(K12=0,0,(Upgrades!$J$19+K12*Upgrades!$K$19)*POWER(Upgrades!$L$19,K12)))*(IF(Upgrades!$T$13="Peculiar Velocity",POWER(Upgrades!$U$13,E12),1)*IF(Upgrades!$T$14="Peculiar Velocity",POWER(Upgrades!$U$14,F12),1)*IF(Upgrades!$T$15="Peculiar Velocity",POWER(Upgrades!$U$15,G12),1)*IF(Upgrades!$T$16="Peculiar Velocity",POWER(Upgrades!$U$16,H12),1)*IF(Upgrades!$T$17="Peculiar Velocity",POWER(Upgrades!$U$17,I12),1)*IF(Upgrades!$T$18="Peculiar Velocity",POWER(Upgrades!$U$18,J12),1)*IF(Upgrades!$T$20="Peculiar Velocity",POWER(Upgrades!$U$20,L12),1)*IF(Upgrades!$T$21="Peculiar Velocity",POWER(Upgrades!$U$21,M12),1))+(IF(L12=0,0,(Upgrades!$J$20+L12*Upgrades!$K$20)*POWER(Upgrades!$L$20,L12)))*(IF(Upgrades!$T$13="Open Cluster",POWER(Upgrades!$U$13,E12),1)*IF(Upgrades!$T$14="Open Cluster",POWER(Upgrades!$U$14,F12),1)*IF(Upgrades!$T$15="Open Cluster",POWER(Upgrades!$U$15,G12),1)*IF(Upgrades!$T$16="Open Cluster",POWER(Upgrades!$U$16,H12),1)*IF(Upgrades!$T$17="Open Cluster",POWER(Upgrades!$U$17,I12),1)*IF(Upgrades!$T$18="Open Cluster",POWER(Upgrades!$U$18,J12),1)*IF(Upgrades!$T$19="Open Cluster",POWER(Upgrades!$U$19,K12),1)*IF(Upgrades!$T$21="Open Cluster",POWER(Upgrades!$U$21,M12),1))+(IF(M12=0,0,(Upgrades!$J$21+M12*Upgrades!$K$21)*POWER(Upgrades!$L$21,M12)))*(IF(Upgrades!$T$13="Moving Group",POWER(Upgrades!$U$13,E12),1)*IF(Upgrades!$T$14="Moving Group",POWER(Upgrades!$U$14,F12),1)*IF(Upgrades!$T$15="Moving Group",POWER(Upgrades!$U$15,G12),1)*IF(Upgrades!$T$16="Moving Group",POWER(Upgrades!$U$16,H12),1)*IF(Upgrades!$T$17="Moving Group",POWER(Upgrades!$U$17,I12),1)*IF(Upgrades!$T$18="Moving Group",POWER(Upgrades!$U$18,J12),1)*IF(Upgrades!$T$19="Moving Group",POWER(Upgrades!$U$19,K12),1)*IF(Upgrades!$T$20="Moving Group",POWER(Upgrades!$U$20,L12),1)))*POWER(Upgrades!$Q$13,E12)*POWER(Upgrades!$Q$14,F12)*POWER(Upgrades!$Q$15,G12)*POWER(Upgrades!$Q$16,H12)*POWER(Upgrades!$Q$17,I12)*POWER(Upgrades!$Q$18,J12)*POWER(Upgrades!$Q$19,K12)*POWER(Upgrades!$Q$20,L12)*POWER(Upgrades!$Q$21,M12)*$G$6+$D$6</f>
        <v/>
      </c>
      <c r="P12" s="28">
        <f>((IF(E12=0,0,(Upgrades!$G$13+E12*Upgrades!$H$13)*POWER(Upgrades!$I$13,E12)))*(IF(Upgrades!$T$14="Stellar Kinematics",POWER(Upgrades!$U$14,F12),1)*IF(Upgrades!$T$15="Stellar Kinematics",POWER(Upgrades!$U$15,G12),1)*IF(Upgrades!$T$16="Stellar Kinematics",POWER(Upgrades!$U$16,H12),1)*IF(Upgrades!$T$17="Stellar Kinematics",POWER(Upgrades!$U$17,I12),1)*IF(Upgrades!$T$18="Stellar Kinematics",POWER(Upgrades!$U$18,J12),1)*IF(Upgrades!$T$19="Stellar Kinematics",POWER(Upgrades!$U$19,K12),1)*IF(Upgrades!$T$20="Stellar Kinematics",POWER(Upgrades!$U$20,L12),1)*IF(Upgrades!$T$21="Stellar Kinematics",POWER(Upgrades!$U$21,M12),1))+(IF(F12=0,0,(Upgrades!$G$14+F12*Upgrades!$H$14)*POWER(Upgrades!$I$14,F12)))*(IF(Upgrades!$T$13="Local Bubble",POWER(Upgrades!$U$13,E12),1)*IF(Upgrades!$T$15="Local Bubble",POWER(Upgrades!$U$15,G12),1)*IF(Upgrades!$T$16="Local Bubble",POWER(Upgrades!$U$16,H12),1)*IF(Upgrades!$T$17="Local Bubble",POWER(Upgrades!$U$17,I12),1)*IF(Upgrades!$T$18="Local Bubble",POWER(Upgrades!$U$18,J12),1)*IF(Upgrades!$T$19="Local Bubble",POWER(Upgrades!$U$19,K12),1)*IF(Upgrades!$T$20="Local Bubble",POWER(Upgrades!$U$20,L12),1)*IF(Upgrades!$T$21="Local Bubble",POWER(Upgrades!$U$21,M12),1))+(IF(G12=0,0,(Upgrades!$G$15+G12*Upgrades!$H$15)*POWER(Upgrades!$I$15,G12)))*(IF(Upgrades!$T$13="Microlensing",POWER(Upgrades!$U$13,E12),1)*IF(Upgrades!$T$14="Microlensing",POWER(Upgrades!$U$14,F12),1)*IF(Upgrades!$T$16="Microlensing",POWER(Upgrades!$U$16,H12),1)*IF(Upgrades!$T$17="Microlensing",POWER(Upgrades!$U$17,I12),1)*IF(Upgrades!$T$18="Microlensing",POWER(Upgrades!$U$18,J12),1)*IF(Upgrades!$T$19="Microlensing",POWER(Upgrades!$U$19,K12),1)*IF(Upgrades!$T$20="Microlensing",POWER(Upgrades!$U$20,L12),1)*IF(Upgrades!$T$21="Microlensing",POWER(Upgrades!$U$21,M12),1))+(IF(H12=0,0,(Upgrades!$G$16+H12*Upgrades!$H$16)*POWER(Upgrades!$I$16,H12)))*(IF(Upgrades!$T$13="Roche Lobe Overflow",POWER(Upgrades!$U$13,E12),1)*IF(Upgrades!$T$14="Roche Lobe Overflow",POWER(Upgrades!$U$14,F12),1)*IF(Upgrades!$T$15="Roche Lobe Overflow",POWER(Upgrades!$U$15,G12),1)*IF(Upgrades!$T$17="Roche Lobe Overflow",POWER(Upgrades!$U$17,I12),1)*IF(Upgrades!$T$18="Roche Lobe Overflow",POWER(Upgrades!$U$18,J12),1)*IF(Upgrades!$T$19="Roche Lobe Overflow",POWER(Upgrades!$U$19,K12),1)*IF(Upgrades!$T$20="Roche Lobe Overflow",POWER(Upgrades!$U$20,L12),1)*IF(Upgrades!$T$21="Roche Lobe Overflow",POWER(Upgrades!$U$21,M12),1))+(IF(I12=0,0,(Upgrades!$G$17+I12*Upgrades!$H$17)*POWER(Upgrades!$I$17,I12)))*(IF(Upgrades!$T$13="Brown Dwarf",POWER(Upgrades!$U$13,E12),1)*IF(Upgrades!$T$14="Brown Dwarf",POWER(Upgrades!$U$14,F12),1)*IF(Upgrades!$T$15="Brown Dwarf",POWER(Upgrades!$U$15,G12),1)*IF(Upgrades!$T$16="Brown Dwarf",POWER(Upgrades!$U$16,H12),1)*IF(Upgrades!$T$18="Brown Dwarf",POWER(Upgrades!$U$18,J12),1)*IF(Upgrades!$T$19="Brown Dwarf",POWER(Upgrades!$U$19,K12),1)*IF(Upgrades!$T$20="Brown Dwarf",POWER(Upgrades!$U$20,L12),1)*IF(Upgrades!$T$21="Brown Dwarf",POWER(Upgrades!$U$21,M12),1))+(IF(J12=0,0,(Upgrades!$G$18+J12*Upgrades!$H$18)*POWER(Upgrades!$I$18,J12)))*(IF(Upgrades!$T$13="Binary Partner",POWER(Upgrades!$U$13,E12),1)*IF(Upgrades!$T$14="Binary Partner",POWER(Upgrades!$U$14,F12),1)*IF(Upgrades!$T$15="Binary Partner",POWER(Upgrades!$U$15,G12),1)*IF(Upgrades!$T$16="Binary Partner",POWER(Upgrades!$U$16,H12),1)*IF(Upgrades!$T$17="Binary Partner",POWER(Upgrades!$U$17,I12),1)*IF(Upgrades!$T$19="Binary Partner",POWER(Upgrades!$U$19,K12),1)*IF(Upgrades!$T$20="Binary Partner",POWER(Upgrades!$U$20,L12),1)*IF(Upgrades!$T$21="Binary Partner",POWER(Upgrades!$U$21,M12),1))+(IF(K12=0,0,(Upgrades!$G$19+K12*Upgrades!$H$19)*POWER(Upgrades!$I$19,K12)))*(IF(Upgrades!$T$13="Peculiar Velocity",POWER(Upgrades!$U$13,E12),1)*IF(Upgrades!$T$14="Peculiar Velocity",POWER(Upgrades!$U$14,F12),1)*IF(Upgrades!$T$15="Peculiar Velocity",POWER(Upgrades!$U$15,G12),1)*IF(Upgrades!$T$16="Peculiar Velocity",POWER(Upgrades!$U$16,H12),1)*IF(Upgrades!$T$17="Peculiar Velocity",POWER(Upgrades!$U$17,I12),1)*IF(Upgrades!$T$18="Peculiar Velocity",POWER(Upgrades!$U$18,J12),1)*IF(Upgrades!$T$20="Peculiar Velocity",POWER(Upgrades!$U$20,L12),1)*IF(Upgrades!$T$21="Peculiar Velocity",POWER(Upgrades!$U$21,M12),1))+(IF(L12=0,0,(Upgrades!$G$20+L12*Upgrades!$H$20)*POWER(Upgrades!$I$20,L12)))*(IF(Upgrades!$T$13="Open Cluster",POWER(Upgrades!$U$13,E12),1)*IF(Upgrades!$T$14="Open Cluster",POWER(Upgrades!$U$14,F12),1)*IF(Upgrades!$T$15="Open Cluster",POWER(Upgrades!$U$15,G12),1)*IF(Upgrades!$T$16="Open Cluster",POWER(Upgrades!$U$16,H12),1)*IF(Upgrades!$T$17="Open Cluster",POWER(Upgrades!$U$17,I12),1)*IF(Upgrades!$T$18="Open Cluster",POWER(Upgrades!$U$18,J12),1)*IF(Upgrades!$T$19="Open Cluster",POWER(Upgrades!$U$19,K12),1)*IF(Upgrades!$T$21="Open Cluster",POWER(Upgrades!$U$21,M12),1))+(IF(M12=0,0,(Upgrades!$G$21+M12*Upgrades!$H$21)*POWER(Upgrades!$I$21,M12)))*(IF(Upgrades!$T$13="Moving Group",POWER(Upgrades!$U$13,E12),1)*IF(Upgrades!$T$14="Moving Group",POWER(Upgrades!$U$14,F12),1)*IF(Upgrades!$T$15="Moving Group",POWER(Upgrades!$U$15,G12),1)*IF(Upgrades!$T$16="Moving Group",POWER(Upgrades!$U$16,H12),1)*IF(Upgrades!$T$17="Moving Group",POWER(Upgrades!$U$17,I12),1)*IF(Upgrades!$T$18="Moving Group",POWER(Upgrades!$U$18,J12),1)*IF(Upgrades!$T$19="Moving Group",POWER(Upgrades!$U$19,K12),1)*IF(Upgrades!$T$20="Moving Group",POWER(Upgrades!$U$20,L12),1)))*POWER(Upgrades!$P$13,E12)*POWER(Upgrades!$P$14,F12)*POWER(Upgrades!$P$15,G12)*POWER(Upgrades!$P$16,H12)*POWER(Upgrades!$P$17,I12)*POWER(Upgrades!$P$18,J12)*POWER(Upgrades!$P$19,K12)*POWER(Upgrades!$P$20,L12)*POWER(Upgrades!$P$21,M12)*$F$6+$C$6</f>
        <v/>
      </c>
      <c r="Q12" s="28">
        <f>((IF(E12=0,0,(Upgrades!$M$13+E12*Upgrades!$N$13)*POWER(Upgrades!$O$13,E12)))*(IF(Upgrades!$T$14="Stellar Kinematics",POWER(Upgrades!$U$14,F12),1)*IF(Upgrades!$T$15="Stellar Kinematics",POWER(Upgrades!$U$15,G12),1)*IF(Upgrades!$T$16="Stellar Kinematics",POWER(Upgrades!$U$16,H12),1)*IF(Upgrades!$T$17="Stellar Kinematics",POWER(Upgrades!$U$17,I12),1)*IF(Upgrades!$T$18="Stellar Kinematics",POWER(Upgrades!$U$18,J12),1)*IF(Upgrades!$T$19="Stellar Kinematics",POWER(Upgrades!$U$19,K12),1)*IF(Upgrades!$T$20="Stellar Kinematics",POWER(Upgrades!$U$20,L12),1)*IF(Upgrades!$T$21="Stellar Kinematics",POWER(Upgrades!$U$21,M12),1))+(IF(F12=0,0,(Upgrades!$M$14+F12*Upgrades!$N$14)*POWER(Upgrades!$O$14,F12)))*(IF(Upgrades!$T$13="Local Bubble",POWER(Upgrades!$U$13,E12),1)*IF(Upgrades!$T$15="Local Bubble",POWER(Upgrades!$U$15,G12),1)*IF(Upgrades!$T$16="Local Bubble",POWER(Upgrades!$U$16,H12),1)*IF(Upgrades!$T$17="Local Bubble",POWER(Upgrades!$U$17,I12),1)*IF(Upgrades!$T$18="Local Bubble",POWER(Upgrades!$U$18,J12),1)*IF(Upgrades!$T$19="Local Bubble",POWER(Upgrades!$U$19,K12),1)*IF(Upgrades!$T$20="Local Bubble",POWER(Upgrades!$U$20,L12),1)*IF(Upgrades!$T$21="Local Bubble",POWER(Upgrades!$U$21,M12),1))+(IF(G12=0,0,(Upgrades!$M$15+G12*Upgrades!$N$15)*POWER(Upgrades!$O$15,G12)))*(IF(Upgrades!$T$13="Microlensing",POWER(Upgrades!$U$13,E12),1)*IF(Upgrades!$T$14="Microlensing",POWER(Upgrades!$U$14,F12),1)*IF(Upgrades!$T$16="Microlensing",POWER(Upgrades!$U$16,H12),1)*IF(Upgrades!$T$17="Microlensing",POWER(Upgrades!$U$17,I12),1)*IF(Upgrades!$T$18="Microlensing",POWER(Upgrades!$U$18,J12),1)*IF(Upgrades!$T$19="Microlensing",POWER(Upgrades!$U$19,K12),1)*IF(Upgrades!$T$20="Microlensing",POWER(Upgrades!$U$20,L12),1)*IF(Upgrades!$T$21="Microlensing",POWER(Upgrades!$U$21,M12),1))+(IF(H12=0,0,(Upgrades!$M$16+H12*Upgrades!$N$16)*POWER(Upgrades!$O$16,H12)))*(IF(Upgrades!$T$13="Roche Lobe Overflow",POWER(Upgrades!$U$13,E12),1)*IF(Upgrades!$T$14="Roche Lobe Overflow",POWER(Upgrades!$U$14,F12),1)*IF(Upgrades!$T$15="Roche Lobe Overflow",POWER(Upgrades!$U$15,G12),1)*IF(Upgrades!$T$17="Roche Lobe Overflow",POWER(Upgrades!$U$17,I12),1)*IF(Upgrades!$T$18="Roche Lobe Overflow",POWER(Upgrades!$U$18,J12),1)*IF(Upgrades!$T$19="Roche Lobe Overflow",POWER(Upgrades!$U$19,K12),1)*IF(Upgrades!$T$20="Roche Lobe Overflow",POWER(Upgrades!$U$20,L12),1)*IF(Upgrades!$T$21="Roche Lobe Overflow",POWER(Upgrades!$U$21,M12),1))+(IF(I12=0,0,(Upgrades!$M$17+I12*Upgrades!$N$17)*POWER(Upgrades!$O$17,I12)))*(IF(Upgrades!$T$13="Brown Dwarf",POWER(Upgrades!$U$13,E12),1)*IF(Upgrades!$T$14="Brown Dwarf",POWER(Upgrades!$U$14,F12),1)*IF(Upgrades!$T$15="Brown Dwarf",POWER(Upgrades!$U$15,G12),1)*IF(Upgrades!$T$16="Brown Dwarf",POWER(Upgrades!$U$16,H12),1)*IF(Upgrades!$T$18="Brown Dwarf",POWER(Upgrades!$U$18,J12),1)*IF(Upgrades!$T$19="Brown Dwarf",POWER(Upgrades!$U$19,K12),1)*IF(Upgrades!$T$20="Brown Dwarf",POWER(Upgrades!$U$20,L12),1)*IF(Upgrades!$T$21="Brown Dwarf",POWER(Upgrades!$U$21,M12),1))+(IF(J12=0,0,(Upgrades!$M$18+J12*Upgrades!$N$18)*POWER(Upgrades!$O$18,J12)))*(IF(Upgrades!$T$13="Binary Partner",POWER(Upgrades!$U$13,E12),1)*IF(Upgrades!$T$14="Binary Partner",POWER(Upgrades!$U$14,F12),1)*IF(Upgrades!$T$15="Binary Partner",POWER(Upgrades!$U$15,G12),1)*IF(Upgrades!$T$16="Binary Partner",POWER(Upgrades!$U$16,H12),1)*IF(Upgrades!$T$17="Binary Partner",POWER(Upgrades!$U$17,I12),1)*IF(Upgrades!$T$19="Binary Partner",POWER(Upgrades!$U$19,K12),1)*IF(Upgrades!$T$20="Binary Partner",POWER(Upgrades!$U$20,L12),1)*IF(Upgrades!$T$21="Binary Partner",POWER(Upgrades!$U$21,M12),1))+(IF(K12=0,0,(Upgrades!$M$19+K12*Upgrades!$N$19)*POWER(Upgrades!$O$19,K12)))*(IF(Upgrades!$T$13="Peculiar Velocity",POWER(Upgrades!$U$13,E12),1)*IF(Upgrades!$T$14="Peculiar Velocity",POWER(Upgrades!$U$14,F12),1)*IF(Upgrades!$T$15="Peculiar Velocity",POWER(Upgrades!$U$15,G12),1)*IF(Upgrades!$T$16="Peculiar Velocity",POWER(Upgrades!$U$16,H12),1)*IF(Upgrades!$T$17="Peculiar Velocity",POWER(Upgrades!$U$17,I12),1)*IF(Upgrades!$T$18="Peculiar Velocity",POWER(Upgrades!$U$18,J12),1)*IF(Upgrades!$T$20="Peculiar Velocity",POWER(Upgrades!$U$20,L12),1)*IF(Upgrades!$T$21="Peculiar Velocity",POWER(Upgrades!$U$21,M12),1))+(IF(L12=0,0,(Upgrades!$M$20+L12*Upgrades!$N$20)*POWER(Upgrades!$O$20,L12)))*(IF(Upgrades!$T$13="Open Cluster",POWER(Upgrades!$U$13,E12),1)*IF(Upgrades!$T$14="Open Cluster",POWER(Upgrades!$U$14,F12),1)*IF(Upgrades!$T$15="Open Cluster",POWER(Upgrades!$U$15,G12),1)*IF(Upgrades!$T$16="Open Cluster",POWER(Upgrades!$U$16,H12),1)*IF(Upgrades!$T$17="Open Cluster",POWER(Upgrades!$U$17,I12),1)*IF(Upgrades!$T$18="Open Cluster",POWER(Upgrades!$U$18,J12),1)*IF(Upgrades!$T$19="Open Cluster",POWER(Upgrades!$U$19,K12),1)*IF(Upgrades!$T$21="Open Cluster",POWER(Upgrades!$U$21,M12),1))+(IF(M12=0,0,(Upgrades!$M$21+M12*Upgrades!$N$21)*POWER(Upgrades!$O$21,M12)))*(IF(Upgrades!$T$13="Moving Group",POWER(Upgrades!$U$13,E12),1)*IF(Upgrades!$T$14="Moving Group",POWER(Upgrades!$U$14,F12),1)*IF(Upgrades!$T$15="Moving Group",POWER(Upgrades!$U$15,G12),1)*IF(Upgrades!$T$16="Moving Group",POWER(Upgrades!$U$16,H12),1)*IF(Upgrades!$T$17="Moving Group",POWER(Upgrades!$U$17,I12),1)*IF(Upgrades!$T$18="Moving Group",POWER(Upgrades!$U$18,J12),1)*IF(Upgrades!$T$19="Moving Group",POWER(Upgrades!$U$19,K12),1)*IF(Upgrades!$T$20="Moving Group",POWER(Upgrades!$U$20,L12),1)))*POWER(Upgrades!$R$13,E12)*POWER(Upgrades!$R$14,F12)*POWER(Upgrades!$R$15,G12)*POWER(Upgrades!$R$16,H12)*POWER(Upgrades!$R$17,I12)*POWER(Upgrades!$R$18,J12)*POWER(Upgrades!$R$19,K12)*POWER(Upgrades!$R$20,L12)*POWER(Upgrades!$R$21,M12)*$H$6+$E$6</f>
        <v/>
      </c>
      <c r="R12" s="27">
        <f>IF(N12=1,0,O12*Parameters!$B$10/60*Parameters!$B$11*10)</f>
        <v/>
      </c>
      <c r="S12" s="27">
        <f>IF(N12=1,0,Q12*O12*10)</f>
        <v/>
      </c>
      <c r="T12" s="27">
        <f>IF(N12=1,0,R12+S12+P12*10)</f>
        <v/>
      </c>
      <c r="U12" s="33">
        <f>BE12</f>
        <v/>
      </c>
      <c r="V12" s="22">
        <f>IF(U12="",0,IF(U12="transition",0,IF(U12="SK",AK12,IF(U12="LB",AL12,IF(U12="ML",AM12,IF(U12="RLO",AN12,IF(U12="BD",AO12,IF(U12="BiP",AP12,IF(U12="PV",AQ12,IF(U12="OC",AR12,IF(U12="MG",AS12,0))))))))))</f>
        <v/>
      </c>
      <c r="W12" s="27">
        <f>IF(U12="BiP",Upgrades!$F$18,IF(U12="PV",Upgrades!$F$19,IF(U12="OC",Upgrades!$F$20,IF(U12="MG",Upgrades!$F$21,IF(U12="transition",-Parameters!$B$18*Parameters!$B$19,0)))))</f>
        <v/>
      </c>
      <c r="X12" s="22">
        <f>C12+T12-V12</f>
        <v/>
      </c>
      <c r="Y12" s="30">
        <f>O12*Parameters!$B$10/60*Parameters!$B$11+Q12*O12+P12</f>
        <v/>
      </c>
      <c r="Z12" s="34">
        <f>IF(U12="transition","→ Tier 3 (Galactic Arm)",IF(U12="MG","Moving Group — pocket drifts together",IF(U12="OC","Open Cluster acquired",IF(U12="PV","Peculiar Velocity — passive multiplier active",IF(U12="BiP","Binary Partner — pair bond formed",IF(AND(AU12=1,N12=0,AT12&lt;&gt;1),"Cohesion ready (waiting on completionists)","")))))) </f>
        <v/>
      </c>
      <c r="AA12" s="27">
        <f>(IF(E12=0,0,(Upgrades!$G$13+E12*Upgrades!$H$13)*POWER(Upgrades!$I$13,E12)))*(IF(Upgrades!$T$14="Stellar Kinematics",POWER(Upgrades!$U$14,F12),1)*IF(Upgrades!$T$15="Stellar Kinematics",POWER(Upgrades!$U$15,G12),1)*IF(Upgrades!$T$16="Stellar Kinematics",POWER(Upgrades!$U$16,H12),1)*IF(Upgrades!$T$17="Stellar Kinematics",POWER(Upgrades!$U$17,I12),1)*IF(Upgrades!$T$18="Stellar Kinematics",POWER(Upgrades!$U$18,J12),1)*IF(Upgrades!$T$19="Stellar Kinematics",POWER(Upgrades!$U$19,K12),1)*IF(Upgrades!$T$20="Stellar Kinematics",POWER(Upgrades!$U$20,L12),1)*IF(Upgrades!$T$21="Stellar Kinematics",POWER(Upgrades!$U$21,M12),1))*POWER(Upgrades!$P$13,E12)*POWER(Upgrades!$P$14,F12)*POWER(Upgrades!$P$15,G12)*POWER(Upgrades!$P$16,H12)*POWER(Upgrades!$P$17,I12)*POWER(Upgrades!$P$18,J12)*POWER(Upgrades!$P$19,K12)*POWER(Upgrades!$P$20,L12)*POWER(Upgrades!$P$21,M12)*$F$6*60</f>
        <v/>
      </c>
      <c r="AB12" s="27">
        <f>(IF(F12=0,0,(Upgrades!$G$14+F12*Upgrades!$H$14)*POWER(Upgrades!$I$14,F12)))*(IF(Upgrades!$T$13="Local Bubble",POWER(Upgrades!$U$13,E12),1)*IF(Upgrades!$T$15="Local Bubble",POWER(Upgrades!$U$15,G12),1)*IF(Upgrades!$T$16="Local Bubble",POWER(Upgrades!$U$16,H12),1)*IF(Upgrades!$T$17="Local Bubble",POWER(Upgrades!$U$17,I12),1)*IF(Upgrades!$T$18="Local Bubble",POWER(Upgrades!$U$18,J12),1)*IF(Upgrades!$T$19="Local Bubble",POWER(Upgrades!$U$19,K12),1)*IF(Upgrades!$T$20="Local Bubble",POWER(Upgrades!$U$20,L12),1)*IF(Upgrades!$T$21="Local Bubble",POWER(Upgrades!$U$21,M12),1))*POWER(Upgrades!$P$13,E12)*POWER(Upgrades!$P$14,F12)*POWER(Upgrades!$P$15,G12)*POWER(Upgrades!$P$16,H12)*POWER(Upgrades!$P$17,I12)*POWER(Upgrades!$P$18,J12)*POWER(Upgrades!$P$19,K12)*POWER(Upgrades!$P$20,L12)*POWER(Upgrades!$P$21,M12)*$F$6*60</f>
        <v/>
      </c>
      <c r="AC12" s="27">
        <f>(IF(G12=0,0,(Upgrades!$J$15+G12*Upgrades!$K$15)*POWER(Upgrades!$L$15,G12)))*(IF(Upgrades!$T$13="Microlensing",POWER(Upgrades!$U$13,E12),1)*IF(Upgrades!$T$14="Microlensing",POWER(Upgrades!$U$14,F12),1)*IF(Upgrades!$T$16="Microlensing",POWER(Upgrades!$U$16,H12),1)*IF(Upgrades!$T$17="Microlensing",POWER(Upgrades!$U$17,I12),1)*IF(Upgrades!$T$18="Microlensing",POWER(Upgrades!$U$18,J12),1)*IF(Upgrades!$T$19="Microlensing",POWER(Upgrades!$U$19,K12),1)*IF(Upgrades!$T$20="Microlensing",POWER(Upgrades!$U$20,L12),1)*IF(Upgrades!$T$21="Microlensing",POWER(Upgrades!$U$21,M12),1))*POWER(Upgrades!$Q$13,E12)*POWER(Upgrades!$Q$14,F12)*POWER(Upgrades!$Q$15,G12)*POWER(Upgrades!$Q$16,H12)*POWER(Upgrades!$Q$17,I12)*POWER(Upgrades!$Q$18,J12)*POWER(Upgrades!$Q$19,K12)*POWER(Upgrades!$Q$20,L12)*POWER(Upgrades!$Q$21,M12)*$G$6*(Parameters!$B$10*Parameters!$B$11+Q12*60)</f>
        <v/>
      </c>
      <c r="AD12" s="27">
        <f>(IF(H12=0,0,(Upgrades!$M$16+H12*Upgrades!$N$16)*POWER(Upgrades!$O$16,H12)))*(IF(Upgrades!$T$13="Roche Lobe Overflow",POWER(Upgrades!$U$13,E12),1)*IF(Upgrades!$T$14="Roche Lobe Overflow",POWER(Upgrades!$U$14,F12),1)*IF(Upgrades!$T$15="Roche Lobe Overflow",POWER(Upgrades!$U$15,G12),1)*IF(Upgrades!$T$17="Roche Lobe Overflow",POWER(Upgrades!$U$17,I12),1)*IF(Upgrades!$T$18="Roche Lobe Overflow",POWER(Upgrades!$U$18,J12),1)*IF(Upgrades!$T$19="Roche Lobe Overflow",POWER(Upgrades!$U$19,K12),1)*IF(Upgrades!$T$20="Roche Lobe Overflow",POWER(Upgrades!$U$20,L12),1)*IF(Upgrades!$T$21="Roche Lobe Overflow",POWER(Upgrades!$U$21,M12),1))*POWER(Upgrades!$R$13,E12)*POWER(Upgrades!$R$14,F12)*POWER(Upgrades!$R$15,G12)*POWER(Upgrades!$R$16,H12)*POWER(Upgrades!$R$17,I12)*POWER(Upgrades!$R$18,J12)*POWER(Upgrades!$R$19,K12)*POWER(Upgrades!$R$20,L12)*POWER(Upgrades!$R$21,M12)*$H$6*O12*60</f>
        <v/>
      </c>
      <c r="AE12" s="27">
        <f>(IF(I12=0,0,(Upgrades!$G$17+I12*Upgrades!$H$17)*POWER(Upgrades!$I$17,I12)))*(IF(Upgrades!$T$13="Brown Dwarf",POWER(Upgrades!$U$13,E12),1)*IF(Upgrades!$T$14="Brown Dwarf",POWER(Upgrades!$U$14,F12),1)*IF(Upgrades!$T$15="Brown Dwarf",POWER(Upgrades!$U$15,G12),1)*IF(Upgrades!$T$16="Brown Dwarf",POWER(Upgrades!$U$16,H12),1)*IF(Upgrades!$T$18="Brown Dwarf",POWER(Upgrades!$U$18,J12),1)*IF(Upgrades!$T$19="Brown Dwarf",POWER(Upgrades!$U$19,K12),1)*IF(Upgrades!$T$20="Brown Dwarf",POWER(Upgrades!$U$20,L12),1)*IF(Upgrades!$T$21="Brown Dwarf",POWER(Upgrades!$U$21,M12),1))*POWER(Upgrades!$P$13,E12)*POWER(Upgrades!$P$14,F12)*POWER(Upgrades!$P$15,G12)*POWER(Upgrades!$P$16,H12)*POWER(Upgrades!$P$17,I12)*POWER(Upgrades!$P$18,J12)*POWER(Upgrades!$P$19,K12)*POWER(Upgrades!$P$20,L12)*POWER(Upgrades!$P$21,M12)*$F$6*60</f>
        <v/>
      </c>
      <c r="AF12" s="27" t="n">
        <v>0</v>
      </c>
      <c r="AG12" s="27" t="n">
        <v>0</v>
      </c>
      <c r="AH12" s="27" t="n">
        <v>0</v>
      </c>
      <c r="AI12" s="27">
        <f>(IF(M12=0,0,(Upgrades!$G$21+M12*Upgrades!$H$21)*POWER(Upgrades!$I$21,M12)))*(IF(Upgrades!$T$13="Moving Group",POWER(Upgrades!$U$13,E12),1)*IF(Upgrades!$T$14="Moving Group",POWER(Upgrades!$U$14,F12),1)*IF(Upgrades!$T$15="Moving Group",POWER(Upgrades!$U$15,G12),1)*IF(Upgrades!$T$16="Moving Group",POWER(Upgrades!$U$16,H12),1)*IF(Upgrades!$T$17="Moving Group",POWER(Upgrades!$U$17,I12),1)*IF(Upgrades!$T$18="Moving Group",POWER(Upgrades!$U$18,J12),1)*IF(Upgrades!$T$19="Moving Group",POWER(Upgrades!$U$19,K12),1)*IF(Upgrades!$T$20="Moving Group",POWER(Upgrades!$U$20,L12),1))*POWER(Upgrades!$P$13,E12)*POWER(Upgrades!$P$14,F12)*POWER(Upgrades!$P$15,G12)*POWER(Upgrades!$P$16,H12)*POWER(Upgrades!$P$17,I12)*POWER(Upgrades!$P$18,J12)*POWER(Upgrades!$P$19,K12)*POWER(Upgrades!$P$20,L12)*POWER(Upgrades!$P$21,M12)*$F$6*60</f>
        <v/>
      </c>
      <c r="AJ12" s="27">
        <f>$C$6*60</f>
        <v/>
      </c>
      <c r="AK12" s="22">
        <f>IF(E12&gt;=Upgrades!$E$13,"",Upgrades!$C$13*POWER(Upgrades!$D$13,E12))</f>
        <v/>
      </c>
      <c r="AL12" s="22">
        <f>IF(F12&gt;=Upgrades!$E$14,"",Upgrades!$C$14*POWER(Upgrades!$D$14,F12))</f>
        <v/>
      </c>
      <c r="AM12" s="22">
        <f>IF(G12&gt;=Upgrades!$E$15,"",Upgrades!$C$15*POWER(Upgrades!$D$15,G12))</f>
        <v/>
      </c>
      <c r="AN12" s="22">
        <f>IF(H12&gt;=Upgrades!$E$16,"",Upgrades!$C$16*POWER(Upgrades!$D$16,H12))</f>
        <v/>
      </c>
      <c r="AO12" s="22">
        <f>IF(I12&gt;=Upgrades!$E$17,"",Upgrades!$C$17*POWER(Upgrades!$D$17,I12))</f>
        <v/>
      </c>
      <c r="AP12" s="22">
        <f>IF(J12&gt;=Upgrades!$E$18,"",Upgrades!$C$18*POWER(Upgrades!$D$18,J12))</f>
        <v/>
      </c>
      <c r="AQ12" s="22">
        <f>IF(K12&gt;=Upgrades!$E$19,"",Upgrades!$C$19*POWER(Upgrades!$D$19,K12))</f>
        <v/>
      </c>
      <c r="AR12" s="22">
        <f>IF(L12&gt;=Upgrades!$E$20,"",Upgrades!$C$20*POWER(Upgrades!$D$20,L12))</f>
        <v/>
      </c>
      <c r="AS12" s="22">
        <f>IF(M12&gt;=Upgrades!$E$21,"",Upgrades!$C$21*POWER(Upgrades!$D$21,M12))</f>
        <v/>
      </c>
      <c r="AT12" s="26">
        <f>IF(AND(D12&gt;=Parameters!$B$18*Parameters!$B$19,(I12&gt;=Upgrades!$E$17)*(M12&gt;=Upgrades!$E$21)=1,N12=0),1,"")</f>
        <v/>
      </c>
      <c r="AU12" s="26">
        <f>IF(AND(D12&gt;=Parameters!$B$18*Parameters!$B$19,N12=0),1,"")</f>
        <v/>
      </c>
      <c r="AV12" s="22">
        <f>MIN(IF(ISNUMBER(AP12),AP12,9E15),IF(ISNUMBER(AQ12),AQ12,9E15),IF(ISNUMBER(AR12),AR12,9E15),IF(ISNUMBER(AS12),AS12,9E15))</f>
        <v/>
      </c>
      <c r="AW12" s="22">
        <f>MIN(IF(ISNUMBER(AK12),AK12,9E15),IF(ISNUMBER(AL12),AL12,9E15),IF(ISNUMBER(AM12),AM12,9E15),IF(ISNUMBER(AN12),AN12,9E15),IF(ISNUMBER(AO12),AO12,9E15))</f>
        <v/>
      </c>
      <c r="AX12" s="29">
        <f>IF(BD12&gt;Parameters!$B$21*(MAX(IF(AND(NOT(AND(AU12=1,AT12&lt;&gt;1)),ISNUMBER(AK12),AK12&lt;=(C12+T12)),AY12,0),IF(AND(NOT(AND(AU12=1,AT12&lt;&gt;1)),ISNUMBER(AL12),AL12&lt;=(C12+T12)),AZ12,0),IF(AND(NOT(AND(AU12=1,AT12&lt;&gt;1)),ISNUMBER(AM12),AM12&lt;=(C12+T12)),BA12,0),IF(AND(NOT(AND(AU12=1,AT12&lt;&gt;1)),ISNUMBER(AN12),AN12&lt;=(C12+T12)),BB12,0),IF(AND(ISNUMBER(AO12),AO12&lt;=(C12+T12)),BC12,0))),TRUE,FALSE)</f>
        <v/>
      </c>
      <c r="AY12" s="32">
        <f>IFERROR(Upgrades!$H$13*(POWER(Upgrades!$P$13,E12)*POWER(Upgrades!$P$14,F12)*POWER(Upgrades!$P$15,G12)*POWER(Upgrades!$P$16,H12)*POWER(Upgrades!$P$17,I12)*POWER(Upgrades!$P$18,J12)*POWER(Upgrades!$P$19,K12)*POWER(Upgrades!$P$20,L12)*POWER(Upgrades!$P$21,M12))*(IF(Upgrades!$T$14="Stellar Kinematics",POWER(Upgrades!$U$14,F12),1)*IF(Upgrades!$T$15="Stellar Kinematics",POWER(Upgrades!$U$15,G12),1)*IF(Upgrades!$T$16="Stellar Kinematics",POWER(Upgrades!$U$16,H12),1)*IF(Upgrades!$T$17="Stellar Kinematics",POWER(Upgrades!$U$17,I12),1)*IF(Upgrades!$T$18="Stellar Kinematics",POWER(Upgrades!$U$18,J12),1)*IF(Upgrades!$T$19="Stellar Kinematics",POWER(Upgrades!$U$19,K12),1)*IF(Upgrades!$T$20="Stellar Kinematics",POWER(Upgrades!$U$20,L12),1)*IF(Upgrades!$T$21="Stellar Kinematics",POWER(Upgrades!$U$21,M12),1))*$F$6/AK12,0)</f>
        <v/>
      </c>
      <c r="AZ12" s="32">
        <f>IFERROR(Upgrades!$H$14*(POWER(Upgrades!$P$13,E12)*POWER(Upgrades!$P$14,F12)*POWER(Upgrades!$P$15,G12)*POWER(Upgrades!$P$16,H12)*POWER(Upgrades!$P$17,I12)*POWER(Upgrades!$P$18,J12)*POWER(Upgrades!$P$19,K12)*POWER(Upgrades!$P$20,L12)*POWER(Upgrades!$P$21,M12))*(IF(Upgrades!$T$13="Local Bubble",POWER(Upgrades!$U$13,E12),1)*IF(Upgrades!$T$15="Local Bubble",POWER(Upgrades!$U$15,G12),1)*IF(Upgrades!$T$16="Local Bubble",POWER(Upgrades!$U$16,H12),1)*IF(Upgrades!$T$17="Local Bubble",POWER(Upgrades!$U$17,I12),1)*IF(Upgrades!$T$18="Local Bubble",POWER(Upgrades!$U$18,J12),1)*IF(Upgrades!$T$19="Local Bubble",POWER(Upgrades!$U$19,K12),1)*IF(Upgrades!$T$20="Local Bubble",POWER(Upgrades!$U$20,L12),1)*IF(Upgrades!$T$21="Local Bubble",POWER(Upgrades!$U$21,M12),1))*$F$6/AL12,0)</f>
        <v/>
      </c>
      <c r="BA12" s="32">
        <f>IFERROR(Upgrades!$K$15*(POWER(Upgrades!$Q$13,E12)*POWER(Upgrades!$Q$14,F12)*POWER(Upgrades!$Q$15,G12)*POWER(Upgrades!$Q$16,H12)*POWER(Upgrades!$Q$17,I12)*POWER(Upgrades!$Q$18,J12)*POWER(Upgrades!$Q$19,K12)*POWER(Upgrades!$Q$20,L12)*POWER(Upgrades!$Q$21,M12))*(IF(Upgrades!$T$13="Microlensing",POWER(Upgrades!$U$13,E12),1)*IF(Upgrades!$T$14="Microlensing",POWER(Upgrades!$U$14,F12),1)*IF(Upgrades!$T$16="Microlensing",POWER(Upgrades!$U$16,H12),1)*IF(Upgrades!$T$17="Microlensing",POWER(Upgrades!$U$17,I12),1)*IF(Upgrades!$T$18="Microlensing",POWER(Upgrades!$U$18,J12),1)*IF(Upgrades!$T$19="Microlensing",POWER(Upgrades!$U$19,K12),1)*IF(Upgrades!$T$20="Microlensing",POWER(Upgrades!$U$20,L12),1)*IF(Upgrades!$T$21="Microlensing",POWER(Upgrades!$U$21,M12),1))*$G$6*(Parameters!$B$10/60*Parameters!$B$11+Q12)/AM12,0)</f>
        <v/>
      </c>
      <c r="BB12" s="32">
        <f>IFERROR((Upgrades!$N$16*(POWER(Upgrades!$R$13,E12)*POWER(Upgrades!$R$14,F12)*POWER(Upgrades!$R$15,G12)*POWER(Upgrades!$R$16,H12)*POWER(Upgrades!$R$17,I12)*POWER(Upgrades!$R$18,J12)*POWER(Upgrades!$R$19,K12)*POWER(Upgrades!$R$20,L12)*POWER(Upgrades!$R$21,M12))*(IF(Upgrades!$T$13="Roche Lobe Overflow",POWER(Upgrades!$U$13,E12),1)*IF(Upgrades!$T$14="Roche Lobe Overflow",POWER(Upgrades!$U$14,F12),1)*IF(Upgrades!$T$15="Roche Lobe Overflow",POWER(Upgrades!$U$15,G12),1)*IF(Upgrades!$T$17="Roche Lobe Overflow",POWER(Upgrades!$U$17,I12),1)*IF(Upgrades!$T$18="Roche Lobe Overflow",POWER(Upgrades!$U$18,J12),1)*IF(Upgrades!$T$19="Roche Lobe Overflow",POWER(Upgrades!$U$19,K12),1)*IF(Upgrades!$T$20="Roche Lobe Overflow",POWER(Upgrades!$U$20,L12),1)*IF(Upgrades!$T$21="Roche Lobe Overflow",POWER(Upgrades!$U$21,M12),1))*$H$6*O12+((IF(F12=0,0,(Upgrades!$G$14+F12*Upgrades!$H$14)*POWER(Upgrades!$I$14,F12)))*(IF(Upgrades!$T$13="Local Bubble",POWER(Upgrades!$U$13,E12),1)*IF(Upgrades!$T$15="Local Bubble",POWER(Upgrades!$U$15,G12),1)*IF(Upgrades!$T$16="Local Bubble",POWER(Upgrades!$U$16,H12),1)*IF(Upgrades!$T$17="Local Bubble",POWER(Upgrades!$U$17,I12),1)*IF(Upgrades!$T$18="Local Bubble",POWER(Upgrades!$U$18,J12),1)*IF(Upgrades!$T$19="Local Bubble",POWER(Upgrades!$U$19,K12),1)*IF(Upgrades!$T$20="Local Bubble",POWER(Upgrades!$U$20,L12),1)*IF(Upgrades!$T$21="Local Bubble",POWER(Upgrades!$U$21,M12),1))*POWER(Upgrades!$P$13,E12)*POWER(Upgrades!$P$14,F12)*POWER(Upgrades!$P$15,G12)*POWER(Upgrades!$P$16,H12)*POWER(Upgrades!$P$17,I12)*POWER(Upgrades!$P$18,J12)*POWER(Upgrades!$P$19,K12)*POWER(Upgrades!$P$20,L12)*POWER(Upgrades!$P$21,M12)*$F$6)*0.05)/AN12,0)</f>
        <v/>
      </c>
      <c r="BC12" s="32">
        <f>IFERROR((Upgrades!$H$17*(POWER(Upgrades!$P$13,E12)*POWER(Upgrades!$P$14,F12)*POWER(Upgrades!$P$15,G12)*POWER(Upgrades!$P$16,H12)*POWER(Upgrades!$P$17,I12)*POWER(Upgrades!$P$18,J12)*POWER(Upgrades!$P$19,K12)*POWER(Upgrades!$P$20,L12)*POWER(Upgrades!$P$21,M12))*(IF(Upgrades!$T$13="Brown Dwarf",POWER(Upgrades!$U$13,E12),1)*IF(Upgrades!$T$14="Brown Dwarf",POWER(Upgrades!$U$14,F12),1)*IF(Upgrades!$T$15="Brown Dwarf",POWER(Upgrades!$U$15,G12),1)*IF(Upgrades!$T$16="Brown Dwarf",POWER(Upgrades!$U$16,H12),1)*IF(Upgrades!$T$18="Brown Dwarf",POWER(Upgrades!$U$18,J12),1)*IF(Upgrades!$T$19="Brown Dwarf",POWER(Upgrades!$U$19,K12),1)*IF(Upgrades!$T$20="Brown Dwarf",POWER(Upgrades!$U$20,L12),1)*IF(Upgrades!$T$21="Brown Dwarf",POWER(Upgrades!$U$21,M12),1))*$F$6+(((IF(H12=0,0,(Upgrades!$M$16+H12*Upgrades!$N$16)*POWER(Upgrades!$O$16,H12)))*(IF(Upgrades!$T$13="Roche Lobe Overflow",POWER(Upgrades!$U$13,E12),1)*IF(Upgrades!$T$14="Roche Lobe Overflow",POWER(Upgrades!$U$14,F12),1)*IF(Upgrades!$T$15="Roche Lobe Overflow",POWER(Upgrades!$U$15,G12),1)*IF(Upgrades!$T$17="Roche Lobe Overflow",POWER(Upgrades!$U$17,I12),1)*IF(Upgrades!$T$18="Roche Lobe Overflow",POWER(Upgrades!$U$18,J12),1)*IF(Upgrades!$T$19="Roche Lobe Overflow",POWER(Upgrades!$U$19,K12),1)*IF(Upgrades!$T$20="Roche Lobe Overflow",POWER(Upgrades!$U$20,L12),1)*IF(Upgrades!$T$21="Roche Lobe Overflow",POWER(Upgrades!$U$21,M12),1))*POWER(Upgrades!$R$13,E12)*POWER(Upgrades!$R$14,F12)*POWER(Upgrades!$R$15,G12)*POWER(Upgrades!$R$16,H12)*POWER(Upgrades!$R$17,I12)*POWER(Upgrades!$R$18,J12)*POWER(Upgrades!$R$19,K12)*POWER(Upgrades!$R$20,L12)*POWER(Upgrades!$R$21,M12)*$H$6)*O12)*0.10)/AO12,0)</f>
        <v/>
      </c>
      <c r="BD12" s="32">
        <f>MAX(IF(J12&gt;0,0,IFERROR(0.5*((IF(G12=0,0,(Upgrades!$J$15+G12*Upgrades!$K$15)*POWER(Upgrades!$L$15,G12)))*(IF(Upgrades!$T$13="Microlensing",POWER(Upgrades!$U$13,E12),1)*IF(Upgrades!$T$14="Microlensing",POWER(Upgrades!$U$14,F12),1)*IF(Upgrades!$T$16="Microlensing",POWER(Upgrades!$U$16,H12),1)*IF(Upgrades!$T$17="Microlensing",POWER(Upgrades!$U$17,I12),1)*IF(Upgrades!$T$18="Microlensing",POWER(Upgrades!$U$18,J12),1)*IF(Upgrades!$T$19="Microlensing",POWER(Upgrades!$U$19,K12),1)*IF(Upgrades!$T$20="Microlensing",POWER(Upgrades!$U$20,L12),1)*IF(Upgrades!$T$21="Microlensing",POWER(Upgrades!$U$21,M12),1))*(POWER(Upgrades!$Q$13,E12)*POWER(Upgrades!$Q$14,F12)*POWER(Upgrades!$Q$15,G12)*POWER(Upgrades!$Q$16,H12)*POWER(Upgrades!$Q$17,I12)*POWER(Upgrades!$Q$18,J12)*POWER(Upgrades!$Q$19,K12)*POWER(Upgrades!$Q$20,L12)*POWER(Upgrades!$Q$21,M12))*$G$6*(Parameters!$B$10/60*Parameters!$B$11+Q12))/Upgrades!$C$18,0)),IF(K12&gt;0,0,IFERROR(0.30*P12/Upgrades!$C$19,0)),IF(L12&gt;0,0,IFERROR(0.0001/Upgrades!$C$20,0)),IF(M12&gt;0,0,IFERROR((6.0*(POWER(Upgrades!$P$13,E12)*POWER(Upgrades!$P$14,F12)*POWER(Upgrades!$P$15,G12)*POWER(Upgrades!$P$16,H12)*POWER(Upgrades!$P$17,I12)*POWER(Upgrades!$P$18,J12)*POWER(Upgrades!$P$19,K12)*POWER(Upgrades!$P$20,L12)*POWER(Upgrades!$P$21,M12))*$F$6+0.20*O12*(Parameters!$B$10/60*Parameters!$B$11+Q12))/Upgrades!$C$21,0)),IF(AND(ISNUMBER(AK12),AK12&gt;(C12+T12)),AY12,0),IF(AND(ISNUMBER(AL12),AL12&gt;(C12+T12)),AZ12,0),IF(AND(ISNUMBER(AM12),AM12&gt;(C12+T12)),BA12,0),IF(AND(ISNUMBER(AN12),AN12&gt;(C12+T12)),BB12,0),IF(AND(ISNUMBER(AO12),AO12&gt;(C12+T12)),BC12,0))</f>
        <v/>
      </c>
      <c r="BE12" s="29">
        <f>IF(AT12=1,"transition",IF(MIN(IF(AND(J12=0,ISNUMBER(AP12),AP12&lt;=(C12+T12)),AP12,9E15),IF(AND(K12=0,ISNUMBER(AQ12),AQ12&lt;=(C12+T12)),AQ12,9E15),IF(AND(L12=0,ISNUMBER(AR12),AR12&lt;=(C12+T12)),AR12,9E15),IF(AND(M12=0,ISNUMBER(AS12),AS12&lt;=(C12+T12)),AS12,9E15))&lt;9E15,IF(AND(AND(J12=0,ISNUMBER(AP12),AP12&lt;=(C12+T12)),AP12=MIN(IF(AND(J12=0,ISNUMBER(AP12),AP12&lt;=(C12+T12)),AP12,9E15),IF(AND(K12=0,ISNUMBER(AQ12),AQ12&lt;=(C12+T12)),AQ12,9E15),IF(AND(L12=0,ISNUMBER(AR12),AR12&lt;=(C12+T12)),AR12,9E15),IF(AND(M12=0,ISNUMBER(AS12),AS12&lt;=(C12+T12)),AS12,9E15))),"BiP",IF(AND(AND(K12=0,ISNUMBER(AQ12),AQ12&lt;=(C12+T12)),AQ12=MIN(IF(AND(J12=0,ISNUMBER(AP12),AP12&lt;=(C12+T12)),AP12,9E15),IF(AND(K12=0,ISNUMBER(AQ12),AQ12&lt;=(C12+T12)),AQ12,9E15),IF(AND(L12=0,ISNUMBER(AR12),AR12&lt;=(C12+T12)),AR12,9E15),IF(AND(M12=0,ISNUMBER(AS12),AS12&lt;=(C12+T12)),AS12,9E15))),"PV",IF(AND(AND(L12=0,ISNUMBER(AR12),AR12&lt;=(C12+T12)),AR12=MIN(IF(AND(J12=0,ISNUMBER(AP12),AP12&lt;=(C12+T12)),AP12,9E15),IF(AND(K12=0,ISNUMBER(AQ12),AQ12&lt;=(C12+T12)),AQ12,9E15),IF(AND(L12=0,ISNUMBER(AR12),AR12&lt;=(C12+T12)),AR12,9E15),IF(AND(M12=0,ISNUMBER(AS12),AS12&lt;=(C12+T12)),AS12,9E15))),"OC","MG"))),IF(AX12=TRUE,"",IF(MAX(IF(AND(NOT(AND(AU12=1,AT12&lt;&gt;1)),ISNUMBER(AK12),AK12&lt;=(C12+T12)),AY12,0),IF(AND(NOT(AND(AU12=1,AT12&lt;&gt;1)),ISNUMBER(AL12),AL12&lt;=(C12+T12)),AZ12,0),IF(AND(NOT(AND(AU12=1,AT12&lt;&gt;1)),ISNUMBER(AM12),AM12&lt;=(C12+T12)),BA12,0),IF(AND(NOT(AND(AU12=1,AT12&lt;&gt;1)),ISNUMBER(AN12),AN12&lt;=(C12+T12)),BB12,0),IF(AND(ISNUMBER(AO12),AO12&lt;=(C12+T12)),BC12,0))&lt;=0,"",IF(AND(IF(AND(NOT(AND(AU12=1,AT12&lt;&gt;1)),ISNUMBER(AK12),AK12&lt;=(C12+T12)),AY12,0)&gt;0,IF(AND(NOT(AND(AU12=1,AT12&lt;&gt;1)),ISNUMBER(AK12),AK12&lt;=(C12+T12)),AY12,0)=MAX(IF(AND(NOT(AND(AU12=1,AT12&lt;&gt;1)),ISNUMBER(AK12),AK12&lt;=(C12+T12)),AY12,0),IF(AND(NOT(AND(AU12=1,AT12&lt;&gt;1)),ISNUMBER(AL12),AL12&lt;=(C12+T12)),AZ12,0),IF(AND(NOT(AND(AU12=1,AT12&lt;&gt;1)),ISNUMBER(AM12),AM12&lt;=(C12+T12)),BA12,0),IF(AND(NOT(AND(AU12=1,AT12&lt;&gt;1)),ISNUMBER(AN12),AN12&lt;=(C12+T12)),BB12,0),IF(AND(ISNUMBER(AO12),AO12&lt;=(C12+T12)),BC12,0))),"SK",IF(AND(IF(AND(NOT(AND(AU12=1,AT12&lt;&gt;1)),ISNUMBER(AL12),AL12&lt;=(C12+T12)),AZ12,0)&gt;0,IF(AND(NOT(AND(AU12=1,AT12&lt;&gt;1)),ISNUMBER(AL12),AL12&lt;=(C12+T12)),AZ12,0)=MAX(IF(AND(NOT(AND(AU12=1,AT12&lt;&gt;1)),ISNUMBER(AK12),AK12&lt;=(C12+T12)),AY12,0),IF(AND(NOT(AND(AU12=1,AT12&lt;&gt;1)),ISNUMBER(AL12),AL12&lt;=(C12+T12)),AZ12,0),IF(AND(NOT(AND(AU12=1,AT12&lt;&gt;1)),ISNUMBER(AM12),AM12&lt;=(C12+T12)),BA12,0),IF(AND(NOT(AND(AU12=1,AT12&lt;&gt;1)),ISNUMBER(AN12),AN12&lt;=(C12+T12)),BB12,0),IF(AND(ISNUMBER(AO12),AO12&lt;=(C12+T12)),BC12,0))),"LB",IF(AND(IF(AND(NOT(AND(AU12=1,AT12&lt;&gt;1)),ISNUMBER(AM12),AM12&lt;=(C12+T12)),BA12,0)&gt;0,IF(AND(NOT(AND(AU12=1,AT12&lt;&gt;1)),ISNUMBER(AM12),AM12&lt;=(C12+T12)),BA12,0)=MAX(IF(AND(NOT(AND(AU12=1,AT12&lt;&gt;1)),ISNUMBER(AK12),AK12&lt;=(C12+T12)),AY12,0),IF(AND(NOT(AND(AU12=1,AT12&lt;&gt;1)),ISNUMBER(AL12),AL12&lt;=(C12+T12)),AZ12,0),IF(AND(NOT(AND(AU12=1,AT12&lt;&gt;1)),ISNUMBER(AM12),AM12&lt;=(C12+T12)),BA12,0),IF(AND(NOT(AND(AU12=1,AT12&lt;&gt;1)),ISNUMBER(AN12),AN12&lt;=(C12+T12)),BB12,0),IF(AND(ISNUMBER(AO12),AO12&lt;=(C12+T12)),BC12,0))),"ML",IF(AND(IF(AND(NOT(AND(AU12=1,AT12&lt;&gt;1)),ISNUMBER(AN12),AN12&lt;=(C12+T12)),BB12,0)&gt;0,IF(AND(NOT(AND(AU12=1,AT12&lt;&gt;1)),ISNUMBER(AN12),AN12&lt;=(C12+T12)),BB12,0)=MAX(IF(AND(NOT(AND(AU12=1,AT12&lt;&gt;1)),ISNUMBER(AK12),AK12&lt;=(C12+T12)),AY12,0),IF(AND(NOT(AND(AU12=1,AT12&lt;&gt;1)),ISNUMBER(AL12),AL12&lt;=(C12+T12)),AZ12,0),IF(AND(NOT(AND(AU12=1,AT12&lt;&gt;1)),ISNUMBER(AM12),AM12&lt;=(C12+T12)),BA12,0),IF(AND(NOT(AND(AU12=1,AT12&lt;&gt;1)),ISNUMBER(AN12),AN12&lt;=(C12+T12)),BB12,0),IF(AND(ISNUMBER(AO12),AO12&lt;=(C12+T12)),BC12,0))),"RLO","BD"))))))))</f>
        <v/>
      </c>
    </row>
    <row r="13">
      <c r="A13" s="26" t="n">
        <v>2</v>
      </c>
      <c r="B13" s="27">
        <f>A13*10/60</f>
        <v/>
      </c>
      <c r="C13" s="22">
        <f>X12</f>
        <v/>
      </c>
      <c r="D13" s="27">
        <f>D12+W12</f>
        <v/>
      </c>
      <c r="E13" s="26">
        <f>E12+IF(U12="SK",1,0)</f>
        <v/>
      </c>
      <c r="F13" s="26">
        <f>F12+IF(U12="LB",1,0)</f>
        <v/>
      </c>
      <c r="G13" s="26">
        <f>G12+IF(U12="ML",1,0)</f>
        <v/>
      </c>
      <c r="H13" s="26">
        <f>H12+IF(U12="RLO",1,0)</f>
        <v/>
      </c>
      <c r="I13" s="26">
        <f>I12+IF(U12="BD",1,0)</f>
        <v/>
      </c>
      <c r="J13" s="26">
        <f>MAX(J12,IF(U12="BiP",1,0))</f>
        <v/>
      </c>
      <c r="K13" s="26">
        <f>MAX(K12,IF(U12="PV",1,0))</f>
        <v/>
      </c>
      <c r="L13" s="26">
        <f>MAX(L12,IF(U12="OC",1,0))</f>
        <v/>
      </c>
      <c r="M13" s="26">
        <f>MAX(M12,IF(U12="MG",1,0))</f>
        <v/>
      </c>
      <c r="N13" s="26">
        <f>MAX(N12,IF(U12="transition",1,0))</f>
        <v/>
      </c>
      <c r="O13" s="28">
        <f>(Parameters!$B$9+(IF(E13=0,0,(Upgrades!$J$13+E13*Upgrades!$K$13)*POWER(Upgrades!$L$13,E13)))*(IF(Upgrades!$T$14="Stellar Kinematics",POWER(Upgrades!$U$14,F13),1)*IF(Upgrades!$T$15="Stellar Kinematics",POWER(Upgrades!$U$15,G13),1)*IF(Upgrades!$T$16="Stellar Kinematics",POWER(Upgrades!$U$16,H13),1)*IF(Upgrades!$T$17="Stellar Kinematics",POWER(Upgrades!$U$17,I13),1)*IF(Upgrades!$T$18="Stellar Kinematics",POWER(Upgrades!$U$18,J13),1)*IF(Upgrades!$T$19="Stellar Kinematics",POWER(Upgrades!$U$19,K13),1)*IF(Upgrades!$T$20="Stellar Kinematics",POWER(Upgrades!$U$20,L13),1)*IF(Upgrades!$T$21="Stellar Kinematics",POWER(Upgrades!$U$21,M13),1))+(IF(F13=0,0,(Upgrades!$J$14+F13*Upgrades!$K$14)*POWER(Upgrades!$L$14,F13)))*(IF(Upgrades!$T$13="Local Bubble",POWER(Upgrades!$U$13,E13),1)*IF(Upgrades!$T$15="Local Bubble",POWER(Upgrades!$U$15,G13),1)*IF(Upgrades!$T$16="Local Bubble",POWER(Upgrades!$U$16,H13),1)*IF(Upgrades!$T$17="Local Bubble",POWER(Upgrades!$U$17,I13),1)*IF(Upgrades!$T$18="Local Bubble",POWER(Upgrades!$U$18,J13),1)*IF(Upgrades!$T$19="Local Bubble",POWER(Upgrades!$U$19,K13),1)*IF(Upgrades!$T$20="Local Bubble",POWER(Upgrades!$U$20,L13),1)*IF(Upgrades!$T$21="Local Bubble",POWER(Upgrades!$U$21,M13),1))+(IF(G13=0,0,(Upgrades!$J$15+G13*Upgrades!$K$15)*POWER(Upgrades!$L$15,G13)))*(IF(Upgrades!$T$13="Microlensing",POWER(Upgrades!$U$13,E13),1)*IF(Upgrades!$T$14="Microlensing",POWER(Upgrades!$U$14,F13),1)*IF(Upgrades!$T$16="Microlensing",POWER(Upgrades!$U$16,H13),1)*IF(Upgrades!$T$17="Microlensing",POWER(Upgrades!$U$17,I13),1)*IF(Upgrades!$T$18="Microlensing",POWER(Upgrades!$U$18,J13),1)*IF(Upgrades!$T$19="Microlensing",POWER(Upgrades!$U$19,K13),1)*IF(Upgrades!$T$20="Microlensing",POWER(Upgrades!$U$20,L13),1)*IF(Upgrades!$T$21="Microlensing",POWER(Upgrades!$U$21,M13),1))+(IF(H13=0,0,(Upgrades!$J$16+H13*Upgrades!$K$16)*POWER(Upgrades!$L$16,H13)))*(IF(Upgrades!$T$13="Roche Lobe Overflow",POWER(Upgrades!$U$13,E13),1)*IF(Upgrades!$T$14="Roche Lobe Overflow",POWER(Upgrades!$U$14,F13),1)*IF(Upgrades!$T$15="Roche Lobe Overflow",POWER(Upgrades!$U$15,G13),1)*IF(Upgrades!$T$17="Roche Lobe Overflow",POWER(Upgrades!$U$17,I13),1)*IF(Upgrades!$T$18="Roche Lobe Overflow",POWER(Upgrades!$U$18,J13),1)*IF(Upgrades!$T$19="Roche Lobe Overflow",POWER(Upgrades!$U$19,K13),1)*IF(Upgrades!$T$20="Roche Lobe Overflow",POWER(Upgrades!$U$20,L13),1)*IF(Upgrades!$T$21="Roche Lobe Overflow",POWER(Upgrades!$U$21,M13),1))+(IF(I13=0,0,(Upgrades!$J$17+I13*Upgrades!$K$17)*POWER(Upgrades!$L$17,I13)))*(IF(Upgrades!$T$13="Brown Dwarf",POWER(Upgrades!$U$13,E13),1)*IF(Upgrades!$T$14="Brown Dwarf",POWER(Upgrades!$U$14,F13),1)*IF(Upgrades!$T$15="Brown Dwarf",POWER(Upgrades!$U$15,G13),1)*IF(Upgrades!$T$16="Brown Dwarf",POWER(Upgrades!$U$16,H13),1)*IF(Upgrades!$T$18="Brown Dwarf",POWER(Upgrades!$U$18,J13),1)*IF(Upgrades!$T$19="Brown Dwarf",POWER(Upgrades!$U$19,K13),1)*IF(Upgrades!$T$20="Brown Dwarf",POWER(Upgrades!$U$20,L13),1)*IF(Upgrades!$T$21="Brown Dwarf",POWER(Upgrades!$U$21,M13),1))+(IF(J13=0,0,(Upgrades!$J$18+J13*Upgrades!$K$18)*POWER(Upgrades!$L$18,J13)))*(IF(Upgrades!$T$13="Binary Partner",POWER(Upgrades!$U$13,E13),1)*IF(Upgrades!$T$14="Binary Partner",POWER(Upgrades!$U$14,F13),1)*IF(Upgrades!$T$15="Binary Partner",POWER(Upgrades!$U$15,G13),1)*IF(Upgrades!$T$16="Binary Partner",POWER(Upgrades!$U$16,H13),1)*IF(Upgrades!$T$17="Binary Partner",POWER(Upgrades!$U$17,I13),1)*IF(Upgrades!$T$19="Binary Partner",POWER(Upgrades!$U$19,K13),1)*IF(Upgrades!$T$20="Binary Partner",POWER(Upgrades!$U$20,L13),1)*IF(Upgrades!$T$21="Binary Partner",POWER(Upgrades!$U$21,M13),1))+(IF(K13=0,0,(Upgrades!$J$19+K13*Upgrades!$K$19)*POWER(Upgrades!$L$19,K13)))*(IF(Upgrades!$T$13="Peculiar Velocity",POWER(Upgrades!$U$13,E13),1)*IF(Upgrades!$T$14="Peculiar Velocity",POWER(Upgrades!$U$14,F13),1)*IF(Upgrades!$T$15="Peculiar Velocity",POWER(Upgrades!$U$15,G13),1)*IF(Upgrades!$T$16="Peculiar Velocity",POWER(Upgrades!$U$16,H13),1)*IF(Upgrades!$T$17="Peculiar Velocity",POWER(Upgrades!$U$17,I13),1)*IF(Upgrades!$T$18="Peculiar Velocity",POWER(Upgrades!$U$18,J13),1)*IF(Upgrades!$T$20="Peculiar Velocity",POWER(Upgrades!$U$20,L13),1)*IF(Upgrades!$T$21="Peculiar Velocity",POWER(Upgrades!$U$21,M13),1))+(IF(L13=0,0,(Upgrades!$J$20+L13*Upgrades!$K$20)*POWER(Upgrades!$L$20,L13)))*(IF(Upgrades!$T$13="Open Cluster",POWER(Upgrades!$U$13,E13),1)*IF(Upgrades!$T$14="Open Cluster",POWER(Upgrades!$U$14,F13),1)*IF(Upgrades!$T$15="Open Cluster",POWER(Upgrades!$U$15,G13),1)*IF(Upgrades!$T$16="Open Cluster",POWER(Upgrades!$U$16,H13),1)*IF(Upgrades!$T$17="Open Cluster",POWER(Upgrades!$U$17,I13),1)*IF(Upgrades!$T$18="Open Cluster",POWER(Upgrades!$U$18,J13),1)*IF(Upgrades!$T$19="Open Cluster",POWER(Upgrades!$U$19,K13),1)*IF(Upgrades!$T$21="Open Cluster",POWER(Upgrades!$U$21,M13),1))+(IF(M13=0,0,(Upgrades!$J$21+M13*Upgrades!$K$21)*POWER(Upgrades!$L$21,M13)))*(IF(Upgrades!$T$13="Moving Group",POWER(Upgrades!$U$13,E13),1)*IF(Upgrades!$T$14="Moving Group",POWER(Upgrades!$U$14,F13),1)*IF(Upgrades!$T$15="Moving Group",POWER(Upgrades!$U$15,G13),1)*IF(Upgrades!$T$16="Moving Group",POWER(Upgrades!$U$16,H13),1)*IF(Upgrades!$T$17="Moving Group",POWER(Upgrades!$U$17,I13),1)*IF(Upgrades!$T$18="Moving Group",POWER(Upgrades!$U$18,J13),1)*IF(Upgrades!$T$19="Moving Group",POWER(Upgrades!$U$19,K13),1)*IF(Upgrades!$T$20="Moving Group",POWER(Upgrades!$U$20,L13),1)))*POWER(Upgrades!$Q$13,E13)*POWER(Upgrades!$Q$14,F13)*POWER(Upgrades!$Q$15,G13)*POWER(Upgrades!$Q$16,H13)*POWER(Upgrades!$Q$17,I13)*POWER(Upgrades!$Q$18,J13)*POWER(Upgrades!$Q$19,K13)*POWER(Upgrades!$Q$20,L13)*POWER(Upgrades!$Q$21,M13)*$G$6+$D$6</f>
        <v/>
      </c>
      <c r="P13" s="28">
        <f>((IF(E13=0,0,(Upgrades!$G$13+E13*Upgrades!$H$13)*POWER(Upgrades!$I$13,E13)))*(IF(Upgrades!$T$14="Stellar Kinematics",POWER(Upgrades!$U$14,F13),1)*IF(Upgrades!$T$15="Stellar Kinematics",POWER(Upgrades!$U$15,G13),1)*IF(Upgrades!$T$16="Stellar Kinematics",POWER(Upgrades!$U$16,H13),1)*IF(Upgrades!$T$17="Stellar Kinematics",POWER(Upgrades!$U$17,I13),1)*IF(Upgrades!$T$18="Stellar Kinematics",POWER(Upgrades!$U$18,J13),1)*IF(Upgrades!$T$19="Stellar Kinematics",POWER(Upgrades!$U$19,K13),1)*IF(Upgrades!$T$20="Stellar Kinematics",POWER(Upgrades!$U$20,L13),1)*IF(Upgrades!$T$21="Stellar Kinematics",POWER(Upgrades!$U$21,M13),1))+(IF(F13=0,0,(Upgrades!$G$14+F13*Upgrades!$H$14)*POWER(Upgrades!$I$14,F13)))*(IF(Upgrades!$T$13="Local Bubble",POWER(Upgrades!$U$13,E13),1)*IF(Upgrades!$T$15="Local Bubble",POWER(Upgrades!$U$15,G13),1)*IF(Upgrades!$T$16="Local Bubble",POWER(Upgrades!$U$16,H13),1)*IF(Upgrades!$T$17="Local Bubble",POWER(Upgrades!$U$17,I13),1)*IF(Upgrades!$T$18="Local Bubble",POWER(Upgrades!$U$18,J13),1)*IF(Upgrades!$T$19="Local Bubble",POWER(Upgrades!$U$19,K13),1)*IF(Upgrades!$T$20="Local Bubble",POWER(Upgrades!$U$20,L13),1)*IF(Upgrades!$T$21="Local Bubble",POWER(Upgrades!$U$21,M13),1))+(IF(G13=0,0,(Upgrades!$G$15+G13*Upgrades!$H$15)*POWER(Upgrades!$I$15,G13)))*(IF(Upgrades!$T$13="Microlensing",POWER(Upgrades!$U$13,E13),1)*IF(Upgrades!$T$14="Microlensing",POWER(Upgrades!$U$14,F13),1)*IF(Upgrades!$T$16="Microlensing",POWER(Upgrades!$U$16,H13),1)*IF(Upgrades!$T$17="Microlensing",POWER(Upgrades!$U$17,I13),1)*IF(Upgrades!$T$18="Microlensing",POWER(Upgrades!$U$18,J13),1)*IF(Upgrades!$T$19="Microlensing",POWER(Upgrades!$U$19,K13),1)*IF(Upgrades!$T$20="Microlensing",POWER(Upgrades!$U$20,L13),1)*IF(Upgrades!$T$21="Microlensing",POWER(Upgrades!$U$21,M13),1))+(IF(H13=0,0,(Upgrades!$G$16+H13*Upgrades!$H$16)*POWER(Upgrades!$I$16,H13)))*(IF(Upgrades!$T$13="Roche Lobe Overflow",POWER(Upgrades!$U$13,E13),1)*IF(Upgrades!$T$14="Roche Lobe Overflow",POWER(Upgrades!$U$14,F13),1)*IF(Upgrades!$T$15="Roche Lobe Overflow",POWER(Upgrades!$U$15,G13),1)*IF(Upgrades!$T$17="Roche Lobe Overflow",POWER(Upgrades!$U$17,I13),1)*IF(Upgrades!$T$18="Roche Lobe Overflow",POWER(Upgrades!$U$18,J13),1)*IF(Upgrades!$T$19="Roche Lobe Overflow",POWER(Upgrades!$U$19,K13),1)*IF(Upgrades!$T$20="Roche Lobe Overflow",POWER(Upgrades!$U$20,L13),1)*IF(Upgrades!$T$21="Roche Lobe Overflow",POWER(Upgrades!$U$21,M13),1))+(IF(I13=0,0,(Upgrades!$G$17+I13*Upgrades!$H$17)*POWER(Upgrades!$I$17,I13)))*(IF(Upgrades!$T$13="Brown Dwarf",POWER(Upgrades!$U$13,E13),1)*IF(Upgrades!$T$14="Brown Dwarf",POWER(Upgrades!$U$14,F13),1)*IF(Upgrades!$T$15="Brown Dwarf",POWER(Upgrades!$U$15,G13),1)*IF(Upgrades!$T$16="Brown Dwarf",POWER(Upgrades!$U$16,H13),1)*IF(Upgrades!$T$18="Brown Dwarf",POWER(Upgrades!$U$18,J13),1)*IF(Upgrades!$T$19="Brown Dwarf",POWER(Upgrades!$U$19,K13),1)*IF(Upgrades!$T$20="Brown Dwarf",POWER(Upgrades!$U$20,L13),1)*IF(Upgrades!$T$21="Brown Dwarf",POWER(Upgrades!$U$21,M13),1))+(IF(J13=0,0,(Upgrades!$G$18+J13*Upgrades!$H$18)*POWER(Upgrades!$I$18,J13)))*(IF(Upgrades!$T$13="Binary Partner",POWER(Upgrades!$U$13,E13),1)*IF(Upgrades!$T$14="Binary Partner",POWER(Upgrades!$U$14,F13),1)*IF(Upgrades!$T$15="Binary Partner",POWER(Upgrades!$U$15,G13),1)*IF(Upgrades!$T$16="Binary Partner",POWER(Upgrades!$U$16,H13),1)*IF(Upgrades!$T$17="Binary Partner",POWER(Upgrades!$U$17,I13),1)*IF(Upgrades!$T$19="Binary Partner",POWER(Upgrades!$U$19,K13),1)*IF(Upgrades!$T$20="Binary Partner",POWER(Upgrades!$U$20,L13),1)*IF(Upgrades!$T$21="Binary Partner",POWER(Upgrades!$U$21,M13),1))+(IF(K13=0,0,(Upgrades!$G$19+K13*Upgrades!$H$19)*POWER(Upgrades!$I$19,K13)))*(IF(Upgrades!$T$13="Peculiar Velocity",POWER(Upgrades!$U$13,E13),1)*IF(Upgrades!$T$14="Peculiar Velocity",POWER(Upgrades!$U$14,F13),1)*IF(Upgrades!$T$15="Peculiar Velocity",POWER(Upgrades!$U$15,G13),1)*IF(Upgrades!$T$16="Peculiar Velocity",POWER(Upgrades!$U$16,H13),1)*IF(Upgrades!$T$17="Peculiar Velocity",POWER(Upgrades!$U$17,I13),1)*IF(Upgrades!$T$18="Peculiar Velocity",POWER(Upgrades!$U$18,J13),1)*IF(Upgrades!$T$20="Peculiar Velocity",POWER(Upgrades!$U$20,L13),1)*IF(Upgrades!$T$21="Peculiar Velocity",POWER(Upgrades!$U$21,M13),1))+(IF(L13=0,0,(Upgrades!$G$20+L13*Upgrades!$H$20)*POWER(Upgrades!$I$20,L13)))*(IF(Upgrades!$T$13="Open Cluster",POWER(Upgrades!$U$13,E13),1)*IF(Upgrades!$T$14="Open Cluster",POWER(Upgrades!$U$14,F13),1)*IF(Upgrades!$T$15="Open Cluster",POWER(Upgrades!$U$15,G13),1)*IF(Upgrades!$T$16="Open Cluster",POWER(Upgrades!$U$16,H13),1)*IF(Upgrades!$T$17="Open Cluster",POWER(Upgrades!$U$17,I13),1)*IF(Upgrades!$T$18="Open Cluster",POWER(Upgrades!$U$18,J13),1)*IF(Upgrades!$T$19="Open Cluster",POWER(Upgrades!$U$19,K13),1)*IF(Upgrades!$T$21="Open Cluster",POWER(Upgrades!$U$21,M13),1))+(IF(M13=0,0,(Upgrades!$G$21+M13*Upgrades!$H$21)*POWER(Upgrades!$I$21,M13)))*(IF(Upgrades!$T$13="Moving Group",POWER(Upgrades!$U$13,E13),1)*IF(Upgrades!$T$14="Moving Group",POWER(Upgrades!$U$14,F13),1)*IF(Upgrades!$T$15="Moving Group",POWER(Upgrades!$U$15,G13),1)*IF(Upgrades!$T$16="Moving Group",POWER(Upgrades!$U$16,H13),1)*IF(Upgrades!$T$17="Moving Group",POWER(Upgrades!$U$17,I13),1)*IF(Upgrades!$T$18="Moving Group",POWER(Upgrades!$U$18,J13),1)*IF(Upgrades!$T$19="Moving Group",POWER(Upgrades!$U$19,K13),1)*IF(Upgrades!$T$20="Moving Group",POWER(Upgrades!$U$20,L13),1)))*POWER(Upgrades!$P$13,E13)*POWER(Upgrades!$P$14,F13)*POWER(Upgrades!$P$15,G13)*POWER(Upgrades!$P$16,H13)*POWER(Upgrades!$P$17,I13)*POWER(Upgrades!$P$18,J13)*POWER(Upgrades!$P$19,K13)*POWER(Upgrades!$P$20,L13)*POWER(Upgrades!$P$21,M13)*$F$6+$C$6</f>
        <v/>
      </c>
      <c r="Q13" s="28">
        <f>((IF(E13=0,0,(Upgrades!$M$13+E13*Upgrades!$N$13)*POWER(Upgrades!$O$13,E13)))*(IF(Upgrades!$T$14="Stellar Kinematics",POWER(Upgrades!$U$14,F13),1)*IF(Upgrades!$T$15="Stellar Kinematics",POWER(Upgrades!$U$15,G13),1)*IF(Upgrades!$T$16="Stellar Kinematics",POWER(Upgrades!$U$16,H13),1)*IF(Upgrades!$T$17="Stellar Kinematics",POWER(Upgrades!$U$17,I13),1)*IF(Upgrades!$T$18="Stellar Kinematics",POWER(Upgrades!$U$18,J13),1)*IF(Upgrades!$T$19="Stellar Kinematics",POWER(Upgrades!$U$19,K13),1)*IF(Upgrades!$T$20="Stellar Kinematics",POWER(Upgrades!$U$20,L13),1)*IF(Upgrades!$T$21="Stellar Kinematics",POWER(Upgrades!$U$21,M13),1))+(IF(F13=0,0,(Upgrades!$M$14+F13*Upgrades!$N$14)*POWER(Upgrades!$O$14,F13)))*(IF(Upgrades!$T$13="Local Bubble",POWER(Upgrades!$U$13,E13),1)*IF(Upgrades!$T$15="Local Bubble",POWER(Upgrades!$U$15,G13),1)*IF(Upgrades!$T$16="Local Bubble",POWER(Upgrades!$U$16,H13),1)*IF(Upgrades!$T$17="Local Bubble",POWER(Upgrades!$U$17,I13),1)*IF(Upgrades!$T$18="Local Bubble",POWER(Upgrades!$U$18,J13),1)*IF(Upgrades!$T$19="Local Bubble",POWER(Upgrades!$U$19,K13),1)*IF(Upgrades!$T$20="Local Bubble",POWER(Upgrades!$U$20,L13),1)*IF(Upgrades!$T$21="Local Bubble",POWER(Upgrades!$U$21,M13),1))+(IF(G13=0,0,(Upgrades!$M$15+G13*Upgrades!$N$15)*POWER(Upgrades!$O$15,G13)))*(IF(Upgrades!$T$13="Microlensing",POWER(Upgrades!$U$13,E13),1)*IF(Upgrades!$T$14="Microlensing",POWER(Upgrades!$U$14,F13),1)*IF(Upgrades!$T$16="Microlensing",POWER(Upgrades!$U$16,H13),1)*IF(Upgrades!$T$17="Microlensing",POWER(Upgrades!$U$17,I13),1)*IF(Upgrades!$T$18="Microlensing",POWER(Upgrades!$U$18,J13),1)*IF(Upgrades!$T$19="Microlensing",POWER(Upgrades!$U$19,K13),1)*IF(Upgrades!$T$20="Microlensing",POWER(Upgrades!$U$20,L13),1)*IF(Upgrades!$T$21="Microlensing",POWER(Upgrades!$U$21,M13),1))+(IF(H13=0,0,(Upgrades!$M$16+H13*Upgrades!$N$16)*POWER(Upgrades!$O$16,H13)))*(IF(Upgrades!$T$13="Roche Lobe Overflow",POWER(Upgrades!$U$13,E13),1)*IF(Upgrades!$T$14="Roche Lobe Overflow",POWER(Upgrades!$U$14,F13),1)*IF(Upgrades!$T$15="Roche Lobe Overflow",POWER(Upgrades!$U$15,G13),1)*IF(Upgrades!$T$17="Roche Lobe Overflow",POWER(Upgrades!$U$17,I13),1)*IF(Upgrades!$T$18="Roche Lobe Overflow",POWER(Upgrades!$U$18,J13),1)*IF(Upgrades!$T$19="Roche Lobe Overflow",POWER(Upgrades!$U$19,K13),1)*IF(Upgrades!$T$20="Roche Lobe Overflow",POWER(Upgrades!$U$20,L13),1)*IF(Upgrades!$T$21="Roche Lobe Overflow",POWER(Upgrades!$U$21,M13),1))+(IF(I13=0,0,(Upgrades!$M$17+I13*Upgrades!$N$17)*POWER(Upgrades!$O$17,I13)))*(IF(Upgrades!$T$13="Brown Dwarf",POWER(Upgrades!$U$13,E13),1)*IF(Upgrades!$T$14="Brown Dwarf",POWER(Upgrades!$U$14,F13),1)*IF(Upgrades!$T$15="Brown Dwarf",POWER(Upgrades!$U$15,G13),1)*IF(Upgrades!$T$16="Brown Dwarf",POWER(Upgrades!$U$16,H13),1)*IF(Upgrades!$T$18="Brown Dwarf",POWER(Upgrades!$U$18,J13),1)*IF(Upgrades!$T$19="Brown Dwarf",POWER(Upgrades!$U$19,K13),1)*IF(Upgrades!$T$20="Brown Dwarf",POWER(Upgrades!$U$20,L13),1)*IF(Upgrades!$T$21="Brown Dwarf",POWER(Upgrades!$U$21,M13),1))+(IF(J13=0,0,(Upgrades!$M$18+J13*Upgrades!$N$18)*POWER(Upgrades!$O$18,J13)))*(IF(Upgrades!$T$13="Binary Partner",POWER(Upgrades!$U$13,E13),1)*IF(Upgrades!$T$14="Binary Partner",POWER(Upgrades!$U$14,F13),1)*IF(Upgrades!$T$15="Binary Partner",POWER(Upgrades!$U$15,G13),1)*IF(Upgrades!$T$16="Binary Partner",POWER(Upgrades!$U$16,H13),1)*IF(Upgrades!$T$17="Binary Partner",POWER(Upgrades!$U$17,I13),1)*IF(Upgrades!$T$19="Binary Partner",POWER(Upgrades!$U$19,K13),1)*IF(Upgrades!$T$20="Binary Partner",POWER(Upgrades!$U$20,L13),1)*IF(Upgrades!$T$21="Binary Partner",POWER(Upgrades!$U$21,M13),1))+(IF(K13=0,0,(Upgrades!$M$19+K13*Upgrades!$N$19)*POWER(Upgrades!$O$19,K13)))*(IF(Upgrades!$T$13="Peculiar Velocity",POWER(Upgrades!$U$13,E13),1)*IF(Upgrades!$T$14="Peculiar Velocity",POWER(Upgrades!$U$14,F13),1)*IF(Upgrades!$T$15="Peculiar Velocity",POWER(Upgrades!$U$15,G13),1)*IF(Upgrades!$T$16="Peculiar Velocity",POWER(Upgrades!$U$16,H13),1)*IF(Upgrades!$T$17="Peculiar Velocity",POWER(Upgrades!$U$17,I13),1)*IF(Upgrades!$T$18="Peculiar Velocity",POWER(Upgrades!$U$18,J13),1)*IF(Upgrades!$T$20="Peculiar Velocity",POWER(Upgrades!$U$20,L13),1)*IF(Upgrades!$T$21="Peculiar Velocity",POWER(Upgrades!$U$21,M13),1))+(IF(L13=0,0,(Upgrades!$M$20+L13*Upgrades!$N$20)*POWER(Upgrades!$O$20,L13)))*(IF(Upgrades!$T$13="Open Cluster",POWER(Upgrades!$U$13,E13),1)*IF(Upgrades!$T$14="Open Cluster",POWER(Upgrades!$U$14,F13),1)*IF(Upgrades!$T$15="Open Cluster",POWER(Upgrades!$U$15,G13),1)*IF(Upgrades!$T$16="Open Cluster",POWER(Upgrades!$U$16,H13),1)*IF(Upgrades!$T$17="Open Cluster",POWER(Upgrades!$U$17,I13),1)*IF(Upgrades!$T$18="Open Cluster",POWER(Upgrades!$U$18,J13),1)*IF(Upgrades!$T$19="Open Cluster",POWER(Upgrades!$U$19,K13),1)*IF(Upgrades!$T$21="Open Cluster",POWER(Upgrades!$U$21,M13),1))+(IF(M13=0,0,(Upgrades!$M$21+M13*Upgrades!$N$21)*POWER(Upgrades!$O$21,M13)))*(IF(Upgrades!$T$13="Moving Group",POWER(Upgrades!$U$13,E13),1)*IF(Upgrades!$T$14="Moving Group",POWER(Upgrades!$U$14,F13),1)*IF(Upgrades!$T$15="Moving Group",POWER(Upgrades!$U$15,G13),1)*IF(Upgrades!$T$16="Moving Group",POWER(Upgrades!$U$16,H13),1)*IF(Upgrades!$T$17="Moving Group",POWER(Upgrades!$U$17,I13),1)*IF(Upgrades!$T$18="Moving Group",POWER(Upgrades!$U$18,J13),1)*IF(Upgrades!$T$19="Moving Group",POWER(Upgrades!$U$19,K13),1)*IF(Upgrades!$T$20="Moving Group",POWER(Upgrades!$U$20,L13),1)))*POWER(Upgrades!$R$13,E13)*POWER(Upgrades!$R$14,F13)*POWER(Upgrades!$R$15,G13)*POWER(Upgrades!$R$16,H13)*POWER(Upgrades!$R$17,I13)*POWER(Upgrades!$R$18,J13)*POWER(Upgrades!$R$19,K13)*POWER(Upgrades!$R$20,L13)*POWER(Upgrades!$R$21,M13)*$H$6+$E$6</f>
        <v/>
      </c>
      <c r="R13" s="27">
        <f>IF(N13=1,0,O13*Parameters!$B$10/60*Parameters!$B$11*10)</f>
        <v/>
      </c>
      <c r="S13" s="27">
        <f>IF(N13=1,0,Q13*O13*10)</f>
        <v/>
      </c>
      <c r="T13" s="27">
        <f>IF(N13=1,0,R13+S13+P13*10)</f>
        <v/>
      </c>
      <c r="U13" s="33">
        <f>BE13</f>
        <v/>
      </c>
      <c r="V13" s="22">
        <f>IF(U13="",0,IF(U13="transition",0,IF(U13="SK",AK13,IF(U13="LB",AL13,IF(U13="ML",AM13,IF(U13="RLO",AN13,IF(U13="BD",AO13,IF(U13="BiP",AP13,IF(U13="PV",AQ13,IF(U13="OC",AR13,IF(U13="MG",AS13,0))))))))))</f>
        <v/>
      </c>
      <c r="W13" s="27">
        <f>IF(U13="BiP",Upgrades!$F$18,IF(U13="PV",Upgrades!$F$19,IF(U13="OC",Upgrades!$F$20,IF(U13="MG",Upgrades!$F$21,IF(U13="transition",-Parameters!$B$18*Parameters!$B$19,0)))))</f>
        <v/>
      </c>
      <c r="X13" s="22">
        <f>C13+T13-V13</f>
        <v/>
      </c>
      <c r="Y13" s="30">
        <f>O13*Parameters!$B$10/60*Parameters!$B$11+Q13*O13+P13</f>
        <v/>
      </c>
      <c r="Z13" s="34">
        <f>IF(U13="transition","→ Tier 3 (Galactic Arm)",IF(U13="MG","Moving Group — pocket drifts together",IF(U13="OC","Open Cluster acquired",IF(U13="PV","Peculiar Velocity — passive multiplier active",IF(U13="BiP","Binary Partner — pair bond formed",IF(AND(AU13=1,N13=0,AT13&lt;&gt;1),"Cohesion ready (waiting on completionists)","")))))) </f>
        <v/>
      </c>
      <c r="AA13" s="27">
        <f>(IF(E13=0,0,(Upgrades!$G$13+E13*Upgrades!$H$13)*POWER(Upgrades!$I$13,E13)))*(IF(Upgrades!$T$14="Stellar Kinematics",POWER(Upgrades!$U$14,F13),1)*IF(Upgrades!$T$15="Stellar Kinematics",POWER(Upgrades!$U$15,G13),1)*IF(Upgrades!$T$16="Stellar Kinematics",POWER(Upgrades!$U$16,H13),1)*IF(Upgrades!$T$17="Stellar Kinematics",POWER(Upgrades!$U$17,I13),1)*IF(Upgrades!$T$18="Stellar Kinematics",POWER(Upgrades!$U$18,J13),1)*IF(Upgrades!$T$19="Stellar Kinematics",POWER(Upgrades!$U$19,K13),1)*IF(Upgrades!$T$20="Stellar Kinematics",POWER(Upgrades!$U$20,L13),1)*IF(Upgrades!$T$21="Stellar Kinematics",POWER(Upgrades!$U$21,M13),1))*POWER(Upgrades!$P$13,E13)*POWER(Upgrades!$P$14,F13)*POWER(Upgrades!$P$15,G13)*POWER(Upgrades!$P$16,H13)*POWER(Upgrades!$P$17,I13)*POWER(Upgrades!$P$18,J13)*POWER(Upgrades!$P$19,K13)*POWER(Upgrades!$P$20,L13)*POWER(Upgrades!$P$21,M13)*$F$6*60</f>
        <v/>
      </c>
      <c r="AB13" s="27">
        <f>(IF(F13=0,0,(Upgrades!$G$14+F13*Upgrades!$H$14)*POWER(Upgrades!$I$14,F13)))*(IF(Upgrades!$T$13="Local Bubble",POWER(Upgrades!$U$13,E13),1)*IF(Upgrades!$T$15="Local Bubble",POWER(Upgrades!$U$15,G13),1)*IF(Upgrades!$T$16="Local Bubble",POWER(Upgrades!$U$16,H13),1)*IF(Upgrades!$T$17="Local Bubble",POWER(Upgrades!$U$17,I13),1)*IF(Upgrades!$T$18="Local Bubble",POWER(Upgrades!$U$18,J13),1)*IF(Upgrades!$T$19="Local Bubble",POWER(Upgrades!$U$19,K13),1)*IF(Upgrades!$T$20="Local Bubble",POWER(Upgrades!$U$20,L13),1)*IF(Upgrades!$T$21="Local Bubble",POWER(Upgrades!$U$21,M13),1))*POWER(Upgrades!$P$13,E13)*POWER(Upgrades!$P$14,F13)*POWER(Upgrades!$P$15,G13)*POWER(Upgrades!$P$16,H13)*POWER(Upgrades!$P$17,I13)*POWER(Upgrades!$P$18,J13)*POWER(Upgrades!$P$19,K13)*POWER(Upgrades!$P$20,L13)*POWER(Upgrades!$P$21,M13)*$F$6*60</f>
        <v/>
      </c>
      <c r="AC13" s="27">
        <f>(IF(G13=0,0,(Upgrades!$J$15+G13*Upgrades!$K$15)*POWER(Upgrades!$L$15,G13)))*(IF(Upgrades!$T$13="Microlensing",POWER(Upgrades!$U$13,E13),1)*IF(Upgrades!$T$14="Microlensing",POWER(Upgrades!$U$14,F13),1)*IF(Upgrades!$T$16="Microlensing",POWER(Upgrades!$U$16,H13),1)*IF(Upgrades!$T$17="Microlensing",POWER(Upgrades!$U$17,I13),1)*IF(Upgrades!$T$18="Microlensing",POWER(Upgrades!$U$18,J13),1)*IF(Upgrades!$T$19="Microlensing",POWER(Upgrades!$U$19,K13),1)*IF(Upgrades!$T$20="Microlensing",POWER(Upgrades!$U$20,L13),1)*IF(Upgrades!$T$21="Microlensing",POWER(Upgrades!$U$21,M13),1))*POWER(Upgrades!$Q$13,E13)*POWER(Upgrades!$Q$14,F13)*POWER(Upgrades!$Q$15,G13)*POWER(Upgrades!$Q$16,H13)*POWER(Upgrades!$Q$17,I13)*POWER(Upgrades!$Q$18,J13)*POWER(Upgrades!$Q$19,K13)*POWER(Upgrades!$Q$20,L13)*POWER(Upgrades!$Q$21,M13)*$G$6*(Parameters!$B$10*Parameters!$B$11+Q13*60)</f>
        <v/>
      </c>
      <c r="AD13" s="27">
        <f>(IF(H13=0,0,(Upgrades!$M$16+H13*Upgrades!$N$16)*POWER(Upgrades!$O$16,H13)))*(IF(Upgrades!$T$13="Roche Lobe Overflow",POWER(Upgrades!$U$13,E13),1)*IF(Upgrades!$T$14="Roche Lobe Overflow",POWER(Upgrades!$U$14,F13),1)*IF(Upgrades!$T$15="Roche Lobe Overflow",POWER(Upgrades!$U$15,G13),1)*IF(Upgrades!$T$17="Roche Lobe Overflow",POWER(Upgrades!$U$17,I13),1)*IF(Upgrades!$T$18="Roche Lobe Overflow",POWER(Upgrades!$U$18,J13),1)*IF(Upgrades!$T$19="Roche Lobe Overflow",POWER(Upgrades!$U$19,K13),1)*IF(Upgrades!$T$20="Roche Lobe Overflow",POWER(Upgrades!$U$20,L13),1)*IF(Upgrades!$T$21="Roche Lobe Overflow",POWER(Upgrades!$U$21,M13),1))*POWER(Upgrades!$R$13,E13)*POWER(Upgrades!$R$14,F13)*POWER(Upgrades!$R$15,G13)*POWER(Upgrades!$R$16,H13)*POWER(Upgrades!$R$17,I13)*POWER(Upgrades!$R$18,J13)*POWER(Upgrades!$R$19,K13)*POWER(Upgrades!$R$20,L13)*POWER(Upgrades!$R$21,M13)*$H$6*O13*60</f>
        <v/>
      </c>
      <c r="AE13" s="27">
        <f>(IF(I13=0,0,(Upgrades!$G$17+I13*Upgrades!$H$17)*POWER(Upgrades!$I$17,I13)))*(IF(Upgrades!$T$13="Brown Dwarf",POWER(Upgrades!$U$13,E13),1)*IF(Upgrades!$T$14="Brown Dwarf",POWER(Upgrades!$U$14,F13),1)*IF(Upgrades!$T$15="Brown Dwarf",POWER(Upgrades!$U$15,G13),1)*IF(Upgrades!$T$16="Brown Dwarf",POWER(Upgrades!$U$16,H13),1)*IF(Upgrades!$T$18="Brown Dwarf",POWER(Upgrades!$U$18,J13),1)*IF(Upgrades!$T$19="Brown Dwarf",POWER(Upgrades!$U$19,K13),1)*IF(Upgrades!$T$20="Brown Dwarf",POWER(Upgrades!$U$20,L13),1)*IF(Upgrades!$T$21="Brown Dwarf",POWER(Upgrades!$U$21,M13),1))*POWER(Upgrades!$P$13,E13)*POWER(Upgrades!$P$14,F13)*POWER(Upgrades!$P$15,G13)*POWER(Upgrades!$P$16,H13)*POWER(Upgrades!$P$17,I13)*POWER(Upgrades!$P$18,J13)*POWER(Upgrades!$P$19,K13)*POWER(Upgrades!$P$20,L13)*POWER(Upgrades!$P$21,M13)*$F$6*60</f>
        <v/>
      </c>
      <c r="AF13" s="27" t="n">
        <v>0</v>
      </c>
      <c r="AG13" s="27" t="n">
        <v>0</v>
      </c>
      <c r="AH13" s="27" t="n">
        <v>0</v>
      </c>
      <c r="AI13" s="27">
        <f>(IF(M13=0,0,(Upgrades!$G$21+M13*Upgrades!$H$21)*POWER(Upgrades!$I$21,M13)))*(IF(Upgrades!$T$13="Moving Group",POWER(Upgrades!$U$13,E13),1)*IF(Upgrades!$T$14="Moving Group",POWER(Upgrades!$U$14,F13),1)*IF(Upgrades!$T$15="Moving Group",POWER(Upgrades!$U$15,G13),1)*IF(Upgrades!$T$16="Moving Group",POWER(Upgrades!$U$16,H13),1)*IF(Upgrades!$T$17="Moving Group",POWER(Upgrades!$U$17,I13),1)*IF(Upgrades!$T$18="Moving Group",POWER(Upgrades!$U$18,J13),1)*IF(Upgrades!$T$19="Moving Group",POWER(Upgrades!$U$19,K13),1)*IF(Upgrades!$T$20="Moving Group",POWER(Upgrades!$U$20,L13),1))*POWER(Upgrades!$P$13,E13)*POWER(Upgrades!$P$14,F13)*POWER(Upgrades!$P$15,G13)*POWER(Upgrades!$P$16,H13)*POWER(Upgrades!$P$17,I13)*POWER(Upgrades!$P$18,J13)*POWER(Upgrades!$P$19,K13)*POWER(Upgrades!$P$20,L13)*POWER(Upgrades!$P$21,M13)*$F$6*60</f>
        <v/>
      </c>
      <c r="AJ13" s="27">
        <f>$C$6*60</f>
        <v/>
      </c>
      <c r="AK13" s="22">
        <f>IF(E13&gt;=Upgrades!$E$13,"",Upgrades!$C$13*POWER(Upgrades!$D$13,E13))</f>
        <v/>
      </c>
      <c r="AL13" s="22">
        <f>IF(F13&gt;=Upgrades!$E$14,"",Upgrades!$C$14*POWER(Upgrades!$D$14,F13))</f>
        <v/>
      </c>
      <c r="AM13" s="22">
        <f>IF(G13&gt;=Upgrades!$E$15,"",Upgrades!$C$15*POWER(Upgrades!$D$15,G13))</f>
        <v/>
      </c>
      <c r="AN13" s="22">
        <f>IF(H13&gt;=Upgrades!$E$16,"",Upgrades!$C$16*POWER(Upgrades!$D$16,H13))</f>
        <v/>
      </c>
      <c r="AO13" s="22">
        <f>IF(I13&gt;=Upgrades!$E$17,"",Upgrades!$C$17*POWER(Upgrades!$D$17,I13))</f>
        <v/>
      </c>
      <c r="AP13" s="22">
        <f>IF(J13&gt;=Upgrades!$E$18,"",Upgrades!$C$18*POWER(Upgrades!$D$18,J13))</f>
        <v/>
      </c>
      <c r="AQ13" s="22">
        <f>IF(K13&gt;=Upgrades!$E$19,"",Upgrades!$C$19*POWER(Upgrades!$D$19,K13))</f>
        <v/>
      </c>
      <c r="AR13" s="22">
        <f>IF(L13&gt;=Upgrades!$E$20,"",Upgrades!$C$20*POWER(Upgrades!$D$20,L13))</f>
        <v/>
      </c>
      <c r="AS13" s="22">
        <f>IF(M13&gt;=Upgrades!$E$21,"",Upgrades!$C$21*POWER(Upgrades!$D$21,M13))</f>
        <v/>
      </c>
      <c r="AT13" s="26">
        <f>IF(AND(D13&gt;=Parameters!$B$18*Parameters!$B$19,(I13&gt;=Upgrades!$E$17)*(M13&gt;=Upgrades!$E$21)=1,N13=0),1,"")</f>
        <v/>
      </c>
      <c r="AU13" s="26">
        <f>IF(AND(D13&gt;=Parameters!$B$18*Parameters!$B$19,N13=0),1,"")</f>
        <v/>
      </c>
      <c r="AV13" s="22">
        <f>MIN(IF(ISNUMBER(AP13),AP13,9E15),IF(ISNUMBER(AQ13),AQ13,9E15),IF(ISNUMBER(AR13),AR13,9E15),IF(ISNUMBER(AS13),AS13,9E15))</f>
        <v/>
      </c>
      <c r="AW13" s="22">
        <f>MIN(IF(ISNUMBER(AK13),AK13,9E15),IF(ISNUMBER(AL13),AL13,9E15),IF(ISNUMBER(AM13),AM13,9E15),IF(ISNUMBER(AN13),AN13,9E15),IF(ISNUMBER(AO13),AO13,9E15))</f>
        <v/>
      </c>
      <c r="AX13" s="29">
        <f>IF(BD13&gt;Parameters!$B$21*(MAX(IF(AND(NOT(AND(AU13=1,AT13&lt;&gt;1)),ISNUMBER(AK13),AK13&lt;=(C13+T13)),AY13,0),IF(AND(NOT(AND(AU13=1,AT13&lt;&gt;1)),ISNUMBER(AL13),AL13&lt;=(C13+T13)),AZ13,0),IF(AND(NOT(AND(AU13=1,AT13&lt;&gt;1)),ISNUMBER(AM13),AM13&lt;=(C13+T13)),BA13,0),IF(AND(NOT(AND(AU13=1,AT13&lt;&gt;1)),ISNUMBER(AN13),AN13&lt;=(C13+T13)),BB13,0),IF(AND(ISNUMBER(AO13),AO13&lt;=(C13+T13)),BC13,0))),TRUE,FALSE)</f>
        <v/>
      </c>
      <c r="AY13" s="32">
        <f>IFERROR(Upgrades!$H$13*(POWER(Upgrades!$P$13,E13)*POWER(Upgrades!$P$14,F13)*POWER(Upgrades!$P$15,G13)*POWER(Upgrades!$P$16,H13)*POWER(Upgrades!$P$17,I13)*POWER(Upgrades!$P$18,J13)*POWER(Upgrades!$P$19,K13)*POWER(Upgrades!$P$20,L13)*POWER(Upgrades!$P$21,M13))*(IF(Upgrades!$T$14="Stellar Kinematics",POWER(Upgrades!$U$14,F13),1)*IF(Upgrades!$T$15="Stellar Kinematics",POWER(Upgrades!$U$15,G13),1)*IF(Upgrades!$T$16="Stellar Kinematics",POWER(Upgrades!$U$16,H13),1)*IF(Upgrades!$T$17="Stellar Kinematics",POWER(Upgrades!$U$17,I13),1)*IF(Upgrades!$T$18="Stellar Kinematics",POWER(Upgrades!$U$18,J13),1)*IF(Upgrades!$T$19="Stellar Kinematics",POWER(Upgrades!$U$19,K13),1)*IF(Upgrades!$T$20="Stellar Kinematics",POWER(Upgrades!$U$20,L13),1)*IF(Upgrades!$T$21="Stellar Kinematics",POWER(Upgrades!$U$21,M13),1))*$F$6/AK13,0)</f>
        <v/>
      </c>
      <c r="AZ13" s="32">
        <f>IFERROR(Upgrades!$H$14*(POWER(Upgrades!$P$13,E13)*POWER(Upgrades!$P$14,F13)*POWER(Upgrades!$P$15,G13)*POWER(Upgrades!$P$16,H13)*POWER(Upgrades!$P$17,I13)*POWER(Upgrades!$P$18,J13)*POWER(Upgrades!$P$19,K13)*POWER(Upgrades!$P$20,L13)*POWER(Upgrades!$P$21,M13))*(IF(Upgrades!$T$13="Local Bubble",POWER(Upgrades!$U$13,E13),1)*IF(Upgrades!$T$15="Local Bubble",POWER(Upgrades!$U$15,G13),1)*IF(Upgrades!$T$16="Local Bubble",POWER(Upgrades!$U$16,H13),1)*IF(Upgrades!$T$17="Local Bubble",POWER(Upgrades!$U$17,I13),1)*IF(Upgrades!$T$18="Local Bubble",POWER(Upgrades!$U$18,J13),1)*IF(Upgrades!$T$19="Local Bubble",POWER(Upgrades!$U$19,K13),1)*IF(Upgrades!$T$20="Local Bubble",POWER(Upgrades!$U$20,L13),1)*IF(Upgrades!$T$21="Local Bubble",POWER(Upgrades!$U$21,M13),1))*$F$6/AL13,0)</f>
        <v/>
      </c>
      <c r="BA13" s="32">
        <f>IFERROR(Upgrades!$K$15*(POWER(Upgrades!$Q$13,E13)*POWER(Upgrades!$Q$14,F13)*POWER(Upgrades!$Q$15,G13)*POWER(Upgrades!$Q$16,H13)*POWER(Upgrades!$Q$17,I13)*POWER(Upgrades!$Q$18,J13)*POWER(Upgrades!$Q$19,K13)*POWER(Upgrades!$Q$20,L13)*POWER(Upgrades!$Q$21,M13))*(IF(Upgrades!$T$13="Microlensing",POWER(Upgrades!$U$13,E13),1)*IF(Upgrades!$T$14="Microlensing",POWER(Upgrades!$U$14,F13),1)*IF(Upgrades!$T$16="Microlensing",POWER(Upgrades!$U$16,H13),1)*IF(Upgrades!$T$17="Microlensing",POWER(Upgrades!$U$17,I13),1)*IF(Upgrades!$T$18="Microlensing",POWER(Upgrades!$U$18,J13),1)*IF(Upgrades!$T$19="Microlensing",POWER(Upgrades!$U$19,K13),1)*IF(Upgrades!$T$20="Microlensing",POWER(Upgrades!$U$20,L13),1)*IF(Upgrades!$T$21="Microlensing",POWER(Upgrades!$U$21,M13),1))*$G$6*(Parameters!$B$10/60*Parameters!$B$11+Q13)/AM13,0)</f>
        <v/>
      </c>
      <c r="BB13" s="32">
        <f>IFERROR((Upgrades!$N$16*(POWER(Upgrades!$R$13,E13)*POWER(Upgrades!$R$14,F13)*POWER(Upgrades!$R$15,G13)*POWER(Upgrades!$R$16,H13)*POWER(Upgrades!$R$17,I13)*POWER(Upgrades!$R$18,J13)*POWER(Upgrades!$R$19,K13)*POWER(Upgrades!$R$20,L13)*POWER(Upgrades!$R$21,M13))*(IF(Upgrades!$T$13="Roche Lobe Overflow",POWER(Upgrades!$U$13,E13),1)*IF(Upgrades!$T$14="Roche Lobe Overflow",POWER(Upgrades!$U$14,F13),1)*IF(Upgrades!$T$15="Roche Lobe Overflow",POWER(Upgrades!$U$15,G13),1)*IF(Upgrades!$T$17="Roche Lobe Overflow",POWER(Upgrades!$U$17,I13),1)*IF(Upgrades!$T$18="Roche Lobe Overflow",POWER(Upgrades!$U$18,J13),1)*IF(Upgrades!$T$19="Roche Lobe Overflow",POWER(Upgrades!$U$19,K13),1)*IF(Upgrades!$T$20="Roche Lobe Overflow",POWER(Upgrades!$U$20,L13),1)*IF(Upgrades!$T$21="Roche Lobe Overflow",POWER(Upgrades!$U$21,M13),1))*$H$6*O13+((IF(F13=0,0,(Upgrades!$G$14+F13*Upgrades!$H$14)*POWER(Upgrades!$I$14,F13)))*(IF(Upgrades!$T$13="Local Bubble",POWER(Upgrades!$U$13,E13),1)*IF(Upgrades!$T$15="Local Bubble",POWER(Upgrades!$U$15,G13),1)*IF(Upgrades!$T$16="Local Bubble",POWER(Upgrades!$U$16,H13),1)*IF(Upgrades!$T$17="Local Bubble",POWER(Upgrades!$U$17,I13),1)*IF(Upgrades!$T$18="Local Bubble",POWER(Upgrades!$U$18,J13),1)*IF(Upgrades!$T$19="Local Bubble",POWER(Upgrades!$U$19,K13),1)*IF(Upgrades!$T$20="Local Bubble",POWER(Upgrades!$U$20,L13),1)*IF(Upgrades!$T$21="Local Bubble",POWER(Upgrades!$U$21,M13),1))*POWER(Upgrades!$P$13,E13)*POWER(Upgrades!$P$14,F13)*POWER(Upgrades!$P$15,G13)*POWER(Upgrades!$P$16,H13)*POWER(Upgrades!$P$17,I13)*POWER(Upgrades!$P$18,J13)*POWER(Upgrades!$P$19,K13)*POWER(Upgrades!$P$20,L13)*POWER(Upgrades!$P$21,M13)*$F$6)*0.05)/AN13,0)</f>
        <v/>
      </c>
      <c r="BC13" s="32">
        <f>IFERROR((Upgrades!$H$17*(POWER(Upgrades!$P$13,E13)*POWER(Upgrades!$P$14,F13)*POWER(Upgrades!$P$15,G13)*POWER(Upgrades!$P$16,H13)*POWER(Upgrades!$P$17,I13)*POWER(Upgrades!$P$18,J13)*POWER(Upgrades!$P$19,K13)*POWER(Upgrades!$P$20,L13)*POWER(Upgrades!$P$21,M13))*(IF(Upgrades!$T$13="Brown Dwarf",POWER(Upgrades!$U$13,E13),1)*IF(Upgrades!$T$14="Brown Dwarf",POWER(Upgrades!$U$14,F13),1)*IF(Upgrades!$T$15="Brown Dwarf",POWER(Upgrades!$U$15,G13),1)*IF(Upgrades!$T$16="Brown Dwarf",POWER(Upgrades!$U$16,H13),1)*IF(Upgrades!$T$18="Brown Dwarf",POWER(Upgrades!$U$18,J13),1)*IF(Upgrades!$T$19="Brown Dwarf",POWER(Upgrades!$U$19,K13),1)*IF(Upgrades!$T$20="Brown Dwarf",POWER(Upgrades!$U$20,L13),1)*IF(Upgrades!$T$21="Brown Dwarf",POWER(Upgrades!$U$21,M13),1))*$F$6+(((IF(H13=0,0,(Upgrades!$M$16+H13*Upgrades!$N$16)*POWER(Upgrades!$O$16,H13)))*(IF(Upgrades!$T$13="Roche Lobe Overflow",POWER(Upgrades!$U$13,E13),1)*IF(Upgrades!$T$14="Roche Lobe Overflow",POWER(Upgrades!$U$14,F13),1)*IF(Upgrades!$T$15="Roche Lobe Overflow",POWER(Upgrades!$U$15,G13),1)*IF(Upgrades!$T$17="Roche Lobe Overflow",POWER(Upgrades!$U$17,I13),1)*IF(Upgrades!$T$18="Roche Lobe Overflow",POWER(Upgrades!$U$18,J13),1)*IF(Upgrades!$T$19="Roche Lobe Overflow",POWER(Upgrades!$U$19,K13),1)*IF(Upgrades!$T$20="Roche Lobe Overflow",POWER(Upgrades!$U$20,L13),1)*IF(Upgrades!$T$21="Roche Lobe Overflow",POWER(Upgrades!$U$21,M13),1))*POWER(Upgrades!$R$13,E13)*POWER(Upgrades!$R$14,F13)*POWER(Upgrades!$R$15,G13)*POWER(Upgrades!$R$16,H13)*POWER(Upgrades!$R$17,I13)*POWER(Upgrades!$R$18,J13)*POWER(Upgrades!$R$19,K13)*POWER(Upgrades!$R$20,L13)*POWER(Upgrades!$R$21,M13)*$H$6)*O13)*0.10)/AO13,0)</f>
        <v/>
      </c>
      <c r="BD13" s="32">
        <f>MAX(IF(J13&gt;0,0,IFERROR(0.5*((IF(G13=0,0,(Upgrades!$J$15+G13*Upgrades!$K$15)*POWER(Upgrades!$L$15,G13)))*(IF(Upgrades!$T$13="Microlensing",POWER(Upgrades!$U$13,E13),1)*IF(Upgrades!$T$14="Microlensing",POWER(Upgrades!$U$14,F13),1)*IF(Upgrades!$T$16="Microlensing",POWER(Upgrades!$U$16,H13),1)*IF(Upgrades!$T$17="Microlensing",POWER(Upgrades!$U$17,I13),1)*IF(Upgrades!$T$18="Microlensing",POWER(Upgrades!$U$18,J13),1)*IF(Upgrades!$T$19="Microlensing",POWER(Upgrades!$U$19,K13),1)*IF(Upgrades!$T$20="Microlensing",POWER(Upgrades!$U$20,L13),1)*IF(Upgrades!$T$21="Microlensing",POWER(Upgrades!$U$21,M13),1))*(POWER(Upgrades!$Q$13,E13)*POWER(Upgrades!$Q$14,F13)*POWER(Upgrades!$Q$15,G13)*POWER(Upgrades!$Q$16,H13)*POWER(Upgrades!$Q$17,I13)*POWER(Upgrades!$Q$18,J13)*POWER(Upgrades!$Q$19,K13)*POWER(Upgrades!$Q$20,L13)*POWER(Upgrades!$Q$21,M13))*$G$6*(Parameters!$B$10/60*Parameters!$B$11+Q13))/Upgrades!$C$18,0)),IF(K13&gt;0,0,IFERROR(0.30*P13/Upgrades!$C$19,0)),IF(L13&gt;0,0,IFERROR(0.0001/Upgrades!$C$20,0)),IF(M13&gt;0,0,IFERROR((6.0*(POWER(Upgrades!$P$13,E13)*POWER(Upgrades!$P$14,F13)*POWER(Upgrades!$P$15,G13)*POWER(Upgrades!$P$16,H13)*POWER(Upgrades!$P$17,I13)*POWER(Upgrades!$P$18,J13)*POWER(Upgrades!$P$19,K13)*POWER(Upgrades!$P$20,L13)*POWER(Upgrades!$P$21,M13))*$F$6+0.20*O13*(Parameters!$B$10/60*Parameters!$B$11+Q13))/Upgrades!$C$21,0)),IF(AND(ISNUMBER(AK13),AK13&gt;(C13+T13)),AY13,0),IF(AND(ISNUMBER(AL13),AL13&gt;(C13+T13)),AZ13,0),IF(AND(ISNUMBER(AM13),AM13&gt;(C13+T13)),BA13,0),IF(AND(ISNUMBER(AN13),AN13&gt;(C13+T13)),BB13,0),IF(AND(ISNUMBER(AO13),AO13&gt;(C13+T13)),BC13,0))</f>
        <v/>
      </c>
      <c r="BE13" s="29">
        <f>IF(AT13=1,"transition",IF(MIN(IF(AND(J13=0,ISNUMBER(AP13),AP13&lt;=(C13+T13)),AP13,9E15),IF(AND(K13=0,ISNUMBER(AQ13),AQ13&lt;=(C13+T13)),AQ13,9E15),IF(AND(L13=0,ISNUMBER(AR13),AR13&lt;=(C13+T13)),AR13,9E15),IF(AND(M13=0,ISNUMBER(AS13),AS13&lt;=(C13+T13)),AS13,9E15))&lt;9E15,IF(AND(AND(J13=0,ISNUMBER(AP13),AP13&lt;=(C13+T13)),AP13=MIN(IF(AND(J13=0,ISNUMBER(AP13),AP13&lt;=(C13+T13)),AP13,9E15),IF(AND(K13=0,ISNUMBER(AQ13),AQ13&lt;=(C13+T13)),AQ13,9E15),IF(AND(L13=0,ISNUMBER(AR13),AR13&lt;=(C13+T13)),AR13,9E15),IF(AND(M13=0,ISNUMBER(AS13),AS13&lt;=(C13+T13)),AS13,9E15))),"BiP",IF(AND(AND(K13=0,ISNUMBER(AQ13),AQ13&lt;=(C13+T13)),AQ13=MIN(IF(AND(J13=0,ISNUMBER(AP13),AP13&lt;=(C13+T13)),AP13,9E15),IF(AND(K13=0,ISNUMBER(AQ13),AQ13&lt;=(C13+T13)),AQ13,9E15),IF(AND(L13=0,ISNUMBER(AR13),AR13&lt;=(C13+T13)),AR13,9E15),IF(AND(M13=0,ISNUMBER(AS13),AS13&lt;=(C13+T13)),AS13,9E15))),"PV",IF(AND(AND(L13=0,ISNUMBER(AR13),AR13&lt;=(C13+T13)),AR13=MIN(IF(AND(J13=0,ISNUMBER(AP13),AP13&lt;=(C13+T13)),AP13,9E15),IF(AND(K13=0,ISNUMBER(AQ13),AQ13&lt;=(C13+T13)),AQ13,9E15),IF(AND(L13=0,ISNUMBER(AR13),AR13&lt;=(C13+T13)),AR13,9E15),IF(AND(M13=0,ISNUMBER(AS13),AS13&lt;=(C13+T13)),AS13,9E15))),"OC","MG"))),IF(AX13=TRUE,"",IF(MAX(IF(AND(NOT(AND(AU13=1,AT13&lt;&gt;1)),ISNUMBER(AK13),AK13&lt;=(C13+T13)),AY13,0),IF(AND(NOT(AND(AU13=1,AT13&lt;&gt;1)),ISNUMBER(AL13),AL13&lt;=(C13+T13)),AZ13,0),IF(AND(NOT(AND(AU13=1,AT13&lt;&gt;1)),ISNUMBER(AM13),AM13&lt;=(C13+T13)),BA13,0),IF(AND(NOT(AND(AU13=1,AT13&lt;&gt;1)),ISNUMBER(AN13),AN13&lt;=(C13+T13)),BB13,0),IF(AND(ISNUMBER(AO13),AO13&lt;=(C13+T13)),BC13,0))&lt;=0,"",IF(AND(IF(AND(NOT(AND(AU13=1,AT13&lt;&gt;1)),ISNUMBER(AK13),AK13&lt;=(C13+T13)),AY13,0)&gt;0,IF(AND(NOT(AND(AU13=1,AT13&lt;&gt;1)),ISNUMBER(AK13),AK13&lt;=(C13+T13)),AY13,0)=MAX(IF(AND(NOT(AND(AU13=1,AT13&lt;&gt;1)),ISNUMBER(AK13),AK13&lt;=(C13+T13)),AY13,0),IF(AND(NOT(AND(AU13=1,AT13&lt;&gt;1)),ISNUMBER(AL13),AL13&lt;=(C13+T13)),AZ13,0),IF(AND(NOT(AND(AU13=1,AT13&lt;&gt;1)),ISNUMBER(AM13),AM13&lt;=(C13+T13)),BA13,0),IF(AND(NOT(AND(AU13=1,AT13&lt;&gt;1)),ISNUMBER(AN13),AN13&lt;=(C13+T13)),BB13,0),IF(AND(ISNUMBER(AO13),AO13&lt;=(C13+T13)),BC13,0))),"SK",IF(AND(IF(AND(NOT(AND(AU13=1,AT13&lt;&gt;1)),ISNUMBER(AL13),AL13&lt;=(C13+T13)),AZ13,0)&gt;0,IF(AND(NOT(AND(AU13=1,AT13&lt;&gt;1)),ISNUMBER(AL13),AL13&lt;=(C13+T13)),AZ13,0)=MAX(IF(AND(NOT(AND(AU13=1,AT13&lt;&gt;1)),ISNUMBER(AK13),AK13&lt;=(C13+T13)),AY13,0),IF(AND(NOT(AND(AU13=1,AT13&lt;&gt;1)),ISNUMBER(AL13),AL13&lt;=(C13+T13)),AZ13,0),IF(AND(NOT(AND(AU13=1,AT13&lt;&gt;1)),ISNUMBER(AM13),AM13&lt;=(C13+T13)),BA13,0),IF(AND(NOT(AND(AU13=1,AT13&lt;&gt;1)),ISNUMBER(AN13),AN13&lt;=(C13+T13)),BB13,0),IF(AND(ISNUMBER(AO13),AO13&lt;=(C13+T13)),BC13,0))),"LB",IF(AND(IF(AND(NOT(AND(AU13=1,AT13&lt;&gt;1)),ISNUMBER(AM13),AM13&lt;=(C13+T13)),BA13,0)&gt;0,IF(AND(NOT(AND(AU13=1,AT13&lt;&gt;1)),ISNUMBER(AM13),AM13&lt;=(C13+T13)),BA13,0)=MAX(IF(AND(NOT(AND(AU13=1,AT13&lt;&gt;1)),ISNUMBER(AK13),AK13&lt;=(C13+T13)),AY13,0),IF(AND(NOT(AND(AU13=1,AT13&lt;&gt;1)),ISNUMBER(AL13),AL13&lt;=(C13+T13)),AZ13,0),IF(AND(NOT(AND(AU13=1,AT13&lt;&gt;1)),ISNUMBER(AM13),AM13&lt;=(C13+T13)),BA13,0),IF(AND(NOT(AND(AU13=1,AT13&lt;&gt;1)),ISNUMBER(AN13),AN13&lt;=(C13+T13)),BB13,0),IF(AND(ISNUMBER(AO13),AO13&lt;=(C13+T13)),BC13,0))),"ML",IF(AND(IF(AND(NOT(AND(AU13=1,AT13&lt;&gt;1)),ISNUMBER(AN13),AN13&lt;=(C13+T13)),BB13,0)&gt;0,IF(AND(NOT(AND(AU13=1,AT13&lt;&gt;1)),ISNUMBER(AN13),AN13&lt;=(C13+T13)),BB13,0)=MAX(IF(AND(NOT(AND(AU13=1,AT13&lt;&gt;1)),ISNUMBER(AK13),AK13&lt;=(C13+T13)),AY13,0),IF(AND(NOT(AND(AU13=1,AT13&lt;&gt;1)),ISNUMBER(AL13),AL13&lt;=(C13+T13)),AZ13,0),IF(AND(NOT(AND(AU13=1,AT13&lt;&gt;1)),ISNUMBER(AM13),AM13&lt;=(C13+T13)),BA13,0),IF(AND(NOT(AND(AU13=1,AT13&lt;&gt;1)),ISNUMBER(AN13),AN13&lt;=(C13+T13)),BB13,0),IF(AND(ISNUMBER(AO13),AO13&lt;=(C13+T13)),BC13,0))),"RLO","BD"))))))))</f>
        <v/>
      </c>
    </row>
    <row r="14">
      <c r="A14" s="26" t="n">
        <v>3</v>
      </c>
      <c r="B14" s="27">
        <f>A14*10/60</f>
        <v/>
      </c>
      <c r="C14" s="22">
        <f>X13</f>
        <v/>
      </c>
      <c r="D14" s="27">
        <f>D13+W13</f>
        <v/>
      </c>
      <c r="E14" s="26">
        <f>E13+IF(U13="SK",1,0)</f>
        <v/>
      </c>
      <c r="F14" s="26">
        <f>F13+IF(U13="LB",1,0)</f>
        <v/>
      </c>
      <c r="G14" s="26">
        <f>G13+IF(U13="ML",1,0)</f>
        <v/>
      </c>
      <c r="H14" s="26">
        <f>H13+IF(U13="RLO",1,0)</f>
        <v/>
      </c>
      <c r="I14" s="26">
        <f>I13+IF(U13="BD",1,0)</f>
        <v/>
      </c>
      <c r="J14" s="26">
        <f>MAX(J13,IF(U13="BiP",1,0))</f>
        <v/>
      </c>
      <c r="K14" s="26">
        <f>MAX(K13,IF(U13="PV",1,0))</f>
        <v/>
      </c>
      <c r="L14" s="26">
        <f>MAX(L13,IF(U13="OC",1,0))</f>
        <v/>
      </c>
      <c r="M14" s="26">
        <f>MAX(M13,IF(U13="MG",1,0))</f>
        <v/>
      </c>
      <c r="N14" s="26">
        <f>MAX(N13,IF(U13="transition",1,0))</f>
        <v/>
      </c>
      <c r="O14" s="28">
        <f>(Parameters!$B$9+(IF(E14=0,0,(Upgrades!$J$13+E14*Upgrades!$K$13)*POWER(Upgrades!$L$13,E14)))*(IF(Upgrades!$T$14="Stellar Kinematics",POWER(Upgrades!$U$14,F14),1)*IF(Upgrades!$T$15="Stellar Kinematics",POWER(Upgrades!$U$15,G14),1)*IF(Upgrades!$T$16="Stellar Kinematics",POWER(Upgrades!$U$16,H14),1)*IF(Upgrades!$T$17="Stellar Kinematics",POWER(Upgrades!$U$17,I14),1)*IF(Upgrades!$T$18="Stellar Kinematics",POWER(Upgrades!$U$18,J14),1)*IF(Upgrades!$T$19="Stellar Kinematics",POWER(Upgrades!$U$19,K14),1)*IF(Upgrades!$T$20="Stellar Kinematics",POWER(Upgrades!$U$20,L14),1)*IF(Upgrades!$T$21="Stellar Kinematics",POWER(Upgrades!$U$21,M14),1))+(IF(F14=0,0,(Upgrades!$J$14+F14*Upgrades!$K$14)*POWER(Upgrades!$L$14,F14)))*(IF(Upgrades!$T$13="Local Bubble",POWER(Upgrades!$U$13,E14),1)*IF(Upgrades!$T$15="Local Bubble",POWER(Upgrades!$U$15,G14),1)*IF(Upgrades!$T$16="Local Bubble",POWER(Upgrades!$U$16,H14),1)*IF(Upgrades!$T$17="Local Bubble",POWER(Upgrades!$U$17,I14),1)*IF(Upgrades!$T$18="Local Bubble",POWER(Upgrades!$U$18,J14),1)*IF(Upgrades!$T$19="Local Bubble",POWER(Upgrades!$U$19,K14),1)*IF(Upgrades!$T$20="Local Bubble",POWER(Upgrades!$U$20,L14),1)*IF(Upgrades!$T$21="Local Bubble",POWER(Upgrades!$U$21,M14),1))+(IF(G14=0,0,(Upgrades!$J$15+G14*Upgrades!$K$15)*POWER(Upgrades!$L$15,G14)))*(IF(Upgrades!$T$13="Microlensing",POWER(Upgrades!$U$13,E14),1)*IF(Upgrades!$T$14="Microlensing",POWER(Upgrades!$U$14,F14),1)*IF(Upgrades!$T$16="Microlensing",POWER(Upgrades!$U$16,H14),1)*IF(Upgrades!$T$17="Microlensing",POWER(Upgrades!$U$17,I14),1)*IF(Upgrades!$T$18="Microlensing",POWER(Upgrades!$U$18,J14),1)*IF(Upgrades!$T$19="Microlensing",POWER(Upgrades!$U$19,K14),1)*IF(Upgrades!$T$20="Microlensing",POWER(Upgrades!$U$20,L14),1)*IF(Upgrades!$T$21="Microlensing",POWER(Upgrades!$U$21,M14),1))+(IF(H14=0,0,(Upgrades!$J$16+H14*Upgrades!$K$16)*POWER(Upgrades!$L$16,H14)))*(IF(Upgrades!$T$13="Roche Lobe Overflow",POWER(Upgrades!$U$13,E14),1)*IF(Upgrades!$T$14="Roche Lobe Overflow",POWER(Upgrades!$U$14,F14),1)*IF(Upgrades!$T$15="Roche Lobe Overflow",POWER(Upgrades!$U$15,G14),1)*IF(Upgrades!$T$17="Roche Lobe Overflow",POWER(Upgrades!$U$17,I14),1)*IF(Upgrades!$T$18="Roche Lobe Overflow",POWER(Upgrades!$U$18,J14),1)*IF(Upgrades!$T$19="Roche Lobe Overflow",POWER(Upgrades!$U$19,K14),1)*IF(Upgrades!$T$20="Roche Lobe Overflow",POWER(Upgrades!$U$20,L14),1)*IF(Upgrades!$T$21="Roche Lobe Overflow",POWER(Upgrades!$U$21,M14),1))+(IF(I14=0,0,(Upgrades!$J$17+I14*Upgrades!$K$17)*POWER(Upgrades!$L$17,I14)))*(IF(Upgrades!$T$13="Brown Dwarf",POWER(Upgrades!$U$13,E14),1)*IF(Upgrades!$T$14="Brown Dwarf",POWER(Upgrades!$U$14,F14),1)*IF(Upgrades!$T$15="Brown Dwarf",POWER(Upgrades!$U$15,G14),1)*IF(Upgrades!$T$16="Brown Dwarf",POWER(Upgrades!$U$16,H14),1)*IF(Upgrades!$T$18="Brown Dwarf",POWER(Upgrades!$U$18,J14),1)*IF(Upgrades!$T$19="Brown Dwarf",POWER(Upgrades!$U$19,K14),1)*IF(Upgrades!$T$20="Brown Dwarf",POWER(Upgrades!$U$20,L14),1)*IF(Upgrades!$T$21="Brown Dwarf",POWER(Upgrades!$U$21,M14),1))+(IF(J14=0,0,(Upgrades!$J$18+J14*Upgrades!$K$18)*POWER(Upgrades!$L$18,J14)))*(IF(Upgrades!$T$13="Binary Partner",POWER(Upgrades!$U$13,E14),1)*IF(Upgrades!$T$14="Binary Partner",POWER(Upgrades!$U$14,F14),1)*IF(Upgrades!$T$15="Binary Partner",POWER(Upgrades!$U$15,G14),1)*IF(Upgrades!$T$16="Binary Partner",POWER(Upgrades!$U$16,H14),1)*IF(Upgrades!$T$17="Binary Partner",POWER(Upgrades!$U$17,I14),1)*IF(Upgrades!$T$19="Binary Partner",POWER(Upgrades!$U$19,K14),1)*IF(Upgrades!$T$20="Binary Partner",POWER(Upgrades!$U$20,L14),1)*IF(Upgrades!$T$21="Binary Partner",POWER(Upgrades!$U$21,M14),1))+(IF(K14=0,0,(Upgrades!$J$19+K14*Upgrades!$K$19)*POWER(Upgrades!$L$19,K14)))*(IF(Upgrades!$T$13="Peculiar Velocity",POWER(Upgrades!$U$13,E14),1)*IF(Upgrades!$T$14="Peculiar Velocity",POWER(Upgrades!$U$14,F14),1)*IF(Upgrades!$T$15="Peculiar Velocity",POWER(Upgrades!$U$15,G14),1)*IF(Upgrades!$T$16="Peculiar Velocity",POWER(Upgrades!$U$16,H14),1)*IF(Upgrades!$T$17="Peculiar Velocity",POWER(Upgrades!$U$17,I14),1)*IF(Upgrades!$T$18="Peculiar Velocity",POWER(Upgrades!$U$18,J14),1)*IF(Upgrades!$T$20="Peculiar Velocity",POWER(Upgrades!$U$20,L14),1)*IF(Upgrades!$T$21="Peculiar Velocity",POWER(Upgrades!$U$21,M14),1))+(IF(L14=0,0,(Upgrades!$J$20+L14*Upgrades!$K$20)*POWER(Upgrades!$L$20,L14)))*(IF(Upgrades!$T$13="Open Cluster",POWER(Upgrades!$U$13,E14),1)*IF(Upgrades!$T$14="Open Cluster",POWER(Upgrades!$U$14,F14),1)*IF(Upgrades!$T$15="Open Cluster",POWER(Upgrades!$U$15,G14),1)*IF(Upgrades!$T$16="Open Cluster",POWER(Upgrades!$U$16,H14),1)*IF(Upgrades!$T$17="Open Cluster",POWER(Upgrades!$U$17,I14),1)*IF(Upgrades!$T$18="Open Cluster",POWER(Upgrades!$U$18,J14),1)*IF(Upgrades!$T$19="Open Cluster",POWER(Upgrades!$U$19,K14),1)*IF(Upgrades!$T$21="Open Cluster",POWER(Upgrades!$U$21,M14),1))+(IF(M14=0,0,(Upgrades!$J$21+M14*Upgrades!$K$21)*POWER(Upgrades!$L$21,M14)))*(IF(Upgrades!$T$13="Moving Group",POWER(Upgrades!$U$13,E14),1)*IF(Upgrades!$T$14="Moving Group",POWER(Upgrades!$U$14,F14),1)*IF(Upgrades!$T$15="Moving Group",POWER(Upgrades!$U$15,G14),1)*IF(Upgrades!$T$16="Moving Group",POWER(Upgrades!$U$16,H14),1)*IF(Upgrades!$T$17="Moving Group",POWER(Upgrades!$U$17,I14),1)*IF(Upgrades!$T$18="Moving Group",POWER(Upgrades!$U$18,J14),1)*IF(Upgrades!$T$19="Moving Group",POWER(Upgrades!$U$19,K14),1)*IF(Upgrades!$T$20="Moving Group",POWER(Upgrades!$U$20,L14),1)))*POWER(Upgrades!$Q$13,E14)*POWER(Upgrades!$Q$14,F14)*POWER(Upgrades!$Q$15,G14)*POWER(Upgrades!$Q$16,H14)*POWER(Upgrades!$Q$17,I14)*POWER(Upgrades!$Q$18,J14)*POWER(Upgrades!$Q$19,K14)*POWER(Upgrades!$Q$20,L14)*POWER(Upgrades!$Q$21,M14)*$G$6+$D$6</f>
        <v/>
      </c>
      <c r="P14" s="28">
        <f>((IF(E14=0,0,(Upgrades!$G$13+E14*Upgrades!$H$13)*POWER(Upgrades!$I$13,E14)))*(IF(Upgrades!$T$14="Stellar Kinematics",POWER(Upgrades!$U$14,F14),1)*IF(Upgrades!$T$15="Stellar Kinematics",POWER(Upgrades!$U$15,G14),1)*IF(Upgrades!$T$16="Stellar Kinematics",POWER(Upgrades!$U$16,H14),1)*IF(Upgrades!$T$17="Stellar Kinematics",POWER(Upgrades!$U$17,I14),1)*IF(Upgrades!$T$18="Stellar Kinematics",POWER(Upgrades!$U$18,J14),1)*IF(Upgrades!$T$19="Stellar Kinematics",POWER(Upgrades!$U$19,K14),1)*IF(Upgrades!$T$20="Stellar Kinematics",POWER(Upgrades!$U$20,L14),1)*IF(Upgrades!$T$21="Stellar Kinematics",POWER(Upgrades!$U$21,M14),1))+(IF(F14=0,0,(Upgrades!$G$14+F14*Upgrades!$H$14)*POWER(Upgrades!$I$14,F14)))*(IF(Upgrades!$T$13="Local Bubble",POWER(Upgrades!$U$13,E14),1)*IF(Upgrades!$T$15="Local Bubble",POWER(Upgrades!$U$15,G14),1)*IF(Upgrades!$T$16="Local Bubble",POWER(Upgrades!$U$16,H14),1)*IF(Upgrades!$T$17="Local Bubble",POWER(Upgrades!$U$17,I14),1)*IF(Upgrades!$T$18="Local Bubble",POWER(Upgrades!$U$18,J14),1)*IF(Upgrades!$T$19="Local Bubble",POWER(Upgrades!$U$19,K14),1)*IF(Upgrades!$T$20="Local Bubble",POWER(Upgrades!$U$20,L14),1)*IF(Upgrades!$T$21="Local Bubble",POWER(Upgrades!$U$21,M14),1))+(IF(G14=0,0,(Upgrades!$G$15+G14*Upgrades!$H$15)*POWER(Upgrades!$I$15,G14)))*(IF(Upgrades!$T$13="Microlensing",POWER(Upgrades!$U$13,E14),1)*IF(Upgrades!$T$14="Microlensing",POWER(Upgrades!$U$14,F14),1)*IF(Upgrades!$T$16="Microlensing",POWER(Upgrades!$U$16,H14),1)*IF(Upgrades!$T$17="Microlensing",POWER(Upgrades!$U$17,I14),1)*IF(Upgrades!$T$18="Microlensing",POWER(Upgrades!$U$18,J14),1)*IF(Upgrades!$T$19="Microlensing",POWER(Upgrades!$U$19,K14),1)*IF(Upgrades!$T$20="Microlensing",POWER(Upgrades!$U$20,L14),1)*IF(Upgrades!$T$21="Microlensing",POWER(Upgrades!$U$21,M14),1))+(IF(H14=0,0,(Upgrades!$G$16+H14*Upgrades!$H$16)*POWER(Upgrades!$I$16,H14)))*(IF(Upgrades!$T$13="Roche Lobe Overflow",POWER(Upgrades!$U$13,E14),1)*IF(Upgrades!$T$14="Roche Lobe Overflow",POWER(Upgrades!$U$14,F14),1)*IF(Upgrades!$T$15="Roche Lobe Overflow",POWER(Upgrades!$U$15,G14),1)*IF(Upgrades!$T$17="Roche Lobe Overflow",POWER(Upgrades!$U$17,I14),1)*IF(Upgrades!$T$18="Roche Lobe Overflow",POWER(Upgrades!$U$18,J14),1)*IF(Upgrades!$T$19="Roche Lobe Overflow",POWER(Upgrades!$U$19,K14),1)*IF(Upgrades!$T$20="Roche Lobe Overflow",POWER(Upgrades!$U$20,L14),1)*IF(Upgrades!$T$21="Roche Lobe Overflow",POWER(Upgrades!$U$21,M14),1))+(IF(I14=0,0,(Upgrades!$G$17+I14*Upgrades!$H$17)*POWER(Upgrades!$I$17,I14)))*(IF(Upgrades!$T$13="Brown Dwarf",POWER(Upgrades!$U$13,E14),1)*IF(Upgrades!$T$14="Brown Dwarf",POWER(Upgrades!$U$14,F14),1)*IF(Upgrades!$T$15="Brown Dwarf",POWER(Upgrades!$U$15,G14),1)*IF(Upgrades!$T$16="Brown Dwarf",POWER(Upgrades!$U$16,H14),1)*IF(Upgrades!$T$18="Brown Dwarf",POWER(Upgrades!$U$18,J14),1)*IF(Upgrades!$T$19="Brown Dwarf",POWER(Upgrades!$U$19,K14),1)*IF(Upgrades!$T$20="Brown Dwarf",POWER(Upgrades!$U$20,L14),1)*IF(Upgrades!$T$21="Brown Dwarf",POWER(Upgrades!$U$21,M14),1))+(IF(J14=0,0,(Upgrades!$G$18+J14*Upgrades!$H$18)*POWER(Upgrades!$I$18,J14)))*(IF(Upgrades!$T$13="Binary Partner",POWER(Upgrades!$U$13,E14),1)*IF(Upgrades!$T$14="Binary Partner",POWER(Upgrades!$U$14,F14),1)*IF(Upgrades!$T$15="Binary Partner",POWER(Upgrades!$U$15,G14),1)*IF(Upgrades!$T$16="Binary Partner",POWER(Upgrades!$U$16,H14),1)*IF(Upgrades!$T$17="Binary Partner",POWER(Upgrades!$U$17,I14),1)*IF(Upgrades!$T$19="Binary Partner",POWER(Upgrades!$U$19,K14),1)*IF(Upgrades!$T$20="Binary Partner",POWER(Upgrades!$U$20,L14),1)*IF(Upgrades!$T$21="Binary Partner",POWER(Upgrades!$U$21,M14),1))+(IF(K14=0,0,(Upgrades!$G$19+K14*Upgrades!$H$19)*POWER(Upgrades!$I$19,K14)))*(IF(Upgrades!$T$13="Peculiar Velocity",POWER(Upgrades!$U$13,E14),1)*IF(Upgrades!$T$14="Peculiar Velocity",POWER(Upgrades!$U$14,F14),1)*IF(Upgrades!$T$15="Peculiar Velocity",POWER(Upgrades!$U$15,G14),1)*IF(Upgrades!$T$16="Peculiar Velocity",POWER(Upgrades!$U$16,H14),1)*IF(Upgrades!$T$17="Peculiar Velocity",POWER(Upgrades!$U$17,I14),1)*IF(Upgrades!$T$18="Peculiar Velocity",POWER(Upgrades!$U$18,J14),1)*IF(Upgrades!$T$20="Peculiar Velocity",POWER(Upgrades!$U$20,L14),1)*IF(Upgrades!$T$21="Peculiar Velocity",POWER(Upgrades!$U$21,M14),1))+(IF(L14=0,0,(Upgrades!$G$20+L14*Upgrades!$H$20)*POWER(Upgrades!$I$20,L14)))*(IF(Upgrades!$T$13="Open Cluster",POWER(Upgrades!$U$13,E14),1)*IF(Upgrades!$T$14="Open Cluster",POWER(Upgrades!$U$14,F14),1)*IF(Upgrades!$T$15="Open Cluster",POWER(Upgrades!$U$15,G14),1)*IF(Upgrades!$T$16="Open Cluster",POWER(Upgrades!$U$16,H14),1)*IF(Upgrades!$T$17="Open Cluster",POWER(Upgrades!$U$17,I14),1)*IF(Upgrades!$T$18="Open Cluster",POWER(Upgrades!$U$18,J14),1)*IF(Upgrades!$T$19="Open Cluster",POWER(Upgrades!$U$19,K14),1)*IF(Upgrades!$T$21="Open Cluster",POWER(Upgrades!$U$21,M14),1))+(IF(M14=0,0,(Upgrades!$G$21+M14*Upgrades!$H$21)*POWER(Upgrades!$I$21,M14)))*(IF(Upgrades!$T$13="Moving Group",POWER(Upgrades!$U$13,E14),1)*IF(Upgrades!$T$14="Moving Group",POWER(Upgrades!$U$14,F14),1)*IF(Upgrades!$T$15="Moving Group",POWER(Upgrades!$U$15,G14),1)*IF(Upgrades!$T$16="Moving Group",POWER(Upgrades!$U$16,H14),1)*IF(Upgrades!$T$17="Moving Group",POWER(Upgrades!$U$17,I14),1)*IF(Upgrades!$T$18="Moving Group",POWER(Upgrades!$U$18,J14),1)*IF(Upgrades!$T$19="Moving Group",POWER(Upgrades!$U$19,K14),1)*IF(Upgrades!$T$20="Moving Group",POWER(Upgrades!$U$20,L14),1)))*POWER(Upgrades!$P$13,E14)*POWER(Upgrades!$P$14,F14)*POWER(Upgrades!$P$15,G14)*POWER(Upgrades!$P$16,H14)*POWER(Upgrades!$P$17,I14)*POWER(Upgrades!$P$18,J14)*POWER(Upgrades!$P$19,K14)*POWER(Upgrades!$P$20,L14)*POWER(Upgrades!$P$21,M14)*$F$6+$C$6</f>
        <v/>
      </c>
      <c r="Q14" s="28">
        <f>((IF(E14=0,0,(Upgrades!$M$13+E14*Upgrades!$N$13)*POWER(Upgrades!$O$13,E14)))*(IF(Upgrades!$T$14="Stellar Kinematics",POWER(Upgrades!$U$14,F14),1)*IF(Upgrades!$T$15="Stellar Kinematics",POWER(Upgrades!$U$15,G14),1)*IF(Upgrades!$T$16="Stellar Kinematics",POWER(Upgrades!$U$16,H14),1)*IF(Upgrades!$T$17="Stellar Kinematics",POWER(Upgrades!$U$17,I14),1)*IF(Upgrades!$T$18="Stellar Kinematics",POWER(Upgrades!$U$18,J14),1)*IF(Upgrades!$T$19="Stellar Kinematics",POWER(Upgrades!$U$19,K14),1)*IF(Upgrades!$T$20="Stellar Kinematics",POWER(Upgrades!$U$20,L14),1)*IF(Upgrades!$T$21="Stellar Kinematics",POWER(Upgrades!$U$21,M14),1))+(IF(F14=0,0,(Upgrades!$M$14+F14*Upgrades!$N$14)*POWER(Upgrades!$O$14,F14)))*(IF(Upgrades!$T$13="Local Bubble",POWER(Upgrades!$U$13,E14),1)*IF(Upgrades!$T$15="Local Bubble",POWER(Upgrades!$U$15,G14),1)*IF(Upgrades!$T$16="Local Bubble",POWER(Upgrades!$U$16,H14),1)*IF(Upgrades!$T$17="Local Bubble",POWER(Upgrades!$U$17,I14),1)*IF(Upgrades!$T$18="Local Bubble",POWER(Upgrades!$U$18,J14),1)*IF(Upgrades!$T$19="Local Bubble",POWER(Upgrades!$U$19,K14),1)*IF(Upgrades!$T$20="Local Bubble",POWER(Upgrades!$U$20,L14),1)*IF(Upgrades!$T$21="Local Bubble",POWER(Upgrades!$U$21,M14),1))+(IF(G14=0,0,(Upgrades!$M$15+G14*Upgrades!$N$15)*POWER(Upgrades!$O$15,G14)))*(IF(Upgrades!$T$13="Microlensing",POWER(Upgrades!$U$13,E14),1)*IF(Upgrades!$T$14="Microlensing",POWER(Upgrades!$U$14,F14),1)*IF(Upgrades!$T$16="Microlensing",POWER(Upgrades!$U$16,H14),1)*IF(Upgrades!$T$17="Microlensing",POWER(Upgrades!$U$17,I14),1)*IF(Upgrades!$T$18="Microlensing",POWER(Upgrades!$U$18,J14),1)*IF(Upgrades!$T$19="Microlensing",POWER(Upgrades!$U$19,K14),1)*IF(Upgrades!$T$20="Microlensing",POWER(Upgrades!$U$20,L14),1)*IF(Upgrades!$T$21="Microlensing",POWER(Upgrades!$U$21,M14),1))+(IF(H14=0,0,(Upgrades!$M$16+H14*Upgrades!$N$16)*POWER(Upgrades!$O$16,H14)))*(IF(Upgrades!$T$13="Roche Lobe Overflow",POWER(Upgrades!$U$13,E14),1)*IF(Upgrades!$T$14="Roche Lobe Overflow",POWER(Upgrades!$U$14,F14),1)*IF(Upgrades!$T$15="Roche Lobe Overflow",POWER(Upgrades!$U$15,G14),1)*IF(Upgrades!$T$17="Roche Lobe Overflow",POWER(Upgrades!$U$17,I14),1)*IF(Upgrades!$T$18="Roche Lobe Overflow",POWER(Upgrades!$U$18,J14),1)*IF(Upgrades!$T$19="Roche Lobe Overflow",POWER(Upgrades!$U$19,K14),1)*IF(Upgrades!$T$20="Roche Lobe Overflow",POWER(Upgrades!$U$20,L14),1)*IF(Upgrades!$T$21="Roche Lobe Overflow",POWER(Upgrades!$U$21,M14),1))+(IF(I14=0,0,(Upgrades!$M$17+I14*Upgrades!$N$17)*POWER(Upgrades!$O$17,I14)))*(IF(Upgrades!$T$13="Brown Dwarf",POWER(Upgrades!$U$13,E14),1)*IF(Upgrades!$T$14="Brown Dwarf",POWER(Upgrades!$U$14,F14),1)*IF(Upgrades!$T$15="Brown Dwarf",POWER(Upgrades!$U$15,G14),1)*IF(Upgrades!$T$16="Brown Dwarf",POWER(Upgrades!$U$16,H14),1)*IF(Upgrades!$T$18="Brown Dwarf",POWER(Upgrades!$U$18,J14),1)*IF(Upgrades!$T$19="Brown Dwarf",POWER(Upgrades!$U$19,K14),1)*IF(Upgrades!$T$20="Brown Dwarf",POWER(Upgrades!$U$20,L14),1)*IF(Upgrades!$T$21="Brown Dwarf",POWER(Upgrades!$U$21,M14),1))+(IF(J14=0,0,(Upgrades!$M$18+J14*Upgrades!$N$18)*POWER(Upgrades!$O$18,J14)))*(IF(Upgrades!$T$13="Binary Partner",POWER(Upgrades!$U$13,E14),1)*IF(Upgrades!$T$14="Binary Partner",POWER(Upgrades!$U$14,F14),1)*IF(Upgrades!$T$15="Binary Partner",POWER(Upgrades!$U$15,G14),1)*IF(Upgrades!$T$16="Binary Partner",POWER(Upgrades!$U$16,H14),1)*IF(Upgrades!$T$17="Binary Partner",POWER(Upgrades!$U$17,I14),1)*IF(Upgrades!$T$19="Binary Partner",POWER(Upgrades!$U$19,K14),1)*IF(Upgrades!$T$20="Binary Partner",POWER(Upgrades!$U$20,L14),1)*IF(Upgrades!$T$21="Binary Partner",POWER(Upgrades!$U$21,M14),1))+(IF(K14=0,0,(Upgrades!$M$19+K14*Upgrades!$N$19)*POWER(Upgrades!$O$19,K14)))*(IF(Upgrades!$T$13="Peculiar Velocity",POWER(Upgrades!$U$13,E14),1)*IF(Upgrades!$T$14="Peculiar Velocity",POWER(Upgrades!$U$14,F14),1)*IF(Upgrades!$T$15="Peculiar Velocity",POWER(Upgrades!$U$15,G14),1)*IF(Upgrades!$T$16="Peculiar Velocity",POWER(Upgrades!$U$16,H14),1)*IF(Upgrades!$T$17="Peculiar Velocity",POWER(Upgrades!$U$17,I14),1)*IF(Upgrades!$T$18="Peculiar Velocity",POWER(Upgrades!$U$18,J14),1)*IF(Upgrades!$T$20="Peculiar Velocity",POWER(Upgrades!$U$20,L14),1)*IF(Upgrades!$T$21="Peculiar Velocity",POWER(Upgrades!$U$21,M14),1))+(IF(L14=0,0,(Upgrades!$M$20+L14*Upgrades!$N$20)*POWER(Upgrades!$O$20,L14)))*(IF(Upgrades!$T$13="Open Cluster",POWER(Upgrades!$U$13,E14),1)*IF(Upgrades!$T$14="Open Cluster",POWER(Upgrades!$U$14,F14),1)*IF(Upgrades!$T$15="Open Cluster",POWER(Upgrades!$U$15,G14),1)*IF(Upgrades!$T$16="Open Cluster",POWER(Upgrades!$U$16,H14),1)*IF(Upgrades!$T$17="Open Cluster",POWER(Upgrades!$U$17,I14),1)*IF(Upgrades!$T$18="Open Cluster",POWER(Upgrades!$U$18,J14),1)*IF(Upgrades!$T$19="Open Cluster",POWER(Upgrades!$U$19,K14),1)*IF(Upgrades!$T$21="Open Cluster",POWER(Upgrades!$U$21,M14),1))+(IF(M14=0,0,(Upgrades!$M$21+M14*Upgrades!$N$21)*POWER(Upgrades!$O$21,M14)))*(IF(Upgrades!$T$13="Moving Group",POWER(Upgrades!$U$13,E14),1)*IF(Upgrades!$T$14="Moving Group",POWER(Upgrades!$U$14,F14),1)*IF(Upgrades!$T$15="Moving Group",POWER(Upgrades!$U$15,G14),1)*IF(Upgrades!$T$16="Moving Group",POWER(Upgrades!$U$16,H14),1)*IF(Upgrades!$T$17="Moving Group",POWER(Upgrades!$U$17,I14),1)*IF(Upgrades!$T$18="Moving Group",POWER(Upgrades!$U$18,J14),1)*IF(Upgrades!$T$19="Moving Group",POWER(Upgrades!$U$19,K14),1)*IF(Upgrades!$T$20="Moving Group",POWER(Upgrades!$U$20,L14),1)))*POWER(Upgrades!$R$13,E14)*POWER(Upgrades!$R$14,F14)*POWER(Upgrades!$R$15,G14)*POWER(Upgrades!$R$16,H14)*POWER(Upgrades!$R$17,I14)*POWER(Upgrades!$R$18,J14)*POWER(Upgrades!$R$19,K14)*POWER(Upgrades!$R$20,L14)*POWER(Upgrades!$R$21,M14)*$H$6+$E$6</f>
        <v/>
      </c>
      <c r="R14" s="27">
        <f>IF(N14=1,0,O14*Parameters!$B$10/60*Parameters!$B$11*10)</f>
        <v/>
      </c>
      <c r="S14" s="27">
        <f>IF(N14=1,0,Q14*O14*10)</f>
        <v/>
      </c>
      <c r="T14" s="27">
        <f>IF(N14=1,0,R14+S14+P14*10)</f>
        <v/>
      </c>
      <c r="U14" s="33">
        <f>BE14</f>
        <v/>
      </c>
      <c r="V14" s="22">
        <f>IF(U14="",0,IF(U14="transition",0,IF(U14="SK",AK14,IF(U14="LB",AL14,IF(U14="ML",AM14,IF(U14="RLO",AN14,IF(U14="BD",AO14,IF(U14="BiP",AP14,IF(U14="PV",AQ14,IF(U14="OC",AR14,IF(U14="MG",AS14,0))))))))))</f>
        <v/>
      </c>
      <c r="W14" s="27">
        <f>IF(U14="BiP",Upgrades!$F$18,IF(U14="PV",Upgrades!$F$19,IF(U14="OC",Upgrades!$F$20,IF(U14="MG",Upgrades!$F$21,IF(U14="transition",-Parameters!$B$18*Parameters!$B$19,0)))))</f>
        <v/>
      </c>
      <c r="X14" s="22">
        <f>C14+T14-V14</f>
        <v/>
      </c>
      <c r="Y14" s="30">
        <f>O14*Parameters!$B$10/60*Parameters!$B$11+Q14*O14+P14</f>
        <v/>
      </c>
      <c r="Z14" s="34">
        <f>IF(U14="transition","→ Tier 3 (Galactic Arm)",IF(U14="MG","Moving Group — pocket drifts together",IF(U14="OC","Open Cluster acquired",IF(U14="PV","Peculiar Velocity — passive multiplier active",IF(U14="BiP","Binary Partner — pair bond formed",IF(AND(AU14=1,N14=0,AT14&lt;&gt;1),"Cohesion ready (waiting on completionists)","")))))) </f>
        <v/>
      </c>
      <c r="AA14" s="27">
        <f>(IF(E14=0,0,(Upgrades!$G$13+E14*Upgrades!$H$13)*POWER(Upgrades!$I$13,E14)))*(IF(Upgrades!$T$14="Stellar Kinematics",POWER(Upgrades!$U$14,F14),1)*IF(Upgrades!$T$15="Stellar Kinematics",POWER(Upgrades!$U$15,G14),1)*IF(Upgrades!$T$16="Stellar Kinematics",POWER(Upgrades!$U$16,H14),1)*IF(Upgrades!$T$17="Stellar Kinematics",POWER(Upgrades!$U$17,I14),1)*IF(Upgrades!$T$18="Stellar Kinematics",POWER(Upgrades!$U$18,J14),1)*IF(Upgrades!$T$19="Stellar Kinematics",POWER(Upgrades!$U$19,K14),1)*IF(Upgrades!$T$20="Stellar Kinematics",POWER(Upgrades!$U$20,L14),1)*IF(Upgrades!$T$21="Stellar Kinematics",POWER(Upgrades!$U$21,M14),1))*POWER(Upgrades!$P$13,E14)*POWER(Upgrades!$P$14,F14)*POWER(Upgrades!$P$15,G14)*POWER(Upgrades!$P$16,H14)*POWER(Upgrades!$P$17,I14)*POWER(Upgrades!$P$18,J14)*POWER(Upgrades!$P$19,K14)*POWER(Upgrades!$P$20,L14)*POWER(Upgrades!$P$21,M14)*$F$6*60</f>
        <v/>
      </c>
      <c r="AB14" s="27">
        <f>(IF(F14=0,0,(Upgrades!$G$14+F14*Upgrades!$H$14)*POWER(Upgrades!$I$14,F14)))*(IF(Upgrades!$T$13="Local Bubble",POWER(Upgrades!$U$13,E14),1)*IF(Upgrades!$T$15="Local Bubble",POWER(Upgrades!$U$15,G14),1)*IF(Upgrades!$T$16="Local Bubble",POWER(Upgrades!$U$16,H14),1)*IF(Upgrades!$T$17="Local Bubble",POWER(Upgrades!$U$17,I14),1)*IF(Upgrades!$T$18="Local Bubble",POWER(Upgrades!$U$18,J14),1)*IF(Upgrades!$T$19="Local Bubble",POWER(Upgrades!$U$19,K14),1)*IF(Upgrades!$T$20="Local Bubble",POWER(Upgrades!$U$20,L14),1)*IF(Upgrades!$T$21="Local Bubble",POWER(Upgrades!$U$21,M14),1))*POWER(Upgrades!$P$13,E14)*POWER(Upgrades!$P$14,F14)*POWER(Upgrades!$P$15,G14)*POWER(Upgrades!$P$16,H14)*POWER(Upgrades!$P$17,I14)*POWER(Upgrades!$P$18,J14)*POWER(Upgrades!$P$19,K14)*POWER(Upgrades!$P$20,L14)*POWER(Upgrades!$P$21,M14)*$F$6*60</f>
        <v/>
      </c>
      <c r="AC14" s="27">
        <f>(IF(G14=0,0,(Upgrades!$J$15+G14*Upgrades!$K$15)*POWER(Upgrades!$L$15,G14)))*(IF(Upgrades!$T$13="Microlensing",POWER(Upgrades!$U$13,E14),1)*IF(Upgrades!$T$14="Microlensing",POWER(Upgrades!$U$14,F14),1)*IF(Upgrades!$T$16="Microlensing",POWER(Upgrades!$U$16,H14),1)*IF(Upgrades!$T$17="Microlensing",POWER(Upgrades!$U$17,I14),1)*IF(Upgrades!$T$18="Microlensing",POWER(Upgrades!$U$18,J14),1)*IF(Upgrades!$T$19="Microlensing",POWER(Upgrades!$U$19,K14),1)*IF(Upgrades!$T$20="Microlensing",POWER(Upgrades!$U$20,L14),1)*IF(Upgrades!$T$21="Microlensing",POWER(Upgrades!$U$21,M14),1))*POWER(Upgrades!$Q$13,E14)*POWER(Upgrades!$Q$14,F14)*POWER(Upgrades!$Q$15,G14)*POWER(Upgrades!$Q$16,H14)*POWER(Upgrades!$Q$17,I14)*POWER(Upgrades!$Q$18,J14)*POWER(Upgrades!$Q$19,K14)*POWER(Upgrades!$Q$20,L14)*POWER(Upgrades!$Q$21,M14)*$G$6*(Parameters!$B$10*Parameters!$B$11+Q14*60)</f>
        <v/>
      </c>
      <c r="AD14" s="27">
        <f>(IF(H14=0,0,(Upgrades!$M$16+H14*Upgrades!$N$16)*POWER(Upgrades!$O$16,H14)))*(IF(Upgrades!$T$13="Roche Lobe Overflow",POWER(Upgrades!$U$13,E14),1)*IF(Upgrades!$T$14="Roche Lobe Overflow",POWER(Upgrades!$U$14,F14),1)*IF(Upgrades!$T$15="Roche Lobe Overflow",POWER(Upgrades!$U$15,G14),1)*IF(Upgrades!$T$17="Roche Lobe Overflow",POWER(Upgrades!$U$17,I14),1)*IF(Upgrades!$T$18="Roche Lobe Overflow",POWER(Upgrades!$U$18,J14),1)*IF(Upgrades!$T$19="Roche Lobe Overflow",POWER(Upgrades!$U$19,K14),1)*IF(Upgrades!$T$20="Roche Lobe Overflow",POWER(Upgrades!$U$20,L14),1)*IF(Upgrades!$T$21="Roche Lobe Overflow",POWER(Upgrades!$U$21,M14),1))*POWER(Upgrades!$R$13,E14)*POWER(Upgrades!$R$14,F14)*POWER(Upgrades!$R$15,G14)*POWER(Upgrades!$R$16,H14)*POWER(Upgrades!$R$17,I14)*POWER(Upgrades!$R$18,J14)*POWER(Upgrades!$R$19,K14)*POWER(Upgrades!$R$20,L14)*POWER(Upgrades!$R$21,M14)*$H$6*O14*60</f>
        <v/>
      </c>
      <c r="AE14" s="27">
        <f>(IF(I14=0,0,(Upgrades!$G$17+I14*Upgrades!$H$17)*POWER(Upgrades!$I$17,I14)))*(IF(Upgrades!$T$13="Brown Dwarf",POWER(Upgrades!$U$13,E14),1)*IF(Upgrades!$T$14="Brown Dwarf",POWER(Upgrades!$U$14,F14),1)*IF(Upgrades!$T$15="Brown Dwarf",POWER(Upgrades!$U$15,G14),1)*IF(Upgrades!$T$16="Brown Dwarf",POWER(Upgrades!$U$16,H14),1)*IF(Upgrades!$T$18="Brown Dwarf",POWER(Upgrades!$U$18,J14),1)*IF(Upgrades!$T$19="Brown Dwarf",POWER(Upgrades!$U$19,K14),1)*IF(Upgrades!$T$20="Brown Dwarf",POWER(Upgrades!$U$20,L14),1)*IF(Upgrades!$T$21="Brown Dwarf",POWER(Upgrades!$U$21,M14),1))*POWER(Upgrades!$P$13,E14)*POWER(Upgrades!$P$14,F14)*POWER(Upgrades!$P$15,G14)*POWER(Upgrades!$P$16,H14)*POWER(Upgrades!$P$17,I14)*POWER(Upgrades!$P$18,J14)*POWER(Upgrades!$P$19,K14)*POWER(Upgrades!$P$20,L14)*POWER(Upgrades!$P$21,M14)*$F$6*60</f>
        <v/>
      </c>
      <c r="AF14" s="27" t="n">
        <v>0</v>
      </c>
      <c r="AG14" s="27" t="n">
        <v>0</v>
      </c>
      <c r="AH14" s="27" t="n">
        <v>0</v>
      </c>
      <c r="AI14" s="27">
        <f>(IF(M14=0,0,(Upgrades!$G$21+M14*Upgrades!$H$21)*POWER(Upgrades!$I$21,M14)))*(IF(Upgrades!$T$13="Moving Group",POWER(Upgrades!$U$13,E14),1)*IF(Upgrades!$T$14="Moving Group",POWER(Upgrades!$U$14,F14),1)*IF(Upgrades!$T$15="Moving Group",POWER(Upgrades!$U$15,G14),1)*IF(Upgrades!$T$16="Moving Group",POWER(Upgrades!$U$16,H14),1)*IF(Upgrades!$T$17="Moving Group",POWER(Upgrades!$U$17,I14),1)*IF(Upgrades!$T$18="Moving Group",POWER(Upgrades!$U$18,J14),1)*IF(Upgrades!$T$19="Moving Group",POWER(Upgrades!$U$19,K14),1)*IF(Upgrades!$T$20="Moving Group",POWER(Upgrades!$U$20,L14),1))*POWER(Upgrades!$P$13,E14)*POWER(Upgrades!$P$14,F14)*POWER(Upgrades!$P$15,G14)*POWER(Upgrades!$P$16,H14)*POWER(Upgrades!$P$17,I14)*POWER(Upgrades!$P$18,J14)*POWER(Upgrades!$P$19,K14)*POWER(Upgrades!$P$20,L14)*POWER(Upgrades!$P$21,M14)*$F$6*60</f>
        <v/>
      </c>
      <c r="AJ14" s="27">
        <f>$C$6*60</f>
        <v/>
      </c>
      <c r="AK14" s="22">
        <f>IF(E14&gt;=Upgrades!$E$13,"",Upgrades!$C$13*POWER(Upgrades!$D$13,E14))</f>
        <v/>
      </c>
      <c r="AL14" s="22">
        <f>IF(F14&gt;=Upgrades!$E$14,"",Upgrades!$C$14*POWER(Upgrades!$D$14,F14))</f>
        <v/>
      </c>
      <c r="AM14" s="22">
        <f>IF(G14&gt;=Upgrades!$E$15,"",Upgrades!$C$15*POWER(Upgrades!$D$15,G14))</f>
        <v/>
      </c>
      <c r="AN14" s="22">
        <f>IF(H14&gt;=Upgrades!$E$16,"",Upgrades!$C$16*POWER(Upgrades!$D$16,H14))</f>
        <v/>
      </c>
      <c r="AO14" s="22">
        <f>IF(I14&gt;=Upgrades!$E$17,"",Upgrades!$C$17*POWER(Upgrades!$D$17,I14))</f>
        <v/>
      </c>
      <c r="AP14" s="22">
        <f>IF(J14&gt;=Upgrades!$E$18,"",Upgrades!$C$18*POWER(Upgrades!$D$18,J14))</f>
        <v/>
      </c>
      <c r="AQ14" s="22">
        <f>IF(K14&gt;=Upgrades!$E$19,"",Upgrades!$C$19*POWER(Upgrades!$D$19,K14))</f>
        <v/>
      </c>
      <c r="AR14" s="22">
        <f>IF(L14&gt;=Upgrades!$E$20,"",Upgrades!$C$20*POWER(Upgrades!$D$20,L14))</f>
        <v/>
      </c>
      <c r="AS14" s="22">
        <f>IF(M14&gt;=Upgrades!$E$21,"",Upgrades!$C$21*POWER(Upgrades!$D$21,M14))</f>
        <v/>
      </c>
      <c r="AT14" s="26">
        <f>IF(AND(D14&gt;=Parameters!$B$18*Parameters!$B$19,(I14&gt;=Upgrades!$E$17)*(M14&gt;=Upgrades!$E$21)=1,N14=0),1,"")</f>
        <v/>
      </c>
      <c r="AU14" s="26">
        <f>IF(AND(D14&gt;=Parameters!$B$18*Parameters!$B$19,N14=0),1,"")</f>
        <v/>
      </c>
      <c r="AV14" s="22">
        <f>MIN(IF(ISNUMBER(AP14),AP14,9E15),IF(ISNUMBER(AQ14),AQ14,9E15),IF(ISNUMBER(AR14),AR14,9E15),IF(ISNUMBER(AS14),AS14,9E15))</f>
        <v/>
      </c>
      <c r="AW14" s="22">
        <f>MIN(IF(ISNUMBER(AK14),AK14,9E15),IF(ISNUMBER(AL14),AL14,9E15),IF(ISNUMBER(AM14),AM14,9E15),IF(ISNUMBER(AN14),AN14,9E15),IF(ISNUMBER(AO14),AO14,9E15))</f>
        <v/>
      </c>
      <c r="AX14" s="29">
        <f>IF(BD14&gt;Parameters!$B$21*(MAX(IF(AND(NOT(AND(AU14=1,AT14&lt;&gt;1)),ISNUMBER(AK14),AK14&lt;=(C14+T14)),AY14,0),IF(AND(NOT(AND(AU14=1,AT14&lt;&gt;1)),ISNUMBER(AL14),AL14&lt;=(C14+T14)),AZ14,0),IF(AND(NOT(AND(AU14=1,AT14&lt;&gt;1)),ISNUMBER(AM14),AM14&lt;=(C14+T14)),BA14,0),IF(AND(NOT(AND(AU14=1,AT14&lt;&gt;1)),ISNUMBER(AN14),AN14&lt;=(C14+T14)),BB14,0),IF(AND(ISNUMBER(AO14),AO14&lt;=(C14+T14)),BC14,0))),TRUE,FALSE)</f>
        <v/>
      </c>
      <c r="AY14" s="32">
        <f>IFERROR(Upgrades!$H$13*(POWER(Upgrades!$P$13,E14)*POWER(Upgrades!$P$14,F14)*POWER(Upgrades!$P$15,G14)*POWER(Upgrades!$P$16,H14)*POWER(Upgrades!$P$17,I14)*POWER(Upgrades!$P$18,J14)*POWER(Upgrades!$P$19,K14)*POWER(Upgrades!$P$20,L14)*POWER(Upgrades!$P$21,M14))*(IF(Upgrades!$T$14="Stellar Kinematics",POWER(Upgrades!$U$14,F14),1)*IF(Upgrades!$T$15="Stellar Kinematics",POWER(Upgrades!$U$15,G14),1)*IF(Upgrades!$T$16="Stellar Kinematics",POWER(Upgrades!$U$16,H14),1)*IF(Upgrades!$T$17="Stellar Kinematics",POWER(Upgrades!$U$17,I14),1)*IF(Upgrades!$T$18="Stellar Kinematics",POWER(Upgrades!$U$18,J14),1)*IF(Upgrades!$T$19="Stellar Kinematics",POWER(Upgrades!$U$19,K14),1)*IF(Upgrades!$T$20="Stellar Kinematics",POWER(Upgrades!$U$20,L14),1)*IF(Upgrades!$T$21="Stellar Kinematics",POWER(Upgrades!$U$21,M14),1))*$F$6/AK14,0)</f>
        <v/>
      </c>
      <c r="AZ14" s="32">
        <f>IFERROR(Upgrades!$H$14*(POWER(Upgrades!$P$13,E14)*POWER(Upgrades!$P$14,F14)*POWER(Upgrades!$P$15,G14)*POWER(Upgrades!$P$16,H14)*POWER(Upgrades!$P$17,I14)*POWER(Upgrades!$P$18,J14)*POWER(Upgrades!$P$19,K14)*POWER(Upgrades!$P$20,L14)*POWER(Upgrades!$P$21,M14))*(IF(Upgrades!$T$13="Local Bubble",POWER(Upgrades!$U$13,E14),1)*IF(Upgrades!$T$15="Local Bubble",POWER(Upgrades!$U$15,G14),1)*IF(Upgrades!$T$16="Local Bubble",POWER(Upgrades!$U$16,H14),1)*IF(Upgrades!$T$17="Local Bubble",POWER(Upgrades!$U$17,I14),1)*IF(Upgrades!$T$18="Local Bubble",POWER(Upgrades!$U$18,J14),1)*IF(Upgrades!$T$19="Local Bubble",POWER(Upgrades!$U$19,K14),1)*IF(Upgrades!$T$20="Local Bubble",POWER(Upgrades!$U$20,L14),1)*IF(Upgrades!$T$21="Local Bubble",POWER(Upgrades!$U$21,M14),1))*$F$6/AL14,0)</f>
        <v/>
      </c>
      <c r="BA14" s="32">
        <f>IFERROR(Upgrades!$K$15*(POWER(Upgrades!$Q$13,E14)*POWER(Upgrades!$Q$14,F14)*POWER(Upgrades!$Q$15,G14)*POWER(Upgrades!$Q$16,H14)*POWER(Upgrades!$Q$17,I14)*POWER(Upgrades!$Q$18,J14)*POWER(Upgrades!$Q$19,K14)*POWER(Upgrades!$Q$20,L14)*POWER(Upgrades!$Q$21,M14))*(IF(Upgrades!$T$13="Microlensing",POWER(Upgrades!$U$13,E14),1)*IF(Upgrades!$T$14="Microlensing",POWER(Upgrades!$U$14,F14),1)*IF(Upgrades!$T$16="Microlensing",POWER(Upgrades!$U$16,H14),1)*IF(Upgrades!$T$17="Microlensing",POWER(Upgrades!$U$17,I14),1)*IF(Upgrades!$T$18="Microlensing",POWER(Upgrades!$U$18,J14),1)*IF(Upgrades!$T$19="Microlensing",POWER(Upgrades!$U$19,K14),1)*IF(Upgrades!$T$20="Microlensing",POWER(Upgrades!$U$20,L14),1)*IF(Upgrades!$T$21="Microlensing",POWER(Upgrades!$U$21,M14),1))*$G$6*(Parameters!$B$10/60*Parameters!$B$11+Q14)/AM14,0)</f>
        <v/>
      </c>
      <c r="BB14" s="32">
        <f>IFERROR((Upgrades!$N$16*(POWER(Upgrades!$R$13,E14)*POWER(Upgrades!$R$14,F14)*POWER(Upgrades!$R$15,G14)*POWER(Upgrades!$R$16,H14)*POWER(Upgrades!$R$17,I14)*POWER(Upgrades!$R$18,J14)*POWER(Upgrades!$R$19,K14)*POWER(Upgrades!$R$20,L14)*POWER(Upgrades!$R$21,M14))*(IF(Upgrades!$T$13="Roche Lobe Overflow",POWER(Upgrades!$U$13,E14),1)*IF(Upgrades!$T$14="Roche Lobe Overflow",POWER(Upgrades!$U$14,F14),1)*IF(Upgrades!$T$15="Roche Lobe Overflow",POWER(Upgrades!$U$15,G14),1)*IF(Upgrades!$T$17="Roche Lobe Overflow",POWER(Upgrades!$U$17,I14),1)*IF(Upgrades!$T$18="Roche Lobe Overflow",POWER(Upgrades!$U$18,J14),1)*IF(Upgrades!$T$19="Roche Lobe Overflow",POWER(Upgrades!$U$19,K14),1)*IF(Upgrades!$T$20="Roche Lobe Overflow",POWER(Upgrades!$U$20,L14),1)*IF(Upgrades!$T$21="Roche Lobe Overflow",POWER(Upgrades!$U$21,M14),1))*$H$6*O14+((IF(F14=0,0,(Upgrades!$G$14+F14*Upgrades!$H$14)*POWER(Upgrades!$I$14,F14)))*(IF(Upgrades!$T$13="Local Bubble",POWER(Upgrades!$U$13,E14),1)*IF(Upgrades!$T$15="Local Bubble",POWER(Upgrades!$U$15,G14),1)*IF(Upgrades!$T$16="Local Bubble",POWER(Upgrades!$U$16,H14),1)*IF(Upgrades!$T$17="Local Bubble",POWER(Upgrades!$U$17,I14),1)*IF(Upgrades!$T$18="Local Bubble",POWER(Upgrades!$U$18,J14),1)*IF(Upgrades!$T$19="Local Bubble",POWER(Upgrades!$U$19,K14),1)*IF(Upgrades!$T$20="Local Bubble",POWER(Upgrades!$U$20,L14),1)*IF(Upgrades!$T$21="Local Bubble",POWER(Upgrades!$U$21,M14),1))*POWER(Upgrades!$P$13,E14)*POWER(Upgrades!$P$14,F14)*POWER(Upgrades!$P$15,G14)*POWER(Upgrades!$P$16,H14)*POWER(Upgrades!$P$17,I14)*POWER(Upgrades!$P$18,J14)*POWER(Upgrades!$P$19,K14)*POWER(Upgrades!$P$20,L14)*POWER(Upgrades!$P$21,M14)*$F$6)*0.05)/AN14,0)</f>
        <v/>
      </c>
      <c r="BC14" s="32">
        <f>IFERROR((Upgrades!$H$17*(POWER(Upgrades!$P$13,E14)*POWER(Upgrades!$P$14,F14)*POWER(Upgrades!$P$15,G14)*POWER(Upgrades!$P$16,H14)*POWER(Upgrades!$P$17,I14)*POWER(Upgrades!$P$18,J14)*POWER(Upgrades!$P$19,K14)*POWER(Upgrades!$P$20,L14)*POWER(Upgrades!$P$21,M14))*(IF(Upgrades!$T$13="Brown Dwarf",POWER(Upgrades!$U$13,E14),1)*IF(Upgrades!$T$14="Brown Dwarf",POWER(Upgrades!$U$14,F14),1)*IF(Upgrades!$T$15="Brown Dwarf",POWER(Upgrades!$U$15,G14),1)*IF(Upgrades!$T$16="Brown Dwarf",POWER(Upgrades!$U$16,H14),1)*IF(Upgrades!$T$18="Brown Dwarf",POWER(Upgrades!$U$18,J14),1)*IF(Upgrades!$T$19="Brown Dwarf",POWER(Upgrades!$U$19,K14),1)*IF(Upgrades!$T$20="Brown Dwarf",POWER(Upgrades!$U$20,L14),1)*IF(Upgrades!$T$21="Brown Dwarf",POWER(Upgrades!$U$21,M14),1))*$F$6+(((IF(H14=0,0,(Upgrades!$M$16+H14*Upgrades!$N$16)*POWER(Upgrades!$O$16,H14)))*(IF(Upgrades!$T$13="Roche Lobe Overflow",POWER(Upgrades!$U$13,E14),1)*IF(Upgrades!$T$14="Roche Lobe Overflow",POWER(Upgrades!$U$14,F14),1)*IF(Upgrades!$T$15="Roche Lobe Overflow",POWER(Upgrades!$U$15,G14),1)*IF(Upgrades!$T$17="Roche Lobe Overflow",POWER(Upgrades!$U$17,I14),1)*IF(Upgrades!$T$18="Roche Lobe Overflow",POWER(Upgrades!$U$18,J14),1)*IF(Upgrades!$T$19="Roche Lobe Overflow",POWER(Upgrades!$U$19,K14),1)*IF(Upgrades!$T$20="Roche Lobe Overflow",POWER(Upgrades!$U$20,L14),1)*IF(Upgrades!$T$21="Roche Lobe Overflow",POWER(Upgrades!$U$21,M14),1))*POWER(Upgrades!$R$13,E14)*POWER(Upgrades!$R$14,F14)*POWER(Upgrades!$R$15,G14)*POWER(Upgrades!$R$16,H14)*POWER(Upgrades!$R$17,I14)*POWER(Upgrades!$R$18,J14)*POWER(Upgrades!$R$19,K14)*POWER(Upgrades!$R$20,L14)*POWER(Upgrades!$R$21,M14)*$H$6)*O14)*0.10)/AO14,0)</f>
        <v/>
      </c>
      <c r="BD14" s="32">
        <f>MAX(IF(J14&gt;0,0,IFERROR(0.5*((IF(G14=0,0,(Upgrades!$J$15+G14*Upgrades!$K$15)*POWER(Upgrades!$L$15,G14)))*(IF(Upgrades!$T$13="Microlensing",POWER(Upgrades!$U$13,E14),1)*IF(Upgrades!$T$14="Microlensing",POWER(Upgrades!$U$14,F14),1)*IF(Upgrades!$T$16="Microlensing",POWER(Upgrades!$U$16,H14),1)*IF(Upgrades!$T$17="Microlensing",POWER(Upgrades!$U$17,I14),1)*IF(Upgrades!$T$18="Microlensing",POWER(Upgrades!$U$18,J14),1)*IF(Upgrades!$T$19="Microlensing",POWER(Upgrades!$U$19,K14),1)*IF(Upgrades!$T$20="Microlensing",POWER(Upgrades!$U$20,L14),1)*IF(Upgrades!$T$21="Microlensing",POWER(Upgrades!$U$21,M14),1))*(POWER(Upgrades!$Q$13,E14)*POWER(Upgrades!$Q$14,F14)*POWER(Upgrades!$Q$15,G14)*POWER(Upgrades!$Q$16,H14)*POWER(Upgrades!$Q$17,I14)*POWER(Upgrades!$Q$18,J14)*POWER(Upgrades!$Q$19,K14)*POWER(Upgrades!$Q$20,L14)*POWER(Upgrades!$Q$21,M14))*$G$6*(Parameters!$B$10/60*Parameters!$B$11+Q14))/Upgrades!$C$18,0)),IF(K14&gt;0,0,IFERROR(0.30*P14/Upgrades!$C$19,0)),IF(L14&gt;0,0,IFERROR(0.0001/Upgrades!$C$20,0)),IF(M14&gt;0,0,IFERROR((6.0*(POWER(Upgrades!$P$13,E14)*POWER(Upgrades!$P$14,F14)*POWER(Upgrades!$P$15,G14)*POWER(Upgrades!$P$16,H14)*POWER(Upgrades!$P$17,I14)*POWER(Upgrades!$P$18,J14)*POWER(Upgrades!$P$19,K14)*POWER(Upgrades!$P$20,L14)*POWER(Upgrades!$P$21,M14))*$F$6+0.20*O14*(Parameters!$B$10/60*Parameters!$B$11+Q14))/Upgrades!$C$21,0)),IF(AND(ISNUMBER(AK14),AK14&gt;(C14+T14)),AY14,0),IF(AND(ISNUMBER(AL14),AL14&gt;(C14+T14)),AZ14,0),IF(AND(ISNUMBER(AM14),AM14&gt;(C14+T14)),BA14,0),IF(AND(ISNUMBER(AN14),AN14&gt;(C14+T14)),BB14,0),IF(AND(ISNUMBER(AO14),AO14&gt;(C14+T14)),BC14,0))</f>
        <v/>
      </c>
      <c r="BE14" s="29">
        <f>IF(AT14=1,"transition",IF(MIN(IF(AND(J14=0,ISNUMBER(AP14),AP14&lt;=(C14+T14)),AP14,9E15),IF(AND(K14=0,ISNUMBER(AQ14),AQ14&lt;=(C14+T14)),AQ14,9E15),IF(AND(L14=0,ISNUMBER(AR14),AR14&lt;=(C14+T14)),AR14,9E15),IF(AND(M14=0,ISNUMBER(AS14),AS14&lt;=(C14+T14)),AS14,9E15))&lt;9E15,IF(AND(AND(J14=0,ISNUMBER(AP14),AP14&lt;=(C14+T14)),AP14=MIN(IF(AND(J14=0,ISNUMBER(AP14),AP14&lt;=(C14+T14)),AP14,9E15),IF(AND(K14=0,ISNUMBER(AQ14),AQ14&lt;=(C14+T14)),AQ14,9E15),IF(AND(L14=0,ISNUMBER(AR14),AR14&lt;=(C14+T14)),AR14,9E15),IF(AND(M14=0,ISNUMBER(AS14),AS14&lt;=(C14+T14)),AS14,9E15))),"BiP",IF(AND(AND(K14=0,ISNUMBER(AQ14),AQ14&lt;=(C14+T14)),AQ14=MIN(IF(AND(J14=0,ISNUMBER(AP14),AP14&lt;=(C14+T14)),AP14,9E15),IF(AND(K14=0,ISNUMBER(AQ14),AQ14&lt;=(C14+T14)),AQ14,9E15),IF(AND(L14=0,ISNUMBER(AR14),AR14&lt;=(C14+T14)),AR14,9E15),IF(AND(M14=0,ISNUMBER(AS14),AS14&lt;=(C14+T14)),AS14,9E15))),"PV",IF(AND(AND(L14=0,ISNUMBER(AR14),AR14&lt;=(C14+T14)),AR14=MIN(IF(AND(J14=0,ISNUMBER(AP14),AP14&lt;=(C14+T14)),AP14,9E15),IF(AND(K14=0,ISNUMBER(AQ14),AQ14&lt;=(C14+T14)),AQ14,9E15),IF(AND(L14=0,ISNUMBER(AR14),AR14&lt;=(C14+T14)),AR14,9E15),IF(AND(M14=0,ISNUMBER(AS14),AS14&lt;=(C14+T14)),AS14,9E15))),"OC","MG"))),IF(AX14=TRUE,"",IF(MAX(IF(AND(NOT(AND(AU14=1,AT14&lt;&gt;1)),ISNUMBER(AK14),AK14&lt;=(C14+T14)),AY14,0),IF(AND(NOT(AND(AU14=1,AT14&lt;&gt;1)),ISNUMBER(AL14),AL14&lt;=(C14+T14)),AZ14,0),IF(AND(NOT(AND(AU14=1,AT14&lt;&gt;1)),ISNUMBER(AM14),AM14&lt;=(C14+T14)),BA14,0),IF(AND(NOT(AND(AU14=1,AT14&lt;&gt;1)),ISNUMBER(AN14),AN14&lt;=(C14+T14)),BB14,0),IF(AND(ISNUMBER(AO14),AO14&lt;=(C14+T14)),BC14,0))&lt;=0,"",IF(AND(IF(AND(NOT(AND(AU14=1,AT14&lt;&gt;1)),ISNUMBER(AK14),AK14&lt;=(C14+T14)),AY14,0)&gt;0,IF(AND(NOT(AND(AU14=1,AT14&lt;&gt;1)),ISNUMBER(AK14),AK14&lt;=(C14+T14)),AY14,0)=MAX(IF(AND(NOT(AND(AU14=1,AT14&lt;&gt;1)),ISNUMBER(AK14),AK14&lt;=(C14+T14)),AY14,0),IF(AND(NOT(AND(AU14=1,AT14&lt;&gt;1)),ISNUMBER(AL14),AL14&lt;=(C14+T14)),AZ14,0),IF(AND(NOT(AND(AU14=1,AT14&lt;&gt;1)),ISNUMBER(AM14),AM14&lt;=(C14+T14)),BA14,0),IF(AND(NOT(AND(AU14=1,AT14&lt;&gt;1)),ISNUMBER(AN14),AN14&lt;=(C14+T14)),BB14,0),IF(AND(ISNUMBER(AO14),AO14&lt;=(C14+T14)),BC14,0))),"SK",IF(AND(IF(AND(NOT(AND(AU14=1,AT14&lt;&gt;1)),ISNUMBER(AL14),AL14&lt;=(C14+T14)),AZ14,0)&gt;0,IF(AND(NOT(AND(AU14=1,AT14&lt;&gt;1)),ISNUMBER(AL14),AL14&lt;=(C14+T14)),AZ14,0)=MAX(IF(AND(NOT(AND(AU14=1,AT14&lt;&gt;1)),ISNUMBER(AK14),AK14&lt;=(C14+T14)),AY14,0),IF(AND(NOT(AND(AU14=1,AT14&lt;&gt;1)),ISNUMBER(AL14),AL14&lt;=(C14+T14)),AZ14,0),IF(AND(NOT(AND(AU14=1,AT14&lt;&gt;1)),ISNUMBER(AM14),AM14&lt;=(C14+T14)),BA14,0),IF(AND(NOT(AND(AU14=1,AT14&lt;&gt;1)),ISNUMBER(AN14),AN14&lt;=(C14+T14)),BB14,0),IF(AND(ISNUMBER(AO14),AO14&lt;=(C14+T14)),BC14,0))),"LB",IF(AND(IF(AND(NOT(AND(AU14=1,AT14&lt;&gt;1)),ISNUMBER(AM14),AM14&lt;=(C14+T14)),BA14,0)&gt;0,IF(AND(NOT(AND(AU14=1,AT14&lt;&gt;1)),ISNUMBER(AM14),AM14&lt;=(C14+T14)),BA14,0)=MAX(IF(AND(NOT(AND(AU14=1,AT14&lt;&gt;1)),ISNUMBER(AK14),AK14&lt;=(C14+T14)),AY14,0),IF(AND(NOT(AND(AU14=1,AT14&lt;&gt;1)),ISNUMBER(AL14),AL14&lt;=(C14+T14)),AZ14,0),IF(AND(NOT(AND(AU14=1,AT14&lt;&gt;1)),ISNUMBER(AM14),AM14&lt;=(C14+T14)),BA14,0),IF(AND(NOT(AND(AU14=1,AT14&lt;&gt;1)),ISNUMBER(AN14),AN14&lt;=(C14+T14)),BB14,0),IF(AND(ISNUMBER(AO14),AO14&lt;=(C14+T14)),BC14,0))),"ML",IF(AND(IF(AND(NOT(AND(AU14=1,AT14&lt;&gt;1)),ISNUMBER(AN14),AN14&lt;=(C14+T14)),BB14,0)&gt;0,IF(AND(NOT(AND(AU14=1,AT14&lt;&gt;1)),ISNUMBER(AN14),AN14&lt;=(C14+T14)),BB14,0)=MAX(IF(AND(NOT(AND(AU14=1,AT14&lt;&gt;1)),ISNUMBER(AK14),AK14&lt;=(C14+T14)),AY14,0),IF(AND(NOT(AND(AU14=1,AT14&lt;&gt;1)),ISNUMBER(AL14),AL14&lt;=(C14+T14)),AZ14,0),IF(AND(NOT(AND(AU14=1,AT14&lt;&gt;1)),ISNUMBER(AM14),AM14&lt;=(C14+T14)),BA14,0),IF(AND(NOT(AND(AU14=1,AT14&lt;&gt;1)),ISNUMBER(AN14),AN14&lt;=(C14+T14)),BB14,0),IF(AND(ISNUMBER(AO14),AO14&lt;=(C14+T14)),BC14,0))),"RLO","BD"))))))))</f>
        <v/>
      </c>
    </row>
    <row r="15">
      <c r="A15" s="26" t="n">
        <v>4</v>
      </c>
      <c r="B15" s="27">
        <f>A15*10/60</f>
        <v/>
      </c>
      <c r="C15" s="22">
        <f>X14</f>
        <v/>
      </c>
      <c r="D15" s="27">
        <f>D14+W14</f>
        <v/>
      </c>
      <c r="E15" s="26">
        <f>E14+IF(U14="SK",1,0)</f>
        <v/>
      </c>
      <c r="F15" s="26">
        <f>F14+IF(U14="LB",1,0)</f>
        <v/>
      </c>
      <c r="G15" s="26">
        <f>G14+IF(U14="ML",1,0)</f>
        <v/>
      </c>
      <c r="H15" s="26">
        <f>H14+IF(U14="RLO",1,0)</f>
        <v/>
      </c>
      <c r="I15" s="26">
        <f>I14+IF(U14="BD",1,0)</f>
        <v/>
      </c>
      <c r="J15" s="26">
        <f>MAX(J14,IF(U14="BiP",1,0))</f>
        <v/>
      </c>
      <c r="K15" s="26">
        <f>MAX(K14,IF(U14="PV",1,0))</f>
        <v/>
      </c>
      <c r="L15" s="26">
        <f>MAX(L14,IF(U14="OC",1,0))</f>
        <v/>
      </c>
      <c r="M15" s="26">
        <f>MAX(M14,IF(U14="MG",1,0))</f>
        <v/>
      </c>
      <c r="N15" s="26">
        <f>MAX(N14,IF(U14="transition",1,0))</f>
        <v/>
      </c>
      <c r="O15" s="28">
        <f>(Parameters!$B$9+(IF(E15=0,0,(Upgrades!$J$13+E15*Upgrades!$K$13)*POWER(Upgrades!$L$13,E15)))*(IF(Upgrades!$T$14="Stellar Kinematics",POWER(Upgrades!$U$14,F15),1)*IF(Upgrades!$T$15="Stellar Kinematics",POWER(Upgrades!$U$15,G15),1)*IF(Upgrades!$T$16="Stellar Kinematics",POWER(Upgrades!$U$16,H15),1)*IF(Upgrades!$T$17="Stellar Kinematics",POWER(Upgrades!$U$17,I15),1)*IF(Upgrades!$T$18="Stellar Kinematics",POWER(Upgrades!$U$18,J15),1)*IF(Upgrades!$T$19="Stellar Kinematics",POWER(Upgrades!$U$19,K15),1)*IF(Upgrades!$T$20="Stellar Kinematics",POWER(Upgrades!$U$20,L15),1)*IF(Upgrades!$T$21="Stellar Kinematics",POWER(Upgrades!$U$21,M15),1))+(IF(F15=0,0,(Upgrades!$J$14+F15*Upgrades!$K$14)*POWER(Upgrades!$L$14,F15)))*(IF(Upgrades!$T$13="Local Bubble",POWER(Upgrades!$U$13,E15),1)*IF(Upgrades!$T$15="Local Bubble",POWER(Upgrades!$U$15,G15),1)*IF(Upgrades!$T$16="Local Bubble",POWER(Upgrades!$U$16,H15),1)*IF(Upgrades!$T$17="Local Bubble",POWER(Upgrades!$U$17,I15),1)*IF(Upgrades!$T$18="Local Bubble",POWER(Upgrades!$U$18,J15),1)*IF(Upgrades!$T$19="Local Bubble",POWER(Upgrades!$U$19,K15),1)*IF(Upgrades!$T$20="Local Bubble",POWER(Upgrades!$U$20,L15),1)*IF(Upgrades!$T$21="Local Bubble",POWER(Upgrades!$U$21,M15),1))+(IF(G15=0,0,(Upgrades!$J$15+G15*Upgrades!$K$15)*POWER(Upgrades!$L$15,G15)))*(IF(Upgrades!$T$13="Microlensing",POWER(Upgrades!$U$13,E15),1)*IF(Upgrades!$T$14="Microlensing",POWER(Upgrades!$U$14,F15),1)*IF(Upgrades!$T$16="Microlensing",POWER(Upgrades!$U$16,H15),1)*IF(Upgrades!$T$17="Microlensing",POWER(Upgrades!$U$17,I15),1)*IF(Upgrades!$T$18="Microlensing",POWER(Upgrades!$U$18,J15),1)*IF(Upgrades!$T$19="Microlensing",POWER(Upgrades!$U$19,K15),1)*IF(Upgrades!$T$20="Microlensing",POWER(Upgrades!$U$20,L15),1)*IF(Upgrades!$T$21="Microlensing",POWER(Upgrades!$U$21,M15),1))+(IF(H15=0,0,(Upgrades!$J$16+H15*Upgrades!$K$16)*POWER(Upgrades!$L$16,H15)))*(IF(Upgrades!$T$13="Roche Lobe Overflow",POWER(Upgrades!$U$13,E15),1)*IF(Upgrades!$T$14="Roche Lobe Overflow",POWER(Upgrades!$U$14,F15),1)*IF(Upgrades!$T$15="Roche Lobe Overflow",POWER(Upgrades!$U$15,G15),1)*IF(Upgrades!$T$17="Roche Lobe Overflow",POWER(Upgrades!$U$17,I15),1)*IF(Upgrades!$T$18="Roche Lobe Overflow",POWER(Upgrades!$U$18,J15),1)*IF(Upgrades!$T$19="Roche Lobe Overflow",POWER(Upgrades!$U$19,K15),1)*IF(Upgrades!$T$20="Roche Lobe Overflow",POWER(Upgrades!$U$20,L15),1)*IF(Upgrades!$T$21="Roche Lobe Overflow",POWER(Upgrades!$U$21,M15),1))+(IF(I15=0,0,(Upgrades!$J$17+I15*Upgrades!$K$17)*POWER(Upgrades!$L$17,I15)))*(IF(Upgrades!$T$13="Brown Dwarf",POWER(Upgrades!$U$13,E15),1)*IF(Upgrades!$T$14="Brown Dwarf",POWER(Upgrades!$U$14,F15),1)*IF(Upgrades!$T$15="Brown Dwarf",POWER(Upgrades!$U$15,G15),1)*IF(Upgrades!$T$16="Brown Dwarf",POWER(Upgrades!$U$16,H15),1)*IF(Upgrades!$T$18="Brown Dwarf",POWER(Upgrades!$U$18,J15),1)*IF(Upgrades!$T$19="Brown Dwarf",POWER(Upgrades!$U$19,K15),1)*IF(Upgrades!$T$20="Brown Dwarf",POWER(Upgrades!$U$20,L15),1)*IF(Upgrades!$T$21="Brown Dwarf",POWER(Upgrades!$U$21,M15),1))+(IF(J15=0,0,(Upgrades!$J$18+J15*Upgrades!$K$18)*POWER(Upgrades!$L$18,J15)))*(IF(Upgrades!$T$13="Binary Partner",POWER(Upgrades!$U$13,E15),1)*IF(Upgrades!$T$14="Binary Partner",POWER(Upgrades!$U$14,F15),1)*IF(Upgrades!$T$15="Binary Partner",POWER(Upgrades!$U$15,G15),1)*IF(Upgrades!$T$16="Binary Partner",POWER(Upgrades!$U$16,H15),1)*IF(Upgrades!$T$17="Binary Partner",POWER(Upgrades!$U$17,I15),1)*IF(Upgrades!$T$19="Binary Partner",POWER(Upgrades!$U$19,K15),1)*IF(Upgrades!$T$20="Binary Partner",POWER(Upgrades!$U$20,L15),1)*IF(Upgrades!$T$21="Binary Partner",POWER(Upgrades!$U$21,M15),1))+(IF(K15=0,0,(Upgrades!$J$19+K15*Upgrades!$K$19)*POWER(Upgrades!$L$19,K15)))*(IF(Upgrades!$T$13="Peculiar Velocity",POWER(Upgrades!$U$13,E15),1)*IF(Upgrades!$T$14="Peculiar Velocity",POWER(Upgrades!$U$14,F15),1)*IF(Upgrades!$T$15="Peculiar Velocity",POWER(Upgrades!$U$15,G15),1)*IF(Upgrades!$T$16="Peculiar Velocity",POWER(Upgrades!$U$16,H15),1)*IF(Upgrades!$T$17="Peculiar Velocity",POWER(Upgrades!$U$17,I15),1)*IF(Upgrades!$T$18="Peculiar Velocity",POWER(Upgrades!$U$18,J15),1)*IF(Upgrades!$T$20="Peculiar Velocity",POWER(Upgrades!$U$20,L15),1)*IF(Upgrades!$T$21="Peculiar Velocity",POWER(Upgrades!$U$21,M15),1))+(IF(L15=0,0,(Upgrades!$J$20+L15*Upgrades!$K$20)*POWER(Upgrades!$L$20,L15)))*(IF(Upgrades!$T$13="Open Cluster",POWER(Upgrades!$U$13,E15),1)*IF(Upgrades!$T$14="Open Cluster",POWER(Upgrades!$U$14,F15),1)*IF(Upgrades!$T$15="Open Cluster",POWER(Upgrades!$U$15,G15),1)*IF(Upgrades!$T$16="Open Cluster",POWER(Upgrades!$U$16,H15),1)*IF(Upgrades!$T$17="Open Cluster",POWER(Upgrades!$U$17,I15),1)*IF(Upgrades!$T$18="Open Cluster",POWER(Upgrades!$U$18,J15),1)*IF(Upgrades!$T$19="Open Cluster",POWER(Upgrades!$U$19,K15),1)*IF(Upgrades!$T$21="Open Cluster",POWER(Upgrades!$U$21,M15),1))+(IF(M15=0,0,(Upgrades!$J$21+M15*Upgrades!$K$21)*POWER(Upgrades!$L$21,M15)))*(IF(Upgrades!$T$13="Moving Group",POWER(Upgrades!$U$13,E15),1)*IF(Upgrades!$T$14="Moving Group",POWER(Upgrades!$U$14,F15),1)*IF(Upgrades!$T$15="Moving Group",POWER(Upgrades!$U$15,G15),1)*IF(Upgrades!$T$16="Moving Group",POWER(Upgrades!$U$16,H15),1)*IF(Upgrades!$T$17="Moving Group",POWER(Upgrades!$U$17,I15),1)*IF(Upgrades!$T$18="Moving Group",POWER(Upgrades!$U$18,J15),1)*IF(Upgrades!$T$19="Moving Group",POWER(Upgrades!$U$19,K15),1)*IF(Upgrades!$T$20="Moving Group",POWER(Upgrades!$U$20,L15),1)))*POWER(Upgrades!$Q$13,E15)*POWER(Upgrades!$Q$14,F15)*POWER(Upgrades!$Q$15,G15)*POWER(Upgrades!$Q$16,H15)*POWER(Upgrades!$Q$17,I15)*POWER(Upgrades!$Q$18,J15)*POWER(Upgrades!$Q$19,K15)*POWER(Upgrades!$Q$20,L15)*POWER(Upgrades!$Q$21,M15)*$G$6+$D$6</f>
        <v/>
      </c>
      <c r="P15" s="28">
        <f>((IF(E15=0,0,(Upgrades!$G$13+E15*Upgrades!$H$13)*POWER(Upgrades!$I$13,E15)))*(IF(Upgrades!$T$14="Stellar Kinematics",POWER(Upgrades!$U$14,F15),1)*IF(Upgrades!$T$15="Stellar Kinematics",POWER(Upgrades!$U$15,G15),1)*IF(Upgrades!$T$16="Stellar Kinematics",POWER(Upgrades!$U$16,H15),1)*IF(Upgrades!$T$17="Stellar Kinematics",POWER(Upgrades!$U$17,I15),1)*IF(Upgrades!$T$18="Stellar Kinematics",POWER(Upgrades!$U$18,J15),1)*IF(Upgrades!$T$19="Stellar Kinematics",POWER(Upgrades!$U$19,K15),1)*IF(Upgrades!$T$20="Stellar Kinematics",POWER(Upgrades!$U$20,L15),1)*IF(Upgrades!$T$21="Stellar Kinematics",POWER(Upgrades!$U$21,M15),1))+(IF(F15=0,0,(Upgrades!$G$14+F15*Upgrades!$H$14)*POWER(Upgrades!$I$14,F15)))*(IF(Upgrades!$T$13="Local Bubble",POWER(Upgrades!$U$13,E15),1)*IF(Upgrades!$T$15="Local Bubble",POWER(Upgrades!$U$15,G15),1)*IF(Upgrades!$T$16="Local Bubble",POWER(Upgrades!$U$16,H15),1)*IF(Upgrades!$T$17="Local Bubble",POWER(Upgrades!$U$17,I15),1)*IF(Upgrades!$T$18="Local Bubble",POWER(Upgrades!$U$18,J15),1)*IF(Upgrades!$T$19="Local Bubble",POWER(Upgrades!$U$19,K15),1)*IF(Upgrades!$T$20="Local Bubble",POWER(Upgrades!$U$20,L15),1)*IF(Upgrades!$T$21="Local Bubble",POWER(Upgrades!$U$21,M15),1))+(IF(G15=0,0,(Upgrades!$G$15+G15*Upgrades!$H$15)*POWER(Upgrades!$I$15,G15)))*(IF(Upgrades!$T$13="Microlensing",POWER(Upgrades!$U$13,E15),1)*IF(Upgrades!$T$14="Microlensing",POWER(Upgrades!$U$14,F15),1)*IF(Upgrades!$T$16="Microlensing",POWER(Upgrades!$U$16,H15),1)*IF(Upgrades!$T$17="Microlensing",POWER(Upgrades!$U$17,I15),1)*IF(Upgrades!$T$18="Microlensing",POWER(Upgrades!$U$18,J15),1)*IF(Upgrades!$T$19="Microlensing",POWER(Upgrades!$U$19,K15),1)*IF(Upgrades!$T$20="Microlensing",POWER(Upgrades!$U$20,L15),1)*IF(Upgrades!$T$21="Microlensing",POWER(Upgrades!$U$21,M15),1))+(IF(H15=0,0,(Upgrades!$G$16+H15*Upgrades!$H$16)*POWER(Upgrades!$I$16,H15)))*(IF(Upgrades!$T$13="Roche Lobe Overflow",POWER(Upgrades!$U$13,E15),1)*IF(Upgrades!$T$14="Roche Lobe Overflow",POWER(Upgrades!$U$14,F15),1)*IF(Upgrades!$T$15="Roche Lobe Overflow",POWER(Upgrades!$U$15,G15),1)*IF(Upgrades!$T$17="Roche Lobe Overflow",POWER(Upgrades!$U$17,I15),1)*IF(Upgrades!$T$18="Roche Lobe Overflow",POWER(Upgrades!$U$18,J15),1)*IF(Upgrades!$T$19="Roche Lobe Overflow",POWER(Upgrades!$U$19,K15),1)*IF(Upgrades!$T$20="Roche Lobe Overflow",POWER(Upgrades!$U$20,L15),1)*IF(Upgrades!$T$21="Roche Lobe Overflow",POWER(Upgrades!$U$21,M15),1))+(IF(I15=0,0,(Upgrades!$G$17+I15*Upgrades!$H$17)*POWER(Upgrades!$I$17,I15)))*(IF(Upgrades!$T$13="Brown Dwarf",POWER(Upgrades!$U$13,E15),1)*IF(Upgrades!$T$14="Brown Dwarf",POWER(Upgrades!$U$14,F15),1)*IF(Upgrades!$T$15="Brown Dwarf",POWER(Upgrades!$U$15,G15),1)*IF(Upgrades!$T$16="Brown Dwarf",POWER(Upgrades!$U$16,H15),1)*IF(Upgrades!$T$18="Brown Dwarf",POWER(Upgrades!$U$18,J15),1)*IF(Upgrades!$T$19="Brown Dwarf",POWER(Upgrades!$U$19,K15),1)*IF(Upgrades!$T$20="Brown Dwarf",POWER(Upgrades!$U$20,L15),1)*IF(Upgrades!$T$21="Brown Dwarf",POWER(Upgrades!$U$21,M15),1))+(IF(J15=0,0,(Upgrades!$G$18+J15*Upgrades!$H$18)*POWER(Upgrades!$I$18,J15)))*(IF(Upgrades!$T$13="Binary Partner",POWER(Upgrades!$U$13,E15),1)*IF(Upgrades!$T$14="Binary Partner",POWER(Upgrades!$U$14,F15),1)*IF(Upgrades!$T$15="Binary Partner",POWER(Upgrades!$U$15,G15),1)*IF(Upgrades!$T$16="Binary Partner",POWER(Upgrades!$U$16,H15),1)*IF(Upgrades!$T$17="Binary Partner",POWER(Upgrades!$U$17,I15),1)*IF(Upgrades!$T$19="Binary Partner",POWER(Upgrades!$U$19,K15),1)*IF(Upgrades!$T$20="Binary Partner",POWER(Upgrades!$U$20,L15),1)*IF(Upgrades!$T$21="Binary Partner",POWER(Upgrades!$U$21,M15),1))+(IF(K15=0,0,(Upgrades!$G$19+K15*Upgrades!$H$19)*POWER(Upgrades!$I$19,K15)))*(IF(Upgrades!$T$13="Peculiar Velocity",POWER(Upgrades!$U$13,E15),1)*IF(Upgrades!$T$14="Peculiar Velocity",POWER(Upgrades!$U$14,F15),1)*IF(Upgrades!$T$15="Peculiar Velocity",POWER(Upgrades!$U$15,G15),1)*IF(Upgrades!$T$16="Peculiar Velocity",POWER(Upgrades!$U$16,H15),1)*IF(Upgrades!$T$17="Peculiar Velocity",POWER(Upgrades!$U$17,I15),1)*IF(Upgrades!$T$18="Peculiar Velocity",POWER(Upgrades!$U$18,J15),1)*IF(Upgrades!$T$20="Peculiar Velocity",POWER(Upgrades!$U$20,L15),1)*IF(Upgrades!$T$21="Peculiar Velocity",POWER(Upgrades!$U$21,M15),1))+(IF(L15=0,0,(Upgrades!$G$20+L15*Upgrades!$H$20)*POWER(Upgrades!$I$20,L15)))*(IF(Upgrades!$T$13="Open Cluster",POWER(Upgrades!$U$13,E15),1)*IF(Upgrades!$T$14="Open Cluster",POWER(Upgrades!$U$14,F15),1)*IF(Upgrades!$T$15="Open Cluster",POWER(Upgrades!$U$15,G15),1)*IF(Upgrades!$T$16="Open Cluster",POWER(Upgrades!$U$16,H15),1)*IF(Upgrades!$T$17="Open Cluster",POWER(Upgrades!$U$17,I15),1)*IF(Upgrades!$T$18="Open Cluster",POWER(Upgrades!$U$18,J15),1)*IF(Upgrades!$T$19="Open Cluster",POWER(Upgrades!$U$19,K15),1)*IF(Upgrades!$T$21="Open Cluster",POWER(Upgrades!$U$21,M15),1))+(IF(M15=0,0,(Upgrades!$G$21+M15*Upgrades!$H$21)*POWER(Upgrades!$I$21,M15)))*(IF(Upgrades!$T$13="Moving Group",POWER(Upgrades!$U$13,E15),1)*IF(Upgrades!$T$14="Moving Group",POWER(Upgrades!$U$14,F15),1)*IF(Upgrades!$T$15="Moving Group",POWER(Upgrades!$U$15,G15),1)*IF(Upgrades!$T$16="Moving Group",POWER(Upgrades!$U$16,H15),1)*IF(Upgrades!$T$17="Moving Group",POWER(Upgrades!$U$17,I15),1)*IF(Upgrades!$T$18="Moving Group",POWER(Upgrades!$U$18,J15),1)*IF(Upgrades!$T$19="Moving Group",POWER(Upgrades!$U$19,K15),1)*IF(Upgrades!$T$20="Moving Group",POWER(Upgrades!$U$20,L15),1)))*POWER(Upgrades!$P$13,E15)*POWER(Upgrades!$P$14,F15)*POWER(Upgrades!$P$15,G15)*POWER(Upgrades!$P$16,H15)*POWER(Upgrades!$P$17,I15)*POWER(Upgrades!$P$18,J15)*POWER(Upgrades!$P$19,K15)*POWER(Upgrades!$P$20,L15)*POWER(Upgrades!$P$21,M15)*$F$6+$C$6</f>
        <v/>
      </c>
      <c r="Q15" s="28">
        <f>((IF(E15=0,0,(Upgrades!$M$13+E15*Upgrades!$N$13)*POWER(Upgrades!$O$13,E15)))*(IF(Upgrades!$T$14="Stellar Kinematics",POWER(Upgrades!$U$14,F15),1)*IF(Upgrades!$T$15="Stellar Kinematics",POWER(Upgrades!$U$15,G15),1)*IF(Upgrades!$T$16="Stellar Kinematics",POWER(Upgrades!$U$16,H15),1)*IF(Upgrades!$T$17="Stellar Kinematics",POWER(Upgrades!$U$17,I15),1)*IF(Upgrades!$T$18="Stellar Kinematics",POWER(Upgrades!$U$18,J15),1)*IF(Upgrades!$T$19="Stellar Kinematics",POWER(Upgrades!$U$19,K15),1)*IF(Upgrades!$T$20="Stellar Kinematics",POWER(Upgrades!$U$20,L15),1)*IF(Upgrades!$T$21="Stellar Kinematics",POWER(Upgrades!$U$21,M15),1))+(IF(F15=0,0,(Upgrades!$M$14+F15*Upgrades!$N$14)*POWER(Upgrades!$O$14,F15)))*(IF(Upgrades!$T$13="Local Bubble",POWER(Upgrades!$U$13,E15),1)*IF(Upgrades!$T$15="Local Bubble",POWER(Upgrades!$U$15,G15),1)*IF(Upgrades!$T$16="Local Bubble",POWER(Upgrades!$U$16,H15),1)*IF(Upgrades!$T$17="Local Bubble",POWER(Upgrades!$U$17,I15),1)*IF(Upgrades!$T$18="Local Bubble",POWER(Upgrades!$U$18,J15),1)*IF(Upgrades!$T$19="Local Bubble",POWER(Upgrades!$U$19,K15),1)*IF(Upgrades!$T$20="Local Bubble",POWER(Upgrades!$U$20,L15),1)*IF(Upgrades!$T$21="Local Bubble",POWER(Upgrades!$U$21,M15),1))+(IF(G15=0,0,(Upgrades!$M$15+G15*Upgrades!$N$15)*POWER(Upgrades!$O$15,G15)))*(IF(Upgrades!$T$13="Microlensing",POWER(Upgrades!$U$13,E15),1)*IF(Upgrades!$T$14="Microlensing",POWER(Upgrades!$U$14,F15),1)*IF(Upgrades!$T$16="Microlensing",POWER(Upgrades!$U$16,H15),1)*IF(Upgrades!$T$17="Microlensing",POWER(Upgrades!$U$17,I15),1)*IF(Upgrades!$T$18="Microlensing",POWER(Upgrades!$U$18,J15),1)*IF(Upgrades!$T$19="Microlensing",POWER(Upgrades!$U$19,K15),1)*IF(Upgrades!$T$20="Microlensing",POWER(Upgrades!$U$20,L15),1)*IF(Upgrades!$T$21="Microlensing",POWER(Upgrades!$U$21,M15),1))+(IF(H15=0,0,(Upgrades!$M$16+H15*Upgrades!$N$16)*POWER(Upgrades!$O$16,H15)))*(IF(Upgrades!$T$13="Roche Lobe Overflow",POWER(Upgrades!$U$13,E15),1)*IF(Upgrades!$T$14="Roche Lobe Overflow",POWER(Upgrades!$U$14,F15),1)*IF(Upgrades!$T$15="Roche Lobe Overflow",POWER(Upgrades!$U$15,G15),1)*IF(Upgrades!$T$17="Roche Lobe Overflow",POWER(Upgrades!$U$17,I15),1)*IF(Upgrades!$T$18="Roche Lobe Overflow",POWER(Upgrades!$U$18,J15),1)*IF(Upgrades!$T$19="Roche Lobe Overflow",POWER(Upgrades!$U$19,K15),1)*IF(Upgrades!$T$20="Roche Lobe Overflow",POWER(Upgrades!$U$20,L15),1)*IF(Upgrades!$T$21="Roche Lobe Overflow",POWER(Upgrades!$U$21,M15),1))+(IF(I15=0,0,(Upgrades!$M$17+I15*Upgrades!$N$17)*POWER(Upgrades!$O$17,I15)))*(IF(Upgrades!$T$13="Brown Dwarf",POWER(Upgrades!$U$13,E15),1)*IF(Upgrades!$T$14="Brown Dwarf",POWER(Upgrades!$U$14,F15),1)*IF(Upgrades!$T$15="Brown Dwarf",POWER(Upgrades!$U$15,G15),1)*IF(Upgrades!$T$16="Brown Dwarf",POWER(Upgrades!$U$16,H15),1)*IF(Upgrades!$T$18="Brown Dwarf",POWER(Upgrades!$U$18,J15),1)*IF(Upgrades!$T$19="Brown Dwarf",POWER(Upgrades!$U$19,K15),1)*IF(Upgrades!$T$20="Brown Dwarf",POWER(Upgrades!$U$20,L15),1)*IF(Upgrades!$T$21="Brown Dwarf",POWER(Upgrades!$U$21,M15),1))+(IF(J15=0,0,(Upgrades!$M$18+J15*Upgrades!$N$18)*POWER(Upgrades!$O$18,J15)))*(IF(Upgrades!$T$13="Binary Partner",POWER(Upgrades!$U$13,E15),1)*IF(Upgrades!$T$14="Binary Partner",POWER(Upgrades!$U$14,F15),1)*IF(Upgrades!$T$15="Binary Partner",POWER(Upgrades!$U$15,G15),1)*IF(Upgrades!$T$16="Binary Partner",POWER(Upgrades!$U$16,H15),1)*IF(Upgrades!$T$17="Binary Partner",POWER(Upgrades!$U$17,I15),1)*IF(Upgrades!$T$19="Binary Partner",POWER(Upgrades!$U$19,K15),1)*IF(Upgrades!$T$20="Binary Partner",POWER(Upgrades!$U$20,L15),1)*IF(Upgrades!$T$21="Binary Partner",POWER(Upgrades!$U$21,M15),1))+(IF(K15=0,0,(Upgrades!$M$19+K15*Upgrades!$N$19)*POWER(Upgrades!$O$19,K15)))*(IF(Upgrades!$T$13="Peculiar Velocity",POWER(Upgrades!$U$13,E15),1)*IF(Upgrades!$T$14="Peculiar Velocity",POWER(Upgrades!$U$14,F15),1)*IF(Upgrades!$T$15="Peculiar Velocity",POWER(Upgrades!$U$15,G15),1)*IF(Upgrades!$T$16="Peculiar Velocity",POWER(Upgrades!$U$16,H15),1)*IF(Upgrades!$T$17="Peculiar Velocity",POWER(Upgrades!$U$17,I15),1)*IF(Upgrades!$T$18="Peculiar Velocity",POWER(Upgrades!$U$18,J15),1)*IF(Upgrades!$T$20="Peculiar Velocity",POWER(Upgrades!$U$20,L15),1)*IF(Upgrades!$T$21="Peculiar Velocity",POWER(Upgrades!$U$21,M15),1))+(IF(L15=0,0,(Upgrades!$M$20+L15*Upgrades!$N$20)*POWER(Upgrades!$O$20,L15)))*(IF(Upgrades!$T$13="Open Cluster",POWER(Upgrades!$U$13,E15),1)*IF(Upgrades!$T$14="Open Cluster",POWER(Upgrades!$U$14,F15),1)*IF(Upgrades!$T$15="Open Cluster",POWER(Upgrades!$U$15,G15),1)*IF(Upgrades!$T$16="Open Cluster",POWER(Upgrades!$U$16,H15),1)*IF(Upgrades!$T$17="Open Cluster",POWER(Upgrades!$U$17,I15),1)*IF(Upgrades!$T$18="Open Cluster",POWER(Upgrades!$U$18,J15),1)*IF(Upgrades!$T$19="Open Cluster",POWER(Upgrades!$U$19,K15),1)*IF(Upgrades!$T$21="Open Cluster",POWER(Upgrades!$U$21,M15),1))+(IF(M15=0,0,(Upgrades!$M$21+M15*Upgrades!$N$21)*POWER(Upgrades!$O$21,M15)))*(IF(Upgrades!$T$13="Moving Group",POWER(Upgrades!$U$13,E15),1)*IF(Upgrades!$T$14="Moving Group",POWER(Upgrades!$U$14,F15),1)*IF(Upgrades!$T$15="Moving Group",POWER(Upgrades!$U$15,G15),1)*IF(Upgrades!$T$16="Moving Group",POWER(Upgrades!$U$16,H15),1)*IF(Upgrades!$T$17="Moving Group",POWER(Upgrades!$U$17,I15),1)*IF(Upgrades!$T$18="Moving Group",POWER(Upgrades!$U$18,J15),1)*IF(Upgrades!$T$19="Moving Group",POWER(Upgrades!$U$19,K15),1)*IF(Upgrades!$T$20="Moving Group",POWER(Upgrades!$U$20,L15),1)))*POWER(Upgrades!$R$13,E15)*POWER(Upgrades!$R$14,F15)*POWER(Upgrades!$R$15,G15)*POWER(Upgrades!$R$16,H15)*POWER(Upgrades!$R$17,I15)*POWER(Upgrades!$R$18,J15)*POWER(Upgrades!$R$19,K15)*POWER(Upgrades!$R$20,L15)*POWER(Upgrades!$R$21,M15)*$H$6+$E$6</f>
        <v/>
      </c>
      <c r="R15" s="27">
        <f>IF(N15=1,0,O15*Parameters!$B$10/60*Parameters!$B$11*10)</f>
        <v/>
      </c>
      <c r="S15" s="27">
        <f>IF(N15=1,0,Q15*O15*10)</f>
        <v/>
      </c>
      <c r="T15" s="27">
        <f>IF(N15=1,0,R15+S15+P15*10)</f>
        <v/>
      </c>
      <c r="U15" s="33">
        <f>BE15</f>
        <v/>
      </c>
      <c r="V15" s="22">
        <f>IF(U15="",0,IF(U15="transition",0,IF(U15="SK",AK15,IF(U15="LB",AL15,IF(U15="ML",AM15,IF(U15="RLO",AN15,IF(U15="BD",AO15,IF(U15="BiP",AP15,IF(U15="PV",AQ15,IF(U15="OC",AR15,IF(U15="MG",AS15,0))))))))))</f>
        <v/>
      </c>
      <c r="W15" s="27">
        <f>IF(U15="BiP",Upgrades!$F$18,IF(U15="PV",Upgrades!$F$19,IF(U15="OC",Upgrades!$F$20,IF(U15="MG",Upgrades!$F$21,IF(U15="transition",-Parameters!$B$18*Parameters!$B$19,0)))))</f>
        <v/>
      </c>
      <c r="X15" s="22">
        <f>C15+T15-V15</f>
        <v/>
      </c>
      <c r="Y15" s="30">
        <f>O15*Parameters!$B$10/60*Parameters!$B$11+Q15*O15+P15</f>
        <v/>
      </c>
      <c r="Z15" s="34">
        <f>IF(U15="transition","→ Tier 3 (Galactic Arm)",IF(U15="MG","Moving Group — pocket drifts together",IF(U15="OC","Open Cluster acquired",IF(U15="PV","Peculiar Velocity — passive multiplier active",IF(U15="BiP","Binary Partner — pair bond formed",IF(AND(AU15=1,N15=0,AT15&lt;&gt;1),"Cohesion ready (waiting on completionists)","")))))) </f>
        <v/>
      </c>
      <c r="AA15" s="27">
        <f>(IF(E15=0,0,(Upgrades!$G$13+E15*Upgrades!$H$13)*POWER(Upgrades!$I$13,E15)))*(IF(Upgrades!$T$14="Stellar Kinematics",POWER(Upgrades!$U$14,F15),1)*IF(Upgrades!$T$15="Stellar Kinematics",POWER(Upgrades!$U$15,G15),1)*IF(Upgrades!$T$16="Stellar Kinematics",POWER(Upgrades!$U$16,H15),1)*IF(Upgrades!$T$17="Stellar Kinematics",POWER(Upgrades!$U$17,I15),1)*IF(Upgrades!$T$18="Stellar Kinematics",POWER(Upgrades!$U$18,J15),1)*IF(Upgrades!$T$19="Stellar Kinematics",POWER(Upgrades!$U$19,K15),1)*IF(Upgrades!$T$20="Stellar Kinematics",POWER(Upgrades!$U$20,L15),1)*IF(Upgrades!$T$21="Stellar Kinematics",POWER(Upgrades!$U$21,M15),1))*POWER(Upgrades!$P$13,E15)*POWER(Upgrades!$P$14,F15)*POWER(Upgrades!$P$15,G15)*POWER(Upgrades!$P$16,H15)*POWER(Upgrades!$P$17,I15)*POWER(Upgrades!$P$18,J15)*POWER(Upgrades!$P$19,K15)*POWER(Upgrades!$P$20,L15)*POWER(Upgrades!$P$21,M15)*$F$6*60</f>
        <v/>
      </c>
      <c r="AB15" s="27">
        <f>(IF(F15=0,0,(Upgrades!$G$14+F15*Upgrades!$H$14)*POWER(Upgrades!$I$14,F15)))*(IF(Upgrades!$T$13="Local Bubble",POWER(Upgrades!$U$13,E15),1)*IF(Upgrades!$T$15="Local Bubble",POWER(Upgrades!$U$15,G15),1)*IF(Upgrades!$T$16="Local Bubble",POWER(Upgrades!$U$16,H15),1)*IF(Upgrades!$T$17="Local Bubble",POWER(Upgrades!$U$17,I15),1)*IF(Upgrades!$T$18="Local Bubble",POWER(Upgrades!$U$18,J15),1)*IF(Upgrades!$T$19="Local Bubble",POWER(Upgrades!$U$19,K15),1)*IF(Upgrades!$T$20="Local Bubble",POWER(Upgrades!$U$20,L15),1)*IF(Upgrades!$T$21="Local Bubble",POWER(Upgrades!$U$21,M15),1))*POWER(Upgrades!$P$13,E15)*POWER(Upgrades!$P$14,F15)*POWER(Upgrades!$P$15,G15)*POWER(Upgrades!$P$16,H15)*POWER(Upgrades!$P$17,I15)*POWER(Upgrades!$P$18,J15)*POWER(Upgrades!$P$19,K15)*POWER(Upgrades!$P$20,L15)*POWER(Upgrades!$P$21,M15)*$F$6*60</f>
        <v/>
      </c>
      <c r="AC15" s="27">
        <f>(IF(G15=0,0,(Upgrades!$J$15+G15*Upgrades!$K$15)*POWER(Upgrades!$L$15,G15)))*(IF(Upgrades!$T$13="Microlensing",POWER(Upgrades!$U$13,E15),1)*IF(Upgrades!$T$14="Microlensing",POWER(Upgrades!$U$14,F15),1)*IF(Upgrades!$T$16="Microlensing",POWER(Upgrades!$U$16,H15),1)*IF(Upgrades!$T$17="Microlensing",POWER(Upgrades!$U$17,I15),1)*IF(Upgrades!$T$18="Microlensing",POWER(Upgrades!$U$18,J15),1)*IF(Upgrades!$T$19="Microlensing",POWER(Upgrades!$U$19,K15),1)*IF(Upgrades!$T$20="Microlensing",POWER(Upgrades!$U$20,L15),1)*IF(Upgrades!$T$21="Microlensing",POWER(Upgrades!$U$21,M15),1))*POWER(Upgrades!$Q$13,E15)*POWER(Upgrades!$Q$14,F15)*POWER(Upgrades!$Q$15,G15)*POWER(Upgrades!$Q$16,H15)*POWER(Upgrades!$Q$17,I15)*POWER(Upgrades!$Q$18,J15)*POWER(Upgrades!$Q$19,K15)*POWER(Upgrades!$Q$20,L15)*POWER(Upgrades!$Q$21,M15)*$G$6*(Parameters!$B$10*Parameters!$B$11+Q15*60)</f>
        <v/>
      </c>
      <c r="AD15" s="27">
        <f>(IF(H15=0,0,(Upgrades!$M$16+H15*Upgrades!$N$16)*POWER(Upgrades!$O$16,H15)))*(IF(Upgrades!$T$13="Roche Lobe Overflow",POWER(Upgrades!$U$13,E15),1)*IF(Upgrades!$T$14="Roche Lobe Overflow",POWER(Upgrades!$U$14,F15),1)*IF(Upgrades!$T$15="Roche Lobe Overflow",POWER(Upgrades!$U$15,G15),1)*IF(Upgrades!$T$17="Roche Lobe Overflow",POWER(Upgrades!$U$17,I15),1)*IF(Upgrades!$T$18="Roche Lobe Overflow",POWER(Upgrades!$U$18,J15),1)*IF(Upgrades!$T$19="Roche Lobe Overflow",POWER(Upgrades!$U$19,K15),1)*IF(Upgrades!$T$20="Roche Lobe Overflow",POWER(Upgrades!$U$20,L15),1)*IF(Upgrades!$T$21="Roche Lobe Overflow",POWER(Upgrades!$U$21,M15),1))*POWER(Upgrades!$R$13,E15)*POWER(Upgrades!$R$14,F15)*POWER(Upgrades!$R$15,G15)*POWER(Upgrades!$R$16,H15)*POWER(Upgrades!$R$17,I15)*POWER(Upgrades!$R$18,J15)*POWER(Upgrades!$R$19,K15)*POWER(Upgrades!$R$20,L15)*POWER(Upgrades!$R$21,M15)*$H$6*O15*60</f>
        <v/>
      </c>
      <c r="AE15" s="27">
        <f>(IF(I15=0,0,(Upgrades!$G$17+I15*Upgrades!$H$17)*POWER(Upgrades!$I$17,I15)))*(IF(Upgrades!$T$13="Brown Dwarf",POWER(Upgrades!$U$13,E15),1)*IF(Upgrades!$T$14="Brown Dwarf",POWER(Upgrades!$U$14,F15),1)*IF(Upgrades!$T$15="Brown Dwarf",POWER(Upgrades!$U$15,G15),1)*IF(Upgrades!$T$16="Brown Dwarf",POWER(Upgrades!$U$16,H15),1)*IF(Upgrades!$T$18="Brown Dwarf",POWER(Upgrades!$U$18,J15),1)*IF(Upgrades!$T$19="Brown Dwarf",POWER(Upgrades!$U$19,K15),1)*IF(Upgrades!$T$20="Brown Dwarf",POWER(Upgrades!$U$20,L15),1)*IF(Upgrades!$T$21="Brown Dwarf",POWER(Upgrades!$U$21,M15),1))*POWER(Upgrades!$P$13,E15)*POWER(Upgrades!$P$14,F15)*POWER(Upgrades!$P$15,G15)*POWER(Upgrades!$P$16,H15)*POWER(Upgrades!$P$17,I15)*POWER(Upgrades!$P$18,J15)*POWER(Upgrades!$P$19,K15)*POWER(Upgrades!$P$20,L15)*POWER(Upgrades!$P$21,M15)*$F$6*60</f>
        <v/>
      </c>
      <c r="AF15" s="27" t="n">
        <v>0</v>
      </c>
      <c r="AG15" s="27" t="n">
        <v>0</v>
      </c>
      <c r="AH15" s="27" t="n">
        <v>0</v>
      </c>
      <c r="AI15" s="27">
        <f>(IF(M15=0,0,(Upgrades!$G$21+M15*Upgrades!$H$21)*POWER(Upgrades!$I$21,M15)))*(IF(Upgrades!$T$13="Moving Group",POWER(Upgrades!$U$13,E15),1)*IF(Upgrades!$T$14="Moving Group",POWER(Upgrades!$U$14,F15),1)*IF(Upgrades!$T$15="Moving Group",POWER(Upgrades!$U$15,G15),1)*IF(Upgrades!$T$16="Moving Group",POWER(Upgrades!$U$16,H15),1)*IF(Upgrades!$T$17="Moving Group",POWER(Upgrades!$U$17,I15),1)*IF(Upgrades!$T$18="Moving Group",POWER(Upgrades!$U$18,J15),1)*IF(Upgrades!$T$19="Moving Group",POWER(Upgrades!$U$19,K15),1)*IF(Upgrades!$T$20="Moving Group",POWER(Upgrades!$U$20,L15),1))*POWER(Upgrades!$P$13,E15)*POWER(Upgrades!$P$14,F15)*POWER(Upgrades!$P$15,G15)*POWER(Upgrades!$P$16,H15)*POWER(Upgrades!$P$17,I15)*POWER(Upgrades!$P$18,J15)*POWER(Upgrades!$P$19,K15)*POWER(Upgrades!$P$20,L15)*POWER(Upgrades!$P$21,M15)*$F$6*60</f>
        <v/>
      </c>
      <c r="AJ15" s="27">
        <f>$C$6*60</f>
        <v/>
      </c>
      <c r="AK15" s="22">
        <f>IF(E15&gt;=Upgrades!$E$13,"",Upgrades!$C$13*POWER(Upgrades!$D$13,E15))</f>
        <v/>
      </c>
      <c r="AL15" s="22">
        <f>IF(F15&gt;=Upgrades!$E$14,"",Upgrades!$C$14*POWER(Upgrades!$D$14,F15))</f>
        <v/>
      </c>
      <c r="AM15" s="22">
        <f>IF(G15&gt;=Upgrades!$E$15,"",Upgrades!$C$15*POWER(Upgrades!$D$15,G15))</f>
        <v/>
      </c>
      <c r="AN15" s="22">
        <f>IF(H15&gt;=Upgrades!$E$16,"",Upgrades!$C$16*POWER(Upgrades!$D$16,H15))</f>
        <v/>
      </c>
      <c r="AO15" s="22">
        <f>IF(I15&gt;=Upgrades!$E$17,"",Upgrades!$C$17*POWER(Upgrades!$D$17,I15))</f>
        <v/>
      </c>
      <c r="AP15" s="22">
        <f>IF(J15&gt;=Upgrades!$E$18,"",Upgrades!$C$18*POWER(Upgrades!$D$18,J15))</f>
        <v/>
      </c>
      <c r="AQ15" s="22">
        <f>IF(K15&gt;=Upgrades!$E$19,"",Upgrades!$C$19*POWER(Upgrades!$D$19,K15))</f>
        <v/>
      </c>
      <c r="AR15" s="22">
        <f>IF(L15&gt;=Upgrades!$E$20,"",Upgrades!$C$20*POWER(Upgrades!$D$20,L15))</f>
        <v/>
      </c>
      <c r="AS15" s="22">
        <f>IF(M15&gt;=Upgrades!$E$21,"",Upgrades!$C$21*POWER(Upgrades!$D$21,M15))</f>
        <v/>
      </c>
      <c r="AT15" s="26">
        <f>IF(AND(D15&gt;=Parameters!$B$18*Parameters!$B$19,(I15&gt;=Upgrades!$E$17)*(M15&gt;=Upgrades!$E$21)=1,N15=0),1,"")</f>
        <v/>
      </c>
      <c r="AU15" s="26">
        <f>IF(AND(D15&gt;=Parameters!$B$18*Parameters!$B$19,N15=0),1,"")</f>
        <v/>
      </c>
      <c r="AV15" s="22">
        <f>MIN(IF(ISNUMBER(AP15),AP15,9E15),IF(ISNUMBER(AQ15),AQ15,9E15),IF(ISNUMBER(AR15),AR15,9E15),IF(ISNUMBER(AS15),AS15,9E15))</f>
        <v/>
      </c>
      <c r="AW15" s="22">
        <f>MIN(IF(ISNUMBER(AK15),AK15,9E15),IF(ISNUMBER(AL15),AL15,9E15),IF(ISNUMBER(AM15),AM15,9E15),IF(ISNUMBER(AN15),AN15,9E15),IF(ISNUMBER(AO15),AO15,9E15))</f>
        <v/>
      </c>
      <c r="AX15" s="29">
        <f>IF(BD15&gt;Parameters!$B$21*(MAX(IF(AND(NOT(AND(AU15=1,AT15&lt;&gt;1)),ISNUMBER(AK15),AK15&lt;=(C15+T15)),AY15,0),IF(AND(NOT(AND(AU15=1,AT15&lt;&gt;1)),ISNUMBER(AL15),AL15&lt;=(C15+T15)),AZ15,0),IF(AND(NOT(AND(AU15=1,AT15&lt;&gt;1)),ISNUMBER(AM15),AM15&lt;=(C15+T15)),BA15,0),IF(AND(NOT(AND(AU15=1,AT15&lt;&gt;1)),ISNUMBER(AN15),AN15&lt;=(C15+T15)),BB15,0),IF(AND(ISNUMBER(AO15),AO15&lt;=(C15+T15)),BC15,0))),TRUE,FALSE)</f>
        <v/>
      </c>
      <c r="AY15" s="32">
        <f>IFERROR(Upgrades!$H$13*(POWER(Upgrades!$P$13,E15)*POWER(Upgrades!$P$14,F15)*POWER(Upgrades!$P$15,G15)*POWER(Upgrades!$P$16,H15)*POWER(Upgrades!$P$17,I15)*POWER(Upgrades!$P$18,J15)*POWER(Upgrades!$P$19,K15)*POWER(Upgrades!$P$20,L15)*POWER(Upgrades!$P$21,M15))*(IF(Upgrades!$T$14="Stellar Kinematics",POWER(Upgrades!$U$14,F15),1)*IF(Upgrades!$T$15="Stellar Kinematics",POWER(Upgrades!$U$15,G15),1)*IF(Upgrades!$T$16="Stellar Kinematics",POWER(Upgrades!$U$16,H15),1)*IF(Upgrades!$T$17="Stellar Kinematics",POWER(Upgrades!$U$17,I15),1)*IF(Upgrades!$T$18="Stellar Kinematics",POWER(Upgrades!$U$18,J15),1)*IF(Upgrades!$T$19="Stellar Kinematics",POWER(Upgrades!$U$19,K15),1)*IF(Upgrades!$T$20="Stellar Kinematics",POWER(Upgrades!$U$20,L15),1)*IF(Upgrades!$T$21="Stellar Kinematics",POWER(Upgrades!$U$21,M15),1))*$F$6/AK15,0)</f>
        <v/>
      </c>
      <c r="AZ15" s="32">
        <f>IFERROR(Upgrades!$H$14*(POWER(Upgrades!$P$13,E15)*POWER(Upgrades!$P$14,F15)*POWER(Upgrades!$P$15,G15)*POWER(Upgrades!$P$16,H15)*POWER(Upgrades!$P$17,I15)*POWER(Upgrades!$P$18,J15)*POWER(Upgrades!$P$19,K15)*POWER(Upgrades!$P$20,L15)*POWER(Upgrades!$P$21,M15))*(IF(Upgrades!$T$13="Local Bubble",POWER(Upgrades!$U$13,E15),1)*IF(Upgrades!$T$15="Local Bubble",POWER(Upgrades!$U$15,G15),1)*IF(Upgrades!$T$16="Local Bubble",POWER(Upgrades!$U$16,H15),1)*IF(Upgrades!$T$17="Local Bubble",POWER(Upgrades!$U$17,I15),1)*IF(Upgrades!$T$18="Local Bubble",POWER(Upgrades!$U$18,J15),1)*IF(Upgrades!$T$19="Local Bubble",POWER(Upgrades!$U$19,K15),1)*IF(Upgrades!$T$20="Local Bubble",POWER(Upgrades!$U$20,L15),1)*IF(Upgrades!$T$21="Local Bubble",POWER(Upgrades!$U$21,M15),1))*$F$6/AL15,0)</f>
        <v/>
      </c>
      <c r="BA15" s="32">
        <f>IFERROR(Upgrades!$K$15*(POWER(Upgrades!$Q$13,E15)*POWER(Upgrades!$Q$14,F15)*POWER(Upgrades!$Q$15,G15)*POWER(Upgrades!$Q$16,H15)*POWER(Upgrades!$Q$17,I15)*POWER(Upgrades!$Q$18,J15)*POWER(Upgrades!$Q$19,K15)*POWER(Upgrades!$Q$20,L15)*POWER(Upgrades!$Q$21,M15))*(IF(Upgrades!$T$13="Microlensing",POWER(Upgrades!$U$13,E15),1)*IF(Upgrades!$T$14="Microlensing",POWER(Upgrades!$U$14,F15),1)*IF(Upgrades!$T$16="Microlensing",POWER(Upgrades!$U$16,H15),1)*IF(Upgrades!$T$17="Microlensing",POWER(Upgrades!$U$17,I15),1)*IF(Upgrades!$T$18="Microlensing",POWER(Upgrades!$U$18,J15),1)*IF(Upgrades!$T$19="Microlensing",POWER(Upgrades!$U$19,K15),1)*IF(Upgrades!$T$20="Microlensing",POWER(Upgrades!$U$20,L15),1)*IF(Upgrades!$T$21="Microlensing",POWER(Upgrades!$U$21,M15),1))*$G$6*(Parameters!$B$10/60*Parameters!$B$11+Q15)/AM15,0)</f>
        <v/>
      </c>
      <c r="BB15" s="32">
        <f>IFERROR((Upgrades!$N$16*(POWER(Upgrades!$R$13,E15)*POWER(Upgrades!$R$14,F15)*POWER(Upgrades!$R$15,G15)*POWER(Upgrades!$R$16,H15)*POWER(Upgrades!$R$17,I15)*POWER(Upgrades!$R$18,J15)*POWER(Upgrades!$R$19,K15)*POWER(Upgrades!$R$20,L15)*POWER(Upgrades!$R$21,M15))*(IF(Upgrades!$T$13="Roche Lobe Overflow",POWER(Upgrades!$U$13,E15),1)*IF(Upgrades!$T$14="Roche Lobe Overflow",POWER(Upgrades!$U$14,F15),1)*IF(Upgrades!$T$15="Roche Lobe Overflow",POWER(Upgrades!$U$15,G15),1)*IF(Upgrades!$T$17="Roche Lobe Overflow",POWER(Upgrades!$U$17,I15),1)*IF(Upgrades!$T$18="Roche Lobe Overflow",POWER(Upgrades!$U$18,J15),1)*IF(Upgrades!$T$19="Roche Lobe Overflow",POWER(Upgrades!$U$19,K15),1)*IF(Upgrades!$T$20="Roche Lobe Overflow",POWER(Upgrades!$U$20,L15),1)*IF(Upgrades!$T$21="Roche Lobe Overflow",POWER(Upgrades!$U$21,M15),1))*$H$6*O15+((IF(F15=0,0,(Upgrades!$G$14+F15*Upgrades!$H$14)*POWER(Upgrades!$I$14,F15)))*(IF(Upgrades!$T$13="Local Bubble",POWER(Upgrades!$U$13,E15),1)*IF(Upgrades!$T$15="Local Bubble",POWER(Upgrades!$U$15,G15),1)*IF(Upgrades!$T$16="Local Bubble",POWER(Upgrades!$U$16,H15),1)*IF(Upgrades!$T$17="Local Bubble",POWER(Upgrades!$U$17,I15),1)*IF(Upgrades!$T$18="Local Bubble",POWER(Upgrades!$U$18,J15),1)*IF(Upgrades!$T$19="Local Bubble",POWER(Upgrades!$U$19,K15),1)*IF(Upgrades!$T$20="Local Bubble",POWER(Upgrades!$U$20,L15),1)*IF(Upgrades!$T$21="Local Bubble",POWER(Upgrades!$U$21,M15),1))*POWER(Upgrades!$P$13,E15)*POWER(Upgrades!$P$14,F15)*POWER(Upgrades!$P$15,G15)*POWER(Upgrades!$P$16,H15)*POWER(Upgrades!$P$17,I15)*POWER(Upgrades!$P$18,J15)*POWER(Upgrades!$P$19,K15)*POWER(Upgrades!$P$20,L15)*POWER(Upgrades!$P$21,M15)*$F$6)*0.05)/AN15,0)</f>
        <v/>
      </c>
      <c r="BC15" s="32">
        <f>IFERROR((Upgrades!$H$17*(POWER(Upgrades!$P$13,E15)*POWER(Upgrades!$P$14,F15)*POWER(Upgrades!$P$15,G15)*POWER(Upgrades!$P$16,H15)*POWER(Upgrades!$P$17,I15)*POWER(Upgrades!$P$18,J15)*POWER(Upgrades!$P$19,K15)*POWER(Upgrades!$P$20,L15)*POWER(Upgrades!$P$21,M15))*(IF(Upgrades!$T$13="Brown Dwarf",POWER(Upgrades!$U$13,E15),1)*IF(Upgrades!$T$14="Brown Dwarf",POWER(Upgrades!$U$14,F15),1)*IF(Upgrades!$T$15="Brown Dwarf",POWER(Upgrades!$U$15,G15),1)*IF(Upgrades!$T$16="Brown Dwarf",POWER(Upgrades!$U$16,H15),1)*IF(Upgrades!$T$18="Brown Dwarf",POWER(Upgrades!$U$18,J15),1)*IF(Upgrades!$T$19="Brown Dwarf",POWER(Upgrades!$U$19,K15),1)*IF(Upgrades!$T$20="Brown Dwarf",POWER(Upgrades!$U$20,L15),1)*IF(Upgrades!$T$21="Brown Dwarf",POWER(Upgrades!$U$21,M15),1))*$F$6+(((IF(H15=0,0,(Upgrades!$M$16+H15*Upgrades!$N$16)*POWER(Upgrades!$O$16,H15)))*(IF(Upgrades!$T$13="Roche Lobe Overflow",POWER(Upgrades!$U$13,E15),1)*IF(Upgrades!$T$14="Roche Lobe Overflow",POWER(Upgrades!$U$14,F15),1)*IF(Upgrades!$T$15="Roche Lobe Overflow",POWER(Upgrades!$U$15,G15),1)*IF(Upgrades!$T$17="Roche Lobe Overflow",POWER(Upgrades!$U$17,I15),1)*IF(Upgrades!$T$18="Roche Lobe Overflow",POWER(Upgrades!$U$18,J15),1)*IF(Upgrades!$T$19="Roche Lobe Overflow",POWER(Upgrades!$U$19,K15),1)*IF(Upgrades!$T$20="Roche Lobe Overflow",POWER(Upgrades!$U$20,L15),1)*IF(Upgrades!$T$21="Roche Lobe Overflow",POWER(Upgrades!$U$21,M15),1))*POWER(Upgrades!$R$13,E15)*POWER(Upgrades!$R$14,F15)*POWER(Upgrades!$R$15,G15)*POWER(Upgrades!$R$16,H15)*POWER(Upgrades!$R$17,I15)*POWER(Upgrades!$R$18,J15)*POWER(Upgrades!$R$19,K15)*POWER(Upgrades!$R$20,L15)*POWER(Upgrades!$R$21,M15)*$H$6)*O15)*0.10)/AO15,0)</f>
        <v/>
      </c>
      <c r="BD15" s="32">
        <f>MAX(IF(J15&gt;0,0,IFERROR(0.5*((IF(G15=0,0,(Upgrades!$J$15+G15*Upgrades!$K$15)*POWER(Upgrades!$L$15,G15)))*(IF(Upgrades!$T$13="Microlensing",POWER(Upgrades!$U$13,E15),1)*IF(Upgrades!$T$14="Microlensing",POWER(Upgrades!$U$14,F15),1)*IF(Upgrades!$T$16="Microlensing",POWER(Upgrades!$U$16,H15),1)*IF(Upgrades!$T$17="Microlensing",POWER(Upgrades!$U$17,I15),1)*IF(Upgrades!$T$18="Microlensing",POWER(Upgrades!$U$18,J15),1)*IF(Upgrades!$T$19="Microlensing",POWER(Upgrades!$U$19,K15),1)*IF(Upgrades!$T$20="Microlensing",POWER(Upgrades!$U$20,L15),1)*IF(Upgrades!$T$21="Microlensing",POWER(Upgrades!$U$21,M15),1))*(POWER(Upgrades!$Q$13,E15)*POWER(Upgrades!$Q$14,F15)*POWER(Upgrades!$Q$15,G15)*POWER(Upgrades!$Q$16,H15)*POWER(Upgrades!$Q$17,I15)*POWER(Upgrades!$Q$18,J15)*POWER(Upgrades!$Q$19,K15)*POWER(Upgrades!$Q$20,L15)*POWER(Upgrades!$Q$21,M15))*$G$6*(Parameters!$B$10/60*Parameters!$B$11+Q15))/Upgrades!$C$18,0)),IF(K15&gt;0,0,IFERROR(0.30*P15/Upgrades!$C$19,0)),IF(L15&gt;0,0,IFERROR(0.0001/Upgrades!$C$20,0)),IF(M15&gt;0,0,IFERROR((6.0*(POWER(Upgrades!$P$13,E15)*POWER(Upgrades!$P$14,F15)*POWER(Upgrades!$P$15,G15)*POWER(Upgrades!$P$16,H15)*POWER(Upgrades!$P$17,I15)*POWER(Upgrades!$P$18,J15)*POWER(Upgrades!$P$19,K15)*POWER(Upgrades!$P$20,L15)*POWER(Upgrades!$P$21,M15))*$F$6+0.20*O15*(Parameters!$B$10/60*Parameters!$B$11+Q15))/Upgrades!$C$21,0)),IF(AND(ISNUMBER(AK15),AK15&gt;(C15+T15)),AY15,0),IF(AND(ISNUMBER(AL15),AL15&gt;(C15+T15)),AZ15,0),IF(AND(ISNUMBER(AM15),AM15&gt;(C15+T15)),BA15,0),IF(AND(ISNUMBER(AN15),AN15&gt;(C15+T15)),BB15,0),IF(AND(ISNUMBER(AO15),AO15&gt;(C15+T15)),BC15,0))</f>
        <v/>
      </c>
      <c r="BE15" s="29">
        <f>IF(AT15=1,"transition",IF(MIN(IF(AND(J15=0,ISNUMBER(AP15),AP15&lt;=(C15+T15)),AP15,9E15),IF(AND(K15=0,ISNUMBER(AQ15),AQ15&lt;=(C15+T15)),AQ15,9E15),IF(AND(L15=0,ISNUMBER(AR15),AR15&lt;=(C15+T15)),AR15,9E15),IF(AND(M15=0,ISNUMBER(AS15),AS15&lt;=(C15+T15)),AS15,9E15))&lt;9E15,IF(AND(AND(J15=0,ISNUMBER(AP15),AP15&lt;=(C15+T15)),AP15=MIN(IF(AND(J15=0,ISNUMBER(AP15),AP15&lt;=(C15+T15)),AP15,9E15),IF(AND(K15=0,ISNUMBER(AQ15),AQ15&lt;=(C15+T15)),AQ15,9E15),IF(AND(L15=0,ISNUMBER(AR15),AR15&lt;=(C15+T15)),AR15,9E15),IF(AND(M15=0,ISNUMBER(AS15),AS15&lt;=(C15+T15)),AS15,9E15))),"BiP",IF(AND(AND(K15=0,ISNUMBER(AQ15),AQ15&lt;=(C15+T15)),AQ15=MIN(IF(AND(J15=0,ISNUMBER(AP15),AP15&lt;=(C15+T15)),AP15,9E15),IF(AND(K15=0,ISNUMBER(AQ15),AQ15&lt;=(C15+T15)),AQ15,9E15),IF(AND(L15=0,ISNUMBER(AR15),AR15&lt;=(C15+T15)),AR15,9E15),IF(AND(M15=0,ISNUMBER(AS15),AS15&lt;=(C15+T15)),AS15,9E15))),"PV",IF(AND(AND(L15=0,ISNUMBER(AR15),AR15&lt;=(C15+T15)),AR15=MIN(IF(AND(J15=0,ISNUMBER(AP15),AP15&lt;=(C15+T15)),AP15,9E15),IF(AND(K15=0,ISNUMBER(AQ15),AQ15&lt;=(C15+T15)),AQ15,9E15),IF(AND(L15=0,ISNUMBER(AR15),AR15&lt;=(C15+T15)),AR15,9E15),IF(AND(M15=0,ISNUMBER(AS15),AS15&lt;=(C15+T15)),AS15,9E15))),"OC","MG"))),IF(AX15=TRUE,"",IF(MAX(IF(AND(NOT(AND(AU15=1,AT15&lt;&gt;1)),ISNUMBER(AK15),AK15&lt;=(C15+T15)),AY15,0),IF(AND(NOT(AND(AU15=1,AT15&lt;&gt;1)),ISNUMBER(AL15),AL15&lt;=(C15+T15)),AZ15,0),IF(AND(NOT(AND(AU15=1,AT15&lt;&gt;1)),ISNUMBER(AM15),AM15&lt;=(C15+T15)),BA15,0),IF(AND(NOT(AND(AU15=1,AT15&lt;&gt;1)),ISNUMBER(AN15),AN15&lt;=(C15+T15)),BB15,0),IF(AND(ISNUMBER(AO15),AO15&lt;=(C15+T15)),BC15,0))&lt;=0,"",IF(AND(IF(AND(NOT(AND(AU15=1,AT15&lt;&gt;1)),ISNUMBER(AK15),AK15&lt;=(C15+T15)),AY15,0)&gt;0,IF(AND(NOT(AND(AU15=1,AT15&lt;&gt;1)),ISNUMBER(AK15),AK15&lt;=(C15+T15)),AY15,0)=MAX(IF(AND(NOT(AND(AU15=1,AT15&lt;&gt;1)),ISNUMBER(AK15),AK15&lt;=(C15+T15)),AY15,0),IF(AND(NOT(AND(AU15=1,AT15&lt;&gt;1)),ISNUMBER(AL15),AL15&lt;=(C15+T15)),AZ15,0),IF(AND(NOT(AND(AU15=1,AT15&lt;&gt;1)),ISNUMBER(AM15),AM15&lt;=(C15+T15)),BA15,0),IF(AND(NOT(AND(AU15=1,AT15&lt;&gt;1)),ISNUMBER(AN15),AN15&lt;=(C15+T15)),BB15,0),IF(AND(ISNUMBER(AO15),AO15&lt;=(C15+T15)),BC15,0))),"SK",IF(AND(IF(AND(NOT(AND(AU15=1,AT15&lt;&gt;1)),ISNUMBER(AL15),AL15&lt;=(C15+T15)),AZ15,0)&gt;0,IF(AND(NOT(AND(AU15=1,AT15&lt;&gt;1)),ISNUMBER(AL15),AL15&lt;=(C15+T15)),AZ15,0)=MAX(IF(AND(NOT(AND(AU15=1,AT15&lt;&gt;1)),ISNUMBER(AK15),AK15&lt;=(C15+T15)),AY15,0),IF(AND(NOT(AND(AU15=1,AT15&lt;&gt;1)),ISNUMBER(AL15),AL15&lt;=(C15+T15)),AZ15,0),IF(AND(NOT(AND(AU15=1,AT15&lt;&gt;1)),ISNUMBER(AM15),AM15&lt;=(C15+T15)),BA15,0),IF(AND(NOT(AND(AU15=1,AT15&lt;&gt;1)),ISNUMBER(AN15),AN15&lt;=(C15+T15)),BB15,0),IF(AND(ISNUMBER(AO15),AO15&lt;=(C15+T15)),BC15,0))),"LB",IF(AND(IF(AND(NOT(AND(AU15=1,AT15&lt;&gt;1)),ISNUMBER(AM15),AM15&lt;=(C15+T15)),BA15,0)&gt;0,IF(AND(NOT(AND(AU15=1,AT15&lt;&gt;1)),ISNUMBER(AM15),AM15&lt;=(C15+T15)),BA15,0)=MAX(IF(AND(NOT(AND(AU15=1,AT15&lt;&gt;1)),ISNUMBER(AK15),AK15&lt;=(C15+T15)),AY15,0),IF(AND(NOT(AND(AU15=1,AT15&lt;&gt;1)),ISNUMBER(AL15),AL15&lt;=(C15+T15)),AZ15,0),IF(AND(NOT(AND(AU15=1,AT15&lt;&gt;1)),ISNUMBER(AM15),AM15&lt;=(C15+T15)),BA15,0),IF(AND(NOT(AND(AU15=1,AT15&lt;&gt;1)),ISNUMBER(AN15),AN15&lt;=(C15+T15)),BB15,0),IF(AND(ISNUMBER(AO15),AO15&lt;=(C15+T15)),BC15,0))),"ML",IF(AND(IF(AND(NOT(AND(AU15=1,AT15&lt;&gt;1)),ISNUMBER(AN15),AN15&lt;=(C15+T15)),BB15,0)&gt;0,IF(AND(NOT(AND(AU15=1,AT15&lt;&gt;1)),ISNUMBER(AN15),AN15&lt;=(C15+T15)),BB15,0)=MAX(IF(AND(NOT(AND(AU15=1,AT15&lt;&gt;1)),ISNUMBER(AK15),AK15&lt;=(C15+T15)),AY15,0),IF(AND(NOT(AND(AU15=1,AT15&lt;&gt;1)),ISNUMBER(AL15),AL15&lt;=(C15+T15)),AZ15,0),IF(AND(NOT(AND(AU15=1,AT15&lt;&gt;1)),ISNUMBER(AM15),AM15&lt;=(C15+T15)),BA15,0),IF(AND(NOT(AND(AU15=1,AT15&lt;&gt;1)),ISNUMBER(AN15),AN15&lt;=(C15+T15)),BB15,0),IF(AND(ISNUMBER(AO15),AO15&lt;=(C15+T15)),BC15,0))),"RLO","BD"))))))))</f>
        <v/>
      </c>
    </row>
    <row r="16">
      <c r="A16" s="26" t="n">
        <v>5</v>
      </c>
      <c r="B16" s="27">
        <f>A16*10/60</f>
        <v/>
      </c>
      <c r="C16" s="22">
        <f>X15</f>
        <v/>
      </c>
      <c r="D16" s="27">
        <f>D15+W15</f>
        <v/>
      </c>
      <c r="E16" s="26">
        <f>E15+IF(U15="SK",1,0)</f>
        <v/>
      </c>
      <c r="F16" s="26">
        <f>F15+IF(U15="LB",1,0)</f>
        <v/>
      </c>
      <c r="G16" s="26">
        <f>G15+IF(U15="ML",1,0)</f>
        <v/>
      </c>
      <c r="H16" s="26">
        <f>H15+IF(U15="RLO",1,0)</f>
        <v/>
      </c>
      <c r="I16" s="26">
        <f>I15+IF(U15="BD",1,0)</f>
        <v/>
      </c>
      <c r="J16" s="26">
        <f>MAX(J15,IF(U15="BiP",1,0))</f>
        <v/>
      </c>
      <c r="K16" s="26">
        <f>MAX(K15,IF(U15="PV",1,0))</f>
        <v/>
      </c>
      <c r="L16" s="26">
        <f>MAX(L15,IF(U15="OC",1,0))</f>
        <v/>
      </c>
      <c r="M16" s="26">
        <f>MAX(M15,IF(U15="MG",1,0))</f>
        <v/>
      </c>
      <c r="N16" s="26">
        <f>MAX(N15,IF(U15="transition",1,0))</f>
        <v/>
      </c>
      <c r="O16" s="28">
        <f>(Parameters!$B$9+(IF(E16=0,0,(Upgrades!$J$13+E16*Upgrades!$K$13)*POWER(Upgrades!$L$13,E16)))*(IF(Upgrades!$T$14="Stellar Kinematics",POWER(Upgrades!$U$14,F16),1)*IF(Upgrades!$T$15="Stellar Kinematics",POWER(Upgrades!$U$15,G16),1)*IF(Upgrades!$T$16="Stellar Kinematics",POWER(Upgrades!$U$16,H16),1)*IF(Upgrades!$T$17="Stellar Kinematics",POWER(Upgrades!$U$17,I16),1)*IF(Upgrades!$T$18="Stellar Kinematics",POWER(Upgrades!$U$18,J16),1)*IF(Upgrades!$T$19="Stellar Kinematics",POWER(Upgrades!$U$19,K16),1)*IF(Upgrades!$T$20="Stellar Kinematics",POWER(Upgrades!$U$20,L16),1)*IF(Upgrades!$T$21="Stellar Kinematics",POWER(Upgrades!$U$21,M16),1))+(IF(F16=0,0,(Upgrades!$J$14+F16*Upgrades!$K$14)*POWER(Upgrades!$L$14,F16)))*(IF(Upgrades!$T$13="Local Bubble",POWER(Upgrades!$U$13,E16),1)*IF(Upgrades!$T$15="Local Bubble",POWER(Upgrades!$U$15,G16),1)*IF(Upgrades!$T$16="Local Bubble",POWER(Upgrades!$U$16,H16),1)*IF(Upgrades!$T$17="Local Bubble",POWER(Upgrades!$U$17,I16),1)*IF(Upgrades!$T$18="Local Bubble",POWER(Upgrades!$U$18,J16),1)*IF(Upgrades!$T$19="Local Bubble",POWER(Upgrades!$U$19,K16),1)*IF(Upgrades!$T$20="Local Bubble",POWER(Upgrades!$U$20,L16),1)*IF(Upgrades!$T$21="Local Bubble",POWER(Upgrades!$U$21,M16),1))+(IF(G16=0,0,(Upgrades!$J$15+G16*Upgrades!$K$15)*POWER(Upgrades!$L$15,G16)))*(IF(Upgrades!$T$13="Microlensing",POWER(Upgrades!$U$13,E16),1)*IF(Upgrades!$T$14="Microlensing",POWER(Upgrades!$U$14,F16),1)*IF(Upgrades!$T$16="Microlensing",POWER(Upgrades!$U$16,H16),1)*IF(Upgrades!$T$17="Microlensing",POWER(Upgrades!$U$17,I16),1)*IF(Upgrades!$T$18="Microlensing",POWER(Upgrades!$U$18,J16),1)*IF(Upgrades!$T$19="Microlensing",POWER(Upgrades!$U$19,K16),1)*IF(Upgrades!$T$20="Microlensing",POWER(Upgrades!$U$20,L16),1)*IF(Upgrades!$T$21="Microlensing",POWER(Upgrades!$U$21,M16),1))+(IF(H16=0,0,(Upgrades!$J$16+H16*Upgrades!$K$16)*POWER(Upgrades!$L$16,H16)))*(IF(Upgrades!$T$13="Roche Lobe Overflow",POWER(Upgrades!$U$13,E16),1)*IF(Upgrades!$T$14="Roche Lobe Overflow",POWER(Upgrades!$U$14,F16),1)*IF(Upgrades!$T$15="Roche Lobe Overflow",POWER(Upgrades!$U$15,G16),1)*IF(Upgrades!$T$17="Roche Lobe Overflow",POWER(Upgrades!$U$17,I16),1)*IF(Upgrades!$T$18="Roche Lobe Overflow",POWER(Upgrades!$U$18,J16),1)*IF(Upgrades!$T$19="Roche Lobe Overflow",POWER(Upgrades!$U$19,K16),1)*IF(Upgrades!$T$20="Roche Lobe Overflow",POWER(Upgrades!$U$20,L16),1)*IF(Upgrades!$T$21="Roche Lobe Overflow",POWER(Upgrades!$U$21,M16),1))+(IF(I16=0,0,(Upgrades!$J$17+I16*Upgrades!$K$17)*POWER(Upgrades!$L$17,I16)))*(IF(Upgrades!$T$13="Brown Dwarf",POWER(Upgrades!$U$13,E16),1)*IF(Upgrades!$T$14="Brown Dwarf",POWER(Upgrades!$U$14,F16),1)*IF(Upgrades!$T$15="Brown Dwarf",POWER(Upgrades!$U$15,G16),1)*IF(Upgrades!$T$16="Brown Dwarf",POWER(Upgrades!$U$16,H16),1)*IF(Upgrades!$T$18="Brown Dwarf",POWER(Upgrades!$U$18,J16),1)*IF(Upgrades!$T$19="Brown Dwarf",POWER(Upgrades!$U$19,K16),1)*IF(Upgrades!$T$20="Brown Dwarf",POWER(Upgrades!$U$20,L16),1)*IF(Upgrades!$T$21="Brown Dwarf",POWER(Upgrades!$U$21,M16),1))+(IF(J16=0,0,(Upgrades!$J$18+J16*Upgrades!$K$18)*POWER(Upgrades!$L$18,J16)))*(IF(Upgrades!$T$13="Binary Partner",POWER(Upgrades!$U$13,E16),1)*IF(Upgrades!$T$14="Binary Partner",POWER(Upgrades!$U$14,F16),1)*IF(Upgrades!$T$15="Binary Partner",POWER(Upgrades!$U$15,G16),1)*IF(Upgrades!$T$16="Binary Partner",POWER(Upgrades!$U$16,H16),1)*IF(Upgrades!$T$17="Binary Partner",POWER(Upgrades!$U$17,I16),1)*IF(Upgrades!$T$19="Binary Partner",POWER(Upgrades!$U$19,K16),1)*IF(Upgrades!$T$20="Binary Partner",POWER(Upgrades!$U$20,L16),1)*IF(Upgrades!$T$21="Binary Partner",POWER(Upgrades!$U$21,M16),1))+(IF(K16=0,0,(Upgrades!$J$19+K16*Upgrades!$K$19)*POWER(Upgrades!$L$19,K16)))*(IF(Upgrades!$T$13="Peculiar Velocity",POWER(Upgrades!$U$13,E16),1)*IF(Upgrades!$T$14="Peculiar Velocity",POWER(Upgrades!$U$14,F16),1)*IF(Upgrades!$T$15="Peculiar Velocity",POWER(Upgrades!$U$15,G16),1)*IF(Upgrades!$T$16="Peculiar Velocity",POWER(Upgrades!$U$16,H16),1)*IF(Upgrades!$T$17="Peculiar Velocity",POWER(Upgrades!$U$17,I16),1)*IF(Upgrades!$T$18="Peculiar Velocity",POWER(Upgrades!$U$18,J16),1)*IF(Upgrades!$T$20="Peculiar Velocity",POWER(Upgrades!$U$20,L16),1)*IF(Upgrades!$T$21="Peculiar Velocity",POWER(Upgrades!$U$21,M16),1))+(IF(L16=0,0,(Upgrades!$J$20+L16*Upgrades!$K$20)*POWER(Upgrades!$L$20,L16)))*(IF(Upgrades!$T$13="Open Cluster",POWER(Upgrades!$U$13,E16),1)*IF(Upgrades!$T$14="Open Cluster",POWER(Upgrades!$U$14,F16),1)*IF(Upgrades!$T$15="Open Cluster",POWER(Upgrades!$U$15,G16),1)*IF(Upgrades!$T$16="Open Cluster",POWER(Upgrades!$U$16,H16),1)*IF(Upgrades!$T$17="Open Cluster",POWER(Upgrades!$U$17,I16),1)*IF(Upgrades!$T$18="Open Cluster",POWER(Upgrades!$U$18,J16),1)*IF(Upgrades!$T$19="Open Cluster",POWER(Upgrades!$U$19,K16),1)*IF(Upgrades!$T$21="Open Cluster",POWER(Upgrades!$U$21,M16),1))+(IF(M16=0,0,(Upgrades!$J$21+M16*Upgrades!$K$21)*POWER(Upgrades!$L$21,M16)))*(IF(Upgrades!$T$13="Moving Group",POWER(Upgrades!$U$13,E16),1)*IF(Upgrades!$T$14="Moving Group",POWER(Upgrades!$U$14,F16),1)*IF(Upgrades!$T$15="Moving Group",POWER(Upgrades!$U$15,G16),1)*IF(Upgrades!$T$16="Moving Group",POWER(Upgrades!$U$16,H16),1)*IF(Upgrades!$T$17="Moving Group",POWER(Upgrades!$U$17,I16),1)*IF(Upgrades!$T$18="Moving Group",POWER(Upgrades!$U$18,J16),1)*IF(Upgrades!$T$19="Moving Group",POWER(Upgrades!$U$19,K16),1)*IF(Upgrades!$T$20="Moving Group",POWER(Upgrades!$U$20,L16),1)))*POWER(Upgrades!$Q$13,E16)*POWER(Upgrades!$Q$14,F16)*POWER(Upgrades!$Q$15,G16)*POWER(Upgrades!$Q$16,H16)*POWER(Upgrades!$Q$17,I16)*POWER(Upgrades!$Q$18,J16)*POWER(Upgrades!$Q$19,K16)*POWER(Upgrades!$Q$20,L16)*POWER(Upgrades!$Q$21,M16)*$G$6+$D$6</f>
        <v/>
      </c>
      <c r="P16" s="28">
        <f>((IF(E16=0,0,(Upgrades!$G$13+E16*Upgrades!$H$13)*POWER(Upgrades!$I$13,E16)))*(IF(Upgrades!$T$14="Stellar Kinematics",POWER(Upgrades!$U$14,F16),1)*IF(Upgrades!$T$15="Stellar Kinematics",POWER(Upgrades!$U$15,G16),1)*IF(Upgrades!$T$16="Stellar Kinematics",POWER(Upgrades!$U$16,H16),1)*IF(Upgrades!$T$17="Stellar Kinematics",POWER(Upgrades!$U$17,I16),1)*IF(Upgrades!$T$18="Stellar Kinematics",POWER(Upgrades!$U$18,J16),1)*IF(Upgrades!$T$19="Stellar Kinematics",POWER(Upgrades!$U$19,K16),1)*IF(Upgrades!$T$20="Stellar Kinematics",POWER(Upgrades!$U$20,L16),1)*IF(Upgrades!$T$21="Stellar Kinematics",POWER(Upgrades!$U$21,M16),1))+(IF(F16=0,0,(Upgrades!$G$14+F16*Upgrades!$H$14)*POWER(Upgrades!$I$14,F16)))*(IF(Upgrades!$T$13="Local Bubble",POWER(Upgrades!$U$13,E16),1)*IF(Upgrades!$T$15="Local Bubble",POWER(Upgrades!$U$15,G16),1)*IF(Upgrades!$T$16="Local Bubble",POWER(Upgrades!$U$16,H16),1)*IF(Upgrades!$T$17="Local Bubble",POWER(Upgrades!$U$17,I16),1)*IF(Upgrades!$T$18="Local Bubble",POWER(Upgrades!$U$18,J16),1)*IF(Upgrades!$T$19="Local Bubble",POWER(Upgrades!$U$19,K16),1)*IF(Upgrades!$T$20="Local Bubble",POWER(Upgrades!$U$20,L16),1)*IF(Upgrades!$T$21="Local Bubble",POWER(Upgrades!$U$21,M16),1))+(IF(G16=0,0,(Upgrades!$G$15+G16*Upgrades!$H$15)*POWER(Upgrades!$I$15,G16)))*(IF(Upgrades!$T$13="Microlensing",POWER(Upgrades!$U$13,E16),1)*IF(Upgrades!$T$14="Microlensing",POWER(Upgrades!$U$14,F16),1)*IF(Upgrades!$T$16="Microlensing",POWER(Upgrades!$U$16,H16),1)*IF(Upgrades!$T$17="Microlensing",POWER(Upgrades!$U$17,I16),1)*IF(Upgrades!$T$18="Microlensing",POWER(Upgrades!$U$18,J16),1)*IF(Upgrades!$T$19="Microlensing",POWER(Upgrades!$U$19,K16),1)*IF(Upgrades!$T$20="Microlensing",POWER(Upgrades!$U$20,L16),1)*IF(Upgrades!$T$21="Microlensing",POWER(Upgrades!$U$21,M16),1))+(IF(H16=0,0,(Upgrades!$G$16+H16*Upgrades!$H$16)*POWER(Upgrades!$I$16,H16)))*(IF(Upgrades!$T$13="Roche Lobe Overflow",POWER(Upgrades!$U$13,E16),1)*IF(Upgrades!$T$14="Roche Lobe Overflow",POWER(Upgrades!$U$14,F16),1)*IF(Upgrades!$T$15="Roche Lobe Overflow",POWER(Upgrades!$U$15,G16),1)*IF(Upgrades!$T$17="Roche Lobe Overflow",POWER(Upgrades!$U$17,I16),1)*IF(Upgrades!$T$18="Roche Lobe Overflow",POWER(Upgrades!$U$18,J16),1)*IF(Upgrades!$T$19="Roche Lobe Overflow",POWER(Upgrades!$U$19,K16),1)*IF(Upgrades!$T$20="Roche Lobe Overflow",POWER(Upgrades!$U$20,L16),1)*IF(Upgrades!$T$21="Roche Lobe Overflow",POWER(Upgrades!$U$21,M16),1))+(IF(I16=0,0,(Upgrades!$G$17+I16*Upgrades!$H$17)*POWER(Upgrades!$I$17,I16)))*(IF(Upgrades!$T$13="Brown Dwarf",POWER(Upgrades!$U$13,E16),1)*IF(Upgrades!$T$14="Brown Dwarf",POWER(Upgrades!$U$14,F16),1)*IF(Upgrades!$T$15="Brown Dwarf",POWER(Upgrades!$U$15,G16),1)*IF(Upgrades!$T$16="Brown Dwarf",POWER(Upgrades!$U$16,H16),1)*IF(Upgrades!$T$18="Brown Dwarf",POWER(Upgrades!$U$18,J16),1)*IF(Upgrades!$T$19="Brown Dwarf",POWER(Upgrades!$U$19,K16),1)*IF(Upgrades!$T$20="Brown Dwarf",POWER(Upgrades!$U$20,L16),1)*IF(Upgrades!$T$21="Brown Dwarf",POWER(Upgrades!$U$21,M16),1))+(IF(J16=0,0,(Upgrades!$G$18+J16*Upgrades!$H$18)*POWER(Upgrades!$I$18,J16)))*(IF(Upgrades!$T$13="Binary Partner",POWER(Upgrades!$U$13,E16),1)*IF(Upgrades!$T$14="Binary Partner",POWER(Upgrades!$U$14,F16),1)*IF(Upgrades!$T$15="Binary Partner",POWER(Upgrades!$U$15,G16),1)*IF(Upgrades!$T$16="Binary Partner",POWER(Upgrades!$U$16,H16),1)*IF(Upgrades!$T$17="Binary Partner",POWER(Upgrades!$U$17,I16),1)*IF(Upgrades!$T$19="Binary Partner",POWER(Upgrades!$U$19,K16),1)*IF(Upgrades!$T$20="Binary Partner",POWER(Upgrades!$U$20,L16),1)*IF(Upgrades!$T$21="Binary Partner",POWER(Upgrades!$U$21,M16),1))+(IF(K16=0,0,(Upgrades!$G$19+K16*Upgrades!$H$19)*POWER(Upgrades!$I$19,K16)))*(IF(Upgrades!$T$13="Peculiar Velocity",POWER(Upgrades!$U$13,E16),1)*IF(Upgrades!$T$14="Peculiar Velocity",POWER(Upgrades!$U$14,F16),1)*IF(Upgrades!$T$15="Peculiar Velocity",POWER(Upgrades!$U$15,G16),1)*IF(Upgrades!$T$16="Peculiar Velocity",POWER(Upgrades!$U$16,H16),1)*IF(Upgrades!$T$17="Peculiar Velocity",POWER(Upgrades!$U$17,I16),1)*IF(Upgrades!$T$18="Peculiar Velocity",POWER(Upgrades!$U$18,J16),1)*IF(Upgrades!$T$20="Peculiar Velocity",POWER(Upgrades!$U$20,L16),1)*IF(Upgrades!$T$21="Peculiar Velocity",POWER(Upgrades!$U$21,M16),1))+(IF(L16=0,0,(Upgrades!$G$20+L16*Upgrades!$H$20)*POWER(Upgrades!$I$20,L16)))*(IF(Upgrades!$T$13="Open Cluster",POWER(Upgrades!$U$13,E16),1)*IF(Upgrades!$T$14="Open Cluster",POWER(Upgrades!$U$14,F16),1)*IF(Upgrades!$T$15="Open Cluster",POWER(Upgrades!$U$15,G16),1)*IF(Upgrades!$T$16="Open Cluster",POWER(Upgrades!$U$16,H16),1)*IF(Upgrades!$T$17="Open Cluster",POWER(Upgrades!$U$17,I16),1)*IF(Upgrades!$T$18="Open Cluster",POWER(Upgrades!$U$18,J16),1)*IF(Upgrades!$T$19="Open Cluster",POWER(Upgrades!$U$19,K16),1)*IF(Upgrades!$T$21="Open Cluster",POWER(Upgrades!$U$21,M16),1))+(IF(M16=0,0,(Upgrades!$G$21+M16*Upgrades!$H$21)*POWER(Upgrades!$I$21,M16)))*(IF(Upgrades!$T$13="Moving Group",POWER(Upgrades!$U$13,E16),1)*IF(Upgrades!$T$14="Moving Group",POWER(Upgrades!$U$14,F16),1)*IF(Upgrades!$T$15="Moving Group",POWER(Upgrades!$U$15,G16),1)*IF(Upgrades!$T$16="Moving Group",POWER(Upgrades!$U$16,H16),1)*IF(Upgrades!$T$17="Moving Group",POWER(Upgrades!$U$17,I16),1)*IF(Upgrades!$T$18="Moving Group",POWER(Upgrades!$U$18,J16),1)*IF(Upgrades!$T$19="Moving Group",POWER(Upgrades!$U$19,K16),1)*IF(Upgrades!$T$20="Moving Group",POWER(Upgrades!$U$20,L16),1)))*POWER(Upgrades!$P$13,E16)*POWER(Upgrades!$P$14,F16)*POWER(Upgrades!$P$15,G16)*POWER(Upgrades!$P$16,H16)*POWER(Upgrades!$P$17,I16)*POWER(Upgrades!$P$18,J16)*POWER(Upgrades!$P$19,K16)*POWER(Upgrades!$P$20,L16)*POWER(Upgrades!$P$21,M16)*$F$6+$C$6</f>
        <v/>
      </c>
      <c r="Q16" s="28">
        <f>((IF(E16=0,0,(Upgrades!$M$13+E16*Upgrades!$N$13)*POWER(Upgrades!$O$13,E16)))*(IF(Upgrades!$T$14="Stellar Kinematics",POWER(Upgrades!$U$14,F16),1)*IF(Upgrades!$T$15="Stellar Kinematics",POWER(Upgrades!$U$15,G16),1)*IF(Upgrades!$T$16="Stellar Kinematics",POWER(Upgrades!$U$16,H16),1)*IF(Upgrades!$T$17="Stellar Kinematics",POWER(Upgrades!$U$17,I16),1)*IF(Upgrades!$T$18="Stellar Kinematics",POWER(Upgrades!$U$18,J16),1)*IF(Upgrades!$T$19="Stellar Kinematics",POWER(Upgrades!$U$19,K16),1)*IF(Upgrades!$T$20="Stellar Kinematics",POWER(Upgrades!$U$20,L16),1)*IF(Upgrades!$T$21="Stellar Kinematics",POWER(Upgrades!$U$21,M16),1))+(IF(F16=0,0,(Upgrades!$M$14+F16*Upgrades!$N$14)*POWER(Upgrades!$O$14,F16)))*(IF(Upgrades!$T$13="Local Bubble",POWER(Upgrades!$U$13,E16),1)*IF(Upgrades!$T$15="Local Bubble",POWER(Upgrades!$U$15,G16),1)*IF(Upgrades!$T$16="Local Bubble",POWER(Upgrades!$U$16,H16),1)*IF(Upgrades!$T$17="Local Bubble",POWER(Upgrades!$U$17,I16),1)*IF(Upgrades!$T$18="Local Bubble",POWER(Upgrades!$U$18,J16),1)*IF(Upgrades!$T$19="Local Bubble",POWER(Upgrades!$U$19,K16),1)*IF(Upgrades!$T$20="Local Bubble",POWER(Upgrades!$U$20,L16),1)*IF(Upgrades!$T$21="Local Bubble",POWER(Upgrades!$U$21,M16),1))+(IF(G16=0,0,(Upgrades!$M$15+G16*Upgrades!$N$15)*POWER(Upgrades!$O$15,G16)))*(IF(Upgrades!$T$13="Microlensing",POWER(Upgrades!$U$13,E16),1)*IF(Upgrades!$T$14="Microlensing",POWER(Upgrades!$U$14,F16),1)*IF(Upgrades!$T$16="Microlensing",POWER(Upgrades!$U$16,H16),1)*IF(Upgrades!$T$17="Microlensing",POWER(Upgrades!$U$17,I16),1)*IF(Upgrades!$T$18="Microlensing",POWER(Upgrades!$U$18,J16),1)*IF(Upgrades!$T$19="Microlensing",POWER(Upgrades!$U$19,K16),1)*IF(Upgrades!$T$20="Microlensing",POWER(Upgrades!$U$20,L16),1)*IF(Upgrades!$T$21="Microlensing",POWER(Upgrades!$U$21,M16),1))+(IF(H16=0,0,(Upgrades!$M$16+H16*Upgrades!$N$16)*POWER(Upgrades!$O$16,H16)))*(IF(Upgrades!$T$13="Roche Lobe Overflow",POWER(Upgrades!$U$13,E16),1)*IF(Upgrades!$T$14="Roche Lobe Overflow",POWER(Upgrades!$U$14,F16),1)*IF(Upgrades!$T$15="Roche Lobe Overflow",POWER(Upgrades!$U$15,G16),1)*IF(Upgrades!$T$17="Roche Lobe Overflow",POWER(Upgrades!$U$17,I16),1)*IF(Upgrades!$T$18="Roche Lobe Overflow",POWER(Upgrades!$U$18,J16),1)*IF(Upgrades!$T$19="Roche Lobe Overflow",POWER(Upgrades!$U$19,K16),1)*IF(Upgrades!$T$20="Roche Lobe Overflow",POWER(Upgrades!$U$20,L16),1)*IF(Upgrades!$T$21="Roche Lobe Overflow",POWER(Upgrades!$U$21,M16),1))+(IF(I16=0,0,(Upgrades!$M$17+I16*Upgrades!$N$17)*POWER(Upgrades!$O$17,I16)))*(IF(Upgrades!$T$13="Brown Dwarf",POWER(Upgrades!$U$13,E16),1)*IF(Upgrades!$T$14="Brown Dwarf",POWER(Upgrades!$U$14,F16),1)*IF(Upgrades!$T$15="Brown Dwarf",POWER(Upgrades!$U$15,G16),1)*IF(Upgrades!$T$16="Brown Dwarf",POWER(Upgrades!$U$16,H16),1)*IF(Upgrades!$T$18="Brown Dwarf",POWER(Upgrades!$U$18,J16),1)*IF(Upgrades!$T$19="Brown Dwarf",POWER(Upgrades!$U$19,K16),1)*IF(Upgrades!$T$20="Brown Dwarf",POWER(Upgrades!$U$20,L16),1)*IF(Upgrades!$T$21="Brown Dwarf",POWER(Upgrades!$U$21,M16),1))+(IF(J16=0,0,(Upgrades!$M$18+J16*Upgrades!$N$18)*POWER(Upgrades!$O$18,J16)))*(IF(Upgrades!$T$13="Binary Partner",POWER(Upgrades!$U$13,E16),1)*IF(Upgrades!$T$14="Binary Partner",POWER(Upgrades!$U$14,F16),1)*IF(Upgrades!$T$15="Binary Partner",POWER(Upgrades!$U$15,G16),1)*IF(Upgrades!$T$16="Binary Partner",POWER(Upgrades!$U$16,H16),1)*IF(Upgrades!$T$17="Binary Partner",POWER(Upgrades!$U$17,I16),1)*IF(Upgrades!$T$19="Binary Partner",POWER(Upgrades!$U$19,K16),1)*IF(Upgrades!$T$20="Binary Partner",POWER(Upgrades!$U$20,L16),1)*IF(Upgrades!$T$21="Binary Partner",POWER(Upgrades!$U$21,M16),1))+(IF(K16=0,0,(Upgrades!$M$19+K16*Upgrades!$N$19)*POWER(Upgrades!$O$19,K16)))*(IF(Upgrades!$T$13="Peculiar Velocity",POWER(Upgrades!$U$13,E16),1)*IF(Upgrades!$T$14="Peculiar Velocity",POWER(Upgrades!$U$14,F16),1)*IF(Upgrades!$T$15="Peculiar Velocity",POWER(Upgrades!$U$15,G16),1)*IF(Upgrades!$T$16="Peculiar Velocity",POWER(Upgrades!$U$16,H16),1)*IF(Upgrades!$T$17="Peculiar Velocity",POWER(Upgrades!$U$17,I16),1)*IF(Upgrades!$T$18="Peculiar Velocity",POWER(Upgrades!$U$18,J16),1)*IF(Upgrades!$T$20="Peculiar Velocity",POWER(Upgrades!$U$20,L16),1)*IF(Upgrades!$T$21="Peculiar Velocity",POWER(Upgrades!$U$21,M16),1))+(IF(L16=0,0,(Upgrades!$M$20+L16*Upgrades!$N$20)*POWER(Upgrades!$O$20,L16)))*(IF(Upgrades!$T$13="Open Cluster",POWER(Upgrades!$U$13,E16),1)*IF(Upgrades!$T$14="Open Cluster",POWER(Upgrades!$U$14,F16),1)*IF(Upgrades!$T$15="Open Cluster",POWER(Upgrades!$U$15,G16),1)*IF(Upgrades!$T$16="Open Cluster",POWER(Upgrades!$U$16,H16),1)*IF(Upgrades!$T$17="Open Cluster",POWER(Upgrades!$U$17,I16),1)*IF(Upgrades!$T$18="Open Cluster",POWER(Upgrades!$U$18,J16),1)*IF(Upgrades!$T$19="Open Cluster",POWER(Upgrades!$U$19,K16),1)*IF(Upgrades!$T$21="Open Cluster",POWER(Upgrades!$U$21,M16),1))+(IF(M16=0,0,(Upgrades!$M$21+M16*Upgrades!$N$21)*POWER(Upgrades!$O$21,M16)))*(IF(Upgrades!$T$13="Moving Group",POWER(Upgrades!$U$13,E16),1)*IF(Upgrades!$T$14="Moving Group",POWER(Upgrades!$U$14,F16),1)*IF(Upgrades!$T$15="Moving Group",POWER(Upgrades!$U$15,G16),1)*IF(Upgrades!$T$16="Moving Group",POWER(Upgrades!$U$16,H16),1)*IF(Upgrades!$T$17="Moving Group",POWER(Upgrades!$U$17,I16),1)*IF(Upgrades!$T$18="Moving Group",POWER(Upgrades!$U$18,J16),1)*IF(Upgrades!$T$19="Moving Group",POWER(Upgrades!$U$19,K16),1)*IF(Upgrades!$T$20="Moving Group",POWER(Upgrades!$U$20,L16),1)))*POWER(Upgrades!$R$13,E16)*POWER(Upgrades!$R$14,F16)*POWER(Upgrades!$R$15,G16)*POWER(Upgrades!$R$16,H16)*POWER(Upgrades!$R$17,I16)*POWER(Upgrades!$R$18,J16)*POWER(Upgrades!$R$19,K16)*POWER(Upgrades!$R$20,L16)*POWER(Upgrades!$R$21,M16)*$H$6+$E$6</f>
        <v/>
      </c>
      <c r="R16" s="27">
        <f>IF(N16=1,0,O16*Parameters!$B$10/60*Parameters!$B$11*10)</f>
        <v/>
      </c>
      <c r="S16" s="27">
        <f>IF(N16=1,0,Q16*O16*10)</f>
        <v/>
      </c>
      <c r="T16" s="27">
        <f>IF(N16=1,0,R16+S16+P16*10)</f>
        <v/>
      </c>
      <c r="U16" s="33">
        <f>BE16</f>
        <v/>
      </c>
      <c r="V16" s="22">
        <f>IF(U16="",0,IF(U16="transition",0,IF(U16="SK",AK16,IF(U16="LB",AL16,IF(U16="ML",AM16,IF(U16="RLO",AN16,IF(U16="BD",AO16,IF(U16="BiP",AP16,IF(U16="PV",AQ16,IF(U16="OC",AR16,IF(U16="MG",AS16,0))))))))))</f>
        <v/>
      </c>
      <c r="W16" s="27">
        <f>IF(U16="BiP",Upgrades!$F$18,IF(U16="PV",Upgrades!$F$19,IF(U16="OC",Upgrades!$F$20,IF(U16="MG",Upgrades!$F$21,IF(U16="transition",-Parameters!$B$18*Parameters!$B$19,0)))))</f>
        <v/>
      </c>
      <c r="X16" s="22">
        <f>C16+T16-V16</f>
        <v/>
      </c>
      <c r="Y16" s="30">
        <f>O16*Parameters!$B$10/60*Parameters!$B$11+Q16*O16+P16</f>
        <v/>
      </c>
      <c r="Z16" s="34">
        <f>IF(U16="transition","→ Tier 3 (Galactic Arm)",IF(U16="MG","Moving Group — pocket drifts together",IF(U16="OC","Open Cluster acquired",IF(U16="PV","Peculiar Velocity — passive multiplier active",IF(U16="BiP","Binary Partner — pair bond formed",IF(AND(AU16=1,N16=0,AT16&lt;&gt;1),"Cohesion ready (waiting on completionists)","")))))) </f>
        <v/>
      </c>
      <c r="AA16" s="27">
        <f>(IF(E16=0,0,(Upgrades!$G$13+E16*Upgrades!$H$13)*POWER(Upgrades!$I$13,E16)))*(IF(Upgrades!$T$14="Stellar Kinematics",POWER(Upgrades!$U$14,F16),1)*IF(Upgrades!$T$15="Stellar Kinematics",POWER(Upgrades!$U$15,G16),1)*IF(Upgrades!$T$16="Stellar Kinematics",POWER(Upgrades!$U$16,H16),1)*IF(Upgrades!$T$17="Stellar Kinematics",POWER(Upgrades!$U$17,I16),1)*IF(Upgrades!$T$18="Stellar Kinematics",POWER(Upgrades!$U$18,J16),1)*IF(Upgrades!$T$19="Stellar Kinematics",POWER(Upgrades!$U$19,K16),1)*IF(Upgrades!$T$20="Stellar Kinematics",POWER(Upgrades!$U$20,L16),1)*IF(Upgrades!$T$21="Stellar Kinematics",POWER(Upgrades!$U$21,M16),1))*POWER(Upgrades!$P$13,E16)*POWER(Upgrades!$P$14,F16)*POWER(Upgrades!$P$15,G16)*POWER(Upgrades!$P$16,H16)*POWER(Upgrades!$P$17,I16)*POWER(Upgrades!$P$18,J16)*POWER(Upgrades!$P$19,K16)*POWER(Upgrades!$P$20,L16)*POWER(Upgrades!$P$21,M16)*$F$6*60</f>
        <v/>
      </c>
      <c r="AB16" s="27">
        <f>(IF(F16=0,0,(Upgrades!$G$14+F16*Upgrades!$H$14)*POWER(Upgrades!$I$14,F16)))*(IF(Upgrades!$T$13="Local Bubble",POWER(Upgrades!$U$13,E16),1)*IF(Upgrades!$T$15="Local Bubble",POWER(Upgrades!$U$15,G16),1)*IF(Upgrades!$T$16="Local Bubble",POWER(Upgrades!$U$16,H16),1)*IF(Upgrades!$T$17="Local Bubble",POWER(Upgrades!$U$17,I16),1)*IF(Upgrades!$T$18="Local Bubble",POWER(Upgrades!$U$18,J16),1)*IF(Upgrades!$T$19="Local Bubble",POWER(Upgrades!$U$19,K16),1)*IF(Upgrades!$T$20="Local Bubble",POWER(Upgrades!$U$20,L16),1)*IF(Upgrades!$T$21="Local Bubble",POWER(Upgrades!$U$21,M16),1))*POWER(Upgrades!$P$13,E16)*POWER(Upgrades!$P$14,F16)*POWER(Upgrades!$P$15,G16)*POWER(Upgrades!$P$16,H16)*POWER(Upgrades!$P$17,I16)*POWER(Upgrades!$P$18,J16)*POWER(Upgrades!$P$19,K16)*POWER(Upgrades!$P$20,L16)*POWER(Upgrades!$P$21,M16)*$F$6*60</f>
        <v/>
      </c>
      <c r="AC16" s="27">
        <f>(IF(G16=0,0,(Upgrades!$J$15+G16*Upgrades!$K$15)*POWER(Upgrades!$L$15,G16)))*(IF(Upgrades!$T$13="Microlensing",POWER(Upgrades!$U$13,E16),1)*IF(Upgrades!$T$14="Microlensing",POWER(Upgrades!$U$14,F16),1)*IF(Upgrades!$T$16="Microlensing",POWER(Upgrades!$U$16,H16),1)*IF(Upgrades!$T$17="Microlensing",POWER(Upgrades!$U$17,I16),1)*IF(Upgrades!$T$18="Microlensing",POWER(Upgrades!$U$18,J16),1)*IF(Upgrades!$T$19="Microlensing",POWER(Upgrades!$U$19,K16),1)*IF(Upgrades!$T$20="Microlensing",POWER(Upgrades!$U$20,L16),1)*IF(Upgrades!$T$21="Microlensing",POWER(Upgrades!$U$21,M16),1))*POWER(Upgrades!$Q$13,E16)*POWER(Upgrades!$Q$14,F16)*POWER(Upgrades!$Q$15,G16)*POWER(Upgrades!$Q$16,H16)*POWER(Upgrades!$Q$17,I16)*POWER(Upgrades!$Q$18,J16)*POWER(Upgrades!$Q$19,K16)*POWER(Upgrades!$Q$20,L16)*POWER(Upgrades!$Q$21,M16)*$G$6*(Parameters!$B$10*Parameters!$B$11+Q16*60)</f>
        <v/>
      </c>
      <c r="AD16" s="27">
        <f>(IF(H16=0,0,(Upgrades!$M$16+H16*Upgrades!$N$16)*POWER(Upgrades!$O$16,H16)))*(IF(Upgrades!$T$13="Roche Lobe Overflow",POWER(Upgrades!$U$13,E16),1)*IF(Upgrades!$T$14="Roche Lobe Overflow",POWER(Upgrades!$U$14,F16),1)*IF(Upgrades!$T$15="Roche Lobe Overflow",POWER(Upgrades!$U$15,G16),1)*IF(Upgrades!$T$17="Roche Lobe Overflow",POWER(Upgrades!$U$17,I16),1)*IF(Upgrades!$T$18="Roche Lobe Overflow",POWER(Upgrades!$U$18,J16),1)*IF(Upgrades!$T$19="Roche Lobe Overflow",POWER(Upgrades!$U$19,K16),1)*IF(Upgrades!$T$20="Roche Lobe Overflow",POWER(Upgrades!$U$20,L16),1)*IF(Upgrades!$T$21="Roche Lobe Overflow",POWER(Upgrades!$U$21,M16),1))*POWER(Upgrades!$R$13,E16)*POWER(Upgrades!$R$14,F16)*POWER(Upgrades!$R$15,G16)*POWER(Upgrades!$R$16,H16)*POWER(Upgrades!$R$17,I16)*POWER(Upgrades!$R$18,J16)*POWER(Upgrades!$R$19,K16)*POWER(Upgrades!$R$20,L16)*POWER(Upgrades!$R$21,M16)*$H$6*O16*60</f>
        <v/>
      </c>
      <c r="AE16" s="27">
        <f>(IF(I16=0,0,(Upgrades!$G$17+I16*Upgrades!$H$17)*POWER(Upgrades!$I$17,I16)))*(IF(Upgrades!$T$13="Brown Dwarf",POWER(Upgrades!$U$13,E16),1)*IF(Upgrades!$T$14="Brown Dwarf",POWER(Upgrades!$U$14,F16),1)*IF(Upgrades!$T$15="Brown Dwarf",POWER(Upgrades!$U$15,G16),1)*IF(Upgrades!$T$16="Brown Dwarf",POWER(Upgrades!$U$16,H16),1)*IF(Upgrades!$T$18="Brown Dwarf",POWER(Upgrades!$U$18,J16),1)*IF(Upgrades!$T$19="Brown Dwarf",POWER(Upgrades!$U$19,K16),1)*IF(Upgrades!$T$20="Brown Dwarf",POWER(Upgrades!$U$20,L16),1)*IF(Upgrades!$T$21="Brown Dwarf",POWER(Upgrades!$U$21,M16),1))*POWER(Upgrades!$P$13,E16)*POWER(Upgrades!$P$14,F16)*POWER(Upgrades!$P$15,G16)*POWER(Upgrades!$P$16,H16)*POWER(Upgrades!$P$17,I16)*POWER(Upgrades!$P$18,J16)*POWER(Upgrades!$P$19,K16)*POWER(Upgrades!$P$20,L16)*POWER(Upgrades!$P$21,M16)*$F$6*60</f>
        <v/>
      </c>
      <c r="AF16" s="27" t="n">
        <v>0</v>
      </c>
      <c r="AG16" s="27" t="n">
        <v>0</v>
      </c>
      <c r="AH16" s="27" t="n">
        <v>0</v>
      </c>
      <c r="AI16" s="27">
        <f>(IF(M16=0,0,(Upgrades!$G$21+M16*Upgrades!$H$21)*POWER(Upgrades!$I$21,M16)))*(IF(Upgrades!$T$13="Moving Group",POWER(Upgrades!$U$13,E16),1)*IF(Upgrades!$T$14="Moving Group",POWER(Upgrades!$U$14,F16),1)*IF(Upgrades!$T$15="Moving Group",POWER(Upgrades!$U$15,G16),1)*IF(Upgrades!$T$16="Moving Group",POWER(Upgrades!$U$16,H16),1)*IF(Upgrades!$T$17="Moving Group",POWER(Upgrades!$U$17,I16),1)*IF(Upgrades!$T$18="Moving Group",POWER(Upgrades!$U$18,J16),1)*IF(Upgrades!$T$19="Moving Group",POWER(Upgrades!$U$19,K16),1)*IF(Upgrades!$T$20="Moving Group",POWER(Upgrades!$U$20,L16),1))*POWER(Upgrades!$P$13,E16)*POWER(Upgrades!$P$14,F16)*POWER(Upgrades!$P$15,G16)*POWER(Upgrades!$P$16,H16)*POWER(Upgrades!$P$17,I16)*POWER(Upgrades!$P$18,J16)*POWER(Upgrades!$P$19,K16)*POWER(Upgrades!$P$20,L16)*POWER(Upgrades!$P$21,M16)*$F$6*60</f>
        <v/>
      </c>
      <c r="AJ16" s="27">
        <f>$C$6*60</f>
        <v/>
      </c>
      <c r="AK16" s="22">
        <f>IF(E16&gt;=Upgrades!$E$13,"",Upgrades!$C$13*POWER(Upgrades!$D$13,E16))</f>
        <v/>
      </c>
      <c r="AL16" s="22">
        <f>IF(F16&gt;=Upgrades!$E$14,"",Upgrades!$C$14*POWER(Upgrades!$D$14,F16))</f>
        <v/>
      </c>
      <c r="AM16" s="22">
        <f>IF(G16&gt;=Upgrades!$E$15,"",Upgrades!$C$15*POWER(Upgrades!$D$15,G16))</f>
        <v/>
      </c>
      <c r="AN16" s="22">
        <f>IF(H16&gt;=Upgrades!$E$16,"",Upgrades!$C$16*POWER(Upgrades!$D$16,H16))</f>
        <v/>
      </c>
      <c r="AO16" s="22">
        <f>IF(I16&gt;=Upgrades!$E$17,"",Upgrades!$C$17*POWER(Upgrades!$D$17,I16))</f>
        <v/>
      </c>
      <c r="AP16" s="22">
        <f>IF(J16&gt;=Upgrades!$E$18,"",Upgrades!$C$18*POWER(Upgrades!$D$18,J16))</f>
        <v/>
      </c>
      <c r="AQ16" s="22">
        <f>IF(K16&gt;=Upgrades!$E$19,"",Upgrades!$C$19*POWER(Upgrades!$D$19,K16))</f>
        <v/>
      </c>
      <c r="AR16" s="22">
        <f>IF(L16&gt;=Upgrades!$E$20,"",Upgrades!$C$20*POWER(Upgrades!$D$20,L16))</f>
        <v/>
      </c>
      <c r="AS16" s="22">
        <f>IF(M16&gt;=Upgrades!$E$21,"",Upgrades!$C$21*POWER(Upgrades!$D$21,M16))</f>
        <v/>
      </c>
      <c r="AT16" s="26">
        <f>IF(AND(D16&gt;=Parameters!$B$18*Parameters!$B$19,(I16&gt;=Upgrades!$E$17)*(M16&gt;=Upgrades!$E$21)=1,N16=0),1,"")</f>
        <v/>
      </c>
      <c r="AU16" s="26">
        <f>IF(AND(D16&gt;=Parameters!$B$18*Parameters!$B$19,N16=0),1,"")</f>
        <v/>
      </c>
      <c r="AV16" s="22">
        <f>MIN(IF(ISNUMBER(AP16),AP16,9E15),IF(ISNUMBER(AQ16),AQ16,9E15),IF(ISNUMBER(AR16),AR16,9E15),IF(ISNUMBER(AS16),AS16,9E15))</f>
        <v/>
      </c>
      <c r="AW16" s="22">
        <f>MIN(IF(ISNUMBER(AK16),AK16,9E15),IF(ISNUMBER(AL16),AL16,9E15),IF(ISNUMBER(AM16),AM16,9E15),IF(ISNUMBER(AN16),AN16,9E15),IF(ISNUMBER(AO16),AO16,9E15))</f>
        <v/>
      </c>
      <c r="AX16" s="29">
        <f>IF(BD16&gt;Parameters!$B$21*(MAX(IF(AND(NOT(AND(AU16=1,AT16&lt;&gt;1)),ISNUMBER(AK16),AK16&lt;=(C16+T16)),AY16,0),IF(AND(NOT(AND(AU16=1,AT16&lt;&gt;1)),ISNUMBER(AL16),AL16&lt;=(C16+T16)),AZ16,0),IF(AND(NOT(AND(AU16=1,AT16&lt;&gt;1)),ISNUMBER(AM16),AM16&lt;=(C16+T16)),BA16,0),IF(AND(NOT(AND(AU16=1,AT16&lt;&gt;1)),ISNUMBER(AN16),AN16&lt;=(C16+T16)),BB16,0),IF(AND(ISNUMBER(AO16),AO16&lt;=(C16+T16)),BC16,0))),TRUE,FALSE)</f>
        <v/>
      </c>
      <c r="AY16" s="32">
        <f>IFERROR(Upgrades!$H$13*(POWER(Upgrades!$P$13,E16)*POWER(Upgrades!$P$14,F16)*POWER(Upgrades!$P$15,G16)*POWER(Upgrades!$P$16,H16)*POWER(Upgrades!$P$17,I16)*POWER(Upgrades!$P$18,J16)*POWER(Upgrades!$P$19,K16)*POWER(Upgrades!$P$20,L16)*POWER(Upgrades!$P$21,M16))*(IF(Upgrades!$T$14="Stellar Kinematics",POWER(Upgrades!$U$14,F16),1)*IF(Upgrades!$T$15="Stellar Kinematics",POWER(Upgrades!$U$15,G16),1)*IF(Upgrades!$T$16="Stellar Kinematics",POWER(Upgrades!$U$16,H16),1)*IF(Upgrades!$T$17="Stellar Kinematics",POWER(Upgrades!$U$17,I16),1)*IF(Upgrades!$T$18="Stellar Kinematics",POWER(Upgrades!$U$18,J16),1)*IF(Upgrades!$T$19="Stellar Kinematics",POWER(Upgrades!$U$19,K16),1)*IF(Upgrades!$T$20="Stellar Kinematics",POWER(Upgrades!$U$20,L16),1)*IF(Upgrades!$T$21="Stellar Kinematics",POWER(Upgrades!$U$21,M16),1))*$F$6/AK16,0)</f>
        <v/>
      </c>
      <c r="AZ16" s="32">
        <f>IFERROR(Upgrades!$H$14*(POWER(Upgrades!$P$13,E16)*POWER(Upgrades!$P$14,F16)*POWER(Upgrades!$P$15,G16)*POWER(Upgrades!$P$16,H16)*POWER(Upgrades!$P$17,I16)*POWER(Upgrades!$P$18,J16)*POWER(Upgrades!$P$19,K16)*POWER(Upgrades!$P$20,L16)*POWER(Upgrades!$P$21,M16))*(IF(Upgrades!$T$13="Local Bubble",POWER(Upgrades!$U$13,E16),1)*IF(Upgrades!$T$15="Local Bubble",POWER(Upgrades!$U$15,G16),1)*IF(Upgrades!$T$16="Local Bubble",POWER(Upgrades!$U$16,H16),1)*IF(Upgrades!$T$17="Local Bubble",POWER(Upgrades!$U$17,I16),1)*IF(Upgrades!$T$18="Local Bubble",POWER(Upgrades!$U$18,J16),1)*IF(Upgrades!$T$19="Local Bubble",POWER(Upgrades!$U$19,K16),1)*IF(Upgrades!$T$20="Local Bubble",POWER(Upgrades!$U$20,L16),1)*IF(Upgrades!$T$21="Local Bubble",POWER(Upgrades!$U$21,M16),1))*$F$6/AL16,0)</f>
        <v/>
      </c>
      <c r="BA16" s="32">
        <f>IFERROR(Upgrades!$K$15*(POWER(Upgrades!$Q$13,E16)*POWER(Upgrades!$Q$14,F16)*POWER(Upgrades!$Q$15,G16)*POWER(Upgrades!$Q$16,H16)*POWER(Upgrades!$Q$17,I16)*POWER(Upgrades!$Q$18,J16)*POWER(Upgrades!$Q$19,K16)*POWER(Upgrades!$Q$20,L16)*POWER(Upgrades!$Q$21,M16))*(IF(Upgrades!$T$13="Microlensing",POWER(Upgrades!$U$13,E16),1)*IF(Upgrades!$T$14="Microlensing",POWER(Upgrades!$U$14,F16),1)*IF(Upgrades!$T$16="Microlensing",POWER(Upgrades!$U$16,H16),1)*IF(Upgrades!$T$17="Microlensing",POWER(Upgrades!$U$17,I16),1)*IF(Upgrades!$T$18="Microlensing",POWER(Upgrades!$U$18,J16),1)*IF(Upgrades!$T$19="Microlensing",POWER(Upgrades!$U$19,K16),1)*IF(Upgrades!$T$20="Microlensing",POWER(Upgrades!$U$20,L16),1)*IF(Upgrades!$T$21="Microlensing",POWER(Upgrades!$U$21,M16),1))*$G$6*(Parameters!$B$10/60*Parameters!$B$11+Q16)/AM16,0)</f>
        <v/>
      </c>
      <c r="BB16" s="32">
        <f>IFERROR((Upgrades!$N$16*(POWER(Upgrades!$R$13,E16)*POWER(Upgrades!$R$14,F16)*POWER(Upgrades!$R$15,G16)*POWER(Upgrades!$R$16,H16)*POWER(Upgrades!$R$17,I16)*POWER(Upgrades!$R$18,J16)*POWER(Upgrades!$R$19,K16)*POWER(Upgrades!$R$20,L16)*POWER(Upgrades!$R$21,M16))*(IF(Upgrades!$T$13="Roche Lobe Overflow",POWER(Upgrades!$U$13,E16),1)*IF(Upgrades!$T$14="Roche Lobe Overflow",POWER(Upgrades!$U$14,F16),1)*IF(Upgrades!$T$15="Roche Lobe Overflow",POWER(Upgrades!$U$15,G16),1)*IF(Upgrades!$T$17="Roche Lobe Overflow",POWER(Upgrades!$U$17,I16),1)*IF(Upgrades!$T$18="Roche Lobe Overflow",POWER(Upgrades!$U$18,J16),1)*IF(Upgrades!$T$19="Roche Lobe Overflow",POWER(Upgrades!$U$19,K16),1)*IF(Upgrades!$T$20="Roche Lobe Overflow",POWER(Upgrades!$U$20,L16),1)*IF(Upgrades!$T$21="Roche Lobe Overflow",POWER(Upgrades!$U$21,M16),1))*$H$6*O16+((IF(F16=0,0,(Upgrades!$G$14+F16*Upgrades!$H$14)*POWER(Upgrades!$I$14,F16)))*(IF(Upgrades!$T$13="Local Bubble",POWER(Upgrades!$U$13,E16),1)*IF(Upgrades!$T$15="Local Bubble",POWER(Upgrades!$U$15,G16),1)*IF(Upgrades!$T$16="Local Bubble",POWER(Upgrades!$U$16,H16),1)*IF(Upgrades!$T$17="Local Bubble",POWER(Upgrades!$U$17,I16),1)*IF(Upgrades!$T$18="Local Bubble",POWER(Upgrades!$U$18,J16),1)*IF(Upgrades!$T$19="Local Bubble",POWER(Upgrades!$U$19,K16),1)*IF(Upgrades!$T$20="Local Bubble",POWER(Upgrades!$U$20,L16),1)*IF(Upgrades!$T$21="Local Bubble",POWER(Upgrades!$U$21,M16),1))*POWER(Upgrades!$P$13,E16)*POWER(Upgrades!$P$14,F16)*POWER(Upgrades!$P$15,G16)*POWER(Upgrades!$P$16,H16)*POWER(Upgrades!$P$17,I16)*POWER(Upgrades!$P$18,J16)*POWER(Upgrades!$P$19,K16)*POWER(Upgrades!$P$20,L16)*POWER(Upgrades!$P$21,M16)*$F$6)*0.05)/AN16,0)</f>
        <v/>
      </c>
      <c r="BC16" s="32">
        <f>IFERROR((Upgrades!$H$17*(POWER(Upgrades!$P$13,E16)*POWER(Upgrades!$P$14,F16)*POWER(Upgrades!$P$15,G16)*POWER(Upgrades!$P$16,H16)*POWER(Upgrades!$P$17,I16)*POWER(Upgrades!$P$18,J16)*POWER(Upgrades!$P$19,K16)*POWER(Upgrades!$P$20,L16)*POWER(Upgrades!$P$21,M16))*(IF(Upgrades!$T$13="Brown Dwarf",POWER(Upgrades!$U$13,E16),1)*IF(Upgrades!$T$14="Brown Dwarf",POWER(Upgrades!$U$14,F16),1)*IF(Upgrades!$T$15="Brown Dwarf",POWER(Upgrades!$U$15,G16),1)*IF(Upgrades!$T$16="Brown Dwarf",POWER(Upgrades!$U$16,H16),1)*IF(Upgrades!$T$18="Brown Dwarf",POWER(Upgrades!$U$18,J16),1)*IF(Upgrades!$T$19="Brown Dwarf",POWER(Upgrades!$U$19,K16),1)*IF(Upgrades!$T$20="Brown Dwarf",POWER(Upgrades!$U$20,L16),1)*IF(Upgrades!$T$21="Brown Dwarf",POWER(Upgrades!$U$21,M16),1))*$F$6+(((IF(H16=0,0,(Upgrades!$M$16+H16*Upgrades!$N$16)*POWER(Upgrades!$O$16,H16)))*(IF(Upgrades!$T$13="Roche Lobe Overflow",POWER(Upgrades!$U$13,E16),1)*IF(Upgrades!$T$14="Roche Lobe Overflow",POWER(Upgrades!$U$14,F16),1)*IF(Upgrades!$T$15="Roche Lobe Overflow",POWER(Upgrades!$U$15,G16),1)*IF(Upgrades!$T$17="Roche Lobe Overflow",POWER(Upgrades!$U$17,I16),1)*IF(Upgrades!$T$18="Roche Lobe Overflow",POWER(Upgrades!$U$18,J16),1)*IF(Upgrades!$T$19="Roche Lobe Overflow",POWER(Upgrades!$U$19,K16),1)*IF(Upgrades!$T$20="Roche Lobe Overflow",POWER(Upgrades!$U$20,L16),1)*IF(Upgrades!$T$21="Roche Lobe Overflow",POWER(Upgrades!$U$21,M16),1))*POWER(Upgrades!$R$13,E16)*POWER(Upgrades!$R$14,F16)*POWER(Upgrades!$R$15,G16)*POWER(Upgrades!$R$16,H16)*POWER(Upgrades!$R$17,I16)*POWER(Upgrades!$R$18,J16)*POWER(Upgrades!$R$19,K16)*POWER(Upgrades!$R$20,L16)*POWER(Upgrades!$R$21,M16)*$H$6)*O16)*0.10)/AO16,0)</f>
        <v/>
      </c>
      <c r="BD16" s="32">
        <f>MAX(IF(J16&gt;0,0,IFERROR(0.5*((IF(G16=0,0,(Upgrades!$J$15+G16*Upgrades!$K$15)*POWER(Upgrades!$L$15,G16)))*(IF(Upgrades!$T$13="Microlensing",POWER(Upgrades!$U$13,E16),1)*IF(Upgrades!$T$14="Microlensing",POWER(Upgrades!$U$14,F16),1)*IF(Upgrades!$T$16="Microlensing",POWER(Upgrades!$U$16,H16),1)*IF(Upgrades!$T$17="Microlensing",POWER(Upgrades!$U$17,I16),1)*IF(Upgrades!$T$18="Microlensing",POWER(Upgrades!$U$18,J16),1)*IF(Upgrades!$T$19="Microlensing",POWER(Upgrades!$U$19,K16),1)*IF(Upgrades!$T$20="Microlensing",POWER(Upgrades!$U$20,L16),1)*IF(Upgrades!$T$21="Microlensing",POWER(Upgrades!$U$21,M16),1))*(POWER(Upgrades!$Q$13,E16)*POWER(Upgrades!$Q$14,F16)*POWER(Upgrades!$Q$15,G16)*POWER(Upgrades!$Q$16,H16)*POWER(Upgrades!$Q$17,I16)*POWER(Upgrades!$Q$18,J16)*POWER(Upgrades!$Q$19,K16)*POWER(Upgrades!$Q$20,L16)*POWER(Upgrades!$Q$21,M16))*$G$6*(Parameters!$B$10/60*Parameters!$B$11+Q16))/Upgrades!$C$18,0)),IF(K16&gt;0,0,IFERROR(0.30*P16/Upgrades!$C$19,0)),IF(L16&gt;0,0,IFERROR(0.0001/Upgrades!$C$20,0)),IF(M16&gt;0,0,IFERROR((6.0*(POWER(Upgrades!$P$13,E16)*POWER(Upgrades!$P$14,F16)*POWER(Upgrades!$P$15,G16)*POWER(Upgrades!$P$16,H16)*POWER(Upgrades!$P$17,I16)*POWER(Upgrades!$P$18,J16)*POWER(Upgrades!$P$19,K16)*POWER(Upgrades!$P$20,L16)*POWER(Upgrades!$P$21,M16))*$F$6+0.20*O16*(Parameters!$B$10/60*Parameters!$B$11+Q16))/Upgrades!$C$21,0)),IF(AND(ISNUMBER(AK16),AK16&gt;(C16+T16)),AY16,0),IF(AND(ISNUMBER(AL16),AL16&gt;(C16+T16)),AZ16,0),IF(AND(ISNUMBER(AM16),AM16&gt;(C16+T16)),BA16,0),IF(AND(ISNUMBER(AN16),AN16&gt;(C16+T16)),BB16,0),IF(AND(ISNUMBER(AO16),AO16&gt;(C16+T16)),BC16,0))</f>
        <v/>
      </c>
      <c r="BE16" s="29">
        <f>IF(AT16=1,"transition",IF(MIN(IF(AND(J16=0,ISNUMBER(AP16),AP16&lt;=(C16+T16)),AP16,9E15),IF(AND(K16=0,ISNUMBER(AQ16),AQ16&lt;=(C16+T16)),AQ16,9E15),IF(AND(L16=0,ISNUMBER(AR16),AR16&lt;=(C16+T16)),AR16,9E15),IF(AND(M16=0,ISNUMBER(AS16),AS16&lt;=(C16+T16)),AS16,9E15))&lt;9E15,IF(AND(AND(J16=0,ISNUMBER(AP16),AP16&lt;=(C16+T16)),AP16=MIN(IF(AND(J16=0,ISNUMBER(AP16),AP16&lt;=(C16+T16)),AP16,9E15),IF(AND(K16=0,ISNUMBER(AQ16),AQ16&lt;=(C16+T16)),AQ16,9E15),IF(AND(L16=0,ISNUMBER(AR16),AR16&lt;=(C16+T16)),AR16,9E15),IF(AND(M16=0,ISNUMBER(AS16),AS16&lt;=(C16+T16)),AS16,9E15))),"BiP",IF(AND(AND(K16=0,ISNUMBER(AQ16),AQ16&lt;=(C16+T16)),AQ16=MIN(IF(AND(J16=0,ISNUMBER(AP16),AP16&lt;=(C16+T16)),AP16,9E15),IF(AND(K16=0,ISNUMBER(AQ16),AQ16&lt;=(C16+T16)),AQ16,9E15),IF(AND(L16=0,ISNUMBER(AR16),AR16&lt;=(C16+T16)),AR16,9E15),IF(AND(M16=0,ISNUMBER(AS16),AS16&lt;=(C16+T16)),AS16,9E15))),"PV",IF(AND(AND(L16=0,ISNUMBER(AR16),AR16&lt;=(C16+T16)),AR16=MIN(IF(AND(J16=0,ISNUMBER(AP16),AP16&lt;=(C16+T16)),AP16,9E15),IF(AND(K16=0,ISNUMBER(AQ16),AQ16&lt;=(C16+T16)),AQ16,9E15),IF(AND(L16=0,ISNUMBER(AR16),AR16&lt;=(C16+T16)),AR16,9E15),IF(AND(M16=0,ISNUMBER(AS16),AS16&lt;=(C16+T16)),AS16,9E15))),"OC","MG"))),IF(AX16=TRUE,"",IF(MAX(IF(AND(NOT(AND(AU16=1,AT16&lt;&gt;1)),ISNUMBER(AK16),AK16&lt;=(C16+T16)),AY16,0),IF(AND(NOT(AND(AU16=1,AT16&lt;&gt;1)),ISNUMBER(AL16),AL16&lt;=(C16+T16)),AZ16,0),IF(AND(NOT(AND(AU16=1,AT16&lt;&gt;1)),ISNUMBER(AM16),AM16&lt;=(C16+T16)),BA16,0),IF(AND(NOT(AND(AU16=1,AT16&lt;&gt;1)),ISNUMBER(AN16),AN16&lt;=(C16+T16)),BB16,0),IF(AND(ISNUMBER(AO16),AO16&lt;=(C16+T16)),BC16,0))&lt;=0,"",IF(AND(IF(AND(NOT(AND(AU16=1,AT16&lt;&gt;1)),ISNUMBER(AK16),AK16&lt;=(C16+T16)),AY16,0)&gt;0,IF(AND(NOT(AND(AU16=1,AT16&lt;&gt;1)),ISNUMBER(AK16),AK16&lt;=(C16+T16)),AY16,0)=MAX(IF(AND(NOT(AND(AU16=1,AT16&lt;&gt;1)),ISNUMBER(AK16),AK16&lt;=(C16+T16)),AY16,0),IF(AND(NOT(AND(AU16=1,AT16&lt;&gt;1)),ISNUMBER(AL16),AL16&lt;=(C16+T16)),AZ16,0),IF(AND(NOT(AND(AU16=1,AT16&lt;&gt;1)),ISNUMBER(AM16),AM16&lt;=(C16+T16)),BA16,0),IF(AND(NOT(AND(AU16=1,AT16&lt;&gt;1)),ISNUMBER(AN16),AN16&lt;=(C16+T16)),BB16,0),IF(AND(ISNUMBER(AO16),AO16&lt;=(C16+T16)),BC16,0))),"SK",IF(AND(IF(AND(NOT(AND(AU16=1,AT16&lt;&gt;1)),ISNUMBER(AL16),AL16&lt;=(C16+T16)),AZ16,0)&gt;0,IF(AND(NOT(AND(AU16=1,AT16&lt;&gt;1)),ISNUMBER(AL16),AL16&lt;=(C16+T16)),AZ16,0)=MAX(IF(AND(NOT(AND(AU16=1,AT16&lt;&gt;1)),ISNUMBER(AK16),AK16&lt;=(C16+T16)),AY16,0),IF(AND(NOT(AND(AU16=1,AT16&lt;&gt;1)),ISNUMBER(AL16),AL16&lt;=(C16+T16)),AZ16,0),IF(AND(NOT(AND(AU16=1,AT16&lt;&gt;1)),ISNUMBER(AM16),AM16&lt;=(C16+T16)),BA16,0),IF(AND(NOT(AND(AU16=1,AT16&lt;&gt;1)),ISNUMBER(AN16),AN16&lt;=(C16+T16)),BB16,0),IF(AND(ISNUMBER(AO16),AO16&lt;=(C16+T16)),BC16,0))),"LB",IF(AND(IF(AND(NOT(AND(AU16=1,AT16&lt;&gt;1)),ISNUMBER(AM16),AM16&lt;=(C16+T16)),BA16,0)&gt;0,IF(AND(NOT(AND(AU16=1,AT16&lt;&gt;1)),ISNUMBER(AM16),AM16&lt;=(C16+T16)),BA16,0)=MAX(IF(AND(NOT(AND(AU16=1,AT16&lt;&gt;1)),ISNUMBER(AK16),AK16&lt;=(C16+T16)),AY16,0),IF(AND(NOT(AND(AU16=1,AT16&lt;&gt;1)),ISNUMBER(AL16),AL16&lt;=(C16+T16)),AZ16,0),IF(AND(NOT(AND(AU16=1,AT16&lt;&gt;1)),ISNUMBER(AM16),AM16&lt;=(C16+T16)),BA16,0),IF(AND(NOT(AND(AU16=1,AT16&lt;&gt;1)),ISNUMBER(AN16),AN16&lt;=(C16+T16)),BB16,0),IF(AND(ISNUMBER(AO16),AO16&lt;=(C16+T16)),BC16,0))),"ML",IF(AND(IF(AND(NOT(AND(AU16=1,AT16&lt;&gt;1)),ISNUMBER(AN16),AN16&lt;=(C16+T16)),BB16,0)&gt;0,IF(AND(NOT(AND(AU16=1,AT16&lt;&gt;1)),ISNUMBER(AN16),AN16&lt;=(C16+T16)),BB16,0)=MAX(IF(AND(NOT(AND(AU16=1,AT16&lt;&gt;1)),ISNUMBER(AK16),AK16&lt;=(C16+T16)),AY16,0),IF(AND(NOT(AND(AU16=1,AT16&lt;&gt;1)),ISNUMBER(AL16),AL16&lt;=(C16+T16)),AZ16,0),IF(AND(NOT(AND(AU16=1,AT16&lt;&gt;1)),ISNUMBER(AM16),AM16&lt;=(C16+T16)),BA16,0),IF(AND(NOT(AND(AU16=1,AT16&lt;&gt;1)),ISNUMBER(AN16),AN16&lt;=(C16+T16)),BB16,0),IF(AND(ISNUMBER(AO16),AO16&lt;=(C16+T16)),BC16,0))),"RLO","BD"))))))))</f>
        <v/>
      </c>
    </row>
    <row r="17">
      <c r="A17" s="26" t="n">
        <v>6</v>
      </c>
      <c r="B17" s="27">
        <f>A17*10/60</f>
        <v/>
      </c>
      <c r="C17" s="22">
        <f>X16</f>
        <v/>
      </c>
      <c r="D17" s="27">
        <f>D16+W16</f>
        <v/>
      </c>
      <c r="E17" s="26">
        <f>E16+IF(U16="SK",1,0)</f>
        <v/>
      </c>
      <c r="F17" s="26">
        <f>F16+IF(U16="LB",1,0)</f>
        <v/>
      </c>
      <c r="G17" s="26">
        <f>G16+IF(U16="ML",1,0)</f>
        <v/>
      </c>
      <c r="H17" s="26">
        <f>H16+IF(U16="RLO",1,0)</f>
        <v/>
      </c>
      <c r="I17" s="26">
        <f>I16+IF(U16="BD",1,0)</f>
        <v/>
      </c>
      <c r="J17" s="26">
        <f>MAX(J16,IF(U16="BiP",1,0))</f>
        <v/>
      </c>
      <c r="K17" s="26">
        <f>MAX(K16,IF(U16="PV",1,0))</f>
        <v/>
      </c>
      <c r="L17" s="26">
        <f>MAX(L16,IF(U16="OC",1,0))</f>
        <v/>
      </c>
      <c r="M17" s="26">
        <f>MAX(M16,IF(U16="MG",1,0))</f>
        <v/>
      </c>
      <c r="N17" s="26">
        <f>MAX(N16,IF(U16="transition",1,0))</f>
        <v/>
      </c>
      <c r="O17" s="28">
        <f>(Parameters!$B$9+(IF(E17=0,0,(Upgrades!$J$13+E17*Upgrades!$K$13)*POWER(Upgrades!$L$13,E17)))*(IF(Upgrades!$T$14="Stellar Kinematics",POWER(Upgrades!$U$14,F17),1)*IF(Upgrades!$T$15="Stellar Kinematics",POWER(Upgrades!$U$15,G17),1)*IF(Upgrades!$T$16="Stellar Kinematics",POWER(Upgrades!$U$16,H17),1)*IF(Upgrades!$T$17="Stellar Kinematics",POWER(Upgrades!$U$17,I17),1)*IF(Upgrades!$T$18="Stellar Kinematics",POWER(Upgrades!$U$18,J17),1)*IF(Upgrades!$T$19="Stellar Kinematics",POWER(Upgrades!$U$19,K17),1)*IF(Upgrades!$T$20="Stellar Kinematics",POWER(Upgrades!$U$20,L17),1)*IF(Upgrades!$T$21="Stellar Kinematics",POWER(Upgrades!$U$21,M17),1))+(IF(F17=0,0,(Upgrades!$J$14+F17*Upgrades!$K$14)*POWER(Upgrades!$L$14,F17)))*(IF(Upgrades!$T$13="Local Bubble",POWER(Upgrades!$U$13,E17),1)*IF(Upgrades!$T$15="Local Bubble",POWER(Upgrades!$U$15,G17),1)*IF(Upgrades!$T$16="Local Bubble",POWER(Upgrades!$U$16,H17),1)*IF(Upgrades!$T$17="Local Bubble",POWER(Upgrades!$U$17,I17),1)*IF(Upgrades!$T$18="Local Bubble",POWER(Upgrades!$U$18,J17),1)*IF(Upgrades!$T$19="Local Bubble",POWER(Upgrades!$U$19,K17),1)*IF(Upgrades!$T$20="Local Bubble",POWER(Upgrades!$U$20,L17),1)*IF(Upgrades!$T$21="Local Bubble",POWER(Upgrades!$U$21,M17),1))+(IF(G17=0,0,(Upgrades!$J$15+G17*Upgrades!$K$15)*POWER(Upgrades!$L$15,G17)))*(IF(Upgrades!$T$13="Microlensing",POWER(Upgrades!$U$13,E17),1)*IF(Upgrades!$T$14="Microlensing",POWER(Upgrades!$U$14,F17),1)*IF(Upgrades!$T$16="Microlensing",POWER(Upgrades!$U$16,H17),1)*IF(Upgrades!$T$17="Microlensing",POWER(Upgrades!$U$17,I17),1)*IF(Upgrades!$T$18="Microlensing",POWER(Upgrades!$U$18,J17),1)*IF(Upgrades!$T$19="Microlensing",POWER(Upgrades!$U$19,K17),1)*IF(Upgrades!$T$20="Microlensing",POWER(Upgrades!$U$20,L17),1)*IF(Upgrades!$T$21="Microlensing",POWER(Upgrades!$U$21,M17),1))+(IF(H17=0,0,(Upgrades!$J$16+H17*Upgrades!$K$16)*POWER(Upgrades!$L$16,H17)))*(IF(Upgrades!$T$13="Roche Lobe Overflow",POWER(Upgrades!$U$13,E17),1)*IF(Upgrades!$T$14="Roche Lobe Overflow",POWER(Upgrades!$U$14,F17),1)*IF(Upgrades!$T$15="Roche Lobe Overflow",POWER(Upgrades!$U$15,G17),1)*IF(Upgrades!$T$17="Roche Lobe Overflow",POWER(Upgrades!$U$17,I17),1)*IF(Upgrades!$T$18="Roche Lobe Overflow",POWER(Upgrades!$U$18,J17),1)*IF(Upgrades!$T$19="Roche Lobe Overflow",POWER(Upgrades!$U$19,K17),1)*IF(Upgrades!$T$20="Roche Lobe Overflow",POWER(Upgrades!$U$20,L17),1)*IF(Upgrades!$T$21="Roche Lobe Overflow",POWER(Upgrades!$U$21,M17),1))+(IF(I17=0,0,(Upgrades!$J$17+I17*Upgrades!$K$17)*POWER(Upgrades!$L$17,I17)))*(IF(Upgrades!$T$13="Brown Dwarf",POWER(Upgrades!$U$13,E17),1)*IF(Upgrades!$T$14="Brown Dwarf",POWER(Upgrades!$U$14,F17),1)*IF(Upgrades!$T$15="Brown Dwarf",POWER(Upgrades!$U$15,G17),1)*IF(Upgrades!$T$16="Brown Dwarf",POWER(Upgrades!$U$16,H17),1)*IF(Upgrades!$T$18="Brown Dwarf",POWER(Upgrades!$U$18,J17),1)*IF(Upgrades!$T$19="Brown Dwarf",POWER(Upgrades!$U$19,K17),1)*IF(Upgrades!$T$20="Brown Dwarf",POWER(Upgrades!$U$20,L17),1)*IF(Upgrades!$T$21="Brown Dwarf",POWER(Upgrades!$U$21,M17),1))+(IF(J17=0,0,(Upgrades!$J$18+J17*Upgrades!$K$18)*POWER(Upgrades!$L$18,J17)))*(IF(Upgrades!$T$13="Binary Partner",POWER(Upgrades!$U$13,E17),1)*IF(Upgrades!$T$14="Binary Partner",POWER(Upgrades!$U$14,F17),1)*IF(Upgrades!$T$15="Binary Partner",POWER(Upgrades!$U$15,G17),1)*IF(Upgrades!$T$16="Binary Partner",POWER(Upgrades!$U$16,H17),1)*IF(Upgrades!$T$17="Binary Partner",POWER(Upgrades!$U$17,I17),1)*IF(Upgrades!$T$19="Binary Partner",POWER(Upgrades!$U$19,K17),1)*IF(Upgrades!$T$20="Binary Partner",POWER(Upgrades!$U$20,L17),1)*IF(Upgrades!$T$21="Binary Partner",POWER(Upgrades!$U$21,M17),1))+(IF(K17=0,0,(Upgrades!$J$19+K17*Upgrades!$K$19)*POWER(Upgrades!$L$19,K17)))*(IF(Upgrades!$T$13="Peculiar Velocity",POWER(Upgrades!$U$13,E17),1)*IF(Upgrades!$T$14="Peculiar Velocity",POWER(Upgrades!$U$14,F17),1)*IF(Upgrades!$T$15="Peculiar Velocity",POWER(Upgrades!$U$15,G17),1)*IF(Upgrades!$T$16="Peculiar Velocity",POWER(Upgrades!$U$16,H17),1)*IF(Upgrades!$T$17="Peculiar Velocity",POWER(Upgrades!$U$17,I17),1)*IF(Upgrades!$T$18="Peculiar Velocity",POWER(Upgrades!$U$18,J17),1)*IF(Upgrades!$T$20="Peculiar Velocity",POWER(Upgrades!$U$20,L17),1)*IF(Upgrades!$T$21="Peculiar Velocity",POWER(Upgrades!$U$21,M17),1))+(IF(L17=0,0,(Upgrades!$J$20+L17*Upgrades!$K$20)*POWER(Upgrades!$L$20,L17)))*(IF(Upgrades!$T$13="Open Cluster",POWER(Upgrades!$U$13,E17),1)*IF(Upgrades!$T$14="Open Cluster",POWER(Upgrades!$U$14,F17),1)*IF(Upgrades!$T$15="Open Cluster",POWER(Upgrades!$U$15,G17),1)*IF(Upgrades!$T$16="Open Cluster",POWER(Upgrades!$U$16,H17),1)*IF(Upgrades!$T$17="Open Cluster",POWER(Upgrades!$U$17,I17),1)*IF(Upgrades!$T$18="Open Cluster",POWER(Upgrades!$U$18,J17),1)*IF(Upgrades!$T$19="Open Cluster",POWER(Upgrades!$U$19,K17),1)*IF(Upgrades!$T$21="Open Cluster",POWER(Upgrades!$U$21,M17),1))+(IF(M17=0,0,(Upgrades!$J$21+M17*Upgrades!$K$21)*POWER(Upgrades!$L$21,M17)))*(IF(Upgrades!$T$13="Moving Group",POWER(Upgrades!$U$13,E17),1)*IF(Upgrades!$T$14="Moving Group",POWER(Upgrades!$U$14,F17),1)*IF(Upgrades!$T$15="Moving Group",POWER(Upgrades!$U$15,G17),1)*IF(Upgrades!$T$16="Moving Group",POWER(Upgrades!$U$16,H17),1)*IF(Upgrades!$T$17="Moving Group",POWER(Upgrades!$U$17,I17),1)*IF(Upgrades!$T$18="Moving Group",POWER(Upgrades!$U$18,J17),1)*IF(Upgrades!$T$19="Moving Group",POWER(Upgrades!$U$19,K17),1)*IF(Upgrades!$T$20="Moving Group",POWER(Upgrades!$U$20,L17),1)))*POWER(Upgrades!$Q$13,E17)*POWER(Upgrades!$Q$14,F17)*POWER(Upgrades!$Q$15,G17)*POWER(Upgrades!$Q$16,H17)*POWER(Upgrades!$Q$17,I17)*POWER(Upgrades!$Q$18,J17)*POWER(Upgrades!$Q$19,K17)*POWER(Upgrades!$Q$20,L17)*POWER(Upgrades!$Q$21,M17)*$G$6+$D$6</f>
        <v/>
      </c>
      <c r="P17" s="28">
        <f>((IF(E17=0,0,(Upgrades!$G$13+E17*Upgrades!$H$13)*POWER(Upgrades!$I$13,E17)))*(IF(Upgrades!$T$14="Stellar Kinematics",POWER(Upgrades!$U$14,F17),1)*IF(Upgrades!$T$15="Stellar Kinematics",POWER(Upgrades!$U$15,G17),1)*IF(Upgrades!$T$16="Stellar Kinematics",POWER(Upgrades!$U$16,H17),1)*IF(Upgrades!$T$17="Stellar Kinematics",POWER(Upgrades!$U$17,I17),1)*IF(Upgrades!$T$18="Stellar Kinematics",POWER(Upgrades!$U$18,J17),1)*IF(Upgrades!$T$19="Stellar Kinematics",POWER(Upgrades!$U$19,K17),1)*IF(Upgrades!$T$20="Stellar Kinematics",POWER(Upgrades!$U$20,L17),1)*IF(Upgrades!$T$21="Stellar Kinematics",POWER(Upgrades!$U$21,M17),1))+(IF(F17=0,0,(Upgrades!$G$14+F17*Upgrades!$H$14)*POWER(Upgrades!$I$14,F17)))*(IF(Upgrades!$T$13="Local Bubble",POWER(Upgrades!$U$13,E17),1)*IF(Upgrades!$T$15="Local Bubble",POWER(Upgrades!$U$15,G17),1)*IF(Upgrades!$T$16="Local Bubble",POWER(Upgrades!$U$16,H17),1)*IF(Upgrades!$T$17="Local Bubble",POWER(Upgrades!$U$17,I17),1)*IF(Upgrades!$T$18="Local Bubble",POWER(Upgrades!$U$18,J17),1)*IF(Upgrades!$T$19="Local Bubble",POWER(Upgrades!$U$19,K17),1)*IF(Upgrades!$T$20="Local Bubble",POWER(Upgrades!$U$20,L17),1)*IF(Upgrades!$T$21="Local Bubble",POWER(Upgrades!$U$21,M17),1))+(IF(G17=0,0,(Upgrades!$G$15+G17*Upgrades!$H$15)*POWER(Upgrades!$I$15,G17)))*(IF(Upgrades!$T$13="Microlensing",POWER(Upgrades!$U$13,E17),1)*IF(Upgrades!$T$14="Microlensing",POWER(Upgrades!$U$14,F17),1)*IF(Upgrades!$T$16="Microlensing",POWER(Upgrades!$U$16,H17),1)*IF(Upgrades!$T$17="Microlensing",POWER(Upgrades!$U$17,I17),1)*IF(Upgrades!$T$18="Microlensing",POWER(Upgrades!$U$18,J17),1)*IF(Upgrades!$T$19="Microlensing",POWER(Upgrades!$U$19,K17),1)*IF(Upgrades!$T$20="Microlensing",POWER(Upgrades!$U$20,L17),1)*IF(Upgrades!$T$21="Microlensing",POWER(Upgrades!$U$21,M17),1))+(IF(H17=0,0,(Upgrades!$G$16+H17*Upgrades!$H$16)*POWER(Upgrades!$I$16,H17)))*(IF(Upgrades!$T$13="Roche Lobe Overflow",POWER(Upgrades!$U$13,E17),1)*IF(Upgrades!$T$14="Roche Lobe Overflow",POWER(Upgrades!$U$14,F17),1)*IF(Upgrades!$T$15="Roche Lobe Overflow",POWER(Upgrades!$U$15,G17),1)*IF(Upgrades!$T$17="Roche Lobe Overflow",POWER(Upgrades!$U$17,I17),1)*IF(Upgrades!$T$18="Roche Lobe Overflow",POWER(Upgrades!$U$18,J17),1)*IF(Upgrades!$T$19="Roche Lobe Overflow",POWER(Upgrades!$U$19,K17),1)*IF(Upgrades!$T$20="Roche Lobe Overflow",POWER(Upgrades!$U$20,L17),1)*IF(Upgrades!$T$21="Roche Lobe Overflow",POWER(Upgrades!$U$21,M17),1))+(IF(I17=0,0,(Upgrades!$G$17+I17*Upgrades!$H$17)*POWER(Upgrades!$I$17,I17)))*(IF(Upgrades!$T$13="Brown Dwarf",POWER(Upgrades!$U$13,E17),1)*IF(Upgrades!$T$14="Brown Dwarf",POWER(Upgrades!$U$14,F17),1)*IF(Upgrades!$T$15="Brown Dwarf",POWER(Upgrades!$U$15,G17),1)*IF(Upgrades!$T$16="Brown Dwarf",POWER(Upgrades!$U$16,H17),1)*IF(Upgrades!$T$18="Brown Dwarf",POWER(Upgrades!$U$18,J17),1)*IF(Upgrades!$T$19="Brown Dwarf",POWER(Upgrades!$U$19,K17),1)*IF(Upgrades!$T$20="Brown Dwarf",POWER(Upgrades!$U$20,L17),1)*IF(Upgrades!$T$21="Brown Dwarf",POWER(Upgrades!$U$21,M17),1))+(IF(J17=0,0,(Upgrades!$G$18+J17*Upgrades!$H$18)*POWER(Upgrades!$I$18,J17)))*(IF(Upgrades!$T$13="Binary Partner",POWER(Upgrades!$U$13,E17),1)*IF(Upgrades!$T$14="Binary Partner",POWER(Upgrades!$U$14,F17),1)*IF(Upgrades!$T$15="Binary Partner",POWER(Upgrades!$U$15,G17),1)*IF(Upgrades!$T$16="Binary Partner",POWER(Upgrades!$U$16,H17),1)*IF(Upgrades!$T$17="Binary Partner",POWER(Upgrades!$U$17,I17),1)*IF(Upgrades!$T$19="Binary Partner",POWER(Upgrades!$U$19,K17),1)*IF(Upgrades!$T$20="Binary Partner",POWER(Upgrades!$U$20,L17),1)*IF(Upgrades!$T$21="Binary Partner",POWER(Upgrades!$U$21,M17),1))+(IF(K17=0,0,(Upgrades!$G$19+K17*Upgrades!$H$19)*POWER(Upgrades!$I$19,K17)))*(IF(Upgrades!$T$13="Peculiar Velocity",POWER(Upgrades!$U$13,E17),1)*IF(Upgrades!$T$14="Peculiar Velocity",POWER(Upgrades!$U$14,F17),1)*IF(Upgrades!$T$15="Peculiar Velocity",POWER(Upgrades!$U$15,G17),1)*IF(Upgrades!$T$16="Peculiar Velocity",POWER(Upgrades!$U$16,H17),1)*IF(Upgrades!$T$17="Peculiar Velocity",POWER(Upgrades!$U$17,I17),1)*IF(Upgrades!$T$18="Peculiar Velocity",POWER(Upgrades!$U$18,J17),1)*IF(Upgrades!$T$20="Peculiar Velocity",POWER(Upgrades!$U$20,L17),1)*IF(Upgrades!$T$21="Peculiar Velocity",POWER(Upgrades!$U$21,M17),1))+(IF(L17=0,0,(Upgrades!$G$20+L17*Upgrades!$H$20)*POWER(Upgrades!$I$20,L17)))*(IF(Upgrades!$T$13="Open Cluster",POWER(Upgrades!$U$13,E17),1)*IF(Upgrades!$T$14="Open Cluster",POWER(Upgrades!$U$14,F17),1)*IF(Upgrades!$T$15="Open Cluster",POWER(Upgrades!$U$15,G17),1)*IF(Upgrades!$T$16="Open Cluster",POWER(Upgrades!$U$16,H17),1)*IF(Upgrades!$T$17="Open Cluster",POWER(Upgrades!$U$17,I17),1)*IF(Upgrades!$T$18="Open Cluster",POWER(Upgrades!$U$18,J17),1)*IF(Upgrades!$T$19="Open Cluster",POWER(Upgrades!$U$19,K17),1)*IF(Upgrades!$T$21="Open Cluster",POWER(Upgrades!$U$21,M17),1))+(IF(M17=0,0,(Upgrades!$G$21+M17*Upgrades!$H$21)*POWER(Upgrades!$I$21,M17)))*(IF(Upgrades!$T$13="Moving Group",POWER(Upgrades!$U$13,E17),1)*IF(Upgrades!$T$14="Moving Group",POWER(Upgrades!$U$14,F17),1)*IF(Upgrades!$T$15="Moving Group",POWER(Upgrades!$U$15,G17),1)*IF(Upgrades!$T$16="Moving Group",POWER(Upgrades!$U$16,H17),1)*IF(Upgrades!$T$17="Moving Group",POWER(Upgrades!$U$17,I17),1)*IF(Upgrades!$T$18="Moving Group",POWER(Upgrades!$U$18,J17),1)*IF(Upgrades!$T$19="Moving Group",POWER(Upgrades!$U$19,K17),1)*IF(Upgrades!$T$20="Moving Group",POWER(Upgrades!$U$20,L17),1)))*POWER(Upgrades!$P$13,E17)*POWER(Upgrades!$P$14,F17)*POWER(Upgrades!$P$15,G17)*POWER(Upgrades!$P$16,H17)*POWER(Upgrades!$P$17,I17)*POWER(Upgrades!$P$18,J17)*POWER(Upgrades!$P$19,K17)*POWER(Upgrades!$P$20,L17)*POWER(Upgrades!$P$21,M17)*$F$6+$C$6</f>
        <v/>
      </c>
      <c r="Q17" s="28">
        <f>((IF(E17=0,0,(Upgrades!$M$13+E17*Upgrades!$N$13)*POWER(Upgrades!$O$13,E17)))*(IF(Upgrades!$T$14="Stellar Kinematics",POWER(Upgrades!$U$14,F17),1)*IF(Upgrades!$T$15="Stellar Kinematics",POWER(Upgrades!$U$15,G17),1)*IF(Upgrades!$T$16="Stellar Kinematics",POWER(Upgrades!$U$16,H17),1)*IF(Upgrades!$T$17="Stellar Kinematics",POWER(Upgrades!$U$17,I17),1)*IF(Upgrades!$T$18="Stellar Kinematics",POWER(Upgrades!$U$18,J17),1)*IF(Upgrades!$T$19="Stellar Kinematics",POWER(Upgrades!$U$19,K17),1)*IF(Upgrades!$T$20="Stellar Kinematics",POWER(Upgrades!$U$20,L17),1)*IF(Upgrades!$T$21="Stellar Kinematics",POWER(Upgrades!$U$21,M17),1))+(IF(F17=0,0,(Upgrades!$M$14+F17*Upgrades!$N$14)*POWER(Upgrades!$O$14,F17)))*(IF(Upgrades!$T$13="Local Bubble",POWER(Upgrades!$U$13,E17),1)*IF(Upgrades!$T$15="Local Bubble",POWER(Upgrades!$U$15,G17),1)*IF(Upgrades!$T$16="Local Bubble",POWER(Upgrades!$U$16,H17),1)*IF(Upgrades!$T$17="Local Bubble",POWER(Upgrades!$U$17,I17),1)*IF(Upgrades!$T$18="Local Bubble",POWER(Upgrades!$U$18,J17),1)*IF(Upgrades!$T$19="Local Bubble",POWER(Upgrades!$U$19,K17),1)*IF(Upgrades!$T$20="Local Bubble",POWER(Upgrades!$U$20,L17),1)*IF(Upgrades!$T$21="Local Bubble",POWER(Upgrades!$U$21,M17),1))+(IF(G17=0,0,(Upgrades!$M$15+G17*Upgrades!$N$15)*POWER(Upgrades!$O$15,G17)))*(IF(Upgrades!$T$13="Microlensing",POWER(Upgrades!$U$13,E17),1)*IF(Upgrades!$T$14="Microlensing",POWER(Upgrades!$U$14,F17),1)*IF(Upgrades!$T$16="Microlensing",POWER(Upgrades!$U$16,H17),1)*IF(Upgrades!$T$17="Microlensing",POWER(Upgrades!$U$17,I17),1)*IF(Upgrades!$T$18="Microlensing",POWER(Upgrades!$U$18,J17),1)*IF(Upgrades!$T$19="Microlensing",POWER(Upgrades!$U$19,K17),1)*IF(Upgrades!$T$20="Microlensing",POWER(Upgrades!$U$20,L17),1)*IF(Upgrades!$T$21="Microlensing",POWER(Upgrades!$U$21,M17),1))+(IF(H17=0,0,(Upgrades!$M$16+H17*Upgrades!$N$16)*POWER(Upgrades!$O$16,H17)))*(IF(Upgrades!$T$13="Roche Lobe Overflow",POWER(Upgrades!$U$13,E17),1)*IF(Upgrades!$T$14="Roche Lobe Overflow",POWER(Upgrades!$U$14,F17),1)*IF(Upgrades!$T$15="Roche Lobe Overflow",POWER(Upgrades!$U$15,G17),1)*IF(Upgrades!$T$17="Roche Lobe Overflow",POWER(Upgrades!$U$17,I17),1)*IF(Upgrades!$T$18="Roche Lobe Overflow",POWER(Upgrades!$U$18,J17),1)*IF(Upgrades!$T$19="Roche Lobe Overflow",POWER(Upgrades!$U$19,K17),1)*IF(Upgrades!$T$20="Roche Lobe Overflow",POWER(Upgrades!$U$20,L17),1)*IF(Upgrades!$T$21="Roche Lobe Overflow",POWER(Upgrades!$U$21,M17),1))+(IF(I17=0,0,(Upgrades!$M$17+I17*Upgrades!$N$17)*POWER(Upgrades!$O$17,I17)))*(IF(Upgrades!$T$13="Brown Dwarf",POWER(Upgrades!$U$13,E17),1)*IF(Upgrades!$T$14="Brown Dwarf",POWER(Upgrades!$U$14,F17),1)*IF(Upgrades!$T$15="Brown Dwarf",POWER(Upgrades!$U$15,G17),1)*IF(Upgrades!$T$16="Brown Dwarf",POWER(Upgrades!$U$16,H17),1)*IF(Upgrades!$T$18="Brown Dwarf",POWER(Upgrades!$U$18,J17),1)*IF(Upgrades!$T$19="Brown Dwarf",POWER(Upgrades!$U$19,K17),1)*IF(Upgrades!$T$20="Brown Dwarf",POWER(Upgrades!$U$20,L17),1)*IF(Upgrades!$T$21="Brown Dwarf",POWER(Upgrades!$U$21,M17),1))+(IF(J17=0,0,(Upgrades!$M$18+J17*Upgrades!$N$18)*POWER(Upgrades!$O$18,J17)))*(IF(Upgrades!$T$13="Binary Partner",POWER(Upgrades!$U$13,E17),1)*IF(Upgrades!$T$14="Binary Partner",POWER(Upgrades!$U$14,F17),1)*IF(Upgrades!$T$15="Binary Partner",POWER(Upgrades!$U$15,G17),1)*IF(Upgrades!$T$16="Binary Partner",POWER(Upgrades!$U$16,H17),1)*IF(Upgrades!$T$17="Binary Partner",POWER(Upgrades!$U$17,I17),1)*IF(Upgrades!$T$19="Binary Partner",POWER(Upgrades!$U$19,K17),1)*IF(Upgrades!$T$20="Binary Partner",POWER(Upgrades!$U$20,L17),1)*IF(Upgrades!$T$21="Binary Partner",POWER(Upgrades!$U$21,M17),1))+(IF(K17=0,0,(Upgrades!$M$19+K17*Upgrades!$N$19)*POWER(Upgrades!$O$19,K17)))*(IF(Upgrades!$T$13="Peculiar Velocity",POWER(Upgrades!$U$13,E17),1)*IF(Upgrades!$T$14="Peculiar Velocity",POWER(Upgrades!$U$14,F17),1)*IF(Upgrades!$T$15="Peculiar Velocity",POWER(Upgrades!$U$15,G17),1)*IF(Upgrades!$T$16="Peculiar Velocity",POWER(Upgrades!$U$16,H17),1)*IF(Upgrades!$T$17="Peculiar Velocity",POWER(Upgrades!$U$17,I17),1)*IF(Upgrades!$T$18="Peculiar Velocity",POWER(Upgrades!$U$18,J17),1)*IF(Upgrades!$T$20="Peculiar Velocity",POWER(Upgrades!$U$20,L17),1)*IF(Upgrades!$T$21="Peculiar Velocity",POWER(Upgrades!$U$21,M17),1))+(IF(L17=0,0,(Upgrades!$M$20+L17*Upgrades!$N$20)*POWER(Upgrades!$O$20,L17)))*(IF(Upgrades!$T$13="Open Cluster",POWER(Upgrades!$U$13,E17),1)*IF(Upgrades!$T$14="Open Cluster",POWER(Upgrades!$U$14,F17),1)*IF(Upgrades!$T$15="Open Cluster",POWER(Upgrades!$U$15,G17),1)*IF(Upgrades!$T$16="Open Cluster",POWER(Upgrades!$U$16,H17),1)*IF(Upgrades!$T$17="Open Cluster",POWER(Upgrades!$U$17,I17),1)*IF(Upgrades!$T$18="Open Cluster",POWER(Upgrades!$U$18,J17),1)*IF(Upgrades!$T$19="Open Cluster",POWER(Upgrades!$U$19,K17),1)*IF(Upgrades!$T$21="Open Cluster",POWER(Upgrades!$U$21,M17),1))+(IF(M17=0,0,(Upgrades!$M$21+M17*Upgrades!$N$21)*POWER(Upgrades!$O$21,M17)))*(IF(Upgrades!$T$13="Moving Group",POWER(Upgrades!$U$13,E17),1)*IF(Upgrades!$T$14="Moving Group",POWER(Upgrades!$U$14,F17),1)*IF(Upgrades!$T$15="Moving Group",POWER(Upgrades!$U$15,G17),1)*IF(Upgrades!$T$16="Moving Group",POWER(Upgrades!$U$16,H17),1)*IF(Upgrades!$T$17="Moving Group",POWER(Upgrades!$U$17,I17),1)*IF(Upgrades!$T$18="Moving Group",POWER(Upgrades!$U$18,J17),1)*IF(Upgrades!$T$19="Moving Group",POWER(Upgrades!$U$19,K17),1)*IF(Upgrades!$T$20="Moving Group",POWER(Upgrades!$U$20,L17),1)))*POWER(Upgrades!$R$13,E17)*POWER(Upgrades!$R$14,F17)*POWER(Upgrades!$R$15,G17)*POWER(Upgrades!$R$16,H17)*POWER(Upgrades!$R$17,I17)*POWER(Upgrades!$R$18,J17)*POWER(Upgrades!$R$19,K17)*POWER(Upgrades!$R$20,L17)*POWER(Upgrades!$R$21,M17)*$H$6+$E$6</f>
        <v/>
      </c>
      <c r="R17" s="27">
        <f>IF(N17=1,0,O17*Parameters!$B$10/60*Parameters!$B$11*10)</f>
        <v/>
      </c>
      <c r="S17" s="27">
        <f>IF(N17=1,0,Q17*O17*10)</f>
        <v/>
      </c>
      <c r="T17" s="27">
        <f>IF(N17=1,0,R17+S17+P17*10)</f>
        <v/>
      </c>
      <c r="U17" s="33">
        <f>BE17</f>
        <v/>
      </c>
      <c r="V17" s="22">
        <f>IF(U17="",0,IF(U17="transition",0,IF(U17="SK",AK17,IF(U17="LB",AL17,IF(U17="ML",AM17,IF(U17="RLO",AN17,IF(U17="BD",AO17,IF(U17="BiP",AP17,IF(U17="PV",AQ17,IF(U17="OC",AR17,IF(U17="MG",AS17,0))))))))))</f>
        <v/>
      </c>
      <c r="W17" s="27">
        <f>IF(U17="BiP",Upgrades!$F$18,IF(U17="PV",Upgrades!$F$19,IF(U17="OC",Upgrades!$F$20,IF(U17="MG",Upgrades!$F$21,IF(U17="transition",-Parameters!$B$18*Parameters!$B$19,0)))))</f>
        <v/>
      </c>
      <c r="X17" s="22">
        <f>C17+T17-V17</f>
        <v/>
      </c>
      <c r="Y17" s="30">
        <f>O17*Parameters!$B$10/60*Parameters!$B$11+Q17*O17+P17</f>
        <v/>
      </c>
      <c r="Z17" s="34">
        <f>IF(U17="transition","→ Tier 3 (Galactic Arm)",IF(U17="MG","Moving Group — pocket drifts together",IF(U17="OC","Open Cluster acquired",IF(U17="PV","Peculiar Velocity — passive multiplier active",IF(U17="BiP","Binary Partner — pair bond formed",IF(AND(AU17=1,N17=0,AT17&lt;&gt;1),"Cohesion ready (waiting on completionists)","")))))) </f>
        <v/>
      </c>
      <c r="AA17" s="27">
        <f>(IF(E17=0,0,(Upgrades!$G$13+E17*Upgrades!$H$13)*POWER(Upgrades!$I$13,E17)))*(IF(Upgrades!$T$14="Stellar Kinematics",POWER(Upgrades!$U$14,F17),1)*IF(Upgrades!$T$15="Stellar Kinematics",POWER(Upgrades!$U$15,G17),1)*IF(Upgrades!$T$16="Stellar Kinematics",POWER(Upgrades!$U$16,H17),1)*IF(Upgrades!$T$17="Stellar Kinematics",POWER(Upgrades!$U$17,I17),1)*IF(Upgrades!$T$18="Stellar Kinematics",POWER(Upgrades!$U$18,J17),1)*IF(Upgrades!$T$19="Stellar Kinematics",POWER(Upgrades!$U$19,K17),1)*IF(Upgrades!$T$20="Stellar Kinematics",POWER(Upgrades!$U$20,L17),1)*IF(Upgrades!$T$21="Stellar Kinematics",POWER(Upgrades!$U$21,M17),1))*POWER(Upgrades!$P$13,E17)*POWER(Upgrades!$P$14,F17)*POWER(Upgrades!$P$15,G17)*POWER(Upgrades!$P$16,H17)*POWER(Upgrades!$P$17,I17)*POWER(Upgrades!$P$18,J17)*POWER(Upgrades!$P$19,K17)*POWER(Upgrades!$P$20,L17)*POWER(Upgrades!$P$21,M17)*$F$6*60</f>
        <v/>
      </c>
      <c r="AB17" s="27">
        <f>(IF(F17=0,0,(Upgrades!$G$14+F17*Upgrades!$H$14)*POWER(Upgrades!$I$14,F17)))*(IF(Upgrades!$T$13="Local Bubble",POWER(Upgrades!$U$13,E17),1)*IF(Upgrades!$T$15="Local Bubble",POWER(Upgrades!$U$15,G17),1)*IF(Upgrades!$T$16="Local Bubble",POWER(Upgrades!$U$16,H17),1)*IF(Upgrades!$T$17="Local Bubble",POWER(Upgrades!$U$17,I17),1)*IF(Upgrades!$T$18="Local Bubble",POWER(Upgrades!$U$18,J17),1)*IF(Upgrades!$T$19="Local Bubble",POWER(Upgrades!$U$19,K17),1)*IF(Upgrades!$T$20="Local Bubble",POWER(Upgrades!$U$20,L17),1)*IF(Upgrades!$T$21="Local Bubble",POWER(Upgrades!$U$21,M17),1))*POWER(Upgrades!$P$13,E17)*POWER(Upgrades!$P$14,F17)*POWER(Upgrades!$P$15,G17)*POWER(Upgrades!$P$16,H17)*POWER(Upgrades!$P$17,I17)*POWER(Upgrades!$P$18,J17)*POWER(Upgrades!$P$19,K17)*POWER(Upgrades!$P$20,L17)*POWER(Upgrades!$P$21,M17)*$F$6*60</f>
        <v/>
      </c>
      <c r="AC17" s="27">
        <f>(IF(G17=0,0,(Upgrades!$J$15+G17*Upgrades!$K$15)*POWER(Upgrades!$L$15,G17)))*(IF(Upgrades!$T$13="Microlensing",POWER(Upgrades!$U$13,E17),1)*IF(Upgrades!$T$14="Microlensing",POWER(Upgrades!$U$14,F17),1)*IF(Upgrades!$T$16="Microlensing",POWER(Upgrades!$U$16,H17),1)*IF(Upgrades!$T$17="Microlensing",POWER(Upgrades!$U$17,I17),1)*IF(Upgrades!$T$18="Microlensing",POWER(Upgrades!$U$18,J17),1)*IF(Upgrades!$T$19="Microlensing",POWER(Upgrades!$U$19,K17),1)*IF(Upgrades!$T$20="Microlensing",POWER(Upgrades!$U$20,L17),1)*IF(Upgrades!$T$21="Microlensing",POWER(Upgrades!$U$21,M17),1))*POWER(Upgrades!$Q$13,E17)*POWER(Upgrades!$Q$14,F17)*POWER(Upgrades!$Q$15,G17)*POWER(Upgrades!$Q$16,H17)*POWER(Upgrades!$Q$17,I17)*POWER(Upgrades!$Q$18,J17)*POWER(Upgrades!$Q$19,K17)*POWER(Upgrades!$Q$20,L17)*POWER(Upgrades!$Q$21,M17)*$G$6*(Parameters!$B$10*Parameters!$B$11+Q17*60)</f>
        <v/>
      </c>
      <c r="AD17" s="27">
        <f>(IF(H17=0,0,(Upgrades!$M$16+H17*Upgrades!$N$16)*POWER(Upgrades!$O$16,H17)))*(IF(Upgrades!$T$13="Roche Lobe Overflow",POWER(Upgrades!$U$13,E17),1)*IF(Upgrades!$T$14="Roche Lobe Overflow",POWER(Upgrades!$U$14,F17),1)*IF(Upgrades!$T$15="Roche Lobe Overflow",POWER(Upgrades!$U$15,G17),1)*IF(Upgrades!$T$17="Roche Lobe Overflow",POWER(Upgrades!$U$17,I17),1)*IF(Upgrades!$T$18="Roche Lobe Overflow",POWER(Upgrades!$U$18,J17),1)*IF(Upgrades!$T$19="Roche Lobe Overflow",POWER(Upgrades!$U$19,K17),1)*IF(Upgrades!$T$20="Roche Lobe Overflow",POWER(Upgrades!$U$20,L17),1)*IF(Upgrades!$T$21="Roche Lobe Overflow",POWER(Upgrades!$U$21,M17),1))*POWER(Upgrades!$R$13,E17)*POWER(Upgrades!$R$14,F17)*POWER(Upgrades!$R$15,G17)*POWER(Upgrades!$R$16,H17)*POWER(Upgrades!$R$17,I17)*POWER(Upgrades!$R$18,J17)*POWER(Upgrades!$R$19,K17)*POWER(Upgrades!$R$20,L17)*POWER(Upgrades!$R$21,M17)*$H$6*O17*60</f>
        <v/>
      </c>
      <c r="AE17" s="27">
        <f>(IF(I17=0,0,(Upgrades!$G$17+I17*Upgrades!$H$17)*POWER(Upgrades!$I$17,I17)))*(IF(Upgrades!$T$13="Brown Dwarf",POWER(Upgrades!$U$13,E17),1)*IF(Upgrades!$T$14="Brown Dwarf",POWER(Upgrades!$U$14,F17),1)*IF(Upgrades!$T$15="Brown Dwarf",POWER(Upgrades!$U$15,G17),1)*IF(Upgrades!$T$16="Brown Dwarf",POWER(Upgrades!$U$16,H17),1)*IF(Upgrades!$T$18="Brown Dwarf",POWER(Upgrades!$U$18,J17),1)*IF(Upgrades!$T$19="Brown Dwarf",POWER(Upgrades!$U$19,K17),1)*IF(Upgrades!$T$20="Brown Dwarf",POWER(Upgrades!$U$20,L17),1)*IF(Upgrades!$T$21="Brown Dwarf",POWER(Upgrades!$U$21,M17),1))*POWER(Upgrades!$P$13,E17)*POWER(Upgrades!$P$14,F17)*POWER(Upgrades!$P$15,G17)*POWER(Upgrades!$P$16,H17)*POWER(Upgrades!$P$17,I17)*POWER(Upgrades!$P$18,J17)*POWER(Upgrades!$P$19,K17)*POWER(Upgrades!$P$20,L17)*POWER(Upgrades!$P$21,M17)*$F$6*60</f>
        <v/>
      </c>
      <c r="AF17" s="27" t="n">
        <v>0</v>
      </c>
      <c r="AG17" s="27" t="n">
        <v>0</v>
      </c>
      <c r="AH17" s="27" t="n">
        <v>0</v>
      </c>
      <c r="AI17" s="27">
        <f>(IF(M17=0,0,(Upgrades!$G$21+M17*Upgrades!$H$21)*POWER(Upgrades!$I$21,M17)))*(IF(Upgrades!$T$13="Moving Group",POWER(Upgrades!$U$13,E17),1)*IF(Upgrades!$T$14="Moving Group",POWER(Upgrades!$U$14,F17),1)*IF(Upgrades!$T$15="Moving Group",POWER(Upgrades!$U$15,G17),1)*IF(Upgrades!$T$16="Moving Group",POWER(Upgrades!$U$16,H17),1)*IF(Upgrades!$T$17="Moving Group",POWER(Upgrades!$U$17,I17),1)*IF(Upgrades!$T$18="Moving Group",POWER(Upgrades!$U$18,J17),1)*IF(Upgrades!$T$19="Moving Group",POWER(Upgrades!$U$19,K17),1)*IF(Upgrades!$T$20="Moving Group",POWER(Upgrades!$U$20,L17),1))*POWER(Upgrades!$P$13,E17)*POWER(Upgrades!$P$14,F17)*POWER(Upgrades!$P$15,G17)*POWER(Upgrades!$P$16,H17)*POWER(Upgrades!$P$17,I17)*POWER(Upgrades!$P$18,J17)*POWER(Upgrades!$P$19,K17)*POWER(Upgrades!$P$20,L17)*POWER(Upgrades!$P$21,M17)*$F$6*60</f>
        <v/>
      </c>
      <c r="AJ17" s="27">
        <f>$C$6*60</f>
        <v/>
      </c>
      <c r="AK17" s="22">
        <f>IF(E17&gt;=Upgrades!$E$13,"",Upgrades!$C$13*POWER(Upgrades!$D$13,E17))</f>
        <v/>
      </c>
      <c r="AL17" s="22">
        <f>IF(F17&gt;=Upgrades!$E$14,"",Upgrades!$C$14*POWER(Upgrades!$D$14,F17))</f>
        <v/>
      </c>
      <c r="AM17" s="22">
        <f>IF(G17&gt;=Upgrades!$E$15,"",Upgrades!$C$15*POWER(Upgrades!$D$15,G17))</f>
        <v/>
      </c>
      <c r="AN17" s="22">
        <f>IF(H17&gt;=Upgrades!$E$16,"",Upgrades!$C$16*POWER(Upgrades!$D$16,H17))</f>
        <v/>
      </c>
      <c r="AO17" s="22">
        <f>IF(I17&gt;=Upgrades!$E$17,"",Upgrades!$C$17*POWER(Upgrades!$D$17,I17))</f>
        <v/>
      </c>
      <c r="AP17" s="22">
        <f>IF(J17&gt;=Upgrades!$E$18,"",Upgrades!$C$18*POWER(Upgrades!$D$18,J17))</f>
        <v/>
      </c>
      <c r="AQ17" s="22">
        <f>IF(K17&gt;=Upgrades!$E$19,"",Upgrades!$C$19*POWER(Upgrades!$D$19,K17))</f>
        <v/>
      </c>
      <c r="AR17" s="22">
        <f>IF(L17&gt;=Upgrades!$E$20,"",Upgrades!$C$20*POWER(Upgrades!$D$20,L17))</f>
        <v/>
      </c>
      <c r="AS17" s="22">
        <f>IF(M17&gt;=Upgrades!$E$21,"",Upgrades!$C$21*POWER(Upgrades!$D$21,M17))</f>
        <v/>
      </c>
      <c r="AT17" s="26">
        <f>IF(AND(D17&gt;=Parameters!$B$18*Parameters!$B$19,(I17&gt;=Upgrades!$E$17)*(M17&gt;=Upgrades!$E$21)=1,N17=0),1,"")</f>
        <v/>
      </c>
      <c r="AU17" s="26">
        <f>IF(AND(D17&gt;=Parameters!$B$18*Parameters!$B$19,N17=0),1,"")</f>
        <v/>
      </c>
      <c r="AV17" s="22">
        <f>MIN(IF(ISNUMBER(AP17),AP17,9E15),IF(ISNUMBER(AQ17),AQ17,9E15),IF(ISNUMBER(AR17),AR17,9E15),IF(ISNUMBER(AS17),AS17,9E15))</f>
        <v/>
      </c>
      <c r="AW17" s="22">
        <f>MIN(IF(ISNUMBER(AK17),AK17,9E15),IF(ISNUMBER(AL17),AL17,9E15),IF(ISNUMBER(AM17),AM17,9E15),IF(ISNUMBER(AN17),AN17,9E15),IF(ISNUMBER(AO17),AO17,9E15))</f>
        <v/>
      </c>
      <c r="AX17" s="29">
        <f>IF(BD17&gt;Parameters!$B$21*(MAX(IF(AND(NOT(AND(AU17=1,AT17&lt;&gt;1)),ISNUMBER(AK17),AK17&lt;=(C17+T17)),AY17,0),IF(AND(NOT(AND(AU17=1,AT17&lt;&gt;1)),ISNUMBER(AL17),AL17&lt;=(C17+T17)),AZ17,0),IF(AND(NOT(AND(AU17=1,AT17&lt;&gt;1)),ISNUMBER(AM17),AM17&lt;=(C17+T17)),BA17,0),IF(AND(NOT(AND(AU17=1,AT17&lt;&gt;1)),ISNUMBER(AN17),AN17&lt;=(C17+T17)),BB17,0),IF(AND(ISNUMBER(AO17),AO17&lt;=(C17+T17)),BC17,0))),TRUE,FALSE)</f>
        <v/>
      </c>
      <c r="AY17" s="32">
        <f>IFERROR(Upgrades!$H$13*(POWER(Upgrades!$P$13,E17)*POWER(Upgrades!$P$14,F17)*POWER(Upgrades!$P$15,G17)*POWER(Upgrades!$P$16,H17)*POWER(Upgrades!$P$17,I17)*POWER(Upgrades!$P$18,J17)*POWER(Upgrades!$P$19,K17)*POWER(Upgrades!$P$20,L17)*POWER(Upgrades!$P$21,M17))*(IF(Upgrades!$T$14="Stellar Kinematics",POWER(Upgrades!$U$14,F17),1)*IF(Upgrades!$T$15="Stellar Kinematics",POWER(Upgrades!$U$15,G17),1)*IF(Upgrades!$T$16="Stellar Kinematics",POWER(Upgrades!$U$16,H17),1)*IF(Upgrades!$T$17="Stellar Kinematics",POWER(Upgrades!$U$17,I17),1)*IF(Upgrades!$T$18="Stellar Kinematics",POWER(Upgrades!$U$18,J17),1)*IF(Upgrades!$T$19="Stellar Kinematics",POWER(Upgrades!$U$19,K17),1)*IF(Upgrades!$T$20="Stellar Kinematics",POWER(Upgrades!$U$20,L17),1)*IF(Upgrades!$T$21="Stellar Kinematics",POWER(Upgrades!$U$21,M17),1))*$F$6/AK17,0)</f>
        <v/>
      </c>
      <c r="AZ17" s="32">
        <f>IFERROR(Upgrades!$H$14*(POWER(Upgrades!$P$13,E17)*POWER(Upgrades!$P$14,F17)*POWER(Upgrades!$P$15,G17)*POWER(Upgrades!$P$16,H17)*POWER(Upgrades!$P$17,I17)*POWER(Upgrades!$P$18,J17)*POWER(Upgrades!$P$19,K17)*POWER(Upgrades!$P$20,L17)*POWER(Upgrades!$P$21,M17))*(IF(Upgrades!$T$13="Local Bubble",POWER(Upgrades!$U$13,E17),1)*IF(Upgrades!$T$15="Local Bubble",POWER(Upgrades!$U$15,G17),1)*IF(Upgrades!$T$16="Local Bubble",POWER(Upgrades!$U$16,H17),1)*IF(Upgrades!$T$17="Local Bubble",POWER(Upgrades!$U$17,I17),1)*IF(Upgrades!$T$18="Local Bubble",POWER(Upgrades!$U$18,J17),1)*IF(Upgrades!$T$19="Local Bubble",POWER(Upgrades!$U$19,K17),1)*IF(Upgrades!$T$20="Local Bubble",POWER(Upgrades!$U$20,L17),1)*IF(Upgrades!$T$21="Local Bubble",POWER(Upgrades!$U$21,M17),1))*$F$6/AL17,0)</f>
        <v/>
      </c>
      <c r="BA17" s="32">
        <f>IFERROR(Upgrades!$K$15*(POWER(Upgrades!$Q$13,E17)*POWER(Upgrades!$Q$14,F17)*POWER(Upgrades!$Q$15,G17)*POWER(Upgrades!$Q$16,H17)*POWER(Upgrades!$Q$17,I17)*POWER(Upgrades!$Q$18,J17)*POWER(Upgrades!$Q$19,K17)*POWER(Upgrades!$Q$20,L17)*POWER(Upgrades!$Q$21,M17))*(IF(Upgrades!$T$13="Microlensing",POWER(Upgrades!$U$13,E17),1)*IF(Upgrades!$T$14="Microlensing",POWER(Upgrades!$U$14,F17),1)*IF(Upgrades!$T$16="Microlensing",POWER(Upgrades!$U$16,H17),1)*IF(Upgrades!$T$17="Microlensing",POWER(Upgrades!$U$17,I17),1)*IF(Upgrades!$T$18="Microlensing",POWER(Upgrades!$U$18,J17),1)*IF(Upgrades!$T$19="Microlensing",POWER(Upgrades!$U$19,K17),1)*IF(Upgrades!$T$20="Microlensing",POWER(Upgrades!$U$20,L17),1)*IF(Upgrades!$T$21="Microlensing",POWER(Upgrades!$U$21,M17),1))*$G$6*(Parameters!$B$10/60*Parameters!$B$11+Q17)/AM17,0)</f>
        <v/>
      </c>
      <c r="BB17" s="32">
        <f>IFERROR((Upgrades!$N$16*(POWER(Upgrades!$R$13,E17)*POWER(Upgrades!$R$14,F17)*POWER(Upgrades!$R$15,G17)*POWER(Upgrades!$R$16,H17)*POWER(Upgrades!$R$17,I17)*POWER(Upgrades!$R$18,J17)*POWER(Upgrades!$R$19,K17)*POWER(Upgrades!$R$20,L17)*POWER(Upgrades!$R$21,M17))*(IF(Upgrades!$T$13="Roche Lobe Overflow",POWER(Upgrades!$U$13,E17),1)*IF(Upgrades!$T$14="Roche Lobe Overflow",POWER(Upgrades!$U$14,F17),1)*IF(Upgrades!$T$15="Roche Lobe Overflow",POWER(Upgrades!$U$15,G17),1)*IF(Upgrades!$T$17="Roche Lobe Overflow",POWER(Upgrades!$U$17,I17),1)*IF(Upgrades!$T$18="Roche Lobe Overflow",POWER(Upgrades!$U$18,J17),1)*IF(Upgrades!$T$19="Roche Lobe Overflow",POWER(Upgrades!$U$19,K17),1)*IF(Upgrades!$T$20="Roche Lobe Overflow",POWER(Upgrades!$U$20,L17),1)*IF(Upgrades!$T$21="Roche Lobe Overflow",POWER(Upgrades!$U$21,M17),1))*$H$6*O17+((IF(F17=0,0,(Upgrades!$G$14+F17*Upgrades!$H$14)*POWER(Upgrades!$I$14,F17)))*(IF(Upgrades!$T$13="Local Bubble",POWER(Upgrades!$U$13,E17),1)*IF(Upgrades!$T$15="Local Bubble",POWER(Upgrades!$U$15,G17),1)*IF(Upgrades!$T$16="Local Bubble",POWER(Upgrades!$U$16,H17),1)*IF(Upgrades!$T$17="Local Bubble",POWER(Upgrades!$U$17,I17),1)*IF(Upgrades!$T$18="Local Bubble",POWER(Upgrades!$U$18,J17),1)*IF(Upgrades!$T$19="Local Bubble",POWER(Upgrades!$U$19,K17),1)*IF(Upgrades!$T$20="Local Bubble",POWER(Upgrades!$U$20,L17),1)*IF(Upgrades!$T$21="Local Bubble",POWER(Upgrades!$U$21,M17),1))*POWER(Upgrades!$P$13,E17)*POWER(Upgrades!$P$14,F17)*POWER(Upgrades!$P$15,G17)*POWER(Upgrades!$P$16,H17)*POWER(Upgrades!$P$17,I17)*POWER(Upgrades!$P$18,J17)*POWER(Upgrades!$P$19,K17)*POWER(Upgrades!$P$20,L17)*POWER(Upgrades!$P$21,M17)*$F$6)*0.05)/AN17,0)</f>
        <v/>
      </c>
      <c r="BC17" s="32">
        <f>IFERROR((Upgrades!$H$17*(POWER(Upgrades!$P$13,E17)*POWER(Upgrades!$P$14,F17)*POWER(Upgrades!$P$15,G17)*POWER(Upgrades!$P$16,H17)*POWER(Upgrades!$P$17,I17)*POWER(Upgrades!$P$18,J17)*POWER(Upgrades!$P$19,K17)*POWER(Upgrades!$P$20,L17)*POWER(Upgrades!$P$21,M17))*(IF(Upgrades!$T$13="Brown Dwarf",POWER(Upgrades!$U$13,E17),1)*IF(Upgrades!$T$14="Brown Dwarf",POWER(Upgrades!$U$14,F17),1)*IF(Upgrades!$T$15="Brown Dwarf",POWER(Upgrades!$U$15,G17),1)*IF(Upgrades!$T$16="Brown Dwarf",POWER(Upgrades!$U$16,H17),1)*IF(Upgrades!$T$18="Brown Dwarf",POWER(Upgrades!$U$18,J17),1)*IF(Upgrades!$T$19="Brown Dwarf",POWER(Upgrades!$U$19,K17),1)*IF(Upgrades!$T$20="Brown Dwarf",POWER(Upgrades!$U$20,L17),1)*IF(Upgrades!$T$21="Brown Dwarf",POWER(Upgrades!$U$21,M17),1))*$F$6+(((IF(H17=0,0,(Upgrades!$M$16+H17*Upgrades!$N$16)*POWER(Upgrades!$O$16,H17)))*(IF(Upgrades!$T$13="Roche Lobe Overflow",POWER(Upgrades!$U$13,E17),1)*IF(Upgrades!$T$14="Roche Lobe Overflow",POWER(Upgrades!$U$14,F17),1)*IF(Upgrades!$T$15="Roche Lobe Overflow",POWER(Upgrades!$U$15,G17),1)*IF(Upgrades!$T$17="Roche Lobe Overflow",POWER(Upgrades!$U$17,I17),1)*IF(Upgrades!$T$18="Roche Lobe Overflow",POWER(Upgrades!$U$18,J17),1)*IF(Upgrades!$T$19="Roche Lobe Overflow",POWER(Upgrades!$U$19,K17),1)*IF(Upgrades!$T$20="Roche Lobe Overflow",POWER(Upgrades!$U$20,L17),1)*IF(Upgrades!$T$21="Roche Lobe Overflow",POWER(Upgrades!$U$21,M17),1))*POWER(Upgrades!$R$13,E17)*POWER(Upgrades!$R$14,F17)*POWER(Upgrades!$R$15,G17)*POWER(Upgrades!$R$16,H17)*POWER(Upgrades!$R$17,I17)*POWER(Upgrades!$R$18,J17)*POWER(Upgrades!$R$19,K17)*POWER(Upgrades!$R$20,L17)*POWER(Upgrades!$R$21,M17)*$H$6)*O17)*0.10)/AO17,0)</f>
        <v/>
      </c>
      <c r="BD17" s="32">
        <f>MAX(IF(J17&gt;0,0,IFERROR(0.5*((IF(G17=0,0,(Upgrades!$J$15+G17*Upgrades!$K$15)*POWER(Upgrades!$L$15,G17)))*(IF(Upgrades!$T$13="Microlensing",POWER(Upgrades!$U$13,E17),1)*IF(Upgrades!$T$14="Microlensing",POWER(Upgrades!$U$14,F17),1)*IF(Upgrades!$T$16="Microlensing",POWER(Upgrades!$U$16,H17),1)*IF(Upgrades!$T$17="Microlensing",POWER(Upgrades!$U$17,I17),1)*IF(Upgrades!$T$18="Microlensing",POWER(Upgrades!$U$18,J17),1)*IF(Upgrades!$T$19="Microlensing",POWER(Upgrades!$U$19,K17),1)*IF(Upgrades!$T$20="Microlensing",POWER(Upgrades!$U$20,L17),1)*IF(Upgrades!$T$21="Microlensing",POWER(Upgrades!$U$21,M17),1))*(POWER(Upgrades!$Q$13,E17)*POWER(Upgrades!$Q$14,F17)*POWER(Upgrades!$Q$15,G17)*POWER(Upgrades!$Q$16,H17)*POWER(Upgrades!$Q$17,I17)*POWER(Upgrades!$Q$18,J17)*POWER(Upgrades!$Q$19,K17)*POWER(Upgrades!$Q$20,L17)*POWER(Upgrades!$Q$21,M17))*$G$6*(Parameters!$B$10/60*Parameters!$B$11+Q17))/Upgrades!$C$18,0)),IF(K17&gt;0,0,IFERROR(0.30*P17/Upgrades!$C$19,0)),IF(L17&gt;0,0,IFERROR(0.0001/Upgrades!$C$20,0)),IF(M17&gt;0,0,IFERROR((6.0*(POWER(Upgrades!$P$13,E17)*POWER(Upgrades!$P$14,F17)*POWER(Upgrades!$P$15,G17)*POWER(Upgrades!$P$16,H17)*POWER(Upgrades!$P$17,I17)*POWER(Upgrades!$P$18,J17)*POWER(Upgrades!$P$19,K17)*POWER(Upgrades!$P$20,L17)*POWER(Upgrades!$P$21,M17))*$F$6+0.20*O17*(Parameters!$B$10/60*Parameters!$B$11+Q17))/Upgrades!$C$21,0)),IF(AND(ISNUMBER(AK17),AK17&gt;(C17+T17)),AY17,0),IF(AND(ISNUMBER(AL17),AL17&gt;(C17+T17)),AZ17,0),IF(AND(ISNUMBER(AM17),AM17&gt;(C17+T17)),BA17,0),IF(AND(ISNUMBER(AN17),AN17&gt;(C17+T17)),BB17,0),IF(AND(ISNUMBER(AO17),AO17&gt;(C17+T17)),BC17,0))</f>
        <v/>
      </c>
      <c r="BE17" s="29">
        <f>IF(AT17=1,"transition",IF(MIN(IF(AND(J17=0,ISNUMBER(AP17),AP17&lt;=(C17+T17)),AP17,9E15),IF(AND(K17=0,ISNUMBER(AQ17),AQ17&lt;=(C17+T17)),AQ17,9E15),IF(AND(L17=0,ISNUMBER(AR17),AR17&lt;=(C17+T17)),AR17,9E15),IF(AND(M17=0,ISNUMBER(AS17),AS17&lt;=(C17+T17)),AS17,9E15))&lt;9E15,IF(AND(AND(J17=0,ISNUMBER(AP17),AP17&lt;=(C17+T17)),AP17=MIN(IF(AND(J17=0,ISNUMBER(AP17),AP17&lt;=(C17+T17)),AP17,9E15),IF(AND(K17=0,ISNUMBER(AQ17),AQ17&lt;=(C17+T17)),AQ17,9E15),IF(AND(L17=0,ISNUMBER(AR17),AR17&lt;=(C17+T17)),AR17,9E15),IF(AND(M17=0,ISNUMBER(AS17),AS17&lt;=(C17+T17)),AS17,9E15))),"BiP",IF(AND(AND(K17=0,ISNUMBER(AQ17),AQ17&lt;=(C17+T17)),AQ17=MIN(IF(AND(J17=0,ISNUMBER(AP17),AP17&lt;=(C17+T17)),AP17,9E15),IF(AND(K17=0,ISNUMBER(AQ17),AQ17&lt;=(C17+T17)),AQ17,9E15),IF(AND(L17=0,ISNUMBER(AR17),AR17&lt;=(C17+T17)),AR17,9E15),IF(AND(M17=0,ISNUMBER(AS17),AS17&lt;=(C17+T17)),AS17,9E15))),"PV",IF(AND(AND(L17=0,ISNUMBER(AR17),AR17&lt;=(C17+T17)),AR17=MIN(IF(AND(J17=0,ISNUMBER(AP17),AP17&lt;=(C17+T17)),AP17,9E15),IF(AND(K17=0,ISNUMBER(AQ17),AQ17&lt;=(C17+T17)),AQ17,9E15),IF(AND(L17=0,ISNUMBER(AR17),AR17&lt;=(C17+T17)),AR17,9E15),IF(AND(M17=0,ISNUMBER(AS17),AS17&lt;=(C17+T17)),AS17,9E15))),"OC","MG"))),IF(AX17=TRUE,"",IF(MAX(IF(AND(NOT(AND(AU17=1,AT17&lt;&gt;1)),ISNUMBER(AK17),AK17&lt;=(C17+T17)),AY17,0),IF(AND(NOT(AND(AU17=1,AT17&lt;&gt;1)),ISNUMBER(AL17),AL17&lt;=(C17+T17)),AZ17,0),IF(AND(NOT(AND(AU17=1,AT17&lt;&gt;1)),ISNUMBER(AM17),AM17&lt;=(C17+T17)),BA17,0),IF(AND(NOT(AND(AU17=1,AT17&lt;&gt;1)),ISNUMBER(AN17),AN17&lt;=(C17+T17)),BB17,0),IF(AND(ISNUMBER(AO17),AO17&lt;=(C17+T17)),BC17,0))&lt;=0,"",IF(AND(IF(AND(NOT(AND(AU17=1,AT17&lt;&gt;1)),ISNUMBER(AK17),AK17&lt;=(C17+T17)),AY17,0)&gt;0,IF(AND(NOT(AND(AU17=1,AT17&lt;&gt;1)),ISNUMBER(AK17),AK17&lt;=(C17+T17)),AY17,0)=MAX(IF(AND(NOT(AND(AU17=1,AT17&lt;&gt;1)),ISNUMBER(AK17),AK17&lt;=(C17+T17)),AY17,0),IF(AND(NOT(AND(AU17=1,AT17&lt;&gt;1)),ISNUMBER(AL17),AL17&lt;=(C17+T17)),AZ17,0),IF(AND(NOT(AND(AU17=1,AT17&lt;&gt;1)),ISNUMBER(AM17),AM17&lt;=(C17+T17)),BA17,0),IF(AND(NOT(AND(AU17=1,AT17&lt;&gt;1)),ISNUMBER(AN17),AN17&lt;=(C17+T17)),BB17,0),IF(AND(ISNUMBER(AO17),AO17&lt;=(C17+T17)),BC17,0))),"SK",IF(AND(IF(AND(NOT(AND(AU17=1,AT17&lt;&gt;1)),ISNUMBER(AL17),AL17&lt;=(C17+T17)),AZ17,0)&gt;0,IF(AND(NOT(AND(AU17=1,AT17&lt;&gt;1)),ISNUMBER(AL17),AL17&lt;=(C17+T17)),AZ17,0)=MAX(IF(AND(NOT(AND(AU17=1,AT17&lt;&gt;1)),ISNUMBER(AK17),AK17&lt;=(C17+T17)),AY17,0),IF(AND(NOT(AND(AU17=1,AT17&lt;&gt;1)),ISNUMBER(AL17),AL17&lt;=(C17+T17)),AZ17,0),IF(AND(NOT(AND(AU17=1,AT17&lt;&gt;1)),ISNUMBER(AM17),AM17&lt;=(C17+T17)),BA17,0),IF(AND(NOT(AND(AU17=1,AT17&lt;&gt;1)),ISNUMBER(AN17),AN17&lt;=(C17+T17)),BB17,0),IF(AND(ISNUMBER(AO17),AO17&lt;=(C17+T17)),BC17,0))),"LB",IF(AND(IF(AND(NOT(AND(AU17=1,AT17&lt;&gt;1)),ISNUMBER(AM17),AM17&lt;=(C17+T17)),BA17,0)&gt;0,IF(AND(NOT(AND(AU17=1,AT17&lt;&gt;1)),ISNUMBER(AM17),AM17&lt;=(C17+T17)),BA17,0)=MAX(IF(AND(NOT(AND(AU17=1,AT17&lt;&gt;1)),ISNUMBER(AK17),AK17&lt;=(C17+T17)),AY17,0),IF(AND(NOT(AND(AU17=1,AT17&lt;&gt;1)),ISNUMBER(AL17),AL17&lt;=(C17+T17)),AZ17,0),IF(AND(NOT(AND(AU17=1,AT17&lt;&gt;1)),ISNUMBER(AM17),AM17&lt;=(C17+T17)),BA17,0),IF(AND(NOT(AND(AU17=1,AT17&lt;&gt;1)),ISNUMBER(AN17),AN17&lt;=(C17+T17)),BB17,0),IF(AND(ISNUMBER(AO17),AO17&lt;=(C17+T17)),BC17,0))),"ML",IF(AND(IF(AND(NOT(AND(AU17=1,AT17&lt;&gt;1)),ISNUMBER(AN17),AN17&lt;=(C17+T17)),BB17,0)&gt;0,IF(AND(NOT(AND(AU17=1,AT17&lt;&gt;1)),ISNUMBER(AN17),AN17&lt;=(C17+T17)),BB17,0)=MAX(IF(AND(NOT(AND(AU17=1,AT17&lt;&gt;1)),ISNUMBER(AK17),AK17&lt;=(C17+T17)),AY17,0),IF(AND(NOT(AND(AU17=1,AT17&lt;&gt;1)),ISNUMBER(AL17),AL17&lt;=(C17+T17)),AZ17,0),IF(AND(NOT(AND(AU17=1,AT17&lt;&gt;1)),ISNUMBER(AM17),AM17&lt;=(C17+T17)),BA17,0),IF(AND(NOT(AND(AU17=1,AT17&lt;&gt;1)),ISNUMBER(AN17),AN17&lt;=(C17+T17)),BB17,0),IF(AND(ISNUMBER(AO17),AO17&lt;=(C17+T17)),BC17,0))),"RLO","BD"))))))))</f>
        <v/>
      </c>
    </row>
    <row r="18">
      <c r="A18" s="26" t="n">
        <v>7</v>
      </c>
      <c r="B18" s="27">
        <f>A18*10/60</f>
        <v/>
      </c>
      <c r="C18" s="22">
        <f>X17</f>
        <v/>
      </c>
      <c r="D18" s="27">
        <f>D17+W17</f>
        <v/>
      </c>
      <c r="E18" s="26">
        <f>E17+IF(U17="SK",1,0)</f>
        <v/>
      </c>
      <c r="F18" s="26">
        <f>F17+IF(U17="LB",1,0)</f>
        <v/>
      </c>
      <c r="G18" s="26">
        <f>G17+IF(U17="ML",1,0)</f>
        <v/>
      </c>
      <c r="H18" s="26">
        <f>H17+IF(U17="RLO",1,0)</f>
        <v/>
      </c>
      <c r="I18" s="26">
        <f>I17+IF(U17="BD",1,0)</f>
        <v/>
      </c>
      <c r="J18" s="26">
        <f>MAX(J17,IF(U17="BiP",1,0))</f>
        <v/>
      </c>
      <c r="K18" s="26">
        <f>MAX(K17,IF(U17="PV",1,0))</f>
        <v/>
      </c>
      <c r="L18" s="26">
        <f>MAX(L17,IF(U17="OC",1,0))</f>
        <v/>
      </c>
      <c r="M18" s="26">
        <f>MAX(M17,IF(U17="MG",1,0))</f>
        <v/>
      </c>
      <c r="N18" s="26">
        <f>MAX(N17,IF(U17="transition",1,0))</f>
        <v/>
      </c>
      <c r="O18" s="28">
        <f>(Parameters!$B$9+(IF(E18=0,0,(Upgrades!$J$13+E18*Upgrades!$K$13)*POWER(Upgrades!$L$13,E18)))*(IF(Upgrades!$T$14="Stellar Kinematics",POWER(Upgrades!$U$14,F18),1)*IF(Upgrades!$T$15="Stellar Kinematics",POWER(Upgrades!$U$15,G18),1)*IF(Upgrades!$T$16="Stellar Kinematics",POWER(Upgrades!$U$16,H18),1)*IF(Upgrades!$T$17="Stellar Kinematics",POWER(Upgrades!$U$17,I18),1)*IF(Upgrades!$T$18="Stellar Kinematics",POWER(Upgrades!$U$18,J18),1)*IF(Upgrades!$T$19="Stellar Kinematics",POWER(Upgrades!$U$19,K18),1)*IF(Upgrades!$T$20="Stellar Kinematics",POWER(Upgrades!$U$20,L18),1)*IF(Upgrades!$T$21="Stellar Kinematics",POWER(Upgrades!$U$21,M18),1))+(IF(F18=0,0,(Upgrades!$J$14+F18*Upgrades!$K$14)*POWER(Upgrades!$L$14,F18)))*(IF(Upgrades!$T$13="Local Bubble",POWER(Upgrades!$U$13,E18),1)*IF(Upgrades!$T$15="Local Bubble",POWER(Upgrades!$U$15,G18),1)*IF(Upgrades!$T$16="Local Bubble",POWER(Upgrades!$U$16,H18),1)*IF(Upgrades!$T$17="Local Bubble",POWER(Upgrades!$U$17,I18),1)*IF(Upgrades!$T$18="Local Bubble",POWER(Upgrades!$U$18,J18),1)*IF(Upgrades!$T$19="Local Bubble",POWER(Upgrades!$U$19,K18),1)*IF(Upgrades!$T$20="Local Bubble",POWER(Upgrades!$U$20,L18),1)*IF(Upgrades!$T$21="Local Bubble",POWER(Upgrades!$U$21,M18),1))+(IF(G18=0,0,(Upgrades!$J$15+G18*Upgrades!$K$15)*POWER(Upgrades!$L$15,G18)))*(IF(Upgrades!$T$13="Microlensing",POWER(Upgrades!$U$13,E18),1)*IF(Upgrades!$T$14="Microlensing",POWER(Upgrades!$U$14,F18),1)*IF(Upgrades!$T$16="Microlensing",POWER(Upgrades!$U$16,H18),1)*IF(Upgrades!$T$17="Microlensing",POWER(Upgrades!$U$17,I18),1)*IF(Upgrades!$T$18="Microlensing",POWER(Upgrades!$U$18,J18),1)*IF(Upgrades!$T$19="Microlensing",POWER(Upgrades!$U$19,K18),1)*IF(Upgrades!$T$20="Microlensing",POWER(Upgrades!$U$20,L18),1)*IF(Upgrades!$T$21="Microlensing",POWER(Upgrades!$U$21,M18),1))+(IF(H18=0,0,(Upgrades!$J$16+H18*Upgrades!$K$16)*POWER(Upgrades!$L$16,H18)))*(IF(Upgrades!$T$13="Roche Lobe Overflow",POWER(Upgrades!$U$13,E18),1)*IF(Upgrades!$T$14="Roche Lobe Overflow",POWER(Upgrades!$U$14,F18),1)*IF(Upgrades!$T$15="Roche Lobe Overflow",POWER(Upgrades!$U$15,G18),1)*IF(Upgrades!$T$17="Roche Lobe Overflow",POWER(Upgrades!$U$17,I18),1)*IF(Upgrades!$T$18="Roche Lobe Overflow",POWER(Upgrades!$U$18,J18),1)*IF(Upgrades!$T$19="Roche Lobe Overflow",POWER(Upgrades!$U$19,K18),1)*IF(Upgrades!$T$20="Roche Lobe Overflow",POWER(Upgrades!$U$20,L18),1)*IF(Upgrades!$T$21="Roche Lobe Overflow",POWER(Upgrades!$U$21,M18),1))+(IF(I18=0,0,(Upgrades!$J$17+I18*Upgrades!$K$17)*POWER(Upgrades!$L$17,I18)))*(IF(Upgrades!$T$13="Brown Dwarf",POWER(Upgrades!$U$13,E18),1)*IF(Upgrades!$T$14="Brown Dwarf",POWER(Upgrades!$U$14,F18),1)*IF(Upgrades!$T$15="Brown Dwarf",POWER(Upgrades!$U$15,G18),1)*IF(Upgrades!$T$16="Brown Dwarf",POWER(Upgrades!$U$16,H18),1)*IF(Upgrades!$T$18="Brown Dwarf",POWER(Upgrades!$U$18,J18),1)*IF(Upgrades!$T$19="Brown Dwarf",POWER(Upgrades!$U$19,K18),1)*IF(Upgrades!$T$20="Brown Dwarf",POWER(Upgrades!$U$20,L18),1)*IF(Upgrades!$T$21="Brown Dwarf",POWER(Upgrades!$U$21,M18),1))+(IF(J18=0,0,(Upgrades!$J$18+J18*Upgrades!$K$18)*POWER(Upgrades!$L$18,J18)))*(IF(Upgrades!$T$13="Binary Partner",POWER(Upgrades!$U$13,E18),1)*IF(Upgrades!$T$14="Binary Partner",POWER(Upgrades!$U$14,F18),1)*IF(Upgrades!$T$15="Binary Partner",POWER(Upgrades!$U$15,G18),1)*IF(Upgrades!$T$16="Binary Partner",POWER(Upgrades!$U$16,H18),1)*IF(Upgrades!$T$17="Binary Partner",POWER(Upgrades!$U$17,I18),1)*IF(Upgrades!$T$19="Binary Partner",POWER(Upgrades!$U$19,K18),1)*IF(Upgrades!$T$20="Binary Partner",POWER(Upgrades!$U$20,L18),1)*IF(Upgrades!$T$21="Binary Partner",POWER(Upgrades!$U$21,M18),1))+(IF(K18=0,0,(Upgrades!$J$19+K18*Upgrades!$K$19)*POWER(Upgrades!$L$19,K18)))*(IF(Upgrades!$T$13="Peculiar Velocity",POWER(Upgrades!$U$13,E18),1)*IF(Upgrades!$T$14="Peculiar Velocity",POWER(Upgrades!$U$14,F18),1)*IF(Upgrades!$T$15="Peculiar Velocity",POWER(Upgrades!$U$15,G18),1)*IF(Upgrades!$T$16="Peculiar Velocity",POWER(Upgrades!$U$16,H18),1)*IF(Upgrades!$T$17="Peculiar Velocity",POWER(Upgrades!$U$17,I18),1)*IF(Upgrades!$T$18="Peculiar Velocity",POWER(Upgrades!$U$18,J18),1)*IF(Upgrades!$T$20="Peculiar Velocity",POWER(Upgrades!$U$20,L18),1)*IF(Upgrades!$T$21="Peculiar Velocity",POWER(Upgrades!$U$21,M18),1))+(IF(L18=0,0,(Upgrades!$J$20+L18*Upgrades!$K$20)*POWER(Upgrades!$L$20,L18)))*(IF(Upgrades!$T$13="Open Cluster",POWER(Upgrades!$U$13,E18),1)*IF(Upgrades!$T$14="Open Cluster",POWER(Upgrades!$U$14,F18),1)*IF(Upgrades!$T$15="Open Cluster",POWER(Upgrades!$U$15,G18),1)*IF(Upgrades!$T$16="Open Cluster",POWER(Upgrades!$U$16,H18),1)*IF(Upgrades!$T$17="Open Cluster",POWER(Upgrades!$U$17,I18),1)*IF(Upgrades!$T$18="Open Cluster",POWER(Upgrades!$U$18,J18),1)*IF(Upgrades!$T$19="Open Cluster",POWER(Upgrades!$U$19,K18),1)*IF(Upgrades!$T$21="Open Cluster",POWER(Upgrades!$U$21,M18),1))+(IF(M18=0,0,(Upgrades!$J$21+M18*Upgrades!$K$21)*POWER(Upgrades!$L$21,M18)))*(IF(Upgrades!$T$13="Moving Group",POWER(Upgrades!$U$13,E18),1)*IF(Upgrades!$T$14="Moving Group",POWER(Upgrades!$U$14,F18),1)*IF(Upgrades!$T$15="Moving Group",POWER(Upgrades!$U$15,G18),1)*IF(Upgrades!$T$16="Moving Group",POWER(Upgrades!$U$16,H18),1)*IF(Upgrades!$T$17="Moving Group",POWER(Upgrades!$U$17,I18),1)*IF(Upgrades!$T$18="Moving Group",POWER(Upgrades!$U$18,J18),1)*IF(Upgrades!$T$19="Moving Group",POWER(Upgrades!$U$19,K18),1)*IF(Upgrades!$T$20="Moving Group",POWER(Upgrades!$U$20,L18),1)))*POWER(Upgrades!$Q$13,E18)*POWER(Upgrades!$Q$14,F18)*POWER(Upgrades!$Q$15,G18)*POWER(Upgrades!$Q$16,H18)*POWER(Upgrades!$Q$17,I18)*POWER(Upgrades!$Q$18,J18)*POWER(Upgrades!$Q$19,K18)*POWER(Upgrades!$Q$20,L18)*POWER(Upgrades!$Q$21,M18)*$G$6+$D$6</f>
        <v/>
      </c>
      <c r="P18" s="28">
        <f>((IF(E18=0,0,(Upgrades!$G$13+E18*Upgrades!$H$13)*POWER(Upgrades!$I$13,E18)))*(IF(Upgrades!$T$14="Stellar Kinematics",POWER(Upgrades!$U$14,F18),1)*IF(Upgrades!$T$15="Stellar Kinematics",POWER(Upgrades!$U$15,G18),1)*IF(Upgrades!$T$16="Stellar Kinematics",POWER(Upgrades!$U$16,H18),1)*IF(Upgrades!$T$17="Stellar Kinematics",POWER(Upgrades!$U$17,I18),1)*IF(Upgrades!$T$18="Stellar Kinematics",POWER(Upgrades!$U$18,J18),1)*IF(Upgrades!$T$19="Stellar Kinematics",POWER(Upgrades!$U$19,K18),1)*IF(Upgrades!$T$20="Stellar Kinematics",POWER(Upgrades!$U$20,L18),1)*IF(Upgrades!$T$21="Stellar Kinematics",POWER(Upgrades!$U$21,M18),1))+(IF(F18=0,0,(Upgrades!$G$14+F18*Upgrades!$H$14)*POWER(Upgrades!$I$14,F18)))*(IF(Upgrades!$T$13="Local Bubble",POWER(Upgrades!$U$13,E18),1)*IF(Upgrades!$T$15="Local Bubble",POWER(Upgrades!$U$15,G18),1)*IF(Upgrades!$T$16="Local Bubble",POWER(Upgrades!$U$16,H18),1)*IF(Upgrades!$T$17="Local Bubble",POWER(Upgrades!$U$17,I18),1)*IF(Upgrades!$T$18="Local Bubble",POWER(Upgrades!$U$18,J18),1)*IF(Upgrades!$T$19="Local Bubble",POWER(Upgrades!$U$19,K18),1)*IF(Upgrades!$T$20="Local Bubble",POWER(Upgrades!$U$20,L18),1)*IF(Upgrades!$T$21="Local Bubble",POWER(Upgrades!$U$21,M18),1))+(IF(G18=0,0,(Upgrades!$G$15+G18*Upgrades!$H$15)*POWER(Upgrades!$I$15,G18)))*(IF(Upgrades!$T$13="Microlensing",POWER(Upgrades!$U$13,E18),1)*IF(Upgrades!$T$14="Microlensing",POWER(Upgrades!$U$14,F18),1)*IF(Upgrades!$T$16="Microlensing",POWER(Upgrades!$U$16,H18),1)*IF(Upgrades!$T$17="Microlensing",POWER(Upgrades!$U$17,I18),1)*IF(Upgrades!$T$18="Microlensing",POWER(Upgrades!$U$18,J18),1)*IF(Upgrades!$T$19="Microlensing",POWER(Upgrades!$U$19,K18),1)*IF(Upgrades!$T$20="Microlensing",POWER(Upgrades!$U$20,L18),1)*IF(Upgrades!$T$21="Microlensing",POWER(Upgrades!$U$21,M18),1))+(IF(H18=0,0,(Upgrades!$G$16+H18*Upgrades!$H$16)*POWER(Upgrades!$I$16,H18)))*(IF(Upgrades!$T$13="Roche Lobe Overflow",POWER(Upgrades!$U$13,E18),1)*IF(Upgrades!$T$14="Roche Lobe Overflow",POWER(Upgrades!$U$14,F18),1)*IF(Upgrades!$T$15="Roche Lobe Overflow",POWER(Upgrades!$U$15,G18),1)*IF(Upgrades!$T$17="Roche Lobe Overflow",POWER(Upgrades!$U$17,I18),1)*IF(Upgrades!$T$18="Roche Lobe Overflow",POWER(Upgrades!$U$18,J18),1)*IF(Upgrades!$T$19="Roche Lobe Overflow",POWER(Upgrades!$U$19,K18),1)*IF(Upgrades!$T$20="Roche Lobe Overflow",POWER(Upgrades!$U$20,L18),1)*IF(Upgrades!$T$21="Roche Lobe Overflow",POWER(Upgrades!$U$21,M18),1))+(IF(I18=0,0,(Upgrades!$G$17+I18*Upgrades!$H$17)*POWER(Upgrades!$I$17,I18)))*(IF(Upgrades!$T$13="Brown Dwarf",POWER(Upgrades!$U$13,E18),1)*IF(Upgrades!$T$14="Brown Dwarf",POWER(Upgrades!$U$14,F18),1)*IF(Upgrades!$T$15="Brown Dwarf",POWER(Upgrades!$U$15,G18),1)*IF(Upgrades!$T$16="Brown Dwarf",POWER(Upgrades!$U$16,H18),1)*IF(Upgrades!$T$18="Brown Dwarf",POWER(Upgrades!$U$18,J18),1)*IF(Upgrades!$T$19="Brown Dwarf",POWER(Upgrades!$U$19,K18),1)*IF(Upgrades!$T$20="Brown Dwarf",POWER(Upgrades!$U$20,L18),1)*IF(Upgrades!$T$21="Brown Dwarf",POWER(Upgrades!$U$21,M18),1))+(IF(J18=0,0,(Upgrades!$G$18+J18*Upgrades!$H$18)*POWER(Upgrades!$I$18,J18)))*(IF(Upgrades!$T$13="Binary Partner",POWER(Upgrades!$U$13,E18),1)*IF(Upgrades!$T$14="Binary Partner",POWER(Upgrades!$U$14,F18),1)*IF(Upgrades!$T$15="Binary Partner",POWER(Upgrades!$U$15,G18),1)*IF(Upgrades!$T$16="Binary Partner",POWER(Upgrades!$U$16,H18),1)*IF(Upgrades!$T$17="Binary Partner",POWER(Upgrades!$U$17,I18),1)*IF(Upgrades!$T$19="Binary Partner",POWER(Upgrades!$U$19,K18),1)*IF(Upgrades!$T$20="Binary Partner",POWER(Upgrades!$U$20,L18),1)*IF(Upgrades!$T$21="Binary Partner",POWER(Upgrades!$U$21,M18),1))+(IF(K18=0,0,(Upgrades!$G$19+K18*Upgrades!$H$19)*POWER(Upgrades!$I$19,K18)))*(IF(Upgrades!$T$13="Peculiar Velocity",POWER(Upgrades!$U$13,E18),1)*IF(Upgrades!$T$14="Peculiar Velocity",POWER(Upgrades!$U$14,F18),1)*IF(Upgrades!$T$15="Peculiar Velocity",POWER(Upgrades!$U$15,G18),1)*IF(Upgrades!$T$16="Peculiar Velocity",POWER(Upgrades!$U$16,H18),1)*IF(Upgrades!$T$17="Peculiar Velocity",POWER(Upgrades!$U$17,I18),1)*IF(Upgrades!$T$18="Peculiar Velocity",POWER(Upgrades!$U$18,J18),1)*IF(Upgrades!$T$20="Peculiar Velocity",POWER(Upgrades!$U$20,L18),1)*IF(Upgrades!$T$21="Peculiar Velocity",POWER(Upgrades!$U$21,M18),1))+(IF(L18=0,0,(Upgrades!$G$20+L18*Upgrades!$H$20)*POWER(Upgrades!$I$20,L18)))*(IF(Upgrades!$T$13="Open Cluster",POWER(Upgrades!$U$13,E18),1)*IF(Upgrades!$T$14="Open Cluster",POWER(Upgrades!$U$14,F18),1)*IF(Upgrades!$T$15="Open Cluster",POWER(Upgrades!$U$15,G18),1)*IF(Upgrades!$T$16="Open Cluster",POWER(Upgrades!$U$16,H18),1)*IF(Upgrades!$T$17="Open Cluster",POWER(Upgrades!$U$17,I18),1)*IF(Upgrades!$T$18="Open Cluster",POWER(Upgrades!$U$18,J18),1)*IF(Upgrades!$T$19="Open Cluster",POWER(Upgrades!$U$19,K18),1)*IF(Upgrades!$T$21="Open Cluster",POWER(Upgrades!$U$21,M18),1))+(IF(M18=0,0,(Upgrades!$G$21+M18*Upgrades!$H$21)*POWER(Upgrades!$I$21,M18)))*(IF(Upgrades!$T$13="Moving Group",POWER(Upgrades!$U$13,E18),1)*IF(Upgrades!$T$14="Moving Group",POWER(Upgrades!$U$14,F18),1)*IF(Upgrades!$T$15="Moving Group",POWER(Upgrades!$U$15,G18),1)*IF(Upgrades!$T$16="Moving Group",POWER(Upgrades!$U$16,H18),1)*IF(Upgrades!$T$17="Moving Group",POWER(Upgrades!$U$17,I18),1)*IF(Upgrades!$T$18="Moving Group",POWER(Upgrades!$U$18,J18),1)*IF(Upgrades!$T$19="Moving Group",POWER(Upgrades!$U$19,K18),1)*IF(Upgrades!$T$20="Moving Group",POWER(Upgrades!$U$20,L18),1)))*POWER(Upgrades!$P$13,E18)*POWER(Upgrades!$P$14,F18)*POWER(Upgrades!$P$15,G18)*POWER(Upgrades!$P$16,H18)*POWER(Upgrades!$P$17,I18)*POWER(Upgrades!$P$18,J18)*POWER(Upgrades!$P$19,K18)*POWER(Upgrades!$P$20,L18)*POWER(Upgrades!$P$21,M18)*$F$6+$C$6</f>
        <v/>
      </c>
      <c r="Q18" s="28">
        <f>((IF(E18=0,0,(Upgrades!$M$13+E18*Upgrades!$N$13)*POWER(Upgrades!$O$13,E18)))*(IF(Upgrades!$T$14="Stellar Kinematics",POWER(Upgrades!$U$14,F18),1)*IF(Upgrades!$T$15="Stellar Kinematics",POWER(Upgrades!$U$15,G18),1)*IF(Upgrades!$T$16="Stellar Kinematics",POWER(Upgrades!$U$16,H18),1)*IF(Upgrades!$T$17="Stellar Kinematics",POWER(Upgrades!$U$17,I18),1)*IF(Upgrades!$T$18="Stellar Kinematics",POWER(Upgrades!$U$18,J18),1)*IF(Upgrades!$T$19="Stellar Kinematics",POWER(Upgrades!$U$19,K18),1)*IF(Upgrades!$T$20="Stellar Kinematics",POWER(Upgrades!$U$20,L18),1)*IF(Upgrades!$T$21="Stellar Kinematics",POWER(Upgrades!$U$21,M18),1))+(IF(F18=0,0,(Upgrades!$M$14+F18*Upgrades!$N$14)*POWER(Upgrades!$O$14,F18)))*(IF(Upgrades!$T$13="Local Bubble",POWER(Upgrades!$U$13,E18),1)*IF(Upgrades!$T$15="Local Bubble",POWER(Upgrades!$U$15,G18),1)*IF(Upgrades!$T$16="Local Bubble",POWER(Upgrades!$U$16,H18),1)*IF(Upgrades!$T$17="Local Bubble",POWER(Upgrades!$U$17,I18),1)*IF(Upgrades!$T$18="Local Bubble",POWER(Upgrades!$U$18,J18),1)*IF(Upgrades!$T$19="Local Bubble",POWER(Upgrades!$U$19,K18),1)*IF(Upgrades!$T$20="Local Bubble",POWER(Upgrades!$U$20,L18),1)*IF(Upgrades!$T$21="Local Bubble",POWER(Upgrades!$U$21,M18),1))+(IF(G18=0,0,(Upgrades!$M$15+G18*Upgrades!$N$15)*POWER(Upgrades!$O$15,G18)))*(IF(Upgrades!$T$13="Microlensing",POWER(Upgrades!$U$13,E18),1)*IF(Upgrades!$T$14="Microlensing",POWER(Upgrades!$U$14,F18),1)*IF(Upgrades!$T$16="Microlensing",POWER(Upgrades!$U$16,H18),1)*IF(Upgrades!$T$17="Microlensing",POWER(Upgrades!$U$17,I18),1)*IF(Upgrades!$T$18="Microlensing",POWER(Upgrades!$U$18,J18),1)*IF(Upgrades!$T$19="Microlensing",POWER(Upgrades!$U$19,K18),1)*IF(Upgrades!$T$20="Microlensing",POWER(Upgrades!$U$20,L18),1)*IF(Upgrades!$T$21="Microlensing",POWER(Upgrades!$U$21,M18),1))+(IF(H18=0,0,(Upgrades!$M$16+H18*Upgrades!$N$16)*POWER(Upgrades!$O$16,H18)))*(IF(Upgrades!$T$13="Roche Lobe Overflow",POWER(Upgrades!$U$13,E18),1)*IF(Upgrades!$T$14="Roche Lobe Overflow",POWER(Upgrades!$U$14,F18),1)*IF(Upgrades!$T$15="Roche Lobe Overflow",POWER(Upgrades!$U$15,G18),1)*IF(Upgrades!$T$17="Roche Lobe Overflow",POWER(Upgrades!$U$17,I18),1)*IF(Upgrades!$T$18="Roche Lobe Overflow",POWER(Upgrades!$U$18,J18),1)*IF(Upgrades!$T$19="Roche Lobe Overflow",POWER(Upgrades!$U$19,K18),1)*IF(Upgrades!$T$20="Roche Lobe Overflow",POWER(Upgrades!$U$20,L18),1)*IF(Upgrades!$T$21="Roche Lobe Overflow",POWER(Upgrades!$U$21,M18),1))+(IF(I18=0,0,(Upgrades!$M$17+I18*Upgrades!$N$17)*POWER(Upgrades!$O$17,I18)))*(IF(Upgrades!$T$13="Brown Dwarf",POWER(Upgrades!$U$13,E18),1)*IF(Upgrades!$T$14="Brown Dwarf",POWER(Upgrades!$U$14,F18),1)*IF(Upgrades!$T$15="Brown Dwarf",POWER(Upgrades!$U$15,G18),1)*IF(Upgrades!$T$16="Brown Dwarf",POWER(Upgrades!$U$16,H18),1)*IF(Upgrades!$T$18="Brown Dwarf",POWER(Upgrades!$U$18,J18),1)*IF(Upgrades!$T$19="Brown Dwarf",POWER(Upgrades!$U$19,K18),1)*IF(Upgrades!$T$20="Brown Dwarf",POWER(Upgrades!$U$20,L18),1)*IF(Upgrades!$T$21="Brown Dwarf",POWER(Upgrades!$U$21,M18),1))+(IF(J18=0,0,(Upgrades!$M$18+J18*Upgrades!$N$18)*POWER(Upgrades!$O$18,J18)))*(IF(Upgrades!$T$13="Binary Partner",POWER(Upgrades!$U$13,E18),1)*IF(Upgrades!$T$14="Binary Partner",POWER(Upgrades!$U$14,F18),1)*IF(Upgrades!$T$15="Binary Partner",POWER(Upgrades!$U$15,G18),1)*IF(Upgrades!$T$16="Binary Partner",POWER(Upgrades!$U$16,H18),1)*IF(Upgrades!$T$17="Binary Partner",POWER(Upgrades!$U$17,I18),1)*IF(Upgrades!$T$19="Binary Partner",POWER(Upgrades!$U$19,K18),1)*IF(Upgrades!$T$20="Binary Partner",POWER(Upgrades!$U$20,L18),1)*IF(Upgrades!$T$21="Binary Partner",POWER(Upgrades!$U$21,M18),1))+(IF(K18=0,0,(Upgrades!$M$19+K18*Upgrades!$N$19)*POWER(Upgrades!$O$19,K18)))*(IF(Upgrades!$T$13="Peculiar Velocity",POWER(Upgrades!$U$13,E18),1)*IF(Upgrades!$T$14="Peculiar Velocity",POWER(Upgrades!$U$14,F18),1)*IF(Upgrades!$T$15="Peculiar Velocity",POWER(Upgrades!$U$15,G18),1)*IF(Upgrades!$T$16="Peculiar Velocity",POWER(Upgrades!$U$16,H18),1)*IF(Upgrades!$T$17="Peculiar Velocity",POWER(Upgrades!$U$17,I18),1)*IF(Upgrades!$T$18="Peculiar Velocity",POWER(Upgrades!$U$18,J18),1)*IF(Upgrades!$T$20="Peculiar Velocity",POWER(Upgrades!$U$20,L18),1)*IF(Upgrades!$T$21="Peculiar Velocity",POWER(Upgrades!$U$21,M18),1))+(IF(L18=0,0,(Upgrades!$M$20+L18*Upgrades!$N$20)*POWER(Upgrades!$O$20,L18)))*(IF(Upgrades!$T$13="Open Cluster",POWER(Upgrades!$U$13,E18),1)*IF(Upgrades!$T$14="Open Cluster",POWER(Upgrades!$U$14,F18),1)*IF(Upgrades!$T$15="Open Cluster",POWER(Upgrades!$U$15,G18),1)*IF(Upgrades!$T$16="Open Cluster",POWER(Upgrades!$U$16,H18),1)*IF(Upgrades!$T$17="Open Cluster",POWER(Upgrades!$U$17,I18),1)*IF(Upgrades!$T$18="Open Cluster",POWER(Upgrades!$U$18,J18),1)*IF(Upgrades!$T$19="Open Cluster",POWER(Upgrades!$U$19,K18),1)*IF(Upgrades!$T$21="Open Cluster",POWER(Upgrades!$U$21,M18),1))+(IF(M18=0,0,(Upgrades!$M$21+M18*Upgrades!$N$21)*POWER(Upgrades!$O$21,M18)))*(IF(Upgrades!$T$13="Moving Group",POWER(Upgrades!$U$13,E18),1)*IF(Upgrades!$T$14="Moving Group",POWER(Upgrades!$U$14,F18),1)*IF(Upgrades!$T$15="Moving Group",POWER(Upgrades!$U$15,G18),1)*IF(Upgrades!$T$16="Moving Group",POWER(Upgrades!$U$16,H18),1)*IF(Upgrades!$T$17="Moving Group",POWER(Upgrades!$U$17,I18),1)*IF(Upgrades!$T$18="Moving Group",POWER(Upgrades!$U$18,J18),1)*IF(Upgrades!$T$19="Moving Group",POWER(Upgrades!$U$19,K18),1)*IF(Upgrades!$T$20="Moving Group",POWER(Upgrades!$U$20,L18),1)))*POWER(Upgrades!$R$13,E18)*POWER(Upgrades!$R$14,F18)*POWER(Upgrades!$R$15,G18)*POWER(Upgrades!$R$16,H18)*POWER(Upgrades!$R$17,I18)*POWER(Upgrades!$R$18,J18)*POWER(Upgrades!$R$19,K18)*POWER(Upgrades!$R$20,L18)*POWER(Upgrades!$R$21,M18)*$H$6+$E$6</f>
        <v/>
      </c>
      <c r="R18" s="27">
        <f>IF(N18=1,0,O18*Parameters!$B$10/60*Parameters!$B$11*10)</f>
        <v/>
      </c>
      <c r="S18" s="27">
        <f>IF(N18=1,0,Q18*O18*10)</f>
        <v/>
      </c>
      <c r="T18" s="27">
        <f>IF(N18=1,0,R18+S18+P18*10)</f>
        <v/>
      </c>
      <c r="U18" s="33">
        <f>BE18</f>
        <v/>
      </c>
      <c r="V18" s="22">
        <f>IF(U18="",0,IF(U18="transition",0,IF(U18="SK",AK18,IF(U18="LB",AL18,IF(U18="ML",AM18,IF(U18="RLO",AN18,IF(U18="BD",AO18,IF(U18="BiP",AP18,IF(U18="PV",AQ18,IF(U18="OC",AR18,IF(U18="MG",AS18,0))))))))))</f>
        <v/>
      </c>
      <c r="W18" s="27">
        <f>IF(U18="BiP",Upgrades!$F$18,IF(U18="PV",Upgrades!$F$19,IF(U18="OC",Upgrades!$F$20,IF(U18="MG",Upgrades!$F$21,IF(U18="transition",-Parameters!$B$18*Parameters!$B$19,0)))))</f>
        <v/>
      </c>
      <c r="X18" s="22">
        <f>C18+T18-V18</f>
        <v/>
      </c>
      <c r="Y18" s="30">
        <f>O18*Parameters!$B$10/60*Parameters!$B$11+Q18*O18+P18</f>
        <v/>
      </c>
      <c r="Z18" s="34">
        <f>IF(U18="transition","→ Tier 3 (Galactic Arm)",IF(U18="MG","Moving Group — pocket drifts together",IF(U18="OC","Open Cluster acquired",IF(U18="PV","Peculiar Velocity — passive multiplier active",IF(U18="BiP","Binary Partner — pair bond formed",IF(AND(AU18=1,N18=0,AT18&lt;&gt;1),"Cohesion ready (waiting on completionists)","")))))) </f>
        <v/>
      </c>
      <c r="AA18" s="27">
        <f>(IF(E18=0,0,(Upgrades!$G$13+E18*Upgrades!$H$13)*POWER(Upgrades!$I$13,E18)))*(IF(Upgrades!$T$14="Stellar Kinematics",POWER(Upgrades!$U$14,F18),1)*IF(Upgrades!$T$15="Stellar Kinematics",POWER(Upgrades!$U$15,G18),1)*IF(Upgrades!$T$16="Stellar Kinematics",POWER(Upgrades!$U$16,H18),1)*IF(Upgrades!$T$17="Stellar Kinematics",POWER(Upgrades!$U$17,I18),1)*IF(Upgrades!$T$18="Stellar Kinematics",POWER(Upgrades!$U$18,J18),1)*IF(Upgrades!$T$19="Stellar Kinematics",POWER(Upgrades!$U$19,K18),1)*IF(Upgrades!$T$20="Stellar Kinematics",POWER(Upgrades!$U$20,L18),1)*IF(Upgrades!$T$21="Stellar Kinematics",POWER(Upgrades!$U$21,M18),1))*POWER(Upgrades!$P$13,E18)*POWER(Upgrades!$P$14,F18)*POWER(Upgrades!$P$15,G18)*POWER(Upgrades!$P$16,H18)*POWER(Upgrades!$P$17,I18)*POWER(Upgrades!$P$18,J18)*POWER(Upgrades!$P$19,K18)*POWER(Upgrades!$P$20,L18)*POWER(Upgrades!$P$21,M18)*$F$6*60</f>
        <v/>
      </c>
      <c r="AB18" s="27">
        <f>(IF(F18=0,0,(Upgrades!$G$14+F18*Upgrades!$H$14)*POWER(Upgrades!$I$14,F18)))*(IF(Upgrades!$T$13="Local Bubble",POWER(Upgrades!$U$13,E18),1)*IF(Upgrades!$T$15="Local Bubble",POWER(Upgrades!$U$15,G18),1)*IF(Upgrades!$T$16="Local Bubble",POWER(Upgrades!$U$16,H18),1)*IF(Upgrades!$T$17="Local Bubble",POWER(Upgrades!$U$17,I18),1)*IF(Upgrades!$T$18="Local Bubble",POWER(Upgrades!$U$18,J18),1)*IF(Upgrades!$T$19="Local Bubble",POWER(Upgrades!$U$19,K18),1)*IF(Upgrades!$T$20="Local Bubble",POWER(Upgrades!$U$20,L18),1)*IF(Upgrades!$T$21="Local Bubble",POWER(Upgrades!$U$21,M18),1))*POWER(Upgrades!$P$13,E18)*POWER(Upgrades!$P$14,F18)*POWER(Upgrades!$P$15,G18)*POWER(Upgrades!$P$16,H18)*POWER(Upgrades!$P$17,I18)*POWER(Upgrades!$P$18,J18)*POWER(Upgrades!$P$19,K18)*POWER(Upgrades!$P$20,L18)*POWER(Upgrades!$P$21,M18)*$F$6*60</f>
        <v/>
      </c>
      <c r="AC18" s="27">
        <f>(IF(G18=0,0,(Upgrades!$J$15+G18*Upgrades!$K$15)*POWER(Upgrades!$L$15,G18)))*(IF(Upgrades!$T$13="Microlensing",POWER(Upgrades!$U$13,E18),1)*IF(Upgrades!$T$14="Microlensing",POWER(Upgrades!$U$14,F18),1)*IF(Upgrades!$T$16="Microlensing",POWER(Upgrades!$U$16,H18),1)*IF(Upgrades!$T$17="Microlensing",POWER(Upgrades!$U$17,I18),1)*IF(Upgrades!$T$18="Microlensing",POWER(Upgrades!$U$18,J18),1)*IF(Upgrades!$T$19="Microlensing",POWER(Upgrades!$U$19,K18),1)*IF(Upgrades!$T$20="Microlensing",POWER(Upgrades!$U$20,L18),1)*IF(Upgrades!$T$21="Microlensing",POWER(Upgrades!$U$21,M18),1))*POWER(Upgrades!$Q$13,E18)*POWER(Upgrades!$Q$14,F18)*POWER(Upgrades!$Q$15,G18)*POWER(Upgrades!$Q$16,H18)*POWER(Upgrades!$Q$17,I18)*POWER(Upgrades!$Q$18,J18)*POWER(Upgrades!$Q$19,K18)*POWER(Upgrades!$Q$20,L18)*POWER(Upgrades!$Q$21,M18)*$G$6*(Parameters!$B$10*Parameters!$B$11+Q18*60)</f>
        <v/>
      </c>
      <c r="AD18" s="27">
        <f>(IF(H18=0,0,(Upgrades!$M$16+H18*Upgrades!$N$16)*POWER(Upgrades!$O$16,H18)))*(IF(Upgrades!$T$13="Roche Lobe Overflow",POWER(Upgrades!$U$13,E18),1)*IF(Upgrades!$T$14="Roche Lobe Overflow",POWER(Upgrades!$U$14,F18),1)*IF(Upgrades!$T$15="Roche Lobe Overflow",POWER(Upgrades!$U$15,G18),1)*IF(Upgrades!$T$17="Roche Lobe Overflow",POWER(Upgrades!$U$17,I18),1)*IF(Upgrades!$T$18="Roche Lobe Overflow",POWER(Upgrades!$U$18,J18),1)*IF(Upgrades!$T$19="Roche Lobe Overflow",POWER(Upgrades!$U$19,K18),1)*IF(Upgrades!$T$20="Roche Lobe Overflow",POWER(Upgrades!$U$20,L18),1)*IF(Upgrades!$T$21="Roche Lobe Overflow",POWER(Upgrades!$U$21,M18),1))*POWER(Upgrades!$R$13,E18)*POWER(Upgrades!$R$14,F18)*POWER(Upgrades!$R$15,G18)*POWER(Upgrades!$R$16,H18)*POWER(Upgrades!$R$17,I18)*POWER(Upgrades!$R$18,J18)*POWER(Upgrades!$R$19,K18)*POWER(Upgrades!$R$20,L18)*POWER(Upgrades!$R$21,M18)*$H$6*O18*60</f>
        <v/>
      </c>
      <c r="AE18" s="27">
        <f>(IF(I18=0,0,(Upgrades!$G$17+I18*Upgrades!$H$17)*POWER(Upgrades!$I$17,I18)))*(IF(Upgrades!$T$13="Brown Dwarf",POWER(Upgrades!$U$13,E18),1)*IF(Upgrades!$T$14="Brown Dwarf",POWER(Upgrades!$U$14,F18),1)*IF(Upgrades!$T$15="Brown Dwarf",POWER(Upgrades!$U$15,G18),1)*IF(Upgrades!$T$16="Brown Dwarf",POWER(Upgrades!$U$16,H18),1)*IF(Upgrades!$T$18="Brown Dwarf",POWER(Upgrades!$U$18,J18),1)*IF(Upgrades!$T$19="Brown Dwarf",POWER(Upgrades!$U$19,K18),1)*IF(Upgrades!$T$20="Brown Dwarf",POWER(Upgrades!$U$20,L18),1)*IF(Upgrades!$T$21="Brown Dwarf",POWER(Upgrades!$U$21,M18),1))*POWER(Upgrades!$P$13,E18)*POWER(Upgrades!$P$14,F18)*POWER(Upgrades!$P$15,G18)*POWER(Upgrades!$P$16,H18)*POWER(Upgrades!$P$17,I18)*POWER(Upgrades!$P$18,J18)*POWER(Upgrades!$P$19,K18)*POWER(Upgrades!$P$20,L18)*POWER(Upgrades!$P$21,M18)*$F$6*60</f>
        <v/>
      </c>
      <c r="AF18" s="27" t="n">
        <v>0</v>
      </c>
      <c r="AG18" s="27" t="n">
        <v>0</v>
      </c>
      <c r="AH18" s="27" t="n">
        <v>0</v>
      </c>
      <c r="AI18" s="27">
        <f>(IF(M18=0,0,(Upgrades!$G$21+M18*Upgrades!$H$21)*POWER(Upgrades!$I$21,M18)))*(IF(Upgrades!$T$13="Moving Group",POWER(Upgrades!$U$13,E18),1)*IF(Upgrades!$T$14="Moving Group",POWER(Upgrades!$U$14,F18),1)*IF(Upgrades!$T$15="Moving Group",POWER(Upgrades!$U$15,G18),1)*IF(Upgrades!$T$16="Moving Group",POWER(Upgrades!$U$16,H18),1)*IF(Upgrades!$T$17="Moving Group",POWER(Upgrades!$U$17,I18),1)*IF(Upgrades!$T$18="Moving Group",POWER(Upgrades!$U$18,J18),1)*IF(Upgrades!$T$19="Moving Group",POWER(Upgrades!$U$19,K18),1)*IF(Upgrades!$T$20="Moving Group",POWER(Upgrades!$U$20,L18),1))*POWER(Upgrades!$P$13,E18)*POWER(Upgrades!$P$14,F18)*POWER(Upgrades!$P$15,G18)*POWER(Upgrades!$P$16,H18)*POWER(Upgrades!$P$17,I18)*POWER(Upgrades!$P$18,J18)*POWER(Upgrades!$P$19,K18)*POWER(Upgrades!$P$20,L18)*POWER(Upgrades!$P$21,M18)*$F$6*60</f>
        <v/>
      </c>
      <c r="AJ18" s="27">
        <f>$C$6*60</f>
        <v/>
      </c>
      <c r="AK18" s="22">
        <f>IF(E18&gt;=Upgrades!$E$13,"",Upgrades!$C$13*POWER(Upgrades!$D$13,E18))</f>
        <v/>
      </c>
      <c r="AL18" s="22">
        <f>IF(F18&gt;=Upgrades!$E$14,"",Upgrades!$C$14*POWER(Upgrades!$D$14,F18))</f>
        <v/>
      </c>
      <c r="AM18" s="22">
        <f>IF(G18&gt;=Upgrades!$E$15,"",Upgrades!$C$15*POWER(Upgrades!$D$15,G18))</f>
        <v/>
      </c>
      <c r="AN18" s="22">
        <f>IF(H18&gt;=Upgrades!$E$16,"",Upgrades!$C$16*POWER(Upgrades!$D$16,H18))</f>
        <v/>
      </c>
      <c r="AO18" s="22">
        <f>IF(I18&gt;=Upgrades!$E$17,"",Upgrades!$C$17*POWER(Upgrades!$D$17,I18))</f>
        <v/>
      </c>
      <c r="AP18" s="22">
        <f>IF(J18&gt;=Upgrades!$E$18,"",Upgrades!$C$18*POWER(Upgrades!$D$18,J18))</f>
        <v/>
      </c>
      <c r="AQ18" s="22">
        <f>IF(K18&gt;=Upgrades!$E$19,"",Upgrades!$C$19*POWER(Upgrades!$D$19,K18))</f>
        <v/>
      </c>
      <c r="AR18" s="22">
        <f>IF(L18&gt;=Upgrades!$E$20,"",Upgrades!$C$20*POWER(Upgrades!$D$20,L18))</f>
        <v/>
      </c>
      <c r="AS18" s="22">
        <f>IF(M18&gt;=Upgrades!$E$21,"",Upgrades!$C$21*POWER(Upgrades!$D$21,M18))</f>
        <v/>
      </c>
      <c r="AT18" s="26">
        <f>IF(AND(D18&gt;=Parameters!$B$18*Parameters!$B$19,(I18&gt;=Upgrades!$E$17)*(M18&gt;=Upgrades!$E$21)=1,N18=0),1,"")</f>
        <v/>
      </c>
      <c r="AU18" s="26">
        <f>IF(AND(D18&gt;=Parameters!$B$18*Parameters!$B$19,N18=0),1,"")</f>
        <v/>
      </c>
      <c r="AV18" s="22">
        <f>MIN(IF(ISNUMBER(AP18),AP18,9E15),IF(ISNUMBER(AQ18),AQ18,9E15),IF(ISNUMBER(AR18),AR18,9E15),IF(ISNUMBER(AS18),AS18,9E15))</f>
        <v/>
      </c>
      <c r="AW18" s="22">
        <f>MIN(IF(ISNUMBER(AK18),AK18,9E15),IF(ISNUMBER(AL18),AL18,9E15),IF(ISNUMBER(AM18),AM18,9E15),IF(ISNUMBER(AN18),AN18,9E15),IF(ISNUMBER(AO18),AO18,9E15))</f>
        <v/>
      </c>
      <c r="AX18" s="29">
        <f>IF(BD18&gt;Parameters!$B$21*(MAX(IF(AND(NOT(AND(AU18=1,AT18&lt;&gt;1)),ISNUMBER(AK18),AK18&lt;=(C18+T18)),AY18,0),IF(AND(NOT(AND(AU18=1,AT18&lt;&gt;1)),ISNUMBER(AL18),AL18&lt;=(C18+T18)),AZ18,0),IF(AND(NOT(AND(AU18=1,AT18&lt;&gt;1)),ISNUMBER(AM18),AM18&lt;=(C18+T18)),BA18,0),IF(AND(NOT(AND(AU18=1,AT18&lt;&gt;1)),ISNUMBER(AN18),AN18&lt;=(C18+T18)),BB18,0),IF(AND(ISNUMBER(AO18),AO18&lt;=(C18+T18)),BC18,0))),TRUE,FALSE)</f>
        <v/>
      </c>
      <c r="AY18" s="32">
        <f>IFERROR(Upgrades!$H$13*(POWER(Upgrades!$P$13,E18)*POWER(Upgrades!$P$14,F18)*POWER(Upgrades!$P$15,G18)*POWER(Upgrades!$P$16,H18)*POWER(Upgrades!$P$17,I18)*POWER(Upgrades!$P$18,J18)*POWER(Upgrades!$P$19,K18)*POWER(Upgrades!$P$20,L18)*POWER(Upgrades!$P$21,M18))*(IF(Upgrades!$T$14="Stellar Kinematics",POWER(Upgrades!$U$14,F18),1)*IF(Upgrades!$T$15="Stellar Kinematics",POWER(Upgrades!$U$15,G18),1)*IF(Upgrades!$T$16="Stellar Kinematics",POWER(Upgrades!$U$16,H18),1)*IF(Upgrades!$T$17="Stellar Kinematics",POWER(Upgrades!$U$17,I18),1)*IF(Upgrades!$T$18="Stellar Kinematics",POWER(Upgrades!$U$18,J18),1)*IF(Upgrades!$T$19="Stellar Kinematics",POWER(Upgrades!$U$19,K18),1)*IF(Upgrades!$T$20="Stellar Kinematics",POWER(Upgrades!$U$20,L18),1)*IF(Upgrades!$T$21="Stellar Kinematics",POWER(Upgrades!$U$21,M18),1))*$F$6/AK18,0)</f>
        <v/>
      </c>
      <c r="AZ18" s="32">
        <f>IFERROR(Upgrades!$H$14*(POWER(Upgrades!$P$13,E18)*POWER(Upgrades!$P$14,F18)*POWER(Upgrades!$P$15,G18)*POWER(Upgrades!$P$16,H18)*POWER(Upgrades!$P$17,I18)*POWER(Upgrades!$P$18,J18)*POWER(Upgrades!$P$19,K18)*POWER(Upgrades!$P$20,L18)*POWER(Upgrades!$P$21,M18))*(IF(Upgrades!$T$13="Local Bubble",POWER(Upgrades!$U$13,E18),1)*IF(Upgrades!$T$15="Local Bubble",POWER(Upgrades!$U$15,G18),1)*IF(Upgrades!$T$16="Local Bubble",POWER(Upgrades!$U$16,H18),1)*IF(Upgrades!$T$17="Local Bubble",POWER(Upgrades!$U$17,I18),1)*IF(Upgrades!$T$18="Local Bubble",POWER(Upgrades!$U$18,J18),1)*IF(Upgrades!$T$19="Local Bubble",POWER(Upgrades!$U$19,K18),1)*IF(Upgrades!$T$20="Local Bubble",POWER(Upgrades!$U$20,L18),1)*IF(Upgrades!$T$21="Local Bubble",POWER(Upgrades!$U$21,M18),1))*$F$6/AL18,0)</f>
        <v/>
      </c>
      <c r="BA18" s="32">
        <f>IFERROR(Upgrades!$K$15*(POWER(Upgrades!$Q$13,E18)*POWER(Upgrades!$Q$14,F18)*POWER(Upgrades!$Q$15,G18)*POWER(Upgrades!$Q$16,H18)*POWER(Upgrades!$Q$17,I18)*POWER(Upgrades!$Q$18,J18)*POWER(Upgrades!$Q$19,K18)*POWER(Upgrades!$Q$20,L18)*POWER(Upgrades!$Q$21,M18))*(IF(Upgrades!$T$13="Microlensing",POWER(Upgrades!$U$13,E18),1)*IF(Upgrades!$T$14="Microlensing",POWER(Upgrades!$U$14,F18),1)*IF(Upgrades!$T$16="Microlensing",POWER(Upgrades!$U$16,H18),1)*IF(Upgrades!$T$17="Microlensing",POWER(Upgrades!$U$17,I18),1)*IF(Upgrades!$T$18="Microlensing",POWER(Upgrades!$U$18,J18),1)*IF(Upgrades!$T$19="Microlensing",POWER(Upgrades!$U$19,K18),1)*IF(Upgrades!$T$20="Microlensing",POWER(Upgrades!$U$20,L18),1)*IF(Upgrades!$T$21="Microlensing",POWER(Upgrades!$U$21,M18),1))*$G$6*(Parameters!$B$10/60*Parameters!$B$11+Q18)/AM18,0)</f>
        <v/>
      </c>
      <c r="BB18" s="32">
        <f>IFERROR((Upgrades!$N$16*(POWER(Upgrades!$R$13,E18)*POWER(Upgrades!$R$14,F18)*POWER(Upgrades!$R$15,G18)*POWER(Upgrades!$R$16,H18)*POWER(Upgrades!$R$17,I18)*POWER(Upgrades!$R$18,J18)*POWER(Upgrades!$R$19,K18)*POWER(Upgrades!$R$20,L18)*POWER(Upgrades!$R$21,M18))*(IF(Upgrades!$T$13="Roche Lobe Overflow",POWER(Upgrades!$U$13,E18),1)*IF(Upgrades!$T$14="Roche Lobe Overflow",POWER(Upgrades!$U$14,F18),1)*IF(Upgrades!$T$15="Roche Lobe Overflow",POWER(Upgrades!$U$15,G18),1)*IF(Upgrades!$T$17="Roche Lobe Overflow",POWER(Upgrades!$U$17,I18),1)*IF(Upgrades!$T$18="Roche Lobe Overflow",POWER(Upgrades!$U$18,J18),1)*IF(Upgrades!$T$19="Roche Lobe Overflow",POWER(Upgrades!$U$19,K18),1)*IF(Upgrades!$T$20="Roche Lobe Overflow",POWER(Upgrades!$U$20,L18),1)*IF(Upgrades!$T$21="Roche Lobe Overflow",POWER(Upgrades!$U$21,M18),1))*$H$6*O18+((IF(F18=0,0,(Upgrades!$G$14+F18*Upgrades!$H$14)*POWER(Upgrades!$I$14,F18)))*(IF(Upgrades!$T$13="Local Bubble",POWER(Upgrades!$U$13,E18),1)*IF(Upgrades!$T$15="Local Bubble",POWER(Upgrades!$U$15,G18),1)*IF(Upgrades!$T$16="Local Bubble",POWER(Upgrades!$U$16,H18),1)*IF(Upgrades!$T$17="Local Bubble",POWER(Upgrades!$U$17,I18),1)*IF(Upgrades!$T$18="Local Bubble",POWER(Upgrades!$U$18,J18),1)*IF(Upgrades!$T$19="Local Bubble",POWER(Upgrades!$U$19,K18),1)*IF(Upgrades!$T$20="Local Bubble",POWER(Upgrades!$U$20,L18),1)*IF(Upgrades!$T$21="Local Bubble",POWER(Upgrades!$U$21,M18),1))*POWER(Upgrades!$P$13,E18)*POWER(Upgrades!$P$14,F18)*POWER(Upgrades!$P$15,G18)*POWER(Upgrades!$P$16,H18)*POWER(Upgrades!$P$17,I18)*POWER(Upgrades!$P$18,J18)*POWER(Upgrades!$P$19,K18)*POWER(Upgrades!$P$20,L18)*POWER(Upgrades!$P$21,M18)*$F$6)*0.05)/AN18,0)</f>
        <v/>
      </c>
      <c r="BC18" s="32">
        <f>IFERROR((Upgrades!$H$17*(POWER(Upgrades!$P$13,E18)*POWER(Upgrades!$P$14,F18)*POWER(Upgrades!$P$15,G18)*POWER(Upgrades!$P$16,H18)*POWER(Upgrades!$P$17,I18)*POWER(Upgrades!$P$18,J18)*POWER(Upgrades!$P$19,K18)*POWER(Upgrades!$P$20,L18)*POWER(Upgrades!$P$21,M18))*(IF(Upgrades!$T$13="Brown Dwarf",POWER(Upgrades!$U$13,E18),1)*IF(Upgrades!$T$14="Brown Dwarf",POWER(Upgrades!$U$14,F18),1)*IF(Upgrades!$T$15="Brown Dwarf",POWER(Upgrades!$U$15,G18),1)*IF(Upgrades!$T$16="Brown Dwarf",POWER(Upgrades!$U$16,H18),1)*IF(Upgrades!$T$18="Brown Dwarf",POWER(Upgrades!$U$18,J18),1)*IF(Upgrades!$T$19="Brown Dwarf",POWER(Upgrades!$U$19,K18),1)*IF(Upgrades!$T$20="Brown Dwarf",POWER(Upgrades!$U$20,L18),1)*IF(Upgrades!$T$21="Brown Dwarf",POWER(Upgrades!$U$21,M18),1))*$F$6+(((IF(H18=0,0,(Upgrades!$M$16+H18*Upgrades!$N$16)*POWER(Upgrades!$O$16,H18)))*(IF(Upgrades!$T$13="Roche Lobe Overflow",POWER(Upgrades!$U$13,E18),1)*IF(Upgrades!$T$14="Roche Lobe Overflow",POWER(Upgrades!$U$14,F18),1)*IF(Upgrades!$T$15="Roche Lobe Overflow",POWER(Upgrades!$U$15,G18),1)*IF(Upgrades!$T$17="Roche Lobe Overflow",POWER(Upgrades!$U$17,I18),1)*IF(Upgrades!$T$18="Roche Lobe Overflow",POWER(Upgrades!$U$18,J18),1)*IF(Upgrades!$T$19="Roche Lobe Overflow",POWER(Upgrades!$U$19,K18),1)*IF(Upgrades!$T$20="Roche Lobe Overflow",POWER(Upgrades!$U$20,L18),1)*IF(Upgrades!$T$21="Roche Lobe Overflow",POWER(Upgrades!$U$21,M18),1))*POWER(Upgrades!$R$13,E18)*POWER(Upgrades!$R$14,F18)*POWER(Upgrades!$R$15,G18)*POWER(Upgrades!$R$16,H18)*POWER(Upgrades!$R$17,I18)*POWER(Upgrades!$R$18,J18)*POWER(Upgrades!$R$19,K18)*POWER(Upgrades!$R$20,L18)*POWER(Upgrades!$R$21,M18)*$H$6)*O18)*0.10)/AO18,0)</f>
        <v/>
      </c>
      <c r="BD18" s="32">
        <f>MAX(IF(J18&gt;0,0,IFERROR(0.5*((IF(G18=0,0,(Upgrades!$J$15+G18*Upgrades!$K$15)*POWER(Upgrades!$L$15,G18)))*(IF(Upgrades!$T$13="Microlensing",POWER(Upgrades!$U$13,E18),1)*IF(Upgrades!$T$14="Microlensing",POWER(Upgrades!$U$14,F18),1)*IF(Upgrades!$T$16="Microlensing",POWER(Upgrades!$U$16,H18),1)*IF(Upgrades!$T$17="Microlensing",POWER(Upgrades!$U$17,I18),1)*IF(Upgrades!$T$18="Microlensing",POWER(Upgrades!$U$18,J18),1)*IF(Upgrades!$T$19="Microlensing",POWER(Upgrades!$U$19,K18),1)*IF(Upgrades!$T$20="Microlensing",POWER(Upgrades!$U$20,L18),1)*IF(Upgrades!$T$21="Microlensing",POWER(Upgrades!$U$21,M18),1))*(POWER(Upgrades!$Q$13,E18)*POWER(Upgrades!$Q$14,F18)*POWER(Upgrades!$Q$15,G18)*POWER(Upgrades!$Q$16,H18)*POWER(Upgrades!$Q$17,I18)*POWER(Upgrades!$Q$18,J18)*POWER(Upgrades!$Q$19,K18)*POWER(Upgrades!$Q$20,L18)*POWER(Upgrades!$Q$21,M18))*$G$6*(Parameters!$B$10/60*Parameters!$B$11+Q18))/Upgrades!$C$18,0)),IF(K18&gt;0,0,IFERROR(0.30*P18/Upgrades!$C$19,0)),IF(L18&gt;0,0,IFERROR(0.0001/Upgrades!$C$20,0)),IF(M18&gt;0,0,IFERROR((6.0*(POWER(Upgrades!$P$13,E18)*POWER(Upgrades!$P$14,F18)*POWER(Upgrades!$P$15,G18)*POWER(Upgrades!$P$16,H18)*POWER(Upgrades!$P$17,I18)*POWER(Upgrades!$P$18,J18)*POWER(Upgrades!$P$19,K18)*POWER(Upgrades!$P$20,L18)*POWER(Upgrades!$P$21,M18))*$F$6+0.20*O18*(Parameters!$B$10/60*Parameters!$B$11+Q18))/Upgrades!$C$21,0)),IF(AND(ISNUMBER(AK18),AK18&gt;(C18+T18)),AY18,0),IF(AND(ISNUMBER(AL18),AL18&gt;(C18+T18)),AZ18,0),IF(AND(ISNUMBER(AM18),AM18&gt;(C18+T18)),BA18,0),IF(AND(ISNUMBER(AN18),AN18&gt;(C18+T18)),BB18,0),IF(AND(ISNUMBER(AO18),AO18&gt;(C18+T18)),BC18,0))</f>
        <v/>
      </c>
      <c r="BE18" s="29">
        <f>IF(AT18=1,"transition",IF(MIN(IF(AND(J18=0,ISNUMBER(AP18),AP18&lt;=(C18+T18)),AP18,9E15),IF(AND(K18=0,ISNUMBER(AQ18),AQ18&lt;=(C18+T18)),AQ18,9E15),IF(AND(L18=0,ISNUMBER(AR18),AR18&lt;=(C18+T18)),AR18,9E15),IF(AND(M18=0,ISNUMBER(AS18),AS18&lt;=(C18+T18)),AS18,9E15))&lt;9E15,IF(AND(AND(J18=0,ISNUMBER(AP18),AP18&lt;=(C18+T18)),AP18=MIN(IF(AND(J18=0,ISNUMBER(AP18),AP18&lt;=(C18+T18)),AP18,9E15),IF(AND(K18=0,ISNUMBER(AQ18),AQ18&lt;=(C18+T18)),AQ18,9E15),IF(AND(L18=0,ISNUMBER(AR18),AR18&lt;=(C18+T18)),AR18,9E15),IF(AND(M18=0,ISNUMBER(AS18),AS18&lt;=(C18+T18)),AS18,9E15))),"BiP",IF(AND(AND(K18=0,ISNUMBER(AQ18),AQ18&lt;=(C18+T18)),AQ18=MIN(IF(AND(J18=0,ISNUMBER(AP18),AP18&lt;=(C18+T18)),AP18,9E15),IF(AND(K18=0,ISNUMBER(AQ18),AQ18&lt;=(C18+T18)),AQ18,9E15),IF(AND(L18=0,ISNUMBER(AR18),AR18&lt;=(C18+T18)),AR18,9E15),IF(AND(M18=0,ISNUMBER(AS18),AS18&lt;=(C18+T18)),AS18,9E15))),"PV",IF(AND(AND(L18=0,ISNUMBER(AR18),AR18&lt;=(C18+T18)),AR18=MIN(IF(AND(J18=0,ISNUMBER(AP18),AP18&lt;=(C18+T18)),AP18,9E15),IF(AND(K18=0,ISNUMBER(AQ18),AQ18&lt;=(C18+T18)),AQ18,9E15),IF(AND(L18=0,ISNUMBER(AR18),AR18&lt;=(C18+T18)),AR18,9E15),IF(AND(M18=0,ISNUMBER(AS18),AS18&lt;=(C18+T18)),AS18,9E15))),"OC","MG"))),IF(AX18=TRUE,"",IF(MAX(IF(AND(NOT(AND(AU18=1,AT18&lt;&gt;1)),ISNUMBER(AK18),AK18&lt;=(C18+T18)),AY18,0),IF(AND(NOT(AND(AU18=1,AT18&lt;&gt;1)),ISNUMBER(AL18),AL18&lt;=(C18+T18)),AZ18,0),IF(AND(NOT(AND(AU18=1,AT18&lt;&gt;1)),ISNUMBER(AM18),AM18&lt;=(C18+T18)),BA18,0),IF(AND(NOT(AND(AU18=1,AT18&lt;&gt;1)),ISNUMBER(AN18),AN18&lt;=(C18+T18)),BB18,0),IF(AND(ISNUMBER(AO18),AO18&lt;=(C18+T18)),BC18,0))&lt;=0,"",IF(AND(IF(AND(NOT(AND(AU18=1,AT18&lt;&gt;1)),ISNUMBER(AK18),AK18&lt;=(C18+T18)),AY18,0)&gt;0,IF(AND(NOT(AND(AU18=1,AT18&lt;&gt;1)),ISNUMBER(AK18),AK18&lt;=(C18+T18)),AY18,0)=MAX(IF(AND(NOT(AND(AU18=1,AT18&lt;&gt;1)),ISNUMBER(AK18),AK18&lt;=(C18+T18)),AY18,0),IF(AND(NOT(AND(AU18=1,AT18&lt;&gt;1)),ISNUMBER(AL18),AL18&lt;=(C18+T18)),AZ18,0),IF(AND(NOT(AND(AU18=1,AT18&lt;&gt;1)),ISNUMBER(AM18),AM18&lt;=(C18+T18)),BA18,0),IF(AND(NOT(AND(AU18=1,AT18&lt;&gt;1)),ISNUMBER(AN18),AN18&lt;=(C18+T18)),BB18,0),IF(AND(ISNUMBER(AO18),AO18&lt;=(C18+T18)),BC18,0))),"SK",IF(AND(IF(AND(NOT(AND(AU18=1,AT18&lt;&gt;1)),ISNUMBER(AL18),AL18&lt;=(C18+T18)),AZ18,0)&gt;0,IF(AND(NOT(AND(AU18=1,AT18&lt;&gt;1)),ISNUMBER(AL18),AL18&lt;=(C18+T18)),AZ18,0)=MAX(IF(AND(NOT(AND(AU18=1,AT18&lt;&gt;1)),ISNUMBER(AK18),AK18&lt;=(C18+T18)),AY18,0),IF(AND(NOT(AND(AU18=1,AT18&lt;&gt;1)),ISNUMBER(AL18),AL18&lt;=(C18+T18)),AZ18,0),IF(AND(NOT(AND(AU18=1,AT18&lt;&gt;1)),ISNUMBER(AM18),AM18&lt;=(C18+T18)),BA18,0),IF(AND(NOT(AND(AU18=1,AT18&lt;&gt;1)),ISNUMBER(AN18),AN18&lt;=(C18+T18)),BB18,0),IF(AND(ISNUMBER(AO18),AO18&lt;=(C18+T18)),BC18,0))),"LB",IF(AND(IF(AND(NOT(AND(AU18=1,AT18&lt;&gt;1)),ISNUMBER(AM18),AM18&lt;=(C18+T18)),BA18,0)&gt;0,IF(AND(NOT(AND(AU18=1,AT18&lt;&gt;1)),ISNUMBER(AM18),AM18&lt;=(C18+T18)),BA18,0)=MAX(IF(AND(NOT(AND(AU18=1,AT18&lt;&gt;1)),ISNUMBER(AK18),AK18&lt;=(C18+T18)),AY18,0),IF(AND(NOT(AND(AU18=1,AT18&lt;&gt;1)),ISNUMBER(AL18),AL18&lt;=(C18+T18)),AZ18,0),IF(AND(NOT(AND(AU18=1,AT18&lt;&gt;1)),ISNUMBER(AM18),AM18&lt;=(C18+T18)),BA18,0),IF(AND(NOT(AND(AU18=1,AT18&lt;&gt;1)),ISNUMBER(AN18),AN18&lt;=(C18+T18)),BB18,0),IF(AND(ISNUMBER(AO18),AO18&lt;=(C18+T18)),BC18,0))),"ML",IF(AND(IF(AND(NOT(AND(AU18=1,AT18&lt;&gt;1)),ISNUMBER(AN18),AN18&lt;=(C18+T18)),BB18,0)&gt;0,IF(AND(NOT(AND(AU18=1,AT18&lt;&gt;1)),ISNUMBER(AN18),AN18&lt;=(C18+T18)),BB18,0)=MAX(IF(AND(NOT(AND(AU18=1,AT18&lt;&gt;1)),ISNUMBER(AK18),AK18&lt;=(C18+T18)),AY18,0),IF(AND(NOT(AND(AU18=1,AT18&lt;&gt;1)),ISNUMBER(AL18),AL18&lt;=(C18+T18)),AZ18,0),IF(AND(NOT(AND(AU18=1,AT18&lt;&gt;1)),ISNUMBER(AM18),AM18&lt;=(C18+T18)),BA18,0),IF(AND(NOT(AND(AU18=1,AT18&lt;&gt;1)),ISNUMBER(AN18),AN18&lt;=(C18+T18)),BB18,0),IF(AND(ISNUMBER(AO18),AO18&lt;=(C18+T18)),BC18,0))),"RLO","BD"))))))))</f>
        <v/>
      </c>
    </row>
    <row r="19">
      <c r="A19" s="26" t="n">
        <v>8</v>
      </c>
      <c r="B19" s="27">
        <f>A19*10/60</f>
        <v/>
      </c>
      <c r="C19" s="22">
        <f>X18</f>
        <v/>
      </c>
      <c r="D19" s="27">
        <f>D18+W18</f>
        <v/>
      </c>
      <c r="E19" s="26">
        <f>E18+IF(U18="SK",1,0)</f>
        <v/>
      </c>
      <c r="F19" s="26">
        <f>F18+IF(U18="LB",1,0)</f>
        <v/>
      </c>
      <c r="G19" s="26">
        <f>G18+IF(U18="ML",1,0)</f>
        <v/>
      </c>
      <c r="H19" s="26">
        <f>H18+IF(U18="RLO",1,0)</f>
        <v/>
      </c>
      <c r="I19" s="26">
        <f>I18+IF(U18="BD",1,0)</f>
        <v/>
      </c>
      <c r="J19" s="26">
        <f>MAX(J18,IF(U18="BiP",1,0))</f>
        <v/>
      </c>
      <c r="K19" s="26">
        <f>MAX(K18,IF(U18="PV",1,0))</f>
        <v/>
      </c>
      <c r="L19" s="26">
        <f>MAX(L18,IF(U18="OC",1,0))</f>
        <v/>
      </c>
      <c r="M19" s="26">
        <f>MAX(M18,IF(U18="MG",1,0))</f>
        <v/>
      </c>
      <c r="N19" s="26">
        <f>MAX(N18,IF(U18="transition",1,0))</f>
        <v/>
      </c>
      <c r="O19" s="28">
        <f>(Parameters!$B$9+(IF(E19=0,0,(Upgrades!$J$13+E19*Upgrades!$K$13)*POWER(Upgrades!$L$13,E19)))*(IF(Upgrades!$T$14="Stellar Kinematics",POWER(Upgrades!$U$14,F19),1)*IF(Upgrades!$T$15="Stellar Kinematics",POWER(Upgrades!$U$15,G19),1)*IF(Upgrades!$T$16="Stellar Kinematics",POWER(Upgrades!$U$16,H19),1)*IF(Upgrades!$T$17="Stellar Kinematics",POWER(Upgrades!$U$17,I19),1)*IF(Upgrades!$T$18="Stellar Kinematics",POWER(Upgrades!$U$18,J19),1)*IF(Upgrades!$T$19="Stellar Kinematics",POWER(Upgrades!$U$19,K19),1)*IF(Upgrades!$T$20="Stellar Kinematics",POWER(Upgrades!$U$20,L19),1)*IF(Upgrades!$T$21="Stellar Kinematics",POWER(Upgrades!$U$21,M19),1))+(IF(F19=0,0,(Upgrades!$J$14+F19*Upgrades!$K$14)*POWER(Upgrades!$L$14,F19)))*(IF(Upgrades!$T$13="Local Bubble",POWER(Upgrades!$U$13,E19),1)*IF(Upgrades!$T$15="Local Bubble",POWER(Upgrades!$U$15,G19),1)*IF(Upgrades!$T$16="Local Bubble",POWER(Upgrades!$U$16,H19),1)*IF(Upgrades!$T$17="Local Bubble",POWER(Upgrades!$U$17,I19),1)*IF(Upgrades!$T$18="Local Bubble",POWER(Upgrades!$U$18,J19),1)*IF(Upgrades!$T$19="Local Bubble",POWER(Upgrades!$U$19,K19),1)*IF(Upgrades!$T$20="Local Bubble",POWER(Upgrades!$U$20,L19),1)*IF(Upgrades!$T$21="Local Bubble",POWER(Upgrades!$U$21,M19),1))+(IF(G19=0,0,(Upgrades!$J$15+G19*Upgrades!$K$15)*POWER(Upgrades!$L$15,G19)))*(IF(Upgrades!$T$13="Microlensing",POWER(Upgrades!$U$13,E19),1)*IF(Upgrades!$T$14="Microlensing",POWER(Upgrades!$U$14,F19),1)*IF(Upgrades!$T$16="Microlensing",POWER(Upgrades!$U$16,H19),1)*IF(Upgrades!$T$17="Microlensing",POWER(Upgrades!$U$17,I19),1)*IF(Upgrades!$T$18="Microlensing",POWER(Upgrades!$U$18,J19),1)*IF(Upgrades!$T$19="Microlensing",POWER(Upgrades!$U$19,K19),1)*IF(Upgrades!$T$20="Microlensing",POWER(Upgrades!$U$20,L19),1)*IF(Upgrades!$T$21="Microlensing",POWER(Upgrades!$U$21,M19),1))+(IF(H19=0,0,(Upgrades!$J$16+H19*Upgrades!$K$16)*POWER(Upgrades!$L$16,H19)))*(IF(Upgrades!$T$13="Roche Lobe Overflow",POWER(Upgrades!$U$13,E19),1)*IF(Upgrades!$T$14="Roche Lobe Overflow",POWER(Upgrades!$U$14,F19),1)*IF(Upgrades!$T$15="Roche Lobe Overflow",POWER(Upgrades!$U$15,G19),1)*IF(Upgrades!$T$17="Roche Lobe Overflow",POWER(Upgrades!$U$17,I19),1)*IF(Upgrades!$T$18="Roche Lobe Overflow",POWER(Upgrades!$U$18,J19),1)*IF(Upgrades!$T$19="Roche Lobe Overflow",POWER(Upgrades!$U$19,K19),1)*IF(Upgrades!$T$20="Roche Lobe Overflow",POWER(Upgrades!$U$20,L19),1)*IF(Upgrades!$T$21="Roche Lobe Overflow",POWER(Upgrades!$U$21,M19),1))+(IF(I19=0,0,(Upgrades!$J$17+I19*Upgrades!$K$17)*POWER(Upgrades!$L$17,I19)))*(IF(Upgrades!$T$13="Brown Dwarf",POWER(Upgrades!$U$13,E19),1)*IF(Upgrades!$T$14="Brown Dwarf",POWER(Upgrades!$U$14,F19),1)*IF(Upgrades!$T$15="Brown Dwarf",POWER(Upgrades!$U$15,G19),1)*IF(Upgrades!$T$16="Brown Dwarf",POWER(Upgrades!$U$16,H19),1)*IF(Upgrades!$T$18="Brown Dwarf",POWER(Upgrades!$U$18,J19),1)*IF(Upgrades!$T$19="Brown Dwarf",POWER(Upgrades!$U$19,K19),1)*IF(Upgrades!$T$20="Brown Dwarf",POWER(Upgrades!$U$20,L19),1)*IF(Upgrades!$T$21="Brown Dwarf",POWER(Upgrades!$U$21,M19),1))+(IF(J19=0,0,(Upgrades!$J$18+J19*Upgrades!$K$18)*POWER(Upgrades!$L$18,J19)))*(IF(Upgrades!$T$13="Binary Partner",POWER(Upgrades!$U$13,E19),1)*IF(Upgrades!$T$14="Binary Partner",POWER(Upgrades!$U$14,F19),1)*IF(Upgrades!$T$15="Binary Partner",POWER(Upgrades!$U$15,G19),1)*IF(Upgrades!$T$16="Binary Partner",POWER(Upgrades!$U$16,H19),1)*IF(Upgrades!$T$17="Binary Partner",POWER(Upgrades!$U$17,I19),1)*IF(Upgrades!$T$19="Binary Partner",POWER(Upgrades!$U$19,K19),1)*IF(Upgrades!$T$20="Binary Partner",POWER(Upgrades!$U$20,L19),1)*IF(Upgrades!$T$21="Binary Partner",POWER(Upgrades!$U$21,M19),1))+(IF(K19=0,0,(Upgrades!$J$19+K19*Upgrades!$K$19)*POWER(Upgrades!$L$19,K19)))*(IF(Upgrades!$T$13="Peculiar Velocity",POWER(Upgrades!$U$13,E19),1)*IF(Upgrades!$T$14="Peculiar Velocity",POWER(Upgrades!$U$14,F19),1)*IF(Upgrades!$T$15="Peculiar Velocity",POWER(Upgrades!$U$15,G19),1)*IF(Upgrades!$T$16="Peculiar Velocity",POWER(Upgrades!$U$16,H19),1)*IF(Upgrades!$T$17="Peculiar Velocity",POWER(Upgrades!$U$17,I19),1)*IF(Upgrades!$T$18="Peculiar Velocity",POWER(Upgrades!$U$18,J19),1)*IF(Upgrades!$T$20="Peculiar Velocity",POWER(Upgrades!$U$20,L19),1)*IF(Upgrades!$T$21="Peculiar Velocity",POWER(Upgrades!$U$21,M19),1))+(IF(L19=0,0,(Upgrades!$J$20+L19*Upgrades!$K$20)*POWER(Upgrades!$L$20,L19)))*(IF(Upgrades!$T$13="Open Cluster",POWER(Upgrades!$U$13,E19),1)*IF(Upgrades!$T$14="Open Cluster",POWER(Upgrades!$U$14,F19),1)*IF(Upgrades!$T$15="Open Cluster",POWER(Upgrades!$U$15,G19),1)*IF(Upgrades!$T$16="Open Cluster",POWER(Upgrades!$U$16,H19),1)*IF(Upgrades!$T$17="Open Cluster",POWER(Upgrades!$U$17,I19),1)*IF(Upgrades!$T$18="Open Cluster",POWER(Upgrades!$U$18,J19),1)*IF(Upgrades!$T$19="Open Cluster",POWER(Upgrades!$U$19,K19),1)*IF(Upgrades!$T$21="Open Cluster",POWER(Upgrades!$U$21,M19),1))+(IF(M19=0,0,(Upgrades!$J$21+M19*Upgrades!$K$21)*POWER(Upgrades!$L$21,M19)))*(IF(Upgrades!$T$13="Moving Group",POWER(Upgrades!$U$13,E19),1)*IF(Upgrades!$T$14="Moving Group",POWER(Upgrades!$U$14,F19),1)*IF(Upgrades!$T$15="Moving Group",POWER(Upgrades!$U$15,G19),1)*IF(Upgrades!$T$16="Moving Group",POWER(Upgrades!$U$16,H19),1)*IF(Upgrades!$T$17="Moving Group",POWER(Upgrades!$U$17,I19),1)*IF(Upgrades!$T$18="Moving Group",POWER(Upgrades!$U$18,J19),1)*IF(Upgrades!$T$19="Moving Group",POWER(Upgrades!$U$19,K19),1)*IF(Upgrades!$T$20="Moving Group",POWER(Upgrades!$U$20,L19),1)))*POWER(Upgrades!$Q$13,E19)*POWER(Upgrades!$Q$14,F19)*POWER(Upgrades!$Q$15,G19)*POWER(Upgrades!$Q$16,H19)*POWER(Upgrades!$Q$17,I19)*POWER(Upgrades!$Q$18,J19)*POWER(Upgrades!$Q$19,K19)*POWER(Upgrades!$Q$20,L19)*POWER(Upgrades!$Q$21,M19)*$G$6+$D$6</f>
        <v/>
      </c>
      <c r="P19" s="28">
        <f>((IF(E19=0,0,(Upgrades!$G$13+E19*Upgrades!$H$13)*POWER(Upgrades!$I$13,E19)))*(IF(Upgrades!$T$14="Stellar Kinematics",POWER(Upgrades!$U$14,F19),1)*IF(Upgrades!$T$15="Stellar Kinematics",POWER(Upgrades!$U$15,G19),1)*IF(Upgrades!$T$16="Stellar Kinematics",POWER(Upgrades!$U$16,H19),1)*IF(Upgrades!$T$17="Stellar Kinematics",POWER(Upgrades!$U$17,I19),1)*IF(Upgrades!$T$18="Stellar Kinematics",POWER(Upgrades!$U$18,J19),1)*IF(Upgrades!$T$19="Stellar Kinematics",POWER(Upgrades!$U$19,K19),1)*IF(Upgrades!$T$20="Stellar Kinematics",POWER(Upgrades!$U$20,L19),1)*IF(Upgrades!$T$21="Stellar Kinematics",POWER(Upgrades!$U$21,M19),1))+(IF(F19=0,0,(Upgrades!$G$14+F19*Upgrades!$H$14)*POWER(Upgrades!$I$14,F19)))*(IF(Upgrades!$T$13="Local Bubble",POWER(Upgrades!$U$13,E19),1)*IF(Upgrades!$T$15="Local Bubble",POWER(Upgrades!$U$15,G19),1)*IF(Upgrades!$T$16="Local Bubble",POWER(Upgrades!$U$16,H19),1)*IF(Upgrades!$T$17="Local Bubble",POWER(Upgrades!$U$17,I19),1)*IF(Upgrades!$T$18="Local Bubble",POWER(Upgrades!$U$18,J19),1)*IF(Upgrades!$T$19="Local Bubble",POWER(Upgrades!$U$19,K19),1)*IF(Upgrades!$T$20="Local Bubble",POWER(Upgrades!$U$20,L19),1)*IF(Upgrades!$T$21="Local Bubble",POWER(Upgrades!$U$21,M19),1))+(IF(G19=0,0,(Upgrades!$G$15+G19*Upgrades!$H$15)*POWER(Upgrades!$I$15,G19)))*(IF(Upgrades!$T$13="Microlensing",POWER(Upgrades!$U$13,E19),1)*IF(Upgrades!$T$14="Microlensing",POWER(Upgrades!$U$14,F19),1)*IF(Upgrades!$T$16="Microlensing",POWER(Upgrades!$U$16,H19),1)*IF(Upgrades!$T$17="Microlensing",POWER(Upgrades!$U$17,I19),1)*IF(Upgrades!$T$18="Microlensing",POWER(Upgrades!$U$18,J19),1)*IF(Upgrades!$T$19="Microlensing",POWER(Upgrades!$U$19,K19),1)*IF(Upgrades!$T$20="Microlensing",POWER(Upgrades!$U$20,L19),1)*IF(Upgrades!$T$21="Microlensing",POWER(Upgrades!$U$21,M19),1))+(IF(H19=0,0,(Upgrades!$G$16+H19*Upgrades!$H$16)*POWER(Upgrades!$I$16,H19)))*(IF(Upgrades!$T$13="Roche Lobe Overflow",POWER(Upgrades!$U$13,E19),1)*IF(Upgrades!$T$14="Roche Lobe Overflow",POWER(Upgrades!$U$14,F19),1)*IF(Upgrades!$T$15="Roche Lobe Overflow",POWER(Upgrades!$U$15,G19),1)*IF(Upgrades!$T$17="Roche Lobe Overflow",POWER(Upgrades!$U$17,I19),1)*IF(Upgrades!$T$18="Roche Lobe Overflow",POWER(Upgrades!$U$18,J19),1)*IF(Upgrades!$T$19="Roche Lobe Overflow",POWER(Upgrades!$U$19,K19),1)*IF(Upgrades!$T$20="Roche Lobe Overflow",POWER(Upgrades!$U$20,L19),1)*IF(Upgrades!$T$21="Roche Lobe Overflow",POWER(Upgrades!$U$21,M19),1))+(IF(I19=0,0,(Upgrades!$G$17+I19*Upgrades!$H$17)*POWER(Upgrades!$I$17,I19)))*(IF(Upgrades!$T$13="Brown Dwarf",POWER(Upgrades!$U$13,E19),1)*IF(Upgrades!$T$14="Brown Dwarf",POWER(Upgrades!$U$14,F19),1)*IF(Upgrades!$T$15="Brown Dwarf",POWER(Upgrades!$U$15,G19),1)*IF(Upgrades!$T$16="Brown Dwarf",POWER(Upgrades!$U$16,H19),1)*IF(Upgrades!$T$18="Brown Dwarf",POWER(Upgrades!$U$18,J19),1)*IF(Upgrades!$T$19="Brown Dwarf",POWER(Upgrades!$U$19,K19),1)*IF(Upgrades!$T$20="Brown Dwarf",POWER(Upgrades!$U$20,L19),1)*IF(Upgrades!$T$21="Brown Dwarf",POWER(Upgrades!$U$21,M19),1))+(IF(J19=0,0,(Upgrades!$G$18+J19*Upgrades!$H$18)*POWER(Upgrades!$I$18,J19)))*(IF(Upgrades!$T$13="Binary Partner",POWER(Upgrades!$U$13,E19),1)*IF(Upgrades!$T$14="Binary Partner",POWER(Upgrades!$U$14,F19),1)*IF(Upgrades!$T$15="Binary Partner",POWER(Upgrades!$U$15,G19),1)*IF(Upgrades!$T$16="Binary Partner",POWER(Upgrades!$U$16,H19),1)*IF(Upgrades!$T$17="Binary Partner",POWER(Upgrades!$U$17,I19),1)*IF(Upgrades!$T$19="Binary Partner",POWER(Upgrades!$U$19,K19),1)*IF(Upgrades!$T$20="Binary Partner",POWER(Upgrades!$U$20,L19),1)*IF(Upgrades!$T$21="Binary Partner",POWER(Upgrades!$U$21,M19),1))+(IF(K19=0,0,(Upgrades!$G$19+K19*Upgrades!$H$19)*POWER(Upgrades!$I$19,K19)))*(IF(Upgrades!$T$13="Peculiar Velocity",POWER(Upgrades!$U$13,E19),1)*IF(Upgrades!$T$14="Peculiar Velocity",POWER(Upgrades!$U$14,F19),1)*IF(Upgrades!$T$15="Peculiar Velocity",POWER(Upgrades!$U$15,G19),1)*IF(Upgrades!$T$16="Peculiar Velocity",POWER(Upgrades!$U$16,H19),1)*IF(Upgrades!$T$17="Peculiar Velocity",POWER(Upgrades!$U$17,I19),1)*IF(Upgrades!$T$18="Peculiar Velocity",POWER(Upgrades!$U$18,J19),1)*IF(Upgrades!$T$20="Peculiar Velocity",POWER(Upgrades!$U$20,L19),1)*IF(Upgrades!$T$21="Peculiar Velocity",POWER(Upgrades!$U$21,M19),1))+(IF(L19=0,0,(Upgrades!$G$20+L19*Upgrades!$H$20)*POWER(Upgrades!$I$20,L19)))*(IF(Upgrades!$T$13="Open Cluster",POWER(Upgrades!$U$13,E19),1)*IF(Upgrades!$T$14="Open Cluster",POWER(Upgrades!$U$14,F19),1)*IF(Upgrades!$T$15="Open Cluster",POWER(Upgrades!$U$15,G19),1)*IF(Upgrades!$T$16="Open Cluster",POWER(Upgrades!$U$16,H19),1)*IF(Upgrades!$T$17="Open Cluster",POWER(Upgrades!$U$17,I19),1)*IF(Upgrades!$T$18="Open Cluster",POWER(Upgrades!$U$18,J19),1)*IF(Upgrades!$T$19="Open Cluster",POWER(Upgrades!$U$19,K19),1)*IF(Upgrades!$T$21="Open Cluster",POWER(Upgrades!$U$21,M19),1))+(IF(M19=0,0,(Upgrades!$G$21+M19*Upgrades!$H$21)*POWER(Upgrades!$I$21,M19)))*(IF(Upgrades!$T$13="Moving Group",POWER(Upgrades!$U$13,E19),1)*IF(Upgrades!$T$14="Moving Group",POWER(Upgrades!$U$14,F19),1)*IF(Upgrades!$T$15="Moving Group",POWER(Upgrades!$U$15,G19),1)*IF(Upgrades!$T$16="Moving Group",POWER(Upgrades!$U$16,H19),1)*IF(Upgrades!$T$17="Moving Group",POWER(Upgrades!$U$17,I19),1)*IF(Upgrades!$T$18="Moving Group",POWER(Upgrades!$U$18,J19),1)*IF(Upgrades!$T$19="Moving Group",POWER(Upgrades!$U$19,K19),1)*IF(Upgrades!$T$20="Moving Group",POWER(Upgrades!$U$20,L19),1)))*POWER(Upgrades!$P$13,E19)*POWER(Upgrades!$P$14,F19)*POWER(Upgrades!$P$15,G19)*POWER(Upgrades!$P$16,H19)*POWER(Upgrades!$P$17,I19)*POWER(Upgrades!$P$18,J19)*POWER(Upgrades!$P$19,K19)*POWER(Upgrades!$P$20,L19)*POWER(Upgrades!$P$21,M19)*$F$6+$C$6</f>
        <v/>
      </c>
      <c r="Q19" s="28">
        <f>((IF(E19=0,0,(Upgrades!$M$13+E19*Upgrades!$N$13)*POWER(Upgrades!$O$13,E19)))*(IF(Upgrades!$T$14="Stellar Kinematics",POWER(Upgrades!$U$14,F19),1)*IF(Upgrades!$T$15="Stellar Kinematics",POWER(Upgrades!$U$15,G19),1)*IF(Upgrades!$T$16="Stellar Kinematics",POWER(Upgrades!$U$16,H19),1)*IF(Upgrades!$T$17="Stellar Kinematics",POWER(Upgrades!$U$17,I19),1)*IF(Upgrades!$T$18="Stellar Kinematics",POWER(Upgrades!$U$18,J19),1)*IF(Upgrades!$T$19="Stellar Kinematics",POWER(Upgrades!$U$19,K19),1)*IF(Upgrades!$T$20="Stellar Kinematics",POWER(Upgrades!$U$20,L19),1)*IF(Upgrades!$T$21="Stellar Kinematics",POWER(Upgrades!$U$21,M19),1))+(IF(F19=0,0,(Upgrades!$M$14+F19*Upgrades!$N$14)*POWER(Upgrades!$O$14,F19)))*(IF(Upgrades!$T$13="Local Bubble",POWER(Upgrades!$U$13,E19),1)*IF(Upgrades!$T$15="Local Bubble",POWER(Upgrades!$U$15,G19),1)*IF(Upgrades!$T$16="Local Bubble",POWER(Upgrades!$U$16,H19),1)*IF(Upgrades!$T$17="Local Bubble",POWER(Upgrades!$U$17,I19),1)*IF(Upgrades!$T$18="Local Bubble",POWER(Upgrades!$U$18,J19),1)*IF(Upgrades!$T$19="Local Bubble",POWER(Upgrades!$U$19,K19),1)*IF(Upgrades!$T$20="Local Bubble",POWER(Upgrades!$U$20,L19),1)*IF(Upgrades!$T$21="Local Bubble",POWER(Upgrades!$U$21,M19),1))+(IF(G19=0,0,(Upgrades!$M$15+G19*Upgrades!$N$15)*POWER(Upgrades!$O$15,G19)))*(IF(Upgrades!$T$13="Microlensing",POWER(Upgrades!$U$13,E19),1)*IF(Upgrades!$T$14="Microlensing",POWER(Upgrades!$U$14,F19),1)*IF(Upgrades!$T$16="Microlensing",POWER(Upgrades!$U$16,H19),1)*IF(Upgrades!$T$17="Microlensing",POWER(Upgrades!$U$17,I19),1)*IF(Upgrades!$T$18="Microlensing",POWER(Upgrades!$U$18,J19),1)*IF(Upgrades!$T$19="Microlensing",POWER(Upgrades!$U$19,K19),1)*IF(Upgrades!$T$20="Microlensing",POWER(Upgrades!$U$20,L19),1)*IF(Upgrades!$T$21="Microlensing",POWER(Upgrades!$U$21,M19),1))+(IF(H19=0,0,(Upgrades!$M$16+H19*Upgrades!$N$16)*POWER(Upgrades!$O$16,H19)))*(IF(Upgrades!$T$13="Roche Lobe Overflow",POWER(Upgrades!$U$13,E19),1)*IF(Upgrades!$T$14="Roche Lobe Overflow",POWER(Upgrades!$U$14,F19),1)*IF(Upgrades!$T$15="Roche Lobe Overflow",POWER(Upgrades!$U$15,G19),1)*IF(Upgrades!$T$17="Roche Lobe Overflow",POWER(Upgrades!$U$17,I19),1)*IF(Upgrades!$T$18="Roche Lobe Overflow",POWER(Upgrades!$U$18,J19),1)*IF(Upgrades!$T$19="Roche Lobe Overflow",POWER(Upgrades!$U$19,K19),1)*IF(Upgrades!$T$20="Roche Lobe Overflow",POWER(Upgrades!$U$20,L19),1)*IF(Upgrades!$T$21="Roche Lobe Overflow",POWER(Upgrades!$U$21,M19),1))+(IF(I19=0,0,(Upgrades!$M$17+I19*Upgrades!$N$17)*POWER(Upgrades!$O$17,I19)))*(IF(Upgrades!$T$13="Brown Dwarf",POWER(Upgrades!$U$13,E19),1)*IF(Upgrades!$T$14="Brown Dwarf",POWER(Upgrades!$U$14,F19),1)*IF(Upgrades!$T$15="Brown Dwarf",POWER(Upgrades!$U$15,G19),1)*IF(Upgrades!$T$16="Brown Dwarf",POWER(Upgrades!$U$16,H19),1)*IF(Upgrades!$T$18="Brown Dwarf",POWER(Upgrades!$U$18,J19),1)*IF(Upgrades!$T$19="Brown Dwarf",POWER(Upgrades!$U$19,K19),1)*IF(Upgrades!$T$20="Brown Dwarf",POWER(Upgrades!$U$20,L19),1)*IF(Upgrades!$T$21="Brown Dwarf",POWER(Upgrades!$U$21,M19),1))+(IF(J19=0,0,(Upgrades!$M$18+J19*Upgrades!$N$18)*POWER(Upgrades!$O$18,J19)))*(IF(Upgrades!$T$13="Binary Partner",POWER(Upgrades!$U$13,E19),1)*IF(Upgrades!$T$14="Binary Partner",POWER(Upgrades!$U$14,F19),1)*IF(Upgrades!$T$15="Binary Partner",POWER(Upgrades!$U$15,G19),1)*IF(Upgrades!$T$16="Binary Partner",POWER(Upgrades!$U$16,H19),1)*IF(Upgrades!$T$17="Binary Partner",POWER(Upgrades!$U$17,I19),1)*IF(Upgrades!$T$19="Binary Partner",POWER(Upgrades!$U$19,K19),1)*IF(Upgrades!$T$20="Binary Partner",POWER(Upgrades!$U$20,L19),1)*IF(Upgrades!$T$21="Binary Partner",POWER(Upgrades!$U$21,M19),1))+(IF(K19=0,0,(Upgrades!$M$19+K19*Upgrades!$N$19)*POWER(Upgrades!$O$19,K19)))*(IF(Upgrades!$T$13="Peculiar Velocity",POWER(Upgrades!$U$13,E19),1)*IF(Upgrades!$T$14="Peculiar Velocity",POWER(Upgrades!$U$14,F19),1)*IF(Upgrades!$T$15="Peculiar Velocity",POWER(Upgrades!$U$15,G19),1)*IF(Upgrades!$T$16="Peculiar Velocity",POWER(Upgrades!$U$16,H19),1)*IF(Upgrades!$T$17="Peculiar Velocity",POWER(Upgrades!$U$17,I19),1)*IF(Upgrades!$T$18="Peculiar Velocity",POWER(Upgrades!$U$18,J19),1)*IF(Upgrades!$T$20="Peculiar Velocity",POWER(Upgrades!$U$20,L19),1)*IF(Upgrades!$T$21="Peculiar Velocity",POWER(Upgrades!$U$21,M19),1))+(IF(L19=0,0,(Upgrades!$M$20+L19*Upgrades!$N$20)*POWER(Upgrades!$O$20,L19)))*(IF(Upgrades!$T$13="Open Cluster",POWER(Upgrades!$U$13,E19),1)*IF(Upgrades!$T$14="Open Cluster",POWER(Upgrades!$U$14,F19),1)*IF(Upgrades!$T$15="Open Cluster",POWER(Upgrades!$U$15,G19),1)*IF(Upgrades!$T$16="Open Cluster",POWER(Upgrades!$U$16,H19),1)*IF(Upgrades!$T$17="Open Cluster",POWER(Upgrades!$U$17,I19),1)*IF(Upgrades!$T$18="Open Cluster",POWER(Upgrades!$U$18,J19),1)*IF(Upgrades!$T$19="Open Cluster",POWER(Upgrades!$U$19,K19),1)*IF(Upgrades!$T$21="Open Cluster",POWER(Upgrades!$U$21,M19),1))+(IF(M19=0,0,(Upgrades!$M$21+M19*Upgrades!$N$21)*POWER(Upgrades!$O$21,M19)))*(IF(Upgrades!$T$13="Moving Group",POWER(Upgrades!$U$13,E19),1)*IF(Upgrades!$T$14="Moving Group",POWER(Upgrades!$U$14,F19),1)*IF(Upgrades!$T$15="Moving Group",POWER(Upgrades!$U$15,G19),1)*IF(Upgrades!$T$16="Moving Group",POWER(Upgrades!$U$16,H19),1)*IF(Upgrades!$T$17="Moving Group",POWER(Upgrades!$U$17,I19),1)*IF(Upgrades!$T$18="Moving Group",POWER(Upgrades!$U$18,J19),1)*IF(Upgrades!$T$19="Moving Group",POWER(Upgrades!$U$19,K19),1)*IF(Upgrades!$T$20="Moving Group",POWER(Upgrades!$U$20,L19),1)))*POWER(Upgrades!$R$13,E19)*POWER(Upgrades!$R$14,F19)*POWER(Upgrades!$R$15,G19)*POWER(Upgrades!$R$16,H19)*POWER(Upgrades!$R$17,I19)*POWER(Upgrades!$R$18,J19)*POWER(Upgrades!$R$19,K19)*POWER(Upgrades!$R$20,L19)*POWER(Upgrades!$R$21,M19)*$H$6+$E$6</f>
        <v/>
      </c>
      <c r="R19" s="27">
        <f>IF(N19=1,0,O19*Parameters!$B$10/60*Parameters!$B$11*10)</f>
        <v/>
      </c>
      <c r="S19" s="27">
        <f>IF(N19=1,0,Q19*O19*10)</f>
        <v/>
      </c>
      <c r="T19" s="27">
        <f>IF(N19=1,0,R19+S19+P19*10)</f>
        <v/>
      </c>
      <c r="U19" s="33">
        <f>BE19</f>
        <v/>
      </c>
      <c r="V19" s="22">
        <f>IF(U19="",0,IF(U19="transition",0,IF(U19="SK",AK19,IF(U19="LB",AL19,IF(U19="ML",AM19,IF(U19="RLO",AN19,IF(U19="BD",AO19,IF(U19="BiP",AP19,IF(U19="PV",AQ19,IF(U19="OC",AR19,IF(U19="MG",AS19,0))))))))))</f>
        <v/>
      </c>
      <c r="W19" s="27">
        <f>IF(U19="BiP",Upgrades!$F$18,IF(U19="PV",Upgrades!$F$19,IF(U19="OC",Upgrades!$F$20,IF(U19="MG",Upgrades!$F$21,IF(U19="transition",-Parameters!$B$18*Parameters!$B$19,0)))))</f>
        <v/>
      </c>
      <c r="X19" s="22">
        <f>C19+T19-V19</f>
        <v/>
      </c>
      <c r="Y19" s="30">
        <f>O19*Parameters!$B$10/60*Parameters!$B$11+Q19*O19+P19</f>
        <v/>
      </c>
      <c r="Z19" s="34">
        <f>IF(U19="transition","→ Tier 3 (Galactic Arm)",IF(U19="MG","Moving Group — pocket drifts together",IF(U19="OC","Open Cluster acquired",IF(U19="PV","Peculiar Velocity — passive multiplier active",IF(U19="BiP","Binary Partner — pair bond formed",IF(AND(AU19=1,N19=0,AT19&lt;&gt;1),"Cohesion ready (waiting on completionists)","")))))) </f>
        <v/>
      </c>
      <c r="AA19" s="27">
        <f>(IF(E19=0,0,(Upgrades!$G$13+E19*Upgrades!$H$13)*POWER(Upgrades!$I$13,E19)))*(IF(Upgrades!$T$14="Stellar Kinematics",POWER(Upgrades!$U$14,F19),1)*IF(Upgrades!$T$15="Stellar Kinematics",POWER(Upgrades!$U$15,G19),1)*IF(Upgrades!$T$16="Stellar Kinematics",POWER(Upgrades!$U$16,H19),1)*IF(Upgrades!$T$17="Stellar Kinematics",POWER(Upgrades!$U$17,I19),1)*IF(Upgrades!$T$18="Stellar Kinematics",POWER(Upgrades!$U$18,J19),1)*IF(Upgrades!$T$19="Stellar Kinematics",POWER(Upgrades!$U$19,K19),1)*IF(Upgrades!$T$20="Stellar Kinematics",POWER(Upgrades!$U$20,L19),1)*IF(Upgrades!$T$21="Stellar Kinematics",POWER(Upgrades!$U$21,M19),1))*POWER(Upgrades!$P$13,E19)*POWER(Upgrades!$P$14,F19)*POWER(Upgrades!$P$15,G19)*POWER(Upgrades!$P$16,H19)*POWER(Upgrades!$P$17,I19)*POWER(Upgrades!$P$18,J19)*POWER(Upgrades!$P$19,K19)*POWER(Upgrades!$P$20,L19)*POWER(Upgrades!$P$21,M19)*$F$6*60</f>
        <v/>
      </c>
      <c r="AB19" s="27">
        <f>(IF(F19=0,0,(Upgrades!$G$14+F19*Upgrades!$H$14)*POWER(Upgrades!$I$14,F19)))*(IF(Upgrades!$T$13="Local Bubble",POWER(Upgrades!$U$13,E19),1)*IF(Upgrades!$T$15="Local Bubble",POWER(Upgrades!$U$15,G19),1)*IF(Upgrades!$T$16="Local Bubble",POWER(Upgrades!$U$16,H19),1)*IF(Upgrades!$T$17="Local Bubble",POWER(Upgrades!$U$17,I19),1)*IF(Upgrades!$T$18="Local Bubble",POWER(Upgrades!$U$18,J19),1)*IF(Upgrades!$T$19="Local Bubble",POWER(Upgrades!$U$19,K19),1)*IF(Upgrades!$T$20="Local Bubble",POWER(Upgrades!$U$20,L19),1)*IF(Upgrades!$T$21="Local Bubble",POWER(Upgrades!$U$21,M19),1))*POWER(Upgrades!$P$13,E19)*POWER(Upgrades!$P$14,F19)*POWER(Upgrades!$P$15,G19)*POWER(Upgrades!$P$16,H19)*POWER(Upgrades!$P$17,I19)*POWER(Upgrades!$P$18,J19)*POWER(Upgrades!$P$19,K19)*POWER(Upgrades!$P$20,L19)*POWER(Upgrades!$P$21,M19)*$F$6*60</f>
        <v/>
      </c>
      <c r="AC19" s="27">
        <f>(IF(G19=0,0,(Upgrades!$J$15+G19*Upgrades!$K$15)*POWER(Upgrades!$L$15,G19)))*(IF(Upgrades!$T$13="Microlensing",POWER(Upgrades!$U$13,E19),1)*IF(Upgrades!$T$14="Microlensing",POWER(Upgrades!$U$14,F19),1)*IF(Upgrades!$T$16="Microlensing",POWER(Upgrades!$U$16,H19),1)*IF(Upgrades!$T$17="Microlensing",POWER(Upgrades!$U$17,I19),1)*IF(Upgrades!$T$18="Microlensing",POWER(Upgrades!$U$18,J19),1)*IF(Upgrades!$T$19="Microlensing",POWER(Upgrades!$U$19,K19),1)*IF(Upgrades!$T$20="Microlensing",POWER(Upgrades!$U$20,L19),1)*IF(Upgrades!$T$21="Microlensing",POWER(Upgrades!$U$21,M19),1))*POWER(Upgrades!$Q$13,E19)*POWER(Upgrades!$Q$14,F19)*POWER(Upgrades!$Q$15,G19)*POWER(Upgrades!$Q$16,H19)*POWER(Upgrades!$Q$17,I19)*POWER(Upgrades!$Q$18,J19)*POWER(Upgrades!$Q$19,K19)*POWER(Upgrades!$Q$20,L19)*POWER(Upgrades!$Q$21,M19)*$G$6*(Parameters!$B$10*Parameters!$B$11+Q19*60)</f>
        <v/>
      </c>
      <c r="AD19" s="27">
        <f>(IF(H19=0,0,(Upgrades!$M$16+H19*Upgrades!$N$16)*POWER(Upgrades!$O$16,H19)))*(IF(Upgrades!$T$13="Roche Lobe Overflow",POWER(Upgrades!$U$13,E19),1)*IF(Upgrades!$T$14="Roche Lobe Overflow",POWER(Upgrades!$U$14,F19),1)*IF(Upgrades!$T$15="Roche Lobe Overflow",POWER(Upgrades!$U$15,G19),1)*IF(Upgrades!$T$17="Roche Lobe Overflow",POWER(Upgrades!$U$17,I19),1)*IF(Upgrades!$T$18="Roche Lobe Overflow",POWER(Upgrades!$U$18,J19),1)*IF(Upgrades!$T$19="Roche Lobe Overflow",POWER(Upgrades!$U$19,K19),1)*IF(Upgrades!$T$20="Roche Lobe Overflow",POWER(Upgrades!$U$20,L19),1)*IF(Upgrades!$T$21="Roche Lobe Overflow",POWER(Upgrades!$U$21,M19),1))*POWER(Upgrades!$R$13,E19)*POWER(Upgrades!$R$14,F19)*POWER(Upgrades!$R$15,G19)*POWER(Upgrades!$R$16,H19)*POWER(Upgrades!$R$17,I19)*POWER(Upgrades!$R$18,J19)*POWER(Upgrades!$R$19,K19)*POWER(Upgrades!$R$20,L19)*POWER(Upgrades!$R$21,M19)*$H$6*O19*60</f>
        <v/>
      </c>
      <c r="AE19" s="27">
        <f>(IF(I19=0,0,(Upgrades!$G$17+I19*Upgrades!$H$17)*POWER(Upgrades!$I$17,I19)))*(IF(Upgrades!$T$13="Brown Dwarf",POWER(Upgrades!$U$13,E19),1)*IF(Upgrades!$T$14="Brown Dwarf",POWER(Upgrades!$U$14,F19),1)*IF(Upgrades!$T$15="Brown Dwarf",POWER(Upgrades!$U$15,G19),1)*IF(Upgrades!$T$16="Brown Dwarf",POWER(Upgrades!$U$16,H19),1)*IF(Upgrades!$T$18="Brown Dwarf",POWER(Upgrades!$U$18,J19),1)*IF(Upgrades!$T$19="Brown Dwarf",POWER(Upgrades!$U$19,K19),1)*IF(Upgrades!$T$20="Brown Dwarf",POWER(Upgrades!$U$20,L19),1)*IF(Upgrades!$T$21="Brown Dwarf",POWER(Upgrades!$U$21,M19),1))*POWER(Upgrades!$P$13,E19)*POWER(Upgrades!$P$14,F19)*POWER(Upgrades!$P$15,G19)*POWER(Upgrades!$P$16,H19)*POWER(Upgrades!$P$17,I19)*POWER(Upgrades!$P$18,J19)*POWER(Upgrades!$P$19,K19)*POWER(Upgrades!$P$20,L19)*POWER(Upgrades!$P$21,M19)*$F$6*60</f>
        <v/>
      </c>
      <c r="AF19" s="27" t="n">
        <v>0</v>
      </c>
      <c r="AG19" s="27" t="n">
        <v>0</v>
      </c>
      <c r="AH19" s="27" t="n">
        <v>0</v>
      </c>
      <c r="AI19" s="27">
        <f>(IF(M19=0,0,(Upgrades!$G$21+M19*Upgrades!$H$21)*POWER(Upgrades!$I$21,M19)))*(IF(Upgrades!$T$13="Moving Group",POWER(Upgrades!$U$13,E19),1)*IF(Upgrades!$T$14="Moving Group",POWER(Upgrades!$U$14,F19),1)*IF(Upgrades!$T$15="Moving Group",POWER(Upgrades!$U$15,G19),1)*IF(Upgrades!$T$16="Moving Group",POWER(Upgrades!$U$16,H19),1)*IF(Upgrades!$T$17="Moving Group",POWER(Upgrades!$U$17,I19),1)*IF(Upgrades!$T$18="Moving Group",POWER(Upgrades!$U$18,J19),1)*IF(Upgrades!$T$19="Moving Group",POWER(Upgrades!$U$19,K19),1)*IF(Upgrades!$T$20="Moving Group",POWER(Upgrades!$U$20,L19),1))*POWER(Upgrades!$P$13,E19)*POWER(Upgrades!$P$14,F19)*POWER(Upgrades!$P$15,G19)*POWER(Upgrades!$P$16,H19)*POWER(Upgrades!$P$17,I19)*POWER(Upgrades!$P$18,J19)*POWER(Upgrades!$P$19,K19)*POWER(Upgrades!$P$20,L19)*POWER(Upgrades!$P$21,M19)*$F$6*60</f>
        <v/>
      </c>
      <c r="AJ19" s="27">
        <f>$C$6*60</f>
        <v/>
      </c>
      <c r="AK19" s="22">
        <f>IF(E19&gt;=Upgrades!$E$13,"",Upgrades!$C$13*POWER(Upgrades!$D$13,E19))</f>
        <v/>
      </c>
      <c r="AL19" s="22">
        <f>IF(F19&gt;=Upgrades!$E$14,"",Upgrades!$C$14*POWER(Upgrades!$D$14,F19))</f>
        <v/>
      </c>
      <c r="AM19" s="22">
        <f>IF(G19&gt;=Upgrades!$E$15,"",Upgrades!$C$15*POWER(Upgrades!$D$15,G19))</f>
        <v/>
      </c>
      <c r="AN19" s="22">
        <f>IF(H19&gt;=Upgrades!$E$16,"",Upgrades!$C$16*POWER(Upgrades!$D$16,H19))</f>
        <v/>
      </c>
      <c r="AO19" s="22">
        <f>IF(I19&gt;=Upgrades!$E$17,"",Upgrades!$C$17*POWER(Upgrades!$D$17,I19))</f>
        <v/>
      </c>
      <c r="AP19" s="22">
        <f>IF(J19&gt;=Upgrades!$E$18,"",Upgrades!$C$18*POWER(Upgrades!$D$18,J19))</f>
        <v/>
      </c>
      <c r="AQ19" s="22">
        <f>IF(K19&gt;=Upgrades!$E$19,"",Upgrades!$C$19*POWER(Upgrades!$D$19,K19))</f>
        <v/>
      </c>
      <c r="AR19" s="22">
        <f>IF(L19&gt;=Upgrades!$E$20,"",Upgrades!$C$20*POWER(Upgrades!$D$20,L19))</f>
        <v/>
      </c>
      <c r="AS19" s="22">
        <f>IF(M19&gt;=Upgrades!$E$21,"",Upgrades!$C$21*POWER(Upgrades!$D$21,M19))</f>
        <v/>
      </c>
      <c r="AT19" s="26">
        <f>IF(AND(D19&gt;=Parameters!$B$18*Parameters!$B$19,(I19&gt;=Upgrades!$E$17)*(M19&gt;=Upgrades!$E$21)=1,N19=0),1,"")</f>
        <v/>
      </c>
      <c r="AU19" s="26">
        <f>IF(AND(D19&gt;=Parameters!$B$18*Parameters!$B$19,N19=0),1,"")</f>
        <v/>
      </c>
      <c r="AV19" s="22">
        <f>MIN(IF(ISNUMBER(AP19),AP19,9E15),IF(ISNUMBER(AQ19),AQ19,9E15),IF(ISNUMBER(AR19),AR19,9E15),IF(ISNUMBER(AS19),AS19,9E15))</f>
        <v/>
      </c>
      <c r="AW19" s="22">
        <f>MIN(IF(ISNUMBER(AK19),AK19,9E15),IF(ISNUMBER(AL19),AL19,9E15),IF(ISNUMBER(AM19),AM19,9E15),IF(ISNUMBER(AN19),AN19,9E15),IF(ISNUMBER(AO19),AO19,9E15))</f>
        <v/>
      </c>
      <c r="AX19" s="29">
        <f>IF(BD19&gt;Parameters!$B$21*(MAX(IF(AND(NOT(AND(AU19=1,AT19&lt;&gt;1)),ISNUMBER(AK19),AK19&lt;=(C19+T19)),AY19,0),IF(AND(NOT(AND(AU19=1,AT19&lt;&gt;1)),ISNUMBER(AL19),AL19&lt;=(C19+T19)),AZ19,0),IF(AND(NOT(AND(AU19=1,AT19&lt;&gt;1)),ISNUMBER(AM19),AM19&lt;=(C19+T19)),BA19,0),IF(AND(NOT(AND(AU19=1,AT19&lt;&gt;1)),ISNUMBER(AN19),AN19&lt;=(C19+T19)),BB19,0),IF(AND(ISNUMBER(AO19),AO19&lt;=(C19+T19)),BC19,0))),TRUE,FALSE)</f>
        <v/>
      </c>
      <c r="AY19" s="32">
        <f>IFERROR(Upgrades!$H$13*(POWER(Upgrades!$P$13,E19)*POWER(Upgrades!$P$14,F19)*POWER(Upgrades!$P$15,G19)*POWER(Upgrades!$P$16,H19)*POWER(Upgrades!$P$17,I19)*POWER(Upgrades!$P$18,J19)*POWER(Upgrades!$P$19,K19)*POWER(Upgrades!$P$20,L19)*POWER(Upgrades!$P$21,M19))*(IF(Upgrades!$T$14="Stellar Kinematics",POWER(Upgrades!$U$14,F19),1)*IF(Upgrades!$T$15="Stellar Kinematics",POWER(Upgrades!$U$15,G19),1)*IF(Upgrades!$T$16="Stellar Kinematics",POWER(Upgrades!$U$16,H19),1)*IF(Upgrades!$T$17="Stellar Kinematics",POWER(Upgrades!$U$17,I19),1)*IF(Upgrades!$T$18="Stellar Kinematics",POWER(Upgrades!$U$18,J19),1)*IF(Upgrades!$T$19="Stellar Kinematics",POWER(Upgrades!$U$19,K19),1)*IF(Upgrades!$T$20="Stellar Kinematics",POWER(Upgrades!$U$20,L19),1)*IF(Upgrades!$T$21="Stellar Kinematics",POWER(Upgrades!$U$21,M19),1))*$F$6/AK19,0)</f>
        <v/>
      </c>
      <c r="AZ19" s="32">
        <f>IFERROR(Upgrades!$H$14*(POWER(Upgrades!$P$13,E19)*POWER(Upgrades!$P$14,F19)*POWER(Upgrades!$P$15,G19)*POWER(Upgrades!$P$16,H19)*POWER(Upgrades!$P$17,I19)*POWER(Upgrades!$P$18,J19)*POWER(Upgrades!$P$19,K19)*POWER(Upgrades!$P$20,L19)*POWER(Upgrades!$P$21,M19))*(IF(Upgrades!$T$13="Local Bubble",POWER(Upgrades!$U$13,E19),1)*IF(Upgrades!$T$15="Local Bubble",POWER(Upgrades!$U$15,G19),1)*IF(Upgrades!$T$16="Local Bubble",POWER(Upgrades!$U$16,H19),1)*IF(Upgrades!$T$17="Local Bubble",POWER(Upgrades!$U$17,I19),1)*IF(Upgrades!$T$18="Local Bubble",POWER(Upgrades!$U$18,J19),1)*IF(Upgrades!$T$19="Local Bubble",POWER(Upgrades!$U$19,K19),1)*IF(Upgrades!$T$20="Local Bubble",POWER(Upgrades!$U$20,L19),1)*IF(Upgrades!$T$21="Local Bubble",POWER(Upgrades!$U$21,M19),1))*$F$6/AL19,0)</f>
        <v/>
      </c>
      <c r="BA19" s="32">
        <f>IFERROR(Upgrades!$K$15*(POWER(Upgrades!$Q$13,E19)*POWER(Upgrades!$Q$14,F19)*POWER(Upgrades!$Q$15,G19)*POWER(Upgrades!$Q$16,H19)*POWER(Upgrades!$Q$17,I19)*POWER(Upgrades!$Q$18,J19)*POWER(Upgrades!$Q$19,K19)*POWER(Upgrades!$Q$20,L19)*POWER(Upgrades!$Q$21,M19))*(IF(Upgrades!$T$13="Microlensing",POWER(Upgrades!$U$13,E19),1)*IF(Upgrades!$T$14="Microlensing",POWER(Upgrades!$U$14,F19),1)*IF(Upgrades!$T$16="Microlensing",POWER(Upgrades!$U$16,H19),1)*IF(Upgrades!$T$17="Microlensing",POWER(Upgrades!$U$17,I19),1)*IF(Upgrades!$T$18="Microlensing",POWER(Upgrades!$U$18,J19),1)*IF(Upgrades!$T$19="Microlensing",POWER(Upgrades!$U$19,K19),1)*IF(Upgrades!$T$20="Microlensing",POWER(Upgrades!$U$20,L19),1)*IF(Upgrades!$T$21="Microlensing",POWER(Upgrades!$U$21,M19),1))*$G$6*(Parameters!$B$10/60*Parameters!$B$11+Q19)/AM19,0)</f>
        <v/>
      </c>
      <c r="BB19" s="32">
        <f>IFERROR((Upgrades!$N$16*(POWER(Upgrades!$R$13,E19)*POWER(Upgrades!$R$14,F19)*POWER(Upgrades!$R$15,G19)*POWER(Upgrades!$R$16,H19)*POWER(Upgrades!$R$17,I19)*POWER(Upgrades!$R$18,J19)*POWER(Upgrades!$R$19,K19)*POWER(Upgrades!$R$20,L19)*POWER(Upgrades!$R$21,M19))*(IF(Upgrades!$T$13="Roche Lobe Overflow",POWER(Upgrades!$U$13,E19),1)*IF(Upgrades!$T$14="Roche Lobe Overflow",POWER(Upgrades!$U$14,F19),1)*IF(Upgrades!$T$15="Roche Lobe Overflow",POWER(Upgrades!$U$15,G19),1)*IF(Upgrades!$T$17="Roche Lobe Overflow",POWER(Upgrades!$U$17,I19),1)*IF(Upgrades!$T$18="Roche Lobe Overflow",POWER(Upgrades!$U$18,J19),1)*IF(Upgrades!$T$19="Roche Lobe Overflow",POWER(Upgrades!$U$19,K19),1)*IF(Upgrades!$T$20="Roche Lobe Overflow",POWER(Upgrades!$U$20,L19),1)*IF(Upgrades!$T$21="Roche Lobe Overflow",POWER(Upgrades!$U$21,M19),1))*$H$6*O19+((IF(F19=0,0,(Upgrades!$G$14+F19*Upgrades!$H$14)*POWER(Upgrades!$I$14,F19)))*(IF(Upgrades!$T$13="Local Bubble",POWER(Upgrades!$U$13,E19),1)*IF(Upgrades!$T$15="Local Bubble",POWER(Upgrades!$U$15,G19),1)*IF(Upgrades!$T$16="Local Bubble",POWER(Upgrades!$U$16,H19),1)*IF(Upgrades!$T$17="Local Bubble",POWER(Upgrades!$U$17,I19),1)*IF(Upgrades!$T$18="Local Bubble",POWER(Upgrades!$U$18,J19),1)*IF(Upgrades!$T$19="Local Bubble",POWER(Upgrades!$U$19,K19),1)*IF(Upgrades!$T$20="Local Bubble",POWER(Upgrades!$U$20,L19),1)*IF(Upgrades!$T$21="Local Bubble",POWER(Upgrades!$U$21,M19),1))*POWER(Upgrades!$P$13,E19)*POWER(Upgrades!$P$14,F19)*POWER(Upgrades!$P$15,G19)*POWER(Upgrades!$P$16,H19)*POWER(Upgrades!$P$17,I19)*POWER(Upgrades!$P$18,J19)*POWER(Upgrades!$P$19,K19)*POWER(Upgrades!$P$20,L19)*POWER(Upgrades!$P$21,M19)*$F$6)*0.05)/AN19,0)</f>
        <v/>
      </c>
      <c r="BC19" s="32">
        <f>IFERROR((Upgrades!$H$17*(POWER(Upgrades!$P$13,E19)*POWER(Upgrades!$P$14,F19)*POWER(Upgrades!$P$15,G19)*POWER(Upgrades!$P$16,H19)*POWER(Upgrades!$P$17,I19)*POWER(Upgrades!$P$18,J19)*POWER(Upgrades!$P$19,K19)*POWER(Upgrades!$P$20,L19)*POWER(Upgrades!$P$21,M19))*(IF(Upgrades!$T$13="Brown Dwarf",POWER(Upgrades!$U$13,E19),1)*IF(Upgrades!$T$14="Brown Dwarf",POWER(Upgrades!$U$14,F19),1)*IF(Upgrades!$T$15="Brown Dwarf",POWER(Upgrades!$U$15,G19),1)*IF(Upgrades!$T$16="Brown Dwarf",POWER(Upgrades!$U$16,H19),1)*IF(Upgrades!$T$18="Brown Dwarf",POWER(Upgrades!$U$18,J19),1)*IF(Upgrades!$T$19="Brown Dwarf",POWER(Upgrades!$U$19,K19),1)*IF(Upgrades!$T$20="Brown Dwarf",POWER(Upgrades!$U$20,L19),1)*IF(Upgrades!$T$21="Brown Dwarf",POWER(Upgrades!$U$21,M19),1))*$F$6+(((IF(H19=0,0,(Upgrades!$M$16+H19*Upgrades!$N$16)*POWER(Upgrades!$O$16,H19)))*(IF(Upgrades!$T$13="Roche Lobe Overflow",POWER(Upgrades!$U$13,E19),1)*IF(Upgrades!$T$14="Roche Lobe Overflow",POWER(Upgrades!$U$14,F19),1)*IF(Upgrades!$T$15="Roche Lobe Overflow",POWER(Upgrades!$U$15,G19),1)*IF(Upgrades!$T$17="Roche Lobe Overflow",POWER(Upgrades!$U$17,I19),1)*IF(Upgrades!$T$18="Roche Lobe Overflow",POWER(Upgrades!$U$18,J19),1)*IF(Upgrades!$T$19="Roche Lobe Overflow",POWER(Upgrades!$U$19,K19),1)*IF(Upgrades!$T$20="Roche Lobe Overflow",POWER(Upgrades!$U$20,L19),1)*IF(Upgrades!$T$21="Roche Lobe Overflow",POWER(Upgrades!$U$21,M19),1))*POWER(Upgrades!$R$13,E19)*POWER(Upgrades!$R$14,F19)*POWER(Upgrades!$R$15,G19)*POWER(Upgrades!$R$16,H19)*POWER(Upgrades!$R$17,I19)*POWER(Upgrades!$R$18,J19)*POWER(Upgrades!$R$19,K19)*POWER(Upgrades!$R$20,L19)*POWER(Upgrades!$R$21,M19)*$H$6)*O19)*0.10)/AO19,0)</f>
        <v/>
      </c>
      <c r="BD19" s="32">
        <f>MAX(IF(J19&gt;0,0,IFERROR(0.5*((IF(G19=0,0,(Upgrades!$J$15+G19*Upgrades!$K$15)*POWER(Upgrades!$L$15,G19)))*(IF(Upgrades!$T$13="Microlensing",POWER(Upgrades!$U$13,E19),1)*IF(Upgrades!$T$14="Microlensing",POWER(Upgrades!$U$14,F19),1)*IF(Upgrades!$T$16="Microlensing",POWER(Upgrades!$U$16,H19),1)*IF(Upgrades!$T$17="Microlensing",POWER(Upgrades!$U$17,I19),1)*IF(Upgrades!$T$18="Microlensing",POWER(Upgrades!$U$18,J19),1)*IF(Upgrades!$T$19="Microlensing",POWER(Upgrades!$U$19,K19),1)*IF(Upgrades!$T$20="Microlensing",POWER(Upgrades!$U$20,L19),1)*IF(Upgrades!$T$21="Microlensing",POWER(Upgrades!$U$21,M19),1))*(POWER(Upgrades!$Q$13,E19)*POWER(Upgrades!$Q$14,F19)*POWER(Upgrades!$Q$15,G19)*POWER(Upgrades!$Q$16,H19)*POWER(Upgrades!$Q$17,I19)*POWER(Upgrades!$Q$18,J19)*POWER(Upgrades!$Q$19,K19)*POWER(Upgrades!$Q$20,L19)*POWER(Upgrades!$Q$21,M19))*$G$6*(Parameters!$B$10/60*Parameters!$B$11+Q19))/Upgrades!$C$18,0)),IF(K19&gt;0,0,IFERROR(0.30*P19/Upgrades!$C$19,0)),IF(L19&gt;0,0,IFERROR(0.0001/Upgrades!$C$20,0)),IF(M19&gt;0,0,IFERROR((6.0*(POWER(Upgrades!$P$13,E19)*POWER(Upgrades!$P$14,F19)*POWER(Upgrades!$P$15,G19)*POWER(Upgrades!$P$16,H19)*POWER(Upgrades!$P$17,I19)*POWER(Upgrades!$P$18,J19)*POWER(Upgrades!$P$19,K19)*POWER(Upgrades!$P$20,L19)*POWER(Upgrades!$P$21,M19))*$F$6+0.20*O19*(Parameters!$B$10/60*Parameters!$B$11+Q19))/Upgrades!$C$21,0)),IF(AND(ISNUMBER(AK19),AK19&gt;(C19+T19)),AY19,0),IF(AND(ISNUMBER(AL19),AL19&gt;(C19+T19)),AZ19,0),IF(AND(ISNUMBER(AM19),AM19&gt;(C19+T19)),BA19,0),IF(AND(ISNUMBER(AN19),AN19&gt;(C19+T19)),BB19,0),IF(AND(ISNUMBER(AO19),AO19&gt;(C19+T19)),BC19,0))</f>
        <v/>
      </c>
      <c r="BE19" s="29">
        <f>IF(AT19=1,"transition",IF(MIN(IF(AND(J19=0,ISNUMBER(AP19),AP19&lt;=(C19+T19)),AP19,9E15),IF(AND(K19=0,ISNUMBER(AQ19),AQ19&lt;=(C19+T19)),AQ19,9E15),IF(AND(L19=0,ISNUMBER(AR19),AR19&lt;=(C19+T19)),AR19,9E15),IF(AND(M19=0,ISNUMBER(AS19),AS19&lt;=(C19+T19)),AS19,9E15))&lt;9E15,IF(AND(AND(J19=0,ISNUMBER(AP19),AP19&lt;=(C19+T19)),AP19=MIN(IF(AND(J19=0,ISNUMBER(AP19),AP19&lt;=(C19+T19)),AP19,9E15),IF(AND(K19=0,ISNUMBER(AQ19),AQ19&lt;=(C19+T19)),AQ19,9E15),IF(AND(L19=0,ISNUMBER(AR19),AR19&lt;=(C19+T19)),AR19,9E15),IF(AND(M19=0,ISNUMBER(AS19),AS19&lt;=(C19+T19)),AS19,9E15))),"BiP",IF(AND(AND(K19=0,ISNUMBER(AQ19),AQ19&lt;=(C19+T19)),AQ19=MIN(IF(AND(J19=0,ISNUMBER(AP19),AP19&lt;=(C19+T19)),AP19,9E15),IF(AND(K19=0,ISNUMBER(AQ19),AQ19&lt;=(C19+T19)),AQ19,9E15),IF(AND(L19=0,ISNUMBER(AR19),AR19&lt;=(C19+T19)),AR19,9E15),IF(AND(M19=0,ISNUMBER(AS19),AS19&lt;=(C19+T19)),AS19,9E15))),"PV",IF(AND(AND(L19=0,ISNUMBER(AR19),AR19&lt;=(C19+T19)),AR19=MIN(IF(AND(J19=0,ISNUMBER(AP19),AP19&lt;=(C19+T19)),AP19,9E15),IF(AND(K19=0,ISNUMBER(AQ19),AQ19&lt;=(C19+T19)),AQ19,9E15),IF(AND(L19=0,ISNUMBER(AR19),AR19&lt;=(C19+T19)),AR19,9E15),IF(AND(M19=0,ISNUMBER(AS19),AS19&lt;=(C19+T19)),AS19,9E15))),"OC","MG"))),IF(AX19=TRUE,"",IF(MAX(IF(AND(NOT(AND(AU19=1,AT19&lt;&gt;1)),ISNUMBER(AK19),AK19&lt;=(C19+T19)),AY19,0),IF(AND(NOT(AND(AU19=1,AT19&lt;&gt;1)),ISNUMBER(AL19),AL19&lt;=(C19+T19)),AZ19,0),IF(AND(NOT(AND(AU19=1,AT19&lt;&gt;1)),ISNUMBER(AM19),AM19&lt;=(C19+T19)),BA19,0),IF(AND(NOT(AND(AU19=1,AT19&lt;&gt;1)),ISNUMBER(AN19),AN19&lt;=(C19+T19)),BB19,0),IF(AND(ISNUMBER(AO19),AO19&lt;=(C19+T19)),BC19,0))&lt;=0,"",IF(AND(IF(AND(NOT(AND(AU19=1,AT19&lt;&gt;1)),ISNUMBER(AK19),AK19&lt;=(C19+T19)),AY19,0)&gt;0,IF(AND(NOT(AND(AU19=1,AT19&lt;&gt;1)),ISNUMBER(AK19),AK19&lt;=(C19+T19)),AY19,0)=MAX(IF(AND(NOT(AND(AU19=1,AT19&lt;&gt;1)),ISNUMBER(AK19),AK19&lt;=(C19+T19)),AY19,0),IF(AND(NOT(AND(AU19=1,AT19&lt;&gt;1)),ISNUMBER(AL19),AL19&lt;=(C19+T19)),AZ19,0),IF(AND(NOT(AND(AU19=1,AT19&lt;&gt;1)),ISNUMBER(AM19),AM19&lt;=(C19+T19)),BA19,0),IF(AND(NOT(AND(AU19=1,AT19&lt;&gt;1)),ISNUMBER(AN19),AN19&lt;=(C19+T19)),BB19,0),IF(AND(ISNUMBER(AO19),AO19&lt;=(C19+T19)),BC19,0))),"SK",IF(AND(IF(AND(NOT(AND(AU19=1,AT19&lt;&gt;1)),ISNUMBER(AL19),AL19&lt;=(C19+T19)),AZ19,0)&gt;0,IF(AND(NOT(AND(AU19=1,AT19&lt;&gt;1)),ISNUMBER(AL19),AL19&lt;=(C19+T19)),AZ19,0)=MAX(IF(AND(NOT(AND(AU19=1,AT19&lt;&gt;1)),ISNUMBER(AK19),AK19&lt;=(C19+T19)),AY19,0),IF(AND(NOT(AND(AU19=1,AT19&lt;&gt;1)),ISNUMBER(AL19),AL19&lt;=(C19+T19)),AZ19,0),IF(AND(NOT(AND(AU19=1,AT19&lt;&gt;1)),ISNUMBER(AM19),AM19&lt;=(C19+T19)),BA19,0),IF(AND(NOT(AND(AU19=1,AT19&lt;&gt;1)),ISNUMBER(AN19),AN19&lt;=(C19+T19)),BB19,0),IF(AND(ISNUMBER(AO19),AO19&lt;=(C19+T19)),BC19,0))),"LB",IF(AND(IF(AND(NOT(AND(AU19=1,AT19&lt;&gt;1)),ISNUMBER(AM19),AM19&lt;=(C19+T19)),BA19,0)&gt;0,IF(AND(NOT(AND(AU19=1,AT19&lt;&gt;1)),ISNUMBER(AM19),AM19&lt;=(C19+T19)),BA19,0)=MAX(IF(AND(NOT(AND(AU19=1,AT19&lt;&gt;1)),ISNUMBER(AK19),AK19&lt;=(C19+T19)),AY19,0),IF(AND(NOT(AND(AU19=1,AT19&lt;&gt;1)),ISNUMBER(AL19),AL19&lt;=(C19+T19)),AZ19,0),IF(AND(NOT(AND(AU19=1,AT19&lt;&gt;1)),ISNUMBER(AM19),AM19&lt;=(C19+T19)),BA19,0),IF(AND(NOT(AND(AU19=1,AT19&lt;&gt;1)),ISNUMBER(AN19),AN19&lt;=(C19+T19)),BB19,0),IF(AND(ISNUMBER(AO19),AO19&lt;=(C19+T19)),BC19,0))),"ML",IF(AND(IF(AND(NOT(AND(AU19=1,AT19&lt;&gt;1)),ISNUMBER(AN19),AN19&lt;=(C19+T19)),BB19,0)&gt;0,IF(AND(NOT(AND(AU19=1,AT19&lt;&gt;1)),ISNUMBER(AN19),AN19&lt;=(C19+T19)),BB19,0)=MAX(IF(AND(NOT(AND(AU19=1,AT19&lt;&gt;1)),ISNUMBER(AK19),AK19&lt;=(C19+T19)),AY19,0),IF(AND(NOT(AND(AU19=1,AT19&lt;&gt;1)),ISNUMBER(AL19),AL19&lt;=(C19+T19)),AZ19,0),IF(AND(NOT(AND(AU19=1,AT19&lt;&gt;1)),ISNUMBER(AM19),AM19&lt;=(C19+T19)),BA19,0),IF(AND(NOT(AND(AU19=1,AT19&lt;&gt;1)),ISNUMBER(AN19),AN19&lt;=(C19+T19)),BB19,0),IF(AND(ISNUMBER(AO19),AO19&lt;=(C19+T19)),BC19,0))),"RLO","BD"))))))))</f>
        <v/>
      </c>
    </row>
    <row r="20">
      <c r="A20" s="26" t="n">
        <v>9</v>
      </c>
      <c r="B20" s="27">
        <f>A20*10/60</f>
        <v/>
      </c>
      <c r="C20" s="22">
        <f>X19</f>
        <v/>
      </c>
      <c r="D20" s="27">
        <f>D19+W19</f>
        <v/>
      </c>
      <c r="E20" s="26">
        <f>E19+IF(U19="SK",1,0)</f>
        <v/>
      </c>
      <c r="F20" s="26">
        <f>F19+IF(U19="LB",1,0)</f>
        <v/>
      </c>
      <c r="G20" s="26">
        <f>G19+IF(U19="ML",1,0)</f>
        <v/>
      </c>
      <c r="H20" s="26">
        <f>H19+IF(U19="RLO",1,0)</f>
        <v/>
      </c>
      <c r="I20" s="26">
        <f>I19+IF(U19="BD",1,0)</f>
        <v/>
      </c>
      <c r="J20" s="26">
        <f>MAX(J19,IF(U19="BiP",1,0))</f>
        <v/>
      </c>
      <c r="K20" s="26">
        <f>MAX(K19,IF(U19="PV",1,0))</f>
        <v/>
      </c>
      <c r="L20" s="26">
        <f>MAX(L19,IF(U19="OC",1,0))</f>
        <v/>
      </c>
      <c r="M20" s="26">
        <f>MAX(M19,IF(U19="MG",1,0))</f>
        <v/>
      </c>
      <c r="N20" s="26">
        <f>MAX(N19,IF(U19="transition",1,0))</f>
        <v/>
      </c>
      <c r="O20" s="28">
        <f>(Parameters!$B$9+(IF(E20=0,0,(Upgrades!$J$13+E20*Upgrades!$K$13)*POWER(Upgrades!$L$13,E20)))*(IF(Upgrades!$T$14="Stellar Kinematics",POWER(Upgrades!$U$14,F20),1)*IF(Upgrades!$T$15="Stellar Kinematics",POWER(Upgrades!$U$15,G20),1)*IF(Upgrades!$T$16="Stellar Kinematics",POWER(Upgrades!$U$16,H20),1)*IF(Upgrades!$T$17="Stellar Kinematics",POWER(Upgrades!$U$17,I20),1)*IF(Upgrades!$T$18="Stellar Kinematics",POWER(Upgrades!$U$18,J20),1)*IF(Upgrades!$T$19="Stellar Kinematics",POWER(Upgrades!$U$19,K20),1)*IF(Upgrades!$T$20="Stellar Kinematics",POWER(Upgrades!$U$20,L20),1)*IF(Upgrades!$T$21="Stellar Kinematics",POWER(Upgrades!$U$21,M20),1))+(IF(F20=0,0,(Upgrades!$J$14+F20*Upgrades!$K$14)*POWER(Upgrades!$L$14,F20)))*(IF(Upgrades!$T$13="Local Bubble",POWER(Upgrades!$U$13,E20),1)*IF(Upgrades!$T$15="Local Bubble",POWER(Upgrades!$U$15,G20),1)*IF(Upgrades!$T$16="Local Bubble",POWER(Upgrades!$U$16,H20),1)*IF(Upgrades!$T$17="Local Bubble",POWER(Upgrades!$U$17,I20),1)*IF(Upgrades!$T$18="Local Bubble",POWER(Upgrades!$U$18,J20),1)*IF(Upgrades!$T$19="Local Bubble",POWER(Upgrades!$U$19,K20),1)*IF(Upgrades!$T$20="Local Bubble",POWER(Upgrades!$U$20,L20),1)*IF(Upgrades!$T$21="Local Bubble",POWER(Upgrades!$U$21,M20),1))+(IF(G20=0,0,(Upgrades!$J$15+G20*Upgrades!$K$15)*POWER(Upgrades!$L$15,G20)))*(IF(Upgrades!$T$13="Microlensing",POWER(Upgrades!$U$13,E20),1)*IF(Upgrades!$T$14="Microlensing",POWER(Upgrades!$U$14,F20),1)*IF(Upgrades!$T$16="Microlensing",POWER(Upgrades!$U$16,H20),1)*IF(Upgrades!$T$17="Microlensing",POWER(Upgrades!$U$17,I20),1)*IF(Upgrades!$T$18="Microlensing",POWER(Upgrades!$U$18,J20),1)*IF(Upgrades!$T$19="Microlensing",POWER(Upgrades!$U$19,K20),1)*IF(Upgrades!$T$20="Microlensing",POWER(Upgrades!$U$20,L20),1)*IF(Upgrades!$T$21="Microlensing",POWER(Upgrades!$U$21,M20),1))+(IF(H20=0,0,(Upgrades!$J$16+H20*Upgrades!$K$16)*POWER(Upgrades!$L$16,H20)))*(IF(Upgrades!$T$13="Roche Lobe Overflow",POWER(Upgrades!$U$13,E20),1)*IF(Upgrades!$T$14="Roche Lobe Overflow",POWER(Upgrades!$U$14,F20),1)*IF(Upgrades!$T$15="Roche Lobe Overflow",POWER(Upgrades!$U$15,G20),1)*IF(Upgrades!$T$17="Roche Lobe Overflow",POWER(Upgrades!$U$17,I20),1)*IF(Upgrades!$T$18="Roche Lobe Overflow",POWER(Upgrades!$U$18,J20),1)*IF(Upgrades!$T$19="Roche Lobe Overflow",POWER(Upgrades!$U$19,K20),1)*IF(Upgrades!$T$20="Roche Lobe Overflow",POWER(Upgrades!$U$20,L20),1)*IF(Upgrades!$T$21="Roche Lobe Overflow",POWER(Upgrades!$U$21,M20),1))+(IF(I20=0,0,(Upgrades!$J$17+I20*Upgrades!$K$17)*POWER(Upgrades!$L$17,I20)))*(IF(Upgrades!$T$13="Brown Dwarf",POWER(Upgrades!$U$13,E20),1)*IF(Upgrades!$T$14="Brown Dwarf",POWER(Upgrades!$U$14,F20),1)*IF(Upgrades!$T$15="Brown Dwarf",POWER(Upgrades!$U$15,G20),1)*IF(Upgrades!$T$16="Brown Dwarf",POWER(Upgrades!$U$16,H20),1)*IF(Upgrades!$T$18="Brown Dwarf",POWER(Upgrades!$U$18,J20),1)*IF(Upgrades!$T$19="Brown Dwarf",POWER(Upgrades!$U$19,K20),1)*IF(Upgrades!$T$20="Brown Dwarf",POWER(Upgrades!$U$20,L20),1)*IF(Upgrades!$T$21="Brown Dwarf",POWER(Upgrades!$U$21,M20),1))+(IF(J20=0,0,(Upgrades!$J$18+J20*Upgrades!$K$18)*POWER(Upgrades!$L$18,J20)))*(IF(Upgrades!$T$13="Binary Partner",POWER(Upgrades!$U$13,E20),1)*IF(Upgrades!$T$14="Binary Partner",POWER(Upgrades!$U$14,F20),1)*IF(Upgrades!$T$15="Binary Partner",POWER(Upgrades!$U$15,G20),1)*IF(Upgrades!$T$16="Binary Partner",POWER(Upgrades!$U$16,H20),1)*IF(Upgrades!$T$17="Binary Partner",POWER(Upgrades!$U$17,I20),1)*IF(Upgrades!$T$19="Binary Partner",POWER(Upgrades!$U$19,K20),1)*IF(Upgrades!$T$20="Binary Partner",POWER(Upgrades!$U$20,L20),1)*IF(Upgrades!$T$21="Binary Partner",POWER(Upgrades!$U$21,M20),1))+(IF(K20=0,0,(Upgrades!$J$19+K20*Upgrades!$K$19)*POWER(Upgrades!$L$19,K20)))*(IF(Upgrades!$T$13="Peculiar Velocity",POWER(Upgrades!$U$13,E20),1)*IF(Upgrades!$T$14="Peculiar Velocity",POWER(Upgrades!$U$14,F20),1)*IF(Upgrades!$T$15="Peculiar Velocity",POWER(Upgrades!$U$15,G20),1)*IF(Upgrades!$T$16="Peculiar Velocity",POWER(Upgrades!$U$16,H20),1)*IF(Upgrades!$T$17="Peculiar Velocity",POWER(Upgrades!$U$17,I20),1)*IF(Upgrades!$T$18="Peculiar Velocity",POWER(Upgrades!$U$18,J20),1)*IF(Upgrades!$T$20="Peculiar Velocity",POWER(Upgrades!$U$20,L20),1)*IF(Upgrades!$T$21="Peculiar Velocity",POWER(Upgrades!$U$21,M20),1))+(IF(L20=0,0,(Upgrades!$J$20+L20*Upgrades!$K$20)*POWER(Upgrades!$L$20,L20)))*(IF(Upgrades!$T$13="Open Cluster",POWER(Upgrades!$U$13,E20),1)*IF(Upgrades!$T$14="Open Cluster",POWER(Upgrades!$U$14,F20),1)*IF(Upgrades!$T$15="Open Cluster",POWER(Upgrades!$U$15,G20),1)*IF(Upgrades!$T$16="Open Cluster",POWER(Upgrades!$U$16,H20),1)*IF(Upgrades!$T$17="Open Cluster",POWER(Upgrades!$U$17,I20),1)*IF(Upgrades!$T$18="Open Cluster",POWER(Upgrades!$U$18,J20),1)*IF(Upgrades!$T$19="Open Cluster",POWER(Upgrades!$U$19,K20),1)*IF(Upgrades!$T$21="Open Cluster",POWER(Upgrades!$U$21,M20),1))+(IF(M20=0,0,(Upgrades!$J$21+M20*Upgrades!$K$21)*POWER(Upgrades!$L$21,M20)))*(IF(Upgrades!$T$13="Moving Group",POWER(Upgrades!$U$13,E20),1)*IF(Upgrades!$T$14="Moving Group",POWER(Upgrades!$U$14,F20),1)*IF(Upgrades!$T$15="Moving Group",POWER(Upgrades!$U$15,G20),1)*IF(Upgrades!$T$16="Moving Group",POWER(Upgrades!$U$16,H20),1)*IF(Upgrades!$T$17="Moving Group",POWER(Upgrades!$U$17,I20),1)*IF(Upgrades!$T$18="Moving Group",POWER(Upgrades!$U$18,J20),1)*IF(Upgrades!$T$19="Moving Group",POWER(Upgrades!$U$19,K20),1)*IF(Upgrades!$T$20="Moving Group",POWER(Upgrades!$U$20,L20),1)))*POWER(Upgrades!$Q$13,E20)*POWER(Upgrades!$Q$14,F20)*POWER(Upgrades!$Q$15,G20)*POWER(Upgrades!$Q$16,H20)*POWER(Upgrades!$Q$17,I20)*POWER(Upgrades!$Q$18,J20)*POWER(Upgrades!$Q$19,K20)*POWER(Upgrades!$Q$20,L20)*POWER(Upgrades!$Q$21,M20)*$G$6+$D$6</f>
        <v/>
      </c>
      <c r="P20" s="28">
        <f>((IF(E20=0,0,(Upgrades!$G$13+E20*Upgrades!$H$13)*POWER(Upgrades!$I$13,E20)))*(IF(Upgrades!$T$14="Stellar Kinematics",POWER(Upgrades!$U$14,F20),1)*IF(Upgrades!$T$15="Stellar Kinematics",POWER(Upgrades!$U$15,G20),1)*IF(Upgrades!$T$16="Stellar Kinematics",POWER(Upgrades!$U$16,H20),1)*IF(Upgrades!$T$17="Stellar Kinematics",POWER(Upgrades!$U$17,I20),1)*IF(Upgrades!$T$18="Stellar Kinematics",POWER(Upgrades!$U$18,J20),1)*IF(Upgrades!$T$19="Stellar Kinematics",POWER(Upgrades!$U$19,K20),1)*IF(Upgrades!$T$20="Stellar Kinematics",POWER(Upgrades!$U$20,L20),1)*IF(Upgrades!$T$21="Stellar Kinematics",POWER(Upgrades!$U$21,M20),1))+(IF(F20=0,0,(Upgrades!$G$14+F20*Upgrades!$H$14)*POWER(Upgrades!$I$14,F20)))*(IF(Upgrades!$T$13="Local Bubble",POWER(Upgrades!$U$13,E20),1)*IF(Upgrades!$T$15="Local Bubble",POWER(Upgrades!$U$15,G20),1)*IF(Upgrades!$T$16="Local Bubble",POWER(Upgrades!$U$16,H20),1)*IF(Upgrades!$T$17="Local Bubble",POWER(Upgrades!$U$17,I20),1)*IF(Upgrades!$T$18="Local Bubble",POWER(Upgrades!$U$18,J20),1)*IF(Upgrades!$T$19="Local Bubble",POWER(Upgrades!$U$19,K20),1)*IF(Upgrades!$T$20="Local Bubble",POWER(Upgrades!$U$20,L20),1)*IF(Upgrades!$T$21="Local Bubble",POWER(Upgrades!$U$21,M20),1))+(IF(G20=0,0,(Upgrades!$G$15+G20*Upgrades!$H$15)*POWER(Upgrades!$I$15,G20)))*(IF(Upgrades!$T$13="Microlensing",POWER(Upgrades!$U$13,E20),1)*IF(Upgrades!$T$14="Microlensing",POWER(Upgrades!$U$14,F20),1)*IF(Upgrades!$T$16="Microlensing",POWER(Upgrades!$U$16,H20),1)*IF(Upgrades!$T$17="Microlensing",POWER(Upgrades!$U$17,I20),1)*IF(Upgrades!$T$18="Microlensing",POWER(Upgrades!$U$18,J20),1)*IF(Upgrades!$T$19="Microlensing",POWER(Upgrades!$U$19,K20),1)*IF(Upgrades!$T$20="Microlensing",POWER(Upgrades!$U$20,L20),1)*IF(Upgrades!$T$21="Microlensing",POWER(Upgrades!$U$21,M20),1))+(IF(H20=0,0,(Upgrades!$G$16+H20*Upgrades!$H$16)*POWER(Upgrades!$I$16,H20)))*(IF(Upgrades!$T$13="Roche Lobe Overflow",POWER(Upgrades!$U$13,E20),1)*IF(Upgrades!$T$14="Roche Lobe Overflow",POWER(Upgrades!$U$14,F20),1)*IF(Upgrades!$T$15="Roche Lobe Overflow",POWER(Upgrades!$U$15,G20),1)*IF(Upgrades!$T$17="Roche Lobe Overflow",POWER(Upgrades!$U$17,I20),1)*IF(Upgrades!$T$18="Roche Lobe Overflow",POWER(Upgrades!$U$18,J20),1)*IF(Upgrades!$T$19="Roche Lobe Overflow",POWER(Upgrades!$U$19,K20),1)*IF(Upgrades!$T$20="Roche Lobe Overflow",POWER(Upgrades!$U$20,L20),1)*IF(Upgrades!$T$21="Roche Lobe Overflow",POWER(Upgrades!$U$21,M20),1))+(IF(I20=0,0,(Upgrades!$G$17+I20*Upgrades!$H$17)*POWER(Upgrades!$I$17,I20)))*(IF(Upgrades!$T$13="Brown Dwarf",POWER(Upgrades!$U$13,E20),1)*IF(Upgrades!$T$14="Brown Dwarf",POWER(Upgrades!$U$14,F20),1)*IF(Upgrades!$T$15="Brown Dwarf",POWER(Upgrades!$U$15,G20),1)*IF(Upgrades!$T$16="Brown Dwarf",POWER(Upgrades!$U$16,H20),1)*IF(Upgrades!$T$18="Brown Dwarf",POWER(Upgrades!$U$18,J20),1)*IF(Upgrades!$T$19="Brown Dwarf",POWER(Upgrades!$U$19,K20),1)*IF(Upgrades!$T$20="Brown Dwarf",POWER(Upgrades!$U$20,L20),1)*IF(Upgrades!$T$21="Brown Dwarf",POWER(Upgrades!$U$21,M20),1))+(IF(J20=0,0,(Upgrades!$G$18+J20*Upgrades!$H$18)*POWER(Upgrades!$I$18,J20)))*(IF(Upgrades!$T$13="Binary Partner",POWER(Upgrades!$U$13,E20),1)*IF(Upgrades!$T$14="Binary Partner",POWER(Upgrades!$U$14,F20),1)*IF(Upgrades!$T$15="Binary Partner",POWER(Upgrades!$U$15,G20),1)*IF(Upgrades!$T$16="Binary Partner",POWER(Upgrades!$U$16,H20),1)*IF(Upgrades!$T$17="Binary Partner",POWER(Upgrades!$U$17,I20),1)*IF(Upgrades!$T$19="Binary Partner",POWER(Upgrades!$U$19,K20),1)*IF(Upgrades!$T$20="Binary Partner",POWER(Upgrades!$U$20,L20),1)*IF(Upgrades!$T$21="Binary Partner",POWER(Upgrades!$U$21,M20),1))+(IF(K20=0,0,(Upgrades!$G$19+K20*Upgrades!$H$19)*POWER(Upgrades!$I$19,K20)))*(IF(Upgrades!$T$13="Peculiar Velocity",POWER(Upgrades!$U$13,E20),1)*IF(Upgrades!$T$14="Peculiar Velocity",POWER(Upgrades!$U$14,F20),1)*IF(Upgrades!$T$15="Peculiar Velocity",POWER(Upgrades!$U$15,G20),1)*IF(Upgrades!$T$16="Peculiar Velocity",POWER(Upgrades!$U$16,H20),1)*IF(Upgrades!$T$17="Peculiar Velocity",POWER(Upgrades!$U$17,I20),1)*IF(Upgrades!$T$18="Peculiar Velocity",POWER(Upgrades!$U$18,J20),1)*IF(Upgrades!$T$20="Peculiar Velocity",POWER(Upgrades!$U$20,L20),1)*IF(Upgrades!$T$21="Peculiar Velocity",POWER(Upgrades!$U$21,M20),1))+(IF(L20=0,0,(Upgrades!$G$20+L20*Upgrades!$H$20)*POWER(Upgrades!$I$20,L20)))*(IF(Upgrades!$T$13="Open Cluster",POWER(Upgrades!$U$13,E20),1)*IF(Upgrades!$T$14="Open Cluster",POWER(Upgrades!$U$14,F20),1)*IF(Upgrades!$T$15="Open Cluster",POWER(Upgrades!$U$15,G20),1)*IF(Upgrades!$T$16="Open Cluster",POWER(Upgrades!$U$16,H20),1)*IF(Upgrades!$T$17="Open Cluster",POWER(Upgrades!$U$17,I20),1)*IF(Upgrades!$T$18="Open Cluster",POWER(Upgrades!$U$18,J20),1)*IF(Upgrades!$T$19="Open Cluster",POWER(Upgrades!$U$19,K20),1)*IF(Upgrades!$T$21="Open Cluster",POWER(Upgrades!$U$21,M20),1))+(IF(M20=0,0,(Upgrades!$G$21+M20*Upgrades!$H$21)*POWER(Upgrades!$I$21,M20)))*(IF(Upgrades!$T$13="Moving Group",POWER(Upgrades!$U$13,E20),1)*IF(Upgrades!$T$14="Moving Group",POWER(Upgrades!$U$14,F20),1)*IF(Upgrades!$T$15="Moving Group",POWER(Upgrades!$U$15,G20),1)*IF(Upgrades!$T$16="Moving Group",POWER(Upgrades!$U$16,H20),1)*IF(Upgrades!$T$17="Moving Group",POWER(Upgrades!$U$17,I20),1)*IF(Upgrades!$T$18="Moving Group",POWER(Upgrades!$U$18,J20),1)*IF(Upgrades!$T$19="Moving Group",POWER(Upgrades!$U$19,K20),1)*IF(Upgrades!$T$20="Moving Group",POWER(Upgrades!$U$20,L20),1)))*POWER(Upgrades!$P$13,E20)*POWER(Upgrades!$P$14,F20)*POWER(Upgrades!$P$15,G20)*POWER(Upgrades!$P$16,H20)*POWER(Upgrades!$P$17,I20)*POWER(Upgrades!$P$18,J20)*POWER(Upgrades!$P$19,K20)*POWER(Upgrades!$P$20,L20)*POWER(Upgrades!$P$21,M20)*$F$6+$C$6</f>
        <v/>
      </c>
      <c r="Q20" s="28">
        <f>((IF(E20=0,0,(Upgrades!$M$13+E20*Upgrades!$N$13)*POWER(Upgrades!$O$13,E20)))*(IF(Upgrades!$T$14="Stellar Kinematics",POWER(Upgrades!$U$14,F20),1)*IF(Upgrades!$T$15="Stellar Kinematics",POWER(Upgrades!$U$15,G20),1)*IF(Upgrades!$T$16="Stellar Kinematics",POWER(Upgrades!$U$16,H20),1)*IF(Upgrades!$T$17="Stellar Kinematics",POWER(Upgrades!$U$17,I20),1)*IF(Upgrades!$T$18="Stellar Kinematics",POWER(Upgrades!$U$18,J20),1)*IF(Upgrades!$T$19="Stellar Kinematics",POWER(Upgrades!$U$19,K20),1)*IF(Upgrades!$T$20="Stellar Kinematics",POWER(Upgrades!$U$20,L20),1)*IF(Upgrades!$T$21="Stellar Kinematics",POWER(Upgrades!$U$21,M20),1))+(IF(F20=0,0,(Upgrades!$M$14+F20*Upgrades!$N$14)*POWER(Upgrades!$O$14,F20)))*(IF(Upgrades!$T$13="Local Bubble",POWER(Upgrades!$U$13,E20),1)*IF(Upgrades!$T$15="Local Bubble",POWER(Upgrades!$U$15,G20),1)*IF(Upgrades!$T$16="Local Bubble",POWER(Upgrades!$U$16,H20),1)*IF(Upgrades!$T$17="Local Bubble",POWER(Upgrades!$U$17,I20),1)*IF(Upgrades!$T$18="Local Bubble",POWER(Upgrades!$U$18,J20),1)*IF(Upgrades!$T$19="Local Bubble",POWER(Upgrades!$U$19,K20),1)*IF(Upgrades!$T$20="Local Bubble",POWER(Upgrades!$U$20,L20),1)*IF(Upgrades!$T$21="Local Bubble",POWER(Upgrades!$U$21,M20),1))+(IF(G20=0,0,(Upgrades!$M$15+G20*Upgrades!$N$15)*POWER(Upgrades!$O$15,G20)))*(IF(Upgrades!$T$13="Microlensing",POWER(Upgrades!$U$13,E20),1)*IF(Upgrades!$T$14="Microlensing",POWER(Upgrades!$U$14,F20),1)*IF(Upgrades!$T$16="Microlensing",POWER(Upgrades!$U$16,H20),1)*IF(Upgrades!$T$17="Microlensing",POWER(Upgrades!$U$17,I20),1)*IF(Upgrades!$T$18="Microlensing",POWER(Upgrades!$U$18,J20),1)*IF(Upgrades!$T$19="Microlensing",POWER(Upgrades!$U$19,K20),1)*IF(Upgrades!$T$20="Microlensing",POWER(Upgrades!$U$20,L20),1)*IF(Upgrades!$T$21="Microlensing",POWER(Upgrades!$U$21,M20),1))+(IF(H20=0,0,(Upgrades!$M$16+H20*Upgrades!$N$16)*POWER(Upgrades!$O$16,H20)))*(IF(Upgrades!$T$13="Roche Lobe Overflow",POWER(Upgrades!$U$13,E20),1)*IF(Upgrades!$T$14="Roche Lobe Overflow",POWER(Upgrades!$U$14,F20),1)*IF(Upgrades!$T$15="Roche Lobe Overflow",POWER(Upgrades!$U$15,G20),1)*IF(Upgrades!$T$17="Roche Lobe Overflow",POWER(Upgrades!$U$17,I20),1)*IF(Upgrades!$T$18="Roche Lobe Overflow",POWER(Upgrades!$U$18,J20),1)*IF(Upgrades!$T$19="Roche Lobe Overflow",POWER(Upgrades!$U$19,K20),1)*IF(Upgrades!$T$20="Roche Lobe Overflow",POWER(Upgrades!$U$20,L20),1)*IF(Upgrades!$T$21="Roche Lobe Overflow",POWER(Upgrades!$U$21,M20),1))+(IF(I20=0,0,(Upgrades!$M$17+I20*Upgrades!$N$17)*POWER(Upgrades!$O$17,I20)))*(IF(Upgrades!$T$13="Brown Dwarf",POWER(Upgrades!$U$13,E20),1)*IF(Upgrades!$T$14="Brown Dwarf",POWER(Upgrades!$U$14,F20),1)*IF(Upgrades!$T$15="Brown Dwarf",POWER(Upgrades!$U$15,G20),1)*IF(Upgrades!$T$16="Brown Dwarf",POWER(Upgrades!$U$16,H20),1)*IF(Upgrades!$T$18="Brown Dwarf",POWER(Upgrades!$U$18,J20),1)*IF(Upgrades!$T$19="Brown Dwarf",POWER(Upgrades!$U$19,K20),1)*IF(Upgrades!$T$20="Brown Dwarf",POWER(Upgrades!$U$20,L20),1)*IF(Upgrades!$T$21="Brown Dwarf",POWER(Upgrades!$U$21,M20),1))+(IF(J20=0,0,(Upgrades!$M$18+J20*Upgrades!$N$18)*POWER(Upgrades!$O$18,J20)))*(IF(Upgrades!$T$13="Binary Partner",POWER(Upgrades!$U$13,E20),1)*IF(Upgrades!$T$14="Binary Partner",POWER(Upgrades!$U$14,F20),1)*IF(Upgrades!$T$15="Binary Partner",POWER(Upgrades!$U$15,G20),1)*IF(Upgrades!$T$16="Binary Partner",POWER(Upgrades!$U$16,H20),1)*IF(Upgrades!$T$17="Binary Partner",POWER(Upgrades!$U$17,I20),1)*IF(Upgrades!$T$19="Binary Partner",POWER(Upgrades!$U$19,K20),1)*IF(Upgrades!$T$20="Binary Partner",POWER(Upgrades!$U$20,L20),1)*IF(Upgrades!$T$21="Binary Partner",POWER(Upgrades!$U$21,M20),1))+(IF(K20=0,0,(Upgrades!$M$19+K20*Upgrades!$N$19)*POWER(Upgrades!$O$19,K20)))*(IF(Upgrades!$T$13="Peculiar Velocity",POWER(Upgrades!$U$13,E20),1)*IF(Upgrades!$T$14="Peculiar Velocity",POWER(Upgrades!$U$14,F20),1)*IF(Upgrades!$T$15="Peculiar Velocity",POWER(Upgrades!$U$15,G20),1)*IF(Upgrades!$T$16="Peculiar Velocity",POWER(Upgrades!$U$16,H20),1)*IF(Upgrades!$T$17="Peculiar Velocity",POWER(Upgrades!$U$17,I20),1)*IF(Upgrades!$T$18="Peculiar Velocity",POWER(Upgrades!$U$18,J20),1)*IF(Upgrades!$T$20="Peculiar Velocity",POWER(Upgrades!$U$20,L20),1)*IF(Upgrades!$T$21="Peculiar Velocity",POWER(Upgrades!$U$21,M20),1))+(IF(L20=0,0,(Upgrades!$M$20+L20*Upgrades!$N$20)*POWER(Upgrades!$O$20,L20)))*(IF(Upgrades!$T$13="Open Cluster",POWER(Upgrades!$U$13,E20),1)*IF(Upgrades!$T$14="Open Cluster",POWER(Upgrades!$U$14,F20),1)*IF(Upgrades!$T$15="Open Cluster",POWER(Upgrades!$U$15,G20),1)*IF(Upgrades!$T$16="Open Cluster",POWER(Upgrades!$U$16,H20),1)*IF(Upgrades!$T$17="Open Cluster",POWER(Upgrades!$U$17,I20),1)*IF(Upgrades!$T$18="Open Cluster",POWER(Upgrades!$U$18,J20),1)*IF(Upgrades!$T$19="Open Cluster",POWER(Upgrades!$U$19,K20),1)*IF(Upgrades!$T$21="Open Cluster",POWER(Upgrades!$U$21,M20),1))+(IF(M20=0,0,(Upgrades!$M$21+M20*Upgrades!$N$21)*POWER(Upgrades!$O$21,M20)))*(IF(Upgrades!$T$13="Moving Group",POWER(Upgrades!$U$13,E20),1)*IF(Upgrades!$T$14="Moving Group",POWER(Upgrades!$U$14,F20),1)*IF(Upgrades!$T$15="Moving Group",POWER(Upgrades!$U$15,G20),1)*IF(Upgrades!$T$16="Moving Group",POWER(Upgrades!$U$16,H20),1)*IF(Upgrades!$T$17="Moving Group",POWER(Upgrades!$U$17,I20),1)*IF(Upgrades!$T$18="Moving Group",POWER(Upgrades!$U$18,J20),1)*IF(Upgrades!$T$19="Moving Group",POWER(Upgrades!$U$19,K20),1)*IF(Upgrades!$T$20="Moving Group",POWER(Upgrades!$U$20,L20),1)))*POWER(Upgrades!$R$13,E20)*POWER(Upgrades!$R$14,F20)*POWER(Upgrades!$R$15,G20)*POWER(Upgrades!$R$16,H20)*POWER(Upgrades!$R$17,I20)*POWER(Upgrades!$R$18,J20)*POWER(Upgrades!$R$19,K20)*POWER(Upgrades!$R$20,L20)*POWER(Upgrades!$R$21,M20)*$H$6+$E$6</f>
        <v/>
      </c>
      <c r="R20" s="27">
        <f>IF(N20=1,0,O20*Parameters!$B$10/60*Parameters!$B$11*10)</f>
        <v/>
      </c>
      <c r="S20" s="27">
        <f>IF(N20=1,0,Q20*O20*10)</f>
        <v/>
      </c>
      <c r="T20" s="27">
        <f>IF(N20=1,0,R20+S20+P20*10)</f>
        <v/>
      </c>
      <c r="U20" s="33">
        <f>BE20</f>
        <v/>
      </c>
      <c r="V20" s="22">
        <f>IF(U20="",0,IF(U20="transition",0,IF(U20="SK",AK20,IF(U20="LB",AL20,IF(U20="ML",AM20,IF(U20="RLO",AN20,IF(U20="BD",AO20,IF(U20="BiP",AP20,IF(U20="PV",AQ20,IF(U20="OC",AR20,IF(U20="MG",AS20,0))))))))))</f>
        <v/>
      </c>
      <c r="W20" s="27">
        <f>IF(U20="BiP",Upgrades!$F$18,IF(U20="PV",Upgrades!$F$19,IF(U20="OC",Upgrades!$F$20,IF(U20="MG",Upgrades!$F$21,IF(U20="transition",-Parameters!$B$18*Parameters!$B$19,0)))))</f>
        <v/>
      </c>
      <c r="X20" s="22">
        <f>C20+T20-V20</f>
        <v/>
      </c>
      <c r="Y20" s="30">
        <f>O20*Parameters!$B$10/60*Parameters!$B$11+Q20*O20+P20</f>
        <v/>
      </c>
      <c r="Z20" s="34">
        <f>IF(U20="transition","→ Tier 3 (Galactic Arm)",IF(U20="MG","Moving Group — pocket drifts together",IF(U20="OC","Open Cluster acquired",IF(U20="PV","Peculiar Velocity — passive multiplier active",IF(U20="BiP","Binary Partner — pair bond formed",IF(AND(AU20=1,N20=0,AT20&lt;&gt;1),"Cohesion ready (waiting on completionists)","")))))) </f>
        <v/>
      </c>
      <c r="AA20" s="27">
        <f>(IF(E20=0,0,(Upgrades!$G$13+E20*Upgrades!$H$13)*POWER(Upgrades!$I$13,E20)))*(IF(Upgrades!$T$14="Stellar Kinematics",POWER(Upgrades!$U$14,F20),1)*IF(Upgrades!$T$15="Stellar Kinematics",POWER(Upgrades!$U$15,G20),1)*IF(Upgrades!$T$16="Stellar Kinematics",POWER(Upgrades!$U$16,H20),1)*IF(Upgrades!$T$17="Stellar Kinematics",POWER(Upgrades!$U$17,I20),1)*IF(Upgrades!$T$18="Stellar Kinematics",POWER(Upgrades!$U$18,J20),1)*IF(Upgrades!$T$19="Stellar Kinematics",POWER(Upgrades!$U$19,K20),1)*IF(Upgrades!$T$20="Stellar Kinematics",POWER(Upgrades!$U$20,L20),1)*IF(Upgrades!$T$21="Stellar Kinematics",POWER(Upgrades!$U$21,M20),1))*POWER(Upgrades!$P$13,E20)*POWER(Upgrades!$P$14,F20)*POWER(Upgrades!$P$15,G20)*POWER(Upgrades!$P$16,H20)*POWER(Upgrades!$P$17,I20)*POWER(Upgrades!$P$18,J20)*POWER(Upgrades!$P$19,K20)*POWER(Upgrades!$P$20,L20)*POWER(Upgrades!$P$21,M20)*$F$6*60</f>
        <v/>
      </c>
      <c r="AB20" s="27">
        <f>(IF(F20=0,0,(Upgrades!$G$14+F20*Upgrades!$H$14)*POWER(Upgrades!$I$14,F20)))*(IF(Upgrades!$T$13="Local Bubble",POWER(Upgrades!$U$13,E20),1)*IF(Upgrades!$T$15="Local Bubble",POWER(Upgrades!$U$15,G20),1)*IF(Upgrades!$T$16="Local Bubble",POWER(Upgrades!$U$16,H20),1)*IF(Upgrades!$T$17="Local Bubble",POWER(Upgrades!$U$17,I20),1)*IF(Upgrades!$T$18="Local Bubble",POWER(Upgrades!$U$18,J20),1)*IF(Upgrades!$T$19="Local Bubble",POWER(Upgrades!$U$19,K20),1)*IF(Upgrades!$T$20="Local Bubble",POWER(Upgrades!$U$20,L20),1)*IF(Upgrades!$T$21="Local Bubble",POWER(Upgrades!$U$21,M20),1))*POWER(Upgrades!$P$13,E20)*POWER(Upgrades!$P$14,F20)*POWER(Upgrades!$P$15,G20)*POWER(Upgrades!$P$16,H20)*POWER(Upgrades!$P$17,I20)*POWER(Upgrades!$P$18,J20)*POWER(Upgrades!$P$19,K20)*POWER(Upgrades!$P$20,L20)*POWER(Upgrades!$P$21,M20)*$F$6*60</f>
        <v/>
      </c>
      <c r="AC20" s="27">
        <f>(IF(G20=0,0,(Upgrades!$J$15+G20*Upgrades!$K$15)*POWER(Upgrades!$L$15,G20)))*(IF(Upgrades!$T$13="Microlensing",POWER(Upgrades!$U$13,E20),1)*IF(Upgrades!$T$14="Microlensing",POWER(Upgrades!$U$14,F20),1)*IF(Upgrades!$T$16="Microlensing",POWER(Upgrades!$U$16,H20),1)*IF(Upgrades!$T$17="Microlensing",POWER(Upgrades!$U$17,I20),1)*IF(Upgrades!$T$18="Microlensing",POWER(Upgrades!$U$18,J20),1)*IF(Upgrades!$T$19="Microlensing",POWER(Upgrades!$U$19,K20),1)*IF(Upgrades!$T$20="Microlensing",POWER(Upgrades!$U$20,L20),1)*IF(Upgrades!$T$21="Microlensing",POWER(Upgrades!$U$21,M20),1))*POWER(Upgrades!$Q$13,E20)*POWER(Upgrades!$Q$14,F20)*POWER(Upgrades!$Q$15,G20)*POWER(Upgrades!$Q$16,H20)*POWER(Upgrades!$Q$17,I20)*POWER(Upgrades!$Q$18,J20)*POWER(Upgrades!$Q$19,K20)*POWER(Upgrades!$Q$20,L20)*POWER(Upgrades!$Q$21,M20)*$G$6*(Parameters!$B$10*Parameters!$B$11+Q20*60)</f>
        <v/>
      </c>
      <c r="AD20" s="27">
        <f>(IF(H20=0,0,(Upgrades!$M$16+H20*Upgrades!$N$16)*POWER(Upgrades!$O$16,H20)))*(IF(Upgrades!$T$13="Roche Lobe Overflow",POWER(Upgrades!$U$13,E20),1)*IF(Upgrades!$T$14="Roche Lobe Overflow",POWER(Upgrades!$U$14,F20),1)*IF(Upgrades!$T$15="Roche Lobe Overflow",POWER(Upgrades!$U$15,G20),1)*IF(Upgrades!$T$17="Roche Lobe Overflow",POWER(Upgrades!$U$17,I20),1)*IF(Upgrades!$T$18="Roche Lobe Overflow",POWER(Upgrades!$U$18,J20),1)*IF(Upgrades!$T$19="Roche Lobe Overflow",POWER(Upgrades!$U$19,K20),1)*IF(Upgrades!$T$20="Roche Lobe Overflow",POWER(Upgrades!$U$20,L20),1)*IF(Upgrades!$T$21="Roche Lobe Overflow",POWER(Upgrades!$U$21,M20),1))*POWER(Upgrades!$R$13,E20)*POWER(Upgrades!$R$14,F20)*POWER(Upgrades!$R$15,G20)*POWER(Upgrades!$R$16,H20)*POWER(Upgrades!$R$17,I20)*POWER(Upgrades!$R$18,J20)*POWER(Upgrades!$R$19,K20)*POWER(Upgrades!$R$20,L20)*POWER(Upgrades!$R$21,M20)*$H$6*O20*60</f>
        <v/>
      </c>
      <c r="AE20" s="27">
        <f>(IF(I20=0,0,(Upgrades!$G$17+I20*Upgrades!$H$17)*POWER(Upgrades!$I$17,I20)))*(IF(Upgrades!$T$13="Brown Dwarf",POWER(Upgrades!$U$13,E20),1)*IF(Upgrades!$T$14="Brown Dwarf",POWER(Upgrades!$U$14,F20),1)*IF(Upgrades!$T$15="Brown Dwarf",POWER(Upgrades!$U$15,G20),1)*IF(Upgrades!$T$16="Brown Dwarf",POWER(Upgrades!$U$16,H20),1)*IF(Upgrades!$T$18="Brown Dwarf",POWER(Upgrades!$U$18,J20),1)*IF(Upgrades!$T$19="Brown Dwarf",POWER(Upgrades!$U$19,K20),1)*IF(Upgrades!$T$20="Brown Dwarf",POWER(Upgrades!$U$20,L20),1)*IF(Upgrades!$T$21="Brown Dwarf",POWER(Upgrades!$U$21,M20),1))*POWER(Upgrades!$P$13,E20)*POWER(Upgrades!$P$14,F20)*POWER(Upgrades!$P$15,G20)*POWER(Upgrades!$P$16,H20)*POWER(Upgrades!$P$17,I20)*POWER(Upgrades!$P$18,J20)*POWER(Upgrades!$P$19,K20)*POWER(Upgrades!$P$20,L20)*POWER(Upgrades!$P$21,M20)*$F$6*60</f>
        <v/>
      </c>
      <c r="AF20" s="27" t="n">
        <v>0</v>
      </c>
      <c r="AG20" s="27" t="n">
        <v>0</v>
      </c>
      <c r="AH20" s="27" t="n">
        <v>0</v>
      </c>
      <c r="AI20" s="27">
        <f>(IF(M20=0,0,(Upgrades!$G$21+M20*Upgrades!$H$21)*POWER(Upgrades!$I$21,M20)))*(IF(Upgrades!$T$13="Moving Group",POWER(Upgrades!$U$13,E20),1)*IF(Upgrades!$T$14="Moving Group",POWER(Upgrades!$U$14,F20),1)*IF(Upgrades!$T$15="Moving Group",POWER(Upgrades!$U$15,G20),1)*IF(Upgrades!$T$16="Moving Group",POWER(Upgrades!$U$16,H20),1)*IF(Upgrades!$T$17="Moving Group",POWER(Upgrades!$U$17,I20),1)*IF(Upgrades!$T$18="Moving Group",POWER(Upgrades!$U$18,J20),1)*IF(Upgrades!$T$19="Moving Group",POWER(Upgrades!$U$19,K20),1)*IF(Upgrades!$T$20="Moving Group",POWER(Upgrades!$U$20,L20),1))*POWER(Upgrades!$P$13,E20)*POWER(Upgrades!$P$14,F20)*POWER(Upgrades!$P$15,G20)*POWER(Upgrades!$P$16,H20)*POWER(Upgrades!$P$17,I20)*POWER(Upgrades!$P$18,J20)*POWER(Upgrades!$P$19,K20)*POWER(Upgrades!$P$20,L20)*POWER(Upgrades!$P$21,M20)*$F$6*60</f>
        <v/>
      </c>
      <c r="AJ20" s="27">
        <f>$C$6*60</f>
        <v/>
      </c>
      <c r="AK20" s="22">
        <f>IF(E20&gt;=Upgrades!$E$13,"",Upgrades!$C$13*POWER(Upgrades!$D$13,E20))</f>
        <v/>
      </c>
      <c r="AL20" s="22">
        <f>IF(F20&gt;=Upgrades!$E$14,"",Upgrades!$C$14*POWER(Upgrades!$D$14,F20))</f>
        <v/>
      </c>
      <c r="AM20" s="22">
        <f>IF(G20&gt;=Upgrades!$E$15,"",Upgrades!$C$15*POWER(Upgrades!$D$15,G20))</f>
        <v/>
      </c>
      <c r="AN20" s="22">
        <f>IF(H20&gt;=Upgrades!$E$16,"",Upgrades!$C$16*POWER(Upgrades!$D$16,H20))</f>
        <v/>
      </c>
      <c r="AO20" s="22">
        <f>IF(I20&gt;=Upgrades!$E$17,"",Upgrades!$C$17*POWER(Upgrades!$D$17,I20))</f>
        <v/>
      </c>
      <c r="AP20" s="22">
        <f>IF(J20&gt;=Upgrades!$E$18,"",Upgrades!$C$18*POWER(Upgrades!$D$18,J20))</f>
        <v/>
      </c>
      <c r="AQ20" s="22">
        <f>IF(K20&gt;=Upgrades!$E$19,"",Upgrades!$C$19*POWER(Upgrades!$D$19,K20))</f>
        <v/>
      </c>
      <c r="AR20" s="22">
        <f>IF(L20&gt;=Upgrades!$E$20,"",Upgrades!$C$20*POWER(Upgrades!$D$20,L20))</f>
        <v/>
      </c>
      <c r="AS20" s="22">
        <f>IF(M20&gt;=Upgrades!$E$21,"",Upgrades!$C$21*POWER(Upgrades!$D$21,M20))</f>
        <v/>
      </c>
      <c r="AT20" s="26">
        <f>IF(AND(D20&gt;=Parameters!$B$18*Parameters!$B$19,(I20&gt;=Upgrades!$E$17)*(M20&gt;=Upgrades!$E$21)=1,N20=0),1,"")</f>
        <v/>
      </c>
      <c r="AU20" s="26">
        <f>IF(AND(D20&gt;=Parameters!$B$18*Parameters!$B$19,N20=0),1,"")</f>
        <v/>
      </c>
      <c r="AV20" s="22">
        <f>MIN(IF(ISNUMBER(AP20),AP20,9E15),IF(ISNUMBER(AQ20),AQ20,9E15),IF(ISNUMBER(AR20),AR20,9E15),IF(ISNUMBER(AS20),AS20,9E15))</f>
        <v/>
      </c>
      <c r="AW20" s="22">
        <f>MIN(IF(ISNUMBER(AK20),AK20,9E15),IF(ISNUMBER(AL20),AL20,9E15),IF(ISNUMBER(AM20),AM20,9E15),IF(ISNUMBER(AN20),AN20,9E15),IF(ISNUMBER(AO20),AO20,9E15))</f>
        <v/>
      </c>
      <c r="AX20" s="29">
        <f>IF(BD20&gt;Parameters!$B$21*(MAX(IF(AND(NOT(AND(AU20=1,AT20&lt;&gt;1)),ISNUMBER(AK20),AK20&lt;=(C20+T20)),AY20,0),IF(AND(NOT(AND(AU20=1,AT20&lt;&gt;1)),ISNUMBER(AL20),AL20&lt;=(C20+T20)),AZ20,0),IF(AND(NOT(AND(AU20=1,AT20&lt;&gt;1)),ISNUMBER(AM20),AM20&lt;=(C20+T20)),BA20,0),IF(AND(NOT(AND(AU20=1,AT20&lt;&gt;1)),ISNUMBER(AN20),AN20&lt;=(C20+T20)),BB20,0),IF(AND(ISNUMBER(AO20),AO20&lt;=(C20+T20)),BC20,0))),TRUE,FALSE)</f>
        <v/>
      </c>
      <c r="AY20" s="32">
        <f>IFERROR(Upgrades!$H$13*(POWER(Upgrades!$P$13,E20)*POWER(Upgrades!$P$14,F20)*POWER(Upgrades!$P$15,G20)*POWER(Upgrades!$P$16,H20)*POWER(Upgrades!$P$17,I20)*POWER(Upgrades!$P$18,J20)*POWER(Upgrades!$P$19,K20)*POWER(Upgrades!$P$20,L20)*POWER(Upgrades!$P$21,M20))*(IF(Upgrades!$T$14="Stellar Kinematics",POWER(Upgrades!$U$14,F20),1)*IF(Upgrades!$T$15="Stellar Kinematics",POWER(Upgrades!$U$15,G20),1)*IF(Upgrades!$T$16="Stellar Kinematics",POWER(Upgrades!$U$16,H20),1)*IF(Upgrades!$T$17="Stellar Kinematics",POWER(Upgrades!$U$17,I20),1)*IF(Upgrades!$T$18="Stellar Kinematics",POWER(Upgrades!$U$18,J20),1)*IF(Upgrades!$T$19="Stellar Kinematics",POWER(Upgrades!$U$19,K20),1)*IF(Upgrades!$T$20="Stellar Kinematics",POWER(Upgrades!$U$20,L20),1)*IF(Upgrades!$T$21="Stellar Kinematics",POWER(Upgrades!$U$21,M20),1))*$F$6/AK20,0)</f>
        <v/>
      </c>
      <c r="AZ20" s="32">
        <f>IFERROR(Upgrades!$H$14*(POWER(Upgrades!$P$13,E20)*POWER(Upgrades!$P$14,F20)*POWER(Upgrades!$P$15,G20)*POWER(Upgrades!$P$16,H20)*POWER(Upgrades!$P$17,I20)*POWER(Upgrades!$P$18,J20)*POWER(Upgrades!$P$19,K20)*POWER(Upgrades!$P$20,L20)*POWER(Upgrades!$P$21,M20))*(IF(Upgrades!$T$13="Local Bubble",POWER(Upgrades!$U$13,E20),1)*IF(Upgrades!$T$15="Local Bubble",POWER(Upgrades!$U$15,G20),1)*IF(Upgrades!$T$16="Local Bubble",POWER(Upgrades!$U$16,H20),1)*IF(Upgrades!$T$17="Local Bubble",POWER(Upgrades!$U$17,I20),1)*IF(Upgrades!$T$18="Local Bubble",POWER(Upgrades!$U$18,J20),1)*IF(Upgrades!$T$19="Local Bubble",POWER(Upgrades!$U$19,K20),1)*IF(Upgrades!$T$20="Local Bubble",POWER(Upgrades!$U$20,L20),1)*IF(Upgrades!$T$21="Local Bubble",POWER(Upgrades!$U$21,M20),1))*$F$6/AL20,0)</f>
        <v/>
      </c>
      <c r="BA20" s="32">
        <f>IFERROR(Upgrades!$K$15*(POWER(Upgrades!$Q$13,E20)*POWER(Upgrades!$Q$14,F20)*POWER(Upgrades!$Q$15,G20)*POWER(Upgrades!$Q$16,H20)*POWER(Upgrades!$Q$17,I20)*POWER(Upgrades!$Q$18,J20)*POWER(Upgrades!$Q$19,K20)*POWER(Upgrades!$Q$20,L20)*POWER(Upgrades!$Q$21,M20))*(IF(Upgrades!$T$13="Microlensing",POWER(Upgrades!$U$13,E20),1)*IF(Upgrades!$T$14="Microlensing",POWER(Upgrades!$U$14,F20),1)*IF(Upgrades!$T$16="Microlensing",POWER(Upgrades!$U$16,H20),1)*IF(Upgrades!$T$17="Microlensing",POWER(Upgrades!$U$17,I20),1)*IF(Upgrades!$T$18="Microlensing",POWER(Upgrades!$U$18,J20),1)*IF(Upgrades!$T$19="Microlensing",POWER(Upgrades!$U$19,K20),1)*IF(Upgrades!$T$20="Microlensing",POWER(Upgrades!$U$20,L20),1)*IF(Upgrades!$T$21="Microlensing",POWER(Upgrades!$U$21,M20),1))*$G$6*(Parameters!$B$10/60*Parameters!$B$11+Q20)/AM20,0)</f>
        <v/>
      </c>
      <c r="BB20" s="32">
        <f>IFERROR((Upgrades!$N$16*(POWER(Upgrades!$R$13,E20)*POWER(Upgrades!$R$14,F20)*POWER(Upgrades!$R$15,G20)*POWER(Upgrades!$R$16,H20)*POWER(Upgrades!$R$17,I20)*POWER(Upgrades!$R$18,J20)*POWER(Upgrades!$R$19,K20)*POWER(Upgrades!$R$20,L20)*POWER(Upgrades!$R$21,M20))*(IF(Upgrades!$T$13="Roche Lobe Overflow",POWER(Upgrades!$U$13,E20),1)*IF(Upgrades!$T$14="Roche Lobe Overflow",POWER(Upgrades!$U$14,F20),1)*IF(Upgrades!$T$15="Roche Lobe Overflow",POWER(Upgrades!$U$15,G20),1)*IF(Upgrades!$T$17="Roche Lobe Overflow",POWER(Upgrades!$U$17,I20),1)*IF(Upgrades!$T$18="Roche Lobe Overflow",POWER(Upgrades!$U$18,J20),1)*IF(Upgrades!$T$19="Roche Lobe Overflow",POWER(Upgrades!$U$19,K20),1)*IF(Upgrades!$T$20="Roche Lobe Overflow",POWER(Upgrades!$U$20,L20),1)*IF(Upgrades!$T$21="Roche Lobe Overflow",POWER(Upgrades!$U$21,M20),1))*$H$6*O20+((IF(F20=0,0,(Upgrades!$G$14+F20*Upgrades!$H$14)*POWER(Upgrades!$I$14,F20)))*(IF(Upgrades!$T$13="Local Bubble",POWER(Upgrades!$U$13,E20),1)*IF(Upgrades!$T$15="Local Bubble",POWER(Upgrades!$U$15,G20),1)*IF(Upgrades!$T$16="Local Bubble",POWER(Upgrades!$U$16,H20),1)*IF(Upgrades!$T$17="Local Bubble",POWER(Upgrades!$U$17,I20),1)*IF(Upgrades!$T$18="Local Bubble",POWER(Upgrades!$U$18,J20),1)*IF(Upgrades!$T$19="Local Bubble",POWER(Upgrades!$U$19,K20),1)*IF(Upgrades!$T$20="Local Bubble",POWER(Upgrades!$U$20,L20),1)*IF(Upgrades!$T$21="Local Bubble",POWER(Upgrades!$U$21,M20),1))*POWER(Upgrades!$P$13,E20)*POWER(Upgrades!$P$14,F20)*POWER(Upgrades!$P$15,G20)*POWER(Upgrades!$P$16,H20)*POWER(Upgrades!$P$17,I20)*POWER(Upgrades!$P$18,J20)*POWER(Upgrades!$P$19,K20)*POWER(Upgrades!$P$20,L20)*POWER(Upgrades!$P$21,M20)*$F$6)*0.05)/AN20,0)</f>
        <v/>
      </c>
      <c r="BC20" s="32">
        <f>IFERROR((Upgrades!$H$17*(POWER(Upgrades!$P$13,E20)*POWER(Upgrades!$P$14,F20)*POWER(Upgrades!$P$15,G20)*POWER(Upgrades!$P$16,H20)*POWER(Upgrades!$P$17,I20)*POWER(Upgrades!$P$18,J20)*POWER(Upgrades!$P$19,K20)*POWER(Upgrades!$P$20,L20)*POWER(Upgrades!$P$21,M20))*(IF(Upgrades!$T$13="Brown Dwarf",POWER(Upgrades!$U$13,E20),1)*IF(Upgrades!$T$14="Brown Dwarf",POWER(Upgrades!$U$14,F20),1)*IF(Upgrades!$T$15="Brown Dwarf",POWER(Upgrades!$U$15,G20),1)*IF(Upgrades!$T$16="Brown Dwarf",POWER(Upgrades!$U$16,H20),1)*IF(Upgrades!$T$18="Brown Dwarf",POWER(Upgrades!$U$18,J20),1)*IF(Upgrades!$T$19="Brown Dwarf",POWER(Upgrades!$U$19,K20),1)*IF(Upgrades!$T$20="Brown Dwarf",POWER(Upgrades!$U$20,L20),1)*IF(Upgrades!$T$21="Brown Dwarf",POWER(Upgrades!$U$21,M20),1))*$F$6+(((IF(H20=0,0,(Upgrades!$M$16+H20*Upgrades!$N$16)*POWER(Upgrades!$O$16,H20)))*(IF(Upgrades!$T$13="Roche Lobe Overflow",POWER(Upgrades!$U$13,E20),1)*IF(Upgrades!$T$14="Roche Lobe Overflow",POWER(Upgrades!$U$14,F20),1)*IF(Upgrades!$T$15="Roche Lobe Overflow",POWER(Upgrades!$U$15,G20),1)*IF(Upgrades!$T$17="Roche Lobe Overflow",POWER(Upgrades!$U$17,I20),1)*IF(Upgrades!$T$18="Roche Lobe Overflow",POWER(Upgrades!$U$18,J20),1)*IF(Upgrades!$T$19="Roche Lobe Overflow",POWER(Upgrades!$U$19,K20),1)*IF(Upgrades!$T$20="Roche Lobe Overflow",POWER(Upgrades!$U$20,L20),1)*IF(Upgrades!$T$21="Roche Lobe Overflow",POWER(Upgrades!$U$21,M20),1))*POWER(Upgrades!$R$13,E20)*POWER(Upgrades!$R$14,F20)*POWER(Upgrades!$R$15,G20)*POWER(Upgrades!$R$16,H20)*POWER(Upgrades!$R$17,I20)*POWER(Upgrades!$R$18,J20)*POWER(Upgrades!$R$19,K20)*POWER(Upgrades!$R$20,L20)*POWER(Upgrades!$R$21,M20)*$H$6)*O20)*0.10)/AO20,0)</f>
        <v/>
      </c>
      <c r="BD20" s="32">
        <f>MAX(IF(J20&gt;0,0,IFERROR(0.5*((IF(G20=0,0,(Upgrades!$J$15+G20*Upgrades!$K$15)*POWER(Upgrades!$L$15,G20)))*(IF(Upgrades!$T$13="Microlensing",POWER(Upgrades!$U$13,E20),1)*IF(Upgrades!$T$14="Microlensing",POWER(Upgrades!$U$14,F20),1)*IF(Upgrades!$T$16="Microlensing",POWER(Upgrades!$U$16,H20),1)*IF(Upgrades!$T$17="Microlensing",POWER(Upgrades!$U$17,I20),1)*IF(Upgrades!$T$18="Microlensing",POWER(Upgrades!$U$18,J20),1)*IF(Upgrades!$T$19="Microlensing",POWER(Upgrades!$U$19,K20),1)*IF(Upgrades!$T$20="Microlensing",POWER(Upgrades!$U$20,L20),1)*IF(Upgrades!$T$21="Microlensing",POWER(Upgrades!$U$21,M20),1))*(POWER(Upgrades!$Q$13,E20)*POWER(Upgrades!$Q$14,F20)*POWER(Upgrades!$Q$15,G20)*POWER(Upgrades!$Q$16,H20)*POWER(Upgrades!$Q$17,I20)*POWER(Upgrades!$Q$18,J20)*POWER(Upgrades!$Q$19,K20)*POWER(Upgrades!$Q$20,L20)*POWER(Upgrades!$Q$21,M20))*$G$6*(Parameters!$B$10/60*Parameters!$B$11+Q20))/Upgrades!$C$18,0)),IF(K20&gt;0,0,IFERROR(0.30*P20/Upgrades!$C$19,0)),IF(L20&gt;0,0,IFERROR(0.0001/Upgrades!$C$20,0)),IF(M20&gt;0,0,IFERROR((6.0*(POWER(Upgrades!$P$13,E20)*POWER(Upgrades!$P$14,F20)*POWER(Upgrades!$P$15,G20)*POWER(Upgrades!$P$16,H20)*POWER(Upgrades!$P$17,I20)*POWER(Upgrades!$P$18,J20)*POWER(Upgrades!$P$19,K20)*POWER(Upgrades!$P$20,L20)*POWER(Upgrades!$P$21,M20))*$F$6+0.20*O20*(Parameters!$B$10/60*Parameters!$B$11+Q20))/Upgrades!$C$21,0)),IF(AND(ISNUMBER(AK20),AK20&gt;(C20+T20)),AY20,0),IF(AND(ISNUMBER(AL20),AL20&gt;(C20+T20)),AZ20,0),IF(AND(ISNUMBER(AM20),AM20&gt;(C20+T20)),BA20,0),IF(AND(ISNUMBER(AN20),AN20&gt;(C20+T20)),BB20,0),IF(AND(ISNUMBER(AO20),AO20&gt;(C20+T20)),BC20,0))</f>
        <v/>
      </c>
      <c r="BE20" s="29">
        <f>IF(AT20=1,"transition",IF(MIN(IF(AND(J20=0,ISNUMBER(AP20),AP20&lt;=(C20+T20)),AP20,9E15),IF(AND(K20=0,ISNUMBER(AQ20),AQ20&lt;=(C20+T20)),AQ20,9E15),IF(AND(L20=0,ISNUMBER(AR20),AR20&lt;=(C20+T20)),AR20,9E15),IF(AND(M20=0,ISNUMBER(AS20),AS20&lt;=(C20+T20)),AS20,9E15))&lt;9E15,IF(AND(AND(J20=0,ISNUMBER(AP20),AP20&lt;=(C20+T20)),AP20=MIN(IF(AND(J20=0,ISNUMBER(AP20),AP20&lt;=(C20+T20)),AP20,9E15),IF(AND(K20=0,ISNUMBER(AQ20),AQ20&lt;=(C20+T20)),AQ20,9E15),IF(AND(L20=0,ISNUMBER(AR20),AR20&lt;=(C20+T20)),AR20,9E15),IF(AND(M20=0,ISNUMBER(AS20),AS20&lt;=(C20+T20)),AS20,9E15))),"BiP",IF(AND(AND(K20=0,ISNUMBER(AQ20),AQ20&lt;=(C20+T20)),AQ20=MIN(IF(AND(J20=0,ISNUMBER(AP20),AP20&lt;=(C20+T20)),AP20,9E15),IF(AND(K20=0,ISNUMBER(AQ20),AQ20&lt;=(C20+T20)),AQ20,9E15),IF(AND(L20=0,ISNUMBER(AR20),AR20&lt;=(C20+T20)),AR20,9E15),IF(AND(M20=0,ISNUMBER(AS20),AS20&lt;=(C20+T20)),AS20,9E15))),"PV",IF(AND(AND(L20=0,ISNUMBER(AR20),AR20&lt;=(C20+T20)),AR20=MIN(IF(AND(J20=0,ISNUMBER(AP20),AP20&lt;=(C20+T20)),AP20,9E15),IF(AND(K20=0,ISNUMBER(AQ20),AQ20&lt;=(C20+T20)),AQ20,9E15),IF(AND(L20=0,ISNUMBER(AR20),AR20&lt;=(C20+T20)),AR20,9E15),IF(AND(M20=0,ISNUMBER(AS20),AS20&lt;=(C20+T20)),AS20,9E15))),"OC","MG"))),IF(AX20=TRUE,"",IF(MAX(IF(AND(NOT(AND(AU20=1,AT20&lt;&gt;1)),ISNUMBER(AK20),AK20&lt;=(C20+T20)),AY20,0),IF(AND(NOT(AND(AU20=1,AT20&lt;&gt;1)),ISNUMBER(AL20),AL20&lt;=(C20+T20)),AZ20,0),IF(AND(NOT(AND(AU20=1,AT20&lt;&gt;1)),ISNUMBER(AM20),AM20&lt;=(C20+T20)),BA20,0),IF(AND(NOT(AND(AU20=1,AT20&lt;&gt;1)),ISNUMBER(AN20),AN20&lt;=(C20+T20)),BB20,0),IF(AND(ISNUMBER(AO20),AO20&lt;=(C20+T20)),BC20,0))&lt;=0,"",IF(AND(IF(AND(NOT(AND(AU20=1,AT20&lt;&gt;1)),ISNUMBER(AK20),AK20&lt;=(C20+T20)),AY20,0)&gt;0,IF(AND(NOT(AND(AU20=1,AT20&lt;&gt;1)),ISNUMBER(AK20),AK20&lt;=(C20+T20)),AY20,0)=MAX(IF(AND(NOT(AND(AU20=1,AT20&lt;&gt;1)),ISNUMBER(AK20),AK20&lt;=(C20+T20)),AY20,0),IF(AND(NOT(AND(AU20=1,AT20&lt;&gt;1)),ISNUMBER(AL20),AL20&lt;=(C20+T20)),AZ20,0),IF(AND(NOT(AND(AU20=1,AT20&lt;&gt;1)),ISNUMBER(AM20),AM20&lt;=(C20+T20)),BA20,0),IF(AND(NOT(AND(AU20=1,AT20&lt;&gt;1)),ISNUMBER(AN20),AN20&lt;=(C20+T20)),BB20,0),IF(AND(ISNUMBER(AO20),AO20&lt;=(C20+T20)),BC20,0))),"SK",IF(AND(IF(AND(NOT(AND(AU20=1,AT20&lt;&gt;1)),ISNUMBER(AL20),AL20&lt;=(C20+T20)),AZ20,0)&gt;0,IF(AND(NOT(AND(AU20=1,AT20&lt;&gt;1)),ISNUMBER(AL20),AL20&lt;=(C20+T20)),AZ20,0)=MAX(IF(AND(NOT(AND(AU20=1,AT20&lt;&gt;1)),ISNUMBER(AK20),AK20&lt;=(C20+T20)),AY20,0),IF(AND(NOT(AND(AU20=1,AT20&lt;&gt;1)),ISNUMBER(AL20),AL20&lt;=(C20+T20)),AZ20,0),IF(AND(NOT(AND(AU20=1,AT20&lt;&gt;1)),ISNUMBER(AM20),AM20&lt;=(C20+T20)),BA20,0),IF(AND(NOT(AND(AU20=1,AT20&lt;&gt;1)),ISNUMBER(AN20),AN20&lt;=(C20+T20)),BB20,0),IF(AND(ISNUMBER(AO20),AO20&lt;=(C20+T20)),BC20,0))),"LB",IF(AND(IF(AND(NOT(AND(AU20=1,AT20&lt;&gt;1)),ISNUMBER(AM20),AM20&lt;=(C20+T20)),BA20,0)&gt;0,IF(AND(NOT(AND(AU20=1,AT20&lt;&gt;1)),ISNUMBER(AM20),AM20&lt;=(C20+T20)),BA20,0)=MAX(IF(AND(NOT(AND(AU20=1,AT20&lt;&gt;1)),ISNUMBER(AK20),AK20&lt;=(C20+T20)),AY20,0),IF(AND(NOT(AND(AU20=1,AT20&lt;&gt;1)),ISNUMBER(AL20),AL20&lt;=(C20+T20)),AZ20,0),IF(AND(NOT(AND(AU20=1,AT20&lt;&gt;1)),ISNUMBER(AM20),AM20&lt;=(C20+T20)),BA20,0),IF(AND(NOT(AND(AU20=1,AT20&lt;&gt;1)),ISNUMBER(AN20),AN20&lt;=(C20+T20)),BB20,0),IF(AND(ISNUMBER(AO20),AO20&lt;=(C20+T20)),BC20,0))),"ML",IF(AND(IF(AND(NOT(AND(AU20=1,AT20&lt;&gt;1)),ISNUMBER(AN20),AN20&lt;=(C20+T20)),BB20,0)&gt;0,IF(AND(NOT(AND(AU20=1,AT20&lt;&gt;1)),ISNUMBER(AN20),AN20&lt;=(C20+T20)),BB20,0)=MAX(IF(AND(NOT(AND(AU20=1,AT20&lt;&gt;1)),ISNUMBER(AK20),AK20&lt;=(C20+T20)),AY20,0),IF(AND(NOT(AND(AU20=1,AT20&lt;&gt;1)),ISNUMBER(AL20),AL20&lt;=(C20+T20)),AZ20,0),IF(AND(NOT(AND(AU20=1,AT20&lt;&gt;1)),ISNUMBER(AM20),AM20&lt;=(C20+T20)),BA20,0),IF(AND(NOT(AND(AU20=1,AT20&lt;&gt;1)),ISNUMBER(AN20),AN20&lt;=(C20+T20)),BB20,0),IF(AND(ISNUMBER(AO20),AO20&lt;=(C20+T20)),BC20,0))),"RLO","BD"))))))))</f>
        <v/>
      </c>
    </row>
    <row r="21">
      <c r="A21" s="26" t="n">
        <v>10</v>
      </c>
      <c r="B21" s="27">
        <f>A21*10/60</f>
        <v/>
      </c>
      <c r="C21" s="22">
        <f>X20</f>
        <v/>
      </c>
      <c r="D21" s="27">
        <f>D20+W20</f>
        <v/>
      </c>
      <c r="E21" s="26">
        <f>E20+IF(U20="SK",1,0)</f>
        <v/>
      </c>
      <c r="F21" s="26">
        <f>F20+IF(U20="LB",1,0)</f>
        <v/>
      </c>
      <c r="G21" s="26">
        <f>G20+IF(U20="ML",1,0)</f>
        <v/>
      </c>
      <c r="H21" s="26">
        <f>H20+IF(U20="RLO",1,0)</f>
        <v/>
      </c>
      <c r="I21" s="26">
        <f>I20+IF(U20="BD",1,0)</f>
        <v/>
      </c>
      <c r="J21" s="26">
        <f>MAX(J20,IF(U20="BiP",1,0))</f>
        <v/>
      </c>
      <c r="K21" s="26">
        <f>MAX(K20,IF(U20="PV",1,0))</f>
        <v/>
      </c>
      <c r="L21" s="26">
        <f>MAX(L20,IF(U20="OC",1,0))</f>
        <v/>
      </c>
      <c r="M21" s="26">
        <f>MAX(M20,IF(U20="MG",1,0))</f>
        <v/>
      </c>
      <c r="N21" s="26">
        <f>MAX(N20,IF(U20="transition",1,0))</f>
        <v/>
      </c>
      <c r="O21" s="28">
        <f>(Parameters!$B$9+(IF(E21=0,0,(Upgrades!$J$13+E21*Upgrades!$K$13)*POWER(Upgrades!$L$13,E21)))*(IF(Upgrades!$T$14="Stellar Kinematics",POWER(Upgrades!$U$14,F21),1)*IF(Upgrades!$T$15="Stellar Kinematics",POWER(Upgrades!$U$15,G21),1)*IF(Upgrades!$T$16="Stellar Kinematics",POWER(Upgrades!$U$16,H21),1)*IF(Upgrades!$T$17="Stellar Kinematics",POWER(Upgrades!$U$17,I21),1)*IF(Upgrades!$T$18="Stellar Kinematics",POWER(Upgrades!$U$18,J21),1)*IF(Upgrades!$T$19="Stellar Kinematics",POWER(Upgrades!$U$19,K21),1)*IF(Upgrades!$T$20="Stellar Kinematics",POWER(Upgrades!$U$20,L21),1)*IF(Upgrades!$T$21="Stellar Kinematics",POWER(Upgrades!$U$21,M21),1))+(IF(F21=0,0,(Upgrades!$J$14+F21*Upgrades!$K$14)*POWER(Upgrades!$L$14,F21)))*(IF(Upgrades!$T$13="Local Bubble",POWER(Upgrades!$U$13,E21),1)*IF(Upgrades!$T$15="Local Bubble",POWER(Upgrades!$U$15,G21),1)*IF(Upgrades!$T$16="Local Bubble",POWER(Upgrades!$U$16,H21),1)*IF(Upgrades!$T$17="Local Bubble",POWER(Upgrades!$U$17,I21),1)*IF(Upgrades!$T$18="Local Bubble",POWER(Upgrades!$U$18,J21),1)*IF(Upgrades!$T$19="Local Bubble",POWER(Upgrades!$U$19,K21),1)*IF(Upgrades!$T$20="Local Bubble",POWER(Upgrades!$U$20,L21),1)*IF(Upgrades!$T$21="Local Bubble",POWER(Upgrades!$U$21,M21),1))+(IF(G21=0,0,(Upgrades!$J$15+G21*Upgrades!$K$15)*POWER(Upgrades!$L$15,G21)))*(IF(Upgrades!$T$13="Microlensing",POWER(Upgrades!$U$13,E21),1)*IF(Upgrades!$T$14="Microlensing",POWER(Upgrades!$U$14,F21),1)*IF(Upgrades!$T$16="Microlensing",POWER(Upgrades!$U$16,H21),1)*IF(Upgrades!$T$17="Microlensing",POWER(Upgrades!$U$17,I21),1)*IF(Upgrades!$T$18="Microlensing",POWER(Upgrades!$U$18,J21),1)*IF(Upgrades!$T$19="Microlensing",POWER(Upgrades!$U$19,K21),1)*IF(Upgrades!$T$20="Microlensing",POWER(Upgrades!$U$20,L21),1)*IF(Upgrades!$T$21="Microlensing",POWER(Upgrades!$U$21,M21),1))+(IF(H21=0,0,(Upgrades!$J$16+H21*Upgrades!$K$16)*POWER(Upgrades!$L$16,H21)))*(IF(Upgrades!$T$13="Roche Lobe Overflow",POWER(Upgrades!$U$13,E21),1)*IF(Upgrades!$T$14="Roche Lobe Overflow",POWER(Upgrades!$U$14,F21),1)*IF(Upgrades!$T$15="Roche Lobe Overflow",POWER(Upgrades!$U$15,G21),1)*IF(Upgrades!$T$17="Roche Lobe Overflow",POWER(Upgrades!$U$17,I21),1)*IF(Upgrades!$T$18="Roche Lobe Overflow",POWER(Upgrades!$U$18,J21),1)*IF(Upgrades!$T$19="Roche Lobe Overflow",POWER(Upgrades!$U$19,K21),1)*IF(Upgrades!$T$20="Roche Lobe Overflow",POWER(Upgrades!$U$20,L21),1)*IF(Upgrades!$T$21="Roche Lobe Overflow",POWER(Upgrades!$U$21,M21),1))+(IF(I21=0,0,(Upgrades!$J$17+I21*Upgrades!$K$17)*POWER(Upgrades!$L$17,I21)))*(IF(Upgrades!$T$13="Brown Dwarf",POWER(Upgrades!$U$13,E21),1)*IF(Upgrades!$T$14="Brown Dwarf",POWER(Upgrades!$U$14,F21),1)*IF(Upgrades!$T$15="Brown Dwarf",POWER(Upgrades!$U$15,G21),1)*IF(Upgrades!$T$16="Brown Dwarf",POWER(Upgrades!$U$16,H21),1)*IF(Upgrades!$T$18="Brown Dwarf",POWER(Upgrades!$U$18,J21),1)*IF(Upgrades!$T$19="Brown Dwarf",POWER(Upgrades!$U$19,K21),1)*IF(Upgrades!$T$20="Brown Dwarf",POWER(Upgrades!$U$20,L21),1)*IF(Upgrades!$T$21="Brown Dwarf",POWER(Upgrades!$U$21,M21),1))+(IF(J21=0,0,(Upgrades!$J$18+J21*Upgrades!$K$18)*POWER(Upgrades!$L$18,J21)))*(IF(Upgrades!$T$13="Binary Partner",POWER(Upgrades!$U$13,E21),1)*IF(Upgrades!$T$14="Binary Partner",POWER(Upgrades!$U$14,F21),1)*IF(Upgrades!$T$15="Binary Partner",POWER(Upgrades!$U$15,G21),1)*IF(Upgrades!$T$16="Binary Partner",POWER(Upgrades!$U$16,H21),1)*IF(Upgrades!$T$17="Binary Partner",POWER(Upgrades!$U$17,I21),1)*IF(Upgrades!$T$19="Binary Partner",POWER(Upgrades!$U$19,K21),1)*IF(Upgrades!$T$20="Binary Partner",POWER(Upgrades!$U$20,L21),1)*IF(Upgrades!$T$21="Binary Partner",POWER(Upgrades!$U$21,M21),1))+(IF(K21=0,0,(Upgrades!$J$19+K21*Upgrades!$K$19)*POWER(Upgrades!$L$19,K21)))*(IF(Upgrades!$T$13="Peculiar Velocity",POWER(Upgrades!$U$13,E21),1)*IF(Upgrades!$T$14="Peculiar Velocity",POWER(Upgrades!$U$14,F21),1)*IF(Upgrades!$T$15="Peculiar Velocity",POWER(Upgrades!$U$15,G21),1)*IF(Upgrades!$T$16="Peculiar Velocity",POWER(Upgrades!$U$16,H21),1)*IF(Upgrades!$T$17="Peculiar Velocity",POWER(Upgrades!$U$17,I21),1)*IF(Upgrades!$T$18="Peculiar Velocity",POWER(Upgrades!$U$18,J21),1)*IF(Upgrades!$T$20="Peculiar Velocity",POWER(Upgrades!$U$20,L21),1)*IF(Upgrades!$T$21="Peculiar Velocity",POWER(Upgrades!$U$21,M21),1))+(IF(L21=0,0,(Upgrades!$J$20+L21*Upgrades!$K$20)*POWER(Upgrades!$L$20,L21)))*(IF(Upgrades!$T$13="Open Cluster",POWER(Upgrades!$U$13,E21),1)*IF(Upgrades!$T$14="Open Cluster",POWER(Upgrades!$U$14,F21),1)*IF(Upgrades!$T$15="Open Cluster",POWER(Upgrades!$U$15,G21),1)*IF(Upgrades!$T$16="Open Cluster",POWER(Upgrades!$U$16,H21),1)*IF(Upgrades!$T$17="Open Cluster",POWER(Upgrades!$U$17,I21),1)*IF(Upgrades!$T$18="Open Cluster",POWER(Upgrades!$U$18,J21),1)*IF(Upgrades!$T$19="Open Cluster",POWER(Upgrades!$U$19,K21),1)*IF(Upgrades!$T$21="Open Cluster",POWER(Upgrades!$U$21,M21),1))+(IF(M21=0,0,(Upgrades!$J$21+M21*Upgrades!$K$21)*POWER(Upgrades!$L$21,M21)))*(IF(Upgrades!$T$13="Moving Group",POWER(Upgrades!$U$13,E21),1)*IF(Upgrades!$T$14="Moving Group",POWER(Upgrades!$U$14,F21),1)*IF(Upgrades!$T$15="Moving Group",POWER(Upgrades!$U$15,G21),1)*IF(Upgrades!$T$16="Moving Group",POWER(Upgrades!$U$16,H21),1)*IF(Upgrades!$T$17="Moving Group",POWER(Upgrades!$U$17,I21),1)*IF(Upgrades!$T$18="Moving Group",POWER(Upgrades!$U$18,J21),1)*IF(Upgrades!$T$19="Moving Group",POWER(Upgrades!$U$19,K21),1)*IF(Upgrades!$T$20="Moving Group",POWER(Upgrades!$U$20,L21),1)))*POWER(Upgrades!$Q$13,E21)*POWER(Upgrades!$Q$14,F21)*POWER(Upgrades!$Q$15,G21)*POWER(Upgrades!$Q$16,H21)*POWER(Upgrades!$Q$17,I21)*POWER(Upgrades!$Q$18,J21)*POWER(Upgrades!$Q$19,K21)*POWER(Upgrades!$Q$20,L21)*POWER(Upgrades!$Q$21,M21)*$G$6+$D$6</f>
        <v/>
      </c>
      <c r="P21" s="28">
        <f>((IF(E21=0,0,(Upgrades!$G$13+E21*Upgrades!$H$13)*POWER(Upgrades!$I$13,E21)))*(IF(Upgrades!$T$14="Stellar Kinematics",POWER(Upgrades!$U$14,F21),1)*IF(Upgrades!$T$15="Stellar Kinematics",POWER(Upgrades!$U$15,G21),1)*IF(Upgrades!$T$16="Stellar Kinematics",POWER(Upgrades!$U$16,H21),1)*IF(Upgrades!$T$17="Stellar Kinematics",POWER(Upgrades!$U$17,I21),1)*IF(Upgrades!$T$18="Stellar Kinematics",POWER(Upgrades!$U$18,J21),1)*IF(Upgrades!$T$19="Stellar Kinematics",POWER(Upgrades!$U$19,K21),1)*IF(Upgrades!$T$20="Stellar Kinematics",POWER(Upgrades!$U$20,L21),1)*IF(Upgrades!$T$21="Stellar Kinematics",POWER(Upgrades!$U$21,M21),1))+(IF(F21=0,0,(Upgrades!$G$14+F21*Upgrades!$H$14)*POWER(Upgrades!$I$14,F21)))*(IF(Upgrades!$T$13="Local Bubble",POWER(Upgrades!$U$13,E21),1)*IF(Upgrades!$T$15="Local Bubble",POWER(Upgrades!$U$15,G21),1)*IF(Upgrades!$T$16="Local Bubble",POWER(Upgrades!$U$16,H21),1)*IF(Upgrades!$T$17="Local Bubble",POWER(Upgrades!$U$17,I21),1)*IF(Upgrades!$T$18="Local Bubble",POWER(Upgrades!$U$18,J21),1)*IF(Upgrades!$T$19="Local Bubble",POWER(Upgrades!$U$19,K21),1)*IF(Upgrades!$T$20="Local Bubble",POWER(Upgrades!$U$20,L21),1)*IF(Upgrades!$T$21="Local Bubble",POWER(Upgrades!$U$21,M21),1))+(IF(G21=0,0,(Upgrades!$G$15+G21*Upgrades!$H$15)*POWER(Upgrades!$I$15,G21)))*(IF(Upgrades!$T$13="Microlensing",POWER(Upgrades!$U$13,E21),1)*IF(Upgrades!$T$14="Microlensing",POWER(Upgrades!$U$14,F21),1)*IF(Upgrades!$T$16="Microlensing",POWER(Upgrades!$U$16,H21),1)*IF(Upgrades!$T$17="Microlensing",POWER(Upgrades!$U$17,I21),1)*IF(Upgrades!$T$18="Microlensing",POWER(Upgrades!$U$18,J21),1)*IF(Upgrades!$T$19="Microlensing",POWER(Upgrades!$U$19,K21),1)*IF(Upgrades!$T$20="Microlensing",POWER(Upgrades!$U$20,L21),1)*IF(Upgrades!$T$21="Microlensing",POWER(Upgrades!$U$21,M21),1))+(IF(H21=0,0,(Upgrades!$G$16+H21*Upgrades!$H$16)*POWER(Upgrades!$I$16,H21)))*(IF(Upgrades!$T$13="Roche Lobe Overflow",POWER(Upgrades!$U$13,E21),1)*IF(Upgrades!$T$14="Roche Lobe Overflow",POWER(Upgrades!$U$14,F21),1)*IF(Upgrades!$T$15="Roche Lobe Overflow",POWER(Upgrades!$U$15,G21),1)*IF(Upgrades!$T$17="Roche Lobe Overflow",POWER(Upgrades!$U$17,I21),1)*IF(Upgrades!$T$18="Roche Lobe Overflow",POWER(Upgrades!$U$18,J21),1)*IF(Upgrades!$T$19="Roche Lobe Overflow",POWER(Upgrades!$U$19,K21),1)*IF(Upgrades!$T$20="Roche Lobe Overflow",POWER(Upgrades!$U$20,L21),1)*IF(Upgrades!$T$21="Roche Lobe Overflow",POWER(Upgrades!$U$21,M21),1))+(IF(I21=0,0,(Upgrades!$G$17+I21*Upgrades!$H$17)*POWER(Upgrades!$I$17,I21)))*(IF(Upgrades!$T$13="Brown Dwarf",POWER(Upgrades!$U$13,E21),1)*IF(Upgrades!$T$14="Brown Dwarf",POWER(Upgrades!$U$14,F21),1)*IF(Upgrades!$T$15="Brown Dwarf",POWER(Upgrades!$U$15,G21),1)*IF(Upgrades!$T$16="Brown Dwarf",POWER(Upgrades!$U$16,H21),1)*IF(Upgrades!$T$18="Brown Dwarf",POWER(Upgrades!$U$18,J21),1)*IF(Upgrades!$T$19="Brown Dwarf",POWER(Upgrades!$U$19,K21),1)*IF(Upgrades!$T$20="Brown Dwarf",POWER(Upgrades!$U$20,L21),1)*IF(Upgrades!$T$21="Brown Dwarf",POWER(Upgrades!$U$21,M21),1))+(IF(J21=0,0,(Upgrades!$G$18+J21*Upgrades!$H$18)*POWER(Upgrades!$I$18,J21)))*(IF(Upgrades!$T$13="Binary Partner",POWER(Upgrades!$U$13,E21),1)*IF(Upgrades!$T$14="Binary Partner",POWER(Upgrades!$U$14,F21),1)*IF(Upgrades!$T$15="Binary Partner",POWER(Upgrades!$U$15,G21),1)*IF(Upgrades!$T$16="Binary Partner",POWER(Upgrades!$U$16,H21),1)*IF(Upgrades!$T$17="Binary Partner",POWER(Upgrades!$U$17,I21),1)*IF(Upgrades!$T$19="Binary Partner",POWER(Upgrades!$U$19,K21),1)*IF(Upgrades!$T$20="Binary Partner",POWER(Upgrades!$U$20,L21),1)*IF(Upgrades!$T$21="Binary Partner",POWER(Upgrades!$U$21,M21),1))+(IF(K21=0,0,(Upgrades!$G$19+K21*Upgrades!$H$19)*POWER(Upgrades!$I$19,K21)))*(IF(Upgrades!$T$13="Peculiar Velocity",POWER(Upgrades!$U$13,E21),1)*IF(Upgrades!$T$14="Peculiar Velocity",POWER(Upgrades!$U$14,F21),1)*IF(Upgrades!$T$15="Peculiar Velocity",POWER(Upgrades!$U$15,G21),1)*IF(Upgrades!$T$16="Peculiar Velocity",POWER(Upgrades!$U$16,H21),1)*IF(Upgrades!$T$17="Peculiar Velocity",POWER(Upgrades!$U$17,I21),1)*IF(Upgrades!$T$18="Peculiar Velocity",POWER(Upgrades!$U$18,J21),1)*IF(Upgrades!$T$20="Peculiar Velocity",POWER(Upgrades!$U$20,L21),1)*IF(Upgrades!$T$21="Peculiar Velocity",POWER(Upgrades!$U$21,M21),1))+(IF(L21=0,0,(Upgrades!$G$20+L21*Upgrades!$H$20)*POWER(Upgrades!$I$20,L21)))*(IF(Upgrades!$T$13="Open Cluster",POWER(Upgrades!$U$13,E21),1)*IF(Upgrades!$T$14="Open Cluster",POWER(Upgrades!$U$14,F21),1)*IF(Upgrades!$T$15="Open Cluster",POWER(Upgrades!$U$15,G21),1)*IF(Upgrades!$T$16="Open Cluster",POWER(Upgrades!$U$16,H21),1)*IF(Upgrades!$T$17="Open Cluster",POWER(Upgrades!$U$17,I21),1)*IF(Upgrades!$T$18="Open Cluster",POWER(Upgrades!$U$18,J21),1)*IF(Upgrades!$T$19="Open Cluster",POWER(Upgrades!$U$19,K21),1)*IF(Upgrades!$T$21="Open Cluster",POWER(Upgrades!$U$21,M21),1))+(IF(M21=0,0,(Upgrades!$G$21+M21*Upgrades!$H$21)*POWER(Upgrades!$I$21,M21)))*(IF(Upgrades!$T$13="Moving Group",POWER(Upgrades!$U$13,E21),1)*IF(Upgrades!$T$14="Moving Group",POWER(Upgrades!$U$14,F21),1)*IF(Upgrades!$T$15="Moving Group",POWER(Upgrades!$U$15,G21),1)*IF(Upgrades!$T$16="Moving Group",POWER(Upgrades!$U$16,H21),1)*IF(Upgrades!$T$17="Moving Group",POWER(Upgrades!$U$17,I21),1)*IF(Upgrades!$T$18="Moving Group",POWER(Upgrades!$U$18,J21),1)*IF(Upgrades!$T$19="Moving Group",POWER(Upgrades!$U$19,K21),1)*IF(Upgrades!$T$20="Moving Group",POWER(Upgrades!$U$20,L21),1)))*POWER(Upgrades!$P$13,E21)*POWER(Upgrades!$P$14,F21)*POWER(Upgrades!$P$15,G21)*POWER(Upgrades!$P$16,H21)*POWER(Upgrades!$P$17,I21)*POWER(Upgrades!$P$18,J21)*POWER(Upgrades!$P$19,K21)*POWER(Upgrades!$P$20,L21)*POWER(Upgrades!$P$21,M21)*$F$6+$C$6</f>
        <v/>
      </c>
      <c r="Q21" s="28">
        <f>((IF(E21=0,0,(Upgrades!$M$13+E21*Upgrades!$N$13)*POWER(Upgrades!$O$13,E21)))*(IF(Upgrades!$T$14="Stellar Kinematics",POWER(Upgrades!$U$14,F21),1)*IF(Upgrades!$T$15="Stellar Kinematics",POWER(Upgrades!$U$15,G21),1)*IF(Upgrades!$T$16="Stellar Kinematics",POWER(Upgrades!$U$16,H21),1)*IF(Upgrades!$T$17="Stellar Kinematics",POWER(Upgrades!$U$17,I21),1)*IF(Upgrades!$T$18="Stellar Kinematics",POWER(Upgrades!$U$18,J21),1)*IF(Upgrades!$T$19="Stellar Kinematics",POWER(Upgrades!$U$19,K21),1)*IF(Upgrades!$T$20="Stellar Kinematics",POWER(Upgrades!$U$20,L21),1)*IF(Upgrades!$T$21="Stellar Kinematics",POWER(Upgrades!$U$21,M21),1))+(IF(F21=0,0,(Upgrades!$M$14+F21*Upgrades!$N$14)*POWER(Upgrades!$O$14,F21)))*(IF(Upgrades!$T$13="Local Bubble",POWER(Upgrades!$U$13,E21),1)*IF(Upgrades!$T$15="Local Bubble",POWER(Upgrades!$U$15,G21),1)*IF(Upgrades!$T$16="Local Bubble",POWER(Upgrades!$U$16,H21),1)*IF(Upgrades!$T$17="Local Bubble",POWER(Upgrades!$U$17,I21),1)*IF(Upgrades!$T$18="Local Bubble",POWER(Upgrades!$U$18,J21),1)*IF(Upgrades!$T$19="Local Bubble",POWER(Upgrades!$U$19,K21),1)*IF(Upgrades!$T$20="Local Bubble",POWER(Upgrades!$U$20,L21),1)*IF(Upgrades!$T$21="Local Bubble",POWER(Upgrades!$U$21,M21),1))+(IF(G21=0,0,(Upgrades!$M$15+G21*Upgrades!$N$15)*POWER(Upgrades!$O$15,G21)))*(IF(Upgrades!$T$13="Microlensing",POWER(Upgrades!$U$13,E21),1)*IF(Upgrades!$T$14="Microlensing",POWER(Upgrades!$U$14,F21),1)*IF(Upgrades!$T$16="Microlensing",POWER(Upgrades!$U$16,H21),1)*IF(Upgrades!$T$17="Microlensing",POWER(Upgrades!$U$17,I21),1)*IF(Upgrades!$T$18="Microlensing",POWER(Upgrades!$U$18,J21),1)*IF(Upgrades!$T$19="Microlensing",POWER(Upgrades!$U$19,K21),1)*IF(Upgrades!$T$20="Microlensing",POWER(Upgrades!$U$20,L21),1)*IF(Upgrades!$T$21="Microlensing",POWER(Upgrades!$U$21,M21),1))+(IF(H21=0,0,(Upgrades!$M$16+H21*Upgrades!$N$16)*POWER(Upgrades!$O$16,H21)))*(IF(Upgrades!$T$13="Roche Lobe Overflow",POWER(Upgrades!$U$13,E21),1)*IF(Upgrades!$T$14="Roche Lobe Overflow",POWER(Upgrades!$U$14,F21),1)*IF(Upgrades!$T$15="Roche Lobe Overflow",POWER(Upgrades!$U$15,G21),1)*IF(Upgrades!$T$17="Roche Lobe Overflow",POWER(Upgrades!$U$17,I21),1)*IF(Upgrades!$T$18="Roche Lobe Overflow",POWER(Upgrades!$U$18,J21),1)*IF(Upgrades!$T$19="Roche Lobe Overflow",POWER(Upgrades!$U$19,K21),1)*IF(Upgrades!$T$20="Roche Lobe Overflow",POWER(Upgrades!$U$20,L21),1)*IF(Upgrades!$T$21="Roche Lobe Overflow",POWER(Upgrades!$U$21,M21),1))+(IF(I21=0,0,(Upgrades!$M$17+I21*Upgrades!$N$17)*POWER(Upgrades!$O$17,I21)))*(IF(Upgrades!$T$13="Brown Dwarf",POWER(Upgrades!$U$13,E21),1)*IF(Upgrades!$T$14="Brown Dwarf",POWER(Upgrades!$U$14,F21),1)*IF(Upgrades!$T$15="Brown Dwarf",POWER(Upgrades!$U$15,G21),1)*IF(Upgrades!$T$16="Brown Dwarf",POWER(Upgrades!$U$16,H21),1)*IF(Upgrades!$T$18="Brown Dwarf",POWER(Upgrades!$U$18,J21),1)*IF(Upgrades!$T$19="Brown Dwarf",POWER(Upgrades!$U$19,K21),1)*IF(Upgrades!$T$20="Brown Dwarf",POWER(Upgrades!$U$20,L21),1)*IF(Upgrades!$T$21="Brown Dwarf",POWER(Upgrades!$U$21,M21),1))+(IF(J21=0,0,(Upgrades!$M$18+J21*Upgrades!$N$18)*POWER(Upgrades!$O$18,J21)))*(IF(Upgrades!$T$13="Binary Partner",POWER(Upgrades!$U$13,E21),1)*IF(Upgrades!$T$14="Binary Partner",POWER(Upgrades!$U$14,F21),1)*IF(Upgrades!$T$15="Binary Partner",POWER(Upgrades!$U$15,G21),1)*IF(Upgrades!$T$16="Binary Partner",POWER(Upgrades!$U$16,H21),1)*IF(Upgrades!$T$17="Binary Partner",POWER(Upgrades!$U$17,I21),1)*IF(Upgrades!$T$19="Binary Partner",POWER(Upgrades!$U$19,K21),1)*IF(Upgrades!$T$20="Binary Partner",POWER(Upgrades!$U$20,L21),1)*IF(Upgrades!$T$21="Binary Partner",POWER(Upgrades!$U$21,M21),1))+(IF(K21=0,0,(Upgrades!$M$19+K21*Upgrades!$N$19)*POWER(Upgrades!$O$19,K21)))*(IF(Upgrades!$T$13="Peculiar Velocity",POWER(Upgrades!$U$13,E21),1)*IF(Upgrades!$T$14="Peculiar Velocity",POWER(Upgrades!$U$14,F21),1)*IF(Upgrades!$T$15="Peculiar Velocity",POWER(Upgrades!$U$15,G21),1)*IF(Upgrades!$T$16="Peculiar Velocity",POWER(Upgrades!$U$16,H21),1)*IF(Upgrades!$T$17="Peculiar Velocity",POWER(Upgrades!$U$17,I21),1)*IF(Upgrades!$T$18="Peculiar Velocity",POWER(Upgrades!$U$18,J21),1)*IF(Upgrades!$T$20="Peculiar Velocity",POWER(Upgrades!$U$20,L21),1)*IF(Upgrades!$T$21="Peculiar Velocity",POWER(Upgrades!$U$21,M21),1))+(IF(L21=0,0,(Upgrades!$M$20+L21*Upgrades!$N$20)*POWER(Upgrades!$O$20,L21)))*(IF(Upgrades!$T$13="Open Cluster",POWER(Upgrades!$U$13,E21),1)*IF(Upgrades!$T$14="Open Cluster",POWER(Upgrades!$U$14,F21),1)*IF(Upgrades!$T$15="Open Cluster",POWER(Upgrades!$U$15,G21),1)*IF(Upgrades!$T$16="Open Cluster",POWER(Upgrades!$U$16,H21),1)*IF(Upgrades!$T$17="Open Cluster",POWER(Upgrades!$U$17,I21),1)*IF(Upgrades!$T$18="Open Cluster",POWER(Upgrades!$U$18,J21),1)*IF(Upgrades!$T$19="Open Cluster",POWER(Upgrades!$U$19,K21),1)*IF(Upgrades!$T$21="Open Cluster",POWER(Upgrades!$U$21,M21),1))+(IF(M21=0,0,(Upgrades!$M$21+M21*Upgrades!$N$21)*POWER(Upgrades!$O$21,M21)))*(IF(Upgrades!$T$13="Moving Group",POWER(Upgrades!$U$13,E21),1)*IF(Upgrades!$T$14="Moving Group",POWER(Upgrades!$U$14,F21),1)*IF(Upgrades!$T$15="Moving Group",POWER(Upgrades!$U$15,G21),1)*IF(Upgrades!$T$16="Moving Group",POWER(Upgrades!$U$16,H21),1)*IF(Upgrades!$T$17="Moving Group",POWER(Upgrades!$U$17,I21),1)*IF(Upgrades!$T$18="Moving Group",POWER(Upgrades!$U$18,J21),1)*IF(Upgrades!$T$19="Moving Group",POWER(Upgrades!$U$19,K21),1)*IF(Upgrades!$T$20="Moving Group",POWER(Upgrades!$U$20,L21),1)))*POWER(Upgrades!$R$13,E21)*POWER(Upgrades!$R$14,F21)*POWER(Upgrades!$R$15,G21)*POWER(Upgrades!$R$16,H21)*POWER(Upgrades!$R$17,I21)*POWER(Upgrades!$R$18,J21)*POWER(Upgrades!$R$19,K21)*POWER(Upgrades!$R$20,L21)*POWER(Upgrades!$R$21,M21)*$H$6+$E$6</f>
        <v/>
      </c>
      <c r="R21" s="27">
        <f>IF(N21=1,0,O21*Parameters!$B$10/60*Parameters!$B$11*10)</f>
        <v/>
      </c>
      <c r="S21" s="27">
        <f>IF(N21=1,0,Q21*O21*10)</f>
        <v/>
      </c>
      <c r="T21" s="27">
        <f>IF(N21=1,0,R21+S21+P21*10)</f>
        <v/>
      </c>
      <c r="U21" s="33">
        <f>BE21</f>
        <v/>
      </c>
      <c r="V21" s="22">
        <f>IF(U21="",0,IF(U21="transition",0,IF(U21="SK",AK21,IF(U21="LB",AL21,IF(U21="ML",AM21,IF(U21="RLO",AN21,IF(U21="BD",AO21,IF(U21="BiP",AP21,IF(U21="PV",AQ21,IF(U21="OC",AR21,IF(U21="MG",AS21,0))))))))))</f>
        <v/>
      </c>
      <c r="W21" s="27">
        <f>IF(U21="BiP",Upgrades!$F$18,IF(U21="PV",Upgrades!$F$19,IF(U21="OC",Upgrades!$F$20,IF(U21="MG",Upgrades!$F$21,IF(U21="transition",-Parameters!$B$18*Parameters!$B$19,0)))))</f>
        <v/>
      </c>
      <c r="X21" s="22">
        <f>C21+T21-V21</f>
        <v/>
      </c>
      <c r="Y21" s="30">
        <f>O21*Parameters!$B$10/60*Parameters!$B$11+Q21*O21+P21</f>
        <v/>
      </c>
      <c r="Z21" s="34">
        <f>IF(U21="transition","→ Tier 3 (Galactic Arm)",IF(U21="MG","Moving Group — pocket drifts together",IF(U21="OC","Open Cluster acquired",IF(U21="PV","Peculiar Velocity — passive multiplier active",IF(U21="BiP","Binary Partner — pair bond formed",IF(AND(AU21=1,N21=0,AT21&lt;&gt;1),"Cohesion ready (waiting on completionists)","")))))) </f>
        <v/>
      </c>
      <c r="AA21" s="27">
        <f>(IF(E21=0,0,(Upgrades!$G$13+E21*Upgrades!$H$13)*POWER(Upgrades!$I$13,E21)))*(IF(Upgrades!$T$14="Stellar Kinematics",POWER(Upgrades!$U$14,F21),1)*IF(Upgrades!$T$15="Stellar Kinematics",POWER(Upgrades!$U$15,G21),1)*IF(Upgrades!$T$16="Stellar Kinematics",POWER(Upgrades!$U$16,H21),1)*IF(Upgrades!$T$17="Stellar Kinematics",POWER(Upgrades!$U$17,I21),1)*IF(Upgrades!$T$18="Stellar Kinematics",POWER(Upgrades!$U$18,J21),1)*IF(Upgrades!$T$19="Stellar Kinematics",POWER(Upgrades!$U$19,K21),1)*IF(Upgrades!$T$20="Stellar Kinematics",POWER(Upgrades!$U$20,L21),1)*IF(Upgrades!$T$21="Stellar Kinematics",POWER(Upgrades!$U$21,M21),1))*POWER(Upgrades!$P$13,E21)*POWER(Upgrades!$P$14,F21)*POWER(Upgrades!$P$15,G21)*POWER(Upgrades!$P$16,H21)*POWER(Upgrades!$P$17,I21)*POWER(Upgrades!$P$18,J21)*POWER(Upgrades!$P$19,K21)*POWER(Upgrades!$P$20,L21)*POWER(Upgrades!$P$21,M21)*$F$6*60</f>
        <v/>
      </c>
      <c r="AB21" s="27">
        <f>(IF(F21=0,0,(Upgrades!$G$14+F21*Upgrades!$H$14)*POWER(Upgrades!$I$14,F21)))*(IF(Upgrades!$T$13="Local Bubble",POWER(Upgrades!$U$13,E21),1)*IF(Upgrades!$T$15="Local Bubble",POWER(Upgrades!$U$15,G21),1)*IF(Upgrades!$T$16="Local Bubble",POWER(Upgrades!$U$16,H21),1)*IF(Upgrades!$T$17="Local Bubble",POWER(Upgrades!$U$17,I21),1)*IF(Upgrades!$T$18="Local Bubble",POWER(Upgrades!$U$18,J21),1)*IF(Upgrades!$T$19="Local Bubble",POWER(Upgrades!$U$19,K21),1)*IF(Upgrades!$T$20="Local Bubble",POWER(Upgrades!$U$20,L21),1)*IF(Upgrades!$T$21="Local Bubble",POWER(Upgrades!$U$21,M21),1))*POWER(Upgrades!$P$13,E21)*POWER(Upgrades!$P$14,F21)*POWER(Upgrades!$P$15,G21)*POWER(Upgrades!$P$16,H21)*POWER(Upgrades!$P$17,I21)*POWER(Upgrades!$P$18,J21)*POWER(Upgrades!$P$19,K21)*POWER(Upgrades!$P$20,L21)*POWER(Upgrades!$P$21,M21)*$F$6*60</f>
        <v/>
      </c>
      <c r="AC21" s="27">
        <f>(IF(G21=0,0,(Upgrades!$J$15+G21*Upgrades!$K$15)*POWER(Upgrades!$L$15,G21)))*(IF(Upgrades!$T$13="Microlensing",POWER(Upgrades!$U$13,E21),1)*IF(Upgrades!$T$14="Microlensing",POWER(Upgrades!$U$14,F21),1)*IF(Upgrades!$T$16="Microlensing",POWER(Upgrades!$U$16,H21),1)*IF(Upgrades!$T$17="Microlensing",POWER(Upgrades!$U$17,I21),1)*IF(Upgrades!$T$18="Microlensing",POWER(Upgrades!$U$18,J21),1)*IF(Upgrades!$T$19="Microlensing",POWER(Upgrades!$U$19,K21),1)*IF(Upgrades!$T$20="Microlensing",POWER(Upgrades!$U$20,L21),1)*IF(Upgrades!$T$21="Microlensing",POWER(Upgrades!$U$21,M21),1))*POWER(Upgrades!$Q$13,E21)*POWER(Upgrades!$Q$14,F21)*POWER(Upgrades!$Q$15,G21)*POWER(Upgrades!$Q$16,H21)*POWER(Upgrades!$Q$17,I21)*POWER(Upgrades!$Q$18,J21)*POWER(Upgrades!$Q$19,K21)*POWER(Upgrades!$Q$20,L21)*POWER(Upgrades!$Q$21,M21)*$G$6*(Parameters!$B$10*Parameters!$B$11+Q21*60)</f>
        <v/>
      </c>
      <c r="AD21" s="27">
        <f>(IF(H21=0,0,(Upgrades!$M$16+H21*Upgrades!$N$16)*POWER(Upgrades!$O$16,H21)))*(IF(Upgrades!$T$13="Roche Lobe Overflow",POWER(Upgrades!$U$13,E21),1)*IF(Upgrades!$T$14="Roche Lobe Overflow",POWER(Upgrades!$U$14,F21),1)*IF(Upgrades!$T$15="Roche Lobe Overflow",POWER(Upgrades!$U$15,G21),1)*IF(Upgrades!$T$17="Roche Lobe Overflow",POWER(Upgrades!$U$17,I21),1)*IF(Upgrades!$T$18="Roche Lobe Overflow",POWER(Upgrades!$U$18,J21),1)*IF(Upgrades!$T$19="Roche Lobe Overflow",POWER(Upgrades!$U$19,K21),1)*IF(Upgrades!$T$20="Roche Lobe Overflow",POWER(Upgrades!$U$20,L21),1)*IF(Upgrades!$T$21="Roche Lobe Overflow",POWER(Upgrades!$U$21,M21),1))*POWER(Upgrades!$R$13,E21)*POWER(Upgrades!$R$14,F21)*POWER(Upgrades!$R$15,G21)*POWER(Upgrades!$R$16,H21)*POWER(Upgrades!$R$17,I21)*POWER(Upgrades!$R$18,J21)*POWER(Upgrades!$R$19,K21)*POWER(Upgrades!$R$20,L21)*POWER(Upgrades!$R$21,M21)*$H$6*O21*60</f>
        <v/>
      </c>
      <c r="AE21" s="27">
        <f>(IF(I21=0,0,(Upgrades!$G$17+I21*Upgrades!$H$17)*POWER(Upgrades!$I$17,I21)))*(IF(Upgrades!$T$13="Brown Dwarf",POWER(Upgrades!$U$13,E21),1)*IF(Upgrades!$T$14="Brown Dwarf",POWER(Upgrades!$U$14,F21),1)*IF(Upgrades!$T$15="Brown Dwarf",POWER(Upgrades!$U$15,G21),1)*IF(Upgrades!$T$16="Brown Dwarf",POWER(Upgrades!$U$16,H21),1)*IF(Upgrades!$T$18="Brown Dwarf",POWER(Upgrades!$U$18,J21),1)*IF(Upgrades!$T$19="Brown Dwarf",POWER(Upgrades!$U$19,K21),1)*IF(Upgrades!$T$20="Brown Dwarf",POWER(Upgrades!$U$20,L21),1)*IF(Upgrades!$T$21="Brown Dwarf",POWER(Upgrades!$U$21,M21),1))*POWER(Upgrades!$P$13,E21)*POWER(Upgrades!$P$14,F21)*POWER(Upgrades!$P$15,G21)*POWER(Upgrades!$P$16,H21)*POWER(Upgrades!$P$17,I21)*POWER(Upgrades!$P$18,J21)*POWER(Upgrades!$P$19,K21)*POWER(Upgrades!$P$20,L21)*POWER(Upgrades!$P$21,M21)*$F$6*60</f>
        <v/>
      </c>
      <c r="AF21" s="27" t="n">
        <v>0</v>
      </c>
      <c r="AG21" s="27" t="n">
        <v>0</v>
      </c>
      <c r="AH21" s="27" t="n">
        <v>0</v>
      </c>
      <c r="AI21" s="27">
        <f>(IF(M21=0,0,(Upgrades!$G$21+M21*Upgrades!$H$21)*POWER(Upgrades!$I$21,M21)))*(IF(Upgrades!$T$13="Moving Group",POWER(Upgrades!$U$13,E21),1)*IF(Upgrades!$T$14="Moving Group",POWER(Upgrades!$U$14,F21),1)*IF(Upgrades!$T$15="Moving Group",POWER(Upgrades!$U$15,G21),1)*IF(Upgrades!$T$16="Moving Group",POWER(Upgrades!$U$16,H21),1)*IF(Upgrades!$T$17="Moving Group",POWER(Upgrades!$U$17,I21),1)*IF(Upgrades!$T$18="Moving Group",POWER(Upgrades!$U$18,J21),1)*IF(Upgrades!$T$19="Moving Group",POWER(Upgrades!$U$19,K21),1)*IF(Upgrades!$T$20="Moving Group",POWER(Upgrades!$U$20,L21),1))*POWER(Upgrades!$P$13,E21)*POWER(Upgrades!$P$14,F21)*POWER(Upgrades!$P$15,G21)*POWER(Upgrades!$P$16,H21)*POWER(Upgrades!$P$17,I21)*POWER(Upgrades!$P$18,J21)*POWER(Upgrades!$P$19,K21)*POWER(Upgrades!$P$20,L21)*POWER(Upgrades!$P$21,M21)*$F$6*60</f>
        <v/>
      </c>
      <c r="AJ21" s="27">
        <f>$C$6*60</f>
        <v/>
      </c>
      <c r="AK21" s="22">
        <f>IF(E21&gt;=Upgrades!$E$13,"",Upgrades!$C$13*POWER(Upgrades!$D$13,E21))</f>
        <v/>
      </c>
      <c r="AL21" s="22">
        <f>IF(F21&gt;=Upgrades!$E$14,"",Upgrades!$C$14*POWER(Upgrades!$D$14,F21))</f>
        <v/>
      </c>
      <c r="AM21" s="22">
        <f>IF(G21&gt;=Upgrades!$E$15,"",Upgrades!$C$15*POWER(Upgrades!$D$15,G21))</f>
        <v/>
      </c>
      <c r="AN21" s="22">
        <f>IF(H21&gt;=Upgrades!$E$16,"",Upgrades!$C$16*POWER(Upgrades!$D$16,H21))</f>
        <v/>
      </c>
      <c r="AO21" s="22">
        <f>IF(I21&gt;=Upgrades!$E$17,"",Upgrades!$C$17*POWER(Upgrades!$D$17,I21))</f>
        <v/>
      </c>
      <c r="AP21" s="22">
        <f>IF(J21&gt;=Upgrades!$E$18,"",Upgrades!$C$18*POWER(Upgrades!$D$18,J21))</f>
        <v/>
      </c>
      <c r="AQ21" s="22">
        <f>IF(K21&gt;=Upgrades!$E$19,"",Upgrades!$C$19*POWER(Upgrades!$D$19,K21))</f>
        <v/>
      </c>
      <c r="AR21" s="22">
        <f>IF(L21&gt;=Upgrades!$E$20,"",Upgrades!$C$20*POWER(Upgrades!$D$20,L21))</f>
        <v/>
      </c>
      <c r="AS21" s="22">
        <f>IF(M21&gt;=Upgrades!$E$21,"",Upgrades!$C$21*POWER(Upgrades!$D$21,M21))</f>
        <v/>
      </c>
      <c r="AT21" s="26">
        <f>IF(AND(D21&gt;=Parameters!$B$18*Parameters!$B$19,(I21&gt;=Upgrades!$E$17)*(M21&gt;=Upgrades!$E$21)=1,N21=0),1,"")</f>
        <v/>
      </c>
      <c r="AU21" s="26">
        <f>IF(AND(D21&gt;=Parameters!$B$18*Parameters!$B$19,N21=0),1,"")</f>
        <v/>
      </c>
      <c r="AV21" s="22">
        <f>MIN(IF(ISNUMBER(AP21),AP21,9E15),IF(ISNUMBER(AQ21),AQ21,9E15),IF(ISNUMBER(AR21),AR21,9E15),IF(ISNUMBER(AS21),AS21,9E15))</f>
        <v/>
      </c>
      <c r="AW21" s="22">
        <f>MIN(IF(ISNUMBER(AK21),AK21,9E15),IF(ISNUMBER(AL21),AL21,9E15),IF(ISNUMBER(AM21),AM21,9E15),IF(ISNUMBER(AN21),AN21,9E15),IF(ISNUMBER(AO21),AO21,9E15))</f>
        <v/>
      </c>
      <c r="AX21" s="29">
        <f>IF(BD21&gt;Parameters!$B$21*(MAX(IF(AND(NOT(AND(AU21=1,AT21&lt;&gt;1)),ISNUMBER(AK21),AK21&lt;=(C21+T21)),AY21,0),IF(AND(NOT(AND(AU21=1,AT21&lt;&gt;1)),ISNUMBER(AL21),AL21&lt;=(C21+T21)),AZ21,0),IF(AND(NOT(AND(AU21=1,AT21&lt;&gt;1)),ISNUMBER(AM21),AM21&lt;=(C21+T21)),BA21,0),IF(AND(NOT(AND(AU21=1,AT21&lt;&gt;1)),ISNUMBER(AN21),AN21&lt;=(C21+T21)),BB21,0),IF(AND(ISNUMBER(AO21),AO21&lt;=(C21+T21)),BC21,0))),TRUE,FALSE)</f>
        <v/>
      </c>
      <c r="AY21" s="32">
        <f>IFERROR(Upgrades!$H$13*(POWER(Upgrades!$P$13,E21)*POWER(Upgrades!$P$14,F21)*POWER(Upgrades!$P$15,G21)*POWER(Upgrades!$P$16,H21)*POWER(Upgrades!$P$17,I21)*POWER(Upgrades!$P$18,J21)*POWER(Upgrades!$P$19,K21)*POWER(Upgrades!$P$20,L21)*POWER(Upgrades!$P$21,M21))*(IF(Upgrades!$T$14="Stellar Kinematics",POWER(Upgrades!$U$14,F21),1)*IF(Upgrades!$T$15="Stellar Kinematics",POWER(Upgrades!$U$15,G21),1)*IF(Upgrades!$T$16="Stellar Kinematics",POWER(Upgrades!$U$16,H21),1)*IF(Upgrades!$T$17="Stellar Kinematics",POWER(Upgrades!$U$17,I21),1)*IF(Upgrades!$T$18="Stellar Kinematics",POWER(Upgrades!$U$18,J21),1)*IF(Upgrades!$T$19="Stellar Kinematics",POWER(Upgrades!$U$19,K21),1)*IF(Upgrades!$T$20="Stellar Kinematics",POWER(Upgrades!$U$20,L21),1)*IF(Upgrades!$T$21="Stellar Kinematics",POWER(Upgrades!$U$21,M21),1))*$F$6/AK21,0)</f>
        <v/>
      </c>
      <c r="AZ21" s="32">
        <f>IFERROR(Upgrades!$H$14*(POWER(Upgrades!$P$13,E21)*POWER(Upgrades!$P$14,F21)*POWER(Upgrades!$P$15,G21)*POWER(Upgrades!$P$16,H21)*POWER(Upgrades!$P$17,I21)*POWER(Upgrades!$P$18,J21)*POWER(Upgrades!$P$19,K21)*POWER(Upgrades!$P$20,L21)*POWER(Upgrades!$P$21,M21))*(IF(Upgrades!$T$13="Local Bubble",POWER(Upgrades!$U$13,E21),1)*IF(Upgrades!$T$15="Local Bubble",POWER(Upgrades!$U$15,G21),1)*IF(Upgrades!$T$16="Local Bubble",POWER(Upgrades!$U$16,H21),1)*IF(Upgrades!$T$17="Local Bubble",POWER(Upgrades!$U$17,I21),1)*IF(Upgrades!$T$18="Local Bubble",POWER(Upgrades!$U$18,J21),1)*IF(Upgrades!$T$19="Local Bubble",POWER(Upgrades!$U$19,K21),1)*IF(Upgrades!$T$20="Local Bubble",POWER(Upgrades!$U$20,L21),1)*IF(Upgrades!$T$21="Local Bubble",POWER(Upgrades!$U$21,M21),1))*$F$6/AL21,0)</f>
        <v/>
      </c>
      <c r="BA21" s="32">
        <f>IFERROR(Upgrades!$K$15*(POWER(Upgrades!$Q$13,E21)*POWER(Upgrades!$Q$14,F21)*POWER(Upgrades!$Q$15,G21)*POWER(Upgrades!$Q$16,H21)*POWER(Upgrades!$Q$17,I21)*POWER(Upgrades!$Q$18,J21)*POWER(Upgrades!$Q$19,K21)*POWER(Upgrades!$Q$20,L21)*POWER(Upgrades!$Q$21,M21))*(IF(Upgrades!$T$13="Microlensing",POWER(Upgrades!$U$13,E21),1)*IF(Upgrades!$T$14="Microlensing",POWER(Upgrades!$U$14,F21),1)*IF(Upgrades!$T$16="Microlensing",POWER(Upgrades!$U$16,H21),1)*IF(Upgrades!$T$17="Microlensing",POWER(Upgrades!$U$17,I21),1)*IF(Upgrades!$T$18="Microlensing",POWER(Upgrades!$U$18,J21),1)*IF(Upgrades!$T$19="Microlensing",POWER(Upgrades!$U$19,K21),1)*IF(Upgrades!$T$20="Microlensing",POWER(Upgrades!$U$20,L21),1)*IF(Upgrades!$T$21="Microlensing",POWER(Upgrades!$U$21,M21),1))*$G$6*(Parameters!$B$10/60*Parameters!$B$11+Q21)/AM21,0)</f>
        <v/>
      </c>
      <c r="BB21" s="32">
        <f>IFERROR((Upgrades!$N$16*(POWER(Upgrades!$R$13,E21)*POWER(Upgrades!$R$14,F21)*POWER(Upgrades!$R$15,G21)*POWER(Upgrades!$R$16,H21)*POWER(Upgrades!$R$17,I21)*POWER(Upgrades!$R$18,J21)*POWER(Upgrades!$R$19,K21)*POWER(Upgrades!$R$20,L21)*POWER(Upgrades!$R$21,M21))*(IF(Upgrades!$T$13="Roche Lobe Overflow",POWER(Upgrades!$U$13,E21),1)*IF(Upgrades!$T$14="Roche Lobe Overflow",POWER(Upgrades!$U$14,F21),1)*IF(Upgrades!$T$15="Roche Lobe Overflow",POWER(Upgrades!$U$15,G21),1)*IF(Upgrades!$T$17="Roche Lobe Overflow",POWER(Upgrades!$U$17,I21),1)*IF(Upgrades!$T$18="Roche Lobe Overflow",POWER(Upgrades!$U$18,J21),1)*IF(Upgrades!$T$19="Roche Lobe Overflow",POWER(Upgrades!$U$19,K21),1)*IF(Upgrades!$T$20="Roche Lobe Overflow",POWER(Upgrades!$U$20,L21),1)*IF(Upgrades!$T$21="Roche Lobe Overflow",POWER(Upgrades!$U$21,M21),1))*$H$6*O21+((IF(F21=0,0,(Upgrades!$G$14+F21*Upgrades!$H$14)*POWER(Upgrades!$I$14,F21)))*(IF(Upgrades!$T$13="Local Bubble",POWER(Upgrades!$U$13,E21),1)*IF(Upgrades!$T$15="Local Bubble",POWER(Upgrades!$U$15,G21),1)*IF(Upgrades!$T$16="Local Bubble",POWER(Upgrades!$U$16,H21),1)*IF(Upgrades!$T$17="Local Bubble",POWER(Upgrades!$U$17,I21),1)*IF(Upgrades!$T$18="Local Bubble",POWER(Upgrades!$U$18,J21),1)*IF(Upgrades!$T$19="Local Bubble",POWER(Upgrades!$U$19,K21),1)*IF(Upgrades!$T$20="Local Bubble",POWER(Upgrades!$U$20,L21),1)*IF(Upgrades!$T$21="Local Bubble",POWER(Upgrades!$U$21,M21),1))*POWER(Upgrades!$P$13,E21)*POWER(Upgrades!$P$14,F21)*POWER(Upgrades!$P$15,G21)*POWER(Upgrades!$P$16,H21)*POWER(Upgrades!$P$17,I21)*POWER(Upgrades!$P$18,J21)*POWER(Upgrades!$P$19,K21)*POWER(Upgrades!$P$20,L21)*POWER(Upgrades!$P$21,M21)*$F$6)*0.05)/AN21,0)</f>
        <v/>
      </c>
      <c r="BC21" s="32">
        <f>IFERROR((Upgrades!$H$17*(POWER(Upgrades!$P$13,E21)*POWER(Upgrades!$P$14,F21)*POWER(Upgrades!$P$15,G21)*POWER(Upgrades!$P$16,H21)*POWER(Upgrades!$P$17,I21)*POWER(Upgrades!$P$18,J21)*POWER(Upgrades!$P$19,K21)*POWER(Upgrades!$P$20,L21)*POWER(Upgrades!$P$21,M21))*(IF(Upgrades!$T$13="Brown Dwarf",POWER(Upgrades!$U$13,E21),1)*IF(Upgrades!$T$14="Brown Dwarf",POWER(Upgrades!$U$14,F21),1)*IF(Upgrades!$T$15="Brown Dwarf",POWER(Upgrades!$U$15,G21),1)*IF(Upgrades!$T$16="Brown Dwarf",POWER(Upgrades!$U$16,H21),1)*IF(Upgrades!$T$18="Brown Dwarf",POWER(Upgrades!$U$18,J21),1)*IF(Upgrades!$T$19="Brown Dwarf",POWER(Upgrades!$U$19,K21),1)*IF(Upgrades!$T$20="Brown Dwarf",POWER(Upgrades!$U$20,L21),1)*IF(Upgrades!$T$21="Brown Dwarf",POWER(Upgrades!$U$21,M21),1))*$F$6+(((IF(H21=0,0,(Upgrades!$M$16+H21*Upgrades!$N$16)*POWER(Upgrades!$O$16,H21)))*(IF(Upgrades!$T$13="Roche Lobe Overflow",POWER(Upgrades!$U$13,E21),1)*IF(Upgrades!$T$14="Roche Lobe Overflow",POWER(Upgrades!$U$14,F21),1)*IF(Upgrades!$T$15="Roche Lobe Overflow",POWER(Upgrades!$U$15,G21),1)*IF(Upgrades!$T$17="Roche Lobe Overflow",POWER(Upgrades!$U$17,I21),1)*IF(Upgrades!$T$18="Roche Lobe Overflow",POWER(Upgrades!$U$18,J21),1)*IF(Upgrades!$T$19="Roche Lobe Overflow",POWER(Upgrades!$U$19,K21),1)*IF(Upgrades!$T$20="Roche Lobe Overflow",POWER(Upgrades!$U$20,L21),1)*IF(Upgrades!$T$21="Roche Lobe Overflow",POWER(Upgrades!$U$21,M21),1))*POWER(Upgrades!$R$13,E21)*POWER(Upgrades!$R$14,F21)*POWER(Upgrades!$R$15,G21)*POWER(Upgrades!$R$16,H21)*POWER(Upgrades!$R$17,I21)*POWER(Upgrades!$R$18,J21)*POWER(Upgrades!$R$19,K21)*POWER(Upgrades!$R$20,L21)*POWER(Upgrades!$R$21,M21)*$H$6)*O21)*0.10)/AO21,0)</f>
        <v/>
      </c>
      <c r="BD21" s="32">
        <f>MAX(IF(J21&gt;0,0,IFERROR(0.5*((IF(G21=0,0,(Upgrades!$J$15+G21*Upgrades!$K$15)*POWER(Upgrades!$L$15,G21)))*(IF(Upgrades!$T$13="Microlensing",POWER(Upgrades!$U$13,E21),1)*IF(Upgrades!$T$14="Microlensing",POWER(Upgrades!$U$14,F21),1)*IF(Upgrades!$T$16="Microlensing",POWER(Upgrades!$U$16,H21),1)*IF(Upgrades!$T$17="Microlensing",POWER(Upgrades!$U$17,I21),1)*IF(Upgrades!$T$18="Microlensing",POWER(Upgrades!$U$18,J21),1)*IF(Upgrades!$T$19="Microlensing",POWER(Upgrades!$U$19,K21),1)*IF(Upgrades!$T$20="Microlensing",POWER(Upgrades!$U$20,L21),1)*IF(Upgrades!$T$21="Microlensing",POWER(Upgrades!$U$21,M21),1))*(POWER(Upgrades!$Q$13,E21)*POWER(Upgrades!$Q$14,F21)*POWER(Upgrades!$Q$15,G21)*POWER(Upgrades!$Q$16,H21)*POWER(Upgrades!$Q$17,I21)*POWER(Upgrades!$Q$18,J21)*POWER(Upgrades!$Q$19,K21)*POWER(Upgrades!$Q$20,L21)*POWER(Upgrades!$Q$21,M21))*$G$6*(Parameters!$B$10/60*Parameters!$B$11+Q21))/Upgrades!$C$18,0)),IF(K21&gt;0,0,IFERROR(0.30*P21/Upgrades!$C$19,0)),IF(L21&gt;0,0,IFERROR(0.0001/Upgrades!$C$20,0)),IF(M21&gt;0,0,IFERROR((6.0*(POWER(Upgrades!$P$13,E21)*POWER(Upgrades!$P$14,F21)*POWER(Upgrades!$P$15,G21)*POWER(Upgrades!$P$16,H21)*POWER(Upgrades!$P$17,I21)*POWER(Upgrades!$P$18,J21)*POWER(Upgrades!$P$19,K21)*POWER(Upgrades!$P$20,L21)*POWER(Upgrades!$P$21,M21))*$F$6+0.20*O21*(Parameters!$B$10/60*Parameters!$B$11+Q21))/Upgrades!$C$21,0)),IF(AND(ISNUMBER(AK21),AK21&gt;(C21+T21)),AY21,0),IF(AND(ISNUMBER(AL21),AL21&gt;(C21+T21)),AZ21,0),IF(AND(ISNUMBER(AM21),AM21&gt;(C21+T21)),BA21,0),IF(AND(ISNUMBER(AN21),AN21&gt;(C21+T21)),BB21,0),IF(AND(ISNUMBER(AO21),AO21&gt;(C21+T21)),BC21,0))</f>
        <v/>
      </c>
      <c r="BE21" s="29">
        <f>IF(AT21=1,"transition",IF(MIN(IF(AND(J21=0,ISNUMBER(AP21),AP21&lt;=(C21+T21)),AP21,9E15),IF(AND(K21=0,ISNUMBER(AQ21),AQ21&lt;=(C21+T21)),AQ21,9E15),IF(AND(L21=0,ISNUMBER(AR21),AR21&lt;=(C21+T21)),AR21,9E15),IF(AND(M21=0,ISNUMBER(AS21),AS21&lt;=(C21+T21)),AS21,9E15))&lt;9E15,IF(AND(AND(J21=0,ISNUMBER(AP21),AP21&lt;=(C21+T21)),AP21=MIN(IF(AND(J21=0,ISNUMBER(AP21),AP21&lt;=(C21+T21)),AP21,9E15),IF(AND(K21=0,ISNUMBER(AQ21),AQ21&lt;=(C21+T21)),AQ21,9E15),IF(AND(L21=0,ISNUMBER(AR21),AR21&lt;=(C21+T21)),AR21,9E15),IF(AND(M21=0,ISNUMBER(AS21),AS21&lt;=(C21+T21)),AS21,9E15))),"BiP",IF(AND(AND(K21=0,ISNUMBER(AQ21),AQ21&lt;=(C21+T21)),AQ21=MIN(IF(AND(J21=0,ISNUMBER(AP21),AP21&lt;=(C21+T21)),AP21,9E15),IF(AND(K21=0,ISNUMBER(AQ21),AQ21&lt;=(C21+T21)),AQ21,9E15),IF(AND(L21=0,ISNUMBER(AR21),AR21&lt;=(C21+T21)),AR21,9E15),IF(AND(M21=0,ISNUMBER(AS21),AS21&lt;=(C21+T21)),AS21,9E15))),"PV",IF(AND(AND(L21=0,ISNUMBER(AR21),AR21&lt;=(C21+T21)),AR21=MIN(IF(AND(J21=0,ISNUMBER(AP21),AP21&lt;=(C21+T21)),AP21,9E15),IF(AND(K21=0,ISNUMBER(AQ21),AQ21&lt;=(C21+T21)),AQ21,9E15),IF(AND(L21=0,ISNUMBER(AR21),AR21&lt;=(C21+T21)),AR21,9E15),IF(AND(M21=0,ISNUMBER(AS21),AS21&lt;=(C21+T21)),AS21,9E15))),"OC","MG"))),IF(AX21=TRUE,"",IF(MAX(IF(AND(NOT(AND(AU21=1,AT21&lt;&gt;1)),ISNUMBER(AK21),AK21&lt;=(C21+T21)),AY21,0),IF(AND(NOT(AND(AU21=1,AT21&lt;&gt;1)),ISNUMBER(AL21),AL21&lt;=(C21+T21)),AZ21,0),IF(AND(NOT(AND(AU21=1,AT21&lt;&gt;1)),ISNUMBER(AM21),AM21&lt;=(C21+T21)),BA21,0),IF(AND(NOT(AND(AU21=1,AT21&lt;&gt;1)),ISNUMBER(AN21),AN21&lt;=(C21+T21)),BB21,0),IF(AND(ISNUMBER(AO21),AO21&lt;=(C21+T21)),BC21,0))&lt;=0,"",IF(AND(IF(AND(NOT(AND(AU21=1,AT21&lt;&gt;1)),ISNUMBER(AK21),AK21&lt;=(C21+T21)),AY21,0)&gt;0,IF(AND(NOT(AND(AU21=1,AT21&lt;&gt;1)),ISNUMBER(AK21),AK21&lt;=(C21+T21)),AY21,0)=MAX(IF(AND(NOT(AND(AU21=1,AT21&lt;&gt;1)),ISNUMBER(AK21),AK21&lt;=(C21+T21)),AY21,0),IF(AND(NOT(AND(AU21=1,AT21&lt;&gt;1)),ISNUMBER(AL21),AL21&lt;=(C21+T21)),AZ21,0),IF(AND(NOT(AND(AU21=1,AT21&lt;&gt;1)),ISNUMBER(AM21),AM21&lt;=(C21+T21)),BA21,0),IF(AND(NOT(AND(AU21=1,AT21&lt;&gt;1)),ISNUMBER(AN21),AN21&lt;=(C21+T21)),BB21,0),IF(AND(ISNUMBER(AO21),AO21&lt;=(C21+T21)),BC21,0))),"SK",IF(AND(IF(AND(NOT(AND(AU21=1,AT21&lt;&gt;1)),ISNUMBER(AL21),AL21&lt;=(C21+T21)),AZ21,0)&gt;0,IF(AND(NOT(AND(AU21=1,AT21&lt;&gt;1)),ISNUMBER(AL21),AL21&lt;=(C21+T21)),AZ21,0)=MAX(IF(AND(NOT(AND(AU21=1,AT21&lt;&gt;1)),ISNUMBER(AK21),AK21&lt;=(C21+T21)),AY21,0),IF(AND(NOT(AND(AU21=1,AT21&lt;&gt;1)),ISNUMBER(AL21),AL21&lt;=(C21+T21)),AZ21,0),IF(AND(NOT(AND(AU21=1,AT21&lt;&gt;1)),ISNUMBER(AM21),AM21&lt;=(C21+T21)),BA21,0),IF(AND(NOT(AND(AU21=1,AT21&lt;&gt;1)),ISNUMBER(AN21),AN21&lt;=(C21+T21)),BB21,0),IF(AND(ISNUMBER(AO21),AO21&lt;=(C21+T21)),BC21,0))),"LB",IF(AND(IF(AND(NOT(AND(AU21=1,AT21&lt;&gt;1)),ISNUMBER(AM21),AM21&lt;=(C21+T21)),BA21,0)&gt;0,IF(AND(NOT(AND(AU21=1,AT21&lt;&gt;1)),ISNUMBER(AM21),AM21&lt;=(C21+T21)),BA21,0)=MAX(IF(AND(NOT(AND(AU21=1,AT21&lt;&gt;1)),ISNUMBER(AK21),AK21&lt;=(C21+T21)),AY21,0),IF(AND(NOT(AND(AU21=1,AT21&lt;&gt;1)),ISNUMBER(AL21),AL21&lt;=(C21+T21)),AZ21,0),IF(AND(NOT(AND(AU21=1,AT21&lt;&gt;1)),ISNUMBER(AM21),AM21&lt;=(C21+T21)),BA21,0),IF(AND(NOT(AND(AU21=1,AT21&lt;&gt;1)),ISNUMBER(AN21),AN21&lt;=(C21+T21)),BB21,0),IF(AND(ISNUMBER(AO21),AO21&lt;=(C21+T21)),BC21,0))),"ML",IF(AND(IF(AND(NOT(AND(AU21=1,AT21&lt;&gt;1)),ISNUMBER(AN21),AN21&lt;=(C21+T21)),BB21,0)&gt;0,IF(AND(NOT(AND(AU21=1,AT21&lt;&gt;1)),ISNUMBER(AN21),AN21&lt;=(C21+T21)),BB21,0)=MAX(IF(AND(NOT(AND(AU21=1,AT21&lt;&gt;1)),ISNUMBER(AK21),AK21&lt;=(C21+T21)),AY21,0),IF(AND(NOT(AND(AU21=1,AT21&lt;&gt;1)),ISNUMBER(AL21),AL21&lt;=(C21+T21)),AZ21,0),IF(AND(NOT(AND(AU21=1,AT21&lt;&gt;1)),ISNUMBER(AM21),AM21&lt;=(C21+T21)),BA21,0),IF(AND(NOT(AND(AU21=1,AT21&lt;&gt;1)),ISNUMBER(AN21),AN21&lt;=(C21+T21)),BB21,0),IF(AND(ISNUMBER(AO21),AO21&lt;=(C21+T21)),BC21,0))),"RLO","BD"))))))))</f>
        <v/>
      </c>
    </row>
    <row r="22">
      <c r="A22" s="26" t="n">
        <v>11</v>
      </c>
      <c r="B22" s="27">
        <f>A22*10/60</f>
        <v/>
      </c>
      <c r="C22" s="22">
        <f>X21</f>
        <v/>
      </c>
      <c r="D22" s="27">
        <f>D21+W21</f>
        <v/>
      </c>
      <c r="E22" s="26">
        <f>E21+IF(U21="SK",1,0)</f>
        <v/>
      </c>
      <c r="F22" s="26">
        <f>F21+IF(U21="LB",1,0)</f>
        <v/>
      </c>
      <c r="G22" s="26">
        <f>G21+IF(U21="ML",1,0)</f>
        <v/>
      </c>
      <c r="H22" s="26">
        <f>H21+IF(U21="RLO",1,0)</f>
        <v/>
      </c>
      <c r="I22" s="26">
        <f>I21+IF(U21="BD",1,0)</f>
        <v/>
      </c>
      <c r="J22" s="26">
        <f>MAX(J21,IF(U21="BiP",1,0))</f>
        <v/>
      </c>
      <c r="K22" s="26">
        <f>MAX(K21,IF(U21="PV",1,0))</f>
        <v/>
      </c>
      <c r="L22" s="26">
        <f>MAX(L21,IF(U21="OC",1,0))</f>
        <v/>
      </c>
      <c r="M22" s="26">
        <f>MAX(M21,IF(U21="MG",1,0))</f>
        <v/>
      </c>
      <c r="N22" s="26">
        <f>MAX(N21,IF(U21="transition",1,0))</f>
        <v/>
      </c>
      <c r="O22" s="28">
        <f>(Parameters!$B$9+(IF(E22=0,0,(Upgrades!$J$13+E22*Upgrades!$K$13)*POWER(Upgrades!$L$13,E22)))*(IF(Upgrades!$T$14="Stellar Kinematics",POWER(Upgrades!$U$14,F22),1)*IF(Upgrades!$T$15="Stellar Kinematics",POWER(Upgrades!$U$15,G22),1)*IF(Upgrades!$T$16="Stellar Kinematics",POWER(Upgrades!$U$16,H22),1)*IF(Upgrades!$T$17="Stellar Kinematics",POWER(Upgrades!$U$17,I22),1)*IF(Upgrades!$T$18="Stellar Kinematics",POWER(Upgrades!$U$18,J22),1)*IF(Upgrades!$T$19="Stellar Kinematics",POWER(Upgrades!$U$19,K22),1)*IF(Upgrades!$T$20="Stellar Kinematics",POWER(Upgrades!$U$20,L22),1)*IF(Upgrades!$T$21="Stellar Kinematics",POWER(Upgrades!$U$21,M22),1))+(IF(F22=0,0,(Upgrades!$J$14+F22*Upgrades!$K$14)*POWER(Upgrades!$L$14,F22)))*(IF(Upgrades!$T$13="Local Bubble",POWER(Upgrades!$U$13,E22),1)*IF(Upgrades!$T$15="Local Bubble",POWER(Upgrades!$U$15,G22),1)*IF(Upgrades!$T$16="Local Bubble",POWER(Upgrades!$U$16,H22),1)*IF(Upgrades!$T$17="Local Bubble",POWER(Upgrades!$U$17,I22),1)*IF(Upgrades!$T$18="Local Bubble",POWER(Upgrades!$U$18,J22),1)*IF(Upgrades!$T$19="Local Bubble",POWER(Upgrades!$U$19,K22),1)*IF(Upgrades!$T$20="Local Bubble",POWER(Upgrades!$U$20,L22),1)*IF(Upgrades!$T$21="Local Bubble",POWER(Upgrades!$U$21,M22),1))+(IF(G22=0,0,(Upgrades!$J$15+G22*Upgrades!$K$15)*POWER(Upgrades!$L$15,G22)))*(IF(Upgrades!$T$13="Microlensing",POWER(Upgrades!$U$13,E22),1)*IF(Upgrades!$T$14="Microlensing",POWER(Upgrades!$U$14,F22),1)*IF(Upgrades!$T$16="Microlensing",POWER(Upgrades!$U$16,H22),1)*IF(Upgrades!$T$17="Microlensing",POWER(Upgrades!$U$17,I22),1)*IF(Upgrades!$T$18="Microlensing",POWER(Upgrades!$U$18,J22),1)*IF(Upgrades!$T$19="Microlensing",POWER(Upgrades!$U$19,K22),1)*IF(Upgrades!$T$20="Microlensing",POWER(Upgrades!$U$20,L22),1)*IF(Upgrades!$T$21="Microlensing",POWER(Upgrades!$U$21,M22),1))+(IF(H22=0,0,(Upgrades!$J$16+H22*Upgrades!$K$16)*POWER(Upgrades!$L$16,H22)))*(IF(Upgrades!$T$13="Roche Lobe Overflow",POWER(Upgrades!$U$13,E22),1)*IF(Upgrades!$T$14="Roche Lobe Overflow",POWER(Upgrades!$U$14,F22),1)*IF(Upgrades!$T$15="Roche Lobe Overflow",POWER(Upgrades!$U$15,G22),1)*IF(Upgrades!$T$17="Roche Lobe Overflow",POWER(Upgrades!$U$17,I22),1)*IF(Upgrades!$T$18="Roche Lobe Overflow",POWER(Upgrades!$U$18,J22),1)*IF(Upgrades!$T$19="Roche Lobe Overflow",POWER(Upgrades!$U$19,K22),1)*IF(Upgrades!$T$20="Roche Lobe Overflow",POWER(Upgrades!$U$20,L22),1)*IF(Upgrades!$T$21="Roche Lobe Overflow",POWER(Upgrades!$U$21,M22),1))+(IF(I22=0,0,(Upgrades!$J$17+I22*Upgrades!$K$17)*POWER(Upgrades!$L$17,I22)))*(IF(Upgrades!$T$13="Brown Dwarf",POWER(Upgrades!$U$13,E22),1)*IF(Upgrades!$T$14="Brown Dwarf",POWER(Upgrades!$U$14,F22),1)*IF(Upgrades!$T$15="Brown Dwarf",POWER(Upgrades!$U$15,G22),1)*IF(Upgrades!$T$16="Brown Dwarf",POWER(Upgrades!$U$16,H22),1)*IF(Upgrades!$T$18="Brown Dwarf",POWER(Upgrades!$U$18,J22),1)*IF(Upgrades!$T$19="Brown Dwarf",POWER(Upgrades!$U$19,K22),1)*IF(Upgrades!$T$20="Brown Dwarf",POWER(Upgrades!$U$20,L22),1)*IF(Upgrades!$T$21="Brown Dwarf",POWER(Upgrades!$U$21,M22),1))+(IF(J22=0,0,(Upgrades!$J$18+J22*Upgrades!$K$18)*POWER(Upgrades!$L$18,J22)))*(IF(Upgrades!$T$13="Binary Partner",POWER(Upgrades!$U$13,E22),1)*IF(Upgrades!$T$14="Binary Partner",POWER(Upgrades!$U$14,F22),1)*IF(Upgrades!$T$15="Binary Partner",POWER(Upgrades!$U$15,G22),1)*IF(Upgrades!$T$16="Binary Partner",POWER(Upgrades!$U$16,H22),1)*IF(Upgrades!$T$17="Binary Partner",POWER(Upgrades!$U$17,I22),1)*IF(Upgrades!$T$19="Binary Partner",POWER(Upgrades!$U$19,K22),1)*IF(Upgrades!$T$20="Binary Partner",POWER(Upgrades!$U$20,L22),1)*IF(Upgrades!$T$21="Binary Partner",POWER(Upgrades!$U$21,M22),1))+(IF(K22=0,0,(Upgrades!$J$19+K22*Upgrades!$K$19)*POWER(Upgrades!$L$19,K22)))*(IF(Upgrades!$T$13="Peculiar Velocity",POWER(Upgrades!$U$13,E22),1)*IF(Upgrades!$T$14="Peculiar Velocity",POWER(Upgrades!$U$14,F22),1)*IF(Upgrades!$T$15="Peculiar Velocity",POWER(Upgrades!$U$15,G22),1)*IF(Upgrades!$T$16="Peculiar Velocity",POWER(Upgrades!$U$16,H22),1)*IF(Upgrades!$T$17="Peculiar Velocity",POWER(Upgrades!$U$17,I22),1)*IF(Upgrades!$T$18="Peculiar Velocity",POWER(Upgrades!$U$18,J22),1)*IF(Upgrades!$T$20="Peculiar Velocity",POWER(Upgrades!$U$20,L22),1)*IF(Upgrades!$T$21="Peculiar Velocity",POWER(Upgrades!$U$21,M22),1))+(IF(L22=0,0,(Upgrades!$J$20+L22*Upgrades!$K$20)*POWER(Upgrades!$L$20,L22)))*(IF(Upgrades!$T$13="Open Cluster",POWER(Upgrades!$U$13,E22),1)*IF(Upgrades!$T$14="Open Cluster",POWER(Upgrades!$U$14,F22),1)*IF(Upgrades!$T$15="Open Cluster",POWER(Upgrades!$U$15,G22),1)*IF(Upgrades!$T$16="Open Cluster",POWER(Upgrades!$U$16,H22),1)*IF(Upgrades!$T$17="Open Cluster",POWER(Upgrades!$U$17,I22),1)*IF(Upgrades!$T$18="Open Cluster",POWER(Upgrades!$U$18,J22),1)*IF(Upgrades!$T$19="Open Cluster",POWER(Upgrades!$U$19,K22),1)*IF(Upgrades!$T$21="Open Cluster",POWER(Upgrades!$U$21,M22),1))+(IF(M22=0,0,(Upgrades!$J$21+M22*Upgrades!$K$21)*POWER(Upgrades!$L$21,M22)))*(IF(Upgrades!$T$13="Moving Group",POWER(Upgrades!$U$13,E22),1)*IF(Upgrades!$T$14="Moving Group",POWER(Upgrades!$U$14,F22),1)*IF(Upgrades!$T$15="Moving Group",POWER(Upgrades!$U$15,G22),1)*IF(Upgrades!$T$16="Moving Group",POWER(Upgrades!$U$16,H22),1)*IF(Upgrades!$T$17="Moving Group",POWER(Upgrades!$U$17,I22),1)*IF(Upgrades!$T$18="Moving Group",POWER(Upgrades!$U$18,J22),1)*IF(Upgrades!$T$19="Moving Group",POWER(Upgrades!$U$19,K22),1)*IF(Upgrades!$T$20="Moving Group",POWER(Upgrades!$U$20,L22),1)))*POWER(Upgrades!$Q$13,E22)*POWER(Upgrades!$Q$14,F22)*POWER(Upgrades!$Q$15,G22)*POWER(Upgrades!$Q$16,H22)*POWER(Upgrades!$Q$17,I22)*POWER(Upgrades!$Q$18,J22)*POWER(Upgrades!$Q$19,K22)*POWER(Upgrades!$Q$20,L22)*POWER(Upgrades!$Q$21,M22)*$G$6+$D$6</f>
        <v/>
      </c>
      <c r="P22" s="28">
        <f>((IF(E22=0,0,(Upgrades!$G$13+E22*Upgrades!$H$13)*POWER(Upgrades!$I$13,E22)))*(IF(Upgrades!$T$14="Stellar Kinematics",POWER(Upgrades!$U$14,F22),1)*IF(Upgrades!$T$15="Stellar Kinematics",POWER(Upgrades!$U$15,G22),1)*IF(Upgrades!$T$16="Stellar Kinematics",POWER(Upgrades!$U$16,H22),1)*IF(Upgrades!$T$17="Stellar Kinematics",POWER(Upgrades!$U$17,I22),1)*IF(Upgrades!$T$18="Stellar Kinematics",POWER(Upgrades!$U$18,J22),1)*IF(Upgrades!$T$19="Stellar Kinematics",POWER(Upgrades!$U$19,K22),1)*IF(Upgrades!$T$20="Stellar Kinematics",POWER(Upgrades!$U$20,L22),1)*IF(Upgrades!$T$21="Stellar Kinematics",POWER(Upgrades!$U$21,M22),1))+(IF(F22=0,0,(Upgrades!$G$14+F22*Upgrades!$H$14)*POWER(Upgrades!$I$14,F22)))*(IF(Upgrades!$T$13="Local Bubble",POWER(Upgrades!$U$13,E22),1)*IF(Upgrades!$T$15="Local Bubble",POWER(Upgrades!$U$15,G22),1)*IF(Upgrades!$T$16="Local Bubble",POWER(Upgrades!$U$16,H22),1)*IF(Upgrades!$T$17="Local Bubble",POWER(Upgrades!$U$17,I22),1)*IF(Upgrades!$T$18="Local Bubble",POWER(Upgrades!$U$18,J22),1)*IF(Upgrades!$T$19="Local Bubble",POWER(Upgrades!$U$19,K22),1)*IF(Upgrades!$T$20="Local Bubble",POWER(Upgrades!$U$20,L22),1)*IF(Upgrades!$T$21="Local Bubble",POWER(Upgrades!$U$21,M22),1))+(IF(G22=0,0,(Upgrades!$G$15+G22*Upgrades!$H$15)*POWER(Upgrades!$I$15,G22)))*(IF(Upgrades!$T$13="Microlensing",POWER(Upgrades!$U$13,E22),1)*IF(Upgrades!$T$14="Microlensing",POWER(Upgrades!$U$14,F22),1)*IF(Upgrades!$T$16="Microlensing",POWER(Upgrades!$U$16,H22),1)*IF(Upgrades!$T$17="Microlensing",POWER(Upgrades!$U$17,I22),1)*IF(Upgrades!$T$18="Microlensing",POWER(Upgrades!$U$18,J22),1)*IF(Upgrades!$T$19="Microlensing",POWER(Upgrades!$U$19,K22),1)*IF(Upgrades!$T$20="Microlensing",POWER(Upgrades!$U$20,L22),1)*IF(Upgrades!$T$21="Microlensing",POWER(Upgrades!$U$21,M22),1))+(IF(H22=0,0,(Upgrades!$G$16+H22*Upgrades!$H$16)*POWER(Upgrades!$I$16,H22)))*(IF(Upgrades!$T$13="Roche Lobe Overflow",POWER(Upgrades!$U$13,E22),1)*IF(Upgrades!$T$14="Roche Lobe Overflow",POWER(Upgrades!$U$14,F22),1)*IF(Upgrades!$T$15="Roche Lobe Overflow",POWER(Upgrades!$U$15,G22),1)*IF(Upgrades!$T$17="Roche Lobe Overflow",POWER(Upgrades!$U$17,I22),1)*IF(Upgrades!$T$18="Roche Lobe Overflow",POWER(Upgrades!$U$18,J22),1)*IF(Upgrades!$T$19="Roche Lobe Overflow",POWER(Upgrades!$U$19,K22),1)*IF(Upgrades!$T$20="Roche Lobe Overflow",POWER(Upgrades!$U$20,L22),1)*IF(Upgrades!$T$21="Roche Lobe Overflow",POWER(Upgrades!$U$21,M22),1))+(IF(I22=0,0,(Upgrades!$G$17+I22*Upgrades!$H$17)*POWER(Upgrades!$I$17,I22)))*(IF(Upgrades!$T$13="Brown Dwarf",POWER(Upgrades!$U$13,E22),1)*IF(Upgrades!$T$14="Brown Dwarf",POWER(Upgrades!$U$14,F22),1)*IF(Upgrades!$T$15="Brown Dwarf",POWER(Upgrades!$U$15,G22),1)*IF(Upgrades!$T$16="Brown Dwarf",POWER(Upgrades!$U$16,H22),1)*IF(Upgrades!$T$18="Brown Dwarf",POWER(Upgrades!$U$18,J22),1)*IF(Upgrades!$T$19="Brown Dwarf",POWER(Upgrades!$U$19,K22),1)*IF(Upgrades!$T$20="Brown Dwarf",POWER(Upgrades!$U$20,L22),1)*IF(Upgrades!$T$21="Brown Dwarf",POWER(Upgrades!$U$21,M22),1))+(IF(J22=0,0,(Upgrades!$G$18+J22*Upgrades!$H$18)*POWER(Upgrades!$I$18,J22)))*(IF(Upgrades!$T$13="Binary Partner",POWER(Upgrades!$U$13,E22),1)*IF(Upgrades!$T$14="Binary Partner",POWER(Upgrades!$U$14,F22),1)*IF(Upgrades!$T$15="Binary Partner",POWER(Upgrades!$U$15,G22),1)*IF(Upgrades!$T$16="Binary Partner",POWER(Upgrades!$U$16,H22),1)*IF(Upgrades!$T$17="Binary Partner",POWER(Upgrades!$U$17,I22),1)*IF(Upgrades!$T$19="Binary Partner",POWER(Upgrades!$U$19,K22),1)*IF(Upgrades!$T$20="Binary Partner",POWER(Upgrades!$U$20,L22),1)*IF(Upgrades!$T$21="Binary Partner",POWER(Upgrades!$U$21,M22),1))+(IF(K22=0,0,(Upgrades!$G$19+K22*Upgrades!$H$19)*POWER(Upgrades!$I$19,K22)))*(IF(Upgrades!$T$13="Peculiar Velocity",POWER(Upgrades!$U$13,E22),1)*IF(Upgrades!$T$14="Peculiar Velocity",POWER(Upgrades!$U$14,F22),1)*IF(Upgrades!$T$15="Peculiar Velocity",POWER(Upgrades!$U$15,G22),1)*IF(Upgrades!$T$16="Peculiar Velocity",POWER(Upgrades!$U$16,H22),1)*IF(Upgrades!$T$17="Peculiar Velocity",POWER(Upgrades!$U$17,I22),1)*IF(Upgrades!$T$18="Peculiar Velocity",POWER(Upgrades!$U$18,J22),1)*IF(Upgrades!$T$20="Peculiar Velocity",POWER(Upgrades!$U$20,L22),1)*IF(Upgrades!$T$21="Peculiar Velocity",POWER(Upgrades!$U$21,M22),1))+(IF(L22=0,0,(Upgrades!$G$20+L22*Upgrades!$H$20)*POWER(Upgrades!$I$20,L22)))*(IF(Upgrades!$T$13="Open Cluster",POWER(Upgrades!$U$13,E22),1)*IF(Upgrades!$T$14="Open Cluster",POWER(Upgrades!$U$14,F22),1)*IF(Upgrades!$T$15="Open Cluster",POWER(Upgrades!$U$15,G22),1)*IF(Upgrades!$T$16="Open Cluster",POWER(Upgrades!$U$16,H22),1)*IF(Upgrades!$T$17="Open Cluster",POWER(Upgrades!$U$17,I22),1)*IF(Upgrades!$T$18="Open Cluster",POWER(Upgrades!$U$18,J22),1)*IF(Upgrades!$T$19="Open Cluster",POWER(Upgrades!$U$19,K22),1)*IF(Upgrades!$T$21="Open Cluster",POWER(Upgrades!$U$21,M22),1))+(IF(M22=0,0,(Upgrades!$G$21+M22*Upgrades!$H$21)*POWER(Upgrades!$I$21,M22)))*(IF(Upgrades!$T$13="Moving Group",POWER(Upgrades!$U$13,E22),1)*IF(Upgrades!$T$14="Moving Group",POWER(Upgrades!$U$14,F22),1)*IF(Upgrades!$T$15="Moving Group",POWER(Upgrades!$U$15,G22),1)*IF(Upgrades!$T$16="Moving Group",POWER(Upgrades!$U$16,H22),1)*IF(Upgrades!$T$17="Moving Group",POWER(Upgrades!$U$17,I22),1)*IF(Upgrades!$T$18="Moving Group",POWER(Upgrades!$U$18,J22),1)*IF(Upgrades!$T$19="Moving Group",POWER(Upgrades!$U$19,K22),1)*IF(Upgrades!$T$20="Moving Group",POWER(Upgrades!$U$20,L22),1)))*POWER(Upgrades!$P$13,E22)*POWER(Upgrades!$P$14,F22)*POWER(Upgrades!$P$15,G22)*POWER(Upgrades!$P$16,H22)*POWER(Upgrades!$P$17,I22)*POWER(Upgrades!$P$18,J22)*POWER(Upgrades!$P$19,K22)*POWER(Upgrades!$P$20,L22)*POWER(Upgrades!$P$21,M22)*$F$6+$C$6</f>
        <v/>
      </c>
      <c r="Q22" s="28">
        <f>((IF(E22=0,0,(Upgrades!$M$13+E22*Upgrades!$N$13)*POWER(Upgrades!$O$13,E22)))*(IF(Upgrades!$T$14="Stellar Kinematics",POWER(Upgrades!$U$14,F22),1)*IF(Upgrades!$T$15="Stellar Kinematics",POWER(Upgrades!$U$15,G22),1)*IF(Upgrades!$T$16="Stellar Kinematics",POWER(Upgrades!$U$16,H22),1)*IF(Upgrades!$T$17="Stellar Kinematics",POWER(Upgrades!$U$17,I22),1)*IF(Upgrades!$T$18="Stellar Kinematics",POWER(Upgrades!$U$18,J22),1)*IF(Upgrades!$T$19="Stellar Kinematics",POWER(Upgrades!$U$19,K22),1)*IF(Upgrades!$T$20="Stellar Kinematics",POWER(Upgrades!$U$20,L22),1)*IF(Upgrades!$T$21="Stellar Kinematics",POWER(Upgrades!$U$21,M22),1))+(IF(F22=0,0,(Upgrades!$M$14+F22*Upgrades!$N$14)*POWER(Upgrades!$O$14,F22)))*(IF(Upgrades!$T$13="Local Bubble",POWER(Upgrades!$U$13,E22),1)*IF(Upgrades!$T$15="Local Bubble",POWER(Upgrades!$U$15,G22),1)*IF(Upgrades!$T$16="Local Bubble",POWER(Upgrades!$U$16,H22),1)*IF(Upgrades!$T$17="Local Bubble",POWER(Upgrades!$U$17,I22),1)*IF(Upgrades!$T$18="Local Bubble",POWER(Upgrades!$U$18,J22),1)*IF(Upgrades!$T$19="Local Bubble",POWER(Upgrades!$U$19,K22),1)*IF(Upgrades!$T$20="Local Bubble",POWER(Upgrades!$U$20,L22),1)*IF(Upgrades!$T$21="Local Bubble",POWER(Upgrades!$U$21,M22),1))+(IF(G22=0,0,(Upgrades!$M$15+G22*Upgrades!$N$15)*POWER(Upgrades!$O$15,G22)))*(IF(Upgrades!$T$13="Microlensing",POWER(Upgrades!$U$13,E22),1)*IF(Upgrades!$T$14="Microlensing",POWER(Upgrades!$U$14,F22),1)*IF(Upgrades!$T$16="Microlensing",POWER(Upgrades!$U$16,H22),1)*IF(Upgrades!$T$17="Microlensing",POWER(Upgrades!$U$17,I22),1)*IF(Upgrades!$T$18="Microlensing",POWER(Upgrades!$U$18,J22),1)*IF(Upgrades!$T$19="Microlensing",POWER(Upgrades!$U$19,K22),1)*IF(Upgrades!$T$20="Microlensing",POWER(Upgrades!$U$20,L22),1)*IF(Upgrades!$T$21="Microlensing",POWER(Upgrades!$U$21,M22),1))+(IF(H22=0,0,(Upgrades!$M$16+H22*Upgrades!$N$16)*POWER(Upgrades!$O$16,H22)))*(IF(Upgrades!$T$13="Roche Lobe Overflow",POWER(Upgrades!$U$13,E22),1)*IF(Upgrades!$T$14="Roche Lobe Overflow",POWER(Upgrades!$U$14,F22),1)*IF(Upgrades!$T$15="Roche Lobe Overflow",POWER(Upgrades!$U$15,G22),1)*IF(Upgrades!$T$17="Roche Lobe Overflow",POWER(Upgrades!$U$17,I22),1)*IF(Upgrades!$T$18="Roche Lobe Overflow",POWER(Upgrades!$U$18,J22),1)*IF(Upgrades!$T$19="Roche Lobe Overflow",POWER(Upgrades!$U$19,K22),1)*IF(Upgrades!$T$20="Roche Lobe Overflow",POWER(Upgrades!$U$20,L22),1)*IF(Upgrades!$T$21="Roche Lobe Overflow",POWER(Upgrades!$U$21,M22),1))+(IF(I22=0,0,(Upgrades!$M$17+I22*Upgrades!$N$17)*POWER(Upgrades!$O$17,I22)))*(IF(Upgrades!$T$13="Brown Dwarf",POWER(Upgrades!$U$13,E22),1)*IF(Upgrades!$T$14="Brown Dwarf",POWER(Upgrades!$U$14,F22),1)*IF(Upgrades!$T$15="Brown Dwarf",POWER(Upgrades!$U$15,G22),1)*IF(Upgrades!$T$16="Brown Dwarf",POWER(Upgrades!$U$16,H22),1)*IF(Upgrades!$T$18="Brown Dwarf",POWER(Upgrades!$U$18,J22),1)*IF(Upgrades!$T$19="Brown Dwarf",POWER(Upgrades!$U$19,K22),1)*IF(Upgrades!$T$20="Brown Dwarf",POWER(Upgrades!$U$20,L22),1)*IF(Upgrades!$T$21="Brown Dwarf",POWER(Upgrades!$U$21,M22),1))+(IF(J22=0,0,(Upgrades!$M$18+J22*Upgrades!$N$18)*POWER(Upgrades!$O$18,J22)))*(IF(Upgrades!$T$13="Binary Partner",POWER(Upgrades!$U$13,E22),1)*IF(Upgrades!$T$14="Binary Partner",POWER(Upgrades!$U$14,F22),1)*IF(Upgrades!$T$15="Binary Partner",POWER(Upgrades!$U$15,G22),1)*IF(Upgrades!$T$16="Binary Partner",POWER(Upgrades!$U$16,H22),1)*IF(Upgrades!$T$17="Binary Partner",POWER(Upgrades!$U$17,I22),1)*IF(Upgrades!$T$19="Binary Partner",POWER(Upgrades!$U$19,K22),1)*IF(Upgrades!$T$20="Binary Partner",POWER(Upgrades!$U$20,L22),1)*IF(Upgrades!$T$21="Binary Partner",POWER(Upgrades!$U$21,M22),1))+(IF(K22=0,0,(Upgrades!$M$19+K22*Upgrades!$N$19)*POWER(Upgrades!$O$19,K22)))*(IF(Upgrades!$T$13="Peculiar Velocity",POWER(Upgrades!$U$13,E22),1)*IF(Upgrades!$T$14="Peculiar Velocity",POWER(Upgrades!$U$14,F22),1)*IF(Upgrades!$T$15="Peculiar Velocity",POWER(Upgrades!$U$15,G22),1)*IF(Upgrades!$T$16="Peculiar Velocity",POWER(Upgrades!$U$16,H22),1)*IF(Upgrades!$T$17="Peculiar Velocity",POWER(Upgrades!$U$17,I22),1)*IF(Upgrades!$T$18="Peculiar Velocity",POWER(Upgrades!$U$18,J22),1)*IF(Upgrades!$T$20="Peculiar Velocity",POWER(Upgrades!$U$20,L22),1)*IF(Upgrades!$T$21="Peculiar Velocity",POWER(Upgrades!$U$21,M22),1))+(IF(L22=0,0,(Upgrades!$M$20+L22*Upgrades!$N$20)*POWER(Upgrades!$O$20,L22)))*(IF(Upgrades!$T$13="Open Cluster",POWER(Upgrades!$U$13,E22),1)*IF(Upgrades!$T$14="Open Cluster",POWER(Upgrades!$U$14,F22),1)*IF(Upgrades!$T$15="Open Cluster",POWER(Upgrades!$U$15,G22),1)*IF(Upgrades!$T$16="Open Cluster",POWER(Upgrades!$U$16,H22),1)*IF(Upgrades!$T$17="Open Cluster",POWER(Upgrades!$U$17,I22),1)*IF(Upgrades!$T$18="Open Cluster",POWER(Upgrades!$U$18,J22),1)*IF(Upgrades!$T$19="Open Cluster",POWER(Upgrades!$U$19,K22),1)*IF(Upgrades!$T$21="Open Cluster",POWER(Upgrades!$U$21,M22),1))+(IF(M22=0,0,(Upgrades!$M$21+M22*Upgrades!$N$21)*POWER(Upgrades!$O$21,M22)))*(IF(Upgrades!$T$13="Moving Group",POWER(Upgrades!$U$13,E22),1)*IF(Upgrades!$T$14="Moving Group",POWER(Upgrades!$U$14,F22),1)*IF(Upgrades!$T$15="Moving Group",POWER(Upgrades!$U$15,G22),1)*IF(Upgrades!$T$16="Moving Group",POWER(Upgrades!$U$16,H22),1)*IF(Upgrades!$T$17="Moving Group",POWER(Upgrades!$U$17,I22),1)*IF(Upgrades!$T$18="Moving Group",POWER(Upgrades!$U$18,J22),1)*IF(Upgrades!$T$19="Moving Group",POWER(Upgrades!$U$19,K22),1)*IF(Upgrades!$T$20="Moving Group",POWER(Upgrades!$U$20,L22),1)))*POWER(Upgrades!$R$13,E22)*POWER(Upgrades!$R$14,F22)*POWER(Upgrades!$R$15,G22)*POWER(Upgrades!$R$16,H22)*POWER(Upgrades!$R$17,I22)*POWER(Upgrades!$R$18,J22)*POWER(Upgrades!$R$19,K22)*POWER(Upgrades!$R$20,L22)*POWER(Upgrades!$R$21,M22)*$H$6+$E$6</f>
        <v/>
      </c>
      <c r="R22" s="27">
        <f>IF(N22=1,0,O22*Parameters!$B$10/60*Parameters!$B$11*10)</f>
        <v/>
      </c>
      <c r="S22" s="27">
        <f>IF(N22=1,0,Q22*O22*10)</f>
        <v/>
      </c>
      <c r="T22" s="27">
        <f>IF(N22=1,0,R22+S22+P22*10)</f>
        <v/>
      </c>
      <c r="U22" s="33">
        <f>BE22</f>
        <v/>
      </c>
      <c r="V22" s="22">
        <f>IF(U22="",0,IF(U22="transition",0,IF(U22="SK",AK22,IF(U22="LB",AL22,IF(U22="ML",AM22,IF(U22="RLO",AN22,IF(U22="BD",AO22,IF(U22="BiP",AP22,IF(U22="PV",AQ22,IF(U22="OC",AR22,IF(U22="MG",AS22,0))))))))))</f>
        <v/>
      </c>
      <c r="W22" s="27">
        <f>IF(U22="BiP",Upgrades!$F$18,IF(U22="PV",Upgrades!$F$19,IF(U22="OC",Upgrades!$F$20,IF(U22="MG",Upgrades!$F$21,IF(U22="transition",-Parameters!$B$18*Parameters!$B$19,0)))))</f>
        <v/>
      </c>
      <c r="X22" s="22">
        <f>C22+T22-V22</f>
        <v/>
      </c>
      <c r="Y22" s="30">
        <f>O22*Parameters!$B$10/60*Parameters!$B$11+Q22*O22+P22</f>
        <v/>
      </c>
      <c r="Z22" s="34">
        <f>IF(U22="transition","→ Tier 3 (Galactic Arm)",IF(U22="MG","Moving Group — pocket drifts together",IF(U22="OC","Open Cluster acquired",IF(U22="PV","Peculiar Velocity — passive multiplier active",IF(U22="BiP","Binary Partner — pair bond formed",IF(AND(AU22=1,N22=0,AT22&lt;&gt;1),"Cohesion ready (waiting on completionists)","")))))) </f>
        <v/>
      </c>
      <c r="AA22" s="27">
        <f>(IF(E22=0,0,(Upgrades!$G$13+E22*Upgrades!$H$13)*POWER(Upgrades!$I$13,E22)))*(IF(Upgrades!$T$14="Stellar Kinematics",POWER(Upgrades!$U$14,F22),1)*IF(Upgrades!$T$15="Stellar Kinematics",POWER(Upgrades!$U$15,G22),1)*IF(Upgrades!$T$16="Stellar Kinematics",POWER(Upgrades!$U$16,H22),1)*IF(Upgrades!$T$17="Stellar Kinematics",POWER(Upgrades!$U$17,I22),1)*IF(Upgrades!$T$18="Stellar Kinematics",POWER(Upgrades!$U$18,J22),1)*IF(Upgrades!$T$19="Stellar Kinematics",POWER(Upgrades!$U$19,K22),1)*IF(Upgrades!$T$20="Stellar Kinematics",POWER(Upgrades!$U$20,L22),1)*IF(Upgrades!$T$21="Stellar Kinematics",POWER(Upgrades!$U$21,M22),1))*POWER(Upgrades!$P$13,E22)*POWER(Upgrades!$P$14,F22)*POWER(Upgrades!$P$15,G22)*POWER(Upgrades!$P$16,H22)*POWER(Upgrades!$P$17,I22)*POWER(Upgrades!$P$18,J22)*POWER(Upgrades!$P$19,K22)*POWER(Upgrades!$P$20,L22)*POWER(Upgrades!$P$21,M22)*$F$6*60</f>
        <v/>
      </c>
      <c r="AB22" s="27">
        <f>(IF(F22=0,0,(Upgrades!$G$14+F22*Upgrades!$H$14)*POWER(Upgrades!$I$14,F22)))*(IF(Upgrades!$T$13="Local Bubble",POWER(Upgrades!$U$13,E22),1)*IF(Upgrades!$T$15="Local Bubble",POWER(Upgrades!$U$15,G22),1)*IF(Upgrades!$T$16="Local Bubble",POWER(Upgrades!$U$16,H22),1)*IF(Upgrades!$T$17="Local Bubble",POWER(Upgrades!$U$17,I22),1)*IF(Upgrades!$T$18="Local Bubble",POWER(Upgrades!$U$18,J22),1)*IF(Upgrades!$T$19="Local Bubble",POWER(Upgrades!$U$19,K22),1)*IF(Upgrades!$T$20="Local Bubble",POWER(Upgrades!$U$20,L22),1)*IF(Upgrades!$T$21="Local Bubble",POWER(Upgrades!$U$21,M22),1))*POWER(Upgrades!$P$13,E22)*POWER(Upgrades!$P$14,F22)*POWER(Upgrades!$P$15,G22)*POWER(Upgrades!$P$16,H22)*POWER(Upgrades!$P$17,I22)*POWER(Upgrades!$P$18,J22)*POWER(Upgrades!$P$19,K22)*POWER(Upgrades!$P$20,L22)*POWER(Upgrades!$P$21,M22)*$F$6*60</f>
        <v/>
      </c>
      <c r="AC22" s="27">
        <f>(IF(G22=0,0,(Upgrades!$J$15+G22*Upgrades!$K$15)*POWER(Upgrades!$L$15,G22)))*(IF(Upgrades!$T$13="Microlensing",POWER(Upgrades!$U$13,E22),1)*IF(Upgrades!$T$14="Microlensing",POWER(Upgrades!$U$14,F22),1)*IF(Upgrades!$T$16="Microlensing",POWER(Upgrades!$U$16,H22),1)*IF(Upgrades!$T$17="Microlensing",POWER(Upgrades!$U$17,I22),1)*IF(Upgrades!$T$18="Microlensing",POWER(Upgrades!$U$18,J22),1)*IF(Upgrades!$T$19="Microlensing",POWER(Upgrades!$U$19,K22),1)*IF(Upgrades!$T$20="Microlensing",POWER(Upgrades!$U$20,L22),1)*IF(Upgrades!$T$21="Microlensing",POWER(Upgrades!$U$21,M22),1))*POWER(Upgrades!$Q$13,E22)*POWER(Upgrades!$Q$14,F22)*POWER(Upgrades!$Q$15,G22)*POWER(Upgrades!$Q$16,H22)*POWER(Upgrades!$Q$17,I22)*POWER(Upgrades!$Q$18,J22)*POWER(Upgrades!$Q$19,K22)*POWER(Upgrades!$Q$20,L22)*POWER(Upgrades!$Q$21,M22)*$G$6*(Parameters!$B$10*Parameters!$B$11+Q22*60)</f>
        <v/>
      </c>
      <c r="AD22" s="27">
        <f>(IF(H22=0,0,(Upgrades!$M$16+H22*Upgrades!$N$16)*POWER(Upgrades!$O$16,H22)))*(IF(Upgrades!$T$13="Roche Lobe Overflow",POWER(Upgrades!$U$13,E22),1)*IF(Upgrades!$T$14="Roche Lobe Overflow",POWER(Upgrades!$U$14,F22),1)*IF(Upgrades!$T$15="Roche Lobe Overflow",POWER(Upgrades!$U$15,G22),1)*IF(Upgrades!$T$17="Roche Lobe Overflow",POWER(Upgrades!$U$17,I22),1)*IF(Upgrades!$T$18="Roche Lobe Overflow",POWER(Upgrades!$U$18,J22),1)*IF(Upgrades!$T$19="Roche Lobe Overflow",POWER(Upgrades!$U$19,K22),1)*IF(Upgrades!$T$20="Roche Lobe Overflow",POWER(Upgrades!$U$20,L22),1)*IF(Upgrades!$T$21="Roche Lobe Overflow",POWER(Upgrades!$U$21,M22),1))*POWER(Upgrades!$R$13,E22)*POWER(Upgrades!$R$14,F22)*POWER(Upgrades!$R$15,G22)*POWER(Upgrades!$R$16,H22)*POWER(Upgrades!$R$17,I22)*POWER(Upgrades!$R$18,J22)*POWER(Upgrades!$R$19,K22)*POWER(Upgrades!$R$20,L22)*POWER(Upgrades!$R$21,M22)*$H$6*O22*60</f>
        <v/>
      </c>
      <c r="AE22" s="27">
        <f>(IF(I22=0,0,(Upgrades!$G$17+I22*Upgrades!$H$17)*POWER(Upgrades!$I$17,I22)))*(IF(Upgrades!$T$13="Brown Dwarf",POWER(Upgrades!$U$13,E22),1)*IF(Upgrades!$T$14="Brown Dwarf",POWER(Upgrades!$U$14,F22),1)*IF(Upgrades!$T$15="Brown Dwarf",POWER(Upgrades!$U$15,G22),1)*IF(Upgrades!$T$16="Brown Dwarf",POWER(Upgrades!$U$16,H22),1)*IF(Upgrades!$T$18="Brown Dwarf",POWER(Upgrades!$U$18,J22),1)*IF(Upgrades!$T$19="Brown Dwarf",POWER(Upgrades!$U$19,K22),1)*IF(Upgrades!$T$20="Brown Dwarf",POWER(Upgrades!$U$20,L22),1)*IF(Upgrades!$T$21="Brown Dwarf",POWER(Upgrades!$U$21,M22),1))*POWER(Upgrades!$P$13,E22)*POWER(Upgrades!$P$14,F22)*POWER(Upgrades!$P$15,G22)*POWER(Upgrades!$P$16,H22)*POWER(Upgrades!$P$17,I22)*POWER(Upgrades!$P$18,J22)*POWER(Upgrades!$P$19,K22)*POWER(Upgrades!$P$20,L22)*POWER(Upgrades!$P$21,M22)*$F$6*60</f>
        <v/>
      </c>
      <c r="AF22" s="27" t="n">
        <v>0</v>
      </c>
      <c r="AG22" s="27" t="n">
        <v>0</v>
      </c>
      <c r="AH22" s="27" t="n">
        <v>0</v>
      </c>
      <c r="AI22" s="27">
        <f>(IF(M22=0,0,(Upgrades!$G$21+M22*Upgrades!$H$21)*POWER(Upgrades!$I$21,M22)))*(IF(Upgrades!$T$13="Moving Group",POWER(Upgrades!$U$13,E22),1)*IF(Upgrades!$T$14="Moving Group",POWER(Upgrades!$U$14,F22),1)*IF(Upgrades!$T$15="Moving Group",POWER(Upgrades!$U$15,G22),1)*IF(Upgrades!$T$16="Moving Group",POWER(Upgrades!$U$16,H22),1)*IF(Upgrades!$T$17="Moving Group",POWER(Upgrades!$U$17,I22),1)*IF(Upgrades!$T$18="Moving Group",POWER(Upgrades!$U$18,J22),1)*IF(Upgrades!$T$19="Moving Group",POWER(Upgrades!$U$19,K22),1)*IF(Upgrades!$T$20="Moving Group",POWER(Upgrades!$U$20,L22),1))*POWER(Upgrades!$P$13,E22)*POWER(Upgrades!$P$14,F22)*POWER(Upgrades!$P$15,G22)*POWER(Upgrades!$P$16,H22)*POWER(Upgrades!$P$17,I22)*POWER(Upgrades!$P$18,J22)*POWER(Upgrades!$P$19,K22)*POWER(Upgrades!$P$20,L22)*POWER(Upgrades!$P$21,M22)*$F$6*60</f>
        <v/>
      </c>
      <c r="AJ22" s="27">
        <f>$C$6*60</f>
        <v/>
      </c>
      <c r="AK22" s="22">
        <f>IF(E22&gt;=Upgrades!$E$13,"",Upgrades!$C$13*POWER(Upgrades!$D$13,E22))</f>
        <v/>
      </c>
      <c r="AL22" s="22">
        <f>IF(F22&gt;=Upgrades!$E$14,"",Upgrades!$C$14*POWER(Upgrades!$D$14,F22))</f>
        <v/>
      </c>
      <c r="AM22" s="22">
        <f>IF(G22&gt;=Upgrades!$E$15,"",Upgrades!$C$15*POWER(Upgrades!$D$15,G22))</f>
        <v/>
      </c>
      <c r="AN22" s="22">
        <f>IF(H22&gt;=Upgrades!$E$16,"",Upgrades!$C$16*POWER(Upgrades!$D$16,H22))</f>
        <v/>
      </c>
      <c r="AO22" s="22">
        <f>IF(I22&gt;=Upgrades!$E$17,"",Upgrades!$C$17*POWER(Upgrades!$D$17,I22))</f>
        <v/>
      </c>
      <c r="AP22" s="22">
        <f>IF(J22&gt;=Upgrades!$E$18,"",Upgrades!$C$18*POWER(Upgrades!$D$18,J22))</f>
        <v/>
      </c>
      <c r="AQ22" s="22">
        <f>IF(K22&gt;=Upgrades!$E$19,"",Upgrades!$C$19*POWER(Upgrades!$D$19,K22))</f>
        <v/>
      </c>
      <c r="AR22" s="22">
        <f>IF(L22&gt;=Upgrades!$E$20,"",Upgrades!$C$20*POWER(Upgrades!$D$20,L22))</f>
        <v/>
      </c>
      <c r="AS22" s="22">
        <f>IF(M22&gt;=Upgrades!$E$21,"",Upgrades!$C$21*POWER(Upgrades!$D$21,M22))</f>
        <v/>
      </c>
      <c r="AT22" s="26">
        <f>IF(AND(D22&gt;=Parameters!$B$18*Parameters!$B$19,(I22&gt;=Upgrades!$E$17)*(M22&gt;=Upgrades!$E$21)=1,N22=0),1,"")</f>
        <v/>
      </c>
      <c r="AU22" s="26">
        <f>IF(AND(D22&gt;=Parameters!$B$18*Parameters!$B$19,N22=0),1,"")</f>
        <v/>
      </c>
      <c r="AV22" s="22">
        <f>MIN(IF(ISNUMBER(AP22),AP22,9E15),IF(ISNUMBER(AQ22),AQ22,9E15),IF(ISNUMBER(AR22),AR22,9E15),IF(ISNUMBER(AS22),AS22,9E15))</f>
        <v/>
      </c>
      <c r="AW22" s="22">
        <f>MIN(IF(ISNUMBER(AK22),AK22,9E15),IF(ISNUMBER(AL22),AL22,9E15),IF(ISNUMBER(AM22),AM22,9E15),IF(ISNUMBER(AN22),AN22,9E15),IF(ISNUMBER(AO22),AO22,9E15))</f>
        <v/>
      </c>
      <c r="AX22" s="29">
        <f>IF(BD22&gt;Parameters!$B$21*(MAX(IF(AND(NOT(AND(AU22=1,AT22&lt;&gt;1)),ISNUMBER(AK22),AK22&lt;=(C22+T22)),AY22,0),IF(AND(NOT(AND(AU22=1,AT22&lt;&gt;1)),ISNUMBER(AL22),AL22&lt;=(C22+T22)),AZ22,0),IF(AND(NOT(AND(AU22=1,AT22&lt;&gt;1)),ISNUMBER(AM22),AM22&lt;=(C22+T22)),BA22,0),IF(AND(NOT(AND(AU22=1,AT22&lt;&gt;1)),ISNUMBER(AN22),AN22&lt;=(C22+T22)),BB22,0),IF(AND(ISNUMBER(AO22),AO22&lt;=(C22+T22)),BC22,0))),TRUE,FALSE)</f>
        <v/>
      </c>
      <c r="AY22" s="32">
        <f>IFERROR(Upgrades!$H$13*(POWER(Upgrades!$P$13,E22)*POWER(Upgrades!$P$14,F22)*POWER(Upgrades!$P$15,G22)*POWER(Upgrades!$P$16,H22)*POWER(Upgrades!$P$17,I22)*POWER(Upgrades!$P$18,J22)*POWER(Upgrades!$P$19,K22)*POWER(Upgrades!$P$20,L22)*POWER(Upgrades!$P$21,M22))*(IF(Upgrades!$T$14="Stellar Kinematics",POWER(Upgrades!$U$14,F22),1)*IF(Upgrades!$T$15="Stellar Kinematics",POWER(Upgrades!$U$15,G22),1)*IF(Upgrades!$T$16="Stellar Kinematics",POWER(Upgrades!$U$16,H22),1)*IF(Upgrades!$T$17="Stellar Kinematics",POWER(Upgrades!$U$17,I22),1)*IF(Upgrades!$T$18="Stellar Kinematics",POWER(Upgrades!$U$18,J22),1)*IF(Upgrades!$T$19="Stellar Kinematics",POWER(Upgrades!$U$19,K22),1)*IF(Upgrades!$T$20="Stellar Kinematics",POWER(Upgrades!$U$20,L22),1)*IF(Upgrades!$T$21="Stellar Kinematics",POWER(Upgrades!$U$21,M22),1))*$F$6/AK22,0)</f>
        <v/>
      </c>
      <c r="AZ22" s="32">
        <f>IFERROR(Upgrades!$H$14*(POWER(Upgrades!$P$13,E22)*POWER(Upgrades!$P$14,F22)*POWER(Upgrades!$P$15,G22)*POWER(Upgrades!$P$16,H22)*POWER(Upgrades!$P$17,I22)*POWER(Upgrades!$P$18,J22)*POWER(Upgrades!$P$19,K22)*POWER(Upgrades!$P$20,L22)*POWER(Upgrades!$P$21,M22))*(IF(Upgrades!$T$13="Local Bubble",POWER(Upgrades!$U$13,E22),1)*IF(Upgrades!$T$15="Local Bubble",POWER(Upgrades!$U$15,G22),1)*IF(Upgrades!$T$16="Local Bubble",POWER(Upgrades!$U$16,H22),1)*IF(Upgrades!$T$17="Local Bubble",POWER(Upgrades!$U$17,I22),1)*IF(Upgrades!$T$18="Local Bubble",POWER(Upgrades!$U$18,J22),1)*IF(Upgrades!$T$19="Local Bubble",POWER(Upgrades!$U$19,K22),1)*IF(Upgrades!$T$20="Local Bubble",POWER(Upgrades!$U$20,L22),1)*IF(Upgrades!$T$21="Local Bubble",POWER(Upgrades!$U$21,M22),1))*$F$6/AL22,0)</f>
        <v/>
      </c>
      <c r="BA22" s="32">
        <f>IFERROR(Upgrades!$K$15*(POWER(Upgrades!$Q$13,E22)*POWER(Upgrades!$Q$14,F22)*POWER(Upgrades!$Q$15,G22)*POWER(Upgrades!$Q$16,H22)*POWER(Upgrades!$Q$17,I22)*POWER(Upgrades!$Q$18,J22)*POWER(Upgrades!$Q$19,K22)*POWER(Upgrades!$Q$20,L22)*POWER(Upgrades!$Q$21,M22))*(IF(Upgrades!$T$13="Microlensing",POWER(Upgrades!$U$13,E22),1)*IF(Upgrades!$T$14="Microlensing",POWER(Upgrades!$U$14,F22),1)*IF(Upgrades!$T$16="Microlensing",POWER(Upgrades!$U$16,H22),1)*IF(Upgrades!$T$17="Microlensing",POWER(Upgrades!$U$17,I22),1)*IF(Upgrades!$T$18="Microlensing",POWER(Upgrades!$U$18,J22),1)*IF(Upgrades!$T$19="Microlensing",POWER(Upgrades!$U$19,K22),1)*IF(Upgrades!$T$20="Microlensing",POWER(Upgrades!$U$20,L22),1)*IF(Upgrades!$T$21="Microlensing",POWER(Upgrades!$U$21,M22),1))*$G$6*(Parameters!$B$10/60*Parameters!$B$11+Q22)/AM22,0)</f>
        <v/>
      </c>
      <c r="BB22" s="32">
        <f>IFERROR((Upgrades!$N$16*(POWER(Upgrades!$R$13,E22)*POWER(Upgrades!$R$14,F22)*POWER(Upgrades!$R$15,G22)*POWER(Upgrades!$R$16,H22)*POWER(Upgrades!$R$17,I22)*POWER(Upgrades!$R$18,J22)*POWER(Upgrades!$R$19,K22)*POWER(Upgrades!$R$20,L22)*POWER(Upgrades!$R$21,M22))*(IF(Upgrades!$T$13="Roche Lobe Overflow",POWER(Upgrades!$U$13,E22),1)*IF(Upgrades!$T$14="Roche Lobe Overflow",POWER(Upgrades!$U$14,F22),1)*IF(Upgrades!$T$15="Roche Lobe Overflow",POWER(Upgrades!$U$15,G22),1)*IF(Upgrades!$T$17="Roche Lobe Overflow",POWER(Upgrades!$U$17,I22),1)*IF(Upgrades!$T$18="Roche Lobe Overflow",POWER(Upgrades!$U$18,J22),1)*IF(Upgrades!$T$19="Roche Lobe Overflow",POWER(Upgrades!$U$19,K22),1)*IF(Upgrades!$T$20="Roche Lobe Overflow",POWER(Upgrades!$U$20,L22),1)*IF(Upgrades!$T$21="Roche Lobe Overflow",POWER(Upgrades!$U$21,M22),1))*$H$6*O22+((IF(F22=0,0,(Upgrades!$G$14+F22*Upgrades!$H$14)*POWER(Upgrades!$I$14,F22)))*(IF(Upgrades!$T$13="Local Bubble",POWER(Upgrades!$U$13,E22),1)*IF(Upgrades!$T$15="Local Bubble",POWER(Upgrades!$U$15,G22),1)*IF(Upgrades!$T$16="Local Bubble",POWER(Upgrades!$U$16,H22),1)*IF(Upgrades!$T$17="Local Bubble",POWER(Upgrades!$U$17,I22),1)*IF(Upgrades!$T$18="Local Bubble",POWER(Upgrades!$U$18,J22),1)*IF(Upgrades!$T$19="Local Bubble",POWER(Upgrades!$U$19,K22),1)*IF(Upgrades!$T$20="Local Bubble",POWER(Upgrades!$U$20,L22),1)*IF(Upgrades!$T$21="Local Bubble",POWER(Upgrades!$U$21,M22),1))*POWER(Upgrades!$P$13,E22)*POWER(Upgrades!$P$14,F22)*POWER(Upgrades!$P$15,G22)*POWER(Upgrades!$P$16,H22)*POWER(Upgrades!$P$17,I22)*POWER(Upgrades!$P$18,J22)*POWER(Upgrades!$P$19,K22)*POWER(Upgrades!$P$20,L22)*POWER(Upgrades!$P$21,M22)*$F$6)*0.05)/AN22,0)</f>
        <v/>
      </c>
      <c r="BC22" s="32">
        <f>IFERROR((Upgrades!$H$17*(POWER(Upgrades!$P$13,E22)*POWER(Upgrades!$P$14,F22)*POWER(Upgrades!$P$15,G22)*POWER(Upgrades!$P$16,H22)*POWER(Upgrades!$P$17,I22)*POWER(Upgrades!$P$18,J22)*POWER(Upgrades!$P$19,K22)*POWER(Upgrades!$P$20,L22)*POWER(Upgrades!$P$21,M22))*(IF(Upgrades!$T$13="Brown Dwarf",POWER(Upgrades!$U$13,E22),1)*IF(Upgrades!$T$14="Brown Dwarf",POWER(Upgrades!$U$14,F22),1)*IF(Upgrades!$T$15="Brown Dwarf",POWER(Upgrades!$U$15,G22),1)*IF(Upgrades!$T$16="Brown Dwarf",POWER(Upgrades!$U$16,H22),1)*IF(Upgrades!$T$18="Brown Dwarf",POWER(Upgrades!$U$18,J22),1)*IF(Upgrades!$T$19="Brown Dwarf",POWER(Upgrades!$U$19,K22),1)*IF(Upgrades!$T$20="Brown Dwarf",POWER(Upgrades!$U$20,L22),1)*IF(Upgrades!$T$21="Brown Dwarf",POWER(Upgrades!$U$21,M22),1))*$F$6+(((IF(H22=0,0,(Upgrades!$M$16+H22*Upgrades!$N$16)*POWER(Upgrades!$O$16,H22)))*(IF(Upgrades!$T$13="Roche Lobe Overflow",POWER(Upgrades!$U$13,E22),1)*IF(Upgrades!$T$14="Roche Lobe Overflow",POWER(Upgrades!$U$14,F22),1)*IF(Upgrades!$T$15="Roche Lobe Overflow",POWER(Upgrades!$U$15,G22),1)*IF(Upgrades!$T$17="Roche Lobe Overflow",POWER(Upgrades!$U$17,I22),1)*IF(Upgrades!$T$18="Roche Lobe Overflow",POWER(Upgrades!$U$18,J22),1)*IF(Upgrades!$T$19="Roche Lobe Overflow",POWER(Upgrades!$U$19,K22),1)*IF(Upgrades!$T$20="Roche Lobe Overflow",POWER(Upgrades!$U$20,L22),1)*IF(Upgrades!$T$21="Roche Lobe Overflow",POWER(Upgrades!$U$21,M22),1))*POWER(Upgrades!$R$13,E22)*POWER(Upgrades!$R$14,F22)*POWER(Upgrades!$R$15,G22)*POWER(Upgrades!$R$16,H22)*POWER(Upgrades!$R$17,I22)*POWER(Upgrades!$R$18,J22)*POWER(Upgrades!$R$19,K22)*POWER(Upgrades!$R$20,L22)*POWER(Upgrades!$R$21,M22)*$H$6)*O22)*0.10)/AO22,0)</f>
        <v/>
      </c>
      <c r="BD22" s="32">
        <f>MAX(IF(J22&gt;0,0,IFERROR(0.5*((IF(G22=0,0,(Upgrades!$J$15+G22*Upgrades!$K$15)*POWER(Upgrades!$L$15,G22)))*(IF(Upgrades!$T$13="Microlensing",POWER(Upgrades!$U$13,E22),1)*IF(Upgrades!$T$14="Microlensing",POWER(Upgrades!$U$14,F22),1)*IF(Upgrades!$T$16="Microlensing",POWER(Upgrades!$U$16,H22),1)*IF(Upgrades!$T$17="Microlensing",POWER(Upgrades!$U$17,I22),1)*IF(Upgrades!$T$18="Microlensing",POWER(Upgrades!$U$18,J22),1)*IF(Upgrades!$T$19="Microlensing",POWER(Upgrades!$U$19,K22),1)*IF(Upgrades!$T$20="Microlensing",POWER(Upgrades!$U$20,L22),1)*IF(Upgrades!$T$21="Microlensing",POWER(Upgrades!$U$21,M22),1))*(POWER(Upgrades!$Q$13,E22)*POWER(Upgrades!$Q$14,F22)*POWER(Upgrades!$Q$15,G22)*POWER(Upgrades!$Q$16,H22)*POWER(Upgrades!$Q$17,I22)*POWER(Upgrades!$Q$18,J22)*POWER(Upgrades!$Q$19,K22)*POWER(Upgrades!$Q$20,L22)*POWER(Upgrades!$Q$21,M22))*$G$6*(Parameters!$B$10/60*Parameters!$B$11+Q22))/Upgrades!$C$18,0)),IF(K22&gt;0,0,IFERROR(0.30*P22/Upgrades!$C$19,0)),IF(L22&gt;0,0,IFERROR(0.0001/Upgrades!$C$20,0)),IF(M22&gt;0,0,IFERROR((6.0*(POWER(Upgrades!$P$13,E22)*POWER(Upgrades!$P$14,F22)*POWER(Upgrades!$P$15,G22)*POWER(Upgrades!$P$16,H22)*POWER(Upgrades!$P$17,I22)*POWER(Upgrades!$P$18,J22)*POWER(Upgrades!$P$19,K22)*POWER(Upgrades!$P$20,L22)*POWER(Upgrades!$P$21,M22))*$F$6+0.20*O22*(Parameters!$B$10/60*Parameters!$B$11+Q22))/Upgrades!$C$21,0)),IF(AND(ISNUMBER(AK22),AK22&gt;(C22+T22)),AY22,0),IF(AND(ISNUMBER(AL22),AL22&gt;(C22+T22)),AZ22,0),IF(AND(ISNUMBER(AM22),AM22&gt;(C22+T22)),BA22,0),IF(AND(ISNUMBER(AN22),AN22&gt;(C22+T22)),BB22,0),IF(AND(ISNUMBER(AO22),AO22&gt;(C22+T22)),BC22,0))</f>
        <v/>
      </c>
      <c r="BE22" s="29">
        <f>IF(AT22=1,"transition",IF(MIN(IF(AND(J22=0,ISNUMBER(AP22),AP22&lt;=(C22+T22)),AP22,9E15),IF(AND(K22=0,ISNUMBER(AQ22),AQ22&lt;=(C22+T22)),AQ22,9E15),IF(AND(L22=0,ISNUMBER(AR22),AR22&lt;=(C22+T22)),AR22,9E15),IF(AND(M22=0,ISNUMBER(AS22),AS22&lt;=(C22+T22)),AS22,9E15))&lt;9E15,IF(AND(AND(J22=0,ISNUMBER(AP22),AP22&lt;=(C22+T22)),AP22=MIN(IF(AND(J22=0,ISNUMBER(AP22),AP22&lt;=(C22+T22)),AP22,9E15),IF(AND(K22=0,ISNUMBER(AQ22),AQ22&lt;=(C22+T22)),AQ22,9E15),IF(AND(L22=0,ISNUMBER(AR22),AR22&lt;=(C22+T22)),AR22,9E15),IF(AND(M22=0,ISNUMBER(AS22),AS22&lt;=(C22+T22)),AS22,9E15))),"BiP",IF(AND(AND(K22=0,ISNUMBER(AQ22),AQ22&lt;=(C22+T22)),AQ22=MIN(IF(AND(J22=0,ISNUMBER(AP22),AP22&lt;=(C22+T22)),AP22,9E15),IF(AND(K22=0,ISNUMBER(AQ22),AQ22&lt;=(C22+T22)),AQ22,9E15),IF(AND(L22=0,ISNUMBER(AR22),AR22&lt;=(C22+T22)),AR22,9E15),IF(AND(M22=0,ISNUMBER(AS22),AS22&lt;=(C22+T22)),AS22,9E15))),"PV",IF(AND(AND(L22=0,ISNUMBER(AR22),AR22&lt;=(C22+T22)),AR22=MIN(IF(AND(J22=0,ISNUMBER(AP22),AP22&lt;=(C22+T22)),AP22,9E15),IF(AND(K22=0,ISNUMBER(AQ22),AQ22&lt;=(C22+T22)),AQ22,9E15),IF(AND(L22=0,ISNUMBER(AR22),AR22&lt;=(C22+T22)),AR22,9E15),IF(AND(M22=0,ISNUMBER(AS22),AS22&lt;=(C22+T22)),AS22,9E15))),"OC","MG"))),IF(AX22=TRUE,"",IF(MAX(IF(AND(NOT(AND(AU22=1,AT22&lt;&gt;1)),ISNUMBER(AK22),AK22&lt;=(C22+T22)),AY22,0),IF(AND(NOT(AND(AU22=1,AT22&lt;&gt;1)),ISNUMBER(AL22),AL22&lt;=(C22+T22)),AZ22,0),IF(AND(NOT(AND(AU22=1,AT22&lt;&gt;1)),ISNUMBER(AM22),AM22&lt;=(C22+T22)),BA22,0),IF(AND(NOT(AND(AU22=1,AT22&lt;&gt;1)),ISNUMBER(AN22),AN22&lt;=(C22+T22)),BB22,0),IF(AND(ISNUMBER(AO22),AO22&lt;=(C22+T22)),BC22,0))&lt;=0,"",IF(AND(IF(AND(NOT(AND(AU22=1,AT22&lt;&gt;1)),ISNUMBER(AK22),AK22&lt;=(C22+T22)),AY22,0)&gt;0,IF(AND(NOT(AND(AU22=1,AT22&lt;&gt;1)),ISNUMBER(AK22),AK22&lt;=(C22+T22)),AY22,0)=MAX(IF(AND(NOT(AND(AU22=1,AT22&lt;&gt;1)),ISNUMBER(AK22),AK22&lt;=(C22+T22)),AY22,0),IF(AND(NOT(AND(AU22=1,AT22&lt;&gt;1)),ISNUMBER(AL22),AL22&lt;=(C22+T22)),AZ22,0),IF(AND(NOT(AND(AU22=1,AT22&lt;&gt;1)),ISNUMBER(AM22),AM22&lt;=(C22+T22)),BA22,0),IF(AND(NOT(AND(AU22=1,AT22&lt;&gt;1)),ISNUMBER(AN22),AN22&lt;=(C22+T22)),BB22,0),IF(AND(ISNUMBER(AO22),AO22&lt;=(C22+T22)),BC22,0))),"SK",IF(AND(IF(AND(NOT(AND(AU22=1,AT22&lt;&gt;1)),ISNUMBER(AL22),AL22&lt;=(C22+T22)),AZ22,0)&gt;0,IF(AND(NOT(AND(AU22=1,AT22&lt;&gt;1)),ISNUMBER(AL22),AL22&lt;=(C22+T22)),AZ22,0)=MAX(IF(AND(NOT(AND(AU22=1,AT22&lt;&gt;1)),ISNUMBER(AK22),AK22&lt;=(C22+T22)),AY22,0),IF(AND(NOT(AND(AU22=1,AT22&lt;&gt;1)),ISNUMBER(AL22),AL22&lt;=(C22+T22)),AZ22,0),IF(AND(NOT(AND(AU22=1,AT22&lt;&gt;1)),ISNUMBER(AM22),AM22&lt;=(C22+T22)),BA22,0),IF(AND(NOT(AND(AU22=1,AT22&lt;&gt;1)),ISNUMBER(AN22),AN22&lt;=(C22+T22)),BB22,0),IF(AND(ISNUMBER(AO22),AO22&lt;=(C22+T22)),BC22,0))),"LB",IF(AND(IF(AND(NOT(AND(AU22=1,AT22&lt;&gt;1)),ISNUMBER(AM22),AM22&lt;=(C22+T22)),BA22,0)&gt;0,IF(AND(NOT(AND(AU22=1,AT22&lt;&gt;1)),ISNUMBER(AM22),AM22&lt;=(C22+T22)),BA22,0)=MAX(IF(AND(NOT(AND(AU22=1,AT22&lt;&gt;1)),ISNUMBER(AK22),AK22&lt;=(C22+T22)),AY22,0),IF(AND(NOT(AND(AU22=1,AT22&lt;&gt;1)),ISNUMBER(AL22),AL22&lt;=(C22+T22)),AZ22,0),IF(AND(NOT(AND(AU22=1,AT22&lt;&gt;1)),ISNUMBER(AM22),AM22&lt;=(C22+T22)),BA22,0),IF(AND(NOT(AND(AU22=1,AT22&lt;&gt;1)),ISNUMBER(AN22),AN22&lt;=(C22+T22)),BB22,0),IF(AND(ISNUMBER(AO22),AO22&lt;=(C22+T22)),BC22,0))),"ML",IF(AND(IF(AND(NOT(AND(AU22=1,AT22&lt;&gt;1)),ISNUMBER(AN22),AN22&lt;=(C22+T22)),BB22,0)&gt;0,IF(AND(NOT(AND(AU22=1,AT22&lt;&gt;1)),ISNUMBER(AN22),AN22&lt;=(C22+T22)),BB22,0)=MAX(IF(AND(NOT(AND(AU22=1,AT22&lt;&gt;1)),ISNUMBER(AK22),AK22&lt;=(C22+T22)),AY22,0),IF(AND(NOT(AND(AU22=1,AT22&lt;&gt;1)),ISNUMBER(AL22),AL22&lt;=(C22+T22)),AZ22,0),IF(AND(NOT(AND(AU22=1,AT22&lt;&gt;1)),ISNUMBER(AM22),AM22&lt;=(C22+T22)),BA22,0),IF(AND(NOT(AND(AU22=1,AT22&lt;&gt;1)),ISNUMBER(AN22),AN22&lt;=(C22+T22)),BB22,0),IF(AND(ISNUMBER(AO22),AO22&lt;=(C22+T22)),BC22,0))),"RLO","BD"))))))))</f>
        <v/>
      </c>
    </row>
    <row r="23">
      <c r="A23" s="26" t="n">
        <v>12</v>
      </c>
      <c r="B23" s="27">
        <f>A23*10/60</f>
        <v/>
      </c>
      <c r="C23" s="22">
        <f>X22</f>
        <v/>
      </c>
      <c r="D23" s="27">
        <f>D22+W22</f>
        <v/>
      </c>
      <c r="E23" s="26">
        <f>E22+IF(U22="SK",1,0)</f>
        <v/>
      </c>
      <c r="F23" s="26">
        <f>F22+IF(U22="LB",1,0)</f>
        <v/>
      </c>
      <c r="G23" s="26">
        <f>G22+IF(U22="ML",1,0)</f>
        <v/>
      </c>
      <c r="H23" s="26">
        <f>H22+IF(U22="RLO",1,0)</f>
        <v/>
      </c>
      <c r="I23" s="26">
        <f>I22+IF(U22="BD",1,0)</f>
        <v/>
      </c>
      <c r="J23" s="26">
        <f>MAX(J22,IF(U22="BiP",1,0))</f>
        <v/>
      </c>
      <c r="K23" s="26">
        <f>MAX(K22,IF(U22="PV",1,0))</f>
        <v/>
      </c>
      <c r="L23" s="26">
        <f>MAX(L22,IF(U22="OC",1,0))</f>
        <v/>
      </c>
      <c r="M23" s="26">
        <f>MAX(M22,IF(U22="MG",1,0))</f>
        <v/>
      </c>
      <c r="N23" s="26">
        <f>MAX(N22,IF(U22="transition",1,0))</f>
        <v/>
      </c>
      <c r="O23" s="28">
        <f>(Parameters!$B$9+(IF(E23=0,0,(Upgrades!$J$13+E23*Upgrades!$K$13)*POWER(Upgrades!$L$13,E23)))*(IF(Upgrades!$T$14="Stellar Kinematics",POWER(Upgrades!$U$14,F23),1)*IF(Upgrades!$T$15="Stellar Kinematics",POWER(Upgrades!$U$15,G23),1)*IF(Upgrades!$T$16="Stellar Kinematics",POWER(Upgrades!$U$16,H23),1)*IF(Upgrades!$T$17="Stellar Kinematics",POWER(Upgrades!$U$17,I23),1)*IF(Upgrades!$T$18="Stellar Kinematics",POWER(Upgrades!$U$18,J23),1)*IF(Upgrades!$T$19="Stellar Kinematics",POWER(Upgrades!$U$19,K23),1)*IF(Upgrades!$T$20="Stellar Kinematics",POWER(Upgrades!$U$20,L23),1)*IF(Upgrades!$T$21="Stellar Kinematics",POWER(Upgrades!$U$21,M23),1))+(IF(F23=0,0,(Upgrades!$J$14+F23*Upgrades!$K$14)*POWER(Upgrades!$L$14,F23)))*(IF(Upgrades!$T$13="Local Bubble",POWER(Upgrades!$U$13,E23),1)*IF(Upgrades!$T$15="Local Bubble",POWER(Upgrades!$U$15,G23),1)*IF(Upgrades!$T$16="Local Bubble",POWER(Upgrades!$U$16,H23),1)*IF(Upgrades!$T$17="Local Bubble",POWER(Upgrades!$U$17,I23),1)*IF(Upgrades!$T$18="Local Bubble",POWER(Upgrades!$U$18,J23),1)*IF(Upgrades!$T$19="Local Bubble",POWER(Upgrades!$U$19,K23),1)*IF(Upgrades!$T$20="Local Bubble",POWER(Upgrades!$U$20,L23),1)*IF(Upgrades!$T$21="Local Bubble",POWER(Upgrades!$U$21,M23),1))+(IF(G23=0,0,(Upgrades!$J$15+G23*Upgrades!$K$15)*POWER(Upgrades!$L$15,G23)))*(IF(Upgrades!$T$13="Microlensing",POWER(Upgrades!$U$13,E23),1)*IF(Upgrades!$T$14="Microlensing",POWER(Upgrades!$U$14,F23),1)*IF(Upgrades!$T$16="Microlensing",POWER(Upgrades!$U$16,H23),1)*IF(Upgrades!$T$17="Microlensing",POWER(Upgrades!$U$17,I23),1)*IF(Upgrades!$T$18="Microlensing",POWER(Upgrades!$U$18,J23),1)*IF(Upgrades!$T$19="Microlensing",POWER(Upgrades!$U$19,K23),1)*IF(Upgrades!$T$20="Microlensing",POWER(Upgrades!$U$20,L23),1)*IF(Upgrades!$T$21="Microlensing",POWER(Upgrades!$U$21,M23),1))+(IF(H23=0,0,(Upgrades!$J$16+H23*Upgrades!$K$16)*POWER(Upgrades!$L$16,H23)))*(IF(Upgrades!$T$13="Roche Lobe Overflow",POWER(Upgrades!$U$13,E23),1)*IF(Upgrades!$T$14="Roche Lobe Overflow",POWER(Upgrades!$U$14,F23),1)*IF(Upgrades!$T$15="Roche Lobe Overflow",POWER(Upgrades!$U$15,G23),1)*IF(Upgrades!$T$17="Roche Lobe Overflow",POWER(Upgrades!$U$17,I23),1)*IF(Upgrades!$T$18="Roche Lobe Overflow",POWER(Upgrades!$U$18,J23),1)*IF(Upgrades!$T$19="Roche Lobe Overflow",POWER(Upgrades!$U$19,K23),1)*IF(Upgrades!$T$20="Roche Lobe Overflow",POWER(Upgrades!$U$20,L23),1)*IF(Upgrades!$T$21="Roche Lobe Overflow",POWER(Upgrades!$U$21,M23),1))+(IF(I23=0,0,(Upgrades!$J$17+I23*Upgrades!$K$17)*POWER(Upgrades!$L$17,I23)))*(IF(Upgrades!$T$13="Brown Dwarf",POWER(Upgrades!$U$13,E23),1)*IF(Upgrades!$T$14="Brown Dwarf",POWER(Upgrades!$U$14,F23),1)*IF(Upgrades!$T$15="Brown Dwarf",POWER(Upgrades!$U$15,G23),1)*IF(Upgrades!$T$16="Brown Dwarf",POWER(Upgrades!$U$16,H23),1)*IF(Upgrades!$T$18="Brown Dwarf",POWER(Upgrades!$U$18,J23),1)*IF(Upgrades!$T$19="Brown Dwarf",POWER(Upgrades!$U$19,K23),1)*IF(Upgrades!$T$20="Brown Dwarf",POWER(Upgrades!$U$20,L23),1)*IF(Upgrades!$T$21="Brown Dwarf",POWER(Upgrades!$U$21,M23),1))+(IF(J23=0,0,(Upgrades!$J$18+J23*Upgrades!$K$18)*POWER(Upgrades!$L$18,J23)))*(IF(Upgrades!$T$13="Binary Partner",POWER(Upgrades!$U$13,E23),1)*IF(Upgrades!$T$14="Binary Partner",POWER(Upgrades!$U$14,F23),1)*IF(Upgrades!$T$15="Binary Partner",POWER(Upgrades!$U$15,G23),1)*IF(Upgrades!$T$16="Binary Partner",POWER(Upgrades!$U$16,H23),1)*IF(Upgrades!$T$17="Binary Partner",POWER(Upgrades!$U$17,I23),1)*IF(Upgrades!$T$19="Binary Partner",POWER(Upgrades!$U$19,K23),1)*IF(Upgrades!$T$20="Binary Partner",POWER(Upgrades!$U$20,L23),1)*IF(Upgrades!$T$21="Binary Partner",POWER(Upgrades!$U$21,M23),1))+(IF(K23=0,0,(Upgrades!$J$19+K23*Upgrades!$K$19)*POWER(Upgrades!$L$19,K23)))*(IF(Upgrades!$T$13="Peculiar Velocity",POWER(Upgrades!$U$13,E23),1)*IF(Upgrades!$T$14="Peculiar Velocity",POWER(Upgrades!$U$14,F23),1)*IF(Upgrades!$T$15="Peculiar Velocity",POWER(Upgrades!$U$15,G23),1)*IF(Upgrades!$T$16="Peculiar Velocity",POWER(Upgrades!$U$16,H23),1)*IF(Upgrades!$T$17="Peculiar Velocity",POWER(Upgrades!$U$17,I23),1)*IF(Upgrades!$T$18="Peculiar Velocity",POWER(Upgrades!$U$18,J23),1)*IF(Upgrades!$T$20="Peculiar Velocity",POWER(Upgrades!$U$20,L23),1)*IF(Upgrades!$T$21="Peculiar Velocity",POWER(Upgrades!$U$21,M23),1))+(IF(L23=0,0,(Upgrades!$J$20+L23*Upgrades!$K$20)*POWER(Upgrades!$L$20,L23)))*(IF(Upgrades!$T$13="Open Cluster",POWER(Upgrades!$U$13,E23),1)*IF(Upgrades!$T$14="Open Cluster",POWER(Upgrades!$U$14,F23),1)*IF(Upgrades!$T$15="Open Cluster",POWER(Upgrades!$U$15,G23),1)*IF(Upgrades!$T$16="Open Cluster",POWER(Upgrades!$U$16,H23),1)*IF(Upgrades!$T$17="Open Cluster",POWER(Upgrades!$U$17,I23),1)*IF(Upgrades!$T$18="Open Cluster",POWER(Upgrades!$U$18,J23),1)*IF(Upgrades!$T$19="Open Cluster",POWER(Upgrades!$U$19,K23),1)*IF(Upgrades!$T$21="Open Cluster",POWER(Upgrades!$U$21,M23),1))+(IF(M23=0,0,(Upgrades!$J$21+M23*Upgrades!$K$21)*POWER(Upgrades!$L$21,M23)))*(IF(Upgrades!$T$13="Moving Group",POWER(Upgrades!$U$13,E23),1)*IF(Upgrades!$T$14="Moving Group",POWER(Upgrades!$U$14,F23),1)*IF(Upgrades!$T$15="Moving Group",POWER(Upgrades!$U$15,G23),1)*IF(Upgrades!$T$16="Moving Group",POWER(Upgrades!$U$16,H23),1)*IF(Upgrades!$T$17="Moving Group",POWER(Upgrades!$U$17,I23),1)*IF(Upgrades!$T$18="Moving Group",POWER(Upgrades!$U$18,J23),1)*IF(Upgrades!$T$19="Moving Group",POWER(Upgrades!$U$19,K23),1)*IF(Upgrades!$T$20="Moving Group",POWER(Upgrades!$U$20,L23),1)))*POWER(Upgrades!$Q$13,E23)*POWER(Upgrades!$Q$14,F23)*POWER(Upgrades!$Q$15,G23)*POWER(Upgrades!$Q$16,H23)*POWER(Upgrades!$Q$17,I23)*POWER(Upgrades!$Q$18,J23)*POWER(Upgrades!$Q$19,K23)*POWER(Upgrades!$Q$20,L23)*POWER(Upgrades!$Q$21,M23)*$G$6+$D$6</f>
        <v/>
      </c>
      <c r="P23" s="28">
        <f>((IF(E23=0,0,(Upgrades!$G$13+E23*Upgrades!$H$13)*POWER(Upgrades!$I$13,E23)))*(IF(Upgrades!$T$14="Stellar Kinematics",POWER(Upgrades!$U$14,F23),1)*IF(Upgrades!$T$15="Stellar Kinematics",POWER(Upgrades!$U$15,G23),1)*IF(Upgrades!$T$16="Stellar Kinematics",POWER(Upgrades!$U$16,H23),1)*IF(Upgrades!$T$17="Stellar Kinematics",POWER(Upgrades!$U$17,I23),1)*IF(Upgrades!$T$18="Stellar Kinematics",POWER(Upgrades!$U$18,J23),1)*IF(Upgrades!$T$19="Stellar Kinematics",POWER(Upgrades!$U$19,K23),1)*IF(Upgrades!$T$20="Stellar Kinematics",POWER(Upgrades!$U$20,L23),1)*IF(Upgrades!$T$21="Stellar Kinematics",POWER(Upgrades!$U$21,M23),1))+(IF(F23=0,0,(Upgrades!$G$14+F23*Upgrades!$H$14)*POWER(Upgrades!$I$14,F23)))*(IF(Upgrades!$T$13="Local Bubble",POWER(Upgrades!$U$13,E23),1)*IF(Upgrades!$T$15="Local Bubble",POWER(Upgrades!$U$15,G23),1)*IF(Upgrades!$T$16="Local Bubble",POWER(Upgrades!$U$16,H23),1)*IF(Upgrades!$T$17="Local Bubble",POWER(Upgrades!$U$17,I23),1)*IF(Upgrades!$T$18="Local Bubble",POWER(Upgrades!$U$18,J23),1)*IF(Upgrades!$T$19="Local Bubble",POWER(Upgrades!$U$19,K23),1)*IF(Upgrades!$T$20="Local Bubble",POWER(Upgrades!$U$20,L23),1)*IF(Upgrades!$T$21="Local Bubble",POWER(Upgrades!$U$21,M23),1))+(IF(G23=0,0,(Upgrades!$G$15+G23*Upgrades!$H$15)*POWER(Upgrades!$I$15,G23)))*(IF(Upgrades!$T$13="Microlensing",POWER(Upgrades!$U$13,E23),1)*IF(Upgrades!$T$14="Microlensing",POWER(Upgrades!$U$14,F23),1)*IF(Upgrades!$T$16="Microlensing",POWER(Upgrades!$U$16,H23),1)*IF(Upgrades!$T$17="Microlensing",POWER(Upgrades!$U$17,I23),1)*IF(Upgrades!$T$18="Microlensing",POWER(Upgrades!$U$18,J23),1)*IF(Upgrades!$T$19="Microlensing",POWER(Upgrades!$U$19,K23),1)*IF(Upgrades!$T$20="Microlensing",POWER(Upgrades!$U$20,L23),1)*IF(Upgrades!$T$21="Microlensing",POWER(Upgrades!$U$21,M23),1))+(IF(H23=0,0,(Upgrades!$G$16+H23*Upgrades!$H$16)*POWER(Upgrades!$I$16,H23)))*(IF(Upgrades!$T$13="Roche Lobe Overflow",POWER(Upgrades!$U$13,E23),1)*IF(Upgrades!$T$14="Roche Lobe Overflow",POWER(Upgrades!$U$14,F23),1)*IF(Upgrades!$T$15="Roche Lobe Overflow",POWER(Upgrades!$U$15,G23),1)*IF(Upgrades!$T$17="Roche Lobe Overflow",POWER(Upgrades!$U$17,I23),1)*IF(Upgrades!$T$18="Roche Lobe Overflow",POWER(Upgrades!$U$18,J23),1)*IF(Upgrades!$T$19="Roche Lobe Overflow",POWER(Upgrades!$U$19,K23),1)*IF(Upgrades!$T$20="Roche Lobe Overflow",POWER(Upgrades!$U$20,L23),1)*IF(Upgrades!$T$21="Roche Lobe Overflow",POWER(Upgrades!$U$21,M23),1))+(IF(I23=0,0,(Upgrades!$G$17+I23*Upgrades!$H$17)*POWER(Upgrades!$I$17,I23)))*(IF(Upgrades!$T$13="Brown Dwarf",POWER(Upgrades!$U$13,E23),1)*IF(Upgrades!$T$14="Brown Dwarf",POWER(Upgrades!$U$14,F23),1)*IF(Upgrades!$T$15="Brown Dwarf",POWER(Upgrades!$U$15,G23),1)*IF(Upgrades!$T$16="Brown Dwarf",POWER(Upgrades!$U$16,H23),1)*IF(Upgrades!$T$18="Brown Dwarf",POWER(Upgrades!$U$18,J23),1)*IF(Upgrades!$T$19="Brown Dwarf",POWER(Upgrades!$U$19,K23),1)*IF(Upgrades!$T$20="Brown Dwarf",POWER(Upgrades!$U$20,L23),1)*IF(Upgrades!$T$21="Brown Dwarf",POWER(Upgrades!$U$21,M23),1))+(IF(J23=0,0,(Upgrades!$G$18+J23*Upgrades!$H$18)*POWER(Upgrades!$I$18,J23)))*(IF(Upgrades!$T$13="Binary Partner",POWER(Upgrades!$U$13,E23),1)*IF(Upgrades!$T$14="Binary Partner",POWER(Upgrades!$U$14,F23),1)*IF(Upgrades!$T$15="Binary Partner",POWER(Upgrades!$U$15,G23),1)*IF(Upgrades!$T$16="Binary Partner",POWER(Upgrades!$U$16,H23),1)*IF(Upgrades!$T$17="Binary Partner",POWER(Upgrades!$U$17,I23),1)*IF(Upgrades!$T$19="Binary Partner",POWER(Upgrades!$U$19,K23),1)*IF(Upgrades!$T$20="Binary Partner",POWER(Upgrades!$U$20,L23),1)*IF(Upgrades!$T$21="Binary Partner",POWER(Upgrades!$U$21,M23),1))+(IF(K23=0,0,(Upgrades!$G$19+K23*Upgrades!$H$19)*POWER(Upgrades!$I$19,K23)))*(IF(Upgrades!$T$13="Peculiar Velocity",POWER(Upgrades!$U$13,E23),1)*IF(Upgrades!$T$14="Peculiar Velocity",POWER(Upgrades!$U$14,F23),1)*IF(Upgrades!$T$15="Peculiar Velocity",POWER(Upgrades!$U$15,G23),1)*IF(Upgrades!$T$16="Peculiar Velocity",POWER(Upgrades!$U$16,H23),1)*IF(Upgrades!$T$17="Peculiar Velocity",POWER(Upgrades!$U$17,I23),1)*IF(Upgrades!$T$18="Peculiar Velocity",POWER(Upgrades!$U$18,J23),1)*IF(Upgrades!$T$20="Peculiar Velocity",POWER(Upgrades!$U$20,L23),1)*IF(Upgrades!$T$21="Peculiar Velocity",POWER(Upgrades!$U$21,M23),1))+(IF(L23=0,0,(Upgrades!$G$20+L23*Upgrades!$H$20)*POWER(Upgrades!$I$20,L23)))*(IF(Upgrades!$T$13="Open Cluster",POWER(Upgrades!$U$13,E23),1)*IF(Upgrades!$T$14="Open Cluster",POWER(Upgrades!$U$14,F23),1)*IF(Upgrades!$T$15="Open Cluster",POWER(Upgrades!$U$15,G23),1)*IF(Upgrades!$T$16="Open Cluster",POWER(Upgrades!$U$16,H23),1)*IF(Upgrades!$T$17="Open Cluster",POWER(Upgrades!$U$17,I23),1)*IF(Upgrades!$T$18="Open Cluster",POWER(Upgrades!$U$18,J23),1)*IF(Upgrades!$T$19="Open Cluster",POWER(Upgrades!$U$19,K23),1)*IF(Upgrades!$T$21="Open Cluster",POWER(Upgrades!$U$21,M23),1))+(IF(M23=0,0,(Upgrades!$G$21+M23*Upgrades!$H$21)*POWER(Upgrades!$I$21,M23)))*(IF(Upgrades!$T$13="Moving Group",POWER(Upgrades!$U$13,E23),1)*IF(Upgrades!$T$14="Moving Group",POWER(Upgrades!$U$14,F23),1)*IF(Upgrades!$T$15="Moving Group",POWER(Upgrades!$U$15,G23),1)*IF(Upgrades!$T$16="Moving Group",POWER(Upgrades!$U$16,H23),1)*IF(Upgrades!$T$17="Moving Group",POWER(Upgrades!$U$17,I23),1)*IF(Upgrades!$T$18="Moving Group",POWER(Upgrades!$U$18,J23),1)*IF(Upgrades!$T$19="Moving Group",POWER(Upgrades!$U$19,K23),1)*IF(Upgrades!$T$20="Moving Group",POWER(Upgrades!$U$20,L23),1)))*POWER(Upgrades!$P$13,E23)*POWER(Upgrades!$P$14,F23)*POWER(Upgrades!$P$15,G23)*POWER(Upgrades!$P$16,H23)*POWER(Upgrades!$P$17,I23)*POWER(Upgrades!$P$18,J23)*POWER(Upgrades!$P$19,K23)*POWER(Upgrades!$P$20,L23)*POWER(Upgrades!$P$21,M23)*$F$6+$C$6</f>
        <v/>
      </c>
      <c r="Q23" s="28">
        <f>((IF(E23=0,0,(Upgrades!$M$13+E23*Upgrades!$N$13)*POWER(Upgrades!$O$13,E23)))*(IF(Upgrades!$T$14="Stellar Kinematics",POWER(Upgrades!$U$14,F23),1)*IF(Upgrades!$T$15="Stellar Kinematics",POWER(Upgrades!$U$15,G23),1)*IF(Upgrades!$T$16="Stellar Kinematics",POWER(Upgrades!$U$16,H23),1)*IF(Upgrades!$T$17="Stellar Kinematics",POWER(Upgrades!$U$17,I23),1)*IF(Upgrades!$T$18="Stellar Kinematics",POWER(Upgrades!$U$18,J23),1)*IF(Upgrades!$T$19="Stellar Kinematics",POWER(Upgrades!$U$19,K23),1)*IF(Upgrades!$T$20="Stellar Kinematics",POWER(Upgrades!$U$20,L23),1)*IF(Upgrades!$T$21="Stellar Kinematics",POWER(Upgrades!$U$21,M23),1))+(IF(F23=0,0,(Upgrades!$M$14+F23*Upgrades!$N$14)*POWER(Upgrades!$O$14,F23)))*(IF(Upgrades!$T$13="Local Bubble",POWER(Upgrades!$U$13,E23),1)*IF(Upgrades!$T$15="Local Bubble",POWER(Upgrades!$U$15,G23),1)*IF(Upgrades!$T$16="Local Bubble",POWER(Upgrades!$U$16,H23),1)*IF(Upgrades!$T$17="Local Bubble",POWER(Upgrades!$U$17,I23),1)*IF(Upgrades!$T$18="Local Bubble",POWER(Upgrades!$U$18,J23),1)*IF(Upgrades!$T$19="Local Bubble",POWER(Upgrades!$U$19,K23),1)*IF(Upgrades!$T$20="Local Bubble",POWER(Upgrades!$U$20,L23),1)*IF(Upgrades!$T$21="Local Bubble",POWER(Upgrades!$U$21,M23),1))+(IF(G23=0,0,(Upgrades!$M$15+G23*Upgrades!$N$15)*POWER(Upgrades!$O$15,G23)))*(IF(Upgrades!$T$13="Microlensing",POWER(Upgrades!$U$13,E23),1)*IF(Upgrades!$T$14="Microlensing",POWER(Upgrades!$U$14,F23),1)*IF(Upgrades!$T$16="Microlensing",POWER(Upgrades!$U$16,H23),1)*IF(Upgrades!$T$17="Microlensing",POWER(Upgrades!$U$17,I23),1)*IF(Upgrades!$T$18="Microlensing",POWER(Upgrades!$U$18,J23),1)*IF(Upgrades!$T$19="Microlensing",POWER(Upgrades!$U$19,K23),1)*IF(Upgrades!$T$20="Microlensing",POWER(Upgrades!$U$20,L23),1)*IF(Upgrades!$T$21="Microlensing",POWER(Upgrades!$U$21,M23),1))+(IF(H23=0,0,(Upgrades!$M$16+H23*Upgrades!$N$16)*POWER(Upgrades!$O$16,H23)))*(IF(Upgrades!$T$13="Roche Lobe Overflow",POWER(Upgrades!$U$13,E23),1)*IF(Upgrades!$T$14="Roche Lobe Overflow",POWER(Upgrades!$U$14,F23),1)*IF(Upgrades!$T$15="Roche Lobe Overflow",POWER(Upgrades!$U$15,G23),1)*IF(Upgrades!$T$17="Roche Lobe Overflow",POWER(Upgrades!$U$17,I23),1)*IF(Upgrades!$T$18="Roche Lobe Overflow",POWER(Upgrades!$U$18,J23),1)*IF(Upgrades!$T$19="Roche Lobe Overflow",POWER(Upgrades!$U$19,K23),1)*IF(Upgrades!$T$20="Roche Lobe Overflow",POWER(Upgrades!$U$20,L23),1)*IF(Upgrades!$T$21="Roche Lobe Overflow",POWER(Upgrades!$U$21,M23),1))+(IF(I23=0,0,(Upgrades!$M$17+I23*Upgrades!$N$17)*POWER(Upgrades!$O$17,I23)))*(IF(Upgrades!$T$13="Brown Dwarf",POWER(Upgrades!$U$13,E23),1)*IF(Upgrades!$T$14="Brown Dwarf",POWER(Upgrades!$U$14,F23),1)*IF(Upgrades!$T$15="Brown Dwarf",POWER(Upgrades!$U$15,G23),1)*IF(Upgrades!$T$16="Brown Dwarf",POWER(Upgrades!$U$16,H23),1)*IF(Upgrades!$T$18="Brown Dwarf",POWER(Upgrades!$U$18,J23),1)*IF(Upgrades!$T$19="Brown Dwarf",POWER(Upgrades!$U$19,K23),1)*IF(Upgrades!$T$20="Brown Dwarf",POWER(Upgrades!$U$20,L23),1)*IF(Upgrades!$T$21="Brown Dwarf",POWER(Upgrades!$U$21,M23),1))+(IF(J23=0,0,(Upgrades!$M$18+J23*Upgrades!$N$18)*POWER(Upgrades!$O$18,J23)))*(IF(Upgrades!$T$13="Binary Partner",POWER(Upgrades!$U$13,E23),1)*IF(Upgrades!$T$14="Binary Partner",POWER(Upgrades!$U$14,F23),1)*IF(Upgrades!$T$15="Binary Partner",POWER(Upgrades!$U$15,G23),1)*IF(Upgrades!$T$16="Binary Partner",POWER(Upgrades!$U$16,H23),1)*IF(Upgrades!$T$17="Binary Partner",POWER(Upgrades!$U$17,I23),1)*IF(Upgrades!$T$19="Binary Partner",POWER(Upgrades!$U$19,K23),1)*IF(Upgrades!$T$20="Binary Partner",POWER(Upgrades!$U$20,L23),1)*IF(Upgrades!$T$21="Binary Partner",POWER(Upgrades!$U$21,M23),1))+(IF(K23=0,0,(Upgrades!$M$19+K23*Upgrades!$N$19)*POWER(Upgrades!$O$19,K23)))*(IF(Upgrades!$T$13="Peculiar Velocity",POWER(Upgrades!$U$13,E23),1)*IF(Upgrades!$T$14="Peculiar Velocity",POWER(Upgrades!$U$14,F23),1)*IF(Upgrades!$T$15="Peculiar Velocity",POWER(Upgrades!$U$15,G23),1)*IF(Upgrades!$T$16="Peculiar Velocity",POWER(Upgrades!$U$16,H23),1)*IF(Upgrades!$T$17="Peculiar Velocity",POWER(Upgrades!$U$17,I23),1)*IF(Upgrades!$T$18="Peculiar Velocity",POWER(Upgrades!$U$18,J23),1)*IF(Upgrades!$T$20="Peculiar Velocity",POWER(Upgrades!$U$20,L23),1)*IF(Upgrades!$T$21="Peculiar Velocity",POWER(Upgrades!$U$21,M23),1))+(IF(L23=0,0,(Upgrades!$M$20+L23*Upgrades!$N$20)*POWER(Upgrades!$O$20,L23)))*(IF(Upgrades!$T$13="Open Cluster",POWER(Upgrades!$U$13,E23),1)*IF(Upgrades!$T$14="Open Cluster",POWER(Upgrades!$U$14,F23),1)*IF(Upgrades!$T$15="Open Cluster",POWER(Upgrades!$U$15,G23),1)*IF(Upgrades!$T$16="Open Cluster",POWER(Upgrades!$U$16,H23),1)*IF(Upgrades!$T$17="Open Cluster",POWER(Upgrades!$U$17,I23),1)*IF(Upgrades!$T$18="Open Cluster",POWER(Upgrades!$U$18,J23),1)*IF(Upgrades!$T$19="Open Cluster",POWER(Upgrades!$U$19,K23),1)*IF(Upgrades!$T$21="Open Cluster",POWER(Upgrades!$U$21,M23),1))+(IF(M23=0,0,(Upgrades!$M$21+M23*Upgrades!$N$21)*POWER(Upgrades!$O$21,M23)))*(IF(Upgrades!$T$13="Moving Group",POWER(Upgrades!$U$13,E23),1)*IF(Upgrades!$T$14="Moving Group",POWER(Upgrades!$U$14,F23),1)*IF(Upgrades!$T$15="Moving Group",POWER(Upgrades!$U$15,G23),1)*IF(Upgrades!$T$16="Moving Group",POWER(Upgrades!$U$16,H23),1)*IF(Upgrades!$T$17="Moving Group",POWER(Upgrades!$U$17,I23),1)*IF(Upgrades!$T$18="Moving Group",POWER(Upgrades!$U$18,J23),1)*IF(Upgrades!$T$19="Moving Group",POWER(Upgrades!$U$19,K23),1)*IF(Upgrades!$T$20="Moving Group",POWER(Upgrades!$U$20,L23),1)))*POWER(Upgrades!$R$13,E23)*POWER(Upgrades!$R$14,F23)*POWER(Upgrades!$R$15,G23)*POWER(Upgrades!$R$16,H23)*POWER(Upgrades!$R$17,I23)*POWER(Upgrades!$R$18,J23)*POWER(Upgrades!$R$19,K23)*POWER(Upgrades!$R$20,L23)*POWER(Upgrades!$R$21,M23)*$H$6+$E$6</f>
        <v/>
      </c>
      <c r="R23" s="27">
        <f>IF(N23=1,0,O23*Parameters!$B$10/60*Parameters!$B$11*10)</f>
        <v/>
      </c>
      <c r="S23" s="27">
        <f>IF(N23=1,0,Q23*O23*10)</f>
        <v/>
      </c>
      <c r="T23" s="27">
        <f>IF(N23=1,0,R23+S23+P23*10)</f>
        <v/>
      </c>
      <c r="U23" s="33">
        <f>BE23</f>
        <v/>
      </c>
      <c r="V23" s="22">
        <f>IF(U23="",0,IF(U23="transition",0,IF(U23="SK",AK23,IF(U23="LB",AL23,IF(U23="ML",AM23,IF(U23="RLO",AN23,IF(U23="BD",AO23,IF(U23="BiP",AP23,IF(U23="PV",AQ23,IF(U23="OC",AR23,IF(U23="MG",AS23,0))))))))))</f>
        <v/>
      </c>
      <c r="W23" s="27">
        <f>IF(U23="BiP",Upgrades!$F$18,IF(U23="PV",Upgrades!$F$19,IF(U23="OC",Upgrades!$F$20,IF(U23="MG",Upgrades!$F$21,IF(U23="transition",-Parameters!$B$18*Parameters!$B$19,0)))))</f>
        <v/>
      </c>
      <c r="X23" s="22">
        <f>C23+T23-V23</f>
        <v/>
      </c>
      <c r="Y23" s="30">
        <f>O23*Parameters!$B$10/60*Parameters!$B$11+Q23*O23+P23</f>
        <v/>
      </c>
      <c r="Z23" s="34">
        <f>IF(U23="transition","→ Tier 3 (Galactic Arm)",IF(U23="MG","Moving Group — pocket drifts together",IF(U23="OC","Open Cluster acquired",IF(U23="PV","Peculiar Velocity — passive multiplier active",IF(U23="BiP","Binary Partner — pair bond formed",IF(AND(AU23=1,N23=0,AT23&lt;&gt;1),"Cohesion ready (waiting on completionists)","")))))) </f>
        <v/>
      </c>
      <c r="AA23" s="27">
        <f>(IF(E23=0,0,(Upgrades!$G$13+E23*Upgrades!$H$13)*POWER(Upgrades!$I$13,E23)))*(IF(Upgrades!$T$14="Stellar Kinematics",POWER(Upgrades!$U$14,F23),1)*IF(Upgrades!$T$15="Stellar Kinematics",POWER(Upgrades!$U$15,G23),1)*IF(Upgrades!$T$16="Stellar Kinematics",POWER(Upgrades!$U$16,H23),1)*IF(Upgrades!$T$17="Stellar Kinematics",POWER(Upgrades!$U$17,I23),1)*IF(Upgrades!$T$18="Stellar Kinematics",POWER(Upgrades!$U$18,J23),1)*IF(Upgrades!$T$19="Stellar Kinematics",POWER(Upgrades!$U$19,K23),1)*IF(Upgrades!$T$20="Stellar Kinematics",POWER(Upgrades!$U$20,L23),1)*IF(Upgrades!$T$21="Stellar Kinematics",POWER(Upgrades!$U$21,M23),1))*POWER(Upgrades!$P$13,E23)*POWER(Upgrades!$P$14,F23)*POWER(Upgrades!$P$15,G23)*POWER(Upgrades!$P$16,H23)*POWER(Upgrades!$P$17,I23)*POWER(Upgrades!$P$18,J23)*POWER(Upgrades!$P$19,K23)*POWER(Upgrades!$P$20,L23)*POWER(Upgrades!$P$21,M23)*$F$6*60</f>
        <v/>
      </c>
      <c r="AB23" s="27">
        <f>(IF(F23=0,0,(Upgrades!$G$14+F23*Upgrades!$H$14)*POWER(Upgrades!$I$14,F23)))*(IF(Upgrades!$T$13="Local Bubble",POWER(Upgrades!$U$13,E23),1)*IF(Upgrades!$T$15="Local Bubble",POWER(Upgrades!$U$15,G23),1)*IF(Upgrades!$T$16="Local Bubble",POWER(Upgrades!$U$16,H23),1)*IF(Upgrades!$T$17="Local Bubble",POWER(Upgrades!$U$17,I23),1)*IF(Upgrades!$T$18="Local Bubble",POWER(Upgrades!$U$18,J23),1)*IF(Upgrades!$T$19="Local Bubble",POWER(Upgrades!$U$19,K23),1)*IF(Upgrades!$T$20="Local Bubble",POWER(Upgrades!$U$20,L23),1)*IF(Upgrades!$T$21="Local Bubble",POWER(Upgrades!$U$21,M23),1))*POWER(Upgrades!$P$13,E23)*POWER(Upgrades!$P$14,F23)*POWER(Upgrades!$P$15,G23)*POWER(Upgrades!$P$16,H23)*POWER(Upgrades!$P$17,I23)*POWER(Upgrades!$P$18,J23)*POWER(Upgrades!$P$19,K23)*POWER(Upgrades!$P$20,L23)*POWER(Upgrades!$P$21,M23)*$F$6*60</f>
        <v/>
      </c>
      <c r="AC23" s="27">
        <f>(IF(G23=0,0,(Upgrades!$J$15+G23*Upgrades!$K$15)*POWER(Upgrades!$L$15,G23)))*(IF(Upgrades!$T$13="Microlensing",POWER(Upgrades!$U$13,E23),1)*IF(Upgrades!$T$14="Microlensing",POWER(Upgrades!$U$14,F23),1)*IF(Upgrades!$T$16="Microlensing",POWER(Upgrades!$U$16,H23),1)*IF(Upgrades!$T$17="Microlensing",POWER(Upgrades!$U$17,I23),1)*IF(Upgrades!$T$18="Microlensing",POWER(Upgrades!$U$18,J23),1)*IF(Upgrades!$T$19="Microlensing",POWER(Upgrades!$U$19,K23),1)*IF(Upgrades!$T$20="Microlensing",POWER(Upgrades!$U$20,L23),1)*IF(Upgrades!$T$21="Microlensing",POWER(Upgrades!$U$21,M23),1))*POWER(Upgrades!$Q$13,E23)*POWER(Upgrades!$Q$14,F23)*POWER(Upgrades!$Q$15,G23)*POWER(Upgrades!$Q$16,H23)*POWER(Upgrades!$Q$17,I23)*POWER(Upgrades!$Q$18,J23)*POWER(Upgrades!$Q$19,K23)*POWER(Upgrades!$Q$20,L23)*POWER(Upgrades!$Q$21,M23)*$G$6*(Parameters!$B$10*Parameters!$B$11+Q23*60)</f>
        <v/>
      </c>
      <c r="AD23" s="27">
        <f>(IF(H23=0,0,(Upgrades!$M$16+H23*Upgrades!$N$16)*POWER(Upgrades!$O$16,H23)))*(IF(Upgrades!$T$13="Roche Lobe Overflow",POWER(Upgrades!$U$13,E23),1)*IF(Upgrades!$T$14="Roche Lobe Overflow",POWER(Upgrades!$U$14,F23),1)*IF(Upgrades!$T$15="Roche Lobe Overflow",POWER(Upgrades!$U$15,G23),1)*IF(Upgrades!$T$17="Roche Lobe Overflow",POWER(Upgrades!$U$17,I23),1)*IF(Upgrades!$T$18="Roche Lobe Overflow",POWER(Upgrades!$U$18,J23),1)*IF(Upgrades!$T$19="Roche Lobe Overflow",POWER(Upgrades!$U$19,K23),1)*IF(Upgrades!$T$20="Roche Lobe Overflow",POWER(Upgrades!$U$20,L23),1)*IF(Upgrades!$T$21="Roche Lobe Overflow",POWER(Upgrades!$U$21,M23),1))*POWER(Upgrades!$R$13,E23)*POWER(Upgrades!$R$14,F23)*POWER(Upgrades!$R$15,G23)*POWER(Upgrades!$R$16,H23)*POWER(Upgrades!$R$17,I23)*POWER(Upgrades!$R$18,J23)*POWER(Upgrades!$R$19,K23)*POWER(Upgrades!$R$20,L23)*POWER(Upgrades!$R$21,M23)*$H$6*O23*60</f>
        <v/>
      </c>
      <c r="AE23" s="27">
        <f>(IF(I23=0,0,(Upgrades!$G$17+I23*Upgrades!$H$17)*POWER(Upgrades!$I$17,I23)))*(IF(Upgrades!$T$13="Brown Dwarf",POWER(Upgrades!$U$13,E23),1)*IF(Upgrades!$T$14="Brown Dwarf",POWER(Upgrades!$U$14,F23),1)*IF(Upgrades!$T$15="Brown Dwarf",POWER(Upgrades!$U$15,G23),1)*IF(Upgrades!$T$16="Brown Dwarf",POWER(Upgrades!$U$16,H23),1)*IF(Upgrades!$T$18="Brown Dwarf",POWER(Upgrades!$U$18,J23),1)*IF(Upgrades!$T$19="Brown Dwarf",POWER(Upgrades!$U$19,K23),1)*IF(Upgrades!$T$20="Brown Dwarf",POWER(Upgrades!$U$20,L23),1)*IF(Upgrades!$T$21="Brown Dwarf",POWER(Upgrades!$U$21,M23),1))*POWER(Upgrades!$P$13,E23)*POWER(Upgrades!$P$14,F23)*POWER(Upgrades!$P$15,G23)*POWER(Upgrades!$P$16,H23)*POWER(Upgrades!$P$17,I23)*POWER(Upgrades!$P$18,J23)*POWER(Upgrades!$P$19,K23)*POWER(Upgrades!$P$20,L23)*POWER(Upgrades!$P$21,M23)*$F$6*60</f>
        <v/>
      </c>
      <c r="AF23" s="27" t="n">
        <v>0</v>
      </c>
      <c r="AG23" s="27" t="n">
        <v>0</v>
      </c>
      <c r="AH23" s="27" t="n">
        <v>0</v>
      </c>
      <c r="AI23" s="27">
        <f>(IF(M23=0,0,(Upgrades!$G$21+M23*Upgrades!$H$21)*POWER(Upgrades!$I$21,M23)))*(IF(Upgrades!$T$13="Moving Group",POWER(Upgrades!$U$13,E23),1)*IF(Upgrades!$T$14="Moving Group",POWER(Upgrades!$U$14,F23),1)*IF(Upgrades!$T$15="Moving Group",POWER(Upgrades!$U$15,G23),1)*IF(Upgrades!$T$16="Moving Group",POWER(Upgrades!$U$16,H23),1)*IF(Upgrades!$T$17="Moving Group",POWER(Upgrades!$U$17,I23),1)*IF(Upgrades!$T$18="Moving Group",POWER(Upgrades!$U$18,J23),1)*IF(Upgrades!$T$19="Moving Group",POWER(Upgrades!$U$19,K23),1)*IF(Upgrades!$T$20="Moving Group",POWER(Upgrades!$U$20,L23),1))*POWER(Upgrades!$P$13,E23)*POWER(Upgrades!$P$14,F23)*POWER(Upgrades!$P$15,G23)*POWER(Upgrades!$P$16,H23)*POWER(Upgrades!$P$17,I23)*POWER(Upgrades!$P$18,J23)*POWER(Upgrades!$P$19,K23)*POWER(Upgrades!$P$20,L23)*POWER(Upgrades!$P$21,M23)*$F$6*60</f>
        <v/>
      </c>
      <c r="AJ23" s="27">
        <f>$C$6*60</f>
        <v/>
      </c>
      <c r="AK23" s="22">
        <f>IF(E23&gt;=Upgrades!$E$13,"",Upgrades!$C$13*POWER(Upgrades!$D$13,E23))</f>
        <v/>
      </c>
      <c r="AL23" s="22">
        <f>IF(F23&gt;=Upgrades!$E$14,"",Upgrades!$C$14*POWER(Upgrades!$D$14,F23))</f>
        <v/>
      </c>
      <c r="AM23" s="22">
        <f>IF(G23&gt;=Upgrades!$E$15,"",Upgrades!$C$15*POWER(Upgrades!$D$15,G23))</f>
        <v/>
      </c>
      <c r="AN23" s="22">
        <f>IF(H23&gt;=Upgrades!$E$16,"",Upgrades!$C$16*POWER(Upgrades!$D$16,H23))</f>
        <v/>
      </c>
      <c r="AO23" s="22">
        <f>IF(I23&gt;=Upgrades!$E$17,"",Upgrades!$C$17*POWER(Upgrades!$D$17,I23))</f>
        <v/>
      </c>
      <c r="AP23" s="22">
        <f>IF(J23&gt;=Upgrades!$E$18,"",Upgrades!$C$18*POWER(Upgrades!$D$18,J23))</f>
        <v/>
      </c>
      <c r="AQ23" s="22">
        <f>IF(K23&gt;=Upgrades!$E$19,"",Upgrades!$C$19*POWER(Upgrades!$D$19,K23))</f>
        <v/>
      </c>
      <c r="AR23" s="22">
        <f>IF(L23&gt;=Upgrades!$E$20,"",Upgrades!$C$20*POWER(Upgrades!$D$20,L23))</f>
        <v/>
      </c>
      <c r="AS23" s="22">
        <f>IF(M23&gt;=Upgrades!$E$21,"",Upgrades!$C$21*POWER(Upgrades!$D$21,M23))</f>
        <v/>
      </c>
      <c r="AT23" s="26">
        <f>IF(AND(D23&gt;=Parameters!$B$18*Parameters!$B$19,(I23&gt;=Upgrades!$E$17)*(M23&gt;=Upgrades!$E$21)=1,N23=0),1,"")</f>
        <v/>
      </c>
      <c r="AU23" s="26">
        <f>IF(AND(D23&gt;=Parameters!$B$18*Parameters!$B$19,N23=0),1,"")</f>
        <v/>
      </c>
      <c r="AV23" s="22">
        <f>MIN(IF(ISNUMBER(AP23),AP23,9E15),IF(ISNUMBER(AQ23),AQ23,9E15),IF(ISNUMBER(AR23),AR23,9E15),IF(ISNUMBER(AS23),AS23,9E15))</f>
        <v/>
      </c>
      <c r="AW23" s="22">
        <f>MIN(IF(ISNUMBER(AK23),AK23,9E15),IF(ISNUMBER(AL23),AL23,9E15),IF(ISNUMBER(AM23),AM23,9E15),IF(ISNUMBER(AN23),AN23,9E15),IF(ISNUMBER(AO23),AO23,9E15))</f>
        <v/>
      </c>
      <c r="AX23" s="29">
        <f>IF(BD23&gt;Parameters!$B$21*(MAX(IF(AND(NOT(AND(AU23=1,AT23&lt;&gt;1)),ISNUMBER(AK23),AK23&lt;=(C23+T23)),AY23,0),IF(AND(NOT(AND(AU23=1,AT23&lt;&gt;1)),ISNUMBER(AL23),AL23&lt;=(C23+T23)),AZ23,0),IF(AND(NOT(AND(AU23=1,AT23&lt;&gt;1)),ISNUMBER(AM23),AM23&lt;=(C23+T23)),BA23,0),IF(AND(NOT(AND(AU23=1,AT23&lt;&gt;1)),ISNUMBER(AN23),AN23&lt;=(C23+T23)),BB23,0),IF(AND(ISNUMBER(AO23),AO23&lt;=(C23+T23)),BC23,0))),TRUE,FALSE)</f>
        <v/>
      </c>
      <c r="AY23" s="32">
        <f>IFERROR(Upgrades!$H$13*(POWER(Upgrades!$P$13,E23)*POWER(Upgrades!$P$14,F23)*POWER(Upgrades!$P$15,G23)*POWER(Upgrades!$P$16,H23)*POWER(Upgrades!$P$17,I23)*POWER(Upgrades!$P$18,J23)*POWER(Upgrades!$P$19,K23)*POWER(Upgrades!$P$20,L23)*POWER(Upgrades!$P$21,M23))*(IF(Upgrades!$T$14="Stellar Kinematics",POWER(Upgrades!$U$14,F23),1)*IF(Upgrades!$T$15="Stellar Kinematics",POWER(Upgrades!$U$15,G23),1)*IF(Upgrades!$T$16="Stellar Kinematics",POWER(Upgrades!$U$16,H23),1)*IF(Upgrades!$T$17="Stellar Kinematics",POWER(Upgrades!$U$17,I23),1)*IF(Upgrades!$T$18="Stellar Kinematics",POWER(Upgrades!$U$18,J23),1)*IF(Upgrades!$T$19="Stellar Kinematics",POWER(Upgrades!$U$19,K23),1)*IF(Upgrades!$T$20="Stellar Kinematics",POWER(Upgrades!$U$20,L23),1)*IF(Upgrades!$T$21="Stellar Kinematics",POWER(Upgrades!$U$21,M23),1))*$F$6/AK23,0)</f>
        <v/>
      </c>
      <c r="AZ23" s="32">
        <f>IFERROR(Upgrades!$H$14*(POWER(Upgrades!$P$13,E23)*POWER(Upgrades!$P$14,F23)*POWER(Upgrades!$P$15,G23)*POWER(Upgrades!$P$16,H23)*POWER(Upgrades!$P$17,I23)*POWER(Upgrades!$P$18,J23)*POWER(Upgrades!$P$19,K23)*POWER(Upgrades!$P$20,L23)*POWER(Upgrades!$P$21,M23))*(IF(Upgrades!$T$13="Local Bubble",POWER(Upgrades!$U$13,E23),1)*IF(Upgrades!$T$15="Local Bubble",POWER(Upgrades!$U$15,G23),1)*IF(Upgrades!$T$16="Local Bubble",POWER(Upgrades!$U$16,H23),1)*IF(Upgrades!$T$17="Local Bubble",POWER(Upgrades!$U$17,I23),1)*IF(Upgrades!$T$18="Local Bubble",POWER(Upgrades!$U$18,J23),1)*IF(Upgrades!$T$19="Local Bubble",POWER(Upgrades!$U$19,K23),1)*IF(Upgrades!$T$20="Local Bubble",POWER(Upgrades!$U$20,L23),1)*IF(Upgrades!$T$21="Local Bubble",POWER(Upgrades!$U$21,M23),1))*$F$6/AL23,0)</f>
        <v/>
      </c>
      <c r="BA23" s="32">
        <f>IFERROR(Upgrades!$K$15*(POWER(Upgrades!$Q$13,E23)*POWER(Upgrades!$Q$14,F23)*POWER(Upgrades!$Q$15,G23)*POWER(Upgrades!$Q$16,H23)*POWER(Upgrades!$Q$17,I23)*POWER(Upgrades!$Q$18,J23)*POWER(Upgrades!$Q$19,K23)*POWER(Upgrades!$Q$20,L23)*POWER(Upgrades!$Q$21,M23))*(IF(Upgrades!$T$13="Microlensing",POWER(Upgrades!$U$13,E23),1)*IF(Upgrades!$T$14="Microlensing",POWER(Upgrades!$U$14,F23),1)*IF(Upgrades!$T$16="Microlensing",POWER(Upgrades!$U$16,H23),1)*IF(Upgrades!$T$17="Microlensing",POWER(Upgrades!$U$17,I23),1)*IF(Upgrades!$T$18="Microlensing",POWER(Upgrades!$U$18,J23),1)*IF(Upgrades!$T$19="Microlensing",POWER(Upgrades!$U$19,K23),1)*IF(Upgrades!$T$20="Microlensing",POWER(Upgrades!$U$20,L23),1)*IF(Upgrades!$T$21="Microlensing",POWER(Upgrades!$U$21,M23),1))*$G$6*(Parameters!$B$10/60*Parameters!$B$11+Q23)/AM23,0)</f>
        <v/>
      </c>
      <c r="BB23" s="32">
        <f>IFERROR((Upgrades!$N$16*(POWER(Upgrades!$R$13,E23)*POWER(Upgrades!$R$14,F23)*POWER(Upgrades!$R$15,G23)*POWER(Upgrades!$R$16,H23)*POWER(Upgrades!$R$17,I23)*POWER(Upgrades!$R$18,J23)*POWER(Upgrades!$R$19,K23)*POWER(Upgrades!$R$20,L23)*POWER(Upgrades!$R$21,M23))*(IF(Upgrades!$T$13="Roche Lobe Overflow",POWER(Upgrades!$U$13,E23),1)*IF(Upgrades!$T$14="Roche Lobe Overflow",POWER(Upgrades!$U$14,F23),1)*IF(Upgrades!$T$15="Roche Lobe Overflow",POWER(Upgrades!$U$15,G23),1)*IF(Upgrades!$T$17="Roche Lobe Overflow",POWER(Upgrades!$U$17,I23),1)*IF(Upgrades!$T$18="Roche Lobe Overflow",POWER(Upgrades!$U$18,J23),1)*IF(Upgrades!$T$19="Roche Lobe Overflow",POWER(Upgrades!$U$19,K23),1)*IF(Upgrades!$T$20="Roche Lobe Overflow",POWER(Upgrades!$U$20,L23),1)*IF(Upgrades!$T$21="Roche Lobe Overflow",POWER(Upgrades!$U$21,M23),1))*$H$6*O23+((IF(F23=0,0,(Upgrades!$G$14+F23*Upgrades!$H$14)*POWER(Upgrades!$I$14,F23)))*(IF(Upgrades!$T$13="Local Bubble",POWER(Upgrades!$U$13,E23),1)*IF(Upgrades!$T$15="Local Bubble",POWER(Upgrades!$U$15,G23),1)*IF(Upgrades!$T$16="Local Bubble",POWER(Upgrades!$U$16,H23),1)*IF(Upgrades!$T$17="Local Bubble",POWER(Upgrades!$U$17,I23),1)*IF(Upgrades!$T$18="Local Bubble",POWER(Upgrades!$U$18,J23),1)*IF(Upgrades!$T$19="Local Bubble",POWER(Upgrades!$U$19,K23),1)*IF(Upgrades!$T$20="Local Bubble",POWER(Upgrades!$U$20,L23),1)*IF(Upgrades!$T$21="Local Bubble",POWER(Upgrades!$U$21,M23),1))*POWER(Upgrades!$P$13,E23)*POWER(Upgrades!$P$14,F23)*POWER(Upgrades!$P$15,G23)*POWER(Upgrades!$P$16,H23)*POWER(Upgrades!$P$17,I23)*POWER(Upgrades!$P$18,J23)*POWER(Upgrades!$P$19,K23)*POWER(Upgrades!$P$20,L23)*POWER(Upgrades!$P$21,M23)*$F$6)*0.05)/AN23,0)</f>
        <v/>
      </c>
      <c r="BC23" s="32">
        <f>IFERROR((Upgrades!$H$17*(POWER(Upgrades!$P$13,E23)*POWER(Upgrades!$P$14,F23)*POWER(Upgrades!$P$15,G23)*POWER(Upgrades!$P$16,H23)*POWER(Upgrades!$P$17,I23)*POWER(Upgrades!$P$18,J23)*POWER(Upgrades!$P$19,K23)*POWER(Upgrades!$P$20,L23)*POWER(Upgrades!$P$21,M23))*(IF(Upgrades!$T$13="Brown Dwarf",POWER(Upgrades!$U$13,E23),1)*IF(Upgrades!$T$14="Brown Dwarf",POWER(Upgrades!$U$14,F23),1)*IF(Upgrades!$T$15="Brown Dwarf",POWER(Upgrades!$U$15,G23),1)*IF(Upgrades!$T$16="Brown Dwarf",POWER(Upgrades!$U$16,H23),1)*IF(Upgrades!$T$18="Brown Dwarf",POWER(Upgrades!$U$18,J23),1)*IF(Upgrades!$T$19="Brown Dwarf",POWER(Upgrades!$U$19,K23),1)*IF(Upgrades!$T$20="Brown Dwarf",POWER(Upgrades!$U$20,L23),1)*IF(Upgrades!$T$21="Brown Dwarf",POWER(Upgrades!$U$21,M23),1))*$F$6+(((IF(H23=0,0,(Upgrades!$M$16+H23*Upgrades!$N$16)*POWER(Upgrades!$O$16,H23)))*(IF(Upgrades!$T$13="Roche Lobe Overflow",POWER(Upgrades!$U$13,E23),1)*IF(Upgrades!$T$14="Roche Lobe Overflow",POWER(Upgrades!$U$14,F23),1)*IF(Upgrades!$T$15="Roche Lobe Overflow",POWER(Upgrades!$U$15,G23),1)*IF(Upgrades!$T$17="Roche Lobe Overflow",POWER(Upgrades!$U$17,I23),1)*IF(Upgrades!$T$18="Roche Lobe Overflow",POWER(Upgrades!$U$18,J23),1)*IF(Upgrades!$T$19="Roche Lobe Overflow",POWER(Upgrades!$U$19,K23),1)*IF(Upgrades!$T$20="Roche Lobe Overflow",POWER(Upgrades!$U$20,L23),1)*IF(Upgrades!$T$21="Roche Lobe Overflow",POWER(Upgrades!$U$21,M23),1))*POWER(Upgrades!$R$13,E23)*POWER(Upgrades!$R$14,F23)*POWER(Upgrades!$R$15,G23)*POWER(Upgrades!$R$16,H23)*POWER(Upgrades!$R$17,I23)*POWER(Upgrades!$R$18,J23)*POWER(Upgrades!$R$19,K23)*POWER(Upgrades!$R$20,L23)*POWER(Upgrades!$R$21,M23)*$H$6)*O23)*0.10)/AO23,0)</f>
        <v/>
      </c>
      <c r="BD23" s="32">
        <f>MAX(IF(J23&gt;0,0,IFERROR(0.5*((IF(G23=0,0,(Upgrades!$J$15+G23*Upgrades!$K$15)*POWER(Upgrades!$L$15,G23)))*(IF(Upgrades!$T$13="Microlensing",POWER(Upgrades!$U$13,E23),1)*IF(Upgrades!$T$14="Microlensing",POWER(Upgrades!$U$14,F23),1)*IF(Upgrades!$T$16="Microlensing",POWER(Upgrades!$U$16,H23),1)*IF(Upgrades!$T$17="Microlensing",POWER(Upgrades!$U$17,I23),1)*IF(Upgrades!$T$18="Microlensing",POWER(Upgrades!$U$18,J23),1)*IF(Upgrades!$T$19="Microlensing",POWER(Upgrades!$U$19,K23),1)*IF(Upgrades!$T$20="Microlensing",POWER(Upgrades!$U$20,L23),1)*IF(Upgrades!$T$21="Microlensing",POWER(Upgrades!$U$21,M23),1))*(POWER(Upgrades!$Q$13,E23)*POWER(Upgrades!$Q$14,F23)*POWER(Upgrades!$Q$15,G23)*POWER(Upgrades!$Q$16,H23)*POWER(Upgrades!$Q$17,I23)*POWER(Upgrades!$Q$18,J23)*POWER(Upgrades!$Q$19,K23)*POWER(Upgrades!$Q$20,L23)*POWER(Upgrades!$Q$21,M23))*$G$6*(Parameters!$B$10/60*Parameters!$B$11+Q23))/Upgrades!$C$18,0)),IF(K23&gt;0,0,IFERROR(0.30*P23/Upgrades!$C$19,0)),IF(L23&gt;0,0,IFERROR(0.0001/Upgrades!$C$20,0)),IF(M23&gt;0,0,IFERROR((6.0*(POWER(Upgrades!$P$13,E23)*POWER(Upgrades!$P$14,F23)*POWER(Upgrades!$P$15,G23)*POWER(Upgrades!$P$16,H23)*POWER(Upgrades!$P$17,I23)*POWER(Upgrades!$P$18,J23)*POWER(Upgrades!$P$19,K23)*POWER(Upgrades!$P$20,L23)*POWER(Upgrades!$P$21,M23))*$F$6+0.20*O23*(Parameters!$B$10/60*Parameters!$B$11+Q23))/Upgrades!$C$21,0)),IF(AND(ISNUMBER(AK23),AK23&gt;(C23+T23)),AY23,0),IF(AND(ISNUMBER(AL23),AL23&gt;(C23+T23)),AZ23,0),IF(AND(ISNUMBER(AM23),AM23&gt;(C23+T23)),BA23,0),IF(AND(ISNUMBER(AN23),AN23&gt;(C23+T23)),BB23,0),IF(AND(ISNUMBER(AO23),AO23&gt;(C23+T23)),BC23,0))</f>
        <v/>
      </c>
      <c r="BE23" s="29">
        <f>IF(AT23=1,"transition",IF(MIN(IF(AND(J23=0,ISNUMBER(AP23),AP23&lt;=(C23+T23)),AP23,9E15),IF(AND(K23=0,ISNUMBER(AQ23),AQ23&lt;=(C23+T23)),AQ23,9E15),IF(AND(L23=0,ISNUMBER(AR23),AR23&lt;=(C23+T23)),AR23,9E15),IF(AND(M23=0,ISNUMBER(AS23),AS23&lt;=(C23+T23)),AS23,9E15))&lt;9E15,IF(AND(AND(J23=0,ISNUMBER(AP23),AP23&lt;=(C23+T23)),AP23=MIN(IF(AND(J23=0,ISNUMBER(AP23),AP23&lt;=(C23+T23)),AP23,9E15),IF(AND(K23=0,ISNUMBER(AQ23),AQ23&lt;=(C23+T23)),AQ23,9E15),IF(AND(L23=0,ISNUMBER(AR23),AR23&lt;=(C23+T23)),AR23,9E15),IF(AND(M23=0,ISNUMBER(AS23),AS23&lt;=(C23+T23)),AS23,9E15))),"BiP",IF(AND(AND(K23=0,ISNUMBER(AQ23),AQ23&lt;=(C23+T23)),AQ23=MIN(IF(AND(J23=0,ISNUMBER(AP23),AP23&lt;=(C23+T23)),AP23,9E15),IF(AND(K23=0,ISNUMBER(AQ23),AQ23&lt;=(C23+T23)),AQ23,9E15),IF(AND(L23=0,ISNUMBER(AR23),AR23&lt;=(C23+T23)),AR23,9E15),IF(AND(M23=0,ISNUMBER(AS23),AS23&lt;=(C23+T23)),AS23,9E15))),"PV",IF(AND(AND(L23=0,ISNUMBER(AR23),AR23&lt;=(C23+T23)),AR23=MIN(IF(AND(J23=0,ISNUMBER(AP23),AP23&lt;=(C23+T23)),AP23,9E15),IF(AND(K23=0,ISNUMBER(AQ23),AQ23&lt;=(C23+T23)),AQ23,9E15),IF(AND(L23=0,ISNUMBER(AR23),AR23&lt;=(C23+T23)),AR23,9E15),IF(AND(M23=0,ISNUMBER(AS23),AS23&lt;=(C23+T23)),AS23,9E15))),"OC","MG"))),IF(AX23=TRUE,"",IF(MAX(IF(AND(NOT(AND(AU23=1,AT23&lt;&gt;1)),ISNUMBER(AK23),AK23&lt;=(C23+T23)),AY23,0),IF(AND(NOT(AND(AU23=1,AT23&lt;&gt;1)),ISNUMBER(AL23),AL23&lt;=(C23+T23)),AZ23,0),IF(AND(NOT(AND(AU23=1,AT23&lt;&gt;1)),ISNUMBER(AM23),AM23&lt;=(C23+T23)),BA23,0),IF(AND(NOT(AND(AU23=1,AT23&lt;&gt;1)),ISNUMBER(AN23),AN23&lt;=(C23+T23)),BB23,0),IF(AND(ISNUMBER(AO23),AO23&lt;=(C23+T23)),BC23,0))&lt;=0,"",IF(AND(IF(AND(NOT(AND(AU23=1,AT23&lt;&gt;1)),ISNUMBER(AK23),AK23&lt;=(C23+T23)),AY23,0)&gt;0,IF(AND(NOT(AND(AU23=1,AT23&lt;&gt;1)),ISNUMBER(AK23),AK23&lt;=(C23+T23)),AY23,0)=MAX(IF(AND(NOT(AND(AU23=1,AT23&lt;&gt;1)),ISNUMBER(AK23),AK23&lt;=(C23+T23)),AY23,0),IF(AND(NOT(AND(AU23=1,AT23&lt;&gt;1)),ISNUMBER(AL23),AL23&lt;=(C23+T23)),AZ23,0),IF(AND(NOT(AND(AU23=1,AT23&lt;&gt;1)),ISNUMBER(AM23),AM23&lt;=(C23+T23)),BA23,0),IF(AND(NOT(AND(AU23=1,AT23&lt;&gt;1)),ISNUMBER(AN23),AN23&lt;=(C23+T23)),BB23,0),IF(AND(ISNUMBER(AO23),AO23&lt;=(C23+T23)),BC23,0))),"SK",IF(AND(IF(AND(NOT(AND(AU23=1,AT23&lt;&gt;1)),ISNUMBER(AL23),AL23&lt;=(C23+T23)),AZ23,0)&gt;0,IF(AND(NOT(AND(AU23=1,AT23&lt;&gt;1)),ISNUMBER(AL23),AL23&lt;=(C23+T23)),AZ23,0)=MAX(IF(AND(NOT(AND(AU23=1,AT23&lt;&gt;1)),ISNUMBER(AK23),AK23&lt;=(C23+T23)),AY23,0),IF(AND(NOT(AND(AU23=1,AT23&lt;&gt;1)),ISNUMBER(AL23),AL23&lt;=(C23+T23)),AZ23,0),IF(AND(NOT(AND(AU23=1,AT23&lt;&gt;1)),ISNUMBER(AM23),AM23&lt;=(C23+T23)),BA23,0),IF(AND(NOT(AND(AU23=1,AT23&lt;&gt;1)),ISNUMBER(AN23),AN23&lt;=(C23+T23)),BB23,0),IF(AND(ISNUMBER(AO23),AO23&lt;=(C23+T23)),BC23,0))),"LB",IF(AND(IF(AND(NOT(AND(AU23=1,AT23&lt;&gt;1)),ISNUMBER(AM23),AM23&lt;=(C23+T23)),BA23,0)&gt;0,IF(AND(NOT(AND(AU23=1,AT23&lt;&gt;1)),ISNUMBER(AM23),AM23&lt;=(C23+T23)),BA23,0)=MAX(IF(AND(NOT(AND(AU23=1,AT23&lt;&gt;1)),ISNUMBER(AK23),AK23&lt;=(C23+T23)),AY23,0),IF(AND(NOT(AND(AU23=1,AT23&lt;&gt;1)),ISNUMBER(AL23),AL23&lt;=(C23+T23)),AZ23,0),IF(AND(NOT(AND(AU23=1,AT23&lt;&gt;1)),ISNUMBER(AM23),AM23&lt;=(C23+T23)),BA23,0),IF(AND(NOT(AND(AU23=1,AT23&lt;&gt;1)),ISNUMBER(AN23),AN23&lt;=(C23+T23)),BB23,0),IF(AND(ISNUMBER(AO23),AO23&lt;=(C23+T23)),BC23,0))),"ML",IF(AND(IF(AND(NOT(AND(AU23=1,AT23&lt;&gt;1)),ISNUMBER(AN23),AN23&lt;=(C23+T23)),BB23,0)&gt;0,IF(AND(NOT(AND(AU23=1,AT23&lt;&gt;1)),ISNUMBER(AN23),AN23&lt;=(C23+T23)),BB23,0)=MAX(IF(AND(NOT(AND(AU23=1,AT23&lt;&gt;1)),ISNUMBER(AK23),AK23&lt;=(C23+T23)),AY23,0),IF(AND(NOT(AND(AU23=1,AT23&lt;&gt;1)),ISNUMBER(AL23),AL23&lt;=(C23+T23)),AZ23,0),IF(AND(NOT(AND(AU23=1,AT23&lt;&gt;1)),ISNUMBER(AM23),AM23&lt;=(C23+T23)),BA23,0),IF(AND(NOT(AND(AU23=1,AT23&lt;&gt;1)),ISNUMBER(AN23),AN23&lt;=(C23+T23)),BB23,0),IF(AND(ISNUMBER(AO23),AO23&lt;=(C23+T23)),BC23,0))),"RLO","BD"))))))))</f>
        <v/>
      </c>
    </row>
    <row r="24">
      <c r="A24" s="26" t="n">
        <v>13</v>
      </c>
      <c r="B24" s="27">
        <f>A24*10/60</f>
        <v/>
      </c>
      <c r="C24" s="22">
        <f>X23</f>
        <v/>
      </c>
      <c r="D24" s="27">
        <f>D23+W23</f>
        <v/>
      </c>
      <c r="E24" s="26">
        <f>E23+IF(U23="SK",1,0)</f>
        <v/>
      </c>
      <c r="F24" s="26">
        <f>F23+IF(U23="LB",1,0)</f>
        <v/>
      </c>
      <c r="G24" s="26">
        <f>G23+IF(U23="ML",1,0)</f>
        <v/>
      </c>
      <c r="H24" s="26">
        <f>H23+IF(U23="RLO",1,0)</f>
        <v/>
      </c>
      <c r="I24" s="26">
        <f>I23+IF(U23="BD",1,0)</f>
        <v/>
      </c>
      <c r="J24" s="26">
        <f>MAX(J23,IF(U23="BiP",1,0))</f>
        <v/>
      </c>
      <c r="K24" s="26">
        <f>MAX(K23,IF(U23="PV",1,0))</f>
        <v/>
      </c>
      <c r="L24" s="26">
        <f>MAX(L23,IF(U23="OC",1,0))</f>
        <v/>
      </c>
      <c r="M24" s="26">
        <f>MAX(M23,IF(U23="MG",1,0))</f>
        <v/>
      </c>
      <c r="N24" s="26">
        <f>MAX(N23,IF(U23="transition",1,0))</f>
        <v/>
      </c>
      <c r="O24" s="28">
        <f>(Parameters!$B$9+(IF(E24=0,0,(Upgrades!$J$13+E24*Upgrades!$K$13)*POWER(Upgrades!$L$13,E24)))*(IF(Upgrades!$T$14="Stellar Kinematics",POWER(Upgrades!$U$14,F24),1)*IF(Upgrades!$T$15="Stellar Kinematics",POWER(Upgrades!$U$15,G24),1)*IF(Upgrades!$T$16="Stellar Kinematics",POWER(Upgrades!$U$16,H24),1)*IF(Upgrades!$T$17="Stellar Kinematics",POWER(Upgrades!$U$17,I24),1)*IF(Upgrades!$T$18="Stellar Kinematics",POWER(Upgrades!$U$18,J24),1)*IF(Upgrades!$T$19="Stellar Kinematics",POWER(Upgrades!$U$19,K24),1)*IF(Upgrades!$T$20="Stellar Kinematics",POWER(Upgrades!$U$20,L24),1)*IF(Upgrades!$T$21="Stellar Kinematics",POWER(Upgrades!$U$21,M24),1))+(IF(F24=0,0,(Upgrades!$J$14+F24*Upgrades!$K$14)*POWER(Upgrades!$L$14,F24)))*(IF(Upgrades!$T$13="Local Bubble",POWER(Upgrades!$U$13,E24),1)*IF(Upgrades!$T$15="Local Bubble",POWER(Upgrades!$U$15,G24),1)*IF(Upgrades!$T$16="Local Bubble",POWER(Upgrades!$U$16,H24),1)*IF(Upgrades!$T$17="Local Bubble",POWER(Upgrades!$U$17,I24),1)*IF(Upgrades!$T$18="Local Bubble",POWER(Upgrades!$U$18,J24),1)*IF(Upgrades!$T$19="Local Bubble",POWER(Upgrades!$U$19,K24),1)*IF(Upgrades!$T$20="Local Bubble",POWER(Upgrades!$U$20,L24),1)*IF(Upgrades!$T$21="Local Bubble",POWER(Upgrades!$U$21,M24),1))+(IF(G24=0,0,(Upgrades!$J$15+G24*Upgrades!$K$15)*POWER(Upgrades!$L$15,G24)))*(IF(Upgrades!$T$13="Microlensing",POWER(Upgrades!$U$13,E24),1)*IF(Upgrades!$T$14="Microlensing",POWER(Upgrades!$U$14,F24),1)*IF(Upgrades!$T$16="Microlensing",POWER(Upgrades!$U$16,H24),1)*IF(Upgrades!$T$17="Microlensing",POWER(Upgrades!$U$17,I24),1)*IF(Upgrades!$T$18="Microlensing",POWER(Upgrades!$U$18,J24),1)*IF(Upgrades!$T$19="Microlensing",POWER(Upgrades!$U$19,K24),1)*IF(Upgrades!$T$20="Microlensing",POWER(Upgrades!$U$20,L24),1)*IF(Upgrades!$T$21="Microlensing",POWER(Upgrades!$U$21,M24),1))+(IF(H24=0,0,(Upgrades!$J$16+H24*Upgrades!$K$16)*POWER(Upgrades!$L$16,H24)))*(IF(Upgrades!$T$13="Roche Lobe Overflow",POWER(Upgrades!$U$13,E24),1)*IF(Upgrades!$T$14="Roche Lobe Overflow",POWER(Upgrades!$U$14,F24),1)*IF(Upgrades!$T$15="Roche Lobe Overflow",POWER(Upgrades!$U$15,G24),1)*IF(Upgrades!$T$17="Roche Lobe Overflow",POWER(Upgrades!$U$17,I24),1)*IF(Upgrades!$T$18="Roche Lobe Overflow",POWER(Upgrades!$U$18,J24),1)*IF(Upgrades!$T$19="Roche Lobe Overflow",POWER(Upgrades!$U$19,K24),1)*IF(Upgrades!$T$20="Roche Lobe Overflow",POWER(Upgrades!$U$20,L24),1)*IF(Upgrades!$T$21="Roche Lobe Overflow",POWER(Upgrades!$U$21,M24),1))+(IF(I24=0,0,(Upgrades!$J$17+I24*Upgrades!$K$17)*POWER(Upgrades!$L$17,I24)))*(IF(Upgrades!$T$13="Brown Dwarf",POWER(Upgrades!$U$13,E24),1)*IF(Upgrades!$T$14="Brown Dwarf",POWER(Upgrades!$U$14,F24),1)*IF(Upgrades!$T$15="Brown Dwarf",POWER(Upgrades!$U$15,G24),1)*IF(Upgrades!$T$16="Brown Dwarf",POWER(Upgrades!$U$16,H24),1)*IF(Upgrades!$T$18="Brown Dwarf",POWER(Upgrades!$U$18,J24),1)*IF(Upgrades!$T$19="Brown Dwarf",POWER(Upgrades!$U$19,K24),1)*IF(Upgrades!$T$20="Brown Dwarf",POWER(Upgrades!$U$20,L24),1)*IF(Upgrades!$T$21="Brown Dwarf",POWER(Upgrades!$U$21,M24),1))+(IF(J24=0,0,(Upgrades!$J$18+J24*Upgrades!$K$18)*POWER(Upgrades!$L$18,J24)))*(IF(Upgrades!$T$13="Binary Partner",POWER(Upgrades!$U$13,E24),1)*IF(Upgrades!$T$14="Binary Partner",POWER(Upgrades!$U$14,F24),1)*IF(Upgrades!$T$15="Binary Partner",POWER(Upgrades!$U$15,G24),1)*IF(Upgrades!$T$16="Binary Partner",POWER(Upgrades!$U$16,H24),1)*IF(Upgrades!$T$17="Binary Partner",POWER(Upgrades!$U$17,I24),1)*IF(Upgrades!$T$19="Binary Partner",POWER(Upgrades!$U$19,K24),1)*IF(Upgrades!$T$20="Binary Partner",POWER(Upgrades!$U$20,L24),1)*IF(Upgrades!$T$21="Binary Partner",POWER(Upgrades!$U$21,M24),1))+(IF(K24=0,0,(Upgrades!$J$19+K24*Upgrades!$K$19)*POWER(Upgrades!$L$19,K24)))*(IF(Upgrades!$T$13="Peculiar Velocity",POWER(Upgrades!$U$13,E24),1)*IF(Upgrades!$T$14="Peculiar Velocity",POWER(Upgrades!$U$14,F24),1)*IF(Upgrades!$T$15="Peculiar Velocity",POWER(Upgrades!$U$15,G24),1)*IF(Upgrades!$T$16="Peculiar Velocity",POWER(Upgrades!$U$16,H24),1)*IF(Upgrades!$T$17="Peculiar Velocity",POWER(Upgrades!$U$17,I24),1)*IF(Upgrades!$T$18="Peculiar Velocity",POWER(Upgrades!$U$18,J24),1)*IF(Upgrades!$T$20="Peculiar Velocity",POWER(Upgrades!$U$20,L24),1)*IF(Upgrades!$T$21="Peculiar Velocity",POWER(Upgrades!$U$21,M24),1))+(IF(L24=0,0,(Upgrades!$J$20+L24*Upgrades!$K$20)*POWER(Upgrades!$L$20,L24)))*(IF(Upgrades!$T$13="Open Cluster",POWER(Upgrades!$U$13,E24),1)*IF(Upgrades!$T$14="Open Cluster",POWER(Upgrades!$U$14,F24),1)*IF(Upgrades!$T$15="Open Cluster",POWER(Upgrades!$U$15,G24),1)*IF(Upgrades!$T$16="Open Cluster",POWER(Upgrades!$U$16,H24),1)*IF(Upgrades!$T$17="Open Cluster",POWER(Upgrades!$U$17,I24),1)*IF(Upgrades!$T$18="Open Cluster",POWER(Upgrades!$U$18,J24),1)*IF(Upgrades!$T$19="Open Cluster",POWER(Upgrades!$U$19,K24),1)*IF(Upgrades!$T$21="Open Cluster",POWER(Upgrades!$U$21,M24),1))+(IF(M24=0,0,(Upgrades!$J$21+M24*Upgrades!$K$21)*POWER(Upgrades!$L$21,M24)))*(IF(Upgrades!$T$13="Moving Group",POWER(Upgrades!$U$13,E24),1)*IF(Upgrades!$T$14="Moving Group",POWER(Upgrades!$U$14,F24),1)*IF(Upgrades!$T$15="Moving Group",POWER(Upgrades!$U$15,G24),1)*IF(Upgrades!$T$16="Moving Group",POWER(Upgrades!$U$16,H24),1)*IF(Upgrades!$T$17="Moving Group",POWER(Upgrades!$U$17,I24),1)*IF(Upgrades!$T$18="Moving Group",POWER(Upgrades!$U$18,J24),1)*IF(Upgrades!$T$19="Moving Group",POWER(Upgrades!$U$19,K24),1)*IF(Upgrades!$T$20="Moving Group",POWER(Upgrades!$U$20,L24),1)))*POWER(Upgrades!$Q$13,E24)*POWER(Upgrades!$Q$14,F24)*POWER(Upgrades!$Q$15,G24)*POWER(Upgrades!$Q$16,H24)*POWER(Upgrades!$Q$17,I24)*POWER(Upgrades!$Q$18,J24)*POWER(Upgrades!$Q$19,K24)*POWER(Upgrades!$Q$20,L24)*POWER(Upgrades!$Q$21,M24)*$G$6+$D$6</f>
        <v/>
      </c>
      <c r="P24" s="28">
        <f>((IF(E24=0,0,(Upgrades!$G$13+E24*Upgrades!$H$13)*POWER(Upgrades!$I$13,E24)))*(IF(Upgrades!$T$14="Stellar Kinematics",POWER(Upgrades!$U$14,F24),1)*IF(Upgrades!$T$15="Stellar Kinematics",POWER(Upgrades!$U$15,G24),1)*IF(Upgrades!$T$16="Stellar Kinematics",POWER(Upgrades!$U$16,H24),1)*IF(Upgrades!$T$17="Stellar Kinematics",POWER(Upgrades!$U$17,I24),1)*IF(Upgrades!$T$18="Stellar Kinematics",POWER(Upgrades!$U$18,J24),1)*IF(Upgrades!$T$19="Stellar Kinematics",POWER(Upgrades!$U$19,K24),1)*IF(Upgrades!$T$20="Stellar Kinematics",POWER(Upgrades!$U$20,L24),1)*IF(Upgrades!$T$21="Stellar Kinematics",POWER(Upgrades!$U$21,M24),1))+(IF(F24=0,0,(Upgrades!$G$14+F24*Upgrades!$H$14)*POWER(Upgrades!$I$14,F24)))*(IF(Upgrades!$T$13="Local Bubble",POWER(Upgrades!$U$13,E24),1)*IF(Upgrades!$T$15="Local Bubble",POWER(Upgrades!$U$15,G24),1)*IF(Upgrades!$T$16="Local Bubble",POWER(Upgrades!$U$16,H24),1)*IF(Upgrades!$T$17="Local Bubble",POWER(Upgrades!$U$17,I24),1)*IF(Upgrades!$T$18="Local Bubble",POWER(Upgrades!$U$18,J24),1)*IF(Upgrades!$T$19="Local Bubble",POWER(Upgrades!$U$19,K24),1)*IF(Upgrades!$T$20="Local Bubble",POWER(Upgrades!$U$20,L24),1)*IF(Upgrades!$T$21="Local Bubble",POWER(Upgrades!$U$21,M24),1))+(IF(G24=0,0,(Upgrades!$G$15+G24*Upgrades!$H$15)*POWER(Upgrades!$I$15,G24)))*(IF(Upgrades!$T$13="Microlensing",POWER(Upgrades!$U$13,E24),1)*IF(Upgrades!$T$14="Microlensing",POWER(Upgrades!$U$14,F24),1)*IF(Upgrades!$T$16="Microlensing",POWER(Upgrades!$U$16,H24),1)*IF(Upgrades!$T$17="Microlensing",POWER(Upgrades!$U$17,I24),1)*IF(Upgrades!$T$18="Microlensing",POWER(Upgrades!$U$18,J24),1)*IF(Upgrades!$T$19="Microlensing",POWER(Upgrades!$U$19,K24),1)*IF(Upgrades!$T$20="Microlensing",POWER(Upgrades!$U$20,L24),1)*IF(Upgrades!$T$21="Microlensing",POWER(Upgrades!$U$21,M24),1))+(IF(H24=0,0,(Upgrades!$G$16+H24*Upgrades!$H$16)*POWER(Upgrades!$I$16,H24)))*(IF(Upgrades!$T$13="Roche Lobe Overflow",POWER(Upgrades!$U$13,E24),1)*IF(Upgrades!$T$14="Roche Lobe Overflow",POWER(Upgrades!$U$14,F24),1)*IF(Upgrades!$T$15="Roche Lobe Overflow",POWER(Upgrades!$U$15,G24),1)*IF(Upgrades!$T$17="Roche Lobe Overflow",POWER(Upgrades!$U$17,I24),1)*IF(Upgrades!$T$18="Roche Lobe Overflow",POWER(Upgrades!$U$18,J24),1)*IF(Upgrades!$T$19="Roche Lobe Overflow",POWER(Upgrades!$U$19,K24),1)*IF(Upgrades!$T$20="Roche Lobe Overflow",POWER(Upgrades!$U$20,L24),1)*IF(Upgrades!$T$21="Roche Lobe Overflow",POWER(Upgrades!$U$21,M24),1))+(IF(I24=0,0,(Upgrades!$G$17+I24*Upgrades!$H$17)*POWER(Upgrades!$I$17,I24)))*(IF(Upgrades!$T$13="Brown Dwarf",POWER(Upgrades!$U$13,E24),1)*IF(Upgrades!$T$14="Brown Dwarf",POWER(Upgrades!$U$14,F24),1)*IF(Upgrades!$T$15="Brown Dwarf",POWER(Upgrades!$U$15,G24),1)*IF(Upgrades!$T$16="Brown Dwarf",POWER(Upgrades!$U$16,H24),1)*IF(Upgrades!$T$18="Brown Dwarf",POWER(Upgrades!$U$18,J24),1)*IF(Upgrades!$T$19="Brown Dwarf",POWER(Upgrades!$U$19,K24),1)*IF(Upgrades!$T$20="Brown Dwarf",POWER(Upgrades!$U$20,L24),1)*IF(Upgrades!$T$21="Brown Dwarf",POWER(Upgrades!$U$21,M24),1))+(IF(J24=0,0,(Upgrades!$G$18+J24*Upgrades!$H$18)*POWER(Upgrades!$I$18,J24)))*(IF(Upgrades!$T$13="Binary Partner",POWER(Upgrades!$U$13,E24),1)*IF(Upgrades!$T$14="Binary Partner",POWER(Upgrades!$U$14,F24),1)*IF(Upgrades!$T$15="Binary Partner",POWER(Upgrades!$U$15,G24),1)*IF(Upgrades!$T$16="Binary Partner",POWER(Upgrades!$U$16,H24),1)*IF(Upgrades!$T$17="Binary Partner",POWER(Upgrades!$U$17,I24),1)*IF(Upgrades!$T$19="Binary Partner",POWER(Upgrades!$U$19,K24),1)*IF(Upgrades!$T$20="Binary Partner",POWER(Upgrades!$U$20,L24),1)*IF(Upgrades!$T$21="Binary Partner",POWER(Upgrades!$U$21,M24),1))+(IF(K24=0,0,(Upgrades!$G$19+K24*Upgrades!$H$19)*POWER(Upgrades!$I$19,K24)))*(IF(Upgrades!$T$13="Peculiar Velocity",POWER(Upgrades!$U$13,E24),1)*IF(Upgrades!$T$14="Peculiar Velocity",POWER(Upgrades!$U$14,F24),1)*IF(Upgrades!$T$15="Peculiar Velocity",POWER(Upgrades!$U$15,G24),1)*IF(Upgrades!$T$16="Peculiar Velocity",POWER(Upgrades!$U$16,H24),1)*IF(Upgrades!$T$17="Peculiar Velocity",POWER(Upgrades!$U$17,I24),1)*IF(Upgrades!$T$18="Peculiar Velocity",POWER(Upgrades!$U$18,J24),1)*IF(Upgrades!$T$20="Peculiar Velocity",POWER(Upgrades!$U$20,L24),1)*IF(Upgrades!$T$21="Peculiar Velocity",POWER(Upgrades!$U$21,M24),1))+(IF(L24=0,0,(Upgrades!$G$20+L24*Upgrades!$H$20)*POWER(Upgrades!$I$20,L24)))*(IF(Upgrades!$T$13="Open Cluster",POWER(Upgrades!$U$13,E24),1)*IF(Upgrades!$T$14="Open Cluster",POWER(Upgrades!$U$14,F24),1)*IF(Upgrades!$T$15="Open Cluster",POWER(Upgrades!$U$15,G24),1)*IF(Upgrades!$T$16="Open Cluster",POWER(Upgrades!$U$16,H24),1)*IF(Upgrades!$T$17="Open Cluster",POWER(Upgrades!$U$17,I24),1)*IF(Upgrades!$T$18="Open Cluster",POWER(Upgrades!$U$18,J24),1)*IF(Upgrades!$T$19="Open Cluster",POWER(Upgrades!$U$19,K24),1)*IF(Upgrades!$T$21="Open Cluster",POWER(Upgrades!$U$21,M24),1))+(IF(M24=0,0,(Upgrades!$G$21+M24*Upgrades!$H$21)*POWER(Upgrades!$I$21,M24)))*(IF(Upgrades!$T$13="Moving Group",POWER(Upgrades!$U$13,E24),1)*IF(Upgrades!$T$14="Moving Group",POWER(Upgrades!$U$14,F24),1)*IF(Upgrades!$T$15="Moving Group",POWER(Upgrades!$U$15,G24),1)*IF(Upgrades!$T$16="Moving Group",POWER(Upgrades!$U$16,H24),1)*IF(Upgrades!$T$17="Moving Group",POWER(Upgrades!$U$17,I24),1)*IF(Upgrades!$T$18="Moving Group",POWER(Upgrades!$U$18,J24),1)*IF(Upgrades!$T$19="Moving Group",POWER(Upgrades!$U$19,K24),1)*IF(Upgrades!$T$20="Moving Group",POWER(Upgrades!$U$20,L24),1)))*POWER(Upgrades!$P$13,E24)*POWER(Upgrades!$P$14,F24)*POWER(Upgrades!$P$15,G24)*POWER(Upgrades!$P$16,H24)*POWER(Upgrades!$P$17,I24)*POWER(Upgrades!$P$18,J24)*POWER(Upgrades!$P$19,K24)*POWER(Upgrades!$P$20,L24)*POWER(Upgrades!$P$21,M24)*$F$6+$C$6</f>
        <v/>
      </c>
      <c r="Q24" s="28">
        <f>((IF(E24=0,0,(Upgrades!$M$13+E24*Upgrades!$N$13)*POWER(Upgrades!$O$13,E24)))*(IF(Upgrades!$T$14="Stellar Kinematics",POWER(Upgrades!$U$14,F24),1)*IF(Upgrades!$T$15="Stellar Kinematics",POWER(Upgrades!$U$15,G24),1)*IF(Upgrades!$T$16="Stellar Kinematics",POWER(Upgrades!$U$16,H24),1)*IF(Upgrades!$T$17="Stellar Kinematics",POWER(Upgrades!$U$17,I24),1)*IF(Upgrades!$T$18="Stellar Kinematics",POWER(Upgrades!$U$18,J24),1)*IF(Upgrades!$T$19="Stellar Kinematics",POWER(Upgrades!$U$19,K24),1)*IF(Upgrades!$T$20="Stellar Kinematics",POWER(Upgrades!$U$20,L24),1)*IF(Upgrades!$T$21="Stellar Kinematics",POWER(Upgrades!$U$21,M24),1))+(IF(F24=0,0,(Upgrades!$M$14+F24*Upgrades!$N$14)*POWER(Upgrades!$O$14,F24)))*(IF(Upgrades!$T$13="Local Bubble",POWER(Upgrades!$U$13,E24),1)*IF(Upgrades!$T$15="Local Bubble",POWER(Upgrades!$U$15,G24),1)*IF(Upgrades!$T$16="Local Bubble",POWER(Upgrades!$U$16,H24),1)*IF(Upgrades!$T$17="Local Bubble",POWER(Upgrades!$U$17,I24),1)*IF(Upgrades!$T$18="Local Bubble",POWER(Upgrades!$U$18,J24),1)*IF(Upgrades!$T$19="Local Bubble",POWER(Upgrades!$U$19,K24),1)*IF(Upgrades!$T$20="Local Bubble",POWER(Upgrades!$U$20,L24),1)*IF(Upgrades!$T$21="Local Bubble",POWER(Upgrades!$U$21,M24),1))+(IF(G24=0,0,(Upgrades!$M$15+G24*Upgrades!$N$15)*POWER(Upgrades!$O$15,G24)))*(IF(Upgrades!$T$13="Microlensing",POWER(Upgrades!$U$13,E24),1)*IF(Upgrades!$T$14="Microlensing",POWER(Upgrades!$U$14,F24),1)*IF(Upgrades!$T$16="Microlensing",POWER(Upgrades!$U$16,H24),1)*IF(Upgrades!$T$17="Microlensing",POWER(Upgrades!$U$17,I24),1)*IF(Upgrades!$T$18="Microlensing",POWER(Upgrades!$U$18,J24),1)*IF(Upgrades!$T$19="Microlensing",POWER(Upgrades!$U$19,K24),1)*IF(Upgrades!$T$20="Microlensing",POWER(Upgrades!$U$20,L24),1)*IF(Upgrades!$T$21="Microlensing",POWER(Upgrades!$U$21,M24),1))+(IF(H24=0,0,(Upgrades!$M$16+H24*Upgrades!$N$16)*POWER(Upgrades!$O$16,H24)))*(IF(Upgrades!$T$13="Roche Lobe Overflow",POWER(Upgrades!$U$13,E24),1)*IF(Upgrades!$T$14="Roche Lobe Overflow",POWER(Upgrades!$U$14,F24),1)*IF(Upgrades!$T$15="Roche Lobe Overflow",POWER(Upgrades!$U$15,G24),1)*IF(Upgrades!$T$17="Roche Lobe Overflow",POWER(Upgrades!$U$17,I24),1)*IF(Upgrades!$T$18="Roche Lobe Overflow",POWER(Upgrades!$U$18,J24),1)*IF(Upgrades!$T$19="Roche Lobe Overflow",POWER(Upgrades!$U$19,K24),1)*IF(Upgrades!$T$20="Roche Lobe Overflow",POWER(Upgrades!$U$20,L24),1)*IF(Upgrades!$T$21="Roche Lobe Overflow",POWER(Upgrades!$U$21,M24),1))+(IF(I24=0,0,(Upgrades!$M$17+I24*Upgrades!$N$17)*POWER(Upgrades!$O$17,I24)))*(IF(Upgrades!$T$13="Brown Dwarf",POWER(Upgrades!$U$13,E24),1)*IF(Upgrades!$T$14="Brown Dwarf",POWER(Upgrades!$U$14,F24),1)*IF(Upgrades!$T$15="Brown Dwarf",POWER(Upgrades!$U$15,G24),1)*IF(Upgrades!$T$16="Brown Dwarf",POWER(Upgrades!$U$16,H24),1)*IF(Upgrades!$T$18="Brown Dwarf",POWER(Upgrades!$U$18,J24),1)*IF(Upgrades!$T$19="Brown Dwarf",POWER(Upgrades!$U$19,K24),1)*IF(Upgrades!$T$20="Brown Dwarf",POWER(Upgrades!$U$20,L24),1)*IF(Upgrades!$T$21="Brown Dwarf",POWER(Upgrades!$U$21,M24),1))+(IF(J24=0,0,(Upgrades!$M$18+J24*Upgrades!$N$18)*POWER(Upgrades!$O$18,J24)))*(IF(Upgrades!$T$13="Binary Partner",POWER(Upgrades!$U$13,E24),1)*IF(Upgrades!$T$14="Binary Partner",POWER(Upgrades!$U$14,F24),1)*IF(Upgrades!$T$15="Binary Partner",POWER(Upgrades!$U$15,G24),1)*IF(Upgrades!$T$16="Binary Partner",POWER(Upgrades!$U$16,H24),1)*IF(Upgrades!$T$17="Binary Partner",POWER(Upgrades!$U$17,I24),1)*IF(Upgrades!$T$19="Binary Partner",POWER(Upgrades!$U$19,K24),1)*IF(Upgrades!$T$20="Binary Partner",POWER(Upgrades!$U$20,L24),1)*IF(Upgrades!$T$21="Binary Partner",POWER(Upgrades!$U$21,M24),1))+(IF(K24=0,0,(Upgrades!$M$19+K24*Upgrades!$N$19)*POWER(Upgrades!$O$19,K24)))*(IF(Upgrades!$T$13="Peculiar Velocity",POWER(Upgrades!$U$13,E24),1)*IF(Upgrades!$T$14="Peculiar Velocity",POWER(Upgrades!$U$14,F24),1)*IF(Upgrades!$T$15="Peculiar Velocity",POWER(Upgrades!$U$15,G24),1)*IF(Upgrades!$T$16="Peculiar Velocity",POWER(Upgrades!$U$16,H24),1)*IF(Upgrades!$T$17="Peculiar Velocity",POWER(Upgrades!$U$17,I24),1)*IF(Upgrades!$T$18="Peculiar Velocity",POWER(Upgrades!$U$18,J24),1)*IF(Upgrades!$T$20="Peculiar Velocity",POWER(Upgrades!$U$20,L24),1)*IF(Upgrades!$T$21="Peculiar Velocity",POWER(Upgrades!$U$21,M24),1))+(IF(L24=0,0,(Upgrades!$M$20+L24*Upgrades!$N$20)*POWER(Upgrades!$O$20,L24)))*(IF(Upgrades!$T$13="Open Cluster",POWER(Upgrades!$U$13,E24),1)*IF(Upgrades!$T$14="Open Cluster",POWER(Upgrades!$U$14,F24),1)*IF(Upgrades!$T$15="Open Cluster",POWER(Upgrades!$U$15,G24),1)*IF(Upgrades!$T$16="Open Cluster",POWER(Upgrades!$U$16,H24),1)*IF(Upgrades!$T$17="Open Cluster",POWER(Upgrades!$U$17,I24),1)*IF(Upgrades!$T$18="Open Cluster",POWER(Upgrades!$U$18,J24),1)*IF(Upgrades!$T$19="Open Cluster",POWER(Upgrades!$U$19,K24),1)*IF(Upgrades!$T$21="Open Cluster",POWER(Upgrades!$U$21,M24),1))+(IF(M24=0,0,(Upgrades!$M$21+M24*Upgrades!$N$21)*POWER(Upgrades!$O$21,M24)))*(IF(Upgrades!$T$13="Moving Group",POWER(Upgrades!$U$13,E24),1)*IF(Upgrades!$T$14="Moving Group",POWER(Upgrades!$U$14,F24),1)*IF(Upgrades!$T$15="Moving Group",POWER(Upgrades!$U$15,G24),1)*IF(Upgrades!$T$16="Moving Group",POWER(Upgrades!$U$16,H24),1)*IF(Upgrades!$T$17="Moving Group",POWER(Upgrades!$U$17,I24),1)*IF(Upgrades!$T$18="Moving Group",POWER(Upgrades!$U$18,J24),1)*IF(Upgrades!$T$19="Moving Group",POWER(Upgrades!$U$19,K24),1)*IF(Upgrades!$T$20="Moving Group",POWER(Upgrades!$U$20,L24),1)))*POWER(Upgrades!$R$13,E24)*POWER(Upgrades!$R$14,F24)*POWER(Upgrades!$R$15,G24)*POWER(Upgrades!$R$16,H24)*POWER(Upgrades!$R$17,I24)*POWER(Upgrades!$R$18,J24)*POWER(Upgrades!$R$19,K24)*POWER(Upgrades!$R$20,L24)*POWER(Upgrades!$R$21,M24)*$H$6+$E$6</f>
        <v/>
      </c>
      <c r="R24" s="27">
        <f>IF(N24=1,0,O24*Parameters!$B$10/60*Parameters!$B$11*10)</f>
        <v/>
      </c>
      <c r="S24" s="27">
        <f>IF(N24=1,0,Q24*O24*10)</f>
        <v/>
      </c>
      <c r="T24" s="27">
        <f>IF(N24=1,0,R24+S24+P24*10)</f>
        <v/>
      </c>
      <c r="U24" s="33">
        <f>BE24</f>
        <v/>
      </c>
      <c r="V24" s="22">
        <f>IF(U24="",0,IF(U24="transition",0,IF(U24="SK",AK24,IF(U24="LB",AL24,IF(U24="ML",AM24,IF(U24="RLO",AN24,IF(U24="BD",AO24,IF(U24="BiP",AP24,IF(U24="PV",AQ24,IF(U24="OC",AR24,IF(U24="MG",AS24,0))))))))))</f>
        <v/>
      </c>
      <c r="W24" s="27">
        <f>IF(U24="BiP",Upgrades!$F$18,IF(U24="PV",Upgrades!$F$19,IF(U24="OC",Upgrades!$F$20,IF(U24="MG",Upgrades!$F$21,IF(U24="transition",-Parameters!$B$18*Parameters!$B$19,0)))))</f>
        <v/>
      </c>
      <c r="X24" s="22">
        <f>C24+T24-V24</f>
        <v/>
      </c>
      <c r="Y24" s="30">
        <f>O24*Parameters!$B$10/60*Parameters!$B$11+Q24*O24+P24</f>
        <v/>
      </c>
      <c r="Z24" s="34">
        <f>IF(U24="transition","→ Tier 3 (Galactic Arm)",IF(U24="MG","Moving Group — pocket drifts together",IF(U24="OC","Open Cluster acquired",IF(U24="PV","Peculiar Velocity — passive multiplier active",IF(U24="BiP","Binary Partner — pair bond formed",IF(AND(AU24=1,N24=0,AT24&lt;&gt;1),"Cohesion ready (waiting on completionists)","")))))) </f>
        <v/>
      </c>
      <c r="AA24" s="27">
        <f>(IF(E24=0,0,(Upgrades!$G$13+E24*Upgrades!$H$13)*POWER(Upgrades!$I$13,E24)))*(IF(Upgrades!$T$14="Stellar Kinematics",POWER(Upgrades!$U$14,F24),1)*IF(Upgrades!$T$15="Stellar Kinematics",POWER(Upgrades!$U$15,G24),1)*IF(Upgrades!$T$16="Stellar Kinematics",POWER(Upgrades!$U$16,H24),1)*IF(Upgrades!$T$17="Stellar Kinematics",POWER(Upgrades!$U$17,I24),1)*IF(Upgrades!$T$18="Stellar Kinematics",POWER(Upgrades!$U$18,J24),1)*IF(Upgrades!$T$19="Stellar Kinematics",POWER(Upgrades!$U$19,K24),1)*IF(Upgrades!$T$20="Stellar Kinematics",POWER(Upgrades!$U$20,L24),1)*IF(Upgrades!$T$21="Stellar Kinematics",POWER(Upgrades!$U$21,M24),1))*POWER(Upgrades!$P$13,E24)*POWER(Upgrades!$P$14,F24)*POWER(Upgrades!$P$15,G24)*POWER(Upgrades!$P$16,H24)*POWER(Upgrades!$P$17,I24)*POWER(Upgrades!$P$18,J24)*POWER(Upgrades!$P$19,K24)*POWER(Upgrades!$P$20,L24)*POWER(Upgrades!$P$21,M24)*$F$6*60</f>
        <v/>
      </c>
      <c r="AB24" s="27">
        <f>(IF(F24=0,0,(Upgrades!$G$14+F24*Upgrades!$H$14)*POWER(Upgrades!$I$14,F24)))*(IF(Upgrades!$T$13="Local Bubble",POWER(Upgrades!$U$13,E24),1)*IF(Upgrades!$T$15="Local Bubble",POWER(Upgrades!$U$15,G24),1)*IF(Upgrades!$T$16="Local Bubble",POWER(Upgrades!$U$16,H24),1)*IF(Upgrades!$T$17="Local Bubble",POWER(Upgrades!$U$17,I24),1)*IF(Upgrades!$T$18="Local Bubble",POWER(Upgrades!$U$18,J24),1)*IF(Upgrades!$T$19="Local Bubble",POWER(Upgrades!$U$19,K24),1)*IF(Upgrades!$T$20="Local Bubble",POWER(Upgrades!$U$20,L24),1)*IF(Upgrades!$T$21="Local Bubble",POWER(Upgrades!$U$21,M24),1))*POWER(Upgrades!$P$13,E24)*POWER(Upgrades!$P$14,F24)*POWER(Upgrades!$P$15,G24)*POWER(Upgrades!$P$16,H24)*POWER(Upgrades!$P$17,I24)*POWER(Upgrades!$P$18,J24)*POWER(Upgrades!$P$19,K24)*POWER(Upgrades!$P$20,L24)*POWER(Upgrades!$P$21,M24)*$F$6*60</f>
        <v/>
      </c>
      <c r="AC24" s="27">
        <f>(IF(G24=0,0,(Upgrades!$J$15+G24*Upgrades!$K$15)*POWER(Upgrades!$L$15,G24)))*(IF(Upgrades!$T$13="Microlensing",POWER(Upgrades!$U$13,E24),1)*IF(Upgrades!$T$14="Microlensing",POWER(Upgrades!$U$14,F24),1)*IF(Upgrades!$T$16="Microlensing",POWER(Upgrades!$U$16,H24),1)*IF(Upgrades!$T$17="Microlensing",POWER(Upgrades!$U$17,I24),1)*IF(Upgrades!$T$18="Microlensing",POWER(Upgrades!$U$18,J24),1)*IF(Upgrades!$T$19="Microlensing",POWER(Upgrades!$U$19,K24),1)*IF(Upgrades!$T$20="Microlensing",POWER(Upgrades!$U$20,L24),1)*IF(Upgrades!$T$21="Microlensing",POWER(Upgrades!$U$21,M24),1))*POWER(Upgrades!$Q$13,E24)*POWER(Upgrades!$Q$14,F24)*POWER(Upgrades!$Q$15,G24)*POWER(Upgrades!$Q$16,H24)*POWER(Upgrades!$Q$17,I24)*POWER(Upgrades!$Q$18,J24)*POWER(Upgrades!$Q$19,K24)*POWER(Upgrades!$Q$20,L24)*POWER(Upgrades!$Q$21,M24)*$G$6*(Parameters!$B$10*Parameters!$B$11+Q24*60)</f>
        <v/>
      </c>
      <c r="AD24" s="27">
        <f>(IF(H24=0,0,(Upgrades!$M$16+H24*Upgrades!$N$16)*POWER(Upgrades!$O$16,H24)))*(IF(Upgrades!$T$13="Roche Lobe Overflow",POWER(Upgrades!$U$13,E24),1)*IF(Upgrades!$T$14="Roche Lobe Overflow",POWER(Upgrades!$U$14,F24),1)*IF(Upgrades!$T$15="Roche Lobe Overflow",POWER(Upgrades!$U$15,G24),1)*IF(Upgrades!$T$17="Roche Lobe Overflow",POWER(Upgrades!$U$17,I24),1)*IF(Upgrades!$T$18="Roche Lobe Overflow",POWER(Upgrades!$U$18,J24),1)*IF(Upgrades!$T$19="Roche Lobe Overflow",POWER(Upgrades!$U$19,K24),1)*IF(Upgrades!$T$20="Roche Lobe Overflow",POWER(Upgrades!$U$20,L24),1)*IF(Upgrades!$T$21="Roche Lobe Overflow",POWER(Upgrades!$U$21,M24),1))*POWER(Upgrades!$R$13,E24)*POWER(Upgrades!$R$14,F24)*POWER(Upgrades!$R$15,G24)*POWER(Upgrades!$R$16,H24)*POWER(Upgrades!$R$17,I24)*POWER(Upgrades!$R$18,J24)*POWER(Upgrades!$R$19,K24)*POWER(Upgrades!$R$20,L24)*POWER(Upgrades!$R$21,M24)*$H$6*O24*60</f>
        <v/>
      </c>
      <c r="AE24" s="27">
        <f>(IF(I24=0,0,(Upgrades!$G$17+I24*Upgrades!$H$17)*POWER(Upgrades!$I$17,I24)))*(IF(Upgrades!$T$13="Brown Dwarf",POWER(Upgrades!$U$13,E24),1)*IF(Upgrades!$T$14="Brown Dwarf",POWER(Upgrades!$U$14,F24),1)*IF(Upgrades!$T$15="Brown Dwarf",POWER(Upgrades!$U$15,G24),1)*IF(Upgrades!$T$16="Brown Dwarf",POWER(Upgrades!$U$16,H24),1)*IF(Upgrades!$T$18="Brown Dwarf",POWER(Upgrades!$U$18,J24),1)*IF(Upgrades!$T$19="Brown Dwarf",POWER(Upgrades!$U$19,K24),1)*IF(Upgrades!$T$20="Brown Dwarf",POWER(Upgrades!$U$20,L24),1)*IF(Upgrades!$T$21="Brown Dwarf",POWER(Upgrades!$U$21,M24),1))*POWER(Upgrades!$P$13,E24)*POWER(Upgrades!$P$14,F24)*POWER(Upgrades!$P$15,G24)*POWER(Upgrades!$P$16,H24)*POWER(Upgrades!$P$17,I24)*POWER(Upgrades!$P$18,J24)*POWER(Upgrades!$P$19,K24)*POWER(Upgrades!$P$20,L24)*POWER(Upgrades!$P$21,M24)*$F$6*60</f>
        <v/>
      </c>
      <c r="AF24" s="27" t="n">
        <v>0</v>
      </c>
      <c r="AG24" s="27" t="n">
        <v>0</v>
      </c>
      <c r="AH24" s="27" t="n">
        <v>0</v>
      </c>
      <c r="AI24" s="27">
        <f>(IF(M24=0,0,(Upgrades!$G$21+M24*Upgrades!$H$21)*POWER(Upgrades!$I$21,M24)))*(IF(Upgrades!$T$13="Moving Group",POWER(Upgrades!$U$13,E24),1)*IF(Upgrades!$T$14="Moving Group",POWER(Upgrades!$U$14,F24),1)*IF(Upgrades!$T$15="Moving Group",POWER(Upgrades!$U$15,G24),1)*IF(Upgrades!$T$16="Moving Group",POWER(Upgrades!$U$16,H24),1)*IF(Upgrades!$T$17="Moving Group",POWER(Upgrades!$U$17,I24),1)*IF(Upgrades!$T$18="Moving Group",POWER(Upgrades!$U$18,J24),1)*IF(Upgrades!$T$19="Moving Group",POWER(Upgrades!$U$19,K24),1)*IF(Upgrades!$T$20="Moving Group",POWER(Upgrades!$U$20,L24),1))*POWER(Upgrades!$P$13,E24)*POWER(Upgrades!$P$14,F24)*POWER(Upgrades!$P$15,G24)*POWER(Upgrades!$P$16,H24)*POWER(Upgrades!$P$17,I24)*POWER(Upgrades!$P$18,J24)*POWER(Upgrades!$P$19,K24)*POWER(Upgrades!$P$20,L24)*POWER(Upgrades!$P$21,M24)*$F$6*60</f>
        <v/>
      </c>
      <c r="AJ24" s="27">
        <f>$C$6*60</f>
        <v/>
      </c>
      <c r="AK24" s="22">
        <f>IF(E24&gt;=Upgrades!$E$13,"",Upgrades!$C$13*POWER(Upgrades!$D$13,E24))</f>
        <v/>
      </c>
      <c r="AL24" s="22">
        <f>IF(F24&gt;=Upgrades!$E$14,"",Upgrades!$C$14*POWER(Upgrades!$D$14,F24))</f>
        <v/>
      </c>
      <c r="AM24" s="22">
        <f>IF(G24&gt;=Upgrades!$E$15,"",Upgrades!$C$15*POWER(Upgrades!$D$15,G24))</f>
        <v/>
      </c>
      <c r="AN24" s="22">
        <f>IF(H24&gt;=Upgrades!$E$16,"",Upgrades!$C$16*POWER(Upgrades!$D$16,H24))</f>
        <v/>
      </c>
      <c r="AO24" s="22">
        <f>IF(I24&gt;=Upgrades!$E$17,"",Upgrades!$C$17*POWER(Upgrades!$D$17,I24))</f>
        <v/>
      </c>
      <c r="AP24" s="22">
        <f>IF(J24&gt;=Upgrades!$E$18,"",Upgrades!$C$18*POWER(Upgrades!$D$18,J24))</f>
        <v/>
      </c>
      <c r="AQ24" s="22">
        <f>IF(K24&gt;=Upgrades!$E$19,"",Upgrades!$C$19*POWER(Upgrades!$D$19,K24))</f>
        <v/>
      </c>
      <c r="AR24" s="22">
        <f>IF(L24&gt;=Upgrades!$E$20,"",Upgrades!$C$20*POWER(Upgrades!$D$20,L24))</f>
        <v/>
      </c>
      <c r="AS24" s="22">
        <f>IF(M24&gt;=Upgrades!$E$21,"",Upgrades!$C$21*POWER(Upgrades!$D$21,M24))</f>
        <v/>
      </c>
      <c r="AT24" s="26">
        <f>IF(AND(D24&gt;=Parameters!$B$18*Parameters!$B$19,(I24&gt;=Upgrades!$E$17)*(M24&gt;=Upgrades!$E$21)=1,N24=0),1,"")</f>
        <v/>
      </c>
      <c r="AU24" s="26">
        <f>IF(AND(D24&gt;=Parameters!$B$18*Parameters!$B$19,N24=0),1,"")</f>
        <v/>
      </c>
      <c r="AV24" s="22">
        <f>MIN(IF(ISNUMBER(AP24),AP24,9E15),IF(ISNUMBER(AQ24),AQ24,9E15),IF(ISNUMBER(AR24),AR24,9E15),IF(ISNUMBER(AS24),AS24,9E15))</f>
        <v/>
      </c>
      <c r="AW24" s="22">
        <f>MIN(IF(ISNUMBER(AK24),AK24,9E15),IF(ISNUMBER(AL24),AL24,9E15),IF(ISNUMBER(AM24),AM24,9E15),IF(ISNUMBER(AN24),AN24,9E15),IF(ISNUMBER(AO24),AO24,9E15))</f>
        <v/>
      </c>
      <c r="AX24" s="29">
        <f>IF(BD24&gt;Parameters!$B$21*(MAX(IF(AND(NOT(AND(AU24=1,AT24&lt;&gt;1)),ISNUMBER(AK24),AK24&lt;=(C24+T24)),AY24,0),IF(AND(NOT(AND(AU24=1,AT24&lt;&gt;1)),ISNUMBER(AL24),AL24&lt;=(C24+T24)),AZ24,0),IF(AND(NOT(AND(AU24=1,AT24&lt;&gt;1)),ISNUMBER(AM24),AM24&lt;=(C24+T24)),BA24,0),IF(AND(NOT(AND(AU24=1,AT24&lt;&gt;1)),ISNUMBER(AN24),AN24&lt;=(C24+T24)),BB24,0),IF(AND(ISNUMBER(AO24),AO24&lt;=(C24+T24)),BC24,0))),TRUE,FALSE)</f>
        <v/>
      </c>
      <c r="AY24" s="32">
        <f>IFERROR(Upgrades!$H$13*(POWER(Upgrades!$P$13,E24)*POWER(Upgrades!$P$14,F24)*POWER(Upgrades!$P$15,G24)*POWER(Upgrades!$P$16,H24)*POWER(Upgrades!$P$17,I24)*POWER(Upgrades!$P$18,J24)*POWER(Upgrades!$P$19,K24)*POWER(Upgrades!$P$20,L24)*POWER(Upgrades!$P$21,M24))*(IF(Upgrades!$T$14="Stellar Kinematics",POWER(Upgrades!$U$14,F24),1)*IF(Upgrades!$T$15="Stellar Kinematics",POWER(Upgrades!$U$15,G24),1)*IF(Upgrades!$T$16="Stellar Kinematics",POWER(Upgrades!$U$16,H24),1)*IF(Upgrades!$T$17="Stellar Kinematics",POWER(Upgrades!$U$17,I24),1)*IF(Upgrades!$T$18="Stellar Kinematics",POWER(Upgrades!$U$18,J24),1)*IF(Upgrades!$T$19="Stellar Kinematics",POWER(Upgrades!$U$19,K24),1)*IF(Upgrades!$T$20="Stellar Kinematics",POWER(Upgrades!$U$20,L24),1)*IF(Upgrades!$T$21="Stellar Kinematics",POWER(Upgrades!$U$21,M24),1))*$F$6/AK24,0)</f>
        <v/>
      </c>
      <c r="AZ24" s="32">
        <f>IFERROR(Upgrades!$H$14*(POWER(Upgrades!$P$13,E24)*POWER(Upgrades!$P$14,F24)*POWER(Upgrades!$P$15,G24)*POWER(Upgrades!$P$16,H24)*POWER(Upgrades!$P$17,I24)*POWER(Upgrades!$P$18,J24)*POWER(Upgrades!$P$19,K24)*POWER(Upgrades!$P$20,L24)*POWER(Upgrades!$P$21,M24))*(IF(Upgrades!$T$13="Local Bubble",POWER(Upgrades!$U$13,E24),1)*IF(Upgrades!$T$15="Local Bubble",POWER(Upgrades!$U$15,G24),1)*IF(Upgrades!$T$16="Local Bubble",POWER(Upgrades!$U$16,H24),1)*IF(Upgrades!$T$17="Local Bubble",POWER(Upgrades!$U$17,I24),1)*IF(Upgrades!$T$18="Local Bubble",POWER(Upgrades!$U$18,J24),1)*IF(Upgrades!$T$19="Local Bubble",POWER(Upgrades!$U$19,K24),1)*IF(Upgrades!$T$20="Local Bubble",POWER(Upgrades!$U$20,L24),1)*IF(Upgrades!$T$21="Local Bubble",POWER(Upgrades!$U$21,M24),1))*$F$6/AL24,0)</f>
        <v/>
      </c>
      <c r="BA24" s="32">
        <f>IFERROR(Upgrades!$K$15*(POWER(Upgrades!$Q$13,E24)*POWER(Upgrades!$Q$14,F24)*POWER(Upgrades!$Q$15,G24)*POWER(Upgrades!$Q$16,H24)*POWER(Upgrades!$Q$17,I24)*POWER(Upgrades!$Q$18,J24)*POWER(Upgrades!$Q$19,K24)*POWER(Upgrades!$Q$20,L24)*POWER(Upgrades!$Q$21,M24))*(IF(Upgrades!$T$13="Microlensing",POWER(Upgrades!$U$13,E24),1)*IF(Upgrades!$T$14="Microlensing",POWER(Upgrades!$U$14,F24),1)*IF(Upgrades!$T$16="Microlensing",POWER(Upgrades!$U$16,H24),1)*IF(Upgrades!$T$17="Microlensing",POWER(Upgrades!$U$17,I24),1)*IF(Upgrades!$T$18="Microlensing",POWER(Upgrades!$U$18,J24),1)*IF(Upgrades!$T$19="Microlensing",POWER(Upgrades!$U$19,K24),1)*IF(Upgrades!$T$20="Microlensing",POWER(Upgrades!$U$20,L24),1)*IF(Upgrades!$T$21="Microlensing",POWER(Upgrades!$U$21,M24),1))*$G$6*(Parameters!$B$10/60*Parameters!$B$11+Q24)/AM24,0)</f>
        <v/>
      </c>
      <c r="BB24" s="32">
        <f>IFERROR((Upgrades!$N$16*(POWER(Upgrades!$R$13,E24)*POWER(Upgrades!$R$14,F24)*POWER(Upgrades!$R$15,G24)*POWER(Upgrades!$R$16,H24)*POWER(Upgrades!$R$17,I24)*POWER(Upgrades!$R$18,J24)*POWER(Upgrades!$R$19,K24)*POWER(Upgrades!$R$20,L24)*POWER(Upgrades!$R$21,M24))*(IF(Upgrades!$T$13="Roche Lobe Overflow",POWER(Upgrades!$U$13,E24),1)*IF(Upgrades!$T$14="Roche Lobe Overflow",POWER(Upgrades!$U$14,F24),1)*IF(Upgrades!$T$15="Roche Lobe Overflow",POWER(Upgrades!$U$15,G24),1)*IF(Upgrades!$T$17="Roche Lobe Overflow",POWER(Upgrades!$U$17,I24),1)*IF(Upgrades!$T$18="Roche Lobe Overflow",POWER(Upgrades!$U$18,J24),1)*IF(Upgrades!$T$19="Roche Lobe Overflow",POWER(Upgrades!$U$19,K24),1)*IF(Upgrades!$T$20="Roche Lobe Overflow",POWER(Upgrades!$U$20,L24),1)*IF(Upgrades!$T$21="Roche Lobe Overflow",POWER(Upgrades!$U$21,M24),1))*$H$6*O24+((IF(F24=0,0,(Upgrades!$G$14+F24*Upgrades!$H$14)*POWER(Upgrades!$I$14,F24)))*(IF(Upgrades!$T$13="Local Bubble",POWER(Upgrades!$U$13,E24),1)*IF(Upgrades!$T$15="Local Bubble",POWER(Upgrades!$U$15,G24),1)*IF(Upgrades!$T$16="Local Bubble",POWER(Upgrades!$U$16,H24),1)*IF(Upgrades!$T$17="Local Bubble",POWER(Upgrades!$U$17,I24),1)*IF(Upgrades!$T$18="Local Bubble",POWER(Upgrades!$U$18,J24),1)*IF(Upgrades!$T$19="Local Bubble",POWER(Upgrades!$U$19,K24),1)*IF(Upgrades!$T$20="Local Bubble",POWER(Upgrades!$U$20,L24),1)*IF(Upgrades!$T$21="Local Bubble",POWER(Upgrades!$U$21,M24),1))*POWER(Upgrades!$P$13,E24)*POWER(Upgrades!$P$14,F24)*POWER(Upgrades!$P$15,G24)*POWER(Upgrades!$P$16,H24)*POWER(Upgrades!$P$17,I24)*POWER(Upgrades!$P$18,J24)*POWER(Upgrades!$P$19,K24)*POWER(Upgrades!$P$20,L24)*POWER(Upgrades!$P$21,M24)*$F$6)*0.05)/AN24,0)</f>
        <v/>
      </c>
      <c r="BC24" s="32">
        <f>IFERROR((Upgrades!$H$17*(POWER(Upgrades!$P$13,E24)*POWER(Upgrades!$P$14,F24)*POWER(Upgrades!$P$15,G24)*POWER(Upgrades!$P$16,H24)*POWER(Upgrades!$P$17,I24)*POWER(Upgrades!$P$18,J24)*POWER(Upgrades!$P$19,K24)*POWER(Upgrades!$P$20,L24)*POWER(Upgrades!$P$21,M24))*(IF(Upgrades!$T$13="Brown Dwarf",POWER(Upgrades!$U$13,E24),1)*IF(Upgrades!$T$14="Brown Dwarf",POWER(Upgrades!$U$14,F24),1)*IF(Upgrades!$T$15="Brown Dwarf",POWER(Upgrades!$U$15,G24),1)*IF(Upgrades!$T$16="Brown Dwarf",POWER(Upgrades!$U$16,H24),1)*IF(Upgrades!$T$18="Brown Dwarf",POWER(Upgrades!$U$18,J24),1)*IF(Upgrades!$T$19="Brown Dwarf",POWER(Upgrades!$U$19,K24),1)*IF(Upgrades!$T$20="Brown Dwarf",POWER(Upgrades!$U$20,L24),1)*IF(Upgrades!$T$21="Brown Dwarf",POWER(Upgrades!$U$21,M24),1))*$F$6+(((IF(H24=0,0,(Upgrades!$M$16+H24*Upgrades!$N$16)*POWER(Upgrades!$O$16,H24)))*(IF(Upgrades!$T$13="Roche Lobe Overflow",POWER(Upgrades!$U$13,E24),1)*IF(Upgrades!$T$14="Roche Lobe Overflow",POWER(Upgrades!$U$14,F24),1)*IF(Upgrades!$T$15="Roche Lobe Overflow",POWER(Upgrades!$U$15,G24),1)*IF(Upgrades!$T$17="Roche Lobe Overflow",POWER(Upgrades!$U$17,I24),1)*IF(Upgrades!$T$18="Roche Lobe Overflow",POWER(Upgrades!$U$18,J24),1)*IF(Upgrades!$T$19="Roche Lobe Overflow",POWER(Upgrades!$U$19,K24),1)*IF(Upgrades!$T$20="Roche Lobe Overflow",POWER(Upgrades!$U$20,L24),1)*IF(Upgrades!$T$21="Roche Lobe Overflow",POWER(Upgrades!$U$21,M24),1))*POWER(Upgrades!$R$13,E24)*POWER(Upgrades!$R$14,F24)*POWER(Upgrades!$R$15,G24)*POWER(Upgrades!$R$16,H24)*POWER(Upgrades!$R$17,I24)*POWER(Upgrades!$R$18,J24)*POWER(Upgrades!$R$19,K24)*POWER(Upgrades!$R$20,L24)*POWER(Upgrades!$R$21,M24)*$H$6)*O24)*0.10)/AO24,0)</f>
        <v/>
      </c>
      <c r="BD24" s="32">
        <f>MAX(IF(J24&gt;0,0,IFERROR(0.5*((IF(G24=0,0,(Upgrades!$J$15+G24*Upgrades!$K$15)*POWER(Upgrades!$L$15,G24)))*(IF(Upgrades!$T$13="Microlensing",POWER(Upgrades!$U$13,E24),1)*IF(Upgrades!$T$14="Microlensing",POWER(Upgrades!$U$14,F24),1)*IF(Upgrades!$T$16="Microlensing",POWER(Upgrades!$U$16,H24),1)*IF(Upgrades!$T$17="Microlensing",POWER(Upgrades!$U$17,I24),1)*IF(Upgrades!$T$18="Microlensing",POWER(Upgrades!$U$18,J24),1)*IF(Upgrades!$T$19="Microlensing",POWER(Upgrades!$U$19,K24),1)*IF(Upgrades!$T$20="Microlensing",POWER(Upgrades!$U$20,L24),1)*IF(Upgrades!$T$21="Microlensing",POWER(Upgrades!$U$21,M24),1))*(POWER(Upgrades!$Q$13,E24)*POWER(Upgrades!$Q$14,F24)*POWER(Upgrades!$Q$15,G24)*POWER(Upgrades!$Q$16,H24)*POWER(Upgrades!$Q$17,I24)*POWER(Upgrades!$Q$18,J24)*POWER(Upgrades!$Q$19,K24)*POWER(Upgrades!$Q$20,L24)*POWER(Upgrades!$Q$21,M24))*$G$6*(Parameters!$B$10/60*Parameters!$B$11+Q24))/Upgrades!$C$18,0)),IF(K24&gt;0,0,IFERROR(0.30*P24/Upgrades!$C$19,0)),IF(L24&gt;0,0,IFERROR(0.0001/Upgrades!$C$20,0)),IF(M24&gt;0,0,IFERROR((6.0*(POWER(Upgrades!$P$13,E24)*POWER(Upgrades!$P$14,F24)*POWER(Upgrades!$P$15,G24)*POWER(Upgrades!$P$16,H24)*POWER(Upgrades!$P$17,I24)*POWER(Upgrades!$P$18,J24)*POWER(Upgrades!$P$19,K24)*POWER(Upgrades!$P$20,L24)*POWER(Upgrades!$P$21,M24))*$F$6+0.20*O24*(Parameters!$B$10/60*Parameters!$B$11+Q24))/Upgrades!$C$21,0)),IF(AND(ISNUMBER(AK24),AK24&gt;(C24+T24)),AY24,0),IF(AND(ISNUMBER(AL24),AL24&gt;(C24+T24)),AZ24,0),IF(AND(ISNUMBER(AM24),AM24&gt;(C24+T24)),BA24,0),IF(AND(ISNUMBER(AN24),AN24&gt;(C24+T24)),BB24,0),IF(AND(ISNUMBER(AO24),AO24&gt;(C24+T24)),BC24,0))</f>
        <v/>
      </c>
      <c r="BE24" s="29">
        <f>IF(AT24=1,"transition",IF(MIN(IF(AND(J24=0,ISNUMBER(AP24),AP24&lt;=(C24+T24)),AP24,9E15),IF(AND(K24=0,ISNUMBER(AQ24),AQ24&lt;=(C24+T24)),AQ24,9E15),IF(AND(L24=0,ISNUMBER(AR24),AR24&lt;=(C24+T24)),AR24,9E15),IF(AND(M24=0,ISNUMBER(AS24),AS24&lt;=(C24+T24)),AS24,9E15))&lt;9E15,IF(AND(AND(J24=0,ISNUMBER(AP24),AP24&lt;=(C24+T24)),AP24=MIN(IF(AND(J24=0,ISNUMBER(AP24),AP24&lt;=(C24+T24)),AP24,9E15),IF(AND(K24=0,ISNUMBER(AQ24),AQ24&lt;=(C24+T24)),AQ24,9E15),IF(AND(L24=0,ISNUMBER(AR24),AR24&lt;=(C24+T24)),AR24,9E15),IF(AND(M24=0,ISNUMBER(AS24),AS24&lt;=(C24+T24)),AS24,9E15))),"BiP",IF(AND(AND(K24=0,ISNUMBER(AQ24),AQ24&lt;=(C24+T24)),AQ24=MIN(IF(AND(J24=0,ISNUMBER(AP24),AP24&lt;=(C24+T24)),AP24,9E15),IF(AND(K24=0,ISNUMBER(AQ24),AQ24&lt;=(C24+T24)),AQ24,9E15),IF(AND(L24=0,ISNUMBER(AR24),AR24&lt;=(C24+T24)),AR24,9E15),IF(AND(M24=0,ISNUMBER(AS24),AS24&lt;=(C24+T24)),AS24,9E15))),"PV",IF(AND(AND(L24=0,ISNUMBER(AR24),AR24&lt;=(C24+T24)),AR24=MIN(IF(AND(J24=0,ISNUMBER(AP24),AP24&lt;=(C24+T24)),AP24,9E15),IF(AND(K24=0,ISNUMBER(AQ24),AQ24&lt;=(C24+T24)),AQ24,9E15),IF(AND(L24=0,ISNUMBER(AR24),AR24&lt;=(C24+T24)),AR24,9E15),IF(AND(M24=0,ISNUMBER(AS24),AS24&lt;=(C24+T24)),AS24,9E15))),"OC","MG"))),IF(AX24=TRUE,"",IF(MAX(IF(AND(NOT(AND(AU24=1,AT24&lt;&gt;1)),ISNUMBER(AK24),AK24&lt;=(C24+T24)),AY24,0),IF(AND(NOT(AND(AU24=1,AT24&lt;&gt;1)),ISNUMBER(AL24),AL24&lt;=(C24+T24)),AZ24,0),IF(AND(NOT(AND(AU24=1,AT24&lt;&gt;1)),ISNUMBER(AM24),AM24&lt;=(C24+T24)),BA24,0),IF(AND(NOT(AND(AU24=1,AT24&lt;&gt;1)),ISNUMBER(AN24),AN24&lt;=(C24+T24)),BB24,0),IF(AND(ISNUMBER(AO24),AO24&lt;=(C24+T24)),BC24,0))&lt;=0,"",IF(AND(IF(AND(NOT(AND(AU24=1,AT24&lt;&gt;1)),ISNUMBER(AK24),AK24&lt;=(C24+T24)),AY24,0)&gt;0,IF(AND(NOT(AND(AU24=1,AT24&lt;&gt;1)),ISNUMBER(AK24),AK24&lt;=(C24+T24)),AY24,0)=MAX(IF(AND(NOT(AND(AU24=1,AT24&lt;&gt;1)),ISNUMBER(AK24),AK24&lt;=(C24+T24)),AY24,0),IF(AND(NOT(AND(AU24=1,AT24&lt;&gt;1)),ISNUMBER(AL24),AL24&lt;=(C24+T24)),AZ24,0),IF(AND(NOT(AND(AU24=1,AT24&lt;&gt;1)),ISNUMBER(AM24),AM24&lt;=(C24+T24)),BA24,0),IF(AND(NOT(AND(AU24=1,AT24&lt;&gt;1)),ISNUMBER(AN24),AN24&lt;=(C24+T24)),BB24,0),IF(AND(ISNUMBER(AO24),AO24&lt;=(C24+T24)),BC24,0))),"SK",IF(AND(IF(AND(NOT(AND(AU24=1,AT24&lt;&gt;1)),ISNUMBER(AL24),AL24&lt;=(C24+T24)),AZ24,0)&gt;0,IF(AND(NOT(AND(AU24=1,AT24&lt;&gt;1)),ISNUMBER(AL24),AL24&lt;=(C24+T24)),AZ24,0)=MAX(IF(AND(NOT(AND(AU24=1,AT24&lt;&gt;1)),ISNUMBER(AK24),AK24&lt;=(C24+T24)),AY24,0),IF(AND(NOT(AND(AU24=1,AT24&lt;&gt;1)),ISNUMBER(AL24),AL24&lt;=(C24+T24)),AZ24,0),IF(AND(NOT(AND(AU24=1,AT24&lt;&gt;1)),ISNUMBER(AM24),AM24&lt;=(C24+T24)),BA24,0),IF(AND(NOT(AND(AU24=1,AT24&lt;&gt;1)),ISNUMBER(AN24),AN24&lt;=(C24+T24)),BB24,0),IF(AND(ISNUMBER(AO24),AO24&lt;=(C24+T24)),BC24,0))),"LB",IF(AND(IF(AND(NOT(AND(AU24=1,AT24&lt;&gt;1)),ISNUMBER(AM24),AM24&lt;=(C24+T24)),BA24,0)&gt;0,IF(AND(NOT(AND(AU24=1,AT24&lt;&gt;1)),ISNUMBER(AM24),AM24&lt;=(C24+T24)),BA24,0)=MAX(IF(AND(NOT(AND(AU24=1,AT24&lt;&gt;1)),ISNUMBER(AK24),AK24&lt;=(C24+T24)),AY24,0),IF(AND(NOT(AND(AU24=1,AT24&lt;&gt;1)),ISNUMBER(AL24),AL24&lt;=(C24+T24)),AZ24,0),IF(AND(NOT(AND(AU24=1,AT24&lt;&gt;1)),ISNUMBER(AM24),AM24&lt;=(C24+T24)),BA24,0),IF(AND(NOT(AND(AU24=1,AT24&lt;&gt;1)),ISNUMBER(AN24),AN24&lt;=(C24+T24)),BB24,0),IF(AND(ISNUMBER(AO24),AO24&lt;=(C24+T24)),BC24,0))),"ML",IF(AND(IF(AND(NOT(AND(AU24=1,AT24&lt;&gt;1)),ISNUMBER(AN24),AN24&lt;=(C24+T24)),BB24,0)&gt;0,IF(AND(NOT(AND(AU24=1,AT24&lt;&gt;1)),ISNUMBER(AN24),AN24&lt;=(C24+T24)),BB24,0)=MAX(IF(AND(NOT(AND(AU24=1,AT24&lt;&gt;1)),ISNUMBER(AK24),AK24&lt;=(C24+T24)),AY24,0),IF(AND(NOT(AND(AU24=1,AT24&lt;&gt;1)),ISNUMBER(AL24),AL24&lt;=(C24+T24)),AZ24,0),IF(AND(NOT(AND(AU24=1,AT24&lt;&gt;1)),ISNUMBER(AM24),AM24&lt;=(C24+T24)),BA24,0),IF(AND(NOT(AND(AU24=1,AT24&lt;&gt;1)),ISNUMBER(AN24),AN24&lt;=(C24+T24)),BB24,0),IF(AND(ISNUMBER(AO24),AO24&lt;=(C24+T24)),BC24,0))),"RLO","BD"))))))))</f>
        <v/>
      </c>
    </row>
    <row r="25">
      <c r="A25" s="26" t="n">
        <v>14</v>
      </c>
      <c r="B25" s="27">
        <f>A25*10/60</f>
        <v/>
      </c>
      <c r="C25" s="22">
        <f>X24</f>
        <v/>
      </c>
      <c r="D25" s="27">
        <f>D24+W24</f>
        <v/>
      </c>
      <c r="E25" s="26">
        <f>E24+IF(U24="SK",1,0)</f>
        <v/>
      </c>
      <c r="F25" s="26">
        <f>F24+IF(U24="LB",1,0)</f>
        <v/>
      </c>
      <c r="G25" s="26">
        <f>G24+IF(U24="ML",1,0)</f>
        <v/>
      </c>
      <c r="H25" s="26">
        <f>H24+IF(U24="RLO",1,0)</f>
        <v/>
      </c>
      <c r="I25" s="26">
        <f>I24+IF(U24="BD",1,0)</f>
        <v/>
      </c>
      <c r="J25" s="26">
        <f>MAX(J24,IF(U24="BiP",1,0))</f>
        <v/>
      </c>
      <c r="K25" s="26">
        <f>MAX(K24,IF(U24="PV",1,0))</f>
        <v/>
      </c>
      <c r="L25" s="26">
        <f>MAX(L24,IF(U24="OC",1,0))</f>
        <v/>
      </c>
      <c r="M25" s="26">
        <f>MAX(M24,IF(U24="MG",1,0))</f>
        <v/>
      </c>
      <c r="N25" s="26">
        <f>MAX(N24,IF(U24="transition",1,0))</f>
        <v/>
      </c>
      <c r="O25" s="28">
        <f>(Parameters!$B$9+(IF(E25=0,0,(Upgrades!$J$13+E25*Upgrades!$K$13)*POWER(Upgrades!$L$13,E25)))*(IF(Upgrades!$T$14="Stellar Kinematics",POWER(Upgrades!$U$14,F25),1)*IF(Upgrades!$T$15="Stellar Kinematics",POWER(Upgrades!$U$15,G25),1)*IF(Upgrades!$T$16="Stellar Kinematics",POWER(Upgrades!$U$16,H25),1)*IF(Upgrades!$T$17="Stellar Kinematics",POWER(Upgrades!$U$17,I25),1)*IF(Upgrades!$T$18="Stellar Kinematics",POWER(Upgrades!$U$18,J25),1)*IF(Upgrades!$T$19="Stellar Kinematics",POWER(Upgrades!$U$19,K25),1)*IF(Upgrades!$T$20="Stellar Kinematics",POWER(Upgrades!$U$20,L25),1)*IF(Upgrades!$T$21="Stellar Kinematics",POWER(Upgrades!$U$21,M25),1))+(IF(F25=0,0,(Upgrades!$J$14+F25*Upgrades!$K$14)*POWER(Upgrades!$L$14,F25)))*(IF(Upgrades!$T$13="Local Bubble",POWER(Upgrades!$U$13,E25),1)*IF(Upgrades!$T$15="Local Bubble",POWER(Upgrades!$U$15,G25),1)*IF(Upgrades!$T$16="Local Bubble",POWER(Upgrades!$U$16,H25),1)*IF(Upgrades!$T$17="Local Bubble",POWER(Upgrades!$U$17,I25),1)*IF(Upgrades!$T$18="Local Bubble",POWER(Upgrades!$U$18,J25),1)*IF(Upgrades!$T$19="Local Bubble",POWER(Upgrades!$U$19,K25),1)*IF(Upgrades!$T$20="Local Bubble",POWER(Upgrades!$U$20,L25),1)*IF(Upgrades!$T$21="Local Bubble",POWER(Upgrades!$U$21,M25),1))+(IF(G25=0,0,(Upgrades!$J$15+G25*Upgrades!$K$15)*POWER(Upgrades!$L$15,G25)))*(IF(Upgrades!$T$13="Microlensing",POWER(Upgrades!$U$13,E25),1)*IF(Upgrades!$T$14="Microlensing",POWER(Upgrades!$U$14,F25),1)*IF(Upgrades!$T$16="Microlensing",POWER(Upgrades!$U$16,H25),1)*IF(Upgrades!$T$17="Microlensing",POWER(Upgrades!$U$17,I25),1)*IF(Upgrades!$T$18="Microlensing",POWER(Upgrades!$U$18,J25),1)*IF(Upgrades!$T$19="Microlensing",POWER(Upgrades!$U$19,K25),1)*IF(Upgrades!$T$20="Microlensing",POWER(Upgrades!$U$20,L25),1)*IF(Upgrades!$T$21="Microlensing",POWER(Upgrades!$U$21,M25),1))+(IF(H25=0,0,(Upgrades!$J$16+H25*Upgrades!$K$16)*POWER(Upgrades!$L$16,H25)))*(IF(Upgrades!$T$13="Roche Lobe Overflow",POWER(Upgrades!$U$13,E25),1)*IF(Upgrades!$T$14="Roche Lobe Overflow",POWER(Upgrades!$U$14,F25),1)*IF(Upgrades!$T$15="Roche Lobe Overflow",POWER(Upgrades!$U$15,G25),1)*IF(Upgrades!$T$17="Roche Lobe Overflow",POWER(Upgrades!$U$17,I25),1)*IF(Upgrades!$T$18="Roche Lobe Overflow",POWER(Upgrades!$U$18,J25),1)*IF(Upgrades!$T$19="Roche Lobe Overflow",POWER(Upgrades!$U$19,K25),1)*IF(Upgrades!$T$20="Roche Lobe Overflow",POWER(Upgrades!$U$20,L25),1)*IF(Upgrades!$T$21="Roche Lobe Overflow",POWER(Upgrades!$U$21,M25),1))+(IF(I25=0,0,(Upgrades!$J$17+I25*Upgrades!$K$17)*POWER(Upgrades!$L$17,I25)))*(IF(Upgrades!$T$13="Brown Dwarf",POWER(Upgrades!$U$13,E25),1)*IF(Upgrades!$T$14="Brown Dwarf",POWER(Upgrades!$U$14,F25),1)*IF(Upgrades!$T$15="Brown Dwarf",POWER(Upgrades!$U$15,G25),1)*IF(Upgrades!$T$16="Brown Dwarf",POWER(Upgrades!$U$16,H25),1)*IF(Upgrades!$T$18="Brown Dwarf",POWER(Upgrades!$U$18,J25),1)*IF(Upgrades!$T$19="Brown Dwarf",POWER(Upgrades!$U$19,K25),1)*IF(Upgrades!$T$20="Brown Dwarf",POWER(Upgrades!$U$20,L25),1)*IF(Upgrades!$T$21="Brown Dwarf",POWER(Upgrades!$U$21,M25),1))+(IF(J25=0,0,(Upgrades!$J$18+J25*Upgrades!$K$18)*POWER(Upgrades!$L$18,J25)))*(IF(Upgrades!$T$13="Binary Partner",POWER(Upgrades!$U$13,E25),1)*IF(Upgrades!$T$14="Binary Partner",POWER(Upgrades!$U$14,F25),1)*IF(Upgrades!$T$15="Binary Partner",POWER(Upgrades!$U$15,G25),1)*IF(Upgrades!$T$16="Binary Partner",POWER(Upgrades!$U$16,H25),1)*IF(Upgrades!$T$17="Binary Partner",POWER(Upgrades!$U$17,I25),1)*IF(Upgrades!$T$19="Binary Partner",POWER(Upgrades!$U$19,K25),1)*IF(Upgrades!$T$20="Binary Partner",POWER(Upgrades!$U$20,L25),1)*IF(Upgrades!$T$21="Binary Partner",POWER(Upgrades!$U$21,M25),1))+(IF(K25=0,0,(Upgrades!$J$19+K25*Upgrades!$K$19)*POWER(Upgrades!$L$19,K25)))*(IF(Upgrades!$T$13="Peculiar Velocity",POWER(Upgrades!$U$13,E25),1)*IF(Upgrades!$T$14="Peculiar Velocity",POWER(Upgrades!$U$14,F25),1)*IF(Upgrades!$T$15="Peculiar Velocity",POWER(Upgrades!$U$15,G25),1)*IF(Upgrades!$T$16="Peculiar Velocity",POWER(Upgrades!$U$16,H25),1)*IF(Upgrades!$T$17="Peculiar Velocity",POWER(Upgrades!$U$17,I25),1)*IF(Upgrades!$T$18="Peculiar Velocity",POWER(Upgrades!$U$18,J25),1)*IF(Upgrades!$T$20="Peculiar Velocity",POWER(Upgrades!$U$20,L25),1)*IF(Upgrades!$T$21="Peculiar Velocity",POWER(Upgrades!$U$21,M25),1))+(IF(L25=0,0,(Upgrades!$J$20+L25*Upgrades!$K$20)*POWER(Upgrades!$L$20,L25)))*(IF(Upgrades!$T$13="Open Cluster",POWER(Upgrades!$U$13,E25),1)*IF(Upgrades!$T$14="Open Cluster",POWER(Upgrades!$U$14,F25),1)*IF(Upgrades!$T$15="Open Cluster",POWER(Upgrades!$U$15,G25),1)*IF(Upgrades!$T$16="Open Cluster",POWER(Upgrades!$U$16,H25),1)*IF(Upgrades!$T$17="Open Cluster",POWER(Upgrades!$U$17,I25),1)*IF(Upgrades!$T$18="Open Cluster",POWER(Upgrades!$U$18,J25),1)*IF(Upgrades!$T$19="Open Cluster",POWER(Upgrades!$U$19,K25),1)*IF(Upgrades!$T$21="Open Cluster",POWER(Upgrades!$U$21,M25),1))+(IF(M25=0,0,(Upgrades!$J$21+M25*Upgrades!$K$21)*POWER(Upgrades!$L$21,M25)))*(IF(Upgrades!$T$13="Moving Group",POWER(Upgrades!$U$13,E25),1)*IF(Upgrades!$T$14="Moving Group",POWER(Upgrades!$U$14,F25),1)*IF(Upgrades!$T$15="Moving Group",POWER(Upgrades!$U$15,G25),1)*IF(Upgrades!$T$16="Moving Group",POWER(Upgrades!$U$16,H25),1)*IF(Upgrades!$T$17="Moving Group",POWER(Upgrades!$U$17,I25),1)*IF(Upgrades!$T$18="Moving Group",POWER(Upgrades!$U$18,J25),1)*IF(Upgrades!$T$19="Moving Group",POWER(Upgrades!$U$19,K25),1)*IF(Upgrades!$T$20="Moving Group",POWER(Upgrades!$U$20,L25),1)))*POWER(Upgrades!$Q$13,E25)*POWER(Upgrades!$Q$14,F25)*POWER(Upgrades!$Q$15,G25)*POWER(Upgrades!$Q$16,H25)*POWER(Upgrades!$Q$17,I25)*POWER(Upgrades!$Q$18,J25)*POWER(Upgrades!$Q$19,K25)*POWER(Upgrades!$Q$20,L25)*POWER(Upgrades!$Q$21,M25)*$G$6+$D$6</f>
        <v/>
      </c>
      <c r="P25" s="28">
        <f>((IF(E25=0,0,(Upgrades!$G$13+E25*Upgrades!$H$13)*POWER(Upgrades!$I$13,E25)))*(IF(Upgrades!$T$14="Stellar Kinematics",POWER(Upgrades!$U$14,F25),1)*IF(Upgrades!$T$15="Stellar Kinematics",POWER(Upgrades!$U$15,G25),1)*IF(Upgrades!$T$16="Stellar Kinematics",POWER(Upgrades!$U$16,H25),1)*IF(Upgrades!$T$17="Stellar Kinematics",POWER(Upgrades!$U$17,I25),1)*IF(Upgrades!$T$18="Stellar Kinematics",POWER(Upgrades!$U$18,J25),1)*IF(Upgrades!$T$19="Stellar Kinematics",POWER(Upgrades!$U$19,K25),1)*IF(Upgrades!$T$20="Stellar Kinematics",POWER(Upgrades!$U$20,L25),1)*IF(Upgrades!$T$21="Stellar Kinematics",POWER(Upgrades!$U$21,M25),1))+(IF(F25=0,0,(Upgrades!$G$14+F25*Upgrades!$H$14)*POWER(Upgrades!$I$14,F25)))*(IF(Upgrades!$T$13="Local Bubble",POWER(Upgrades!$U$13,E25),1)*IF(Upgrades!$T$15="Local Bubble",POWER(Upgrades!$U$15,G25),1)*IF(Upgrades!$T$16="Local Bubble",POWER(Upgrades!$U$16,H25),1)*IF(Upgrades!$T$17="Local Bubble",POWER(Upgrades!$U$17,I25),1)*IF(Upgrades!$T$18="Local Bubble",POWER(Upgrades!$U$18,J25),1)*IF(Upgrades!$T$19="Local Bubble",POWER(Upgrades!$U$19,K25),1)*IF(Upgrades!$T$20="Local Bubble",POWER(Upgrades!$U$20,L25),1)*IF(Upgrades!$T$21="Local Bubble",POWER(Upgrades!$U$21,M25),1))+(IF(G25=0,0,(Upgrades!$G$15+G25*Upgrades!$H$15)*POWER(Upgrades!$I$15,G25)))*(IF(Upgrades!$T$13="Microlensing",POWER(Upgrades!$U$13,E25),1)*IF(Upgrades!$T$14="Microlensing",POWER(Upgrades!$U$14,F25),1)*IF(Upgrades!$T$16="Microlensing",POWER(Upgrades!$U$16,H25),1)*IF(Upgrades!$T$17="Microlensing",POWER(Upgrades!$U$17,I25),1)*IF(Upgrades!$T$18="Microlensing",POWER(Upgrades!$U$18,J25),1)*IF(Upgrades!$T$19="Microlensing",POWER(Upgrades!$U$19,K25),1)*IF(Upgrades!$T$20="Microlensing",POWER(Upgrades!$U$20,L25),1)*IF(Upgrades!$T$21="Microlensing",POWER(Upgrades!$U$21,M25),1))+(IF(H25=0,0,(Upgrades!$G$16+H25*Upgrades!$H$16)*POWER(Upgrades!$I$16,H25)))*(IF(Upgrades!$T$13="Roche Lobe Overflow",POWER(Upgrades!$U$13,E25),1)*IF(Upgrades!$T$14="Roche Lobe Overflow",POWER(Upgrades!$U$14,F25),1)*IF(Upgrades!$T$15="Roche Lobe Overflow",POWER(Upgrades!$U$15,G25),1)*IF(Upgrades!$T$17="Roche Lobe Overflow",POWER(Upgrades!$U$17,I25),1)*IF(Upgrades!$T$18="Roche Lobe Overflow",POWER(Upgrades!$U$18,J25),1)*IF(Upgrades!$T$19="Roche Lobe Overflow",POWER(Upgrades!$U$19,K25),1)*IF(Upgrades!$T$20="Roche Lobe Overflow",POWER(Upgrades!$U$20,L25),1)*IF(Upgrades!$T$21="Roche Lobe Overflow",POWER(Upgrades!$U$21,M25),1))+(IF(I25=0,0,(Upgrades!$G$17+I25*Upgrades!$H$17)*POWER(Upgrades!$I$17,I25)))*(IF(Upgrades!$T$13="Brown Dwarf",POWER(Upgrades!$U$13,E25),1)*IF(Upgrades!$T$14="Brown Dwarf",POWER(Upgrades!$U$14,F25),1)*IF(Upgrades!$T$15="Brown Dwarf",POWER(Upgrades!$U$15,G25),1)*IF(Upgrades!$T$16="Brown Dwarf",POWER(Upgrades!$U$16,H25),1)*IF(Upgrades!$T$18="Brown Dwarf",POWER(Upgrades!$U$18,J25),1)*IF(Upgrades!$T$19="Brown Dwarf",POWER(Upgrades!$U$19,K25),1)*IF(Upgrades!$T$20="Brown Dwarf",POWER(Upgrades!$U$20,L25),1)*IF(Upgrades!$T$21="Brown Dwarf",POWER(Upgrades!$U$21,M25),1))+(IF(J25=0,0,(Upgrades!$G$18+J25*Upgrades!$H$18)*POWER(Upgrades!$I$18,J25)))*(IF(Upgrades!$T$13="Binary Partner",POWER(Upgrades!$U$13,E25),1)*IF(Upgrades!$T$14="Binary Partner",POWER(Upgrades!$U$14,F25),1)*IF(Upgrades!$T$15="Binary Partner",POWER(Upgrades!$U$15,G25),1)*IF(Upgrades!$T$16="Binary Partner",POWER(Upgrades!$U$16,H25),1)*IF(Upgrades!$T$17="Binary Partner",POWER(Upgrades!$U$17,I25),1)*IF(Upgrades!$T$19="Binary Partner",POWER(Upgrades!$U$19,K25),1)*IF(Upgrades!$T$20="Binary Partner",POWER(Upgrades!$U$20,L25),1)*IF(Upgrades!$T$21="Binary Partner",POWER(Upgrades!$U$21,M25),1))+(IF(K25=0,0,(Upgrades!$G$19+K25*Upgrades!$H$19)*POWER(Upgrades!$I$19,K25)))*(IF(Upgrades!$T$13="Peculiar Velocity",POWER(Upgrades!$U$13,E25),1)*IF(Upgrades!$T$14="Peculiar Velocity",POWER(Upgrades!$U$14,F25),1)*IF(Upgrades!$T$15="Peculiar Velocity",POWER(Upgrades!$U$15,G25),1)*IF(Upgrades!$T$16="Peculiar Velocity",POWER(Upgrades!$U$16,H25),1)*IF(Upgrades!$T$17="Peculiar Velocity",POWER(Upgrades!$U$17,I25),1)*IF(Upgrades!$T$18="Peculiar Velocity",POWER(Upgrades!$U$18,J25),1)*IF(Upgrades!$T$20="Peculiar Velocity",POWER(Upgrades!$U$20,L25),1)*IF(Upgrades!$T$21="Peculiar Velocity",POWER(Upgrades!$U$21,M25),1))+(IF(L25=0,0,(Upgrades!$G$20+L25*Upgrades!$H$20)*POWER(Upgrades!$I$20,L25)))*(IF(Upgrades!$T$13="Open Cluster",POWER(Upgrades!$U$13,E25),1)*IF(Upgrades!$T$14="Open Cluster",POWER(Upgrades!$U$14,F25),1)*IF(Upgrades!$T$15="Open Cluster",POWER(Upgrades!$U$15,G25),1)*IF(Upgrades!$T$16="Open Cluster",POWER(Upgrades!$U$16,H25),1)*IF(Upgrades!$T$17="Open Cluster",POWER(Upgrades!$U$17,I25),1)*IF(Upgrades!$T$18="Open Cluster",POWER(Upgrades!$U$18,J25),1)*IF(Upgrades!$T$19="Open Cluster",POWER(Upgrades!$U$19,K25),1)*IF(Upgrades!$T$21="Open Cluster",POWER(Upgrades!$U$21,M25),1))+(IF(M25=0,0,(Upgrades!$G$21+M25*Upgrades!$H$21)*POWER(Upgrades!$I$21,M25)))*(IF(Upgrades!$T$13="Moving Group",POWER(Upgrades!$U$13,E25),1)*IF(Upgrades!$T$14="Moving Group",POWER(Upgrades!$U$14,F25),1)*IF(Upgrades!$T$15="Moving Group",POWER(Upgrades!$U$15,G25),1)*IF(Upgrades!$T$16="Moving Group",POWER(Upgrades!$U$16,H25),1)*IF(Upgrades!$T$17="Moving Group",POWER(Upgrades!$U$17,I25),1)*IF(Upgrades!$T$18="Moving Group",POWER(Upgrades!$U$18,J25),1)*IF(Upgrades!$T$19="Moving Group",POWER(Upgrades!$U$19,K25),1)*IF(Upgrades!$T$20="Moving Group",POWER(Upgrades!$U$20,L25),1)))*POWER(Upgrades!$P$13,E25)*POWER(Upgrades!$P$14,F25)*POWER(Upgrades!$P$15,G25)*POWER(Upgrades!$P$16,H25)*POWER(Upgrades!$P$17,I25)*POWER(Upgrades!$P$18,J25)*POWER(Upgrades!$P$19,K25)*POWER(Upgrades!$P$20,L25)*POWER(Upgrades!$P$21,M25)*$F$6+$C$6</f>
        <v/>
      </c>
      <c r="Q25" s="28">
        <f>((IF(E25=0,0,(Upgrades!$M$13+E25*Upgrades!$N$13)*POWER(Upgrades!$O$13,E25)))*(IF(Upgrades!$T$14="Stellar Kinematics",POWER(Upgrades!$U$14,F25),1)*IF(Upgrades!$T$15="Stellar Kinematics",POWER(Upgrades!$U$15,G25),1)*IF(Upgrades!$T$16="Stellar Kinematics",POWER(Upgrades!$U$16,H25),1)*IF(Upgrades!$T$17="Stellar Kinematics",POWER(Upgrades!$U$17,I25),1)*IF(Upgrades!$T$18="Stellar Kinematics",POWER(Upgrades!$U$18,J25),1)*IF(Upgrades!$T$19="Stellar Kinematics",POWER(Upgrades!$U$19,K25),1)*IF(Upgrades!$T$20="Stellar Kinematics",POWER(Upgrades!$U$20,L25),1)*IF(Upgrades!$T$21="Stellar Kinematics",POWER(Upgrades!$U$21,M25),1))+(IF(F25=0,0,(Upgrades!$M$14+F25*Upgrades!$N$14)*POWER(Upgrades!$O$14,F25)))*(IF(Upgrades!$T$13="Local Bubble",POWER(Upgrades!$U$13,E25),1)*IF(Upgrades!$T$15="Local Bubble",POWER(Upgrades!$U$15,G25),1)*IF(Upgrades!$T$16="Local Bubble",POWER(Upgrades!$U$16,H25),1)*IF(Upgrades!$T$17="Local Bubble",POWER(Upgrades!$U$17,I25),1)*IF(Upgrades!$T$18="Local Bubble",POWER(Upgrades!$U$18,J25),1)*IF(Upgrades!$T$19="Local Bubble",POWER(Upgrades!$U$19,K25),1)*IF(Upgrades!$T$20="Local Bubble",POWER(Upgrades!$U$20,L25),1)*IF(Upgrades!$T$21="Local Bubble",POWER(Upgrades!$U$21,M25),1))+(IF(G25=0,0,(Upgrades!$M$15+G25*Upgrades!$N$15)*POWER(Upgrades!$O$15,G25)))*(IF(Upgrades!$T$13="Microlensing",POWER(Upgrades!$U$13,E25),1)*IF(Upgrades!$T$14="Microlensing",POWER(Upgrades!$U$14,F25),1)*IF(Upgrades!$T$16="Microlensing",POWER(Upgrades!$U$16,H25),1)*IF(Upgrades!$T$17="Microlensing",POWER(Upgrades!$U$17,I25),1)*IF(Upgrades!$T$18="Microlensing",POWER(Upgrades!$U$18,J25),1)*IF(Upgrades!$T$19="Microlensing",POWER(Upgrades!$U$19,K25),1)*IF(Upgrades!$T$20="Microlensing",POWER(Upgrades!$U$20,L25),1)*IF(Upgrades!$T$21="Microlensing",POWER(Upgrades!$U$21,M25),1))+(IF(H25=0,0,(Upgrades!$M$16+H25*Upgrades!$N$16)*POWER(Upgrades!$O$16,H25)))*(IF(Upgrades!$T$13="Roche Lobe Overflow",POWER(Upgrades!$U$13,E25),1)*IF(Upgrades!$T$14="Roche Lobe Overflow",POWER(Upgrades!$U$14,F25),1)*IF(Upgrades!$T$15="Roche Lobe Overflow",POWER(Upgrades!$U$15,G25),1)*IF(Upgrades!$T$17="Roche Lobe Overflow",POWER(Upgrades!$U$17,I25),1)*IF(Upgrades!$T$18="Roche Lobe Overflow",POWER(Upgrades!$U$18,J25),1)*IF(Upgrades!$T$19="Roche Lobe Overflow",POWER(Upgrades!$U$19,K25),1)*IF(Upgrades!$T$20="Roche Lobe Overflow",POWER(Upgrades!$U$20,L25),1)*IF(Upgrades!$T$21="Roche Lobe Overflow",POWER(Upgrades!$U$21,M25),1))+(IF(I25=0,0,(Upgrades!$M$17+I25*Upgrades!$N$17)*POWER(Upgrades!$O$17,I25)))*(IF(Upgrades!$T$13="Brown Dwarf",POWER(Upgrades!$U$13,E25),1)*IF(Upgrades!$T$14="Brown Dwarf",POWER(Upgrades!$U$14,F25),1)*IF(Upgrades!$T$15="Brown Dwarf",POWER(Upgrades!$U$15,G25),1)*IF(Upgrades!$T$16="Brown Dwarf",POWER(Upgrades!$U$16,H25),1)*IF(Upgrades!$T$18="Brown Dwarf",POWER(Upgrades!$U$18,J25),1)*IF(Upgrades!$T$19="Brown Dwarf",POWER(Upgrades!$U$19,K25),1)*IF(Upgrades!$T$20="Brown Dwarf",POWER(Upgrades!$U$20,L25),1)*IF(Upgrades!$T$21="Brown Dwarf",POWER(Upgrades!$U$21,M25),1))+(IF(J25=0,0,(Upgrades!$M$18+J25*Upgrades!$N$18)*POWER(Upgrades!$O$18,J25)))*(IF(Upgrades!$T$13="Binary Partner",POWER(Upgrades!$U$13,E25),1)*IF(Upgrades!$T$14="Binary Partner",POWER(Upgrades!$U$14,F25),1)*IF(Upgrades!$T$15="Binary Partner",POWER(Upgrades!$U$15,G25),1)*IF(Upgrades!$T$16="Binary Partner",POWER(Upgrades!$U$16,H25),1)*IF(Upgrades!$T$17="Binary Partner",POWER(Upgrades!$U$17,I25),1)*IF(Upgrades!$T$19="Binary Partner",POWER(Upgrades!$U$19,K25),1)*IF(Upgrades!$T$20="Binary Partner",POWER(Upgrades!$U$20,L25),1)*IF(Upgrades!$T$21="Binary Partner",POWER(Upgrades!$U$21,M25),1))+(IF(K25=0,0,(Upgrades!$M$19+K25*Upgrades!$N$19)*POWER(Upgrades!$O$19,K25)))*(IF(Upgrades!$T$13="Peculiar Velocity",POWER(Upgrades!$U$13,E25),1)*IF(Upgrades!$T$14="Peculiar Velocity",POWER(Upgrades!$U$14,F25),1)*IF(Upgrades!$T$15="Peculiar Velocity",POWER(Upgrades!$U$15,G25),1)*IF(Upgrades!$T$16="Peculiar Velocity",POWER(Upgrades!$U$16,H25),1)*IF(Upgrades!$T$17="Peculiar Velocity",POWER(Upgrades!$U$17,I25),1)*IF(Upgrades!$T$18="Peculiar Velocity",POWER(Upgrades!$U$18,J25),1)*IF(Upgrades!$T$20="Peculiar Velocity",POWER(Upgrades!$U$20,L25),1)*IF(Upgrades!$T$21="Peculiar Velocity",POWER(Upgrades!$U$21,M25),1))+(IF(L25=0,0,(Upgrades!$M$20+L25*Upgrades!$N$20)*POWER(Upgrades!$O$20,L25)))*(IF(Upgrades!$T$13="Open Cluster",POWER(Upgrades!$U$13,E25),1)*IF(Upgrades!$T$14="Open Cluster",POWER(Upgrades!$U$14,F25),1)*IF(Upgrades!$T$15="Open Cluster",POWER(Upgrades!$U$15,G25),1)*IF(Upgrades!$T$16="Open Cluster",POWER(Upgrades!$U$16,H25),1)*IF(Upgrades!$T$17="Open Cluster",POWER(Upgrades!$U$17,I25),1)*IF(Upgrades!$T$18="Open Cluster",POWER(Upgrades!$U$18,J25),1)*IF(Upgrades!$T$19="Open Cluster",POWER(Upgrades!$U$19,K25),1)*IF(Upgrades!$T$21="Open Cluster",POWER(Upgrades!$U$21,M25),1))+(IF(M25=0,0,(Upgrades!$M$21+M25*Upgrades!$N$21)*POWER(Upgrades!$O$21,M25)))*(IF(Upgrades!$T$13="Moving Group",POWER(Upgrades!$U$13,E25),1)*IF(Upgrades!$T$14="Moving Group",POWER(Upgrades!$U$14,F25),1)*IF(Upgrades!$T$15="Moving Group",POWER(Upgrades!$U$15,G25),1)*IF(Upgrades!$T$16="Moving Group",POWER(Upgrades!$U$16,H25),1)*IF(Upgrades!$T$17="Moving Group",POWER(Upgrades!$U$17,I25),1)*IF(Upgrades!$T$18="Moving Group",POWER(Upgrades!$U$18,J25),1)*IF(Upgrades!$T$19="Moving Group",POWER(Upgrades!$U$19,K25),1)*IF(Upgrades!$T$20="Moving Group",POWER(Upgrades!$U$20,L25),1)))*POWER(Upgrades!$R$13,E25)*POWER(Upgrades!$R$14,F25)*POWER(Upgrades!$R$15,G25)*POWER(Upgrades!$R$16,H25)*POWER(Upgrades!$R$17,I25)*POWER(Upgrades!$R$18,J25)*POWER(Upgrades!$R$19,K25)*POWER(Upgrades!$R$20,L25)*POWER(Upgrades!$R$21,M25)*$H$6+$E$6</f>
        <v/>
      </c>
      <c r="R25" s="27">
        <f>IF(N25=1,0,O25*Parameters!$B$10/60*Parameters!$B$11*10)</f>
        <v/>
      </c>
      <c r="S25" s="27">
        <f>IF(N25=1,0,Q25*O25*10)</f>
        <v/>
      </c>
      <c r="T25" s="27">
        <f>IF(N25=1,0,R25+S25+P25*10)</f>
        <v/>
      </c>
      <c r="U25" s="33">
        <f>BE25</f>
        <v/>
      </c>
      <c r="V25" s="22">
        <f>IF(U25="",0,IF(U25="transition",0,IF(U25="SK",AK25,IF(U25="LB",AL25,IF(U25="ML",AM25,IF(U25="RLO",AN25,IF(U25="BD",AO25,IF(U25="BiP",AP25,IF(U25="PV",AQ25,IF(U25="OC",AR25,IF(U25="MG",AS25,0))))))))))</f>
        <v/>
      </c>
      <c r="W25" s="27">
        <f>IF(U25="BiP",Upgrades!$F$18,IF(U25="PV",Upgrades!$F$19,IF(U25="OC",Upgrades!$F$20,IF(U25="MG",Upgrades!$F$21,IF(U25="transition",-Parameters!$B$18*Parameters!$B$19,0)))))</f>
        <v/>
      </c>
      <c r="X25" s="22">
        <f>C25+T25-V25</f>
        <v/>
      </c>
      <c r="Y25" s="30">
        <f>O25*Parameters!$B$10/60*Parameters!$B$11+Q25*O25+P25</f>
        <v/>
      </c>
      <c r="Z25" s="34">
        <f>IF(U25="transition","→ Tier 3 (Galactic Arm)",IF(U25="MG","Moving Group — pocket drifts together",IF(U25="OC","Open Cluster acquired",IF(U25="PV","Peculiar Velocity — passive multiplier active",IF(U25="BiP","Binary Partner — pair bond formed",IF(AND(AU25=1,N25=0,AT25&lt;&gt;1),"Cohesion ready (waiting on completionists)","")))))) </f>
        <v/>
      </c>
      <c r="AA25" s="27">
        <f>(IF(E25=0,0,(Upgrades!$G$13+E25*Upgrades!$H$13)*POWER(Upgrades!$I$13,E25)))*(IF(Upgrades!$T$14="Stellar Kinematics",POWER(Upgrades!$U$14,F25),1)*IF(Upgrades!$T$15="Stellar Kinematics",POWER(Upgrades!$U$15,G25),1)*IF(Upgrades!$T$16="Stellar Kinematics",POWER(Upgrades!$U$16,H25),1)*IF(Upgrades!$T$17="Stellar Kinematics",POWER(Upgrades!$U$17,I25),1)*IF(Upgrades!$T$18="Stellar Kinematics",POWER(Upgrades!$U$18,J25),1)*IF(Upgrades!$T$19="Stellar Kinematics",POWER(Upgrades!$U$19,K25),1)*IF(Upgrades!$T$20="Stellar Kinematics",POWER(Upgrades!$U$20,L25),1)*IF(Upgrades!$T$21="Stellar Kinematics",POWER(Upgrades!$U$21,M25),1))*POWER(Upgrades!$P$13,E25)*POWER(Upgrades!$P$14,F25)*POWER(Upgrades!$P$15,G25)*POWER(Upgrades!$P$16,H25)*POWER(Upgrades!$P$17,I25)*POWER(Upgrades!$P$18,J25)*POWER(Upgrades!$P$19,K25)*POWER(Upgrades!$P$20,L25)*POWER(Upgrades!$P$21,M25)*$F$6*60</f>
        <v/>
      </c>
      <c r="AB25" s="27">
        <f>(IF(F25=0,0,(Upgrades!$G$14+F25*Upgrades!$H$14)*POWER(Upgrades!$I$14,F25)))*(IF(Upgrades!$T$13="Local Bubble",POWER(Upgrades!$U$13,E25),1)*IF(Upgrades!$T$15="Local Bubble",POWER(Upgrades!$U$15,G25),1)*IF(Upgrades!$T$16="Local Bubble",POWER(Upgrades!$U$16,H25),1)*IF(Upgrades!$T$17="Local Bubble",POWER(Upgrades!$U$17,I25),1)*IF(Upgrades!$T$18="Local Bubble",POWER(Upgrades!$U$18,J25),1)*IF(Upgrades!$T$19="Local Bubble",POWER(Upgrades!$U$19,K25),1)*IF(Upgrades!$T$20="Local Bubble",POWER(Upgrades!$U$20,L25),1)*IF(Upgrades!$T$21="Local Bubble",POWER(Upgrades!$U$21,M25),1))*POWER(Upgrades!$P$13,E25)*POWER(Upgrades!$P$14,F25)*POWER(Upgrades!$P$15,G25)*POWER(Upgrades!$P$16,H25)*POWER(Upgrades!$P$17,I25)*POWER(Upgrades!$P$18,J25)*POWER(Upgrades!$P$19,K25)*POWER(Upgrades!$P$20,L25)*POWER(Upgrades!$P$21,M25)*$F$6*60</f>
        <v/>
      </c>
      <c r="AC25" s="27">
        <f>(IF(G25=0,0,(Upgrades!$J$15+G25*Upgrades!$K$15)*POWER(Upgrades!$L$15,G25)))*(IF(Upgrades!$T$13="Microlensing",POWER(Upgrades!$U$13,E25),1)*IF(Upgrades!$T$14="Microlensing",POWER(Upgrades!$U$14,F25),1)*IF(Upgrades!$T$16="Microlensing",POWER(Upgrades!$U$16,H25),1)*IF(Upgrades!$T$17="Microlensing",POWER(Upgrades!$U$17,I25),1)*IF(Upgrades!$T$18="Microlensing",POWER(Upgrades!$U$18,J25),1)*IF(Upgrades!$T$19="Microlensing",POWER(Upgrades!$U$19,K25),1)*IF(Upgrades!$T$20="Microlensing",POWER(Upgrades!$U$20,L25),1)*IF(Upgrades!$T$21="Microlensing",POWER(Upgrades!$U$21,M25),1))*POWER(Upgrades!$Q$13,E25)*POWER(Upgrades!$Q$14,F25)*POWER(Upgrades!$Q$15,G25)*POWER(Upgrades!$Q$16,H25)*POWER(Upgrades!$Q$17,I25)*POWER(Upgrades!$Q$18,J25)*POWER(Upgrades!$Q$19,K25)*POWER(Upgrades!$Q$20,L25)*POWER(Upgrades!$Q$21,M25)*$G$6*(Parameters!$B$10*Parameters!$B$11+Q25*60)</f>
        <v/>
      </c>
      <c r="AD25" s="27">
        <f>(IF(H25=0,0,(Upgrades!$M$16+H25*Upgrades!$N$16)*POWER(Upgrades!$O$16,H25)))*(IF(Upgrades!$T$13="Roche Lobe Overflow",POWER(Upgrades!$U$13,E25),1)*IF(Upgrades!$T$14="Roche Lobe Overflow",POWER(Upgrades!$U$14,F25),1)*IF(Upgrades!$T$15="Roche Lobe Overflow",POWER(Upgrades!$U$15,G25),1)*IF(Upgrades!$T$17="Roche Lobe Overflow",POWER(Upgrades!$U$17,I25),1)*IF(Upgrades!$T$18="Roche Lobe Overflow",POWER(Upgrades!$U$18,J25),1)*IF(Upgrades!$T$19="Roche Lobe Overflow",POWER(Upgrades!$U$19,K25),1)*IF(Upgrades!$T$20="Roche Lobe Overflow",POWER(Upgrades!$U$20,L25),1)*IF(Upgrades!$T$21="Roche Lobe Overflow",POWER(Upgrades!$U$21,M25),1))*POWER(Upgrades!$R$13,E25)*POWER(Upgrades!$R$14,F25)*POWER(Upgrades!$R$15,G25)*POWER(Upgrades!$R$16,H25)*POWER(Upgrades!$R$17,I25)*POWER(Upgrades!$R$18,J25)*POWER(Upgrades!$R$19,K25)*POWER(Upgrades!$R$20,L25)*POWER(Upgrades!$R$21,M25)*$H$6*O25*60</f>
        <v/>
      </c>
      <c r="AE25" s="27">
        <f>(IF(I25=0,0,(Upgrades!$G$17+I25*Upgrades!$H$17)*POWER(Upgrades!$I$17,I25)))*(IF(Upgrades!$T$13="Brown Dwarf",POWER(Upgrades!$U$13,E25),1)*IF(Upgrades!$T$14="Brown Dwarf",POWER(Upgrades!$U$14,F25),1)*IF(Upgrades!$T$15="Brown Dwarf",POWER(Upgrades!$U$15,G25),1)*IF(Upgrades!$T$16="Brown Dwarf",POWER(Upgrades!$U$16,H25),1)*IF(Upgrades!$T$18="Brown Dwarf",POWER(Upgrades!$U$18,J25),1)*IF(Upgrades!$T$19="Brown Dwarf",POWER(Upgrades!$U$19,K25),1)*IF(Upgrades!$T$20="Brown Dwarf",POWER(Upgrades!$U$20,L25),1)*IF(Upgrades!$T$21="Brown Dwarf",POWER(Upgrades!$U$21,M25),1))*POWER(Upgrades!$P$13,E25)*POWER(Upgrades!$P$14,F25)*POWER(Upgrades!$P$15,G25)*POWER(Upgrades!$P$16,H25)*POWER(Upgrades!$P$17,I25)*POWER(Upgrades!$P$18,J25)*POWER(Upgrades!$P$19,K25)*POWER(Upgrades!$P$20,L25)*POWER(Upgrades!$P$21,M25)*$F$6*60</f>
        <v/>
      </c>
      <c r="AF25" s="27" t="n">
        <v>0</v>
      </c>
      <c r="AG25" s="27" t="n">
        <v>0</v>
      </c>
      <c r="AH25" s="27" t="n">
        <v>0</v>
      </c>
      <c r="AI25" s="27">
        <f>(IF(M25=0,0,(Upgrades!$G$21+M25*Upgrades!$H$21)*POWER(Upgrades!$I$21,M25)))*(IF(Upgrades!$T$13="Moving Group",POWER(Upgrades!$U$13,E25),1)*IF(Upgrades!$T$14="Moving Group",POWER(Upgrades!$U$14,F25),1)*IF(Upgrades!$T$15="Moving Group",POWER(Upgrades!$U$15,G25),1)*IF(Upgrades!$T$16="Moving Group",POWER(Upgrades!$U$16,H25),1)*IF(Upgrades!$T$17="Moving Group",POWER(Upgrades!$U$17,I25),1)*IF(Upgrades!$T$18="Moving Group",POWER(Upgrades!$U$18,J25),1)*IF(Upgrades!$T$19="Moving Group",POWER(Upgrades!$U$19,K25),1)*IF(Upgrades!$T$20="Moving Group",POWER(Upgrades!$U$20,L25),1))*POWER(Upgrades!$P$13,E25)*POWER(Upgrades!$P$14,F25)*POWER(Upgrades!$P$15,G25)*POWER(Upgrades!$P$16,H25)*POWER(Upgrades!$P$17,I25)*POWER(Upgrades!$P$18,J25)*POWER(Upgrades!$P$19,K25)*POWER(Upgrades!$P$20,L25)*POWER(Upgrades!$P$21,M25)*$F$6*60</f>
        <v/>
      </c>
      <c r="AJ25" s="27">
        <f>$C$6*60</f>
        <v/>
      </c>
      <c r="AK25" s="22">
        <f>IF(E25&gt;=Upgrades!$E$13,"",Upgrades!$C$13*POWER(Upgrades!$D$13,E25))</f>
        <v/>
      </c>
      <c r="AL25" s="22">
        <f>IF(F25&gt;=Upgrades!$E$14,"",Upgrades!$C$14*POWER(Upgrades!$D$14,F25))</f>
        <v/>
      </c>
      <c r="AM25" s="22">
        <f>IF(G25&gt;=Upgrades!$E$15,"",Upgrades!$C$15*POWER(Upgrades!$D$15,G25))</f>
        <v/>
      </c>
      <c r="AN25" s="22">
        <f>IF(H25&gt;=Upgrades!$E$16,"",Upgrades!$C$16*POWER(Upgrades!$D$16,H25))</f>
        <v/>
      </c>
      <c r="AO25" s="22">
        <f>IF(I25&gt;=Upgrades!$E$17,"",Upgrades!$C$17*POWER(Upgrades!$D$17,I25))</f>
        <v/>
      </c>
      <c r="AP25" s="22">
        <f>IF(J25&gt;=Upgrades!$E$18,"",Upgrades!$C$18*POWER(Upgrades!$D$18,J25))</f>
        <v/>
      </c>
      <c r="AQ25" s="22">
        <f>IF(K25&gt;=Upgrades!$E$19,"",Upgrades!$C$19*POWER(Upgrades!$D$19,K25))</f>
        <v/>
      </c>
      <c r="AR25" s="22">
        <f>IF(L25&gt;=Upgrades!$E$20,"",Upgrades!$C$20*POWER(Upgrades!$D$20,L25))</f>
        <v/>
      </c>
      <c r="AS25" s="22">
        <f>IF(M25&gt;=Upgrades!$E$21,"",Upgrades!$C$21*POWER(Upgrades!$D$21,M25))</f>
        <v/>
      </c>
      <c r="AT25" s="26">
        <f>IF(AND(D25&gt;=Parameters!$B$18*Parameters!$B$19,(I25&gt;=Upgrades!$E$17)*(M25&gt;=Upgrades!$E$21)=1,N25=0),1,"")</f>
        <v/>
      </c>
      <c r="AU25" s="26">
        <f>IF(AND(D25&gt;=Parameters!$B$18*Parameters!$B$19,N25=0),1,"")</f>
        <v/>
      </c>
      <c r="AV25" s="22">
        <f>MIN(IF(ISNUMBER(AP25),AP25,9E15),IF(ISNUMBER(AQ25),AQ25,9E15),IF(ISNUMBER(AR25),AR25,9E15),IF(ISNUMBER(AS25),AS25,9E15))</f>
        <v/>
      </c>
      <c r="AW25" s="22">
        <f>MIN(IF(ISNUMBER(AK25),AK25,9E15),IF(ISNUMBER(AL25),AL25,9E15),IF(ISNUMBER(AM25),AM25,9E15),IF(ISNUMBER(AN25),AN25,9E15),IF(ISNUMBER(AO25),AO25,9E15))</f>
        <v/>
      </c>
      <c r="AX25" s="29">
        <f>IF(BD25&gt;Parameters!$B$21*(MAX(IF(AND(NOT(AND(AU25=1,AT25&lt;&gt;1)),ISNUMBER(AK25),AK25&lt;=(C25+T25)),AY25,0),IF(AND(NOT(AND(AU25=1,AT25&lt;&gt;1)),ISNUMBER(AL25),AL25&lt;=(C25+T25)),AZ25,0),IF(AND(NOT(AND(AU25=1,AT25&lt;&gt;1)),ISNUMBER(AM25),AM25&lt;=(C25+T25)),BA25,0),IF(AND(NOT(AND(AU25=1,AT25&lt;&gt;1)),ISNUMBER(AN25),AN25&lt;=(C25+T25)),BB25,0),IF(AND(ISNUMBER(AO25),AO25&lt;=(C25+T25)),BC25,0))),TRUE,FALSE)</f>
        <v/>
      </c>
      <c r="AY25" s="32">
        <f>IFERROR(Upgrades!$H$13*(POWER(Upgrades!$P$13,E25)*POWER(Upgrades!$P$14,F25)*POWER(Upgrades!$P$15,G25)*POWER(Upgrades!$P$16,H25)*POWER(Upgrades!$P$17,I25)*POWER(Upgrades!$P$18,J25)*POWER(Upgrades!$P$19,K25)*POWER(Upgrades!$P$20,L25)*POWER(Upgrades!$P$21,M25))*(IF(Upgrades!$T$14="Stellar Kinematics",POWER(Upgrades!$U$14,F25),1)*IF(Upgrades!$T$15="Stellar Kinematics",POWER(Upgrades!$U$15,G25),1)*IF(Upgrades!$T$16="Stellar Kinematics",POWER(Upgrades!$U$16,H25),1)*IF(Upgrades!$T$17="Stellar Kinematics",POWER(Upgrades!$U$17,I25),1)*IF(Upgrades!$T$18="Stellar Kinematics",POWER(Upgrades!$U$18,J25),1)*IF(Upgrades!$T$19="Stellar Kinematics",POWER(Upgrades!$U$19,K25),1)*IF(Upgrades!$T$20="Stellar Kinematics",POWER(Upgrades!$U$20,L25),1)*IF(Upgrades!$T$21="Stellar Kinematics",POWER(Upgrades!$U$21,M25),1))*$F$6/AK25,0)</f>
        <v/>
      </c>
      <c r="AZ25" s="32">
        <f>IFERROR(Upgrades!$H$14*(POWER(Upgrades!$P$13,E25)*POWER(Upgrades!$P$14,F25)*POWER(Upgrades!$P$15,G25)*POWER(Upgrades!$P$16,H25)*POWER(Upgrades!$P$17,I25)*POWER(Upgrades!$P$18,J25)*POWER(Upgrades!$P$19,K25)*POWER(Upgrades!$P$20,L25)*POWER(Upgrades!$P$21,M25))*(IF(Upgrades!$T$13="Local Bubble",POWER(Upgrades!$U$13,E25),1)*IF(Upgrades!$T$15="Local Bubble",POWER(Upgrades!$U$15,G25),1)*IF(Upgrades!$T$16="Local Bubble",POWER(Upgrades!$U$16,H25),1)*IF(Upgrades!$T$17="Local Bubble",POWER(Upgrades!$U$17,I25),1)*IF(Upgrades!$T$18="Local Bubble",POWER(Upgrades!$U$18,J25),1)*IF(Upgrades!$T$19="Local Bubble",POWER(Upgrades!$U$19,K25),1)*IF(Upgrades!$T$20="Local Bubble",POWER(Upgrades!$U$20,L25),1)*IF(Upgrades!$T$21="Local Bubble",POWER(Upgrades!$U$21,M25),1))*$F$6/AL25,0)</f>
        <v/>
      </c>
      <c r="BA25" s="32">
        <f>IFERROR(Upgrades!$K$15*(POWER(Upgrades!$Q$13,E25)*POWER(Upgrades!$Q$14,F25)*POWER(Upgrades!$Q$15,G25)*POWER(Upgrades!$Q$16,H25)*POWER(Upgrades!$Q$17,I25)*POWER(Upgrades!$Q$18,J25)*POWER(Upgrades!$Q$19,K25)*POWER(Upgrades!$Q$20,L25)*POWER(Upgrades!$Q$21,M25))*(IF(Upgrades!$T$13="Microlensing",POWER(Upgrades!$U$13,E25),1)*IF(Upgrades!$T$14="Microlensing",POWER(Upgrades!$U$14,F25),1)*IF(Upgrades!$T$16="Microlensing",POWER(Upgrades!$U$16,H25),1)*IF(Upgrades!$T$17="Microlensing",POWER(Upgrades!$U$17,I25),1)*IF(Upgrades!$T$18="Microlensing",POWER(Upgrades!$U$18,J25),1)*IF(Upgrades!$T$19="Microlensing",POWER(Upgrades!$U$19,K25),1)*IF(Upgrades!$T$20="Microlensing",POWER(Upgrades!$U$20,L25),1)*IF(Upgrades!$T$21="Microlensing",POWER(Upgrades!$U$21,M25),1))*$G$6*(Parameters!$B$10/60*Parameters!$B$11+Q25)/AM25,0)</f>
        <v/>
      </c>
      <c r="BB25" s="32">
        <f>IFERROR((Upgrades!$N$16*(POWER(Upgrades!$R$13,E25)*POWER(Upgrades!$R$14,F25)*POWER(Upgrades!$R$15,G25)*POWER(Upgrades!$R$16,H25)*POWER(Upgrades!$R$17,I25)*POWER(Upgrades!$R$18,J25)*POWER(Upgrades!$R$19,K25)*POWER(Upgrades!$R$20,L25)*POWER(Upgrades!$R$21,M25))*(IF(Upgrades!$T$13="Roche Lobe Overflow",POWER(Upgrades!$U$13,E25),1)*IF(Upgrades!$T$14="Roche Lobe Overflow",POWER(Upgrades!$U$14,F25),1)*IF(Upgrades!$T$15="Roche Lobe Overflow",POWER(Upgrades!$U$15,G25),1)*IF(Upgrades!$T$17="Roche Lobe Overflow",POWER(Upgrades!$U$17,I25),1)*IF(Upgrades!$T$18="Roche Lobe Overflow",POWER(Upgrades!$U$18,J25),1)*IF(Upgrades!$T$19="Roche Lobe Overflow",POWER(Upgrades!$U$19,K25),1)*IF(Upgrades!$T$20="Roche Lobe Overflow",POWER(Upgrades!$U$20,L25),1)*IF(Upgrades!$T$21="Roche Lobe Overflow",POWER(Upgrades!$U$21,M25),1))*$H$6*O25+((IF(F25=0,0,(Upgrades!$G$14+F25*Upgrades!$H$14)*POWER(Upgrades!$I$14,F25)))*(IF(Upgrades!$T$13="Local Bubble",POWER(Upgrades!$U$13,E25),1)*IF(Upgrades!$T$15="Local Bubble",POWER(Upgrades!$U$15,G25),1)*IF(Upgrades!$T$16="Local Bubble",POWER(Upgrades!$U$16,H25),1)*IF(Upgrades!$T$17="Local Bubble",POWER(Upgrades!$U$17,I25),1)*IF(Upgrades!$T$18="Local Bubble",POWER(Upgrades!$U$18,J25),1)*IF(Upgrades!$T$19="Local Bubble",POWER(Upgrades!$U$19,K25),1)*IF(Upgrades!$T$20="Local Bubble",POWER(Upgrades!$U$20,L25),1)*IF(Upgrades!$T$21="Local Bubble",POWER(Upgrades!$U$21,M25),1))*POWER(Upgrades!$P$13,E25)*POWER(Upgrades!$P$14,F25)*POWER(Upgrades!$P$15,G25)*POWER(Upgrades!$P$16,H25)*POWER(Upgrades!$P$17,I25)*POWER(Upgrades!$P$18,J25)*POWER(Upgrades!$P$19,K25)*POWER(Upgrades!$P$20,L25)*POWER(Upgrades!$P$21,M25)*$F$6)*0.05)/AN25,0)</f>
        <v/>
      </c>
      <c r="BC25" s="32">
        <f>IFERROR((Upgrades!$H$17*(POWER(Upgrades!$P$13,E25)*POWER(Upgrades!$P$14,F25)*POWER(Upgrades!$P$15,G25)*POWER(Upgrades!$P$16,H25)*POWER(Upgrades!$P$17,I25)*POWER(Upgrades!$P$18,J25)*POWER(Upgrades!$P$19,K25)*POWER(Upgrades!$P$20,L25)*POWER(Upgrades!$P$21,M25))*(IF(Upgrades!$T$13="Brown Dwarf",POWER(Upgrades!$U$13,E25),1)*IF(Upgrades!$T$14="Brown Dwarf",POWER(Upgrades!$U$14,F25),1)*IF(Upgrades!$T$15="Brown Dwarf",POWER(Upgrades!$U$15,G25),1)*IF(Upgrades!$T$16="Brown Dwarf",POWER(Upgrades!$U$16,H25),1)*IF(Upgrades!$T$18="Brown Dwarf",POWER(Upgrades!$U$18,J25),1)*IF(Upgrades!$T$19="Brown Dwarf",POWER(Upgrades!$U$19,K25),1)*IF(Upgrades!$T$20="Brown Dwarf",POWER(Upgrades!$U$20,L25),1)*IF(Upgrades!$T$21="Brown Dwarf",POWER(Upgrades!$U$21,M25),1))*$F$6+(((IF(H25=0,0,(Upgrades!$M$16+H25*Upgrades!$N$16)*POWER(Upgrades!$O$16,H25)))*(IF(Upgrades!$T$13="Roche Lobe Overflow",POWER(Upgrades!$U$13,E25),1)*IF(Upgrades!$T$14="Roche Lobe Overflow",POWER(Upgrades!$U$14,F25),1)*IF(Upgrades!$T$15="Roche Lobe Overflow",POWER(Upgrades!$U$15,G25),1)*IF(Upgrades!$T$17="Roche Lobe Overflow",POWER(Upgrades!$U$17,I25),1)*IF(Upgrades!$T$18="Roche Lobe Overflow",POWER(Upgrades!$U$18,J25),1)*IF(Upgrades!$T$19="Roche Lobe Overflow",POWER(Upgrades!$U$19,K25),1)*IF(Upgrades!$T$20="Roche Lobe Overflow",POWER(Upgrades!$U$20,L25),1)*IF(Upgrades!$T$21="Roche Lobe Overflow",POWER(Upgrades!$U$21,M25),1))*POWER(Upgrades!$R$13,E25)*POWER(Upgrades!$R$14,F25)*POWER(Upgrades!$R$15,G25)*POWER(Upgrades!$R$16,H25)*POWER(Upgrades!$R$17,I25)*POWER(Upgrades!$R$18,J25)*POWER(Upgrades!$R$19,K25)*POWER(Upgrades!$R$20,L25)*POWER(Upgrades!$R$21,M25)*$H$6)*O25)*0.10)/AO25,0)</f>
        <v/>
      </c>
      <c r="BD25" s="32">
        <f>MAX(IF(J25&gt;0,0,IFERROR(0.5*((IF(G25=0,0,(Upgrades!$J$15+G25*Upgrades!$K$15)*POWER(Upgrades!$L$15,G25)))*(IF(Upgrades!$T$13="Microlensing",POWER(Upgrades!$U$13,E25),1)*IF(Upgrades!$T$14="Microlensing",POWER(Upgrades!$U$14,F25),1)*IF(Upgrades!$T$16="Microlensing",POWER(Upgrades!$U$16,H25),1)*IF(Upgrades!$T$17="Microlensing",POWER(Upgrades!$U$17,I25),1)*IF(Upgrades!$T$18="Microlensing",POWER(Upgrades!$U$18,J25),1)*IF(Upgrades!$T$19="Microlensing",POWER(Upgrades!$U$19,K25),1)*IF(Upgrades!$T$20="Microlensing",POWER(Upgrades!$U$20,L25),1)*IF(Upgrades!$T$21="Microlensing",POWER(Upgrades!$U$21,M25),1))*(POWER(Upgrades!$Q$13,E25)*POWER(Upgrades!$Q$14,F25)*POWER(Upgrades!$Q$15,G25)*POWER(Upgrades!$Q$16,H25)*POWER(Upgrades!$Q$17,I25)*POWER(Upgrades!$Q$18,J25)*POWER(Upgrades!$Q$19,K25)*POWER(Upgrades!$Q$20,L25)*POWER(Upgrades!$Q$21,M25))*$G$6*(Parameters!$B$10/60*Parameters!$B$11+Q25))/Upgrades!$C$18,0)),IF(K25&gt;0,0,IFERROR(0.30*P25/Upgrades!$C$19,0)),IF(L25&gt;0,0,IFERROR(0.0001/Upgrades!$C$20,0)),IF(M25&gt;0,0,IFERROR((6.0*(POWER(Upgrades!$P$13,E25)*POWER(Upgrades!$P$14,F25)*POWER(Upgrades!$P$15,G25)*POWER(Upgrades!$P$16,H25)*POWER(Upgrades!$P$17,I25)*POWER(Upgrades!$P$18,J25)*POWER(Upgrades!$P$19,K25)*POWER(Upgrades!$P$20,L25)*POWER(Upgrades!$P$21,M25))*$F$6+0.20*O25*(Parameters!$B$10/60*Parameters!$B$11+Q25))/Upgrades!$C$21,0)),IF(AND(ISNUMBER(AK25),AK25&gt;(C25+T25)),AY25,0),IF(AND(ISNUMBER(AL25),AL25&gt;(C25+T25)),AZ25,0),IF(AND(ISNUMBER(AM25),AM25&gt;(C25+T25)),BA25,0),IF(AND(ISNUMBER(AN25),AN25&gt;(C25+T25)),BB25,0),IF(AND(ISNUMBER(AO25),AO25&gt;(C25+T25)),BC25,0))</f>
        <v/>
      </c>
      <c r="BE25" s="29">
        <f>IF(AT25=1,"transition",IF(MIN(IF(AND(J25=0,ISNUMBER(AP25),AP25&lt;=(C25+T25)),AP25,9E15),IF(AND(K25=0,ISNUMBER(AQ25),AQ25&lt;=(C25+T25)),AQ25,9E15),IF(AND(L25=0,ISNUMBER(AR25),AR25&lt;=(C25+T25)),AR25,9E15),IF(AND(M25=0,ISNUMBER(AS25),AS25&lt;=(C25+T25)),AS25,9E15))&lt;9E15,IF(AND(AND(J25=0,ISNUMBER(AP25),AP25&lt;=(C25+T25)),AP25=MIN(IF(AND(J25=0,ISNUMBER(AP25),AP25&lt;=(C25+T25)),AP25,9E15),IF(AND(K25=0,ISNUMBER(AQ25),AQ25&lt;=(C25+T25)),AQ25,9E15),IF(AND(L25=0,ISNUMBER(AR25),AR25&lt;=(C25+T25)),AR25,9E15),IF(AND(M25=0,ISNUMBER(AS25),AS25&lt;=(C25+T25)),AS25,9E15))),"BiP",IF(AND(AND(K25=0,ISNUMBER(AQ25),AQ25&lt;=(C25+T25)),AQ25=MIN(IF(AND(J25=0,ISNUMBER(AP25),AP25&lt;=(C25+T25)),AP25,9E15),IF(AND(K25=0,ISNUMBER(AQ25),AQ25&lt;=(C25+T25)),AQ25,9E15),IF(AND(L25=0,ISNUMBER(AR25),AR25&lt;=(C25+T25)),AR25,9E15),IF(AND(M25=0,ISNUMBER(AS25),AS25&lt;=(C25+T25)),AS25,9E15))),"PV",IF(AND(AND(L25=0,ISNUMBER(AR25),AR25&lt;=(C25+T25)),AR25=MIN(IF(AND(J25=0,ISNUMBER(AP25),AP25&lt;=(C25+T25)),AP25,9E15),IF(AND(K25=0,ISNUMBER(AQ25),AQ25&lt;=(C25+T25)),AQ25,9E15),IF(AND(L25=0,ISNUMBER(AR25),AR25&lt;=(C25+T25)),AR25,9E15),IF(AND(M25=0,ISNUMBER(AS25),AS25&lt;=(C25+T25)),AS25,9E15))),"OC","MG"))),IF(AX25=TRUE,"",IF(MAX(IF(AND(NOT(AND(AU25=1,AT25&lt;&gt;1)),ISNUMBER(AK25),AK25&lt;=(C25+T25)),AY25,0),IF(AND(NOT(AND(AU25=1,AT25&lt;&gt;1)),ISNUMBER(AL25),AL25&lt;=(C25+T25)),AZ25,0),IF(AND(NOT(AND(AU25=1,AT25&lt;&gt;1)),ISNUMBER(AM25),AM25&lt;=(C25+T25)),BA25,0),IF(AND(NOT(AND(AU25=1,AT25&lt;&gt;1)),ISNUMBER(AN25),AN25&lt;=(C25+T25)),BB25,0),IF(AND(ISNUMBER(AO25),AO25&lt;=(C25+T25)),BC25,0))&lt;=0,"",IF(AND(IF(AND(NOT(AND(AU25=1,AT25&lt;&gt;1)),ISNUMBER(AK25),AK25&lt;=(C25+T25)),AY25,0)&gt;0,IF(AND(NOT(AND(AU25=1,AT25&lt;&gt;1)),ISNUMBER(AK25),AK25&lt;=(C25+T25)),AY25,0)=MAX(IF(AND(NOT(AND(AU25=1,AT25&lt;&gt;1)),ISNUMBER(AK25),AK25&lt;=(C25+T25)),AY25,0),IF(AND(NOT(AND(AU25=1,AT25&lt;&gt;1)),ISNUMBER(AL25),AL25&lt;=(C25+T25)),AZ25,0),IF(AND(NOT(AND(AU25=1,AT25&lt;&gt;1)),ISNUMBER(AM25),AM25&lt;=(C25+T25)),BA25,0),IF(AND(NOT(AND(AU25=1,AT25&lt;&gt;1)),ISNUMBER(AN25),AN25&lt;=(C25+T25)),BB25,0),IF(AND(ISNUMBER(AO25),AO25&lt;=(C25+T25)),BC25,0))),"SK",IF(AND(IF(AND(NOT(AND(AU25=1,AT25&lt;&gt;1)),ISNUMBER(AL25),AL25&lt;=(C25+T25)),AZ25,0)&gt;0,IF(AND(NOT(AND(AU25=1,AT25&lt;&gt;1)),ISNUMBER(AL25),AL25&lt;=(C25+T25)),AZ25,0)=MAX(IF(AND(NOT(AND(AU25=1,AT25&lt;&gt;1)),ISNUMBER(AK25),AK25&lt;=(C25+T25)),AY25,0),IF(AND(NOT(AND(AU25=1,AT25&lt;&gt;1)),ISNUMBER(AL25),AL25&lt;=(C25+T25)),AZ25,0),IF(AND(NOT(AND(AU25=1,AT25&lt;&gt;1)),ISNUMBER(AM25),AM25&lt;=(C25+T25)),BA25,0),IF(AND(NOT(AND(AU25=1,AT25&lt;&gt;1)),ISNUMBER(AN25),AN25&lt;=(C25+T25)),BB25,0),IF(AND(ISNUMBER(AO25),AO25&lt;=(C25+T25)),BC25,0))),"LB",IF(AND(IF(AND(NOT(AND(AU25=1,AT25&lt;&gt;1)),ISNUMBER(AM25),AM25&lt;=(C25+T25)),BA25,0)&gt;0,IF(AND(NOT(AND(AU25=1,AT25&lt;&gt;1)),ISNUMBER(AM25),AM25&lt;=(C25+T25)),BA25,0)=MAX(IF(AND(NOT(AND(AU25=1,AT25&lt;&gt;1)),ISNUMBER(AK25),AK25&lt;=(C25+T25)),AY25,0),IF(AND(NOT(AND(AU25=1,AT25&lt;&gt;1)),ISNUMBER(AL25),AL25&lt;=(C25+T25)),AZ25,0),IF(AND(NOT(AND(AU25=1,AT25&lt;&gt;1)),ISNUMBER(AM25),AM25&lt;=(C25+T25)),BA25,0),IF(AND(NOT(AND(AU25=1,AT25&lt;&gt;1)),ISNUMBER(AN25),AN25&lt;=(C25+T25)),BB25,0),IF(AND(ISNUMBER(AO25),AO25&lt;=(C25+T25)),BC25,0))),"ML",IF(AND(IF(AND(NOT(AND(AU25=1,AT25&lt;&gt;1)),ISNUMBER(AN25),AN25&lt;=(C25+T25)),BB25,0)&gt;0,IF(AND(NOT(AND(AU25=1,AT25&lt;&gt;1)),ISNUMBER(AN25),AN25&lt;=(C25+T25)),BB25,0)=MAX(IF(AND(NOT(AND(AU25=1,AT25&lt;&gt;1)),ISNUMBER(AK25),AK25&lt;=(C25+T25)),AY25,0),IF(AND(NOT(AND(AU25=1,AT25&lt;&gt;1)),ISNUMBER(AL25),AL25&lt;=(C25+T25)),AZ25,0),IF(AND(NOT(AND(AU25=1,AT25&lt;&gt;1)),ISNUMBER(AM25),AM25&lt;=(C25+T25)),BA25,0),IF(AND(NOT(AND(AU25=1,AT25&lt;&gt;1)),ISNUMBER(AN25),AN25&lt;=(C25+T25)),BB25,0),IF(AND(ISNUMBER(AO25),AO25&lt;=(C25+T25)),BC25,0))),"RLO","BD"))))))))</f>
        <v/>
      </c>
    </row>
    <row r="26">
      <c r="A26" s="26" t="n">
        <v>15</v>
      </c>
      <c r="B26" s="27">
        <f>A26*10/60</f>
        <v/>
      </c>
      <c r="C26" s="22">
        <f>X25</f>
        <v/>
      </c>
      <c r="D26" s="27">
        <f>D25+W25</f>
        <v/>
      </c>
      <c r="E26" s="26">
        <f>E25+IF(U25="SK",1,0)</f>
        <v/>
      </c>
      <c r="F26" s="26">
        <f>F25+IF(U25="LB",1,0)</f>
        <v/>
      </c>
      <c r="G26" s="26">
        <f>G25+IF(U25="ML",1,0)</f>
        <v/>
      </c>
      <c r="H26" s="26">
        <f>H25+IF(U25="RLO",1,0)</f>
        <v/>
      </c>
      <c r="I26" s="26">
        <f>I25+IF(U25="BD",1,0)</f>
        <v/>
      </c>
      <c r="J26" s="26">
        <f>MAX(J25,IF(U25="BiP",1,0))</f>
        <v/>
      </c>
      <c r="K26" s="26">
        <f>MAX(K25,IF(U25="PV",1,0))</f>
        <v/>
      </c>
      <c r="L26" s="26">
        <f>MAX(L25,IF(U25="OC",1,0))</f>
        <v/>
      </c>
      <c r="M26" s="26">
        <f>MAX(M25,IF(U25="MG",1,0))</f>
        <v/>
      </c>
      <c r="N26" s="26">
        <f>MAX(N25,IF(U25="transition",1,0))</f>
        <v/>
      </c>
      <c r="O26" s="28">
        <f>(Parameters!$B$9+(IF(E26=0,0,(Upgrades!$J$13+E26*Upgrades!$K$13)*POWER(Upgrades!$L$13,E26)))*(IF(Upgrades!$T$14="Stellar Kinematics",POWER(Upgrades!$U$14,F26),1)*IF(Upgrades!$T$15="Stellar Kinematics",POWER(Upgrades!$U$15,G26),1)*IF(Upgrades!$T$16="Stellar Kinematics",POWER(Upgrades!$U$16,H26),1)*IF(Upgrades!$T$17="Stellar Kinematics",POWER(Upgrades!$U$17,I26),1)*IF(Upgrades!$T$18="Stellar Kinematics",POWER(Upgrades!$U$18,J26),1)*IF(Upgrades!$T$19="Stellar Kinematics",POWER(Upgrades!$U$19,K26),1)*IF(Upgrades!$T$20="Stellar Kinematics",POWER(Upgrades!$U$20,L26),1)*IF(Upgrades!$T$21="Stellar Kinematics",POWER(Upgrades!$U$21,M26),1))+(IF(F26=0,0,(Upgrades!$J$14+F26*Upgrades!$K$14)*POWER(Upgrades!$L$14,F26)))*(IF(Upgrades!$T$13="Local Bubble",POWER(Upgrades!$U$13,E26),1)*IF(Upgrades!$T$15="Local Bubble",POWER(Upgrades!$U$15,G26),1)*IF(Upgrades!$T$16="Local Bubble",POWER(Upgrades!$U$16,H26),1)*IF(Upgrades!$T$17="Local Bubble",POWER(Upgrades!$U$17,I26),1)*IF(Upgrades!$T$18="Local Bubble",POWER(Upgrades!$U$18,J26),1)*IF(Upgrades!$T$19="Local Bubble",POWER(Upgrades!$U$19,K26),1)*IF(Upgrades!$T$20="Local Bubble",POWER(Upgrades!$U$20,L26),1)*IF(Upgrades!$T$21="Local Bubble",POWER(Upgrades!$U$21,M26),1))+(IF(G26=0,0,(Upgrades!$J$15+G26*Upgrades!$K$15)*POWER(Upgrades!$L$15,G26)))*(IF(Upgrades!$T$13="Microlensing",POWER(Upgrades!$U$13,E26),1)*IF(Upgrades!$T$14="Microlensing",POWER(Upgrades!$U$14,F26),1)*IF(Upgrades!$T$16="Microlensing",POWER(Upgrades!$U$16,H26),1)*IF(Upgrades!$T$17="Microlensing",POWER(Upgrades!$U$17,I26),1)*IF(Upgrades!$T$18="Microlensing",POWER(Upgrades!$U$18,J26),1)*IF(Upgrades!$T$19="Microlensing",POWER(Upgrades!$U$19,K26),1)*IF(Upgrades!$T$20="Microlensing",POWER(Upgrades!$U$20,L26),1)*IF(Upgrades!$T$21="Microlensing",POWER(Upgrades!$U$21,M26),1))+(IF(H26=0,0,(Upgrades!$J$16+H26*Upgrades!$K$16)*POWER(Upgrades!$L$16,H26)))*(IF(Upgrades!$T$13="Roche Lobe Overflow",POWER(Upgrades!$U$13,E26),1)*IF(Upgrades!$T$14="Roche Lobe Overflow",POWER(Upgrades!$U$14,F26),1)*IF(Upgrades!$T$15="Roche Lobe Overflow",POWER(Upgrades!$U$15,G26),1)*IF(Upgrades!$T$17="Roche Lobe Overflow",POWER(Upgrades!$U$17,I26),1)*IF(Upgrades!$T$18="Roche Lobe Overflow",POWER(Upgrades!$U$18,J26),1)*IF(Upgrades!$T$19="Roche Lobe Overflow",POWER(Upgrades!$U$19,K26),1)*IF(Upgrades!$T$20="Roche Lobe Overflow",POWER(Upgrades!$U$20,L26),1)*IF(Upgrades!$T$21="Roche Lobe Overflow",POWER(Upgrades!$U$21,M26),1))+(IF(I26=0,0,(Upgrades!$J$17+I26*Upgrades!$K$17)*POWER(Upgrades!$L$17,I26)))*(IF(Upgrades!$T$13="Brown Dwarf",POWER(Upgrades!$U$13,E26),1)*IF(Upgrades!$T$14="Brown Dwarf",POWER(Upgrades!$U$14,F26),1)*IF(Upgrades!$T$15="Brown Dwarf",POWER(Upgrades!$U$15,G26),1)*IF(Upgrades!$T$16="Brown Dwarf",POWER(Upgrades!$U$16,H26),1)*IF(Upgrades!$T$18="Brown Dwarf",POWER(Upgrades!$U$18,J26),1)*IF(Upgrades!$T$19="Brown Dwarf",POWER(Upgrades!$U$19,K26),1)*IF(Upgrades!$T$20="Brown Dwarf",POWER(Upgrades!$U$20,L26),1)*IF(Upgrades!$T$21="Brown Dwarf",POWER(Upgrades!$U$21,M26),1))+(IF(J26=0,0,(Upgrades!$J$18+J26*Upgrades!$K$18)*POWER(Upgrades!$L$18,J26)))*(IF(Upgrades!$T$13="Binary Partner",POWER(Upgrades!$U$13,E26),1)*IF(Upgrades!$T$14="Binary Partner",POWER(Upgrades!$U$14,F26),1)*IF(Upgrades!$T$15="Binary Partner",POWER(Upgrades!$U$15,G26),1)*IF(Upgrades!$T$16="Binary Partner",POWER(Upgrades!$U$16,H26),1)*IF(Upgrades!$T$17="Binary Partner",POWER(Upgrades!$U$17,I26),1)*IF(Upgrades!$T$19="Binary Partner",POWER(Upgrades!$U$19,K26),1)*IF(Upgrades!$T$20="Binary Partner",POWER(Upgrades!$U$20,L26),1)*IF(Upgrades!$T$21="Binary Partner",POWER(Upgrades!$U$21,M26),1))+(IF(K26=0,0,(Upgrades!$J$19+K26*Upgrades!$K$19)*POWER(Upgrades!$L$19,K26)))*(IF(Upgrades!$T$13="Peculiar Velocity",POWER(Upgrades!$U$13,E26),1)*IF(Upgrades!$T$14="Peculiar Velocity",POWER(Upgrades!$U$14,F26),1)*IF(Upgrades!$T$15="Peculiar Velocity",POWER(Upgrades!$U$15,G26),1)*IF(Upgrades!$T$16="Peculiar Velocity",POWER(Upgrades!$U$16,H26),1)*IF(Upgrades!$T$17="Peculiar Velocity",POWER(Upgrades!$U$17,I26),1)*IF(Upgrades!$T$18="Peculiar Velocity",POWER(Upgrades!$U$18,J26),1)*IF(Upgrades!$T$20="Peculiar Velocity",POWER(Upgrades!$U$20,L26),1)*IF(Upgrades!$T$21="Peculiar Velocity",POWER(Upgrades!$U$21,M26),1))+(IF(L26=0,0,(Upgrades!$J$20+L26*Upgrades!$K$20)*POWER(Upgrades!$L$20,L26)))*(IF(Upgrades!$T$13="Open Cluster",POWER(Upgrades!$U$13,E26),1)*IF(Upgrades!$T$14="Open Cluster",POWER(Upgrades!$U$14,F26),1)*IF(Upgrades!$T$15="Open Cluster",POWER(Upgrades!$U$15,G26),1)*IF(Upgrades!$T$16="Open Cluster",POWER(Upgrades!$U$16,H26),1)*IF(Upgrades!$T$17="Open Cluster",POWER(Upgrades!$U$17,I26),1)*IF(Upgrades!$T$18="Open Cluster",POWER(Upgrades!$U$18,J26),1)*IF(Upgrades!$T$19="Open Cluster",POWER(Upgrades!$U$19,K26),1)*IF(Upgrades!$T$21="Open Cluster",POWER(Upgrades!$U$21,M26),1))+(IF(M26=0,0,(Upgrades!$J$21+M26*Upgrades!$K$21)*POWER(Upgrades!$L$21,M26)))*(IF(Upgrades!$T$13="Moving Group",POWER(Upgrades!$U$13,E26),1)*IF(Upgrades!$T$14="Moving Group",POWER(Upgrades!$U$14,F26),1)*IF(Upgrades!$T$15="Moving Group",POWER(Upgrades!$U$15,G26),1)*IF(Upgrades!$T$16="Moving Group",POWER(Upgrades!$U$16,H26),1)*IF(Upgrades!$T$17="Moving Group",POWER(Upgrades!$U$17,I26),1)*IF(Upgrades!$T$18="Moving Group",POWER(Upgrades!$U$18,J26),1)*IF(Upgrades!$T$19="Moving Group",POWER(Upgrades!$U$19,K26),1)*IF(Upgrades!$T$20="Moving Group",POWER(Upgrades!$U$20,L26),1)))*POWER(Upgrades!$Q$13,E26)*POWER(Upgrades!$Q$14,F26)*POWER(Upgrades!$Q$15,G26)*POWER(Upgrades!$Q$16,H26)*POWER(Upgrades!$Q$17,I26)*POWER(Upgrades!$Q$18,J26)*POWER(Upgrades!$Q$19,K26)*POWER(Upgrades!$Q$20,L26)*POWER(Upgrades!$Q$21,M26)*$G$6+$D$6</f>
        <v/>
      </c>
      <c r="P26" s="28">
        <f>((IF(E26=0,0,(Upgrades!$G$13+E26*Upgrades!$H$13)*POWER(Upgrades!$I$13,E26)))*(IF(Upgrades!$T$14="Stellar Kinematics",POWER(Upgrades!$U$14,F26),1)*IF(Upgrades!$T$15="Stellar Kinematics",POWER(Upgrades!$U$15,G26),1)*IF(Upgrades!$T$16="Stellar Kinematics",POWER(Upgrades!$U$16,H26),1)*IF(Upgrades!$T$17="Stellar Kinematics",POWER(Upgrades!$U$17,I26),1)*IF(Upgrades!$T$18="Stellar Kinematics",POWER(Upgrades!$U$18,J26),1)*IF(Upgrades!$T$19="Stellar Kinematics",POWER(Upgrades!$U$19,K26),1)*IF(Upgrades!$T$20="Stellar Kinematics",POWER(Upgrades!$U$20,L26),1)*IF(Upgrades!$T$21="Stellar Kinematics",POWER(Upgrades!$U$21,M26),1))+(IF(F26=0,0,(Upgrades!$G$14+F26*Upgrades!$H$14)*POWER(Upgrades!$I$14,F26)))*(IF(Upgrades!$T$13="Local Bubble",POWER(Upgrades!$U$13,E26),1)*IF(Upgrades!$T$15="Local Bubble",POWER(Upgrades!$U$15,G26),1)*IF(Upgrades!$T$16="Local Bubble",POWER(Upgrades!$U$16,H26),1)*IF(Upgrades!$T$17="Local Bubble",POWER(Upgrades!$U$17,I26),1)*IF(Upgrades!$T$18="Local Bubble",POWER(Upgrades!$U$18,J26),1)*IF(Upgrades!$T$19="Local Bubble",POWER(Upgrades!$U$19,K26),1)*IF(Upgrades!$T$20="Local Bubble",POWER(Upgrades!$U$20,L26),1)*IF(Upgrades!$T$21="Local Bubble",POWER(Upgrades!$U$21,M26),1))+(IF(G26=0,0,(Upgrades!$G$15+G26*Upgrades!$H$15)*POWER(Upgrades!$I$15,G26)))*(IF(Upgrades!$T$13="Microlensing",POWER(Upgrades!$U$13,E26),1)*IF(Upgrades!$T$14="Microlensing",POWER(Upgrades!$U$14,F26),1)*IF(Upgrades!$T$16="Microlensing",POWER(Upgrades!$U$16,H26),1)*IF(Upgrades!$T$17="Microlensing",POWER(Upgrades!$U$17,I26),1)*IF(Upgrades!$T$18="Microlensing",POWER(Upgrades!$U$18,J26),1)*IF(Upgrades!$T$19="Microlensing",POWER(Upgrades!$U$19,K26),1)*IF(Upgrades!$T$20="Microlensing",POWER(Upgrades!$U$20,L26),1)*IF(Upgrades!$T$21="Microlensing",POWER(Upgrades!$U$21,M26),1))+(IF(H26=0,0,(Upgrades!$G$16+H26*Upgrades!$H$16)*POWER(Upgrades!$I$16,H26)))*(IF(Upgrades!$T$13="Roche Lobe Overflow",POWER(Upgrades!$U$13,E26),1)*IF(Upgrades!$T$14="Roche Lobe Overflow",POWER(Upgrades!$U$14,F26),1)*IF(Upgrades!$T$15="Roche Lobe Overflow",POWER(Upgrades!$U$15,G26),1)*IF(Upgrades!$T$17="Roche Lobe Overflow",POWER(Upgrades!$U$17,I26),1)*IF(Upgrades!$T$18="Roche Lobe Overflow",POWER(Upgrades!$U$18,J26),1)*IF(Upgrades!$T$19="Roche Lobe Overflow",POWER(Upgrades!$U$19,K26),1)*IF(Upgrades!$T$20="Roche Lobe Overflow",POWER(Upgrades!$U$20,L26),1)*IF(Upgrades!$T$21="Roche Lobe Overflow",POWER(Upgrades!$U$21,M26),1))+(IF(I26=0,0,(Upgrades!$G$17+I26*Upgrades!$H$17)*POWER(Upgrades!$I$17,I26)))*(IF(Upgrades!$T$13="Brown Dwarf",POWER(Upgrades!$U$13,E26),1)*IF(Upgrades!$T$14="Brown Dwarf",POWER(Upgrades!$U$14,F26),1)*IF(Upgrades!$T$15="Brown Dwarf",POWER(Upgrades!$U$15,G26),1)*IF(Upgrades!$T$16="Brown Dwarf",POWER(Upgrades!$U$16,H26),1)*IF(Upgrades!$T$18="Brown Dwarf",POWER(Upgrades!$U$18,J26),1)*IF(Upgrades!$T$19="Brown Dwarf",POWER(Upgrades!$U$19,K26),1)*IF(Upgrades!$T$20="Brown Dwarf",POWER(Upgrades!$U$20,L26),1)*IF(Upgrades!$T$21="Brown Dwarf",POWER(Upgrades!$U$21,M26),1))+(IF(J26=0,0,(Upgrades!$G$18+J26*Upgrades!$H$18)*POWER(Upgrades!$I$18,J26)))*(IF(Upgrades!$T$13="Binary Partner",POWER(Upgrades!$U$13,E26),1)*IF(Upgrades!$T$14="Binary Partner",POWER(Upgrades!$U$14,F26),1)*IF(Upgrades!$T$15="Binary Partner",POWER(Upgrades!$U$15,G26),1)*IF(Upgrades!$T$16="Binary Partner",POWER(Upgrades!$U$16,H26),1)*IF(Upgrades!$T$17="Binary Partner",POWER(Upgrades!$U$17,I26),1)*IF(Upgrades!$T$19="Binary Partner",POWER(Upgrades!$U$19,K26),1)*IF(Upgrades!$T$20="Binary Partner",POWER(Upgrades!$U$20,L26),1)*IF(Upgrades!$T$21="Binary Partner",POWER(Upgrades!$U$21,M26),1))+(IF(K26=0,0,(Upgrades!$G$19+K26*Upgrades!$H$19)*POWER(Upgrades!$I$19,K26)))*(IF(Upgrades!$T$13="Peculiar Velocity",POWER(Upgrades!$U$13,E26),1)*IF(Upgrades!$T$14="Peculiar Velocity",POWER(Upgrades!$U$14,F26),1)*IF(Upgrades!$T$15="Peculiar Velocity",POWER(Upgrades!$U$15,G26),1)*IF(Upgrades!$T$16="Peculiar Velocity",POWER(Upgrades!$U$16,H26),1)*IF(Upgrades!$T$17="Peculiar Velocity",POWER(Upgrades!$U$17,I26),1)*IF(Upgrades!$T$18="Peculiar Velocity",POWER(Upgrades!$U$18,J26),1)*IF(Upgrades!$T$20="Peculiar Velocity",POWER(Upgrades!$U$20,L26),1)*IF(Upgrades!$T$21="Peculiar Velocity",POWER(Upgrades!$U$21,M26),1))+(IF(L26=0,0,(Upgrades!$G$20+L26*Upgrades!$H$20)*POWER(Upgrades!$I$20,L26)))*(IF(Upgrades!$T$13="Open Cluster",POWER(Upgrades!$U$13,E26),1)*IF(Upgrades!$T$14="Open Cluster",POWER(Upgrades!$U$14,F26),1)*IF(Upgrades!$T$15="Open Cluster",POWER(Upgrades!$U$15,G26),1)*IF(Upgrades!$T$16="Open Cluster",POWER(Upgrades!$U$16,H26),1)*IF(Upgrades!$T$17="Open Cluster",POWER(Upgrades!$U$17,I26),1)*IF(Upgrades!$T$18="Open Cluster",POWER(Upgrades!$U$18,J26),1)*IF(Upgrades!$T$19="Open Cluster",POWER(Upgrades!$U$19,K26),1)*IF(Upgrades!$T$21="Open Cluster",POWER(Upgrades!$U$21,M26),1))+(IF(M26=0,0,(Upgrades!$G$21+M26*Upgrades!$H$21)*POWER(Upgrades!$I$21,M26)))*(IF(Upgrades!$T$13="Moving Group",POWER(Upgrades!$U$13,E26),1)*IF(Upgrades!$T$14="Moving Group",POWER(Upgrades!$U$14,F26),1)*IF(Upgrades!$T$15="Moving Group",POWER(Upgrades!$U$15,G26),1)*IF(Upgrades!$T$16="Moving Group",POWER(Upgrades!$U$16,H26),1)*IF(Upgrades!$T$17="Moving Group",POWER(Upgrades!$U$17,I26),1)*IF(Upgrades!$T$18="Moving Group",POWER(Upgrades!$U$18,J26),1)*IF(Upgrades!$T$19="Moving Group",POWER(Upgrades!$U$19,K26),1)*IF(Upgrades!$T$20="Moving Group",POWER(Upgrades!$U$20,L26),1)))*POWER(Upgrades!$P$13,E26)*POWER(Upgrades!$P$14,F26)*POWER(Upgrades!$P$15,G26)*POWER(Upgrades!$P$16,H26)*POWER(Upgrades!$P$17,I26)*POWER(Upgrades!$P$18,J26)*POWER(Upgrades!$P$19,K26)*POWER(Upgrades!$P$20,L26)*POWER(Upgrades!$P$21,M26)*$F$6+$C$6</f>
        <v/>
      </c>
      <c r="Q26" s="28">
        <f>((IF(E26=0,0,(Upgrades!$M$13+E26*Upgrades!$N$13)*POWER(Upgrades!$O$13,E26)))*(IF(Upgrades!$T$14="Stellar Kinematics",POWER(Upgrades!$U$14,F26),1)*IF(Upgrades!$T$15="Stellar Kinematics",POWER(Upgrades!$U$15,G26),1)*IF(Upgrades!$T$16="Stellar Kinematics",POWER(Upgrades!$U$16,H26),1)*IF(Upgrades!$T$17="Stellar Kinematics",POWER(Upgrades!$U$17,I26),1)*IF(Upgrades!$T$18="Stellar Kinematics",POWER(Upgrades!$U$18,J26),1)*IF(Upgrades!$T$19="Stellar Kinematics",POWER(Upgrades!$U$19,K26),1)*IF(Upgrades!$T$20="Stellar Kinematics",POWER(Upgrades!$U$20,L26),1)*IF(Upgrades!$T$21="Stellar Kinematics",POWER(Upgrades!$U$21,M26),1))+(IF(F26=0,0,(Upgrades!$M$14+F26*Upgrades!$N$14)*POWER(Upgrades!$O$14,F26)))*(IF(Upgrades!$T$13="Local Bubble",POWER(Upgrades!$U$13,E26),1)*IF(Upgrades!$T$15="Local Bubble",POWER(Upgrades!$U$15,G26),1)*IF(Upgrades!$T$16="Local Bubble",POWER(Upgrades!$U$16,H26),1)*IF(Upgrades!$T$17="Local Bubble",POWER(Upgrades!$U$17,I26),1)*IF(Upgrades!$T$18="Local Bubble",POWER(Upgrades!$U$18,J26),1)*IF(Upgrades!$T$19="Local Bubble",POWER(Upgrades!$U$19,K26),1)*IF(Upgrades!$T$20="Local Bubble",POWER(Upgrades!$U$20,L26),1)*IF(Upgrades!$T$21="Local Bubble",POWER(Upgrades!$U$21,M26),1))+(IF(G26=0,0,(Upgrades!$M$15+G26*Upgrades!$N$15)*POWER(Upgrades!$O$15,G26)))*(IF(Upgrades!$T$13="Microlensing",POWER(Upgrades!$U$13,E26),1)*IF(Upgrades!$T$14="Microlensing",POWER(Upgrades!$U$14,F26),1)*IF(Upgrades!$T$16="Microlensing",POWER(Upgrades!$U$16,H26),1)*IF(Upgrades!$T$17="Microlensing",POWER(Upgrades!$U$17,I26),1)*IF(Upgrades!$T$18="Microlensing",POWER(Upgrades!$U$18,J26),1)*IF(Upgrades!$T$19="Microlensing",POWER(Upgrades!$U$19,K26),1)*IF(Upgrades!$T$20="Microlensing",POWER(Upgrades!$U$20,L26),1)*IF(Upgrades!$T$21="Microlensing",POWER(Upgrades!$U$21,M26),1))+(IF(H26=0,0,(Upgrades!$M$16+H26*Upgrades!$N$16)*POWER(Upgrades!$O$16,H26)))*(IF(Upgrades!$T$13="Roche Lobe Overflow",POWER(Upgrades!$U$13,E26),1)*IF(Upgrades!$T$14="Roche Lobe Overflow",POWER(Upgrades!$U$14,F26),1)*IF(Upgrades!$T$15="Roche Lobe Overflow",POWER(Upgrades!$U$15,G26),1)*IF(Upgrades!$T$17="Roche Lobe Overflow",POWER(Upgrades!$U$17,I26),1)*IF(Upgrades!$T$18="Roche Lobe Overflow",POWER(Upgrades!$U$18,J26),1)*IF(Upgrades!$T$19="Roche Lobe Overflow",POWER(Upgrades!$U$19,K26),1)*IF(Upgrades!$T$20="Roche Lobe Overflow",POWER(Upgrades!$U$20,L26),1)*IF(Upgrades!$T$21="Roche Lobe Overflow",POWER(Upgrades!$U$21,M26),1))+(IF(I26=0,0,(Upgrades!$M$17+I26*Upgrades!$N$17)*POWER(Upgrades!$O$17,I26)))*(IF(Upgrades!$T$13="Brown Dwarf",POWER(Upgrades!$U$13,E26),1)*IF(Upgrades!$T$14="Brown Dwarf",POWER(Upgrades!$U$14,F26),1)*IF(Upgrades!$T$15="Brown Dwarf",POWER(Upgrades!$U$15,G26),1)*IF(Upgrades!$T$16="Brown Dwarf",POWER(Upgrades!$U$16,H26),1)*IF(Upgrades!$T$18="Brown Dwarf",POWER(Upgrades!$U$18,J26),1)*IF(Upgrades!$T$19="Brown Dwarf",POWER(Upgrades!$U$19,K26),1)*IF(Upgrades!$T$20="Brown Dwarf",POWER(Upgrades!$U$20,L26),1)*IF(Upgrades!$T$21="Brown Dwarf",POWER(Upgrades!$U$21,M26),1))+(IF(J26=0,0,(Upgrades!$M$18+J26*Upgrades!$N$18)*POWER(Upgrades!$O$18,J26)))*(IF(Upgrades!$T$13="Binary Partner",POWER(Upgrades!$U$13,E26),1)*IF(Upgrades!$T$14="Binary Partner",POWER(Upgrades!$U$14,F26),1)*IF(Upgrades!$T$15="Binary Partner",POWER(Upgrades!$U$15,G26),1)*IF(Upgrades!$T$16="Binary Partner",POWER(Upgrades!$U$16,H26),1)*IF(Upgrades!$T$17="Binary Partner",POWER(Upgrades!$U$17,I26),1)*IF(Upgrades!$T$19="Binary Partner",POWER(Upgrades!$U$19,K26),1)*IF(Upgrades!$T$20="Binary Partner",POWER(Upgrades!$U$20,L26),1)*IF(Upgrades!$T$21="Binary Partner",POWER(Upgrades!$U$21,M26),1))+(IF(K26=0,0,(Upgrades!$M$19+K26*Upgrades!$N$19)*POWER(Upgrades!$O$19,K26)))*(IF(Upgrades!$T$13="Peculiar Velocity",POWER(Upgrades!$U$13,E26),1)*IF(Upgrades!$T$14="Peculiar Velocity",POWER(Upgrades!$U$14,F26),1)*IF(Upgrades!$T$15="Peculiar Velocity",POWER(Upgrades!$U$15,G26),1)*IF(Upgrades!$T$16="Peculiar Velocity",POWER(Upgrades!$U$16,H26),1)*IF(Upgrades!$T$17="Peculiar Velocity",POWER(Upgrades!$U$17,I26),1)*IF(Upgrades!$T$18="Peculiar Velocity",POWER(Upgrades!$U$18,J26),1)*IF(Upgrades!$T$20="Peculiar Velocity",POWER(Upgrades!$U$20,L26),1)*IF(Upgrades!$T$21="Peculiar Velocity",POWER(Upgrades!$U$21,M26),1))+(IF(L26=0,0,(Upgrades!$M$20+L26*Upgrades!$N$20)*POWER(Upgrades!$O$20,L26)))*(IF(Upgrades!$T$13="Open Cluster",POWER(Upgrades!$U$13,E26),1)*IF(Upgrades!$T$14="Open Cluster",POWER(Upgrades!$U$14,F26),1)*IF(Upgrades!$T$15="Open Cluster",POWER(Upgrades!$U$15,G26),1)*IF(Upgrades!$T$16="Open Cluster",POWER(Upgrades!$U$16,H26),1)*IF(Upgrades!$T$17="Open Cluster",POWER(Upgrades!$U$17,I26),1)*IF(Upgrades!$T$18="Open Cluster",POWER(Upgrades!$U$18,J26),1)*IF(Upgrades!$T$19="Open Cluster",POWER(Upgrades!$U$19,K26),1)*IF(Upgrades!$T$21="Open Cluster",POWER(Upgrades!$U$21,M26),1))+(IF(M26=0,0,(Upgrades!$M$21+M26*Upgrades!$N$21)*POWER(Upgrades!$O$21,M26)))*(IF(Upgrades!$T$13="Moving Group",POWER(Upgrades!$U$13,E26),1)*IF(Upgrades!$T$14="Moving Group",POWER(Upgrades!$U$14,F26),1)*IF(Upgrades!$T$15="Moving Group",POWER(Upgrades!$U$15,G26),1)*IF(Upgrades!$T$16="Moving Group",POWER(Upgrades!$U$16,H26),1)*IF(Upgrades!$T$17="Moving Group",POWER(Upgrades!$U$17,I26),1)*IF(Upgrades!$T$18="Moving Group",POWER(Upgrades!$U$18,J26),1)*IF(Upgrades!$T$19="Moving Group",POWER(Upgrades!$U$19,K26),1)*IF(Upgrades!$T$20="Moving Group",POWER(Upgrades!$U$20,L26),1)))*POWER(Upgrades!$R$13,E26)*POWER(Upgrades!$R$14,F26)*POWER(Upgrades!$R$15,G26)*POWER(Upgrades!$R$16,H26)*POWER(Upgrades!$R$17,I26)*POWER(Upgrades!$R$18,J26)*POWER(Upgrades!$R$19,K26)*POWER(Upgrades!$R$20,L26)*POWER(Upgrades!$R$21,M26)*$H$6+$E$6</f>
        <v/>
      </c>
      <c r="R26" s="27">
        <f>IF(N26=1,0,O26*Parameters!$B$10/60*Parameters!$B$11*10)</f>
        <v/>
      </c>
      <c r="S26" s="27">
        <f>IF(N26=1,0,Q26*O26*10)</f>
        <v/>
      </c>
      <c r="T26" s="27">
        <f>IF(N26=1,0,R26+S26+P26*10)</f>
        <v/>
      </c>
      <c r="U26" s="33">
        <f>BE26</f>
        <v/>
      </c>
      <c r="V26" s="22">
        <f>IF(U26="",0,IF(U26="transition",0,IF(U26="SK",AK26,IF(U26="LB",AL26,IF(U26="ML",AM26,IF(U26="RLO",AN26,IF(U26="BD",AO26,IF(U26="BiP",AP26,IF(U26="PV",AQ26,IF(U26="OC",AR26,IF(U26="MG",AS26,0))))))))))</f>
        <v/>
      </c>
      <c r="W26" s="27">
        <f>IF(U26="BiP",Upgrades!$F$18,IF(U26="PV",Upgrades!$F$19,IF(U26="OC",Upgrades!$F$20,IF(U26="MG",Upgrades!$F$21,IF(U26="transition",-Parameters!$B$18*Parameters!$B$19,0)))))</f>
        <v/>
      </c>
      <c r="X26" s="22">
        <f>C26+T26-V26</f>
        <v/>
      </c>
      <c r="Y26" s="30">
        <f>O26*Parameters!$B$10/60*Parameters!$B$11+Q26*O26+P26</f>
        <v/>
      </c>
      <c r="Z26" s="34">
        <f>IF(U26="transition","→ Tier 3 (Galactic Arm)",IF(U26="MG","Moving Group — pocket drifts together",IF(U26="OC","Open Cluster acquired",IF(U26="PV","Peculiar Velocity — passive multiplier active",IF(U26="BiP","Binary Partner — pair bond formed",IF(AND(AU26=1,N26=0,AT26&lt;&gt;1),"Cohesion ready (waiting on completionists)","")))))) </f>
        <v/>
      </c>
      <c r="AA26" s="27">
        <f>(IF(E26=0,0,(Upgrades!$G$13+E26*Upgrades!$H$13)*POWER(Upgrades!$I$13,E26)))*(IF(Upgrades!$T$14="Stellar Kinematics",POWER(Upgrades!$U$14,F26),1)*IF(Upgrades!$T$15="Stellar Kinematics",POWER(Upgrades!$U$15,G26),1)*IF(Upgrades!$T$16="Stellar Kinematics",POWER(Upgrades!$U$16,H26),1)*IF(Upgrades!$T$17="Stellar Kinematics",POWER(Upgrades!$U$17,I26),1)*IF(Upgrades!$T$18="Stellar Kinematics",POWER(Upgrades!$U$18,J26),1)*IF(Upgrades!$T$19="Stellar Kinematics",POWER(Upgrades!$U$19,K26),1)*IF(Upgrades!$T$20="Stellar Kinematics",POWER(Upgrades!$U$20,L26),1)*IF(Upgrades!$T$21="Stellar Kinematics",POWER(Upgrades!$U$21,M26),1))*POWER(Upgrades!$P$13,E26)*POWER(Upgrades!$P$14,F26)*POWER(Upgrades!$P$15,G26)*POWER(Upgrades!$P$16,H26)*POWER(Upgrades!$P$17,I26)*POWER(Upgrades!$P$18,J26)*POWER(Upgrades!$P$19,K26)*POWER(Upgrades!$P$20,L26)*POWER(Upgrades!$P$21,M26)*$F$6*60</f>
        <v/>
      </c>
      <c r="AB26" s="27">
        <f>(IF(F26=0,0,(Upgrades!$G$14+F26*Upgrades!$H$14)*POWER(Upgrades!$I$14,F26)))*(IF(Upgrades!$T$13="Local Bubble",POWER(Upgrades!$U$13,E26),1)*IF(Upgrades!$T$15="Local Bubble",POWER(Upgrades!$U$15,G26),1)*IF(Upgrades!$T$16="Local Bubble",POWER(Upgrades!$U$16,H26),1)*IF(Upgrades!$T$17="Local Bubble",POWER(Upgrades!$U$17,I26),1)*IF(Upgrades!$T$18="Local Bubble",POWER(Upgrades!$U$18,J26),1)*IF(Upgrades!$T$19="Local Bubble",POWER(Upgrades!$U$19,K26),1)*IF(Upgrades!$T$20="Local Bubble",POWER(Upgrades!$U$20,L26),1)*IF(Upgrades!$T$21="Local Bubble",POWER(Upgrades!$U$21,M26),1))*POWER(Upgrades!$P$13,E26)*POWER(Upgrades!$P$14,F26)*POWER(Upgrades!$P$15,G26)*POWER(Upgrades!$P$16,H26)*POWER(Upgrades!$P$17,I26)*POWER(Upgrades!$P$18,J26)*POWER(Upgrades!$P$19,K26)*POWER(Upgrades!$P$20,L26)*POWER(Upgrades!$P$21,M26)*$F$6*60</f>
        <v/>
      </c>
      <c r="AC26" s="27">
        <f>(IF(G26=0,0,(Upgrades!$J$15+G26*Upgrades!$K$15)*POWER(Upgrades!$L$15,G26)))*(IF(Upgrades!$T$13="Microlensing",POWER(Upgrades!$U$13,E26),1)*IF(Upgrades!$T$14="Microlensing",POWER(Upgrades!$U$14,F26),1)*IF(Upgrades!$T$16="Microlensing",POWER(Upgrades!$U$16,H26),1)*IF(Upgrades!$T$17="Microlensing",POWER(Upgrades!$U$17,I26),1)*IF(Upgrades!$T$18="Microlensing",POWER(Upgrades!$U$18,J26),1)*IF(Upgrades!$T$19="Microlensing",POWER(Upgrades!$U$19,K26),1)*IF(Upgrades!$T$20="Microlensing",POWER(Upgrades!$U$20,L26),1)*IF(Upgrades!$T$21="Microlensing",POWER(Upgrades!$U$21,M26),1))*POWER(Upgrades!$Q$13,E26)*POWER(Upgrades!$Q$14,F26)*POWER(Upgrades!$Q$15,G26)*POWER(Upgrades!$Q$16,H26)*POWER(Upgrades!$Q$17,I26)*POWER(Upgrades!$Q$18,J26)*POWER(Upgrades!$Q$19,K26)*POWER(Upgrades!$Q$20,L26)*POWER(Upgrades!$Q$21,M26)*$G$6*(Parameters!$B$10*Parameters!$B$11+Q26*60)</f>
        <v/>
      </c>
      <c r="AD26" s="27">
        <f>(IF(H26=0,0,(Upgrades!$M$16+H26*Upgrades!$N$16)*POWER(Upgrades!$O$16,H26)))*(IF(Upgrades!$T$13="Roche Lobe Overflow",POWER(Upgrades!$U$13,E26),1)*IF(Upgrades!$T$14="Roche Lobe Overflow",POWER(Upgrades!$U$14,F26),1)*IF(Upgrades!$T$15="Roche Lobe Overflow",POWER(Upgrades!$U$15,G26),1)*IF(Upgrades!$T$17="Roche Lobe Overflow",POWER(Upgrades!$U$17,I26),1)*IF(Upgrades!$T$18="Roche Lobe Overflow",POWER(Upgrades!$U$18,J26),1)*IF(Upgrades!$T$19="Roche Lobe Overflow",POWER(Upgrades!$U$19,K26),1)*IF(Upgrades!$T$20="Roche Lobe Overflow",POWER(Upgrades!$U$20,L26),1)*IF(Upgrades!$T$21="Roche Lobe Overflow",POWER(Upgrades!$U$21,M26),1))*POWER(Upgrades!$R$13,E26)*POWER(Upgrades!$R$14,F26)*POWER(Upgrades!$R$15,G26)*POWER(Upgrades!$R$16,H26)*POWER(Upgrades!$R$17,I26)*POWER(Upgrades!$R$18,J26)*POWER(Upgrades!$R$19,K26)*POWER(Upgrades!$R$20,L26)*POWER(Upgrades!$R$21,M26)*$H$6*O26*60</f>
        <v/>
      </c>
      <c r="AE26" s="27">
        <f>(IF(I26=0,0,(Upgrades!$G$17+I26*Upgrades!$H$17)*POWER(Upgrades!$I$17,I26)))*(IF(Upgrades!$T$13="Brown Dwarf",POWER(Upgrades!$U$13,E26),1)*IF(Upgrades!$T$14="Brown Dwarf",POWER(Upgrades!$U$14,F26),1)*IF(Upgrades!$T$15="Brown Dwarf",POWER(Upgrades!$U$15,G26),1)*IF(Upgrades!$T$16="Brown Dwarf",POWER(Upgrades!$U$16,H26),1)*IF(Upgrades!$T$18="Brown Dwarf",POWER(Upgrades!$U$18,J26),1)*IF(Upgrades!$T$19="Brown Dwarf",POWER(Upgrades!$U$19,K26),1)*IF(Upgrades!$T$20="Brown Dwarf",POWER(Upgrades!$U$20,L26),1)*IF(Upgrades!$T$21="Brown Dwarf",POWER(Upgrades!$U$21,M26),1))*POWER(Upgrades!$P$13,E26)*POWER(Upgrades!$P$14,F26)*POWER(Upgrades!$P$15,G26)*POWER(Upgrades!$P$16,H26)*POWER(Upgrades!$P$17,I26)*POWER(Upgrades!$P$18,J26)*POWER(Upgrades!$P$19,K26)*POWER(Upgrades!$P$20,L26)*POWER(Upgrades!$P$21,M26)*$F$6*60</f>
        <v/>
      </c>
      <c r="AF26" s="27" t="n">
        <v>0</v>
      </c>
      <c r="AG26" s="27" t="n">
        <v>0</v>
      </c>
      <c r="AH26" s="27" t="n">
        <v>0</v>
      </c>
      <c r="AI26" s="27">
        <f>(IF(M26=0,0,(Upgrades!$G$21+M26*Upgrades!$H$21)*POWER(Upgrades!$I$21,M26)))*(IF(Upgrades!$T$13="Moving Group",POWER(Upgrades!$U$13,E26),1)*IF(Upgrades!$T$14="Moving Group",POWER(Upgrades!$U$14,F26),1)*IF(Upgrades!$T$15="Moving Group",POWER(Upgrades!$U$15,G26),1)*IF(Upgrades!$T$16="Moving Group",POWER(Upgrades!$U$16,H26),1)*IF(Upgrades!$T$17="Moving Group",POWER(Upgrades!$U$17,I26),1)*IF(Upgrades!$T$18="Moving Group",POWER(Upgrades!$U$18,J26),1)*IF(Upgrades!$T$19="Moving Group",POWER(Upgrades!$U$19,K26),1)*IF(Upgrades!$T$20="Moving Group",POWER(Upgrades!$U$20,L26),1))*POWER(Upgrades!$P$13,E26)*POWER(Upgrades!$P$14,F26)*POWER(Upgrades!$P$15,G26)*POWER(Upgrades!$P$16,H26)*POWER(Upgrades!$P$17,I26)*POWER(Upgrades!$P$18,J26)*POWER(Upgrades!$P$19,K26)*POWER(Upgrades!$P$20,L26)*POWER(Upgrades!$P$21,M26)*$F$6*60</f>
        <v/>
      </c>
      <c r="AJ26" s="27">
        <f>$C$6*60</f>
        <v/>
      </c>
      <c r="AK26" s="22">
        <f>IF(E26&gt;=Upgrades!$E$13,"",Upgrades!$C$13*POWER(Upgrades!$D$13,E26))</f>
        <v/>
      </c>
      <c r="AL26" s="22">
        <f>IF(F26&gt;=Upgrades!$E$14,"",Upgrades!$C$14*POWER(Upgrades!$D$14,F26))</f>
        <v/>
      </c>
      <c r="AM26" s="22">
        <f>IF(G26&gt;=Upgrades!$E$15,"",Upgrades!$C$15*POWER(Upgrades!$D$15,G26))</f>
        <v/>
      </c>
      <c r="AN26" s="22">
        <f>IF(H26&gt;=Upgrades!$E$16,"",Upgrades!$C$16*POWER(Upgrades!$D$16,H26))</f>
        <v/>
      </c>
      <c r="AO26" s="22">
        <f>IF(I26&gt;=Upgrades!$E$17,"",Upgrades!$C$17*POWER(Upgrades!$D$17,I26))</f>
        <v/>
      </c>
      <c r="AP26" s="22">
        <f>IF(J26&gt;=Upgrades!$E$18,"",Upgrades!$C$18*POWER(Upgrades!$D$18,J26))</f>
        <v/>
      </c>
      <c r="AQ26" s="22">
        <f>IF(K26&gt;=Upgrades!$E$19,"",Upgrades!$C$19*POWER(Upgrades!$D$19,K26))</f>
        <v/>
      </c>
      <c r="AR26" s="22">
        <f>IF(L26&gt;=Upgrades!$E$20,"",Upgrades!$C$20*POWER(Upgrades!$D$20,L26))</f>
        <v/>
      </c>
      <c r="AS26" s="22">
        <f>IF(M26&gt;=Upgrades!$E$21,"",Upgrades!$C$21*POWER(Upgrades!$D$21,M26))</f>
        <v/>
      </c>
      <c r="AT26" s="26">
        <f>IF(AND(D26&gt;=Parameters!$B$18*Parameters!$B$19,(I26&gt;=Upgrades!$E$17)*(M26&gt;=Upgrades!$E$21)=1,N26=0),1,"")</f>
        <v/>
      </c>
      <c r="AU26" s="26">
        <f>IF(AND(D26&gt;=Parameters!$B$18*Parameters!$B$19,N26=0),1,"")</f>
        <v/>
      </c>
      <c r="AV26" s="22">
        <f>MIN(IF(ISNUMBER(AP26),AP26,9E15),IF(ISNUMBER(AQ26),AQ26,9E15),IF(ISNUMBER(AR26),AR26,9E15),IF(ISNUMBER(AS26),AS26,9E15))</f>
        <v/>
      </c>
      <c r="AW26" s="22">
        <f>MIN(IF(ISNUMBER(AK26),AK26,9E15),IF(ISNUMBER(AL26),AL26,9E15),IF(ISNUMBER(AM26),AM26,9E15),IF(ISNUMBER(AN26),AN26,9E15),IF(ISNUMBER(AO26),AO26,9E15))</f>
        <v/>
      </c>
      <c r="AX26" s="29">
        <f>IF(BD26&gt;Parameters!$B$21*(MAX(IF(AND(NOT(AND(AU26=1,AT26&lt;&gt;1)),ISNUMBER(AK26),AK26&lt;=(C26+T26)),AY26,0),IF(AND(NOT(AND(AU26=1,AT26&lt;&gt;1)),ISNUMBER(AL26),AL26&lt;=(C26+T26)),AZ26,0),IF(AND(NOT(AND(AU26=1,AT26&lt;&gt;1)),ISNUMBER(AM26),AM26&lt;=(C26+T26)),BA26,0),IF(AND(NOT(AND(AU26=1,AT26&lt;&gt;1)),ISNUMBER(AN26),AN26&lt;=(C26+T26)),BB26,0),IF(AND(ISNUMBER(AO26),AO26&lt;=(C26+T26)),BC26,0))),TRUE,FALSE)</f>
        <v/>
      </c>
      <c r="AY26" s="32">
        <f>IFERROR(Upgrades!$H$13*(POWER(Upgrades!$P$13,E26)*POWER(Upgrades!$P$14,F26)*POWER(Upgrades!$P$15,G26)*POWER(Upgrades!$P$16,H26)*POWER(Upgrades!$P$17,I26)*POWER(Upgrades!$P$18,J26)*POWER(Upgrades!$P$19,K26)*POWER(Upgrades!$P$20,L26)*POWER(Upgrades!$P$21,M26))*(IF(Upgrades!$T$14="Stellar Kinematics",POWER(Upgrades!$U$14,F26),1)*IF(Upgrades!$T$15="Stellar Kinematics",POWER(Upgrades!$U$15,G26),1)*IF(Upgrades!$T$16="Stellar Kinematics",POWER(Upgrades!$U$16,H26),1)*IF(Upgrades!$T$17="Stellar Kinematics",POWER(Upgrades!$U$17,I26),1)*IF(Upgrades!$T$18="Stellar Kinematics",POWER(Upgrades!$U$18,J26),1)*IF(Upgrades!$T$19="Stellar Kinematics",POWER(Upgrades!$U$19,K26),1)*IF(Upgrades!$T$20="Stellar Kinematics",POWER(Upgrades!$U$20,L26),1)*IF(Upgrades!$T$21="Stellar Kinematics",POWER(Upgrades!$U$21,M26),1))*$F$6/AK26,0)</f>
        <v/>
      </c>
      <c r="AZ26" s="32">
        <f>IFERROR(Upgrades!$H$14*(POWER(Upgrades!$P$13,E26)*POWER(Upgrades!$P$14,F26)*POWER(Upgrades!$P$15,G26)*POWER(Upgrades!$P$16,H26)*POWER(Upgrades!$P$17,I26)*POWER(Upgrades!$P$18,J26)*POWER(Upgrades!$P$19,K26)*POWER(Upgrades!$P$20,L26)*POWER(Upgrades!$P$21,M26))*(IF(Upgrades!$T$13="Local Bubble",POWER(Upgrades!$U$13,E26),1)*IF(Upgrades!$T$15="Local Bubble",POWER(Upgrades!$U$15,G26),1)*IF(Upgrades!$T$16="Local Bubble",POWER(Upgrades!$U$16,H26),1)*IF(Upgrades!$T$17="Local Bubble",POWER(Upgrades!$U$17,I26),1)*IF(Upgrades!$T$18="Local Bubble",POWER(Upgrades!$U$18,J26),1)*IF(Upgrades!$T$19="Local Bubble",POWER(Upgrades!$U$19,K26),1)*IF(Upgrades!$T$20="Local Bubble",POWER(Upgrades!$U$20,L26),1)*IF(Upgrades!$T$21="Local Bubble",POWER(Upgrades!$U$21,M26),1))*$F$6/AL26,0)</f>
        <v/>
      </c>
      <c r="BA26" s="32">
        <f>IFERROR(Upgrades!$K$15*(POWER(Upgrades!$Q$13,E26)*POWER(Upgrades!$Q$14,F26)*POWER(Upgrades!$Q$15,G26)*POWER(Upgrades!$Q$16,H26)*POWER(Upgrades!$Q$17,I26)*POWER(Upgrades!$Q$18,J26)*POWER(Upgrades!$Q$19,K26)*POWER(Upgrades!$Q$20,L26)*POWER(Upgrades!$Q$21,M26))*(IF(Upgrades!$T$13="Microlensing",POWER(Upgrades!$U$13,E26),1)*IF(Upgrades!$T$14="Microlensing",POWER(Upgrades!$U$14,F26),1)*IF(Upgrades!$T$16="Microlensing",POWER(Upgrades!$U$16,H26),1)*IF(Upgrades!$T$17="Microlensing",POWER(Upgrades!$U$17,I26),1)*IF(Upgrades!$T$18="Microlensing",POWER(Upgrades!$U$18,J26),1)*IF(Upgrades!$T$19="Microlensing",POWER(Upgrades!$U$19,K26),1)*IF(Upgrades!$T$20="Microlensing",POWER(Upgrades!$U$20,L26),1)*IF(Upgrades!$T$21="Microlensing",POWER(Upgrades!$U$21,M26),1))*$G$6*(Parameters!$B$10/60*Parameters!$B$11+Q26)/AM26,0)</f>
        <v/>
      </c>
      <c r="BB26" s="32">
        <f>IFERROR((Upgrades!$N$16*(POWER(Upgrades!$R$13,E26)*POWER(Upgrades!$R$14,F26)*POWER(Upgrades!$R$15,G26)*POWER(Upgrades!$R$16,H26)*POWER(Upgrades!$R$17,I26)*POWER(Upgrades!$R$18,J26)*POWER(Upgrades!$R$19,K26)*POWER(Upgrades!$R$20,L26)*POWER(Upgrades!$R$21,M26))*(IF(Upgrades!$T$13="Roche Lobe Overflow",POWER(Upgrades!$U$13,E26),1)*IF(Upgrades!$T$14="Roche Lobe Overflow",POWER(Upgrades!$U$14,F26),1)*IF(Upgrades!$T$15="Roche Lobe Overflow",POWER(Upgrades!$U$15,G26),1)*IF(Upgrades!$T$17="Roche Lobe Overflow",POWER(Upgrades!$U$17,I26),1)*IF(Upgrades!$T$18="Roche Lobe Overflow",POWER(Upgrades!$U$18,J26),1)*IF(Upgrades!$T$19="Roche Lobe Overflow",POWER(Upgrades!$U$19,K26),1)*IF(Upgrades!$T$20="Roche Lobe Overflow",POWER(Upgrades!$U$20,L26),1)*IF(Upgrades!$T$21="Roche Lobe Overflow",POWER(Upgrades!$U$21,M26),1))*$H$6*O26+((IF(F26=0,0,(Upgrades!$G$14+F26*Upgrades!$H$14)*POWER(Upgrades!$I$14,F26)))*(IF(Upgrades!$T$13="Local Bubble",POWER(Upgrades!$U$13,E26),1)*IF(Upgrades!$T$15="Local Bubble",POWER(Upgrades!$U$15,G26),1)*IF(Upgrades!$T$16="Local Bubble",POWER(Upgrades!$U$16,H26),1)*IF(Upgrades!$T$17="Local Bubble",POWER(Upgrades!$U$17,I26),1)*IF(Upgrades!$T$18="Local Bubble",POWER(Upgrades!$U$18,J26),1)*IF(Upgrades!$T$19="Local Bubble",POWER(Upgrades!$U$19,K26),1)*IF(Upgrades!$T$20="Local Bubble",POWER(Upgrades!$U$20,L26),1)*IF(Upgrades!$T$21="Local Bubble",POWER(Upgrades!$U$21,M26),1))*POWER(Upgrades!$P$13,E26)*POWER(Upgrades!$P$14,F26)*POWER(Upgrades!$P$15,G26)*POWER(Upgrades!$P$16,H26)*POWER(Upgrades!$P$17,I26)*POWER(Upgrades!$P$18,J26)*POWER(Upgrades!$P$19,K26)*POWER(Upgrades!$P$20,L26)*POWER(Upgrades!$P$21,M26)*$F$6)*0.05)/AN26,0)</f>
        <v/>
      </c>
      <c r="BC26" s="32">
        <f>IFERROR((Upgrades!$H$17*(POWER(Upgrades!$P$13,E26)*POWER(Upgrades!$P$14,F26)*POWER(Upgrades!$P$15,G26)*POWER(Upgrades!$P$16,H26)*POWER(Upgrades!$P$17,I26)*POWER(Upgrades!$P$18,J26)*POWER(Upgrades!$P$19,K26)*POWER(Upgrades!$P$20,L26)*POWER(Upgrades!$P$21,M26))*(IF(Upgrades!$T$13="Brown Dwarf",POWER(Upgrades!$U$13,E26),1)*IF(Upgrades!$T$14="Brown Dwarf",POWER(Upgrades!$U$14,F26),1)*IF(Upgrades!$T$15="Brown Dwarf",POWER(Upgrades!$U$15,G26),1)*IF(Upgrades!$T$16="Brown Dwarf",POWER(Upgrades!$U$16,H26),1)*IF(Upgrades!$T$18="Brown Dwarf",POWER(Upgrades!$U$18,J26),1)*IF(Upgrades!$T$19="Brown Dwarf",POWER(Upgrades!$U$19,K26),1)*IF(Upgrades!$T$20="Brown Dwarf",POWER(Upgrades!$U$20,L26),1)*IF(Upgrades!$T$21="Brown Dwarf",POWER(Upgrades!$U$21,M26),1))*$F$6+(((IF(H26=0,0,(Upgrades!$M$16+H26*Upgrades!$N$16)*POWER(Upgrades!$O$16,H26)))*(IF(Upgrades!$T$13="Roche Lobe Overflow",POWER(Upgrades!$U$13,E26),1)*IF(Upgrades!$T$14="Roche Lobe Overflow",POWER(Upgrades!$U$14,F26),1)*IF(Upgrades!$T$15="Roche Lobe Overflow",POWER(Upgrades!$U$15,G26),1)*IF(Upgrades!$T$17="Roche Lobe Overflow",POWER(Upgrades!$U$17,I26),1)*IF(Upgrades!$T$18="Roche Lobe Overflow",POWER(Upgrades!$U$18,J26),1)*IF(Upgrades!$T$19="Roche Lobe Overflow",POWER(Upgrades!$U$19,K26),1)*IF(Upgrades!$T$20="Roche Lobe Overflow",POWER(Upgrades!$U$20,L26),1)*IF(Upgrades!$T$21="Roche Lobe Overflow",POWER(Upgrades!$U$21,M26),1))*POWER(Upgrades!$R$13,E26)*POWER(Upgrades!$R$14,F26)*POWER(Upgrades!$R$15,G26)*POWER(Upgrades!$R$16,H26)*POWER(Upgrades!$R$17,I26)*POWER(Upgrades!$R$18,J26)*POWER(Upgrades!$R$19,K26)*POWER(Upgrades!$R$20,L26)*POWER(Upgrades!$R$21,M26)*$H$6)*O26)*0.10)/AO26,0)</f>
        <v/>
      </c>
      <c r="BD26" s="32">
        <f>MAX(IF(J26&gt;0,0,IFERROR(0.5*((IF(G26=0,0,(Upgrades!$J$15+G26*Upgrades!$K$15)*POWER(Upgrades!$L$15,G26)))*(IF(Upgrades!$T$13="Microlensing",POWER(Upgrades!$U$13,E26),1)*IF(Upgrades!$T$14="Microlensing",POWER(Upgrades!$U$14,F26),1)*IF(Upgrades!$T$16="Microlensing",POWER(Upgrades!$U$16,H26),1)*IF(Upgrades!$T$17="Microlensing",POWER(Upgrades!$U$17,I26),1)*IF(Upgrades!$T$18="Microlensing",POWER(Upgrades!$U$18,J26),1)*IF(Upgrades!$T$19="Microlensing",POWER(Upgrades!$U$19,K26),1)*IF(Upgrades!$T$20="Microlensing",POWER(Upgrades!$U$20,L26),1)*IF(Upgrades!$T$21="Microlensing",POWER(Upgrades!$U$21,M26),1))*(POWER(Upgrades!$Q$13,E26)*POWER(Upgrades!$Q$14,F26)*POWER(Upgrades!$Q$15,G26)*POWER(Upgrades!$Q$16,H26)*POWER(Upgrades!$Q$17,I26)*POWER(Upgrades!$Q$18,J26)*POWER(Upgrades!$Q$19,K26)*POWER(Upgrades!$Q$20,L26)*POWER(Upgrades!$Q$21,M26))*$G$6*(Parameters!$B$10/60*Parameters!$B$11+Q26))/Upgrades!$C$18,0)),IF(K26&gt;0,0,IFERROR(0.30*P26/Upgrades!$C$19,0)),IF(L26&gt;0,0,IFERROR(0.0001/Upgrades!$C$20,0)),IF(M26&gt;0,0,IFERROR((6.0*(POWER(Upgrades!$P$13,E26)*POWER(Upgrades!$P$14,F26)*POWER(Upgrades!$P$15,G26)*POWER(Upgrades!$P$16,H26)*POWER(Upgrades!$P$17,I26)*POWER(Upgrades!$P$18,J26)*POWER(Upgrades!$P$19,K26)*POWER(Upgrades!$P$20,L26)*POWER(Upgrades!$P$21,M26))*$F$6+0.20*O26*(Parameters!$B$10/60*Parameters!$B$11+Q26))/Upgrades!$C$21,0)),IF(AND(ISNUMBER(AK26),AK26&gt;(C26+T26)),AY26,0),IF(AND(ISNUMBER(AL26),AL26&gt;(C26+T26)),AZ26,0),IF(AND(ISNUMBER(AM26),AM26&gt;(C26+T26)),BA26,0),IF(AND(ISNUMBER(AN26),AN26&gt;(C26+T26)),BB26,0),IF(AND(ISNUMBER(AO26),AO26&gt;(C26+T26)),BC26,0))</f>
        <v/>
      </c>
      <c r="BE26" s="29">
        <f>IF(AT26=1,"transition",IF(MIN(IF(AND(J26=0,ISNUMBER(AP26),AP26&lt;=(C26+T26)),AP26,9E15),IF(AND(K26=0,ISNUMBER(AQ26),AQ26&lt;=(C26+T26)),AQ26,9E15),IF(AND(L26=0,ISNUMBER(AR26),AR26&lt;=(C26+T26)),AR26,9E15),IF(AND(M26=0,ISNUMBER(AS26),AS26&lt;=(C26+T26)),AS26,9E15))&lt;9E15,IF(AND(AND(J26=0,ISNUMBER(AP26),AP26&lt;=(C26+T26)),AP26=MIN(IF(AND(J26=0,ISNUMBER(AP26),AP26&lt;=(C26+T26)),AP26,9E15),IF(AND(K26=0,ISNUMBER(AQ26),AQ26&lt;=(C26+T26)),AQ26,9E15),IF(AND(L26=0,ISNUMBER(AR26),AR26&lt;=(C26+T26)),AR26,9E15),IF(AND(M26=0,ISNUMBER(AS26),AS26&lt;=(C26+T26)),AS26,9E15))),"BiP",IF(AND(AND(K26=0,ISNUMBER(AQ26),AQ26&lt;=(C26+T26)),AQ26=MIN(IF(AND(J26=0,ISNUMBER(AP26),AP26&lt;=(C26+T26)),AP26,9E15),IF(AND(K26=0,ISNUMBER(AQ26),AQ26&lt;=(C26+T26)),AQ26,9E15),IF(AND(L26=0,ISNUMBER(AR26),AR26&lt;=(C26+T26)),AR26,9E15),IF(AND(M26=0,ISNUMBER(AS26),AS26&lt;=(C26+T26)),AS26,9E15))),"PV",IF(AND(AND(L26=0,ISNUMBER(AR26),AR26&lt;=(C26+T26)),AR26=MIN(IF(AND(J26=0,ISNUMBER(AP26),AP26&lt;=(C26+T26)),AP26,9E15),IF(AND(K26=0,ISNUMBER(AQ26),AQ26&lt;=(C26+T26)),AQ26,9E15),IF(AND(L26=0,ISNUMBER(AR26),AR26&lt;=(C26+T26)),AR26,9E15),IF(AND(M26=0,ISNUMBER(AS26),AS26&lt;=(C26+T26)),AS26,9E15))),"OC","MG"))),IF(AX26=TRUE,"",IF(MAX(IF(AND(NOT(AND(AU26=1,AT26&lt;&gt;1)),ISNUMBER(AK26),AK26&lt;=(C26+T26)),AY26,0),IF(AND(NOT(AND(AU26=1,AT26&lt;&gt;1)),ISNUMBER(AL26),AL26&lt;=(C26+T26)),AZ26,0),IF(AND(NOT(AND(AU26=1,AT26&lt;&gt;1)),ISNUMBER(AM26),AM26&lt;=(C26+T26)),BA26,0),IF(AND(NOT(AND(AU26=1,AT26&lt;&gt;1)),ISNUMBER(AN26),AN26&lt;=(C26+T26)),BB26,0),IF(AND(ISNUMBER(AO26),AO26&lt;=(C26+T26)),BC26,0))&lt;=0,"",IF(AND(IF(AND(NOT(AND(AU26=1,AT26&lt;&gt;1)),ISNUMBER(AK26),AK26&lt;=(C26+T26)),AY26,0)&gt;0,IF(AND(NOT(AND(AU26=1,AT26&lt;&gt;1)),ISNUMBER(AK26),AK26&lt;=(C26+T26)),AY26,0)=MAX(IF(AND(NOT(AND(AU26=1,AT26&lt;&gt;1)),ISNUMBER(AK26),AK26&lt;=(C26+T26)),AY26,0),IF(AND(NOT(AND(AU26=1,AT26&lt;&gt;1)),ISNUMBER(AL26),AL26&lt;=(C26+T26)),AZ26,0),IF(AND(NOT(AND(AU26=1,AT26&lt;&gt;1)),ISNUMBER(AM26),AM26&lt;=(C26+T26)),BA26,0),IF(AND(NOT(AND(AU26=1,AT26&lt;&gt;1)),ISNUMBER(AN26),AN26&lt;=(C26+T26)),BB26,0),IF(AND(ISNUMBER(AO26),AO26&lt;=(C26+T26)),BC26,0))),"SK",IF(AND(IF(AND(NOT(AND(AU26=1,AT26&lt;&gt;1)),ISNUMBER(AL26),AL26&lt;=(C26+T26)),AZ26,0)&gt;0,IF(AND(NOT(AND(AU26=1,AT26&lt;&gt;1)),ISNUMBER(AL26),AL26&lt;=(C26+T26)),AZ26,0)=MAX(IF(AND(NOT(AND(AU26=1,AT26&lt;&gt;1)),ISNUMBER(AK26),AK26&lt;=(C26+T26)),AY26,0),IF(AND(NOT(AND(AU26=1,AT26&lt;&gt;1)),ISNUMBER(AL26),AL26&lt;=(C26+T26)),AZ26,0),IF(AND(NOT(AND(AU26=1,AT26&lt;&gt;1)),ISNUMBER(AM26),AM26&lt;=(C26+T26)),BA26,0),IF(AND(NOT(AND(AU26=1,AT26&lt;&gt;1)),ISNUMBER(AN26),AN26&lt;=(C26+T26)),BB26,0),IF(AND(ISNUMBER(AO26),AO26&lt;=(C26+T26)),BC26,0))),"LB",IF(AND(IF(AND(NOT(AND(AU26=1,AT26&lt;&gt;1)),ISNUMBER(AM26),AM26&lt;=(C26+T26)),BA26,0)&gt;0,IF(AND(NOT(AND(AU26=1,AT26&lt;&gt;1)),ISNUMBER(AM26),AM26&lt;=(C26+T26)),BA26,0)=MAX(IF(AND(NOT(AND(AU26=1,AT26&lt;&gt;1)),ISNUMBER(AK26),AK26&lt;=(C26+T26)),AY26,0),IF(AND(NOT(AND(AU26=1,AT26&lt;&gt;1)),ISNUMBER(AL26),AL26&lt;=(C26+T26)),AZ26,0),IF(AND(NOT(AND(AU26=1,AT26&lt;&gt;1)),ISNUMBER(AM26),AM26&lt;=(C26+T26)),BA26,0),IF(AND(NOT(AND(AU26=1,AT26&lt;&gt;1)),ISNUMBER(AN26),AN26&lt;=(C26+T26)),BB26,0),IF(AND(ISNUMBER(AO26),AO26&lt;=(C26+T26)),BC26,0))),"ML",IF(AND(IF(AND(NOT(AND(AU26=1,AT26&lt;&gt;1)),ISNUMBER(AN26),AN26&lt;=(C26+T26)),BB26,0)&gt;0,IF(AND(NOT(AND(AU26=1,AT26&lt;&gt;1)),ISNUMBER(AN26),AN26&lt;=(C26+T26)),BB26,0)=MAX(IF(AND(NOT(AND(AU26=1,AT26&lt;&gt;1)),ISNUMBER(AK26),AK26&lt;=(C26+T26)),AY26,0),IF(AND(NOT(AND(AU26=1,AT26&lt;&gt;1)),ISNUMBER(AL26),AL26&lt;=(C26+T26)),AZ26,0),IF(AND(NOT(AND(AU26=1,AT26&lt;&gt;1)),ISNUMBER(AM26),AM26&lt;=(C26+T26)),BA26,0),IF(AND(NOT(AND(AU26=1,AT26&lt;&gt;1)),ISNUMBER(AN26),AN26&lt;=(C26+T26)),BB26,0),IF(AND(ISNUMBER(AO26),AO26&lt;=(C26+T26)),BC26,0))),"RLO","BD"))))))))</f>
        <v/>
      </c>
    </row>
    <row r="27">
      <c r="A27" s="26" t="n">
        <v>16</v>
      </c>
      <c r="B27" s="27">
        <f>A27*10/60</f>
        <v/>
      </c>
      <c r="C27" s="22">
        <f>X26</f>
        <v/>
      </c>
      <c r="D27" s="27">
        <f>D26+W26</f>
        <v/>
      </c>
      <c r="E27" s="26">
        <f>E26+IF(U26="SK",1,0)</f>
        <v/>
      </c>
      <c r="F27" s="26">
        <f>F26+IF(U26="LB",1,0)</f>
        <v/>
      </c>
      <c r="G27" s="26">
        <f>G26+IF(U26="ML",1,0)</f>
        <v/>
      </c>
      <c r="H27" s="26">
        <f>H26+IF(U26="RLO",1,0)</f>
        <v/>
      </c>
      <c r="I27" s="26">
        <f>I26+IF(U26="BD",1,0)</f>
        <v/>
      </c>
      <c r="J27" s="26">
        <f>MAX(J26,IF(U26="BiP",1,0))</f>
        <v/>
      </c>
      <c r="K27" s="26">
        <f>MAX(K26,IF(U26="PV",1,0))</f>
        <v/>
      </c>
      <c r="L27" s="26">
        <f>MAX(L26,IF(U26="OC",1,0))</f>
        <v/>
      </c>
      <c r="M27" s="26">
        <f>MAX(M26,IF(U26="MG",1,0))</f>
        <v/>
      </c>
      <c r="N27" s="26">
        <f>MAX(N26,IF(U26="transition",1,0))</f>
        <v/>
      </c>
      <c r="O27" s="28">
        <f>(Parameters!$B$9+(IF(E27=0,0,(Upgrades!$J$13+E27*Upgrades!$K$13)*POWER(Upgrades!$L$13,E27)))*(IF(Upgrades!$T$14="Stellar Kinematics",POWER(Upgrades!$U$14,F27),1)*IF(Upgrades!$T$15="Stellar Kinematics",POWER(Upgrades!$U$15,G27),1)*IF(Upgrades!$T$16="Stellar Kinematics",POWER(Upgrades!$U$16,H27),1)*IF(Upgrades!$T$17="Stellar Kinematics",POWER(Upgrades!$U$17,I27),1)*IF(Upgrades!$T$18="Stellar Kinematics",POWER(Upgrades!$U$18,J27),1)*IF(Upgrades!$T$19="Stellar Kinematics",POWER(Upgrades!$U$19,K27),1)*IF(Upgrades!$T$20="Stellar Kinematics",POWER(Upgrades!$U$20,L27),1)*IF(Upgrades!$T$21="Stellar Kinematics",POWER(Upgrades!$U$21,M27),1))+(IF(F27=0,0,(Upgrades!$J$14+F27*Upgrades!$K$14)*POWER(Upgrades!$L$14,F27)))*(IF(Upgrades!$T$13="Local Bubble",POWER(Upgrades!$U$13,E27),1)*IF(Upgrades!$T$15="Local Bubble",POWER(Upgrades!$U$15,G27),1)*IF(Upgrades!$T$16="Local Bubble",POWER(Upgrades!$U$16,H27),1)*IF(Upgrades!$T$17="Local Bubble",POWER(Upgrades!$U$17,I27),1)*IF(Upgrades!$T$18="Local Bubble",POWER(Upgrades!$U$18,J27),1)*IF(Upgrades!$T$19="Local Bubble",POWER(Upgrades!$U$19,K27),1)*IF(Upgrades!$T$20="Local Bubble",POWER(Upgrades!$U$20,L27),1)*IF(Upgrades!$T$21="Local Bubble",POWER(Upgrades!$U$21,M27),1))+(IF(G27=0,0,(Upgrades!$J$15+G27*Upgrades!$K$15)*POWER(Upgrades!$L$15,G27)))*(IF(Upgrades!$T$13="Microlensing",POWER(Upgrades!$U$13,E27),1)*IF(Upgrades!$T$14="Microlensing",POWER(Upgrades!$U$14,F27),1)*IF(Upgrades!$T$16="Microlensing",POWER(Upgrades!$U$16,H27),1)*IF(Upgrades!$T$17="Microlensing",POWER(Upgrades!$U$17,I27),1)*IF(Upgrades!$T$18="Microlensing",POWER(Upgrades!$U$18,J27),1)*IF(Upgrades!$T$19="Microlensing",POWER(Upgrades!$U$19,K27),1)*IF(Upgrades!$T$20="Microlensing",POWER(Upgrades!$U$20,L27),1)*IF(Upgrades!$T$21="Microlensing",POWER(Upgrades!$U$21,M27),1))+(IF(H27=0,0,(Upgrades!$J$16+H27*Upgrades!$K$16)*POWER(Upgrades!$L$16,H27)))*(IF(Upgrades!$T$13="Roche Lobe Overflow",POWER(Upgrades!$U$13,E27),1)*IF(Upgrades!$T$14="Roche Lobe Overflow",POWER(Upgrades!$U$14,F27),1)*IF(Upgrades!$T$15="Roche Lobe Overflow",POWER(Upgrades!$U$15,G27),1)*IF(Upgrades!$T$17="Roche Lobe Overflow",POWER(Upgrades!$U$17,I27),1)*IF(Upgrades!$T$18="Roche Lobe Overflow",POWER(Upgrades!$U$18,J27),1)*IF(Upgrades!$T$19="Roche Lobe Overflow",POWER(Upgrades!$U$19,K27),1)*IF(Upgrades!$T$20="Roche Lobe Overflow",POWER(Upgrades!$U$20,L27),1)*IF(Upgrades!$T$21="Roche Lobe Overflow",POWER(Upgrades!$U$21,M27),1))+(IF(I27=0,0,(Upgrades!$J$17+I27*Upgrades!$K$17)*POWER(Upgrades!$L$17,I27)))*(IF(Upgrades!$T$13="Brown Dwarf",POWER(Upgrades!$U$13,E27),1)*IF(Upgrades!$T$14="Brown Dwarf",POWER(Upgrades!$U$14,F27),1)*IF(Upgrades!$T$15="Brown Dwarf",POWER(Upgrades!$U$15,G27),1)*IF(Upgrades!$T$16="Brown Dwarf",POWER(Upgrades!$U$16,H27),1)*IF(Upgrades!$T$18="Brown Dwarf",POWER(Upgrades!$U$18,J27),1)*IF(Upgrades!$T$19="Brown Dwarf",POWER(Upgrades!$U$19,K27),1)*IF(Upgrades!$T$20="Brown Dwarf",POWER(Upgrades!$U$20,L27),1)*IF(Upgrades!$T$21="Brown Dwarf",POWER(Upgrades!$U$21,M27),1))+(IF(J27=0,0,(Upgrades!$J$18+J27*Upgrades!$K$18)*POWER(Upgrades!$L$18,J27)))*(IF(Upgrades!$T$13="Binary Partner",POWER(Upgrades!$U$13,E27),1)*IF(Upgrades!$T$14="Binary Partner",POWER(Upgrades!$U$14,F27),1)*IF(Upgrades!$T$15="Binary Partner",POWER(Upgrades!$U$15,G27),1)*IF(Upgrades!$T$16="Binary Partner",POWER(Upgrades!$U$16,H27),1)*IF(Upgrades!$T$17="Binary Partner",POWER(Upgrades!$U$17,I27),1)*IF(Upgrades!$T$19="Binary Partner",POWER(Upgrades!$U$19,K27),1)*IF(Upgrades!$T$20="Binary Partner",POWER(Upgrades!$U$20,L27),1)*IF(Upgrades!$T$21="Binary Partner",POWER(Upgrades!$U$21,M27),1))+(IF(K27=0,0,(Upgrades!$J$19+K27*Upgrades!$K$19)*POWER(Upgrades!$L$19,K27)))*(IF(Upgrades!$T$13="Peculiar Velocity",POWER(Upgrades!$U$13,E27),1)*IF(Upgrades!$T$14="Peculiar Velocity",POWER(Upgrades!$U$14,F27),1)*IF(Upgrades!$T$15="Peculiar Velocity",POWER(Upgrades!$U$15,G27),1)*IF(Upgrades!$T$16="Peculiar Velocity",POWER(Upgrades!$U$16,H27),1)*IF(Upgrades!$T$17="Peculiar Velocity",POWER(Upgrades!$U$17,I27),1)*IF(Upgrades!$T$18="Peculiar Velocity",POWER(Upgrades!$U$18,J27),1)*IF(Upgrades!$T$20="Peculiar Velocity",POWER(Upgrades!$U$20,L27),1)*IF(Upgrades!$T$21="Peculiar Velocity",POWER(Upgrades!$U$21,M27),1))+(IF(L27=0,0,(Upgrades!$J$20+L27*Upgrades!$K$20)*POWER(Upgrades!$L$20,L27)))*(IF(Upgrades!$T$13="Open Cluster",POWER(Upgrades!$U$13,E27),1)*IF(Upgrades!$T$14="Open Cluster",POWER(Upgrades!$U$14,F27),1)*IF(Upgrades!$T$15="Open Cluster",POWER(Upgrades!$U$15,G27),1)*IF(Upgrades!$T$16="Open Cluster",POWER(Upgrades!$U$16,H27),1)*IF(Upgrades!$T$17="Open Cluster",POWER(Upgrades!$U$17,I27),1)*IF(Upgrades!$T$18="Open Cluster",POWER(Upgrades!$U$18,J27),1)*IF(Upgrades!$T$19="Open Cluster",POWER(Upgrades!$U$19,K27),1)*IF(Upgrades!$T$21="Open Cluster",POWER(Upgrades!$U$21,M27),1))+(IF(M27=0,0,(Upgrades!$J$21+M27*Upgrades!$K$21)*POWER(Upgrades!$L$21,M27)))*(IF(Upgrades!$T$13="Moving Group",POWER(Upgrades!$U$13,E27),1)*IF(Upgrades!$T$14="Moving Group",POWER(Upgrades!$U$14,F27),1)*IF(Upgrades!$T$15="Moving Group",POWER(Upgrades!$U$15,G27),1)*IF(Upgrades!$T$16="Moving Group",POWER(Upgrades!$U$16,H27),1)*IF(Upgrades!$T$17="Moving Group",POWER(Upgrades!$U$17,I27),1)*IF(Upgrades!$T$18="Moving Group",POWER(Upgrades!$U$18,J27),1)*IF(Upgrades!$T$19="Moving Group",POWER(Upgrades!$U$19,K27),1)*IF(Upgrades!$T$20="Moving Group",POWER(Upgrades!$U$20,L27),1)))*POWER(Upgrades!$Q$13,E27)*POWER(Upgrades!$Q$14,F27)*POWER(Upgrades!$Q$15,G27)*POWER(Upgrades!$Q$16,H27)*POWER(Upgrades!$Q$17,I27)*POWER(Upgrades!$Q$18,J27)*POWER(Upgrades!$Q$19,K27)*POWER(Upgrades!$Q$20,L27)*POWER(Upgrades!$Q$21,M27)*$G$6+$D$6</f>
        <v/>
      </c>
      <c r="P27" s="28">
        <f>((IF(E27=0,0,(Upgrades!$G$13+E27*Upgrades!$H$13)*POWER(Upgrades!$I$13,E27)))*(IF(Upgrades!$T$14="Stellar Kinematics",POWER(Upgrades!$U$14,F27),1)*IF(Upgrades!$T$15="Stellar Kinematics",POWER(Upgrades!$U$15,G27),1)*IF(Upgrades!$T$16="Stellar Kinematics",POWER(Upgrades!$U$16,H27),1)*IF(Upgrades!$T$17="Stellar Kinematics",POWER(Upgrades!$U$17,I27),1)*IF(Upgrades!$T$18="Stellar Kinematics",POWER(Upgrades!$U$18,J27),1)*IF(Upgrades!$T$19="Stellar Kinematics",POWER(Upgrades!$U$19,K27),1)*IF(Upgrades!$T$20="Stellar Kinematics",POWER(Upgrades!$U$20,L27),1)*IF(Upgrades!$T$21="Stellar Kinematics",POWER(Upgrades!$U$21,M27),1))+(IF(F27=0,0,(Upgrades!$G$14+F27*Upgrades!$H$14)*POWER(Upgrades!$I$14,F27)))*(IF(Upgrades!$T$13="Local Bubble",POWER(Upgrades!$U$13,E27),1)*IF(Upgrades!$T$15="Local Bubble",POWER(Upgrades!$U$15,G27),1)*IF(Upgrades!$T$16="Local Bubble",POWER(Upgrades!$U$16,H27),1)*IF(Upgrades!$T$17="Local Bubble",POWER(Upgrades!$U$17,I27),1)*IF(Upgrades!$T$18="Local Bubble",POWER(Upgrades!$U$18,J27),1)*IF(Upgrades!$T$19="Local Bubble",POWER(Upgrades!$U$19,K27),1)*IF(Upgrades!$T$20="Local Bubble",POWER(Upgrades!$U$20,L27),1)*IF(Upgrades!$T$21="Local Bubble",POWER(Upgrades!$U$21,M27),1))+(IF(G27=0,0,(Upgrades!$G$15+G27*Upgrades!$H$15)*POWER(Upgrades!$I$15,G27)))*(IF(Upgrades!$T$13="Microlensing",POWER(Upgrades!$U$13,E27),1)*IF(Upgrades!$T$14="Microlensing",POWER(Upgrades!$U$14,F27),1)*IF(Upgrades!$T$16="Microlensing",POWER(Upgrades!$U$16,H27),1)*IF(Upgrades!$T$17="Microlensing",POWER(Upgrades!$U$17,I27),1)*IF(Upgrades!$T$18="Microlensing",POWER(Upgrades!$U$18,J27),1)*IF(Upgrades!$T$19="Microlensing",POWER(Upgrades!$U$19,K27),1)*IF(Upgrades!$T$20="Microlensing",POWER(Upgrades!$U$20,L27),1)*IF(Upgrades!$T$21="Microlensing",POWER(Upgrades!$U$21,M27),1))+(IF(H27=0,0,(Upgrades!$G$16+H27*Upgrades!$H$16)*POWER(Upgrades!$I$16,H27)))*(IF(Upgrades!$T$13="Roche Lobe Overflow",POWER(Upgrades!$U$13,E27),1)*IF(Upgrades!$T$14="Roche Lobe Overflow",POWER(Upgrades!$U$14,F27),1)*IF(Upgrades!$T$15="Roche Lobe Overflow",POWER(Upgrades!$U$15,G27),1)*IF(Upgrades!$T$17="Roche Lobe Overflow",POWER(Upgrades!$U$17,I27),1)*IF(Upgrades!$T$18="Roche Lobe Overflow",POWER(Upgrades!$U$18,J27),1)*IF(Upgrades!$T$19="Roche Lobe Overflow",POWER(Upgrades!$U$19,K27),1)*IF(Upgrades!$T$20="Roche Lobe Overflow",POWER(Upgrades!$U$20,L27),1)*IF(Upgrades!$T$21="Roche Lobe Overflow",POWER(Upgrades!$U$21,M27),1))+(IF(I27=0,0,(Upgrades!$G$17+I27*Upgrades!$H$17)*POWER(Upgrades!$I$17,I27)))*(IF(Upgrades!$T$13="Brown Dwarf",POWER(Upgrades!$U$13,E27),1)*IF(Upgrades!$T$14="Brown Dwarf",POWER(Upgrades!$U$14,F27),1)*IF(Upgrades!$T$15="Brown Dwarf",POWER(Upgrades!$U$15,G27),1)*IF(Upgrades!$T$16="Brown Dwarf",POWER(Upgrades!$U$16,H27),1)*IF(Upgrades!$T$18="Brown Dwarf",POWER(Upgrades!$U$18,J27),1)*IF(Upgrades!$T$19="Brown Dwarf",POWER(Upgrades!$U$19,K27),1)*IF(Upgrades!$T$20="Brown Dwarf",POWER(Upgrades!$U$20,L27),1)*IF(Upgrades!$T$21="Brown Dwarf",POWER(Upgrades!$U$21,M27),1))+(IF(J27=0,0,(Upgrades!$G$18+J27*Upgrades!$H$18)*POWER(Upgrades!$I$18,J27)))*(IF(Upgrades!$T$13="Binary Partner",POWER(Upgrades!$U$13,E27),1)*IF(Upgrades!$T$14="Binary Partner",POWER(Upgrades!$U$14,F27),1)*IF(Upgrades!$T$15="Binary Partner",POWER(Upgrades!$U$15,G27),1)*IF(Upgrades!$T$16="Binary Partner",POWER(Upgrades!$U$16,H27),1)*IF(Upgrades!$T$17="Binary Partner",POWER(Upgrades!$U$17,I27),1)*IF(Upgrades!$T$19="Binary Partner",POWER(Upgrades!$U$19,K27),1)*IF(Upgrades!$T$20="Binary Partner",POWER(Upgrades!$U$20,L27),1)*IF(Upgrades!$T$21="Binary Partner",POWER(Upgrades!$U$21,M27),1))+(IF(K27=0,0,(Upgrades!$G$19+K27*Upgrades!$H$19)*POWER(Upgrades!$I$19,K27)))*(IF(Upgrades!$T$13="Peculiar Velocity",POWER(Upgrades!$U$13,E27),1)*IF(Upgrades!$T$14="Peculiar Velocity",POWER(Upgrades!$U$14,F27),1)*IF(Upgrades!$T$15="Peculiar Velocity",POWER(Upgrades!$U$15,G27),1)*IF(Upgrades!$T$16="Peculiar Velocity",POWER(Upgrades!$U$16,H27),1)*IF(Upgrades!$T$17="Peculiar Velocity",POWER(Upgrades!$U$17,I27),1)*IF(Upgrades!$T$18="Peculiar Velocity",POWER(Upgrades!$U$18,J27),1)*IF(Upgrades!$T$20="Peculiar Velocity",POWER(Upgrades!$U$20,L27),1)*IF(Upgrades!$T$21="Peculiar Velocity",POWER(Upgrades!$U$21,M27),1))+(IF(L27=0,0,(Upgrades!$G$20+L27*Upgrades!$H$20)*POWER(Upgrades!$I$20,L27)))*(IF(Upgrades!$T$13="Open Cluster",POWER(Upgrades!$U$13,E27),1)*IF(Upgrades!$T$14="Open Cluster",POWER(Upgrades!$U$14,F27),1)*IF(Upgrades!$T$15="Open Cluster",POWER(Upgrades!$U$15,G27),1)*IF(Upgrades!$T$16="Open Cluster",POWER(Upgrades!$U$16,H27),1)*IF(Upgrades!$T$17="Open Cluster",POWER(Upgrades!$U$17,I27),1)*IF(Upgrades!$T$18="Open Cluster",POWER(Upgrades!$U$18,J27),1)*IF(Upgrades!$T$19="Open Cluster",POWER(Upgrades!$U$19,K27),1)*IF(Upgrades!$T$21="Open Cluster",POWER(Upgrades!$U$21,M27),1))+(IF(M27=0,0,(Upgrades!$G$21+M27*Upgrades!$H$21)*POWER(Upgrades!$I$21,M27)))*(IF(Upgrades!$T$13="Moving Group",POWER(Upgrades!$U$13,E27),1)*IF(Upgrades!$T$14="Moving Group",POWER(Upgrades!$U$14,F27),1)*IF(Upgrades!$T$15="Moving Group",POWER(Upgrades!$U$15,G27),1)*IF(Upgrades!$T$16="Moving Group",POWER(Upgrades!$U$16,H27),1)*IF(Upgrades!$T$17="Moving Group",POWER(Upgrades!$U$17,I27),1)*IF(Upgrades!$T$18="Moving Group",POWER(Upgrades!$U$18,J27),1)*IF(Upgrades!$T$19="Moving Group",POWER(Upgrades!$U$19,K27),1)*IF(Upgrades!$T$20="Moving Group",POWER(Upgrades!$U$20,L27),1)))*POWER(Upgrades!$P$13,E27)*POWER(Upgrades!$P$14,F27)*POWER(Upgrades!$P$15,G27)*POWER(Upgrades!$P$16,H27)*POWER(Upgrades!$P$17,I27)*POWER(Upgrades!$P$18,J27)*POWER(Upgrades!$P$19,K27)*POWER(Upgrades!$P$20,L27)*POWER(Upgrades!$P$21,M27)*$F$6+$C$6</f>
        <v/>
      </c>
      <c r="Q27" s="28">
        <f>((IF(E27=0,0,(Upgrades!$M$13+E27*Upgrades!$N$13)*POWER(Upgrades!$O$13,E27)))*(IF(Upgrades!$T$14="Stellar Kinematics",POWER(Upgrades!$U$14,F27),1)*IF(Upgrades!$T$15="Stellar Kinematics",POWER(Upgrades!$U$15,G27),1)*IF(Upgrades!$T$16="Stellar Kinematics",POWER(Upgrades!$U$16,H27),1)*IF(Upgrades!$T$17="Stellar Kinematics",POWER(Upgrades!$U$17,I27),1)*IF(Upgrades!$T$18="Stellar Kinematics",POWER(Upgrades!$U$18,J27),1)*IF(Upgrades!$T$19="Stellar Kinematics",POWER(Upgrades!$U$19,K27),1)*IF(Upgrades!$T$20="Stellar Kinematics",POWER(Upgrades!$U$20,L27),1)*IF(Upgrades!$T$21="Stellar Kinematics",POWER(Upgrades!$U$21,M27),1))+(IF(F27=0,0,(Upgrades!$M$14+F27*Upgrades!$N$14)*POWER(Upgrades!$O$14,F27)))*(IF(Upgrades!$T$13="Local Bubble",POWER(Upgrades!$U$13,E27),1)*IF(Upgrades!$T$15="Local Bubble",POWER(Upgrades!$U$15,G27),1)*IF(Upgrades!$T$16="Local Bubble",POWER(Upgrades!$U$16,H27),1)*IF(Upgrades!$T$17="Local Bubble",POWER(Upgrades!$U$17,I27),1)*IF(Upgrades!$T$18="Local Bubble",POWER(Upgrades!$U$18,J27),1)*IF(Upgrades!$T$19="Local Bubble",POWER(Upgrades!$U$19,K27),1)*IF(Upgrades!$T$20="Local Bubble",POWER(Upgrades!$U$20,L27),1)*IF(Upgrades!$T$21="Local Bubble",POWER(Upgrades!$U$21,M27),1))+(IF(G27=0,0,(Upgrades!$M$15+G27*Upgrades!$N$15)*POWER(Upgrades!$O$15,G27)))*(IF(Upgrades!$T$13="Microlensing",POWER(Upgrades!$U$13,E27),1)*IF(Upgrades!$T$14="Microlensing",POWER(Upgrades!$U$14,F27),1)*IF(Upgrades!$T$16="Microlensing",POWER(Upgrades!$U$16,H27),1)*IF(Upgrades!$T$17="Microlensing",POWER(Upgrades!$U$17,I27),1)*IF(Upgrades!$T$18="Microlensing",POWER(Upgrades!$U$18,J27),1)*IF(Upgrades!$T$19="Microlensing",POWER(Upgrades!$U$19,K27),1)*IF(Upgrades!$T$20="Microlensing",POWER(Upgrades!$U$20,L27),1)*IF(Upgrades!$T$21="Microlensing",POWER(Upgrades!$U$21,M27),1))+(IF(H27=0,0,(Upgrades!$M$16+H27*Upgrades!$N$16)*POWER(Upgrades!$O$16,H27)))*(IF(Upgrades!$T$13="Roche Lobe Overflow",POWER(Upgrades!$U$13,E27),1)*IF(Upgrades!$T$14="Roche Lobe Overflow",POWER(Upgrades!$U$14,F27),1)*IF(Upgrades!$T$15="Roche Lobe Overflow",POWER(Upgrades!$U$15,G27),1)*IF(Upgrades!$T$17="Roche Lobe Overflow",POWER(Upgrades!$U$17,I27),1)*IF(Upgrades!$T$18="Roche Lobe Overflow",POWER(Upgrades!$U$18,J27),1)*IF(Upgrades!$T$19="Roche Lobe Overflow",POWER(Upgrades!$U$19,K27),1)*IF(Upgrades!$T$20="Roche Lobe Overflow",POWER(Upgrades!$U$20,L27),1)*IF(Upgrades!$T$21="Roche Lobe Overflow",POWER(Upgrades!$U$21,M27),1))+(IF(I27=0,0,(Upgrades!$M$17+I27*Upgrades!$N$17)*POWER(Upgrades!$O$17,I27)))*(IF(Upgrades!$T$13="Brown Dwarf",POWER(Upgrades!$U$13,E27),1)*IF(Upgrades!$T$14="Brown Dwarf",POWER(Upgrades!$U$14,F27),1)*IF(Upgrades!$T$15="Brown Dwarf",POWER(Upgrades!$U$15,G27),1)*IF(Upgrades!$T$16="Brown Dwarf",POWER(Upgrades!$U$16,H27),1)*IF(Upgrades!$T$18="Brown Dwarf",POWER(Upgrades!$U$18,J27),1)*IF(Upgrades!$T$19="Brown Dwarf",POWER(Upgrades!$U$19,K27),1)*IF(Upgrades!$T$20="Brown Dwarf",POWER(Upgrades!$U$20,L27),1)*IF(Upgrades!$T$21="Brown Dwarf",POWER(Upgrades!$U$21,M27),1))+(IF(J27=0,0,(Upgrades!$M$18+J27*Upgrades!$N$18)*POWER(Upgrades!$O$18,J27)))*(IF(Upgrades!$T$13="Binary Partner",POWER(Upgrades!$U$13,E27),1)*IF(Upgrades!$T$14="Binary Partner",POWER(Upgrades!$U$14,F27),1)*IF(Upgrades!$T$15="Binary Partner",POWER(Upgrades!$U$15,G27),1)*IF(Upgrades!$T$16="Binary Partner",POWER(Upgrades!$U$16,H27),1)*IF(Upgrades!$T$17="Binary Partner",POWER(Upgrades!$U$17,I27),1)*IF(Upgrades!$T$19="Binary Partner",POWER(Upgrades!$U$19,K27),1)*IF(Upgrades!$T$20="Binary Partner",POWER(Upgrades!$U$20,L27),1)*IF(Upgrades!$T$21="Binary Partner",POWER(Upgrades!$U$21,M27),1))+(IF(K27=0,0,(Upgrades!$M$19+K27*Upgrades!$N$19)*POWER(Upgrades!$O$19,K27)))*(IF(Upgrades!$T$13="Peculiar Velocity",POWER(Upgrades!$U$13,E27),1)*IF(Upgrades!$T$14="Peculiar Velocity",POWER(Upgrades!$U$14,F27),1)*IF(Upgrades!$T$15="Peculiar Velocity",POWER(Upgrades!$U$15,G27),1)*IF(Upgrades!$T$16="Peculiar Velocity",POWER(Upgrades!$U$16,H27),1)*IF(Upgrades!$T$17="Peculiar Velocity",POWER(Upgrades!$U$17,I27),1)*IF(Upgrades!$T$18="Peculiar Velocity",POWER(Upgrades!$U$18,J27),1)*IF(Upgrades!$T$20="Peculiar Velocity",POWER(Upgrades!$U$20,L27),1)*IF(Upgrades!$T$21="Peculiar Velocity",POWER(Upgrades!$U$21,M27),1))+(IF(L27=0,0,(Upgrades!$M$20+L27*Upgrades!$N$20)*POWER(Upgrades!$O$20,L27)))*(IF(Upgrades!$T$13="Open Cluster",POWER(Upgrades!$U$13,E27),1)*IF(Upgrades!$T$14="Open Cluster",POWER(Upgrades!$U$14,F27),1)*IF(Upgrades!$T$15="Open Cluster",POWER(Upgrades!$U$15,G27),1)*IF(Upgrades!$T$16="Open Cluster",POWER(Upgrades!$U$16,H27),1)*IF(Upgrades!$T$17="Open Cluster",POWER(Upgrades!$U$17,I27),1)*IF(Upgrades!$T$18="Open Cluster",POWER(Upgrades!$U$18,J27),1)*IF(Upgrades!$T$19="Open Cluster",POWER(Upgrades!$U$19,K27),1)*IF(Upgrades!$T$21="Open Cluster",POWER(Upgrades!$U$21,M27),1))+(IF(M27=0,0,(Upgrades!$M$21+M27*Upgrades!$N$21)*POWER(Upgrades!$O$21,M27)))*(IF(Upgrades!$T$13="Moving Group",POWER(Upgrades!$U$13,E27),1)*IF(Upgrades!$T$14="Moving Group",POWER(Upgrades!$U$14,F27),1)*IF(Upgrades!$T$15="Moving Group",POWER(Upgrades!$U$15,G27),1)*IF(Upgrades!$T$16="Moving Group",POWER(Upgrades!$U$16,H27),1)*IF(Upgrades!$T$17="Moving Group",POWER(Upgrades!$U$17,I27),1)*IF(Upgrades!$T$18="Moving Group",POWER(Upgrades!$U$18,J27),1)*IF(Upgrades!$T$19="Moving Group",POWER(Upgrades!$U$19,K27),1)*IF(Upgrades!$T$20="Moving Group",POWER(Upgrades!$U$20,L27),1)))*POWER(Upgrades!$R$13,E27)*POWER(Upgrades!$R$14,F27)*POWER(Upgrades!$R$15,G27)*POWER(Upgrades!$R$16,H27)*POWER(Upgrades!$R$17,I27)*POWER(Upgrades!$R$18,J27)*POWER(Upgrades!$R$19,K27)*POWER(Upgrades!$R$20,L27)*POWER(Upgrades!$R$21,M27)*$H$6+$E$6</f>
        <v/>
      </c>
      <c r="R27" s="27">
        <f>IF(N27=1,0,O27*Parameters!$B$10/60*Parameters!$B$11*10)</f>
        <v/>
      </c>
      <c r="S27" s="27">
        <f>IF(N27=1,0,Q27*O27*10)</f>
        <v/>
      </c>
      <c r="T27" s="27">
        <f>IF(N27=1,0,R27+S27+P27*10)</f>
        <v/>
      </c>
      <c r="U27" s="33">
        <f>BE27</f>
        <v/>
      </c>
      <c r="V27" s="22">
        <f>IF(U27="",0,IF(U27="transition",0,IF(U27="SK",AK27,IF(U27="LB",AL27,IF(U27="ML",AM27,IF(U27="RLO",AN27,IF(U27="BD",AO27,IF(U27="BiP",AP27,IF(U27="PV",AQ27,IF(U27="OC",AR27,IF(U27="MG",AS27,0))))))))))</f>
        <v/>
      </c>
      <c r="W27" s="27">
        <f>IF(U27="BiP",Upgrades!$F$18,IF(U27="PV",Upgrades!$F$19,IF(U27="OC",Upgrades!$F$20,IF(U27="MG",Upgrades!$F$21,IF(U27="transition",-Parameters!$B$18*Parameters!$B$19,0)))))</f>
        <v/>
      </c>
      <c r="X27" s="22">
        <f>C27+T27-V27</f>
        <v/>
      </c>
      <c r="Y27" s="30">
        <f>O27*Parameters!$B$10/60*Parameters!$B$11+Q27*O27+P27</f>
        <v/>
      </c>
      <c r="Z27" s="34">
        <f>IF(U27="transition","→ Tier 3 (Galactic Arm)",IF(U27="MG","Moving Group — pocket drifts together",IF(U27="OC","Open Cluster acquired",IF(U27="PV","Peculiar Velocity — passive multiplier active",IF(U27="BiP","Binary Partner — pair bond formed",IF(AND(AU27=1,N27=0,AT27&lt;&gt;1),"Cohesion ready (waiting on completionists)","")))))) </f>
        <v/>
      </c>
      <c r="AA27" s="27">
        <f>(IF(E27=0,0,(Upgrades!$G$13+E27*Upgrades!$H$13)*POWER(Upgrades!$I$13,E27)))*(IF(Upgrades!$T$14="Stellar Kinematics",POWER(Upgrades!$U$14,F27),1)*IF(Upgrades!$T$15="Stellar Kinematics",POWER(Upgrades!$U$15,G27),1)*IF(Upgrades!$T$16="Stellar Kinematics",POWER(Upgrades!$U$16,H27),1)*IF(Upgrades!$T$17="Stellar Kinematics",POWER(Upgrades!$U$17,I27),1)*IF(Upgrades!$T$18="Stellar Kinematics",POWER(Upgrades!$U$18,J27),1)*IF(Upgrades!$T$19="Stellar Kinematics",POWER(Upgrades!$U$19,K27),1)*IF(Upgrades!$T$20="Stellar Kinematics",POWER(Upgrades!$U$20,L27),1)*IF(Upgrades!$T$21="Stellar Kinematics",POWER(Upgrades!$U$21,M27),1))*POWER(Upgrades!$P$13,E27)*POWER(Upgrades!$P$14,F27)*POWER(Upgrades!$P$15,G27)*POWER(Upgrades!$P$16,H27)*POWER(Upgrades!$P$17,I27)*POWER(Upgrades!$P$18,J27)*POWER(Upgrades!$P$19,K27)*POWER(Upgrades!$P$20,L27)*POWER(Upgrades!$P$21,M27)*$F$6*60</f>
        <v/>
      </c>
      <c r="AB27" s="27">
        <f>(IF(F27=0,0,(Upgrades!$G$14+F27*Upgrades!$H$14)*POWER(Upgrades!$I$14,F27)))*(IF(Upgrades!$T$13="Local Bubble",POWER(Upgrades!$U$13,E27),1)*IF(Upgrades!$T$15="Local Bubble",POWER(Upgrades!$U$15,G27),1)*IF(Upgrades!$T$16="Local Bubble",POWER(Upgrades!$U$16,H27),1)*IF(Upgrades!$T$17="Local Bubble",POWER(Upgrades!$U$17,I27),1)*IF(Upgrades!$T$18="Local Bubble",POWER(Upgrades!$U$18,J27),1)*IF(Upgrades!$T$19="Local Bubble",POWER(Upgrades!$U$19,K27),1)*IF(Upgrades!$T$20="Local Bubble",POWER(Upgrades!$U$20,L27),1)*IF(Upgrades!$T$21="Local Bubble",POWER(Upgrades!$U$21,M27),1))*POWER(Upgrades!$P$13,E27)*POWER(Upgrades!$P$14,F27)*POWER(Upgrades!$P$15,G27)*POWER(Upgrades!$P$16,H27)*POWER(Upgrades!$P$17,I27)*POWER(Upgrades!$P$18,J27)*POWER(Upgrades!$P$19,K27)*POWER(Upgrades!$P$20,L27)*POWER(Upgrades!$P$21,M27)*$F$6*60</f>
        <v/>
      </c>
      <c r="AC27" s="27">
        <f>(IF(G27=0,0,(Upgrades!$J$15+G27*Upgrades!$K$15)*POWER(Upgrades!$L$15,G27)))*(IF(Upgrades!$T$13="Microlensing",POWER(Upgrades!$U$13,E27),1)*IF(Upgrades!$T$14="Microlensing",POWER(Upgrades!$U$14,F27),1)*IF(Upgrades!$T$16="Microlensing",POWER(Upgrades!$U$16,H27),1)*IF(Upgrades!$T$17="Microlensing",POWER(Upgrades!$U$17,I27),1)*IF(Upgrades!$T$18="Microlensing",POWER(Upgrades!$U$18,J27),1)*IF(Upgrades!$T$19="Microlensing",POWER(Upgrades!$U$19,K27),1)*IF(Upgrades!$T$20="Microlensing",POWER(Upgrades!$U$20,L27),1)*IF(Upgrades!$T$21="Microlensing",POWER(Upgrades!$U$21,M27),1))*POWER(Upgrades!$Q$13,E27)*POWER(Upgrades!$Q$14,F27)*POWER(Upgrades!$Q$15,G27)*POWER(Upgrades!$Q$16,H27)*POWER(Upgrades!$Q$17,I27)*POWER(Upgrades!$Q$18,J27)*POWER(Upgrades!$Q$19,K27)*POWER(Upgrades!$Q$20,L27)*POWER(Upgrades!$Q$21,M27)*$G$6*(Parameters!$B$10*Parameters!$B$11+Q27*60)</f>
        <v/>
      </c>
      <c r="AD27" s="27">
        <f>(IF(H27=0,0,(Upgrades!$M$16+H27*Upgrades!$N$16)*POWER(Upgrades!$O$16,H27)))*(IF(Upgrades!$T$13="Roche Lobe Overflow",POWER(Upgrades!$U$13,E27),1)*IF(Upgrades!$T$14="Roche Lobe Overflow",POWER(Upgrades!$U$14,F27),1)*IF(Upgrades!$T$15="Roche Lobe Overflow",POWER(Upgrades!$U$15,G27),1)*IF(Upgrades!$T$17="Roche Lobe Overflow",POWER(Upgrades!$U$17,I27),1)*IF(Upgrades!$T$18="Roche Lobe Overflow",POWER(Upgrades!$U$18,J27),1)*IF(Upgrades!$T$19="Roche Lobe Overflow",POWER(Upgrades!$U$19,K27),1)*IF(Upgrades!$T$20="Roche Lobe Overflow",POWER(Upgrades!$U$20,L27),1)*IF(Upgrades!$T$21="Roche Lobe Overflow",POWER(Upgrades!$U$21,M27),1))*POWER(Upgrades!$R$13,E27)*POWER(Upgrades!$R$14,F27)*POWER(Upgrades!$R$15,G27)*POWER(Upgrades!$R$16,H27)*POWER(Upgrades!$R$17,I27)*POWER(Upgrades!$R$18,J27)*POWER(Upgrades!$R$19,K27)*POWER(Upgrades!$R$20,L27)*POWER(Upgrades!$R$21,M27)*$H$6*O27*60</f>
        <v/>
      </c>
      <c r="AE27" s="27">
        <f>(IF(I27=0,0,(Upgrades!$G$17+I27*Upgrades!$H$17)*POWER(Upgrades!$I$17,I27)))*(IF(Upgrades!$T$13="Brown Dwarf",POWER(Upgrades!$U$13,E27),1)*IF(Upgrades!$T$14="Brown Dwarf",POWER(Upgrades!$U$14,F27),1)*IF(Upgrades!$T$15="Brown Dwarf",POWER(Upgrades!$U$15,G27),1)*IF(Upgrades!$T$16="Brown Dwarf",POWER(Upgrades!$U$16,H27),1)*IF(Upgrades!$T$18="Brown Dwarf",POWER(Upgrades!$U$18,J27),1)*IF(Upgrades!$T$19="Brown Dwarf",POWER(Upgrades!$U$19,K27),1)*IF(Upgrades!$T$20="Brown Dwarf",POWER(Upgrades!$U$20,L27),1)*IF(Upgrades!$T$21="Brown Dwarf",POWER(Upgrades!$U$21,M27),1))*POWER(Upgrades!$P$13,E27)*POWER(Upgrades!$P$14,F27)*POWER(Upgrades!$P$15,G27)*POWER(Upgrades!$P$16,H27)*POWER(Upgrades!$P$17,I27)*POWER(Upgrades!$P$18,J27)*POWER(Upgrades!$P$19,K27)*POWER(Upgrades!$P$20,L27)*POWER(Upgrades!$P$21,M27)*$F$6*60</f>
        <v/>
      </c>
      <c r="AF27" s="27" t="n">
        <v>0</v>
      </c>
      <c r="AG27" s="27" t="n">
        <v>0</v>
      </c>
      <c r="AH27" s="27" t="n">
        <v>0</v>
      </c>
      <c r="AI27" s="27">
        <f>(IF(M27=0,0,(Upgrades!$G$21+M27*Upgrades!$H$21)*POWER(Upgrades!$I$21,M27)))*(IF(Upgrades!$T$13="Moving Group",POWER(Upgrades!$U$13,E27),1)*IF(Upgrades!$T$14="Moving Group",POWER(Upgrades!$U$14,F27),1)*IF(Upgrades!$T$15="Moving Group",POWER(Upgrades!$U$15,G27),1)*IF(Upgrades!$T$16="Moving Group",POWER(Upgrades!$U$16,H27),1)*IF(Upgrades!$T$17="Moving Group",POWER(Upgrades!$U$17,I27),1)*IF(Upgrades!$T$18="Moving Group",POWER(Upgrades!$U$18,J27),1)*IF(Upgrades!$T$19="Moving Group",POWER(Upgrades!$U$19,K27),1)*IF(Upgrades!$T$20="Moving Group",POWER(Upgrades!$U$20,L27),1))*POWER(Upgrades!$P$13,E27)*POWER(Upgrades!$P$14,F27)*POWER(Upgrades!$P$15,G27)*POWER(Upgrades!$P$16,H27)*POWER(Upgrades!$P$17,I27)*POWER(Upgrades!$P$18,J27)*POWER(Upgrades!$P$19,K27)*POWER(Upgrades!$P$20,L27)*POWER(Upgrades!$P$21,M27)*$F$6*60</f>
        <v/>
      </c>
      <c r="AJ27" s="27">
        <f>$C$6*60</f>
        <v/>
      </c>
      <c r="AK27" s="22">
        <f>IF(E27&gt;=Upgrades!$E$13,"",Upgrades!$C$13*POWER(Upgrades!$D$13,E27))</f>
        <v/>
      </c>
      <c r="AL27" s="22">
        <f>IF(F27&gt;=Upgrades!$E$14,"",Upgrades!$C$14*POWER(Upgrades!$D$14,F27))</f>
        <v/>
      </c>
      <c r="AM27" s="22">
        <f>IF(G27&gt;=Upgrades!$E$15,"",Upgrades!$C$15*POWER(Upgrades!$D$15,G27))</f>
        <v/>
      </c>
      <c r="AN27" s="22">
        <f>IF(H27&gt;=Upgrades!$E$16,"",Upgrades!$C$16*POWER(Upgrades!$D$16,H27))</f>
        <v/>
      </c>
      <c r="AO27" s="22">
        <f>IF(I27&gt;=Upgrades!$E$17,"",Upgrades!$C$17*POWER(Upgrades!$D$17,I27))</f>
        <v/>
      </c>
      <c r="AP27" s="22">
        <f>IF(J27&gt;=Upgrades!$E$18,"",Upgrades!$C$18*POWER(Upgrades!$D$18,J27))</f>
        <v/>
      </c>
      <c r="AQ27" s="22">
        <f>IF(K27&gt;=Upgrades!$E$19,"",Upgrades!$C$19*POWER(Upgrades!$D$19,K27))</f>
        <v/>
      </c>
      <c r="AR27" s="22">
        <f>IF(L27&gt;=Upgrades!$E$20,"",Upgrades!$C$20*POWER(Upgrades!$D$20,L27))</f>
        <v/>
      </c>
      <c r="AS27" s="22">
        <f>IF(M27&gt;=Upgrades!$E$21,"",Upgrades!$C$21*POWER(Upgrades!$D$21,M27))</f>
        <v/>
      </c>
      <c r="AT27" s="26">
        <f>IF(AND(D27&gt;=Parameters!$B$18*Parameters!$B$19,(I27&gt;=Upgrades!$E$17)*(M27&gt;=Upgrades!$E$21)=1,N27=0),1,"")</f>
        <v/>
      </c>
      <c r="AU27" s="26">
        <f>IF(AND(D27&gt;=Parameters!$B$18*Parameters!$B$19,N27=0),1,"")</f>
        <v/>
      </c>
      <c r="AV27" s="22">
        <f>MIN(IF(ISNUMBER(AP27),AP27,9E15),IF(ISNUMBER(AQ27),AQ27,9E15),IF(ISNUMBER(AR27),AR27,9E15),IF(ISNUMBER(AS27),AS27,9E15))</f>
        <v/>
      </c>
      <c r="AW27" s="22">
        <f>MIN(IF(ISNUMBER(AK27),AK27,9E15),IF(ISNUMBER(AL27),AL27,9E15),IF(ISNUMBER(AM27),AM27,9E15),IF(ISNUMBER(AN27),AN27,9E15),IF(ISNUMBER(AO27),AO27,9E15))</f>
        <v/>
      </c>
      <c r="AX27" s="29">
        <f>IF(BD27&gt;Parameters!$B$21*(MAX(IF(AND(NOT(AND(AU27=1,AT27&lt;&gt;1)),ISNUMBER(AK27),AK27&lt;=(C27+T27)),AY27,0),IF(AND(NOT(AND(AU27=1,AT27&lt;&gt;1)),ISNUMBER(AL27),AL27&lt;=(C27+T27)),AZ27,0),IF(AND(NOT(AND(AU27=1,AT27&lt;&gt;1)),ISNUMBER(AM27),AM27&lt;=(C27+T27)),BA27,0),IF(AND(NOT(AND(AU27=1,AT27&lt;&gt;1)),ISNUMBER(AN27),AN27&lt;=(C27+T27)),BB27,0),IF(AND(ISNUMBER(AO27),AO27&lt;=(C27+T27)),BC27,0))),TRUE,FALSE)</f>
        <v/>
      </c>
      <c r="AY27" s="32">
        <f>IFERROR(Upgrades!$H$13*(POWER(Upgrades!$P$13,E27)*POWER(Upgrades!$P$14,F27)*POWER(Upgrades!$P$15,G27)*POWER(Upgrades!$P$16,H27)*POWER(Upgrades!$P$17,I27)*POWER(Upgrades!$P$18,J27)*POWER(Upgrades!$P$19,K27)*POWER(Upgrades!$P$20,L27)*POWER(Upgrades!$P$21,M27))*(IF(Upgrades!$T$14="Stellar Kinematics",POWER(Upgrades!$U$14,F27),1)*IF(Upgrades!$T$15="Stellar Kinematics",POWER(Upgrades!$U$15,G27),1)*IF(Upgrades!$T$16="Stellar Kinematics",POWER(Upgrades!$U$16,H27),1)*IF(Upgrades!$T$17="Stellar Kinematics",POWER(Upgrades!$U$17,I27),1)*IF(Upgrades!$T$18="Stellar Kinematics",POWER(Upgrades!$U$18,J27),1)*IF(Upgrades!$T$19="Stellar Kinematics",POWER(Upgrades!$U$19,K27),1)*IF(Upgrades!$T$20="Stellar Kinematics",POWER(Upgrades!$U$20,L27),1)*IF(Upgrades!$T$21="Stellar Kinematics",POWER(Upgrades!$U$21,M27),1))*$F$6/AK27,0)</f>
        <v/>
      </c>
      <c r="AZ27" s="32">
        <f>IFERROR(Upgrades!$H$14*(POWER(Upgrades!$P$13,E27)*POWER(Upgrades!$P$14,F27)*POWER(Upgrades!$P$15,G27)*POWER(Upgrades!$P$16,H27)*POWER(Upgrades!$P$17,I27)*POWER(Upgrades!$P$18,J27)*POWER(Upgrades!$P$19,K27)*POWER(Upgrades!$P$20,L27)*POWER(Upgrades!$P$21,M27))*(IF(Upgrades!$T$13="Local Bubble",POWER(Upgrades!$U$13,E27),1)*IF(Upgrades!$T$15="Local Bubble",POWER(Upgrades!$U$15,G27),1)*IF(Upgrades!$T$16="Local Bubble",POWER(Upgrades!$U$16,H27),1)*IF(Upgrades!$T$17="Local Bubble",POWER(Upgrades!$U$17,I27),1)*IF(Upgrades!$T$18="Local Bubble",POWER(Upgrades!$U$18,J27),1)*IF(Upgrades!$T$19="Local Bubble",POWER(Upgrades!$U$19,K27),1)*IF(Upgrades!$T$20="Local Bubble",POWER(Upgrades!$U$20,L27),1)*IF(Upgrades!$T$21="Local Bubble",POWER(Upgrades!$U$21,M27),1))*$F$6/AL27,0)</f>
        <v/>
      </c>
      <c r="BA27" s="32">
        <f>IFERROR(Upgrades!$K$15*(POWER(Upgrades!$Q$13,E27)*POWER(Upgrades!$Q$14,F27)*POWER(Upgrades!$Q$15,G27)*POWER(Upgrades!$Q$16,H27)*POWER(Upgrades!$Q$17,I27)*POWER(Upgrades!$Q$18,J27)*POWER(Upgrades!$Q$19,K27)*POWER(Upgrades!$Q$20,L27)*POWER(Upgrades!$Q$21,M27))*(IF(Upgrades!$T$13="Microlensing",POWER(Upgrades!$U$13,E27),1)*IF(Upgrades!$T$14="Microlensing",POWER(Upgrades!$U$14,F27),1)*IF(Upgrades!$T$16="Microlensing",POWER(Upgrades!$U$16,H27),1)*IF(Upgrades!$T$17="Microlensing",POWER(Upgrades!$U$17,I27),1)*IF(Upgrades!$T$18="Microlensing",POWER(Upgrades!$U$18,J27),1)*IF(Upgrades!$T$19="Microlensing",POWER(Upgrades!$U$19,K27),1)*IF(Upgrades!$T$20="Microlensing",POWER(Upgrades!$U$20,L27),1)*IF(Upgrades!$T$21="Microlensing",POWER(Upgrades!$U$21,M27),1))*$G$6*(Parameters!$B$10/60*Parameters!$B$11+Q27)/AM27,0)</f>
        <v/>
      </c>
      <c r="BB27" s="32">
        <f>IFERROR((Upgrades!$N$16*(POWER(Upgrades!$R$13,E27)*POWER(Upgrades!$R$14,F27)*POWER(Upgrades!$R$15,G27)*POWER(Upgrades!$R$16,H27)*POWER(Upgrades!$R$17,I27)*POWER(Upgrades!$R$18,J27)*POWER(Upgrades!$R$19,K27)*POWER(Upgrades!$R$20,L27)*POWER(Upgrades!$R$21,M27))*(IF(Upgrades!$T$13="Roche Lobe Overflow",POWER(Upgrades!$U$13,E27),1)*IF(Upgrades!$T$14="Roche Lobe Overflow",POWER(Upgrades!$U$14,F27),1)*IF(Upgrades!$T$15="Roche Lobe Overflow",POWER(Upgrades!$U$15,G27),1)*IF(Upgrades!$T$17="Roche Lobe Overflow",POWER(Upgrades!$U$17,I27),1)*IF(Upgrades!$T$18="Roche Lobe Overflow",POWER(Upgrades!$U$18,J27),1)*IF(Upgrades!$T$19="Roche Lobe Overflow",POWER(Upgrades!$U$19,K27),1)*IF(Upgrades!$T$20="Roche Lobe Overflow",POWER(Upgrades!$U$20,L27),1)*IF(Upgrades!$T$21="Roche Lobe Overflow",POWER(Upgrades!$U$21,M27),1))*$H$6*O27+((IF(F27=0,0,(Upgrades!$G$14+F27*Upgrades!$H$14)*POWER(Upgrades!$I$14,F27)))*(IF(Upgrades!$T$13="Local Bubble",POWER(Upgrades!$U$13,E27),1)*IF(Upgrades!$T$15="Local Bubble",POWER(Upgrades!$U$15,G27),1)*IF(Upgrades!$T$16="Local Bubble",POWER(Upgrades!$U$16,H27),1)*IF(Upgrades!$T$17="Local Bubble",POWER(Upgrades!$U$17,I27),1)*IF(Upgrades!$T$18="Local Bubble",POWER(Upgrades!$U$18,J27),1)*IF(Upgrades!$T$19="Local Bubble",POWER(Upgrades!$U$19,K27),1)*IF(Upgrades!$T$20="Local Bubble",POWER(Upgrades!$U$20,L27),1)*IF(Upgrades!$T$21="Local Bubble",POWER(Upgrades!$U$21,M27),1))*POWER(Upgrades!$P$13,E27)*POWER(Upgrades!$P$14,F27)*POWER(Upgrades!$P$15,G27)*POWER(Upgrades!$P$16,H27)*POWER(Upgrades!$P$17,I27)*POWER(Upgrades!$P$18,J27)*POWER(Upgrades!$P$19,K27)*POWER(Upgrades!$P$20,L27)*POWER(Upgrades!$P$21,M27)*$F$6)*0.05)/AN27,0)</f>
        <v/>
      </c>
      <c r="BC27" s="32">
        <f>IFERROR((Upgrades!$H$17*(POWER(Upgrades!$P$13,E27)*POWER(Upgrades!$P$14,F27)*POWER(Upgrades!$P$15,G27)*POWER(Upgrades!$P$16,H27)*POWER(Upgrades!$P$17,I27)*POWER(Upgrades!$P$18,J27)*POWER(Upgrades!$P$19,K27)*POWER(Upgrades!$P$20,L27)*POWER(Upgrades!$P$21,M27))*(IF(Upgrades!$T$13="Brown Dwarf",POWER(Upgrades!$U$13,E27),1)*IF(Upgrades!$T$14="Brown Dwarf",POWER(Upgrades!$U$14,F27),1)*IF(Upgrades!$T$15="Brown Dwarf",POWER(Upgrades!$U$15,G27),1)*IF(Upgrades!$T$16="Brown Dwarf",POWER(Upgrades!$U$16,H27),1)*IF(Upgrades!$T$18="Brown Dwarf",POWER(Upgrades!$U$18,J27),1)*IF(Upgrades!$T$19="Brown Dwarf",POWER(Upgrades!$U$19,K27),1)*IF(Upgrades!$T$20="Brown Dwarf",POWER(Upgrades!$U$20,L27),1)*IF(Upgrades!$T$21="Brown Dwarf",POWER(Upgrades!$U$21,M27),1))*$F$6+(((IF(H27=0,0,(Upgrades!$M$16+H27*Upgrades!$N$16)*POWER(Upgrades!$O$16,H27)))*(IF(Upgrades!$T$13="Roche Lobe Overflow",POWER(Upgrades!$U$13,E27),1)*IF(Upgrades!$T$14="Roche Lobe Overflow",POWER(Upgrades!$U$14,F27),1)*IF(Upgrades!$T$15="Roche Lobe Overflow",POWER(Upgrades!$U$15,G27),1)*IF(Upgrades!$T$17="Roche Lobe Overflow",POWER(Upgrades!$U$17,I27),1)*IF(Upgrades!$T$18="Roche Lobe Overflow",POWER(Upgrades!$U$18,J27),1)*IF(Upgrades!$T$19="Roche Lobe Overflow",POWER(Upgrades!$U$19,K27),1)*IF(Upgrades!$T$20="Roche Lobe Overflow",POWER(Upgrades!$U$20,L27),1)*IF(Upgrades!$T$21="Roche Lobe Overflow",POWER(Upgrades!$U$21,M27),1))*POWER(Upgrades!$R$13,E27)*POWER(Upgrades!$R$14,F27)*POWER(Upgrades!$R$15,G27)*POWER(Upgrades!$R$16,H27)*POWER(Upgrades!$R$17,I27)*POWER(Upgrades!$R$18,J27)*POWER(Upgrades!$R$19,K27)*POWER(Upgrades!$R$20,L27)*POWER(Upgrades!$R$21,M27)*$H$6)*O27)*0.10)/AO27,0)</f>
        <v/>
      </c>
      <c r="BD27" s="32">
        <f>MAX(IF(J27&gt;0,0,IFERROR(0.5*((IF(G27=0,0,(Upgrades!$J$15+G27*Upgrades!$K$15)*POWER(Upgrades!$L$15,G27)))*(IF(Upgrades!$T$13="Microlensing",POWER(Upgrades!$U$13,E27),1)*IF(Upgrades!$T$14="Microlensing",POWER(Upgrades!$U$14,F27),1)*IF(Upgrades!$T$16="Microlensing",POWER(Upgrades!$U$16,H27),1)*IF(Upgrades!$T$17="Microlensing",POWER(Upgrades!$U$17,I27),1)*IF(Upgrades!$T$18="Microlensing",POWER(Upgrades!$U$18,J27),1)*IF(Upgrades!$T$19="Microlensing",POWER(Upgrades!$U$19,K27),1)*IF(Upgrades!$T$20="Microlensing",POWER(Upgrades!$U$20,L27),1)*IF(Upgrades!$T$21="Microlensing",POWER(Upgrades!$U$21,M27),1))*(POWER(Upgrades!$Q$13,E27)*POWER(Upgrades!$Q$14,F27)*POWER(Upgrades!$Q$15,G27)*POWER(Upgrades!$Q$16,H27)*POWER(Upgrades!$Q$17,I27)*POWER(Upgrades!$Q$18,J27)*POWER(Upgrades!$Q$19,K27)*POWER(Upgrades!$Q$20,L27)*POWER(Upgrades!$Q$21,M27))*$G$6*(Parameters!$B$10/60*Parameters!$B$11+Q27))/Upgrades!$C$18,0)),IF(K27&gt;0,0,IFERROR(0.30*P27/Upgrades!$C$19,0)),IF(L27&gt;0,0,IFERROR(0.0001/Upgrades!$C$20,0)),IF(M27&gt;0,0,IFERROR((6.0*(POWER(Upgrades!$P$13,E27)*POWER(Upgrades!$P$14,F27)*POWER(Upgrades!$P$15,G27)*POWER(Upgrades!$P$16,H27)*POWER(Upgrades!$P$17,I27)*POWER(Upgrades!$P$18,J27)*POWER(Upgrades!$P$19,K27)*POWER(Upgrades!$P$20,L27)*POWER(Upgrades!$P$21,M27))*$F$6+0.20*O27*(Parameters!$B$10/60*Parameters!$B$11+Q27))/Upgrades!$C$21,0)),IF(AND(ISNUMBER(AK27),AK27&gt;(C27+T27)),AY27,0),IF(AND(ISNUMBER(AL27),AL27&gt;(C27+T27)),AZ27,0),IF(AND(ISNUMBER(AM27),AM27&gt;(C27+T27)),BA27,0),IF(AND(ISNUMBER(AN27),AN27&gt;(C27+T27)),BB27,0),IF(AND(ISNUMBER(AO27),AO27&gt;(C27+T27)),BC27,0))</f>
        <v/>
      </c>
      <c r="BE27" s="29">
        <f>IF(AT27=1,"transition",IF(MIN(IF(AND(J27=0,ISNUMBER(AP27),AP27&lt;=(C27+T27)),AP27,9E15),IF(AND(K27=0,ISNUMBER(AQ27),AQ27&lt;=(C27+T27)),AQ27,9E15),IF(AND(L27=0,ISNUMBER(AR27),AR27&lt;=(C27+T27)),AR27,9E15),IF(AND(M27=0,ISNUMBER(AS27),AS27&lt;=(C27+T27)),AS27,9E15))&lt;9E15,IF(AND(AND(J27=0,ISNUMBER(AP27),AP27&lt;=(C27+T27)),AP27=MIN(IF(AND(J27=0,ISNUMBER(AP27),AP27&lt;=(C27+T27)),AP27,9E15),IF(AND(K27=0,ISNUMBER(AQ27),AQ27&lt;=(C27+T27)),AQ27,9E15),IF(AND(L27=0,ISNUMBER(AR27),AR27&lt;=(C27+T27)),AR27,9E15),IF(AND(M27=0,ISNUMBER(AS27),AS27&lt;=(C27+T27)),AS27,9E15))),"BiP",IF(AND(AND(K27=0,ISNUMBER(AQ27),AQ27&lt;=(C27+T27)),AQ27=MIN(IF(AND(J27=0,ISNUMBER(AP27),AP27&lt;=(C27+T27)),AP27,9E15),IF(AND(K27=0,ISNUMBER(AQ27),AQ27&lt;=(C27+T27)),AQ27,9E15),IF(AND(L27=0,ISNUMBER(AR27),AR27&lt;=(C27+T27)),AR27,9E15),IF(AND(M27=0,ISNUMBER(AS27),AS27&lt;=(C27+T27)),AS27,9E15))),"PV",IF(AND(AND(L27=0,ISNUMBER(AR27),AR27&lt;=(C27+T27)),AR27=MIN(IF(AND(J27=0,ISNUMBER(AP27),AP27&lt;=(C27+T27)),AP27,9E15),IF(AND(K27=0,ISNUMBER(AQ27),AQ27&lt;=(C27+T27)),AQ27,9E15),IF(AND(L27=0,ISNUMBER(AR27),AR27&lt;=(C27+T27)),AR27,9E15),IF(AND(M27=0,ISNUMBER(AS27),AS27&lt;=(C27+T27)),AS27,9E15))),"OC","MG"))),IF(AX27=TRUE,"",IF(MAX(IF(AND(NOT(AND(AU27=1,AT27&lt;&gt;1)),ISNUMBER(AK27),AK27&lt;=(C27+T27)),AY27,0),IF(AND(NOT(AND(AU27=1,AT27&lt;&gt;1)),ISNUMBER(AL27),AL27&lt;=(C27+T27)),AZ27,0),IF(AND(NOT(AND(AU27=1,AT27&lt;&gt;1)),ISNUMBER(AM27),AM27&lt;=(C27+T27)),BA27,0),IF(AND(NOT(AND(AU27=1,AT27&lt;&gt;1)),ISNUMBER(AN27),AN27&lt;=(C27+T27)),BB27,0),IF(AND(ISNUMBER(AO27),AO27&lt;=(C27+T27)),BC27,0))&lt;=0,"",IF(AND(IF(AND(NOT(AND(AU27=1,AT27&lt;&gt;1)),ISNUMBER(AK27),AK27&lt;=(C27+T27)),AY27,0)&gt;0,IF(AND(NOT(AND(AU27=1,AT27&lt;&gt;1)),ISNUMBER(AK27),AK27&lt;=(C27+T27)),AY27,0)=MAX(IF(AND(NOT(AND(AU27=1,AT27&lt;&gt;1)),ISNUMBER(AK27),AK27&lt;=(C27+T27)),AY27,0),IF(AND(NOT(AND(AU27=1,AT27&lt;&gt;1)),ISNUMBER(AL27),AL27&lt;=(C27+T27)),AZ27,0),IF(AND(NOT(AND(AU27=1,AT27&lt;&gt;1)),ISNUMBER(AM27),AM27&lt;=(C27+T27)),BA27,0),IF(AND(NOT(AND(AU27=1,AT27&lt;&gt;1)),ISNUMBER(AN27),AN27&lt;=(C27+T27)),BB27,0),IF(AND(ISNUMBER(AO27),AO27&lt;=(C27+T27)),BC27,0))),"SK",IF(AND(IF(AND(NOT(AND(AU27=1,AT27&lt;&gt;1)),ISNUMBER(AL27),AL27&lt;=(C27+T27)),AZ27,0)&gt;0,IF(AND(NOT(AND(AU27=1,AT27&lt;&gt;1)),ISNUMBER(AL27),AL27&lt;=(C27+T27)),AZ27,0)=MAX(IF(AND(NOT(AND(AU27=1,AT27&lt;&gt;1)),ISNUMBER(AK27),AK27&lt;=(C27+T27)),AY27,0),IF(AND(NOT(AND(AU27=1,AT27&lt;&gt;1)),ISNUMBER(AL27),AL27&lt;=(C27+T27)),AZ27,0),IF(AND(NOT(AND(AU27=1,AT27&lt;&gt;1)),ISNUMBER(AM27),AM27&lt;=(C27+T27)),BA27,0),IF(AND(NOT(AND(AU27=1,AT27&lt;&gt;1)),ISNUMBER(AN27),AN27&lt;=(C27+T27)),BB27,0),IF(AND(ISNUMBER(AO27),AO27&lt;=(C27+T27)),BC27,0))),"LB",IF(AND(IF(AND(NOT(AND(AU27=1,AT27&lt;&gt;1)),ISNUMBER(AM27),AM27&lt;=(C27+T27)),BA27,0)&gt;0,IF(AND(NOT(AND(AU27=1,AT27&lt;&gt;1)),ISNUMBER(AM27),AM27&lt;=(C27+T27)),BA27,0)=MAX(IF(AND(NOT(AND(AU27=1,AT27&lt;&gt;1)),ISNUMBER(AK27),AK27&lt;=(C27+T27)),AY27,0),IF(AND(NOT(AND(AU27=1,AT27&lt;&gt;1)),ISNUMBER(AL27),AL27&lt;=(C27+T27)),AZ27,0),IF(AND(NOT(AND(AU27=1,AT27&lt;&gt;1)),ISNUMBER(AM27),AM27&lt;=(C27+T27)),BA27,0),IF(AND(NOT(AND(AU27=1,AT27&lt;&gt;1)),ISNUMBER(AN27),AN27&lt;=(C27+T27)),BB27,0),IF(AND(ISNUMBER(AO27),AO27&lt;=(C27+T27)),BC27,0))),"ML",IF(AND(IF(AND(NOT(AND(AU27=1,AT27&lt;&gt;1)),ISNUMBER(AN27),AN27&lt;=(C27+T27)),BB27,0)&gt;0,IF(AND(NOT(AND(AU27=1,AT27&lt;&gt;1)),ISNUMBER(AN27),AN27&lt;=(C27+T27)),BB27,0)=MAX(IF(AND(NOT(AND(AU27=1,AT27&lt;&gt;1)),ISNUMBER(AK27),AK27&lt;=(C27+T27)),AY27,0),IF(AND(NOT(AND(AU27=1,AT27&lt;&gt;1)),ISNUMBER(AL27),AL27&lt;=(C27+T27)),AZ27,0),IF(AND(NOT(AND(AU27=1,AT27&lt;&gt;1)),ISNUMBER(AM27),AM27&lt;=(C27+T27)),BA27,0),IF(AND(NOT(AND(AU27=1,AT27&lt;&gt;1)),ISNUMBER(AN27),AN27&lt;=(C27+T27)),BB27,0),IF(AND(ISNUMBER(AO27),AO27&lt;=(C27+T27)),BC27,0))),"RLO","BD"))))))))</f>
        <v/>
      </c>
    </row>
    <row r="28">
      <c r="A28" s="26" t="n">
        <v>17</v>
      </c>
      <c r="B28" s="27">
        <f>A28*10/60</f>
        <v/>
      </c>
      <c r="C28" s="22">
        <f>X27</f>
        <v/>
      </c>
      <c r="D28" s="27">
        <f>D27+W27</f>
        <v/>
      </c>
      <c r="E28" s="26">
        <f>E27+IF(U27="SK",1,0)</f>
        <v/>
      </c>
      <c r="F28" s="26">
        <f>F27+IF(U27="LB",1,0)</f>
        <v/>
      </c>
      <c r="G28" s="26">
        <f>G27+IF(U27="ML",1,0)</f>
        <v/>
      </c>
      <c r="H28" s="26">
        <f>H27+IF(U27="RLO",1,0)</f>
        <v/>
      </c>
      <c r="I28" s="26">
        <f>I27+IF(U27="BD",1,0)</f>
        <v/>
      </c>
      <c r="J28" s="26">
        <f>MAX(J27,IF(U27="BiP",1,0))</f>
        <v/>
      </c>
      <c r="K28" s="26">
        <f>MAX(K27,IF(U27="PV",1,0))</f>
        <v/>
      </c>
      <c r="L28" s="26">
        <f>MAX(L27,IF(U27="OC",1,0))</f>
        <v/>
      </c>
      <c r="M28" s="26">
        <f>MAX(M27,IF(U27="MG",1,0))</f>
        <v/>
      </c>
      <c r="N28" s="26">
        <f>MAX(N27,IF(U27="transition",1,0))</f>
        <v/>
      </c>
      <c r="O28" s="28">
        <f>(Parameters!$B$9+(IF(E28=0,0,(Upgrades!$J$13+E28*Upgrades!$K$13)*POWER(Upgrades!$L$13,E28)))*(IF(Upgrades!$T$14="Stellar Kinematics",POWER(Upgrades!$U$14,F28),1)*IF(Upgrades!$T$15="Stellar Kinematics",POWER(Upgrades!$U$15,G28),1)*IF(Upgrades!$T$16="Stellar Kinematics",POWER(Upgrades!$U$16,H28),1)*IF(Upgrades!$T$17="Stellar Kinematics",POWER(Upgrades!$U$17,I28),1)*IF(Upgrades!$T$18="Stellar Kinematics",POWER(Upgrades!$U$18,J28),1)*IF(Upgrades!$T$19="Stellar Kinematics",POWER(Upgrades!$U$19,K28),1)*IF(Upgrades!$T$20="Stellar Kinematics",POWER(Upgrades!$U$20,L28),1)*IF(Upgrades!$T$21="Stellar Kinematics",POWER(Upgrades!$U$21,M28),1))+(IF(F28=0,0,(Upgrades!$J$14+F28*Upgrades!$K$14)*POWER(Upgrades!$L$14,F28)))*(IF(Upgrades!$T$13="Local Bubble",POWER(Upgrades!$U$13,E28),1)*IF(Upgrades!$T$15="Local Bubble",POWER(Upgrades!$U$15,G28),1)*IF(Upgrades!$T$16="Local Bubble",POWER(Upgrades!$U$16,H28),1)*IF(Upgrades!$T$17="Local Bubble",POWER(Upgrades!$U$17,I28),1)*IF(Upgrades!$T$18="Local Bubble",POWER(Upgrades!$U$18,J28),1)*IF(Upgrades!$T$19="Local Bubble",POWER(Upgrades!$U$19,K28),1)*IF(Upgrades!$T$20="Local Bubble",POWER(Upgrades!$U$20,L28),1)*IF(Upgrades!$T$21="Local Bubble",POWER(Upgrades!$U$21,M28),1))+(IF(G28=0,0,(Upgrades!$J$15+G28*Upgrades!$K$15)*POWER(Upgrades!$L$15,G28)))*(IF(Upgrades!$T$13="Microlensing",POWER(Upgrades!$U$13,E28),1)*IF(Upgrades!$T$14="Microlensing",POWER(Upgrades!$U$14,F28),1)*IF(Upgrades!$T$16="Microlensing",POWER(Upgrades!$U$16,H28),1)*IF(Upgrades!$T$17="Microlensing",POWER(Upgrades!$U$17,I28),1)*IF(Upgrades!$T$18="Microlensing",POWER(Upgrades!$U$18,J28),1)*IF(Upgrades!$T$19="Microlensing",POWER(Upgrades!$U$19,K28),1)*IF(Upgrades!$T$20="Microlensing",POWER(Upgrades!$U$20,L28),1)*IF(Upgrades!$T$21="Microlensing",POWER(Upgrades!$U$21,M28),1))+(IF(H28=0,0,(Upgrades!$J$16+H28*Upgrades!$K$16)*POWER(Upgrades!$L$16,H28)))*(IF(Upgrades!$T$13="Roche Lobe Overflow",POWER(Upgrades!$U$13,E28),1)*IF(Upgrades!$T$14="Roche Lobe Overflow",POWER(Upgrades!$U$14,F28),1)*IF(Upgrades!$T$15="Roche Lobe Overflow",POWER(Upgrades!$U$15,G28),1)*IF(Upgrades!$T$17="Roche Lobe Overflow",POWER(Upgrades!$U$17,I28),1)*IF(Upgrades!$T$18="Roche Lobe Overflow",POWER(Upgrades!$U$18,J28),1)*IF(Upgrades!$T$19="Roche Lobe Overflow",POWER(Upgrades!$U$19,K28),1)*IF(Upgrades!$T$20="Roche Lobe Overflow",POWER(Upgrades!$U$20,L28),1)*IF(Upgrades!$T$21="Roche Lobe Overflow",POWER(Upgrades!$U$21,M28),1))+(IF(I28=0,0,(Upgrades!$J$17+I28*Upgrades!$K$17)*POWER(Upgrades!$L$17,I28)))*(IF(Upgrades!$T$13="Brown Dwarf",POWER(Upgrades!$U$13,E28),1)*IF(Upgrades!$T$14="Brown Dwarf",POWER(Upgrades!$U$14,F28),1)*IF(Upgrades!$T$15="Brown Dwarf",POWER(Upgrades!$U$15,G28),1)*IF(Upgrades!$T$16="Brown Dwarf",POWER(Upgrades!$U$16,H28),1)*IF(Upgrades!$T$18="Brown Dwarf",POWER(Upgrades!$U$18,J28),1)*IF(Upgrades!$T$19="Brown Dwarf",POWER(Upgrades!$U$19,K28),1)*IF(Upgrades!$T$20="Brown Dwarf",POWER(Upgrades!$U$20,L28),1)*IF(Upgrades!$T$21="Brown Dwarf",POWER(Upgrades!$U$21,M28),1))+(IF(J28=0,0,(Upgrades!$J$18+J28*Upgrades!$K$18)*POWER(Upgrades!$L$18,J28)))*(IF(Upgrades!$T$13="Binary Partner",POWER(Upgrades!$U$13,E28),1)*IF(Upgrades!$T$14="Binary Partner",POWER(Upgrades!$U$14,F28),1)*IF(Upgrades!$T$15="Binary Partner",POWER(Upgrades!$U$15,G28),1)*IF(Upgrades!$T$16="Binary Partner",POWER(Upgrades!$U$16,H28),1)*IF(Upgrades!$T$17="Binary Partner",POWER(Upgrades!$U$17,I28),1)*IF(Upgrades!$T$19="Binary Partner",POWER(Upgrades!$U$19,K28),1)*IF(Upgrades!$T$20="Binary Partner",POWER(Upgrades!$U$20,L28),1)*IF(Upgrades!$T$21="Binary Partner",POWER(Upgrades!$U$21,M28),1))+(IF(K28=0,0,(Upgrades!$J$19+K28*Upgrades!$K$19)*POWER(Upgrades!$L$19,K28)))*(IF(Upgrades!$T$13="Peculiar Velocity",POWER(Upgrades!$U$13,E28),1)*IF(Upgrades!$T$14="Peculiar Velocity",POWER(Upgrades!$U$14,F28),1)*IF(Upgrades!$T$15="Peculiar Velocity",POWER(Upgrades!$U$15,G28),1)*IF(Upgrades!$T$16="Peculiar Velocity",POWER(Upgrades!$U$16,H28),1)*IF(Upgrades!$T$17="Peculiar Velocity",POWER(Upgrades!$U$17,I28),1)*IF(Upgrades!$T$18="Peculiar Velocity",POWER(Upgrades!$U$18,J28),1)*IF(Upgrades!$T$20="Peculiar Velocity",POWER(Upgrades!$U$20,L28),1)*IF(Upgrades!$T$21="Peculiar Velocity",POWER(Upgrades!$U$21,M28),1))+(IF(L28=0,0,(Upgrades!$J$20+L28*Upgrades!$K$20)*POWER(Upgrades!$L$20,L28)))*(IF(Upgrades!$T$13="Open Cluster",POWER(Upgrades!$U$13,E28),1)*IF(Upgrades!$T$14="Open Cluster",POWER(Upgrades!$U$14,F28),1)*IF(Upgrades!$T$15="Open Cluster",POWER(Upgrades!$U$15,G28),1)*IF(Upgrades!$T$16="Open Cluster",POWER(Upgrades!$U$16,H28),1)*IF(Upgrades!$T$17="Open Cluster",POWER(Upgrades!$U$17,I28),1)*IF(Upgrades!$T$18="Open Cluster",POWER(Upgrades!$U$18,J28),1)*IF(Upgrades!$T$19="Open Cluster",POWER(Upgrades!$U$19,K28),1)*IF(Upgrades!$T$21="Open Cluster",POWER(Upgrades!$U$21,M28),1))+(IF(M28=0,0,(Upgrades!$J$21+M28*Upgrades!$K$21)*POWER(Upgrades!$L$21,M28)))*(IF(Upgrades!$T$13="Moving Group",POWER(Upgrades!$U$13,E28),1)*IF(Upgrades!$T$14="Moving Group",POWER(Upgrades!$U$14,F28),1)*IF(Upgrades!$T$15="Moving Group",POWER(Upgrades!$U$15,G28),1)*IF(Upgrades!$T$16="Moving Group",POWER(Upgrades!$U$16,H28),1)*IF(Upgrades!$T$17="Moving Group",POWER(Upgrades!$U$17,I28),1)*IF(Upgrades!$T$18="Moving Group",POWER(Upgrades!$U$18,J28),1)*IF(Upgrades!$T$19="Moving Group",POWER(Upgrades!$U$19,K28),1)*IF(Upgrades!$T$20="Moving Group",POWER(Upgrades!$U$20,L28),1)))*POWER(Upgrades!$Q$13,E28)*POWER(Upgrades!$Q$14,F28)*POWER(Upgrades!$Q$15,G28)*POWER(Upgrades!$Q$16,H28)*POWER(Upgrades!$Q$17,I28)*POWER(Upgrades!$Q$18,J28)*POWER(Upgrades!$Q$19,K28)*POWER(Upgrades!$Q$20,L28)*POWER(Upgrades!$Q$21,M28)*$G$6+$D$6</f>
        <v/>
      </c>
      <c r="P28" s="28">
        <f>((IF(E28=0,0,(Upgrades!$G$13+E28*Upgrades!$H$13)*POWER(Upgrades!$I$13,E28)))*(IF(Upgrades!$T$14="Stellar Kinematics",POWER(Upgrades!$U$14,F28),1)*IF(Upgrades!$T$15="Stellar Kinematics",POWER(Upgrades!$U$15,G28),1)*IF(Upgrades!$T$16="Stellar Kinematics",POWER(Upgrades!$U$16,H28),1)*IF(Upgrades!$T$17="Stellar Kinematics",POWER(Upgrades!$U$17,I28),1)*IF(Upgrades!$T$18="Stellar Kinematics",POWER(Upgrades!$U$18,J28),1)*IF(Upgrades!$T$19="Stellar Kinematics",POWER(Upgrades!$U$19,K28),1)*IF(Upgrades!$T$20="Stellar Kinematics",POWER(Upgrades!$U$20,L28),1)*IF(Upgrades!$T$21="Stellar Kinematics",POWER(Upgrades!$U$21,M28),1))+(IF(F28=0,0,(Upgrades!$G$14+F28*Upgrades!$H$14)*POWER(Upgrades!$I$14,F28)))*(IF(Upgrades!$T$13="Local Bubble",POWER(Upgrades!$U$13,E28),1)*IF(Upgrades!$T$15="Local Bubble",POWER(Upgrades!$U$15,G28),1)*IF(Upgrades!$T$16="Local Bubble",POWER(Upgrades!$U$16,H28),1)*IF(Upgrades!$T$17="Local Bubble",POWER(Upgrades!$U$17,I28),1)*IF(Upgrades!$T$18="Local Bubble",POWER(Upgrades!$U$18,J28),1)*IF(Upgrades!$T$19="Local Bubble",POWER(Upgrades!$U$19,K28),1)*IF(Upgrades!$T$20="Local Bubble",POWER(Upgrades!$U$20,L28),1)*IF(Upgrades!$T$21="Local Bubble",POWER(Upgrades!$U$21,M28),1))+(IF(G28=0,0,(Upgrades!$G$15+G28*Upgrades!$H$15)*POWER(Upgrades!$I$15,G28)))*(IF(Upgrades!$T$13="Microlensing",POWER(Upgrades!$U$13,E28),1)*IF(Upgrades!$T$14="Microlensing",POWER(Upgrades!$U$14,F28),1)*IF(Upgrades!$T$16="Microlensing",POWER(Upgrades!$U$16,H28),1)*IF(Upgrades!$T$17="Microlensing",POWER(Upgrades!$U$17,I28),1)*IF(Upgrades!$T$18="Microlensing",POWER(Upgrades!$U$18,J28),1)*IF(Upgrades!$T$19="Microlensing",POWER(Upgrades!$U$19,K28),1)*IF(Upgrades!$T$20="Microlensing",POWER(Upgrades!$U$20,L28),1)*IF(Upgrades!$T$21="Microlensing",POWER(Upgrades!$U$21,M28),1))+(IF(H28=0,0,(Upgrades!$G$16+H28*Upgrades!$H$16)*POWER(Upgrades!$I$16,H28)))*(IF(Upgrades!$T$13="Roche Lobe Overflow",POWER(Upgrades!$U$13,E28),1)*IF(Upgrades!$T$14="Roche Lobe Overflow",POWER(Upgrades!$U$14,F28),1)*IF(Upgrades!$T$15="Roche Lobe Overflow",POWER(Upgrades!$U$15,G28),1)*IF(Upgrades!$T$17="Roche Lobe Overflow",POWER(Upgrades!$U$17,I28),1)*IF(Upgrades!$T$18="Roche Lobe Overflow",POWER(Upgrades!$U$18,J28),1)*IF(Upgrades!$T$19="Roche Lobe Overflow",POWER(Upgrades!$U$19,K28),1)*IF(Upgrades!$T$20="Roche Lobe Overflow",POWER(Upgrades!$U$20,L28),1)*IF(Upgrades!$T$21="Roche Lobe Overflow",POWER(Upgrades!$U$21,M28),1))+(IF(I28=0,0,(Upgrades!$G$17+I28*Upgrades!$H$17)*POWER(Upgrades!$I$17,I28)))*(IF(Upgrades!$T$13="Brown Dwarf",POWER(Upgrades!$U$13,E28),1)*IF(Upgrades!$T$14="Brown Dwarf",POWER(Upgrades!$U$14,F28),1)*IF(Upgrades!$T$15="Brown Dwarf",POWER(Upgrades!$U$15,G28),1)*IF(Upgrades!$T$16="Brown Dwarf",POWER(Upgrades!$U$16,H28),1)*IF(Upgrades!$T$18="Brown Dwarf",POWER(Upgrades!$U$18,J28),1)*IF(Upgrades!$T$19="Brown Dwarf",POWER(Upgrades!$U$19,K28),1)*IF(Upgrades!$T$20="Brown Dwarf",POWER(Upgrades!$U$20,L28),1)*IF(Upgrades!$T$21="Brown Dwarf",POWER(Upgrades!$U$21,M28),1))+(IF(J28=0,0,(Upgrades!$G$18+J28*Upgrades!$H$18)*POWER(Upgrades!$I$18,J28)))*(IF(Upgrades!$T$13="Binary Partner",POWER(Upgrades!$U$13,E28),1)*IF(Upgrades!$T$14="Binary Partner",POWER(Upgrades!$U$14,F28),1)*IF(Upgrades!$T$15="Binary Partner",POWER(Upgrades!$U$15,G28),1)*IF(Upgrades!$T$16="Binary Partner",POWER(Upgrades!$U$16,H28),1)*IF(Upgrades!$T$17="Binary Partner",POWER(Upgrades!$U$17,I28),1)*IF(Upgrades!$T$19="Binary Partner",POWER(Upgrades!$U$19,K28),1)*IF(Upgrades!$T$20="Binary Partner",POWER(Upgrades!$U$20,L28),1)*IF(Upgrades!$T$21="Binary Partner",POWER(Upgrades!$U$21,M28),1))+(IF(K28=0,0,(Upgrades!$G$19+K28*Upgrades!$H$19)*POWER(Upgrades!$I$19,K28)))*(IF(Upgrades!$T$13="Peculiar Velocity",POWER(Upgrades!$U$13,E28),1)*IF(Upgrades!$T$14="Peculiar Velocity",POWER(Upgrades!$U$14,F28),1)*IF(Upgrades!$T$15="Peculiar Velocity",POWER(Upgrades!$U$15,G28),1)*IF(Upgrades!$T$16="Peculiar Velocity",POWER(Upgrades!$U$16,H28),1)*IF(Upgrades!$T$17="Peculiar Velocity",POWER(Upgrades!$U$17,I28),1)*IF(Upgrades!$T$18="Peculiar Velocity",POWER(Upgrades!$U$18,J28),1)*IF(Upgrades!$T$20="Peculiar Velocity",POWER(Upgrades!$U$20,L28),1)*IF(Upgrades!$T$21="Peculiar Velocity",POWER(Upgrades!$U$21,M28),1))+(IF(L28=0,0,(Upgrades!$G$20+L28*Upgrades!$H$20)*POWER(Upgrades!$I$20,L28)))*(IF(Upgrades!$T$13="Open Cluster",POWER(Upgrades!$U$13,E28),1)*IF(Upgrades!$T$14="Open Cluster",POWER(Upgrades!$U$14,F28),1)*IF(Upgrades!$T$15="Open Cluster",POWER(Upgrades!$U$15,G28),1)*IF(Upgrades!$T$16="Open Cluster",POWER(Upgrades!$U$16,H28),1)*IF(Upgrades!$T$17="Open Cluster",POWER(Upgrades!$U$17,I28),1)*IF(Upgrades!$T$18="Open Cluster",POWER(Upgrades!$U$18,J28),1)*IF(Upgrades!$T$19="Open Cluster",POWER(Upgrades!$U$19,K28),1)*IF(Upgrades!$T$21="Open Cluster",POWER(Upgrades!$U$21,M28),1))+(IF(M28=0,0,(Upgrades!$G$21+M28*Upgrades!$H$21)*POWER(Upgrades!$I$21,M28)))*(IF(Upgrades!$T$13="Moving Group",POWER(Upgrades!$U$13,E28),1)*IF(Upgrades!$T$14="Moving Group",POWER(Upgrades!$U$14,F28),1)*IF(Upgrades!$T$15="Moving Group",POWER(Upgrades!$U$15,G28),1)*IF(Upgrades!$T$16="Moving Group",POWER(Upgrades!$U$16,H28),1)*IF(Upgrades!$T$17="Moving Group",POWER(Upgrades!$U$17,I28),1)*IF(Upgrades!$T$18="Moving Group",POWER(Upgrades!$U$18,J28),1)*IF(Upgrades!$T$19="Moving Group",POWER(Upgrades!$U$19,K28),1)*IF(Upgrades!$T$20="Moving Group",POWER(Upgrades!$U$20,L28),1)))*POWER(Upgrades!$P$13,E28)*POWER(Upgrades!$P$14,F28)*POWER(Upgrades!$P$15,G28)*POWER(Upgrades!$P$16,H28)*POWER(Upgrades!$P$17,I28)*POWER(Upgrades!$P$18,J28)*POWER(Upgrades!$P$19,K28)*POWER(Upgrades!$P$20,L28)*POWER(Upgrades!$P$21,M28)*$F$6+$C$6</f>
        <v/>
      </c>
      <c r="Q28" s="28">
        <f>((IF(E28=0,0,(Upgrades!$M$13+E28*Upgrades!$N$13)*POWER(Upgrades!$O$13,E28)))*(IF(Upgrades!$T$14="Stellar Kinematics",POWER(Upgrades!$U$14,F28),1)*IF(Upgrades!$T$15="Stellar Kinematics",POWER(Upgrades!$U$15,G28),1)*IF(Upgrades!$T$16="Stellar Kinematics",POWER(Upgrades!$U$16,H28),1)*IF(Upgrades!$T$17="Stellar Kinematics",POWER(Upgrades!$U$17,I28),1)*IF(Upgrades!$T$18="Stellar Kinematics",POWER(Upgrades!$U$18,J28),1)*IF(Upgrades!$T$19="Stellar Kinematics",POWER(Upgrades!$U$19,K28),1)*IF(Upgrades!$T$20="Stellar Kinematics",POWER(Upgrades!$U$20,L28),1)*IF(Upgrades!$T$21="Stellar Kinematics",POWER(Upgrades!$U$21,M28),1))+(IF(F28=0,0,(Upgrades!$M$14+F28*Upgrades!$N$14)*POWER(Upgrades!$O$14,F28)))*(IF(Upgrades!$T$13="Local Bubble",POWER(Upgrades!$U$13,E28),1)*IF(Upgrades!$T$15="Local Bubble",POWER(Upgrades!$U$15,G28),1)*IF(Upgrades!$T$16="Local Bubble",POWER(Upgrades!$U$16,H28),1)*IF(Upgrades!$T$17="Local Bubble",POWER(Upgrades!$U$17,I28),1)*IF(Upgrades!$T$18="Local Bubble",POWER(Upgrades!$U$18,J28),1)*IF(Upgrades!$T$19="Local Bubble",POWER(Upgrades!$U$19,K28),1)*IF(Upgrades!$T$20="Local Bubble",POWER(Upgrades!$U$20,L28),1)*IF(Upgrades!$T$21="Local Bubble",POWER(Upgrades!$U$21,M28),1))+(IF(G28=0,0,(Upgrades!$M$15+G28*Upgrades!$N$15)*POWER(Upgrades!$O$15,G28)))*(IF(Upgrades!$T$13="Microlensing",POWER(Upgrades!$U$13,E28),1)*IF(Upgrades!$T$14="Microlensing",POWER(Upgrades!$U$14,F28),1)*IF(Upgrades!$T$16="Microlensing",POWER(Upgrades!$U$16,H28),1)*IF(Upgrades!$T$17="Microlensing",POWER(Upgrades!$U$17,I28),1)*IF(Upgrades!$T$18="Microlensing",POWER(Upgrades!$U$18,J28),1)*IF(Upgrades!$T$19="Microlensing",POWER(Upgrades!$U$19,K28),1)*IF(Upgrades!$T$20="Microlensing",POWER(Upgrades!$U$20,L28),1)*IF(Upgrades!$T$21="Microlensing",POWER(Upgrades!$U$21,M28),1))+(IF(H28=0,0,(Upgrades!$M$16+H28*Upgrades!$N$16)*POWER(Upgrades!$O$16,H28)))*(IF(Upgrades!$T$13="Roche Lobe Overflow",POWER(Upgrades!$U$13,E28),1)*IF(Upgrades!$T$14="Roche Lobe Overflow",POWER(Upgrades!$U$14,F28),1)*IF(Upgrades!$T$15="Roche Lobe Overflow",POWER(Upgrades!$U$15,G28),1)*IF(Upgrades!$T$17="Roche Lobe Overflow",POWER(Upgrades!$U$17,I28),1)*IF(Upgrades!$T$18="Roche Lobe Overflow",POWER(Upgrades!$U$18,J28),1)*IF(Upgrades!$T$19="Roche Lobe Overflow",POWER(Upgrades!$U$19,K28),1)*IF(Upgrades!$T$20="Roche Lobe Overflow",POWER(Upgrades!$U$20,L28),1)*IF(Upgrades!$T$21="Roche Lobe Overflow",POWER(Upgrades!$U$21,M28),1))+(IF(I28=0,0,(Upgrades!$M$17+I28*Upgrades!$N$17)*POWER(Upgrades!$O$17,I28)))*(IF(Upgrades!$T$13="Brown Dwarf",POWER(Upgrades!$U$13,E28),1)*IF(Upgrades!$T$14="Brown Dwarf",POWER(Upgrades!$U$14,F28),1)*IF(Upgrades!$T$15="Brown Dwarf",POWER(Upgrades!$U$15,G28),1)*IF(Upgrades!$T$16="Brown Dwarf",POWER(Upgrades!$U$16,H28),1)*IF(Upgrades!$T$18="Brown Dwarf",POWER(Upgrades!$U$18,J28),1)*IF(Upgrades!$T$19="Brown Dwarf",POWER(Upgrades!$U$19,K28),1)*IF(Upgrades!$T$20="Brown Dwarf",POWER(Upgrades!$U$20,L28),1)*IF(Upgrades!$T$21="Brown Dwarf",POWER(Upgrades!$U$21,M28),1))+(IF(J28=0,0,(Upgrades!$M$18+J28*Upgrades!$N$18)*POWER(Upgrades!$O$18,J28)))*(IF(Upgrades!$T$13="Binary Partner",POWER(Upgrades!$U$13,E28),1)*IF(Upgrades!$T$14="Binary Partner",POWER(Upgrades!$U$14,F28),1)*IF(Upgrades!$T$15="Binary Partner",POWER(Upgrades!$U$15,G28),1)*IF(Upgrades!$T$16="Binary Partner",POWER(Upgrades!$U$16,H28),1)*IF(Upgrades!$T$17="Binary Partner",POWER(Upgrades!$U$17,I28),1)*IF(Upgrades!$T$19="Binary Partner",POWER(Upgrades!$U$19,K28),1)*IF(Upgrades!$T$20="Binary Partner",POWER(Upgrades!$U$20,L28),1)*IF(Upgrades!$T$21="Binary Partner",POWER(Upgrades!$U$21,M28),1))+(IF(K28=0,0,(Upgrades!$M$19+K28*Upgrades!$N$19)*POWER(Upgrades!$O$19,K28)))*(IF(Upgrades!$T$13="Peculiar Velocity",POWER(Upgrades!$U$13,E28),1)*IF(Upgrades!$T$14="Peculiar Velocity",POWER(Upgrades!$U$14,F28),1)*IF(Upgrades!$T$15="Peculiar Velocity",POWER(Upgrades!$U$15,G28),1)*IF(Upgrades!$T$16="Peculiar Velocity",POWER(Upgrades!$U$16,H28),1)*IF(Upgrades!$T$17="Peculiar Velocity",POWER(Upgrades!$U$17,I28),1)*IF(Upgrades!$T$18="Peculiar Velocity",POWER(Upgrades!$U$18,J28),1)*IF(Upgrades!$T$20="Peculiar Velocity",POWER(Upgrades!$U$20,L28),1)*IF(Upgrades!$T$21="Peculiar Velocity",POWER(Upgrades!$U$21,M28),1))+(IF(L28=0,0,(Upgrades!$M$20+L28*Upgrades!$N$20)*POWER(Upgrades!$O$20,L28)))*(IF(Upgrades!$T$13="Open Cluster",POWER(Upgrades!$U$13,E28),1)*IF(Upgrades!$T$14="Open Cluster",POWER(Upgrades!$U$14,F28),1)*IF(Upgrades!$T$15="Open Cluster",POWER(Upgrades!$U$15,G28),1)*IF(Upgrades!$T$16="Open Cluster",POWER(Upgrades!$U$16,H28),1)*IF(Upgrades!$T$17="Open Cluster",POWER(Upgrades!$U$17,I28),1)*IF(Upgrades!$T$18="Open Cluster",POWER(Upgrades!$U$18,J28),1)*IF(Upgrades!$T$19="Open Cluster",POWER(Upgrades!$U$19,K28),1)*IF(Upgrades!$T$21="Open Cluster",POWER(Upgrades!$U$21,M28),1))+(IF(M28=0,0,(Upgrades!$M$21+M28*Upgrades!$N$21)*POWER(Upgrades!$O$21,M28)))*(IF(Upgrades!$T$13="Moving Group",POWER(Upgrades!$U$13,E28),1)*IF(Upgrades!$T$14="Moving Group",POWER(Upgrades!$U$14,F28),1)*IF(Upgrades!$T$15="Moving Group",POWER(Upgrades!$U$15,G28),1)*IF(Upgrades!$T$16="Moving Group",POWER(Upgrades!$U$16,H28),1)*IF(Upgrades!$T$17="Moving Group",POWER(Upgrades!$U$17,I28),1)*IF(Upgrades!$T$18="Moving Group",POWER(Upgrades!$U$18,J28),1)*IF(Upgrades!$T$19="Moving Group",POWER(Upgrades!$U$19,K28),1)*IF(Upgrades!$T$20="Moving Group",POWER(Upgrades!$U$20,L28),1)))*POWER(Upgrades!$R$13,E28)*POWER(Upgrades!$R$14,F28)*POWER(Upgrades!$R$15,G28)*POWER(Upgrades!$R$16,H28)*POWER(Upgrades!$R$17,I28)*POWER(Upgrades!$R$18,J28)*POWER(Upgrades!$R$19,K28)*POWER(Upgrades!$R$20,L28)*POWER(Upgrades!$R$21,M28)*$H$6+$E$6</f>
        <v/>
      </c>
      <c r="R28" s="27">
        <f>IF(N28=1,0,O28*Parameters!$B$10/60*Parameters!$B$11*10)</f>
        <v/>
      </c>
      <c r="S28" s="27">
        <f>IF(N28=1,0,Q28*O28*10)</f>
        <v/>
      </c>
      <c r="T28" s="27">
        <f>IF(N28=1,0,R28+S28+P28*10)</f>
        <v/>
      </c>
      <c r="U28" s="33">
        <f>BE28</f>
        <v/>
      </c>
      <c r="V28" s="22">
        <f>IF(U28="",0,IF(U28="transition",0,IF(U28="SK",AK28,IF(U28="LB",AL28,IF(U28="ML",AM28,IF(U28="RLO",AN28,IF(U28="BD",AO28,IF(U28="BiP",AP28,IF(U28="PV",AQ28,IF(U28="OC",AR28,IF(U28="MG",AS28,0))))))))))</f>
        <v/>
      </c>
      <c r="W28" s="27">
        <f>IF(U28="BiP",Upgrades!$F$18,IF(U28="PV",Upgrades!$F$19,IF(U28="OC",Upgrades!$F$20,IF(U28="MG",Upgrades!$F$21,IF(U28="transition",-Parameters!$B$18*Parameters!$B$19,0)))))</f>
        <v/>
      </c>
      <c r="X28" s="22">
        <f>C28+T28-V28</f>
        <v/>
      </c>
      <c r="Y28" s="30">
        <f>O28*Parameters!$B$10/60*Parameters!$B$11+Q28*O28+P28</f>
        <v/>
      </c>
      <c r="Z28" s="34">
        <f>IF(U28="transition","→ Tier 3 (Galactic Arm)",IF(U28="MG","Moving Group — pocket drifts together",IF(U28="OC","Open Cluster acquired",IF(U28="PV","Peculiar Velocity — passive multiplier active",IF(U28="BiP","Binary Partner — pair bond formed",IF(AND(AU28=1,N28=0,AT28&lt;&gt;1),"Cohesion ready (waiting on completionists)","")))))) </f>
        <v/>
      </c>
      <c r="AA28" s="27">
        <f>(IF(E28=0,0,(Upgrades!$G$13+E28*Upgrades!$H$13)*POWER(Upgrades!$I$13,E28)))*(IF(Upgrades!$T$14="Stellar Kinematics",POWER(Upgrades!$U$14,F28),1)*IF(Upgrades!$T$15="Stellar Kinematics",POWER(Upgrades!$U$15,G28),1)*IF(Upgrades!$T$16="Stellar Kinematics",POWER(Upgrades!$U$16,H28),1)*IF(Upgrades!$T$17="Stellar Kinematics",POWER(Upgrades!$U$17,I28),1)*IF(Upgrades!$T$18="Stellar Kinematics",POWER(Upgrades!$U$18,J28),1)*IF(Upgrades!$T$19="Stellar Kinematics",POWER(Upgrades!$U$19,K28),1)*IF(Upgrades!$T$20="Stellar Kinematics",POWER(Upgrades!$U$20,L28),1)*IF(Upgrades!$T$21="Stellar Kinematics",POWER(Upgrades!$U$21,M28),1))*POWER(Upgrades!$P$13,E28)*POWER(Upgrades!$P$14,F28)*POWER(Upgrades!$P$15,G28)*POWER(Upgrades!$P$16,H28)*POWER(Upgrades!$P$17,I28)*POWER(Upgrades!$P$18,J28)*POWER(Upgrades!$P$19,K28)*POWER(Upgrades!$P$20,L28)*POWER(Upgrades!$P$21,M28)*$F$6*60</f>
        <v/>
      </c>
      <c r="AB28" s="27">
        <f>(IF(F28=0,0,(Upgrades!$G$14+F28*Upgrades!$H$14)*POWER(Upgrades!$I$14,F28)))*(IF(Upgrades!$T$13="Local Bubble",POWER(Upgrades!$U$13,E28),1)*IF(Upgrades!$T$15="Local Bubble",POWER(Upgrades!$U$15,G28),1)*IF(Upgrades!$T$16="Local Bubble",POWER(Upgrades!$U$16,H28),1)*IF(Upgrades!$T$17="Local Bubble",POWER(Upgrades!$U$17,I28),1)*IF(Upgrades!$T$18="Local Bubble",POWER(Upgrades!$U$18,J28),1)*IF(Upgrades!$T$19="Local Bubble",POWER(Upgrades!$U$19,K28),1)*IF(Upgrades!$T$20="Local Bubble",POWER(Upgrades!$U$20,L28),1)*IF(Upgrades!$T$21="Local Bubble",POWER(Upgrades!$U$21,M28),1))*POWER(Upgrades!$P$13,E28)*POWER(Upgrades!$P$14,F28)*POWER(Upgrades!$P$15,G28)*POWER(Upgrades!$P$16,H28)*POWER(Upgrades!$P$17,I28)*POWER(Upgrades!$P$18,J28)*POWER(Upgrades!$P$19,K28)*POWER(Upgrades!$P$20,L28)*POWER(Upgrades!$P$21,M28)*$F$6*60</f>
        <v/>
      </c>
      <c r="AC28" s="27">
        <f>(IF(G28=0,0,(Upgrades!$J$15+G28*Upgrades!$K$15)*POWER(Upgrades!$L$15,G28)))*(IF(Upgrades!$T$13="Microlensing",POWER(Upgrades!$U$13,E28),1)*IF(Upgrades!$T$14="Microlensing",POWER(Upgrades!$U$14,F28),1)*IF(Upgrades!$T$16="Microlensing",POWER(Upgrades!$U$16,H28),1)*IF(Upgrades!$T$17="Microlensing",POWER(Upgrades!$U$17,I28),1)*IF(Upgrades!$T$18="Microlensing",POWER(Upgrades!$U$18,J28),1)*IF(Upgrades!$T$19="Microlensing",POWER(Upgrades!$U$19,K28),1)*IF(Upgrades!$T$20="Microlensing",POWER(Upgrades!$U$20,L28),1)*IF(Upgrades!$T$21="Microlensing",POWER(Upgrades!$U$21,M28),1))*POWER(Upgrades!$Q$13,E28)*POWER(Upgrades!$Q$14,F28)*POWER(Upgrades!$Q$15,G28)*POWER(Upgrades!$Q$16,H28)*POWER(Upgrades!$Q$17,I28)*POWER(Upgrades!$Q$18,J28)*POWER(Upgrades!$Q$19,K28)*POWER(Upgrades!$Q$20,L28)*POWER(Upgrades!$Q$21,M28)*$G$6*(Parameters!$B$10*Parameters!$B$11+Q28*60)</f>
        <v/>
      </c>
      <c r="AD28" s="27">
        <f>(IF(H28=0,0,(Upgrades!$M$16+H28*Upgrades!$N$16)*POWER(Upgrades!$O$16,H28)))*(IF(Upgrades!$T$13="Roche Lobe Overflow",POWER(Upgrades!$U$13,E28),1)*IF(Upgrades!$T$14="Roche Lobe Overflow",POWER(Upgrades!$U$14,F28),1)*IF(Upgrades!$T$15="Roche Lobe Overflow",POWER(Upgrades!$U$15,G28),1)*IF(Upgrades!$T$17="Roche Lobe Overflow",POWER(Upgrades!$U$17,I28),1)*IF(Upgrades!$T$18="Roche Lobe Overflow",POWER(Upgrades!$U$18,J28),1)*IF(Upgrades!$T$19="Roche Lobe Overflow",POWER(Upgrades!$U$19,K28),1)*IF(Upgrades!$T$20="Roche Lobe Overflow",POWER(Upgrades!$U$20,L28),1)*IF(Upgrades!$T$21="Roche Lobe Overflow",POWER(Upgrades!$U$21,M28),1))*POWER(Upgrades!$R$13,E28)*POWER(Upgrades!$R$14,F28)*POWER(Upgrades!$R$15,G28)*POWER(Upgrades!$R$16,H28)*POWER(Upgrades!$R$17,I28)*POWER(Upgrades!$R$18,J28)*POWER(Upgrades!$R$19,K28)*POWER(Upgrades!$R$20,L28)*POWER(Upgrades!$R$21,M28)*$H$6*O28*60</f>
        <v/>
      </c>
      <c r="AE28" s="27">
        <f>(IF(I28=0,0,(Upgrades!$G$17+I28*Upgrades!$H$17)*POWER(Upgrades!$I$17,I28)))*(IF(Upgrades!$T$13="Brown Dwarf",POWER(Upgrades!$U$13,E28),1)*IF(Upgrades!$T$14="Brown Dwarf",POWER(Upgrades!$U$14,F28),1)*IF(Upgrades!$T$15="Brown Dwarf",POWER(Upgrades!$U$15,G28),1)*IF(Upgrades!$T$16="Brown Dwarf",POWER(Upgrades!$U$16,H28),1)*IF(Upgrades!$T$18="Brown Dwarf",POWER(Upgrades!$U$18,J28),1)*IF(Upgrades!$T$19="Brown Dwarf",POWER(Upgrades!$U$19,K28),1)*IF(Upgrades!$T$20="Brown Dwarf",POWER(Upgrades!$U$20,L28),1)*IF(Upgrades!$T$21="Brown Dwarf",POWER(Upgrades!$U$21,M28),1))*POWER(Upgrades!$P$13,E28)*POWER(Upgrades!$P$14,F28)*POWER(Upgrades!$P$15,G28)*POWER(Upgrades!$P$16,H28)*POWER(Upgrades!$P$17,I28)*POWER(Upgrades!$P$18,J28)*POWER(Upgrades!$P$19,K28)*POWER(Upgrades!$P$20,L28)*POWER(Upgrades!$P$21,M28)*$F$6*60</f>
        <v/>
      </c>
      <c r="AF28" s="27" t="n">
        <v>0</v>
      </c>
      <c r="AG28" s="27" t="n">
        <v>0</v>
      </c>
      <c r="AH28" s="27" t="n">
        <v>0</v>
      </c>
      <c r="AI28" s="27">
        <f>(IF(M28=0,0,(Upgrades!$G$21+M28*Upgrades!$H$21)*POWER(Upgrades!$I$21,M28)))*(IF(Upgrades!$T$13="Moving Group",POWER(Upgrades!$U$13,E28),1)*IF(Upgrades!$T$14="Moving Group",POWER(Upgrades!$U$14,F28),1)*IF(Upgrades!$T$15="Moving Group",POWER(Upgrades!$U$15,G28),1)*IF(Upgrades!$T$16="Moving Group",POWER(Upgrades!$U$16,H28),1)*IF(Upgrades!$T$17="Moving Group",POWER(Upgrades!$U$17,I28),1)*IF(Upgrades!$T$18="Moving Group",POWER(Upgrades!$U$18,J28),1)*IF(Upgrades!$T$19="Moving Group",POWER(Upgrades!$U$19,K28),1)*IF(Upgrades!$T$20="Moving Group",POWER(Upgrades!$U$20,L28),1))*POWER(Upgrades!$P$13,E28)*POWER(Upgrades!$P$14,F28)*POWER(Upgrades!$P$15,G28)*POWER(Upgrades!$P$16,H28)*POWER(Upgrades!$P$17,I28)*POWER(Upgrades!$P$18,J28)*POWER(Upgrades!$P$19,K28)*POWER(Upgrades!$P$20,L28)*POWER(Upgrades!$P$21,M28)*$F$6*60</f>
        <v/>
      </c>
      <c r="AJ28" s="27">
        <f>$C$6*60</f>
        <v/>
      </c>
      <c r="AK28" s="22">
        <f>IF(E28&gt;=Upgrades!$E$13,"",Upgrades!$C$13*POWER(Upgrades!$D$13,E28))</f>
        <v/>
      </c>
      <c r="AL28" s="22">
        <f>IF(F28&gt;=Upgrades!$E$14,"",Upgrades!$C$14*POWER(Upgrades!$D$14,F28))</f>
        <v/>
      </c>
      <c r="AM28" s="22">
        <f>IF(G28&gt;=Upgrades!$E$15,"",Upgrades!$C$15*POWER(Upgrades!$D$15,G28))</f>
        <v/>
      </c>
      <c r="AN28" s="22">
        <f>IF(H28&gt;=Upgrades!$E$16,"",Upgrades!$C$16*POWER(Upgrades!$D$16,H28))</f>
        <v/>
      </c>
      <c r="AO28" s="22">
        <f>IF(I28&gt;=Upgrades!$E$17,"",Upgrades!$C$17*POWER(Upgrades!$D$17,I28))</f>
        <v/>
      </c>
      <c r="AP28" s="22">
        <f>IF(J28&gt;=Upgrades!$E$18,"",Upgrades!$C$18*POWER(Upgrades!$D$18,J28))</f>
        <v/>
      </c>
      <c r="AQ28" s="22">
        <f>IF(K28&gt;=Upgrades!$E$19,"",Upgrades!$C$19*POWER(Upgrades!$D$19,K28))</f>
        <v/>
      </c>
      <c r="AR28" s="22">
        <f>IF(L28&gt;=Upgrades!$E$20,"",Upgrades!$C$20*POWER(Upgrades!$D$20,L28))</f>
        <v/>
      </c>
      <c r="AS28" s="22">
        <f>IF(M28&gt;=Upgrades!$E$21,"",Upgrades!$C$21*POWER(Upgrades!$D$21,M28))</f>
        <v/>
      </c>
      <c r="AT28" s="26">
        <f>IF(AND(D28&gt;=Parameters!$B$18*Parameters!$B$19,(I28&gt;=Upgrades!$E$17)*(M28&gt;=Upgrades!$E$21)=1,N28=0),1,"")</f>
        <v/>
      </c>
      <c r="AU28" s="26">
        <f>IF(AND(D28&gt;=Parameters!$B$18*Parameters!$B$19,N28=0),1,"")</f>
        <v/>
      </c>
      <c r="AV28" s="22">
        <f>MIN(IF(ISNUMBER(AP28),AP28,9E15),IF(ISNUMBER(AQ28),AQ28,9E15),IF(ISNUMBER(AR28),AR28,9E15),IF(ISNUMBER(AS28),AS28,9E15))</f>
        <v/>
      </c>
      <c r="AW28" s="22">
        <f>MIN(IF(ISNUMBER(AK28),AK28,9E15),IF(ISNUMBER(AL28),AL28,9E15),IF(ISNUMBER(AM28),AM28,9E15),IF(ISNUMBER(AN28),AN28,9E15),IF(ISNUMBER(AO28),AO28,9E15))</f>
        <v/>
      </c>
      <c r="AX28" s="29">
        <f>IF(BD28&gt;Parameters!$B$21*(MAX(IF(AND(NOT(AND(AU28=1,AT28&lt;&gt;1)),ISNUMBER(AK28),AK28&lt;=(C28+T28)),AY28,0),IF(AND(NOT(AND(AU28=1,AT28&lt;&gt;1)),ISNUMBER(AL28),AL28&lt;=(C28+T28)),AZ28,0),IF(AND(NOT(AND(AU28=1,AT28&lt;&gt;1)),ISNUMBER(AM28),AM28&lt;=(C28+T28)),BA28,0),IF(AND(NOT(AND(AU28=1,AT28&lt;&gt;1)),ISNUMBER(AN28),AN28&lt;=(C28+T28)),BB28,0),IF(AND(ISNUMBER(AO28),AO28&lt;=(C28+T28)),BC28,0))),TRUE,FALSE)</f>
        <v/>
      </c>
      <c r="AY28" s="32">
        <f>IFERROR(Upgrades!$H$13*(POWER(Upgrades!$P$13,E28)*POWER(Upgrades!$P$14,F28)*POWER(Upgrades!$P$15,G28)*POWER(Upgrades!$P$16,H28)*POWER(Upgrades!$P$17,I28)*POWER(Upgrades!$P$18,J28)*POWER(Upgrades!$P$19,K28)*POWER(Upgrades!$P$20,L28)*POWER(Upgrades!$P$21,M28))*(IF(Upgrades!$T$14="Stellar Kinematics",POWER(Upgrades!$U$14,F28),1)*IF(Upgrades!$T$15="Stellar Kinematics",POWER(Upgrades!$U$15,G28),1)*IF(Upgrades!$T$16="Stellar Kinematics",POWER(Upgrades!$U$16,H28),1)*IF(Upgrades!$T$17="Stellar Kinematics",POWER(Upgrades!$U$17,I28),1)*IF(Upgrades!$T$18="Stellar Kinematics",POWER(Upgrades!$U$18,J28),1)*IF(Upgrades!$T$19="Stellar Kinematics",POWER(Upgrades!$U$19,K28),1)*IF(Upgrades!$T$20="Stellar Kinematics",POWER(Upgrades!$U$20,L28),1)*IF(Upgrades!$T$21="Stellar Kinematics",POWER(Upgrades!$U$21,M28),1))*$F$6/AK28,0)</f>
        <v/>
      </c>
      <c r="AZ28" s="32">
        <f>IFERROR(Upgrades!$H$14*(POWER(Upgrades!$P$13,E28)*POWER(Upgrades!$P$14,F28)*POWER(Upgrades!$P$15,G28)*POWER(Upgrades!$P$16,H28)*POWER(Upgrades!$P$17,I28)*POWER(Upgrades!$P$18,J28)*POWER(Upgrades!$P$19,K28)*POWER(Upgrades!$P$20,L28)*POWER(Upgrades!$P$21,M28))*(IF(Upgrades!$T$13="Local Bubble",POWER(Upgrades!$U$13,E28),1)*IF(Upgrades!$T$15="Local Bubble",POWER(Upgrades!$U$15,G28),1)*IF(Upgrades!$T$16="Local Bubble",POWER(Upgrades!$U$16,H28),1)*IF(Upgrades!$T$17="Local Bubble",POWER(Upgrades!$U$17,I28),1)*IF(Upgrades!$T$18="Local Bubble",POWER(Upgrades!$U$18,J28),1)*IF(Upgrades!$T$19="Local Bubble",POWER(Upgrades!$U$19,K28),1)*IF(Upgrades!$T$20="Local Bubble",POWER(Upgrades!$U$20,L28),1)*IF(Upgrades!$T$21="Local Bubble",POWER(Upgrades!$U$21,M28),1))*$F$6/AL28,0)</f>
        <v/>
      </c>
      <c r="BA28" s="32">
        <f>IFERROR(Upgrades!$K$15*(POWER(Upgrades!$Q$13,E28)*POWER(Upgrades!$Q$14,F28)*POWER(Upgrades!$Q$15,G28)*POWER(Upgrades!$Q$16,H28)*POWER(Upgrades!$Q$17,I28)*POWER(Upgrades!$Q$18,J28)*POWER(Upgrades!$Q$19,K28)*POWER(Upgrades!$Q$20,L28)*POWER(Upgrades!$Q$21,M28))*(IF(Upgrades!$T$13="Microlensing",POWER(Upgrades!$U$13,E28),1)*IF(Upgrades!$T$14="Microlensing",POWER(Upgrades!$U$14,F28),1)*IF(Upgrades!$T$16="Microlensing",POWER(Upgrades!$U$16,H28),1)*IF(Upgrades!$T$17="Microlensing",POWER(Upgrades!$U$17,I28),1)*IF(Upgrades!$T$18="Microlensing",POWER(Upgrades!$U$18,J28),1)*IF(Upgrades!$T$19="Microlensing",POWER(Upgrades!$U$19,K28),1)*IF(Upgrades!$T$20="Microlensing",POWER(Upgrades!$U$20,L28),1)*IF(Upgrades!$T$21="Microlensing",POWER(Upgrades!$U$21,M28),1))*$G$6*(Parameters!$B$10/60*Parameters!$B$11+Q28)/AM28,0)</f>
        <v/>
      </c>
      <c r="BB28" s="32">
        <f>IFERROR((Upgrades!$N$16*(POWER(Upgrades!$R$13,E28)*POWER(Upgrades!$R$14,F28)*POWER(Upgrades!$R$15,G28)*POWER(Upgrades!$R$16,H28)*POWER(Upgrades!$R$17,I28)*POWER(Upgrades!$R$18,J28)*POWER(Upgrades!$R$19,K28)*POWER(Upgrades!$R$20,L28)*POWER(Upgrades!$R$21,M28))*(IF(Upgrades!$T$13="Roche Lobe Overflow",POWER(Upgrades!$U$13,E28),1)*IF(Upgrades!$T$14="Roche Lobe Overflow",POWER(Upgrades!$U$14,F28),1)*IF(Upgrades!$T$15="Roche Lobe Overflow",POWER(Upgrades!$U$15,G28),1)*IF(Upgrades!$T$17="Roche Lobe Overflow",POWER(Upgrades!$U$17,I28),1)*IF(Upgrades!$T$18="Roche Lobe Overflow",POWER(Upgrades!$U$18,J28),1)*IF(Upgrades!$T$19="Roche Lobe Overflow",POWER(Upgrades!$U$19,K28),1)*IF(Upgrades!$T$20="Roche Lobe Overflow",POWER(Upgrades!$U$20,L28),1)*IF(Upgrades!$T$21="Roche Lobe Overflow",POWER(Upgrades!$U$21,M28),1))*$H$6*O28+((IF(F28=0,0,(Upgrades!$G$14+F28*Upgrades!$H$14)*POWER(Upgrades!$I$14,F28)))*(IF(Upgrades!$T$13="Local Bubble",POWER(Upgrades!$U$13,E28),1)*IF(Upgrades!$T$15="Local Bubble",POWER(Upgrades!$U$15,G28),1)*IF(Upgrades!$T$16="Local Bubble",POWER(Upgrades!$U$16,H28),1)*IF(Upgrades!$T$17="Local Bubble",POWER(Upgrades!$U$17,I28),1)*IF(Upgrades!$T$18="Local Bubble",POWER(Upgrades!$U$18,J28),1)*IF(Upgrades!$T$19="Local Bubble",POWER(Upgrades!$U$19,K28),1)*IF(Upgrades!$T$20="Local Bubble",POWER(Upgrades!$U$20,L28),1)*IF(Upgrades!$T$21="Local Bubble",POWER(Upgrades!$U$21,M28),1))*POWER(Upgrades!$P$13,E28)*POWER(Upgrades!$P$14,F28)*POWER(Upgrades!$P$15,G28)*POWER(Upgrades!$P$16,H28)*POWER(Upgrades!$P$17,I28)*POWER(Upgrades!$P$18,J28)*POWER(Upgrades!$P$19,K28)*POWER(Upgrades!$P$20,L28)*POWER(Upgrades!$P$21,M28)*$F$6)*0.05)/AN28,0)</f>
        <v/>
      </c>
      <c r="BC28" s="32">
        <f>IFERROR((Upgrades!$H$17*(POWER(Upgrades!$P$13,E28)*POWER(Upgrades!$P$14,F28)*POWER(Upgrades!$P$15,G28)*POWER(Upgrades!$P$16,H28)*POWER(Upgrades!$P$17,I28)*POWER(Upgrades!$P$18,J28)*POWER(Upgrades!$P$19,K28)*POWER(Upgrades!$P$20,L28)*POWER(Upgrades!$P$21,M28))*(IF(Upgrades!$T$13="Brown Dwarf",POWER(Upgrades!$U$13,E28),1)*IF(Upgrades!$T$14="Brown Dwarf",POWER(Upgrades!$U$14,F28),1)*IF(Upgrades!$T$15="Brown Dwarf",POWER(Upgrades!$U$15,G28),1)*IF(Upgrades!$T$16="Brown Dwarf",POWER(Upgrades!$U$16,H28),1)*IF(Upgrades!$T$18="Brown Dwarf",POWER(Upgrades!$U$18,J28),1)*IF(Upgrades!$T$19="Brown Dwarf",POWER(Upgrades!$U$19,K28),1)*IF(Upgrades!$T$20="Brown Dwarf",POWER(Upgrades!$U$20,L28),1)*IF(Upgrades!$T$21="Brown Dwarf",POWER(Upgrades!$U$21,M28),1))*$F$6+(((IF(H28=0,0,(Upgrades!$M$16+H28*Upgrades!$N$16)*POWER(Upgrades!$O$16,H28)))*(IF(Upgrades!$T$13="Roche Lobe Overflow",POWER(Upgrades!$U$13,E28),1)*IF(Upgrades!$T$14="Roche Lobe Overflow",POWER(Upgrades!$U$14,F28),1)*IF(Upgrades!$T$15="Roche Lobe Overflow",POWER(Upgrades!$U$15,G28),1)*IF(Upgrades!$T$17="Roche Lobe Overflow",POWER(Upgrades!$U$17,I28),1)*IF(Upgrades!$T$18="Roche Lobe Overflow",POWER(Upgrades!$U$18,J28),1)*IF(Upgrades!$T$19="Roche Lobe Overflow",POWER(Upgrades!$U$19,K28),1)*IF(Upgrades!$T$20="Roche Lobe Overflow",POWER(Upgrades!$U$20,L28),1)*IF(Upgrades!$T$21="Roche Lobe Overflow",POWER(Upgrades!$U$21,M28),1))*POWER(Upgrades!$R$13,E28)*POWER(Upgrades!$R$14,F28)*POWER(Upgrades!$R$15,G28)*POWER(Upgrades!$R$16,H28)*POWER(Upgrades!$R$17,I28)*POWER(Upgrades!$R$18,J28)*POWER(Upgrades!$R$19,K28)*POWER(Upgrades!$R$20,L28)*POWER(Upgrades!$R$21,M28)*$H$6)*O28)*0.10)/AO28,0)</f>
        <v/>
      </c>
      <c r="BD28" s="32">
        <f>MAX(IF(J28&gt;0,0,IFERROR(0.5*((IF(G28=0,0,(Upgrades!$J$15+G28*Upgrades!$K$15)*POWER(Upgrades!$L$15,G28)))*(IF(Upgrades!$T$13="Microlensing",POWER(Upgrades!$U$13,E28),1)*IF(Upgrades!$T$14="Microlensing",POWER(Upgrades!$U$14,F28),1)*IF(Upgrades!$T$16="Microlensing",POWER(Upgrades!$U$16,H28),1)*IF(Upgrades!$T$17="Microlensing",POWER(Upgrades!$U$17,I28),1)*IF(Upgrades!$T$18="Microlensing",POWER(Upgrades!$U$18,J28),1)*IF(Upgrades!$T$19="Microlensing",POWER(Upgrades!$U$19,K28),1)*IF(Upgrades!$T$20="Microlensing",POWER(Upgrades!$U$20,L28),1)*IF(Upgrades!$T$21="Microlensing",POWER(Upgrades!$U$21,M28),1))*(POWER(Upgrades!$Q$13,E28)*POWER(Upgrades!$Q$14,F28)*POWER(Upgrades!$Q$15,G28)*POWER(Upgrades!$Q$16,H28)*POWER(Upgrades!$Q$17,I28)*POWER(Upgrades!$Q$18,J28)*POWER(Upgrades!$Q$19,K28)*POWER(Upgrades!$Q$20,L28)*POWER(Upgrades!$Q$21,M28))*$G$6*(Parameters!$B$10/60*Parameters!$B$11+Q28))/Upgrades!$C$18,0)),IF(K28&gt;0,0,IFERROR(0.30*P28/Upgrades!$C$19,0)),IF(L28&gt;0,0,IFERROR(0.0001/Upgrades!$C$20,0)),IF(M28&gt;0,0,IFERROR((6.0*(POWER(Upgrades!$P$13,E28)*POWER(Upgrades!$P$14,F28)*POWER(Upgrades!$P$15,G28)*POWER(Upgrades!$P$16,H28)*POWER(Upgrades!$P$17,I28)*POWER(Upgrades!$P$18,J28)*POWER(Upgrades!$P$19,K28)*POWER(Upgrades!$P$20,L28)*POWER(Upgrades!$P$21,M28))*$F$6+0.20*O28*(Parameters!$B$10/60*Parameters!$B$11+Q28))/Upgrades!$C$21,0)),IF(AND(ISNUMBER(AK28),AK28&gt;(C28+T28)),AY28,0),IF(AND(ISNUMBER(AL28),AL28&gt;(C28+T28)),AZ28,0),IF(AND(ISNUMBER(AM28),AM28&gt;(C28+T28)),BA28,0),IF(AND(ISNUMBER(AN28),AN28&gt;(C28+T28)),BB28,0),IF(AND(ISNUMBER(AO28),AO28&gt;(C28+T28)),BC28,0))</f>
        <v/>
      </c>
      <c r="BE28" s="29">
        <f>IF(AT28=1,"transition",IF(MIN(IF(AND(J28=0,ISNUMBER(AP28),AP28&lt;=(C28+T28)),AP28,9E15),IF(AND(K28=0,ISNUMBER(AQ28),AQ28&lt;=(C28+T28)),AQ28,9E15),IF(AND(L28=0,ISNUMBER(AR28),AR28&lt;=(C28+T28)),AR28,9E15),IF(AND(M28=0,ISNUMBER(AS28),AS28&lt;=(C28+T28)),AS28,9E15))&lt;9E15,IF(AND(AND(J28=0,ISNUMBER(AP28),AP28&lt;=(C28+T28)),AP28=MIN(IF(AND(J28=0,ISNUMBER(AP28),AP28&lt;=(C28+T28)),AP28,9E15),IF(AND(K28=0,ISNUMBER(AQ28),AQ28&lt;=(C28+T28)),AQ28,9E15),IF(AND(L28=0,ISNUMBER(AR28),AR28&lt;=(C28+T28)),AR28,9E15),IF(AND(M28=0,ISNUMBER(AS28),AS28&lt;=(C28+T28)),AS28,9E15))),"BiP",IF(AND(AND(K28=0,ISNUMBER(AQ28),AQ28&lt;=(C28+T28)),AQ28=MIN(IF(AND(J28=0,ISNUMBER(AP28),AP28&lt;=(C28+T28)),AP28,9E15),IF(AND(K28=0,ISNUMBER(AQ28),AQ28&lt;=(C28+T28)),AQ28,9E15),IF(AND(L28=0,ISNUMBER(AR28),AR28&lt;=(C28+T28)),AR28,9E15),IF(AND(M28=0,ISNUMBER(AS28),AS28&lt;=(C28+T28)),AS28,9E15))),"PV",IF(AND(AND(L28=0,ISNUMBER(AR28),AR28&lt;=(C28+T28)),AR28=MIN(IF(AND(J28=0,ISNUMBER(AP28),AP28&lt;=(C28+T28)),AP28,9E15),IF(AND(K28=0,ISNUMBER(AQ28),AQ28&lt;=(C28+T28)),AQ28,9E15),IF(AND(L28=0,ISNUMBER(AR28),AR28&lt;=(C28+T28)),AR28,9E15),IF(AND(M28=0,ISNUMBER(AS28),AS28&lt;=(C28+T28)),AS28,9E15))),"OC","MG"))),IF(AX28=TRUE,"",IF(MAX(IF(AND(NOT(AND(AU28=1,AT28&lt;&gt;1)),ISNUMBER(AK28),AK28&lt;=(C28+T28)),AY28,0),IF(AND(NOT(AND(AU28=1,AT28&lt;&gt;1)),ISNUMBER(AL28),AL28&lt;=(C28+T28)),AZ28,0),IF(AND(NOT(AND(AU28=1,AT28&lt;&gt;1)),ISNUMBER(AM28),AM28&lt;=(C28+T28)),BA28,0),IF(AND(NOT(AND(AU28=1,AT28&lt;&gt;1)),ISNUMBER(AN28),AN28&lt;=(C28+T28)),BB28,0),IF(AND(ISNUMBER(AO28),AO28&lt;=(C28+T28)),BC28,0))&lt;=0,"",IF(AND(IF(AND(NOT(AND(AU28=1,AT28&lt;&gt;1)),ISNUMBER(AK28),AK28&lt;=(C28+T28)),AY28,0)&gt;0,IF(AND(NOT(AND(AU28=1,AT28&lt;&gt;1)),ISNUMBER(AK28),AK28&lt;=(C28+T28)),AY28,0)=MAX(IF(AND(NOT(AND(AU28=1,AT28&lt;&gt;1)),ISNUMBER(AK28),AK28&lt;=(C28+T28)),AY28,0),IF(AND(NOT(AND(AU28=1,AT28&lt;&gt;1)),ISNUMBER(AL28),AL28&lt;=(C28+T28)),AZ28,0),IF(AND(NOT(AND(AU28=1,AT28&lt;&gt;1)),ISNUMBER(AM28),AM28&lt;=(C28+T28)),BA28,0),IF(AND(NOT(AND(AU28=1,AT28&lt;&gt;1)),ISNUMBER(AN28),AN28&lt;=(C28+T28)),BB28,0),IF(AND(ISNUMBER(AO28),AO28&lt;=(C28+T28)),BC28,0))),"SK",IF(AND(IF(AND(NOT(AND(AU28=1,AT28&lt;&gt;1)),ISNUMBER(AL28),AL28&lt;=(C28+T28)),AZ28,0)&gt;0,IF(AND(NOT(AND(AU28=1,AT28&lt;&gt;1)),ISNUMBER(AL28),AL28&lt;=(C28+T28)),AZ28,0)=MAX(IF(AND(NOT(AND(AU28=1,AT28&lt;&gt;1)),ISNUMBER(AK28),AK28&lt;=(C28+T28)),AY28,0),IF(AND(NOT(AND(AU28=1,AT28&lt;&gt;1)),ISNUMBER(AL28),AL28&lt;=(C28+T28)),AZ28,0),IF(AND(NOT(AND(AU28=1,AT28&lt;&gt;1)),ISNUMBER(AM28),AM28&lt;=(C28+T28)),BA28,0),IF(AND(NOT(AND(AU28=1,AT28&lt;&gt;1)),ISNUMBER(AN28),AN28&lt;=(C28+T28)),BB28,0),IF(AND(ISNUMBER(AO28),AO28&lt;=(C28+T28)),BC28,0))),"LB",IF(AND(IF(AND(NOT(AND(AU28=1,AT28&lt;&gt;1)),ISNUMBER(AM28),AM28&lt;=(C28+T28)),BA28,0)&gt;0,IF(AND(NOT(AND(AU28=1,AT28&lt;&gt;1)),ISNUMBER(AM28),AM28&lt;=(C28+T28)),BA28,0)=MAX(IF(AND(NOT(AND(AU28=1,AT28&lt;&gt;1)),ISNUMBER(AK28),AK28&lt;=(C28+T28)),AY28,0),IF(AND(NOT(AND(AU28=1,AT28&lt;&gt;1)),ISNUMBER(AL28),AL28&lt;=(C28+T28)),AZ28,0),IF(AND(NOT(AND(AU28=1,AT28&lt;&gt;1)),ISNUMBER(AM28),AM28&lt;=(C28+T28)),BA28,0),IF(AND(NOT(AND(AU28=1,AT28&lt;&gt;1)),ISNUMBER(AN28),AN28&lt;=(C28+T28)),BB28,0),IF(AND(ISNUMBER(AO28),AO28&lt;=(C28+T28)),BC28,0))),"ML",IF(AND(IF(AND(NOT(AND(AU28=1,AT28&lt;&gt;1)),ISNUMBER(AN28),AN28&lt;=(C28+T28)),BB28,0)&gt;0,IF(AND(NOT(AND(AU28=1,AT28&lt;&gt;1)),ISNUMBER(AN28),AN28&lt;=(C28+T28)),BB28,0)=MAX(IF(AND(NOT(AND(AU28=1,AT28&lt;&gt;1)),ISNUMBER(AK28),AK28&lt;=(C28+T28)),AY28,0),IF(AND(NOT(AND(AU28=1,AT28&lt;&gt;1)),ISNUMBER(AL28),AL28&lt;=(C28+T28)),AZ28,0),IF(AND(NOT(AND(AU28=1,AT28&lt;&gt;1)),ISNUMBER(AM28),AM28&lt;=(C28+T28)),BA28,0),IF(AND(NOT(AND(AU28=1,AT28&lt;&gt;1)),ISNUMBER(AN28),AN28&lt;=(C28+T28)),BB28,0),IF(AND(ISNUMBER(AO28),AO28&lt;=(C28+T28)),BC28,0))),"RLO","BD"))))))))</f>
        <v/>
      </c>
    </row>
    <row r="29">
      <c r="A29" s="26" t="n">
        <v>18</v>
      </c>
      <c r="B29" s="27">
        <f>A29*10/60</f>
        <v/>
      </c>
      <c r="C29" s="22">
        <f>X28</f>
        <v/>
      </c>
      <c r="D29" s="27">
        <f>D28+W28</f>
        <v/>
      </c>
      <c r="E29" s="26">
        <f>E28+IF(U28="SK",1,0)</f>
        <v/>
      </c>
      <c r="F29" s="26">
        <f>F28+IF(U28="LB",1,0)</f>
        <v/>
      </c>
      <c r="G29" s="26">
        <f>G28+IF(U28="ML",1,0)</f>
        <v/>
      </c>
      <c r="H29" s="26">
        <f>H28+IF(U28="RLO",1,0)</f>
        <v/>
      </c>
      <c r="I29" s="26">
        <f>I28+IF(U28="BD",1,0)</f>
        <v/>
      </c>
      <c r="J29" s="26">
        <f>MAX(J28,IF(U28="BiP",1,0))</f>
        <v/>
      </c>
      <c r="K29" s="26">
        <f>MAX(K28,IF(U28="PV",1,0))</f>
        <v/>
      </c>
      <c r="L29" s="26">
        <f>MAX(L28,IF(U28="OC",1,0))</f>
        <v/>
      </c>
      <c r="M29" s="26">
        <f>MAX(M28,IF(U28="MG",1,0))</f>
        <v/>
      </c>
      <c r="N29" s="26">
        <f>MAX(N28,IF(U28="transition",1,0))</f>
        <v/>
      </c>
      <c r="O29" s="28">
        <f>(Parameters!$B$9+(IF(E29=0,0,(Upgrades!$J$13+E29*Upgrades!$K$13)*POWER(Upgrades!$L$13,E29)))*(IF(Upgrades!$T$14="Stellar Kinematics",POWER(Upgrades!$U$14,F29),1)*IF(Upgrades!$T$15="Stellar Kinematics",POWER(Upgrades!$U$15,G29),1)*IF(Upgrades!$T$16="Stellar Kinematics",POWER(Upgrades!$U$16,H29),1)*IF(Upgrades!$T$17="Stellar Kinematics",POWER(Upgrades!$U$17,I29),1)*IF(Upgrades!$T$18="Stellar Kinematics",POWER(Upgrades!$U$18,J29),1)*IF(Upgrades!$T$19="Stellar Kinematics",POWER(Upgrades!$U$19,K29),1)*IF(Upgrades!$T$20="Stellar Kinematics",POWER(Upgrades!$U$20,L29),1)*IF(Upgrades!$T$21="Stellar Kinematics",POWER(Upgrades!$U$21,M29),1))+(IF(F29=0,0,(Upgrades!$J$14+F29*Upgrades!$K$14)*POWER(Upgrades!$L$14,F29)))*(IF(Upgrades!$T$13="Local Bubble",POWER(Upgrades!$U$13,E29),1)*IF(Upgrades!$T$15="Local Bubble",POWER(Upgrades!$U$15,G29),1)*IF(Upgrades!$T$16="Local Bubble",POWER(Upgrades!$U$16,H29),1)*IF(Upgrades!$T$17="Local Bubble",POWER(Upgrades!$U$17,I29),1)*IF(Upgrades!$T$18="Local Bubble",POWER(Upgrades!$U$18,J29),1)*IF(Upgrades!$T$19="Local Bubble",POWER(Upgrades!$U$19,K29),1)*IF(Upgrades!$T$20="Local Bubble",POWER(Upgrades!$U$20,L29),1)*IF(Upgrades!$T$21="Local Bubble",POWER(Upgrades!$U$21,M29),1))+(IF(G29=0,0,(Upgrades!$J$15+G29*Upgrades!$K$15)*POWER(Upgrades!$L$15,G29)))*(IF(Upgrades!$T$13="Microlensing",POWER(Upgrades!$U$13,E29),1)*IF(Upgrades!$T$14="Microlensing",POWER(Upgrades!$U$14,F29),1)*IF(Upgrades!$T$16="Microlensing",POWER(Upgrades!$U$16,H29),1)*IF(Upgrades!$T$17="Microlensing",POWER(Upgrades!$U$17,I29),1)*IF(Upgrades!$T$18="Microlensing",POWER(Upgrades!$U$18,J29),1)*IF(Upgrades!$T$19="Microlensing",POWER(Upgrades!$U$19,K29),1)*IF(Upgrades!$T$20="Microlensing",POWER(Upgrades!$U$20,L29),1)*IF(Upgrades!$T$21="Microlensing",POWER(Upgrades!$U$21,M29),1))+(IF(H29=0,0,(Upgrades!$J$16+H29*Upgrades!$K$16)*POWER(Upgrades!$L$16,H29)))*(IF(Upgrades!$T$13="Roche Lobe Overflow",POWER(Upgrades!$U$13,E29),1)*IF(Upgrades!$T$14="Roche Lobe Overflow",POWER(Upgrades!$U$14,F29),1)*IF(Upgrades!$T$15="Roche Lobe Overflow",POWER(Upgrades!$U$15,G29),1)*IF(Upgrades!$T$17="Roche Lobe Overflow",POWER(Upgrades!$U$17,I29),1)*IF(Upgrades!$T$18="Roche Lobe Overflow",POWER(Upgrades!$U$18,J29),1)*IF(Upgrades!$T$19="Roche Lobe Overflow",POWER(Upgrades!$U$19,K29),1)*IF(Upgrades!$T$20="Roche Lobe Overflow",POWER(Upgrades!$U$20,L29),1)*IF(Upgrades!$T$21="Roche Lobe Overflow",POWER(Upgrades!$U$21,M29),1))+(IF(I29=0,0,(Upgrades!$J$17+I29*Upgrades!$K$17)*POWER(Upgrades!$L$17,I29)))*(IF(Upgrades!$T$13="Brown Dwarf",POWER(Upgrades!$U$13,E29),1)*IF(Upgrades!$T$14="Brown Dwarf",POWER(Upgrades!$U$14,F29),1)*IF(Upgrades!$T$15="Brown Dwarf",POWER(Upgrades!$U$15,G29),1)*IF(Upgrades!$T$16="Brown Dwarf",POWER(Upgrades!$U$16,H29),1)*IF(Upgrades!$T$18="Brown Dwarf",POWER(Upgrades!$U$18,J29),1)*IF(Upgrades!$T$19="Brown Dwarf",POWER(Upgrades!$U$19,K29),1)*IF(Upgrades!$T$20="Brown Dwarf",POWER(Upgrades!$U$20,L29),1)*IF(Upgrades!$T$21="Brown Dwarf",POWER(Upgrades!$U$21,M29),1))+(IF(J29=0,0,(Upgrades!$J$18+J29*Upgrades!$K$18)*POWER(Upgrades!$L$18,J29)))*(IF(Upgrades!$T$13="Binary Partner",POWER(Upgrades!$U$13,E29),1)*IF(Upgrades!$T$14="Binary Partner",POWER(Upgrades!$U$14,F29),1)*IF(Upgrades!$T$15="Binary Partner",POWER(Upgrades!$U$15,G29),1)*IF(Upgrades!$T$16="Binary Partner",POWER(Upgrades!$U$16,H29),1)*IF(Upgrades!$T$17="Binary Partner",POWER(Upgrades!$U$17,I29),1)*IF(Upgrades!$T$19="Binary Partner",POWER(Upgrades!$U$19,K29),1)*IF(Upgrades!$T$20="Binary Partner",POWER(Upgrades!$U$20,L29),1)*IF(Upgrades!$T$21="Binary Partner",POWER(Upgrades!$U$21,M29),1))+(IF(K29=0,0,(Upgrades!$J$19+K29*Upgrades!$K$19)*POWER(Upgrades!$L$19,K29)))*(IF(Upgrades!$T$13="Peculiar Velocity",POWER(Upgrades!$U$13,E29),1)*IF(Upgrades!$T$14="Peculiar Velocity",POWER(Upgrades!$U$14,F29),1)*IF(Upgrades!$T$15="Peculiar Velocity",POWER(Upgrades!$U$15,G29),1)*IF(Upgrades!$T$16="Peculiar Velocity",POWER(Upgrades!$U$16,H29),1)*IF(Upgrades!$T$17="Peculiar Velocity",POWER(Upgrades!$U$17,I29),1)*IF(Upgrades!$T$18="Peculiar Velocity",POWER(Upgrades!$U$18,J29),1)*IF(Upgrades!$T$20="Peculiar Velocity",POWER(Upgrades!$U$20,L29),1)*IF(Upgrades!$T$21="Peculiar Velocity",POWER(Upgrades!$U$21,M29),1))+(IF(L29=0,0,(Upgrades!$J$20+L29*Upgrades!$K$20)*POWER(Upgrades!$L$20,L29)))*(IF(Upgrades!$T$13="Open Cluster",POWER(Upgrades!$U$13,E29),1)*IF(Upgrades!$T$14="Open Cluster",POWER(Upgrades!$U$14,F29),1)*IF(Upgrades!$T$15="Open Cluster",POWER(Upgrades!$U$15,G29),1)*IF(Upgrades!$T$16="Open Cluster",POWER(Upgrades!$U$16,H29),1)*IF(Upgrades!$T$17="Open Cluster",POWER(Upgrades!$U$17,I29),1)*IF(Upgrades!$T$18="Open Cluster",POWER(Upgrades!$U$18,J29),1)*IF(Upgrades!$T$19="Open Cluster",POWER(Upgrades!$U$19,K29),1)*IF(Upgrades!$T$21="Open Cluster",POWER(Upgrades!$U$21,M29),1))+(IF(M29=0,0,(Upgrades!$J$21+M29*Upgrades!$K$21)*POWER(Upgrades!$L$21,M29)))*(IF(Upgrades!$T$13="Moving Group",POWER(Upgrades!$U$13,E29),1)*IF(Upgrades!$T$14="Moving Group",POWER(Upgrades!$U$14,F29),1)*IF(Upgrades!$T$15="Moving Group",POWER(Upgrades!$U$15,G29),1)*IF(Upgrades!$T$16="Moving Group",POWER(Upgrades!$U$16,H29),1)*IF(Upgrades!$T$17="Moving Group",POWER(Upgrades!$U$17,I29),1)*IF(Upgrades!$T$18="Moving Group",POWER(Upgrades!$U$18,J29),1)*IF(Upgrades!$T$19="Moving Group",POWER(Upgrades!$U$19,K29),1)*IF(Upgrades!$T$20="Moving Group",POWER(Upgrades!$U$20,L29),1)))*POWER(Upgrades!$Q$13,E29)*POWER(Upgrades!$Q$14,F29)*POWER(Upgrades!$Q$15,G29)*POWER(Upgrades!$Q$16,H29)*POWER(Upgrades!$Q$17,I29)*POWER(Upgrades!$Q$18,J29)*POWER(Upgrades!$Q$19,K29)*POWER(Upgrades!$Q$20,L29)*POWER(Upgrades!$Q$21,M29)*$G$6+$D$6</f>
        <v/>
      </c>
      <c r="P29" s="28">
        <f>((IF(E29=0,0,(Upgrades!$G$13+E29*Upgrades!$H$13)*POWER(Upgrades!$I$13,E29)))*(IF(Upgrades!$T$14="Stellar Kinematics",POWER(Upgrades!$U$14,F29),1)*IF(Upgrades!$T$15="Stellar Kinematics",POWER(Upgrades!$U$15,G29),1)*IF(Upgrades!$T$16="Stellar Kinematics",POWER(Upgrades!$U$16,H29),1)*IF(Upgrades!$T$17="Stellar Kinematics",POWER(Upgrades!$U$17,I29),1)*IF(Upgrades!$T$18="Stellar Kinematics",POWER(Upgrades!$U$18,J29),1)*IF(Upgrades!$T$19="Stellar Kinematics",POWER(Upgrades!$U$19,K29),1)*IF(Upgrades!$T$20="Stellar Kinematics",POWER(Upgrades!$U$20,L29),1)*IF(Upgrades!$T$21="Stellar Kinematics",POWER(Upgrades!$U$21,M29),1))+(IF(F29=0,0,(Upgrades!$G$14+F29*Upgrades!$H$14)*POWER(Upgrades!$I$14,F29)))*(IF(Upgrades!$T$13="Local Bubble",POWER(Upgrades!$U$13,E29),1)*IF(Upgrades!$T$15="Local Bubble",POWER(Upgrades!$U$15,G29),1)*IF(Upgrades!$T$16="Local Bubble",POWER(Upgrades!$U$16,H29),1)*IF(Upgrades!$T$17="Local Bubble",POWER(Upgrades!$U$17,I29),1)*IF(Upgrades!$T$18="Local Bubble",POWER(Upgrades!$U$18,J29),1)*IF(Upgrades!$T$19="Local Bubble",POWER(Upgrades!$U$19,K29),1)*IF(Upgrades!$T$20="Local Bubble",POWER(Upgrades!$U$20,L29),1)*IF(Upgrades!$T$21="Local Bubble",POWER(Upgrades!$U$21,M29),1))+(IF(G29=0,0,(Upgrades!$G$15+G29*Upgrades!$H$15)*POWER(Upgrades!$I$15,G29)))*(IF(Upgrades!$T$13="Microlensing",POWER(Upgrades!$U$13,E29),1)*IF(Upgrades!$T$14="Microlensing",POWER(Upgrades!$U$14,F29),1)*IF(Upgrades!$T$16="Microlensing",POWER(Upgrades!$U$16,H29),1)*IF(Upgrades!$T$17="Microlensing",POWER(Upgrades!$U$17,I29),1)*IF(Upgrades!$T$18="Microlensing",POWER(Upgrades!$U$18,J29),1)*IF(Upgrades!$T$19="Microlensing",POWER(Upgrades!$U$19,K29),1)*IF(Upgrades!$T$20="Microlensing",POWER(Upgrades!$U$20,L29),1)*IF(Upgrades!$T$21="Microlensing",POWER(Upgrades!$U$21,M29),1))+(IF(H29=0,0,(Upgrades!$G$16+H29*Upgrades!$H$16)*POWER(Upgrades!$I$16,H29)))*(IF(Upgrades!$T$13="Roche Lobe Overflow",POWER(Upgrades!$U$13,E29),1)*IF(Upgrades!$T$14="Roche Lobe Overflow",POWER(Upgrades!$U$14,F29),1)*IF(Upgrades!$T$15="Roche Lobe Overflow",POWER(Upgrades!$U$15,G29),1)*IF(Upgrades!$T$17="Roche Lobe Overflow",POWER(Upgrades!$U$17,I29),1)*IF(Upgrades!$T$18="Roche Lobe Overflow",POWER(Upgrades!$U$18,J29),1)*IF(Upgrades!$T$19="Roche Lobe Overflow",POWER(Upgrades!$U$19,K29),1)*IF(Upgrades!$T$20="Roche Lobe Overflow",POWER(Upgrades!$U$20,L29),1)*IF(Upgrades!$T$21="Roche Lobe Overflow",POWER(Upgrades!$U$21,M29),1))+(IF(I29=0,0,(Upgrades!$G$17+I29*Upgrades!$H$17)*POWER(Upgrades!$I$17,I29)))*(IF(Upgrades!$T$13="Brown Dwarf",POWER(Upgrades!$U$13,E29),1)*IF(Upgrades!$T$14="Brown Dwarf",POWER(Upgrades!$U$14,F29),1)*IF(Upgrades!$T$15="Brown Dwarf",POWER(Upgrades!$U$15,G29),1)*IF(Upgrades!$T$16="Brown Dwarf",POWER(Upgrades!$U$16,H29),1)*IF(Upgrades!$T$18="Brown Dwarf",POWER(Upgrades!$U$18,J29),1)*IF(Upgrades!$T$19="Brown Dwarf",POWER(Upgrades!$U$19,K29),1)*IF(Upgrades!$T$20="Brown Dwarf",POWER(Upgrades!$U$20,L29),1)*IF(Upgrades!$T$21="Brown Dwarf",POWER(Upgrades!$U$21,M29),1))+(IF(J29=0,0,(Upgrades!$G$18+J29*Upgrades!$H$18)*POWER(Upgrades!$I$18,J29)))*(IF(Upgrades!$T$13="Binary Partner",POWER(Upgrades!$U$13,E29),1)*IF(Upgrades!$T$14="Binary Partner",POWER(Upgrades!$U$14,F29),1)*IF(Upgrades!$T$15="Binary Partner",POWER(Upgrades!$U$15,G29),1)*IF(Upgrades!$T$16="Binary Partner",POWER(Upgrades!$U$16,H29),1)*IF(Upgrades!$T$17="Binary Partner",POWER(Upgrades!$U$17,I29),1)*IF(Upgrades!$T$19="Binary Partner",POWER(Upgrades!$U$19,K29),1)*IF(Upgrades!$T$20="Binary Partner",POWER(Upgrades!$U$20,L29),1)*IF(Upgrades!$T$21="Binary Partner",POWER(Upgrades!$U$21,M29),1))+(IF(K29=0,0,(Upgrades!$G$19+K29*Upgrades!$H$19)*POWER(Upgrades!$I$19,K29)))*(IF(Upgrades!$T$13="Peculiar Velocity",POWER(Upgrades!$U$13,E29),1)*IF(Upgrades!$T$14="Peculiar Velocity",POWER(Upgrades!$U$14,F29),1)*IF(Upgrades!$T$15="Peculiar Velocity",POWER(Upgrades!$U$15,G29),1)*IF(Upgrades!$T$16="Peculiar Velocity",POWER(Upgrades!$U$16,H29),1)*IF(Upgrades!$T$17="Peculiar Velocity",POWER(Upgrades!$U$17,I29),1)*IF(Upgrades!$T$18="Peculiar Velocity",POWER(Upgrades!$U$18,J29),1)*IF(Upgrades!$T$20="Peculiar Velocity",POWER(Upgrades!$U$20,L29),1)*IF(Upgrades!$T$21="Peculiar Velocity",POWER(Upgrades!$U$21,M29),1))+(IF(L29=0,0,(Upgrades!$G$20+L29*Upgrades!$H$20)*POWER(Upgrades!$I$20,L29)))*(IF(Upgrades!$T$13="Open Cluster",POWER(Upgrades!$U$13,E29),1)*IF(Upgrades!$T$14="Open Cluster",POWER(Upgrades!$U$14,F29),1)*IF(Upgrades!$T$15="Open Cluster",POWER(Upgrades!$U$15,G29),1)*IF(Upgrades!$T$16="Open Cluster",POWER(Upgrades!$U$16,H29),1)*IF(Upgrades!$T$17="Open Cluster",POWER(Upgrades!$U$17,I29),1)*IF(Upgrades!$T$18="Open Cluster",POWER(Upgrades!$U$18,J29),1)*IF(Upgrades!$T$19="Open Cluster",POWER(Upgrades!$U$19,K29),1)*IF(Upgrades!$T$21="Open Cluster",POWER(Upgrades!$U$21,M29),1))+(IF(M29=0,0,(Upgrades!$G$21+M29*Upgrades!$H$21)*POWER(Upgrades!$I$21,M29)))*(IF(Upgrades!$T$13="Moving Group",POWER(Upgrades!$U$13,E29),1)*IF(Upgrades!$T$14="Moving Group",POWER(Upgrades!$U$14,F29),1)*IF(Upgrades!$T$15="Moving Group",POWER(Upgrades!$U$15,G29),1)*IF(Upgrades!$T$16="Moving Group",POWER(Upgrades!$U$16,H29),1)*IF(Upgrades!$T$17="Moving Group",POWER(Upgrades!$U$17,I29),1)*IF(Upgrades!$T$18="Moving Group",POWER(Upgrades!$U$18,J29),1)*IF(Upgrades!$T$19="Moving Group",POWER(Upgrades!$U$19,K29),1)*IF(Upgrades!$T$20="Moving Group",POWER(Upgrades!$U$20,L29),1)))*POWER(Upgrades!$P$13,E29)*POWER(Upgrades!$P$14,F29)*POWER(Upgrades!$P$15,G29)*POWER(Upgrades!$P$16,H29)*POWER(Upgrades!$P$17,I29)*POWER(Upgrades!$P$18,J29)*POWER(Upgrades!$P$19,K29)*POWER(Upgrades!$P$20,L29)*POWER(Upgrades!$P$21,M29)*$F$6+$C$6</f>
        <v/>
      </c>
      <c r="Q29" s="28">
        <f>((IF(E29=0,0,(Upgrades!$M$13+E29*Upgrades!$N$13)*POWER(Upgrades!$O$13,E29)))*(IF(Upgrades!$T$14="Stellar Kinematics",POWER(Upgrades!$U$14,F29),1)*IF(Upgrades!$T$15="Stellar Kinematics",POWER(Upgrades!$U$15,G29),1)*IF(Upgrades!$T$16="Stellar Kinematics",POWER(Upgrades!$U$16,H29),1)*IF(Upgrades!$T$17="Stellar Kinematics",POWER(Upgrades!$U$17,I29),1)*IF(Upgrades!$T$18="Stellar Kinematics",POWER(Upgrades!$U$18,J29),1)*IF(Upgrades!$T$19="Stellar Kinematics",POWER(Upgrades!$U$19,K29),1)*IF(Upgrades!$T$20="Stellar Kinematics",POWER(Upgrades!$U$20,L29),1)*IF(Upgrades!$T$21="Stellar Kinematics",POWER(Upgrades!$U$21,M29),1))+(IF(F29=0,0,(Upgrades!$M$14+F29*Upgrades!$N$14)*POWER(Upgrades!$O$14,F29)))*(IF(Upgrades!$T$13="Local Bubble",POWER(Upgrades!$U$13,E29),1)*IF(Upgrades!$T$15="Local Bubble",POWER(Upgrades!$U$15,G29),1)*IF(Upgrades!$T$16="Local Bubble",POWER(Upgrades!$U$16,H29),1)*IF(Upgrades!$T$17="Local Bubble",POWER(Upgrades!$U$17,I29),1)*IF(Upgrades!$T$18="Local Bubble",POWER(Upgrades!$U$18,J29),1)*IF(Upgrades!$T$19="Local Bubble",POWER(Upgrades!$U$19,K29),1)*IF(Upgrades!$T$20="Local Bubble",POWER(Upgrades!$U$20,L29),1)*IF(Upgrades!$T$21="Local Bubble",POWER(Upgrades!$U$21,M29),1))+(IF(G29=0,0,(Upgrades!$M$15+G29*Upgrades!$N$15)*POWER(Upgrades!$O$15,G29)))*(IF(Upgrades!$T$13="Microlensing",POWER(Upgrades!$U$13,E29),1)*IF(Upgrades!$T$14="Microlensing",POWER(Upgrades!$U$14,F29),1)*IF(Upgrades!$T$16="Microlensing",POWER(Upgrades!$U$16,H29),1)*IF(Upgrades!$T$17="Microlensing",POWER(Upgrades!$U$17,I29),1)*IF(Upgrades!$T$18="Microlensing",POWER(Upgrades!$U$18,J29),1)*IF(Upgrades!$T$19="Microlensing",POWER(Upgrades!$U$19,K29),1)*IF(Upgrades!$T$20="Microlensing",POWER(Upgrades!$U$20,L29),1)*IF(Upgrades!$T$21="Microlensing",POWER(Upgrades!$U$21,M29),1))+(IF(H29=0,0,(Upgrades!$M$16+H29*Upgrades!$N$16)*POWER(Upgrades!$O$16,H29)))*(IF(Upgrades!$T$13="Roche Lobe Overflow",POWER(Upgrades!$U$13,E29),1)*IF(Upgrades!$T$14="Roche Lobe Overflow",POWER(Upgrades!$U$14,F29),1)*IF(Upgrades!$T$15="Roche Lobe Overflow",POWER(Upgrades!$U$15,G29),1)*IF(Upgrades!$T$17="Roche Lobe Overflow",POWER(Upgrades!$U$17,I29),1)*IF(Upgrades!$T$18="Roche Lobe Overflow",POWER(Upgrades!$U$18,J29),1)*IF(Upgrades!$T$19="Roche Lobe Overflow",POWER(Upgrades!$U$19,K29),1)*IF(Upgrades!$T$20="Roche Lobe Overflow",POWER(Upgrades!$U$20,L29),1)*IF(Upgrades!$T$21="Roche Lobe Overflow",POWER(Upgrades!$U$21,M29),1))+(IF(I29=0,0,(Upgrades!$M$17+I29*Upgrades!$N$17)*POWER(Upgrades!$O$17,I29)))*(IF(Upgrades!$T$13="Brown Dwarf",POWER(Upgrades!$U$13,E29),1)*IF(Upgrades!$T$14="Brown Dwarf",POWER(Upgrades!$U$14,F29),1)*IF(Upgrades!$T$15="Brown Dwarf",POWER(Upgrades!$U$15,G29),1)*IF(Upgrades!$T$16="Brown Dwarf",POWER(Upgrades!$U$16,H29),1)*IF(Upgrades!$T$18="Brown Dwarf",POWER(Upgrades!$U$18,J29),1)*IF(Upgrades!$T$19="Brown Dwarf",POWER(Upgrades!$U$19,K29),1)*IF(Upgrades!$T$20="Brown Dwarf",POWER(Upgrades!$U$20,L29),1)*IF(Upgrades!$T$21="Brown Dwarf",POWER(Upgrades!$U$21,M29),1))+(IF(J29=0,0,(Upgrades!$M$18+J29*Upgrades!$N$18)*POWER(Upgrades!$O$18,J29)))*(IF(Upgrades!$T$13="Binary Partner",POWER(Upgrades!$U$13,E29),1)*IF(Upgrades!$T$14="Binary Partner",POWER(Upgrades!$U$14,F29),1)*IF(Upgrades!$T$15="Binary Partner",POWER(Upgrades!$U$15,G29),1)*IF(Upgrades!$T$16="Binary Partner",POWER(Upgrades!$U$16,H29),1)*IF(Upgrades!$T$17="Binary Partner",POWER(Upgrades!$U$17,I29),1)*IF(Upgrades!$T$19="Binary Partner",POWER(Upgrades!$U$19,K29),1)*IF(Upgrades!$T$20="Binary Partner",POWER(Upgrades!$U$20,L29),1)*IF(Upgrades!$T$21="Binary Partner",POWER(Upgrades!$U$21,M29),1))+(IF(K29=0,0,(Upgrades!$M$19+K29*Upgrades!$N$19)*POWER(Upgrades!$O$19,K29)))*(IF(Upgrades!$T$13="Peculiar Velocity",POWER(Upgrades!$U$13,E29),1)*IF(Upgrades!$T$14="Peculiar Velocity",POWER(Upgrades!$U$14,F29),1)*IF(Upgrades!$T$15="Peculiar Velocity",POWER(Upgrades!$U$15,G29),1)*IF(Upgrades!$T$16="Peculiar Velocity",POWER(Upgrades!$U$16,H29),1)*IF(Upgrades!$T$17="Peculiar Velocity",POWER(Upgrades!$U$17,I29),1)*IF(Upgrades!$T$18="Peculiar Velocity",POWER(Upgrades!$U$18,J29),1)*IF(Upgrades!$T$20="Peculiar Velocity",POWER(Upgrades!$U$20,L29),1)*IF(Upgrades!$T$21="Peculiar Velocity",POWER(Upgrades!$U$21,M29),1))+(IF(L29=0,0,(Upgrades!$M$20+L29*Upgrades!$N$20)*POWER(Upgrades!$O$20,L29)))*(IF(Upgrades!$T$13="Open Cluster",POWER(Upgrades!$U$13,E29),1)*IF(Upgrades!$T$14="Open Cluster",POWER(Upgrades!$U$14,F29),1)*IF(Upgrades!$T$15="Open Cluster",POWER(Upgrades!$U$15,G29),1)*IF(Upgrades!$T$16="Open Cluster",POWER(Upgrades!$U$16,H29),1)*IF(Upgrades!$T$17="Open Cluster",POWER(Upgrades!$U$17,I29),1)*IF(Upgrades!$T$18="Open Cluster",POWER(Upgrades!$U$18,J29),1)*IF(Upgrades!$T$19="Open Cluster",POWER(Upgrades!$U$19,K29),1)*IF(Upgrades!$T$21="Open Cluster",POWER(Upgrades!$U$21,M29),1))+(IF(M29=0,0,(Upgrades!$M$21+M29*Upgrades!$N$21)*POWER(Upgrades!$O$21,M29)))*(IF(Upgrades!$T$13="Moving Group",POWER(Upgrades!$U$13,E29),1)*IF(Upgrades!$T$14="Moving Group",POWER(Upgrades!$U$14,F29),1)*IF(Upgrades!$T$15="Moving Group",POWER(Upgrades!$U$15,G29),1)*IF(Upgrades!$T$16="Moving Group",POWER(Upgrades!$U$16,H29),1)*IF(Upgrades!$T$17="Moving Group",POWER(Upgrades!$U$17,I29),1)*IF(Upgrades!$T$18="Moving Group",POWER(Upgrades!$U$18,J29),1)*IF(Upgrades!$T$19="Moving Group",POWER(Upgrades!$U$19,K29),1)*IF(Upgrades!$T$20="Moving Group",POWER(Upgrades!$U$20,L29),1)))*POWER(Upgrades!$R$13,E29)*POWER(Upgrades!$R$14,F29)*POWER(Upgrades!$R$15,G29)*POWER(Upgrades!$R$16,H29)*POWER(Upgrades!$R$17,I29)*POWER(Upgrades!$R$18,J29)*POWER(Upgrades!$R$19,K29)*POWER(Upgrades!$R$20,L29)*POWER(Upgrades!$R$21,M29)*$H$6+$E$6</f>
        <v/>
      </c>
      <c r="R29" s="27">
        <f>IF(N29=1,0,O29*Parameters!$B$10/60*Parameters!$B$11*10)</f>
        <v/>
      </c>
      <c r="S29" s="27">
        <f>IF(N29=1,0,Q29*O29*10)</f>
        <v/>
      </c>
      <c r="T29" s="27">
        <f>IF(N29=1,0,R29+S29+P29*10)</f>
        <v/>
      </c>
      <c r="U29" s="33">
        <f>BE29</f>
        <v/>
      </c>
      <c r="V29" s="22">
        <f>IF(U29="",0,IF(U29="transition",0,IF(U29="SK",AK29,IF(U29="LB",AL29,IF(U29="ML",AM29,IF(U29="RLO",AN29,IF(U29="BD",AO29,IF(U29="BiP",AP29,IF(U29="PV",AQ29,IF(U29="OC",AR29,IF(U29="MG",AS29,0))))))))))</f>
        <v/>
      </c>
      <c r="W29" s="27">
        <f>IF(U29="BiP",Upgrades!$F$18,IF(U29="PV",Upgrades!$F$19,IF(U29="OC",Upgrades!$F$20,IF(U29="MG",Upgrades!$F$21,IF(U29="transition",-Parameters!$B$18*Parameters!$B$19,0)))))</f>
        <v/>
      </c>
      <c r="X29" s="22">
        <f>C29+T29-V29</f>
        <v/>
      </c>
      <c r="Y29" s="30">
        <f>O29*Parameters!$B$10/60*Parameters!$B$11+Q29*O29+P29</f>
        <v/>
      </c>
      <c r="Z29" s="34">
        <f>IF(U29="transition","→ Tier 3 (Galactic Arm)",IF(U29="MG","Moving Group — pocket drifts together",IF(U29="OC","Open Cluster acquired",IF(U29="PV","Peculiar Velocity — passive multiplier active",IF(U29="BiP","Binary Partner — pair bond formed",IF(AND(AU29=1,N29=0,AT29&lt;&gt;1),"Cohesion ready (waiting on completionists)","")))))) </f>
        <v/>
      </c>
      <c r="AA29" s="27">
        <f>(IF(E29=0,0,(Upgrades!$G$13+E29*Upgrades!$H$13)*POWER(Upgrades!$I$13,E29)))*(IF(Upgrades!$T$14="Stellar Kinematics",POWER(Upgrades!$U$14,F29),1)*IF(Upgrades!$T$15="Stellar Kinematics",POWER(Upgrades!$U$15,G29),1)*IF(Upgrades!$T$16="Stellar Kinematics",POWER(Upgrades!$U$16,H29),1)*IF(Upgrades!$T$17="Stellar Kinematics",POWER(Upgrades!$U$17,I29),1)*IF(Upgrades!$T$18="Stellar Kinematics",POWER(Upgrades!$U$18,J29),1)*IF(Upgrades!$T$19="Stellar Kinematics",POWER(Upgrades!$U$19,K29),1)*IF(Upgrades!$T$20="Stellar Kinematics",POWER(Upgrades!$U$20,L29),1)*IF(Upgrades!$T$21="Stellar Kinematics",POWER(Upgrades!$U$21,M29),1))*POWER(Upgrades!$P$13,E29)*POWER(Upgrades!$P$14,F29)*POWER(Upgrades!$P$15,G29)*POWER(Upgrades!$P$16,H29)*POWER(Upgrades!$P$17,I29)*POWER(Upgrades!$P$18,J29)*POWER(Upgrades!$P$19,K29)*POWER(Upgrades!$P$20,L29)*POWER(Upgrades!$P$21,M29)*$F$6*60</f>
        <v/>
      </c>
      <c r="AB29" s="27">
        <f>(IF(F29=0,0,(Upgrades!$G$14+F29*Upgrades!$H$14)*POWER(Upgrades!$I$14,F29)))*(IF(Upgrades!$T$13="Local Bubble",POWER(Upgrades!$U$13,E29),1)*IF(Upgrades!$T$15="Local Bubble",POWER(Upgrades!$U$15,G29),1)*IF(Upgrades!$T$16="Local Bubble",POWER(Upgrades!$U$16,H29),1)*IF(Upgrades!$T$17="Local Bubble",POWER(Upgrades!$U$17,I29),1)*IF(Upgrades!$T$18="Local Bubble",POWER(Upgrades!$U$18,J29),1)*IF(Upgrades!$T$19="Local Bubble",POWER(Upgrades!$U$19,K29),1)*IF(Upgrades!$T$20="Local Bubble",POWER(Upgrades!$U$20,L29),1)*IF(Upgrades!$T$21="Local Bubble",POWER(Upgrades!$U$21,M29),1))*POWER(Upgrades!$P$13,E29)*POWER(Upgrades!$P$14,F29)*POWER(Upgrades!$P$15,G29)*POWER(Upgrades!$P$16,H29)*POWER(Upgrades!$P$17,I29)*POWER(Upgrades!$P$18,J29)*POWER(Upgrades!$P$19,K29)*POWER(Upgrades!$P$20,L29)*POWER(Upgrades!$P$21,M29)*$F$6*60</f>
        <v/>
      </c>
      <c r="AC29" s="27">
        <f>(IF(G29=0,0,(Upgrades!$J$15+G29*Upgrades!$K$15)*POWER(Upgrades!$L$15,G29)))*(IF(Upgrades!$T$13="Microlensing",POWER(Upgrades!$U$13,E29),1)*IF(Upgrades!$T$14="Microlensing",POWER(Upgrades!$U$14,F29),1)*IF(Upgrades!$T$16="Microlensing",POWER(Upgrades!$U$16,H29),1)*IF(Upgrades!$T$17="Microlensing",POWER(Upgrades!$U$17,I29),1)*IF(Upgrades!$T$18="Microlensing",POWER(Upgrades!$U$18,J29),1)*IF(Upgrades!$T$19="Microlensing",POWER(Upgrades!$U$19,K29),1)*IF(Upgrades!$T$20="Microlensing",POWER(Upgrades!$U$20,L29),1)*IF(Upgrades!$T$21="Microlensing",POWER(Upgrades!$U$21,M29),1))*POWER(Upgrades!$Q$13,E29)*POWER(Upgrades!$Q$14,F29)*POWER(Upgrades!$Q$15,G29)*POWER(Upgrades!$Q$16,H29)*POWER(Upgrades!$Q$17,I29)*POWER(Upgrades!$Q$18,J29)*POWER(Upgrades!$Q$19,K29)*POWER(Upgrades!$Q$20,L29)*POWER(Upgrades!$Q$21,M29)*$G$6*(Parameters!$B$10*Parameters!$B$11+Q29*60)</f>
        <v/>
      </c>
      <c r="AD29" s="27">
        <f>(IF(H29=0,0,(Upgrades!$M$16+H29*Upgrades!$N$16)*POWER(Upgrades!$O$16,H29)))*(IF(Upgrades!$T$13="Roche Lobe Overflow",POWER(Upgrades!$U$13,E29),1)*IF(Upgrades!$T$14="Roche Lobe Overflow",POWER(Upgrades!$U$14,F29),1)*IF(Upgrades!$T$15="Roche Lobe Overflow",POWER(Upgrades!$U$15,G29),1)*IF(Upgrades!$T$17="Roche Lobe Overflow",POWER(Upgrades!$U$17,I29),1)*IF(Upgrades!$T$18="Roche Lobe Overflow",POWER(Upgrades!$U$18,J29),1)*IF(Upgrades!$T$19="Roche Lobe Overflow",POWER(Upgrades!$U$19,K29),1)*IF(Upgrades!$T$20="Roche Lobe Overflow",POWER(Upgrades!$U$20,L29),1)*IF(Upgrades!$T$21="Roche Lobe Overflow",POWER(Upgrades!$U$21,M29),1))*POWER(Upgrades!$R$13,E29)*POWER(Upgrades!$R$14,F29)*POWER(Upgrades!$R$15,G29)*POWER(Upgrades!$R$16,H29)*POWER(Upgrades!$R$17,I29)*POWER(Upgrades!$R$18,J29)*POWER(Upgrades!$R$19,K29)*POWER(Upgrades!$R$20,L29)*POWER(Upgrades!$R$21,M29)*$H$6*O29*60</f>
        <v/>
      </c>
      <c r="AE29" s="27">
        <f>(IF(I29=0,0,(Upgrades!$G$17+I29*Upgrades!$H$17)*POWER(Upgrades!$I$17,I29)))*(IF(Upgrades!$T$13="Brown Dwarf",POWER(Upgrades!$U$13,E29),1)*IF(Upgrades!$T$14="Brown Dwarf",POWER(Upgrades!$U$14,F29),1)*IF(Upgrades!$T$15="Brown Dwarf",POWER(Upgrades!$U$15,G29),1)*IF(Upgrades!$T$16="Brown Dwarf",POWER(Upgrades!$U$16,H29),1)*IF(Upgrades!$T$18="Brown Dwarf",POWER(Upgrades!$U$18,J29),1)*IF(Upgrades!$T$19="Brown Dwarf",POWER(Upgrades!$U$19,K29),1)*IF(Upgrades!$T$20="Brown Dwarf",POWER(Upgrades!$U$20,L29),1)*IF(Upgrades!$T$21="Brown Dwarf",POWER(Upgrades!$U$21,M29),1))*POWER(Upgrades!$P$13,E29)*POWER(Upgrades!$P$14,F29)*POWER(Upgrades!$P$15,G29)*POWER(Upgrades!$P$16,H29)*POWER(Upgrades!$P$17,I29)*POWER(Upgrades!$P$18,J29)*POWER(Upgrades!$P$19,K29)*POWER(Upgrades!$P$20,L29)*POWER(Upgrades!$P$21,M29)*$F$6*60</f>
        <v/>
      </c>
      <c r="AF29" s="27" t="n">
        <v>0</v>
      </c>
      <c r="AG29" s="27" t="n">
        <v>0</v>
      </c>
      <c r="AH29" s="27" t="n">
        <v>0</v>
      </c>
      <c r="AI29" s="27">
        <f>(IF(M29=0,0,(Upgrades!$G$21+M29*Upgrades!$H$21)*POWER(Upgrades!$I$21,M29)))*(IF(Upgrades!$T$13="Moving Group",POWER(Upgrades!$U$13,E29),1)*IF(Upgrades!$T$14="Moving Group",POWER(Upgrades!$U$14,F29),1)*IF(Upgrades!$T$15="Moving Group",POWER(Upgrades!$U$15,G29),1)*IF(Upgrades!$T$16="Moving Group",POWER(Upgrades!$U$16,H29),1)*IF(Upgrades!$T$17="Moving Group",POWER(Upgrades!$U$17,I29),1)*IF(Upgrades!$T$18="Moving Group",POWER(Upgrades!$U$18,J29),1)*IF(Upgrades!$T$19="Moving Group",POWER(Upgrades!$U$19,K29),1)*IF(Upgrades!$T$20="Moving Group",POWER(Upgrades!$U$20,L29),1))*POWER(Upgrades!$P$13,E29)*POWER(Upgrades!$P$14,F29)*POWER(Upgrades!$P$15,G29)*POWER(Upgrades!$P$16,H29)*POWER(Upgrades!$P$17,I29)*POWER(Upgrades!$P$18,J29)*POWER(Upgrades!$P$19,K29)*POWER(Upgrades!$P$20,L29)*POWER(Upgrades!$P$21,M29)*$F$6*60</f>
        <v/>
      </c>
      <c r="AJ29" s="27">
        <f>$C$6*60</f>
        <v/>
      </c>
      <c r="AK29" s="22">
        <f>IF(E29&gt;=Upgrades!$E$13,"",Upgrades!$C$13*POWER(Upgrades!$D$13,E29))</f>
        <v/>
      </c>
      <c r="AL29" s="22">
        <f>IF(F29&gt;=Upgrades!$E$14,"",Upgrades!$C$14*POWER(Upgrades!$D$14,F29))</f>
        <v/>
      </c>
      <c r="AM29" s="22">
        <f>IF(G29&gt;=Upgrades!$E$15,"",Upgrades!$C$15*POWER(Upgrades!$D$15,G29))</f>
        <v/>
      </c>
      <c r="AN29" s="22">
        <f>IF(H29&gt;=Upgrades!$E$16,"",Upgrades!$C$16*POWER(Upgrades!$D$16,H29))</f>
        <v/>
      </c>
      <c r="AO29" s="22">
        <f>IF(I29&gt;=Upgrades!$E$17,"",Upgrades!$C$17*POWER(Upgrades!$D$17,I29))</f>
        <v/>
      </c>
      <c r="AP29" s="22">
        <f>IF(J29&gt;=Upgrades!$E$18,"",Upgrades!$C$18*POWER(Upgrades!$D$18,J29))</f>
        <v/>
      </c>
      <c r="AQ29" s="22">
        <f>IF(K29&gt;=Upgrades!$E$19,"",Upgrades!$C$19*POWER(Upgrades!$D$19,K29))</f>
        <v/>
      </c>
      <c r="AR29" s="22">
        <f>IF(L29&gt;=Upgrades!$E$20,"",Upgrades!$C$20*POWER(Upgrades!$D$20,L29))</f>
        <v/>
      </c>
      <c r="AS29" s="22">
        <f>IF(M29&gt;=Upgrades!$E$21,"",Upgrades!$C$21*POWER(Upgrades!$D$21,M29))</f>
        <v/>
      </c>
      <c r="AT29" s="26">
        <f>IF(AND(D29&gt;=Parameters!$B$18*Parameters!$B$19,(I29&gt;=Upgrades!$E$17)*(M29&gt;=Upgrades!$E$21)=1,N29=0),1,"")</f>
        <v/>
      </c>
      <c r="AU29" s="26">
        <f>IF(AND(D29&gt;=Parameters!$B$18*Parameters!$B$19,N29=0),1,"")</f>
        <v/>
      </c>
      <c r="AV29" s="22">
        <f>MIN(IF(ISNUMBER(AP29),AP29,9E15),IF(ISNUMBER(AQ29),AQ29,9E15),IF(ISNUMBER(AR29),AR29,9E15),IF(ISNUMBER(AS29),AS29,9E15))</f>
        <v/>
      </c>
      <c r="AW29" s="22">
        <f>MIN(IF(ISNUMBER(AK29),AK29,9E15),IF(ISNUMBER(AL29),AL29,9E15),IF(ISNUMBER(AM29),AM29,9E15),IF(ISNUMBER(AN29),AN29,9E15),IF(ISNUMBER(AO29),AO29,9E15))</f>
        <v/>
      </c>
      <c r="AX29" s="29">
        <f>IF(BD29&gt;Parameters!$B$21*(MAX(IF(AND(NOT(AND(AU29=1,AT29&lt;&gt;1)),ISNUMBER(AK29),AK29&lt;=(C29+T29)),AY29,0),IF(AND(NOT(AND(AU29=1,AT29&lt;&gt;1)),ISNUMBER(AL29),AL29&lt;=(C29+T29)),AZ29,0),IF(AND(NOT(AND(AU29=1,AT29&lt;&gt;1)),ISNUMBER(AM29),AM29&lt;=(C29+T29)),BA29,0),IF(AND(NOT(AND(AU29=1,AT29&lt;&gt;1)),ISNUMBER(AN29),AN29&lt;=(C29+T29)),BB29,0),IF(AND(ISNUMBER(AO29),AO29&lt;=(C29+T29)),BC29,0))),TRUE,FALSE)</f>
        <v/>
      </c>
      <c r="AY29" s="32">
        <f>IFERROR(Upgrades!$H$13*(POWER(Upgrades!$P$13,E29)*POWER(Upgrades!$P$14,F29)*POWER(Upgrades!$P$15,G29)*POWER(Upgrades!$P$16,H29)*POWER(Upgrades!$P$17,I29)*POWER(Upgrades!$P$18,J29)*POWER(Upgrades!$P$19,K29)*POWER(Upgrades!$P$20,L29)*POWER(Upgrades!$P$21,M29))*(IF(Upgrades!$T$14="Stellar Kinematics",POWER(Upgrades!$U$14,F29),1)*IF(Upgrades!$T$15="Stellar Kinematics",POWER(Upgrades!$U$15,G29),1)*IF(Upgrades!$T$16="Stellar Kinematics",POWER(Upgrades!$U$16,H29),1)*IF(Upgrades!$T$17="Stellar Kinematics",POWER(Upgrades!$U$17,I29),1)*IF(Upgrades!$T$18="Stellar Kinematics",POWER(Upgrades!$U$18,J29),1)*IF(Upgrades!$T$19="Stellar Kinematics",POWER(Upgrades!$U$19,K29),1)*IF(Upgrades!$T$20="Stellar Kinematics",POWER(Upgrades!$U$20,L29),1)*IF(Upgrades!$T$21="Stellar Kinematics",POWER(Upgrades!$U$21,M29),1))*$F$6/AK29,0)</f>
        <v/>
      </c>
      <c r="AZ29" s="32">
        <f>IFERROR(Upgrades!$H$14*(POWER(Upgrades!$P$13,E29)*POWER(Upgrades!$P$14,F29)*POWER(Upgrades!$P$15,G29)*POWER(Upgrades!$P$16,H29)*POWER(Upgrades!$P$17,I29)*POWER(Upgrades!$P$18,J29)*POWER(Upgrades!$P$19,K29)*POWER(Upgrades!$P$20,L29)*POWER(Upgrades!$P$21,M29))*(IF(Upgrades!$T$13="Local Bubble",POWER(Upgrades!$U$13,E29),1)*IF(Upgrades!$T$15="Local Bubble",POWER(Upgrades!$U$15,G29),1)*IF(Upgrades!$T$16="Local Bubble",POWER(Upgrades!$U$16,H29),1)*IF(Upgrades!$T$17="Local Bubble",POWER(Upgrades!$U$17,I29),1)*IF(Upgrades!$T$18="Local Bubble",POWER(Upgrades!$U$18,J29),1)*IF(Upgrades!$T$19="Local Bubble",POWER(Upgrades!$U$19,K29),1)*IF(Upgrades!$T$20="Local Bubble",POWER(Upgrades!$U$20,L29),1)*IF(Upgrades!$T$21="Local Bubble",POWER(Upgrades!$U$21,M29),1))*$F$6/AL29,0)</f>
        <v/>
      </c>
      <c r="BA29" s="32">
        <f>IFERROR(Upgrades!$K$15*(POWER(Upgrades!$Q$13,E29)*POWER(Upgrades!$Q$14,F29)*POWER(Upgrades!$Q$15,G29)*POWER(Upgrades!$Q$16,H29)*POWER(Upgrades!$Q$17,I29)*POWER(Upgrades!$Q$18,J29)*POWER(Upgrades!$Q$19,K29)*POWER(Upgrades!$Q$20,L29)*POWER(Upgrades!$Q$21,M29))*(IF(Upgrades!$T$13="Microlensing",POWER(Upgrades!$U$13,E29),1)*IF(Upgrades!$T$14="Microlensing",POWER(Upgrades!$U$14,F29),1)*IF(Upgrades!$T$16="Microlensing",POWER(Upgrades!$U$16,H29),1)*IF(Upgrades!$T$17="Microlensing",POWER(Upgrades!$U$17,I29),1)*IF(Upgrades!$T$18="Microlensing",POWER(Upgrades!$U$18,J29),1)*IF(Upgrades!$T$19="Microlensing",POWER(Upgrades!$U$19,K29),1)*IF(Upgrades!$T$20="Microlensing",POWER(Upgrades!$U$20,L29),1)*IF(Upgrades!$T$21="Microlensing",POWER(Upgrades!$U$21,M29),1))*$G$6*(Parameters!$B$10/60*Parameters!$B$11+Q29)/AM29,0)</f>
        <v/>
      </c>
      <c r="BB29" s="32">
        <f>IFERROR((Upgrades!$N$16*(POWER(Upgrades!$R$13,E29)*POWER(Upgrades!$R$14,F29)*POWER(Upgrades!$R$15,G29)*POWER(Upgrades!$R$16,H29)*POWER(Upgrades!$R$17,I29)*POWER(Upgrades!$R$18,J29)*POWER(Upgrades!$R$19,K29)*POWER(Upgrades!$R$20,L29)*POWER(Upgrades!$R$21,M29))*(IF(Upgrades!$T$13="Roche Lobe Overflow",POWER(Upgrades!$U$13,E29),1)*IF(Upgrades!$T$14="Roche Lobe Overflow",POWER(Upgrades!$U$14,F29),1)*IF(Upgrades!$T$15="Roche Lobe Overflow",POWER(Upgrades!$U$15,G29),1)*IF(Upgrades!$T$17="Roche Lobe Overflow",POWER(Upgrades!$U$17,I29),1)*IF(Upgrades!$T$18="Roche Lobe Overflow",POWER(Upgrades!$U$18,J29),1)*IF(Upgrades!$T$19="Roche Lobe Overflow",POWER(Upgrades!$U$19,K29),1)*IF(Upgrades!$T$20="Roche Lobe Overflow",POWER(Upgrades!$U$20,L29),1)*IF(Upgrades!$T$21="Roche Lobe Overflow",POWER(Upgrades!$U$21,M29),1))*$H$6*O29+((IF(F29=0,0,(Upgrades!$G$14+F29*Upgrades!$H$14)*POWER(Upgrades!$I$14,F29)))*(IF(Upgrades!$T$13="Local Bubble",POWER(Upgrades!$U$13,E29),1)*IF(Upgrades!$T$15="Local Bubble",POWER(Upgrades!$U$15,G29),1)*IF(Upgrades!$T$16="Local Bubble",POWER(Upgrades!$U$16,H29),1)*IF(Upgrades!$T$17="Local Bubble",POWER(Upgrades!$U$17,I29),1)*IF(Upgrades!$T$18="Local Bubble",POWER(Upgrades!$U$18,J29),1)*IF(Upgrades!$T$19="Local Bubble",POWER(Upgrades!$U$19,K29),1)*IF(Upgrades!$T$20="Local Bubble",POWER(Upgrades!$U$20,L29),1)*IF(Upgrades!$T$21="Local Bubble",POWER(Upgrades!$U$21,M29),1))*POWER(Upgrades!$P$13,E29)*POWER(Upgrades!$P$14,F29)*POWER(Upgrades!$P$15,G29)*POWER(Upgrades!$P$16,H29)*POWER(Upgrades!$P$17,I29)*POWER(Upgrades!$P$18,J29)*POWER(Upgrades!$P$19,K29)*POWER(Upgrades!$P$20,L29)*POWER(Upgrades!$P$21,M29)*$F$6)*0.05)/AN29,0)</f>
        <v/>
      </c>
      <c r="BC29" s="32">
        <f>IFERROR((Upgrades!$H$17*(POWER(Upgrades!$P$13,E29)*POWER(Upgrades!$P$14,F29)*POWER(Upgrades!$P$15,G29)*POWER(Upgrades!$P$16,H29)*POWER(Upgrades!$P$17,I29)*POWER(Upgrades!$P$18,J29)*POWER(Upgrades!$P$19,K29)*POWER(Upgrades!$P$20,L29)*POWER(Upgrades!$P$21,M29))*(IF(Upgrades!$T$13="Brown Dwarf",POWER(Upgrades!$U$13,E29),1)*IF(Upgrades!$T$14="Brown Dwarf",POWER(Upgrades!$U$14,F29),1)*IF(Upgrades!$T$15="Brown Dwarf",POWER(Upgrades!$U$15,G29),1)*IF(Upgrades!$T$16="Brown Dwarf",POWER(Upgrades!$U$16,H29),1)*IF(Upgrades!$T$18="Brown Dwarf",POWER(Upgrades!$U$18,J29),1)*IF(Upgrades!$T$19="Brown Dwarf",POWER(Upgrades!$U$19,K29),1)*IF(Upgrades!$T$20="Brown Dwarf",POWER(Upgrades!$U$20,L29),1)*IF(Upgrades!$T$21="Brown Dwarf",POWER(Upgrades!$U$21,M29),1))*$F$6+(((IF(H29=0,0,(Upgrades!$M$16+H29*Upgrades!$N$16)*POWER(Upgrades!$O$16,H29)))*(IF(Upgrades!$T$13="Roche Lobe Overflow",POWER(Upgrades!$U$13,E29),1)*IF(Upgrades!$T$14="Roche Lobe Overflow",POWER(Upgrades!$U$14,F29),1)*IF(Upgrades!$T$15="Roche Lobe Overflow",POWER(Upgrades!$U$15,G29),1)*IF(Upgrades!$T$17="Roche Lobe Overflow",POWER(Upgrades!$U$17,I29),1)*IF(Upgrades!$T$18="Roche Lobe Overflow",POWER(Upgrades!$U$18,J29),1)*IF(Upgrades!$T$19="Roche Lobe Overflow",POWER(Upgrades!$U$19,K29),1)*IF(Upgrades!$T$20="Roche Lobe Overflow",POWER(Upgrades!$U$20,L29),1)*IF(Upgrades!$T$21="Roche Lobe Overflow",POWER(Upgrades!$U$21,M29),1))*POWER(Upgrades!$R$13,E29)*POWER(Upgrades!$R$14,F29)*POWER(Upgrades!$R$15,G29)*POWER(Upgrades!$R$16,H29)*POWER(Upgrades!$R$17,I29)*POWER(Upgrades!$R$18,J29)*POWER(Upgrades!$R$19,K29)*POWER(Upgrades!$R$20,L29)*POWER(Upgrades!$R$21,M29)*$H$6)*O29)*0.10)/AO29,0)</f>
        <v/>
      </c>
      <c r="BD29" s="32">
        <f>MAX(IF(J29&gt;0,0,IFERROR(0.5*((IF(G29=0,0,(Upgrades!$J$15+G29*Upgrades!$K$15)*POWER(Upgrades!$L$15,G29)))*(IF(Upgrades!$T$13="Microlensing",POWER(Upgrades!$U$13,E29),1)*IF(Upgrades!$T$14="Microlensing",POWER(Upgrades!$U$14,F29),1)*IF(Upgrades!$T$16="Microlensing",POWER(Upgrades!$U$16,H29),1)*IF(Upgrades!$T$17="Microlensing",POWER(Upgrades!$U$17,I29),1)*IF(Upgrades!$T$18="Microlensing",POWER(Upgrades!$U$18,J29),1)*IF(Upgrades!$T$19="Microlensing",POWER(Upgrades!$U$19,K29),1)*IF(Upgrades!$T$20="Microlensing",POWER(Upgrades!$U$20,L29),1)*IF(Upgrades!$T$21="Microlensing",POWER(Upgrades!$U$21,M29),1))*(POWER(Upgrades!$Q$13,E29)*POWER(Upgrades!$Q$14,F29)*POWER(Upgrades!$Q$15,G29)*POWER(Upgrades!$Q$16,H29)*POWER(Upgrades!$Q$17,I29)*POWER(Upgrades!$Q$18,J29)*POWER(Upgrades!$Q$19,K29)*POWER(Upgrades!$Q$20,L29)*POWER(Upgrades!$Q$21,M29))*$G$6*(Parameters!$B$10/60*Parameters!$B$11+Q29))/Upgrades!$C$18,0)),IF(K29&gt;0,0,IFERROR(0.30*P29/Upgrades!$C$19,0)),IF(L29&gt;0,0,IFERROR(0.0001/Upgrades!$C$20,0)),IF(M29&gt;0,0,IFERROR((6.0*(POWER(Upgrades!$P$13,E29)*POWER(Upgrades!$P$14,F29)*POWER(Upgrades!$P$15,G29)*POWER(Upgrades!$P$16,H29)*POWER(Upgrades!$P$17,I29)*POWER(Upgrades!$P$18,J29)*POWER(Upgrades!$P$19,K29)*POWER(Upgrades!$P$20,L29)*POWER(Upgrades!$P$21,M29))*$F$6+0.20*O29*(Parameters!$B$10/60*Parameters!$B$11+Q29))/Upgrades!$C$21,0)),IF(AND(ISNUMBER(AK29),AK29&gt;(C29+T29)),AY29,0),IF(AND(ISNUMBER(AL29),AL29&gt;(C29+T29)),AZ29,0),IF(AND(ISNUMBER(AM29),AM29&gt;(C29+T29)),BA29,0),IF(AND(ISNUMBER(AN29),AN29&gt;(C29+T29)),BB29,0),IF(AND(ISNUMBER(AO29),AO29&gt;(C29+T29)),BC29,0))</f>
        <v/>
      </c>
      <c r="BE29" s="29">
        <f>IF(AT29=1,"transition",IF(MIN(IF(AND(J29=0,ISNUMBER(AP29),AP29&lt;=(C29+T29)),AP29,9E15),IF(AND(K29=0,ISNUMBER(AQ29),AQ29&lt;=(C29+T29)),AQ29,9E15),IF(AND(L29=0,ISNUMBER(AR29),AR29&lt;=(C29+T29)),AR29,9E15),IF(AND(M29=0,ISNUMBER(AS29),AS29&lt;=(C29+T29)),AS29,9E15))&lt;9E15,IF(AND(AND(J29=0,ISNUMBER(AP29),AP29&lt;=(C29+T29)),AP29=MIN(IF(AND(J29=0,ISNUMBER(AP29),AP29&lt;=(C29+T29)),AP29,9E15),IF(AND(K29=0,ISNUMBER(AQ29),AQ29&lt;=(C29+T29)),AQ29,9E15),IF(AND(L29=0,ISNUMBER(AR29),AR29&lt;=(C29+T29)),AR29,9E15),IF(AND(M29=0,ISNUMBER(AS29),AS29&lt;=(C29+T29)),AS29,9E15))),"BiP",IF(AND(AND(K29=0,ISNUMBER(AQ29),AQ29&lt;=(C29+T29)),AQ29=MIN(IF(AND(J29=0,ISNUMBER(AP29),AP29&lt;=(C29+T29)),AP29,9E15),IF(AND(K29=0,ISNUMBER(AQ29),AQ29&lt;=(C29+T29)),AQ29,9E15),IF(AND(L29=0,ISNUMBER(AR29),AR29&lt;=(C29+T29)),AR29,9E15),IF(AND(M29=0,ISNUMBER(AS29),AS29&lt;=(C29+T29)),AS29,9E15))),"PV",IF(AND(AND(L29=0,ISNUMBER(AR29),AR29&lt;=(C29+T29)),AR29=MIN(IF(AND(J29=0,ISNUMBER(AP29),AP29&lt;=(C29+T29)),AP29,9E15),IF(AND(K29=0,ISNUMBER(AQ29),AQ29&lt;=(C29+T29)),AQ29,9E15),IF(AND(L29=0,ISNUMBER(AR29),AR29&lt;=(C29+T29)),AR29,9E15),IF(AND(M29=0,ISNUMBER(AS29),AS29&lt;=(C29+T29)),AS29,9E15))),"OC","MG"))),IF(AX29=TRUE,"",IF(MAX(IF(AND(NOT(AND(AU29=1,AT29&lt;&gt;1)),ISNUMBER(AK29),AK29&lt;=(C29+T29)),AY29,0),IF(AND(NOT(AND(AU29=1,AT29&lt;&gt;1)),ISNUMBER(AL29),AL29&lt;=(C29+T29)),AZ29,0),IF(AND(NOT(AND(AU29=1,AT29&lt;&gt;1)),ISNUMBER(AM29),AM29&lt;=(C29+T29)),BA29,0),IF(AND(NOT(AND(AU29=1,AT29&lt;&gt;1)),ISNUMBER(AN29),AN29&lt;=(C29+T29)),BB29,0),IF(AND(ISNUMBER(AO29),AO29&lt;=(C29+T29)),BC29,0))&lt;=0,"",IF(AND(IF(AND(NOT(AND(AU29=1,AT29&lt;&gt;1)),ISNUMBER(AK29),AK29&lt;=(C29+T29)),AY29,0)&gt;0,IF(AND(NOT(AND(AU29=1,AT29&lt;&gt;1)),ISNUMBER(AK29),AK29&lt;=(C29+T29)),AY29,0)=MAX(IF(AND(NOT(AND(AU29=1,AT29&lt;&gt;1)),ISNUMBER(AK29),AK29&lt;=(C29+T29)),AY29,0),IF(AND(NOT(AND(AU29=1,AT29&lt;&gt;1)),ISNUMBER(AL29),AL29&lt;=(C29+T29)),AZ29,0),IF(AND(NOT(AND(AU29=1,AT29&lt;&gt;1)),ISNUMBER(AM29),AM29&lt;=(C29+T29)),BA29,0),IF(AND(NOT(AND(AU29=1,AT29&lt;&gt;1)),ISNUMBER(AN29),AN29&lt;=(C29+T29)),BB29,0),IF(AND(ISNUMBER(AO29),AO29&lt;=(C29+T29)),BC29,0))),"SK",IF(AND(IF(AND(NOT(AND(AU29=1,AT29&lt;&gt;1)),ISNUMBER(AL29),AL29&lt;=(C29+T29)),AZ29,0)&gt;0,IF(AND(NOT(AND(AU29=1,AT29&lt;&gt;1)),ISNUMBER(AL29),AL29&lt;=(C29+T29)),AZ29,0)=MAX(IF(AND(NOT(AND(AU29=1,AT29&lt;&gt;1)),ISNUMBER(AK29),AK29&lt;=(C29+T29)),AY29,0),IF(AND(NOT(AND(AU29=1,AT29&lt;&gt;1)),ISNUMBER(AL29),AL29&lt;=(C29+T29)),AZ29,0),IF(AND(NOT(AND(AU29=1,AT29&lt;&gt;1)),ISNUMBER(AM29),AM29&lt;=(C29+T29)),BA29,0),IF(AND(NOT(AND(AU29=1,AT29&lt;&gt;1)),ISNUMBER(AN29),AN29&lt;=(C29+T29)),BB29,0),IF(AND(ISNUMBER(AO29),AO29&lt;=(C29+T29)),BC29,0))),"LB",IF(AND(IF(AND(NOT(AND(AU29=1,AT29&lt;&gt;1)),ISNUMBER(AM29),AM29&lt;=(C29+T29)),BA29,0)&gt;0,IF(AND(NOT(AND(AU29=1,AT29&lt;&gt;1)),ISNUMBER(AM29),AM29&lt;=(C29+T29)),BA29,0)=MAX(IF(AND(NOT(AND(AU29=1,AT29&lt;&gt;1)),ISNUMBER(AK29),AK29&lt;=(C29+T29)),AY29,0),IF(AND(NOT(AND(AU29=1,AT29&lt;&gt;1)),ISNUMBER(AL29),AL29&lt;=(C29+T29)),AZ29,0),IF(AND(NOT(AND(AU29=1,AT29&lt;&gt;1)),ISNUMBER(AM29),AM29&lt;=(C29+T29)),BA29,0),IF(AND(NOT(AND(AU29=1,AT29&lt;&gt;1)),ISNUMBER(AN29),AN29&lt;=(C29+T29)),BB29,0),IF(AND(ISNUMBER(AO29),AO29&lt;=(C29+T29)),BC29,0))),"ML",IF(AND(IF(AND(NOT(AND(AU29=1,AT29&lt;&gt;1)),ISNUMBER(AN29),AN29&lt;=(C29+T29)),BB29,0)&gt;0,IF(AND(NOT(AND(AU29=1,AT29&lt;&gt;1)),ISNUMBER(AN29),AN29&lt;=(C29+T29)),BB29,0)=MAX(IF(AND(NOT(AND(AU29=1,AT29&lt;&gt;1)),ISNUMBER(AK29),AK29&lt;=(C29+T29)),AY29,0),IF(AND(NOT(AND(AU29=1,AT29&lt;&gt;1)),ISNUMBER(AL29),AL29&lt;=(C29+T29)),AZ29,0),IF(AND(NOT(AND(AU29=1,AT29&lt;&gt;1)),ISNUMBER(AM29),AM29&lt;=(C29+T29)),BA29,0),IF(AND(NOT(AND(AU29=1,AT29&lt;&gt;1)),ISNUMBER(AN29),AN29&lt;=(C29+T29)),BB29,0),IF(AND(ISNUMBER(AO29),AO29&lt;=(C29+T29)),BC29,0))),"RLO","BD"))))))))</f>
        <v/>
      </c>
    </row>
    <row r="30">
      <c r="A30" s="26" t="n">
        <v>19</v>
      </c>
      <c r="B30" s="27">
        <f>A30*10/60</f>
        <v/>
      </c>
      <c r="C30" s="22">
        <f>X29</f>
        <v/>
      </c>
      <c r="D30" s="27">
        <f>D29+W29</f>
        <v/>
      </c>
      <c r="E30" s="26">
        <f>E29+IF(U29="SK",1,0)</f>
        <v/>
      </c>
      <c r="F30" s="26">
        <f>F29+IF(U29="LB",1,0)</f>
        <v/>
      </c>
      <c r="G30" s="26">
        <f>G29+IF(U29="ML",1,0)</f>
        <v/>
      </c>
      <c r="H30" s="26">
        <f>H29+IF(U29="RLO",1,0)</f>
        <v/>
      </c>
      <c r="I30" s="26">
        <f>I29+IF(U29="BD",1,0)</f>
        <v/>
      </c>
      <c r="J30" s="26">
        <f>MAX(J29,IF(U29="BiP",1,0))</f>
        <v/>
      </c>
      <c r="K30" s="26">
        <f>MAX(K29,IF(U29="PV",1,0))</f>
        <v/>
      </c>
      <c r="L30" s="26">
        <f>MAX(L29,IF(U29="OC",1,0))</f>
        <v/>
      </c>
      <c r="M30" s="26">
        <f>MAX(M29,IF(U29="MG",1,0))</f>
        <v/>
      </c>
      <c r="N30" s="26">
        <f>MAX(N29,IF(U29="transition",1,0))</f>
        <v/>
      </c>
      <c r="O30" s="28">
        <f>(Parameters!$B$9+(IF(E30=0,0,(Upgrades!$J$13+E30*Upgrades!$K$13)*POWER(Upgrades!$L$13,E30)))*(IF(Upgrades!$T$14="Stellar Kinematics",POWER(Upgrades!$U$14,F30),1)*IF(Upgrades!$T$15="Stellar Kinematics",POWER(Upgrades!$U$15,G30),1)*IF(Upgrades!$T$16="Stellar Kinematics",POWER(Upgrades!$U$16,H30),1)*IF(Upgrades!$T$17="Stellar Kinematics",POWER(Upgrades!$U$17,I30),1)*IF(Upgrades!$T$18="Stellar Kinematics",POWER(Upgrades!$U$18,J30),1)*IF(Upgrades!$T$19="Stellar Kinematics",POWER(Upgrades!$U$19,K30),1)*IF(Upgrades!$T$20="Stellar Kinematics",POWER(Upgrades!$U$20,L30),1)*IF(Upgrades!$T$21="Stellar Kinematics",POWER(Upgrades!$U$21,M30),1))+(IF(F30=0,0,(Upgrades!$J$14+F30*Upgrades!$K$14)*POWER(Upgrades!$L$14,F30)))*(IF(Upgrades!$T$13="Local Bubble",POWER(Upgrades!$U$13,E30),1)*IF(Upgrades!$T$15="Local Bubble",POWER(Upgrades!$U$15,G30),1)*IF(Upgrades!$T$16="Local Bubble",POWER(Upgrades!$U$16,H30),1)*IF(Upgrades!$T$17="Local Bubble",POWER(Upgrades!$U$17,I30),1)*IF(Upgrades!$T$18="Local Bubble",POWER(Upgrades!$U$18,J30),1)*IF(Upgrades!$T$19="Local Bubble",POWER(Upgrades!$U$19,K30),1)*IF(Upgrades!$T$20="Local Bubble",POWER(Upgrades!$U$20,L30),1)*IF(Upgrades!$T$21="Local Bubble",POWER(Upgrades!$U$21,M30),1))+(IF(G30=0,0,(Upgrades!$J$15+G30*Upgrades!$K$15)*POWER(Upgrades!$L$15,G30)))*(IF(Upgrades!$T$13="Microlensing",POWER(Upgrades!$U$13,E30),1)*IF(Upgrades!$T$14="Microlensing",POWER(Upgrades!$U$14,F30),1)*IF(Upgrades!$T$16="Microlensing",POWER(Upgrades!$U$16,H30),1)*IF(Upgrades!$T$17="Microlensing",POWER(Upgrades!$U$17,I30),1)*IF(Upgrades!$T$18="Microlensing",POWER(Upgrades!$U$18,J30),1)*IF(Upgrades!$T$19="Microlensing",POWER(Upgrades!$U$19,K30),1)*IF(Upgrades!$T$20="Microlensing",POWER(Upgrades!$U$20,L30),1)*IF(Upgrades!$T$21="Microlensing",POWER(Upgrades!$U$21,M30),1))+(IF(H30=0,0,(Upgrades!$J$16+H30*Upgrades!$K$16)*POWER(Upgrades!$L$16,H30)))*(IF(Upgrades!$T$13="Roche Lobe Overflow",POWER(Upgrades!$U$13,E30),1)*IF(Upgrades!$T$14="Roche Lobe Overflow",POWER(Upgrades!$U$14,F30),1)*IF(Upgrades!$T$15="Roche Lobe Overflow",POWER(Upgrades!$U$15,G30),1)*IF(Upgrades!$T$17="Roche Lobe Overflow",POWER(Upgrades!$U$17,I30),1)*IF(Upgrades!$T$18="Roche Lobe Overflow",POWER(Upgrades!$U$18,J30),1)*IF(Upgrades!$T$19="Roche Lobe Overflow",POWER(Upgrades!$U$19,K30),1)*IF(Upgrades!$T$20="Roche Lobe Overflow",POWER(Upgrades!$U$20,L30),1)*IF(Upgrades!$T$21="Roche Lobe Overflow",POWER(Upgrades!$U$21,M30),1))+(IF(I30=0,0,(Upgrades!$J$17+I30*Upgrades!$K$17)*POWER(Upgrades!$L$17,I30)))*(IF(Upgrades!$T$13="Brown Dwarf",POWER(Upgrades!$U$13,E30),1)*IF(Upgrades!$T$14="Brown Dwarf",POWER(Upgrades!$U$14,F30),1)*IF(Upgrades!$T$15="Brown Dwarf",POWER(Upgrades!$U$15,G30),1)*IF(Upgrades!$T$16="Brown Dwarf",POWER(Upgrades!$U$16,H30),1)*IF(Upgrades!$T$18="Brown Dwarf",POWER(Upgrades!$U$18,J30),1)*IF(Upgrades!$T$19="Brown Dwarf",POWER(Upgrades!$U$19,K30),1)*IF(Upgrades!$T$20="Brown Dwarf",POWER(Upgrades!$U$20,L30),1)*IF(Upgrades!$T$21="Brown Dwarf",POWER(Upgrades!$U$21,M30),1))+(IF(J30=0,0,(Upgrades!$J$18+J30*Upgrades!$K$18)*POWER(Upgrades!$L$18,J30)))*(IF(Upgrades!$T$13="Binary Partner",POWER(Upgrades!$U$13,E30),1)*IF(Upgrades!$T$14="Binary Partner",POWER(Upgrades!$U$14,F30),1)*IF(Upgrades!$T$15="Binary Partner",POWER(Upgrades!$U$15,G30),1)*IF(Upgrades!$T$16="Binary Partner",POWER(Upgrades!$U$16,H30),1)*IF(Upgrades!$T$17="Binary Partner",POWER(Upgrades!$U$17,I30),1)*IF(Upgrades!$T$19="Binary Partner",POWER(Upgrades!$U$19,K30),1)*IF(Upgrades!$T$20="Binary Partner",POWER(Upgrades!$U$20,L30),1)*IF(Upgrades!$T$21="Binary Partner",POWER(Upgrades!$U$21,M30),1))+(IF(K30=0,0,(Upgrades!$J$19+K30*Upgrades!$K$19)*POWER(Upgrades!$L$19,K30)))*(IF(Upgrades!$T$13="Peculiar Velocity",POWER(Upgrades!$U$13,E30),1)*IF(Upgrades!$T$14="Peculiar Velocity",POWER(Upgrades!$U$14,F30),1)*IF(Upgrades!$T$15="Peculiar Velocity",POWER(Upgrades!$U$15,G30),1)*IF(Upgrades!$T$16="Peculiar Velocity",POWER(Upgrades!$U$16,H30),1)*IF(Upgrades!$T$17="Peculiar Velocity",POWER(Upgrades!$U$17,I30),1)*IF(Upgrades!$T$18="Peculiar Velocity",POWER(Upgrades!$U$18,J30),1)*IF(Upgrades!$T$20="Peculiar Velocity",POWER(Upgrades!$U$20,L30),1)*IF(Upgrades!$T$21="Peculiar Velocity",POWER(Upgrades!$U$21,M30),1))+(IF(L30=0,0,(Upgrades!$J$20+L30*Upgrades!$K$20)*POWER(Upgrades!$L$20,L30)))*(IF(Upgrades!$T$13="Open Cluster",POWER(Upgrades!$U$13,E30),1)*IF(Upgrades!$T$14="Open Cluster",POWER(Upgrades!$U$14,F30),1)*IF(Upgrades!$T$15="Open Cluster",POWER(Upgrades!$U$15,G30),1)*IF(Upgrades!$T$16="Open Cluster",POWER(Upgrades!$U$16,H30),1)*IF(Upgrades!$T$17="Open Cluster",POWER(Upgrades!$U$17,I30),1)*IF(Upgrades!$T$18="Open Cluster",POWER(Upgrades!$U$18,J30),1)*IF(Upgrades!$T$19="Open Cluster",POWER(Upgrades!$U$19,K30),1)*IF(Upgrades!$T$21="Open Cluster",POWER(Upgrades!$U$21,M30),1))+(IF(M30=0,0,(Upgrades!$J$21+M30*Upgrades!$K$21)*POWER(Upgrades!$L$21,M30)))*(IF(Upgrades!$T$13="Moving Group",POWER(Upgrades!$U$13,E30),1)*IF(Upgrades!$T$14="Moving Group",POWER(Upgrades!$U$14,F30),1)*IF(Upgrades!$T$15="Moving Group",POWER(Upgrades!$U$15,G30),1)*IF(Upgrades!$T$16="Moving Group",POWER(Upgrades!$U$16,H30),1)*IF(Upgrades!$T$17="Moving Group",POWER(Upgrades!$U$17,I30),1)*IF(Upgrades!$T$18="Moving Group",POWER(Upgrades!$U$18,J30),1)*IF(Upgrades!$T$19="Moving Group",POWER(Upgrades!$U$19,K30),1)*IF(Upgrades!$T$20="Moving Group",POWER(Upgrades!$U$20,L30),1)))*POWER(Upgrades!$Q$13,E30)*POWER(Upgrades!$Q$14,F30)*POWER(Upgrades!$Q$15,G30)*POWER(Upgrades!$Q$16,H30)*POWER(Upgrades!$Q$17,I30)*POWER(Upgrades!$Q$18,J30)*POWER(Upgrades!$Q$19,K30)*POWER(Upgrades!$Q$20,L30)*POWER(Upgrades!$Q$21,M30)*$G$6+$D$6</f>
        <v/>
      </c>
      <c r="P30" s="28">
        <f>((IF(E30=0,0,(Upgrades!$G$13+E30*Upgrades!$H$13)*POWER(Upgrades!$I$13,E30)))*(IF(Upgrades!$T$14="Stellar Kinematics",POWER(Upgrades!$U$14,F30),1)*IF(Upgrades!$T$15="Stellar Kinematics",POWER(Upgrades!$U$15,G30),1)*IF(Upgrades!$T$16="Stellar Kinematics",POWER(Upgrades!$U$16,H30),1)*IF(Upgrades!$T$17="Stellar Kinematics",POWER(Upgrades!$U$17,I30),1)*IF(Upgrades!$T$18="Stellar Kinematics",POWER(Upgrades!$U$18,J30),1)*IF(Upgrades!$T$19="Stellar Kinematics",POWER(Upgrades!$U$19,K30),1)*IF(Upgrades!$T$20="Stellar Kinematics",POWER(Upgrades!$U$20,L30),1)*IF(Upgrades!$T$21="Stellar Kinematics",POWER(Upgrades!$U$21,M30),1))+(IF(F30=0,0,(Upgrades!$G$14+F30*Upgrades!$H$14)*POWER(Upgrades!$I$14,F30)))*(IF(Upgrades!$T$13="Local Bubble",POWER(Upgrades!$U$13,E30),1)*IF(Upgrades!$T$15="Local Bubble",POWER(Upgrades!$U$15,G30),1)*IF(Upgrades!$T$16="Local Bubble",POWER(Upgrades!$U$16,H30),1)*IF(Upgrades!$T$17="Local Bubble",POWER(Upgrades!$U$17,I30),1)*IF(Upgrades!$T$18="Local Bubble",POWER(Upgrades!$U$18,J30),1)*IF(Upgrades!$T$19="Local Bubble",POWER(Upgrades!$U$19,K30),1)*IF(Upgrades!$T$20="Local Bubble",POWER(Upgrades!$U$20,L30),1)*IF(Upgrades!$T$21="Local Bubble",POWER(Upgrades!$U$21,M30),1))+(IF(G30=0,0,(Upgrades!$G$15+G30*Upgrades!$H$15)*POWER(Upgrades!$I$15,G30)))*(IF(Upgrades!$T$13="Microlensing",POWER(Upgrades!$U$13,E30),1)*IF(Upgrades!$T$14="Microlensing",POWER(Upgrades!$U$14,F30),1)*IF(Upgrades!$T$16="Microlensing",POWER(Upgrades!$U$16,H30),1)*IF(Upgrades!$T$17="Microlensing",POWER(Upgrades!$U$17,I30),1)*IF(Upgrades!$T$18="Microlensing",POWER(Upgrades!$U$18,J30),1)*IF(Upgrades!$T$19="Microlensing",POWER(Upgrades!$U$19,K30),1)*IF(Upgrades!$T$20="Microlensing",POWER(Upgrades!$U$20,L30),1)*IF(Upgrades!$T$21="Microlensing",POWER(Upgrades!$U$21,M30),1))+(IF(H30=0,0,(Upgrades!$G$16+H30*Upgrades!$H$16)*POWER(Upgrades!$I$16,H30)))*(IF(Upgrades!$T$13="Roche Lobe Overflow",POWER(Upgrades!$U$13,E30),1)*IF(Upgrades!$T$14="Roche Lobe Overflow",POWER(Upgrades!$U$14,F30),1)*IF(Upgrades!$T$15="Roche Lobe Overflow",POWER(Upgrades!$U$15,G30),1)*IF(Upgrades!$T$17="Roche Lobe Overflow",POWER(Upgrades!$U$17,I30),1)*IF(Upgrades!$T$18="Roche Lobe Overflow",POWER(Upgrades!$U$18,J30),1)*IF(Upgrades!$T$19="Roche Lobe Overflow",POWER(Upgrades!$U$19,K30),1)*IF(Upgrades!$T$20="Roche Lobe Overflow",POWER(Upgrades!$U$20,L30),1)*IF(Upgrades!$T$21="Roche Lobe Overflow",POWER(Upgrades!$U$21,M30),1))+(IF(I30=0,0,(Upgrades!$G$17+I30*Upgrades!$H$17)*POWER(Upgrades!$I$17,I30)))*(IF(Upgrades!$T$13="Brown Dwarf",POWER(Upgrades!$U$13,E30),1)*IF(Upgrades!$T$14="Brown Dwarf",POWER(Upgrades!$U$14,F30),1)*IF(Upgrades!$T$15="Brown Dwarf",POWER(Upgrades!$U$15,G30),1)*IF(Upgrades!$T$16="Brown Dwarf",POWER(Upgrades!$U$16,H30),1)*IF(Upgrades!$T$18="Brown Dwarf",POWER(Upgrades!$U$18,J30),1)*IF(Upgrades!$T$19="Brown Dwarf",POWER(Upgrades!$U$19,K30),1)*IF(Upgrades!$T$20="Brown Dwarf",POWER(Upgrades!$U$20,L30),1)*IF(Upgrades!$T$21="Brown Dwarf",POWER(Upgrades!$U$21,M30),1))+(IF(J30=0,0,(Upgrades!$G$18+J30*Upgrades!$H$18)*POWER(Upgrades!$I$18,J30)))*(IF(Upgrades!$T$13="Binary Partner",POWER(Upgrades!$U$13,E30),1)*IF(Upgrades!$T$14="Binary Partner",POWER(Upgrades!$U$14,F30),1)*IF(Upgrades!$T$15="Binary Partner",POWER(Upgrades!$U$15,G30),1)*IF(Upgrades!$T$16="Binary Partner",POWER(Upgrades!$U$16,H30),1)*IF(Upgrades!$T$17="Binary Partner",POWER(Upgrades!$U$17,I30),1)*IF(Upgrades!$T$19="Binary Partner",POWER(Upgrades!$U$19,K30),1)*IF(Upgrades!$T$20="Binary Partner",POWER(Upgrades!$U$20,L30),1)*IF(Upgrades!$T$21="Binary Partner",POWER(Upgrades!$U$21,M30),1))+(IF(K30=0,0,(Upgrades!$G$19+K30*Upgrades!$H$19)*POWER(Upgrades!$I$19,K30)))*(IF(Upgrades!$T$13="Peculiar Velocity",POWER(Upgrades!$U$13,E30),1)*IF(Upgrades!$T$14="Peculiar Velocity",POWER(Upgrades!$U$14,F30),1)*IF(Upgrades!$T$15="Peculiar Velocity",POWER(Upgrades!$U$15,G30),1)*IF(Upgrades!$T$16="Peculiar Velocity",POWER(Upgrades!$U$16,H30),1)*IF(Upgrades!$T$17="Peculiar Velocity",POWER(Upgrades!$U$17,I30),1)*IF(Upgrades!$T$18="Peculiar Velocity",POWER(Upgrades!$U$18,J30),1)*IF(Upgrades!$T$20="Peculiar Velocity",POWER(Upgrades!$U$20,L30),1)*IF(Upgrades!$T$21="Peculiar Velocity",POWER(Upgrades!$U$21,M30),1))+(IF(L30=0,0,(Upgrades!$G$20+L30*Upgrades!$H$20)*POWER(Upgrades!$I$20,L30)))*(IF(Upgrades!$T$13="Open Cluster",POWER(Upgrades!$U$13,E30),1)*IF(Upgrades!$T$14="Open Cluster",POWER(Upgrades!$U$14,F30),1)*IF(Upgrades!$T$15="Open Cluster",POWER(Upgrades!$U$15,G30),1)*IF(Upgrades!$T$16="Open Cluster",POWER(Upgrades!$U$16,H30),1)*IF(Upgrades!$T$17="Open Cluster",POWER(Upgrades!$U$17,I30),1)*IF(Upgrades!$T$18="Open Cluster",POWER(Upgrades!$U$18,J30),1)*IF(Upgrades!$T$19="Open Cluster",POWER(Upgrades!$U$19,K30),1)*IF(Upgrades!$T$21="Open Cluster",POWER(Upgrades!$U$21,M30),1))+(IF(M30=0,0,(Upgrades!$G$21+M30*Upgrades!$H$21)*POWER(Upgrades!$I$21,M30)))*(IF(Upgrades!$T$13="Moving Group",POWER(Upgrades!$U$13,E30),1)*IF(Upgrades!$T$14="Moving Group",POWER(Upgrades!$U$14,F30),1)*IF(Upgrades!$T$15="Moving Group",POWER(Upgrades!$U$15,G30),1)*IF(Upgrades!$T$16="Moving Group",POWER(Upgrades!$U$16,H30),1)*IF(Upgrades!$T$17="Moving Group",POWER(Upgrades!$U$17,I30),1)*IF(Upgrades!$T$18="Moving Group",POWER(Upgrades!$U$18,J30),1)*IF(Upgrades!$T$19="Moving Group",POWER(Upgrades!$U$19,K30),1)*IF(Upgrades!$T$20="Moving Group",POWER(Upgrades!$U$20,L30),1)))*POWER(Upgrades!$P$13,E30)*POWER(Upgrades!$P$14,F30)*POWER(Upgrades!$P$15,G30)*POWER(Upgrades!$P$16,H30)*POWER(Upgrades!$P$17,I30)*POWER(Upgrades!$P$18,J30)*POWER(Upgrades!$P$19,K30)*POWER(Upgrades!$P$20,L30)*POWER(Upgrades!$P$21,M30)*$F$6+$C$6</f>
        <v/>
      </c>
      <c r="Q30" s="28">
        <f>((IF(E30=0,0,(Upgrades!$M$13+E30*Upgrades!$N$13)*POWER(Upgrades!$O$13,E30)))*(IF(Upgrades!$T$14="Stellar Kinematics",POWER(Upgrades!$U$14,F30),1)*IF(Upgrades!$T$15="Stellar Kinematics",POWER(Upgrades!$U$15,G30),1)*IF(Upgrades!$T$16="Stellar Kinematics",POWER(Upgrades!$U$16,H30),1)*IF(Upgrades!$T$17="Stellar Kinematics",POWER(Upgrades!$U$17,I30),1)*IF(Upgrades!$T$18="Stellar Kinematics",POWER(Upgrades!$U$18,J30),1)*IF(Upgrades!$T$19="Stellar Kinematics",POWER(Upgrades!$U$19,K30),1)*IF(Upgrades!$T$20="Stellar Kinematics",POWER(Upgrades!$U$20,L30),1)*IF(Upgrades!$T$21="Stellar Kinematics",POWER(Upgrades!$U$21,M30),1))+(IF(F30=0,0,(Upgrades!$M$14+F30*Upgrades!$N$14)*POWER(Upgrades!$O$14,F30)))*(IF(Upgrades!$T$13="Local Bubble",POWER(Upgrades!$U$13,E30),1)*IF(Upgrades!$T$15="Local Bubble",POWER(Upgrades!$U$15,G30),1)*IF(Upgrades!$T$16="Local Bubble",POWER(Upgrades!$U$16,H30),1)*IF(Upgrades!$T$17="Local Bubble",POWER(Upgrades!$U$17,I30),1)*IF(Upgrades!$T$18="Local Bubble",POWER(Upgrades!$U$18,J30),1)*IF(Upgrades!$T$19="Local Bubble",POWER(Upgrades!$U$19,K30),1)*IF(Upgrades!$T$20="Local Bubble",POWER(Upgrades!$U$20,L30),1)*IF(Upgrades!$T$21="Local Bubble",POWER(Upgrades!$U$21,M30),1))+(IF(G30=0,0,(Upgrades!$M$15+G30*Upgrades!$N$15)*POWER(Upgrades!$O$15,G30)))*(IF(Upgrades!$T$13="Microlensing",POWER(Upgrades!$U$13,E30),1)*IF(Upgrades!$T$14="Microlensing",POWER(Upgrades!$U$14,F30),1)*IF(Upgrades!$T$16="Microlensing",POWER(Upgrades!$U$16,H30),1)*IF(Upgrades!$T$17="Microlensing",POWER(Upgrades!$U$17,I30),1)*IF(Upgrades!$T$18="Microlensing",POWER(Upgrades!$U$18,J30),1)*IF(Upgrades!$T$19="Microlensing",POWER(Upgrades!$U$19,K30),1)*IF(Upgrades!$T$20="Microlensing",POWER(Upgrades!$U$20,L30),1)*IF(Upgrades!$T$21="Microlensing",POWER(Upgrades!$U$21,M30),1))+(IF(H30=0,0,(Upgrades!$M$16+H30*Upgrades!$N$16)*POWER(Upgrades!$O$16,H30)))*(IF(Upgrades!$T$13="Roche Lobe Overflow",POWER(Upgrades!$U$13,E30),1)*IF(Upgrades!$T$14="Roche Lobe Overflow",POWER(Upgrades!$U$14,F30),1)*IF(Upgrades!$T$15="Roche Lobe Overflow",POWER(Upgrades!$U$15,G30),1)*IF(Upgrades!$T$17="Roche Lobe Overflow",POWER(Upgrades!$U$17,I30),1)*IF(Upgrades!$T$18="Roche Lobe Overflow",POWER(Upgrades!$U$18,J30),1)*IF(Upgrades!$T$19="Roche Lobe Overflow",POWER(Upgrades!$U$19,K30),1)*IF(Upgrades!$T$20="Roche Lobe Overflow",POWER(Upgrades!$U$20,L30),1)*IF(Upgrades!$T$21="Roche Lobe Overflow",POWER(Upgrades!$U$21,M30),1))+(IF(I30=0,0,(Upgrades!$M$17+I30*Upgrades!$N$17)*POWER(Upgrades!$O$17,I30)))*(IF(Upgrades!$T$13="Brown Dwarf",POWER(Upgrades!$U$13,E30),1)*IF(Upgrades!$T$14="Brown Dwarf",POWER(Upgrades!$U$14,F30),1)*IF(Upgrades!$T$15="Brown Dwarf",POWER(Upgrades!$U$15,G30),1)*IF(Upgrades!$T$16="Brown Dwarf",POWER(Upgrades!$U$16,H30),1)*IF(Upgrades!$T$18="Brown Dwarf",POWER(Upgrades!$U$18,J30),1)*IF(Upgrades!$T$19="Brown Dwarf",POWER(Upgrades!$U$19,K30),1)*IF(Upgrades!$T$20="Brown Dwarf",POWER(Upgrades!$U$20,L30),1)*IF(Upgrades!$T$21="Brown Dwarf",POWER(Upgrades!$U$21,M30),1))+(IF(J30=0,0,(Upgrades!$M$18+J30*Upgrades!$N$18)*POWER(Upgrades!$O$18,J30)))*(IF(Upgrades!$T$13="Binary Partner",POWER(Upgrades!$U$13,E30),1)*IF(Upgrades!$T$14="Binary Partner",POWER(Upgrades!$U$14,F30),1)*IF(Upgrades!$T$15="Binary Partner",POWER(Upgrades!$U$15,G30),1)*IF(Upgrades!$T$16="Binary Partner",POWER(Upgrades!$U$16,H30),1)*IF(Upgrades!$T$17="Binary Partner",POWER(Upgrades!$U$17,I30),1)*IF(Upgrades!$T$19="Binary Partner",POWER(Upgrades!$U$19,K30),1)*IF(Upgrades!$T$20="Binary Partner",POWER(Upgrades!$U$20,L30),1)*IF(Upgrades!$T$21="Binary Partner",POWER(Upgrades!$U$21,M30),1))+(IF(K30=0,0,(Upgrades!$M$19+K30*Upgrades!$N$19)*POWER(Upgrades!$O$19,K30)))*(IF(Upgrades!$T$13="Peculiar Velocity",POWER(Upgrades!$U$13,E30),1)*IF(Upgrades!$T$14="Peculiar Velocity",POWER(Upgrades!$U$14,F30),1)*IF(Upgrades!$T$15="Peculiar Velocity",POWER(Upgrades!$U$15,G30),1)*IF(Upgrades!$T$16="Peculiar Velocity",POWER(Upgrades!$U$16,H30),1)*IF(Upgrades!$T$17="Peculiar Velocity",POWER(Upgrades!$U$17,I30),1)*IF(Upgrades!$T$18="Peculiar Velocity",POWER(Upgrades!$U$18,J30),1)*IF(Upgrades!$T$20="Peculiar Velocity",POWER(Upgrades!$U$20,L30),1)*IF(Upgrades!$T$21="Peculiar Velocity",POWER(Upgrades!$U$21,M30),1))+(IF(L30=0,0,(Upgrades!$M$20+L30*Upgrades!$N$20)*POWER(Upgrades!$O$20,L30)))*(IF(Upgrades!$T$13="Open Cluster",POWER(Upgrades!$U$13,E30),1)*IF(Upgrades!$T$14="Open Cluster",POWER(Upgrades!$U$14,F30),1)*IF(Upgrades!$T$15="Open Cluster",POWER(Upgrades!$U$15,G30),1)*IF(Upgrades!$T$16="Open Cluster",POWER(Upgrades!$U$16,H30),1)*IF(Upgrades!$T$17="Open Cluster",POWER(Upgrades!$U$17,I30),1)*IF(Upgrades!$T$18="Open Cluster",POWER(Upgrades!$U$18,J30),1)*IF(Upgrades!$T$19="Open Cluster",POWER(Upgrades!$U$19,K30),1)*IF(Upgrades!$T$21="Open Cluster",POWER(Upgrades!$U$21,M30),1))+(IF(M30=0,0,(Upgrades!$M$21+M30*Upgrades!$N$21)*POWER(Upgrades!$O$21,M30)))*(IF(Upgrades!$T$13="Moving Group",POWER(Upgrades!$U$13,E30),1)*IF(Upgrades!$T$14="Moving Group",POWER(Upgrades!$U$14,F30),1)*IF(Upgrades!$T$15="Moving Group",POWER(Upgrades!$U$15,G30),1)*IF(Upgrades!$T$16="Moving Group",POWER(Upgrades!$U$16,H30),1)*IF(Upgrades!$T$17="Moving Group",POWER(Upgrades!$U$17,I30),1)*IF(Upgrades!$T$18="Moving Group",POWER(Upgrades!$U$18,J30),1)*IF(Upgrades!$T$19="Moving Group",POWER(Upgrades!$U$19,K30),1)*IF(Upgrades!$T$20="Moving Group",POWER(Upgrades!$U$20,L30),1)))*POWER(Upgrades!$R$13,E30)*POWER(Upgrades!$R$14,F30)*POWER(Upgrades!$R$15,G30)*POWER(Upgrades!$R$16,H30)*POWER(Upgrades!$R$17,I30)*POWER(Upgrades!$R$18,J30)*POWER(Upgrades!$R$19,K30)*POWER(Upgrades!$R$20,L30)*POWER(Upgrades!$R$21,M30)*$H$6+$E$6</f>
        <v/>
      </c>
      <c r="R30" s="27">
        <f>IF(N30=1,0,O30*Parameters!$B$10/60*Parameters!$B$11*10)</f>
        <v/>
      </c>
      <c r="S30" s="27">
        <f>IF(N30=1,0,Q30*O30*10)</f>
        <v/>
      </c>
      <c r="T30" s="27">
        <f>IF(N30=1,0,R30+S30+P30*10)</f>
        <v/>
      </c>
      <c r="U30" s="33">
        <f>BE30</f>
        <v/>
      </c>
      <c r="V30" s="22">
        <f>IF(U30="",0,IF(U30="transition",0,IF(U30="SK",AK30,IF(U30="LB",AL30,IF(U30="ML",AM30,IF(U30="RLO",AN30,IF(U30="BD",AO30,IF(U30="BiP",AP30,IF(U30="PV",AQ30,IF(U30="OC",AR30,IF(U30="MG",AS30,0))))))))))</f>
        <v/>
      </c>
      <c r="W30" s="27">
        <f>IF(U30="BiP",Upgrades!$F$18,IF(U30="PV",Upgrades!$F$19,IF(U30="OC",Upgrades!$F$20,IF(U30="MG",Upgrades!$F$21,IF(U30="transition",-Parameters!$B$18*Parameters!$B$19,0)))))</f>
        <v/>
      </c>
      <c r="X30" s="22">
        <f>C30+T30-V30</f>
        <v/>
      </c>
      <c r="Y30" s="30">
        <f>O30*Parameters!$B$10/60*Parameters!$B$11+Q30*O30+P30</f>
        <v/>
      </c>
      <c r="Z30" s="34">
        <f>IF(U30="transition","→ Tier 3 (Galactic Arm)",IF(U30="MG","Moving Group — pocket drifts together",IF(U30="OC","Open Cluster acquired",IF(U30="PV","Peculiar Velocity — passive multiplier active",IF(U30="BiP","Binary Partner — pair bond formed",IF(AND(AU30=1,N30=0,AT30&lt;&gt;1),"Cohesion ready (waiting on completionists)","")))))) </f>
        <v/>
      </c>
      <c r="AA30" s="27">
        <f>(IF(E30=0,0,(Upgrades!$G$13+E30*Upgrades!$H$13)*POWER(Upgrades!$I$13,E30)))*(IF(Upgrades!$T$14="Stellar Kinematics",POWER(Upgrades!$U$14,F30),1)*IF(Upgrades!$T$15="Stellar Kinematics",POWER(Upgrades!$U$15,G30),1)*IF(Upgrades!$T$16="Stellar Kinematics",POWER(Upgrades!$U$16,H30),1)*IF(Upgrades!$T$17="Stellar Kinematics",POWER(Upgrades!$U$17,I30),1)*IF(Upgrades!$T$18="Stellar Kinematics",POWER(Upgrades!$U$18,J30),1)*IF(Upgrades!$T$19="Stellar Kinematics",POWER(Upgrades!$U$19,K30),1)*IF(Upgrades!$T$20="Stellar Kinematics",POWER(Upgrades!$U$20,L30),1)*IF(Upgrades!$T$21="Stellar Kinematics",POWER(Upgrades!$U$21,M30),1))*POWER(Upgrades!$P$13,E30)*POWER(Upgrades!$P$14,F30)*POWER(Upgrades!$P$15,G30)*POWER(Upgrades!$P$16,H30)*POWER(Upgrades!$P$17,I30)*POWER(Upgrades!$P$18,J30)*POWER(Upgrades!$P$19,K30)*POWER(Upgrades!$P$20,L30)*POWER(Upgrades!$P$21,M30)*$F$6*60</f>
        <v/>
      </c>
      <c r="AB30" s="27">
        <f>(IF(F30=0,0,(Upgrades!$G$14+F30*Upgrades!$H$14)*POWER(Upgrades!$I$14,F30)))*(IF(Upgrades!$T$13="Local Bubble",POWER(Upgrades!$U$13,E30),1)*IF(Upgrades!$T$15="Local Bubble",POWER(Upgrades!$U$15,G30),1)*IF(Upgrades!$T$16="Local Bubble",POWER(Upgrades!$U$16,H30),1)*IF(Upgrades!$T$17="Local Bubble",POWER(Upgrades!$U$17,I30),1)*IF(Upgrades!$T$18="Local Bubble",POWER(Upgrades!$U$18,J30),1)*IF(Upgrades!$T$19="Local Bubble",POWER(Upgrades!$U$19,K30),1)*IF(Upgrades!$T$20="Local Bubble",POWER(Upgrades!$U$20,L30),1)*IF(Upgrades!$T$21="Local Bubble",POWER(Upgrades!$U$21,M30),1))*POWER(Upgrades!$P$13,E30)*POWER(Upgrades!$P$14,F30)*POWER(Upgrades!$P$15,G30)*POWER(Upgrades!$P$16,H30)*POWER(Upgrades!$P$17,I30)*POWER(Upgrades!$P$18,J30)*POWER(Upgrades!$P$19,K30)*POWER(Upgrades!$P$20,L30)*POWER(Upgrades!$P$21,M30)*$F$6*60</f>
        <v/>
      </c>
      <c r="AC30" s="27">
        <f>(IF(G30=0,0,(Upgrades!$J$15+G30*Upgrades!$K$15)*POWER(Upgrades!$L$15,G30)))*(IF(Upgrades!$T$13="Microlensing",POWER(Upgrades!$U$13,E30),1)*IF(Upgrades!$T$14="Microlensing",POWER(Upgrades!$U$14,F30),1)*IF(Upgrades!$T$16="Microlensing",POWER(Upgrades!$U$16,H30),1)*IF(Upgrades!$T$17="Microlensing",POWER(Upgrades!$U$17,I30),1)*IF(Upgrades!$T$18="Microlensing",POWER(Upgrades!$U$18,J30),1)*IF(Upgrades!$T$19="Microlensing",POWER(Upgrades!$U$19,K30),1)*IF(Upgrades!$T$20="Microlensing",POWER(Upgrades!$U$20,L30),1)*IF(Upgrades!$T$21="Microlensing",POWER(Upgrades!$U$21,M30),1))*POWER(Upgrades!$Q$13,E30)*POWER(Upgrades!$Q$14,F30)*POWER(Upgrades!$Q$15,G30)*POWER(Upgrades!$Q$16,H30)*POWER(Upgrades!$Q$17,I30)*POWER(Upgrades!$Q$18,J30)*POWER(Upgrades!$Q$19,K30)*POWER(Upgrades!$Q$20,L30)*POWER(Upgrades!$Q$21,M30)*$G$6*(Parameters!$B$10*Parameters!$B$11+Q30*60)</f>
        <v/>
      </c>
      <c r="AD30" s="27">
        <f>(IF(H30=0,0,(Upgrades!$M$16+H30*Upgrades!$N$16)*POWER(Upgrades!$O$16,H30)))*(IF(Upgrades!$T$13="Roche Lobe Overflow",POWER(Upgrades!$U$13,E30),1)*IF(Upgrades!$T$14="Roche Lobe Overflow",POWER(Upgrades!$U$14,F30),1)*IF(Upgrades!$T$15="Roche Lobe Overflow",POWER(Upgrades!$U$15,G30),1)*IF(Upgrades!$T$17="Roche Lobe Overflow",POWER(Upgrades!$U$17,I30),1)*IF(Upgrades!$T$18="Roche Lobe Overflow",POWER(Upgrades!$U$18,J30),1)*IF(Upgrades!$T$19="Roche Lobe Overflow",POWER(Upgrades!$U$19,K30),1)*IF(Upgrades!$T$20="Roche Lobe Overflow",POWER(Upgrades!$U$20,L30),1)*IF(Upgrades!$T$21="Roche Lobe Overflow",POWER(Upgrades!$U$21,M30),1))*POWER(Upgrades!$R$13,E30)*POWER(Upgrades!$R$14,F30)*POWER(Upgrades!$R$15,G30)*POWER(Upgrades!$R$16,H30)*POWER(Upgrades!$R$17,I30)*POWER(Upgrades!$R$18,J30)*POWER(Upgrades!$R$19,K30)*POWER(Upgrades!$R$20,L30)*POWER(Upgrades!$R$21,M30)*$H$6*O30*60</f>
        <v/>
      </c>
      <c r="AE30" s="27">
        <f>(IF(I30=0,0,(Upgrades!$G$17+I30*Upgrades!$H$17)*POWER(Upgrades!$I$17,I30)))*(IF(Upgrades!$T$13="Brown Dwarf",POWER(Upgrades!$U$13,E30),1)*IF(Upgrades!$T$14="Brown Dwarf",POWER(Upgrades!$U$14,F30),1)*IF(Upgrades!$T$15="Brown Dwarf",POWER(Upgrades!$U$15,G30),1)*IF(Upgrades!$T$16="Brown Dwarf",POWER(Upgrades!$U$16,H30),1)*IF(Upgrades!$T$18="Brown Dwarf",POWER(Upgrades!$U$18,J30),1)*IF(Upgrades!$T$19="Brown Dwarf",POWER(Upgrades!$U$19,K30),1)*IF(Upgrades!$T$20="Brown Dwarf",POWER(Upgrades!$U$20,L30),1)*IF(Upgrades!$T$21="Brown Dwarf",POWER(Upgrades!$U$21,M30),1))*POWER(Upgrades!$P$13,E30)*POWER(Upgrades!$P$14,F30)*POWER(Upgrades!$P$15,G30)*POWER(Upgrades!$P$16,H30)*POWER(Upgrades!$P$17,I30)*POWER(Upgrades!$P$18,J30)*POWER(Upgrades!$P$19,K30)*POWER(Upgrades!$P$20,L30)*POWER(Upgrades!$P$21,M30)*$F$6*60</f>
        <v/>
      </c>
      <c r="AF30" s="27" t="n">
        <v>0</v>
      </c>
      <c r="AG30" s="27" t="n">
        <v>0</v>
      </c>
      <c r="AH30" s="27" t="n">
        <v>0</v>
      </c>
      <c r="AI30" s="27">
        <f>(IF(M30=0,0,(Upgrades!$G$21+M30*Upgrades!$H$21)*POWER(Upgrades!$I$21,M30)))*(IF(Upgrades!$T$13="Moving Group",POWER(Upgrades!$U$13,E30),1)*IF(Upgrades!$T$14="Moving Group",POWER(Upgrades!$U$14,F30),1)*IF(Upgrades!$T$15="Moving Group",POWER(Upgrades!$U$15,G30),1)*IF(Upgrades!$T$16="Moving Group",POWER(Upgrades!$U$16,H30),1)*IF(Upgrades!$T$17="Moving Group",POWER(Upgrades!$U$17,I30),1)*IF(Upgrades!$T$18="Moving Group",POWER(Upgrades!$U$18,J30),1)*IF(Upgrades!$T$19="Moving Group",POWER(Upgrades!$U$19,K30),1)*IF(Upgrades!$T$20="Moving Group",POWER(Upgrades!$U$20,L30),1))*POWER(Upgrades!$P$13,E30)*POWER(Upgrades!$P$14,F30)*POWER(Upgrades!$P$15,G30)*POWER(Upgrades!$P$16,H30)*POWER(Upgrades!$P$17,I30)*POWER(Upgrades!$P$18,J30)*POWER(Upgrades!$P$19,K30)*POWER(Upgrades!$P$20,L30)*POWER(Upgrades!$P$21,M30)*$F$6*60</f>
        <v/>
      </c>
      <c r="AJ30" s="27">
        <f>$C$6*60</f>
        <v/>
      </c>
      <c r="AK30" s="22">
        <f>IF(E30&gt;=Upgrades!$E$13,"",Upgrades!$C$13*POWER(Upgrades!$D$13,E30))</f>
        <v/>
      </c>
      <c r="AL30" s="22">
        <f>IF(F30&gt;=Upgrades!$E$14,"",Upgrades!$C$14*POWER(Upgrades!$D$14,F30))</f>
        <v/>
      </c>
      <c r="AM30" s="22">
        <f>IF(G30&gt;=Upgrades!$E$15,"",Upgrades!$C$15*POWER(Upgrades!$D$15,G30))</f>
        <v/>
      </c>
      <c r="AN30" s="22">
        <f>IF(H30&gt;=Upgrades!$E$16,"",Upgrades!$C$16*POWER(Upgrades!$D$16,H30))</f>
        <v/>
      </c>
      <c r="AO30" s="22">
        <f>IF(I30&gt;=Upgrades!$E$17,"",Upgrades!$C$17*POWER(Upgrades!$D$17,I30))</f>
        <v/>
      </c>
      <c r="AP30" s="22">
        <f>IF(J30&gt;=Upgrades!$E$18,"",Upgrades!$C$18*POWER(Upgrades!$D$18,J30))</f>
        <v/>
      </c>
      <c r="AQ30" s="22">
        <f>IF(K30&gt;=Upgrades!$E$19,"",Upgrades!$C$19*POWER(Upgrades!$D$19,K30))</f>
        <v/>
      </c>
      <c r="AR30" s="22">
        <f>IF(L30&gt;=Upgrades!$E$20,"",Upgrades!$C$20*POWER(Upgrades!$D$20,L30))</f>
        <v/>
      </c>
      <c r="AS30" s="22">
        <f>IF(M30&gt;=Upgrades!$E$21,"",Upgrades!$C$21*POWER(Upgrades!$D$21,M30))</f>
        <v/>
      </c>
      <c r="AT30" s="26">
        <f>IF(AND(D30&gt;=Parameters!$B$18*Parameters!$B$19,(I30&gt;=Upgrades!$E$17)*(M30&gt;=Upgrades!$E$21)=1,N30=0),1,"")</f>
        <v/>
      </c>
      <c r="AU30" s="26">
        <f>IF(AND(D30&gt;=Parameters!$B$18*Parameters!$B$19,N30=0),1,"")</f>
        <v/>
      </c>
      <c r="AV30" s="22">
        <f>MIN(IF(ISNUMBER(AP30),AP30,9E15),IF(ISNUMBER(AQ30),AQ30,9E15),IF(ISNUMBER(AR30),AR30,9E15),IF(ISNUMBER(AS30),AS30,9E15))</f>
        <v/>
      </c>
      <c r="AW30" s="22">
        <f>MIN(IF(ISNUMBER(AK30),AK30,9E15),IF(ISNUMBER(AL30),AL30,9E15),IF(ISNUMBER(AM30),AM30,9E15),IF(ISNUMBER(AN30),AN30,9E15),IF(ISNUMBER(AO30),AO30,9E15))</f>
        <v/>
      </c>
      <c r="AX30" s="29">
        <f>IF(BD30&gt;Parameters!$B$21*(MAX(IF(AND(NOT(AND(AU30=1,AT30&lt;&gt;1)),ISNUMBER(AK30),AK30&lt;=(C30+T30)),AY30,0),IF(AND(NOT(AND(AU30=1,AT30&lt;&gt;1)),ISNUMBER(AL30),AL30&lt;=(C30+T30)),AZ30,0),IF(AND(NOT(AND(AU30=1,AT30&lt;&gt;1)),ISNUMBER(AM30),AM30&lt;=(C30+T30)),BA30,0),IF(AND(NOT(AND(AU30=1,AT30&lt;&gt;1)),ISNUMBER(AN30),AN30&lt;=(C30+T30)),BB30,0),IF(AND(ISNUMBER(AO30),AO30&lt;=(C30+T30)),BC30,0))),TRUE,FALSE)</f>
        <v/>
      </c>
      <c r="AY30" s="32">
        <f>IFERROR(Upgrades!$H$13*(POWER(Upgrades!$P$13,E30)*POWER(Upgrades!$P$14,F30)*POWER(Upgrades!$P$15,G30)*POWER(Upgrades!$P$16,H30)*POWER(Upgrades!$P$17,I30)*POWER(Upgrades!$P$18,J30)*POWER(Upgrades!$P$19,K30)*POWER(Upgrades!$P$20,L30)*POWER(Upgrades!$P$21,M30))*(IF(Upgrades!$T$14="Stellar Kinematics",POWER(Upgrades!$U$14,F30),1)*IF(Upgrades!$T$15="Stellar Kinematics",POWER(Upgrades!$U$15,G30),1)*IF(Upgrades!$T$16="Stellar Kinematics",POWER(Upgrades!$U$16,H30),1)*IF(Upgrades!$T$17="Stellar Kinematics",POWER(Upgrades!$U$17,I30),1)*IF(Upgrades!$T$18="Stellar Kinematics",POWER(Upgrades!$U$18,J30),1)*IF(Upgrades!$T$19="Stellar Kinematics",POWER(Upgrades!$U$19,K30),1)*IF(Upgrades!$T$20="Stellar Kinematics",POWER(Upgrades!$U$20,L30),1)*IF(Upgrades!$T$21="Stellar Kinematics",POWER(Upgrades!$U$21,M30),1))*$F$6/AK30,0)</f>
        <v/>
      </c>
      <c r="AZ30" s="32">
        <f>IFERROR(Upgrades!$H$14*(POWER(Upgrades!$P$13,E30)*POWER(Upgrades!$P$14,F30)*POWER(Upgrades!$P$15,G30)*POWER(Upgrades!$P$16,H30)*POWER(Upgrades!$P$17,I30)*POWER(Upgrades!$P$18,J30)*POWER(Upgrades!$P$19,K30)*POWER(Upgrades!$P$20,L30)*POWER(Upgrades!$P$21,M30))*(IF(Upgrades!$T$13="Local Bubble",POWER(Upgrades!$U$13,E30),1)*IF(Upgrades!$T$15="Local Bubble",POWER(Upgrades!$U$15,G30),1)*IF(Upgrades!$T$16="Local Bubble",POWER(Upgrades!$U$16,H30),1)*IF(Upgrades!$T$17="Local Bubble",POWER(Upgrades!$U$17,I30),1)*IF(Upgrades!$T$18="Local Bubble",POWER(Upgrades!$U$18,J30),1)*IF(Upgrades!$T$19="Local Bubble",POWER(Upgrades!$U$19,K30),1)*IF(Upgrades!$T$20="Local Bubble",POWER(Upgrades!$U$20,L30),1)*IF(Upgrades!$T$21="Local Bubble",POWER(Upgrades!$U$21,M30),1))*$F$6/AL30,0)</f>
        <v/>
      </c>
      <c r="BA30" s="32">
        <f>IFERROR(Upgrades!$K$15*(POWER(Upgrades!$Q$13,E30)*POWER(Upgrades!$Q$14,F30)*POWER(Upgrades!$Q$15,G30)*POWER(Upgrades!$Q$16,H30)*POWER(Upgrades!$Q$17,I30)*POWER(Upgrades!$Q$18,J30)*POWER(Upgrades!$Q$19,K30)*POWER(Upgrades!$Q$20,L30)*POWER(Upgrades!$Q$21,M30))*(IF(Upgrades!$T$13="Microlensing",POWER(Upgrades!$U$13,E30),1)*IF(Upgrades!$T$14="Microlensing",POWER(Upgrades!$U$14,F30),1)*IF(Upgrades!$T$16="Microlensing",POWER(Upgrades!$U$16,H30),1)*IF(Upgrades!$T$17="Microlensing",POWER(Upgrades!$U$17,I30),1)*IF(Upgrades!$T$18="Microlensing",POWER(Upgrades!$U$18,J30),1)*IF(Upgrades!$T$19="Microlensing",POWER(Upgrades!$U$19,K30),1)*IF(Upgrades!$T$20="Microlensing",POWER(Upgrades!$U$20,L30),1)*IF(Upgrades!$T$21="Microlensing",POWER(Upgrades!$U$21,M30),1))*$G$6*(Parameters!$B$10/60*Parameters!$B$11+Q30)/AM30,0)</f>
        <v/>
      </c>
      <c r="BB30" s="32">
        <f>IFERROR((Upgrades!$N$16*(POWER(Upgrades!$R$13,E30)*POWER(Upgrades!$R$14,F30)*POWER(Upgrades!$R$15,G30)*POWER(Upgrades!$R$16,H30)*POWER(Upgrades!$R$17,I30)*POWER(Upgrades!$R$18,J30)*POWER(Upgrades!$R$19,K30)*POWER(Upgrades!$R$20,L30)*POWER(Upgrades!$R$21,M30))*(IF(Upgrades!$T$13="Roche Lobe Overflow",POWER(Upgrades!$U$13,E30),1)*IF(Upgrades!$T$14="Roche Lobe Overflow",POWER(Upgrades!$U$14,F30),1)*IF(Upgrades!$T$15="Roche Lobe Overflow",POWER(Upgrades!$U$15,G30),1)*IF(Upgrades!$T$17="Roche Lobe Overflow",POWER(Upgrades!$U$17,I30),1)*IF(Upgrades!$T$18="Roche Lobe Overflow",POWER(Upgrades!$U$18,J30),1)*IF(Upgrades!$T$19="Roche Lobe Overflow",POWER(Upgrades!$U$19,K30),1)*IF(Upgrades!$T$20="Roche Lobe Overflow",POWER(Upgrades!$U$20,L30),1)*IF(Upgrades!$T$21="Roche Lobe Overflow",POWER(Upgrades!$U$21,M30),1))*$H$6*O30+((IF(F30=0,0,(Upgrades!$G$14+F30*Upgrades!$H$14)*POWER(Upgrades!$I$14,F30)))*(IF(Upgrades!$T$13="Local Bubble",POWER(Upgrades!$U$13,E30),1)*IF(Upgrades!$T$15="Local Bubble",POWER(Upgrades!$U$15,G30),1)*IF(Upgrades!$T$16="Local Bubble",POWER(Upgrades!$U$16,H30),1)*IF(Upgrades!$T$17="Local Bubble",POWER(Upgrades!$U$17,I30),1)*IF(Upgrades!$T$18="Local Bubble",POWER(Upgrades!$U$18,J30),1)*IF(Upgrades!$T$19="Local Bubble",POWER(Upgrades!$U$19,K30),1)*IF(Upgrades!$T$20="Local Bubble",POWER(Upgrades!$U$20,L30),1)*IF(Upgrades!$T$21="Local Bubble",POWER(Upgrades!$U$21,M30),1))*POWER(Upgrades!$P$13,E30)*POWER(Upgrades!$P$14,F30)*POWER(Upgrades!$P$15,G30)*POWER(Upgrades!$P$16,H30)*POWER(Upgrades!$P$17,I30)*POWER(Upgrades!$P$18,J30)*POWER(Upgrades!$P$19,K30)*POWER(Upgrades!$P$20,L30)*POWER(Upgrades!$P$21,M30)*$F$6)*0.05)/AN30,0)</f>
        <v/>
      </c>
      <c r="BC30" s="32">
        <f>IFERROR((Upgrades!$H$17*(POWER(Upgrades!$P$13,E30)*POWER(Upgrades!$P$14,F30)*POWER(Upgrades!$P$15,G30)*POWER(Upgrades!$P$16,H30)*POWER(Upgrades!$P$17,I30)*POWER(Upgrades!$P$18,J30)*POWER(Upgrades!$P$19,K30)*POWER(Upgrades!$P$20,L30)*POWER(Upgrades!$P$21,M30))*(IF(Upgrades!$T$13="Brown Dwarf",POWER(Upgrades!$U$13,E30),1)*IF(Upgrades!$T$14="Brown Dwarf",POWER(Upgrades!$U$14,F30),1)*IF(Upgrades!$T$15="Brown Dwarf",POWER(Upgrades!$U$15,G30),1)*IF(Upgrades!$T$16="Brown Dwarf",POWER(Upgrades!$U$16,H30),1)*IF(Upgrades!$T$18="Brown Dwarf",POWER(Upgrades!$U$18,J30),1)*IF(Upgrades!$T$19="Brown Dwarf",POWER(Upgrades!$U$19,K30),1)*IF(Upgrades!$T$20="Brown Dwarf",POWER(Upgrades!$U$20,L30),1)*IF(Upgrades!$T$21="Brown Dwarf",POWER(Upgrades!$U$21,M30),1))*$F$6+(((IF(H30=0,0,(Upgrades!$M$16+H30*Upgrades!$N$16)*POWER(Upgrades!$O$16,H30)))*(IF(Upgrades!$T$13="Roche Lobe Overflow",POWER(Upgrades!$U$13,E30),1)*IF(Upgrades!$T$14="Roche Lobe Overflow",POWER(Upgrades!$U$14,F30),1)*IF(Upgrades!$T$15="Roche Lobe Overflow",POWER(Upgrades!$U$15,G30),1)*IF(Upgrades!$T$17="Roche Lobe Overflow",POWER(Upgrades!$U$17,I30),1)*IF(Upgrades!$T$18="Roche Lobe Overflow",POWER(Upgrades!$U$18,J30),1)*IF(Upgrades!$T$19="Roche Lobe Overflow",POWER(Upgrades!$U$19,K30),1)*IF(Upgrades!$T$20="Roche Lobe Overflow",POWER(Upgrades!$U$20,L30),1)*IF(Upgrades!$T$21="Roche Lobe Overflow",POWER(Upgrades!$U$21,M30),1))*POWER(Upgrades!$R$13,E30)*POWER(Upgrades!$R$14,F30)*POWER(Upgrades!$R$15,G30)*POWER(Upgrades!$R$16,H30)*POWER(Upgrades!$R$17,I30)*POWER(Upgrades!$R$18,J30)*POWER(Upgrades!$R$19,K30)*POWER(Upgrades!$R$20,L30)*POWER(Upgrades!$R$21,M30)*$H$6)*O30)*0.10)/AO30,0)</f>
        <v/>
      </c>
      <c r="BD30" s="32">
        <f>MAX(IF(J30&gt;0,0,IFERROR(0.5*((IF(G30=0,0,(Upgrades!$J$15+G30*Upgrades!$K$15)*POWER(Upgrades!$L$15,G30)))*(IF(Upgrades!$T$13="Microlensing",POWER(Upgrades!$U$13,E30),1)*IF(Upgrades!$T$14="Microlensing",POWER(Upgrades!$U$14,F30),1)*IF(Upgrades!$T$16="Microlensing",POWER(Upgrades!$U$16,H30),1)*IF(Upgrades!$T$17="Microlensing",POWER(Upgrades!$U$17,I30),1)*IF(Upgrades!$T$18="Microlensing",POWER(Upgrades!$U$18,J30),1)*IF(Upgrades!$T$19="Microlensing",POWER(Upgrades!$U$19,K30),1)*IF(Upgrades!$T$20="Microlensing",POWER(Upgrades!$U$20,L30),1)*IF(Upgrades!$T$21="Microlensing",POWER(Upgrades!$U$21,M30),1))*(POWER(Upgrades!$Q$13,E30)*POWER(Upgrades!$Q$14,F30)*POWER(Upgrades!$Q$15,G30)*POWER(Upgrades!$Q$16,H30)*POWER(Upgrades!$Q$17,I30)*POWER(Upgrades!$Q$18,J30)*POWER(Upgrades!$Q$19,K30)*POWER(Upgrades!$Q$20,L30)*POWER(Upgrades!$Q$21,M30))*$G$6*(Parameters!$B$10/60*Parameters!$B$11+Q30))/Upgrades!$C$18,0)),IF(K30&gt;0,0,IFERROR(0.30*P30/Upgrades!$C$19,0)),IF(L30&gt;0,0,IFERROR(0.0001/Upgrades!$C$20,0)),IF(M30&gt;0,0,IFERROR((6.0*(POWER(Upgrades!$P$13,E30)*POWER(Upgrades!$P$14,F30)*POWER(Upgrades!$P$15,G30)*POWER(Upgrades!$P$16,H30)*POWER(Upgrades!$P$17,I30)*POWER(Upgrades!$P$18,J30)*POWER(Upgrades!$P$19,K30)*POWER(Upgrades!$P$20,L30)*POWER(Upgrades!$P$21,M30))*$F$6+0.20*O30*(Parameters!$B$10/60*Parameters!$B$11+Q30))/Upgrades!$C$21,0)),IF(AND(ISNUMBER(AK30),AK30&gt;(C30+T30)),AY30,0),IF(AND(ISNUMBER(AL30),AL30&gt;(C30+T30)),AZ30,0),IF(AND(ISNUMBER(AM30),AM30&gt;(C30+T30)),BA30,0),IF(AND(ISNUMBER(AN30),AN30&gt;(C30+T30)),BB30,0),IF(AND(ISNUMBER(AO30),AO30&gt;(C30+T30)),BC30,0))</f>
        <v/>
      </c>
      <c r="BE30" s="29">
        <f>IF(AT30=1,"transition",IF(MIN(IF(AND(J30=0,ISNUMBER(AP30),AP30&lt;=(C30+T30)),AP30,9E15),IF(AND(K30=0,ISNUMBER(AQ30),AQ30&lt;=(C30+T30)),AQ30,9E15),IF(AND(L30=0,ISNUMBER(AR30),AR30&lt;=(C30+T30)),AR30,9E15),IF(AND(M30=0,ISNUMBER(AS30),AS30&lt;=(C30+T30)),AS30,9E15))&lt;9E15,IF(AND(AND(J30=0,ISNUMBER(AP30),AP30&lt;=(C30+T30)),AP30=MIN(IF(AND(J30=0,ISNUMBER(AP30),AP30&lt;=(C30+T30)),AP30,9E15),IF(AND(K30=0,ISNUMBER(AQ30),AQ30&lt;=(C30+T30)),AQ30,9E15),IF(AND(L30=0,ISNUMBER(AR30),AR30&lt;=(C30+T30)),AR30,9E15),IF(AND(M30=0,ISNUMBER(AS30),AS30&lt;=(C30+T30)),AS30,9E15))),"BiP",IF(AND(AND(K30=0,ISNUMBER(AQ30),AQ30&lt;=(C30+T30)),AQ30=MIN(IF(AND(J30=0,ISNUMBER(AP30),AP30&lt;=(C30+T30)),AP30,9E15),IF(AND(K30=0,ISNUMBER(AQ30),AQ30&lt;=(C30+T30)),AQ30,9E15),IF(AND(L30=0,ISNUMBER(AR30),AR30&lt;=(C30+T30)),AR30,9E15),IF(AND(M30=0,ISNUMBER(AS30),AS30&lt;=(C30+T30)),AS30,9E15))),"PV",IF(AND(AND(L30=0,ISNUMBER(AR30),AR30&lt;=(C30+T30)),AR30=MIN(IF(AND(J30=0,ISNUMBER(AP30),AP30&lt;=(C30+T30)),AP30,9E15),IF(AND(K30=0,ISNUMBER(AQ30),AQ30&lt;=(C30+T30)),AQ30,9E15),IF(AND(L30=0,ISNUMBER(AR30),AR30&lt;=(C30+T30)),AR30,9E15),IF(AND(M30=0,ISNUMBER(AS30),AS30&lt;=(C30+T30)),AS30,9E15))),"OC","MG"))),IF(AX30=TRUE,"",IF(MAX(IF(AND(NOT(AND(AU30=1,AT30&lt;&gt;1)),ISNUMBER(AK30),AK30&lt;=(C30+T30)),AY30,0),IF(AND(NOT(AND(AU30=1,AT30&lt;&gt;1)),ISNUMBER(AL30),AL30&lt;=(C30+T30)),AZ30,0),IF(AND(NOT(AND(AU30=1,AT30&lt;&gt;1)),ISNUMBER(AM30),AM30&lt;=(C30+T30)),BA30,0),IF(AND(NOT(AND(AU30=1,AT30&lt;&gt;1)),ISNUMBER(AN30),AN30&lt;=(C30+T30)),BB30,0),IF(AND(ISNUMBER(AO30),AO30&lt;=(C30+T30)),BC30,0))&lt;=0,"",IF(AND(IF(AND(NOT(AND(AU30=1,AT30&lt;&gt;1)),ISNUMBER(AK30),AK30&lt;=(C30+T30)),AY30,0)&gt;0,IF(AND(NOT(AND(AU30=1,AT30&lt;&gt;1)),ISNUMBER(AK30),AK30&lt;=(C30+T30)),AY30,0)=MAX(IF(AND(NOT(AND(AU30=1,AT30&lt;&gt;1)),ISNUMBER(AK30),AK30&lt;=(C30+T30)),AY30,0),IF(AND(NOT(AND(AU30=1,AT30&lt;&gt;1)),ISNUMBER(AL30),AL30&lt;=(C30+T30)),AZ30,0),IF(AND(NOT(AND(AU30=1,AT30&lt;&gt;1)),ISNUMBER(AM30),AM30&lt;=(C30+T30)),BA30,0),IF(AND(NOT(AND(AU30=1,AT30&lt;&gt;1)),ISNUMBER(AN30),AN30&lt;=(C30+T30)),BB30,0),IF(AND(ISNUMBER(AO30),AO30&lt;=(C30+T30)),BC30,0))),"SK",IF(AND(IF(AND(NOT(AND(AU30=1,AT30&lt;&gt;1)),ISNUMBER(AL30),AL30&lt;=(C30+T30)),AZ30,0)&gt;0,IF(AND(NOT(AND(AU30=1,AT30&lt;&gt;1)),ISNUMBER(AL30),AL30&lt;=(C30+T30)),AZ30,0)=MAX(IF(AND(NOT(AND(AU30=1,AT30&lt;&gt;1)),ISNUMBER(AK30),AK30&lt;=(C30+T30)),AY30,0),IF(AND(NOT(AND(AU30=1,AT30&lt;&gt;1)),ISNUMBER(AL30),AL30&lt;=(C30+T30)),AZ30,0),IF(AND(NOT(AND(AU30=1,AT30&lt;&gt;1)),ISNUMBER(AM30),AM30&lt;=(C30+T30)),BA30,0),IF(AND(NOT(AND(AU30=1,AT30&lt;&gt;1)),ISNUMBER(AN30),AN30&lt;=(C30+T30)),BB30,0),IF(AND(ISNUMBER(AO30),AO30&lt;=(C30+T30)),BC30,0))),"LB",IF(AND(IF(AND(NOT(AND(AU30=1,AT30&lt;&gt;1)),ISNUMBER(AM30),AM30&lt;=(C30+T30)),BA30,0)&gt;0,IF(AND(NOT(AND(AU30=1,AT30&lt;&gt;1)),ISNUMBER(AM30),AM30&lt;=(C30+T30)),BA30,0)=MAX(IF(AND(NOT(AND(AU30=1,AT30&lt;&gt;1)),ISNUMBER(AK30),AK30&lt;=(C30+T30)),AY30,0),IF(AND(NOT(AND(AU30=1,AT30&lt;&gt;1)),ISNUMBER(AL30),AL30&lt;=(C30+T30)),AZ30,0),IF(AND(NOT(AND(AU30=1,AT30&lt;&gt;1)),ISNUMBER(AM30),AM30&lt;=(C30+T30)),BA30,0),IF(AND(NOT(AND(AU30=1,AT30&lt;&gt;1)),ISNUMBER(AN30),AN30&lt;=(C30+T30)),BB30,0),IF(AND(ISNUMBER(AO30),AO30&lt;=(C30+T30)),BC30,0))),"ML",IF(AND(IF(AND(NOT(AND(AU30=1,AT30&lt;&gt;1)),ISNUMBER(AN30),AN30&lt;=(C30+T30)),BB30,0)&gt;0,IF(AND(NOT(AND(AU30=1,AT30&lt;&gt;1)),ISNUMBER(AN30),AN30&lt;=(C30+T30)),BB30,0)=MAX(IF(AND(NOT(AND(AU30=1,AT30&lt;&gt;1)),ISNUMBER(AK30),AK30&lt;=(C30+T30)),AY30,0),IF(AND(NOT(AND(AU30=1,AT30&lt;&gt;1)),ISNUMBER(AL30),AL30&lt;=(C30+T30)),AZ30,0),IF(AND(NOT(AND(AU30=1,AT30&lt;&gt;1)),ISNUMBER(AM30),AM30&lt;=(C30+T30)),BA30,0),IF(AND(NOT(AND(AU30=1,AT30&lt;&gt;1)),ISNUMBER(AN30),AN30&lt;=(C30+T30)),BB30,0),IF(AND(ISNUMBER(AO30),AO30&lt;=(C30+T30)),BC30,0))),"RLO","BD"))))))))</f>
        <v/>
      </c>
    </row>
    <row r="31">
      <c r="A31" s="26" t="n">
        <v>20</v>
      </c>
      <c r="B31" s="27">
        <f>A31*10/60</f>
        <v/>
      </c>
      <c r="C31" s="22">
        <f>X30</f>
        <v/>
      </c>
      <c r="D31" s="27">
        <f>D30+W30</f>
        <v/>
      </c>
      <c r="E31" s="26">
        <f>E30+IF(U30="SK",1,0)</f>
        <v/>
      </c>
      <c r="F31" s="26">
        <f>F30+IF(U30="LB",1,0)</f>
        <v/>
      </c>
      <c r="G31" s="26">
        <f>G30+IF(U30="ML",1,0)</f>
        <v/>
      </c>
      <c r="H31" s="26">
        <f>H30+IF(U30="RLO",1,0)</f>
        <v/>
      </c>
      <c r="I31" s="26">
        <f>I30+IF(U30="BD",1,0)</f>
        <v/>
      </c>
      <c r="J31" s="26">
        <f>MAX(J30,IF(U30="BiP",1,0))</f>
        <v/>
      </c>
      <c r="K31" s="26">
        <f>MAX(K30,IF(U30="PV",1,0))</f>
        <v/>
      </c>
      <c r="L31" s="26">
        <f>MAX(L30,IF(U30="OC",1,0))</f>
        <v/>
      </c>
      <c r="M31" s="26">
        <f>MAX(M30,IF(U30="MG",1,0))</f>
        <v/>
      </c>
      <c r="N31" s="26">
        <f>MAX(N30,IF(U30="transition",1,0))</f>
        <v/>
      </c>
      <c r="O31" s="28">
        <f>(Parameters!$B$9+(IF(E31=0,0,(Upgrades!$J$13+E31*Upgrades!$K$13)*POWER(Upgrades!$L$13,E31)))*(IF(Upgrades!$T$14="Stellar Kinematics",POWER(Upgrades!$U$14,F31),1)*IF(Upgrades!$T$15="Stellar Kinematics",POWER(Upgrades!$U$15,G31),1)*IF(Upgrades!$T$16="Stellar Kinematics",POWER(Upgrades!$U$16,H31),1)*IF(Upgrades!$T$17="Stellar Kinematics",POWER(Upgrades!$U$17,I31),1)*IF(Upgrades!$T$18="Stellar Kinematics",POWER(Upgrades!$U$18,J31),1)*IF(Upgrades!$T$19="Stellar Kinematics",POWER(Upgrades!$U$19,K31),1)*IF(Upgrades!$T$20="Stellar Kinematics",POWER(Upgrades!$U$20,L31),1)*IF(Upgrades!$T$21="Stellar Kinematics",POWER(Upgrades!$U$21,M31),1))+(IF(F31=0,0,(Upgrades!$J$14+F31*Upgrades!$K$14)*POWER(Upgrades!$L$14,F31)))*(IF(Upgrades!$T$13="Local Bubble",POWER(Upgrades!$U$13,E31),1)*IF(Upgrades!$T$15="Local Bubble",POWER(Upgrades!$U$15,G31),1)*IF(Upgrades!$T$16="Local Bubble",POWER(Upgrades!$U$16,H31),1)*IF(Upgrades!$T$17="Local Bubble",POWER(Upgrades!$U$17,I31),1)*IF(Upgrades!$T$18="Local Bubble",POWER(Upgrades!$U$18,J31),1)*IF(Upgrades!$T$19="Local Bubble",POWER(Upgrades!$U$19,K31),1)*IF(Upgrades!$T$20="Local Bubble",POWER(Upgrades!$U$20,L31),1)*IF(Upgrades!$T$21="Local Bubble",POWER(Upgrades!$U$21,M31),1))+(IF(G31=0,0,(Upgrades!$J$15+G31*Upgrades!$K$15)*POWER(Upgrades!$L$15,G31)))*(IF(Upgrades!$T$13="Microlensing",POWER(Upgrades!$U$13,E31),1)*IF(Upgrades!$T$14="Microlensing",POWER(Upgrades!$U$14,F31),1)*IF(Upgrades!$T$16="Microlensing",POWER(Upgrades!$U$16,H31),1)*IF(Upgrades!$T$17="Microlensing",POWER(Upgrades!$U$17,I31),1)*IF(Upgrades!$T$18="Microlensing",POWER(Upgrades!$U$18,J31),1)*IF(Upgrades!$T$19="Microlensing",POWER(Upgrades!$U$19,K31),1)*IF(Upgrades!$T$20="Microlensing",POWER(Upgrades!$U$20,L31),1)*IF(Upgrades!$T$21="Microlensing",POWER(Upgrades!$U$21,M31),1))+(IF(H31=0,0,(Upgrades!$J$16+H31*Upgrades!$K$16)*POWER(Upgrades!$L$16,H31)))*(IF(Upgrades!$T$13="Roche Lobe Overflow",POWER(Upgrades!$U$13,E31),1)*IF(Upgrades!$T$14="Roche Lobe Overflow",POWER(Upgrades!$U$14,F31),1)*IF(Upgrades!$T$15="Roche Lobe Overflow",POWER(Upgrades!$U$15,G31),1)*IF(Upgrades!$T$17="Roche Lobe Overflow",POWER(Upgrades!$U$17,I31),1)*IF(Upgrades!$T$18="Roche Lobe Overflow",POWER(Upgrades!$U$18,J31),1)*IF(Upgrades!$T$19="Roche Lobe Overflow",POWER(Upgrades!$U$19,K31),1)*IF(Upgrades!$T$20="Roche Lobe Overflow",POWER(Upgrades!$U$20,L31),1)*IF(Upgrades!$T$21="Roche Lobe Overflow",POWER(Upgrades!$U$21,M31),1))+(IF(I31=0,0,(Upgrades!$J$17+I31*Upgrades!$K$17)*POWER(Upgrades!$L$17,I31)))*(IF(Upgrades!$T$13="Brown Dwarf",POWER(Upgrades!$U$13,E31),1)*IF(Upgrades!$T$14="Brown Dwarf",POWER(Upgrades!$U$14,F31),1)*IF(Upgrades!$T$15="Brown Dwarf",POWER(Upgrades!$U$15,G31),1)*IF(Upgrades!$T$16="Brown Dwarf",POWER(Upgrades!$U$16,H31),1)*IF(Upgrades!$T$18="Brown Dwarf",POWER(Upgrades!$U$18,J31),1)*IF(Upgrades!$T$19="Brown Dwarf",POWER(Upgrades!$U$19,K31),1)*IF(Upgrades!$T$20="Brown Dwarf",POWER(Upgrades!$U$20,L31),1)*IF(Upgrades!$T$21="Brown Dwarf",POWER(Upgrades!$U$21,M31),1))+(IF(J31=0,0,(Upgrades!$J$18+J31*Upgrades!$K$18)*POWER(Upgrades!$L$18,J31)))*(IF(Upgrades!$T$13="Binary Partner",POWER(Upgrades!$U$13,E31),1)*IF(Upgrades!$T$14="Binary Partner",POWER(Upgrades!$U$14,F31),1)*IF(Upgrades!$T$15="Binary Partner",POWER(Upgrades!$U$15,G31),1)*IF(Upgrades!$T$16="Binary Partner",POWER(Upgrades!$U$16,H31),1)*IF(Upgrades!$T$17="Binary Partner",POWER(Upgrades!$U$17,I31),1)*IF(Upgrades!$T$19="Binary Partner",POWER(Upgrades!$U$19,K31),1)*IF(Upgrades!$T$20="Binary Partner",POWER(Upgrades!$U$20,L31),1)*IF(Upgrades!$T$21="Binary Partner",POWER(Upgrades!$U$21,M31),1))+(IF(K31=0,0,(Upgrades!$J$19+K31*Upgrades!$K$19)*POWER(Upgrades!$L$19,K31)))*(IF(Upgrades!$T$13="Peculiar Velocity",POWER(Upgrades!$U$13,E31),1)*IF(Upgrades!$T$14="Peculiar Velocity",POWER(Upgrades!$U$14,F31),1)*IF(Upgrades!$T$15="Peculiar Velocity",POWER(Upgrades!$U$15,G31),1)*IF(Upgrades!$T$16="Peculiar Velocity",POWER(Upgrades!$U$16,H31),1)*IF(Upgrades!$T$17="Peculiar Velocity",POWER(Upgrades!$U$17,I31),1)*IF(Upgrades!$T$18="Peculiar Velocity",POWER(Upgrades!$U$18,J31),1)*IF(Upgrades!$T$20="Peculiar Velocity",POWER(Upgrades!$U$20,L31),1)*IF(Upgrades!$T$21="Peculiar Velocity",POWER(Upgrades!$U$21,M31),1))+(IF(L31=0,0,(Upgrades!$J$20+L31*Upgrades!$K$20)*POWER(Upgrades!$L$20,L31)))*(IF(Upgrades!$T$13="Open Cluster",POWER(Upgrades!$U$13,E31),1)*IF(Upgrades!$T$14="Open Cluster",POWER(Upgrades!$U$14,F31),1)*IF(Upgrades!$T$15="Open Cluster",POWER(Upgrades!$U$15,G31),1)*IF(Upgrades!$T$16="Open Cluster",POWER(Upgrades!$U$16,H31),1)*IF(Upgrades!$T$17="Open Cluster",POWER(Upgrades!$U$17,I31),1)*IF(Upgrades!$T$18="Open Cluster",POWER(Upgrades!$U$18,J31),1)*IF(Upgrades!$T$19="Open Cluster",POWER(Upgrades!$U$19,K31),1)*IF(Upgrades!$T$21="Open Cluster",POWER(Upgrades!$U$21,M31),1))+(IF(M31=0,0,(Upgrades!$J$21+M31*Upgrades!$K$21)*POWER(Upgrades!$L$21,M31)))*(IF(Upgrades!$T$13="Moving Group",POWER(Upgrades!$U$13,E31),1)*IF(Upgrades!$T$14="Moving Group",POWER(Upgrades!$U$14,F31),1)*IF(Upgrades!$T$15="Moving Group",POWER(Upgrades!$U$15,G31),1)*IF(Upgrades!$T$16="Moving Group",POWER(Upgrades!$U$16,H31),1)*IF(Upgrades!$T$17="Moving Group",POWER(Upgrades!$U$17,I31),1)*IF(Upgrades!$T$18="Moving Group",POWER(Upgrades!$U$18,J31),1)*IF(Upgrades!$T$19="Moving Group",POWER(Upgrades!$U$19,K31),1)*IF(Upgrades!$T$20="Moving Group",POWER(Upgrades!$U$20,L31),1)))*POWER(Upgrades!$Q$13,E31)*POWER(Upgrades!$Q$14,F31)*POWER(Upgrades!$Q$15,G31)*POWER(Upgrades!$Q$16,H31)*POWER(Upgrades!$Q$17,I31)*POWER(Upgrades!$Q$18,J31)*POWER(Upgrades!$Q$19,K31)*POWER(Upgrades!$Q$20,L31)*POWER(Upgrades!$Q$21,M31)*$G$6+$D$6</f>
        <v/>
      </c>
      <c r="P31" s="28">
        <f>((IF(E31=0,0,(Upgrades!$G$13+E31*Upgrades!$H$13)*POWER(Upgrades!$I$13,E31)))*(IF(Upgrades!$T$14="Stellar Kinematics",POWER(Upgrades!$U$14,F31),1)*IF(Upgrades!$T$15="Stellar Kinematics",POWER(Upgrades!$U$15,G31),1)*IF(Upgrades!$T$16="Stellar Kinematics",POWER(Upgrades!$U$16,H31),1)*IF(Upgrades!$T$17="Stellar Kinematics",POWER(Upgrades!$U$17,I31),1)*IF(Upgrades!$T$18="Stellar Kinematics",POWER(Upgrades!$U$18,J31),1)*IF(Upgrades!$T$19="Stellar Kinematics",POWER(Upgrades!$U$19,K31),1)*IF(Upgrades!$T$20="Stellar Kinematics",POWER(Upgrades!$U$20,L31),1)*IF(Upgrades!$T$21="Stellar Kinematics",POWER(Upgrades!$U$21,M31),1))+(IF(F31=0,0,(Upgrades!$G$14+F31*Upgrades!$H$14)*POWER(Upgrades!$I$14,F31)))*(IF(Upgrades!$T$13="Local Bubble",POWER(Upgrades!$U$13,E31),1)*IF(Upgrades!$T$15="Local Bubble",POWER(Upgrades!$U$15,G31),1)*IF(Upgrades!$T$16="Local Bubble",POWER(Upgrades!$U$16,H31),1)*IF(Upgrades!$T$17="Local Bubble",POWER(Upgrades!$U$17,I31),1)*IF(Upgrades!$T$18="Local Bubble",POWER(Upgrades!$U$18,J31),1)*IF(Upgrades!$T$19="Local Bubble",POWER(Upgrades!$U$19,K31),1)*IF(Upgrades!$T$20="Local Bubble",POWER(Upgrades!$U$20,L31),1)*IF(Upgrades!$T$21="Local Bubble",POWER(Upgrades!$U$21,M31),1))+(IF(G31=0,0,(Upgrades!$G$15+G31*Upgrades!$H$15)*POWER(Upgrades!$I$15,G31)))*(IF(Upgrades!$T$13="Microlensing",POWER(Upgrades!$U$13,E31),1)*IF(Upgrades!$T$14="Microlensing",POWER(Upgrades!$U$14,F31),1)*IF(Upgrades!$T$16="Microlensing",POWER(Upgrades!$U$16,H31),1)*IF(Upgrades!$T$17="Microlensing",POWER(Upgrades!$U$17,I31),1)*IF(Upgrades!$T$18="Microlensing",POWER(Upgrades!$U$18,J31),1)*IF(Upgrades!$T$19="Microlensing",POWER(Upgrades!$U$19,K31),1)*IF(Upgrades!$T$20="Microlensing",POWER(Upgrades!$U$20,L31),1)*IF(Upgrades!$T$21="Microlensing",POWER(Upgrades!$U$21,M31),1))+(IF(H31=0,0,(Upgrades!$G$16+H31*Upgrades!$H$16)*POWER(Upgrades!$I$16,H31)))*(IF(Upgrades!$T$13="Roche Lobe Overflow",POWER(Upgrades!$U$13,E31),1)*IF(Upgrades!$T$14="Roche Lobe Overflow",POWER(Upgrades!$U$14,F31),1)*IF(Upgrades!$T$15="Roche Lobe Overflow",POWER(Upgrades!$U$15,G31),1)*IF(Upgrades!$T$17="Roche Lobe Overflow",POWER(Upgrades!$U$17,I31),1)*IF(Upgrades!$T$18="Roche Lobe Overflow",POWER(Upgrades!$U$18,J31),1)*IF(Upgrades!$T$19="Roche Lobe Overflow",POWER(Upgrades!$U$19,K31),1)*IF(Upgrades!$T$20="Roche Lobe Overflow",POWER(Upgrades!$U$20,L31),1)*IF(Upgrades!$T$21="Roche Lobe Overflow",POWER(Upgrades!$U$21,M31),1))+(IF(I31=0,0,(Upgrades!$G$17+I31*Upgrades!$H$17)*POWER(Upgrades!$I$17,I31)))*(IF(Upgrades!$T$13="Brown Dwarf",POWER(Upgrades!$U$13,E31),1)*IF(Upgrades!$T$14="Brown Dwarf",POWER(Upgrades!$U$14,F31),1)*IF(Upgrades!$T$15="Brown Dwarf",POWER(Upgrades!$U$15,G31),1)*IF(Upgrades!$T$16="Brown Dwarf",POWER(Upgrades!$U$16,H31),1)*IF(Upgrades!$T$18="Brown Dwarf",POWER(Upgrades!$U$18,J31),1)*IF(Upgrades!$T$19="Brown Dwarf",POWER(Upgrades!$U$19,K31),1)*IF(Upgrades!$T$20="Brown Dwarf",POWER(Upgrades!$U$20,L31),1)*IF(Upgrades!$T$21="Brown Dwarf",POWER(Upgrades!$U$21,M31),1))+(IF(J31=0,0,(Upgrades!$G$18+J31*Upgrades!$H$18)*POWER(Upgrades!$I$18,J31)))*(IF(Upgrades!$T$13="Binary Partner",POWER(Upgrades!$U$13,E31),1)*IF(Upgrades!$T$14="Binary Partner",POWER(Upgrades!$U$14,F31),1)*IF(Upgrades!$T$15="Binary Partner",POWER(Upgrades!$U$15,G31),1)*IF(Upgrades!$T$16="Binary Partner",POWER(Upgrades!$U$16,H31),1)*IF(Upgrades!$T$17="Binary Partner",POWER(Upgrades!$U$17,I31),1)*IF(Upgrades!$T$19="Binary Partner",POWER(Upgrades!$U$19,K31),1)*IF(Upgrades!$T$20="Binary Partner",POWER(Upgrades!$U$20,L31),1)*IF(Upgrades!$T$21="Binary Partner",POWER(Upgrades!$U$21,M31),1))+(IF(K31=0,0,(Upgrades!$G$19+K31*Upgrades!$H$19)*POWER(Upgrades!$I$19,K31)))*(IF(Upgrades!$T$13="Peculiar Velocity",POWER(Upgrades!$U$13,E31),1)*IF(Upgrades!$T$14="Peculiar Velocity",POWER(Upgrades!$U$14,F31),1)*IF(Upgrades!$T$15="Peculiar Velocity",POWER(Upgrades!$U$15,G31),1)*IF(Upgrades!$T$16="Peculiar Velocity",POWER(Upgrades!$U$16,H31),1)*IF(Upgrades!$T$17="Peculiar Velocity",POWER(Upgrades!$U$17,I31),1)*IF(Upgrades!$T$18="Peculiar Velocity",POWER(Upgrades!$U$18,J31),1)*IF(Upgrades!$T$20="Peculiar Velocity",POWER(Upgrades!$U$20,L31),1)*IF(Upgrades!$T$21="Peculiar Velocity",POWER(Upgrades!$U$21,M31),1))+(IF(L31=0,0,(Upgrades!$G$20+L31*Upgrades!$H$20)*POWER(Upgrades!$I$20,L31)))*(IF(Upgrades!$T$13="Open Cluster",POWER(Upgrades!$U$13,E31),1)*IF(Upgrades!$T$14="Open Cluster",POWER(Upgrades!$U$14,F31),1)*IF(Upgrades!$T$15="Open Cluster",POWER(Upgrades!$U$15,G31),1)*IF(Upgrades!$T$16="Open Cluster",POWER(Upgrades!$U$16,H31),1)*IF(Upgrades!$T$17="Open Cluster",POWER(Upgrades!$U$17,I31),1)*IF(Upgrades!$T$18="Open Cluster",POWER(Upgrades!$U$18,J31),1)*IF(Upgrades!$T$19="Open Cluster",POWER(Upgrades!$U$19,K31),1)*IF(Upgrades!$T$21="Open Cluster",POWER(Upgrades!$U$21,M31),1))+(IF(M31=0,0,(Upgrades!$G$21+M31*Upgrades!$H$21)*POWER(Upgrades!$I$21,M31)))*(IF(Upgrades!$T$13="Moving Group",POWER(Upgrades!$U$13,E31),1)*IF(Upgrades!$T$14="Moving Group",POWER(Upgrades!$U$14,F31),1)*IF(Upgrades!$T$15="Moving Group",POWER(Upgrades!$U$15,G31),1)*IF(Upgrades!$T$16="Moving Group",POWER(Upgrades!$U$16,H31),1)*IF(Upgrades!$T$17="Moving Group",POWER(Upgrades!$U$17,I31),1)*IF(Upgrades!$T$18="Moving Group",POWER(Upgrades!$U$18,J31),1)*IF(Upgrades!$T$19="Moving Group",POWER(Upgrades!$U$19,K31),1)*IF(Upgrades!$T$20="Moving Group",POWER(Upgrades!$U$20,L31),1)))*POWER(Upgrades!$P$13,E31)*POWER(Upgrades!$P$14,F31)*POWER(Upgrades!$P$15,G31)*POWER(Upgrades!$P$16,H31)*POWER(Upgrades!$P$17,I31)*POWER(Upgrades!$P$18,J31)*POWER(Upgrades!$P$19,K31)*POWER(Upgrades!$P$20,L31)*POWER(Upgrades!$P$21,M31)*$F$6+$C$6</f>
        <v/>
      </c>
      <c r="Q31" s="28">
        <f>((IF(E31=0,0,(Upgrades!$M$13+E31*Upgrades!$N$13)*POWER(Upgrades!$O$13,E31)))*(IF(Upgrades!$T$14="Stellar Kinematics",POWER(Upgrades!$U$14,F31),1)*IF(Upgrades!$T$15="Stellar Kinematics",POWER(Upgrades!$U$15,G31),1)*IF(Upgrades!$T$16="Stellar Kinematics",POWER(Upgrades!$U$16,H31),1)*IF(Upgrades!$T$17="Stellar Kinematics",POWER(Upgrades!$U$17,I31),1)*IF(Upgrades!$T$18="Stellar Kinematics",POWER(Upgrades!$U$18,J31),1)*IF(Upgrades!$T$19="Stellar Kinematics",POWER(Upgrades!$U$19,K31),1)*IF(Upgrades!$T$20="Stellar Kinematics",POWER(Upgrades!$U$20,L31),1)*IF(Upgrades!$T$21="Stellar Kinematics",POWER(Upgrades!$U$21,M31),1))+(IF(F31=0,0,(Upgrades!$M$14+F31*Upgrades!$N$14)*POWER(Upgrades!$O$14,F31)))*(IF(Upgrades!$T$13="Local Bubble",POWER(Upgrades!$U$13,E31),1)*IF(Upgrades!$T$15="Local Bubble",POWER(Upgrades!$U$15,G31),1)*IF(Upgrades!$T$16="Local Bubble",POWER(Upgrades!$U$16,H31),1)*IF(Upgrades!$T$17="Local Bubble",POWER(Upgrades!$U$17,I31),1)*IF(Upgrades!$T$18="Local Bubble",POWER(Upgrades!$U$18,J31),1)*IF(Upgrades!$T$19="Local Bubble",POWER(Upgrades!$U$19,K31),1)*IF(Upgrades!$T$20="Local Bubble",POWER(Upgrades!$U$20,L31),1)*IF(Upgrades!$T$21="Local Bubble",POWER(Upgrades!$U$21,M31),1))+(IF(G31=0,0,(Upgrades!$M$15+G31*Upgrades!$N$15)*POWER(Upgrades!$O$15,G31)))*(IF(Upgrades!$T$13="Microlensing",POWER(Upgrades!$U$13,E31),1)*IF(Upgrades!$T$14="Microlensing",POWER(Upgrades!$U$14,F31),1)*IF(Upgrades!$T$16="Microlensing",POWER(Upgrades!$U$16,H31),1)*IF(Upgrades!$T$17="Microlensing",POWER(Upgrades!$U$17,I31),1)*IF(Upgrades!$T$18="Microlensing",POWER(Upgrades!$U$18,J31),1)*IF(Upgrades!$T$19="Microlensing",POWER(Upgrades!$U$19,K31),1)*IF(Upgrades!$T$20="Microlensing",POWER(Upgrades!$U$20,L31),1)*IF(Upgrades!$T$21="Microlensing",POWER(Upgrades!$U$21,M31),1))+(IF(H31=0,0,(Upgrades!$M$16+H31*Upgrades!$N$16)*POWER(Upgrades!$O$16,H31)))*(IF(Upgrades!$T$13="Roche Lobe Overflow",POWER(Upgrades!$U$13,E31),1)*IF(Upgrades!$T$14="Roche Lobe Overflow",POWER(Upgrades!$U$14,F31),1)*IF(Upgrades!$T$15="Roche Lobe Overflow",POWER(Upgrades!$U$15,G31),1)*IF(Upgrades!$T$17="Roche Lobe Overflow",POWER(Upgrades!$U$17,I31),1)*IF(Upgrades!$T$18="Roche Lobe Overflow",POWER(Upgrades!$U$18,J31),1)*IF(Upgrades!$T$19="Roche Lobe Overflow",POWER(Upgrades!$U$19,K31),1)*IF(Upgrades!$T$20="Roche Lobe Overflow",POWER(Upgrades!$U$20,L31),1)*IF(Upgrades!$T$21="Roche Lobe Overflow",POWER(Upgrades!$U$21,M31),1))+(IF(I31=0,0,(Upgrades!$M$17+I31*Upgrades!$N$17)*POWER(Upgrades!$O$17,I31)))*(IF(Upgrades!$T$13="Brown Dwarf",POWER(Upgrades!$U$13,E31),1)*IF(Upgrades!$T$14="Brown Dwarf",POWER(Upgrades!$U$14,F31),1)*IF(Upgrades!$T$15="Brown Dwarf",POWER(Upgrades!$U$15,G31),1)*IF(Upgrades!$T$16="Brown Dwarf",POWER(Upgrades!$U$16,H31),1)*IF(Upgrades!$T$18="Brown Dwarf",POWER(Upgrades!$U$18,J31),1)*IF(Upgrades!$T$19="Brown Dwarf",POWER(Upgrades!$U$19,K31),1)*IF(Upgrades!$T$20="Brown Dwarf",POWER(Upgrades!$U$20,L31),1)*IF(Upgrades!$T$21="Brown Dwarf",POWER(Upgrades!$U$21,M31),1))+(IF(J31=0,0,(Upgrades!$M$18+J31*Upgrades!$N$18)*POWER(Upgrades!$O$18,J31)))*(IF(Upgrades!$T$13="Binary Partner",POWER(Upgrades!$U$13,E31),1)*IF(Upgrades!$T$14="Binary Partner",POWER(Upgrades!$U$14,F31),1)*IF(Upgrades!$T$15="Binary Partner",POWER(Upgrades!$U$15,G31),1)*IF(Upgrades!$T$16="Binary Partner",POWER(Upgrades!$U$16,H31),1)*IF(Upgrades!$T$17="Binary Partner",POWER(Upgrades!$U$17,I31),1)*IF(Upgrades!$T$19="Binary Partner",POWER(Upgrades!$U$19,K31),1)*IF(Upgrades!$T$20="Binary Partner",POWER(Upgrades!$U$20,L31),1)*IF(Upgrades!$T$21="Binary Partner",POWER(Upgrades!$U$21,M31),1))+(IF(K31=0,0,(Upgrades!$M$19+K31*Upgrades!$N$19)*POWER(Upgrades!$O$19,K31)))*(IF(Upgrades!$T$13="Peculiar Velocity",POWER(Upgrades!$U$13,E31),1)*IF(Upgrades!$T$14="Peculiar Velocity",POWER(Upgrades!$U$14,F31),1)*IF(Upgrades!$T$15="Peculiar Velocity",POWER(Upgrades!$U$15,G31),1)*IF(Upgrades!$T$16="Peculiar Velocity",POWER(Upgrades!$U$16,H31),1)*IF(Upgrades!$T$17="Peculiar Velocity",POWER(Upgrades!$U$17,I31),1)*IF(Upgrades!$T$18="Peculiar Velocity",POWER(Upgrades!$U$18,J31),1)*IF(Upgrades!$T$20="Peculiar Velocity",POWER(Upgrades!$U$20,L31),1)*IF(Upgrades!$T$21="Peculiar Velocity",POWER(Upgrades!$U$21,M31),1))+(IF(L31=0,0,(Upgrades!$M$20+L31*Upgrades!$N$20)*POWER(Upgrades!$O$20,L31)))*(IF(Upgrades!$T$13="Open Cluster",POWER(Upgrades!$U$13,E31),1)*IF(Upgrades!$T$14="Open Cluster",POWER(Upgrades!$U$14,F31),1)*IF(Upgrades!$T$15="Open Cluster",POWER(Upgrades!$U$15,G31),1)*IF(Upgrades!$T$16="Open Cluster",POWER(Upgrades!$U$16,H31),1)*IF(Upgrades!$T$17="Open Cluster",POWER(Upgrades!$U$17,I31),1)*IF(Upgrades!$T$18="Open Cluster",POWER(Upgrades!$U$18,J31),1)*IF(Upgrades!$T$19="Open Cluster",POWER(Upgrades!$U$19,K31),1)*IF(Upgrades!$T$21="Open Cluster",POWER(Upgrades!$U$21,M31),1))+(IF(M31=0,0,(Upgrades!$M$21+M31*Upgrades!$N$21)*POWER(Upgrades!$O$21,M31)))*(IF(Upgrades!$T$13="Moving Group",POWER(Upgrades!$U$13,E31),1)*IF(Upgrades!$T$14="Moving Group",POWER(Upgrades!$U$14,F31),1)*IF(Upgrades!$T$15="Moving Group",POWER(Upgrades!$U$15,G31),1)*IF(Upgrades!$T$16="Moving Group",POWER(Upgrades!$U$16,H31),1)*IF(Upgrades!$T$17="Moving Group",POWER(Upgrades!$U$17,I31),1)*IF(Upgrades!$T$18="Moving Group",POWER(Upgrades!$U$18,J31),1)*IF(Upgrades!$T$19="Moving Group",POWER(Upgrades!$U$19,K31),1)*IF(Upgrades!$T$20="Moving Group",POWER(Upgrades!$U$20,L31),1)))*POWER(Upgrades!$R$13,E31)*POWER(Upgrades!$R$14,F31)*POWER(Upgrades!$R$15,G31)*POWER(Upgrades!$R$16,H31)*POWER(Upgrades!$R$17,I31)*POWER(Upgrades!$R$18,J31)*POWER(Upgrades!$R$19,K31)*POWER(Upgrades!$R$20,L31)*POWER(Upgrades!$R$21,M31)*$H$6+$E$6</f>
        <v/>
      </c>
      <c r="R31" s="27">
        <f>IF(N31=1,0,O31*Parameters!$B$10/60*Parameters!$B$11*10)</f>
        <v/>
      </c>
      <c r="S31" s="27">
        <f>IF(N31=1,0,Q31*O31*10)</f>
        <v/>
      </c>
      <c r="T31" s="27">
        <f>IF(N31=1,0,R31+S31+P31*10)</f>
        <v/>
      </c>
      <c r="U31" s="33">
        <f>BE31</f>
        <v/>
      </c>
      <c r="V31" s="22">
        <f>IF(U31="",0,IF(U31="transition",0,IF(U31="SK",AK31,IF(U31="LB",AL31,IF(U31="ML",AM31,IF(U31="RLO",AN31,IF(U31="BD",AO31,IF(U31="BiP",AP31,IF(U31="PV",AQ31,IF(U31="OC",AR31,IF(U31="MG",AS31,0))))))))))</f>
        <v/>
      </c>
      <c r="W31" s="27">
        <f>IF(U31="BiP",Upgrades!$F$18,IF(U31="PV",Upgrades!$F$19,IF(U31="OC",Upgrades!$F$20,IF(U31="MG",Upgrades!$F$21,IF(U31="transition",-Parameters!$B$18*Parameters!$B$19,0)))))</f>
        <v/>
      </c>
      <c r="X31" s="22">
        <f>C31+T31-V31</f>
        <v/>
      </c>
      <c r="Y31" s="30">
        <f>O31*Parameters!$B$10/60*Parameters!$B$11+Q31*O31+P31</f>
        <v/>
      </c>
      <c r="Z31" s="34">
        <f>IF(U31="transition","→ Tier 3 (Galactic Arm)",IF(U31="MG","Moving Group — pocket drifts together",IF(U31="OC","Open Cluster acquired",IF(U31="PV","Peculiar Velocity — passive multiplier active",IF(U31="BiP","Binary Partner — pair bond formed",IF(AND(AU31=1,N31=0,AT31&lt;&gt;1),"Cohesion ready (waiting on completionists)","")))))) </f>
        <v/>
      </c>
      <c r="AA31" s="27">
        <f>(IF(E31=0,0,(Upgrades!$G$13+E31*Upgrades!$H$13)*POWER(Upgrades!$I$13,E31)))*(IF(Upgrades!$T$14="Stellar Kinematics",POWER(Upgrades!$U$14,F31),1)*IF(Upgrades!$T$15="Stellar Kinematics",POWER(Upgrades!$U$15,G31),1)*IF(Upgrades!$T$16="Stellar Kinematics",POWER(Upgrades!$U$16,H31),1)*IF(Upgrades!$T$17="Stellar Kinematics",POWER(Upgrades!$U$17,I31),1)*IF(Upgrades!$T$18="Stellar Kinematics",POWER(Upgrades!$U$18,J31),1)*IF(Upgrades!$T$19="Stellar Kinematics",POWER(Upgrades!$U$19,K31),1)*IF(Upgrades!$T$20="Stellar Kinematics",POWER(Upgrades!$U$20,L31),1)*IF(Upgrades!$T$21="Stellar Kinematics",POWER(Upgrades!$U$21,M31),1))*POWER(Upgrades!$P$13,E31)*POWER(Upgrades!$P$14,F31)*POWER(Upgrades!$P$15,G31)*POWER(Upgrades!$P$16,H31)*POWER(Upgrades!$P$17,I31)*POWER(Upgrades!$P$18,J31)*POWER(Upgrades!$P$19,K31)*POWER(Upgrades!$P$20,L31)*POWER(Upgrades!$P$21,M31)*$F$6*60</f>
        <v/>
      </c>
      <c r="AB31" s="27">
        <f>(IF(F31=0,0,(Upgrades!$G$14+F31*Upgrades!$H$14)*POWER(Upgrades!$I$14,F31)))*(IF(Upgrades!$T$13="Local Bubble",POWER(Upgrades!$U$13,E31),1)*IF(Upgrades!$T$15="Local Bubble",POWER(Upgrades!$U$15,G31),1)*IF(Upgrades!$T$16="Local Bubble",POWER(Upgrades!$U$16,H31),1)*IF(Upgrades!$T$17="Local Bubble",POWER(Upgrades!$U$17,I31),1)*IF(Upgrades!$T$18="Local Bubble",POWER(Upgrades!$U$18,J31),1)*IF(Upgrades!$T$19="Local Bubble",POWER(Upgrades!$U$19,K31),1)*IF(Upgrades!$T$20="Local Bubble",POWER(Upgrades!$U$20,L31),1)*IF(Upgrades!$T$21="Local Bubble",POWER(Upgrades!$U$21,M31),1))*POWER(Upgrades!$P$13,E31)*POWER(Upgrades!$P$14,F31)*POWER(Upgrades!$P$15,G31)*POWER(Upgrades!$P$16,H31)*POWER(Upgrades!$P$17,I31)*POWER(Upgrades!$P$18,J31)*POWER(Upgrades!$P$19,K31)*POWER(Upgrades!$P$20,L31)*POWER(Upgrades!$P$21,M31)*$F$6*60</f>
        <v/>
      </c>
      <c r="AC31" s="27">
        <f>(IF(G31=0,0,(Upgrades!$J$15+G31*Upgrades!$K$15)*POWER(Upgrades!$L$15,G31)))*(IF(Upgrades!$T$13="Microlensing",POWER(Upgrades!$U$13,E31),1)*IF(Upgrades!$T$14="Microlensing",POWER(Upgrades!$U$14,F31),1)*IF(Upgrades!$T$16="Microlensing",POWER(Upgrades!$U$16,H31),1)*IF(Upgrades!$T$17="Microlensing",POWER(Upgrades!$U$17,I31),1)*IF(Upgrades!$T$18="Microlensing",POWER(Upgrades!$U$18,J31),1)*IF(Upgrades!$T$19="Microlensing",POWER(Upgrades!$U$19,K31),1)*IF(Upgrades!$T$20="Microlensing",POWER(Upgrades!$U$20,L31),1)*IF(Upgrades!$T$21="Microlensing",POWER(Upgrades!$U$21,M31),1))*POWER(Upgrades!$Q$13,E31)*POWER(Upgrades!$Q$14,F31)*POWER(Upgrades!$Q$15,G31)*POWER(Upgrades!$Q$16,H31)*POWER(Upgrades!$Q$17,I31)*POWER(Upgrades!$Q$18,J31)*POWER(Upgrades!$Q$19,K31)*POWER(Upgrades!$Q$20,L31)*POWER(Upgrades!$Q$21,M31)*$G$6*(Parameters!$B$10*Parameters!$B$11+Q31*60)</f>
        <v/>
      </c>
      <c r="AD31" s="27">
        <f>(IF(H31=0,0,(Upgrades!$M$16+H31*Upgrades!$N$16)*POWER(Upgrades!$O$16,H31)))*(IF(Upgrades!$T$13="Roche Lobe Overflow",POWER(Upgrades!$U$13,E31),1)*IF(Upgrades!$T$14="Roche Lobe Overflow",POWER(Upgrades!$U$14,F31),1)*IF(Upgrades!$T$15="Roche Lobe Overflow",POWER(Upgrades!$U$15,G31),1)*IF(Upgrades!$T$17="Roche Lobe Overflow",POWER(Upgrades!$U$17,I31),1)*IF(Upgrades!$T$18="Roche Lobe Overflow",POWER(Upgrades!$U$18,J31),1)*IF(Upgrades!$T$19="Roche Lobe Overflow",POWER(Upgrades!$U$19,K31),1)*IF(Upgrades!$T$20="Roche Lobe Overflow",POWER(Upgrades!$U$20,L31),1)*IF(Upgrades!$T$21="Roche Lobe Overflow",POWER(Upgrades!$U$21,M31),1))*POWER(Upgrades!$R$13,E31)*POWER(Upgrades!$R$14,F31)*POWER(Upgrades!$R$15,G31)*POWER(Upgrades!$R$16,H31)*POWER(Upgrades!$R$17,I31)*POWER(Upgrades!$R$18,J31)*POWER(Upgrades!$R$19,K31)*POWER(Upgrades!$R$20,L31)*POWER(Upgrades!$R$21,M31)*$H$6*O31*60</f>
        <v/>
      </c>
      <c r="AE31" s="27">
        <f>(IF(I31=0,0,(Upgrades!$G$17+I31*Upgrades!$H$17)*POWER(Upgrades!$I$17,I31)))*(IF(Upgrades!$T$13="Brown Dwarf",POWER(Upgrades!$U$13,E31),1)*IF(Upgrades!$T$14="Brown Dwarf",POWER(Upgrades!$U$14,F31),1)*IF(Upgrades!$T$15="Brown Dwarf",POWER(Upgrades!$U$15,G31),1)*IF(Upgrades!$T$16="Brown Dwarf",POWER(Upgrades!$U$16,H31),1)*IF(Upgrades!$T$18="Brown Dwarf",POWER(Upgrades!$U$18,J31),1)*IF(Upgrades!$T$19="Brown Dwarf",POWER(Upgrades!$U$19,K31),1)*IF(Upgrades!$T$20="Brown Dwarf",POWER(Upgrades!$U$20,L31),1)*IF(Upgrades!$T$21="Brown Dwarf",POWER(Upgrades!$U$21,M31),1))*POWER(Upgrades!$P$13,E31)*POWER(Upgrades!$P$14,F31)*POWER(Upgrades!$P$15,G31)*POWER(Upgrades!$P$16,H31)*POWER(Upgrades!$P$17,I31)*POWER(Upgrades!$P$18,J31)*POWER(Upgrades!$P$19,K31)*POWER(Upgrades!$P$20,L31)*POWER(Upgrades!$P$21,M31)*$F$6*60</f>
        <v/>
      </c>
      <c r="AF31" s="27" t="n">
        <v>0</v>
      </c>
      <c r="AG31" s="27" t="n">
        <v>0</v>
      </c>
      <c r="AH31" s="27" t="n">
        <v>0</v>
      </c>
      <c r="AI31" s="27">
        <f>(IF(M31=0,0,(Upgrades!$G$21+M31*Upgrades!$H$21)*POWER(Upgrades!$I$21,M31)))*(IF(Upgrades!$T$13="Moving Group",POWER(Upgrades!$U$13,E31),1)*IF(Upgrades!$T$14="Moving Group",POWER(Upgrades!$U$14,F31),1)*IF(Upgrades!$T$15="Moving Group",POWER(Upgrades!$U$15,G31),1)*IF(Upgrades!$T$16="Moving Group",POWER(Upgrades!$U$16,H31),1)*IF(Upgrades!$T$17="Moving Group",POWER(Upgrades!$U$17,I31),1)*IF(Upgrades!$T$18="Moving Group",POWER(Upgrades!$U$18,J31),1)*IF(Upgrades!$T$19="Moving Group",POWER(Upgrades!$U$19,K31),1)*IF(Upgrades!$T$20="Moving Group",POWER(Upgrades!$U$20,L31),1))*POWER(Upgrades!$P$13,E31)*POWER(Upgrades!$P$14,F31)*POWER(Upgrades!$P$15,G31)*POWER(Upgrades!$P$16,H31)*POWER(Upgrades!$P$17,I31)*POWER(Upgrades!$P$18,J31)*POWER(Upgrades!$P$19,K31)*POWER(Upgrades!$P$20,L31)*POWER(Upgrades!$P$21,M31)*$F$6*60</f>
        <v/>
      </c>
      <c r="AJ31" s="27">
        <f>$C$6*60</f>
        <v/>
      </c>
      <c r="AK31" s="22">
        <f>IF(E31&gt;=Upgrades!$E$13,"",Upgrades!$C$13*POWER(Upgrades!$D$13,E31))</f>
        <v/>
      </c>
      <c r="AL31" s="22">
        <f>IF(F31&gt;=Upgrades!$E$14,"",Upgrades!$C$14*POWER(Upgrades!$D$14,F31))</f>
        <v/>
      </c>
      <c r="AM31" s="22">
        <f>IF(G31&gt;=Upgrades!$E$15,"",Upgrades!$C$15*POWER(Upgrades!$D$15,G31))</f>
        <v/>
      </c>
      <c r="AN31" s="22">
        <f>IF(H31&gt;=Upgrades!$E$16,"",Upgrades!$C$16*POWER(Upgrades!$D$16,H31))</f>
        <v/>
      </c>
      <c r="AO31" s="22">
        <f>IF(I31&gt;=Upgrades!$E$17,"",Upgrades!$C$17*POWER(Upgrades!$D$17,I31))</f>
        <v/>
      </c>
      <c r="AP31" s="22">
        <f>IF(J31&gt;=Upgrades!$E$18,"",Upgrades!$C$18*POWER(Upgrades!$D$18,J31))</f>
        <v/>
      </c>
      <c r="AQ31" s="22">
        <f>IF(K31&gt;=Upgrades!$E$19,"",Upgrades!$C$19*POWER(Upgrades!$D$19,K31))</f>
        <v/>
      </c>
      <c r="AR31" s="22">
        <f>IF(L31&gt;=Upgrades!$E$20,"",Upgrades!$C$20*POWER(Upgrades!$D$20,L31))</f>
        <v/>
      </c>
      <c r="AS31" s="22">
        <f>IF(M31&gt;=Upgrades!$E$21,"",Upgrades!$C$21*POWER(Upgrades!$D$21,M31))</f>
        <v/>
      </c>
      <c r="AT31" s="26">
        <f>IF(AND(D31&gt;=Parameters!$B$18*Parameters!$B$19,(I31&gt;=Upgrades!$E$17)*(M31&gt;=Upgrades!$E$21)=1,N31=0),1,"")</f>
        <v/>
      </c>
      <c r="AU31" s="26">
        <f>IF(AND(D31&gt;=Parameters!$B$18*Parameters!$B$19,N31=0),1,"")</f>
        <v/>
      </c>
      <c r="AV31" s="22">
        <f>MIN(IF(ISNUMBER(AP31),AP31,9E15),IF(ISNUMBER(AQ31),AQ31,9E15),IF(ISNUMBER(AR31),AR31,9E15),IF(ISNUMBER(AS31),AS31,9E15))</f>
        <v/>
      </c>
      <c r="AW31" s="22">
        <f>MIN(IF(ISNUMBER(AK31),AK31,9E15),IF(ISNUMBER(AL31),AL31,9E15),IF(ISNUMBER(AM31),AM31,9E15),IF(ISNUMBER(AN31),AN31,9E15),IF(ISNUMBER(AO31),AO31,9E15))</f>
        <v/>
      </c>
      <c r="AX31" s="29">
        <f>IF(BD31&gt;Parameters!$B$21*(MAX(IF(AND(NOT(AND(AU31=1,AT31&lt;&gt;1)),ISNUMBER(AK31),AK31&lt;=(C31+T31)),AY31,0),IF(AND(NOT(AND(AU31=1,AT31&lt;&gt;1)),ISNUMBER(AL31),AL31&lt;=(C31+T31)),AZ31,0),IF(AND(NOT(AND(AU31=1,AT31&lt;&gt;1)),ISNUMBER(AM31),AM31&lt;=(C31+T31)),BA31,0),IF(AND(NOT(AND(AU31=1,AT31&lt;&gt;1)),ISNUMBER(AN31),AN31&lt;=(C31+T31)),BB31,0),IF(AND(ISNUMBER(AO31),AO31&lt;=(C31+T31)),BC31,0))),TRUE,FALSE)</f>
        <v/>
      </c>
      <c r="AY31" s="32">
        <f>IFERROR(Upgrades!$H$13*(POWER(Upgrades!$P$13,E31)*POWER(Upgrades!$P$14,F31)*POWER(Upgrades!$P$15,G31)*POWER(Upgrades!$P$16,H31)*POWER(Upgrades!$P$17,I31)*POWER(Upgrades!$P$18,J31)*POWER(Upgrades!$P$19,K31)*POWER(Upgrades!$P$20,L31)*POWER(Upgrades!$P$21,M31))*(IF(Upgrades!$T$14="Stellar Kinematics",POWER(Upgrades!$U$14,F31),1)*IF(Upgrades!$T$15="Stellar Kinematics",POWER(Upgrades!$U$15,G31),1)*IF(Upgrades!$T$16="Stellar Kinematics",POWER(Upgrades!$U$16,H31),1)*IF(Upgrades!$T$17="Stellar Kinematics",POWER(Upgrades!$U$17,I31),1)*IF(Upgrades!$T$18="Stellar Kinematics",POWER(Upgrades!$U$18,J31),1)*IF(Upgrades!$T$19="Stellar Kinematics",POWER(Upgrades!$U$19,K31),1)*IF(Upgrades!$T$20="Stellar Kinematics",POWER(Upgrades!$U$20,L31),1)*IF(Upgrades!$T$21="Stellar Kinematics",POWER(Upgrades!$U$21,M31),1))*$F$6/AK31,0)</f>
        <v/>
      </c>
      <c r="AZ31" s="32">
        <f>IFERROR(Upgrades!$H$14*(POWER(Upgrades!$P$13,E31)*POWER(Upgrades!$P$14,F31)*POWER(Upgrades!$P$15,G31)*POWER(Upgrades!$P$16,H31)*POWER(Upgrades!$P$17,I31)*POWER(Upgrades!$P$18,J31)*POWER(Upgrades!$P$19,K31)*POWER(Upgrades!$P$20,L31)*POWER(Upgrades!$P$21,M31))*(IF(Upgrades!$T$13="Local Bubble",POWER(Upgrades!$U$13,E31),1)*IF(Upgrades!$T$15="Local Bubble",POWER(Upgrades!$U$15,G31),1)*IF(Upgrades!$T$16="Local Bubble",POWER(Upgrades!$U$16,H31),1)*IF(Upgrades!$T$17="Local Bubble",POWER(Upgrades!$U$17,I31),1)*IF(Upgrades!$T$18="Local Bubble",POWER(Upgrades!$U$18,J31),1)*IF(Upgrades!$T$19="Local Bubble",POWER(Upgrades!$U$19,K31),1)*IF(Upgrades!$T$20="Local Bubble",POWER(Upgrades!$U$20,L31),1)*IF(Upgrades!$T$21="Local Bubble",POWER(Upgrades!$U$21,M31),1))*$F$6/AL31,0)</f>
        <v/>
      </c>
      <c r="BA31" s="32">
        <f>IFERROR(Upgrades!$K$15*(POWER(Upgrades!$Q$13,E31)*POWER(Upgrades!$Q$14,F31)*POWER(Upgrades!$Q$15,G31)*POWER(Upgrades!$Q$16,H31)*POWER(Upgrades!$Q$17,I31)*POWER(Upgrades!$Q$18,J31)*POWER(Upgrades!$Q$19,K31)*POWER(Upgrades!$Q$20,L31)*POWER(Upgrades!$Q$21,M31))*(IF(Upgrades!$T$13="Microlensing",POWER(Upgrades!$U$13,E31),1)*IF(Upgrades!$T$14="Microlensing",POWER(Upgrades!$U$14,F31),1)*IF(Upgrades!$T$16="Microlensing",POWER(Upgrades!$U$16,H31),1)*IF(Upgrades!$T$17="Microlensing",POWER(Upgrades!$U$17,I31),1)*IF(Upgrades!$T$18="Microlensing",POWER(Upgrades!$U$18,J31),1)*IF(Upgrades!$T$19="Microlensing",POWER(Upgrades!$U$19,K31),1)*IF(Upgrades!$T$20="Microlensing",POWER(Upgrades!$U$20,L31),1)*IF(Upgrades!$T$21="Microlensing",POWER(Upgrades!$U$21,M31),1))*$G$6*(Parameters!$B$10/60*Parameters!$B$11+Q31)/AM31,0)</f>
        <v/>
      </c>
      <c r="BB31" s="32">
        <f>IFERROR((Upgrades!$N$16*(POWER(Upgrades!$R$13,E31)*POWER(Upgrades!$R$14,F31)*POWER(Upgrades!$R$15,G31)*POWER(Upgrades!$R$16,H31)*POWER(Upgrades!$R$17,I31)*POWER(Upgrades!$R$18,J31)*POWER(Upgrades!$R$19,K31)*POWER(Upgrades!$R$20,L31)*POWER(Upgrades!$R$21,M31))*(IF(Upgrades!$T$13="Roche Lobe Overflow",POWER(Upgrades!$U$13,E31),1)*IF(Upgrades!$T$14="Roche Lobe Overflow",POWER(Upgrades!$U$14,F31),1)*IF(Upgrades!$T$15="Roche Lobe Overflow",POWER(Upgrades!$U$15,G31),1)*IF(Upgrades!$T$17="Roche Lobe Overflow",POWER(Upgrades!$U$17,I31),1)*IF(Upgrades!$T$18="Roche Lobe Overflow",POWER(Upgrades!$U$18,J31),1)*IF(Upgrades!$T$19="Roche Lobe Overflow",POWER(Upgrades!$U$19,K31),1)*IF(Upgrades!$T$20="Roche Lobe Overflow",POWER(Upgrades!$U$20,L31),1)*IF(Upgrades!$T$21="Roche Lobe Overflow",POWER(Upgrades!$U$21,M31),1))*$H$6*O31+((IF(F31=0,0,(Upgrades!$G$14+F31*Upgrades!$H$14)*POWER(Upgrades!$I$14,F31)))*(IF(Upgrades!$T$13="Local Bubble",POWER(Upgrades!$U$13,E31),1)*IF(Upgrades!$T$15="Local Bubble",POWER(Upgrades!$U$15,G31),1)*IF(Upgrades!$T$16="Local Bubble",POWER(Upgrades!$U$16,H31),1)*IF(Upgrades!$T$17="Local Bubble",POWER(Upgrades!$U$17,I31),1)*IF(Upgrades!$T$18="Local Bubble",POWER(Upgrades!$U$18,J31),1)*IF(Upgrades!$T$19="Local Bubble",POWER(Upgrades!$U$19,K31),1)*IF(Upgrades!$T$20="Local Bubble",POWER(Upgrades!$U$20,L31),1)*IF(Upgrades!$T$21="Local Bubble",POWER(Upgrades!$U$21,M31),1))*POWER(Upgrades!$P$13,E31)*POWER(Upgrades!$P$14,F31)*POWER(Upgrades!$P$15,G31)*POWER(Upgrades!$P$16,H31)*POWER(Upgrades!$P$17,I31)*POWER(Upgrades!$P$18,J31)*POWER(Upgrades!$P$19,K31)*POWER(Upgrades!$P$20,L31)*POWER(Upgrades!$P$21,M31)*$F$6)*0.05)/AN31,0)</f>
        <v/>
      </c>
      <c r="BC31" s="32">
        <f>IFERROR((Upgrades!$H$17*(POWER(Upgrades!$P$13,E31)*POWER(Upgrades!$P$14,F31)*POWER(Upgrades!$P$15,G31)*POWER(Upgrades!$P$16,H31)*POWER(Upgrades!$P$17,I31)*POWER(Upgrades!$P$18,J31)*POWER(Upgrades!$P$19,K31)*POWER(Upgrades!$P$20,L31)*POWER(Upgrades!$P$21,M31))*(IF(Upgrades!$T$13="Brown Dwarf",POWER(Upgrades!$U$13,E31),1)*IF(Upgrades!$T$14="Brown Dwarf",POWER(Upgrades!$U$14,F31),1)*IF(Upgrades!$T$15="Brown Dwarf",POWER(Upgrades!$U$15,G31),1)*IF(Upgrades!$T$16="Brown Dwarf",POWER(Upgrades!$U$16,H31),1)*IF(Upgrades!$T$18="Brown Dwarf",POWER(Upgrades!$U$18,J31),1)*IF(Upgrades!$T$19="Brown Dwarf",POWER(Upgrades!$U$19,K31),1)*IF(Upgrades!$T$20="Brown Dwarf",POWER(Upgrades!$U$20,L31),1)*IF(Upgrades!$T$21="Brown Dwarf",POWER(Upgrades!$U$21,M31),1))*$F$6+(((IF(H31=0,0,(Upgrades!$M$16+H31*Upgrades!$N$16)*POWER(Upgrades!$O$16,H31)))*(IF(Upgrades!$T$13="Roche Lobe Overflow",POWER(Upgrades!$U$13,E31),1)*IF(Upgrades!$T$14="Roche Lobe Overflow",POWER(Upgrades!$U$14,F31),1)*IF(Upgrades!$T$15="Roche Lobe Overflow",POWER(Upgrades!$U$15,G31),1)*IF(Upgrades!$T$17="Roche Lobe Overflow",POWER(Upgrades!$U$17,I31),1)*IF(Upgrades!$T$18="Roche Lobe Overflow",POWER(Upgrades!$U$18,J31),1)*IF(Upgrades!$T$19="Roche Lobe Overflow",POWER(Upgrades!$U$19,K31),1)*IF(Upgrades!$T$20="Roche Lobe Overflow",POWER(Upgrades!$U$20,L31),1)*IF(Upgrades!$T$21="Roche Lobe Overflow",POWER(Upgrades!$U$21,M31),1))*POWER(Upgrades!$R$13,E31)*POWER(Upgrades!$R$14,F31)*POWER(Upgrades!$R$15,G31)*POWER(Upgrades!$R$16,H31)*POWER(Upgrades!$R$17,I31)*POWER(Upgrades!$R$18,J31)*POWER(Upgrades!$R$19,K31)*POWER(Upgrades!$R$20,L31)*POWER(Upgrades!$R$21,M31)*$H$6)*O31)*0.10)/AO31,0)</f>
        <v/>
      </c>
      <c r="BD31" s="32">
        <f>MAX(IF(J31&gt;0,0,IFERROR(0.5*((IF(G31=0,0,(Upgrades!$J$15+G31*Upgrades!$K$15)*POWER(Upgrades!$L$15,G31)))*(IF(Upgrades!$T$13="Microlensing",POWER(Upgrades!$U$13,E31),1)*IF(Upgrades!$T$14="Microlensing",POWER(Upgrades!$U$14,F31),1)*IF(Upgrades!$T$16="Microlensing",POWER(Upgrades!$U$16,H31),1)*IF(Upgrades!$T$17="Microlensing",POWER(Upgrades!$U$17,I31),1)*IF(Upgrades!$T$18="Microlensing",POWER(Upgrades!$U$18,J31),1)*IF(Upgrades!$T$19="Microlensing",POWER(Upgrades!$U$19,K31),1)*IF(Upgrades!$T$20="Microlensing",POWER(Upgrades!$U$20,L31),1)*IF(Upgrades!$T$21="Microlensing",POWER(Upgrades!$U$21,M31),1))*(POWER(Upgrades!$Q$13,E31)*POWER(Upgrades!$Q$14,F31)*POWER(Upgrades!$Q$15,G31)*POWER(Upgrades!$Q$16,H31)*POWER(Upgrades!$Q$17,I31)*POWER(Upgrades!$Q$18,J31)*POWER(Upgrades!$Q$19,K31)*POWER(Upgrades!$Q$20,L31)*POWER(Upgrades!$Q$21,M31))*$G$6*(Parameters!$B$10/60*Parameters!$B$11+Q31))/Upgrades!$C$18,0)),IF(K31&gt;0,0,IFERROR(0.30*P31/Upgrades!$C$19,0)),IF(L31&gt;0,0,IFERROR(0.0001/Upgrades!$C$20,0)),IF(M31&gt;0,0,IFERROR((6.0*(POWER(Upgrades!$P$13,E31)*POWER(Upgrades!$P$14,F31)*POWER(Upgrades!$P$15,G31)*POWER(Upgrades!$P$16,H31)*POWER(Upgrades!$P$17,I31)*POWER(Upgrades!$P$18,J31)*POWER(Upgrades!$P$19,K31)*POWER(Upgrades!$P$20,L31)*POWER(Upgrades!$P$21,M31))*$F$6+0.20*O31*(Parameters!$B$10/60*Parameters!$B$11+Q31))/Upgrades!$C$21,0)),IF(AND(ISNUMBER(AK31),AK31&gt;(C31+T31)),AY31,0),IF(AND(ISNUMBER(AL31),AL31&gt;(C31+T31)),AZ31,0),IF(AND(ISNUMBER(AM31),AM31&gt;(C31+T31)),BA31,0),IF(AND(ISNUMBER(AN31),AN31&gt;(C31+T31)),BB31,0),IF(AND(ISNUMBER(AO31),AO31&gt;(C31+T31)),BC31,0))</f>
        <v/>
      </c>
      <c r="BE31" s="29">
        <f>IF(AT31=1,"transition",IF(MIN(IF(AND(J31=0,ISNUMBER(AP31),AP31&lt;=(C31+T31)),AP31,9E15),IF(AND(K31=0,ISNUMBER(AQ31),AQ31&lt;=(C31+T31)),AQ31,9E15),IF(AND(L31=0,ISNUMBER(AR31),AR31&lt;=(C31+T31)),AR31,9E15),IF(AND(M31=0,ISNUMBER(AS31),AS31&lt;=(C31+T31)),AS31,9E15))&lt;9E15,IF(AND(AND(J31=0,ISNUMBER(AP31),AP31&lt;=(C31+T31)),AP31=MIN(IF(AND(J31=0,ISNUMBER(AP31),AP31&lt;=(C31+T31)),AP31,9E15),IF(AND(K31=0,ISNUMBER(AQ31),AQ31&lt;=(C31+T31)),AQ31,9E15),IF(AND(L31=0,ISNUMBER(AR31),AR31&lt;=(C31+T31)),AR31,9E15),IF(AND(M31=0,ISNUMBER(AS31),AS31&lt;=(C31+T31)),AS31,9E15))),"BiP",IF(AND(AND(K31=0,ISNUMBER(AQ31),AQ31&lt;=(C31+T31)),AQ31=MIN(IF(AND(J31=0,ISNUMBER(AP31),AP31&lt;=(C31+T31)),AP31,9E15),IF(AND(K31=0,ISNUMBER(AQ31),AQ31&lt;=(C31+T31)),AQ31,9E15),IF(AND(L31=0,ISNUMBER(AR31),AR31&lt;=(C31+T31)),AR31,9E15),IF(AND(M31=0,ISNUMBER(AS31),AS31&lt;=(C31+T31)),AS31,9E15))),"PV",IF(AND(AND(L31=0,ISNUMBER(AR31),AR31&lt;=(C31+T31)),AR31=MIN(IF(AND(J31=0,ISNUMBER(AP31),AP31&lt;=(C31+T31)),AP31,9E15),IF(AND(K31=0,ISNUMBER(AQ31),AQ31&lt;=(C31+T31)),AQ31,9E15),IF(AND(L31=0,ISNUMBER(AR31),AR31&lt;=(C31+T31)),AR31,9E15),IF(AND(M31=0,ISNUMBER(AS31),AS31&lt;=(C31+T31)),AS31,9E15))),"OC","MG"))),IF(AX31=TRUE,"",IF(MAX(IF(AND(NOT(AND(AU31=1,AT31&lt;&gt;1)),ISNUMBER(AK31),AK31&lt;=(C31+T31)),AY31,0),IF(AND(NOT(AND(AU31=1,AT31&lt;&gt;1)),ISNUMBER(AL31),AL31&lt;=(C31+T31)),AZ31,0),IF(AND(NOT(AND(AU31=1,AT31&lt;&gt;1)),ISNUMBER(AM31),AM31&lt;=(C31+T31)),BA31,0),IF(AND(NOT(AND(AU31=1,AT31&lt;&gt;1)),ISNUMBER(AN31),AN31&lt;=(C31+T31)),BB31,0),IF(AND(ISNUMBER(AO31),AO31&lt;=(C31+T31)),BC31,0))&lt;=0,"",IF(AND(IF(AND(NOT(AND(AU31=1,AT31&lt;&gt;1)),ISNUMBER(AK31),AK31&lt;=(C31+T31)),AY31,0)&gt;0,IF(AND(NOT(AND(AU31=1,AT31&lt;&gt;1)),ISNUMBER(AK31),AK31&lt;=(C31+T31)),AY31,0)=MAX(IF(AND(NOT(AND(AU31=1,AT31&lt;&gt;1)),ISNUMBER(AK31),AK31&lt;=(C31+T31)),AY31,0),IF(AND(NOT(AND(AU31=1,AT31&lt;&gt;1)),ISNUMBER(AL31),AL31&lt;=(C31+T31)),AZ31,0),IF(AND(NOT(AND(AU31=1,AT31&lt;&gt;1)),ISNUMBER(AM31),AM31&lt;=(C31+T31)),BA31,0),IF(AND(NOT(AND(AU31=1,AT31&lt;&gt;1)),ISNUMBER(AN31),AN31&lt;=(C31+T31)),BB31,0),IF(AND(ISNUMBER(AO31),AO31&lt;=(C31+T31)),BC31,0))),"SK",IF(AND(IF(AND(NOT(AND(AU31=1,AT31&lt;&gt;1)),ISNUMBER(AL31),AL31&lt;=(C31+T31)),AZ31,0)&gt;0,IF(AND(NOT(AND(AU31=1,AT31&lt;&gt;1)),ISNUMBER(AL31),AL31&lt;=(C31+T31)),AZ31,0)=MAX(IF(AND(NOT(AND(AU31=1,AT31&lt;&gt;1)),ISNUMBER(AK31),AK31&lt;=(C31+T31)),AY31,0),IF(AND(NOT(AND(AU31=1,AT31&lt;&gt;1)),ISNUMBER(AL31),AL31&lt;=(C31+T31)),AZ31,0),IF(AND(NOT(AND(AU31=1,AT31&lt;&gt;1)),ISNUMBER(AM31),AM31&lt;=(C31+T31)),BA31,0),IF(AND(NOT(AND(AU31=1,AT31&lt;&gt;1)),ISNUMBER(AN31),AN31&lt;=(C31+T31)),BB31,0),IF(AND(ISNUMBER(AO31),AO31&lt;=(C31+T31)),BC31,0))),"LB",IF(AND(IF(AND(NOT(AND(AU31=1,AT31&lt;&gt;1)),ISNUMBER(AM31),AM31&lt;=(C31+T31)),BA31,0)&gt;0,IF(AND(NOT(AND(AU31=1,AT31&lt;&gt;1)),ISNUMBER(AM31),AM31&lt;=(C31+T31)),BA31,0)=MAX(IF(AND(NOT(AND(AU31=1,AT31&lt;&gt;1)),ISNUMBER(AK31),AK31&lt;=(C31+T31)),AY31,0),IF(AND(NOT(AND(AU31=1,AT31&lt;&gt;1)),ISNUMBER(AL31),AL31&lt;=(C31+T31)),AZ31,0),IF(AND(NOT(AND(AU31=1,AT31&lt;&gt;1)),ISNUMBER(AM31),AM31&lt;=(C31+T31)),BA31,0),IF(AND(NOT(AND(AU31=1,AT31&lt;&gt;1)),ISNUMBER(AN31),AN31&lt;=(C31+T31)),BB31,0),IF(AND(ISNUMBER(AO31),AO31&lt;=(C31+T31)),BC31,0))),"ML",IF(AND(IF(AND(NOT(AND(AU31=1,AT31&lt;&gt;1)),ISNUMBER(AN31),AN31&lt;=(C31+T31)),BB31,0)&gt;0,IF(AND(NOT(AND(AU31=1,AT31&lt;&gt;1)),ISNUMBER(AN31),AN31&lt;=(C31+T31)),BB31,0)=MAX(IF(AND(NOT(AND(AU31=1,AT31&lt;&gt;1)),ISNUMBER(AK31),AK31&lt;=(C31+T31)),AY31,0),IF(AND(NOT(AND(AU31=1,AT31&lt;&gt;1)),ISNUMBER(AL31),AL31&lt;=(C31+T31)),AZ31,0),IF(AND(NOT(AND(AU31=1,AT31&lt;&gt;1)),ISNUMBER(AM31),AM31&lt;=(C31+T31)),BA31,0),IF(AND(NOT(AND(AU31=1,AT31&lt;&gt;1)),ISNUMBER(AN31),AN31&lt;=(C31+T31)),BB31,0),IF(AND(ISNUMBER(AO31),AO31&lt;=(C31+T31)),BC31,0))),"RLO","BD"))))))))</f>
        <v/>
      </c>
    </row>
    <row r="32">
      <c r="A32" s="26" t="n">
        <v>21</v>
      </c>
      <c r="B32" s="27">
        <f>A32*10/60</f>
        <v/>
      </c>
      <c r="C32" s="22">
        <f>X31</f>
        <v/>
      </c>
      <c r="D32" s="27">
        <f>D31+W31</f>
        <v/>
      </c>
      <c r="E32" s="26">
        <f>E31+IF(U31="SK",1,0)</f>
        <v/>
      </c>
      <c r="F32" s="26">
        <f>F31+IF(U31="LB",1,0)</f>
        <v/>
      </c>
      <c r="G32" s="26">
        <f>G31+IF(U31="ML",1,0)</f>
        <v/>
      </c>
      <c r="H32" s="26">
        <f>H31+IF(U31="RLO",1,0)</f>
        <v/>
      </c>
      <c r="I32" s="26">
        <f>I31+IF(U31="BD",1,0)</f>
        <v/>
      </c>
      <c r="J32" s="26">
        <f>MAX(J31,IF(U31="BiP",1,0))</f>
        <v/>
      </c>
      <c r="K32" s="26">
        <f>MAX(K31,IF(U31="PV",1,0))</f>
        <v/>
      </c>
      <c r="L32" s="26">
        <f>MAX(L31,IF(U31="OC",1,0))</f>
        <v/>
      </c>
      <c r="M32" s="26">
        <f>MAX(M31,IF(U31="MG",1,0))</f>
        <v/>
      </c>
      <c r="N32" s="26">
        <f>MAX(N31,IF(U31="transition",1,0))</f>
        <v/>
      </c>
      <c r="O32" s="28">
        <f>(Parameters!$B$9+(IF(E32=0,0,(Upgrades!$J$13+E32*Upgrades!$K$13)*POWER(Upgrades!$L$13,E32)))*(IF(Upgrades!$T$14="Stellar Kinematics",POWER(Upgrades!$U$14,F32),1)*IF(Upgrades!$T$15="Stellar Kinematics",POWER(Upgrades!$U$15,G32),1)*IF(Upgrades!$T$16="Stellar Kinematics",POWER(Upgrades!$U$16,H32),1)*IF(Upgrades!$T$17="Stellar Kinematics",POWER(Upgrades!$U$17,I32),1)*IF(Upgrades!$T$18="Stellar Kinematics",POWER(Upgrades!$U$18,J32),1)*IF(Upgrades!$T$19="Stellar Kinematics",POWER(Upgrades!$U$19,K32),1)*IF(Upgrades!$T$20="Stellar Kinematics",POWER(Upgrades!$U$20,L32),1)*IF(Upgrades!$T$21="Stellar Kinematics",POWER(Upgrades!$U$21,M32),1))+(IF(F32=0,0,(Upgrades!$J$14+F32*Upgrades!$K$14)*POWER(Upgrades!$L$14,F32)))*(IF(Upgrades!$T$13="Local Bubble",POWER(Upgrades!$U$13,E32),1)*IF(Upgrades!$T$15="Local Bubble",POWER(Upgrades!$U$15,G32),1)*IF(Upgrades!$T$16="Local Bubble",POWER(Upgrades!$U$16,H32),1)*IF(Upgrades!$T$17="Local Bubble",POWER(Upgrades!$U$17,I32),1)*IF(Upgrades!$T$18="Local Bubble",POWER(Upgrades!$U$18,J32),1)*IF(Upgrades!$T$19="Local Bubble",POWER(Upgrades!$U$19,K32),1)*IF(Upgrades!$T$20="Local Bubble",POWER(Upgrades!$U$20,L32),1)*IF(Upgrades!$T$21="Local Bubble",POWER(Upgrades!$U$21,M32),1))+(IF(G32=0,0,(Upgrades!$J$15+G32*Upgrades!$K$15)*POWER(Upgrades!$L$15,G32)))*(IF(Upgrades!$T$13="Microlensing",POWER(Upgrades!$U$13,E32),1)*IF(Upgrades!$T$14="Microlensing",POWER(Upgrades!$U$14,F32),1)*IF(Upgrades!$T$16="Microlensing",POWER(Upgrades!$U$16,H32),1)*IF(Upgrades!$T$17="Microlensing",POWER(Upgrades!$U$17,I32),1)*IF(Upgrades!$T$18="Microlensing",POWER(Upgrades!$U$18,J32),1)*IF(Upgrades!$T$19="Microlensing",POWER(Upgrades!$U$19,K32),1)*IF(Upgrades!$T$20="Microlensing",POWER(Upgrades!$U$20,L32),1)*IF(Upgrades!$T$21="Microlensing",POWER(Upgrades!$U$21,M32),1))+(IF(H32=0,0,(Upgrades!$J$16+H32*Upgrades!$K$16)*POWER(Upgrades!$L$16,H32)))*(IF(Upgrades!$T$13="Roche Lobe Overflow",POWER(Upgrades!$U$13,E32),1)*IF(Upgrades!$T$14="Roche Lobe Overflow",POWER(Upgrades!$U$14,F32),1)*IF(Upgrades!$T$15="Roche Lobe Overflow",POWER(Upgrades!$U$15,G32),1)*IF(Upgrades!$T$17="Roche Lobe Overflow",POWER(Upgrades!$U$17,I32),1)*IF(Upgrades!$T$18="Roche Lobe Overflow",POWER(Upgrades!$U$18,J32),1)*IF(Upgrades!$T$19="Roche Lobe Overflow",POWER(Upgrades!$U$19,K32),1)*IF(Upgrades!$T$20="Roche Lobe Overflow",POWER(Upgrades!$U$20,L32),1)*IF(Upgrades!$T$21="Roche Lobe Overflow",POWER(Upgrades!$U$21,M32),1))+(IF(I32=0,0,(Upgrades!$J$17+I32*Upgrades!$K$17)*POWER(Upgrades!$L$17,I32)))*(IF(Upgrades!$T$13="Brown Dwarf",POWER(Upgrades!$U$13,E32),1)*IF(Upgrades!$T$14="Brown Dwarf",POWER(Upgrades!$U$14,F32),1)*IF(Upgrades!$T$15="Brown Dwarf",POWER(Upgrades!$U$15,G32),1)*IF(Upgrades!$T$16="Brown Dwarf",POWER(Upgrades!$U$16,H32),1)*IF(Upgrades!$T$18="Brown Dwarf",POWER(Upgrades!$U$18,J32),1)*IF(Upgrades!$T$19="Brown Dwarf",POWER(Upgrades!$U$19,K32),1)*IF(Upgrades!$T$20="Brown Dwarf",POWER(Upgrades!$U$20,L32),1)*IF(Upgrades!$T$21="Brown Dwarf",POWER(Upgrades!$U$21,M32),1))+(IF(J32=0,0,(Upgrades!$J$18+J32*Upgrades!$K$18)*POWER(Upgrades!$L$18,J32)))*(IF(Upgrades!$T$13="Binary Partner",POWER(Upgrades!$U$13,E32),1)*IF(Upgrades!$T$14="Binary Partner",POWER(Upgrades!$U$14,F32),1)*IF(Upgrades!$T$15="Binary Partner",POWER(Upgrades!$U$15,G32),1)*IF(Upgrades!$T$16="Binary Partner",POWER(Upgrades!$U$16,H32),1)*IF(Upgrades!$T$17="Binary Partner",POWER(Upgrades!$U$17,I32),1)*IF(Upgrades!$T$19="Binary Partner",POWER(Upgrades!$U$19,K32),1)*IF(Upgrades!$T$20="Binary Partner",POWER(Upgrades!$U$20,L32),1)*IF(Upgrades!$T$21="Binary Partner",POWER(Upgrades!$U$21,M32),1))+(IF(K32=0,0,(Upgrades!$J$19+K32*Upgrades!$K$19)*POWER(Upgrades!$L$19,K32)))*(IF(Upgrades!$T$13="Peculiar Velocity",POWER(Upgrades!$U$13,E32),1)*IF(Upgrades!$T$14="Peculiar Velocity",POWER(Upgrades!$U$14,F32),1)*IF(Upgrades!$T$15="Peculiar Velocity",POWER(Upgrades!$U$15,G32),1)*IF(Upgrades!$T$16="Peculiar Velocity",POWER(Upgrades!$U$16,H32),1)*IF(Upgrades!$T$17="Peculiar Velocity",POWER(Upgrades!$U$17,I32),1)*IF(Upgrades!$T$18="Peculiar Velocity",POWER(Upgrades!$U$18,J32),1)*IF(Upgrades!$T$20="Peculiar Velocity",POWER(Upgrades!$U$20,L32),1)*IF(Upgrades!$T$21="Peculiar Velocity",POWER(Upgrades!$U$21,M32),1))+(IF(L32=0,0,(Upgrades!$J$20+L32*Upgrades!$K$20)*POWER(Upgrades!$L$20,L32)))*(IF(Upgrades!$T$13="Open Cluster",POWER(Upgrades!$U$13,E32),1)*IF(Upgrades!$T$14="Open Cluster",POWER(Upgrades!$U$14,F32),1)*IF(Upgrades!$T$15="Open Cluster",POWER(Upgrades!$U$15,G32),1)*IF(Upgrades!$T$16="Open Cluster",POWER(Upgrades!$U$16,H32),1)*IF(Upgrades!$T$17="Open Cluster",POWER(Upgrades!$U$17,I32),1)*IF(Upgrades!$T$18="Open Cluster",POWER(Upgrades!$U$18,J32),1)*IF(Upgrades!$T$19="Open Cluster",POWER(Upgrades!$U$19,K32),1)*IF(Upgrades!$T$21="Open Cluster",POWER(Upgrades!$U$21,M32),1))+(IF(M32=0,0,(Upgrades!$J$21+M32*Upgrades!$K$21)*POWER(Upgrades!$L$21,M32)))*(IF(Upgrades!$T$13="Moving Group",POWER(Upgrades!$U$13,E32),1)*IF(Upgrades!$T$14="Moving Group",POWER(Upgrades!$U$14,F32),1)*IF(Upgrades!$T$15="Moving Group",POWER(Upgrades!$U$15,G32),1)*IF(Upgrades!$T$16="Moving Group",POWER(Upgrades!$U$16,H32),1)*IF(Upgrades!$T$17="Moving Group",POWER(Upgrades!$U$17,I32),1)*IF(Upgrades!$T$18="Moving Group",POWER(Upgrades!$U$18,J32),1)*IF(Upgrades!$T$19="Moving Group",POWER(Upgrades!$U$19,K32),1)*IF(Upgrades!$T$20="Moving Group",POWER(Upgrades!$U$20,L32),1)))*POWER(Upgrades!$Q$13,E32)*POWER(Upgrades!$Q$14,F32)*POWER(Upgrades!$Q$15,G32)*POWER(Upgrades!$Q$16,H32)*POWER(Upgrades!$Q$17,I32)*POWER(Upgrades!$Q$18,J32)*POWER(Upgrades!$Q$19,K32)*POWER(Upgrades!$Q$20,L32)*POWER(Upgrades!$Q$21,M32)*$G$6+$D$6</f>
        <v/>
      </c>
      <c r="P32" s="28">
        <f>((IF(E32=0,0,(Upgrades!$G$13+E32*Upgrades!$H$13)*POWER(Upgrades!$I$13,E32)))*(IF(Upgrades!$T$14="Stellar Kinematics",POWER(Upgrades!$U$14,F32),1)*IF(Upgrades!$T$15="Stellar Kinematics",POWER(Upgrades!$U$15,G32),1)*IF(Upgrades!$T$16="Stellar Kinematics",POWER(Upgrades!$U$16,H32),1)*IF(Upgrades!$T$17="Stellar Kinematics",POWER(Upgrades!$U$17,I32),1)*IF(Upgrades!$T$18="Stellar Kinematics",POWER(Upgrades!$U$18,J32),1)*IF(Upgrades!$T$19="Stellar Kinematics",POWER(Upgrades!$U$19,K32),1)*IF(Upgrades!$T$20="Stellar Kinematics",POWER(Upgrades!$U$20,L32),1)*IF(Upgrades!$T$21="Stellar Kinematics",POWER(Upgrades!$U$21,M32),1))+(IF(F32=0,0,(Upgrades!$G$14+F32*Upgrades!$H$14)*POWER(Upgrades!$I$14,F32)))*(IF(Upgrades!$T$13="Local Bubble",POWER(Upgrades!$U$13,E32),1)*IF(Upgrades!$T$15="Local Bubble",POWER(Upgrades!$U$15,G32),1)*IF(Upgrades!$T$16="Local Bubble",POWER(Upgrades!$U$16,H32),1)*IF(Upgrades!$T$17="Local Bubble",POWER(Upgrades!$U$17,I32),1)*IF(Upgrades!$T$18="Local Bubble",POWER(Upgrades!$U$18,J32),1)*IF(Upgrades!$T$19="Local Bubble",POWER(Upgrades!$U$19,K32),1)*IF(Upgrades!$T$20="Local Bubble",POWER(Upgrades!$U$20,L32),1)*IF(Upgrades!$T$21="Local Bubble",POWER(Upgrades!$U$21,M32),1))+(IF(G32=0,0,(Upgrades!$G$15+G32*Upgrades!$H$15)*POWER(Upgrades!$I$15,G32)))*(IF(Upgrades!$T$13="Microlensing",POWER(Upgrades!$U$13,E32),1)*IF(Upgrades!$T$14="Microlensing",POWER(Upgrades!$U$14,F32),1)*IF(Upgrades!$T$16="Microlensing",POWER(Upgrades!$U$16,H32),1)*IF(Upgrades!$T$17="Microlensing",POWER(Upgrades!$U$17,I32),1)*IF(Upgrades!$T$18="Microlensing",POWER(Upgrades!$U$18,J32),1)*IF(Upgrades!$T$19="Microlensing",POWER(Upgrades!$U$19,K32),1)*IF(Upgrades!$T$20="Microlensing",POWER(Upgrades!$U$20,L32),1)*IF(Upgrades!$T$21="Microlensing",POWER(Upgrades!$U$21,M32),1))+(IF(H32=0,0,(Upgrades!$G$16+H32*Upgrades!$H$16)*POWER(Upgrades!$I$16,H32)))*(IF(Upgrades!$T$13="Roche Lobe Overflow",POWER(Upgrades!$U$13,E32),1)*IF(Upgrades!$T$14="Roche Lobe Overflow",POWER(Upgrades!$U$14,F32),1)*IF(Upgrades!$T$15="Roche Lobe Overflow",POWER(Upgrades!$U$15,G32),1)*IF(Upgrades!$T$17="Roche Lobe Overflow",POWER(Upgrades!$U$17,I32),1)*IF(Upgrades!$T$18="Roche Lobe Overflow",POWER(Upgrades!$U$18,J32),1)*IF(Upgrades!$T$19="Roche Lobe Overflow",POWER(Upgrades!$U$19,K32),1)*IF(Upgrades!$T$20="Roche Lobe Overflow",POWER(Upgrades!$U$20,L32),1)*IF(Upgrades!$T$21="Roche Lobe Overflow",POWER(Upgrades!$U$21,M32),1))+(IF(I32=0,0,(Upgrades!$G$17+I32*Upgrades!$H$17)*POWER(Upgrades!$I$17,I32)))*(IF(Upgrades!$T$13="Brown Dwarf",POWER(Upgrades!$U$13,E32),1)*IF(Upgrades!$T$14="Brown Dwarf",POWER(Upgrades!$U$14,F32),1)*IF(Upgrades!$T$15="Brown Dwarf",POWER(Upgrades!$U$15,G32),1)*IF(Upgrades!$T$16="Brown Dwarf",POWER(Upgrades!$U$16,H32),1)*IF(Upgrades!$T$18="Brown Dwarf",POWER(Upgrades!$U$18,J32),1)*IF(Upgrades!$T$19="Brown Dwarf",POWER(Upgrades!$U$19,K32),1)*IF(Upgrades!$T$20="Brown Dwarf",POWER(Upgrades!$U$20,L32),1)*IF(Upgrades!$T$21="Brown Dwarf",POWER(Upgrades!$U$21,M32),1))+(IF(J32=0,0,(Upgrades!$G$18+J32*Upgrades!$H$18)*POWER(Upgrades!$I$18,J32)))*(IF(Upgrades!$T$13="Binary Partner",POWER(Upgrades!$U$13,E32),1)*IF(Upgrades!$T$14="Binary Partner",POWER(Upgrades!$U$14,F32),1)*IF(Upgrades!$T$15="Binary Partner",POWER(Upgrades!$U$15,G32),1)*IF(Upgrades!$T$16="Binary Partner",POWER(Upgrades!$U$16,H32),1)*IF(Upgrades!$T$17="Binary Partner",POWER(Upgrades!$U$17,I32),1)*IF(Upgrades!$T$19="Binary Partner",POWER(Upgrades!$U$19,K32),1)*IF(Upgrades!$T$20="Binary Partner",POWER(Upgrades!$U$20,L32),1)*IF(Upgrades!$T$21="Binary Partner",POWER(Upgrades!$U$21,M32),1))+(IF(K32=0,0,(Upgrades!$G$19+K32*Upgrades!$H$19)*POWER(Upgrades!$I$19,K32)))*(IF(Upgrades!$T$13="Peculiar Velocity",POWER(Upgrades!$U$13,E32),1)*IF(Upgrades!$T$14="Peculiar Velocity",POWER(Upgrades!$U$14,F32),1)*IF(Upgrades!$T$15="Peculiar Velocity",POWER(Upgrades!$U$15,G32),1)*IF(Upgrades!$T$16="Peculiar Velocity",POWER(Upgrades!$U$16,H32),1)*IF(Upgrades!$T$17="Peculiar Velocity",POWER(Upgrades!$U$17,I32),1)*IF(Upgrades!$T$18="Peculiar Velocity",POWER(Upgrades!$U$18,J32),1)*IF(Upgrades!$T$20="Peculiar Velocity",POWER(Upgrades!$U$20,L32),1)*IF(Upgrades!$T$21="Peculiar Velocity",POWER(Upgrades!$U$21,M32),1))+(IF(L32=0,0,(Upgrades!$G$20+L32*Upgrades!$H$20)*POWER(Upgrades!$I$20,L32)))*(IF(Upgrades!$T$13="Open Cluster",POWER(Upgrades!$U$13,E32),1)*IF(Upgrades!$T$14="Open Cluster",POWER(Upgrades!$U$14,F32),1)*IF(Upgrades!$T$15="Open Cluster",POWER(Upgrades!$U$15,G32),1)*IF(Upgrades!$T$16="Open Cluster",POWER(Upgrades!$U$16,H32),1)*IF(Upgrades!$T$17="Open Cluster",POWER(Upgrades!$U$17,I32),1)*IF(Upgrades!$T$18="Open Cluster",POWER(Upgrades!$U$18,J32),1)*IF(Upgrades!$T$19="Open Cluster",POWER(Upgrades!$U$19,K32),1)*IF(Upgrades!$T$21="Open Cluster",POWER(Upgrades!$U$21,M32),1))+(IF(M32=0,0,(Upgrades!$G$21+M32*Upgrades!$H$21)*POWER(Upgrades!$I$21,M32)))*(IF(Upgrades!$T$13="Moving Group",POWER(Upgrades!$U$13,E32),1)*IF(Upgrades!$T$14="Moving Group",POWER(Upgrades!$U$14,F32),1)*IF(Upgrades!$T$15="Moving Group",POWER(Upgrades!$U$15,G32),1)*IF(Upgrades!$T$16="Moving Group",POWER(Upgrades!$U$16,H32),1)*IF(Upgrades!$T$17="Moving Group",POWER(Upgrades!$U$17,I32),1)*IF(Upgrades!$T$18="Moving Group",POWER(Upgrades!$U$18,J32),1)*IF(Upgrades!$T$19="Moving Group",POWER(Upgrades!$U$19,K32),1)*IF(Upgrades!$T$20="Moving Group",POWER(Upgrades!$U$20,L32),1)))*POWER(Upgrades!$P$13,E32)*POWER(Upgrades!$P$14,F32)*POWER(Upgrades!$P$15,G32)*POWER(Upgrades!$P$16,H32)*POWER(Upgrades!$P$17,I32)*POWER(Upgrades!$P$18,J32)*POWER(Upgrades!$P$19,K32)*POWER(Upgrades!$P$20,L32)*POWER(Upgrades!$P$21,M32)*$F$6+$C$6</f>
        <v/>
      </c>
      <c r="Q32" s="28">
        <f>((IF(E32=0,0,(Upgrades!$M$13+E32*Upgrades!$N$13)*POWER(Upgrades!$O$13,E32)))*(IF(Upgrades!$T$14="Stellar Kinematics",POWER(Upgrades!$U$14,F32),1)*IF(Upgrades!$T$15="Stellar Kinematics",POWER(Upgrades!$U$15,G32),1)*IF(Upgrades!$T$16="Stellar Kinematics",POWER(Upgrades!$U$16,H32),1)*IF(Upgrades!$T$17="Stellar Kinematics",POWER(Upgrades!$U$17,I32),1)*IF(Upgrades!$T$18="Stellar Kinematics",POWER(Upgrades!$U$18,J32),1)*IF(Upgrades!$T$19="Stellar Kinematics",POWER(Upgrades!$U$19,K32),1)*IF(Upgrades!$T$20="Stellar Kinematics",POWER(Upgrades!$U$20,L32),1)*IF(Upgrades!$T$21="Stellar Kinematics",POWER(Upgrades!$U$21,M32),1))+(IF(F32=0,0,(Upgrades!$M$14+F32*Upgrades!$N$14)*POWER(Upgrades!$O$14,F32)))*(IF(Upgrades!$T$13="Local Bubble",POWER(Upgrades!$U$13,E32),1)*IF(Upgrades!$T$15="Local Bubble",POWER(Upgrades!$U$15,G32),1)*IF(Upgrades!$T$16="Local Bubble",POWER(Upgrades!$U$16,H32),1)*IF(Upgrades!$T$17="Local Bubble",POWER(Upgrades!$U$17,I32),1)*IF(Upgrades!$T$18="Local Bubble",POWER(Upgrades!$U$18,J32),1)*IF(Upgrades!$T$19="Local Bubble",POWER(Upgrades!$U$19,K32),1)*IF(Upgrades!$T$20="Local Bubble",POWER(Upgrades!$U$20,L32),1)*IF(Upgrades!$T$21="Local Bubble",POWER(Upgrades!$U$21,M32),1))+(IF(G32=0,0,(Upgrades!$M$15+G32*Upgrades!$N$15)*POWER(Upgrades!$O$15,G32)))*(IF(Upgrades!$T$13="Microlensing",POWER(Upgrades!$U$13,E32),1)*IF(Upgrades!$T$14="Microlensing",POWER(Upgrades!$U$14,F32),1)*IF(Upgrades!$T$16="Microlensing",POWER(Upgrades!$U$16,H32),1)*IF(Upgrades!$T$17="Microlensing",POWER(Upgrades!$U$17,I32),1)*IF(Upgrades!$T$18="Microlensing",POWER(Upgrades!$U$18,J32),1)*IF(Upgrades!$T$19="Microlensing",POWER(Upgrades!$U$19,K32),1)*IF(Upgrades!$T$20="Microlensing",POWER(Upgrades!$U$20,L32),1)*IF(Upgrades!$T$21="Microlensing",POWER(Upgrades!$U$21,M32),1))+(IF(H32=0,0,(Upgrades!$M$16+H32*Upgrades!$N$16)*POWER(Upgrades!$O$16,H32)))*(IF(Upgrades!$T$13="Roche Lobe Overflow",POWER(Upgrades!$U$13,E32),1)*IF(Upgrades!$T$14="Roche Lobe Overflow",POWER(Upgrades!$U$14,F32),1)*IF(Upgrades!$T$15="Roche Lobe Overflow",POWER(Upgrades!$U$15,G32),1)*IF(Upgrades!$T$17="Roche Lobe Overflow",POWER(Upgrades!$U$17,I32),1)*IF(Upgrades!$T$18="Roche Lobe Overflow",POWER(Upgrades!$U$18,J32),1)*IF(Upgrades!$T$19="Roche Lobe Overflow",POWER(Upgrades!$U$19,K32),1)*IF(Upgrades!$T$20="Roche Lobe Overflow",POWER(Upgrades!$U$20,L32),1)*IF(Upgrades!$T$21="Roche Lobe Overflow",POWER(Upgrades!$U$21,M32),1))+(IF(I32=0,0,(Upgrades!$M$17+I32*Upgrades!$N$17)*POWER(Upgrades!$O$17,I32)))*(IF(Upgrades!$T$13="Brown Dwarf",POWER(Upgrades!$U$13,E32),1)*IF(Upgrades!$T$14="Brown Dwarf",POWER(Upgrades!$U$14,F32),1)*IF(Upgrades!$T$15="Brown Dwarf",POWER(Upgrades!$U$15,G32),1)*IF(Upgrades!$T$16="Brown Dwarf",POWER(Upgrades!$U$16,H32),1)*IF(Upgrades!$T$18="Brown Dwarf",POWER(Upgrades!$U$18,J32),1)*IF(Upgrades!$T$19="Brown Dwarf",POWER(Upgrades!$U$19,K32),1)*IF(Upgrades!$T$20="Brown Dwarf",POWER(Upgrades!$U$20,L32),1)*IF(Upgrades!$T$21="Brown Dwarf",POWER(Upgrades!$U$21,M32),1))+(IF(J32=0,0,(Upgrades!$M$18+J32*Upgrades!$N$18)*POWER(Upgrades!$O$18,J32)))*(IF(Upgrades!$T$13="Binary Partner",POWER(Upgrades!$U$13,E32),1)*IF(Upgrades!$T$14="Binary Partner",POWER(Upgrades!$U$14,F32),1)*IF(Upgrades!$T$15="Binary Partner",POWER(Upgrades!$U$15,G32),1)*IF(Upgrades!$T$16="Binary Partner",POWER(Upgrades!$U$16,H32),1)*IF(Upgrades!$T$17="Binary Partner",POWER(Upgrades!$U$17,I32),1)*IF(Upgrades!$T$19="Binary Partner",POWER(Upgrades!$U$19,K32),1)*IF(Upgrades!$T$20="Binary Partner",POWER(Upgrades!$U$20,L32),1)*IF(Upgrades!$T$21="Binary Partner",POWER(Upgrades!$U$21,M32),1))+(IF(K32=0,0,(Upgrades!$M$19+K32*Upgrades!$N$19)*POWER(Upgrades!$O$19,K32)))*(IF(Upgrades!$T$13="Peculiar Velocity",POWER(Upgrades!$U$13,E32),1)*IF(Upgrades!$T$14="Peculiar Velocity",POWER(Upgrades!$U$14,F32),1)*IF(Upgrades!$T$15="Peculiar Velocity",POWER(Upgrades!$U$15,G32),1)*IF(Upgrades!$T$16="Peculiar Velocity",POWER(Upgrades!$U$16,H32),1)*IF(Upgrades!$T$17="Peculiar Velocity",POWER(Upgrades!$U$17,I32),1)*IF(Upgrades!$T$18="Peculiar Velocity",POWER(Upgrades!$U$18,J32),1)*IF(Upgrades!$T$20="Peculiar Velocity",POWER(Upgrades!$U$20,L32),1)*IF(Upgrades!$T$21="Peculiar Velocity",POWER(Upgrades!$U$21,M32),1))+(IF(L32=0,0,(Upgrades!$M$20+L32*Upgrades!$N$20)*POWER(Upgrades!$O$20,L32)))*(IF(Upgrades!$T$13="Open Cluster",POWER(Upgrades!$U$13,E32),1)*IF(Upgrades!$T$14="Open Cluster",POWER(Upgrades!$U$14,F32),1)*IF(Upgrades!$T$15="Open Cluster",POWER(Upgrades!$U$15,G32),1)*IF(Upgrades!$T$16="Open Cluster",POWER(Upgrades!$U$16,H32),1)*IF(Upgrades!$T$17="Open Cluster",POWER(Upgrades!$U$17,I32),1)*IF(Upgrades!$T$18="Open Cluster",POWER(Upgrades!$U$18,J32),1)*IF(Upgrades!$T$19="Open Cluster",POWER(Upgrades!$U$19,K32),1)*IF(Upgrades!$T$21="Open Cluster",POWER(Upgrades!$U$21,M32),1))+(IF(M32=0,0,(Upgrades!$M$21+M32*Upgrades!$N$21)*POWER(Upgrades!$O$21,M32)))*(IF(Upgrades!$T$13="Moving Group",POWER(Upgrades!$U$13,E32),1)*IF(Upgrades!$T$14="Moving Group",POWER(Upgrades!$U$14,F32),1)*IF(Upgrades!$T$15="Moving Group",POWER(Upgrades!$U$15,G32),1)*IF(Upgrades!$T$16="Moving Group",POWER(Upgrades!$U$16,H32),1)*IF(Upgrades!$T$17="Moving Group",POWER(Upgrades!$U$17,I32),1)*IF(Upgrades!$T$18="Moving Group",POWER(Upgrades!$U$18,J32),1)*IF(Upgrades!$T$19="Moving Group",POWER(Upgrades!$U$19,K32),1)*IF(Upgrades!$T$20="Moving Group",POWER(Upgrades!$U$20,L32),1)))*POWER(Upgrades!$R$13,E32)*POWER(Upgrades!$R$14,F32)*POWER(Upgrades!$R$15,G32)*POWER(Upgrades!$R$16,H32)*POWER(Upgrades!$R$17,I32)*POWER(Upgrades!$R$18,J32)*POWER(Upgrades!$R$19,K32)*POWER(Upgrades!$R$20,L32)*POWER(Upgrades!$R$21,M32)*$H$6+$E$6</f>
        <v/>
      </c>
      <c r="R32" s="27">
        <f>IF(N32=1,0,O32*Parameters!$B$10/60*Parameters!$B$11*10)</f>
        <v/>
      </c>
      <c r="S32" s="27">
        <f>IF(N32=1,0,Q32*O32*10)</f>
        <v/>
      </c>
      <c r="T32" s="27">
        <f>IF(N32=1,0,R32+S32+P32*10)</f>
        <v/>
      </c>
      <c r="U32" s="33">
        <f>BE32</f>
        <v/>
      </c>
      <c r="V32" s="22">
        <f>IF(U32="",0,IF(U32="transition",0,IF(U32="SK",AK32,IF(U32="LB",AL32,IF(U32="ML",AM32,IF(U32="RLO",AN32,IF(U32="BD",AO32,IF(U32="BiP",AP32,IF(U32="PV",AQ32,IF(U32="OC",AR32,IF(U32="MG",AS32,0))))))))))</f>
        <v/>
      </c>
      <c r="W32" s="27">
        <f>IF(U32="BiP",Upgrades!$F$18,IF(U32="PV",Upgrades!$F$19,IF(U32="OC",Upgrades!$F$20,IF(U32="MG",Upgrades!$F$21,IF(U32="transition",-Parameters!$B$18*Parameters!$B$19,0)))))</f>
        <v/>
      </c>
      <c r="X32" s="22">
        <f>C32+T32-V32</f>
        <v/>
      </c>
      <c r="Y32" s="30">
        <f>O32*Parameters!$B$10/60*Parameters!$B$11+Q32*O32+P32</f>
        <v/>
      </c>
      <c r="Z32" s="34">
        <f>IF(U32="transition","→ Tier 3 (Galactic Arm)",IF(U32="MG","Moving Group — pocket drifts together",IF(U32="OC","Open Cluster acquired",IF(U32="PV","Peculiar Velocity — passive multiplier active",IF(U32="BiP","Binary Partner — pair bond formed",IF(AND(AU32=1,N32=0,AT32&lt;&gt;1),"Cohesion ready (waiting on completionists)","")))))) </f>
        <v/>
      </c>
      <c r="AA32" s="27">
        <f>(IF(E32=0,0,(Upgrades!$G$13+E32*Upgrades!$H$13)*POWER(Upgrades!$I$13,E32)))*(IF(Upgrades!$T$14="Stellar Kinematics",POWER(Upgrades!$U$14,F32),1)*IF(Upgrades!$T$15="Stellar Kinematics",POWER(Upgrades!$U$15,G32),1)*IF(Upgrades!$T$16="Stellar Kinematics",POWER(Upgrades!$U$16,H32),1)*IF(Upgrades!$T$17="Stellar Kinematics",POWER(Upgrades!$U$17,I32),1)*IF(Upgrades!$T$18="Stellar Kinematics",POWER(Upgrades!$U$18,J32),1)*IF(Upgrades!$T$19="Stellar Kinematics",POWER(Upgrades!$U$19,K32),1)*IF(Upgrades!$T$20="Stellar Kinematics",POWER(Upgrades!$U$20,L32),1)*IF(Upgrades!$T$21="Stellar Kinematics",POWER(Upgrades!$U$21,M32),1))*POWER(Upgrades!$P$13,E32)*POWER(Upgrades!$P$14,F32)*POWER(Upgrades!$P$15,G32)*POWER(Upgrades!$P$16,H32)*POWER(Upgrades!$P$17,I32)*POWER(Upgrades!$P$18,J32)*POWER(Upgrades!$P$19,K32)*POWER(Upgrades!$P$20,L32)*POWER(Upgrades!$P$21,M32)*$F$6*60</f>
        <v/>
      </c>
      <c r="AB32" s="27">
        <f>(IF(F32=0,0,(Upgrades!$G$14+F32*Upgrades!$H$14)*POWER(Upgrades!$I$14,F32)))*(IF(Upgrades!$T$13="Local Bubble",POWER(Upgrades!$U$13,E32),1)*IF(Upgrades!$T$15="Local Bubble",POWER(Upgrades!$U$15,G32),1)*IF(Upgrades!$T$16="Local Bubble",POWER(Upgrades!$U$16,H32),1)*IF(Upgrades!$T$17="Local Bubble",POWER(Upgrades!$U$17,I32),1)*IF(Upgrades!$T$18="Local Bubble",POWER(Upgrades!$U$18,J32),1)*IF(Upgrades!$T$19="Local Bubble",POWER(Upgrades!$U$19,K32),1)*IF(Upgrades!$T$20="Local Bubble",POWER(Upgrades!$U$20,L32),1)*IF(Upgrades!$T$21="Local Bubble",POWER(Upgrades!$U$21,M32),1))*POWER(Upgrades!$P$13,E32)*POWER(Upgrades!$P$14,F32)*POWER(Upgrades!$P$15,G32)*POWER(Upgrades!$P$16,H32)*POWER(Upgrades!$P$17,I32)*POWER(Upgrades!$P$18,J32)*POWER(Upgrades!$P$19,K32)*POWER(Upgrades!$P$20,L32)*POWER(Upgrades!$P$21,M32)*$F$6*60</f>
        <v/>
      </c>
      <c r="AC32" s="27">
        <f>(IF(G32=0,0,(Upgrades!$J$15+G32*Upgrades!$K$15)*POWER(Upgrades!$L$15,G32)))*(IF(Upgrades!$T$13="Microlensing",POWER(Upgrades!$U$13,E32),1)*IF(Upgrades!$T$14="Microlensing",POWER(Upgrades!$U$14,F32),1)*IF(Upgrades!$T$16="Microlensing",POWER(Upgrades!$U$16,H32),1)*IF(Upgrades!$T$17="Microlensing",POWER(Upgrades!$U$17,I32),1)*IF(Upgrades!$T$18="Microlensing",POWER(Upgrades!$U$18,J32),1)*IF(Upgrades!$T$19="Microlensing",POWER(Upgrades!$U$19,K32),1)*IF(Upgrades!$T$20="Microlensing",POWER(Upgrades!$U$20,L32),1)*IF(Upgrades!$T$21="Microlensing",POWER(Upgrades!$U$21,M32),1))*POWER(Upgrades!$Q$13,E32)*POWER(Upgrades!$Q$14,F32)*POWER(Upgrades!$Q$15,G32)*POWER(Upgrades!$Q$16,H32)*POWER(Upgrades!$Q$17,I32)*POWER(Upgrades!$Q$18,J32)*POWER(Upgrades!$Q$19,K32)*POWER(Upgrades!$Q$20,L32)*POWER(Upgrades!$Q$21,M32)*$G$6*(Parameters!$B$10*Parameters!$B$11+Q32*60)</f>
        <v/>
      </c>
      <c r="AD32" s="27">
        <f>(IF(H32=0,0,(Upgrades!$M$16+H32*Upgrades!$N$16)*POWER(Upgrades!$O$16,H32)))*(IF(Upgrades!$T$13="Roche Lobe Overflow",POWER(Upgrades!$U$13,E32),1)*IF(Upgrades!$T$14="Roche Lobe Overflow",POWER(Upgrades!$U$14,F32),1)*IF(Upgrades!$T$15="Roche Lobe Overflow",POWER(Upgrades!$U$15,G32),1)*IF(Upgrades!$T$17="Roche Lobe Overflow",POWER(Upgrades!$U$17,I32),1)*IF(Upgrades!$T$18="Roche Lobe Overflow",POWER(Upgrades!$U$18,J32),1)*IF(Upgrades!$T$19="Roche Lobe Overflow",POWER(Upgrades!$U$19,K32),1)*IF(Upgrades!$T$20="Roche Lobe Overflow",POWER(Upgrades!$U$20,L32),1)*IF(Upgrades!$T$21="Roche Lobe Overflow",POWER(Upgrades!$U$21,M32),1))*POWER(Upgrades!$R$13,E32)*POWER(Upgrades!$R$14,F32)*POWER(Upgrades!$R$15,G32)*POWER(Upgrades!$R$16,H32)*POWER(Upgrades!$R$17,I32)*POWER(Upgrades!$R$18,J32)*POWER(Upgrades!$R$19,K32)*POWER(Upgrades!$R$20,L32)*POWER(Upgrades!$R$21,M32)*$H$6*O32*60</f>
        <v/>
      </c>
      <c r="AE32" s="27">
        <f>(IF(I32=0,0,(Upgrades!$G$17+I32*Upgrades!$H$17)*POWER(Upgrades!$I$17,I32)))*(IF(Upgrades!$T$13="Brown Dwarf",POWER(Upgrades!$U$13,E32),1)*IF(Upgrades!$T$14="Brown Dwarf",POWER(Upgrades!$U$14,F32),1)*IF(Upgrades!$T$15="Brown Dwarf",POWER(Upgrades!$U$15,G32),1)*IF(Upgrades!$T$16="Brown Dwarf",POWER(Upgrades!$U$16,H32),1)*IF(Upgrades!$T$18="Brown Dwarf",POWER(Upgrades!$U$18,J32),1)*IF(Upgrades!$T$19="Brown Dwarf",POWER(Upgrades!$U$19,K32),1)*IF(Upgrades!$T$20="Brown Dwarf",POWER(Upgrades!$U$20,L32),1)*IF(Upgrades!$T$21="Brown Dwarf",POWER(Upgrades!$U$21,M32),1))*POWER(Upgrades!$P$13,E32)*POWER(Upgrades!$P$14,F32)*POWER(Upgrades!$P$15,G32)*POWER(Upgrades!$P$16,H32)*POWER(Upgrades!$P$17,I32)*POWER(Upgrades!$P$18,J32)*POWER(Upgrades!$P$19,K32)*POWER(Upgrades!$P$20,L32)*POWER(Upgrades!$P$21,M32)*$F$6*60</f>
        <v/>
      </c>
      <c r="AF32" s="27" t="n">
        <v>0</v>
      </c>
      <c r="AG32" s="27" t="n">
        <v>0</v>
      </c>
      <c r="AH32" s="27" t="n">
        <v>0</v>
      </c>
      <c r="AI32" s="27">
        <f>(IF(M32=0,0,(Upgrades!$G$21+M32*Upgrades!$H$21)*POWER(Upgrades!$I$21,M32)))*(IF(Upgrades!$T$13="Moving Group",POWER(Upgrades!$U$13,E32),1)*IF(Upgrades!$T$14="Moving Group",POWER(Upgrades!$U$14,F32),1)*IF(Upgrades!$T$15="Moving Group",POWER(Upgrades!$U$15,G32),1)*IF(Upgrades!$T$16="Moving Group",POWER(Upgrades!$U$16,H32),1)*IF(Upgrades!$T$17="Moving Group",POWER(Upgrades!$U$17,I32),1)*IF(Upgrades!$T$18="Moving Group",POWER(Upgrades!$U$18,J32),1)*IF(Upgrades!$T$19="Moving Group",POWER(Upgrades!$U$19,K32),1)*IF(Upgrades!$T$20="Moving Group",POWER(Upgrades!$U$20,L32),1))*POWER(Upgrades!$P$13,E32)*POWER(Upgrades!$P$14,F32)*POWER(Upgrades!$P$15,G32)*POWER(Upgrades!$P$16,H32)*POWER(Upgrades!$P$17,I32)*POWER(Upgrades!$P$18,J32)*POWER(Upgrades!$P$19,K32)*POWER(Upgrades!$P$20,L32)*POWER(Upgrades!$P$21,M32)*$F$6*60</f>
        <v/>
      </c>
      <c r="AJ32" s="27">
        <f>$C$6*60</f>
        <v/>
      </c>
      <c r="AK32" s="22">
        <f>IF(E32&gt;=Upgrades!$E$13,"",Upgrades!$C$13*POWER(Upgrades!$D$13,E32))</f>
        <v/>
      </c>
      <c r="AL32" s="22">
        <f>IF(F32&gt;=Upgrades!$E$14,"",Upgrades!$C$14*POWER(Upgrades!$D$14,F32))</f>
        <v/>
      </c>
      <c r="AM32" s="22">
        <f>IF(G32&gt;=Upgrades!$E$15,"",Upgrades!$C$15*POWER(Upgrades!$D$15,G32))</f>
        <v/>
      </c>
      <c r="AN32" s="22">
        <f>IF(H32&gt;=Upgrades!$E$16,"",Upgrades!$C$16*POWER(Upgrades!$D$16,H32))</f>
        <v/>
      </c>
      <c r="AO32" s="22">
        <f>IF(I32&gt;=Upgrades!$E$17,"",Upgrades!$C$17*POWER(Upgrades!$D$17,I32))</f>
        <v/>
      </c>
      <c r="AP32" s="22">
        <f>IF(J32&gt;=Upgrades!$E$18,"",Upgrades!$C$18*POWER(Upgrades!$D$18,J32))</f>
        <v/>
      </c>
      <c r="AQ32" s="22">
        <f>IF(K32&gt;=Upgrades!$E$19,"",Upgrades!$C$19*POWER(Upgrades!$D$19,K32))</f>
        <v/>
      </c>
      <c r="AR32" s="22">
        <f>IF(L32&gt;=Upgrades!$E$20,"",Upgrades!$C$20*POWER(Upgrades!$D$20,L32))</f>
        <v/>
      </c>
      <c r="AS32" s="22">
        <f>IF(M32&gt;=Upgrades!$E$21,"",Upgrades!$C$21*POWER(Upgrades!$D$21,M32))</f>
        <v/>
      </c>
      <c r="AT32" s="26">
        <f>IF(AND(D32&gt;=Parameters!$B$18*Parameters!$B$19,(I32&gt;=Upgrades!$E$17)*(M32&gt;=Upgrades!$E$21)=1,N32=0),1,"")</f>
        <v/>
      </c>
      <c r="AU32" s="26">
        <f>IF(AND(D32&gt;=Parameters!$B$18*Parameters!$B$19,N32=0),1,"")</f>
        <v/>
      </c>
      <c r="AV32" s="22">
        <f>MIN(IF(ISNUMBER(AP32),AP32,9E15),IF(ISNUMBER(AQ32),AQ32,9E15),IF(ISNUMBER(AR32),AR32,9E15),IF(ISNUMBER(AS32),AS32,9E15))</f>
        <v/>
      </c>
      <c r="AW32" s="22">
        <f>MIN(IF(ISNUMBER(AK32),AK32,9E15),IF(ISNUMBER(AL32),AL32,9E15),IF(ISNUMBER(AM32),AM32,9E15),IF(ISNUMBER(AN32),AN32,9E15),IF(ISNUMBER(AO32),AO32,9E15))</f>
        <v/>
      </c>
      <c r="AX32" s="29">
        <f>IF(BD32&gt;Parameters!$B$21*(MAX(IF(AND(NOT(AND(AU32=1,AT32&lt;&gt;1)),ISNUMBER(AK32),AK32&lt;=(C32+T32)),AY32,0),IF(AND(NOT(AND(AU32=1,AT32&lt;&gt;1)),ISNUMBER(AL32),AL32&lt;=(C32+T32)),AZ32,0),IF(AND(NOT(AND(AU32=1,AT32&lt;&gt;1)),ISNUMBER(AM32),AM32&lt;=(C32+T32)),BA32,0),IF(AND(NOT(AND(AU32=1,AT32&lt;&gt;1)),ISNUMBER(AN32),AN32&lt;=(C32+T32)),BB32,0),IF(AND(ISNUMBER(AO32),AO32&lt;=(C32+T32)),BC32,0))),TRUE,FALSE)</f>
        <v/>
      </c>
      <c r="AY32" s="32">
        <f>IFERROR(Upgrades!$H$13*(POWER(Upgrades!$P$13,E32)*POWER(Upgrades!$P$14,F32)*POWER(Upgrades!$P$15,G32)*POWER(Upgrades!$P$16,H32)*POWER(Upgrades!$P$17,I32)*POWER(Upgrades!$P$18,J32)*POWER(Upgrades!$P$19,K32)*POWER(Upgrades!$P$20,L32)*POWER(Upgrades!$P$21,M32))*(IF(Upgrades!$T$14="Stellar Kinematics",POWER(Upgrades!$U$14,F32),1)*IF(Upgrades!$T$15="Stellar Kinematics",POWER(Upgrades!$U$15,G32),1)*IF(Upgrades!$T$16="Stellar Kinematics",POWER(Upgrades!$U$16,H32),1)*IF(Upgrades!$T$17="Stellar Kinematics",POWER(Upgrades!$U$17,I32),1)*IF(Upgrades!$T$18="Stellar Kinematics",POWER(Upgrades!$U$18,J32),1)*IF(Upgrades!$T$19="Stellar Kinematics",POWER(Upgrades!$U$19,K32),1)*IF(Upgrades!$T$20="Stellar Kinematics",POWER(Upgrades!$U$20,L32),1)*IF(Upgrades!$T$21="Stellar Kinematics",POWER(Upgrades!$U$21,M32),1))*$F$6/AK32,0)</f>
        <v/>
      </c>
      <c r="AZ32" s="32">
        <f>IFERROR(Upgrades!$H$14*(POWER(Upgrades!$P$13,E32)*POWER(Upgrades!$P$14,F32)*POWER(Upgrades!$P$15,G32)*POWER(Upgrades!$P$16,H32)*POWER(Upgrades!$P$17,I32)*POWER(Upgrades!$P$18,J32)*POWER(Upgrades!$P$19,K32)*POWER(Upgrades!$P$20,L32)*POWER(Upgrades!$P$21,M32))*(IF(Upgrades!$T$13="Local Bubble",POWER(Upgrades!$U$13,E32),1)*IF(Upgrades!$T$15="Local Bubble",POWER(Upgrades!$U$15,G32),1)*IF(Upgrades!$T$16="Local Bubble",POWER(Upgrades!$U$16,H32),1)*IF(Upgrades!$T$17="Local Bubble",POWER(Upgrades!$U$17,I32),1)*IF(Upgrades!$T$18="Local Bubble",POWER(Upgrades!$U$18,J32),1)*IF(Upgrades!$T$19="Local Bubble",POWER(Upgrades!$U$19,K32),1)*IF(Upgrades!$T$20="Local Bubble",POWER(Upgrades!$U$20,L32),1)*IF(Upgrades!$T$21="Local Bubble",POWER(Upgrades!$U$21,M32),1))*$F$6/AL32,0)</f>
        <v/>
      </c>
      <c r="BA32" s="32">
        <f>IFERROR(Upgrades!$K$15*(POWER(Upgrades!$Q$13,E32)*POWER(Upgrades!$Q$14,F32)*POWER(Upgrades!$Q$15,G32)*POWER(Upgrades!$Q$16,H32)*POWER(Upgrades!$Q$17,I32)*POWER(Upgrades!$Q$18,J32)*POWER(Upgrades!$Q$19,K32)*POWER(Upgrades!$Q$20,L32)*POWER(Upgrades!$Q$21,M32))*(IF(Upgrades!$T$13="Microlensing",POWER(Upgrades!$U$13,E32),1)*IF(Upgrades!$T$14="Microlensing",POWER(Upgrades!$U$14,F32),1)*IF(Upgrades!$T$16="Microlensing",POWER(Upgrades!$U$16,H32),1)*IF(Upgrades!$T$17="Microlensing",POWER(Upgrades!$U$17,I32),1)*IF(Upgrades!$T$18="Microlensing",POWER(Upgrades!$U$18,J32),1)*IF(Upgrades!$T$19="Microlensing",POWER(Upgrades!$U$19,K32),1)*IF(Upgrades!$T$20="Microlensing",POWER(Upgrades!$U$20,L32),1)*IF(Upgrades!$T$21="Microlensing",POWER(Upgrades!$U$21,M32),1))*$G$6*(Parameters!$B$10/60*Parameters!$B$11+Q32)/AM32,0)</f>
        <v/>
      </c>
      <c r="BB32" s="32">
        <f>IFERROR((Upgrades!$N$16*(POWER(Upgrades!$R$13,E32)*POWER(Upgrades!$R$14,F32)*POWER(Upgrades!$R$15,G32)*POWER(Upgrades!$R$16,H32)*POWER(Upgrades!$R$17,I32)*POWER(Upgrades!$R$18,J32)*POWER(Upgrades!$R$19,K32)*POWER(Upgrades!$R$20,L32)*POWER(Upgrades!$R$21,M32))*(IF(Upgrades!$T$13="Roche Lobe Overflow",POWER(Upgrades!$U$13,E32),1)*IF(Upgrades!$T$14="Roche Lobe Overflow",POWER(Upgrades!$U$14,F32),1)*IF(Upgrades!$T$15="Roche Lobe Overflow",POWER(Upgrades!$U$15,G32),1)*IF(Upgrades!$T$17="Roche Lobe Overflow",POWER(Upgrades!$U$17,I32),1)*IF(Upgrades!$T$18="Roche Lobe Overflow",POWER(Upgrades!$U$18,J32),1)*IF(Upgrades!$T$19="Roche Lobe Overflow",POWER(Upgrades!$U$19,K32),1)*IF(Upgrades!$T$20="Roche Lobe Overflow",POWER(Upgrades!$U$20,L32),1)*IF(Upgrades!$T$21="Roche Lobe Overflow",POWER(Upgrades!$U$21,M32),1))*$H$6*O32+((IF(F32=0,0,(Upgrades!$G$14+F32*Upgrades!$H$14)*POWER(Upgrades!$I$14,F32)))*(IF(Upgrades!$T$13="Local Bubble",POWER(Upgrades!$U$13,E32),1)*IF(Upgrades!$T$15="Local Bubble",POWER(Upgrades!$U$15,G32),1)*IF(Upgrades!$T$16="Local Bubble",POWER(Upgrades!$U$16,H32),1)*IF(Upgrades!$T$17="Local Bubble",POWER(Upgrades!$U$17,I32),1)*IF(Upgrades!$T$18="Local Bubble",POWER(Upgrades!$U$18,J32),1)*IF(Upgrades!$T$19="Local Bubble",POWER(Upgrades!$U$19,K32),1)*IF(Upgrades!$T$20="Local Bubble",POWER(Upgrades!$U$20,L32),1)*IF(Upgrades!$T$21="Local Bubble",POWER(Upgrades!$U$21,M32),1))*POWER(Upgrades!$P$13,E32)*POWER(Upgrades!$P$14,F32)*POWER(Upgrades!$P$15,G32)*POWER(Upgrades!$P$16,H32)*POWER(Upgrades!$P$17,I32)*POWER(Upgrades!$P$18,J32)*POWER(Upgrades!$P$19,K32)*POWER(Upgrades!$P$20,L32)*POWER(Upgrades!$P$21,M32)*$F$6)*0.05)/AN32,0)</f>
        <v/>
      </c>
      <c r="BC32" s="32">
        <f>IFERROR((Upgrades!$H$17*(POWER(Upgrades!$P$13,E32)*POWER(Upgrades!$P$14,F32)*POWER(Upgrades!$P$15,G32)*POWER(Upgrades!$P$16,H32)*POWER(Upgrades!$P$17,I32)*POWER(Upgrades!$P$18,J32)*POWER(Upgrades!$P$19,K32)*POWER(Upgrades!$P$20,L32)*POWER(Upgrades!$P$21,M32))*(IF(Upgrades!$T$13="Brown Dwarf",POWER(Upgrades!$U$13,E32),1)*IF(Upgrades!$T$14="Brown Dwarf",POWER(Upgrades!$U$14,F32),1)*IF(Upgrades!$T$15="Brown Dwarf",POWER(Upgrades!$U$15,G32),1)*IF(Upgrades!$T$16="Brown Dwarf",POWER(Upgrades!$U$16,H32),1)*IF(Upgrades!$T$18="Brown Dwarf",POWER(Upgrades!$U$18,J32),1)*IF(Upgrades!$T$19="Brown Dwarf",POWER(Upgrades!$U$19,K32),1)*IF(Upgrades!$T$20="Brown Dwarf",POWER(Upgrades!$U$20,L32),1)*IF(Upgrades!$T$21="Brown Dwarf",POWER(Upgrades!$U$21,M32),1))*$F$6+(((IF(H32=0,0,(Upgrades!$M$16+H32*Upgrades!$N$16)*POWER(Upgrades!$O$16,H32)))*(IF(Upgrades!$T$13="Roche Lobe Overflow",POWER(Upgrades!$U$13,E32),1)*IF(Upgrades!$T$14="Roche Lobe Overflow",POWER(Upgrades!$U$14,F32),1)*IF(Upgrades!$T$15="Roche Lobe Overflow",POWER(Upgrades!$U$15,G32),1)*IF(Upgrades!$T$17="Roche Lobe Overflow",POWER(Upgrades!$U$17,I32),1)*IF(Upgrades!$T$18="Roche Lobe Overflow",POWER(Upgrades!$U$18,J32),1)*IF(Upgrades!$T$19="Roche Lobe Overflow",POWER(Upgrades!$U$19,K32),1)*IF(Upgrades!$T$20="Roche Lobe Overflow",POWER(Upgrades!$U$20,L32),1)*IF(Upgrades!$T$21="Roche Lobe Overflow",POWER(Upgrades!$U$21,M32),1))*POWER(Upgrades!$R$13,E32)*POWER(Upgrades!$R$14,F32)*POWER(Upgrades!$R$15,G32)*POWER(Upgrades!$R$16,H32)*POWER(Upgrades!$R$17,I32)*POWER(Upgrades!$R$18,J32)*POWER(Upgrades!$R$19,K32)*POWER(Upgrades!$R$20,L32)*POWER(Upgrades!$R$21,M32)*$H$6)*O32)*0.10)/AO32,0)</f>
        <v/>
      </c>
      <c r="BD32" s="32">
        <f>MAX(IF(J32&gt;0,0,IFERROR(0.5*((IF(G32=0,0,(Upgrades!$J$15+G32*Upgrades!$K$15)*POWER(Upgrades!$L$15,G32)))*(IF(Upgrades!$T$13="Microlensing",POWER(Upgrades!$U$13,E32),1)*IF(Upgrades!$T$14="Microlensing",POWER(Upgrades!$U$14,F32),1)*IF(Upgrades!$T$16="Microlensing",POWER(Upgrades!$U$16,H32),1)*IF(Upgrades!$T$17="Microlensing",POWER(Upgrades!$U$17,I32),1)*IF(Upgrades!$T$18="Microlensing",POWER(Upgrades!$U$18,J32),1)*IF(Upgrades!$T$19="Microlensing",POWER(Upgrades!$U$19,K32),1)*IF(Upgrades!$T$20="Microlensing",POWER(Upgrades!$U$20,L32),1)*IF(Upgrades!$T$21="Microlensing",POWER(Upgrades!$U$21,M32),1))*(POWER(Upgrades!$Q$13,E32)*POWER(Upgrades!$Q$14,F32)*POWER(Upgrades!$Q$15,G32)*POWER(Upgrades!$Q$16,H32)*POWER(Upgrades!$Q$17,I32)*POWER(Upgrades!$Q$18,J32)*POWER(Upgrades!$Q$19,K32)*POWER(Upgrades!$Q$20,L32)*POWER(Upgrades!$Q$21,M32))*$G$6*(Parameters!$B$10/60*Parameters!$B$11+Q32))/Upgrades!$C$18,0)),IF(K32&gt;0,0,IFERROR(0.30*P32/Upgrades!$C$19,0)),IF(L32&gt;0,0,IFERROR(0.0001/Upgrades!$C$20,0)),IF(M32&gt;0,0,IFERROR((6.0*(POWER(Upgrades!$P$13,E32)*POWER(Upgrades!$P$14,F32)*POWER(Upgrades!$P$15,G32)*POWER(Upgrades!$P$16,H32)*POWER(Upgrades!$P$17,I32)*POWER(Upgrades!$P$18,J32)*POWER(Upgrades!$P$19,K32)*POWER(Upgrades!$P$20,L32)*POWER(Upgrades!$P$21,M32))*$F$6+0.20*O32*(Parameters!$B$10/60*Parameters!$B$11+Q32))/Upgrades!$C$21,0)),IF(AND(ISNUMBER(AK32),AK32&gt;(C32+T32)),AY32,0),IF(AND(ISNUMBER(AL32),AL32&gt;(C32+T32)),AZ32,0),IF(AND(ISNUMBER(AM32),AM32&gt;(C32+T32)),BA32,0),IF(AND(ISNUMBER(AN32),AN32&gt;(C32+T32)),BB32,0),IF(AND(ISNUMBER(AO32),AO32&gt;(C32+T32)),BC32,0))</f>
        <v/>
      </c>
      <c r="BE32" s="29">
        <f>IF(AT32=1,"transition",IF(MIN(IF(AND(J32=0,ISNUMBER(AP32),AP32&lt;=(C32+T32)),AP32,9E15),IF(AND(K32=0,ISNUMBER(AQ32),AQ32&lt;=(C32+T32)),AQ32,9E15),IF(AND(L32=0,ISNUMBER(AR32),AR32&lt;=(C32+T32)),AR32,9E15),IF(AND(M32=0,ISNUMBER(AS32),AS32&lt;=(C32+T32)),AS32,9E15))&lt;9E15,IF(AND(AND(J32=0,ISNUMBER(AP32),AP32&lt;=(C32+T32)),AP32=MIN(IF(AND(J32=0,ISNUMBER(AP32),AP32&lt;=(C32+T32)),AP32,9E15),IF(AND(K32=0,ISNUMBER(AQ32),AQ32&lt;=(C32+T32)),AQ32,9E15),IF(AND(L32=0,ISNUMBER(AR32),AR32&lt;=(C32+T32)),AR32,9E15),IF(AND(M32=0,ISNUMBER(AS32),AS32&lt;=(C32+T32)),AS32,9E15))),"BiP",IF(AND(AND(K32=0,ISNUMBER(AQ32),AQ32&lt;=(C32+T32)),AQ32=MIN(IF(AND(J32=0,ISNUMBER(AP32),AP32&lt;=(C32+T32)),AP32,9E15),IF(AND(K32=0,ISNUMBER(AQ32),AQ32&lt;=(C32+T32)),AQ32,9E15),IF(AND(L32=0,ISNUMBER(AR32),AR32&lt;=(C32+T32)),AR32,9E15),IF(AND(M32=0,ISNUMBER(AS32),AS32&lt;=(C32+T32)),AS32,9E15))),"PV",IF(AND(AND(L32=0,ISNUMBER(AR32),AR32&lt;=(C32+T32)),AR32=MIN(IF(AND(J32=0,ISNUMBER(AP32),AP32&lt;=(C32+T32)),AP32,9E15),IF(AND(K32=0,ISNUMBER(AQ32),AQ32&lt;=(C32+T32)),AQ32,9E15),IF(AND(L32=0,ISNUMBER(AR32),AR32&lt;=(C32+T32)),AR32,9E15),IF(AND(M32=0,ISNUMBER(AS32),AS32&lt;=(C32+T32)),AS32,9E15))),"OC","MG"))),IF(AX32=TRUE,"",IF(MAX(IF(AND(NOT(AND(AU32=1,AT32&lt;&gt;1)),ISNUMBER(AK32),AK32&lt;=(C32+T32)),AY32,0),IF(AND(NOT(AND(AU32=1,AT32&lt;&gt;1)),ISNUMBER(AL32),AL32&lt;=(C32+T32)),AZ32,0),IF(AND(NOT(AND(AU32=1,AT32&lt;&gt;1)),ISNUMBER(AM32),AM32&lt;=(C32+T32)),BA32,0),IF(AND(NOT(AND(AU32=1,AT32&lt;&gt;1)),ISNUMBER(AN32),AN32&lt;=(C32+T32)),BB32,0),IF(AND(ISNUMBER(AO32),AO32&lt;=(C32+T32)),BC32,0))&lt;=0,"",IF(AND(IF(AND(NOT(AND(AU32=1,AT32&lt;&gt;1)),ISNUMBER(AK32),AK32&lt;=(C32+T32)),AY32,0)&gt;0,IF(AND(NOT(AND(AU32=1,AT32&lt;&gt;1)),ISNUMBER(AK32),AK32&lt;=(C32+T32)),AY32,0)=MAX(IF(AND(NOT(AND(AU32=1,AT32&lt;&gt;1)),ISNUMBER(AK32),AK32&lt;=(C32+T32)),AY32,0),IF(AND(NOT(AND(AU32=1,AT32&lt;&gt;1)),ISNUMBER(AL32),AL32&lt;=(C32+T32)),AZ32,0),IF(AND(NOT(AND(AU32=1,AT32&lt;&gt;1)),ISNUMBER(AM32),AM32&lt;=(C32+T32)),BA32,0),IF(AND(NOT(AND(AU32=1,AT32&lt;&gt;1)),ISNUMBER(AN32),AN32&lt;=(C32+T32)),BB32,0),IF(AND(ISNUMBER(AO32),AO32&lt;=(C32+T32)),BC32,0))),"SK",IF(AND(IF(AND(NOT(AND(AU32=1,AT32&lt;&gt;1)),ISNUMBER(AL32),AL32&lt;=(C32+T32)),AZ32,0)&gt;0,IF(AND(NOT(AND(AU32=1,AT32&lt;&gt;1)),ISNUMBER(AL32),AL32&lt;=(C32+T32)),AZ32,0)=MAX(IF(AND(NOT(AND(AU32=1,AT32&lt;&gt;1)),ISNUMBER(AK32),AK32&lt;=(C32+T32)),AY32,0),IF(AND(NOT(AND(AU32=1,AT32&lt;&gt;1)),ISNUMBER(AL32),AL32&lt;=(C32+T32)),AZ32,0),IF(AND(NOT(AND(AU32=1,AT32&lt;&gt;1)),ISNUMBER(AM32),AM32&lt;=(C32+T32)),BA32,0),IF(AND(NOT(AND(AU32=1,AT32&lt;&gt;1)),ISNUMBER(AN32),AN32&lt;=(C32+T32)),BB32,0),IF(AND(ISNUMBER(AO32),AO32&lt;=(C32+T32)),BC32,0))),"LB",IF(AND(IF(AND(NOT(AND(AU32=1,AT32&lt;&gt;1)),ISNUMBER(AM32),AM32&lt;=(C32+T32)),BA32,0)&gt;0,IF(AND(NOT(AND(AU32=1,AT32&lt;&gt;1)),ISNUMBER(AM32),AM32&lt;=(C32+T32)),BA32,0)=MAX(IF(AND(NOT(AND(AU32=1,AT32&lt;&gt;1)),ISNUMBER(AK32),AK32&lt;=(C32+T32)),AY32,0),IF(AND(NOT(AND(AU32=1,AT32&lt;&gt;1)),ISNUMBER(AL32),AL32&lt;=(C32+T32)),AZ32,0),IF(AND(NOT(AND(AU32=1,AT32&lt;&gt;1)),ISNUMBER(AM32),AM32&lt;=(C32+T32)),BA32,0),IF(AND(NOT(AND(AU32=1,AT32&lt;&gt;1)),ISNUMBER(AN32),AN32&lt;=(C32+T32)),BB32,0),IF(AND(ISNUMBER(AO32),AO32&lt;=(C32+T32)),BC32,0))),"ML",IF(AND(IF(AND(NOT(AND(AU32=1,AT32&lt;&gt;1)),ISNUMBER(AN32),AN32&lt;=(C32+T32)),BB32,0)&gt;0,IF(AND(NOT(AND(AU32=1,AT32&lt;&gt;1)),ISNUMBER(AN32),AN32&lt;=(C32+T32)),BB32,0)=MAX(IF(AND(NOT(AND(AU32=1,AT32&lt;&gt;1)),ISNUMBER(AK32),AK32&lt;=(C32+T32)),AY32,0),IF(AND(NOT(AND(AU32=1,AT32&lt;&gt;1)),ISNUMBER(AL32),AL32&lt;=(C32+T32)),AZ32,0),IF(AND(NOT(AND(AU32=1,AT32&lt;&gt;1)),ISNUMBER(AM32),AM32&lt;=(C32+T32)),BA32,0),IF(AND(NOT(AND(AU32=1,AT32&lt;&gt;1)),ISNUMBER(AN32),AN32&lt;=(C32+T32)),BB32,0),IF(AND(ISNUMBER(AO32),AO32&lt;=(C32+T32)),BC32,0))),"RLO","BD"))))))))</f>
        <v/>
      </c>
    </row>
    <row r="33">
      <c r="A33" s="26" t="n">
        <v>22</v>
      </c>
      <c r="B33" s="27">
        <f>A33*10/60</f>
        <v/>
      </c>
      <c r="C33" s="22">
        <f>X32</f>
        <v/>
      </c>
      <c r="D33" s="27">
        <f>D32+W32</f>
        <v/>
      </c>
      <c r="E33" s="26">
        <f>E32+IF(U32="SK",1,0)</f>
        <v/>
      </c>
      <c r="F33" s="26">
        <f>F32+IF(U32="LB",1,0)</f>
        <v/>
      </c>
      <c r="G33" s="26">
        <f>G32+IF(U32="ML",1,0)</f>
        <v/>
      </c>
      <c r="H33" s="26">
        <f>H32+IF(U32="RLO",1,0)</f>
        <v/>
      </c>
      <c r="I33" s="26">
        <f>I32+IF(U32="BD",1,0)</f>
        <v/>
      </c>
      <c r="J33" s="26">
        <f>MAX(J32,IF(U32="BiP",1,0))</f>
        <v/>
      </c>
      <c r="K33" s="26">
        <f>MAX(K32,IF(U32="PV",1,0))</f>
        <v/>
      </c>
      <c r="L33" s="26">
        <f>MAX(L32,IF(U32="OC",1,0))</f>
        <v/>
      </c>
      <c r="M33" s="26">
        <f>MAX(M32,IF(U32="MG",1,0))</f>
        <v/>
      </c>
      <c r="N33" s="26">
        <f>MAX(N32,IF(U32="transition",1,0))</f>
        <v/>
      </c>
      <c r="O33" s="28">
        <f>(Parameters!$B$9+(IF(E33=0,0,(Upgrades!$J$13+E33*Upgrades!$K$13)*POWER(Upgrades!$L$13,E33)))*(IF(Upgrades!$T$14="Stellar Kinematics",POWER(Upgrades!$U$14,F33),1)*IF(Upgrades!$T$15="Stellar Kinematics",POWER(Upgrades!$U$15,G33),1)*IF(Upgrades!$T$16="Stellar Kinematics",POWER(Upgrades!$U$16,H33),1)*IF(Upgrades!$T$17="Stellar Kinematics",POWER(Upgrades!$U$17,I33),1)*IF(Upgrades!$T$18="Stellar Kinematics",POWER(Upgrades!$U$18,J33),1)*IF(Upgrades!$T$19="Stellar Kinematics",POWER(Upgrades!$U$19,K33),1)*IF(Upgrades!$T$20="Stellar Kinematics",POWER(Upgrades!$U$20,L33),1)*IF(Upgrades!$T$21="Stellar Kinematics",POWER(Upgrades!$U$21,M33),1))+(IF(F33=0,0,(Upgrades!$J$14+F33*Upgrades!$K$14)*POWER(Upgrades!$L$14,F33)))*(IF(Upgrades!$T$13="Local Bubble",POWER(Upgrades!$U$13,E33),1)*IF(Upgrades!$T$15="Local Bubble",POWER(Upgrades!$U$15,G33),1)*IF(Upgrades!$T$16="Local Bubble",POWER(Upgrades!$U$16,H33),1)*IF(Upgrades!$T$17="Local Bubble",POWER(Upgrades!$U$17,I33),1)*IF(Upgrades!$T$18="Local Bubble",POWER(Upgrades!$U$18,J33),1)*IF(Upgrades!$T$19="Local Bubble",POWER(Upgrades!$U$19,K33),1)*IF(Upgrades!$T$20="Local Bubble",POWER(Upgrades!$U$20,L33),1)*IF(Upgrades!$T$21="Local Bubble",POWER(Upgrades!$U$21,M33),1))+(IF(G33=0,0,(Upgrades!$J$15+G33*Upgrades!$K$15)*POWER(Upgrades!$L$15,G33)))*(IF(Upgrades!$T$13="Microlensing",POWER(Upgrades!$U$13,E33),1)*IF(Upgrades!$T$14="Microlensing",POWER(Upgrades!$U$14,F33),1)*IF(Upgrades!$T$16="Microlensing",POWER(Upgrades!$U$16,H33),1)*IF(Upgrades!$T$17="Microlensing",POWER(Upgrades!$U$17,I33),1)*IF(Upgrades!$T$18="Microlensing",POWER(Upgrades!$U$18,J33),1)*IF(Upgrades!$T$19="Microlensing",POWER(Upgrades!$U$19,K33),1)*IF(Upgrades!$T$20="Microlensing",POWER(Upgrades!$U$20,L33),1)*IF(Upgrades!$T$21="Microlensing",POWER(Upgrades!$U$21,M33),1))+(IF(H33=0,0,(Upgrades!$J$16+H33*Upgrades!$K$16)*POWER(Upgrades!$L$16,H33)))*(IF(Upgrades!$T$13="Roche Lobe Overflow",POWER(Upgrades!$U$13,E33),1)*IF(Upgrades!$T$14="Roche Lobe Overflow",POWER(Upgrades!$U$14,F33),1)*IF(Upgrades!$T$15="Roche Lobe Overflow",POWER(Upgrades!$U$15,G33),1)*IF(Upgrades!$T$17="Roche Lobe Overflow",POWER(Upgrades!$U$17,I33),1)*IF(Upgrades!$T$18="Roche Lobe Overflow",POWER(Upgrades!$U$18,J33),1)*IF(Upgrades!$T$19="Roche Lobe Overflow",POWER(Upgrades!$U$19,K33),1)*IF(Upgrades!$T$20="Roche Lobe Overflow",POWER(Upgrades!$U$20,L33),1)*IF(Upgrades!$T$21="Roche Lobe Overflow",POWER(Upgrades!$U$21,M33),1))+(IF(I33=0,0,(Upgrades!$J$17+I33*Upgrades!$K$17)*POWER(Upgrades!$L$17,I33)))*(IF(Upgrades!$T$13="Brown Dwarf",POWER(Upgrades!$U$13,E33),1)*IF(Upgrades!$T$14="Brown Dwarf",POWER(Upgrades!$U$14,F33),1)*IF(Upgrades!$T$15="Brown Dwarf",POWER(Upgrades!$U$15,G33),1)*IF(Upgrades!$T$16="Brown Dwarf",POWER(Upgrades!$U$16,H33),1)*IF(Upgrades!$T$18="Brown Dwarf",POWER(Upgrades!$U$18,J33),1)*IF(Upgrades!$T$19="Brown Dwarf",POWER(Upgrades!$U$19,K33),1)*IF(Upgrades!$T$20="Brown Dwarf",POWER(Upgrades!$U$20,L33),1)*IF(Upgrades!$T$21="Brown Dwarf",POWER(Upgrades!$U$21,M33),1))+(IF(J33=0,0,(Upgrades!$J$18+J33*Upgrades!$K$18)*POWER(Upgrades!$L$18,J33)))*(IF(Upgrades!$T$13="Binary Partner",POWER(Upgrades!$U$13,E33),1)*IF(Upgrades!$T$14="Binary Partner",POWER(Upgrades!$U$14,F33),1)*IF(Upgrades!$T$15="Binary Partner",POWER(Upgrades!$U$15,G33),1)*IF(Upgrades!$T$16="Binary Partner",POWER(Upgrades!$U$16,H33),1)*IF(Upgrades!$T$17="Binary Partner",POWER(Upgrades!$U$17,I33),1)*IF(Upgrades!$T$19="Binary Partner",POWER(Upgrades!$U$19,K33),1)*IF(Upgrades!$T$20="Binary Partner",POWER(Upgrades!$U$20,L33),1)*IF(Upgrades!$T$21="Binary Partner",POWER(Upgrades!$U$21,M33),1))+(IF(K33=0,0,(Upgrades!$J$19+K33*Upgrades!$K$19)*POWER(Upgrades!$L$19,K33)))*(IF(Upgrades!$T$13="Peculiar Velocity",POWER(Upgrades!$U$13,E33),1)*IF(Upgrades!$T$14="Peculiar Velocity",POWER(Upgrades!$U$14,F33),1)*IF(Upgrades!$T$15="Peculiar Velocity",POWER(Upgrades!$U$15,G33),1)*IF(Upgrades!$T$16="Peculiar Velocity",POWER(Upgrades!$U$16,H33),1)*IF(Upgrades!$T$17="Peculiar Velocity",POWER(Upgrades!$U$17,I33),1)*IF(Upgrades!$T$18="Peculiar Velocity",POWER(Upgrades!$U$18,J33),1)*IF(Upgrades!$T$20="Peculiar Velocity",POWER(Upgrades!$U$20,L33),1)*IF(Upgrades!$T$21="Peculiar Velocity",POWER(Upgrades!$U$21,M33),1))+(IF(L33=0,0,(Upgrades!$J$20+L33*Upgrades!$K$20)*POWER(Upgrades!$L$20,L33)))*(IF(Upgrades!$T$13="Open Cluster",POWER(Upgrades!$U$13,E33),1)*IF(Upgrades!$T$14="Open Cluster",POWER(Upgrades!$U$14,F33),1)*IF(Upgrades!$T$15="Open Cluster",POWER(Upgrades!$U$15,G33),1)*IF(Upgrades!$T$16="Open Cluster",POWER(Upgrades!$U$16,H33),1)*IF(Upgrades!$T$17="Open Cluster",POWER(Upgrades!$U$17,I33),1)*IF(Upgrades!$T$18="Open Cluster",POWER(Upgrades!$U$18,J33),1)*IF(Upgrades!$T$19="Open Cluster",POWER(Upgrades!$U$19,K33),1)*IF(Upgrades!$T$21="Open Cluster",POWER(Upgrades!$U$21,M33),1))+(IF(M33=0,0,(Upgrades!$J$21+M33*Upgrades!$K$21)*POWER(Upgrades!$L$21,M33)))*(IF(Upgrades!$T$13="Moving Group",POWER(Upgrades!$U$13,E33),1)*IF(Upgrades!$T$14="Moving Group",POWER(Upgrades!$U$14,F33),1)*IF(Upgrades!$T$15="Moving Group",POWER(Upgrades!$U$15,G33),1)*IF(Upgrades!$T$16="Moving Group",POWER(Upgrades!$U$16,H33),1)*IF(Upgrades!$T$17="Moving Group",POWER(Upgrades!$U$17,I33),1)*IF(Upgrades!$T$18="Moving Group",POWER(Upgrades!$U$18,J33),1)*IF(Upgrades!$T$19="Moving Group",POWER(Upgrades!$U$19,K33),1)*IF(Upgrades!$T$20="Moving Group",POWER(Upgrades!$U$20,L33),1)))*POWER(Upgrades!$Q$13,E33)*POWER(Upgrades!$Q$14,F33)*POWER(Upgrades!$Q$15,G33)*POWER(Upgrades!$Q$16,H33)*POWER(Upgrades!$Q$17,I33)*POWER(Upgrades!$Q$18,J33)*POWER(Upgrades!$Q$19,K33)*POWER(Upgrades!$Q$20,L33)*POWER(Upgrades!$Q$21,M33)*$G$6+$D$6</f>
        <v/>
      </c>
      <c r="P33" s="28">
        <f>((IF(E33=0,0,(Upgrades!$G$13+E33*Upgrades!$H$13)*POWER(Upgrades!$I$13,E33)))*(IF(Upgrades!$T$14="Stellar Kinematics",POWER(Upgrades!$U$14,F33),1)*IF(Upgrades!$T$15="Stellar Kinematics",POWER(Upgrades!$U$15,G33),1)*IF(Upgrades!$T$16="Stellar Kinematics",POWER(Upgrades!$U$16,H33),1)*IF(Upgrades!$T$17="Stellar Kinematics",POWER(Upgrades!$U$17,I33),1)*IF(Upgrades!$T$18="Stellar Kinematics",POWER(Upgrades!$U$18,J33),1)*IF(Upgrades!$T$19="Stellar Kinematics",POWER(Upgrades!$U$19,K33),1)*IF(Upgrades!$T$20="Stellar Kinematics",POWER(Upgrades!$U$20,L33),1)*IF(Upgrades!$T$21="Stellar Kinematics",POWER(Upgrades!$U$21,M33),1))+(IF(F33=0,0,(Upgrades!$G$14+F33*Upgrades!$H$14)*POWER(Upgrades!$I$14,F33)))*(IF(Upgrades!$T$13="Local Bubble",POWER(Upgrades!$U$13,E33),1)*IF(Upgrades!$T$15="Local Bubble",POWER(Upgrades!$U$15,G33),1)*IF(Upgrades!$T$16="Local Bubble",POWER(Upgrades!$U$16,H33),1)*IF(Upgrades!$T$17="Local Bubble",POWER(Upgrades!$U$17,I33),1)*IF(Upgrades!$T$18="Local Bubble",POWER(Upgrades!$U$18,J33),1)*IF(Upgrades!$T$19="Local Bubble",POWER(Upgrades!$U$19,K33),1)*IF(Upgrades!$T$20="Local Bubble",POWER(Upgrades!$U$20,L33),1)*IF(Upgrades!$T$21="Local Bubble",POWER(Upgrades!$U$21,M33),1))+(IF(G33=0,0,(Upgrades!$G$15+G33*Upgrades!$H$15)*POWER(Upgrades!$I$15,G33)))*(IF(Upgrades!$T$13="Microlensing",POWER(Upgrades!$U$13,E33),1)*IF(Upgrades!$T$14="Microlensing",POWER(Upgrades!$U$14,F33),1)*IF(Upgrades!$T$16="Microlensing",POWER(Upgrades!$U$16,H33),1)*IF(Upgrades!$T$17="Microlensing",POWER(Upgrades!$U$17,I33),1)*IF(Upgrades!$T$18="Microlensing",POWER(Upgrades!$U$18,J33),1)*IF(Upgrades!$T$19="Microlensing",POWER(Upgrades!$U$19,K33),1)*IF(Upgrades!$T$20="Microlensing",POWER(Upgrades!$U$20,L33),1)*IF(Upgrades!$T$21="Microlensing",POWER(Upgrades!$U$21,M33),1))+(IF(H33=0,0,(Upgrades!$G$16+H33*Upgrades!$H$16)*POWER(Upgrades!$I$16,H33)))*(IF(Upgrades!$T$13="Roche Lobe Overflow",POWER(Upgrades!$U$13,E33),1)*IF(Upgrades!$T$14="Roche Lobe Overflow",POWER(Upgrades!$U$14,F33),1)*IF(Upgrades!$T$15="Roche Lobe Overflow",POWER(Upgrades!$U$15,G33),1)*IF(Upgrades!$T$17="Roche Lobe Overflow",POWER(Upgrades!$U$17,I33),1)*IF(Upgrades!$T$18="Roche Lobe Overflow",POWER(Upgrades!$U$18,J33),1)*IF(Upgrades!$T$19="Roche Lobe Overflow",POWER(Upgrades!$U$19,K33),1)*IF(Upgrades!$T$20="Roche Lobe Overflow",POWER(Upgrades!$U$20,L33),1)*IF(Upgrades!$T$21="Roche Lobe Overflow",POWER(Upgrades!$U$21,M33),1))+(IF(I33=0,0,(Upgrades!$G$17+I33*Upgrades!$H$17)*POWER(Upgrades!$I$17,I33)))*(IF(Upgrades!$T$13="Brown Dwarf",POWER(Upgrades!$U$13,E33),1)*IF(Upgrades!$T$14="Brown Dwarf",POWER(Upgrades!$U$14,F33),1)*IF(Upgrades!$T$15="Brown Dwarf",POWER(Upgrades!$U$15,G33),1)*IF(Upgrades!$T$16="Brown Dwarf",POWER(Upgrades!$U$16,H33),1)*IF(Upgrades!$T$18="Brown Dwarf",POWER(Upgrades!$U$18,J33),1)*IF(Upgrades!$T$19="Brown Dwarf",POWER(Upgrades!$U$19,K33),1)*IF(Upgrades!$T$20="Brown Dwarf",POWER(Upgrades!$U$20,L33),1)*IF(Upgrades!$T$21="Brown Dwarf",POWER(Upgrades!$U$21,M33),1))+(IF(J33=0,0,(Upgrades!$G$18+J33*Upgrades!$H$18)*POWER(Upgrades!$I$18,J33)))*(IF(Upgrades!$T$13="Binary Partner",POWER(Upgrades!$U$13,E33),1)*IF(Upgrades!$T$14="Binary Partner",POWER(Upgrades!$U$14,F33),1)*IF(Upgrades!$T$15="Binary Partner",POWER(Upgrades!$U$15,G33),1)*IF(Upgrades!$T$16="Binary Partner",POWER(Upgrades!$U$16,H33),1)*IF(Upgrades!$T$17="Binary Partner",POWER(Upgrades!$U$17,I33),1)*IF(Upgrades!$T$19="Binary Partner",POWER(Upgrades!$U$19,K33),1)*IF(Upgrades!$T$20="Binary Partner",POWER(Upgrades!$U$20,L33),1)*IF(Upgrades!$T$21="Binary Partner",POWER(Upgrades!$U$21,M33),1))+(IF(K33=0,0,(Upgrades!$G$19+K33*Upgrades!$H$19)*POWER(Upgrades!$I$19,K33)))*(IF(Upgrades!$T$13="Peculiar Velocity",POWER(Upgrades!$U$13,E33),1)*IF(Upgrades!$T$14="Peculiar Velocity",POWER(Upgrades!$U$14,F33),1)*IF(Upgrades!$T$15="Peculiar Velocity",POWER(Upgrades!$U$15,G33),1)*IF(Upgrades!$T$16="Peculiar Velocity",POWER(Upgrades!$U$16,H33),1)*IF(Upgrades!$T$17="Peculiar Velocity",POWER(Upgrades!$U$17,I33),1)*IF(Upgrades!$T$18="Peculiar Velocity",POWER(Upgrades!$U$18,J33),1)*IF(Upgrades!$T$20="Peculiar Velocity",POWER(Upgrades!$U$20,L33),1)*IF(Upgrades!$T$21="Peculiar Velocity",POWER(Upgrades!$U$21,M33),1))+(IF(L33=0,0,(Upgrades!$G$20+L33*Upgrades!$H$20)*POWER(Upgrades!$I$20,L33)))*(IF(Upgrades!$T$13="Open Cluster",POWER(Upgrades!$U$13,E33),1)*IF(Upgrades!$T$14="Open Cluster",POWER(Upgrades!$U$14,F33),1)*IF(Upgrades!$T$15="Open Cluster",POWER(Upgrades!$U$15,G33),1)*IF(Upgrades!$T$16="Open Cluster",POWER(Upgrades!$U$16,H33),1)*IF(Upgrades!$T$17="Open Cluster",POWER(Upgrades!$U$17,I33),1)*IF(Upgrades!$T$18="Open Cluster",POWER(Upgrades!$U$18,J33),1)*IF(Upgrades!$T$19="Open Cluster",POWER(Upgrades!$U$19,K33),1)*IF(Upgrades!$T$21="Open Cluster",POWER(Upgrades!$U$21,M33),1))+(IF(M33=0,0,(Upgrades!$G$21+M33*Upgrades!$H$21)*POWER(Upgrades!$I$21,M33)))*(IF(Upgrades!$T$13="Moving Group",POWER(Upgrades!$U$13,E33),1)*IF(Upgrades!$T$14="Moving Group",POWER(Upgrades!$U$14,F33),1)*IF(Upgrades!$T$15="Moving Group",POWER(Upgrades!$U$15,G33),1)*IF(Upgrades!$T$16="Moving Group",POWER(Upgrades!$U$16,H33),1)*IF(Upgrades!$T$17="Moving Group",POWER(Upgrades!$U$17,I33),1)*IF(Upgrades!$T$18="Moving Group",POWER(Upgrades!$U$18,J33),1)*IF(Upgrades!$T$19="Moving Group",POWER(Upgrades!$U$19,K33),1)*IF(Upgrades!$T$20="Moving Group",POWER(Upgrades!$U$20,L33),1)))*POWER(Upgrades!$P$13,E33)*POWER(Upgrades!$P$14,F33)*POWER(Upgrades!$P$15,G33)*POWER(Upgrades!$P$16,H33)*POWER(Upgrades!$P$17,I33)*POWER(Upgrades!$P$18,J33)*POWER(Upgrades!$P$19,K33)*POWER(Upgrades!$P$20,L33)*POWER(Upgrades!$P$21,M33)*$F$6+$C$6</f>
        <v/>
      </c>
      <c r="Q33" s="28">
        <f>((IF(E33=0,0,(Upgrades!$M$13+E33*Upgrades!$N$13)*POWER(Upgrades!$O$13,E33)))*(IF(Upgrades!$T$14="Stellar Kinematics",POWER(Upgrades!$U$14,F33),1)*IF(Upgrades!$T$15="Stellar Kinematics",POWER(Upgrades!$U$15,G33),1)*IF(Upgrades!$T$16="Stellar Kinematics",POWER(Upgrades!$U$16,H33),1)*IF(Upgrades!$T$17="Stellar Kinematics",POWER(Upgrades!$U$17,I33),1)*IF(Upgrades!$T$18="Stellar Kinematics",POWER(Upgrades!$U$18,J33),1)*IF(Upgrades!$T$19="Stellar Kinematics",POWER(Upgrades!$U$19,K33),1)*IF(Upgrades!$T$20="Stellar Kinematics",POWER(Upgrades!$U$20,L33),1)*IF(Upgrades!$T$21="Stellar Kinematics",POWER(Upgrades!$U$21,M33),1))+(IF(F33=0,0,(Upgrades!$M$14+F33*Upgrades!$N$14)*POWER(Upgrades!$O$14,F33)))*(IF(Upgrades!$T$13="Local Bubble",POWER(Upgrades!$U$13,E33),1)*IF(Upgrades!$T$15="Local Bubble",POWER(Upgrades!$U$15,G33),1)*IF(Upgrades!$T$16="Local Bubble",POWER(Upgrades!$U$16,H33),1)*IF(Upgrades!$T$17="Local Bubble",POWER(Upgrades!$U$17,I33),1)*IF(Upgrades!$T$18="Local Bubble",POWER(Upgrades!$U$18,J33),1)*IF(Upgrades!$T$19="Local Bubble",POWER(Upgrades!$U$19,K33),1)*IF(Upgrades!$T$20="Local Bubble",POWER(Upgrades!$U$20,L33),1)*IF(Upgrades!$T$21="Local Bubble",POWER(Upgrades!$U$21,M33),1))+(IF(G33=0,0,(Upgrades!$M$15+G33*Upgrades!$N$15)*POWER(Upgrades!$O$15,G33)))*(IF(Upgrades!$T$13="Microlensing",POWER(Upgrades!$U$13,E33),1)*IF(Upgrades!$T$14="Microlensing",POWER(Upgrades!$U$14,F33),1)*IF(Upgrades!$T$16="Microlensing",POWER(Upgrades!$U$16,H33),1)*IF(Upgrades!$T$17="Microlensing",POWER(Upgrades!$U$17,I33),1)*IF(Upgrades!$T$18="Microlensing",POWER(Upgrades!$U$18,J33),1)*IF(Upgrades!$T$19="Microlensing",POWER(Upgrades!$U$19,K33),1)*IF(Upgrades!$T$20="Microlensing",POWER(Upgrades!$U$20,L33),1)*IF(Upgrades!$T$21="Microlensing",POWER(Upgrades!$U$21,M33),1))+(IF(H33=0,0,(Upgrades!$M$16+H33*Upgrades!$N$16)*POWER(Upgrades!$O$16,H33)))*(IF(Upgrades!$T$13="Roche Lobe Overflow",POWER(Upgrades!$U$13,E33),1)*IF(Upgrades!$T$14="Roche Lobe Overflow",POWER(Upgrades!$U$14,F33),1)*IF(Upgrades!$T$15="Roche Lobe Overflow",POWER(Upgrades!$U$15,G33),1)*IF(Upgrades!$T$17="Roche Lobe Overflow",POWER(Upgrades!$U$17,I33),1)*IF(Upgrades!$T$18="Roche Lobe Overflow",POWER(Upgrades!$U$18,J33),1)*IF(Upgrades!$T$19="Roche Lobe Overflow",POWER(Upgrades!$U$19,K33),1)*IF(Upgrades!$T$20="Roche Lobe Overflow",POWER(Upgrades!$U$20,L33),1)*IF(Upgrades!$T$21="Roche Lobe Overflow",POWER(Upgrades!$U$21,M33),1))+(IF(I33=0,0,(Upgrades!$M$17+I33*Upgrades!$N$17)*POWER(Upgrades!$O$17,I33)))*(IF(Upgrades!$T$13="Brown Dwarf",POWER(Upgrades!$U$13,E33),1)*IF(Upgrades!$T$14="Brown Dwarf",POWER(Upgrades!$U$14,F33),1)*IF(Upgrades!$T$15="Brown Dwarf",POWER(Upgrades!$U$15,G33),1)*IF(Upgrades!$T$16="Brown Dwarf",POWER(Upgrades!$U$16,H33),1)*IF(Upgrades!$T$18="Brown Dwarf",POWER(Upgrades!$U$18,J33),1)*IF(Upgrades!$T$19="Brown Dwarf",POWER(Upgrades!$U$19,K33),1)*IF(Upgrades!$T$20="Brown Dwarf",POWER(Upgrades!$U$20,L33),1)*IF(Upgrades!$T$21="Brown Dwarf",POWER(Upgrades!$U$21,M33),1))+(IF(J33=0,0,(Upgrades!$M$18+J33*Upgrades!$N$18)*POWER(Upgrades!$O$18,J33)))*(IF(Upgrades!$T$13="Binary Partner",POWER(Upgrades!$U$13,E33),1)*IF(Upgrades!$T$14="Binary Partner",POWER(Upgrades!$U$14,F33),1)*IF(Upgrades!$T$15="Binary Partner",POWER(Upgrades!$U$15,G33),1)*IF(Upgrades!$T$16="Binary Partner",POWER(Upgrades!$U$16,H33),1)*IF(Upgrades!$T$17="Binary Partner",POWER(Upgrades!$U$17,I33),1)*IF(Upgrades!$T$19="Binary Partner",POWER(Upgrades!$U$19,K33),1)*IF(Upgrades!$T$20="Binary Partner",POWER(Upgrades!$U$20,L33),1)*IF(Upgrades!$T$21="Binary Partner",POWER(Upgrades!$U$21,M33),1))+(IF(K33=0,0,(Upgrades!$M$19+K33*Upgrades!$N$19)*POWER(Upgrades!$O$19,K33)))*(IF(Upgrades!$T$13="Peculiar Velocity",POWER(Upgrades!$U$13,E33),1)*IF(Upgrades!$T$14="Peculiar Velocity",POWER(Upgrades!$U$14,F33),1)*IF(Upgrades!$T$15="Peculiar Velocity",POWER(Upgrades!$U$15,G33),1)*IF(Upgrades!$T$16="Peculiar Velocity",POWER(Upgrades!$U$16,H33),1)*IF(Upgrades!$T$17="Peculiar Velocity",POWER(Upgrades!$U$17,I33),1)*IF(Upgrades!$T$18="Peculiar Velocity",POWER(Upgrades!$U$18,J33),1)*IF(Upgrades!$T$20="Peculiar Velocity",POWER(Upgrades!$U$20,L33),1)*IF(Upgrades!$T$21="Peculiar Velocity",POWER(Upgrades!$U$21,M33),1))+(IF(L33=0,0,(Upgrades!$M$20+L33*Upgrades!$N$20)*POWER(Upgrades!$O$20,L33)))*(IF(Upgrades!$T$13="Open Cluster",POWER(Upgrades!$U$13,E33),1)*IF(Upgrades!$T$14="Open Cluster",POWER(Upgrades!$U$14,F33),1)*IF(Upgrades!$T$15="Open Cluster",POWER(Upgrades!$U$15,G33),1)*IF(Upgrades!$T$16="Open Cluster",POWER(Upgrades!$U$16,H33),1)*IF(Upgrades!$T$17="Open Cluster",POWER(Upgrades!$U$17,I33),1)*IF(Upgrades!$T$18="Open Cluster",POWER(Upgrades!$U$18,J33),1)*IF(Upgrades!$T$19="Open Cluster",POWER(Upgrades!$U$19,K33),1)*IF(Upgrades!$T$21="Open Cluster",POWER(Upgrades!$U$21,M33),1))+(IF(M33=0,0,(Upgrades!$M$21+M33*Upgrades!$N$21)*POWER(Upgrades!$O$21,M33)))*(IF(Upgrades!$T$13="Moving Group",POWER(Upgrades!$U$13,E33),1)*IF(Upgrades!$T$14="Moving Group",POWER(Upgrades!$U$14,F33),1)*IF(Upgrades!$T$15="Moving Group",POWER(Upgrades!$U$15,G33),1)*IF(Upgrades!$T$16="Moving Group",POWER(Upgrades!$U$16,H33),1)*IF(Upgrades!$T$17="Moving Group",POWER(Upgrades!$U$17,I33),1)*IF(Upgrades!$T$18="Moving Group",POWER(Upgrades!$U$18,J33),1)*IF(Upgrades!$T$19="Moving Group",POWER(Upgrades!$U$19,K33),1)*IF(Upgrades!$T$20="Moving Group",POWER(Upgrades!$U$20,L33),1)))*POWER(Upgrades!$R$13,E33)*POWER(Upgrades!$R$14,F33)*POWER(Upgrades!$R$15,G33)*POWER(Upgrades!$R$16,H33)*POWER(Upgrades!$R$17,I33)*POWER(Upgrades!$R$18,J33)*POWER(Upgrades!$R$19,K33)*POWER(Upgrades!$R$20,L33)*POWER(Upgrades!$R$21,M33)*$H$6+$E$6</f>
        <v/>
      </c>
      <c r="R33" s="27">
        <f>IF(N33=1,0,O33*Parameters!$B$10/60*Parameters!$B$11*10)</f>
        <v/>
      </c>
      <c r="S33" s="27">
        <f>IF(N33=1,0,Q33*O33*10)</f>
        <v/>
      </c>
      <c r="T33" s="27">
        <f>IF(N33=1,0,R33+S33+P33*10)</f>
        <v/>
      </c>
      <c r="U33" s="33">
        <f>BE33</f>
        <v/>
      </c>
      <c r="V33" s="22">
        <f>IF(U33="",0,IF(U33="transition",0,IF(U33="SK",AK33,IF(U33="LB",AL33,IF(U33="ML",AM33,IF(U33="RLO",AN33,IF(U33="BD",AO33,IF(U33="BiP",AP33,IF(U33="PV",AQ33,IF(U33="OC",AR33,IF(U33="MG",AS33,0))))))))))</f>
        <v/>
      </c>
      <c r="W33" s="27">
        <f>IF(U33="BiP",Upgrades!$F$18,IF(U33="PV",Upgrades!$F$19,IF(U33="OC",Upgrades!$F$20,IF(U33="MG",Upgrades!$F$21,IF(U33="transition",-Parameters!$B$18*Parameters!$B$19,0)))))</f>
        <v/>
      </c>
      <c r="X33" s="22">
        <f>C33+T33-V33</f>
        <v/>
      </c>
      <c r="Y33" s="30">
        <f>O33*Parameters!$B$10/60*Parameters!$B$11+Q33*O33+P33</f>
        <v/>
      </c>
      <c r="Z33" s="34">
        <f>IF(U33="transition","→ Tier 3 (Galactic Arm)",IF(U33="MG","Moving Group — pocket drifts together",IF(U33="OC","Open Cluster acquired",IF(U33="PV","Peculiar Velocity — passive multiplier active",IF(U33="BiP","Binary Partner — pair bond formed",IF(AND(AU33=1,N33=0,AT33&lt;&gt;1),"Cohesion ready (waiting on completionists)","")))))) </f>
        <v/>
      </c>
      <c r="AA33" s="27">
        <f>(IF(E33=0,0,(Upgrades!$G$13+E33*Upgrades!$H$13)*POWER(Upgrades!$I$13,E33)))*(IF(Upgrades!$T$14="Stellar Kinematics",POWER(Upgrades!$U$14,F33),1)*IF(Upgrades!$T$15="Stellar Kinematics",POWER(Upgrades!$U$15,G33),1)*IF(Upgrades!$T$16="Stellar Kinematics",POWER(Upgrades!$U$16,H33),1)*IF(Upgrades!$T$17="Stellar Kinematics",POWER(Upgrades!$U$17,I33),1)*IF(Upgrades!$T$18="Stellar Kinematics",POWER(Upgrades!$U$18,J33),1)*IF(Upgrades!$T$19="Stellar Kinematics",POWER(Upgrades!$U$19,K33),1)*IF(Upgrades!$T$20="Stellar Kinematics",POWER(Upgrades!$U$20,L33),1)*IF(Upgrades!$T$21="Stellar Kinematics",POWER(Upgrades!$U$21,M33),1))*POWER(Upgrades!$P$13,E33)*POWER(Upgrades!$P$14,F33)*POWER(Upgrades!$P$15,G33)*POWER(Upgrades!$P$16,H33)*POWER(Upgrades!$P$17,I33)*POWER(Upgrades!$P$18,J33)*POWER(Upgrades!$P$19,K33)*POWER(Upgrades!$P$20,L33)*POWER(Upgrades!$P$21,M33)*$F$6*60</f>
        <v/>
      </c>
      <c r="AB33" s="27">
        <f>(IF(F33=0,0,(Upgrades!$G$14+F33*Upgrades!$H$14)*POWER(Upgrades!$I$14,F33)))*(IF(Upgrades!$T$13="Local Bubble",POWER(Upgrades!$U$13,E33),1)*IF(Upgrades!$T$15="Local Bubble",POWER(Upgrades!$U$15,G33),1)*IF(Upgrades!$T$16="Local Bubble",POWER(Upgrades!$U$16,H33),1)*IF(Upgrades!$T$17="Local Bubble",POWER(Upgrades!$U$17,I33),1)*IF(Upgrades!$T$18="Local Bubble",POWER(Upgrades!$U$18,J33),1)*IF(Upgrades!$T$19="Local Bubble",POWER(Upgrades!$U$19,K33),1)*IF(Upgrades!$T$20="Local Bubble",POWER(Upgrades!$U$20,L33),1)*IF(Upgrades!$T$21="Local Bubble",POWER(Upgrades!$U$21,M33),1))*POWER(Upgrades!$P$13,E33)*POWER(Upgrades!$P$14,F33)*POWER(Upgrades!$P$15,G33)*POWER(Upgrades!$P$16,H33)*POWER(Upgrades!$P$17,I33)*POWER(Upgrades!$P$18,J33)*POWER(Upgrades!$P$19,K33)*POWER(Upgrades!$P$20,L33)*POWER(Upgrades!$P$21,M33)*$F$6*60</f>
        <v/>
      </c>
      <c r="AC33" s="27">
        <f>(IF(G33=0,0,(Upgrades!$J$15+G33*Upgrades!$K$15)*POWER(Upgrades!$L$15,G33)))*(IF(Upgrades!$T$13="Microlensing",POWER(Upgrades!$U$13,E33),1)*IF(Upgrades!$T$14="Microlensing",POWER(Upgrades!$U$14,F33),1)*IF(Upgrades!$T$16="Microlensing",POWER(Upgrades!$U$16,H33),1)*IF(Upgrades!$T$17="Microlensing",POWER(Upgrades!$U$17,I33),1)*IF(Upgrades!$T$18="Microlensing",POWER(Upgrades!$U$18,J33),1)*IF(Upgrades!$T$19="Microlensing",POWER(Upgrades!$U$19,K33),1)*IF(Upgrades!$T$20="Microlensing",POWER(Upgrades!$U$20,L33),1)*IF(Upgrades!$T$21="Microlensing",POWER(Upgrades!$U$21,M33),1))*POWER(Upgrades!$Q$13,E33)*POWER(Upgrades!$Q$14,F33)*POWER(Upgrades!$Q$15,G33)*POWER(Upgrades!$Q$16,H33)*POWER(Upgrades!$Q$17,I33)*POWER(Upgrades!$Q$18,J33)*POWER(Upgrades!$Q$19,K33)*POWER(Upgrades!$Q$20,L33)*POWER(Upgrades!$Q$21,M33)*$G$6*(Parameters!$B$10*Parameters!$B$11+Q33*60)</f>
        <v/>
      </c>
      <c r="AD33" s="27">
        <f>(IF(H33=0,0,(Upgrades!$M$16+H33*Upgrades!$N$16)*POWER(Upgrades!$O$16,H33)))*(IF(Upgrades!$T$13="Roche Lobe Overflow",POWER(Upgrades!$U$13,E33),1)*IF(Upgrades!$T$14="Roche Lobe Overflow",POWER(Upgrades!$U$14,F33),1)*IF(Upgrades!$T$15="Roche Lobe Overflow",POWER(Upgrades!$U$15,G33),1)*IF(Upgrades!$T$17="Roche Lobe Overflow",POWER(Upgrades!$U$17,I33),1)*IF(Upgrades!$T$18="Roche Lobe Overflow",POWER(Upgrades!$U$18,J33),1)*IF(Upgrades!$T$19="Roche Lobe Overflow",POWER(Upgrades!$U$19,K33),1)*IF(Upgrades!$T$20="Roche Lobe Overflow",POWER(Upgrades!$U$20,L33),1)*IF(Upgrades!$T$21="Roche Lobe Overflow",POWER(Upgrades!$U$21,M33),1))*POWER(Upgrades!$R$13,E33)*POWER(Upgrades!$R$14,F33)*POWER(Upgrades!$R$15,G33)*POWER(Upgrades!$R$16,H33)*POWER(Upgrades!$R$17,I33)*POWER(Upgrades!$R$18,J33)*POWER(Upgrades!$R$19,K33)*POWER(Upgrades!$R$20,L33)*POWER(Upgrades!$R$21,M33)*$H$6*O33*60</f>
        <v/>
      </c>
      <c r="AE33" s="27">
        <f>(IF(I33=0,0,(Upgrades!$G$17+I33*Upgrades!$H$17)*POWER(Upgrades!$I$17,I33)))*(IF(Upgrades!$T$13="Brown Dwarf",POWER(Upgrades!$U$13,E33),1)*IF(Upgrades!$T$14="Brown Dwarf",POWER(Upgrades!$U$14,F33),1)*IF(Upgrades!$T$15="Brown Dwarf",POWER(Upgrades!$U$15,G33),1)*IF(Upgrades!$T$16="Brown Dwarf",POWER(Upgrades!$U$16,H33),1)*IF(Upgrades!$T$18="Brown Dwarf",POWER(Upgrades!$U$18,J33),1)*IF(Upgrades!$T$19="Brown Dwarf",POWER(Upgrades!$U$19,K33),1)*IF(Upgrades!$T$20="Brown Dwarf",POWER(Upgrades!$U$20,L33),1)*IF(Upgrades!$T$21="Brown Dwarf",POWER(Upgrades!$U$21,M33),1))*POWER(Upgrades!$P$13,E33)*POWER(Upgrades!$P$14,F33)*POWER(Upgrades!$P$15,G33)*POWER(Upgrades!$P$16,H33)*POWER(Upgrades!$P$17,I33)*POWER(Upgrades!$P$18,J33)*POWER(Upgrades!$P$19,K33)*POWER(Upgrades!$P$20,L33)*POWER(Upgrades!$P$21,M33)*$F$6*60</f>
        <v/>
      </c>
      <c r="AF33" s="27" t="n">
        <v>0</v>
      </c>
      <c r="AG33" s="27" t="n">
        <v>0</v>
      </c>
      <c r="AH33" s="27" t="n">
        <v>0</v>
      </c>
      <c r="AI33" s="27">
        <f>(IF(M33=0,0,(Upgrades!$G$21+M33*Upgrades!$H$21)*POWER(Upgrades!$I$21,M33)))*(IF(Upgrades!$T$13="Moving Group",POWER(Upgrades!$U$13,E33),1)*IF(Upgrades!$T$14="Moving Group",POWER(Upgrades!$U$14,F33),1)*IF(Upgrades!$T$15="Moving Group",POWER(Upgrades!$U$15,G33),1)*IF(Upgrades!$T$16="Moving Group",POWER(Upgrades!$U$16,H33),1)*IF(Upgrades!$T$17="Moving Group",POWER(Upgrades!$U$17,I33),1)*IF(Upgrades!$T$18="Moving Group",POWER(Upgrades!$U$18,J33),1)*IF(Upgrades!$T$19="Moving Group",POWER(Upgrades!$U$19,K33),1)*IF(Upgrades!$T$20="Moving Group",POWER(Upgrades!$U$20,L33),1))*POWER(Upgrades!$P$13,E33)*POWER(Upgrades!$P$14,F33)*POWER(Upgrades!$P$15,G33)*POWER(Upgrades!$P$16,H33)*POWER(Upgrades!$P$17,I33)*POWER(Upgrades!$P$18,J33)*POWER(Upgrades!$P$19,K33)*POWER(Upgrades!$P$20,L33)*POWER(Upgrades!$P$21,M33)*$F$6*60</f>
        <v/>
      </c>
      <c r="AJ33" s="27">
        <f>$C$6*60</f>
        <v/>
      </c>
      <c r="AK33" s="22">
        <f>IF(E33&gt;=Upgrades!$E$13,"",Upgrades!$C$13*POWER(Upgrades!$D$13,E33))</f>
        <v/>
      </c>
      <c r="AL33" s="22">
        <f>IF(F33&gt;=Upgrades!$E$14,"",Upgrades!$C$14*POWER(Upgrades!$D$14,F33))</f>
        <v/>
      </c>
      <c r="AM33" s="22">
        <f>IF(G33&gt;=Upgrades!$E$15,"",Upgrades!$C$15*POWER(Upgrades!$D$15,G33))</f>
        <v/>
      </c>
      <c r="AN33" s="22">
        <f>IF(H33&gt;=Upgrades!$E$16,"",Upgrades!$C$16*POWER(Upgrades!$D$16,H33))</f>
        <v/>
      </c>
      <c r="AO33" s="22">
        <f>IF(I33&gt;=Upgrades!$E$17,"",Upgrades!$C$17*POWER(Upgrades!$D$17,I33))</f>
        <v/>
      </c>
      <c r="AP33" s="22">
        <f>IF(J33&gt;=Upgrades!$E$18,"",Upgrades!$C$18*POWER(Upgrades!$D$18,J33))</f>
        <v/>
      </c>
      <c r="AQ33" s="22">
        <f>IF(K33&gt;=Upgrades!$E$19,"",Upgrades!$C$19*POWER(Upgrades!$D$19,K33))</f>
        <v/>
      </c>
      <c r="AR33" s="22">
        <f>IF(L33&gt;=Upgrades!$E$20,"",Upgrades!$C$20*POWER(Upgrades!$D$20,L33))</f>
        <v/>
      </c>
      <c r="AS33" s="22">
        <f>IF(M33&gt;=Upgrades!$E$21,"",Upgrades!$C$21*POWER(Upgrades!$D$21,M33))</f>
        <v/>
      </c>
      <c r="AT33" s="26">
        <f>IF(AND(D33&gt;=Parameters!$B$18*Parameters!$B$19,(I33&gt;=Upgrades!$E$17)*(M33&gt;=Upgrades!$E$21)=1,N33=0),1,"")</f>
        <v/>
      </c>
      <c r="AU33" s="26">
        <f>IF(AND(D33&gt;=Parameters!$B$18*Parameters!$B$19,N33=0),1,"")</f>
        <v/>
      </c>
      <c r="AV33" s="22">
        <f>MIN(IF(ISNUMBER(AP33),AP33,9E15),IF(ISNUMBER(AQ33),AQ33,9E15),IF(ISNUMBER(AR33),AR33,9E15),IF(ISNUMBER(AS33),AS33,9E15))</f>
        <v/>
      </c>
      <c r="AW33" s="22">
        <f>MIN(IF(ISNUMBER(AK33),AK33,9E15),IF(ISNUMBER(AL33),AL33,9E15),IF(ISNUMBER(AM33),AM33,9E15),IF(ISNUMBER(AN33),AN33,9E15),IF(ISNUMBER(AO33),AO33,9E15))</f>
        <v/>
      </c>
      <c r="AX33" s="29">
        <f>IF(BD33&gt;Parameters!$B$21*(MAX(IF(AND(NOT(AND(AU33=1,AT33&lt;&gt;1)),ISNUMBER(AK33),AK33&lt;=(C33+T33)),AY33,0),IF(AND(NOT(AND(AU33=1,AT33&lt;&gt;1)),ISNUMBER(AL33),AL33&lt;=(C33+T33)),AZ33,0),IF(AND(NOT(AND(AU33=1,AT33&lt;&gt;1)),ISNUMBER(AM33),AM33&lt;=(C33+T33)),BA33,0),IF(AND(NOT(AND(AU33=1,AT33&lt;&gt;1)),ISNUMBER(AN33),AN33&lt;=(C33+T33)),BB33,0),IF(AND(ISNUMBER(AO33),AO33&lt;=(C33+T33)),BC33,0))),TRUE,FALSE)</f>
        <v/>
      </c>
      <c r="AY33" s="32">
        <f>IFERROR(Upgrades!$H$13*(POWER(Upgrades!$P$13,E33)*POWER(Upgrades!$P$14,F33)*POWER(Upgrades!$P$15,G33)*POWER(Upgrades!$P$16,H33)*POWER(Upgrades!$P$17,I33)*POWER(Upgrades!$P$18,J33)*POWER(Upgrades!$P$19,K33)*POWER(Upgrades!$P$20,L33)*POWER(Upgrades!$P$21,M33))*(IF(Upgrades!$T$14="Stellar Kinematics",POWER(Upgrades!$U$14,F33),1)*IF(Upgrades!$T$15="Stellar Kinematics",POWER(Upgrades!$U$15,G33),1)*IF(Upgrades!$T$16="Stellar Kinematics",POWER(Upgrades!$U$16,H33),1)*IF(Upgrades!$T$17="Stellar Kinematics",POWER(Upgrades!$U$17,I33),1)*IF(Upgrades!$T$18="Stellar Kinematics",POWER(Upgrades!$U$18,J33),1)*IF(Upgrades!$T$19="Stellar Kinematics",POWER(Upgrades!$U$19,K33),1)*IF(Upgrades!$T$20="Stellar Kinematics",POWER(Upgrades!$U$20,L33),1)*IF(Upgrades!$T$21="Stellar Kinematics",POWER(Upgrades!$U$21,M33),1))*$F$6/AK33,0)</f>
        <v/>
      </c>
      <c r="AZ33" s="32">
        <f>IFERROR(Upgrades!$H$14*(POWER(Upgrades!$P$13,E33)*POWER(Upgrades!$P$14,F33)*POWER(Upgrades!$P$15,G33)*POWER(Upgrades!$P$16,H33)*POWER(Upgrades!$P$17,I33)*POWER(Upgrades!$P$18,J33)*POWER(Upgrades!$P$19,K33)*POWER(Upgrades!$P$20,L33)*POWER(Upgrades!$P$21,M33))*(IF(Upgrades!$T$13="Local Bubble",POWER(Upgrades!$U$13,E33),1)*IF(Upgrades!$T$15="Local Bubble",POWER(Upgrades!$U$15,G33),1)*IF(Upgrades!$T$16="Local Bubble",POWER(Upgrades!$U$16,H33),1)*IF(Upgrades!$T$17="Local Bubble",POWER(Upgrades!$U$17,I33),1)*IF(Upgrades!$T$18="Local Bubble",POWER(Upgrades!$U$18,J33),1)*IF(Upgrades!$T$19="Local Bubble",POWER(Upgrades!$U$19,K33),1)*IF(Upgrades!$T$20="Local Bubble",POWER(Upgrades!$U$20,L33),1)*IF(Upgrades!$T$21="Local Bubble",POWER(Upgrades!$U$21,M33),1))*$F$6/AL33,0)</f>
        <v/>
      </c>
      <c r="BA33" s="32">
        <f>IFERROR(Upgrades!$K$15*(POWER(Upgrades!$Q$13,E33)*POWER(Upgrades!$Q$14,F33)*POWER(Upgrades!$Q$15,G33)*POWER(Upgrades!$Q$16,H33)*POWER(Upgrades!$Q$17,I33)*POWER(Upgrades!$Q$18,J33)*POWER(Upgrades!$Q$19,K33)*POWER(Upgrades!$Q$20,L33)*POWER(Upgrades!$Q$21,M33))*(IF(Upgrades!$T$13="Microlensing",POWER(Upgrades!$U$13,E33),1)*IF(Upgrades!$T$14="Microlensing",POWER(Upgrades!$U$14,F33),1)*IF(Upgrades!$T$16="Microlensing",POWER(Upgrades!$U$16,H33),1)*IF(Upgrades!$T$17="Microlensing",POWER(Upgrades!$U$17,I33),1)*IF(Upgrades!$T$18="Microlensing",POWER(Upgrades!$U$18,J33),1)*IF(Upgrades!$T$19="Microlensing",POWER(Upgrades!$U$19,K33),1)*IF(Upgrades!$T$20="Microlensing",POWER(Upgrades!$U$20,L33),1)*IF(Upgrades!$T$21="Microlensing",POWER(Upgrades!$U$21,M33),1))*$G$6*(Parameters!$B$10/60*Parameters!$B$11+Q33)/AM33,0)</f>
        <v/>
      </c>
      <c r="BB33" s="32">
        <f>IFERROR((Upgrades!$N$16*(POWER(Upgrades!$R$13,E33)*POWER(Upgrades!$R$14,F33)*POWER(Upgrades!$R$15,G33)*POWER(Upgrades!$R$16,H33)*POWER(Upgrades!$R$17,I33)*POWER(Upgrades!$R$18,J33)*POWER(Upgrades!$R$19,K33)*POWER(Upgrades!$R$20,L33)*POWER(Upgrades!$R$21,M33))*(IF(Upgrades!$T$13="Roche Lobe Overflow",POWER(Upgrades!$U$13,E33),1)*IF(Upgrades!$T$14="Roche Lobe Overflow",POWER(Upgrades!$U$14,F33),1)*IF(Upgrades!$T$15="Roche Lobe Overflow",POWER(Upgrades!$U$15,G33),1)*IF(Upgrades!$T$17="Roche Lobe Overflow",POWER(Upgrades!$U$17,I33),1)*IF(Upgrades!$T$18="Roche Lobe Overflow",POWER(Upgrades!$U$18,J33),1)*IF(Upgrades!$T$19="Roche Lobe Overflow",POWER(Upgrades!$U$19,K33),1)*IF(Upgrades!$T$20="Roche Lobe Overflow",POWER(Upgrades!$U$20,L33),1)*IF(Upgrades!$T$21="Roche Lobe Overflow",POWER(Upgrades!$U$21,M33),1))*$H$6*O33+((IF(F33=0,0,(Upgrades!$G$14+F33*Upgrades!$H$14)*POWER(Upgrades!$I$14,F33)))*(IF(Upgrades!$T$13="Local Bubble",POWER(Upgrades!$U$13,E33),1)*IF(Upgrades!$T$15="Local Bubble",POWER(Upgrades!$U$15,G33),1)*IF(Upgrades!$T$16="Local Bubble",POWER(Upgrades!$U$16,H33),1)*IF(Upgrades!$T$17="Local Bubble",POWER(Upgrades!$U$17,I33),1)*IF(Upgrades!$T$18="Local Bubble",POWER(Upgrades!$U$18,J33),1)*IF(Upgrades!$T$19="Local Bubble",POWER(Upgrades!$U$19,K33),1)*IF(Upgrades!$T$20="Local Bubble",POWER(Upgrades!$U$20,L33),1)*IF(Upgrades!$T$21="Local Bubble",POWER(Upgrades!$U$21,M33),1))*POWER(Upgrades!$P$13,E33)*POWER(Upgrades!$P$14,F33)*POWER(Upgrades!$P$15,G33)*POWER(Upgrades!$P$16,H33)*POWER(Upgrades!$P$17,I33)*POWER(Upgrades!$P$18,J33)*POWER(Upgrades!$P$19,K33)*POWER(Upgrades!$P$20,L33)*POWER(Upgrades!$P$21,M33)*$F$6)*0.05)/AN33,0)</f>
        <v/>
      </c>
      <c r="BC33" s="32">
        <f>IFERROR((Upgrades!$H$17*(POWER(Upgrades!$P$13,E33)*POWER(Upgrades!$P$14,F33)*POWER(Upgrades!$P$15,G33)*POWER(Upgrades!$P$16,H33)*POWER(Upgrades!$P$17,I33)*POWER(Upgrades!$P$18,J33)*POWER(Upgrades!$P$19,K33)*POWER(Upgrades!$P$20,L33)*POWER(Upgrades!$P$21,M33))*(IF(Upgrades!$T$13="Brown Dwarf",POWER(Upgrades!$U$13,E33),1)*IF(Upgrades!$T$14="Brown Dwarf",POWER(Upgrades!$U$14,F33),1)*IF(Upgrades!$T$15="Brown Dwarf",POWER(Upgrades!$U$15,G33),1)*IF(Upgrades!$T$16="Brown Dwarf",POWER(Upgrades!$U$16,H33),1)*IF(Upgrades!$T$18="Brown Dwarf",POWER(Upgrades!$U$18,J33),1)*IF(Upgrades!$T$19="Brown Dwarf",POWER(Upgrades!$U$19,K33),1)*IF(Upgrades!$T$20="Brown Dwarf",POWER(Upgrades!$U$20,L33),1)*IF(Upgrades!$T$21="Brown Dwarf",POWER(Upgrades!$U$21,M33),1))*$F$6+(((IF(H33=0,0,(Upgrades!$M$16+H33*Upgrades!$N$16)*POWER(Upgrades!$O$16,H33)))*(IF(Upgrades!$T$13="Roche Lobe Overflow",POWER(Upgrades!$U$13,E33),1)*IF(Upgrades!$T$14="Roche Lobe Overflow",POWER(Upgrades!$U$14,F33),1)*IF(Upgrades!$T$15="Roche Lobe Overflow",POWER(Upgrades!$U$15,G33),1)*IF(Upgrades!$T$17="Roche Lobe Overflow",POWER(Upgrades!$U$17,I33),1)*IF(Upgrades!$T$18="Roche Lobe Overflow",POWER(Upgrades!$U$18,J33),1)*IF(Upgrades!$T$19="Roche Lobe Overflow",POWER(Upgrades!$U$19,K33),1)*IF(Upgrades!$T$20="Roche Lobe Overflow",POWER(Upgrades!$U$20,L33),1)*IF(Upgrades!$T$21="Roche Lobe Overflow",POWER(Upgrades!$U$21,M33),1))*POWER(Upgrades!$R$13,E33)*POWER(Upgrades!$R$14,F33)*POWER(Upgrades!$R$15,G33)*POWER(Upgrades!$R$16,H33)*POWER(Upgrades!$R$17,I33)*POWER(Upgrades!$R$18,J33)*POWER(Upgrades!$R$19,K33)*POWER(Upgrades!$R$20,L33)*POWER(Upgrades!$R$21,M33)*$H$6)*O33)*0.10)/AO33,0)</f>
        <v/>
      </c>
      <c r="BD33" s="32">
        <f>MAX(IF(J33&gt;0,0,IFERROR(0.5*((IF(G33=0,0,(Upgrades!$J$15+G33*Upgrades!$K$15)*POWER(Upgrades!$L$15,G33)))*(IF(Upgrades!$T$13="Microlensing",POWER(Upgrades!$U$13,E33),1)*IF(Upgrades!$T$14="Microlensing",POWER(Upgrades!$U$14,F33),1)*IF(Upgrades!$T$16="Microlensing",POWER(Upgrades!$U$16,H33),1)*IF(Upgrades!$T$17="Microlensing",POWER(Upgrades!$U$17,I33),1)*IF(Upgrades!$T$18="Microlensing",POWER(Upgrades!$U$18,J33),1)*IF(Upgrades!$T$19="Microlensing",POWER(Upgrades!$U$19,K33),1)*IF(Upgrades!$T$20="Microlensing",POWER(Upgrades!$U$20,L33),1)*IF(Upgrades!$T$21="Microlensing",POWER(Upgrades!$U$21,M33),1))*(POWER(Upgrades!$Q$13,E33)*POWER(Upgrades!$Q$14,F33)*POWER(Upgrades!$Q$15,G33)*POWER(Upgrades!$Q$16,H33)*POWER(Upgrades!$Q$17,I33)*POWER(Upgrades!$Q$18,J33)*POWER(Upgrades!$Q$19,K33)*POWER(Upgrades!$Q$20,L33)*POWER(Upgrades!$Q$21,M33))*$G$6*(Parameters!$B$10/60*Parameters!$B$11+Q33))/Upgrades!$C$18,0)),IF(K33&gt;0,0,IFERROR(0.30*P33/Upgrades!$C$19,0)),IF(L33&gt;0,0,IFERROR(0.0001/Upgrades!$C$20,0)),IF(M33&gt;0,0,IFERROR((6.0*(POWER(Upgrades!$P$13,E33)*POWER(Upgrades!$P$14,F33)*POWER(Upgrades!$P$15,G33)*POWER(Upgrades!$P$16,H33)*POWER(Upgrades!$P$17,I33)*POWER(Upgrades!$P$18,J33)*POWER(Upgrades!$P$19,K33)*POWER(Upgrades!$P$20,L33)*POWER(Upgrades!$P$21,M33))*$F$6+0.20*O33*(Parameters!$B$10/60*Parameters!$B$11+Q33))/Upgrades!$C$21,0)),IF(AND(ISNUMBER(AK33),AK33&gt;(C33+T33)),AY33,0),IF(AND(ISNUMBER(AL33),AL33&gt;(C33+T33)),AZ33,0),IF(AND(ISNUMBER(AM33),AM33&gt;(C33+T33)),BA33,0),IF(AND(ISNUMBER(AN33),AN33&gt;(C33+T33)),BB33,0),IF(AND(ISNUMBER(AO33),AO33&gt;(C33+T33)),BC33,0))</f>
        <v/>
      </c>
      <c r="BE33" s="29">
        <f>IF(AT33=1,"transition",IF(MIN(IF(AND(J33=0,ISNUMBER(AP33),AP33&lt;=(C33+T33)),AP33,9E15),IF(AND(K33=0,ISNUMBER(AQ33),AQ33&lt;=(C33+T33)),AQ33,9E15),IF(AND(L33=0,ISNUMBER(AR33),AR33&lt;=(C33+T33)),AR33,9E15),IF(AND(M33=0,ISNUMBER(AS33),AS33&lt;=(C33+T33)),AS33,9E15))&lt;9E15,IF(AND(AND(J33=0,ISNUMBER(AP33),AP33&lt;=(C33+T33)),AP33=MIN(IF(AND(J33=0,ISNUMBER(AP33),AP33&lt;=(C33+T33)),AP33,9E15),IF(AND(K33=0,ISNUMBER(AQ33),AQ33&lt;=(C33+T33)),AQ33,9E15),IF(AND(L33=0,ISNUMBER(AR33),AR33&lt;=(C33+T33)),AR33,9E15),IF(AND(M33=0,ISNUMBER(AS33),AS33&lt;=(C33+T33)),AS33,9E15))),"BiP",IF(AND(AND(K33=0,ISNUMBER(AQ33),AQ33&lt;=(C33+T33)),AQ33=MIN(IF(AND(J33=0,ISNUMBER(AP33),AP33&lt;=(C33+T33)),AP33,9E15),IF(AND(K33=0,ISNUMBER(AQ33),AQ33&lt;=(C33+T33)),AQ33,9E15),IF(AND(L33=0,ISNUMBER(AR33),AR33&lt;=(C33+T33)),AR33,9E15),IF(AND(M33=0,ISNUMBER(AS33),AS33&lt;=(C33+T33)),AS33,9E15))),"PV",IF(AND(AND(L33=0,ISNUMBER(AR33),AR33&lt;=(C33+T33)),AR33=MIN(IF(AND(J33=0,ISNUMBER(AP33),AP33&lt;=(C33+T33)),AP33,9E15),IF(AND(K33=0,ISNUMBER(AQ33),AQ33&lt;=(C33+T33)),AQ33,9E15),IF(AND(L33=0,ISNUMBER(AR33),AR33&lt;=(C33+T33)),AR33,9E15),IF(AND(M33=0,ISNUMBER(AS33),AS33&lt;=(C33+T33)),AS33,9E15))),"OC","MG"))),IF(AX33=TRUE,"",IF(MAX(IF(AND(NOT(AND(AU33=1,AT33&lt;&gt;1)),ISNUMBER(AK33),AK33&lt;=(C33+T33)),AY33,0),IF(AND(NOT(AND(AU33=1,AT33&lt;&gt;1)),ISNUMBER(AL33),AL33&lt;=(C33+T33)),AZ33,0),IF(AND(NOT(AND(AU33=1,AT33&lt;&gt;1)),ISNUMBER(AM33),AM33&lt;=(C33+T33)),BA33,0),IF(AND(NOT(AND(AU33=1,AT33&lt;&gt;1)),ISNUMBER(AN33),AN33&lt;=(C33+T33)),BB33,0),IF(AND(ISNUMBER(AO33),AO33&lt;=(C33+T33)),BC33,0))&lt;=0,"",IF(AND(IF(AND(NOT(AND(AU33=1,AT33&lt;&gt;1)),ISNUMBER(AK33),AK33&lt;=(C33+T33)),AY33,0)&gt;0,IF(AND(NOT(AND(AU33=1,AT33&lt;&gt;1)),ISNUMBER(AK33),AK33&lt;=(C33+T33)),AY33,0)=MAX(IF(AND(NOT(AND(AU33=1,AT33&lt;&gt;1)),ISNUMBER(AK33),AK33&lt;=(C33+T33)),AY33,0),IF(AND(NOT(AND(AU33=1,AT33&lt;&gt;1)),ISNUMBER(AL33),AL33&lt;=(C33+T33)),AZ33,0),IF(AND(NOT(AND(AU33=1,AT33&lt;&gt;1)),ISNUMBER(AM33),AM33&lt;=(C33+T33)),BA33,0),IF(AND(NOT(AND(AU33=1,AT33&lt;&gt;1)),ISNUMBER(AN33),AN33&lt;=(C33+T33)),BB33,0),IF(AND(ISNUMBER(AO33),AO33&lt;=(C33+T33)),BC33,0))),"SK",IF(AND(IF(AND(NOT(AND(AU33=1,AT33&lt;&gt;1)),ISNUMBER(AL33),AL33&lt;=(C33+T33)),AZ33,0)&gt;0,IF(AND(NOT(AND(AU33=1,AT33&lt;&gt;1)),ISNUMBER(AL33),AL33&lt;=(C33+T33)),AZ33,0)=MAX(IF(AND(NOT(AND(AU33=1,AT33&lt;&gt;1)),ISNUMBER(AK33),AK33&lt;=(C33+T33)),AY33,0),IF(AND(NOT(AND(AU33=1,AT33&lt;&gt;1)),ISNUMBER(AL33),AL33&lt;=(C33+T33)),AZ33,0),IF(AND(NOT(AND(AU33=1,AT33&lt;&gt;1)),ISNUMBER(AM33),AM33&lt;=(C33+T33)),BA33,0),IF(AND(NOT(AND(AU33=1,AT33&lt;&gt;1)),ISNUMBER(AN33),AN33&lt;=(C33+T33)),BB33,0),IF(AND(ISNUMBER(AO33),AO33&lt;=(C33+T33)),BC33,0))),"LB",IF(AND(IF(AND(NOT(AND(AU33=1,AT33&lt;&gt;1)),ISNUMBER(AM33),AM33&lt;=(C33+T33)),BA33,0)&gt;0,IF(AND(NOT(AND(AU33=1,AT33&lt;&gt;1)),ISNUMBER(AM33),AM33&lt;=(C33+T33)),BA33,0)=MAX(IF(AND(NOT(AND(AU33=1,AT33&lt;&gt;1)),ISNUMBER(AK33),AK33&lt;=(C33+T33)),AY33,0),IF(AND(NOT(AND(AU33=1,AT33&lt;&gt;1)),ISNUMBER(AL33),AL33&lt;=(C33+T33)),AZ33,0),IF(AND(NOT(AND(AU33=1,AT33&lt;&gt;1)),ISNUMBER(AM33),AM33&lt;=(C33+T33)),BA33,0),IF(AND(NOT(AND(AU33=1,AT33&lt;&gt;1)),ISNUMBER(AN33),AN33&lt;=(C33+T33)),BB33,0),IF(AND(ISNUMBER(AO33),AO33&lt;=(C33+T33)),BC33,0))),"ML",IF(AND(IF(AND(NOT(AND(AU33=1,AT33&lt;&gt;1)),ISNUMBER(AN33),AN33&lt;=(C33+T33)),BB33,0)&gt;0,IF(AND(NOT(AND(AU33=1,AT33&lt;&gt;1)),ISNUMBER(AN33),AN33&lt;=(C33+T33)),BB33,0)=MAX(IF(AND(NOT(AND(AU33=1,AT33&lt;&gt;1)),ISNUMBER(AK33),AK33&lt;=(C33+T33)),AY33,0),IF(AND(NOT(AND(AU33=1,AT33&lt;&gt;1)),ISNUMBER(AL33),AL33&lt;=(C33+T33)),AZ33,0),IF(AND(NOT(AND(AU33=1,AT33&lt;&gt;1)),ISNUMBER(AM33),AM33&lt;=(C33+T33)),BA33,0),IF(AND(NOT(AND(AU33=1,AT33&lt;&gt;1)),ISNUMBER(AN33),AN33&lt;=(C33+T33)),BB33,0),IF(AND(ISNUMBER(AO33),AO33&lt;=(C33+T33)),BC33,0))),"RLO","BD"))))))))</f>
        <v/>
      </c>
    </row>
    <row r="34">
      <c r="A34" s="26" t="n">
        <v>23</v>
      </c>
      <c r="B34" s="27">
        <f>A34*10/60</f>
        <v/>
      </c>
      <c r="C34" s="22">
        <f>X33</f>
        <v/>
      </c>
      <c r="D34" s="27">
        <f>D33+W33</f>
        <v/>
      </c>
      <c r="E34" s="26">
        <f>E33+IF(U33="SK",1,0)</f>
        <v/>
      </c>
      <c r="F34" s="26">
        <f>F33+IF(U33="LB",1,0)</f>
        <v/>
      </c>
      <c r="G34" s="26">
        <f>G33+IF(U33="ML",1,0)</f>
        <v/>
      </c>
      <c r="H34" s="26">
        <f>H33+IF(U33="RLO",1,0)</f>
        <v/>
      </c>
      <c r="I34" s="26">
        <f>I33+IF(U33="BD",1,0)</f>
        <v/>
      </c>
      <c r="J34" s="26">
        <f>MAX(J33,IF(U33="BiP",1,0))</f>
        <v/>
      </c>
      <c r="K34" s="26">
        <f>MAX(K33,IF(U33="PV",1,0))</f>
        <v/>
      </c>
      <c r="L34" s="26">
        <f>MAX(L33,IF(U33="OC",1,0))</f>
        <v/>
      </c>
      <c r="M34" s="26">
        <f>MAX(M33,IF(U33="MG",1,0))</f>
        <v/>
      </c>
      <c r="N34" s="26">
        <f>MAX(N33,IF(U33="transition",1,0))</f>
        <v/>
      </c>
      <c r="O34" s="28">
        <f>(Parameters!$B$9+(IF(E34=0,0,(Upgrades!$J$13+E34*Upgrades!$K$13)*POWER(Upgrades!$L$13,E34)))*(IF(Upgrades!$T$14="Stellar Kinematics",POWER(Upgrades!$U$14,F34),1)*IF(Upgrades!$T$15="Stellar Kinematics",POWER(Upgrades!$U$15,G34),1)*IF(Upgrades!$T$16="Stellar Kinematics",POWER(Upgrades!$U$16,H34),1)*IF(Upgrades!$T$17="Stellar Kinematics",POWER(Upgrades!$U$17,I34),1)*IF(Upgrades!$T$18="Stellar Kinematics",POWER(Upgrades!$U$18,J34),1)*IF(Upgrades!$T$19="Stellar Kinematics",POWER(Upgrades!$U$19,K34),1)*IF(Upgrades!$T$20="Stellar Kinematics",POWER(Upgrades!$U$20,L34),1)*IF(Upgrades!$T$21="Stellar Kinematics",POWER(Upgrades!$U$21,M34),1))+(IF(F34=0,0,(Upgrades!$J$14+F34*Upgrades!$K$14)*POWER(Upgrades!$L$14,F34)))*(IF(Upgrades!$T$13="Local Bubble",POWER(Upgrades!$U$13,E34),1)*IF(Upgrades!$T$15="Local Bubble",POWER(Upgrades!$U$15,G34),1)*IF(Upgrades!$T$16="Local Bubble",POWER(Upgrades!$U$16,H34),1)*IF(Upgrades!$T$17="Local Bubble",POWER(Upgrades!$U$17,I34),1)*IF(Upgrades!$T$18="Local Bubble",POWER(Upgrades!$U$18,J34),1)*IF(Upgrades!$T$19="Local Bubble",POWER(Upgrades!$U$19,K34),1)*IF(Upgrades!$T$20="Local Bubble",POWER(Upgrades!$U$20,L34),1)*IF(Upgrades!$T$21="Local Bubble",POWER(Upgrades!$U$21,M34),1))+(IF(G34=0,0,(Upgrades!$J$15+G34*Upgrades!$K$15)*POWER(Upgrades!$L$15,G34)))*(IF(Upgrades!$T$13="Microlensing",POWER(Upgrades!$U$13,E34),1)*IF(Upgrades!$T$14="Microlensing",POWER(Upgrades!$U$14,F34),1)*IF(Upgrades!$T$16="Microlensing",POWER(Upgrades!$U$16,H34),1)*IF(Upgrades!$T$17="Microlensing",POWER(Upgrades!$U$17,I34),1)*IF(Upgrades!$T$18="Microlensing",POWER(Upgrades!$U$18,J34),1)*IF(Upgrades!$T$19="Microlensing",POWER(Upgrades!$U$19,K34),1)*IF(Upgrades!$T$20="Microlensing",POWER(Upgrades!$U$20,L34),1)*IF(Upgrades!$T$21="Microlensing",POWER(Upgrades!$U$21,M34),1))+(IF(H34=0,0,(Upgrades!$J$16+H34*Upgrades!$K$16)*POWER(Upgrades!$L$16,H34)))*(IF(Upgrades!$T$13="Roche Lobe Overflow",POWER(Upgrades!$U$13,E34),1)*IF(Upgrades!$T$14="Roche Lobe Overflow",POWER(Upgrades!$U$14,F34),1)*IF(Upgrades!$T$15="Roche Lobe Overflow",POWER(Upgrades!$U$15,G34),1)*IF(Upgrades!$T$17="Roche Lobe Overflow",POWER(Upgrades!$U$17,I34),1)*IF(Upgrades!$T$18="Roche Lobe Overflow",POWER(Upgrades!$U$18,J34),1)*IF(Upgrades!$T$19="Roche Lobe Overflow",POWER(Upgrades!$U$19,K34),1)*IF(Upgrades!$T$20="Roche Lobe Overflow",POWER(Upgrades!$U$20,L34),1)*IF(Upgrades!$T$21="Roche Lobe Overflow",POWER(Upgrades!$U$21,M34),1))+(IF(I34=0,0,(Upgrades!$J$17+I34*Upgrades!$K$17)*POWER(Upgrades!$L$17,I34)))*(IF(Upgrades!$T$13="Brown Dwarf",POWER(Upgrades!$U$13,E34),1)*IF(Upgrades!$T$14="Brown Dwarf",POWER(Upgrades!$U$14,F34),1)*IF(Upgrades!$T$15="Brown Dwarf",POWER(Upgrades!$U$15,G34),1)*IF(Upgrades!$T$16="Brown Dwarf",POWER(Upgrades!$U$16,H34),1)*IF(Upgrades!$T$18="Brown Dwarf",POWER(Upgrades!$U$18,J34),1)*IF(Upgrades!$T$19="Brown Dwarf",POWER(Upgrades!$U$19,K34),1)*IF(Upgrades!$T$20="Brown Dwarf",POWER(Upgrades!$U$20,L34),1)*IF(Upgrades!$T$21="Brown Dwarf",POWER(Upgrades!$U$21,M34),1))+(IF(J34=0,0,(Upgrades!$J$18+J34*Upgrades!$K$18)*POWER(Upgrades!$L$18,J34)))*(IF(Upgrades!$T$13="Binary Partner",POWER(Upgrades!$U$13,E34),1)*IF(Upgrades!$T$14="Binary Partner",POWER(Upgrades!$U$14,F34),1)*IF(Upgrades!$T$15="Binary Partner",POWER(Upgrades!$U$15,G34),1)*IF(Upgrades!$T$16="Binary Partner",POWER(Upgrades!$U$16,H34),1)*IF(Upgrades!$T$17="Binary Partner",POWER(Upgrades!$U$17,I34),1)*IF(Upgrades!$T$19="Binary Partner",POWER(Upgrades!$U$19,K34),1)*IF(Upgrades!$T$20="Binary Partner",POWER(Upgrades!$U$20,L34),1)*IF(Upgrades!$T$21="Binary Partner",POWER(Upgrades!$U$21,M34),1))+(IF(K34=0,0,(Upgrades!$J$19+K34*Upgrades!$K$19)*POWER(Upgrades!$L$19,K34)))*(IF(Upgrades!$T$13="Peculiar Velocity",POWER(Upgrades!$U$13,E34),1)*IF(Upgrades!$T$14="Peculiar Velocity",POWER(Upgrades!$U$14,F34),1)*IF(Upgrades!$T$15="Peculiar Velocity",POWER(Upgrades!$U$15,G34),1)*IF(Upgrades!$T$16="Peculiar Velocity",POWER(Upgrades!$U$16,H34),1)*IF(Upgrades!$T$17="Peculiar Velocity",POWER(Upgrades!$U$17,I34),1)*IF(Upgrades!$T$18="Peculiar Velocity",POWER(Upgrades!$U$18,J34),1)*IF(Upgrades!$T$20="Peculiar Velocity",POWER(Upgrades!$U$20,L34),1)*IF(Upgrades!$T$21="Peculiar Velocity",POWER(Upgrades!$U$21,M34),1))+(IF(L34=0,0,(Upgrades!$J$20+L34*Upgrades!$K$20)*POWER(Upgrades!$L$20,L34)))*(IF(Upgrades!$T$13="Open Cluster",POWER(Upgrades!$U$13,E34),1)*IF(Upgrades!$T$14="Open Cluster",POWER(Upgrades!$U$14,F34),1)*IF(Upgrades!$T$15="Open Cluster",POWER(Upgrades!$U$15,G34),1)*IF(Upgrades!$T$16="Open Cluster",POWER(Upgrades!$U$16,H34),1)*IF(Upgrades!$T$17="Open Cluster",POWER(Upgrades!$U$17,I34),1)*IF(Upgrades!$T$18="Open Cluster",POWER(Upgrades!$U$18,J34),1)*IF(Upgrades!$T$19="Open Cluster",POWER(Upgrades!$U$19,K34),1)*IF(Upgrades!$T$21="Open Cluster",POWER(Upgrades!$U$21,M34),1))+(IF(M34=0,0,(Upgrades!$J$21+M34*Upgrades!$K$21)*POWER(Upgrades!$L$21,M34)))*(IF(Upgrades!$T$13="Moving Group",POWER(Upgrades!$U$13,E34),1)*IF(Upgrades!$T$14="Moving Group",POWER(Upgrades!$U$14,F34),1)*IF(Upgrades!$T$15="Moving Group",POWER(Upgrades!$U$15,G34),1)*IF(Upgrades!$T$16="Moving Group",POWER(Upgrades!$U$16,H34),1)*IF(Upgrades!$T$17="Moving Group",POWER(Upgrades!$U$17,I34),1)*IF(Upgrades!$T$18="Moving Group",POWER(Upgrades!$U$18,J34),1)*IF(Upgrades!$T$19="Moving Group",POWER(Upgrades!$U$19,K34),1)*IF(Upgrades!$T$20="Moving Group",POWER(Upgrades!$U$20,L34),1)))*POWER(Upgrades!$Q$13,E34)*POWER(Upgrades!$Q$14,F34)*POWER(Upgrades!$Q$15,G34)*POWER(Upgrades!$Q$16,H34)*POWER(Upgrades!$Q$17,I34)*POWER(Upgrades!$Q$18,J34)*POWER(Upgrades!$Q$19,K34)*POWER(Upgrades!$Q$20,L34)*POWER(Upgrades!$Q$21,M34)*$G$6+$D$6</f>
        <v/>
      </c>
      <c r="P34" s="28">
        <f>((IF(E34=0,0,(Upgrades!$G$13+E34*Upgrades!$H$13)*POWER(Upgrades!$I$13,E34)))*(IF(Upgrades!$T$14="Stellar Kinematics",POWER(Upgrades!$U$14,F34),1)*IF(Upgrades!$T$15="Stellar Kinematics",POWER(Upgrades!$U$15,G34),1)*IF(Upgrades!$T$16="Stellar Kinematics",POWER(Upgrades!$U$16,H34),1)*IF(Upgrades!$T$17="Stellar Kinematics",POWER(Upgrades!$U$17,I34),1)*IF(Upgrades!$T$18="Stellar Kinematics",POWER(Upgrades!$U$18,J34),1)*IF(Upgrades!$T$19="Stellar Kinematics",POWER(Upgrades!$U$19,K34),1)*IF(Upgrades!$T$20="Stellar Kinematics",POWER(Upgrades!$U$20,L34),1)*IF(Upgrades!$T$21="Stellar Kinematics",POWER(Upgrades!$U$21,M34),1))+(IF(F34=0,0,(Upgrades!$G$14+F34*Upgrades!$H$14)*POWER(Upgrades!$I$14,F34)))*(IF(Upgrades!$T$13="Local Bubble",POWER(Upgrades!$U$13,E34),1)*IF(Upgrades!$T$15="Local Bubble",POWER(Upgrades!$U$15,G34),1)*IF(Upgrades!$T$16="Local Bubble",POWER(Upgrades!$U$16,H34),1)*IF(Upgrades!$T$17="Local Bubble",POWER(Upgrades!$U$17,I34),1)*IF(Upgrades!$T$18="Local Bubble",POWER(Upgrades!$U$18,J34),1)*IF(Upgrades!$T$19="Local Bubble",POWER(Upgrades!$U$19,K34),1)*IF(Upgrades!$T$20="Local Bubble",POWER(Upgrades!$U$20,L34),1)*IF(Upgrades!$T$21="Local Bubble",POWER(Upgrades!$U$21,M34),1))+(IF(G34=0,0,(Upgrades!$G$15+G34*Upgrades!$H$15)*POWER(Upgrades!$I$15,G34)))*(IF(Upgrades!$T$13="Microlensing",POWER(Upgrades!$U$13,E34),1)*IF(Upgrades!$T$14="Microlensing",POWER(Upgrades!$U$14,F34),1)*IF(Upgrades!$T$16="Microlensing",POWER(Upgrades!$U$16,H34),1)*IF(Upgrades!$T$17="Microlensing",POWER(Upgrades!$U$17,I34),1)*IF(Upgrades!$T$18="Microlensing",POWER(Upgrades!$U$18,J34),1)*IF(Upgrades!$T$19="Microlensing",POWER(Upgrades!$U$19,K34),1)*IF(Upgrades!$T$20="Microlensing",POWER(Upgrades!$U$20,L34),1)*IF(Upgrades!$T$21="Microlensing",POWER(Upgrades!$U$21,M34),1))+(IF(H34=0,0,(Upgrades!$G$16+H34*Upgrades!$H$16)*POWER(Upgrades!$I$16,H34)))*(IF(Upgrades!$T$13="Roche Lobe Overflow",POWER(Upgrades!$U$13,E34),1)*IF(Upgrades!$T$14="Roche Lobe Overflow",POWER(Upgrades!$U$14,F34),1)*IF(Upgrades!$T$15="Roche Lobe Overflow",POWER(Upgrades!$U$15,G34),1)*IF(Upgrades!$T$17="Roche Lobe Overflow",POWER(Upgrades!$U$17,I34),1)*IF(Upgrades!$T$18="Roche Lobe Overflow",POWER(Upgrades!$U$18,J34),1)*IF(Upgrades!$T$19="Roche Lobe Overflow",POWER(Upgrades!$U$19,K34),1)*IF(Upgrades!$T$20="Roche Lobe Overflow",POWER(Upgrades!$U$20,L34),1)*IF(Upgrades!$T$21="Roche Lobe Overflow",POWER(Upgrades!$U$21,M34),1))+(IF(I34=0,0,(Upgrades!$G$17+I34*Upgrades!$H$17)*POWER(Upgrades!$I$17,I34)))*(IF(Upgrades!$T$13="Brown Dwarf",POWER(Upgrades!$U$13,E34),1)*IF(Upgrades!$T$14="Brown Dwarf",POWER(Upgrades!$U$14,F34),1)*IF(Upgrades!$T$15="Brown Dwarf",POWER(Upgrades!$U$15,G34),1)*IF(Upgrades!$T$16="Brown Dwarf",POWER(Upgrades!$U$16,H34),1)*IF(Upgrades!$T$18="Brown Dwarf",POWER(Upgrades!$U$18,J34),1)*IF(Upgrades!$T$19="Brown Dwarf",POWER(Upgrades!$U$19,K34),1)*IF(Upgrades!$T$20="Brown Dwarf",POWER(Upgrades!$U$20,L34),1)*IF(Upgrades!$T$21="Brown Dwarf",POWER(Upgrades!$U$21,M34),1))+(IF(J34=0,0,(Upgrades!$G$18+J34*Upgrades!$H$18)*POWER(Upgrades!$I$18,J34)))*(IF(Upgrades!$T$13="Binary Partner",POWER(Upgrades!$U$13,E34),1)*IF(Upgrades!$T$14="Binary Partner",POWER(Upgrades!$U$14,F34),1)*IF(Upgrades!$T$15="Binary Partner",POWER(Upgrades!$U$15,G34),1)*IF(Upgrades!$T$16="Binary Partner",POWER(Upgrades!$U$16,H34),1)*IF(Upgrades!$T$17="Binary Partner",POWER(Upgrades!$U$17,I34),1)*IF(Upgrades!$T$19="Binary Partner",POWER(Upgrades!$U$19,K34),1)*IF(Upgrades!$T$20="Binary Partner",POWER(Upgrades!$U$20,L34),1)*IF(Upgrades!$T$21="Binary Partner",POWER(Upgrades!$U$21,M34),1))+(IF(K34=0,0,(Upgrades!$G$19+K34*Upgrades!$H$19)*POWER(Upgrades!$I$19,K34)))*(IF(Upgrades!$T$13="Peculiar Velocity",POWER(Upgrades!$U$13,E34),1)*IF(Upgrades!$T$14="Peculiar Velocity",POWER(Upgrades!$U$14,F34),1)*IF(Upgrades!$T$15="Peculiar Velocity",POWER(Upgrades!$U$15,G34),1)*IF(Upgrades!$T$16="Peculiar Velocity",POWER(Upgrades!$U$16,H34),1)*IF(Upgrades!$T$17="Peculiar Velocity",POWER(Upgrades!$U$17,I34),1)*IF(Upgrades!$T$18="Peculiar Velocity",POWER(Upgrades!$U$18,J34),1)*IF(Upgrades!$T$20="Peculiar Velocity",POWER(Upgrades!$U$20,L34),1)*IF(Upgrades!$T$21="Peculiar Velocity",POWER(Upgrades!$U$21,M34),1))+(IF(L34=0,0,(Upgrades!$G$20+L34*Upgrades!$H$20)*POWER(Upgrades!$I$20,L34)))*(IF(Upgrades!$T$13="Open Cluster",POWER(Upgrades!$U$13,E34),1)*IF(Upgrades!$T$14="Open Cluster",POWER(Upgrades!$U$14,F34),1)*IF(Upgrades!$T$15="Open Cluster",POWER(Upgrades!$U$15,G34),1)*IF(Upgrades!$T$16="Open Cluster",POWER(Upgrades!$U$16,H34),1)*IF(Upgrades!$T$17="Open Cluster",POWER(Upgrades!$U$17,I34),1)*IF(Upgrades!$T$18="Open Cluster",POWER(Upgrades!$U$18,J34),1)*IF(Upgrades!$T$19="Open Cluster",POWER(Upgrades!$U$19,K34),1)*IF(Upgrades!$T$21="Open Cluster",POWER(Upgrades!$U$21,M34),1))+(IF(M34=0,0,(Upgrades!$G$21+M34*Upgrades!$H$21)*POWER(Upgrades!$I$21,M34)))*(IF(Upgrades!$T$13="Moving Group",POWER(Upgrades!$U$13,E34),1)*IF(Upgrades!$T$14="Moving Group",POWER(Upgrades!$U$14,F34),1)*IF(Upgrades!$T$15="Moving Group",POWER(Upgrades!$U$15,G34),1)*IF(Upgrades!$T$16="Moving Group",POWER(Upgrades!$U$16,H34),1)*IF(Upgrades!$T$17="Moving Group",POWER(Upgrades!$U$17,I34),1)*IF(Upgrades!$T$18="Moving Group",POWER(Upgrades!$U$18,J34),1)*IF(Upgrades!$T$19="Moving Group",POWER(Upgrades!$U$19,K34),1)*IF(Upgrades!$T$20="Moving Group",POWER(Upgrades!$U$20,L34),1)))*POWER(Upgrades!$P$13,E34)*POWER(Upgrades!$P$14,F34)*POWER(Upgrades!$P$15,G34)*POWER(Upgrades!$P$16,H34)*POWER(Upgrades!$P$17,I34)*POWER(Upgrades!$P$18,J34)*POWER(Upgrades!$P$19,K34)*POWER(Upgrades!$P$20,L34)*POWER(Upgrades!$P$21,M34)*$F$6+$C$6</f>
        <v/>
      </c>
      <c r="Q34" s="28">
        <f>((IF(E34=0,0,(Upgrades!$M$13+E34*Upgrades!$N$13)*POWER(Upgrades!$O$13,E34)))*(IF(Upgrades!$T$14="Stellar Kinematics",POWER(Upgrades!$U$14,F34),1)*IF(Upgrades!$T$15="Stellar Kinematics",POWER(Upgrades!$U$15,G34),1)*IF(Upgrades!$T$16="Stellar Kinematics",POWER(Upgrades!$U$16,H34),1)*IF(Upgrades!$T$17="Stellar Kinematics",POWER(Upgrades!$U$17,I34),1)*IF(Upgrades!$T$18="Stellar Kinematics",POWER(Upgrades!$U$18,J34),1)*IF(Upgrades!$T$19="Stellar Kinematics",POWER(Upgrades!$U$19,K34),1)*IF(Upgrades!$T$20="Stellar Kinematics",POWER(Upgrades!$U$20,L34),1)*IF(Upgrades!$T$21="Stellar Kinematics",POWER(Upgrades!$U$21,M34),1))+(IF(F34=0,0,(Upgrades!$M$14+F34*Upgrades!$N$14)*POWER(Upgrades!$O$14,F34)))*(IF(Upgrades!$T$13="Local Bubble",POWER(Upgrades!$U$13,E34),1)*IF(Upgrades!$T$15="Local Bubble",POWER(Upgrades!$U$15,G34),1)*IF(Upgrades!$T$16="Local Bubble",POWER(Upgrades!$U$16,H34),1)*IF(Upgrades!$T$17="Local Bubble",POWER(Upgrades!$U$17,I34),1)*IF(Upgrades!$T$18="Local Bubble",POWER(Upgrades!$U$18,J34),1)*IF(Upgrades!$T$19="Local Bubble",POWER(Upgrades!$U$19,K34),1)*IF(Upgrades!$T$20="Local Bubble",POWER(Upgrades!$U$20,L34),1)*IF(Upgrades!$T$21="Local Bubble",POWER(Upgrades!$U$21,M34),1))+(IF(G34=0,0,(Upgrades!$M$15+G34*Upgrades!$N$15)*POWER(Upgrades!$O$15,G34)))*(IF(Upgrades!$T$13="Microlensing",POWER(Upgrades!$U$13,E34),1)*IF(Upgrades!$T$14="Microlensing",POWER(Upgrades!$U$14,F34),1)*IF(Upgrades!$T$16="Microlensing",POWER(Upgrades!$U$16,H34),1)*IF(Upgrades!$T$17="Microlensing",POWER(Upgrades!$U$17,I34),1)*IF(Upgrades!$T$18="Microlensing",POWER(Upgrades!$U$18,J34),1)*IF(Upgrades!$T$19="Microlensing",POWER(Upgrades!$U$19,K34),1)*IF(Upgrades!$T$20="Microlensing",POWER(Upgrades!$U$20,L34),1)*IF(Upgrades!$T$21="Microlensing",POWER(Upgrades!$U$21,M34),1))+(IF(H34=0,0,(Upgrades!$M$16+H34*Upgrades!$N$16)*POWER(Upgrades!$O$16,H34)))*(IF(Upgrades!$T$13="Roche Lobe Overflow",POWER(Upgrades!$U$13,E34),1)*IF(Upgrades!$T$14="Roche Lobe Overflow",POWER(Upgrades!$U$14,F34),1)*IF(Upgrades!$T$15="Roche Lobe Overflow",POWER(Upgrades!$U$15,G34),1)*IF(Upgrades!$T$17="Roche Lobe Overflow",POWER(Upgrades!$U$17,I34),1)*IF(Upgrades!$T$18="Roche Lobe Overflow",POWER(Upgrades!$U$18,J34),1)*IF(Upgrades!$T$19="Roche Lobe Overflow",POWER(Upgrades!$U$19,K34),1)*IF(Upgrades!$T$20="Roche Lobe Overflow",POWER(Upgrades!$U$20,L34),1)*IF(Upgrades!$T$21="Roche Lobe Overflow",POWER(Upgrades!$U$21,M34),1))+(IF(I34=0,0,(Upgrades!$M$17+I34*Upgrades!$N$17)*POWER(Upgrades!$O$17,I34)))*(IF(Upgrades!$T$13="Brown Dwarf",POWER(Upgrades!$U$13,E34),1)*IF(Upgrades!$T$14="Brown Dwarf",POWER(Upgrades!$U$14,F34),1)*IF(Upgrades!$T$15="Brown Dwarf",POWER(Upgrades!$U$15,G34),1)*IF(Upgrades!$T$16="Brown Dwarf",POWER(Upgrades!$U$16,H34),1)*IF(Upgrades!$T$18="Brown Dwarf",POWER(Upgrades!$U$18,J34),1)*IF(Upgrades!$T$19="Brown Dwarf",POWER(Upgrades!$U$19,K34),1)*IF(Upgrades!$T$20="Brown Dwarf",POWER(Upgrades!$U$20,L34),1)*IF(Upgrades!$T$21="Brown Dwarf",POWER(Upgrades!$U$21,M34),1))+(IF(J34=0,0,(Upgrades!$M$18+J34*Upgrades!$N$18)*POWER(Upgrades!$O$18,J34)))*(IF(Upgrades!$T$13="Binary Partner",POWER(Upgrades!$U$13,E34),1)*IF(Upgrades!$T$14="Binary Partner",POWER(Upgrades!$U$14,F34),1)*IF(Upgrades!$T$15="Binary Partner",POWER(Upgrades!$U$15,G34),1)*IF(Upgrades!$T$16="Binary Partner",POWER(Upgrades!$U$16,H34),1)*IF(Upgrades!$T$17="Binary Partner",POWER(Upgrades!$U$17,I34),1)*IF(Upgrades!$T$19="Binary Partner",POWER(Upgrades!$U$19,K34),1)*IF(Upgrades!$T$20="Binary Partner",POWER(Upgrades!$U$20,L34),1)*IF(Upgrades!$T$21="Binary Partner",POWER(Upgrades!$U$21,M34),1))+(IF(K34=0,0,(Upgrades!$M$19+K34*Upgrades!$N$19)*POWER(Upgrades!$O$19,K34)))*(IF(Upgrades!$T$13="Peculiar Velocity",POWER(Upgrades!$U$13,E34),1)*IF(Upgrades!$T$14="Peculiar Velocity",POWER(Upgrades!$U$14,F34),1)*IF(Upgrades!$T$15="Peculiar Velocity",POWER(Upgrades!$U$15,G34),1)*IF(Upgrades!$T$16="Peculiar Velocity",POWER(Upgrades!$U$16,H34),1)*IF(Upgrades!$T$17="Peculiar Velocity",POWER(Upgrades!$U$17,I34),1)*IF(Upgrades!$T$18="Peculiar Velocity",POWER(Upgrades!$U$18,J34),1)*IF(Upgrades!$T$20="Peculiar Velocity",POWER(Upgrades!$U$20,L34),1)*IF(Upgrades!$T$21="Peculiar Velocity",POWER(Upgrades!$U$21,M34),1))+(IF(L34=0,0,(Upgrades!$M$20+L34*Upgrades!$N$20)*POWER(Upgrades!$O$20,L34)))*(IF(Upgrades!$T$13="Open Cluster",POWER(Upgrades!$U$13,E34),1)*IF(Upgrades!$T$14="Open Cluster",POWER(Upgrades!$U$14,F34),1)*IF(Upgrades!$T$15="Open Cluster",POWER(Upgrades!$U$15,G34),1)*IF(Upgrades!$T$16="Open Cluster",POWER(Upgrades!$U$16,H34),1)*IF(Upgrades!$T$17="Open Cluster",POWER(Upgrades!$U$17,I34),1)*IF(Upgrades!$T$18="Open Cluster",POWER(Upgrades!$U$18,J34),1)*IF(Upgrades!$T$19="Open Cluster",POWER(Upgrades!$U$19,K34),1)*IF(Upgrades!$T$21="Open Cluster",POWER(Upgrades!$U$21,M34),1))+(IF(M34=0,0,(Upgrades!$M$21+M34*Upgrades!$N$21)*POWER(Upgrades!$O$21,M34)))*(IF(Upgrades!$T$13="Moving Group",POWER(Upgrades!$U$13,E34),1)*IF(Upgrades!$T$14="Moving Group",POWER(Upgrades!$U$14,F34),1)*IF(Upgrades!$T$15="Moving Group",POWER(Upgrades!$U$15,G34),1)*IF(Upgrades!$T$16="Moving Group",POWER(Upgrades!$U$16,H34),1)*IF(Upgrades!$T$17="Moving Group",POWER(Upgrades!$U$17,I34),1)*IF(Upgrades!$T$18="Moving Group",POWER(Upgrades!$U$18,J34),1)*IF(Upgrades!$T$19="Moving Group",POWER(Upgrades!$U$19,K34),1)*IF(Upgrades!$T$20="Moving Group",POWER(Upgrades!$U$20,L34),1)))*POWER(Upgrades!$R$13,E34)*POWER(Upgrades!$R$14,F34)*POWER(Upgrades!$R$15,G34)*POWER(Upgrades!$R$16,H34)*POWER(Upgrades!$R$17,I34)*POWER(Upgrades!$R$18,J34)*POWER(Upgrades!$R$19,K34)*POWER(Upgrades!$R$20,L34)*POWER(Upgrades!$R$21,M34)*$H$6+$E$6</f>
        <v/>
      </c>
      <c r="R34" s="27">
        <f>IF(N34=1,0,O34*Parameters!$B$10/60*Parameters!$B$11*10)</f>
        <v/>
      </c>
      <c r="S34" s="27">
        <f>IF(N34=1,0,Q34*O34*10)</f>
        <v/>
      </c>
      <c r="T34" s="27">
        <f>IF(N34=1,0,R34+S34+P34*10)</f>
        <v/>
      </c>
      <c r="U34" s="33">
        <f>BE34</f>
        <v/>
      </c>
      <c r="V34" s="22">
        <f>IF(U34="",0,IF(U34="transition",0,IF(U34="SK",AK34,IF(U34="LB",AL34,IF(U34="ML",AM34,IF(U34="RLO",AN34,IF(U34="BD",AO34,IF(U34="BiP",AP34,IF(U34="PV",AQ34,IF(U34="OC",AR34,IF(U34="MG",AS34,0))))))))))</f>
        <v/>
      </c>
      <c r="W34" s="27">
        <f>IF(U34="BiP",Upgrades!$F$18,IF(U34="PV",Upgrades!$F$19,IF(U34="OC",Upgrades!$F$20,IF(U34="MG",Upgrades!$F$21,IF(U34="transition",-Parameters!$B$18*Parameters!$B$19,0)))))</f>
        <v/>
      </c>
      <c r="X34" s="22">
        <f>C34+T34-V34</f>
        <v/>
      </c>
      <c r="Y34" s="30">
        <f>O34*Parameters!$B$10/60*Parameters!$B$11+Q34*O34+P34</f>
        <v/>
      </c>
      <c r="Z34" s="34">
        <f>IF(U34="transition","→ Tier 3 (Galactic Arm)",IF(U34="MG","Moving Group — pocket drifts together",IF(U34="OC","Open Cluster acquired",IF(U34="PV","Peculiar Velocity — passive multiplier active",IF(U34="BiP","Binary Partner — pair bond formed",IF(AND(AU34=1,N34=0,AT34&lt;&gt;1),"Cohesion ready (waiting on completionists)","")))))) </f>
        <v/>
      </c>
      <c r="AA34" s="27">
        <f>(IF(E34=0,0,(Upgrades!$G$13+E34*Upgrades!$H$13)*POWER(Upgrades!$I$13,E34)))*(IF(Upgrades!$T$14="Stellar Kinematics",POWER(Upgrades!$U$14,F34),1)*IF(Upgrades!$T$15="Stellar Kinematics",POWER(Upgrades!$U$15,G34),1)*IF(Upgrades!$T$16="Stellar Kinematics",POWER(Upgrades!$U$16,H34),1)*IF(Upgrades!$T$17="Stellar Kinematics",POWER(Upgrades!$U$17,I34),1)*IF(Upgrades!$T$18="Stellar Kinematics",POWER(Upgrades!$U$18,J34),1)*IF(Upgrades!$T$19="Stellar Kinematics",POWER(Upgrades!$U$19,K34),1)*IF(Upgrades!$T$20="Stellar Kinematics",POWER(Upgrades!$U$20,L34),1)*IF(Upgrades!$T$21="Stellar Kinematics",POWER(Upgrades!$U$21,M34),1))*POWER(Upgrades!$P$13,E34)*POWER(Upgrades!$P$14,F34)*POWER(Upgrades!$P$15,G34)*POWER(Upgrades!$P$16,H34)*POWER(Upgrades!$P$17,I34)*POWER(Upgrades!$P$18,J34)*POWER(Upgrades!$P$19,K34)*POWER(Upgrades!$P$20,L34)*POWER(Upgrades!$P$21,M34)*$F$6*60</f>
        <v/>
      </c>
      <c r="AB34" s="27">
        <f>(IF(F34=0,0,(Upgrades!$G$14+F34*Upgrades!$H$14)*POWER(Upgrades!$I$14,F34)))*(IF(Upgrades!$T$13="Local Bubble",POWER(Upgrades!$U$13,E34),1)*IF(Upgrades!$T$15="Local Bubble",POWER(Upgrades!$U$15,G34),1)*IF(Upgrades!$T$16="Local Bubble",POWER(Upgrades!$U$16,H34),1)*IF(Upgrades!$T$17="Local Bubble",POWER(Upgrades!$U$17,I34),1)*IF(Upgrades!$T$18="Local Bubble",POWER(Upgrades!$U$18,J34),1)*IF(Upgrades!$T$19="Local Bubble",POWER(Upgrades!$U$19,K34),1)*IF(Upgrades!$T$20="Local Bubble",POWER(Upgrades!$U$20,L34),1)*IF(Upgrades!$T$21="Local Bubble",POWER(Upgrades!$U$21,M34),1))*POWER(Upgrades!$P$13,E34)*POWER(Upgrades!$P$14,F34)*POWER(Upgrades!$P$15,G34)*POWER(Upgrades!$P$16,H34)*POWER(Upgrades!$P$17,I34)*POWER(Upgrades!$P$18,J34)*POWER(Upgrades!$P$19,K34)*POWER(Upgrades!$P$20,L34)*POWER(Upgrades!$P$21,M34)*$F$6*60</f>
        <v/>
      </c>
      <c r="AC34" s="27">
        <f>(IF(G34=0,0,(Upgrades!$J$15+G34*Upgrades!$K$15)*POWER(Upgrades!$L$15,G34)))*(IF(Upgrades!$T$13="Microlensing",POWER(Upgrades!$U$13,E34),1)*IF(Upgrades!$T$14="Microlensing",POWER(Upgrades!$U$14,F34),1)*IF(Upgrades!$T$16="Microlensing",POWER(Upgrades!$U$16,H34),1)*IF(Upgrades!$T$17="Microlensing",POWER(Upgrades!$U$17,I34),1)*IF(Upgrades!$T$18="Microlensing",POWER(Upgrades!$U$18,J34),1)*IF(Upgrades!$T$19="Microlensing",POWER(Upgrades!$U$19,K34),1)*IF(Upgrades!$T$20="Microlensing",POWER(Upgrades!$U$20,L34),1)*IF(Upgrades!$T$21="Microlensing",POWER(Upgrades!$U$21,M34),1))*POWER(Upgrades!$Q$13,E34)*POWER(Upgrades!$Q$14,F34)*POWER(Upgrades!$Q$15,G34)*POWER(Upgrades!$Q$16,H34)*POWER(Upgrades!$Q$17,I34)*POWER(Upgrades!$Q$18,J34)*POWER(Upgrades!$Q$19,K34)*POWER(Upgrades!$Q$20,L34)*POWER(Upgrades!$Q$21,M34)*$G$6*(Parameters!$B$10*Parameters!$B$11+Q34*60)</f>
        <v/>
      </c>
      <c r="AD34" s="27">
        <f>(IF(H34=0,0,(Upgrades!$M$16+H34*Upgrades!$N$16)*POWER(Upgrades!$O$16,H34)))*(IF(Upgrades!$T$13="Roche Lobe Overflow",POWER(Upgrades!$U$13,E34),1)*IF(Upgrades!$T$14="Roche Lobe Overflow",POWER(Upgrades!$U$14,F34),1)*IF(Upgrades!$T$15="Roche Lobe Overflow",POWER(Upgrades!$U$15,G34),1)*IF(Upgrades!$T$17="Roche Lobe Overflow",POWER(Upgrades!$U$17,I34),1)*IF(Upgrades!$T$18="Roche Lobe Overflow",POWER(Upgrades!$U$18,J34),1)*IF(Upgrades!$T$19="Roche Lobe Overflow",POWER(Upgrades!$U$19,K34),1)*IF(Upgrades!$T$20="Roche Lobe Overflow",POWER(Upgrades!$U$20,L34),1)*IF(Upgrades!$T$21="Roche Lobe Overflow",POWER(Upgrades!$U$21,M34),1))*POWER(Upgrades!$R$13,E34)*POWER(Upgrades!$R$14,F34)*POWER(Upgrades!$R$15,G34)*POWER(Upgrades!$R$16,H34)*POWER(Upgrades!$R$17,I34)*POWER(Upgrades!$R$18,J34)*POWER(Upgrades!$R$19,K34)*POWER(Upgrades!$R$20,L34)*POWER(Upgrades!$R$21,M34)*$H$6*O34*60</f>
        <v/>
      </c>
      <c r="AE34" s="27">
        <f>(IF(I34=0,0,(Upgrades!$G$17+I34*Upgrades!$H$17)*POWER(Upgrades!$I$17,I34)))*(IF(Upgrades!$T$13="Brown Dwarf",POWER(Upgrades!$U$13,E34),1)*IF(Upgrades!$T$14="Brown Dwarf",POWER(Upgrades!$U$14,F34),1)*IF(Upgrades!$T$15="Brown Dwarf",POWER(Upgrades!$U$15,G34),1)*IF(Upgrades!$T$16="Brown Dwarf",POWER(Upgrades!$U$16,H34),1)*IF(Upgrades!$T$18="Brown Dwarf",POWER(Upgrades!$U$18,J34),1)*IF(Upgrades!$T$19="Brown Dwarf",POWER(Upgrades!$U$19,K34),1)*IF(Upgrades!$T$20="Brown Dwarf",POWER(Upgrades!$U$20,L34),1)*IF(Upgrades!$T$21="Brown Dwarf",POWER(Upgrades!$U$21,M34),1))*POWER(Upgrades!$P$13,E34)*POWER(Upgrades!$P$14,F34)*POWER(Upgrades!$P$15,G34)*POWER(Upgrades!$P$16,H34)*POWER(Upgrades!$P$17,I34)*POWER(Upgrades!$P$18,J34)*POWER(Upgrades!$P$19,K34)*POWER(Upgrades!$P$20,L34)*POWER(Upgrades!$P$21,M34)*$F$6*60</f>
        <v/>
      </c>
      <c r="AF34" s="27" t="n">
        <v>0</v>
      </c>
      <c r="AG34" s="27" t="n">
        <v>0</v>
      </c>
      <c r="AH34" s="27" t="n">
        <v>0</v>
      </c>
      <c r="AI34" s="27">
        <f>(IF(M34=0,0,(Upgrades!$G$21+M34*Upgrades!$H$21)*POWER(Upgrades!$I$21,M34)))*(IF(Upgrades!$T$13="Moving Group",POWER(Upgrades!$U$13,E34),1)*IF(Upgrades!$T$14="Moving Group",POWER(Upgrades!$U$14,F34),1)*IF(Upgrades!$T$15="Moving Group",POWER(Upgrades!$U$15,G34),1)*IF(Upgrades!$T$16="Moving Group",POWER(Upgrades!$U$16,H34),1)*IF(Upgrades!$T$17="Moving Group",POWER(Upgrades!$U$17,I34),1)*IF(Upgrades!$T$18="Moving Group",POWER(Upgrades!$U$18,J34),1)*IF(Upgrades!$T$19="Moving Group",POWER(Upgrades!$U$19,K34),1)*IF(Upgrades!$T$20="Moving Group",POWER(Upgrades!$U$20,L34),1))*POWER(Upgrades!$P$13,E34)*POWER(Upgrades!$P$14,F34)*POWER(Upgrades!$P$15,G34)*POWER(Upgrades!$P$16,H34)*POWER(Upgrades!$P$17,I34)*POWER(Upgrades!$P$18,J34)*POWER(Upgrades!$P$19,K34)*POWER(Upgrades!$P$20,L34)*POWER(Upgrades!$P$21,M34)*$F$6*60</f>
        <v/>
      </c>
      <c r="AJ34" s="27">
        <f>$C$6*60</f>
        <v/>
      </c>
      <c r="AK34" s="22">
        <f>IF(E34&gt;=Upgrades!$E$13,"",Upgrades!$C$13*POWER(Upgrades!$D$13,E34))</f>
        <v/>
      </c>
      <c r="AL34" s="22">
        <f>IF(F34&gt;=Upgrades!$E$14,"",Upgrades!$C$14*POWER(Upgrades!$D$14,F34))</f>
        <v/>
      </c>
      <c r="AM34" s="22">
        <f>IF(G34&gt;=Upgrades!$E$15,"",Upgrades!$C$15*POWER(Upgrades!$D$15,G34))</f>
        <v/>
      </c>
      <c r="AN34" s="22">
        <f>IF(H34&gt;=Upgrades!$E$16,"",Upgrades!$C$16*POWER(Upgrades!$D$16,H34))</f>
        <v/>
      </c>
      <c r="AO34" s="22">
        <f>IF(I34&gt;=Upgrades!$E$17,"",Upgrades!$C$17*POWER(Upgrades!$D$17,I34))</f>
        <v/>
      </c>
      <c r="AP34" s="22">
        <f>IF(J34&gt;=Upgrades!$E$18,"",Upgrades!$C$18*POWER(Upgrades!$D$18,J34))</f>
        <v/>
      </c>
      <c r="AQ34" s="22">
        <f>IF(K34&gt;=Upgrades!$E$19,"",Upgrades!$C$19*POWER(Upgrades!$D$19,K34))</f>
        <v/>
      </c>
      <c r="AR34" s="22">
        <f>IF(L34&gt;=Upgrades!$E$20,"",Upgrades!$C$20*POWER(Upgrades!$D$20,L34))</f>
        <v/>
      </c>
      <c r="AS34" s="22">
        <f>IF(M34&gt;=Upgrades!$E$21,"",Upgrades!$C$21*POWER(Upgrades!$D$21,M34))</f>
        <v/>
      </c>
      <c r="AT34" s="26">
        <f>IF(AND(D34&gt;=Parameters!$B$18*Parameters!$B$19,(I34&gt;=Upgrades!$E$17)*(M34&gt;=Upgrades!$E$21)=1,N34=0),1,"")</f>
        <v/>
      </c>
      <c r="AU34" s="26">
        <f>IF(AND(D34&gt;=Parameters!$B$18*Parameters!$B$19,N34=0),1,"")</f>
        <v/>
      </c>
      <c r="AV34" s="22">
        <f>MIN(IF(ISNUMBER(AP34),AP34,9E15),IF(ISNUMBER(AQ34),AQ34,9E15),IF(ISNUMBER(AR34),AR34,9E15),IF(ISNUMBER(AS34),AS34,9E15))</f>
        <v/>
      </c>
      <c r="AW34" s="22">
        <f>MIN(IF(ISNUMBER(AK34),AK34,9E15),IF(ISNUMBER(AL34),AL34,9E15),IF(ISNUMBER(AM34),AM34,9E15),IF(ISNUMBER(AN34),AN34,9E15),IF(ISNUMBER(AO34),AO34,9E15))</f>
        <v/>
      </c>
      <c r="AX34" s="29">
        <f>IF(BD34&gt;Parameters!$B$21*(MAX(IF(AND(NOT(AND(AU34=1,AT34&lt;&gt;1)),ISNUMBER(AK34),AK34&lt;=(C34+T34)),AY34,0),IF(AND(NOT(AND(AU34=1,AT34&lt;&gt;1)),ISNUMBER(AL34),AL34&lt;=(C34+T34)),AZ34,0),IF(AND(NOT(AND(AU34=1,AT34&lt;&gt;1)),ISNUMBER(AM34),AM34&lt;=(C34+T34)),BA34,0),IF(AND(NOT(AND(AU34=1,AT34&lt;&gt;1)),ISNUMBER(AN34),AN34&lt;=(C34+T34)),BB34,0),IF(AND(ISNUMBER(AO34),AO34&lt;=(C34+T34)),BC34,0))),TRUE,FALSE)</f>
        <v/>
      </c>
      <c r="AY34" s="32">
        <f>IFERROR(Upgrades!$H$13*(POWER(Upgrades!$P$13,E34)*POWER(Upgrades!$P$14,F34)*POWER(Upgrades!$P$15,G34)*POWER(Upgrades!$P$16,H34)*POWER(Upgrades!$P$17,I34)*POWER(Upgrades!$P$18,J34)*POWER(Upgrades!$P$19,K34)*POWER(Upgrades!$P$20,L34)*POWER(Upgrades!$P$21,M34))*(IF(Upgrades!$T$14="Stellar Kinematics",POWER(Upgrades!$U$14,F34),1)*IF(Upgrades!$T$15="Stellar Kinematics",POWER(Upgrades!$U$15,G34),1)*IF(Upgrades!$T$16="Stellar Kinematics",POWER(Upgrades!$U$16,H34),1)*IF(Upgrades!$T$17="Stellar Kinematics",POWER(Upgrades!$U$17,I34),1)*IF(Upgrades!$T$18="Stellar Kinematics",POWER(Upgrades!$U$18,J34),1)*IF(Upgrades!$T$19="Stellar Kinematics",POWER(Upgrades!$U$19,K34),1)*IF(Upgrades!$T$20="Stellar Kinematics",POWER(Upgrades!$U$20,L34),1)*IF(Upgrades!$T$21="Stellar Kinematics",POWER(Upgrades!$U$21,M34),1))*$F$6/AK34,0)</f>
        <v/>
      </c>
      <c r="AZ34" s="32">
        <f>IFERROR(Upgrades!$H$14*(POWER(Upgrades!$P$13,E34)*POWER(Upgrades!$P$14,F34)*POWER(Upgrades!$P$15,G34)*POWER(Upgrades!$P$16,H34)*POWER(Upgrades!$P$17,I34)*POWER(Upgrades!$P$18,J34)*POWER(Upgrades!$P$19,K34)*POWER(Upgrades!$P$20,L34)*POWER(Upgrades!$P$21,M34))*(IF(Upgrades!$T$13="Local Bubble",POWER(Upgrades!$U$13,E34),1)*IF(Upgrades!$T$15="Local Bubble",POWER(Upgrades!$U$15,G34),1)*IF(Upgrades!$T$16="Local Bubble",POWER(Upgrades!$U$16,H34),1)*IF(Upgrades!$T$17="Local Bubble",POWER(Upgrades!$U$17,I34),1)*IF(Upgrades!$T$18="Local Bubble",POWER(Upgrades!$U$18,J34),1)*IF(Upgrades!$T$19="Local Bubble",POWER(Upgrades!$U$19,K34),1)*IF(Upgrades!$T$20="Local Bubble",POWER(Upgrades!$U$20,L34),1)*IF(Upgrades!$T$21="Local Bubble",POWER(Upgrades!$U$21,M34),1))*$F$6/AL34,0)</f>
        <v/>
      </c>
      <c r="BA34" s="32">
        <f>IFERROR(Upgrades!$K$15*(POWER(Upgrades!$Q$13,E34)*POWER(Upgrades!$Q$14,F34)*POWER(Upgrades!$Q$15,G34)*POWER(Upgrades!$Q$16,H34)*POWER(Upgrades!$Q$17,I34)*POWER(Upgrades!$Q$18,J34)*POWER(Upgrades!$Q$19,K34)*POWER(Upgrades!$Q$20,L34)*POWER(Upgrades!$Q$21,M34))*(IF(Upgrades!$T$13="Microlensing",POWER(Upgrades!$U$13,E34),1)*IF(Upgrades!$T$14="Microlensing",POWER(Upgrades!$U$14,F34),1)*IF(Upgrades!$T$16="Microlensing",POWER(Upgrades!$U$16,H34),1)*IF(Upgrades!$T$17="Microlensing",POWER(Upgrades!$U$17,I34),1)*IF(Upgrades!$T$18="Microlensing",POWER(Upgrades!$U$18,J34),1)*IF(Upgrades!$T$19="Microlensing",POWER(Upgrades!$U$19,K34),1)*IF(Upgrades!$T$20="Microlensing",POWER(Upgrades!$U$20,L34),1)*IF(Upgrades!$T$21="Microlensing",POWER(Upgrades!$U$21,M34),1))*$G$6*(Parameters!$B$10/60*Parameters!$B$11+Q34)/AM34,0)</f>
        <v/>
      </c>
      <c r="BB34" s="32">
        <f>IFERROR((Upgrades!$N$16*(POWER(Upgrades!$R$13,E34)*POWER(Upgrades!$R$14,F34)*POWER(Upgrades!$R$15,G34)*POWER(Upgrades!$R$16,H34)*POWER(Upgrades!$R$17,I34)*POWER(Upgrades!$R$18,J34)*POWER(Upgrades!$R$19,K34)*POWER(Upgrades!$R$20,L34)*POWER(Upgrades!$R$21,M34))*(IF(Upgrades!$T$13="Roche Lobe Overflow",POWER(Upgrades!$U$13,E34),1)*IF(Upgrades!$T$14="Roche Lobe Overflow",POWER(Upgrades!$U$14,F34),1)*IF(Upgrades!$T$15="Roche Lobe Overflow",POWER(Upgrades!$U$15,G34),1)*IF(Upgrades!$T$17="Roche Lobe Overflow",POWER(Upgrades!$U$17,I34),1)*IF(Upgrades!$T$18="Roche Lobe Overflow",POWER(Upgrades!$U$18,J34),1)*IF(Upgrades!$T$19="Roche Lobe Overflow",POWER(Upgrades!$U$19,K34),1)*IF(Upgrades!$T$20="Roche Lobe Overflow",POWER(Upgrades!$U$20,L34),1)*IF(Upgrades!$T$21="Roche Lobe Overflow",POWER(Upgrades!$U$21,M34),1))*$H$6*O34+((IF(F34=0,0,(Upgrades!$G$14+F34*Upgrades!$H$14)*POWER(Upgrades!$I$14,F34)))*(IF(Upgrades!$T$13="Local Bubble",POWER(Upgrades!$U$13,E34),1)*IF(Upgrades!$T$15="Local Bubble",POWER(Upgrades!$U$15,G34),1)*IF(Upgrades!$T$16="Local Bubble",POWER(Upgrades!$U$16,H34),1)*IF(Upgrades!$T$17="Local Bubble",POWER(Upgrades!$U$17,I34),1)*IF(Upgrades!$T$18="Local Bubble",POWER(Upgrades!$U$18,J34),1)*IF(Upgrades!$T$19="Local Bubble",POWER(Upgrades!$U$19,K34),1)*IF(Upgrades!$T$20="Local Bubble",POWER(Upgrades!$U$20,L34),1)*IF(Upgrades!$T$21="Local Bubble",POWER(Upgrades!$U$21,M34),1))*POWER(Upgrades!$P$13,E34)*POWER(Upgrades!$P$14,F34)*POWER(Upgrades!$P$15,G34)*POWER(Upgrades!$P$16,H34)*POWER(Upgrades!$P$17,I34)*POWER(Upgrades!$P$18,J34)*POWER(Upgrades!$P$19,K34)*POWER(Upgrades!$P$20,L34)*POWER(Upgrades!$P$21,M34)*$F$6)*0.05)/AN34,0)</f>
        <v/>
      </c>
      <c r="BC34" s="32">
        <f>IFERROR((Upgrades!$H$17*(POWER(Upgrades!$P$13,E34)*POWER(Upgrades!$P$14,F34)*POWER(Upgrades!$P$15,G34)*POWER(Upgrades!$P$16,H34)*POWER(Upgrades!$P$17,I34)*POWER(Upgrades!$P$18,J34)*POWER(Upgrades!$P$19,K34)*POWER(Upgrades!$P$20,L34)*POWER(Upgrades!$P$21,M34))*(IF(Upgrades!$T$13="Brown Dwarf",POWER(Upgrades!$U$13,E34),1)*IF(Upgrades!$T$14="Brown Dwarf",POWER(Upgrades!$U$14,F34),1)*IF(Upgrades!$T$15="Brown Dwarf",POWER(Upgrades!$U$15,G34),1)*IF(Upgrades!$T$16="Brown Dwarf",POWER(Upgrades!$U$16,H34),1)*IF(Upgrades!$T$18="Brown Dwarf",POWER(Upgrades!$U$18,J34),1)*IF(Upgrades!$T$19="Brown Dwarf",POWER(Upgrades!$U$19,K34),1)*IF(Upgrades!$T$20="Brown Dwarf",POWER(Upgrades!$U$20,L34),1)*IF(Upgrades!$T$21="Brown Dwarf",POWER(Upgrades!$U$21,M34),1))*$F$6+(((IF(H34=0,0,(Upgrades!$M$16+H34*Upgrades!$N$16)*POWER(Upgrades!$O$16,H34)))*(IF(Upgrades!$T$13="Roche Lobe Overflow",POWER(Upgrades!$U$13,E34),1)*IF(Upgrades!$T$14="Roche Lobe Overflow",POWER(Upgrades!$U$14,F34),1)*IF(Upgrades!$T$15="Roche Lobe Overflow",POWER(Upgrades!$U$15,G34),1)*IF(Upgrades!$T$17="Roche Lobe Overflow",POWER(Upgrades!$U$17,I34),1)*IF(Upgrades!$T$18="Roche Lobe Overflow",POWER(Upgrades!$U$18,J34),1)*IF(Upgrades!$T$19="Roche Lobe Overflow",POWER(Upgrades!$U$19,K34),1)*IF(Upgrades!$T$20="Roche Lobe Overflow",POWER(Upgrades!$U$20,L34),1)*IF(Upgrades!$T$21="Roche Lobe Overflow",POWER(Upgrades!$U$21,M34),1))*POWER(Upgrades!$R$13,E34)*POWER(Upgrades!$R$14,F34)*POWER(Upgrades!$R$15,G34)*POWER(Upgrades!$R$16,H34)*POWER(Upgrades!$R$17,I34)*POWER(Upgrades!$R$18,J34)*POWER(Upgrades!$R$19,K34)*POWER(Upgrades!$R$20,L34)*POWER(Upgrades!$R$21,M34)*$H$6)*O34)*0.10)/AO34,0)</f>
        <v/>
      </c>
      <c r="BD34" s="32">
        <f>MAX(IF(J34&gt;0,0,IFERROR(0.5*((IF(G34=0,0,(Upgrades!$J$15+G34*Upgrades!$K$15)*POWER(Upgrades!$L$15,G34)))*(IF(Upgrades!$T$13="Microlensing",POWER(Upgrades!$U$13,E34),1)*IF(Upgrades!$T$14="Microlensing",POWER(Upgrades!$U$14,F34),1)*IF(Upgrades!$T$16="Microlensing",POWER(Upgrades!$U$16,H34),1)*IF(Upgrades!$T$17="Microlensing",POWER(Upgrades!$U$17,I34),1)*IF(Upgrades!$T$18="Microlensing",POWER(Upgrades!$U$18,J34),1)*IF(Upgrades!$T$19="Microlensing",POWER(Upgrades!$U$19,K34),1)*IF(Upgrades!$T$20="Microlensing",POWER(Upgrades!$U$20,L34),1)*IF(Upgrades!$T$21="Microlensing",POWER(Upgrades!$U$21,M34),1))*(POWER(Upgrades!$Q$13,E34)*POWER(Upgrades!$Q$14,F34)*POWER(Upgrades!$Q$15,G34)*POWER(Upgrades!$Q$16,H34)*POWER(Upgrades!$Q$17,I34)*POWER(Upgrades!$Q$18,J34)*POWER(Upgrades!$Q$19,K34)*POWER(Upgrades!$Q$20,L34)*POWER(Upgrades!$Q$21,M34))*$G$6*(Parameters!$B$10/60*Parameters!$B$11+Q34))/Upgrades!$C$18,0)),IF(K34&gt;0,0,IFERROR(0.30*P34/Upgrades!$C$19,0)),IF(L34&gt;0,0,IFERROR(0.0001/Upgrades!$C$20,0)),IF(M34&gt;0,0,IFERROR((6.0*(POWER(Upgrades!$P$13,E34)*POWER(Upgrades!$P$14,F34)*POWER(Upgrades!$P$15,G34)*POWER(Upgrades!$P$16,H34)*POWER(Upgrades!$P$17,I34)*POWER(Upgrades!$P$18,J34)*POWER(Upgrades!$P$19,K34)*POWER(Upgrades!$P$20,L34)*POWER(Upgrades!$P$21,M34))*$F$6+0.20*O34*(Parameters!$B$10/60*Parameters!$B$11+Q34))/Upgrades!$C$21,0)),IF(AND(ISNUMBER(AK34),AK34&gt;(C34+T34)),AY34,0),IF(AND(ISNUMBER(AL34),AL34&gt;(C34+T34)),AZ34,0),IF(AND(ISNUMBER(AM34),AM34&gt;(C34+T34)),BA34,0),IF(AND(ISNUMBER(AN34),AN34&gt;(C34+T34)),BB34,0),IF(AND(ISNUMBER(AO34),AO34&gt;(C34+T34)),BC34,0))</f>
        <v/>
      </c>
      <c r="BE34" s="29">
        <f>IF(AT34=1,"transition",IF(MIN(IF(AND(J34=0,ISNUMBER(AP34),AP34&lt;=(C34+T34)),AP34,9E15),IF(AND(K34=0,ISNUMBER(AQ34),AQ34&lt;=(C34+T34)),AQ34,9E15),IF(AND(L34=0,ISNUMBER(AR34),AR34&lt;=(C34+T34)),AR34,9E15),IF(AND(M34=0,ISNUMBER(AS34),AS34&lt;=(C34+T34)),AS34,9E15))&lt;9E15,IF(AND(AND(J34=0,ISNUMBER(AP34),AP34&lt;=(C34+T34)),AP34=MIN(IF(AND(J34=0,ISNUMBER(AP34),AP34&lt;=(C34+T34)),AP34,9E15),IF(AND(K34=0,ISNUMBER(AQ34),AQ34&lt;=(C34+T34)),AQ34,9E15),IF(AND(L34=0,ISNUMBER(AR34),AR34&lt;=(C34+T34)),AR34,9E15),IF(AND(M34=0,ISNUMBER(AS34),AS34&lt;=(C34+T34)),AS34,9E15))),"BiP",IF(AND(AND(K34=0,ISNUMBER(AQ34),AQ34&lt;=(C34+T34)),AQ34=MIN(IF(AND(J34=0,ISNUMBER(AP34),AP34&lt;=(C34+T34)),AP34,9E15),IF(AND(K34=0,ISNUMBER(AQ34),AQ34&lt;=(C34+T34)),AQ34,9E15),IF(AND(L34=0,ISNUMBER(AR34),AR34&lt;=(C34+T34)),AR34,9E15),IF(AND(M34=0,ISNUMBER(AS34),AS34&lt;=(C34+T34)),AS34,9E15))),"PV",IF(AND(AND(L34=0,ISNUMBER(AR34),AR34&lt;=(C34+T34)),AR34=MIN(IF(AND(J34=0,ISNUMBER(AP34),AP34&lt;=(C34+T34)),AP34,9E15),IF(AND(K34=0,ISNUMBER(AQ34),AQ34&lt;=(C34+T34)),AQ34,9E15),IF(AND(L34=0,ISNUMBER(AR34),AR34&lt;=(C34+T34)),AR34,9E15),IF(AND(M34=0,ISNUMBER(AS34),AS34&lt;=(C34+T34)),AS34,9E15))),"OC","MG"))),IF(AX34=TRUE,"",IF(MAX(IF(AND(NOT(AND(AU34=1,AT34&lt;&gt;1)),ISNUMBER(AK34),AK34&lt;=(C34+T34)),AY34,0),IF(AND(NOT(AND(AU34=1,AT34&lt;&gt;1)),ISNUMBER(AL34),AL34&lt;=(C34+T34)),AZ34,0),IF(AND(NOT(AND(AU34=1,AT34&lt;&gt;1)),ISNUMBER(AM34),AM34&lt;=(C34+T34)),BA34,0),IF(AND(NOT(AND(AU34=1,AT34&lt;&gt;1)),ISNUMBER(AN34),AN34&lt;=(C34+T34)),BB34,0),IF(AND(ISNUMBER(AO34),AO34&lt;=(C34+T34)),BC34,0))&lt;=0,"",IF(AND(IF(AND(NOT(AND(AU34=1,AT34&lt;&gt;1)),ISNUMBER(AK34),AK34&lt;=(C34+T34)),AY34,0)&gt;0,IF(AND(NOT(AND(AU34=1,AT34&lt;&gt;1)),ISNUMBER(AK34),AK34&lt;=(C34+T34)),AY34,0)=MAX(IF(AND(NOT(AND(AU34=1,AT34&lt;&gt;1)),ISNUMBER(AK34),AK34&lt;=(C34+T34)),AY34,0),IF(AND(NOT(AND(AU34=1,AT34&lt;&gt;1)),ISNUMBER(AL34),AL34&lt;=(C34+T34)),AZ34,0),IF(AND(NOT(AND(AU34=1,AT34&lt;&gt;1)),ISNUMBER(AM34),AM34&lt;=(C34+T34)),BA34,0),IF(AND(NOT(AND(AU34=1,AT34&lt;&gt;1)),ISNUMBER(AN34),AN34&lt;=(C34+T34)),BB34,0),IF(AND(ISNUMBER(AO34),AO34&lt;=(C34+T34)),BC34,0))),"SK",IF(AND(IF(AND(NOT(AND(AU34=1,AT34&lt;&gt;1)),ISNUMBER(AL34),AL34&lt;=(C34+T34)),AZ34,0)&gt;0,IF(AND(NOT(AND(AU34=1,AT34&lt;&gt;1)),ISNUMBER(AL34),AL34&lt;=(C34+T34)),AZ34,0)=MAX(IF(AND(NOT(AND(AU34=1,AT34&lt;&gt;1)),ISNUMBER(AK34),AK34&lt;=(C34+T34)),AY34,0),IF(AND(NOT(AND(AU34=1,AT34&lt;&gt;1)),ISNUMBER(AL34),AL34&lt;=(C34+T34)),AZ34,0),IF(AND(NOT(AND(AU34=1,AT34&lt;&gt;1)),ISNUMBER(AM34),AM34&lt;=(C34+T34)),BA34,0),IF(AND(NOT(AND(AU34=1,AT34&lt;&gt;1)),ISNUMBER(AN34),AN34&lt;=(C34+T34)),BB34,0),IF(AND(ISNUMBER(AO34),AO34&lt;=(C34+T34)),BC34,0))),"LB",IF(AND(IF(AND(NOT(AND(AU34=1,AT34&lt;&gt;1)),ISNUMBER(AM34),AM34&lt;=(C34+T34)),BA34,0)&gt;0,IF(AND(NOT(AND(AU34=1,AT34&lt;&gt;1)),ISNUMBER(AM34),AM34&lt;=(C34+T34)),BA34,0)=MAX(IF(AND(NOT(AND(AU34=1,AT34&lt;&gt;1)),ISNUMBER(AK34),AK34&lt;=(C34+T34)),AY34,0),IF(AND(NOT(AND(AU34=1,AT34&lt;&gt;1)),ISNUMBER(AL34),AL34&lt;=(C34+T34)),AZ34,0),IF(AND(NOT(AND(AU34=1,AT34&lt;&gt;1)),ISNUMBER(AM34),AM34&lt;=(C34+T34)),BA34,0),IF(AND(NOT(AND(AU34=1,AT34&lt;&gt;1)),ISNUMBER(AN34),AN34&lt;=(C34+T34)),BB34,0),IF(AND(ISNUMBER(AO34),AO34&lt;=(C34+T34)),BC34,0))),"ML",IF(AND(IF(AND(NOT(AND(AU34=1,AT34&lt;&gt;1)),ISNUMBER(AN34),AN34&lt;=(C34+T34)),BB34,0)&gt;0,IF(AND(NOT(AND(AU34=1,AT34&lt;&gt;1)),ISNUMBER(AN34),AN34&lt;=(C34+T34)),BB34,0)=MAX(IF(AND(NOT(AND(AU34=1,AT34&lt;&gt;1)),ISNUMBER(AK34),AK34&lt;=(C34+T34)),AY34,0),IF(AND(NOT(AND(AU34=1,AT34&lt;&gt;1)),ISNUMBER(AL34),AL34&lt;=(C34+T34)),AZ34,0),IF(AND(NOT(AND(AU34=1,AT34&lt;&gt;1)),ISNUMBER(AM34),AM34&lt;=(C34+T34)),BA34,0),IF(AND(NOT(AND(AU34=1,AT34&lt;&gt;1)),ISNUMBER(AN34),AN34&lt;=(C34+T34)),BB34,0),IF(AND(ISNUMBER(AO34),AO34&lt;=(C34+T34)),BC34,0))),"RLO","BD"))))))))</f>
        <v/>
      </c>
    </row>
    <row r="35">
      <c r="A35" s="26" t="n">
        <v>24</v>
      </c>
      <c r="B35" s="27">
        <f>A35*10/60</f>
        <v/>
      </c>
      <c r="C35" s="22">
        <f>X34</f>
        <v/>
      </c>
      <c r="D35" s="27">
        <f>D34+W34</f>
        <v/>
      </c>
      <c r="E35" s="26">
        <f>E34+IF(U34="SK",1,0)</f>
        <v/>
      </c>
      <c r="F35" s="26">
        <f>F34+IF(U34="LB",1,0)</f>
        <v/>
      </c>
      <c r="G35" s="26">
        <f>G34+IF(U34="ML",1,0)</f>
        <v/>
      </c>
      <c r="H35" s="26">
        <f>H34+IF(U34="RLO",1,0)</f>
        <v/>
      </c>
      <c r="I35" s="26">
        <f>I34+IF(U34="BD",1,0)</f>
        <v/>
      </c>
      <c r="J35" s="26">
        <f>MAX(J34,IF(U34="BiP",1,0))</f>
        <v/>
      </c>
      <c r="K35" s="26">
        <f>MAX(K34,IF(U34="PV",1,0))</f>
        <v/>
      </c>
      <c r="L35" s="26">
        <f>MAX(L34,IF(U34="OC",1,0))</f>
        <v/>
      </c>
      <c r="M35" s="26">
        <f>MAX(M34,IF(U34="MG",1,0))</f>
        <v/>
      </c>
      <c r="N35" s="26">
        <f>MAX(N34,IF(U34="transition",1,0))</f>
        <v/>
      </c>
      <c r="O35" s="28">
        <f>(Parameters!$B$9+(IF(E35=0,0,(Upgrades!$J$13+E35*Upgrades!$K$13)*POWER(Upgrades!$L$13,E35)))*(IF(Upgrades!$T$14="Stellar Kinematics",POWER(Upgrades!$U$14,F35),1)*IF(Upgrades!$T$15="Stellar Kinematics",POWER(Upgrades!$U$15,G35),1)*IF(Upgrades!$T$16="Stellar Kinematics",POWER(Upgrades!$U$16,H35),1)*IF(Upgrades!$T$17="Stellar Kinematics",POWER(Upgrades!$U$17,I35),1)*IF(Upgrades!$T$18="Stellar Kinematics",POWER(Upgrades!$U$18,J35),1)*IF(Upgrades!$T$19="Stellar Kinematics",POWER(Upgrades!$U$19,K35),1)*IF(Upgrades!$T$20="Stellar Kinematics",POWER(Upgrades!$U$20,L35),1)*IF(Upgrades!$T$21="Stellar Kinematics",POWER(Upgrades!$U$21,M35),1))+(IF(F35=0,0,(Upgrades!$J$14+F35*Upgrades!$K$14)*POWER(Upgrades!$L$14,F35)))*(IF(Upgrades!$T$13="Local Bubble",POWER(Upgrades!$U$13,E35),1)*IF(Upgrades!$T$15="Local Bubble",POWER(Upgrades!$U$15,G35),1)*IF(Upgrades!$T$16="Local Bubble",POWER(Upgrades!$U$16,H35),1)*IF(Upgrades!$T$17="Local Bubble",POWER(Upgrades!$U$17,I35),1)*IF(Upgrades!$T$18="Local Bubble",POWER(Upgrades!$U$18,J35),1)*IF(Upgrades!$T$19="Local Bubble",POWER(Upgrades!$U$19,K35),1)*IF(Upgrades!$T$20="Local Bubble",POWER(Upgrades!$U$20,L35),1)*IF(Upgrades!$T$21="Local Bubble",POWER(Upgrades!$U$21,M35),1))+(IF(G35=0,0,(Upgrades!$J$15+G35*Upgrades!$K$15)*POWER(Upgrades!$L$15,G35)))*(IF(Upgrades!$T$13="Microlensing",POWER(Upgrades!$U$13,E35),1)*IF(Upgrades!$T$14="Microlensing",POWER(Upgrades!$U$14,F35),1)*IF(Upgrades!$T$16="Microlensing",POWER(Upgrades!$U$16,H35),1)*IF(Upgrades!$T$17="Microlensing",POWER(Upgrades!$U$17,I35),1)*IF(Upgrades!$T$18="Microlensing",POWER(Upgrades!$U$18,J35),1)*IF(Upgrades!$T$19="Microlensing",POWER(Upgrades!$U$19,K35),1)*IF(Upgrades!$T$20="Microlensing",POWER(Upgrades!$U$20,L35),1)*IF(Upgrades!$T$21="Microlensing",POWER(Upgrades!$U$21,M35),1))+(IF(H35=0,0,(Upgrades!$J$16+H35*Upgrades!$K$16)*POWER(Upgrades!$L$16,H35)))*(IF(Upgrades!$T$13="Roche Lobe Overflow",POWER(Upgrades!$U$13,E35),1)*IF(Upgrades!$T$14="Roche Lobe Overflow",POWER(Upgrades!$U$14,F35),1)*IF(Upgrades!$T$15="Roche Lobe Overflow",POWER(Upgrades!$U$15,G35),1)*IF(Upgrades!$T$17="Roche Lobe Overflow",POWER(Upgrades!$U$17,I35),1)*IF(Upgrades!$T$18="Roche Lobe Overflow",POWER(Upgrades!$U$18,J35),1)*IF(Upgrades!$T$19="Roche Lobe Overflow",POWER(Upgrades!$U$19,K35),1)*IF(Upgrades!$T$20="Roche Lobe Overflow",POWER(Upgrades!$U$20,L35),1)*IF(Upgrades!$T$21="Roche Lobe Overflow",POWER(Upgrades!$U$21,M35),1))+(IF(I35=0,0,(Upgrades!$J$17+I35*Upgrades!$K$17)*POWER(Upgrades!$L$17,I35)))*(IF(Upgrades!$T$13="Brown Dwarf",POWER(Upgrades!$U$13,E35),1)*IF(Upgrades!$T$14="Brown Dwarf",POWER(Upgrades!$U$14,F35),1)*IF(Upgrades!$T$15="Brown Dwarf",POWER(Upgrades!$U$15,G35),1)*IF(Upgrades!$T$16="Brown Dwarf",POWER(Upgrades!$U$16,H35),1)*IF(Upgrades!$T$18="Brown Dwarf",POWER(Upgrades!$U$18,J35),1)*IF(Upgrades!$T$19="Brown Dwarf",POWER(Upgrades!$U$19,K35),1)*IF(Upgrades!$T$20="Brown Dwarf",POWER(Upgrades!$U$20,L35),1)*IF(Upgrades!$T$21="Brown Dwarf",POWER(Upgrades!$U$21,M35),1))+(IF(J35=0,0,(Upgrades!$J$18+J35*Upgrades!$K$18)*POWER(Upgrades!$L$18,J35)))*(IF(Upgrades!$T$13="Binary Partner",POWER(Upgrades!$U$13,E35),1)*IF(Upgrades!$T$14="Binary Partner",POWER(Upgrades!$U$14,F35),1)*IF(Upgrades!$T$15="Binary Partner",POWER(Upgrades!$U$15,G35),1)*IF(Upgrades!$T$16="Binary Partner",POWER(Upgrades!$U$16,H35),1)*IF(Upgrades!$T$17="Binary Partner",POWER(Upgrades!$U$17,I35),1)*IF(Upgrades!$T$19="Binary Partner",POWER(Upgrades!$U$19,K35),1)*IF(Upgrades!$T$20="Binary Partner",POWER(Upgrades!$U$20,L35),1)*IF(Upgrades!$T$21="Binary Partner",POWER(Upgrades!$U$21,M35),1))+(IF(K35=0,0,(Upgrades!$J$19+K35*Upgrades!$K$19)*POWER(Upgrades!$L$19,K35)))*(IF(Upgrades!$T$13="Peculiar Velocity",POWER(Upgrades!$U$13,E35),1)*IF(Upgrades!$T$14="Peculiar Velocity",POWER(Upgrades!$U$14,F35),1)*IF(Upgrades!$T$15="Peculiar Velocity",POWER(Upgrades!$U$15,G35),1)*IF(Upgrades!$T$16="Peculiar Velocity",POWER(Upgrades!$U$16,H35),1)*IF(Upgrades!$T$17="Peculiar Velocity",POWER(Upgrades!$U$17,I35),1)*IF(Upgrades!$T$18="Peculiar Velocity",POWER(Upgrades!$U$18,J35),1)*IF(Upgrades!$T$20="Peculiar Velocity",POWER(Upgrades!$U$20,L35),1)*IF(Upgrades!$T$21="Peculiar Velocity",POWER(Upgrades!$U$21,M35),1))+(IF(L35=0,0,(Upgrades!$J$20+L35*Upgrades!$K$20)*POWER(Upgrades!$L$20,L35)))*(IF(Upgrades!$T$13="Open Cluster",POWER(Upgrades!$U$13,E35),1)*IF(Upgrades!$T$14="Open Cluster",POWER(Upgrades!$U$14,F35),1)*IF(Upgrades!$T$15="Open Cluster",POWER(Upgrades!$U$15,G35),1)*IF(Upgrades!$T$16="Open Cluster",POWER(Upgrades!$U$16,H35),1)*IF(Upgrades!$T$17="Open Cluster",POWER(Upgrades!$U$17,I35),1)*IF(Upgrades!$T$18="Open Cluster",POWER(Upgrades!$U$18,J35),1)*IF(Upgrades!$T$19="Open Cluster",POWER(Upgrades!$U$19,K35),1)*IF(Upgrades!$T$21="Open Cluster",POWER(Upgrades!$U$21,M35),1))+(IF(M35=0,0,(Upgrades!$J$21+M35*Upgrades!$K$21)*POWER(Upgrades!$L$21,M35)))*(IF(Upgrades!$T$13="Moving Group",POWER(Upgrades!$U$13,E35),1)*IF(Upgrades!$T$14="Moving Group",POWER(Upgrades!$U$14,F35),1)*IF(Upgrades!$T$15="Moving Group",POWER(Upgrades!$U$15,G35),1)*IF(Upgrades!$T$16="Moving Group",POWER(Upgrades!$U$16,H35),1)*IF(Upgrades!$T$17="Moving Group",POWER(Upgrades!$U$17,I35),1)*IF(Upgrades!$T$18="Moving Group",POWER(Upgrades!$U$18,J35),1)*IF(Upgrades!$T$19="Moving Group",POWER(Upgrades!$U$19,K35),1)*IF(Upgrades!$T$20="Moving Group",POWER(Upgrades!$U$20,L35),1)))*POWER(Upgrades!$Q$13,E35)*POWER(Upgrades!$Q$14,F35)*POWER(Upgrades!$Q$15,G35)*POWER(Upgrades!$Q$16,H35)*POWER(Upgrades!$Q$17,I35)*POWER(Upgrades!$Q$18,J35)*POWER(Upgrades!$Q$19,K35)*POWER(Upgrades!$Q$20,L35)*POWER(Upgrades!$Q$21,M35)*$G$6+$D$6</f>
        <v/>
      </c>
      <c r="P35" s="28">
        <f>((IF(E35=0,0,(Upgrades!$G$13+E35*Upgrades!$H$13)*POWER(Upgrades!$I$13,E35)))*(IF(Upgrades!$T$14="Stellar Kinematics",POWER(Upgrades!$U$14,F35),1)*IF(Upgrades!$T$15="Stellar Kinematics",POWER(Upgrades!$U$15,G35),1)*IF(Upgrades!$T$16="Stellar Kinematics",POWER(Upgrades!$U$16,H35),1)*IF(Upgrades!$T$17="Stellar Kinematics",POWER(Upgrades!$U$17,I35),1)*IF(Upgrades!$T$18="Stellar Kinematics",POWER(Upgrades!$U$18,J35),1)*IF(Upgrades!$T$19="Stellar Kinematics",POWER(Upgrades!$U$19,K35),1)*IF(Upgrades!$T$20="Stellar Kinematics",POWER(Upgrades!$U$20,L35),1)*IF(Upgrades!$T$21="Stellar Kinematics",POWER(Upgrades!$U$21,M35),1))+(IF(F35=0,0,(Upgrades!$G$14+F35*Upgrades!$H$14)*POWER(Upgrades!$I$14,F35)))*(IF(Upgrades!$T$13="Local Bubble",POWER(Upgrades!$U$13,E35),1)*IF(Upgrades!$T$15="Local Bubble",POWER(Upgrades!$U$15,G35),1)*IF(Upgrades!$T$16="Local Bubble",POWER(Upgrades!$U$16,H35),1)*IF(Upgrades!$T$17="Local Bubble",POWER(Upgrades!$U$17,I35),1)*IF(Upgrades!$T$18="Local Bubble",POWER(Upgrades!$U$18,J35),1)*IF(Upgrades!$T$19="Local Bubble",POWER(Upgrades!$U$19,K35),1)*IF(Upgrades!$T$20="Local Bubble",POWER(Upgrades!$U$20,L35),1)*IF(Upgrades!$T$21="Local Bubble",POWER(Upgrades!$U$21,M35),1))+(IF(G35=0,0,(Upgrades!$G$15+G35*Upgrades!$H$15)*POWER(Upgrades!$I$15,G35)))*(IF(Upgrades!$T$13="Microlensing",POWER(Upgrades!$U$13,E35),1)*IF(Upgrades!$T$14="Microlensing",POWER(Upgrades!$U$14,F35),1)*IF(Upgrades!$T$16="Microlensing",POWER(Upgrades!$U$16,H35),1)*IF(Upgrades!$T$17="Microlensing",POWER(Upgrades!$U$17,I35),1)*IF(Upgrades!$T$18="Microlensing",POWER(Upgrades!$U$18,J35),1)*IF(Upgrades!$T$19="Microlensing",POWER(Upgrades!$U$19,K35),1)*IF(Upgrades!$T$20="Microlensing",POWER(Upgrades!$U$20,L35),1)*IF(Upgrades!$T$21="Microlensing",POWER(Upgrades!$U$21,M35),1))+(IF(H35=0,0,(Upgrades!$G$16+H35*Upgrades!$H$16)*POWER(Upgrades!$I$16,H35)))*(IF(Upgrades!$T$13="Roche Lobe Overflow",POWER(Upgrades!$U$13,E35),1)*IF(Upgrades!$T$14="Roche Lobe Overflow",POWER(Upgrades!$U$14,F35),1)*IF(Upgrades!$T$15="Roche Lobe Overflow",POWER(Upgrades!$U$15,G35),1)*IF(Upgrades!$T$17="Roche Lobe Overflow",POWER(Upgrades!$U$17,I35),1)*IF(Upgrades!$T$18="Roche Lobe Overflow",POWER(Upgrades!$U$18,J35),1)*IF(Upgrades!$T$19="Roche Lobe Overflow",POWER(Upgrades!$U$19,K35),1)*IF(Upgrades!$T$20="Roche Lobe Overflow",POWER(Upgrades!$U$20,L35),1)*IF(Upgrades!$T$21="Roche Lobe Overflow",POWER(Upgrades!$U$21,M35),1))+(IF(I35=0,0,(Upgrades!$G$17+I35*Upgrades!$H$17)*POWER(Upgrades!$I$17,I35)))*(IF(Upgrades!$T$13="Brown Dwarf",POWER(Upgrades!$U$13,E35),1)*IF(Upgrades!$T$14="Brown Dwarf",POWER(Upgrades!$U$14,F35),1)*IF(Upgrades!$T$15="Brown Dwarf",POWER(Upgrades!$U$15,G35),1)*IF(Upgrades!$T$16="Brown Dwarf",POWER(Upgrades!$U$16,H35),1)*IF(Upgrades!$T$18="Brown Dwarf",POWER(Upgrades!$U$18,J35),1)*IF(Upgrades!$T$19="Brown Dwarf",POWER(Upgrades!$U$19,K35),1)*IF(Upgrades!$T$20="Brown Dwarf",POWER(Upgrades!$U$20,L35),1)*IF(Upgrades!$T$21="Brown Dwarf",POWER(Upgrades!$U$21,M35),1))+(IF(J35=0,0,(Upgrades!$G$18+J35*Upgrades!$H$18)*POWER(Upgrades!$I$18,J35)))*(IF(Upgrades!$T$13="Binary Partner",POWER(Upgrades!$U$13,E35),1)*IF(Upgrades!$T$14="Binary Partner",POWER(Upgrades!$U$14,F35),1)*IF(Upgrades!$T$15="Binary Partner",POWER(Upgrades!$U$15,G35),1)*IF(Upgrades!$T$16="Binary Partner",POWER(Upgrades!$U$16,H35),1)*IF(Upgrades!$T$17="Binary Partner",POWER(Upgrades!$U$17,I35),1)*IF(Upgrades!$T$19="Binary Partner",POWER(Upgrades!$U$19,K35),1)*IF(Upgrades!$T$20="Binary Partner",POWER(Upgrades!$U$20,L35),1)*IF(Upgrades!$T$21="Binary Partner",POWER(Upgrades!$U$21,M35),1))+(IF(K35=0,0,(Upgrades!$G$19+K35*Upgrades!$H$19)*POWER(Upgrades!$I$19,K35)))*(IF(Upgrades!$T$13="Peculiar Velocity",POWER(Upgrades!$U$13,E35),1)*IF(Upgrades!$T$14="Peculiar Velocity",POWER(Upgrades!$U$14,F35),1)*IF(Upgrades!$T$15="Peculiar Velocity",POWER(Upgrades!$U$15,G35),1)*IF(Upgrades!$T$16="Peculiar Velocity",POWER(Upgrades!$U$16,H35),1)*IF(Upgrades!$T$17="Peculiar Velocity",POWER(Upgrades!$U$17,I35),1)*IF(Upgrades!$T$18="Peculiar Velocity",POWER(Upgrades!$U$18,J35),1)*IF(Upgrades!$T$20="Peculiar Velocity",POWER(Upgrades!$U$20,L35),1)*IF(Upgrades!$T$21="Peculiar Velocity",POWER(Upgrades!$U$21,M35),1))+(IF(L35=0,0,(Upgrades!$G$20+L35*Upgrades!$H$20)*POWER(Upgrades!$I$20,L35)))*(IF(Upgrades!$T$13="Open Cluster",POWER(Upgrades!$U$13,E35),1)*IF(Upgrades!$T$14="Open Cluster",POWER(Upgrades!$U$14,F35),1)*IF(Upgrades!$T$15="Open Cluster",POWER(Upgrades!$U$15,G35),1)*IF(Upgrades!$T$16="Open Cluster",POWER(Upgrades!$U$16,H35),1)*IF(Upgrades!$T$17="Open Cluster",POWER(Upgrades!$U$17,I35),1)*IF(Upgrades!$T$18="Open Cluster",POWER(Upgrades!$U$18,J35),1)*IF(Upgrades!$T$19="Open Cluster",POWER(Upgrades!$U$19,K35),1)*IF(Upgrades!$T$21="Open Cluster",POWER(Upgrades!$U$21,M35),1))+(IF(M35=0,0,(Upgrades!$G$21+M35*Upgrades!$H$21)*POWER(Upgrades!$I$21,M35)))*(IF(Upgrades!$T$13="Moving Group",POWER(Upgrades!$U$13,E35),1)*IF(Upgrades!$T$14="Moving Group",POWER(Upgrades!$U$14,F35),1)*IF(Upgrades!$T$15="Moving Group",POWER(Upgrades!$U$15,G35),1)*IF(Upgrades!$T$16="Moving Group",POWER(Upgrades!$U$16,H35),1)*IF(Upgrades!$T$17="Moving Group",POWER(Upgrades!$U$17,I35),1)*IF(Upgrades!$T$18="Moving Group",POWER(Upgrades!$U$18,J35),1)*IF(Upgrades!$T$19="Moving Group",POWER(Upgrades!$U$19,K35),1)*IF(Upgrades!$T$20="Moving Group",POWER(Upgrades!$U$20,L35),1)))*POWER(Upgrades!$P$13,E35)*POWER(Upgrades!$P$14,F35)*POWER(Upgrades!$P$15,G35)*POWER(Upgrades!$P$16,H35)*POWER(Upgrades!$P$17,I35)*POWER(Upgrades!$P$18,J35)*POWER(Upgrades!$P$19,K35)*POWER(Upgrades!$P$20,L35)*POWER(Upgrades!$P$21,M35)*$F$6+$C$6</f>
        <v/>
      </c>
      <c r="Q35" s="28">
        <f>((IF(E35=0,0,(Upgrades!$M$13+E35*Upgrades!$N$13)*POWER(Upgrades!$O$13,E35)))*(IF(Upgrades!$T$14="Stellar Kinematics",POWER(Upgrades!$U$14,F35),1)*IF(Upgrades!$T$15="Stellar Kinematics",POWER(Upgrades!$U$15,G35),1)*IF(Upgrades!$T$16="Stellar Kinematics",POWER(Upgrades!$U$16,H35),1)*IF(Upgrades!$T$17="Stellar Kinematics",POWER(Upgrades!$U$17,I35),1)*IF(Upgrades!$T$18="Stellar Kinematics",POWER(Upgrades!$U$18,J35),1)*IF(Upgrades!$T$19="Stellar Kinematics",POWER(Upgrades!$U$19,K35),1)*IF(Upgrades!$T$20="Stellar Kinematics",POWER(Upgrades!$U$20,L35),1)*IF(Upgrades!$T$21="Stellar Kinematics",POWER(Upgrades!$U$21,M35),1))+(IF(F35=0,0,(Upgrades!$M$14+F35*Upgrades!$N$14)*POWER(Upgrades!$O$14,F35)))*(IF(Upgrades!$T$13="Local Bubble",POWER(Upgrades!$U$13,E35),1)*IF(Upgrades!$T$15="Local Bubble",POWER(Upgrades!$U$15,G35),1)*IF(Upgrades!$T$16="Local Bubble",POWER(Upgrades!$U$16,H35),1)*IF(Upgrades!$T$17="Local Bubble",POWER(Upgrades!$U$17,I35),1)*IF(Upgrades!$T$18="Local Bubble",POWER(Upgrades!$U$18,J35),1)*IF(Upgrades!$T$19="Local Bubble",POWER(Upgrades!$U$19,K35),1)*IF(Upgrades!$T$20="Local Bubble",POWER(Upgrades!$U$20,L35),1)*IF(Upgrades!$T$21="Local Bubble",POWER(Upgrades!$U$21,M35),1))+(IF(G35=0,0,(Upgrades!$M$15+G35*Upgrades!$N$15)*POWER(Upgrades!$O$15,G35)))*(IF(Upgrades!$T$13="Microlensing",POWER(Upgrades!$U$13,E35),1)*IF(Upgrades!$T$14="Microlensing",POWER(Upgrades!$U$14,F35),1)*IF(Upgrades!$T$16="Microlensing",POWER(Upgrades!$U$16,H35),1)*IF(Upgrades!$T$17="Microlensing",POWER(Upgrades!$U$17,I35),1)*IF(Upgrades!$T$18="Microlensing",POWER(Upgrades!$U$18,J35),1)*IF(Upgrades!$T$19="Microlensing",POWER(Upgrades!$U$19,K35),1)*IF(Upgrades!$T$20="Microlensing",POWER(Upgrades!$U$20,L35),1)*IF(Upgrades!$T$21="Microlensing",POWER(Upgrades!$U$21,M35),1))+(IF(H35=0,0,(Upgrades!$M$16+H35*Upgrades!$N$16)*POWER(Upgrades!$O$16,H35)))*(IF(Upgrades!$T$13="Roche Lobe Overflow",POWER(Upgrades!$U$13,E35),1)*IF(Upgrades!$T$14="Roche Lobe Overflow",POWER(Upgrades!$U$14,F35),1)*IF(Upgrades!$T$15="Roche Lobe Overflow",POWER(Upgrades!$U$15,G35),1)*IF(Upgrades!$T$17="Roche Lobe Overflow",POWER(Upgrades!$U$17,I35),1)*IF(Upgrades!$T$18="Roche Lobe Overflow",POWER(Upgrades!$U$18,J35),1)*IF(Upgrades!$T$19="Roche Lobe Overflow",POWER(Upgrades!$U$19,K35),1)*IF(Upgrades!$T$20="Roche Lobe Overflow",POWER(Upgrades!$U$20,L35),1)*IF(Upgrades!$T$21="Roche Lobe Overflow",POWER(Upgrades!$U$21,M35),1))+(IF(I35=0,0,(Upgrades!$M$17+I35*Upgrades!$N$17)*POWER(Upgrades!$O$17,I35)))*(IF(Upgrades!$T$13="Brown Dwarf",POWER(Upgrades!$U$13,E35),1)*IF(Upgrades!$T$14="Brown Dwarf",POWER(Upgrades!$U$14,F35),1)*IF(Upgrades!$T$15="Brown Dwarf",POWER(Upgrades!$U$15,G35),1)*IF(Upgrades!$T$16="Brown Dwarf",POWER(Upgrades!$U$16,H35),1)*IF(Upgrades!$T$18="Brown Dwarf",POWER(Upgrades!$U$18,J35),1)*IF(Upgrades!$T$19="Brown Dwarf",POWER(Upgrades!$U$19,K35),1)*IF(Upgrades!$T$20="Brown Dwarf",POWER(Upgrades!$U$20,L35),1)*IF(Upgrades!$T$21="Brown Dwarf",POWER(Upgrades!$U$21,M35),1))+(IF(J35=0,0,(Upgrades!$M$18+J35*Upgrades!$N$18)*POWER(Upgrades!$O$18,J35)))*(IF(Upgrades!$T$13="Binary Partner",POWER(Upgrades!$U$13,E35),1)*IF(Upgrades!$T$14="Binary Partner",POWER(Upgrades!$U$14,F35),1)*IF(Upgrades!$T$15="Binary Partner",POWER(Upgrades!$U$15,G35),1)*IF(Upgrades!$T$16="Binary Partner",POWER(Upgrades!$U$16,H35),1)*IF(Upgrades!$T$17="Binary Partner",POWER(Upgrades!$U$17,I35),1)*IF(Upgrades!$T$19="Binary Partner",POWER(Upgrades!$U$19,K35),1)*IF(Upgrades!$T$20="Binary Partner",POWER(Upgrades!$U$20,L35),1)*IF(Upgrades!$T$21="Binary Partner",POWER(Upgrades!$U$21,M35),1))+(IF(K35=0,0,(Upgrades!$M$19+K35*Upgrades!$N$19)*POWER(Upgrades!$O$19,K35)))*(IF(Upgrades!$T$13="Peculiar Velocity",POWER(Upgrades!$U$13,E35),1)*IF(Upgrades!$T$14="Peculiar Velocity",POWER(Upgrades!$U$14,F35),1)*IF(Upgrades!$T$15="Peculiar Velocity",POWER(Upgrades!$U$15,G35),1)*IF(Upgrades!$T$16="Peculiar Velocity",POWER(Upgrades!$U$16,H35),1)*IF(Upgrades!$T$17="Peculiar Velocity",POWER(Upgrades!$U$17,I35),1)*IF(Upgrades!$T$18="Peculiar Velocity",POWER(Upgrades!$U$18,J35),1)*IF(Upgrades!$T$20="Peculiar Velocity",POWER(Upgrades!$U$20,L35),1)*IF(Upgrades!$T$21="Peculiar Velocity",POWER(Upgrades!$U$21,M35),1))+(IF(L35=0,0,(Upgrades!$M$20+L35*Upgrades!$N$20)*POWER(Upgrades!$O$20,L35)))*(IF(Upgrades!$T$13="Open Cluster",POWER(Upgrades!$U$13,E35),1)*IF(Upgrades!$T$14="Open Cluster",POWER(Upgrades!$U$14,F35),1)*IF(Upgrades!$T$15="Open Cluster",POWER(Upgrades!$U$15,G35),1)*IF(Upgrades!$T$16="Open Cluster",POWER(Upgrades!$U$16,H35),1)*IF(Upgrades!$T$17="Open Cluster",POWER(Upgrades!$U$17,I35),1)*IF(Upgrades!$T$18="Open Cluster",POWER(Upgrades!$U$18,J35),1)*IF(Upgrades!$T$19="Open Cluster",POWER(Upgrades!$U$19,K35),1)*IF(Upgrades!$T$21="Open Cluster",POWER(Upgrades!$U$21,M35),1))+(IF(M35=0,0,(Upgrades!$M$21+M35*Upgrades!$N$21)*POWER(Upgrades!$O$21,M35)))*(IF(Upgrades!$T$13="Moving Group",POWER(Upgrades!$U$13,E35),1)*IF(Upgrades!$T$14="Moving Group",POWER(Upgrades!$U$14,F35),1)*IF(Upgrades!$T$15="Moving Group",POWER(Upgrades!$U$15,G35),1)*IF(Upgrades!$T$16="Moving Group",POWER(Upgrades!$U$16,H35),1)*IF(Upgrades!$T$17="Moving Group",POWER(Upgrades!$U$17,I35),1)*IF(Upgrades!$T$18="Moving Group",POWER(Upgrades!$U$18,J35),1)*IF(Upgrades!$T$19="Moving Group",POWER(Upgrades!$U$19,K35),1)*IF(Upgrades!$T$20="Moving Group",POWER(Upgrades!$U$20,L35),1)))*POWER(Upgrades!$R$13,E35)*POWER(Upgrades!$R$14,F35)*POWER(Upgrades!$R$15,G35)*POWER(Upgrades!$R$16,H35)*POWER(Upgrades!$R$17,I35)*POWER(Upgrades!$R$18,J35)*POWER(Upgrades!$R$19,K35)*POWER(Upgrades!$R$20,L35)*POWER(Upgrades!$R$21,M35)*$H$6+$E$6</f>
        <v/>
      </c>
      <c r="R35" s="27">
        <f>IF(N35=1,0,O35*Parameters!$B$10/60*Parameters!$B$11*10)</f>
        <v/>
      </c>
      <c r="S35" s="27">
        <f>IF(N35=1,0,Q35*O35*10)</f>
        <v/>
      </c>
      <c r="T35" s="27">
        <f>IF(N35=1,0,R35+S35+P35*10)</f>
        <v/>
      </c>
      <c r="U35" s="33">
        <f>BE35</f>
        <v/>
      </c>
      <c r="V35" s="22">
        <f>IF(U35="",0,IF(U35="transition",0,IF(U35="SK",AK35,IF(U35="LB",AL35,IF(U35="ML",AM35,IF(U35="RLO",AN35,IF(U35="BD",AO35,IF(U35="BiP",AP35,IF(U35="PV",AQ35,IF(U35="OC",AR35,IF(U35="MG",AS35,0))))))))))</f>
        <v/>
      </c>
      <c r="W35" s="27">
        <f>IF(U35="BiP",Upgrades!$F$18,IF(U35="PV",Upgrades!$F$19,IF(U35="OC",Upgrades!$F$20,IF(U35="MG",Upgrades!$F$21,IF(U35="transition",-Parameters!$B$18*Parameters!$B$19,0)))))</f>
        <v/>
      </c>
      <c r="X35" s="22">
        <f>C35+T35-V35</f>
        <v/>
      </c>
      <c r="Y35" s="30">
        <f>O35*Parameters!$B$10/60*Parameters!$B$11+Q35*O35+P35</f>
        <v/>
      </c>
      <c r="Z35" s="34">
        <f>IF(U35="transition","→ Tier 3 (Galactic Arm)",IF(U35="MG","Moving Group — pocket drifts together",IF(U35="OC","Open Cluster acquired",IF(U35="PV","Peculiar Velocity — passive multiplier active",IF(U35="BiP","Binary Partner — pair bond formed",IF(AND(AU35=1,N35=0,AT35&lt;&gt;1),"Cohesion ready (waiting on completionists)","")))))) </f>
        <v/>
      </c>
      <c r="AA35" s="27">
        <f>(IF(E35=0,0,(Upgrades!$G$13+E35*Upgrades!$H$13)*POWER(Upgrades!$I$13,E35)))*(IF(Upgrades!$T$14="Stellar Kinematics",POWER(Upgrades!$U$14,F35),1)*IF(Upgrades!$T$15="Stellar Kinematics",POWER(Upgrades!$U$15,G35),1)*IF(Upgrades!$T$16="Stellar Kinematics",POWER(Upgrades!$U$16,H35),1)*IF(Upgrades!$T$17="Stellar Kinematics",POWER(Upgrades!$U$17,I35),1)*IF(Upgrades!$T$18="Stellar Kinematics",POWER(Upgrades!$U$18,J35),1)*IF(Upgrades!$T$19="Stellar Kinematics",POWER(Upgrades!$U$19,K35),1)*IF(Upgrades!$T$20="Stellar Kinematics",POWER(Upgrades!$U$20,L35),1)*IF(Upgrades!$T$21="Stellar Kinematics",POWER(Upgrades!$U$21,M35),1))*POWER(Upgrades!$P$13,E35)*POWER(Upgrades!$P$14,F35)*POWER(Upgrades!$P$15,G35)*POWER(Upgrades!$P$16,H35)*POWER(Upgrades!$P$17,I35)*POWER(Upgrades!$P$18,J35)*POWER(Upgrades!$P$19,K35)*POWER(Upgrades!$P$20,L35)*POWER(Upgrades!$P$21,M35)*$F$6*60</f>
        <v/>
      </c>
      <c r="AB35" s="27">
        <f>(IF(F35=0,0,(Upgrades!$G$14+F35*Upgrades!$H$14)*POWER(Upgrades!$I$14,F35)))*(IF(Upgrades!$T$13="Local Bubble",POWER(Upgrades!$U$13,E35),1)*IF(Upgrades!$T$15="Local Bubble",POWER(Upgrades!$U$15,G35),1)*IF(Upgrades!$T$16="Local Bubble",POWER(Upgrades!$U$16,H35),1)*IF(Upgrades!$T$17="Local Bubble",POWER(Upgrades!$U$17,I35),1)*IF(Upgrades!$T$18="Local Bubble",POWER(Upgrades!$U$18,J35),1)*IF(Upgrades!$T$19="Local Bubble",POWER(Upgrades!$U$19,K35),1)*IF(Upgrades!$T$20="Local Bubble",POWER(Upgrades!$U$20,L35),1)*IF(Upgrades!$T$21="Local Bubble",POWER(Upgrades!$U$21,M35),1))*POWER(Upgrades!$P$13,E35)*POWER(Upgrades!$P$14,F35)*POWER(Upgrades!$P$15,G35)*POWER(Upgrades!$P$16,H35)*POWER(Upgrades!$P$17,I35)*POWER(Upgrades!$P$18,J35)*POWER(Upgrades!$P$19,K35)*POWER(Upgrades!$P$20,L35)*POWER(Upgrades!$P$21,M35)*$F$6*60</f>
        <v/>
      </c>
      <c r="AC35" s="27">
        <f>(IF(G35=0,0,(Upgrades!$J$15+G35*Upgrades!$K$15)*POWER(Upgrades!$L$15,G35)))*(IF(Upgrades!$T$13="Microlensing",POWER(Upgrades!$U$13,E35),1)*IF(Upgrades!$T$14="Microlensing",POWER(Upgrades!$U$14,F35),1)*IF(Upgrades!$T$16="Microlensing",POWER(Upgrades!$U$16,H35),1)*IF(Upgrades!$T$17="Microlensing",POWER(Upgrades!$U$17,I35),1)*IF(Upgrades!$T$18="Microlensing",POWER(Upgrades!$U$18,J35),1)*IF(Upgrades!$T$19="Microlensing",POWER(Upgrades!$U$19,K35),1)*IF(Upgrades!$T$20="Microlensing",POWER(Upgrades!$U$20,L35),1)*IF(Upgrades!$T$21="Microlensing",POWER(Upgrades!$U$21,M35),1))*POWER(Upgrades!$Q$13,E35)*POWER(Upgrades!$Q$14,F35)*POWER(Upgrades!$Q$15,G35)*POWER(Upgrades!$Q$16,H35)*POWER(Upgrades!$Q$17,I35)*POWER(Upgrades!$Q$18,J35)*POWER(Upgrades!$Q$19,K35)*POWER(Upgrades!$Q$20,L35)*POWER(Upgrades!$Q$21,M35)*$G$6*(Parameters!$B$10*Parameters!$B$11+Q35*60)</f>
        <v/>
      </c>
      <c r="AD35" s="27">
        <f>(IF(H35=0,0,(Upgrades!$M$16+H35*Upgrades!$N$16)*POWER(Upgrades!$O$16,H35)))*(IF(Upgrades!$T$13="Roche Lobe Overflow",POWER(Upgrades!$U$13,E35),1)*IF(Upgrades!$T$14="Roche Lobe Overflow",POWER(Upgrades!$U$14,F35),1)*IF(Upgrades!$T$15="Roche Lobe Overflow",POWER(Upgrades!$U$15,G35),1)*IF(Upgrades!$T$17="Roche Lobe Overflow",POWER(Upgrades!$U$17,I35),1)*IF(Upgrades!$T$18="Roche Lobe Overflow",POWER(Upgrades!$U$18,J35),1)*IF(Upgrades!$T$19="Roche Lobe Overflow",POWER(Upgrades!$U$19,K35),1)*IF(Upgrades!$T$20="Roche Lobe Overflow",POWER(Upgrades!$U$20,L35),1)*IF(Upgrades!$T$21="Roche Lobe Overflow",POWER(Upgrades!$U$21,M35),1))*POWER(Upgrades!$R$13,E35)*POWER(Upgrades!$R$14,F35)*POWER(Upgrades!$R$15,G35)*POWER(Upgrades!$R$16,H35)*POWER(Upgrades!$R$17,I35)*POWER(Upgrades!$R$18,J35)*POWER(Upgrades!$R$19,K35)*POWER(Upgrades!$R$20,L35)*POWER(Upgrades!$R$21,M35)*$H$6*O35*60</f>
        <v/>
      </c>
      <c r="AE35" s="27">
        <f>(IF(I35=0,0,(Upgrades!$G$17+I35*Upgrades!$H$17)*POWER(Upgrades!$I$17,I35)))*(IF(Upgrades!$T$13="Brown Dwarf",POWER(Upgrades!$U$13,E35),1)*IF(Upgrades!$T$14="Brown Dwarf",POWER(Upgrades!$U$14,F35),1)*IF(Upgrades!$T$15="Brown Dwarf",POWER(Upgrades!$U$15,G35),1)*IF(Upgrades!$T$16="Brown Dwarf",POWER(Upgrades!$U$16,H35),1)*IF(Upgrades!$T$18="Brown Dwarf",POWER(Upgrades!$U$18,J35),1)*IF(Upgrades!$T$19="Brown Dwarf",POWER(Upgrades!$U$19,K35),1)*IF(Upgrades!$T$20="Brown Dwarf",POWER(Upgrades!$U$20,L35),1)*IF(Upgrades!$T$21="Brown Dwarf",POWER(Upgrades!$U$21,M35),1))*POWER(Upgrades!$P$13,E35)*POWER(Upgrades!$P$14,F35)*POWER(Upgrades!$P$15,G35)*POWER(Upgrades!$P$16,H35)*POWER(Upgrades!$P$17,I35)*POWER(Upgrades!$P$18,J35)*POWER(Upgrades!$P$19,K35)*POWER(Upgrades!$P$20,L35)*POWER(Upgrades!$P$21,M35)*$F$6*60</f>
        <v/>
      </c>
      <c r="AF35" s="27" t="n">
        <v>0</v>
      </c>
      <c r="AG35" s="27" t="n">
        <v>0</v>
      </c>
      <c r="AH35" s="27" t="n">
        <v>0</v>
      </c>
      <c r="AI35" s="27">
        <f>(IF(M35=0,0,(Upgrades!$G$21+M35*Upgrades!$H$21)*POWER(Upgrades!$I$21,M35)))*(IF(Upgrades!$T$13="Moving Group",POWER(Upgrades!$U$13,E35),1)*IF(Upgrades!$T$14="Moving Group",POWER(Upgrades!$U$14,F35),1)*IF(Upgrades!$T$15="Moving Group",POWER(Upgrades!$U$15,G35),1)*IF(Upgrades!$T$16="Moving Group",POWER(Upgrades!$U$16,H35),1)*IF(Upgrades!$T$17="Moving Group",POWER(Upgrades!$U$17,I35),1)*IF(Upgrades!$T$18="Moving Group",POWER(Upgrades!$U$18,J35),1)*IF(Upgrades!$T$19="Moving Group",POWER(Upgrades!$U$19,K35),1)*IF(Upgrades!$T$20="Moving Group",POWER(Upgrades!$U$20,L35),1))*POWER(Upgrades!$P$13,E35)*POWER(Upgrades!$P$14,F35)*POWER(Upgrades!$P$15,G35)*POWER(Upgrades!$P$16,H35)*POWER(Upgrades!$P$17,I35)*POWER(Upgrades!$P$18,J35)*POWER(Upgrades!$P$19,K35)*POWER(Upgrades!$P$20,L35)*POWER(Upgrades!$P$21,M35)*$F$6*60</f>
        <v/>
      </c>
      <c r="AJ35" s="27">
        <f>$C$6*60</f>
        <v/>
      </c>
      <c r="AK35" s="22">
        <f>IF(E35&gt;=Upgrades!$E$13,"",Upgrades!$C$13*POWER(Upgrades!$D$13,E35))</f>
        <v/>
      </c>
      <c r="AL35" s="22">
        <f>IF(F35&gt;=Upgrades!$E$14,"",Upgrades!$C$14*POWER(Upgrades!$D$14,F35))</f>
        <v/>
      </c>
      <c r="AM35" s="22">
        <f>IF(G35&gt;=Upgrades!$E$15,"",Upgrades!$C$15*POWER(Upgrades!$D$15,G35))</f>
        <v/>
      </c>
      <c r="AN35" s="22">
        <f>IF(H35&gt;=Upgrades!$E$16,"",Upgrades!$C$16*POWER(Upgrades!$D$16,H35))</f>
        <v/>
      </c>
      <c r="AO35" s="22">
        <f>IF(I35&gt;=Upgrades!$E$17,"",Upgrades!$C$17*POWER(Upgrades!$D$17,I35))</f>
        <v/>
      </c>
      <c r="AP35" s="22">
        <f>IF(J35&gt;=Upgrades!$E$18,"",Upgrades!$C$18*POWER(Upgrades!$D$18,J35))</f>
        <v/>
      </c>
      <c r="AQ35" s="22">
        <f>IF(K35&gt;=Upgrades!$E$19,"",Upgrades!$C$19*POWER(Upgrades!$D$19,K35))</f>
        <v/>
      </c>
      <c r="AR35" s="22">
        <f>IF(L35&gt;=Upgrades!$E$20,"",Upgrades!$C$20*POWER(Upgrades!$D$20,L35))</f>
        <v/>
      </c>
      <c r="AS35" s="22">
        <f>IF(M35&gt;=Upgrades!$E$21,"",Upgrades!$C$21*POWER(Upgrades!$D$21,M35))</f>
        <v/>
      </c>
      <c r="AT35" s="26">
        <f>IF(AND(D35&gt;=Parameters!$B$18*Parameters!$B$19,(I35&gt;=Upgrades!$E$17)*(M35&gt;=Upgrades!$E$21)=1,N35=0),1,"")</f>
        <v/>
      </c>
      <c r="AU35" s="26">
        <f>IF(AND(D35&gt;=Parameters!$B$18*Parameters!$B$19,N35=0),1,"")</f>
        <v/>
      </c>
      <c r="AV35" s="22">
        <f>MIN(IF(ISNUMBER(AP35),AP35,9E15),IF(ISNUMBER(AQ35),AQ35,9E15),IF(ISNUMBER(AR35),AR35,9E15),IF(ISNUMBER(AS35),AS35,9E15))</f>
        <v/>
      </c>
      <c r="AW35" s="22">
        <f>MIN(IF(ISNUMBER(AK35),AK35,9E15),IF(ISNUMBER(AL35),AL35,9E15),IF(ISNUMBER(AM35),AM35,9E15),IF(ISNUMBER(AN35),AN35,9E15),IF(ISNUMBER(AO35),AO35,9E15))</f>
        <v/>
      </c>
      <c r="AX35" s="29">
        <f>IF(BD35&gt;Parameters!$B$21*(MAX(IF(AND(NOT(AND(AU35=1,AT35&lt;&gt;1)),ISNUMBER(AK35),AK35&lt;=(C35+T35)),AY35,0),IF(AND(NOT(AND(AU35=1,AT35&lt;&gt;1)),ISNUMBER(AL35),AL35&lt;=(C35+T35)),AZ35,0),IF(AND(NOT(AND(AU35=1,AT35&lt;&gt;1)),ISNUMBER(AM35),AM35&lt;=(C35+T35)),BA35,0),IF(AND(NOT(AND(AU35=1,AT35&lt;&gt;1)),ISNUMBER(AN35),AN35&lt;=(C35+T35)),BB35,0),IF(AND(ISNUMBER(AO35),AO35&lt;=(C35+T35)),BC35,0))),TRUE,FALSE)</f>
        <v/>
      </c>
      <c r="AY35" s="32">
        <f>IFERROR(Upgrades!$H$13*(POWER(Upgrades!$P$13,E35)*POWER(Upgrades!$P$14,F35)*POWER(Upgrades!$P$15,G35)*POWER(Upgrades!$P$16,H35)*POWER(Upgrades!$P$17,I35)*POWER(Upgrades!$P$18,J35)*POWER(Upgrades!$P$19,K35)*POWER(Upgrades!$P$20,L35)*POWER(Upgrades!$P$21,M35))*(IF(Upgrades!$T$14="Stellar Kinematics",POWER(Upgrades!$U$14,F35),1)*IF(Upgrades!$T$15="Stellar Kinematics",POWER(Upgrades!$U$15,G35),1)*IF(Upgrades!$T$16="Stellar Kinematics",POWER(Upgrades!$U$16,H35),1)*IF(Upgrades!$T$17="Stellar Kinematics",POWER(Upgrades!$U$17,I35),1)*IF(Upgrades!$T$18="Stellar Kinematics",POWER(Upgrades!$U$18,J35),1)*IF(Upgrades!$T$19="Stellar Kinematics",POWER(Upgrades!$U$19,K35),1)*IF(Upgrades!$T$20="Stellar Kinematics",POWER(Upgrades!$U$20,L35),1)*IF(Upgrades!$T$21="Stellar Kinematics",POWER(Upgrades!$U$21,M35),1))*$F$6/AK35,0)</f>
        <v/>
      </c>
      <c r="AZ35" s="32">
        <f>IFERROR(Upgrades!$H$14*(POWER(Upgrades!$P$13,E35)*POWER(Upgrades!$P$14,F35)*POWER(Upgrades!$P$15,G35)*POWER(Upgrades!$P$16,H35)*POWER(Upgrades!$P$17,I35)*POWER(Upgrades!$P$18,J35)*POWER(Upgrades!$P$19,K35)*POWER(Upgrades!$P$20,L35)*POWER(Upgrades!$P$21,M35))*(IF(Upgrades!$T$13="Local Bubble",POWER(Upgrades!$U$13,E35),1)*IF(Upgrades!$T$15="Local Bubble",POWER(Upgrades!$U$15,G35),1)*IF(Upgrades!$T$16="Local Bubble",POWER(Upgrades!$U$16,H35),1)*IF(Upgrades!$T$17="Local Bubble",POWER(Upgrades!$U$17,I35),1)*IF(Upgrades!$T$18="Local Bubble",POWER(Upgrades!$U$18,J35),1)*IF(Upgrades!$T$19="Local Bubble",POWER(Upgrades!$U$19,K35),1)*IF(Upgrades!$T$20="Local Bubble",POWER(Upgrades!$U$20,L35),1)*IF(Upgrades!$T$21="Local Bubble",POWER(Upgrades!$U$21,M35),1))*$F$6/AL35,0)</f>
        <v/>
      </c>
      <c r="BA35" s="32">
        <f>IFERROR(Upgrades!$K$15*(POWER(Upgrades!$Q$13,E35)*POWER(Upgrades!$Q$14,F35)*POWER(Upgrades!$Q$15,G35)*POWER(Upgrades!$Q$16,H35)*POWER(Upgrades!$Q$17,I35)*POWER(Upgrades!$Q$18,J35)*POWER(Upgrades!$Q$19,K35)*POWER(Upgrades!$Q$20,L35)*POWER(Upgrades!$Q$21,M35))*(IF(Upgrades!$T$13="Microlensing",POWER(Upgrades!$U$13,E35),1)*IF(Upgrades!$T$14="Microlensing",POWER(Upgrades!$U$14,F35),1)*IF(Upgrades!$T$16="Microlensing",POWER(Upgrades!$U$16,H35),1)*IF(Upgrades!$T$17="Microlensing",POWER(Upgrades!$U$17,I35),1)*IF(Upgrades!$T$18="Microlensing",POWER(Upgrades!$U$18,J35),1)*IF(Upgrades!$T$19="Microlensing",POWER(Upgrades!$U$19,K35),1)*IF(Upgrades!$T$20="Microlensing",POWER(Upgrades!$U$20,L35),1)*IF(Upgrades!$T$21="Microlensing",POWER(Upgrades!$U$21,M35),1))*$G$6*(Parameters!$B$10/60*Parameters!$B$11+Q35)/AM35,0)</f>
        <v/>
      </c>
      <c r="BB35" s="32">
        <f>IFERROR((Upgrades!$N$16*(POWER(Upgrades!$R$13,E35)*POWER(Upgrades!$R$14,F35)*POWER(Upgrades!$R$15,G35)*POWER(Upgrades!$R$16,H35)*POWER(Upgrades!$R$17,I35)*POWER(Upgrades!$R$18,J35)*POWER(Upgrades!$R$19,K35)*POWER(Upgrades!$R$20,L35)*POWER(Upgrades!$R$21,M35))*(IF(Upgrades!$T$13="Roche Lobe Overflow",POWER(Upgrades!$U$13,E35),1)*IF(Upgrades!$T$14="Roche Lobe Overflow",POWER(Upgrades!$U$14,F35),1)*IF(Upgrades!$T$15="Roche Lobe Overflow",POWER(Upgrades!$U$15,G35),1)*IF(Upgrades!$T$17="Roche Lobe Overflow",POWER(Upgrades!$U$17,I35),1)*IF(Upgrades!$T$18="Roche Lobe Overflow",POWER(Upgrades!$U$18,J35),1)*IF(Upgrades!$T$19="Roche Lobe Overflow",POWER(Upgrades!$U$19,K35),1)*IF(Upgrades!$T$20="Roche Lobe Overflow",POWER(Upgrades!$U$20,L35),1)*IF(Upgrades!$T$21="Roche Lobe Overflow",POWER(Upgrades!$U$21,M35),1))*$H$6*O35+((IF(F35=0,0,(Upgrades!$G$14+F35*Upgrades!$H$14)*POWER(Upgrades!$I$14,F35)))*(IF(Upgrades!$T$13="Local Bubble",POWER(Upgrades!$U$13,E35),1)*IF(Upgrades!$T$15="Local Bubble",POWER(Upgrades!$U$15,G35),1)*IF(Upgrades!$T$16="Local Bubble",POWER(Upgrades!$U$16,H35),1)*IF(Upgrades!$T$17="Local Bubble",POWER(Upgrades!$U$17,I35),1)*IF(Upgrades!$T$18="Local Bubble",POWER(Upgrades!$U$18,J35),1)*IF(Upgrades!$T$19="Local Bubble",POWER(Upgrades!$U$19,K35),1)*IF(Upgrades!$T$20="Local Bubble",POWER(Upgrades!$U$20,L35),1)*IF(Upgrades!$T$21="Local Bubble",POWER(Upgrades!$U$21,M35),1))*POWER(Upgrades!$P$13,E35)*POWER(Upgrades!$P$14,F35)*POWER(Upgrades!$P$15,G35)*POWER(Upgrades!$P$16,H35)*POWER(Upgrades!$P$17,I35)*POWER(Upgrades!$P$18,J35)*POWER(Upgrades!$P$19,K35)*POWER(Upgrades!$P$20,L35)*POWER(Upgrades!$P$21,M35)*$F$6)*0.05)/AN35,0)</f>
        <v/>
      </c>
      <c r="BC35" s="32">
        <f>IFERROR((Upgrades!$H$17*(POWER(Upgrades!$P$13,E35)*POWER(Upgrades!$P$14,F35)*POWER(Upgrades!$P$15,G35)*POWER(Upgrades!$P$16,H35)*POWER(Upgrades!$P$17,I35)*POWER(Upgrades!$P$18,J35)*POWER(Upgrades!$P$19,K35)*POWER(Upgrades!$P$20,L35)*POWER(Upgrades!$P$21,M35))*(IF(Upgrades!$T$13="Brown Dwarf",POWER(Upgrades!$U$13,E35),1)*IF(Upgrades!$T$14="Brown Dwarf",POWER(Upgrades!$U$14,F35),1)*IF(Upgrades!$T$15="Brown Dwarf",POWER(Upgrades!$U$15,G35),1)*IF(Upgrades!$T$16="Brown Dwarf",POWER(Upgrades!$U$16,H35),1)*IF(Upgrades!$T$18="Brown Dwarf",POWER(Upgrades!$U$18,J35),1)*IF(Upgrades!$T$19="Brown Dwarf",POWER(Upgrades!$U$19,K35),1)*IF(Upgrades!$T$20="Brown Dwarf",POWER(Upgrades!$U$20,L35),1)*IF(Upgrades!$T$21="Brown Dwarf",POWER(Upgrades!$U$21,M35),1))*$F$6+(((IF(H35=0,0,(Upgrades!$M$16+H35*Upgrades!$N$16)*POWER(Upgrades!$O$16,H35)))*(IF(Upgrades!$T$13="Roche Lobe Overflow",POWER(Upgrades!$U$13,E35),1)*IF(Upgrades!$T$14="Roche Lobe Overflow",POWER(Upgrades!$U$14,F35),1)*IF(Upgrades!$T$15="Roche Lobe Overflow",POWER(Upgrades!$U$15,G35),1)*IF(Upgrades!$T$17="Roche Lobe Overflow",POWER(Upgrades!$U$17,I35),1)*IF(Upgrades!$T$18="Roche Lobe Overflow",POWER(Upgrades!$U$18,J35),1)*IF(Upgrades!$T$19="Roche Lobe Overflow",POWER(Upgrades!$U$19,K35),1)*IF(Upgrades!$T$20="Roche Lobe Overflow",POWER(Upgrades!$U$20,L35),1)*IF(Upgrades!$T$21="Roche Lobe Overflow",POWER(Upgrades!$U$21,M35),1))*POWER(Upgrades!$R$13,E35)*POWER(Upgrades!$R$14,F35)*POWER(Upgrades!$R$15,G35)*POWER(Upgrades!$R$16,H35)*POWER(Upgrades!$R$17,I35)*POWER(Upgrades!$R$18,J35)*POWER(Upgrades!$R$19,K35)*POWER(Upgrades!$R$20,L35)*POWER(Upgrades!$R$21,M35)*$H$6)*O35)*0.10)/AO35,0)</f>
        <v/>
      </c>
      <c r="BD35" s="32">
        <f>MAX(IF(J35&gt;0,0,IFERROR(0.5*((IF(G35=0,0,(Upgrades!$J$15+G35*Upgrades!$K$15)*POWER(Upgrades!$L$15,G35)))*(IF(Upgrades!$T$13="Microlensing",POWER(Upgrades!$U$13,E35),1)*IF(Upgrades!$T$14="Microlensing",POWER(Upgrades!$U$14,F35),1)*IF(Upgrades!$T$16="Microlensing",POWER(Upgrades!$U$16,H35),1)*IF(Upgrades!$T$17="Microlensing",POWER(Upgrades!$U$17,I35),1)*IF(Upgrades!$T$18="Microlensing",POWER(Upgrades!$U$18,J35),1)*IF(Upgrades!$T$19="Microlensing",POWER(Upgrades!$U$19,K35),1)*IF(Upgrades!$T$20="Microlensing",POWER(Upgrades!$U$20,L35),1)*IF(Upgrades!$T$21="Microlensing",POWER(Upgrades!$U$21,M35),1))*(POWER(Upgrades!$Q$13,E35)*POWER(Upgrades!$Q$14,F35)*POWER(Upgrades!$Q$15,G35)*POWER(Upgrades!$Q$16,H35)*POWER(Upgrades!$Q$17,I35)*POWER(Upgrades!$Q$18,J35)*POWER(Upgrades!$Q$19,K35)*POWER(Upgrades!$Q$20,L35)*POWER(Upgrades!$Q$21,M35))*$G$6*(Parameters!$B$10/60*Parameters!$B$11+Q35))/Upgrades!$C$18,0)),IF(K35&gt;0,0,IFERROR(0.30*P35/Upgrades!$C$19,0)),IF(L35&gt;0,0,IFERROR(0.0001/Upgrades!$C$20,0)),IF(M35&gt;0,0,IFERROR((6.0*(POWER(Upgrades!$P$13,E35)*POWER(Upgrades!$P$14,F35)*POWER(Upgrades!$P$15,G35)*POWER(Upgrades!$P$16,H35)*POWER(Upgrades!$P$17,I35)*POWER(Upgrades!$P$18,J35)*POWER(Upgrades!$P$19,K35)*POWER(Upgrades!$P$20,L35)*POWER(Upgrades!$P$21,M35))*$F$6+0.20*O35*(Parameters!$B$10/60*Parameters!$B$11+Q35))/Upgrades!$C$21,0)),IF(AND(ISNUMBER(AK35),AK35&gt;(C35+T35)),AY35,0),IF(AND(ISNUMBER(AL35),AL35&gt;(C35+T35)),AZ35,0),IF(AND(ISNUMBER(AM35),AM35&gt;(C35+T35)),BA35,0),IF(AND(ISNUMBER(AN35),AN35&gt;(C35+T35)),BB35,0),IF(AND(ISNUMBER(AO35),AO35&gt;(C35+T35)),BC35,0))</f>
        <v/>
      </c>
      <c r="BE35" s="29">
        <f>IF(AT35=1,"transition",IF(MIN(IF(AND(J35=0,ISNUMBER(AP35),AP35&lt;=(C35+T35)),AP35,9E15),IF(AND(K35=0,ISNUMBER(AQ35),AQ35&lt;=(C35+T35)),AQ35,9E15),IF(AND(L35=0,ISNUMBER(AR35),AR35&lt;=(C35+T35)),AR35,9E15),IF(AND(M35=0,ISNUMBER(AS35),AS35&lt;=(C35+T35)),AS35,9E15))&lt;9E15,IF(AND(AND(J35=0,ISNUMBER(AP35),AP35&lt;=(C35+T35)),AP35=MIN(IF(AND(J35=0,ISNUMBER(AP35),AP35&lt;=(C35+T35)),AP35,9E15),IF(AND(K35=0,ISNUMBER(AQ35),AQ35&lt;=(C35+T35)),AQ35,9E15),IF(AND(L35=0,ISNUMBER(AR35),AR35&lt;=(C35+T35)),AR35,9E15),IF(AND(M35=0,ISNUMBER(AS35),AS35&lt;=(C35+T35)),AS35,9E15))),"BiP",IF(AND(AND(K35=0,ISNUMBER(AQ35),AQ35&lt;=(C35+T35)),AQ35=MIN(IF(AND(J35=0,ISNUMBER(AP35),AP35&lt;=(C35+T35)),AP35,9E15),IF(AND(K35=0,ISNUMBER(AQ35),AQ35&lt;=(C35+T35)),AQ35,9E15),IF(AND(L35=0,ISNUMBER(AR35),AR35&lt;=(C35+T35)),AR35,9E15),IF(AND(M35=0,ISNUMBER(AS35),AS35&lt;=(C35+T35)),AS35,9E15))),"PV",IF(AND(AND(L35=0,ISNUMBER(AR35),AR35&lt;=(C35+T35)),AR35=MIN(IF(AND(J35=0,ISNUMBER(AP35),AP35&lt;=(C35+T35)),AP35,9E15),IF(AND(K35=0,ISNUMBER(AQ35),AQ35&lt;=(C35+T35)),AQ35,9E15),IF(AND(L35=0,ISNUMBER(AR35),AR35&lt;=(C35+T35)),AR35,9E15),IF(AND(M35=0,ISNUMBER(AS35),AS35&lt;=(C35+T35)),AS35,9E15))),"OC","MG"))),IF(AX35=TRUE,"",IF(MAX(IF(AND(NOT(AND(AU35=1,AT35&lt;&gt;1)),ISNUMBER(AK35),AK35&lt;=(C35+T35)),AY35,0),IF(AND(NOT(AND(AU35=1,AT35&lt;&gt;1)),ISNUMBER(AL35),AL35&lt;=(C35+T35)),AZ35,0),IF(AND(NOT(AND(AU35=1,AT35&lt;&gt;1)),ISNUMBER(AM35),AM35&lt;=(C35+T35)),BA35,0),IF(AND(NOT(AND(AU35=1,AT35&lt;&gt;1)),ISNUMBER(AN35),AN35&lt;=(C35+T35)),BB35,0),IF(AND(ISNUMBER(AO35),AO35&lt;=(C35+T35)),BC35,0))&lt;=0,"",IF(AND(IF(AND(NOT(AND(AU35=1,AT35&lt;&gt;1)),ISNUMBER(AK35),AK35&lt;=(C35+T35)),AY35,0)&gt;0,IF(AND(NOT(AND(AU35=1,AT35&lt;&gt;1)),ISNUMBER(AK35),AK35&lt;=(C35+T35)),AY35,0)=MAX(IF(AND(NOT(AND(AU35=1,AT35&lt;&gt;1)),ISNUMBER(AK35),AK35&lt;=(C35+T35)),AY35,0),IF(AND(NOT(AND(AU35=1,AT35&lt;&gt;1)),ISNUMBER(AL35),AL35&lt;=(C35+T35)),AZ35,0),IF(AND(NOT(AND(AU35=1,AT35&lt;&gt;1)),ISNUMBER(AM35),AM35&lt;=(C35+T35)),BA35,0),IF(AND(NOT(AND(AU35=1,AT35&lt;&gt;1)),ISNUMBER(AN35),AN35&lt;=(C35+T35)),BB35,0),IF(AND(ISNUMBER(AO35),AO35&lt;=(C35+T35)),BC35,0))),"SK",IF(AND(IF(AND(NOT(AND(AU35=1,AT35&lt;&gt;1)),ISNUMBER(AL35),AL35&lt;=(C35+T35)),AZ35,0)&gt;0,IF(AND(NOT(AND(AU35=1,AT35&lt;&gt;1)),ISNUMBER(AL35),AL35&lt;=(C35+T35)),AZ35,0)=MAX(IF(AND(NOT(AND(AU35=1,AT35&lt;&gt;1)),ISNUMBER(AK35),AK35&lt;=(C35+T35)),AY35,0),IF(AND(NOT(AND(AU35=1,AT35&lt;&gt;1)),ISNUMBER(AL35),AL35&lt;=(C35+T35)),AZ35,0),IF(AND(NOT(AND(AU35=1,AT35&lt;&gt;1)),ISNUMBER(AM35),AM35&lt;=(C35+T35)),BA35,0),IF(AND(NOT(AND(AU35=1,AT35&lt;&gt;1)),ISNUMBER(AN35),AN35&lt;=(C35+T35)),BB35,0),IF(AND(ISNUMBER(AO35),AO35&lt;=(C35+T35)),BC35,0))),"LB",IF(AND(IF(AND(NOT(AND(AU35=1,AT35&lt;&gt;1)),ISNUMBER(AM35),AM35&lt;=(C35+T35)),BA35,0)&gt;0,IF(AND(NOT(AND(AU35=1,AT35&lt;&gt;1)),ISNUMBER(AM35),AM35&lt;=(C35+T35)),BA35,0)=MAX(IF(AND(NOT(AND(AU35=1,AT35&lt;&gt;1)),ISNUMBER(AK35),AK35&lt;=(C35+T35)),AY35,0),IF(AND(NOT(AND(AU35=1,AT35&lt;&gt;1)),ISNUMBER(AL35),AL35&lt;=(C35+T35)),AZ35,0),IF(AND(NOT(AND(AU35=1,AT35&lt;&gt;1)),ISNUMBER(AM35),AM35&lt;=(C35+T35)),BA35,0),IF(AND(NOT(AND(AU35=1,AT35&lt;&gt;1)),ISNUMBER(AN35),AN35&lt;=(C35+T35)),BB35,0),IF(AND(ISNUMBER(AO35),AO35&lt;=(C35+T35)),BC35,0))),"ML",IF(AND(IF(AND(NOT(AND(AU35=1,AT35&lt;&gt;1)),ISNUMBER(AN35),AN35&lt;=(C35+T35)),BB35,0)&gt;0,IF(AND(NOT(AND(AU35=1,AT35&lt;&gt;1)),ISNUMBER(AN35),AN35&lt;=(C35+T35)),BB35,0)=MAX(IF(AND(NOT(AND(AU35=1,AT35&lt;&gt;1)),ISNUMBER(AK35),AK35&lt;=(C35+T35)),AY35,0),IF(AND(NOT(AND(AU35=1,AT35&lt;&gt;1)),ISNUMBER(AL35),AL35&lt;=(C35+T35)),AZ35,0),IF(AND(NOT(AND(AU35=1,AT35&lt;&gt;1)),ISNUMBER(AM35),AM35&lt;=(C35+T35)),BA35,0),IF(AND(NOT(AND(AU35=1,AT35&lt;&gt;1)),ISNUMBER(AN35),AN35&lt;=(C35+T35)),BB35,0),IF(AND(ISNUMBER(AO35),AO35&lt;=(C35+T35)),BC35,0))),"RLO","BD"))))))))</f>
        <v/>
      </c>
    </row>
    <row r="36">
      <c r="A36" s="26" t="n">
        <v>25</v>
      </c>
      <c r="B36" s="27">
        <f>A36*10/60</f>
        <v/>
      </c>
      <c r="C36" s="22">
        <f>X35</f>
        <v/>
      </c>
      <c r="D36" s="27">
        <f>D35+W35</f>
        <v/>
      </c>
      <c r="E36" s="26">
        <f>E35+IF(U35="SK",1,0)</f>
        <v/>
      </c>
      <c r="F36" s="26">
        <f>F35+IF(U35="LB",1,0)</f>
        <v/>
      </c>
      <c r="G36" s="26">
        <f>G35+IF(U35="ML",1,0)</f>
        <v/>
      </c>
      <c r="H36" s="26">
        <f>H35+IF(U35="RLO",1,0)</f>
        <v/>
      </c>
      <c r="I36" s="26">
        <f>I35+IF(U35="BD",1,0)</f>
        <v/>
      </c>
      <c r="J36" s="26">
        <f>MAX(J35,IF(U35="BiP",1,0))</f>
        <v/>
      </c>
      <c r="K36" s="26">
        <f>MAX(K35,IF(U35="PV",1,0))</f>
        <v/>
      </c>
      <c r="L36" s="26">
        <f>MAX(L35,IF(U35="OC",1,0))</f>
        <v/>
      </c>
      <c r="M36" s="26">
        <f>MAX(M35,IF(U35="MG",1,0))</f>
        <v/>
      </c>
      <c r="N36" s="26">
        <f>MAX(N35,IF(U35="transition",1,0))</f>
        <v/>
      </c>
      <c r="O36" s="28">
        <f>(Parameters!$B$9+(IF(E36=0,0,(Upgrades!$J$13+E36*Upgrades!$K$13)*POWER(Upgrades!$L$13,E36)))*(IF(Upgrades!$T$14="Stellar Kinematics",POWER(Upgrades!$U$14,F36),1)*IF(Upgrades!$T$15="Stellar Kinematics",POWER(Upgrades!$U$15,G36),1)*IF(Upgrades!$T$16="Stellar Kinematics",POWER(Upgrades!$U$16,H36),1)*IF(Upgrades!$T$17="Stellar Kinematics",POWER(Upgrades!$U$17,I36),1)*IF(Upgrades!$T$18="Stellar Kinematics",POWER(Upgrades!$U$18,J36),1)*IF(Upgrades!$T$19="Stellar Kinematics",POWER(Upgrades!$U$19,K36),1)*IF(Upgrades!$T$20="Stellar Kinematics",POWER(Upgrades!$U$20,L36),1)*IF(Upgrades!$T$21="Stellar Kinematics",POWER(Upgrades!$U$21,M36),1))+(IF(F36=0,0,(Upgrades!$J$14+F36*Upgrades!$K$14)*POWER(Upgrades!$L$14,F36)))*(IF(Upgrades!$T$13="Local Bubble",POWER(Upgrades!$U$13,E36),1)*IF(Upgrades!$T$15="Local Bubble",POWER(Upgrades!$U$15,G36),1)*IF(Upgrades!$T$16="Local Bubble",POWER(Upgrades!$U$16,H36),1)*IF(Upgrades!$T$17="Local Bubble",POWER(Upgrades!$U$17,I36),1)*IF(Upgrades!$T$18="Local Bubble",POWER(Upgrades!$U$18,J36),1)*IF(Upgrades!$T$19="Local Bubble",POWER(Upgrades!$U$19,K36),1)*IF(Upgrades!$T$20="Local Bubble",POWER(Upgrades!$U$20,L36),1)*IF(Upgrades!$T$21="Local Bubble",POWER(Upgrades!$U$21,M36),1))+(IF(G36=0,0,(Upgrades!$J$15+G36*Upgrades!$K$15)*POWER(Upgrades!$L$15,G36)))*(IF(Upgrades!$T$13="Microlensing",POWER(Upgrades!$U$13,E36),1)*IF(Upgrades!$T$14="Microlensing",POWER(Upgrades!$U$14,F36),1)*IF(Upgrades!$T$16="Microlensing",POWER(Upgrades!$U$16,H36),1)*IF(Upgrades!$T$17="Microlensing",POWER(Upgrades!$U$17,I36),1)*IF(Upgrades!$T$18="Microlensing",POWER(Upgrades!$U$18,J36),1)*IF(Upgrades!$T$19="Microlensing",POWER(Upgrades!$U$19,K36),1)*IF(Upgrades!$T$20="Microlensing",POWER(Upgrades!$U$20,L36),1)*IF(Upgrades!$T$21="Microlensing",POWER(Upgrades!$U$21,M36),1))+(IF(H36=0,0,(Upgrades!$J$16+H36*Upgrades!$K$16)*POWER(Upgrades!$L$16,H36)))*(IF(Upgrades!$T$13="Roche Lobe Overflow",POWER(Upgrades!$U$13,E36),1)*IF(Upgrades!$T$14="Roche Lobe Overflow",POWER(Upgrades!$U$14,F36),1)*IF(Upgrades!$T$15="Roche Lobe Overflow",POWER(Upgrades!$U$15,G36),1)*IF(Upgrades!$T$17="Roche Lobe Overflow",POWER(Upgrades!$U$17,I36),1)*IF(Upgrades!$T$18="Roche Lobe Overflow",POWER(Upgrades!$U$18,J36),1)*IF(Upgrades!$T$19="Roche Lobe Overflow",POWER(Upgrades!$U$19,K36),1)*IF(Upgrades!$T$20="Roche Lobe Overflow",POWER(Upgrades!$U$20,L36),1)*IF(Upgrades!$T$21="Roche Lobe Overflow",POWER(Upgrades!$U$21,M36),1))+(IF(I36=0,0,(Upgrades!$J$17+I36*Upgrades!$K$17)*POWER(Upgrades!$L$17,I36)))*(IF(Upgrades!$T$13="Brown Dwarf",POWER(Upgrades!$U$13,E36),1)*IF(Upgrades!$T$14="Brown Dwarf",POWER(Upgrades!$U$14,F36),1)*IF(Upgrades!$T$15="Brown Dwarf",POWER(Upgrades!$U$15,G36),1)*IF(Upgrades!$T$16="Brown Dwarf",POWER(Upgrades!$U$16,H36),1)*IF(Upgrades!$T$18="Brown Dwarf",POWER(Upgrades!$U$18,J36),1)*IF(Upgrades!$T$19="Brown Dwarf",POWER(Upgrades!$U$19,K36),1)*IF(Upgrades!$T$20="Brown Dwarf",POWER(Upgrades!$U$20,L36),1)*IF(Upgrades!$T$21="Brown Dwarf",POWER(Upgrades!$U$21,M36),1))+(IF(J36=0,0,(Upgrades!$J$18+J36*Upgrades!$K$18)*POWER(Upgrades!$L$18,J36)))*(IF(Upgrades!$T$13="Binary Partner",POWER(Upgrades!$U$13,E36),1)*IF(Upgrades!$T$14="Binary Partner",POWER(Upgrades!$U$14,F36),1)*IF(Upgrades!$T$15="Binary Partner",POWER(Upgrades!$U$15,G36),1)*IF(Upgrades!$T$16="Binary Partner",POWER(Upgrades!$U$16,H36),1)*IF(Upgrades!$T$17="Binary Partner",POWER(Upgrades!$U$17,I36),1)*IF(Upgrades!$T$19="Binary Partner",POWER(Upgrades!$U$19,K36),1)*IF(Upgrades!$T$20="Binary Partner",POWER(Upgrades!$U$20,L36),1)*IF(Upgrades!$T$21="Binary Partner",POWER(Upgrades!$U$21,M36),1))+(IF(K36=0,0,(Upgrades!$J$19+K36*Upgrades!$K$19)*POWER(Upgrades!$L$19,K36)))*(IF(Upgrades!$T$13="Peculiar Velocity",POWER(Upgrades!$U$13,E36),1)*IF(Upgrades!$T$14="Peculiar Velocity",POWER(Upgrades!$U$14,F36),1)*IF(Upgrades!$T$15="Peculiar Velocity",POWER(Upgrades!$U$15,G36),1)*IF(Upgrades!$T$16="Peculiar Velocity",POWER(Upgrades!$U$16,H36),1)*IF(Upgrades!$T$17="Peculiar Velocity",POWER(Upgrades!$U$17,I36),1)*IF(Upgrades!$T$18="Peculiar Velocity",POWER(Upgrades!$U$18,J36),1)*IF(Upgrades!$T$20="Peculiar Velocity",POWER(Upgrades!$U$20,L36),1)*IF(Upgrades!$T$21="Peculiar Velocity",POWER(Upgrades!$U$21,M36),1))+(IF(L36=0,0,(Upgrades!$J$20+L36*Upgrades!$K$20)*POWER(Upgrades!$L$20,L36)))*(IF(Upgrades!$T$13="Open Cluster",POWER(Upgrades!$U$13,E36),1)*IF(Upgrades!$T$14="Open Cluster",POWER(Upgrades!$U$14,F36),1)*IF(Upgrades!$T$15="Open Cluster",POWER(Upgrades!$U$15,G36),1)*IF(Upgrades!$T$16="Open Cluster",POWER(Upgrades!$U$16,H36),1)*IF(Upgrades!$T$17="Open Cluster",POWER(Upgrades!$U$17,I36),1)*IF(Upgrades!$T$18="Open Cluster",POWER(Upgrades!$U$18,J36),1)*IF(Upgrades!$T$19="Open Cluster",POWER(Upgrades!$U$19,K36),1)*IF(Upgrades!$T$21="Open Cluster",POWER(Upgrades!$U$21,M36),1))+(IF(M36=0,0,(Upgrades!$J$21+M36*Upgrades!$K$21)*POWER(Upgrades!$L$21,M36)))*(IF(Upgrades!$T$13="Moving Group",POWER(Upgrades!$U$13,E36),1)*IF(Upgrades!$T$14="Moving Group",POWER(Upgrades!$U$14,F36),1)*IF(Upgrades!$T$15="Moving Group",POWER(Upgrades!$U$15,G36),1)*IF(Upgrades!$T$16="Moving Group",POWER(Upgrades!$U$16,H36),1)*IF(Upgrades!$T$17="Moving Group",POWER(Upgrades!$U$17,I36),1)*IF(Upgrades!$T$18="Moving Group",POWER(Upgrades!$U$18,J36),1)*IF(Upgrades!$T$19="Moving Group",POWER(Upgrades!$U$19,K36),1)*IF(Upgrades!$T$20="Moving Group",POWER(Upgrades!$U$20,L36),1)))*POWER(Upgrades!$Q$13,E36)*POWER(Upgrades!$Q$14,F36)*POWER(Upgrades!$Q$15,G36)*POWER(Upgrades!$Q$16,H36)*POWER(Upgrades!$Q$17,I36)*POWER(Upgrades!$Q$18,J36)*POWER(Upgrades!$Q$19,K36)*POWER(Upgrades!$Q$20,L36)*POWER(Upgrades!$Q$21,M36)*$G$6+$D$6</f>
        <v/>
      </c>
      <c r="P36" s="28">
        <f>((IF(E36=0,0,(Upgrades!$G$13+E36*Upgrades!$H$13)*POWER(Upgrades!$I$13,E36)))*(IF(Upgrades!$T$14="Stellar Kinematics",POWER(Upgrades!$U$14,F36),1)*IF(Upgrades!$T$15="Stellar Kinematics",POWER(Upgrades!$U$15,G36),1)*IF(Upgrades!$T$16="Stellar Kinematics",POWER(Upgrades!$U$16,H36),1)*IF(Upgrades!$T$17="Stellar Kinematics",POWER(Upgrades!$U$17,I36),1)*IF(Upgrades!$T$18="Stellar Kinematics",POWER(Upgrades!$U$18,J36),1)*IF(Upgrades!$T$19="Stellar Kinematics",POWER(Upgrades!$U$19,K36),1)*IF(Upgrades!$T$20="Stellar Kinematics",POWER(Upgrades!$U$20,L36),1)*IF(Upgrades!$T$21="Stellar Kinematics",POWER(Upgrades!$U$21,M36),1))+(IF(F36=0,0,(Upgrades!$G$14+F36*Upgrades!$H$14)*POWER(Upgrades!$I$14,F36)))*(IF(Upgrades!$T$13="Local Bubble",POWER(Upgrades!$U$13,E36),1)*IF(Upgrades!$T$15="Local Bubble",POWER(Upgrades!$U$15,G36),1)*IF(Upgrades!$T$16="Local Bubble",POWER(Upgrades!$U$16,H36),1)*IF(Upgrades!$T$17="Local Bubble",POWER(Upgrades!$U$17,I36),1)*IF(Upgrades!$T$18="Local Bubble",POWER(Upgrades!$U$18,J36),1)*IF(Upgrades!$T$19="Local Bubble",POWER(Upgrades!$U$19,K36),1)*IF(Upgrades!$T$20="Local Bubble",POWER(Upgrades!$U$20,L36),1)*IF(Upgrades!$T$21="Local Bubble",POWER(Upgrades!$U$21,M36),1))+(IF(G36=0,0,(Upgrades!$G$15+G36*Upgrades!$H$15)*POWER(Upgrades!$I$15,G36)))*(IF(Upgrades!$T$13="Microlensing",POWER(Upgrades!$U$13,E36),1)*IF(Upgrades!$T$14="Microlensing",POWER(Upgrades!$U$14,F36),1)*IF(Upgrades!$T$16="Microlensing",POWER(Upgrades!$U$16,H36),1)*IF(Upgrades!$T$17="Microlensing",POWER(Upgrades!$U$17,I36),1)*IF(Upgrades!$T$18="Microlensing",POWER(Upgrades!$U$18,J36),1)*IF(Upgrades!$T$19="Microlensing",POWER(Upgrades!$U$19,K36),1)*IF(Upgrades!$T$20="Microlensing",POWER(Upgrades!$U$20,L36),1)*IF(Upgrades!$T$21="Microlensing",POWER(Upgrades!$U$21,M36),1))+(IF(H36=0,0,(Upgrades!$G$16+H36*Upgrades!$H$16)*POWER(Upgrades!$I$16,H36)))*(IF(Upgrades!$T$13="Roche Lobe Overflow",POWER(Upgrades!$U$13,E36),1)*IF(Upgrades!$T$14="Roche Lobe Overflow",POWER(Upgrades!$U$14,F36),1)*IF(Upgrades!$T$15="Roche Lobe Overflow",POWER(Upgrades!$U$15,G36),1)*IF(Upgrades!$T$17="Roche Lobe Overflow",POWER(Upgrades!$U$17,I36),1)*IF(Upgrades!$T$18="Roche Lobe Overflow",POWER(Upgrades!$U$18,J36),1)*IF(Upgrades!$T$19="Roche Lobe Overflow",POWER(Upgrades!$U$19,K36),1)*IF(Upgrades!$T$20="Roche Lobe Overflow",POWER(Upgrades!$U$20,L36),1)*IF(Upgrades!$T$21="Roche Lobe Overflow",POWER(Upgrades!$U$21,M36),1))+(IF(I36=0,0,(Upgrades!$G$17+I36*Upgrades!$H$17)*POWER(Upgrades!$I$17,I36)))*(IF(Upgrades!$T$13="Brown Dwarf",POWER(Upgrades!$U$13,E36),1)*IF(Upgrades!$T$14="Brown Dwarf",POWER(Upgrades!$U$14,F36),1)*IF(Upgrades!$T$15="Brown Dwarf",POWER(Upgrades!$U$15,G36),1)*IF(Upgrades!$T$16="Brown Dwarf",POWER(Upgrades!$U$16,H36),1)*IF(Upgrades!$T$18="Brown Dwarf",POWER(Upgrades!$U$18,J36),1)*IF(Upgrades!$T$19="Brown Dwarf",POWER(Upgrades!$U$19,K36),1)*IF(Upgrades!$T$20="Brown Dwarf",POWER(Upgrades!$U$20,L36),1)*IF(Upgrades!$T$21="Brown Dwarf",POWER(Upgrades!$U$21,M36),1))+(IF(J36=0,0,(Upgrades!$G$18+J36*Upgrades!$H$18)*POWER(Upgrades!$I$18,J36)))*(IF(Upgrades!$T$13="Binary Partner",POWER(Upgrades!$U$13,E36),1)*IF(Upgrades!$T$14="Binary Partner",POWER(Upgrades!$U$14,F36),1)*IF(Upgrades!$T$15="Binary Partner",POWER(Upgrades!$U$15,G36),1)*IF(Upgrades!$T$16="Binary Partner",POWER(Upgrades!$U$16,H36),1)*IF(Upgrades!$T$17="Binary Partner",POWER(Upgrades!$U$17,I36),1)*IF(Upgrades!$T$19="Binary Partner",POWER(Upgrades!$U$19,K36),1)*IF(Upgrades!$T$20="Binary Partner",POWER(Upgrades!$U$20,L36),1)*IF(Upgrades!$T$21="Binary Partner",POWER(Upgrades!$U$21,M36),1))+(IF(K36=0,0,(Upgrades!$G$19+K36*Upgrades!$H$19)*POWER(Upgrades!$I$19,K36)))*(IF(Upgrades!$T$13="Peculiar Velocity",POWER(Upgrades!$U$13,E36),1)*IF(Upgrades!$T$14="Peculiar Velocity",POWER(Upgrades!$U$14,F36),1)*IF(Upgrades!$T$15="Peculiar Velocity",POWER(Upgrades!$U$15,G36),1)*IF(Upgrades!$T$16="Peculiar Velocity",POWER(Upgrades!$U$16,H36),1)*IF(Upgrades!$T$17="Peculiar Velocity",POWER(Upgrades!$U$17,I36),1)*IF(Upgrades!$T$18="Peculiar Velocity",POWER(Upgrades!$U$18,J36),1)*IF(Upgrades!$T$20="Peculiar Velocity",POWER(Upgrades!$U$20,L36),1)*IF(Upgrades!$T$21="Peculiar Velocity",POWER(Upgrades!$U$21,M36),1))+(IF(L36=0,0,(Upgrades!$G$20+L36*Upgrades!$H$20)*POWER(Upgrades!$I$20,L36)))*(IF(Upgrades!$T$13="Open Cluster",POWER(Upgrades!$U$13,E36),1)*IF(Upgrades!$T$14="Open Cluster",POWER(Upgrades!$U$14,F36),1)*IF(Upgrades!$T$15="Open Cluster",POWER(Upgrades!$U$15,G36),1)*IF(Upgrades!$T$16="Open Cluster",POWER(Upgrades!$U$16,H36),1)*IF(Upgrades!$T$17="Open Cluster",POWER(Upgrades!$U$17,I36),1)*IF(Upgrades!$T$18="Open Cluster",POWER(Upgrades!$U$18,J36),1)*IF(Upgrades!$T$19="Open Cluster",POWER(Upgrades!$U$19,K36),1)*IF(Upgrades!$T$21="Open Cluster",POWER(Upgrades!$U$21,M36),1))+(IF(M36=0,0,(Upgrades!$G$21+M36*Upgrades!$H$21)*POWER(Upgrades!$I$21,M36)))*(IF(Upgrades!$T$13="Moving Group",POWER(Upgrades!$U$13,E36),1)*IF(Upgrades!$T$14="Moving Group",POWER(Upgrades!$U$14,F36),1)*IF(Upgrades!$T$15="Moving Group",POWER(Upgrades!$U$15,G36),1)*IF(Upgrades!$T$16="Moving Group",POWER(Upgrades!$U$16,H36),1)*IF(Upgrades!$T$17="Moving Group",POWER(Upgrades!$U$17,I36),1)*IF(Upgrades!$T$18="Moving Group",POWER(Upgrades!$U$18,J36),1)*IF(Upgrades!$T$19="Moving Group",POWER(Upgrades!$U$19,K36),1)*IF(Upgrades!$T$20="Moving Group",POWER(Upgrades!$U$20,L36),1)))*POWER(Upgrades!$P$13,E36)*POWER(Upgrades!$P$14,F36)*POWER(Upgrades!$P$15,G36)*POWER(Upgrades!$P$16,H36)*POWER(Upgrades!$P$17,I36)*POWER(Upgrades!$P$18,J36)*POWER(Upgrades!$P$19,K36)*POWER(Upgrades!$P$20,L36)*POWER(Upgrades!$P$21,M36)*$F$6+$C$6</f>
        <v/>
      </c>
      <c r="Q36" s="28">
        <f>((IF(E36=0,0,(Upgrades!$M$13+E36*Upgrades!$N$13)*POWER(Upgrades!$O$13,E36)))*(IF(Upgrades!$T$14="Stellar Kinematics",POWER(Upgrades!$U$14,F36),1)*IF(Upgrades!$T$15="Stellar Kinematics",POWER(Upgrades!$U$15,G36),1)*IF(Upgrades!$T$16="Stellar Kinematics",POWER(Upgrades!$U$16,H36),1)*IF(Upgrades!$T$17="Stellar Kinematics",POWER(Upgrades!$U$17,I36),1)*IF(Upgrades!$T$18="Stellar Kinematics",POWER(Upgrades!$U$18,J36),1)*IF(Upgrades!$T$19="Stellar Kinematics",POWER(Upgrades!$U$19,K36),1)*IF(Upgrades!$T$20="Stellar Kinematics",POWER(Upgrades!$U$20,L36),1)*IF(Upgrades!$T$21="Stellar Kinematics",POWER(Upgrades!$U$21,M36),1))+(IF(F36=0,0,(Upgrades!$M$14+F36*Upgrades!$N$14)*POWER(Upgrades!$O$14,F36)))*(IF(Upgrades!$T$13="Local Bubble",POWER(Upgrades!$U$13,E36),1)*IF(Upgrades!$T$15="Local Bubble",POWER(Upgrades!$U$15,G36),1)*IF(Upgrades!$T$16="Local Bubble",POWER(Upgrades!$U$16,H36),1)*IF(Upgrades!$T$17="Local Bubble",POWER(Upgrades!$U$17,I36),1)*IF(Upgrades!$T$18="Local Bubble",POWER(Upgrades!$U$18,J36),1)*IF(Upgrades!$T$19="Local Bubble",POWER(Upgrades!$U$19,K36),1)*IF(Upgrades!$T$20="Local Bubble",POWER(Upgrades!$U$20,L36),1)*IF(Upgrades!$T$21="Local Bubble",POWER(Upgrades!$U$21,M36),1))+(IF(G36=0,0,(Upgrades!$M$15+G36*Upgrades!$N$15)*POWER(Upgrades!$O$15,G36)))*(IF(Upgrades!$T$13="Microlensing",POWER(Upgrades!$U$13,E36),1)*IF(Upgrades!$T$14="Microlensing",POWER(Upgrades!$U$14,F36),1)*IF(Upgrades!$T$16="Microlensing",POWER(Upgrades!$U$16,H36),1)*IF(Upgrades!$T$17="Microlensing",POWER(Upgrades!$U$17,I36),1)*IF(Upgrades!$T$18="Microlensing",POWER(Upgrades!$U$18,J36),1)*IF(Upgrades!$T$19="Microlensing",POWER(Upgrades!$U$19,K36),1)*IF(Upgrades!$T$20="Microlensing",POWER(Upgrades!$U$20,L36),1)*IF(Upgrades!$T$21="Microlensing",POWER(Upgrades!$U$21,M36),1))+(IF(H36=0,0,(Upgrades!$M$16+H36*Upgrades!$N$16)*POWER(Upgrades!$O$16,H36)))*(IF(Upgrades!$T$13="Roche Lobe Overflow",POWER(Upgrades!$U$13,E36),1)*IF(Upgrades!$T$14="Roche Lobe Overflow",POWER(Upgrades!$U$14,F36),1)*IF(Upgrades!$T$15="Roche Lobe Overflow",POWER(Upgrades!$U$15,G36),1)*IF(Upgrades!$T$17="Roche Lobe Overflow",POWER(Upgrades!$U$17,I36),1)*IF(Upgrades!$T$18="Roche Lobe Overflow",POWER(Upgrades!$U$18,J36),1)*IF(Upgrades!$T$19="Roche Lobe Overflow",POWER(Upgrades!$U$19,K36),1)*IF(Upgrades!$T$20="Roche Lobe Overflow",POWER(Upgrades!$U$20,L36),1)*IF(Upgrades!$T$21="Roche Lobe Overflow",POWER(Upgrades!$U$21,M36),1))+(IF(I36=0,0,(Upgrades!$M$17+I36*Upgrades!$N$17)*POWER(Upgrades!$O$17,I36)))*(IF(Upgrades!$T$13="Brown Dwarf",POWER(Upgrades!$U$13,E36),1)*IF(Upgrades!$T$14="Brown Dwarf",POWER(Upgrades!$U$14,F36),1)*IF(Upgrades!$T$15="Brown Dwarf",POWER(Upgrades!$U$15,G36),1)*IF(Upgrades!$T$16="Brown Dwarf",POWER(Upgrades!$U$16,H36),1)*IF(Upgrades!$T$18="Brown Dwarf",POWER(Upgrades!$U$18,J36),1)*IF(Upgrades!$T$19="Brown Dwarf",POWER(Upgrades!$U$19,K36),1)*IF(Upgrades!$T$20="Brown Dwarf",POWER(Upgrades!$U$20,L36),1)*IF(Upgrades!$T$21="Brown Dwarf",POWER(Upgrades!$U$21,M36),1))+(IF(J36=0,0,(Upgrades!$M$18+J36*Upgrades!$N$18)*POWER(Upgrades!$O$18,J36)))*(IF(Upgrades!$T$13="Binary Partner",POWER(Upgrades!$U$13,E36),1)*IF(Upgrades!$T$14="Binary Partner",POWER(Upgrades!$U$14,F36),1)*IF(Upgrades!$T$15="Binary Partner",POWER(Upgrades!$U$15,G36),1)*IF(Upgrades!$T$16="Binary Partner",POWER(Upgrades!$U$16,H36),1)*IF(Upgrades!$T$17="Binary Partner",POWER(Upgrades!$U$17,I36),1)*IF(Upgrades!$T$19="Binary Partner",POWER(Upgrades!$U$19,K36),1)*IF(Upgrades!$T$20="Binary Partner",POWER(Upgrades!$U$20,L36),1)*IF(Upgrades!$T$21="Binary Partner",POWER(Upgrades!$U$21,M36),1))+(IF(K36=0,0,(Upgrades!$M$19+K36*Upgrades!$N$19)*POWER(Upgrades!$O$19,K36)))*(IF(Upgrades!$T$13="Peculiar Velocity",POWER(Upgrades!$U$13,E36),1)*IF(Upgrades!$T$14="Peculiar Velocity",POWER(Upgrades!$U$14,F36),1)*IF(Upgrades!$T$15="Peculiar Velocity",POWER(Upgrades!$U$15,G36),1)*IF(Upgrades!$T$16="Peculiar Velocity",POWER(Upgrades!$U$16,H36),1)*IF(Upgrades!$T$17="Peculiar Velocity",POWER(Upgrades!$U$17,I36),1)*IF(Upgrades!$T$18="Peculiar Velocity",POWER(Upgrades!$U$18,J36),1)*IF(Upgrades!$T$20="Peculiar Velocity",POWER(Upgrades!$U$20,L36),1)*IF(Upgrades!$T$21="Peculiar Velocity",POWER(Upgrades!$U$21,M36),1))+(IF(L36=0,0,(Upgrades!$M$20+L36*Upgrades!$N$20)*POWER(Upgrades!$O$20,L36)))*(IF(Upgrades!$T$13="Open Cluster",POWER(Upgrades!$U$13,E36),1)*IF(Upgrades!$T$14="Open Cluster",POWER(Upgrades!$U$14,F36),1)*IF(Upgrades!$T$15="Open Cluster",POWER(Upgrades!$U$15,G36),1)*IF(Upgrades!$T$16="Open Cluster",POWER(Upgrades!$U$16,H36),1)*IF(Upgrades!$T$17="Open Cluster",POWER(Upgrades!$U$17,I36),1)*IF(Upgrades!$T$18="Open Cluster",POWER(Upgrades!$U$18,J36),1)*IF(Upgrades!$T$19="Open Cluster",POWER(Upgrades!$U$19,K36),1)*IF(Upgrades!$T$21="Open Cluster",POWER(Upgrades!$U$21,M36),1))+(IF(M36=0,0,(Upgrades!$M$21+M36*Upgrades!$N$21)*POWER(Upgrades!$O$21,M36)))*(IF(Upgrades!$T$13="Moving Group",POWER(Upgrades!$U$13,E36),1)*IF(Upgrades!$T$14="Moving Group",POWER(Upgrades!$U$14,F36),1)*IF(Upgrades!$T$15="Moving Group",POWER(Upgrades!$U$15,G36),1)*IF(Upgrades!$T$16="Moving Group",POWER(Upgrades!$U$16,H36),1)*IF(Upgrades!$T$17="Moving Group",POWER(Upgrades!$U$17,I36),1)*IF(Upgrades!$T$18="Moving Group",POWER(Upgrades!$U$18,J36),1)*IF(Upgrades!$T$19="Moving Group",POWER(Upgrades!$U$19,K36),1)*IF(Upgrades!$T$20="Moving Group",POWER(Upgrades!$U$20,L36),1)))*POWER(Upgrades!$R$13,E36)*POWER(Upgrades!$R$14,F36)*POWER(Upgrades!$R$15,G36)*POWER(Upgrades!$R$16,H36)*POWER(Upgrades!$R$17,I36)*POWER(Upgrades!$R$18,J36)*POWER(Upgrades!$R$19,K36)*POWER(Upgrades!$R$20,L36)*POWER(Upgrades!$R$21,M36)*$H$6+$E$6</f>
        <v/>
      </c>
      <c r="R36" s="27">
        <f>IF(N36=1,0,O36*Parameters!$B$10/60*Parameters!$B$11*10)</f>
        <v/>
      </c>
      <c r="S36" s="27">
        <f>IF(N36=1,0,Q36*O36*10)</f>
        <v/>
      </c>
      <c r="T36" s="27">
        <f>IF(N36=1,0,R36+S36+P36*10)</f>
        <v/>
      </c>
      <c r="U36" s="33">
        <f>BE36</f>
        <v/>
      </c>
      <c r="V36" s="22">
        <f>IF(U36="",0,IF(U36="transition",0,IF(U36="SK",AK36,IF(U36="LB",AL36,IF(U36="ML",AM36,IF(U36="RLO",AN36,IF(U36="BD",AO36,IF(U36="BiP",AP36,IF(U36="PV",AQ36,IF(U36="OC",AR36,IF(U36="MG",AS36,0))))))))))</f>
        <v/>
      </c>
      <c r="W36" s="27">
        <f>IF(U36="BiP",Upgrades!$F$18,IF(U36="PV",Upgrades!$F$19,IF(U36="OC",Upgrades!$F$20,IF(U36="MG",Upgrades!$F$21,IF(U36="transition",-Parameters!$B$18*Parameters!$B$19,0)))))</f>
        <v/>
      </c>
      <c r="X36" s="22">
        <f>C36+T36-V36</f>
        <v/>
      </c>
      <c r="Y36" s="30">
        <f>O36*Parameters!$B$10/60*Parameters!$B$11+Q36*O36+P36</f>
        <v/>
      </c>
      <c r="Z36" s="34">
        <f>IF(U36="transition","→ Tier 3 (Galactic Arm)",IF(U36="MG","Moving Group — pocket drifts together",IF(U36="OC","Open Cluster acquired",IF(U36="PV","Peculiar Velocity — passive multiplier active",IF(U36="BiP","Binary Partner — pair bond formed",IF(AND(AU36=1,N36=0,AT36&lt;&gt;1),"Cohesion ready (waiting on completionists)","")))))) </f>
        <v/>
      </c>
      <c r="AA36" s="27">
        <f>(IF(E36=0,0,(Upgrades!$G$13+E36*Upgrades!$H$13)*POWER(Upgrades!$I$13,E36)))*(IF(Upgrades!$T$14="Stellar Kinematics",POWER(Upgrades!$U$14,F36),1)*IF(Upgrades!$T$15="Stellar Kinematics",POWER(Upgrades!$U$15,G36),1)*IF(Upgrades!$T$16="Stellar Kinematics",POWER(Upgrades!$U$16,H36),1)*IF(Upgrades!$T$17="Stellar Kinematics",POWER(Upgrades!$U$17,I36),1)*IF(Upgrades!$T$18="Stellar Kinematics",POWER(Upgrades!$U$18,J36),1)*IF(Upgrades!$T$19="Stellar Kinematics",POWER(Upgrades!$U$19,K36),1)*IF(Upgrades!$T$20="Stellar Kinematics",POWER(Upgrades!$U$20,L36),1)*IF(Upgrades!$T$21="Stellar Kinematics",POWER(Upgrades!$U$21,M36),1))*POWER(Upgrades!$P$13,E36)*POWER(Upgrades!$P$14,F36)*POWER(Upgrades!$P$15,G36)*POWER(Upgrades!$P$16,H36)*POWER(Upgrades!$P$17,I36)*POWER(Upgrades!$P$18,J36)*POWER(Upgrades!$P$19,K36)*POWER(Upgrades!$P$20,L36)*POWER(Upgrades!$P$21,M36)*$F$6*60</f>
        <v/>
      </c>
      <c r="AB36" s="27">
        <f>(IF(F36=0,0,(Upgrades!$G$14+F36*Upgrades!$H$14)*POWER(Upgrades!$I$14,F36)))*(IF(Upgrades!$T$13="Local Bubble",POWER(Upgrades!$U$13,E36),1)*IF(Upgrades!$T$15="Local Bubble",POWER(Upgrades!$U$15,G36),1)*IF(Upgrades!$T$16="Local Bubble",POWER(Upgrades!$U$16,H36),1)*IF(Upgrades!$T$17="Local Bubble",POWER(Upgrades!$U$17,I36),1)*IF(Upgrades!$T$18="Local Bubble",POWER(Upgrades!$U$18,J36),1)*IF(Upgrades!$T$19="Local Bubble",POWER(Upgrades!$U$19,K36),1)*IF(Upgrades!$T$20="Local Bubble",POWER(Upgrades!$U$20,L36),1)*IF(Upgrades!$T$21="Local Bubble",POWER(Upgrades!$U$21,M36),1))*POWER(Upgrades!$P$13,E36)*POWER(Upgrades!$P$14,F36)*POWER(Upgrades!$P$15,G36)*POWER(Upgrades!$P$16,H36)*POWER(Upgrades!$P$17,I36)*POWER(Upgrades!$P$18,J36)*POWER(Upgrades!$P$19,K36)*POWER(Upgrades!$P$20,L36)*POWER(Upgrades!$P$21,M36)*$F$6*60</f>
        <v/>
      </c>
      <c r="AC36" s="27">
        <f>(IF(G36=0,0,(Upgrades!$J$15+G36*Upgrades!$K$15)*POWER(Upgrades!$L$15,G36)))*(IF(Upgrades!$T$13="Microlensing",POWER(Upgrades!$U$13,E36),1)*IF(Upgrades!$T$14="Microlensing",POWER(Upgrades!$U$14,F36),1)*IF(Upgrades!$T$16="Microlensing",POWER(Upgrades!$U$16,H36),1)*IF(Upgrades!$T$17="Microlensing",POWER(Upgrades!$U$17,I36),1)*IF(Upgrades!$T$18="Microlensing",POWER(Upgrades!$U$18,J36),1)*IF(Upgrades!$T$19="Microlensing",POWER(Upgrades!$U$19,K36),1)*IF(Upgrades!$T$20="Microlensing",POWER(Upgrades!$U$20,L36),1)*IF(Upgrades!$T$21="Microlensing",POWER(Upgrades!$U$21,M36),1))*POWER(Upgrades!$Q$13,E36)*POWER(Upgrades!$Q$14,F36)*POWER(Upgrades!$Q$15,G36)*POWER(Upgrades!$Q$16,H36)*POWER(Upgrades!$Q$17,I36)*POWER(Upgrades!$Q$18,J36)*POWER(Upgrades!$Q$19,K36)*POWER(Upgrades!$Q$20,L36)*POWER(Upgrades!$Q$21,M36)*$G$6*(Parameters!$B$10*Parameters!$B$11+Q36*60)</f>
        <v/>
      </c>
      <c r="AD36" s="27">
        <f>(IF(H36=0,0,(Upgrades!$M$16+H36*Upgrades!$N$16)*POWER(Upgrades!$O$16,H36)))*(IF(Upgrades!$T$13="Roche Lobe Overflow",POWER(Upgrades!$U$13,E36),1)*IF(Upgrades!$T$14="Roche Lobe Overflow",POWER(Upgrades!$U$14,F36),1)*IF(Upgrades!$T$15="Roche Lobe Overflow",POWER(Upgrades!$U$15,G36),1)*IF(Upgrades!$T$17="Roche Lobe Overflow",POWER(Upgrades!$U$17,I36),1)*IF(Upgrades!$T$18="Roche Lobe Overflow",POWER(Upgrades!$U$18,J36),1)*IF(Upgrades!$T$19="Roche Lobe Overflow",POWER(Upgrades!$U$19,K36),1)*IF(Upgrades!$T$20="Roche Lobe Overflow",POWER(Upgrades!$U$20,L36),1)*IF(Upgrades!$T$21="Roche Lobe Overflow",POWER(Upgrades!$U$21,M36),1))*POWER(Upgrades!$R$13,E36)*POWER(Upgrades!$R$14,F36)*POWER(Upgrades!$R$15,G36)*POWER(Upgrades!$R$16,H36)*POWER(Upgrades!$R$17,I36)*POWER(Upgrades!$R$18,J36)*POWER(Upgrades!$R$19,K36)*POWER(Upgrades!$R$20,L36)*POWER(Upgrades!$R$21,M36)*$H$6*O36*60</f>
        <v/>
      </c>
      <c r="AE36" s="27">
        <f>(IF(I36=0,0,(Upgrades!$G$17+I36*Upgrades!$H$17)*POWER(Upgrades!$I$17,I36)))*(IF(Upgrades!$T$13="Brown Dwarf",POWER(Upgrades!$U$13,E36),1)*IF(Upgrades!$T$14="Brown Dwarf",POWER(Upgrades!$U$14,F36),1)*IF(Upgrades!$T$15="Brown Dwarf",POWER(Upgrades!$U$15,G36),1)*IF(Upgrades!$T$16="Brown Dwarf",POWER(Upgrades!$U$16,H36),1)*IF(Upgrades!$T$18="Brown Dwarf",POWER(Upgrades!$U$18,J36),1)*IF(Upgrades!$T$19="Brown Dwarf",POWER(Upgrades!$U$19,K36),1)*IF(Upgrades!$T$20="Brown Dwarf",POWER(Upgrades!$U$20,L36),1)*IF(Upgrades!$T$21="Brown Dwarf",POWER(Upgrades!$U$21,M36),1))*POWER(Upgrades!$P$13,E36)*POWER(Upgrades!$P$14,F36)*POWER(Upgrades!$P$15,G36)*POWER(Upgrades!$P$16,H36)*POWER(Upgrades!$P$17,I36)*POWER(Upgrades!$P$18,J36)*POWER(Upgrades!$P$19,K36)*POWER(Upgrades!$P$20,L36)*POWER(Upgrades!$P$21,M36)*$F$6*60</f>
        <v/>
      </c>
      <c r="AF36" s="27" t="n">
        <v>0</v>
      </c>
      <c r="AG36" s="27" t="n">
        <v>0</v>
      </c>
      <c r="AH36" s="27" t="n">
        <v>0</v>
      </c>
      <c r="AI36" s="27">
        <f>(IF(M36=0,0,(Upgrades!$G$21+M36*Upgrades!$H$21)*POWER(Upgrades!$I$21,M36)))*(IF(Upgrades!$T$13="Moving Group",POWER(Upgrades!$U$13,E36),1)*IF(Upgrades!$T$14="Moving Group",POWER(Upgrades!$U$14,F36),1)*IF(Upgrades!$T$15="Moving Group",POWER(Upgrades!$U$15,G36),1)*IF(Upgrades!$T$16="Moving Group",POWER(Upgrades!$U$16,H36),1)*IF(Upgrades!$T$17="Moving Group",POWER(Upgrades!$U$17,I36),1)*IF(Upgrades!$T$18="Moving Group",POWER(Upgrades!$U$18,J36),1)*IF(Upgrades!$T$19="Moving Group",POWER(Upgrades!$U$19,K36),1)*IF(Upgrades!$T$20="Moving Group",POWER(Upgrades!$U$20,L36),1))*POWER(Upgrades!$P$13,E36)*POWER(Upgrades!$P$14,F36)*POWER(Upgrades!$P$15,G36)*POWER(Upgrades!$P$16,H36)*POWER(Upgrades!$P$17,I36)*POWER(Upgrades!$P$18,J36)*POWER(Upgrades!$P$19,K36)*POWER(Upgrades!$P$20,L36)*POWER(Upgrades!$P$21,M36)*$F$6*60</f>
        <v/>
      </c>
      <c r="AJ36" s="27">
        <f>$C$6*60</f>
        <v/>
      </c>
      <c r="AK36" s="22">
        <f>IF(E36&gt;=Upgrades!$E$13,"",Upgrades!$C$13*POWER(Upgrades!$D$13,E36))</f>
        <v/>
      </c>
      <c r="AL36" s="22">
        <f>IF(F36&gt;=Upgrades!$E$14,"",Upgrades!$C$14*POWER(Upgrades!$D$14,F36))</f>
        <v/>
      </c>
      <c r="AM36" s="22">
        <f>IF(G36&gt;=Upgrades!$E$15,"",Upgrades!$C$15*POWER(Upgrades!$D$15,G36))</f>
        <v/>
      </c>
      <c r="AN36" s="22">
        <f>IF(H36&gt;=Upgrades!$E$16,"",Upgrades!$C$16*POWER(Upgrades!$D$16,H36))</f>
        <v/>
      </c>
      <c r="AO36" s="22">
        <f>IF(I36&gt;=Upgrades!$E$17,"",Upgrades!$C$17*POWER(Upgrades!$D$17,I36))</f>
        <v/>
      </c>
      <c r="AP36" s="22">
        <f>IF(J36&gt;=Upgrades!$E$18,"",Upgrades!$C$18*POWER(Upgrades!$D$18,J36))</f>
        <v/>
      </c>
      <c r="AQ36" s="22">
        <f>IF(K36&gt;=Upgrades!$E$19,"",Upgrades!$C$19*POWER(Upgrades!$D$19,K36))</f>
        <v/>
      </c>
      <c r="AR36" s="22">
        <f>IF(L36&gt;=Upgrades!$E$20,"",Upgrades!$C$20*POWER(Upgrades!$D$20,L36))</f>
        <v/>
      </c>
      <c r="AS36" s="22">
        <f>IF(M36&gt;=Upgrades!$E$21,"",Upgrades!$C$21*POWER(Upgrades!$D$21,M36))</f>
        <v/>
      </c>
      <c r="AT36" s="26">
        <f>IF(AND(D36&gt;=Parameters!$B$18*Parameters!$B$19,(I36&gt;=Upgrades!$E$17)*(M36&gt;=Upgrades!$E$21)=1,N36=0),1,"")</f>
        <v/>
      </c>
      <c r="AU36" s="26">
        <f>IF(AND(D36&gt;=Parameters!$B$18*Parameters!$B$19,N36=0),1,"")</f>
        <v/>
      </c>
      <c r="AV36" s="22">
        <f>MIN(IF(ISNUMBER(AP36),AP36,9E15),IF(ISNUMBER(AQ36),AQ36,9E15),IF(ISNUMBER(AR36),AR36,9E15),IF(ISNUMBER(AS36),AS36,9E15))</f>
        <v/>
      </c>
      <c r="AW36" s="22">
        <f>MIN(IF(ISNUMBER(AK36),AK36,9E15),IF(ISNUMBER(AL36),AL36,9E15),IF(ISNUMBER(AM36),AM36,9E15),IF(ISNUMBER(AN36),AN36,9E15),IF(ISNUMBER(AO36),AO36,9E15))</f>
        <v/>
      </c>
      <c r="AX36" s="29">
        <f>IF(BD36&gt;Parameters!$B$21*(MAX(IF(AND(NOT(AND(AU36=1,AT36&lt;&gt;1)),ISNUMBER(AK36),AK36&lt;=(C36+T36)),AY36,0),IF(AND(NOT(AND(AU36=1,AT36&lt;&gt;1)),ISNUMBER(AL36),AL36&lt;=(C36+T36)),AZ36,0),IF(AND(NOT(AND(AU36=1,AT36&lt;&gt;1)),ISNUMBER(AM36),AM36&lt;=(C36+T36)),BA36,0),IF(AND(NOT(AND(AU36=1,AT36&lt;&gt;1)),ISNUMBER(AN36),AN36&lt;=(C36+T36)),BB36,0),IF(AND(ISNUMBER(AO36),AO36&lt;=(C36+T36)),BC36,0))),TRUE,FALSE)</f>
        <v/>
      </c>
      <c r="AY36" s="32">
        <f>IFERROR(Upgrades!$H$13*(POWER(Upgrades!$P$13,E36)*POWER(Upgrades!$P$14,F36)*POWER(Upgrades!$P$15,G36)*POWER(Upgrades!$P$16,H36)*POWER(Upgrades!$P$17,I36)*POWER(Upgrades!$P$18,J36)*POWER(Upgrades!$P$19,K36)*POWER(Upgrades!$P$20,L36)*POWER(Upgrades!$P$21,M36))*(IF(Upgrades!$T$14="Stellar Kinematics",POWER(Upgrades!$U$14,F36),1)*IF(Upgrades!$T$15="Stellar Kinematics",POWER(Upgrades!$U$15,G36),1)*IF(Upgrades!$T$16="Stellar Kinematics",POWER(Upgrades!$U$16,H36),1)*IF(Upgrades!$T$17="Stellar Kinematics",POWER(Upgrades!$U$17,I36),1)*IF(Upgrades!$T$18="Stellar Kinematics",POWER(Upgrades!$U$18,J36),1)*IF(Upgrades!$T$19="Stellar Kinematics",POWER(Upgrades!$U$19,K36),1)*IF(Upgrades!$T$20="Stellar Kinematics",POWER(Upgrades!$U$20,L36),1)*IF(Upgrades!$T$21="Stellar Kinematics",POWER(Upgrades!$U$21,M36),1))*$F$6/AK36,0)</f>
        <v/>
      </c>
      <c r="AZ36" s="32">
        <f>IFERROR(Upgrades!$H$14*(POWER(Upgrades!$P$13,E36)*POWER(Upgrades!$P$14,F36)*POWER(Upgrades!$P$15,G36)*POWER(Upgrades!$P$16,H36)*POWER(Upgrades!$P$17,I36)*POWER(Upgrades!$P$18,J36)*POWER(Upgrades!$P$19,K36)*POWER(Upgrades!$P$20,L36)*POWER(Upgrades!$P$21,M36))*(IF(Upgrades!$T$13="Local Bubble",POWER(Upgrades!$U$13,E36),1)*IF(Upgrades!$T$15="Local Bubble",POWER(Upgrades!$U$15,G36),1)*IF(Upgrades!$T$16="Local Bubble",POWER(Upgrades!$U$16,H36),1)*IF(Upgrades!$T$17="Local Bubble",POWER(Upgrades!$U$17,I36),1)*IF(Upgrades!$T$18="Local Bubble",POWER(Upgrades!$U$18,J36),1)*IF(Upgrades!$T$19="Local Bubble",POWER(Upgrades!$U$19,K36),1)*IF(Upgrades!$T$20="Local Bubble",POWER(Upgrades!$U$20,L36),1)*IF(Upgrades!$T$21="Local Bubble",POWER(Upgrades!$U$21,M36),1))*$F$6/AL36,0)</f>
        <v/>
      </c>
      <c r="BA36" s="32">
        <f>IFERROR(Upgrades!$K$15*(POWER(Upgrades!$Q$13,E36)*POWER(Upgrades!$Q$14,F36)*POWER(Upgrades!$Q$15,G36)*POWER(Upgrades!$Q$16,H36)*POWER(Upgrades!$Q$17,I36)*POWER(Upgrades!$Q$18,J36)*POWER(Upgrades!$Q$19,K36)*POWER(Upgrades!$Q$20,L36)*POWER(Upgrades!$Q$21,M36))*(IF(Upgrades!$T$13="Microlensing",POWER(Upgrades!$U$13,E36),1)*IF(Upgrades!$T$14="Microlensing",POWER(Upgrades!$U$14,F36),1)*IF(Upgrades!$T$16="Microlensing",POWER(Upgrades!$U$16,H36),1)*IF(Upgrades!$T$17="Microlensing",POWER(Upgrades!$U$17,I36),1)*IF(Upgrades!$T$18="Microlensing",POWER(Upgrades!$U$18,J36),1)*IF(Upgrades!$T$19="Microlensing",POWER(Upgrades!$U$19,K36),1)*IF(Upgrades!$T$20="Microlensing",POWER(Upgrades!$U$20,L36),1)*IF(Upgrades!$T$21="Microlensing",POWER(Upgrades!$U$21,M36),1))*$G$6*(Parameters!$B$10/60*Parameters!$B$11+Q36)/AM36,0)</f>
        <v/>
      </c>
      <c r="BB36" s="32">
        <f>IFERROR((Upgrades!$N$16*(POWER(Upgrades!$R$13,E36)*POWER(Upgrades!$R$14,F36)*POWER(Upgrades!$R$15,G36)*POWER(Upgrades!$R$16,H36)*POWER(Upgrades!$R$17,I36)*POWER(Upgrades!$R$18,J36)*POWER(Upgrades!$R$19,K36)*POWER(Upgrades!$R$20,L36)*POWER(Upgrades!$R$21,M36))*(IF(Upgrades!$T$13="Roche Lobe Overflow",POWER(Upgrades!$U$13,E36),1)*IF(Upgrades!$T$14="Roche Lobe Overflow",POWER(Upgrades!$U$14,F36),1)*IF(Upgrades!$T$15="Roche Lobe Overflow",POWER(Upgrades!$U$15,G36),1)*IF(Upgrades!$T$17="Roche Lobe Overflow",POWER(Upgrades!$U$17,I36),1)*IF(Upgrades!$T$18="Roche Lobe Overflow",POWER(Upgrades!$U$18,J36),1)*IF(Upgrades!$T$19="Roche Lobe Overflow",POWER(Upgrades!$U$19,K36),1)*IF(Upgrades!$T$20="Roche Lobe Overflow",POWER(Upgrades!$U$20,L36),1)*IF(Upgrades!$T$21="Roche Lobe Overflow",POWER(Upgrades!$U$21,M36),1))*$H$6*O36+((IF(F36=0,0,(Upgrades!$G$14+F36*Upgrades!$H$14)*POWER(Upgrades!$I$14,F36)))*(IF(Upgrades!$T$13="Local Bubble",POWER(Upgrades!$U$13,E36),1)*IF(Upgrades!$T$15="Local Bubble",POWER(Upgrades!$U$15,G36),1)*IF(Upgrades!$T$16="Local Bubble",POWER(Upgrades!$U$16,H36),1)*IF(Upgrades!$T$17="Local Bubble",POWER(Upgrades!$U$17,I36),1)*IF(Upgrades!$T$18="Local Bubble",POWER(Upgrades!$U$18,J36),1)*IF(Upgrades!$T$19="Local Bubble",POWER(Upgrades!$U$19,K36),1)*IF(Upgrades!$T$20="Local Bubble",POWER(Upgrades!$U$20,L36),1)*IF(Upgrades!$T$21="Local Bubble",POWER(Upgrades!$U$21,M36),1))*POWER(Upgrades!$P$13,E36)*POWER(Upgrades!$P$14,F36)*POWER(Upgrades!$P$15,G36)*POWER(Upgrades!$P$16,H36)*POWER(Upgrades!$P$17,I36)*POWER(Upgrades!$P$18,J36)*POWER(Upgrades!$P$19,K36)*POWER(Upgrades!$P$20,L36)*POWER(Upgrades!$P$21,M36)*$F$6)*0.05)/AN36,0)</f>
        <v/>
      </c>
      <c r="BC36" s="32">
        <f>IFERROR((Upgrades!$H$17*(POWER(Upgrades!$P$13,E36)*POWER(Upgrades!$P$14,F36)*POWER(Upgrades!$P$15,G36)*POWER(Upgrades!$P$16,H36)*POWER(Upgrades!$P$17,I36)*POWER(Upgrades!$P$18,J36)*POWER(Upgrades!$P$19,K36)*POWER(Upgrades!$P$20,L36)*POWER(Upgrades!$P$21,M36))*(IF(Upgrades!$T$13="Brown Dwarf",POWER(Upgrades!$U$13,E36),1)*IF(Upgrades!$T$14="Brown Dwarf",POWER(Upgrades!$U$14,F36),1)*IF(Upgrades!$T$15="Brown Dwarf",POWER(Upgrades!$U$15,G36),1)*IF(Upgrades!$T$16="Brown Dwarf",POWER(Upgrades!$U$16,H36),1)*IF(Upgrades!$T$18="Brown Dwarf",POWER(Upgrades!$U$18,J36),1)*IF(Upgrades!$T$19="Brown Dwarf",POWER(Upgrades!$U$19,K36),1)*IF(Upgrades!$T$20="Brown Dwarf",POWER(Upgrades!$U$20,L36),1)*IF(Upgrades!$T$21="Brown Dwarf",POWER(Upgrades!$U$21,M36),1))*$F$6+(((IF(H36=0,0,(Upgrades!$M$16+H36*Upgrades!$N$16)*POWER(Upgrades!$O$16,H36)))*(IF(Upgrades!$T$13="Roche Lobe Overflow",POWER(Upgrades!$U$13,E36),1)*IF(Upgrades!$T$14="Roche Lobe Overflow",POWER(Upgrades!$U$14,F36),1)*IF(Upgrades!$T$15="Roche Lobe Overflow",POWER(Upgrades!$U$15,G36),1)*IF(Upgrades!$T$17="Roche Lobe Overflow",POWER(Upgrades!$U$17,I36),1)*IF(Upgrades!$T$18="Roche Lobe Overflow",POWER(Upgrades!$U$18,J36),1)*IF(Upgrades!$T$19="Roche Lobe Overflow",POWER(Upgrades!$U$19,K36),1)*IF(Upgrades!$T$20="Roche Lobe Overflow",POWER(Upgrades!$U$20,L36),1)*IF(Upgrades!$T$21="Roche Lobe Overflow",POWER(Upgrades!$U$21,M36),1))*POWER(Upgrades!$R$13,E36)*POWER(Upgrades!$R$14,F36)*POWER(Upgrades!$R$15,G36)*POWER(Upgrades!$R$16,H36)*POWER(Upgrades!$R$17,I36)*POWER(Upgrades!$R$18,J36)*POWER(Upgrades!$R$19,K36)*POWER(Upgrades!$R$20,L36)*POWER(Upgrades!$R$21,M36)*$H$6)*O36)*0.10)/AO36,0)</f>
        <v/>
      </c>
      <c r="BD36" s="32">
        <f>MAX(IF(J36&gt;0,0,IFERROR(0.5*((IF(G36=0,0,(Upgrades!$J$15+G36*Upgrades!$K$15)*POWER(Upgrades!$L$15,G36)))*(IF(Upgrades!$T$13="Microlensing",POWER(Upgrades!$U$13,E36),1)*IF(Upgrades!$T$14="Microlensing",POWER(Upgrades!$U$14,F36),1)*IF(Upgrades!$T$16="Microlensing",POWER(Upgrades!$U$16,H36),1)*IF(Upgrades!$T$17="Microlensing",POWER(Upgrades!$U$17,I36),1)*IF(Upgrades!$T$18="Microlensing",POWER(Upgrades!$U$18,J36),1)*IF(Upgrades!$T$19="Microlensing",POWER(Upgrades!$U$19,K36),1)*IF(Upgrades!$T$20="Microlensing",POWER(Upgrades!$U$20,L36),1)*IF(Upgrades!$T$21="Microlensing",POWER(Upgrades!$U$21,M36),1))*(POWER(Upgrades!$Q$13,E36)*POWER(Upgrades!$Q$14,F36)*POWER(Upgrades!$Q$15,G36)*POWER(Upgrades!$Q$16,H36)*POWER(Upgrades!$Q$17,I36)*POWER(Upgrades!$Q$18,J36)*POWER(Upgrades!$Q$19,K36)*POWER(Upgrades!$Q$20,L36)*POWER(Upgrades!$Q$21,M36))*$G$6*(Parameters!$B$10/60*Parameters!$B$11+Q36))/Upgrades!$C$18,0)),IF(K36&gt;0,0,IFERROR(0.30*P36/Upgrades!$C$19,0)),IF(L36&gt;0,0,IFERROR(0.0001/Upgrades!$C$20,0)),IF(M36&gt;0,0,IFERROR((6.0*(POWER(Upgrades!$P$13,E36)*POWER(Upgrades!$P$14,F36)*POWER(Upgrades!$P$15,G36)*POWER(Upgrades!$P$16,H36)*POWER(Upgrades!$P$17,I36)*POWER(Upgrades!$P$18,J36)*POWER(Upgrades!$P$19,K36)*POWER(Upgrades!$P$20,L36)*POWER(Upgrades!$P$21,M36))*$F$6+0.20*O36*(Parameters!$B$10/60*Parameters!$B$11+Q36))/Upgrades!$C$21,0)),IF(AND(ISNUMBER(AK36),AK36&gt;(C36+T36)),AY36,0),IF(AND(ISNUMBER(AL36),AL36&gt;(C36+T36)),AZ36,0),IF(AND(ISNUMBER(AM36),AM36&gt;(C36+T36)),BA36,0),IF(AND(ISNUMBER(AN36),AN36&gt;(C36+T36)),BB36,0),IF(AND(ISNUMBER(AO36),AO36&gt;(C36+T36)),BC36,0))</f>
        <v/>
      </c>
      <c r="BE36" s="29">
        <f>IF(AT36=1,"transition",IF(MIN(IF(AND(J36=0,ISNUMBER(AP36),AP36&lt;=(C36+T36)),AP36,9E15),IF(AND(K36=0,ISNUMBER(AQ36),AQ36&lt;=(C36+T36)),AQ36,9E15),IF(AND(L36=0,ISNUMBER(AR36),AR36&lt;=(C36+T36)),AR36,9E15),IF(AND(M36=0,ISNUMBER(AS36),AS36&lt;=(C36+T36)),AS36,9E15))&lt;9E15,IF(AND(AND(J36=0,ISNUMBER(AP36),AP36&lt;=(C36+T36)),AP36=MIN(IF(AND(J36=0,ISNUMBER(AP36),AP36&lt;=(C36+T36)),AP36,9E15),IF(AND(K36=0,ISNUMBER(AQ36),AQ36&lt;=(C36+T36)),AQ36,9E15),IF(AND(L36=0,ISNUMBER(AR36),AR36&lt;=(C36+T36)),AR36,9E15),IF(AND(M36=0,ISNUMBER(AS36),AS36&lt;=(C36+T36)),AS36,9E15))),"BiP",IF(AND(AND(K36=0,ISNUMBER(AQ36),AQ36&lt;=(C36+T36)),AQ36=MIN(IF(AND(J36=0,ISNUMBER(AP36),AP36&lt;=(C36+T36)),AP36,9E15),IF(AND(K36=0,ISNUMBER(AQ36),AQ36&lt;=(C36+T36)),AQ36,9E15),IF(AND(L36=0,ISNUMBER(AR36),AR36&lt;=(C36+T36)),AR36,9E15),IF(AND(M36=0,ISNUMBER(AS36),AS36&lt;=(C36+T36)),AS36,9E15))),"PV",IF(AND(AND(L36=0,ISNUMBER(AR36),AR36&lt;=(C36+T36)),AR36=MIN(IF(AND(J36=0,ISNUMBER(AP36),AP36&lt;=(C36+T36)),AP36,9E15),IF(AND(K36=0,ISNUMBER(AQ36),AQ36&lt;=(C36+T36)),AQ36,9E15),IF(AND(L36=0,ISNUMBER(AR36),AR36&lt;=(C36+T36)),AR36,9E15),IF(AND(M36=0,ISNUMBER(AS36),AS36&lt;=(C36+T36)),AS36,9E15))),"OC","MG"))),IF(AX36=TRUE,"",IF(MAX(IF(AND(NOT(AND(AU36=1,AT36&lt;&gt;1)),ISNUMBER(AK36),AK36&lt;=(C36+T36)),AY36,0),IF(AND(NOT(AND(AU36=1,AT36&lt;&gt;1)),ISNUMBER(AL36),AL36&lt;=(C36+T36)),AZ36,0),IF(AND(NOT(AND(AU36=1,AT36&lt;&gt;1)),ISNUMBER(AM36),AM36&lt;=(C36+T36)),BA36,0),IF(AND(NOT(AND(AU36=1,AT36&lt;&gt;1)),ISNUMBER(AN36),AN36&lt;=(C36+T36)),BB36,0),IF(AND(ISNUMBER(AO36),AO36&lt;=(C36+T36)),BC36,0))&lt;=0,"",IF(AND(IF(AND(NOT(AND(AU36=1,AT36&lt;&gt;1)),ISNUMBER(AK36),AK36&lt;=(C36+T36)),AY36,0)&gt;0,IF(AND(NOT(AND(AU36=1,AT36&lt;&gt;1)),ISNUMBER(AK36),AK36&lt;=(C36+T36)),AY36,0)=MAX(IF(AND(NOT(AND(AU36=1,AT36&lt;&gt;1)),ISNUMBER(AK36),AK36&lt;=(C36+T36)),AY36,0),IF(AND(NOT(AND(AU36=1,AT36&lt;&gt;1)),ISNUMBER(AL36),AL36&lt;=(C36+T36)),AZ36,0),IF(AND(NOT(AND(AU36=1,AT36&lt;&gt;1)),ISNUMBER(AM36),AM36&lt;=(C36+T36)),BA36,0),IF(AND(NOT(AND(AU36=1,AT36&lt;&gt;1)),ISNUMBER(AN36),AN36&lt;=(C36+T36)),BB36,0),IF(AND(ISNUMBER(AO36),AO36&lt;=(C36+T36)),BC36,0))),"SK",IF(AND(IF(AND(NOT(AND(AU36=1,AT36&lt;&gt;1)),ISNUMBER(AL36),AL36&lt;=(C36+T36)),AZ36,0)&gt;0,IF(AND(NOT(AND(AU36=1,AT36&lt;&gt;1)),ISNUMBER(AL36),AL36&lt;=(C36+T36)),AZ36,0)=MAX(IF(AND(NOT(AND(AU36=1,AT36&lt;&gt;1)),ISNUMBER(AK36),AK36&lt;=(C36+T36)),AY36,0),IF(AND(NOT(AND(AU36=1,AT36&lt;&gt;1)),ISNUMBER(AL36),AL36&lt;=(C36+T36)),AZ36,0),IF(AND(NOT(AND(AU36=1,AT36&lt;&gt;1)),ISNUMBER(AM36),AM36&lt;=(C36+T36)),BA36,0),IF(AND(NOT(AND(AU36=1,AT36&lt;&gt;1)),ISNUMBER(AN36),AN36&lt;=(C36+T36)),BB36,0),IF(AND(ISNUMBER(AO36),AO36&lt;=(C36+T36)),BC36,0))),"LB",IF(AND(IF(AND(NOT(AND(AU36=1,AT36&lt;&gt;1)),ISNUMBER(AM36),AM36&lt;=(C36+T36)),BA36,0)&gt;0,IF(AND(NOT(AND(AU36=1,AT36&lt;&gt;1)),ISNUMBER(AM36),AM36&lt;=(C36+T36)),BA36,0)=MAX(IF(AND(NOT(AND(AU36=1,AT36&lt;&gt;1)),ISNUMBER(AK36),AK36&lt;=(C36+T36)),AY36,0),IF(AND(NOT(AND(AU36=1,AT36&lt;&gt;1)),ISNUMBER(AL36),AL36&lt;=(C36+T36)),AZ36,0),IF(AND(NOT(AND(AU36=1,AT36&lt;&gt;1)),ISNUMBER(AM36),AM36&lt;=(C36+T36)),BA36,0),IF(AND(NOT(AND(AU36=1,AT36&lt;&gt;1)),ISNUMBER(AN36),AN36&lt;=(C36+T36)),BB36,0),IF(AND(ISNUMBER(AO36),AO36&lt;=(C36+T36)),BC36,0))),"ML",IF(AND(IF(AND(NOT(AND(AU36=1,AT36&lt;&gt;1)),ISNUMBER(AN36),AN36&lt;=(C36+T36)),BB36,0)&gt;0,IF(AND(NOT(AND(AU36=1,AT36&lt;&gt;1)),ISNUMBER(AN36),AN36&lt;=(C36+T36)),BB36,0)=MAX(IF(AND(NOT(AND(AU36=1,AT36&lt;&gt;1)),ISNUMBER(AK36),AK36&lt;=(C36+T36)),AY36,0),IF(AND(NOT(AND(AU36=1,AT36&lt;&gt;1)),ISNUMBER(AL36),AL36&lt;=(C36+T36)),AZ36,0),IF(AND(NOT(AND(AU36=1,AT36&lt;&gt;1)),ISNUMBER(AM36),AM36&lt;=(C36+T36)),BA36,0),IF(AND(NOT(AND(AU36=1,AT36&lt;&gt;1)),ISNUMBER(AN36),AN36&lt;=(C36+T36)),BB36,0),IF(AND(ISNUMBER(AO36),AO36&lt;=(C36+T36)),BC36,0))),"RLO","BD"))))))))</f>
        <v/>
      </c>
    </row>
    <row r="37">
      <c r="A37" s="26" t="n">
        <v>26</v>
      </c>
      <c r="B37" s="27">
        <f>A37*10/60</f>
        <v/>
      </c>
      <c r="C37" s="22">
        <f>X36</f>
        <v/>
      </c>
      <c r="D37" s="27">
        <f>D36+W36</f>
        <v/>
      </c>
      <c r="E37" s="26">
        <f>E36+IF(U36="SK",1,0)</f>
        <v/>
      </c>
      <c r="F37" s="26">
        <f>F36+IF(U36="LB",1,0)</f>
        <v/>
      </c>
      <c r="G37" s="26">
        <f>G36+IF(U36="ML",1,0)</f>
        <v/>
      </c>
      <c r="H37" s="26">
        <f>H36+IF(U36="RLO",1,0)</f>
        <v/>
      </c>
      <c r="I37" s="26">
        <f>I36+IF(U36="BD",1,0)</f>
        <v/>
      </c>
      <c r="J37" s="26">
        <f>MAX(J36,IF(U36="BiP",1,0))</f>
        <v/>
      </c>
      <c r="K37" s="26">
        <f>MAX(K36,IF(U36="PV",1,0))</f>
        <v/>
      </c>
      <c r="L37" s="26">
        <f>MAX(L36,IF(U36="OC",1,0))</f>
        <v/>
      </c>
      <c r="M37" s="26">
        <f>MAX(M36,IF(U36="MG",1,0))</f>
        <v/>
      </c>
      <c r="N37" s="26">
        <f>MAX(N36,IF(U36="transition",1,0))</f>
        <v/>
      </c>
      <c r="O37" s="28">
        <f>(Parameters!$B$9+(IF(E37=0,0,(Upgrades!$J$13+E37*Upgrades!$K$13)*POWER(Upgrades!$L$13,E37)))*(IF(Upgrades!$T$14="Stellar Kinematics",POWER(Upgrades!$U$14,F37),1)*IF(Upgrades!$T$15="Stellar Kinematics",POWER(Upgrades!$U$15,G37),1)*IF(Upgrades!$T$16="Stellar Kinematics",POWER(Upgrades!$U$16,H37),1)*IF(Upgrades!$T$17="Stellar Kinematics",POWER(Upgrades!$U$17,I37),1)*IF(Upgrades!$T$18="Stellar Kinematics",POWER(Upgrades!$U$18,J37),1)*IF(Upgrades!$T$19="Stellar Kinematics",POWER(Upgrades!$U$19,K37),1)*IF(Upgrades!$T$20="Stellar Kinematics",POWER(Upgrades!$U$20,L37),1)*IF(Upgrades!$T$21="Stellar Kinematics",POWER(Upgrades!$U$21,M37),1))+(IF(F37=0,0,(Upgrades!$J$14+F37*Upgrades!$K$14)*POWER(Upgrades!$L$14,F37)))*(IF(Upgrades!$T$13="Local Bubble",POWER(Upgrades!$U$13,E37),1)*IF(Upgrades!$T$15="Local Bubble",POWER(Upgrades!$U$15,G37),1)*IF(Upgrades!$T$16="Local Bubble",POWER(Upgrades!$U$16,H37),1)*IF(Upgrades!$T$17="Local Bubble",POWER(Upgrades!$U$17,I37),1)*IF(Upgrades!$T$18="Local Bubble",POWER(Upgrades!$U$18,J37),1)*IF(Upgrades!$T$19="Local Bubble",POWER(Upgrades!$U$19,K37),1)*IF(Upgrades!$T$20="Local Bubble",POWER(Upgrades!$U$20,L37),1)*IF(Upgrades!$T$21="Local Bubble",POWER(Upgrades!$U$21,M37),1))+(IF(G37=0,0,(Upgrades!$J$15+G37*Upgrades!$K$15)*POWER(Upgrades!$L$15,G37)))*(IF(Upgrades!$T$13="Microlensing",POWER(Upgrades!$U$13,E37),1)*IF(Upgrades!$T$14="Microlensing",POWER(Upgrades!$U$14,F37),1)*IF(Upgrades!$T$16="Microlensing",POWER(Upgrades!$U$16,H37),1)*IF(Upgrades!$T$17="Microlensing",POWER(Upgrades!$U$17,I37),1)*IF(Upgrades!$T$18="Microlensing",POWER(Upgrades!$U$18,J37),1)*IF(Upgrades!$T$19="Microlensing",POWER(Upgrades!$U$19,K37),1)*IF(Upgrades!$T$20="Microlensing",POWER(Upgrades!$U$20,L37),1)*IF(Upgrades!$T$21="Microlensing",POWER(Upgrades!$U$21,M37),1))+(IF(H37=0,0,(Upgrades!$J$16+H37*Upgrades!$K$16)*POWER(Upgrades!$L$16,H37)))*(IF(Upgrades!$T$13="Roche Lobe Overflow",POWER(Upgrades!$U$13,E37),1)*IF(Upgrades!$T$14="Roche Lobe Overflow",POWER(Upgrades!$U$14,F37),1)*IF(Upgrades!$T$15="Roche Lobe Overflow",POWER(Upgrades!$U$15,G37),1)*IF(Upgrades!$T$17="Roche Lobe Overflow",POWER(Upgrades!$U$17,I37),1)*IF(Upgrades!$T$18="Roche Lobe Overflow",POWER(Upgrades!$U$18,J37),1)*IF(Upgrades!$T$19="Roche Lobe Overflow",POWER(Upgrades!$U$19,K37),1)*IF(Upgrades!$T$20="Roche Lobe Overflow",POWER(Upgrades!$U$20,L37),1)*IF(Upgrades!$T$21="Roche Lobe Overflow",POWER(Upgrades!$U$21,M37),1))+(IF(I37=0,0,(Upgrades!$J$17+I37*Upgrades!$K$17)*POWER(Upgrades!$L$17,I37)))*(IF(Upgrades!$T$13="Brown Dwarf",POWER(Upgrades!$U$13,E37),1)*IF(Upgrades!$T$14="Brown Dwarf",POWER(Upgrades!$U$14,F37),1)*IF(Upgrades!$T$15="Brown Dwarf",POWER(Upgrades!$U$15,G37),1)*IF(Upgrades!$T$16="Brown Dwarf",POWER(Upgrades!$U$16,H37),1)*IF(Upgrades!$T$18="Brown Dwarf",POWER(Upgrades!$U$18,J37),1)*IF(Upgrades!$T$19="Brown Dwarf",POWER(Upgrades!$U$19,K37),1)*IF(Upgrades!$T$20="Brown Dwarf",POWER(Upgrades!$U$20,L37),1)*IF(Upgrades!$T$21="Brown Dwarf",POWER(Upgrades!$U$21,M37),1))+(IF(J37=0,0,(Upgrades!$J$18+J37*Upgrades!$K$18)*POWER(Upgrades!$L$18,J37)))*(IF(Upgrades!$T$13="Binary Partner",POWER(Upgrades!$U$13,E37),1)*IF(Upgrades!$T$14="Binary Partner",POWER(Upgrades!$U$14,F37),1)*IF(Upgrades!$T$15="Binary Partner",POWER(Upgrades!$U$15,G37),1)*IF(Upgrades!$T$16="Binary Partner",POWER(Upgrades!$U$16,H37),1)*IF(Upgrades!$T$17="Binary Partner",POWER(Upgrades!$U$17,I37),1)*IF(Upgrades!$T$19="Binary Partner",POWER(Upgrades!$U$19,K37),1)*IF(Upgrades!$T$20="Binary Partner",POWER(Upgrades!$U$20,L37),1)*IF(Upgrades!$T$21="Binary Partner",POWER(Upgrades!$U$21,M37),1))+(IF(K37=0,0,(Upgrades!$J$19+K37*Upgrades!$K$19)*POWER(Upgrades!$L$19,K37)))*(IF(Upgrades!$T$13="Peculiar Velocity",POWER(Upgrades!$U$13,E37),1)*IF(Upgrades!$T$14="Peculiar Velocity",POWER(Upgrades!$U$14,F37),1)*IF(Upgrades!$T$15="Peculiar Velocity",POWER(Upgrades!$U$15,G37),1)*IF(Upgrades!$T$16="Peculiar Velocity",POWER(Upgrades!$U$16,H37),1)*IF(Upgrades!$T$17="Peculiar Velocity",POWER(Upgrades!$U$17,I37),1)*IF(Upgrades!$T$18="Peculiar Velocity",POWER(Upgrades!$U$18,J37),1)*IF(Upgrades!$T$20="Peculiar Velocity",POWER(Upgrades!$U$20,L37),1)*IF(Upgrades!$T$21="Peculiar Velocity",POWER(Upgrades!$U$21,M37),1))+(IF(L37=0,0,(Upgrades!$J$20+L37*Upgrades!$K$20)*POWER(Upgrades!$L$20,L37)))*(IF(Upgrades!$T$13="Open Cluster",POWER(Upgrades!$U$13,E37),1)*IF(Upgrades!$T$14="Open Cluster",POWER(Upgrades!$U$14,F37),1)*IF(Upgrades!$T$15="Open Cluster",POWER(Upgrades!$U$15,G37),1)*IF(Upgrades!$T$16="Open Cluster",POWER(Upgrades!$U$16,H37),1)*IF(Upgrades!$T$17="Open Cluster",POWER(Upgrades!$U$17,I37),1)*IF(Upgrades!$T$18="Open Cluster",POWER(Upgrades!$U$18,J37),1)*IF(Upgrades!$T$19="Open Cluster",POWER(Upgrades!$U$19,K37),1)*IF(Upgrades!$T$21="Open Cluster",POWER(Upgrades!$U$21,M37),1))+(IF(M37=0,0,(Upgrades!$J$21+M37*Upgrades!$K$21)*POWER(Upgrades!$L$21,M37)))*(IF(Upgrades!$T$13="Moving Group",POWER(Upgrades!$U$13,E37),1)*IF(Upgrades!$T$14="Moving Group",POWER(Upgrades!$U$14,F37),1)*IF(Upgrades!$T$15="Moving Group",POWER(Upgrades!$U$15,G37),1)*IF(Upgrades!$T$16="Moving Group",POWER(Upgrades!$U$16,H37),1)*IF(Upgrades!$T$17="Moving Group",POWER(Upgrades!$U$17,I37),1)*IF(Upgrades!$T$18="Moving Group",POWER(Upgrades!$U$18,J37),1)*IF(Upgrades!$T$19="Moving Group",POWER(Upgrades!$U$19,K37),1)*IF(Upgrades!$T$20="Moving Group",POWER(Upgrades!$U$20,L37),1)))*POWER(Upgrades!$Q$13,E37)*POWER(Upgrades!$Q$14,F37)*POWER(Upgrades!$Q$15,G37)*POWER(Upgrades!$Q$16,H37)*POWER(Upgrades!$Q$17,I37)*POWER(Upgrades!$Q$18,J37)*POWER(Upgrades!$Q$19,K37)*POWER(Upgrades!$Q$20,L37)*POWER(Upgrades!$Q$21,M37)*$G$6+$D$6</f>
        <v/>
      </c>
      <c r="P37" s="28">
        <f>((IF(E37=0,0,(Upgrades!$G$13+E37*Upgrades!$H$13)*POWER(Upgrades!$I$13,E37)))*(IF(Upgrades!$T$14="Stellar Kinematics",POWER(Upgrades!$U$14,F37),1)*IF(Upgrades!$T$15="Stellar Kinematics",POWER(Upgrades!$U$15,G37),1)*IF(Upgrades!$T$16="Stellar Kinematics",POWER(Upgrades!$U$16,H37),1)*IF(Upgrades!$T$17="Stellar Kinematics",POWER(Upgrades!$U$17,I37),1)*IF(Upgrades!$T$18="Stellar Kinematics",POWER(Upgrades!$U$18,J37),1)*IF(Upgrades!$T$19="Stellar Kinematics",POWER(Upgrades!$U$19,K37),1)*IF(Upgrades!$T$20="Stellar Kinematics",POWER(Upgrades!$U$20,L37),1)*IF(Upgrades!$T$21="Stellar Kinematics",POWER(Upgrades!$U$21,M37),1))+(IF(F37=0,0,(Upgrades!$G$14+F37*Upgrades!$H$14)*POWER(Upgrades!$I$14,F37)))*(IF(Upgrades!$T$13="Local Bubble",POWER(Upgrades!$U$13,E37),1)*IF(Upgrades!$T$15="Local Bubble",POWER(Upgrades!$U$15,G37),1)*IF(Upgrades!$T$16="Local Bubble",POWER(Upgrades!$U$16,H37),1)*IF(Upgrades!$T$17="Local Bubble",POWER(Upgrades!$U$17,I37),1)*IF(Upgrades!$T$18="Local Bubble",POWER(Upgrades!$U$18,J37),1)*IF(Upgrades!$T$19="Local Bubble",POWER(Upgrades!$U$19,K37),1)*IF(Upgrades!$T$20="Local Bubble",POWER(Upgrades!$U$20,L37),1)*IF(Upgrades!$T$21="Local Bubble",POWER(Upgrades!$U$21,M37),1))+(IF(G37=0,0,(Upgrades!$G$15+G37*Upgrades!$H$15)*POWER(Upgrades!$I$15,G37)))*(IF(Upgrades!$T$13="Microlensing",POWER(Upgrades!$U$13,E37),1)*IF(Upgrades!$T$14="Microlensing",POWER(Upgrades!$U$14,F37),1)*IF(Upgrades!$T$16="Microlensing",POWER(Upgrades!$U$16,H37),1)*IF(Upgrades!$T$17="Microlensing",POWER(Upgrades!$U$17,I37),1)*IF(Upgrades!$T$18="Microlensing",POWER(Upgrades!$U$18,J37),1)*IF(Upgrades!$T$19="Microlensing",POWER(Upgrades!$U$19,K37),1)*IF(Upgrades!$T$20="Microlensing",POWER(Upgrades!$U$20,L37),1)*IF(Upgrades!$T$21="Microlensing",POWER(Upgrades!$U$21,M37),1))+(IF(H37=0,0,(Upgrades!$G$16+H37*Upgrades!$H$16)*POWER(Upgrades!$I$16,H37)))*(IF(Upgrades!$T$13="Roche Lobe Overflow",POWER(Upgrades!$U$13,E37),1)*IF(Upgrades!$T$14="Roche Lobe Overflow",POWER(Upgrades!$U$14,F37),1)*IF(Upgrades!$T$15="Roche Lobe Overflow",POWER(Upgrades!$U$15,G37),1)*IF(Upgrades!$T$17="Roche Lobe Overflow",POWER(Upgrades!$U$17,I37),1)*IF(Upgrades!$T$18="Roche Lobe Overflow",POWER(Upgrades!$U$18,J37),1)*IF(Upgrades!$T$19="Roche Lobe Overflow",POWER(Upgrades!$U$19,K37),1)*IF(Upgrades!$T$20="Roche Lobe Overflow",POWER(Upgrades!$U$20,L37),1)*IF(Upgrades!$T$21="Roche Lobe Overflow",POWER(Upgrades!$U$21,M37),1))+(IF(I37=0,0,(Upgrades!$G$17+I37*Upgrades!$H$17)*POWER(Upgrades!$I$17,I37)))*(IF(Upgrades!$T$13="Brown Dwarf",POWER(Upgrades!$U$13,E37),1)*IF(Upgrades!$T$14="Brown Dwarf",POWER(Upgrades!$U$14,F37),1)*IF(Upgrades!$T$15="Brown Dwarf",POWER(Upgrades!$U$15,G37),1)*IF(Upgrades!$T$16="Brown Dwarf",POWER(Upgrades!$U$16,H37),1)*IF(Upgrades!$T$18="Brown Dwarf",POWER(Upgrades!$U$18,J37),1)*IF(Upgrades!$T$19="Brown Dwarf",POWER(Upgrades!$U$19,K37),1)*IF(Upgrades!$T$20="Brown Dwarf",POWER(Upgrades!$U$20,L37),1)*IF(Upgrades!$T$21="Brown Dwarf",POWER(Upgrades!$U$21,M37),1))+(IF(J37=0,0,(Upgrades!$G$18+J37*Upgrades!$H$18)*POWER(Upgrades!$I$18,J37)))*(IF(Upgrades!$T$13="Binary Partner",POWER(Upgrades!$U$13,E37),1)*IF(Upgrades!$T$14="Binary Partner",POWER(Upgrades!$U$14,F37),1)*IF(Upgrades!$T$15="Binary Partner",POWER(Upgrades!$U$15,G37),1)*IF(Upgrades!$T$16="Binary Partner",POWER(Upgrades!$U$16,H37),1)*IF(Upgrades!$T$17="Binary Partner",POWER(Upgrades!$U$17,I37),1)*IF(Upgrades!$T$19="Binary Partner",POWER(Upgrades!$U$19,K37),1)*IF(Upgrades!$T$20="Binary Partner",POWER(Upgrades!$U$20,L37),1)*IF(Upgrades!$T$21="Binary Partner",POWER(Upgrades!$U$21,M37),1))+(IF(K37=0,0,(Upgrades!$G$19+K37*Upgrades!$H$19)*POWER(Upgrades!$I$19,K37)))*(IF(Upgrades!$T$13="Peculiar Velocity",POWER(Upgrades!$U$13,E37),1)*IF(Upgrades!$T$14="Peculiar Velocity",POWER(Upgrades!$U$14,F37),1)*IF(Upgrades!$T$15="Peculiar Velocity",POWER(Upgrades!$U$15,G37),1)*IF(Upgrades!$T$16="Peculiar Velocity",POWER(Upgrades!$U$16,H37),1)*IF(Upgrades!$T$17="Peculiar Velocity",POWER(Upgrades!$U$17,I37),1)*IF(Upgrades!$T$18="Peculiar Velocity",POWER(Upgrades!$U$18,J37),1)*IF(Upgrades!$T$20="Peculiar Velocity",POWER(Upgrades!$U$20,L37),1)*IF(Upgrades!$T$21="Peculiar Velocity",POWER(Upgrades!$U$21,M37),1))+(IF(L37=0,0,(Upgrades!$G$20+L37*Upgrades!$H$20)*POWER(Upgrades!$I$20,L37)))*(IF(Upgrades!$T$13="Open Cluster",POWER(Upgrades!$U$13,E37),1)*IF(Upgrades!$T$14="Open Cluster",POWER(Upgrades!$U$14,F37),1)*IF(Upgrades!$T$15="Open Cluster",POWER(Upgrades!$U$15,G37),1)*IF(Upgrades!$T$16="Open Cluster",POWER(Upgrades!$U$16,H37),1)*IF(Upgrades!$T$17="Open Cluster",POWER(Upgrades!$U$17,I37),1)*IF(Upgrades!$T$18="Open Cluster",POWER(Upgrades!$U$18,J37),1)*IF(Upgrades!$T$19="Open Cluster",POWER(Upgrades!$U$19,K37),1)*IF(Upgrades!$T$21="Open Cluster",POWER(Upgrades!$U$21,M37),1))+(IF(M37=0,0,(Upgrades!$G$21+M37*Upgrades!$H$21)*POWER(Upgrades!$I$21,M37)))*(IF(Upgrades!$T$13="Moving Group",POWER(Upgrades!$U$13,E37),1)*IF(Upgrades!$T$14="Moving Group",POWER(Upgrades!$U$14,F37),1)*IF(Upgrades!$T$15="Moving Group",POWER(Upgrades!$U$15,G37),1)*IF(Upgrades!$T$16="Moving Group",POWER(Upgrades!$U$16,H37),1)*IF(Upgrades!$T$17="Moving Group",POWER(Upgrades!$U$17,I37),1)*IF(Upgrades!$T$18="Moving Group",POWER(Upgrades!$U$18,J37),1)*IF(Upgrades!$T$19="Moving Group",POWER(Upgrades!$U$19,K37),1)*IF(Upgrades!$T$20="Moving Group",POWER(Upgrades!$U$20,L37),1)))*POWER(Upgrades!$P$13,E37)*POWER(Upgrades!$P$14,F37)*POWER(Upgrades!$P$15,G37)*POWER(Upgrades!$P$16,H37)*POWER(Upgrades!$P$17,I37)*POWER(Upgrades!$P$18,J37)*POWER(Upgrades!$P$19,K37)*POWER(Upgrades!$P$20,L37)*POWER(Upgrades!$P$21,M37)*$F$6+$C$6</f>
        <v/>
      </c>
      <c r="Q37" s="28">
        <f>((IF(E37=0,0,(Upgrades!$M$13+E37*Upgrades!$N$13)*POWER(Upgrades!$O$13,E37)))*(IF(Upgrades!$T$14="Stellar Kinematics",POWER(Upgrades!$U$14,F37),1)*IF(Upgrades!$T$15="Stellar Kinematics",POWER(Upgrades!$U$15,G37),1)*IF(Upgrades!$T$16="Stellar Kinematics",POWER(Upgrades!$U$16,H37),1)*IF(Upgrades!$T$17="Stellar Kinematics",POWER(Upgrades!$U$17,I37),1)*IF(Upgrades!$T$18="Stellar Kinematics",POWER(Upgrades!$U$18,J37),1)*IF(Upgrades!$T$19="Stellar Kinematics",POWER(Upgrades!$U$19,K37),1)*IF(Upgrades!$T$20="Stellar Kinematics",POWER(Upgrades!$U$20,L37),1)*IF(Upgrades!$T$21="Stellar Kinematics",POWER(Upgrades!$U$21,M37),1))+(IF(F37=0,0,(Upgrades!$M$14+F37*Upgrades!$N$14)*POWER(Upgrades!$O$14,F37)))*(IF(Upgrades!$T$13="Local Bubble",POWER(Upgrades!$U$13,E37),1)*IF(Upgrades!$T$15="Local Bubble",POWER(Upgrades!$U$15,G37),1)*IF(Upgrades!$T$16="Local Bubble",POWER(Upgrades!$U$16,H37),1)*IF(Upgrades!$T$17="Local Bubble",POWER(Upgrades!$U$17,I37),1)*IF(Upgrades!$T$18="Local Bubble",POWER(Upgrades!$U$18,J37),1)*IF(Upgrades!$T$19="Local Bubble",POWER(Upgrades!$U$19,K37),1)*IF(Upgrades!$T$20="Local Bubble",POWER(Upgrades!$U$20,L37),1)*IF(Upgrades!$T$21="Local Bubble",POWER(Upgrades!$U$21,M37),1))+(IF(G37=0,0,(Upgrades!$M$15+G37*Upgrades!$N$15)*POWER(Upgrades!$O$15,G37)))*(IF(Upgrades!$T$13="Microlensing",POWER(Upgrades!$U$13,E37),1)*IF(Upgrades!$T$14="Microlensing",POWER(Upgrades!$U$14,F37),1)*IF(Upgrades!$T$16="Microlensing",POWER(Upgrades!$U$16,H37),1)*IF(Upgrades!$T$17="Microlensing",POWER(Upgrades!$U$17,I37),1)*IF(Upgrades!$T$18="Microlensing",POWER(Upgrades!$U$18,J37),1)*IF(Upgrades!$T$19="Microlensing",POWER(Upgrades!$U$19,K37),1)*IF(Upgrades!$T$20="Microlensing",POWER(Upgrades!$U$20,L37),1)*IF(Upgrades!$T$21="Microlensing",POWER(Upgrades!$U$21,M37),1))+(IF(H37=0,0,(Upgrades!$M$16+H37*Upgrades!$N$16)*POWER(Upgrades!$O$16,H37)))*(IF(Upgrades!$T$13="Roche Lobe Overflow",POWER(Upgrades!$U$13,E37),1)*IF(Upgrades!$T$14="Roche Lobe Overflow",POWER(Upgrades!$U$14,F37),1)*IF(Upgrades!$T$15="Roche Lobe Overflow",POWER(Upgrades!$U$15,G37),1)*IF(Upgrades!$T$17="Roche Lobe Overflow",POWER(Upgrades!$U$17,I37),1)*IF(Upgrades!$T$18="Roche Lobe Overflow",POWER(Upgrades!$U$18,J37),1)*IF(Upgrades!$T$19="Roche Lobe Overflow",POWER(Upgrades!$U$19,K37),1)*IF(Upgrades!$T$20="Roche Lobe Overflow",POWER(Upgrades!$U$20,L37),1)*IF(Upgrades!$T$21="Roche Lobe Overflow",POWER(Upgrades!$U$21,M37),1))+(IF(I37=0,0,(Upgrades!$M$17+I37*Upgrades!$N$17)*POWER(Upgrades!$O$17,I37)))*(IF(Upgrades!$T$13="Brown Dwarf",POWER(Upgrades!$U$13,E37),1)*IF(Upgrades!$T$14="Brown Dwarf",POWER(Upgrades!$U$14,F37),1)*IF(Upgrades!$T$15="Brown Dwarf",POWER(Upgrades!$U$15,G37),1)*IF(Upgrades!$T$16="Brown Dwarf",POWER(Upgrades!$U$16,H37),1)*IF(Upgrades!$T$18="Brown Dwarf",POWER(Upgrades!$U$18,J37),1)*IF(Upgrades!$T$19="Brown Dwarf",POWER(Upgrades!$U$19,K37),1)*IF(Upgrades!$T$20="Brown Dwarf",POWER(Upgrades!$U$20,L37),1)*IF(Upgrades!$T$21="Brown Dwarf",POWER(Upgrades!$U$21,M37),1))+(IF(J37=0,0,(Upgrades!$M$18+J37*Upgrades!$N$18)*POWER(Upgrades!$O$18,J37)))*(IF(Upgrades!$T$13="Binary Partner",POWER(Upgrades!$U$13,E37),1)*IF(Upgrades!$T$14="Binary Partner",POWER(Upgrades!$U$14,F37),1)*IF(Upgrades!$T$15="Binary Partner",POWER(Upgrades!$U$15,G37),1)*IF(Upgrades!$T$16="Binary Partner",POWER(Upgrades!$U$16,H37),1)*IF(Upgrades!$T$17="Binary Partner",POWER(Upgrades!$U$17,I37),1)*IF(Upgrades!$T$19="Binary Partner",POWER(Upgrades!$U$19,K37),1)*IF(Upgrades!$T$20="Binary Partner",POWER(Upgrades!$U$20,L37),1)*IF(Upgrades!$T$21="Binary Partner",POWER(Upgrades!$U$21,M37),1))+(IF(K37=0,0,(Upgrades!$M$19+K37*Upgrades!$N$19)*POWER(Upgrades!$O$19,K37)))*(IF(Upgrades!$T$13="Peculiar Velocity",POWER(Upgrades!$U$13,E37),1)*IF(Upgrades!$T$14="Peculiar Velocity",POWER(Upgrades!$U$14,F37),1)*IF(Upgrades!$T$15="Peculiar Velocity",POWER(Upgrades!$U$15,G37),1)*IF(Upgrades!$T$16="Peculiar Velocity",POWER(Upgrades!$U$16,H37),1)*IF(Upgrades!$T$17="Peculiar Velocity",POWER(Upgrades!$U$17,I37),1)*IF(Upgrades!$T$18="Peculiar Velocity",POWER(Upgrades!$U$18,J37),1)*IF(Upgrades!$T$20="Peculiar Velocity",POWER(Upgrades!$U$20,L37),1)*IF(Upgrades!$T$21="Peculiar Velocity",POWER(Upgrades!$U$21,M37),1))+(IF(L37=0,0,(Upgrades!$M$20+L37*Upgrades!$N$20)*POWER(Upgrades!$O$20,L37)))*(IF(Upgrades!$T$13="Open Cluster",POWER(Upgrades!$U$13,E37),1)*IF(Upgrades!$T$14="Open Cluster",POWER(Upgrades!$U$14,F37),1)*IF(Upgrades!$T$15="Open Cluster",POWER(Upgrades!$U$15,G37),1)*IF(Upgrades!$T$16="Open Cluster",POWER(Upgrades!$U$16,H37),1)*IF(Upgrades!$T$17="Open Cluster",POWER(Upgrades!$U$17,I37),1)*IF(Upgrades!$T$18="Open Cluster",POWER(Upgrades!$U$18,J37),1)*IF(Upgrades!$T$19="Open Cluster",POWER(Upgrades!$U$19,K37),1)*IF(Upgrades!$T$21="Open Cluster",POWER(Upgrades!$U$21,M37),1))+(IF(M37=0,0,(Upgrades!$M$21+M37*Upgrades!$N$21)*POWER(Upgrades!$O$21,M37)))*(IF(Upgrades!$T$13="Moving Group",POWER(Upgrades!$U$13,E37),1)*IF(Upgrades!$T$14="Moving Group",POWER(Upgrades!$U$14,F37),1)*IF(Upgrades!$T$15="Moving Group",POWER(Upgrades!$U$15,G37),1)*IF(Upgrades!$T$16="Moving Group",POWER(Upgrades!$U$16,H37),1)*IF(Upgrades!$T$17="Moving Group",POWER(Upgrades!$U$17,I37),1)*IF(Upgrades!$T$18="Moving Group",POWER(Upgrades!$U$18,J37),1)*IF(Upgrades!$T$19="Moving Group",POWER(Upgrades!$U$19,K37),1)*IF(Upgrades!$T$20="Moving Group",POWER(Upgrades!$U$20,L37),1)))*POWER(Upgrades!$R$13,E37)*POWER(Upgrades!$R$14,F37)*POWER(Upgrades!$R$15,G37)*POWER(Upgrades!$R$16,H37)*POWER(Upgrades!$R$17,I37)*POWER(Upgrades!$R$18,J37)*POWER(Upgrades!$R$19,K37)*POWER(Upgrades!$R$20,L37)*POWER(Upgrades!$R$21,M37)*$H$6+$E$6</f>
        <v/>
      </c>
      <c r="R37" s="27">
        <f>IF(N37=1,0,O37*Parameters!$B$10/60*Parameters!$B$11*10)</f>
        <v/>
      </c>
      <c r="S37" s="27">
        <f>IF(N37=1,0,Q37*O37*10)</f>
        <v/>
      </c>
      <c r="T37" s="27">
        <f>IF(N37=1,0,R37+S37+P37*10)</f>
        <v/>
      </c>
      <c r="U37" s="33">
        <f>BE37</f>
        <v/>
      </c>
      <c r="V37" s="22">
        <f>IF(U37="",0,IF(U37="transition",0,IF(U37="SK",AK37,IF(U37="LB",AL37,IF(U37="ML",AM37,IF(U37="RLO",AN37,IF(U37="BD",AO37,IF(U37="BiP",AP37,IF(U37="PV",AQ37,IF(U37="OC",AR37,IF(U37="MG",AS37,0))))))))))</f>
        <v/>
      </c>
      <c r="W37" s="27">
        <f>IF(U37="BiP",Upgrades!$F$18,IF(U37="PV",Upgrades!$F$19,IF(U37="OC",Upgrades!$F$20,IF(U37="MG",Upgrades!$F$21,IF(U37="transition",-Parameters!$B$18*Parameters!$B$19,0)))))</f>
        <v/>
      </c>
      <c r="X37" s="22">
        <f>C37+T37-V37</f>
        <v/>
      </c>
      <c r="Y37" s="30">
        <f>O37*Parameters!$B$10/60*Parameters!$B$11+Q37*O37+P37</f>
        <v/>
      </c>
      <c r="Z37" s="34">
        <f>IF(U37="transition","→ Tier 3 (Galactic Arm)",IF(U37="MG","Moving Group — pocket drifts together",IF(U37="OC","Open Cluster acquired",IF(U37="PV","Peculiar Velocity — passive multiplier active",IF(U37="BiP","Binary Partner — pair bond formed",IF(AND(AU37=1,N37=0,AT37&lt;&gt;1),"Cohesion ready (waiting on completionists)","")))))) </f>
        <v/>
      </c>
      <c r="AA37" s="27">
        <f>(IF(E37=0,0,(Upgrades!$G$13+E37*Upgrades!$H$13)*POWER(Upgrades!$I$13,E37)))*(IF(Upgrades!$T$14="Stellar Kinematics",POWER(Upgrades!$U$14,F37),1)*IF(Upgrades!$T$15="Stellar Kinematics",POWER(Upgrades!$U$15,G37),1)*IF(Upgrades!$T$16="Stellar Kinematics",POWER(Upgrades!$U$16,H37),1)*IF(Upgrades!$T$17="Stellar Kinematics",POWER(Upgrades!$U$17,I37),1)*IF(Upgrades!$T$18="Stellar Kinematics",POWER(Upgrades!$U$18,J37),1)*IF(Upgrades!$T$19="Stellar Kinematics",POWER(Upgrades!$U$19,K37),1)*IF(Upgrades!$T$20="Stellar Kinematics",POWER(Upgrades!$U$20,L37),1)*IF(Upgrades!$T$21="Stellar Kinematics",POWER(Upgrades!$U$21,M37),1))*POWER(Upgrades!$P$13,E37)*POWER(Upgrades!$P$14,F37)*POWER(Upgrades!$P$15,G37)*POWER(Upgrades!$P$16,H37)*POWER(Upgrades!$P$17,I37)*POWER(Upgrades!$P$18,J37)*POWER(Upgrades!$P$19,K37)*POWER(Upgrades!$P$20,L37)*POWER(Upgrades!$P$21,M37)*$F$6*60</f>
        <v/>
      </c>
      <c r="AB37" s="27">
        <f>(IF(F37=0,0,(Upgrades!$G$14+F37*Upgrades!$H$14)*POWER(Upgrades!$I$14,F37)))*(IF(Upgrades!$T$13="Local Bubble",POWER(Upgrades!$U$13,E37),1)*IF(Upgrades!$T$15="Local Bubble",POWER(Upgrades!$U$15,G37),1)*IF(Upgrades!$T$16="Local Bubble",POWER(Upgrades!$U$16,H37),1)*IF(Upgrades!$T$17="Local Bubble",POWER(Upgrades!$U$17,I37),1)*IF(Upgrades!$T$18="Local Bubble",POWER(Upgrades!$U$18,J37),1)*IF(Upgrades!$T$19="Local Bubble",POWER(Upgrades!$U$19,K37),1)*IF(Upgrades!$T$20="Local Bubble",POWER(Upgrades!$U$20,L37),1)*IF(Upgrades!$T$21="Local Bubble",POWER(Upgrades!$U$21,M37),1))*POWER(Upgrades!$P$13,E37)*POWER(Upgrades!$P$14,F37)*POWER(Upgrades!$P$15,G37)*POWER(Upgrades!$P$16,H37)*POWER(Upgrades!$P$17,I37)*POWER(Upgrades!$P$18,J37)*POWER(Upgrades!$P$19,K37)*POWER(Upgrades!$P$20,L37)*POWER(Upgrades!$P$21,M37)*$F$6*60</f>
        <v/>
      </c>
      <c r="AC37" s="27">
        <f>(IF(G37=0,0,(Upgrades!$J$15+G37*Upgrades!$K$15)*POWER(Upgrades!$L$15,G37)))*(IF(Upgrades!$T$13="Microlensing",POWER(Upgrades!$U$13,E37),1)*IF(Upgrades!$T$14="Microlensing",POWER(Upgrades!$U$14,F37),1)*IF(Upgrades!$T$16="Microlensing",POWER(Upgrades!$U$16,H37),1)*IF(Upgrades!$T$17="Microlensing",POWER(Upgrades!$U$17,I37),1)*IF(Upgrades!$T$18="Microlensing",POWER(Upgrades!$U$18,J37),1)*IF(Upgrades!$T$19="Microlensing",POWER(Upgrades!$U$19,K37),1)*IF(Upgrades!$T$20="Microlensing",POWER(Upgrades!$U$20,L37),1)*IF(Upgrades!$T$21="Microlensing",POWER(Upgrades!$U$21,M37),1))*POWER(Upgrades!$Q$13,E37)*POWER(Upgrades!$Q$14,F37)*POWER(Upgrades!$Q$15,G37)*POWER(Upgrades!$Q$16,H37)*POWER(Upgrades!$Q$17,I37)*POWER(Upgrades!$Q$18,J37)*POWER(Upgrades!$Q$19,K37)*POWER(Upgrades!$Q$20,L37)*POWER(Upgrades!$Q$21,M37)*$G$6*(Parameters!$B$10*Parameters!$B$11+Q37*60)</f>
        <v/>
      </c>
      <c r="AD37" s="27">
        <f>(IF(H37=0,0,(Upgrades!$M$16+H37*Upgrades!$N$16)*POWER(Upgrades!$O$16,H37)))*(IF(Upgrades!$T$13="Roche Lobe Overflow",POWER(Upgrades!$U$13,E37),1)*IF(Upgrades!$T$14="Roche Lobe Overflow",POWER(Upgrades!$U$14,F37),1)*IF(Upgrades!$T$15="Roche Lobe Overflow",POWER(Upgrades!$U$15,G37),1)*IF(Upgrades!$T$17="Roche Lobe Overflow",POWER(Upgrades!$U$17,I37),1)*IF(Upgrades!$T$18="Roche Lobe Overflow",POWER(Upgrades!$U$18,J37),1)*IF(Upgrades!$T$19="Roche Lobe Overflow",POWER(Upgrades!$U$19,K37),1)*IF(Upgrades!$T$20="Roche Lobe Overflow",POWER(Upgrades!$U$20,L37),1)*IF(Upgrades!$T$21="Roche Lobe Overflow",POWER(Upgrades!$U$21,M37),1))*POWER(Upgrades!$R$13,E37)*POWER(Upgrades!$R$14,F37)*POWER(Upgrades!$R$15,G37)*POWER(Upgrades!$R$16,H37)*POWER(Upgrades!$R$17,I37)*POWER(Upgrades!$R$18,J37)*POWER(Upgrades!$R$19,K37)*POWER(Upgrades!$R$20,L37)*POWER(Upgrades!$R$21,M37)*$H$6*O37*60</f>
        <v/>
      </c>
      <c r="AE37" s="27">
        <f>(IF(I37=0,0,(Upgrades!$G$17+I37*Upgrades!$H$17)*POWER(Upgrades!$I$17,I37)))*(IF(Upgrades!$T$13="Brown Dwarf",POWER(Upgrades!$U$13,E37),1)*IF(Upgrades!$T$14="Brown Dwarf",POWER(Upgrades!$U$14,F37),1)*IF(Upgrades!$T$15="Brown Dwarf",POWER(Upgrades!$U$15,G37),1)*IF(Upgrades!$T$16="Brown Dwarf",POWER(Upgrades!$U$16,H37),1)*IF(Upgrades!$T$18="Brown Dwarf",POWER(Upgrades!$U$18,J37),1)*IF(Upgrades!$T$19="Brown Dwarf",POWER(Upgrades!$U$19,K37),1)*IF(Upgrades!$T$20="Brown Dwarf",POWER(Upgrades!$U$20,L37),1)*IF(Upgrades!$T$21="Brown Dwarf",POWER(Upgrades!$U$21,M37),1))*POWER(Upgrades!$P$13,E37)*POWER(Upgrades!$P$14,F37)*POWER(Upgrades!$P$15,G37)*POWER(Upgrades!$P$16,H37)*POWER(Upgrades!$P$17,I37)*POWER(Upgrades!$P$18,J37)*POWER(Upgrades!$P$19,K37)*POWER(Upgrades!$P$20,L37)*POWER(Upgrades!$P$21,M37)*$F$6*60</f>
        <v/>
      </c>
      <c r="AF37" s="27" t="n">
        <v>0</v>
      </c>
      <c r="AG37" s="27" t="n">
        <v>0</v>
      </c>
      <c r="AH37" s="27" t="n">
        <v>0</v>
      </c>
      <c r="AI37" s="27">
        <f>(IF(M37=0,0,(Upgrades!$G$21+M37*Upgrades!$H$21)*POWER(Upgrades!$I$21,M37)))*(IF(Upgrades!$T$13="Moving Group",POWER(Upgrades!$U$13,E37),1)*IF(Upgrades!$T$14="Moving Group",POWER(Upgrades!$U$14,F37),1)*IF(Upgrades!$T$15="Moving Group",POWER(Upgrades!$U$15,G37),1)*IF(Upgrades!$T$16="Moving Group",POWER(Upgrades!$U$16,H37),1)*IF(Upgrades!$T$17="Moving Group",POWER(Upgrades!$U$17,I37),1)*IF(Upgrades!$T$18="Moving Group",POWER(Upgrades!$U$18,J37),1)*IF(Upgrades!$T$19="Moving Group",POWER(Upgrades!$U$19,K37),1)*IF(Upgrades!$T$20="Moving Group",POWER(Upgrades!$U$20,L37),1))*POWER(Upgrades!$P$13,E37)*POWER(Upgrades!$P$14,F37)*POWER(Upgrades!$P$15,G37)*POWER(Upgrades!$P$16,H37)*POWER(Upgrades!$P$17,I37)*POWER(Upgrades!$P$18,J37)*POWER(Upgrades!$P$19,K37)*POWER(Upgrades!$P$20,L37)*POWER(Upgrades!$P$21,M37)*$F$6*60</f>
        <v/>
      </c>
      <c r="AJ37" s="27">
        <f>$C$6*60</f>
        <v/>
      </c>
      <c r="AK37" s="22">
        <f>IF(E37&gt;=Upgrades!$E$13,"",Upgrades!$C$13*POWER(Upgrades!$D$13,E37))</f>
        <v/>
      </c>
      <c r="AL37" s="22">
        <f>IF(F37&gt;=Upgrades!$E$14,"",Upgrades!$C$14*POWER(Upgrades!$D$14,F37))</f>
        <v/>
      </c>
      <c r="AM37" s="22">
        <f>IF(G37&gt;=Upgrades!$E$15,"",Upgrades!$C$15*POWER(Upgrades!$D$15,G37))</f>
        <v/>
      </c>
      <c r="AN37" s="22">
        <f>IF(H37&gt;=Upgrades!$E$16,"",Upgrades!$C$16*POWER(Upgrades!$D$16,H37))</f>
        <v/>
      </c>
      <c r="AO37" s="22">
        <f>IF(I37&gt;=Upgrades!$E$17,"",Upgrades!$C$17*POWER(Upgrades!$D$17,I37))</f>
        <v/>
      </c>
      <c r="AP37" s="22">
        <f>IF(J37&gt;=Upgrades!$E$18,"",Upgrades!$C$18*POWER(Upgrades!$D$18,J37))</f>
        <v/>
      </c>
      <c r="AQ37" s="22">
        <f>IF(K37&gt;=Upgrades!$E$19,"",Upgrades!$C$19*POWER(Upgrades!$D$19,K37))</f>
        <v/>
      </c>
      <c r="AR37" s="22">
        <f>IF(L37&gt;=Upgrades!$E$20,"",Upgrades!$C$20*POWER(Upgrades!$D$20,L37))</f>
        <v/>
      </c>
      <c r="AS37" s="22">
        <f>IF(M37&gt;=Upgrades!$E$21,"",Upgrades!$C$21*POWER(Upgrades!$D$21,M37))</f>
        <v/>
      </c>
      <c r="AT37" s="26">
        <f>IF(AND(D37&gt;=Parameters!$B$18*Parameters!$B$19,(I37&gt;=Upgrades!$E$17)*(M37&gt;=Upgrades!$E$21)=1,N37=0),1,"")</f>
        <v/>
      </c>
      <c r="AU37" s="26">
        <f>IF(AND(D37&gt;=Parameters!$B$18*Parameters!$B$19,N37=0),1,"")</f>
        <v/>
      </c>
      <c r="AV37" s="22">
        <f>MIN(IF(ISNUMBER(AP37),AP37,9E15),IF(ISNUMBER(AQ37),AQ37,9E15),IF(ISNUMBER(AR37),AR37,9E15),IF(ISNUMBER(AS37),AS37,9E15))</f>
        <v/>
      </c>
      <c r="AW37" s="22">
        <f>MIN(IF(ISNUMBER(AK37),AK37,9E15),IF(ISNUMBER(AL37),AL37,9E15),IF(ISNUMBER(AM37),AM37,9E15),IF(ISNUMBER(AN37),AN37,9E15),IF(ISNUMBER(AO37),AO37,9E15))</f>
        <v/>
      </c>
      <c r="AX37" s="29">
        <f>IF(BD37&gt;Parameters!$B$21*(MAX(IF(AND(NOT(AND(AU37=1,AT37&lt;&gt;1)),ISNUMBER(AK37),AK37&lt;=(C37+T37)),AY37,0),IF(AND(NOT(AND(AU37=1,AT37&lt;&gt;1)),ISNUMBER(AL37),AL37&lt;=(C37+T37)),AZ37,0),IF(AND(NOT(AND(AU37=1,AT37&lt;&gt;1)),ISNUMBER(AM37),AM37&lt;=(C37+T37)),BA37,0),IF(AND(NOT(AND(AU37=1,AT37&lt;&gt;1)),ISNUMBER(AN37),AN37&lt;=(C37+T37)),BB37,0),IF(AND(ISNUMBER(AO37),AO37&lt;=(C37+T37)),BC37,0))),TRUE,FALSE)</f>
        <v/>
      </c>
      <c r="AY37" s="32">
        <f>IFERROR(Upgrades!$H$13*(POWER(Upgrades!$P$13,E37)*POWER(Upgrades!$P$14,F37)*POWER(Upgrades!$P$15,G37)*POWER(Upgrades!$P$16,H37)*POWER(Upgrades!$P$17,I37)*POWER(Upgrades!$P$18,J37)*POWER(Upgrades!$P$19,K37)*POWER(Upgrades!$P$20,L37)*POWER(Upgrades!$P$21,M37))*(IF(Upgrades!$T$14="Stellar Kinematics",POWER(Upgrades!$U$14,F37),1)*IF(Upgrades!$T$15="Stellar Kinematics",POWER(Upgrades!$U$15,G37),1)*IF(Upgrades!$T$16="Stellar Kinematics",POWER(Upgrades!$U$16,H37),1)*IF(Upgrades!$T$17="Stellar Kinematics",POWER(Upgrades!$U$17,I37),1)*IF(Upgrades!$T$18="Stellar Kinematics",POWER(Upgrades!$U$18,J37),1)*IF(Upgrades!$T$19="Stellar Kinematics",POWER(Upgrades!$U$19,K37),1)*IF(Upgrades!$T$20="Stellar Kinematics",POWER(Upgrades!$U$20,L37),1)*IF(Upgrades!$T$21="Stellar Kinematics",POWER(Upgrades!$U$21,M37),1))*$F$6/AK37,0)</f>
        <v/>
      </c>
      <c r="AZ37" s="32">
        <f>IFERROR(Upgrades!$H$14*(POWER(Upgrades!$P$13,E37)*POWER(Upgrades!$P$14,F37)*POWER(Upgrades!$P$15,G37)*POWER(Upgrades!$P$16,H37)*POWER(Upgrades!$P$17,I37)*POWER(Upgrades!$P$18,J37)*POWER(Upgrades!$P$19,K37)*POWER(Upgrades!$P$20,L37)*POWER(Upgrades!$P$21,M37))*(IF(Upgrades!$T$13="Local Bubble",POWER(Upgrades!$U$13,E37),1)*IF(Upgrades!$T$15="Local Bubble",POWER(Upgrades!$U$15,G37),1)*IF(Upgrades!$T$16="Local Bubble",POWER(Upgrades!$U$16,H37),1)*IF(Upgrades!$T$17="Local Bubble",POWER(Upgrades!$U$17,I37),1)*IF(Upgrades!$T$18="Local Bubble",POWER(Upgrades!$U$18,J37),1)*IF(Upgrades!$T$19="Local Bubble",POWER(Upgrades!$U$19,K37),1)*IF(Upgrades!$T$20="Local Bubble",POWER(Upgrades!$U$20,L37),1)*IF(Upgrades!$T$21="Local Bubble",POWER(Upgrades!$U$21,M37),1))*$F$6/AL37,0)</f>
        <v/>
      </c>
      <c r="BA37" s="32">
        <f>IFERROR(Upgrades!$K$15*(POWER(Upgrades!$Q$13,E37)*POWER(Upgrades!$Q$14,F37)*POWER(Upgrades!$Q$15,G37)*POWER(Upgrades!$Q$16,H37)*POWER(Upgrades!$Q$17,I37)*POWER(Upgrades!$Q$18,J37)*POWER(Upgrades!$Q$19,K37)*POWER(Upgrades!$Q$20,L37)*POWER(Upgrades!$Q$21,M37))*(IF(Upgrades!$T$13="Microlensing",POWER(Upgrades!$U$13,E37),1)*IF(Upgrades!$T$14="Microlensing",POWER(Upgrades!$U$14,F37),1)*IF(Upgrades!$T$16="Microlensing",POWER(Upgrades!$U$16,H37),1)*IF(Upgrades!$T$17="Microlensing",POWER(Upgrades!$U$17,I37),1)*IF(Upgrades!$T$18="Microlensing",POWER(Upgrades!$U$18,J37),1)*IF(Upgrades!$T$19="Microlensing",POWER(Upgrades!$U$19,K37),1)*IF(Upgrades!$T$20="Microlensing",POWER(Upgrades!$U$20,L37),1)*IF(Upgrades!$T$21="Microlensing",POWER(Upgrades!$U$21,M37),1))*$G$6*(Parameters!$B$10/60*Parameters!$B$11+Q37)/AM37,0)</f>
        <v/>
      </c>
      <c r="BB37" s="32">
        <f>IFERROR((Upgrades!$N$16*(POWER(Upgrades!$R$13,E37)*POWER(Upgrades!$R$14,F37)*POWER(Upgrades!$R$15,G37)*POWER(Upgrades!$R$16,H37)*POWER(Upgrades!$R$17,I37)*POWER(Upgrades!$R$18,J37)*POWER(Upgrades!$R$19,K37)*POWER(Upgrades!$R$20,L37)*POWER(Upgrades!$R$21,M37))*(IF(Upgrades!$T$13="Roche Lobe Overflow",POWER(Upgrades!$U$13,E37),1)*IF(Upgrades!$T$14="Roche Lobe Overflow",POWER(Upgrades!$U$14,F37),1)*IF(Upgrades!$T$15="Roche Lobe Overflow",POWER(Upgrades!$U$15,G37),1)*IF(Upgrades!$T$17="Roche Lobe Overflow",POWER(Upgrades!$U$17,I37),1)*IF(Upgrades!$T$18="Roche Lobe Overflow",POWER(Upgrades!$U$18,J37),1)*IF(Upgrades!$T$19="Roche Lobe Overflow",POWER(Upgrades!$U$19,K37),1)*IF(Upgrades!$T$20="Roche Lobe Overflow",POWER(Upgrades!$U$20,L37),1)*IF(Upgrades!$T$21="Roche Lobe Overflow",POWER(Upgrades!$U$21,M37),1))*$H$6*O37+((IF(F37=0,0,(Upgrades!$G$14+F37*Upgrades!$H$14)*POWER(Upgrades!$I$14,F37)))*(IF(Upgrades!$T$13="Local Bubble",POWER(Upgrades!$U$13,E37),1)*IF(Upgrades!$T$15="Local Bubble",POWER(Upgrades!$U$15,G37),1)*IF(Upgrades!$T$16="Local Bubble",POWER(Upgrades!$U$16,H37),1)*IF(Upgrades!$T$17="Local Bubble",POWER(Upgrades!$U$17,I37),1)*IF(Upgrades!$T$18="Local Bubble",POWER(Upgrades!$U$18,J37),1)*IF(Upgrades!$T$19="Local Bubble",POWER(Upgrades!$U$19,K37),1)*IF(Upgrades!$T$20="Local Bubble",POWER(Upgrades!$U$20,L37),1)*IF(Upgrades!$T$21="Local Bubble",POWER(Upgrades!$U$21,M37),1))*POWER(Upgrades!$P$13,E37)*POWER(Upgrades!$P$14,F37)*POWER(Upgrades!$P$15,G37)*POWER(Upgrades!$P$16,H37)*POWER(Upgrades!$P$17,I37)*POWER(Upgrades!$P$18,J37)*POWER(Upgrades!$P$19,K37)*POWER(Upgrades!$P$20,L37)*POWER(Upgrades!$P$21,M37)*$F$6)*0.05)/AN37,0)</f>
        <v/>
      </c>
      <c r="BC37" s="32">
        <f>IFERROR((Upgrades!$H$17*(POWER(Upgrades!$P$13,E37)*POWER(Upgrades!$P$14,F37)*POWER(Upgrades!$P$15,G37)*POWER(Upgrades!$P$16,H37)*POWER(Upgrades!$P$17,I37)*POWER(Upgrades!$P$18,J37)*POWER(Upgrades!$P$19,K37)*POWER(Upgrades!$P$20,L37)*POWER(Upgrades!$P$21,M37))*(IF(Upgrades!$T$13="Brown Dwarf",POWER(Upgrades!$U$13,E37),1)*IF(Upgrades!$T$14="Brown Dwarf",POWER(Upgrades!$U$14,F37),1)*IF(Upgrades!$T$15="Brown Dwarf",POWER(Upgrades!$U$15,G37),1)*IF(Upgrades!$T$16="Brown Dwarf",POWER(Upgrades!$U$16,H37),1)*IF(Upgrades!$T$18="Brown Dwarf",POWER(Upgrades!$U$18,J37),1)*IF(Upgrades!$T$19="Brown Dwarf",POWER(Upgrades!$U$19,K37),1)*IF(Upgrades!$T$20="Brown Dwarf",POWER(Upgrades!$U$20,L37),1)*IF(Upgrades!$T$21="Brown Dwarf",POWER(Upgrades!$U$21,M37),1))*$F$6+(((IF(H37=0,0,(Upgrades!$M$16+H37*Upgrades!$N$16)*POWER(Upgrades!$O$16,H37)))*(IF(Upgrades!$T$13="Roche Lobe Overflow",POWER(Upgrades!$U$13,E37),1)*IF(Upgrades!$T$14="Roche Lobe Overflow",POWER(Upgrades!$U$14,F37),1)*IF(Upgrades!$T$15="Roche Lobe Overflow",POWER(Upgrades!$U$15,G37),1)*IF(Upgrades!$T$17="Roche Lobe Overflow",POWER(Upgrades!$U$17,I37),1)*IF(Upgrades!$T$18="Roche Lobe Overflow",POWER(Upgrades!$U$18,J37),1)*IF(Upgrades!$T$19="Roche Lobe Overflow",POWER(Upgrades!$U$19,K37),1)*IF(Upgrades!$T$20="Roche Lobe Overflow",POWER(Upgrades!$U$20,L37),1)*IF(Upgrades!$T$21="Roche Lobe Overflow",POWER(Upgrades!$U$21,M37),1))*POWER(Upgrades!$R$13,E37)*POWER(Upgrades!$R$14,F37)*POWER(Upgrades!$R$15,G37)*POWER(Upgrades!$R$16,H37)*POWER(Upgrades!$R$17,I37)*POWER(Upgrades!$R$18,J37)*POWER(Upgrades!$R$19,K37)*POWER(Upgrades!$R$20,L37)*POWER(Upgrades!$R$21,M37)*$H$6)*O37)*0.10)/AO37,0)</f>
        <v/>
      </c>
      <c r="BD37" s="32">
        <f>MAX(IF(J37&gt;0,0,IFERROR(0.5*((IF(G37=0,0,(Upgrades!$J$15+G37*Upgrades!$K$15)*POWER(Upgrades!$L$15,G37)))*(IF(Upgrades!$T$13="Microlensing",POWER(Upgrades!$U$13,E37),1)*IF(Upgrades!$T$14="Microlensing",POWER(Upgrades!$U$14,F37),1)*IF(Upgrades!$T$16="Microlensing",POWER(Upgrades!$U$16,H37),1)*IF(Upgrades!$T$17="Microlensing",POWER(Upgrades!$U$17,I37),1)*IF(Upgrades!$T$18="Microlensing",POWER(Upgrades!$U$18,J37),1)*IF(Upgrades!$T$19="Microlensing",POWER(Upgrades!$U$19,K37),1)*IF(Upgrades!$T$20="Microlensing",POWER(Upgrades!$U$20,L37),1)*IF(Upgrades!$T$21="Microlensing",POWER(Upgrades!$U$21,M37),1))*(POWER(Upgrades!$Q$13,E37)*POWER(Upgrades!$Q$14,F37)*POWER(Upgrades!$Q$15,G37)*POWER(Upgrades!$Q$16,H37)*POWER(Upgrades!$Q$17,I37)*POWER(Upgrades!$Q$18,J37)*POWER(Upgrades!$Q$19,K37)*POWER(Upgrades!$Q$20,L37)*POWER(Upgrades!$Q$21,M37))*$G$6*(Parameters!$B$10/60*Parameters!$B$11+Q37))/Upgrades!$C$18,0)),IF(K37&gt;0,0,IFERROR(0.30*P37/Upgrades!$C$19,0)),IF(L37&gt;0,0,IFERROR(0.0001/Upgrades!$C$20,0)),IF(M37&gt;0,0,IFERROR((6.0*(POWER(Upgrades!$P$13,E37)*POWER(Upgrades!$P$14,F37)*POWER(Upgrades!$P$15,G37)*POWER(Upgrades!$P$16,H37)*POWER(Upgrades!$P$17,I37)*POWER(Upgrades!$P$18,J37)*POWER(Upgrades!$P$19,K37)*POWER(Upgrades!$P$20,L37)*POWER(Upgrades!$P$21,M37))*$F$6+0.20*O37*(Parameters!$B$10/60*Parameters!$B$11+Q37))/Upgrades!$C$21,0)),IF(AND(ISNUMBER(AK37),AK37&gt;(C37+T37)),AY37,0),IF(AND(ISNUMBER(AL37),AL37&gt;(C37+T37)),AZ37,0),IF(AND(ISNUMBER(AM37),AM37&gt;(C37+T37)),BA37,0),IF(AND(ISNUMBER(AN37),AN37&gt;(C37+T37)),BB37,0),IF(AND(ISNUMBER(AO37),AO37&gt;(C37+T37)),BC37,0))</f>
        <v/>
      </c>
      <c r="BE37" s="29">
        <f>IF(AT37=1,"transition",IF(MIN(IF(AND(J37=0,ISNUMBER(AP37),AP37&lt;=(C37+T37)),AP37,9E15),IF(AND(K37=0,ISNUMBER(AQ37),AQ37&lt;=(C37+T37)),AQ37,9E15),IF(AND(L37=0,ISNUMBER(AR37),AR37&lt;=(C37+T37)),AR37,9E15),IF(AND(M37=0,ISNUMBER(AS37),AS37&lt;=(C37+T37)),AS37,9E15))&lt;9E15,IF(AND(AND(J37=0,ISNUMBER(AP37),AP37&lt;=(C37+T37)),AP37=MIN(IF(AND(J37=0,ISNUMBER(AP37),AP37&lt;=(C37+T37)),AP37,9E15),IF(AND(K37=0,ISNUMBER(AQ37),AQ37&lt;=(C37+T37)),AQ37,9E15),IF(AND(L37=0,ISNUMBER(AR37),AR37&lt;=(C37+T37)),AR37,9E15),IF(AND(M37=0,ISNUMBER(AS37),AS37&lt;=(C37+T37)),AS37,9E15))),"BiP",IF(AND(AND(K37=0,ISNUMBER(AQ37),AQ37&lt;=(C37+T37)),AQ37=MIN(IF(AND(J37=0,ISNUMBER(AP37),AP37&lt;=(C37+T37)),AP37,9E15),IF(AND(K37=0,ISNUMBER(AQ37),AQ37&lt;=(C37+T37)),AQ37,9E15),IF(AND(L37=0,ISNUMBER(AR37),AR37&lt;=(C37+T37)),AR37,9E15),IF(AND(M37=0,ISNUMBER(AS37),AS37&lt;=(C37+T37)),AS37,9E15))),"PV",IF(AND(AND(L37=0,ISNUMBER(AR37),AR37&lt;=(C37+T37)),AR37=MIN(IF(AND(J37=0,ISNUMBER(AP37),AP37&lt;=(C37+T37)),AP37,9E15),IF(AND(K37=0,ISNUMBER(AQ37),AQ37&lt;=(C37+T37)),AQ37,9E15),IF(AND(L37=0,ISNUMBER(AR37),AR37&lt;=(C37+T37)),AR37,9E15),IF(AND(M37=0,ISNUMBER(AS37),AS37&lt;=(C37+T37)),AS37,9E15))),"OC","MG"))),IF(AX37=TRUE,"",IF(MAX(IF(AND(NOT(AND(AU37=1,AT37&lt;&gt;1)),ISNUMBER(AK37),AK37&lt;=(C37+T37)),AY37,0),IF(AND(NOT(AND(AU37=1,AT37&lt;&gt;1)),ISNUMBER(AL37),AL37&lt;=(C37+T37)),AZ37,0),IF(AND(NOT(AND(AU37=1,AT37&lt;&gt;1)),ISNUMBER(AM37),AM37&lt;=(C37+T37)),BA37,0),IF(AND(NOT(AND(AU37=1,AT37&lt;&gt;1)),ISNUMBER(AN37),AN37&lt;=(C37+T37)),BB37,0),IF(AND(ISNUMBER(AO37),AO37&lt;=(C37+T37)),BC37,0))&lt;=0,"",IF(AND(IF(AND(NOT(AND(AU37=1,AT37&lt;&gt;1)),ISNUMBER(AK37),AK37&lt;=(C37+T37)),AY37,0)&gt;0,IF(AND(NOT(AND(AU37=1,AT37&lt;&gt;1)),ISNUMBER(AK37),AK37&lt;=(C37+T37)),AY37,0)=MAX(IF(AND(NOT(AND(AU37=1,AT37&lt;&gt;1)),ISNUMBER(AK37),AK37&lt;=(C37+T37)),AY37,0),IF(AND(NOT(AND(AU37=1,AT37&lt;&gt;1)),ISNUMBER(AL37),AL37&lt;=(C37+T37)),AZ37,0),IF(AND(NOT(AND(AU37=1,AT37&lt;&gt;1)),ISNUMBER(AM37),AM37&lt;=(C37+T37)),BA37,0),IF(AND(NOT(AND(AU37=1,AT37&lt;&gt;1)),ISNUMBER(AN37),AN37&lt;=(C37+T37)),BB37,0),IF(AND(ISNUMBER(AO37),AO37&lt;=(C37+T37)),BC37,0))),"SK",IF(AND(IF(AND(NOT(AND(AU37=1,AT37&lt;&gt;1)),ISNUMBER(AL37),AL37&lt;=(C37+T37)),AZ37,0)&gt;0,IF(AND(NOT(AND(AU37=1,AT37&lt;&gt;1)),ISNUMBER(AL37),AL37&lt;=(C37+T37)),AZ37,0)=MAX(IF(AND(NOT(AND(AU37=1,AT37&lt;&gt;1)),ISNUMBER(AK37),AK37&lt;=(C37+T37)),AY37,0),IF(AND(NOT(AND(AU37=1,AT37&lt;&gt;1)),ISNUMBER(AL37),AL37&lt;=(C37+T37)),AZ37,0),IF(AND(NOT(AND(AU37=1,AT37&lt;&gt;1)),ISNUMBER(AM37),AM37&lt;=(C37+T37)),BA37,0),IF(AND(NOT(AND(AU37=1,AT37&lt;&gt;1)),ISNUMBER(AN37),AN37&lt;=(C37+T37)),BB37,0),IF(AND(ISNUMBER(AO37),AO37&lt;=(C37+T37)),BC37,0))),"LB",IF(AND(IF(AND(NOT(AND(AU37=1,AT37&lt;&gt;1)),ISNUMBER(AM37),AM37&lt;=(C37+T37)),BA37,0)&gt;0,IF(AND(NOT(AND(AU37=1,AT37&lt;&gt;1)),ISNUMBER(AM37),AM37&lt;=(C37+T37)),BA37,0)=MAX(IF(AND(NOT(AND(AU37=1,AT37&lt;&gt;1)),ISNUMBER(AK37),AK37&lt;=(C37+T37)),AY37,0),IF(AND(NOT(AND(AU37=1,AT37&lt;&gt;1)),ISNUMBER(AL37),AL37&lt;=(C37+T37)),AZ37,0),IF(AND(NOT(AND(AU37=1,AT37&lt;&gt;1)),ISNUMBER(AM37),AM37&lt;=(C37+T37)),BA37,0),IF(AND(NOT(AND(AU37=1,AT37&lt;&gt;1)),ISNUMBER(AN37),AN37&lt;=(C37+T37)),BB37,0),IF(AND(ISNUMBER(AO37),AO37&lt;=(C37+T37)),BC37,0))),"ML",IF(AND(IF(AND(NOT(AND(AU37=1,AT37&lt;&gt;1)),ISNUMBER(AN37),AN37&lt;=(C37+T37)),BB37,0)&gt;0,IF(AND(NOT(AND(AU37=1,AT37&lt;&gt;1)),ISNUMBER(AN37),AN37&lt;=(C37+T37)),BB37,0)=MAX(IF(AND(NOT(AND(AU37=1,AT37&lt;&gt;1)),ISNUMBER(AK37),AK37&lt;=(C37+T37)),AY37,0),IF(AND(NOT(AND(AU37=1,AT37&lt;&gt;1)),ISNUMBER(AL37),AL37&lt;=(C37+T37)),AZ37,0),IF(AND(NOT(AND(AU37=1,AT37&lt;&gt;1)),ISNUMBER(AM37),AM37&lt;=(C37+T37)),BA37,0),IF(AND(NOT(AND(AU37=1,AT37&lt;&gt;1)),ISNUMBER(AN37),AN37&lt;=(C37+T37)),BB37,0),IF(AND(ISNUMBER(AO37),AO37&lt;=(C37+T37)),BC37,0))),"RLO","BD"))))))))</f>
        <v/>
      </c>
    </row>
    <row r="38">
      <c r="A38" s="26" t="n">
        <v>27</v>
      </c>
      <c r="B38" s="27">
        <f>A38*10/60</f>
        <v/>
      </c>
      <c r="C38" s="22">
        <f>X37</f>
        <v/>
      </c>
      <c r="D38" s="27">
        <f>D37+W37</f>
        <v/>
      </c>
      <c r="E38" s="26">
        <f>E37+IF(U37="SK",1,0)</f>
        <v/>
      </c>
      <c r="F38" s="26">
        <f>F37+IF(U37="LB",1,0)</f>
        <v/>
      </c>
      <c r="G38" s="26">
        <f>G37+IF(U37="ML",1,0)</f>
        <v/>
      </c>
      <c r="H38" s="26">
        <f>H37+IF(U37="RLO",1,0)</f>
        <v/>
      </c>
      <c r="I38" s="26">
        <f>I37+IF(U37="BD",1,0)</f>
        <v/>
      </c>
      <c r="J38" s="26">
        <f>MAX(J37,IF(U37="BiP",1,0))</f>
        <v/>
      </c>
      <c r="K38" s="26">
        <f>MAX(K37,IF(U37="PV",1,0))</f>
        <v/>
      </c>
      <c r="L38" s="26">
        <f>MAX(L37,IF(U37="OC",1,0))</f>
        <v/>
      </c>
      <c r="M38" s="26">
        <f>MAX(M37,IF(U37="MG",1,0))</f>
        <v/>
      </c>
      <c r="N38" s="26">
        <f>MAX(N37,IF(U37="transition",1,0))</f>
        <v/>
      </c>
      <c r="O38" s="28">
        <f>(Parameters!$B$9+(IF(E38=0,0,(Upgrades!$J$13+E38*Upgrades!$K$13)*POWER(Upgrades!$L$13,E38)))*(IF(Upgrades!$T$14="Stellar Kinematics",POWER(Upgrades!$U$14,F38),1)*IF(Upgrades!$T$15="Stellar Kinematics",POWER(Upgrades!$U$15,G38),1)*IF(Upgrades!$T$16="Stellar Kinematics",POWER(Upgrades!$U$16,H38),1)*IF(Upgrades!$T$17="Stellar Kinematics",POWER(Upgrades!$U$17,I38),1)*IF(Upgrades!$T$18="Stellar Kinematics",POWER(Upgrades!$U$18,J38),1)*IF(Upgrades!$T$19="Stellar Kinematics",POWER(Upgrades!$U$19,K38),1)*IF(Upgrades!$T$20="Stellar Kinematics",POWER(Upgrades!$U$20,L38),1)*IF(Upgrades!$T$21="Stellar Kinematics",POWER(Upgrades!$U$21,M38),1))+(IF(F38=0,0,(Upgrades!$J$14+F38*Upgrades!$K$14)*POWER(Upgrades!$L$14,F38)))*(IF(Upgrades!$T$13="Local Bubble",POWER(Upgrades!$U$13,E38),1)*IF(Upgrades!$T$15="Local Bubble",POWER(Upgrades!$U$15,G38),1)*IF(Upgrades!$T$16="Local Bubble",POWER(Upgrades!$U$16,H38),1)*IF(Upgrades!$T$17="Local Bubble",POWER(Upgrades!$U$17,I38),1)*IF(Upgrades!$T$18="Local Bubble",POWER(Upgrades!$U$18,J38),1)*IF(Upgrades!$T$19="Local Bubble",POWER(Upgrades!$U$19,K38),1)*IF(Upgrades!$T$20="Local Bubble",POWER(Upgrades!$U$20,L38),1)*IF(Upgrades!$T$21="Local Bubble",POWER(Upgrades!$U$21,M38),1))+(IF(G38=0,0,(Upgrades!$J$15+G38*Upgrades!$K$15)*POWER(Upgrades!$L$15,G38)))*(IF(Upgrades!$T$13="Microlensing",POWER(Upgrades!$U$13,E38),1)*IF(Upgrades!$T$14="Microlensing",POWER(Upgrades!$U$14,F38),1)*IF(Upgrades!$T$16="Microlensing",POWER(Upgrades!$U$16,H38),1)*IF(Upgrades!$T$17="Microlensing",POWER(Upgrades!$U$17,I38),1)*IF(Upgrades!$T$18="Microlensing",POWER(Upgrades!$U$18,J38),1)*IF(Upgrades!$T$19="Microlensing",POWER(Upgrades!$U$19,K38),1)*IF(Upgrades!$T$20="Microlensing",POWER(Upgrades!$U$20,L38),1)*IF(Upgrades!$T$21="Microlensing",POWER(Upgrades!$U$21,M38),1))+(IF(H38=0,0,(Upgrades!$J$16+H38*Upgrades!$K$16)*POWER(Upgrades!$L$16,H38)))*(IF(Upgrades!$T$13="Roche Lobe Overflow",POWER(Upgrades!$U$13,E38),1)*IF(Upgrades!$T$14="Roche Lobe Overflow",POWER(Upgrades!$U$14,F38),1)*IF(Upgrades!$T$15="Roche Lobe Overflow",POWER(Upgrades!$U$15,G38),1)*IF(Upgrades!$T$17="Roche Lobe Overflow",POWER(Upgrades!$U$17,I38),1)*IF(Upgrades!$T$18="Roche Lobe Overflow",POWER(Upgrades!$U$18,J38),1)*IF(Upgrades!$T$19="Roche Lobe Overflow",POWER(Upgrades!$U$19,K38),1)*IF(Upgrades!$T$20="Roche Lobe Overflow",POWER(Upgrades!$U$20,L38),1)*IF(Upgrades!$T$21="Roche Lobe Overflow",POWER(Upgrades!$U$21,M38),1))+(IF(I38=0,0,(Upgrades!$J$17+I38*Upgrades!$K$17)*POWER(Upgrades!$L$17,I38)))*(IF(Upgrades!$T$13="Brown Dwarf",POWER(Upgrades!$U$13,E38),1)*IF(Upgrades!$T$14="Brown Dwarf",POWER(Upgrades!$U$14,F38),1)*IF(Upgrades!$T$15="Brown Dwarf",POWER(Upgrades!$U$15,G38),1)*IF(Upgrades!$T$16="Brown Dwarf",POWER(Upgrades!$U$16,H38),1)*IF(Upgrades!$T$18="Brown Dwarf",POWER(Upgrades!$U$18,J38),1)*IF(Upgrades!$T$19="Brown Dwarf",POWER(Upgrades!$U$19,K38),1)*IF(Upgrades!$T$20="Brown Dwarf",POWER(Upgrades!$U$20,L38),1)*IF(Upgrades!$T$21="Brown Dwarf",POWER(Upgrades!$U$21,M38),1))+(IF(J38=0,0,(Upgrades!$J$18+J38*Upgrades!$K$18)*POWER(Upgrades!$L$18,J38)))*(IF(Upgrades!$T$13="Binary Partner",POWER(Upgrades!$U$13,E38),1)*IF(Upgrades!$T$14="Binary Partner",POWER(Upgrades!$U$14,F38),1)*IF(Upgrades!$T$15="Binary Partner",POWER(Upgrades!$U$15,G38),1)*IF(Upgrades!$T$16="Binary Partner",POWER(Upgrades!$U$16,H38),1)*IF(Upgrades!$T$17="Binary Partner",POWER(Upgrades!$U$17,I38),1)*IF(Upgrades!$T$19="Binary Partner",POWER(Upgrades!$U$19,K38),1)*IF(Upgrades!$T$20="Binary Partner",POWER(Upgrades!$U$20,L38),1)*IF(Upgrades!$T$21="Binary Partner",POWER(Upgrades!$U$21,M38),1))+(IF(K38=0,0,(Upgrades!$J$19+K38*Upgrades!$K$19)*POWER(Upgrades!$L$19,K38)))*(IF(Upgrades!$T$13="Peculiar Velocity",POWER(Upgrades!$U$13,E38),1)*IF(Upgrades!$T$14="Peculiar Velocity",POWER(Upgrades!$U$14,F38),1)*IF(Upgrades!$T$15="Peculiar Velocity",POWER(Upgrades!$U$15,G38),1)*IF(Upgrades!$T$16="Peculiar Velocity",POWER(Upgrades!$U$16,H38),1)*IF(Upgrades!$T$17="Peculiar Velocity",POWER(Upgrades!$U$17,I38),1)*IF(Upgrades!$T$18="Peculiar Velocity",POWER(Upgrades!$U$18,J38),1)*IF(Upgrades!$T$20="Peculiar Velocity",POWER(Upgrades!$U$20,L38),1)*IF(Upgrades!$T$21="Peculiar Velocity",POWER(Upgrades!$U$21,M38),1))+(IF(L38=0,0,(Upgrades!$J$20+L38*Upgrades!$K$20)*POWER(Upgrades!$L$20,L38)))*(IF(Upgrades!$T$13="Open Cluster",POWER(Upgrades!$U$13,E38),1)*IF(Upgrades!$T$14="Open Cluster",POWER(Upgrades!$U$14,F38),1)*IF(Upgrades!$T$15="Open Cluster",POWER(Upgrades!$U$15,G38),1)*IF(Upgrades!$T$16="Open Cluster",POWER(Upgrades!$U$16,H38),1)*IF(Upgrades!$T$17="Open Cluster",POWER(Upgrades!$U$17,I38),1)*IF(Upgrades!$T$18="Open Cluster",POWER(Upgrades!$U$18,J38),1)*IF(Upgrades!$T$19="Open Cluster",POWER(Upgrades!$U$19,K38),1)*IF(Upgrades!$T$21="Open Cluster",POWER(Upgrades!$U$21,M38),1))+(IF(M38=0,0,(Upgrades!$J$21+M38*Upgrades!$K$21)*POWER(Upgrades!$L$21,M38)))*(IF(Upgrades!$T$13="Moving Group",POWER(Upgrades!$U$13,E38),1)*IF(Upgrades!$T$14="Moving Group",POWER(Upgrades!$U$14,F38),1)*IF(Upgrades!$T$15="Moving Group",POWER(Upgrades!$U$15,G38),1)*IF(Upgrades!$T$16="Moving Group",POWER(Upgrades!$U$16,H38),1)*IF(Upgrades!$T$17="Moving Group",POWER(Upgrades!$U$17,I38),1)*IF(Upgrades!$T$18="Moving Group",POWER(Upgrades!$U$18,J38),1)*IF(Upgrades!$T$19="Moving Group",POWER(Upgrades!$U$19,K38),1)*IF(Upgrades!$T$20="Moving Group",POWER(Upgrades!$U$20,L38),1)))*POWER(Upgrades!$Q$13,E38)*POWER(Upgrades!$Q$14,F38)*POWER(Upgrades!$Q$15,G38)*POWER(Upgrades!$Q$16,H38)*POWER(Upgrades!$Q$17,I38)*POWER(Upgrades!$Q$18,J38)*POWER(Upgrades!$Q$19,K38)*POWER(Upgrades!$Q$20,L38)*POWER(Upgrades!$Q$21,M38)*$G$6+$D$6</f>
        <v/>
      </c>
      <c r="P38" s="28">
        <f>((IF(E38=0,0,(Upgrades!$G$13+E38*Upgrades!$H$13)*POWER(Upgrades!$I$13,E38)))*(IF(Upgrades!$T$14="Stellar Kinematics",POWER(Upgrades!$U$14,F38),1)*IF(Upgrades!$T$15="Stellar Kinematics",POWER(Upgrades!$U$15,G38),1)*IF(Upgrades!$T$16="Stellar Kinematics",POWER(Upgrades!$U$16,H38),1)*IF(Upgrades!$T$17="Stellar Kinematics",POWER(Upgrades!$U$17,I38),1)*IF(Upgrades!$T$18="Stellar Kinematics",POWER(Upgrades!$U$18,J38),1)*IF(Upgrades!$T$19="Stellar Kinematics",POWER(Upgrades!$U$19,K38),1)*IF(Upgrades!$T$20="Stellar Kinematics",POWER(Upgrades!$U$20,L38),1)*IF(Upgrades!$T$21="Stellar Kinematics",POWER(Upgrades!$U$21,M38),1))+(IF(F38=0,0,(Upgrades!$G$14+F38*Upgrades!$H$14)*POWER(Upgrades!$I$14,F38)))*(IF(Upgrades!$T$13="Local Bubble",POWER(Upgrades!$U$13,E38),1)*IF(Upgrades!$T$15="Local Bubble",POWER(Upgrades!$U$15,G38),1)*IF(Upgrades!$T$16="Local Bubble",POWER(Upgrades!$U$16,H38),1)*IF(Upgrades!$T$17="Local Bubble",POWER(Upgrades!$U$17,I38),1)*IF(Upgrades!$T$18="Local Bubble",POWER(Upgrades!$U$18,J38),1)*IF(Upgrades!$T$19="Local Bubble",POWER(Upgrades!$U$19,K38),1)*IF(Upgrades!$T$20="Local Bubble",POWER(Upgrades!$U$20,L38),1)*IF(Upgrades!$T$21="Local Bubble",POWER(Upgrades!$U$21,M38),1))+(IF(G38=0,0,(Upgrades!$G$15+G38*Upgrades!$H$15)*POWER(Upgrades!$I$15,G38)))*(IF(Upgrades!$T$13="Microlensing",POWER(Upgrades!$U$13,E38),1)*IF(Upgrades!$T$14="Microlensing",POWER(Upgrades!$U$14,F38),1)*IF(Upgrades!$T$16="Microlensing",POWER(Upgrades!$U$16,H38),1)*IF(Upgrades!$T$17="Microlensing",POWER(Upgrades!$U$17,I38),1)*IF(Upgrades!$T$18="Microlensing",POWER(Upgrades!$U$18,J38),1)*IF(Upgrades!$T$19="Microlensing",POWER(Upgrades!$U$19,K38),1)*IF(Upgrades!$T$20="Microlensing",POWER(Upgrades!$U$20,L38),1)*IF(Upgrades!$T$21="Microlensing",POWER(Upgrades!$U$21,M38),1))+(IF(H38=0,0,(Upgrades!$G$16+H38*Upgrades!$H$16)*POWER(Upgrades!$I$16,H38)))*(IF(Upgrades!$T$13="Roche Lobe Overflow",POWER(Upgrades!$U$13,E38),1)*IF(Upgrades!$T$14="Roche Lobe Overflow",POWER(Upgrades!$U$14,F38),1)*IF(Upgrades!$T$15="Roche Lobe Overflow",POWER(Upgrades!$U$15,G38),1)*IF(Upgrades!$T$17="Roche Lobe Overflow",POWER(Upgrades!$U$17,I38),1)*IF(Upgrades!$T$18="Roche Lobe Overflow",POWER(Upgrades!$U$18,J38),1)*IF(Upgrades!$T$19="Roche Lobe Overflow",POWER(Upgrades!$U$19,K38),1)*IF(Upgrades!$T$20="Roche Lobe Overflow",POWER(Upgrades!$U$20,L38),1)*IF(Upgrades!$T$21="Roche Lobe Overflow",POWER(Upgrades!$U$21,M38),1))+(IF(I38=0,0,(Upgrades!$G$17+I38*Upgrades!$H$17)*POWER(Upgrades!$I$17,I38)))*(IF(Upgrades!$T$13="Brown Dwarf",POWER(Upgrades!$U$13,E38),1)*IF(Upgrades!$T$14="Brown Dwarf",POWER(Upgrades!$U$14,F38),1)*IF(Upgrades!$T$15="Brown Dwarf",POWER(Upgrades!$U$15,G38),1)*IF(Upgrades!$T$16="Brown Dwarf",POWER(Upgrades!$U$16,H38),1)*IF(Upgrades!$T$18="Brown Dwarf",POWER(Upgrades!$U$18,J38),1)*IF(Upgrades!$T$19="Brown Dwarf",POWER(Upgrades!$U$19,K38),1)*IF(Upgrades!$T$20="Brown Dwarf",POWER(Upgrades!$U$20,L38),1)*IF(Upgrades!$T$21="Brown Dwarf",POWER(Upgrades!$U$21,M38),1))+(IF(J38=0,0,(Upgrades!$G$18+J38*Upgrades!$H$18)*POWER(Upgrades!$I$18,J38)))*(IF(Upgrades!$T$13="Binary Partner",POWER(Upgrades!$U$13,E38),1)*IF(Upgrades!$T$14="Binary Partner",POWER(Upgrades!$U$14,F38),1)*IF(Upgrades!$T$15="Binary Partner",POWER(Upgrades!$U$15,G38),1)*IF(Upgrades!$T$16="Binary Partner",POWER(Upgrades!$U$16,H38),1)*IF(Upgrades!$T$17="Binary Partner",POWER(Upgrades!$U$17,I38),1)*IF(Upgrades!$T$19="Binary Partner",POWER(Upgrades!$U$19,K38),1)*IF(Upgrades!$T$20="Binary Partner",POWER(Upgrades!$U$20,L38),1)*IF(Upgrades!$T$21="Binary Partner",POWER(Upgrades!$U$21,M38),1))+(IF(K38=0,0,(Upgrades!$G$19+K38*Upgrades!$H$19)*POWER(Upgrades!$I$19,K38)))*(IF(Upgrades!$T$13="Peculiar Velocity",POWER(Upgrades!$U$13,E38),1)*IF(Upgrades!$T$14="Peculiar Velocity",POWER(Upgrades!$U$14,F38),1)*IF(Upgrades!$T$15="Peculiar Velocity",POWER(Upgrades!$U$15,G38),1)*IF(Upgrades!$T$16="Peculiar Velocity",POWER(Upgrades!$U$16,H38),1)*IF(Upgrades!$T$17="Peculiar Velocity",POWER(Upgrades!$U$17,I38),1)*IF(Upgrades!$T$18="Peculiar Velocity",POWER(Upgrades!$U$18,J38),1)*IF(Upgrades!$T$20="Peculiar Velocity",POWER(Upgrades!$U$20,L38),1)*IF(Upgrades!$T$21="Peculiar Velocity",POWER(Upgrades!$U$21,M38),1))+(IF(L38=0,0,(Upgrades!$G$20+L38*Upgrades!$H$20)*POWER(Upgrades!$I$20,L38)))*(IF(Upgrades!$T$13="Open Cluster",POWER(Upgrades!$U$13,E38),1)*IF(Upgrades!$T$14="Open Cluster",POWER(Upgrades!$U$14,F38),1)*IF(Upgrades!$T$15="Open Cluster",POWER(Upgrades!$U$15,G38),1)*IF(Upgrades!$T$16="Open Cluster",POWER(Upgrades!$U$16,H38),1)*IF(Upgrades!$T$17="Open Cluster",POWER(Upgrades!$U$17,I38),1)*IF(Upgrades!$T$18="Open Cluster",POWER(Upgrades!$U$18,J38),1)*IF(Upgrades!$T$19="Open Cluster",POWER(Upgrades!$U$19,K38),1)*IF(Upgrades!$T$21="Open Cluster",POWER(Upgrades!$U$21,M38),1))+(IF(M38=0,0,(Upgrades!$G$21+M38*Upgrades!$H$21)*POWER(Upgrades!$I$21,M38)))*(IF(Upgrades!$T$13="Moving Group",POWER(Upgrades!$U$13,E38),1)*IF(Upgrades!$T$14="Moving Group",POWER(Upgrades!$U$14,F38),1)*IF(Upgrades!$T$15="Moving Group",POWER(Upgrades!$U$15,G38),1)*IF(Upgrades!$T$16="Moving Group",POWER(Upgrades!$U$16,H38),1)*IF(Upgrades!$T$17="Moving Group",POWER(Upgrades!$U$17,I38),1)*IF(Upgrades!$T$18="Moving Group",POWER(Upgrades!$U$18,J38),1)*IF(Upgrades!$T$19="Moving Group",POWER(Upgrades!$U$19,K38),1)*IF(Upgrades!$T$20="Moving Group",POWER(Upgrades!$U$20,L38),1)))*POWER(Upgrades!$P$13,E38)*POWER(Upgrades!$P$14,F38)*POWER(Upgrades!$P$15,G38)*POWER(Upgrades!$P$16,H38)*POWER(Upgrades!$P$17,I38)*POWER(Upgrades!$P$18,J38)*POWER(Upgrades!$P$19,K38)*POWER(Upgrades!$P$20,L38)*POWER(Upgrades!$P$21,M38)*$F$6+$C$6</f>
        <v/>
      </c>
      <c r="Q38" s="28">
        <f>((IF(E38=0,0,(Upgrades!$M$13+E38*Upgrades!$N$13)*POWER(Upgrades!$O$13,E38)))*(IF(Upgrades!$T$14="Stellar Kinematics",POWER(Upgrades!$U$14,F38),1)*IF(Upgrades!$T$15="Stellar Kinematics",POWER(Upgrades!$U$15,G38),1)*IF(Upgrades!$T$16="Stellar Kinematics",POWER(Upgrades!$U$16,H38),1)*IF(Upgrades!$T$17="Stellar Kinematics",POWER(Upgrades!$U$17,I38),1)*IF(Upgrades!$T$18="Stellar Kinematics",POWER(Upgrades!$U$18,J38),1)*IF(Upgrades!$T$19="Stellar Kinematics",POWER(Upgrades!$U$19,K38),1)*IF(Upgrades!$T$20="Stellar Kinematics",POWER(Upgrades!$U$20,L38),1)*IF(Upgrades!$T$21="Stellar Kinematics",POWER(Upgrades!$U$21,M38),1))+(IF(F38=0,0,(Upgrades!$M$14+F38*Upgrades!$N$14)*POWER(Upgrades!$O$14,F38)))*(IF(Upgrades!$T$13="Local Bubble",POWER(Upgrades!$U$13,E38),1)*IF(Upgrades!$T$15="Local Bubble",POWER(Upgrades!$U$15,G38),1)*IF(Upgrades!$T$16="Local Bubble",POWER(Upgrades!$U$16,H38),1)*IF(Upgrades!$T$17="Local Bubble",POWER(Upgrades!$U$17,I38),1)*IF(Upgrades!$T$18="Local Bubble",POWER(Upgrades!$U$18,J38),1)*IF(Upgrades!$T$19="Local Bubble",POWER(Upgrades!$U$19,K38),1)*IF(Upgrades!$T$20="Local Bubble",POWER(Upgrades!$U$20,L38),1)*IF(Upgrades!$T$21="Local Bubble",POWER(Upgrades!$U$21,M38),1))+(IF(G38=0,0,(Upgrades!$M$15+G38*Upgrades!$N$15)*POWER(Upgrades!$O$15,G38)))*(IF(Upgrades!$T$13="Microlensing",POWER(Upgrades!$U$13,E38),1)*IF(Upgrades!$T$14="Microlensing",POWER(Upgrades!$U$14,F38),1)*IF(Upgrades!$T$16="Microlensing",POWER(Upgrades!$U$16,H38),1)*IF(Upgrades!$T$17="Microlensing",POWER(Upgrades!$U$17,I38),1)*IF(Upgrades!$T$18="Microlensing",POWER(Upgrades!$U$18,J38),1)*IF(Upgrades!$T$19="Microlensing",POWER(Upgrades!$U$19,K38),1)*IF(Upgrades!$T$20="Microlensing",POWER(Upgrades!$U$20,L38),1)*IF(Upgrades!$T$21="Microlensing",POWER(Upgrades!$U$21,M38),1))+(IF(H38=0,0,(Upgrades!$M$16+H38*Upgrades!$N$16)*POWER(Upgrades!$O$16,H38)))*(IF(Upgrades!$T$13="Roche Lobe Overflow",POWER(Upgrades!$U$13,E38),1)*IF(Upgrades!$T$14="Roche Lobe Overflow",POWER(Upgrades!$U$14,F38),1)*IF(Upgrades!$T$15="Roche Lobe Overflow",POWER(Upgrades!$U$15,G38),1)*IF(Upgrades!$T$17="Roche Lobe Overflow",POWER(Upgrades!$U$17,I38),1)*IF(Upgrades!$T$18="Roche Lobe Overflow",POWER(Upgrades!$U$18,J38),1)*IF(Upgrades!$T$19="Roche Lobe Overflow",POWER(Upgrades!$U$19,K38),1)*IF(Upgrades!$T$20="Roche Lobe Overflow",POWER(Upgrades!$U$20,L38),1)*IF(Upgrades!$T$21="Roche Lobe Overflow",POWER(Upgrades!$U$21,M38),1))+(IF(I38=0,0,(Upgrades!$M$17+I38*Upgrades!$N$17)*POWER(Upgrades!$O$17,I38)))*(IF(Upgrades!$T$13="Brown Dwarf",POWER(Upgrades!$U$13,E38),1)*IF(Upgrades!$T$14="Brown Dwarf",POWER(Upgrades!$U$14,F38),1)*IF(Upgrades!$T$15="Brown Dwarf",POWER(Upgrades!$U$15,G38),1)*IF(Upgrades!$T$16="Brown Dwarf",POWER(Upgrades!$U$16,H38),1)*IF(Upgrades!$T$18="Brown Dwarf",POWER(Upgrades!$U$18,J38),1)*IF(Upgrades!$T$19="Brown Dwarf",POWER(Upgrades!$U$19,K38),1)*IF(Upgrades!$T$20="Brown Dwarf",POWER(Upgrades!$U$20,L38),1)*IF(Upgrades!$T$21="Brown Dwarf",POWER(Upgrades!$U$21,M38),1))+(IF(J38=0,0,(Upgrades!$M$18+J38*Upgrades!$N$18)*POWER(Upgrades!$O$18,J38)))*(IF(Upgrades!$T$13="Binary Partner",POWER(Upgrades!$U$13,E38),1)*IF(Upgrades!$T$14="Binary Partner",POWER(Upgrades!$U$14,F38),1)*IF(Upgrades!$T$15="Binary Partner",POWER(Upgrades!$U$15,G38),1)*IF(Upgrades!$T$16="Binary Partner",POWER(Upgrades!$U$16,H38),1)*IF(Upgrades!$T$17="Binary Partner",POWER(Upgrades!$U$17,I38),1)*IF(Upgrades!$T$19="Binary Partner",POWER(Upgrades!$U$19,K38),1)*IF(Upgrades!$T$20="Binary Partner",POWER(Upgrades!$U$20,L38),1)*IF(Upgrades!$T$21="Binary Partner",POWER(Upgrades!$U$21,M38),1))+(IF(K38=0,0,(Upgrades!$M$19+K38*Upgrades!$N$19)*POWER(Upgrades!$O$19,K38)))*(IF(Upgrades!$T$13="Peculiar Velocity",POWER(Upgrades!$U$13,E38),1)*IF(Upgrades!$T$14="Peculiar Velocity",POWER(Upgrades!$U$14,F38),1)*IF(Upgrades!$T$15="Peculiar Velocity",POWER(Upgrades!$U$15,G38),1)*IF(Upgrades!$T$16="Peculiar Velocity",POWER(Upgrades!$U$16,H38),1)*IF(Upgrades!$T$17="Peculiar Velocity",POWER(Upgrades!$U$17,I38),1)*IF(Upgrades!$T$18="Peculiar Velocity",POWER(Upgrades!$U$18,J38),1)*IF(Upgrades!$T$20="Peculiar Velocity",POWER(Upgrades!$U$20,L38),1)*IF(Upgrades!$T$21="Peculiar Velocity",POWER(Upgrades!$U$21,M38),1))+(IF(L38=0,0,(Upgrades!$M$20+L38*Upgrades!$N$20)*POWER(Upgrades!$O$20,L38)))*(IF(Upgrades!$T$13="Open Cluster",POWER(Upgrades!$U$13,E38),1)*IF(Upgrades!$T$14="Open Cluster",POWER(Upgrades!$U$14,F38),1)*IF(Upgrades!$T$15="Open Cluster",POWER(Upgrades!$U$15,G38),1)*IF(Upgrades!$T$16="Open Cluster",POWER(Upgrades!$U$16,H38),1)*IF(Upgrades!$T$17="Open Cluster",POWER(Upgrades!$U$17,I38),1)*IF(Upgrades!$T$18="Open Cluster",POWER(Upgrades!$U$18,J38),1)*IF(Upgrades!$T$19="Open Cluster",POWER(Upgrades!$U$19,K38),1)*IF(Upgrades!$T$21="Open Cluster",POWER(Upgrades!$U$21,M38),1))+(IF(M38=0,0,(Upgrades!$M$21+M38*Upgrades!$N$21)*POWER(Upgrades!$O$21,M38)))*(IF(Upgrades!$T$13="Moving Group",POWER(Upgrades!$U$13,E38),1)*IF(Upgrades!$T$14="Moving Group",POWER(Upgrades!$U$14,F38),1)*IF(Upgrades!$T$15="Moving Group",POWER(Upgrades!$U$15,G38),1)*IF(Upgrades!$T$16="Moving Group",POWER(Upgrades!$U$16,H38),1)*IF(Upgrades!$T$17="Moving Group",POWER(Upgrades!$U$17,I38),1)*IF(Upgrades!$T$18="Moving Group",POWER(Upgrades!$U$18,J38),1)*IF(Upgrades!$T$19="Moving Group",POWER(Upgrades!$U$19,K38),1)*IF(Upgrades!$T$20="Moving Group",POWER(Upgrades!$U$20,L38),1)))*POWER(Upgrades!$R$13,E38)*POWER(Upgrades!$R$14,F38)*POWER(Upgrades!$R$15,G38)*POWER(Upgrades!$R$16,H38)*POWER(Upgrades!$R$17,I38)*POWER(Upgrades!$R$18,J38)*POWER(Upgrades!$R$19,K38)*POWER(Upgrades!$R$20,L38)*POWER(Upgrades!$R$21,M38)*$H$6+$E$6</f>
        <v/>
      </c>
      <c r="R38" s="27">
        <f>IF(N38=1,0,O38*Parameters!$B$10/60*Parameters!$B$11*10)</f>
        <v/>
      </c>
      <c r="S38" s="27">
        <f>IF(N38=1,0,Q38*O38*10)</f>
        <v/>
      </c>
      <c r="T38" s="27">
        <f>IF(N38=1,0,R38+S38+P38*10)</f>
        <v/>
      </c>
      <c r="U38" s="33">
        <f>BE38</f>
        <v/>
      </c>
      <c r="V38" s="22">
        <f>IF(U38="",0,IF(U38="transition",0,IF(U38="SK",AK38,IF(U38="LB",AL38,IF(U38="ML",AM38,IF(U38="RLO",AN38,IF(U38="BD",AO38,IF(U38="BiP",AP38,IF(U38="PV",AQ38,IF(U38="OC",AR38,IF(U38="MG",AS38,0))))))))))</f>
        <v/>
      </c>
      <c r="W38" s="27">
        <f>IF(U38="BiP",Upgrades!$F$18,IF(U38="PV",Upgrades!$F$19,IF(U38="OC",Upgrades!$F$20,IF(U38="MG",Upgrades!$F$21,IF(U38="transition",-Parameters!$B$18*Parameters!$B$19,0)))))</f>
        <v/>
      </c>
      <c r="X38" s="22">
        <f>C38+T38-V38</f>
        <v/>
      </c>
      <c r="Y38" s="30">
        <f>O38*Parameters!$B$10/60*Parameters!$B$11+Q38*O38+P38</f>
        <v/>
      </c>
      <c r="Z38" s="34">
        <f>IF(U38="transition","→ Tier 3 (Galactic Arm)",IF(U38="MG","Moving Group — pocket drifts together",IF(U38="OC","Open Cluster acquired",IF(U38="PV","Peculiar Velocity — passive multiplier active",IF(U38="BiP","Binary Partner — pair bond formed",IF(AND(AU38=1,N38=0,AT38&lt;&gt;1),"Cohesion ready (waiting on completionists)","")))))) </f>
        <v/>
      </c>
      <c r="AA38" s="27">
        <f>(IF(E38=0,0,(Upgrades!$G$13+E38*Upgrades!$H$13)*POWER(Upgrades!$I$13,E38)))*(IF(Upgrades!$T$14="Stellar Kinematics",POWER(Upgrades!$U$14,F38),1)*IF(Upgrades!$T$15="Stellar Kinematics",POWER(Upgrades!$U$15,G38),1)*IF(Upgrades!$T$16="Stellar Kinematics",POWER(Upgrades!$U$16,H38),1)*IF(Upgrades!$T$17="Stellar Kinematics",POWER(Upgrades!$U$17,I38),1)*IF(Upgrades!$T$18="Stellar Kinematics",POWER(Upgrades!$U$18,J38),1)*IF(Upgrades!$T$19="Stellar Kinematics",POWER(Upgrades!$U$19,K38),1)*IF(Upgrades!$T$20="Stellar Kinematics",POWER(Upgrades!$U$20,L38),1)*IF(Upgrades!$T$21="Stellar Kinematics",POWER(Upgrades!$U$21,M38),1))*POWER(Upgrades!$P$13,E38)*POWER(Upgrades!$P$14,F38)*POWER(Upgrades!$P$15,G38)*POWER(Upgrades!$P$16,H38)*POWER(Upgrades!$P$17,I38)*POWER(Upgrades!$P$18,J38)*POWER(Upgrades!$P$19,K38)*POWER(Upgrades!$P$20,L38)*POWER(Upgrades!$P$21,M38)*$F$6*60</f>
        <v/>
      </c>
      <c r="AB38" s="27">
        <f>(IF(F38=0,0,(Upgrades!$G$14+F38*Upgrades!$H$14)*POWER(Upgrades!$I$14,F38)))*(IF(Upgrades!$T$13="Local Bubble",POWER(Upgrades!$U$13,E38),1)*IF(Upgrades!$T$15="Local Bubble",POWER(Upgrades!$U$15,G38),1)*IF(Upgrades!$T$16="Local Bubble",POWER(Upgrades!$U$16,H38),1)*IF(Upgrades!$T$17="Local Bubble",POWER(Upgrades!$U$17,I38),1)*IF(Upgrades!$T$18="Local Bubble",POWER(Upgrades!$U$18,J38),1)*IF(Upgrades!$T$19="Local Bubble",POWER(Upgrades!$U$19,K38),1)*IF(Upgrades!$T$20="Local Bubble",POWER(Upgrades!$U$20,L38),1)*IF(Upgrades!$T$21="Local Bubble",POWER(Upgrades!$U$21,M38),1))*POWER(Upgrades!$P$13,E38)*POWER(Upgrades!$P$14,F38)*POWER(Upgrades!$P$15,G38)*POWER(Upgrades!$P$16,H38)*POWER(Upgrades!$P$17,I38)*POWER(Upgrades!$P$18,J38)*POWER(Upgrades!$P$19,K38)*POWER(Upgrades!$P$20,L38)*POWER(Upgrades!$P$21,M38)*$F$6*60</f>
        <v/>
      </c>
      <c r="AC38" s="27">
        <f>(IF(G38=0,0,(Upgrades!$J$15+G38*Upgrades!$K$15)*POWER(Upgrades!$L$15,G38)))*(IF(Upgrades!$T$13="Microlensing",POWER(Upgrades!$U$13,E38),1)*IF(Upgrades!$T$14="Microlensing",POWER(Upgrades!$U$14,F38),1)*IF(Upgrades!$T$16="Microlensing",POWER(Upgrades!$U$16,H38),1)*IF(Upgrades!$T$17="Microlensing",POWER(Upgrades!$U$17,I38),1)*IF(Upgrades!$T$18="Microlensing",POWER(Upgrades!$U$18,J38),1)*IF(Upgrades!$T$19="Microlensing",POWER(Upgrades!$U$19,K38),1)*IF(Upgrades!$T$20="Microlensing",POWER(Upgrades!$U$20,L38),1)*IF(Upgrades!$T$21="Microlensing",POWER(Upgrades!$U$21,M38),1))*POWER(Upgrades!$Q$13,E38)*POWER(Upgrades!$Q$14,F38)*POWER(Upgrades!$Q$15,G38)*POWER(Upgrades!$Q$16,H38)*POWER(Upgrades!$Q$17,I38)*POWER(Upgrades!$Q$18,J38)*POWER(Upgrades!$Q$19,K38)*POWER(Upgrades!$Q$20,L38)*POWER(Upgrades!$Q$21,M38)*$G$6*(Parameters!$B$10*Parameters!$B$11+Q38*60)</f>
        <v/>
      </c>
      <c r="AD38" s="27">
        <f>(IF(H38=0,0,(Upgrades!$M$16+H38*Upgrades!$N$16)*POWER(Upgrades!$O$16,H38)))*(IF(Upgrades!$T$13="Roche Lobe Overflow",POWER(Upgrades!$U$13,E38),1)*IF(Upgrades!$T$14="Roche Lobe Overflow",POWER(Upgrades!$U$14,F38),1)*IF(Upgrades!$T$15="Roche Lobe Overflow",POWER(Upgrades!$U$15,G38),1)*IF(Upgrades!$T$17="Roche Lobe Overflow",POWER(Upgrades!$U$17,I38),1)*IF(Upgrades!$T$18="Roche Lobe Overflow",POWER(Upgrades!$U$18,J38),1)*IF(Upgrades!$T$19="Roche Lobe Overflow",POWER(Upgrades!$U$19,K38),1)*IF(Upgrades!$T$20="Roche Lobe Overflow",POWER(Upgrades!$U$20,L38),1)*IF(Upgrades!$T$21="Roche Lobe Overflow",POWER(Upgrades!$U$21,M38),1))*POWER(Upgrades!$R$13,E38)*POWER(Upgrades!$R$14,F38)*POWER(Upgrades!$R$15,G38)*POWER(Upgrades!$R$16,H38)*POWER(Upgrades!$R$17,I38)*POWER(Upgrades!$R$18,J38)*POWER(Upgrades!$R$19,K38)*POWER(Upgrades!$R$20,L38)*POWER(Upgrades!$R$21,M38)*$H$6*O38*60</f>
        <v/>
      </c>
      <c r="AE38" s="27">
        <f>(IF(I38=0,0,(Upgrades!$G$17+I38*Upgrades!$H$17)*POWER(Upgrades!$I$17,I38)))*(IF(Upgrades!$T$13="Brown Dwarf",POWER(Upgrades!$U$13,E38),1)*IF(Upgrades!$T$14="Brown Dwarf",POWER(Upgrades!$U$14,F38),1)*IF(Upgrades!$T$15="Brown Dwarf",POWER(Upgrades!$U$15,G38),1)*IF(Upgrades!$T$16="Brown Dwarf",POWER(Upgrades!$U$16,H38),1)*IF(Upgrades!$T$18="Brown Dwarf",POWER(Upgrades!$U$18,J38),1)*IF(Upgrades!$T$19="Brown Dwarf",POWER(Upgrades!$U$19,K38),1)*IF(Upgrades!$T$20="Brown Dwarf",POWER(Upgrades!$U$20,L38),1)*IF(Upgrades!$T$21="Brown Dwarf",POWER(Upgrades!$U$21,M38),1))*POWER(Upgrades!$P$13,E38)*POWER(Upgrades!$P$14,F38)*POWER(Upgrades!$P$15,G38)*POWER(Upgrades!$P$16,H38)*POWER(Upgrades!$P$17,I38)*POWER(Upgrades!$P$18,J38)*POWER(Upgrades!$P$19,K38)*POWER(Upgrades!$P$20,L38)*POWER(Upgrades!$P$21,M38)*$F$6*60</f>
        <v/>
      </c>
      <c r="AF38" s="27" t="n">
        <v>0</v>
      </c>
      <c r="AG38" s="27" t="n">
        <v>0</v>
      </c>
      <c r="AH38" s="27" t="n">
        <v>0</v>
      </c>
      <c r="AI38" s="27">
        <f>(IF(M38=0,0,(Upgrades!$G$21+M38*Upgrades!$H$21)*POWER(Upgrades!$I$21,M38)))*(IF(Upgrades!$T$13="Moving Group",POWER(Upgrades!$U$13,E38),1)*IF(Upgrades!$T$14="Moving Group",POWER(Upgrades!$U$14,F38),1)*IF(Upgrades!$T$15="Moving Group",POWER(Upgrades!$U$15,G38),1)*IF(Upgrades!$T$16="Moving Group",POWER(Upgrades!$U$16,H38),1)*IF(Upgrades!$T$17="Moving Group",POWER(Upgrades!$U$17,I38),1)*IF(Upgrades!$T$18="Moving Group",POWER(Upgrades!$U$18,J38),1)*IF(Upgrades!$T$19="Moving Group",POWER(Upgrades!$U$19,K38),1)*IF(Upgrades!$T$20="Moving Group",POWER(Upgrades!$U$20,L38),1))*POWER(Upgrades!$P$13,E38)*POWER(Upgrades!$P$14,F38)*POWER(Upgrades!$P$15,G38)*POWER(Upgrades!$P$16,H38)*POWER(Upgrades!$P$17,I38)*POWER(Upgrades!$P$18,J38)*POWER(Upgrades!$P$19,K38)*POWER(Upgrades!$P$20,L38)*POWER(Upgrades!$P$21,M38)*$F$6*60</f>
        <v/>
      </c>
      <c r="AJ38" s="27">
        <f>$C$6*60</f>
        <v/>
      </c>
      <c r="AK38" s="22">
        <f>IF(E38&gt;=Upgrades!$E$13,"",Upgrades!$C$13*POWER(Upgrades!$D$13,E38))</f>
        <v/>
      </c>
      <c r="AL38" s="22">
        <f>IF(F38&gt;=Upgrades!$E$14,"",Upgrades!$C$14*POWER(Upgrades!$D$14,F38))</f>
        <v/>
      </c>
      <c r="AM38" s="22">
        <f>IF(G38&gt;=Upgrades!$E$15,"",Upgrades!$C$15*POWER(Upgrades!$D$15,G38))</f>
        <v/>
      </c>
      <c r="AN38" s="22">
        <f>IF(H38&gt;=Upgrades!$E$16,"",Upgrades!$C$16*POWER(Upgrades!$D$16,H38))</f>
        <v/>
      </c>
      <c r="AO38" s="22">
        <f>IF(I38&gt;=Upgrades!$E$17,"",Upgrades!$C$17*POWER(Upgrades!$D$17,I38))</f>
        <v/>
      </c>
      <c r="AP38" s="22">
        <f>IF(J38&gt;=Upgrades!$E$18,"",Upgrades!$C$18*POWER(Upgrades!$D$18,J38))</f>
        <v/>
      </c>
      <c r="AQ38" s="22">
        <f>IF(K38&gt;=Upgrades!$E$19,"",Upgrades!$C$19*POWER(Upgrades!$D$19,K38))</f>
        <v/>
      </c>
      <c r="AR38" s="22">
        <f>IF(L38&gt;=Upgrades!$E$20,"",Upgrades!$C$20*POWER(Upgrades!$D$20,L38))</f>
        <v/>
      </c>
      <c r="AS38" s="22">
        <f>IF(M38&gt;=Upgrades!$E$21,"",Upgrades!$C$21*POWER(Upgrades!$D$21,M38))</f>
        <v/>
      </c>
      <c r="AT38" s="26">
        <f>IF(AND(D38&gt;=Parameters!$B$18*Parameters!$B$19,(I38&gt;=Upgrades!$E$17)*(M38&gt;=Upgrades!$E$21)=1,N38=0),1,"")</f>
        <v/>
      </c>
      <c r="AU38" s="26">
        <f>IF(AND(D38&gt;=Parameters!$B$18*Parameters!$B$19,N38=0),1,"")</f>
        <v/>
      </c>
      <c r="AV38" s="22">
        <f>MIN(IF(ISNUMBER(AP38),AP38,9E15),IF(ISNUMBER(AQ38),AQ38,9E15),IF(ISNUMBER(AR38),AR38,9E15),IF(ISNUMBER(AS38),AS38,9E15))</f>
        <v/>
      </c>
      <c r="AW38" s="22">
        <f>MIN(IF(ISNUMBER(AK38),AK38,9E15),IF(ISNUMBER(AL38),AL38,9E15),IF(ISNUMBER(AM38),AM38,9E15),IF(ISNUMBER(AN38),AN38,9E15),IF(ISNUMBER(AO38),AO38,9E15))</f>
        <v/>
      </c>
      <c r="AX38" s="29">
        <f>IF(BD38&gt;Parameters!$B$21*(MAX(IF(AND(NOT(AND(AU38=1,AT38&lt;&gt;1)),ISNUMBER(AK38),AK38&lt;=(C38+T38)),AY38,0),IF(AND(NOT(AND(AU38=1,AT38&lt;&gt;1)),ISNUMBER(AL38),AL38&lt;=(C38+T38)),AZ38,0),IF(AND(NOT(AND(AU38=1,AT38&lt;&gt;1)),ISNUMBER(AM38),AM38&lt;=(C38+T38)),BA38,0),IF(AND(NOT(AND(AU38=1,AT38&lt;&gt;1)),ISNUMBER(AN38),AN38&lt;=(C38+T38)),BB38,0),IF(AND(ISNUMBER(AO38),AO38&lt;=(C38+T38)),BC38,0))),TRUE,FALSE)</f>
        <v/>
      </c>
      <c r="AY38" s="32">
        <f>IFERROR(Upgrades!$H$13*(POWER(Upgrades!$P$13,E38)*POWER(Upgrades!$P$14,F38)*POWER(Upgrades!$P$15,G38)*POWER(Upgrades!$P$16,H38)*POWER(Upgrades!$P$17,I38)*POWER(Upgrades!$P$18,J38)*POWER(Upgrades!$P$19,K38)*POWER(Upgrades!$P$20,L38)*POWER(Upgrades!$P$21,M38))*(IF(Upgrades!$T$14="Stellar Kinematics",POWER(Upgrades!$U$14,F38),1)*IF(Upgrades!$T$15="Stellar Kinematics",POWER(Upgrades!$U$15,G38),1)*IF(Upgrades!$T$16="Stellar Kinematics",POWER(Upgrades!$U$16,H38),1)*IF(Upgrades!$T$17="Stellar Kinematics",POWER(Upgrades!$U$17,I38),1)*IF(Upgrades!$T$18="Stellar Kinematics",POWER(Upgrades!$U$18,J38),1)*IF(Upgrades!$T$19="Stellar Kinematics",POWER(Upgrades!$U$19,K38),1)*IF(Upgrades!$T$20="Stellar Kinematics",POWER(Upgrades!$U$20,L38),1)*IF(Upgrades!$T$21="Stellar Kinematics",POWER(Upgrades!$U$21,M38),1))*$F$6/AK38,0)</f>
        <v/>
      </c>
      <c r="AZ38" s="32">
        <f>IFERROR(Upgrades!$H$14*(POWER(Upgrades!$P$13,E38)*POWER(Upgrades!$P$14,F38)*POWER(Upgrades!$P$15,G38)*POWER(Upgrades!$P$16,H38)*POWER(Upgrades!$P$17,I38)*POWER(Upgrades!$P$18,J38)*POWER(Upgrades!$P$19,K38)*POWER(Upgrades!$P$20,L38)*POWER(Upgrades!$P$21,M38))*(IF(Upgrades!$T$13="Local Bubble",POWER(Upgrades!$U$13,E38),1)*IF(Upgrades!$T$15="Local Bubble",POWER(Upgrades!$U$15,G38),1)*IF(Upgrades!$T$16="Local Bubble",POWER(Upgrades!$U$16,H38),1)*IF(Upgrades!$T$17="Local Bubble",POWER(Upgrades!$U$17,I38),1)*IF(Upgrades!$T$18="Local Bubble",POWER(Upgrades!$U$18,J38),1)*IF(Upgrades!$T$19="Local Bubble",POWER(Upgrades!$U$19,K38),1)*IF(Upgrades!$T$20="Local Bubble",POWER(Upgrades!$U$20,L38),1)*IF(Upgrades!$T$21="Local Bubble",POWER(Upgrades!$U$21,M38),1))*$F$6/AL38,0)</f>
        <v/>
      </c>
      <c r="BA38" s="32">
        <f>IFERROR(Upgrades!$K$15*(POWER(Upgrades!$Q$13,E38)*POWER(Upgrades!$Q$14,F38)*POWER(Upgrades!$Q$15,G38)*POWER(Upgrades!$Q$16,H38)*POWER(Upgrades!$Q$17,I38)*POWER(Upgrades!$Q$18,J38)*POWER(Upgrades!$Q$19,K38)*POWER(Upgrades!$Q$20,L38)*POWER(Upgrades!$Q$21,M38))*(IF(Upgrades!$T$13="Microlensing",POWER(Upgrades!$U$13,E38),1)*IF(Upgrades!$T$14="Microlensing",POWER(Upgrades!$U$14,F38),1)*IF(Upgrades!$T$16="Microlensing",POWER(Upgrades!$U$16,H38),1)*IF(Upgrades!$T$17="Microlensing",POWER(Upgrades!$U$17,I38),1)*IF(Upgrades!$T$18="Microlensing",POWER(Upgrades!$U$18,J38),1)*IF(Upgrades!$T$19="Microlensing",POWER(Upgrades!$U$19,K38),1)*IF(Upgrades!$T$20="Microlensing",POWER(Upgrades!$U$20,L38),1)*IF(Upgrades!$T$21="Microlensing",POWER(Upgrades!$U$21,M38),1))*$G$6*(Parameters!$B$10/60*Parameters!$B$11+Q38)/AM38,0)</f>
        <v/>
      </c>
      <c r="BB38" s="32">
        <f>IFERROR((Upgrades!$N$16*(POWER(Upgrades!$R$13,E38)*POWER(Upgrades!$R$14,F38)*POWER(Upgrades!$R$15,G38)*POWER(Upgrades!$R$16,H38)*POWER(Upgrades!$R$17,I38)*POWER(Upgrades!$R$18,J38)*POWER(Upgrades!$R$19,K38)*POWER(Upgrades!$R$20,L38)*POWER(Upgrades!$R$21,M38))*(IF(Upgrades!$T$13="Roche Lobe Overflow",POWER(Upgrades!$U$13,E38),1)*IF(Upgrades!$T$14="Roche Lobe Overflow",POWER(Upgrades!$U$14,F38),1)*IF(Upgrades!$T$15="Roche Lobe Overflow",POWER(Upgrades!$U$15,G38),1)*IF(Upgrades!$T$17="Roche Lobe Overflow",POWER(Upgrades!$U$17,I38),1)*IF(Upgrades!$T$18="Roche Lobe Overflow",POWER(Upgrades!$U$18,J38),1)*IF(Upgrades!$T$19="Roche Lobe Overflow",POWER(Upgrades!$U$19,K38),1)*IF(Upgrades!$T$20="Roche Lobe Overflow",POWER(Upgrades!$U$20,L38),1)*IF(Upgrades!$T$21="Roche Lobe Overflow",POWER(Upgrades!$U$21,M38),1))*$H$6*O38+((IF(F38=0,0,(Upgrades!$G$14+F38*Upgrades!$H$14)*POWER(Upgrades!$I$14,F38)))*(IF(Upgrades!$T$13="Local Bubble",POWER(Upgrades!$U$13,E38),1)*IF(Upgrades!$T$15="Local Bubble",POWER(Upgrades!$U$15,G38),1)*IF(Upgrades!$T$16="Local Bubble",POWER(Upgrades!$U$16,H38),1)*IF(Upgrades!$T$17="Local Bubble",POWER(Upgrades!$U$17,I38),1)*IF(Upgrades!$T$18="Local Bubble",POWER(Upgrades!$U$18,J38),1)*IF(Upgrades!$T$19="Local Bubble",POWER(Upgrades!$U$19,K38),1)*IF(Upgrades!$T$20="Local Bubble",POWER(Upgrades!$U$20,L38),1)*IF(Upgrades!$T$21="Local Bubble",POWER(Upgrades!$U$21,M38),1))*POWER(Upgrades!$P$13,E38)*POWER(Upgrades!$P$14,F38)*POWER(Upgrades!$P$15,G38)*POWER(Upgrades!$P$16,H38)*POWER(Upgrades!$P$17,I38)*POWER(Upgrades!$P$18,J38)*POWER(Upgrades!$P$19,K38)*POWER(Upgrades!$P$20,L38)*POWER(Upgrades!$P$21,M38)*$F$6)*0.05)/AN38,0)</f>
        <v/>
      </c>
      <c r="BC38" s="32">
        <f>IFERROR((Upgrades!$H$17*(POWER(Upgrades!$P$13,E38)*POWER(Upgrades!$P$14,F38)*POWER(Upgrades!$P$15,G38)*POWER(Upgrades!$P$16,H38)*POWER(Upgrades!$P$17,I38)*POWER(Upgrades!$P$18,J38)*POWER(Upgrades!$P$19,K38)*POWER(Upgrades!$P$20,L38)*POWER(Upgrades!$P$21,M38))*(IF(Upgrades!$T$13="Brown Dwarf",POWER(Upgrades!$U$13,E38),1)*IF(Upgrades!$T$14="Brown Dwarf",POWER(Upgrades!$U$14,F38),1)*IF(Upgrades!$T$15="Brown Dwarf",POWER(Upgrades!$U$15,G38),1)*IF(Upgrades!$T$16="Brown Dwarf",POWER(Upgrades!$U$16,H38),1)*IF(Upgrades!$T$18="Brown Dwarf",POWER(Upgrades!$U$18,J38),1)*IF(Upgrades!$T$19="Brown Dwarf",POWER(Upgrades!$U$19,K38),1)*IF(Upgrades!$T$20="Brown Dwarf",POWER(Upgrades!$U$20,L38),1)*IF(Upgrades!$T$21="Brown Dwarf",POWER(Upgrades!$U$21,M38),1))*$F$6+(((IF(H38=0,0,(Upgrades!$M$16+H38*Upgrades!$N$16)*POWER(Upgrades!$O$16,H38)))*(IF(Upgrades!$T$13="Roche Lobe Overflow",POWER(Upgrades!$U$13,E38),1)*IF(Upgrades!$T$14="Roche Lobe Overflow",POWER(Upgrades!$U$14,F38),1)*IF(Upgrades!$T$15="Roche Lobe Overflow",POWER(Upgrades!$U$15,G38),1)*IF(Upgrades!$T$17="Roche Lobe Overflow",POWER(Upgrades!$U$17,I38),1)*IF(Upgrades!$T$18="Roche Lobe Overflow",POWER(Upgrades!$U$18,J38),1)*IF(Upgrades!$T$19="Roche Lobe Overflow",POWER(Upgrades!$U$19,K38),1)*IF(Upgrades!$T$20="Roche Lobe Overflow",POWER(Upgrades!$U$20,L38),1)*IF(Upgrades!$T$21="Roche Lobe Overflow",POWER(Upgrades!$U$21,M38),1))*POWER(Upgrades!$R$13,E38)*POWER(Upgrades!$R$14,F38)*POWER(Upgrades!$R$15,G38)*POWER(Upgrades!$R$16,H38)*POWER(Upgrades!$R$17,I38)*POWER(Upgrades!$R$18,J38)*POWER(Upgrades!$R$19,K38)*POWER(Upgrades!$R$20,L38)*POWER(Upgrades!$R$21,M38)*$H$6)*O38)*0.10)/AO38,0)</f>
        <v/>
      </c>
      <c r="BD38" s="32">
        <f>MAX(IF(J38&gt;0,0,IFERROR(0.5*((IF(G38=0,0,(Upgrades!$J$15+G38*Upgrades!$K$15)*POWER(Upgrades!$L$15,G38)))*(IF(Upgrades!$T$13="Microlensing",POWER(Upgrades!$U$13,E38),1)*IF(Upgrades!$T$14="Microlensing",POWER(Upgrades!$U$14,F38),1)*IF(Upgrades!$T$16="Microlensing",POWER(Upgrades!$U$16,H38),1)*IF(Upgrades!$T$17="Microlensing",POWER(Upgrades!$U$17,I38),1)*IF(Upgrades!$T$18="Microlensing",POWER(Upgrades!$U$18,J38),1)*IF(Upgrades!$T$19="Microlensing",POWER(Upgrades!$U$19,K38),1)*IF(Upgrades!$T$20="Microlensing",POWER(Upgrades!$U$20,L38),1)*IF(Upgrades!$T$21="Microlensing",POWER(Upgrades!$U$21,M38),1))*(POWER(Upgrades!$Q$13,E38)*POWER(Upgrades!$Q$14,F38)*POWER(Upgrades!$Q$15,G38)*POWER(Upgrades!$Q$16,H38)*POWER(Upgrades!$Q$17,I38)*POWER(Upgrades!$Q$18,J38)*POWER(Upgrades!$Q$19,K38)*POWER(Upgrades!$Q$20,L38)*POWER(Upgrades!$Q$21,M38))*$G$6*(Parameters!$B$10/60*Parameters!$B$11+Q38))/Upgrades!$C$18,0)),IF(K38&gt;0,0,IFERROR(0.30*P38/Upgrades!$C$19,0)),IF(L38&gt;0,0,IFERROR(0.0001/Upgrades!$C$20,0)),IF(M38&gt;0,0,IFERROR((6.0*(POWER(Upgrades!$P$13,E38)*POWER(Upgrades!$P$14,F38)*POWER(Upgrades!$P$15,G38)*POWER(Upgrades!$P$16,H38)*POWER(Upgrades!$P$17,I38)*POWER(Upgrades!$P$18,J38)*POWER(Upgrades!$P$19,K38)*POWER(Upgrades!$P$20,L38)*POWER(Upgrades!$P$21,M38))*$F$6+0.20*O38*(Parameters!$B$10/60*Parameters!$B$11+Q38))/Upgrades!$C$21,0)),IF(AND(ISNUMBER(AK38),AK38&gt;(C38+T38)),AY38,0),IF(AND(ISNUMBER(AL38),AL38&gt;(C38+T38)),AZ38,0),IF(AND(ISNUMBER(AM38),AM38&gt;(C38+T38)),BA38,0),IF(AND(ISNUMBER(AN38),AN38&gt;(C38+T38)),BB38,0),IF(AND(ISNUMBER(AO38),AO38&gt;(C38+T38)),BC38,0))</f>
        <v/>
      </c>
      <c r="BE38" s="29">
        <f>IF(AT38=1,"transition",IF(MIN(IF(AND(J38=0,ISNUMBER(AP38),AP38&lt;=(C38+T38)),AP38,9E15),IF(AND(K38=0,ISNUMBER(AQ38),AQ38&lt;=(C38+T38)),AQ38,9E15),IF(AND(L38=0,ISNUMBER(AR38),AR38&lt;=(C38+T38)),AR38,9E15),IF(AND(M38=0,ISNUMBER(AS38),AS38&lt;=(C38+T38)),AS38,9E15))&lt;9E15,IF(AND(AND(J38=0,ISNUMBER(AP38),AP38&lt;=(C38+T38)),AP38=MIN(IF(AND(J38=0,ISNUMBER(AP38),AP38&lt;=(C38+T38)),AP38,9E15),IF(AND(K38=0,ISNUMBER(AQ38),AQ38&lt;=(C38+T38)),AQ38,9E15),IF(AND(L38=0,ISNUMBER(AR38),AR38&lt;=(C38+T38)),AR38,9E15),IF(AND(M38=0,ISNUMBER(AS38),AS38&lt;=(C38+T38)),AS38,9E15))),"BiP",IF(AND(AND(K38=0,ISNUMBER(AQ38),AQ38&lt;=(C38+T38)),AQ38=MIN(IF(AND(J38=0,ISNUMBER(AP38),AP38&lt;=(C38+T38)),AP38,9E15),IF(AND(K38=0,ISNUMBER(AQ38),AQ38&lt;=(C38+T38)),AQ38,9E15),IF(AND(L38=0,ISNUMBER(AR38),AR38&lt;=(C38+T38)),AR38,9E15),IF(AND(M38=0,ISNUMBER(AS38),AS38&lt;=(C38+T38)),AS38,9E15))),"PV",IF(AND(AND(L38=0,ISNUMBER(AR38),AR38&lt;=(C38+T38)),AR38=MIN(IF(AND(J38=0,ISNUMBER(AP38),AP38&lt;=(C38+T38)),AP38,9E15),IF(AND(K38=0,ISNUMBER(AQ38),AQ38&lt;=(C38+T38)),AQ38,9E15),IF(AND(L38=0,ISNUMBER(AR38),AR38&lt;=(C38+T38)),AR38,9E15),IF(AND(M38=0,ISNUMBER(AS38),AS38&lt;=(C38+T38)),AS38,9E15))),"OC","MG"))),IF(AX38=TRUE,"",IF(MAX(IF(AND(NOT(AND(AU38=1,AT38&lt;&gt;1)),ISNUMBER(AK38),AK38&lt;=(C38+T38)),AY38,0),IF(AND(NOT(AND(AU38=1,AT38&lt;&gt;1)),ISNUMBER(AL38),AL38&lt;=(C38+T38)),AZ38,0),IF(AND(NOT(AND(AU38=1,AT38&lt;&gt;1)),ISNUMBER(AM38),AM38&lt;=(C38+T38)),BA38,0),IF(AND(NOT(AND(AU38=1,AT38&lt;&gt;1)),ISNUMBER(AN38),AN38&lt;=(C38+T38)),BB38,0),IF(AND(ISNUMBER(AO38),AO38&lt;=(C38+T38)),BC38,0))&lt;=0,"",IF(AND(IF(AND(NOT(AND(AU38=1,AT38&lt;&gt;1)),ISNUMBER(AK38),AK38&lt;=(C38+T38)),AY38,0)&gt;0,IF(AND(NOT(AND(AU38=1,AT38&lt;&gt;1)),ISNUMBER(AK38),AK38&lt;=(C38+T38)),AY38,0)=MAX(IF(AND(NOT(AND(AU38=1,AT38&lt;&gt;1)),ISNUMBER(AK38),AK38&lt;=(C38+T38)),AY38,0),IF(AND(NOT(AND(AU38=1,AT38&lt;&gt;1)),ISNUMBER(AL38),AL38&lt;=(C38+T38)),AZ38,0),IF(AND(NOT(AND(AU38=1,AT38&lt;&gt;1)),ISNUMBER(AM38),AM38&lt;=(C38+T38)),BA38,0),IF(AND(NOT(AND(AU38=1,AT38&lt;&gt;1)),ISNUMBER(AN38),AN38&lt;=(C38+T38)),BB38,0),IF(AND(ISNUMBER(AO38),AO38&lt;=(C38+T38)),BC38,0))),"SK",IF(AND(IF(AND(NOT(AND(AU38=1,AT38&lt;&gt;1)),ISNUMBER(AL38),AL38&lt;=(C38+T38)),AZ38,0)&gt;0,IF(AND(NOT(AND(AU38=1,AT38&lt;&gt;1)),ISNUMBER(AL38),AL38&lt;=(C38+T38)),AZ38,0)=MAX(IF(AND(NOT(AND(AU38=1,AT38&lt;&gt;1)),ISNUMBER(AK38),AK38&lt;=(C38+T38)),AY38,0),IF(AND(NOT(AND(AU38=1,AT38&lt;&gt;1)),ISNUMBER(AL38),AL38&lt;=(C38+T38)),AZ38,0),IF(AND(NOT(AND(AU38=1,AT38&lt;&gt;1)),ISNUMBER(AM38),AM38&lt;=(C38+T38)),BA38,0),IF(AND(NOT(AND(AU38=1,AT38&lt;&gt;1)),ISNUMBER(AN38),AN38&lt;=(C38+T38)),BB38,0),IF(AND(ISNUMBER(AO38),AO38&lt;=(C38+T38)),BC38,0))),"LB",IF(AND(IF(AND(NOT(AND(AU38=1,AT38&lt;&gt;1)),ISNUMBER(AM38),AM38&lt;=(C38+T38)),BA38,0)&gt;0,IF(AND(NOT(AND(AU38=1,AT38&lt;&gt;1)),ISNUMBER(AM38),AM38&lt;=(C38+T38)),BA38,0)=MAX(IF(AND(NOT(AND(AU38=1,AT38&lt;&gt;1)),ISNUMBER(AK38),AK38&lt;=(C38+T38)),AY38,0),IF(AND(NOT(AND(AU38=1,AT38&lt;&gt;1)),ISNUMBER(AL38),AL38&lt;=(C38+T38)),AZ38,0),IF(AND(NOT(AND(AU38=1,AT38&lt;&gt;1)),ISNUMBER(AM38),AM38&lt;=(C38+T38)),BA38,0),IF(AND(NOT(AND(AU38=1,AT38&lt;&gt;1)),ISNUMBER(AN38),AN38&lt;=(C38+T38)),BB38,0),IF(AND(ISNUMBER(AO38),AO38&lt;=(C38+T38)),BC38,0))),"ML",IF(AND(IF(AND(NOT(AND(AU38=1,AT38&lt;&gt;1)),ISNUMBER(AN38),AN38&lt;=(C38+T38)),BB38,0)&gt;0,IF(AND(NOT(AND(AU38=1,AT38&lt;&gt;1)),ISNUMBER(AN38),AN38&lt;=(C38+T38)),BB38,0)=MAX(IF(AND(NOT(AND(AU38=1,AT38&lt;&gt;1)),ISNUMBER(AK38),AK38&lt;=(C38+T38)),AY38,0),IF(AND(NOT(AND(AU38=1,AT38&lt;&gt;1)),ISNUMBER(AL38),AL38&lt;=(C38+T38)),AZ38,0),IF(AND(NOT(AND(AU38=1,AT38&lt;&gt;1)),ISNUMBER(AM38),AM38&lt;=(C38+T38)),BA38,0),IF(AND(NOT(AND(AU38=1,AT38&lt;&gt;1)),ISNUMBER(AN38),AN38&lt;=(C38+T38)),BB38,0),IF(AND(ISNUMBER(AO38),AO38&lt;=(C38+T38)),BC38,0))),"RLO","BD"))))))))</f>
        <v/>
      </c>
    </row>
    <row r="39">
      <c r="A39" s="26" t="n">
        <v>28</v>
      </c>
      <c r="B39" s="27">
        <f>A39*10/60</f>
        <v/>
      </c>
      <c r="C39" s="22">
        <f>X38</f>
        <v/>
      </c>
      <c r="D39" s="27">
        <f>D38+W38</f>
        <v/>
      </c>
      <c r="E39" s="26">
        <f>E38+IF(U38="SK",1,0)</f>
        <v/>
      </c>
      <c r="F39" s="26">
        <f>F38+IF(U38="LB",1,0)</f>
        <v/>
      </c>
      <c r="G39" s="26">
        <f>G38+IF(U38="ML",1,0)</f>
        <v/>
      </c>
      <c r="H39" s="26">
        <f>H38+IF(U38="RLO",1,0)</f>
        <v/>
      </c>
      <c r="I39" s="26">
        <f>I38+IF(U38="BD",1,0)</f>
        <v/>
      </c>
      <c r="J39" s="26">
        <f>MAX(J38,IF(U38="BiP",1,0))</f>
        <v/>
      </c>
      <c r="K39" s="26">
        <f>MAX(K38,IF(U38="PV",1,0))</f>
        <v/>
      </c>
      <c r="L39" s="26">
        <f>MAX(L38,IF(U38="OC",1,0))</f>
        <v/>
      </c>
      <c r="M39" s="26">
        <f>MAX(M38,IF(U38="MG",1,0))</f>
        <v/>
      </c>
      <c r="N39" s="26">
        <f>MAX(N38,IF(U38="transition",1,0))</f>
        <v/>
      </c>
      <c r="O39" s="28">
        <f>(Parameters!$B$9+(IF(E39=0,0,(Upgrades!$J$13+E39*Upgrades!$K$13)*POWER(Upgrades!$L$13,E39)))*(IF(Upgrades!$T$14="Stellar Kinematics",POWER(Upgrades!$U$14,F39),1)*IF(Upgrades!$T$15="Stellar Kinematics",POWER(Upgrades!$U$15,G39),1)*IF(Upgrades!$T$16="Stellar Kinematics",POWER(Upgrades!$U$16,H39),1)*IF(Upgrades!$T$17="Stellar Kinematics",POWER(Upgrades!$U$17,I39),1)*IF(Upgrades!$T$18="Stellar Kinematics",POWER(Upgrades!$U$18,J39),1)*IF(Upgrades!$T$19="Stellar Kinematics",POWER(Upgrades!$U$19,K39),1)*IF(Upgrades!$T$20="Stellar Kinematics",POWER(Upgrades!$U$20,L39),1)*IF(Upgrades!$T$21="Stellar Kinematics",POWER(Upgrades!$U$21,M39),1))+(IF(F39=0,0,(Upgrades!$J$14+F39*Upgrades!$K$14)*POWER(Upgrades!$L$14,F39)))*(IF(Upgrades!$T$13="Local Bubble",POWER(Upgrades!$U$13,E39),1)*IF(Upgrades!$T$15="Local Bubble",POWER(Upgrades!$U$15,G39),1)*IF(Upgrades!$T$16="Local Bubble",POWER(Upgrades!$U$16,H39),1)*IF(Upgrades!$T$17="Local Bubble",POWER(Upgrades!$U$17,I39),1)*IF(Upgrades!$T$18="Local Bubble",POWER(Upgrades!$U$18,J39),1)*IF(Upgrades!$T$19="Local Bubble",POWER(Upgrades!$U$19,K39),1)*IF(Upgrades!$T$20="Local Bubble",POWER(Upgrades!$U$20,L39),1)*IF(Upgrades!$T$21="Local Bubble",POWER(Upgrades!$U$21,M39),1))+(IF(G39=0,0,(Upgrades!$J$15+G39*Upgrades!$K$15)*POWER(Upgrades!$L$15,G39)))*(IF(Upgrades!$T$13="Microlensing",POWER(Upgrades!$U$13,E39),1)*IF(Upgrades!$T$14="Microlensing",POWER(Upgrades!$U$14,F39),1)*IF(Upgrades!$T$16="Microlensing",POWER(Upgrades!$U$16,H39),1)*IF(Upgrades!$T$17="Microlensing",POWER(Upgrades!$U$17,I39),1)*IF(Upgrades!$T$18="Microlensing",POWER(Upgrades!$U$18,J39),1)*IF(Upgrades!$T$19="Microlensing",POWER(Upgrades!$U$19,K39),1)*IF(Upgrades!$T$20="Microlensing",POWER(Upgrades!$U$20,L39),1)*IF(Upgrades!$T$21="Microlensing",POWER(Upgrades!$U$21,M39),1))+(IF(H39=0,0,(Upgrades!$J$16+H39*Upgrades!$K$16)*POWER(Upgrades!$L$16,H39)))*(IF(Upgrades!$T$13="Roche Lobe Overflow",POWER(Upgrades!$U$13,E39),1)*IF(Upgrades!$T$14="Roche Lobe Overflow",POWER(Upgrades!$U$14,F39),1)*IF(Upgrades!$T$15="Roche Lobe Overflow",POWER(Upgrades!$U$15,G39),1)*IF(Upgrades!$T$17="Roche Lobe Overflow",POWER(Upgrades!$U$17,I39),1)*IF(Upgrades!$T$18="Roche Lobe Overflow",POWER(Upgrades!$U$18,J39),1)*IF(Upgrades!$T$19="Roche Lobe Overflow",POWER(Upgrades!$U$19,K39),1)*IF(Upgrades!$T$20="Roche Lobe Overflow",POWER(Upgrades!$U$20,L39),1)*IF(Upgrades!$T$21="Roche Lobe Overflow",POWER(Upgrades!$U$21,M39),1))+(IF(I39=0,0,(Upgrades!$J$17+I39*Upgrades!$K$17)*POWER(Upgrades!$L$17,I39)))*(IF(Upgrades!$T$13="Brown Dwarf",POWER(Upgrades!$U$13,E39),1)*IF(Upgrades!$T$14="Brown Dwarf",POWER(Upgrades!$U$14,F39),1)*IF(Upgrades!$T$15="Brown Dwarf",POWER(Upgrades!$U$15,G39),1)*IF(Upgrades!$T$16="Brown Dwarf",POWER(Upgrades!$U$16,H39),1)*IF(Upgrades!$T$18="Brown Dwarf",POWER(Upgrades!$U$18,J39),1)*IF(Upgrades!$T$19="Brown Dwarf",POWER(Upgrades!$U$19,K39),1)*IF(Upgrades!$T$20="Brown Dwarf",POWER(Upgrades!$U$20,L39),1)*IF(Upgrades!$T$21="Brown Dwarf",POWER(Upgrades!$U$21,M39),1))+(IF(J39=0,0,(Upgrades!$J$18+J39*Upgrades!$K$18)*POWER(Upgrades!$L$18,J39)))*(IF(Upgrades!$T$13="Binary Partner",POWER(Upgrades!$U$13,E39),1)*IF(Upgrades!$T$14="Binary Partner",POWER(Upgrades!$U$14,F39),1)*IF(Upgrades!$T$15="Binary Partner",POWER(Upgrades!$U$15,G39),1)*IF(Upgrades!$T$16="Binary Partner",POWER(Upgrades!$U$16,H39),1)*IF(Upgrades!$T$17="Binary Partner",POWER(Upgrades!$U$17,I39),1)*IF(Upgrades!$T$19="Binary Partner",POWER(Upgrades!$U$19,K39),1)*IF(Upgrades!$T$20="Binary Partner",POWER(Upgrades!$U$20,L39),1)*IF(Upgrades!$T$21="Binary Partner",POWER(Upgrades!$U$21,M39),1))+(IF(K39=0,0,(Upgrades!$J$19+K39*Upgrades!$K$19)*POWER(Upgrades!$L$19,K39)))*(IF(Upgrades!$T$13="Peculiar Velocity",POWER(Upgrades!$U$13,E39),1)*IF(Upgrades!$T$14="Peculiar Velocity",POWER(Upgrades!$U$14,F39),1)*IF(Upgrades!$T$15="Peculiar Velocity",POWER(Upgrades!$U$15,G39),1)*IF(Upgrades!$T$16="Peculiar Velocity",POWER(Upgrades!$U$16,H39),1)*IF(Upgrades!$T$17="Peculiar Velocity",POWER(Upgrades!$U$17,I39),1)*IF(Upgrades!$T$18="Peculiar Velocity",POWER(Upgrades!$U$18,J39),1)*IF(Upgrades!$T$20="Peculiar Velocity",POWER(Upgrades!$U$20,L39),1)*IF(Upgrades!$T$21="Peculiar Velocity",POWER(Upgrades!$U$21,M39),1))+(IF(L39=0,0,(Upgrades!$J$20+L39*Upgrades!$K$20)*POWER(Upgrades!$L$20,L39)))*(IF(Upgrades!$T$13="Open Cluster",POWER(Upgrades!$U$13,E39),1)*IF(Upgrades!$T$14="Open Cluster",POWER(Upgrades!$U$14,F39),1)*IF(Upgrades!$T$15="Open Cluster",POWER(Upgrades!$U$15,G39),1)*IF(Upgrades!$T$16="Open Cluster",POWER(Upgrades!$U$16,H39),1)*IF(Upgrades!$T$17="Open Cluster",POWER(Upgrades!$U$17,I39),1)*IF(Upgrades!$T$18="Open Cluster",POWER(Upgrades!$U$18,J39),1)*IF(Upgrades!$T$19="Open Cluster",POWER(Upgrades!$U$19,K39),1)*IF(Upgrades!$T$21="Open Cluster",POWER(Upgrades!$U$21,M39),1))+(IF(M39=0,0,(Upgrades!$J$21+M39*Upgrades!$K$21)*POWER(Upgrades!$L$21,M39)))*(IF(Upgrades!$T$13="Moving Group",POWER(Upgrades!$U$13,E39),1)*IF(Upgrades!$T$14="Moving Group",POWER(Upgrades!$U$14,F39),1)*IF(Upgrades!$T$15="Moving Group",POWER(Upgrades!$U$15,G39),1)*IF(Upgrades!$T$16="Moving Group",POWER(Upgrades!$U$16,H39),1)*IF(Upgrades!$T$17="Moving Group",POWER(Upgrades!$U$17,I39),1)*IF(Upgrades!$T$18="Moving Group",POWER(Upgrades!$U$18,J39),1)*IF(Upgrades!$T$19="Moving Group",POWER(Upgrades!$U$19,K39),1)*IF(Upgrades!$T$20="Moving Group",POWER(Upgrades!$U$20,L39),1)))*POWER(Upgrades!$Q$13,E39)*POWER(Upgrades!$Q$14,F39)*POWER(Upgrades!$Q$15,G39)*POWER(Upgrades!$Q$16,H39)*POWER(Upgrades!$Q$17,I39)*POWER(Upgrades!$Q$18,J39)*POWER(Upgrades!$Q$19,K39)*POWER(Upgrades!$Q$20,L39)*POWER(Upgrades!$Q$21,M39)*$G$6+$D$6</f>
        <v/>
      </c>
      <c r="P39" s="28">
        <f>((IF(E39=0,0,(Upgrades!$G$13+E39*Upgrades!$H$13)*POWER(Upgrades!$I$13,E39)))*(IF(Upgrades!$T$14="Stellar Kinematics",POWER(Upgrades!$U$14,F39),1)*IF(Upgrades!$T$15="Stellar Kinematics",POWER(Upgrades!$U$15,G39),1)*IF(Upgrades!$T$16="Stellar Kinematics",POWER(Upgrades!$U$16,H39),1)*IF(Upgrades!$T$17="Stellar Kinematics",POWER(Upgrades!$U$17,I39),1)*IF(Upgrades!$T$18="Stellar Kinematics",POWER(Upgrades!$U$18,J39),1)*IF(Upgrades!$T$19="Stellar Kinematics",POWER(Upgrades!$U$19,K39),1)*IF(Upgrades!$T$20="Stellar Kinematics",POWER(Upgrades!$U$20,L39),1)*IF(Upgrades!$T$21="Stellar Kinematics",POWER(Upgrades!$U$21,M39),1))+(IF(F39=0,0,(Upgrades!$G$14+F39*Upgrades!$H$14)*POWER(Upgrades!$I$14,F39)))*(IF(Upgrades!$T$13="Local Bubble",POWER(Upgrades!$U$13,E39),1)*IF(Upgrades!$T$15="Local Bubble",POWER(Upgrades!$U$15,G39),1)*IF(Upgrades!$T$16="Local Bubble",POWER(Upgrades!$U$16,H39),1)*IF(Upgrades!$T$17="Local Bubble",POWER(Upgrades!$U$17,I39),1)*IF(Upgrades!$T$18="Local Bubble",POWER(Upgrades!$U$18,J39),1)*IF(Upgrades!$T$19="Local Bubble",POWER(Upgrades!$U$19,K39),1)*IF(Upgrades!$T$20="Local Bubble",POWER(Upgrades!$U$20,L39),1)*IF(Upgrades!$T$21="Local Bubble",POWER(Upgrades!$U$21,M39),1))+(IF(G39=0,0,(Upgrades!$G$15+G39*Upgrades!$H$15)*POWER(Upgrades!$I$15,G39)))*(IF(Upgrades!$T$13="Microlensing",POWER(Upgrades!$U$13,E39),1)*IF(Upgrades!$T$14="Microlensing",POWER(Upgrades!$U$14,F39),1)*IF(Upgrades!$T$16="Microlensing",POWER(Upgrades!$U$16,H39),1)*IF(Upgrades!$T$17="Microlensing",POWER(Upgrades!$U$17,I39),1)*IF(Upgrades!$T$18="Microlensing",POWER(Upgrades!$U$18,J39),1)*IF(Upgrades!$T$19="Microlensing",POWER(Upgrades!$U$19,K39),1)*IF(Upgrades!$T$20="Microlensing",POWER(Upgrades!$U$20,L39),1)*IF(Upgrades!$T$21="Microlensing",POWER(Upgrades!$U$21,M39),1))+(IF(H39=0,0,(Upgrades!$G$16+H39*Upgrades!$H$16)*POWER(Upgrades!$I$16,H39)))*(IF(Upgrades!$T$13="Roche Lobe Overflow",POWER(Upgrades!$U$13,E39),1)*IF(Upgrades!$T$14="Roche Lobe Overflow",POWER(Upgrades!$U$14,F39),1)*IF(Upgrades!$T$15="Roche Lobe Overflow",POWER(Upgrades!$U$15,G39),1)*IF(Upgrades!$T$17="Roche Lobe Overflow",POWER(Upgrades!$U$17,I39),1)*IF(Upgrades!$T$18="Roche Lobe Overflow",POWER(Upgrades!$U$18,J39),1)*IF(Upgrades!$T$19="Roche Lobe Overflow",POWER(Upgrades!$U$19,K39),1)*IF(Upgrades!$T$20="Roche Lobe Overflow",POWER(Upgrades!$U$20,L39),1)*IF(Upgrades!$T$21="Roche Lobe Overflow",POWER(Upgrades!$U$21,M39),1))+(IF(I39=0,0,(Upgrades!$G$17+I39*Upgrades!$H$17)*POWER(Upgrades!$I$17,I39)))*(IF(Upgrades!$T$13="Brown Dwarf",POWER(Upgrades!$U$13,E39),1)*IF(Upgrades!$T$14="Brown Dwarf",POWER(Upgrades!$U$14,F39),1)*IF(Upgrades!$T$15="Brown Dwarf",POWER(Upgrades!$U$15,G39),1)*IF(Upgrades!$T$16="Brown Dwarf",POWER(Upgrades!$U$16,H39),1)*IF(Upgrades!$T$18="Brown Dwarf",POWER(Upgrades!$U$18,J39),1)*IF(Upgrades!$T$19="Brown Dwarf",POWER(Upgrades!$U$19,K39),1)*IF(Upgrades!$T$20="Brown Dwarf",POWER(Upgrades!$U$20,L39),1)*IF(Upgrades!$T$21="Brown Dwarf",POWER(Upgrades!$U$21,M39),1))+(IF(J39=0,0,(Upgrades!$G$18+J39*Upgrades!$H$18)*POWER(Upgrades!$I$18,J39)))*(IF(Upgrades!$T$13="Binary Partner",POWER(Upgrades!$U$13,E39),1)*IF(Upgrades!$T$14="Binary Partner",POWER(Upgrades!$U$14,F39),1)*IF(Upgrades!$T$15="Binary Partner",POWER(Upgrades!$U$15,G39),1)*IF(Upgrades!$T$16="Binary Partner",POWER(Upgrades!$U$16,H39),1)*IF(Upgrades!$T$17="Binary Partner",POWER(Upgrades!$U$17,I39),1)*IF(Upgrades!$T$19="Binary Partner",POWER(Upgrades!$U$19,K39),1)*IF(Upgrades!$T$20="Binary Partner",POWER(Upgrades!$U$20,L39),1)*IF(Upgrades!$T$21="Binary Partner",POWER(Upgrades!$U$21,M39),1))+(IF(K39=0,0,(Upgrades!$G$19+K39*Upgrades!$H$19)*POWER(Upgrades!$I$19,K39)))*(IF(Upgrades!$T$13="Peculiar Velocity",POWER(Upgrades!$U$13,E39),1)*IF(Upgrades!$T$14="Peculiar Velocity",POWER(Upgrades!$U$14,F39),1)*IF(Upgrades!$T$15="Peculiar Velocity",POWER(Upgrades!$U$15,G39),1)*IF(Upgrades!$T$16="Peculiar Velocity",POWER(Upgrades!$U$16,H39),1)*IF(Upgrades!$T$17="Peculiar Velocity",POWER(Upgrades!$U$17,I39),1)*IF(Upgrades!$T$18="Peculiar Velocity",POWER(Upgrades!$U$18,J39),1)*IF(Upgrades!$T$20="Peculiar Velocity",POWER(Upgrades!$U$20,L39),1)*IF(Upgrades!$T$21="Peculiar Velocity",POWER(Upgrades!$U$21,M39),1))+(IF(L39=0,0,(Upgrades!$G$20+L39*Upgrades!$H$20)*POWER(Upgrades!$I$20,L39)))*(IF(Upgrades!$T$13="Open Cluster",POWER(Upgrades!$U$13,E39),1)*IF(Upgrades!$T$14="Open Cluster",POWER(Upgrades!$U$14,F39),1)*IF(Upgrades!$T$15="Open Cluster",POWER(Upgrades!$U$15,G39),1)*IF(Upgrades!$T$16="Open Cluster",POWER(Upgrades!$U$16,H39),1)*IF(Upgrades!$T$17="Open Cluster",POWER(Upgrades!$U$17,I39),1)*IF(Upgrades!$T$18="Open Cluster",POWER(Upgrades!$U$18,J39),1)*IF(Upgrades!$T$19="Open Cluster",POWER(Upgrades!$U$19,K39),1)*IF(Upgrades!$T$21="Open Cluster",POWER(Upgrades!$U$21,M39),1))+(IF(M39=0,0,(Upgrades!$G$21+M39*Upgrades!$H$21)*POWER(Upgrades!$I$21,M39)))*(IF(Upgrades!$T$13="Moving Group",POWER(Upgrades!$U$13,E39),1)*IF(Upgrades!$T$14="Moving Group",POWER(Upgrades!$U$14,F39),1)*IF(Upgrades!$T$15="Moving Group",POWER(Upgrades!$U$15,G39),1)*IF(Upgrades!$T$16="Moving Group",POWER(Upgrades!$U$16,H39),1)*IF(Upgrades!$T$17="Moving Group",POWER(Upgrades!$U$17,I39),1)*IF(Upgrades!$T$18="Moving Group",POWER(Upgrades!$U$18,J39),1)*IF(Upgrades!$T$19="Moving Group",POWER(Upgrades!$U$19,K39),1)*IF(Upgrades!$T$20="Moving Group",POWER(Upgrades!$U$20,L39),1)))*POWER(Upgrades!$P$13,E39)*POWER(Upgrades!$P$14,F39)*POWER(Upgrades!$P$15,G39)*POWER(Upgrades!$P$16,H39)*POWER(Upgrades!$P$17,I39)*POWER(Upgrades!$P$18,J39)*POWER(Upgrades!$P$19,K39)*POWER(Upgrades!$P$20,L39)*POWER(Upgrades!$P$21,M39)*$F$6+$C$6</f>
        <v/>
      </c>
      <c r="Q39" s="28">
        <f>((IF(E39=0,0,(Upgrades!$M$13+E39*Upgrades!$N$13)*POWER(Upgrades!$O$13,E39)))*(IF(Upgrades!$T$14="Stellar Kinematics",POWER(Upgrades!$U$14,F39),1)*IF(Upgrades!$T$15="Stellar Kinematics",POWER(Upgrades!$U$15,G39),1)*IF(Upgrades!$T$16="Stellar Kinematics",POWER(Upgrades!$U$16,H39),1)*IF(Upgrades!$T$17="Stellar Kinematics",POWER(Upgrades!$U$17,I39),1)*IF(Upgrades!$T$18="Stellar Kinematics",POWER(Upgrades!$U$18,J39),1)*IF(Upgrades!$T$19="Stellar Kinematics",POWER(Upgrades!$U$19,K39),1)*IF(Upgrades!$T$20="Stellar Kinematics",POWER(Upgrades!$U$20,L39),1)*IF(Upgrades!$T$21="Stellar Kinematics",POWER(Upgrades!$U$21,M39),1))+(IF(F39=0,0,(Upgrades!$M$14+F39*Upgrades!$N$14)*POWER(Upgrades!$O$14,F39)))*(IF(Upgrades!$T$13="Local Bubble",POWER(Upgrades!$U$13,E39),1)*IF(Upgrades!$T$15="Local Bubble",POWER(Upgrades!$U$15,G39),1)*IF(Upgrades!$T$16="Local Bubble",POWER(Upgrades!$U$16,H39),1)*IF(Upgrades!$T$17="Local Bubble",POWER(Upgrades!$U$17,I39),1)*IF(Upgrades!$T$18="Local Bubble",POWER(Upgrades!$U$18,J39),1)*IF(Upgrades!$T$19="Local Bubble",POWER(Upgrades!$U$19,K39),1)*IF(Upgrades!$T$20="Local Bubble",POWER(Upgrades!$U$20,L39),1)*IF(Upgrades!$T$21="Local Bubble",POWER(Upgrades!$U$21,M39),1))+(IF(G39=0,0,(Upgrades!$M$15+G39*Upgrades!$N$15)*POWER(Upgrades!$O$15,G39)))*(IF(Upgrades!$T$13="Microlensing",POWER(Upgrades!$U$13,E39),1)*IF(Upgrades!$T$14="Microlensing",POWER(Upgrades!$U$14,F39),1)*IF(Upgrades!$T$16="Microlensing",POWER(Upgrades!$U$16,H39),1)*IF(Upgrades!$T$17="Microlensing",POWER(Upgrades!$U$17,I39),1)*IF(Upgrades!$T$18="Microlensing",POWER(Upgrades!$U$18,J39),1)*IF(Upgrades!$T$19="Microlensing",POWER(Upgrades!$U$19,K39),1)*IF(Upgrades!$T$20="Microlensing",POWER(Upgrades!$U$20,L39),1)*IF(Upgrades!$T$21="Microlensing",POWER(Upgrades!$U$21,M39),1))+(IF(H39=0,0,(Upgrades!$M$16+H39*Upgrades!$N$16)*POWER(Upgrades!$O$16,H39)))*(IF(Upgrades!$T$13="Roche Lobe Overflow",POWER(Upgrades!$U$13,E39),1)*IF(Upgrades!$T$14="Roche Lobe Overflow",POWER(Upgrades!$U$14,F39),1)*IF(Upgrades!$T$15="Roche Lobe Overflow",POWER(Upgrades!$U$15,G39),1)*IF(Upgrades!$T$17="Roche Lobe Overflow",POWER(Upgrades!$U$17,I39),1)*IF(Upgrades!$T$18="Roche Lobe Overflow",POWER(Upgrades!$U$18,J39),1)*IF(Upgrades!$T$19="Roche Lobe Overflow",POWER(Upgrades!$U$19,K39),1)*IF(Upgrades!$T$20="Roche Lobe Overflow",POWER(Upgrades!$U$20,L39),1)*IF(Upgrades!$T$21="Roche Lobe Overflow",POWER(Upgrades!$U$21,M39),1))+(IF(I39=0,0,(Upgrades!$M$17+I39*Upgrades!$N$17)*POWER(Upgrades!$O$17,I39)))*(IF(Upgrades!$T$13="Brown Dwarf",POWER(Upgrades!$U$13,E39),1)*IF(Upgrades!$T$14="Brown Dwarf",POWER(Upgrades!$U$14,F39),1)*IF(Upgrades!$T$15="Brown Dwarf",POWER(Upgrades!$U$15,G39),1)*IF(Upgrades!$T$16="Brown Dwarf",POWER(Upgrades!$U$16,H39),1)*IF(Upgrades!$T$18="Brown Dwarf",POWER(Upgrades!$U$18,J39),1)*IF(Upgrades!$T$19="Brown Dwarf",POWER(Upgrades!$U$19,K39),1)*IF(Upgrades!$T$20="Brown Dwarf",POWER(Upgrades!$U$20,L39),1)*IF(Upgrades!$T$21="Brown Dwarf",POWER(Upgrades!$U$21,M39),1))+(IF(J39=0,0,(Upgrades!$M$18+J39*Upgrades!$N$18)*POWER(Upgrades!$O$18,J39)))*(IF(Upgrades!$T$13="Binary Partner",POWER(Upgrades!$U$13,E39),1)*IF(Upgrades!$T$14="Binary Partner",POWER(Upgrades!$U$14,F39),1)*IF(Upgrades!$T$15="Binary Partner",POWER(Upgrades!$U$15,G39),1)*IF(Upgrades!$T$16="Binary Partner",POWER(Upgrades!$U$16,H39),1)*IF(Upgrades!$T$17="Binary Partner",POWER(Upgrades!$U$17,I39),1)*IF(Upgrades!$T$19="Binary Partner",POWER(Upgrades!$U$19,K39),1)*IF(Upgrades!$T$20="Binary Partner",POWER(Upgrades!$U$20,L39),1)*IF(Upgrades!$T$21="Binary Partner",POWER(Upgrades!$U$21,M39),1))+(IF(K39=0,0,(Upgrades!$M$19+K39*Upgrades!$N$19)*POWER(Upgrades!$O$19,K39)))*(IF(Upgrades!$T$13="Peculiar Velocity",POWER(Upgrades!$U$13,E39),1)*IF(Upgrades!$T$14="Peculiar Velocity",POWER(Upgrades!$U$14,F39),1)*IF(Upgrades!$T$15="Peculiar Velocity",POWER(Upgrades!$U$15,G39),1)*IF(Upgrades!$T$16="Peculiar Velocity",POWER(Upgrades!$U$16,H39),1)*IF(Upgrades!$T$17="Peculiar Velocity",POWER(Upgrades!$U$17,I39),1)*IF(Upgrades!$T$18="Peculiar Velocity",POWER(Upgrades!$U$18,J39),1)*IF(Upgrades!$T$20="Peculiar Velocity",POWER(Upgrades!$U$20,L39),1)*IF(Upgrades!$T$21="Peculiar Velocity",POWER(Upgrades!$U$21,M39),1))+(IF(L39=0,0,(Upgrades!$M$20+L39*Upgrades!$N$20)*POWER(Upgrades!$O$20,L39)))*(IF(Upgrades!$T$13="Open Cluster",POWER(Upgrades!$U$13,E39),1)*IF(Upgrades!$T$14="Open Cluster",POWER(Upgrades!$U$14,F39),1)*IF(Upgrades!$T$15="Open Cluster",POWER(Upgrades!$U$15,G39),1)*IF(Upgrades!$T$16="Open Cluster",POWER(Upgrades!$U$16,H39),1)*IF(Upgrades!$T$17="Open Cluster",POWER(Upgrades!$U$17,I39),1)*IF(Upgrades!$T$18="Open Cluster",POWER(Upgrades!$U$18,J39),1)*IF(Upgrades!$T$19="Open Cluster",POWER(Upgrades!$U$19,K39),1)*IF(Upgrades!$T$21="Open Cluster",POWER(Upgrades!$U$21,M39),1))+(IF(M39=0,0,(Upgrades!$M$21+M39*Upgrades!$N$21)*POWER(Upgrades!$O$21,M39)))*(IF(Upgrades!$T$13="Moving Group",POWER(Upgrades!$U$13,E39),1)*IF(Upgrades!$T$14="Moving Group",POWER(Upgrades!$U$14,F39),1)*IF(Upgrades!$T$15="Moving Group",POWER(Upgrades!$U$15,G39),1)*IF(Upgrades!$T$16="Moving Group",POWER(Upgrades!$U$16,H39),1)*IF(Upgrades!$T$17="Moving Group",POWER(Upgrades!$U$17,I39),1)*IF(Upgrades!$T$18="Moving Group",POWER(Upgrades!$U$18,J39),1)*IF(Upgrades!$T$19="Moving Group",POWER(Upgrades!$U$19,K39),1)*IF(Upgrades!$T$20="Moving Group",POWER(Upgrades!$U$20,L39),1)))*POWER(Upgrades!$R$13,E39)*POWER(Upgrades!$R$14,F39)*POWER(Upgrades!$R$15,G39)*POWER(Upgrades!$R$16,H39)*POWER(Upgrades!$R$17,I39)*POWER(Upgrades!$R$18,J39)*POWER(Upgrades!$R$19,K39)*POWER(Upgrades!$R$20,L39)*POWER(Upgrades!$R$21,M39)*$H$6+$E$6</f>
        <v/>
      </c>
      <c r="R39" s="27">
        <f>IF(N39=1,0,O39*Parameters!$B$10/60*Parameters!$B$11*10)</f>
        <v/>
      </c>
      <c r="S39" s="27">
        <f>IF(N39=1,0,Q39*O39*10)</f>
        <v/>
      </c>
      <c r="T39" s="27">
        <f>IF(N39=1,0,R39+S39+P39*10)</f>
        <v/>
      </c>
      <c r="U39" s="33">
        <f>BE39</f>
        <v/>
      </c>
      <c r="V39" s="22">
        <f>IF(U39="",0,IF(U39="transition",0,IF(U39="SK",AK39,IF(U39="LB",AL39,IF(U39="ML",AM39,IF(U39="RLO",AN39,IF(U39="BD",AO39,IF(U39="BiP",AP39,IF(U39="PV",AQ39,IF(U39="OC",AR39,IF(U39="MG",AS39,0))))))))))</f>
        <v/>
      </c>
      <c r="W39" s="27">
        <f>IF(U39="BiP",Upgrades!$F$18,IF(U39="PV",Upgrades!$F$19,IF(U39="OC",Upgrades!$F$20,IF(U39="MG",Upgrades!$F$21,IF(U39="transition",-Parameters!$B$18*Parameters!$B$19,0)))))</f>
        <v/>
      </c>
      <c r="X39" s="22">
        <f>C39+T39-V39</f>
        <v/>
      </c>
      <c r="Y39" s="30">
        <f>O39*Parameters!$B$10/60*Parameters!$B$11+Q39*O39+P39</f>
        <v/>
      </c>
      <c r="Z39" s="34">
        <f>IF(U39="transition","→ Tier 3 (Galactic Arm)",IF(U39="MG","Moving Group — pocket drifts together",IF(U39="OC","Open Cluster acquired",IF(U39="PV","Peculiar Velocity — passive multiplier active",IF(U39="BiP","Binary Partner — pair bond formed",IF(AND(AU39=1,N39=0,AT39&lt;&gt;1),"Cohesion ready (waiting on completionists)","")))))) </f>
        <v/>
      </c>
      <c r="AA39" s="27">
        <f>(IF(E39=0,0,(Upgrades!$G$13+E39*Upgrades!$H$13)*POWER(Upgrades!$I$13,E39)))*(IF(Upgrades!$T$14="Stellar Kinematics",POWER(Upgrades!$U$14,F39),1)*IF(Upgrades!$T$15="Stellar Kinematics",POWER(Upgrades!$U$15,G39),1)*IF(Upgrades!$T$16="Stellar Kinematics",POWER(Upgrades!$U$16,H39),1)*IF(Upgrades!$T$17="Stellar Kinematics",POWER(Upgrades!$U$17,I39),1)*IF(Upgrades!$T$18="Stellar Kinematics",POWER(Upgrades!$U$18,J39),1)*IF(Upgrades!$T$19="Stellar Kinematics",POWER(Upgrades!$U$19,K39),1)*IF(Upgrades!$T$20="Stellar Kinematics",POWER(Upgrades!$U$20,L39),1)*IF(Upgrades!$T$21="Stellar Kinematics",POWER(Upgrades!$U$21,M39),1))*POWER(Upgrades!$P$13,E39)*POWER(Upgrades!$P$14,F39)*POWER(Upgrades!$P$15,G39)*POWER(Upgrades!$P$16,H39)*POWER(Upgrades!$P$17,I39)*POWER(Upgrades!$P$18,J39)*POWER(Upgrades!$P$19,K39)*POWER(Upgrades!$P$20,L39)*POWER(Upgrades!$P$21,M39)*$F$6*60</f>
        <v/>
      </c>
      <c r="AB39" s="27">
        <f>(IF(F39=0,0,(Upgrades!$G$14+F39*Upgrades!$H$14)*POWER(Upgrades!$I$14,F39)))*(IF(Upgrades!$T$13="Local Bubble",POWER(Upgrades!$U$13,E39),1)*IF(Upgrades!$T$15="Local Bubble",POWER(Upgrades!$U$15,G39),1)*IF(Upgrades!$T$16="Local Bubble",POWER(Upgrades!$U$16,H39),1)*IF(Upgrades!$T$17="Local Bubble",POWER(Upgrades!$U$17,I39),1)*IF(Upgrades!$T$18="Local Bubble",POWER(Upgrades!$U$18,J39),1)*IF(Upgrades!$T$19="Local Bubble",POWER(Upgrades!$U$19,K39),1)*IF(Upgrades!$T$20="Local Bubble",POWER(Upgrades!$U$20,L39),1)*IF(Upgrades!$T$21="Local Bubble",POWER(Upgrades!$U$21,M39),1))*POWER(Upgrades!$P$13,E39)*POWER(Upgrades!$P$14,F39)*POWER(Upgrades!$P$15,G39)*POWER(Upgrades!$P$16,H39)*POWER(Upgrades!$P$17,I39)*POWER(Upgrades!$P$18,J39)*POWER(Upgrades!$P$19,K39)*POWER(Upgrades!$P$20,L39)*POWER(Upgrades!$P$21,M39)*$F$6*60</f>
        <v/>
      </c>
      <c r="AC39" s="27">
        <f>(IF(G39=0,0,(Upgrades!$J$15+G39*Upgrades!$K$15)*POWER(Upgrades!$L$15,G39)))*(IF(Upgrades!$T$13="Microlensing",POWER(Upgrades!$U$13,E39),1)*IF(Upgrades!$T$14="Microlensing",POWER(Upgrades!$U$14,F39),1)*IF(Upgrades!$T$16="Microlensing",POWER(Upgrades!$U$16,H39),1)*IF(Upgrades!$T$17="Microlensing",POWER(Upgrades!$U$17,I39),1)*IF(Upgrades!$T$18="Microlensing",POWER(Upgrades!$U$18,J39),1)*IF(Upgrades!$T$19="Microlensing",POWER(Upgrades!$U$19,K39),1)*IF(Upgrades!$T$20="Microlensing",POWER(Upgrades!$U$20,L39),1)*IF(Upgrades!$T$21="Microlensing",POWER(Upgrades!$U$21,M39),1))*POWER(Upgrades!$Q$13,E39)*POWER(Upgrades!$Q$14,F39)*POWER(Upgrades!$Q$15,G39)*POWER(Upgrades!$Q$16,H39)*POWER(Upgrades!$Q$17,I39)*POWER(Upgrades!$Q$18,J39)*POWER(Upgrades!$Q$19,K39)*POWER(Upgrades!$Q$20,L39)*POWER(Upgrades!$Q$21,M39)*$G$6*(Parameters!$B$10*Parameters!$B$11+Q39*60)</f>
        <v/>
      </c>
      <c r="AD39" s="27">
        <f>(IF(H39=0,0,(Upgrades!$M$16+H39*Upgrades!$N$16)*POWER(Upgrades!$O$16,H39)))*(IF(Upgrades!$T$13="Roche Lobe Overflow",POWER(Upgrades!$U$13,E39),1)*IF(Upgrades!$T$14="Roche Lobe Overflow",POWER(Upgrades!$U$14,F39),1)*IF(Upgrades!$T$15="Roche Lobe Overflow",POWER(Upgrades!$U$15,G39),1)*IF(Upgrades!$T$17="Roche Lobe Overflow",POWER(Upgrades!$U$17,I39),1)*IF(Upgrades!$T$18="Roche Lobe Overflow",POWER(Upgrades!$U$18,J39),1)*IF(Upgrades!$T$19="Roche Lobe Overflow",POWER(Upgrades!$U$19,K39),1)*IF(Upgrades!$T$20="Roche Lobe Overflow",POWER(Upgrades!$U$20,L39),1)*IF(Upgrades!$T$21="Roche Lobe Overflow",POWER(Upgrades!$U$21,M39),1))*POWER(Upgrades!$R$13,E39)*POWER(Upgrades!$R$14,F39)*POWER(Upgrades!$R$15,G39)*POWER(Upgrades!$R$16,H39)*POWER(Upgrades!$R$17,I39)*POWER(Upgrades!$R$18,J39)*POWER(Upgrades!$R$19,K39)*POWER(Upgrades!$R$20,L39)*POWER(Upgrades!$R$21,M39)*$H$6*O39*60</f>
        <v/>
      </c>
      <c r="AE39" s="27">
        <f>(IF(I39=0,0,(Upgrades!$G$17+I39*Upgrades!$H$17)*POWER(Upgrades!$I$17,I39)))*(IF(Upgrades!$T$13="Brown Dwarf",POWER(Upgrades!$U$13,E39),1)*IF(Upgrades!$T$14="Brown Dwarf",POWER(Upgrades!$U$14,F39),1)*IF(Upgrades!$T$15="Brown Dwarf",POWER(Upgrades!$U$15,G39),1)*IF(Upgrades!$T$16="Brown Dwarf",POWER(Upgrades!$U$16,H39),1)*IF(Upgrades!$T$18="Brown Dwarf",POWER(Upgrades!$U$18,J39),1)*IF(Upgrades!$T$19="Brown Dwarf",POWER(Upgrades!$U$19,K39),1)*IF(Upgrades!$T$20="Brown Dwarf",POWER(Upgrades!$U$20,L39),1)*IF(Upgrades!$T$21="Brown Dwarf",POWER(Upgrades!$U$21,M39),1))*POWER(Upgrades!$P$13,E39)*POWER(Upgrades!$P$14,F39)*POWER(Upgrades!$P$15,G39)*POWER(Upgrades!$P$16,H39)*POWER(Upgrades!$P$17,I39)*POWER(Upgrades!$P$18,J39)*POWER(Upgrades!$P$19,K39)*POWER(Upgrades!$P$20,L39)*POWER(Upgrades!$P$21,M39)*$F$6*60</f>
        <v/>
      </c>
      <c r="AF39" s="27" t="n">
        <v>0</v>
      </c>
      <c r="AG39" s="27" t="n">
        <v>0</v>
      </c>
      <c r="AH39" s="27" t="n">
        <v>0</v>
      </c>
      <c r="AI39" s="27">
        <f>(IF(M39=0,0,(Upgrades!$G$21+M39*Upgrades!$H$21)*POWER(Upgrades!$I$21,M39)))*(IF(Upgrades!$T$13="Moving Group",POWER(Upgrades!$U$13,E39),1)*IF(Upgrades!$T$14="Moving Group",POWER(Upgrades!$U$14,F39),1)*IF(Upgrades!$T$15="Moving Group",POWER(Upgrades!$U$15,G39),1)*IF(Upgrades!$T$16="Moving Group",POWER(Upgrades!$U$16,H39),1)*IF(Upgrades!$T$17="Moving Group",POWER(Upgrades!$U$17,I39),1)*IF(Upgrades!$T$18="Moving Group",POWER(Upgrades!$U$18,J39),1)*IF(Upgrades!$T$19="Moving Group",POWER(Upgrades!$U$19,K39),1)*IF(Upgrades!$T$20="Moving Group",POWER(Upgrades!$U$20,L39),1))*POWER(Upgrades!$P$13,E39)*POWER(Upgrades!$P$14,F39)*POWER(Upgrades!$P$15,G39)*POWER(Upgrades!$P$16,H39)*POWER(Upgrades!$P$17,I39)*POWER(Upgrades!$P$18,J39)*POWER(Upgrades!$P$19,K39)*POWER(Upgrades!$P$20,L39)*POWER(Upgrades!$P$21,M39)*$F$6*60</f>
        <v/>
      </c>
      <c r="AJ39" s="27">
        <f>$C$6*60</f>
        <v/>
      </c>
      <c r="AK39" s="22">
        <f>IF(E39&gt;=Upgrades!$E$13,"",Upgrades!$C$13*POWER(Upgrades!$D$13,E39))</f>
        <v/>
      </c>
      <c r="AL39" s="22">
        <f>IF(F39&gt;=Upgrades!$E$14,"",Upgrades!$C$14*POWER(Upgrades!$D$14,F39))</f>
        <v/>
      </c>
      <c r="AM39" s="22">
        <f>IF(G39&gt;=Upgrades!$E$15,"",Upgrades!$C$15*POWER(Upgrades!$D$15,G39))</f>
        <v/>
      </c>
      <c r="AN39" s="22">
        <f>IF(H39&gt;=Upgrades!$E$16,"",Upgrades!$C$16*POWER(Upgrades!$D$16,H39))</f>
        <v/>
      </c>
      <c r="AO39" s="22">
        <f>IF(I39&gt;=Upgrades!$E$17,"",Upgrades!$C$17*POWER(Upgrades!$D$17,I39))</f>
        <v/>
      </c>
      <c r="AP39" s="22">
        <f>IF(J39&gt;=Upgrades!$E$18,"",Upgrades!$C$18*POWER(Upgrades!$D$18,J39))</f>
        <v/>
      </c>
      <c r="AQ39" s="22">
        <f>IF(K39&gt;=Upgrades!$E$19,"",Upgrades!$C$19*POWER(Upgrades!$D$19,K39))</f>
        <v/>
      </c>
      <c r="AR39" s="22">
        <f>IF(L39&gt;=Upgrades!$E$20,"",Upgrades!$C$20*POWER(Upgrades!$D$20,L39))</f>
        <v/>
      </c>
      <c r="AS39" s="22">
        <f>IF(M39&gt;=Upgrades!$E$21,"",Upgrades!$C$21*POWER(Upgrades!$D$21,M39))</f>
        <v/>
      </c>
      <c r="AT39" s="26">
        <f>IF(AND(D39&gt;=Parameters!$B$18*Parameters!$B$19,(I39&gt;=Upgrades!$E$17)*(M39&gt;=Upgrades!$E$21)=1,N39=0),1,"")</f>
        <v/>
      </c>
      <c r="AU39" s="26">
        <f>IF(AND(D39&gt;=Parameters!$B$18*Parameters!$B$19,N39=0),1,"")</f>
        <v/>
      </c>
      <c r="AV39" s="22">
        <f>MIN(IF(ISNUMBER(AP39),AP39,9E15),IF(ISNUMBER(AQ39),AQ39,9E15),IF(ISNUMBER(AR39),AR39,9E15),IF(ISNUMBER(AS39),AS39,9E15))</f>
        <v/>
      </c>
      <c r="AW39" s="22">
        <f>MIN(IF(ISNUMBER(AK39),AK39,9E15),IF(ISNUMBER(AL39),AL39,9E15),IF(ISNUMBER(AM39),AM39,9E15),IF(ISNUMBER(AN39),AN39,9E15),IF(ISNUMBER(AO39),AO39,9E15))</f>
        <v/>
      </c>
      <c r="AX39" s="29">
        <f>IF(BD39&gt;Parameters!$B$21*(MAX(IF(AND(NOT(AND(AU39=1,AT39&lt;&gt;1)),ISNUMBER(AK39),AK39&lt;=(C39+T39)),AY39,0),IF(AND(NOT(AND(AU39=1,AT39&lt;&gt;1)),ISNUMBER(AL39),AL39&lt;=(C39+T39)),AZ39,0),IF(AND(NOT(AND(AU39=1,AT39&lt;&gt;1)),ISNUMBER(AM39),AM39&lt;=(C39+T39)),BA39,0),IF(AND(NOT(AND(AU39=1,AT39&lt;&gt;1)),ISNUMBER(AN39),AN39&lt;=(C39+T39)),BB39,0),IF(AND(ISNUMBER(AO39),AO39&lt;=(C39+T39)),BC39,0))),TRUE,FALSE)</f>
        <v/>
      </c>
      <c r="AY39" s="32">
        <f>IFERROR(Upgrades!$H$13*(POWER(Upgrades!$P$13,E39)*POWER(Upgrades!$P$14,F39)*POWER(Upgrades!$P$15,G39)*POWER(Upgrades!$P$16,H39)*POWER(Upgrades!$P$17,I39)*POWER(Upgrades!$P$18,J39)*POWER(Upgrades!$P$19,K39)*POWER(Upgrades!$P$20,L39)*POWER(Upgrades!$P$21,M39))*(IF(Upgrades!$T$14="Stellar Kinematics",POWER(Upgrades!$U$14,F39),1)*IF(Upgrades!$T$15="Stellar Kinematics",POWER(Upgrades!$U$15,G39),1)*IF(Upgrades!$T$16="Stellar Kinematics",POWER(Upgrades!$U$16,H39),1)*IF(Upgrades!$T$17="Stellar Kinematics",POWER(Upgrades!$U$17,I39),1)*IF(Upgrades!$T$18="Stellar Kinematics",POWER(Upgrades!$U$18,J39),1)*IF(Upgrades!$T$19="Stellar Kinematics",POWER(Upgrades!$U$19,K39),1)*IF(Upgrades!$T$20="Stellar Kinematics",POWER(Upgrades!$U$20,L39),1)*IF(Upgrades!$T$21="Stellar Kinematics",POWER(Upgrades!$U$21,M39),1))*$F$6/AK39,0)</f>
        <v/>
      </c>
      <c r="AZ39" s="32">
        <f>IFERROR(Upgrades!$H$14*(POWER(Upgrades!$P$13,E39)*POWER(Upgrades!$P$14,F39)*POWER(Upgrades!$P$15,G39)*POWER(Upgrades!$P$16,H39)*POWER(Upgrades!$P$17,I39)*POWER(Upgrades!$P$18,J39)*POWER(Upgrades!$P$19,K39)*POWER(Upgrades!$P$20,L39)*POWER(Upgrades!$P$21,M39))*(IF(Upgrades!$T$13="Local Bubble",POWER(Upgrades!$U$13,E39),1)*IF(Upgrades!$T$15="Local Bubble",POWER(Upgrades!$U$15,G39),1)*IF(Upgrades!$T$16="Local Bubble",POWER(Upgrades!$U$16,H39),1)*IF(Upgrades!$T$17="Local Bubble",POWER(Upgrades!$U$17,I39),1)*IF(Upgrades!$T$18="Local Bubble",POWER(Upgrades!$U$18,J39),1)*IF(Upgrades!$T$19="Local Bubble",POWER(Upgrades!$U$19,K39),1)*IF(Upgrades!$T$20="Local Bubble",POWER(Upgrades!$U$20,L39),1)*IF(Upgrades!$T$21="Local Bubble",POWER(Upgrades!$U$21,M39),1))*$F$6/AL39,0)</f>
        <v/>
      </c>
      <c r="BA39" s="32">
        <f>IFERROR(Upgrades!$K$15*(POWER(Upgrades!$Q$13,E39)*POWER(Upgrades!$Q$14,F39)*POWER(Upgrades!$Q$15,G39)*POWER(Upgrades!$Q$16,H39)*POWER(Upgrades!$Q$17,I39)*POWER(Upgrades!$Q$18,J39)*POWER(Upgrades!$Q$19,K39)*POWER(Upgrades!$Q$20,L39)*POWER(Upgrades!$Q$21,M39))*(IF(Upgrades!$T$13="Microlensing",POWER(Upgrades!$U$13,E39),1)*IF(Upgrades!$T$14="Microlensing",POWER(Upgrades!$U$14,F39),1)*IF(Upgrades!$T$16="Microlensing",POWER(Upgrades!$U$16,H39),1)*IF(Upgrades!$T$17="Microlensing",POWER(Upgrades!$U$17,I39),1)*IF(Upgrades!$T$18="Microlensing",POWER(Upgrades!$U$18,J39),1)*IF(Upgrades!$T$19="Microlensing",POWER(Upgrades!$U$19,K39),1)*IF(Upgrades!$T$20="Microlensing",POWER(Upgrades!$U$20,L39),1)*IF(Upgrades!$T$21="Microlensing",POWER(Upgrades!$U$21,M39),1))*$G$6*(Parameters!$B$10/60*Parameters!$B$11+Q39)/AM39,0)</f>
        <v/>
      </c>
      <c r="BB39" s="32">
        <f>IFERROR((Upgrades!$N$16*(POWER(Upgrades!$R$13,E39)*POWER(Upgrades!$R$14,F39)*POWER(Upgrades!$R$15,G39)*POWER(Upgrades!$R$16,H39)*POWER(Upgrades!$R$17,I39)*POWER(Upgrades!$R$18,J39)*POWER(Upgrades!$R$19,K39)*POWER(Upgrades!$R$20,L39)*POWER(Upgrades!$R$21,M39))*(IF(Upgrades!$T$13="Roche Lobe Overflow",POWER(Upgrades!$U$13,E39),1)*IF(Upgrades!$T$14="Roche Lobe Overflow",POWER(Upgrades!$U$14,F39),1)*IF(Upgrades!$T$15="Roche Lobe Overflow",POWER(Upgrades!$U$15,G39),1)*IF(Upgrades!$T$17="Roche Lobe Overflow",POWER(Upgrades!$U$17,I39),1)*IF(Upgrades!$T$18="Roche Lobe Overflow",POWER(Upgrades!$U$18,J39),1)*IF(Upgrades!$T$19="Roche Lobe Overflow",POWER(Upgrades!$U$19,K39),1)*IF(Upgrades!$T$20="Roche Lobe Overflow",POWER(Upgrades!$U$20,L39),1)*IF(Upgrades!$T$21="Roche Lobe Overflow",POWER(Upgrades!$U$21,M39),1))*$H$6*O39+((IF(F39=0,0,(Upgrades!$G$14+F39*Upgrades!$H$14)*POWER(Upgrades!$I$14,F39)))*(IF(Upgrades!$T$13="Local Bubble",POWER(Upgrades!$U$13,E39),1)*IF(Upgrades!$T$15="Local Bubble",POWER(Upgrades!$U$15,G39),1)*IF(Upgrades!$T$16="Local Bubble",POWER(Upgrades!$U$16,H39),1)*IF(Upgrades!$T$17="Local Bubble",POWER(Upgrades!$U$17,I39),1)*IF(Upgrades!$T$18="Local Bubble",POWER(Upgrades!$U$18,J39),1)*IF(Upgrades!$T$19="Local Bubble",POWER(Upgrades!$U$19,K39),1)*IF(Upgrades!$T$20="Local Bubble",POWER(Upgrades!$U$20,L39),1)*IF(Upgrades!$T$21="Local Bubble",POWER(Upgrades!$U$21,M39),1))*POWER(Upgrades!$P$13,E39)*POWER(Upgrades!$P$14,F39)*POWER(Upgrades!$P$15,G39)*POWER(Upgrades!$P$16,H39)*POWER(Upgrades!$P$17,I39)*POWER(Upgrades!$P$18,J39)*POWER(Upgrades!$P$19,K39)*POWER(Upgrades!$P$20,L39)*POWER(Upgrades!$P$21,M39)*$F$6)*0.05)/AN39,0)</f>
        <v/>
      </c>
      <c r="BC39" s="32">
        <f>IFERROR((Upgrades!$H$17*(POWER(Upgrades!$P$13,E39)*POWER(Upgrades!$P$14,F39)*POWER(Upgrades!$P$15,G39)*POWER(Upgrades!$P$16,H39)*POWER(Upgrades!$P$17,I39)*POWER(Upgrades!$P$18,J39)*POWER(Upgrades!$P$19,K39)*POWER(Upgrades!$P$20,L39)*POWER(Upgrades!$P$21,M39))*(IF(Upgrades!$T$13="Brown Dwarf",POWER(Upgrades!$U$13,E39),1)*IF(Upgrades!$T$14="Brown Dwarf",POWER(Upgrades!$U$14,F39),1)*IF(Upgrades!$T$15="Brown Dwarf",POWER(Upgrades!$U$15,G39),1)*IF(Upgrades!$T$16="Brown Dwarf",POWER(Upgrades!$U$16,H39),1)*IF(Upgrades!$T$18="Brown Dwarf",POWER(Upgrades!$U$18,J39),1)*IF(Upgrades!$T$19="Brown Dwarf",POWER(Upgrades!$U$19,K39),1)*IF(Upgrades!$T$20="Brown Dwarf",POWER(Upgrades!$U$20,L39),1)*IF(Upgrades!$T$21="Brown Dwarf",POWER(Upgrades!$U$21,M39),1))*$F$6+(((IF(H39=0,0,(Upgrades!$M$16+H39*Upgrades!$N$16)*POWER(Upgrades!$O$16,H39)))*(IF(Upgrades!$T$13="Roche Lobe Overflow",POWER(Upgrades!$U$13,E39),1)*IF(Upgrades!$T$14="Roche Lobe Overflow",POWER(Upgrades!$U$14,F39),1)*IF(Upgrades!$T$15="Roche Lobe Overflow",POWER(Upgrades!$U$15,G39),1)*IF(Upgrades!$T$17="Roche Lobe Overflow",POWER(Upgrades!$U$17,I39),1)*IF(Upgrades!$T$18="Roche Lobe Overflow",POWER(Upgrades!$U$18,J39),1)*IF(Upgrades!$T$19="Roche Lobe Overflow",POWER(Upgrades!$U$19,K39),1)*IF(Upgrades!$T$20="Roche Lobe Overflow",POWER(Upgrades!$U$20,L39),1)*IF(Upgrades!$T$21="Roche Lobe Overflow",POWER(Upgrades!$U$21,M39),1))*POWER(Upgrades!$R$13,E39)*POWER(Upgrades!$R$14,F39)*POWER(Upgrades!$R$15,G39)*POWER(Upgrades!$R$16,H39)*POWER(Upgrades!$R$17,I39)*POWER(Upgrades!$R$18,J39)*POWER(Upgrades!$R$19,K39)*POWER(Upgrades!$R$20,L39)*POWER(Upgrades!$R$21,M39)*$H$6)*O39)*0.10)/AO39,0)</f>
        <v/>
      </c>
      <c r="BD39" s="32">
        <f>MAX(IF(J39&gt;0,0,IFERROR(0.5*((IF(G39=0,0,(Upgrades!$J$15+G39*Upgrades!$K$15)*POWER(Upgrades!$L$15,G39)))*(IF(Upgrades!$T$13="Microlensing",POWER(Upgrades!$U$13,E39),1)*IF(Upgrades!$T$14="Microlensing",POWER(Upgrades!$U$14,F39),1)*IF(Upgrades!$T$16="Microlensing",POWER(Upgrades!$U$16,H39),1)*IF(Upgrades!$T$17="Microlensing",POWER(Upgrades!$U$17,I39),1)*IF(Upgrades!$T$18="Microlensing",POWER(Upgrades!$U$18,J39),1)*IF(Upgrades!$T$19="Microlensing",POWER(Upgrades!$U$19,K39),1)*IF(Upgrades!$T$20="Microlensing",POWER(Upgrades!$U$20,L39),1)*IF(Upgrades!$T$21="Microlensing",POWER(Upgrades!$U$21,M39),1))*(POWER(Upgrades!$Q$13,E39)*POWER(Upgrades!$Q$14,F39)*POWER(Upgrades!$Q$15,G39)*POWER(Upgrades!$Q$16,H39)*POWER(Upgrades!$Q$17,I39)*POWER(Upgrades!$Q$18,J39)*POWER(Upgrades!$Q$19,K39)*POWER(Upgrades!$Q$20,L39)*POWER(Upgrades!$Q$21,M39))*$G$6*(Parameters!$B$10/60*Parameters!$B$11+Q39))/Upgrades!$C$18,0)),IF(K39&gt;0,0,IFERROR(0.30*P39/Upgrades!$C$19,0)),IF(L39&gt;0,0,IFERROR(0.0001/Upgrades!$C$20,0)),IF(M39&gt;0,0,IFERROR((6.0*(POWER(Upgrades!$P$13,E39)*POWER(Upgrades!$P$14,F39)*POWER(Upgrades!$P$15,G39)*POWER(Upgrades!$P$16,H39)*POWER(Upgrades!$P$17,I39)*POWER(Upgrades!$P$18,J39)*POWER(Upgrades!$P$19,K39)*POWER(Upgrades!$P$20,L39)*POWER(Upgrades!$P$21,M39))*$F$6+0.20*O39*(Parameters!$B$10/60*Parameters!$B$11+Q39))/Upgrades!$C$21,0)),IF(AND(ISNUMBER(AK39),AK39&gt;(C39+T39)),AY39,0),IF(AND(ISNUMBER(AL39),AL39&gt;(C39+T39)),AZ39,0),IF(AND(ISNUMBER(AM39),AM39&gt;(C39+T39)),BA39,0),IF(AND(ISNUMBER(AN39),AN39&gt;(C39+T39)),BB39,0),IF(AND(ISNUMBER(AO39),AO39&gt;(C39+T39)),BC39,0))</f>
        <v/>
      </c>
      <c r="BE39" s="29">
        <f>IF(AT39=1,"transition",IF(MIN(IF(AND(J39=0,ISNUMBER(AP39),AP39&lt;=(C39+T39)),AP39,9E15),IF(AND(K39=0,ISNUMBER(AQ39),AQ39&lt;=(C39+T39)),AQ39,9E15),IF(AND(L39=0,ISNUMBER(AR39),AR39&lt;=(C39+T39)),AR39,9E15),IF(AND(M39=0,ISNUMBER(AS39),AS39&lt;=(C39+T39)),AS39,9E15))&lt;9E15,IF(AND(AND(J39=0,ISNUMBER(AP39),AP39&lt;=(C39+T39)),AP39=MIN(IF(AND(J39=0,ISNUMBER(AP39),AP39&lt;=(C39+T39)),AP39,9E15),IF(AND(K39=0,ISNUMBER(AQ39),AQ39&lt;=(C39+T39)),AQ39,9E15),IF(AND(L39=0,ISNUMBER(AR39),AR39&lt;=(C39+T39)),AR39,9E15),IF(AND(M39=0,ISNUMBER(AS39),AS39&lt;=(C39+T39)),AS39,9E15))),"BiP",IF(AND(AND(K39=0,ISNUMBER(AQ39),AQ39&lt;=(C39+T39)),AQ39=MIN(IF(AND(J39=0,ISNUMBER(AP39),AP39&lt;=(C39+T39)),AP39,9E15),IF(AND(K39=0,ISNUMBER(AQ39),AQ39&lt;=(C39+T39)),AQ39,9E15),IF(AND(L39=0,ISNUMBER(AR39),AR39&lt;=(C39+T39)),AR39,9E15),IF(AND(M39=0,ISNUMBER(AS39),AS39&lt;=(C39+T39)),AS39,9E15))),"PV",IF(AND(AND(L39=0,ISNUMBER(AR39),AR39&lt;=(C39+T39)),AR39=MIN(IF(AND(J39=0,ISNUMBER(AP39),AP39&lt;=(C39+T39)),AP39,9E15),IF(AND(K39=0,ISNUMBER(AQ39),AQ39&lt;=(C39+T39)),AQ39,9E15),IF(AND(L39=0,ISNUMBER(AR39),AR39&lt;=(C39+T39)),AR39,9E15),IF(AND(M39=0,ISNUMBER(AS39),AS39&lt;=(C39+T39)),AS39,9E15))),"OC","MG"))),IF(AX39=TRUE,"",IF(MAX(IF(AND(NOT(AND(AU39=1,AT39&lt;&gt;1)),ISNUMBER(AK39),AK39&lt;=(C39+T39)),AY39,0),IF(AND(NOT(AND(AU39=1,AT39&lt;&gt;1)),ISNUMBER(AL39),AL39&lt;=(C39+T39)),AZ39,0),IF(AND(NOT(AND(AU39=1,AT39&lt;&gt;1)),ISNUMBER(AM39),AM39&lt;=(C39+T39)),BA39,0),IF(AND(NOT(AND(AU39=1,AT39&lt;&gt;1)),ISNUMBER(AN39),AN39&lt;=(C39+T39)),BB39,0),IF(AND(ISNUMBER(AO39),AO39&lt;=(C39+T39)),BC39,0))&lt;=0,"",IF(AND(IF(AND(NOT(AND(AU39=1,AT39&lt;&gt;1)),ISNUMBER(AK39),AK39&lt;=(C39+T39)),AY39,0)&gt;0,IF(AND(NOT(AND(AU39=1,AT39&lt;&gt;1)),ISNUMBER(AK39),AK39&lt;=(C39+T39)),AY39,0)=MAX(IF(AND(NOT(AND(AU39=1,AT39&lt;&gt;1)),ISNUMBER(AK39),AK39&lt;=(C39+T39)),AY39,0),IF(AND(NOT(AND(AU39=1,AT39&lt;&gt;1)),ISNUMBER(AL39),AL39&lt;=(C39+T39)),AZ39,0),IF(AND(NOT(AND(AU39=1,AT39&lt;&gt;1)),ISNUMBER(AM39),AM39&lt;=(C39+T39)),BA39,0),IF(AND(NOT(AND(AU39=1,AT39&lt;&gt;1)),ISNUMBER(AN39),AN39&lt;=(C39+T39)),BB39,0),IF(AND(ISNUMBER(AO39),AO39&lt;=(C39+T39)),BC39,0))),"SK",IF(AND(IF(AND(NOT(AND(AU39=1,AT39&lt;&gt;1)),ISNUMBER(AL39),AL39&lt;=(C39+T39)),AZ39,0)&gt;0,IF(AND(NOT(AND(AU39=1,AT39&lt;&gt;1)),ISNUMBER(AL39),AL39&lt;=(C39+T39)),AZ39,0)=MAX(IF(AND(NOT(AND(AU39=1,AT39&lt;&gt;1)),ISNUMBER(AK39),AK39&lt;=(C39+T39)),AY39,0),IF(AND(NOT(AND(AU39=1,AT39&lt;&gt;1)),ISNUMBER(AL39),AL39&lt;=(C39+T39)),AZ39,0),IF(AND(NOT(AND(AU39=1,AT39&lt;&gt;1)),ISNUMBER(AM39),AM39&lt;=(C39+T39)),BA39,0),IF(AND(NOT(AND(AU39=1,AT39&lt;&gt;1)),ISNUMBER(AN39),AN39&lt;=(C39+T39)),BB39,0),IF(AND(ISNUMBER(AO39),AO39&lt;=(C39+T39)),BC39,0))),"LB",IF(AND(IF(AND(NOT(AND(AU39=1,AT39&lt;&gt;1)),ISNUMBER(AM39),AM39&lt;=(C39+T39)),BA39,0)&gt;0,IF(AND(NOT(AND(AU39=1,AT39&lt;&gt;1)),ISNUMBER(AM39),AM39&lt;=(C39+T39)),BA39,0)=MAX(IF(AND(NOT(AND(AU39=1,AT39&lt;&gt;1)),ISNUMBER(AK39),AK39&lt;=(C39+T39)),AY39,0),IF(AND(NOT(AND(AU39=1,AT39&lt;&gt;1)),ISNUMBER(AL39),AL39&lt;=(C39+T39)),AZ39,0),IF(AND(NOT(AND(AU39=1,AT39&lt;&gt;1)),ISNUMBER(AM39),AM39&lt;=(C39+T39)),BA39,0),IF(AND(NOT(AND(AU39=1,AT39&lt;&gt;1)),ISNUMBER(AN39),AN39&lt;=(C39+T39)),BB39,0),IF(AND(ISNUMBER(AO39),AO39&lt;=(C39+T39)),BC39,0))),"ML",IF(AND(IF(AND(NOT(AND(AU39=1,AT39&lt;&gt;1)),ISNUMBER(AN39),AN39&lt;=(C39+T39)),BB39,0)&gt;0,IF(AND(NOT(AND(AU39=1,AT39&lt;&gt;1)),ISNUMBER(AN39),AN39&lt;=(C39+T39)),BB39,0)=MAX(IF(AND(NOT(AND(AU39=1,AT39&lt;&gt;1)),ISNUMBER(AK39),AK39&lt;=(C39+T39)),AY39,0),IF(AND(NOT(AND(AU39=1,AT39&lt;&gt;1)),ISNUMBER(AL39),AL39&lt;=(C39+T39)),AZ39,0),IF(AND(NOT(AND(AU39=1,AT39&lt;&gt;1)),ISNUMBER(AM39),AM39&lt;=(C39+T39)),BA39,0),IF(AND(NOT(AND(AU39=1,AT39&lt;&gt;1)),ISNUMBER(AN39),AN39&lt;=(C39+T39)),BB39,0),IF(AND(ISNUMBER(AO39),AO39&lt;=(C39+T39)),BC39,0))),"RLO","BD"))))))))</f>
        <v/>
      </c>
    </row>
    <row r="40">
      <c r="A40" s="26" t="n">
        <v>29</v>
      </c>
      <c r="B40" s="27">
        <f>A40*10/60</f>
        <v/>
      </c>
      <c r="C40" s="22">
        <f>X39</f>
        <v/>
      </c>
      <c r="D40" s="27">
        <f>D39+W39</f>
        <v/>
      </c>
      <c r="E40" s="26">
        <f>E39+IF(U39="SK",1,0)</f>
        <v/>
      </c>
      <c r="F40" s="26">
        <f>F39+IF(U39="LB",1,0)</f>
        <v/>
      </c>
      <c r="G40" s="26">
        <f>G39+IF(U39="ML",1,0)</f>
        <v/>
      </c>
      <c r="H40" s="26">
        <f>H39+IF(U39="RLO",1,0)</f>
        <v/>
      </c>
      <c r="I40" s="26">
        <f>I39+IF(U39="BD",1,0)</f>
        <v/>
      </c>
      <c r="J40" s="26">
        <f>MAX(J39,IF(U39="BiP",1,0))</f>
        <v/>
      </c>
      <c r="K40" s="26">
        <f>MAX(K39,IF(U39="PV",1,0))</f>
        <v/>
      </c>
      <c r="L40" s="26">
        <f>MAX(L39,IF(U39="OC",1,0))</f>
        <v/>
      </c>
      <c r="M40" s="26">
        <f>MAX(M39,IF(U39="MG",1,0))</f>
        <v/>
      </c>
      <c r="N40" s="26">
        <f>MAX(N39,IF(U39="transition",1,0))</f>
        <v/>
      </c>
      <c r="O40" s="28">
        <f>(Parameters!$B$9+(IF(E40=0,0,(Upgrades!$J$13+E40*Upgrades!$K$13)*POWER(Upgrades!$L$13,E40)))*(IF(Upgrades!$T$14="Stellar Kinematics",POWER(Upgrades!$U$14,F40),1)*IF(Upgrades!$T$15="Stellar Kinematics",POWER(Upgrades!$U$15,G40),1)*IF(Upgrades!$T$16="Stellar Kinematics",POWER(Upgrades!$U$16,H40),1)*IF(Upgrades!$T$17="Stellar Kinematics",POWER(Upgrades!$U$17,I40),1)*IF(Upgrades!$T$18="Stellar Kinematics",POWER(Upgrades!$U$18,J40),1)*IF(Upgrades!$T$19="Stellar Kinematics",POWER(Upgrades!$U$19,K40),1)*IF(Upgrades!$T$20="Stellar Kinematics",POWER(Upgrades!$U$20,L40),1)*IF(Upgrades!$T$21="Stellar Kinematics",POWER(Upgrades!$U$21,M40),1))+(IF(F40=0,0,(Upgrades!$J$14+F40*Upgrades!$K$14)*POWER(Upgrades!$L$14,F40)))*(IF(Upgrades!$T$13="Local Bubble",POWER(Upgrades!$U$13,E40),1)*IF(Upgrades!$T$15="Local Bubble",POWER(Upgrades!$U$15,G40),1)*IF(Upgrades!$T$16="Local Bubble",POWER(Upgrades!$U$16,H40),1)*IF(Upgrades!$T$17="Local Bubble",POWER(Upgrades!$U$17,I40),1)*IF(Upgrades!$T$18="Local Bubble",POWER(Upgrades!$U$18,J40),1)*IF(Upgrades!$T$19="Local Bubble",POWER(Upgrades!$U$19,K40),1)*IF(Upgrades!$T$20="Local Bubble",POWER(Upgrades!$U$20,L40),1)*IF(Upgrades!$T$21="Local Bubble",POWER(Upgrades!$U$21,M40),1))+(IF(G40=0,0,(Upgrades!$J$15+G40*Upgrades!$K$15)*POWER(Upgrades!$L$15,G40)))*(IF(Upgrades!$T$13="Microlensing",POWER(Upgrades!$U$13,E40),1)*IF(Upgrades!$T$14="Microlensing",POWER(Upgrades!$U$14,F40),1)*IF(Upgrades!$T$16="Microlensing",POWER(Upgrades!$U$16,H40),1)*IF(Upgrades!$T$17="Microlensing",POWER(Upgrades!$U$17,I40),1)*IF(Upgrades!$T$18="Microlensing",POWER(Upgrades!$U$18,J40),1)*IF(Upgrades!$T$19="Microlensing",POWER(Upgrades!$U$19,K40),1)*IF(Upgrades!$T$20="Microlensing",POWER(Upgrades!$U$20,L40),1)*IF(Upgrades!$T$21="Microlensing",POWER(Upgrades!$U$21,M40),1))+(IF(H40=0,0,(Upgrades!$J$16+H40*Upgrades!$K$16)*POWER(Upgrades!$L$16,H40)))*(IF(Upgrades!$T$13="Roche Lobe Overflow",POWER(Upgrades!$U$13,E40),1)*IF(Upgrades!$T$14="Roche Lobe Overflow",POWER(Upgrades!$U$14,F40),1)*IF(Upgrades!$T$15="Roche Lobe Overflow",POWER(Upgrades!$U$15,G40),1)*IF(Upgrades!$T$17="Roche Lobe Overflow",POWER(Upgrades!$U$17,I40),1)*IF(Upgrades!$T$18="Roche Lobe Overflow",POWER(Upgrades!$U$18,J40),1)*IF(Upgrades!$T$19="Roche Lobe Overflow",POWER(Upgrades!$U$19,K40),1)*IF(Upgrades!$T$20="Roche Lobe Overflow",POWER(Upgrades!$U$20,L40),1)*IF(Upgrades!$T$21="Roche Lobe Overflow",POWER(Upgrades!$U$21,M40),1))+(IF(I40=0,0,(Upgrades!$J$17+I40*Upgrades!$K$17)*POWER(Upgrades!$L$17,I40)))*(IF(Upgrades!$T$13="Brown Dwarf",POWER(Upgrades!$U$13,E40),1)*IF(Upgrades!$T$14="Brown Dwarf",POWER(Upgrades!$U$14,F40),1)*IF(Upgrades!$T$15="Brown Dwarf",POWER(Upgrades!$U$15,G40),1)*IF(Upgrades!$T$16="Brown Dwarf",POWER(Upgrades!$U$16,H40),1)*IF(Upgrades!$T$18="Brown Dwarf",POWER(Upgrades!$U$18,J40),1)*IF(Upgrades!$T$19="Brown Dwarf",POWER(Upgrades!$U$19,K40),1)*IF(Upgrades!$T$20="Brown Dwarf",POWER(Upgrades!$U$20,L40),1)*IF(Upgrades!$T$21="Brown Dwarf",POWER(Upgrades!$U$21,M40),1))+(IF(J40=0,0,(Upgrades!$J$18+J40*Upgrades!$K$18)*POWER(Upgrades!$L$18,J40)))*(IF(Upgrades!$T$13="Binary Partner",POWER(Upgrades!$U$13,E40),1)*IF(Upgrades!$T$14="Binary Partner",POWER(Upgrades!$U$14,F40),1)*IF(Upgrades!$T$15="Binary Partner",POWER(Upgrades!$U$15,G40),1)*IF(Upgrades!$T$16="Binary Partner",POWER(Upgrades!$U$16,H40),1)*IF(Upgrades!$T$17="Binary Partner",POWER(Upgrades!$U$17,I40),1)*IF(Upgrades!$T$19="Binary Partner",POWER(Upgrades!$U$19,K40),1)*IF(Upgrades!$T$20="Binary Partner",POWER(Upgrades!$U$20,L40),1)*IF(Upgrades!$T$21="Binary Partner",POWER(Upgrades!$U$21,M40),1))+(IF(K40=0,0,(Upgrades!$J$19+K40*Upgrades!$K$19)*POWER(Upgrades!$L$19,K40)))*(IF(Upgrades!$T$13="Peculiar Velocity",POWER(Upgrades!$U$13,E40),1)*IF(Upgrades!$T$14="Peculiar Velocity",POWER(Upgrades!$U$14,F40),1)*IF(Upgrades!$T$15="Peculiar Velocity",POWER(Upgrades!$U$15,G40),1)*IF(Upgrades!$T$16="Peculiar Velocity",POWER(Upgrades!$U$16,H40),1)*IF(Upgrades!$T$17="Peculiar Velocity",POWER(Upgrades!$U$17,I40),1)*IF(Upgrades!$T$18="Peculiar Velocity",POWER(Upgrades!$U$18,J40),1)*IF(Upgrades!$T$20="Peculiar Velocity",POWER(Upgrades!$U$20,L40),1)*IF(Upgrades!$T$21="Peculiar Velocity",POWER(Upgrades!$U$21,M40),1))+(IF(L40=0,0,(Upgrades!$J$20+L40*Upgrades!$K$20)*POWER(Upgrades!$L$20,L40)))*(IF(Upgrades!$T$13="Open Cluster",POWER(Upgrades!$U$13,E40),1)*IF(Upgrades!$T$14="Open Cluster",POWER(Upgrades!$U$14,F40),1)*IF(Upgrades!$T$15="Open Cluster",POWER(Upgrades!$U$15,G40),1)*IF(Upgrades!$T$16="Open Cluster",POWER(Upgrades!$U$16,H40),1)*IF(Upgrades!$T$17="Open Cluster",POWER(Upgrades!$U$17,I40),1)*IF(Upgrades!$T$18="Open Cluster",POWER(Upgrades!$U$18,J40),1)*IF(Upgrades!$T$19="Open Cluster",POWER(Upgrades!$U$19,K40),1)*IF(Upgrades!$T$21="Open Cluster",POWER(Upgrades!$U$21,M40),1))+(IF(M40=0,0,(Upgrades!$J$21+M40*Upgrades!$K$21)*POWER(Upgrades!$L$21,M40)))*(IF(Upgrades!$T$13="Moving Group",POWER(Upgrades!$U$13,E40),1)*IF(Upgrades!$T$14="Moving Group",POWER(Upgrades!$U$14,F40),1)*IF(Upgrades!$T$15="Moving Group",POWER(Upgrades!$U$15,G40),1)*IF(Upgrades!$T$16="Moving Group",POWER(Upgrades!$U$16,H40),1)*IF(Upgrades!$T$17="Moving Group",POWER(Upgrades!$U$17,I40),1)*IF(Upgrades!$T$18="Moving Group",POWER(Upgrades!$U$18,J40),1)*IF(Upgrades!$T$19="Moving Group",POWER(Upgrades!$U$19,K40),1)*IF(Upgrades!$T$20="Moving Group",POWER(Upgrades!$U$20,L40),1)))*POWER(Upgrades!$Q$13,E40)*POWER(Upgrades!$Q$14,F40)*POWER(Upgrades!$Q$15,G40)*POWER(Upgrades!$Q$16,H40)*POWER(Upgrades!$Q$17,I40)*POWER(Upgrades!$Q$18,J40)*POWER(Upgrades!$Q$19,K40)*POWER(Upgrades!$Q$20,L40)*POWER(Upgrades!$Q$21,M40)*$G$6+$D$6</f>
        <v/>
      </c>
      <c r="P40" s="28">
        <f>((IF(E40=0,0,(Upgrades!$G$13+E40*Upgrades!$H$13)*POWER(Upgrades!$I$13,E40)))*(IF(Upgrades!$T$14="Stellar Kinematics",POWER(Upgrades!$U$14,F40),1)*IF(Upgrades!$T$15="Stellar Kinematics",POWER(Upgrades!$U$15,G40),1)*IF(Upgrades!$T$16="Stellar Kinematics",POWER(Upgrades!$U$16,H40),1)*IF(Upgrades!$T$17="Stellar Kinematics",POWER(Upgrades!$U$17,I40),1)*IF(Upgrades!$T$18="Stellar Kinematics",POWER(Upgrades!$U$18,J40),1)*IF(Upgrades!$T$19="Stellar Kinematics",POWER(Upgrades!$U$19,K40),1)*IF(Upgrades!$T$20="Stellar Kinematics",POWER(Upgrades!$U$20,L40),1)*IF(Upgrades!$T$21="Stellar Kinematics",POWER(Upgrades!$U$21,M40),1))+(IF(F40=0,0,(Upgrades!$G$14+F40*Upgrades!$H$14)*POWER(Upgrades!$I$14,F40)))*(IF(Upgrades!$T$13="Local Bubble",POWER(Upgrades!$U$13,E40),1)*IF(Upgrades!$T$15="Local Bubble",POWER(Upgrades!$U$15,G40),1)*IF(Upgrades!$T$16="Local Bubble",POWER(Upgrades!$U$16,H40),1)*IF(Upgrades!$T$17="Local Bubble",POWER(Upgrades!$U$17,I40),1)*IF(Upgrades!$T$18="Local Bubble",POWER(Upgrades!$U$18,J40),1)*IF(Upgrades!$T$19="Local Bubble",POWER(Upgrades!$U$19,K40),1)*IF(Upgrades!$T$20="Local Bubble",POWER(Upgrades!$U$20,L40),1)*IF(Upgrades!$T$21="Local Bubble",POWER(Upgrades!$U$21,M40),1))+(IF(G40=0,0,(Upgrades!$G$15+G40*Upgrades!$H$15)*POWER(Upgrades!$I$15,G40)))*(IF(Upgrades!$T$13="Microlensing",POWER(Upgrades!$U$13,E40),1)*IF(Upgrades!$T$14="Microlensing",POWER(Upgrades!$U$14,F40),1)*IF(Upgrades!$T$16="Microlensing",POWER(Upgrades!$U$16,H40),1)*IF(Upgrades!$T$17="Microlensing",POWER(Upgrades!$U$17,I40),1)*IF(Upgrades!$T$18="Microlensing",POWER(Upgrades!$U$18,J40),1)*IF(Upgrades!$T$19="Microlensing",POWER(Upgrades!$U$19,K40),1)*IF(Upgrades!$T$20="Microlensing",POWER(Upgrades!$U$20,L40),1)*IF(Upgrades!$T$21="Microlensing",POWER(Upgrades!$U$21,M40),1))+(IF(H40=0,0,(Upgrades!$G$16+H40*Upgrades!$H$16)*POWER(Upgrades!$I$16,H40)))*(IF(Upgrades!$T$13="Roche Lobe Overflow",POWER(Upgrades!$U$13,E40),1)*IF(Upgrades!$T$14="Roche Lobe Overflow",POWER(Upgrades!$U$14,F40),1)*IF(Upgrades!$T$15="Roche Lobe Overflow",POWER(Upgrades!$U$15,G40),1)*IF(Upgrades!$T$17="Roche Lobe Overflow",POWER(Upgrades!$U$17,I40),1)*IF(Upgrades!$T$18="Roche Lobe Overflow",POWER(Upgrades!$U$18,J40),1)*IF(Upgrades!$T$19="Roche Lobe Overflow",POWER(Upgrades!$U$19,K40),1)*IF(Upgrades!$T$20="Roche Lobe Overflow",POWER(Upgrades!$U$20,L40),1)*IF(Upgrades!$T$21="Roche Lobe Overflow",POWER(Upgrades!$U$21,M40),1))+(IF(I40=0,0,(Upgrades!$G$17+I40*Upgrades!$H$17)*POWER(Upgrades!$I$17,I40)))*(IF(Upgrades!$T$13="Brown Dwarf",POWER(Upgrades!$U$13,E40),1)*IF(Upgrades!$T$14="Brown Dwarf",POWER(Upgrades!$U$14,F40),1)*IF(Upgrades!$T$15="Brown Dwarf",POWER(Upgrades!$U$15,G40),1)*IF(Upgrades!$T$16="Brown Dwarf",POWER(Upgrades!$U$16,H40),1)*IF(Upgrades!$T$18="Brown Dwarf",POWER(Upgrades!$U$18,J40),1)*IF(Upgrades!$T$19="Brown Dwarf",POWER(Upgrades!$U$19,K40),1)*IF(Upgrades!$T$20="Brown Dwarf",POWER(Upgrades!$U$20,L40),1)*IF(Upgrades!$T$21="Brown Dwarf",POWER(Upgrades!$U$21,M40),1))+(IF(J40=0,0,(Upgrades!$G$18+J40*Upgrades!$H$18)*POWER(Upgrades!$I$18,J40)))*(IF(Upgrades!$T$13="Binary Partner",POWER(Upgrades!$U$13,E40),1)*IF(Upgrades!$T$14="Binary Partner",POWER(Upgrades!$U$14,F40),1)*IF(Upgrades!$T$15="Binary Partner",POWER(Upgrades!$U$15,G40),1)*IF(Upgrades!$T$16="Binary Partner",POWER(Upgrades!$U$16,H40),1)*IF(Upgrades!$T$17="Binary Partner",POWER(Upgrades!$U$17,I40),1)*IF(Upgrades!$T$19="Binary Partner",POWER(Upgrades!$U$19,K40),1)*IF(Upgrades!$T$20="Binary Partner",POWER(Upgrades!$U$20,L40),1)*IF(Upgrades!$T$21="Binary Partner",POWER(Upgrades!$U$21,M40),1))+(IF(K40=0,0,(Upgrades!$G$19+K40*Upgrades!$H$19)*POWER(Upgrades!$I$19,K40)))*(IF(Upgrades!$T$13="Peculiar Velocity",POWER(Upgrades!$U$13,E40),1)*IF(Upgrades!$T$14="Peculiar Velocity",POWER(Upgrades!$U$14,F40),1)*IF(Upgrades!$T$15="Peculiar Velocity",POWER(Upgrades!$U$15,G40),1)*IF(Upgrades!$T$16="Peculiar Velocity",POWER(Upgrades!$U$16,H40),1)*IF(Upgrades!$T$17="Peculiar Velocity",POWER(Upgrades!$U$17,I40),1)*IF(Upgrades!$T$18="Peculiar Velocity",POWER(Upgrades!$U$18,J40),1)*IF(Upgrades!$T$20="Peculiar Velocity",POWER(Upgrades!$U$20,L40),1)*IF(Upgrades!$T$21="Peculiar Velocity",POWER(Upgrades!$U$21,M40),1))+(IF(L40=0,0,(Upgrades!$G$20+L40*Upgrades!$H$20)*POWER(Upgrades!$I$20,L40)))*(IF(Upgrades!$T$13="Open Cluster",POWER(Upgrades!$U$13,E40),1)*IF(Upgrades!$T$14="Open Cluster",POWER(Upgrades!$U$14,F40),1)*IF(Upgrades!$T$15="Open Cluster",POWER(Upgrades!$U$15,G40),1)*IF(Upgrades!$T$16="Open Cluster",POWER(Upgrades!$U$16,H40),1)*IF(Upgrades!$T$17="Open Cluster",POWER(Upgrades!$U$17,I40),1)*IF(Upgrades!$T$18="Open Cluster",POWER(Upgrades!$U$18,J40),1)*IF(Upgrades!$T$19="Open Cluster",POWER(Upgrades!$U$19,K40),1)*IF(Upgrades!$T$21="Open Cluster",POWER(Upgrades!$U$21,M40),1))+(IF(M40=0,0,(Upgrades!$G$21+M40*Upgrades!$H$21)*POWER(Upgrades!$I$21,M40)))*(IF(Upgrades!$T$13="Moving Group",POWER(Upgrades!$U$13,E40),1)*IF(Upgrades!$T$14="Moving Group",POWER(Upgrades!$U$14,F40),1)*IF(Upgrades!$T$15="Moving Group",POWER(Upgrades!$U$15,G40),1)*IF(Upgrades!$T$16="Moving Group",POWER(Upgrades!$U$16,H40),1)*IF(Upgrades!$T$17="Moving Group",POWER(Upgrades!$U$17,I40),1)*IF(Upgrades!$T$18="Moving Group",POWER(Upgrades!$U$18,J40),1)*IF(Upgrades!$T$19="Moving Group",POWER(Upgrades!$U$19,K40),1)*IF(Upgrades!$T$20="Moving Group",POWER(Upgrades!$U$20,L40),1)))*POWER(Upgrades!$P$13,E40)*POWER(Upgrades!$P$14,F40)*POWER(Upgrades!$P$15,G40)*POWER(Upgrades!$P$16,H40)*POWER(Upgrades!$P$17,I40)*POWER(Upgrades!$P$18,J40)*POWER(Upgrades!$P$19,K40)*POWER(Upgrades!$P$20,L40)*POWER(Upgrades!$P$21,M40)*$F$6+$C$6</f>
        <v/>
      </c>
      <c r="Q40" s="28">
        <f>((IF(E40=0,0,(Upgrades!$M$13+E40*Upgrades!$N$13)*POWER(Upgrades!$O$13,E40)))*(IF(Upgrades!$T$14="Stellar Kinematics",POWER(Upgrades!$U$14,F40),1)*IF(Upgrades!$T$15="Stellar Kinematics",POWER(Upgrades!$U$15,G40),1)*IF(Upgrades!$T$16="Stellar Kinematics",POWER(Upgrades!$U$16,H40),1)*IF(Upgrades!$T$17="Stellar Kinematics",POWER(Upgrades!$U$17,I40),1)*IF(Upgrades!$T$18="Stellar Kinematics",POWER(Upgrades!$U$18,J40),1)*IF(Upgrades!$T$19="Stellar Kinematics",POWER(Upgrades!$U$19,K40),1)*IF(Upgrades!$T$20="Stellar Kinematics",POWER(Upgrades!$U$20,L40),1)*IF(Upgrades!$T$21="Stellar Kinematics",POWER(Upgrades!$U$21,M40),1))+(IF(F40=0,0,(Upgrades!$M$14+F40*Upgrades!$N$14)*POWER(Upgrades!$O$14,F40)))*(IF(Upgrades!$T$13="Local Bubble",POWER(Upgrades!$U$13,E40),1)*IF(Upgrades!$T$15="Local Bubble",POWER(Upgrades!$U$15,G40),1)*IF(Upgrades!$T$16="Local Bubble",POWER(Upgrades!$U$16,H40),1)*IF(Upgrades!$T$17="Local Bubble",POWER(Upgrades!$U$17,I40),1)*IF(Upgrades!$T$18="Local Bubble",POWER(Upgrades!$U$18,J40),1)*IF(Upgrades!$T$19="Local Bubble",POWER(Upgrades!$U$19,K40),1)*IF(Upgrades!$T$20="Local Bubble",POWER(Upgrades!$U$20,L40),1)*IF(Upgrades!$T$21="Local Bubble",POWER(Upgrades!$U$21,M40),1))+(IF(G40=0,0,(Upgrades!$M$15+G40*Upgrades!$N$15)*POWER(Upgrades!$O$15,G40)))*(IF(Upgrades!$T$13="Microlensing",POWER(Upgrades!$U$13,E40),1)*IF(Upgrades!$T$14="Microlensing",POWER(Upgrades!$U$14,F40),1)*IF(Upgrades!$T$16="Microlensing",POWER(Upgrades!$U$16,H40),1)*IF(Upgrades!$T$17="Microlensing",POWER(Upgrades!$U$17,I40),1)*IF(Upgrades!$T$18="Microlensing",POWER(Upgrades!$U$18,J40),1)*IF(Upgrades!$T$19="Microlensing",POWER(Upgrades!$U$19,K40),1)*IF(Upgrades!$T$20="Microlensing",POWER(Upgrades!$U$20,L40),1)*IF(Upgrades!$T$21="Microlensing",POWER(Upgrades!$U$21,M40),1))+(IF(H40=0,0,(Upgrades!$M$16+H40*Upgrades!$N$16)*POWER(Upgrades!$O$16,H40)))*(IF(Upgrades!$T$13="Roche Lobe Overflow",POWER(Upgrades!$U$13,E40),1)*IF(Upgrades!$T$14="Roche Lobe Overflow",POWER(Upgrades!$U$14,F40),1)*IF(Upgrades!$T$15="Roche Lobe Overflow",POWER(Upgrades!$U$15,G40),1)*IF(Upgrades!$T$17="Roche Lobe Overflow",POWER(Upgrades!$U$17,I40),1)*IF(Upgrades!$T$18="Roche Lobe Overflow",POWER(Upgrades!$U$18,J40),1)*IF(Upgrades!$T$19="Roche Lobe Overflow",POWER(Upgrades!$U$19,K40),1)*IF(Upgrades!$T$20="Roche Lobe Overflow",POWER(Upgrades!$U$20,L40),1)*IF(Upgrades!$T$21="Roche Lobe Overflow",POWER(Upgrades!$U$21,M40),1))+(IF(I40=0,0,(Upgrades!$M$17+I40*Upgrades!$N$17)*POWER(Upgrades!$O$17,I40)))*(IF(Upgrades!$T$13="Brown Dwarf",POWER(Upgrades!$U$13,E40),1)*IF(Upgrades!$T$14="Brown Dwarf",POWER(Upgrades!$U$14,F40),1)*IF(Upgrades!$T$15="Brown Dwarf",POWER(Upgrades!$U$15,G40),1)*IF(Upgrades!$T$16="Brown Dwarf",POWER(Upgrades!$U$16,H40),1)*IF(Upgrades!$T$18="Brown Dwarf",POWER(Upgrades!$U$18,J40),1)*IF(Upgrades!$T$19="Brown Dwarf",POWER(Upgrades!$U$19,K40),1)*IF(Upgrades!$T$20="Brown Dwarf",POWER(Upgrades!$U$20,L40),1)*IF(Upgrades!$T$21="Brown Dwarf",POWER(Upgrades!$U$21,M40),1))+(IF(J40=0,0,(Upgrades!$M$18+J40*Upgrades!$N$18)*POWER(Upgrades!$O$18,J40)))*(IF(Upgrades!$T$13="Binary Partner",POWER(Upgrades!$U$13,E40),1)*IF(Upgrades!$T$14="Binary Partner",POWER(Upgrades!$U$14,F40),1)*IF(Upgrades!$T$15="Binary Partner",POWER(Upgrades!$U$15,G40),1)*IF(Upgrades!$T$16="Binary Partner",POWER(Upgrades!$U$16,H40),1)*IF(Upgrades!$T$17="Binary Partner",POWER(Upgrades!$U$17,I40),1)*IF(Upgrades!$T$19="Binary Partner",POWER(Upgrades!$U$19,K40),1)*IF(Upgrades!$T$20="Binary Partner",POWER(Upgrades!$U$20,L40),1)*IF(Upgrades!$T$21="Binary Partner",POWER(Upgrades!$U$21,M40),1))+(IF(K40=0,0,(Upgrades!$M$19+K40*Upgrades!$N$19)*POWER(Upgrades!$O$19,K40)))*(IF(Upgrades!$T$13="Peculiar Velocity",POWER(Upgrades!$U$13,E40),1)*IF(Upgrades!$T$14="Peculiar Velocity",POWER(Upgrades!$U$14,F40),1)*IF(Upgrades!$T$15="Peculiar Velocity",POWER(Upgrades!$U$15,G40),1)*IF(Upgrades!$T$16="Peculiar Velocity",POWER(Upgrades!$U$16,H40),1)*IF(Upgrades!$T$17="Peculiar Velocity",POWER(Upgrades!$U$17,I40),1)*IF(Upgrades!$T$18="Peculiar Velocity",POWER(Upgrades!$U$18,J40),1)*IF(Upgrades!$T$20="Peculiar Velocity",POWER(Upgrades!$U$20,L40),1)*IF(Upgrades!$T$21="Peculiar Velocity",POWER(Upgrades!$U$21,M40),1))+(IF(L40=0,0,(Upgrades!$M$20+L40*Upgrades!$N$20)*POWER(Upgrades!$O$20,L40)))*(IF(Upgrades!$T$13="Open Cluster",POWER(Upgrades!$U$13,E40),1)*IF(Upgrades!$T$14="Open Cluster",POWER(Upgrades!$U$14,F40),1)*IF(Upgrades!$T$15="Open Cluster",POWER(Upgrades!$U$15,G40),1)*IF(Upgrades!$T$16="Open Cluster",POWER(Upgrades!$U$16,H40),1)*IF(Upgrades!$T$17="Open Cluster",POWER(Upgrades!$U$17,I40),1)*IF(Upgrades!$T$18="Open Cluster",POWER(Upgrades!$U$18,J40),1)*IF(Upgrades!$T$19="Open Cluster",POWER(Upgrades!$U$19,K40),1)*IF(Upgrades!$T$21="Open Cluster",POWER(Upgrades!$U$21,M40),1))+(IF(M40=0,0,(Upgrades!$M$21+M40*Upgrades!$N$21)*POWER(Upgrades!$O$21,M40)))*(IF(Upgrades!$T$13="Moving Group",POWER(Upgrades!$U$13,E40),1)*IF(Upgrades!$T$14="Moving Group",POWER(Upgrades!$U$14,F40),1)*IF(Upgrades!$T$15="Moving Group",POWER(Upgrades!$U$15,G40),1)*IF(Upgrades!$T$16="Moving Group",POWER(Upgrades!$U$16,H40),1)*IF(Upgrades!$T$17="Moving Group",POWER(Upgrades!$U$17,I40),1)*IF(Upgrades!$T$18="Moving Group",POWER(Upgrades!$U$18,J40),1)*IF(Upgrades!$T$19="Moving Group",POWER(Upgrades!$U$19,K40),1)*IF(Upgrades!$T$20="Moving Group",POWER(Upgrades!$U$20,L40),1)))*POWER(Upgrades!$R$13,E40)*POWER(Upgrades!$R$14,F40)*POWER(Upgrades!$R$15,G40)*POWER(Upgrades!$R$16,H40)*POWER(Upgrades!$R$17,I40)*POWER(Upgrades!$R$18,J40)*POWER(Upgrades!$R$19,K40)*POWER(Upgrades!$R$20,L40)*POWER(Upgrades!$R$21,M40)*$H$6+$E$6</f>
        <v/>
      </c>
      <c r="R40" s="27">
        <f>IF(N40=1,0,O40*Parameters!$B$10/60*Parameters!$B$11*10)</f>
        <v/>
      </c>
      <c r="S40" s="27">
        <f>IF(N40=1,0,Q40*O40*10)</f>
        <v/>
      </c>
      <c r="T40" s="27">
        <f>IF(N40=1,0,R40+S40+P40*10)</f>
        <v/>
      </c>
      <c r="U40" s="33">
        <f>BE40</f>
        <v/>
      </c>
      <c r="V40" s="22">
        <f>IF(U40="",0,IF(U40="transition",0,IF(U40="SK",AK40,IF(U40="LB",AL40,IF(U40="ML",AM40,IF(U40="RLO",AN40,IF(U40="BD",AO40,IF(U40="BiP",AP40,IF(U40="PV",AQ40,IF(U40="OC",AR40,IF(U40="MG",AS40,0))))))))))</f>
        <v/>
      </c>
      <c r="W40" s="27">
        <f>IF(U40="BiP",Upgrades!$F$18,IF(U40="PV",Upgrades!$F$19,IF(U40="OC",Upgrades!$F$20,IF(U40="MG",Upgrades!$F$21,IF(U40="transition",-Parameters!$B$18*Parameters!$B$19,0)))))</f>
        <v/>
      </c>
      <c r="X40" s="22">
        <f>C40+T40-V40</f>
        <v/>
      </c>
      <c r="Y40" s="30">
        <f>O40*Parameters!$B$10/60*Parameters!$B$11+Q40*O40+P40</f>
        <v/>
      </c>
      <c r="Z40" s="34">
        <f>IF(U40="transition","→ Tier 3 (Galactic Arm)",IF(U40="MG","Moving Group — pocket drifts together",IF(U40="OC","Open Cluster acquired",IF(U40="PV","Peculiar Velocity — passive multiplier active",IF(U40="BiP","Binary Partner — pair bond formed",IF(AND(AU40=1,N40=0,AT40&lt;&gt;1),"Cohesion ready (waiting on completionists)","")))))) </f>
        <v/>
      </c>
      <c r="AA40" s="27">
        <f>(IF(E40=0,0,(Upgrades!$G$13+E40*Upgrades!$H$13)*POWER(Upgrades!$I$13,E40)))*(IF(Upgrades!$T$14="Stellar Kinematics",POWER(Upgrades!$U$14,F40),1)*IF(Upgrades!$T$15="Stellar Kinematics",POWER(Upgrades!$U$15,G40),1)*IF(Upgrades!$T$16="Stellar Kinematics",POWER(Upgrades!$U$16,H40),1)*IF(Upgrades!$T$17="Stellar Kinematics",POWER(Upgrades!$U$17,I40),1)*IF(Upgrades!$T$18="Stellar Kinematics",POWER(Upgrades!$U$18,J40),1)*IF(Upgrades!$T$19="Stellar Kinematics",POWER(Upgrades!$U$19,K40),1)*IF(Upgrades!$T$20="Stellar Kinematics",POWER(Upgrades!$U$20,L40),1)*IF(Upgrades!$T$21="Stellar Kinematics",POWER(Upgrades!$U$21,M40),1))*POWER(Upgrades!$P$13,E40)*POWER(Upgrades!$P$14,F40)*POWER(Upgrades!$P$15,G40)*POWER(Upgrades!$P$16,H40)*POWER(Upgrades!$P$17,I40)*POWER(Upgrades!$P$18,J40)*POWER(Upgrades!$P$19,K40)*POWER(Upgrades!$P$20,L40)*POWER(Upgrades!$P$21,M40)*$F$6*60</f>
        <v/>
      </c>
      <c r="AB40" s="27">
        <f>(IF(F40=0,0,(Upgrades!$G$14+F40*Upgrades!$H$14)*POWER(Upgrades!$I$14,F40)))*(IF(Upgrades!$T$13="Local Bubble",POWER(Upgrades!$U$13,E40),1)*IF(Upgrades!$T$15="Local Bubble",POWER(Upgrades!$U$15,G40),1)*IF(Upgrades!$T$16="Local Bubble",POWER(Upgrades!$U$16,H40),1)*IF(Upgrades!$T$17="Local Bubble",POWER(Upgrades!$U$17,I40),1)*IF(Upgrades!$T$18="Local Bubble",POWER(Upgrades!$U$18,J40),1)*IF(Upgrades!$T$19="Local Bubble",POWER(Upgrades!$U$19,K40),1)*IF(Upgrades!$T$20="Local Bubble",POWER(Upgrades!$U$20,L40),1)*IF(Upgrades!$T$21="Local Bubble",POWER(Upgrades!$U$21,M40),1))*POWER(Upgrades!$P$13,E40)*POWER(Upgrades!$P$14,F40)*POWER(Upgrades!$P$15,G40)*POWER(Upgrades!$P$16,H40)*POWER(Upgrades!$P$17,I40)*POWER(Upgrades!$P$18,J40)*POWER(Upgrades!$P$19,K40)*POWER(Upgrades!$P$20,L40)*POWER(Upgrades!$P$21,M40)*$F$6*60</f>
        <v/>
      </c>
      <c r="AC40" s="27">
        <f>(IF(G40=0,0,(Upgrades!$J$15+G40*Upgrades!$K$15)*POWER(Upgrades!$L$15,G40)))*(IF(Upgrades!$T$13="Microlensing",POWER(Upgrades!$U$13,E40),1)*IF(Upgrades!$T$14="Microlensing",POWER(Upgrades!$U$14,F40),1)*IF(Upgrades!$T$16="Microlensing",POWER(Upgrades!$U$16,H40),1)*IF(Upgrades!$T$17="Microlensing",POWER(Upgrades!$U$17,I40),1)*IF(Upgrades!$T$18="Microlensing",POWER(Upgrades!$U$18,J40),1)*IF(Upgrades!$T$19="Microlensing",POWER(Upgrades!$U$19,K40),1)*IF(Upgrades!$T$20="Microlensing",POWER(Upgrades!$U$20,L40),1)*IF(Upgrades!$T$21="Microlensing",POWER(Upgrades!$U$21,M40),1))*POWER(Upgrades!$Q$13,E40)*POWER(Upgrades!$Q$14,F40)*POWER(Upgrades!$Q$15,G40)*POWER(Upgrades!$Q$16,H40)*POWER(Upgrades!$Q$17,I40)*POWER(Upgrades!$Q$18,J40)*POWER(Upgrades!$Q$19,K40)*POWER(Upgrades!$Q$20,L40)*POWER(Upgrades!$Q$21,M40)*$G$6*(Parameters!$B$10*Parameters!$B$11+Q40*60)</f>
        <v/>
      </c>
      <c r="AD40" s="27">
        <f>(IF(H40=0,0,(Upgrades!$M$16+H40*Upgrades!$N$16)*POWER(Upgrades!$O$16,H40)))*(IF(Upgrades!$T$13="Roche Lobe Overflow",POWER(Upgrades!$U$13,E40),1)*IF(Upgrades!$T$14="Roche Lobe Overflow",POWER(Upgrades!$U$14,F40),1)*IF(Upgrades!$T$15="Roche Lobe Overflow",POWER(Upgrades!$U$15,G40),1)*IF(Upgrades!$T$17="Roche Lobe Overflow",POWER(Upgrades!$U$17,I40),1)*IF(Upgrades!$T$18="Roche Lobe Overflow",POWER(Upgrades!$U$18,J40),1)*IF(Upgrades!$T$19="Roche Lobe Overflow",POWER(Upgrades!$U$19,K40),1)*IF(Upgrades!$T$20="Roche Lobe Overflow",POWER(Upgrades!$U$20,L40),1)*IF(Upgrades!$T$21="Roche Lobe Overflow",POWER(Upgrades!$U$21,M40),1))*POWER(Upgrades!$R$13,E40)*POWER(Upgrades!$R$14,F40)*POWER(Upgrades!$R$15,G40)*POWER(Upgrades!$R$16,H40)*POWER(Upgrades!$R$17,I40)*POWER(Upgrades!$R$18,J40)*POWER(Upgrades!$R$19,K40)*POWER(Upgrades!$R$20,L40)*POWER(Upgrades!$R$21,M40)*$H$6*O40*60</f>
        <v/>
      </c>
      <c r="AE40" s="27">
        <f>(IF(I40=0,0,(Upgrades!$G$17+I40*Upgrades!$H$17)*POWER(Upgrades!$I$17,I40)))*(IF(Upgrades!$T$13="Brown Dwarf",POWER(Upgrades!$U$13,E40),1)*IF(Upgrades!$T$14="Brown Dwarf",POWER(Upgrades!$U$14,F40),1)*IF(Upgrades!$T$15="Brown Dwarf",POWER(Upgrades!$U$15,G40),1)*IF(Upgrades!$T$16="Brown Dwarf",POWER(Upgrades!$U$16,H40),1)*IF(Upgrades!$T$18="Brown Dwarf",POWER(Upgrades!$U$18,J40),1)*IF(Upgrades!$T$19="Brown Dwarf",POWER(Upgrades!$U$19,K40),1)*IF(Upgrades!$T$20="Brown Dwarf",POWER(Upgrades!$U$20,L40),1)*IF(Upgrades!$T$21="Brown Dwarf",POWER(Upgrades!$U$21,M40),1))*POWER(Upgrades!$P$13,E40)*POWER(Upgrades!$P$14,F40)*POWER(Upgrades!$P$15,G40)*POWER(Upgrades!$P$16,H40)*POWER(Upgrades!$P$17,I40)*POWER(Upgrades!$P$18,J40)*POWER(Upgrades!$P$19,K40)*POWER(Upgrades!$P$20,L40)*POWER(Upgrades!$P$21,M40)*$F$6*60</f>
        <v/>
      </c>
      <c r="AF40" s="27" t="n">
        <v>0</v>
      </c>
      <c r="AG40" s="27" t="n">
        <v>0</v>
      </c>
      <c r="AH40" s="27" t="n">
        <v>0</v>
      </c>
      <c r="AI40" s="27">
        <f>(IF(M40=0,0,(Upgrades!$G$21+M40*Upgrades!$H$21)*POWER(Upgrades!$I$21,M40)))*(IF(Upgrades!$T$13="Moving Group",POWER(Upgrades!$U$13,E40),1)*IF(Upgrades!$T$14="Moving Group",POWER(Upgrades!$U$14,F40),1)*IF(Upgrades!$T$15="Moving Group",POWER(Upgrades!$U$15,G40),1)*IF(Upgrades!$T$16="Moving Group",POWER(Upgrades!$U$16,H40),1)*IF(Upgrades!$T$17="Moving Group",POWER(Upgrades!$U$17,I40),1)*IF(Upgrades!$T$18="Moving Group",POWER(Upgrades!$U$18,J40),1)*IF(Upgrades!$T$19="Moving Group",POWER(Upgrades!$U$19,K40),1)*IF(Upgrades!$T$20="Moving Group",POWER(Upgrades!$U$20,L40),1))*POWER(Upgrades!$P$13,E40)*POWER(Upgrades!$P$14,F40)*POWER(Upgrades!$P$15,G40)*POWER(Upgrades!$P$16,H40)*POWER(Upgrades!$P$17,I40)*POWER(Upgrades!$P$18,J40)*POWER(Upgrades!$P$19,K40)*POWER(Upgrades!$P$20,L40)*POWER(Upgrades!$P$21,M40)*$F$6*60</f>
        <v/>
      </c>
      <c r="AJ40" s="27">
        <f>$C$6*60</f>
        <v/>
      </c>
      <c r="AK40" s="22">
        <f>IF(E40&gt;=Upgrades!$E$13,"",Upgrades!$C$13*POWER(Upgrades!$D$13,E40))</f>
        <v/>
      </c>
      <c r="AL40" s="22">
        <f>IF(F40&gt;=Upgrades!$E$14,"",Upgrades!$C$14*POWER(Upgrades!$D$14,F40))</f>
        <v/>
      </c>
      <c r="AM40" s="22">
        <f>IF(G40&gt;=Upgrades!$E$15,"",Upgrades!$C$15*POWER(Upgrades!$D$15,G40))</f>
        <v/>
      </c>
      <c r="AN40" s="22">
        <f>IF(H40&gt;=Upgrades!$E$16,"",Upgrades!$C$16*POWER(Upgrades!$D$16,H40))</f>
        <v/>
      </c>
      <c r="AO40" s="22">
        <f>IF(I40&gt;=Upgrades!$E$17,"",Upgrades!$C$17*POWER(Upgrades!$D$17,I40))</f>
        <v/>
      </c>
      <c r="AP40" s="22">
        <f>IF(J40&gt;=Upgrades!$E$18,"",Upgrades!$C$18*POWER(Upgrades!$D$18,J40))</f>
        <v/>
      </c>
      <c r="AQ40" s="22">
        <f>IF(K40&gt;=Upgrades!$E$19,"",Upgrades!$C$19*POWER(Upgrades!$D$19,K40))</f>
        <v/>
      </c>
      <c r="AR40" s="22">
        <f>IF(L40&gt;=Upgrades!$E$20,"",Upgrades!$C$20*POWER(Upgrades!$D$20,L40))</f>
        <v/>
      </c>
      <c r="AS40" s="22">
        <f>IF(M40&gt;=Upgrades!$E$21,"",Upgrades!$C$21*POWER(Upgrades!$D$21,M40))</f>
        <v/>
      </c>
      <c r="AT40" s="26">
        <f>IF(AND(D40&gt;=Parameters!$B$18*Parameters!$B$19,(I40&gt;=Upgrades!$E$17)*(M40&gt;=Upgrades!$E$21)=1,N40=0),1,"")</f>
        <v/>
      </c>
      <c r="AU40" s="26">
        <f>IF(AND(D40&gt;=Parameters!$B$18*Parameters!$B$19,N40=0),1,"")</f>
        <v/>
      </c>
      <c r="AV40" s="22">
        <f>MIN(IF(ISNUMBER(AP40),AP40,9E15),IF(ISNUMBER(AQ40),AQ40,9E15),IF(ISNUMBER(AR40),AR40,9E15),IF(ISNUMBER(AS40),AS40,9E15))</f>
        <v/>
      </c>
      <c r="AW40" s="22">
        <f>MIN(IF(ISNUMBER(AK40),AK40,9E15),IF(ISNUMBER(AL40),AL40,9E15),IF(ISNUMBER(AM40),AM40,9E15),IF(ISNUMBER(AN40),AN40,9E15),IF(ISNUMBER(AO40),AO40,9E15))</f>
        <v/>
      </c>
      <c r="AX40" s="29">
        <f>IF(BD40&gt;Parameters!$B$21*(MAX(IF(AND(NOT(AND(AU40=1,AT40&lt;&gt;1)),ISNUMBER(AK40),AK40&lt;=(C40+T40)),AY40,0),IF(AND(NOT(AND(AU40=1,AT40&lt;&gt;1)),ISNUMBER(AL40),AL40&lt;=(C40+T40)),AZ40,0),IF(AND(NOT(AND(AU40=1,AT40&lt;&gt;1)),ISNUMBER(AM40),AM40&lt;=(C40+T40)),BA40,0),IF(AND(NOT(AND(AU40=1,AT40&lt;&gt;1)),ISNUMBER(AN40),AN40&lt;=(C40+T40)),BB40,0),IF(AND(ISNUMBER(AO40),AO40&lt;=(C40+T40)),BC40,0))),TRUE,FALSE)</f>
        <v/>
      </c>
      <c r="AY40" s="32">
        <f>IFERROR(Upgrades!$H$13*(POWER(Upgrades!$P$13,E40)*POWER(Upgrades!$P$14,F40)*POWER(Upgrades!$P$15,G40)*POWER(Upgrades!$P$16,H40)*POWER(Upgrades!$P$17,I40)*POWER(Upgrades!$P$18,J40)*POWER(Upgrades!$P$19,K40)*POWER(Upgrades!$P$20,L40)*POWER(Upgrades!$P$21,M40))*(IF(Upgrades!$T$14="Stellar Kinematics",POWER(Upgrades!$U$14,F40),1)*IF(Upgrades!$T$15="Stellar Kinematics",POWER(Upgrades!$U$15,G40),1)*IF(Upgrades!$T$16="Stellar Kinematics",POWER(Upgrades!$U$16,H40),1)*IF(Upgrades!$T$17="Stellar Kinematics",POWER(Upgrades!$U$17,I40),1)*IF(Upgrades!$T$18="Stellar Kinematics",POWER(Upgrades!$U$18,J40),1)*IF(Upgrades!$T$19="Stellar Kinematics",POWER(Upgrades!$U$19,K40),1)*IF(Upgrades!$T$20="Stellar Kinematics",POWER(Upgrades!$U$20,L40),1)*IF(Upgrades!$T$21="Stellar Kinematics",POWER(Upgrades!$U$21,M40),1))*$F$6/AK40,0)</f>
        <v/>
      </c>
      <c r="AZ40" s="32">
        <f>IFERROR(Upgrades!$H$14*(POWER(Upgrades!$P$13,E40)*POWER(Upgrades!$P$14,F40)*POWER(Upgrades!$P$15,G40)*POWER(Upgrades!$P$16,H40)*POWER(Upgrades!$P$17,I40)*POWER(Upgrades!$P$18,J40)*POWER(Upgrades!$P$19,K40)*POWER(Upgrades!$P$20,L40)*POWER(Upgrades!$P$21,M40))*(IF(Upgrades!$T$13="Local Bubble",POWER(Upgrades!$U$13,E40),1)*IF(Upgrades!$T$15="Local Bubble",POWER(Upgrades!$U$15,G40),1)*IF(Upgrades!$T$16="Local Bubble",POWER(Upgrades!$U$16,H40),1)*IF(Upgrades!$T$17="Local Bubble",POWER(Upgrades!$U$17,I40),1)*IF(Upgrades!$T$18="Local Bubble",POWER(Upgrades!$U$18,J40),1)*IF(Upgrades!$T$19="Local Bubble",POWER(Upgrades!$U$19,K40),1)*IF(Upgrades!$T$20="Local Bubble",POWER(Upgrades!$U$20,L40),1)*IF(Upgrades!$T$21="Local Bubble",POWER(Upgrades!$U$21,M40),1))*$F$6/AL40,0)</f>
        <v/>
      </c>
      <c r="BA40" s="32">
        <f>IFERROR(Upgrades!$K$15*(POWER(Upgrades!$Q$13,E40)*POWER(Upgrades!$Q$14,F40)*POWER(Upgrades!$Q$15,G40)*POWER(Upgrades!$Q$16,H40)*POWER(Upgrades!$Q$17,I40)*POWER(Upgrades!$Q$18,J40)*POWER(Upgrades!$Q$19,K40)*POWER(Upgrades!$Q$20,L40)*POWER(Upgrades!$Q$21,M40))*(IF(Upgrades!$T$13="Microlensing",POWER(Upgrades!$U$13,E40),1)*IF(Upgrades!$T$14="Microlensing",POWER(Upgrades!$U$14,F40),1)*IF(Upgrades!$T$16="Microlensing",POWER(Upgrades!$U$16,H40),1)*IF(Upgrades!$T$17="Microlensing",POWER(Upgrades!$U$17,I40),1)*IF(Upgrades!$T$18="Microlensing",POWER(Upgrades!$U$18,J40),1)*IF(Upgrades!$T$19="Microlensing",POWER(Upgrades!$U$19,K40),1)*IF(Upgrades!$T$20="Microlensing",POWER(Upgrades!$U$20,L40),1)*IF(Upgrades!$T$21="Microlensing",POWER(Upgrades!$U$21,M40),1))*$G$6*(Parameters!$B$10/60*Parameters!$B$11+Q40)/AM40,0)</f>
        <v/>
      </c>
      <c r="BB40" s="32">
        <f>IFERROR((Upgrades!$N$16*(POWER(Upgrades!$R$13,E40)*POWER(Upgrades!$R$14,F40)*POWER(Upgrades!$R$15,G40)*POWER(Upgrades!$R$16,H40)*POWER(Upgrades!$R$17,I40)*POWER(Upgrades!$R$18,J40)*POWER(Upgrades!$R$19,K40)*POWER(Upgrades!$R$20,L40)*POWER(Upgrades!$R$21,M40))*(IF(Upgrades!$T$13="Roche Lobe Overflow",POWER(Upgrades!$U$13,E40),1)*IF(Upgrades!$T$14="Roche Lobe Overflow",POWER(Upgrades!$U$14,F40),1)*IF(Upgrades!$T$15="Roche Lobe Overflow",POWER(Upgrades!$U$15,G40),1)*IF(Upgrades!$T$17="Roche Lobe Overflow",POWER(Upgrades!$U$17,I40),1)*IF(Upgrades!$T$18="Roche Lobe Overflow",POWER(Upgrades!$U$18,J40),1)*IF(Upgrades!$T$19="Roche Lobe Overflow",POWER(Upgrades!$U$19,K40),1)*IF(Upgrades!$T$20="Roche Lobe Overflow",POWER(Upgrades!$U$20,L40),1)*IF(Upgrades!$T$21="Roche Lobe Overflow",POWER(Upgrades!$U$21,M40),1))*$H$6*O40+((IF(F40=0,0,(Upgrades!$G$14+F40*Upgrades!$H$14)*POWER(Upgrades!$I$14,F40)))*(IF(Upgrades!$T$13="Local Bubble",POWER(Upgrades!$U$13,E40),1)*IF(Upgrades!$T$15="Local Bubble",POWER(Upgrades!$U$15,G40),1)*IF(Upgrades!$T$16="Local Bubble",POWER(Upgrades!$U$16,H40),1)*IF(Upgrades!$T$17="Local Bubble",POWER(Upgrades!$U$17,I40),1)*IF(Upgrades!$T$18="Local Bubble",POWER(Upgrades!$U$18,J40),1)*IF(Upgrades!$T$19="Local Bubble",POWER(Upgrades!$U$19,K40),1)*IF(Upgrades!$T$20="Local Bubble",POWER(Upgrades!$U$20,L40),1)*IF(Upgrades!$T$21="Local Bubble",POWER(Upgrades!$U$21,M40),1))*POWER(Upgrades!$P$13,E40)*POWER(Upgrades!$P$14,F40)*POWER(Upgrades!$P$15,G40)*POWER(Upgrades!$P$16,H40)*POWER(Upgrades!$P$17,I40)*POWER(Upgrades!$P$18,J40)*POWER(Upgrades!$P$19,K40)*POWER(Upgrades!$P$20,L40)*POWER(Upgrades!$P$21,M40)*$F$6)*0.05)/AN40,0)</f>
        <v/>
      </c>
      <c r="BC40" s="32">
        <f>IFERROR((Upgrades!$H$17*(POWER(Upgrades!$P$13,E40)*POWER(Upgrades!$P$14,F40)*POWER(Upgrades!$P$15,G40)*POWER(Upgrades!$P$16,H40)*POWER(Upgrades!$P$17,I40)*POWER(Upgrades!$P$18,J40)*POWER(Upgrades!$P$19,K40)*POWER(Upgrades!$P$20,L40)*POWER(Upgrades!$P$21,M40))*(IF(Upgrades!$T$13="Brown Dwarf",POWER(Upgrades!$U$13,E40),1)*IF(Upgrades!$T$14="Brown Dwarf",POWER(Upgrades!$U$14,F40),1)*IF(Upgrades!$T$15="Brown Dwarf",POWER(Upgrades!$U$15,G40),1)*IF(Upgrades!$T$16="Brown Dwarf",POWER(Upgrades!$U$16,H40),1)*IF(Upgrades!$T$18="Brown Dwarf",POWER(Upgrades!$U$18,J40),1)*IF(Upgrades!$T$19="Brown Dwarf",POWER(Upgrades!$U$19,K40),1)*IF(Upgrades!$T$20="Brown Dwarf",POWER(Upgrades!$U$20,L40),1)*IF(Upgrades!$T$21="Brown Dwarf",POWER(Upgrades!$U$21,M40),1))*$F$6+(((IF(H40=0,0,(Upgrades!$M$16+H40*Upgrades!$N$16)*POWER(Upgrades!$O$16,H40)))*(IF(Upgrades!$T$13="Roche Lobe Overflow",POWER(Upgrades!$U$13,E40),1)*IF(Upgrades!$T$14="Roche Lobe Overflow",POWER(Upgrades!$U$14,F40),1)*IF(Upgrades!$T$15="Roche Lobe Overflow",POWER(Upgrades!$U$15,G40),1)*IF(Upgrades!$T$17="Roche Lobe Overflow",POWER(Upgrades!$U$17,I40),1)*IF(Upgrades!$T$18="Roche Lobe Overflow",POWER(Upgrades!$U$18,J40),1)*IF(Upgrades!$T$19="Roche Lobe Overflow",POWER(Upgrades!$U$19,K40),1)*IF(Upgrades!$T$20="Roche Lobe Overflow",POWER(Upgrades!$U$20,L40),1)*IF(Upgrades!$T$21="Roche Lobe Overflow",POWER(Upgrades!$U$21,M40),1))*POWER(Upgrades!$R$13,E40)*POWER(Upgrades!$R$14,F40)*POWER(Upgrades!$R$15,G40)*POWER(Upgrades!$R$16,H40)*POWER(Upgrades!$R$17,I40)*POWER(Upgrades!$R$18,J40)*POWER(Upgrades!$R$19,K40)*POWER(Upgrades!$R$20,L40)*POWER(Upgrades!$R$21,M40)*$H$6)*O40)*0.10)/AO40,0)</f>
        <v/>
      </c>
      <c r="BD40" s="32">
        <f>MAX(IF(J40&gt;0,0,IFERROR(0.5*((IF(G40=0,0,(Upgrades!$J$15+G40*Upgrades!$K$15)*POWER(Upgrades!$L$15,G40)))*(IF(Upgrades!$T$13="Microlensing",POWER(Upgrades!$U$13,E40),1)*IF(Upgrades!$T$14="Microlensing",POWER(Upgrades!$U$14,F40),1)*IF(Upgrades!$T$16="Microlensing",POWER(Upgrades!$U$16,H40),1)*IF(Upgrades!$T$17="Microlensing",POWER(Upgrades!$U$17,I40),1)*IF(Upgrades!$T$18="Microlensing",POWER(Upgrades!$U$18,J40),1)*IF(Upgrades!$T$19="Microlensing",POWER(Upgrades!$U$19,K40),1)*IF(Upgrades!$T$20="Microlensing",POWER(Upgrades!$U$20,L40),1)*IF(Upgrades!$T$21="Microlensing",POWER(Upgrades!$U$21,M40),1))*(POWER(Upgrades!$Q$13,E40)*POWER(Upgrades!$Q$14,F40)*POWER(Upgrades!$Q$15,G40)*POWER(Upgrades!$Q$16,H40)*POWER(Upgrades!$Q$17,I40)*POWER(Upgrades!$Q$18,J40)*POWER(Upgrades!$Q$19,K40)*POWER(Upgrades!$Q$20,L40)*POWER(Upgrades!$Q$21,M40))*$G$6*(Parameters!$B$10/60*Parameters!$B$11+Q40))/Upgrades!$C$18,0)),IF(K40&gt;0,0,IFERROR(0.30*P40/Upgrades!$C$19,0)),IF(L40&gt;0,0,IFERROR(0.0001/Upgrades!$C$20,0)),IF(M40&gt;0,0,IFERROR((6.0*(POWER(Upgrades!$P$13,E40)*POWER(Upgrades!$P$14,F40)*POWER(Upgrades!$P$15,G40)*POWER(Upgrades!$P$16,H40)*POWER(Upgrades!$P$17,I40)*POWER(Upgrades!$P$18,J40)*POWER(Upgrades!$P$19,K40)*POWER(Upgrades!$P$20,L40)*POWER(Upgrades!$P$21,M40))*$F$6+0.20*O40*(Parameters!$B$10/60*Parameters!$B$11+Q40))/Upgrades!$C$21,0)),IF(AND(ISNUMBER(AK40),AK40&gt;(C40+T40)),AY40,0),IF(AND(ISNUMBER(AL40),AL40&gt;(C40+T40)),AZ40,0),IF(AND(ISNUMBER(AM40),AM40&gt;(C40+T40)),BA40,0),IF(AND(ISNUMBER(AN40),AN40&gt;(C40+T40)),BB40,0),IF(AND(ISNUMBER(AO40),AO40&gt;(C40+T40)),BC40,0))</f>
        <v/>
      </c>
      <c r="BE40" s="29">
        <f>IF(AT40=1,"transition",IF(MIN(IF(AND(J40=0,ISNUMBER(AP40),AP40&lt;=(C40+T40)),AP40,9E15),IF(AND(K40=0,ISNUMBER(AQ40),AQ40&lt;=(C40+T40)),AQ40,9E15),IF(AND(L40=0,ISNUMBER(AR40),AR40&lt;=(C40+T40)),AR40,9E15),IF(AND(M40=0,ISNUMBER(AS40),AS40&lt;=(C40+T40)),AS40,9E15))&lt;9E15,IF(AND(AND(J40=0,ISNUMBER(AP40),AP40&lt;=(C40+T40)),AP40=MIN(IF(AND(J40=0,ISNUMBER(AP40),AP40&lt;=(C40+T40)),AP40,9E15),IF(AND(K40=0,ISNUMBER(AQ40),AQ40&lt;=(C40+T40)),AQ40,9E15),IF(AND(L40=0,ISNUMBER(AR40),AR40&lt;=(C40+T40)),AR40,9E15),IF(AND(M40=0,ISNUMBER(AS40),AS40&lt;=(C40+T40)),AS40,9E15))),"BiP",IF(AND(AND(K40=0,ISNUMBER(AQ40),AQ40&lt;=(C40+T40)),AQ40=MIN(IF(AND(J40=0,ISNUMBER(AP40),AP40&lt;=(C40+T40)),AP40,9E15),IF(AND(K40=0,ISNUMBER(AQ40),AQ40&lt;=(C40+T40)),AQ40,9E15),IF(AND(L40=0,ISNUMBER(AR40),AR40&lt;=(C40+T40)),AR40,9E15),IF(AND(M40=0,ISNUMBER(AS40),AS40&lt;=(C40+T40)),AS40,9E15))),"PV",IF(AND(AND(L40=0,ISNUMBER(AR40),AR40&lt;=(C40+T40)),AR40=MIN(IF(AND(J40=0,ISNUMBER(AP40),AP40&lt;=(C40+T40)),AP40,9E15),IF(AND(K40=0,ISNUMBER(AQ40),AQ40&lt;=(C40+T40)),AQ40,9E15),IF(AND(L40=0,ISNUMBER(AR40),AR40&lt;=(C40+T40)),AR40,9E15),IF(AND(M40=0,ISNUMBER(AS40),AS40&lt;=(C40+T40)),AS40,9E15))),"OC","MG"))),IF(AX40=TRUE,"",IF(MAX(IF(AND(NOT(AND(AU40=1,AT40&lt;&gt;1)),ISNUMBER(AK40),AK40&lt;=(C40+T40)),AY40,0),IF(AND(NOT(AND(AU40=1,AT40&lt;&gt;1)),ISNUMBER(AL40),AL40&lt;=(C40+T40)),AZ40,0),IF(AND(NOT(AND(AU40=1,AT40&lt;&gt;1)),ISNUMBER(AM40),AM40&lt;=(C40+T40)),BA40,0),IF(AND(NOT(AND(AU40=1,AT40&lt;&gt;1)),ISNUMBER(AN40),AN40&lt;=(C40+T40)),BB40,0),IF(AND(ISNUMBER(AO40),AO40&lt;=(C40+T40)),BC40,0))&lt;=0,"",IF(AND(IF(AND(NOT(AND(AU40=1,AT40&lt;&gt;1)),ISNUMBER(AK40),AK40&lt;=(C40+T40)),AY40,0)&gt;0,IF(AND(NOT(AND(AU40=1,AT40&lt;&gt;1)),ISNUMBER(AK40),AK40&lt;=(C40+T40)),AY40,0)=MAX(IF(AND(NOT(AND(AU40=1,AT40&lt;&gt;1)),ISNUMBER(AK40),AK40&lt;=(C40+T40)),AY40,0),IF(AND(NOT(AND(AU40=1,AT40&lt;&gt;1)),ISNUMBER(AL40),AL40&lt;=(C40+T40)),AZ40,0),IF(AND(NOT(AND(AU40=1,AT40&lt;&gt;1)),ISNUMBER(AM40),AM40&lt;=(C40+T40)),BA40,0),IF(AND(NOT(AND(AU40=1,AT40&lt;&gt;1)),ISNUMBER(AN40),AN40&lt;=(C40+T40)),BB40,0),IF(AND(ISNUMBER(AO40),AO40&lt;=(C40+T40)),BC40,0))),"SK",IF(AND(IF(AND(NOT(AND(AU40=1,AT40&lt;&gt;1)),ISNUMBER(AL40),AL40&lt;=(C40+T40)),AZ40,0)&gt;0,IF(AND(NOT(AND(AU40=1,AT40&lt;&gt;1)),ISNUMBER(AL40),AL40&lt;=(C40+T40)),AZ40,0)=MAX(IF(AND(NOT(AND(AU40=1,AT40&lt;&gt;1)),ISNUMBER(AK40),AK40&lt;=(C40+T40)),AY40,0),IF(AND(NOT(AND(AU40=1,AT40&lt;&gt;1)),ISNUMBER(AL40),AL40&lt;=(C40+T40)),AZ40,0),IF(AND(NOT(AND(AU40=1,AT40&lt;&gt;1)),ISNUMBER(AM40),AM40&lt;=(C40+T40)),BA40,0),IF(AND(NOT(AND(AU40=1,AT40&lt;&gt;1)),ISNUMBER(AN40),AN40&lt;=(C40+T40)),BB40,0),IF(AND(ISNUMBER(AO40),AO40&lt;=(C40+T40)),BC40,0))),"LB",IF(AND(IF(AND(NOT(AND(AU40=1,AT40&lt;&gt;1)),ISNUMBER(AM40),AM40&lt;=(C40+T40)),BA40,0)&gt;0,IF(AND(NOT(AND(AU40=1,AT40&lt;&gt;1)),ISNUMBER(AM40),AM40&lt;=(C40+T40)),BA40,0)=MAX(IF(AND(NOT(AND(AU40=1,AT40&lt;&gt;1)),ISNUMBER(AK40),AK40&lt;=(C40+T40)),AY40,0),IF(AND(NOT(AND(AU40=1,AT40&lt;&gt;1)),ISNUMBER(AL40),AL40&lt;=(C40+T40)),AZ40,0),IF(AND(NOT(AND(AU40=1,AT40&lt;&gt;1)),ISNUMBER(AM40),AM40&lt;=(C40+T40)),BA40,0),IF(AND(NOT(AND(AU40=1,AT40&lt;&gt;1)),ISNUMBER(AN40),AN40&lt;=(C40+T40)),BB40,0),IF(AND(ISNUMBER(AO40),AO40&lt;=(C40+T40)),BC40,0))),"ML",IF(AND(IF(AND(NOT(AND(AU40=1,AT40&lt;&gt;1)),ISNUMBER(AN40),AN40&lt;=(C40+T40)),BB40,0)&gt;0,IF(AND(NOT(AND(AU40=1,AT40&lt;&gt;1)),ISNUMBER(AN40),AN40&lt;=(C40+T40)),BB40,0)=MAX(IF(AND(NOT(AND(AU40=1,AT40&lt;&gt;1)),ISNUMBER(AK40),AK40&lt;=(C40+T40)),AY40,0),IF(AND(NOT(AND(AU40=1,AT40&lt;&gt;1)),ISNUMBER(AL40),AL40&lt;=(C40+T40)),AZ40,0),IF(AND(NOT(AND(AU40=1,AT40&lt;&gt;1)),ISNUMBER(AM40),AM40&lt;=(C40+T40)),BA40,0),IF(AND(NOT(AND(AU40=1,AT40&lt;&gt;1)),ISNUMBER(AN40),AN40&lt;=(C40+T40)),BB40,0),IF(AND(ISNUMBER(AO40),AO40&lt;=(C40+T40)),BC40,0))),"RLO","BD"))))))))</f>
        <v/>
      </c>
    </row>
    <row r="41">
      <c r="A41" s="26" t="n">
        <v>30</v>
      </c>
      <c r="B41" s="27">
        <f>A41*10/60</f>
        <v/>
      </c>
      <c r="C41" s="22">
        <f>X40</f>
        <v/>
      </c>
      <c r="D41" s="27">
        <f>D40+W40</f>
        <v/>
      </c>
      <c r="E41" s="26">
        <f>E40+IF(U40="SK",1,0)</f>
        <v/>
      </c>
      <c r="F41" s="26">
        <f>F40+IF(U40="LB",1,0)</f>
        <v/>
      </c>
      <c r="G41" s="26">
        <f>G40+IF(U40="ML",1,0)</f>
        <v/>
      </c>
      <c r="H41" s="26">
        <f>H40+IF(U40="RLO",1,0)</f>
        <v/>
      </c>
      <c r="I41" s="26">
        <f>I40+IF(U40="BD",1,0)</f>
        <v/>
      </c>
      <c r="J41" s="26">
        <f>MAX(J40,IF(U40="BiP",1,0))</f>
        <v/>
      </c>
      <c r="K41" s="26">
        <f>MAX(K40,IF(U40="PV",1,0))</f>
        <v/>
      </c>
      <c r="L41" s="26">
        <f>MAX(L40,IF(U40="OC",1,0))</f>
        <v/>
      </c>
      <c r="M41" s="26">
        <f>MAX(M40,IF(U40="MG",1,0))</f>
        <v/>
      </c>
      <c r="N41" s="26">
        <f>MAX(N40,IF(U40="transition",1,0))</f>
        <v/>
      </c>
      <c r="O41" s="28">
        <f>(Parameters!$B$9+(IF(E41=0,0,(Upgrades!$J$13+E41*Upgrades!$K$13)*POWER(Upgrades!$L$13,E41)))*(IF(Upgrades!$T$14="Stellar Kinematics",POWER(Upgrades!$U$14,F41),1)*IF(Upgrades!$T$15="Stellar Kinematics",POWER(Upgrades!$U$15,G41),1)*IF(Upgrades!$T$16="Stellar Kinematics",POWER(Upgrades!$U$16,H41),1)*IF(Upgrades!$T$17="Stellar Kinematics",POWER(Upgrades!$U$17,I41),1)*IF(Upgrades!$T$18="Stellar Kinematics",POWER(Upgrades!$U$18,J41),1)*IF(Upgrades!$T$19="Stellar Kinematics",POWER(Upgrades!$U$19,K41),1)*IF(Upgrades!$T$20="Stellar Kinematics",POWER(Upgrades!$U$20,L41),1)*IF(Upgrades!$T$21="Stellar Kinematics",POWER(Upgrades!$U$21,M41),1))+(IF(F41=0,0,(Upgrades!$J$14+F41*Upgrades!$K$14)*POWER(Upgrades!$L$14,F41)))*(IF(Upgrades!$T$13="Local Bubble",POWER(Upgrades!$U$13,E41),1)*IF(Upgrades!$T$15="Local Bubble",POWER(Upgrades!$U$15,G41),1)*IF(Upgrades!$T$16="Local Bubble",POWER(Upgrades!$U$16,H41),1)*IF(Upgrades!$T$17="Local Bubble",POWER(Upgrades!$U$17,I41),1)*IF(Upgrades!$T$18="Local Bubble",POWER(Upgrades!$U$18,J41),1)*IF(Upgrades!$T$19="Local Bubble",POWER(Upgrades!$U$19,K41),1)*IF(Upgrades!$T$20="Local Bubble",POWER(Upgrades!$U$20,L41),1)*IF(Upgrades!$T$21="Local Bubble",POWER(Upgrades!$U$21,M41),1))+(IF(G41=0,0,(Upgrades!$J$15+G41*Upgrades!$K$15)*POWER(Upgrades!$L$15,G41)))*(IF(Upgrades!$T$13="Microlensing",POWER(Upgrades!$U$13,E41),1)*IF(Upgrades!$T$14="Microlensing",POWER(Upgrades!$U$14,F41),1)*IF(Upgrades!$T$16="Microlensing",POWER(Upgrades!$U$16,H41),1)*IF(Upgrades!$T$17="Microlensing",POWER(Upgrades!$U$17,I41),1)*IF(Upgrades!$T$18="Microlensing",POWER(Upgrades!$U$18,J41),1)*IF(Upgrades!$T$19="Microlensing",POWER(Upgrades!$U$19,K41),1)*IF(Upgrades!$T$20="Microlensing",POWER(Upgrades!$U$20,L41),1)*IF(Upgrades!$T$21="Microlensing",POWER(Upgrades!$U$21,M41),1))+(IF(H41=0,0,(Upgrades!$J$16+H41*Upgrades!$K$16)*POWER(Upgrades!$L$16,H41)))*(IF(Upgrades!$T$13="Roche Lobe Overflow",POWER(Upgrades!$U$13,E41),1)*IF(Upgrades!$T$14="Roche Lobe Overflow",POWER(Upgrades!$U$14,F41),1)*IF(Upgrades!$T$15="Roche Lobe Overflow",POWER(Upgrades!$U$15,G41),1)*IF(Upgrades!$T$17="Roche Lobe Overflow",POWER(Upgrades!$U$17,I41),1)*IF(Upgrades!$T$18="Roche Lobe Overflow",POWER(Upgrades!$U$18,J41),1)*IF(Upgrades!$T$19="Roche Lobe Overflow",POWER(Upgrades!$U$19,K41),1)*IF(Upgrades!$T$20="Roche Lobe Overflow",POWER(Upgrades!$U$20,L41),1)*IF(Upgrades!$T$21="Roche Lobe Overflow",POWER(Upgrades!$U$21,M41),1))+(IF(I41=0,0,(Upgrades!$J$17+I41*Upgrades!$K$17)*POWER(Upgrades!$L$17,I41)))*(IF(Upgrades!$T$13="Brown Dwarf",POWER(Upgrades!$U$13,E41),1)*IF(Upgrades!$T$14="Brown Dwarf",POWER(Upgrades!$U$14,F41),1)*IF(Upgrades!$T$15="Brown Dwarf",POWER(Upgrades!$U$15,G41),1)*IF(Upgrades!$T$16="Brown Dwarf",POWER(Upgrades!$U$16,H41),1)*IF(Upgrades!$T$18="Brown Dwarf",POWER(Upgrades!$U$18,J41),1)*IF(Upgrades!$T$19="Brown Dwarf",POWER(Upgrades!$U$19,K41),1)*IF(Upgrades!$T$20="Brown Dwarf",POWER(Upgrades!$U$20,L41),1)*IF(Upgrades!$T$21="Brown Dwarf",POWER(Upgrades!$U$21,M41),1))+(IF(J41=0,0,(Upgrades!$J$18+J41*Upgrades!$K$18)*POWER(Upgrades!$L$18,J41)))*(IF(Upgrades!$T$13="Binary Partner",POWER(Upgrades!$U$13,E41),1)*IF(Upgrades!$T$14="Binary Partner",POWER(Upgrades!$U$14,F41),1)*IF(Upgrades!$T$15="Binary Partner",POWER(Upgrades!$U$15,G41),1)*IF(Upgrades!$T$16="Binary Partner",POWER(Upgrades!$U$16,H41),1)*IF(Upgrades!$T$17="Binary Partner",POWER(Upgrades!$U$17,I41),1)*IF(Upgrades!$T$19="Binary Partner",POWER(Upgrades!$U$19,K41),1)*IF(Upgrades!$T$20="Binary Partner",POWER(Upgrades!$U$20,L41),1)*IF(Upgrades!$T$21="Binary Partner",POWER(Upgrades!$U$21,M41),1))+(IF(K41=0,0,(Upgrades!$J$19+K41*Upgrades!$K$19)*POWER(Upgrades!$L$19,K41)))*(IF(Upgrades!$T$13="Peculiar Velocity",POWER(Upgrades!$U$13,E41),1)*IF(Upgrades!$T$14="Peculiar Velocity",POWER(Upgrades!$U$14,F41),1)*IF(Upgrades!$T$15="Peculiar Velocity",POWER(Upgrades!$U$15,G41),1)*IF(Upgrades!$T$16="Peculiar Velocity",POWER(Upgrades!$U$16,H41),1)*IF(Upgrades!$T$17="Peculiar Velocity",POWER(Upgrades!$U$17,I41),1)*IF(Upgrades!$T$18="Peculiar Velocity",POWER(Upgrades!$U$18,J41),1)*IF(Upgrades!$T$20="Peculiar Velocity",POWER(Upgrades!$U$20,L41),1)*IF(Upgrades!$T$21="Peculiar Velocity",POWER(Upgrades!$U$21,M41),1))+(IF(L41=0,0,(Upgrades!$J$20+L41*Upgrades!$K$20)*POWER(Upgrades!$L$20,L41)))*(IF(Upgrades!$T$13="Open Cluster",POWER(Upgrades!$U$13,E41),1)*IF(Upgrades!$T$14="Open Cluster",POWER(Upgrades!$U$14,F41),1)*IF(Upgrades!$T$15="Open Cluster",POWER(Upgrades!$U$15,G41),1)*IF(Upgrades!$T$16="Open Cluster",POWER(Upgrades!$U$16,H41),1)*IF(Upgrades!$T$17="Open Cluster",POWER(Upgrades!$U$17,I41),1)*IF(Upgrades!$T$18="Open Cluster",POWER(Upgrades!$U$18,J41),1)*IF(Upgrades!$T$19="Open Cluster",POWER(Upgrades!$U$19,K41),1)*IF(Upgrades!$T$21="Open Cluster",POWER(Upgrades!$U$21,M41),1))+(IF(M41=0,0,(Upgrades!$J$21+M41*Upgrades!$K$21)*POWER(Upgrades!$L$21,M41)))*(IF(Upgrades!$T$13="Moving Group",POWER(Upgrades!$U$13,E41),1)*IF(Upgrades!$T$14="Moving Group",POWER(Upgrades!$U$14,F41),1)*IF(Upgrades!$T$15="Moving Group",POWER(Upgrades!$U$15,G41),1)*IF(Upgrades!$T$16="Moving Group",POWER(Upgrades!$U$16,H41),1)*IF(Upgrades!$T$17="Moving Group",POWER(Upgrades!$U$17,I41),1)*IF(Upgrades!$T$18="Moving Group",POWER(Upgrades!$U$18,J41),1)*IF(Upgrades!$T$19="Moving Group",POWER(Upgrades!$U$19,K41),1)*IF(Upgrades!$T$20="Moving Group",POWER(Upgrades!$U$20,L41),1)))*POWER(Upgrades!$Q$13,E41)*POWER(Upgrades!$Q$14,F41)*POWER(Upgrades!$Q$15,G41)*POWER(Upgrades!$Q$16,H41)*POWER(Upgrades!$Q$17,I41)*POWER(Upgrades!$Q$18,J41)*POWER(Upgrades!$Q$19,K41)*POWER(Upgrades!$Q$20,L41)*POWER(Upgrades!$Q$21,M41)*$G$6+$D$6</f>
        <v/>
      </c>
      <c r="P41" s="28">
        <f>((IF(E41=0,0,(Upgrades!$G$13+E41*Upgrades!$H$13)*POWER(Upgrades!$I$13,E41)))*(IF(Upgrades!$T$14="Stellar Kinematics",POWER(Upgrades!$U$14,F41),1)*IF(Upgrades!$T$15="Stellar Kinematics",POWER(Upgrades!$U$15,G41),1)*IF(Upgrades!$T$16="Stellar Kinematics",POWER(Upgrades!$U$16,H41),1)*IF(Upgrades!$T$17="Stellar Kinematics",POWER(Upgrades!$U$17,I41),1)*IF(Upgrades!$T$18="Stellar Kinematics",POWER(Upgrades!$U$18,J41),1)*IF(Upgrades!$T$19="Stellar Kinematics",POWER(Upgrades!$U$19,K41),1)*IF(Upgrades!$T$20="Stellar Kinematics",POWER(Upgrades!$U$20,L41),1)*IF(Upgrades!$T$21="Stellar Kinematics",POWER(Upgrades!$U$21,M41),1))+(IF(F41=0,0,(Upgrades!$G$14+F41*Upgrades!$H$14)*POWER(Upgrades!$I$14,F41)))*(IF(Upgrades!$T$13="Local Bubble",POWER(Upgrades!$U$13,E41),1)*IF(Upgrades!$T$15="Local Bubble",POWER(Upgrades!$U$15,G41),1)*IF(Upgrades!$T$16="Local Bubble",POWER(Upgrades!$U$16,H41),1)*IF(Upgrades!$T$17="Local Bubble",POWER(Upgrades!$U$17,I41),1)*IF(Upgrades!$T$18="Local Bubble",POWER(Upgrades!$U$18,J41),1)*IF(Upgrades!$T$19="Local Bubble",POWER(Upgrades!$U$19,K41),1)*IF(Upgrades!$T$20="Local Bubble",POWER(Upgrades!$U$20,L41),1)*IF(Upgrades!$T$21="Local Bubble",POWER(Upgrades!$U$21,M41),1))+(IF(G41=0,0,(Upgrades!$G$15+G41*Upgrades!$H$15)*POWER(Upgrades!$I$15,G41)))*(IF(Upgrades!$T$13="Microlensing",POWER(Upgrades!$U$13,E41),1)*IF(Upgrades!$T$14="Microlensing",POWER(Upgrades!$U$14,F41),1)*IF(Upgrades!$T$16="Microlensing",POWER(Upgrades!$U$16,H41),1)*IF(Upgrades!$T$17="Microlensing",POWER(Upgrades!$U$17,I41),1)*IF(Upgrades!$T$18="Microlensing",POWER(Upgrades!$U$18,J41),1)*IF(Upgrades!$T$19="Microlensing",POWER(Upgrades!$U$19,K41),1)*IF(Upgrades!$T$20="Microlensing",POWER(Upgrades!$U$20,L41),1)*IF(Upgrades!$T$21="Microlensing",POWER(Upgrades!$U$21,M41),1))+(IF(H41=0,0,(Upgrades!$G$16+H41*Upgrades!$H$16)*POWER(Upgrades!$I$16,H41)))*(IF(Upgrades!$T$13="Roche Lobe Overflow",POWER(Upgrades!$U$13,E41),1)*IF(Upgrades!$T$14="Roche Lobe Overflow",POWER(Upgrades!$U$14,F41),1)*IF(Upgrades!$T$15="Roche Lobe Overflow",POWER(Upgrades!$U$15,G41),1)*IF(Upgrades!$T$17="Roche Lobe Overflow",POWER(Upgrades!$U$17,I41),1)*IF(Upgrades!$T$18="Roche Lobe Overflow",POWER(Upgrades!$U$18,J41),1)*IF(Upgrades!$T$19="Roche Lobe Overflow",POWER(Upgrades!$U$19,K41),1)*IF(Upgrades!$T$20="Roche Lobe Overflow",POWER(Upgrades!$U$20,L41),1)*IF(Upgrades!$T$21="Roche Lobe Overflow",POWER(Upgrades!$U$21,M41),1))+(IF(I41=0,0,(Upgrades!$G$17+I41*Upgrades!$H$17)*POWER(Upgrades!$I$17,I41)))*(IF(Upgrades!$T$13="Brown Dwarf",POWER(Upgrades!$U$13,E41),1)*IF(Upgrades!$T$14="Brown Dwarf",POWER(Upgrades!$U$14,F41),1)*IF(Upgrades!$T$15="Brown Dwarf",POWER(Upgrades!$U$15,G41),1)*IF(Upgrades!$T$16="Brown Dwarf",POWER(Upgrades!$U$16,H41),1)*IF(Upgrades!$T$18="Brown Dwarf",POWER(Upgrades!$U$18,J41),1)*IF(Upgrades!$T$19="Brown Dwarf",POWER(Upgrades!$U$19,K41),1)*IF(Upgrades!$T$20="Brown Dwarf",POWER(Upgrades!$U$20,L41),1)*IF(Upgrades!$T$21="Brown Dwarf",POWER(Upgrades!$U$21,M41),1))+(IF(J41=0,0,(Upgrades!$G$18+J41*Upgrades!$H$18)*POWER(Upgrades!$I$18,J41)))*(IF(Upgrades!$T$13="Binary Partner",POWER(Upgrades!$U$13,E41),1)*IF(Upgrades!$T$14="Binary Partner",POWER(Upgrades!$U$14,F41),1)*IF(Upgrades!$T$15="Binary Partner",POWER(Upgrades!$U$15,G41),1)*IF(Upgrades!$T$16="Binary Partner",POWER(Upgrades!$U$16,H41),1)*IF(Upgrades!$T$17="Binary Partner",POWER(Upgrades!$U$17,I41),1)*IF(Upgrades!$T$19="Binary Partner",POWER(Upgrades!$U$19,K41),1)*IF(Upgrades!$T$20="Binary Partner",POWER(Upgrades!$U$20,L41),1)*IF(Upgrades!$T$21="Binary Partner",POWER(Upgrades!$U$21,M41),1))+(IF(K41=0,0,(Upgrades!$G$19+K41*Upgrades!$H$19)*POWER(Upgrades!$I$19,K41)))*(IF(Upgrades!$T$13="Peculiar Velocity",POWER(Upgrades!$U$13,E41),1)*IF(Upgrades!$T$14="Peculiar Velocity",POWER(Upgrades!$U$14,F41),1)*IF(Upgrades!$T$15="Peculiar Velocity",POWER(Upgrades!$U$15,G41),1)*IF(Upgrades!$T$16="Peculiar Velocity",POWER(Upgrades!$U$16,H41),1)*IF(Upgrades!$T$17="Peculiar Velocity",POWER(Upgrades!$U$17,I41),1)*IF(Upgrades!$T$18="Peculiar Velocity",POWER(Upgrades!$U$18,J41),1)*IF(Upgrades!$T$20="Peculiar Velocity",POWER(Upgrades!$U$20,L41),1)*IF(Upgrades!$T$21="Peculiar Velocity",POWER(Upgrades!$U$21,M41),1))+(IF(L41=0,0,(Upgrades!$G$20+L41*Upgrades!$H$20)*POWER(Upgrades!$I$20,L41)))*(IF(Upgrades!$T$13="Open Cluster",POWER(Upgrades!$U$13,E41),1)*IF(Upgrades!$T$14="Open Cluster",POWER(Upgrades!$U$14,F41),1)*IF(Upgrades!$T$15="Open Cluster",POWER(Upgrades!$U$15,G41),1)*IF(Upgrades!$T$16="Open Cluster",POWER(Upgrades!$U$16,H41),1)*IF(Upgrades!$T$17="Open Cluster",POWER(Upgrades!$U$17,I41),1)*IF(Upgrades!$T$18="Open Cluster",POWER(Upgrades!$U$18,J41),1)*IF(Upgrades!$T$19="Open Cluster",POWER(Upgrades!$U$19,K41),1)*IF(Upgrades!$T$21="Open Cluster",POWER(Upgrades!$U$21,M41),1))+(IF(M41=0,0,(Upgrades!$G$21+M41*Upgrades!$H$21)*POWER(Upgrades!$I$21,M41)))*(IF(Upgrades!$T$13="Moving Group",POWER(Upgrades!$U$13,E41),1)*IF(Upgrades!$T$14="Moving Group",POWER(Upgrades!$U$14,F41),1)*IF(Upgrades!$T$15="Moving Group",POWER(Upgrades!$U$15,G41),1)*IF(Upgrades!$T$16="Moving Group",POWER(Upgrades!$U$16,H41),1)*IF(Upgrades!$T$17="Moving Group",POWER(Upgrades!$U$17,I41),1)*IF(Upgrades!$T$18="Moving Group",POWER(Upgrades!$U$18,J41),1)*IF(Upgrades!$T$19="Moving Group",POWER(Upgrades!$U$19,K41),1)*IF(Upgrades!$T$20="Moving Group",POWER(Upgrades!$U$20,L41),1)))*POWER(Upgrades!$P$13,E41)*POWER(Upgrades!$P$14,F41)*POWER(Upgrades!$P$15,G41)*POWER(Upgrades!$P$16,H41)*POWER(Upgrades!$P$17,I41)*POWER(Upgrades!$P$18,J41)*POWER(Upgrades!$P$19,K41)*POWER(Upgrades!$P$20,L41)*POWER(Upgrades!$P$21,M41)*$F$6+$C$6</f>
        <v/>
      </c>
      <c r="Q41" s="28">
        <f>((IF(E41=0,0,(Upgrades!$M$13+E41*Upgrades!$N$13)*POWER(Upgrades!$O$13,E41)))*(IF(Upgrades!$T$14="Stellar Kinematics",POWER(Upgrades!$U$14,F41),1)*IF(Upgrades!$T$15="Stellar Kinematics",POWER(Upgrades!$U$15,G41),1)*IF(Upgrades!$T$16="Stellar Kinematics",POWER(Upgrades!$U$16,H41),1)*IF(Upgrades!$T$17="Stellar Kinematics",POWER(Upgrades!$U$17,I41),1)*IF(Upgrades!$T$18="Stellar Kinematics",POWER(Upgrades!$U$18,J41),1)*IF(Upgrades!$T$19="Stellar Kinematics",POWER(Upgrades!$U$19,K41),1)*IF(Upgrades!$T$20="Stellar Kinematics",POWER(Upgrades!$U$20,L41),1)*IF(Upgrades!$T$21="Stellar Kinematics",POWER(Upgrades!$U$21,M41),1))+(IF(F41=0,0,(Upgrades!$M$14+F41*Upgrades!$N$14)*POWER(Upgrades!$O$14,F41)))*(IF(Upgrades!$T$13="Local Bubble",POWER(Upgrades!$U$13,E41),1)*IF(Upgrades!$T$15="Local Bubble",POWER(Upgrades!$U$15,G41),1)*IF(Upgrades!$T$16="Local Bubble",POWER(Upgrades!$U$16,H41),1)*IF(Upgrades!$T$17="Local Bubble",POWER(Upgrades!$U$17,I41),1)*IF(Upgrades!$T$18="Local Bubble",POWER(Upgrades!$U$18,J41),1)*IF(Upgrades!$T$19="Local Bubble",POWER(Upgrades!$U$19,K41),1)*IF(Upgrades!$T$20="Local Bubble",POWER(Upgrades!$U$20,L41),1)*IF(Upgrades!$T$21="Local Bubble",POWER(Upgrades!$U$21,M41),1))+(IF(G41=0,0,(Upgrades!$M$15+G41*Upgrades!$N$15)*POWER(Upgrades!$O$15,G41)))*(IF(Upgrades!$T$13="Microlensing",POWER(Upgrades!$U$13,E41),1)*IF(Upgrades!$T$14="Microlensing",POWER(Upgrades!$U$14,F41),1)*IF(Upgrades!$T$16="Microlensing",POWER(Upgrades!$U$16,H41),1)*IF(Upgrades!$T$17="Microlensing",POWER(Upgrades!$U$17,I41),1)*IF(Upgrades!$T$18="Microlensing",POWER(Upgrades!$U$18,J41),1)*IF(Upgrades!$T$19="Microlensing",POWER(Upgrades!$U$19,K41),1)*IF(Upgrades!$T$20="Microlensing",POWER(Upgrades!$U$20,L41),1)*IF(Upgrades!$T$21="Microlensing",POWER(Upgrades!$U$21,M41),1))+(IF(H41=0,0,(Upgrades!$M$16+H41*Upgrades!$N$16)*POWER(Upgrades!$O$16,H41)))*(IF(Upgrades!$T$13="Roche Lobe Overflow",POWER(Upgrades!$U$13,E41),1)*IF(Upgrades!$T$14="Roche Lobe Overflow",POWER(Upgrades!$U$14,F41),1)*IF(Upgrades!$T$15="Roche Lobe Overflow",POWER(Upgrades!$U$15,G41),1)*IF(Upgrades!$T$17="Roche Lobe Overflow",POWER(Upgrades!$U$17,I41),1)*IF(Upgrades!$T$18="Roche Lobe Overflow",POWER(Upgrades!$U$18,J41),1)*IF(Upgrades!$T$19="Roche Lobe Overflow",POWER(Upgrades!$U$19,K41),1)*IF(Upgrades!$T$20="Roche Lobe Overflow",POWER(Upgrades!$U$20,L41),1)*IF(Upgrades!$T$21="Roche Lobe Overflow",POWER(Upgrades!$U$21,M41),1))+(IF(I41=0,0,(Upgrades!$M$17+I41*Upgrades!$N$17)*POWER(Upgrades!$O$17,I41)))*(IF(Upgrades!$T$13="Brown Dwarf",POWER(Upgrades!$U$13,E41),1)*IF(Upgrades!$T$14="Brown Dwarf",POWER(Upgrades!$U$14,F41),1)*IF(Upgrades!$T$15="Brown Dwarf",POWER(Upgrades!$U$15,G41),1)*IF(Upgrades!$T$16="Brown Dwarf",POWER(Upgrades!$U$16,H41),1)*IF(Upgrades!$T$18="Brown Dwarf",POWER(Upgrades!$U$18,J41),1)*IF(Upgrades!$T$19="Brown Dwarf",POWER(Upgrades!$U$19,K41),1)*IF(Upgrades!$T$20="Brown Dwarf",POWER(Upgrades!$U$20,L41),1)*IF(Upgrades!$T$21="Brown Dwarf",POWER(Upgrades!$U$21,M41),1))+(IF(J41=0,0,(Upgrades!$M$18+J41*Upgrades!$N$18)*POWER(Upgrades!$O$18,J41)))*(IF(Upgrades!$T$13="Binary Partner",POWER(Upgrades!$U$13,E41),1)*IF(Upgrades!$T$14="Binary Partner",POWER(Upgrades!$U$14,F41),1)*IF(Upgrades!$T$15="Binary Partner",POWER(Upgrades!$U$15,G41),1)*IF(Upgrades!$T$16="Binary Partner",POWER(Upgrades!$U$16,H41),1)*IF(Upgrades!$T$17="Binary Partner",POWER(Upgrades!$U$17,I41),1)*IF(Upgrades!$T$19="Binary Partner",POWER(Upgrades!$U$19,K41),1)*IF(Upgrades!$T$20="Binary Partner",POWER(Upgrades!$U$20,L41),1)*IF(Upgrades!$T$21="Binary Partner",POWER(Upgrades!$U$21,M41),1))+(IF(K41=0,0,(Upgrades!$M$19+K41*Upgrades!$N$19)*POWER(Upgrades!$O$19,K41)))*(IF(Upgrades!$T$13="Peculiar Velocity",POWER(Upgrades!$U$13,E41),1)*IF(Upgrades!$T$14="Peculiar Velocity",POWER(Upgrades!$U$14,F41),1)*IF(Upgrades!$T$15="Peculiar Velocity",POWER(Upgrades!$U$15,G41),1)*IF(Upgrades!$T$16="Peculiar Velocity",POWER(Upgrades!$U$16,H41),1)*IF(Upgrades!$T$17="Peculiar Velocity",POWER(Upgrades!$U$17,I41),1)*IF(Upgrades!$T$18="Peculiar Velocity",POWER(Upgrades!$U$18,J41),1)*IF(Upgrades!$T$20="Peculiar Velocity",POWER(Upgrades!$U$20,L41),1)*IF(Upgrades!$T$21="Peculiar Velocity",POWER(Upgrades!$U$21,M41),1))+(IF(L41=0,0,(Upgrades!$M$20+L41*Upgrades!$N$20)*POWER(Upgrades!$O$20,L41)))*(IF(Upgrades!$T$13="Open Cluster",POWER(Upgrades!$U$13,E41),1)*IF(Upgrades!$T$14="Open Cluster",POWER(Upgrades!$U$14,F41),1)*IF(Upgrades!$T$15="Open Cluster",POWER(Upgrades!$U$15,G41),1)*IF(Upgrades!$T$16="Open Cluster",POWER(Upgrades!$U$16,H41),1)*IF(Upgrades!$T$17="Open Cluster",POWER(Upgrades!$U$17,I41),1)*IF(Upgrades!$T$18="Open Cluster",POWER(Upgrades!$U$18,J41),1)*IF(Upgrades!$T$19="Open Cluster",POWER(Upgrades!$U$19,K41),1)*IF(Upgrades!$T$21="Open Cluster",POWER(Upgrades!$U$21,M41),1))+(IF(M41=0,0,(Upgrades!$M$21+M41*Upgrades!$N$21)*POWER(Upgrades!$O$21,M41)))*(IF(Upgrades!$T$13="Moving Group",POWER(Upgrades!$U$13,E41),1)*IF(Upgrades!$T$14="Moving Group",POWER(Upgrades!$U$14,F41),1)*IF(Upgrades!$T$15="Moving Group",POWER(Upgrades!$U$15,G41),1)*IF(Upgrades!$T$16="Moving Group",POWER(Upgrades!$U$16,H41),1)*IF(Upgrades!$T$17="Moving Group",POWER(Upgrades!$U$17,I41),1)*IF(Upgrades!$T$18="Moving Group",POWER(Upgrades!$U$18,J41),1)*IF(Upgrades!$T$19="Moving Group",POWER(Upgrades!$U$19,K41),1)*IF(Upgrades!$T$20="Moving Group",POWER(Upgrades!$U$20,L41),1)))*POWER(Upgrades!$R$13,E41)*POWER(Upgrades!$R$14,F41)*POWER(Upgrades!$R$15,G41)*POWER(Upgrades!$R$16,H41)*POWER(Upgrades!$R$17,I41)*POWER(Upgrades!$R$18,J41)*POWER(Upgrades!$R$19,K41)*POWER(Upgrades!$R$20,L41)*POWER(Upgrades!$R$21,M41)*$H$6+$E$6</f>
        <v/>
      </c>
      <c r="R41" s="27">
        <f>IF(N41=1,0,O41*Parameters!$B$10/60*Parameters!$B$11*10)</f>
        <v/>
      </c>
      <c r="S41" s="27">
        <f>IF(N41=1,0,Q41*O41*10)</f>
        <v/>
      </c>
      <c r="T41" s="27">
        <f>IF(N41=1,0,R41+S41+P41*10)</f>
        <v/>
      </c>
      <c r="U41" s="33">
        <f>BE41</f>
        <v/>
      </c>
      <c r="V41" s="22">
        <f>IF(U41="",0,IF(U41="transition",0,IF(U41="SK",AK41,IF(U41="LB",AL41,IF(U41="ML",AM41,IF(U41="RLO",AN41,IF(U41="BD",AO41,IF(U41="BiP",AP41,IF(U41="PV",AQ41,IF(U41="OC",AR41,IF(U41="MG",AS41,0))))))))))</f>
        <v/>
      </c>
      <c r="W41" s="27">
        <f>IF(U41="BiP",Upgrades!$F$18,IF(U41="PV",Upgrades!$F$19,IF(U41="OC",Upgrades!$F$20,IF(U41="MG",Upgrades!$F$21,IF(U41="transition",-Parameters!$B$18*Parameters!$B$19,0)))))</f>
        <v/>
      </c>
      <c r="X41" s="22">
        <f>C41+T41-V41</f>
        <v/>
      </c>
      <c r="Y41" s="30">
        <f>O41*Parameters!$B$10/60*Parameters!$B$11+Q41*O41+P41</f>
        <v/>
      </c>
      <c r="Z41" s="34">
        <f>IF(U41="transition","→ Tier 3 (Galactic Arm)",IF(U41="MG","Moving Group — pocket drifts together",IF(U41="OC","Open Cluster acquired",IF(U41="PV","Peculiar Velocity — passive multiplier active",IF(U41="BiP","Binary Partner — pair bond formed",IF(AND(AU41=1,N41=0,AT41&lt;&gt;1),"Cohesion ready (waiting on completionists)","")))))) </f>
        <v/>
      </c>
      <c r="AA41" s="27">
        <f>(IF(E41=0,0,(Upgrades!$G$13+E41*Upgrades!$H$13)*POWER(Upgrades!$I$13,E41)))*(IF(Upgrades!$T$14="Stellar Kinematics",POWER(Upgrades!$U$14,F41),1)*IF(Upgrades!$T$15="Stellar Kinematics",POWER(Upgrades!$U$15,G41),1)*IF(Upgrades!$T$16="Stellar Kinematics",POWER(Upgrades!$U$16,H41),1)*IF(Upgrades!$T$17="Stellar Kinematics",POWER(Upgrades!$U$17,I41),1)*IF(Upgrades!$T$18="Stellar Kinematics",POWER(Upgrades!$U$18,J41),1)*IF(Upgrades!$T$19="Stellar Kinematics",POWER(Upgrades!$U$19,K41),1)*IF(Upgrades!$T$20="Stellar Kinematics",POWER(Upgrades!$U$20,L41),1)*IF(Upgrades!$T$21="Stellar Kinematics",POWER(Upgrades!$U$21,M41),1))*POWER(Upgrades!$P$13,E41)*POWER(Upgrades!$P$14,F41)*POWER(Upgrades!$P$15,G41)*POWER(Upgrades!$P$16,H41)*POWER(Upgrades!$P$17,I41)*POWER(Upgrades!$P$18,J41)*POWER(Upgrades!$P$19,K41)*POWER(Upgrades!$P$20,L41)*POWER(Upgrades!$P$21,M41)*$F$6*60</f>
        <v/>
      </c>
      <c r="AB41" s="27">
        <f>(IF(F41=0,0,(Upgrades!$G$14+F41*Upgrades!$H$14)*POWER(Upgrades!$I$14,F41)))*(IF(Upgrades!$T$13="Local Bubble",POWER(Upgrades!$U$13,E41),1)*IF(Upgrades!$T$15="Local Bubble",POWER(Upgrades!$U$15,G41),1)*IF(Upgrades!$T$16="Local Bubble",POWER(Upgrades!$U$16,H41),1)*IF(Upgrades!$T$17="Local Bubble",POWER(Upgrades!$U$17,I41),1)*IF(Upgrades!$T$18="Local Bubble",POWER(Upgrades!$U$18,J41),1)*IF(Upgrades!$T$19="Local Bubble",POWER(Upgrades!$U$19,K41),1)*IF(Upgrades!$T$20="Local Bubble",POWER(Upgrades!$U$20,L41),1)*IF(Upgrades!$T$21="Local Bubble",POWER(Upgrades!$U$21,M41),1))*POWER(Upgrades!$P$13,E41)*POWER(Upgrades!$P$14,F41)*POWER(Upgrades!$P$15,G41)*POWER(Upgrades!$P$16,H41)*POWER(Upgrades!$P$17,I41)*POWER(Upgrades!$P$18,J41)*POWER(Upgrades!$P$19,K41)*POWER(Upgrades!$P$20,L41)*POWER(Upgrades!$P$21,M41)*$F$6*60</f>
        <v/>
      </c>
      <c r="AC41" s="27">
        <f>(IF(G41=0,0,(Upgrades!$J$15+G41*Upgrades!$K$15)*POWER(Upgrades!$L$15,G41)))*(IF(Upgrades!$T$13="Microlensing",POWER(Upgrades!$U$13,E41),1)*IF(Upgrades!$T$14="Microlensing",POWER(Upgrades!$U$14,F41),1)*IF(Upgrades!$T$16="Microlensing",POWER(Upgrades!$U$16,H41),1)*IF(Upgrades!$T$17="Microlensing",POWER(Upgrades!$U$17,I41),1)*IF(Upgrades!$T$18="Microlensing",POWER(Upgrades!$U$18,J41),1)*IF(Upgrades!$T$19="Microlensing",POWER(Upgrades!$U$19,K41),1)*IF(Upgrades!$T$20="Microlensing",POWER(Upgrades!$U$20,L41),1)*IF(Upgrades!$T$21="Microlensing",POWER(Upgrades!$U$21,M41),1))*POWER(Upgrades!$Q$13,E41)*POWER(Upgrades!$Q$14,F41)*POWER(Upgrades!$Q$15,G41)*POWER(Upgrades!$Q$16,H41)*POWER(Upgrades!$Q$17,I41)*POWER(Upgrades!$Q$18,J41)*POWER(Upgrades!$Q$19,K41)*POWER(Upgrades!$Q$20,L41)*POWER(Upgrades!$Q$21,M41)*$G$6*(Parameters!$B$10*Parameters!$B$11+Q41*60)</f>
        <v/>
      </c>
      <c r="AD41" s="27">
        <f>(IF(H41=0,0,(Upgrades!$M$16+H41*Upgrades!$N$16)*POWER(Upgrades!$O$16,H41)))*(IF(Upgrades!$T$13="Roche Lobe Overflow",POWER(Upgrades!$U$13,E41),1)*IF(Upgrades!$T$14="Roche Lobe Overflow",POWER(Upgrades!$U$14,F41),1)*IF(Upgrades!$T$15="Roche Lobe Overflow",POWER(Upgrades!$U$15,G41),1)*IF(Upgrades!$T$17="Roche Lobe Overflow",POWER(Upgrades!$U$17,I41),1)*IF(Upgrades!$T$18="Roche Lobe Overflow",POWER(Upgrades!$U$18,J41),1)*IF(Upgrades!$T$19="Roche Lobe Overflow",POWER(Upgrades!$U$19,K41),1)*IF(Upgrades!$T$20="Roche Lobe Overflow",POWER(Upgrades!$U$20,L41),1)*IF(Upgrades!$T$21="Roche Lobe Overflow",POWER(Upgrades!$U$21,M41),1))*POWER(Upgrades!$R$13,E41)*POWER(Upgrades!$R$14,F41)*POWER(Upgrades!$R$15,G41)*POWER(Upgrades!$R$16,H41)*POWER(Upgrades!$R$17,I41)*POWER(Upgrades!$R$18,J41)*POWER(Upgrades!$R$19,K41)*POWER(Upgrades!$R$20,L41)*POWER(Upgrades!$R$21,M41)*$H$6*O41*60</f>
        <v/>
      </c>
      <c r="AE41" s="27">
        <f>(IF(I41=0,0,(Upgrades!$G$17+I41*Upgrades!$H$17)*POWER(Upgrades!$I$17,I41)))*(IF(Upgrades!$T$13="Brown Dwarf",POWER(Upgrades!$U$13,E41),1)*IF(Upgrades!$T$14="Brown Dwarf",POWER(Upgrades!$U$14,F41),1)*IF(Upgrades!$T$15="Brown Dwarf",POWER(Upgrades!$U$15,G41),1)*IF(Upgrades!$T$16="Brown Dwarf",POWER(Upgrades!$U$16,H41),1)*IF(Upgrades!$T$18="Brown Dwarf",POWER(Upgrades!$U$18,J41),1)*IF(Upgrades!$T$19="Brown Dwarf",POWER(Upgrades!$U$19,K41),1)*IF(Upgrades!$T$20="Brown Dwarf",POWER(Upgrades!$U$20,L41),1)*IF(Upgrades!$T$21="Brown Dwarf",POWER(Upgrades!$U$21,M41),1))*POWER(Upgrades!$P$13,E41)*POWER(Upgrades!$P$14,F41)*POWER(Upgrades!$P$15,G41)*POWER(Upgrades!$P$16,H41)*POWER(Upgrades!$P$17,I41)*POWER(Upgrades!$P$18,J41)*POWER(Upgrades!$P$19,K41)*POWER(Upgrades!$P$20,L41)*POWER(Upgrades!$P$21,M41)*$F$6*60</f>
        <v/>
      </c>
      <c r="AF41" s="27" t="n">
        <v>0</v>
      </c>
      <c r="AG41" s="27" t="n">
        <v>0</v>
      </c>
      <c r="AH41" s="27" t="n">
        <v>0</v>
      </c>
      <c r="AI41" s="27">
        <f>(IF(M41=0,0,(Upgrades!$G$21+M41*Upgrades!$H$21)*POWER(Upgrades!$I$21,M41)))*(IF(Upgrades!$T$13="Moving Group",POWER(Upgrades!$U$13,E41),1)*IF(Upgrades!$T$14="Moving Group",POWER(Upgrades!$U$14,F41),1)*IF(Upgrades!$T$15="Moving Group",POWER(Upgrades!$U$15,G41),1)*IF(Upgrades!$T$16="Moving Group",POWER(Upgrades!$U$16,H41),1)*IF(Upgrades!$T$17="Moving Group",POWER(Upgrades!$U$17,I41),1)*IF(Upgrades!$T$18="Moving Group",POWER(Upgrades!$U$18,J41),1)*IF(Upgrades!$T$19="Moving Group",POWER(Upgrades!$U$19,K41),1)*IF(Upgrades!$T$20="Moving Group",POWER(Upgrades!$U$20,L41),1))*POWER(Upgrades!$P$13,E41)*POWER(Upgrades!$P$14,F41)*POWER(Upgrades!$P$15,G41)*POWER(Upgrades!$P$16,H41)*POWER(Upgrades!$P$17,I41)*POWER(Upgrades!$P$18,J41)*POWER(Upgrades!$P$19,K41)*POWER(Upgrades!$P$20,L41)*POWER(Upgrades!$P$21,M41)*$F$6*60</f>
        <v/>
      </c>
      <c r="AJ41" s="27">
        <f>$C$6*60</f>
        <v/>
      </c>
      <c r="AK41" s="22">
        <f>IF(E41&gt;=Upgrades!$E$13,"",Upgrades!$C$13*POWER(Upgrades!$D$13,E41))</f>
        <v/>
      </c>
      <c r="AL41" s="22">
        <f>IF(F41&gt;=Upgrades!$E$14,"",Upgrades!$C$14*POWER(Upgrades!$D$14,F41))</f>
        <v/>
      </c>
      <c r="AM41" s="22">
        <f>IF(G41&gt;=Upgrades!$E$15,"",Upgrades!$C$15*POWER(Upgrades!$D$15,G41))</f>
        <v/>
      </c>
      <c r="AN41" s="22">
        <f>IF(H41&gt;=Upgrades!$E$16,"",Upgrades!$C$16*POWER(Upgrades!$D$16,H41))</f>
        <v/>
      </c>
      <c r="AO41" s="22">
        <f>IF(I41&gt;=Upgrades!$E$17,"",Upgrades!$C$17*POWER(Upgrades!$D$17,I41))</f>
        <v/>
      </c>
      <c r="AP41" s="22">
        <f>IF(J41&gt;=Upgrades!$E$18,"",Upgrades!$C$18*POWER(Upgrades!$D$18,J41))</f>
        <v/>
      </c>
      <c r="AQ41" s="22">
        <f>IF(K41&gt;=Upgrades!$E$19,"",Upgrades!$C$19*POWER(Upgrades!$D$19,K41))</f>
        <v/>
      </c>
      <c r="AR41" s="22">
        <f>IF(L41&gt;=Upgrades!$E$20,"",Upgrades!$C$20*POWER(Upgrades!$D$20,L41))</f>
        <v/>
      </c>
      <c r="AS41" s="22">
        <f>IF(M41&gt;=Upgrades!$E$21,"",Upgrades!$C$21*POWER(Upgrades!$D$21,M41))</f>
        <v/>
      </c>
      <c r="AT41" s="26">
        <f>IF(AND(D41&gt;=Parameters!$B$18*Parameters!$B$19,(I41&gt;=Upgrades!$E$17)*(M41&gt;=Upgrades!$E$21)=1,N41=0),1,"")</f>
        <v/>
      </c>
      <c r="AU41" s="26">
        <f>IF(AND(D41&gt;=Parameters!$B$18*Parameters!$B$19,N41=0),1,"")</f>
        <v/>
      </c>
      <c r="AV41" s="22">
        <f>MIN(IF(ISNUMBER(AP41),AP41,9E15),IF(ISNUMBER(AQ41),AQ41,9E15),IF(ISNUMBER(AR41),AR41,9E15),IF(ISNUMBER(AS41),AS41,9E15))</f>
        <v/>
      </c>
      <c r="AW41" s="22">
        <f>MIN(IF(ISNUMBER(AK41),AK41,9E15),IF(ISNUMBER(AL41),AL41,9E15),IF(ISNUMBER(AM41),AM41,9E15),IF(ISNUMBER(AN41),AN41,9E15),IF(ISNUMBER(AO41),AO41,9E15))</f>
        <v/>
      </c>
      <c r="AX41" s="29">
        <f>IF(BD41&gt;Parameters!$B$21*(MAX(IF(AND(NOT(AND(AU41=1,AT41&lt;&gt;1)),ISNUMBER(AK41),AK41&lt;=(C41+T41)),AY41,0),IF(AND(NOT(AND(AU41=1,AT41&lt;&gt;1)),ISNUMBER(AL41),AL41&lt;=(C41+T41)),AZ41,0),IF(AND(NOT(AND(AU41=1,AT41&lt;&gt;1)),ISNUMBER(AM41),AM41&lt;=(C41+T41)),BA41,0),IF(AND(NOT(AND(AU41=1,AT41&lt;&gt;1)),ISNUMBER(AN41),AN41&lt;=(C41+T41)),BB41,0),IF(AND(ISNUMBER(AO41),AO41&lt;=(C41+T41)),BC41,0))),TRUE,FALSE)</f>
        <v/>
      </c>
      <c r="AY41" s="32">
        <f>IFERROR(Upgrades!$H$13*(POWER(Upgrades!$P$13,E41)*POWER(Upgrades!$P$14,F41)*POWER(Upgrades!$P$15,G41)*POWER(Upgrades!$P$16,H41)*POWER(Upgrades!$P$17,I41)*POWER(Upgrades!$P$18,J41)*POWER(Upgrades!$P$19,K41)*POWER(Upgrades!$P$20,L41)*POWER(Upgrades!$P$21,M41))*(IF(Upgrades!$T$14="Stellar Kinematics",POWER(Upgrades!$U$14,F41),1)*IF(Upgrades!$T$15="Stellar Kinematics",POWER(Upgrades!$U$15,G41),1)*IF(Upgrades!$T$16="Stellar Kinematics",POWER(Upgrades!$U$16,H41),1)*IF(Upgrades!$T$17="Stellar Kinematics",POWER(Upgrades!$U$17,I41),1)*IF(Upgrades!$T$18="Stellar Kinematics",POWER(Upgrades!$U$18,J41),1)*IF(Upgrades!$T$19="Stellar Kinematics",POWER(Upgrades!$U$19,K41),1)*IF(Upgrades!$T$20="Stellar Kinematics",POWER(Upgrades!$U$20,L41),1)*IF(Upgrades!$T$21="Stellar Kinematics",POWER(Upgrades!$U$21,M41),1))*$F$6/AK41,0)</f>
        <v/>
      </c>
      <c r="AZ41" s="32">
        <f>IFERROR(Upgrades!$H$14*(POWER(Upgrades!$P$13,E41)*POWER(Upgrades!$P$14,F41)*POWER(Upgrades!$P$15,G41)*POWER(Upgrades!$P$16,H41)*POWER(Upgrades!$P$17,I41)*POWER(Upgrades!$P$18,J41)*POWER(Upgrades!$P$19,K41)*POWER(Upgrades!$P$20,L41)*POWER(Upgrades!$P$21,M41))*(IF(Upgrades!$T$13="Local Bubble",POWER(Upgrades!$U$13,E41),1)*IF(Upgrades!$T$15="Local Bubble",POWER(Upgrades!$U$15,G41),1)*IF(Upgrades!$T$16="Local Bubble",POWER(Upgrades!$U$16,H41),1)*IF(Upgrades!$T$17="Local Bubble",POWER(Upgrades!$U$17,I41),1)*IF(Upgrades!$T$18="Local Bubble",POWER(Upgrades!$U$18,J41),1)*IF(Upgrades!$T$19="Local Bubble",POWER(Upgrades!$U$19,K41),1)*IF(Upgrades!$T$20="Local Bubble",POWER(Upgrades!$U$20,L41),1)*IF(Upgrades!$T$21="Local Bubble",POWER(Upgrades!$U$21,M41),1))*$F$6/AL41,0)</f>
        <v/>
      </c>
      <c r="BA41" s="32">
        <f>IFERROR(Upgrades!$K$15*(POWER(Upgrades!$Q$13,E41)*POWER(Upgrades!$Q$14,F41)*POWER(Upgrades!$Q$15,G41)*POWER(Upgrades!$Q$16,H41)*POWER(Upgrades!$Q$17,I41)*POWER(Upgrades!$Q$18,J41)*POWER(Upgrades!$Q$19,K41)*POWER(Upgrades!$Q$20,L41)*POWER(Upgrades!$Q$21,M41))*(IF(Upgrades!$T$13="Microlensing",POWER(Upgrades!$U$13,E41),1)*IF(Upgrades!$T$14="Microlensing",POWER(Upgrades!$U$14,F41),1)*IF(Upgrades!$T$16="Microlensing",POWER(Upgrades!$U$16,H41),1)*IF(Upgrades!$T$17="Microlensing",POWER(Upgrades!$U$17,I41),1)*IF(Upgrades!$T$18="Microlensing",POWER(Upgrades!$U$18,J41),1)*IF(Upgrades!$T$19="Microlensing",POWER(Upgrades!$U$19,K41),1)*IF(Upgrades!$T$20="Microlensing",POWER(Upgrades!$U$20,L41),1)*IF(Upgrades!$T$21="Microlensing",POWER(Upgrades!$U$21,M41),1))*$G$6*(Parameters!$B$10/60*Parameters!$B$11+Q41)/AM41,0)</f>
        <v/>
      </c>
      <c r="BB41" s="32">
        <f>IFERROR((Upgrades!$N$16*(POWER(Upgrades!$R$13,E41)*POWER(Upgrades!$R$14,F41)*POWER(Upgrades!$R$15,G41)*POWER(Upgrades!$R$16,H41)*POWER(Upgrades!$R$17,I41)*POWER(Upgrades!$R$18,J41)*POWER(Upgrades!$R$19,K41)*POWER(Upgrades!$R$20,L41)*POWER(Upgrades!$R$21,M41))*(IF(Upgrades!$T$13="Roche Lobe Overflow",POWER(Upgrades!$U$13,E41),1)*IF(Upgrades!$T$14="Roche Lobe Overflow",POWER(Upgrades!$U$14,F41),1)*IF(Upgrades!$T$15="Roche Lobe Overflow",POWER(Upgrades!$U$15,G41),1)*IF(Upgrades!$T$17="Roche Lobe Overflow",POWER(Upgrades!$U$17,I41),1)*IF(Upgrades!$T$18="Roche Lobe Overflow",POWER(Upgrades!$U$18,J41),1)*IF(Upgrades!$T$19="Roche Lobe Overflow",POWER(Upgrades!$U$19,K41),1)*IF(Upgrades!$T$20="Roche Lobe Overflow",POWER(Upgrades!$U$20,L41),1)*IF(Upgrades!$T$21="Roche Lobe Overflow",POWER(Upgrades!$U$21,M41),1))*$H$6*O41+((IF(F41=0,0,(Upgrades!$G$14+F41*Upgrades!$H$14)*POWER(Upgrades!$I$14,F41)))*(IF(Upgrades!$T$13="Local Bubble",POWER(Upgrades!$U$13,E41),1)*IF(Upgrades!$T$15="Local Bubble",POWER(Upgrades!$U$15,G41),1)*IF(Upgrades!$T$16="Local Bubble",POWER(Upgrades!$U$16,H41),1)*IF(Upgrades!$T$17="Local Bubble",POWER(Upgrades!$U$17,I41),1)*IF(Upgrades!$T$18="Local Bubble",POWER(Upgrades!$U$18,J41),1)*IF(Upgrades!$T$19="Local Bubble",POWER(Upgrades!$U$19,K41),1)*IF(Upgrades!$T$20="Local Bubble",POWER(Upgrades!$U$20,L41),1)*IF(Upgrades!$T$21="Local Bubble",POWER(Upgrades!$U$21,M41),1))*POWER(Upgrades!$P$13,E41)*POWER(Upgrades!$P$14,F41)*POWER(Upgrades!$P$15,G41)*POWER(Upgrades!$P$16,H41)*POWER(Upgrades!$P$17,I41)*POWER(Upgrades!$P$18,J41)*POWER(Upgrades!$P$19,K41)*POWER(Upgrades!$P$20,L41)*POWER(Upgrades!$P$21,M41)*$F$6)*0.05)/AN41,0)</f>
        <v/>
      </c>
      <c r="BC41" s="32">
        <f>IFERROR((Upgrades!$H$17*(POWER(Upgrades!$P$13,E41)*POWER(Upgrades!$P$14,F41)*POWER(Upgrades!$P$15,G41)*POWER(Upgrades!$P$16,H41)*POWER(Upgrades!$P$17,I41)*POWER(Upgrades!$P$18,J41)*POWER(Upgrades!$P$19,K41)*POWER(Upgrades!$P$20,L41)*POWER(Upgrades!$P$21,M41))*(IF(Upgrades!$T$13="Brown Dwarf",POWER(Upgrades!$U$13,E41),1)*IF(Upgrades!$T$14="Brown Dwarf",POWER(Upgrades!$U$14,F41),1)*IF(Upgrades!$T$15="Brown Dwarf",POWER(Upgrades!$U$15,G41),1)*IF(Upgrades!$T$16="Brown Dwarf",POWER(Upgrades!$U$16,H41),1)*IF(Upgrades!$T$18="Brown Dwarf",POWER(Upgrades!$U$18,J41),1)*IF(Upgrades!$T$19="Brown Dwarf",POWER(Upgrades!$U$19,K41),1)*IF(Upgrades!$T$20="Brown Dwarf",POWER(Upgrades!$U$20,L41),1)*IF(Upgrades!$T$21="Brown Dwarf",POWER(Upgrades!$U$21,M41),1))*$F$6+(((IF(H41=0,0,(Upgrades!$M$16+H41*Upgrades!$N$16)*POWER(Upgrades!$O$16,H41)))*(IF(Upgrades!$T$13="Roche Lobe Overflow",POWER(Upgrades!$U$13,E41),1)*IF(Upgrades!$T$14="Roche Lobe Overflow",POWER(Upgrades!$U$14,F41),1)*IF(Upgrades!$T$15="Roche Lobe Overflow",POWER(Upgrades!$U$15,G41),1)*IF(Upgrades!$T$17="Roche Lobe Overflow",POWER(Upgrades!$U$17,I41),1)*IF(Upgrades!$T$18="Roche Lobe Overflow",POWER(Upgrades!$U$18,J41),1)*IF(Upgrades!$T$19="Roche Lobe Overflow",POWER(Upgrades!$U$19,K41),1)*IF(Upgrades!$T$20="Roche Lobe Overflow",POWER(Upgrades!$U$20,L41),1)*IF(Upgrades!$T$21="Roche Lobe Overflow",POWER(Upgrades!$U$21,M41),1))*POWER(Upgrades!$R$13,E41)*POWER(Upgrades!$R$14,F41)*POWER(Upgrades!$R$15,G41)*POWER(Upgrades!$R$16,H41)*POWER(Upgrades!$R$17,I41)*POWER(Upgrades!$R$18,J41)*POWER(Upgrades!$R$19,K41)*POWER(Upgrades!$R$20,L41)*POWER(Upgrades!$R$21,M41)*$H$6)*O41)*0.10)/AO41,0)</f>
        <v/>
      </c>
      <c r="BD41" s="32">
        <f>MAX(IF(J41&gt;0,0,IFERROR(0.5*((IF(G41=0,0,(Upgrades!$J$15+G41*Upgrades!$K$15)*POWER(Upgrades!$L$15,G41)))*(IF(Upgrades!$T$13="Microlensing",POWER(Upgrades!$U$13,E41),1)*IF(Upgrades!$T$14="Microlensing",POWER(Upgrades!$U$14,F41),1)*IF(Upgrades!$T$16="Microlensing",POWER(Upgrades!$U$16,H41),1)*IF(Upgrades!$T$17="Microlensing",POWER(Upgrades!$U$17,I41),1)*IF(Upgrades!$T$18="Microlensing",POWER(Upgrades!$U$18,J41),1)*IF(Upgrades!$T$19="Microlensing",POWER(Upgrades!$U$19,K41),1)*IF(Upgrades!$T$20="Microlensing",POWER(Upgrades!$U$20,L41),1)*IF(Upgrades!$T$21="Microlensing",POWER(Upgrades!$U$21,M41),1))*(POWER(Upgrades!$Q$13,E41)*POWER(Upgrades!$Q$14,F41)*POWER(Upgrades!$Q$15,G41)*POWER(Upgrades!$Q$16,H41)*POWER(Upgrades!$Q$17,I41)*POWER(Upgrades!$Q$18,J41)*POWER(Upgrades!$Q$19,K41)*POWER(Upgrades!$Q$20,L41)*POWER(Upgrades!$Q$21,M41))*$G$6*(Parameters!$B$10/60*Parameters!$B$11+Q41))/Upgrades!$C$18,0)),IF(K41&gt;0,0,IFERROR(0.30*P41/Upgrades!$C$19,0)),IF(L41&gt;0,0,IFERROR(0.0001/Upgrades!$C$20,0)),IF(M41&gt;0,0,IFERROR((6.0*(POWER(Upgrades!$P$13,E41)*POWER(Upgrades!$P$14,F41)*POWER(Upgrades!$P$15,G41)*POWER(Upgrades!$P$16,H41)*POWER(Upgrades!$P$17,I41)*POWER(Upgrades!$P$18,J41)*POWER(Upgrades!$P$19,K41)*POWER(Upgrades!$P$20,L41)*POWER(Upgrades!$P$21,M41))*$F$6+0.20*O41*(Parameters!$B$10/60*Parameters!$B$11+Q41))/Upgrades!$C$21,0)),IF(AND(ISNUMBER(AK41),AK41&gt;(C41+T41)),AY41,0),IF(AND(ISNUMBER(AL41),AL41&gt;(C41+T41)),AZ41,0),IF(AND(ISNUMBER(AM41),AM41&gt;(C41+T41)),BA41,0),IF(AND(ISNUMBER(AN41),AN41&gt;(C41+T41)),BB41,0),IF(AND(ISNUMBER(AO41),AO41&gt;(C41+T41)),BC41,0))</f>
        <v/>
      </c>
      <c r="BE41" s="29">
        <f>IF(AT41=1,"transition",IF(MIN(IF(AND(J41=0,ISNUMBER(AP41),AP41&lt;=(C41+T41)),AP41,9E15),IF(AND(K41=0,ISNUMBER(AQ41),AQ41&lt;=(C41+T41)),AQ41,9E15),IF(AND(L41=0,ISNUMBER(AR41),AR41&lt;=(C41+T41)),AR41,9E15),IF(AND(M41=0,ISNUMBER(AS41),AS41&lt;=(C41+T41)),AS41,9E15))&lt;9E15,IF(AND(AND(J41=0,ISNUMBER(AP41),AP41&lt;=(C41+T41)),AP41=MIN(IF(AND(J41=0,ISNUMBER(AP41),AP41&lt;=(C41+T41)),AP41,9E15),IF(AND(K41=0,ISNUMBER(AQ41),AQ41&lt;=(C41+T41)),AQ41,9E15),IF(AND(L41=0,ISNUMBER(AR41),AR41&lt;=(C41+T41)),AR41,9E15),IF(AND(M41=0,ISNUMBER(AS41),AS41&lt;=(C41+T41)),AS41,9E15))),"BiP",IF(AND(AND(K41=0,ISNUMBER(AQ41),AQ41&lt;=(C41+T41)),AQ41=MIN(IF(AND(J41=0,ISNUMBER(AP41),AP41&lt;=(C41+T41)),AP41,9E15),IF(AND(K41=0,ISNUMBER(AQ41),AQ41&lt;=(C41+T41)),AQ41,9E15),IF(AND(L41=0,ISNUMBER(AR41),AR41&lt;=(C41+T41)),AR41,9E15),IF(AND(M41=0,ISNUMBER(AS41),AS41&lt;=(C41+T41)),AS41,9E15))),"PV",IF(AND(AND(L41=0,ISNUMBER(AR41),AR41&lt;=(C41+T41)),AR41=MIN(IF(AND(J41=0,ISNUMBER(AP41),AP41&lt;=(C41+T41)),AP41,9E15),IF(AND(K41=0,ISNUMBER(AQ41),AQ41&lt;=(C41+T41)),AQ41,9E15),IF(AND(L41=0,ISNUMBER(AR41),AR41&lt;=(C41+T41)),AR41,9E15),IF(AND(M41=0,ISNUMBER(AS41),AS41&lt;=(C41+T41)),AS41,9E15))),"OC","MG"))),IF(AX41=TRUE,"",IF(MAX(IF(AND(NOT(AND(AU41=1,AT41&lt;&gt;1)),ISNUMBER(AK41),AK41&lt;=(C41+T41)),AY41,0),IF(AND(NOT(AND(AU41=1,AT41&lt;&gt;1)),ISNUMBER(AL41),AL41&lt;=(C41+T41)),AZ41,0),IF(AND(NOT(AND(AU41=1,AT41&lt;&gt;1)),ISNUMBER(AM41),AM41&lt;=(C41+T41)),BA41,0),IF(AND(NOT(AND(AU41=1,AT41&lt;&gt;1)),ISNUMBER(AN41),AN41&lt;=(C41+T41)),BB41,0),IF(AND(ISNUMBER(AO41),AO41&lt;=(C41+T41)),BC41,0))&lt;=0,"",IF(AND(IF(AND(NOT(AND(AU41=1,AT41&lt;&gt;1)),ISNUMBER(AK41),AK41&lt;=(C41+T41)),AY41,0)&gt;0,IF(AND(NOT(AND(AU41=1,AT41&lt;&gt;1)),ISNUMBER(AK41),AK41&lt;=(C41+T41)),AY41,0)=MAX(IF(AND(NOT(AND(AU41=1,AT41&lt;&gt;1)),ISNUMBER(AK41),AK41&lt;=(C41+T41)),AY41,0),IF(AND(NOT(AND(AU41=1,AT41&lt;&gt;1)),ISNUMBER(AL41),AL41&lt;=(C41+T41)),AZ41,0),IF(AND(NOT(AND(AU41=1,AT41&lt;&gt;1)),ISNUMBER(AM41),AM41&lt;=(C41+T41)),BA41,0),IF(AND(NOT(AND(AU41=1,AT41&lt;&gt;1)),ISNUMBER(AN41),AN41&lt;=(C41+T41)),BB41,0),IF(AND(ISNUMBER(AO41),AO41&lt;=(C41+T41)),BC41,0))),"SK",IF(AND(IF(AND(NOT(AND(AU41=1,AT41&lt;&gt;1)),ISNUMBER(AL41),AL41&lt;=(C41+T41)),AZ41,0)&gt;0,IF(AND(NOT(AND(AU41=1,AT41&lt;&gt;1)),ISNUMBER(AL41),AL41&lt;=(C41+T41)),AZ41,0)=MAX(IF(AND(NOT(AND(AU41=1,AT41&lt;&gt;1)),ISNUMBER(AK41),AK41&lt;=(C41+T41)),AY41,0),IF(AND(NOT(AND(AU41=1,AT41&lt;&gt;1)),ISNUMBER(AL41),AL41&lt;=(C41+T41)),AZ41,0),IF(AND(NOT(AND(AU41=1,AT41&lt;&gt;1)),ISNUMBER(AM41),AM41&lt;=(C41+T41)),BA41,0),IF(AND(NOT(AND(AU41=1,AT41&lt;&gt;1)),ISNUMBER(AN41),AN41&lt;=(C41+T41)),BB41,0),IF(AND(ISNUMBER(AO41),AO41&lt;=(C41+T41)),BC41,0))),"LB",IF(AND(IF(AND(NOT(AND(AU41=1,AT41&lt;&gt;1)),ISNUMBER(AM41),AM41&lt;=(C41+T41)),BA41,0)&gt;0,IF(AND(NOT(AND(AU41=1,AT41&lt;&gt;1)),ISNUMBER(AM41),AM41&lt;=(C41+T41)),BA41,0)=MAX(IF(AND(NOT(AND(AU41=1,AT41&lt;&gt;1)),ISNUMBER(AK41),AK41&lt;=(C41+T41)),AY41,0),IF(AND(NOT(AND(AU41=1,AT41&lt;&gt;1)),ISNUMBER(AL41),AL41&lt;=(C41+T41)),AZ41,0),IF(AND(NOT(AND(AU41=1,AT41&lt;&gt;1)),ISNUMBER(AM41),AM41&lt;=(C41+T41)),BA41,0),IF(AND(NOT(AND(AU41=1,AT41&lt;&gt;1)),ISNUMBER(AN41),AN41&lt;=(C41+T41)),BB41,0),IF(AND(ISNUMBER(AO41),AO41&lt;=(C41+T41)),BC41,0))),"ML",IF(AND(IF(AND(NOT(AND(AU41=1,AT41&lt;&gt;1)),ISNUMBER(AN41),AN41&lt;=(C41+T41)),BB41,0)&gt;0,IF(AND(NOT(AND(AU41=1,AT41&lt;&gt;1)),ISNUMBER(AN41),AN41&lt;=(C41+T41)),BB41,0)=MAX(IF(AND(NOT(AND(AU41=1,AT41&lt;&gt;1)),ISNUMBER(AK41),AK41&lt;=(C41+T41)),AY41,0),IF(AND(NOT(AND(AU41=1,AT41&lt;&gt;1)),ISNUMBER(AL41),AL41&lt;=(C41+T41)),AZ41,0),IF(AND(NOT(AND(AU41=1,AT41&lt;&gt;1)),ISNUMBER(AM41),AM41&lt;=(C41+T41)),BA41,0),IF(AND(NOT(AND(AU41=1,AT41&lt;&gt;1)),ISNUMBER(AN41),AN41&lt;=(C41+T41)),BB41,0),IF(AND(ISNUMBER(AO41),AO41&lt;=(C41+T41)),BC41,0))),"RLO","BD"))))))))</f>
        <v/>
      </c>
    </row>
    <row r="42">
      <c r="A42" s="26" t="n">
        <v>31</v>
      </c>
      <c r="B42" s="27">
        <f>A42*10/60</f>
        <v/>
      </c>
      <c r="C42" s="22">
        <f>X41</f>
        <v/>
      </c>
      <c r="D42" s="27">
        <f>D41+W41</f>
        <v/>
      </c>
      <c r="E42" s="26">
        <f>E41+IF(U41="SK",1,0)</f>
        <v/>
      </c>
      <c r="F42" s="26">
        <f>F41+IF(U41="LB",1,0)</f>
        <v/>
      </c>
      <c r="G42" s="26">
        <f>G41+IF(U41="ML",1,0)</f>
        <v/>
      </c>
      <c r="H42" s="26">
        <f>H41+IF(U41="RLO",1,0)</f>
        <v/>
      </c>
      <c r="I42" s="26">
        <f>I41+IF(U41="BD",1,0)</f>
        <v/>
      </c>
      <c r="J42" s="26">
        <f>MAX(J41,IF(U41="BiP",1,0))</f>
        <v/>
      </c>
      <c r="K42" s="26">
        <f>MAX(K41,IF(U41="PV",1,0))</f>
        <v/>
      </c>
      <c r="L42" s="26">
        <f>MAX(L41,IF(U41="OC",1,0))</f>
        <v/>
      </c>
      <c r="M42" s="26">
        <f>MAX(M41,IF(U41="MG",1,0))</f>
        <v/>
      </c>
      <c r="N42" s="26">
        <f>MAX(N41,IF(U41="transition",1,0))</f>
        <v/>
      </c>
      <c r="O42" s="28">
        <f>(Parameters!$B$9+(IF(E42=0,0,(Upgrades!$J$13+E42*Upgrades!$K$13)*POWER(Upgrades!$L$13,E42)))*(IF(Upgrades!$T$14="Stellar Kinematics",POWER(Upgrades!$U$14,F42),1)*IF(Upgrades!$T$15="Stellar Kinematics",POWER(Upgrades!$U$15,G42),1)*IF(Upgrades!$T$16="Stellar Kinematics",POWER(Upgrades!$U$16,H42),1)*IF(Upgrades!$T$17="Stellar Kinematics",POWER(Upgrades!$U$17,I42),1)*IF(Upgrades!$T$18="Stellar Kinematics",POWER(Upgrades!$U$18,J42),1)*IF(Upgrades!$T$19="Stellar Kinematics",POWER(Upgrades!$U$19,K42),1)*IF(Upgrades!$T$20="Stellar Kinematics",POWER(Upgrades!$U$20,L42),1)*IF(Upgrades!$T$21="Stellar Kinematics",POWER(Upgrades!$U$21,M42),1))+(IF(F42=0,0,(Upgrades!$J$14+F42*Upgrades!$K$14)*POWER(Upgrades!$L$14,F42)))*(IF(Upgrades!$T$13="Local Bubble",POWER(Upgrades!$U$13,E42),1)*IF(Upgrades!$T$15="Local Bubble",POWER(Upgrades!$U$15,G42),1)*IF(Upgrades!$T$16="Local Bubble",POWER(Upgrades!$U$16,H42),1)*IF(Upgrades!$T$17="Local Bubble",POWER(Upgrades!$U$17,I42),1)*IF(Upgrades!$T$18="Local Bubble",POWER(Upgrades!$U$18,J42),1)*IF(Upgrades!$T$19="Local Bubble",POWER(Upgrades!$U$19,K42),1)*IF(Upgrades!$T$20="Local Bubble",POWER(Upgrades!$U$20,L42),1)*IF(Upgrades!$T$21="Local Bubble",POWER(Upgrades!$U$21,M42),1))+(IF(G42=0,0,(Upgrades!$J$15+G42*Upgrades!$K$15)*POWER(Upgrades!$L$15,G42)))*(IF(Upgrades!$T$13="Microlensing",POWER(Upgrades!$U$13,E42),1)*IF(Upgrades!$T$14="Microlensing",POWER(Upgrades!$U$14,F42),1)*IF(Upgrades!$T$16="Microlensing",POWER(Upgrades!$U$16,H42),1)*IF(Upgrades!$T$17="Microlensing",POWER(Upgrades!$U$17,I42),1)*IF(Upgrades!$T$18="Microlensing",POWER(Upgrades!$U$18,J42),1)*IF(Upgrades!$T$19="Microlensing",POWER(Upgrades!$U$19,K42),1)*IF(Upgrades!$T$20="Microlensing",POWER(Upgrades!$U$20,L42),1)*IF(Upgrades!$T$21="Microlensing",POWER(Upgrades!$U$21,M42),1))+(IF(H42=0,0,(Upgrades!$J$16+H42*Upgrades!$K$16)*POWER(Upgrades!$L$16,H42)))*(IF(Upgrades!$T$13="Roche Lobe Overflow",POWER(Upgrades!$U$13,E42),1)*IF(Upgrades!$T$14="Roche Lobe Overflow",POWER(Upgrades!$U$14,F42),1)*IF(Upgrades!$T$15="Roche Lobe Overflow",POWER(Upgrades!$U$15,G42),1)*IF(Upgrades!$T$17="Roche Lobe Overflow",POWER(Upgrades!$U$17,I42),1)*IF(Upgrades!$T$18="Roche Lobe Overflow",POWER(Upgrades!$U$18,J42),1)*IF(Upgrades!$T$19="Roche Lobe Overflow",POWER(Upgrades!$U$19,K42),1)*IF(Upgrades!$T$20="Roche Lobe Overflow",POWER(Upgrades!$U$20,L42),1)*IF(Upgrades!$T$21="Roche Lobe Overflow",POWER(Upgrades!$U$21,M42),1))+(IF(I42=0,0,(Upgrades!$J$17+I42*Upgrades!$K$17)*POWER(Upgrades!$L$17,I42)))*(IF(Upgrades!$T$13="Brown Dwarf",POWER(Upgrades!$U$13,E42),1)*IF(Upgrades!$T$14="Brown Dwarf",POWER(Upgrades!$U$14,F42),1)*IF(Upgrades!$T$15="Brown Dwarf",POWER(Upgrades!$U$15,G42),1)*IF(Upgrades!$T$16="Brown Dwarf",POWER(Upgrades!$U$16,H42),1)*IF(Upgrades!$T$18="Brown Dwarf",POWER(Upgrades!$U$18,J42),1)*IF(Upgrades!$T$19="Brown Dwarf",POWER(Upgrades!$U$19,K42),1)*IF(Upgrades!$T$20="Brown Dwarf",POWER(Upgrades!$U$20,L42),1)*IF(Upgrades!$T$21="Brown Dwarf",POWER(Upgrades!$U$21,M42),1))+(IF(J42=0,0,(Upgrades!$J$18+J42*Upgrades!$K$18)*POWER(Upgrades!$L$18,J42)))*(IF(Upgrades!$T$13="Binary Partner",POWER(Upgrades!$U$13,E42),1)*IF(Upgrades!$T$14="Binary Partner",POWER(Upgrades!$U$14,F42),1)*IF(Upgrades!$T$15="Binary Partner",POWER(Upgrades!$U$15,G42),1)*IF(Upgrades!$T$16="Binary Partner",POWER(Upgrades!$U$16,H42),1)*IF(Upgrades!$T$17="Binary Partner",POWER(Upgrades!$U$17,I42),1)*IF(Upgrades!$T$19="Binary Partner",POWER(Upgrades!$U$19,K42),1)*IF(Upgrades!$T$20="Binary Partner",POWER(Upgrades!$U$20,L42),1)*IF(Upgrades!$T$21="Binary Partner",POWER(Upgrades!$U$21,M42),1))+(IF(K42=0,0,(Upgrades!$J$19+K42*Upgrades!$K$19)*POWER(Upgrades!$L$19,K42)))*(IF(Upgrades!$T$13="Peculiar Velocity",POWER(Upgrades!$U$13,E42),1)*IF(Upgrades!$T$14="Peculiar Velocity",POWER(Upgrades!$U$14,F42),1)*IF(Upgrades!$T$15="Peculiar Velocity",POWER(Upgrades!$U$15,G42),1)*IF(Upgrades!$T$16="Peculiar Velocity",POWER(Upgrades!$U$16,H42),1)*IF(Upgrades!$T$17="Peculiar Velocity",POWER(Upgrades!$U$17,I42),1)*IF(Upgrades!$T$18="Peculiar Velocity",POWER(Upgrades!$U$18,J42),1)*IF(Upgrades!$T$20="Peculiar Velocity",POWER(Upgrades!$U$20,L42),1)*IF(Upgrades!$T$21="Peculiar Velocity",POWER(Upgrades!$U$21,M42),1))+(IF(L42=0,0,(Upgrades!$J$20+L42*Upgrades!$K$20)*POWER(Upgrades!$L$20,L42)))*(IF(Upgrades!$T$13="Open Cluster",POWER(Upgrades!$U$13,E42),1)*IF(Upgrades!$T$14="Open Cluster",POWER(Upgrades!$U$14,F42),1)*IF(Upgrades!$T$15="Open Cluster",POWER(Upgrades!$U$15,G42),1)*IF(Upgrades!$T$16="Open Cluster",POWER(Upgrades!$U$16,H42),1)*IF(Upgrades!$T$17="Open Cluster",POWER(Upgrades!$U$17,I42),1)*IF(Upgrades!$T$18="Open Cluster",POWER(Upgrades!$U$18,J42),1)*IF(Upgrades!$T$19="Open Cluster",POWER(Upgrades!$U$19,K42),1)*IF(Upgrades!$T$21="Open Cluster",POWER(Upgrades!$U$21,M42),1))+(IF(M42=0,0,(Upgrades!$J$21+M42*Upgrades!$K$21)*POWER(Upgrades!$L$21,M42)))*(IF(Upgrades!$T$13="Moving Group",POWER(Upgrades!$U$13,E42),1)*IF(Upgrades!$T$14="Moving Group",POWER(Upgrades!$U$14,F42),1)*IF(Upgrades!$T$15="Moving Group",POWER(Upgrades!$U$15,G42),1)*IF(Upgrades!$T$16="Moving Group",POWER(Upgrades!$U$16,H42),1)*IF(Upgrades!$T$17="Moving Group",POWER(Upgrades!$U$17,I42),1)*IF(Upgrades!$T$18="Moving Group",POWER(Upgrades!$U$18,J42),1)*IF(Upgrades!$T$19="Moving Group",POWER(Upgrades!$U$19,K42),1)*IF(Upgrades!$T$20="Moving Group",POWER(Upgrades!$U$20,L42),1)))*POWER(Upgrades!$Q$13,E42)*POWER(Upgrades!$Q$14,F42)*POWER(Upgrades!$Q$15,G42)*POWER(Upgrades!$Q$16,H42)*POWER(Upgrades!$Q$17,I42)*POWER(Upgrades!$Q$18,J42)*POWER(Upgrades!$Q$19,K42)*POWER(Upgrades!$Q$20,L42)*POWER(Upgrades!$Q$21,M42)*$G$6+$D$6</f>
        <v/>
      </c>
      <c r="P42" s="28">
        <f>((IF(E42=0,0,(Upgrades!$G$13+E42*Upgrades!$H$13)*POWER(Upgrades!$I$13,E42)))*(IF(Upgrades!$T$14="Stellar Kinematics",POWER(Upgrades!$U$14,F42),1)*IF(Upgrades!$T$15="Stellar Kinematics",POWER(Upgrades!$U$15,G42),1)*IF(Upgrades!$T$16="Stellar Kinematics",POWER(Upgrades!$U$16,H42),1)*IF(Upgrades!$T$17="Stellar Kinematics",POWER(Upgrades!$U$17,I42),1)*IF(Upgrades!$T$18="Stellar Kinematics",POWER(Upgrades!$U$18,J42),1)*IF(Upgrades!$T$19="Stellar Kinematics",POWER(Upgrades!$U$19,K42),1)*IF(Upgrades!$T$20="Stellar Kinematics",POWER(Upgrades!$U$20,L42),1)*IF(Upgrades!$T$21="Stellar Kinematics",POWER(Upgrades!$U$21,M42),1))+(IF(F42=0,0,(Upgrades!$G$14+F42*Upgrades!$H$14)*POWER(Upgrades!$I$14,F42)))*(IF(Upgrades!$T$13="Local Bubble",POWER(Upgrades!$U$13,E42),1)*IF(Upgrades!$T$15="Local Bubble",POWER(Upgrades!$U$15,G42),1)*IF(Upgrades!$T$16="Local Bubble",POWER(Upgrades!$U$16,H42),1)*IF(Upgrades!$T$17="Local Bubble",POWER(Upgrades!$U$17,I42),1)*IF(Upgrades!$T$18="Local Bubble",POWER(Upgrades!$U$18,J42),1)*IF(Upgrades!$T$19="Local Bubble",POWER(Upgrades!$U$19,K42),1)*IF(Upgrades!$T$20="Local Bubble",POWER(Upgrades!$U$20,L42),1)*IF(Upgrades!$T$21="Local Bubble",POWER(Upgrades!$U$21,M42),1))+(IF(G42=0,0,(Upgrades!$G$15+G42*Upgrades!$H$15)*POWER(Upgrades!$I$15,G42)))*(IF(Upgrades!$T$13="Microlensing",POWER(Upgrades!$U$13,E42),1)*IF(Upgrades!$T$14="Microlensing",POWER(Upgrades!$U$14,F42),1)*IF(Upgrades!$T$16="Microlensing",POWER(Upgrades!$U$16,H42),1)*IF(Upgrades!$T$17="Microlensing",POWER(Upgrades!$U$17,I42),1)*IF(Upgrades!$T$18="Microlensing",POWER(Upgrades!$U$18,J42),1)*IF(Upgrades!$T$19="Microlensing",POWER(Upgrades!$U$19,K42),1)*IF(Upgrades!$T$20="Microlensing",POWER(Upgrades!$U$20,L42),1)*IF(Upgrades!$T$21="Microlensing",POWER(Upgrades!$U$21,M42),1))+(IF(H42=0,0,(Upgrades!$G$16+H42*Upgrades!$H$16)*POWER(Upgrades!$I$16,H42)))*(IF(Upgrades!$T$13="Roche Lobe Overflow",POWER(Upgrades!$U$13,E42),1)*IF(Upgrades!$T$14="Roche Lobe Overflow",POWER(Upgrades!$U$14,F42),1)*IF(Upgrades!$T$15="Roche Lobe Overflow",POWER(Upgrades!$U$15,G42),1)*IF(Upgrades!$T$17="Roche Lobe Overflow",POWER(Upgrades!$U$17,I42),1)*IF(Upgrades!$T$18="Roche Lobe Overflow",POWER(Upgrades!$U$18,J42),1)*IF(Upgrades!$T$19="Roche Lobe Overflow",POWER(Upgrades!$U$19,K42),1)*IF(Upgrades!$T$20="Roche Lobe Overflow",POWER(Upgrades!$U$20,L42),1)*IF(Upgrades!$T$21="Roche Lobe Overflow",POWER(Upgrades!$U$21,M42),1))+(IF(I42=0,0,(Upgrades!$G$17+I42*Upgrades!$H$17)*POWER(Upgrades!$I$17,I42)))*(IF(Upgrades!$T$13="Brown Dwarf",POWER(Upgrades!$U$13,E42),1)*IF(Upgrades!$T$14="Brown Dwarf",POWER(Upgrades!$U$14,F42),1)*IF(Upgrades!$T$15="Brown Dwarf",POWER(Upgrades!$U$15,G42),1)*IF(Upgrades!$T$16="Brown Dwarf",POWER(Upgrades!$U$16,H42),1)*IF(Upgrades!$T$18="Brown Dwarf",POWER(Upgrades!$U$18,J42),1)*IF(Upgrades!$T$19="Brown Dwarf",POWER(Upgrades!$U$19,K42),1)*IF(Upgrades!$T$20="Brown Dwarf",POWER(Upgrades!$U$20,L42),1)*IF(Upgrades!$T$21="Brown Dwarf",POWER(Upgrades!$U$21,M42),1))+(IF(J42=0,0,(Upgrades!$G$18+J42*Upgrades!$H$18)*POWER(Upgrades!$I$18,J42)))*(IF(Upgrades!$T$13="Binary Partner",POWER(Upgrades!$U$13,E42),1)*IF(Upgrades!$T$14="Binary Partner",POWER(Upgrades!$U$14,F42),1)*IF(Upgrades!$T$15="Binary Partner",POWER(Upgrades!$U$15,G42),1)*IF(Upgrades!$T$16="Binary Partner",POWER(Upgrades!$U$16,H42),1)*IF(Upgrades!$T$17="Binary Partner",POWER(Upgrades!$U$17,I42),1)*IF(Upgrades!$T$19="Binary Partner",POWER(Upgrades!$U$19,K42),1)*IF(Upgrades!$T$20="Binary Partner",POWER(Upgrades!$U$20,L42),1)*IF(Upgrades!$T$21="Binary Partner",POWER(Upgrades!$U$21,M42),1))+(IF(K42=0,0,(Upgrades!$G$19+K42*Upgrades!$H$19)*POWER(Upgrades!$I$19,K42)))*(IF(Upgrades!$T$13="Peculiar Velocity",POWER(Upgrades!$U$13,E42),1)*IF(Upgrades!$T$14="Peculiar Velocity",POWER(Upgrades!$U$14,F42),1)*IF(Upgrades!$T$15="Peculiar Velocity",POWER(Upgrades!$U$15,G42),1)*IF(Upgrades!$T$16="Peculiar Velocity",POWER(Upgrades!$U$16,H42),1)*IF(Upgrades!$T$17="Peculiar Velocity",POWER(Upgrades!$U$17,I42),1)*IF(Upgrades!$T$18="Peculiar Velocity",POWER(Upgrades!$U$18,J42),1)*IF(Upgrades!$T$20="Peculiar Velocity",POWER(Upgrades!$U$20,L42),1)*IF(Upgrades!$T$21="Peculiar Velocity",POWER(Upgrades!$U$21,M42),1))+(IF(L42=0,0,(Upgrades!$G$20+L42*Upgrades!$H$20)*POWER(Upgrades!$I$20,L42)))*(IF(Upgrades!$T$13="Open Cluster",POWER(Upgrades!$U$13,E42),1)*IF(Upgrades!$T$14="Open Cluster",POWER(Upgrades!$U$14,F42),1)*IF(Upgrades!$T$15="Open Cluster",POWER(Upgrades!$U$15,G42),1)*IF(Upgrades!$T$16="Open Cluster",POWER(Upgrades!$U$16,H42),1)*IF(Upgrades!$T$17="Open Cluster",POWER(Upgrades!$U$17,I42),1)*IF(Upgrades!$T$18="Open Cluster",POWER(Upgrades!$U$18,J42),1)*IF(Upgrades!$T$19="Open Cluster",POWER(Upgrades!$U$19,K42),1)*IF(Upgrades!$T$21="Open Cluster",POWER(Upgrades!$U$21,M42),1))+(IF(M42=0,0,(Upgrades!$G$21+M42*Upgrades!$H$21)*POWER(Upgrades!$I$21,M42)))*(IF(Upgrades!$T$13="Moving Group",POWER(Upgrades!$U$13,E42),1)*IF(Upgrades!$T$14="Moving Group",POWER(Upgrades!$U$14,F42),1)*IF(Upgrades!$T$15="Moving Group",POWER(Upgrades!$U$15,G42),1)*IF(Upgrades!$T$16="Moving Group",POWER(Upgrades!$U$16,H42),1)*IF(Upgrades!$T$17="Moving Group",POWER(Upgrades!$U$17,I42),1)*IF(Upgrades!$T$18="Moving Group",POWER(Upgrades!$U$18,J42),1)*IF(Upgrades!$T$19="Moving Group",POWER(Upgrades!$U$19,K42),1)*IF(Upgrades!$T$20="Moving Group",POWER(Upgrades!$U$20,L42),1)))*POWER(Upgrades!$P$13,E42)*POWER(Upgrades!$P$14,F42)*POWER(Upgrades!$P$15,G42)*POWER(Upgrades!$P$16,H42)*POWER(Upgrades!$P$17,I42)*POWER(Upgrades!$P$18,J42)*POWER(Upgrades!$P$19,K42)*POWER(Upgrades!$P$20,L42)*POWER(Upgrades!$P$21,M42)*$F$6+$C$6</f>
        <v/>
      </c>
      <c r="Q42" s="28">
        <f>((IF(E42=0,0,(Upgrades!$M$13+E42*Upgrades!$N$13)*POWER(Upgrades!$O$13,E42)))*(IF(Upgrades!$T$14="Stellar Kinematics",POWER(Upgrades!$U$14,F42),1)*IF(Upgrades!$T$15="Stellar Kinematics",POWER(Upgrades!$U$15,G42),1)*IF(Upgrades!$T$16="Stellar Kinematics",POWER(Upgrades!$U$16,H42),1)*IF(Upgrades!$T$17="Stellar Kinematics",POWER(Upgrades!$U$17,I42),1)*IF(Upgrades!$T$18="Stellar Kinematics",POWER(Upgrades!$U$18,J42),1)*IF(Upgrades!$T$19="Stellar Kinematics",POWER(Upgrades!$U$19,K42),1)*IF(Upgrades!$T$20="Stellar Kinematics",POWER(Upgrades!$U$20,L42),1)*IF(Upgrades!$T$21="Stellar Kinematics",POWER(Upgrades!$U$21,M42),1))+(IF(F42=0,0,(Upgrades!$M$14+F42*Upgrades!$N$14)*POWER(Upgrades!$O$14,F42)))*(IF(Upgrades!$T$13="Local Bubble",POWER(Upgrades!$U$13,E42),1)*IF(Upgrades!$T$15="Local Bubble",POWER(Upgrades!$U$15,G42),1)*IF(Upgrades!$T$16="Local Bubble",POWER(Upgrades!$U$16,H42),1)*IF(Upgrades!$T$17="Local Bubble",POWER(Upgrades!$U$17,I42),1)*IF(Upgrades!$T$18="Local Bubble",POWER(Upgrades!$U$18,J42),1)*IF(Upgrades!$T$19="Local Bubble",POWER(Upgrades!$U$19,K42),1)*IF(Upgrades!$T$20="Local Bubble",POWER(Upgrades!$U$20,L42),1)*IF(Upgrades!$T$21="Local Bubble",POWER(Upgrades!$U$21,M42),1))+(IF(G42=0,0,(Upgrades!$M$15+G42*Upgrades!$N$15)*POWER(Upgrades!$O$15,G42)))*(IF(Upgrades!$T$13="Microlensing",POWER(Upgrades!$U$13,E42),1)*IF(Upgrades!$T$14="Microlensing",POWER(Upgrades!$U$14,F42),1)*IF(Upgrades!$T$16="Microlensing",POWER(Upgrades!$U$16,H42),1)*IF(Upgrades!$T$17="Microlensing",POWER(Upgrades!$U$17,I42),1)*IF(Upgrades!$T$18="Microlensing",POWER(Upgrades!$U$18,J42),1)*IF(Upgrades!$T$19="Microlensing",POWER(Upgrades!$U$19,K42),1)*IF(Upgrades!$T$20="Microlensing",POWER(Upgrades!$U$20,L42),1)*IF(Upgrades!$T$21="Microlensing",POWER(Upgrades!$U$21,M42),1))+(IF(H42=0,0,(Upgrades!$M$16+H42*Upgrades!$N$16)*POWER(Upgrades!$O$16,H42)))*(IF(Upgrades!$T$13="Roche Lobe Overflow",POWER(Upgrades!$U$13,E42),1)*IF(Upgrades!$T$14="Roche Lobe Overflow",POWER(Upgrades!$U$14,F42),1)*IF(Upgrades!$T$15="Roche Lobe Overflow",POWER(Upgrades!$U$15,G42),1)*IF(Upgrades!$T$17="Roche Lobe Overflow",POWER(Upgrades!$U$17,I42),1)*IF(Upgrades!$T$18="Roche Lobe Overflow",POWER(Upgrades!$U$18,J42),1)*IF(Upgrades!$T$19="Roche Lobe Overflow",POWER(Upgrades!$U$19,K42),1)*IF(Upgrades!$T$20="Roche Lobe Overflow",POWER(Upgrades!$U$20,L42),1)*IF(Upgrades!$T$21="Roche Lobe Overflow",POWER(Upgrades!$U$21,M42),1))+(IF(I42=0,0,(Upgrades!$M$17+I42*Upgrades!$N$17)*POWER(Upgrades!$O$17,I42)))*(IF(Upgrades!$T$13="Brown Dwarf",POWER(Upgrades!$U$13,E42),1)*IF(Upgrades!$T$14="Brown Dwarf",POWER(Upgrades!$U$14,F42),1)*IF(Upgrades!$T$15="Brown Dwarf",POWER(Upgrades!$U$15,G42),1)*IF(Upgrades!$T$16="Brown Dwarf",POWER(Upgrades!$U$16,H42),1)*IF(Upgrades!$T$18="Brown Dwarf",POWER(Upgrades!$U$18,J42),1)*IF(Upgrades!$T$19="Brown Dwarf",POWER(Upgrades!$U$19,K42),1)*IF(Upgrades!$T$20="Brown Dwarf",POWER(Upgrades!$U$20,L42),1)*IF(Upgrades!$T$21="Brown Dwarf",POWER(Upgrades!$U$21,M42),1))+(IF(J42=0,0,(Upgrades!$M$18+J42*Upgrades!$N$18)*POWER(Upgrades!$O$18,J42)))*(IF(Upgrades!$T$13="Binary Partner",POWER(Upgrades!$U$13,E42),1)*IF(Upgrades!$T$14="Binary Partner",POWER(Upgrades!$U$14,F42),1)*IF(Upgrades!$T$15="Binary Partner",POWER(Upgrades!$U$15,G42),1)*IF(Upgrades!$T$16="Binary Partner",POWER(Upgrades!$U$16,H42),1)*IF(Upgrades!$T$17="Binary Partner",POWER(Upgrades!$U$17,I42),1)*IF(Upgrades!$T$19="Binary Partner",POWER(Upgrades!$U$19,K42),1)*IF(Upgrades!$T$20="Binary Partner",POWER(Upgrades!$U$20,L42),1)*IF(Upgrades!$T$21="Binary Partner",POWER(Upgrades!$U$21,M42),1))+(IF(K42=0,0,(Upgrades!$M$19+K42*Upgrades!$N$19)*POWER(Upgrades!$O$19,K42)))*(IF(Upgrades!$T$13="Peculiar Velocity",POWER(Upgrades!$U$13,E42),1)*IF(Upgrades!$T$14="Peculiar Velocity",POWER(Upgrades!$U$14,F42),1)*IF(Upgrades!$T$15="Peculiar Velocity",POWER(Upgrades!$U$15,G42),1)*IF(Upgrades!$T$16="Peculiar Velocity",POWER(Upgrades!$U$16,H42),1)*IF(Upgrades!$T$17="Peculiar Velocity",POWER(Upgrades!$U$17,I42),1)*IF(Upgrades!$T$18="Peculiar Velocity",POWER(Upgrades!$U$18,J42),1)*IF(Upgrades!$T$20="Peculiar Velocity",POWER(Upgrades!$U$20,L42),1)*IF(Upgrades!$T$21="Peculiar Velocity",POWER(Upgrades!$U$21,M42),1))+(IF(L42=0,0,(Upgrades!$M$20+L42*Upgrades!$N$20)*POWER(Upgrades!$O$20,L42)))*(IF(Upgrades!$T$13="Open Cluster",POWER(Upgrades!$U$13,E42),1)*IF(Upgrades!$T$14="Open Cluster",POWER(Upgrades!$U$14,F42),1)*IF(Upgrades!$T$15="Open Cluster",POWER(Upgrades!$U$15,G42),1)*IF(Upgrades!$T$16="Open Cluster",POWER(Upgrades!$U$16,H42),1)*IF(Upgrades!$T$17="Open Cluster",POWER(Upgrades!$U$17,I42),1)*IF(Upgrades!$T$18="Open Cluster",POWER(Upgrades!$U$18,J42),1)*IF(Upgrades!$T$19="Open Cluster",POWER(Upgrades!$U$19,K42),1)*IF(Upgrades!$T$21="Open Cluster",POWER(Upgrades!$U$21,M42),1))+(IF(M42=0,0,(Upgrades!$M$21+M42*Upgrades!$N$21)*POWER(Upgrades!$O$21,M42)))*(IF(Upgrades!$T$13="Moving Group",POWER(Upgrades!$U$13,E42),1)*IF(Upgrades!$T$14="Moving Group",POWER(Upgrades!$U$14,F42),1)*IF(Upgrades!$T$15="Moving Group",POWER(Upgrades!$U$15,G42),1)*IF(Upgrades!$T$16="Moving Group",POWER(Upgrades!$U$16,H42),1)*IF(Upgrades!$T$17="Moving Group",POWER(Upgrades!$U$17,I42),1)*IF(Upgrades!$T$18="Moving Group",POWER(Upgrades!$U$18,J42),1)*IF(Upgrades!$T$19="Moving Group",POWER(Upgrades!$U$19,K42),1)*IF(Upgrades!$T$20="Moving Group",POWER(Upgrades!$U$20,L42),1)))*POWER(Upgrades!$R$13,E42)*POWER(Upgrades!$R$14,F42)*POWER(Upgrades!$R$15,G42)*POWER(Upgrades!$R$16,H42)*POWER(Upgrades!$R$17,I42)*POWER(Upgrades!$R$18,J42)*POWER(Upgrades!$R$19,K42)*POWER(Upgrades!$R$20,L42)*POWER(Upgrades!$R$21,M42)*$H$6+$E$6</f>
        <v/>
      </c>
      <c r="R42" s="27">
        <f>IF(N42=1,0,O42*Parameters!$B$10/60*Parameters!$B$11*10)</f>
        <v/>
      </c>
      <c r="S42" s="27">
        <f>IF(N42=1,0,Q42*O42*10)</f>
        <v/>
      </c>
      <c r="T42" s="27">
        <f>IF(N42=1,0,R42+S42+P42*10)</f>
        <v/>
      </c>
      <c r="U42" s="33">
        <f>BE42</f>
        <v/>
      </c>
      <c r="V42" s="22">
        <f>IF(U42="",0,IF(U42="transition",0,IF(U42="SK",AK42,IF(U42="LB",AL42,IF(U42="ML",AM42,IF(U42="RLO",AN42,IF(U42="BD",AO42,IF(U42="BiP",AP42,IF(U42="PV",AQ42,IF(U42="OC",AR42,IF(U42="MG",AS42,0))))))))))</f>
        <v/>
      </c>
      <c r="W42" s="27">
        <f>IF(U42="BiP",Upgrades!$F$18,IF(U42="PV",Upgrades!$F$19,IF(U42="OC",Upgrades!$F$20,IF(U42="MG",Upgrades!$F$21,IF(U42="transition",-Parameters!$B$18*Parameters!$B$19,0)))))</f>
        <v/>
      </c>
      <c r="X42" s="22">
        <f>C42+T42-V42</f>
        <v/>
      </c>
      <c r="Y42" s="30">
        <f>O42*Parameters!$B$10/60*Parameters!$B$11+Q42*O42+P42</f>
        <v/>
      </c>
      <c r="Z42" s="34">
        <f>IF(U42="transition","→ Tier 3 (Galactic Arm)",IF(U42="MG","Moving Group — pocket drifts together",IF(U42="OC","Open Cluster acquired",IF(U42="PV","Peculiar Velocity — passive multiplier active",IF(U42="BiP","Binary Partner — pair bond formed",IF(AND(AU42=1,N42=0,AT42&lt;&gt;1),"Cohesion ready (waiting on completionists)","")))))) </f>
        <v/>
      </c>
      <c r="AA42" s="27">
        <f>(IF(E42=0,0,(Upgrades!$G$13+E42*Upgrades!$H$13)*POWER(Upgrades!$I$13,E42)))*(IF(Upgrades!$T$14="Stellar Kinematics",POWER(Upgrades!$U$14,F42),1)*IF(Upgrades!$T$15="Stellar Kinematics",POWER(Upgrades!$U$15,G42),1)*IF(Upgrades!$T$16="Stellar Kinematics",POWER(Upgrades!$U$16,H42),1)*IF(Upgrades!$T$17="Stellar Kinematics",POWER(Upgrades!$U$17,I42),1)*IF(Upgrades!$T$18="Stellar Kinematics",POWER(Upgrades!$U$18,J42),1)*IF(Upgrades!$T$19="Stellar Kinematics",POWER(Upgrades!$U$19,K42),1)*IF(Upgrades!$T$20="Stellar Kinematics",POWER(Upgrades!$U$20,L42),1)*IF(Upgrades!$T$21="Stellar Kinematics",POWER(Upgrades!$U$21,M42),1))*POWER(Upgrades!$P$13,E42)*POWER(Upgrades!$P$14,F42)*POWER(Upgrades!$P$15,G42)*POWER(Upgrades!$P$16,H42)*POWER(Upgrades!$P$17,I42)*POWER(Upgrades!$P$18,J42)*POWER(Upgrades!$P$19,K42)*POWER(Upgrades!$P$20,L42)*POWER(Upgrades!$P$21,M42)*$F$6*60</f>
        <v/>
      </c>
      <c r="AB42" s="27">
        <f>(IF(F42=0,0,(Upgrades!$G$14+F42*Upgrades!$H$14)*POWER(Upgrades!$I$14,F42)))*(IF(Upgrades!$T$13="Local Bubble",POWER(Upgrades!$U$13,E42),1)*IF(Upgrades!$T$15="Local Bubble",POWER(Upgrades!$U$15,G42),1)*IF(Upgrades!$T$16="Local Bubble",POWER(Upgrades!$U$16,H42),1)*IF(Upgrades!$T$17="Local Bubble",POWER(Upgrades!$U$17,I42),1)*IF(Upgrades!$T$18="Local Bubble",POWER(Upgrades!$U$18,J42),1)*IF(Upgrades!$T$19="Local Bubble",POWER(Upgrades!$U$19,K42),1)*IF(Upgrades!$T$20="Local Bubble",POWER(Upgrades!$U$20,L42),1)*IF(Upgrades!$T$21="Local Bubble",POWER(Upgrades!$U$21,M42),1))*POWER(Upgrades!$P$13,E42)*POWER(Upgrades!$P$14,F42)*POWER(Upgrades!$P$15,G42)*POWER(Upgrades!$P$16,H42)*POWER(Upgrades!$P$17,I42)*POWER(Upgrades!$P$18,J42)*POWER(Upgrades!$P$19,K42)*POWER(Upgrades!$P$20,L42)*POWER(Upgrades!$P$21,M42)*$F$6*60</f>
        <v/>
      </c>
      <c r="AC42" s="27">
        <f>(IF(G42=0,0,(Upgrades!$J$15+G42*Upgrades!$K$15)*POWER(Upgrades!$L$15,G42)))*(IF(Upgrades!$T$13="Microlensing",POWER(Upgrades!$U$13,E42),1)*IF(Upgrades!$T$14="Microlensing",POWER(Upgrades!$U$14,F42),1)*IF(Upgrades!$T$16="Microlensing",POWER(Upgrades!$U$16,H42),1)*IF(Upgrades!$T$17="Microlensing",POWER(Upgrades!$U$17,I42),1)*IF(Upgrades!$T$18="Microlensing",POWER(Upgrades!$U$18,J42),1)*IF(Upgrades!$T$19="Microlensing",POWER(Upgrades!$U$19,K42),1)*IF(Upgrades!$T$20="Microlensing",POWER(Upgrades!$U$20,L42),1)*IF(Upgrades!$T$21="Microlensing",POWER(Upgrades!$U$21,M42),1))*POWER(Upgrades!$Q$13,E42)*POWER(Upgrades!$Q$14,F42)*POWER(Upgrades!$Q$15,G42)*POWER(Upgrades!$Q$16,H42)*POWER(Upgrades!$Q$17,I42)*POWER(Upgrades!$Q$18,J42)*POWER(Upgrades!$Q$19,K42)*POWER(Upgrades!$Q$20,L42)*POWER(Upgrades!$Q$21,M42)*$G$6*(Parameters!$B$10*Parameters!$B$11+Q42*60)</f>
        <v/>
      </c>
      <c r="AD42" s="27">
        <f>(IF(H42=0,0,(Upgrades!$M$16+H42*Upgrades!$N$16)*POWER(Upgrades!$O$16,H42)))*(IF(Upgrades!$T$13="Roche Lobe Overflow",POWER(Upgrades!$U$13,E42),1)*IF(Upgrades!$T$14="Roche Lobe Overflow",POWER(Upgrades!$U$14,F42),1)*IF(Upgrades!$T$15="Roche Lobe Overflow",POWER(Upgrades!$U$15,G42),1)*IF(Upgrades!$T$17="Roche Lobe Overflow",POWER(Upgrades!$U$17,I42),1)*IF(Upgrades!$T$18="Roche Lobe Overflow",POWER(Upgrades!$U$18,J42),1)*IF(Upgrades!$T$19="Roche Lobe Overflow",POWER(Upgrades!$U$19,K42),1)*IF(Upgrades!$T$20="Roche Lobe Overflow",POWER(Upgrades!$U$20,L42),1)*IF(Upgrades!$T$21="Roche Lobe Overflow",POWER(Upgrades!$U$21,M42),1))*POWER(Upgrades!$R$13,E42)*POWER(Upgrades!$R$14,F42)*POWER(Upgrades!$R$15,G42)*POWER(Upgrades!$R$16,H42)*POWER(Upgrades!$R$17,I42)*POWER(Upgrades!$R$18,J42)*POWER(Upgrades!$R$19,K42)*POWER(Upgrades!$R$20,L42)*POWER(Upgrades!$R$21,M42)*$H$6*O42*60</f>
        <v/>
      </c>
      <c r="AE42" s="27">
        <f>(IF(I42=0,0,(Upgrades!$G$17+I42*Upgrades!$H$17)*POWER(Upgrades!$I$17,I42)))*(IF(Upgrades!$T$13="Brown Dwarf",POWER(Upgrades!$U$13,E42),1)*IF(Upgrades!$T$14="Brown Dwarf",POWER(Upgrades!$U$14,F42),1)*IF(Upgrades!$T$15="Brown Dwarf",POWER(Upgrades!$U$15,G42),1)*IF(Upgrades!$T$16="Brown Dwarf",POWER(Upgrades!$U$16,H42),1)*IF(Upgrades!$T$18="Brown Dwarf",POWER(Upgrades!$U$18,J42),1)*IF(Upgrades!$T$19="Brown Dwarf",POWER(Upgrades!$U$19,K42),1)*IF(Upgrades!$T$20="Brown Dwarf",POWER(Upgrades!$U$20,L42),1)*IF(Upgrades!$T$21="Brown Dwarf",POWER(Upgrades!$U$21,M42),1))*POWER(Upgrades!$P$13,E42)*POWER(Upgrades!$P$14,F42)*POWER(Upgrades!$P$15,G42)*POWER(Upgrades!$P$16,H42)*POWER(Upgrades!$P$17,I42)*POWER(Upgrades!$P$18,J42)*POWER(Upgrades!$P$19,K42)*POWER(Upgrades!$P$20,L42)*POWER(Upgrades!$P$21,M42)*$F$6*60</f>
        <v/>
      </c>
      <c r="AF42" s="27" t="n">
        <v>0</v>
      </c>
      <c r="AG42" s="27" t="n">
        <v>0</v>
      </c>
      <c r="AH42" s="27" t="n">
        <v>0</v>
      </c>
      <c r="AI42" s="27">
        <f>(IF(M42=0,0,(Upgrades!$G$21+M42*Upgrades!$H$21)*POWER(Upgrades!$I$21,M42)))*(IF(Upgrades!$T$13="Moving Group",POWER(Upgrades!$U$13,E42),1)*IF(Upgrades!$T$14="Moving Group",POWER(Upgrades!$U$14,F42),1)*IF(Upgrades!$T$15="Moving Group",POWER(Upgrades!$U$15,G42),1)*IF(Upgrades!$T$16="Moving Group",POWER(Upgrades!$U$16,H42),1)*IF(Upgrades!$T$17="Moving Group",POWER(Upgrades!$U$17,I42),1)*IF(Upgrades!$T$18="Moving Group",POWER(Upgrades!$U$18,J42),1)*IF(Upgrades!$T$19="Moving Group",POWER(Upgrades!$U$19,K42),1)*IF(Upgrades!$T$20="Moving Group",POWER(Upgrades!$U$20,L42),1))*POWER(Upgrades!$P$13,E42)*POWER(Upgrades!$P$14,F42)*POWER(Upgrades!$P$15,G42)*POWER(Upgrades!$P$16,H42)*POWER(Upgrades!$P$17,I42)*POWER(Upgrades!$P$18,J42)*POWER(Upgrades!$P$19,K42)*POWER(Upgrades!$P$20,L42)*POWER(Upgrades!$P$21,M42)*$F$6*60</f>
        <v/>
      </c>
      <c r="AJ42" s="27">
        <f>$C$6*60</f>
        <v/>
      </c>
      <c r="AK42" s="22">
        <f>IF(E42&gt;=Upgrades!$E$13,"",Upgrades!$C$13*POWER(Upgrades!$D$13,E42))</f>
        <v/>
      </c>
      <c r="AL42" s="22">
        <f>IF(F42&gt;=Upgrades!$E$14,"",Upgrades!$C$14*POWER(Upgrades!$D$14,F42))</f>
        <v/>
      </c>
      <c r="AM42" s="22">
        <f>IF(G42&gt;=Upgrades!$E$15,"",Upgrades!$C$15*POWER(Upgrades!$D$15,G42))</f>
        <v/>
      </c>
      <c r="AN42" s="22">
        <f>IF(H42&gt;=Upgrades!$E$16,"",Upgrades!$C$16*POWER(Upgrades!$D$16,H42))</f>
        <v/>
      </c>
      <c r="AO42" s="22">
        <f>IF(I42&gt;=Upgrades!$E$17,"",Upgrades!$C$17*POWER(Upgrades!$D$17,I42))</f>
        <v/>
      </c>
      <c r="AP42" s="22">
        <f>IF(J42&gt;=Upgrades!$E$18,"",Upgrades!$C$18*POWER(Upgrades!$D$18,J42))</f>
        <v/>
      </c>
      <c r="AQ42" s="22">
        <f>IF(K42&gt;=Upgrades!$E$19,"",Upgrades!$C$19*POWER(Upgrades!$D$19,K42))</f>
        <v/>
      </c>
      <c r="AR42" s="22">
        <f>IF(L42&gt;=Upgrades!$E$20,"",Upgrades!$C$20*POWER(Upgrades!$D$20,L42))</f>
        <v/>
      </c>
      <c r="AS42" s="22">
        <f>IF(M42&gt;=Upgrades!$E$21,"",Upgrades!$C$21*POWER(Upgrades!$D$21,M42))</f>
        <v/>
      </c>
      <c r="AT42" s="26">
        <f>IF(AND(D42&gt;=Parameters!$B$18*Parameters!$B$19,(I42&gt;=Upgrades!$E$17)*(M42&gt;=Upgrades!$E$21)=1,N42=0),1,"")</f>
        <v/>
      </c>
      <c r="AU42" s="26">
        <f>IF(AND(D42&gt;=Parameters!$B$18*Parameters!$B$19,N42=0),1,"")</f>
        <v/>
      </c>
      <c r="AV42" s="22">
        <f>MIN(IF(ISNUMBER(AP42),AP42,9E15),IF(ISNUMBER(AQ42),AQ42,9E15),IF(ISNUMBER(AR42),AR42,9E15),IF(ISNUMBER(AS42),AS42,9E15))</f>
        <v/>
      </c>
      <c r="AW42" s="22">
        <f>MIN(IF(ISNUMBER(AK42),AK42,9E15),IF(ISNUMBER(AL42),AL42,9E15),IF(ISNUMBER(AM42),AM42,9E15),IF(ISNUMBER(AN42),AN42,9E15),IF(ISNUMBER(AO42),AO42,9E15))</f>
        <v/>
      </c>
      <c r="AX42" s="29">
        <f>IF(BD42&gt;Parameters!$B$21*(MAX(IF(AND(NOT(AND(AU42=1,AT42&lt;&gt;1)),ISNUMBER(AK42),AK42&lt;=(C42+T42)),AY42,0),IF(AND(NOT(AND(AU42=1,AT42&lt;&gt;1)),ISNUMBER(AL42),AL42&lt;=(C42+T42)),AZ42,0),IF(AND(NOT(AND(AU42=1,AT42&lt;&gt;1)),ISNUMBER(AM42),AM42&lt;=(C42+T42)),BA42,0),IF(AND(NOT(AND(AU42=1,AT42&lt;&gt;1)),ISNUMBER(AN42),AN42&lt;=(C42+T42)),BB42,0),IF(AND(ISNUMBER(AO42),AO42&lt;=(C42+T42)),BC42,0))),TRUE,FALSE)</f>
        <v/>
      </c>
      <c r="AY42" s="32">
        <f>IFERROR(Upgrades!$H$13*(POWER(Upgrades!$P$13,E42)*POWER(Upgrades!$P$14,F42)*POWER(Upgrades!$P$15,G42)*POWER(Upgrades!$P$16,H42)*POWER(Upgrades!$P$17,I42)*POWER(Upgrades!$P$18,J42)*POWER(Upgrades!$P$19,K42)*POWER(Upgrades!$P$20,L42)*POWER(Upgrades!$P$21,M42))*(IF(Upgrades!$T$14="Stellar Kinematics",POWER(Upgrades!$U$14,F42),1)*IF(Upgrades!$T$15="Stellar Kinematics",POWER(Upgrades!$U$15,G42),1)*IF(Upgrades!$T$16="Stellar Kinematics",POWER(Upgrades!$U$16,H42),1)*IF(Upgrades!$T$17="Stellar Kinematics",POWER(Upgrades!$U$17,I42),1)*IF(Upgrades!$T$18="Stellar Kinematics",POWER(Upgrades!$U$18,J42),1)*IF(Upgrades!$T$19="Stellar Kinematics",POWER(Upgrades!$U$19,K42),1)*IF(Upgrades!$T$20="Stellar Kinematics",POWER(Upgrades!$U$20,L42),1)*IF(Upgrades!$T$21="Stellar Kinematics",POWER(Upgrades!$U$21,M42),1))*$F$6/AK42,0)</f>
        <v/>
      </c>
      <c r="AZ42" s="32">
        <f>IFERROR(Upgrades!$H$14*(POWER(Upgrades!$P$13,E42)*POWER(Upgrades!$P$14,F42)*POWER(Upgrades!$P$15,G42)*POWER(Upgrades!$P$16,H42)*POWER(Upgrades!$P$17,I42)*POWER(Upgrades!$P$18,J42)*POWER(Upgrades!$P$19,K42)*POWER(Upgrades!$P$20,L42)*POWER(Upgrades!$P$21,M42))*(IF(Upgrades!$T$13="Local Bubble",POWER(Upgrades!$U$13,E42),1)*IF(Upgrades!$T$15="Local Bubble",POWER(Upgrades!$U$15,G42),1)*IF(Upgrades!$T$16="Local Bubble",POWER(Upgrades!$U$16,H42),1)*IF(Upgrades!$T$17="Local Bubble",POWER(Upgrades!$U$17,I42),1)*IF(Upgrades!$T$18="Local Bubble",POWER(Upgrades!$U$18,J42),1)*IF(Upgrades!$T$19="Local Bubble",POWER(Upgrades!$U$19,K42),1)*IF(Upgrades!$T$20="Local Bubble",POWER(Upgrades!$U$20,L42),1)*IF(Upgrades!$T$21="Local Bubble",POWER(Upgrades!$U$21,M42),1))*$F$6/AL42,0)</f>
        <v/>
      </c>
      <c r="BA42" s="32">
        <f>IFERROR(Upgrades!$K$15*(POWER(Upgrades!$Q$13,E42)*POWER(Upgrades!$Q$14,F42)*POWER(Upgrades!$Q$15,G42)*POWER(Upgrades!$Q$16,H42)*POWER(Upgrades!$Q$17,I42)*POWER(Upgrades!$Q$18,J42)*POWER(Upgrades!$Q$19,K42)*POWER(Upgrades!$Q$20,L42)*POWER(Upgrades!$Q$21,M42))*(IF(Upgrades!$T$13="Microlensing",POWER(Upgrades!$U$13,E42),1)*IF(Upgrades!$T$14="Microlensing",POWER(Upgrades!$U$14,F42),1)*IF(Upgrades!$T$16="Microlensing",POWER(Upgrades!$U$16,H42),1)*IF(Upgrades!$T$17="Microlensing",POWER(Upgrades!$U$17,I42),1)*IF(Upgrades!$T$18="Microlensing",POWER(Upgrades!$U$18,J42),1)*IF(Upgrades!$T$19="Microlensing",POWER(Upgrades!$U$19,K42),1)*IF(Upgrades!$T$20="Microlensing",POWER(Upgrades!$U$20,L42),1)*IF(Upgrades!$T$21="Microlensing",POWER(Upgrades!$U$21,M42),1))*$G$6*(Parameters!$B$10/60*Parameters!$B$11+Q42)/AM42,0)</f>
        <v/>
      </c>
      <c r="BB42" s="32">
        <f>IFERROR((Upgrades!$N$16*(POWER(Upgrades!$R$13,E42)*POWER(Upgrades!$R$14,F42)*POWER(Upgrades!$R$15,G42)*POWER(Upgrades!$R$16,H42)*POWER(Upgrades!$R$17,I42)*POWER(Upgrades!$R$18,J42)*POWER(Upgrades!$R$19,K42)*POWER(Upgrades!$R$20,L42)*POWER(Upgrades!$R$21,M42))*(IF(Upgrades!$T$13="Roche Lobe Overflow",POWER(Upgrades!$U$13,E42),1)*IF(Upgrades!$T$14="Roche Lobe Overflow",POWER(Upgrades!$U$14,F42),1)*IF(Upgrades!$T$15="Roche Lobe Overflow",POWER(Upgrades!$U$15,G42),1)*IF(Upgrades!$T$17="Roche Lobe Overflow",POWER(Upgrades!$U$17,I42),1)*IF(Upgrades!$T$18="Roche Lobe Overflow",POWER(Upgrades!$U$18,J42),1)*IF(Upgrades!$T$19="Roche Lobe Overflow",POWER(Upgrades!$U$19,K42),1)*IF(Upgrades!$T$20="Roche Lobe Overflow",POWER(Upgrades!$U$20,L42),1)*IF(Upgrades!$T$21="Roche Lobe Overflow",POWER(Upgrades!$U$21,M42),1))*$H$6*O42+((IF(F42=0,0,(Upgrades!$G$14+F42*Upgrades!$H$14)*POWER(Upgrades!$I$14,F42)))*(IF(Upgrades!$T$13="Local Bubble",POWER(Upgrades!$U$13,E42),1)*IF(Upgrades!$T$15="Local Bubble",POWER(Upgrades!$U$15,G42),1)*IF(Upgrades!$T$16="Local Bubble",POWER(Upgrades!$U$16,H42),1)*IF(Upgrades!$T$17="Local Bubble",POWER(Upgrades!$U$17,I42),1)*IF(Upgrades!$T$18="Local Bubble",POWER(Upgrades!$U$18,J42),1)*IF(Upgrades!$T$19="Local Bubble",POWER(Upgrades!$U$19,K42),1)*IF(Upgrades!$T$20="Local Bubble",POWER(Upgrades!$U$20,L42),1)*IF(Upgrades!$T$21="Local Bubble",POWER(Upgrades!$U$21,M42),1))*POWER(Upgrades!$P$13,E42)*POWER(Upgrades!$P$14,F42)*POWER(Upgrades!$P$15,G42)*POWER(Upgrades!$P$16,H42)*POWER(Upgrades!$P$17,I42)*POWER(Upgrades!$P$18,J42)*POWER(Upgrades!$P$19,K42)*POWER(Upgrades!$P$20,L42)*POWER(Upgrades!$P$21,M42)*$F$6)*0.05)/AN42,0)</f>
        <v/>
      </c>
      <c r="BC42" s="32">
        <f>IFERROR((Upgrades!$H$17*(POWER(Upgrades!$P$13,E42)*POWER(Upgrades!$P$14,F42)*POWER(Upgrades!$P$15,G42)*POWER(Upgrades!$P$16,H42)*POWER(Upgrades!$P$17,I42)*POWER(Upgrades!$P$18,J42)*POWER(Upgrades!$P$19,K42)*POWER(Upgrades!$P$20,L42)*POWER(Upgrades!$P$21,M42))*(IF(Upgrades!$T$13="Brown Dwarf",POWER(Upgrades!$U$13,E42),1)*IF(Upgrades!$T$14="Brown Dwarf",POWER(Upgrades!$U$14,F42),1)*IF(Upgrades!$T$15="Brown Dwarf",POWER(Upgrades!$U$15,G42),1)*IF(Upgrades!$T$16="Brown Dwarf",POWER(Upgrades!$U$16,H42),1)*IF(Upgrades!$T$18="Brown Dwarf",POWER(Upgrades!$U$18,J42),1)*IF(Upgrades!$T$19="Brown Dwarf",POWER(Upgrades!$U$19,K42),1)*IF(Upgrades!$T$20="Brown Dwarf",POWER(Upgrades!$U$20,L42),1)*IF(Upgrades!$T$21="Brown Dwarf",POWER(Upgrades!$U$21,M42),1))*$F$6+(((IF(H42=0,0,(Upgrades!$M$16+H42*Upgrades!$N$16)*POWER(Upgrades!$O$16,H42)))*(IF(Upgrades!$T$13="Roche Lobe Overflow",POWER(Upgrades!$U$13,E42),1)*IF(Upgrades!$T$14="Roche Lobe Overflow",POWER(Upgrades!$U$14,F42),1)*IF(Upgrades!$T$15="Roche Lobe Overflow",POWER(Upgrades!$U$15,G42),1)*IF(Upgrades!$T$17="Roche Lobe Overflow",POWER(Upgrades!$U$17,I42),1)*IF(Upgrades!$T$18="Roche Lobe Overflow",POWER(Upgrades!$U$18,J42),1)*IF(Upgrades!$T$19="Roche Lobe Overflow",POWER(Upgrades!$U$19,K42),1)*IF(Upgrades!$T$20="Roche Lobe Overflow",POWER(Upgrades!$U$20,L42),1)*IF(Upgrades!$T$21="Roche Lobe Overflow",POWER(Upgrades!$U$21,M42),1))*POWER(Upgrades!$R$13,E42)*POWER(Upgrades!$R$14,F42)*POWER(Upgrades!$R$15,G42)*POWER(Upgrades!$R$16,H42)*POWER(Upgrades!$R$17,I42)*POWER(Upgrades!$R$18,J42)*POWER(Upgrades!$R$19,K42)*POWER(Upgrades!$R$20,L42)*POWER(Upgrades!$R$21,M42)*$H$6)*O42)*0.10)/AO42,0)</f>
        <v/>
      </c>
      <c r="BD42" s="32">
        <f>MAX(IF(J42&gt;0,0,IFERROR(0.5*((IF(G42=0,0,(Upgrades!$J$15+G42*Upgrades!$K$15)*POWER(Upgrades!$L$15,G42)))*(IF(Upgrades!$T$13="Microlensing",POWER(Upgrades!$U$13,E42),1)*IF(Upgrades!$T$14="Microlensing",POWER(Upgrades!$U$14,F42),1)*IF(Upgrades!$T$16="Microlensing",POWER(Upgrades!$U$16,H42),1)*IF(Upgrades!$T$17="Microlensing",POWER(Upgrades!$U$17,I42),1)*IF(Upgrades!$T$18="Microlensing",POWER(Upgrades!$U$18,J42),1)*IF(Upgrades!$T$19="Microlensing",POWER(Upgrades!$U$19,K42),1)*IF(Upgrades!$T$20="Microlensing",POWER(Upgrades!$U$20,L42),1)*IF(Upgrades!$T$21="Microlensing",POWER(Upgrades!$U$21,M42),1))*(POWER(Upgrades!$Q$13,E42)*POWER(Upgrades!$Q$14,F42)*POWER(Upgrades!$Q$15,G42)*POWER(Upgrades!$Q$16,H42)*POWER(Upgrades!$Q$17,I42)*POWER(Upgrades!$Q$18,J42)*POWER(Upgrades!$Q$19,K42)*POWER(Upgrades!$Q$20,L42)*POWER(Upgrades!$Q$21,M42))*$G$6*(Parameters!$B$10/60*Parameters!$B$11+Q42))/Upgrades!$C$18,0)),IF(K42&gt;0,0,IFERROR(0.30*P42/Upgrades!$C$19,0)),IF(L42&gt;0,0,IFERROR(0.0001/Upgrades!$C$20,0)),IF(M42&gt;0,0,IFERROR((6.0*(POWER(Upgrades!$P$13,E42)*POWER(Upgrades!$P$14,F42)*POWER(Upgrades!$P$15,G42)*POWER(Upgrades!$P$16,H42)*POWER(Upgrades!$P$17,I42)*POWER(Upgrades!$P$18,J42)*POWER(Upgrades!$P$19,K42)*POWER(Upgrades!$P$20,L42)*POWER(Upgrades!$P$21,M42))*$F$6+0.20*O42*(Parameters!$B$10/60*Parameters!$B$11+Q42))/Upgrades!$C$21,0)),IF(AND(ISNUMBER(AK42),AK42&gt;(C42+T42)),AY42,0),IF(AND(ISNUMBER(AL42),AL42&gt;(C42+T42)),AZ42,0),IF(AND(ISNUMBER(AM42),AM42&gt;(C42+T42)),BA42,0),IF(AND(ISNUMBER(AN42),AN42&gt;(C42+T42)),BB42,0),IF(AND(ISNUMBER(AO42),AO42&gt;(C42+T42)),BC42,0))</f>
        <v/>
      </c>
      <c r="BE42" s="29">
        <f>IF(AT42=1,"transition",IF(MIN(IF(AND(J42=0,ISNUMBER(AP42),AP42&lt;=(C42+T42)),AP42,9E15),IF(AND(K42=0,ISNUMBER(AQ42),AQ42&lt;=(C42+T42)),AQ42,9E15),IF(AND(L42=0,ISNUMBER(AR42),AR42&lt;=(C42+T42)),AR42,9E15),IF(AND(M42=0,ISNUMBER(AS42),AS42&lt;=(C42+T42)),AS42,9E15))&lt;9E15,IF(AND(AND(J42=0,ISNUMBER(AP42),AP42&lt;=(C42+T42)),AP42=MIN(IF(AND(J42=0,ISNUMBER(AP42),AP42&lt;=(C42+T42)),AP42,9E15),IF(AND(K42=0,ISNUMBER(AQ42),AQ42&lt;=(C42+T42)),AQ42,9E15),IF(AND(L42=0,ISNUMBER(AR42),AR42&lt;=(C42+T42)),AR42,9E15),IF(AND(M42=0,ISNUMBER(AS42),AS42&lt;=(C42+T42)),AS42,9E15))),"BiP",IF(AND(AND(K42=0,ISNUMBER(AQ42),AQ42&lt;=(C42+T42)),AQ42=MIN(IF(AND(J42=0,ISNUMBER(AP42),AP42&lt;=(C42+T42)),AP42,9E15),IF(AND(K42=0,ISNUMBER(AQ42),AQ42&lt;=(C42+T42)),AQ42,9E15),IF(AND(L42=0,ISNUMBER(AR42),AR42&lt;=(C42+T42)),AR42,9E15),IF(AND(M42=0,ISNUMBER(AS42),AS42&lt;=(C42+T42)),AS42,9E15))),"PV",IF(AND(AND(L42=0,ISNUMBER(AR42),AR42&lt;=(C42+T42)),AR42=MIN(IF(AND(J42=0,ISNUMBER(AP42),AP42&lt;=(C42+T42)),AP42,9E15),IF(AND(K42=0,ISNUMBER(AQ42),AQ42&lt;=(C42+T42)),AQ42,9E15),IF(AND(L42=0,ISNUMBER(AR42),AR42&lt;=(C42+T42)),AR42,9E15),IF(AND(M42=0,ISNUMBER(AS42),AS42&lt;=(C42+T42)),AS42,9E15))),"OC","MG"))),IF(AX42=TRUE,"",IF(MAX(IF(AND(NOT(AND(AU42=1,AT42&lt;&gt;1)),ISNUMBER(AK42),AK42&lt;=(C42+T42)),AY42,0),IF(AND(NOT(AND(AU42=1,AT42&lt;&gt;1)),ISNUMBER(AL42),AL42&lt;=(C42+T42)),AZ42,0),IF(AND(NOT(AND(AU42=1,AT42&lt;&gt;1)),ISNUMBER(AM42),AM42&lt;=(C42+T42)),BA42,0),IF(AND(NOT(AND(AU42=1,AT42&lt;&gt;1)),ISNUMBER(AN42),AN42&lt;=(C42+T42)),BB42,0),IF(AND(ISNUMBER(AO42),AO42&lt;=(C42+T42)),BC42,0))&lt;=0,"",IF(AND(IF(AND(NOT(AND(AU42=1,AT42&lt;&gt;1)),ISNUMBER(AK42),AK42&lt;=(C42+T42)),AY42,0)&gt;0,IF(AND(NOT(AND(AU42=1,AT42&lt;&gt;1)),ISNUMBER(AK42),AK42&lt;=(C42+T42)),AY42,0)=MAX(IF(AND(NOT(AND(AU42=1,AT42&lt;&gt;1)),ISNUMBER(AK42),AK42&lt;=(C42+T42)),AY42,0),IF(AND(NOT(AND(AU42=1,AT42&lt;&gt;1)),ISNUMBER(AL42),AL42&lt;=(C42+T42)),AZ42,0),IF(AND(NOT(AND(AU42=1,AT42&lt;&gt;1)),ISNUMBER(AM42),AM42&lt;=(C42+T42)),BA42,0),IF(AND(NOT(AND(AU42=1,AT42&lt;&gt;1)),ISNUMBER(AN42),AN42&lt;=(C42+T42)),BB42,0),IF(AND(ISNUMBER(AO42),AO42&lt;=(C42+T42)),BC42,0))),"SK",IF(AND(IF(AND(NOT(AND(AU42=1,AT42&lt;&gt;1)),ISNUMBER(AL42),AL42&lt;=(C42+T42)),AZ42,0)&gt;0,IF(AND(NOT(AND(AU42=1,AT42&lt;&gt;1)),ISNUMBER(AL42),AL42&lt;=(C42+T42)),AZ42,0)=MAX(IF(AND(NOT(AND(AU42=1,AT42&lt;&gt;1)),ISNUMBER(AK42),AK42&lt;=(C42+T42)),AY42,0),IF(AND(NOT(AND(AU42=1,AT42&lt;&gt;1)),ISNUMBER(AL42),AL42&lt;=(C42+T42)),AZ42,0),IF(AND(NOT(AND(AU42=1,AT42&lt;&gt;1)),ISNUMBER(AM42),AM42&lt;=(C42+T42)),BA42,0),IF(AND(NOT(AND(AU42=1,AT42&lt;&gt;1)),ISNUMBER(AN42),AN42&lt;=(C42+T42)),BB42,0),IF(AND(ISNUMBER(AO42),AO42&lt;=(C42+T42)),BC42,0))),"LB",IF(AND(IF(AND(NOT(AND(AU42=1,AT42&lt;&gt;1)),ISNUMBER(AM42),AM42&lt;=(C42+T42)),BA42,0)&gt;0,IF(AND(NOT(AND(AU42=1,AT42&lt;&gt;1)),ISNUMBER(AM42),AM42&lt;=(C42+T42)),BA42,0)=MAX(IF(AND(NOT(AND(AU42=1,AT42&lt;&gt;1)),ISNUMBER(AK42),AK42&lt;=(C42+T42)),AY42,0),IF(AND(NOT(AND(AU42=1,AT42&lt;&gt;1)),ISNUMBER(AL42),AL42&lt;=(C42+T42)),AZ42,0),IF(AND(NOT(AND(AU42=1,AT42&lt;&gt;1)),ISNUMBER(AM42),AM42&lt;=(C42+T42)),BA42,0),IF(AND(NOT(AND(AU42=1,AT42&lt;&gt;1)),ISNUMBER(AN42),AN42&lt;=(C42+T42)),BB42,0),IF(AND(ISNUMBER(AO42),AO42&lt;=(C42+T42)),BC42,0))),"ML",IF(AND(IF(AND(NOT(AND(AU42=1,AT42&lt;&gt;1)),ISNUMBER(AN42),AN42&lt;=(C42+T42)),BB42,0)&gt;0,IF(AND(NOT(AND(AU42=1,AT42&lt;&gt;1)),ISNUMBER(AN42),AN42&lt;=(C42+T42)),BB42,0)=MAX(IF(AND(NOT(AND(AU42=1,AT42&lt;&gt;1)),ISNUMBER(AK42),AK42&lt;=(C42+T42)),AY42,0),IF(AND(NOT(AND(AU42=1,AT42&lt;&gt;1)),ISNUMBER(AL42),AL42&lt;=(C42+T42)),AZ42,0),IF(AND(NOT(AND(AU42=1,AT42&lt;&gt;1)),ISNUMBER(AM42),AM42&lt;=(C42+T42)),BA42,0),IF(AND(NOT(AND(AU42=1,AT42&lt;&gt;1)),ISNUMBER(AN42),AN42&lt;=(C42+T42)),BB42,0),IF(AND(ISNUMBER(AO42),AO42&lt;=(C42+T42)),BC42,0))),"RLO","BD"))))))))</f>
        <v/>
      </c>
    </row>
    <row r="43">
      <c r="A43" s="26" t="n">
        <v>32</v>
      </c>
      <c r="B43" s="27">
        <f>A43*10/60</f>
        <v/>
      </c>
      <c r="C43" s="22">
        <f>X42</f>
        <v/>
      </c>
      <c r="D43" s="27">
        <f>D42+W42</f>
        <v/>
      </c>
      <c r="E43" s="26">
        <f>E42+IF(U42="SK",1,0)</f>
        <v/>
      </c>
      <c r="F43" s="26">
        <f>F42+IF(U42="LB",1,0)</f>
        <v/>
      </c>
      <c r="G43" s="26">
        <f>G42+IF(U42="ML",1,0)</f>
        <v/>
      </c>
      <c r="H43" s="26">
        <f>H42+IF(U42="RLO",1,0)</f>
        <v/>
      </c>
      <c r="I43" s="26">
        <f>I42+IF(U42="BD",1,0)</f>
        <v/>
      </c>
      <c r="J43" s="26">
        <f>MAX(J42,IF(U42="BiP",1,0))</f>
        <v/>
      </c>
      <c r="K43" s="26">
        <f>MAX(K42,IF(U42="PV",1,0))</f>
        <v/>
      </c>
      <c r="L43" s="26">
        <f>MAX(L42,IF(U42="OC",1,0))</f>
        <v/>
      </c>
      <c r="M43" s="26">
        <f>MAX(M42,IF(U42="MG",1,0))</f>
        <v/>
      </c>
      <c r="N43" s="26">
        <f>MAX(N42,IF(U42="transition",1,0))</f>
        <v/>
      </c>
      <c r="O43" s="28">
        <f>(Parameters!$B$9+(IF(E43=0,0,(Upgrades!$J$13+E43*Upgrades!$K$13)*POWER(Upgrades!$L$13,E43)))*(IF(Upgrades!$T$14="Stellar Kinematics",POWER(Upgrades!$U$14,F43),1)*IF(Upgrades!$T$15="Stellar Kinematics",POWER(Upgrades!$U$15,G43),1)*IF(Upgrades!$T$16="Stellar Kinematics",POWER(Upgrades!$U$16,H43),1)*IF(Upgrades!$T$17="Stellar Kinematics",POWER(Upgrades!$U$17,I43),1)*IF(Upgrades!$T$18="Stellar Kinematics",POWER(Upgrades!$U$18,J43),1)*IF(Upgrades!$T$19="Stellar Kinematics",POWER(Upgrades!$U$19,K43),1)*IF(Upgrades!$T$20="Stellar Kinematics",POWER(Upgrades!$U$20,L43),1)*IF(Upgrades!$T$21="Stellar Kinematics",POWER(Upgrades!$U$21,M43),1))+(IF(F43=0,0,(Upgrades!$J$14+F43*Upgrades!$K$14)*POWER(Upgrades!$L$14,F43)))*(IF(Upgrades!$T$13="Local Bubble",POWER(Upgrades!$U$13,E43),1)*IF(Upgrades!$T$15="Local Bubble",POWER(Upgrades!$U$15,G43),1)*IF(Upgrades!$T$16="Local Bubble",POWER(Upgrades!$U$16,H43),1)*IF(Upgrades!$T$17="Local Bubble",POWER(Upgrades!$U$17,I43),1)*IF(Upgrades!$T$18="Local Bubble",POWER(Upgrades!$U$18,J43),1)*IF(Upgrades!$T$19="Local Bubble",POWER(Upgrades!$U$19,K43),1)*IF(Upgrades!$T$20="Local Bubble",POWER(Upgrades!$U$20,L43),1)*IF(Upgrades!$T$21="Local Bubble",POWER(Upgrades!$U$21,M43),1))+(IF(G43=0,0,(Upgrades!$J$15+G43*Upgrades!$K$15)*POWER(Upgrades!$L$15,G43)))*(IF(Upgrades!$T$13="Microlensing",POWER(Upgrades!$U$13,E43),1)*IF(Upgrades!$T$14="Microlensing",POWER(Upgrades!$U$14,F43),1)*IF(Upgrades!$T$16="Microlensing",POWER(Upgrades!$U$16,H43),1)*IF(Upgrades!$T$17="Microlensing",POWER(Upgrades!$U$17,I43),1)*IF(Upgrades!$T$18="Microlensing",POWER(Upgrades!$U$18,J43),1)*IF(Upgrades!$T$19="Microlensing",POWER(Upgrades!$U$19,K43),1)*IF(Upgrades!$T$20="Microlensing",POWER(Upgrades!$U$20,L43),1)*IF(Upgrades!$T$21="Microlensing",POWER(Upgrades!$U$21,M43),1))+(IF(H43=0,0,(Upgrades!$J$16+H43*Upgrades!$K$16)*POWER(Upgrades!$L$16,H43)))*(IF(Upgrades!$T$13="Roche Lobe Overflow",POWER(Upgrades!$U$13,E43),1)*IF(Upgrades!$T$14="Roche Lobe Overflow",POWER(Upgrades!$U$14,F43),1)*IF(Upgrades!$T$15="Roche Lobe Overflow",POWER(Upgrades!$U$15,G43),1)*IF(Upgrades!$T$17="Roche Lobe Overflow",POWER(Upgrades!$U$17,I43),1)*IF(Upgrades!$T$18="Roche Lobe Overflow",POWER(Upgrades!$U$18,J43),1)*IF(Upgrades!$T$19="Roche Lobe Overflow",POWER(Upgrades!$U$19,K43),1)*IF(Upgrades!$T$20="Roche Lobe Overflow",POWER(Upgrades!$U$20,L43),1)*IF(Upgrades!$T$21="Roche Lobe Overflow",POWER(Upgrades!$U$21,M43),1))+(IF(I43=0,0,(Upgrades!$J$17+I43*Upgrades!$K$17)*POWER(Upgrades!$L$17,I43)))*(IF(Upgrades!$T$13="Brown Dwarf",POWER(Upgrades!$U$13,E43),1)*IF(Upgrades!$T$14="Brown Dwarf",POWER(Upgrades!$U$14,F43),1)*IF(Upgrades!$T$15="Brown Dwarf",POWER(Upgrades!$U$15,G43),1)*IF(Upgrades!$T$16="Brown Dwarf",POWER(Upgrades!$U$16,H43),1)*IF(Upgrades!$T$18="Brown Dwarf",POWER(Upgrades!$U$18,J43),1)*IF(Upgrades!$T$19="Brown Dwarf",POWER(Upgrades!$U$19,K43),1)*IF(Upgrades!$T$20="Brown Dwarf",POWER(Upgrades!$U$20,L43),1)*IF(Upgrades!$T$21="Brown Dwarf",POWER(Upgrades!$U$21,M43),1))+(IF(J43=0,0,(Upgrades!$J$18+J43*Upgrades!$K$18)*POWER(Upgrades!$L$18,J43)))*(IF(Upgrades!$T$13="Binary Partner",POWER(Upgrades!$U$13,E43),1)*IF(Upgrades!$T$14="Binary Partner",POWER(Upgrades!$U$14,F43),1)*IF(Upgrades!$T$15="Binary Partner",POWER(Upgrades!$U$15,G43),1)*IF(Upgrades!$T$16="Binary Partner",POWER(Upgrades!$U$16,H43),1)*IF(Upgrades!$T$17="Binary Partner",POWER(Upgrades!$U$17,I43),1)*IF(Upgrades!$T$19="Binary Partner",POWER(Upgrades!$U$19,K43),1)*IF(Upgrades!$T$20="Binary Partner",POWER(Upgrades!$U$20,L43),1)*IF(Upgrades!$T$21="Binary Partner",POWER(Upgrades!$U$21,M43),1))+(IF(K43=0,0,(Upgrades!$J$19+K43*Upgrades!$K$19)*POWER(Upgrades!$L$19,K43)))*(IF(Upgrades!$T$13="Peculiar Velocity",POWER(Upgrades!$U$13,E43),1)*IF(Upgrades!$T$14="Peculiar Velocity",POWER(Upgrades!$U$14,F43),1)*IF(Upgrades!$T$15="Peculiar Velocity",POWER(Upgrades!$U$15,G43),1)*IF(Upgrades!$T$16="Peculiar Velocity",POWER(Upgrades!$U$16,H43),1)*IF(Upgrades!$T$17="Peculiar Velocity",POWER(Upgrades!$U$17,I43),1)*IF(Upgrades!$T$18="Peculiar Velocity",POWER(Upgrades!$U$18,J43),1)*IF(Upgrades!$T$20="Peculiar Velocity",POWER(Upgrades!$U$20,L43),1)*IF(Upgrades!$T$21="Peculiar Velocity",POWER(Upgrades!$U$21,M43),1))+(IF(L43=0,0,(Upgrades!$J$20+L43*Upgrades!$K$20)*POWER(Upgrades!$L$20,L43)))*(IF(Upgrades!$T$13="Open Cluster",POWER(Upgrades!$U$13,E43),1)*IF(Upgrades!$T$14="Open Cluster",POWER(Upgrades!$U$14,F43),1)*IF(Upgrades!$T$15="Open Cluster",POWER(Upgrades!$U$15,G43),1)*IF(Upgrades!$T$16="Open Cluster",POWER(Upgrades!$U$16,H43),1)*IF(Upgrades!$T$17="Open Cluster",POWER(Upgrades!$U$17,I43),1)*IF(Upgrades!$T$18="Open Cluster",POWER(Upgrades!$U$18,J43),1)*IF(Upgrades!$T$19="Open Cluster",POWER(Upgrades!$U$19,K43),1)*IF(Upgrades!$T$21="Open Cluster",POWER(Upgrades!$U$21,M43),1))+(IF(M43=0,0,(Upgrades!$J$21+M43*Upgrades!$K$21)*POWER(Upgrades!$L$21,M43)))*(IF(Upgrades!$T$13="Moving Group",POWER(Upgrades!$U$13,E43),1)*IF(Upgrades!$T$14="Moving Group",POWER(Upgrades!$U$14,F43),1)*IF(Upgrades!$T$15="Moving Group",POWER(Upgrades!$U$15,G43),1)*IF(Upgrades!$T$16="Moving Group",POWER(Upgrades!$U$16,H43),1)*IF(Upgrades!$T$17="Moving Group",POWER(Upgrades!$U$17,I43),1)*IF(Upgrades!$T$18="Moving Group",POWER(Upgrades!$U$18,J43),1)*IF(Upgrades!$T$19="Moving Group",POWER(Upgrades!$U$19,K43),1)*IF(Upgrades!$T$20="Moving Group",POWER(Upgrades!$U$20,L43),1)))*POWER(Upgrades!$Q$13,E43)*POWER(Upgrades!$Q$14,F43)*POWER(Upgrades!$Q$15,G43)*POWER(Upgrades!$Q$16,H43)*POWER(Upgrades!$Q$17,I43)*POWER(Upgrades!$Q$18,J43)*POWER(Upgrades!$Q$19,K43)*POWER(Upgrades!$Q$20,L43)*POWER(Upgrades!$Q$21,M43)*$G$6+$D$6</f>
        <v/>
      </c>
      <c r="P43" s="28">
        <f>((IF(E43=0,0,(Upgrades!$G$13+E43*Upgrades!$H$13)*POWER(Upgrades!$I$13,E43)))*(IF(Upgrades!$T$14="Stellar Kinematics",POWER(Upgrades!$U$14,F43),1)*IF(Upgrades!$T$15="Stellar Kinematics",POWER(Upgrades!$U$15,G43),1)*IF(Upgrades!$T$16="Stellar Kinematics",POWER(Upgrades!$U$16,H43),1)*IF(Upgrades!$T$17="Stellar Kinematics",POWER(Upgrades!$U$17,I43),1)*IF(Upgrades!$T$18="Stellar Kinematics",POWER(Upgrades!$U$18,J43),1)*IF(Upgrades!$T$19="Stellar Kinematics",POWER(Upgrades!$U$19,K43),1)*IF(Upgrades!$T$20="Stellar Kinematics",POWER(Upgrades!$U$20,L43),1)*IF(Upgrades!$T$21="Stellar Kinematics",POWER(Upgrades!$U$21,M43),1))+(IF(F43=0,0,(Upgrades!$G$14+F43*Upgrades!$H$14)*POWER(Upgrades!$I$14,F43)))*(IF(Upgrades!$T$13="Local Bubble",POWER(Upgrades!$U$13,E43),1)*IF(Upgrades!$T$15="Local Bubble",POWER(Upgrades!$U$15,G43),1)*IF(Upgrades!$T$16="Local Bubble",POWER(Upgrades!$U$16,H43),1)*IF(Upgrades!$T$17="Local Bubble",POWER(Upgrades!$U$17,I43),1)*IF(Upgrades!$T$18="Local Bubble",POWER(Upgrades!$U$18,J43),1)*IF(Upgrades!$T$19="Local Bubble",POWER(Upgrades!$U$19,K43),1)*IF(Upgrades!$T$20="Local Bubble",POWER(Upgrades!$U$20,L43),1)*IF(Upgrades!$T$21="Local Bubble",POWER(Upgrades!$U$21,M43),1))+(IF(G43=0,0,(Upgrades!$G$15+G43*Upgrades!$H$15)*POWER(Upgrades!$I$15,G43)))*(IF(Upgrades!$T$13="Microlensing",POWER(Upgrades!$U$13,E43),1)*IF(Upgrades!$T$14="Microlensing",POWER(Upgrades!$U$14,F43),1)*IF(Upgrades!$T$16="Microlensing",POWER(Upgrades!$U$16,H43),1)*IF(Upgrades!$T$17="Microlensing",POWER(Upgrades!$U$17,I43),1)*IF(Upgrades!$T$18="Microlensing",POWER(Upgrades!$U$18,J43),1)*IF(Upgrades!$T$19="Microlensing",POWER(Upgrades!$U$19,K43),1)*IF(Upgrades!$T$20="Microlensing",POWER(Upgrades!$U$20,L43),1)*IF(Upgrades!$T$21="Microlensing",POWER(Upgrades!$U$21,M43),1))+(IF(H43=0,0,(Upgrades!$G$16+H43*Upgrades!$H$16)*POWER(Upgrades!$I$16,H43)))*(IF(Upgrades!$T$13="Roche Lobe Overflow",POWER(Upgrades!$U$13,E43),1)*IF(Upgrades!$T$14="Roche Lobe Overflow",POWER(Upgrades!$U$14,F43),1)*IF(Upgrades!$T$15="Roche Lobe Overflow",POWER(Upgrades!$U$15,G43),1)*IF(Upgrades!$T$17="Roche Lobe Overflow",POWER(Upgrades!$U$17,I43),1)*IF(Upgrades!$T$18="Roche Lobe Overflow",POWER(Upgrades!$U$18,J43),1)*IF(Upgrades!$T$19="Roche Lobe Overflow",POWER(Upgrades!$U$19,K43),1)*IF(Upgrades!$T$20="Roche Lobe Overflow",POWER(Upgrades!$U$20,L43),1)*IF(Upgrades!$T$21="Roche Lobe Overflow",POWER(Upgrades!$U$21,M43),1))+(IF(I43=0,0,(Upgrades!$G$17+I43*Upgrades!$H$17)*POWER(Upgrades!$I$17,I43)))*(IF(Upgrades!$T$13="Brown Dwarf",POWER(Upgrades!$U$13,E43),1)*IF(Upgrades!$T$14="Brown Dwarf",POWER(Upgrades!$U$14,F43),1)*IF(Upgrades!$T$15="Brown Dwarf",POWER(Upgrades!$U$15,G43),1)*IF(Upgrades!$T$16="Brown Dwarf",POWER(Upgrades!$U$16,H43),1)*IF(Upgrades!$T$18="Brown Dwarf",POWER(Upgrades!$U$18,J43),1)*IF(Upgrades!$T$19="Brown Dwarf",POWER(Upgrades!$U$19,K43),1)*IF(Upgrades!$T$20="Brown Dwarf",POWER(Upgrades!$U$20,L43),1)*IF(Upgrades!$T$21="Brown Dwarf",POWER(Upgrades!$U$21,M43),1))+(IF(J43=0,0,(Upgrades!$G$18+J43*Upgrades!$H$18)*POWER(Upgrades!$I$18,J43)))*(IF(Upgrades!$T$13="Binary Partner",POWER(Upgrades!$U$13,E43),1)*IF(Upgrades!$T$14="Binary Partner",POWER(Upgrades!$U$14,F43),1)*IF(Upgrades!$T$15="Binary Partner",POWER(Upgrades!$U$15,G43),1)*IF(Upgrades!$T$16="Binary Partner",POWER(Upgrades!$U$16,H43),1)*IF(Upgrades!$T$17="Binary Partner",POWER(Upgrades!$U$17,I43),1)*IF(Upgrades!$T$19="Binary Partner",POWER(Upgrades!$U$19,K43),1)*IF(Upgrades!$T$20="Binary Partner",POWER(Upgrades!$U$20,L43),1)*IF(Upgrades!$T$21="Binary Partner",POWER(Upgrades!$U$21,M43),1))+(IF(K43=0,0,(Upgrades!$G$19+K43*Upgrades!$H$19)*POWER(Upgrades!$I$19,K43)))*(IF(Upgrades!$T$13="Peculiar Velocity",POWER(Upgrades!$U$13,E43),1)*IF(Upgrades!$T$14="Peculiar Velocity",POWER(Upgrades!$U$14,F43),1)*IF(Upgrades!$T$15="Peculiar Velocity",POWER(Upgrades!$U$15,G43),1)*IF(Upgrades!$T$16="Peculiar Velocity",POWER(Upgrades!$U$16,H43),1)*IF(Upgrades!$T$17="Peculiar Velocity",POWER(Upgrades!$U$17,I43),1)*IF(Upgrades!$T$18="Peculiar Velocity",POWER(Upgrades!$U$18,J43),1)*IF(Upgrades!$T$20="Peculiar Velocity",POWER(Upgrades!$U$20,L43),1)*IF(Upgrades!$T$21="Peculiar Velocity",POWER(Upgrades!$U$21,M43),1))+(IF(L43=0,0,(Upgrades!$G$20+L43*Upgrades!$H$20)*POWER(Upgrades!$I$20,L43)))*(IF(Upgrades!$T$13="Open Cluster",POWER(Upgrades!$U$13,E43),1)*IF(Upgrades!$T$14="Open Cluster",POWER(Upgrades!$U$14,F43),1)*IF(Upgrades!$T$15="Open Cluster",POWER(Upgrades!$U$15,G43),1)*IF(Upgrades!$T$16="Open Cluster",POWER(Upgrades!$U$16,H43),1)*IF(Upgrades!$T$17="Open Cluster",POWER(Upgrades!$U$17,I43),1)*IF(Upgrades!$T$18="Open Cluster",POWER(Upgrades!$U$18,J43),1)*IF(Upgrades!$T$19="Open Cluster",POWER(Upgrades!$U$19,K43),1)*IF(Upgrades!$T$21="Open Cluster",POWER(Upgrades!$U$21,M43),1))+(IF(M43=0,0,(Upgrades!$G$21+M43*Upgrades!$H$21)*POWER(Upgrades!$I$21,M43)))*(IF(Upgrades!$T$13="Moving Group",POWER(Upgrades!$U$13,E43),1)*IF(Upgrades!$T$14="Moving Group",POWER(Upgrades!$U$14,F43),1)*IF(Upgrades!$T$15="Moving Group",POWER(Upgrades!$U$15,G43),1)*IF(Upgrades!$T$16="Moving Group",POWER(Upgrades!$U$16,H43),1)*IF(Upgrades!$T$17="Moving Group",POWER(Upgrades!$U$17,I43),1)*IF(Upgrades!$T$18="Moving Group",POWER(Upgrades!$U$18,J43),1)*IF(Upgrades!$T$19="Moving Group",POWER(Upgrades!$U$19,K43),1)*IF(Upgrades!$T$20="Moving Group",POWER(Upgrades!$U$20,L43),1)))*POWER(Upgrades!$P$13,E43)*POWER(Upgrades!$P$14,F43)*POWER(Upgrades!$P$15,G43)*POWER(Upgrades!$P$16,H43)*POWER(Upgrades!$P$17,I43)*POWER(Upgrades!$P$18,J43)*POWER(Upgrades!$P$19,K43)*POWER(Upgrades!$P$20,L43)*POWER(Upgrades!$P$21,M43)*$F$6+$C$6</f>
        <v/>
      </c>
      <c r="Q43" s="28">
        <f>((IF(E43=0,0,(Upgrades!$M$13+E43*Upgrades!$N$13)*POWER(Upgrades!$O$13,E43)))*(IF(Upgrades!$T$14="Stellar Kinematics",POWER(Upgrades!$U$14,F43),1)*IF(Upgrades!$T$15="Stellar Kinematics",POWER(Upgrades!$U$15,G43),1)*IF(Upgrades!$T$16="Stellar Kinematics",POWER(Upgrades!$U$16,H43),1)*IF(Upgrades!$T$17="Stellar Kinematics",POWER(Upgrades!$U$17,I43),1)*IF(Upgrades!$T$18="Stellar Kinematics",POWER(Upgrades!$U$18,J43),1)*IF(Upgrades!$T$19="Stellar Kinematics",POWER(Upgrades!$U$19,K43),1)*IF(Upgrades!$T$20="Stellar Kinematics",POWER(Upgrades!$U$20,L43),1)*IF(Upgrades!$T$21="Stellar Kinematics",POWER(Upgrades!$U$21,M43),1))+(IF(F43=0,0,(Upgrades!$M$14+F43*Upgrades!$N$14)*POWER(Upgrades!$O$14,F43)))*(IF(Upgrades!$T$13="Local Bubble",POWER(Upgrades!$U$13,E43),1)*IF(Upgrades!$T$15="Local Bubble",POWER(Upgrades!$U$15,G43),1)*IF(Upgrades!$T$16="Local Bubble",POWER(Upgrades!$U$16,H43),1)*IF(Upgrades!$T$17="Local Bubble",POWER(Upgrades!$U$17,I43),1)*IF(Upgrades!$T$18="Local Bubble",POWER(Upgrades!$U$18,J43),1)*IF(Upgrades!$T$19="Local Bubble",POWER(Upgrades!$U$19,K43),1)*IF(Upgrades!$T$20="Local Bubble",POWER(Upgrades!$U$20,L43),1)*IF(Upgrades!$T$21="Local Bubble",POWER(Upgrades!$U$21,M43),1))+(IF(G43=0,0,(Upgrades!$M$15+G43*Upgrades!$N$15)*POWER(Upgrades!$O$15,G43)))*(IF(Upgrades!$T$13="Microlensing",POWER(Upgrades!$U$13,E43),1)*IF(Upgrades!$T$14="Microlensing",POWER(Upgrades!$U$14,F43),1)*IF(Upgrades!$T$16="Microlensing",POWER(Upgrades!$U$16,H43),1)*IF(Upgrades!$T$17="Microlensing",POWER(Upgrades!$U$17,I43),1)*IF(Upgrades!$T$18="Microlensing",POWER(Upgrades!$U$18,J43),1)*IF(Upgrades!$T$19="Microlensing",POWER(Upgrades!$U$19,K43),1)*IF(Upgrades!$T$20="Microlensing",POWER(Upgrades!$U$20,L43),1)*IF(Upgrades!$T$21="Microlensing",POWER(Upgrades!$U$21,M43),1))+(IF(H43=0,0,(Upgrades!$M$16+H43*Upgrades!$N$16)*POWER(Upgrades!$O$16,H43)))*(IF(Upgrades!$T$13="Roche Lobe Overflow",POWER(Upgrades!$U$13,E43),1)*IF(Upgrades!$T$14="Roche Lobe Overflow",POWER(Upgrades!$U$14,F43),1)*IF(Upgrades!$T$15="Roche Lobe Overflow",POWER(Upgrades!$U$15,G43),1)*IF(Upgrades!$T$17="Roche Lobe Overflow",POWER(Upgrades!$U$17,I43),1)*IF(Upgrades!$T$18="Roche Lobe Overflow",POWER(Upgrades!$U$18,J43),1)*IF(Upgrades!$T$19="Roche Lobe Overflow",POWER(Upgrades!$U$19,K43),1)*IF(Upgrades!$T$20="Roche Lobe Overflow",POWER(Upgrades!$U$20,L43),1)*IF(Upgrades!$T$21="Roche Lobe Overflow",POWER(Upgrades!$U$21,M43),1))+(IF(I43=0,0,(Upgrades!$M$17+I43*Upgrades!$N$17)*POWER(Upgrades!$O$17,I43)))*(IF(Upgrades!$T$13="Brown Dwarf",POWER(Upgrades!$U$13,E43),1)*IF(Upgrades!$T$14="Brown Dwarf",POWER(Upgrades!$U$14,F43),1)*IF(Upgrades!$T$15="Brown Dwarf",POWER(Upgrades!$U$15,G43),1)*IF(Upgrades!$T$16="Brown Dwarf",POWER(Upgrades!$U$16,H43),1)*IF(Upgrades!$T$18="Brown Dwarf",POWER(Upgrades!$U$18,J43),1)*IF(Upgrades!$T$19="Brown Dwarf",POWER(Upgrades!$U$19,K43),1)*IF(Upgrades!$T$20="Brown Dwarf",POWER(Upgrades!$U$20,L43),1)*IF(Upgrades!$T$21="Brown Dwarf",POWER(Upgrades!$U$21,M43),1))+(IF(J43=0,0,(Upgrades!$M$18+J43*Upgrades!$N$18)*POWER(Upgrades!$O$18,J43)))*(IF(Upgrades!$T$13="Binary Partner",POWER(Upgrades!$U$13,E43),1)*IF(Upgrades!$T$14="Binary Partner",POWER(Upgrades!$U$14,F43),1)*IF(Upgrades!$T$15="Binary Partner",POWER(Upgrades!$U$15,G43),1)*IF(Upgrades!$T$16="Binary Partner",POWER(Upgrades!$U$16,H43),1)*IF(Upgrades!$T$17="Binary Partner",POWER(Upgrades!$U$17,I43),1)*IF(Upgrades!$T$19="Binary Partner",POWER(Upgrades!$U$19,K43),1)*IF(Upgrades!$T$20="Binary Partner",POWER(Upgrades!$U$20,L43),1)*IF(Upgrades!$T$21="Binary Partner",POWER(Upgrades!$U$21,M43),1))+(IF(K43=0,0,(Upgrades!$M$19+K43*Upgrades!$N$19)*POWER(Upgrades!$O$19,K43)))*(IF(Upgrades!$T$13="Peculiar Velocity",POWER(Upgrades!$U$13,E43),1)*IF(Upgrades!$T$14="Peculiar Velocity",POWER(Upgrades!$U$14,F43),1)*IF(Upgrades!$T$15="Peculiar Velocity",POWER(Upgrades!$U$15,G43),1)*IF(Upgrades!$T$16="Peculiar Velocity",POWER(Upgrades!$U$16,H43),1)*IF(Upgrades!$T$17="Peculiar Velocity",POWER(Upgrades!$U$17,I43),1)*IF(Upgrades!$T$18="Peculiar Velocity",POWER(Upgrades!$U$18,J43),1)*IF(Upgrades!$T$20="Peculiar Velocity",POWER(Upgrades!$U$20,L43),1)*IF(Upgrades!$T$21="Peculiar Velocity",POWER(Upgrades!$U$21,M43),1))+(IF(L43=0,0,(Upgrades!$M$20+L43*Upgrades!$N$20)*POWER(Upgrades!$O$20,L43)))*(IF(Upgrades!$T$13="Open Cluster",POWER(Upgrades!$U$13,E43),1)*IF(Upgrades!$T$14="Open Cluster",POWER(Upgrades!$U$14,F43),1)*IF(Upgrades!$T$15="Open Cluster",POWER(Upgrades!$U$15,G43),1)*IF(Upgrades!$T$16="Open Cluster",POWER(Upgrades!$U$16,H43),1)*IF(Upgrades!$T$17="Open Cluster",POWER(Upgrades!$U$17,I43),1)*IF(Upgrades!$T$18="Open Cluster",POWER(Upgrades!$U$18,J43),1)*IF(Upgrades!$T$19="Open Cluster",POWER(Upgrades!$U$19,K43),1)*IF(Upgrades!$T$21="Open Cluster",POWER(Upgrades!$U$21,M43),1))+(IF(M43=0,0,(Upgrades!$M$21+M43*Upgrades!$N$21)*POWER(Upgrades!$O$21,M43)))*(IF(Upgrades!$T$13="Moving Group",POWER(Upgrades!$U$13,E43),1)*IF(Upgrades!$T$14="Moving Group",POWER(Upgrades!$U$14,F43),1)*IF(Upgrades!$T$15="Moving Group",POWER(Upgrades!$U$15,G43),1)*IF(Upgrades!$T$16="Moving Group",POWER(Upgrades!$U$16,H43),1)*IF(Upgrades!$T$17="Moving Group",POWER(Upgrades!$U$17,I43),1)*IF(Upgrades!$T$18="Moving Group",POWER(Upgrades!$U$18,J43),1)*IF(Upgrades!$T$19="Moving Group",POWER(Upgrades!$U$19,K43),1)*IF(Upgrades!$T$20="Moving Group",POWER(Upgrades!$U$20,L43),1)))*POWER(Upgrades!$R$13,E43)*POWER(Upgrades!$R$14,F43)*POWER(Upgrades!$R$15,G43)*POWER(Upgrades!$R$16,H43)*POWER(Upgrades!$R$17,I43)*POWER(Upgrades!$R$18,J43)*POWER(Upgrades!$R$19,K43)*POWER(Upgrades!$R$20,L43)*POWER(Upgrades!$R$21,M43)*$H$6+$E$6</f>
        <v/>
      </c>
      <c r="R43" s="27">
        <f>IF(N43=1,0,O43*Parameters!$B$10/60*Parameters!$B$11*10)</f>
        <v/>
      </c>
      <c r="S43" s="27">
        <f>IF(N43=1,0,Q43*O43*10)</f>
        <v/>
      </c>
      <c r="T43" s="27">
        <f>IF(N43=1,0,R43+S43+P43*10)</f>
        <v/>
      </c>
      <c r="U43" s="33">
        <f>BE43</f>
        <v/>
      </c>
      <c r="V43" s="22">
        <f>IF(U43="",0,IF(U43="transition",0,IF(U43="SK",AK43,IF(U43="LB",AL43,IF(U43="ML",AM43,IF(U43="RLO",AN43,IF(U43="BD",AO43,IF(U43="BiP",AP43,IF(U43="PV",AQ43,IF(U43="OC",AR43,IF(U43="MG",AS43,0))))))))))</f>
        <v/>
      </c>
      <c r="W43" s="27">
        <f>IF(U43="BiP",Upgrades!$F$18,IF(U43="PV",Upgrades!$F$19,IF(U43="OC",Upgrades!$F$20,IF(U43="MG",Upgrades!$F$21,IF(U43="transition",-Parameters!$B$18*Parameters!$B$19,0)))))</f>
        <v/>
      </c>
      <c r="X43" s="22">
        <f>C43+T43-V43</f>
        <v/>
      </c>
      <c r="Y43" s="30">
        <f>O43*Parameters!$B$10/60*Parameters!$B$11+Q43*O43+P43</f>
        <v/>
      </c>
      <c r="Z43" s="34">
        <f>IF(U43="transition","→ Tier 3 (Galactic Arm)",IF(U43="MG","Moving Group — pocket drifts together",IF(U43="OC","Open Cluster acquired",IF(U43="PV","Peculiar Velocity — passive multiplier active",IF(U43="BiP","Binary Partner — pair bond formed",IF(AND(AU43=1,N43=0,AT43&lt;&gt;1),"Cohesion ready (waiting on completionists)","")))))) </f>
        <v/>
      </c>
      <c r="AA43" s="27">
        <f>(IF(E43=0,0,(Upgrades!$G$13+E43*Upgrades!$H$13)*POWER(Upgrades!$I$13,E43)))*(IF(Upgrades!$T$14="Stellar Kinematics",POWER(Upgrades!$U$14,F43),1)*IF(Upgrades!$T$15="Stellar Kinematics",POWER(Upgrades!$U$15,G43),1)*IF(Upgrades!$T$16="Stellar Kinematics",POWER(Upgrades!$U$16,H43),1)*IF(Upgrades!$T$17="Stellar Kinematics",POWER(Upgrades!$U$17,I43),1)*IF(Upgrades!$T$18="Stellar Kinematics",POWER(Upgrades!$U$18,J43),1)*IF(Upgrades!$T$19="Stellar Kinematics",POWER(Upgrades!$U$19,K43),1)*IF(Upgrades!$T$20="Stellar Kinematics",POWER(Upgrades!$U$20,L43),1)*IF(Upgrades!$T$21="Stellar Kinematics",POWER(Upgrades!$U$21,M43),1))*POWER(Upgrades!$P$13,E43)*POWER(Upgrades!$P$14,F43)*POWER(Upgrades!$P$15,G43)*POWER(Upgrades!$P$16,H43)*POWER(Upgrades!$P$17,I43)*POWER(Upgrades!$P$18,J43)*POWER(Upgrades!$P$19,K43)*POWER(Upgrades!$P$20,L43)*POWER(Upgrades!$P$21,M43)*$F$6*60</f>
        <v/>
      </c>
      <c r="AB43" s="27">
        <f>(IF(F43=0,0,(Upgrades!$G$14+F43*Upgrades!$H$14)*POWER(Upgrades!$I$14,F43)))*(IF(Upgrades!$T$13="Local Bubble",POWER(Upgrades!$U$13,E43),1)*IF(Upgrades!$T$15="Local Bubble",POWER(Upgrades!$U$15,G43),1)*IF(Upgrades!$T$16="Local Bubble",POWER(Upgrades!$U$16,H43),1)*IF(Upgrades!$T$17="Local Bubble",POWER(Upgrades!$U$17,I43),1)*IF(Upgrades!$T$18="Local Bubble",POWER(Upgrades!$U$18,J43),1)*IF(Upgrades!$T$19="Local Bubble",POWER(Upgrades!$U$19,K43),1)*IF(Upgrades!$T$20="Local Bubble",POWER(Upgrades!$U$20,L43),1)*IF(Upgrades!$T$21="Local Bubble",POWER(Upgrades!$U$21,M43),1))*POWER(Upgrades!$P$13,E43)*POWER(Upgrades!$P$14,F43)*POWER(Upgrades!$P$15,G43)*POWER(Upgrades!$P$16,H43)*POWER(Upgrades!$P$17,I43)*POWER(Upgrades!$P$18,J43)*POWER(Upgrades!$P$19,K43)*POWER(Upgrades!$P$20,L43)*POWER(Upgrades!$P$21,M43)*$F$6*60</f>
        <v/>
      </c>
      <c r="AC43" s="27">
        <f>(IF(G43=0,0,(Upgrades!$J$15+G43*Upgrades!$K$15)*POWER(Upgrades!$L$15,G43)))*(IF(Upgrades!$T$13="Microlensing",POWER(Upgrades!$U$13,E43),1)*IF(Upgrades!$T$14="Microlensing",POWER(Upgrades!$U$14,F43),1)*IF(Upgrades!$T$16="Microlensing",POWER(Upgrades!$U$16,H43),1)*IF(Upgrades!$T$17="Microlensing",POWER(Upgrades!$U$17,I43),1)*IF(Upgrades!$T$18="Microlensing",POWER(Upgrades!$U$18,J43),1)*IF(Upgrades!$T$19="Microlensing",POWER(Upgrades!$U$19,K43),1)*IF(Upgrades!$T$20="Microlensing",POWER(Upgrades!$U$20,L43),1)*IF(Upgrades!$T$21="Microlensing",POWER(Upgrades!$U$21,M43),1))*POWER(Upgrades!$Q$13,E43)*POWER(Upgrades!$Q$14,F43)*POWER(Upgrades!$Q$15,G43)*POWER(Upgrades!$Q$16,H43)*POWER(Upgrades!$Q$17,I43)*POWER(Upgrades!$Q$18,J43)*POWER(Upgrades!$Q$19,K43)*POWER(Upgrades!$Q$20,L43)*POWER(Upgrades!$Q$21,M43)*$G$6*(Parameters!$B$10*Parameters!$B$11+Q43*60)</f>
        <v/>
      </c>
      <c r="AD43" s="27">
        <f>(IF(H43=0,0,(Upgrades!$M$16+H43*Upgrades!$N$16)*POWER(Upgrades!$O$16,H43)))*(IF(Upgrades!$T$13="Roche Lobe Overflow",POWER(Upgrades!$U$13,E43),1)*IF(Upgrades!$T$14="Roche Lobe Overflow",POWER(Upgrades!$U$14,F43),1)*IF(Upgrades!$T$15="Roche Lobe Overflow",POWER(Upgrades!$U$15,G43),1)*IF(Upgrades!$T$17="Roche Lobe Overflow",POWER(Upgrades!$U$17,I43),1)*IF(Upgrades!$T$18="Roche Lobe Overflow",POWER(Upgrades!$U$18,J43),1)*IF(Upgrades!$T$19="Roche Lobe Overflow",POWER(Upgrades!$U$19,K43),1)*IF(Upgrades!$T$20="Roche Lobe Overflow",POWER(Upgrades!$U$20,L43),1)*IF(Upgrades!$T$21="Roche Lobe Overflow",POWER(Upgrades!$U$21,M43),1))*POWER(Upgrades!$R$13,E43)*POWER(Upgrades!$R$14,F43)*POWER(Upgrades!$R$15,G43)*POWER(Upgrades!$R$16,H43)*POWER(Upgrades!$R$17,I43)*POWER(Upgrades!$R$18,J43)*POWER(Upgrades!$R$19,K43)*POWER(Upgrades!$R$20,L43)*POWER(Upgrades!$R$21,M43)*$H$6*O43*60</f>
        <v/>
      </c>
      <c r="AE43" s="27">
        <f>(IF(I43=0,0,(Upgrades!$G$17+I43*Upgrades!$H$17)*POWER(Upgrades!$I$17,I43)))*(IF(Upgrades!$T$13="Brown Dwarf",POWER(Upgrades!$U$13,E43),1)*IF(Upgrades!$T$14="Brown Dwarf",POWER(Upgrades!$U$14,F43),1)*IF(Upgrades!$T$15="Brown Dwarf",POWER(Upgrades!$U$15,G43),1)*IF(Upgrades!$T$16="Brown Dwarf",POWER(Upgrades!$U$16,H43),1)*IF(Upgrades!$T$18="Brown Dwarf",POWER(Upgrades!$U$18,J43),1)*IF(Upgrades!$T$19="Brown Dwarf",POWER(Upgrades!$U$19,K43),1)*IF(Upgrades!$T$20="Brown Dwarf",POWER(Upgrades!$U$20,L43),1)*IF(Upgrades!$T$21="Brown Dwarf",POWER(Upgrades!$U$21,M43),1))*POWER(Upgrades!$P$13,E43)*POWER(Upgrades!$P$14,F43)*POWER(Upgrades!$P$15,G43)*POWER(Upgrades!$P$16,H43)*POWER(Upgrades!$P$17,I43)*POWER(Upgrades!$P$18,J43)*POWER(Upgrades!$P$19,K43)*POWER(Upgrades!$P$20,L43)*POWER(Upgrades!$P$21,M43)*$F$6*60</f>
        <v/>
      </c>
      <c r="AF43" s="27" t="n">
        <v>0</v>
      </c>
      <c r="AG43" s="27" t="n">
        <v>0</v>
      </c>
      <c r="AH43" s="27" t="n">
        <v>0</v>
      </c>
      <c r="AI43" s="27">
        <f>(IF(M43=0,0,(Upgrades!$G$21+M43*Upgrades!$H$21)*POWER(Upgrades!$I$21,M43)))*(IF(Upgrades!$T$13="Moving Group",POWER(Upgrades!$U$13,E43),1)*IF(Upgrades!$T$14="Moving Group",POWER(Upgrades!$U$14,F43),1)*IF(Upgrades!$T$15="Moving Group",POWER(Upgrades!$U$15,G43),1)*IF(Upgrades!$T$16="Moving Group",POWER(Upgrades!$U$16,H43),1)*IF(Upgrades!$T$17="Moving Group",POWER(Upgrades!$U$17,I43),1)*IF(Upgrades!$T$18="Moving Group",POWER(Upgrades!$U$18,J43),1)*IF(Upgrades!$T$19="Moving Group",POWER(Upgrades!$U$19,K43),1)*IF(Upgrades!$T$20="Moving Group",POWER(Upgrades!$U$20,L43),1))*POWER(Upgrades!$P$13,E43)*POWER(Upgrades!$P$14,F43)*POWER(Upgrades!$P$15,G43)*POWER(Upgrades!$P$16,H43)*POWER(Upgrades!$P$17,I43)*POWER(Upgrades!$P$18,J43)*POWER(Upgrades!$P$19,K43)*POWER(Upgrades!$P$20,L43)*POWER(Upgrades!$P$21,M43)*$F$6*60</f>
        <v/>
      </c>
      <c r="AJ43" s="27">
        <f>$C$6*60</f>
        <v/>
      </c>
      <c r="AK43" s="22">
        <f>IF(E43&gt;=Upgrades!$E$13,"",Upgrades!$C$13*POWER(Upgrades!$D$13,E43))</f>
        <v/>
      </c>
      <c r="AL43" s="22">
        <f>IF(F43&gt;=Upgrades!$E$14,"",Upgrades!$C$14*POWER(Upgrades!$D$14,F43))</f>
        <v/>
      </c>
      <c r="AM43" s="22">
        <f>IF(G43&gt;=Upgrades!$E$15,"",Upgrades!$C$15*POWER(Upgrades!$D$15,G43))</f>
        <v/>
      </c>
      <c r="AN43" s="22">
        <f>IF(H43&gt;=Upgrades!$E$16,"",Upgrades!$C$16*POWER(Upgrades!$D$16,H43))</f>
        <v/>
      </c>
      <c r="AO43" s="22">
        <f>IF(I43&gt;=Upgrades!$E$17,"",Upgrades!$C$17*POWER(Upgrades!$D$17,I43))</f>
        <v/>
      </c>
      <c r="AP43" s="22">
        <f>IF(J43&gt;=Upgrades!$E$18,"",Upgrades!$C$18*POWER(Upgrades!$D$18,J43))</f>
        <v/>
      </c>
      <c r="AQ43" s="22">
        <f>IF(K43&gt;=Upgrades!$E$19,"",Upgrades!$C$19*POWER(Upgrades!$D$19,K43))</f>
        <v/>
      </c>
      <c r="AR43" s="22">
        <f>IF(L43&gt;=Upgrades!$E$20,"",Upgrades!$C$20*POWER(Upgrades!$D$20,L43))</f>
        <v/>
      </c>
      <c r="AS43" s="22">
        <f>IF(M43&gt;=Upgrades!$E$21,"",Upgrades!$C$21*POWER(Upgrades!$D$21,M43))</f>
        <v/>
      </c>
      <c r="AT43" s="26">
        <f>IF(AND(D43&gt;=Parameters!$B$18*Parameters!$B$19,(I43&gt;=Upgrades!$E$17)*(M43&gt;=Upgrades!$E$21)=1,N43=0),1,"")</f>
        <v/>
      </c>
      <c r="AU43" s="26">
        <f>IF(AND(D43&gt;=Parameters!$B$18*Parameters!$B$19,N43=0),1,"")</f>
        <v/>
      </c>
      <c r="AV43" s="22">
        <f>MIN(IF(ISNUMBER(AP43),AP43,9E15),IF(ISNUMBER(AQ43),AQ43,9E15),IF(ISNUMBER(AR43),AR43,9E15),IF(ISNUMBER(AS43),AS43,9E15))</f>
        <v/>
      </c>
      <c r="AW43" s="22">
        <f>MIN(IF(ISNUMBER(AK43),AK43,9E15),IF(ISNUMBER(AL43),AL43,9E15),IF(ISNUMBER(AM43),AM43,9E15),IF(ISNUMBER(AN43),AN43,9E15),IF(ISNUMBER(AO43),AO43,9E15))</f>
        <v/>
      </c>
      <c r="AX43" s="29">
        <f>IF(BD43&gt;Parameters!$B$21*(MAX(IF(AND(NOT(AND(AU43=1,AT43&lt;&gt;1)),ISNUMBER(AK43),AK43&lt;=(C43+T43)),AY43,0),IF(AND(NOT(AND(AU43=1,AT43&lt;&gt;1)),ISNUMBER(AL43),AL43&lt;=(C43+T43)),AZ43,0),IF(AND(NOT(AND(AU43=1,AT43&lt;&gt;1)),ISNUMBER(AM43),AM43&lt;=(C43+T43)),BA43,0),IF(AND(NOT(AND(AU43=1,AT43&lt;&gt;1)),ISNUMBER(AN43),AN43&lt;=(C43+T43)),BB43,0),IF(AND(ISNUMBER(AO43),AO43&lt;=(C43+T43)),BC43,0))),TRUE,FALSE)</f>
        <v/>
      </c>
      <c r="AY43" s="32">
        <f>IFERROR(Upgrades!$H$13*(POWER(Upgrades!$P$13,E43)*POWER(Upgrades!$P$14,F43)*POWER(Upgrades!$P$15,G43)*POWER(Upgrades!$P$16,H43)*POWER(Upgrades!$P$17,I43)*POWER(Upgrades!$P$18,J43)*POWER(Upgrades!$P$19,K43)*POWER(Upgrades!$P$20,L43)*POWER(Upgrades!$P$21,M43))*(IF(Upgrades!$T$14="Stellar Kinematics",POWER(Upgrades!$U$14,F43),1)*IF(Upgrades!$T$15="Stellar Kinematics",POWER(Upgrades!$U$15,G43),1)*IF(Upgrades!$T$16="Stellar Kinematics",POWER(Upgrades!$U$16,H43),1)*IF(Upgrades!$T$17="Stellar Kinematics",POWER(Upgrades!$U$17,I43),1)*IF(Upgrades!$T$18="Stellar Kinematics",POWER(Upgrades!$U$18,J43),1)*IF(Upgrades!$T$19="Stellar Kinematics",POWER(Upgrades!$U$19,K43),1)*IF(Upgrades!$T$20="Stellar Kinematics",POWER(Upgrades!$U$20,L43),1)*IF(Upgrades!$T$21="Stellar Kinematics",POWER(Upgrades!$U$21,M43),1))*$F$6/AK43,0)</f>
        <v/>
      </c>
      <c r="AZ43" s="32">
        <f>IFERROR(Upgrades!$H$14*(POWER(Upgrades!$P$13,E43)*POWER(Upgrades!$P$14,F43)*POWER(Upgrades!$P$15,G43)*POWER(Upgrades!$P$16,H43)*POWER(Upgrades!$P$17,I43)*POWER(Upgrades!$P$18,J43)*POWER(Upgrades!$P$19,K43)*POWER(Upgrades!$P$20,L43)*POWER(Upgrades!$P$21,M43))*(IF(Upgrades!$T$13="Local Bubble",POWER(Upgrades!$U$13,E43),1)*IF(Upgrades!$T$15="Local Bubble",POWER(Upgrades!$U$15,G43),1)*IF(Upgrades!$T$16="Local Bubble",POWER(Upgrades!$U$16,H43),1)*IF(Upgrades!$T$17="Local Bubble",POWER(Upgrades!$U$17,I43),1)*IF(Upgrades!$T$18="Local Bubble",POWER(Upgrades!$U$18,J43),1)*IF(Upgrades!$T$19="Local Bubble",POWER(Upgrades!$U$19,K43),1)*IF(Upgrades!$T$20="Local Bubble",POWER(Upgrades!$U$20,L43),1)*IF(Upgrades!$T$21="Local Bubble",POWER(Upgrades!$U$21,M43),1))*$F$6/AL43,0)</f>
        <v/>
      </c>
      <c r="BA43" s="32">
        <f>IFERROR(Upgrades!$K$15*(POWER(Upgrades!$Q$13,E43)*POWER(Upgrades!$Q$14,F43)*POWER(Upgrades!$Q$15,G43)*POWER(Upgrades!$Q$16,H43)*POWER(Upgrades!$Q$17,I43)*POWER(Upgrades!$Q$18,J43)*POWER(Upgrades!$Q$19,K43)*POWER(Upgrades!$Q$20,L43)*POWER(Upgrades!$Q$21,M43))*(IF(Upgrades!$T$13="Microlensing",POWER(Upgrades!$U$13,E43),1)*IF(Upgrades!$T$14="Microlensing",POWER(Upgrades!$U$14,F43),1)*IF(Upgrades!$T$16="Microlensing",POWER(Upgrades!$U$16,H43),1)*IF(Upgrades!$T$17="Microlensing",POWER(Upgrades!$U$17,I43),1)*IF(Upgrades!$T$18="Microlensing",POWER(Upgrades!$U$18,J43),1)*IF(Upgrades!$T$19="Microlensing",POWER(Upgrades!$U$19,K43),1)*IF(Upgrades!$T$20="Microlensing",POWER(Upgrades!$U$20,L43),1)*IF(Upgrades!$T$21="Microlensing",POWER(Upgrades!$U$21,M43),1))*$G$6*(Parameters!$B$10/60*Parameters!$B$11+Q43)/AM43,0)</f>
        <v/>
      </c>
      <c r="BB43" s="32">
        <f>IFERROR((Upgrades!$N$16*(POWER(Upgrades!$R$13,E43)*POWER(Upgrades!$R$14,F43)*POWER(Upgrades!$R$15,G43)*POWER(Upgrades!$R$16,H43)*POWER(Upgrades!$R$17,I43)*POWER(Upgrades!$R$18,J43)*POWER(Upgrades!$R$19,K43)*POWER(Upgrades!$R$20,L43)*POWER(Upgrades!$R$21,M43))*(IF(Upgrades!$T$13="Roche Lobe Overflow",POWER(Upgrades!$U$13,E43),1)*IF(Upgrades!$T$14="Roche Lobe Overflow",POWER(Upgrades!$U$14,F43),1)*IF(Upgrades!$T$15="Roche Lobe Overflow",POWER(Upgrades!$U$15,G43),1)*IF(Upgrades!$T$17="Roche Lobe Overflow",POWER(Upgrades!$U$17,I43),1)*IF(Upgrades!$T$18="Roche Lobe Overflow",POWER(Upgrades!$U$18,J43),1)*IF(Upgrades!$T$19="Roche Lobe Overflow",POWER(Upgrades!$U$19,K43),1)*IF(Upgrades!$T$20="Roche Lobe Overflow",POWER(Upgrades!$U$20,L43),1)*IF(Upgrades!$T$21="Roche Lobe Overflow",POWER(Upgrades!$U$21,M43),1))*$H$6*O43+((IF(F43=0,0,(Upgrades!$G$14+F43*Upgrades!$H$14)*POWER(Upgrades!$I$14,F43)))*(IF(Upgrades!$T$13="Local Bubble",POWER(Upgrades!$U$13,E43),1)*IF(Upgrades!$T$15="Local Bubble",POWER(Upgrades!$U$15,G43),1)*IF(Upgrades!$T$16="Local Bubble",POWER(Upgrades!$U$16,H43),1)*IF(Upgrades!$T$17="Local Bubble",POWER(Upgrades!$U$17,I43),1)*IF(Upgrades!$T$18="Local Bubble",POWER(Upgrades!$U$18,J43),1)*IF(Upgrades!$T$19="Local Bubble",POWER(Upgrades!$U$19,K43),1)*IF(Upgrades!$T$20="Local Bubble",POWER(Upgrades!$U$20,L43),1)*IF(Upgrades!$T$21="Local Bubble",POWER(Upgrades!$U$21,M43),1))*POWER(Upgrades!$P$13,E43)*POWER(Upgrades!$P$14,F43)*POWER(Upgrades!$P$15,G43)*POWER(Upgrades!$P$16,H43)*POWER(Upgrades!$P$17,I43)*POWER(Upgrades!$P$18,J43)*POWER(Upgrades!$P$19,K43)*POWER(Upgrades!$P$20,L43)*POWER(Upgrades!$P$21,M43)*$F$6)*0.05)/AN43,0)</f>
        <v/>
      </c>
      <c r="BC43" s="32">
        <f>IFERROR((Upgrades!$H$17*(POWER(Upgrades!$P$13,E43)*POWER(Upgrades!$P$14,F43)*POWER(Upgrades!$P$15,G43)*POWER(Upgrades!$P$16,H43)*POWER(Upgrades!$P$17,I43)*POWER(Upgrades!$P$18,J43)*POWER(Upgrades!$P$19,K43)*POWER(Upgrades!$P$20,L43)*POWER(Upgrades!$P$21,M43))*(IF(Upgrades!$T$13="Brown Dwarf",POWER(Upgrades!$U$13,E43),1)*IF(Upgrades!$T$14="Brown Dwarf",POWER(Upgrades!$U$14,F43),1)*IF(Upgrades!$T$15="Brown Dwarf",POWER(Upgrades!$U$15,G43),1)*IF(Upgrades!$T$16="Brown Dwarf",POWER(Upgrades!$U$16,H43),1)*IF(Upgrades!$T$18="Brown Dwarf",POWER(Upgrades!$U$18,J43),1)*IF(Upgrades!$T$19="Brown Dwarf",POWER(Upgrades!$U$19,K43),1)*IF(Upgrades!$T$20="Brown Dwarf",POWER(Upgrades!$U$20,L43),1)*IF(Upgrades!$T$21="Brown Dwarf",POWER(Upgrades!$U$21,M43),1))*$F$6+(((IF(H43=0,0,(Upgrades!$M$16+H43*Upgrades!$N$16)*POWER(Upgrades!$O$16,H43)))*(IF(Upgrades!$T$13="Roche Lobe Overflow",POWER(Upgrades!$U$13,E43),1)*IF(Upgrades!$T$14="Roche Lobe Overflow",POWER(Upgrades!$U$14,F43),1)*IF(Upgrades!$T$15="Roche Lobe Overflow",POWER(Upgrades!$U$15,G43),1)*IF(Upgrades!$T$17="Roche Lobe Overflow",POWER(Upgrades!$U$17,I43),1)*IF(Upgrades!$T$18="Roche Lobe Overflow",POWER(Upgrades!$U$18,J43),1)*IF(Upgrades!$T$19="Roche Lobe Overflow",POWER(Upgrades!$U$19,K43),1)*IF(Upgrades!$T$20="Roche Lobe Overflow",POWER(Upgrades!$U$20,L43),1)*IF(Upgrades!$T$21="Roche Lobe Overflow",POWER(Upgrades!$U$21,M43),1))*POWER(Upgrades!$R$13,E43)*POWER(Upgrades!$R$14,F43)*POWER(Upgrades!$R$15,G43)*POWER(Upgrades!$R$16,H43)*POWER(Upgrades!$R$17,I43)*POWER(Upgrades!$R$18,J43)*POWER(Upgrades!$R$19,K43)*POWER(Upgrades!$R$20,L43)*POWER(Upgrades!$R$21,M43)*$H$6)*O43)*0.10)/AO43,0)</f>
        <v/>
      </c>
      <c r="BD43" s="32">
        <f>MAX(IF(J43&gt;0,0,IFERROR(0.5*((IF(G43=0,0,(Upgrades!$J$15+G43*Upgrades!$K$15)*POWER(Upgrades!$L$15,G43)))*(IF(Upgrades!$T$13="Microlensing",POWER(Upgrades!$U$13,E43),1)*IF(Upgrades!$T$14="Microlensing",POWER(Upgrades!$U$14,F43),1)*IF(Upgrades!$T$16="Microlensing",POWER(Upgrades!$U$16,H43),1)*IF(Upgrades!$T$17="Microlensing",POWER(Upgrades!$U$17,I43),1)*IF(Upgrades!$T$18="Microlensing",POWER(Upgrades!$U$18,J43),1)*IF(Upgrades!$T$19="Microlensing",POWER(Upgrades!$U$19,K43),1)*IF(Upgrades!$T$20="Microlensing",POWER(Upgrades!$U$20,L43),1)*IF(Upgrades!$T$21="Microlensing",POWER(Upgrades!$U$21,M43),1))*(POWER(Upgrades!$Q$13,E43)*POWER(Upgrades!$Q$14,F43)*POWER(Upgrades!$Q$15,G43)*POWER(Upgrades!$Q$16,H43)*POWER(Upgrades!$Q$17,I43)*POWER(Upgrades!$Q$18,J43)*POWER(Upgrades!$Q$19,K43)*POWER(Upgrades!$Q$20,L43)*POWER(Upgrades!$Q$21,M43))*$G$6*(Parameters!$B$10/60*Parameters!$B$11+Q43))/Upgrades!$C$18,0)),IF(K43&gt;0,0,IFERROR(0.30*P43/Upgrades!$C$19,0)),IF(L43&gt;0,0,IFERROR(0.0001/Upgrades!$C$20,0)),IF(M43&gt;0,0,IFERROR((6.0*(POWER(Upgrades!$P$13,E43)*POWER(Upgrades!$P$14,F43)*POWER(Upgrades!$P$15,G43)*POWER(Upgrades!$P$16,H43)*POWER(Upgrades!$P$17,I43)*POWER(Upgrades!$P$18,J43)*POWER(Upgrades!$P$19,K43)*POWER(Upgrades!$P$20,L43)*POWER(Upgrades!$P$21,M43))*$F$6+0.20*O43*(Parameters!$B$10/60*Parameters!$B$11+Q43))/Upgrades!$C$21,0)),IF(AND(ISNUMBER(AK43),AK43&gt;(C43+T43)),AY43,0),IF(AND(ISNUMBER(AL43),AL43&gt;(C43+T43)),AZ43,0),IF(AND(ISNUMBER(AM43),AM43&gt;(C43+T43)),BA43,0),IF(AND(ISNUMBER(AN43),AN43&gt;(C43+T43)),BB43,0),IF(AND(ISNUMBER(AO43),AO43&gt;(C43+T43)),BC43,0))</f>
        <v/>
      </c>
      <c r="BE43" s="29">
        <f>IF(AT43=1,"transition",IF(MIN(IF(AND(J43=0,ISNUMBER(AP43),AP43&lt;=(C43+T43)),AP43,9E15),IF(AND(K43=0,ISNUMBER(AQ43),AQ43&lt;=(C43+T43)),AQ43,9E15),IF(AND(L43=0,ISNUMBER(AR43),AR43&lt;=(C43+T43)),AR43,9E15),IF(AND(M43=0,ISNUMBER(AS43),AS43&lt;=(C43+T43)),AS43,9E15))&lt;9E15,IF(AND(AND(J43=0,ISNUMBER(AP43),AP43&lt;=(C43+T43)),AP43=MIN(IF(AND(J43=0,ISNUMBER(AP43),AP43&lt;=(C43+T43)),AP43,9E15),IF(AND(K43=0,ISNUMBER(AQ43),AQ43&lt;=(C43+T43)),AQ43,9E15),IF(AND(L43=0,ISNUMBER(AR43),AR43&lt;=(C43+T43)),AR43,9E15),IF(AND(M43=0,ISNUMBER(AS43),AS43&lt;=(C43+T43)),AS43,9E15))),"BiP",IF(AND(AND(K43=0,ISNUMBER(AQ43),AQ43&lt;=(C43+T43)),AQ43=MIN(IF(AND(J43=0,ISNUMBER(AP43),AP43&lt;=(C43+T43)),AP43,9E15),IF(AND(K43=0,ISNUMBER(AQ43),AQ43&lt;=(C43+T43)),AQ43,9E15),IF(AND(L43=0,ISNUMBER(AR43),AR43&lt;=(C43+T43)),AR43,9E15),IF(AND(M43=0,ISNUMBER(AS43),AS43&lt;=(C43+T43)),AS43,9E15))),"PV",IF(AND(AND(L43=0,ISNUMBER(AR43),AR43&lt;=(C43+T43)),AR43=MIN(IF(AND(J43=0,ISNUMBER(AP43),AP43&lt;=(C43+T43)),AP43,9E15),IF(AND(K43=0,ISNUMBER(AQ43),AQ43&lt;=(C43+T43)),AQ43,9E15),IF(AND(L43=0,ISNUMBER(AR43),AR43&lt;=(C43+T43)),AR43,9E15),IF(AND(M43=0,ISNUMBER(AS43),AS43&lt;=(C43+T43)),AS43,9E15))),"OC","MG"))),IF(AX43=TRUE,"",IF(MAX(IF(AND(NOT(AND(AU43=1,AT43&lt;&gt;1)),ISNUMBER(AK43),AK43&lt;=(C43+T43)),AY43,0),IF(AND(NOT(AND(AU43=1,AT43&lt;&gt;1)),ISNUMBER(AL43),AL43&lt;=(C43+T43)),AZ43,0),IF(AND(NOT(AND(AU43=1,AT43&lt;&gt;1)),ISNUMBER(AM43),AM43&lt;=(C43+T43)),BA43,0),IF(AND(NOT(AND(AU43=1,AT43&lt;&gt;1)),ISNUMBER(AN43),AN43&lt;=(C43+T43)),BB43,0),IF(AND(ISNUMBER(AO43),AO43&lt;=(C43+T43)),BC43,0))&lt;=0,"",IF(AND(IF(AND(NOT(AND(AU43=1,AT43&lt;&gt;1)),ISNUMBER(AK43),AK43&lt;=(C43+T43)),AY43,0)&gt;0,IF(AND(NOT(AND(AU43=1,AT43&lt;&gt;1)),ISNUMBER(AK43),AK43&lt;=(C43+T43)),AY43,0)=MAX(IF(AND(NOT(AND(AU43=1,AT43&lt;&gt;1)),ISNUMBER(AK43),AK43&lt;=(C43+T43)),AY43,0),IF(AND(NOT(AND(AU43=1,AT43&lt;&gt;1)),ISNUMBER(AL43),AL43&lt;=(C43+T43)),AZ43,0),IF(AND(NOT(AND(AU43=1,AT43&lt;&gt;1)),ISNUMBER(AM43),AM43&lt;=(C43+T43)),BA43,0),IF(AND(NOT(AND(AU43=1,AT43&lt;&gt;1)),ISNUMBER(AN43),AN43&lt;=(C43+T43)),BB43,0),IF(AND(ISNUMBER(AO43),AO43&lt;=(C43+T43)),BC43,0))),"SK",IF(AND(IF(AND(NOT(AND(AU43=1,AT43&lt;&gt;1)),ISNUMBER(AL43),AL43&lt;=(C43+T43)),AZ43,0)&gt;0,IF(AND(NOT(AND(AU43=1,AT43&lt;&gt;1)),ISNUMBER(AL43),AL43&lt;=(C43+T43)),AZ43,0)=MAX(IF(AND(NOT(AND(AU43=1,AT43&lt;&gt;1)),ISNUMBER(AK43),AK43&lt;=(C43+T43)),AY43,0),IF(AND(NOT(AND(AU43=1,AT43&lt;&gt;1)),ISNUMBER(AL43),AL43&lt;=(C43+T43)),AZ43,0),IF(AND(NOT(AND(AU43=1,AT43&lt;&gt;1)),ISNUMBER(AM43),AM43&lt;=(C43+T43)),BA43,0),IF(AND(NOT(AND(AU43=1,AT43&lt;&gt;1)),ISNUMBER(AN43),AN43&lt;=(C43+T43)),BB43,0),IF(AND(ISNUMBER(AO43),AO43&lt;=(C43+T43)),BC43,0))),"LB",IF(AND(IF(AND(NOT(AND(AU43=1,AT43&lt;&gt;1)),ISNUMBER(AM43),AM43&lt;=(C43+T43)),BA43,0)&gt;0,IF(AND(NOT(AND(AU43=1,AT43&lt;&gt;1)),ISNUMBER(AM43),AM43&lt;=(C43+T43)),BA43,0)=MAX(IF(AND(NOT(AND(AU43=1,AT43&lt;&gt;1)),ISNUMBER(AK43),AK43&lt;=(C43+T43)),AY43,0),IF(AND(NOT(AND(AU43=1,AT43&lt;&gt;1)),ISNUMBER(AL43),AL43&lt;=(C43+T43)),AZ43,0),IF(AND(NOT(AND(AU43=1,AT43&lt;&gt;1)),ISNUMBER(AM43),AM43&lt;=(C43+T43)),BA43,0),IF(AND(NOT(AND(AU43=1,AT43&lt;&gt;1)),ISNUMBER(AN43),AN43&lt;=(C43+T43)),BB43,0),IF(AND(ISNUMBER(AO43),AO43&lt;=(C43+T43)),BC43,0))),"ML",IF(AND(IF(AND(NOT(AND(AU43=1,AT43&lt;&gt;1)),ISNUMBER(AN43),AN43&lt;=(C43+T43)),BB43,0)&gt;0,IF(AND(NOT(AND(AU43=1,AT43&lt;&gt;1)),ISNUMBER(AN43),AN43&lt;=(C43+T43)),BB43,0)=MAX(IF(AND(NOT(AND(AU43=1,AT43&lt;&gt;1)),ISNUMBER(AK43),AK43&lt;=(C43+T43)),AY43,0),IF(AND(NOT(AND(AU43=1,AT43&lt;&gt;1)),ISNUMBER(AL43),AL43&lt;=(C43+T43)),AZ43,0),IF(AND(NOT(AND(AU43=1,AT43&lt;&gt;1)),ISNUMBER(AM43),AM43&lt;=(C43+T43)),BA43,0),IF(AND(NOT(AND(AU43=1,AT43&lt;&gt;1)),ISNUMBER(AN43),AN43&lt;=(C43+T43)),BB43,0),IF(AND(ISNUMBER(AO43),AO43&lt;=(C43+T43)),BC43,0))),"RLO","BD"))))))))</f>
        <v/>
      </c>
    </row>
    <row r="44">
      <c r="A44" s="26" t="n">
        <v>33</v>
      </c>
      <c r="B44" s="27">
        <f>A44*10/60</f>
        <v/>
      </c>
      <c r="C44" s="22">
        <f>X43</f>
        <v/>
      </c>
      <c r="D44" s="27">
        <f>D43+W43</f>
        <v/>
      </c>
      <c r="E44" s="26">
        <f>E43+IF(U43="SK",1,0)</f>
        <v/>
      </c>
      <c r="F44" s="26">
        <f>F43+IF(U43="LB",1,0)</f>
        <v/>
      </c>
      <c r="G44" s="26">
        <f>G43+IF(U43="ML",1,0)</f>
        <v/>
      </c>
      <c r="H44" s="26">
        <f>H43+IF(U43="RLO",1,0)</f>
        <v/>
      </c>
      <c r="I44" s="26">
        <f>I43+IF(U43="BD",1,0)</f>
        <v/>
      </c>
      <c r="J44" s="26">
        <f>MAX(J43,IF(U43="BiP",1,0))</f>
        <v/>
      </c>
      <c r="K44" s="26">
        <f>MAX(K43,IF(U43="PV",1,0))</f>
        <v/>
      </c>
      <c r="L44" s="26">
        <f>MAX(L43,IF(U43="OC",1,0))</f>
        <v/>
      </c>
      <c r="M44" s="26">
        <f>MAX(M43,IF(U43="MG",1,0))</f>
        <v/>
      </c>
      <c r="N44" s="26">
        <f>MAX(N43,IF(U43="transition",1,0))</f>
        <v/>
      </c>
      <c r="O44" s="28">
        <f>(Parameters!$B$9+(IF(E44=0,0,(Upgrades!$J$13+E44*Upgrades!$K$13)*POWER(Upgrades!$L$13,E44)))*(IF(Upgrades!$T$14="Stellar Kinematics",POWER(Upgrades!$U$14,F44),1)*IF(Upgrades!$T$15="Stellar Kinematics",POWER(Upgrades!$U$15,G44),1)*IF(Upgrades!$T$16="Stellar Kinematics",POWER(Upgrades!$U$16,H44),1)*IF(Upgrades!$T$17="Stellar Kinematics",POWER(Upgrades!$U$17,I44),1)*IF(Upgrades!$T$18="Stellar Kinematics",POWER(Upgrades!$U$18,J44),1)*IF(Upgrades!$T$19="Stellar Kinematics",POWER(Upgrades!$U$19,K44),1)*IF(Upgrades!$T$20="Stellar Kinematics",POWER(Upgrades!$U$20,L44),1)*IF(Upgrades!$T$21="Stellar Kinematics",POWER(Upgrades!$U$21,M44),1))+(IF(F44=0,0,(Upgrades!$J$14+F44*Upgrades!$K$14)*POWER(Upgrades!$L$14,F44)))*(IF(Upgrades!$T$13="Local Bubble",POWER(Upgrades!$U$13,E44),1)*IF(Upgrades!$T$15="Local Bubble",POWER(Upgrades!$U$15,G44),1)*IF(Upgrades!$T$16="Local Bubble",POWER(Upgrades!$U$16,H44),1)*IF(Upgrades!$T$17="Local Bubble",POWER(Upgrades!$U$17,I44),1)*IF(Upgrades!$T$18="Local Bubble",POWER(Upgrades!$U$18,J44),1)*IF(Upgrades!$T$19="Local Bubble",POWER(Upgrades!$U$19,K44),1)*IF(Upgrades!$T$20="Local Bubble",POWER(Upgrades!$U$20,L44),1)*IF(Upgrades!$T$21="Local Bubble",POWER(Upgrades!$U$21,M44),1))+(IF(G44=0,0,(Upgrades!$J$15+G44*Upgrades!$K$15)*POWER(Upgrades!$L$15,G44)))*(IF(Upgrades!$T$13="Microlensing",POWER(Upgrades!$U$13,E44),1)*IF(Upgrades!$T$14="Microlensing",POWER(Upgrades!$U$14,F44),1)*IF(Upgrades!$T$16="Microlensing",POWER(Upgrades!$U$16,H44),1)*IF(Upgrades!$T$17="Microlensing",POWER(Upgrades!$U$17,I44),1)*IF(Upgrades!$T$18="Microlensing",POWER(Upgrades!$U$18,J44),1)*IF(Upgrades!$T$19="Microlensing",POWER(Upgrades!$U$19,K44),1)*IF(Upgrades!$T$20="Microlensing",POWER(Upgrades!$U$20,L44),1)*IF(Upgrades!$T$21="Microlensing",POWER(Upgrades!$U$21,M44),1))+(IF(H44=0,0,(Upgrades!$J$16+H44*Upgrades!$K$16)*POWER(Upgrades!$L$16,H44)))*(IF(Upgrades!$T$13="Roche Lobe Overflow",POWER(Upgrades!$U$13,E44),1)*IF(Upgrades!$T$14="Roche Lobe Overflow",POWER(Upgrades!$U$14,F44),1)*IF(Upgrades!$T$15="Roche Lobe Overflow",POWER(Upgrades!$U$15,G44),1)*IF(Upgrades!$T$17="Roche Lobe Overflow",POWER(Upgrades!$U$17,I44),1)*IF(Upgrades!$T$18="Roche Lobe Overflow",POWER(Upgrades!$U$18,J44),1)*IF(Upgrades!$T$19="Roche Lobe Overflow",POWER(Upgrades!$U$19,K44),1)*IF(Upgrades!$T$20="Roche Lobe Overflow",POWER(Upgrades!$U$20,L44),1)*IF(Upgrades!$T$21="Roche Lobe Overflow",POWER(Upgrades!$U$21,M44),1))+(IF(I44=0,0,(Upgrades!$J$17+I44*Upgrades!$K$17)*POWER(Upgrades!$L$17,I44)))*(IF(Upgrades!$T$13="Brown Dwarf",POWER(Upgrades!$U$13,E44),1)*IF(Upgrades!$T$14="Brown Dwarf",POWER(Upgrades!$U$14,F44),1)*IF(Upgrades!$T$15="Brown Dwarf",POWER(Upgrades!$U$15,G44),1)*IF(Upgrades!$T$16="Brown Dwarf",POWER(Upgrades!$U$16,H44),1)*IF(Upgrades!$T$18="Brown Dwarf",POWER(Upgrades!$U$18,J44),1)*IF(Upgrades!$T$19="Brown Dwarf",POWER(Upgrades!$U$19,K44),1)*IF(Upgrades!$T$20="Brown Dwarf",POWER(Upgrades!$U$20,L44),1)*IF(Upgrades!$T$21="Brown Dwarf",POWER(Upgrades!$U$21,M44),1))+(IF(J44=0,0,(Upgrades!$J$18+J44*Upgrades!$K$18)*POWER(Upgrades!$L$18,J44)))*(IF(Upgrades!$T$13="Binary Partner",POWER(Upgrades!$U$13,E44),1)*IF(Upgrades!$T$14="Binary Partner",POWER(Upgrades!$U$14,F44),1)*IF(Upgrades!$T$15="Binary Partner",POWER(Upgrades!$U$15,G44),1)*IF(Upgrades!$T$16="Binary Partner",POWER(Upgrades!$U$16,H44),1)*IF(Upgrades!$T$17="Binary Partner",POWER(Upgrades!$U$17,I44),1)*IF(Upgrades!$T$19="Binary Partner",POWER(Upgrades!$U$19,K44),1)*IF(Upgrades!$T$20="Binary Partner",POWER(Upgrades!$U$20,L44),1)*IF(Upgrades!$T$21="Binary Partner",POWER(Upgrades!$U$21,M44),1))+(IF(K44=0,0,(Upgrades!$J$19+K44*Upgrades!$K$19)*POWER(Upgrades!$L$19,K44)))*(IF(Upgrades!$T$13="Peculiar Velocity",POWER(Upgrades!$U$13,E44),1)*IF(Upgrades!$T$14="Peculiar Velocity",POWER(Upgrades!$U$14,F44),1)*IF(Upgrades!$T$15="Peculiar Velocity",POWER(Upgrades!$U$15,G44),1)*IF(Upgrades!$T$16="Peculiar Velocity",POWER(Upgrades!$U$16,H44),1)*IF(Upgrades!$T$17="Peculiar Velocity",POWER(Upgrades!$U$17,I44),1)*IF(Upgrades!$T$18="Peculiar Velocity",POWER(Upgrades!$U$18,J44),1)*IF(Upgrades!$T$20="Peculiar Velocity",POWER(Upgrades!$U$20,L44),1)*IF(Upgrades!$T$21="Peculiar Velocity",POWER(Upgrades!$U$21,M44),1))+(IF(L44=0,0,(Upgrades!$J$20+L44*Upgrades!$K$20)*POWER(Upgrades!$L$20,L44)))*(IF(Upgrades!$T$13="Open Cluster",POWER(Upgrades!$U$13,E44),1)*IF(Upgrades!$T$14="Open Cluster",POWER(Upgrades!$U$14,F44),1)*IF(Upgrades!$T$15="Open Cluster",POWER(Upgrades!$U$15,G44),1)*IF(Upgrades!$T$16="Open Cluster",POWER(Upgrades!$U$16,H44),1)*IF(Upgrades!$T$17="Open Cluster",POWER(Upgrades!$U$17,I44),1)*IF(Upgrades!$T$18="Open Cluster",POWER(Upgrades!$U$18,J44),1)*IF(Upgrades!$T$19="Open Cluster",POWER(Upgrades!$U$19,K44),1)*IF(Upgrades!$T$21="Open Cluster",POWER(Upgrades!$U$21,M44),1))+(IF(M44=0,0,(Upgrades!$J$21+M44*Upgrades!$K$21)*POWER(Upgrades!$L$21,M44)))*(IF(Upgrades!$T$13="Moving Group",POWER(Upgrades!$U$13,E44),1)*IF(Upgrades!$T$14="Moving Group",POWER(Upgrades!$U$14,F44),1)*IF(Upgrades!$T$15="Moving Group",POWER(Upgrades!$U$15,G44),1)*IF(Upgrades!$T$16="Moving Group",POWER(Upgrades!$U$16,H44),1)*IF(Upgrades!$T$17="Moving Group",POWER(Upgrades!$U$17,I44),1)*IF(Upgrades!$T$18="Moving Group",POWER(Upgrades!$U$18,J44),1)*IF(Upgrades!$T$19="Moving Group",POWER(Upgrades!$U$19,K44),1)*IF(Upgrades!$T$20="Moving Group",POWER(Upgrades!$U$20,L44),1)))*POWER(Upgrades!$Q$13,E44)*POWER(Upgrades!$Q$14,F44)*POWER(Upgrades!$Q$15,G44)*POWER(Upgrades!$Q$16,H44)*POWER(Upgrades!$Q$17,I44)*POWER(Upgrades!$Q$18,J44)*POWER(Upgrades!$Q$19,K44)*POWER(Upgrades!$Q$20,L44)*POWER(Upgrades!$Q$21,M44)*$G$6+$D$6</f>
        <v/>
      </c>
      <c r="P44" s="28">
        <f>((IF(E44=0,0,(Upgrades!$G$13+E44*Upgrades!$H$13)*POWER(Upgrades!$I$13,E44)))*(IF(Upgrades!$T$14="Stellar Kinematics",POWER(Upgrades!$U$14,F44),1)*IF(Upgrades!$T$15="Stellar Kinematics",POWER(Upgrades!$U$15,G44),1)*IF(Upgrades!$T$16="Stellar Kinematics",POWER(Upgrades!$U$16,H44),1)*IF(Upgrades!$T$17="Stellar Kinematics",POWER(Upgrades!$U$17,I44),1)*IF(Upgrades!$T$18="Stellar Kinematics",POWER(Upgrades!$U$18,J44),1)*IF(Upgrades!$T$19="Stellar Kinematics",POWER(Upgrades!$U$19,K44),1)*IF(Upgrades!$T$20="Stellar Kinematics",POWER(Upgrades!$U$20,L44),1)*IF(Upgrades!$T$21="Stellar Kinematics",POWER(Upgrades!$U$21,M44),1))+(IF(F44=0,0,(Upgrades!$G$14+F44*Upgrades!$H$14)*POWER(Upgrades!$I$14,F44)))*(IF(Upgrades!$T$13="Local Bubble",POWER(Upgrades!$U$13,E44),1)*IF(Upgrades!$T$15="Local Bubble",POWER(Upgrades!$U$15,G44),1)*IF(Upgrades!$T$16="Local Bubble",POWER(Upgrades!$U$16,H44),1)*IF(Upgrades!$T$17="Local Bubble",POWER(Upgrades!$U$17,I44),1)*IF(Upgrades!$T$18="Local Bubble",POWER(Upgrades!$U$18,J44),1)*IF(Upgrades!$T$19="Local Bubble",POWER(Upgrades!$U$19,K44),1)*IF(Upgrades!$T$20="Local Bubble",POWER(Upgrades!$U$20,L44),1)*IF(Upgrades!$T$21="Local Bubble",POWER(Upgrades!$U$21,M44),1))+(IF(G44=0,0,(Upgrades!$G$15+G44*Upgrades!$H$15)*POWER(Upgrades!$I$15,G44)))*(IF(Upgrades!$T$13="Microlensing",POWER(Upgrades!$U$13,E44),1)*IF(Upgrades!$T$14="Microlensing",POWER(Upgrades!$U$14,F44),1)*IF(Upgrades!$T$16="Microlensing",POWER(Upgrades!$U$16,H44),1)*IF(Upgrades!$T$17="Microlensing",POWER(Upgrades!$U$17,I44),1)*IF(Upgrades!$T$18="Microlensing",POWER(Upgrades!$U$18,J44),1)*IF(Upgrades!$T$19="Microlensing",POWER(Upgrades!$U$19,K44),1)*IF(Upgrades!$T$20="Microlensing",POWER(Upgrades!$U$20,L44),1)*IF(Upgrades!$T$21="Microlensing",POWER(Upgrades!$U$21,M44),1))+(IF(H44=0,0,(Upgrades!$G$16+H44*Upgrades!$H$16)*POWER(Upgrades!$I$16,H44)))*(IF(Upgrades!$T$13="Roche Lobe Overflow",POWER(Upgrades!$U$13,E44),1)*IF(Upgrades!$T$14="Roche Lobe Overflow",POWER(Upgrades!$U$14,F44),1)*IF(Upgrades!$T$15="Roche Lobe Overflow",POWER(Upgrades!$U$15,G44),1)*IF(Upgrades!$T$17="Roche Lobe Overflow",POWER(Upgrades!$U$17,I44),1)*IF(Upgrades!$T$18="Roche Lobe Overflow",POWER(Upgrades!$U$18,J44),1)*IF(Upgrades!$T$19="Roche Lobe Overflow",POWER(Upgrades!$U$19,K44),1)*IF(Upgrades!$T$20="Roche Lobe Overflow",POWER(Upgrades!$U$20,L44),1)*IF(Upgrades!$T$21="Roche Lobe Overflow",POWER(Upgrades!$U$21,M44),1))+(IF(I44=0,0,(Upgrades!$G$17+I44*Upgrades!$H$17)*POWER(Upgrades!$I$17,I44)))*(IF(Upgrades!$T$13="Brown Dwarf",POWER(Upgrades!$U$13,E44),1)*IF(Upgrades!$T$14="Brown Dwarf",POWER(Upgrades!$U$14,F44),1)*IF(Upgrades!$T$15="Brown Dwarf",POWER(Upgrades!$U$15,G44),1)*IF(Upgrades!$T$16="Brown Dwarf",POWER(Upgrades!$U$16,H44),1)*IF(Upgrades!$T$18="Brown Dwarf",POWER(Upgrades!$U$18,J44),1)*IF(Upgrades!$T$19="Brown Dwarf",POWER(Upgrades!$U$19,K44),1)*IF(Upgrades!$T$20="Brown Dwarf",POWER(Upgrades!$U$20,L44),1)*IF(Upgrades!$T$21="Brown Dwarf",POWER(Upgrades!$U$21,M44),1))+(IF(J44=0,0,(Upgrades!$G$18+J44*Upgrades!$H$18)*POWER(Upgrades!$I$18,J44)))*(IF(Upgrades!$T$13="Binary Partner",POWER(Upgrades!$U$13,E44),1)*IF(Upgrades!$T$14="Binary Partner",POWER(Upgrades!$U$14,F44),1)*IF(Upgrades!$T$15="Binary Partner",POWER(Upgrades!$U$15,G44),1)*IF(Upgrades!$T$16="Binary Partner",POWER(Upgrades!$U$16,H44),1)*IF(Upgrades!$T$17="Binary Partner",POWER(Upgrades!$U$17,I44),1)*IF(Upgrades!$T$19="Binary Partner",POWER(Upgrades!$U$19,K44),1)*IF(Upgrades!$T$20="Binary Partner",POWER(Upgrades!$U$20,L44),1)*IF(Upgrades!$T$21="Binary Partner",POWER(Upgrades!$U$21,M44),1))+(IF(K44=0,0,(Upgrades!$G$19+K44*Upgrades!$H$19)*POWER(Upgrades!$I$19,K44)))*(IF(Upgrades!$T$13="Peculiar Velocity",POWER(Upgrades!$U$13,E44),1)*IF(Upgrades!$T$14="Peculiar Velocity",POWER(Upgrades!$U$14,F44),1)*IF(Upgrades!$T$15="Peculiar Velocity",POWER(Upgrades!$U$15,G44),1)*IF(Upgrades!$T$16="Peculiar Velocity",POWER(Upgrades!$U$16,H44),1)*IF(Upgrades!$T$17="Peculiar Velocity",POWER(Upgrades!$U$17,I44),1)*IF(Upgrades!$T$18="Peculiar Velocity",POWER(Upgrades!$U$18,J44),1)*IF(Upgrades!$T$20="Peculiar Velocity",POWER(Upgrades!$U$20,L44),1)*IF(Upgrades!$T$21="Peculiar Velocity",POWER(Upgrades!$U$21,M44),1))+(IF(L44=0,0,(Upgrades!$G$20+L44*Upgrades!$H$20)*POWER(Upgrades!$I$20,L44)))*(IF(Upgrades!$T$13="Open Cluster",POWER(Upgrades!$U$13,E44),1)*IF(Upgrades!$T$14="Open Cluster",POWER(Upgrades!$U$14,F44),1)*IF(Upgrades!$T$15="Open Cluster",POWER(Upgrades!$U$15,G44),1)*IF(Upgrades!$T$16="Open Cluster",POWER(Upgrades!$U$16,H44),1)*IF(Upgrades!$T$17="Open Cluster",POWER(Upgrades!$U$17,I44),1)*IF(Upgrades!$T$18="Open Cluster",POWER(Upgrades!$U$18,J44),1)*IF(Upgrades!$T$19="Open Cluster",POWER(Upgrades!$U$19,K44),1)*IF(Upgrades!$T$21="Open Cluster",POWER(Upgrades!$U$21,M44),1))+(IF(M44=0,0,(Upgrades!$G$21+M44*Upgrades!$H$21)*POWER(Upgrades!$I$21,M44)))*(IF(Upgrades!$T$13="Moving Group",POWER(Upgrades!$U$13,E44),1)*IF(Upgrades!$T$14="Moving Group",POWER(Upgrades!$U$14,F44),1)*IF(Upgrades!$T$15="Moving Group",POWER(Upgrades!$U$15,G44),1)*IF(Upgrades!$T$16="Moving Group",POWER(Upgrades!$U$16,H44),1)*IF(Upgrades!$T$17="Moving Group",POWER(Upgrades!$U$17,I44),1)*IF(Upgrades!$T$18="Moving Group",POWER(Upgrades!$U$18,J44),1)*IF(Upgrades!$T$19="Moving Group",POWER(Upgrades!$U$19,K44),1)*IF(Upgrades!$T$20="Moving Group",POWER(Upgrades!$U$20,L44),1)))*POWER(Upgrades!$P$13,E44)*POWER(Upgrades!$P$14,F44)*POWER(Upgrades!$P$15,G44)*POWER(Upgrades!$P$16,H44)*POWER(Upgrades!$P$17,I44)*POWER(Upgrades!$P$18,J44)*POWER(Upgrades!$P$19,K44)*POWER(Upgrades!$P$20,L44)*POWER(Upgrades!$P$21,M44)*$F$6+$C$6</f>
        <v/>
      </c>
      <c r="Q44" s="28">
        <f>((IF(E44=0,0,(Upgrades!$M$13+E44*Upgrades!$N$13)*POWER(Upgrades!$O$13,E44)))*(IF(Upgrades!$T$14="Stellar Kinematics",POWER(Upgrades!$U$14,F44),1)*IF(Upgrades!$T$15="Stellar Kinematics",POWER(Upgrades!$U$15,G44),1)*IF(Upgrades!$T$16="Stellar Kinematics",POWER(Upgrades!$U$16,H44),1)*IF(Upgrades!$T$17="Stellar Kinematics",POWER(Upgrades!$U$17,I44),1)*IF(Upgrades!$T$18="Stellar Kinematics",POWER(Upgrades!$U$18,J44),1)*IF(Upgrades!$T$19="Stellar Kinematics",POWER(Upgrades!$U$19,K44),1)*IF(Upgrades!$T$20="Stellar Kinematics",POWER(Upgrades!$U$20,L44),1)*IF(Upgrades!$T$21="Stellar Kinematics",POWER(Upgrades!$U$21,M44),1))+(IF(F44=0,0,(Upgrades!$M$14+F44*Upgrades!$N$14)*POWER(Upgrades!$O$14,F44)))*(IF(Upgrades!$T$13="Local Bubble",POWER(Upgrades!$U$13,E44),1)*IF(Upgrades!$T$15="Local Bubble",POWER(Upgrades!$U$15,G44),1)*IF(Upgrades!$T$16="Local Bubble",POWER(Upgrades!$U$16,H44),1)*IF(Upgrades!$T$17="Local Bubble",POWER(Upgrades!$U$17,I44),1)*IF(Upgrades!$T$18="Local Bubble",POWER(Upgrades!$U$18,J44),1)*IF(Upgrades!$T$19="Local Bubble",POWER(Upgrades!$U$19,K44),1)*IF(Upgrades!$T$20="Local Bubble",POWER(Upgrades!$U$20,L44),1)*IF(Upgrades!$T$21="Local Bubble",POWER(Upgrades!$U$21,M44),1))+(IF(G44=0,0,(Upgrades!$M$15+G44*Upgrades!$N$15)*POWER(Upgrades!$O$15,G44)))*(IF(Upgrades!$T$13="Microlensing",POWER(Upgrades!$U$13,E44),1)*IF(Upgrades!$T$14="Microlensing",POWER(Upgrades!$U$14,F44),1)*IF(Upgrades!$T$16="Microlensing",POWER(Upgrades!$U$16,H44),1)*IF(Upgrades!$T$17="Microlensing",POWER(Upgrades!$U$17,I44),1)*IF(Upgrades!$T$18="Microlensing",POWER(Upgrades!$U$18,J44),1)*IF(Upgrades!$T$19="Microlensing",POWER(Upgrades!$U$19,K44),1)*IF(Upgrades!$T$20="Microlensing",POWER(Upgrades!$U$20,L44),1)*IF(Upgrades!$T$21="Microlensing",POWER(Upgrades!$U$21,M44),1))+(IF(H44=0,0,(Upgrades!$M$16+H44*Upgrades!$N$16)*POWER(Upgrades!$O$16,H44)))*(IF(Upgrades!$T$13="Roche Lobe Overflow",POWER(Upgrades!$U$13,E44),1)*IF(Upgrades!$T$14="Roche Lobe Overflow",POWER(Upgrades!$U$14,F44),1)*IF(Upgrades!$T$15="Roche Lobe Overflow",POWER(Upgrades!$U$15,G44),1)*IF(Upgrades!$T$17="Roche Lobe Overflow",POWER(Upgrades!$U$17,I44),1)*IF(Upgrades!$T$18="Roche Lobe Overflow",POWER(Upgrades!$U$18,J44),1)*IF(Upgrades!$T$19="Roche Lobe Overflow",POWER(Upgrades!$U$19,K44),1)*IF(Upgrades!$T$20="Roche Lobe Overflow",POWER(Upgrades!$U$20,L44),1)*IF(Upgrades!$T$21="Roche Lobe Overflow",POWER(Upgrades!$U$21,M44),1))+(IF(I44=0,0,(Upgrades!$M$17+I44*Upgrades!$N$17)*POWER(Upgrades!$O$17,I44)))*(IF(Upgrades!$T$13="Brown Dwarf",POWER(Upgrades!$U$13,E44),1)*IF(Upgrades!$T$14="Brown Dwarf",POWER(Upgrades!$U$14,F44),1)*IF(Upgrades!$T$15="Brown Dwarf",POWER(Upgrades!$U$15,G44),1)*IF(Upgrades!$T$16="Brown Dwarf",POWER(Upgrades!$U$16,H44),1)*IF(Upgrades!$T$18="Brown Dwarf",POWER(Upgrades!$U$18,J44),1)*IF(Upgrades!$T$19="Brown Dwarf",POWER(Upgrades!$U$19,K44),1)*IF(Upgrades!$T$20="Brown Dwarf",POWER(Upgrades!$U$20,L44),1)*IF(Upgrades!$T$21="Brown Dwarf",POWER(Upgrades!$U$21,M44),1))+(IF(J44=0,0,(Upgrades!$M$18+J44*Upgrades!$N$18)*POWER(Upgrades!$O$18,J44)))*(IF(Upgrades!$T$13="Binary Partner",POWER(Upgrades!$U$13,E44),1)*IF(Upgrades!$T$14="Binary Partner",POWER(Upgrades!$U$14,F44),1)*IF(Upgrades!$T$15="Binary Partner",POWER(Upgrades!$U$15,G44),1)*IF(Upgrades!$T$16="Binary Partner",POWER(Upgrades!$U$16,H44),1)*IF(Upgrades!$T$17="Binary Partner",POWER(Upgrades!$U$17,I44),1)*IF(Upgrades!$T$19="Binary Partner",POWER(Upgrades!$U$19,K44),1)*IF(Upgrades!$T$20="Binary Partner",POWER(Upgrades!$U$20,L44),1)*IF(Upgrades!$T$21="Binary Partner",POWER(Upgrades!$U$21,M44),1))+(IF(K44=0,0,(Upgrades!$M$19+K44*Upgrades!$N$19)*POWER(Upgrades!$O$19,K44)))*(IF(Upgrades!$T$13="Peculiar Velocity",POWER(Upgrades!$U$13,E44),1)*IF(Upgrades!$T$14="Peculiar Velocity",POWER(Upgrades!$U$14,F44),1)*IF(Upgrades!$T$15="Peculiar Velocity",POWER(Upgrades!$U$15,G44),1)*IF(Upgrades!$T$16="Peculiar Velocity",POWER(Upgrades!$U$16,H44),1)*IF(Upgrades!$T$17="Peculiar Velocity",POWER(Upgrades!$U$17,I44),1)*IF(Upgrades!$T$18="Peculiar Velocity",POWER(Upgrades!$U$18,J44),1)*IF(Upgrades!$T$20="Peculiar Velocity",POWER(Upgrades!$U$20,L44),1)*IF(Upgrades!$T$21="Peculiar Velocity",POWER(Upgrades!$U$21,M44),1))+(IF(L44=0,0,(Upgrades!$M$20+L44*Upgrades!$N$20)*POWER(Upgrades!$O$20,L44)))*(IF(Upgrades!$T$13="Open Cluster",POWER(Upgrades!$U$13,E44),1)*IF(Upgrades!$T$14="Open Cluster",POWER(Upgrades!$U$14,F44),1)*IF(Upgrades!$T$15="Open Cluster",POWER(Upgrades!$U$15,G44),1)*IF(Upgrades!$T$16="Open Cluster",POWER(Upgrades!$U$16,H44),1)*IF(Upgrades!$T$17="Open Cluster",POWER(Upgrades!$U$17,I44),1)*IF(Upgrades!$T$18="Open Cluster",POWER(Upgrades!$U$18,J44),1)*IF(Upgrades!$T$19="Open Cluster",POWER(Upgrades!$U$19,K44),1)*IF(Upgrades!$T$21="Open Cluster",POWER(Upgrades!$U$21,M44),1))+(IF(M44=0,0,(Upgrades!$M$21+M44*Upgrades!$N$21)*POWER(Upgrades!$O$21,M44)))*(IF(Upgrades!$T$13="Moving Group",POWER(Upgrades!$U$13,E44),1)*IF(Upgrades!$T$14="Moving Group",POWER(Upgrades!$U$14,F44),1)*IF(Upgrades!$T$15="Moving Group",POWER(Upgrades!$U$15,G44),1)*IF(Upgrades!$T$16="Moving Group",POWER(Upgrades!$U$16,H44),1)*IF(Upgrades!$T$17="Moving Group",POWER(Upgrades!$U$17,I44),1)*IF(Upgrades!$T$18="Moving Group",POWER(Upgrades!$U$18,J44),1)*IF(Upgrades!$T$19="Moving Group",POWER(Upgrades!$U$19,K44),1)*IF(Upgrades!$T$20="Moving Group",POWER(Upgrades!$U$20,L44),1)))*POWER(Upgrades!$R$13,E44)*POWER(Upgrades!$R$14,F44)*POWER(Upgrades!$R$15,G44)*POWER(Upgrades!$R$16,H44)*POWER(Upgrades!$R$17,I44)*POWER(Upgrades!$R$18,J44)*POWER(Upgrades!$R$19,K44)*POWER(Upgrades!$R$20,L44)*POWER(Upgrades!$R$21,M44)*$H$6+$E$6</f>
        <v/>
      </c>
      <c r="R44" s="27">
        <f>IF(N44=1,0,O44*Parameters!$B$10/60*Parameters!$B$11*10)</f>
        <v/>
      </c>
      <c r="S44" s="27">
        <f>IF(N44=1,0,Q44*O44*10)</f>
        <v/>
      </c>
      <c r="T44" s="27">
        <f>IF(N44=1,0,R44+S44+P44*10)</f>
        <v/>
      </c>
      <c r="U44" s="33">
        <f>BE44</f>
        <v/>
      </c>
      <c r="V44" s="22">
        <f>IF(U44="",0,IF(U44="transition",0,IF(U44="SK",AK44,IF(U44="LB",AL44,IF(U44="ML",AM44,IF(U44="RLO",AN44,IF(U44="BD",AO44,IF(U44="BiP",AP44,IF(U44="PV",AQ44,IF(U44="OC",AR44,IF(U44="MG",AS44,0))))))))))</f>
        <v/>
      </c>
      <c r="W44" s="27">
        <f>IF(U44="BiP",Upgrades!$F$18,IF(U44="PV",Upgrades!$F$19,IF(U44="OC",Upgrades!$F$20,IF(U44="MG",Upgrades!$F$21,IF(U44="transition",-Parameters!$B$18*Parameters!$B$19,0)))))</f>
        <v/>
      </c>
      <c r="X44" s="22">
        <f>C44+T44-V44</f>
        <v/>
      </c>
      <c r="Y44" s="30">
        <f>O44*Parameters!$B$10/60*Parameters!$B$11+Q44*O44+P44</f>
        <v/>
      </c>
      <c r="Z44" s="34">
        <f>IF(U44="transition","→ Tier 3 (Galactic Arm)",IF(U44="MG","Moving Group — pocket drifts together",IF(U44="OC","Open Cluster acquired",IF(U44="PV","Peculiar Velocity — passive multiplier active",IF(U44="BiP","Binary Partner — pair bond formed",IF(AND(AU44=1,N44=0,AT44&lt;&gt;1),"Cohesion ready (waiting on completionists)","")))))) </f>
        <v/>
      </c>
      <c r="AA44" s="27">
        <f>(IF(E44=0,0,(Upgrades!$G$13+E44*Upgrades!$H$13)*POWER(Upgrades!$I$13,E44)))*(IF(Upgrades!$T$14="Stellar Kinematics",POWER(Upgrades!$U$14,F44),1)*IF(Upgrades!$T$15="Stellar Kinematics",POWER(Upgrades!$U$15,G44),1)*IF(Upgrades!$T$16="Stellar Kinematics",POWER(Upgrades!$U$16,H44),1)*IF(Upgrades!$T$17="Stellar Kinematics",POWER(Upgrades!$U$17,I44),1)*IF(Upgrades!$T$18="Stellar Kinematics",POWER(Upgrades!$U$18,J44),1)*IF(Upgrades!$T$19="Stellar Kinematics",POWER(Upgrades!$U$19,K44),1)*IF(Upgrades!$T$20="Stellar Kinematics",POWER(Upgrades!$U$20,L44),1)*IF(Upgrades!$T$21="Stellar Kinematics",POWER(Upgrades!$U$21,M44),1))*POWER(Upgrades!$P$13,E44)*POWER(Upgrades!$P$14,F44)*POWER(Upgrades!$P$15,G44)*POWER(Upgrades!$P$16,H44)*POWER(Upgrades!$P$17,I44)*POWER(Upgrades!$P$18,J44)*POWER(Upgrades!$P$19,K44)*POWER(Upgrades!$P$20,L44)*POWER(Upgrades!$P$21,M44)*$F$6*60</f>
        <v/>
      </c>
      <c r="AB44" s="27">
        <f>(IF(F44=0,0,(Upgrades!$G$14+F44*Upgrades!$H$14)*POWER(Upgrades!$I$14,F44)))*(IF(Upgrades!$T$13="Local Bubble",POWER(Upgrades!$U$13,E44),1)*IF(Upgrades!$T$15="Local Bubble",POWER(Upgrades!$U$15,G44),1)*IF(Upgrades!$T$16="Local Bubble",POWER(Upgrades!$U$16,H44),1)*IF(Upgrades!$T$17="Local Bubble",POWER(Upgrades!$U$17,I44),1)*IF(Upgrades!$T$18="Local Bubble",POWER(Upgrades!$U$18,J44),1)*IF(Upgrades!$T$19="Local Bubble",POWER(Upgrades!$U$19,K44),1)*IF(Upgrades!$T$20="Local Bubble",POWER(Upgrades!$U$20,L44),1)*IF(Upgrades!$T$21="Local Bubble",POWER(Upgrades!$U$21,M44),1))*POWER(Upgrades!$P$13,E44)*POWER(Upgrades!$P$14,F44)*POWER(Upgrades!$P$15,G44)*POWER(Upgrades!$P$16,H44)*POWER(Upgrades!$P$17,I44)*POWER(Upgrades!$P$18,J44)*POWER(Upgrades!$P$19,K44)*POWER(Upgrades!$P$20,L44)*POWER(Upgrades!$P$21,M44)*$F$6*60</f>
        <v/>
      </c>
      <c r="AC44" s="27">
        <f>(IF(G44=0,0,(Upgrades!$J$15+G44*Upgrades!$K$15)*POWER(Upgrades!$L$15,G44)))*(IF(Upgrades!$T$13="Microlensing",POWER(Upgrades!$U$13,E44),1)*IF(Upgrades!$T$14="Microlensing",POWER(Upgrades!$U$14,F44),1)*IF(Upgrades!$T$16="Microlensing",POWER(Upgrades!$U$16,H44),1)*IF(Upgrades!$T$17="Microlensing",POWER(Upgrades!$U$17,I44),1)*IF(Upgrades!$T$18="Microlensing",POWER(Upgrades!$U$18,J44),1)*IF(Upgrades!$T$19="Microlensing",POWER(Upgrades!$U$19,K44),1)*IF(Upgrades!$T$20="Microlensing",POWER(Upgrades!$U$20,L44),1)*IF(Upgrades!$T$21="Microlensing",POWER(Upgrades!$U$21,M44),1))*POWER(Upgrades!$Q$13,E44)*POWER(Upgrades!$Q$14,F44)*POWER(Upgrades!$Q$15,G44)*POWER(Upgrades!$Q$16,H44)*POWER(Upgrades!$Q$17,I44)*POWER(Upgrades!$Q$18,J44)*POWER(Upgrades!$Q$19,K44)*POWER(Upgrades!$Q$20,L44)*POWER(Upgrades!$Q$21,M44)*$G$6*(Parameters!$B$10*Parameters!$B$11+Q44*60)</f>
        <v/>
      </c>
      <c r="AD44" s="27">
        <f>(IF(H44=0,0,(Upgrades!$M$16+H44*Upgrades!$N$16)*POWER(Upgrades!$O$16,H44)))*(IF(Upgrades!$T$13="Roche Lobe Overflow",POWER(Upgrades!$U$13,E44),1)*IF(Upgrades!$T$14="Roche Lobe Overflow",POWER(Upgrades!$U$14,F44),1)*IF(Upgrades!$T$15="Roche Lobe Overflow",POWER(Upgrades!$U$15,G44),1)*IF(Upgrades!$T$17="Roche Lobe Overflow",POWER(Upgrades!$U$17,I44),1)*IF(Upgrades!$T$18="Roche Lobe Overflow",POWER(Upgrades!$U$18,J44),1)*IF(Upgrades!$T$19="Roche Lobe Overflow",POWER(Upgrades!$U$19,K44),1)*IF(Upgrades!$T$20="Roche Lobe Overflow",POWER(Upgrades!$U$20,L44),1)*IF(Upgrades!$T$21="Roche Lobe Overflow",POWER(Upgrades!$U$21,M44),1))*POWER(Upgrades!$R$13,E44)*POWER(Upgrades!$R$14,F44)*POWER(Upgrades!$R$15,G44)*POWER(Upgrades!$R$16,H44)*POWER(Upgrades!$R$17,I44)*POWER(Upgrades!$R$18,J44)*POWER(Upgrades!$R$19,K44)*POWER(Upgrades!$R$20,L44)*POWER(Upgrades!$R$21,M44)*$H$6*O44*60</f>
        <v/>
      </c>
      <c r="AE44" s="27">
        <f>(IF(I44=0,0,(Upgrades!$G$17+I44*Upgrades!$H$17)*POWER(Upgrades!$I$17,I44)))*(IF(Upgrades!$T$13="Brown Dwarf",POWER(Upgrades!$U$13,E44),1)*IF(Upgrades!$T$14="Brown Dwarf",POWER(Upgrades!$U$14,F44),1)*IF(Upgrades!$T$15="Brown Dwarf",POWER(Upgrades!$U$15,G44),1)*IF(Upgrades!$T$16="Brown Dwarf",POWER(Upgrades!$U$16,H44),1)*IF(Upgrades!$T$18="Brown Dwarf",POWER(Upgrades!$U$18,J44),1)*IF(Upgrades!$T$19="Brown Dwarf",POWER(Upgrades!$U$19,K44),1)*IF(Upgrades!$T$20="Brown Dwarf",POWER(Upgrades!$U$20,L44),1)*IF(Upgrades!$T$21="Brown Dwarf",POWER(Upgrades!$U$21,M44),1))*POWER(Upgrades!$P$13,E44)*POWER(Upgrades!$P$14,F44)*POWER(Upgrades!$P$15,G44)*POWER(Upgrades!$P$16,H44)*POWER(Upgrades!$P$17,I44)*POWER(Upgrades!$P$18,J44)*POWER(Upgrades!$P$19,K44)*POWER(Upgrades!$P$20,L44)*POWER(Upgrades!$P$21,M44)*$F$6*60</f>
        <v/>
      </c>
      <c r="AF44" s="27" t="n">
        <v>0</v>
      </c>
      <c r="AG44" s="27" t="n">
        <v>0</v>
      </c>
      <c r="AH44" s="27" t="n">
        <v>0</v>
      </c>
      <c r="AI44" s="27">
        <f>(IF(M44=0,0,(Upgrades!$G$21+M44*Upgrades!$H$21)*POWER(Upgrades!$I$21,M44)))*(IF(Upgrades!$T$13="Moving Group",POWER(Upgrades!$U$13,E44),1)*IF(Upgrades!$T$14="Moving Group",POWER(Upgrades!$U$14,F44),1)*IF(Upgrades!$T$15="Moving Group",POWER(Upgrades!$U$15,G44),1)*IF(Upgrades!$T$16="Moving Group",POWER(Upgrades!$U$16,H44),1)*IF(Upgrades!$T$17="Moving Group",POWER(Upgrades!$U$17,I44),1)*IF(Upgrades!$T$18="Moving Group",POWER(Upgrades!$U$18,J44),1)*IF(Upgrades!$T$19="Moving Group",POWER(Upgrades!$U$19,K44),1)*IF(Upgrades!$T$20="Moving Group",POWER(Upgrades!$U$20,L44),1))*POWER(Upgrades!$P$13,E44)*POWER(Upgrades!$P$14,F44)*POWER(Upgrades!$P$15,G44)*POWER(Upgrades!$P$16,H44)*POWER(Upgrades!$P$17,I44)*POWER(Upgrades!$P$18,J44)*POWER(Upgrades!$P$19,K44)*POWER(Upgrades!$P$20,L44)*POWER(Upgrades!$P$21,M44)*$F$6*60</f>
        <v/>
      </c>
      <c r="AJ44" s="27">
        <f>$C$6*60</f>
        <v/>
      </c>
      <c r="AK44" s="22">
        <f>IF(E44&gt;=Upgrades!$E$13,"",Upgrades!$C$13*POWER(Upgrades!$D$13,E44))</f>
        <v/>
      </c>
      <c r="AL44" s="22">
        <f>IF(F44&gt;=Upgrades!$E$14,"",Upgrades!$C$14*POWER(Upgrades!$D$14,F44))</f>
        <v/>
      </c>
      <c r="AM44" s="22">
        <f>IF(G44&gt;=Upgrades!$E$15,"",Upgrades!$C$15*POWER(Upgrades!$D$15,G44))</f>
        <v/>
      </c>
      <c r="AN44" s="22">
        <f>IF(H44&gt;=Upgrades!$E$16,"",Upgrades!$C$16*POWER(Upgrades!$D$16,H44))</f>
        <v/>
      </c>
      <c r="AO44" s="22">
        <f>IF(I44&gt;=Upgrades!$E$17,"",Upgrades!$C$17*POWER(Upgrades!$D$17,I44))</f>
        <v/>
      </c>
      <c r="AP44" s="22">
        <f>IF(J44&gt;=Upgrades!$E$18,"",Upgrades!$C$18*POWER(Upgrades!$D$18,J44))</f>
        <v/>
      </c>
      <c r="AQ44" s="22">
        <f>IF(K44&gt;=Upgrades!$E$19,"",Upgrades!$C$19*POWER(Upgrades!$D$19,K44))</f>
        <v/>
      </c>
      <c r="AR44" s="22">
        <f>IF(L44&gt;=Upgrades!$E$20,"",Upgrades!$C$20*POWER(Upgrades!$D$20,L44))</f>
        <v/>
      </c>
      <c r="AS44" s="22">
        <f>IF(M44&gt;=Upgrades!$E$21,"",Upgrades!$C$21*POWER(Upgrades!$D$21,M44))</f>
        <v/>
      </c>
      <c r="AT44" s="26">
        <f>IF(AND(D44&gt;=Parameters!$B$18*Parameters!$B$19,(I44&gt;=Upgrades!$E$17)*(M44&gt;=Upgrades!$E$21)=1,N44=0),1,"")</f>
        <v/>
      </c>
      <c r="AU44" s="26">
        <f>IF(AND(D44&gt;=Parameters!$B$18*Parameters!$B$19,N44=0),1,"")</f>
        <v/>
      </c>
      <c r="AV44" s="22">
        <f>MIN(IF(ISNUMBER(AP44),AP44,9E15),IF(ISNUMBER(AQ44),AQ44,9E15),IF(ISNUMBER(AR44),AR44,9E15),IF(ISNUMBER(AS44),AS44,9E15))</f>
        <v/>
      </c>
      <c r="AW44" s="22">
        <f>MIN(IF(ISNUMBER(AK44),AK44,9E15),IF(ISNUMBER(AL44),AL44,9E15),IF(ISNUMBER(AM44),AM44,9E15),IF(ISNUMBER(AN44),AN44,9E15),IF(ISNUMBER(AO44),AO44,9E15))</f>
        <v/>
      </c>
      <c r="AX44" s="29">
        <f>IF(BD44&gt;Parameters!$B$21*(MAX(IF(AND(NOT(AND(AU44=1,AT44&lt;&gt;1)),ISNUMBER(AK44),AK44&lt;=(C44+T44)),AY44,0),IF(AND(NOT(AND(AU44=1,AT44&lt;&gt;1)),ISNUMBER(AL44),AL44&lt;=(C44+T44)),AZ44,0),IF(AND(NOT(AND(AU44=1,AT44&lt;&gt;1)),ISNUMBER(AM44),AM44&lt;=(C44+T44)),BA44,0),IF(AND(NOT(AND(AU44=1,AT44&lt;&gt;1)),ISNUMBER(AN44),AN44&lt;=(C44+T44)),BB44,0),IF(AND(ISNUMBER(AO44),AO44&lt;=(C44+T44)),BC44,0))),TRUE,FALSE)</f>
        <v/>
      </c>
      <c r="AY44" s="32">
        <f>IFERROR(Upgrades!$H$13*(POWER(Upgrades!$P$13,E44)*POWER(Upgrades!$P$14,F44)*POWER(Upgrades!$P$15,G44)*POWER(Upgrades!$P$16,H44)*POWER(Upgrades!$P$17,I44)*POWER(Upgrades!$P$18,J44)*POWER(Upgrades!$P$19,K44)*POWER(Upgrades!$P$20,L44)*POWER(Upgrades!$P$21,M44))*(IF(Upgrades!$T$14="Stellar Kinematics",POWER(Upgrades!$U$14,F44),1)*IF(Upgrades!$T$15="Stellar Kinematics",POWER(Upgrades!$U$15,G44),1)*IF(Upgrades!$T$16="Stellar Kinematics",POWER(Upgrades!$U$16,H44),1)*IF(Upgrades!$T$17="Stellar Kinematics",POWER(Upgrades!$U$17,I44),1)*IF(Upgrades!$T$18="Stellar Kinematics",POWER(Upgrades!$U$18,J44),1)*IF(Upgrades!$T$19="Stellar Kinematics",POWER(Upgrades!$U$19,K44),1)*IF(Upgrades!$T$20="Stellar Kinematics",POWER(Upgrades!$U$20,L44),1)*IF(Upgrades!$T$21="Stellar Kinematics",POWER(Upgrades!$U$21,M44),1))*$F$6/AK44,0)</f>
        <v/>
      </c>
      <c r="AZ44" s="32">
        <f>IFERROR(Upgrades!$H$14*(POWER(Upgrades!$P$13,E44)*POWER(Upgrades!$P$14,F44)*POWER(Upgrades!$P$15,G44)*POWER(Upgrades!$P$16,H44)*POWER(Upgrades!$P$17,I44)*POWER(Upgrades!$P$18,J44)*POWER(Upgrades!$P$19,K44)*POWER(Upgrades!$P$20,L44)*POWER(Upgrades!$P$21,M44))*(IF(Upgrades!$T$13="Local Bubble",POWER(Upgrades!$U$13,E44),1)*IF(Upgrades!$T$15="Local Bubble",POWER(Upgrades!$U$15,G44),1)*IF(Upgrades!$T$16="Local Bubble",POWER(Upgrades!$U$16,H44),1)*IF(Upgrades!$T$17="Local Bubble",POWER(Upgrades!$U$17,I44),1)*IF(Upgrades!$T$18="Local Bubble",POWER(Upgrades!$U$18,J44),1)*IF(Upgrades!$T$19="Local Bubble",POWER(Upgrades!$U$19,K44),1)*IF(Upgrades!$T$20="Local Bubble",POWER(Upgrades!$U$20,L44),1)*IF(Upgrades!$T$21="Local Bubble",POWER(Upgrades!$U$21,M44),1))*$F$6/AL44,0)</f>
        <v/>
      </c>
      <c r="BA44" s="32">
        <f>IFERROR(Upgrades!$K$15*(POWER(Upgrades!$Q$13,E44)*POWER(Upgrades!$Q$14,F44)*POWER(Upgrades!$Q$15,G44)*POWER(Upgrades!$Q$16,H44)*POWER(Upgrades!$Q$17,I44)*POWER(Upgrades!$Q$18,J44)*POWER(Upgrades!$Q$19,K44)*POWER(Upgrades!$Q$20,L44)*POWER(Upgrades!$Q$21,M44))*(IF(Upgrades!$T$13="Microlensing",POWER(Upgrades!$U$13,E44),1)*IF(Upgrades!$T$14="Microlensing",POWER(Upgrades!$U$14,F44),1)*IF(Upgrades!$T$16="Microlensing",POWER(Upgrades!$U$16,H44),1)*IF(Upgrades!$T$17="Microlensing",POWER(Upgrades!$U$17,I44),1)*IF(Upgrades!$T$18="Microlensing",POWER(Upgrades!$U$18,J44),1)*IF(Upgrades!$T$19="Microlensing",POWER(Upgrades!$U$19,K44),1)*IF(Upgrades!$T$20="Microlensing",POWER(Upgrades!$U$20,L44),1)*IF(Upgrades!$T$21="Microlensing",POWER(Upgrades!$U$21,M44),1))*$G$6*(Parameters!$B$10/60*Parameters!$B$11+Q44)/AM44,0)</f>
        <v/>
      </c>
      <c r="BB44" s="32">
        <f>IFERROR((Upgrades!$N$16*(POWER(Upgrades!$R$13,E44)*POWER(Upgrades!$R$14,F44)*POWER(Upgrades!$R$15,G44)*POWER(Upgrades!$R$16,H44)*POWER(Upgrades!$R$17,I44)*POWER(Upgrades!$R$18,J44)*POWER(Upgrades!$R$19,K44)*POWER(Upgrades!$R$20,L44)*POWER(Upgrades!$R$21,M44))*(IF(Upgrades!$T$13="Roche Lobe Overflow",POWER(Upgrades!$U$13,E44),1)*IF(Upgrades!$T$14="Roche Lobe Overflow",POWER(Upgrades!$U$14,F44),1)*IF(Upgrades!$T$15="Roche Lobe Overflow",POWER(Upgrades!$U$15,G44),1)*IF(Upgrades!$T$17="Roche Lobe Overflow",POWER(Upgrades!$U$17,I44),1)*IF(Upgrades!$T$18="Roche Lobe Overflow",POWER(Upgrades!$U$18,J44),1)*IF(Upgrades!$T$19="Roche Lobe Overflow",POWER(Upgrades!$U$19,K44),1)*IF(Upgrades!$T$20="Roche Lobe Overflow",POWER(Upgrades!$U$20,L44),1)*IF(Upgrades!$T$21="Roche Lobe Overflow",POWER(Upgrades!$U$21,M44),1))*$H$6*O44+((IF(F44=0,0,(Upgrades!$G$14+F44*Upgrades!$H$14)*POWER(Upgrades!$I$14,F44)))*(IF(Upgrades!$T$13="Local Bubble",POWER(Upgrades!$U$13,E44),1)*IF(Upgrades!$T$15="Local Bubble",POWER(Upgrades!$U$15,G44),1)*IF(Upgrades!$T$16="Local Bubble",POWER(Upgrades!$U$16,H44),1)*IF(Upgrades!$T$17="Local Bubble",POWER(Upgrades!$U$17,I44),1)*IF(Upgrades!$T$18="Local Bubble",POWER(Upgrades!$U$18,J44),1)*IF(Upgrades!$T$19="Local Bubble",POWER(Upgrades!$U$19,K44),1)*IF(Upgrades!$T$20="Local Bubble",POWER(Upgrades!$U$20,L44),1)*IF(Upgrades!$T$21="Local Bubble",POWER(Upgrades!$U$21,M44),1))*POWER(Upgrades!$P$13,E44)*POWER(Upgrades!$P$14,F44)*POWER(Upgrades!$P$15,G44)*POWER(Upgrades!$P$16,H44)*POWER(Upgrades!$P$17,I44)*POWER(Upgrades!$P$18,J44)*POWER(Upgrades!$P$19,K44)*POWER(Upgrades!$P$20,L44)*POWER(Upgrades!$P$21,M44)*$F$6)*0.05)/AN44,0)</f>
        <v/>
      </c>
      <c r="BC44" s="32">
        <f>IFERROR((Upgrades!$H$17*(POWER(Upgrades!$P$13,E44)*POWER(Upgrades!$P$14,F44)*POWER(Upgrades!$P$15,G44)*POWER(Upgrades!$P$16,H44)*POWER(Upgrades!$P$17,I44)*POWER(Upgrades!$P$18,J44)*POWER(Upgrades!$P$19,K44)*POWER(Upgrades!$P$20,L44)*POWER(Upgrades!$P$21,M44))*(IF(Upgrades!$T$13="Brown Dwarf",POWER(Upgrades!$U$13,E44),1)*IF(Upgrades!$T$14="Brown Dwarf",POWER(Upgrades!$U$14,F44),1)*IF(Upgrades!$T$15="Brown Dwarf",POWER(Upgrades!$U$15,G44),1)*IF(Upgrades!$T$16="Brown Dwarf",POWER(Upgrades!$U$16,H44),1)*IF(Upgrades!$T$18="Brown Dwarf",POWER(Upgrades!$U$18,J44),1)*IF(Upgrades!$T$19="Brown Dwarf",POWER(Upgrades!$U$19,K44),1)*IF(Upgrades!$T$20="Brown Dwarf",POWER(Upgrades!$U$20,L44),1)*IF(Upgrades!$T$21="Brown Dwarf",POWER(Upgrades!$U$21,M44),1))*$F$6+(((IF(H44=0,0,(Upgrades!$M$16+H44*Upgrades!$N$16)*POWER(Upgrades!$O$16,H44)))*(IF(Upgrades!$T$13="Roche Lobe Overflow",POWER(Upgrades!$U$13,E44),1)*IF(Upgrades!$T$14="Roche Lobe Overflow",POWER(Upgrades!$U$14,F44),1)*IF(Upgrades!$T$15="Roche Lobe Overflow",POWER(Upgrades!$U$15,G44),1)*IF(Upgrades!$T$17="Roche Lobe Overflow",POWER(Upgrades!$U$17,I44),1)*IF(Upgrades!$T$18="Roche Lobe Overflow",POWER(Upgrades!$U$18,J44),1)*IF(Upgrades!$T$19="Roche Lobe Overflow",POWER(Upgrades!$U$19,K44),1)*IF(Upgrades!$T$20="Roche Lobe Overflow",POWER(Upgrades!$U$20,L44),1)*IF(Upgrades!$T$21="Roche Lobe Overflow",POWER(Upgrades!$U$21,M44),1))*POWER(Upgrades!$R$13,E44)*POWER(Upgrades!$R$14,F44)*POWER(Upgrades!$R$15,G44)*POWER(Upgrades!$R$16,H44)*POWER(Upgrades!$R$17,I44)*POWER(Upgrades!$R$18,J44)*POWER(Upgrades!$R$19,K44)*POWER(Upgrades!$R$20,L44)*POWER(Upgrades!$R$21,M44)*$H$6)*O44)*0.10)/AO44,0)</f>
        <v/>
      </c>
      <c r="BD44" s="32">
        <f>MAX(IF(J44&gt;0,0,IFERROR(0.5*((IF(G44=0,0,(Upgrades!$J$15+G44*Upgrades!$K$15)*POWER(Upgrades!$L$15,G44)))*(IF(Upgrades!$T$13="Microlensing",POWER(Upgrades!$U$13,E44),1)*IF(Upgrades!$T$14="Microlensing",POWER(Upgrades!$U$14,F44),1)*IF(Upgrades!$T$16="Microlensing",POWER(Upgrades!$U$16,H44),1)*IF(Upgrades!$T$17="Microlensing",POWER(Upgrades!$U$17,I44),1)*IF(Upgrades!$T$18="Microlensing",POWER(Upgrades!$U$18,J44),1)*IF(Upgrades!$T$19="Microlensing",POWER(Upgrades!$U$19,K44),1)*IF(Upgrades!$T$20="Microlensing",POWER(Upgrades!$U$20,L44),1)*IF(Upgrades!$T$21="Microlensing",POWER(Upgrades!$U$21,M44),1))*(POWER(Upgrades!$Q$13,E44)*POWER(Upgrades!$Q$14,F44)*POWER(Upgrades!$Q$15,G44)*POWER(Upgrades!$Q$16,H44)*POWER(Upgrades!$Q$17,I44)*POWER(Upgrades!$Q$18,J44)*POWER(Upgrades!$Q$19,K44)*POWER(Upgrades!$Q$20,L44)*POWER(Upgrades!$Q$21,M44))*$G$6*(Parameters!$B$10/60*Parameters!$B$11+Q44))/Upgrades!$C$18,0)),IF(K44&gt;0,0,IFERROR(0.30*P44/Upgrades!$C$19,0)),IF(L44&gt;0,0,IFERROR(0.0001/Upgrades!$C$20,0)),IF(M44&gt;0,0,IFERROR((6.0*(POWER(Upgrades!$P$13,E44)*POWER(Upgrades!$P$14,F44)*POWER(Upgrades!$P$15,G44)*POWER(Upgrades!$P$16,H44)*POWER(Upgrades!$P$17,I44)*POWER(Upgrades!$P$18,J44)*POWER(Upgrades!$P$19,K44)*POWER(Upgrades!$P$20,L44)*POWER(Upgrades!$P$21,M44))*$F$6+0.20*O44*(Parameters!$B$10/60*Parameters!$B$11+Q44))/Upgrades!$C$21,0)),IF(AND(ISNUMBER(AK44),AK44&gt;(C44+T44)),AY44,0),IF(AND(ISNUMBER(AL44),AL44&gt;(C44+T44)),AZ44,0),IF(AND(ISNUMBER(AM44),AM44&gt;(C44+T44)),BA44,0),IF(AND(ISNUMBER(AN44),AN44&gt;(C44+T44)),BB44,0),IF(AND(ISNUMBER(AO44),AO44&gt;(C44+T44)),BC44,0))</f>
        <v/>
      </c>
      <c r="BE44" s="29">
        <f>IF(AT44=1,"transition",IF(MIN(IF(AND(J44=0,ISNUMBER(AP44),AP44&lt;=(C44+T44)),AP44,9E15),IF(AND(K44=0,ISNUMBER(AQ44),AQ44&lt;=(C44+T44)),AQ44,9E15),IF(AND(L44=0,ISNUMBER(AR44),AR44&lt;=(C44+T44)),AR44,9E15),IF(AND(M44=0,ISNUMBER(AS44),AS44&lt;=(C44+T44)),AS44,9E15))&lt;9E15,IF(AND(AND(J44=0,ISNUMBER(AP44),AP44&lt;=(C44+T44)),AP44=MIN(IF(AND(J44=0,ISNUMBER(AP44),AP44&lt;=(C44+T44)),AP44,9E15),IF(AND(K44=0,ISNUMBER(AQ44),AQ44&lt;=(C44+T44)),AQ44,9E15),IF(AND(L44=0,ISNUMBER(AR44),AR44&lt;=(C44+T44)),AR44,9E15),IF(AND(M44=0,ISNUMBER(AS44),AS44&lt;=(C44+T44)),AS44,9E15))),"BiP",IF(AND(AND(K44=0,ISNUMBER(AQ44),AQ44&lt;=(C44+T44)),AQ44=MIN(IF(AND(J44=0,ISNUMBER(AP44),AP44&lt;=(C44+T44)),AP44,9E15),IF(AND(K44=0,ISNUMBER(AQ44),AQ44&lt;=(C44+T44)),AQ44,9E15),IF(AND(L44=0,ISNUMBER(AR44),AR44&lt;=(C44+T44)),AR44,9E15),IF(AND(M44=0,ISNUMBER(AS44),AS44&lt;=(C44+T44)),AS44,9E15))),"PV",IF(AND(AND(L44=0,ISNUMBER(AR44),AR44&lt;=(C44+T44)),AR44=MIN(IF(AND(J44=0,ISNUMBER(AP44),AP44&lt;=(C44+T44)),AP44,9E15),IF(AND(K44=0,ISNUMBER(AQ44),AQ44&lt;=(C44+T44)),AQ44,9E15),IF(AND(L44=0,ISNUMBER(AR44),AR44&lt;=(C44+T44)),AR44,9E15),IF(AND(M44=0,ISNUMBER(AS44),AS44&lt;=(C44+T44)),AS44,9E15))),"OC","MG"))),IF(AX44=TRUE,"",IF(MAX(IF(AND(NOT(AND(AU44=1,AT44&lt;&gt;1)),ISNUMBER(AK44),AK44&lt;=(C44+T44)),AY44,0),IF(AND(NOT(AND(AU44=1,AT44&lt;&gt;1)),ISNUMBER(AL44),AL44&lt;=(C44+T44)),AZ44,0),IF(AND(NOT(AND(AU44=1,AT44&lt;&gt;1)),ISNUMBER(AM44),AM44&lt;=(C44+T44)),BA44,0),IF(AND(NOT(AND(AU44=1,AT44&lt;&gt;1)),ISNUMBER(AN44),AN44&lt;=(C44+T44)),BB44,0),IF(AND(ISNUMBER(AO44),AO44&lt;=(C44+T44)),BC44,0))&lt;=0,"",IF(AND(IF(AND(NOT(AND(AU44=1,AT44&lt;&gt;1)),ISNUMBER(AK44),AK44&lt;=(C44+T44)),AY44,0)&gt;0,IF(AND(NOT(AND(AU44=1,AT44&lt;&gt;1)),ISNUMBER(AK44),AK44&lt;=(C44+T44)),AY44,0)=MAX(IF(AND(NOT(AND(AU44=1,AT44&lt;&gt;1)),ISNUMBER(AK44),AK44&lt;=(C44+T44)),AY44,0),IF(AND(NOT(AND(AU44=1,AT44&lt;&gt;1)),ISNUMBER(AL44),AL44&lt;=(C44+T44)),AZ44,0),IF(AND(NOT(AND(AU44=1,AT44&lt;&gt;1)),ISNUMBER(AM44),AM44&lt;=(C44+T44)),BA44,0),IF(AND(NOT(AND(AU44=1,AT44&lt;&gt;1)),ISNUMBER(AN44),AN44&lt;=(C44+T44)),BB44,0),IF(AND(ISNUMBER(AO44),AO44&lt;=(C44+T44)),BC44,0))),"SK",IF(AND(IF(AND(NOT(AND(AU44=1,AT44&lt;&gt;1)),ISNUMBER(AL44),AL44&lt;=(C44+T44)),AZ44,0)&gt;0,IF(AND(NOT(AND(AU44=1,AT44&lt;&gt;1)),ISNUMBER(AL44),AL44&lt;=(C44+T44)),AZ44,0)=MAX(IF(AND(NOT(AND(AU44=1,AT44&lt;&gt;1)),ISNUMBER(AK44),AK44&lt;=(C44+T44)),AY44,0),IF(AND(NOT(AND(AU44=1,AT44&lt;&gt;1)),ISNUMBER(AL44),AL44&lt;=(C44+T44)),AZ44,0),IF(AND(NOT(AND(AU44=1,AT44&lt;&gt;1)),ISNUMBER(AM44),AM44&lt;=(C44+T44)),BA44,0),IF(AND(NOT(AND(AU44=1,AT44&lt;&gt;1)),ISNUMBER(AN44),AN44&lt;=(C44+T44)),BB44,0),IF(AND(ISNUMBER(AO44),AO44&lt;=(C44+T44)),BC44,0))),"LB",IF(AND(IF(AND(NOT(AND(AU44=1,AT44&lt;&gt;1)),ISNUMBER(AM44),AM44&lt;=(C44+T44)),BA44,0)&gt;0,IF(AND(NOT(AND(AU44=1,AT44&lt;&gt;1)),ISNUMBER(AM44),AM44&lt;=(C44+T44)),BA44,0)=MAX(IF(AND(NOT(AND(AU44=1,AT44&lt;&gt;1)),ISNUMBER(AK44),AK44&lt;=(C44+T44)),AY44,0),IF(AND(NOT(AND(AU44=1,AT44&lt;&gt;1)),ISNUMBER(AL44),AL44&lt;=(C44+T44)),AZ44,0),IF(AND(NOT(AND(AU44=1,AT44&lt;&gt;1)),ISNUMBER(AM44),AM44&lt;=(C44+T44)),BA44,0),IF(AND(NOT(AND(AU44=1,AT44&lt;&gt;1)),ISNUMBER(AN44),AN44&lt;=(C44+T44)),BB44,0),IF(AND(ISNUMBER(AO44),AO44&lt;=(C44+T44)),BC44,0))),"ML",IF(AND(IF(AND(NOT(AND(AU44=1,AT44&lt;&gt;1)),ISNUMBER(AN44),AN44&lt;=(C44+T44)),BB44,0)&gt;0,IF(AND(NOT(AND(AU44=1,AT44&lt;&gt;1)),ISNUMBER(AN44),AN44&lt;=(C44+T44)),BB44,0)=MAX(IF(AND(NOT(AND(AU44=1,AT44&lt;&gt;1)),ISNUMBER(AK44),AK44&lt;=(C44+T44)),AY44,0),IF(AND(NOT(AND(AU44=1,AT44&lt;&gt;1)),ISNUMBER(AL44),AL44&lt;=(C44+T44)),AZ44,0),IF(AND(NOT(AND(AU44=1,AT44&lt;&gt;1)),ISNUMBER(AM44),AM44&lt;=(C44+T44)),BA44,0),IF(AND(NOT(AND(AU44=1,AT44&lt;&gt;1)),ISNUMBER(AN44),AN44&lt;=(C44+T44)),BB44,0),IF(AND(ISNUMBER(AO44),AO44&lt;=(C44+T44)),BC44,0))),"RLO","BD"))))))))</f>
        <v/>
      </c>
    </row>
    <row r="45">
      <c r="A45" s="26" t="n">
        <v>34</v>
      </c>
      <c r="B45" s="27">
        <f>A45*10/60</f>
        <v/>
      </c>
      <c r="C45" s="22">
        <f>X44</f>
        <v/>
      </c>
      <c r="D45" s="27">
        <f>D44+W44</f>
        <v/>
      </c>
      <c r="E45" s="26">
        <f>E44+IF(U44="SK",1,0)</f>
        <v/>
      </c>
      <c r="F45" s="26">
        <f>F44+IF(U44="LB",1,0)</f>
        <v/>
      </c>
      <c r="G45" s="26">
        <f>G44+IF(U44="ML",1,0)</f>
        <v/>
      </c>
      <c r="H45" s="26">
        <f>H44+IF(U44="RLO",1,0)</f>
        <v/>
      </c>
      <c r="I45" s="26">
        <f>I44+IF(U44="BD",1,0)</f>
        <v/>
      </c>
      <c r="J45" s="26">
        <f>MAX(J44,IF(U44="BiP",1,0))</f>
        <v/>
      </c>
      <c r="K45" s="26">
        <f>MAX(K44,IF(U44="PV",1,0))</f>
        <v/>
      </c>
      <c r="L45" s="26">
        <f>MAX(L44,IF(U44="OC",1,0))</f>
        <v/>
      </c>
      <c r="M45" s="26">
        <f>MAX(M44,IF(U44="MG",1,0))</f>
        <v/>
      </c>
      <c r="N45" s="26">
        <f>MAX(N44,IF(U44="transition",1,0))</f>
        <v/>
      </c>
      <c r="O45" s="28">
        <f>(Parameters!$B$9+(IF(E45=0,0,(Upgrades!$J$13+E45*Upgrades!$K$13)*POWER(Upgrades!$L$13,E45)))*(IF(Upgrades!$T$14="Stellar Kinematics",POWER(Upgrades!$U$14,F45),1)*IF(Upgrades!$T$15="Stellar Kinematics",POWER(Upgrades!$U$15,G45),1)*IF(Upgrades!$T$16="Stellar Kinematics",POWER(Upgrades!$U$16,H45),1)*IF(Upgrades!$T$17="Stellar Kinematics",POWER(Upgrades!$U$17,I45),1)*IF(Upgrades!$T$18="Stellar Kinematics",POWER(Upgrades!$U$18,J45),1)*IF(Upgrades!$T$19="Stellar Kinematics",POWER(Upgrades!$U$19,K45),1)*IF(Upgrades!$T$20="Stellar Kinematics",POWER(Upgrades!$U$20,L45),1)*IF(Upgrades!$T$21="Stellar Kinematics",POWER(Upgrades!$U$21,M45),1))+(IF(F45=0,0,(Upgrades!$J$14+F45*Upgrades!$K$14)*POWER(Upgrades!$L$14,F45)))*(IF(Upgrades!$T$13="Local Bubble",POWER(Upgrades!$U$13,E45),1)*IF(Upgrades!$T$15="Local Bubble",POWER(Upgrades!$U$15,G45),1)*IF(Upgrades!$T$16="Local Bubble",POWER(Upgrades!$U$16,H45),1)*IF(Upgrades!$T$17="Local Bubble",POWER(Upgrades!$U$17,I45),1)*IF(Upgrades!$T$18="Local Bubble",POWER(Upgrades!$U$18,J45),1)*IF(Upgrades!$T$19="Local Bubble",POWER(Upgrades!$U$19,K45),1)*IF(Upgrades!$T$20="Local Bubble",POWER(Upgrades!$U$20,L45),1)*IF(Upgrades!$T$21="Local Bubble",POWER(Upgrades!$U$21,M45),1))+(IF(G45=0,0,(Upgrades!$J$15+G45*Upgrades!$K$15)*POWER(Upgrades!$L$15,G45)))*(IF(Upgrades!$T$13="Microlensing",POWER(Upgrades!$U$13,E45),1)*IF(Upgrades!$T$14="Microlensing",POWER(Upgrades!$U$14,F45),1)*IF(Upgrades!$T$16="Microlensing",POWER(Upgrades!$U$16,H45),1)*IF(Upgrades!$T$17="Microlensing",POWER(Upgrades!$U$17,I45),1)*IF(Upgrades!$T$18="Microlensing",POWER(Upgrades!$U$18,J45),1)*IF(Upgrades!$T$19="Microlensing",POWER(Upgrades!$U$19,K45),1)*IF(Upgrades!$T$20="Microlensing",POWER(Upgrades!$U$20,L45),1)*IF(Upgrades!$T$21="Microlensing",POWER(Upgrades!$U$21,M45),1))+(IF(H45=0,0,(Upgrades!$J$16+H45*Upgrades!$K$16)*POWER(Upgrades!$L$16,H45)))*(IF(Upgrades!$T$13="Roche Lobe Overflow",POWER(Upgrades!$U$13,E45),1)*IF(Upgrades!$T$14="Roche Lobe Overflow",POWER(Upgrades!$U$14,F45),1)*IF(Upgrades!$T$15="Roche Lobe Overflow",POWER(Upgrades!$U$15,G45),1)*IF(Upgrades!$T$17="Roche Lobe Overflow",POWER(Upgrades!$U$17,I45),1)*IF(Upgrades!$T$18="Roche Lobe Overflow",POWER(Upgrades!$U$18,J45),1)*IF(Upgrades!$T$19="Roche Lobe Overflow",POWER(Upgrades!$U$19,K45),1)*IF(Upgrades!$T$20="Roche Lobe Overflow",POWER(Upgrades!$U$20,L45),1)*IF(Upgrades!$T$21="Roche Lobe Overflow",POWER(Upgrades!$U$21,M45),1))+(IF(I45=0,0,(Upgrades!$J$17+I45*Upgrades!$K$17)*POWER(Upgrades!$L$17,I45)))*(IF(Upgrades!$T$13="Brown Dwarf",POWER(Upgrades!$U$13,E45),1)*IF(Upgrades!$T$14="Brown Dwarf",POWER(Upgrades!$U$14,F45),1)*IF(Upgrades!$T$15="Brown Dwarf",POWER(Upgrades!$U$15,G45),1)*IF(Upgrades!$T$16="Brown Dwarf",POWER(Upgrades!$U$16,H45),1)*IF(Upgrades!$T$18="Brown Dwarf",POWER(Upgrades!$U$18,J45),1)*IF(Upgrades!$T$19="Brown Dwarf",POWER(Upgrades!$U$19,K45),1)*IF(Upgrades!$T$20="Brown Dwarf",POWER(Upgrades!$U$20,L45),1)*IF(Upgrades!$T$21="Brown Dwarf",POWER(Upgrades!$U$21,M45),1))+(IF(J45=0,0,(Upgrades!$J$18+J45*Upgrades!$K$18)*POWER(Upgrades!$L$18,J45)))*(IF(Upgrades!$T$13="Binary Partner",POWER(Upgrades!$U$13,E45),1)*IF(Upgrades!$T$14="Binary Partner",POWER(Upgrades!$U$14,F45),1)*IF(Upgrades!$T$15="Binary Partner",POWER(Upgrades!$U$15,G45),1)*IF(Upgrades!$T$16="Binary Partner",POWER(Upgrades!$U$16,H45),1)*IF(Upgrades!$T$17="Binary Partner",POWER(Upgrades!$U$17,I45),1)*IF(Upgrades!$T$19="Binary Partner",POWER(Upgrades!$U$19,K45),1)*IF(Upgrades!$T$20="Binary Partner",POWER(Upgrades!$U$20,L45),1)*IF(Upgrades!$T$21="Binary Partner",POWER(Upgrades!$U$21,M45),1))+(IF(K45=0,0,(Upgrades!$J$19+K45*Upgrades!$K$19)*POWER(Upgrades!$L$19,K45)))*(IF(Upgrades!$T$13="Peculiar Velocity",POWER(Upgrades!$U$13,E45),1)*IF(Upgrades!$T$14="Peculiar Velocity",POWER(Upgrades!$U$14,F45),1)*IF(Upgrades!$T$15="Peculiar Velocity",POWER(Upgrades!$U$15,G45),1)*IF(Upgrades!$T$16="Peculiar Velocity",POWER(Upgrades!$U$16,H45),1)*IF(Upgrades!$T$17="Peculiar Velocity",POWER(Upgrades!$U$17,I45),1)*IF(Upgrades!$T$18="Peculiar Velocity",POWER(Upgrades!$U$18,J45),1)*IF(Upgrades!$T$20="Peculiar Velocity",POWER(Upgrades!$U$20,L45),1)*IF(Upgrades!$T$21="Peculiar Velocity",POWER(Upgrades!$U$21,M45),1))+(IF(L45=0,0,(Upgrades!$J$20+L45*Upgrades!$K$20)*POWER(Upgrades!$L$20,L45)))*(IF(Upgrades!$T$13="Open Cluster",POWER(Upgrades!$U$13,E45),1)*IF(Upgrades!$T$14="Open Cluster",POWER(Upgrades!$U$14,F45),1)*IF(Upgrades!$T$15="Open Cluster",POWER(Upgrades!$U$15,G45),1)*IF(Upgrades!$T$16="Open Cluster",POWER(Upgrades!$U$16,H45),1)*IF(Upgrades!$T$17="Open Cluster",POWER(Upgrades!$U$17,I45),1)*IF(Upgrades!$T$18="Open Cluster",POWER(Upgrades!$U$18,J45),1)*IF(Upgrades!$T$19="Open Cluster",POWER(Upgrades!$U$19,K45),1)*IF(Upgrades!$T$21="Open Cluster",POWER(Upgrades!$U$21,M45),1))+(IF(M45=0,0,(Upgrades!$J$21+M45*Upgrades!$K$21)*POWER(Upgrades!$L$21,M45)))*(IF(Upgrades!$T$13="Moving Group",POWER(Upgrades!$U$13,E45),1)*IF(Upgrades!$T$14="Moving Group",POWER(Upgrades!$U$14,F45),1)*IF(Upgrades!$T$15="Moving Group",POWER(Upgrades!$U$15,G45),1)*IF(Upgrades!$T$16="Moving Group",POWER(Upgrades!$U$16,H45),1)*IF(Upgrades!$T$17="Moving Group",POWER(Upgrades!$U$17,I45),1)*IF(Upgrades!$T$18="Moving Group",POWER(Upgrades!$U$18,J45),1)*IF(Upgrades!$T$19="Moving Group",POWER(Upgrades!$U$19,K45),1)*IF(Upgrades!$T$20="Moving Group",POWER(Upgrades!$U$20,L45),1)))*POWER(Upgrades!$Q$13,E45)*POWER(Upgrades!$Q$14,F45)*POWER(Upgrades!$Q$15,G45)*POWER(Upgrades!$Q$16,H45)*POWER(Upgrades!$Q$17,I45)*POWER(Upgrades!$Q$18,J45)*POWER(Upgrades!$Q$19,K45)*POWER(Upgrades!$Q$20,L45)*POWER(Upgrades!$Q$21,M45)*$G$6+$D$6</f>
        <v/>
      </c>
      <c r="P45" s="28">
        <f>((IF(E45=0,0,(Upgrades!$G$13+E45*Upgrades!$H$13)*POWER(Upgrades!$I$13,E45)))*(IF(Upgrades!$T$14="Stellar Kinematics",POWER(Upgrades!$U$14,F45),1)*IF(Upgrades!$T$15="Stellar Kinematics",POWER(Upgrades!$U$15,G45),1)*IF(Upgrades!$T$16="Stellar Kinematics",POWER(Upgrades!$U$16,H45),1)*IF(Upgrades!$T$17="Stellar Kinematics",POWER(Upgrades!$U$17,I45),1)*IF(Upgrades!$T$18="Stellar Kinematics",POWER(Upgrades!$U$18,J45),1)*IF(Upgrades!$T$19="Stellar Kinematics",POWER(Upgrades!$U$19,K45),1)*IF(Upgrades!$T$20="Stellar Kinematics",POWER(Upgrades!$U$20,L45),1)*IF(Upgrades!$T$21="Stellar Kinematics",POWER(Upgrades!$U$21,M45),1))+(IF(F45=0,0,(Upgrades!$G$14+F45*Upgrades!$H$14)*POWER(Upgrades!$I$14,F45)))*(IF(Upgrades!$T$13="Local Bubble",POWER(Upgrades!$U$13,E45),1)*IF(Upgrades!$T$15="Local Bubble",POWER(Upgrades!$U$15,G45),1)*IF(Upgrades!$T$16="Local Bubble",POWER(Upgrades!$U$16,H45),1)*IF(Upgrades!$T$17="Local Bubble",POWER(Upgrades!$U$17,I45),1)*IF(Upgrades!$T$18="Local Bubble",POWER(Upgrades!$U$18,J45),1)*IF(Upgrades!$T$19="Local Bubble",POWER(Upgrades!$U$19,K45),1)*IF(Upgrades!$T$20="Local Bubble",POWER(Upgrades!$U$20,L45),1)*IF(Upgrades!$T$21="Local Bubble",POWER(Upgrades!$U$21,M45),1))+(IF(G45=0,0,(Upgrades!$G$15+G45*Upgrades!$H$15)*POWER(Upgrades!$I$15,G45)))*(IF(Upgrades!$T$13="Microlensing",POWER(Upgrades!$U$13,E45),1)*IF(Upgrades!$T$14="Microlensing",POWER(Upgrades!$U$14,F45),1)*IF(Upgrades!$T$16="Microlensing",POWER(Upgrades!$U$16,H45),1)*IF(Upgrades!$T$17="Microlensing",POWER(Upgrades!$U$17,I45),1)*IF(Upgrades!$T$18="Microlensing",POWER(Upgrades!$U$18,J45),1)*IF(Upgrades!$T$19="Microlensing",POWER(Upgrades!$U$19,K45),1)*IF(Upgrades!$T$20="Microlensing",POWER(Upgrades!$U$20,L45),1)*IF(Upgrades!$T$21="Microlensing",POWER(Upgrades!$U$21,M45),1))+(IF(H45=0,0,(Upgrades!$G$16+H45*Upgrades!$H$16)*POWER(Upgrades!$I$16,H45)))*(IF(Upgrades!$T$13="Roche Lobe Overflow",POWER(Upgrades!$U$13,E45),1)*IF(Upgrades!$T$14="Roche Lobe Overflow",POWER(Upgrades!$U$14,F45),1)*IF(Upgrades!$T$15="Roche Lobe Overflow",POWER(Upgrades!$U$15,G45),1)*IF(Upgrades!$T$17="Roche Lobe Overflow",POWER(Upgrades!$U$17,I45),1)*IF(Upgrades!$T$18="Roche Lobe Overflow",POWER(Upgrades!$U$18,J45),1)*IF(Upgrades!$T$19="Roche Lobe Overflow",POWER(Upgrades!$U$19,K45),1)*IF(Upgrades!$T$20="Roche Lobe Overflow",POWER(Upgrades!$U$20,L45),1)*IF(Upgrades!$T$21="Roche Lobe Overflow",POWER(Upgrades!$U$21,M45),1))+(IF(I45=0,0,(Upgrades!$G$17+I45*Upgrades!$H$17)*POWER(Upgrades!$I$17,I45)))*(IF(Upgrades!$T$13="Brown Dwarf",POWER(Upgrades!$U$13,E45),1)*IF(Upgrades!$T$14="Brown Dwarf",POWER(Upgrades!$U$14,F45),1)*IF(Upgrades!$T$15="Brown Dwarf",POWER(Upgrades!$U$15,G45),1)*IF(Upgrades!$T$16="Brown Dwarf",POWER(Upgrades!$U$16,H45),1)*IF(Upgrades!$T$18="Brown Dwarf",POWER(Upgrades!$U$18,J45),1)*IF(Upgrades!$T$19="Brown Dwarf",POWER(Upgrades!$U$19,K45),1)*IF(Upgrades!$T$20="Brown Dwarf",POWER(Upgrades!$U$20,L45),1)*IF(Upgrades!$T$21="Brown Dwarf",POWER(Upgrades!$U$21,M45),1))+(IF(J45=0,0,(Upgrades!$G$18+J45*Upgrades!$H$18)*POWER(Upgrades!$I$18,J45)))*(IF(Upgrades!$T$13="Binary Partner",POWER(Upgrades!$U$13,E45),1)*IF(Upgrades!$T$14="Binary Partner",POWER(Upgrades!$U$14,F45),1)*IF(Upgrades!$T$15="Binary Partner",POWER(Upgrades!$U$15,G45),1)*IF(Upgrades!$T$16="Binary Partner",POWER(Upgrades!$U$16,H45),1)*IF(Upgrades!$T$17="Binary Partner",POWER(Upgrades!$U$17,I45),1)*IF(Upgrades!$T$19="Binary Partner",POWER(Upgrades!$U$19,K45),1)*IF(Upgrades!$T$20="Binary Partner",POWER(Upgrades!$U$20,L45),1)*IF(Upgrades!$T$21="Binary Partner",POWER(Upgrades!$U$21,M45),1))+(IF(K45=0,0,(Upgrades!$G$19+K45*Upgrades!$H$19)*POWER(Upgrades!$I$19,K45)))*(IF(Upgrades!$T$13="Peculiar Velocity",POWER(Upgrades!$U$13,E45),1)*IF(Upgrades!$T$14="Peculiar Velocity",POWER(Upgrades!$U$14,F45),1)*IF(Upgrades!$T$15="Peculiar Velocity",POWER(Upgrades!$U$15,G45),1)*IF(Upgrades!$T$16="Peculiar Velocity",POWER(Upgrades!$U$16,H45),1)*IF(Upgrades!$T$17="Peculiar Velocity",POWER(Upgrades!$U$17,I45),1)*IF(Upgrades!$T$18="Peculiar Velocity",POWER(Upgrades!$U$18,J45),1)*IF(Upgrades!$T$20="Peculiar Velocity",POWER(Upgrades!$U$20,L45),1)*IF(Upgrades!$T$21="Peculiar Velocity",POWER(Upgrades!$U$21,M45),1))+(IF(L45=0,0,(Upgrades!$G$20+L45*Upgrades!$H$20)*POWER(Upgrades!$I$20,L45)))*(IF(Upgrades!$T$13="Open Cluster",POWER(Upgrades!$U$13,E45),1)*IF(Upgrades!$T$14="Open Cluster",POWER(Upgrades!$U$14,F45),1)*IF(Upgrades!$T$15="Open Cluster",POWER(Upgrades!$U$15,G45),1)*IF(Upgrades!$T$16="Open Cluster",POWER(Upgrades!$U$16,H45),1)*IF(Upgrades!$T$17="Open Cluster",POWER(Upgrades!$U$17,I45),1)*IF(Upgrades!$T$18="Open Cluster",POWER(Upgrades!$U$18,J45),1)*IF(Upgrades!$T$19="Open Cluster",POWER(Upgrades!$U$19,K45),1)*IF(Upgrades!$T$21="Open Cluster",POWER(Upgrades!$U$21,M45),1))+(IF(M45=0,0,(Upgrades!$G$21+M45*Upgrades!$H$21)*POWER(Upgrades!$I$21,M45)))*(IF(Upgrades!$T$13="Moving Group",POWER(Upgrades!$U$13,E45),1)*IF(Upgrades!$T$14="Moving Group",POWER(Upgrades!$U$14,F45),1)*IF(Upgrades!$T$15="Moving Group",POWER(Upgrades!$U$15,G45),1)*IF(Upgrades!$T$16="Moving Group",POWER(Upgrades!$U$16,H45),1)*IF(Upgrades!$T$17="Moving Group",POWER(Upgrades!$U$17,I45),1)*IF(Upgrades!$T$18="Moving Group",POWER(Upgrades!$U$18,J45),1)*IF(Upgrades!$T$19="Moving Group",POWER(Upgrades!$U$19,K45),1)*IF(Upgrades!$T$20="Moving Group",POWER(Upgrades!$U$20,L45),1)))*POWER(Upgrades!$P$13,E45)*POWER(Upgrades!$P$14,F45)*POWER(Upgrades!$P$15,G45)*POWER(Upgrades!$P$16,H45)*POWER(Upgrades!$P$17,I45)*POWER(Upgrades!$P$18,J45)*POWER(Upgrades!$P$19,K45)*POWER(Upgrades!$P$20,L45)*POWER(Upgrades!$P$21,M45)*$F$6+$C$6</f>
        <v/>
      </c>
      <c r="Q45" s="28">
        <f>((IF(E45=0,0,(Upgrades!$M$13+E45*Upgrades!$N$13)*POWER(Upgrades!$O$13,E45)))*(IF(Upgrades!$T$14="Stellar Kinematics",POWER(Upgrades!$U$14,F45),1)*IF(Upgrades!$T$15="Stellar Kinematics",POWER(Upgrades!$U$15,G45),1)*IF(Upgrades!$T$16="Stellar Kinematics",POWER(Upgrades!$U$16,H45),1)*IF(Upgrades!$T$17="Stellar Kinematics",POWER(Upgrades!$U$17,I45),1)*IF(Upgrades!$T$18="Stellar Kinematics",POWER(Upgrades!$U$18,J45),1)*IF(Upgrades!$T$19="Stellar Kinematics",POWER(Upgrades!$U$19,K45),1)*IF(Upgrades!$T$20="Stellar Kinematics",POWER(Upgrades!$U$20,L45),1)*IF(Upgrades!$T$21="Stellar Kinematics",POWER(Upgrades!$U$21,M45),1))+(IF(F45=0,0,(Upgrades!$M$14+F45*Upgrades!$N$14)*POWER(Upgrades!$O$14,F45)))*(IF(Upgrades!$T$13="Local Bubble",POWER(Upgrades!$U$13,E45),1)*IF(Upgrades!$T$15="Local Bubble",POWER(Upgrades!$U$15,G45),1)*IF(Upgrades!$T$16="Local Bubble",POWER(Upgrades!$U$16,H45),1)*IF(Upgrades!$T$17="Local Bubble",POWER(Upgrades!$U$17,I45),1)*IF(Upgrades!$T$18="Local Bubble",POWER(Upgrades!$U$18,J45),1)*IF(Upgrades!$T$19="Local Bubble",POWER(Upgrades!$U$19,K45),1)*IF(Upgrades!$T$20="Local Bubble",POWER(Upgrades!$U$20,L45),1)*IF(Upgrades!$T$21="Local Bubble",POWER(Upgrades!$U$21,M45),1))+(IF(G45=0,0,(Upgrades!$M$15+G45*Upgrades!$N$15)*POWER(Upgrades!$O$15,G45)))*(IF(Upgrades!$T$13="Microlensing",POWER(Upgrades!$U$13,E45),1)*IF(Upgrades!$T$14="Microlensing",POWER(Upgrades!$U$14,F45),1)*IF(Upgrades!$T$16="Microlensing",POWER(Upgrades!$U$16,H45),1)*IF(Upgrades!$T$17="Microlensing",POWER(Upgrades!$U$17,I45),1)*IF(Upgrades!$T$18="Microlensing",POWER(Upgrades!$U$18,J45),1)*IF(Upgrades!$T$19="Microlensing",POWER(Upgrades!$U$19,K45),1)*IF(Upgrades!$T$20="Microlensing",POWER(Upgrades!$U$20,L45),1)*IF(Upgrades!$T$21="Microlensing",POWER(Upgrades!$U$21,M45),1))+(IF(H45=0,0,(Upgrades!$M$16+H45*Upgrades!$N$16)*POWER(Upgrades!$O$16,H45)))*(IF(Upgrades!$T$13="Roche Lobe Overflow",POWER(Upgrades!$U$13,E45),1)*IF(Upgrades!$T$14="Roche Lobe Overflow",POWER(Upgrades!$U$14,F45),1)*IF(Upgrades!$T$15="Roche Lobe Overflow",POWER(Upgrades!$U$15,G45),1)*IF(Upgrades!$T$17="Roche Lobe Overflow",POWER(Upgrades!$U$17,I45),1)*IF(Upgrades!$T$18="Roche Lobe Overflow",POWER(Upgrades!$U$18,J45),1)*IF(Upgrades!$T$19="Roche Lobe Overflow",POWER(Upgrades!$U$19,K45),1)*IF(Upgrades!$T$20="Roche Lobe Overflow",POWER(Upgrades!$U$20,L45),1)*IF(Upgrades!$T$21="Roche Lobe Overflow",POWER(Upgrades!$U$21,M45),1))+(IF(I45=0,0,(Upgrades!$M$17+I45*Upgrades!$N$17)*POWER(Upgrades!$O$17,I45)))*(IF(Upgrades!$T$13="Brown Dwarf",POWER(Upgrades!$U$13,E45),1)*IF(Upgrades!$T$14="Brown Dwarf",POWER(Upgrades!$U$14,F45),1)*IF(Upgrades!$T$15="Brown Dwarf",POWER(Upgrades!$U$15,G45),1)*IF(Upgrades!$T$16="Brown Dwarf",POWER(Upgrades!$U$16,H45),1)*IF(Upgrades!$T$18="Brown Dwarf",POWER(Upgrades!$U$18,J45),1)*IF(Upgrades!$T$19="Brown Dwarf",POWER(Upgrades!$U$19,K45),1)*IF(Upgrades!$T$20="Brown Dwarf",POWER(Upgrades!$U$20,L45),1)*IF(Upgrades!$T$21="Brown Dwarf",POWER(Upgrades!$U$21,M45),1))+(IF(J45=0,0,(Upgrades!$M$18+J45*Upgrades!$N$18)*POWER(Upgrades!$O$18,J45)))*(IF(Upgrades!$T$13="Binary Partner",POWER(Upgrades!$U$13,E45),1)*IF(Upgrades!$T$14="Binary Partner",POWER(Upgrades!$U$14,F45),1)*IF(Upgrades!$T$15="Binary Partner",POWER(Upgrades!$U$15,G45),1)*IF(Upgrades!$T$16="Binary Partner",POWER(Upgrades!$U$16,H45),1)*IF(Upgrades!$T$17="Binary Partner",POWER(Upgrades!$U$17,I45),1)*IF(Upgrades!$T$19="Binary Partner",POWER(Upgrades!$U$19,K45),1)*IF(Upgrades!$T$20="Binary Partner",POWER(Upgrades!$U$20,L45),1)*IF(Upgrades!$T$21="Binary Partner",POWER(Upgrades!$U$21,M45),1))+(IF(K45=0,0,(Upgrades!$M$19+K45*Upgrades!$N$19)*POWER(Upgrades!$O$19,K45)))*(IF(Upgrades!$T$13="Peculiar Velocity",POWER(Upgrades!$U$13,E45),1)*IF(Upgrades!$T$14="Peculiar Velocity",POWER(Upgrades!$U$14,F45),1)*IF(Upgrades!$T$15="Peculiar Velocity",POWER(Upgrades!$U$15,G45),1)*IF(Upgrades!$T$16="Peculiar Velocity",POWER(Upgrades!$U$16,H45),1)*IF(Upgrades!$T$17="Peculiar Velocity",POWER(Upgrades!$U$17,I45),1)*IF(Upgrades!$T$18="Peculiar Velocity",POWER(Upgrades!$U$18,J45),1)*IF(Upgrades!$T$20="Peculiar Velocity",POWER(Upgrades!$U$20,L45),1)*IF(Upgrades!$T$21="Peculiar Velocity",POWER(Upgrades!$U$21,M45),1))+(IF(L45=0,0,(Upgrades!$M$20+L45*Upgrades!$N$20)*POWER(Upgrades!$O$20,L45)))*(IF(Upgrades!$T$13="Open Cluster",POWER(Upgrades!$U$13,E45),1)*IF(Upgrades!$T$14="Open Cluster",POWER(Upgrades!$U$14,F45),1)*IF(Upgrades!$T$15="Open Cluster",POWER(Upgrades!$U$15,G45),1)*IF(Upgrades!$T$16="Open Cluster",POWER(Upgrades!$U$16,H45),1)*IF(Upgrades!$T$17="Open Cluster",POWER(Upgrades!$U$17,I45),1)*IF(Upgrades!$T$18="Open Cluster",POWER(Upgrades!$U$18,J45),1)*IF(Upgrades!$T$19="Open Cluster",POWER(Upgrades!$U$19,K45),1)*IF(Upgrades!$T$21="Open Cluster",POWER(Upgrades!$U$21,M45),1))+(IF(M45=0,0,(Upgrades!$M$21+M45*Upgrades!$N$21)*POWER(Upgrades!$O$21,M45)))*(IF(Upgrades!$T$13="Moving Group",POWER(Upgrades!$U$13,E45),1)*IF(Upgrades!$T$14="Moving Group",POWER(Upgrades!$U$14,F45),1)*IF(Upgrades!$T$15="Moving Group",POWER(Upgrades!$U$15,G45),1)*IF(Upgrades!$T$16="Moving Group",POWER(Upgrades!$U$16,H45),1)*IF(Upgrades!$T$17="Moving Group",POWER(Upgrades!$U$17,I45),1)*IF(Upgrades!$T$18="Moving Group",POWER(Upgrades!$U$18,J45),1)*IF(Upgrades!$T$19="Moving Group",POWER(Upgrades!$U$19,K45),1)*IF(Upgrades!$T$20="Moving Group",POWER(Upgrades!$U$20,L45),1)))*POWER(Upgrades!$R$13,E45)*POWER(Upgrades!$R$14,F45)*POWER(Upgrades!$R$15,G45)*POWER(Upgrades!$R$16,H45)*POWER(Upgrades!$R$17,I45)*POWER(Upgrades!$R$18,J45)*POWER(Upgrades!$R$19,K45)*POWER(Upgrades!$R$20,L45)*POWER(Upgrades!$R$21,M45)*$H$6+$E$6</f>
        <v/>
      </c>
      <c r="R45" s="27">
        <f>IF(N45=1,0,O45*Parameters!$B$10/60*Parameters!$B$11*10)</f>
        <v/>
      </c>
      <c r="S45" s="27">
        <f>IF(N45=1,0,Q45*O45*10)</f>
        <v/>
      </c>
      <c r="T45" s="27">
        <f>IF(N45=1,0,R45+S45+P45*10)</f>
        <v/>
      </c>
      <c r="U45" s="33">
        <f>BE45</f>
        <v/>
      </c>
      <c r="V45" s="22">
        <f>IF(U45="",0,IF(U45="transition",0,IF(U45="SK",AK45,IF(U45="LB",AL45,IF(U45="ML",AM45,IF(U45="RLO",AN45,IF(U45="BD",AO45,IF(U45="BiP",AP45,IF(U45="PV",AQ45,IF(U45="OC",AR45,IF(U45="MG",AS45,0))))))))))</f>
        <v/>
      </c>
      <c r="W45" s="27">
        <f>IF(U45="BiP",Upgrades!$F$18,IF(U45="PV",Upgrades!$F$19,IF(U45="OC",Upgrades!$F$20,IF(U45="MG",Upgrades!$F$21,IF(U45="transition",-Parameters!$B$18*Parameters!$B$19,0)))))</f>
        <v/>
      </c>
      <c r="X45" s="22">
        <f>C45+T45-V45</f>
        <v/>
      </c>
      <c r="Y45" s="30">
        <f>O45*Parameters!$B$10/60*Parameters!$B$11+Q45*O45+P45</f>
        <v/>
      </c>
      <c r="Z45" s="34">
        <f>IF(U45="transition","→ Tier 3 (Galactic Arm)",IF(U45="MG","Moving Group — pocket drifts together",IF(U45="OC","Open Cluster acquired",IF(U45="PV","Peculiar Velocity — passive multiplier active",IF(U45="BiP","Binary Partner — pair bond formed",IF(AND(AU45=1,N45=0,AT45&lt;&gt;1),"Cohesion ready (waiting on completionists)","")))))) </f>
        <v/>
      </c>
      <c r="AA45" s="27">
        <f>(IF(E45=0,0,(Upgrades!$G$13+E45*Upgrades!$H$13)*POWER(Upgrades!$I$13,E45)))*(IF(Upgrades!$T$14="Stellar Kinematics",POWER(Upgrades!$U$14,F45),1)*IF(Upgrades!$T$15="Stellar Kinematics",POWER(Upgrades!$U$15,G45),1)*IF(Upgrades!$T$16="Stellar Kinematics",POWER(Upgrades!$U$16,H45),1)*IF(Upgrades!$T$17="Stellar Kinematics",POWER(Upgrades!$U$17,I45),1)*IF(Upgrades!$T$18="Stellar Kinematics",POWER(Upgrades!$U$18,J45),1)*IF(Upgrades!$T$19="Stellar Kinematics",POWER(Upgrades!$U$19,K45),1)*IF(Upgrades!$T$20="Stellar Kinematics",POWER(Upgrades!$U$20,L45),1)*IF(Upgrades!$T$21="Stellar Kinematics",POWER(Upgrades!$U$21,M45),1))*POWER(Upgrades!$P$13,E45)*POWER(Upgrades!$P$14,F45)*POWER(Upgrades!$P$15,G45)*POWER(Upgrades!$P$16,H45)*POWER(Upgrades!$P$17,I45)*POWER(Upgrades!$P$18,J45)*POWER(Upgrades!$P$19,K45)*POWER(Upgrades!$P$20,L45)*POWER(Upgrades!$P$21,M45)*$F$6*60</f>
        <v/>
      </c>
      <c r="AB45" s="27">
        <f>(IF(F45=0,0,(Upgrades!$G$14+F45*Upgrades!$H$14)*POWER(Upgrades!$I$14,F45)))*(IF(Upgrades!$T$13="Local Bubble",POWER(Upgrades!$U$13,E45),1)*IF(Upgrades!$T$15="Local Bubble",POWER(Upgrades!$U$15,G45),1)*IF(Upgrades!$T$16="Local Bubble",POWER(Upgrades!$U$16,H45),1)*IF(Upgrades!$T$17="Local Bubble",POWER(Upgrades!$U$17,I45),1)*IF(Upgrades!$T$18="Local Bubble",POWER(Upgrades!$U$18,J45),1)*IF(Upgrades!$T$19="Local Bubble",POWER(Upgrades!$U$19,K45),1)*IF(Upgrades!$T$20="Local Bubble",POWER(Upgrades!$U$20,L45),1)*IF(Upgrades!$T$21="Local Bubble",POWER(Upgrades!$U$21,M45),1))*POWER(Upgrades!$P$13,E45)*POWER(Upgrades!$P$14,F45)*POWER(Upgrades!$P$15,G45)*POWER(Upgrades!$P$16,H45)*POWER(Upgrades!$P$17,I45)*POWER(Upgrades!$P$18,J45)*POWER(Upgrades!$P$19,K45)*POWER(Upgrades!$P$20,L45)*POWER(Upgrades!$P$21,M45)*$F$6*60</f>
        <v/>
      </c>
      <c r="AC45" s="27">
        <f>(IF(G45=0,0,(Upgrades!$J$15+G45*Upgrades!$K$15)*POWER(Upgrades!$L$15,G45)))*(IF(Upgrades!$T$13="Microlensing",POWER(Upgrades!$U$13,E45),1)*IF(Upgrades!$T$14="Microlensing",POWER(Upgrades!$U$14,F45),1)*IF(Upgrades!$T$16="Microlensing",POWER(Upgrades!$U$16,H45),1)*IF(Upgrades!$T$17="Microlensing",POWER(Upgrades!$U$17,I45),1)*IF(Upgrades!$T$18="Microlensing",POWER(Upgrades!$U$18,J45),1)*IF(Upgrades!$T$19="Microlensing",POWER(Upgrades!$U$19,K45),1)*IF(Upgrades!$T$20="Microlensing",POWER(Upgrades!$U$20,L45),1)*IF(Upgrades!$T$21="Microlensing",POWER(Upgrades!$U$21,M45),1))*POWER(Upgrades!$Q$13,E45)*POWER(Upgrades!$Q$14,F45)*POWER(Upgrades!$Q$15,G45)*POWER(Upgrades!$Q$16,H45)*POWER(Upgrades!$Q$17,I45)*POWER(Upgrades!$Q$18,J45)*POWER(Upgrades!$Q$19,K45)*POWER(Upgrades!$Q$20,L45)*POWER(Upgrades!$Q$21,M45)*$G$6*(Parameters!$B$10*Parameters!$B$11+Q45*60)</f>
        <v/>
      </c>
      <c r="AD45" s="27">
        <f>(IF(H45=0,0,(Upgrades!$M$16+H45*Upgrades!$N$16)*POWER(Upgrades!$O$16,H45)))*(IF(Upgrades!$T$13="Roche Lobe Overflow",POWER(Upgrades!$U$13,E45),1)*IF(Upgrades!$T$14="Roche Lobe Overflow",POWER(Upgrades!$U$14,F45),1)*IF(Upgrades!$T$15="Roche Lobe Overflow",POWER(Upgrades!$U$15,G45),1)*IF(Upgrades!$T$17="Roche Lobe Overflow",POWER(Upgrades!$U$17,I45),1)*IF(Upgrades!$T$18="Roche Lobe Overflow",POWER(Upgrades!$U$18,J45),1)*IF(Upgrades!$T$19="Roche Lobe Overflow",POWER(Upgrades!$U$19,K45),1)*IF(Upgrades!$T$20="Roche Lobe Overflow",POWER(Upgrades!$U$20,L45),1)*IF(Upgrades!$T$21="Roche Lobe Overflow",POWER(Upgrades!$U$21,M45),1))*POWER(Upgrades!$R$13,E45)*POWER(Upgrades!$R$14,F45)*POWER(Upgrades!$R$15,G45)*POWER(Upgrades!$R$16,H45)*POWER(Upgrades!$R$17,I45)*POWER(Upgrades!$R$18,J45)*POWER(Upgrades!$R$19,K45)*POWER(Upgrades!$R$20,L45)*POWER(Upgrades!$R$21,M45)*$H$6*O45*60</f>
        <v/>
      </c>
      <c r="AE45" s="27">
        <f>(IF(I45=0,0,(Upgrades!$G$17+I45*Upgrades!$H$17)*POWER(Upgrades!$I$17,I45)))*(IF(Upgrades!$T$13="Brown Dwarf",POWER(Upgrades!$U$13,E45),1)*IF(Upgrades!$T$14="Brown Dwarf",POWER(Upgrades!$U$14,F45),1)*IF(Upgrades!$T$15="Brown Dwarf",POWER(Upgrades!$U$15,G45),1)*IF(Upgrades!$T$16="Brown Dwarf",POWER(Upgrades!$U$16,H45),1)*IF(Upgrades!$T$18="Brown Dwarf",POWER(Upgrades!$U$18,J45),1)*IF(Upgrades!$T$19="Brown Dwarf",POWER(Upgrades!$U$19,K45),1)*IF(Upgrades!$T$20="Brown Dwarf",POWER(Upgrades!$U$20,L45),1)*IF(Upgrades!$T$21="Brown Dwarf",POWER(Upgrades!$U$21,M45),1))*POWER(Upgrades!$P$13,E45)*POWER(Upgrades!$P$14,F45)*POWER(Upgrades!$P$15,G45)*POWER(Upgrades!$P$16,H45)*POWER(Upgrades!$P$17,I45)*POWER(Upgrades!$P$18,J45)*POWER(Upgrades!$P$19,K45)*POWER(Upgrades!$P$20,L45)*POWER(Upgrades!$P$21,M45)*$F$6*60</f>
        <v/>
      </c>
      <c r="AF45" s="27" t="n">
        <v>0</v>
      </c>
      <c r="AG45" s="27" t="n">
        <v>0</v>
      </c>
      <c r="AH45" s="27" t="n">
        <v>0</v>
      </c>
      <c r="AI45" s="27">
        <f>(IF(M45=0,0,(Upgrades!$G$21+M45*Upgrades!$H$21)*POWER(Upgrades!$I$21,M45)))*(IF(Upgrades!$T$13="Moving Group",POWER(Upgrades!$U$13,E45),1)*IF(Upgrades!$T$14="Moving Group",POWER(Upgrades!$U$14,F45),1)*IF(Upgrades!$T$15="Moving Group",POWER(Upgrades!$U$15,G45),1)*IF(Upgrades!$T$16="Moving Group",POWER(Upgrades!$U$16,H45),1)*IF(Upgrades!$T$17="Moving Group",POWER(Upgrades!$U$17,I45),1)*IF(Upgrades!$T$18="Moving Group",POWER(Upgrades!$U$18,J45),1)*IF(Upgrades!$T$19="Moving Group",POWER(Upgrades!$U$19,K45),1)*IF(Upgrades!$T$20="Moving Group",POWER(Upgrades!$U$20,L45),1))*POWER(Upgrades!$P$13,E45)*POWER(Upgrades!$P$14,F45)*POWER(Upgrades!$P$15,G45)*POWER(Upgrades!$P$16,H45)*POWER(Upgrades!$P$17,I45)*POWER(Upgrades!$P$18,J45)*POWER(Upgrades!$P$19,K45)*POWER(Upgrades!$P$20,L45)*POWER(Upgrades!$P$21,M45)*$F$6*60</f>
        <v/>
      </c>
      <c r="AJ45" s="27">
        <f>$C$6*60</f>
        <v/>
      </c>
      <c r="AK45" s="22">
        <f>IF(E45&gt;=Upgrades!$E$13,"",Upgrades!$C$13*POWER(Upgrades!$D$13,E45))</f>
        <v/>
      </c>
      <c r="AL45" s="22">
        <f>IF(F45&gt;=Upgrades!$E$14,"",Upgrades!$C$14*POWER(Upgrades!$D$14,F45))</f>
        <v/>
      </c>
      <c r="AM45" s="22">
        <f>IF(G45&gt;=Upgrades!$E$15,"",Upgrades!$C$15*POWER(Upgrades!$D$15,G45))</f>
        <v/>
      </c>
      <c r="AN45" s="22">
        <f>IF(H45&gt;=Upgrades!$E$16,"",Upgrades!$C$16*POWER(Upgrades!$D$16,H45))</f>
        <v/>
      </c>
      <c r="AO45" s="22">
        <f>IF(I45&gt;=Upgrades!$E$17,"",Upgrades!$C$17*POWER(Upgrades!$D$17,I45))</f>
        <v/>
      </c>
      <c r="AP45" s="22">
        <f>IF(J45&gt;=Upgrades!$E$18,"",Upgrades!$C$18*POWER(Upgrades!$D$18,J45))</f>
        <v/>
      </c>
      <c r="AQ45" s="22">
        <f>IF(K45&gt;=Upgrades!$E$19,"",Upgrades!$C$19*POWER(Upgrades!$D$19,K45))</f>
        <v/>
      </c>
      <c r="AR45" s="22">
        <f>IF(L45&gt;=Upgrades!$E$20,"",Upgrades!$C$20*POWER(Upgrades!$D$20,L45))</f>
        <v/>
      </c>
      <c r="AS45" s="22">
        <f>IF(M45&gt;=Upgrades!$E$21,"",Upgrades!$C$21*POWER(Upgrades!$D$21,M45))</f>
        <v/>
      </c>
      <c r="AT45" s="26">
        <f>IF(AND(D45&gt;=Parameters!$B$18*Parameters!$B$19,(I45&gt;=Upgrades!$E$17)*(M45&gt;=Upgrades!$E$21)=1,N45=0),1,"")</f>
        <v/>
      </c>
      <c r="AU45" s="26">
        <f>IF(AND(D45&gt;=Parameters!$B$18*Parameters!$B$19,N45=0),1,"")</f>
        <v/>
      </c>
      <c r="AV45" s="22">
        <f>MIN(IF(ISNUMBER(AP45),AP45,9E15),IF(ISNUMBER(AQ45),AQ45,9E15),IF(ISNUMBER(AR45),AR45,9E15),IF(ISNUMBER(AS45),AS45,9E15))</f>
        <v/>
      </c>
      <c r="AW45" s="22">
        <f>MIN(IF(ISNUMBER(AK45),AK45,9E15),IF(ISNUMBER(AL45),AL45,9E15),IF(ISNUMBER(AM45),AM45,9E15),IF(ISNUMBER(AN45),AN45,9E15),IF(ISNUMBER(AO45),AO45,9E15))</f>
        <v/>
      </c>
      <c r="AX45" s="29">
        <f>IF(BD45&gt;Parameters!$B$21*(MAX(IF(AND(NOT(AND(AU45=1,AT45&lt;&gt;1)),ISNUMBER(AK45),AK45&lt;=(C45+T45)),AY45,0),IF(AND(NOT(AND(AU45=1,AT45&lt;&gt;1)),ISNUMBER(AL45),AL45&lt;=(C45+T45)),AZ45,0),IF(AND(NOT(AND(AU45=1,AT45&lt;&gt;1)),ISNUMBER(AM45),AM45&lt;=(C45+T45)),BA45,0),IF(AND(NOT(AND(AU45=1,AT45&lt;&gt;1)),ISNUMBER(AN45),AN45&lt;=(C45+T45)),BB45,0),IF(AND(ISNUMBER(AO45),AO45&lt;=(C45+T45)),BC45,0))),TRUE,FALSE)</f>
        <v/>
      </c>
      <c r="AY45" s="32">
        <f>IFERROR(Upgrades!$H$13*(POWER(Upgrades!$P$13,E45)*POWER(Upgrades!$P$14,F45)*POWER(Upgrades!$P$15,G45)*POWER(Upgrades!$P$16,H45)*POWER(Upgrades!$P$17,I45)*POWER(Upgrades!$P$18,J45)*POWER(Upgrades!$P$19,K45)*POWER(Upgrades!$P$20,L45)*POWER(Upgrades!$P$21,M45))*(IF(Upgrades!$T$14="Stellar Kinematics",POWER(Upgrades!$U$14,F45),1)*IF(Upgrades!$T$15="Stellar Kinematics",POWER(Upgrades!$U$15,G45),1)*IF(Upgrades!$T$16="Stellar Kinematics",POWER(Upgrades!$U$16,H45),1)*IF(Upgrades!$T$17="Stellar Kinematics",POWER(Upgrades!$U$17,I45),1)*IF(Upgrades!$T$18="Stellar Kinematics",POWER(Upgrades!$U$18,J45),1)*IF(Upgrades!$T$19="Stellar Kinematics",POWER(Upgrades!$U$19,K45),1)*IF(Upgrades!$T$20="Stellar Kinematics",POWER(Upgrades!$U$20,L45),1)*IF(Upgrades!$T$21="Stellar Kinematics",POWER(Upgrades!$U$21,M45),1))*$F$6/AK45,0)</f>
        <v/>
      </c>
      <c r="AZ45" s="32">
        <f>IFERROR(Upgrades!$H$14*(POWER(Upgrades!$P$13,E45)*POWER(Upgrades!$P$14,F45)*POWER(Upgrades!$P$15,G45)*POWER(Upgrades!$P$16,H45)*POWER(Upgrades!$P$17,I45)*POWER(Upgrades!$P$18,J45)*POWER(Upgrades!$P$19,K45)*POWER(Upgrades!$P$20,L45)*POWER(Upgrades!$P$21,M45))*(IF(Upgrades!$T$13="Local Bubble",POWER(Upgrades!$U$13,E45),1)*IF(Upgrades!$T$15="Local Bubble",POWER(Upgrades!$U$15,G45),1)*IF(Upgrades!$T$16="Local Bubble",POWER(Upgrades!$U$16,H45),1)*IF(Upgrades!$T$17="Local Bubble",POWER(Upgrades!$U$17,I45),1)*IF(Upgrades!$T$18="Local Bubble",POWER(Upgrades!$U$18,J45),1)*IF(Upgrades!$T$19="Local Bubble",POWER(Upgrades!$U$19,K45),1)*IF(Upgrades!$T$20="Local Bubble",POWER(Upgrades!$U$20,L45),1)*IF(Upgrades!$T$21="Local Bubble",POWER(Upgrades!$U$21,M45),1))*$F$6/AL45,0)</f>
        <v/>
      </c>
      <c r="BA45" s="32">
        <f>IFERROR(Upgrades!$K$15*(POWER(Upgrades!$Q$13,E45)*POWER(Upgrades!$Q$14,F45)*POWER(Upgrades!$Q$15,G45)*POWER(Upgrades!$Q$16,H45)*POWER(Upgrades!$Q$17,I45)*POWER(Upgrades!$Q$18,J45)*POWER(Upgrades!$Q$19,K45)*POWER(Upgrades!$Q$20,L45)*POWER(Upgrades!$Q$21,M45))*(IF(Upgrades!$T$13="Microlensing",POWER(Upgrades!$U$13,E45),1)*IF(Upgrades!$T$14="Microlensing",POWER(Upgrades!$U$14,F45),1)*IF(Upgrades!$T$16="Microlensing",POWER(Upgrades!$U$16,H45),1)*IF(Upgrades!$T$17="Microlensing",POWER(Upgrades!$U$17,I45),1)*IF(Upgrades!$T$18="Microlensing",POWER(Upgrades!$U$18,J45),1)*IF(Upgrades!$T$19="Microlensing",POWER(Upgrades!$U$19,K45),1)*IF(Upgrades!$T$20="Microlensing",POWER(Upgrades!$U$20,L45),1)*IF(Upgrades!$T$21="Microlensing",POWER(Upgrades!$U$21,M45),1))*$G$6*(Parameters!$B$10/60*Parameters!$B$11+Q45)/AM45,0)</f>
        <v/>
      </c>
      <c r="BB45" s="32">
        <f>IFERROR((Upgrades!$N$16*(POWER(Upgrades!$R$13,E45)*POWER(Upgrades!$R$14,F45)*POWER(Upgrades!$R$15,G45)*POWER(Upgrades!$R$16,H45)*POWER(Upgrades!$R$17,I45)*POWER(Upgrades!$R$18,J45)*POWER(Upgrades!$R$19,K45)*POWER(Upgrades!$R$20,L45)*POWER(Upgrades!$R$21,M45))*(IF(Upgrades!$T$13="Roche Lobe Overflow",POWER(Upgrades!$U$13,E45),1)*IF(Upgrades!$T$14="Roche Lobe Overflow",POWER(Upgrades!$U$14,F45),1)*IF(Upgrades!$T$15="Roche Lobe Overflow",POWER(Upgrades!$U$15,G45),1)*IF(Upgrades!$T$17="Roche Lobe Overflow",POWER(Upgrades!$U$17,I45),1)*IF(Upgrades!$T$18="Roche Lobe Overflow",POWER(Upgrades!$U$18,J45),1)*IF(Upgrades!$T$19="Roche Lobe Overflow",POWER(Upgrades!$U$19,K45),1)*IF(Upgrades!$T$20="Roche Lobe Overflow",POWER(Upgrades!$U$20,L45),1)*IF(Upgrades!$T$21="Roche Lobe Overflow",POWER(Upgrades!$U$21,M45),1))*$H$6*O45+((IF(F45=0,0,(Upgrades!$G$14+F45*Upgrades!$H$14)*POWER(Upgrades!$I$14,F45)))*(IF(Upgrades!$T$13="Local Bubble",POWER(Upgrades!$U$13,E45),1)*IF(Upgrades!$T$15="Local Bubble",POWER(Upgrades!$U$15,G45),1)*IF(Upgrades!$T$16="Local Bubble",POWER(Upgrades!$U$16,H45),1)*IF(Upgrades!$T$17="Local Bubble",POWER(Upgrades!$U$17,I45),1)*IF(Upgrades!$T$18="Local Bubble",POWER(Upgrades!$U$18,J45),1)*IF(Upgrades!$T$19="Local Bubble",POWER(Upgrades!$U$19,K45),1)*IF(Upgrades!$T$20="Local Bubble",POWER(Upgrades!$U$20,L45),1)*IF(Upgrades!$T$21="Local Bubble",POWER(Upgrades!$U$21,M45),1))*POWER(Upgrades!$P$13,E45)*POWER(Upgrades!$P$14,F45)*POWER(Upgrades!$P$15,G45)*POWER(Upgrades!$P$16,H45)*POWER(Upgrades!$P$17,I45)*POWER(Upgrades!$P$18,J45)*POWER(Upgrades!$P$19,K45)*POWER(Upgrades!$P$20,L45)*POWER(Upgrades!$P$21,M45)*$F$6)*0.05)/AN45,0)</f>
        <v/>
      </c>
      <c r="BC45" s="32">
        <f>IFERROR((Upgrades!$H$17*(POWER(Upgrades!$P$13,E45)*POWER(Upgrades!$P$14,F45)*POWER(Upgrades!$P$15,G45)*POWER(Upgrades!$P$16,H45)*POWER(Upgrades!$P$17,I45)*POWER(Upgrades!$P$18,J45)*POWER(Upgrades!$P$19,K45)*POWER(Upgrades!$P$20,L45)*POWER(Upgrades!$P$21,M45))*(IF(Upgrades!$T$13="Brown Dwarf",POWER(Upgrades!$U$13,E45),1)*IF(Upgrades!$T$14="Brown Dwarf",POWER(Upgrades!$U$14,F45),1)*IF(Upgrades!$T$15="Brown Dwarf",POWER(Upgrades!$U$15,G45),1)*IF(Upgrades!$T$16="Brown Dwarf",POWER(Upgrades!$U$16,H45),1)*IF(Upgrades!$T$18="Brown Dwarf",POWER(Upgrades!$U$18,J45),1)*IF(Upgrades!$T$19="Brown Dwarf",POWER(Upgrades!$U$19,K45),1)*IF(Upgrades!$T$20="Brown Dwarf",POWER(Upgrades!$U$20,L45),1)*IF(Upgrades!$T$21="Brown Dwarf",POWER(Upgrades!$U$21,M45),1))*$F$6+(((IF(H45=0,0,(Upgrades!$M$16+H45*Upgrades!$N$16)*POWER(Upgrades!$O$16,H45)))*(IF(Upgrades!$T$13="Roche Lobe Overflow",POWER(Upgrades!$U$13,E45),1)*IF(Upgrades!$T$14="Roche Lobe Overflow",POWER(Upgrades!$U$14,F45),1)*IF(Upgrades!$T$15="Roche Lobe Overflow",POWER(Upgrades!$U$15,G45),1)*IF(Upgrades!$T$17="Roche Lobe Overflow",POWER(Upgrades!$U$17,I45),1)*IF(Upgrades!$T$18="Roche Lobe Overflow",POWER(Upgrades!$U$18,J45),1)*IF(Upgrades!$T$19="Roche Lobe Overflow",POWER(Upgrades!$U$19,K45),1)*IF(Upgrades!$T$20="Roche Lobe Overflow",POWER(Upgrades!$U$20,L45),1)*IF(Upgrades!$T$21="Roche Lobe Overflow",POWER(Upgrades!$U$21,M45),1))*POWER(Upgrades!$R$13,E45)*POWER(Upgrades!$R$14,F45)*POWER(Upgrades!$R$15,G45)*POWER(Upgrades!$R$16,H45)*POWER(Upgrades!$R$17,I45)*POWER(Upgrades!$R$18,J45)*POWER(Upgrades!$R$19,K45)*POWER(Upgrades!$R$20,L45)*POWER(Upgrades!$R$21,M45)*$H$6)*O45)*0.10)/AO45,0)</f>
        <v/>
      </c>
      <c r="BD45" s="32">
        <f>MAX(IF(J45&gt;0,0,IFERROR(0.5*((IF(G45=0,0,(Upgrades!$J$15+G45*Upgrades!$K$15)*POWER(Upgrades!$L$15,G45)))*(IF(Upgrades!$T$13="Microlensing",POWER(Upgrades!$U$13,E45),1)*IF(Upgrades!$T$14="Microlensing",POWER(Upgrades!$U$14,F45),1)*IF(Upgrades!$T$16="Microlensing",POWER(Upgrades!$U$16,H45),1)*IF(Upgrades!$T$17="Microlensing",POWER(Upgrades!$U$17,I45),1)*IF(Upgrades!$T$18="Microlensing",POWER(Upgrades!$U$18,J45),1)*IF(Upgrades!$T$19="Microlensing",POWER(Upgrades!$U$19,K45),1)*IF(Upgrades!$T$20="Microlensing",POWER(Upgrades!$U$20,L45),1)*IF(Upgrades!$T$21="Microlensing",POWER(Upgrades!$U$21,M45),1))*(POWER(Upgrades!$Q$13,E45)*POWER(Upgrades!$Q$14,F45)*POWER(Upgrades!$Q$15,G45)*POWER(Upgrades!$Q$16,H45)*POWER(Upgrades!$Q$17,I45)*POWER(Upgrades!$Q$18,J45)*POWER(Upgrades!$Q$19,K45)*POWER(Upgrades!$Q$20,L45)*POWER(Upgrades!$Q$21,M45))*$G$6*(Parameters!$B$10/60*Parameters!$B$11+Q45))/Upgrades!$C$18,0)),IF(K45&gt;0,0,IFERROR(0.30*P45/Upgrades!$C$19,0)),IF(L45&gt;0,0,IFERROR(0.0001/Upgrades!$C$20,0)),IF(M45&gt;0,0,IFERROR((6.0*(POWER(Upgrades!$P$13,E45)*POWER(Upgrades!$P$14,F45)*POWER(Upgrades!$P$15,G45)*POWER(Upgrades!$P$16,H45)*POWER(Upgrades!$P$17,I45)*POWER(Upgrades!$P$18,J45)*POWER(Upgrades!$P$19,K45)*POWER(Upgrades!$P$20,L45)*POWER(Upgrades!$P$21,M45))*$F$6+0.20*O45*(Parameters!$B$10/60*Parameters!$B$11+Q45))/Upgrades!$C$21,0)),IF(AND(ISNUMBER(AK45),AK45&gt;(C45+T45)),AY45,0),IF(AND(ISNUMBER(AL45),AL45&gt;(C45+T45)),AZ45,0),IF(AND(ISNUMBER(AM45),AM45&gt;(C45+T45)),BA45,0),IF(AND(ISNUMBER(AN45),AN45&gt;(C45+T45)),BB45,0),IF(AND(ISNUMBER(AO45),AO45&gt;(C45+T45)),BC45,0))</f>
        <v/>
      </c>
      <c r="BE45" s="29">
        <f>IF(AT45=1,"transition",IF(MIN(IF(AND(J45=0,ISNUMBER(AP45),AP45&lt;=(C45+T45)),AP45,9E15),IF(AND(K45=0,ISNUMBER(AQ45),AQ45&lt;=(C45+T45)),AQ45,9E15),IF(AND(L45=0,ISNUMBER(AR45),AR45&lt;=(C45+T45)),AR45,9E15),IF(AND(M45=0,ISNUMBER(AS45),AS45&lt;=(C45+T45)),AS45,9E15))&lt;9E15,IF(AND(AND(J45=0,ISNUMBER(AP45),AP45&lt;=(C45+T45)),AP45=MIN(IF(AND(J45=0,ISNUMBER(AP45),AP45&lt;=(C45+T45)),AP45,9E15),IF(AND(K45=0,ISNUMBER(AQ45),AQ45&lt;=(C45+T45)),AQ45,9E15),IF(AND(L45=0,ISNUMBER(AR45),AR45&lt;=(C45+T45)),AR45,9E15),IF(AND(M45=0,ISNUMBER(AS45),AS45&lt;=(C45+T45)),AS45,9E15))),"BiP",IF(AND(AND(K45=0,ISNUMBER(AQ45),AQ45&lt;=(C45+T45)),AQ45=MIN(IF(AND(J45=0,ISNUMBER(AP45),AP45&lt;=(C45+T45)),AP45,9E15),IF(AND(K45=0,ISNUMBER(AQ45),AQ45&lt;=(C45+T45)),AQ45,9E15),IF(AND(L45=0,ISNUMBER(AR45),AR45&lt;=(C45+T45)),AR45,9E15),IF(AND(M45=0,ISNUMBER(AS45),AS45&lt;=(C45+T45)),AS45,9E15))),"PV",IF(AND(AND(L45=0,ISNUMBER(AR45),AR45&lt;=(C45+T45)),AR45=MIN(IF(AND(J45=0,ISNUMBER(AP45),AP45&lt;=(C45+T45)),AP45,9E15),IF(AND(K45=0,ISNUMBER(AQ45),AQ45&lt;=(C45+T45)),AQ45,9E15),IF(AND(L45=0,ISNUMBER(AR45),AR45&lt;=(C45+T45)),AR45,9E15),IF(AND(M45=0,ISNUMBER(AS45),AS45&lt;=(C45+T45)),AS45,9E15))),"OC","MG"))),IF(AX45=TRUE,"",IF(MAX(IF(AND(NOT(AND(AU45=1,AT45&lt;&gt;1)),ISNUMBER(AK45),AK45&lt;=(C45+T45)),AY45,0),IF(AND(NOT(AND(AU45=1,AT45&lt;&gt;1)),ISNUMBER(AL45),AL45&lt;=(C45+T45)),AZ45,0),IF(AND(NOT(AND(AU45=1,AT45&lt;&gt;1)),ISNUMBER(AM45),AM45&lt;=(C45+T45)),BA45,0),IF(AND(NOT(AND(AU45=1,AT45&lt;&gt;1)),ISNUMBER(AN45),AN45&lt;=(C45+T45)),BB45,0),IF(AND(ISNUMBER(AO45),AO45&lt;=(C45+T45)),BC45,0))&lt;=0,"",IF(AND(IF(AND(NOT(AND(AU45=1,AT45&lt;&gt;1)),ISNUMBER(AK45),AK45&lt;=(C45+T45)),AY45,0)&gt;0,IF(AND(NOT(AND(AU45=1,AT45&lt;&gt;1)),ISNUMBER(AK45),AK45&lt;=(C45+T45)),AY45,0)=MAX(IF(AND(NOT(AND(AU45=1,AT45&lt;&gt;1)),ISNUMBER(AK45),AK45&lt;=(C45+T45)),AY45,0),IF(AND(NOT(AND(AU45=1,AT45&lt;&gt;1)),ISNUMBER(AL45),AL45&lt;=(C45+T45)),AZ45,0),IF(AND(NOT(AND(AU45=1,AT45&lt;&gt;1)),ISNUMBER(AM45),AM45&lt;=(C45+T45)),BA45,0),IF(AND(NOT(AND(AU45=1,AT45&lt;&gt;1)),ISNUMBER(AN45),AN45&lt;=(C45+T45)),BB45,0),IF(AND(ISNUMBER(AO45),AO45&lt;=(C45+T45)),BC45,0))),"SK",IF(AND(IF(AND(NOT(AND(AU45=1,AT45&lt;&gt;1)),ISNUMBER(AL45),AL45&lt;=(C45+T45)),AZ45,0)&gt;0,IF(AND(NOT(AND(AU45=1,AT45&lt;&gt;1)),ISNUMBER(AL45),AL45&lt;=(C45+T45)),AZ45,0)=MAX(IF(AND(NOT(AND(AU45=1,AT45&lt;&gt;1)),ISNUMBER(AK45),AK45&lt;=(C45+T45)),AY45,0),IF(AND(NOT(AND(AU45=1,AT45&lt;&gt;1)),ISNUMBER(AL45),AL45&lt;=(C45+T45)),AZ45,0),IF(AND(NOT(AND(AU45=1,AT45&lt;&gt;1)),ISNUMBER(AM45),AM45&lt;=(C45+T45)),BA45,0),IF(AND(NOT(AND(AU45=1,AT45&lt;&gt;1)),ISNUMBER(AN45),AN45&lt;=(C45+T45)),BB45,0),IF(AND(ISNUMBER(AO45),AO45&lt;=(C45+T45)),BC45,0))),"LB",IF(AND(IF(AND(NOT(AND(AU45=1,AT45&lt;&gt;1)),ISNUMBER(AM45),AM45&lt;=(C45+T45)),BA45,0)&gt;0,IF(AND(NOT(AND(AU45=1,AT45&lt;&gt;1)),ISNUMBER(AM45),AM45&lt;=(C45+T45)),BA45,0)=MAX(IF(AND(NOT(AND(AU45=1,AT45&lt;&gt;1)),ISNUMBER(AK45),AK45&lt;=(C45+T45)),AY45,0),IF(AND(NOT(AND(AU45=1,AT45&lt;&gt;1)),ISNUMBER(AL45),AL45&lt;=(C45+T45)),AZ45,0),IF(AND(NOT(AND(AU45=1,AT45&lt;&gt;1)),ISNUMBER(AM45),AM45&lt;=(C45+T45)),BA45,0),IF(AND(NOT(AND(AU45=1,AT45&lt;&gt;1)),ISNUMBER(AN45),AN45&lt;=(C45+T45)),BB45,0),IF(AND(ISNUMBER(AO45),AO45&lt;=(C45+T45)),BC45,0))),"ML",IF(AND(IF(AND(NOT(AND(AU45=1,AT45&lt;&gt;1)),ISNUMBER(AN45),AN45&lt;=(C45+T45)),BB45,0)&gt;0,IF(AND(NOT(AND(AU45=1,AT45&lt;&gt;1)),ISNUMBER(AN45),AN45&lt;=(C45+T45)),BB45,0)=MAX(IF(AND(NOT(AND(AU45=1,AT45&lt;&gt;1)),ISNUMBER(AK45),AK45&lt;=(C45+T45)),AY45,0),IF(AND(NOT(AND(AU45=1,AT45&lt;&gt;1)),ISNUMBER(AL45),AL45&lt;=(C45+T45)),AZ45,0),IF(AND(NOT(AND(AU45=1,AT45&lt;&gt;1)),ISNUMBER(AM45),AM45&lt;=(C45+T45)),BA45,0),IF(AND(NOT(AND(AU45=1,AT45&lt;&gt;1)),ISNUMBER(AN45),AN45&lt;=(C45+T45)),BB45,0),IF(AND(ISNUMBER(AO45),AO45&lt;=(C45+T45)),BC45,0))),"RLO","BD"))))))))</f>
        <v/>
      </c>
    </row>
    <row r="46">
      <c r="A46" s="26" t="n">
        <v>35</v>
      </c>
      <c r="B46" s="27">
        <f>A46*10/60</f>
        <v/>
      </c>
      <c r="C46" s="22">
        <f>X45</f>
        <v/>
      </c>
      <c r="D46" s="27">
        <f>D45+W45</f>
        <v/>
      </c>
      <c r="E46" s="26">
        <f>E45+IF(U45="SK",1,0)</f>
        <v/>
      </c>
      <c r="F46" s="26">
        <f>F45+IF(U45="LB",1,0)</f>
        <v/>
      </c>
      <c r="G46" s="26">
        <f>G45+IF(U45="ML",1,0)</f>
        <v/>
      </c>
      <c r="H46" s="26">
        <f>H45+IF(U45="RLO",1,0)</f>
        <v/>
      </c>
      <c r="I46" s="26">
        <f>I45+IF(U45="BD",1,0)</f>
        <v/>
      </c>
      <c r="J46" s="26">
        <f>MAX(J45,IF(U45="BiP",1,0))</f>
        <v/>
      </c>
      <c r="K46" s="26">
        <f>MAX(K45,IF(U45="PV",1,0))</f>
        <v/>
      </c>
      <c r="L46" s="26">
        <f>MAX(L45,IF(U45="OC",1,0))</f>
        <v/>
      </c>
      <c r="M46" s="26">
        <f>MAX(M45,IF(U45="MG",1,0))</f>
        <v/>
      </c>
      <c r="N46" s="26">
        <f>MAX(N45,IF(U45="transition",1,0))</f>
        <v/>
      </c>
      <c r="O46" s="28">
        <f>(Parameters!$B$9+(IF(E46=0,0,(Upgrades!$J$13+E46*Upgrades!$K$13)*POWER(Upgrades!$L$13,E46)))*(IF(Upgrades!$T$14="Stellar Kinematics",POWER(Upgrades!$U$14,F46),1)*IF(Upgrades!$T$15="Stellar Kinematics",POWER(Upgrades!$U$15,G46),1)*IF(Upgrades!$T$16="Stellar Kinematics",POWER(Upgrades!$U$16,H46),1)*IF(Upgrades!$T$17="Stellar Kinematics",POWER(Upgrades!$U$17,I46),1)*IF(Upgrades!$T$18="Stellar Kinematics",POWER(Upgrades!$U$18,J46),1)*IF(Upgrades!$T$19="Stellar Kinematics",POWER(Upgrades!$U$19,K46),1)*IF(Upgrades!$T$20="Stellar Kinematics",POWER(Upgrades!$U$20,L46),1)*IF(Upgrades!$T$21="Stellar Kinematics",POWER(Upgrades!$U$21,M46),1))+(IF(F46=0,0,(Upgrades!$J$14+F46*Upgrades!$K$14)*POWER(Upgrades!$L$14,F46)))*(IF(Upgrades!$T$13="Local Bubble",POWER(Upgrades!$U$13,E46),1)*IF(Upgrades!$T$15="Local Bubble",POWER(Upgrades!$U$15,G46),1)*IF(Upgrades!$T$16="Local Bubble",POWER(Upgrades!$U$16,H46),1)*IF(Upgrades!$T$17="Local Bubble",POWER(Upgrades!$U$17,I46),1)*IF(Upgrades!$T$18="Local Bubble",POWER(Upgrades!$U$18,J46),1)*IF(Upgrades!$T$19="Local Bubble",POWER(Upgrades!$U$19,K46),1)*IF(Upgrades!$T$20="Local Bubble",POWER(Upgrades!$U$20,L46),1)*IF(Upgrades!$T$21="Local Bubble",POWER(Upgrades!$U$21,M46),1))+(IF(G46=0,0,(Upgrades!$J$15+G46*Upgrades!$K$15)*POWER(Upgrades!$L$15,G46)))*(IF(Upgrades!$T$13="Microlensing",POWER(Upgrades!$U$13,E46),1)*IF(Upgrades!$T$14="Microlensing",POWER(Upgrades!$U$14,F46),1)*IF(Upgrades!$T$16="Microlensing",POWER(Upgrades!$U$16,H46),1)*IF(Upgrades!$T$17="Microlensing",POWER(Upgrades!$U$17,I46),1)*IF(Upgrades!$T$18="Microlensing",POWER(Upgrades!$U$18,J46),1)*IF(Upgrades!$T$19="Microlensing",POWER(Upgrades!$U$19,K46),1)*IF(Upgrades!$T$20="Microlensing",POWER(Upgrades!$U$20,L46),1)*IF(Upgrades!$T$21="Microlensing",POWER(Upgrades!$U$21,M46),1))+(IF(H46=0,0,(Upgrades!$J$16+H46*Upgrades!$K$16)*POWER(Upgrades!$L$16,H46)))*(IF(Upgrades!$T$13="Roche Lobe Overflow",POWER(Upgrades!$U$13,E46),1)*IF(Upgrades!$T$14="Roche Lobe Overflow",POWER(Upgrades!$U$14,F46),1)*IF(Upgrades!$T$15="Roche Lobe Overflow",POWER(Upgrades!$U$15,G46),1)*IF(Upgrades!$T$17="Roche Lobe Overflow",POWER(Upgrades!$U$17,I46),1)*IF(Upgrades!$T$18="Roche Lobe Overflow",POWER(Upgrades!$U$18,J46),1)*IF(Upgrades!$T$19="Roche Lobe Overflow",POWER(Upgrades!$U$19,K46),1)*IF(Upgrades!$T$20="Roche Lobe Overflow",POWER(Upgrades!$U$20,L46),1)*IF(Upgrades!$T$21="Roche Lobe Overflow",POWER(Upgrades!$U$21,M46),1))+(IF(I46=0,0,(Upgrades!$J$17+I46*Upgrades!$K$17)*POWER(Upgrades!$L$17,I46)))*(IF(Upgrades!$T$13="Brown Dwarf",POWER(Upgrades!$U$13,E46),1)*IF(Upgrades!$T$14="Brown Dwarf",POWER(Upgrades!$U$14,F46),1)*IF(Upgrades!$T$15="Brown Dwarf",POWER(Upgrades!$U$15,G46),1)*IF(Upgrades!$T$16="Brown Dwarf",POWER(Upgrades!$U$16,H46),1)*IF(Upgrades!$T$18="Brown Dwarf",POWER(Upgrades!$U$18,J46),1)*IF(Upgrades!$T$19="Brown Dwarf",POWER(Upgrades!$U$19,K46),1)*IF(Upgrades!$T$20="Brown Dwarf",POWER(Upgrades!$U$20,L46),1)*IF(Upgrades!$T$21="Brown Dwarf",POWER(Upgrades!$U$21,M46),1))+(IF(J46=0,0,(Upgrades!$J$18+J46*Upgrades!$K$18)*POWER(Upgrades!$L$18,J46)))*(IF(Upgrades!$T$13="Binary Partner",POWER(Upgrades!$U$13,E46),1)*IF(Upgrades!$T$14="Binary Partner",POWER(Upgrades!$U$14,F46),1)*IF(Upgrades!$T$15="Binary Partner",POWER(Upgrades!$U$15,G46),1)*IF(Upgrades!$T$16="Binary Partner",POWER(Upgrades!$U$16,H46),1)*IF(Upgrades!$T$17="Binary Partner",POWER(Upgrades!$U$17,I46),1)*IF(Upgrades!$T$19="Binary Partner",POWER(Upgrades!$U$19,K46),1)*IF(Upgrades!$T$20="Binary Partner",POWER(Upgrades!$U$20,L46),1)*IF(Upgrades!$T$21="Binary Partner",POWER(Upgrades!$U$21,M46),1))+(IF(K46=0,0,(Upgrades!$J$19+K46*Upgrades!$K$19)*POWER(Upgrades!$L$19,K46)))*(IF(Upgrades!$T$13="Peculiar Velocity",POWER(Upgrades!$U$13,E46),1)*IF(Upgrades!$T$14="Peculiar Velocity",POWER(Upgrades!$U$14,F46),1)*IF(Upgrades!$T$15="Peculiar Velocity",POWER(Upgrades!$U$15,G46),1)*IF(Upgrades!$T$16="Peculiar Velocity",POWER(Upgrades!$U$16,H46),1)*IF(Upgrades!$T$17="Peculiar Velocity",POWER(Upgrades!$U$17,I46),1)*IF(Upgrades!$T$18="Peculiar Velocity",POWER(Upgrades!$U$18,J46),1)*IF(Upgrades!$T$20="Peculiar Velocity",POWER(Upgrades!$U$20,L46),1)*IF(Upgrades!$T$21="Peculiar Velocity",POWER(Upgrades!$U$21,M46),1))+(IF(L46=0,0,(Upgrades!$J$20+L46*Upgrades!$K$20)*POWER(Upgrades!$L$20,L46)))*(IF(Upgrades!$T$13="Open Cluster",POWER(Upgrades!$U$13,E46),1)*IF(Upgrades!$T$14="Open Cluster",POWER(Upgrades!$U$14,F46),1)*IF(Upgrades!$T$15="Open Cluster",POWER(Upgrades!$U$15,G46),1)*IF(Upgrades!$T$16="Open Cluster",POWER(Upgrades!$U$16,H46),1)*IF(Upgrades!$T$17="Open Cluster",POWER(Upgrades!$U$17,I46),1)*IF(Upgrades!$T$18="Open Cluster",POWER(Upgrades!$U$18,J46),1)*IF(Upgrades!$T$19="Open Cluster",POWER(Upgrades!$U$19,K46),1)*IF(Upgrades!$T$21="Open Cluster",POWER(Upgrades!$U$21,M46),1))+(IF(M46=0,0,(Upgrades!$J$21+M46*Upgrades!$K$21)*POWER(Upgrades!$L$21,M46)))*(IF(Upgrades!$T$13="Moving Group",POWER(Upgrades!$U$13,E46),1)*IF(Upgrades!$T$14="Moving Group",POWER(Upgrades!$U$14,F46),1)*IF(Upgrades!$T$15="Moving Group",POWER(Upgrades!$U$15,G46),1)*IF(Upgrades!$T$16="Moving Group",POWER(Upgrades!$U$16,H46),1)*IF(Upgrades!$T$17="Moving Group",POWER(Upgrades!$U$17,I46),1)*IF(Upgrades!$T$18="Moving Group",POWER(Upgrades!$U$18,J46),1)*IF(Upgrades!$T$19="Moving Group",POWER(Upgrades!$U$19,K46),1)*IF(Upgrades!$T$20="Moving Group",POWER(Upgrades!$U$20,L46),1)))*POWER(Upgrades!$Q$13,E46)*POWER(Upgrades!$Q$14,F46)*POWER(Upgrades!$Q$15,G46)*POWER(Upgrades!$Q$16,H46)*POWER(Upgrades!$Q$17,I46)*POWER(Upgrades!$Q$18,J46)*POWER(Upgrades!$Q$19,K46)*POWER(Upgrades!$Q$20,L46)*POWER(Upgrades!$Q$21,M46)*$G$6+$D$6</f>
        <v/>
      </c>
      <c r="P46" s="28">
        <f>((IF(E46=0,0,(Upgrades!$G$13+E46*Upgrades!$H$13)*POWER(Upgrades!$I$13,E46)))*(IF(Upgrades!$T$14="Stellar Kinematics",POWER(Upgrades!$U$14,F46),1)*IF(Upgrades!$T$15="Stellar Kinematics",POWER(Upgrades!$U$15,G46),1)*IF(Upgrades!$T$16="Stellar Kinematics",POWER(Upgrades!$U$16,H46),1)*IF(Upgrades!$T$17="Stellar Kinematics",POWER(Upgrades!$U$17,I46),1)*IF(Upgrades!$T$18="Stellar Kinematics",POWER(Upgrades!$U$18,J46),1)*IF(Upgrades!$T$19="Stellar Kinematics",POWER(Upgrades!$U$19,K46),1)*IF(Upgrades!$T$20="Stellar Kinematics",POWER(Upgrades!$U$20,L46),1)*IF(Upgrades!$T$21="Stellar Kinematics",POWER(Upgrades!$U$21,M46),1))+(IF(F46=0,0,(Upgrades!$G$14+F46*Upgrades!$H$14)*POWER(Upgrades!$I$14,F46)))*(IF(Upgrades!$T$13="Local Bubble",POWER(Upgrades!$U$13,E46),1)*IF(Upgrades!$T$15="Local Bubble",POWER(Upgrades!$U$15,G46),1)*IF(Upgrades!$T$16="Local Bubble",POWER(Upgrades!$U$16,H46),1)*IF(Upgrades!$T$17="Local Bubble",POWER(Upgrades!$U$17,I46),1)*IF(Upgrades!$T$18="Local Bubble",POWER(Upgrades!$U$18,J46),1)*IF(Upgrades!$T$19="Local Bubble",POWER(Upgrades!$U$19,K46),1)*IF(Upgrades!$T$20="Local Bubble",POWER(Upgrades!$U$20,L46),1)*IF(Upgrades!$T$21="Local Bubble",POWER(Upgrades!$U$21,M46),1))+(IF(G46=0,0,(Upgrades!$G$15+G46*Upgrades!$H$15)*POWER(Upgrades!$I$15,G46)))*(IF(Upgrades!$T$13="Microlensing",POWER(Upgrades!$U$13,E46),1)*IF(Upgrades!$T$14="Microlensing",POWER(Upgrades!$U$14,F46),1)*IF(Upgrades!$T$16="Microlensing",POWER(Upgrades!$U$16,H46),1)*IF(Upgrades!$T$17="Microlensing",POWER(Upgrades!$U$17,I46),1)*IF(Upgrades!$T$18="Microlensing",POWER(Upgrades!$U$18,J46),1)*IF(Upgrades!$T$19="Microlensing",POWER(Upgrades!$U$19,K46),1)*IF(Upgrades!$T$20="Microlensing",POWER(Upgrades!$U$20,L46),1)*IF(Upgrades!$T$21="Microlensing",POWER(Upgrades!$U$21,M46),1))+(IF(H46=0,0,(Upgrades!$G$16+H46*Upgrades!$H$16)*POWER(Upgrades!$I$16,H46)))*(IF(Upgrades!$T$13="Roche Lobe Overflow",POWER(Upgrades!$U$13,E46),1)*IF(Upgrades!$T$14="Roche Lobe Overflow",POWER(Upgrades!$U$14,F46),1)*IF(Upgrades!$T$15="Roche Lobe Overflow",POWER(Upgrades!$U$15,G46),1)*IF(Upgrades!$T$17="Roche Lobe Overflow",POWER(Upgrades!$U$17,I46),1)*IF(Upgrades!$T$18="Roche Lobe Overflow",POWER(Upgrades!$U$18,J46),1)*IF(Upgrades!$T$19="Roche Lobe Overflow",POWER(Upgrades!$U$19,K46),1)*IF(Upgrades!$T$20="Roche Lobe Overflow",POWER(Upgrades!$U$20,L46),1)*IF(Upgrades!$T$21="Roche Lobe Overflow",POWER(Upgrades!$U$21,M46),1))+(IF(I46=0,0,(Upgrades!$G$17+I46*Upgrades!$H$17)*POWER(Upgrades!$I$17,I46)))*(IF(Upgrades!$T$13="Brown Dwarf",POWER(Upgrades!$U$13,E46),1)*IF(Upgrades!$T$14="Brown Dwarf",POWER(Upgrades!$U$14,F46),1)*IF(Upgrades!$T$15="Brown Dwarf",POWER(Upgrades!$U$15,G46),1)*IF(Upgrades!$T$16="Brown Dwarf",POWER(Upgrades!$U$16,H46),1)*IF(Upgrades!$T$18="Brown Dwarf",POWER(Upgrades!$U$18,J46),1)*IF(Upgrades!$T$19="Brown Dwarf",POWER(Upgrades!$U$19,K46),1)*IF(Upgrades!$T$20="Brown Dwarf",POWER(Upgrades!$U$20,L46),1)*IF(Upgrades!$T$21="Brown Dwarf",POWER(Upgrades!$U$21,M46),1))+(IF(J46=0,0,(Upgrades!$G$18+J46*Upgrades!$H$18)*POWER(Upgrades!$I$18,J46)))*(IF(Upgrades!$T$13="Binary Partner",POWER(Upgrades!$U$13,E46),1)*IF(Upgrades!$T$14="Binary Partner",POWER(Upgrades!$U$14,F46),1)*IF(Upgrades!$T$15="Binary Partner",POWER(Upgrades!$U$15,G46),1)*IF(Upgrades!$T$16="Binary Partner",POWER(Upgrades!$U$16,H46),1)*IF(Upgrades!$T$17="Binary Partner",POWER(Upgrades!$U$17,I46),1)*IF(Upgrades!$T$19="Binary Partner",POWER(Upgrades!$U$19,K46),1)*IF(Upgrades!$T$20="Binary Partner",POWER(Upgrades!$U$20,L46),1)*IF(Upgrades!$T$21="Binary Partner",POWER(Upgrades!$U$21,M46),1))+(IF(K46=0,0,(Upgrades!$G$19+K46*Upgrades!$H$19)*POWER(Upgrades!$I$19,K46)))*(IF(Upgrades!$T$13="Peculiar Velocity",POWER(Upgrades!$U$13,E46),1)*IF(Upgrades!$T$14="Peculiar Velocity",POWER(Upgrades!$U$14,F46),1)*IF(Upgrades!$T$15="Peculiar Velocity",POWER(Upgrades!$U$15,G46),1)*IF(Upgrades!$T$16="Peculiar Velocity",POWER(Upgrades!$U$16,H46),1)*IF(Upgrades!$T$17="Peculiar Velocity",POWER(Upgrades!$U$17,I46),1)*IF(Upgrades!$T$18="Peculiar Velocity",POWER(Upgrades!$U$18,J46),1)*IF(Upgrades!$T$20="Peculiar Velocity",POWER(Upgrades!$U$20,L46),1)*IF(Upgrades!$T$21="Peculiar Velocity",POWER(Upgrades!$U$21,M46),1))+(IF(L46=0,0,(Upgrades!$G$20+L46*Upgrades!$H$20)*POWER(Upgrades!$I$20,L46)))*(IF(Upgrades!$T$13="Open Cluster",POWER(Upgrades!$U$13,E46),1)*IF(Upgrades!$T$14="Open Cluster",POWER(Upgrades!$U$14,F46),1)*IF(Upgrades!$T$15="Open Cluster",POWER(Upgrades!$U$15,G46),1)*IF(Upgrades!$T$16="Open Cluster",POWER(Upgrades!$U$16,H46),1)*IF(Upgrades!$T$17="Open Cluster",POWER(Upgrades!$U$17,I46),1)*IF(Upgrades!$T$18="Open Cluster",POWER(Upgrades!$U$18,J46),1)*IF(Upgrades!$T$19="Open Cluster",POWER(Upgrades!$U$19,K46),1)*IF(Upgrades!$T$21="Open Cluster",POWER(Upgrades!$U$21,M46),1))+(IF(M46=0,0,(Upgrades!$G$21+M46*Upgrades!$H$21)*POWER(Upgrades!$I$21,M46)))*(IF(Upgrades!$T$13="Moving Group",POWER(Upgrades!$U$13,E46),1)*IF(Upgrades!$T$14="Moving Group",POWER(Upgrades!$U$14,F46),1)*IF(Upgrades!$T$15="Moving Group",POWER(Upgrades!$U$15,G46),1)*IF(Upgrades!$T$16="Moving Group",POWER(Upgrades!$U$16,H46),1)*IF(Upgrades!$T$17="Moving Group",POWER(Upgrades!$U$17,I46),1)*IF(Upgrades!$T$18="Moving Group",POWER(Upgrades!$U$18,J46),1)*IF(Upgrades!$T$19="Moving Group",POWER(Upgrades!$U$19,K46),1)*IF(Upgrades!$T$20="Moving Group",POWER(Upgrades!$U$20,L46),1)))*POWER(Upgrades!$P$13,E46)*POWER(Upgrades!$P$14,F46)*POWER(Upgrades!$P$15,G46)*POWER(Upgrades!$P$16,H46)*POWER(Upgrades!$P$17,I46)*POWER(Upgrades!$P$18,J46)*POWER(Upgrades!$P$19,K46)*POWER(Upgrades!$P$20,L46)*POWER(Upgrades!$P$21,M46)*$F$6+$C$6</f>
        <v/>
      </c>
      <c r="Q46" s="28">
        <f>((IF(E46=0,0,(Upgrades!$M$13+E46*Upgrades!$N$13)*POWER(Upgrades!$O$13,E46)))*(IF(Upgrades!$T$14="Stellar Kinematics",POWER(Upgrades!$U$14,F46),1)*IF(Upgrades!$T$15="Stellar Kinematics",POWER(Upgrades!$U$15,G46),1)*IF(Upgrades!$T$16="Stellar Kinematics",POWER(Upgrades!$U$16,H46),1)*IF(Upgrades!$T$17="Stellar Kinematics",POWER(Upgrades!$U$17,I46),1)*IF(Upgrades!$T$18="Stellar Kinematics",POWER(Upgrades!$U$18,J46),1)*IF(Upgrades!$T$19="Stellar Kinematics",POWER(Upgrades!$U$19,K46),1)*IF(Upgrades!$T$20="Stellar Kinematics",POWER(Upgrades!$U$20,L46),1)*IF(Upgrades!$T$21="Stellar Kinematics",POWER(Upgrades!$U$21,M46),1))+(IF(F46=0,0,(Upgrades!$M$14+F46*Upgrades!$N$14)*POWER(Upgrades!$O$14,F46)))*(IF(Upgrades!$T$13="Local Bubble",POWER(Upgrades!$U$13,E46),1)*IF(Upgrades!$T$15="Local Bubble",POWER(Upgrades!$U$15,G46),1)*IF(Upgrades!$T$16="Local Bubble",POWER(Upgrades!$U$16,H46),1)*IF(Upgrades!$T$17="Local Bubble",POWER(Upgrades!$U$17,I46),1)*IF(Upgrades!$T$18="Local Bubble",POWER(Upgrades!$U$18,J46),1)*IF(Upgrades!$T$19="Local Bubble",POWER(Upgrades!$U$19,K46),1)*IF(Upgrades!$T$20="Local Bubble",POWER(Upgrades!$U$20,L46),1)*IF(Upgrades!$T$21="Local Bubble",POWER(Upgrades!$U$21,M46),1))+(IF(G46=0,0,(Upgrades!$M$15+G46*Upgrades!$N$15)*POWER(Upgrades!$O$15,G46)))*(IF(Upgrades!$T$13="Microlensing",POWER(Upgrades!$U$13,E46),1)*IF(Upgrades!$T$14="Microlensing",POWER(Upgrades!$U$14,F46),1)*IF(Upgrades!$T$16="Microlensing",POWER(Upgrades!$U$16,H46),1)*IF(Upgrades!$T$17="Microlensing",POWER(Upgrades!$U$17,I46),1)*IF(Upgrades!$T$18="Microlensing",POWER(Upgrades!$U$18,J46),1)*IF(Upgrades!$T$19="Microlensing",POWER(Upgrades!$U$19,K46),1)*IF(Upgrades!$T$20="Microlensing",POWER(Upgrades!$U$20,L46),1)*IF(Upgrades!$T$21="Microlensing",POWER(Upgrades!$U$21,M46),1))+(IF(H46=0,0,(Upgrades!$M$16+H46*Upgrades!$N$16)*POWER(Upgrades!$O$16,H46)))*(IF(Upgrades!$T$13="Roche Lobe Overflow",POWER(Upgrades!$U$13,E46),1)*IF(Upgrades!$T$14="Roche Lobe Overflow",POWER(Upgrades!$U$14,F46),1)*IF(Upgrades!$T$15="Roche Lobe Overflow",POWER(Upgrades!$U$15,G46),1)*IF(Upgrades!$T$17="Roche Lobe Overflow",POWER(Upgrades!$U$17,I46),1)*IF(Upgrades!$T$18="Roche Lobe Overflow",POWER(Upgrades!$U$18,J46),1)*IF(Upgrades!$T$19="Roche Lobe Overflow",POWER(Upgrades!$U$19,K46),1)*IF(Upgrades!$T$20="Roche Lobe Overflow",POWER(Upgrades!$U$20,L46),1)*IF(Upgrades!$T$21="Roche Lobe Overflow",POWER(Upgrades!$U$21,M46),1))+(IF(I46=0,0,(Upgrades!$M$17+I46*Upgrades!$N$17)*POWER(Upgrades!$O$17,I46)))*(IF(Upgrades!$T$13="Brown Dwarf",POWER(Upgrades!$U$13,E46),1)*IF(Upgrades!$T$14="Brown Dwarf",POWER(Upgrades!$U$14,F46),1)*IF(Upgrades!$T$15="Brown Dwarf",POWER(Upgrades!$U$15,G46),1)*IF(Upgrades!$T$16="Brown Dwarf",POWER(Upgrades!$U$16,H46),1)*IF(Upgrades!$T$18="Brown Dwarf",POWER(Upgrades!$U$18,J46),1)*IF(Upgrades!$T$19="Brown Dwarf",POWER(Upgrades!$U$19,K46),1)*IF(Upgrades!$T$20="Brown Dwarf",POWER(Upgrades!$U$20,L46),1)*IF(Upgrades!$T$21="Brown Dwarf",POWER(Upgrades!$U$21,M46),1))+(IF(J46=0,0,(Upgrades!$M$18+J46*Upgrades!$N$18)*POWER(Upgrades!$O$18,J46)))*(IF(Upgrades!$T$13="Binary Partner",POWER(Upgrades!$U$13,E46),1)*IF(Upgrades!$T$14="Binary Partner",POWER(Upgrades!$U$14,F46),1)*IF(Upgrades!$T$15="Binary Partner",POWER(Upgrades!$U$15,G46),1)*IF(Upgrades!$T$16="Binary Partner",POWER(Upgrades!$U$16,H46),1)*IF(Upgrades!$T$17="Binary Partner",POWER(Upgrades!$U$17,I46),1)*IF(Upgrades!$T$19="Binary Partner",POWER(Upgrades!$U$19,K46),1)*IF(Upgrades!$T$20="Binary Partner",POWER(Upgrades!$U$20,L46),1)*IF(Upgrades!$T$21="Binary Partner",POWER(Upgrades!$U$21,M46),1))+(IF(K46=0,0,(Upgrades!$M$19+K46*Upgrades!$N$19)*POWER(Upgrades!$O$19,K46)))*(IF(Upgrades!$T$13="Peculiar Velocity",POWER(Upgrades!$U$13,E46),1)*IF(Upgrades!$T$14="Peculiar Velocity",POWER(Upgrades!$U$14,F46),1)*IF(Upgrades!$T$15="Peculiar Velocity",POWER(Upgrades!$U$15,G46),1)*IF(Upgrades!$T$16="Peculiar Velocity",POWER(Upgrades!$U$16,H46),1)*IF(Upgrades!$T$17="Peculiar Velocity",POWER(Upgrades!$U$17,I46),1)*IF(Upgrades!$T$18="Peculiar Velocity",POWER(Upgrades!$U$18,J46),1)*IF(Upgrades!$T$20="Peculiar Velocity",POWER(Upgrades!$U$20,L46),1)*IF(Upgrades!$T$21="Peculiar Velocity",POWER(Upgrades!$U$21,M46),1))+(IF(L46=0,0,(Upgrades!$M$20+L46*Upgrades!$N$20)*POWER(Upgrades!$O$20,L46)))*(IF(Upgrades!$T$13="Open Cluster",POWER(Upgrades!$U$13,E46),1)*IF(Upgrades!$T$14="Open Cluster",POWER(Upgrades!$U$14,F46),1)*IF(Upgrades!$T$15="Open Cluster",POWER(Upgrades!$U$15,G46),1)*IF(Upgrades!$T$16="Open Cluster",POWER(Upgrades!$U$16,H46),1)*IF(Upgrades!$T$17="Open Cluster",POWER(Upgrades!$U$17,I46),1)*IF(Upgrades!$T$18="Open Cluster",POWER(Upgrades!$U$18,J46),1)*IF(Upgrades!$T$19="Open Cluster",POWER(Upgrades!$U$19,K46),1)*IF(Upgrades!$T$21="Open Cluster",POWER(Upgrades!$U$21,M46),1))+(IF(M46=0,0,(Upgrades!$M$21+M46*Upgrades!$N$21)*POWER(Upgrades!$O$21,M46)))*(IF(Upgrades!$T$13="Moving Group",POWER(Upgrades!$U$13,E46),1)*IF(Upgrades!$T$14="Moving Group",POWER(Upgrades!$U$14,F46),1)*IF(Upgrades!$T$15="Moving Group",POWER(Upgrades!$U$15,G46),1)*IF(Upgrades!$T$16="Moving Group",POWER(Upgrades!$U$16,H46),1)*IF(Upgrades!$T$17="Moving Group",POWER(Upgrades!$U$17,I46),1)*IF(Upgrades!$T$18="Moving Group",POWER(Upgrades!$U$18,J46),1)*IF(Upgrades!$T$19="Moving Group",POWER(Upgrades!$U$19,K46),1)*IF(Upgrades!$T$20="Moving Group",POWER(Upgrades!$U$20,L46),1)))*POWER(Upgrades!$R$13,E46)*POWER(Upgrades!$R$14,F46)*POWER(Upgrades!$R$15,G46)*POWER(Upgrades!$R$16,H46)*POWER(Upgrades!$R$17,I46)*POWER(Upgrades!$R$18,J46)*POWER(Upgrades!$R$19,K46)*POWER(Upgrades!$R$20,L46)*POWER(Upgrades!$R$21,M46)*$H$6+$E$6</f>
        <v/>
      </c>
      <c r="R46" s="27">
        <f>IF(N46=1,0,O46*Parameters!$B$10/60*Parameters!$B$11*10)</f>
        <v/>
      </c>
      <c r="S46" s="27">
        <f>IF(N46=1,0,Q46*O46*10)</f>
        <v/>
      </c>
      <c r="T46" s="27">
        <f>IF(N46=1,0,R46+S46+P46*10)</f>
        <v/>
      </c>
      <c r="U46" s="33">
        <f>BE46</f>
        <v/>
      </c>
      <c r="V46" s="22">
        <f>IF(U46="",0,IF(U46="transition",0,IF(U46="SK",AK46,IF(U46="LB",AL46,IF(U46="ML",AM46,IF(U46="RLO",AN46,IF(U46="BD",AO46,IF(U46="BiP",AP46,IF(U46="PV",AQ46,IF(U46="OC",AR46,IF(U46="MG",AS46,0))))))))))</f>
        <v/>
      </c>
      <c r="W46" s="27">
        <f>IF(U46="BiP",Upgrades!$F$18,IF(U46="PV",Upgrades!$F$19,IF(U46="OC",Upgrades!$F$20,IF(U46="MG",Upgrades!$F$21,IF(U46="transition",-Parameters!$B$18*Parameters!$B$19,0)))))</f>
        <v/>
      </c>
      <c r="X46" s="22">
        <f>C46+T46-V46</f>
        <v/>
      </c>
      <c r="Y46" s="30">
        <f>O46*Parameters!$B$10/60*Parameters!$B$11+Q46*O46+P46</f>
        <v/>
      </c>
      <c r="Z46" s="34">
        <f>IF(U46="transition","→ Tier 3 (Galactic Arm)",IF(U46="MG","Moving Group — pocket drifts together",IF(U46="OC","Open Cluster acquired",IF(U46="PV","Peculiar Velocity — passive multiplier active",IF(U46="BiP","Binary Partner — pair bond formed",IF(AND(AU46=1,N46=0,AT46&lt;&gt;1),"Cohesion ready (waiting on completionists)","")))))) </f>
        <v/>
      </c>
      <c r="AA46" s="27">
        <f>(IF(E46=0,0,(Upgrades!$G$13+E46*Upgrades!$H$13)*POWER(Upgrades!$I$13,E46)))*(IF(Upgrades!$T$14="Stellar Kinematics",POWER(Upgrades!$U$14,F46),1)*IF(Upgrades!$T$15="Stellar Kinematics",POWER(Upgrades!$U$15,G46),1)*IF(Upgrades!$T$16="Stellar Kinematics",POWER(Upgrades!$U$16,H46),1)*IF(Upgrades!$T$17="Stellar Kinematics",POWER(Upgrades!$U$17,I46),1)*IF(Upgrades!$T$18="Stellar Kinematics",POWER(Upgrades!$U$18,J46),1)*IF(Upgrades!$T$19="Stellar Kinematics",POWER(Upgrades!$U$19,K46),1)*IF(Upgrades!$T$20="Stellar Kinematics",POWER(Upgrades!$U$20,L46),1)*IF(Upgrades!$T$21="Stellar Kinematics",POWER(Upgrades!$U$21,M46),1))*POWER(Upgrades!$P$13,E46)*POWER(Upgrades!$P$14,F46)*POWER(Upgrades!$P$15,G46)*POWER(Upgrades!$P$16,H46)*POWER(Upgrades!$P$17,I46)*POWER(Upgrades!$P$18,J46)*POWER(Upgrades!$P$19,K46)*POWER(Upgrades!$P$20,L46)*POWER(Upgrades!$P$21,M46)*$F$6*60</f>
        <v/>
      </c>
      <c r="AB46" s="27">
        <f>(IF(F46=0,0,(Upgrades!$G$14+F46*Upgrades!$H$14)*POWER(Upgrades!$I$14,F46)))*(IF(Upgrades!$T$13="Local Bubble",POWER(Upgrades!$U$13,E46),1)*IF(Upgrades!$T$15="Local Bubble",POWER(Upgrades!$U$15,G46),1)*IF(Upgrades!$T$16="Local Bubble",POWER(Upgrades!$U$16,H46),1)*IF(Upgrades!$T$17="Local Bubble",POWER(Upgrades!$U$17,I46),1)*IF(Upgrades!$T$18="Local Bubble",POWER(Upgrades!$U$18,J46),1)*IF(Upgrades!$T$19="Local Bubble",POWER(Upgrades!$U$19,K46),1)*IF(Upgrades!$T$20="Local Bubble",POWER(Upgrades!$U$20,L46),1)*IF(Upgrades!$T$21="Local Bubble",POWER(Upgrades!$U$21,M46),1))*POWER(Upgrades!$P$13,E46)*POWER(Upgrades!$P$14,F46)*POWER(Upgrades!$P$15,G46)*POWER(Upgrades!$P$16,H46)*POWER(Upgrades!$P$17,I46)*POWER(Upgrades!$P$18,J46)*POWER(Upgrades!$P$19,K46)*POWER(Upgrades!$P$20,L46)*POWER(Upgrades!$P$21,M46)*$F$6*60</f>
        <v/>
      </c>
      <c r="AC46" s="27">
        <f>(IF(G46=0,0,(Upgrades!$J$15+G46*Upgrades!$K$15)*POWER(Upgrades!$L$15,G46)))*(IF(Upgrades!$T$13="Microlensing",POWER(Upgrades!$U$13,E46),1)*IF(Upgrades!$T$14="Microlensing",POWER(Upgrades!$U$14,F46),1)*IF(Upgrades!$T$16="Microlensing",POWER(Upgrades!$U$16,H46),1)*IF(Upgrades!$T$17="Microlensing",POWER(Upgrades!$U$17,I46),1)*IF(Upgrades!$T$18="Microlensing",POWER(Upgrades!$U$18,J46),1)*IF(Upgrades!$T$19="Microlensing",POWER(Upgrades!$U$19,K46),1)*IF(Upgrades!$T$20="Microlensing",POWER(Upgrades!$U$20,L46),1)*IF(Upgrades!$T$21="Microlensing",POWER(Upgrades!$U$21,M46),1))*POWER(Upgrades!$Q$13,E46)*POWER(Upgrades!$Q$14,F46)*POWER(Upgrades!$Q$15,G46)*POWER(Upgrades!$Q$16,H46)*POWER(Upgrades!$Q$17,I46)*POWER(Upgrades!$Q$18,J46)*POWER(Upgrades!$Q$19,K46)*POWER(Upgrades!$Q$20,L46)*POWER(Upgrades!$Q$21,M46)*$G$6*(Parameters!$B$10*Parameters!$B$11+Q46*60)</f>
        <v/>
      </c>
      <c r="AD46" s="27">
        <f>(IF(H46=0,0,(Upgrades!$M$16+H46*Upgrades!$N$16)*POWER(Upgrades!$O$16,H46)))*(IF(Upgrades!$T$13="Roche Lobe Overflow",POWER(Upgrades!$U$13,E46),1)*IF(Upgrades!$T$14="Roche Lobe Overflow",POWER(Upgrades!$U$14,F46),1)*IF(Upgrades!$T$15="Roche Lobe Overflow",POWER(Upgrades!$U$15,G46),1)*IF(Upgrades!$T$17="Roche Lobe Overflow",POWER(Upgrades!$U$17,I46),1)*IF(Upgrades!$T$18="Roche Lobe Overflow",POWER(Upgrades!$U$18,J46),1)*IF(Upgrades!$T$19="Roche Lobe Overflow",POWER(Upgrades!$U$19,K46),1)*IF(Upgrades!$T$20="Roche Lobe Overflow",POWER(Upgrades!$U$20,L46),1)*IF(Upgrades!$T$21="Roche Lobe Overflow",POWER(Upgrades!$U$21,M46),1))*POWER(Upgrades!$R$13,E46)*POWER(Upgrades!$R$14,F46)*POWER(Upgrades!$R$15,G46)*POWER(Upgrades!$R$16,H46)*POWER(Upgrades!$R$17,I46)*POWER(Upgrades!$R$18,J46)*POWER(Upgrades!$R$19,K46)*POWER(Upgrades!$R$20,L46)*POWER(Upgrades!$R$21,M46)*$H$6*O46*60</f>
        <v/>
      </c>
      <c r="AE46" s="27">
        <f>(IF(I46=0,0,(Upgrades!$G$17+I46*Upgrades!$H$17)*POWER(Upgrades!$I$17,I46)))*(IF(Upgrades!$T$13="Brown Dwarf",POWER(Upgrades!$U$13,E46),1)*IF(Upgrades!$T$14="Brown Dwarf",POWER(Upgrades!$U$14,F46),1)*IF(Upgrades!$T$15="Brown Dwarf",POWER(Upgrades!$U$15,G46),1)*IF(Upgrades!$T$16="Brown Dwarf",POWER(Upgrades!$U$16,H46),1)*IF(Upgrades!$T$18="Brown Dwarf",POWER(Upgrades!$U$18,J46),1)*IF(Upgrades!$T$19="Brown Dwarf",POWER(Upgrades!$U$19,K46),1)*IF(Upgrades!$T$20="Brown Dwarf",POWER(Upgrades!$U$20,L46),1)*IF(Upgrades!$T$21="Brown Dwarf",POWER(Upgrades!$U$21,M46),1))*POWER(Upgrades!$P$13,E46)*POWER(Upgrades!$P$14,F46)*POWER(Upgrades!$P$15,G46)*POWER(Upgrades!$P$16,H46)*POWER(Upgrades!$P$17,I46)*POWER(Upgrades!$P$18,J46)*POWER(Upgrades!$P$19,K46)*POWER(Upgrades!$P$20,L46)*POWER(Upgrades!$P$21,M46)*$F$6*60</f>
        <v/>
      </c>
      <c r="AF46" s="27" t="n">
        <v>0</v>
      </c>
      <c r="AG46" s="27" t="n">
        <v>0</v>
      </c>
      <c r="AH46" s="27" t="n">
        <v>0</v>
      </c>
      <c r="AI46" s="27">
        <f>(IF(M46=0,0,(Upgrades!$G$21+M46*Upgrades!$H$21)*POWER(Upgrades!$I$21,M46)))*(IF(Upgrades!$T$13="Moving Group",POWER(Upgrades!$U$13,E46),1)*IF(Upgrades!$T$14="Moving Group",POWER(Upgrades!$U$14,F46),1)*IF(Upgrades!$T$15="Moving Group",POWER(Upgrades!$U$15,G46),1)*IF(Upgrades!$T$16="Moving Group",POWER(Upgrades!$U$16,H46),1)*IF(Upgrades!$T$17="Moving Group",POWER(Upgrades!$U$17,I46),1)*IF(Upgrades!$T$18="Moving Group",POWER(Upgrades!$U$18,J46),1)*IF(Upgrades!$T$19="Moving Group",POWER(Upgrades!$U$19,K46),1)*IF(Upgrades!$T$20="Moving Group",POWER(Upgrades!$U$20,L46),1))*POWER(Upgrades!$P$13,E46)*POWER(Upgrades!$P$14,F46)*POWER(Upgrades!$P$15,G46)*POWER(Upgrades!$P$16,H46)*POWER(Upgrades!$P$17,I46)*POWER(Upgrades!$P$18,J46)*POWER(Upgrades!$P$19,K46)*POWER(Upgrades!$P$20,L46)*POWER(Upgrades!$P$21,M46)*$F$6*60</f>
        <v/>
      </c>
      <c r="AJ46" s="27">
        <f>$C$6*60</f>
        <v/>
      </c>
      <c r="AK46" s="22">
        <f>IF(E46&gt;=Upgrades!$E$13,"",Upgrades!$C$13*POWER(Upgrades!$D$13,E46))</f>
        <v/>
      </c>
      <c r="AL46" s="22">
        <f>IF(F46&gt;=Upgrades!$E$14,"",Upgrades!$C$14*POWER(Upgrades!$D$14,F46))</f>
        <v/>
      </c>
      <c r="AM46" s="22">
        <f>IF(G46&gt;=Upgrades!$E$15,"",Upgrades!$C$15*POWER(Upgrades!$D$15,G46))</f>
        <v/>
      </c>
      <c r="AN46" s="22">
        <f>IF(H46&gt;=Upgrades!$E$16,"",Upgrades!$C$16*POWER(Upgrades!$D$16,H46))</f>
        <v/>
      </c>
      <c r="AO46" s="22">
        <f>IF(I46&gt;=Upgrades!$E$17,"",Upgrades!$C$17*POWER(Upgrades!$D$17,I46))</f>
        <v/>
      </c>
      <c r="AP46" s="22">
        <f>IF(J46&gt;=Upgrades!$E$18,"",Upgrades!$C$18*POWER(Upgrades!$D$18,J46))</f>
        <v/>
      </c>
      <c r="AQ46" s="22">
        <f>IF(K46&gt;=Upgrades!$E$19,"",Upgrades!$C$19*POWER(Upgrades!$D$19,K46))</f>
        <v/>
      </c>
      <c r="AR46" s="22">
        <f>IF(L46&gt;=Upgrades!$E$20,"",Upgrades!$C$20*POWER(Upgrades!$D$20,L46))</f>
        <v/>
      </c>
      <c r="AS46" s="22">
        <f>IF(M46&gt;=Upgrades!$E$21,"",Upgrades!$C$21*POWER(Upgrades!$D$21,M46))</f>
        <v/>
      </c>
      <c r="AT46" s="26">
        <f>IF(AND(D46&gt;=Parameters!$B$18*Parameters!$B$19,(I46&gt;=Upgrades!$E$17)*(M46&gt;=Upgrades!$E$21)=1,N46=0),1,"")</f>
        <v/>
      </c>
      <c r="AU46" s="26">
        <f>IF(AND(D46&gt;=Parameters!$B$18*Parameters!$B$19,N46=0),1,"")</f>
        <v/>
      </c>
      <c r="AV46" s="22">
        <f>MIN(IF(ISNUMBER(AP46),AP46,9E15),IF(ISNUMBER(AQ46),AQ46,9E15),IF(ISNUMBER(AR46),AR46,9E15),IF(ISNUMBER(AS46),AS46,9E15))</f>
        <v/>
      </c>
      <c r="AW46" s="22">
        <f>MIN(IF(ISNUMBER(AK46),AK46,9E15),IF(ISNUMBER(AL46),AL46,9E15),IF(ISNUMBER(AM46),AM46,9E15),IF(ISNUMBER(AN46),AN46,9E15),IF(ISNUMBER(AO46),AO46,9E15))</f>
        <v/>
      </c>
      <c r="AX46" s="29">
        <f>IF(BD46&gt;Parameters!$B$21*(MAX(IF(AND(NOT(AND(AU46=1,AT46&lt;&gt;1)),ISNUMBER(AK46),AK46&lt;=(C46+T46)),AY46,0),IF(AND(NOT(AND(AU46=1,AT46&lt;&gt;1)),ISNUMBER(AL46),AL46&lt;=(C46+T46)),AZ46,0),IF(AND(NOT(AND(AU46=1,AT46&lt;&gt;1)),ISNUMBER(AM46),AM46&lt;=(C46+T46)),BA46,0),IF(AND(NOT(AND(AU46=1,AT46&lt;&gt;1)),ISNUMBER(AN46),AN46&lt;=(C46+T46)),BB46,0),IF(AND(ISNUMBER(AO46),AO46&lt;=(C46+T46)),BC46,0))),TRUE,FALSE)</f>
        <v/>
      </c>
      <c r="AY46" s="32">
        <f>IFERROR(Upgrades!$H$13*(POWER(Upgrades!$P$13,E46)*POWER(Upgrades!$P$14,F46)*POWER(Upgrades!$P$15,G46)*POWER(Upgrades!$P$16,H46)*POWER(Upgrades!$P$17,I46)*POWER(Upgrades!$P$18,J46)*POWER(Upgrades!$P$19,K46)*POWER(Upgrades!$P$20,L46)*POWER(Upgrades!$P$21,M46))*(IF(Upgrades!$T$14="Stellar Kinematics",POWER(Upgrades!$U$14,F46),1)*IF(Upgrades!$T$15="Stellar Kinematics",POWER(Upgrades!$U$15,G46),1)*IF(Upgrades!$T$16="Stellar Kinematics",POWER(Upgrades!$U$16,H46),1)*IF(Upgrades!$T$17="Stellar Kinematics",POWER(Upgrades!$U$17,I46),1)*IF(Upgrades!$T$18="Stellar Kinematics",POWER(Upgrades!$U$18,J46),1)*IF(Upgrades!$T$19="Stellar Kinematics",POWER(Upgrades!$U$19,K46),1)*IF(Upgrades!$T$20="Stellar Kinematics",POWER(Upgrades!$U$20,L46),1)*IF(Upgrades!$T$21="Stellar Kinematics",POWER(Upgrades!$U$21,M46),1))*$F$6/AK46,0)</f>
        <v/>
      </c>
      <c r="AZ46" s="32">
        <f>IFERROR(Upgrades!$H$14*(POWER(Upgrades!$P$13,E46)*POWER(Upgrades!$P$14,F46)*POWER(Upgrades!$P$15,G46)*POWER(Upgrades!$P$16,H46)*POWER(Upgrades!$P$17,I46)*POWER(Upgrades!$P$18,J46)*POWER(Upgrades!$P$19,K46)*POWER(Upgrades!$P$20,L46)*POWER(Upgrades!$P$21,M46))*(IF(Upgrades!$T$13="Local Bubble",POWER(Upgrades!$U$13,E46),1)*IF(Upgrades!$T$15="Local Bubble",POWER(Upgrades!$U$15,G46),1)*IF(Upgrades!$T$16="Local Bubble",POWER(Upgrades!$U$16,H46),1)*IF(Upgrades!$T$17="Local Bubble",POWER(Upgrades!$U$17,I46),1)*IF(Upgrades!$T$18="Local Bubble",POWER(Upgrades!$U$18,J46),1)*IF(Upgrades!$T$19="Local Bubble",POWER(Upgrades!$U$19,K46),1)*IF(Upgrades!$T$20="Local Bubble",POWER(Upgrades!$U$20,L46),1)*IF(Upgrades!$T$21="Local Bubble",POWER(Upgrades!$U$21,M46),1))*$F$6/AL46,0)</f>
        <v/>
      </c>
      <c r="BA46" s="32">
        <f>IFERROR(Upgrades!$K$15*(POWER(Upgrades!$Q$13,E46)*POWER(Upgrades!$Q$14,F46)*POWER(Upgrades!$Q$15,G46)*POWER(Upgrades!$Q$16,H46)*POWER(Upgrades!$Q$17,I46)*POWER(Upgrades!$Q$18,J46)*POWER(Upgrades!$Q$19,K46)*POWER(Upgrades!$Q$20,L46)*POWER(Upgrades!$Q$21,M46))*(IF(Upgrades!$T$13="Microlensing",POWER(Upgrades!$U$13,E46),1)*IF(Upgrades!$T$14="Microlensing",POWER(Upgrades!$U$14,F46),1)*IF(Upgrades!$T$16="Microlensing",POWER(Upgrades!$U$16,H46),1)*IF(Upgrades!$T$17="Microlensing",POWER(Upgrades!$U$17,I46),1)*IF(Upgrades!$T$18="Microlensing",POWER(Upgrades!$U$18,J46),1)*IF(Upgrades!$T$19="Microlensing",POWER(Upgrades!$U$19,K46),1)*IF(Upgrades!$T$20="Microlensing",POWER(Upgrades!$U$20,L46),1)*IF(Upgrades!$T$21="Microlensing",POWER(Upgrades!$U$21,M46),1))*$G$6*(Parameters!$B$10/60*Parameters!$B$11+Q46)/AM46,0)</f>
        <v/>
      </c>
      <c r="BB46" s="32">
        <f>IFERROR((Upgrades!$N$16*(POWER(Upgrades!$R$13,E46)*POWER(Upgrades!$R$14,F46)*POWER(Upgrades!$R$15,G46)*POWER(Upgrades!$R$16,H46)*POWER(Upgrades!$R$17,I46)*POWER(Upgrades!$R$18,J46)*POWER(Upgrades!$R$19,K46)*POWER(Upgrades!$R$20,L46)*POWER(Upgrades!$R$21,M46))*(IF(Upgrades!$T$13="Roche Lobe Overflow",POWER(Upgrades!$U$13,E46),1)*IF(Upgrades!$T$14="Roche Lobe Overflow",POWER(Upgrades!$U$14,F46),1)*IF(Upgrades!$T$15="Roche Lobe Overflow",POWER(Upgrades!$U$15,G46),1)*IF(Upgrades!$T$17="Roche Lobe Overflow",POWER(Upgrades!$U$17,I46),1)*IF(Upgrades!$T$18="Roche Lobe Overflow",POWER(Upgrades!$U$18,J46),1)*IF(Upgrades!$T$19="Roche Lobe Overflow",POWER(Upgrades!$U$19,K46),1)*IF(Upgrades!$T$20="Roche Lobe Overflow",POWER(Upgrades!$U$20,L46),1)*IF(Upgrades!$T$21="Roche Lobe Overflow",POWER(Upgrades!$U$21,M46),1))*$H$6*O46+((IF(F46=0,0,(Upgrades!$G$14+F46*Upgrades!$H$14)*POWER(Upgrades!$I$14,F46)))*(IF(Upgrades!$T$13="Local Bubble",POWER(Upgrades!$U$13,E46),1)*IF(Upgrades!$T$15="Local Bubble",POWER(Upgrades!$U$15,G46),1)*IF(Upgrades!$T$16="Local Bubble",POWER(Upgrades!$U$16,H46),1)*IF(Upgrades!$T$17="Local Bubble",POWER(Upgrades!$U$17,I46),1)*IF(Upgrades!$T$18="Local Bubble",POWER(Upgrades!$U$18,J46),1)*IF(Upgrades!$T$19="Local Bubble",POWER(Upgrades!$U$19,K46),1)*IF(Upgrades!$T$20="Local Bubble",POWER(Upgrades!$U$20,L46),1)*IF(Upgrades!$T$21="Local Bubble",POWER(Upgrades!$U$21,M46),1))*POWER(Upgrades!$P$13,E46)*POWER(Upgrades!$P$14,F46)*POWER(Upgrades!$P$15,G46)*POWER(Upgrades!$P$16,H46)*POWER(Upgrades!$P$17,I46)*POWER(Upgrades!$P$18,J46)*POWER(Upgrades!$P$19,K46)*POWER(Upgrades!$P$20,L46)*POWER(Upgrades!$P$21,M46)*$F$6)*0.05)/AN46,0)</f>
        <v/>
      </c>
      <c r="BC46" s="32">
        <f>IFERROR((Upgrades!$H$17*(POWER(Upgrades!$P$13,E46)*POWER(Upgrades!$P$14,F46)*POWER(Upgrades!$P$15,G46)*POWER(Upgrades!$P$16,H46)*POWER(Upgrades!$P$17,I46)*POWER(Upgrades!$P$18,J46)*POWER(Upgrades!$P$19,K46)*POWER(Upgrades!$P$20,L46)*POWER(Upgrades!$P$21,M46))*(IF(Upgrades!$T$13="Brown Dwarf",POWER(Upgrades!$U$13,E46),1)*IF(Upgrades!$T$14="Brown Dwarf",POWER(Upgrades!$U$14,F46),1)*IF(Upgrades!$T$15="Brown Dwarf",POWER(Upgrades!$U$15,G46),1)*IF(Upgrades!$T$16="Brown Dwarf",POWER(Upgrades!$U$16,H46),1)*IF(Upgrades!$T$18="Brown Dwarf",POWER(Upgrades!$U$18,J46),1)*IF(Upgrades!$T$19="Brown Dwarf",POWER(Upgrades!$U$19,K46),1)*IF(Upgrades!$T$20="Brown Dwarf",POWER(Upgrades!$U$20,L46),1)*IF(Upgrades!$T$21="Brown Dwarf",POWER(Upgrades!$U$21,M46),1))*$F$6+(((IF(H46=0,0,(Upgrades!$M$16+H46*Upgrades!$N$16)*POWER(Upgrades!$O$16,H46)))*(IF(Upgrades!$T$13="Roche Lobe Overflow",POWER(Upgrades!$U$13,E46),1)*IF(Upgrades!$T$14="Roche Lobe Overflow",POWER(Upgrades!$U$14,F46),1)*IF(Upgrades!$T$15="Roche Lobe Overflow",POWER(Upgrades!$U$15,G46),1)*IF(Upgrades!$T$17="Roche Lobe Overflow",POWER(Upgrades!$U$17,I46),1)*IF(Upgrades!$T$18="Roche Lobe Overflow",POWER(Upgrades!$U$18,J46),1)*IF(Upgrades!$T$19="Roche Lobe Overflow",POWER(Upgrades!$U$19,K46),1)*IF(Upgrades!$T$20="Roche Lobe Overflow",POWER(Upgrades!$U$20,L46),1)*IF(Upgrades!$T$21="Roche Lobe Overflow",POWER(Upgrades!$U$21,M46),1))*POWER(Upgrades!$R$13,E46)*POWER(Upgrades!$R$14,F46)*POWER(Upgrades!$R$15,G46)*POWER(Upgrades!$R$16,H46)*POWER(Upgrades!$R$17,I46)*POWER(Upgrades!$R$18,J46)*POWER(Upgrades!$R$19,K46)*POWER(Upgrades!$R$20,L46)*POWER(Upgrades!$R$21,M46)*$H$6)*O46)*0.10)/AO46,0)</f>
        <v/>
      </c>
      <c r="BD46" s="32">
        <f>MAX(IF(J46&gt;0,0,IFERROR(0.5*((IF(G46=0,0,(Upgrades!$J$15+G46*Upgrades!$K$15)*POWER(Upgrades!$L$15,G46)))*(IF(Upgrades!$T$13="Microlensing",POWER(Upgrades!$U$13,E46),1)*IF(Upgrades!$T$14="Microlensing",POWER(Upgrades!$U$14,F46),1)*IF(Upgrades!$T$16="Microlensing",POWER(Upgrades!$U$16,H46),1)*IF(Upgrades!$T$17="Microlensing",POWER(Upgrades!$U$17,I46),1)*IF(Upgrades!$T$18="Microlensing",POWER(Upgrades!$U$18,J46),1)*IF(Upgrades!$T$19="Microlensing",POWER(Upgrades!$U$19,K46),1)*IF(Upgrades!$T$20="Microlensing",POWER(Upgrades!$U$20,L46),1)*IF(Upgrades!$T$21="Microlensing",POWER(Upgrades!$U$21,M46),1))*(POWER(Upgrades!$Q$13,E46)*POWER(Upgrades!$Q$14,F46)*POWER(Upgrades!$Q$15,G46)*POWER(Upgrades!$Q$16,H46)*POWER(Upgrades!$Q$17,I46)*POWER(Upgrades!$Q$18,J46)*POWER(Upgrades!$Q$19,K46)*POWER(Upgrades!$Q$20,L46)*POWER(Upgrades!$Q$21,M46))*$G$6*(Parameters!$B$10/60*Parameters!$B$11+Q46))/Upgrades!$C$18,0)),IF(K46&gt;0,0,IFERROR(0.30*P46/Upgrades!$C$19,0)),IF(L46&gt;0,0,IFERROR(0.0001/Upgrades!$C$20,0)),IF(M46&gt;0,0,IFERROR((6.0*(POWER(Upgrades!$P$13,E46)*POWER(Upgrades!$P$14,F46)*POWER(Upgrades!$P$15,G46)*POWER(Upgrades!$P$16,H46)*POWER(Upgrades!$P$17,I46)*POWER(Upgrades!$P$18,J46)*POWER(Upgrades!$P$19,K46)*POWER(Upgrades!$P$20,L46)*POWER(Upgrades!$P$21,M46))*$F$6+0.20*O46*(Parameters!$B$10/60*Parameters!$B$11+Q46))/Upgrades!$C$21,0)),IF(AND(ISNUMBER(AK46),AK46&gt;(C46+T46)),AY46,0),IF(AND(ISNUMBER(AL46),AL46&gt;(C46+T46)),AZ46,0),IF(AND(ISNUMBER(AM46),AM46&gt;(C46+T46)),BA46,0),IF(AND(ISNUMBER(AN46),AN46&gt;(C46+T46)),BB46,0),IF(AND(ISNUMBER(AO46),AO46&gt;(C46+T46)),BC46,0))</f>
        <v/>
      </c>
      <c r="BE46" s="29">
        <f>IF(AT46=1,"transition",IF(MIN(IF(AND(J46=0,ISNUMBER(AP46),AP46&lt;=(C46+T46)),AP46,9E15),IF(AND(K46=0,ISNUMBER(AQ46),AQ46&lt;=(C46+T46)),AQ46,9E15),IF(AND(L46=0,ISNUMBER(AR46),AR46&lt;=(C46+T46)),AR46,9E15),IF(AND(M46=0,ISNUMBER(AS46),AS46&lt;=(C46+T46)),AS46,9E15))&lt;9E15,IF(AND(AND(J46=0,ISNUMBER(AP46),AP46&lt;=(C46+T46)),AP46=MIN(IF(AND(J46=0,ISNUMBER(AP46),AP46&lt;=(C46+T46)),AP46,9E15),IF(AND(K46=0,ISNUMBER(AQ46),AQ46&lt;=(C46+T46)),AQ46,9E15),IF(AND(L46=0,ISNUMBER(AR46),AR46&lt;=(C46+T46)),AR46,9E15),IF(AND(M46=0,ISNUMBER(AS46),AS46&lt;=(C46+T46)),AS46,9E15))),"BiP",IF(AND(AND(K46=0,ISNUMBER(AQ46),AQ46&lt;=(C46+T46)),AQ46=MIN(IF(AND(J46=0,ISNUMBER(AP46),AP46&lt;=(C46+T46)),AP46,9E15),IF(AND(K46=0,ISNUMBER(AQ46),AQ46&lt;=(C46+T46)),AQ46,9E15),IF(AND(L46=0,ISNUMBER(AR46),AR46&lt;=(C46+T46)),AR46,9E15),IF(AND(M46=0,ISNUMBER(AS46),AS46&lt;=(C46+T46)),AS46,9E15))),"PV",IF(AND(AND(L46=0,ISNUMBER(AR46),AR46&lt;=(C46+T46)),AR46=MIN(IF(AND(J46=0,ISNUMBER(AP46),AP46&lt;=(C46+T46)),AP46,9E15),IF(AND(K46=0,ISNUMBER(AQ46),AQ46&lt;=(C46+T46)),AQ46,9E15),IF(AND(L46=0,ISNUMBER(AR46),AR46&lt;=(C46+T46)),AR46,9E15),IF(AND(M46=0,ISNUMBER(AS46),AS46&lt;=(C46+T46)),AS46,9E15))),"OC","MG"))),IF(AX46=TRUE,"",IF(MAX(IF(AND(NOT(AND(AU46=1,AT46&lt;&gt;1)),ISNUMBER(AK46),AK46&lt;=(C46+T46)),AY46,0),IF(AND(NOT(AND(AU46=1,AT46&lt;&gt;1)),ISNUMBER(AL46),AL46&lt;=(C46+T46)),AZ46,0),IF(AND(NOT(AND(AU46=1,AT46&lt;&gt;1)),ISNUMBER(AM46),AM46&lt;=(C46+T46)),BA46,0),IF(AND(NOT(AND(AU46=1,AT46&lt;&gt;1)),ISNUMBER(AN46),AN46&lt;=(C46+T46)),BB46,0),IF(AND(ISNUMBER(AO46),AO46&lt;=(C46+T46)),BC46,0))&lt;=0,"",IF(AND(IF(AND(NOT(AND(AU46=1,AT46&lt;&gt;1)),ISNUMBER(AK46),AK46&lt;=(C46+T46)),AY46,0)&gt;0,IF(AND(NOT(AND(AU46=1,AT46&lt;&gt;1)),ISNUMBER(AK46),AK46&lt;=(C46+T46)),AY46,0)=MAX(IF(AND(NOT(AND(AU46=1,AT46&lt;&gt;1)),ISNUMBER(AK46),AK46&lt;=(C46+T46)),AY46,0),IF(AND(NOT(AND(AU46=1,AT46&lt;&gt;1)),ISNUMBER(AL46),AL46&lt;=(C46+T46)),AZ46,0),IF(AND(NOT(AND(AU46=1,AT46&lt;&gt;1)),ISNUMBER(AM46),AM46&lt;=(C46+T46)),BA46,0),IF(AND(NOT(AND(AU46=1,AT46&lt;&gt;1)),ISNUMBER(AN46),AN46&lt;=(C46+T46)),BB46,0),IF(AND(ISNUMBER(AO46),AO46&lt;=(C46+T46)),BC46,0))),"SK",IF(AND(IF(AND(NOT(AND(AU46=1,AT46&lt;&gt;1)),ISNUMBER(AL46),AL46&lt;=(C46+T46)),AZ46,0)&gt;0,IF(AND(NOT(AND(AU46=1,AT46&lt;&gt;1)),ISNUMBER(AL46),AL46&lt;=(C46+T46)),AZ46,0)=MAX(IF(AND(NOT(AND(AU46=1,AT46&lt;&gt;1)),ISNUMBER(AK46),AK46&lt;=(C46+T46)),AY46,0),IF(AND(NOT(AND(AU46=1,AT46&lt;&gt;1)),ISNUMBER(AL46),AL46&lt;=(C46+T46)),AZ46,0),IF(AND(NOT(AND(AU46=1,AT46&lt;&gt;1)),ISNUMBER(AM46),AM46&lt;=(C46+T46)),BA46,0),IF(AND(NOT(AND(AU46=1,AT46&lt;&gt;1)),ISNUMBER(AN46),AN46&lt;=(C46+T46)),BB46,0),IF(AND(ISNUMBER(AO46),AO46&lt;=(C46+T46)),BC46,0))),"LB",IF(AND(IF(AND(NOT(AND(AU46=1,AT46&lt;&gt;1)),ISNUMBER(AM46),AM46&lt;=(C46+T46)),BA46,0)&gt;0,IF(AND(NOT(AND(AU46=1,AT46&lt;&gt;1)),ISNUMBER(AM46),AM46&lt;=(C46+T46)),BA46,0)=MAX(IF(AND(NOT(AND(AU46=1,AT46&lt;&gt;1)),ISNUMBER(AK46),AK46&lt;=(C46+T46)),AY46,0),IF(AND(NOT(AND(AU46=1,AT46&lt;&gt;1)),ISNUMBER(AL46),AL46&lt;=(C46+T46)),AZ46,0),IF(AND(NOT(AND(AU46=1,AT46&lt;&gt;1)),ISNUMBER(AM46),AM46&lt;=(C46+T46)),BA46,0),IF(AND(NOT(AND(AU46=1,AT46&lt;&gt;1)),ISNUMBER(AN46),AN46&lt;=(C46+T46)),BB46,0),IF(AND(ISNUMBER(AO46),AO46&lt;=(C46+T46)),BC46,0))),"ML",IF(AND(IF(AND(NOT(AND(AU46=1,AT46&lt;&gt;1)),ISNUMBER(AN46),AN46&lt;=(C46+T46)),BB46,0)&gt;0,IF(AND(NOT(AND(AU46=1,AT46&lt;&gt;1)),ISNUMBER(AN46),AN46&lt;=(C46+T46)),BB46,0)=MAX(IF(AND(NOT(AND(AU46=1,AT46&lt;&gt;1)),ISNUMBER(AK46),AK46&lt;=(C46+T46)),AY46,0),IF(AND(NOT(AND(AU46=1,AT46&lt;&gt;1)),ISNUMBER(AL46),AL46&lt;=(C46+T46)),AZ46,0),IF(AND(NOT(AND(AU46=1,AT46&lt;&gt;1)),ISNUMBER(AM46),AM46&lt;=(C46+T46)),BA46,0),IF(AND(NOT(AND(AU46=1,AT46&lt;&gt;1)),ISNUMBER(AN46),AN46&lt;=(C46+T46)),BB46,0),IF(AND(ISNUMBER(AO46),AO46&lt;=(C46+T46)),BC46,0))),"RLO","BD"))))))))</f>
        <v/>
      </c>
    </row>
    <row r="47">
      <c r="A47" s="26" t="n">
        <v>36</v>
      </c>
      <c r="B47" s="27">
        <f>A47*10/60</f>
        <v/>
      </c>
      <c r="C47" s="22">
        <f>X46</f>
        <v/>
      </c>
      <c r="D47" s="27">
        <f>D46+W46</f>
        <v/>
      </c>
      <c r="E47" s="26">
        <f>E46+IF(U46="SK",1,0)</f>
        <v/>
      </c>
      <c r="F47" s="26">
        <f>F46+IF(U46="LB",1,0)</f>
        <v/>
      </c>
      <c r="G47" s="26">
        <f>G46+IF(U46="ML",1,0)</f>
        <v/>
      </c>
      <c r="H47" s="26">
        <f>H46+IF(U46="RLO",1,0)</f>
        <v/>
      </c>
      <c r="I47" s="26">
        <f>I46+IF(U46="BD",1,0)</f>
        <v/>
      </c>
      <c r="J47" s="26">
        <f>MAX(J46,IF(U46="BiP",1,0))</f>
        <v/>
      </c>
      <c r="K47" s="26">
        <f>MAX(K46,IF(U46="PV",1,0))</f>
        <v/>
      </c>
      <c r="L47" s="26">
        <f>MAX(L46,IF(U46="OC",1,0))</f>
        <v/>
      </c>
      <c r="M47" s="26">
        <f>MAX(M46,IF(U46="MG",1,0))</f>
        <v/>
      </c>
      <c r="N47" s="26">
        <f>MAX(N46,IF(U46="transition",1,0))</f>
        <v/>
      </c>
      <c r="O47" s="28">
        <f>(Parameters!$B$9+(IF(E47=0,0,(Upgrades!$J$13+E47*Upgrades!$K$13)*POWER(Upgrades!$L$13,E47)))*(IF(Upgrades!$T$14="Stellar Kinematics",POWER(Upgrades!$U$14,F47),1)*IF(Upgrades!$T$15="Stellar Kinematics",POWER(Upgrades!$U$15,G47),1)*IF(Upgrades!$T$16="Stellar Kinematics",POWER(Upgrades!$U$16,H47),1)*IF(Upgrades!$T$17="Stellar Kinematics",POWER(Upgrades!$U$17,I47),1)*IF(Upgrades!$T$18="Stellar Kinematics",POWER(Upgrades!$U$18,J47),1)*IF(Upgrades!$T$19="Stellar Kinematics",POWER(Upgrades!$U$19,K47),1)*IF(Upgrades!$T$20="Stellar Kinematics",POWER(Upgrades!$U$20,L47),1)*IF(Upgrades!$T$21="Stellar Kinematics",POWER(Upgrades!$U$21,M47),1))+(IF(F47=0,0,(Upgrades!$J$14+F47*Upgrades!$K$14)*POWER(Upgrades!$L$14,F47)))*(IF(Upgrades!$T$13="Local Bubble",POWER(Upgrades!$U$13,E47),1)*IF(Upgrades!$T$15="Local Bubble",POWER(Upgrades!$U$15,G47),1)*IF(Upgrades!$T$16="Local Bubble",POWER(Upgrades!$U$16,H47),1)*IF(Upgrades!$T$17="Local Bubble",POWER(Upgrades!$U$17,I47),1)*IF(Upgrades!$T$18="Local Bubble",POWER(Upgrades!$U$18,J47),1)*IF(Upgrades!$T$19="Local Bubble",POWER(Upgrades!$U$19,K47),1)*IF(Upgrades!$T$20="Local Bubble",POWER(Upgrades!$U$20,L47),1)*IF(Upgrades!$T$21="Local Bubble",POWER(Upgrades!$U$21,M47),1))+(IF(G47=0,0,(Upgrades!$J$15+G47*Upgrades!$K$15)*POWER(Upgrades!$L$15,G47)))*(IF(Upgrades!$T$13="Microlensing",POWER(Upgrades!$U$13,E47),1)*IF(Upgrades!$T$14="Microlensing",POWER(Upgrades!$U$14,F47),1)*IF(Upgrades!$T$16="Microlensing",POWER(Upgrades!$U$16,H47),1)*IF(Upgrades!$T$17="Microlensing",POWER(Upgrades!$U$17,I47),1)*IF(Upgrades!$T$18="Microlensing",POWER(Upgrades!$U$18,J47),1)*IF(Upgrades!$T$19="Microlensing",POWER(Upgrades!$U$19,K47),1)*IF(Upgrades!$T$20="Microlensing",POWER(Upgrades!$U$20,L47),1)*IF(Upgrades!$T$21="Microlensing",POWER(Upgrades!$U$21,M47),1))+(IF(H47=0,0,(Upgrades!$J$16+H47*Upgrades!$K$16)*POWER(Upgrades!$L$16,H47)))*(IF(Upgrades!$T$13="Roche Lobe Overflow",POWER(Upgrades!$U$13,E47),1)*IF(Upgrades!$T$14="Roche Lobe Overflow",POWER(Upgrades!$U$14,F47),1)*IF(Upgrades!$T$15="Roche Lobe Overflow",POWER(Upgrades!$U$15,G47),1)*IF(Upgrades!$T$17="Roche Lobe Overflow",POWER(Upgrades!$U$17,I47),1)*IF(Upgrades!$T$18="Roche Lobe Overflow",POWER(Upgrades!$U$18,J47),1)*IF(Upgrades!$T$19="Roche Lobe Overflow",POWER(Upgrades!$U$19,K47),1)*IF(Upgrades!$T$20="Roche Lobe Overflow",POWER(Upgrades!$U$20,L47),1)*IF(Upgrades!$T$21="Roche Lobe Overflow",POWER(Upgrades!$U$21,M47),1))+(IF(I47=0,0,(Upgrades!$J$17+I47*Upgrades!$K$17)*POWER(Upgrades!$L$17,I47)))*(IF(Upgrades!$T$13="Brown Dwarf",POWER(Upgrades!$U$13,E47),1)*IF(Upgrades!$T$14="Brown Dwarf",POWER(Upgrades!$U$14,F47),1)*IF(Upgrades!$T$15="Brown Dwarf",POWER(Upgrades!$U$15,G47),1)*IF(Upgrades!$T$16="Brown Dwarf",POWER(Upgrades!$U$16,H47),1)*IF(Upgrades!$T$18="Brown Dwarf",POWER(Upgrades!$U$18,J47),1)*IF(Upgrades!$T$19="Brown Dwarf",POWER(Upgrades!$U$19,K47),1)*IF(Upgrades!$T$20="Brown Dwarf",POWER(Upgrades!$U$20,L47),1)*IF(Upgrades!$T$21="Brown Dwarf",POWER(Upgrades!$U$21,M47),1))+(IF(J47=0,0,(Upgrades!$J$18+J47*Upgrades!$K$18)*POWER(Upgrades!$L$18,J47)))*(IF(Upgrades!$T$13="Binary Partner",POWER(Upgrades!$U$13,E47),1)*IF(Upgrades!$T$14="Binary Partner",POWER(Upgrades!$U$14,F47),1)*IF(Upgrades!$T$15="Binary Partner",POWER(Upgrades!$U$15,G47),1)*IF(Upgrades!$T$16="Binary Partner",POWER(Upgrades!$U$16,H47),1)*IF(Upgrades!$T$17="Binary Partner",POWER(Upgrades!$U$17,I47),1)*IF(Upgrades!$T$19="Binary Partner",POWER(Upgrades!$U$19,K47),1)*IF(Upgrades!$T$20="Binary Partner",POWER(Upgrades!$U$20,L47),1)*IF(Upgrades!$T$21="Binary Partner",POWER(Upgrades!$U$21,M47),1))+(IF(K47=0,0,(Upgrades!$J$19+K47*Upgrades!$K$19)*POWER(Upgrades!$L$19,K47)))*(IF(Upgrades!$T$13="Peculiar Velocity",POWER(Upgrades!$U$13,E47),1)*IF(Upgrades!$T$14="Peculiar Velocity",POWER(Upgrades!$U$14,F47),1)*IF(Upgrades!$T$15="Peculiar Velocity",POWER(Upgrades!$U$15,G47),1)*IF(Upgrades!$T$16="Peculiar Velocity",POWER(Upgrades!$U$16,H47),1)*IF(Upgrades!$T$17="Peculiar Velocity",POWER(Upgrades!$U$17,I47),1)*IF(Upgrades!$T$18="Peculiar Velocity",POWER(Upgrades!$U$18,J47),1)*IF(Upgrades!$T$20="Peculiar Velocity",POWER(Upgrades!$U$20,L47),1)*IF(Upgrades!$T$21="Peculiar Velocity",POWER(Upgrades!$U$21,M47),1))+(IF(L47=0,0,(Upgrades!$J$20+L47*Upgrades!$K$20)*POWER(Upgrades!$L$20,L47)))*(IF(Upgrades!$T$13="Open Cluster",POWER(Upgrades!$U$13,E47),1)*IF(Upgrades!$T$14="Open Cluster",POWER(Upgrades!$U$14,F47),1)*IF(Upgrades!$T$15="Open Cluster",POWER(Upgrades!$U$15,G47),1)*IF(Upgrades!$T$16="Open Cluster",POWER(Upgrades!$U$16,H47),1)*IF(Upgrades!$T$17="Open Cluster",POWER(Upgrades!$U$17,I47),1)*IF(Upgrades!$T$18="Open Cluster",POWER(Upgrades!$U$18,J47),1)*IF(Upgrades!$T$19="Open Cluster",POWER(Upgrades!$U$19,K47),1)*IF(Upgrades!$T$21="Open Cluster",POWER(Upgrades!$U$21,M47),1))+(IF(M47=0,0,(Upgrades!$J$21+M47*Upgrades!$K$21)*POWER(Upgrades!$L$21,M47)))*(IF(Upgrades!$T$13="Moving Group",POWER(Upgrades!$U$13,E47),1)*IF(Upgrades!$T$14="Moving Group",POWER(Upgrades!$U$14,F47),1)*IF(Upgrades!$T$15="Moving Group",POWER(Upgrades!$U$15,G47),1)*IF(Upgrades!$T$16="Moving Group",POWER(Upgrades!$U$16,H47),1)*IF(Upgrades!$T$17="Moving Group",POWER(Upgrades!$U$17,I47),1)*IF(Upgrades!$T$18="Moving Group",POWER(Upgrades!$U$18,J47),1)*IF(Upgrades!$T$19="Moving Group",POWER(Upgrades!$U$19,K47),1)*IF(Upgrades!$T$20="Moving Group",POWER(Upgrades!$U$20,L47),1)))*POWER(Upgrades!$Q$13,E47)*POWER(Upgrades!$Q$14,F47)*POWER(Upgrades!$Q$15,G47)*POWER(Upgrades!$Q$16,H47)*POWER(Upgrades!$Q$17,I47)*POWER(Upgrades!$Q$18,J47)*POWER(Upgrades!$Q$19,K47)*POWER(Upgrades!$Q$20,L47)*POWER(Upgrades!$Q$21,M47)*$G$6+$D$6</f>
        <v/>
      </c>
      <c r="P47" s="28">
        <f>((IF(E47=0,0,(Upgrades!$G$13+E47*Upgrades!$H$13)*POWER(Upgrades!$I$13,E47)))*(IF(Upgrades!$T$14="Stellar Kinematics",POWER(Upgrades!$U$14,F47),1)*IF(Upgrades!$T$15="Stellar Kinematics",POWER(Upgrades!$U$15,G47),1)*IF(Upgrades!$T$16="Stellar Kinematics",POWER(Upgrades!$U$16,H47),1)*IF(Upgrades!$T$17="Stellar Kinematics",POWER(Upgrades!$U$17,I47),1)*IF(Upgrades!$T$18="Stellar Kinematics",POWER(Upgrades!$U$18,J47),1)*IF(Upgrades!$T$19="Stellar Kinematics",POWER(Upgrades!$U$19,K47),1)*IF(Upgrades!$T$20="Stellar Kinematics",POWER(Upgrades!$U$20,L47),1)*IF(Upgrades!$T$21="Stellar Kinematics",POWER(Upgrades!$U$21,M47),1))+(IF(F47=0,0,(Upgrades!$G$14+F47*Upgrades!$H$14)*POWER(Upgrades!$I$14,F47)))*(IF(Upgrades!$T$13="Local Bubble",POWER(Upgrades!$U$13,E47),1)*IF(Upgrades!$T$15="Local Bubble",POWER(Upgrades!$U$15,G47),1)*IF(Upgrades!$T$16="Local Bubble",POWER(Upgrades!$U$16,H47),1)*IF(Upgrades!$T$17="Local Bubble",POWER(Upgrades!$U$17,I47),1)*IF(Upgrades!$T$18="Local Bubble",POWER(Upgrades!$U$18,J47),1)*IF(Upgrades!$T$19="Local Bubble",POWER(Upgrades!$U$19,K47),1)*IF(Upgrades!$T$20="Local Bubble",POWER(Upgrades!$U$20,L47),1)*IF(Upgrades!$T$21="Local Bubble",POWER(Upgrades!$U$21,M47),1))+(IF(G47=0,0,(Upgrades!$G$15+G47*Upgrades!$H$15)*POWER(Upgrades!$I$15,G47)))*(IF(Upgrades!$T$13="Microlensing",POWER(Upgrades!$U$13,E47),1)*IF(Upgrades!$T$14="Microlensing",POWER(Upgrades!$U$14,F47),1)*IF(Upgrades!$T$16="Microlensing",POWER(Upgrades!$U$16,H47),1)*IF(Upgrades!$T$17="Microlensing",POWER(Upgrades!$U$17,I47),1)*IF(Upgrades!$T$18="Microlensing",POWER(Upgrades!$U$18,J47),1)*IF(Upgrades!$T$19="Microlensing",POWER(Upgrades!$U$19,K47),1)*IF(Upgrades!$T$20="Microlensing",POWER(Upgrades!$U$20,L47),1)*IF(Upgrades!$T$21="Microlensing",POWER(Upgrades!$U$21,M47),1))+(IF(H47=0,0,(Upgrades!$G$16+H47*Upgrades!$H$16)*POWER(Upgrades!$I$16,H47)))*(IF(Upgrades!$T$13="Roche Lobe Overflow",POWER(Upgrades!$U$13,E47),1)*IF(Upgrades!$T$14="Roche Lobe Overflow",POWER(Upgrades!$U$14,F47),1)*IF(Upgrades!$T$15="Roche Lobe Overflow",POWER(Upgrades!$U$15,G47),1)*IF(Upgrades!$T$17="Roche Lobe Overflow",POWER(Upgrades!$U$17,I47),1)*IF(Upgrades!$T$18="Roche Lobe Overflow",POWER(Upgrades!$U$18,J47),1)*IF(Upgrades!$T$19="Roche Lobe Overflow",POWER(Upgrades!$U$19,K47),1)*IF(Upgrades!$T$20="Roche Lobe Overflow",POWER(Upgrades!$U$20,L47),1)*IF(Upgrades!$T$21="Roche Lobe Overflow",POWER(Upgrades!$U$21,M47),1))+(IF(I47=0,0,(Upgrades!$G$17+I47*Upgrades!$H$17)*POWER(Upgrades!$I$17,I47)))*(IF(Upgrades!$T$13="Brown Dwarf",POWER(Upgrades!$U$13,E47),1)*IF(Upgrades!$T$14="Brown Dwarf",POWER(Upgrades!$U$14,F47),1)*IF(Upgrades!$T$15="Brown Dwarf",POWER(Upgrades!$U$15,G47),1)*IF(Upgrades!$T$16="Brown Dwarf",POWER(Upgrades!$U$16,H47),1)*IF(Upgrades!$T$18="Brown Dwarf",POWER(Upgrades!$U$18,J47),1)*IF(Upgrades!$T$19="Brown Dwarf",POWER(Upgrades!$U$19,K47),1)*IF(Upgrades!$T$20="Brown Dwarf",POWER(Upgrades!$U$20,L47),1)*IF(Upgrades!$T$21="Brown Dwarf",POWER(Upgrades!$U$21,M47),1))+(IF(J47=0,0,(Upgrades!$G$18+J47*Upgrades!$H$18)*POWER(Upgrades!$I$18,J47)))*(IF(Upgrades!$T$13="Binary Partner",POWER(Upgrades!$U$13,E47),1)*IF(Upgrades!$T$14="Binary Partner",POWER(Upgrades!$U$14,F47),1)*IF(Upgrades!$T$15="Binary Partner",POWER(Upgrades!$U$15,G47),1)*IF(Upgrades!$T$16="Binary Partner",POWER(Upgrades!$U$16,H47),1)*IF(Upgrades!$T$17="Binary Partner",POWER(Upgrades!$U$17,I47),1)*IF(Upgrades!$T$19="Binary Partner",POWER(Upgrades!$U$19,K47),1)*IF(Upgrades!$T$20="Binary Partner",POWER(Upgrades!$U$20,L47),1)*IF(Upgrades!$T$21="Binary Partner",POWER(Upgrades!$U$21,M47),1))+(IF(K47=0,0,(Upgrades!$G$19+K47*Upgrades!$H$19)*POWER(Upgrades!$I$19,K47)))*(IF(Upgrades!$T$13="Peculiar Velocity",POWER(Upgrades!$U$13,E47),1)*IF(Upgrades!$T$14="Peculiar Velocity",POWER(Upgrades!$U$14,F47),1)*IF(Upgrades!$T$15="Peculiar Velocity",POWER(Upgrades!$U$15,G47),1)*IF(Upgrades!$T$16="Peculiar Velocity",POWER(Upgrades!$U$16,H47),1)*IF(Upgrades!$T$17="Peculiar Velocity",POWER(Upgrades!$U$17,I47),1)*IF(Upgrades!$T$18="Peculiar Velocity",POWER(Upgrades!$U$18,J47),1)*IF(Upgrades!$T$20="Peculiar Velocity",POWER(Upgrades!$U$20,L47),1)*IF(Upgrades!$T$21="Peculiar Velocity",POWER(Upgrades!$U$21,M47),1))+(IF(L47=0,0,(Upgrades!$G$20+L47*Upgrades!$H$20)*POWER(Upgrades!$I$20,L47)))*(IF(Upgrades!$T$13="Open Cluster",POWER(Upgrades!$U$13,E47),1)*IF(Upgrades!$T$14="Open Cluster",POWER(Upgrades!$U$14,F47),1)*IF(Upgrades!$T$15="Open Cluster",POWER(Upgrades!$U$15,G47),1)*IF(Upgrades!$T$16="Open Cluster",POWER(Upgrades!$U$16,H47),1)*IF(Upgrades!$T$17="Open Cluster",POWER(Upgrades!$U$17,I47),1)*IF(Upgrades!$T$18="Open Cluster",POWER(Upgrades!$U$18,J47),1)*IF(Upgrades!$T$19="Open Cluster",POWER(Upgrades!$U$19,K47),1)*IF(Upgrades!$T$21="Open Cluster",POWER(Upgrades!$U$21,M47),1))+(IF(M47=0,0,(Upgrades!$G$21+M47*Upgrades!$H$21)*POWER(Upgrades!$I$21,M47)))*(IF(Upgrades!$T$13="Moving Group",POWER(Upgrades!$U$13,E47),1)*IF(Upgrades!$T$14="Moving Group",POWER(Upgrades!$U$14,F47),1)*IF(Upgrades!$T$15="Moving Group",POWER(Upgrades!$U$15,G47),1)*IF(Upgrades!$T$16="Moving Group",POWER(Upgrades!$U$16,H47),1)*IF(Upgrades!$T$17="Moving Group",POWER(Upgrades!$U$17,I47),1)*IF(Upgrades!$T$18="Moving Group",POWER(Upgrades!$U$18,J47),1)*IF(Upgrades!$T$19="Moving Group",POWER(Upgrades!$U$19,K47),1)*IF(Upgrades!$T$20="Moving Group",POWER(Upgrades!$U$20,L47),1)))*POWER(Upgrades!$P$13,E47)*POWER(Upgrades!$P$14,F47)*POWER(Upgrades!$P$15,G47)*POWER(Upgrades!$P$16,H47)*POWER(Upgrades!$P$17,I47)*POWER(Upgrades!$P$18,J47)*POWER(Upgrades!$P$19,K47)*POWER(Upgrades!$P$20,L47)*POWER(Upgrades!$P$21,M47)*$F$6+$C$6</f>
        <v/>
      </c>
      <c r="Q47" s="28">
        <f>((IF(E47=0,0,(Upgrades!$M$13+E47*Upgrades!$N$13)*POWER(Upgrades!$O$13,E47)))*(IF(Upgrades!$T$14="Stellar Kinematics",POWER(Upgrades!$U$14,F47),1)*IF(Upgrades!$T$15="Stellar Kinematics",POWER(Upgrades!$U$15,G47),1)*IF(Upgrades!$T$16="Stellar Kinematics",POWER(Upgrades!$U$16,H47),1)*IF(Upgrades!$T$17="Stellar Kinematics",POWER(Upgrades!$U$17,I47),1)*IF(Upgrades!$T$18="Stellar Kinematics",POWER(Upgrades!$U$18,J47),1)*IF(Upgrades!$T$19="Stellar Kinematics",POWER(Upgrades!$U$19,K47),1)*IF(Upgrades!$T$20="Stellar Kinematics",POWER(Upgrades!$U$20,L47),1)*IF(Upgrades!$T$21="Stellar Kinematics",POWER(Upgrades!$U$21,M47),1))+(IF(F47=0,0,(Upgrades!$M$14+F47*Upgrades!$N$14)*POWER(Upgrades!$O$14,F47)))*(IF(Upgrades!$T$13="Local Bubble",POWER(Upgrades!$U$13,E47),1)*IF(Upgrades!$T$15="Local Bubble",POWER(Upgrades!$U$15,G47),1)*IF(Upgrades!$T$16="Local Bubble",POWER(Upgrades!$U$16,H47),1)*IF(Upgrades!$T$17="Local Bubble",POWER(Upgrades!$U$17,I47),1)*IF(Upgrades!$T$18="Local Bubble",POWER(Upgrades!$U$18,J47),1)*IF(Upgrades!$T$19="Local Bubble",POWER(Upgrades!$U$19,K47),1)*IF(Upgrades!$T$20="Local Bubble",POWER(Upgrades!$U$20,L47),1)*IF(Upgrades!$T$21="Local Bubble",POWER(Upgrades!$U$21,M47),1))+(IF(G47=0,0,(Upgrades!$M$15+G47*Upgrades!$N$15)*POWER(Upgrades!$O$15,G47)))*(IF(Upgrades!$T$13="Microlensing",POWER(Upgrades!$U$13,E47),1)*IF(Upgrades!$T$14="Microlensing",POWER(Upgrades!$U$14,F47),1)*IF(Upgrades!$T$16="Microlensing",POWER(Upgrades!$U$16,H47),1)*IF(Upgrades!$T$17="Microlensing",POWER(Upgrades!$U$17,I47),1)*IF(Upgrades!$T$18="Microlensing",POWER(Upgrades!$U$18,J47),1)*IF(Upgrades!$T$19="Microlensing",POWER(Upgrades!$U$19,K47),1)*IF(Upgrades!$T$20="Microlensing",POWER(Upgrades!$U$20,L47),1)*IF(Upgrades!$T$21="Microlensing",POWER(Upgrades!$U$21,M47),1))+(IF(H47=0,0,(Upgrades!$M$16+H47*Upgrades!$N$16)*POWER(Upgrades!$O$16,H47)))*(IF(Upgrades!$T$13="Roche Lobe Overflow",POWER(Upgrades!$U$13,E47),1)*IF(Upgrades!$T$14="Roche Lobe Overflow",POWER(Upgrades!$U$14,F47),1)*IF(Upgrades!$T$15="Roche Lobe Overflow",POWER(Upgrades!$U$15,G47),1)*IF(Upgrades!$T$17="Roche Lobe Overflow",POWER(Upgrades!$U$17,I47),1)*IF(Upgrades!$T$18="Roche Lobe Overflow",POWER(Upgrades!$U$18,J47),1)*IF(Upgrades!$T$19="Roche Lobe Overflow",POWER(Upgrades!$U$19,K47),1)*IF(Upgrades!$T$20="Roche Lobe Overflow",POWER(Upgrades!$U$20,L47),1)*IF(Upgrades!$T$21="Roche Lobe Overflow",POWER(Upgrades!$U$21,M47),1))+(IF(I47=0,0,(Upgrades!$M$17+I47*Upgrades!$N$17)*POWER(Upgrades!$O$17,I47)))*(IF(Upgrades!$T$13="Brown Dwarf",POWER(Upgrades!$U$13,E47),1)*IF(Upgrades!$T$14="Brown Dwarf",POWER(Upgrades!$U$14,F47),1)*IF(Upgrades!$T$15="Brown Dwarf",POWER(Upgrades!$U$15,G47),1)*IF(Upgrades!$T$16="Brown Dwarf",POWER(Upgrades!$U$16,H47),1)*IF(Upgrades!$T$18="Brown Dwarf",POWER(Upgrades!$U$18,J47),1)*IF(Upgrades!$T$19="Brown Dwarf",POWER(Upgrades!$U$19,K47),1)*IF(Upgrades!$T$20="Brown Dwarf",POWER(Upgrades!$U$20,L47),1)*IF(Upgrades!$T$21="Brown Dwarf",POWER(Upgrades!$U$21,M47),1))+(IF(J47=0,0,(Upgrades!$M$18+J47*Upgrades!$N$18)*POWER(Upgrades!$O$18,J47)))*(IF(Upgrades!$T$13="Binary Partner",POWER(Upgrades!$U$13,E47),1)*IF(Upgrades!$T$14="Binary Partner",POWER(Upgrades!$U$14,F47),1)*IF(Upgrades!$T$15="Binary Partner",POWER(Upgrades!$U$15,G47),1)*IF(Upgrades!$T$16="Binary Partner",POWER(Upgrades!$U$16,H47),1)*IF(Upgrades!$T$17="Binary Partner",POWER(Upgrades!$U$17,I47),1)*IF(Upgrades!$T$19="Binary Partner",POWER(Upgrades!$U$19,K47),1)*IF(Upgrades!$T$20="Binary Partner",POWER(Upgrades!$U$20,L47),1)*IF(Upgrades!$T$21="Binary Partner",POWER(Upgrades!$U$21,M47),1))+(IF(K47=0,0,(Upgrades!$M$19+K47*Upgrades!$N$19)*POWER(Upgrades!$O$19,K47)))*(IF(Upgrades!$T$13="Peculiar Velocity",POWER(Upgrades!$U$13,E47),1)*IF(Upgrades!$T$14="Peculiar Velocity",POWER(Upgrades!$U$14,F47),1)*IF(Upgrades!$T$15="Peculiar Velocity",POWER(Upgrades!$U$15,G47),1)*IF(Upgrades!$T$16="Peculiar Velocity",POWER(Upgrades!$U$16,H47),1)*IF(Upgrades!$T$17="Peculiar Velocity",POWER(Upgrades!$U$17,I47),1)*IF(Upgrades!$T$18="Peculiar Velocity",POWER(Upgrades!$U$18,J47),1)*IF(Upgrades!$T$20="Peculiar Velocity",POWER(Upgrades!$U$20,L47),1)*IF(Upgrades!$T$21="Peculiar Velocity",POWER(Upgrades!$U$21,M47),1))+(IF(L47=0,0,(Upgrades!$M$20+L47*Upgrades!$N$20)*POWER(Upgrades!$O$20,L47)))*(IF(Upgrades!$T$13="Open Cluster",POWER(Upgrades!$U$13,E47),1)*IF(Upgrades!$T$14="Open Cluster",POWER(Upgrades!$U$14,F47),1)*IF(Upgrades!$T$15="Open Cluster",POWER(Upgrades!$U$15,G47),1)*IF(Upgrades!$T$16="Open Cluster",POWER(Upgrades!$U$16,H47),1)*IF(Upgrades!$T$17="Open Cluster",POWER(Upgrades!$U$17,I47),1)*IF(Upgrades!$T$18="Open Cluster",POWER(Upgrades!$U$18,J47),1)*IF(Upgrades!$T$19="Open Cluster",POWER(Upgrades!$U$19,K47),1)*IF(Upgrades!$T$21="Open Cluster",POWER(Upgrades!$U$21,M47),1))+(IF(M47=0,0,(Upgrades!$M$21+M47*Upgrades!$N$21)*POWER(Upgrades!$O$21,M47)))*(IF(Upgrades!$T$13="Moving Group",POWER(Upgrades!$U$13,E47),1)*IF(Upgrades!$T$14="Moving Group",POWER(Upgrades!$U$14,F47),1)*IF(Upgrades!$T$15="Moving Group",POWER(Upgrades!$U$15,G47),1)*IF(Upgrades!$T$16="Moving Group",POWER(Upgrades!$U$16,H47),1)*IF(Upgrades!$T$17="Moving Group",POWER(Upgrades!$U$17,I47),1)*IF(Upgrades!$T$18="Moving Group",POWER(Upgrades!$U$18,J47),1)*IF(Upgrades!$T$19="Moving Group",POWER(Upgrades!$U$19,K47),1)*IF(Upgrades!$T$20="Moving Group",POWER(Upgrades!$U$20,L47),1)))*POWER(Upgrades!$R$13,E47)*POWER(Upgrades!$R$14,F47)*POWER(Upgrades!$R$15,G47)*POWER(Upgrades!$R$16,H47)*POWER(Upgrades!$R$17,I47)*POWER(Upgrades!$R$18,J47)*POWER(Upgrades!$R$19,K47)*POWER(Upgrades!$R$20,L47)*POWER(Upgrades!$R$21,M47)*$H$6+$E$6</f>
        <v/>
      </c>
      <c r="R47" s="27">
        <f>IF(N47=1,0,O47*Parameters!$B$10/60*Parameters!$B$11*10)</f>
        <v/>
      </c>
      <c r="S47" s="27">
        <f>IF(N47=1,0,Q47*O47*10)</f>
        <v/>
      </c>
      <c r="T47" s="27">
        <f>IF(N47=1,0,R47+S47+P47*10)</f>
        <v/>
      </c>
      <c r="U47" s="33">
        <f>BE47</f>
        <v/>
      </c>
      <c r="V47" s="22">
        <f>IF(U47="",0,IF(U47="transition",0,IF(U47="SK",AK47,IF(U47="LB",AL47,IF(U47="ML",AM47,IF(U47="RLO",AN47,IF(U47="BD",AO47,IF(U47="BiP",AP47,IF(U47="PV",AQ47,IF(U47="OC",AR47,IF(U47="MG",AS47,0))))))))))</f>
        <v/>
      </c>
      <c r="W47" s="27">
        <f>IF(U47="BiP",Upgrades!$F$18,IF(U47="PV",Upgrades!$F$19,IF(U47="OC",Upgrades!$F$20,IF(U47="MG",Upgrades!$F$21,IF(U47="transition",-Parameters!$B$18*Parameters!$B$19,0)))))</f>
        <v/>
      </c>
      <c r="X47" s="22">
        <f>C47+T47-V47</f>
        <v/>
      </c>
      <c r="Y47" s="30">
        <f>O47*Parameters!$B$10/60*Parameters!$B$11+Q47*O47+P47</f>
        <v/>
      </c>
      <c r="Z47" s="34">
        <f>IF(U47="transition","→ Tier 3 (Galactic Arm)",IF(U47="MG","Moving Group — pocket drifts together",IF(U47="OC","Open Cluster acquired",IF(U47="PV","Peculiar Velocity — passive multiplier active",IF(U47="BiP","Binary Partner — pair bond formed",IF(AND(AU47=1,N47=0,AT47&lt;&gt;1),"Cohesion ready (waiting on completionists)","")))))) </f>
        <v/>
      </c>
      <c r="AA47" s="27">
        <f>(IF(E47=0,0,(Upgrades!$G$13+E47*Upgrades!$H$13)*POWER(Upgrades!$I$13,E47)))*(IF(Upgrades!$T$14="Stellar Kinematics",POWER(Upgrades!$U$14,F47),1)*IF(Upgrades!$T$15="Stellar Kinematics",POWER(Upgrades!$U$15,G47),1)*IF(Upgrades!$T$16="Stellar Kinematics",POWER(Upgrades!$U$16,H47),1)*IF(Upgrades!$T$17="Stellar Kinematics",POWER(Upgrades!$U$17,I47),1)*IF(Upgrades!$T$18="Stellar Kinematics",POWER(Upgrades!$U$18,J47),1)*IF(Upgrades!$T$19="Stellar Kinematics",POWER(Upgrades!$U$19,K47),1)*IF(Upgrades!$T$20="Stellar Kinematics",POWER(Upgrades!$U$20,L47),1)*IF(Upgrades!$T$21="Stellar Kinematics",POWER(Upgrades!$U$21,M47),1))*POWER(Upgrades!$P$13,E47)*POWER(Upgrades!$P$14,F47)*POWER(Upgrades!$P$15,G47)*POWER(Upgrades!$P$16,H47)*POWER(Upgrades!$P$17,I47)*POWER(Upgrades!$P$18,J47)*POWER(Upgrades!$P$19,K47)*POWER(Upgrades!$P$20,L47)*POWER(Upgrades!$P$21,M47)*$F$6*60</f>
        <v/>
      </c>
      <c r="AB47" s="27">
        <f>(IF(F47=0,0,(Upgrades!$G$14+F47*Upgrades!$H$14)*POWER(Upgrades!$I$14,F47)))*(IF(Upgrades!$T$13="Local Bubble",POWER(Upgrades!$U$13,E47),1)*IF(Upgrades!$T$15="Local Bubble",POWER(Upgrades!$U$15,G47),1)*IF(Upgrades!$T$16="Local Bubble",POWER(Upgrades!$U$16,H47),1)*IF(Upgrades!$T$17="Local Bubble",POWER(Upgrades!$U$17,I47),1)*IF(Upgrades!$T$18="Local Bubble",POWER(Upgrades!$U$18,J47),1)*IF(Upgrades!$T$19="Local Bubble",POWER(Upgrades!$U$19,K47),1)*IF(Upgrades!$T$20="Local Bubble",POWER(Upgrades!$U$20,L47),1)*IF(Upgrades!$T$21="Local Bubble",POWER(Upgrades!$U$21,M47),1))*POWER(Upgrades!$P$13,E47)*POWER(Upgrades!$P$14,F47)*POWER(Upgrades!$P$15,G47)*POWER(Upgrades!$P$16,H47)*POWER(Upgrades!$P$17,I47)*POWER(Upgrades!$P$18,J47)*POWER(Upgrades!$P$19,K47)*POWER(Upgrades!$P$20,L47)*POWER(Upgrades!$P$21,M47)*$F$6*60</f>
        <v/>
      </c>
      <c r="AC47" s="27">
        <f>(IF(G47=0,0,(Upgrades!$J$15+G47*Upgrades!$K$15)*POWER(Upgrades!$L$15,G47)))*(IF(Upgrades!$T$13="Microlensing",POWER(Upgrades!$U$13,E47),1)*IF(Upgrades!$T$14="Microlensing",POWER(Upgrades!$U$14,F47),1)*IF(Upgrades!$T$16="Microlensing",POWER(Upgrades!$U$16,H47),1)*IF(Upgrades!$T$17="Microlensing",POWER(Upgrades!$U$17,I47),1)*IF(Upgrades!$T$18="Microlensing",POWER(Upgrades!$U$18,J47),1)*IF(Upgrades!$T$19="Microlensing",POWER(Upgrades!$U$19,K47),1)*IF(Upgrades!$T$20="Microlensing",POWER(Upgrades!$U$20,L47),1)*IF(Upgrades!$T$21="Microlensing",POWER(Upgrades!$U$21,M47),1))*POWER(Upgrades!$Q$13,E47)*POWER(Upgrades!$Q$14,F47)*POWER(Upgrades!$Q$15,G47)*POWER(Upgrades!$Q$16,H47)*POWER(Upgrades!$Q$17,I47)*POWER(Upgrades!$Q$18,J47)*POWER(Upgrades!$Q$19,K47)*POWER(Upgrades!$Q$20,L47)*POWER(Upgrades!$Q$21,M47)*$G$6*(Parameters!$B$10*Parameters!$B$11+Q47*60)</f>
        <v/>
      </c>
      <c r="AD47" s="27">
        <f>(IF(H47=0,0,(Upgrades!$M$16+H47*Upgrades!$N$16)*POWER(Upgrades!$O$16,H47)))*(IF(Upgrades!$T$13="Roche Lobe Overflow",POWER(Upgrades!$U$13,E47),1)*IF(Upgrades!$T$14="Roche Lobe Overflow",POWER(Upgrades!$U$14,F47),1)*IF(Upgrades!$T$15="Roche Lobe Overflow",POWER(Upgrades!$U$15,G47),1)*IF(Upgrades!$T$17="Roche Lobe Overflow",POWER(Upgrades!$U$17,I47),1)*IF(Upgrades!$T$18="Roche Lobe Overflow",POWER(Upgrades!$U$18,J47),1)*IF(Upgrades!$T$19="Roche Lobe Overflow",POWER(Upgrades!$U$19,K47),1)*IF(Upgrades!$T$20="Roche Lobe Overflow",POWER(Upgrades!$U$20,L47),1)*IF(Upgrades!$T$21="Roche Lobe Overflow",POWER(Upgrades!$U$21,M47),1))*POWER(Upgrades!$R$13,E47)*POWER(Upgrades!$R$14,F47)*POWER(Upgrades!$R$15,G47)*POWER(Upgrades!$R$16,H47)*POWER(Upgrades!$R$17,I47)*POWER(Upgrades!$R$18,J47)*POWER(Upgrades!$R$19,K47)*POWER(Upgrades!$R$20,L47)*POWER(Upgrades!$R$21,M47)*$H$6*O47*60</f>
        <v/>
      </c>
      <c r="AE47" s="27">
        <f>(IF(I47=0,0,(Upgrades!$G$17+I47*Upgrades!$H$17)*POWER(Upgrades!$I$17,I47)))*(IF(Upgrades!$T$13="Brown Dwarf",POWER(Upgrades!$U$13,E47),1)*IF(Upgrades!$T$14="Brown Dwarf",POWER(Upgrades!$U$14,F47),1)*IF(Upgrades!$T$15="Brown Dwarf",POWER(Upgrades!$U$15,G47),1)*IF(Upgrades!$T$16="Brown Dwarf",POWER(Upgrades!$U$16,H47),1)*IF(Upgrades!$T$18="Brown Dwarf",POWER(Upgrades!$U$18,J47),1)*IF(Upgrades!$T$19="Brown Dwarf",POWER(Upgrades!$U$19,K47),1)*IF(Upgrades!$T$20="Brown Dwarf",POWER(Upgrades!$U$20,L47),1)*IF(Upgrades!$T$21="Brown Dwarf",POWER(Upgrades!$U$21,M47),1))*POWER(Upgrades!$P$13,E47)*POWER(Upgrades!$P$14,F47)*POWER(Upgrades!$P$15,G47)*POWER(Upgrades!$P$16,H47)*POWER(Upgrades!$P$17,I47)*POWER(Upgrades!$P$18,J47)*POWER(Upgrades!$P$19,K47)*POWER(Upgrades!$P$20,L47)*POWER(Upgrades!$P$21,M47)*$F$6*60</f>
        <v/>
      </c>
      <c r="AF47" s="27" t="n">
        <v>0</v>
      </c>
      <c r="AG47" s="27" t="n">
        <v>0</v>
      </c>
      <c r="AH47" s="27" t="n">
        <v>0</v>
      </c>
      <c r="AI47" s="27">
        <f>(IF(M47=0,0,(Upgrades!$G$21+M47*Upgrades!$H$21)*POWER(Upgrades!$I$21,M47)))*(IF(Upgrades!$T$13="Moving Group",POWER(Upgrades!$U$13,E47),1)*IF(Upgrades!$T$14="Moving Group",POWER(Upgrades!$U$14,F47),1)*IF(Upgrades!$T$15="Moving Group",POWER(Upgrades!$U$15,G47),1)*IF(Upgrades!$T$16="Moving Group",POWER(Upgrades!$U$16,H47),1)*IF(Upgrades!$T$17="Moving Group",POWER(Upgrades!$U$17,I47),1)*IF(Upgrades!$T$18="Moving Group",POWER(Upgrades!$U$18,J47),1)*IF(Upgrades!$T$19="Moving Group",POWER(Upgrades!$U$19,K47),1)*IF(Upgrades!$T$20="Moving Group",POWER(Upgrades!$U$20,L47),1))*POWER(Upgrades!$P$13,E47)*POWER(Upgrades!$P$14,F47)*POWER(Upgrades!$P$15,G47)*POWER(Upgrades!$P$16,H47)*POWER(Upgrades!$P$17,I47)*POWER(Upgrades!$P$18,J47)*POWER(Upgrades!$P$19,K47)*POWER(Upgrades!$P$20,L47)*POWER(Upgrades!$P$21,M47)*$F$6*60</f>
        <v/>
      </c>
      <c r="AJ47" s="27">
        <f>$C$6*60</f>
        <v/>
      </c>
      <c r="AK47" s="22">
        <f>IF(E47&gt;=Upgrades!$E$13,"",Upgrades!$C$13*POWER(Upgrades!$D$13,E47))</f>
        <v/>
      </c>
      <c r="AL47" s="22">
        <f>IF(F47&gt;=Upgrades!$E$14,"",Upgrades!$C$14*POWER(Upgrades!$D$14,F47))</f>
        <v/>
      </c>
      <c r="AM47" s="22">
        <f>IF(G47&gt;=Upgrades!$E$15,"",Upgrades!$C$15*POWER(Upgrades!$D$15,G47))</f>
        <v/>
      </c>
      <c r="AN47" s="22">
        <f>IF(H47&gt;=Upgrades!$E$16,"",Upgrades!$C$16*POWER(Upgrades!$D$16,H47))</f>
        <v/>
      </c>
      <c r="AO47" s="22">
        <f>IF(I47&gt;=Upgrades!$E$17,"",Upgrades!$C$17*POWER(Upgrades!$D$17,I47))</f>
        <v/>
      </c>
      <c r="AP47" s="22">
        <f>IF(J47&gt;=Upgrades!$E$18,"",Upgrades!$C$18*POWER(Upgrades!$D$18,J47))</f>
        <v/>
      </c>
      <c r="AQ47" s="22">
        <f>IF(K47&gt;=Upgrades!$E$19,"",Upgrades!$C$19*POWER(Upgrades!$D$19,K47))</f>
        <v/>
      </c>
      <c r="AR47" s="22">
        <f>IF(L47&gt;=Upgrades!$E$20,"",Upgrades!$C$20*POWER(Upgrades!$D$20,L47))</f>
        <v/>
      </c>
      <c r="AS47" s="22">
        <f>IF(M47&gt;=Upgrades!$E$21,"",Upgrades!$C$21*POWER(Upgrades!$D$21,M47))</f>
        <v/>
      </c>
      <c r="AT47" s="26">
        <f>IF(AND(D47&gt;=Parameters!$B$18*Parameters!$B$19,(I47&gt;=Upgrades!$E$17)*(M47&gt;=Upgrades!$E$21)=1,N47=0),1,"")</f>
        <v/>
      </c>
      <c r="AU47" s="26">
        <f>IF(AND(D47&gt;=Parameters!$B$18*Parameters!$B$19,N47=0),1,"")</f>
        <v/>
      </c>
      <c r="AV47" s="22">
        <f>MIN(IF(ISNUMBER(AP47),AP47,9E15),IF(ISNUMBER(AQ47),AQ47,9E15),IF(ISNUMBER(AR47),AR47,9E15),IF(ISNUMBER(AS47),AS47,9E15))</f>
        <v/>
      </c>
      <c r="AW47" s="22">
        <f>MIN(IF(ISNUMBER(AK47),AK47,9E15),IF(ISNUMBER(AL47),AL47,9E15),IF(ISNUMBER(AM47),AM47,9E15),IF(ISNUMBER(AN47),AN47,9E15),IF(ISNUMBER(AO47),AO47,9E15))</f>
        <v/>
      </c>
      <c r="AX47" s="29">
        <f>IF(BD47&gt;Parameters!$B$21*(MAX(IF(AND(NOT(AND(AU47=1,AT47&lt;&gt;1)),ISNUMBER(AK47),AK47&lt;=(C47+T47)),AY47,0),IF(AND(NOT(AND(AU47=1,AT47&lt;&gt;1)),ISNUMBER(AL47),AL47&lt;=(C47+T47)),AZ47,0),IF(AND(NOT(AND(AU47=1,AT47&lt;&gt;1)),ISNUMBER(AM47),AM47&lt;=(C47+T47)),BA47,0),IF(AND(NOT(AND(AU47=1,AT47&lt;&gt;1)),ISNUMBER(AN47),AN47&lt;=(C47+T47)),BB47,0),IF(AND(ISNUMBER(AO47),AO47&lt;=(C47+T47)),BC47,0))),TRUE,FALSE)</f>
        <v/>
      </c>
      <c r="AY47" s="32">
        <f>IFERROR(Upgrades!$H$13*(POWER(Upgrades!$P$13,E47)*POWER(Upgrades!$P$14,F47)*POWER(Upgrades!$P$15,G47)*POWER(Upgrades!$P$16,H47)*POWER(Upgrades!$P$17,I47)*POWER(Upgrades!$P$18,J47)*POWER(Upgrades!$P$19,K47)*POWER(Upgrades!$P$20,L47)*POWER(Upgrades!$P$21,M47))*(IF(Upgrades!$T$14="Stellar Kinematics",POWER(Upgrades!$U$14,F47),1)*IF(Upgrades!$T$15="Stellar Kinematics",POWER(Upgrades!$U$15,G47),1)*IF(Upgrades!$T$16="Stellar Kinematics",POWER(Upgrades!$U$16,H47),1)*IF(Upgrades!$T$17="Stellar Kinematics",POWER(Upgrades!$U$17,I47),1)*IF(Upgrades!$T$18="Stellar Kinematics",POWER(Upgrades!$U$18,J47),1)*IF(Upgrades!$T$19="Stellar Kinematics",POWER(Upgrades!$U$19,K47),1)*IF(Upgrades!$T$20="Stellar Kinematics",POWER(Upgrades!$U$20,L47),1)*IF(Upgrades!$T$21="Stellar Kinematics",POWER(Upgrades!$U$21,M47),1))*$F$6/AK47,0)</f>
        <v/>
      </c>
      <c r="AZ47" s="32">
        <f>IFERROR(Upgrades!$H$14*(POWER(Upgrades!$P$13,E47)*POWER(Upgrades!$P$14,F47)*POWER(Upgrades!$P$15,G47)*POWER(Upgrades!$P$16,H47)*POWER(Upgrades!$P$17,I47)*POWER(Upgrades!$P$18,J47)*POWER(Upgrades!$P$19,K47)*POWER(Upgrades!$P$20,L47)*POWER(Upgrades!$P$21,M47))*(IF(Upgrades!$T$13="Local Bubble",POWER(Upgrades!$U$13,E47),1)*IF(Upgrades!$T$15="Local Bubble",POWER(Upgrades!$U$15,G47),1)*IF(Upgrades!$T$16="Local Bubble",POWER(Upgrades!$U$16,H47),1)*IF(Upgrades!$T$17="Local Bubble",POWER(Upgrades!$U$17,I47),1)*IF(Upgrades!$T$18="Local Bubble",POWER(Upgrades!$U$18,J47),1)*IF(Upgrades!$T$19="Local Bubble",POWER(Upgrades!$U$19,K47),1)*IF(Upgrades!$T$20="Local Bubble",POWER(Upgrades!$U$20,L47),1)*IF(Upgrades!$T$21="Local Bubble",POWER(Upgrades!$U$21,M47),1))*$F$6/AL47,0)</f>
        <v/>
      </c>
      <c r="BA47" s="32">
        <f>IFERROR(Upgrades!$K$15*(POWER(Upgrades!$Q$13,E47)*POWER(Upgrades!$Q$14,F47)*POWER(Upgrades!$Q$15,G47)*POWER(Upgrades!$Q$16,H47)*POWER(Upgrades!$Q$17,I47)*POWER(Upgrades!$Q$18,J47)*POWER(Upgrades!$Q$19,K47)*POWER(Upgrades!$Q$20,L47)*POWER(Upgrades!$Q$21,M47))*(IF(Upgrades!$T$13="Microlensing",POWER(Upgrades!$U$13,E47),1)*IF(Upgrades!$T$14="Microlensing",POWER(Upgrades!$U$14,F47),1)*IF(Upgrades!$T$16="Microlensing",POWER(Upgrades!$U$16,H47),1)*IF(Upgrades!$T$17="Microlensing",POWER(Upgrades!$U$17,I47),1)*IF(Upgrades!$T$18="Microlensing",POWER(Upgrades!$U$18,J47),1)*IF(Upgrades!$T$19="Microlensing",POWER(Upgrades!$U$19,K47),1)*IF(Upgrades!$T$20="Microlensing",POWER(Upgrades!$U$20,L47),1)*IF(Upgrades!$T$21="Microlensing",POWER(Upgrades!$U$21,M47),1))*$G$6*(Parameters!$B$10/60*Parameters!$B$11+Q47)/AM47,0)</f>
        <v/>
      </c>
      <c r="BB47" s="32">
        <f>IFERROR((Upgrades!$N$16*(POWER(Upgrades!$R$13,E47)*POWER(Upgrades!$R$14,F47)*POWER(Upgrades!$R$15,G47)*POWER(Upgrades!$R$16,H47)*POWER(Upgrades!$R$17,I47)*POWER(Upgrades!$R$18,J47)*POWER(Upgrades!$R$19,K47)*POWER(Upgrades!$R$20,L47)*POWER(Upgrades!$R$21,M47))*(IF(Upgrades!$T$13="Roche Lobe Overflow",POWER(Upgrades!$U$13,E47),1)*IF(Upgrades!$T$14="Roche Lobe Overflow",POWER(Upgrades!$U$14,F47),1)*IF(Upgrades!$T$15="Roche Lobe Overflow",POWER(Upgrades!$U$15,G47),1)*IF(Upgrades!$T$17="Roche Lobe Overflow",POWER(Upgrades!$U$17,I47),1)*IF(Upgrades!$T$18="Roche Lobe Overflow",POWER(Upgrades!$U$18,J47),1)*IF(Upgrades!$T$19="Roche Lobe Overflow",POWER(Upgrades!$U$19,K47),1)*IF(Upgrades!$T$20="Roche Lobe Overflow",POWER(Upgrades!$U$20,L47),1)*IF(Upgrades!$T$21="Roche Lobe Overflow",POWER(Upgrades!$U$21,M47),1))*$H$6*O47+((IF(F47=0,0,(Upgrades!$G$14+F47*Upgrades!$H$14)*POWER(Upgrades!$I$14,F47)))*(IF(Upgrades!$T$13="Local Bubble",POWER(Upgrades!$U$13,E47),1)*IF(Upgrades!$T$15="Local Bubble",POWER(Upgrades!$U$15,G47),1)*IF(Upgrades!$T$16="Local Bubble",POWER(Upgrades!$U$16,H47),1)*IF(Upgrades!$T$17="Local Bubble",POWER(Upgrades!$U$17,I47),1)*IF(Upgrades!$T$18="Local Bubble",POWER(Upgrades!$U$18,J47),1)*IF(Upgrades!$T$19="Local Bubble",POWER(Upgrades!$U$19,K47),1)*IF(Upgrades!$T$20="Local Bubble",POWER(Upgrades!$U$20,L47),1)*IF(Upgrades!$T$21="Local Bubble",POWER(Upgrades!$U$21,M47),1))*POWER(Upgrades!$P$13,E47)*POWER(Upgrades!$P$14,F47)*POWER(Upgrades!$P$15,G47)*POWER(Upgrades!$P$16,H47)*POWER(Upgrades!$P$17,I47)*POWER(Upgrades!$P$18,J47)*POWER(Upgrades!$P$19,K47)*POWER(Upgrades!$P$20,L47)*POWER(Upgrades!$P$21,M47)*$F$6)*0.05)/AN47,0)</f>
        <v/>
      </c>
      <c r="BC47" s="32">
        <f>IFERROR((Upgrades!$H$17*(POWER(Upgrades!$P$13,E47)*POWER(Upgrades!$P$14,F47)*POWER(Upgrades!$P$15,G47)*POWER(Upgrades!$P$16,H47)*POWER(Upgrades!$P$17,I47)*POWER(Upgrades!$P$18,J47)*POWER(Upgrades!$P$19,K47)*POWER(Upgrades!$P$20,L47)*POWER(Upgrades!$P$21,M47))*(IF(Upgrades!$T$13="Brown Dwarf",POWER(Upgrades!$U$13,E47),1)*IF(Upgrades!$T$14="Brown Dwarf",POWER(Upgrades!$U$14,F47),1)*IF(Upgrades!$T$15="Brown Dwarf",POWER(Upgrades!$U$15,G47),1)*IF(Upgrades!$T$16="Brown Dwarf",POWER(Upgrades!$U$16,H47),1)*IF(Upgrades!$T$18="Brown Dwarf",POWER(Upgrades!$U$18,J47),1)*IF(Upgrades!$T$19="Brown Dwarf",POWER(Upgrades!$U$19,K47),1)*IF(Upgrades!$T$20="Brown Dwarf",POWER(Upgrades!$U$20,L47),1)*IF(Upgrades!$T$21="Brown Dwarf",POWER(Upgrades!$U$21,M47),1))*$F$6+(((IF(H47=0,0,(Upgrades!$M$16+H47*Upgrades!$N$16)*POWER(Upgrades!$O$16,H47)))*(IF(Upgrades!$T$13="Roche Lobe Overflow",POWER(Upgrades!$U$13,E47),1)*IF(Upgrades!$T$14="Roche Lobe Overflow",POWER(Upgrades!$U$14,F47),1)*IF(Upgrades!$T$15="Roche Lobe Overflow",POWER(Upgrades!$U$15,G47),1)*IF(Upgrades!$T$17="Roche Lobe Overflow",POWER(Upgrades!$U$17,I47),1)*IF(Upgrades!$T$18="Roche Lobe Overflow",POWER(Upgrades!$U$18,J47),1)*IF(Upgrades!$T$19="Roche Lobe Overflow",POWER(Upgrades!$U$19,K47),1)*IF(Upgrades!$T$20="Roche Lobe Overflow",POWER(Upgrades!$U$20,L47),1)*IF(Upgrades!$T$21="Roche Lobe Overflow",POWER(Upgrades!$U$21,M47),1))*POWER(Upgrades!$R$13,E47)*POWER(Upgrades!$R$14,F47)*POWER(Upgrades!$R$15,G47)*POWER(Upgrades!$R$16,H47)*POWER(Upgrades!$R$17,I47)*POWER(Upgrades!$R$18,J47)*POWER(Upgrades!$R$19,K47)*POWER(Upgrades!$R$20,L47)*POWER(Upgrades!$R$21,M47)*$H$6)*O47)*0.10)/AO47,0)</f>
        <v/>
      </c>
      <c r="BD47" s="32">
        <f>MAX(IF(J47&gt;0,0,IFERROR(0.5*((IF(G47=0,0,(Upgrades!$J$15+G47*Upgrades!$K$15)*POWER(Upgrades!$L$15,G47)))*(IF(Upgrades!$T$13="Microlensing",POWER(Upgrades!$U$13,E47),1)*IF(Upgrades!$T$14="Microlensing",POWER(Upgrades!$U$14,F47),1)*IF(Upgrades!$T$16="Microlensing",POWER(Upgrades!$U$16,H47),1)*IF(Upgrades!$T$17="Microlensing",POWER(Upgrades!$U$17,I47),1)*IF(Upgrades!$T$18="Microlensing",POWER(Upgrades!$U$18,J47),1)*IF(Upgrades!$T$19="Microlensing",POWER(Upgrades!$U$19,K47),1)*IF(Upgrades!$T$20="Microlensing",POWER(Upgrades!$U$20,L47),1)*IF(Upgrades!$T$21="Microlensing",POWER(Upgrades!$U$21,M47),1))*(POWER(Upgrades!$Q$13,E47)*POWER(Upgrades!$Q$14,F47)*POWER(Upgrades!$Q$15,G47)*POWER(Upgrades!$Q$16,H47)*POWER(Upgrades!$Q$17,I47)*POWER(Upgrades!$Q$18,J47)*POWER(Upgrades!$Q$19,K47)*POWER(Upgrades!$Q$20,L47)*POWER(Upgrades!$Q$21,M47))*$G$6*(Parameters!$B$10/60*Parameters!$B$11+Q47))/Upgrades!$C$18,0)),IF(K47&gt;0,0,IFERROR(0.30*P47/Upgrades!$C$19,0)),IF(L47&gt;0,0,IFERROR(0.0001/Upgrades!$C$20,0)),IF(M47&gt;0,0,IFERROR((6.0*(POWER(Upgrades!$P$13,E47)*POWER(Upgrades!$P$14,F47)*POWER(Upgrades!$P$15,G47)*POWER(Upgrades!$P$16,H47)*POWER(Upgrades!$P$17,I47)*POWER(Upgrades!$P$18,J47)*POWER(Upgrades!$P$19,K47)*POWER(Upgrades!$P$20,L47)*POWER(Upgrades!$P$21,M47))*$F$6+0.20*O47*(Parameters!$B$10/60*Parameters!$B$11+Q47))/Upgrades!$C$21,0)),IF(AND(ISNUMBER(AK47),AK47&gt;(C47+T47)),AY47,0),IF(AND(ISNUMBER(AL47),AL47&gt;(C47+T47)),AZ47,0),IF(AND(ISNUMBER(AM47),AM47&gt;(C47+T47)),BA47,0),IF(AND(ISNUMBER(AN47),AN47&gt;(C47+T47)),BB47,0),IF(AND(ISNUMBER(AO47),AO47&gt;(C47+T47)),BC47,0))</f>
        <v/>
      </c>
      <c r="BE47" s="29">
        <f>IF(AT47=1,"transition",IF(MIN(IF(AND(J47=0,ISNUMBER(AP47),AP47&lt;=(C47+T47)),AP47,9E15),IF(AND(K47=0,ISNUMBER(AQ47),AQ47&lt;=(C47+T47)),AQ47,9E15),IF(AND(L47=0,ISNUMBER(AR47),AR47&lt;=(C47+T47)),AR47,9E15),IF(AND(M47=0,ISNUMBER(AS47),AS47&lt;=(C47+T47)),AS47,9E15))&lt;9E15,IF(AND(AND(J47=0,ISNUMBER(AP47),AP47&lt;=(C47+T47)),AP47=MIN(IF(AND(J47=0,ISNUMBER(AP47),AP47&lt;=(C47+T47)),AP47,9E15),IF(AND(K47=0,ISNUMBER(AQ47),AQ47&lt;=(C47+T47)),AQ47,9E15),IF(AND(L47=0,ISNUMBER(AR47),AR47&lt;=(C47+T47)),AR47,9E15),IF(AND(M47=0,ISNUMBER(AS47),AS47&lt;=(C47+T47)),AS47,9E15))),"BiP",IF(AND(AND(K47=0,ISNUMBER(AQ47),AQ47&lt;=(C47+T47)),AQ47=MIN(IF(AND(J47=0,ISNUMBER(AP47),AP47&lt;=(C47+T47)),AP47,9E15),IF(AND(K47=0,ISNUMBER(AQ47),AQ47&lt;=(C47+T47)),AQ47,9E15),IF(AND(L47=0,ISNUMBER(AR47),AR47&lt;=(C47+T47)),AR47,9E15),IF(AND(M47=0,ISNUMBER(AS47),AS47&lt;=(C47+T47)),AS47,9E15))),"PV",IF(AND(AND(L47=0,ISNUMBER(AR47),AR47&lt;=(C47+T47)),AR47=MIN(IF(AND(J47=0,ISNUMBER(AP47),AP47&lt;=(C47+T47)),AP47,9E15),IF(AND(K47=0,ISNUMBER(AQ47),AQ47&lt;=(C47+T47)),AQ47,9E15),IF(AND(L47=0,ISNUMBER(AR47),AR47&lt;=(C47+T47)),AR47,9E15),IF(AND(M47=0,ISNUMBER(AS47),AS47&lt;=(C47+T47)),AS47,9E15))),"OC","MG"))),IF(AX47=TRUE,"",IF(MAX(IF(AND(NOT(AND(AU47=1,AT47&lt;&gt;1)),ISNUMBER(AK47),AK47&lt;=(C47+T47)),AY47,0),IF(AND(NOT(AND(AU47=1,AT47&lt;&gt;1)),ISNUMBER(AL47),AL47&lt;=(C47+T47)),AZ47,0),IF(AND(NOT(AND(AU47=1,AT47&lt;&gt;1)),ISNUMBER(AM47),AM47&lt;=(C47+T47)),BA47,0),IF(AND(NOT(AND(AU47=1,AT47&lt;&gt;1)),ISNUMBER(AN47),AN47&lt;=(C47+T47)),BB47,0),IF(AND(ISNUMBER(AO47),AO47&lt;=(C47+T47)),BC47,0))&lt;=0,"",IF(AND(IF(AND(NOT(AND(AU47=1,AT47&lt;&gt;1)),ISNUMBER(AK47),AK47&lt;=(C47+T47)),AY47,0)&gt;0,IF(AND(NOT(AND(AU47=1,AT47&lt;&gt;1)),ISNUMBER(AK47),AK47&lt;=(C47+T47)),AY47,0)=MAX(IF(AND(NOT(AND(AU47=1,AT47&lt;&gt;1)),ISNUMBER(AK47),AK47&lt;=(C47+T47)),AY47,0),IF(AND(NOT(AND(AU47=1,AT47&lt;&gt;1)),ISNUMBER(AL47),AL47&lt;=(C47+T47)),AZ47,0),IF(AND(NOT(AND(AU47=1,AT47&lt;&gt;1)),ISNUMBER(AM47),AM47&lt;=(C47+T47)),BA47,0),IF(AND(NOT(AND(AU47=1,AT47&lt;&gt;1)),ISNUMBER(AN47),AN47&lt;=(C47+T47)),BB47,0),IF(AND(ISNUMBER(AO47),AO47&lt;=(C47+T47)),BC47,0))),"SK",IF(AND(IF(AND(NOT(AND(AU47=1,AT47&lt;&gt;1)),ISNUMBER(AL47),AL47&lt;=(C47+T47)),AZ47,0)&gt;0,IF(AND(NOT(AND(AU47=1,AT47&lt;&gt;1)),ISNUMBER(AL47),AL47&lt;=(C47+T47)),AZ47,0)=MAX(IF(AND(NOT(AND(AU47=1,AT47&lt;&gt;1)),ISNUMBER(AK47),AK47&lt;=(C47+T47)),AY47,0),IF(AND(NOT(AND(AU47=1,AT47&lt;&gt;1)),ISNUMBER(AL47),AL47&lt;=(C47+T47)),AZ47,0),IF(AND(NOT(AND(AU47=1,AT47&lt;&gt;1)),ISNUMBER(AM47),AM47&lt;=(C47+T47)),BA47,0),IF(AND(NOT(AND(AU47=1,AT47&lt;&gt;1)),ISNUMBER(AN47),AN47&lt;=(C47+T47)),BB47,0),IF(AND(ISNUMBER(AO47),AO47&lt;=(C47+T47)),BC47,0))),"LB",IF(AND(IF(AND(NOT(AND(AU47=1,AT47&lt;&gt;1)),ISNUMBER(AM47),AM47&lt;=(C47+T47)),BA47,0)&gt;0,IF(AND(NOT(AND(AU47=1,AT47&lt;&gt;1)),ISNUMBER(AM47),AM47&lt;=(C47+T47)),BA47,0)=MAX(IF(AND(NOT(AND(AU47=1,AT47&lt;&gt;1)),ISNUMBER(AK47),AK47&lt;=(C47+T47)),AY47,0),IF(AND(NOT(AND(AU47=1,AT47&lt;&gt;1)),ISNUMBER(AL47),AL47&lt;=(C47+T47)),AZ47,0),IF(AND(NOT(AND(AU47=1,AT47&lt;&gt;1)),ISNUMBER(AM47),AM47&lt;=(C47+T47)),BA47,0),IF(AND(NOT(AND(AU47=1,AT47&lt;&gt;1)),ISNUMBER(AN47),AN47&lt;=(C47+T47)),BB47,0),IF(AND(ISNUMBER(AO47),AO47&lt;=(C47+T47)),BC47,0))),"ML",IF(AND(IF(AND(NOT(AND(AU47=1,AT47&lt;&gt;1)),ISNUMBER(AN47),AN47&lt;=(C47+T47)),BB47,0)&gt;0,IF(AND(NOT(AND(AU47=1,AT47&lt;&gt;1)),ISNUMBER(AN47),AN47&lt;=(C47+T47)),BB47,0)=MAX(IF(AND(NOT(AND(AU47=1,AT47&lt;&gt;1)),ISNUMBER(AK47),AK47&lt;=(C47+T47)),AY47,0),IF(AND(NOT(AND(AU47=1,AT47&lt;&gt;1)),ISNUMBER(AL47),AL47&lt;=(C47+T47)),AZ47,0),IF(AND(NOT(AND(AU47=1,AT47&lt;&gt;1)),ISNUMBER(AM47),AM47&lt;=(C47+T47)),BA47,0),IF(AND(NOT(AND(AU47=1,AT47&lt;&gt;1)),ISNUMBER(AN47),AN47&lt;=(C47+T47)),BB47,0),IF(AND(ISNUMBER(AO47),AO47&lt;=(C47+T47)),BC47,0))),"RLO","BD"))))))))</f>
        <v/>
      </c>
    </row>
    <row r="48">
      <c r="A48" s="26" t="n">
        <v>37</v>
      </c>
      <c r="B48" s="27">
        <f>A48*10/60</f>
        <v/>
      </c>
      <c r="C48" s="22">
        <f>X47</f>
        <v/>
      </c>
      <c r="D48" s="27">
        <f>D47+W47</f>
        <v/>
      </c>
      <c r="E48" s="26">
        <f>E47+IF(U47="SK",1,0)</f>
        <v/>
      </c>
      <c r="F48" s="26">
        <f>F47+IF(U47="LB",1,0)</f>
        <v/>
      </c>
      <c r="G48" s="26">
        <f>G47+IF(U47="ML",1,0)</f>
        <v/>
      </c>
      <c r="H48" s="26">
        <f>H47+IF(U47="RLO",1,0)</f>
        <v/>
      </c>
      <c r="I48" s="26">
        <f>I47+IF(U47="BD",1,0)</f>
        <v/>
      </c>
      <c r="J48" s="26">
        <f>MAX(J47,IF(U47="BiP",1,0))</f>
        <v/>
      </c>
      <c r="K48" s="26">
        <f>MAX(K47,IF(U47="PV",1,0))</f>
        <v/>
      </c>
      <c r="L48" s="26">
        <f>MAX(L47,IF(U47="OC",1,0))</f>
        <v/>
      </c>
      <c r="M48" s="26">
        <f>MAX(M47,IF(U47="MG",1,0))</f>
        <v/>
      </c>
      <c r="N48" s="26">
        <f>MAX(N47,IF(U47="transition",1,0))</f>
        <v/>
      </c>
      <c r="O48" s="28">
        <f>(Parameters!$B$9+(IF(E48=0,0,(Upgrades!$J$13+E48*Upgrades!$K$13)*POWER(Upgrades!$L$13,E48)))*(IF(Upgrades!$T$14="Stellar Kinematics",POWER(Upgrades!$U$14,F48),1)*IF(Upgrades!$T$15="Stellar Kinematics",POWER(Upgrades!$U$15,G48),1)*IF(Upgrades!$T$16="Stellar Kinematics",POWER(Upgrades!$U$16,H48),1)*IF(Upgrades!$T$17="Stellar Kinematics",POWER(Upgrades!$U$17,I48),1)*IF(Upgrades!$T$18="Stellar Kinematics",POWER(Upgrades!$U$18,J48),1)*IF(Upgrades!$T$19="Stellar Kinematics",POWER(Upgrades!$U$19,K48),1)*IF(Upgrades!$T$20="Stellar Kinematics",POWER(Upgrades!$U$20,L48),1)*IF(Upgrades!$T$21="Stellar Kinematics",POWER(Upgrades!$U$21,M48),1))+(IF(F48=0,0,(Upgrades!$J$14+F48*Upgrades!$K$14)*POWER(Upgrades!$L$14,F48)))*(IF(Upgrades!$T$13="Local Bubble",POWER(Upgrades!$U$13,E48),1)*IF(Upgrades!$T$15="Local Bubble",POWER(Upgrades!$U$15,G48),1)*IF(Upgrades!$T$16="Local Bubble",POWER(Upgrades!$U$16,H48),1)*IF(Upgrades!$T$17="Local Bubble",POWER(Upgrades!$U$17,I48),1)*IF(Upgrades!$T$18="Local Bubble",POWER(Upgrades!$U$18,J48),1)*IF(Upgrades!$T$19="Local Bubble",POWER(Upgrades!$U$19,K48),1)*IF(Upgrades!$T$20="Local Bubble",POWER(Upgrades!$U$20,L48),1)*IF(Upgrades!$T$21="Local Bubble",POWER(Upgrades!$U$21,M48),1))+(IF(G48=0,0,(Upgrades!$J$15+G48*Upgrades!$K$15)*POWER(Upgrades!$L$15,G48)))*(IF(Upgrades!$T$13="Microlensing",POWER(Upgrades!$U$13,E48),1)*IF(Upgrades!$T$14="Microlensing",POWER(Upgrades!$U$14,F48),1)*IF(Upgrades!$T$16="Microlensing",POWER(Upgrades!$U$16,H48),1)*IF(Upgrades!$T$17="Microlensing",POWER(Upgrades!$U$17,I48),1)*IF(Upgrades!$T$18="Microlensing",POWER(Upgrades!$U$18,J48),1)*IF(Upgrades!$T$19="Microlensing",POWER(Upgrades!$U$19,K48),1)*IF(Upgrades!$T$20="Microlensing",POWER(Upgrades!$U$20,L48),1)*IF(Upgrades!$T$21="Microlensing",POWER(Upgrades!$U$21,M48),1))+(IF(H48=0,0,(Upgrades!$J$16+H48*Upgrades!$K$16)*POWER(Upgrades!$L$16,H48)))*(IF(Upgrades!$T$13="Roche Lobe Overflow",POWER(Upgrades!$U$13,E48),1)*IF(Upgrades!$T$14="Roche Lobe Overflow",POWER(Upgrades!$U$14,F48),1)*IF(Upgrades!$T$15="Roche Lobe Overflow",POWER(Upgrades!$U$15,G48),1)*IF(Upgrades!$T$17="Roche Lobe Overflow",POWER(Upgrades!$U$17,I48),1)*IF(Upgrades!$T$18="Roche Lobe Overflow",POWER(Upgrades!$U$18,J48),1)*IF(Upgrades!$T$19="Roche Lobe Overflow",POWER(Upgrades!$U$19,K48),1)*IF(Upgrades!$T$20="Roche Lobe Overflow",POWER(Upgrades!$U$20,L48),1)*IF(Upgrades!$T$21="Roche Lobe Overflow",POWER(Upgrades!$U$21,M48),1))+(IF(I48=0,0,(Upgrades!$J$17+I48*Upgrades!$K$17)*POWER(Upgrades!$L$17,I48)))*(IF(Upgrades!$T$13="Brown Dwarf",POWER(Upgrades!$U$13,E48),1)*IF(Upgrades!$T$14="Brown Dwarf",POWER(Upgrades!$U$14,F48),1)*IF(Upgrades!$T$15="Brown Dwarf",POWER(Upgrades!$U$15,G48),1)*IF(Upgrades!$T$16="Brown Dwarf",POWER(Upgrades!$U$16,H48),1)*IF(Upgrades!$T$18="Brown Dwarf",POWER(Upgrades!$U$18,J48),1)*IF(Upgrades!$T$19="Brown Dwarf",POWER(Upgrades!$U$19,K48),1)*IF(Upgrades!$T$20="Brown Dwarf",POWER(Upgrades!$U$20,L48),1)*IF(Upgrades!$T$21="Brown Dwarf",POWER(Upgrades!$U$21,M48),1))+(IF(J48=0,0,(Upgrades!$J$18+J48*Upgrades!$K$18)*POWER(Upgrades!$L$18,J48)))*(IF(Upgrades!$T$13="Binary Partner",POWER(Upgrades!$U$13,E48),1)*IF(Upgrades!$T$14="Binary Partner",POWER(Upgrades!$U$14,F48),1)*IF(Upgrades!$T$15="Binary Partner",POWER(Upgrades!$U$15,G48),1)*IF(Upgrades!$T$16="Binary Partner",POWER(Upgrades!$U$16,H48),1)*IF(Upgrades!$T$17="Binary Partner",POWER(Upgrades!$U$17,I48),1)*IF(Upgrades!$T$19="Binary Partner",POWER(Upgrades!$U$19,K48),1)*IF(Upgrades!$T$20="Binary Partner",POWER(Upgrades!$U$20,L48),1)*IF(Upgrades!$T$21="Binary Partner",POWER(Upgrades!$U$21,M48),1))+(IF(K48=0,0,(Upgrades!$J$19+K48*Upgrades!$K$19)*POWER(Upgrades!$L$19,K48)))*(IF(Upgrades!$T$13="Peculiar Velocity",POWER(Upgrades!$U$13,E48),1)*IF(Upgrades!$T$14="Peculiar Velocity",POWER(Upgrades!$U$14,F48),1)*IF(Upgrades!$T$15="Peculiar Velocity",POWER(Upgrades!$U$15,G48),1)*IF(Upgrades!$T$16="Peculiar Velocity",POWER(Upgrades!$U$16,H48),1)*IF(Upgrades!$T$17="Peculiar Velocity",POWER(Upgrades!$U$17,I48),1)*IF(Upgrades!$T$18="Peculiar Velocity",POWER(Upgrades!$U$18,J48),1)*IF(Upgrades!$T$20="Peculiar Velocity",POWER(Upgrades!$U$20,L48),1)*IF(Upgrades!$T$21="Peculiar Velocity",POWER(Upgrades!$U$21,M48),1))+(IF(L48=0,0,(Upgrades!$J$20+L48*Upgrades!$K$20)*POWER(Upgrades!$L$20,L48)))*(IF(Upgrades!$T$13="Open Cluster",POWER(Upgrades!$U$13,E48),1)*IF(Upgrades!$T$14="Open Cluster",POWER(Upgrades!$U$14,F48),1)*IF(Upgrades!$T$15="Open Cluster",POWER(Upgrades!$U$15,G48),1)*IF(Upgrades!$T$16="Open Cluster",POWER(Upgrades!$U$16,H48),1)*IF(Upgrades!$T$17="Open Cluster",POWER(Upgrades!$U$17,I48),1)*IF(Upgrades!$T$18="Open Cluster",POWER(Upgrades!$U$18,J48),1)*IF(Upgrades!$T$19="Open Cluster",POWER(Upgrades!$U$19,K48),1)*IF(Upgrades!$T$21="Open Cluster",POWER(Upgrades!$U$21,M48),1))+(IF(M48=0,0,(Upgrades!$J$21+M48*Upgrades!$K$21)*POWER(Upgrades!$L$21,M48)))*(IF(Upgrades!$T$13="Moving Group",POWER(Upgrades!$U$13,E48),1)*IF(Upgrades!$T$14="Moving Group",POWER(Upgrades!$U$14,F48),1)*IF(Upgrades!$T$15="Moving Group",POWER(Upgrades!$U$15,G48),1)*IF(Upgrades!$T$16="Moving Group",POWER(Upgrades!$U$16,H48),1)*IF(Upgrades!$T$17="Moving Group",POWER(Upgrades!$U$17,I48),1)*IF(Upgrades!$T$18="Moving Group",POWER(Upgrades!$U$18,J48),1)*IF(Upgrades!$T$19="Moving Group",POWER(Upgrades!$U$19,K48),1)*IF(Upgrades!$T$20="Moving Group",POWER(Upgrades!$U$20,L48),1)))*POWER(Upgrades!$Q$13,E48)*POWER(Upgrades!$Q$14,F48)*POWER(Upgrades!$Q$15,G48)*POWER(Upgrades!$Q$16,H48)*POWER(Upgrades!$Q$17,I48)*POWER(Upgrades!$Q$18,J48)*POWER(Upgrades!$Q$19,K48)*POWER(Upgrades!$Q$20,L48)*POWER(Upgrades!$Q$21,M48)*$G$6+$D$6</f>
        <v/>
      </c>
      <c r="P48" s="28">
        <f>((IF(E48=0,0,(Upgrades!$G$13+E48*Upgrades!$H$13)*POWER(Upgrades!$I$13,E48)))*(IF(Upgrades!$T$14="Stellar Kinematics",POWER(Upgrades!$U$14,F48),1)*IF(Upgrades!$T$15="Stellar Kinematics",POWER(Upgrades!$U$15,G48),1)*IF(Upgrades!$T$16="Stellar Kinematics",POWER(Upgrades!$U$16,H48),1)*IF(Upgrades!$T$17="Stellar Kinematics",POWER(Upgrades!$U$17,I48),1)*IF(Upgrades!$T$18="Stellar Kinematics",POWER(Upgrades!$U$18,J48),1)*IF(Upgrades!$T$19="Stellar Kinematics",POWER(Upgrades!$U$19,K48),1)*IF(Upgrades!$T$20="Stellar Kinematics",POWER(Upgrades!$U$20,L48),1)*IF(Upgrades!$T$21="Stellar Kinematics",POWER(Upgrades!$U$21,M48),1))+(IF(F48=0,0,(Upgrades!$G$14+F48*Upgrades!$H$14)*POWER(Upgrades!$I$14,F48)))*(IF(Upgrades!$T$13="Local Bubble",POWER(Upgrades!$U$13,E48),1)*IF(Upgrades!$T$15="Local Bubble",POWER(Upgrades!$U$15,G48),1)*IF(Upgrades!$T$16="Local Bubble",POWER(Upgrades!$U$16,H48),1)*IF(Upgrades!$T$17="Local Bubble",POWER(Upgrades!$U$17,I48),1)*IF(Upgrades!$T$18="Local Bubble",POWER(Upgrades!$U$18,J48),1)*IF(Upgrades!$T$19="Local Bubble",POWER(Upgrades!$U$19,K48),1)*IF(Upgrades!$T$20="Local Bubble",POWER(Upgrades!$U$20,L48),1)*IF(Upgrades!$T$21="Local Bubble",POWER(Upgrades!$U$21,M48),1))+(IF(G48=0,0,(Upgrades!$G$15+G48*Upgrades!$H$15)*POWER(Upgrades!$I$15,G48)))*(IF(Upgrades!$T$13="Microlensing",POWER(Upgrades!$U$13,E48),1)*IF(Upgrades!$T$14="Microlensing",POWER(Upgrades!$U$14,F48),1)*IF(Upgrades!$T$16="Microlensing",POWER(Upgrades!$U$16,H48),1)*IF(Upgrades!$T$17="Microlensing",POWER(Upgrades!$U$17,I48),1)*IF(Upgrades!$T$18="Microlensing",POWER(Upgrades!$U$18,J48),1)*IF(Upgrades!$T$19="Microlensing",POWER(Upgrades!$U$19,K48),1)*IF(Upgrades!$T$20="Microlensing",POWER(Upgrades!$U$20,L48),1)*IF(Upgrades!$T$21="Microlensing",POWER(Upgrades!$U$21,M48),1))+(IF(H48=0,0,(Upgrades!$G$16+H48*Upgrades!$H$16)*POWER(Upgrades!$I$16,H48)))*(IF(Upgrades!$T$13="Roche Lobe Overflow",POWER(Upgrades!$U$13,E48),1)*IF(Upgrades!$T$14="Roche Lobe Overflow",POWER(Upgrades!$U$14,F48),1)*IF(Upgrades!$T$15="Roche Lobe Overflow",POWER(Upgrades!$U$15,G48),1)*IF(Upgrades!$T$17="Roche Lobe Overflow",POWER(Upgrades!$U$17,I48),1)*IF(Upgrades!$T$18="Roche Lobe Overflow",POWER(Upgrades!$U$18,J48),1)*IF(Upgrades!$T$19="Roche Lobe Overflow",POWER(Upgrades!$U$19,K48),1)*IF(Upgrades!$T$20="Roche Lobe Overflow",POWER(Upgrades!$U$20,L48),1)*IF(Upgrades!$T$21="Roche Lobe Overflow",POWER(Upgrades!$U$21,M48),1))+(IF(I48=0,0,(Upgrades!$G$17+I48*Upgrades!$H$17)*POWER(Upgrades!$I$17,I48)))*(IF(Upgrades!$T$13="Brown Dwarf",POWER(Upgrades!$U$13,E48),1)*IF(Upgrades!$T$14="Brown Dwarf",POWER(Upgrades!$U$14,F48),1)*IF(Upgrades!$T$15="Brown Dwarf",POWER(Upgrades!$U$15,G48),1)*IF(Upgrades!$T$16="Brown Dwarf",POWER(Upgrades!$U$16,H48),1)*IF(Upgrades!$T$18="Brown Dwarf",POWER(Upgrades!$U$18,J48),1)*IF(Upgrades!$T$19="Brown Dwarf",POWER(Upgrades!$U$19,K48),1)*IF(Upgrades!$T$20="Brown Dwarf",POWER(Upgrades!$U$20,L48),1)*IF(Upgrades!$T$21="Brown Dwarf",POWER(Upgrades!$U$21,M48),1))+(IF(J48=0,0,(Upgrades!$G$18+J48*Upgrades!$H$18)*POWER(Upgrades!$I$18,J48)))*(IF(Upgrades!$T$13="Binary Partner",POWER(Upgrades!$U$13,E48),1)*IF(Upgrades!$T$14="Binary Partner",POWER(Upgrades!$U$14,F48),1)*IF(Upgrades!$T$15="Binary Partner",POWER(Upgrades!$U$15,G48),1)*IF(Upgrades!$T$16="Binary Partner",POWER(Upgrades!$U$16,H48),1)*IF(Upgrades!$T$17="Binary Partner",POWER(Upgrades!$U$17,I48),1)*IF(Upgrades!$T$19="Binary Partner",POWER(Upgrades!$U$19,K48),1)*IF(Upgrades!$T$20="Binary Partner",POWER(Upgrades!$U$20,L48),1)*IF(Upgrades!$T$21="Binary Partner",POWER(Upgrades!$U$21,M48),1))+(IF(K48=0,0,(Upgrades!$G$19+K48*Upgrades!$H$19)*POWER(Upgrades!$I$19,K48)))*(IF(Upgrades!$T$13="Peculiar Velocity",POWER(Upgrades!$U$13,E48),1)*IF(Upgrades!$T$14="Peculiar Velocity",POWER(Upgrades!$U$14,F48),1)*IF(Upgrades!$T$15="Peculiar Velocity",POWER(Upgrades!$U$15,G48),1)*IF(Upgrades!$T$16="Peculiar Velocity",POWER(Upgrades!$U$16,H48),1)*IF(Upgrades!$T$17="Peculiar Velocity",POWER(Upgrades!$U$17,I48),1)*IF(Upgrades!$T$18="Peculiar Velocity",POWER(Upgrades!$U$18,J48),1)*IF(Upgrades!$T$20="Peculiar Velocity",POWER(Upgrades!$U$20,L48),1)*IF(Upgrades!$T$21="Peculiar Velocity",POWER(Upgrades!$U$21,M48),1))+(IF(L48=0,0,(Upgrades!$G$20+L48*Upgrades!$H$20)*POWER(Upgrades!$I$20,L48)))*(IF(Upgrades!$T$13="Open Cluster",POWER(Upgrades!$U$13,E48),1)*IF(Upgrades!$T$14="Open Cluster",POWER(Upgrades!$U$14,F48),1)*IF(Upgrades!$T$15="Open Cluster",POWER(Upgrades!$U$15,G48),1)*IF(Upgrades!$T$16="Open Cluster",POWER(Upgrades!$U$16,H48),1)*IF(Upgrades!$T$17="Open Cluster",POWER(Upgrades!$U$17,I48),1)*IF(Upgrades!$T$18="Open Cluster",POWER(Upgrades!$U$18,J48),1)*IF(Upgrades!$T$19="Open Cluster",POWER(Upgrades!$U$19,K48),1)*IF(Upgrades!$T$21="Open Cluster",POWER(Upgrades!$U$21,M48),1))+(IF(M48=0,0,(Upgrades!$G$21+M48*Upgrades!$H$21)*POWER(Upgrades!$I$21,M48)))*(IF(Upgrades!$T$13="Moving Group",POWER(Upgrades!$U$13,E48),1)*IF(Upgrades!$T$14="Moving Group",POWER(Upgrades!$U$14,F48),1)*IF(Upgrades!$T$15="Moving Group",POWER(Upgrades!$U$15,G48),1)*IF(Upgrades!$T$16="Moving Group",POWER(Upgrades!$U$16,H48),1)*IF(Upgrades!$T$17="Moving Group",POWER(Upgrades!$U$17,I48),1)*IF(Upgrades!$T$18="Moving Group",POWER(Upgrades!$U$18,J48),1)*IF(Upgrades!$T$19="Moving Group",POWER(Upgrades!$U$19,K48),1)*IF(Upgrades!$T$20="Moving Group",POWER(Upgrades!$U$20,L48),1)))*POWER(Upgrades!$P$13,E48)*POWER(Upgrades!$P$14,F48)*POWER(Upgrades!$P$15,G48)*POWER(Upgrades!$P$16,H48)*POWER(Upgrades!$P$17,I48)*POWER(Upgrades!$P$18,J48)*POWER(Upgrades!$P$19,K48)*POWER(Upgrades!$P$20,L48)*POWER(Upgrades!$P$21,M48)*$F$6+$C$6</f>
        <v/>
      </c>
      <c r="Q48" s="28">
        <f>((IF(E48=0,0,(Upgrades!$M$13+E48*Upgrades!$N$13)*POWER(Upgrades!$O$13,E48)))*(IF(Upgrades!$T$14="Stellar Kinematics",POWER(Upgrades!$U$14,F48),1)*IF(Upgrades!$T$15="Stellar Kinematics",POWER(Upgrades!$U$15,G48),1)*IF(Upgrades!$T$16="Stellar Kinematics",POWER(Upgrades!$U$16,H48),1)*IF(Upgrades!$T$17="Stellar Kinematics",POWER(Upgrades!$U$17,I48),1)*IF(Upgrades!$T$18="Stellar Kinematics",POWER(Upgrades!$U$18,J48),1)*IF(Upgrades!$T$19="Stellar Kinematics",POWER(Upgrades!$U$19,K48),1)*IF(Upgrades!$T$20="Stellar Kinematics",POWER(Upgrades!$U$20,L48),1)*IF(Upgrades!$T$21="Stellar Kinematics",POWER(Upgrades!$U$21,M48),1))+(IF(F48=0,0,(Upgrades!$M$14+F48*Upgrades!$N$14)*POWER(Upgrades!$O$14,F48)))*(IF(Upgrades!$T$13="Local Bubble",POWER(Upgrades!$U$13,E48),1)*IF(Upgrades!$T$15="Local Bubble",POWER(Upgrades!$U$15,G48),1)*IF(Upgrades!$T$16="Local Bubble",POWER(Upgrades!$U$16,H48),1)*IF(Upgrades!$T$17="Local Bubble",POWER(Upgrades!$U$17,I48),1)*IF(Upgrades!$T$18="Local Bubble",POWER(Upgrades!$U$18,J48),1)*IF(Upgrades!$T$19="Local Bubble",POWER(Upgrades!$U$19,K48),1)*IF(Upgrades!$T$20="Local Bubble",POWER(Upgrades!$U$20,L48),1)*IF(Upgrades!$T$21="Local Bubble",POWER(Upgrades!$U$21,M48),1))+(IF(G48=0,0,(Upgrades!$M$15+G48*Upgrades!$N$15)*POWER(Upgrades!$O$15,G48)))*(IF(Upgrades!$T$13="Microlensing",POWER(Upgrades!$U$13,E48),1)*IF(Upgrades!$T$14="Microlensing",POWER(Upgrades!$U$14,F48),1)*IF(Upgrades!$T$16="Microlensing",POWER(Upgrades!$U$16,H48),1)*IF(Upgrades!$T$17="Microlensing",POWER(Upgrades!$U$17,I48),1)*IF(Upgrades!$T$18="Microlensing",POWER(Upgrades!$U$18,J48),1)*IF(Upgrades!$T$19="Microlensing",POWER(Upgrades!$U$19,K48),1)*IF(Upgrades!$T$20="Microlensing",POWER(Upgrades!$U$20,L48),1)*IF(Upgrades!$T$21="Microlensing",POWER(Upgrades!$U$21,M48),1))+(IF(H48=0,0,(Upgrades!$M$16+H48*Upgrades!$N$16)*POWER(Upgrades!$O$16,H48)))*(IF(Upgrades!$T$13="Roche Lobe Overflow",POWER(Upgrades!$U$13,E48),1)*IF(Upgrades!$T$14="Roche Lobe Overflow",POWER(Upgrades!$U$14,F48),1)*IF(Upgrades!$T$15="Roche Lobe Overflow",POWER(Upgrades!$U$15,G48),1)*IF(Upgrades!$T$17="Roche Lobe Overflow",POWER(Upgrades!$U$17,I48),1)*IF(Upgrades!$T$18="Roche Lobe Overflow",POWER(Upgrades!$U$18,J48),1)*IF(Upgrades!$T$19="Roche Lobe Overflow",POWER(Upgrades!$U$19,K48),1)*IF(Upgrades!$T$20="Roche Lobe Overflow",POWER(Upgrades!$U$20,L48),1)*IF(Upgrades!$T$21="Roche Lobe Overflow",POWER(Upgrades!$U$21,M48),1))+(IF(I48=0,0,(Upgrades!$M$17+I48*Upgrades!$N$17)*POWER(Upgrades!$O$17,I48)))*(IF(Upgrades!$T$13="Brown Dwarf",POWER(Upgrades!$U$13,E48),1)*IF(Upgrades!$T$14="Brown Dwarf",POWER(Upgrades!$U$14,F48),1)*IF(Upgrades!$T$15="Brown Dwarf",POWER(Upgrades!$U$15,G48),1)*IF(Upgrades!$T$16="Brown Dwarf",POWER(Upgrades!$U$16,H48),1)*IF(Upgrades!$T$18="Brown Dwarf",POWER(Upgrades!$U$18,J48),1)*IF(Upgrades!$T$19="Brown Dwarf",POWER(Upgrades!$U$19,K48),1)*IF(Upgrades!$T$20="Brown Dwarf",POWER(Upgrades!$U$20,L48),1)*IF(Upgrades!$T$21="Brown Dwarf",POWER(Upgrades!$U$21,M48),1))+(IF(J48=0,0,(Upgrades!$M$18+J48*Upgrades!$N$18)*POWER(Upgrades!$O$18,J48)))*(IF(Upgrades!$T$13="Binary Partner",POWER(Upgrades!$U$13,E48),1)*IF(Upgrades!$T$14="Binary Partner",POWER(Upgrades!$U$14,F48),1)*IF(Upgrades!$T$15="Binary Partner",POWER(Upgrades!$U$15,G48),1)*IF(Upgrades!$T$16="Binary Partner",POWER(Upgrades!$U$16,H48),1)*IF(Upgrades!$T$17="Binary Partner",POWER(Upgrades!$U$17,I48),1)*IF(Upgrades!$T$19="Binary Partner",POWER(Upgrades!$U$19,K48),1)*IF(Upgrades!$T$20="Binary Partner",POWER(Upgrades!$U$20,L48),1)*IF(Upgrades!$T$21="Binary Partner",POWER(Upgrades!$U$21,M48),1))+(IF(K48=0,0,(Upgrades!$M$19+K48*Upgrades!$N$19)*POWER(Upgrades!$O$19,K48)))*(IF(Upgrades!$T$13="Peculiar Velocity",POWER(Upgrades!$U$13,E48),1)*IF(Upgrades!$T$14="Peculiar Velocity",POWER(Upgrades!$U$14,F48),1)*IF(Upgrades!$T$15="Peculiar Velocity",POWER(Upgrades!$U$15,G48),1)*IF(Upgrades!$T$16="Peculiar Velocity",POWER(Upgrades!$U$16,H48),1)*IF(Upgrades!$T$17="Peculiar Velocity",POWER(Upgrades!$U$17,I48),1)*IF(Upgrades!$T$18="Peculiar Velocity",POWER(Upgrades!$U$18,J48),1)*IF(Upgrades!$T$20="Peculiar Velocity",POWER(Upgrades!$U$20,L48),1)*IF(Upgrades!$T$21="Peculiar Velocity",POWER(Upgrades!$U$21,M48),1))+(IF(L48=0,0,(Upgrades!$M$20+L48*Upgrades!$N$20)*POWER(Upgrades!$O$20,L48)))*(IF(Upgrades!$T$13="Open Cluster",POWER(Upgrades!$U$13,E48),1)*IF(Upgrades!$T$14="Open Cluster",POWER(Upgrades!$U$14,F48),1)*IF(Upgrades!$T$15="Open Cluster",POWER(Upgrades!$U$15,G48),1)*IF(Upgrades!$T$16="Open Cluster",POWER(Upgrades!$U$16,H48),1)*IF(Upgrades!$T$17="Open Cluster",POWER(Upgrades!$U$17,I48),1)*IF(Upgrades!$T$18="Open Cluster",POWER(Upgrades!$U$18,J48),1)*IF(Upgrades!$T$19="Open Cluster",POWER(Upgrades!$U$19,K48),1)*IF(Upgrades!$T$21="Open Cluster",POWER(Upgrades!$U$21,M48),1))+(IF(M48=0,0,(Upgrades!$M$21+M48*Upgrades!$N$21)*POWER(Upgrades!$O$21,M48)))*(IF(Upgrades!$T$13="Moving Group",POWER(Upgrades!$U$13,E48),1)*IF(Upgrades!$T$14="Moving Group",POWER(Upgrades!$U$14,F48),1)*IF(Upgrades!$T$15="Moving Group",POWER(Upgrades!$U$15,G48),1)*IF(Upgrades!$T$16="Moving Group",POWER(Upgrades!$U$16,H48),1)*IF(Upgrades!$T$17="Moving Group",POWER(Upgrades!$U$17,I48),1)*IF(Upgrades!$T$18="Moving Group",POWER(Upgrades!$U$18,J48),1)*IF(Upgrades!$T$19="Moving Group",POWER(Upgrades!$U$19,K48),1)*IF(Upgrades!$T$20="Moving Group",POWER(Upgrades!$U$20,L48),1)))*POWER(Upgrades!$R$13,E48)*POWER(Upgrades!$R$14,F48)*POWER(Upgrades!$R$15,G48)*POWER(Upgrades!$R$16,H48)*POWER(Upgrades!$R$17,I48)*POWER(Upgrades!$R$18,J48)*POWER(Upgrades!$R$19,K48)*POWER(Upgrades!$R$20,L48)*POWER(Upgrades!$R$21,M48)*$H$6+$E$6</f>
        <v/>
      </c>
      <c r="R48" s="27">
        <f>IF(N48=1,0,O48*Parameters!$B$10/60*Parameters!$B$11*10)</f>
        <v/>
      </c>
      <c r="S48" s="27">
        <f>IF(N48=1,0,Q48*O48*10)</f>
        <v/>
      </c>
      <c r="T48" s="27">
        <f>IF(N48=1,0,R48+S48+P48*10)</f>
        <v/>
      </c>
      <c r="U48" s="33">
        <f>BE48</f>
        <v/>
      </c>
      <c r="V48" s="22">
        <f>IF(U48="",0,IF(U48="transition",0,IF(U48="SK",AK48,IF(U48="LB",AL48,IF(U48="ML",AM48,IF(U48="RLO",AN48,IF(U48="BD",AO48,IF(U48="BiP",AP48,IF(U48="PV",AQ48,IF(U48="OC",AR48,IF(U48="MG",AS48,0))))))))))</f>
        <v/>
      </c>
      <c r="W48" s="27">
        <f>IF(U48="BiP",Upgrades!$F$18,IF(U48="PV",Upgrades!$F$19,IF(U48="OC",Upgrades!$F$20,IF(U48="MG",Upgrades!$F$21,IF(U48="transition",-Parameters!$B$18*Parameters!$B$19,0)))))</f>
        <v/>
      </c>
      <c r="X48" s="22">
        <f>C48+T48-V48</f>
        <v/>
      </c>
      <c r="Y48" s="30">
        <f>O48*Parameters!$B$10/60*Parameters!$B$11+Q48*O48+P48</f>
        <v/>
      </c>
      <c r="Z48" s="34">
        <f>IF(U48="transition","→ Tier 3 (Galactic Arm)",IF(U48="MG","Moving Group — pocket drifts together",IF(U48="OC","Open Cluster acquired",IF(U48="PV","Peculiar Velocity — passive multiplier active",IF(U48="BiP","Binary Partner — pair bond formed",IF(AND(AU48=1,N48=0,AT48&lt;&gt;1),"Cohesion ready (waiting on completionists)","")))))) </f>
        <v/>
      </c>
      <c r="AA48" s="27">
        <f>(IF(E48=0,0,(Upgrades!$G$13+E48*Upgrades!$H$13)*POWER(Upgrades!$I$13,E48)))*(IF(Upgrades!$T$14="Stellar Kinematics",POWER(Upgrades!$U$14,F48),1)*IF(Upgrades!$T$15="Stellar Kinematics",POWER(Upgrades!$U$15,G48),1)*IF(Upgrades!$T$16="Stellar Kinematics",POWER(Upgrades!$U$16,H48),1)*IF(Upgrades!$T$17="Stellar Kinematics",POWER(Upgrades!$U$17,I48),1)*IF(Upgrades!$T$18="Stellar Kinematics",POWER(Upgrades!$U$18,J48),1)*IF(Upgrades!$T$19="Stellar Kinematics",POWER(Upgrades!$U$19,K48),1)*IF(Upgrades!$T$20="Stellar Kinematics",POWER(Upgrades!$U$20,L48),1)*IF(Upgrades!$T$21="Stellar Kinematics",POWER(Upgrades!$U$21,M48),1))*POWER(Upgrades!$P$13,E48)*POWER(Upgrades!$P$14,F48)*POWER(Upgrades!$P$15,G48)*POWER(Upgrades!$P$16,H48)*POWER(Upgrades!$P$17,I48)*POWER(Upgrades!$P$18,J48)*POWER(Upgrades!$P$19,K48)*POWER(Upgrades!$P$20,L48)*POWER(Upgrades!$P$21,M48)*$F$6*60</f>
        <v/>
      </c>
      <c r="AB48" s="27">
        <f>(IF(F48=0,0,(Upgrades!$G$14+F48*Upgrades!$H$14)*POWER(Upgrades!$I$14,F48)))*(IF(Upgrades!$T$13="Local Bubble",POWER(Upgrades!$U$13,E48),1)*IF(Upgrades!$T$15="Local Bubble",POWER(Upgrades!$U$15,G48),1)*IF(Upgrades!$T$16="Local Bubble",POWER(Upgrades!$U$16,H48),1)*IF(Upgrades!$T$17="Local Bubble",POWER(Upgrades!$U$17,I48),1)*IF(Upgrades!$T$18="Local Bubble",POWER(Upgrades!$U$18,J48),1)*IF(Upgrades!$T$19="Local Bubble",POWER(Upgrades!$U$19,K48),1)*IF(Upgrades!$T$20="Local Bubble",POWER(Upgrades!$U$20,L48),1)*IF(Upgrades!$T$21="Local Bubble",POWER(Upgrades!$U$21,M48),1))*POWER(Upgrades!$P$13,E48)*POWER(Upgrades!$P$14,F48)*POWER(Upgrades!$P$15,G48)*POWER(Upgrades!$P$16,H48)*POWER(Upgrades!$P$17,I48)*POWER(Upgrades!$P$18,J48)*POWER(Upgrades!$P$19,K48)*POWER(Upgrades!$P$20,L48)*POWER(Upgrades!$P$21,M48)*$F$6*60</f>
        <v/>
      </c>
      <c r="AC48" s="27">
        <f>(IF(G48=0,0,(Upgrades!$J$15+G48*Upgrades!$K$15)*POWER(Upgrades!$L$15,G48)))*(IF(Upgrades!$T$13="Microlensing",POWER(Upgrades!$U$13,E48),1)*IF(Upgrades!$T$14="Microlensing",POWER(Upgrades!$U$14,F48),1)*IF(Upgrades!$T$16="Microlensing",POWER(Upgrades!$U$16,H48),1)*IF(Upgrades!$T$17="Microlensing",POWER(Upgrades!$U$17,I48),1)*IF(Upgrades!$T$18="Microlensing",POWER(Upgrades!$U$18,J48),1)*IF(Upgrades!$T$19="Microlensing",POWER(Upgrades!$U$19,K48),1)*IF(Upgrades!$T$20="Microlensing",POWER(Upgrades!$U$20,L48),1)*IF(Upgrades!$T$21="Microlensing",POWER(Upgrades!$U$21,M48),1))*POWER(Upgrades!$Q$13,E48)*POWER(Upgrades!$Q$14,F48)*POWER(Upgrades!$Q$15,G48)*POWER(Upgrades!$Q$16,H48)*POWER(Upgrades!$Q$17,I48)*POWER(Upgrades!$Q$18,J48)*POWER(Upgrades!$Q$19,K48)*POWER(Upgrades!$Q$20,L48)*POWER(Upgrades!$Q$21,M48)*$G$6*(Parameters!$B$10*Parameters!$B$11+Q48*60)</f>
        <v/>
      </c>
      <c r="AD48" s="27">
        <f>(IF(H48=0,0,(Upgrades!$M$16+H48*Upgrades!$N$16)*POWER(Upgrades!$O$16,H48)))*(IF(Upgrades!$T$13="Roche Lobe Overflow",POWER(Upgrades!$U$13,E48),1)*IF(Upgrades!$T$14="Roche Lobe Overflow",POWER(Upgrades!$U$14,F48),1)*IF(Upgrades!$T$15="Roche Lobe Overflow",POWER(Upgrades!$U$15,G48),1)*IF(Upgrades!$T$17="Roche Lobe Overflow",POWER(Upgrades!$U$17,I48),1)*IF(Upgrades!$T$18="Roche Lobe Overflow",POWER(Upgrades!$U$18,J48),1)*IF(Upgrades!$T$19="Roche Lobe Overflow",POWER(Upgrades!$U$19,K48),1)*IF(Upgrades!$T$20="Roche Lobe Overflow",POWER(Upgrades!$U$20,L48),1)*IF(Upgrades!$T$21="Roche Lobe Overflow",POWER(Upgrades!$U$21,M48),1))*POWER(Upgrades!$R$13,E48)*POWER(Upgrades!$R$14,F48)*POWER(Upgrades!$R$15,G48)*POWER(Upgrades!$R$16,H48)*POWER(Upgrades!$R$17,I48)*POWER(Upgrades!$R$18,J48)*POWER(Upgrades!$R$19,K48)*POWER(Upgrades!$R$20,L48)*POWER(Upgrades!$R$21,M48)*$H$6*O48*60</f>
        <v/>
      </c>
      <c r="AE48" s="27">
        <f>(IF(I48=0,0,(Upgrades!$G$17+I48*Upgrades!$H$17)*POWER(Upgrades!$I$17,I48)))*(IF(Upgrades!$T$13="Brown Dwarf",POWER(Upgrades!$U$13,E48),1)*IF(Upgrades!$T$14="Brown Dwarf",POWER(Upgrades!$U$14,F48),1)*IF(Upgrades!$T$15="Brown Dwarf",POWER(Upgrades!$U$15,G48),1)*IF(Upgrades!$T$16="Brown Dwarf",POWER(Upgrades!$U$16,H48),1)*IF(Upgrades!$T$18="Brown Dwarf",POWER(Upgrades!$U$18,J48),1)*IF(Upgrades!$T$19="Brown Dwarf",POWER(Upgrades!$U$19,K48),1)*IF(Upgrades!$T$20="Brown Dwarf",POWER(Upgrades!$U$20,L48),1)*IF(Upgrades!$T$21="Brown Dwarf",POWER(Upgrades!$U$21,M48),1))*POWER(Upgrades!$P$13,E48)*POWER(Upgrades!$P$14,F48)*POWER(Upgrades!$P$15,G48)*POWER(Upgrades!$P$16,H48)*POWER(Upgrades!$P$17,I48)*POWER(Upgrades!$P$18,J48)*POWER(Upgrades!$P$19,K48)*POWER(Upgrades!$P$20,L48)*POWER(Upgrades!$P$21,M48)*$F$6*60</f>
        <v/>
      </c>
      <c r="AF48" s="27" t="n">
        <v>0</v>
      </c>
      <c r="AG48" s="27" t="n">
        <v>0</v>
      </c>
      <c r="AH48" s="27" t="n">
        <v>0</v>
      </c>
      <c r="AI48" s="27">
        <f>(IF(M48=0,0,(Upgrades!$G$21+M48*Upgrades!$H$21)*POWER(Upgrades!$I$21,M48)))*(IF(Upgrades!$T$13="Moving Group",POWER(Upgrades!$U$13,E48),1)*IF(Upgrades!$T$14="Moving Group",POWER(Upgrades!$U$14,F48),1)*IF(Upgrades!$T$15="Moving Group",POWER(Upgrades!$U$15,G48),1)*IF(Upgrades!$T$16="Moving Group",POWER(Upgrades!$U$16,H48),1)*IF(Upgrades!$T$17="Moving Group",POWER(Upgrades!$U$17,I48),1)*IF(Upgrades!$T$18="Moving Group",POWER(Upgrades!$U$18,J48),1)*IF(Upgrades!$T$19="Moving Group",POWER(Upgrades!$U$19,K48),1)*IF(Upgrades!$T$20="Moving Group",POWER(Upgrades!$U$20,L48),1))*POWER(Upgrades!$P$13,E48)*POWER(Upgrades!$P$14,F48)*POWER(Upgrades!$P$15,G48)*POWER(Upgrades!$P$16,H48)*POWER(Upgrades!$P$17,I48)*POWER(Upgrades!$P$18,J48)*POWER(Upgrades!$P$19,K48)*POWER(Upgrades!$P$20,L48)*POWER(Upgrades!$P$21,M48)*$F$6*60</f>
        <v/>
      </c>
      <c r="AJ48" s="27">
        <f>$C$6*60</f>
        <v/>
      </c>
      <c r="AK48" s="22">
        <f>IF(E48&gt;=Upgrades!$E$13,"",Upgrades!$C$13*POWER(Upgrades!$D$13,E48))</f>
        <v/>
      </c>
      <c r="AL48" s="22">
        <f>IF(F48&gt;=Upgrades!$E$14,"",Upgrades!$C$14*POWER(Upgrades!$D$14,F48))</f>
        <v/>
      </c>
      <c r="AM48" s="22">
        <f>IF(G48&gt;=Upgrades!$E$15,"",Upgrades!$C$15*POWER(Upgrades!$D$15,G48))</f>
        <v/>
      </c>
      <c r="AN48" s="22">
        <f>IF(H48&gt;=Upgrades!$E$16,"",Upgrades!$C$16*POWER(Upgrades!$D$16,H48))</f>
        <v/>
      </c>
      <c r="AO48" s="22">
        <f>IF(I48&gt;=Upgrades!$E$17,"",Upgrades!$C$17*POWER(Upgrades!$D$17,I48))</f>
        <v/>
      </c>
      <c r="AP48" s="22">
        <f>IF(J48&gt;=Upgrades!$E$18,"",Upgrades!$C$18*POWER(Upgrades!$D$18,J48))</f>
        <v/>
      </c>
      <c r="AQ48" s="22">
        <f>IF(K48&gt;=Upgrades!$E$19,"",Upgrades!$C$19*POWER(Upgrades!$D$19,K48))</f>
        <v/>
      </c>
      <c r="AR48" s="22">
        <f>IF(L48&gt;=Upgrades!$E$20,"",Upgrades!$C$20*POWER(Upgrades!$D$20,L48))</f>
        <v/>
      </c>
      <c r="AS48" s="22">
        <f>IF(M48&gt;=Upgrades!$E$21,"",Upgrades!$C$21*POWER(Upgrades!$D$21,M48))</f>
        <v/>
      </c>
      <c r="AT48" s="26">
        <f>IF(AND(D48&gt;=Parameters!$B$18*Parameters!$B$19,(I48&gt;=Upgrades!$E$17)*(M48&gt;=Upgrades!$E$21)=1,N48=0),1,"")</f>
        <v/>
      </c>
      <c r="AU48" s="26">
        <f>IF(AND(D48&gt;=Parameters!$B$18*Parameters!$B$19,N48=0),1,"")</f>
        <v/>
      </c>
      <c r="AV48" s="22">
        <f>MIN(IF(ISNUMBER(AP48),AP48,9E15),IF(ISNUMBER(AQ48),AQ48,9E15),IF(ISNUMBER(AR48),AR48,9E15),IF(ISNUMBER(AS48),AS48,9E15))</f>
        <v/>
      </c>
      <c r="AW48" s="22">
        <f>MIN(IF(ISNUMBER(AK48),AK48,9E15),IF(ISNUMBER(AL48),AL48,9E15),IF(ISNUMBER(AM48),AM48,9E15),IF(ISNUMBER(AN48),AN48,9E15),IF(ISNUMBER(AO48),AO48,9E15))</f>
        <v/>
      </c>
      <c r="AX48" s="29">
        <f>IF(BD48&gt;Parameters!$B$21*(MAX(IF(AND(NOT(AND(AU48=1,AT48&lt;&gt;1)),ISNUMBER(AK48),AK48&lt;=(C48+T48)),AY48,0),IF(AND(NOT(AND(AU48=1,AT48&lt;&gt;1)),ISNUMBER(AL48),AL48&lt;=(C48+T48)),AZ48,0),IF(AND(NOT(AND(AU48=1,AT48&lt;&gt;1)),ISNUMBER(AM48),AM48&lt;=(C48+T48)),BA48,0),IF(AND(NOT(AND(AU48=1,AT48&lt;&gt;1)),ISNUMBER(AN48),AN48&lt;=(C48+T48)),BB48,0),IF(AND(ISNUMBER(AO48),AO48&lt;=(C48+T48)),BC48,0))),TRUE,FALSE)</f>
        <v/>
      </c>
      <c r="AY48" s="32">
        <f>IFERROR(Upgrades!$H$13*(POWER(Upgrades!$P$13,E48)*POWER(Upgrades!$P$14,F48)*POWER(Upgrades!$P$15,G48)*POWER(Upgrades!$P$16,H48)*POWER(Upgrades!$P$17,I48)*POWER(Upgrades!$P$18,J48)*POWER(Upgrades!$P$19,K48)*POWER(Upgrades!$P$20,L48)*POWER(Upgrades!$P$21,M48))*(IF(Upgrades!$T$14="Stellar Kinematics",POWER(Upgrades!$U$14,F48),1)*IF(Upgrades!$T$15="Stellar Kinematics",POWER(Upgrades!$U$15,G48),1)*IF(Upgrades!$T$16="Stellar Kinematics",POWER(Upgrades!$U$16,H48),1)*IF(Upgrades!$T$17="Stellar Kinematics",POWER(Upgrades!$U$17,I48),1)*IF(Upgrades!$T$18="Stellar Kinematics",POWER(Upgrades!$U$18,J48),1)*IF(Upgrades!$T$19="Stellar Kinematics",POWER(Upgrades!$U$19,K48),1)*IF(Upgrades!$T$20="Stellar Kinematics",POWER(Upgrades!$U$20,L48),1)*IF(Upgrades!$T$21="Stellar Kinematics",POWER(Upgrades!$U$21,M48),1))*$F$6/AK48,0)</f>
        <v/>
      </c>
      <c r="AZ48" s="32">
        <f>IFERROR(Upgrades!$H$14*(POWER(Upgrades!$P$13,E48)*POWER(Upgrades!$P$14,F48)*POWER(Upgrades!$P$15,G48)*POWER(Upgrades!$P$16,H48)*POWER(Upgrades!$P$17,I48)*POWER(Upgrades!$P$18,J48)*POWER(Upgrades!$P$19,K48)*POWER(Upgrades!$P$20,L48)*POWER(Upgrades!$P$21,M48))*(IF(Upgrades!$T$13="Local Bubble",POWER(Upgrades!$U$13,E48),1)*IF(Upgrades!$T$15="Local Bubble",POWER(Upgrades!$U$15,G48),1)*IF(Upgrades!$T$16="Local Bubble",POWER(Upgrades!$U$16,H48),1)*IF(Upgrades!$T$17="Local Bubble",POWER(Upgrades!$U$17,I48),1)*IF(Upgrades!$T$18="Local Bubble",POWER(Upgrades!$U$18,J48),1)*IF(Upgrades!$T$19="Local Bubble",POWER(Upgrades!$U$19,K48),1)*IF(Upgrades!$T$20="Local Bubble",POWER(Upgrades!$U$20,L48),1)*IF(Upgrades!$T$21="Local Bubble",POWER(Upgrades!$U$21,M48),1))*$F$6/AL48,0)</f>
        <v/>
      </c>
      <c r="BA48" s="32">
        <f>IFERROR(Upgrades!$K$15*(POWER(Upgrades!$Q$13,E48)*POWER(Upgrades!$Q$14,F48)*POWER(Upgrades!$Q$15,G48)*POWER(Upgrades!$Q$16,H48)*POWER(Upgrades!$Q$17,I48)*POWER(Upgrades!$Q$18,J48)*POWER(Upgrades!$Q$19,K48)*POWER(Upgrades!$Q$20,L48)*POWER(Upgrades!$Q$21,M48))*(IF(Upgrades!$T$13="Microlensing",POWER(Upgrades!$U$13,E48),1)*IF(Upgrades!$T$14="Microlensing",POWER(Upgrades!$U$14,F48),1)*IF(Upgrades!$T$16="Microlensing",POWER(Upgrades!$U$16,H48),1)*IF(Upgrades!$T$17="Microlensing",POWER(Upgrades!$U$17,I48),1)*IF(Upgrades!$T$18="Microlensing",POWER(Upgrades!$U$18,J48),1)*IF(Upgrades!$T$19="Microlensing",POWER(Upgrades!$U$19,K48),1)*IF(Upgrades!$T$20="Microlensing",POWER(Upgrades!$U$20,L48),1)*IF(Upgrades!$T$21="Microlensing",POWER(Upgrades!$U$21,M48),1))*$G$6*(Parameters!$B$10/60*Parameters!$B$11+Q48)/AM48,0)</f>
        <v/>
      </c>
      <c r="BB48" s="32">
        <f>IFERROR((Upgrades!$N$16*(POWER(Upgrades!$R$13,E48)*POWER(Upgrades!$R$14,F48)*POWER(Upgrades!$R$15,G48)*POWER(Upgrades!$R$16,H48)*POWER(Upgrades!$R$17,I48)*POWER(Upgrades!$R$18,J48)*POWER(Upgrades!$R$19,K48)*POWER(Upgrades!$R$20,L48)*POWER(Upgrades!$R$21,M48))*(IF(Upgrades!$T$13="Roche Lobe Overflow",POWER(Upgrades!$U$13,E48),1)*IF(Upgrades!$T$14="Roche Lobe Overflow",POWER(Upgrades!$U$14,F48),1)*IF(Upgrades!$T$15="Roche Lobe Overflow",POWER(Upgrades!$U$15,G48),1)*IF(Upgrades!$T$17="Roche Lobe Overflow",POWER(Upgrades!$U$17,I48),1)*IF(Upgrades!$T$18="Roche Lobe Overflow",POWER(Upgrades!$U$18,J48),1)*IF(Upgrades!$T$19="Roche Lobe Overflow",POWER(Upgrades!$U$19,K48),1)*IF(Upgrades!$T$20="Roche Lobe Overflow",POWER(Upgrades!$U$20,L48),1)*IF(Upgrades!$T$21="Roche Lobe Overflow",POWER(Upgrades!$U$21,M48),1))*$H$6*O48+((IF(F48=0,0,(Upgrades!$G$14+F48*Upgrades!$H$14)*POWER(Upgrades!$I$14,F48)))*(IF(Upgrades!$T$13="Local Bubble",POWER(Upgrades!$U$13,E48),1)*IF(Upgrades!$T$15="Local Bubble",POWER(Upgrades!$U$15,G48),1)*IF(Upgrades!$T$16="Local Bubble",POWER(Upgrades!$U$16,H48),1)*IF(Upgrades!$T$17="Local Bubble",POWER(Upgrades!$U$17,I48),1)*IF(Upgrades!$T$18="Local Bubble",POWER(Upgrades!$U$18,J48),1)*IF(Upgrades!$T$19="Local Bubble",POWER(Upgrades!$U$19,K48),1)*IF(Upgrades!$T$20="Local Bubble",POWER(Upgrades!$U$20,L48),1)*IF(Upgrades!$T$21="Local Bubble",POWER(Upgrades!$U$21,M48),1))*POWER(Upgrades!$P$13,E48)*POWER(Upgrades!$P$14,F48)*POWER(Upgrades!$P$15,G48)*POWER(Upgrades!$P$16,H48)*POWER(Upgrades!$P$17,I48)*POWER(Upgrades!$P$18,J48)*POWER(Upgrades!$P$19,K48)*POWER(Upgrades!$P$20,L48)*POWER(Upgrades!$P$21,M48)*$F$6)*0.05)/AN48,0)</f>
        <v/>
      </c>
      <c r="BC48" s="32">
        <f>IFERROR((Upgrades!$H$17*(POWER(Upgrades!$P$13,E48)*POWER(Upgrades!$P$14,F48)*POWER(Upgrades!$P$15,G48)*POWER(Upgrades!$P$16,H48)*POWER(Upgrades!$P$17,I48)*POWER(Upgrades!$P$18,J48)*POWER(Upgrades!$P$19,K48)*POWER(Upgrades!$P$20,L48)*POWER(Upgrades!$P$21,M48))*(IF(Upgrades!$T$13="Brown Dwarf",POWER(Upgrades!$U$13,E48),1)*IF(Upgrades!$T$14="Brown Dwarf",POWER(Upgrades!$U$14,F48),1)*IF(Upgrades!$T$15="Brown Dwarf",POWER(Upgrades!$U$15,G48),1)*IF(Upgrades!$T$16="Brown Dwarf",POWER(Upgrades!$U$16,H48),1)*IF(Upgrades!$T$18="Brown Dwarf",POWER(Upgrades!$U$18,J48),1)*IF(Upgrades!$T$19="Brown Dwarf",POWER(Upgrades!$U$19,K48),1)*IF(Upgrades!$T$20="Brown Dwarf",POWER(Upgrades!$U$20,L48),1)*IF(Upgrades!$T$21="Brown Dwarf",POWER(Upgrades!$U$21,M48),1))*$F$6+(((IF(H48=0,0,(Upgrades!$M$16+H48*Upgrades!$N$16)*POWER(Upgrades!$O$16,H48)))*(IF(Upgrades!$T$13="Roche Lobe Overflow",POWER(Upgrades!$U$13,E48),1)*IF(Upgrades!$T$14="Roche Lobe Overflow",POWER(Upgrades!$U$14,F48),1)*IF(Upgrades!$T$15="Roche Lobe Overflow",POWER(Upgrades!$U$15,G48),1)*IF(Upgrades!$T$17="Roche Lobe Overflow",POWER(Upgrades!$U$17,I48),1)*IF(Upgrades!$T$18="Roche Lobe Overflow",POWER(Upgrades!$U$18,J48),1)*IF(Upgrades!$T$19="Roche Lobe Overflow",POWER(Upgrades!$U$19,K48),1)*IF(Upgrades!$T$20="Roche Lobe Overflow",POWER(Upgrades!$U$20,L48),1)*IF(Upgrades!$T$21="Roche Lobe Overflow",POWER(Upgrades!$U$21,M48),1))*POWER(Upgrades!$R$13,E48)*POWER(Upgrades!$R$14,F48)*POWER(Upgrades!$R$15,G48)*POWER(Upgrades!$R$16,H48)*POWER(Upgrades!$R$17,I48)*POWER(Upgrades!$R$18,J48)*POWER(Upgrades!$R$19,K48)*POWER(Upgrades!$R$20,L48)*POWER(Upgrades!$R$21,M48)*$H$6)*O48)*0.10)/AO48,0)</f>
        <v/>
      </c>
      <c r="BD48" s="32">
        <f>MAX(IF(J48&gt;0,0,IFERROR(0.5*((IF(G48=0,0,(Upgrades!$J$15+G48*Upgrades!$K$15)*POWER(Upgrades!$L$15,G48)))*(IF(Upgrades!$T$13="Microlensing",POWER(Upgrades!$U$13,E48),1)*IF(Upgrades!$T$14="Microlensing",POWER(Upgrades!$U$14,F48),1)*IF(Upgrades!$T$16="Microlensing",POWER(Upgrades!$U$16,H48),1)*IF(Upgrades!$T$17="Microlensing",POWER(Upgrades!$U$17,I48),1)*IF(Upgrades!$T$18="Microlensing",POWER(Upgrades!$U$18,J48),1)*IF(Upgrades!$T$19="Microlensing",POWER(Upgrades!$U$19,K48),1)*IF(Upgrades!$T$20="Microlensing",POWER(Upgrades!$U$20,L48),1)*IF(Upgrades!$T$21="Microlensing",POWER(Upgrades!$U$21,M48),1))*(POWER(Upgrades!$Q$13,E48)*POWER(Upgrades!$Q$14,F48)*POWER(Upgrades!$Q$15,G48)*POWER(Upgrades!$Q$16,H48)*POWER(Upgrades!$Q$17,I48)*POWER(Upgrades!$Q$18,J48)*POWER(Upgrades!$Q$19,K48)*POWER(Upgrades!$Q$20,L48)*POWER(Upgrades!$Q$21,M48))*$G$6*(Parameters!$B$10/60*Parameters!$B$11+Q48))/Upgrades!$C$18,0)),IF(K48&gt;0,0,IFERROR(0.30*P48/Upgrades!$C$19,0)),IF(L48&gt;0,0,IFERROR(0.0001/Upgrades!$C$20,0)),IF(M48&gt;0,0,IFERROR((6.0*(POWER(Upgrades!$P$13,E48)*POWER(Upgrades!$P$14,F48)*POWER(Upgrades!$P$15,G48)*POWER(Upgrades!$P$16,H48)*POWER(Upgrades!$P$17,I48)*POWER(Upgrades!$P$18,J48)*POWER(Upgrades!$P$19,K48)*POWER(Upgrades!$P$20,L48)*POWER(Upgrades!$P$21,M48))*$F$6+0.20*O48*(Parameters!$B$10/60*Parameters!$B$11+Q48))/Upgrades!$C$21,0)),IF(AND(ISNUMBER(AK48),AK48&gt;(C48+T48)),AY48,0),IF(AND(ISNUMBER(AL48),AL48&gt;(C48+T48)),AZ48,0),IF(AND(ISNUMBER(AM48),AM48&gt;(C48+T48)),BA48,0),IF(AND(ISNUMBER(AN48),AN48&gt;(C48+T48)),BB48,0),IF(AND(ISNUMBER(AO48),AO48&gt;(C48+T48)),BC48,0))</f>
        <v/>
      </c>
      <c r="BE48" s="29">
        <f>IF(AT48=1,"transition",IF(MIN(IF(AND(J48=0,ISNUMBER(AP48),AP48&lt;=(C48+T48)),AP48,9E15),IF(AND(K48=0,ISNUMBER(AQ48),AQ48&lt;=(C48+T48)),AQ48,9E15),IF(AND(L48=0,ISNUMBER(AR48),AR48&lt;=(C48+T48)),AR48,9E15),IF(AND(M48=0,ISNUMBER(AS48),AS48&lt;=(C48+T48)),AS48,9E15))&lt;9E15,IF(AND(AND(J48=0,ISNUMBER(AP48),AP48&lt;=(C48+T48)),AP48=MIN(IF(AND(J48=0,ISNUMBER(AP48),AP48&lt;=(C48+T48)),AP48,9E15),IF(AND(K48=0,ISNUMBER(AQ48),AQ48&lt;=(C48+T48)),AQ48,9E15),IF(AND(L48=0,ISNUMBER(AR48),AR48&lt;=(C48+T48)),AR48,9E15),IF(AND(M48=0,ISNUMBER(AS48),AS48&lt;=(C48+T48)),AS48,9E15))),"BiP",IF(AND(AND(K48=0,ISNUMBER(AQ48),AQ48&lt;=(C48+T48)),AQ48=MIN(IF(AND(J48=0,ISNUMBER(AP48),AP48&lt;=(C48+T48)),AP48,9E15),IF(AND(K48=0,ISNUMBER(AQ48),AQ48&lt;=(C48+T48)),AQ48,9E15),IF(AND(L48=0,ISNUMBER(AR48),AR48&lt;=(C48+T48)),AR48,9E15),IF(AND(M48=0,ISNUMBER(AS48),AS48&lt;=(C48+T48)),AS48,9E15))),"PV",IF(AND(AND(L48=0,ISNUMBER(AR48),AR48&lt;=(C48+T48)),AR48=MIN(IF(AND(J48=0,ISNUMBER(AP48),AP48&lt;=(C48+T48)),AP48,9E15),IF(AND(K48=0,ISNUMBER(AQ48),AQ48&lt;=(C48+T48)),AQ48,9E15),IF(AND(L48=0,ISNUMBER(AR48),AR48&lt;=(C48+T48)),AR48,9E15),IF(AND(M48=0,ISNUMBER(AS48),AS48&lt;=(C48+T48)),AS48,9E15))),"OC","MG"))),IF(AX48=TRUE,"",IF(MAX(IF(AND(NOT(AND(AU48=1,AT48&lt;&gt;1)),ISNUMBER(AK48),AK48&lt;=(C48+T48)),AY48,0),IF(AND(NOT(AND(AU48=1,AT48&lt;&gt;1)),ISNUMBER(AL48),AL48&lt;=(C48+T48)),AZ48,0),IF(AND(NOT(AND(AU48=1,AT48&lt;&gt;1)),ISNUMBER(AM48),AM48&lt;=(C48+T48)),BA48,0),IF(AND(NOT(AND(AU48=1,AT48&lt;&gt;1)),ISNUMBER(AN48),AN48&lt;=(C48+T48)),BB48,0),IF(AND(ISNUMBER(AO48),AO48&lt;=(C48+T48)),BC48,0))&lt;=0,"",IF(AND(IF(AND(NOT(AND(AU48=1,AT48&lt;&gt;1)),ISNUMBER(AK48),AK48&lt;=(C48+T48)),AY48,0)&gt;0,IF(AND(NOT(AND(AU48=1,AT48&lt;&gt;1)),ISNUMBER(AK48),AK48&lt;=(C48+T48)),AY48,0)=MAX(IF(AND(NOT(AND(AU48=1,AT48&lt;&gt;1)),ISNUMBER(AK48),AK48&lt;=(C48+T48)),AY48,0),IF(AND(NOT(AND(AU48=1,AT48&lt;&gt;1)),ISNUMBER(AL48),AL48&lt;=(C48+T48)),AZ48,0),IF(AND(NOT(AND(AU48=1,AT48&lt;&gt;1)),ISNUMBER(AM48),AM48&lt;=(C48+T48)),BA48,0),IF(AND(NOT(AND(AU48=1,AT48&lt;&gt;1)),ISNUMBER(AN48),AN48&lt;=(C48+T48)),BB48,0),IF(AND(ISNUMBER(AO48),AO48&lt;=(C48+T48)),BC48,0))),"SK",IF(AND(IF(AND(NOT(AND(AU48=1,AT48&lt;&gt;1)),ISNUMBER(AL48),AL48&lt;=(C48+T48)),AZ48,0)&gt;0,IF(AND(NOT(AND(AU48=1,AT48&lt;&gt;1)),ISNUMBER(AL48),AL48&lt;=(C48+T48)),AZ48,0)=MAX(IF(AND(NOT(AND(AU48=1,AT48&lt;&gt;1)),ISNUMBER(AK48),AK48&lt;=(C48+T48)),AY48,0),IF(AND(NOT(AND(AU48=1,AT48&lt;&gt;1)),ISNUMBER(AL48),AL48&lt;=(C48+T48)),AZ48,0),IF(AND(NOT(AND(AU48=1,AT48&lt;&gt;1)),ISNUMBER(AM48),AM48&lt;=(C48+T48)),BA48,0),IF(AND(NOT(AND(AU48=1,AT48&lt;&gt;1)),ISNUMBER(AN48),AN48&lt;=(C48+T48)),BB48,0),IF(AND(ISNUMBER(AO48),AO48&lt;=(C48+T48)),BC48,0))),"LB",IF(AND(IF(AND(NOT(AND(AU48=1,AT48&lt;&gt;1)),ISNUMBER(AM48),AM48&lt;=(C48+T48)),BA48,0)&gt;0,IF(AND(NOT(AND(AU48=1,AT48&lt;&gt;1)),ISNUMBER(AM48),AM48&lt;=(C48+T48)),BA48,0)=MAX(IF(AND(NOT(AND(AU48=1,AT48&lt;&gt;1)),ISNUMBER(AK48),AK48&lt;=(C48+T48)),AY48,0),IF(AND(NOT(AND(AU48=1,AT48&lt;&gt;1)),ISNUMBER(AL48),AL48&lt;=(C48+T48)),AZ48,0),IF(AND(NOT(AND(AU48=1,AT48&lt;&gt;1)),ISNUMBER(AM48),AM48&lt;=(C48+T48)),BA48,0),IF(AND(NOT(AND(AU48=1,AT48&lt;&gt;1)),ISNUMBER(AN48),AN48&lt;=(C48+T48)),BB48,0),IF(AND(ISNUMBER(AO48),AO48&lt;=(C48+T48)),BC48,0))),"ML",IF(AND(IF(AND(NOT(AND(AU48=1,AT48&lt;&gt;1)),ISNUMBER(AN48),AN48&lt;=(C48+T48)),BB48,0)&gt;0,IF(AND(NOT(AND(AU48=1,AT48&lt;&gt;1)),ISNUMBER(AN48),AN48&lt;=(C48+T48)),BB48,0)=MAX(IF(AND(NOT(AND(AU48=1,AT48&lt;&gt;1)),ISNUMBER(AK48),AK48&lt;=(C48+T48)),AY48,0),IF(AND(NOT(AND(AU48=1,AT48&lt;&gt;1)),ISNUMBER(AL48),AL48&lt;=(C48+T48)),AZ48,0),IF(AND(NOT(AND(AU48=1,AT48&lt;&gt;1)),ISNUMBER(AM48),AM48&lt;=(C48+T48)),BA48,0),IF(AND(NOT(AND(AU48=1,AT48&lt;&gt;1)),ISNUMBER(AN48),AN48&lt;=(C48+T48)),BB48,0),IF(AND(ISNUMBER(AO48),AO48&lt;=(C48+T48)),BC48,0))),"RLO","BD"))))))))</f>
        <v/>
      </c>
    </row>
    <row r="49">
      <c r="A49" s="26" t="n">
        <v>38</v>
      </c>
      <c r="B49" s="27">
        <f>A49*10/60</f>
        <v/>
      </c>
      <c r="C49" s="22">
        <f>X48</f>
        <v/>
      </c>
      <c r="D49" s="27">
        <f>D48+W48</f>
        <v/>
      </c>
      <c r="E49" s="26">
        <f>E48+IF(U48="SK",1,0)</f>
        <v/>
      </c>
      <c r="F49" s="26">
        <f>F48+IF(U48="LB",1,0)</f>
        <v/>
      </c>
      <c r="G49" s="26">
        <f>G48+IF(U48="ML",1,0)</f>
        <v/>
      </c>
      <c r="H49" s="26">
        <f>H48+IF(U48="RLO",1,0)</f>
        <v/>
      </c>
      <c r="I49" s="26">
        <f>I48+IF(U48="BD",1,0)</f>
        <v/>
      </c>
      <c r="J49" s="26">
        <f>MAX(J48,IF(U48="BiP",1,0))</f>
        <v/>
      </c>
      <c r="K49" s="26">
        <f>MAX(K48,IF(U48="PV",1,0))</f>
        <v/>
      </c>
      <c r="L49" s="26">
        <f>MAX(L48,IF(U48="OC",1,0))</f>
        <v/>
      </c>
      <c r="M49" s="26">
        <f>MAX(M48,IF(U48="MG",1,0))</f>
        <v/>
      </c>
      <c r="N49" s="26">
        <f>MAX(N48,IF(U48="transition",1,0))</f>
        <v/>
      </c>
      <c r="O49" s="28">
        <f>(Parameters!$B$9+(IF(E49=0,0,(Upgrades!$J$13+E49*Upgrades!$K$13)*POWER(Upgrades!$L$13,E49)))*(IF(Upgrades!$T$14="Stellar Kinematics",POWER(Upgrades!$U$14,F49),1)*IF(Upgrades!$T$15="Stellar Kinematics",POWER(Upgrades!$U$15,G49),1)*IF(Upgrades!$T$16="Stellar Kinematics",POWER(Upgrades!$U$16,H49),1)*IF(Upgrades!$T$17="Stellar Kinematics",POWER(Upgrades!$U$17,I49),1)*IF(Upgrades!$T$18="Stellar Kinematics",POWER(Upgrades!$U$18,J49),1)*IF(Upgrades!$T$19="Stellar Kinematics",POWER(Upgrades!$U$19,K49),1)*IF(Upgrades!$T$20="Stellar Kinematics",POWER(Upgrades!$U$20,L49),1)*IF(Upgrades!$T$21="Stellar Kinematics",POWER(Upgrades!$U$21,M49),1))+(IF(F49=0,0,(Upgrades!$J$14+F49*Upgrades!$K$14)*POWER(Upgrades!$L$14,F49)))*(IF(Upgrades!$T$13="Local Bubble",POWER(Upgrades!$U$13,E49),1)*IF(Upgrades!$T$15="Local Bubble",POWER(Upgrades!$U$15,G49),1)*IF(Upgrades!$T$16="Local Bubble",POWER(Upgrades!$U$16,H49),1)*IF(Upgrades!$T$17="Local Bubble",POWER(Upgrades!$U$17,I49),1)*IF(Upgrades!$T$18="Local Bubble",POWER(Upgrades!$U$18,J49),1)*IF(Upgrades!$T$19="Local Bubble",POWER(Upgrades!$U$19,K49),1)*IF(Upgrades!$T$20="Local Bubble",POWER(Upgrades!$U$20,L49),1)*IF(Upgrades!$T$21="Local Bubble",POWER(Upgrades!$U$21,M49),1))+(IF(G49=0,0,(Upgrades!$J$15+G49*Upgrades!$K$15)*POWER(Upgrades!$L$15,G49)))*(IF(Upgrades!$T$13="Microlensing",POWER(Upgrades!$U$13,E49),1)*IF(Upgrades!$T$14="Microlensing",POWER(Upgrades!$U$14,F49),1)*IF(Upgrades!$T$16="Microlensing",POWER(Upgrades!$U$16,H49),1)*IF(Upgrades!$T$17="Microlensing",POWER(Upgrades!$U$17,I49),1)*IF(Upgrades!$T$18="Microlensing",POWER(Upgrades!$U$18,J49),1)*IF(Upgrades!$T$19="Microlensing",POWER(Upgrades!$U$19,K49),1)*IF(Upgrades!$T$20="Microlensing",POWER(Upgrades!$U$20,L49),1)*IF(Upgrades!$T$21="Microlensing",POWER(Upgrades!$U$21,M49),1))+(IF(H49=0,0,(Upgrades!$J$16+H49*Upgrades!$K$16)*POWER(Upgrades!$L$16,H49)))*(IF(Upgrades!$T$13="Roche Lobe Overflow",POWER(Upgrades!$U$13,E49),1)*IF(Upgrades!$T$14="Roche Lobe Overflow",POWER(Upgrades!$U$14,F49),1)*IF(Upgrades!$T$15="Roche Lobe Overflow",POWER(Upgrades!$U$15,G49),1)*IF(Upgrades!$T$17="Roche Lobe Overflow",POWER(Upgrades!$U$17,I49),1)*IF(Upgrades!$T$18="Roche Lobe Overflow",POWER(Upgrades!$U$18,J49),1)*IF(Upgrades!$T$19="Roche Lobe Overflow",POWER(Upgrades!$U$19,K49),1)*IF(Upgrades!$T$20="Roche Lobe Overflow",POWER(Upgrades!$U$20,L49),1)*IF(Upgrades!$T$21="Roche Lobe Overflow",POWER(Upgrades!$U$21,M49),1))+(IF(I49=0,0,(Upgrades!$J$17+I49*Upgrades!$K$17)*POWER(Upgrades!$L$17,I49)))*(IF(Upgrades!$T$13="Brown Dwarf",POWER(Upgrades!$U$13,E49),1)*IF(Upgrades!$T$14="Brown Dwarf",POWER(Upgrades!$U$14,F49),1)*IF(Upgrades!$T$15="Brown Dwarf",POWER(Upgrades!$U$15,G49),1)*IF(Upgrades!$T$16="Brown Dwarf",POWER(Upgrades!$U$16,H49),1)*IF(Upgrades!$T$18="Brown Dwarf",POWER(Upgrades!$U$18,J49),1)*IF(Upgrades!$T$19="Brown Dwarf",POWER(Upgrades!$U$19,K49),1)*IF(Upgrades!$T$20="Brown Dwarf",POWER(Upgrades!$U$20,L49),1)*IF(Upgrades!$T$21="Brown Dwarf",POWER(Upgrades!$U$21,M49),1))+(IF(J49=0,0,(Upgrades!$J$18+J49*Upgrades!$K$18)*POWER(Upgrades!$L$18,J49)))*(IF(Upgrades!$T$13="Binary Partner",POWER(Upgrades!$U$13,E49),1)*IF(Upgrades!$T$14="Binary Partner",POWER(Upgrades!$U$14,F49),1)*IF(Upgrades!$T$15="Binary Partner",POWER(Upgrades!$U$15,G49),1)*IF(Upgrades!$T$16="Binary Partner",POWER(Upgrades!$U$16,H49),1)*IF(Upgrades!$T$17="Binary Partner",POWER(Upgrades!$U$17,I49),1)*IF(Upgrades!$T$19="Binary Partner",POWER(Upgrades!$U$19,K49),1)*IF(Upgrades!$T$20="Binary Partner",POWER(Upgrades!$U$20,L49),1)*IF(Upgrades!$T$21="Binary Partner",POWER(Upgrades!$U$21,M49),1))+(IF(K49=0,0,(Upgrades!$J$19+K49*Upgrades!$K$19)*POWER(Upgrades!$L$19,K49)))*(IF(Upgrades!$T$13="Peculiar Velocity",POWER(Upgrades!$U$13,E49),1)*IF(Upgrades!$T$14="Peculiar Velocity",POWER(Upgrades!$U$14,F49),1)*IF(Upgrades!$T$15="Peculiar Velocity",POWER(Upgrades!$U$15,G49),1)*IF(Upgrades!$T$16="Peculiar Velocity",POWER(Upgrades!$U$16,H49),1)*IF(Upgrades!$T$17="Peculiar Velocity",POWER(Upgrades!$U$17,I49),1)*IF(Upgrades!$T$18="Peculiar Velocity",POWER(Upgrades!$U$18,J49),1)*IF(Upgrades!$T$20="Peculiar Velocity",POWER(Upgrades!$U$20,L49),1)*IF(Upgrades!$T$21="Peculiar Velocity",POWER(Upgrades!$U$21,M49),1))+(IF(L49=0,0,(Upgrades!$J$20+L49*Upgrades!$K$20)*POWER(Upgrades!$L$20,L49)))*(IF(Upgrades!$T$13="Open Cluster",POWER(Upgrades!$U$13,E49),1)*IF(Upgrades!$T$14="Open Cluster",POWER(Upgrades!$U$14,F49),1)*IF(Upgrades!$T$15="Open Cluster",POWER(Upgrades!$U$15,G49),1)*IF(Upgrades!$T$16="Open Cluster",POWER(Upgrades!$U$16,H49),1)*IF(Upgrades!$T$17="Open Cluster",POWER(Upgrades!$U$17,I49),1)*IF(Upgrades!$T$18="Open Cluster",POWER(Upgrades!$U$18,J49),1)*IF(Upgrades!$T$19="Open Cluster",POWER(Upgrades!$U$19,K49),1)*IF(Upgrades!$T$21="Open Cluster",POWER(Upgrades!$U$21,M49),1))+(IF(M49=0,0,(Upgrades!$J$21+M49*Upgrades!$K$21)*POWER(Upgrades!$L$21,M49)))*(IF(Upgrades!$T$13="Moving Group",POWER(Upgrades!$U$13,E49),1)*IF(Upgrades!$T$14="Moving Group",POWER(Upgrades!$U$14,F49),1)*IF(Upgrades!$T$15="Moving Group",POWER(Upgrades!$U$15,G49),1)*IF(Upgrades!$T$16="Moving Group",POWER(Upgrades!$U$16,H49),1)*IF(Upgrades!$T$17="Moving Group",POWER(Upgrades!$U$17,I49),1)*IF(Upgrades!$T$18="Moving Group",POWER(Upgrades!$U$18,J49),1)*IF(Upgrades!$T$19="Moving Group",POWER(Upgrades!$U$19,K49),1)*IF(Upgrades!$T$20="Moving Group",POWER(Upgrades!$U$20,L49),1)))*POWER(Upgrades!$Q$13,E49)*POWER(Upgrades!$Q$14,F49)*POWER(Upgrades!$Q$15,G49)*POWER(Upgrades!$Q$16,H49)*POWER(Upgrades!$Q$17,I49)*POWER(Upgrades!$Q$18,J49)*POWER(Upgrades!$Q$19,K49)*POWER(Upgrades!$Q$20,L49)*POWER(Upgrades!$Q$21,M49)*$G$6+$D$6</f>
        <v/>
      </c>
      <c r="P49" s="28">
        <f>((IF(E49=0,0,(Upgrades!$G$13+E49*Upgrades!$H$13)*POWER(Upgrades!$I$13,E49)))*(IF(Upgrades!$T$14="Stellar Kinematics",POWER(Upgrades!$U$14,F49),1)*IF(Upgrades!$T$15="Stellar Kinematics",POWER(Upgrades!$U$15,G49),1)*IF(Upgrades!$T$16="Stellar Kinematics",POWER(Upgrades!$U$16,H49),1)*IF(Upgrades!$T$17="Stellar Kinematics",POWER(Upgrades!$U$17,I49),1)*IF(Upgrades!$T$18="Stellar Kinematics",POWER(Upgrades!$U$18,J49),1)*IF(Upgrades!$T$19="Stellar Kinematics",POWER(Upgrades!$U$19,K49),1)*IF(Upgrades!$T$20="Stellar Kinematics",POWER(Upgrades!$U$20,L49),1)*IF(Upgrades!$T$21="Stellar Kinematics",POWER(Upgrades!$U$21,M49),1))+(IF(F49=0,0,(Upgrades!$G$14+F49*Upgrades!$H$14)*POWER(Upgrades!$I$14,F49)))*(IF(Upgrades!$T$13="Local Bubble",POWER(Upgrades!$U$13,E49),1)*IF(Upgrades!$T$15="Local Bubble",POWER(Upgrades!$U$15,G49),1)*IF(Upgrades!$T$16="Local Bubble",POWER(Upgrades!$U$16,H49),1)*IF(Upgrades!$T$17="Local Bubble",POWER(Upgrades!$U$17,I49),1)*IF(Upgrades!$T$18="Local Bubble",POWER(Upgrades!$U$18,J49),1)*IF(Upgrades!$T$19="Local Bubble",POWER(Upgrades!$U$19,K49),1)*IF(Upgrades!$T$20="Local Bubble",POWER(Upgrades!$U$20,L49),1)*IF(Upgrades!$T$21="Local Bubble",POWER(Upgrades!$U$21,M49),1))+(IF(G49=0,0,(Upgrades!$G$15+G49*Upgrades!$H$15)*POWER(Upgrades!$I$15,G49)))*(IF(Upgrades!$T$13="Microlensing",POWER(Upgrades!$U$13,E49),1)*IF(Upgrades!$T$14="Microlensing",POWER(Upgrades!$U$14,F49),1)*IF(Upgrades!$T$16="Microlensing",POWER(Upgrades!$U$16,H49),1)*IF(Upgrades!$T$17="Microlensing",POWER(Upgrades!$U$17,I49),1)*IF(Upgrades!$T$18="Microlensing",POWER(Upgrades!$U$18,J49),1)*IF(Upgrades!$T$19="Microlensing",POWER(Upgrades!$U$19,K49),1)*IF(Upgrades!$T$20="Microlensing",POWER(Upgrades!$U$20,L49),1)*IF(Upgrades!$T$21="Microlensing",POWER(Upgrades!$U$21,M49),1))+(IF(H49=0,0,(Upgrades!$G$16+H49*Upgrades!$H$16)*POWER(Upgrades!$I$16,H49)))*(IF(Upgrades!$T$13="Roche Lobe Overflow",POWER(Upgrades!$U$13,E49),1)*IF(Upgrades!$T$14="Roche Lobe Overflow",POWER(Upgrades!$U$14,F49),1)*IF(Upgrades!$T$15="Roche Lobe Overflow",POWER(Upgrades!$U$15,G49),1)*IF(Upgrades!$T$17="Roche Lobe Overflow",POWER(Upgrades!$U$17,I49),1)*IF(Upgrades!$T$18="Roche Lobe Overflow",POWER(Upgrades!$U$18,J49),1)*IF(Upgrades!$T$19="Roche Lobe Overflow",POWER(Upgrades!$U$19,K49),1)*IF(Upgrades!$T$20="Roche Lobe Overflow",POWER(Upgrades!$U$20,L49),1)*IF(Upgrades!$T$21="Roche Lobe Overflow",POWER(Upgrades!$U$21,M49),1))+(IF(I49=0,0,(Upgrades!$G$17+I49*Upgrades!$H$17)*POWER(Upgrades!$I$17,I49)))*(IF(Upgrades!$T$13="Brown Dwarf",POWER(Upgrades!$U$13,E49),1)*IF(Upgrades!$T$14="Brown Dwarf",POWER(Upgrades!$U$14,F49),1)*IF(Upgrades!$T$15="Brown Dwarf",POWER(Upgrades!$U$15,G49),1)*IF(Upgrades!$T$16="Brown Dwarf",POWER(Upgrades!$U$16,H49),1)*IF(Upgrades!$T$18="Brown Dwarf",POWER(Upgrades!$U$18,J49),1)*IF(Upgrades!$T$19="Brown Dwarf",POWER(Upgrades!$U$19,K49),1)*IF(Upgrades!$T$20="Brown Dwarf",POWER(Upgrades!$U$20,L49),1)*IF(Upgrades!$T$21="Brown Dwarf",POWER(Upgrades!$U$21,M49),1))+(IF(J49=0,0,(Upgrades!$G$18+J49*Upgrades!$H$18)*POWER(Upgrades!$I$18,J49)))*(IF(Upgrades!$T$13="Binary Partner",POWER(Upgrades!$U$13,E49),1)*IF(Upgrades!$T$14="Binary Partner",POWER(Upgrades!$U$14,F49),1)*IF(Upgrades!$T$15="Binary Partner",POWER(Upgrades!$U$15,G49),1)*IF(Upgrades!$T$16="Binary Partner",POWER(Upgrades!$U$16,H49),1)*IF(Upgrades!$T$17="Binary Partner",POWER(Upgrades!$U$17,I49),1)*IF(Upgrades!$T$19="Binary Partner",POWER(Upgrades!$U$19,K49),1)*IF(Upgrades!$T$20="Binary Partner",POWER(Upgrades!$U$20,L49),1)*IF(Upgrades!$T$21="Binary Partner",POWER(Upgrades!$U$21,M49),1))+(IF(K49=0,0,(Upgrades!$G$19+K49*Upgrades!$H$19)*POWER(Upgrades!$I$19,K49)))*(IF(Upgrades!$T$13="Peculiar Velocity",POWER(Upgrades!$U$13,E49),1)*IF(Upgrades!$T$14="Peculiar Velocity",POWER(Upgrades!$U$14,F49),1)*IF(Upgrades!$T$15="Peculiar Velocity",POWER(Upgrades!$U$15,G49),1)*IF(Upgrades!$T$16="Peculiar Velocity",POWER(Upgrades!$U$16,H49),1)*IF(Upgrades!$T$17="Peculiar Velocity",POWER(Upgrades!$U$17,I49),1)*IF(Upgrades!$T$18="Peculiar Velocity",POWER(Upgrades!$U$18,J49),1)*IF(Upgrades!$T$20="Peculiar Velocity",POWER(Upgrades!$U$20,L49),1)*IF(Upgrades!$T$21="Peculiar Velocity",POWER(Upgrades!$U$21,M49),1))+(IF(L49=0,0,(Upgrades!$G$20+L49*Upgrades!$H$20)*POWER(Upgrades!$I$20,L49)))*(IF(Upgrades!$T$13="Open Cluster",POWER(Upgrades!$U$13,E49),1)*IF(Upgrades!$T$14="Open Cluster",POWER(Upgrades!$U$14,F49),1)*IF(Upgrades!$T$15="Open Cluster",POWER(Upgrades!$U$15,G49),1)*IF(Upgrades!$T$16="Open Cluster",POWER(Upgrades!$U$16,H49),1)*IF(Upgrades!$T$17="Open Cluster",POWER(Upgrades!$U$17,I49),1)*IF(Upgrades!$T$18="Open Cluster",POWER(Upgrades!$U$18,J49),1)*IF(Upgrades!$T$19="Open Cluster",POWER(Upgrades!$U$19,K49),1)*IF(Upgrades!$T$21="Open Cluster",POWER(Upgrades!$U$21,M49),1))+(IF(M49=0,0,(Upgrades!$G$21+M49*Upgrades!$H$21)*POWER(Upgrades!$I$21,M49)))*(IF(Upgrades!$T$13="Moving Group",POWER(Upgrades!$U$13,E49),1)*IF(Upgrades!$T$14="Moving Group",POWER(Upgrades!$U$14,F49),1)*IF(Upgrades!$T$15="Moving Group",POWER(Upgrades!$U$15,G49),1)*IF(Upgrades!$T$16="Moving Group",POWER(Upgrades!$U$16,H49),1)*IF(Upgrades!$T$17="Moving Group",POWER(Upgrades!$U$17,I49),1)*IF(Upgrades!$T$18="Moving Group",POWER(Upgrades!$U$18,J49),1)*IF(Upgrades!$T$19="Moving Group",POWER(Upgrades!$U$19,K49),1)*IF(Upgrades!$T$20="Moving Group",POWER(Upgrades!$U$20,L49),1)))*POWER(Upgrades!$P$13,E49)*POWER(Upgrades!$P$14,F49)*POWER(Upgrades!$P$15,G49)*POWER(Upgrades!$P$16,H49)*POWER(Upgrades!$P$17,I49)*POWER(Upgrades!$P$18,J49)*POWER(Upgrades!$P$19,K49)*POWER(Upgrades!$P$20,L49)*POWER(Upgrades!$P$21,M49)*$F$6+$C$6</f>
        <v/>
      </c>
      <c r="Q49" s="28">
        <f>((IF(E49=0,0,(Upgrades!$M$13+E49*Upgrades!$N$13)*POWER(Upgrades!$O$13,E49)))*(IF(Upgrades!$T$14="Stellar Kinematics",POWER(Upgrades!$U$14,F49),1)*IF(Upgrades!$T$15="Stellar Kinematics",POWER(Upgrades!$U$15,G49),1)*IF(Upgrades!$T$16="Stellar Kinematics",POWER(Upgrades!$U$16,H49),1)*IF(Upgrades!$T$17="Stellar Kinematics",POWER(Upgrades!$U$17,I49),1)*IF(Upgrades!$T$18="Stellar Kinematics",POWER(Upgrades!$U$18,J49),1)*IF(Upgrades!$T$19="Stellar Kinematics",POWER(Upgrades!$U$19,K49),1)*IF(Upgrades!$T$20="Stellar Kinematics",POWER(Upgrades!$U$20,L49),1)*IF(Upgrades!$T$21="Stellar Kinematics",POWER(Upgrades!$U$21,M49),1))+(IF(F49=0,0,(Upgrades!$M$14+F49*Upgrades!$N$14)*POWER(Upgrades!$O$14,F49)))*(IF(Upgrades!$T$13="Local Bubble",POWER(Upgrades!$U$13,E49),1)*IF(Upgrades!$T$15="Local Bubble",POWER(Upgrades!$U$15,G49),1)*IF(Upgrades!$T$16="Local Bubble",POWER(Upgrades!$U$16,H49),1)*IF(Upgrades!$T$17="Local Bubble",POWER(Upgrades!$U$17,I49),1)*IF(Upgrades!$T$18="Local Bubble",POWER(Upgrades!$U$18,J49),1)*IF(Upgrades!$T$19="Local Bubble",POWER(Upgrades!$U$19,K49),1)*IF(Upgrades!$T$20="Local Bubble",POWER(Upgrades!$U$20,L49),1)*IF(Upgrades!$T$21="Local Bubble",POWER(Upgrades!$U$21,M49),1))+(IF(G49=0,0,(Upgrades!$M$15+G49*Upgrades!$N$15)*POWER(Upgrades!$O$15,G49)))*(IF(Upgrades!$T$13="Microlensing",POWER(Upgrades!$U$13,E49),1)*IF(Upgrades!$T$14="Microlensing",POWER(Upgrades!$U$14,F49),1)*IF(Upgrades!$T$16="Microlensing",POWER(Upgrades!$U$16,H49),1)*IF(Upgrades!$T$17="Microlensing",POWER(Upgrades!$U$17,I49),1)*IF(Upgrades!$T$18="Microlensing",POWER(Upgrades!$U$18,J49),1)*IF(Upgrades!$T$19="Microlensing",POWER(Upgrades!$U$19,K49),1)*IF(Upgrades!$T$20="Microlensing",POWER(Upgrades!$U$20,L49),1)*IF(Upgrades!$T$21="Microlensing",POWER(Upgrades!$U$21,M49),1))+(IF(H49=0,0,(Upgrades!$M$16+H49*Upgrades!$N$16)*POWER(Upgrades!$O$16,H49)))*(IF(Upgrades!$T$13="Roche Lobe Overflow",POWER(Upgrades!$U$13,E49),1)*IF(Upgrades!$T$14="Roche Lobe Overflow",POWER(Upgrades!$U$14,F49),1)*IF(Upgrades!$T$15="Roche Lobe Overflow",POWER(Upgrades!$U$15,G49),1)*IF(Upgrades!$T$17="Roche Lobe Overflow",POWER(Upgrades!$U$17,I49),1)*IF(Upgrades!$T$18="Roche Lobe Overflow",POWER(Upgrades!$U$18,J49),1)*IF(Upgrades!$T$19="Roche Lobe Overflow",POWER(Upgrades!$U$19,K49),1)*IF(Upgrades!$T$20="Roche Lobe Overflow",POWER(Upgrades!$U$20,L49),1)*IF(Upgrades!$T$21="Roche Lobe Overflow",POWER(Upgrades!$U$21,M49),1))+(IF(I49=0,0,(Upgrades!$M$17+I49*Upgrades!$N$17)*POWER(Upgrades!$O$17,I49)))*(IF(Upgrades!$T$13="Brown Dwarf",POWER(Upgrades!$U$13,E49),1)*IF(Upgrades!$T$14="Brown Dwarf",POWER(Upgrades!$U$14,F49),1)*IF(Upgrades!$T$15="Brown Dwarf",POWER(Upgrades!$U$15,G49),1)*IF(Upgrades!$T$16="Brown Dwarf",POWER(Upgrades!$U$16,H49),1)*IF(Upgrades!$T$18="Brown Dwarf",POWER(Upgrades!$U$18,J49),1)*IF(Upgrades!$T$19="Brown Dwarf",POWER(Upgrades!$U$19,K49),1)*IF(Upgrades!$T$20="Brown Dwarf",POWER(Upgrades!$U$20,L49),1)*IF(Upgrades!$T$21="Brown Dwarf",POWER(Upgrades!$U$21,M49),1))+(IF(J49=0,0,(Upgrades!$M$18+J49*Upgrades!$N$18)*POWER(Upgrades!$O$18,J49)))*(IF(Upgrades!$T$13="Binary Partner",POWER(Upgrades!$U$13,E49),1)*IF(Upgrades!$T$14="Binary Partner",POWER(Upgrades!$U$14,F49),1)*IF(Upgrades!$T$15="Binary Partner",POWER(Upgrades!$U$15,G49),1)*IF(Upgrades!$T$16="Binary Partner",POWER(Upgrades!$U$16,H49),1)*IF(Upgrades!$T$17="Binary Partner",POWER(Upgrades!$U$17,I49),1)*IF(Upgrades!$T$19="Binary Partner",POWER(Upgrades!$U$19,K49),1)*IF(Upgrades!$T$20="Binary Partner",POWER(Upgrades!$U$20,L49),1)*IF(Upgrades!$T$21="Binary Partner",POWER(Upgrades!$U$21,M49),1))+(IF(K49=0,0,(Upgrades!$M$19+K49*Upgrades!$N$19)*POWER(Upgrades!$O$19,K49)))*(IF(Upgrades!$T$13="Peculiar Velocity",POWER(Upgrades!$U$13,E49),1)*IF(Upgrades!$T$14="Peculiar Velocity",POWER(Upgrades!$U$14,F49),1)*IF(Upgrades!$T$15="Peculiar Velocity",POWER(Upgrades!$U$15,G49),1)*IF(Upgrades!$T$16="Peculiar Velocity",POWER(Upgrades!$U$16,H49),1)*IF(Upgrades!$T$17="Peculiar Velocity",POWER(Upgrades!$U$17,I49),1)*IF(Upgrades!$T$18="Peculiar Velocity",POWER(Upgrades!$U$18,J49),1)*IF(Upgrades!$T$20="Peculiar Velocity",POWER(Upgrades!$U$20,L49),1)*IF(Upgrades!$T$21="Peculiar Velocity",POWER(Upgrades!$U$21,M49),1))+(IF(L49=0,0,(Upgrades!$M$20+L49*Upgrades!$N$20)*POWER(Upgrades!$O$20,L49)))*(IF(Upgrades!$T$13="Open Cluster",POWER(Upgrades!$U$13,E49),1)*IF(Upgrades!$T$14="Open Cluster",POWER(Upgrades!$U$14,F49),1)*IF(Upgrades!$T$15="Open Cluster",POWER(Upgrades!$U$15,G49),1)*IF(Upgrades!$T$16="Open Cluster",POWER(Upgrades!$U$16,H49),1)*IF(Upgrades!$T$17="Open Cluster",POWER(Upgrades!$U$17,I49),1)*IF(Upgrades!$T$18="Open Cluster",POWER(Upgrades!$U$18,J49),1)*IF(Upgrades!$T$19="Open Cluster",POWER(Upgrades!$U$19,K49),1)*IF(Upgrades!$T$21="Open Cluster",POWER(Upgrades!$U$21,M49),1))+(IF(M49=0,0,(Upgrades!$M$21+M49*Upgrades!$N$21)*POWER(Upgrades!$O$21,M49)))*(IF(Upgrades!$T$13="Moving Group",POWER(Upgrades!$U$13,E49),1)*IF(Upgrades!$T$14="Moving Group",POWER(Upgrades!$U$14,F49),1)*IF(Upgrades!$T$15="Moving Group",POWER(Upgrades!$U$15,G49),1)*IF(Upgrades!$T$16="Moving Group",POWER(Upgrades!$U$16,H49),1)*IF(Upgrades!$T$17="Moving Group",POWER(Upgrades!$U$17,I49),1)*IF(Upgrades!$T$18="Moving Group",POWER(Upgrades!$U$18,J49),1)*IF(Upgrades!$T$19="Moving Group",POWER(Upgrades!$U$19,K49),1)*IF(Upgrades!$T$20="Moving Group",POWER(Upgrades!$U$20,L49),1)))*POWER(Upgrades!$R$13,E49)*POWER(Upgrades!$R$14,F49)*POWER(Upgrades!$R$15,G49)*POWER(Upgrades!$R$16,H49)*POWER(Upgrades!$R$17,I49)*POWER(Upgrades!$R$18,J49)*POWER(Upgrades!$R$19,K49)*POWER(Upgrades!$R$20,L49)*POWER(Upgrades!$R$21,M49)*$H$6+$E$6</f>
        <v/>
      </c>
      <c r="R49" s="27">
        <f>IF(N49=1,0,O49*Parameters!$B$10/60*Parameters!$B$11*10)</f>
        <v/>
      </c>
      <c r="S49" s="27">
        <f>IF(N49=1,0,Q49*O49*10)</f>
        <v/>
      </c>
      <c r="T49" s="27">
        <f>IF(N49=1,0,R49+S49+P49*10)</f>
        <v/>
      </c>
      <c r="U49" s="33">
        <f>BE49</f>
        <v/>
      </c>
      <c r="V49" s="22">
        <f>IF(U49="",0,IF(U49="transition",0,IF(U49="SK",AK49,IF(U49="LB",AL49,IF(U49="ML",AM49,IF(U49="RLO",AN49,IF(U49="BD",AO49,IF(U49="BiP",AP49,IF(U49="PV",AQ49,IF(U49="OC",AR49,IF(U49="MG",AS49,0))))))))))</f>
        <v/>
      </c>
      <c r="W49" s="27">
        <f>IF(U49="BiP",Upgrades!$F$18,IF(U49="PV",Upgrades!$F$19,IF(U49="OC",Upgrades!$F$20,IF(U49="MG",Upgrades!$F$21,IF(U49="transition",-Parameters!$B$18*Parameters!$B$19,0)))))</f>
        <v/>
      </c>
      <c r="X49" s="22">
        <f>C49+T49-V49</f>
        <v/>
      </c>
      <c r="Y49" s="30">
        <f>O49*Parameters!$B$10/60*Parameters!$B$11+Q49*O49+P49</f>
        <v/>
      </c>
      <c r="Z49" s="34">
        <f>IF(U49="transition","→ Tier 3 (Galactic Arm)",IF(U49="MG","Moving Group — pocket drifts together",IF(U49="OC","Open Cluster acquired",IF(U49="PV","Peculiar Velocity — passive multiplier active",IF(U49="BiP","Binary Partner — pair bond formed",IF(AND(AU49=1,N49=0,AT49&lt;&gt;1),"Cohesion ready (waiting on completionists)","")))))) </f>
        <v/>
      </c>
      <c r="AA49" s="27">
        <f>(IF(E49=0,0,(Upgrades!$G$13+E49*Upgrades!$H$13)*POWER(Upgrades!$I$13,E49)))*(IF(Upgrades!$T$14="Stellar Kinematics",POWER(Upgrades!$U$14,F49),1)*IF(Upgrades!$T$15="Stellar Kinematics",POWER(Upgrades!$U$15,G49),1)*IF(Upgrades!$T$16="Stellar Kinematics",POWER(Upgrades!$U$16,H49),1)*IF(Upgrades!$T$17="Stellar Kinematics",POWER(Upgrades!$U$17,I49),1)*IF(Upgrades!$T$18="Stellar Kinematics",POWER(Upgrades!$U$18,J49),1)*IF(Upgrades!$T$19="Stellar Kinematics",POWER(Upgrades!$U$19,K49),1)*IF(Upgrades!$T$20="Stellar Kinematics",POWER(Upgrades!$U$20,L49),1)*IF(Upgrades!$T$21="Stellar Kinematics",POWER(Upgrades!$U$21,M49),1))*POWER(Upgrades!$P$13,E49)*POWER(Upgrades!$P$14,F49)*POWER(Upgrades!$P$15,G49)*POWER(Upgrades!$P$16,H49)*POWER(Upgrades!$P$17,I49)*POWER(Upgrades!$P$18,J49)*POWER(Upgrades!$P$19,K49)*POWER(Upgrades!$P$20,L49)*POWER(Upgrades!$P$21,M49)*$F$6*60</f>
        <v/>
      </c>
      <c r="AB49" s="27">
        <f>(IF(F49=0,0,(Upgrades!$G$14+F49*Upgrades!$H$14)*POWER(Upgrades!$I$14,F49)))*(IF(Upgrades!$T$13="Local Bubble",POWER(Upgrades!$U$13,E49),1)*IF(Upgrades!$T$15="Local Bubble",POWER(Upgrades!$U$15,G49),1)*IF(Upgrades!$T$16="Local Bubble",POWER(Upgrades!$U$16,H49),1)*IF(Upgrades!$T$17="Local Bubble",POWER(Upgrades!$U$17,I49),1)*IF(Upgrades!$T$18="Local Bubble",POWER(Upgrades!$U$18,J49),1)*IF(Upgrades!$T$19="Local Bubble",POWER(Upgrades!$U$19,K49),1)*IF(Upgrades!$T$20="Local Bubble",POWER(Upgrades!$U$20,L49),1)*IF(Upgrades!$T$21="Local Bubble",POWER(Upgrades!$U$21,M49),1))*POWER(Upgrades!$P$13,E49)*POWER(Upgrades!$P$14,F49)*POWER(Upgrades!$P$15,G49)*POWER(Upgrades!$P$16,H49)*POWER(Upgrades!$P$17,I49)*POWER(Upgrades!$P$18,J49)*POWER(Upgrades!$P$19,K49)*POWER(Upgrades!$P$20,L49)*POWER(Upgrades!$P$21,M49)*$F$6*60</f>
        <v/>
      </c>
      <c r="AC49" s="27">
        <f>(IF(G49=0,0,(Upgrades!$J$15+G49*Upgrades!$K$15)*POWER(Upgrades!$L$15,G49)))*(IF(Upgrades!$T$13="Microlensing",POWER(Upgrades!$U$13,E49),1)*IF(Upgrades!$T$14="Microlensing",POWER(Upgrades!$U$14,F49),1)*IF(Upgrades!$T$16="Microlensing",POWER(Upgrades!$U$16,H49),1)*IF(Upgrades!$T$17="Microlensing",POWER(Upgrades!$U$17,I49),1)*IF(Upgrades!$T$18="Microlensing",POWER(Upgrades!$U$18,J49),1)*IF(Upgrades!$T$19="Microlensing",POWER(Upgrades!$U$19,K49),1)*IF(Upgrades!$T$20="Microlensing",POWER(Upgrades!$U$20,L49),1)*IF(Upgrades!$T$21="Microlensing",POWER(Upgrades!$U$21,M49),1))*POWER(Upgrades!$Q$13,E49)*POWER(Upgrades!$Q$14,F49)*POWER(Upgrades!$Q$15,G49)*POWER(Upgrades!$Q$16,H49)*POWER(Upgrades!$Q$17,I49)*POWER(Upgrades!$Q$18,J49)*POWER(Upgrades!$Q$19,K49)*POWER(Upgrades!$Q$20,L49)*POWER(Upgrades!$Q$21,M49)*$G$6*(Parameters!$B$10*Parameters!$B$11+Q49*60)</f>
        <v/>
      </c>
      <c r="AD49" s="27">
        <f>(IF(H49=0,0,(Upgrades!$M$16+H49*Upgrades!$N$16)*POWER(Upgrades!$O$16,H49)))*(IF(Upgrades!$T$13="Roche Lobe Overflow",POWER(Upgrades!$U$13,E49),1)*IF(Upgrades!$T$14="Roche Lobe Overflow",POWER(Upgrades!$U$14,F49),1)*IF(Upgrades!$T$15="Roche Lobe Overflow",POWER(Upgrades!$U$15,G49),1)*IF(Upgrades!$T$17="Roche Lobe Overflow",POWER(Upgrades!$U$17,I49),1)*IF(Upgrades!$T$18="Roche Lobe Overflow",POWER(Upgrades!$U$18,J49),1)*IF(Upgrades!$T$19="Roche Lobe Overflow",POWER(Upgrades!$U$19,K49),1)*IF(Upgrades!$T$20="Roche Lobe Overflow",POWER(Upgrades!$U$20,L49),1)*IF(Upgrades!$T$21="Roche Lobe Overflow",POWER(Upgrades!$U$21,M49),1))*POWER(Upgrades!$R$13,E49)*POWER(Upgrades!$R$14,F49)*POWER(Upgrades!$R$15,G49)*POWER(Upgrades!$R$16,H49)*POWER(Upgrades!$R$17,I49)*POWER(Upgrades!$R$18,J49)*POWER(Upgrades!$R$19,K49)*POWER(Upgrades!$R$20,L49)*POWER(Upgrades!$R$21,M49)*$H$6*O49*60</f>
        <v/>
      </c>
      <c r="AE49" s="27">
        <f>(IF(I49=0,0,(Upgrades!$G$17+I49*Upgrades!$H$17)*POWER(Upgrades!$I$17,I49)))*(IF(Upgrades!$T$13="Brown Dwarf",POWER(Upgrades!$U$13,E49),1)*IF(Upgrades!$T$14="Brown Dwarf",POWER(Upgrades!$U$14,F49),1)*IF(Upgrades!$T$15="Brown Dwarf",POWER(Upgrades!$U$15,G49),1)*IF(Upgrades!$T$16="Brown Dwarf",POWER(Upgrades!$U$16,H49),1)*IF(Upgrades!$T$18="Brown Dwarf",POWER(Upgrades!$U$18,J49),1)*IF(Upgrades!$T$19="Brown Dwarf",POWER(Upgrades!$U$19,K49),1)*IF(Upgrades!$T$20="Brown Dwarf",POWER(Upgrades!$U$20,L49),1)*IF(Upgrades!$T$21="Brown Dwarf",POWER(Upgrades!$U$21,M49),1))*POWER(Upgrades!$P$13,E49)*POWER(Upgrades!$P$14,F49)*POWER(Upgrades!$P$15,G49)*POWER(Upgrades!$P$16,H49)*POWER(Upgrades!$P$17,I49)*POWER(Upgrades!$P$18,J49)*POWER(Upgrades!$P$19,K49)*POWER(Upgrades!$P$20,L49)*POWER(Upgrades!$P$21,M49)*$F$6*60</f>
        <v/>
      </c>
      <c r="AF49" s="27" t="n">
        <v>0</v>
      </c>
      <c r="AG49" s="27" t="n">
        <v>0</v>
      </c>
      <c r="AH49" s="27" t="n">
        <v>0</v>
      </c>
      <c r="AI49" s="27">
        <f>(IF(M49=0,0,(Upgrades!$G$21+M49*Upgrades!$H$21)*POWER(Upgrades!$I$21,M49)))*(IF(Upgrades!$T$13="Moving Group",POWER(Upgrades!$U$13,E49),1)*IF(Upgrades!$T$14="Moving Group",POWER(Upgrades!$U$14,F49),1)*IF(Upgrades!$T$15="Moving Group",POWER(Upgrades!$U$15,G49),1)*IF(Upgrades!$T$16="Moving Group",POWER(Upgrades!$U$16,H49),1)*IF(Upgrades!$T$17="Moving Group",POWER(Upgrades!$U$17,I49),1)*IF(Upgrades!$T$18="Moving Group",POWER(Upgrades!$U$18,J49),1)*IF(Upgrades!$T$19="Moving Group",POWER(Upgrades!$U$19,K49),1)*IF(Upgrades!$T$20="Moving Group",POWER(Upgrades!$U$20,L49),1))*POWER(Upgrades!$P$13,E49)*POWER(Upgrades!$P$14,F49)*POWER(Upgrades!$P$15,G49)*POWER(Upgrades!$P$16,H49)*POWER(Upgrades!$P$17,I49)*POWER(Upgrades!$P$18,J49)*POWER(Upgrades!$P$19,K49)*POWER(Upgrades!$P$20,L49)*POWER(Upgrades!$P$21,M49)*$F$6*60</f>
        <v/>
      </c>
      <c r="AJ49" s="27">
        <f>$C$6*60</f>
        <v/>
      </c>
      <c r="AK49" s="22">
        <f>IF(E49&gt;=Upgrades!$E$13,"",Upgrades!$C$13*POWER(Upgrades!$D$13,E49))</f>
        <v/>
      </c>
      <c r="AL49" s="22">
        <f>IF(F49&gt;=Upgrades!$E$14,"",Upgrades!$C$14*POWER(Upgrades!$D$14,F49))</f>
        <v/>
      </c>
      <c r="AM49" s="22">
        <f>IF(G49&gt;=Upgrades!$E$15,"",Upgrades!$C$15*POWER(Upgrades!$D$15,G49))</f>
        <v/>
      </c>
      <c r="AN49" s="22">
        <f>IF(H49&gt;=Upgrades!$E$16,"",Upgrades!$C$16*POWER(Upgrades!$D$16,H49))</f>
        <v/>
      </c>
      <c r="AO49" s="22">
        <f>IF(I49&gt;=Upgrades!$E$17,"",Upgrades!$C$17*POWER(Upgrades!$D$17,I49))</f>
        <v/>
      </c>
      <c r="AP49" s="22">
        <f>IF(J49&gt;=Upgrades!$E$18,"",Upgrades!$C$18*POWER(Upgrades!$D$18,J49))</f>
        <v/>
      </c>
      <c r="AQ49" s="22">
        <f>IF(K49&gt;=Upgrades!$E$19,"",Upgrades!$C$19*POWER(Upgrades!$D$19,K49))</f>
        <v/>
      </c>
      <c r="AR49" s="22">
        <f>IF(L49&gt;=Upgrades!$E$20,"",Upgrades!$C$20*POWER(Upgrades!$D$20,L49))</f>
        <v/>
      </c>
      <c r="AS49" s="22">
        <f>IF(M49&gt;=Upgrades!$E$21,"",Upgrades!$C$21*POWER(Upgrades!$D$21,M49))</f>
        <v/>
      </c>
      <c r="AT49" s="26">
        <f>IF(AND(D49&gt;=Parameters!$B$18*Parameters!$B$19,(I49&gt;=Upgrades!$E$17)*(M49&gt;=Upgrades!$E$21)=1,N49=0),1,"")</f>
        <v/>
      </c>
      <c r="AU49" s="26">
        <f>IF(AND(D49&gt;=Parameters!$B$18*Parameters!$B$19,N49=0),1,"")</f>
        <v/>
      </c>
      <c r="AV49" s="22">
        <f>MIN(IF(ISNUMBER(AP49),AP49,9E15),IF(ISNUMBER(AQ49),AQ49,9E15),IF(ISNUMBER(AR49),AR49,9E15),IF(ISNUMBER(AS49),AS49,9E15))</f>
        <v/>
      </c>
      <c r="AW49" s="22">
        <f>MIN(IF(ISNUMBER(AK49),AK49,9E15),IF(ISNUMBER(AL49),AL49,9E15),IF(ISNUMBER(AM49),AM49,9E15),IF(ISNUMBER(AN49),AN49,9E15),IF(ISNUMBER(AO49),AO49,9E15))</f>
        <v/>
      </c>
      <c r="AX49" s="29">
        <f>IF(BD49&gt;Parameters!$B$21*(MAX(IF(AND(NOT(AND(AU49=1,AT49&lt;&gt;1)),ISNUMBER(AK49),AK49&lt;=(C49+T49)),AY49,0),IF(AND(NOT(AND(AU49=1,AT49&lt;&gt;1)),ISNUMBER(AL49),AL49&lt;=(C49+T49)),AZ49,0),IF(AND(NOT(AND(AU49=1,AT49&lt;&gt;1)),ISNUMBER(AM49),AM49&lt;=(C49+T49)),BA49,0),IF(AND(NOT(AND(AU49=1,AT49&lt;&gt;1)),ISNUMBER(AN49),AN49&lt;=(C49+T49)),BB49,0),IF(AND(ISNUMBER(AO49),AO49&lt;=(C49+T49)),BC49,0))),TRUE,FALSE)</f>
        <v/>
      </c>
      <c r="AY49" s="32">
        <f>IFERROR(Upgrades!$H$13*(POWER(Upgrades!$P$13,E49)*POWER(Upgrades!$P$14,F49)*POWER(Upgrades!$P$15,G49)*POWER(Upgrades!$P$16,H49)*POWER(Upgrades!$P$17,I49)*POWER(Upgrades!$P$18,J49)*POWER(Upgrades!$P$19,K49)*POWER(Upgrades!$P$20,L49)*POWER(Upgrades!$P$21,M49))*(IF(Upgrades!$T$14="Stellar Kinematics",POWER(Upgrades!$U$14,F49),1)*IF(Upgrades!$T$15="Stellar Kinematics",POWER(Upgrades!$U$15,G49),1)*IF(Upgrades!$T$16="Stellar Kinematics",POWER(Upgrades!$U$16,H49),1)*IF(Upgrades!$T$17="Stellar Kinematics",POWER(Upgrades!$U$17,I49),1)*IF(Upgrades!$T$18="Stellar Kinematics",POWER(Upgrades!$U$18,J49),1)*IF(Upgrades!$T$19="Stellar Kinematics",POWER(Upgrades!$U$19,K49),1)*IF(Upgrades!$T$20="Stellar Kinematics",POWER(Upgrades!$U$20,L49),1)*IF(Upgrades!$T$21="Stellar Kinematics",POWER(Upgrades!$U$21,M49),1))*$F$6/AK49,0)</f>
        <v/>
      </c>
      <c r="AZ49" s="32">
        <f>IFERROR(Upgrades!$H$14*(POWER(Upgrades!$P$13,E49)*POWER(Upgrades!$P$14,F49)*POWER(Upgrades!$P$15,G49)*POWER(Upgrades!$P$16,H49)*POWER(Upgrades!$P$17,I49)*POWER(Upgrades!$P$18,J49)*POWER(Upgrades!$P$19,K49)*POWER(Upgrades!$P$20,L49)*POWER(Upgrades!$P$21,M49))*(IF(Upgrades!$T$13="Local Bubble",POWER(Upgrades!$U$13,E49),1)*IF(Upgrades!$T$15="Local Bubble",POWER(Upgrades!$U$15,G49),1)*IF(Upgrades!$T$16="Local Bubble",POWER(Upgrades!$U$16,H49),1)*IF(Upgrades!$T$17="Local Bubble",POWER(Upgrades!$U$17,I49),1)*IF(Upgrades!$T$18="Local Bubble",POWER(Upgrades!$U$18,J49),1)*IF(Upgrades!$T$19="Local Bubble",POWER(Upgrades!$U$19,K49),1)*IF(Upgrades!$T$20="Local Bubble",POWER(Upgrades!$U$20,L49),1)*IF(Upgrades!$T$21="Local Bubble",POWER(Upgrades!$U$21,M49),1))*$F$6/AL49,0)</f>
        <v/>
      </c>
      <c r="BA49" s="32">
        <f>IFERROR(Upgrades!$K$15*(POWER(Upgrades!$Q$13,E49)*POWER(Upgrades!$Q$14,F49)*POWER(Upgrades!$Q$15,G49)*POWER(Upgrades!$Q$16,H49)*POWER(Upgrades!$Q$17,I49)*POWER(Upgrades!$Q$18,J49)*POWER(Upgrades!$Q$19,K49)*POWER(Upgrades!$Q$20,L49)*POWER(Upgrades!$Q$21,M49))*(IF(Upgrades!$T$13="Microlensing",POWER(Upgrades!$U$13,E49),1)*IF(Upgrades!$T$14="Microlensing",POWER(Upgrades!$U$14,F49),1)*IF(Upgrades!$T$16="Microlensing",POWER(Upgrades!$U$16,H49),1)*IF(Upgrades!$T$17="Microlensing",POWER(Upgrades!$U$17,I49),1)*IF(Upgrades!$T$18="Microlensing",POWER(Upgrades!$U$18,J49),1)*IF(Upgrades!$T$19="Microlensing",POWER(Upgrades!$U$19,K49),1)*IF(Upgrades!$T$20="Microlensing",POWER(Upgrades!$U$20,L49),1)*IF(Upgrades!$T$21="Microlensing",POWER(Upgrades!$U$21,M49),1))*$G$6*(Parameters!$B$10/60*Parameters!$B$11+Q49)/AM49,0)</f>
        <v/>
      </c>
      <c r="BB49" s="32">
        <f>IFERROR((Upgrades!$N$16*(POWER(Upgrades!$R$13,E49)*POWER(Upgrades!$R$14,F49)*POWER(Upgrades!$R$15,G49)*POWER(Upgrades!$R$16,H49)*POWER(Upgrades!$R$17,I49)*POWER(Upgrades!$R$18,J49)*POWER(Upgrades!$R$19,K49)*POWER(Upgrades!$R$20,L49)*POWER(Upgrades!$R$21,M49))*(IF(Upgrades!$T$13="Roche Lobe Overflow",POWER(Upgrades!$U$13,E49),1)*IF(Upgrades!$T$14="Roche Lobe Overflow",POWER(Upgrades!$U$14,F49),1)*IF(Upgrades!$T$15="Roche Lobe Overflow",POWER(Upgrades!$U$15,G49),1)*IF(Upgrades!$T$17="Roche Lobe Overflow",POWER(Upgrades!$U$17,I49),1)*IF(Upgrades!$T$18="Roche Lobe Overflow",POWER(Upgrades!$U$18,J49),1)*IF(Upgrades!$T$19="Roche Lobe Overflow",POWER(Upgrades!$U$19,K49),1)*IF(Upgrades!$T$20="Roche Lobe Overflow",POWER(Upgrades!$U$20,L49),1)*IF(Upgrades!$T$21="Roche Lobe Overflow",POWER(Upgrades!$U$21,M49),1))*$H$6*O49+((IF(F49=0,0,(Upgrades!$G$14+F49*Upgrades!$H$14)*POWER(Upgrades!$I$14,F49)))*(IF(Upgrades!$T$13="Local Bubble",POWER(Upgrades!$U$13,E49),1)*IF(Upgrades!$T$15="Local Bubble",POWER(Upgrades!$U$15,G49),1)*IF(Upgrades!$T$16="Local Bubble",POWER(Upgrades!$U$16,H49),1)*IF(Upgrades!$T$17="Local Bubble",POWER(Upgrades!$U$17,I49),1)*IF(Upgrades!$T$18="Local Bubble",POWER(Upgrades!$U$18,J49),1)*IF(Upgrades!$T$19="Local Bubble",POWER(Upgrades!$U$19,K49),1)*IF(Upgrades!$T$20="Local Bubble",POWER(Upgrades!$U$20,L49),1)*IF(Upgrades!$T$21="Local Bubble",POWER(Upgrades!$U$21,M49),1))*POWER(Upgrades!$P$13,E49)*POWER(Upgrades!$P$14,F49)*POWER(Upgrades!$P$15,G49)*POWER(Upgrades!$P$16,H49)*POWER(Upgrades!$P$17,I49)*POWER(Upgrades!$P$18,J49)*POWER(Upgrades!$P$19,K49)*POWER(Upgrades!$P$20,L49)*POWER(Upgrades!$P$21,M49)*$F$6)*0.05)/AN49,0)</f>
        <v/>
      </c>
      <c r="BC49" s="32">
        <f>IFERROR((Upgrades!$H$17*(POWER(Upgrades!$P$13,E49)*POWER(Upgrades!$P$14,F49)*POWER(Upgrades!$P$15,G49)*POWER(Upgrades!$P$16,H49)*POWER(Upgrades!$P$17,I49)*POWER(Upgrades!$P$18,J49)*POWER(Upgrades!$P$19,K49)*POWER(Upgrades!$P$20,L49)*POWER(Upgrades!$P$21,M49))*(IF(Upgrades!$T$13="Brown Dwarf",POWER(Upgrades!$U$13,E49),1)*IF(Upgrades!$T$14="Brown Dwarf",POWER(Upgrades!$U$14,F49),1)*IF(Upgrades!$T$15="Brown Dwarf",POWER(Upgrades!$U$15,G49),1)*IF(Upgrades!$T$16="Brown Dwarf",POWER(Upgrades!$U$16,H49),1)*IF(Upgrades!$T$18="Brown Dwarf",POWER(Upgrades!$U$18,J49),1)*IF(Upgrades!$T$19="Brown Dwarf",POWER(Upgrades!$U$19,K49),1)*IF(Upgrades!$T$20="Brown Dwarf",POWER(Upgrades!$U$20,L49),1)*IF(Upgrades!$T$21="Brown Dwarf",POWER(Upgrades!$U$21,M49),1))*$F$6+(((IF(H49=0,0,(Upgrades!$M$16+H49*Upgrades!$N$16)*POWER(Upgrades!$O$16,H49)))*(IF(Upgrades!$T$13="Roche Lobe Overflow",POWER(Upgrades!$U$13,E49),1)*IF(Upgrades!$T$14="Roche Lobe Overflow",POWER(Upgrades!$U$14,F49),1)*IF(Upgrades!$T$15="Roche Lobe Overflow",POWER(Upgrades!$U$15,G49),1)*IF(Upgrades!$T$17="Roche Lobe Overflow",POWER(Upgrades!$U$17,I49),1)*IF(Upgrades!$T$18="Roche Lobe Overflow",POWER(Upgrades!$U$18,J49),1)*IF(Upgrades!$T$19="Roche Lobe Overflow",POWER(Upgrades!$U$19,K49),1)*IF(Upgrades!$T$20="Roche Lobe Overflow",POWER(Upgrades!$U$20,L49),1)*IF(Upgrades!$T$21="Roche Lobe Overflow",POWER(Upgrades!$U$21,M49),1))*POWER(Upgrades!$R$13,E49)*POWER(Upgrades!$R$14,F49)*POWER(Upgrades!$R$15,G49)*POWER(Upgrades!$R$16,H49)*POWER(Upgrades!$R$17,I49)*POWER(Upgrades!$R$18,J49)*POWER(Upgrades!$R$19,K49)*POWER(Upgrades!$R$20,L49)*POWER(Upgrades!$R$21,M49)*$H$6)*O49)*0.10)/AO49,0)</f>
        <v/>
      </c>
      <c r="BD49" s="32">
        <f>MAX(IF(J49&gt;0,0,IFERROR(0.5*((IF(G49=0,0,(Upgrades!$J$15+G49*Upgrades!$K$15)*POWER(Upgrades!$L$15,G49)))*(IF(Upgrades!$T$13="Microlensing",POWER(Upgrades!$U$13,E49),1)*IF(Upgrades!$T$14="Microlensing",POWER(Upgrades!$U$14,F49),1)*IF(Upgrades!$T$16="Microlensing",POWER(Upgrades!$U$16,H49),1)*IF(Upgrades!$T$17="Microlensing",POWER(Upgrades!$U$17,I49),1)*IF(Upgrades!$T$18="Microlensing",POWER(Upgrades!$U$18,J49),1)*IF(Upgrades!$T$19="Microlensing",POWER(Upgrades!$U$19,K49),1)*IF(Upgrades!$T$20="Microlensing",POWER(Upgrades!$U$20,L49),1)*IF(Upgrades!$T$21="Microlensing",POWER(Upgrades!$U$21,M49),1))*(POWER(Upgrades!$Q$13,E49)*POWER(Upgrades!$Q$14,F49)*POWER(Upgrades!$Q$15,G49)*POWER(Upgrades!$Q$16,H49)*POWER(Upgrades!$Q$17,I49)*POWER(Upgrades!$Q$18,J49)*POWER(Upgrades!$Q$19,K49)*POWER(Upgrades!$Q$20,L49)*POWER(Upgrades!$Q$21,M49))*$G$6*(Parameters!$B$10/60*Parameters!$B$11+Q49))/Upgrades!$C$18,0)),IF(K49&gt;0,0,IFERROR(0.30*P49/Upgrades!$C$19,0)),IF(L49&gt;0,0,IFERROR(0.0001/Upgrades!$C$20,0)),IF(M49&gt;0,0,IFERROR((6.0*(POWER(Upgrades!$P$13,E49)*POWER(Upgrades!$P$14,F49)*POWER(Upgrades!$P$15,G49)*POWER(Upgrades!$P$16,H49)*POWER(Upgrades!$P$17,I49)*POWER(Upgrades!$P$18,J49)*POWER(Upgrades!$P$19,K49)*POWER(Upgrades!$P$20,L49)*POWER(Upgrades!$P$21,M49))*$F$6+0.20*O49*(Parameters!$B$10/60*Parameters!$B$11+Q49))/Upgrades!$C$21,0)),IF(AND(ISNUMBER(AK49),AK49&gt;(C49+T49)),AY49,0),IF(AND(ISNUMBER(AL49),AL49&gt;(C49+T49)),AZ49,0),IF(AND(ISNUMBER(AM49),AM49&gt;(C49+T49)),BA49,0),IF(AND(ISNUMBER(AN49),AN49&gt;(C49+T49)),BB49,0),IF(AND(ISNUMBER(AO49),AO49&gt;(C49+T49)),BC49,0))</f>
        <v/>
      </c>
      <c r="BE49" s="29">
        <f>IF(AT49=1,"transition",IF(MIN(IF(AND(J49=0,ISNUMBER(AP49),AP49&lt;=(C49+T49)),AP49,9E15),IF(AND(K49=0,ISNUMBER(AQ49),AQ49&lt;=(C49+T49)),AQ49,9E15),IF(AND(L49=0,ISNUMBER(AR49),AR49&lt;=(C49+T49)),AR49,9E15),IF(AND(M49=0,ISNUMBER(AS49),AS49&lt;=(C49+T49)),AS49,9E15))&lt;9E15,IF(AND(AND(J49=0,ISNUMBER(AP49),AP49&lt;=(C49+T49)),AP49=MIN(IF(AND(J49=0,ISNUMBER(AP49),AP49&lt;=(C49+T49)),AP49,9E15),IF(AND(K49=0,ISNUMBER(AQ49),AQ49&lt;=(C49+T49)),AQ49,9E15),IF(AND(L49=0,ISNUMBER(AR49),AR49&lt;=(C49+T49)),AR49,9E15),IF(AND(M49=0,ISNUMBER(AS49),AS49&lt;=(C49+T49)),AS49,9E15))),"BiP",IF(AND(AND(K49=0,ISNUMBER(AQ49),AQ49&lt;=(C49+T49)),AQ49=MIN(IF(AND(J49=0,ISNUMBER(AP49),AP49&lt;=(C49+T49)),AP49,9E15),IF(AND(K49=0,ISNUMBER(AQ49),AQ49&lt;=(C49+T49)),AQ49,9E15),IF(AND(L49=0,ISNUMBER(AR49),AR49&lt;=(C49+T49)),AR49,9E15),IF(AND(M49=0,ISNUMBER(AS49),AS49&lt;=(C49+T49)),AS49,9E15))),"PV",IF(AND(AND(L49=0,ISNUMBER(AR49),AR49&lt;=(C49+T49)),AR49=MIN(IF(AND(J49=0,ISNUMBER(AP49),AP49&lt;=(C49+T49)),AP49,9E15),IF(AND(K49=0,ISNUMBER(AQ49),AQ49&lt;=(C49+T49)),AQ49,9E15),IF(AND(L49=0,ISNUMBER(AR49),AR49&lt;=(C49+T49)),AR49,9E15),IF(AND(M49=0,ISNUMBER(AS49),AS49&lt;=(C49+T49)),AS49,9E15))),"OC","MG"))),IF(AX49=TRUE,"",IF(MAX(IF(AND(NOT(AND(AU49=1,AT49&lt;&gt;1)),ISNUMBER(AK49),AK49&lt;=(C49+T49)),AY49,0),IF(AND(NOT(AND(AU49=1,AT49&lt;&gt;1)),ISNUMBER(AL49),AL49&lt;=(C49+T49)),AZ49,0),IF(AND(NOT(AND(AU49=1,AT49&lt;&gt;1)),ISNUMBER(AM49),AM49&lt;=(C49+T49)),BA49,0),IF(AND(NOT(AND(AU49=1,AT49&lt;&gt;1)),ISNUMBER(AN49),AN49&lt;=(C49+T49)),BB49,0),IF(AND(ISNUMBER(AO49),AO49&lt;=(C49+T49)),BC49,0))&lt;=0,"",IF(AND(IF(AND(NOT(AND(AU49=1,AT49&lt;&gt;1)),ISNUMBER(AK49),AK49&lt;=(C49+T49)),AY49,0)&gt;0,IF(AND(NOT(AND(AU49=1,AT49&lt;&gt;1)),ISNUMBER(AK49),AK49&lt;=(C49+T49)),AY49,0)=MAX(IF(AND(NOT(AND(AU49=1,AT49&lt;&gt;1)),ISNUMBER(AK49),AK49&lt;=(C49+T49)),AY49,0),IF(AND(NOT(AND(AU49=1,AT49&lt;&gt;1)),ISNUMBER(AL49),AL49&lt;=(C49+T49)),AZ49,0),IF(AND(NOT(AND(AU49=1,AT49&lt;&gt;1)),ISNUMBER(AM49),AM49&lt;=(C49+T49)),BA49,0),IF(AND(NOT(AND(AU49=1,AT49&lt;&gt;1)),ISNUMBER(AN49),AN49&lt;=(C49+T49)),BB49,0),IF(AND(ISNUMBER(AO49),AO49&lt;=(C49+T49)),BC49,0))),"SK",IF(AND(IF(AND(NOT(AND(AU49=1,AT49&lt;&gt;1)),ISNUMBER(AL49),AL49&lt;=(C49+T49)),AZ49,0)&gt;0,IF(AND(NOT(AND(AU49=1,AT49&lt;&gt;1)),ISNUMBER(AL49),AL49&lt;=(C49+T49)),AZ49,0)=MAX(IF(AND(NOT(AND(AU49=1,AT49&lt;&gt;1)),ISNUMBER(AK49),AK49&lt;=(C49+T49)),AY49,0),IF(AND(NOT(AND(AU49=1,AT49&lt;&gt;1)),ISNUMBER(AL49),AL49&lt;=(C49+T49)),AZ49,0),IF(AND(NOT(AND(AU49=1,AT49&lt;&gt;1)),ISNUMBER(AM49),AM49&lt;=(C49+T49)),BA49,0),IF(AND(NOT(AND(AU49=1,AT49&lt;&gt;1)),ISNUMBER(AN49),AN49&lt;=(C49+T49)),BB49,0),IF(AND(ISNUMBER(AO49),AO49&lt;=(C49+T49)),BC49,0))),"LB",IF(AND(IF(AND(NOT(AND(AU49=1,AT49&lt;&gt;1)),ISNUMBER(AM49),AM49&lt;=(C49+T49)),BA49,0)&gt;0,IF(AND(NOT(AND(AU49=1,AT49&lt;&gt;1)),ISNUMBER(AM49),AM49&lt;=(C49+T49)),BA49,0)=MAX(IF(AND(NOT(AND(AU49=1,AT49&lt;&gt;1)),ISNUMBER(AK49),AK49&lt;=(C49+T49)),AY49,0),IF(AND(NOT(AND(AU49=1,AT49&lt;&gt;1)),ISNUMBER(AL49),AL49&lt;=(C49+T49)),AZ49,0),IF(AND(NOT(AND(AU49=1,AT49&lt;&gt;1)),ISNUMBER(AM49),AM49&lt;=(C49+T49)),BA49,0),IF(AND(NOT(AND(AU49=1,AT49&lt;&gt;1)),ISNUMBER(AN49),AN49&lt;=(C49+T49)),BB49,0),IF(AND(ISNUMBER(AO49),AO49&lt;=(C49+T49)),BC49,0))),"ML",IF(AND(IF(AND(NOT(AND(AU49=1,AT49&lt;&gt;1)),ISNUMBER(AN49),AN49&lt;=(C49+T49)),BB49,0)&gt;0,IF(AND(NOT(AND(AU49=1,AT49&lt;&gt;1)),ISNUMBER(AN49),AN49&lt;=(C49+T49)),BB49,0)=MAX(IF(AND(NOT(AND(AU49=1,AT49&lt;&gt;1)),ISNUMBER(AK49),AK49&lt;=(C49+T49)),AY49,0),IF(AND(NOT(AND(AU49=1,AT49&lt;&gt;1)),ISNUMBER(AL49),AL49&lt;=(C49+T49)),AZ49,0),IF(AND(NOT(AND(AU49=1,AT49&lt;&gt;1)),ISNUMBER(AM49),AM49&lt;=(C49+T49)),BA49,0),IF(AND(NOT(AND(AU49=1,AT49&lt;&gt;1)),ISNUMBER(AN49),AN49&lt;=(C49+T49)),BB49,0),IF(AND(ISNUMBER(AO49),AO49&lt;=(C49+T49)),BC49,0))),"RLO","BD"))))))))</f>
        <v/>
      </c>
    </row>
    <row r="50">
      <c r="A50" s="26" t="n">
        <v>39</v>
      </c>
      <c r="B50" s="27">
        <f>A50*10/60</f>
        <v/>
      </c>
      <c r="C50" s="22">
        <f>X49</f>
        <v/>
      </c>
      <c r="D50" s="27">
        <f>D49+W49</f>
        <v/>
      </c>
      <c r="E50" s="26">
        <f>E49+IF(U49="SK",1,0)</f>
        <v/>
      </c>
      <c r="F50" s="26">
        <f>F49+IF(U49="LB",1,0)</f>
        <v/>
      </c>
      <c r="G50" s="26">
        <f>G49+IF(U49="ML",1,0)</f>
        <v/>
      </c>
      <c r="H50" s="26">
        <f>H49+IF(U49="RLO",1,0)</f>
        <v/>
      </c>
      <c r="I50" s="26">
        <f>I49+IF(U49="BD",1,0)</f>
        <v/>
      </c>
      <c r="J50" s="26">
        <f>MAX(J49,IF(U49="BiP",1,0))</f>
        <v/>
      </c>
      <c r="K50" s="26">
        <f>MAX(K49,IF(U49="PV",1,0))</f>
        <v/>
      </c>
      <c r="L50" s="26">
        <f>MAX(L49,IF(U49="OC",1,0))</f>
        <v/>
      </c>
      <c r="M50" s="26">
        <f>MAX(M49,IF(U49="MG",1,0))</f>
        <v/>
      </c>
      <c r="N50" s="26">
        <f>MAX(N49,IF(U49="transition",1,0))</f>
        <v/>
      </c>
      <c r="O50" s="28">
        <f>(Parameters!$B$9+(IF(E50=0,0,(Upgrades!$J$13+E50*Upgrades!$K$13)*POWER(Upgrades!$L$13,E50)))*(IF(Upgrades!$T$14="Stellar Kinematics",POWER(Upgrades!$U$14,F50),1)*IF(Upgrades!$T$15="Stellar Kinematics",POWER(Upgrades!$U$15,G50),1)*IF(Upgrades!$T$16="Stellar Kinematics",POWER(Upgrades!$U$16,H50),1)*IF(Upgrades!$T$17="Stellar Kinematics",POWER(Upgrades!$U$17,I50),1)*IF(Upgrades!$T$18="Stellar Kinematics",POWER(Upgrades!$U$18,J50),1)*IF(Upgrades!$T$19="Stellar Kinematics",POWER(Upgrades!$U$19,K50),1)*IF(Upgrades!$T$20="Stellar Kinematics",POWER(Upgrades!$U$20,L50),1)*IF(Upgrades!$T$21="Stellar Kinematics",POWER(Upgrades!$U$21,M50),1))+(IF(F50=0,0,(Upgrades!$J$14+F50*Upgrades!$K$14)*POWER(Upgrades!$L$14,F50)))*(IF(Upgrades!$T$13="Local Bubble",POWER(Upgrades!$U$13,E50),1)*IF(Upgrades!$T$15="Local Bubble",POWER(Upgrades!$U$15,G50),1)*IF(Upgrades!$T$16="Local Bubble",POWER(Upgrades!$U$16,H50),1)*IF(Upgrades!$T$17="Local Bubble",POWER(Upgrades!$U$17,I50),1)*IF(Upgrades!$T$18="Local Bubble",POWER(Upgrades!$U$18,J50),1)*IF(Upgrades!$T$19="Local Bubble",POWER(Upgrades!$U$19,K50),1)*IF(Upgrades!$T$20="Local Bubble",POWER(Upgrades!$U$20,L50),1)*IF(Upgrades!$T$21="Local Bubble",POWER(Upgrades!$U$21,M50),1))+(IF(G50=0,0,(Upgrades!$J$15+G50*Upgrades!$K$15)*POWER(Upgrades!$L$15,G50)))*(IF(Upgrades!$T$13="Microlensing",POWER(Upgrades!$U$13,E50),1)*IF(Upgrades!$T$14="Microlensing",POWER(Upgrades!$U$14,F50),1)*IF(Upgrades!$T$16="Microlensing",POWER(Upgrades!$U$16,H50),1)*IF(Upgrades!$T$17="Microlensing",POWER(Upgrades!$U$17,I50),1)*IF(Upgrades!$T$18="Microlensing",POWER(Upgrades!$U$18,J50),1)*IF(Upgrades!$T$19="Microlensing",POWER(Upgrades!$U$19,K50),1)*IF(Upgrades!$T$20="Microlensing",POWER(Upgrades!$U$20,L50),1)*IF(Upgrades!$T$21="Microlensing",POWER(Upgrades!$U$21,M50),1))+(IF(H50=0,0,(Upgrades!$J$16+H50*Upgrades!$K$16)*POWER(Upgrades!$L$16,H50)))*(IF(Upgrades!$T$13="Roche Lobe Overflow",POWER(Upgrades!$U$13,E50),1)*IF(Upgrades!$T$14="Roche Lobe Overflow",POWER(Upgrades!$U$14,F50),1)*IF(Upgrades!$T$15="Roche Lobe Overflow",POWER(Upgrades!$U$15,G50),1)*IF(Upgrades!$T$17="Roche Lobe Overflow",POWER(Upgrades!$U$17,I50),1)*IF(Upgrades!$T$18="Roche Lobe Overflow",POWER(Upgrades!$U$18,J50),1)*IF(Upgrades!$T$19="Roche Lobe Overflow",POWER(Upgrades!$U$19,K50),1)*IF(Upgrades!$T$20="Roche Lobe Overflow",POWER(Upgrades!$U$20,L50),1)*IF(Upgrades!$T$21="Roche Lobe Overflow",POWER(Upgrades!$U$21,M50),1))+(IF(I50=0,0,(Upgrades!$J$17+I50*Upgrades!$K$17)*POWER(Upgrades!$L$17,I50)))*(IF(Upgrades!$T$13="Brown Dwarf",POWER(Upgrades!$U$13,E50),1)*IF(Upgrades!$T$14="Brown Dwarf",POWER(Upgrades!$U$14,F50),1)*IF(Upgrades!$T$15="Brown Dwarf",POWER(Upgrades!$U$15,G50),1)*IF(Upgrades!$T$16="Brown Dwarf",POWER(Upgrades!$U$16,H50),1)*IF(Upgrades!$T$18="Brown Dwarf",POWER(Upgrades!$U$18,J50),1)*IF(Upgrades!$T$19="Brown Dwarf",POWER(Upgrades!$U$19,K50),1)*IF(Upgrades!$T$20="Brown Dwarf",POWER(Upgrades!$U$20,L50),1)*IF(Upgrades!$T$21="Brown Dwarf",POWER(Upgrades!$U$21,M50),1))+(IF(J50=0,0,(Upgrades!$J$18+J50*Upgrades!$K$18)*POWER(Upgrades!$L$18,J50)))*(IF(Upgrades!$T$13="Binary Partner",POWER(Upgrades!$U$13,E50),1)*IF(Upgrades!$T$14="Binary Partner",POWER(Upgrades!$U$14,F50),1)*IF(Upgrades!$T$15="Binary Partner",POWER(Upgrades!$U$15,G50),1)*IF(Upgrades!$T$16="Binary Partner",POWER(Upgrades!$U$16,H50),1)*IF(Upgrades!$T$17="Binary Partner",POWER(Upgrades!$U$17,I50),1)*IF(Upgrades!$T$19="Binary Partner",POWER(Upgrades!$U$19,K50),1)*IF(Upgrades!$T$20="Binary Partner",POWER(Upgrades!$U$20,L50),1)*IF(Upgrades!$T$21="Binary Partner",POWER(Upgrades!$U$21,M50),1))+(IF(K50=0,0,(Upgrades!$J$19+K50*Upgrades!$K$19)*POWER(Upgrades!$L$19,K50)))*(IF(Upgrades!$T$13="Peculiar Velocity",POWER(Upgrades!$U$13,E50),1)*IF(Upgrades!$T$14="Peculiar Velocity",POWER(Upgrades!$U$14,F50),1)*IF(Upgrades!$T$15="Peculiar Velocity",POWER(Upgrades!$U$15,G50),1)*IF(Upgrades!$T$16="Peculiar Velocity",POWER(Upgrades!$U$16,H50),1)*IF(Upgrades!$T$17="Peculiar Velocity",POWER(Upgrades!$U$17,I50),1)*IF(Upgrades!$T$18="Peculiar Velocity",POWER(Upgrades!$U$18,J50),1)*IF(Upgrades!$T$20="Peculiar Velocity",POWER(Upgrades!$U$20,L50),1)*IF(Upgrades!$T$21="Peculiar Velocity",POWER(Upgrades!$U$21,M50),1))+(IF(L50=0,0,(Upgrades!$J$20+L50*Upgrades!$K$20)*POWER(Upgrades!$L$20,L50)))*(IF(Upgrades!$T$13="Open Cluster",POWER(Upgrades!$U$13,E50),1)*IF(Upgrades!$T$14="Open Cluster",POWER(Upgrades!$U$14,F50),1)*IF(Upgrades!$T$15="Open Cluster",POWER(Upgrades!$U$15,G50),1)*IF(Upgrades!$T$16="Open Cluster",POWER(Upgrades!$U$16,H50),1)*IF(Upgrades!$T$17="Open Cluster",POWER(Upgrades!$U$17,I50),1)*IF(Upgrades!$T$18="Open Cluster",POWER(Upgrades!$U$18,J50),1)*IF(Upgrades!$T$19="Open Cluster",POWER(Upgrades!$U$19,K50),1)*IF(Upgrades!$T$21="Open Cluster",POWER(Upgrades!$U$21,M50),1))+(IF(M50=0,0,(Upgrades!$J$21+M50*Upgrades!$K$21)*POWER(Upgrades!$L$21,M50)))*(IF(Upgrades!$T$13="Moving Group",POWER(Upgrades!$U$13,E50),1)*IF(Upgrades!$T$14="Moving Group",POWER(Upgrades!$U$14,F50),1)*IF(Upgrades!$T$15="Moving Group",POWER(Upgrades!$U$15,G50),1)*IF(Upgrades!$T$16="Moving Group",POWER(Upgrades!$U$16,H50),1)*IF(Upgrades!$T$17="Moving Group",POWER(Upgrades!$U$17,I50),1)*IF(Upgrades!$T$18="Moving Group",POWER(Upgrades!$U$18,J50),1)*IF(Upgrades!$T$19="Moving Group",POWER(Upgrades!$U$19,K50),1)*IF(Upgrades!$T$20="Moving Group",POWER(Upgrades!$U$20,L50),1)))*POWER(Upgrades!$Q$13,E50)*POWER(Upgrades!$Q$14,F50)*POWER(Upgrades!$Q$15,G50)*POWER(Upgrades!$Q$16,H50)*POWER(Upgrades!$Q$17,I50)*POWER(Upgrades!$Q$18,J50)*POWER(Upgrades!$Q$19,K50)*POWER(Upgrades!$Q$20,L50)*POWER(Upgrades!$Q$21,M50)*$G$6+$D$6</f>
        <v/>
      </c>
      <c r="P50" s="28">
        <f>((IF(E50=0,0,(Upgrades!$G$13+E50*Upgrades!$H$13)*POWER(Upgrades!$I$13,E50)))*(IF(Upgrades!$T$14="Stellar Kinematics",POWER(Upgrades!$U$14,F50),1)*IF(Upgrades!$T$15="Stellar Kinematics",POWER(Upgrades!$U$15,G50),1)*IF(Upgrades!$T$16="Stellar Kinematics",POWER(Upgrades!$U$16,H50),1)*IF(Upgrades!$T$17="Stellar Kinematics",POWER(Upgrades!$U$17,I50),1)*IF(Upgrades!$T$18="Stellar Kinematics",POWER(Upgrades!$U$18,J50),1)*IF(Upgrades!$T$19="Stellar Kinematics",POWER(Upgrades!$U$19,K50),1)*IF(Upgrades!$T$20="Stellar Kinematics",POWER(Upgrades!$U$20,L50),1)*IF(Upgrades!$T$21="Stellar Kinematics",POWER(Upgrades!$U$21,M50),1))+(IF(F50=0,0,(Upgrades!$G$14+F50*Upgrades!$H$14)*POWER(Upgrades!$I$14,F50)))*(IF(Upgrades!$T$13="Local Bubble",POWER(Upgrades!$U$13,E50),1)*IF(Upgrades!$T$15="Local Bubble",POWER(Upgrades!$U$15,G50),1)*IF(Upgrades!$T$16="Local Bubble",POWER(Upgrades!$U$16,H50),1)*IF(Upgrades!$T$17="Local Bubble",POWER(Upgrades!$U$17,I50),1)*IF(Upgrades!$T$18="Local Bubble",POWER(Upgrades!$U$18,J50),1)*IF(Upgrades!$T$19="Local Bubble",POWER(Upgrades!$U$19,K50),1)*IF(Upgrades!$T$20="Local Bubble",POWER(Upgrades!$U$20,L50),1)*IF(Upgrades!$T$21="Local Bubble",POWER(Upgrades!$U$21,M50),1))+(IF(G50=0,0,(Upgrades!$G$15+G50*Upgrades!$H$15)*POWER(Upgrades!$I$15,G50)))*(IF(Upgrades!$T$13="Microlensing",POWER(Upgrades!$U$13,E50),1)*IF(Upgrades!$T$14="Microlensing",POWER(Upgrades!$U$14,F50),1)*IF(Upgrades!$T$16="Microlensing",POWER(Upgrades!$U$16,H50),1)*IF(Upgrades!$T$17="Microlensing",POWER(Upgrades!$U$17,I50),1)*IF(Upgrades!$T$18="Microlensing",POWER(Upgrades!$U$18,J50),1)*IF(Upgrades!$T$19="Microlensing",POWER(Upgrades!$U$19,K50),1)*IF(Upgrades!$T$20="Microlensing",POWER(Upgrades!$U$20,L50),1)*IF(Upgrades!$T$21="Microlensing",POWER(Upgrades!$U$21,M50),1))+(IF(H50=0,0,(Upgrades!$G$16+H50*Upgrades!$H$16)*POWER(Upgrades!$I$16,H50)))*(IF(Upgrades!$T$13="Roche Lobe Overflow",POWER(Upgrades!$U$13,E50),1)*IF(Upgrades!$T$14="Roche Lobe Overflow",POWER(Upgrades!$U$14,F50),1)*IF(Upgrades!$T$15="Roche Lobe Overflow",POWER(Upgrades!$U$15,G50),1)*IF(Upgrades!$T$17="Roche Lobe Overflow",POWER(Upgrades!$U$17,I50),1)*IF(Upgrades!$T$18="Roche Lobe Overflow",POWER(Upgrades!$U$18,J50),1)*IF(Upgrades!$T$19="Roche Lobe Overflow",POWER(Upgrades!$U$19,K50),1)*IF(Upgrades!$T$20="Roche Lobe Overflow",POWER(Upgrades!$U$20,L50),1)*IF(Upgrades!$T$21="Roche Lobe Overflow",POWER(Upgrades!$U$21,M50),1))+(IF(I50=0,0,(Upgrades!$G$17+I50*Upgrades!$H$17)*POWER(Upgrades!$I$17,I50)))*(IF(Upgrades!$T$13="Brown Dwarf",POWER(Upgrades!$U$13,E50),1)*IF(Upgrades!$T$14="Brown Dwarf",POWER(Upgrades!$U$14,F50),1)*IF(Upgrades!$T$15="Brown Dwarf",POWER(Upgrades!$U$15,G50),1)*IF(Upgrades!$T$16="Brown Dwarf",POWER(Upgrades!$U$16,H50),1)*IF(Upgrades!$T$18="Brown Dwarf",POWER(Upgrades!$U$18,J50),1)*IF(Upgrades!$T$19="Brown Dwarf",POWER(Upgrades!$U$19,K50),1)*IF(Upgrades!$T$20="Brown Dwarf",POWER(Upgrades!$U$20,L50),1)*IF(Upgrades!$T$21="Brown Dwarf",POWER(Upgrades!$U$21,M50),1))+(IF(J50=0,0,(Upgrades!$G$18+J50*Upgrades!$H$18)*POWER(Upgrades!$I$18,J50)))*(IF(Upgrades!$T$13="Binary Partner",POWER(Upgrades!$U$13,E50),1)*IF(Upgrades!$T$14="Binary Partner",POWER(Upgrades!$U$14,F50),1)*IF(Upgrades!$T$15="Binary Partner",POWER(Upgrades!$U$15,G50),1)*IF(Upgrades!$T$16="Binary Partner",POWER(Upgrades!$U$16,H50),1)*IF(Upgrades!$T$17="Binary Partner",POWER(Upgrades!$U$17,I50),1)*IF(Upgrades!$T$19="Binary Partner",POWER(Upgrades!$U$19,K50),1)*IF(Upgrades!$T$20="Binary Partner",POWER(Upgrades!$U$20,L50),1)*IF(Upgrades!$T$21="Binary Partner",POWER(Upgrades!$U$21,M50),1))+(IF(K50=0,0,(Upgrades!$G$19+K50*Upgrades!$H$19)*POWER(Upgrades!$I$19,K50)))*(IF(Upgrades!$T$13="Peculiar Velocity",POWER(Upgrades!$U$13,E50),1)*IF(Upgrades!$T$14="Peculiar Velocity",POWER(Upgrades!$U$14,F50),1)*IF(Upgrades!$T$15="Peculiar Velocity",POWER(Upgrades!$U$15,G50),1)*IF(Upgrades!$T$16="Peculiar Velocity",POWER(Upgrades!$U$16,H50),1)*IF(Upgrades!$T$17="Peculiar Velocity",POWER(Upgrades!$U$17,I50),1)*IF(Upgrades!$T$18="Peculiar Velocity",POWER(Upgrades!$U$18,J50),1)*IF(Upgrades!$T$20="Peculiar Velocity",POWER(Upgrades!$U$20,L50),1)*IF(Upgrades!$T$21="Peculiar Velocity",POWER(Upgrades!$U$21,M50),1))+(IF(L50=0,0,(Upgrades!$G$20+L50*Upgrades!$H$20)*POWER(Upgrades!$I$20,L50)))*(IF(Upgrades!$T$13="Open Cluster",POWER(Upgrades!$U$13,E50),1)*IF(Upgrades!$T$14="Open Cluster",POWER(Upgrades!$U$14,F50),1)*IF(Upgrades!$T$15="Open Cluster",POWER(Upgrades!$U$15,G50),1)*IF(Upgrades!$T$16="Open Cluster",POWER(Upgrades!$U$16,H50),1)*IF(Upgrades!$T$17="Open Cluster",POWER(Upgrades!$U$17,I50),1)*IF(Upgrades!$T$18="Open Cluster",POWER(Upgrades!$U$18,J50),1)*IF(Upgrades!$T$19="Open Cluster",POWER(Upgrades!$U$19,K50),1)*IF(Upgrades!$T$21="Open Cluster",POWER(Upgrades!$U$21,M50),1))+(IF(M50=0,0,(Upgrades!$G$21+M50*Upgrades!$H$21)*POWER(Upgrades!$I$21,M50)))*(IF(Upgrades!$T$13="Moving Group",POWER(Upgrades!$U$13,E50),1)*IF(Upgrades!$T$14="Moving Group",POWER(Upgrades!$U$14,F50),1)*IF(Upgrades!$T$15="Moving Group",POWER(Upgrades!$U$15,G50),1)*IF(Upgrades!$T$16="Moving Group",POWER(Upgrades!$U$16,H50),1)*IF(Upgrades!$T$17="Moving Group",POWER(Upgrades!$U$17,I50),1)*IF(Upgrades!$T$18="Moving Group",POWER(Upgrades!$U$18,J50),1)*IF(Upgrades!$T$19="Moving Group",POWER(Upgrades!$U$19,K50),1)*IF(Upgrades!$T$20="Moving Group",POWER(Upgrades!$U$20,L50),1)))*POWER(Upgrades!$P$13,E50)*POWER(Upgrades!$P$14,F50)*POWER(Upgrades!$P$15,G50)*POWER(Upgrades!$P$16,H50)*POWER(Upgrades!$P$17,I50)*POWER(Upgrades!$P$18,J50)*POWER(Upgrades!$P$19,K50)*POWER(Upgrades!$P$20,L50)*POWER(Upgrades!$P$21,M50)*$F$6+$C$6</f>
        <v/>
      </c>
      <c r="Q50" s="28">
        <f>((IF(E50=0,0,(Upgrades!$M$13+E50*Upgrades!$N$13)*POWER(Upgrades!$O$13,E50)))*(IF(Upgrades!$T$14="Stellar Kinematics",POWER(Upgrades!$U$14,F50),1)*IF(Upgrades!$T$15="Stellar Kinematics",POWER(Upgrades!$U$15,G50),1)*IF(Upgrades!$T$16="Stellar Kinematics",POWER(Upgrades!$U$16,H50),1)*IF(Upgrades!$T$17="Stellar Kinematics",POWER(Upgrades!$U$17,I50),1)*IF(Upgrades!$T$18="Stellar Kinematics",POWER(Upgrades!$U$18,J50),1)*IF(Upgrades!$T$19="Stellar Kinematics",POWER(Upgrades!$U$19,K50),1)*IF(Upgrades!$T$20="Stellar Kinematics",POWER(Upgrades!$U$20,L50),1)*IF(Upgrades!$T$21="Stellar Kinematics",POWER(Upgrades!$U$21,M50),1))+(IF(F50=0,0,(Upgrades!$M$14+F50*Upgrades!$N$14)*POWER(Upgrades!$O$14,F50)))*(IF(Upgrades!$T$13="Local Bubble",POWER(Upgrades!$U$13,E50),1)*IF(Upgrades!$T$15="Local Bubble",POWER(Upgrades!$U$15,G50),1)*IF(Upgrades!$T$16="Local Bubble",POWER(Upgrades!$U$16,H50),1)*IF(Upgrades!$T$17="Local Bubble",POWER(Upgrades!$U$17,I50),1)*IF(Upgrades!$T$18="Local Bubble",POWER(Upgrades!$U$18,J50),1)*IF(Upgrades!$T$19="Local Bubble",POWER(Upgrades!$U$19,K50),1)*IF(Upgrades!$T$20="Local Bubble",POWER(Upgrades!$U$20,L50),1)*IF(Upgrades!$T$21="Local Bubble",POWER(Upgrades!$U$21,M50),1))+(IF(G50=0,0,(Upgrades!$M$15+G50*Upgrades!$N$15)*POWER(Upgrades!$O$15,G50)))*(IF(Upgrades!$T$13="Microlensing",POWER(Upgrades!$U$13,E50),1)*IF(Upgrades!$T$14="Microlensing",POWER(Upgrades!$U$14,F50),1)*IF(Upgrades!$T$16="Microlensing",POWER(Upgrades!$U$16,H50),1)*IF(Upgrades!$T$17="Microlensing",POWER(Upgrades!$U$17,I50),1)*IF(Upgrades!$T$18="Microlensing",POWER(Upgrades!$U$18,J50),1)*IF(Upgrades!$T$19="Microlensing",POWER(Upgrades!$U$19,K50),1)*IF(Upgrades!$T$20="Microlensing",POWER(Upgrades!$U$20,L50),1)*IF(Upgrades!$T$21="Microlensing",POWER(Upgrades!$U$21,M50),1))+(IF(H50=0,0,(Upgrades!$M$16+H50*Upgrades!$N$16)*POWER(Upgrades!$O$16,H50)))*(IF(Upgrades!$T$13="Roche Lobe Overflow",POWER(Upgrades!$U$13,E50),1)*IF(Upgrades!$T$14="Roche Lobe Overflow",POWER(Upgrades!$U$14,F50),1)*IF(Upgrades!$T$15="Roche Lobe Overflow",POWER(Upgrades!$U$15,G50),1)*IF(Upgrades!$T$17="Roche Lobe Overflow",POWER(Upgrades!$U$17,I50),1)*IF(Upgrades!$T$18="Roche Lobe Overflow",POWER(Upgrades!$U$18,J50),1)*IF(Upgrades!$T$19="Roche Lobe Overflow",POWER(Upgrades!$U$19,K50),1)*IF(Upgrades!$T$20="Roche Lobe Overflow",POWER(Upgrades!$U$20,L50),1)*IF(Upgrades!$T$21="Roche Lobe Overflow",POWER(Upgrades!$U$21,M50),1))+(IF(I50=0,0,(Upgrades!$M$17+I50*Upgrades!$N$17)*POWER(Upgrades!$O$17,I50)))*(IF(Upgrades!$T$13="Brown Dwarf",POWER(Upgrades!$U$13,E50),1)*IF(Upgrades!$T$14="Brown Dwarf",POWER(Upgrades!$U$14,F50),1)*IF(Upgrades!$T$15="Brown Dwarf",POWER(Upgrades!$U$15,G50),1)*IF(Upgrades!$T$16="Brown Dwarf",POWER(Upgrades!$U$16,H50),1)*IF(Upgrades!$T$18="Brown Dwarf",POWER(Upgrades!$U$18,J50),1)*IF(Upgrades!$T$19="Brown Dwarf",POWER(Upgrades!$U$19,K50),1)*IF(Upgrades!$T$20="Brown Dwarf",POWER(Upgrades!$U$20,L50),1)*IF(Upgrades!$T$21="Brown Dwarf",POWER(Upgrades!$U$21,M50),1))+(IF(J50=0,0,(Upgrades!$M$18+J50*Upgrades!$N$18)*POWER(Upgrades!$O$18,J50)))*(IF(Upgrades!$T$13="Binary Partner",POWER(Upgrades!$U$13,E50),1)*IF(Upgrades!$T$14="Binary Partner",POWER(Upgrades!$U$14,F50),1)*IF(Upgrades!$T$15="Binary Partner",POWER(Upgrades!$U$15,G50),1)*IF(Upgrades!$T$16="Binary Partner",POWER(Upgrades!$U$16,H50),1)*IF(Upgrades!$T$17="Binary Partner",POWER(Upgrades!$U$17,I50),1)*IF(Upgrades!$T$19="Binary Partner",POWER(Upgrades!$U$19,K50),1)*IF(Upgrades!$T$20="Binary Partner",POWER(Upgrades!$U$20,L50),1)*IF(Upgrades!$T$21="Binary Partner",POWER(Upgrades!$U$21,M50),1))+(IF(K50=0,0,(Upgrades!$M$19+K50*Upgrades!$N$19)*POWER(Upgrades!$O$19,K50)))*(IF(Upgrades!$T$13="Peculiar Velocity",POWER(Upgrades!$U$13,E50),1)*IF(Upgrades!$T$14="Peculiar Velocity",POWER(Upgrades!$U$14,F50),1)*IF(Upgrades!$T$15="Peculiar Velocity",POWER(Upgrades!$U$15,G50),1)*IF(Upgrades!$T$16="Peculiar Velocity",POWER(Upgrades!$U$16,H50),1)*IF(Upgrades!$T$17="Peculiar Velocity",POWER(Upgrades!$U$17,I50),1)*IF(Upgrades!$T$18="Peculiar Velocity",POWER(Upgrades!$U$18,J50),1)*IF(Upgrades!$T$20="Peculiar Velocity",POWER(Upgrades!$U$20,L50),1)*IF(Upgrades!$T$21="Peculiar Velocity",POWER(Upgrades!$U$21,M50),1))+(IF(L50=0,0,(Upgrades!$M$20+L50*Upgrades!$N$20)*POWER(Upgrades!$O$20,L50)))*(IF(Upgrades!$T$13="Open Cluster",POWER(Upgrades!$U$13,E50),1)*IF(Upgrades!$T$14="Open Cluster",POWER(Upgrades!$U$14,F50),1)*IF(Upgrades!$T$15="Open Cluster",POWER(Upgrades!$U$15,G50),1)*IF(Upgrades!$T$16="Open Cluster",POWER(Upgrades!$U$16,H50),1)*IF(Upgrades!$T$17="Open Cluster",POWER(Upgrades!$U$17,I50),1)*IF(Upgrades!$T$18="Open Cluster",POWER(Upgrades!$U$18,J50),1)*IF(Upgrades!$T$19="Open Cluster",POWER(Upgrades!$U$19,K50),1)*IF(Upgrades!$T$21="Open Cluster",POWER(Upgrades!$U$21,M50),1))+(IF(M50=0,0,(Upgrades!$M$21+M50*Upgrades!$N$21)*POWER(Upgrades!$O$21,M50)))*(IF(Upgrades!$T$13="Moving Group",POWER(Upgrades!$U$13,E50),1)*IF(Upgrades!$T$14="Moving Group",POWER(Upgrades!$U$14,F50),1)*IF(Upgrades!$T$15="Moving Group",POWER(Upgrades!$U$15,G50),1)*IF(Upgrades!$T$16="Moving Group",POWER(Upgrades!$U$16,H50),1)*IF(Upgrades!$T$17="Moving Group",POWER(Upgrades!$U$17,I50),1)*IF(Upgrades!$T$18="Moving Group",POWER(Upgrades!$U$18,J50),1)*IF(Upgrades!$T$19="Moving Group",POWER(Upgrades!$U$19,K50),1)*IF(Upgrades!$T$20="Moving Group",POWER(Upgrades!$U$20,L50),1)))*POWER(Upgrades!$R$13,E50)*POWER(Upgrades!$R$14,F50)*POWER(Upgrades!$R$15,G50)*POWER(Upgrades!$R$16,H50)*POWER(Upgrades!$R$17,I50)*POWER(Upgrades!$R$18,J50)*POWER(Upgrades!$R$19,K50)*POWER(Upgrades!$R$20,L50)*POWER(Upgrades!$R$21,M50)*$H$6+$E$6</f>
        <v/>
      </c>
      <c r="R50" s="27">
        <f>IF(N50=1,0,O50*Parameters!$B$10/60*Parameters!$B$11*10)</f>
        <v/>
      </c>
      <c r="S50" s="27">
        <f>IF(N50=1,0,Q50*O50*10)</f>
        <v/>
      </c>
      <c r="T50" s="27">
        <f>IF(N50=1,0,R50+S50+P50*10)</f>
        <v/>
      </c>
      <c r="U50" s="33">
        <f>BE50</f>
        <v/>
      </c>
      <c r="V50" s="22">
        <f>IF(U50="",0,IF(U50="transition",0,IF(U50="SK",AK50,IF(U50="LB",AL50,IF(U50="ML",AM50,IF(U50="RLO",AN50,IF(U50="BD",AO50,IF(U50="BiP",AP50,IF(U50="PV",AQ50,IF(U50="OC",AR50,IF(U50="MG",AS50,0))))))))))</f>
        <v/>
      </c>
      <c r="W50" s="27">
        <f>IF(U50="BiP",Upgrades!$F$18,IF(U50="PV",Upgrades!$F$19,IF(U50="OC",Upgrades!$F$20,IF(U50="MG",Upgrades!$F$21,IF(U50="transition",-Parameters!$B$18*Parameters!$B$19,0)))))</f>
        <v/>
      </c>
      <c r="X50" s="22">
        <f>C50+T50-V50</f>
        <v/>
      </c>
      <c r="Y50" s="30">
        <f>O50*Parameters!$B$10/60*Parameters!$B$11+Q50*O50+P50</f>
        <v/>
      </c>
      <c r="Z50" s="34">
        <f>IF(U50="transition","→ Tier 3 (Galactic Arm)",IF(U50="MG","Moving Group — pocket drifts together",IF(U50="OC","Open Cluster acquired",IF(U50="PV","Peculiar Velocity — passive multiplier active",IF(U50="BiP","Binary Partner — pair bond formed",IF(AND(AU50=1,N50=0,AT50&lt;&gt;1),"Cohesion ready (waiting on completionists)","")))))) </f>
        <v/>
      </c>
      <c r="AA50" s="27">
        <f>(IF(E50=0,0,(Upgrades!$G$13+E50*Upgrades!$H$13)*POWER(Upgrades!$I$13,E50)))*(IF(Upgrades!$T$14="Stellar Kinematics",POWER(Upgrades!$U$14,F50),1)*IF(Upgrades!$T$15="Stellar Kinematics",POWER(Upgrades!$U$15,G50),1)*IF(Upgrades!$T$16="Stellar Kinematics",POWER(Upgrades!$U$16,H50),1)*IF(Upgrades!$T$17="Stellar Kinematics",POWER(Upgrades!$U$17,I50),1)*IF(Upgrades!$T$18="Stellar Kinematics",POWER(Upgrades!$U$18,J50),1)*IF(Upgrades!$T$19="Stellar Kinematics",POWER(Upgrades!$U$19,K50),1)*IF(Upgrades!$T$20="Stellar Kinematics",POWER(Upgrades!$U$20,L50),1)*IF(Upgrades!$T$21="Stellar Kinematics",POWER(Upgrades!$U$21,M50),1))*POWER(Upgrades!$P$13,E50)*POWER(Upgrades!$P$14,F50)*POWER(Upgrades!$P$15,G50)*POWER(Upgrades!$P$16,H50)*POWER(Upgrades!$P$17,I50)*POWER(Upgrades!$P$18,J50)*POWER(Upgrades!$P$19,K50)*POWER(Upgrades!$P$20,L50)*POWER(Upgrades!$P$21,M50)*$F$6*60</f>
        <v/>
      </c>
      <c r="AB50" s="27">
        <f>(IF(F50=0,0,(Upgrades!$G$14+F50*Upgrades!$H$14)*POWER(Upgrades!$I$14,F50)))*(IF(Upgrades!$T$13="Local Bubble",POWER(Upgrades!$U$13,E50),1)*IF(Upgrades!$T$15="Local Bubble",POWER(Upgrades!$U$15,G50),1)*IF(Upgrades!$T$16="Local Bubble",POWER(Upgrades!$U$16,H50),1)*IF(Upgrades!$T$17="Local Bubble",POWER(Upgrades!$U$17,I50),1)*IF(Upgrades!$T$18="Local Bubble",POWER(Upgrades!$U$18,J50),1)*IF(Upgrades!$T$19="Local Bubble",POWER(Upgrades!$U$19,K50),1)*IF(Upgrades!$T$20="Local Bubble",POWER(Upgrades!$U$20,L50),1)*IF(Upgrades!$T$21="Local Bubble",POWER(Upgrades!$U$21,M50),1))*POWER(Upgrades!$P$13,E50)*POWER(Upgrades!$P$14,F50)*POWER(Upgrades!$P$15,G50)*POWER(Upgrades!$P$16,H50)*POWER(Upgrades!$P$17,I50)*POWER(Upgrades!$P$18,J50)*POWER(Upgrades!$P$19,K50)*POWER(Upgrades!$P$20,L50)*POWER(Upgrades!$P$21,M50)*$F$6*60</f>
        <v/>
      </c>
      <c r="AC50" s="27">
        <f>(IF(G50=0,0,(Upgrades!$J$15+G50*Upgrades!$K$15)*POWER(Upgrades!$L$15,G50)))*(IF(Upgrades!$T$13="Microlensing",POWER(Upgrades!$U$13,E50),1)*IF(Upgrades!$T$14="Microlensing",POWER(Upgrades!$U$14,F50),1)*IF(Upgrades!$T$16="Microlensing",POWER(Upgrades!$U$16,H50),1)*IF(Upgrades!$T$17="Microlensing",POWER(Upgrades!$U$17,I50),1)*IF(Upgrades!$T$18="Microlensing",POWER(Upgrades!$U$18,J50),1)*IF(Upgrades!$T$19="Microlensing",POWER(Upgrades!$U$19,K50),1)*IF(Upgrades!$T$20="Microlensing",POWER(Upgrades!$U$20,L50),1)*IF(Upgrades!$T$21="Microlensing",POWER(Upgrades!$U$21,M50),1))*POWER(Upgrades!$Q$13,E50)*POWER(Upgrades!$Q$14,F50)*POWER(Upgrades!$Q$15,G50)*POWER(Upgrades!$Q$16,H50)*POWER(Upgrades!$Q$17,I50)*POWER(Upgrades!$Q$18,J50)*POWER(Upgrades!$Q$19,K50)*POWER(Upgrades!$Q$20,L50)*POWER(Upgrades!$Q$21,M50)*$G$6*(Parameters!$B$10*Parameters!$B$11+Q50*60)</f>
        <v/>
      </c>
      <c r="AD50" s="27">
        <f>(IF(H50=0,0,(Upgrades!$M$16+H50*Upgrades!$N$16)*POWER(Upgrades!$O$16,H50)))*(IF(Upgrades!$T$13="Roche Lobe Overflow",POWER(Upgrades!$U$13,E50),1)*IF(Upgrades!$T$14="Roche Lobe Overflow",POWER(Upgrades!$U$14,F50),1)*IF(Upgrades!$T$15="Roche Lobe Overflow",POWER(Upgrades!$U$15,G50),1)*IF(Upgrades!$T$17="Roche Lobe Overflow",POWER(Upgrades!$U$17,I50),1)*IF(Upgrades!$T$18="Roche Lobe Overflow",POWER(Upgrades!$U$18,J50),1)*IF(Upgrades!$T$19="Roche Lobe Overflow",POWER(Upgrades!$U$19,K50),1)*IF(Upgrades!$T$20="Roche Lobe Overflow",POWER(Upgrades!$U$20,L50),1)*IF(Upgrades!$T$21="Roche Lobe Overflow",POWER(Upgrades!$U$21,M50),1))*POWER(Upgrades!$R$13,E50)*POWER(Upgrades!$R$14,F50)*POWER(Upgrades!$R$15,G50)*POWER(Upgrades!$R$16,H50)*POWER(Upgrades!$R$17,I50)*POWER(Upgrades!$R$18,J50)*POWER(Upgrades!$R$19,K50)*POWER(Upgrades!$R$20,L50)*POWER(Upgrades!$R$21,M50)*$H$6*O50*60</f>
        <v/>
      </c>
      <c r="AE50" s="27">
        <f>(IF(I50=0,0,(Upgrades!$G$17+I50*Upgrades!$H$17)*POWER(Upgrades!$I$17,I50)))*(IF(Upgrades!$T$13="Brown Dwarf",POWER(Upgrades!$U$13,E50),1)*IF(Upgrades!$T$14="Brown Dwarf",POWER(Upgrades!$U$14,F50),1)*IF(Upgrades!$T$15="Brown Dwarf",POWER(Upgrades!$U$15,G50),1)*IF(Upgrades!$T$16="Brown Dwarf",POWER(Upgrades!$U$16,H50),1)*IF(Upgrades!$T$18="Brown Dwarf",POWER(Upgrades!$U$18,J50),1)*IF(Upgrades!$T$19="Brown Dwarf",POWER(Upgrades!$U$19,K50),1)*IF(Upgrades!$T$20="Brown Dwarf",POWER(Upgrades!$U$20,L50),1)*IF(Upgrades!$T$21="Brown Dwarf",POWER(Upgrades!$U$21,M50),1))*POWER(Upgrades!$P$13,E50)*POWER(Upgrades!$P$14,F50)*POWER(Upgrades!$P$15,G50)*POWER(Upgrades!$P$16,H50)*POWER(Upgrades!$P$17,I50)*POWER(Upgrades!$P$18,J50)*POWER(Upgrades!$P$19,K50)*POWER(Upgrades!$P$20,L50)*POWER(Upgrades!$P$21,M50)*$F$6*60</f>
        <v/>
      </c>
      <c r="AF50" s="27" t="n">
        <v>0</v>
      </c>
      <c r="AG50" s="27" t="n">
        <v>0</v>
      </c>
      <c r="AH50" s="27" t="n">
        <v>0</v>
      </c>
      <c r="AI50" s="27">
        <f>(IF(M50=0,0,(Upgrades!$G$21+M50*Upgrades!$H$21)*POWER(Upgrades!$I$21,M50)))*(IF(Upgrades!$T$13="Moving Group",POWER(Upgrades!$U$13,E50),1)*IF(Upgrades!$T$14="Moving Group",POWER(Upgrades!$U$14,F50),1)*IF(Upgrades!$T$15="Moving Group",POWER(Upgrades!$U$15,G50),1)*IF(Upgrades!$T$16="Moving Group",POWER(Upgrades!$U$16,H50),1)*IF(Upgrades!$T$17="Moving Group",POWER(Upgrades!$U$17,I50),1)*IF(Upgrades!$T$18="Moving Group",POWER(Upgrades!$U$18,J50),1)*IF(Upgrades!$T$19="Moving Group",POWER(Upgrades!$U$19,K50),1)*IF(Upgrades!$T$20="Moving Group",POWER(Upgrades!$U$20,L50),1))*POWER(Upgrades!$P$13,E50)*POWER(Upgrades!$P$14,F50)*POWER(Upgrades!$P$15,G50)*POWER(Upgrades!$P$16,H50)*POWER(Upgrades!$P$17,I50)*POWER(Upgrades!$P$18,J50)*POWER(Upgrades!$P$19,K50)*POWER(Upgrades!$P$20,L50)*POWER(Upgrades!$P$21,M50)*$F$6*60</f>
        <v/>
      </c>
      <c r="AJ50" s="27">
        <f>$C$6*60</f>
        <v/>
      </c>
      <c r="AK50" s="22">
        <f>IF(E50&gt;=Upgrades!$E$13,"",Upgrades!$C$13*POWER(Upgrades!$D$13,E50))</f>
        <v/>
      </c>
      <c r="AL50" s="22">
        <f>IF(F50&gt;=Upgrades!$E$14,"",Upgrades!$C$14*POWER(Upgrades!$D$14,F50))</f>
        <v/>
      </c>
      <c r="AM50" s="22">
        <f>IF(G50&gt;=Upgrades!$E$15,"",Upgrades!$C$15*POWER(Upgrades!$D$15,G50))</f>
        <v/>
      </c>
      <c r="AN50" s="22">
        <f>IF(H50&gt;=Upgrades!$E$16,"",Upgrades!$C$16*POWER(Upgrades!$D$16,H50))</f>
        <v/>
      </c>
      <c r="AO50" s="22">
        <f>IF(I50&gt;=Upgrades!$E$17,"",Upgrades!$C$17*POWER(Upgrades!$D$17,I50))</f>
        <v/>
      </c>
      <c r="AP50" s="22">
        <f>IF(J50&gt;=Upgrades!$E$18,"",Upgrades!$C$18*POWER(Upgrades!$D$18,J50))</f>
        <v/>
      </c>
      <c r="AQ50" s="22">
        <f>IF(K50&gt;=Upgrades!$E$19,"",Upgrades!$C$19*POWER(Upgrades!$D$19,K50))</f>
        <v/>
      </c>
      <c r="AR50" s="22">
        <f>IF(L50&gt;=Upgrades!$E$20,"",Upgrades!$C$20*POWER(Upgrades!$D$20,L50))</f>
        <v/>
      </c>
      <c r="AS50" s="22">
        <f>IF(M50&gt;=Upgrades!$E$21,"",Upgrades!$C$21*POWER(Upgrades!$D$21,M50))</f>
        <v/>
      </c>
      <c r="AT50" s="26">
        <f>IF(AND(D50&gt;=Parameters!$B$18*Parameters!$B$19,(I50&gt;=Upgrades!$E$17)*(M50&gt;=Upgrades!$E$21)=1,N50=0),1,"")</f>
        <v/>
      </c>
      <c r="AU50" s="26">
        <f>IF(AND(D50&gt;=Parameters!$B$18*Parameters!$B$19,N50=0),1,"")</f>
        <v/>
      </c>
      <c r="AV50" s="22">
        <f>MIN(IF(ISNUMBER(AP50),AP50,9E15),IF(ISNUMBER(AQ50),AQ50,9E15),IF(ISNUMBER(AR50),AR50,9E15),IF(ISNUMBER(AS50),AS50,9E15))</f>
        <v/>
      </c>
      <c r="AW50" s="22">
        <f>MIN(IF(ISNUMBER(AK50),AK50,9E15),IF(ISNUMBER(AL50),AL50,9E15),IF(ISNUMBER(AM50),AM50,9E15),IF(ISNUMBER(AN50),AN50,9E15),IF(ISNUMBER(AO50),AO50,9E15))</f>
        <v/>
      </c>
      <c r="AX50" s="29">
        <f>IF(BD50&gt;Parameters!$B$21*(MAX(IF(AND(NOT(AND(AU50=1,AT50&lt;&gt;1)),ISNUMBER(AK50),AK50&lt;=(C50+T50)),AY50,0),IF(AND(NOT(AND(AU50=1,AT50&lt;&gt;1)),ISNUMBER(AL50),AL50&lt;=(C50+T50)),AZ50,0),IF(AND(NOT(AND(AU50=1,AT50&lt;&gt;1)),ISNUMBER(AM50),AM50&lt;=(C50+T50)),BA50,0),IF(AND(NOT(AND(AU50=1,AT50&lt;&gt;1)),ISNUMBER(AN50),AN50&lt;=(C50+T50)),BB50,0),IF(AND(ISNUMBER(AO50),AO50&lt;=(C50+T50)),BC50,0))),TRUE,FALSE)</f>
        <v/>
      </c>
      <c r="AY50" s="32">
        <f>IFERROR(Upgrades!$H$13*(POWER(Upgrades!$P$13,E50)*POWER(Upgrades!$P$14,F50)*POWER(Upgrades!$P$15,G50)*POWER(Upgrades!$P$16,H50)*POWER(Upgrades!$P$17,I50)*POWER(Upgrades!$P$18,J50)*POWER(Upgrades!$P$19,K50)*POWER(Upgrades!$P$20,L50)*POWER(Upgrades!$P$21,M50))*(IF(Upgrades!$T$14="Stellar Kinematics",POWER(Upgrades!$U$14,F50),1)*IF(Upgrades!$T$15="Stellar Kinematics",POWER(Upgrades!$U$15,G50),1)*IF(Upgrades!$T$16="Stellar Kinematics",POWER(Upgrades!$U$16,H50),1)*IF(Upgrades!$T$17="Stellar Kinematics",POWER(Upgrades!$U$17,I50),1)*IF(Upgrades!$T$18="Stellar Kinematics",POWER(Upgrades!$U$18,J50),1)*IF(Upgrades!$T$19="Stellar Kinematics",POWER(Upgrades!$U$19,K50),1)*IF(Upgrades!$T$20="Stellar Kinematics",POWER(Upgrades!$U$20,L50),1)*IF(Upgrades!$T$21="Stellar Kinematics",POWER(Upgrades!$U$21,M50),1))*$F$6/AK50,0)</f>
        <v/>
      </c>
      <c r="AZ50" s="32">
        <f>IFERROR(Upgrades!$H$14*(POWER(Upgrades!$P$13,E50)*POWER(Upgrades!$P$14,F50)*POWER(Upgrades!$P$15,G50)*POWER(Upgrades!$P$16,H50)*POWER(Upgrades!$P$17,I50)*POWER(Upgrades!$P$18,J50)*POWER(Upgrades!$P$19,K50)*POWER(Upgrades!$P$20,L50)*POWER(Upgrades!$P$21,M50))*(IF(Upgrades!$T$13="Local Bubble",POWER(Upgrades!$U$13,E50),1)*IF(Upgrades!$T$15="Local Bubble",POWER(Upgrades!$U$15,G50),1)*IF(Upgrades!$T$16="Local Bubble",POWER(Upgrades!$U$16,H50),1)*IF(Upgrades!$T$17="Local Bubble",POWER(Upgrades!$U$17,I50),1)*IF(Upgrades!$T$18="Local Bubble",POWER(Upgrades!$U$18,J50),1)*IF(Upgrades!$T$19="Local Bubble",POWER(Upgrades!$U$19,K50),1)*IF(Upgrades!$T$20="Local Bubble",POWER(Upgrades!$U$20,L50),1)*IF(Upgrades!$T$21="Local Bubble",POWER(Upgrades!$U$21,M50),1))*$F$6/AL50,0)</f>
        <v/>
      </c>
      <c r="BA50" s="32">
        <f>IFERROR(Upgrades!$K$15*(POWER(Upgrades!$Q$13,E50)*POWER(Upgrades!$Q$14,F50)*POWER(Upgrades!$Q$15,G50)*POWER(Upgrades!$Q$16,H50)*POWER(Upgrades!$Q$17,I50)*POWER(Upgrades!$Q$18,J50)*POWER(Upgrades!$Q$19,K50)*POWER(Upgrades!$Q$20,L50)*POWER(Upgrades!$Q$21,M50))*(IF(Upgrades!$T$13="Microlensing",POWER(Upgrades!$U$13,E50),1)*IF(Upgrades!$T$14="Microlensing",POWER(Upgrades!$U$14,F50),1)*IF(Upgrades!$T$16="Microlensing",POWER(Upgrades!$U$16,H50),1)*IF(Upgrades!$T$17="Microlensing",POWER(Upgrades!$U$17,I50),1)*IF(Upgrades!$T$18="Microlensing",POWER(Upgrades!$U$18,J50),1)*IF(Upgrades!$T$19="Microlensing",POWER(Upgrades!$U$19,K50),1)*IF(Upgrades!$T$20="Microlensing",POWER(Upgrades!$U$20,L50),1)*IF(Upgrades!$T$21="Microlensing",POWER(Upgrades!$U$21,M50),1))*$G$6*(Parameters!$B$10/60*Parameters!$B$11+Q50)/AM50,0)</f>
        <v/>
      </c>
      <c r="BB50" s="32">
        <f>IFERROR((Upgrades!$N$16*(POWER(Upgrades!$R$13,E50)*POWER(Upgrades!$R$14,F50)*POWER(Upgrades!$R$15,G50)*POWER(Upgrades!$R$16,H50)*POWER(Upgrades!$R$17,I50)*POWER(Upgrades!$R$18,J50)*POWER(Upgrades!$R$19,K50)*POWER(Upgrades!$R$20,L50)*POWER(Upgrades!$R$21,M50))*(IF(Upgrades!$T$13="Roche Lobe Overflow",POWER(Upgrades!$U$13,E50),1)*IF(Upgrades!$T$14="Roche Lobe Overflow",POWER(Upgrades!$U$14,F50),1)*IF(Upgrades!$T$15="Roche Lobe Overflow",POWER(Upgrades!$U$15,G50),1)*IF(Upgrades!$T$17="Roche Lobe Overflow",POWER(Upgrades!$U$17,I50),1)*IF(Upgrades!$T$18="Roche Lobe Overflow",POWER(Upgrades!$U$18,J50),1)*IF(Upgrades!$T$19="Roche Lobe Overflow",POWER(Upgrades!$U$19,K50),1)*IF(Upgrades!$T$20="Roche Lobe Overflow",POWER(Upgrades!$U$20,L50),1)*IF(Upgrades!$T$21="Roche Lobe Overflow",POWER(Upgrades!$U$21,M50),1))*$H$6*O50+((IF(F50=0,0,(Upgrades!$G$14+F50*Upgrades!$H$14)*POWER(Upgrades!$I$14,F50)))*(IF(Upgrades!$T$13="Local Bubble",POWER(Upgrades!$U$13,E50),1)*IF(Upgrades!$T$15="Local Bubble",POWER(Upgrades!$U$15,G50),1)*IF(Upgrades!$T$16="Local Bubble",POWER(Upgrades!$U$16,H50),1)*IF(Upgrades!$T$17="Local Bubble",POWER(Upgrades!$U$17,I50),1)*IF(Upgrades!$T$18="Local Bubble",POWER(Upgrades!$U$18,J50),1)*IF(Upgrades!$T$19="Local Bubble",POWER(Upgrades!$U$19,K50),1)*IF(Upgrades!$T$20="Local Bubble",POWER(Upgrades!$U$20,L50),1)*IF(Upgrades!$T$21="Local Bubble",POWER(Upgrades!$U$21,M50),1))*POWER(Upgrades!$P$13,E50)*POWER(Upgrades!$P$14,F50)*POWER(Upgrades!$P$15,G50)*POWER(Upgrades!$P$16,H50)*POWER(Upgrades!$P$17,I50)*POWER(Upgrades!$P$18,J50)*POWER(Upgrades!$P$19,K50)*POWER(Upgrades!$P$20,L50)*POWER(Upgrades!$P$21,M50)*$F$6)*0.05)/AN50,0)</f>
        <v/>
      </c>
      <c r="BC50" s="32">
        <f>IFERROR((Upgrades!$H$17*(POWER(Upgrades!$P$13,E50)*POWER(Upgrades!$P$14,F50)*POWER(Upgrades!$P$15,G50)*POWER(Upgrades!$P$16,H50)*POWER(Upgrades!$P$17,I50)*POWER(Upgrades!$P$18,J50)*POWER(Upgrades!$P$19,K50)*POWER(Upgrades!$P$20,L50)*POWER(Upgrades!$P$21,M50))*(IF(Upgrades!$T$13="Brown Dwarf",POWER(Upgrades!$U$13,E50),1)*IF(Upgrades!$T$14="Brown Dwarf",POWER(Upgrades!$U$14,F50),1)*IF(Upgrades!$T$15="Brown Dwarf",POWER(Upgrades!$U$15,G50),1)*IF(Upgrades!$T$16="Brown Dwarf",POWER(Upgrades!$U$16,H50),1)*IF(Upgrades!$T$18="Brown Dwarf",POWER(Upgrades!$U$18,J50),1)*IF(Upgrades!$T$19="Brown Dwarf",POWER(Upgrades!$U$19,K50),1)*IF(Upgrades!$T$20="Brown Dwarf",POWER(Upgrades!$U$20,L50),1)*IF(Upgrades!$T$21="Brown Dwarf",POWER(Upgrades!$U$21,M50),1))*$F$6+(((IF(H50=0,0,(Upgrades!$M$16+H50*Upgrades!$N$16)*POWER(Upgrades!$O$16,H50)))*(IF(Upgrades!$T$13="Roche Lobe Overflow",POWER(Upgrades!$U$13,E50),1)*IF(Upgrades!$T$14="Roche Lobe Overflow",POWER(Upgrades!$U$14,F50),1)*IF(Upgrades!$T$15="Roche Lobe Overflow",POWER(Upgrades!$U$15,G50),1)*IF(Upgrades!$T$17="Roche Lobe Overflow",POWER(Upgrades!$U$17,I50),1)*IF(Upgrades!$T$18="Roche Lobe Overflow",POWER(Upgrades!$U$18,J50),1)*IF(Upgrades!$T$19="Roche Lobe Overflow",POWER(Upgrades!$U$19,K50),1)*IF(Upgrades!$T$20="Roche Lobe Overflow",POWER(Upgrades!$U$20,L50),1)*IF(Upgrades!$T$21="Roche Lobe Overflow",POWER(Upgrades!$U$21,M50),1))*POWER(Upgrades!$R$13,E50)*POWER(Upgrades!$R$14,F50)*POWER(Upgrades!$R$15,G50)*POWER(Upgrades!$R$16,H50)*POWER(Upgrades!$R$17,I50)*POWER(Upgrades!$R$18,J50)*POWER(Upgrades!$R$19,K50)*POWER(Upgrades!$R$20,L50)*POWER(Upgrades!$R$21,M50)*$H$6)*O50)*0.10)/AO50,0)</f>
        <v/>
      </c>
      <c r="BD50" s="32">
        <f>MAX(IF(J50&gt;0,0,IFERROR(0.5*((IF(G50=0,0,(Upgrades!$J$15+G50*Upgrades!$K$15)*POWER(Upgrades!$L$15,G50)))*(IF(Upgrades!$T$13="Microlensing",POWER(Upgrades!$U$13,E50),1)*IF(Upgrades!$T$14="Microlensing",POWER(Upgrades!$U$14,F50),1)*IF(Upgrades!$T$16="Microlensing",POWER(Upgrades!$U$16,H50),1)*IF(Upgrades!$T$17="Microlensing",POWER(Upgrades!$U$17,I50),1)*IF(Upgrades!$T$18="Microlensing",POWER(Upgrades!$U$18,J50),1)*IF(Upgrades!$T$19="Microlensing",POWER(Upgrades!$U$19,K50),1)*IF(Upgrades!$T$20="Microlensing",POWER(Upgrades!$U$20,L50),1)*IF(Upgrades!$T$21="Microlensing",POWER(Upgrades!$U$21,M50),1))*(POWER(Upgrades!$Q$13,E50)*POWER(Upgrades!$Q$14,F50)*POWER(Upgrades!$Q$15,G50)*POWER(Upgrades!$Q$16,H50)*POWER(Upgrades!$Q$17,I50)*POWER(Upgrades!$Q$18,J50)*POWER(Upgrades!$Q$19,K50)*POWER(Upgrades!$Q$20,L50)*POWER(Upgrades!$Q$21,M50))*$G$6*(Parameters!$B$10/60*Parameters!$B$11+Q50))/Upgrades!$C$18,0)),IF(K50&gt;0,0,IFERROR(0.30*P50/Upgrades!$C$19,0)),IF(L50&gt;0,0,IFERROR(0.0001/Upgrades!$C$20,0)),IF(M50&gt;0,0,IFERROR((6.0*(POWER(Upgrades!$P$13,E50)*POWER(Upgrades!$P$14,F50)*POWER(Upgrades!$P$15,G50)*POWER(Upgrades!$P$16,H50)*POWER(Upgrades!$P$17,I50)*POWER(Upgrades!$P$18,J50)*POWER(Upgrades!$P$19,K50)*POWER(Upgrades!$P$20,L50)*POWER(Upgrades!$P$21,M50))*$F$6+0.20*O50*(Parameters!$B$10/60*Parameters!$B$11+Q50))/Upgrades!$C$21,0)),IF(AND(ISNUMBER(AK50),AK50&gt;(C50+T50)),AY50,0),IF(AND(ISNUMBER(AL50),AL50&gt;(C50+T50)),AZ50,0),IF(AND(ISNUMBER(AM50),AM50&gt;(C50+T50)),BA50,0),IF(AND(ISNUMBER(AN50),AN50&gt;(C50+T50)),BB50,0),IF(AND(ISNUMBER(AO50),AO50&gt;(C50+T50)),BC50,0))</f>
        <v/>
      </c>
      <c r="BE50" s="29">
        <f>IF(AT50=1,"transition",IF(MIN(IF(AND(J50=0,ISNUMBER(AP50),AP50&lt;=(C50+T50)),AP50,9E15),IF(AND(K50=0,ISNUMBER(AQ50),AQ50&lt;=(C50+T50)),AQ50,9E15),IF(AND(L50=0,ISNUMBER(AR50),AR50&lt;=(C50+T50)),AR50,9E15),IF(AND(M50=0,ISNUMBER(AS50),AS50&lt;=(C50+T50)),AS50,9E15))&lt;9E15,IF(AND(AND(J50=0,ISNUMBER(AP50),AP50&lt;=(C50+T50)),AP50=MIN(IF(AND(J50=0,ISNUMBER(AP50),AP50&lt;=(C50+T50)),AP50,9E15),IF(AND(K50=0,ISNUMBER(AQ50),AQ50&lt;=(C50+T50)),AQ50,9E15),IF(AND(L50=0,ISNUMBER(AR50),AR50&lt;=(C50+T50)),AR50,9E15),IF(AND(M50=0,ISNUMBER(AS50),AS50&lt;=(C50+T50)),AS50,9E15))),"BiP",IF(AND(AND(K50=0,ISNUMBER(AQ50),AQ50&lt;=(C50+T50)),AQ50=MIN(IF(AND(J50=0,ISNUMBER(AP50),AP50&lt;=(C50+T50)),AP50,9E15),IF(AND(K50=0,ISNUMBER(AQ50),AQ50&lt;=(C50+T50)),AQ50,9E15),IF(AND(L50=0,ISNUMBER(AR50),AR50&lt;=(C50+T50)),AR50,9E15),IF(AND(M50=0,ISNUMBER(AS50),AS50&lt;=(C50+T50)),AS50,9E15))),"PV",IF(AND(AND(L50=0,ISNUMBER(AR50),AR50&lt;=(C50+T50)),AR50=MIN(IF(AND(J50=0,ISNUMBER(AP50),AP50&lt;=(C50+T50)),AP50,9E15),IF(AND(K50=0,ISNUMBER(AQ50),AQ50&lt;=(C50+T50)),AQ50,9E15),IF(AND(L50=0,ISNUMBER(AR50),AR50&lt;=(C50+T50)),AR50,9E15),IF(AND(M50=0,ISNUMBER(AS50),AS50&lt;=(C50+T50)),AS50,9E15))),"OC","MG"))),IF(AX50=TRUE,"",IF(MAX(IF(AND(NOT(AND(AU50=1,AT50&lt;&gt;1)),ISNUMBER(AK50),AK50&lt;=(C50+T50)),AY50,0),IF(AND(NOT(AND(AU50=1,AT50&lt;&gt;1)),ISNUMBER(AL50),AL50&lt;=(C50+T50)),AZ50,0),IF(AND(NOT(AND(AU50=1,AT50&lt;&gt;1)),ISNUMBER(AM50),AM50&lt;=(C50+T50)),BA50,0),IF(AND(NOT(AND(AU50=1,AT50&lt;&gt;1)),ISNUMBER(AN50),AN50&lt;=(C50+T50)),BB50,0),IF(AND(ISNUMBER(AO50),AO50&lt;=(C50+T50)),BC50,0))&lt;=0,"",IF(AND(IF(AND(NOT(AND(AU50=1,AT50&lt;&gt;1)),ISNUMBER(AK50),AK50&lt;=(C50+T50)),AY50,0)&gt;0,IF(AND(NOT(AND(AU50=1,AT50&lt;&gt;1)),ISNUMBER(AK50),AK50&lt;=(C50+T50)),AY50,0)=MAX(IF(AND(NOT(AND(AU50=1,AT50&lt;&gt;1)),ISNUMBER(AK50),AK50&lt;=(C50+T50)),AY50,0),IF(AND(NOT(AND(AU50=1,AT50&lt;&gt;1)),ISNUMBER(AL50),AL50&lt;=(C50+T50)),AZ50,0),IF(AND(NOT(AND(AU50=1,AT50&lt;&gt;1)),ISNUMBER(AM50),AM50&lt;=(C50+T50)),BA50,0),IF(AND(NOT(AND(AU50=1,AT50&lt;&gt;1)),ISNUMBER(AN50),AN50&lt;=(C50+T50)),BB50,0),IF(AND(ISNUMBER(AO50),AO50&lt;=(C50+T50)),BC50,0))),"SK",IF(AND(IF(AND(NOT(AND(AU50=1,AT50&lt;&gt;1)),ISNUMBER(AL50),AL50&lt;=(C50+T50)),AZ50,0)&gt;0,IF(AND(NOT(AND(AU50=1,AT50&lt;&gt;1)),ISNUMBER(AL50),AL50&lt;=(C50+T50)),AZ50,0)=MAX(IF(AND(NOT(AND(AU50=1,AT50&lt;&gt;1)),ISNUMBER(AK50),AK50&lt;=(C50+T50)),AY50,0),IF(AND(NOT(AND(AU50=1,AT50&lt;&gt;1)),ISNUMBER(AL50),AL50&lt;=(C50+T50)),AZ50,0),IF(AND(NOT(AND(AU50=1,AT50&lt;&gt;1)),ISNUMBER(AM50),AM50&lt;=(C50+T50)),BA50,0),IF(AND(NOT(AND(AU50=1,AT50&lt;&gt;1)),ISNUMBER(AN50),AN50&lt;=(C50+T50)),BB50,0),IF(AND(ISNUMBER(AO50),AO50&lt;=(C50+T50)),BC50,0))),"LB",IF(AND(IF(AND(NOT(AND(AU50=1,AT50&lt;&gt;1)),ISNUMBER(AM50),AM50&lt;=(C50+T50)),BA50,0)&gt;0,IF(AND(NOT(AND(AU50=1,AT50&lt;&gt;1)),ISNUMBER(AM50),AM50&lt;=(C50+T50)),BA50,0)=MAX(IF(AND(NOT(AND(AU50=1,AT50&lt;&gt;1)),ISNUMBER(AK50),AK50&lt;=(C50+T50)),AY50,0),IF(AND(NOT(AND(AU50=1,AT50&lt;&gt;1)),ISNUMBER(AL50),AL50&lt;=(C50+T50)),AZ50,0),IF(AND(NOT(AND(AU50=1,AT50&lt;&gt;1)),ISNUMBER(AM50),AM50&lt;=(C50+T50)),BA50,0),IF(AND(NOT(AND(AU50=1,AT50&lt;&gt;1)),ISNUMBER(AN50),AN50&lt;=(C50+T50)),BB50,0),IF(AND(ISNUMBER(AO50),AO50&lt;=(C50+T50)),BC50,0))),"ML",IF(AND(IF(AND(NOT(AND(AU50=1,AT50&lt;&gt;1)),ISNUMBER(AN50),AN50&lt;=(C50+T50)),BB50,0)&gt;0,IF(AND(NOT(AND(AU50=1,AT50&lt;&gt;1)),ISNUMBER(AN50),AN50&lt;=(C50+T50)),BB50,0)=MAX(IF(AND(NOT(AND(AU50=1,AT50&lt;&gt;1)),ISNUMBER(AK50),AK50&lt;=(C50+T50)),AY50,0),IF(AND(NOT(AND(AU50=1,AT50&lt;&gt;1)),ISNUMBER(AL50),AL50&lt;=(C50+T50)),AZ50,0),IF(AND(NOT(AND(AU50=1,AT50&lt;&gt;1)),ISNUMBER(AM50),AM50&lt;=(C50+T50)),BA50,0),IF(AND(NOT(AND(AU50=1,AT50&lt;&gt;1)),ISNUMBER(AN50),AN50&lt;=(C50+T50)),BB50,0),IF(AND(ISNUMBER(AO50),AO50&lt;=(C50+T50)),BC50,0))),"RLO","BD"))))))))</f>
        <v/>
      </c>
    </row>
    <row r="51">
      <c r="A51" s="26" t="n">
        <v>40</v>
      </c>
      <c r="B51" s="27">
        <f>A51*10/60</f>
        <v/>
      </c>
      <c r="C51" s="22">
        <f>X50</f>
        <v/>
      </c>
      <c r="D51" s="27">
        <f>D50+W50</f>
        <v/>
      </c>
      <c r="E51" s="26">
        <f>E50+IF(U50="SK",1,0)</f>
        <v/>
      </c>
      <c r="F51" s="26">
        <f>F50+IF(U50="LB",1,0)</f>
        <v/>
      </c>
      <c r="G51" s="26">
        <f>G50+IF(U50="ML",1,0)</f>
        <v/>
      </c>
      <c r="H51" s="26">
        <f>H50+IF(U50="RLO",1,0)</f>
        <v/>
      </c>
      <c r="I51" s="26">
        <f>I50+IF(U50="BD",1,0)</f>
        <v/>
      </c>
      <c r="J51" s="26">
        <f>MAX(J50,IF(U50="BiP",1,0))</f>
        <v/>
      </c>
      <c r="K51" s="26">
        <f>MAX(K50,IF(U50="PV",1,0))</f>
        <v/>
      </c>
      <c r="L51" s="26">
        <f>MAX(L50,IF(U50="OC",1,0))</f>
        <v/>
      </c>
      <c r="M51" s="26">
        <f>MAX(M50,IF(U50="MG",1,0))</f>
        <v/>
      </c>
      <c r="N51" s="26">
        <f>MAX(N50,IF(U50="transition",1,0))</f>
        <v/>
      </c>
      <c r="O51" s="28">
        <f>(Parameters!$B$9+(IF(E51=0,0,(Upgrades!$J$13+E51*Upgrades!$K$13)*POWER(Upgrades!$L$13,E51)))*(IF(Upgrades!$T$14="Stellar Kinematics",POWER(Upgrades!$U$14,F51),1)*IF(Upgrades!$T$15="Stellar Kinematics",POWER(Upgrades!$U$15,G51),1)*IF(Upgrades!$T$16="Stellar Kinematics",POWER(Upgrades!$U$16,H51),1)*IF(Upgrades!$T$17="Stellar Kinematics",POWER(Upgrades!$U$17,I51),1)*IF(Upgrades!$T$18="Stellar Kinematics",POWER(Upgrades!$U$18,J51),1)*IF(Upgrades!$T$19="Stellar Kinematics",POWER(Upgrades!$U$19,K51),1)*IF(Upgrades!$T$20="Stellar Kinematics",POWER(Upgrades!$U$20,L51),1)*IF(Upgrades!$T$21="Stellar Kinematics",POWER(Upgrades!$U$21,M51),1))+(IF(F51=0,0,(Upgrades!$J$14+F51*Upgrades!$K$14)*POWER(Upgrades!$L$14,F51)))*(IF(Upgrades!$T$13="Local Bubble",POWER(Upgrades!$U$13,E51),1)*IF(Upgrades!$T$15="Local Bubble",POWER(Upgrades!$U$15,G51),1)*IF(Upgrades!$T$16="Local Bubble",POWER(Upgrades!$U$16,H51),1)*IF(Upgrades!$T$17="Local Bubble",POWER(Upgrades!$U$17,I51),1)*IF(Upgrades!$T$18="Local Bubble",POWER(Upgrades!$U$18,J51),1)*IF(Upgrades!$T$19="Local Bubble",POWER(Upgrades!$U$19,K51),1)*IF(Upgrades!$T$20="Local Bubble",POWER(Upgrades!$U$20,L51),1)*IF(Upgrades!$T$21="Local Bubble",POWER(Upgrades!$U$21,M51),1))+(IF(G51=0,0,(Upgrades!$J$15+G51*Upgrades!$K$15)*POWER(Upgrades!$L$15,G51)))*(IF(Upgrades!$T$13="Microlensing",POWER(Upgrades!$U$13,E51),1)*IF(Upgrades!$T$14="Microlensing",POWER(Upgrades!$U$14,F51),1)*IF(Upgrades!$T$16="Microlensing",POWER(Upgrades!$U$16,H51),1)*IF(Upgrades!$T$17="Microlensing",POWER(Upgrades!$U$17,I51),1)*IF(Upgrades!$T$18="Microlensing",POWER(Upgrades!$U$18,J51),1)*IF(Upgrades!$T$19="Microlensing",POWER(Upgrades!$U$19,K51),1)*IF(Upgrades!$T$20="Microlensing",POWER(Upgrades!$U$20,L51),1)*IF(Upgrades!$T$21="Microlensing",POWER(Upgrades!$U$21,M51),1))+(IF(H51=0,0,(Upgrades!$J$16+H51*Upgrades!$K$16)*POWER(Upgrades!$L$16,H51)))*(IF(Upgrades!$T$13="Roche Lobe Overflow",POWER(Upgrades!$U$13,E51),1)*IF(Upgrades!$T$14="Roche Lobe Overflow",POWER(Upgrades!$U$14,F51),1)*IF(Upgrades!$T$15="Roche Lobe Overflow",POWER(Upgrades!$U$15,G51),1)*IF(Upgrades!$T$17="Roche Lobe Overflow",POWER(Upgrades!$U$17,I51),1)*IF(Upgrades!$T$18="Roche Lobe Overflow",POWER(Upgrades!$U$18,J51),1)*IF(Upgrades!$T$19="Roche Lobe Overflow",POWER(Upgrades!$U$19,K51),1)*IF(Upgrades!$T$20="Roche Lobe Overflow",POWER(Upgrades!$U$20,L51),1)*IF(Upgrades!$T$21="Roche Lobe Overflow",POWER(Upgrades!$U$21,M51),1))+(IF(I51=0,0,(Upgrades!$J$17+I51*Upgrades!$K$17)*POWER(Upgrades!$L$17,I51)))*(IF(Upgrades!$T$13="Brown Dwarf",POWER(Upgrades!$U$13,E51),1)*IF(Upgrades!$T$14="Brown Dwarf",POWER(Upgrades!$U$14,F51),1)*IF(Upgrades!$T$15="Brown Dwarf",POWER(Upgrades!$U$15,G51),1)*IF(Upgrades!$T$16="Brown Dwarf",POWER(Upgrades!$U$16,H51),1)*IF(Upgrades!$T$18="Brown Dwarf",POWER(Upgrades!$U$18,J51),1)*IF(Upgrades!$T$19="Brown Dwarf",POWER(Upgrades!$U$19,K51),1)*IF(Upgrades!$T$20="Brown Dwarf",POWER(Upgrades!$U$20,L51),1)*IF(Upgrades!$T$21="Brown Dwarf",POWER(Upgrades!$U$21,M51),1))+(IF(J51=0,0,(Upgrades!$J$18+J51*Upgrades!$K$18)*POWER(Upgrades!$L$18,J51)))*(IF(Upgrades!$T$13="Binary Partner",POWER(Upgrades!$U$13,E51),1)*IF(Upgrades!$T$14="Binary Partner",POWER(Upgrades!$U$14,F51),1)*IF(Upgrades!$T$15="Binary Partner",POWER(Upgrades!$U$15,G51),1)*IF(Upgrades!$T$16="Binary Partner",POWER(Upgrades!$U$16,H51),1)*IF(Upgrades!$T$17="Binary Partner",POWER(Upgrades!$U$17,I51),1)*IF(Upgrades!$T$19="Binary Partner",POWER(Upgrades!$U$19,K51),1)*IF(Upgrades!$T$20="Binary Partner",POWER(Upgrades!$U$20,L51),1)*IF(Upgrades!$T$21="Binary Partner",POWER(Upgrades!$U$21,M51),1))+(IF(K51=0,0,(Upgrades!$J$19+K51*Upgrades!$K$19)*POWER(Upgrades!$L$19,K51)))*(IF(Upgrades!$T$13="Peculiar Velocity",POWER(Upgrades!$U$13,E51),1)*IF(Upgrades!$T$14="Peculiar Velocity",POWER(Upgrades!$U$14,F51),1)*IF(Upgrades!$T$15="Peculiar Velocity",POWER(Upgrades!$U$15,G51),1)*IF(Upgrades!$T$16="Peculiar Velocity",POWER(Upgrades!$U$16,H51),1)*IF(Upgrades!$T$17="Peculiar Velocity",POWER(Upgrades!$U$17,I51),1)*IF(Upgrades!$T$18="Peculiar Velocity",POWER(Upgrades!$U$18,J51),1)*IF(Upgrades!$T$20="Peculiar Velocity",POWER(Upgrades!$U$20,L51),1)*IF(Upgrades!$T$21="Peculiar Velocity",POWER(Upgrades!$U$21,M51),1))+(IF(L51=0,0,(Upgrades!$J$20+L51*Upgrades!$K$20)*POWER(Upgrades!$L$20,L51)))*(IF(Upgrades!$T$13="Open Cluster",POWER(Upgrades!$U$13,E51),1)*IF(Upgrades!$T$14="Open Cluster",POWER(Upgrades!$U$14,F51),1)*IF(Upgrades!$T$15="Open Cluster",POWER(Upgrades!$U$15,G51),1)*IF(Upgrades!$T$16="Open Cluster",POWER(Upgrades!$U$16,H51),1)*IF(Upgrades!$T$17="Open Cluster",POWER(Upgrades!$U$17,I51),1)*IF(Upgrades!$T$18="Open Cluster",POWER(Upgrades!$U$18,J51),1)*IF(Upgrades!$T$19="Open Cluster",POWER(Upgrades!$U$19,K51),1)*IF(Upgrades!$T$21="Open Cluster",POWER(Upgrades!$U$21,M51),1))+(IF(M51=0,0,(Upgrades!$J$21+M51*Upgrades!$K$21)*POWER(Upgrades!$L$21,M51)))*(IF(Upgrades!$T$13="Moving Group",POWER(Upgrades!$U$13,E51),1)*IF(Upgrades!$T$14="Moving Group",POWER(Upgrades!$U$14,F51),1)*IF(Upgrades!$T$15="Moving Group",POWER(Upgrades!$U$15,G51),1)*IF(Upgrades!$T$16="Moving Group",POWER(Upgrades!$U$16,H51),1)*IF(Upgrades!$T$17="Moving Group",POWER(Upgrades!$U$17,I51),1)*IF(Upgrades!$T$18="Moving Group",POWER(Upgrades!$U$18,J51),1)*IF(Upgrades!$T$19="Moving Group",POWER(Upgrades!$U$19,K51),1)*IF(Upgrades!$T$20="Moving Group",POWER(Upgrades!$U$20,L51),1)))*POWER(Upgrades!$Q$13,E51)*POWER(Upgrades!$Q$14,F51)*POWER(Upgrades!$Q$15,G51)*POWER(Upgrades!$Q$16,H51)*POWER(Upgrades!$Q$17,I51)*POWER(Upgrades!$Q$18,J51)*POWER(Upgrades!$Q$19,K51)*POWER(Upgrades!$Q$20,L51)*POWER(Upgrades!$Q$21,M51)*$G$6+$D$6</f>
        <v/>
      </c>
      <c r="P51" s="28">
        <f>((IF(E51=0,0,(Upgrades!$G$13+E51*Upgrades!$H$13)*POWER(Upgrades!$I$13,E51)))*(IF(Upgrades!$T$14="Stellar Kinematics",POWER(Upgrades!$U$14,F51),1)*IF(Upgrades!$T$15="Stellar Kinematics",POWER(Upgrades!$U$15,G51),1)*IF(Upgrades!$T$16="Stellar Kinematics",POWER(Upgrades!$U$16,H51),1)*IF(Upgrades!$T$17="Stellar Kinematics",POWER(Upgrades!$U$17,I51),1)*IF(Upgrades!$T$18="Stellar Kinematics",POWER(Upgrades!$U$18,J51),1)*IF(Upgrades!$T$19="Stellar Kinematics",POWER(Upgrades!$U$19,K51),1)*IF(Upgrades!$T$20="Stellar Kinematics",POWER(Upgrades!$U$20,L51),1)*IF(Upgrades!$T$21="Stellar Kinematics",POWER(Upgrades!$U$21,M51),1))+(IF(F51=0,0,(Upgrades!$G$14+F51*Upgrades!$H$14)*POWER(Upgrades!$I$14,F51)))*(IF(Upgrades!$T$13="Local Bubble",POWER(Upgrades!$U$13,E51),1)*IF(Upgrades!$T$15="Local Bubble",POWER(Upgrades!$U$15,G51),1)*IF(Upgrades!$T$16="Local Bubble",POWER(Upgrades!$U$16,H51),1)*IF(Upgrades!$T$17="Local Bubble",POWER(Upgrades!$U$17,I51),1)*IF(Upgrades!$T$18="Local Bubble",POWER(Upgrades!$U$18,J51),1)*IF(Upgrades!$T$19="Local Bubble",POWER(Upgrades!$U$19,K51),1)*IF(Upgrades!$T$20="Local Bubble",POWER(Upgrades!$U$20,L51),1)*IF(Upgrades!$T$21="Local Bubble",POWER(Upgrades!$U$21,M51),1))+(IF(G51=0,0,(Upgrades!$G$15+G51*Upgrades!$H$15)*POWER(Upgrades!$I$15,G51)))*(IF(Upgrades!$T$13="Microlensing",POWER(Upgrades!$U$13,E51),1)*IF(Upgrades!$T$14="Microlensing",POWER(Upgrades!$U$14,F51),1)*IF(Upgrades!$T$16="Microlensing",POWER(Upgrades!$U$16,H51),1)*IF(Upgrades!$T$17="Microlensing",POWER(Upgrades!$U$17,I51),1)*IF(Upgrades!$T$18="Microlensing",POWER(Upgrades!$U$18,J51),1)*IF(Upgrades!$T$19="Microlensing",POWER(Upgrades!$U$19,K51),1)*IF(Upgrades!$T$20="Microlensing",POWER(Upgrades!$U$20,L51),1)*IF(Upgrades!$T$21="Microlensing",POWER(Upgrades!$U$21,M51),1))+(IF(H51=0,0,(Upgrades!$G$16+H51*Upgrades!$H$16)*POWER(Upgrades!$I$16,H51)))*(IF(Upgrades!$T$13="Roche Lobe Overflow",POWER(Upgrades!$U$13,E51),1)*IF(Upgrades!$T$14="Roche Lobe Overflow",POWER(Upgrades!$U$14,F51),1)*IF(Upgrades!$T$15="Roche Lobe Overflow",POWER(Upgrades!$U$15,G51),1)*IF(Upgrades!$T$17="Roche Lobe Overflow",POWER(Upgrades!$U$17,I51),1)*IF(Upgrades!$T$18="Roche Lobe Overflow",POWER(Upgrades!$U$18,J51),1)*IF(Upgrades!$T$19="Roche Lobe Overflow",POWER(Upgrades!$U$19,K51),1)*IF(Upgrades!$T$20="Roche Lobe Overflow",POWER(Upgrades!$U$20,L51),1)*IF(Upgrades!$T$21="Roche Lobe Overflow",POWER(Upgrades!$U$21,M51),1))+(IF(I51=0,0,(Upgrades!$G$17+I51*Upgrades!$H$17)*POWER(Upgrades!$I$17,I51)))*(IF(Upgrades!$T$13="Brown Dwarf",POWER(Upgrades!$U$13,E51),1)*IF(Upgrades!$T$14="Brown Dwarf",POWER(Upgrades!$U$14,F51),1)*IF(Upgrades!$T$15="Brown Dwarf",POWER(Upgrades!$U$15,G51),1)*IF(Upgrades!$T$16="Brown Dwarf",POWER(Upgrades!$U$16,H51),1)*IF(Upgrades!$T$18="Brown Dwarf",POWER(Upgrades!$U$18,J51),1)*IF(Upgrades!$T$19="Brown Dwarf",POWER(Upgrades!$U$19,K51),1)*IF(Upgrades!$T$20="Brown Dwarf",POWER(Upgrades!$U$20,L51),1)*IF(Upgrades!$T$21="Brown Dwarf",POWER(Upgrades!$U$21,M51),1))+(IF(J51=0,0,(Upgrades!$G$18+J51*Upgrades!$H$18)*POWER(Upgrades!$I$18,J51)))*(IF(Upgrades!$T$13="Binary Partner",POWER(Upgrades!$U$13,E51),1)*IF(Upgrades!$T$14="Binary Partner",POWER(Upgrades!$U$14,F51),1)*IF(Upgrades!$T$15="Binary Partner",POWER(Upgrades!$U$15,G51),1)*IF(Upgrades!$T$16="Binary Partner",POWER(Upgrades!$U$16,H51),1)*IF(Upgrades!$T$17="Binary Partner",POWER(Upgrades!$U$17,I51),1)*IF(Upgrades!$T$19="Binary Partner",POWER(Upgrades!$U$19,K51),1)*IF(Upgrades!$T$20="Binary Partner",POWER(Upgrades!$U$20,L51),1)*IF(Upgrades!$T$21="Binary Partner",POWER(Upgrades!$U$21,M51),1))+(IF(K51=0,0,(Upgrades!$G$19+K51*Upgrades!$H$19)*POWER(Upgrades!$I$19,K51)))*(IF(Upgrades!$T$13="Peculiar Velocity",POWER(Upgrades!$U$13,E51),1)*IF(Upgrades!$T$14="Peculiar Velocity",POWER(Upgrades!$U$14,F51),1)*IF(Upgrades!$T$15="Peculiar Velocity",POWER(Upgrades!$U$15,G51),1)*IF(Upgrades!$T$16="Peculiar Velocity",POWER(Upgrades!$U$16,H51),1)*IF(Upgrades!$T$17="Peculiar Velocity",POWER(Upgrades!$U$17,I51),1)*IF(Upgrades!$T$18="Peculiar Velocity",POWER(Upgrades!$U$18,J51),1)*IF(Upgrades!$T$20="Peculiar Velocity",POWER(Upgrades!$U$20,L51),1)*IF(Upgrades!$T$21="Peculiar Velocity",POWER(Upgrades!$U$21,M51),1))+(IF(L51=0,0,(Upgrades!$G$20+L51*Upgrades!$H$20)*POWER(Upgrades!$I$20,L51)))*(IF(Upgrades!$T$13="Open Cluster",POWER(Upgrades!$U$13,E51),1)*IF(Upgrades!$T$14="Open Cluster",POWER(Upgrades!$U$14,F51),1)*IF(Upgrades!$T$15="Open Cluster",POWER(Upgrades!$U$15,G51),1)*IF(Upgrades!$T$16="Open Cluster",POWER(Upgrades!$U$16,H51),1)*IF(Upgrades!$T$17="Open Cluster",POWER(Upgrades!$U$17,I51),1)*IF(Upgrades!$T$18="Open Cluster",POWER(Upgrades!$U$18,J51),1)*IF(Upgrades!$T$19="Open Cluster",POWER(Upgrades!$U$19,K51),1)*IF(Upgrades!$T$21="Open Cluster",POWER(Upgrades!$U$21,M51),1))+(IF(M51=0,0,(Upgrades!$G$21+M51*Upgrades!$H$21)*POWER(Upgrades!$I$21,M51)))*(IF(Upgrades!$T$13="Moving Group",POWER(Upgrades!$U$13,E51),1)*IF(Upgrades!$T$14="Moving Group",POWER(Upgrades!$U$14,F51),1)*IF(Upgrades!$T$15="Moving Group",POWER(Upgrades!$U$15,G51),1)*IF(Upgrades!$T$16="Moving Group",POWER(Upgrades!$U$16,H51),1)*IF(Upgrades!$T$17="Moving Group",POWER(Upgrades!$U$17,I51),1)*IF(Upgrades!$T$18="Moving Group",POWER(Upgrades!$U$18,J51),1)*IF(Upgrades!$T$19="Moving Group",POWER(Upgrades!$U$19,K51),1)*IF(Upgrades!$T$20="Moving Group",POWER(Upgrades!$U$20,L51),1)))*POWER(Upgrades!$P$13,E51)*POWER(Upgrades!$P$14,F51)*POWER(Upgrades!$P$15,G51)*POWER(Upgrades!$P$16,H51)*POWER(Upgrades!$P$17,I51)*POWER(Upgrades!$P$18,J51)*POWER(Upgrades!$P$19,K51)*POWER(Upgrades!$P$20,L51)*POWER(Upgrades!$P$21,M51)*$F$6+$C$6</f>
        <v/>
      </c>
      <c r="Q51" s="28">
        <f>((IF(E51=0,0,(Upgrades!$M$13+E51*Upgrades!$N$13)*POWER(Upgrades!$O$13,E51)))*(IF(Upgrades!$T$14="Stellar Kinematics",POWER(Upgrades!$U$14,F51),1)*IF(Upgrades!$T$15="Stellar Kinematics",POWER(Upgrades!$U$15,G51),1)*IF(Upgrades!$T$16="Stellar Kinematics",POWER(Upgrades!$U$16,H51),1)*IF(Upgrades!$T$17="Stellar Kinematics",POWER(Upgrades!$U$17,I51),1)*IF(Upgrades!$T$18="Stellar Kinematics",POWER(Upgrades!$U$18,J51),1)*IF(Upgrades!$T$19="Stellar Kinematics",POWER(Upgrades!$U$19,K51),1)*IF(Upgrades!$T$20="Stellar Kinematics",POWER(Upgrades!$U$20,L51),1)*IF(Upgrades!$T$21="Stellar Kinematics",POWER(Upgrades!$U$21,M51),1))+(IF(F51=0,0,(Upgrades!$M$14+F51*Upgrades!$N$14)*POWER(Upgrades!$O$14,F51)))*(IF(Upgrades!$T$13="Local Bubble",POWER(Upgrades!$U$13,E51),1)*IF(Upgrades!$T$15="Local Bubble",POWER(Upgrades!$U$15,G51),1)*IF(Upgrades!$T$16="Local Bubble",POWER(Upgrades!$U$16,H51),1)*IF(Upgrades!$T$17="Local Bubble",POWER(Upgrades!$U$17,I51),1)*IF(Upgrades!$T$18="Local Bubble",POWER(Upgrades!$U$18,J51),1)*IF(Upgrades!$T$19="Local Bubble",POWER(Upgrades!$U$19,K51),1)*IF(Upgrades!$T$20="Local Bubble",POWER(Upgrades!$U$20,L51),1)*IF(Upgrades!$T$21="Local Bubble",POWER(Upgrades!$U$21,M51),1))+(IF(G51=0,0,(Upgrades!$M$15+G51*Upgrades!$N$15)*POWER(Upgrades!$O$15,G51)))*(IF(Upgrades!$T$13="Microlensing",POWER(Upgrades!$U$13,E51),1)*IF(Upgrades!$T$14="Microlensing",POWER(Upgrades!$U$14,F51),1)*IF(Upgrades!$T$16="Microlensing",POWER(Upgrades!$U$16,H51),1)*IF(Upgrades!$T$17="Microlensing",POWER(Upgrades!$U$17,I51),1)*IF(Upgrades!$T$18="Microlensing",POWER(Upgrades!$U$18,J51),1)*IF(Upgrades!$T$19="Microlensing",POWER(Upgrades!$U$19,K51),1)*IF(Upgrades!$T$20="Microlensing",POWER(Upgrades!$U$20,L51),1)*IF(Upgrades!$T$21="Microlensing",POWER(Upgrades!$U$21,M51),1))+(IF(H51=0,0,(Upgrades!$M$16+H51*Upgrades!$N$16)*POWER(Upgrades!$O$16,H51)))*(IF(Upgrades!$T$13="Roche Lobe Overflow",POWER(Upgrades!$U$13,E51),1)*IF(Upgrades!$T$14="Roche Lobe Overflow",POWER(Upgrades!$U$14,F51),1)*IF(Upgrades!$T$15="Roche Lobe Overflow",POWER(Upgrades!$U$15,G51),1)*IF(Upgrades!$T$17="Roche Lobe Overflow",POWER(Upgrades!$U$17,I51),1)*IF(Upgrades!$T$18="Roche Lobe Overflow",POWER(Upgrades!$U$18,J51),1)*IF(Upgrades!$T$19="Roche Lobe Overflow",POWER(Upgrades!$U$19,K51),1)*IF(Upgrades!$T$20="Roche Lobe Overflow",POWER(Upgrades!$U$20,L51),1)*IF(Upgrades!$T$21="Roche Lobe Overflow",POWER(Upgrades!$U$21,M51),1))+(IF(I51=0,0,(Upgrades!$M$17+I51*Upgrades!$N$17)*POWER(Upgrades!$O$17,I51)))*(IF(Upgrades!$T$13="Brown Dwarf",POWER(Upgrades!$U$13,E51),1)*IF(Upgrades!$T$14="Brown Dwarf",POWER(Upgrades!$U$14,F51),1)*IF(Upgrades!$T$15="Brown Dwarf",POWER(Upgrades!$U$15,G51),1)*IF(Upgrades!$T$16="Brown Dwarf",POWER(Upgrades!$U$16,H51),1)*IF(Upgrades!$T$18="Brown Dwarf",POWER(Upgrades!$U$18,J51),1)*IF(Upgrades!$T$19="Brown Dwarf",POWER(Upgrades!$U$19,K51),1)*IF(Upgrades!$T$20="Brown Dwarf",POWER(Upgrades!$U$20,L51),1)*IF(Upgrades!$T$21="Brown Dwarf",POWER(Upgrades!$U$21,M51),1))+(IF(J51=0,0,(Upgrades!$M$18+J51*Upgrades!$N$18)*POWER(Upgrades!$O$18,J51)))*(IF(Upgrades!$T$13="Binary Partner",POWER(Upgrades!$U$13,E51),1)*IF(Upgrades!$T$14="Binary Partner",POWER(Upgrades!$U$14,F51),1)*IF(Upgrades!$T$15="Binary Partner",POWER(Upgrades!$U$15,G51),1)*IF(Upgrades!$T$16="Binary Partner",POWER(Upgrades!$U$16,H51),1)*IF(Upgrades!$T$17="Binary Partner",POWER(Upgrades!$U$17,I51),1)*IF(Upgrades!$T$19="Binary Partner",POWER(Upgrades!$U$19,K51),1)*IF(Upgrades!$T$20="Binary Partner",POWER(Upgrades!$U$20,L51),1)*IF(Upgrades!$T$21="Binary Partner",POWER(Upgrades!$U$21,M51),1))+(IF(K51=0,0,(Upgrades!$M$19+K51*Upgrades!$N$19)*POWER(Upgrades!$O$19,K51)))*(IF(Upgrades!$T$13="Peculiar Velocity",POWER(Upgrades!$U$13,E51),1)*IF(Upgrades!$T$14="Peculiar Velocity",POWER(Upgrades!$U$14,F51),1)*IF(Upgrades!$T$15="Peculiar Velocity",POWER(Upgrades!$U$15,G51),1)*IF(Upgrades!$T$16="Peculiar Velocity",POWER(Upgrades!$U$16,H51),1)*IF(Upgrades!$T$17="Peculiar Velocity",POWER(Upgrades!$U$17,I51),1)*IF(Upgrades!$T$18="Peculiar Velocity",POWER(Upgrades!$U$18,J51),1)*IF(Upgrades!$T$20="Peculiar Velocity",POWER(Upgrades!$U$20,L51),1)*IF(Upgrades!$T$21="Peculiar Velocity",POWER(Upgrades!$U$21,M51),1))+(IF(L51=0,0,(Upgrades!$M$20+L51*Upgrades!$N$20)*POWER(Upgrades!$O$20,L51)))*(IF(Upgrades!$T$13="Open Cluster",POWER(Upgrades!$U$13,E51),1)*IF(Upgrades!$T$14="Open Cluster",POWER(Upgrades!$U$14,F51),1)*IF(Upgrades!$T$15="Open Cluster",POWER(Upgrades!$U$15,G51),1)*IF(Upgrades!$T$16="Open Cluster",POWER(Upgrades!$U$16,H51),1)*IF(Upgrades!$T$17="Open Cluster",POWER(Upgrades!$U$17,I51),1)*IF(Upgrades!$T$18="Open Cluster",POWER(Upgrades!$U$18,J51),1)*IF(Upgrades!$T$19="Open Cluster",POWER(Upgrades!$U$19,K51),1)*IF(Upgrades!$T$21="Open Cluster",POWER(Upgrades!$U$21,M51),1))+(IF(M51=0,0,(Upgrades!$M$21+M51*Upgrades!$N$21)*POWER(Upgrades!$O$21,M51)))*(IF(Upgrades!$T$13="Moving Group",POWER(Upgrades!$U$13,E51),1)*IF(Upgrades!$T$14="Moving Group",POWER(Upgrades!$U$14,F51),1)*IF(Upgrades!$T$15="Moving Group",POWER(Upgrades!$U$15,G51),1)*IF(Upgrades!$T$16="Moving Group",POWER(Upgrades!$U$16,H51),1)*IF(Upgrades!$T$17="Moving Group",POWER(Upgrades!$U$17,I51),1)*IF(Upgrades!$T$18="Moving Group",POWER(Upgrades!$U$18,J51),1)*IF(Upgrades!$T$19="Moving Group",POWER(Upgrades!$U$19,K51),1)*IF(Upgrades!$T$20="Moving Group",POWER(Upgrades!$U$20,L51),1)))*POWER(Upgrades!$R$13,E51)*POWER(Upgrades!$R$14,F51)*POWER(Upgrades!$R$15,G51)*POWER(Upgrades!$R$16,H51)*POWER(Upgrades!$R$17,I51)*POWER(Upgrades!$R$18,J51)*POWER(Upgrades!$R$19,K51)*POWER(Upgrades!$R$20,L51)*POWER(Upgrades!$R$21,M51)*$H$6+$E$6</f>
        <v/>
      </c>
      <c r="R51" s="27">
        <f>IF(N51=1,0,O51*Parameters!$B$10/60*Parameters!$B$11*10)</f>
        <v/>
      </c>
      <c r="S51" s="27">
        <f>IF(N51=1,0,Q51*O51*10)</f>
        <v/>
      </c>
      <c r="T51" s="27">
        <f>IF(N51=1,0,R51+S51+P51*10)</f>
        <v/>
      </c>
      <c r="U51" s="33">
        <f>BE51</f>
        <v/>
      </c>
      <c r="V51" s="22">
        <f>IF(U51="",0,IF(U51="transition",0,IF(U51="SK",AK51,IF(U51="LB",AL51,IF(U51="ML",AM51,IF(U51="RLO",AN51,IF(U51="BD",AO51,IF(U51="BiP",AP51,IF(U51="PV",AQ51,IF(U51="OC",AR51,IF(U51="MG",AS51,0))))))))))</f>
        <v/>
      </c>
      <c r="W51" s="27">
        <f>IF(U51="BiP",Upgrades!$F$18,IF(U51="PV",Upgrades!$F$19,IF(U51="OC",Upgrades!$F$20,IF(U51="MG",Upgrades!$F$21,IF(U51="transition",-Parameters!$B$18*Parameters!$B$19,0)))))</f>
        <v/>
      </c>
      <c r="X51" s="22">
        <f>C51+T51-V51</f>
        <v/>
      </c>
      <c r="Y51" s="30">
        <f>O51*Parameters!$B$10/60*Parameters!$B$11+Q51*O51+P51</f>
        <v/>
      </c>
      <c r="Z51" s="34">
        <f>IF(U51="transition","→ Tier 3 (Galactic Arm)",IF(U51="MG","Moving Group — pocket drifts together",IF(U51="OC","Open Cluster acquired",IF(U51="PV","Peculiar Velocity — passive multiplier active",IF(U51="BiP","Binary Partner — pair bond formed",IF(AND(AU51=1,N51=0,AT51&lt;&gt;1),"Cohesion ready (waiting on completionists)","")))))) </f>
        <v/>
      </c>
      <c r="AA51" s="27">
        <f>(IF(E51=0,0,(Upgrades!$G$13+E51*Upgrades!$H$13)*POWER(Upgrades!$I$13,E51)))*(IF(Upgrades!$T$14="Stellar Kinematics",POWER(Upgrades!$U$14,F51),1)*IF(Upgrades!$T$15="Stellar Kinematics",POWER(Upgrades!$U$15,G51),1)*IF(Upgrades!$T$16="Stellar Kinematics",POWER(Upgrades!$U$16,H51),1)*IF(Upgrades!$T$17="Stellar Kinematics",POWER(Upgrades!$U$17,I51),1)*IF(Upgrades!$T$18="Stellar Kinematics",POWER(Upgrades!$U$18,J51),1)*IF(Upgrades!$T$19="Stellar Kinematics",POWER(Upgrades!$U$19,K51),1)*IF(Upgrades!$T$20="Stellar Kinematics",POWER(Upgrades!$U$20,L51),1)*IF(Upgrades!$T$21="Stellar Kinematics",POWER(Upgrades!$U$21,M51),1))*POWER(Upgrades!$P$13,E51)*POWER(Upgrades!$P$14,F51)*POWER(Upgrades!$P$15,G51)*POWER(Upgrades!$P$16,H51)*POWER(Upgrades!$P$17,I51)*POWER(Upgrades!$P$18,J51)*POWER(Upgrades!$P$19,K51)*POWER(Upgrades!$P$20,L51)*POWER(Upgrades!$P$21,M51)*$F$6*60</f>
        <v/>
      </c>
      <c r="AB51" s="27">
        <f>(IF(F51=0,0,(Upgrades!$G$14+F51*Upgrades!$H$14)*POWER(Upgrades!$I$14,F51)))*(IF(Upgrades!$T$13="Local Bubble",POWER(Upgrades!$U$13,E51),1)*IF(Upgrades!$T$15="Local Bubble",POWER(Upgrades!$U$15,G51),1)*IF(Upgrades!$T$16="Local Bubble",POWER(Upgrades!$U$16,H51),1)*IF(Upgrades!$T$17="Local Bubble",POWER(Upgrades!$U$17,I51),1)*IF(Upgrades!$T$18="Local Bubble",POWER(Upgrades!$U$18,J51),1)*IF(Upgrades!$T$19="Local Bubble",POWER(Upgrades!$U$19,K51),1)*IF(Upgrades!$T$20="Local Bubble",POWER(Upgrades!$U$20,L51),1)*IF(Upgrades!$T$21="Local Bubble",POWER(Upgrades!$U$21,M51),1))*POWER(Upgrades!$P$13,E51)*POWER(Upgrades!$P$14,F51)*POWER(Upgrades!$P$15,G51)*POWER(Upgrades!$P$16,H51)*POWER(Upgrades!$P$17,I51)*POWER(Upgrades!$P$18,J51)*POWER(Upgrades!$P$19,K51)*POWER(Upgrades!$P$20,L51)*POWER(Upgrades!$P$21,M51)*$F$6*60</f>
        <v/>
      </c>
      <c r="AC51" s="27">
        <f>(IF(G51=0,0,(Upgrades!$J$15+G51*Upgrades!$K$15)*POWER(Upgrades!$L$15,G51)))*(IF(Upgrades!$T$13="Microlensing",POWER(Upgrades!$U$13,E51),1)*IF(Upgrades!$T$14="Microlensing",POWER(Upgrades!$U$14,F51),1)*IF(Upgrades!$T$16="Microlensing",POWER(Upgrades!$U$16,H51),1)*IF(Upgrades!$T$17="Microlensing",POWER(Upgrades!$U$17,I51),1)*IF(Upgrades!$T$18="Microlensing",POWER(Upgrades!$U$18,J51),1)*IF(Upgrades!$T$19="Microlensing",POWER(Upgrades!$U$19,K51),1)*IF(Upgrades!$T$20="Microlensing",POWER(Upgrades!$U$20,L51),1)*IF(Upgrades!$T$21="Microlensing",POWER(Upgrades!$U$21,M51),1))*POWER(Upgrades!$Q$13,E51)*POWER(Upgrades!$Q$14,F51)*POWER(Upgrades!$Q$15,G51)*POWER(Upgrades!$Q$16,H51)*POWER(Upgrades!$Q$17,I51)*POWER(Upgrades!$Q$18,J51)*POWER(Upgrades!$Q$19,K51)*POWER(Upgrades!$Q$20,L51)*POWER(Upgrades!$Q$21,M51)*$G$6*(Parameters!$B$10*Parameters!$B$11+Q51*60)</f>
        <v/>
      </c>
      <c r="AD51" s="27">
        <f>(IF(H51=0,0,(Upgrades!$M$16+H51*Upgrades!$N$16)*POWER(Upgrades!$O$16,H51)))*(IF(Upgrades!$T$13="Roche Lobe Overflow",POWER(Upgrades!$U$13,E51),1)*IF(Upgrades!$T$14="Roche Lobe Overflow",POWER(Upgrades!$U$14,F51),1)*IF(Upgrades!$T$15="Roche Lobe Overflow",POWER(Upgrades!$U$15,G51),1)*IF(Upgrades!$T$17="Roche Lobe Overflow",POWER(Upgrades!$U$17,I51),1)*IF(Upgrades!$T$18="Roche Lobe Overflow",POWER(Upgrades!$U$18,J51),1)*IF(Upgrades!$T$19="Roche Lobe Overflow",POWER(Upgrades!$U$19,K51),1)*IF(Upgrades!$T$20="Roche Lobe Overflow",POWER(Upgrades!$U$20,L51),1)*IF(Upgrades!$T$21="Roche Lobe Overflow",POWER(Upgrades!$U$21,M51),1))*POWER(Upgrades!$R$13,E51)*POWER(Upgrades!$R$14,F51)*POWER(Upgrades!$R$15,G51)*POWER(Upgrades!$R$16,H51)*POWER(Upgrades!$R$17,I51)*POWER(Upgrades!$R$18,J51)*POWER(Upgrades!$R$19,K51)*POWER(Upgrades!$R$20,L51)*POWER(Upgrades!$R$21,M51)*$H$6*O51*60</f>
        <v/>
      </c>
      <c r="AE51" s="27">
        <f>(IF(I51=0,0,(Upgrades!$G$17+I51*Upgrades!$H$17)*POWER(Upgrades!$I$17,I51)))*(IF(Upgrades!$T$13="Brown Dwarf",POWER(Upgrades!$U$13,E51),1)*IF(Upgrades!$T$14="Brown Dwarf",POWER(Upgrades!$U$14,F51),1)*IF(Upgrades!$T$15="Brown Dwarf",POWER(Upgrades!$U$15,G51),1)*IF(Upgrades!$T$16="Brown Dwarf",POWER(Upgrades!$U$16,H51),1)*IF(Upgrades!$T$18="Brown Dwarf",POWER(Upgrades!$U$18,J51),1)*IF(Upgrades!$T$19="Brown Dwarf",POWER(Upgrades!$U$19,K51),1)*IF(Upgrades!$T$20="Brown Dwarf",POWER(Upgrades!$U$20,L51),1)*IF(Upgrades!$T$21="Brown Dwarf",POWER(Upgrades!$U$21,M51),1))*POWER(Upgrades!$P$13,E51)*POWER(Upgrades!$P$14,F51)*POWER(Upgrades!$P$15,G51)*POWER(Upgrades!$P$16,H51)*POWER(Upgrades!$P$17,I51)*POWER(Upgrades!$P$18,J51)*POWER(Upgrades!$P$19,K51)*POWER(Upgrades!$P$20,L51)*POWER(Upgrades!$P$21,M51)*$F$6*60</f>
        <v/>
      </c>
      <c r="AF51" s="27" t="n">
        <v>0</v>
      </c>
      <c r="AG51" s="27" t="n">
        <v>0</v>
      </c>
      <c r="AH51" s="27" t="n">
        <v>0</v>
      </c>
      <c r="AI51" s="27">
        <f>(IF(M51=0,0,(Upgrades!$G$21+M51*Upgrades!$H$21)*POWER(Upgrades!$I$21,M51)))*(IF(Upgrades!$T$13="Moving Group",POWER(Upgrades!$U$13,E51),1)*IF(Upgrades!$T$14="Moving Group",POWER(Upgrades!$U$14,F51),1)*IF(Upgrades!$T$15="Moving Group",POWER(Upgrades!$U$15,G51),1)*IF(Upgrades!$T$16="Moving Group",POWER(Upgrades!$U$16,H51),1)*IF(Upgrades!$T$17="Moving Group",POWER(Upgrades!$U$17,I51),1)*IF(Upgrades!$T$18="Moving Group",POWER(Upgrades!$U$18,J51),1)*IF(Upgrades!$T$19="Moving Group",POWER(Upgrades!$U$19,K51),1)*IF(Upgrades!$T$20="Moving Group",POWER(Upgrades!$U$20,L51),1))*POWER(Upgrades!$P$13,E51)*POWER(Upgrades!$P$14,F51)*POWER(Upgrades!$P$15,G51)*POWER(Upgrades!$P$16,H51)*POWER(Upgrades!$P$17,I51)*POWER(Upgrades!$P$18,J51)*POWER(Upgrades!$P$19,K51)*POWER(Upgrades!$P$20,L51)*POWER(Upgrades!$P$21,M51)*$F$6*60</f>
        <v/>
      </c>
      <c r="AJ51" s="27">
        <f>$C$6*60</f>
        <v/>
      </c>
      <c r="AK51" s="22">
        <f>IF(E51&gt;=Upgrades!$E$13,"",Upgrades!$C$13*POWER(Upgrades!$D$13,E51))</f>
        <v/>
      </c>
      <c r="AL51" s="22">
        <f>IF(F51&gt;=Upgrades!$E$14,"",Upgrades!$C$14*POWER(Upgrades!$D$14,F51))</f>
        <v/>
      </c>
      <c r="AM51" s="22">
        <f>IF(G51&gt;=Upgrades!$E$15,"",Upgrades!$C$15*POWER(Upgrades!$D$15,G51))</f>
        <v/>
      </c>
      <c r="AN51" s="22">
        <f>IF(H51&gt;=Upgrades!$E$16,"",Upgrades!$C$16*POWER(Upgrades!$D$16,H51))</f>
        <v/>
      </c>
      <c r="AO51" s="22">
        <f>IF(I51&gt;=Upgrades!$E$17,"",Upgrades!$C$17*POWER(Upgrades!$D$17,I51))</f>
        <v/>
      </c>
      <c r="AP51" s="22">
        <f>IF(J51&gt;=Upgrades!$E$18,"",Upgrades!$C$18*POWER(Upgrades!$D$18,J51))</f>
        <v/>
      </c>
      <c r="AQ51" s="22">
        <f>IF(K51&gt;=Upgrades!$E$19,"",Upgrades!$C$19*POWER(Upgrades!$D$19,K51))</f>
        <v/>
      </c>
      <c r="AR51" s="22">
        <f>IF(L51&gt;=Upgrades!$E$20,"",Upgrades!$C$20*POWER(Upgrades!$D$20,L51))</f>
        <v/>
      </c>
      <c r="AS51" s="22">
        <f>IF(M51&gt;=Upgrades!$E$21,"",Upgrades!$C$21*POWER(Upgrades!$D$21,M51))</f>
        <v/>
      </c>
      <c r="AT51" s="26">
        <f>IF(AND(D51&gt;=Parameters!$B$18*Parameters!$B$19,(I51&gt;=Upgrades!$E$17)*(M51&gt;=Upgrades!$E$21)=1,N51=0),1,"")</f>
        <v/>
      </c>
      <c r="AU51" s="26">
        <f>IF(AND(D51&gt;=Parameters!$B$18*Parameters!$B$19,N51=0),1,"")</f>
        <v/>
      </c>
      <c r="AV51" s="22">
        <f>MIN(IF(ISNUMBER(AP51),AP51,9E15),IF(ISNUMBER(AQ51),AQ51,9E15),IF(ISNUMBER(AR51),AR51,9E15),IF(ISNUMBER(AS51),AS51,9E15))</f>
        <v/>
      </c>
      <c r="AW51" s="22">
        <f>MIN(IF(ISNUMBER(AK51),AK51,9E15),IF(ISNUMBER(AL51),AL51,9E15),IF(ISNUMBER(AM51),AM51,9E15),IF(ISNUMBER(AN51),AN51,9E15),IF(ISNUMBER(AO51),AO51,9E15))</f>
        <v/>
      </c>
      <c r="AX51" s="29">
        <f>IF(BD51&gt;Parameters!$B$21*(MAX(IF(AND(NOT(AND(AU51=1,AT51&lt;&gt;1)),ISNUMBER(AK51),AK51&lt;=(C51+T51)),AY51,0),IF(AND(NOT(AND(AU51=1,AT51&lt;&gt;1)),ISNUMBER(AL51),AL51&lt;=(C51+T51)),AZ51,0),IF(AND(NOT(AND(AU51=1,AT51&lt;&gt;1)),ISNUMBER(AM51),AM51&lt;=(C51+T51)),BA51,0),IF(AND(NOT(AND(AU51=1,AT51&lt;&gt;1)),ISNUMBER(AN51),AN51&lt;=(C51+T51)),BB51,0),IF(AND(ISNUMBER(AO51),AO51&lt;=(C51+T51)),BC51,0))),TRUE,FALSE)</f>
        <v/>
      </c>
      <c r="AY51" s="32">
        <f>IFERROR(Upgrades!$H$13*(POWER(Upgrades!$P$13,E51)*POWER(Upgrades!$P$14,F51)*POWER(Upgrades!$P$15,G51)*POWER(Upgrades!$P$16,H51)*POWER(Upgrades!$P$17,I51)*POWER(Upgrades!$P$18,J51)*POWER(Upgrades!$P$19,K51)*POWER(Upgrades!$P$20,L51)*POWER(Upgrades!$P$21,M51))*(IF(Upgrades!$T$14="Stellar Kinematics",POWER(Upgrades!$U$14,F51),1)*IF(Upgrades!$T$15="Stellar Kinematics",POWER(Upgrades!$U$15,G51),1)*IF(Upgrades!$T$16="Stellar Kinematics",POWER(Upgrades!$U$16,H51),1)*IF(Upgrades!$T$17="Stellar Kinematics",POWER(Upgrades!$U$17,I51),1)*IF(Upgrades!$T$18="Stellar Kinematics",POWER(Upgrades!$U$18,J51),1)*IF(Upgrades!$T$19="Stellar Kinematics",POWER(Upgrades!$U$19,K51),1)*IF(Upgrades!$T$20="Stellar Kinematics",POWER(Upgrades!$U$20,L51),1)*IF(Upgrades!$T$21="Stellar Kinematics",POWER(Upgrades!$U$21,M51),1))*$F$6/AK51,0)</f>
        <v/>
      </c>
      <c r="AZ51" s="32">
        <f>IFERROR(Upgrades!$H$14*(POWER(Upgrades!$P$13,E51)*POWER(Upgrades!$P$14,F51)*POWER(Upgrades!$P$15,G51)*POWER(Upgrades!$P$16,H51)*POWER(Upgrades!$P$17,I51)*POWER(Upgrades!$P$18,J51)*POWER(Upgrades!$P$19,K51)*POWER(Upgrades!$P$20,L51)*POWER(Upgrades!$P$21,M51))*(IF(Upgrades!$T$13="Local Bubble",POWER(Upgrades!$U$13,E51),1)*IF(Upgrades!$T$15="Local Bubble",POWER(Upgrades!$U$15,G51),1)*IF(Upgrades!$T$16="Local Bubble",POWER(Upgrades!$U$16,H51),1)*IF(Upgrades!$T$17="Local Bubble",POWER(Upgrades!$U$17,I51),1)*IF(Upgrades!$T$18="Local Bubble",POWER(Upgrades!$U$18,J51),1)*IF(Upgrades!$T$19="Local Bubble",POWER(Upgrades!$U$19,K51),1)*IF(Upgrades!$T$20="Local Bubble",POWER(Upgrades!$U$20,L51),1)*IF(Upgrades!$T$21="Local Bubble",POWER(Upgrades!$U$21,M51),1))*$F$6/AL51,0)</f>
        <v/>
      </c>
      <c r="BA51" s="32">
        <f>IFERROR(Upgrades!$K$15*(POWER(Upgrades!$Q$13,E51)*POWER(Upgrades!$Q$14,F51)*POWER(Upgrades!$Q$15,G51)*POWER(Upgrades!$Q$16,H51)*POWER(Upgrades!$Q$17,I51)*POWER(Upgrades!$Q$18,J51)*POWER(Upgrades!$Q$19,K51)*POWER(Upgrades!$Q$20,L51)*POWER(Upgrades!$Q$21,M51))*(IF(Upgrades!$T$13="Microlensing",POWER(Upgrades!$U$13,E51),1)*IF(Upgrades!$T$14="Microlensing",POWER(Upgrades!$U$14,F51),1)*IF(Upgrades!$T$16="Microlensing",POWER(Upgrades!$U$16,H51),1)*IF(Upgrades!$T$17="Microlensing",POWER(Upgrades!$U$17,I51),1)*IF(Upgrades!$T$18="Microlensing",POWER(Upgrades!$U$18,J51),1)*IF(Upgrades!$T$19="Microlensing",POWER(Upgrades!$U$19,K51),1)*IF(Upgrades!$T$20="Microlensing",POWER(Upgrades!$U$20,L51),1)*IF(Upgrades!$T$21="Microlensing",POWER(Upgrades!$U$21,M51),1))*$G$6*(Parameters!$B$10/60*Parameters!$B$11+Q51)/AM51,0)</f>
        <v/>
      </c>
      <c r="BB51" s="32">
        <f>IFERROR((Upgrades!$N$16*(POWER(Upgrades!$R$13,E51)*POWER(Upgrades!$R$14,F51)*POWER(Upgrades!$R$15,G51)*POWER(Upgrades!$R$16,H51)*POWER(Upgrades!$R$17,I51)*POWER(Upgrades!$R$18,J51)*POWER(Upgrades!$R$19,K51)*POWER(Upgrades!$R$20,L51)*POWER(Upgrades!$R$21,M51))*(IF(Upgrades!$T$13="Roche Lobe Overflow",POWER(Upgrades!$U$13,E51),1)*IF(Upgrades!$T$14="Roche Lobe Overflow",POWER(Upgrades!$U$14,F51),1)*IF(Upgrades!$T$15="Roche Lobe Overflow",POWER(Upgrades!$U$15,G51),1)*IF(Upgrades!$T$17="Roche Lobe Overflow",POWER(Upgrades!$U$17,I51),1)*IF(Upgrades!$T$18="Roche Lobe Overflow",POWER(Upgrades!$U$18,J51),1)*IF(Upgrades!$T$19="Roche Lobe Overflow",POWER(Upgrades!$U$19,K51),1)*IF(Upgrades!$T$20="Roche Lobe Overflow",POWER(Upgrades!$U$20,L51),1)*IF(Upgrades!$T$21="Roche Lobe Overflow",POWER(Upgrades!$U$21,M51),1))*$H$6*O51+((IF(F51=0,0,(Upgrades!$G$14+F51*Upgrades!$H$14)*POWER(Upgrades!$I$14,F51)))*(IF(Upgrades!$T$13="Local Bubble",POWER(Upgrades!$U$13,E51),1)*IF(Upgrades!$T$15="Local Bubble",POWER(Upgrades!$U$15,G51),1)*IF(Upgrades!$T$16="Local Bubble",POWER(Upgrades!$U$16,H51),1)*IF(Upgrades!$T$17="Local Bubble",POWER(Upgrades!$U$17,I51),1)*IF(Upgrades!$T$18="Local Bubble",POWER(Upgrades!$U$18,J51),1)*IF(Upgrades!$T$19="Local Bubble",POWER(Upgrades!$U$19,K51),1)*IF(Upgrades!$T$20="Local Bubble",POWER(Upgrades!$U$20,L51),1)*IF(Upgrades!$T$21="Local Bubble",POWER(Upgrades!$U$21,M51),1))*POWER(Upgrades!$P$13,E51)*POWER(Upgrades!$P$14,F51)*POWER(Upgrades!$P$15,G51)*POWER(Upgrades!$P$16,H51)*POWER(Upgrades!$P$17,I51)*POWER(Upgrades!$P$18,J51)*POWER(Upgrades!$P$19,K51)*POWER(Upgrades!$P$20,L51)*POWER(Upgrades!$P$21,M51)*$F$6)*0.05)/AN51,0)</f>
        <v/>
      </c>
      <c r="BC51" s="32">
        <f>IFERROR((Upgrades!$H$17*(POWER(Upgrades!$P$13,E51)*POWER(Upgrades!$P$14,F51)*POWER(Upgrades!$P$15,G51)*POWER(Upgrades!$P$16,H51)*POWER(Upgrades!$P$17,I51)*POWER(Upgrades!$P$18,J51)*POWER(Upgrades!$P$19,K51)*POWER(Upgrades!$P$20,L51)*POWER(Upgrades!$P$21,M51))*(IF(Upgrades!$T$13="Brown Dwarf",POWER(Upgrades!$U$13,E51),1)*IF(Upgrades!$T$14="Brown Dwarf",POWER(Upgrades!$U$14,F51),1)*IF(Upgrades!$T$15="Brown Dwarf",POWER(Upgrades!$U$15,G51),1)*IF(Upgrades!$T$16="Brown Dwarf",POWER(Upgrades!$U$16,H51),1)*IF(Upgrades!$T$18="Brown Dwarf",POWER(Upgrades!$U$18,J51),1)*IF(Upgrades!$T$19="Brown Dwarf",POWER(Upgrades!$U$19,K51),1)*IF(Upgrades!$T$20="Brown Dwarf",POWER(Upgrades!$U$20,L51),1)*IF(Upgrades!$T$21="Brown Dwarf",POWER(Upgrades!$U$21,M51),1))*$F$6+(((IF(H51=0,0,(Upgrades!$M$16+H51*Upgrades!$N$16)*POWER(Upgrades!$O$16,H51)))*(IF(Upgrades!$T$13="Roche Lobe Overflow",POWER(Upgrades!$U$13,E51),1)*IF(Upgrades!$T$14="Roche Lobe Overflow",POWER(Upgrades!$U$14,F51),1)*IF(Upgrades!$T$15="Roche Lobe Overflow",POWER(Upgrades!$U$15,G51),1)*IF(Upgrades!$T$17="Roche Lobe Overflow",POWER(Upgrades!$U$17,I51),1)*IF(Upgrades!$T$18="Roche Lobe Overflow",POWER(Upgrades!$U$18,J51),1)*IF(Upgrades!$T$19="Roche Lobe Overflow",POWER(Upgrades!$U$19,K51),1)*IF(Upgrades!$T$20="Roche Lobe Overflow",POWER(Upgrades!$U$20,L51),1)*IF(Upgrades!$T$21="Roche Lobe Overflow",POWER(Upgrades!$U$21,M51),1))*POWER(Upgrades!$R$13,E51)*POWER(Upgrades!$R$14,F51)*POWER(Upgrades!$R$15,G51)*POWER(Upgrades!$R$16,H51)*POWER(Upgrades!$R$17,I51)*POWER(Upgrades!$R$18,J51)*POWER(Upgrades!$R$19,K51)*POWER(Upgrades!$R$20,L51)*POWER(Upgrades!$R$21,M51)*$H$6)*O51)*0.10)/AO51,0)</f>
        <v/>
      </c>
      <c r="BD51" s="32">
        <f>MAX(IF(J51&gt;0,0,IFERROR(0.5*((IF(G51=0,0,(Upgrades!$J$15+G51*Upgrades!$K$15)*POWER(Upgrades!$L$15,G51)))*(IF(Upgrades!$T$13="Microlensing",POWER(Upgrades!$U$13,E51),1)*IF(Upgrades!$T$14="Microlensing",POWER(Upgrades!$U$14,F51),1)*IF(Upgrades!$T$16="Microlensing",POWER(Upgrades!$U$16,H51),1)*IF(Upgrades!$T$17="Microlensing",POWER(Upgrades!$U$17,I51),1)*IF(Upgrades!$T$18="Microlensing",POWER(Upgrades!$U$18,J51),1)*IF(Upgrades!$T$19="Microlensing",POWER(Upgrades!$U$19,K51),1)*IF(Upgrades!$T$20="Microlensing",POWER(Upgrades!$U$20,L51),1)*IF(Upgrades!$T$21="Microlensing",POWER(Upgrades!$U$21,M51),1))*(POWER(Upgrades!$Q$13,E51)*POWER(Upgrades!$Q$14,F51)*POWER(Upgrades!$Q$15,G51)*POWER(Upgrades!$Q$16,H51)*POWER(Upgrades!$Q$17,I51)*POWER(Upgrades!$Q$18,J51)*POWER(Upgrades!$Q$19,K51)*POWER(Upgrades!$Q$20,L51)*POWER(Upgrades!$Q$21,M51))*$G$6*(Parameters!$B$10/60*Parameters!$B$11+Q51))/Upgrades!$C$18,0)),IF(K51&gt;0,0,IFERROR(0.30*P51/Upgrades!$C$19,0)),IF(L51&gt;0,0,IFERROR(0.0001/Upgrades!$C$20,0)),IF(M51&gt;0,0,IFERROR((6.0*(POWER(Upgrades!$P$13,E51)*POWER(Upgrades!$P$14,F51)*POWER(Upgrades!$P$15,G51)*POWER(Upgrades!$P$16,H51)*POWER(Upgrades!$P$17,I51)*POWER(Upgrades!$P$18,J51)*POWER(Upgrades!$P$19,K51)*POWER(Upgrades!$P$20,L51)*POWER(Upgrades!$P$21,M51))*$F$6+0.20*O51*(Parameters!$B$10/60*Parameters!$B$11+Q51))/Upgrades!$C$21,0)),IF(AND(ISNUMBER(AK51),AK51&gt;(C51+T51)),AY51,0),IF(AND(ISNUMBER(AL51),AL51&gt;(C51+T51)),AZ51,0),IF(AND(ISNUMBER(AM51),AM51&gt;(C51+T51)),BA51,0),IF(AND(ISNUMBER(AN51),AN51&gt;(C51+T51)),BB51,0),IF(AND(ISNUMBER(AO51),AO51&gt;(C51+T51)),BC51,0))</f>
        <v/>
      </c>
      <c r="BE51" s="29">
        <f>IF(AT51=1,"transition",IF(MIN(IF(AND(J51=0,ISNUMBER(AP51),AP51&lt;=(C51+T51)),AP51,9E15),IF(AND(K51=0,ISNUMBER(AQ51),AQ51&lt;=(C51+T51)),AQ51,9E15),IF(AND(L51=0,ISNUMBER(AR51),AR51&lt;=(C51+T51)),AR51,9E15),IF(AND(M51=0,ISNUMBER(AS51),AS51&lt;=(C51+T51)),AS51,9E15))&lt;9E15,IF(AND(AND(J51=0,ISNUMBER(AP51),AP51&lt;=(C51+T51)),AP51=MIN(IF(AND(J51=0,ISNUMBER(AP51),AP51&lt;=(C51+T51)),AP51,9E15),IF(AND(K51=0,ISNUMBER(AQ51),AQ51&lt;=(C51+T51)),AQ51,9E15),IF(AND(L51=0,ISNUMBER(AR51),AR51&lt;=(C51+T51)),AR51,9E15),IF(AND(M51=0,ISNUMBER(AS51),AS51&lt;=(C51+T51)),AS51,9E15))),"BiP",IF(AND(AND(K51=0,ISNUMBER(AQ51),AQ51&lt;=(C51+T51)),AQ51=MIN(IF(AND(J51=0,ISNUMBER(AP51),AP51&lt;=(C51+T51)),AP51,9E15),IF(AND(K51=0,ISNUMBER(AQ51),AQ51&lt;=(C51+T51)),AQ51,9E15),IF(AND(L51=0,ISNUMBER(AR51),AR51&lt;=(C51+T51)),AR51,9E15),IF(AND(M51=0,ISNUMBER(AS51),AS51&lt;=(C51+T51)),AS51,9E15))),"PV",IF(AND(AND(L51=0,ISNUMBER(AR51),AR51&lt;=(C51+T51)),AR51=MIN(IF(AND(J51=0,ISNUMBER(AP51),AP51&lt;=(C51+T51)),AP51,9E15),IF(AND(K51=0,ISNUMBER(AQ51),AQ51&lt;=(C51+T51)),AQ51,9E15),IF(AND(L51=0,ISNUMBER(AR51),AR51&lt;=(C51+T51)),AR51,9E15),IF(AND(M51=0,ISNUMBER(AS51),AS51&lt;=(C51+T51)),AS51,9E15))),"OC","MG"))),IF(AX51=TRUE,"",IF(MAX(IF(AND(NOT(AND(AU51=1,AT51&lt;&gt;1)),ISNUMBER(AK51),AK51&lt;=(C51+T51)),AY51,0),IF(AND(NOT(AND(AU51=1,AT51&lt;&gt;1)),ISNUMBER(AL51),AL51&lt;=(C51+T51)),AZ51,0),IF(AND(NOT(AND(AU51=1,AT51&lt;&gt;1)),ISNUMBER(AM51),AM51&lt;=(C51+T51)),BA51,0),IF(AND(NOT(AND(AU51=1,AT51&lt;&gt;1)),ISNUMBER(AN51),AN51&lt;=(C51+T51)),BB51,0),IF(AND(ISNUMBER(AO51),AO51&lt;=(C51+T51)),BC51,0))&lt;=0,"",IF(AND(IF(AND(NOT(AND(AU51=1,AT51&lt;&gt;1)),ISNUMBER(AK51),AK51&lt;=(C51+T51)),AY51,0)&gt;0,IF(AND(NOT(AND(AU51=1,AT51&lt;&gt;1)),ISNUMBER(AK51),AK51&lt;=(C51+T51)),AY51,0)=MAX(IF(AND(NOT(AND(AU51=1,AT51&lt;&gt;1)),ISNUMBER(AK51),AK51&lt;=(C51+T51)),AY51,0),IF(AND(NOT(AND(AU51=1,AT51&lt;&gt;1)),ISNUMBER(AL51),AL51&lt;=(C51+T51)),AZ51,0),IF(AND(NOT(AND(AU51=1,AT51&lt;&gt;1)),ISNUMBER(AM51),AM51&lt;=(C51+T51)),BA51,0),IF(AND(NOT(AND(AU51=1,AT51&lt;&gt;1)),ISNUMBER(AN51),AN51&lt;=(C51+T51)),BB51,0),IF(AND(ISNUMBER(AO51),AO51&lt;=(C51+T51)),BC51,0))),"SK",IF(AND(IF(AND(NOT(AND(AU51=1,AT51&lt;&gt;1)),ISNUMBER(AL51),AL51&lt;=(C51+T51)),AZ51,0)&gt;0,IF(AND(NOT(AND(AU51=1,AT51&lt;&gt;1)),ISNUMBER(AL51),AL51&lt;=(C51+T51)),AZ51,0)=MAX(IF(AND(NOT(AND(AU51=1,AT51&lt;&gt;1)),ISNUMBER(AK51),AK51&lt;=(C51+T51)),AY51,0),IF(AND(NOT(AND(AU51=1,AT51&lt;&gt;1)),ISNUMBER(AL51),AL51&lt;=(C51+T51)),AZ51,0),IF(AND(NOT(AND(AU51=1,AT51&lt;&gt;1)),ISNUMBER(AM51),AM51&lt;=(C51+T51)),BA51,0),IF(AND(NOT(AND(AU51=1,AT51&lt;&gt;1)),ISNUMBER(AN51),AN51&lt;=(C51+T51)),BB51,0),IF(AND(ISNUMBER(AO51),AO51&lt;=(C51+T51)),BC51,0))),"LB",IF(AND(IF(AND(NOT(AND(AU51=1,AT51&lt;&gt;1)),ISNUMBER(AM51),AM51&lt;=(C51+T51)),BA51,0)&gt;0,IF(AND(NOT(AND(AU51=1,AT51&lt;&gt;1)),ISNUMBER(AM51),AM51&lt;=(C51+T51)),BA51,0)=MAX(IF(AND(NOT(AND(AU51=1,AT51&lt;&gt;1)),ISNUMBER(AK51),AK51&lt;=(C51+T51)),AY51,0),IF(AND(NOT(AND(AU51=1,AT51&lt;&gt;1)),ISNUMBER(AL51),AL51&lt;=(C51+T51)),AZ51,0),IF(AND(NOT(AND(AU51=1,AT51&lt;&gt;1)),ISNUMBER(AM51),AM51&lt;=(C51+T51)),BA51,0),IF(AND(NOT(AND(AU51=1,AT51&lt;&gt;1)),ISNUMBER(AN51),AN51&lt;=(C51+T51)),BB51,0),IF(AND(ISNUMBER(AO51),AO51&lt;=(C51+T51)),BC51,0))),"ML",IF(AND(IF(AND(NOT(AND(AU51=1,AT51&lt;&gt;1)),ISNUMBER(AN51),AN51&lt;=(C51+T51)),BB51,0)&gt;0,IF(AND(NOT(AND(AU51=1,AT51&lt;&gt;1)),ISNUMBER(AN51),AN51&lt;=(C51+T51)),BB51,0)=MAX(IF(AND(NOT(AND(AU51=1,AT51&lt;&gt;1)),ISNUMBER(AK51),AK51&lt;=(C51+T51)),AY51,0),IF(AND(NOT(AND(AU51=1,AT51&lt;&gt;1)),ISNUMBER(AL51),AL51&lt;=(C51+T51)),AZ51,0),IF(AND(NOT(AND(AU51=1,AT51&lt;&gt;1)),ISNUMBER(AM51),AM51&lt;=(C51+T51)),BA51,0),IF(AND(NOT(AND(AU51=1,AT51&lt;&gt;1)),ISNUMBER(AN51),AN51&lt;=(C51+T51)),BB51,0),IF(AND(ISNUMBER(AO51),AO51&lt;=(C51+T51)),BC51,0))),"RLO","BD"))))))))</f>
        <v/>
      </c>
    </row>
    <row r="52">
      <c r="A52" s="26" t="n">
        <v>41</v>
      </c>
      <c r="B52" s="27">
        <f>A52*10/60</f>
        <v/>
      </c>
      <c r="C52" s="22">
        <f>X51</f>
        <v/>
      </c>
      <c r="D52" s="27">
        <f>D51+W51</f>
        <v/>
      </c>
      <c r="E52" s="26">
        <f>E51+IF(U51="SK",1,0)</f>
        <v/>
      </c>
      <c r="F52" s="26">
        <f>F51+IF(U51="LB",1,0)</f>
        <v/>
      </c>
      <c r="G52" s="26">
        <f>G51+IF(U51="ML",1,0)</f>
        <v/>
      </c>
      <c r="H52" s="26">
        <f>H51+IF(U51="RLO",1,0)</f>
        <v/>
      </c>
      <c r="I52" s="26">
        <f>I51+IF(U51="BD",1,0)</f>
        <v/>
      </c>
      <c r="J52" s="26">
        <f>MAX(J51,IF(U51="BiP",1,0))</f>
        <v/>
      </c>
      <c r="K52" s="26">
        <f>MAX(K51,IF(U51="PV",1,0))</f>
        <v/>
      </c>
      <c r="L52" s="26">
        <f>MAX(L51,IF(U51="OC",1,0))</f>
        <v/>
      </c>
      <c r="M52" s="26">
        <f>MAX(M51,IF(U51="MG",1,0))</f>
        <v/>
      </c>
      <c r="N52" s="26">
        <f>MAX(N51,IF(U51="transition",1,0))</f>
        <v/>
      </c>
      <c r="O52" s="28">
        <f>(Parameters!$B$9+(IF(E52=0,0,(Upgrades!$J$13+E52*Upgrades!$K$13)*POWER(Upgrades!$L$13,E52)))*(IF(Upgrades!$T$14="Stellar Kinematics",POWER(Upgrades!$U$14,F52),1)*IF(Upgrades!$T$15="Stellar Kinematics",POWER(Upgrades!$U$15,G52),1)*IF(Upgrades!$T$16="Stellar Kinematics",POWER(Upgrades!$U$16,H52),1)*IF(Upgrades!$T$17="Stellar Kinematics",POWER(Upgrades!$U$17,I52),1)*IF(Upgrades!$T$18="Stellar Kinematics",POWER(Upgrades!$U$18,J52),1)*IF(Upgrades!$T$19="Stellar Kinematics",POWER(Upgrades!$U$19,K52),1)*IF(Upgrades!$T$20="Stellar Kinematics",POWER(Upgrades!$U$20,L52),1)*IF(Upgrades!$T$21="Stellar Kinematics",POWER(Upgrades!$U$21,M52),1))+(IF(F52=0,0,(Upgrades!$J$14+F52*Upgrades!$K$14)*POWER(Upgrades!$L$14,F52)))*(IF(Upgrades!$T$13="Local Bubble",POWER(Upgrades!$U$13,E52),1)*IF(Upgrades!$T$15="Local Bubble",POWER(Upgrades!$U$15,G52),1)*IF(Upgrades!$T$16="Local Bubble",POWER(Upgrades!$U$16,H52),1)*IF(Upgrades!$T$17="Local Bubble",POWER(Upgrades!$U$17,I52),1)*IF(Upgrades!$T$18="Local Bubble",POWER(Upgrades!$U$18,J52),1)*IF(Upgrades!$T$19="Local Bubble",POWER(Upgrades!$U$19,K52),1)*IF(Upgrades!$T$20="Local Bubble",POWER(Upgrades!$U$20,L52),1)*IF(Upgrades!$T$21="Local Bubble",POWER(Upgrades!$U$21,M52),1))+(IF(G52=0,0,(Upgrades!$J$15+G52*Upgrades!$K$15)*POWER(Upgrades!$L$15,G52)))*(IF(Upgrades!$T$13="Microlensing",POWER(Upgrades!$U$13,E52),1)*IF(Upgrades!$T$14="Microlensing",POWER(Upgrades!$U$14,F52),1)*IF(Upgrades!$T$16="Microlensing",POWER(Upgrades!$U$16,H52),1)*IF(Upgrades!$T$17="Microlensing",POWER(Upgrades!$U$17,I52),1)*IF(Upgrades!$T$18="Microlensing",POWER(Upgrades!$U$18,J52),1)*IF(Upgrades!$T$19="Microlensing",POWER(Upgrades!$U$19,K52),1)*IF(Upgrades!$T$20="Microlensing",POWER(Upgrades!$U$20,L52),1)*IF(Upgrades!$T$21="Microlensing",POWER(Upgrades!$U$21,M52),1))+(IF(H52=0,0,(Upgrades!$J$16+H52*Upgrades!$K$16)*POWER(Upgrades!$L$16,H52)))*(IF(Upgrades!$T$13="Roche Lobe Overflow",POWER(Upgrades!$U$13,E52),1)*IF(Upgrades!$T$14="Roche Lobe Overflow",POWER(Upgrades!$U$14,F52),1)*IF(Upgrades!$T$15="Roche Lobe Overflow",POWER(Upgrades!$U$15,G52),1)*IF(Upgrades!$T$17="Roche Lobe Overflow",POWER(Upgrades!$U$17,I52),1)*IF(Upgrades!$T$18="Roche Lobe Overflow",POWER(Upgrades!$U$18,J52),1)*IF(Upgrades!$T$19="Roche Lobe Overflow",POWER(Upgrades!$U$19,K52),1)*IF(Upgrades!$T$20="Roche Lobe Overflow",POWER(Upgrades!$U$20,L52),1)*IF(Upgrades!$T$21="Roche Lobe Overflow",POWER(Upgrades!$U$21,M52),1))+(IF(I52=0,0,(Upgrades!$J$17+I52*Upgrades!$K$17)*POWER(Upgrades!$L$17,I52)))*(IF(Upgrades!$T$13="Brown Dwarf",POWER(Upgrades!$U$13,E52),1)*IF(Upgrades!$T$14="Brown Dwarf",POWER(Upgrades!$U$14,F52),1)*IF(Upgrades!$T$15="Brown Dwarf",POWER(Upgrades!$U$15,G52),1)*IF(Upgrades!$T$16="Brown Dwarf",POWER(Upgrades!$U$16,H52),1)*IF(Upgrades!$T$18="Brown Dwarf",POWER(Upgrades!$U$18,J52),1)*IF(Upgrades!$T$19="Brown Dwarf",POWER(Upgrades!$U$19,K52),1)*IF(Upgrades!$T$20="Brown Dwarf",POWER(Upgrades!$U$20,L52),1)*IF(Upgrades!$T$21="Brown Dwarf",POWER(Upgrades!$U$21,M52),1))+(IF(J52=0,0,(Upgrades!$J$18+J52*Upgrades!$K$18)*POWER(Upgrades!$L$18,J52)))*(IF(Upgrades!$T$13="Binary Partner",POWER(Upgrades!$U$13,E52),1)*IF(Upgrades!$T$14="Binary Partner",POWER(Upgrades!$U$14,F52),1)*IF(Upgrades!$T$15="Binary Partner",POWER(Upgrades!$U$15,G52),1)*IF(Upgrades!$T$16="Binary Partner",POWER(Upgrades!$U$16,H52),1)*IF(Upgrades!$T$17="Binary Partner",POWER(Upgrades!$U$17,I52),1)*IF(Upgrades!$T$19="Binary Partner",POWER(Upgrades!$U$19,K52),1)*IF(Upgrades!$T$20="Binary Partner",POWER(Upgrades!$U$20,L52),1)*IF(Upgrades!$T$21="Binary Partner",POWER(Upgrades!$U$21,M52),1))+(IF(K52=0,0,(Upgrades!$J$19+K52*Upgrades!$K$19)*POWER(Upgrades!$L$19,K52)))*(IF(Upgrades!$T$13="Peculiar Velocity",POWER(Upgrades!$U$13,E52),1)*IF(Upgrades!$T$14="Peculiar Velocity",POWER(Upgrades!$U$14,F52),1)*IF(Upgrades!$T$15="Peculiar Velocity",POWER(Upgrades!$U$15,G52),1)*IF(Upgrades!$T$16="Peculiar Velocity",POWER(Upgrades!$U$16,H52),1)*IF(Upgrades!$T$17="Peculiar Velocity",POWER(Upgrades!$U$17,I52),1)*IF(Upgrades!$T$18="Peculiar Velocity",POWER(Upgrades!$U$18,J52),1)*IF(Upgrades!$T$20="Peculiar Velocity",POWER(Upgrades!$U$20,L52),1)*IF(Upgrades!$T$21="Peculiar Velocity",POWER(Upgrades!$U$21,M52),1))+(IF(L52=0,0,(Upgrades!$J$20+L52*Upgrades!$K$20)*POWER(Upgrades!$L$20,L52)))*(IF(Upgrades!$T$13="Open Cluster",POWER(Upgrades!$U$13,E52),1)*IF(Upgrades!$T$14="Open Cluster",POWER(Upgrades!$U$14,F52),1)*IF(Upgrades!$T$15="Open Cluster",POWER(Upgrades!$U$15,G52),1)*IF(Upgrades!$T$16="Open Cluster",POWER(Upgrades!$U$16,H52),1)*IF(Upgrades!$T$17="Open Cluster",POWER(Upgrades!$U$17,I52),1)*IF(Upgrades!$T$18="Open Cluster",POWER(Upgrades!$U$18,J52),1)*IF(Upgrades!$T$19="Open Cluster",POWER(Upgrades!$U$19,K52),1)*IF(Upgrades!$T$21="Open Cluster",POWER(Upgrades!$U$21,M52),1))+(IF(M52=0,0,(Upgrades!$J$21+M52*Upgrades!$K$21)*POWER(Upgrades!$L$21,M52)))*(IF(Upgrades!$T$13="Moving Group",POWER(Upgrades!$U$13,E52),1)*IF(Upgrades!$T$14="Moving Group",POWER(Upgrades!$U$14,F52),1)*IF(Upgrades!$T$15="Moving Group",POWER(Upgrades!$U$15,G52),1)*IF(Upgrades!$T$16="Moving Group",POWER(Upgrades!$U$16,H52),1)*IF(Upgrades!$T$17="Moving Group",POWER(Upgrades!$U$17,I52),1)*IF(Upgrades!$T$18="Moving Group",POWER(Upgrades!$U$18,J52),1)*IF(Upgrades!$T$19="Moving Group",POWER(Upgrades!$U$19,K52),1)*IF(Upgrades!$T$20="Moving Group",POWER(Upgrades!$U$20,L52),1)))*POWER(Upgrades!$Q$13,E52)*POWER(Upgrades!$Q$14,F52)*POWER(Upgrades!$Q$15,G52)*POWER(Upgrades!$Q$16,H52)*POWER(Upgrades!$Q$17,I52)*POWER(Upgrades!$Q$18,J52)*POWER(Upgrades!$Q$19,K52)*POWER(Upgrades!$Q$20,L52)*POWER(Upgrades!$Q$21,M52)*$G$6+$D$6</f>
        <v/>
      </c>
      <c r="P52" s="28">
        <f>((IF(E52=0,0,(Upgrades!$G$13+E52*Upgrades!$H$13)*POWER(Upgrades!$I$13,E52)))*(IF(Upgrades!$T$14="Stellar Kinematics",POWER(Upgrades!$U$14,F52),1)*IF(Upgrades!$T$15="Stellar Kinematics",POWER(Upgrades!$U$15,G52),1)*IF(Upgrades!$T$16="Stellar Kinematics",POWER(Upgrades!$U$16,H52),1)*IF(Upgrades!$T$17="Stellar Kinematics",POWER(Upgrades!$U$17,I52),1)*IF(Upgrades!$T$18="Stellar Kinematics",POWER(Upgrades!$U$18,J52),1)*IF(Upgrades!$T$19="Stellar Kinematics",POWER(Upgrades!$U$19,K52),1)*IF(Upgrades!$T$20="Stellar Kinematics",POWER(Upgrades!$U$20,L52),1)*IF(Upgrades!$T$21="Stellar Kinematics",POWER(Upgrades!$U$21,M52),1))+(IF(F52=0,0,(Upgrades!$G$14+F52*Upgrades!$H$14)*POWER(Upgrades!$I$14,F52)))*(IF(Upgrades!$T$13="Local Bubble",POWER(Upgrades!$U$13,E52),1)*IF(Upgrades!$T$15="Local Bubble",POWER(Upgrades!$U$15,G52),1)*IF(Upgrades!$T$16="Local Bubble",POWER(Upgrades!$U$16,H52),1)*IF(Upgrades!$T$17="Local Bubble",POWER(Upgrades!$U$17,I52),1)*IF(Upgrades!$T$18="Local Bubble",POWER(Upgrades!$U$18,J52),1)*IF(Upgrades!$T$19="Local Bubble",POWER(Upgrades!$U$19,K52),1)*IF(Upgrades!$T$20="Local Bubble",POWER(Upgrades!$U$20,L52),1)*IF(Upgrades!$T$21="Local Bubble",POWER(Upgrades!$U$21,M52),1))+(IF(G52=0,0,(Upgrades!$G$15+G52*Upgrades!$H$15)*POWER(Upgrades!$I$15,G52)))*(IF(Upgrades!$T$13="Microlensing",POWER(Upgrades!$U$13,E52),1)*IF(Upgrades!$T$14="Microlensing",POWER(Upgrades!$U$14,F52),1)*IF(Upgrades!$T$16="Microlensing",POWER(Upgrades!$U$16,H52),1)*IF(Upgrades!$T$17="Microlensing",POWER(Upgrades!$U$17,I52),1)*IF(Upgrades!$T$18="Microlensing",POWER(Upgrades!$U$18,J52),1)*IF(Upgrades!$T$19="Microlensing",POWER(Upgrades!$U$19,K52),1)*IF(Upgrades!$T$20="Microlensing",POWER(Upgrades!$U$20,L52),1)*IF(Upgrades!$T$21="Microlensing",POWER(Upgrades!$U$21,M52),1))+(IF(H52=0,0,(Upgrades!$G$16+H52*Upgrades!$H$16)*POWER(Upgrades!$I$16,H52)))*(IF(Upgrades!$T$13="Roche Lobe Overflow",POWER(Upgrades!$U$13,E52),1)*IF(Upgrades!$T$14="Roche Lobe Overflow",POWER(Upgrades!$U$14,F52),1)*IF(Upgrades!$T$15="Roche Lobe Overflow",POWER(Upgrades!$U$15,G52),1)*IF(Upgrades!$T$17="Roche Lobe Overflow",POWER(Upgrades!$U$17,I52),1)*IF(Upgrades!$T$18="Roche Lobe Overflow",POWER(Upgrades!$U$18,J52),1)*IF(Upgrades!$T$19="Roche Lobe Overflow",POWER(Upgrades!$U$19,K52),1)*IF(Upgrades!$T$20="Roche Lobe Overflow",POWER(Upgrades!$U$20,L52),1)*IF(Upgrades!$T$21="Roche Lobe Overflow",POWER(Upgrades!$U$21,M52),1))+(IF(I52=0,0,(Upgrades!$G$17+I52*Upgrades!$H$17)*POWER(Upgrades!$I$17,I52)))*(IF(Upgrades!$T$13="Brown Dwarf",POWER(Upgrades!$U$13,E52),1)*IF(Upgrades!$T$14="Brown Dwarf",POWER(Upgrades!$U$14,F52),1)*IF(Upgrades!$T$15="Brown Dwarf",POWER(Upgrades!$U$15,G52),1)*IF(Upgrades!$T$16="Brown Dwarf",POWER(Upgrades!$U$16,H52),1)*IF(Upgrades!$T$18="Brown Dwarf",POWER(Upgrades!$U$18,J52),1)*IF(Upgrades!$T$19="Brown Dwarf",POWER(Upgrades!$U$19,K52),1)*IF(Upgrades!$T$20="Brown Dwarf",POWER(Upgrades!$U$20,L52),1)*IF(Upgrades!$T$21="Brown Dwarf",POWER(Upgrades!$U$21,M52),1))+(IF(J52=0,0,(Upgrades!$G$18+J52*Upgrades!$H$18)*POWER(Upgrades!$I$18,J52)))*(IF(Upgrades!$T$13="Binary Partner",POWER(Upgrades!$U$13,E52),1)*IF(Upgrades!$T$14="Binary Partner",POWER(Upgrades!$U$14,F52),1)*IF(Upgrades!$T$15="Binary Partner",POWER(Upgrades!$U$15,G52),1)*IF(Upgrades!$T$16="Binary Partner",POWER(Upgrades!$U$16,H52),1)*IF(Upgrades!$T$17="Binary Partner",POWER(Upgrades!$U$17,I52),1)*IF(Upgrades!$T$19="Binary Partner",POWER(Upgrades!$U$19,K52),1)*IF(Upgrades!$T$20="Binary Partner",POWER(Upgrades!$U$20,L52),1)*IF(Upgrades!$T$21="Binary Partner",POWER(Upgrades!$U$21,M52),1))+(IF(K52=0,0,(Upgrades!$G$19+K52*Upgrades!$H$19)*POWER(Upgrades!$I$19,K52)))*(IF(Upgrades!$T$13="Peculiar Velocity",POWER(Upgrades!$U$13,E52),1)*IF(Upgrades!$T$14="Peculiar Velocity",POWER(Upgrades!$U$14,F52),1)*IF(Upgrades!$T$15="Peculiar Velocity",POWER(Upgrades!$U$15,G52),1)*IF(Upgrades!$T$16="Peculiar Velocity",POWER(Upgrades!$U$16,H52),1)*IF(Upgrades!$T$17="Peculiar Velocity",POWER(Upgrades!$U$17,I52),1)*IF(Upgrades!$T$18="Peculiar Velocity",POWER(Upgrades!$U$18,J52),1)*IF(Upgrades!$T$20="Peculiar Velocity",POWER(Upgrades!$U$20,L52),1)*IF(Upgrades!$T$21="Peculiar Velocity",POWER(Upgrades!$U$21,M52),1))+(IF(L52=0,0,(Upgrades!$G$20+L52*Upgrades!$H$20)*POWER(Upgrades!$I$20,L52)))*(IF(Upgrades!$T$13="Open Cluster",POWER(Upgrades!$U$13,E52),1)*IF(Upgrades!$T$14="Open Cluster",POWER(Upgrades!$U$14,F52),1)*IF(Upgrades!$T$15="Open Cluster",POWER(Upgrades!$U$15,G52),1)*IF(Upgrades!$T$16="Open Cluster",POWER(Upgrades!$U$16,H52),1)*IF(Upgrades!$T$17="Open Cluster",POWER(Upgrades!$U$17,I52),1)*IF(Upgrades!$T$18="Open Cluster",POWER(Upgrades!$U$18,J52),1)*IF(Upgrades!$T$19="Open Cluster",POWER(Upgrades!$U$19,K52),1)*IF(Upgrades!$T$21="Open Cluster",POWER(Upgrades!$U$21,M52),1))+(IF(M52=0,0,(Upgrades!$G$21+M52*Upgrades!$H$21)*POWER(Upgrades!$I$21,M52)))*(IF(Upgrades!$T$13="Moving Group",POWER(Upgrades!$U$13,E52),1)*IF(Upgrades!$T$14="Moving Group",POWER(Upgrades!$U$14,F52),1)*IF(Upgrades!$T$15="Moving Group",POWER(Upgrades!$U$15,G52),1)*IF(Upgrades!$T$16="Moving Group",POWER(Upgrades!$U$16,H52),1)*IF(Upgrades!$T$17="Moving Group",POWER(Upgrades!$U$17,I52),1)*IF(Upgrades!$T$18="Moving Group",POWER(Upgrades!$U$18,J52),1)*IF(Upgrades!$T$19="Moving Group",POWER(Upgrades!$U$19,K52),1)*IF(Upgrades!$T$20="Moving Group",POWER(Upgrades!$U$20,L52),1)))*POWER(Upgrades!$P$13,E52)*POWER(Upgrades!$P$14,F52)*POWER(Upgrades!$P$15,G52)*POWER(Upgrades!$P$16,H52)*POWER(Upgrades!$P$17,I52)*POWER(Upgrades!$P$18,J52)*POWER(Upgrades!$P$19,K52)*POWER(Upgrades!$P$20,L52)*POWER(Upgrades!$P$21,M52)*$F$6+$C$6</f>
        <v/>
      </c>
      <c r="Q52" s="28">
        <f>((IF(E52=0,0,(Upgrades!$M$13+E52*Upgrades!$N$13)*POWER(Upgrades!$O$13,E52)))*(IF(Upgrades!$T$14="Stellar Kinematics",POWER(Upgrades!$U$14,F52),1)*IF(Upgrades!$T$15="Stellar Kinematics",POWER(Upgrades!$U$15,G52),1)*IF(Upgrades!$T$16="Stellar Kinematics",POWER(Upgrades!$U$16,H52),1)*IF(Upgrades!$T$17="Stellar Kinematics",POWER(Upgrades!$U$17,I52),1)*IF(Upgrades!$T$18="Stellar Kinematics",POWER(Upgrades!$U$18,J52),1)*IF(Upgrades!$T$19="Stellar Kinematics",POWER(Upgrades!$U$19,K52),1)*IF(Upgrades!$T$20="Stellar Kinematics",POWER(Upgrades!$U$20,L52),1)*IF(Upgrades!$T$21="Stellar Kinematics",POWER(Upgrades!$U$21,M52),1))+(IF(F52=0,0,(Upgrades!$M$14+F52*Upgrades!$N$14)*POWER(Upgrades!$O$14,F52)))*(IF(Upgrades!$T$13="Local Bubble",POWER(Upgrades!$U$13,E52),1)*IF(Upgrades!$T$15="Local Bubble",POWER(Upgrades!$U$15,G52),1)*IF(Upgrades!$T$16="Local Bubble",POWER(Upgrades!$U$16,H52),1)*IF(Upgrades!$T$17="Local Bubble",POWER(Upgrades!$U$17,I52),1)*IF(Upgrades!$T$18="Local Bubble",POWER(Upgrades!$U$18,J52),1)*IF(Upgrades!$T$19="Local Bubble",POWER(Upgrades!$U$19,K52),1)*IF(Upgrades!$T$20="Local Bubble",POWER(Upgrades!$U$20,L52),1)*IF(Upgrades!$T$21="Local Bubble",POWER(Upgrades!$U$21,M52),1))+(IF(G52=0,0,(Upgrades!$M$15+G52*Upgrades!$N$15)*POWER(Upgrades!$O$15,G52)))*(IF(Upgrades!$T$13="Microlensing",POWER(Upgrades!$U$13,E52),1)*IF(Upgrades!$T$14="Microlensing",POWER(Upgrades!$U$14,F52),1)*IF(Upgrades!$T$16="Microlensing",POWER(Upgrades!$U$16,H52),1)*IF(Upgrades!$T$17="Microlensing",POWER(Upgrades!$U$17,I52),1)*IF(Upgrades!$T$18="Microlensing",POWER(Upgrades!$U$18,J52),1)*IF(Upgrades!$T$19="Microlensing",POWER(Upgrades!$U$19,K52),1)*IF(Upgrades!$T$20="Microlensing",POWER(Upgrades!$U$20,L52),1)*IF(Upgrades!$T$21="Microlensing",POWER(Upgrades!$U$21,M52),1))+(IF(H52=0,0,(Upgrades!$M$16+H52*Upgrades!$N$16)*POWER(Upgrades!$O$16,H52)))*(IF(Upgrades!$T$13="Roche Lobe Overflow",POWER(Upgrades!$U$13,E52),1)*IF(Upgrades!$T$14="Roche Lobe Overflow",POWER(Upgrades!$U$14,F52),1)*IF(Upgrades!$T$15="Roche Lobe Overflow",POWER(Upgrades!$U$15,G52),1)*IF(Upgrades!$T$17="Roche Lobe Overflow",POWER(Upgrades!$U$17,I52),1)*IF(Upgrades!$T$18="Roche Lobe Overflow",POWER(Upgrades!$U$18,J52),1)*IF(Upgrades!$T$19="Roche Lobe Overflow",POWER(Upgrades!$U$19,K52),1)*IF(Upgrades!$T$20="Roche Lobe Overflow",POWER(Upgrades!$U$20,L52),1)*IF(Upgrades!$T$21="Roche Lobe Overflow",POWER(Upgrades!$U$21,M52),1))+(IF(I52=0,0,(Upgrades!$M$17+I52*Upgrades!$N$17)*POWER(Upgrades!$O$17,I52)))*(IF(Upgrades!$T$13="Brown Dwarf",POWER(Upgrades!$U$13,E52),1)*IF(Upgrades!$T$14="Brown Dwarf",POWER(Upgrades!$U$14,F52),1)*IF(Upgrades!$T$15="Brown Dwarf",POWER(Upgrades!$U$15,G52),1)*IF(Upgrades!$T$16="Brown Dwarf",POWER(Upgrades!$U$16,H52),1)*IF(Upgrades!$T$18="Brown Dwarf",POWER(Upgrades!$U$18,J52),1)*IF(Upgrades!$T$19="Brown Dwarf",POWER(Upgrades!$U$19,K52),1)*IF(Upgrades!$T$20="Brown Dwarf",POWER(Upgrades!$U$20,L52),1)*IF(Upgrades!$T$21="Brown Dwarf",POWER(Upgrades!$U$21,M52),1))+(IF(J52=0,0,(Upgrades!$M$18+J52*Upgrades!$N$18)*POWER(Upgrades!$O$18,J52)))*(IF(Upgrades!$T$13="Binary Partner",POWER(Upgrades!$U$13,E52),1)*IF(Upgrades!$T$14="Binary Partner",POWER(Upgrades!$U$14,F52),1)*IF(Upgrades!$T$15="Binary Partner",POWER(Upgrades!$U$15,G52),1)*IF(Upgrades!$T$16="Binary Partner",POWER(Upgrades!$U$16,H52),1)*IF(Upgrades!$T$17="Binary Partner",POWER(Upgrades!$U$17,I52),1)*IF(Upgrades!$T$19="Binary Partner",POWER(Upgrades!$U$19,K52),1)*IF(Upgrades!$T$20="Binary Partner",POWER(Upgrades!$U$20,L52),1)*IF(Upgrades!$T$21="Binary Partner",POWER(Upgrades!$U$21,M52),1))+(IF(K52=0,0,(Upgrades!$M$19+K52*Upgrades!$N$19)*POWER(Upgrades!$O$19,K52)))*(IF(Upgrades!$T$13="Peculiar Velocity",POWER(Upgrades!$U$13,E52),1)*IF(Upgrades!$T$14="Peculiar Velocity",POWER(Upgrades!$U$14,F52),1)*IF(Upgrades!$T$15="Peculiar Velocity",POWER(Upgrades!$U$15,G52),1)*IF(Upgrades!$T$16="Peculiar Velocity",POWER(Upgrades!$U$16,H52),1)*IF(Upgrades!$T$17="Peculiar Velocity",POWER(Upgrades!$U$17,I52),1)*IF(Upgrades!$T$18="Peculiar Velocity",POWER(Upgrades!$U$18,J52),1)*IF(Upgrades!$T$20="Peculiar Velocity",POWER(Upgrades!$U$20,L52),1)*IF(Upgrades!$T$21="Peculiar Velocity",POWER(Upgrades!$U$21,M52),1))+(IF(L52=0,0,(Upgrades!$M$20+L52*Upgrades!$N$20)*POWER(Upgrades!$O$20,L52)))*(IF(Upgrades!$T$13="Open Cluster",POWER(Upgrades!$U$13,E52),1)*IF(Upgrades!$T$14="Open Cluster",POWER(Upgrades!$U$14,F52),1)*IF(Upgrades!$T$15="Open Cluster",POWER(Upgrades!$U$15,G52),1)*IF(Upgrades!$T$16="Open Cluster",POWER(Upgrades!$U$16,H52),1)*IF(Upgrades!$T$17="Open Cluster",POWER(Upgrades!$U$17,I52),1)*IF(Upgrades!$T$18="Open Cluster",POWER(Upgrades!$U$18,J52),1)*IF(Upgrades!$T$19="Open Cluster",POWER(Upgrades!$U$19,K52),1)*IF(Upgrades!$T$21="Open Cluster",POWER(Upgrades!$U$21,M52),1))+(IF(M52=0,0,(Upgrades!$M$21+M52*Upgrades!$N$21)*POWER(Upgrades!$O$21,M52)))*(IF(Upgrades!$T$13="Moving Group",POWER(Upgrades!$U$13,E52),1)*IF(Upgrades!$T$14="Moving Group",POWER(Upgrades!$U$14,F52),1)*IF(Upgrades!$T$15="Moving Group",POWER(Upgrades!$U$15,G52),1)*IF(Upgrades!$T$16="Moving Group",POWER(Upgrades!$U$16,H52),1)*IF(Upgrades!$T$17="Moving Group",POWER(Upgrades!$U$17,I52),1)*IF(Upgrades!$T$18="Moving Group",POWER(Upgrades!$U$18,J52),1)*IF(Upgrades!$T$19="Moving Group",POWER(Upgrades!$U$19,K52),1)*IF(Upgrades!$T$20="Moving Group",POWER(Upgrades!$U$20,L52),1)))*POWER(Upgrades!$R$13,E52)*POWER(Upgrades!$R$14,F52)*POWER(Upgrades!$R$15,G52)*POWER(Upgrades!$R$16,H52)*POWER(Upgrades!$R$17,I52)*POWER(Upgrades!$R$18,J52)*POWER(Upgrades!$R$19,K52)*POWER(Upgrades!$R$20,L52)*POWER(Upgrades!$R$21,M52)*$H$6+$E$6</f>
        <v/>
      </c>
      <c r="R52" s="27">
        <f>IF(N52=1,0,O52*Parameters!$B$10/60*Parameters!$B$11*10)</f>
        <v/>
      </c>
      <c r="S52" s="27">
        <f>IF(N52=1,0,Q52*O52*10)</f>
        <v/>
      </c>
      <c r="T52" s="27">
        <f>IF(N52=1,0,R52+S52+P52*10)</f>
        <v/>
      </c>
      <c r="U52" s="33">
        <f>BE52</f>
        <v/>
      </c>
      <c r="V52" s="22">
        <f>IF(U52="",0,IF(U52="transition",0,IF(U52="SK",AK52,IF(U52="LB",AL52,IF(U52="ML",AM52,IF(U52="RLO",AN52,IF(U52="BD",AO52,IF(U52="BiP",AP52,IF(U52="PV",AQ52,IF(U52="OC",AR52,IF(U52="MG",AS52,0))))))))))</f>
        <v/>
      </c>
      <c r="W52" s="27">
        <f>IF(U52="BiP",Upgrades!$F$18,IF(U52="PV",Upgrades!$F$19,IF(U52="OC",Upgrades!$F$20,IF(U52="MG",Upgrades!$F$21,IF(U52="transition",-Parameters!$B$18*Parameters!$B$19,0)))))</f>
        <v/>
      </c>
      <c r="X52" s="22">
        <f>C52+T52-V52</f>
        <v/>
      </c>
      <c r="Y52" s="30">
        <f>O52*Parameters!$B$10/60*Parameters!$B$11+Q52*O52+P52</f>
        <v/>
      </c>
      <c r="Z52" s="34">
        <f>IF(U52="transition","→ Tier 3 (Galactic Arm)",IF(U52="MG","Moving Group — pocket drifts together",IF(U52="OC","Open Cluster acquired",IF(U52="PV","Peculiar Velocity — passive multiplier active",IF(U52="BiP","Binary Partner — pair bond formed",IF(AND(AU52=1,N52=0,AT52&lt;&gt;1),"Cohesion ready (waiting on completionists)","")))))) </f>
        <v/>
      </c>
      <c r="AA52" s="27">
        <f>(IF(E52=0,0,(Upgrades!$G$13+E52*Upgrades!$H$13)*POWER(Upgrades!$I$13,E52)))*(IF(Upgrades!$T$14="Stellar Kinematics",POWER(Upgrades!$U$14,F52),1)*IF(Upgrades!$T$15="Stellar Kinematics",POWER(Upgrades!$U$15,G52),1)*IF(Upgrades!$T$16="Stellar Kinematics",POWER(Upgrades!$U$16,H52),1)*IF(Upgrades!$T$17="Stellar Kinematics",POWER(Upgrades!$U$17,I52),1)*IF(Upgrades!$T$18="Stellar Kinematics",POWER(Upgrades!$U$18,J52),1)*IF(Upgrades!$T$19="Stellar Kinematics",POWER(Upgrades!$U$19,K52),1)*IF(Upgrades!$T$20="Stellar Kinematics",POWER(Upgrades!$U$20,L52),1)*IF(Upgrades!$T$21="Stellar Kinematics",POWER(Upgrades!$U$21,M52),1))*POWER(Upgrades!$P$13,E52)*POWER(Upgrades!$P$14,F52)*POWER(Upgrades!$P$15,G52)*POWER(Upgrades!$P$16,H52)*POWER(Upgrades!$P$17,I52)*POWER(Upgrades!$P$18,J52)*POWER(Upgrades!$P$19,K52)*POWER(Upgrades!$P$20,L52)*POWER(Upgrades!$P$21,M52)*$F$6*60</f>
        <v/>
      </c>
      <c r="AB52" s="27">
        <f>(IF(F52=0,0,(Upgrades!$G$14+F52*Upgrades!$H$14)*POWER(Upgrades!$I$14,F52)))*(IF(Upgrades!$T$13="Local Bubble",POWER(Upgrades!$U$13,E52),1)*IF(Upgrades!$T$15="Local Bubble",POWER(Upgrades!$U$15,G52),1)*IF(Upgrades!$T$16="Local Bubble",POWER(Upgrades!$U$16,H52),1)*IF(Upgrades!$T$17="Local Bubble",POWER(Upgrades!$U$17,I52),1)*IF(Upgrades!$T$18="Local Bubble",POWER(Upgrades!$U$18,J52),1)*IF(Upgrades!$T$19="Local Bubble",POWER(Upgrades!$U$19,K52),1)*IF(Upgrades!$T$20="Local Bubble",POWER(Upgrades!$U$20,L52),1)*IF(Upgrades!$T$21="Local Bubble",POWER(Upgrades!$U$21,M52),1))*POWER(Upgrades!$P$13,E52)*POWER(Upgrades!$P$14,F52)*POWER(Upgrades!$P$15,G52)*POWER(Upgrades!$P$16,H52)*POWER(Upgrades!$P$17,I52)*POWER(Upgrades!$P$18,J52)*POWER(Upgrades!$P$19,K52)*POWER(Upgrades!$P$20,L52)*POWER(Upgrades!$P$21,M52)*$F$6*60</f>
        <v/>
      </c>
      <c r="AC52" s="27">
        <f>(IF(G52=0,0,(Upgrades!$J$15+G52*Upgrades!$K$15)*POWER(Upgrades!$L$15,G52)))*(IF(Upgrades!$T$13="Microlensing",POWER(Upgrades!$U$13,E52),1)*IF(Upgrades!$T$14="Microlensing",POWER(Upgrades!$U$14,F52),1)*IF(Upgrades!$T$16="Microlensing",POWER(Upgrades!$U$16,H52),1)*IF(Upgrades!$T$17="Microlensing",POWER(Upgrades!$U$17,I52),1)*IF(Upgrades!$T$18="Microlensing",POWER(Upgrades!$U$18,J52),1)*IF(Upgrades!$T$19="Microlensing",POWER(Upgrades!$U$19,K52),1)*IF(Upgrades!$T$20="Microlensing",POWER(Upgrades!$U$20,L52),1)*IF(Upgrades!$T$21="Microlensing",POWER(Upgrades!$U$21,M52),1))*POWER(Upgrades!$Q$13,E52)*POWER(Upgrades!$Q$14,F52)*POWER(Upgrades!$Q$15,G52)*POWER(Upgrades!$Q$16,H52)*POWER(Upgrades!$Q$17,I52)*POWER(Upgrades!$Q$18,J52)*POWER(Upgrades!$Q$19,K52)*POWER(Upgrades!$Q$20,L52)*POWER(Upgrades!$Q$21,M52)*$G$6*(Parameters!$B$10*Parameters!$B$11+Q52*60)</f>
        <v/>
      </c>
      <c r="AD52" s="27">
        <f>(IF(H52=0,0,(Upgrades!$M$16+H52*Upgrades!$N$16)*POWER(Upgrades!$O$16,H52)))*(IF(Upgrades!$T$13="Roche Lobe Overflow",POWER(Upgrades!$U$13,E52),1)*IF(Upgrades!$T$14="Roche Lobe Overflow",POWER(Upgrades!$U$14,F52),1)*IF(Upgrades!$T$15="Roche Lobe Overflow",POWER(Upgrades!$U$15,G52),1)*IF(Upgrades!$T$17="Roche Lobe Overflow",POWER(Upgrades!$U$17,I52),1)*IF(Upgrades!$T$18="Roche Lobe Overflow",POWER(Upgrades!$U$18,J52),1)*IF(Upgrades!$T$19="Roche Lobe Overflow",POWER(Upgrades!$U$19,K52),1)*IF(Upgrades!$T$20="Roche Lobe Overflow",POWER(Upgrades!$U$20,L52),1)*IF(Upgrades!$T$21="Roche Lobe Overflow",POWER(Upgrades!$U$21,M52),1))*POWER(Upgrades!$R$13,E52)*POWER(Upgrades!$R$14,F52)*POWER(Upgrades!$R$15,G52)*POWER(Upgrades!$R$16,H52)*POWER(Upgrades!$R$17,I52)*POWER(Upgrades!$R$18,J52)*POWER(Upgrades!$R$19,K52)*POWER(Upgrades!$R$20,L52)*POWER(Upgrades!$R$21,M52)*$H$6*O52*60</f>
        <v/>
      </c>
      <c r="AE52" s="27">
        <f>(IF(I52=0,0,(Upgrades!$G$17+I52*Upgrades!$H$17)*POWER(Upgrades!$I$17,I52)))*(IF(Upgrades!$T$13="Brown Dwarf",POWER(Upgrades!$U$13,E52),1)*IF(Upgrades!$T$14="Brown Dwarf",POWER(Upgrades!$U$14,F52),1)*IF(Upgrades!$T$15="Brown Dwarf",POWER(Upgrades!$U$15,G52),1)*IF(Upgrades!$T$16="Brown Dwarf",POWER(Upgrades!$U$16,H52),1)*IF(Upgrades!$T$18="Brown Dwarf",POWER(Upgrades!$U$18,J52),1)*IF(Upgrades!$T$19="Brown Dwarf",POWER(Upgrades!$U$19,K52),1)*IF(Upgrades!$T$20="Brown Dwarf",POWER(Upgrades!$U$20,L52),1)*IF(Upgrades!$T$21="Brown Dwarf",POWER(Upgrades!$U$21,M52),1))*POWER(Upgrades!$P$13,E52)*POWER(Upgrades!$P$14,F52)*POWER(Upgrades!$P$15,G52)*POWER(Upgrades!$P$16,H52)*POWER(Upgrades!$P$17,I52)*POWER(Upgrades!$P$18,J52)*POWER(Upgrades!$P$19,K52)*POWER(Upgrades!$P$20,L52)*POWER(Upgrades!$P$21,M52)*$F$6*60</f>
        <v/>
      </c>
      <c r="AF52" s="27" t="n">
        <v>0</v>
      </c>
      <c r="AG52" s="27" t="n">
        <v>0</v>
      </c>
      <c r="AH52" s="27" t="n">
        <v>0</v>
      </c>
      <c r="AI52" s="27">
        <f>(IF(M52=0,0,(Upgrades!$G$21+M52*Upgrades!$H$21)*POWER(Upgrades!$I$21,M52)))*(IF(Upgrades!$T$13="Moving Group",POWER(Upgrades!$U$13,E52),1)*IF(Upgrades!$T$14="Moving Group",POWER(Upgrades!$U$14,F52),1)*IF(Upgrades!$T$15="Moving Group",POWER(Upgrades!$U$15,G52),1)*IF(Upgrades!$T$16="Moving Group",POWER(Upgrades!$U$16,H52),1)*IF(Upgrades!$T$17="Moving Group",POWER(Upgrades!$U$17,I52),1)*IF(Upgrades!$T$18="Moving Group",POWER(Upgrades!$U$18,J52),1)*IF(Upgrades!$T$19="Moving Group",POWER(Upgrades!$U$19,K52),1)*IF(Upgrades!$T$20="Moving Group",POWER(Upgrades!$U$20,L52),1))*POWER(Upgrades!$P$13,E52)*POWER(Upgrades!$P$14,F52)*POWER(Upgrades!$P$15,G52)*POWER(Upgrades!$P$16,H52)*POWER(Upgrades!$P$17,I52)*POWER(Upgrades!$P$18,J52)*POWER(Upgrades!$P$19,K52)*POWER(Upgrades!$P$20,L52)*POWER(Upgrades!$P$21,M52)*$F$6*60</f>
        <v/>
      </c>
      <c r="AJ52" s="27">
        <f>$C$6*60</f>
        <v/>
      </c>
      <c r="AK52" s="22">
        <f>IF(E52&gt;=Upgrades!$E$13,"",Upgrades!$C$13*POWER(Upgrades!$D$13,E52))</f>
        <v/>
      </c>
      <c r="AL52" s="22">
        <f>IF(F52&gt;=Upgrades!$E$14,"",Upgrades!$C$14*POWER(Upgrades!$D$14,F52))</f>
        <v/>
      </c>
      <c r="AM52" s="22">
        <f>IF(G52&gt;=Upgrades!$E$15,"",Upgrades!$C$15*POWER(Upgrades!$D$15,G52))</f>
        <v/>
      </c>
      <c r="AN52" s="22">
        <f>IF(H52&gt;=Upgrades!$E$16,"",Upgrades!$C$16*POWER(Upgrades!$D$16,H52))</f>
        <v/>
      </c>
      <c r="AO52" s="22">
        <f>IF(I52&gt;=Upgrades!$E$17,"",Upgrades!$C$17*POWER(Upgrades!$D$17,I52))</f>
        <v/>
      </c>
      <c r="AP52" s="22">
        <f>IF(J52&gt;=Upgrades!$E$18,"",Upgrades!$C$18*POWER(Upgrades!$D$18,J52))</f>
        <v/>
      </c>
      <c r="AQ52" s="22">
        <f>IF(K52&gt;=Upgrades!$E$19,"",Upgrades!$C$19*POWER(Upgrades!$D$19,K52))</f>
        <v/>
      </c>
      <c r="AR52" s="22">
        <f>IF(L52&gt;=Upgrades!$E$20,"",Upgrades!$C$20*POWER(Upgrades!$D$20,L52))</f>
        <v/>
      </c>
      <c r="AS52" s="22">
        <f>IF(M52&gt;=Upgrades!$E$21,"",Upgrades!$C$21*POWER(Upgrades!$D$21,M52))</f>
        <v/>
      </c>
      <c r="AT52" s="26">
        <f>IF(AND(D52&gt;=Parameters!$B$18*Parameters!$B$19,(I52&gt;=Upgrades!$E$17)*(M52&gt;=Upgrades!$E$21)=1,N52=0),1,"")</f>
        <v/>
      </c>
      <c r="AU52" s="26">
        <f>IF(AND(D52&gt;=Parameters!$B$18*Parameters!$B$19,N52=0),1,"")</f>
        <v/>
      </c>
      <c r="AV52" s="22">
        <f>MIN(IF(ISNUMBER(AP52),AP52,9E15),IF(ISNUMBER(AQ52),AQ52,9E15),IF(ISNUMBER(AR52),AR52,9E15),IF(ISNUMBER(AS52),AS52,9E15))</f>
        <v/>
      </c>
      <c r="AW52" s="22">
        <f>MIN(IF(ISNUMBER(AK52),AK52,9E15),IF(ISNUMBER(AL52),AL52,9E15),IF(ISNUMBER(AM52),AM52,9E15),IF(ISNUMBER(AN52),AN52,9E15),IF(ISNUMBER(AO52),AO52,9E15))</f>
        <v/>
      </c>
      <c r="AX52" s="29">
        <f>IF(BD52&gt;Parameters!$B$21*(MAX(IF(AND(NOT(AND(AU52=1,AT52&lt;&gt;1)),ISNUMBER(AK52),AK52&lt;=(C52+T52)),AY52,0),IF(AND(NOT(AND(AU52=1,AT52&lt;&gt;1)),ISNUMBER(AL52),AL52&lt;=(C52+T52)),AZ52,0),IF(AND(NOT(AND(AU52=1,AT52&lt;&gt;1)),ISNUMBER(AM52),AM52&lt;=(C52+T52)),BA52,0),IF(AND(NOT(AND(AU52=1,AT52&lt;&gt;1)),ISNUMBER(AN52),AN52&lt;=(C52+T52)),BB52,0),IF(AND(ISNUMBER(AO52),AO52&lt;=(C52+T52)),BC52,0))),TRUE,FALSE)</f>
        <v/>
      </c>
      <c r="AY52" s="32">
        <f>IFERROR(Upgrades!$H$13*(POWER(Upgrades!$P$13,E52)*POWER(Upgrades!$P$14,F52)*POWER(Upgrades!$P$15,G52)*POWER(Upgrades!$P$16,H52)*POWER(Upgrades!$P$17,I52)*POWER(Upgrades!$P$18,J52)*POWER(Upgrades!$P$19,K52)*POWER(Upgrades!$P$20,L52)*POWER(Upgrades!$P$21,M52))*(IF(Upgrades!$T$14="Stellar Kinematics",POWER(Upgrades!$U$14,F52),1)*IF(Upgrades!$T$15="Stellar Kinematics",POWER(Upgrades!$U$15,G52),1)*IF(Upgrades!$T$16="Stellar Kinematics",POWER(Upgrades!$U$16,H52),1)*IF(Upgrades!$T$17="Stellar Kinematics",POWER(Upgrades!$U$17,I52),1)*IF(Upgrades!$T$18="Stellar Kinematics",POWER(Upgrades!$U$18,J52),1)*IF(Upgrades!$T$19="Stellar Kinematics",POWER(Upgrades!$U$19,K52),1)*IF(Upgrades!$T$20="Stellar Kinematics",POWER(Upgrades!$U$20,L52),1)*IF(Upgrades!$T$21="Stellar Kinematics",POWER(Upgrades!$U$21,M52),1))*$F$6/AK52,0)</f>
        <v/>
      </c>
      <c r="AZ52" s="32">
        <f>IFERROR(Upgrades!$H$14*(POWER(Upgrades!$P$13,E52)*POWER(Upgrades!$P$14,F52)*POWER(Upgrades!$P$15,G52)*POWER(Upgrades!$P$16,H52)*POWER(Upgrades!$P$17,I52)*POWER(Upgrades!$P$18,J52)*POWER(Upgrades!$P$19,K52)*POWER(Upgrades!$P$20,L52)*POWER(Upgrades!$P$21,M52))*(IF(Upgrades!$T$13="Local Bubble",POWER(Upgrades!$U$13,E52),1)*IF(Upgrades!$T$15="Local Bubble",POWER(Upgrades!$U$15,G52),1)*IF(Upgrades!$T$16="Local Bubble",POWER(Upgrades!$U$16,H52),1)*IF(Upgrades!$T$17="Local Bubble",POWER(Upgrades!$U$17,I52),1)*IF(Upgrades!$T$18="Local Bubble",POWER(Upgrades!$U$18,J52),1)*IF(Upgrades!$T$19="Local Bubble",POWER(Upgrades!$U$19,K52),1)*IF(Upgrades!$T$20="Local Bubble",POWER(Upgrades!$U$20,L52),1)*IF(Upgrades!$T$21="Local Bubble",POWER(Upgrades!$U$21,M52),1))*$F$6/AL52,0)</f>
        <v/>
      </c>
      <c r="BA52" s="32">
        <f>IFERROR(Upgrades!$K$15*(POWER(Upgrades!$Q$13,E52)*POWER(Upgrades!$Q$14,F52)*POWER(Upgrades!$Q$15,G52)*POWER(Upgrades!$Q$16,H52)*POWER(Upgrades!$Q$17,I52)*POWER(Upgrades!$Q$18,J52)*POWER(Upgrades!$Q$19,K52)*POWER(Upgrades!$Q$20,L52)*POWER(Upgrades!$Q$21,M52))*(IF(Upgrades!$T$13="Microlensing",POWER(Upgrades!$U$13,E52),1)*IF(Upgrades!$T$14="Microlensing",POWER(Upgrades!$U$14,F52),1)*IF(Upgrades!$T$16="Microlensing",POWER(Upgrades!$U$16,H52),1)*IF(Upgrades!$T$17="Microlensing",POWER(Upgrades!$U$17,I52),1)*IF(Upgrades!$T$18="Microlensing",POWER(Upgrades!$U$18,J52),1)*IF(Upgrades!$T$19="Microlensing",POWER(Upgrades!$U$19,K52),1)*IF(Upgrades!$T$20="Microlensing",POWER(Upgrades!$U$20,L52),1)*IF(Upgrades!$T$21="Microlensing",POWER(Upgrades!$U$21,M52),1))*$G$6*(Parameters!$B$10/60*Parameters!$B$11+Q52)/AM52,0)</f>
        <v/>
      </c>
      <c r="BB52" s="32">
        <f>IFERROR((Upgrades!$N$16*(POWER(Upgrades!$R$13,E52)*POWER(Upgrades!$R$14,F52)*POWER(Upgrades!$R$15,G52)*POWER(Upgrades!$R$16,H52)*POWER(Upgrades!$R$17,I52)*POWER(Upgrades!$R$18,J52)*POWER(Upgrades!$R$19,K52)*POWER(Upgrades!$R$20,L52)*POWER(Upgrades!$R$21,M52))*(IF(Upgrades!$T$13="Roche Lobe Overflow",POWER(Upgrades!$U$13,E52),1)*IF(Upgrades!$T$14="Roche Lobe Overflow",POWER(Upgrades!$U$14,F52),1)*IF(Upgrades!$T$15="Roche Lobe Overflow",POWER(Upgrades!$U$15,G52),1)*IF(Upgrades!$T$17="Roche Lobe Overflow",POWER(Upgrades!$U$17,I52),1)*IF(Upgrades!$T$18="Roche Lobe Overflow",POWER(Upgrades!$U$18,J52),1)*IF(Upgrades!$T$19="Roche Lobe Overflow",POWER(Upgrades!$U$19,K52),1)*IF(Upgrades!$T$20="Roche Lobe Overflow",POWER(Upgrades!$U$20,L52),1)*IF(Upgrades!$T$21="Roche Lobe Overflow",POWER(Upgrades!$U$21,M52),1))*$H$6*O52+((IF(F52=0,0,(Upgrades!$G$14+F52*Upgrades!$H$14)*POWER(Upgrades!$I$14,F52)))*(IF(Upgrades!$T$13="Local Bubble",POWER(Upgrades!$U$13,E52),1)*IF(Upgrades!$T$15="Local Bubble",POWER(Upgrades!$U$15,G52),1)*IF(Upgrades!$T$16="Local Bubble",POWER(Upgrades!$U$16,H52),1)*IF(Upgrades!$T$17="Local Bubble",POWER(Upgrades!$U$17,I52),1)*IF(Upgrades!$T$18="Local Bubble",POWER(Upgrades!$U$18,J52),1)*IF(Upgrades!$T$19="Local Bubble",POWER(Upgrades!$U$19,K52),1)*IF(Upgrades!$T$20="Local Bubble",POWER(Upgrades!$U$20,L52),1)*IF(Upgrades!$T$21="Local Bubble",POWER(Upgrades!$U$21,M52),1))*POWER(Upgrades!$P$13,E52)*POWER(Upgrades!$P$14,F52)*POWER(Upgrades!$P$15,G52)*POWER(Upgrades!$P$16,H52)*POWER(Upgrades!$P$17,I52)*POWER(Upgrades!$P$18,J52)*POWER(Upgrades!$P$19,K52)*POWER(Upgrades!$P$20,L52)*POWER(Upgrades!$P$21,M52)*$F$6)*0.05)/AN52,0)</f>
        <v/>
      </c>
      <c r="BC52" s="32">
        <f>IFERROR((Upgrades!$H$17*(POWER(Upgrades!$P$13,E52)*POWER(Upgrades!$P$14,F52)*POWER(Upgrades!$P$15,G52)*POWER(Upgrades!$P$16,H52)*POWER(Upgrades!$P$17,I52)*POWER(Upgrades!$P$18,J52)*POWER(Upgrades!$P$19,K52)*POWER(Upgrades!$P$20,L52)*POWER(Upgrades!$P$21,M52))*(IF(Upgrades!$T$13="Brown Dwarf",POWER(Upgrades!$U$13,E52),1)*IF(Upgrades!$T$14="Brown Dwarf",POWER(Upgrades!$U$14,F52),1)*IF(Upgrades!$T$15="Brown Dwarf",POWER(Upgrades!$U$15,G52),1)*IF(Upgrades!$T$16="Brown Dwarf",POWER(Upgrades!$U$16,H52),1)*IF(Upgrades!$T$18="Brown Dwarf",POWER(Upgrades!$U$18,J52),1)*IF(Upgrades!$T$19="Brown Dwarf",POWER(Upgrades!$U$19,K52),1)*IF(Upgrades!$T$20="Brown Dwarf",POWER(Upgrades!$U$20,L52),1)*IF(Upgrades!$T$21="Brown Dwarf",POWER(Upgrades!$U$21,M52),1))*$F$6+(((IF(H52=0,0,(Upgrades!$M$16+H52*Upgrades!$N$16)*POWER(Upgrades!$O$16,H52)))*(IF(Upgrades!$T$13="Roche Lobe Overflow",POWER(Upgrades!$U$13,E52),1)*IF(Upgrades!$T$14="Roche Lobe Overflow",POWER(Upgrades!$U$14,F52),1)*IF(Upgrades!$T$15="Roche Lobe Overflow",POWER(Upgrades!$U$15,G52),1)*IF(Upgrades!$T$17="Roche Lobe Overflow",POWER(Upgrades!$U$17,I52),1)*IF(Upgrades!$T$18="Roche Lobe Overflow",POWER(Upgrades!$U$18,J52),1)*IF(Upgrades!$T$19="Roche Lobe Overflow",POWER(Upgrades!$U$19,K52),1)*IF(Upgrades!$T$20="Roche Lobe Overflow",POWER(Upgrades!$U$20,L52),1)*IF(Upgrades!$T$21="Roche Lobe Overflow",POWER(Upgrades!$U$21,M52),1))*POWER(Upgrades!$R$13,E52)*POWER(Upgrades!$R$14,F52)*POWER(Upgrades!$R$15,G52)*POWER(Upgrades!$R$16,H52)*POWER(Upgrades!$R$17,I52)*POWER(Upgrades!$R$18,J52)*POWER(Upgrades!$R$19,K52)*POWER(Upgrades!$R$20,L52)*POWER(Upgrades!$R$21,M52)*$H$6)*O52)*0.10)/AO52,0)</f>
        <v/>
      </c>
      <c r="BD52" s="32">
        <f>MAX(IF(J52&gt;0,0,IFERROR(0.5*((IF(G52=0,0,(Upgrades!$J$15+G52*Upgrades!$K$15)*POWER(Upgrades!$L$15,G52)))*(IF(Upgrades!$T$13="Microlensing",POWER(Upgrades!$U$13,E52),1)*IF(Upgrades!$T$14="Microlensing",POWER(Upgrades!$U$14,F52),1)*IF(Upgrades!$T$16="Microlensing",POWER(Upgrades!$U$16,H52),1)*IF(Upgrades!$T$17="Microlensing",POWER(Upgrades!$U$17,I52),1)*IF(Upgrades!$T$18="Microlensing",POWER(Upgrades!$U$18,J52),1)*IF(Upgrades!$T$19="Microlensing",POWER(Upgrades!$U$19,K52),1)*IF(Upgrades!$T$20="Microlensing",POWER(Upgrades!$U$20,L52),1)*IF(Upgrades!$T$21="Microlensing",POWER(Upgrades!$U$21,M52),1))*(POWER(Upgrades!$Q$13,E52)*POWER(Upgrades!$Q$14,F52)*POWER(Upgrades!$Q$15,G52)*POWER(Upgrades!$Q$16,H52)*POWER(Upgrades!$Q$17,I52)*POWER(Upgrades!$Q$18,J52)*POWER(Upgrades!$Q$19,K52)*POWER(Upgrades!$Q$20,L52)*POWER(Upgrades!$Q$21,M52))*$G$6*(Parameters!$B$10/60*Parameters!$B$11+Q52))/Upgrades!$C$18,0)),IF(K52&gt;0,0,IFERROR(0.30*P52/Upgrades!$C$19,0)),IF(L52&gt;0,0,IFERROR(0.0001/Upgrades!$C$20,0)),IF(M52&gt;0,0,IFERROR((6.0*(POWER(Upgrades!$P$13,E52)*POWER(Upgrades!$P$14,F52)*POWER(Upgrades!$P$15,G52)*POWER(Upgrades!$P$16,H52)*POWER(Upgrades!$P$17,I52)*POWER(Upgrades!$P$18,J52)*POWER(Upgrades!$P$19,K52)*POWER(Upgrades!$P$20,L52)*POWER(Upgrades!$P$21,M52))*$F$6+0.20*O52*(Parameters!$B$10/60*Parameters!$B$11+Q52))/Upgrades!$C$21,0)),IF(AND(ISNUMBER(AK52),AK52&gt;(C52+T52)),AY52,0),IF(AND(ISNUMBER(AL52),AL52&gt;(C52+T52)),AZ52,0),IF(AND(ISNUMBER(AM52),AM52&gt;(C52+T52)),BA52,0),IF(AND(ISNUMBER(AN52),AN52&gt;(C52+T52)),BB52,0),IF(AND(ISNUMBER(AO52),AO52&gt;(C52+T52)),BC52,0))</f>
        <v/>
      </c>
      <c r="BE52" s="29">
        <f>IF(AT52=1,"transition",IF(MIN(IF(AND(J52=0,ISNUMBER(AP52),AP52&lt;=(C52+T52)),AP52,9E15),IF(AND(K52=0,ISNUMBER(AQ52),AQ52&lt;=(C52+T52)),AQ52,9E15),IF(AND(L52=0,ISNUMBER(AR52),AR52&lt;=(C52+T52)),AR52,9E15),IF(AND(M52=0,ISNUMBER(AS52),AS52&lt;=(C52+T52)),AS52,9E15))&lt;9E15,IF(AND(AND(J52=0,ISNUMBER(AP52),AP52&lt;=(C52+T52)),AP52=MIN(IF(AND(J52=0,ISNUMBER(AP52),AP52&lt;=(C52+T52)),AP52,9E15),IF(AND(K52=0,ISNUMBER(AQ52),AQ52&lt;=(C52+T52)),AQ52,9E15),IF(AND(L52=0,ISNUMBER(AR52),AR52&lt;=(C52+T52)),AR52,9E15),IF(AND(M52=0,ISNUMBER(AS52),AS52&lt;=(C52+T52)),AS52,9E15))),"BiP",IF(AND(AND(K52=0,ISNUMBER(AQ52),AQ52&lt;=(C52+T52)),AQ52=MIN(IF(AND(J52=0,ISNUMBER(AP52),AP52&lt;=(C52+T52)),AP52,9E15),IF(AND(K52=0,ISNUMBER(AQ52),AQ52&lt;=(C52+T52)),AQ52,9E15),IF(AND(L52=0,ISNUMBER(AR52),AR52&lt;=(C52+T52)),AR52,9E15),IF(AND(M52=0,ISNUMBER(AS52),AS52&lt;=(C52+T52)),AS52,9E15))),"PV",IF(AND(AND(L52=0,ISNUMBER(AR52),AR52&lt;=(C52+T52)),AR52=MIN(IF(AND(J52=0,ISNUMBER(AP52),AP52&lt;=(C52+T52)),AP52,9E15),IF(AND(K52=0,ISNUMBER(AQ52),AQ52&lt;=(C52+T52)),AQ52,9E15),IF(AND(L52=0,ISNUMBER(AR52),AR52&lt;=(C52+T52)),AR52,9E15),IF(AND(M52=0,ISNUMBER(AS52),AS52&lt;=(C52+T52)),AS52,9E15))),"OC","MG"))),IF(AX52=TRUE,"",IF(MAX(IF(AND(NOT(AND(AU52=1,AT52&lt;&gt;1)),ISNUMBER(AK52),AK52&lt;=(C52+T52)),AY52,0),IF(AND(NOT(AND(AU52=1,AT52&lt;&gt;1)),ISNUMBER(AL52),AL52&lt;=(C52+T52)),AZ52,0),IF(AND(NOT(AND(AU52=1,AT52&lt;&gt;1)),ISNUMBER(AM52),AM52&lt;=(C52+T52)),BA52,0),IF(AND(NOT(AND(AU52=1,AT52&lt;&gt;1)),ISNUMBER(AN52),AN52&lt;=(C52+T52)),BB52,0),IF(AND(ISNUMBER(AO52),AO52&lt;=(C52+T52)),BC52,0))&lt;=0,"",IF(AND(IF(AND(NOT(AND(AU52=1,AT52&lt;&gt;1)),ISNUMBER(AK52),AK52&lt;=(C52+T52)),AY52,0)&gt;0,IF(AND(NOT(AND(AU52=1,AT52&lt;&gt;1)),ISNUMBER(AK52),AK52&lt;=(C52+T52)),AY52,0)=MAX(IF(AND(NOT(AND(AU52=1,AT52&lt;&gt;1)),ISNUMBER(AK52),AK52&lt;=(C52+T52)),AY52,0),IF(AND(NOT(AND(AU52=1,AT52&lt;&gt;1)),ISNUMBER(AL52),AL52&lt;=(C52+T52)),AZ52,0),IF(AND(NOT(AND(AU52=1,AT52&lt;&gt;1)),ISNUMBER(AM52),AM52&lt;=(C52+T52)),BA52,0),IF(AND(NOT(AND(AU52=1,AT52&lt;&gt;1)),ISNUMBER(AN52),AN52&lt;=(C52+T52)),BB52,0),IF(AND(ISNUMBER(AO52),AO52&lt;=(C52+T52)),BC52,0))),"SK",IF(AND(IF(AND(NOT(AND(AU52=1,AT52&lt;&gt;1)),ISNUMBER(AL52),AL52&lt;=(C52+T52)),AZ52,0)&gt;0,IF(AND(NOT(AND(AU52=1,AT52&lt;&gt;1)),ISNUMBER(AL52),AL52&lt;=(C52+T52)),AZ52,0)=MAX(IF(AND(NOT(AND(AU52=1,AT52&lt;&gt;1)),ISNUMBER(AK52),AK52&lt;=(C52+T52)),AY52,0),IF(AND(NOT(AND(AU52=1,AT52&lt;&gt;1)),ISNUMBER(AL52),AL52&lt;=(C52+T52)),AZ52,0),IF(AND(NOT(AND(AU52=1,AT52&lt;&gt;1)),ISNUMBER(AM52),AM52&lt;=(C52+T52)),BA52,0),IF(AND(NOT(AND(AU52=1,AT52&lt;&gt;1)),ISNUMBER(AN52),AN52&lt;=(C52+T52)),BB52,0),IF(AND(ISNUMBER(AO52),AO52&lt;=(C52+T52)),BC52,0))),"LB",IF(AND(IF(AND(NOT(AND(AU52=1,AT52&lt;&gt;1)),ISNUMBER(AM52),AM52&lt;=(C52+T52)),BA52,0)&gt;0,IF(AND(NOT(AND(AU52=1,AT52&lt;&gt;1)),ISNUMBER(AM52),AM52&lt;=(C52+T52)),BA52,0)=MAX(IF(AND(NOT(AND(AU52=1,AT52&lt;&gt;1)),ISNUMBER(AK52),AK52&lt;=(C52+T52)),AY52,0),IF(AND(NOT(AND(AU52=1,AT52&lt;&gt;1)),ISNUMBER(AL52),AL52&lt;=(C52+T52)),AZ52,0),IF(AND(NOT(AND(AU52=1,AT52&lt;&gt;1)),ISNUMBER(AM52),AM52&lt;=(C52+T52)),BA52,0),IF(AND(NOT(AND(AU52=1,AT52&lt;&gt;1)),ISNUMBER(AN52),AN52&lt;=(C52+T52)),BB52,0),IF(AND(ISNUMBER(AO52),AO52&lt;=(C52+T52)),BC52,0))),"ML",IF(AND(IF(AND(NOT(AND(AU52=1,AT52&lt;&gt;1)),ISNUMBER(AN52),AN52&lt;=(C52+T52)),BB52,0)&gt;0,IF(AND(NOT(AND(AU52=1,AT52&lt;&gt;1)),ISNUMBER(AN52),AN52&lt;=(C52+T52)),BB52,0)=MAX(IF(AND(NOT(AND(AU52=1,AT52&lt;&gt;1)),ISNUMBER(AK52),AK52&lt;=(C52+T52)),AY52,0),IF(AND(NOT(AND(AU52=1,AT52&lt;&gt;1)),ISNUMBER(AL52),AL52&lt;=(C52+T52)),AZ52,0),IF(AND(NOT(AND(AU52=1,AT52&lt;&gt;1)),ISNUMBER(AM52),AM52&lt;=(C52+T52)),BA52,0),IF(AND(NOT(AND(AU52=1,AT52&lt;&gt;1)),ISNUMBER(AN52),AN52&lt;=(C52+T52)),BB52,0),IF(AND(ISNUMBER(AO52),AO52&lt;=(C52+T52)),BC52,0))),"RLO","BD"))))))))</f>
        <v/>
      </c>
    </row>
    <row r="53">
      <c r="A53" s="26" t="n">
        <v>42</v>
      </c>
      <c r="B53" s="27">
        <f>A53*10/60</f>
        <v/>
      </c>
      <c r="C53" s="22">
        <f>X52</f>
        <v/>
      </c>
      <c r="D53" s="27">
        <f>D52+W52</f>
        <v/>
      </c>
      <c r="E53" s="26">
        <f>E52+IF(U52="SK",1,0)</f>
        <v/>
      </c>
      <c r="F53" s="26">
        <f>F52+IF(U52="LB",1,0)</f>
        <v/>
      </c>
      <c r="G53" s="26">
        <f>G52+IF(U52="ML",1,0)</f>
        <v/>
      </c>
      <c r="H53" s="26">
        <f>H52+IF(U52="RLO",1,0)</f>
        <v/>
      </c>
      <c r="I53" s="26">
        <f>I52+IF(U52="BD",1,0)</f>
        <v/>
      </c>
      <c r="J53" s="26">
        <f>MAX(J52,IF(U52="BiP",1,0))</f>
        <v/>
      </c>
      <c r="K53" s="26">
        <f>MAX(K52,IF(U52="PV",1,0))</f>
        <v/>
      </c>
      <c r="L53" s="26">
        <f>MAX(L52,IF(U52="OC",1,0))</f>
        <v/>
      </c>
      <c r="M53" s="26">
        <f>MAX(M52,IF(U52="MG",1,0))</f>
        <v/>
      </c>
      <c r="N53" s="26">
        <f>MAX(N52,IF(U52="transition",1,0))</f>
        <v/>
      </c>
      <c r="O53" s="28">
        <f>(Parameters!$B$9+(IF(E53=0,0,(Upgrades!$J$13+E53*Upgrades!$K$13)*POWER(Upgrades!$L$13,E53)))*(IF(Upgrades!$T$14="Stellar Kinematics",POWER(Upgrades!$U$14,F53),1)*IF(Upgrades!$T$15="Stellar Kinematics",POWER(Upgrades!$U$15,G53),1)*IF(Upgrades!$T$16="Stellar Kinematics",POWER(Upgrades!$U$16,H53),1)*IF(Upgrades!$T$17="Stellar Kinematics",POWER(Upgrades!$U$17,I53),1)*IF(Upgrades!$T$18="Stellar Kinematics",POWER(Upgrades!$U$18,J53),1)*IF(Upgrades!$T$19="Stellar Kinematics",POWER(Upgrades!$U$19,K53),1)*IF(Upgrades!$T$20="Stellar Kinematics",POWER(Upgrades!$U$20,L53),1)*IF(Upgrades!$T$21="Stellar Kinematics",POWER(Upgrades!$U$21,M53),1))+(IF(F53=0,0,(Upgrades!$J$14+F53*Upgrades!$K$14)*POWER(Upgrades!$L$14,F53)))*(IF(Upgrades!$T$13="Local Bubble",POWER(Upgrades!$U$13,E53),1)*IF(Upgrades!$T$15="Local Bubble",POWER(Upgrades!$U$15,G53),1)*IF(Upgrades!$T$16="Local Bubble",POWER(Upgrades!$U$16,H53),1)*IF(Upgrades!$T$17="Local Bubble",POWER(Upgrades!$U$17,I53),1)*IF(Upgrades!$T$18="Local Bubble",POWER(Upgrades!$U$18,J53),1)*IF(Upgrades!$T$19="Local Bubble",POWER(Upgrades!$U$19,K53),1)*IF(Upgrades!$T$20="Local Bubble",POWER(Upgrades!$U$20,L53),1)*IF(Upgrades!$T$21="Local Bubble",POWER(Upgrades!$U$21,M53),1))+(IF(G53=0,0,(Upgrades!$J$15+G53*Upgrades!$K$15)*POWER(Upgrades!$L$15,G53)))*(IF(Upgrades!$T$13="Microlensing",POWER(Upgrades!$U$13,E53),1)*IF(Upgrades!$T$14="Microlensing",POWER(Upgrades!$U$14,F53),1)*IF(Upgrades!$T$16="Microlensing",POWER(Upgrades!$U$16,H53),1)*IF(Upgrades!$T$17="Microlensing",POWER(Upgrades!$U$17,I53),1)*IF(Upgrades!$T$18="Microlensing",POWER(Upgrades!$U$18,J53),1)*IF(Upgrades!$T$19="Microlensing",POWER(Upgrades!$U$19,K53),1)*IF(Upgrades!$T$20="Microlensing",POWER(Upgrades!$U$20,L53),1)*IF(Upgrades!$T$21="Microlensing",POWER(Upgrades!$U$21,M53),1))+(IF(H53=0,0,(Upgrades!$J$16+H53*Upgrades!$K$16)*POWER(Upgrades!$L$16,H53)))*(IF(Upgrades!$T$13="Roche Lobe Overflow",POWER(Upgrades!$U$13,E53),1)*IF(Upgrades!$T$14="Roche Lobe Overflow",POWER(Upgrades!$U$14,F53),1)*IF(Upgrades!$T$15="Roche Lobe Overflow",POWER(Upgrades!$U$15,G53),1)*IF(Upgrades!$T$17="Roche Lobe Overflow",POWER(Upgrades!$U$17,I53),1)*IF(Upgrades!$T$18="Roche Lobe Overflow",POWER(Upgrades!$U$18,J53),1)*IF(Upgrades!$T$19="Roche Lobe Overflow",POWER(Upgrades!$U$19,K53),1)*IF(Upgrades!$T$20="Roche Lobe Overflow",POWER(Upgrades!$U$20,L53),1)*IF(Upgrades!$T$21="Roche Lobe Overflow",POWER(Upgrades!$U$21,M53),1))+(IF(I53=0,0,(Upgrades!$J$17+I53*Upgrades!$K$17)*POWER(Upgrades!$L$17,I53)))*(IF(Upgrades!$T$13="Brown Dwarf",POWER(Upgrades!$U$13,E53),1)*IF(Upgrades!$T$14="Brown Dwarf",POWER(Upgrades!$U$14,F53),1)*IF(Upgrades!$T$15="Brown Dwarf",POWER(Upgrades!$U$15,G53),1)*IF(Upgrades!$T$16="Brown Dwarf",POWER(Upgrades!$U$16,H53),1)*IF(Upgrades!$T$18="Brown Dwarf",POWER(Upgrades!$U$18,J53),1)*IF(Upgrades!$T$19="Brown Dwarf",POWER(Upgrades!$U$19,K53),1)*IF(Upgrades!$T$20="Brown Dwarf",POWER(Upgrades!$U$20,L53),1)*IF(Upgrades!$T$21="Brown Dwarf",POWER(Upgrades!$U$21,M53),1))+(IF(J53=0,0,(Upgrades!$J$18+J53*Upgrades!$K$18)*POWER(Upgrades!$L$18,J53)))*(IF(Upgrades!$T$13="Binary Partner",POWER(Upgrades!$U$13,E53),1)*IF(Upgrades!$T$14="Binary Partner",POWER(Upgrades!$U$14,F53),1)*IF(Upgrades!$T$15="Binary Partner",POWER(Upgrades!$U$15,G53),1)*IF(Upgrades!$T$16="Binary Partner",POWER(Upgrades!$U$16,H53),1)*IF(Upgrades!$T$17="Binary Partner",POWER(Upgrades!$U$17,I53),1)*IF(Upgrades!$T$19="Binary Partner",POWER(Upgrades!$U$19,K53),1)*IF(Upgrades!$T$20="Binary Partner",POWER(Upgrades!$U$20,L53),1)*IF(Upgrades!$T$21="Binary Partner",POWER(Upgrades!$U$21,M53),1))+(IF(K53=0,0,(Upgrades!$J$19+K53*Upgrades!$K$19)*POWER(Upgrades!$L$19,K53)))*(IF(Upgrades!$T$13="Peculiar Velocity",POWER(Upgrades!$U$13,E53),1)*IF(Upgrades!$T$14="Peculiar Velocity",POWER(Upgrades!$U$14,F53),1)*IF(Upgrades!$T$15="Peculiar Velocity",POWER(Upgrades!$U$15,G53),1)*IF(Upgrades!$T$16="Peculiar Velocity",POWER(Upgrades!$U$16,H53),1)*IF(Upgrades!$T$17="Peculiar Velocity",POWER(Upgrades!$U$17,I53),1)*IF(Upgrades!$T$18="Peculiar Velocity",POWER(Upgrades!$U$18,J53),1)*IF(Upgrades!$T$20="Peculiar Velocity",POWER(Upgrades!$U$20,L53),1)*IF(Upgrades!$T$21="Peculiar Velocity",POWER(Upgrades!$U$21,M53),1))+(IF(L53=0,0,(Upgrades!$J$20+L53*Upgrades!$K$20)*POWER(Upgrades!$L$20,L53)))*(IF(Upgrades!$T$13="Open Cluster",POWER(Upgrades!$U$13,E53),1)*IF(Upgrades!$T$14="Open Cluster",POWER(Upgrades!$U$14,F53),1)*IF(Upgrades!$T$15="Open Cluster",POWER(Upgrades!$U$15,G53),1)*IF(Upgrades!$T$16="Open Cluster",POWER(Upgrades!$U$16,H53),1)*IF(Upgrades!$T$17="Open Cluster",POWER(Upgrades!$U$17,I53),1)*IF(Upgrades!$T$18="Open Cluster",POWER(Upgrades!$U$18,J53),1)*IF(Upgrades!$T$19="Open Cluster",POWER(Upgrades!$U$19,K53),1)*IF(Upgrades!$T$21="Open Cluster",POWER(Upgrades!$U$21,M53),1))+(IF(M53=0,0,(Upgrades!$J$21+M53*Upgrades!$K$21)*POWER(Upgrades!$L$21,M53)))*(IF(Upgrades!$T$13="Moving Group",POWER(Upgrades!$U$13,E53),1)*IF(Upgrades!$T$14="Moving Group",POWER(Upgrades!$U$14,F53),1)*IF(Upgrades!$T$15="Moving Group",POWER(Upgrades!$U$15,G53),1)*IF(Upgrades!$T$16="Moving Group",POWER(Upgrades!$U$16,H53),1)*IF(Upgrades!$T$17="Moving Group",POWER(Upgrades!$U$17,I53),1)*IF(Upgrades!$T$18="Moving Group",POWER(Upgrades!$U$18,J53),1)*IF(Upgrades!$T$19="Moving Group",POWER(Upgrades!$U$19,K53),1)*IF(Upgrades!$T$20="Moving Group",POWER(Upgrades!$U$20,L53),1)))*POWER(Upgrades!$Q$13,E53)*POWER(Upgrades!$Q$14,F53)*POWER(Upgrades!$Q$15,G53)*POWER(Upgrades!$Q$16,H53)*POWER(Upgrades!$Q$17,I53)*POWER(Upgrades!$Q$18,J53)*POWER(Upgrades!$Q$19,K53)*POWER(Upgrades!$Q$20,L53)*POWER(Upgrades!$Q$21,M53)*$G$6+$D$6</f>
        <v/>
      </c>
      <c r="P53" s="28">
        <f>((IF(E53=0,0,(Upgrades!$G$13+E53*Upgrades!$H$13)*POWER(Upgrades!$I$13,E53)))*(IF(Upgrades!$T$14="Stellar Kinematics",POWER(Upgrades!$U$14,F53),1)*IF(Upgrades!$T$15="Stellar Kinematics",POWER(Upgrades!$U$15,G53),1)*IF(Upgrades!$T$16="Stellar Kinematics",POWER(Upgrades!$U$16,H53),1)*IF(Upgrades!$T$17="Stellar Kinematics",POWER(Upgrades!$U$17,I53),1)*IF(Upgrades!$T$18="Stellar Kinematics",POWER(Upgrades!$U$18,J53),1)*IF(Upgrades!$T$19="Stellar Kinematics",POWER(Upgrades!$U$19,K53),1)*IF(Upgrades!$T$20="Stellar Kinematics",POWER(Upgrades!$U$20,L53),1)*IF(Upgrades!$T$21="Stellar Kinematics",POWER(Upgrades!$U$21,M53),1))+(IF(F53=0,0,(Upgrades!$G$14+F53*Upgrades!$H$14)*POWER(Upgrades!$I$14,F53)))*(IF(Upgrades!$T$13="Local Bubble",POWER(Upgrades!$U$13,E53),1)*IF(Upgrades!$T$15="Local Bubble",POWER(Upgrades!$U$15,G53),1)*IF(Upgrades!$T$16="Local Bubble",POWER(Upgrades!$U$16,H53),1)*IF(Upgrades!$T$17="Local Bubble",POWER(Upgrades!$U$17,I53),1)*IF(Upgrades!$T$18="Local Bubble",POWER(Upgrades!$U$18,J53),1)*IF(Upgrades!$T$19="Local Bubble",POWER(Upgrades!$U$19,K53),1)*IF(Upgrades!$T$20="Local Bubble",POWER(Upgrades!$U$20,L53),1)*IF(Upgrades!$T$21="Local Bubble",POWER(Upgrades!$U$21,M53),1))+(IF(G53=0,0,(Upgrades!$G$15+G53*Upgrades!$H$15)*POWER(Upgrades!$I$15,G53)))*(IF(Upgrades!$T$13="Microlensing",POWER(Upgrades!$U$13,E53),1)*IF(Upgrades!$T$14="Microlensing",POWER(Upgrades!$U$14,F53),1)*IF(Upgrades!$T$16="Microlensing",POWER(Upgrades!$U$16,H53),1)*IF(Upgrades!$T$17="Microlensing",POWER(Upgrades!$U$17,I53),1)*IF(Upgrades!$T$18="Microlensing",POWER(Upgrades!$U$18,J53),1)*IF(Upgrades!$T$19="Microlensing",POWER(Upgrades!$U$19,K53),1)*IF(Upgrades!$T$20="Microlensing",POWER(Upgrades!$U$20,L53),1)*IF(Upgrades!$T$21="Microlensing",POWER(Upgrades!$U$21,M53),1))+(IF(H53=0,0,(Upgrades!$G$16+H53*Upgrades!$H$16)*POWER(Upgrades!$I$16,H53)))*(IF(Upgrades!$T$13="Roche Lobe Overflow",POWER(Upgrades!$U$13,E53),1)*IF(Upgrades!$T$14="Roche Lobe Overflow",POWER(Upgrades!$U$14,F53),1)*IF(Upgrades!$T$15="Roche Lobe Overflow",POWER(Upgrades!$U$15,G53),1)*IF(Upgrades!$T$17="Roche Lobe Overflow",POWER(Upgrades!$U$17,I53),1)*IF(Upgrades!$T$18="Roche Lobe Overflow",POWER(Upgrades!$U$18,J53),1)*IF(Upgrades!$T$19="Roche Lobe Overflow",POWER(Upgrades!$U$19,K53),1)*IF(Upgrades!$T$20="Roche Lobe Overflow",POWER(Upgrades!$U$20,L53),1)*IF(Upgrades!$T$21="Roche Lobe Overflow",POWER(Upgrades!$U$21,M53),1))+(IF(I53=0,0,(Upgrades!$G$17+I53*Upgrades!$H$17)*POWER(Upgrades!$I$17,I53)))*(IF(Upgrades!$T$13="Brown Dwarf",POWER(Upgrades!$U$13,E53),1)*IF(Upgrades!$T$14="Brown Dwarf",POWER(Upgrades!$U$14,F53),1)*IF(Upgrades!$T$15="Brown Dwarf",POWER(Upgrades!$U$15,G53),1)*IF(Upgrades!$T$16="Brown Dwarf",POWER(Upgrades!$U$16,H53),1)*IF(Upgrades!$T$18="Brown Dwarf",POWER(Upgrades!$U$18,J53),1)*IF(Upgrades!$T$19="Brown Dwarf",POWER(Upgrades!$U$19,K53),1)*IF(Upgrades!$T$20="Brown Dwarf",POWER(Upgrades!$U$20,L53),1)*IF(Upgrades!$T$21="Brown Dwarf",POWER(Upgrades!$U$21,M53),1))+(IF(J53=0,0,(Upgrades!$G$18+J53*Upgrades!$H$18)*POWER(Upgrades!$I$18,J53)))*(IF(Upgrades!$T$13="Binary Partner",POWER(Upgrades!$U$13,E53),1)*IF(Upgrades!$T$14="Binary Partner",POWER(Upgrades!$U$14,F53),1)*IF(Upgrades!$T$15="Binary Partner",POWER(Upgrades!$U$15,G53),1)*IF(Upgrades!$T$16="Binary Partner",POWER(Upgrades!$U$16,H53),1)*IF(Upgrades!$T$17="Binary Partner",POWER(Upgrades!$U$17,I53),1)*IF(Upgrades!$T$19="Binary Partner",POWER(Upgrades!$U$19,K53),1)*IF(Upgrades!$T$20="Binary Partner",POWER(Upgrades!$U$20,L53),1)*IF(Upgrades!$T$21="Binary Partner",POWER(Upgrades!$U$21,M53),1))+(IF(K53=0,0,(Upgrades!$G$19+K53*Upgrades!$H$19)*POWER(Upgrades!$I$19,K53)))*(IF(Upgrades!$T$13="Peculiar Velocity",POWER(Upgrades!$U$13,E53),1)*IF(Upgrades!$T$14="Peculiar Velocity",POWER(Upgrades!$U$14,F53),1)*IF(Upgrades!$T$15="Peculiar Velocity",POWER(Upgrades!$U$15,G53),1)*IF(Upgrades!$T$16="Peculiar Velocity",POWER(Upgrades!$U$16,H53),1)*IF(Upgrades!$T$17="Peculiar Velocity",POWER(Upgrades!$U$17,I53),1)*IF(Upgrades!$T$18="Peculiar Velocity",POWER(Upgrades!$U$18,J53),1)*IF(Upgrades!$T$20="Peculiar Velocity",POWER(Upgrades!$U$20,L53),1)*IF(Upgrades!$T$21="Peculiar Velocity",POWER(Upgrades!$U$21,M53),1))+(IF(L53=0,0,(Upgrades!$G$20+L53*Upgrades!$H$20)*POWER(Upgrades!$I$20,L53)))*(IF(Upgrades!$T$13="Open Cluster",POWER(Upgrades!$U$13,E53),1)*IF(Upgrades!$T$14="Open Cluster",POWER(Upgrades!$U$14,F53),1)*IF(Upgrades!$T$15="Open Cluster",POWER(Upgrades!$U$15,G53),1)*IF(Upgrades!$T$16="Open Cluster",POWER(Upgrades!$U$16,H53),1)*IF(Upgrades!$T$17="Open Cluster",POWER(Upgrades!$U$17,I53),1)*IF(Upgrades!$T$18="Open Cluster",POWER(Upgrades!$U$18,J53),1)*IF(Upgrades!$T$19="Open Cluster",POWER(Upgrades!$U$19,K53),1)*IF(Upgrades!$T$21="Open Cluster",POWER(Upgrades!$U$21,M53),1))+(IF(M53=0,0,(Upgrades!$G$21+M53*Upgrades!$H$21)*POWER(Upgrades!$I$21,M53)))*(IF(Upgrades!$T$13="Moving Group",POWER(Upgrades!$U$13,E53),1)*IF(Upgrades!$T$14="Moving Group",POWER(Upgrades!$U$14,F53),1)*IF(Upgrades!$T$15="Moving Group",POWER(Upgrades!$U$15,G53),1)*IF(Upgrades!$T$16="Moving Group",POWER(Upgrades!$U$16,H53),1)*IF(Upgrades!$T$17="Moving Group",POWER(Upgrades!$U$17,I53),1)*IF(Upgrades!$T$18="Moving Group",POWER(Upgrades!$U$18,J53),1)*IF(Upgrades!$T$19="Moving Group",POWER(Upgrades!$U$19,K53),1)*IF(Upgrades!$T$20="Moving Group",POWER(Upgrades!$U$20,L53),1)))*POWER(Upgrades!$P$13,E53)*POWER(Upgrades!$P$14,F53)*POWER(Upgrades!$P$15,G53)*POWER(Upgrades!$P$16,H53)*POWER(Upgrades!$P$17,I53)*POWER(Upgrades!$P$18,J53)*POWER(Upgrades!$P$19,K53)*POWER(Upgrades!$P$20,L53)*POWER(Upgrades!$P$21,M53)*$F$6+$C$6</f>
        <v/>
      </c>
      <c r="Q53" s="28">
        <f>((IF(E53=0,0,(Upgrades!$M$13+E53*Upgrades!$N$13)*POWER(Upgrades!$O$13,E53)))*(IF(Upgrades!$T$14="Stellar Kinematics",POWER(Upgrades!$U$14,F53),1)*IF(Upgrades!$T$15="Stellar Kinematics",POWER(Upgrades!$U$15,G53),1)*IF(Upgrades!$T$16="Stellar Kinematics",POWER(Upgrades!$U$16,H53),1)*IF(Upgrades!$T$17="Stellar Kinematics",POWER(Upgrades!$U$17,I53),1)*IF(Upgrades!$T$18="Stellar Kinematics",POWER(Upgrades!$U$18,J53),1)*IF(Upgrades!$T$19="Stellar Kinematics",POWER(Upgrades!$U$19,K53),1)*IF(Upgrades!$T$20="Stellar Kinematics",POWER(Upgrades!$U$20,L53),1)*IF(Upgrades!$T$21="Stellar Kinematics",POWER(Upgrades!$U$21,M53),1))+(IF(F53=0,0,(Upgrades!$M$14+F53*Upgrades!$N$14)*POWER(Upgrades!$O$14,F53)))*(IF(Upgrades!$T$13="Local Bubble",POWER(Upgrades!$U$13,E53),1)*IF(Upgrades!$T$15="Local Bubble",POWER(Upgrades!$U$15,G53),1)*IF(Upgrades!$T$16="Local Bubble",POWER(Upgrades!$U$16,H53),1)*IF(Upgrades!$T$17="Local Bubble",POWER(Upgrades!$U$17,I53),1)*IF(Upgrades!$T$18="Local Bubble",POWER(Upgrades!$U$18,J53),1)*IF(Upgrades!$T$19="Local Bubble",POWER(Upgrades!$U$19,K53),1)*IF(Upgrades!$T$20="Local Bubble",POWER(Upgrades!$U$20,L53),1)*IF(Upgrades!$T$21="Local Bubble",POWER(Upgrades!$U$21,M53),1))+(IF(G53=0,0,(Upgrades!$M$15+G53*Upgrades!$N$15)*POWER(Upgrades!$O$15,G53)))*(IF(Upgrades!$T$13="Microlensing",POWER(Upgrades!$U$13,E53),1)*IF(Upgrades!$T$14="Microlensing",POWER(Upgrades!$U$14,F53),1)*IF(Upgrades!$T$16="Microlensing",POWER(Upgrades!$U$16,H53),1)*IF(Upgrades!$T$17="Microlensing",POWER(Upgrades!$U$17,I53),1)*IF(Upgrades!$T$18="Microlensing",POWER(Upgrades!$U$18,J53),1)*IF(Upgrades!$T$19="Microlensing",POWER(Upgrades!$U$19,K53),1)*IF(Upgrades!$T$20="Microlensing",POWER(Upgrades!$U$20,L53),1)*IF(Upgrades!$T$21="Microlensing",POWER(Upgrades!$U$21,M53),1))+(IF(H53=0,0,(Upgrades!$M$16+H53*Upgrades!$N$16)*POWER(Upgrades!$O$16,H53)))*(IF(Upgrades!$T$13="Roche Lobe Overflow",POWER(Upgrades!$U$13,E53),1)*IF(Upgrades!$T$14="Roche Lobe Overflow",POWER(Upgrades!$U$14,F53),1)*IF(Upgrades!$T$15="Roche Lobe Overflow",POWER(Upgrades!$U$15,G53),1)*IF(Upgrades!$T$17="Roche Lobe Overflow",POWER(Upgrades!$U$17,I53),1)*IF(Upgrades!$T$18="Roche Lobe Overflow",POWER(Upgrades!$U$18,J53),1)*IF(Upgrades!$T$19="Roche Lobe Overflow",POWER(Upgrades!$U$19,K53),1)*IF(Upgrades!$T$20="Roche Lobe Overflow",POWER(Upgrades!$U$20,L53),1)*IF(Upgrades!$T$21="Roche Lobe Overflow",POWER(Upgrades!$U$21,M53),1))+(IF(I53=0,0,(Upgrades!$M$17+I53*Upgrades!$N$17)*POWER(Upgrades!$O$17,I53)))*(IF(Upgrades!$T$13="Brown Dwarf",POWER(Upgrades!$U$13,E53),1)*IF(Upgrades!$T$14="Brown Dwarf",POWER(Upgrades!$U$14,F53),1)*IF(Upgrades!$T$15="Brown Dwarf",POWER(Upgrades!$U$15,G53),1)*IF(Upgrades!$T$16="Brown Dwarf",POWER(Upgrades!$U$16,H53),1)*IF(Upgrades!$T$18="Brown Dwarf",POWER(Upgrades!$U$18,J53),1)*IF(Upgrades!$T$19="Brown Dwarf",POWER(Upgrades!$U$19,K53),1)*IF(Upgrades!$T$20="Brown Dwarf",POWER(Upgrades!$U$20,L53),1)*IF(Upgrades!$T$21="Brown Dwarf",POWER(Upgrades!$U$21,M53),1))+(IF(J53=0,0,(Upgrades!$M$18+J53*Upgrades!$N$18)*POWER(Upgrades!$O$18,J53)))*(IF(Upgrades!$T$13="Binary Partner",POWER(Upgrades!$U$13,E53),1)*IF(Upgrades!$T$14="Binary Partner",POWER(Upgrades!$U$14,F53),1)*IF(Upgrades!$T$15="Binary Partner",POWER(Upgrades!$U$15,G53),1)*IF(Upgrades!$T$16="Binary Partner",POWER(Upgrades!$U$16,H53),1)*IF(Upgrades!$T$17="Binary Partner",POWER(Upgrades!$U$17,I53),1)*IF(Upgrades!$T$19="Binary Partner",POWER(Upgrades!$U$19,K53),1)*IF(Upgrades!$T$20="Binary Partner",POWER(Upgrades!$U$20,L53),1)*IF(Upgrades!$T$21="Binary Partner",POWER(Upgrades!$U$21,M53),1))+(IF(K53=0,0,(Upgrades!$M$19+K53*Upgrades!$N$19)*POWER(Upgrades!$O$19,K53)))*(IF(Upgrades!$T$13="Peculiar Velocity",POWER(Upgrades!$U$13,E53),1)*IF(Upgrades!$T$14="Peculiar Velocity",POWER(Upgrades!$U$14,F53),1)*IF(Upgrades!$T$15="Peculiar Velocity",POWER(Upgrades!$U$15,G53),1)*IF(Upgrades!$T$16="Peculiar Velocity",POWER(Upgrades!$U$16,H53),1)*IF(Upgrades!$T$17="Peculiar Velocity",POWER(Upgrades!$U$17,I53),1)*IF(Upgrades!$T$18="Peculiar Velocity",POWER(Upgrades!$U$18,J53),1)*IF(Upgrades!$T$20="Peculiar Velocity",POWER(Upgrades!$U$20,L53),1)*IF(Upgrades!$T$21="Peculiar Velocity",POWER(Upgrades!$U$21,M53),1))+(IF(L53=0,0,(Upgrades!$M$20+L53*Upgrades!$N$20)*POWER(Upgrades!$O$20,L53)))*(IF(Upgrades!$T$13="Open Cluster",POWER(Upgrades!$U$13,E53),1)*IF(Upgrades!$T$14="Open Cluster",POWER(Upgrades!$U$14,F53),1)*IF(Upgrades!$T$15="Open Cluster",POWER(Upgrades!$U$15,G53),1)*IF(Upgrades!$T$16="Open Cluster",POWER(Upgrades!$U$16,H53),1)*IF(Upgrades!$T$17="Open Cluster",POWER(Upgrades!$U$17,I53),1)*IF(Upgrades!$T$18="Open Cluster",POWER(Upgrades!$U$18,J53),1)*IF(Upgrades!$T$19="Open Cluster",POWER(Upgrades!$U$19,K53),1)*IF(Upgrades!$T$21="Open Cluster",POWER(Upgrades!$U$21,M53),1))+(IF(M53=0,0,(Upgrades!$M$21+M53*Upgrades!$N$21)*POWER(Upgrades!$O$21,M53)))*(IF(Upgrades!$T$13="Moving Group",POWER(Upgrades!$U$13,E53),1)*IF(Upgrades!$T$14="Moving Group",POWER(Upgrades!$U$14,F53),1)*IF(Upgrades!$T$15="Moving Group",POWER(Upgrades!$U$15,G53),1)*IF(Upgrades!$T$16="Moving Group",POWER(Upgrades!$U$16,H53),1)*IF(Upgrades!$T$17="Moving Group",POWER(Upgrades!$U$17,I53),1)*IF(Upgrades!$T$18="Moving Group",POWER(Upgrades!$U$18,J53),1)*IF(Upgrades!$T$19="Moving Group",POWER(Upgrades!$U$19,K53),1)*IF(Upgrades!$T$20="Moving Group",POWER(Upgrades!$U$20,L53),1)))*POWER(Upgrades!$R$13,E53)*POWER(Upgrades!$R$14,F53)*POWER(Upgrades!$R$15,G53)*POWER(Upgrades!$R$16,H53)*POWER(Upgrades!$R$17,I53)*POWER(Upgrades!$R$18,J53)*POWER(Upgrades!$R$19,K53)*POWER(Upgrades!$R$20,L53)*POWER(Upgrades!$R$21,M53)*$H$6+$E$6</f>
        <v/>
      </c>
      <c r="R53" s="27">
        <f>IF(N53=1,0,O53*Parameters!$B$10/60*Parameters!$B$11*10)</f>
        <v/>
      </c>
      <c r="S53" s="27">
        <f>IF(N53=1,0,Q53*O53*10)</f>
        <v/>
      </c>
      <c r="T53" s="27">
        <f>IF(N53=1,0,R53+S53+P53*10)</f>
        <v/>
      </c>
      <c r="U53" s="33">
        <f>BE53</f>
        <v/>
      </c>
      <c r="V53" s="22">
        <f>IF(U53="",0,IF(U53="transition",0,IF(U53="SK",AK53,IF(U53="LB",AL53,IF(U53="ML",AM53,IF(U53="RLO",AN53,IF(U53="BD",AO53,IF(U53="BiP",AP53,IF(U53="PV",AQ53,IF(U53="OC",AR53,IF(U53="MG",AS53,0))))))))))</f>
        <v/>
      </c>
      <c r="W53" s="27">
        <f>IF(U53="BiP",Upgrades!$F$18,IF(U53="PV",Upgrades!$F$19,IF(U53="OC",Upgrades!$F$20,IF(U53="MG",Upgrades!$F$21,IF(U53="transition",-Parameters!$B$18*Parameters!$B$19,0)))))</f>
        <v/>
      </c>
      <c r="X53" s="22">
        <f>C53+T53-V53</f>
        <v/>
      </c>
      <c r="Y53" s="30">
        <f>O53*Parameters!$B$10/60*Parameters!$B$11+Q53*O53+P53</f>
        <v/>
      </c>
      <c r="Z53" s="34">
        <f>IF(U53="transition","→ Tier 3 (Galactic Arm)",IF(U53="MG","Moving Group — pocket drifts together",IF(U53="OC","Open Cluster acquired",IF(U53="PV","Peculiar Velocity — passive multiplier active",IF(U53="BiP","Binary Partner — pair bond formed",IF(AND(AU53=1,N53=0,AT53&lt;&gt;1),"Cohesion ready (waiting on completionists)","")))))) </f>
        <v/>
      </c>
      <c r="AA53" s="27">
        <f>(IF(E53=0,0,(Upgrades!$G$13+E53*Upgrades!$H$13)*POWER(Upgrades!$I$13,E53)))*(IF(Upgrades!$T$14="Stellar Kinematics",POWER(Upgrades!$U$14,F53),1)*IF(Upgrades!$T$15="Stellar Kinematics",POWER(Upgrades!$U$15,G53),1)*IF(Upgrades!$T$16="Stellar Kinematics",POWER(Upgrades!$U$16,H53),1)*IF(Upgrades!$T$17="Stellar Kinematics",POWER(Upgrades!$U$17,I53),1)*IF(Upgrades!$T$18="Stellar Kinematics",POWER(Upgrades!$U$18,J53),1)*IF(Upgrades!$T$19="Stellar Kinematics",POWER(Upgrades!$U$19,K53),1)*IF(Upgrades!$T$20="Stellar Kinematics",POWER(Upgrades!$U$20,L53),1)*IF(Upgrades!$T$21="Stellar Kinematics",POWER(Upgrades!$U$21,M53),1))*POWER(Upgrades!$P$13,E53)*POWER(Upgrades!$P$14,F53)*POWER(Upgrades!$P$15,G53)*POWER(Upgrades!$P$16,H53)*POWER(Upgrades!$P$17,I53)*POWER(Upgrades!$P$18,J53)*POWER(Upgrades!$P$19,K53)*POWER(Upgrades!$P$20,L53)*POWER(Upgrades!$P$21,M53)*$F$6*60</f>
        <v/>
      </c>
      <c r="AB53" s="27">
        <f>(IF(F53=0,0,(Upgrades!$G$14+F53*Upgrades!$H$14)*POWER(Upgrades!$I$14,F53)))*(IF(Upgrades!$T$13="Local Bubble",POWER(Upgrades!$U$13,E53),1)*IF(Upgrades!$T$15="Local Bubble",POWER(Upgrades!$U$15,G53),1)*IF(Upgrades!$T$16="Local Bubble",POWER(Upgrades!$U$16,H53),1)*IF(Upgrades!$T$17="Local Bubble",POWER(Upgrades!$U$17,I53),1)*IF(Upgrades!$T$18="Local Bubble",POWER(Upgrades!$U$18,J53),1)*IF(Upgrades!$T$19="Local Bubble",POWER(Upgrades!$U$19,K53),1)*IF(Upgrades!$T$20="Local Bubble",POWER(Upgrades!$U$20,L53),1)*IF(Upgrades!$T$21="Local Bubble",POWER(Upgrades!$U$21,M53),1))*POWER(Upgrades!$P$13,E53)*POWER(Upgrades!$P$14,F53)*POWER(Upgrades!$P$15,G53)*POWER(Upgrades!$P$16,H53)*POWER(Upgrades!$P$17,I53)*POWER(Upgrades!$P$18,J53)*POWER(Upgrades!$P$19,K53)*POWER(Upgrades!$P$20,L53)*POWER(Upgrades!$P$21,M53)*$F$6*60</f>
        <v/>
      </c>
      <c r="AC53" s="27">
        <f>(IF(G53=0,0,(Upgrades!$J$15+G53*Upgrades!$K$15)*POWER(Upgrades!$L$15,G53)))*(IF(Upgrades!$T$13="Microlensing",POWER(Upgrades!$U$13,E53),1)*IF(Upgrades!$T$14="Microlensing",POWER(Upgrades!$U$14,F53),1)*IF(Upgrades!$T$16="Microlensing",POWER(Upgrades!$U$16,H53),1)*IF(Upgrades!$T$17="Microlensing",POWER(Upgrades!$U$17,I53),1)*IF(Upgrades!$T$18="Microlensing",POWER(Upgrades!$U$18,J53),1)*IF(Upgrades!$T$19="Microlensing",POWER(Upgrades!$U$19,K53),1)*IF(Upgrades!$T$20="Microlensing",POWER(Upgrades!$U$20,L53),1)*IF(Upgrades!$T$21="Microlensing",POWER(Upgrades!$U$21,M53),1))*POWER(Upgrades!$Q$13,E53)*POWER(Upgrades!$Q$14,F53)*POWER(Upgrades!$Q$15,G53)*POWER(Upgrades!$Q$16,H53)*POWER(Upgrades!$Q$17,I53)*POWER(Upgrades!$Q$18,J53)*POWER(Upgrades!$Q$19,K53)*POWER(Upgrades!$Q$20,L53)*POWER(Upgrades!$Q$21,M53)*$G$6*(Parameters!$B$10*Parameters!$B$11+Q53*60)</f>
        <v/>
      </c>
      <c r="AD53" s="27">
        <f>(IF(H53=0,0,(Upgrades!$M$16+H53*Upgrades!$N$16)*POWER(Upgrades!$O$16,H53)))*(IF(Upgrades!$T$13="Roche Lobe Overflow",POWER(Upgrades!$U$13,E53),1)*IF(Upgrades!$T$14="Roche Lobe Overflow",POWER(Upgrades!$U$14,F53),1)*IF(Upgrades!$T$15="Roche Lobe Overflow",POWER(Upgrades!$U$15,G53),1)*IF(Upgrades!$T$17="Roche Lobe Overflow",POWER(Upgrades!$U$17,I53),1)*IF(Upgrades!$T$18="Roche Lobe Overflow",POWER(Upgrades!$U$18,J53),1)*IF(Upgrades!$T$19="Roche Lobe Overflow",POWER(Upgrades!$U$19,K53),1)*IF(Upgrades!$T$20="Roche Lobe Overflow",POWER(Upgrades!$U$20,L53),1)*IF(Upgrades!$T$21="Roche Lobe Overflow",POWER(Upgrades!$U$21,M53),1))*POWER(Upgrades!$R$13,E53)*POWER(Upgrades!$R$14,F53)*POWER(Upgrades!$R$15,G53)*POWER(Upgrades!$R$16,H53)*POWER(Upgrades!$R$17,I53)*POWER(Upgrades!$R$18,J53)*POWER(Upgrades!$R$19,K53)*POWER(Upgrades!$R$20,L53)*POWER(Upgrades!$R$21,M53)*$H$6*O53*60</f>
        <v/>
      </c>
      <c r="AE53" s="27">
        <f>(IF(I53=0,0,(Upgrades!$G$17+I53*Upgrades!$H$17)*POWER(Upgrades!$I$17,I53)))*(IF(Upgrades!$T$13="Brown Dwarf",POWER(Upgrades!$U$13,E53),1)*IF(Upgrades!$T$14="Brown Dwarf",POWER(Upgrades!$U$14,F53),1)*IF(Upgrades!$T$15="Brown Dwarf",POWER(Upgrades!$U$15,G53),1)*IF(Upgrades!$T$16="Brown Dwarf",POWER(Upgrades!$U$16,H53),1)*IF(Upgrades!$T$18="Brown Dwarf",POWER(Upgrades!$U$18,J53),1)*IF(Upgrades!$T$19="Brown Dwarf",POWER(Upgrades!$U$19,K53),1)*IF(Upgrades!$T$20="Brown Dwarf",POWER(Upgrades!$U$20,L53),1)*IF(Upgrades!$T$21="Brown Dwarf",POWER(Upgrades!$U$21,M53),1))*POWER(Upgrades!$P$13,E53)*POWER(Upgrades!$P$14,F53)*POWER(Upgrades!$P$15,G53)*POWER(Upgrades!$P$16,H53)*POWER(Upgrades!$P$17,I53)*POWER(Upgrades!$P$18,J53)*POWER(Upgrades!$P$19,K53)*POWER(Upgrades!$P$20,L53)*POWER(Upgrades!$P$21,M53)*$F$6*60</f>
        <v/>
      </c>
      <c r="AF53" s="27" t="n">
        <v>0</v>
      </c>
      <c r="AG53" s="27" t="n">
        <v>0</v>
      </c>
      <c r="AH53" s="27" t="n">
        <v>0</v>
      </c>
      <c r="AI53" s="27">
        <f>(IF(M53=0,0,(Upgrades!$G$21+M53*Upgrades!$H$21)*POWER(Upgrades!$I$21,M53)))*(IF(Upgrades!$T$13="Moving Group",POWER(Upgrades!$U$13,E53),1)*IF(Upgrades!$T$14="Moving Group",POWER(Upgrades!$U$14,F53),1)*IF(Upgrades!$T$15="Moving Group",POWER(Upgrades!$U$15,G53),1)*IF(Upgrades!$T$16="Moving Group",POWER(Upgrades!$U$16,H53),1)*IF(Upgrades!$T$17="Moving Group",POWER(Upgrades!$U$17,I53),1)*IF(Upgrades!$T$18="Moving Group",POWER(Upgrades!$U$18,J53),1)*IF(Upgrades!$T$19="Moving Group",POWER(Upgrades!$U$19,K53),1)*IF(Upgrades!$T$20="Moving Group",POWER(Upgrades!$U$20,L53),1))*POWER(Upgrades!$P$13,E53)*POWER(Upgrades!$P$14,F53)*POWER(Upgrades!$P$15,G53)*POWER(Upgrades!$P$16,H53)*POWER(Upgrades!$P$17,I53)*POWER(Upgrades!$P$18,J53)*POWER(Upgrades!$P$19,K53)*POWER(Upgrades!$P$20,L53)*POWER(Upgrades!$P$21,M53)*$F$6*60</f>
        <v/>
      </c>
      <c r="AJ53" s="27">
        <f>$C$6*60</f>
        <v/>
      </c>
      <c r="AK53" s="22">
        <f>IF(E53&gt;=Upgrades!$E$13,"",Upgrades!$C$13*POWER(Upgrades!$D$13,E53))</f>
        <v/>
      </c>
      <c r="AL53" s="22">
        <f>IF(F53&gt;=Upgrades!$E$14,"",Upgrades!$C$14*POWER(Upgrades!$D$14,F53))</f>
        <v/>
      </c>
      <c r="AM53" s="22">
        <f>IF(G53&gt;=Upgrades!$E$15,"",Upgrades!$C$15*POWER(Upgrades!$D$15,G53))</f>
        <v/>
      </c>
      <c r="AN53" s="22">
        <f>IF(H53&gt;=Upgrades!$E$16,"",Upgrades!$C$16*POWER(Upgrades!$D$16,H53))</f>
        <v/>
      </c>
      <c r="AO53" s="22">
        <f>IF(I53&gt;=Upgrades!$E$17,"",Upgrades!$C$17*POWER(Upgrades!$D$17,I53))</f>
        <v/>
      </c>
      <c r="AP53" s="22">
        <f>IF(J53&gt;=Upgrades!$E$18,"",Upgrades!$C$18*POWER(Upgrades!$D$18,J53))</f>
        <v/>
      </c>
      <c r="AQ53" s="22">
        <f>IF(K53&gt;=Upgrades!$E$19,"",Upgrades!$C$19*POWER(Upgrades!$D$19,K53))</f>
        <v/>
      </c>
      <c r="AR53" s="22">
        <f>IF(L53&gt;=Upgrades!$E$20,"",Upgrades!$C$20*POWER(Upgrades!$D$20,L53))</f>
        <v/>
      </c>
      <c r="AS53" s="22">
        <f>IF(M53&gt;=Upgrades!$E$21,"",Upgrades!$C$21*POWER(Upgrades!$D$21,M53))</f>
        <v/>
      </c>
      <c r="AT53" s="26">
        <f>IF(AND(D53&gt;=Parameters!$B$18*Parameters!$B$19,(I53&gt;=Upgrades!$E$17)*(M53&gt;=Upgrades!$E$21)=1,N53=0),1,"")</f>
        <v/>
      </c>
      <c r="AU53" s="26">
        <f>IF(AND(D53&gt;=Parameters!$B$18*Parameters!$B$19,N53=0),1,"")</f>
        <v/>
      </c>
      <c r="AV53" s="22">
        <f>MIN(IF(ISNUMBER(AP53),AP53,9E15),IF(ISNUMBER(AQ53),AQ53,9E15),IF(ISNUMBER(AR53),AR53,9E15),IF(ISNUMBER(AS53),AS53,9E15))</f>
        <v/>
      </c>
      <c r="AW53" s="22">
        <f>MIN(IF(ISNUMBER(AK53),AK53,9E15),IF(ISNUMBER(AL53),AL53,9E15),IF(ISNUMBER(AM53),AM53,9E15),IF(ISNUMBER(AN53),AN53,9E15),IF(ISNUMBER(AO53),AO53,9E15))</f>
        <v/>
      </c>
      <c r="AX53" s="29">
        <f>IF(BD53&gt;Parameters!$B$21*(MAX(IF(AND(NOT(AND(AU53=1,AT53&lt;&gt;1)),ISNUMBER(AK53),AK53&lt;=(C53+T53)),AY53,0),IF(AND(NOT(AND(AU53=1,AT53&lt;&gt;1)),ISNUMBER(AL53),AL53&lt;=(C53+T53)),AZ53,0),IF(AND(NOT(AND(AU53=1,AT53&lt;&gt;1)),ISNUMBER(AM53),AM53&lt;=(C53+T53)),BA53,0),IF(AND(NOT(AND(AU53=1,AT53&lt;&gt;1)),ISNUMBER(AN53),AN53&lt;=(C53+T53)),BB53,0),IF(AND(ISNUMBER(AO53),AO53&lt;=(C53+T53)),BC53,0))),TRUE,FALSE)</f>
        <v/>
      </c>
      <c r="AY53" s="32">
        <f>IFERROR(Upgrades!$H$13*(POWER(Upgrades!$P$13,E53)*POWER(Upgrades!$P$14,F53)*POWER(Upgrades!$P$15,G53)*POWER(Upgrades!$P$16,H53)*POWER(Upgrades!$P$17,I53)*POWER(Upgrades!$P$18,J53)*POWER(Upgrades!$P$19,K53)*POWER(Upgrades!$P$20,L53)*POWER(Upgrades!$P$21,M53))*(IF(Upgrades!$T$14="Stellar Kinematics",POWER(Upgrades!$U$14,F53),1)*IF(Upgrades!$T$15="Stellar Kinematics",POWER(Upgrades!$U$15,G53),1)*IF(Upgrades!$T$16="Stellar Kinematics",POWER(Upgrades!$U$16,H53),1)*IF(Upgrades!$T$17="Stellar Kinematics",POWER(Upgrades!$U$17,I53),1)*IF(Upgrades!$T$18="Stellar Kinematics",POWER(Upgrades!$U$18,J53),1)*IF(Upgrades!$T$19="Stellar Kinematics",POWER(Upgrades!$U$19,K53),1)*IF(Upgrades!$T$20="Stellar Kinematics",POWER(Upgrades!$U$20,L53),1)*IF(Upgrades!$T$21="Stellar Kinematics",POWER(Upgrades!$U$21,M53),1))*$F$6/AK53,0)</f>
        <v/>
      </c>
      <c r="AZ53" s="32">
        <f>IFERROR(Upgrades!$H$14*(POWER(Upgrades!$P$13,E53)*POWER(Upgrades!$P$14,F53)*POWER(Upgrades!$P$15,G53)*POWER(Upgrades!$P$16,H53)*POWER(Upgrades!$P$17,I53)*POWER(Upgrades!$P$18,J53)*POWER(Upgrades!$P$19,K53)*POWER(Upgrades!$P$20,L53)*POWER(Upgrades!$P$21,M53))*(IF(Upgrades!$T$13="Local Bubble",POWER(Upgrades!$U$13,E53),1)*IF(Upgrades!$T$15="Local Bubble",POWER(Upgrades!$U$15,G53),1)*IF(Upgrades!$T$16="Local Bubble",POWER(Upgrades!$U$16,H53),1)*IF(Upgrades!$T$17="Local Bubble",POWER(Upgrades!$U$17,I53),1)*IF(Upgrades!$T$18="Local Bubble",POWER(Upgrades!$U$18,J53),1)*IF(Upgrades!$T$19="Local Bubble",POWER(Upgrades!$U$19,K53),1)*IF(Upgrades!$T$20="Local Bubble",POWER(Upgrades!$U$20,L53),1)*IF(Upgrades!$T$21="Local Bubble",POWER(Upgrades!$U$21,M53),1))*$F$6/AL53,0)</f>
        <v/>
      </c>
      <c r="BA53" s="32">
        <f>IFERROR(Upgrades!$K$15*(POWER(Upgrades!$Q$13,E53)*POWER(Upgrades!$Q$14,F53)*POWER(Upgrades!$Q$15,G53)*POWER(Upgrades!$Q$16,H53)*POWER(Upgrades!$Q$17,I53)*POWER(Upgrades!$Q$18,J53)*POWER(Upgrades!$Q$19,K53)*POWER(Upgrades!$Q$20,L53)*POWER(Upgrades!$Q$21,M53))*(IF(Upgrades!$T$13="Microlensing",POWER(Upgrades!$U$13,E53),1)*IF(Upgrades!$T$14="Microlensing",POWER(Upgrades!$U$14,F53),1)*IF(Upgrades!$T$16="Microlensing",POWER(Upgrades!$U$16,H53),1)*IF(Upgrades!$T$17="Microlensing",POWER(Upgrades!$U$17,I53),1)*IF(Upgrades!$T$18="Microlensing",POWER(Upgrades!$U$18,J53),1)*IF(Upgrades!$T$19="Microlensing",POWER(Upgrades!$U$19,K53),1)*IF(Upgrades!$T$20="Microlensing",POWER(Upgrades!$U$20,L53),1)*IF(Upgrades!$T$21="Microlensing",POWER(Upgrades!$U$21,M53),1))*$G$6*(Parameters!$B$10/60*Parameters!$B$11+Q53)/AM53,0)</f>
        <v/>
      </c>
      <c r="BB53" s="32">
        <f>IFERROR((Upgrades!$N$16*(POWER(Upgrades!$R$13,E53)*POWER(Upgrades!$R$14,F53)*POWER(Upgrades!$R$15,G53)*POWER(Upgrades!$R$16,H53)*POWER(Upgrades!$R$17,I53)*POWER(Upgrades!$R$18,J53)*POWER(Upgrades!$R$19,K53)*POWER(Upgrades!$R$20,L53)*POWER(Upgrades!$R$21,M53))*(IF(Upgrades!$T$13="Roche Lobe Overflow",POWER(Upgrades!$U$13,E53),1)*IF(Upgrades!$T$14="Roche Lobe Overflow",POWER(Upgrades!$U$14,F53),1)*IF(Upgrades!$T$15="Roche Lobe Overflow",POWER(Upgrades!$U$15,G53),1)*IF(Upgrades!$T$17="Roche Lobe Overflow",POWER(Upgrades!$U$17,I53),1)*IF(Upgrades!$T$18="Roche Lobe Overflow",POWER(Upgrades!$U$18,J53),1)*IF(Upgrades!$T$19="Roche Lobe Overflow",POWER(Upgrades!$U$19,K53),1)*IF(Upgrades!$T$20="Roche Lobe Overflow",POWER(Upgrades!$U$20,L53),1)*IF(Upgrades!$T$21="Roche Lobe Overflow",POWER(Upgrades!$U$21,M53),1))*$H$6*O53+((IF(F53=0,0,(Upgrades!$G$14+F53*Upgrades!$H$14)*POWER(Upgrades!$I$14,F53)))*(IF(Upgrades!$T$13="Local Bubble",POWER(Upgrades!$U$13,E53),1)*IF(Upgrades!$T$15="Local Bubble",POWER(Upgrades!$U$15,G53),1)*IF(Upgrades!$T$16="Local Bubble",POWER(Upgrades!$U$16,H53),1)*IF(Upgrades!$T$17="Local Bubble",POWER(Upgrades!$U$17,I53),1)*IF(Upgrades!$T$18="Local Bubble",POWER(Upgrades!$U$18,J53),1)*IF(Upgrades!$T$19="Local Bubble",POWER(Upgrades!$U$19,K53),1)*IF(Upgrades!$T$20="Local Bubble",POWER(Upgrades!$U$20,L53),1)*IF(Upgrades!$T$21="Local Bubble",POWER(Upgrades!$U$21,M53),1))*POWER(Upgrades!$P$13,E53)*POWER(Upgrades!$P$14,F53)*POWER(Upgrades!$P$15,G53)*POWER(Upgrades!$P$16,H53)*POWER(Upgrades!$P$17,I53)*POWER(Upgrades!$P$18,J53)*POWER(Upgrades!$P$19,K53)*POWER(Upgrades!$P$20,L53)*POWER(Upgrades!$P$21,M53)*$F$6)*0.05)/AN53,0)</f>
        <v/>
      </c>
      <c r="BC53" s="32">
        <f>IFERROR((Upgrades!$H$17*(POWER(Upgrades!$P$13,E53)*POWER(Upgrades!$P$14,F53)*POWER(Upgrades!$P$15,G53)*POWER(Upgrades!$P$16,H53)*POWER(Upgrades!$P$17,I53)*POWER(Upgrades!$P$18,J53)*POWER(Upgrades!$P$19,K53)*POWER(Upgrades!$P$20,L53)*POWER(Upgrades!$P$21,M53))*(IF(Upgrades!$T$13="Brown Dwarf",POWER(Upgrades!$U$13,E53),1)*IF(Upgrades!$T$14="Brown Dwarf",POWER(Upgrades!$U$14,F53),1)*IF(Upgrades!$T$15="Brown Dwarf",POWER(Upgrades!$U$15,G53),1)*IF(Upgrades!$T$16="Brown Dwarf",POWER(Upgrades!$U$16,H53),1)*IF(Upgrades!$T$18="Brown Dwarf",POWER(Upgrades!$U$18,J53),1)*IF(Upgrades!$T$19="Brown Dwarf",POWER(Upgrades!$U$19,K53),1)*IF(Upgrades!$T$20="Brown Dwarf",POWER(Upgrades!$U$20,L53),1)*IF(Upgrades!$T$21="Brown Dwarf",POWER(Upgrades!$U$21,M53),1))*$F$6+(((IF(H53=0,0,(Upgrades!$M$16+H53*Upgrades!$N$16)*POWER(Upgrades!$O$16,H53)))*(IF(Upgrades!$T$13="Roche Lobe Overflow",POWER(Upgrades!$U$13,E53),1)*IF(Upgrades!$T$14="Roche Lobe Overflow",POWER(Upgrades!$U$14,F53),1)*IF(Upgrades!$T$15="Roche Lobe Overflow",POWER(Upgrades!$U$15,G53),1)*IF(Upgrades!$T$17="Roche Lobe Overflow",POWER(Upgrades!$U$17,I53),1)*IF(Upgrades!$T$18="Roche Lobe Overflow",POWER(Upgrades!$U$18,J53),1)*IF(Upgrades!$T$19="Roche Lobe Overflow",POWER(Upgrades!$U$19,K53),1)*IF(Upgrades!$T$20="Roche Lobe Overflow",POWER(Upgrades!$U$20,L53),1)*IF(Upgrades!$T$21="Roche Lobe Overflow",POWER(Upgrades!$U$21,M53),1))*POWER(Upgrades!$R$13,E53)*POWER(Upgrades!$R$14,F53)*POWER(Upgrades!$R$15,G53)*POWER(Upgrades!$R$16,H53)*POWER(Upgrades!$R$17,I53)*POWER(Upgrades!$R$18,J53)*POWER(Upgrades!$R$19,K53)*POWER(Upgrades!$R$20,L53)*POWER(Upgrades!$R$21,M53)*$H$6)*O53)*0.10)/AO53,0)</f>
        <v/>
      </c>
      <c r="BD53" s="32">
        <f>MAX(IF(J53&gt;0,0,IFERROR(0.5*((IF(G53=0,0,(Upgrades!$J$15+G53*Upgrades!$K$15)*POWER(Upgrades!$L$15,G53)))*(IF(Upgrades!$T$13="Microlensing",POWER(Upgrades!$U$13,E53),1)*IF(Upgrades!$T$14="Microlensing",POWER(Upgrades!$U$14,F53),1)*IF(Upgrades!$T$16="Microlensing",POWER(Upgrades!$U$16,H53),1)*IF(Upgrades!$T$17="Microlensing",POWER(Upgrades!$U$17,I53),1)*IF(Upgrades!$T$18="Microlensing",POWER(Upgrades!$U$18,J53),1)*IF(Upgrades!$T$19="Microlensing",POWER(Upgrades!$U$19,K53),1)*IF(Upgrades!$T$20="Microlensing",POWER(Upgrades!$U$20,L53),1)*IF(Upgrades!$T$21="Microlensing",POWER(Upgrades!$U$21,M53),1))*(POWER(Upgrades!$Q$13,E53)*POWER(Upgrades!$Q$14,F53)*POWER(Upgrades!$Q$15,G53)*POWER(Upgrades!$Q$16,H53)*POWER(Upgrades!$Q$17,I53)*POWER(Upgrades!$Q$18,J53)*POWER(Upgrades!$Q$19,K53)*POWER(Upgrades!$Q$20,L53)*POWER(Upgrades!$Q$21,M53))*$G$6*(Parameters!$B$10/60*Parameters!$B$11+Q53))/Upgrades!$C$18,0)),IF(K53&gt;0,0,IFERROR(0.30*P53/Upgrades!$C$19,0)),IF(L53&gt;0,0,IFERROR(0.0001/Upgrades!$C$20,0)),IF(M53&gt;0,0,IFERROR((6.0*(POWER(Upgrades!$P$13,E53)*POWER(Upgrades!$P$14,F53)*POWER(Upgrades!$P$15,G53)*POWER(Upgrades!$P$16,H53)*POWER(Upgrades!$P$17,I53)*POWER(Upgrades!$P$18,J53)*POWER(Upgrades!$P$19,K53)*POWER(Upgrades!$P$20,L53)*POWER(Upgrades!$P$21,M53))*$F$6+0.20*O53*(Parameters!$B$10/60*Parameters!$B$11+Q53))/Upgrades!$C$21,0)),IF(AND(ISNUMBER(AK53),AK53&gt;(C53+T53)),AY53,0),IF(AND(ISNUMBER(AL53),AL53&gt;(C53+T53)),AZ53,0),IF(AND(ISNUMBER(AM53),AM53&gt;(C53+T53)),BA53,0),IF(AND(ISNUMBER(AN53),AN53&gt;(C53+T53)),BB53,0),IF(AND(ISNUMBER(AO53),AO53&gt;(C53+T53)),BC53,0))</f>
        <v/>
      </c>
      <c r="BE53" s="29">
        <f>IF(AT53=1,"transition",IF(MIN(IF(AND(J53=0,ISNUMBER(AP53),AP53&lt;=(C53+T53)),AP53,9E15),IF(AND(K53=0,ISNUMBER(AQ53),AQ53&lt;=(C53+T53)),AQ53,9E15),IF(AND(L53=0,ISNUMBER(AR53),AR53&lt;=(C53+T53)),AR53,9E15),IF(AND(M53=0,ISNUMBER(AS53),AS53&lt;=(C53+T53)),AS53,9E15))&lt;9E15,IF(AND(AND(J53=0,ISNUMBER(AP53),AP53&lt;=(C53+T53)),AP53=MIN(IF(AND(J53=0,ISNUMBER(AP53),AP53&lt;=(C53+T53)),AP53,9E15),IF(AND(K53=0,ISNUMBER(AQ53),AQ53&lt;=(C53+T53)),AQ53,9E15),IF(AND(L53=0,ISNUMBER(AR53),AR53&lt;=(C53+T53)),AR53,9E15),IF(AND(M53=0,ISNUMBER(AS53),AS53&lt;=(C53+T53)),AS53,9E15))),"BiP",IF(AND(AND(K53=0,ISNUMBER(AQ53),AQ53&lt;=(C53+T53)),AQ53=MIN(IF(AND(J53=0,ISNUMBER(AP53),AP53&lt;=(C53+T53)),AP53,9E15),IF(AND(K53=0,ISNUMBER(AQ53),AQ53&lt;=(C53+T53)),AQ53,9E15),IF(AND(L53=0,ISNUMBER(AR53),AR53&lt;=(C53+T53)),AR53,9E15),IF(AND(M53=0,ISNUMBER(AS53),AS53&lt;=(C53+T53)),AS53,9E15))),"PV",IF(AND(AND(L53=0,ISNUMBER(AR53),AR53&lt;=(C53+T53)),AR53=MIN(IF(AND(J53=0,ISNUMBER(AP53),AP53&lt;=(C53+T53)),AP53,9E15),IF(AND(K53=0,ISNUMBER(AQ53),AQ53&lt;=(C53+T53)),AQ53,9E15),IF(AND(L53=0,ISNUMBER(AR53),AR53&lt;=(C53+T53)),AR53,9E15),IF(AND(M53=0,ISNUMBER(AS53),AS53&lt;=(C53+T53)),AS53,9E15))),"OC","MG"))),IF(AX53=TRUE,"",IF(MAX(IF(AND(NOT(AND(AU53=1,AT53&lt;&gt;1)),ISNUMBER(AK53),AK53&lt;=(C53+T53)),AY53,0),IF(AND(NOT(AND(AU53=1,AT53&lt;&gt;1)),ISNUMBER(AL53),AL53&lt;=(C53+T53)),AZ53,0),IF(AND(NOT(AND(AU53=1,AT53&lt;&gt;1)),ISNUMBER(AM53),AM53&lt;=(C53+T53)),BA53,0),IF(AND(NOT(AND(AU53=1,AT53&lt;&gt;1)),ISNUMBER(AN53),AN53&lt;=(C53+T53)),BB53,0),IF(AND(ISNUMBER(AO53),AO53&lt;=(C53+T53)),BC53,0))&lt;=0,"",IF(AND(IF(AND(NOT(AND(AU53=1,AT53&lt;&gt;1)),ISNUMBER(AK53),AK53&lt;=(C53+T53)),AY53,0)&gt;0,IF(AND(NOT(AND(AU53=1,AT53&lt;&gt;1)),ISNUMBER(AK53),AK53&lt;=(C53+T53)),AY53,0)=MAX(IF(AND(NOT(AND(AU53=1,AT53&lt;&gt;1)),ISNUMBER(AK53),AK53&lt;=(C53+T53)),AY53,0),IF(AND(NOT(AND(AU53=1,AT53&lt;&gt;1)),ISNUMBER(AL53),AL53&lt;=(C53+T53)),AZ53,0),IF(AND(NOT(AND(AU53=1,AT53&lt;&gt;1)),ISNUMBER(AM53),AM53&lt;=(C53+T53)),BA53,0),IF(AND(NOT(AND(AU53=1,AT53&lt;&gt;1)),ISNUMBER(AN53),AN53&lt;=(C53+T53)),BB53,0),IF(AND(ISNUMBER(AO53),AO53&lt;=(C53+T53)),BC53,0))),"SK",IF(AND(IF(AND(NOT(AND(AU53=1,AT53&lt;&gt;1)),ISNUMBER(AL53),AL53&lt;=(C53+T53)),AZ53,0)&gt;0,IF(AND(NOT(AND(AU53=1,AT53&lt;&gt;1)),ISNUMBER(AL53),AL53&lt;=(C53+T53)),AZ53,0)=MAX(IF(AND(NOT(AND(AU53=1,AT53&lt;&gt;1)),ISNUMBER(AK53),AK53&lt;=(C53+T53)),AY53,0),IF(AND(NOT(AND(AU53=1,AT53&lt;&gt;1)),ISNUMBER(AL53),AL53&lt;=(C53+T53)),AZ53,0),IF(AND(NOT(AND(AU53=1,AT53&lt;&gt;1)),ISNUMBER(AM53),AM53&lt;=(C53+T53)),BA53,0),IF(AND(NOT(AND(AU53=1,AT53&lt;&gt;1)),ISNUMBER(AN53),AN53&lt;=(C53+T53)),BB53,0),IF(AND(ISNUMBER(AO53),AO53&lt;=(C53+T53)),BC53,0))),"LB",IF(AND(IF(AND(NOT(AND(AU53=1,AT53&lt;&gt;1)),ISNUMBER(AM53),AM53&lt;=(C53+T53)),BA53,0)&gt;0,IF(AND(NOT(AND(AU53=1,AT53&lt;&gt;1)),ISNUMBER(AM53),AM53&lt;=(C53+T53)),BA53,0)=MAX(IF(AND(NOT(AND(AU53=1,AT53&lt;&gt;1)),ISNUMBER(AK53),AK53&lt;=(C53+T53)),AY53,0),IF(AND(NOT(AND(AU53=1,AT53&lt;&gt;1)),ISNUMBER(AL53),AL53&lt;=(C53+T53)),AZ53,0),IF(AND(NOT(AND(AU53=1,AT53&lt;&gt;1)),ISNUMBER(AM53),AM53&lt;=(C53+T53)),BA53,0),IF(AND(NOT(AND(AU53=1,AT53&lt;&gt;1)),ISNUMBER(AN53),AN53&lt;=(C53+T53)),BB53,0),IF(AND(ISNUMBER(AO53),AO53&lt;=(C53+T53)),BC53,0))),"ML",IF(AND(IF(AND(NOT(AND(AU53=1,AT53&lt;&gt;1)),ISNUMBER(AN53),AN53&lt;=(C53+T53)),BB53,0)&gt;0,IF(AND(NOT(AND(AU53=1,AT53&lt;&gt;1)),ISNUMBER(AN53),AN53&lt;=(C53+T53)),BB53,0)=MAX(IF(AND(NOT(AND(AU53=1,AT53&lt;&gt;1)),ISNUMBER(AK53),AK53&lt;=(C53+T53)),AY53,0),IF(AND(NOT(AND(AU53=1,AT53&lt;&gt;1)),ISNUMBER(AL53),AL53&lt;=(C53+T53)),AZ53,0),IF(AND(NOT(AND(AU53=1,AT53&lt;&gt;1)),ISNUMBER(AM53),AM53&lt;=(C53+T53)),BA53,0),IF(AND(NOT(AND(AU53=1,AT53&lt;&gt;1)),ISNUMBER(AN53),AN53&lt;=(C53+T53)),BB53,0),IF(AND(ISNUMBER(AO53),AO53&lt;=(C53+T53)),BC53,0))),"RLO","BD"))))))))</f>
        <v/>
      </c>
    </row>
    <row r="54">
      <c r="A54" s="26" t="n">
        <v>43</v>
      </c>
      <c r="B54" s="27">
        <f>A54*10/60</f>
        <v/>
      </c>
      <c r="C54" s="22">
        <f>X53</f>
        <v/>
      </c>
      <c r="D54" s="27">
        <f>D53+W53</f>
        <v/>
      </c>
      <c r="E54" s="26">
        <f>E53+IF(U53="SK",1,0)</f>
        <v/>
      </c>
      <c r="F54" s="26">
        <f>F53+IF(U53="LB",1,0)</f>
        <v/>
      </c>
      <c r="G54" s="26">
        <f>G53+IF(U53="ML",1,0)</f>
        <v/>
      </c>
      <c r="H54" s="26">
        <f>H53+IF(U53="RLO",1,0)</f>
        <v/>
      </c>
      <c r="I54" s="26">
        <f>I53+IF(U53="BD",1,0)</f>
        <v/>
      </c>
      <c r="J54" s="26">
        <f>MAX(J53,IF(U53="BiP",1,0))</f>
        <v/>
      </c>
      <c r="K54" s="26">
        <f>MAX(K53,IF(U53="PV",1,0))</f>
        <v/>
      </c>
      <c r="L54" s="26">
        <f>MAX(L53,IF(U53="OC",1,0))</f>
        <v/>
      </c>
      <c r="M54" s="26">
        <f>MAX(M53,IF(U53="MG",1,0))</f>
        <v/>
      </c>
      <c r="N54" s="26">
        <f>MAX(N53,IF(U53="transition",1,0))</f>
        <v/>
      </c>
      <c r="O54" s="28">
        <f>(Parameters!$B$9+(IF(E54=0,0,(Upgrades!$J$13+E54*Upgrades!$K$13)*POWER(Upgrades!$L$13,E54)))*(IF(Upgrades!$T$14="Stellar Kinematics",POWER(Upgrades!$U$14,F54),1)*IF(Upgrades!$T$15="Stellar Kinematics",POWER(Upgrades!$U$15,G54),1)*IF(Upgrades!$T$16="Stellar Kinematics",POWER(Upgrades!$U$16,H54),1)*IF(Upgrades!$T$17="Stellar Kinematics",POWER(Upgrades!$U$17,I54),1)*IF(Upgrades!$T$18="Stellar Kinematics",POWER(Upgrades!$U$18,J54),1)*IF(Upgrades!$T$19="Stellar Kinematics",POWER(Upgrades!$U$19,K54),1)*IF(Upgrades!$T$20="Stellar Kinematics",POWER(Upgrades!$U$20,L54),1)*IF(Upgrades!$T$21="Stellar Kinematics",POWER(Upgrades!$U$21,M54),1))+(IF(F54=0,0,(Upgrades!$J$14+F54*Upgrades!$K$14)*POWER(Upgrades!$L$14,F54)))*(IF(Upgrades!$T$13="Local Bubble",POWER(Upgrades!$U$13,E54),1)*IF(Upgrades!$T$15="Local Bubble",POWER(Upgrades!$U$15,G54),1)*IF(Upgrades!$T$16="Local Bubble",POWER(Upgrades!$U$16,H54),1)*IF(Upgrades!$T$17="Local Bubble",POWER(Upgrades!$U$17,I54),1)*IF(Upgrades!$T$18="Local Bubble",POWER(Upgrades!$U$18,J54),1)*IF(Upgrades!$T$19="Local Bubble",POWER(Upgrades!$U$19,K54),1)*IF(Upgrades!$T$20="Local Bubble",POWER(Upgrades!$U$20,L54),1)*IF(Upgrades!$T$21="Local Bubble",POWER(Upgrades!$U$21,M54),1))+(IF(G54=0,0,(Upgrades!$J$15+G54*Upgrades!$K$15)*POWER(Upgrades!$L$15,G54)))*(IF(Upgrades!$T$13="Microlensing",POWER(Upgrades!$U$13,E54),1)*IF(Upgrades!$T$14="Microlensing",POWER(Upgrades!$U$14,F54),1)*IF(Upgrades!$T$16="Microlensing",POWER(Upgrades!$U$16,H54),1)*IF(Upgrades!$T$17="Microlensing",POWER(Upgrades!$U$17,I54),1)*IF(Upgrades!$T$18="Microlensing",POWER(Upgrades!$U$18,J54),1)*IF(Upgrades!$T$19="Microlensing",POWER(Upgrades!$U$19,K54),1)*IF(Upgrades!$T$20="Microlensing",POWER(Upgrades!$U$20,L54),1)*IF(Upgrades!$T$21="Microlensing",POWER(Upgrades!$U$21,M54),1))+(IF(H54=0,0,(Upgrades!$J$16+H54*Upgrades!$K$16)*POWER(Upgrades!$L$16,H54)))*(IF(Upgrades!$T$13="Roche Lobe Overflow",POWER(Upgrades!$U$13,E54),1)*IF(Upgrades!$T$14="Roche Lobe Overflow",POWER(Upgrades!$U$14,F54),1)*IF(Upgrades!$T$15="Roche Lobe Overflow",POWER(Upgrades!$U$15,G54),1)*IF(Upgrades!$T$17="Roche Lobe Overflow",POWER(Upgrades!$U$17,I54),1)*IF(Upgrades!$T$18="Roche Lobe Overflow",POWER(Upgrades!$U$18,J54),1)*IF(Upgrades!$T$19="Roche Lobe Overflow",POWER(Upgrades!$U$19,K54),1)*IF(Upgrades!$T$20="Roche Lobe Overflow",POWER(Upgrades!$U$20,L54),1)*IF(Upgrades!$T$21="Roche Lobe Overflow",POWER(Upgrades!$U$21,M54),1))+(IF(I54=0,0,(Upgrades!$J$17+I54*Upgrades!$K$17)*POWER(Upgrades!$L$17,I54)))*(IF(Upgrades!$T$13="Brown Dwarf",POWER(Upgrades!$U$13,E54),1)*IF(Upgrades!$T$14="Brown Dwarf",POWER(Upgrades!$U$14,F54),1)*IF(Upgrades!$T$15="Brown Dwarf",POWER(Upgrades!$U$15,G54),1)*IF(Upgrades!$T$16="Brown Dwarf",POWER(Upgrades!$U$16,H54),1)*IF(Upgrades!$T$18="Brown Dwarf",POWER(Upgrades!$U$18,J54),1)*IF(Upgrades!$T$19="Brown Dwarf",POWER(Upgrades!$U$19,K54),1)*IF(Upgrades!$T$20="Brown Dwarf",POWER(Upgrades!$U$20,L54),1)*IF(Upgrades!$T$21="Brown Dwarf",POWER(Upgrades!$U$21,M54),1))+(IF(J54=0,0,(Upgrades!$J$18+J54*Upgrades!$K$18)*POWER(Upgrades!$L$18,J54)))*(IF(Upgrades!$T$13="Binary Partner",POWER(Upgrades!$U$13,E54),1)*IF(Upgrades!$T$14="Binary Partner",POWER(Upgrades!$U$14,F54),1)*IF(Upgrades!$T$15="Binary Partner",POWER(Upgrades!$U$15,G54),1)*IF(Upgrades!$T$16="Binary Partner",POWER(Upgrades!$U$16,H54),1)*IF(Upgrades!$T$17="Binary Partner",POWER(Upgrades!$U$17,I54),1)*IF(Upgrades!$T$19="Binary Partner",POWER(Upgrades!$U$19,K54),1)*IF(Upgrades!$T$20="Binary Partner",POWER(Upgrades!$U$20,L54),1)*IF(Upgrades!$T$21="Binary Partner",POWER(Upgrades!$U$21,M54),1))+(IF(K54=0,0,(Upgrades!$J$19+K54*Upgrades!$K$19)*POWER(Upgrades!$L$19,K54)))*(IF(Upgrades!$T$13="Peculiar Velocity",POWER(Upgrades!$U$13,E54),1)*IF(Upgrades!$T$14="Peculiar Velocity",POWER(Upgrades!$U$14,F54),1)*IF(Upgrades!$T$15="Peculiar Velocity",POWER(Upgrades!$U$15,G54),1)*IF(Upgrades!$T$16="Peculiar Velocity",POWER(Upgrades!$U$16,H54),1)*IF(Upgrades!$T$17="Peculiar Velocity",POWER(Upgrades!$U$17,I54),1)*IF(Upgrades!$T$18="Peculiar Velocity",POWER(Upgrades!$U$18,J54),1)*IF(Upgrades!$T$20="Peculiar Velocity",POWER(Upgrades!$U$20,L54),1)*IF(Upgrades!$T$21="Peculiar Velocity",POWER(Upgrades!$U$21,M54),1))+(IF(L54=0,0,(Upgrades!$J$20+L54*Upgrades!$K$20)*POWER(Upgrades!$L$20,L54)))*(IF(Upgrades!$T$13="Open Cluster",POWER(Upgrades!$U$13,E54),1)*IF(Upgrades!$T$14="Open Cluster",POWER(Upgrades!$U$14,F54),1)*IF(Upgrades!$T$15="Open Cluster",POWER(Upgrades!$U$15,G54),1)*IF(Upgrades!$T$16="Open Cluster",POWER(Upgrades!$U$16,H54),1)*IF(Upgrades!$T$17="Open Cluster",POWER(Upgrades!$U$17,I54),1)*IF(Upgrades!$T$18="Open Cluster",POWER(Upgrades!$U$18,J54),1)*IF(Upgrades!$T$19="Open Cluster",POWER(Upgrades!$U$19,K54),1)*IF(Upgrades!$T$21="Open Cluster",POWER(Upgrades!$U$21,M54),1))+(IF(M54=0,0,(Upgrades!$J$21+M54*Upgrades!$K$21)*POWER(Upgrades!$L$21,M54)))*(IF(Upgrades!$T$13="Moving Group",POWER(Upgrades!$U$13,E54),1)*IF(Upgrades!$T$14="Moving Group",POWER(Upgrades!$U$14,F54),1)*IF(Upgrades!$T$15="Moving Group",POWER(Upgrades!$U$15,G54),1)*IF(Upgrades!$T$16="Moving Group",POWER(Upgrades!$U$16,H54),1)*IF(Upgrades!$T$17="Moving Group",POWER(Upgrades!$U$17,I54),1)*IF(Upgrades!$T$18="Moving Group",POWER(Upgrades!$U$18,J54),1)*IF(Upgrades!$T$19="Moving Group",POWER(Upgrades!$U$19,K54),1)*IF(Upgrades!$T$20="Moving Group",POWER(Upgrades!$U$20,L54),1)))*POWER(Upgrades!$Q$13,E54)*POWER(Upgrades!$Q$14,F54)*POWER(Upgrades!$Q$15,G54)*POWER(Upgrades!$Q$16,H54)*POWER(Upgrades!$Q$17,I54)*POWER(Upgrades!$Q$18,J54)*POWER(Upgrades!$Q$19,K54)*POWER(Upgrades!$Q$20,L54)*POWER(Upgrades!$Q$21,M54)*$G$6+$D$6</f>
        <v/>
      </c>
      <c r="P54" s="28">
        <f>((IF(E54=0,0,(Upgrades!$G$13+E54*Upgrades!$H$13)*POWER(Upgrades!$I$13,E54)))*(IF(Upgrades!$T$14="Stellar Kinematics",POWER(Upgrades!$U$14,F54),1)*IF(Upgrades!$T$15="Stellar Kinematics",POWER(Upgrades!$U$15,G54),1)*IF(Upgrades!$T$16="Stellar Kinematics",POWER(Upgrades!$U$16,H54),1)*IF(Upgrades!$T$17="Stellar Kinematics",POWER(Upgrades!$U$17,I54),1)*IF(Upgrades!$T$18="Stellar Kinematics",POWER(Upgrades!$U$18,J54),1)*IF(Upgrades!$T$19="Stellar Kinematics",POWER(Upgrades!$U$19,K54),1)*IF(Upgrades!$T$20="Stellar Kinematics",POWER(Upgrades!$U$20,L54),1)*IF(Upgrades!$T$21="Stellar Kinematics",POWER(Upgrades!$U$21,M54),1))+(IF(F54=0,0,(Upgrades!$G$14+F54*Upgrades!$H$14)*POWER(Upgrades!$I$14,F54)))*(IF(Upgrades!$T$13="Local Bubble",POWER(Upgrades!$U$13,E54),1)*IF(Upgrades!$T$15="Local Bubble",POWER(Upgrades!$U$15,G54),1)*IF(Upgrades!$T$16="Local Bubble",POWER(Upgrades!$U$16,H54),1)*IF(Upgrades!$T$17="Local Bubble",POWER(Upgrades!$U$17,I54),1)*IF(Upgrades!$T$18="Local Bubble",POWER(Upgrades!$U$18,J54),1)*IF(Upgrades!$T$19="Local Bubble",POWER(Upgrades!$U$19,K54),1)*IF(Upgrades!$T$20="Local Bubble",POWER(Upgrades!$U$20,L54),1)*IF(Upgrades!$T$21="Local Bubble",POWER(Upgrades!$U$21,M54),1))+(IF(G54=0,0,(Upgrades!$G$15+G54*Upgrades!$H$15)*POWER(Upgrades!$I$15,G54)))*(IF(Upgrades!$T$13="Microlensing",POWER(Upgrades!$U$13,E54),1)*IF(Upgrades!$T$14="Microlensing",POWER(Upgrades!$U$14,F54),1)*IF(Upgrades!$T$16="Microlensing",POWER(Upgrades!$U$16,H54),1)*IF(Upgrades!$T$17="Microlensing",POWER(Upgrades!$U$17,I54),1)*IF(Upgrades!$T$18="Microlensing",POWER(Upgrades!$U$18,J54),1)*IF(Upgrades!$T$19="Microlensing",POWER(Upgrades!$U$19,K54),1)*IF(Upgrades!$T$20="Microlensing",POWER(Upgrades!$U$20,L54),1)*IF(Upgrades!$T$21="Microlensing",POWER(Upgrades!$U$21,M54),1))+(IF(H54=0,0,(Upgrades!$G$16+H54*Upgrades!$H$16)*POWER(Upgrades!$I$16,H54)))*(IF(Upgrades!$T$13="Roche Lobe Overflow",POWER(Upgrades!$U$13,E54),1)*IF(Upgrades!$T$14="Roche Lobe Overflow",POWER(Upgrades!$U$14,F54),1)*IF(Upgrades!$T$15="Roche Lobe Overflow",POWER(Upgrades!$U$15,G54),1)*IF(Upgrades!$T$17="Roche Lobe Overflow",POWER(Upgrades!$U$17,I54),1)*IF(Upgrades!$T$18="Roche Lobe Overflow",POWER(Upgrades!$U$18,J54),1)*IF(Upgrades!$T$19="Roche Lobe Overflow",POWER(Upgrades!$U$19,K54),1)*IF(Upgrades!$T$20="Roche Lobe Overflow",POWER(Upgrades!$U$20,L54),1)*IF(Upgrades!$T$21="Roche Lobe Overflow",POWER(Upgrades!$U$21,M54),1))+(IF(I54=0,0,(Upgrades!$G$17+I54*Upgrades!$H$17)*POWER(Upgrades!$I$17,I54)))*(IF(Upgrades!$T$13="Brown Dwarf",POWER(Upgrades!$U$13,E54),1)*IF(Upgrades!$T$14="Brown Dwarf",POWER(Upgrades!$U$14,F54),1)*IF(Upgrades!$T$15="Brown Dwarf",POWER(Upgrades!$U$15,G54),1)*IF(Upgrades!$T$16="Brown Dwarf",POWER(Upgrades!$U$16,H54),1)*IF(Upgrades!$T$18="Brown Dwarf",POWER(Upgrades!$U$18,J54),1)*IF(Upgrades!$T$19="Brown Dwarf",POWER(Upgrades!$U$19,K54),1)*IF(Upgrades!$T$20="Brown Dwarf",POWER(Upgrades!$U$20,L54),1)*IF(Upgrades!$T$21="Brown Dwarf",POWER(Upgrades!$U$21,M54),1))+(IF(J54=0,0,(Upgrades!$G$18+J54*Upgrades!$H$18)*POWER(Upgrades!$I$18,J54)))*(IF(Upgrades!$T$13="Binary Partner",POWER(Upgrades!$U$13,E54),1)*IF(Upgrades!$T$14="Binary Partner",POWER(Upgrades!$U$14,F54),1)*IF(Upgrades!$T$15="Binary Partner",POWER(Upgrades!$U$15,G54),1)*IF(Upgrades!$T$16="Binary Partner",POWER(Upgrades!$U$16,H54),1)*IF(Upgrades!$T$17="Binary Partner",POWER(Upgrades!$U$17,I54),1)*IF(Upgrades!$T$19="Binary Partner",POWER(Upgrades!$U$19,K54),1)*IF(Upgrades!$T$20="Binary Partner",POWER(Upgrades!$U$20,L54),1)*IF(Upgrades!$T$21="Binary Partner",POWER(Upgrades!$U$21,M54),1))+(IF(K54=0,0,(Upgrades!$G$19+K54*Upgrades!$H$19)*POWER(Upgrades!$I$19,K54)))*(IF(Upgrades!$T$13="Peculiar Velocity",POWER(Upgrades!$U$13,E54),1)*IF(Upgrades!$T$14="Peculiar Velocity",POWER(Upgrades!$U$14,F54),1)*IF(Upgrades!$T$15="Peculiar Velocity",POWER(Upgrades!$U$15,G54),1)*IF(Upgrades!$T$16="Peculiar Velocity",POWER(Upgrades!$U$16,H54),1)*IF(Upgrades!$T$17="Peculiar Velocity",POWER(Upgrades!$U$17,I54),1)*IF(Upgrades!$T$18="Peculiar Velocity",POWER(Upgrades!$U$18,J54),1)*IF(Upgrades!$T$20="Peculiar Velocity",POWER(Upgrades!$U$20,L54),1)*IF(Upgrades!$T$21="Peculiar Velocity",POWER(Upgrades!$U$21,M54),1))+(IF(L54=0,0,(Upgrades!$G$20+L54*Upgrades!$H$20)*POWER(Upgrades!$I$20,L54)))*(IF(Upgrades!$T$13="Open Cluster",POWER(Upgrades!$U$13,E54),1)*IF(Upgrades!$T$14="Open Cluster",POWER(Upgrades!$U$14,F54),1)*IF(Upgrades!$T$15="Open Cluster",POWER(Upgrades!$U$15,G54),1)*IF(Upgrades!$T$16="Open Cluster",POWER(Upgrades!$U$16,H54),1)*IF(Upgrades!$T$17="Open Cluster",POWER(Upgrades!$U$17,I54),1)*IF(Upgrades!$T$18="Open Cluster",POWER(Upgrades!$U$18,J54),1)*IF(Upgrades!$T$19="Open Cluster",POWER(Upgrades!$U$19,K54),1)*IF(Upgrades!$T$21="Open Cluster",POWER(Upgrades!$U$21,M54),1))+(IF(M54=0,0,(Upgrades!$G$21+M54*Upgrades!$H$21)*POWER(Upgrades!$I$21,M54)))*(IF(Upgrades!$T$13="Moving Group",POWER(Upgrades!$U$13,E54),1)*IF(Upgrades!$T$14="Moving Group",POWER(Upgrades!$U$14,F54),1)*IF(Upgrades!$T$15="Moving Group",POWER(Upgrades!$U$15,G54),1)*IF(Upgrades!$T$16="Moving Group",POWER(Upgrades!$U$16,H54),1)*IF(Upgrades!$T$17="Moving Group",POWER(Upgrades!$U$17,I54),1)*IF(Upgrades!$T$18="Moving Group",POWER(Upgrades!$U$18,J54),1)*IF(Upgrades!$T$19="Moving Group",POWER(Upgrades!$U$19,K54),1)*IF(Upgrades!$T$20="Moving Group",POWER(Upgrades!$U$20,L54),1)))*POWER(Upgrades!$P$13,E54)*POWER(Upgrades!$P$14,F54)*POWER(Upgrades!$P$15,G54)*POWER(Upgrades!$P$16,H54)*POWER(Upgrades!$P$17,I54)*POWER(Upgrades!$P$18,J54)*POWER(Upgrades!$P$19,K54)*POWER(Upgrades!$P$20,L54)*POWER(Upgrades!$P$21,M54)*$F$6+$C$6</f>
        <v/>
      </c>
      <c r="Q54" s="28">
        <f>((IF(E54=0,0,(Upgrades!$M$13+E54*Upgrades!$N$13)*POWER(Upgrades!$O$13,E54)))*(IF(Upgrades!$T$14="Stellar Kinematics",POWER(Upgrades!$U$14,F54),1)*IF(Upgrades!$T$15="Stellar Kinematics",POWER(Upgrades!$U$15,G54),1)*IF(Upgrades!$T$16="Stellar Kinematics",POWER(Upgrades!$U$16,H54),1)*IF(Upgrades!$T$17="Stellar Kinematics",POWER(Upgrades!$U$17,I54),1)*IF(Upgrades!$T$18="Stellar Kinematics",POWER(Upgrades!$U$18,J54),1)*IF(Upgrades!$T$19="Stellar Kinematics",POWER(Upgrades!$U$19,K54),1)*IF(Upgrades!$T$20="Stellar Kinematics",POWER(Upgrades!$U$20,L54),1)*IF(Upgrades!$T$21="Stellar Kinematics",POWER(Upgrades!$U$21,M54),1))+(IF(F54=0,0,(Upgrades!$M$14+F54*Upgrades!$N$14)*POWER(Upgrades!$O$14,F54)))*(IF(Upgrades!$T$13="Local Bubble",POWER(Upgrades!$U$13,E54),1)*IF(Upgrades!$T$15="Local Bubble",POWER(Upgrades!$U$15,G54),1)*IF(Upgrades!$T$16="Local Bubble",POWER(Upgrades!$U$16,H54),1)*IF(Upgrades!$T$17="Local Bubble",POWER(Upgrades!$U$17,I54),1)*IF(Upgrades!$T$18="Local Bubble",POWER(Upgrades!$U$18,J54),1)*IF(Upgrades!$T$19="Local Bubble",POWER(Upgrades!$U$19,K54),1)*IF(Upgrades!$T$20="Local Bubble",POWER(Upgrades!$U$20,L54),1)*IF(Upgrades!$T$21="Local Bubble",POWER(Upgrades!$U$21,M54),1))+(IF(G54=0,0,(Upgrades!$M$15+G54*Upgrades!$N$15)*POWER(Upgrades!$O$15,G54)))*(IF(Upgrades!$T$13="Microlensing",POWER(Upgrades!$U$13,E54),1)*IF(Upgrades!$T$14="Microlensing",POWER(Upgrades!$U$14,F54),1)*IF(Upgrades!$T$16="Microlensing",POWER(Upgrades!$U$16,H54),1)*IF(Upgrades!$T$17="Microlensing",POWER(Upgrades!$U$17,I54),1)*IF(Upgrades!$T$18="Microlensing",POWER(Upgrades!$U$18,J54),1)*IF(Upgrades!$T$19="Microlensing",POWER(Upgrades!$U$19,K54),1)*IF(Upgrades!$T$20="Microlensing",POWER(Upgrades!$U$20,L54),1)*IF(Upgrades!$T$21="Microlensing",POWER(Upgrades!$U$21,M54),1))+(IF(H54=0,0,(Upgrades!$M$16+H54*Upgrades!$N$16)*POWER(Upgrades!$O$16,H54)))*(IF(Upgrades!$T$13="Roche Lobe Overflow",POWER(Upgrades!$U$13,E54),1)*IF(Upgrades!$T$14="Roche Lobe Overflow",POWER(Upgrades!$U$14,F54),1)*IF(Upgrades!$T$15="Roche Lobe Overflow",POWER(Upgrades!$U$15,G54),1)*IF(Upgrades!$T$17="Roche Lobe Overflow",POWER(Upgrades!$U$17,I54),1)*IF(Upgrades!$T$18="Roche Lobe Overflow",POWER(Upgrades!$U$18,J54),1)*IF(Upgrades!$T$19="Roche Lobe Overflow",POWER(Upgrades!$U$19,K54),1)*IF(Upgrades!$T$20="Roche Lobe Overflow",POWER(Upgrades!$U$20,L54),1)*IF(Upgrades!$T$21="Roche Lobe Overflow",POWER(Upgrades!$U$21,M54),1))+(IF(I54=0,0,(Upgrades!$M$17+I54*Upgrades!$N$17)*POWER(Upgrades!$O$17,I54)))*(IF(Upgrades!$T$13="Brown Dwarf",POWER(Upgrades!$U$13,E54),1)*IF(Upgrades!$T$14="Brown Dwarf",POWER(Upgrades!$U$14,F54),1)*IF(Upgrades!$T$15="Brown Dwarf",POWER(Upgrades!$U$15,G54),1)*IF(Upgrades!$T$16="Brown Dwarf",POWER(Upgrades!$U$16,H54),1)*IF(Upgrades!$T$18="Brown Dwarf",POWER(Upgrades!$U$18,J54),1)*IF(Upgrades!$T$19="Brown Dwarf",POWER(Upgrades!$U$19,K54),1)*IF(Upgrades!$T$20="Brown Dwarf",POWER(Upgrades!$U$20,L54),1)*IF(Upgrades!$T$21="Brown Dwarf",POWER(Upgrades!$U$21,M54),1))+(IF(J54=0,0,(Upgrades!$M$18+J54*Upgrades!$N$18)*POWER(Upgrades!$O$18,J54)))*(IF(Upgrades!$T$13="Binary Partner",POWER(Upgrades!$U$13,E54),1)*IF(Upgrades!$T$14="Binary Partner",POWER(Upgrades!$U$14,F54),1)*IF(Upgrades!$T$15="Binary Partner",POWER(Upgrades!$U$15,G54),1)*IF(Upgrades!$T$16="Binary Partner",POWER(Upgrades!$U$16,H54),1)*IF(Upgrades!$T$17="Binary Partner",POWER(Upgrades!$U$17,I54),1)*IF(Upgrades!$T$19="Binary Partner",POWER(Upgrades!$U$19,K54),1)*IF(Upgrades!$T$20="Binary Partner",POWER(Upgrades!$U$20,L54),1)*IF(Upgrades!$T$21="Binary Partner",POWER(Upgrades!$U$21,M54),1))+(IF(K54=0,0,(Upgrades!$M$19+K54*Upgrades!$N$19)*POWER(Upgrades!$O$19,K54)))*(IF(Upgrades!$T$13="Peculiar Velocity",POWER(Upgrades!$U$13,E54),1)*IF(Upgrades!$T$14="Peculiar Velocity",POWER(Upgrades!$U$14,F54),1)*IF(Upgrades!$T$15="Peculiar Velocity",POWER(Upgrades!$U$15,G54),1)*IF(Upgrades!$T$16="Peculiar Velocity",POWER(Upgrades!$U$16,H54),1)*IF(Upgrades!$T$17="Peculiar Velocity",POWER(Upgrades!$U$17,I54),1)*IF(Upgrades!$T$18="Peculiar Velocity",POWER(Upgrades!$U$18,J54),1)*IF(Upgrades!$T$20="Peculiar Velocity",POWER(Upgrades!$U$20,L54),1)*IF(Upgrades!$T$21="Peculiar Velocity",POWER(Upgrades!$U$21,M54),1))+(IF(L54=0,0,(Upgrades!$M$20+L54*Upgrades!$N$20)*POWER(Upgrades!$O$20,L54)))*(IF(Upgrades!$T$13="Open Cluster",POWER(Upgrades!$U$13,E54),1)*IF(Upgrades!$T$14="Open Cluster",POWER(Upgrades!$U$14,F54),1)*IF(Upgrades!$T$15="Open Cluster",POWER(Upgrades!$U$15,G54),1)*IF(Upgrades!$T$16="Open Cluster",POWER(Upgrades!$U$16,H54),1)*IF(Upgrades!$T$17="Open Cluster",POWER(Upgrades!$U$17,I54),1)*IF(Upgrades!$T$18="Open Cluster",POWER(Upgrades!$U$18,J54),1)*IF(Upgrades!$T$19="Open Cluster",POWER(Upgrades!$U$19,K54),1)*IF(Upgrades!$T$21="Open Cluster",POWER(Upgrades!$U$21,M54),1))+(IF(M54=0,0,(Upgrades!$M$21+M54*Upgrades!$N$21)*POWER(Upgrades!$O$21,M54)))*(IF(Upgrades!$T$13="Moving Group",POWER(Upgrades!$U$13,E54),1)*IF(Upgrades!$T$14="Moving Group",POWER(Upgrades!$U$14,F54),1)*IF(Upgrades!$T$15="Moving Group",POWER(Upgrades!$U$15,G54),1)*IF(Upgrades!$T$16="Moving Group",POWER(Upgrades!$U$16,H54),1)*IF(Upgrades!$T$17="Moving Group",POWER(Upgrades!$U$17,I54),1)*IF(Upgrades!$T$18="Moving Group",POWER(Upgrades!$U$18,J54),1)*IF(Upgrades!$T$19="Moving Group",POWER(Upgrades!$U$19,K54),1)*IF(Upgrades!$T$20="Moving Group",POWER(Upgrades!$U$20,L54),1)))*POWER(Upgrades!$R$13,E54)*POWER(Upgrades!$R$14,F54)*POWER(Upgrades!$R$15,G54)*POWER(Upgrades!$R$16,H54)*POWER(Upgrades!$R$17,I54)*POWER(Upgrades!$R$18,J54)*POWER(Upgrades!$R$19,K54)*POWER(Upgrades!$R$20,L54)*POWER(Upgrades!$R$21,M54)*$H$6+$E$6</f>
        <v/>
      </c>
      <c r="R54" s="27">
        <f>IF(N54=1,0,O54*Parameters!$B$10/60*Parameters!$B$11*10)</f>
        <v/>
      </c>
      <c r="S54" s="27">
        <f>IF(N54=1,0,Q54*O54*10)</f>
        <v/>
      </c>
      <c r="T54" s="27">
        <f>IF(N54=1,0,R54+S54+P54*10)</f>
        <v/>
      </c>
      <c r="U54" s="33">
        <f>BE54</f>
        <v/>
      </c>
      <c r="V54" s="22">
        <f>IF(U54="",0,IF(U54="transition",0,IF(U54="SK",AK54,IF(U54="LB",AL54,IF(U54="ML",AM54,IF(U54="RLO",AN54,IF(U54="BD",AO54,IF(U54="BiP",AP54,IF(U54="PV",AQ54,IF(U54="OC",AR54,IF(U54="MG",AS54,0))))))))))</f>
        <v/>
      </c>
      <c r="W54" s="27">
        <f>IF(U54="BiP",Upgrades!$F$18,IF(U54="PV",Upgrades!$F$19,IF(U54="OC",Upgrades!$F$20,IF(U54="MG",Upgrades!$F$21,IF(U54="transition",-Parameters!$B$18*Parameters!$B$19,0)))))</f>
        <v/>
      </c>
      <c r="X54" s="22">
        <f>C54+T54-V54</f>
        <v/>
      </c>
      <c r="Y54" s="30">
        <f>O54*Parameters!$B$10/60*Parameters!$B$11+Q54*O54+P54</f>
        <v/>
      </c>
      <c r="Z54" s="34">
        <f>IF(U54="transition","→ Tier 3 (Galactic Arm)",IF(U54="MG","Moving Group — pocket drifts together",IF(U54="OC","Open Cluster acquired",IF(U54="PV","Peculiar Velocity — passive multiplier active",IF(U54="BiP","Binary Partner — pair bond formed",IF(AND(AU54=1,N54=0,AT54&lt;&gt;1),"Cohesion ready (waiting on completionists)","")))))) </f>
        <v/>
      </c>
      <c r="AA54" s="27">
        <f>(IF(E54=0,0,(Upgrades!$G$13+E54*Upgrades!$H$13)*POWER(Upgrades!$I$13,E54)))*(IF(Upgrades!$T$14="Stellar Kinematics",POWER(Upgrades!$U$14,F54),1)*IF(Upgrades!$T$15="Stellar Kinematics",POWER(Upgrades!$U$15,G54),1)*IF(Upgrades!$T$16="Stellar Kinematics",POWER(Upgrades!$U$16,H54),1)*IF(Upgrades!$T$17="Stellar Kinematics",POWER(Upgrades!$U$17,I54),1)*IF(Upgrades!$T$18="Stellar Kinematics",POWER(Upgrades!$U$18,J54),1)*IF(Upgrades!$T$19="Stellar Kinematics",POWER(Upgrades!$U$19,K54),1)*IF(Upgrades!$T$20="Stellar Kinematics",POWER(Upgrades!$U$20,L54),1)*IF(Upgrades!$T$21="Stellar Kinematics",POWER(Upgrades!$U$21,M54),1))*POWER(Upgrades!$P$13,E54)*POWER(Upgrades!$P$14,F54)*POWER(Upgrades!$P$15,G54)*POWER(Upgrades!$P$16,H54)*POWER(Upgrades!$P$17,I54)*POWER(Upgrades!$P$18,J54)*POWER(Upgrades!$P$19,K54)*POWER(Upgrades!$P$20,L54)*POWER(Upgrades!$P$21,M54)*$F$6*60</f>
        <v/>
      </c>
      <c r="AB54" s="27">
        <f>(IF(F54=0,0,(Upgrades!$G$14+F54*Upgrades!$H$14)*POWER(Upgrades!$I$14,F54)))*(IF(Upgrades!$T$13="Local Bubble",POWER(Upgrades!$U$13,E54),1)*IF(Upgrades!$T$15="Local Bubble",POWER(Upgrades!$U$15,G54),1)*IF(Upgrades!$T$16="Local Bubble",POWER(Upgrades!$U$16,H54),1)*IF(Upgrades!$T$17="Local Bubble",POWER(Upgrades!$U$17,I54),1)*IF(Upgrades!$T$18="Local Bubble",POWER(Upgrades!$U$18,J54),1)*IF(Upgrades!$T$19="Local Bubble",POWER(Upgrades!$U$19,K54),1)*IF(Upgrades!$T$20="Local Bubble",POWER(Upgrades!$U$20,L54),1)*IF(Upgrades!$T$21="Local Bubble",POWER(Upgrades!$U$21,M54),1))*POWER(Upgrades!$P$13,E54)*POWER(Upgrades!$P$14,F54)*POWER(Upgrades!$P$15,G54)*POWER(Upgrades!$P$16,H54)*POWER(Upgrades!$P$17,I54)*POWER(Upgrades!$P$18,J54)*POWER(Upgrades!$P$19,K54)*POWER(Upgrades!$P$20,L54)*POWER(Upgrades!$P$21,M54)*$F$6*60</f>
        <v/>
      </c>
      <c r="AC54" s="27">
        <f>(IF(G54=0,0,(Upgrades!$J$15+G54*Upgrades!$K$15)*POWER(Upgrades!$L$15,G54)))*(IF(Upgrades!$T$13="Microlensing",POWER(Upgrades!$U$13,E54),1)*IF(Upgrades!$T$14="Microlensing",POWER(Upgrades!$U$14,F54),1)*IF(Upgrades!$T$16="Microlensing",POWER(Upgrades!$U$16,H54),1)*IF(Upgrades!$T$17="Microlensing",POWER(Upgrades!$U$17,I54),1)*IF(Upgrades!$T$18="Microlensing",POWER(Upgrades!$U$18,J54),1)*IF(Upgrades!$T$19="Microlensing",POWER(Upgrades!$U$19,K54),1)*IF(Upgrades!$T$20="Microlensing",POWER(Upgrades!$U$20,L54),1)*IF(Upgrades!$T$21="Microlensing",POWER(Upgrades!$U$21,M54),1))*POWER(Upgrades!$Q$13,E54)*POWER(Upgrades!$Q$14,F54)*POWER(Upgrades!$Q$15,G54)*POWER(Upgrades!$Q$16,H54)*POWER(Upgrades!$Q$17,I54)*POWER(Upgrades!$Q$18,J54)*POWER(Upgrades!$Q$19,K54)*POWER(Upgrades!$Q$20,L54)*POWER(Upgrades!$Q$21,M54)*$G$6*(Parameters!$B$10*Parameters!$B$11+Q54*60)</f>
        <v/>
      </c>
      <c r="AD54" s="27">
        <f>(IF(H54=0,0,(Upgrades!$M$16+H54*Upgrades!$N$16)*POWER(Upgrades!$O$16,H54)))*(IF(Upgrades!$T$13="Roche Lobe Overflow",POWER(Upgrades!$U$13,E54),1)*IF(Upgrades!$T$14="Roche Lobe Overflow",POWER(Upgrades!$U$14,F54),1)*IF(Upgrades!$T$15="Roche Lobe Overflow",POWER(Upgrades!$U$15,G54),1)*IF(Upgrades!$T$17="Roche Lobe Overflow",POWER(Upgrades!$U$17,I54),1)*IF(Upgrades!$T$18="Roche Lobe Overflow",POWER(Upgrades!$U$18,J54),1)*IF(Upgrades!$T$19="Roche Lobe Overflow",POWER(Upgrades!$U$19,K54),1)*IF(Upgrades!$T$20="Roche Lobe Overflow",POWER(Upgrades!$U$20,L54),1)*IF(Upgrades!$T$21="Roche Lobe Overflow",POWER(Upgrades!$U$21,M54),1))*POWER(Upgrades!$R$13,E54)*POWER(Upgrades!$R$14,F54)*POWER(Upgrades!$R$15,G54)*POWER(Upgrades!$R$16,H54)*POWER(Upgrades!$R$17,I54)*POWER(Upgrades!$R$18,J54)*POWER(Upgrades!$R$19,K54)*POWER(Upgrades!$R$20,L54)*POWER(Upgrades!$R$21,M54)*$H$6*O54*60</f>
        <v/>
      </c>
      <c r="AE54" s="27">
        <f>(IF(I54=0,0,(Upgrades!$G$17+I54*Upgrades!$H$17)*POWER(Upgrades!$I$17,I54)))*(IF(Upgrades!$T$13="Brown Dwarf",POWER(Upgrades!$U$13,E54),1)*IF(Upgrades!$T$14="Brown Dwarf",POWER(Upgrades!$U$14,F54),1)*IF(Upgrades!$T$15="Brown Dwarf",POWER(Upgrades!$U$15,G54),1)*IF(Upgrades!$T$16="Brown Dwarf",POWER(Upgrades!$U$16,H54),1)*IF(Upgrades!$T$18="Brown Dwarf",POWER(Upgrades!$U$18,J54),1)*IF(Upgrades!$T$19="Brown Dwarf",POWER(Upgrades!$U$19,K54),1)*IF(Upgrades!$T$20="Brown Dwarf",POWER(Upgrades!$U$20,L54),1)*IF(Upgrades!$T$21="Brown Dwarf",POWER(Upgrades!$U$21,M54),1))*POWER(Upgrades!$P$13,E54)*POWER(Upgrades!$P$14,F54)*POWER(Upgrades!$P$15,G54)*POWER(Upgrades!$P$16,H54)*POWER(Upgrades!$P$17,I54)*POWER(Upgrades!$P$18,J54)*POWER(Upgrades!$P$19,K54)*POWER(Upgrades!$P$20,L54)*POWER(Upgrades!$P$21,M54)*$F$6*60</f>
        <v/>
      </c>
      <c r="AF54" s="27" t="n">
        <v>0</v>
      </c>
      <c r="AG54" s="27" t="n">
        <v>0</v>
      </c>
      <c r="AH54" s="27" t="n">
        <v>0</v>
      </c>
      <c r="AI54" s="27">
        <f>(IF(M54=0,0,(Upgrades!$G$21+M54*Upgrades!$H$21)*POWER(Upgrades!$I$21,M54)))*(IF(Upgrades!$T$13="Moving Group",POWER(Upgrades!$U$13,E54),1)*IF(Upgrades!$T$14="Moving Group",POWER(Upgrades!$U$14,F54),1)*IF(Upgrades!$T$15="Moving Group",POWER(Upgrades!$U$15,G54),1)*IF(Upgrades!$T$16="Moving Group",POWER(Upgrades!$U$16,H54),1)*IF(Upgrades!$T$17="Moving Group",POWER(Upgrades!$U$17,I54),1)*IF(Upgrades!$T$18="Moving Group",POWER(Upgrades!$U$18,J54),1)*IF(Upgrades!$T$19="Moving Group",POWER(Upgrades!$U$19,K54),1)*IF(Upgrades!$T$20="Moving Group",POWER(Upgrades!$U$20,L54),1))*POWER(Upgrades!$P$13,E54)*POWER(Upgrades!$P$14,F54)*POWER(Upgrades!$P$15,G54)*POWER(Upgrades!$P$16,H54)*POWER(Upgrades!$P$17,I54)*POWER(Upgrades!$P$18,J54)*POWER(Upgrades!$P$19,K54)*POWER(Upgrades!$P$20,L54)*POWER(Upgrades!$P$21,M54)*$F$6*60</f>
        <v/>
      </c>
      <c r="AJ54" s="27">
        <f>$C$6*60</f>
        <v/>
      </c>
      <c r="AK54" s="22">
        <f>IF(E54&gt;=Upgrades!$E$13,"",Upgrades!$C$13*POWER(Upgrades!$D$13,E54))</f>
        <v/>
      </c>
      <c r="AL54" s="22">
        <f>IF(F54&gt;=Upgrades!$E$14,"",Upgrades!$C$14*POWER(Upgrades!$D$14,F54))</f>
        <v/>
      </c>
      <c r="AM54" s="22">
        <f>IF(G54&gt;=Upgrades!$E$15,"",Upgrades!$C$15*POWER(Upgrades!$D$15,G54))</f>
        <v/>
      </c>
      <c r="AN54" s="22">
        <f>IF(H54&gt;=Upgrades!$E$16,"",Upgrades!$C$16*POWER(Upgrades!$D$16,H54))</f>
        <v/>
      </c>
      <c r="AO54" s="22">
        <f>IF(I54&gt;=Upgrades!$E$17,"",Upgrades!$C$17*POWER(Upgrades!$D$17,I54))</f>
        <v/>
      </c>
      <c r="AP54" s="22">
        <f>IF(J54&gt;=Upgrades!$E$18,"",Upgrades!$C$18*POWER(Upgrades!$D$18,J54))</f>
        <v/>
      </c>
      <c r="AQ54" s="22">
        <f>IF(K54&gt;=Upgrades!$E$19,"",Upgrades!$C$19*POWER(Upgrades!$D$19,K54))</f>
        <v/>
      </c>
      <c r="AR54" s="22">
        <f>IF(L54&gt;=Upgrades!$E$20,"",Upgrades!$C$20*POWER(Upgrades!$D$20,L54))</f>
        <v/>
      </c>
      <c r="AS54" s="22">
        <f>IF(M54&gt;=Upgrades!$E$21,"",Upgrades!$C$21*POWER(Upgrades!$D$21,M54))</f>
        <v/>
      </c>
      <c r="AT54" s="26">
        <f>IF(AND(D54&gt;=Parameters!$B$18*Parameters!$B$19,(I54&gt;=Upgrades!$E$17)*(M54&gt;=Upgrades!$E$21)=1,N54=0),1,"")</f>
        <v/>
      </c>
      <c r="AU54" s="26">
        <f>IF(AND(D54&gt;=Parameters!$B$18*Parameters!$B$19,N54=0),1,"")</f>
        <v/>
      </c>
      <c r="AV54" s="22">
        <f>MIN(IF(ISNUMBER(AP54),AP54,9E15),IF(ISNUMBER(AQ54),AQ54,9E15),IF(ISNUMBER(AR54),AR54,9E15),IF(ISNUMBER(AS54),AS54,9E15))</f>
        <v/>
      </c>
      <c r="AW54" s="22">
        <f>MIN(IF(ISNUMBER(AK54),AK54,9E15),IF(ISNUMBER(AL54),AL54,9E15),IF(ISNUMBER(AM54),AM54,9E15),IF(ISNUMBER(AN54),AN54,9E15),IF(ISNUMBER(AO54),AO54,9E15))</f>
        <v/>
      </c>
      <c r="AX54" s="29">
        <f>IF(BD54&gt;Parameters!$B$21*(MAX(IF(AND(NOT(AND(AU54=1,AT54&lt;&gt;1)),ISNUMBER(AK54),AK54&lt;=(C54+T54)),AY54,0),IF(AND(NOT(AND(AU54=1,AT54&lt;&gt;1)),ISNUMBER(AL54),AL54&lt;=(C54+T54)),AZ54,0),IF(AND(NOT(AND(AU54=1,AT54&lt;&gt;1)),ISNUMBER(AM54),AM54&lt;=(C54+T54)),BA54,0),IF(AND(NOT(AND(AU54=1,AT54&lt;&gt;1)),ISNUMBER(AN54),AN54&lt;=(C54+T54)),BB54,0),IF(AND(ISNUMBER(AO54),AO54&lt;=(C54+T54)),BC54,0))),TRUE,FALSE)</f>
        <v/>
      </c>
      <c r="AY54" s="32">
        <f>IFERROR(Upgrades!$H$13*(POWER(Upgrades!$P$13,E54)*POWER(Upgrades!$P$14,F54)*POWER(Upgrades!$P$15,G54)*POWER(Upgrades!$P$16,H54)*POWER(Upgrades!$P$17,I54)*POWER(Upgrades!$P$18,J54)*POWER(Upgrades!$P$19,K54)*POWER(Upgrades!$P$20,L54)*POWER(Upgrades!$P$21,M54))*(IF(Upgrades!$T$14="Stellar Kinematics",POWER(Upgrades!$U$14,F54),1)*IF(Upgrades!$T$15="Stellar Kinematics",POWER(Upgrades!$U$15,G54),1)*IF(Upgrades!$T$16="Stellar Kinematics",POWER(Upgrades!$U$16,H54),1)*IF(Upgrades!$T$17="Stellar Kinematics",POWER(Upgrades!$U$17,I54),1)*IF(Upgrades!$T$18="Stellar Kinematics",POWER(Upgrades!$U$18,J54),1)*IF(Upgrades!$T$19="Stellar Kinematics",POWER(Upgrades!$U$19,K54),1)*IF(Upgrades!$T$20="Stellar Kinematics",POWER(Upgrades!$U$20,L54),1)*IF(Upgrades!$T$21="Stellar Kinematics",POWER(Upgrades!$U$21,M54),1))*$F$6/AK54,0)</f>
        <v/>
      </c>
      <c r="AZ54" s="32">
        <f>IFERROR(Upgrades!$H$14*(POWER(Upgrades!$P$13,E54)*POWER(Upgrades!$P$14,F54)*POWER(Upgrades!$P$15,G54)*POWER(Upgrades!$P$16,H54)*POWER(Upgrades!$P$17,I54)*POWER(Upgrades!$P$18,J54)*POWER(Upgrades!$P$19,K54)*POWER(Upgrades!$P$20,L54)*POWER(Upgrades!$P$21,M54))*(IF(Upgrades!$T$13="Local Bubble",POWER(Upgrades!$U$13,E54),1)*IF(Upgrades!$T$15="Local Bubble",POWER(Upgrades!$U$15,G54),1)*IF(Upgrades!$T$16="Local Bubble",POWER(Upgrades!$U$16,H54),1)*IF(Upgrades!$T$17="Local Bubble",POWER(Upgrades!$U$17,I54),1)*IF(Upgrades!$T$18="Local Bubble",POWER(Upgrades!$U$18,J54),1)*IF(Upgrades!$T$19="Local Bubble",POWER(Upgrades!$U$19,K54),1)*IF(Upgrades!$T$20="Local Bubble",POWER(Upgrades!$U$20,L54),1)*IF(Upgrades!$T$21="Local Bubble",POWER(Upgrades!$U$21,M54),1))*$F$6/AL54,0)</f>
        <v/>
      </c>
      <c r="BA54" s="32">
        <f>IFERROR(Upgrades!$K$15*(POWER(Upgrades!$Q$13,E54)*POWER(Upgrades!$Q$14,F54)*POWER(Upgrades!$Q$15,G54)*POWER(Upgrades!$Q$16,H54)*POWER(Upgrades!$Q$17,I54)*POWER(Upgrades!$Q$18,J54)*POWER(Upgrades!$Q$19,K54)*POWER(Upgrades!$Q$20,L54)*POWER(Upgrades!$Q$21,M54))*(IF(Upgrades!$T$13="Microlensing",POWER(Upgrades!$U$13,E54),1)*IF(Upgrades!$T$14="Microlensing",POWER(Upgrades!$U$14,F54),1)*IF(Upgrades!$T$16="Microlensing",POWER(Upgrades!$U$16,H54),1)*IF(Upgrades!$T$17="Microlensing",POWER(Upgrades!$U$17,I54),1)*IF(Upgrades!$T$18="Microlensing",POWER(Upgrades!$U$18,J54),1)*IF(Upgrades!$T$19="Microlensing",POWER(Upgrades!$U$19,K54),1)*IF(Upgrades!$T$20="Microlensing",POWER(Upgrades!$U$20,L54),1)*IF(Upgrades!$T$21="Microlensing",POWER(Upgrades!$U$21,M54),1))*$G$6*(Parameters!$B$10/60*Parameters!$B$11+Q54)/AM54,0)</f>
        <v/>
      </c>
      <c r="BB54" s="32">
        <f>IFERROR((Upgrades!$N$16*(POWER(Upgrades!$R$13,E54)*POWER(Upgrades!$R$14,F54)*POWER(Upgrades!$R$15,G54)*POWER(Upgrades!$R$16,H54)*POWER(Upgrades!$R$17,I54)*POWER(Upgrades!$R$18,J54)*POWER(Upgrades!$R$19,K54)*POWER(Upgrades!$R$20,L54)*POWER(Upgrades!$R$21,M54))*(IF(Upgrades!$T$13="Roche Lobe Overflow",POWER(Upgrades!$U$13,E54),1)*IF(Upgrades!$T$14="Roche Lobe Overflow",POWER(Upgrades!$U$14,F54),1)*IF(Upgrades!$T$15="Roche Lobe Overflow",POWER(Upgrades!$U$15,G54),1)*IF(Upgrades!$T$17="Roche Lobe Overflow",POWER(Upgrades!$U$17,I54),1)*IF(Upgrades!$T$18="Roche Lobe Overflow",POWER(Upgrades!$U$18,J54),1)*IF(Upgrades!$T$19="Roche Lobe Overflow",POWER(Upgrades!$U$19,K54),1)*IF(Upgrades!$T$20="Roche Lobe Overflow",POWER(Upgrades!$U$20,L54),1)*IF(Upgrades!$T$21="Roche Lobe Overflow",POWER(Upgrades!$U$21,M54),1))*$H$6*O54+((IF(F54=0,0,(Upgrades!$G$14+F54*Upgrades!$H$14)*POWER(Upgrades!$I$14,F54)))*(IF(Upgrades!$T$13="Local Bubble",POWER(Upgrades!$U$13,E54),1)*IF(Upgrades!$T$15="Local Bubble",POWER(Upgrades!$U$15,G54),1)*IF(Upgrades!$T$16="Local Bubble",POWER(Upgrades!$U$16,H54),1)*IF(Upgrades!$T$17="Local Bubble",POWER(Upgrades!$U$17,I54),1)*IF(Upgrades!$T$18="Local Bubble",POWER(Upgrades!$U$18,J54),1)*IF(Upgrades!$T$19="Local Bubble",POWER(Upgrades!$U$19,K54),1)*IF(Upgrades!$T$20="Local Bubble",POWER(Upgrades!$U$20,L54),1)*IF(Upgrades!$T$21="Local Bubble",POWER(Upgrades!$U$21,M54),1))*POWER(Upgrades!$P$13,E54)*POWER(Upgrades!$P$14,F54)*POWER(Upgrades!$P$15,G54)*POWER(Upgrades!$P$16,H54)*POWER(Upgrades!$P$17,I54)*POWER(Upgrades!$P$18,J54)*POWER(Upgrades!$P$19,K54)*POWER(Upgrades!$P$20,L54)*POWER(Upgrades!$P$21,M54)*$F$6)*0.05)/AN54,0)</f>
        <v/>
      </c>
      <c r="BC54" s="32">
        <f>IFERROR((Upgrades!$H$17*(POWER(Upgrades!$P$13,E54)*POWER(Upgrades!$P$14,F54)*POWER(Upgrades!$P$15,G54)*POWER(Upgrades!$P$16,H54)*POWER(Upgrades!$P$17,I54)*POWER(Upgrades!$P$18,J54)*POWER(Upgrades!$P$19,K54)*POWER(Upgrades!$P$20,L54)*POWER(Upgrades!$P$21,M54))*(IF(Upgrades!$T$13="Brown Dwarf",POWER(Upgrades!$U$13,E54),1)*IF(Upgrades!$T$14="Brown Dwarf",POWER(Upgrades!$U$14,F54),1)*IF(Upgrades!$T$15="Brown Dwarf",POWER(Upgrades!$U$15,G54),1)*IF(Upgrades!$T$16="Brown Dwarf",POWER(Upgrades!$U$16,H54),1)*IF(Upgrades!$T$18="Brown Dwarf",POWER(Upgrades!$U$18,J54),1)*IF(Upgrades!$T$19="Brown Dwarf",POWER(Upgrades!$U$19,K54),1)*IF(Upgrades!$T$20="Brown Dwarf",POWER(Upgrades!$U$20,L54),1)*IF(Upgrades!$T$21="Brown Dwarf",POWER(Upgrades!$U$21,M54),1))*$F$6+(((IF(H54=0,0,(Upgrades!$M$16+H54*Upgrades!$N$16)*POWER(Upgrades!$O$16,H54)))*(IF(Upgrades!$T$13="Roche Lobe Overflow",POWER(Upgrades!$U$13,E54),1)*IF(Upgrades!$T$14="Roche Lobe Overflow",POWER(Upgrades!$U$14,F54),1)*IF(Upgrades!$T$15="Roche Lobe Overflow",POWER(Upgrades!$U$15,G54),1)*IF(Upgrades!$T$17="Roche Lobe Overflow",POWER(Upgrades!$U$17,I54),1)*IF(Upgrades!$T$18="Roche Lobe Overflow",POWER(Upgrades!$U$18,J54),1)*IF(Upgrades!$T$19="Roche Lobe Overflow",POWER(Upgrades!$U$19,K54),1)*IF(Upgrades!$T$20="Roche Lobe Overflow",POWER(Upgrades!$U$20,L54),1)*IF(Upgrades!$T$21="Roche Lobe Overflow",POWER(Upgrades!$U$21,M54),1))*POWER(Upgrades!$R$13,E54)*POWER(Upgrades!$R$14,F54)*POWER(Upgrades!$R$15,G54)*POWER(Upgrades!$R$16,H54)*POWER(Upgrades!$R$17,I54)*POWER(Upgrades!$R$18,J54)*POWER(Upgrades!$R$19,K54)*POWER(Upgrades!$R$20,L54)*POWER(Upgrades!$R$21,M54)*$H$6)*O54)*0.10)/AO54,0)</f>
        <v/>
      </c>
      <c r="BD54" s="32">
        <f>MAX(IF(J54&gt;0,0,IFERROR(0.5*((IF(G54=0,0,(Upgrades!$J$15+G54*Upgrades!$K$15)*POWER(Upgrades!$L$15,G54)))*(IF(Upgrades!$T$13="Microlensing",POWER(Upgrades!$U$13,E54),1)*IF(Upgrades!$T$14="Microlensing",POWER(Upgrades!$U$14,F54),1)*IF(Upgrades!$T$16="Microlensing",POWER(Upgrades!$U$16,H54),1)*IF(Upgrades!$T$17="Microlensing",POWER(Upgrades!$U$17,I54),1)*IF(Upgrades!$T$18="Microlensing",POWER(Upgrades!$U$18,J54),1)*IF(Upgrades!$T$19="Microlensing",POWER(Upgrades!$U$19,K54),1)*IF(Upgrades!$T$20="Microlensing",POWER(Upgrades!$U$20,L54),1)*IF(Upgrades!$T$21="Microlensing",POWER(Upgrades!$U$21,M54),1))*(POWER(Upgrades!$Q$13,E54)*POWER(Upgrades!$Q$14,F54)*POWER(Upgrades!$Q$15,G54)*POWER(Upgrades!$Q$16,H54)*POWER(Upgrades!$Q$17,I54)*POWER(Upgrades!$Q$18,J54)*POWER(Upgrades!$Q$19,K54)*POWER(Upgrades!$Q$20,L54)*POWER(Upgrades!$Q$21,M54))*$G$6*(Parameters!$B$10/60*Parameters!$B$11+Q54))/Upgrades!$C$18,0)),IF(K54&gt;0,0,IFERROR(0.30*P54/Upgrades!$C$19,0)),IF(L54&gt;0,0,IFERROR(0.0001/Upgrades!$C$20,0)),IF(M54&gt;0,0,IFERROR((6.0*(POWER(Upgrades!$P$13,E54)*POWER(Upgrades!$P$14,F54)*POWER(Upgrades!$P$15,G54)*POWER(Upgrades!$P$16,H54)*POWER(Upgrades!$P$17,I54)*POWER(Upgrades!$P$18,J54)*POWER(Upgrades!$P$19,K54)*POWER(Upgrades!$P$20,L54)*POWER(Upgrades!$P$21,M54))*$F$6+0.20*O54*(Parameters!$B$10/60*Parameters!$B$11+Q54))/Upgrades!$C$21,0)),IF(AND(ISNUMBER(AK54),AK54&gt;(C54+T54)),AY54,0),IF(AND(ISNUMBER(AL54),AL54&gt;(C54+T54)),AZ54,0),IF(AND(ISNUMBER(AM54),AM54&gt;(C54+T54)),BA54,0),IF(AND(ISNUMBER(AN54),AN54&gt;(C54+T54)),BB54,0),IF(AND(ISNUMBER(AO54),AO54&gt;(C54+T54)),BC54,0))</f>
        <v/>
      </c>
      <c r="BE54" s="29">
        <f>IF(AT54=1,"transition",IF(MIN(IF(AND(J54=0,ISNUMBER(AP54),AP54&lt;=(C54+T54)),AP54,9E15),IF(AND(K54=0,ISNUMBER(AQ54),AQ54&lt;=(C54+T54)),AQ54,9E15),IF(AND(L54=0,ISNUMBER(AR54),AR54&lt;=(C54+T54)),AR54,9E15),IF(AND(M54=0,ISNUMBER(AS54),AS54&lt;=(C54+T54)),AS54,9E15))&lt;9E15,IF(AND(AND(J54=0,ISNUMBER(AP54),AP54&lt;=(C54+T54)),AP54=MIN(IF(AND(J54=0,ISNUMBER(AP54),AP54&lt;=(C54+T54)),AP54,9E15),IF(AND(K54=0,ISNUMBER(AQ54),AQ54&lt;=(C54+T54)),AQ54,9E15),IF(AND(L54=0,ISNUMBER(AR54),AR54&lt;=(C54+T54)),AR54,9E15),IF(AND(M54=0,ISNUMBER(AS54),AS54&lt;=(C54+T54)),AS54,9E15))),"BiP",IF(AND(AND(K54=0,ISNUMBER(AQ54),AQ54&lt;=(C54+T54)),AQ54=MIN(IF(AND(J54=0,ISNUMBER(AP54),AP54&lt;=(C54+T54)),AP54,9E15),IF(AND(K54=0,ISNUMBER(AQ54),AQ54&lt;=(C54+T54)),AQ54,9E15),IF(AND(L54=0,ISNUMBER(AR54),AR54&lt;=(C54+T54)),AR54,9E15),IF(AND(M54=0,ISNUMBER(AS54),AS54&lt;=(C54+T54)),AS54,9E15))),"PV",IF(AND(AND(L54=0,ISNUMBER(AR54),AR54&lt;=(C54+T54)),AR54=MIN(IF(AND(J54=0,ISNUMBER(AP54),AP54&lt;=(C54+T54)),AP54,9E15),IF(AND(K54=0,ISNUMBER(AQ54),AQ54&lt;=(C54+T54)),AQ54,9E15),IF(AND(L54=0,ISNUMBER(AR54),AR54&lt;=(C54+T54)),AR54,9E15),IF(AND(M54=0,ISNUMBER(AS54),AS54&lt;=(C54+T54)),AS54,9E15))),"OC","MG"))),IF(AX54=TRUE,"",IF(MAX(IF(AND(NOT(AND(AU54=1,AT54&lt;&gt;1)),ISNUMBER(AK54),AK54&lt;=(C54+T54)),AY54,0),IF(AND(NOT(AND(AU54=1,AT54&lt;&gt;1)),ISNUMBER(AL54),AL54&lt;=(C54+T54)),AZ54,0),IF(AND(NOT(AND(AU54=1,AT54&lt;&gt;1)),ISNUMBER(AM54),AM54&lt;=(C54+T54)),BA54,0),IF(AND(NOT(AND(AU54=1,AT54&lt;&gt;1)),ISNUMBER(AN54),AN54&lt;=(C54+T54)),BB54,0),IF(AND(ISNUMBER(AO54),AO54&lt;=(C54+T54)),BC54,0))&lt;=0,"",IF(AND(IF(AND(NOT(AND(AU54=1,AT54&lt;&gt;1)),ISNUMBER(AK54),AK54&lt;=(C54+T54)),AY54,0)&gt;0,IF(AND(NOT(AND(AU54=1,AT54&lt;&gt;1)),ISNUMBER(AK54),AK54&lt;=(C54+T54)),AY54,0)=MAX(IF(AND(NOT(AND(AU54=1,AT54&lt;&gt;1)),ISNUMBER(AK54),AK54&lt;=(C54+T54)),AY54,0),IF(AND(NOT(AND(AU54=1,AT54&lt;&gt;1)),ISNUMBER(AL54),AL54&lt;=(C54+T54)),AZ54,0),IF(AND(NOT(AND(AU54=1,AT54&lt;&gt;1)),ISNUMBER(AM54),AM54&lt;=(C54+T54)),BA54,0),IF(AND(NOT(AND(AU54=1,AT54&lt;&gt;1)),ISNUMBER(AN54),AN54&lt;=(C54+T54)),BB54,0),IF(AND(ISNUMBER(AO54),AO54&lt;=(C54+T54)),BC54,0))),"SK",IF(AND(IF(AND(NOT(AND(AU54=1,AT54&lt;&gt;1)),ISNUMBER(AL54),AL54&lt;=(C54+T54)),AZ54,0)&gt;0,IF(AND(NOT(AND(AU54=1,AT54&lt;&gt;1)),ISNUMBER(AL54),AL54&lt;=(C54+T54)),AZ54,0)=MAX(IF(AND(NOT(AND(AU54=1,AT54&lt;&gt;1)),ISNUMBER(AK54),AK54&lt;=(C54+T54)),AY54,0),IF(AND(NOT(AND(AU54=1,AT54&lt;&gt;1)),ISNUMBER(AL54),AL54&lt;=(C54+T54)),AZ54,0),IF(AND(NOT(AND(AU54=1,AT54&lt;&gt;1)),ISNUMBER(AM54),AM54&lt;=(C54+T54)),BA54,0),IF(AND(NOT(AND(AU54=1,AT54&lt;&gt;1)),ISNUMBER(AN54),AN54&lt;=(C54+T54)),BB54,0),IF(AND(ISNUMBER(AO54),AO54&lt;=(C54+T54)),BC54,0))),"LB",IF(AND(IF(AND(NOT(AND(AU54=1,AT54&lt;&gt;1)),ISNUMBER(AM54),AM54&lt;=(C54+T54)),BA54,0)&gt;0,IF(AND(NOT(AND(AU54=1,AT54&lt;&gt;1)),ISNUMBER(AM54),AM54&lt;=(C54+T54)),BA54,0)=MAX(IF(AND(NOT(AND(AU54=1,AT54&lt;&gt;1)),ISNUMBER(AK54),AK54&lt;=(C54+T54)),AY54,0),IF(AND(NOT(AND(AU54=1,AT54&lt;&gt;1)),ISNUMBER(AL54),AL54&lt;=(C54+T54)),AZ54,0),IF(AND(NOT(AND(AU54=1,AT54&lt;&gt;1)),ISNUMBER(AM54),AM54&lt;=(C54+T54)),BA54,0),IF(AND(NOT(AND(AU54=1,AT54&lt;&gt;1)),ISNUMBER(AN54),AN54&lt;=(C54+T54)),BB54,0),IF(AND(ISNUMBER(AO54),AO54&lt;=(C54+T54)),BC54,0))),"ML",IF(AND(IF(AND(NOT(AND(AU54=1,AT54&lt;&gt;1)),ISNUMBER(AN54),AN54&lt;=(C54+T54)),BB54,0)&gt;0,IF(AND(NOT(AND(AU54=1,AT54&lt;&gt;1)),ISNUMBER(AN54),AN54&lt;=(C54+T54)),BB54,0)=MAX(IF(AND(NOT(AND(AU54=1,AT54&lt;&gt;1)),ISNUMBER(AK54),AK54&lt;=(C54+T54)),AY54,0),IF(AND(NOT(AND(AU54=1,AT54&lt;&gt;1)),ISNUMBER(AL54),AL54&lt;=(C54+T54)),AZ54,0),IF(AND(NOT(AND(AU54=1,AT54&lt;&gt;1)),ISNUMBER(AM54),AM54&lt;=(C54+T54)),BA54,0),IF(AND(NOT(AND(AU54=1,AT54&lt;&gt;1)),ISNUMBER(AN54),AN54&lt;=(C54+T54)),BB54,0),IF(AND(ISNUMBER(AO54),AO54&lt;=(C54+T54)),BC54,0))),"RLO","BD"))))))))</f>
        <v/>
      </c>
    </row>
    <row r="55">
      <c r="A55" s="26" t="n">
        <v>44</v>
      </c>
      <c r="B55" s="27">
        <f>A55*10/60</f>
        <v/>
      </c>
      <c r="C55" s="22">
        <f>X54</f>
        <v/>
      </c>
      <c r="D55" s="27">
        <f>D54+W54</f>
        <v/>
      </c>
      <c r="E55" s="26">
        <f>E54+IF(U54="SK",1,0)</f>
        <v/>
      </c>
      <c r="F55" s="26">
        <f>F54+IF(U54="LB",1,0)</f>
        <v/>
      </c>
      <c r="G55" s="26">
        <f>G54+IF(U54="ML",1,0)</f>
        <v/>
      </c>
      <c r="H55" s="26">
        <f>H54+IF(U54="RLO",1,0)</f>
        <v/>
      </c>
      <c r="I55" s="26">
        <f>I54+IF(U54="BD",1,0)</f>
        <v/>
      </c>
      <c r="J55" s="26">
        <f>MAX(J54,IF(U54="BiP",1,0))</f>
        <v/>
      </c>
      <c r="K55" s="26">
        <f>MAX(K54,IF(U54="PV",1,0))</f>
        <v/>
      </c>
      <c r="L55" s="26">
        <f>MAX(L54,IF(U54="OC",1,0))</f>
        <v/>
      </c>
      <c r="M55" s="26">
        <f>MAX(M54,IF(U54="MG",1,0))</f>
        <v/>
      </c>
      <c r="N55" s="26">
        <f>MAX(N54,IF(U54="transition",1,0))</f>
        <v/>
      </c>
      <c r="O55" s="28">
        <f>(Parameters!$B$9+(IF(E55=0,0,(Upgrades!$J$13+E55*Upgrades!$K$13)*POWER(Upgrades!$L$13,E55)))*(IF(Upgrades!$T$14="Stellar Kinematics",POWER(Upgrades!$U$14,F55),1)*IF(Upgrades!$T$15="Stellar Kinematics",POWER(Upgrades!$U$15,G55),1)*IF(Upgrades!$T$16="Stellar Kinematics",POWER(Upgrades!$U$16,H55),1)*IF(Upgrades!$T$17="Stellar Kinematics",POWER(Upgrades!$U$17,I55),1)*IF(Upgrades!$T$18="Stellar Kinematics",POWER(Upgrades!$U$18,J55),1)*IF(Upgrades!$T$19="Stellar Kinematics",POWER(Upgrades!$U$19,K55),1)*IF(Upgrades!$T$20="Stellar Kinematics",POWER(Upgrades!$U$20,L55),1)*IF(Upgrades!$T$21="Stellar Kinematics",POWER(Upgrades!$U$21,M55),1))+(IF(F55=0,0,(Upgrades!$J$14+F55*Upgrades!$K$14)*POWER(Upgrades!$L$14,F55)))*(IF(Upgrades!$T$13="Local Bubble",POWER(Upgrades!$U$13,E55),1)*IF(Upgrades!$T$15="Local Bubble",POWER(Upgrades!$U$15,G55),1)*IF(Upgrades!$T$16="Local Bubble",POWER(Upgrades!$U$16,H55),1)*IF(Upgrades!$T$17="Local Bubble",POWER(Upgrades!$U$17,I55),1)*IF(Upgrades!$T$18="Local Bubble",POWER(Upgrades!$U$18,J55),1)*IF(Upgrades!$T$19="Local Bubble",POWER(Upgrades!$U$19,K55),1)*IF(Upgrades!$T$20="Local Bubble",POWER(Upgrades!$U$20,L55),1)*IF(Upgrades!$T$21="Local Bubble",POWER(Upgrades!$U$21,M55),1))+(IF(G55=0,0,(Upgrades!$J$15+G55*Upgrades!$K$15)*POWER(Upgrades!$L$15,G55)))*(IF(Upgrades!$T$13="Microlensing",POWER(Upgrades!$U$13,E55),1)*IF(Upgrades!$T$14="Microlensing",POWER(Upgrades!$U$14,F55),1)*IF(Upgrades!$T$16="Microlensing",POWER(Upgrades!$U$16,H55),1)*IF(Upgrades!$T$17="Microlensing",POWER(Upgrades!$U$17,I55),1)*IF(Upgrades!$T$18="Microlensing",POWER(Upgrades!$U$18,J55),1)*IF(Upgrades!$T$19="Microlensing",POWER(Upgrades!$U$19,K55),1)*IF(Upgrades!$T$20="Microlensing",POWER(Upgrades!$U$20,L55),1)*IF(Upgrades!$T$21="Microlensing",POWER(Upgrades!$U$21,M55),1))+(IF(H55=0,0,(Upgrades!$J$16+H55*Upgrades!$K$16)*POWER(Upgrades!$L$16,H55)))*(IF(Upgrades!$T$13="Roche Lobe Overflow",POWER(Upgrades!$U$13,E55),1)*IF(Upgrades!$T$14="Roche Lobe Overflow",POWER(Upgrades!$U$14,F55),1)*IF(Upgrades!$T$15="Roche Lobe Overflow",POWER(Upgrades!$U$15,G55),1)*IF(Upgrades!$T$17="Roche Lobe Overflow",POWER(Upgrades!$U$17,I55),1)*IF(Upgrades!$T$18="Roche Lobe Overflow",POWER(Upgrades!$U$18,J55),1)*IF(Upgrades!$T$19="Roche Lobe Overflow",POWER(Upgrades!$U$19,K55),1)*IF(Upgrades!$T$20="Roche Lobe Overflow",POWER(Upgrades!$U$20,L55),1)*IF(Upgrades!$T$21="Roche Lobe Overflow",POWER(Upgrades!$U$21,M55),1))+(IF(I55=0,0,(Upgrades!$J$17+I55*Upgrades!$K$17)*POWER(Upgrades!$L$17,I55)))*(IF(Upgrades!$T$13="Brown Dwarf",POWER(Upgrades!$U$13,E55),1)*IF(Upgrades!$T$14="Brown Dwarf",POWER(Upgrades!$U$14,F55),1)*IF(Upgrades!$T$15="Brown Dwarf",POWER(Upgrades!$U$15,G55),1)*IF(Upgrades!$T$16="Brown Dwarf",POWER(Upgrades!$U$16,H55),1)*IF(Upgrades!$T$18="Brown Dwarf",POWER(Upgrades!$U$18,J55),1)*IF(Upgrades!$T$19="Brown Dwarf",POWER(Upgrades!$U$19,K55),1)*IF(Upgrades!$T$20="Brown Dwarf",POWER(Upgrades!$U$20,L55),1)*IF(Upgrades!$T$21="Brown Dwarf",POWER(Upgrades!$U$21,M55),1))+(IF(J55=0,0,(Upgrades!$J$18+J55*Upgrades!$K$18)*POWER(Upgrades!$L$18,J55)))*(IF(Upgrades!$T$13="Binary Partner",POWER(Upgrades!$U$13,E55),1)*IF(Upgrades!$T$14="Binary Partner",POWER(Upgrades!$U$14,F55),1)*IF(Upgrades!$T$15="Binary Partner",POWER(Upgrades!$U$15,G55),1)*IF(Upgrades!$T$16="Binary Partner",POWER(Upgrades!$U$16,H55),1)*IF(Upgrades!$T$17="Binary Partner",POWER(Upgrades!$U$17,I55),1)*IF(Upgrades!$T$19="Binary Partner",POWER(Upgrades!$U$19,K55),1)*IF(Upgrades!$T$20="Binary Partner",POWER(Upgrades!$U$20,L55),1)*IF(Upgrades!$T$21="Binary Partner",POWER(Upgrades!$U$21,M55),1))+(IF(K55=0,0,(Upgrades!$J$19+K55*Upgrades!$K$19)*POWER(Upgrades!$L$19,K55)))*(IF(Upgrades!$T$13="Peculiar Velocity",POWER(Upgrades!$U$13,E55),1)*IF(Upgrades!$T$14="Peculiar Velocity",POWER(Upgrades!$U$14,F55),1)*IF(Upgrades!$T$15="Peculiar Velocity",POWER(Upgrades!$U$15,G55),1)*IF(Upgrades!$T$16="Peculiar Velocity",POWER(Upgrades!$U$16,H55),1)*IF(Upgrades!$T$17="Peculiar Velocity",POWER(Upgrades!$U$17,I55),1)*IF(Upgrades!$T$18="Peculiar Velocity",POWER(Upgrades!$U$18,J55),1)*IF(Upgrades!$T$20="Peculiar Velocity",POWER(Upgrades!$U$20,L55),1)*IF(Upgrades!$T$21="Peculiar Velocity",POWER(Upgrades!$U$21,M55),1))+(IF(L55=0,0,(Upgrades!$J$20+L55*Upgrades!$K$20)*POWER(Upgrades!$L$20,L55)))*(IF(Upgrades!$T$13="Open Cluster",POWER(Upgrades!$U$13,E55),1)*IF(Upgrades!$T$14="Open Cluster",POWER(Upgrades!$U$14,F55),1)*IF(Upgrades!$T$15="Open Cluster",POWER(Upgrades!$U$15,G55),1)*IF(Upgrades!$T$16="Open Cluster",POWER(Upgrades!$U$16,H55),1)*IF(Upgrades!$T$17="Open Cluster",POWER(Upgrades!$U$17,I55),1)*IF(Upgrades!$T$18="Open Cluster",POWER(Upgrades!$U$18,J55),1)*IF(Upgrades!$T$19="Open Cluster",POWER(Upgrades!$U$19,K55),1)*IF(Upgrades!$T$21="Open Cluster",POWER(Upgrades!$U$21,M55),1))+(IF(M55=0,0,(Upgrades!$J$21+M55*Upgrades!$K$21)*POWER(Upgrades!$L$21,M55)))*(IF(Upgrades!$T$13="Moving Group",POWER(Upgrades!$U$13,E55),1)*IF(Upgrades!$T$14="Moving Group",POWER(Upgrades!$U$14,F55),1)*IF(Upgrades!$T$15="Moving Group",POWER(Upgrades!$U$15,G55),1)*IF(Upgrades!$T$16="Moving Group",POWER(Upgrades!$U$16,H55),1)*IF(Upgrades!$T$17="Moving Group",POWER(Upgrades!$U$17,I55),1)*IF(Upgrades!$T$18="Moving Group",POWER(Upgrades!$U$18,J55),1)*IF(Upgrades!$T$19="Moving Group",POWER(Upgrades!$U$19,K55),1)*IF(Upgrades!$T$20="Moving Group",POWER(Upgrades!$U$20,L55),1)))*POWER(Upgrades!$Q$13,E55)*POWER(Upgrades!$Q$14,F55)*POWER(Upgrades!$Q$15,G55)*POWER(Upgrades!$Q$16,H55)*POWER(Upgrades!$Q$17,I55)*POWER(Upgrades!$Q$18,J55)*POWER(Upgrades!$Q$19,K55)*POWER(Upgrades!$Q$20,L55)*POWER(Upgrades!$Q$21,M55)*$G$6+$D$6</f>
        <v/>
      </c>
      <c r="P55" s="28">
        <f>((IF(E55=0,0,(Upgrades!$G$13+E55*Upgrades!$H$13)*POWER(Upgrades!$I$13,E55)))*(IF(Upgrades!$T$14="Stellar Kinematics",POWER(Upgrades!$U$14,F55),1)*IF(Upgrades!$T$15="Stellar Kinematics",POWER(Upgrades!$U$15,G55),1)*IF(Upgrades!$T$16="Stellar Kinematics",POWER(Upgrades!$U$16,H55),1)*IF(Upgrades!$T$17="Stellar Kinematics",POWER(Upgrades!$U$17,I55),1)*IF(Upgrades!$T$18="Stellar Kinematics",POWER(Upgrades!$U$18,J55),1)*IF(Upgrades!$T$19="Stellar Kinematics",POWER(Upgrades!$U$19,K55),1)*IF(Upgrades!$T$20="Stellar Kinematics",POWER(Upgrades!$U$20,L55),1)*IF(Upgrades!$T$21="Stellar Kinematics",POWER(Upgrades!$U$21,M55),1))+(IF(F55=0,0,(Upgrades!$G$14+F55*Upgrades!$H$14)*POWER(Upgrades!$I$14,F55)))*(IF(Upgrades!$T$13="Local Bubble",POWER(Upgrades!$U$13,E55),1)*IF(Upgrades!$T$15="Local Bubble",POWER(Upgrades!$U$15,G55),1)*IF(Upgrades!$T$16="Local Bubble",POWER(Upgrades!$U$16,H55),1)*IF(Upgrades!$T$17="Local Bubble",POWER(Upgrades!$U$17,I55),1)*IF(Upgrades!$T$18="Local Bubble",POWER(Upgrades!$U$18,J55),1)*IF(Upgrades!$T$19="Local Bubble",POWER(Upgrades!$U$19,K55),1)*IF(Upgrades!$T$20="Local Bubble",POWER(Upgrades!$U$20,L55),1)*IF(Upgrades!$T$21="Local Bubble",POWER(Upgrades!$U$21,M55),1))+(IF(G55=0,0,(Upgrades!$G$15+G55*Upgrades!$H$15)*POWER(Upgrades!$I$15,G55)))*(IF(Upgrades!$T$13="Microlensing",POWER(Upgrades!$U$13,E55),1)*IF(Upgrades!$T$14="Microlensing",POWER(Upgrades!$U$14,F55),1)*IF(Upgrades!$T$16="Microlensing",POWER(Upgrades!$U$16,H55),1)*IF(Upgrades!$T$17="Microlensing",POWER(Upgrades!$U$17,I55),1)*IF(Upgrades!$T$18="Microlensing",POWER(Upgrades!$U$18,J55),1)*IF(Upgrades!$T$19="Microlensing",POWER(Upgrades!$U$19,K55),1)*IF(Upgrades!$T$20="Microlensing",POWER(Upgrades!$U$20,L55),1)*IF(Upgrades!$T$21="Microlensing",POWER(Upgrades!$U$21,M55),1))+(IF(H55=0,0,(Upgrades!$G$16+H55*Upgrades!$H$16)*POWER(Upgrades!$I$16,H55)))*(IF(Upgrades!$T$13="Roche Lobe Overflow",POWER(Upgrades!$U$13,E55),1)*IF(Upgrades!$T$14="Roche Lobe Overflow",POWER(Upgrades!$U$14,F55),1)*IF(Upgrades!$T$15="Roche Lobe Overflow",POWER(Upgrades!$U$15,G55),1)*IF(Upgrades!$T$17="Roche Lobe Overflow",POWER(Upgrades!$U$17,I55),1)*IF(Upgrades!$T$18="Roche Lobe Overflow",POWER(Upgrades!$U$18,J55),1)*IF(Upgrades!$T$19="Roche Lobe Overflow",POWER(Upgrades!$U$19,K55),1)*IF(Upgrades!$T$20="Roche Lobe Overflow",POWER(Upgrades!$U$20,L55),1)*IF(Upgrades!$T$21="Roche Lobe Overflow",POWER(Upgrades!$U$21,M55),1))+(IF(I55=0,0,(Upgrades!$G$17+I55*Upgrades!$H$17)*POWER(Upgrades!$I$17,I55)))*(IF(Upgrades!$T$13="Brown Dwarf",POWER(Upgrades!$U$13,E55),1)*IF(Upgrades!$T$14="Brown Dwarf",POWER(Upgrades!$U$14,F55),1)*IF(Upgrades!$T$15="Brown Dwarf",POWER(Upgrades!$U$15,G55),1)*IF(Upgrades!$T$16="Brown Dwarf",POWER(Upgrades!$U$16,H55),1)*IF(Upgrades!$T$18="Brown Dwarf",POWER(Upgrades!$U$18,J55),1)*IF(Upgrades!$T$19="Brown Dwarf",POWER(Upgrades!$U$19,K55),1)*IF(Upgrades!$T$20="Brown Dwarf",POWER(Upgrades!$U$20,L55),1)*IF(Upgrades!$T$21="Brown Dwarf",POWER(Upgrades!$U$21,M55),1))+(IF(J55=0,0,(Upgrades!$G$18+J55*Upgrades!$H$18)*POWER(Upgrades!$I$18,J55)))*(IF(Upgrades!$T$13="Binary Partner",POWER(Upgrades!$U$13,E55),1)*IF(Upgrades!$T$14="Binary Partner",POWER(Upgrades!$U$14,F55),1)*IF(Upgrades!$T$15="Binary Partner",POWER(Upgrades!$U$15,G55),1)*IF(Upgrades!$T$16="Binary Partner",POWER(Upgrades!$U$16,H55),1)*IF(Upgrades!$T$17="Binary Partner",POWER(Upgrades!$U$17,I55),1)*IF(Upgrades!$T$19="Binary Partner",POWER(Upgrades!$U$19,K55),1)*IF(Upgrades!$T$20="Binary Partner",POWER(Upgrades!$U$20,L55),1)*IF(Upgrades!$T$21="Binary Partner",POWER(Upgrades!$U$21,M55),1))+(IF(K55=0,0,(Upgrades!$G$19+K55*Upgrades!$H$19)*POWER(Upgrades!$I$19,K55)))*(IF(Upgrades!$T$13="Peculiar Velocity",POWER(Upgrades!$U$13,E55),1)*IF(Upgrades!$T$14="Peculiar Velocity",POWER(Upgrades!$U$14,F55),1)*IF(Upgrades!$T$15="Peculiar Velocity",POWER(Upgrades!$U$15,G55),1)*IF(Upgrades!$T$16="Peculiar Velocity",POWER(Upgrades!$U$16,H55),1)*IF(Upgrades!$T$17="Peculiar Velocity",POWER(Upgrades!$U$17,I55),1)*IF(Upgrades!$T$18="Peculiar Velocity",POWER(Upgrades!$U$18,J55),1)*IF(Upgrades!$T$20="Peculiar Velocity",POWER(Upgrades!$U$20,L55),1)*IF(Upgrades!$T$21="Peculiar Velocity",POWER(Upgrades!$U$21,M55),1))+(IF(L55=0,0,(Upgrades!$G$20+L55*Upgrades!$H$20)*POWER(Upgrades!$I$20,L55)))*(IF(Upgrades!$T$13="Open Cluster",POWER(Upgrades!$U$13,E55),1)*IF(Upgrades!$T$14="Open Cluster",POWER(Upgrades!$U$14,F55),1)*IF(Upgrades!$T$15="Open Cluster",POWER(Upgrades!$U$15,G55),1)*IF(Upgrades!$T$16="Open Cluster",POWER(Upgrades!$U$16,H55),1)*IF(Upgrades!$T$17="Open Cluster",POWER(Upgrades!$U$17,I55),1)*IF(Upgrades!$T$18="Open Cluster",POWER(Upgrades!$U$18,J55),1)*IF(Upgrades!$T$19="Open Cluster",POWER(Upgrades!$U$19,K55),1)*IF(Upgrades!$T$21="Open Cluster",POWER(Upgrades!$U$21,M55),1))+(IF(M55=0,0,(Upgrades!$G$21+M55*Upgrades!$H$21)*POWER(Upgrades!$I$21,M55)))*(IF(Upgrades!$T$13="Moving Group",POWER(Upgrades!$U$13,E55),1)*IF(Upgrades!$T$14="Moving Group",POWER(Upgrades!$U$14,F55),1)*IF(Upgrades!$T$15="Moving Group",POWER(Upgrades!$U$15,G55),1)*IF(Upgrades!$T$16="Moving Group",POWER(Upgrades!$U$16,H55),1)*IF(Upgrades!$T$17="Moving Group",POWER(Upgrades!$U$17,I55),1)*IF(Upgrades!$T$18="Moving Group",POWER(Upgrades!$U$18,J55),1)*IF(Upgrades!$T$19="Moving Group",POWER(Upgrades!$U$19,K55),1)*IF(Upgrades!$T$20="Moving Group",POWER(Upgrades!$U$20,L55),1)))*POWER(Upgrades!$P$13,E55)*POWER(Upgrades!$P$14,F55)*POWER(Upgrades!$P$15,G55)*POWER(Upgrades!$P$16,H55)*POWER(Upgrades!$P$17,I55)*POWER(Upgrades!$P$18,J55)*POWER(Upgrades!$P$19,K55)*POWER(Upgrades!$P$20,L55)*POWER(Upgrades!$P$21,M55)*$F$6+$C$6</f>
        <v/>
      </c>
      <c r="Q55" s="28">
        <f>((IF(E55=0,0,(Upgrades!$M$13+E55*Upgrades!$N$13)*POWER(Upgrades!$O$13,E55)))*(IF(Upgrades!$T$14="Stellar Kinematics",POWER(Upgrades!$U$14,F55),1)*IF(Upgrades!$T$15="Stellar Kinematics",POWER(Upgrades!$U$15,G55),1)*IF(Upgrades!$T$16="Stellar Kinematics",POWER(Upgrades!$U$16,H55),1)*IF(Upgrades!$T$17="Stellar Kinematics",POWER(Upgrades!$U$17,I55),1)*IF(Upgrades!$T$18="Stellar Kinematics",POWER(Upgrades!$U$18,J55),1)*IF(Upgrades!$T$19="Stellar Kinematics",POWER(Upgrades!$U$19,K55),1)*IF(Upgrades!$T$20="Stellar Kinematics",POWER(Upgrades!$U$20,L55),1)*IF(Upgrades!$T$21="Stellar Kinematics",POWER(Upgrades!$U$21,M55),1))+(IF(F55=0,0,(Upgrades!$M$14+F55*Upgrades!$N$14)*POWER(Upgrades!$O$14,F55)))*(IF(Upgrades!$T$13="Local Bubble",POWER(Upgrades!$U$13,E55),1)*IF(Upgrades!$T$15="Local Bubble",POWER(Upgrades!$U$15,G55),1)*IF(Upgrades!$T$16="Local Bubble",POWER(Upgrades!$U$16,H55),1)*IF(Upgrades!$T$17="Local Bubble",POWER(Upgrades!$U$17,I55),1)*IF(Upgrades!$T$18="Local Bubble",POWER(Upgrades!$U$18,J55),1)*IF(Upgrades!$T$19="Local Bubble",POWER(Upgrades!$U$19,K55),1)*IF(Upgrades!$T$20="Local Bubble",POWER(Upgrades!$U$20,L55),1)*IF(Upgrades!$T$21="Local Bubble",POWER(Upgrades!$U$21,M55),1))+(IF(G55=0,0,(Upgrades!$M$15+G55*Upgrades!$N$15)*POWER(Upgrades!$O$15,G55)))*(IF(Upgrades!$T$13="Microlensing",POWER(Upgrades!$U$13,E55),1)*IF(Upgrades!$T$14="Microlensing",POWER(Upgrades!$U$14,F55),1)*IF(Upgrades!$T$16="Microlensing",POWER(Upgrades!$U$16,H55),1)*IF(Upgrades!$T$17="Microlensing",POWER(Upgrades!$U$17,I55),1)*IF(Upgrades!$T$18="Microlensing",POWER(Upgrades!$U$18,J55),1)*IF(Upgrades!$T$19="Microlensing",POWER(Upgrades!$U$19,K55),1)*IF(Upgrades!$T$20="Microlensing",POWER(Upgrades!$U$20,L55),1)*IF(Upgrades!$T$21="Microlensing",POWER(Upgrades!$U$21,M55),1))+(IF(H55=0,0,(Upgrades!$M$16+H55*Upgrades!$N$16)*POWER(Upgrades!$O$16,H55)))*(IF(Upgrades!$T$13="Roche Lobe Overflow",POWER(Upgrades!$U$13,E55),1)*IF(Upgrades!$T$14="Roche Lobe Overflow",POWER(Upgrades!$U$14,F55),1)*IF(Upgrades!$T$15="Roche Lobe Overflow",POWER(Upgrades!$U$15,G55),1)*IF(Upgrades!$T$17="Roche Lobe Overflow",POWER(Upgrades!$U$17,I55),1)*IF(Upgrades!$T$18="Roche Lobe Overflow",POWER(Upgrades!$U$18,J55),1)*IF(Upgrades!$T$19="Roche Lobe Overflow",POWER(Upgrades!$U$19,K55),1)*IF(Upgrades!$T$20="Roche Lobe Overflow",POWER(Upgrades!$U$20,L55),1)*IF(Upgrades!$T$21="Roche Lobe Overflow",POWER(Upgrades!$U$21,M55),1))+(IF(I55=0,0,(Upgrades!$M$17+I55*Upgrades!$N$17)*POWER(Upgrades!$O$17,I55)))*(IF(Upgrades!$T$13="Brown Dwarf",POWER(Upgrades!$U$13,E55),1)*IF(Upgrades!$T$14="Brown Dwarf",POWER(Upgrades!$U$14,F55),1)*IF(Upgrades!$T$15="Brown Dwarf",POWER(Upgrades!$U$15,G55),1)*IF(Upgrades!$T$16="Brown Dwarf",POWER(Upgrades!$U$16,H55),1)*IF(Upgrades!$T$18="Brown Dwarf",POWER(Upgrades!$U$18,J55),1)*IF(Upgrades!$T$19="Brown Dwarf",POWER(Upgrades!$U$19,K55),1)*IF(Upgrades!$T$20="Brown Dwarf",POWER(Upgrades!$U$20,L55),1)*IF(Upgrades!$T$21="Brown Dwarf",POWER(Upgrades!$U$21,M55),1))+(IF(J55=0,0,(Upgrades!$M$18+J55*Upgrades!$N$18)*POWER(Upgrades!$O$18,J55)))*(IF(Upgrades!$T$13="Binary Partner",POWER(Upgrades!$U$13,E55),1)*IF(Upgrades!$T$14="Binary Partner",POWER(Upgrades!$U$14,F55),1)*IF(Upgrades!$T$15="Binary Partner",POWER(Upgrades!$U$15,G55),1)*IF(Upgrades!$T$16="Binary Partner",POWER(Upgrades!$U$16,H55),1)*IF(Upgrades!$T$17="Binary Partner",POWER(Upgrades!$U$17,I55),1)*IF(Upgrades!$T$19="Binary Partner",POWER(Upgrades!$U$19,K55),1)*IF(Upgrades!$T$20="Binary Partner",POWER(Upgrades!$U$20,L55),1)*IF(Upgrades!$T$21="Binary Partner",POWER(Upgrades!$U$21,M55),1))+(IF(K55=0,0,(Upgrades!$M$19+K55*Upgrades!$N$19)*POWER(Upgrades!$O$19,K55)))*(IF(Upgrades!$T$13="Peculiar Velocity",POWER(Upgrades!$U$13,E55),1)*IF(Upgrades!$T$14="Peculiar Velocity",POWER(Upgrades!$U$14,F55),1)*IF(Upgrades!$T$15="Peculiar Velocity",POWER(Upgrades!$U$15,G55),1)*IF(Upgrades!$T$16="Peculiar Velocity",POWER(Upgrades!$U$16,H55),1)*IF(Upgrades!$T$17="Peculiar Velocity",POWER(Upgrades!$U$17,I55),1)*IF(Upgrades!$T$18="Peculiar Velocity",POWER(Upgrades!$U$18,J55),1)*IF(Upgrades!$T$20="Peculiar Velocity",POWER(Upgrades!$U$20,L55),1)*IF(Upgrades!$T$21="Peculiar Velocity",POWER(Upgrades!$U$21,M55),1))+(IF(L55=0,0,(Upgrades!$M$20+L55*Upgrades!$N$20)*POWER(Upgrades!$O$20,L55)))*(IF(Upgrades!$T$13="Open Cluster",POWER(Upgrades!$U$13,E55),1)*IF(Upgrades!$T$14="Open Cluster",POWER(Upgrades!$U$14,F55),1)*IF(Upgrades!$T$15="Open Cluster",POWER(Upgrades!$U$15,G55),1)*IF(Upgrades!$T$16="Open Cluster",POWER(Upgrades!$U$16,H55),1)*IF(Upgrades!$T$17="Open Cluster",POWER(Upgrades!$U$17,I55),1)*IF(Upgrades!$T$18="Open Cluster",POWER(Upgrades!$U$18,J55),1)*IF(Upgrades!$T$19="Open Cluster",POWER(Upgrades!$U$19,K55),1)*IF(Upgrades!$T$21="Open Cluster",POWER(Upgrades!$U$21,M55),1))+(IF(M55=0,0,(Upgrades!$M$21+M55*Upgrades!$N$21)*POWER(Upgrades!$O$21,M55)))*(IF(Upgrades!$T$13="Moving Group",POWER(Upgrades!$U$13,E55),1)*IF(Upgrades!$T$14="Moving Group",POWER(Upgrades!$U$14,F55),1)*IF(Upgrades!$T$15="Moving Group",POWER(Upgrades!$U$15,G55),1)*IF(Upgrades!$T$16="Moving Group",POWER(Upgrades!$U$16,H55),1)*IF(Upgrades!$T$17="Moving Group",POWER(Upgrades!$U$17,I55),1)*IF(Upgrades!$T$18="Moving Group",POWER(Upgrades!$U$18,J55),1)*IF(Upgrades!$T$19="Moving Group",POWER(Upgrades!$U$19,K55),1)*IF(Upgrades!$T$20="Moving Group",POWER(Upgrades!$U$20,L55),1)))*POWER(Upgrades!$R$13,E55)*POWER(Upgrades!$R$14,F55)*POWER(Upgrades!$R$15,G55)*POWER(Upgrades!$R$16,H55)*POWER(Upgrades!$R$17,I55)*POWER(Upgrades!$R$18,J55)*POWER(Upgrades!$R$19,K55)*POWER(Upgrades!$R$20,L55)*POWER(Upgrades!$R$21,M55)*$H$6+$E$6</f>
        <v/>
      </c>
      <c r="R55" s="27">
        <f>IF(N55=1,0,O55*Parameters!$B$10/60*Parameters!$B$11*10)</f>
        <v/>
      </c>
      <c r="S55" s="27">
        <f>IF(N55=1,0,Q55*O55*10)</f>
        <v/>
      </c>
      <c r="T55" s="27">
        <f>IF(N55=1,0,R55+S55+P55*10)</f>
        <v/>
      </c>
      <c r="U55" s="33">
        <f>BE55</f>
        <v/>
      </c>
      <c r="V55" s="22">
        <f>IF(U55="",0,IF(U55="transition",0,IF(U55="SK",AK55,IF(U55="LB",AL55,IF(U55="ML",AM55,IF(U55="RLO",AN55,IF(U55="BD",AO55,IF(U55="BiP",AP55,IF(U55="PV",AQ55,IF(U55="OC",AR55,IF(U55="MG",AS55,0))))))))))</f>
        <v/>
      </c>
      <c r="W55" s="27">
        <f>IF(U55="BiP",Upgrades!$F$18,IF(U55="PV",Upgrades!$F$19,IF(U55="OC",Upgrades!$F$20,IF(U55="MG",Upgrades!$F$21,IF(U55="transition",-Parameters!$B$18*Parameters!$B$19,0)))))</f>
        <v/>
      </c>
      <c r="X55" s="22">
        <f>C55+T55-V55</f>
        <v/>
      </c>
      <c r="Y55" s="30">
        <f>O55*Parameters!$B$10/60*Parameters!$B$11+Q55*O55+P55</f>
        <v/>
      </c>
      <c r="Z55" s="34">
        <f>IF(U55="transition","→ Tier 3 (Galactic Arm)",IF(U55="MG","Moving Group — pocket drifts together",IF(U55="OC","Open Cluster acquired",IF(U55="PV","Peculiar Velocity — passive multiplier active",IF(U55="BiP","Binary Partner — pair bond formed",IF(AND(AU55=1,N55=0,AT55&lt;&gt;1),"Cohesion ready (waiting on completionists)","")))))) </f>
        <v/>
      </c>
      <c r="AA55" s="27">
        <f>(IF(E55=0,0,(Upgrades!$G$13+E55*Upgrades!$H$13)*POWER(Upgrades!$I$13,E55)))*(IF(Upgrades!$T$14="Stellar Kinematics",POWER(Upgrades!$U$14,F55),1)*IF(Upgrades!$T$15="Stellar Kinematics",POWER(Upgrades!$U$15,G55),1)*IF(Upgrades!$T$16="Stellar Kinematics",POWER(Upgrades!$U$16,H55),1)*IF(Upgrades!$T$17="Stellar Kinematics",POWER(Upgrades!$U$17,I55),1)*IF(Upgrades!$T$18="Stellar Kinematics",POWER(Upgrades!$U$18,J55),1)*IF(Upgrades!$T$19="Stellar Kinematics",POWER(Upgrades!$U$19,K55),1)*IF(Upgrades!$T$20="Stellar Kinematics",POWER(Upgrades!$U$20,L55),1)*IF(Upgrades!$T$21="Stellar Kinematics",POWER(Upgrades!$U$21,M55),1))*POWER(Upgrades!$P$13,E55)*POWER(Upgrades!$P$14,F55)*POWER(Upgrades!$P$15,G55)*POWER(Upgrades!$P$16,H55)*POWER(Upgrades!$P$17,I55)*POWER(Upgrades!$P$18,J55)*POWER(Upgrades!$P$19,K55)*POWER(Upgrades!$P$20,L55)*POWER(Upgrades!$P$21,M55)*$F$6*60</f>
        <v/>
      </c>
      <c r="AB55" s="27">
        <f>(IF(F55=0,0,(Upgrades!$G$14+F55*Upgrades!$H$14)*POWER(Upgrades!$I$14,F55)))*(IF(Upgrades!$T$13="Local Bubble",POWER(Upgrades!$U$13,E55),1)*IF(Upgrades!$T$15="Local Bubble",POWER(Upgrades!$U$15,G55),1)*IF(Upgrades!$T$16="Local Bubble",POWER(Upgrades!$U$16,H55),1)*IF(Upgrades!$T$17="Local Bubble",POWER(Upgrades!$U$17,I55),1)*IF(Upgrades!$T$18="Local Bubble",POWER(Upgrades!$U$18,J55),1)*IF(Upgrades!$T$19="Local Bubble",POWER(Upgrades!$U$19,K55),1)*IF(Upgrades!$T$20="Local Bubble",POWER(Upgrades!$U$20,L55),1)*IF(Upgrades!$T$21="Local Bubble",POWER(Upgrades!$U$21,M55),1))*POWER(Upgrades!$P$13,E55)*POWER(Upgrades!$P$14,F55)*POWER(Upgrades!$P$15,G55)*POWER(Upgrades!$P$16,H55)*POWER(Upgrades!$P$17,I55)*POWER(Upgrades!$P$18,J55)*POWER(Upgrades!$P$19,K55)*POWER(Upgrades!$P$20,L55)*POWER(Upgrades!$P$21,M55)*$F$6*60</f>
        <v/>
      </c>
      <c r="AC55" s="27">
        <f>(IF(G55=0,0,(Upgrades!$J$15+G55*Upgrades!$K$15)*POWER(Upgrades!$L$15,G55)))*(IF(Upgrades!$T$13="Microlensing",POWER(Upgrades!$U$13,E55),1)*IF(Upgrades!$T$14="Microlensing",POWER(Upgrades!$U$14,F55),1)*IF(Upgrades!$T$16="Microlensing",POWER(Upgrades!$U$16,H55),1)*IF(Upgrades!$T$17="Microlensing",POWER(Upgrades!$U$17,I55),1)*IF(Upgrades!$T$18="Microlensing",POWER(Upgrades!$U$18,J55),1)*IF(Upgrades!$T$19="Microlensing",POWER(Upgrades!$U$19,K55),1)*IF(Upgrades!$T$20="Microlensing",POWER(Upgrades!$U$20,L55),1)*IF(Upgrades!$T$21="Microlensing",POWER(Upgrades!$U$21,M55),1))*POWER(Upgrades!$Q$13,E55)*POWER(Upgrades!$Q$14,F55)*POWER(Upgrades!$Q$15,G55)*POWER(Upgrades!$Q$16,H55)*POWER(Upgrades!$Q$17,I55)*POWER(Upgrades!$Q$18,J55)*POWER(Upgrades!$Q$19,K55)*POWER(Upgrades!$Q$20,L55)*POWER(Upgrades!$Q$21,M55)*$G$6*(Parameters!$B$10*Parameters!$B$11+Q55*60)</f>
        <v/>
      </c>
      <c r="AD55" s="27">
        <f>(IF(H55=0,0,(Upgrades!$M$16+H55*Upgrades!$N$16)*POWER(Upgrades!$O$16,H55)))*(IF(Upgrades!$T$13="Roche Lobe Overflow",POWER(Upgrades!$U$13,E55),1)*IF(Upgrades!$T$14="Roche Lobe Overflow",POWER(Upgrades!$U$14,F55),1)*IF(Upgrades!$T$15="Roche Lobe Overflow",POWER(Upgrades!$U$15,G55),1)*IF(Upgrades!$T$17="Roche Lobe Overflow",POWER(Upgrades!$U$17,I55),1)*IF(Upgrades!$T$18="Roche Lobe Overflow",POWER(Upgrades!$U$18,J55),1)*IF(Upgrades!$T$19="Roche Lobe Overflow",POWER(Upgrades!$U$19,K55),1)*IF(Upgrades!$T$20="Roche Lobe Overflow",POWER(Upgrades!$U$20,L55),1)*IF(Upgrades!$T$21="Roche Lobe Overflow",POWER(Upgrades!$U$21,M55),1))*POWER(Upgrades!$R$13,E55)*POWER(Upgrades!$R$14,F55)*POWER(Upgrades!$R$15,G55)*POWER(Upgrades!$R$16,H55)*POWER(Upgrades!$R$17,I55)*POWER(Upgrades!$R$18,J55)*POWER(Upgrades!$R$19,K55)*POWER(Upgrades!$R$20,L55)*POWER(Upgrades!$R$21,M55)*$H$6*O55*60</f>
        <v/>
      </c>
      <c r="AE55" s="27">
        <f>(IF(I55=0,0,(Upgrades!$G$17+I55*Upgrades!$H$17)*POWER(Upgrades!$I$17,I55)))*(IF(Upgrades!$T$13="Brown Dwarf",POWER(Upgrades!$U$13,E55),1)*IF(Upgrades!$T$14="Brown Dwarf",POWER(Upgrades!$U$14,F55),1)*IF(Upgrades!$T$15="Brown Dwarf",POWER(Upgrades!$U$15,G55),1)*IF(Upgrades!$T$16="Brown Dwarf",POWER(Upgrades!$U$16,H55),1)*IF(Upgrades!$T$18="Brown Dwarf",POWER(Upgrades!$U$18,J55),1)*IF(Upgrades!$T$19="Brown Dwarf",POWER(Upgrades!$U$19,K55),1)*IF(Upgrades!$T$20="Brown Dwarf",POWER(Upgrades!$U$20,L55),1)*IF(Upgrades!$T$21="Brown Dwarf",POWER(Upgrades!$U$21,M55),1))*POWER(Upgrades!$P$13,E55)*POWER(Upgrades!$P$14,F55)*POWER(Upgrades!$P$15,G55)*POWER(Upgrades!$P$16,H55)*POWER(Upgrades!$P$17,I55)*POWER(Upgrades!$P$18,J55)*POWER(Upgrades!$P$19,K55)*POWER(Upgrades!$P$20,L55)*POWER(Upgrades!$P$21,M55)*$F$6*60</f>
        <v/>
      </c>
      <c r="AF55" s="27" t="n">
        <v>0</v>
      </c>
      <c r="AG55" s="27" t="n">
        <v>0</v>
      </c>
      <c r="AH55" s="27" t="n">
        <v>0</v>
      </c>
      <c r="AI55" s="27">
        <f>(IF(M55=0,0,(Upgrades!$G$21+M55*Upgrades!$H$21)*POWER(Upgrades!$I$21,M55)))*(IF(Upgrades!$T$13="Moving Group",POWER(Upgrades!$U$13,E55),1)*IF(Upgrades!$T$14="Moving Group",POWER(Upgrades!$U$14,F55),1)*IF(Upgrades!$T$15="Moving Group",POWER(Upgrades!$U$15,G55),1)*IF(Upgrades!$T$16="Moving Group",POWER(Upgrades!$U$16,H55),1)*IF(Upgrades!$T$17="Moving Group",POWER(Upgrades!$U$17,I55),1)*IF(Upgrades!$T$18="Moving Group",POWER(Upgrades!$U$18,J55),1)*IF(Upgrades!$T$19="Moving Group",POWER(Upgrades!$U$19,K55),1)*IF(Upgrades!$T$20="Moving Group",POWER(Upgrades!$U$20,L55),1))*POWER(Upgrades!$P$13,E55)*POWER(Upgrades!$P$14,F55)*POWER(Upgrades!$P$15,G55)*POWER(Upgrades!$P$16,H55)*POWER(Upgrades!$P$17,I55)*POWER(Upgrades!$P$18,J55)*POWER(Upgrades!$P$19,K55)*POWER(Upgrades!$P$20,L55)*POWER(Upgrades!$P$21,M55)*$F$6*60</f>
        <v/>
      </c>
      <c r="AJ55" s="27">
        <f>$C$6*60</f>
        <v/>
      </c>
      <c r="AK55" s="22">
        <f>IF(E55&gt;=Upgrades!$E$13,"",Upgrades!$C$13*POWER(Upgrades!$D$13,E55))</f>
        <v/>
      </c>
      <c r="AL55" s="22">
        <f>IF(F55&gt;=Upgrades!$E$14,"",Upgrades!$C$14*POWER(Upgrades!$D$14,F55))</f>
        <v/>
      </c>
      <c r="AM55" s="22">
        <f>IF(G55&gt;=Upgrades!$E$15,"",Upgrades!$C$15*POWER(Upgrades!$D$15,G55))</f>
        <v/>
      </c>
      <c r="AN55" s="22">
        <f>IF(H55&gt;=Upgrades!$E$16,"",Upgrades!$C$16*POWER(Upgrades!$D$16,H55))</f>
        <v/>
      </c>
      <c r="AO55" s="22">
        <f>IF(I55&gt;=Upgrades!$E$17,"",Upgrades!$C$17*POWER(Upgrades!$D$17,I55))</f>
        <v/>
      </c>
      <c r="AP55" s="22">
        <f>IF(J55&gt;=Upgrades!$E$18,"",Upgrades!$C$18*POWER(Upgrades!$D$18,J55))</f>
        <v/>
      </c>
      <c r="AQ55" s="22">
        <f>IF(K55&gt;=Upgrades!$E$19,"",Upgrades!$C$19*POWER(Upgrades!$D$19,K55))</f>
        <v/>
      </c>
      <c r="AR55" s="22">
        <f>IF(L55&gt;=Upgrades!$E$20,"",Upgrades!$C$20*POWER(Upgrades!$D$20,L55))</f>
        <v/>
      </c>
      <c r="AS55" s="22">
        <f>IF(M55&gt;=Upgrades!$E$21,"",Upgrades!$C$21*POWER(Upgrades!$D$21,M55))</f>
        <v/>
      </c>
      <c r="AT55" s="26">
        <f>IF(AND(D55&gt;=Parameters!$B$18*Parameters!$B$19,(I55&gt;=Upgrades!$E$17)*(M55&gt;=Upgrades!$E$21)=1,N55=0),1,"")</f>
        <v/>
      </c>
      <c r="AU55" s="26">
        <f>IF(AND(D55&gt;=Parameters!$B$18*Parameters!$B$19,N55=0),1,"")</f>
        <v/>
      </c>
      <c r="AV55" s="22">
        <f>MIN(IF(ISNUMBER(AP55),AP55,9E15),IF(ISNUMBER(AQ55),AQ55,9E15),IF(ISNUMBER(AR55),AR55,9E15),IF(ISNUMBER(AS55),AS55,9E15))</f>
        <v/>
      </c>
      <c r="AW55" s="22">
        <f>MIN(IF(ISNUMBER(AK55),AK55,9E15),IF(ISNUMBER(AL55),AL55,9E15),IF(ISNUMBER(AM55),AM55,9E15),IF(ISNUMBER(AN55),AN55,9E15),IF(ISNUMBER(AO55),AO55,9E15))</f>
        <v/>
      </c>
      <c r="AX55" s="29">
        <f>IF(BD55&gt;Parameters!$B$21*(MAX(IF(AND(NOT(AND(AU55=1,AT55&lt;&gt;1)),ISNUMBER(AK55),AK55&lt;=(C55+T55)),AY55,0),IF(AND(NOT(AND(AU55=1,AT55&lt;&gt;1)),ISNUMBER(AL55),AL55&lt;=(C55+T55)),AZ55,0),IF(AND(NOT(AND(AU55=1,AT55&lt;&gt;1)),ISNUMBER(AM55),AM55&lt;=(C55+T55)),BA55,0),IF(AND(NOT(AND(AU55=1,AT55&lt;&gt;1)),ISNUMBER(AN55),AN55&lt;=(C55+T55)),BB55,0),IF(AND(ISNUMBER(AO55),AO55&lt;=(C55+T55)),BC55,0))),TRUE,FALSE)</f>
        <v/>
      </c>
      <c r="AY55" s="32">
        <f>IFERROR(Upgrades!$H$13*(POWER(Upgrades!$P$13,E55)*POWER(Upgrades!$P$14,F55)*POWER(Upgrades!$P$15,G55)*POWER(Upgrades!$P$16,H55)*POWER(Upgrades!$P$17,I55)*POWER(Upgrades!$P$18,J55)*POWER(Upgrades!$P$19,K55)*POWER(Upgrades!$P$20,L55)*POWER(Upgrades!$P$21,M55))*(IF(Upgrades!$T$14="Stellar Kinematics",POWER(Upgrades!$U$14,F55),1)*IF(Upgrades!$T$15="Stellar Kinematics",POWER(Upgrades!$U$15,G55),1)*IF(Upgrades!$T$16="Stellar Kinematics",POWER(Upgrades!$U$16,H55),1)*IF(Upgrades!$T$17="Stellar Kinematics",POWER(Upgrades!$U$17,I55),1)*IF(Upgrades!$T$18="Stellar Kinematics",POWER(Upgrades!$U$18,J55),1)*IF(Upgrades!$T$19="Stellar Kinematics",POWER(Upgrades!$U$19,K55),1)*IF(Upgrades!$T$20="Stellar Kinematics",POWER(Upgrades!$U$20,L55),1)*IF(Upgrades!$T$21="Stellar Kinematics",POWER(Upgrades!$U$21,M55),1))*$F$6/AK55,0)</f>
        <v/>
      </c>
      <c r="AZ55" s="32">
        <f>IFERROR(Upgrades!$H$14*(POWER(Upgrades!$P$13,E55)*POWER(Upgrades!$P$14,F55)*POWER(Upgrades!$P$15,G55)*POWER(Upgrades!$P$16,H55)*POWER(Upgrades!$P$17,I55)*POWER(Upgrades!$P$18,J55)*POWER(Upgrades!$P$19,K55)*POWER(Upgrades!$P$20,L55)*POWER(Upgrades!$P$21,M55))*(IF(Upgrades!$T$13="Local Bubble",POWER(Upgrades!$U$13,E55),1)*IF(Upgrades!$T$15="Local Bubble",POWER(Upgrades!$U$15,G55),1)*IF(Upgrades!$T$16="Local Bubble",POWER(Upgrades!$U$16,H55),1)*IF(Upgrades!$T$17="Local Bubble",POWER(Upgrades!$U$17,I55),1)*IF(Upgrades!$T$18="Local Bubble",POWER(Upgrades!$U$18,J55),1)*IF(Upgrades!$T$19="Local Bubble",POWER(Upgrades!$U$19,K55),1)*IF(Upgrades!$T$20="Local Bubble",POWER(Upgrades!$U$20,L55),1)*IF(Upgrades!$T$21="Local Bubble",POWER(Upgrades!$U$21,M55),1))*$F$6/AL55,0)</f>
        <v/>
      </c>
      <c r="BA55" s="32">
        <f>IFERROR(Upgrades!$K$15*(POWER(Upgrades!$Q$13,E55)*POWER(Upgrades!$Q$14,F55)*POWER(Upgrades!$Q$15,G55)*POWER(Upgrades!$Q$16,H55)*POWER(Upgrades!$Q$17,I55)*POWER(Upgrades!$Q$18,J55)*POWER(Upgrades!$Q$19,K55)*POWER(Upgrades!$Q$20,L55)*POWER(Upgrades!$Q$21,M55))*(IF(Upgrades!$T$13="Microlensing",POWER(Upgrades!$U$13,E55),1)*IF(Upgrades!$T$14="Microlensing",POWER(Upgrades!$U$14,F55),1)*IF(Upgrades!$T$16="Microlensing",POWER(Upgrades!$U$16,H55),1)*IF(Upgrades!$T$17="Microlensing",POWER(Upgrades!$U$17,I55),1)*IF(Upgrades!$T$18="Microlensing",POWER(Upgrades!$U$18,J55),1)*IF(Upgrades!$T$19="Microlensing",POWER(Upgrades!$U$19,K55),1)*IF(Upgrades!$T$20="Microlensing",POWER(Upgrades!$U$20,L55),1)*IF(Upgrades!$T$21="Microlensing",POWER(Upgrades!$U$21,M55),1))*$G$6*(Parameters!$B$10/60*Parameters!$B$11+Q55)/AM55,0)</f>
        <v/>
      </c>
      <c r="BB55" s="32">
        <f>IFERROR((Upgrades!$N$16*(POWER(Upgrades!$R$13,E55)*POWER(Upgrades!$R$14,F55)*POWER(Upgrades!$R$15,G55)*POWER(Upgrades!$R$16,H55)*POWER(Upgrades!$R$17,I55)*POWER(Upgrades!$R$18,J55)*POWER(Upgrades!$R$19,K55)*POWER(Upgrades!$R$20,L55)*POWER(Upgrades!$R$21,M55))*(IF(Upgrades!$T$13="Roche Lobe Overflow",POWER(Upgrades!$U$13,E55),1)*IF(Upgrades!$T$14="Roche Lobe Overflow",POWER(Upgrades!$U$14,F55),1)*IF(Upgrades!$T$15="Roche Lobe Overflow",POWER(Upgrades!$U$15,G55),1)*IF(Upgrades!$T$17="Roche Lobe Overflow",POWER(Upgrades!$U$17,I55),1)*IF(Upgrades!$T$18="Roche Lobe Overflow",POWER(Upgrades!$U$18,J55),1)*IF(Upgrades!$T$19="Roche Lobe Overflow",POWER(Upgrades!$U$19,K55),1)*IF(Upgrades!$T$20="Roche Lobe Overflow",POWER(Upgrades!$U$20,L55),1)*IF(Upgrades!$T$21="Roche Lobe Overflow",POWER(Upgrades!$U$21,M55),1))*$H$6*O55+((IF(F55=0,0,(Upgrades!$G$14+F55*Upgrades!$H$14)*POWER(Upgrades!$I$14,F55)))*(IF(Upgrades!$T$13="Local Bubble",POWER(Upgrades!$U$13,E55),1)*IF(Upgrades!$T$15="Local Bubble",POWER(Upgrades!$U$15,G55),1)*IF(Upgrades!$T$16="Local Bubble",POWER(Upgrades!$U$16,H55),1)*IF(Upgrades!$T$17="Local Bubble",POWER(Upgrades!$U$17,I55),1)*IF(Upgrades!$T$18="Local Bubble",POWER(Upgrades!$U$18,J55),1)*IF(Upgrades!$T$19="Local Bubble",POWER(Upgrades!$U$19,K55),1)*IF(Upgrades!$T$20="Local Bubble",POWER(Upgrades!$U$20,L55),1)*IF(Upgrades!$T$21="Local Bubble",POWER(Upgrades!$U$21,M55),1))*POWER(Upgrades!$P$13,E55)*POWER(Upgrades!$P$14,F55)*POWER(Upgrades!$P$15,G55)*POWER(Upgrades!$P$16,H55)*POWER(Upgrades!$P$17,I55)*POWER(Upgrades!$P$18,J55)*POWER(Upgrades!$P$19,K55)*POWER(Upgrades!$P$20,L55)*POWER(Upgrades!$P$21,M55)*$F$6)*0.05)/AN55,0)</f>
        <v/>
      </c>
      <c r="BC55" s="32">
        <f>IFERROR((Upgrades!$H$17*(POWER(Upgrades!$P$13,E55)*POWER(Upgrades!$P$14,F55)*POWER(Upgrades!$P$15,G55)*POWER(Upgrades!$P$16,H55)*POWER(Upgrades!$P$17,I55)*POWER(Upgrades!$P$18,J55)*POWER(Upgrades!$P$19,K55)*POWER(Upgrades!$P$20,L55)*POWER(Upgrades!$P$21,M55))*(IF(Upgrades!$T$13="Brown Dwarf",POWER(Upgrades!$U$13,E55),1)*IF(Upgrades!$T$14="Brown Dwarf",POWER(Upgrades!$U$14,F55),1)*IF(Upgrades!$T$15="Brown Dwarf",POWER(Upgrades!$U$15,G55),1)*IF(Upgrades!$T$16="Brown Dwarf",POWER(Upgrades!$U$16,H55),1)*IF(Upgrades!$T$18="Brown Dwarf",POWER(Upgrades!$U$18,J55),1)*IF(Upgrades!$T$19="Brown Dwarf",POWER(Upgrades!$U$19,K55),1)*IF(Upgrades!$T$20="Brown Dwarf",POWER(Upgrades!$U$20,L55),1)*IF(Upgrades!$T$21="Brown Dwarf",POWER(Upgrades!$U$21,M55),1))*$F$6+(((IF(H55=0,0,(Upgrades!$M$16+H55*Upgrades!$N$16)*POWER(Upgrades!$O$16,H55)))*(IF(Upgrades!$T$13="Roche Lobe Overflow",POWER(Upgrades!$U$13,E55),1)*IF(Upgrades!$T$14="Roche Lobe Overflow",POWER(Upgrades!$U$14,F55),1)*IF(Upgrades!$T$15="Roche Lobe Overflow",POWER(Upgrades!$U$15,G55),1)*IF(Upgrades!$T$17="Roche Lobe Overflow",POWER(Upgrades!$U$17,I55),1)*IF(Upgrades!$T$18="Roche Lobe Overflow",POWER(Upgrades!$U$18,J55),1)*IF(Upgrades!$T$19="Roche Lobe Overflow",POWER(Upgrades!$U$19,K55),1)*IF(Upgrades!$T$20="Roche Lobe Overflow",POWER(Upgrades!$U$20,L55),1)*IF(Upgrades!$T$21="Roche Lobe Overflow",POWER(Upgrades!$U$21,M55),1))*POWER(Upgrades!$R$13,E55)*POWER(Upgrades!$R$14,F55)*POWER(Upgrades!$R$15,G55)*POWER(Upgrades!$R$16,H55)*POWER(Upgrades!$R$17,I55)*POWER(Upgrades!$R$18,J55)*POWER(Upgrades!$R$19,K55)*POWER(Upgrades!$R$20,L55)*POWER(Upgrades!$R$21,M55)*$H$6)*O55)*0.10)/AO55,0)</f>
        <v/>
      </c>
      <c r="BD55" s="32">
        <f>MAX(IF(J55&gt;0,0,IFERROR(0.5*((IF(G55=0,0,(Upgrades!$J$15+G55*Upgrades!$K$15)*POWER(Upgrades!$L$15,G55)))*(IF(Upgrades!$T$13="Microlensing",POWER(Upgrades!$U$13,E55),1)*IF(Upgrades!$T$14="Microlensing",POWER(Upgrades!$U$14,F55),1)*IF(Upgrades!$T$16="Microlensing",POWER(Upgrades!$U$16,H55),1)*IF(Upgrades!$T$17="Microlensing",POWER(Upgrades!$U$17,I55),1)*IF(Upgrades!$T$18="Microlensing",POWER(Upgrades!$U$18,J55),1)*IF(Upgrades!$T$19="Microlensing",POWER(Upgrades!$U$19,K55),1)*IF(Upgrades!$T$20="Microlensing",POWER(Upgrades!$U$20,L55),1)*IF(Upgrades!$T$21="Microlensing",POWER(Upgrades!$U$21,M55),1))*(POWER(Upgrades!$Q$13,E55)*POWER(Upgrades!$Q$14,F55)*POWER(Upgrades!$Q$15,G55)*POWER(Upgrades!$Q$16,H55)*POWER(Upgrades!$Q$17,I55)*POWER(Upgrades!$Q$18,J55)*POWER(Upgrades!$Q$19,K55)*POWER(Upgrades!$Q$20,L55)*POWER(Upgrades!$Q$21,M55))*$G$6*(Parameters!$B$10/60*Parameters!$B$11+Q55))/Upgrades!$C$18,0)),IF(K55&gt;0,0,IFERROR(0.30*P55/Upgrades!$C$19,0)),IF(L55&gt;0,0,IFERROR(0.0001/Upgrades!$C$20,0)),IF(M55&gt;0,0,IFERROR((6.0*(POWER(Upgrades!$P$13,E55)*POWER(Upgrades!$P$14,F55)*POWER(Upgrades!$P$15,G55)*POWER(Upgrades!$P$16,H55)*POWER(Upgrades!$P$17,I55)*POWER(Upgrades!$P$18,J55)*POWER(Upgrades!$P$19,K55)*POWER(Upgrades!$P$20,L55)*POWER(Upgrades!$P$21,M55))*$F$6+0.20*O55*(Parameters!$B$10/60*Parameters!$B$11+Q55))/Upgrades!$C$21,0)),IF(AND(ISNUMBER(AK55),AK55&gt;(C55+T55)),AY55,0),IF(AND(ISNUMBER(AL55),AL55&gt;(C55+T55)),AZ55,0),IF(AND(ISNUMBER(AM55),AM55&gt;(C55+T55)),BA55,0),IF(AND(ISNUMBER(AN55),AN55&gt;(C55+T55)),BB55,0),IF(AND(ISNUMBER(AO55),AO55&gt;(C55+T55)),BC55,0))</f>
        <v/>
      </c>
      <c r="BE55" s="29">
        <f>IF(AT55=1,"transition",IF(MIN(IF(AND(J55=0,ISNUMBER(AP55),AP55&lt;=(C55+T55)),AP55,9E15),IF(AND(K55=0,ISNUMBER(AQ55),AQ55&lt;=(C55+T55)),AQ55,9E15),IF(AND(L55=0,ISNUMBER(AR55),AR55&lt;=(C55+T55)),AR55,9E15),IF(AND(M55=0,ISNUMBER(AS55),AS55&lt;=(C55+T55)),AS55,9E15))&lt;9E15,IF(AND(AND(J55=0,ISNUMBER(AP55),AP55&lt;=(C55+T55)),AP55=MIN(IF(AND(J55=0,ISNUMBER(AP55),AP55&lt;=(C55+T55)),AP55,9E15),IF(AND(K55=0,ISNUMBER(AQ55),AQ55&lt;=(C55+T55)),AQ55,9E15),IF(AND(L55=0,ISNUMBER(AR55),AR55&lt;=(C55+T55)),AR55,9E15),IF(AND(M55=0,ISNUMBER(AS55),AS55&lt;=(C55+T55)),AS55,9E15))),"BiP",IF(AND(AND(K55=0,ISNUMBER(AQ55),AQ55&lt;=(C55+T55)),AQ55=MIN(IF(AND(J55=0,ISNUMBER(AP55),AP55&lt;=(C55+T55)),AP55,9E15),IF(AND(K55=0,ISNUMBER(AQ55),AQ55&lt;=(C55+T55)),AQ55,9E15),IF(AND(L55=0,ISNUMBER(AR55),AR55&lt;=(C55+T55)),AR55,9E15),IF(AND(M55=0,ISNUMBER(AS55),AS55&lt;=(C55+T55)),AS55,9E15))),"PV",IF(AND(AND(L55=0,ISNUMBER(AR55),AR55&lt;=(C55+T55)),AR55=MIN(IF(AND(J55=0,ISNUMBER(AP55),AP55&lt;=(C55+T55)),AP55,9E15),IF(AND(K55=0,ISNUMBER(AQ55),AQ55&lt;=(C55+T55)),AQ55,9E15),IF(AND(L55=0,ISNUMBER(AR55),AR55&lt;=(C55+T55)),AR55,9E15),IF(AND(M55=0,ISNUMBER(AS55),AS55&lt;=(C55+T55)),AS55,9E15))),"OC","MG"))),IF(AX55=TRUE,"",IF(MAX(IF(AND(NOT(AND(AU55=1,AT55&lt;&gt;1)),ISNUMBER(AK55),AK55&lt;=(C55+T55)),AY55,0),IF(AND(NOT(AND(AU55=1,AT55&lt;&gt;1)),ISNUMBER(AL55),AL55&lt;=(C55+T55)),AZ55,0),IF(AND(NOT(AND(AU55=1,AT55&lt;&gt;1)),ISNUMBER(AM55),AM55&lt;=(C55+T55)),BA55,0),IF(AND(NOT(AND(AU55=1,AT55&lt;&gt;1)),ISNUMBER(AN55),AN55&lt;=(C55+T55)),BB55,0),IF(AND(ISNUMBER(AO55),AO55&lt;=(C55+T55)),BC55,0))&lt;=0,"",IF(AND(IF(AND(NOT(AND(AU55=1,AT55&lt;&gt;1)),ISNUMBER(AK55),AK55&lt;=(C55+T55)),AY55,0)&gt;0,IF(AND(NOT(AND(AU55=1,AT55&lt;&gt;1)),ISNUMBER(AK55),AK55&lt;=(C55+T55)),AY55,0)=MAX(IF(AND(NOT(AND(AU55=1,AT55&lt;&gt;1)),ISNUMBER(AK55),AK55&lt;=(C55+T55)),AY55,0),IF(AND(NOT(AND(AU55=1,AT55&lt;&gt;1)),ISNUMBER(AL55),AL55&lt;=(C55+T55)),AZ55,0),IF(AND(NOT(AND(AU55=1,AT55&lt;&gt;1)),ISNUMBER(AM55),AM55&lt;=(C55+T55)),BA55,0),IF(AND(NOT(AND(AU55=1,AT55&lt;&gt;1)),ISNUMBER(AN55),AN55&lt;=(C55+T55)),BB55,0),IF(AND(ISNUMBER(AO55),AO55&lt;=(C55+T55)),BC55,0))),"SK",IF(AND(IF(AND(NOT(AND(AU55=1,AT55&lt;&gt;1)),ISNUMBER(AL55),AL55&lt;=(C55+T55)),AZ55,0)&gt;0,IF(AND(NOT(AND(AU55=1,AT55&lt;&gt;1)),ISNUMBER(AL55),AL55&lt;=(C55+T55)),AZ55,0)=MAX(IF(AND(NOT(AND(AU55=1,AT55&lt;&gt;1)),ISNUMBER(AK55),AK55&lt;=(C55+T55)),AY55,0),IF(AND(NOT(AND(AU55=1,AT55&lt;&gt;1)),ISNUMBER(AL55),AL55&lt;=(C55+T55)),AZ55,0),IF(AND(NOT(AND(AU55=1,AT55&lt;&gt;1)),ISNUMBER(AM55),AM55&lt;=(C55+T55)),BA55,0),IF(AND(NOT(AND(AU55=1,AT55&lt;&gt;1)),ISNUMBER(AN55),AN55&lt;=(C55+T55)),BB55,0),IF(AND(ISNUMBER(AO55),AO55&lt;=(C55+T55)),BC55,0))),"LB",IF(AND(IF(AND(NOT(AND(AU55=1,AT55&lt;&gt;1)),ISNUMBER(AM55),AM55&lt;=(C55+T55)),BA55,0)&gt;0,IF(AND(NOT(AND(AU55=1,AT55&lt;&gt;1)),ISNUMBER(AM55),AM55&lt;=(C55+T55)),BA55,0)=MAX(IF(AND(NOT(AND(AU55=1,AT55&lt;&gt;1)),ISNUMBER(AK55),AK55&lt;=(C55+T55)),AY55,0),IF(AND(NOT(AND(AU55=1,AT55&lt;&gt;1)),ISNUMBER(AL55),AL55&lt;=(C55+T55)),AZ55,0),IF(AND(NOT(AND(AU55=1,AT55&lt;&gt;1)),ISNUMBER(AM55),AM55&lt;=(C55+T55)),BA55,0),IF(AND(NOT(AND(AU55=1,AT55&lt;&gt;1)),ISNUMBER(AN55),AN55&lt;=(C55+T55)),BB55,0),IF(AND(ISNUMBER(AO55),AO55&lt;=(C55+T55)),BC55,0))),"ML",IF(AND(IF(AND(NOT(AND(AU55=1,AT55&lt;&gt;1)),ISNUMBER(AN55),AN55&lt;=(C55+T55)),BB55,0)&gt;0,IF(AND(NOT(AND(AU55=1,AT55&lt;&gt;1)),ISNUMBER(AN55),AN55&lt;=(C55+T55)),BB55,0)=MAX(IF(AND(NOT(AND(AU55=1,AT55&lt;&gt;1)),ISNUMBER(AK55),AK55&lt;=(C55+T55)),AY55,0),IF(AND(NOT(AND(AU55=1,AT55&lt;&gt;1)),ISNUMBER(AL55),AL55&lt;=(C55+T55)),AZ55,0),IF(AND(NOT(AND(AU55=1,AT55&lt;&gt;1)),ISNUMBER(AM55),AM55&lt;=(C55+T55)),BA55,0),IF(AND(NOT(AND(AU55=1,AT55&lt;&gt;1)),ISNUMBER(AN55),AN55&lt;=(C55+T55)),BB55,0),IF(AND(ISNUMBER(AO55),AO55&lt;=(C55+T55)),BC55,0))),"RLO","BD"))))))))</f>
        <v/>
      </c>
    </row>
    <row r="56">
      <c r="A56" s="26" t="n">
        <v>45</v>
      </c>
      <c r="B56" s="27">
        <f>A56*10/60</f>
        <v/>
      </c>
      <c r="C56" s="22">
        <f>X55</f>
        <v/>
      </c>
      <c r="D56" s="27">
        <f>D55+W55</f>
        <v/>
      </c>
      <c r="E56" s="26">
        <f>E55+IF(U55="SK",1,0)</f>
        <v/>
      </c>
      <c r="F56" s="26">
        <f>F55+IF(U55="LB",1,0)</f>
        <v/>
      </c>
      <c r="G56" s="26">
        <f>G55+IF(U55="ML",1,0)</f>
        <v/>
      </c>
      <c r="H56" s="26">
        <f>H55+IF(U55="RLO",1,0)</f>
        <v/>
      </c>
      <c r="I56" s="26">
        <f>I55+IF(U55="BD",1,0)</f>
        <v/>
      </c>
      <c r="J56" s="26">
        <f>MAX(J55,IF(U55="BiP",1,0))</f>
        <v/>
      </c>
      <c r="K56" s="26">
        <f>MAX(K55,IF(U55="PV",1,0))</f>
        <v/>
      </c>
      <c r="L56" s="26">
        <f>MAX(L55,IF(U55="OC",1,0))</f>
        <v/>
      </c>
      <c r="M56" s="26">
        <f>MAX(M55,IF(U55="MG",1,0))</f>
        <v/>
      </c>
      <c r="N56" s="26">
        <f>MAX(N55,IF(U55="transition",1,0))</f>
        <v/>
      </c>
      <c r="O56" s="28">
        <f>(Parameters!$B$9+(IF(E56=0,0,(Upgrades!$J$13+E56*Upgrades!$K$13)*POWER(Upgrades!$L$13,E56)))*(IF(Upgrades!$T$14="Stellar Kinematics",POWER(Upgrades!$U$14,F56),1)*IF(Upgrades!$T$15="Stellar Kinematics",POWER(Upgrades!$U$15,G56),1)*IF(Upgrades!$T$16="Stellar Kinematics",POWER(Upgrades!$U$16,H56),1)*IF(Upgrades!$T$17="Stellar Kinematics",POWER(Upgrades!$U$17,I56),1)*IF(Upgrades!$T$18="Stellar Kinematics",POWER(Upgrades!$U$18,J56),1)*IF(Upgrades!$T$19="Stellar Kinematics",POWER(Upgrades!$U$19,K56),1)*IF(Upgrades!$T$20="Stellar Kinematics",POWER(Upgrades!$U$20,L56),1)*IF(Upgrades!$T$21="Stellar Kinematics",POWER(Upgrades!$U$21,M56),1))+(IF(F56=0,0,(Upgrades!$J$14+F56*Upgrades!$K$14)*POWER(Upgrades!$L$14,F56)))*(IF(Upgrades!$T$13="Local Bubble",POWER(Upgrades!$U$13,E56),1)*IF(Upgrades!$T$15="Local Bubble",POWER(Upgrades!$U$15,G56),1)*IF(Upgrades!$T$16="Local Bubble",POWER(Upgrades!$U$16,H56),1)*IF(Upgrades!$T$17="Local Bubble",POWER(Upgrades!$U$17,I56),1)*IF(Upgrades!$T$18="Local Bubble",POWER(Upgrades!$U$18,J56),1)*IF(Upgrades!$T$19="Local Bubble",POWER(Upgrades!$U$19,K56),1)*IF(Upgrades!$T$20="Local Bubble",POWER(Upgrades!$U$20,L56),1)*IF(Upgrades!$T$21="Local Bubble",POWER(Upgrades!$U$21,M56),1))+(IF(G56=0,0,(Upgrades!$J$15+G56*Upgrades!$K$15)*POWER(Upgrades!$L$15,G56)))*(IF(Upgrades!$T$13="Microlensing",POWER(Upgrades!$U$13,E56),1)*IF(Upgrades!$T$14="Microlensing",POWER(Upgrades!$U$14,F56),1)*IF(Upgrades!$T$16="Microlensing",POWER(Upgrades!$U$16,H56),1)*IF(Upgrades!$T$17="Microlensing",POWER(Upgrades!$U$17,I56),1)*IF(Upgrades!$T$18="Microlensing",POWER(Upgrades!$U$18,J56),1)*IF(Upgrades!$T$19="Microlensing",POWER(Upgrades!$U$19,K56),1)*IF(Upgrades!$T$20="Microlensing",POWER(Upgrades!$U$20,L56),1)*IF(Upgrades!$T$21="Microlensing",POWER(Upgrades!$U$21,M56),1))+(IF(H56=0,0,(Upgrades!$J$16+H56*Upgrades!$K$16)*POWER(Upgrades!$L$16,H56)))*(IF(Upgrades!$T$13="Roche Lobe Overflow",POWER(Upgrades!$U$13,E56),1)*IF(Upgrades!$T$14="Roche Lobe Overflow",POWER(Upgrades!$U$14,F56),1)*IF(Upgrades!$T$15="Roche Lobe Overflow",POWER(Upgrades!$U$15,G56),1)*IF(Upgrades!$T$17="Roche Lobe Overflow",POWER(Upgrades!$U$17,I56),1)*IF(Upgrades!$T$18="Roche Lobe Overflow",POWER(Upgrades!$U$18,J56),1)*IF(Upgrades!$T$19="Roche Lobe Overflow",POWER(Upgrades!$U$19,K56),1)*IF(Upgrades!$T$20="Roche Lobe Overflow",POWER(Upgrades!$U$20,L56),1)*IF(Upgrades!$T$21="Roche Lobe Overflow",POWER(Upgrades!$U$21,M56),1))+(IF(I56=0,0,(Upgrades!$J$17+I56*Upgrades!$K$17)*POWER(Upgrades!$L$17,I56)))*(IF(Upgrades!$T$13="Brown Dwarf",POWER(Upgrades!$U$13,E56),1)*IF(Upgrades!$T$14="Brown Dwarf",POWER(Upgrades!$U$14,F56),1)*IF(Upgrades!$T$15="Brown Dwarf",POWER(Upgrades!$U$15,G56),1)*IF(Upgrades!$T$16="Brown Dwarf",POWER(Upgrades!$U$16,H56),1)*IF(Upgrades!$T$18="Brown Dwarf",POWER(Upgrades!$U$18,J56),1)*IF(Upgrades!$T$19="Brown Dwarf",POWER(Upgrades!$U$19,K56),1)*IF(Upgrades!$T$20="Brown Dwarf",POWER(Upgrades!$U$20,L56),1)*IF(Upgrades!$T$21="Brown Dwarf",POWER(Upgrades!$U$21,M56),1))+(IF(J56=0,0,(Upgrades!$J$18+J56*Upgrades!$K$18)*POWER(Upgrades!$L$18,J56)))*(IF(Upgrades!$T$13="Binary Partner",POWER(Upgrades!$U$13,E56),1)*IF(Upgrades!$T$14="Binary Partner",POWER(Upgrades!$U$14,F56),1)*IF(Upgrades!$T$15="Binary Partner",POWER(Upgrades!$U$15,G56),1)*IF(Upgrades!$T$16="Binary Partner",POWER(Upgrades!$U$16,H56),1)*IF(Upgrades!$T$17="Binary Partner",POWER(Upgrades!$U$17,I56),1)*IF(Upgrades!$T$19="Binary Partner",POWER(Upgrades!$U$19,K56),1)*IF(Upgrades!$T$20="Binary Partner",POWER(Upgrades!$U$20,L56),1)*IF(Upgrades!$T$21="Binary Partner",POWER(Upgrades!$U$21,M56),1))+(IF(K56=0,0,(Upgrades!$J$19+K56*Upgrades!$K$19)*POWER(Upgrades!$L$19,K56)))*(IF(Upgrades!$T$13="Peculiar Velocity",POWER(Upgrades!$U$13,E56),1)*IF(Upgrades!$T$14="Peculiar Velocity",POWER(Upgrades!$U$14,F56),1)*IF(Upgrades!$T$15="Peculiar Velocity",POWER(Upgrades!$U$15,G56),1)*IF(Upgrades!$T$16="Peculiar Velocity",POWER(Upgrades!$U$16,H56),1)*IF(Upgrades!$T$17="Peculiar Velocity",POWER(Upgrades!$U$17,I56),1)*IF(Upgrades!$T$18="Peculiar Velocity",POWER(Upgrades!$U$18,J56),1)*IF(Upgrades!$T$20="Peculiar Velocity",POWER(Upgrades!$U$20,L56),1)*IF(Upgrades!$T$21="Peculiar Velocity",POWER(Upgrades!$U$21,M56),1))+(IF(L56=0,0,(Upgrades!$J$20+L56*Upgrades!$K$20)*POWER(Upgrades!$L$20,L56)))*(IF(Upgrades!$T$13="Open Cluster",POWER(Upgrades!$U$13,E56),1)*IF(Upgrades!$T$14="Open Cluster",POWER(Upgrades!$U$14,F56),1)*IF(Upgrades!$T$15="Open Cluster",POWER(Upgrades!$U$15,G56),1)*IF(Upgrades!$T$16="Open Cluster",POWER(Upgrades!$U$16,H56),1)*IF(Upgrades!$T$17="Open Cluster",POWER(Upgrades!$U$17,I56),1)*IF(Upgrades!$T$18="Open Cluster",POWER(Upgrades!$U$18,J56),1)*IF(Upgrades!$T$19="Open Cluster",POWER(Upgrades!$U$19,K56),1)*IF(Upgrades!$T$21="Open Cluster",POWER(Upgrades!$U$21,M56),1))+(IF(M56=0,0,(Upgrades!$J$21+M56*Upgrades!$K$21)*POWER(Upgrades!$L$21,M56)))*(IF(Upgrades!$T$13="Moving Group",POWER(Upgrades!$U$13,E56),1)*IF(Upgrades!$T$14="Moving Group",POWER(Upgrades!$U$14,F56),1)*IF(Upgrades!$T$15="Moving Group",POWER(Upgrades!$U$15,G56),1)*IF(Upgrades!$T$16="Moving Group",POWER(Upgrades!$U$16,H56),1)*IF(Upgrades!$T$17="Moving Group",POWER(Upgrades!$U$17,I56),1)*IF(Upgrades!$T$18="Moving Group",POWER(Upgrades!$U$18,J56),1)*IF(Upgrades!$T$19="Moving Group",POWER(Upgrades!$U$19,K56),1)*IF(Upgrades!$T$20="Moving Group",POWER(Upgrades!$U$20,L56),1)))*POWER(Upgrades!$Q$13,E56)*POWER(Upgrades!$Q$14,F56)*POWER(Upgrades!$Q$15,G56)*POWER(Upgrades!$Q$16,H56)*POWER(Upgrades!$Q$17,I56)*POWER(Upgrades!$Q$18,J56)*POWER(Upgrades!$Q$19,K56)*POWER(Upgrades!$Q$20,L56)*POWER(Upgrades!$Q$21,M56)*$G$6+$D$6</f>
        <v/>
      </c>
      <c r="P56" s="28">
        <f>((IF(E56=0,0,(Upgrades!$G$13+E56*Upgrades!$H$13)*POWER(Upgrades!$I$13,E56)))*(IF(Upgrades!$T$14="Stellar Kinematics",POWER(Upgrades!$U$14,F56),1)*IF(Upgrades!$T$15="Stellar Kinematics",POWER(Upgrades!$U$15,G56),1)*IF(Upgrades!$T$16="Stellar Kinematics",POWER(Upgrades!$U$16,H56),1)*IF(Upgrades!$T$17="Stellar Kinematics",POWER(Upgrades!$U$17,I56),1)*IF(Upgrades!$T$18="Stellar Kinematics",POWER(Upgrades!$U$18,J56),1)*IF(Upgrades!$T$19="Stellar Kinematics",POWER(Upgrades!$U$19,K56),1)*IF(Upgrades!$T$20="Stellar Kinematics",POWER(Upgrades!$U$20,L56),1)*IF(Upgrades!$T$21="Stellar Kinematics",POWER(Upgrades!$U$21,M56),1))+(IF(F56=0,0,(Upgrades!$G$14+F56*Upgrades!$H$14)*POWER(Upgrades!$I$14,F56)))*(IF(Upgrades!$T$13="Local Bubble",POWER(Upgrades!$U$13,E56),1)*IF(Upgrades!$T$15="Local Bubble",POWER(Upgrades!$U$15,G56),1)*IF(Upgrades!$T$16="Local Bubble",POWER(Upgrades!$U$16,H56),1)*IF(Upgrades!$T$17="Local Bubble",POWER(Upgrades!$U$17,I56),1)*IF(Upgrades!$T$18="Local Bubble",POWER(Upgrades!$U$18,J56),1)*IF(Upgrades!$T$19="Local Bubble",POWER(Upgrades!$U$19,K56),1)*IF(Upgrades!$T$20="Local Bubble",POWER(Upgrades!$U$20,L56),1)*IF(Upgrades!$T$21="Local Bubble",POWER(Upgrades!$U$21,M56),1))+(IF(G56=0,0,(Upgrades!$G$15+G56*Upgrades!$H$15)*POWER(Upgrades!$I$15,G56)))*(IF(Upgrades!$T$13="Microlensing",POWER(Upgrades!$U$13,E56),1)*IF(Upgrades!$T$14="Microlensing",POWER(Upgrades!$U$14,F56),1)*IF(Upgrades!$T$16="Microlensing",POWER(Upgrades!$U$16,H56),1)*IF(Upgrades!$T$17="Microlensing",POWER(Upgrades!$U$17,I56),1)*IF(Upgrades!$T$18="Microlensing",POWER(Upgrades!$U$18,J56),1)*IF(Upgrades!$T$19="Microlensing",POWER(Upgrades!$U$19,K56),1)*IF(Upgrades!$T$20="Microlensing",POWER(Upgrades!$U$20,L56),1)*IF(Upgrades!$T$21="Microlensing",POWER(Upgrades!$U$21,M56),1))+(IF(H56=0,0,(Upgrades!$G$16+H56*Upgrades!$H$16)*POWER(Upgrades!$I$16,H56)))*(IF(Upgrades!$T$13="Roche Lobe Overflow",POWER(Upgrades!$U$13,E56),1)*IF(Upgrades!$T$14="Roche Lobe Overflow",POWER(Upgrades!$U$14,F56),1)*IF(Upgrades!$T$15="Roche Lobe Overflow",POWER(Upgrades!$U$15,G56),1)*IF(Upgrades!$T$17="Roche Lobe Overflow",POWER(Upgrades!$U$17,I56),1)*IF(Upgrades!$T$18="Roche Lobe Overflow",POWER(Upgrades!$U$18,J56),1)*IF(Upgrades!$T$19="Roche Lobe Overflow",POWER(Upgrades!$U$19,K56),1)*IF(Upgrades!$T$20="Roche Lobe Overflow",POWER(Upgrades!$U$20,L56),1)*IF(Upgrades!$T$21="Roche Lobe Overflow",POWER(Upgrades!$U$21,M56),1))+(IF(I56=0,0,(Upgrades!$G$17+I56*Upgrades!$H$17)*POWER(Upgrades!$I$17,I56)))*(IF(Upgrades!$T$13="Brown Dwarf",POWER(Upgrades!$U$13,E56),1)*IF(Upgrades!$T$14="Brown Dwarf",POWER(Upgrades!$U$14,F56),1)*IF(Upgrades!$T$15="Brown Dwarf",POWER(Upgrades!$U$15,G56),1)*IF(Upgrades!$T$16="Brown Dwarf",POWER(Upgrades!$U$16,H56),1)*IF(Upgrades!$T$18="Brown Dwarf",POWER(Upgrades!$U$18,J56),1)*IF(Upgrades!$T$19="Brown Dwarf",POWER(Upgrades!$U$19,K56),1)*IF(Upgrades!$T$20="Brown Dwarf",POWER(Upgrades!$U$20,L56),1)*IF(Upgrades!$T$21="Brown Dwarf",POWER(Upgrades!$U$21,M56),1))+(IF(J56=0,0,(Upgrades!$G$18+J56*Upgrades!$H$18)*POWER(Upgrades!$I$18,J56)))*(IF(Upgrades!$T$13="Binary Partner",POWER(Upgrades!$U$13,E56),1)*IF(Upgrades!$T$14="Binary Partner",POWER(Upgrades!$U$14,F56),1)*IF(Upgrades!$T$15="Binary Partner",POWER(Upgrades!$U$15,G56),1)*IF(Upgrades!$T$16="Binary Partner",POWER(Upgrades!$U$16,H56),1)*IF(Upgrades!$T$17="Binary Partner",POWER(Upgrades!$U$17,I56),1)*IF(Upgrades!$T$19="Binary Partner",POWER(Upgrades!$U$19,K56),1)*IF(Upgrades!$T$20="Binary Partner",POWER(Upgrades!$U$20,L56),1)*IF(Upgrades!$T$21="Binary Partner",POWER(Upgrades!$U$21,M56),1))+(IF(K56=0,0,(Upgrades!$G$19+K56*Upgrades!$H$19)*POWER(Upgrades!$I$19,K56)))*(IF(Upgrades!$T$13="Peculiar Velocity",POWER(Upgrades!$U$13,E56),1)*IF(Upgrades!$T$14="Peculiar Velocity",POWER(Upgrades!$U$14,F56),1)*IF(Upgrades!$T$15="Peculiar Velocity",POWER(Upgrades!$U$15,G56),1)*IF(Upgrades!$T$16="Peculiar Velocity",POWER(Upgrades!$U$16,H56),1)*IF(Upgrades!$T$17="Peculiar Velocity",POWER(Upgrades!$U$17,I56),1)*IF(Upgrades!$T$18="Peculiar Velocity",POWER(Upgrades!$U$18,J56),1)*IF(Upgrades!$T$20="Peculiar Velocity",POWER(Upgrades!$U$20,L56),1)*IF(Upgrades!$T$21="Peculiar Velocity",POWER(Upgrades!$U$21,M56),1))+(IF(L56=0,0,(Upgrades!$G$20+L56*Upgrades!$H$20)*POWER(Upgrades!$I$20,L56)))*(IF(Upgrades!$T$13="Open Cluster",POWER(Upgrades!$U$13,E56),1)*IF(Upgrades!$T$14="Open Cluster",POWER(Upgrades!$U$14,F56),1)*IF(Upgrades!$T$15="Open Cluster",POWER(Upgrades!$U$15,G56),1)*IF(Upgrades!$T$16="Open Cluster",POWER(Upgrades!$U$16,H56),1)*IF(Upgrades!$T$17="Open Cluster",POWER(Upgrades!$U$17,I56),1)*IF(Upgrades!$T$18="Open Cluster",POWER(Upgrades!$U$18,J56),1)*IF(Upgrades!$T$19="Open Cluster",POWER(Upgrades!$U$19,K56),1)*IF(Upgrades!$T$21="Open Cluster",POWER(Upgrades!$U$21,M56),1))+(IF(M56=0,0,(Upgrades!$G$21+M56*Upgrades!$H$21)*POWER(Upgrades!$I$21,M56)))*(IF(Upgrades!$T$13="Moving Group",POWER(Upgrades!$U$13,E56),1)*IF(Upgrades!$T$14="Moving Group",POWER(Upgrades!$U$14,F56),1)*IF(Upgrades!$T$15="Moving Group",POWER(Upgrades!$U$15,G56),1)*IF(Upgrades!$T$16="Moving Group",POWER(Upgrades!$U$16,H56),1)*IF(Upgrades!$T$17="Moving Group",POWER(Upgrades!$U$17,I56),1)*IF(Upgrades!$T$18="Moving Group",POWER(Upgrades!$U$18,J56),1)*IF(Upgrades!$T$19="Moving Group",POWER(Upgrades!$U$19,K56),1)*IF(Upgrades!$T$20="Moving Group",POWER(Upgrades!$U$20,L56),1)))*POWER(Upgrades!$P$13,E56)*POWER(Upgrades!$P$14,F56)*POWER(Upgrades!$P$15,G56)*POWER(Upgrades!$P$16,H56)*POWER(Upgrades!$P$17,I56)*POWER(Upgrades!$P$18,J56)*POWER(Upgrades!$P$19,K56)*POWER(Upgrades!$P$20,L56)*POWER(Upgrades!$P$21,M56)*$F$6+$C$6</f>
        <v/>
      </c>
      <c r="Q56" s="28">
        <f>((IF(E56=0,0,(Upgrades!$M$13+E56*Upgrades!$N$13)*POWER(Upgrades!$O$13,E56)))*(IF(Upgrades!$T$14="Stellar Kinematics",POWER(Upgrades!$U$14,F56),1)*IF(Upgrades!$T$15="Stellar Kinematics",POWER(Upgrades!$U$15,G56),1)*IF(Upgrades!$T$16="Stellar Kinematics",POWER(Upgrades!$U$16,H56),1)*IF(Upgrades!$T$17="Stellar Kinematics",POWER(Upgrades!$U$17,I56),1)*IF(Upgrades!$T$18="Stellar Kinematics",POWER(Upgrades!$U$18,J56),1)*IF(Upgrades!$T$19="Stellar Kinematics",POWER(Upgrades!$U$19,K56),1)*IF(Upgrades!$T$20="Stellar Kinematics",POWER(Upgrades!$U$20,L56),1)*IF(Upgrades!$T$21="Stellar Kinematics",POWER(Upgrades!$U$21,M56),1))+(IF(F56=0,0,(Upgrades!$M$14+F56*Upgrades!$N$14)*POWER(Upgrades!$O$14,F56)))*(IF(Upgrades!$T$13="Local Bubble",POWER(Upgrades!$U$13,E56),1)*IF(Upgrades!$T$15="Local Bubble",POWER(Upgrades!$U$15,G56),1)*IF(Upgrades!$T$16="Local Bubble",POWER(Upgrades!$U$16,H56),1)*IF(Upgrades!$T$17="Local Bubble",POWER(Upgrades!$U$17,I56),1)*IF(Upgrades!$T$18="Local Bubble",POWER(Upgrades!$U$18,J56),1)*IF(Upgrades!$T$19="Local Bubble",POWER(Upgrades!$U$19,K56),1)*IF(Upgrades!$T$20="Local Bubble",POWER(Upgrades!$U$20,L56),1)*IF(Upgrades!$T$21="Local Bubble",POWER(Upgrades!$U$21,M56),1))+(IF(G56=0,0,(Upgrades!$M$15+G56*Upgrades!$N$15)*POWER(Upgrades!$O$15,G56)))*(IF(Upgrades!$T$13="Microlensing",POWER(Upgrades!$U$13,E56),1)*IF(Upgrades!$T$14="Microlensing",POWER(Upgrades!$U$14,F56),1)*IF(Upgrades!$T$16="Microlensing",POWER(Upgrades!$U$16,H56),1)*IF(Upgrades!$T$17="Microlensing",POWER(Upgrades!$U$17,I56),1)*IF(Upgrades!$T$18="Microlensing",POWER(Upgrades!$U$18,J56),1)*IF(Upgrades!$T$19="Microlensing",POWER(Upgrades!$U$19,K56),1)*IF(Upgrades!$T$20="Microlensing",POWER(Upgrades!$U$20,L56),1)*IF(Upgrades!$T$21="Microlensing",POWER(Upgrades!$U$21,M56),1))+(IF(H56=0,0,(Upgrades!$M$16+H56*Upgrades!$N$16)*POWER(Upgrades!$O$16,H56)))*(IF(Upgrades!$T$13="Roche Lobe Overflow",POWER(Upgrades!$U$13,E56),1)*IF(Upgrades!$T$14="Roche Lobe Overflow",POWER(Upgrades!$U$14,F56),1)*IF(Upgrades!$T$15="Roche Lobe Overflow",POWER(Upgrades!$U$15,G56),1)*IF(Upgrades!$T$17="Roche Lobe Overflow",POWER(Upgrades!$U$17,I56),1)*IF(Upgrades!$T$18="Roche Lobe Overflow",POWER(Upgrades!$U$18,J56),1)*IF(Upgrades!$T$19="Roche Lobe Overflow",POWER(Upgrades!$U$19,K56),1)*IF(Upgrades!$T$20="Roche Lobe Overflow",POWER(Upgrades!$U$20,L56),1)*IF(Upgrades!$T$21="Roche Lobe Overflow",POWER(Upgrades!$U$21,M56),1))+(IF(I56=0,0,(Upgrades!$M$17+I56*Upgrades!$N$17)*POWER(Upgrades!$O$17,I56)))*(IF(Upgrades!$T$13="Brown Dwarf",POWER(Upgrades!$U$13,E56),1)*IF(Upgrades!$T$14="Brown Dwarf",POWER(Upgrades!$U$14,F56),1)*IF(Upgrades!$T$15="Brown Dwarf",POWER(Upgrades!$U$15,G56),1)*IF(Upgrades!$T$16="Brown Dwarf",POWER(Upgrades!$U$16,H56),1)*IF(Upgrades!$T$18="Brown Dwarf",POWER(Upgrades!$U$18,J56),1)*IF(Upgrades!$T$19="Brown Dwarf",POWER(Upgrades!$U$19,K56),1)*IF(Upgrades!$T$20="Brown Dwarf",POWER(Upgrades!$U$20,L56),1)*IF(Upgrades!$T$21="Brown Dwarf",POWER(Upgrades!$U$21,M56),1))+(IF(J56=0,0,(Upgrades!$M$18+J56*Upgrades!$N$18)*POWER(Upgrades!$O$18,J56)))*(IF(Upgrades!$T$13="Binary Partner",POWER(Upgrades!$U$13,E56),1)*IF(Upgrades!$T$14="Binary Partner",POWER(Upgrades!$U$14,F56),1)*IF(Upgrades!$T$15="Binary Partner",POWER(Upgrades!$U$15,G56),1)*IF(Upgrades!$T$16="Binary Partner",POWER(Upgrades!$U$16,H56),1)*IF(Upgrades!$T$17="Binary Partner",POWER(Upgrades!$U$17,I56),1)*IF(Upgrades!$T$19="Binary Partner",POWER(Upgrades!$U$19,K56),1)*IF(Upgrades!$T$20="Binary Partner",POWER(Upgrades!$U$20,L56),1)*IF(Upgrades!$T$21="Binary Partner",POWER(Upgrades!$U$21,M56),1))+(IF(K56=0,0,(Upgrades!$M$19+K56*Upgrades!$N$19)*POWER(Upgrades!$O$19,K56)))*(IF(Upgrades!$T$13="Peculiar Velocity",POWER(Upgrades!$U$13,E56),1)*IF(Upgrades!$T$14="Peculiar Velocity",POWER(Upgrades!$U$14,F56),1)*IF(Upgrades!$T$15="Peculiar Velocity",POWER(Upgrades!$U$15,G56),1)*IF(Upgrades!$T$16="Peculiar Velocity",POWER(Upgrades!$U$16,H56),1)*IF(Upgrades!$T$17="Peculiar Velocity",POWER(Upgrades!$U$17,I56),1)*IF(Upgrades!$T$18="Peculiar Velocity",POWER(Upgrades!$U$18,J56),1)*IF(Upgrades!$T$20="Peculiar Velocity",POWER(Upgrades!$U$20,L56),1)*IF(Upgrades!$T$21="Peculiar Velocity",POWER(Upgrades!$U$21,M56),1))+(IF(L56=0,0,(Upgrades!$M$20+L56*Upgrades!$N$20)*POWER(Upgrades!$O$20,L56)))*(IF(Upgrades!$T$13="Open Cluster",POWER(Upgrades!$U$13,E56),1)*IF(Upgrades!$T$14="Open Cluster",POWER(Upgrades!$U$14,F56),1)*IF(Upgrades!$T$15="Open Cluster",POWER(Upgrades!$U$15,G56),1)*IF(Upgrades!$T$16="Open Cluster",POWER(Upgrades!$U$16,H56),1)*IF(Upgrades!$T$17="Open Cluster",POWER(Upgrades!$U$17,I56),1)*IF(Upgrades!$T$18="Open Cluster",POWER(Upgrades!$U$18,J56),1)*IF(Upgrades!$T$19="Open Cluster",POWER(Upgrades!$U$19,K56),1)*IF(Upgrades!$T$21="Open Cluster",POWER(Upgrades!$U$21,M56),1))+(IF(M56=0,0,(Upgrades!$M$21+M56*Upgrades!$N$21)*POWER(Upgrades!$O$21,M56)))*(IF(Upgrades!$T$13="Moving Group",POWER(Upgrades!$U$13,E56),1)*IF(Upgrades!$T$14="Moving Group",POWER(Upgrades!$U$14,F56),1)*IF(Upgrades!$T$15="Moving Group",POWER(Upgrades!$U$15,G56),1)*IF(Upgrades!$T$16="Moving Group",POWER(Upgrades!$U$16,H56),1)*IF(Upgrades!$T$17="Moving Group",POWER(Upgrades!$U$17,I56),1)*IF(Upgrades!$T$18="Moving Group",POWER(Upgrades!$U$18,J56),1)*IF(Upgrades!$T$19="Moving Group",POWER(Upgrades!$U$19,K56),1)*IF(Upgrades!$T$20="Moving Group",POWER(Upgrades!$U$20,L56),1)))*POWER(Upgrades!$R$13,E56)*POWER(Upgrades!$R$14,F56)*POWER(Upgrades!$R$15,G56)*POWER(Upgrades!$R$16,H56)*POWER(Upgrades!$R$17,I56)*POWER(Upgrades!$R$18,J56)*POWER(Upgrades!$R$19,K56)*POWER(Upgrades!$R$20,L56)*POWER(Upgrades!$R$21,M56)*$H$6+$E$6</f>
        <v/>
      </c>
      <c r="R56" s="27">
        <f>IF(N56=1,0,O56*Parameters!$B$10/60*Parameters!$B$11*10)</f>
        <v/>
      </c>
      <c r="S56" s="27">
        <f>IF(N56=1,0,Q56*O56*10)</f>
        <v/>
      </c>
      <c r="T56" s="27">
        <f>IF(N56=1,0,R56+S56+P56*10)</f>
        <v/>
      </c>
      <c r="U56" s="33">
        <f>BE56</f>
        <v/>
      </c>
      <c r="V56" s="22">
        <f>IF(U56="",0,IF(U56="transition",0,IF(U56="SK",AK56,IF(U56="LB",AL56,IF(U56="ML",AM56,IF(U56="RLO",AN56,IF(U56="BD",AO56,IF(U56="BiP",AP56,IF(U56="PV",AQ56,IF(U56="OC",AR56,IF(U56="MG",AS56,0))))))))))</f>
        <v/>
      </c>
      <c r="W56" s="27">
        <f>IF(U56="BiP",Upgrades!$F$18,IF(U56="PV",Upgrades!$F$19,IF(U56="OC",Upgrades!$F$20,IF(U56="MG",Upgrades!$F$21,IF(U56="transition",-Parameters!$B$18*Parameters!$B$19,0)))))</f>
        <v/>
      </c>
      <c r="X56" s="22">
        <f>C56+T56-V56</f>
        <v/>
      </c>
      <c r="Y56" s="30">
        <f>O56*Parameters!$B$10/60*Parameters!$B$11+Q56*O56+P56</f>
        <v/>
      </c>
      <c r="Z56" s="34">
        <f>IF(U56="transition","→ Tier 3 (Galactic Arm)",IF(U56="MG","Moving Group — pocket drifts together",IF(U56="OC","Open Cluster acquired",IF(U56="PV","Peculiar Velocity — passive multiplier active",IF(U56="BiP","Binary Partner — pair bond formed",IF(AND(AU56=1,N56=0,AT56&lt;&gt;1),"Cohesion ready (waiting on completionists)","")))))) </f>
        <v/>
      </c>
      <c r="AA56" s="27">
        <f>(IF(E56=0,0,(Upgrades!$G$13+E56*Upgrades!$H$13)*POWER(Upgrades!$I$13,E56)))*(IF(Upgrades!$T$14="Stellar Kinematics",POWER(Upgrades!$U$14,F56),1)*IF(Upgrades!$T$15="Stellar Kinematics",POWER(Upgrades!$U$15,G56),1)*IF(Upgrades!$T$16="Stellar Kinematics",POWER(Upgrades!$U$16,H56),1)*IF(Upgrades!$T$17="Stellar Kinematics",POWER(Upgrades!$U$17,I56),1)*IF(Upgrades!$T$18="Stellar Kinematics",POWER(Upgrades!$U$18,J56),1)*IF(Upgrades!$T$19="Stellar Kinematics",POWER(Upgrades!$U$19,K56),1)*IF(Upgrades!$T$20="Stellar Kinematics",POWER(Upgrades!$U$20,L56),1)*IF(Upgrades!$T$21="Stellar Kinematics",POWER(Upgrades!$U$21,M56),1))*POWER(Upgrades!$P$13,E56)*POWER(Upgrades!$P$14,F56)*POWER(Upgrades!$P$15,G56)*POWER(Upgrades!$P$16,H56)*POWER(Upgrades!$P$17,I56)*POWER(Upgrades!$P$18,J56)*POWER(Upgrades!$P$19,K56)*POWER(Upgrades!$P$20,L56)*POWER(Upgrades!$P$21,M56)*$F$6*60</f>
        <v/>
      </c>
      <c r="AB56" s="27">
        <f>(IF(F56=0,0,(Upgrades!$G$14+F56*Upgrades!$H$14)*POWER(Upgrades!$I$14,F56)))*(IF(Upgrades!$T$13="Local Bubble",POWER(Upgrades!$U$13,E56),1)*IF(Upgrades!$T$15="Local Bubble",POWER(Upgrades!$U$15,G56),1)*IF(Upgrades!$T$16="Local Bubble",POWER(Upgrades!$U$16,H56),1)*IF(Upgrades!$T$17="Local Bubble",POWER(Upgrades!$U$17,I56),1)*IF(Upgrades!$T$18="Local Bubble",POWER(Upgrades!$U$18,J56),1)*IF(Upgrades!$T$19="Local Bubble",POWER(Upgrades!$U$19,K56),1)*IF(Upgrades!$T$20="Local Bubble",POWER(Upgrades!$U$20,L56),1)*IF(Upgrades!$T$21="Local Bubble",POWER(Upgrades!$U$21,M56),1))*POWER(Upgrades!$P$13,E56)*POWER(Upgrades!$P$14,F56)*POWER(Upgrades!$P$15,G56)*POWER(Upgrades!$P$16,H56)*POWER(Upgrades!$P$17,I56)*POWER(Upgrades!$P$18,J56)*POWER(Upgrades!$P$19,K56)*POWER(Upgrades!$P$20,L56)*POWER(Upgrades!$P$21,M56)*$F$6*60</f>
        <v/>
      </c>
      <c r="AC56" s="27">
        <f>(IF(G56=0,0,(Upgrades!$J$15+G56*Upgrades!$K$15)*POWER(Upgrades!$L$15,G56)))*(IF(Upgrades!$T$13="Microlensing",POWER(Upgrades!$U$13,E56),1)*IF(Upgrades!$T$14="Microlensing",POWER(Upgrades!$U$14,F56),1)*IF(Upgrades!$T$16="Microlensing",POWER(Upgrades!$U$16,H56),1)*IF(Upgrades!$T$17="Microlensing",POWER(Upgrades!$U$17,I56),1)*IF(Upgrades!$T$18="Microlensing",POWER(Upgrades!$U$18,J56),1)*IF(Upgrades!$T$19="Microlensing",POWER(Upgrades!$U$19,K56),1)*IF(Upgrades!$T$20="Microlensing",POWER(Upgrades!$U$20,L56),1)*IF(Upgrades!$T$21="Microlensing",POWER(Upgrades!$U$21,M56),1))*POWER(Upgrades!$Q$13,E56)*POWER(Upgrades!$Q$14,F56)*POWER(Upgrades!$Q$15,G56)*POWER(Upgrades!$Q$16,H56)*POWER(Upgrades!$Q$17,I56)*POWER(Upgrades!$Q$18,J56)*POWER(Upgrades!$Q$19,K56)*POWER(Upgrades!$Q$20,L56)*POWER(Upgrades!$Q$21,M56)*$G$6*(Parameters!$B$10*Parameters!$B$11+Q56*60)</f>
        <v/>
      </c>
      <c r="AD56" s="27">
        <f>(IF(H56=0,0,(Upgrades!$M$16+H56*Upgrades!$N$16)*POWER(Upgrades!$O$16,H56)))*(IF(Upgrades!$T$13="Roche Lobe Overflow",POWER(Upgrades!$U$13,E56),1)*IF(Upgrades!$T$14="Roche Lobe Overflow",POWER(Upgrades!$U$14,F56),1)*IF(Upgrades!$T$15="Roche Lobe Overflow",POWER(Upgrades!$U$15,G56),1)*IF(Upgrades!$T$17="Roche Lobe Overflow",POWER(Upgrades!$U$17,I56),1)*IF(Upgrades!$T$18="Roche Lobe Overflow",POWER(Upgrades!$U$18,J56),1)*IF(Upgrades!$T$19="Roche Lobe Overflow",POWER(Upgrades!$U$19,K56),1)*IF(Upgrades!$T$20="Roche Lobe Overflow",POWER(Upgrades!$U$20,L56),1)*IF(Upgrades!$T$21="Roche Lobe Overflow",POWER(Upgrades!$U$21,M56),1))*POWER(Upgrades!$R$13,E56)*POWER(Upgrades!$R$14,F56)*POWER(Upgrades!$R$15,G56)*POWER(Upgrades!$R$16,H56)*POWER(Upgrades!$R$17,I56)*POWER(Upgrades!$R$18,J56)*POWER(Upgrades!$R$19,K56)*POWER(Upgrades!$R$20,L56)*POWER(Upgrades!$R$21,M56)*$H$6*O56*60</f>
        <v/>
      </c>
      <c r="AE56" s="27">
        <f>(IF(I56=0,0,(Upgrades!$G$17+I56*Upgrades!$H$17)*POWER(Upgrades!$I$17,I56)))*(IF(Upgrades!$T$13="Brown Dwarf",POWER(Upgrades!$U$13,E56),1)*IF(Upgrades!$T$14="Brown Dwarf",POWER(Upgrades!$U$14,F56),1)*IF(Upgrades!$T$15="Brown Dwarf",POWER(Upgrades!$U$15,G56),1)*IF(Upgrades!$T$16="Brown Dwarf",POWER(Upgrades!$U$16,H56),1)*IF(Upgrades!$T$18="Brown Dwarf",POWER(Upgrades!$U$18,J56),1)*IF(Upgrades!$T$19="Brown Dwarf",POWER(Upgrades!$U$19,K56),1)*IF(Upgrades!$T$20="Brown Dwarf",POWER(Upgrades!$U$20,L56),1)*IF(Upgrades!$T$21="Brown Dwarf",POWER(Upgrades!$U$21,M56),1))*POWER(Upgrades!$P$13,E56)*POWER(Upgrades!$P$14,F56)*POWER(Upgrades!$P$15,G56)*POWER(Upgrades!$P$16,H56)*POWER(Upgrades!$P$17,I56)*POWER(Upgrades!$P$18,J56)*POWER(Upgrades!$P$19,K56)*POWER(Upgrades!$P$20,L56)*POWER(Upgrades!$P$21,M56)*$F$6*60</f>
        <v/>
      </c>
      <c r="AF56" s="27" t="n">
        <v>0</v>
      </c>
      <c r="AG56" s="27" t="n">
        <v>0</v>
      </c>
      <c r="AH56" s="27" t="n">
        <v>0</v>
      </c>
      <c r="AI56" s="27">
        <f>(IF(M56=0,0,(Upgrades!$G$21+M56*Upgrades!$H$21)*POWER(Upgrades!$I$21,M56)))*(IF(Upgrades!$T$13="Moving Group",POWER(Upgrades!$U$13,E56),1)*IF(Upgrades!$T$14="Moving Group",POWER(Upgrades!$U$14,F56),1)*IF(Upgrades!$T$15="Moving Group",POWER(Upgrades!$U$15,G56),1)*IF(Upgrades!$T$16="Moving Group",POWER(Upgrades!$U$16,H56),1)*IF(Upgrades!$T$17="Moving Group",POWER(Upgrades!$U$17,I56),1)*IF(Upgrades!$T$18="Moving Group",POWER(Upgrades!$U$18,J56),1)*IF(Upgrades!$T$19="Moving Group",POWER(Upgrades!$U$19,K56),1)*IF(Upgrades!$T$20="Moving Group",POWER(Upgrades!$U$20,L56),1))*POWER(Upgrades!$P$13,E56)*POWER(Upgrades!$P$14,F56)*POWER(Upgrades!$P$15,G56)*POWER(Upgrades!$P$16,H56)*POWER(Upgrades!$P$17,I56)*POWER(Upgrades!$P$18,J56)*POWER(Upgrades!$P$19,K56)*POWER(Upgrades!$P$20,L56)*POWER(Upgrades!$P$21,M56)*$F$6*60</f>
        <v/>
      </c>
      <c r="AJ56" s="27">
        <f>$C$6*60</f>
        <v/>
      </c>
      <c r="AK56" s="22">
        <f>IF(E56&gt;=Upgrades!$E$13,"",Upgrades!$C$13*POWER(Upgrades!$D$13,E56))</f>
        <v/>
      </c>
      <c r="AL56" s="22">
        <f>IF(F56&gt;=Upgrades!$E$14,"",Upgrades!$C$14*POWER(Upgrades!$D$14,F56))</f>
        <v/>
      </c>
      <c r="AM56" s="22">
        <f>IF(G56&gt;=Upgrades!$E$15,"",Upgrades!$C$15*POWER(Upgrades!$D$15,G56))</f>
        <v/>
      </c>
      <c r="AN56" s="22">
        <f>IF(H56&gt;=Upgrades!$E$16,"",Upgrades!$C$16*POWER(Upgrades!$D$16,H56))</f>
        <v/>
      </c>
      <c r="AO56" s="22">
        <f>IF(I56&gt;=Upgrades!$E$17,"",Upgrades!$C$17*POWER(Upgrades!$D$17,I56))</f>
        <v/>
      </c>
      <c r="AP56" s="22">
        <f>IF(J56&gt;=Upgrades!$E$18,"",Upgrades!$C$18*POWER(Upgrades!$D$18,J56))</f>
        <v/>
      </c>
      <c r="AQ56" s="22">
        <f>IF(K56&gt;=Upgrades!$E$19,"",Upgrades!$C$19*POWER(Upgrades!$D$19,K56))</f>
        <v/>
      </c>
      <c r="AR56" s="22">
        <f>IF(L56&gt;=Upgrades!$E$20,"",Upgrades!$C$20*POWER(Upgrades!$D$20,L56))</f>
        <v/>
      </c>
      <c r="AS56" s="22">
        <f>IF(M56&gt;=Upgrades!$E$21,"",Upgrades!$C$21*POWER(Upgrades!$D$21,M56))</f>
        <v/>
      </c>
      <c r="AT56" s="26">
        <f>IF(AND(D56&gt;=Parameters!$B$18*Parameters!$B$19,(I56&gt;=Upgrades!$E$17)*(M56&gt;=Upgrades!$E$21)=1,N56=0),1,"")</f>
        <v/>
      </c>
      <c r="AU56" s="26">
        <f>IF(AND(D56&gt;=Parameters!$B$18*Parameters!$B$19,N56=0),1,"")</f>
        <v/>
      </c>
      <c r="AV56" s="22">
        <f>MIN(IF(ISNUMBER(AP56),AP56,9E15),IF(ISNUMBER(AQ56),AQ56,9E15),IF(ISNUMBER(AR56),AR56,9E15),IF(ISNUMBER(AS56),AS56,9E15))</f>
        <v/>
      </c>
      <c r="AW56" s="22">
        <f>MIN(IF(ISNUMBER(AK56),AK56,9E15),IF(ISNUMBER(AL56),AL56,9E15),IF(ISNUMBER(AM56),AM56,9E15),IF(ISNUMBER(AN56),AN56,9E15),IF(ISNUMBER(AO56),AO56,9E15))</f>
        <v/>
      </c>
      <c r="AX56" s="29">
        <f>IF(BD56&gt;Parameters!$B$21*(MAX(IF(AND(NOT(AND(AU56=1,AT56&lt;&gt;1)),ISNUMBER(AK56),AK56&lt;=(C56+T56)),AY56,0),IF(AND(NOT(AND(AU56=1,AT56&lt;&gt;1)),ISNUMBER(AL56),AL56&lt;=(C56+T56)),AZ56,0),IF(AND(NOT(AND(AU56=1,AT56&lt;&gt;1)),ISNUMBER(AM56),AM56&lt;=(C56+T56)),BA56,0),IF(AND(NOT(AND(AU56=1,AT56&lt;&gt;1)),ISNUMBER(AN56),AN56&lt;=(C56+T56)),BB56,0),IF(AND(ISNUMBER(AO56),AO56&lt;=(C56+T56)),BC56,0))),TRUE,FALSE)</f>
        <v/>
      </c>
      <c r="AY56" s="32">
        <f>IFERROR(Upgrades!$H$13*(POWER(Upgrades!$P$13,E56)*POWER(Upgrades!$P$14,F56)*POWER(Upgrades!$P$15,G56)*POWER(Upgrades!$P$16,H56)*POWER(Upgrades!$P$17,I56)*POWER(Upgrades!$P$18,J56)*POWER(Upgrades!$P$19,K56)*POWER(Upgrades!$P$20,L56)*POWER(Upgrades!$P$21,M56))*(IF(Upgrades!$T$14="Stellar Kinematics",POWER(Upgrades!$U$14,F56),1)*IF(Upgrades!$T$15="Stellar Kinematics",POWER(Upgrades!$U$15,G56),1)*IF(Upgrades!$T$16="Stellar Kinematics",POWER(Upgrades!$U$16,H56),1)*IF(Upgrades!$T$17="Stellar Kinematics",POWER(Upgrades!$U$17,I56),1)*IF(Upgrades!$T$18="Stellar Kinematics",POWER(Upgrades!$U$18,J56),1)*IF(Upgrades!$T$19="Stellar Kinematics",POWER(Upgrades!$U$19,K56),1)*IF(Upgrades!$T$20="Stellar Kinematics",POWER(Upgrades!$U$20,L56),1)*IF(Upgrades!$T$21="Stellar Kinematics",POWER(Upgrades!$U$21,M56),1))*$F$6/AK56,0)</f>
        <v/>
      </c>
      <c r="AZ56" s="32">
        <f>IFERROR(Upgrades!$H$14*(POWER(Upgrades!$P$13,E56)*POWER(Upgrades!$P$14,F56)*POWER(Upgrades!$P$15,G56)*POWER(Upgrades!$P$16,H56)*POWER(Upgrades!$P$17,I56)*POWER(Upgrades!$P$18,J56)*POWER(Upgrades!$P$19,K56)*POWER(Upgrades!$P$20,L56)*POWER(Upgrades!$P$21,M56))*(IF(Upgrades!$T$13="Local Bubble",POWER(Upgrades!$U$13,E56),1)*IF(Upgrades!$T$15="Local Bubble",POWER(Upgrades!$U$15,G56),1)*IF(Upgrades!$T$16="Local Bubble",POWER(Upgrades!$U$16,H56),1)*IF(Upgrades!$T$17="Local Bubble",POWER(Upgrades!$U$17,I56),1)*IF(Upgrades!$T$18="Local Bubble",POWER(Upgrades!$U$18,J56),1)*IF(Upgrades!$T$19="Local Bubble",POWER(Upgrades!$U$19,K56),1)*IF(Upgrades!$T$20="Local Bubble",POWER(Upgrades!$U$20,L56),1)*IF(Upgrades!$T$21="Local Bubble",POWER(Upgrades!$U$21,M56),1))*$F$6/AL56,0)</f>
        <v/>
      </c>
      <c r="BA56" s="32">
        <f>IFERROR(Upgrades!$K$15*(POWER(Upgrades!$Q$13,E56)*POWER(Upgrades!$Q$14,F56)*POWER(Upgrades!$Q$15,G56)*POWER(Upgrades!$Q$16,H56)*POWER(Upgrades!$Q$17,I56)*POWER(Upgrades!$Q$18,J56)*POWER(Upgrades!$Q$19,K56)*POWER(Upgrades!$Q$20,L56)*POWER(Upgrades!$Q$21,M56))*(IF(Upgrades!$T$13="Microlensing",POWER(Upgrades!$U$13,E56),1)*IF(Upgrades!$T$14="Microlensing",POWER(Upgrades!$U$14,F56),1)*IF(Upgrades!$T$16="Microlensing",POWER(Upgrades!$U$16,H56),1)*IF(Upgrades!$T$17="Microlensing",POWER(Upgrades!$U$17,I56),1)*IF(Upgrades!$T$18="Microlensing",POWER(Upgrades!$U$18,J56),1)*IF(Upgrades!$T$19="Microlensing",POWER(Upgrades!$U$19,K56),1)*IF(Upgrades!$T$20="Microlensing",POWER(Upgrades!$U$20,L56),1)*IF(Upgrades!$T$21="Microlensing",POWER(Upgrades!$U$21,M56),1))*$G$6*(Parameters!$B$10/60*Parameters!$B$11+Q56)/AM56,0)</f>
        <v/>
      </c>
      <c r="BB56" s="32">
        <f>IFERROR((Upgrades!$N$16*(POWER(Upgrades!$R$13,E56)*POWER(Upgrades!$R$14,F56)*POWER(Upgrades!$R$15,G56)*POWER(Upgrades!$R$16,H56)*POWER(Upgrades!$R$17,I56)*POWER(Upgrades!$R$18,J56)*POWER(Upgrades!$R$19,K56)*POWER(Upgrades!$R$20,L56)*POWER(Upgrades!$R$21,M56))*(IF(Upgrades!$T$13="Roche Lobe Overflow",POWER(Upgrades!$U$13,E56),1)*IF(Upgrades!$T$14="Roche Lobe Overflow",POWER(Upgrades!$U$14,F56),1)*IF(Upgrades!$T$15="Roche Lobe Overflow",POWER(Upgrades!$U$15,G56),1)*IF(Upgrades!$T$17="Roche Lobe Overflow",POWER(Upgrades!$U$17,I56),1)*IF(Upgrades!$T$18="Roche Lobe Overflow",POWER(Upgrades!$U$18,J56),1)*IF(Upgrades!$T$19="Roche Lobe Overflow",POWER(Upgrades!$U$19,K56),1)*IF(Upgrades!$T$20="Roche Lobe Overflow",POWER(Upgrades!$U$20,L56),1)*IF(Upgrades!$T$21="Roche Lobe Overflow",POWER(Upgrades!$U$21,M56),1))*$H$6*O56+((IF(F56=0,0,(Upgrades!$G$14+F56*Upgrades!$H$14)*POWER(Upgrades!$I$14,F56)))*(IF(Upgrades!$T$13="Local Bubble",POWER(Upgrades!$U$13,E56),1)*IF(Upgrades!$T$15="Local Bubble",POWER(Upgrades!$U$15,G56),1)*IF(Upgrades!$T$16="Local Bubble",POWER(Upgrades!$U$16,H56),1)*IF(Upgrades!$T$17="Local Bubble",POWER(Upgrades!$U$17,I56),1)*IF(Upgrades!$T$18="Local Bubble",POWER(Upgrades!$U$18,J56),1)*IF(Upgrades!$T$19="Local Bubble",POWER(Upgrades!$U$19,K56),1)*IF(Upgrades!$T$20="Local Bubble",POWER(Upgrades!$U$20,L56),1)*IF(Upgrades!$T$21="Local Bubble",POWER(Upgrades!$U$21,M56),1))*POWER(Upgrades!$P$13,E56)*POWER(Upgrades!$P$14,F56)*POWER(Upgrades!$P$15,G56)*POWER(Upgrades!$P$16,H56)*POWER(Upgrades!$P$17,I56)*POWER(Upgrades!$P$18,J56)*POWER(Upgrades!$P$19,K56)*POWER(Upgrades!$P$20,L56)*POWER(Upgrades!$P$21,M56)*$F$6)*0.05)/AN56,0)</f>
        <v/>
      </c>
      <c r="BC56" s="32">
        <f>IFERROR((Upgrades!$H$17*(POWER(Upgrades!$P$13,E56)*POWER(Upgrades!$P$14,F56)*POWER(Upgrades!$P$15,G56)*POWER(Upgrades!$P$16,H56)*POWER(Upgrades!$P$17,I56)*POWER(Upgrades!$P$18,J56)*POWER(Upgrades!$P$19,K56)*POWER(Upgrades!$P$20,L56)*POWER(Upgrades!$P$21,M56))*(IF(Upgrades!$T$13="Brown Dwarf",POWER(Upgrades!$U$13,E56),1)*IF(Upgrades!$T$14="Brown Dwarf",POWER(Upgrades!$U$14,F56),1)*IF(Upgrades!$T$15="Brown Dwarf",POWER(Upgrades!$U$15,G56),1)*IF(Upgrades!$T$16="Brown Dwarf",POWER(Upgrades!$U$16,H56),1)*IF(Upgrades!$T$18="Brown Dwarf",POWER(Upgrades!$U$18,J56),1)*IF(Upgrades!$T$19="Brown Dwarf",POWER(Upgrades!$U$19,K56),1)*IF(Upgrades!$T$20="Brown Dwarf",POWER(Upgrades!$U$20,L56),1)*IF(Upgrades!$T$21="Brown Dwarf",POWER(Upgrades!$U$21,M56),1))*$F$6+(((IF(H56=0,0,(Upgrades!$M$16+H56*Upgrades!$N$16)*POWER(Upgrades!$O$16,H56)))*(IF(Upgrades!$T$13="Roche Lobe Overflow",POWER(Upgrades!$U$13,E56),1)*IF(Upgrades!$T$14="Roche Lobe Overflow",POWER(Upgrades!$U$14,F56),1)*IF(Upgrades!$T$15="Roche Lobe Overflow",POWER(Upgrades!$U$15,G56),1)*IF(Upgrades!$T$17="Roche Lobe Overflow",POWER(Upgrades!$U$17,I56),1)*IF(Upgrades!$T$18="Roche Lobe Overflow",POWER(Upgrades!$U$18,J56),1)*IF(Upgrades!$T$19="Roche Lobe Overflow",POWER(Upgrades!$U$19,K56),1)*IF(Upgrades!$T$20="Roche Lobe Overflow",POWER(Upgrades!$U$20,L56),1)*IF(Upgrades!$T$21="Roche Lobe Overflow",POWER(Upgrades!$U$21,M56),1))*POWER(Upgrades!$R$13,E56)*POWER(Upgrades!$R$14,F56)*POWER(Upgrades!$R$15,G56)*POWER(Upgrades!$R$16,H56)*POWER(Upgrades!$R$17,I56)*POWER(Upgrades!$R$18,J56)*POWER(Upgrades!$R$19,K56)*POWER(Upgrades!$R$20,L56)*POWER(Upgrades!$R$21,M56)*$H$6)*O56)*0.10)/AO56,0)</f>
        <v/>
      </c>
      <c r="BD56" s="32">
        <f>MAX(IF(J56&gt;0,0,IFERROR(0.5*((IF(G56=0,0,(Upgrades!$J$15+G56*Upgrades!$K$15)*POWER(Upgrades!$L$15,G56)))*(IF(Upgrades!$T$13="Microlensing",POWER(Upgrades!$U$13,E56),1)*IF(Upgrades!$T$14="Microlensing",POWER(Upgrades!$U$14,F56),1)*IF(Upgrades!$T$16="Microlensing",POWER(Upgrades!$U$16,H56),1)*IF(Upgrades!$T$17="Microlensing",POWER(Upgrades!$U$17,I56),1)*IF(Upgrades!$T$18="Microlensing",POWER(Upgrades!$U$18,J56),1)*IF(Upgrades!$T$19="Microlensing",POWER(Upgrades!$U$19,K56),1)*IF(Upgrades!$T$20="Microlensing",POWER(Upgrades!$U$20,L56),1)*IF(Upgrades!$T$21="Microlensing",POWER(Upgrades!$U$21,M56),1))*(POWER(Upgrades!$Q$13,E56)*POWER(Upgrades!$Q$14,F56)*POWER(Upgrades!$Q$15,G56)*POWER(Upgrades!$Q$16,H56)*POWER(Upgrades!$Q$17,I56)*POWER(Upgrades!$Q$18,J56)*POWER(Upgrades!$Q$19,K56)*POWER(Upgrades!$Q$20,L56)*POWER(Upgrades!$Q$21,M56))*$G$6*(Parameters!$B$10/60*Parameters!$B$11+Q56))/Upgrades!$C$18,0)),IF(K56&gt;0,0,IFERROR(0.30*P56/Upgrades!$C$19,0)),IF(L56&gt;0,0,IFERROR(0.0001/Upgrades!$C$20,0)),IF(M56&gt;0,0,IFERROR((6.0*(POWER(Upgrades!$P$13,E56)*POWER(Upgrades!$P$14,F56)*POWER(Upgrades!$P$15,G56)*POWER(Upgrades!$P$16,H56)*POWER(Upgrades!$P$17,I56)*POWER(Upgrades!$P$18,J56)*POWER(Upgrades!$P$19,K56)*POWER(Upgrades!$P$20,L56)*POWER(Upgrades!$P$21,M56))*$F$6+0.20*O56*(Parameters!$B$10/60*Parameters!$B$11+Q56))/Upgrades!$C$21,0)),IF(AND(ISNUMBER(AK56),AK56&gt;(C56+T56)),AY56,0),IF(AND(ISNUMBER(AL56),AL56&gt;(C56+T56)),AZ56,0),IF(AND(ISNUMBER(AM56),AM56&gt;(C56+T56)),BA56,0),IF(AND(ISNUMBER(AN56),AN56&gt;(C56+T56)),BB56,0),IF(AND(ISNUMBER(AO56),AO56&gt;(C56+T56)),BC56,0))</f>
        <v/>
      </c>
      <c r="BE56" s="29">
        <f>IF(AT56=1,"transition",IF(MIN(IF(AND(J56=0,ISNUMBER(AP56),AP56&lt;=(C56+T56)),AP56,9E15),IF(AND(K56=0,ISNUMBER(AQ56),AQ56&lt;=(C56+T56)),AQ56,9E15),IF(AND(L56=0,ISNUMBER(AR56),AR56&lt;=(C56+T56)),AR56,9E15),IF(AND(M56=0,ISNUMBER(AS56),AS56&lt;=(C56+T56)),AS56,9E15))&lt;9E15,IF(AND(AND(J56=0,ISNUMBER(AP56),AP56&lt;=(C56+T56)),AP56=MIN(IF(AND(J56=0,ISNUMBER(AP56),AP56&lt;=(C56+T56)),AP56,9E15),IF(AND(K56=0,ISNUMBER(AQ56),AQ56&lt;=(C56+T56)),AQ56,9E15),IF(AND(L56=0,ISNUMBER(AR56),AR56&lt;=(C56+T56)),AR56,9E15),IF(AND(M56=0,ISNUMBER(AS56),AS56&lt;=(C56+T56)),AS56,9E15))),"BiP",IF(AND(AND(K56=0,ISNUMBER(AQ56),AQ56&lt;=(C56+T56)),AQ56=MIN(IF(AND(J56=0,ISNUMBER(AP56),AP56&lt;=(C56+T56)),AP56,9E15),IF(AND(K56=0,ISNUMBER(AQ56),AQ56&lt;=(C56+T56)),AQ56,9E15),IF(AND(L56=0,ISNUMBER(AR56),AR56&lt;=(C56+T56)),AR56,9E15),IF(AND(M56=0,ISNUMBER(AS56),AS56&lt;=(C56+T56)),AS56,9E15))),"PV",IF(AND(AND(L56=0,ISNUMBER(AR56),AR56&lt;=(C56+T56)),AR56=MIN(IF(AND(J56=0,ISNUMBER(AP56),AP56&lt;=(C56+T56)),AP56,9E15),IF(AND(K56=0,ISNUMBER(AQ56),AQ56&lt;=(C56+T56)),AQ56,9E15),IF(AND(L56=0,ISNUMBER(AR56),AR56&lt;=(C56+T56)),AR56,9E15),IF(AND(M56=0,ISNUMBER(AS56),AS56&lt;=(C56+T56)),AS56,9E15))),"OC","MG"))),IF(AX56=TRUE,"",IF(MAX(IF(AND(NOT(AND(AU56=1,AT56&lt;&gt;1)),ISNUMBER(AK56),AK56&lt;=(C56+T56)),AY56,0),IF(AND(NOT(AND(AU56=1,AT56&lt;&gt;1)),ISNUMBER(AL56),AL56&lt;=(C56+T56)),AZ56,0),IF(AND(NOT(AND(AU56=1,AT56&lt;&gt;1)),ISNUMBER(AM56),AM56&lt;=(C56+T56)),BA56,0),IF(AND(NOT(AND(AU56=1,AT56&lt;&gt;1)),ISNUMBER(AN56),AN56&lt;=(C56+T56)),BB56,0),IF(AND(ISNUMBER(AO56),AO56&lt;=(C56+T56)),BC56,0))&lt;=0,"",IF(AND(IF(AND(NOT(AND(AU56=1,AT56&lt;&gt;1)),ISNUMBER(AK56),AK56&lt;=(C56+T56)),AY56,0)&gt;0,IF(AND(NOT(AND(AU56=1,AT56&lt;&gt;1)),ISNUMBER(AK56),AK56&lt;=(C56+T56)),AY56,0)=MAX(IF(AND(NOT(AND(AU56=1,AT56&lt;&gt;1)),ISNUMBER(AK56),AK56&lt;=(C56+T56)),AY56,0),IF(AND(NOT(AND(AU56=1,AT56&lt;&gt;1)),ISNUMBER(AL56),AL56&lt;=(C56+T56)),AZ56,0),IF(AND(NOT(AND(AU56=1,AT56&lt;&gt;1)),ISNUMBER(AM56),AM56&lt;=(C56+T56)),BA56,0),IF(AND(NOT(AND(AU56=1,AT56&lt;&gt;1)),ISNUMBER(AN56),AN56&lt;=(C56+T56)),BB56,0),IF(AND(ISNUMBER(AO56),AO56&lt;=(C56+T56)),BC56,0))),"SK",IF(AND(IF(AND(NOT(AND(AU56=1,AT56&lt;&gt;1)),ISNUMBER(AL56),AL56&lt;=(C56+T56)),AZ56,0)&gt;0,IF(AND(NOT(AND(AU56=1,AT56&lt;&gt;1)),ISNUMBER(AL56),AL56&lt;=(C56+T56)),AZ56,0)=MAX(IF(AND(NOT(AND(AU56=1,AT56&lt;&gt;1)),ISNUMBER(AK56),AK56&lt;=(C56+T56)),AY56,0),IF(AND(NOT(AND(AU56=1,AT56&lt;&gt;1)),ISNUMBER(AL56),AL56&lt;=(C56+T56)),AZ56,0),IF(AND(NOT(AND(AU56=1,AT56&lt;&gt;1)),ISNUMBER(AM56),AM56&lt;=(C56+T56)),BA56,0),IF(AND(NOT(AND(AU56=1,AT56&lt;&gt;1)),ISNUMBER(AN56),AN56&lt;=(C56+T56)),BB56,0),IF(AND(ISNUMBER(AO56),AO56&lt;=(C56+T56)),BC56,0))),"LB",IF(AND(IF(AND(NOT(AND(AU56=1,AT56&lt;&gt;1)),ISNUMBER(AM56),AM56&lt;=(C56+T56)),BA56,0)&gt;0,IF(AND(NOT(AND(AU56=1,AT56&lt;&gt;1)),ISNUMBER(AM56),AM56&lt;=(C56+T56)),BA56,0)=MAX(IF(AND(NOT(AND(AU56=1,AT56&lt;&gt;1)),ISNUMBER(AK56),AK56&lt;=(C56+T56)),AY56,0),IF(AND(NOT(AND(AU56=1,AT56&lt;&gt;1)),ISNUMBER(AL56),AL56&lt;=(C56+T56)),AZ56,0),IF(AND(NOT(AND(AU56=1,AT56&lt;&gt;1)),ISNUMBER(AM56),AM56&lt;=(C56+T56)),BA56,0),IF(AND(NOT(AND(AU56=1,AT56&lt;&gt;1)),ISNUMBER(AN56),AN56&lt;=(C56+T56)),BB56,0),IF(AND(ISNUMBER(AO56),AO56&lt;=(C56+T56)),BC56,0))),"ML",IF(AND(IF(AND(NOT(AND(AU56=1,AT56&lt;&gt;1)),ISNUMBER(AN56),AN56&lt;=(C56+T56)),BB56,0)&gt;0,IF(AND(NOT(AND(AU56=1,AT56&lt;&gt;1)),ISNUMBER(AN56),AN56&lt;=(C56+T56)),BB56,0)=MAX(IF(AND(NOT(AND(AU56=1,AT56&lt;&gt;1)),ISNUMBER(AK56),AK56&lt;=(C56+T56)),AY56,0),IF(AND(NOT(AND(AU56=1,AT56&lt;&gt;1)),ISNUMBER(AL56),AL56&lt;=(C56+T56)),AZ56,0),IF(AND(NOT(AND(AU56=1,AT56&lt;&gt;1)),ISNUMBER(AM56),AM56&lt;=(C56+T56)),BA56,0),IF(AND(NOT(AND(AU56=1,AT56&lt;&gt;1)),ISNUMBER(AN56),AN56&lt;=(C56+T56)),BB56,0),IF(AND(ISNUMBER(AO56),AO56&lt;=(C56+T56)),BC56,0))),"RLO","BD"))))))))</f>
        <v/>
      </c>
    </row>
    <row r="57">
      <c r="A57" s="26" t="n">
        <v>46</v>
      </c>
      <c r="B57" s="27">
        <f>A57*10/60</f>
        <v/>
      </c>
      <c r="C57" s="22">
        <f>X56</f>
        <v/>
      </c>
      <c r="D57" s="27">
        <f>D56+W56</f>
        <v/>
      </c>
      <c r="E57" s="26">
        <f>E56+IF(U56="SK",1,0)</f>
        <v/>
      </c>
      <c r="F57" s="26">
        <f>F56+IF(U56="LB",1,0)</f>
        <v/>
      </c>
      <c r="G57" s="26">
        <f>G56+IF(U56="ML",1,0)</f>
        <v/>
      </c>
      <c r="H57" s="26">
        <f>H56+IF(U56="RLO",1,0)</f>
        <v/>
      </c>
      <c r="I57" s="26">
        <f>I56+IF(U56="BD",1,0)</f>
        <v/>
      </c>
      <c r="J57" s="26">
        <f>MAX(J56,IF(U56="BiP",1,0))</f>
        <v/>
      </c>
      <c r="K57" s="26">
        <f>MAX(K56,IF(U56="PV",1,0))</f>
        <v/>
      </c>
      <c r="L57" s="26">
        <f>MAX(L56,IF(U56="OC",1,0))</f>
        <v/>
      </c>
      <c r="M57" s="26">
        <f>MAX(M56,IF(U56="MG",1,0))</f>
        <v/>
      </c>
      <c r="N57" s="26">
        <f>MAX(N56,IF(U56="transition",1,0))</f>
        <v/>
      </c>
      <c r="O57" s="28">
        <f>(Parameters!$B$9+(IF(E57=0,0,(Upgrades!$J$13+E57*Upgrades!$K$13)*POWER(Upgrades!$L$13,E57)))*(IF(Upgrades!$T$14="Stellar Kinematics",POWER(Upgrades!$U$14,F57),1)*IF(Upgrades!$T$15="Stellar Kinematics",POWER(Upgrades!$U$15,G57),1)*IF(Upgrades!$T$16="Stellar Kinematics",POWER(Upgrades!$U$16,H57),1)*IF(Upgrades!$T$17="Stellar Kinematics",POWER(Upgrades!$U$17,I57),1)*IF(Upgrades!$T$18="Stellar Kinematics",POWER(Upgrades!$U$18,J57),1)*IF(Upgrades!$T$19="Stellar Kinematics",POWER(Upgrades!$U$19,K57),1)*IF(Upgrades!$T$20="Stellar Kinematics",POWER(Upgrades!$U$20,L57),1)*IF(Upgrades!$T$21="Stellar Kinematics",POWER(Upgrades!$U$21,M57),1))+(IF(F57=0,0,(Upgrades!$J$14+F57*Upgrades!$K$14)*POWER(Upgrades!$L$14,F57)))*(IF(Upgrades!$T$13="Local Bubble",POWER(Upgrades!$U$13,E57),1)*IF(Upgrades!$T$15="Local Bubble",POWER(Upgrades!$U$15,G57),1)*IF(Upgrades!$T$16="Local Bubble",POWER(Upgrades!$U$16,H57),1)*IF(Upgrades!$T$17="Local Bubble",POWER(Upgrades!$U$17,I57),1)*IF(Upgrades!$T$18="Local Bubble",POWER(Upgrades!$U$18,J57),1)*IF(Upgrades!$T$19="Local Bubble",POWER(Upgrades!$U$19,K57),1)*IF(Upgrades!$T$20="Local Bubble",POWER(Upgrades!$U$20,L57),1)*IF(Upgrades!$T$21="Local Bubble",POWER(Upgrades!$U$21,M57),1))+(IF(G57=0,0,(Upgrades!$J$15+G57*Upgrades!$K$15)*POWER(Upgrades!$L$15,G57)))*(IF(Upgrades!$T$13="Microlensing",POWER(Upgrades!$U$13,E57),1)*IF(Upgrades!$T$14="Microlensing",POWER(Upgrades!$U$14,F57),1)*IF(Upgrades!$T$16="Microlensing",POWER(Upgrades!$U$16,H57),1)*IF(Upgrades!$T$17="Microlensing",POWER(Upgrades!$U$17,I57),1)*IF(Upgrades!$T$18="Microlensing",POWER(Upgrades!$U$18,J57),1)*IF(Upgrades!$T$19="Microlensing",POWER(Upgrades!$U$19,K57),1)*IF(Upgrades!$T$20="Microlensing",POWER(Upgrades!$U$20,L57),1)*IF(Upgrades!$T$21="Microlensing",POWER(Upgrades!$U$21,M57),1))+(IF(H57=0,0,(Upgrades!$J$16+H57*Upgrades!$K$16)*POWER(Upgrades!$L$16,H57)))*(IF(Upgrades!$T$13="Roche Lobe Overflow",POWER(Upgrades!$U$13,E57),1)*IF(Upgrades!$T$14="Roche Lobe Overflow",POWER(Upgrades!$U$14,F57),1)*IF(Upgrades!$T$15="Roche Lobe Overflow",POWER(Upgrades!$U$15,G57),1)*IF(Upgrades!$T$17="Roche Lobe Overflow",POWER(Upgrades!$U$17,I57),1)*IF(Upgrades!$T$18="Roche Lobe Overflow",POWER(Upgrades!$U$18,J57),1)*IF(Upgrades!$T$19="Roche Lobe Overflow",POWER(Upgrades!$U$19,K57),1)*IF(Upgrades!$T$20="Roche Lobe Overflow",POWER(Upgrades!$U$20,L57),1)*IF(Upgrades!$T$21="Roche Lobe Overflow",POWER(Upgrades!$U$21,M57),1))+(IF(I57=0,0,(Upgrades!$J$17+I57*Upgrades!$K$17)*POWER(Upgrades!$L$17,I57)))*(IF(Upgrades!$T$13="Brown Dwarf",POWER(Upgrades!$U$13,E57),1)*IF(Upgrades!$T$14="Brown Dwarf",POWER(Upgrades!$U$14,F57),1)*IF(Upgrades!$T$15="Brown Dwarf",POWER(Upgrades!$U$15,G57),1)*IF(Upgrades!$T$16="Brown Dwarf",POWER(Upgrades!$U$16,H57),1)*IF(Upgrades!$T$18="Brown Dwarf",POWER(Upgrades!$U$18,J57),1)*IF(Upgrades!$T$19="Brown Dwarf",POWER(Upgrades!$U$19,K57),1)*IF(Upgrades!$T$20="Brown Dwarf",POWER(Upgrades!$U$20,L57),1)*IF(Upgrades!$T$21="Brown Dwarf",POWER(Upgrades!$U$21,M57),1))+(IF(J57=0,0,(Upgrades!$J$18+J57*Upgrades!$K$18)*POWER(Upgrades!$L$18,J57)))*(IF(Upgrades!$T$13="Binary Partner",POWER(Upgrades!$U$13,E57),1)*IF(Upgrades!$T$14="Binary Partner",POWER(Upgrades!$U$14,F57),1)*IF(Upgrades!$T$15="Binary Partner",POWER(Upgrades!$U$15,G57),1)*IF(Upgrades!$T$16="Binary Partner",POWER(Upgrades!$U$16,H57),1)*IF(Upgrades!$T$17="Binary Partner",POWER(Upgrades!$U$17,I57),1)*IF(Upgrades!$T$19="Binary Partner",POWER(Upgrades!$U$19,K57),1)*IF(Upgrades!$T$20="Binary Partner",POWER(Upgrades!$U$20,L57),1)*IF(Upgrades!$T$21="Binary Partner",POWER(Upgrades!$U$21,M57),1))+(IF(K57=0,0,(Upgrades!$J$19+K57*Upgrades!$K$19)*POWER(Upgrades!$L$19,K57)))*(IF(Upgrades!$T$13="Peculiar Velocity",POWER(Upgrades!$U$13,E57),1)*IF(Upgrades!$T$14="Peculiar Velocity",POWER(Upgrades!$U$14,F57),1)*IF(Upgrades!$T$15="Peculiar Velocity",POWER(Upgrades!$U$15,G57),1)*IF(Upgrades!$T$16="Peculiar Velocity",POWER(Upgrades!$U$16,H57),1)*IF(Upgrades!$T$17="Peculiar Velocity",POWER(Upgrades!$U$17,I57),1)*IF(Upgrades!$T$18="Peculiar Velocity",POWER(Upgrades!$U$18,J57),1)*IF(Upgrades!$T$20="Peculiar Velocity",POWER(Upgrades!$U$20,L57),1)*IF(Upgrades!$T$21="Peculiar Velocity",POWER(Upgrades!$U$21,M57),1))+(IF(L57=0,0,(Upgrades!$J$20+L57*Upgrades!$K$20)*POWER(Upgrades!$L$20,L57)))*(IF(Upgrades!$T$13="Open Cluster",POWER(Upgrades!$U$13,E57),1)*IF(Upgrades!$T$14="Open Cluster",POWER(Upgrades!$U$14,F57),1)*IF(Upgrades!$T$15="Open Cluster",POWER(Upgrades!$U$15,G57),1)*IF(Upgrades!$T$16="Open Cluster",POWER(Upgrades!$U$16,H57),1)*IF(Upgrades!$T$17="Open Cluster",POWER(Upgrades!$U$17,I57),1)*IF(Upgrades!$T$18="Open Cluster",POWER(Upgrades!$U$18,J57),1)*IF(Upgrades!$T$19="Open Cluster",POWER(Upgrades!$U$19,K57),1)*IF(Upgrades!$T$21="Open Cluster",POWER(Upgrades!$U$21,M57),1))+(IF(M57=0,0,(Upgrades!$J$21+M57*Upgrades!$K$21)*POWER(Upgrades!$L$21,M57)))*(IF(Upgrades!$T$13="Moving Group",POWER(Upgrades!$U$13,E57),1)*IF(Upgrades!$T$14="Moving Group",POWER(Upgrades!$U$14,F57),1)*IF(Upgrades!$T$15="Moving Group",POWER(Upgrades!$U$15,G57),1)*IF(Upgrades!$T$16="Moving Group",POWER(Upgrades!$U$16,H57),1)*IF(Upgrades!$T$17="Moving Group",POWER(Upgrades!$U$17,I57),1)*IF(Upgrades!$T$18="Moving Group",POWER(Upgrades!$U$18,J57),1)*IF(Upgrades!$T$19="Moving Group",POWER(Upgrades!$U$19,K57),1)*IF(Upgrades!$T$20="Moving Group",POWER(Upgrades!$U$20,L57),1)))*POWER(Upgrades!$Q$13,E57)*POWER(Upgrades!$Q$14,F57)*POWER(Upgrades!$Q$15,G57)*POWER(Upgrades!$Q$16,H57)*POWER(Upgrades!$Q$17,I57)*POWER(Upgrades!$Q$18,J57)*POWER(Upgrades!$Q$19,K57)*POWER(Upgrades!$Q$20,L57)*POWER(Upgrades!$Q$21,M57)*$G$6+$D$6</f>
        <v/>
      </c>
      <c r="P57" s="28">
        <f>((IF(E57=0,0,(Upgrades!$G$13+E57*Upgrades!$H$13)*POWER(Upgrades!$I$13,E57)))*(IF(Upgrades!$T$14="Stellar Kinematics",POWER(Upgrades!$U$14,F57),1)*IF(Upgrades!$T$15="Stellar Kinematics",POWER(Upgrades!$U$15,G57),1)*IF(Upgrades!$T$16="Stellar Kinematics",POWER(Upgrades!$U$16,H57),1)*IF(Upgrades!$T$17="Stellar Kinematics",POWER(Upgrades!$U$17,I57),1)*IF(Upgrades!$T$18="Stellar Kinematics",POWER(Upgrades!$U$18,J57),1)*IF(Upgrades!$T$19="Stellar Kinematics",POWER(Upgrades!$U$19,K57),1)*IF(Upgrades!$T$20="Stellar Kinematics",POWER(Upgrades!$U$20,L57),1)*IF(Upgrades!$T$21="Stellar Kinematics",POWER(Upgrades!$U$21,M57),1))+(IF(F57=0,0,(Upgrades!$G$14+F57*Upgrades!$H$14)*POWER(Upgrades!$I$14,F57)))*(IF(Upgrades!$T$13="Local Bubble",POWER(Upgrades!$U$13,E57),1)*IF(Upgrades!$T$15="Local Bubble",POWER(Upgrades!$U$15,G57),1)*IF(Upgrades!$T$16="Local Bubble",POWER(Upgrades!$U$16,H57),1)*IF(Upgrades!$T$17="Local Bubble",POWER(Upgrades!$U$17,I57),1)*IF(Upgrades!$T$18="Local Bubble",POWER(Upgrades!$U$18,J57),1)*IF(Upgrades!$T$19="Local Bubble",POWER(Upgrades!$U$19,K57),1)*IF(Upgrades!$T$20="Local Bubble",POWER(Upgrades!$U$20,L57),1)*IF(Upgrades!$T$21="Local Bubble",POWER(Upgrades!$U$21,M57),1))+(IF(G57=0,0,(Upgrades!$G$15+G57*Upgrades!$H$15)*POWER(Upgrades!$I$15,G57)))*(IF(Upgrades!$T$13="Microlensing",POWER(Upgrades!$U$13,E57),1)*IF(Upgrades!$T$14="Microlensing",POWER(Upgrades!$U$14,F57),1)*IF(Upgrades!$T$16="Microlensing",POWER(Upgrades!$U$16,H57),1)*IF(Upgrades!$T$17="Microlensing",POWER(Upgrades!$U$17,I57),1)*IF(Upgrades!$T$18="Microlensing",POWER(Upgrades!$U$18,J57),1)*IF(Upgrades!$T$19="Microlensing",POWER(Upgrades!$U$19,K57),1)*IF(Upgrades!$T$20="Microlensing",POWER(Upgrades!$U$20,L57),1)*IF(Upgrades!$T$21="Microlensing",POWER(Upgrades!$U$21,M57),1))+(IF(H57=0,0,(Upgrades!$G$16+H57*Upgrades!$H$16)*POWER(Upgrades!$I$16,H57)))*(IF(Upgrades!$T$13="Roche Lobe Overflow",POWER(Upgrades!$U$13,E57),1)*IF(Upgrades!$T$14="Roche Lobe Overflow",POWER(Upgrades!$U$14,F57),1)*IF(Upgrades!$T$15="Roche Lobe Overflow",POWER(Upgrades!$U$15,G57),1)*IF(Upgrades!$T$17="Roche Lobe Overflow",POWER(Upgrades!$U$17,I57),1)*IF(Upgrades!$T$18="Roche Lobe Overflow",POWER(Upgrades!$U$18,J57),1)*IF(Upgrades!$T$19="Roche Lobe Overflow",POWER(Upgrades!$U$19,K57),1)*IF(Upgrades!$T$20="Roche Lobe Overflow",POWER(Upgrades!$U$20,L57),1)*IF(Upgrades!$T$21="Roche Lobe Overflow",POWER(Upgrades!$U$21,M57),1))+(IF(I57=0,0,(Upgrades!$G$17+I57*Upgrades!$H$17)*POWER(Upgrades!$I$17,I57)))*(IF(Upgrades!$T$13="Brown Dwarf",POWER(Upgrades!$U$13,E57),1)*IF(Upgrades!$T$14="Brown Dwarf",POWER(Upgrades!$U$14,F57),1)*IF(Upgrades!$T$15="Brown Dwarf",POWER(Upgrades!$U$15,G57),1)*IF(Upgrades!$T$16="Brown Dwarf",POWER(Upgrades!$U$16,H57),1)*IF(Upgrades!$T$18="Brown Dwarf",POWER(Upgrades!$U$18,J57),1)*IF(Upgrades!$T$19="Brown Dwarf",POWER(Upgrades!$U$19,K57),1)*IF(Upgrades!$T$20="Brown Dwarf",POWER(Upgrades!$U$20,L57),1)*IF(Upgrades!$T$21="Brown Dwarf",POWER(Upgrades!$U$21,M57),1))+(IF(J57=0,0,(Upgrades!$G$18+J57*Upgrades!$H$18)*POWER(Upgrades!$I$18,J57)))*(IF(Upgrades!$T$13="Binary Partner",POWER(Upgrades!$U$13,E57),1)*IF(Upgrades!$T$14="Binary Partner",POWER(Upgrades!$U$14,F57),1)*IF(Upgrades!$T$15="Binary Partner",POWER(Upgrades!$U$15,G57),1)*IF(Upgrades!$T$16="Binary Partner",POWER(Upgrades!$U$16,H57),1)*IF(Upgrades!$T$17="Binary Partner",POWER(Upgrades!$U$17,I57),1)*IF(Upgrades!$T$19="Binary Partner",POWER(Upgrades!$U$19,K57),1)*IF(Upgrades!$T$20="Binary Partner",POWER(Upgrades!$U$20,L57),1)*IF(Upgrades!$T$21="Binary Partner",POWER(Upgrades!$U$21,M57),1))+(IF(K57=0,0,(Upgrades!$G$19+K57*Upgrades!$H$19)*POWER(Upgrades!$I$19,K57)))*(IF(Upgrades!$T$13="Peculiar Velocity",POWER(Upgrades!$U$13,E57),1)*IF(Upgrades!$T$14="Peculiar Velocity",POWER(Upgrades!$U$14,F57),1)*IF(Upgrades!$T$15="Peculiar Velocity",POWER(Upgrades!$U$15,G57),1)*IF(Upgrades!$T$16="Peculiar Velocity",POWER(Upgrades!$U$16,H57),1)*IF(Upgrades!$T$17="Peculiar Velocity",POWER(Upgrades!$U$17,I57),1)*IF(Upgrades!$T$18="Peculiar Velocity",POWER(Upgrades!$U$18,J57),1)*IF(Upgrades!$T$20="Peculiar Velocity",POWER(Upgrades!$U$20,L57),1)*IF(Upgrades!$T$21="Peculiar Velocity",POWER(Upgrades!$U$21,M57),1))+(IF(L57=0,0,(Upgrades!$G$20+L57*Upgrades!$H$20)*POWER(Upgrades!$I$20,L57)))*(IF(Upgrades!$T$13="Open Cluster",POWER(Upgrades!$U$13,E57),1)*IF(Upgrades!$T$14="Open Cluster",POWER(Upgrades!$U$14,F57),1)*IF(Upgrades!$T$15="Open Cluster",POWER(Upgrades!$U$15,G57),1)*IF(Upgrades!$T$16="Open Cluster",POWER(Upgrades!$U$16,H57),1)*IF(Upgrades!$T$17="Open Cluster",POWER(Upgrades!$U$17,I57),1)*IF(Upgrades!$T$18="Open Cluster",POWER(Upgrades!$U$18,J57),1)*IF(Upgrades!$T$19="Open Cluster",POWER(Upgrades!$U$19,K57),1)*IF(Upgrades!$T$21="Open Cluster",POWER(Upgrades!$U$21,M57),1))+(IF(M57=0,0,(Upgrades!$G$21+M57*Upgrades!$H$21)*POWER(Upgrades!$I$21,M57)))*(IF(Upgrades!$T$13="Moving Group",POWER(Upgrades!$U$13,E57),1)*IF(Upgrades!$T$14="Moving Group",POWER(Upgrades!$U$14,F57),1)*IF(Upgrades!$T$15="Moving Group",POWER(Upgrades!$U$15,G57),1)*IF(Upgrades!$T$16="Moving Group",POWER(Upgrades!$U$16,H57),1)*IF(Upgrades!$T$17="Moving Group",POWER(Upgrades!$U$17,I57),1)*IF(Upgrades!$T$18="Moving Group",POWER(Upgrades!$U$18,J57),1)*IF(Upgrades!$T$19="Moving Group",POWER(Upgrades!$U$19,K57),1)*IF(Upgrades!$T$20="Moving Group",POWER(Upgrades!$U$20,L57),1)))*POWER(Upgrades!$P$13,E57)*POWER(Upgrades!$P$14,F57)*POWER(Upgrades!$P$15,G57)*POWER(Upgrades!$P$16,H57)*POWER(Upgrades!$P$17,I57)*POWER(Upgrades!$P$18,J57)*POWER(Upgrades!$P$19,K57)*POWER(Upgrades!$P$20,L57)*POWER(Upgrades!$P$21,M57)*$F$6+$C$6</f>
        <v/>
      </c>
      <c r="Q57" s="28">
        <f>((IF(E57=0,0,(Upgrades!$M$13+E57*Upgrades!$N$13)*POWER(Upgrades!$O$13,E57)))*(IF(Upgrades!$T$14="Stellar Kinematics",POWER(Upgrades!$U$14,F57),1)*IF(Upgrades!$T$15="Stellar Kinematics",POWER(Upgrades!$U$15,G57),1)*IF(Upgrades!$T$16="Stellar Kinematics",POWER(Upgrades!$U$16,H57),1)*IF(Upgrades!$T$17="Stellar Kinematics",POWER(Upgrades!$U$17,I57),1)*IF(Upgrades!$T$18="Stellar Kinematics",POWER(Upgrades!$U$18,J57),1)*IF(Upgrades!$T$19="Stellar Kinematics",POWER(Upgrades!$U$19,K57),1)*IF(Upgrades!$T$20="Stellar Kinematics",POWER(Upgrades!$U$20,L57),1)*IF(Upgrades!$T$21="Stellar Kinematics",POWER(Upgrades!$U$21,M57),1))+(IF(F57=0,0,(Upgrades!$M$14+F57*Upgrades!$N$14)*POWER(Upgrades!$O$14,F57)))*(IF(Upgrades!$T$13="Local Bubble",POWER(Upgrades!$U$13,E57),1)*IF(Upgrades!$T$15="Local Bubble",POWER(Upgrades!$U$15,G57),1)*IF(Upgrades!$T$16="Local Bubble",POWER(Upgrades!$U$16,H57),1)*IF(Upgrades!$T$17="Local Bubble",POWER(Upgrades!$U$17,I57),1)*IF(Upgrades!$T$18="Local Bubble",POWER(Upgrades!$U$18,J57),1)*IF(Upgrades!$T$19="Local Bubble",POWER(Upgrades!$U$19,K57),1)*IF(Upgrades!$T$20="Local Bubble",POWER(Upgrades!$U$20,L57),1)*IF(Upgrades!$T$21="Local Bubble",POWER(Upgrades!$U$21,M57),1))+(IF(G57=0,0,(Upgrades!$M$15+G57*Upgrades!$N$15)*POWER(Upgrades!$O$15,G57)))*(IF(Upgrades!$T$13="Microlensing",POWER(Upgrades!$U$13,E57),1)*IF(Upgrades!$T$14="Microlensing",POWER(Upgrades!$U$14,F57),1)*IF(Upgrades!$T$16="Microlensing",POWER(Upgrades!$U$16,H57),1)*IF(Upgrades!$T$17="Microlensing",POWER(Upgrades!$U$17,I57),1)*IF(Upgrades!$T$18="Microlensing",POWER(Upgrades!$U$18,J57),1)*IF(Upgrades!$T$19="Microlensing",POWER(Upgrades!$U$19,K57),1)*IF(Upgrades!$T$20="Microlensing",POWER(Upgrades!$U$20,L57),1)*IF(Upgrades!$T$21="Microlensing",POWER(Upgrades!$U$21,M57),1))+(IF(H57=0,0,(Upgrades!$M$16+H57*Upgrades!$N$16)*POWER(Upgrades!$O$16,H57)))*(IF(Upgrades!$T$13="Roche Lobe Overflow",POWER(Upgrades!$U$13,E57),1)*IF(Upgrades!$T$14="Roche Lobe Overflow",POWER(Upgrades!$U$14,F57),1)*IF(Upgrades!$T$15="Roche Lobe Overflow",POWER(Upgrades!$U$15,G57),1)*IF(Upgrades!$T$17="Roche Lobe Overflow",POWER(Upgrades!$U$17,I57),1)*IF(Upgrades!$T$18="Roche Lobe Overflow",POWER(Upgrades!$U$18,J57),1)*IF(Upgrades!$T$19="Roche Lobe Overflow",POWER(Upgrades!$U$19,K57),1)*IF(Upgrades!$T$20="Roche Lobe Overflow",POWER(Upgrades!$U$20,L57),1)*IF(Upgrades!$T$21="Roche Lobe Overflow",POWER(Upgrades!$U$21,M57),1))+(IF(I57=0,0,(Upgrades!$M$17+I57*Upgrades!$N$17)*POWER(Upgrades!$O$17,I57)))*(IF(Upgrades!$T$13="Brown Dwarf",POWER(Upgrades!$U$13,E57),1)*IF(Upgrades!$T$14="Brown Dwarf",POWER(Upgrades!$U$14,F57),1)*IF(Upgrades!$T$15="Brown Dwarf",POWER(Upgrades!$U$15,G57),1)*IF(Upgrades!$T$16="Brown Dwarf",POWER(Upgrades!$U$16,H57),1)*IF(Upgrades!$T$18="Brown Dwarf",POWER(Upgrades!$U$18,J57),1)*IF(Upgrades!$T$19="Brown Dwarf",POWER(Upgrades!$U$19,K57),1)*IF(Upgrades!$T$20="Brown Dwarf",POWER(Upgrades!$U$20,L57),1)*IF(Upgrades!$T$21="Brown Dwarf",POWER(Upgrades!$U$21,M57),1))+(IF(J57=0,0,(Upgrades!$M$18+J57*Upgrades!$N$18)*POWER(Upgrades!$O$18,J57)))*(IF(Upgrades!$T$13="Binary Partner",POWER(Upgrades!$U$13,E57),1)*IF(Upgrades!$T$14="Binary Partner",POWER(Upgrades!$U$14,F57),1)*IF(Upgrades!$T$15="Binary Partner",POWER(Upgrades!$U$15,G57),1)*IF(Upgrades!$T$16="Binary Partner",POWER(Upgrades!$U$16,H57),1)*IF(Upgrades!$T$17="Binary Partner",POWER(Upgrades!$U$17,I57),1)*IF(Upgrades!$T$19="Binary Partner",POWER(Upgrades!$U$19,K57),1)*IF(Upgrades!$T$20="Binary Partner",POWER(Upgrades!$U$20,L57),1)*IF(Upgrades!$T$21="Binary Partner",POWER(Upgrades!$U$21,M57),1))+(IF(K57=0,0,(Upgrades!$M$19+K57*Upgrades!$N$19)*POWER(Upgrades!$O$19,K57)))*(IF(Upgrades!$T$13="Peculiar Velocity",POWER(Upgrades!$U$13,E57),1)*IF(Upgrades!$T$14="Peculiar Velocity",POWER(Upgrades!$U$14,F57),1)*IF(Upgrades!$T$15="Peculiar Velocity",POWER(Upgrades!$U$15,G57),1)*IF(Upgrades!$T$16="Peculiar Velocity",POWER(Upgrades!$U$16,H57),1)*IF(Upgrades!$T$17="Peculiar Velocity",POWER(Upgrades!$U$17,I57),1)*IF(Upgrades!$T$18="Peculiar Velocity",POWER(Upgrades!$U$18,J57),1)*IF(Upgrades!$T$20="Peculiar Velocity",POWER(Upgrades!$U$20,L57),1)*IF(Upgrades!$T$21="Peculiar Velocity",POWER(Upgrades!$U$21,M57),1))+(IF(L57=0,0,(Upgrades!$M$20+L57*Upgrades!$N$20)*POWER(Upgrades!$O$20,L57)))*(IF(Upgrades!$T$13="Open Cluster",POWER(Upgrades!$U$13,E57),1)*IF(Upgrades!$T$14="Open Cluster",POWER(Upgrades!$U$14,F57),1)*IF(Upgrades!$T$15="Open Cluster",POWER(Upgrades!$U$15,G57),1)*IF(Upgrades!$T$16="Open Cluster",POWER(Upgrades!$U$16,H57),1)*IF(Upgrades!$T$17="Open Cluster",POWER(Upgrades!$U$17,I57),1)*IF(Upgrades!$T$18="Open Cluster",POWER(Upgrades!$U$18,J57),1)*IF(Upgrades!$T$19="Open Cluster",POWER(Upgrades!$U$19,K57),1)*IF(Upgrades!$T$21="Open Cluster",POWER(Upgrades!$U$21,M57),1))+(IF(M57=0,0,(Upgrades!$M$21+M57*Upgrades!$N$21)*POWER(Upgrades!$O$21,M57)))*(IF(Upgrades!$T$13="Moving Group",POWER(Upgrades!$U$13,E57),1)*IF(Upgrades!$T$14="Moving Group",POWER(Upgrades!$U$14,F57),1)*IF(Upgrades!$T$15="Moving Group",POWER(Upgrades!$U$15,G57),1)*IF(Upgrades!$T$16="Moving Group",POWER(Upgrades!$U$16,H57),1)*IF(Upgrades!$T$17="Moving Group",POWER(Upgrades!$U$17,I57),1)*IF(Upgrades!$T$18="Moving Group",POWER(Upgrades!$U$18,J57),1)*IF(Upgrades!$T$19="Moving Group",POWER(Upgrades!$U$19,K57),1)*IF(Upgrades!$T$20="Moving Group",POWER(Upgrades!$U$20,L57),1)))*POWER(Upgrades!$R$13,E57)*POWER(Upgrades!$R$14,F57)*POWER(Upgrades!$R$15,G57)*POWER(Upgrades!$R$16,H57)*POWER(Upgrades!$R$17,I57)*POWER(Upgrades!$R$18,J57)*POWER(Upgrades!$R$19,K57)*POWER(Upgrades!$R$20,L57)*POWER(Upgrades!$R$21,M57)*$H$6+$E$6</f>
        <v/>
      </c>
      <c r="R57" s="27">
        <f>IF(N57=1,0,O57*Parameters!$B$10/60*Parameters!$B$11*10)</f>
        <v/>
      </c>
      <c r="S57" s="27">
        <f>IF(N57=1,0,Q57*O57*10)</f>
        <v/>
      </c>
      <c r="T57" s="27">
        <f>IF(N57=1,0,R57+S57+P57*10)</f>
        <v/>
      </c>
      <c r="U57" s="33">
        <f>BE57</f>
        <v/>
      </c>
      <c r="V57" s="22">
        <f>IF(U57="",0,IF(U57="transition",0,IF(U57="SK",AK57,IF(U57="LB",AL57,IF(U57="ML",AM57,IF(U57="RLO",AN57,IF(U57="BD",AO57,IF(U57="BiP",AP57,IF(U57="PV",AQ57,IF(U57="OC",AR57,IF(U57="MG",AS57,0))))))))))</f>
        <v/>
      </c>
      <c r="W57" s="27">
        <f>IF(U57="BiP",Upgrades!$F$18,IF(U57="PV",Upgrades!$F$19,IF(U57="OC",Upgrades!$F$20,IF(U57="MG",Upgrades!$F$21,IF(U57="transition",-Parameters!$B$18*Parameters!$B$19,0)))))</f>
        <v/>
      </c>
      <c r="X57" s="22">
        <f>C57+T57-V57</f>
        <v/>
      </c>
      <c r="Y57" s="30">
        <f>O57*Parameters!$B$10/60*Parameters!$B$11+Q57*O57+P57</f>
        <v/>
      </c>
      <c r="Z57" s="34">
        <f>IF(U57="transition","→ Tier 3 (Galactic Arm)",IF(U57="MG","Moving Group — pocket drifts together",IF(U57="OC","Open Cluster acquired",IF(U57="PV","Peculiar Velocity — passive multiplier active",IF(U57="BiP","Binary Partner — pair bond formed",IF(AND(AU57=1,N57=0,AT57&lt;&gt;1),"Cohesion ready (waiting on completionists)","")))))) </f>
        <v/>
      </c>
      <c r="AA57" s="27">
        <f>(IF(E57=0,0,(Upgrades!$G$13+E57*Upgrades!$H$13)*POWER(Upgrades!$I$13,E57)))*(IF(Upgrades!$T$14="Stellar Kinematics",POWER(Upgrades!$U$14,F57),1)*IF(Upgrades!$T$15="Stellar Kinematics",POWER(Upgrades!$U$15,G57),1)*IF(Upgrades!$T$16="Stellar Kinematics",POWER(Upgrades!$U$16,H57),1)*IF(Upgrades!$T$17="Stellar Kinematics",POWER(Upgrades!$U$17,I57),1)*IF(Upgrades!$T$18="Stellar Kinematics",POWER(Upgrades!$U$18,J57),1)*IF(Upgrades!$T$19="Stellar Kinematics",POWER(Upgrades!$U$19,K57),1)*IF(Upgrades!$T$20="Stellar Kinematics",POWER(Upgrades!$U$20,L57),1)*IF(Upgrades!$T$21="Stellar Kinematics",POWER(Upgrades!$U$21,M57),1))*POWER(Upgrades!$P$13,E57)*POWER(Upgrades!$P$14,F57)*POWER(Upgrades!$P$15,G57)*POWER(Upgrades!$P$16,H57)*POWER(Upgrades!$P$17,I57)*POWER(Upgrades!$P$18,J57)*POWER(Upgrades!$P$19,K57)*POWER(Upgrades!$P$20,L57)*POWER(Upgrades!$P$21,M57)*$F$6*60</f>
        <v/>
      </c>
      <c r="AB57" s="27">
        <f>(IF(F57=0,0,(Upgrades!$G$14+F57*Upgrades!$H$14)*POWER(Upgrades!$I$14,F57)))*(IF(Upgrades!$T$13="Local Bubble",POWER(Upgrades!$U$13,E57),1)*IF(Upgrades!$T$15="Local Bubble",POWER(Upgrades!$U$15,G57),1)*IF(Upgrades!$T$16="Local Bubble",POWER(Upgrades!$U$16,H57),1)*IF(Upgrades!$T$17="Local Bubble",POWER(Upgrades!$U$17,I57),1)*IF(Upgrades!$T$18="Local Bubble",POWER(Upgrades!$U$18,J57),1)*IF(Upgrades!$T$19="Local Bubble",POWER(Upgrades!$U$19,K57),1)*IF(Upgrades!$T$20="Local Bubble",POWER(Upgrades!$U$20,L57),1)*IF(Upgrades!$T$21="Local Bubble",POWER(Upgrades!$U$21,M57),1))*POWER(Upgrades!$P$13,E57)*POWER(Upgrades!$P$14,F57)*POWER(Upgrades!$P$15,G57)*POWER(Upgrades!$P$16,H57)*POWER(Upgrades!$P$17,I57)*POWER(Upgrades!$P$18,J57)*POWER(Upgrades!$P$19,K57)*POWER(Upgrades!$P$20,L57)*POWER(Upgrades!$P$21,M57)*$F$6*60</f>
        <v/>
      </c>
      <c r="AC57" s="27">
        <f>(IF(G57=0,0,(Upgrades!$J$15+G57*Upgrades!$K$15)*POWER(Upgrades!$L$15,G57)))*(IF(Upgrades!$T$13="Microlensing",POWER(Upgrades!$U$13,E57),1)*IF(Upgrades!$T$14="Microlensing",POWER(Upgrades!$U$14,F57),1)*IF(Upgrades!$T$16="Microlensing",POWER(Upgrades!$U$16,H57),1)*IF(Upgrades!$T$17="Microlensing",POWER(Upgrades!$U$17,I57),1)*IF(Upgrades!$T$18="Microlensing",POWER(Upgrades!$U$18,J57),1)*IF(Upgrades!$T$19="Microlensing",POWER(Upgrades!$U$19,K57),1)*IF(Upgrades!$T$20="Microlensing",POWER(Upgrades!$U$20,L57),1)*IF(Upgrades!$T$21="Microlensing",POWER(Upgrades!$U$21,M57),1))*POWER(Upgrades!$Q$13,E57)*POWER(Upgrades!$Q$14,F57)*POWER(Upgrades!$Q$15,G57)*POWER(Upgrades!$Q$16,H57)*POWER(Upgrades!$Q$17,I57)*POWER(Upgrades!$Q$18,J57)*POWER(Upgrades!$Q$19,K57)*POWER(Upgrades!$Q$20,L57)*POWER(Upgrades!$Q$21,M57)*$G$6*(Parameters!$B$10*Parameters!$B$11+Q57*60)</f>
        <v/>
      </c>
      <c r="AD57" s="27">
        <f>(IF(H57=0,0,(Upgrades!$M$16+H57*Upgrades!$N$16)*POWER(Upgrades!$O$16,H57)))*(IF(Upgrades!$T$13="Roche Lobe Overflow",POWER(Upgrades!$U$13,E57),1)*IF(Upgrades!$T$14="Roche Lobe Overflow",POWER(Upgrades!$U$14,F57),1)*IF(Upgrades!$T$15="Roche Lobe Overflow",POWER(Upgrades!$U$15,G57),1)*IF(Upgrades!$T$17="Roche Lobe Overflow",POWER(Upgrades!$U$17,I57),1)*IF(Upgrades!$T$18="Roche Lobe Overflow",POWER(Upgrades!$U$18,J57),1)*IF(Upgrades!$T$19="Roche Lobe Overflow",POWER(Upgrades!$U$19,K57),1)*IF(Upgrades!$T$20="Roche Lobe Overflow",POWER(Upgrades!$U$20,L57),1)*IF(Upgrades!$T$21="Roche Lobe Overflow",POWER(Upgrades!$U$21,M57),1))*POWER(Upgrades!$R$13,E57)*POWER(Upgrades!$R$14,F57)*POWER(Upgrades!$R$15,G57)*POWER(Upgrades!$R$16,H57)*POWER(Upgrades!$R$17,I57)*POWER(Upgrades!$R$18,J57)*POWER(Upgrades!$R$19,K57)*POWER(Upgrades!$R$20,L57)*POWER(Upgrades!$R$21,M57)*$H$6*O57*60</f>
        <v/>
      </c>
      <c r="AE57" s="27">
        <f>(IF(I57=0,0,(Upgrades!$G$17+I57*Upgrades!$H$17)*POWER(Upgrades!$I$17,I57)))*(IF(Upgrades!$T$13="Brown Dwarf",POWER(Upgrades!$U$13,E57),1)*IF(Upgrades!$T$14="Brown Dwarf",POWER(Upgrades!$U$14,F57),1)*IF(Upgrades!$T$15="Brown Dwarf",POWER(Upgrades!$U$15,G57),1)*IF(Upgrades!$T$16="Brown Dwarf",POWER(Upgrades!$U$16,H57),1)*IF(Upgrades!$T$18="Brown Dwarf",POWER(Upgrades!$U$18,J57),1)*IF(Upgrades!$T$19="Brown Dwarf",POWER(Upgrades!$U$19,K57),1)*IF(Upgrades!$T$20="Brown Dwarf",POWER(Upgrades!$U$20,L57),1)*IF(Upgrades!$T$21="Brown Dwarf",POWER(Upgrades!$U$21,M57),1))*POWER(Upgrades!$P$13,E57)*POWER(Upgrades!$P$14,F57)*POWER(Upgrades!$P$15,G57)*POWER(Upgrades!$P$16,H57)*POWER(Upgrades!$P$17,I57)*POWER(Upgrades!$P$18,J57)*POWER(Upgrades!$P$19,K57)*POWER(Upgrades!$P$20,L57)*POWER(Upgrades!$P$21,M57)*$F$6*60</f>
        <v/>
      </c>
      <c r="AF57" s="27" t="n">
        <v>0</v>
      </c>
      <c r="AG57" s="27" t="n">
        <v>0</v>
      </c>
      <c r="AH57" s="27" t="n">
        <v>0</v>
      </c>
      <c r="AI57" s="27">
        <f>(IF(M57=0,0,(Upgrades!$G$21+M57*Upgrades!$H$21)*POWER(Upgrades!$I$21,M57)))*(IF(Upgrades!$T$13="Moving Group",POWER(Upgrades!$U$13,E57),1)*IF(Upgrades!$T$14="Moving Group",POWER(Upgrades!$U$14,F57),1)*IF(Upgrades!$T$15="Moving Group",POWER(Upgrades!$U$15,G57),1)*IF(Upgrades!$T$16="Moving Group",POWER(Upgrades!$U$16,H57),1)*IF(Upgrades!$T$17="Moving Group",POWER(Upgrades!$U$17,I57),1)*IF(Upgrades!$T$18="Moving Group",POWER(Upgrades!$U$18,J57),1)*IF(Upgrades!$T$19="Moving Group",POWER(Upgrades!$U$19,K57),1)*IF(Upgrades!$T$20="Moving Group",POWER(Upgrades!$U$20,L57),1))*POWER(Upgrades!$P$13,E57)*POWER(Upgrades!$P$14,F57)*POWER(Upgrades!$P$15,G57)*POWER(Upgrades!$P$16,H57)*POWER(Upgrades!$P$17,I57)*POWER(Upgrades!$P$18,J57)*POWER(Upgrades!$P$19,K57)*POWER(Upgrades!$P$20,L57)*POWER(Upgrades!$P$21,M57)*$F$6*60</f>
        <v/>
      </c>
      <c r="AJ57" s="27">
        <f>$C$6*60</f>
        <v/>
      </c>
      <c r="AK57" s="22">
        <f>IF(E57&gt;=Upgrades!$E$13,"",Upgrades!$C$13*POWER(Upgrades!$D$13,E57))</f>
        <v/>
      </c>
      <c r="AL57" s="22">
        <f>IF(F57&gt;=Upgrades!$E$14,"",Upgrades!$C$14*POWER(Upgrades!$D$14,F57))</f>
        <v/>
      </c>
      <c r="AM57" s="22">
        <f>IF(G57&gt;=Upgrades!$E$15,"",Upgrades!$C$15*POWER(Upgrades!$D$15,G57))</f>
        <v/>
      </c>
      <c r="AN57" s="22">
        <f>IF(H57&gt;=Upgrades!$E$16,"",Upgrades!$C$16*POWER(Upgrades!$D$16,H57))</f>
        <v/>
      </c>
      <c r="AO57" s="22">
        <f>IF(I57&gt;=Upgrades!$E$17,"",Upgrades!$C$17*POWER(Upgrades!$D$17,I57))</f>
        <v/>
      </c>
      <c r="AP57" s="22">
        <f>IF(J57&gt;=Upgrades!$E$18,"",Upgrades!$C$18*POWER(Upgrades!$D$18,J57))</f>
        <v/>
      </c>
      <c r="AQ57" s="22">
        <f>IF(K57&gt;=Upgrades!$E$19,"",Upgrades!$C$19*POWER(Upgrades!$D$19,K57))</f>
        <v/>
      </c>
      <c r="AR57" s="22">
        <f>IF(L57&gt;=Upgrades!$E$20,"",Upgrades!$C$20*POWER(Upgrades!$D$20,L57))</f>
        <v/>
      </c>
      <c r="AS57" s="22">
        <f>IF(M57&gt;=Upgrades!$E$21,"",Upgrades!$C$21*POWER(Upgrades!$D$21,M57))</f>
        <v/>
      </c>
      <c r="AT57" s="26">
        <f>IF(AND(D57&gt;=Parameters!$B$18*Parameters!$B$19,(I57&gt;=Upgrades!$E$17)*(M57&gt;=Upgrades!$E$21)=1,N57=0),1,"")</f>
        <v/>
      </c>
      <c r="AU57" s="26">
        <f>IF(AND(D57&gt;=Parameters!$B$18*Parameters!$B$19,N57=0),1,"")</f>
        <v/>
      </c>
      <c r="AV57" s="22">
        <f>MIN(IF(ISNUMBER(AP57),AP57,9E15),IF(ISNUMBER(AQ57),AQ57,9E15),IF(ISNUMBER(AR57),AR57,9E15),IF(ISNUMBER(AS57),AS57,9E15))</f>
        <v/>
      </c>
      <c r="AW57" s="22">
        <f>MIN(IF(ISNUMBER(AK57),AK57,9E15),IF(ISNUMBER(AL57),AL57,9E15),IF(ISNUMBER(AM57),AM57,9E15),IF(ISNUMBER(AN57),AN57,9E15),IF(ISNUMBER(AO57),AO57,9E15))</f>
        <v/>
      </c>
      <c r="AX57" s="29">
        <f>IF(BD57&gt;Parameters!$B$21*(MAX(IF(AND(NOT(AND(AU57=1,AT57&lt;&gt;1)),ISNUMBER(AK57),AK57&lt;=(C57+T57)),AY57,0),IF(AND(NOT(AND(AU57=1,AT57&lt;&gt;1)),ISNUMBER(AL57),AL57&lt;=(C57+T57)),AZ57,0),IF(AND(NOT(AND(AU57=1,AT57&lt;&gt;1)),ISNUMBER(AM57),AM57&lt;=(C57+T57)),BA57,0),IF(AND(NOT(AND(AU57=1,AT57&lt;&gt;1)),ISNUMBER(AN57),AN57&lt;=(C57+T57)),BB57,0),IF(AND(ISNUMBER(AO57),AO57&lt;=(C57+T57)),BC57,0))),TRUE,FALSE)</f>
        <v/>
      </c>
      <c r="AY57" s="32">
        <f>IFERROR(Upgrades!$H$13*(POWER(Upgrades!$P$13,E57)*POWER(Upgrades!$P$14,F57)*POWER(Upgrades!$P$15,G57)*POWER(Upgrades!$P$16,H57)*POWER(Upgrades!$P$17,I57)*POWER(Upgrades!$P$18,J57)*POWER(Upgrades!$P$19,K57)*POWER(Upgrades!$P$20,L57)*POWER(Upgrades!$P$21,M57))*(IF(Upgrades!$T$14="Stellar Kinematics",POWER(Upgrades!$U$14,F57),1)*IF(Upgrades!$T$15="Stellar Kinematics",POWER(Upgrades!$U$15,G57),1)*IF(Upgrades!$T$16="Stellar Kinematics",POWER(Upgrades!$U$16,H57),1)*IF(Upgrades!$T$17="Stellar Kinematics",POWER(Upgrades!$U$17,I57),1)*IF(Upgrades!$T$18="Stellar Kinematics",POWER(Upgrades!$U$18,J57),1)*IF(Upgrades!$T$19="Stellar Kinematics",POWER(Upgrades!$U$19,K57),1)*IF(Upgrades!$T$20="Stellar Kinematics",POWER(Upgrades!$U$20,L57),1)*IF(Upgrades!$T$21="Stellar Kinematics",POWER(Upgrades!$U$21,M57),1))*$F$6/AK57,0)</f>
        <v/>
      </c>
      <c r="AZ57" s="32">
        <f>IFERROR(Upgrades!$H$14*(POWER(Upgrades!$P$13,E57)*POWER(Upgrades!$P$14,F57)*POWER(Upgrades!$P$15,G57)*POWER(Upgrades!$P$16,H57)*POWER(Upgrades!$P$17,I57)*POWER(Upgrades!$P$18,J57)*POWER(Upgrades!$P$19,K57)*POWER(Upgrades!$P$20,L57)*POWER(Upgrades!$P$21,M57))*(IF(Upgrades!$T$13="Local Bubble",POWER(Upgrades!$U$13,E57),1)*IF(Upgrades!$T$15="Local Bubble",POWER(Upgrades!$U$15,G57),1)*IF(Upgrades!$T$16="Local Bubble",POWER(Upgrades!$U$16,H57),1)*IF(Upgrades!$T$17="Local Bubble",POWER(Upgrades!$U$17,I57),1)*IF(Upgrades!$T$18="Local Bubble",POWER(Upgrades!$U$18,J57),1)*IF(Upgrades!$T$19="Local Bubble",POWER(Upgrades!$U$19,K57),1)*IF(Upgrades!$T$20="Local Bubble",POWER(Upgrades!$U$20,L57),1)*IF(Upgrades!$T$21="Local Bubble",POWER(Upgrades!$U$21,M57),1))*$F$6/AL57,0)</f>
        <v/>
      </c>
      <c r="BA57" s="32">
        <f>IFERROR(Upgrades!$K$15*(POWER(Upgrades!$Q$13,E57)*POWER(Upgrades!$Q$14,F57)*POWER(Upgrades!$Q$15,G57)*POWER(Upgrades!$Q$16,H57)*POWER(Upgrades!$Q$17,I57)*POWER(Upgrades!$Q$18,J57)*POWER(Upgrades!$Q$19,K57)*POWER(Upgrades!$Q$20,L57)*POWER(Upgrades!$Q$21,M57))*(IF(Upgrades!$T$13="Microlensing",POWER(Upgrades!$U$13,E57),1)*IF(Upgrades!$T$14="Microlensing",POWER(Upgrades!$U$14,F57),1)*IF(Upgrades!$T$16="Microlensing",POWER(Upgrades!$U$16,H57),1)*IF(Upgrades!$T$17="Microlensing",POWER(Upgrades!$U$17,I57),1)*IF(Upgrades!$T$18="Microlensing",POWER(Upgrades!$U$18,J57),1)*IF(Upgrades!$T$19="Microlensing",POWER(Upgrades!$U$19,K57),1)*IF(Upgrades!$T$20="Microlensing",POWER(Upgrades!$U$20,L57),1)*IF(Upgrades!$T$21="Microlensing",POWER(Upgrades!$U$21,M57),1))*$G$6*(Parameters!$B$10/60*Parameters!$B$11+Q57)/AM57,0)</f>
        <v/>
      </c>
      <c r="BB57" s="32">
        <f>IFERROR((Upgrades!$N$16*(POWER(Upgrades!$R$13,E57)*POWER(Upgrades!$R$14,F57)*POWER(Upgrades!$R$15,G57)*POWER(Upgrades!$R$16,H57)*POWER(Upgrades!$R$17,I57)*POWER(Upgrades!$R$18,J57)*POWER(Upgrades!$R$19,K57)*POWER(Upgrades!$R$20,L57)*POWER(Upgrades!$R$21,M57))*(IF(Upgrades!$T$13="Roche Lobe Overflow",POWER(Upgrades!$U$13,E57),1)*IF(Upgrades!$T$14="Roche Lobe Overflow",POWER(Upgrades!$U$14,F57),1)*IF(Upgrades!$T$15="Roche Lobe Overflow",POWER(Upgrades!$U$15,G57),1)*IF(Upgrades!$T$17="Roche Lobe Overflow",POWER(Upgrades!$U$17,I57),1)*IF(Upgrades!$T$18="Roche Lobe Overflow",POWER(Upgrades!$U$18,J57),1)*IF(Upgrades!$T$19="Roche Lobe Overflow",POWER(Upgrades!$U$19,K57),1)*IF(Upgrades!$T$20="Roche Lobe Overflow",POWER(Upgrades!$U$20,L57),1)*IF(Upgrades!$T$21="Roche Lobe Overflow",POWER(Upgrades!$U$21,M57),1))*$H$6*O57+((IF(F57=0,0,(Upgrades!$G$14+F57*Upgrades!$H$14)*POWER(Upgrades!$I$14,F57)))*(IF(Upgrades!$T$13="Local Bubble",POWER(Upgrades!$U$13,E57),1)*IF(Upgrades!$T$15="Local Bubble",POWER(Upgrades!$U$15,G57),1)*IF(Upgrades!$T$16="Local Bubble",POWER(Upgrades!$U$16,H57),1)*IF(Upgrades!$T$17="Local Bubble",POWER(Upgrades!$U$17,I57),1)*IF(Upgrades!$T$18="Local Bubble",POWER(Upgrades!$U$18,J57),1)*IF(Upgrades!$T$19="Local Bubble",POWER(Upgrades!$U$19,K57),1)*IF(Upgrades!$T$20="Local Bubble",POWER(Upgrades!$U$20,L57),1)*IF(Upgrades!$T$21="Local Bubble",POWER(Upgrades!$U$21,M57),1))*POWER(Upgrades!$P$13,E57)*POWER(Upgrades!$P$14,F57)*POWER(Upgrades!$P$15,G57)*POWER(Upgrades!$P$16,H57)*POWER(Upgrades!$P$17,I57)*POWER(Upgrades!$P$18,J57)*POWER(Upgrades!$P$19,K57)*POWER(Upgrades!$P$20,L57)*POWER(Upgrades!$P$21,M57)*$F$6)*0.05)/AN57,0)</f>
        <v/>
      </c>
      <c r="BC57" s="32">
        <f>IFERROR((Upgrades!$H$17*(POWER(Upgrades!$P$13,E57)*POWER(Upgrades!$P$14,F57)*POWER(Upgrades!$P$15,G57)*POWER(Upgrades!$P$16,H57)*POWER(Upgrades!$P$17,I57)*POWER(Upgrades!$P$18,J57)*POWER(Upgrades!$P$19,K57)*POWER(Upgrades!$P$20,L57)*POWER(Upgrades!$P$21,M57))*(IF(Upgrades!$T$13="Brown Dwarf",POWER(Upgrades!$U$13,E57),1)*IF(Upgrades!$T$14="Brown Dwarf",POWER(Upgrades!$U$14,F57),1)*IF(Upgrades!$T$15="Brown Dwarf",POWER(Upgrades!$U$15,G57),1)*IF(Upgrades!$T$16="Brown Dwarf",POWER(Upgrades!$U$16,H57),1)*IF(Upgrades!$T$18="Brown Dwarf",POWER(Upgrades!$U$18,J57),1)*IF(Upgrades!$T$19="Brown Dwarf",POWER(Upgrades!$U$19,K57),1)*IF(Upgrades!$T$20="Brown Dwarf",POWER(Upgrades!$U$20,L57),1)*IF(Upgrades!$T$21="Brown Dwarf",POWER(Upgrades!$U$21,M57),1))*$F$6+(((IF(H57=0,0,(Upgrades!$M$16+H57*Upgrades!$N$16)*POWER(Upgrades!$O$16,H57)))*(IF(Upgrades!$T$13="Roche Lobe Overflow",POWER(Upgrades!$U$13,E57),1)*IF(Upgrades!$T$14="Roche Lobe Overflow",POWER(Upgrades!$U$14,F57),1)*IF(Upgrades!$T$15="Roche Lobe Overflow",POWER(Upgrades!$U$15,G57),1)*IF(Upgrades!$T$17="Roche Lobe Overflow",POWER(Upgrades!$U$17,I57),1)*IF(Upgrades!$T$18="Roche Lobe Overflow",POWER(Upgrades!$U$18,J57),1)*IF(Upgrades!$T$19="Roche Lobe Overflow",POWER(Upgrades!$U$19,K57),1)*IF(Upgrades!$T$20="Roche Lobe Overflow",POWER(Upgrades!$U$20,L57),1)*IF(Upgrades!$T$21="Roche Lobe Overflow",POWER(Upgrades!$U$21,M57),1))*POWER(Upgrades!$R$13,E57)*POWER(Upgrades!$R$14,F57)*POWER(Upgrades!$R$15,G57)*POWER(Upgrades!$R$16,H57)*POWER(Upgrades!$R$17,I57)*POWER(Upgrades!$R$18,J57)*POWER(Upgrades!$R$19,K57)*POWER(Upgrades!$R$20,L57)*POWER(Upgrades!$R$21,M57)*$H$6)*O57)*0.10)/AO57,0)</f>
        <v/>
      </c>
      <c r="BD57" s="32">
        <f>MAX(IF(J57&gt;0,0,IFERROR(0.5*((IF(G57=0,0,(Upgrades!$J$15+G57*Upgrades!$K$15)*POWER(Upgrades!$L$15,G57)))*(IF(Upgrades!$T$13="Microlensing",POWER(Upgrades!$U$13,E57),1)*IF(Upgrades!$T$14="Microlensing",POWER(Upgrades!$U$14,F57),1)*IF(Upgrades!$T$16="Microlensing",POWER(Upgrades!$U$16,H57),1)*IF(Upgrades!$T$17="Microlensing",POWER(Upgrades!$U$17,I57),1)*IF(Upgrades!$T$18="Microlensing",POWER(Upgrades!$U$18,J57),1)*IF(Upgrades!$T$19="Microlensing",POWER(Upgrades!$U$19,K57),1)*IF(Upgrades!$T$20="Microlensing",POWER(Upgrades!$U$20,L57),1)*IF(Upgrades!$T$21="Microlensing",POWER(Upgrades!$U$21,M57),1))*(POWER(Upgrades!$Q$13,E57)*POWER(Upgrades!$Q$14,F57)*POWER(Upgrades!$Q$15,G57)*POWER(Upgrades!$Q$16,H57)*POWER(Upgrades!$Q$17,I57)*POWER(Upgrades!$Q$18,J57)*POWER(Upgrades!$Q$19,K57)*POWER(Upgrades!$Q$20,L57)*POWER(Upgrades!$Q$21,M57))*$G$6*(Parameters!$B$10/60*Parameters!$B$11+Q57))/Upgrades!$C$18,0)),IF(K57&gt;0,0,IFERROR(0.30*P57/Upgrades!$C$19,0)),IF(L57&gt;0,0,IFERROR(0.0001/Upgrades!$C$20,0)),IF(M57&gt;0,0,IFERROR((6.0*(POWER(Upgrades!$P$13,E57)*POWER(Upgrades!$P$14,F57)*POWER(Upgrades!$P$15,G57)*POWER(Upgrades!$P$16,H57)*POWER(Upgrades!$P$17,I57)*POWER(Upgrades!$P$18,J57)*POWER(Upgrades!$P$19,K57)*POWER(Upgrades!$P$20,L57)*POWER(Upgrades!$P$21,M57))*$F$6+0.20*O57*(Parameters!$B$10/60*Parameters!$B$11+Q57))/Upgrades!$C$21,0)),IF(AND(ISNUMBER(AK57),AK57&gt;(C57+T57)),AY57,0),IF(AND(ISNUMBER(AL57),AL57&gt;(C57+T57)),AZ57,0),IF(AND(ISNUMBER(AM57),AM57&gt;(C57+T57)),BA57,0),IF(AND(ISNUMBER(AN57),AN57&gt;(C57+T57)),BB57,0),IF(AND(ISNUMBER(AO57),AO57&gt;(C57+T57)),BC57,0))</f>
        <v/>
      </c>
      <c r="BE57" s="29">
        <f>IF(AT57=1,"transition",IF(MIN(IF(AND(J57=0,ISNUMBER(AP57),AP57&lt;=(C57+T57)),AP57,9E15),IF(AND(K57=0,ISNUMBER(AQ57),AQ57&lt;=(C57+T57)),AQ57,9E15),IF(AND(L57=0,ISNUMBER(AR57),AR57&lt;=(C57+T57)),AR57,9E15),IF(AND(M57=0,ISNUMBER(AS57),AS57&lt;=(C57+T57)),AS57,9E15))&lt;9E15,IF(AND(AND(J57=0,ISNUMBER(AP57),AP57&lt;=(C57+T57)),AP57=MIN(IF(AND(J57=0,ISNUMBER(AP57),AP57&lt;=(C57+T57)),AP57,9E15),IF(AND(K57=0,ISNUMBER(AQ57),AQ57&lt;=(C57+T57)),AQ57,9E15),IF(AND(L57=0,ISNUMBER(AR57),AR57&lt;=(C57+T57)),AR57,9E15),IF(AND(M57=0,ISNUMBER(AS57),AS57&lt;=(C57+T57)),AS57,9E15))),"BiP",IF(AND(AND(K57=0,ISNUMBER(AQ57),AQ57&lt;=(C57+T57)),AQ57=MIN(IF(AND(J57=0,ISNUMBER(AP57),AP57&lt;=(C57+T57)),AP57,9E15),IF(AND(K57=0,ISNUMBER(AQ57),AQ57&lt;=(C57+T57)),AQ57,9E15),IF(AND(L57=0,ISNUMBER(AR57),AR57&lt;=(C57+T57)),AR57,9E15),IF(AND(M57=0,ISNUMBER(AS57),AS57&lt;=(C57+T57)),AS57,9E15))),"PV",IF(AND(AND(L57=0,ISNUMBER(AR57),AR57&lt;=(C57+T57)),AR57=MIN(IF(AND(J57=0,ISNUMBER(AP57),AP57&lt;=(C57+T57)),AP57,9E15),IF(AND(K57=0,ISNUMBER(AQ57),AQ57&lt;=(C57+T57)),AQ57,9E15),IF(AND(L57=0,ISNUMBER(AR57),AR57&lt;=(C57+T57)),AR57,9E15),IF(AND(M57=0,ISNUMBER(AS57),AS57&lt;=(C57+T57)),AS57,9E15))),"OC","MG"))),IF(AX57=TRUE,"",IF(MAX(IF(AND(NOT(AND(AU57=1,AT57&lt;&gt;1)),ISNUMBER(AK57),AK57&lt;=(C57+T57)),AY57,0),IF(AND(NOT(AND(AU57=1,AT57&lt;&gt;1)),ISNUMBER(AL57),AL57&lt;=(C57+T57)),AZ57,0),IF(AND(NOT(AND(AU57=1,AT57&lt;&gt;1)),ISNUMBER(AM57),AM57&lt;=(C57+T57)),BA57,0),IF(AND(NOT(AND(AU57=1,AT57&lt;&gt;1)),ISNUMBER(AN57),AN57&lt;=(C57+T57)),BB57,0),IF(AND(ISNUMBER(AO57),AO57&lt;=(C57+T57)),BC57,0))&lt;=0,"",IF(AND(IF(AND(NOT(AND(AU57=1,AT57&lt;&gt;1)),ISNUMBER(AK57),AK57&lt;=(C57+T57)),AY57,0)&gt;0,IF(AND(NOT(AND(AU57=1,AT57&lt;&gt;1)),ISNUMBER(AK57),AK57&lt;=(C57+T57)),AY57,0)=MAX(IF(AND(NOT(AND(AU57=1,AT57&lt;&gt;1)),ISNUMBER(AK57),AK57&lt;=(C57+T57)),AY57,0),IF(AND(NOT(AND(AU57=1,AT57&lt;&gt;1)),ISNUMBER(AL57),AL57&lt;=(C57+T57)),AZ57,0),IF(AND(NOT(AND(AU57=1,AT57&lt;&gt;1)),ISNUMBER(AM57),AM57&lt;=(C57+T57)),BA57,0),IF(AND(NOT(AND(AU57=1,AT57&lt;&gt;1)),ISNUMBER(AN57),AN57&lt;=(C57+T57)),BB57,0),IF(AND(ISNUMBER(AO57),AO57&lt;=(C57+T57)),BC57,0))),"SK",IF(AND(IF(AND(NOT(AND(AU57=1,AT57&lt;&gt;1)),ISNUMBER(AL57),AL57&lt;=(C57+T57)),AZ57,0)&gt;0,IF(AND(NOT(AND(AU57=1,AT57&lt;&gt;1)),ISNUMBER(AL57),AL57&lt;=(C57+T57)),AZ57,0)=MAX(IF(AND(NOT(AND(AU57=1,AT57&lt;&gt;1)),ISNUMBER(AK57),AK57&lt;=(C57+T57)),AY57,0),IF(AND(NOT(AND(AU57=1,AT57&lt;&gt;1)),ISNUMBER(AL57),AL57&lt;=(C57+T57)),AZ57,0),IF(AND(NOT(AND(AU57=1,AT57&lt;&gt;1)),ISNUMBER(AM57),AM57&lt;=(C57+T57)),BA57,0),IF(AND(NOT(AND(AU57=1,AT57&lt;&gt;1)),ISNUMBER(AN57),AN57&lt;=(C57+T57)),BB57,0),IF(AND(ISNUMBER(AO57),AO57&lt;=(C57+T57)),BC57,0))),"LB",IF(AND(IF(AND(NOT(AND(AU57=1,AT57&lt;&gt;1)),ISNUMBER(AM57),AM57&lt;=(C57+T57)),BA57,0)&gt;0,IF(AND(NOT(AND(AU57=1,AT57&lt;&gt;1)),ISNUMBER(AM57),AM57&lt;=(C57+T57)),BA57,0)=MAX(IF(AND(NOT(AND(AU57=1,AT57&lt;&gt;1)),ISNUMBER(AK57),AK57&lt;=(C57+T57)),AY57,0),IF(AND(NOT(AND(AU57=1,AT57&lt;&gt;1)),ISNUMBER(AL57),AL57&lt;=(C57+T57)),AZ57,0),IF(AND(NOT(AND(AU57=1,AT57&lt;&gt;1)),ISNUMBER(AM57),AM57&lt;=(C57+T57)),BA57,0),IF(AND(NOT(AND(AU57=1,AT57&lt;&gt;1)),ISNUMBER(AN57),AN57&lt;=(C57+T57)),BB57,0),IF(AND(ISNUMBER(AO57),AO57&lt;=(C57+T57)),BC57,0))),"ML",IF(AND(IF(AND(NOT(AND(AU57=1,AT57&lt;&gt;1)),ISNUMBER(AN57),AN57&lt;=(C57+T57)),BB57,0)&gt;0,IF(AND(NOT(AND(AU57=1,AT57&lt;&gt;1)),ISNUMBER(AN57),AN57&lt;=(C57+T57)),BB57,0)=MAX(IF(AND(NOT(AND(AU57=1,AT57&lt;&gt;1)),ISNUMBER(AK57),AK57&lt;=(C57+T57)),AY57,0),IF(AND(NOT(AND(AU57=1,AT57&lt;&gt;1)),ISNUMBER(AL57),AL57&lt;=(C57+T57)),AZ57,0),IF(AND(NOT(AND(AU57=1,AT57&lt;&gt;1)),ISNUMBER(AM57),AM57&lt;=(C57+T57)),BA57,0),IF(AND(NOT(AND(AU57=1,AT57&lt;&gt;1)),ISNUMBER(AN57),AN57&lt;=(C57+T57)),BB57,0),IF(AND(ISNUMBER(AO57),AO57&lt;=(C57+T57)),BC57,0))),"RLO","BD"))))))))</f>
        <v/>
      </c>
    </row>
    <row r="58">
      <c r="A58" s="26" t="n">
        <v>47</v>
      </c>
      <c r="B58" s="27">
        <f>A58*10/60</f>
        <v/>
      </c>
      <c r="C58" s="22">
        <f>X57</f>
        <v/>
      </c>
      <c r="D58" s="27">
        <f>D57+W57</f>
        <v/>
      </c>
      <c r="E58" s="26">
        <f>E57+IF(U57="SK",1,0)</f>
        <v/>
      </c>
      <c r="F58" s="26">
        <f>F57+IF(U57="LB",1,0)</f>
        <v/>
      </c>
      <c r="G58" s="26">
        <f>G57+IF(U57="ML",1,0)</f>
        <v/>
      </c>
      <c r="H58" s="26">
        <f>H57+IF(U57="RLO",1,0)</f>
        <v/>
      </c>
      <c r="I58" s="26">
        <f>I57+IF(U57="BD",1,0)</f>
        <v/>
      </c>
      <c r="J58" s="26">
        <f>MAX(J57,IF(U57="BiP",1,0))</f>
        <v/>
      </c>
      <c r="K58" s="26">
        <f>MAX(K57,IF(U57="PV",1,0))</f>
        <v/>
      </c>
      <c r="L58" s="26">
        <f>MAX(L57,IF(U57="OC",1,0))</f>
        <v/>
      </c>
      <c r="M58" s="26">
        <f>MAX(M57,IF(U57="MG",1,0))</f>
        <v/>
      </c>
      <c r="N58" s="26">
        <f>MAX(N57,IF(U57="transition",1,0))</f>
        <v/>
      </c>
      <c r="O58" s="28">
        <f>(Parameters!$B$9+(IF(E58=0,0,(Upgrades!$J$13+E58*Upgrades!$K$13)*POWER(Upgrades!$L$13,E58)))*(IF(Upgrades!$T$14="Stellar Kinematics",POWER(Upgrades!$U$14,F58),1)*IF(Upgrades!$T$15="Stellar Kinematics",POWER(Upgrades!$U$15,G58),1)*IF(Upgrades!$T$16="Stellar Kinematics",POWER(Upgrades!$U$16,H58),1)*IF(Upgrades!$T$17="Stellar Kinematics",POWER(Upgrades!$U$17,I58),1)*IF(Upgrades!$T$18="Stellar Kinematics",POWER(Upgrades!$U$18,J58),1)*IF(Upgrades!$T$19="Stellar Kinematics",POWER(Upgrades!$U$19,K58),1)*IF(Upgrades!$T$20="Stellar Kinematics",POWER(Upgrades!$U$20,L58),1)*IF(Upgrades!$T$21="Stellar Kinematics",POWER(Upgrades!$U$21,M58),1))+(IF(F58=0,0,(Upgrades!$J$14+F58*Upgrades!$K$14)*POWER(Upgrades!$L$14,F58)))*(IF(Upgrades!$T$13="Local Bubble",POWER(Upgrades!$U$13,E58),1)*IF(Upgrades!$T$15="Local Bubble",POWER(Upgrades!$U$15,G58),1)*IF(Upgrades!$T$16="Local Bubble",POWER(Upgrades!$U$16,H58),1)*IF(Upgrades!$T$17="Local Bubble",POWER(Upgrades!$U$17,I58),1)*IF(Upgrades!$T$18="Local Bubble",POWER(Upgrades!$U$18,J58),1)*IF(Upgrades!$T$19="Local Bubble",POWER(Upgrades!$U$19,K58),1)*IF(Upgrades!$T$20="Local Bubble",POWER(Upgrades!$U$20,L58),1)*IF(Upgrades!$T$21="Local Bubble",POWER(Upgrades!$U$21,M58),1))+(IF(G58=0,0,(Upgrades!$J$15+G58*Upgrades!$K$15)*POWER(Upgrades!$L$15,G58)))*(IF(Upgrades!$T$13="Microlensing",POWER(Upgrades!$U$13,E58),1)*IF(Upgrades!$T$14="Microlensing",POWER(Upgrades!$U$14,F58),1)*IF(Upgrades!$T$16="Microlensing",POWER(Upgrades!$U$16,H58),1)*IF(Upgrades!$T$17="Microlensing",POWER(Upgrades!$U$17,I58),1)*IF(Upgrades!$T$18="Microlensing",POWER(Upgrades!$U$18,J58),1)*IF(Upgrades!$T$19="Microlensing",POWER(Upgrades!$U$19,K58),1)*IF(Upgrades!$T$20="Microlensing",POWER(Upgrades!$U$20,L58),1)*IF(Upgrades!$T$21="Microlensing",POWER(Upgrades!$U$21,M58),1))+(IF(H58=0,0,(Upgrades!$J$16+H58*Upgrades!$K$16)*POWER(Upgrades!$L$16,H58)))*(IF(Upgrades!$T$13="Roche Lobe Overflow",POWER(Upgrades!$U$13,E58),1)*IF(Upgrades!$T$14="Roche Lobe Overflow",POWER(Upgrades!$U$14,F58),1)*IF(Upgrades!$T$15="Roche Lobe Overflow",POWER(Upgrades!$U$15,G58),1)*IF(Upgrades!$T$17="Roche Lobe Overflow",POWER(Upgrades!$U$17,I58),1)*IF(Upgrades!$T$18="Roche Lobe Overflow",POWER(Upgrades!$U$18,J58),1)*IF(Upgrades!$T$19="Roche Lobe Overflow",POWER(Upgrades!$U$19,K58),1)*IF(Upgrades!$T$20="Roche Lobe Overflow",POWER(Upgrades!$U$20,L58),1)*IF(Upgrades!$T$21="Roche Lobe Overflow",POWER(Upgrades!$U$21,M58),1))+(IF(I58=0,0,(Upgrades!$J$17+I58*Upgrades!$K$17)*POWER(Upgrades!$L$17,I58)))*(IF(Upgrades!$T$13="Brown Dwarf",POWER(Upgrades!$U$13,E58),1)*IF(Upgrades!$T$14="Brown Dwarf",POWER(Upgrades!$U$14,F58),1)*IF(Upgrades!$T$15="Brown Dwarf",POWER(Upgrades!$U$15,G58),1)*IF(Upgrades!$T$16="Brown Dwarf",POWER(Upgrades!$U$16,H58),1)*IF(Upgrades!$T$18="Brown Dwarf",POWER(Upgrades!$U$18,J58),1)*IF(Upgrades!$T$19="Brown Dwarf",POWER(Upgrades!$U$19,K58),1)*IF(Upgrades!$T$20="Brown Dwarf",POWER(Upgrades!$U$20,L58),1)*IF(Upgrades!$T$21="Brown Dwarf",POWER(Upgrades!$U$21,M58),1))+(IF(J58=0,0,(Upgrades!$J$18+J58*Upgrades!$K$18)*POWER(Upgrades!$L$18,J58)))*(IF(Upgrades!$T$13="Binary Partner",POWER(Upgrades!$U$13,E58),1)*IF(Upgrades!$T$14="Binary Partner",POWER(Upgrades!$U$14,F58),1)*IF(Upgrades!$T$15="Binary Partner",POWER(Upgrades!$U$15,G58),1)*IF(Upgrades!$T$16="Binary Partner",POWER(Upgrades!$U$16,H58),1)*IF(Upgrades!$T$17="Binary Partner",POWER(Upgrades!$U$17,I58),1)*IF(Upgrades!$T$19="Binary Partner",POWER(Upgrades!$U$19,K58),1)*IF(Upgrades!$T$20="Binary Partner",POWER(Upgrades!$U$20,L58),1)*IF(Upgrades!$T$21="Binary Partner",POWER(Upgrades!$U$21,M58),1))+(IF(K58=0,0,(Upgrades!$J$19+K58*Upgrades!$K$19)*POWER(Upgrades!$L$19,K58)))*(IF(Upgrades!$T$13="Peculiar Velocity",POWER(Upgrades!$U$13,E58),1)*IF(Upgrades!$T$14="Peculiar Velocity",POWER(Upgrades!$U$14,F58),1)*IF(Upgrades!$T$15="Peculiar Velocity",POWER(Upgrades!$U$15,G58),1)*IF(Upgrades!$T$16="Peculiar Velocity",POWER(Upgrades!$U$16,H58),1)*IF(Upgrades!$T$17="Peculiar Velocity",POWER(Upgrades!$U$17,I58),1)*IF(Upgrades!$T$18="Peculiar Velocity",POWER(Upgrades!$U$18,J58),1)*IF(Upgrades!$T$20="Peculiar Velocity",POWER(Upgrades!$U$20,L58),1)*IF(Upgrades!$T$21="Peculiar Velocity",POWER(Upgrades!$U$21,M58),1))+(IF(L58=0,0,(Upgrades!$J$20+L58*Upgrades!$K$20)*POWER(Upgrades!$L$20,L58)))*(IF(Upgrades!$T$13="Open Cluster",POWER(Upgrades!$U$13,E58),1)*IF(Upgrades!$T$14="Open Cluster",POWER(Upgrades!$U$14,F58),1)*IF(Upgrades!$T$15="Open Cluster",POWER(Upgrades!$U$15,G58),1)*IF(Upgrades!$T$16="Open Cluster",POWER(Upgrades!$U$16,H58),1)*IF(Upgrades!$T$17="Open Cluster",POWER(Upgrades!$U$17,I58),1)*IF(Upgrades!$T$18="Open Cluster",POWER(Upgrades!$U$18,J58),1)*IF(Upgrades!$T$19="Open Cluster",POWER(Upgrades!$U$19,K58),1)*IF(Upgrades!$T$21="Open Cluster",POWER(Upgrades!$U$21,M58),1))+(IF(M58=0,0,(Upgrades!$J$21+M58*Upgrades!$K$21)*POWER(Upgrades!$L$21,M58)))*(IF(Upgrades!$T$13="Moving Group",POWER(Upgrades!$U$13,E58),1)*IF(Upgrades!$T$14="Moving Group",POWER(Upgrades!$U$14,F58),1)*IF(Upgrades!$T$15="Moving Group",POWER(Upgrades!$U$15,G58),1)*IF(Upgrades!$T$16="Moving Group",POWER(Upgrades!$U$16,H58),1)*IF(Upgrades!$T$17="Moving Group",POWER(Upgrades!$U$17,I58),1)*IF(Upgrades!$T$18="Moving Group",POWER(Upgrades!$U$18,J58),1)*IF(Upgrades!$T$19="Moving Group",POWER(Upgrades!$U$19,K58),1)*IF(Upgrades!$T$20="Moving Group",POWER(Upgrades!$U$20,L58),1)))*POWER(Upgrades!$Q$13,E58)*POWER(Upgrades!$Q$14,F58)*POWER(Upgrades!$Q$15,G58)*POWER(Upgrades!$Q$16,H58)*POWER(Upgrades!$Q$17,I58)*POWER(Upgrades!$Q$18,J58)*POWER(Upgrades!$Q$19,K58)*POWER(Upgrades!$Q$20,L58)*POWER(Upgrades!$Q$21,M58)*$G$6+$D$6</f>
        <v/>
      </c>
      <c r="P58" s="28">
        <f>((IF(E58=0,0,(Upgrades!$G$13+E58*Upgrades!$H$13)*POWER(Upgrades!$I$13,E58)))*(IF(Upgrades!$T$14="Stellar Kinematics",POWER(Upgrades!$U$14,F58),1)*IF(Upgrades!$T$15="Stellar Kinematics",POWER(Upgrades!$U$15,G58),1)*IF(Upgrades!$T$16="Stellar Kinematics",POWER(Upgrades!$U$16,H58),1)*IF(Upgrades!$T$17="Stellar Kinematics",POWER(Upgrades!$U$17,I58),1)*IF(Upgrades!$T$18="Stellar Kinematics",POWER(Upgrades!$U$18,J58),1)*IF(Upgrades!$T$19="Stellar Kinematics",POWER(Upgrades!$U$19,K58),1)*IF(Upgrades!$T$20="Stellar Kinematics",POWER(Upgrades!$U$20,L58),1)*IF(Upgrades!$T$21="Stellar Kinematics",POWER(Upgrades!$U$21,M58),1))+(IF(F58=0,0,(Upgrades!$G$14+F58*Upgrades!$H$14)*POWER(Upgrades!$I$14,F58)))*(IF(Upgrades!$T$13="Local Bubble",POWER(Upgrades!$U$13,E58),1)*IF(Upgrades!$T$15="Local Bubble",POWER(Upgrades!$U$15,G58),1)*IF(Upgrades!$T$16="Local Bubble",POWER(Upgrades!$U$16,H58),1)*IF(Upgrades!$T$17="Local Bubble",POWER(Upgrades!$U$17,I58),1)*IF(Upgrades!$T$18="Local Bubble",POWER(Upgrades!$U$18,J58),1)*IF(Upgrades!$T$19="Local Bubble",POWER(Upgrades!$U$19,K58),1)*IF(Upgrades!$T$20="Local Bubble",POWER(Upgrades!$U$20,L58),1)*IF(Upgrades!$T$21="Local Bubble",POWER(Upgrades!$U$21,M58),1))+(IF(G58=0,0,(Upgrades!$G$15+G58*Upgrades!$H$15)*POWER(Upgrades!$I$15,G58)))*(IF(Upgrades!$T$13="Microlensing",POWER(Upgrades!$U$13,E58),1)*IF(Upgrades!$T$14="Microlensing",POWER(Upgrades!$U$14,F58),1)*IF(Upgrades!$T$16="Microlensing",POWER(Upgrades!$U$16,H58),1)*IF(Upgrades!$T$17="Microlensing",POWER(Upgrades!$U$17,I58),1)*IF(Upgrades!$T$18="Microlensing",POWER(Upgrades!$U$18,J58),1)*IF(Upgrades!$T$19="Microlensing",POWER(Upgrades!$U$19,K58),1)*IF(Upgrades!$T$20="Microlensing",POWER(Upgrades!$U$20,L58),1)*IF(Upgrades!$T$21="Microlensing",POWER(Upgrades!$U$21,M58),1))+(IF(H58=0,0,(Upgrades!$G$16+H58*Upgrades!$H$16)*POWER(Upgrades!$I$16,H58)))*(IF(Upgrades!$T$13="Roche Lobe Overflow",POWER(Upgrades!$U$13,E58),1)*IF(Upgrades!$T$14="Roche Lobe Overflow",POWER(Upgrades!$U$14,F58),1)*IF(Upgrades!$T$15="Roche Lobe Overflow",POWER(Upgrades!$U$15,G58),1)*IF(Upgrades!$T$17="Roche Lobe Overflow",POWER(Upgrades!$U$17,I58),1)*IF(Upgrades!$T$18="Roche Lobe Overflow",POWER(Upgrades!$U$18,J58),1)*IF(Upgrades!$T$19="Roche Lobe Overflow",POWER(Upgrades!$U$19,K58),1)*IF(Upgrades!$T$20="Roche Lobe Overflow",POWER(Upgrades!$U$20,L58),1)*IF(Upgrades!$T$21="Roche Lobe Overflow",POWER(Upgrades!$U$21,M58),1))+(IF(I58=0,0,(Upgrades!$G$17+I58*Upgrades!$H$17)*POWER(Upgrades!$I$17,I58)))*(IF(Upgrades!$T$13="Brown Dwarf",POWER(Upgrades!$U$13,E58),1)*IF(Upgrades!$T$14="Brown Dwarf",POWER(Upgrades!$U$14,F58),1)*IF(Upgrades!$T$15="Brown Dwarf",POWER(Upgrades!$U$15,G58),1)*IF(Upgrades!$T$16="Brown Dwarf",POWER(Upgrades!$U$16,H58),1)*IF(Upgrades!$T$18="Brown Dwarf",POWER(Upgrades!$U$18,J58),1)*IF(Upgrades!$T$19="Brown Dwarf",POWER(Upgrades!$U$19,K58),1)*IF(Upgrades!$T$20="Brown Dwarf",POWER(Upgrades!$U$20,L58),1)*IF(Upgrades!$T$21="Brown Dwarf",POWER(Upgrades!$U$21,M58),1))+(IF(J58=0,0,(Upgrades!$G$18+J58*Upgrades!$H$18)*POWER(Upgrades!$I$18,J58)))*(IF(Upgrades!$T$13="Binary Partner",POWER(Upgrades!$U$13,E58),1)*IF(Upgrades!$T$14="Binary Partner",POWER(Upgrades!$U$14,F58),1)*IF(Upgrades!$T$15="Binary Partner",POWER(Upgrades!$U$15,G58),1)*IF(Upgrades!$T$16="Binary Partner",POWER(Upgrades!$U$16,H58),1)*IF(Upgrades!$T$17="Binary Partner",POWER(Upgrades!$U$17,I58),1)*IF(Upgrades!$T$19="Binary Partner",POWER(Upgrades!$U$19,K58),1)*IF(Upgrades!$T$20="Binary Partner",POWER(Upgrades!$U$20,L58),1)*IF(Upgrades!$T$21="Binary Partner",POWER(Upgrades!$U$21,M58),1))+(IF(K58=0,0,(Upgrades!$G$19+K58*Upgrades!$H$19)*POWER(Upgrades!$I$19,K58)))*(IF(Upgrades!$T$13="Peculiar Velocity",POWER(Upgrades!$U$13,E58),1)*IF(Upgrades!$T$14="Peculiar Velocity",POWER(Upgrades!$U$14,F58),1)*IF(Upgrades!$T$15="Peculiar Velocity",POWER(Upgrades!$U$15,G58),1)*IF(Upgrades!$T$16="Peculiar Velocity",POWER(Upgrades!$U$16,H58),1)*IF(Upgrades!$T$17="Peculiar Velocity",POWER(Upgrades!$U$17,I58),1)*IF(Upgrades!$T$18="Peculiar Velocity",POWER(Upgrades!$U$18,J58),1)*IF(Upgrades!$T$20="Peculiar Velocity",POWER(Upgrades!$U$20,L58),1)*IF(Upgrades!$T$21="Peculiar Velocity",POWER(Upgrades!$U$21,M58),1))+(IF(L58=0,0,(Upgrades!$G$20+L58*Upgrades!$H$20)*POWER(Upgrades!$I$20,L58)))*(IF(Upgrades!$T$13="Open Cluster",POWER(Upgrades!$U$13,E58),1)*IF(Upgrades!$T$14="Open Cluster",POWER(Upgrades!$U$14,F58),1)*IF(Upgrades!$T$15="Open Cluster",POWER(Upgrades!$U$15,G58),1)*IF(Upgrades!$T$16="Open Cluster",POWER(Upgrades!$U$16,H58),1)*IF(Upgrades!$T$17="Open Cluster",POWER(Upgrades!$U$17,I58),1)*IF(Upgrades!$T$18="Open Cluster",POWER(Upgrades!$U$18,J58),1)*IF(Upgrades!$T$19="Open Cluster",POWER(Upgrades!$U$19,K58),1)*IF(Upgrades!$T$21="Open Cluster",POWER(Upgrades!$U$21,M58),1))+(IF(M58=0,0,(Upgrades!$G$21+M58*Upgrades!$H$21)*POWER(Upgrades!$I$21,M58)))*(IF(Upgrades!$T$13="Moving Group",POWER(Upgrades!$U$13,E58),1)*IF(Upgrades!$T$14="Moving Group",POWER(Upgrades!$U$14,F58),1)*IF(Upgrades!$T$15="Moving Group",POWER(Upgrades!$U$15,G58),1)*IF(Upgrades!$T$16="Moving Group",POWER(Upgrades!$U$16,H58),1)*IF(Upgrades!$T$17="Moving Group",POWER(Upgrades!$U$17,I58),1)*IF(Upgrades!$T$18="Moving Group",POWER(Upgrades!$U$18,J58),1)*IF(Upgrades!$T$19="Moving Group",POWER(Upgrades!$U$19,K58),1)*IF(Upgrades!$T$20="Moving Group",POWER(Upgrades!$U$20,L58),1)))*POWER(Upgrades!$P$13,E58)*POWER(Upgrades!$P$14,F58)*POWER(Upgrades!$P$15,G58)*POWER(Upgrades!$P$16,H58)*POWER(Upgrades!$P$17,I58)*POWER(Upgrades!$P$18,J58)*POWER(Upgrades!$P$19,K58)*POWER(Upgrades!$P$20,L58)*POWER(Upgrades!$P$21,M58)*$F$6+$C$6</f>
        <v/>
      </c>
      <c r="Q58" s="28">
        <f>((IF(E58=0,0,(Upgrades!$M$13+E58*Upgrades!$N$13)*POWER(Upgrades!$O$13,E58)))*(IF(Upgrades!$T$14="Stellar Kinematics",POWER(Upgrades!$U$14,F58),1)*IF(Upgrades!$T$15="Stellar Kinematics",POWER(Upgrades!$U$15,G58),1)*IF(Upgrades!$T$16="Stellar Kinematics",POWER(Upgrades!$U$16,H58),1)*IF(Upgrades!$T$17="Stellar Kinematics",POWER(Upgrades!$U$17,I58),1)*IF(Upgrades!$T$18="Stellar Kinematics",POWER(Upgrades!$U$18,J58),1)*IF(Upgrades!$T$19="Stellar Kinematics",POWER(Upgrades!$U$19,K58),1)*IF(Upgrades!$T$20="Stellar Kinematics",POWER(Upgrades!$U$20,L58),1)*IF(Upgrades!$T$21="Stellar Kinematics",POWER(Upgrades!$U$21,M58),1))+(IF(F58=0,0,(Upgrades!$M$14+F58*Upgrades!$N$14)*POWER(Upgrades!$O$14,F58)))*(IF(Upgrades!$T$13="Local Bubble",POWER(Upgrades!$U$13,E58),1)*IF(Upgrades!$T$15="Local Bubble",POWER(Upgrades!$U$15,G58),1)*IF(Upgrades!$T$16="Local Bubble",POWER(Upgrades!$U$16,H58),1)*IF(Upgrades!$T$17="Local Bubble",POWER(Upgrades!$U$17,I58),1)*IF(Upgrades!$T$18="Local Bubble",POWER(Upgrades!$U$18,J58),1)*IF(Upgrades!$T$19="Local Bubble",POWER(Upgrades!$U$19,K58),1)*IF(Upgrades!$T$20="Local Bubble",POWER(Upgrades!$U$20,L58),1)*IF(Upgrades!$T$21="Local Bubble",POWER(Upgrades!$U$21,M58),1))+(IF(G58=0,0,(Upgrades!$M$15+G58*Upgrades!$N$15)*POWER(Upgrades!$O$15,G58)))*(IF(Upgrades!$T$13="Microlensing",POWER(Upgrades!$U$13,E58),1)*IF(Upgrades!$T$14="Microlensing",POWER(Upgrades!$U$14,F58),1)*IF(Upgrades!$T$16="Microlensing",POWER(Upgrades!$U$16,H58),1)*IF(Upgrades!$T$17="Microlensing",POWER(Upgrades!$U$17,I58),1)*IF(Upgrades!$T$18="Microlensing",POWER(Upgrades!$U$18,J58),1)*IF(Upgrades!$T$19="Microlensing",POWER(Upgrades!$U$19,K58),1)*IF(Upgrades!$T$20="Microlensing",POWER(Upgrades!$U$20,L58),1)*IF(Upgrades!$T$21="Microlensing",POWER(Upgrades!$U$21,M58),1))+(IF(H58=0,0,(Upgrades!$M$16+H58*Upgrades!$N$16)*POWER(Upgrades!$O$16,H58)))*(IF(Upgrades!$T$13="Roche Lobe Overflow",POWER(Upgrades!$U$13,E58),1)*IF(Upgrades!$T$14="Roche Lobe Overflow",POWER(Upgrades!$U$14,F58),1)*IF(Upgrades!$T$15="Roche Lobe Overflow",POWER(Upgrades!$U$15,G58),1)*IF(Upgrades!$T$17="Roche Lobe Overflow",POWER(Upgrades!$U$17,I58),1)*IF(Upgrades!$T$18="Roche Lobe Overflow",POWER(Upgrades!$U$18,J58),1)*IF(Upgrades!$T$19="Roche Lobe Overflow",POWER(Upgrades!$U$19,K58),1)*IF(Upgrades!$T$20="Roche Lobe Overflow",POWER(Upgrades!$U$20,L58),1)*IF(Upgrades!$T$21="Roche Lobe Overflow",POWER(Upgrades!$U$21,M58),1))+(IF(I58=0,0,(Upgrades!$M$17+I58*Upgrades!$N$17)*POWER(Upgrades!$O$17,I58)))*(IF(Upgrades!$T$13="Brown Dwarf",POWER(Upgrades!$U$13,E58),1)*IF(Upgrades!$T$14="Brown Dwarf",POWER(Upgrades!$U$14,F58),1)*IF(Upgrades!$T$15="Brown Dwarf",POWER(Upgrades!$U$15,G58),1)*IF(Upgrades!$T$16="Brown Dwarf",POWER(Upgrades!$U$16,H58),1)*IF(Upgrades!$T$18="Brown Dwarf",POWER(Upgrades!$U$18,J58),1)*IF(Upgrades!$T$19="Brown Dwarf",POWER(Upgrades!$U$19,K58),1)*IF(Upgrades!$T$20="Brown Dwarf",POWER(Upgrades!$U$20,L58),1)*IF(Upgrades!$T$21="Brown Dwarf",POWER(Upgrades!$U$21,M58),1))+(IF(J58=0,0,(Upgrades!$M$18+J58*Upgrades!$N$18)*POWER(Upgrades!$O$18,J58)))*(IF(Upgrades!$T$13="Binary Partner",POWER(Upgrades!$U$13,E58),1)*IF(Upgrades!$T$14="Binary Partner",POWER(Upgrades!$U$14,F58),1)*IF(Upgrades!$T$15="Binary Partner",POWER(Upgrades!$U$15,G58),1)*IF(Upgrades!$T$16="Binary Partner",POWER(Upgrades!$U$16,H58),1)*IF(Upgrades!$T$17="Binary Partner",POWER(Upgrades!$U$17,I58),1)*IF(Upgrades!$T$19="Binary Partner",POWER(Upgrades!$U$19,K58),1)*IF(Upgrades!$T$20="Binary Partner",POWER(Upgrades!$U$20,L58),1)*IF(Upgrades!$T$21="Binary Partner",POWER(Upgrades!$U$21,M58),1))+(IF(K58=0,0,(Upgrades!$M$19+K58*Upgrades!$N$19)*POWER(Upgrades!$O$19,K58)))*(IF(Upgrades!$T$13="Peculiar Velocity",POWER(Upgrades!$U$13,E58),1)*IF(Upgrades!$T$14="Peculiar Velocity",POWER(Upgrades!$U$14,F58),1)*IF(Upgrades!$T$15="Peculiar Velocity",POWER(Upgrades!$U$15,G58),1)*IF(Upgrades!$T$16="Peculiar Velocity",POWER(Upgrades!$U$16,H58),1)*IF(Upgrades!$T$17="Peculiar Velocity",POWER(Upgrades!$U$17,I58),1)*IF(Upgrades!$T$18="Peculiar Velocity",POWER(Upgrades!$U$18,J58),1)*IF(Upgrades!$T$20="Peculiar Velocity",POWER(Upgrades!$U$20,L58),1)*IF(Upgrades!$T$21="Peculiar Velocity",POWER(Upgrades!$U$21,M58),1))+(IF(L58=0,0,(Upgrades!$M$20+L58*Upgrades!$N$20)*POWER(Upgrades!$O$20,L58)))*(IF(Upgrades!$T$13="Open Cluster",POWER(Upgrades!$U$13,E58),1)*IF(Upgrades!$T$14="Open Cluster",POWER(Upgrades!$U$14,F58),1)*IF(Upgrades!$T$15="Open Cluster",POWER(Upgrades!$U$15,G58),1)*IF(Upgrades!$T$16="Open Cluster",POWER(Upgrades!$U$16,H58),1)*IF(Upgrades!$T$17="Open Cluster",POWER(Upgrades!$U$17,I58),1)*IF(Upgrades!$T$18="Open Cluster",POWER(Upgrades!$U$18,J58),1)*IF(Upgrades!$T$19="Open Cluster",POWER(Upgrades!$U$19,K58),1)*IF(Upgrades!$T$21="Open Cluster",POWER(Upgrades!$U$21,M58),1))+(IF(M58=0,0,(Upgrades!$M$21+M58*Upgrades!$N$21)*POWER(Upgrades!$O$21,M58)))*(IF(Upgrades!$T$13="Moving Group",POWER(Upgrades!$U$13,E58),1)*IF(Upgrades!$T$14="Moving Group",POWER(Upgrades!$U$14,F58),1)*IF(Upgrades!$T$15="Moving Group",POWER(Upgrades!$U$15,G58),1)*IF(Upgrades!$T$16="Moving Group",POWER(Upgrades!$U$16,H58),1)*IF(Upgrades!$T$17="Moving Group",POWER(Upgrades!$U$17,I58),1)*IF(Upgrades!$T$18="Moving Group",POWER(Upgrades!$U$18,J58),1)*IF(Upgrades!$T$19="Moving Group",POWER(Upgrades!$U$19,K58),1)*IF(Upgrades!$T$20="Moving Group",POWER(Upgrades!$U$20,L58),1)))*POWER(Upgrades!$R$13,E58)*POWER(Upgrades!$R$14,F58)*POWER(Upgrades!$R$15,G58)*POWER(Upgrades!$R$16,H58)*POWER(Upgrades!$R$17,I58)*POWER(Upgrades!$R$18,J58)*POWER(Upgrades!$R$19,K58)*POWER(Upgrades!$R$20,L58)*POWER(Upgrades!$R$21,M58)*$H$6+$E$6</f>
        <v/>
      </c>
      <c r="R58" s="27">
        <f>IF(N58=1,0,O58*Parameters!$B$10/60*Parameters!$B$11*10)</f>
        <v/>
      </c>
      <c r="S58" s="27">
        <f>IF(N58=1,0,Q58*O58*10)</f>
        <v/>
      </c>
      <c r="T58" s="27">
        <f>IF(N58=1,0,R58+S58+P58*10)</f>
        <v/>
      </c>
      <c r="U58" s="33">
        <f>BE58</f>
        <v/>
      </c>
      <c r="V58" s="22">
        <f>IF(U58="",0,IF(U58="transition",0,IF(U58="SK",AK58,IF(U58="LB",AL58,IF(U58="ML",AM58,IF(U58="RLO",AN58,IF(U58="BD",AO58,IF(U58="BiP",AP58,IF(U58="PV",AQ58,IF(U58="OC",AR58,IF(U58="MG",AS58,0))))))))))</f>
        <v/>
      </c>
      <c r="W58" s="27">
        <f>IF(U58="BiP",Upgrades!$F$18,IF(U58="PV",Upgrades!$F$19,IF(U58="OC",Upgrades!$F$20,IF(U58="MG",Upgrades!$F$21,IF(U58="transition",-Parameters!$B$18*Parameters!$B$19,0)))))</f>
        <v/>
      </c>
      <c r="X58" s="22">
        <f>C58+T58-V58</f>
        <v/>
      </c>
      <c r="Y58" s="30">
        <f>O58*Parameters!$B$10/60*Parameters!$B$11+Q58*O58+P58</f>
        <v/>
      </c>
      <c r="Z58" s="34">
        <f>IF(U58="transition","→ Tier 3 (Galactic Arm)",IF(U58="MG","Moving Group — pocket drifts together",IF(U58="OC","Open Cluster acquired",IF(U58="PV","Peculiar Velocity — passive multiplier active",IF(U58="BiP","Binary Partner — pair bond formed",IF(AND(AU58=1,N58=0,AT58&lt;&gt;1),"Cohesion ready (waiting on completionists)","")))))) </f>
        <v/>
      </c>
      <c r="AA58" s="27">
        <f>(IF(E58=0,0,(Upgrades!$G$13+E58*Upgrades!$H$13)*POWER(Upgrades!$I$13,E58)))*(IF(Upgrades!$T$14="Stellar Kinematics",POWER(Upgrades!$U$14,F58),1)*IF(Upgrades!$T$15="Stellar Kinematics",POWER(Upgrades!$U$15,G58),1)*IF(Upgrades!$T$16="Stellar Kinematics",POWER(Upgrades!$U$16,H58),1)*IF(Upgrades!$T$17="Stellar Kinematics",POWER(Upgrades!$U$17,I58),1)*IF(Upgrades!$T$18="Stellar Kinematics",POWER(Upgrades!$U$18,J58),1)*IF(Upgrades!$T$19="Stellar Kinematics",POWER(Upgrades!$U$19,K58),1)*IF(Upgrades!$T$20="Stellar Kinematics",POWER(Upgrades!$U$20,L58),1)*IF(Upgrades!$T$21="Stellar Kinematics",POWER(Upgrades!$U$21,M58),1))*POWER(Upgrades!$P$13,E58)*POWER(Upgrades!$P$14,F58)*POWER(Upgrades!$P$15,G58)*POWER(Upgrades!$P$16,H58)*POWER(Upgrades!$P$17,I58)*POWER(Upgrades!$P$18,J58)*POWER(Upgrades!$P$19,K58)*POWER(Upgrades!$P$20,L58)*POWER(Upgrades!$P$21,M58)*$F$6*60</f>
        <v/>
      </c>
      <c r="AB58" s="27">
        <f>(IF(F58=0,0,(Upgrades!$G$14+F58*Upgrades!$H$14)*POWER(Upgrades!$I$14,F58)))*(IF(Upgrades!$T$13="Local Bubble",POWER(Upgrades!$U$13,E58),1)*IF(Upgrades!$T$15="Local Bubble",POWER(Upgrades!$U$15,G58),1)*IF(Upgrades!$T$16="Local Bubble",POWER(Upgrades!$U$16,H58),1)*IF(Upgrades!$T$17="Local Bubble",POWER(Upgrades!$U$17,I58),1)*IF(Upgrades!$T$18="Local Bubble",POWER(Upgrades!$U$18,J58),1)*IF(Upgrades!$T$19="Local Bubble",POWER(Upgrades!$U$19,K58),1)*IF(Upgrades!$T$20="Local Bubble",POWER(Upgrades!$U$20,L58),1)*IF(Upgrades!$T$21="Local Bubble",POWER(Upgrades!$U$21,M58),1))*POWER(Upgrades!$P$13,E58)*POWER(Upgrades!$P$14,F58)*POWER(Upgrades!$P$15,G58)*POWER(Upgrades!$P$16,H58)*POWER(Upgrades!$P$17,I58)*POWER(Upgrades!$P$18,J58)*POWER(Upgrades!$P$19,K58)*POWER(Upgrades!$P$20,L58)*POWER(Upgrades!$P$21,M58)*$F$6*60</f>
        <v/>
      </c>
      <c r="AC58" s="27">
        <f>(IF(G58=0,0,(Upgrades!$J$15+G58*Upgrades!$K$15)*POWER(Upgrades!$L$15,G58)))*(IF(Upgrades!$T$13="Microlensing",POWER(Upgrades!$U$13,E58),1)*IF(Upgrades!$T$14="Microlensing",POWER(Upgrades!$U$14,F58),1)*IF(Upgrades!$T$16="Microlensing",POWER(Upgrades!$U$16,H58),1)*IF(Upgrades!$T$17="Microlensing",POWER(Upgrades!$U$17,I58),1)*IF(Upgrades!$T$18="Microlensing",POWER(Upgrades!$U$18,J58),1)*IF(Upgrades!$T$19="Microlensing",POWER(Upgrades!$U$19,K58),1)*IF(Upgrades!$T$20="Microlensing",POWER(Upgrades!$U$20,L58),1)*IF(Upgrades!$T$21="Microlensing",POWER(Upgrades!$U$21,M58),1))*POWER(Upgrades!$Q$13,E58)*POWER(Upgrades!$Q$14,F58)*POWER(Upgrades!$Q$15,G58)*POWER(Upgrades!$Q$16,H58)*POWER(Upgrades!$Q$17,I58)*POWER(Upgrades!$Q$18,J58)*POWER(Upgrades!$Q$19,K58)*POWER(Upgrades!$Q$20,L58)*POWER(Upgrades!$Q$21,M58)*$G$6*(Parameters!$B$10*Parameters!$B$11+Q58*60)</f>
        <v/>
      </c>
      <c r="AD58" s="27">
        <f>(IF(H58=0,0,(Upgrades!$M$16+H58*Upgrades!$N$16)*POWER(Upgrades!$O$16,H58)))*(IF(Upgrades!$T$13="Roche Lobe Overflow",POWER(Upgrades!$U$13,E58),1)*IF(Upgrades!$T$14="Roche Lobe Overflow",POWER(Upgrades!$U$14,F58),1)*IF(Upgrades!$T$15="Roche Lobe Overflow",POWER(Upgrades!$U$15,G58),1)*IF(Upgrades!$T$17="Roche Lobe Overflow",POWER(Upgrades!$U$17,I58),1)*IF(Upgrades!$T$18="Roche Lobe Overflow",POWER(Upgrades!$U$18,J58),1)*IF(Upgrades!$T$19="Roche Lobe Overflow",POWER(Upgrades!$U$19,K58),1)*IF(Upgrades!$T$20="Roche Lobe Overflow",POWER(Upgrades!$U$20,L58),1)*IF(Upgrades!$T$21="Roche Lobe Overflow",POWER(Upgrades!$U$21,M58),1))*POWER(Upgrades!$R$13,E58)*POWER(Upgrades!$R$14,F58)*POWER(Upgrades!$R$15,G58)*POWER(Upgrades!$R$16,H58)*POWER(Upgrades!$R$17,I58)*POWER(Upgrades!$R$18,J58)*POWER(Upgrades!$R$19,K58)*POWER(Upgrades!$R$20,L58)*POWER(Upgrades!$R$21,M58)*$H$6*O58*60</f>
        <v/>
      </c>
      <c r="AE58" s="27">
        <f>(IF(I58=0,0,(Upgrades!$G$17+I58*Upgrades!$H$17)*POWER(Upgrades!$I$17,I58)))*(IF(Upgrades!$T$13="Brown Dwarf",POWER(Upgrades!$U$13,E58),1)*IF(Upgrades!$T$14="Brown Dwarf",POWER(Upgrades!$U$14,F58),1)*IF(Upgrades!$T$15="Brown Dwarf",POWER(Upgrades!$U$15,G58),1)*IF(Upgrades!$T$16="Brown Dwarf",POWER(Upgrades!$U$16,H58),1)*IF(Upgrades!$T$18="Brown Dwarf",POWER(Upgrades!$U$18,J58),1)*IF(Upgrades!$T$19="Brown Dwarf",POWER(Upgrades!$U$19,K58),1)*IF(Upgrades!$T$20="Brown Dwarf",POWER(Upgrades!$U$20,L58),1)*IF(Upgrades!$T$21="Brown Dwarf",POWER(Upgrades!$U$21,M58),1))*POWER(Upgrades!$P$13,E58)*POWER(Upgrades!$P$14,F58)*POWER(Upgrades!$P$15,G58)*POWER(Upgrades!$P$16,H58)*POWER(Upgrades!$P$17,I58)*POWER(Upgrades!$P$18,J58)*POWER(Upgrades!$P$19,K58)*POWER(Upgrades!$P$20,L58)*POWER(Upgrades!$P$21,M58)*$F$6*60</f>
        <v/>
      </c>
      <c r="AF58" s="27" t="n">
        <v>0</v>
      </c>
      <c r="AG58" s="27" t="n">
        <v>0</v>
      </c>
      <c r="AH58" s="27" t="n">
        <v>0</v>
      </c>
      <c r="AI58" s="27">
        <f>(IF(M58=0,0,(Upgrades!$G$21+M58*Upgrades!$H$21)*POWER(Upgrades!$I$21,M58)))*(IF(Upgrades!$T$13="Moving Group",POWER(Upgrades!$U$13,E58),1)*IF(Upgrades!$T$14="Moving Group",POWER(Upgrades!$U$14,F58),1)*IF(Upgrades!$T$15="Moving Group",POWER(Upgrades!$U$15,G58),1)*IF(Upgrades!$T$16="Moving Group",POWER(Upgrades!$U$16,H58),1)*IF(Upgrades!$T$17="Moving Group",POWER(Upgrades!$U$17,I58),1)*IF(Upgrades!$T$18="Moving Group",POWER(Upgrades!$U$18,J58),1)*IF(Upgrades!$T$19="Moving Group",POWER(Upgrades!$U$19,K58),1)*IF(Upgrades!$T$20="Moving Group",POWER(Upgrades!$U$20,L58),1))*POWER(Upgrades!$P$13,E58)*POWER(Upgrades!$P$14,F58)*POWER(Upgrades!$P$15,G58)*POWER(Upgrades!$P$16,H58)*POWER(Upgrades!$P$17,I58)*POWER(Upgrades!$P$18,J58)*POWER(Upgrades!$P$19,K58)*POWER(Upgrades!$P$20,L58)*POWER(Upgrades!$P$21,M58)*$F$6*60</f>
        <v/>
      </c>
      <c r="AJ58" s="27">
        <f>$C$6*60</f>
        <v/>
      </c>
      <c r="AK58" s="22">
        <f>IF(E58&gt;=Upgrades!$E$13,"",Upgrades!$C$13*POWER(Upgrades!$D$13,E58))</f>
        <v/>
      </c>
      <c r="AL58" s="22">
        <f>IF(F58&gt;=Upgrades!$E$14,"",Upgrades!$C$14*POWER(Upgrades!$D$14,F58))</f>
        <v/>
      </c>
      <c r="AM58" s="22">
        <f>IF(G58&gt;=Upgrades!$E$15,"",Upgrades!$C$15*POWER(Upgrades!$D$15,G58))</f>
        <v/>
      </c>
      <c r="AN58" s="22">
        <f>IF(H58&gt;=Upgrades!$E$16,"",Upgrades!$C$16*POWER(Upgrades!$D$16,H58))</f>
        <v/>
      </c>
      <c r="AO58" s="22">
        <f>IF(I58&gt;=Upgrades!$E$17,"",Upgrades!$C$17*POWER(Upgrades!$D$17,I58))</f>
        <v/>
      </c>
      <c r="AP58" s="22">
        <f>IF(J58&gt;=Upgrades!$E$18,"",Upgrades!$C$18*POWER(Upgrades!$D$18,J58))</f>
        <v/>
      </c>
      <c r="AQ58" s="22">
        <f>IF(K58&gt;=Upgrades!$E$19,"",Upgrades!$C$19*POWER(Upgrades!$D$19,K58))</f>
        <v/>
      </c>
      <c r="AR58" s="22">
        <f>IF(L58&gt;=Upgrades!$E$20,"",Upgrades!$C$20*POWER(Upgrades!$D$20,L58))</f>
        <v/>
      </c>
      <c r="AS58" s="22">
        <f>IF(M58&gt;=Upgrades!$E$21,"",Upgrades!$C$21*POWER(Upgrades!$D$21,M58))</f>
        <v/>
      </c>
      <c r="AT58" s="26">
        <f>IF(AND(D58&gt;=Parameters!$B$18*Parameters!$B$19,(I58&gt;=Upgrades!$E$17)*(M58&gt;=Upgrades!$E$21)=1,N58=0),1,"")</f>
        <v/>
      </c>
      <c r="AU58" s="26">
        <f>IF(AND(D58&gt;=Parameters!$B$18*Parameters!$B$19,N58=0),1,"")</f>
        <v/>
      </c>
      <c r="AV58" s="22">
        <f>MIN(IF(ISNUMBER(AP58),AP58,9E15),IF(ISNUMBER(AQ58),AQ58,9E15),IF(ISNUMBER(AR58),AR58,9E15),IF(ISNUMBER(AS58),AS58,9E15))</f>
        <v/>
      </c>
      <c r="AW58" s="22">
        <f>MIN(IF(ISNUMBER(AK58),AK58,9E15),IF(ISNUMBER(AL58),AL58,9E15),IF(ISNUMBER(AM58),AM58,9E15),IF(ISNUMBER(AN58),AN58,9E15),IF(ISNUMBER(AO58),AO58,9E15))</f>
        <v/>
      </c>
      <c r="AX58" s="29">
        <f>IF(BD58&gt;Parameters!$B$21*(MAX(IF(AND(NOT(AND(AU58=1,AT58&lt;&gt;1)),ISNUMBER(AK58),AK58&lt;=(C58+T58)),AY58,0),IF(AND(NOT(AND(AU58=1,AT58&lt;&gt;1)),ISNUMBER(AL58),AL58&lt;=(C58+T58)),AZ58,0),IF(AND(NOT(AND(AU58=1,AT58&lt;&gt;1)),ISNUMBER(AM58),AM58&lt;=(C58+T58)),BA58,0),IF(AND(NOT(AND(AU58=1,AT58&lt;&gt;1)),ISNUMBER(AN58),AN58&lt;=(C58+T58)),BB58,0),IF(AND(ISNUMBER(AO58),AO58&lt;=(C58+T58)),BC58,0))),TRUE,FALSE)</f>
        <v/>
      </c>
      <c r="AY58" s="32">
        <f>IFERROR(Upgrades!$H$13*(POWER(Upgrades!$P$13,E58)*POWER(Upgrades!$P$14,F58)*POWER(Upgrades!$P$15,G58)*POWER(Upgrades!$P$16,H58)*POWER(Upgrades!$P$17,I58)*POWER(Upgrades!$P$18,J58)*POWER(Upgrades!$P$19,K58)*POWER(Upgrades!$P$20,L58)*POWER(Upgrades!$P$21,M58))*(IF(Upgrades!$T$14="Stellar Kinematics",POWER(Upgrades!$U$14,F58),1)*IF(Upgrades!$T$15="Stellar Kinematics",POWER(Upgrades!$U$15,G58),1)*IF(Upgrades!$T$16="Stellar Kinematics",POWER(Upgrades!$U$16,H58),1)*IF(Upgrades!$T$17="Stellar Kinematics",POWER(Upgrades!$U$17,I58),1)*IF(Upgrades!$T$18="Stellar Kinematics",POWER(Upgrades!$U$18,J58),1)*IF(Upgrades!$T$19="Stellar Kinematics",POWER(Upgrades!$U$19,K58),1)*IF(Upgrades!$T$20="Stellar Kinematics",POWER(Upgrades!$U$20,L58),1)*IF(Upgrades!$T$21="Stellar Kinematics",POWER(Upgrades!$U$21,M58),1))*$F$6/AK58,0)</f>
        <v/>
      </c>
      <c r="AZ58" s="32">
        <f>IFERROR(Upgrades!$H$14*(POWER(Upgrades!$P$13,E58)*POWER(Upgrades!$P$14,F58)*POWER(Upgrades!$P$15,G58)*POWER(Upgrades!$P$16,H58)*POWER(Upgrades!$P$17,I58)*POWER(Upgrades!$P$18,J58)*POWER(Upgrades!$P$19,K58)*POWER(Upgrades!$P$20,L58)*POWER(Upgrades!$P$21,M58))*(IF(Upgrades!$T$13="Local Bubble",POWER(Upgrades!$U$13,E58),1)*IF(Upgrades!$T$15="Local Bubble",POWER(Upgrades!$U$15,G58),1)*IF(Upgrades!$T$16="Local Bubble",POWER(Upgrades!$U$16,H58),1)*IF(Upgrades!$T$17="Local Bubble",POWER(Upgrades!$U$17,I58),1)*IF(Upgrades!$T$18="Local Bubble",POWER(Upgrades!$U$18,J58),1)*IF(Upgrades!$T$19="Local Bubble",POWER(Upgrades!$U$19,K58),1)*IF(Upgrades!$T$20="Local Bubble",POWER(Upgrades!$U$20,L58),1)*IF(Upgrades!$T$21="Local Bubble",POWER(Upgrades!$U$21,M58),1))*$F$6/AL58,0)</f>
        <v/>
      </c>
      <c r="BA58" s="32">
        <f>IFERROR(Upgrades!$K$15*(POWER(Upgrades!$Q$13,E58)*POWER(Upgrades!$Q$14,F58)*POWER(Upgrades!$Q$15,G58)*POWER(Upgrades!$Q$16,H58)*POWER(Upgrades!$Q$17,I58)*POWER(Upgrades!$Q$18,J58)*POWER(Upgrades!$Q$19,K58)*POWER(Upgrades!$Q$20,L58)*POWER(Upgrades!$Q$21,M58))*(IF(Upgrades!$T$13="Microlensing",POWER(Upgrades!$U$13,E58),1)*IF(Upgrades!$T$14="Microlensing",POWER(Upgrades!$U$14,F58),1)*IF(Upgrades!$T$16="Microlensing",POWER(Upgrades!$U$16,H58),1)*IF(Upgrades!$T$17="Microlensing",POWER(Upgrades!$U$17,I58),1)*IF(Upgrades!$T$18="Microlensing",POWER(Upgrades!$U$18,J58),1)*IF(Upgrades!$T$19="Microlensing",POWER(Upgrades!$U$19,K58),1)*IF(Upgrades!$T$20="Microlensing",POWER(Upgrades!$U$20,L58),1)*IF(Upgrades!$T$21="Microlensing",POWER(Upgrades!$U$21,M58),1))*$G$6*(Parameters!$B$10/60*Parameters!$B$11+Q58)/AM58,0)</f>
        <v/>
      </c>
      <c r="BB58" s="32">
        <f>IFERROR((Upgrades!$N$16*(POWER(Upgrades!$R$13,E58)*POWER(Upgrades!$R$14,F58)*POWER(Upgrades!$R$15,G58)*POWER(Upgrades!$R$16,H58)*POWER(Upgrades!$R$17,I58)*POWER(Upgrades!$R$18,J58)*POWER(Upgrades!$R$19,K58)*POWER(Upgrades!$R$20,L58)*POWER(Upgrades!$R$21,M58))*(IF(Upgrades!$T$13="Roche Lobe Overflow",POWER(Upgrades!$U$13,E58),1)*IF(Upgrades!$T$14="Roche Lobe Overflow",POWER(Upgrades!$U$14,F58),1)*IF(Upgrades!$T$15="Roche Lobe Overflow",POWER(Upgrades!$U$15,G58),1)*IF(Upgrades!$T$17="Roche Lobe Overflow",POWER(Upgrades!$U$17,I58),1)*IF(Upgrades!$T$18="Roche Lobe Overflow",POWER(Upgrades!$U$18,J58),1)*IF(Upgrades!$T$19="Roche Lobe Overflow",POWER(Upgrades!$U$19,K58),1)*IF(Upgrades!$T$20="Roche Lobe Overflow",POWER(Upgrades!$U$20,L58),1)*IF(Upgrades!$T$21="Roche Lobe Overflow",POWER(Upgrades!$U$21,M58),1))*$H$6*O58+((IF(F58=0,0,(Upgrades!$G$14+F58*Upgrades!$H$14)*POWER(Upgrades!$I$14,F58)))*(IF(Upgrades!$T$13="Local Bubble",POWER(Upgrades!$U$13,E58),1)*IF(Upgrades!$T$15="Local Bubble",POWER(Upgrades!$U$15,G58),1)*IF(Upgrades!$T$16="Local Bubble",POWER(Upgrades!$U$16,H58),1)*IF(Upgrades!$T$17="Local Bubble",POWER(Upgrades!$U$17,I58),1)*IF(Upgrades!$T$18="Local Bubble",POWER(Upgrades!$U$18,J58),1)*IF(Upgrades!$T$19="Local Bubble",POWER(Upgrades!$U$19,K58),1)*IF(Upgrades!$T$20="Local Bubble",POWER(Upgrades!$U$20,L58),1)*IF(Upgrades!$T$21="Local Bubble",POWER(Upgrades!$U$21,M58),1))*POWER(Upgrades!$P$13,E58)*POWER(Upgrades!$P$14,F58)*POWER(Upgrades!$P$15,G58)*POWER(Upgrades!$P$16,H58)*POWER(Upgrades!$P$17,I58)*POWER(Upgrades!$P$18,J58)*POWER(Upgrades!$P$19,K58)*POWER(Upgrades!$P$20,L58)*POWER(Upgrades!$P$21,M58)*$F$6)*0.05)/AN58,0)</f>
        <v/>
      </c>
      <c r="BC58" s="32">
        <f>IFERROR((Upgrades!$H$17*(POWER(Upgrades!$P$13,E58)*POWER(Upgrades!$P$14,F58)*POWER(Upgrades!$P$15,G58)*POWER(Upgrades!$P$16,H58)*POWER(Upgrades!$P$17,I58)*POWER(Upgrades!$P$18,J58)*POWER(Upgrades!$P$19,K58)*POWER(Upgrades!$P$20,L58)*POWER(Upgrades!$P$21,M58))*(IF(Upgrades!$T$13="Brown Dwarf",POWER(Upgrades!$U$13,E58),1)*IF(Upgrades!$T$14="Brown Dwarf",POWER(Upgrades!$U$14,F58),1)*IF(Upgrades!$T$15="Brown Dwarf",POWER(Upgrades!$U$15,G58),1)*IF(Upgrades!$T$16="Brown Dwarf",POWER(Upgrades!$U$16,H58),1)*IF(Upgrades!$T$18="Brown Dwarf",POWER(Upgrades!$U$18,J58),1)*IF(Upgrades!$T$19="Brown Dwarf",POWER(Upgrades!$U$19,K58),1)*IF(Upgrades!$T$20="Brown Dwarf",POWER(Upgrades!$U$20,L58),1)*IF(Upgrades!$T$21="Brown Dwarf",POWER(Upgrades!$U$21,M58),1))*$F$6+(((IF(H58=0,0,(Upgrades!$M$16+H58*Upgrades!$N$16)*POWER(Upgrades!$O$16,H58)))*(IF(Upgrades!$T$13="Roche Lobe Overflow",POWER(Upgrades!$U$13,E58),1)*IF(Upgrades!$T$14="Roche Lobe Overflow",POWER(Upgrades!$U$14,F58),1)*IF(Upgrades!$T$15="Roche Lobe Overflow",POWER(Upgrades!$U$15,G58),1)*IF(Upgrades!$T$17="Roche Lobe Overflow",POWER(Upgrades!$U$17,I58),1)*IF(Upgrades!$T$18="Roche Lobe Overflow",POWER(Upgrades!$U$18,J58),1)*IF(Upgrades!$T$19="Roche Lobe Overflow",POWER(Upgrades!$U$19,K58),1)*IF(Upgrades!$T$20="Roche Lobe Overflow",POWER(Upgrades!$U$20,L58),1)*IF(Upgrades!$T$21="Roche Lobe Overflow",POWER(Upgrades!$U$21,M58),1))*POWER(Upgrades!$R$13,E58)*POWER(Upgrades!$R$14,F58)*POWER(Upgrades!$R$15,G58)*POWER(Upgrades!$R$16,H58)*POWER(Upgrades!$R$17,I58)*POWER(Upgrades!$R$18,J58)*POWER(Upgrades!$R$19,K58)*POWER(Upgrades!$R$20,L58)*POWER(Upgrades!$R$21,M58)*$H$6)*O58)*0.10)/AO58,0)</f>
        <v/>
      </c>
      <c r="BD58" s="32">
        <f>MAX(IF(J58&gt;0,0,IFERROR(0.5*((IF(G58=0,0,(Upgrades!$J$15+G58*Upgrades!$K$15)*POWER(Upgrades!$L$15,G58)))*(IF(Upgrades!$T$13="Microlensing",POWER(Upgrades!$U$13,E58),1)*IF(Upgrades!$T$14="Microlensing",POWER(Upgrades!$U$14,F58),1)*IF(Upgrades!$T$16="Microlensing",POWER(Upgrades!$U$16,H58),1)*IF(Upgrades!$T$17="Microlensing",POWER(Upgrades!$U$17,I58),1)*IF(Upgrades!$T$18="Microlensing",POWER(Upgrades!$U$18,J58),1)*IF(Upgrades!$T$19="Microlensing",POWER(Upgrades!$U$19,K58),1)*IF(Upgrades!$T$20="Microlensing",POWER(Upgrades!$U$20,L58),1)*IF(Upgrades!$T$21="Microlensing",POWER(Upgrades!$U$21,M58),1))*(POWER(Upgrades!$Q$13,E58)*POWER(Upgrades!$Q$14,F58)*POWER(Upgrades!$Q$15,G58)*POWER(Upgrades!$Q$16,H58)*POWER(Upgrades!$Q$17,I58)*POWER(Upgrades!$Q$18,J58)*POWER(Upgrades!$Q$19,K58)*POWER(Upgrades!$Q$20,L58)*POWER(Upgrades!$Q$21,M58))*$G$6*(Parameters!$B$10/60*Parameters!$B$11+Q58))/Upgrades!$C$18,0)),IF(K58&gt;0,0,IFERROR(0.30*P58/Upgrades!$C$19,0)),IF(L58&gt;0,0,IFERROR(0.0001/Upgrades!$C$20,0)),IF(M58&gt;0,0,IFERROR((6.0*(POWER(Upgrades!$P$13,E58)*POWER(Upgrades!$P$14,F58)*POWER(Upgrades!$P$15,G58)*POWER(Upgrades!$P$16,H58)*POWER(Upgrades!$P$17,I58)*POWER(Upgrades!$P$18,J58)*POWER(Upgrades!$P$19,K58)*POWER(Upgrades!$P$20,L58)*POWER(Upgrades!$P$21,M58))*$F$6+0.20*O58*(Parameters!$B$10/60*Parameters!$B$11+Q58))/Upgrades!$C$21,0)),IF(AND(ISNUMBER(AK58),AK58&gt;(C58+T58)),AY58,0),IF(AND(ISNUMBER(AL58),AL58&gt;(C58+T58)),AZ58,0),IF(AND(ISNUMBER(AM58),AM58&gt;(C58+T58)),BA58,0),IF(AND(ISNUMBER(AN58),AN58&gt;(C58+T58)),BB58,0),IF(AND(ISNUMBER(AO58),AO58&gt;(C58+T58)),BC58,0))</f>
        <v/>
      </c>
      <c r="BE58" s="29">
        <f>IF(AT58=1,"transition",IF(MIN(IF(AND(J58=0,ISNUMBER(AP58),AP58&lt;=(C58+T58)),AP58,9E15),IF(AND(K58=0,ISNUMBER(AQ58),AQ58&lt;=(C58+T58)),AQ58,9E15),IF(AND(L58=0,ISNUMBER(AR58),AR58&lt;=(C58+T58)),AR58,9E15),IF(AND(M58=0,ISNUMBER(AS58),AS58&lt;=(C58+T58)),AS58,9E15))&lt;9E15,IF(AND(AND(J58=0,ISNUMBER(AP58),AP58&lt;=(C58+T58)),AP58=MIN(IF(AND(J58=0,ISNUMBER(AP58),AP58&lt;=(C58+T58)),AP58,9E15),IF(AND(K58=0,ISNUMBER(AQ58),AQ58&lt;=(C58+T58)),AQ58,9E15),IF(AND(L58=0,ISNUMBER(AR58),AR58&lt;=(C58+T58)),AR58,9E15),IF(AND(M58=0,ISNUMBER(AS58),AS58&lt;=(C58+T58)),AS58,9E15))),"BiP",IF(AND(AND(K58=0,ISNUMBER(AQ58),AQ58&lt;=(C58+T58)),AQ58=MIN(IF(AND(J58=0,ISNUMBER(AP58),AP58&lt;=(C58+T58)),AP58,9E15),IF(AND(K58=0,ISNUMBER(AQ58),AQ58&lt;=(C58+T58)),AQ58,9E15),IF(AND(L58=0,ISNUMBER(AR58),AR58&lt;=(C58+T58)),AR58,9E15),IF(AND(M58=0,ISNUMBER(AS58),AS58&lt;=(C58+T58)),AS58,9E15))),"PV",IF(AND(AND(L58=0,ISNUMBER(AR58),AR58&lt;=(C58+T58)),AR58=MIN(IF(AND(J58=0,ISNUMBER(AP58),AP58&lt;=(C58+T58)),AP58,9E15),IF(AND(K58=0,ISNUMBER(AQ58),AQ58&lt;=(C58+T58)),AQ58,9E15),IF(AND(L58=0,ISNUMBER(AR58),AR58&lt;=(C58+T58)),AR58,9E15),IF(AND(M58=0,ISNUMBER(AS58),AS58&lt;=(C58+T58)),AS58,9E15))),"OC","MG"))),IF(AX58=TRUE,"",IF(MAX(IF(AND(NOT(AND(AU58=1,AT58&lt;&gt;1)),ISNUMBER(AK58),AK58&lt;=(C58+T58)),AY58,0),IF(AND(NOT(AND(AU58=1,AT58&lt;&gt;1)),ISNUMBER(AL58),AL58&lt;=(C58+T58)),AZ58,0),IF(AND(NOT(AND(AU58=1,AT58&lt;&gt;1)),ISNUMBER(AM58),AM58&lt;=(C58+T58)),BA58,0),IF(AND(NOT(AND(AU58=1,AT58&lt;&gt;1)),ISNUMBER(AN58),AN58&lt;=(C58+T58)),BB58,0),IF(AND(ISNUMBER(AO58),AO58&lt;=(C58+T58)),BC58,0))&lt;=0,"",IF(AND(IF(AND(NOT(AND(AU58=1,AT58&lt;&gt;1)),ISNUMBER(AK58),AK58&lt;=(C58+T58)),AY58,0)&gt;0,IF(AND(NOT(AND(AU58=1,AT58&lt;&gt;1)),ISNUMBER(AK58),AK58&lt;=(C58+T58)),AY58,0)=MAX(IF(AND(NOT(AND(AU58=1,AT58&lt;&gt;1)),ISNUMBER(AK58),AK58&lt;=(C58+T58)),AY58,0),IF(AND(NOT(AND(AU58=1,AT58&lt;&gt;1)),ISNUMBER(AL58),AL58&lt;=(C58+T58)),AZ58,0),IF(AND(NOT(AND(AU58=1,AT58&lt;&gt;1)),ISNUMBER(AM58),AM58&lt;=(C58+T58)),BA58,0),IF(AND(NOT(AND(AU58=1,AT58&lt;&gt;1)),ISNUMBER(AN58),AN58&lt;=(C58+T58)),BB58,0),IF(AND(ISNUMBER(AO58),AO58&lt;=(C58+T58)),BC58,0))),"SK",IF(AND(IF(AND(NOT(AND(AU58=1,AT58&lt;&gt;1)),ISNUMBER(AL58),AL58&lt;=(C58+T58)),AZ58,0)&gt;0,IF(AND(NOT(AND(AU58=1,AT58&lt;&gt;1)),ISNUMBER(AL58),AL58&lt;=(C58+T58)),AZ58,0)=MAX(IF(AND(NOT(AND(AU58=1,AT58&lt;&gt;1)),ISNUMBER(AK58),AK58&lt;=(C58+T58)),AY58,0),IF(AND(NOT(AND(AU58=1,AT58&lt;&gt;1)),ISNUMBER(AL58),AL58&lt;=(C58+T58)),AZ58,0),IF(AND(NOT(AND(AU58=1,AT58&lt;&gt;1)),ISNUMBER(AM58),AM58&lt;=(C58+T58)),BA58,0),IF(AND(NOT(AND(AU58=1,AT58&lt;&gt;1)),ISNUMBER(AN58),AN58&lt;=(C58+T58)),BB58,0),IF(AND(ISNUMBER(AO58),AO58&lt;=(C58+T58)),BC58,0))),"LB",IF(AND(IF(AND(NOT(AND(AU58=1,AT58&lt;&gt;1)),ISNUMBER(AM58),AM58&lt;=(C58+T58)),BA58,0)&gt;0,IF(AND(NOT(AND(AU58=1,AT58&lt;&gt;1)),ISNUMBER(AM58),AM58&lt;=(C58+T58)),BA58,0)=MAX(IF(AND(NOT(AND(AU58=1,AT58&lt;&gt;1)),ISNUMBER(AK58),AK58&lt;=(C58+T58)),AY58,0),IF(AND(NOT(AND(AU58=1,AT58&lt;&gt;1)),ISNUMBER(AL58),AL58&lt;=(C58+T58)),AZ58,0),IF(AND(NOT(AND(AU58=1,AT58&lt;&gt;1)),ISNUMBER(AM58),AM58&lt;=(C58+T58)),BA58,0),IF(AND(NOT(AND(AU58=1,AT58&lt;&gt;1)),ISNUMBER(AN58),AN58&lt;=(C58+T58)),BB58,0),IF(AND(ISNUMBER(AO58),AO58&lt;=(C58+T58)),BC58,0))),"ML",IF(AND(IF(AND(NOT(AND(AU58=1,AT58&lt;&gt;1)),ISNUMBER(AN58),AN58&lt;=(C58+T58)),BB58,0)&gt;0,IF(AND(NOT(AND(AU58=1,AT58&lt;&gt;1)),ISNUMBER(AN58),AN58&lt;=(C58+T58)),BB58,0)=MAX(IF(AND(NOT(AND(AU58=1,AT58&lt;&gt;1)),ISNUMBER(AK58),AK58&lt;=(C58+T58)),AY58,0),IF(AND(NOT(AND(AU58=1,AT58&lt;&gt;1)),ISNUMBER(AL58),AL58&lt;=(C58+T58)),AZ58,0),IF(AND(NOT(AND(AU58=1,AT58&lt;&gt;1)),ISNUMBER(AM58),AM58&lt;=(C58+T58)),BA58,0),IF(AND(NOT(AND(AU58=1,AT58&lt;&gt;1)),ISNUMBER(AN58),AN58&lt;=(C58+T58)),BB58,0),IF(AND(ISNUMBER(AO58),AO58&lt;=(C58+T58)),BC58,0))),"RLO","BD"))))))))</f>
        <v/>
      </c>
    </row>
    <row r="59">
      <c r="A59" s="26" t="n">
        <v>48</v>
      </c>
      <c r="B59" s="27">
        <f>A59*10/60</f>
        <v/>
      </c>
      <c r="C59" s="22">
        <f>X58</f>
        <v/>
      </c>
      <c r="D59" s="27">
        <f>D58+W58</f>
        <v/>
      </c>
      <c r="E59" s="26">
        <f>E58+IF(U58="SK",1,0)</f>
        <v/>
      </c>
      <c r="F59" s="26">
        <f>F58+IF(U58="LB",1,0)</f>
        <v/>
      </c>
      <c r="G59" s="26">
        <f>G58+IF(U58="ML",1,0)</f>
        <v/>
      </c>
      <c r="H59" s="26">
        <f>H58+IF(U58="RLO",1,0)</f>
        <v/>
      </c>
      <c r="I59" s="26">
        <f>I58+IF(U58="BD",1,0)</f>
        <v/>
      </c>
      <c r="J59" s="26">
        <f>MAX(J58,IF(U58="BiP",1,0))</f>
        <v/>
      </c>
      <c r="K59" s="26">
        <f>MAX(K58,IF(U58="PV",1,0))</f>
        <v/>
      </c>
      <c r="L59" s="26">
        <f>MAX(L58,IF(U58="OC",1,0))</f>
        <v/>
      </c>
      <c r="M59" s="26">
        <f>MAX(M58,IF(U58="MG",1,0))</f>
        <v/>
      </c>
      <c r="N59" s="26">
        <f>MAX(N58,IF(U58="transition",1,0))</f>
        <v/>
      </c>
      <c r="O59" s="28">
        <f>(Parameters!$B$9+(IF(E59=0,0,(Upgrades!$J$13+E59*Upgrades!$K$13)*POWER(Upgrades!$L$13,E59)))*(IF(Upgrades!$T$14="Stellar Kinematics",POWER(Upgrades!$U$14,F59),1)*IF(Upgrades!$T$15="Stellar Kinematics",POWER(Upgrades!$U$15,G59),1)*IF(Upgrades!$T$16="Stellar Kinematics",POWER(Upgrades!$U$16,H59),1)*IF(Upgrades!$T$17="Stellar Kinematics",POWER(Upgrades!$U$17,I59),1)*IF(Upgrades!$T$18="Stellar Kinematics",POWER(Upgrades!$U$18,J59),1)*IF(Upgrades!$T$19="Stellar Kinematics",POWER(Upgrades!$U$19,K59),1)*IF(Upgrades!$T$20="Stellar Kinematics",POWER(Upgrades!$U$20,L59),1)*IF(Upgrades!$T$21="Stellar Kinematics",POWER(Upgrades!$U$21,M59),1))+(IF(F59=0,0,(Upgrades!$J$14+F59*Upgrades!$K$14)*POWER(Upgrades!$L$14,F59)))*(IF(Upgrades!$T$13="Local Bubble",POWER(Upgrades!$U$13,E59),1)*IF(Upgrades!$T$15="Local Bubble",POWER(Upgrades!$U$15,G59),1)*IF(Upgrades!$T$16="Local Bubble",POWER(Upgrades!$U$16,H59),1)*IF(Upgrades!$T$17="Local Bubble",POWER(Upgrades!$U$17,I59),1)*IF(Upgrades!$T$18="Local Bubble",POWER(Upgrades!$U$18,J59),1)*IF(Upgrades!$T$19="Local Bubble",POWER(Upgrades!$U$19,K59),1)*IF(Upgrades!$T$20="Local Bubble",POWER(Upgrades!$U$20,L59),1)*IF(Upgrades!$T$21="Local Bubble",POWER(Upgrades!$U$21,M59),1))+(IF(G59=0,0,(Upgrades!$J$15+G59*Upgrades!$K$15)*POWER(Upgrades!$L$15,G59)))*(IF(Upgrades!$T$13="Microlensing",POWER(Upgrades!$U$13,E59),1)*IF(Upgrades!$T$14="Microlensing",POWER(Upgrades!$U$14,F59),1)*IF(Upgrades!$T$16="Microlensing",POWER(Upgrades!$U$16,H59),1)*IF(Upgrades!$T$17="Microlensing",POWER(Upgrades!$U$17,I59),1)*IF(Upgrades!$T$18="Microlensing",POWER(Upgrades!$U$18,J59),1)*IF(Upgrades!$T$19="Microlensing",POWER(Upgrades!$U$19,K59),1)*IF(Upgrades!$T$20="Microlensing",POWER(Upgrades!$U$20,L59),1)*IF(Upgrades!$T$21="Microlensing",POWER(Upgrades!$U$21,M59),1))+(IF(H59=0,0,(Upgrades!$J$16+H59*Upgrades!$K$16)*POWER(Upgrades!$L$16,H59)))*(IF(Upgrades!$T$13="Roche Lobe Overflow",POWER(Upgrades!$U$13,E59),1)*IF(Upgrades!$T$14="Roche Lobe Overflow",POWER(Upgrades!$U$14,F59),1)*IF(Upgrades!$T$15="Roche Lobe Overflow",POWER(Upgrades!$U$15,G59),1)*IF(Upgrades!$T$17="Roche Lobe Overflow",POWER(Upgrades!$U$17,I59),1)*IF(Upgrades!$T$18="Roche Lobe Overflow",POWER(Upgrades!$U$18,J59),1)*IF(Upgrades!$T$19="Roche Lobe Overflow",POWER(Upgrades!$U$19,K59),1)*IF(Upgrades!$T$20="Roche Lobe Overflow",POWER(Upgrades!$U$20,L59),1)*IF(Upgrades!$T$21="Roche Lobe Overflow",POWER(Upgrades!$U$21,M59),1))+(IF(I59=0,0,(Upgrades!$J$17+I59*Upgrades!$K$17)*POWER(Upgrades!$L$17,I59)))*(IF(Upgrades!$T$13="Brown Dwarf",POWER(Upgrades!$U$13,E59),1)*IF(Upgrades!$T$14="Brown Dwarf",POWER(Upgrades!$U$14,F59),1)*IF(Upgrades!$T$15="Brown Dwarf",POWER(Upgrades!$U$15,G59),1)*IF(Upgrades!$T$16="Brown Dwarf",POWER(Upgrades!$U$16,H59),1)*IF(Upgrades!$T$18="Brown Dwarf",POWER(Upgrades!$U$18,J59),1)*IF(Upgrades!$T$19="Brown Dwarf",POWER(Upgrades!$U$19,K59),1)*IF(Upgrades!$T$20="Brown Dwarf",POWER(Upgrades!$U$20,L59),1)*IF(Upgrades!$T$21="Brown Dwarf",POWER(Upgrades!$U$21,M59),1))+(IF(J59=0,0,(Upgrades!$J$18+J59*Upgrades!$K$18)*POWER(Upgrades!$L$18,J59)))*(IF(Upgrades!$T$13="Binary Partner",POWER(Upgrades!$U$13,E59),1)*IF(Upgrades!$T$14="Binary Partner",POWER(Upgrades!$U$14,F59),1)*IF(Upgrades!$T$15="Binary Partner",POWER(Upgrades!$U$15,G59),1)*IF(Upgrades!$T$16="Binary Partner",POWER(Upgrades!$U$16,H59),1)*IF(Upgrades!$T$17="Binary Partner",POWER(Upgrades!$U$17,I59),1)*IF(Upgrades!$T$19="Binary Partner",POWER(Upgrades!$U$19,K59),1)*IF(Upgrades!$T$20="Binary Partner",POWER(Upgrades!$U$20,L59),1)*IF(Upgrades!$T$21="Binary Partner",POWER(Upgrades!$U$21,M59),1))+(IF(K59=0,0,(Upgrades!$J$19+K59*Upgrades!$K$19)*POWER(Upgrades!$L$19,K59)))*(IF(Upgrades!$T$13="Peculiar Velocity",POWER(Upgrades!$U$13,E59),1)*IF(Upgrades!$T$14="Peculiar Velocity",POWER(Upgrades!$U$14,F59),1)*IF(Upgrades!$T$15="Peculiar Velocity",POWER(Upgrades!$U$15,G59),1)*IF(Upgrades!$T$16="Peculiar Velocity",POWER(Upgrades!$U$16,H59),1)*IF(Upgrades!$T$17="Peculiar Velocity",POWER(Upgrades!$U$17,I59),1)*IF(Upgrades!$T$18="Peculiar Velocity",POWER(Upgrades!$U$18,J59),1)*IF(Upgrades!$T$20="Peculiar Velocity",POWER(Upgrades!$U$20,L59),1)*IF(Upgrades!$T$21="Peculiar Velocity",POWER(Upgrades!$U$21,M59),1))+(IF(L59=0,0,(Upgrades!$J$20+L59*Upgrades!$K$20)*POWER(Upgrades!$L$20,L59)))*(IF(Upgrades!$T$13="Open Cluster",POWER(Upgrades!$U$13,E59),1)*IF(Upgrades!$T$14="Open Cluster",POWER(Upgrades!$U$14,F59),1)*IF(Upgrades!$T$15="Open Cluster",POWER(Upgrades!$U$15,G59),1)*IF(Upgrades!$T$16="Open Cluster",POWER(Upgrades!$U$16,H59),1)*IF(Upgrades!$T$17="Open Cluster",POWER(Upgrades!$U$17,I59),1)*IF(Upgrades!$T$18="Open Cluster",POWER(Upgrades!$U$18,J59),1)*IF(Upgrades!$T$19="Open Cluster",POWER(Upgrades!$U$19,K59),1)*IF(Upgrades!$T$21="Open Cluster",POWER(Upgrades!$U$21,M59),1))+(IF(M59=0,0,(Upgrades!$J$21+M59*Upgrades!$K$21)*POWER(Upgrades!$L$21,M59)))*(IF(Upgrades!$T$13="Moving Group",POWER(Upgrades!$U$13,E59),1)*IF(Upgrades!$T$14="Moving Group",POWER(Upgrades!$U$14,F59),1)*IF(Upgrades!$T$15="Moving Group",POWER(Upgrades!$U$15,G59),1)*IF(Upgrades!$T$16="Moving Group",POWER(Upgrades!$U$16,H59),1)*IF(Upgrades!$T$17="Moving Group",POWER(Upgrades!$U$17,I59),1)*IF(Upgrades!$T$18="Moving Group",POWER(Upgrades!$U$18,J59),1)*IF(Upgrades!$T$19="Moving Group",POWER(Upgrades!$U$19,K59),1)*IF(Upgrades!$T$20="Moving Group",POWER(Upgrades!$U$20,L59),1)))*POWER(Upgrades!$Q$13,E59)*POWER(Upgrades!$Q$14,F59)*POWER(Upgrades!$Q$15,G59)*POWER(Upgrades!$Q$16,H59)*POWER(Upgrades!$Q$17,I59)*POWER(Upgrades!$Q$18,J59)*POWER(Upgrades!$Q$19,K59)*POWER(Upgrades!$Q$20,L59)*POWER(Upgrades!$Q$21,M59)*$G$6+$D$6</f>
        <v/>
      </c>
      <c r="P59" s="28">
        <f>((IF(E59=0,0,(Upgrades!$G$13+E59*Upgrades!$H$13)*POWER(Upgrades!$I$13,E59)))*(IF(Upgrades!$T$14="Stellar Kinematics",POWER(Upgrades!$U$14,F59),1)*IF(Upgrades!$T$15="Stellar Kinematics",POWER(Upgrades!$U$15,G59),1)*IF(Upgrades!$T$16="Stellar Kinematics",POWER(Upgrades!$U$16,H59),1)*IF(Upgrades!$T$17="Stellar Kinematics",POWER(Upgrades!$U$17,I59),1)*IF(Upgrades!$T$18="Stellar Kinematics",POWER(Upgrades!$U$18,J59),1)*IF(Upgrades!$T$19="Stellar Kinematics",POWER(Upgrades!$U$19,K59),1)*IF(Upgrades!$T$20="Stellar Kinematics",POWER(Upgrades!$U$20,L59),1)*IF(Upgrades!$T$21="Stellar Kinematics",POWER(Upgrades!$U$21,M59),1))+(IF(F59=0,0,(Upgrades!$G$14+F59*Upgrades!$H$14)*POWER(Upgrades!$I$14,F59)))*(IF(Upgrades!$T$13="Local Bubble",POWER(Upgrades!$U$13,E59),1)*IF(Upgrades!$T$15="Local Bubble",POWER(Upgrades!$U$15,G59),1)*IF(Upgrades!$T$16="Local Bubble",POWER(Upgrades!$U$16,H59),1)*IF(Upgrades!$T$17="Local Bubble",POWER(Upgrades!$U$17,I59),1)*IF(Upgrades!$T$18="Local Bubble",POWER(Upgrades!$U$18,J59),1)*IF(Upgrades!$T$19="Local Bubble",POWER(Upgrades!$U$19,K59),1)*IF(Upgrades!$T$20="Local Bubble",POWER(Upgrades!$U$20,L59),1)*IF(Upgrades!$T$21="Local Bubble",POWER(Upgrades!$U$21,M59),1))+(IF(G59=0,0,(Upgrades!$G$15+G59*Upgrades!$H$15)*POWER(Upgrades!$I$15,G59)))*(IF(Upgrades!$T$13="Microlensing",POWER(Upgrades!$U$13,E59),1)*IF(Upgrades!$T$14="Microlensing",POWER(Upgrades!$U$14,F59),1)*IF(Upgrades!$T$16="Microlensing",POWER(Upgrades!$U$16,H59),1)*IF(Upgrades!$T$17="Microlensing",POWER(Upgrades!$U$17,I59),1)*IF(Upgrades!$T$18="Microlensing",POWER(Upgrades!$U$18,J59),1)*IF(Upgrades!$T$19="Microlensing",POWER(Upgrades!$U$19,K59),1)*IF(Upgrades!$T$20="Microlensing",POWER(Upgrades!$U$20,L59),1)*IF(Upgrades!$T$21="Microlensing",POWER(Upgrades!$U$21,M59),1))+(IF(H59=0,0,(Upgrades!$G$16+H59*Upgrades!$H$16)*POWER(Upgrades!$I$16,H59)))*(IF(Upgrades!$T$13="Roche Lobe Overflow",POWER(Upgrades!$U$13,E59),1)*IF(Upgrades!$T$14="Roche Lobe Overflow",POWER(Upgrades!$U$14,F59),1)*IF(Upgrades!$T$15="Roche Lobe Overflow",POWER(Upgrades!$U$15,G59),1)*IF(Upgrades!$T$17="Roche Lobe Overflow",POWER(Upgrades!$U$17,I59),1)*IF(Upgrades!$T$18="Roche Lobe Overflow",POWER(Upgrades!$U$18,J59),1)*IF(Upgrades!$T$19="Roche Lobe Overflow",POWER(Upgrades!$U$19,K59),1)*IF(Upgrades!$T$20="Roche Lobe Overflow",POWER(Upgrades!$U$20,L59),1)*IF(Upgrades!$T$21="Roche Lobe Overflow",POWER(Upgrades!$U$21,M59),1))+(IF(I59=0,0,(Upgrades!$G$17+I59*Upgrades!$H$17)*POWER(Upgrades!$I$17,I59)))*(IF(Upgrades!$T$13="Brown Dwarf",POWER(Upgrades!$U$13,E59),1)*IF(Upgrades!$T$14="Brown Dwarf",POWER(Upgrades!$U$14,F59),1)*IF(Upgrades!$T$15="Brown Dwarf",POWER(Upgrades!$U$15,G59),1)*IF(Upgrades!$T$16="Brown Dwarf",POWER(Upgrades!$U$16,H59),1)*IF(Upgrades!$T$18="Brown Dwarf",POWER(Upgrades!$U$18,J59),1)*IF(Upgrades!$T$19="Brown Dwarf",POWER(Upgrades!$U$19,K59),1)*IF(Upgrades!$T$20="Brown Dwarf",POWER(Upgrades!$U$20,L59),1)*IF(Upgrades!$T$21="Brown Dwarf",POWER(Upgrades!$U$21,M59),1))+(IF(J59=0,0,(Upgrades!$G$18+J59*Upgrades!$H$18)*POWER(Upgrades!$I$18,J59)))*(IF(Upgrades!$T$13="Binary Partner",POWER(Upgrades!$U$13,E59),1)*IF(Upgrades!$T$14="Binary Partner",POWER(Upgrades!$U$14,F59),1)*IF(Upgrades!$T$15="Binary Partner",POWER(Upgrades!$U$15,G59),1)*IF(Upgrades!$T$16="Binary Partner",POWER(Upgrades!$U$16,H59),1)*IF(Upgrades!$T$17="Binary Partner",POWER(Upgrades!$U$17,I59),1)*IF(Upgrades!$T$19="Binary Partner",POWER(Upgrades!$U$19,K59),1)*IF(Upgrades!$T$20="Binary Partner",POWER(Upgrades!$U$20,L59),1)*IF(Upgrades!$T$21="Binary Partner",POWER(Upgrades!$U$21,M59),1))+(IF(K59=0,0,(Upgrades!$G$19+K59*Upgrades!$H$19)*POWER(Upgrades!$I$19,K59)))*(IF(Upgrades!$T$13="Peculiar Velocity",POWER(Upgrades!$U$13,E59),1)*IF(Upgrades!$T$14="Peculiar Velocity",POWER(Upgrades!$U$14,F59),1)*IF(Upgrades!$T$15="Peculiar Velocity",POWER(Upgrades!$U$15,G59),1)*IF(Upgrades!$T$16="Peculiar Velocity",POWER(Upgrades!$U$16,H59),1)*IF(Upgrades!$T$17="Peculiar Velocity",POWER(Upgrades!$U$17,I59),1)*IF(Upgrades!$T$18="Peculiar Velocity",POWER(Upgrades!$U$18,J59),1)*IF(Upgrades!$T$20="Peculiar Velocity",POWER(Upgrades!$U$20,L59),1)*IF(Upgrades!$T$21="Peculiar Velocity",POWER(Upgrades!$U$21,M59),1))+(IF(L59=0,0,(Upgrades!$G$20+L59*Upgrades!$H$20)*POWER(Upgrades!$I$20,L59)))*(IF(Upgrades!$T$13="Open Cluster",POWER(Upgrades!$U$13,E59),1)*IF(Upgrades!$T$14="Open Cluster",POWER(Upgrades!$U$14,F59),1)*IF(Upgrades!$T$15="Open Cluster",POWER(Upgrades!$U$15,G59),1)*IF(Upgrades!$T$16="Open Cluster",POWER(Upgrades!$U$16,H59),1)*IF(Upgrades!$T$17="Open Cluster",POWER(Upgrades!$U$17,I59),1)*IF(Upgrades!$T$18="Open Cluster",POWER(Upgrades!$U$18,J59),1)*IF(Upgrades!$T$19="Open Cluster",POWER(Upgrades!$U$19,K59),1)*IF(Upgrades!$T$21="Open Cluster",POWER(Upgrades!$U$21,M59),1))+(IF(M59=0,0,(Upgrades!$G$21+M59*Upgrades!$H$21)*POWER(Upgrades!$I$21,M59)))*(IF(Upgrades!$T$13="Moving Group",POWER(Upgrades!$U$13,E59),1)*IF(Upgrades!$T$14="Moving Group",POWER(Upgrades!$U$14,F59),1)*IF(Upgrades!$T$15="Moving Group",POWER(Upgrades!$U$15,G59),1)*IF(Upgrades!$T$16="Moving Group",POWER(Upgrades!$U$16,H59),1)*IF(Upgrades!$T$17="Moving Group",POWER(Upgrades!$U$17,I59),1)*IF(Upgrades!$T$18="Moving Group",POWER(Upgrades!$U$18,J59),1)*IF(Upgrades!$T$19="Moving Group",POWER(Upgrades!$U$19,K59),1)*IF(Upgrades!$T$20="Moving Group",POWER(Upgrades!$U$20,L59),1)))*POWER(Upgrades!$P$13,E59)*POWER(Upgrades!$P$14,F59)*POWER(Upgrades!$P$15,G59)*POWER(Upgrades!$P$16,H59)*POWER(Upgrades!$P$17,I59)*POWER(Upgrades!$P$18,J59)*POWER(Upgrades!$P$19,K59)*POWER(Upgrades!$P$20,L59)*POWER(Upgrades!$P$21,M59)*$F$6+$C$6</f>
        <v/>
      </c>
      <c r="Q59" s="28">
        <f>((IF(E59=0,0,(Upgrades!$M$13+E59*Upgrades!$N$13)*POWER(Upgrades!$O$13,E59)))*(IF(Upgrades!$T$14="Stellar Kinematics",POWER(Upgrades!$U$14,F59),1)*IF(Upgrades!$T$15="Stellar Kinematics",POWER(Upgrades!$U$15,G59),1)*IF(Upgrades!$T$16="Stellar Kinematics",POWER(Upgrades!$U$16,H59),1)*IF(Upgrades!$T$17="Stellar Kinematics",POWER(Upgrades!$U$17,I59),1)*IF(Upgrades!$T$18="Stellar Kinematics",POWER(Upgrades!$U$18,J59),1)*IF(Upgrades!$T$19="Stellar Kinematics",POWER(Upgrades!$U$19,K59),1)*IF(Upgrades!$T$20="Stellar Kinematics",POWER(Upgrades!$U$20,L59),1)*IF(Upgrades!$T$21="Stellar Kinematics",POWER(Upgrades!$U$21,M59),1))+(IF(F59=0,0,(Upgrades!$M$14+F59*Upgrades!$N$14)*POWER(Upgrades!$O$14,F59)))*(IF(Upgrades!$T$13="Local Bubble",POWER(Upgrades!$U$13,E59),1)*IF(Upgrades!$T$15="Local Bubble",POWER(Upgrades!$U$15,G59),1)*IF(Upgrades!$T$16="Local Bubble",POWER(Upgrades!$U$16,H59),1)*IF(Upgrades!$T$17="Local Bubble",POWER(Upgrades!$U$17,I59),1)*IF(Upgrades!$T$18="Local Bubble",POWER(Upgrades!$U$18,J59),1)*IF(Upgrades!$T$19="Local Bubble",POWER(Upgrades!$U$19,K59),1)*IF(Upgrades!$T$20="Local Bubble",POWER(Upgrades!$U$20,L59),1)*IF(Upgrades!$T$21="Local Bubble",POWER(Upgrades!$U$21,M59),1))+(IF(G59=0,0,(Upgrades!$M$15+G59*Upgrades!$N$15)*POWER(Upgrades!$O$15,G59)))*(IF(Upgrades!$T$13="Microlensing",POWER(Upgrades!$U$13,E59),1)*IF(Upgrades!$T$14="Microlensing",POWER(Upgrades!$U$14,F59),1)*IF(Upgrades!$T$16="Microlensing",POWER(Upgrades!$U$16,H59),1)*IF(Upgrades!$T$17="Microlensing",POWER(Upgrades!$U$17,I59),1)*IF(Upgrades!$T$18="Microlensing",POWER(Upgrades!$U$18,J59),1)*IF(Upgrades!$T$19="Microlensing",POWER(Upgrades!$U$19,K59),1)*IF(Upgrades!$T$20="Microlensing",POWER(Upgrades!$U$20,L59),1)*IF(Upgrades!$T$21="Microlensing",POWER(Upgrades!$U$21,M59),1))+(IF(H59=0,0,(Upgrades!$M$16+H59*Upgrades!$N$16)*POWER(Upgrades!$O$16,H59)))*(IF(Upgrades!$T$13="Roche Lobe Overflow",POWER(Upgrades!$U$13,E59),1)*IF(Upgrades!$T$14="Roche Lobe Overflow",POWER(Upgrades!$U$14,F59),1)*IF(Upgrades!$T$15="Roche Lobe Overflow",POWER(Upgrades!$U$15,G59),1)*IF(Upgrades!$T$17="Roche Lobe Overflow",POWER(Upgrades!$U$17,I59),1)*IF(Upgrades!$T$18="Roche Lobe Overflow",POWER(Upgrades!$U$18,J59),1)*IF(Upgrades!$T$19="Roche Lobe Overflow",POWER(Upgrades!$U$19,K59),1)*IF(Upgrades!$T$20="Roche Lobe Overflow",POWER(Upgrades!$U$20,L59),1)*IF(Upgrades!$T$21="Roche Lobe Overflow",POWER(Upgrades!$U$21,M59),1))+(IF(I59=0,0,(Upgrades!$M$17+I59*Upgrades!$N$17)*POWER(Upgrades!$O$17,I59)))*(IF(Upgrades!$T$13="Brown Dwarf",POWER(Upgrades!$U$13,E59),1)*IF(Upgrades!$T$14="Brown Dwarf",POWER(Upgrades!$U$14,F59),1)*IF(Upgrades!$T$15="Brown Dwarf",POWER(Upgrades!$U$15,G59),1)*IF(Upgrades!$T$16="Brown Dwarf",POWER(Upgrades!$U$16,H59),1)*IF(Upgrades!$T$18="Brown Dwarf",POWER(Upgrades!$U$18,J59),1)*IF(Upgrades!$T$19="Brown Dwarf",POWER(Upgrades!$U$19,K59),1)*IF(Upgrades!$T$20="Brown Dwarf",POWER(Upgrades!$U$20,L59),1)*IF(Upgrades!$T$21="Brown Dwarf",POWER(Upgrades!$U$21,M59),1))+(IF(J59=0,0,(Upgrades!$M$18+J59*Upgrades!$N$18)*POWER(Upgrades!$O$18,J59)))*(IF(Upgrades!$T$13="Binary Partner",POWER(Upgrades!$U$13,E59),1)*IF(Upgrades!$T$14="Binary Partner",POWER(Upgrades!$U$14,F59),1)*IF(Upgrades!$T$15="Binary Partner",POWER(Upgrades!$U$15,G59),1)*IF(Upgrades!$T$16="Binary Partner",POWER(Upgrades!$U$16,H59),1)*IF(Upgrades!$T$17="Binary Partner",POWER(Upgrades!$U$17,I59),1)*IF(Upgrades!$T$19="Binary Partner",POWER(Upgrades!$U$19,K59),1)*IF(Upgrades!$T$20="Binary Partner",POWER(Upgrades!$U$20,L59),1)*IF(Upgrades!$T$21="Binary Partner",POWER(Upgrades!$U$21,M59),1))+(IF(K59=0,0,(Upgrades!$M$19+K59*Upgrades!$N$19)*POWER(Upgrades!$O$19,K59)))*(IF(Upgrades!$T$13="Peculiar Velocity",POWER(Upgrades!$U$13,E59),1)*IF(Upgrades!$T$14="Peculiar Velocity",POWER(Upgrades!$U$14,F59),1)*IF(Upgrades!$T$15="Peculiar Velocity",POWER(Upgrades!$U$15,G59),1)*IF(Upgrades!$T$16="Peculiar Velocity",POWER(Upgrades!$U$16,H59),1)*IF(Upgrades!$T$17="Peculiar Velocity",POWER(Upgrades!$U$17,I59),1)*IF(Upgrades!$T$18="Peculiar Velocity",POWER(Upgrades!$U$18,J59),1)*IF(Upgrades!$T$20="Peculiar Velocity",POWER(Upgrades!$U$20,L59),1)*IF(Upgrades!$T$21="Peculiar Velocity",POWER(Upgrades!$U$21,M59),1))+(IF(L59=0,0,(Upgrades!$M$20+L59*Upgrades!$N$20)*POWER(Upgrades!$O$20,L59)))*(IF(Upgrades!$T$13="Open Cluster",POWER(Upgrades!$U$13,E59),1)*IF(Upgrades!$T$14="Open Cluster",POWER(Upgrades!$U$14,F59),1)*IF(Upgrades!$T$15="Open Cluster",POWER(Upgrades!$U$15,G59),1)*IF(Upgrades!$T$16="Open Cluster",POWER(Upgrades!$U$16,H59),1)*IF(Upgrades!$T$17="Open Cluster",POWER(Upgrades!$U$17,I59),1)*IF(Upgrades!$T$18="Open Cluster",POWER(Upgrades!$U$18,J59),1)*IF(Upgrades!$T$19="Open Cluster",POWER(Upgrades!$U$19,K59),1)*IF(Upgrades!$T$21="Open Cluster",POWER(Upgrades!$U$21,M59),1))+(IF(M59=0,0,(Upgrades!$M$21+M59*Upgrades!$N$21)*POWER(Upgrades!$O$21,M59)))*(IF(Upgrades!$T$13="Moving Group",POWER(Upgrades!$U$13,E59),1)*IF(Upgrades!$T$14="Moving Group",POWER(Upgrades!$U$14,F59),1)*IF(Upgrades!$T$15="Moving Group",POWER(Upgrades!$U$15,G59),1)*IF(Upgrades!$T$16="Moving Group",POWER(Upgrades!$U$16,H59),1)*IF(Upgrades!$T$17="Moving Group",POWER(Upgrades!$U$17,I59),1)*IF(Upgrades!$T$18="Moving Group",POWER(Upgrades!$U$18,J59),1)*IF(Upgrades!$T$19="Moving Group",POWER(Upgrades!$U$19,K59),1)*IF(Upgrades!$T$20="Moving Group",POWER(Upgrades!$U$20,L59),1)))*POWER(Upgrades!$R$13,E59)*POWER(Upgrades!$R$14,F59)*POWER(Upgrades!$R$15,G59)*POWER(Upgrades!$R$16,H59)*POWER(Upgrades!$R$17,I59)*POWER(Upgrades!$R$18,J59)*POWER(Upgrades!$R$19,K59)*POWER(Upgrades!$R$20,L59)*POWER(Upgrades!$R$21,M59)*$H$6+$E$6</f>
        <v/>
      </c>
      <c r="R59" s="27">
        <f>IF(N59=1,0,O59*Parameters!$B$10/60*Parameters!$B$11*10)</f>
        <v/>
      </c>
      <c r="S59" s="27">
        <f>IF(N59=1,0,Q59*O59*10)</f>
        <v/>
      </c>
      <c r="T59" s="27">
        <f>IF(N59=1,0,R59+S59+P59*10)</f>
        <v/>
      </c>
      <c r="U59" s="33">
        <f>BE59</f>
        <v/>
      </c>
      <c r="V59" s="22">
        <f>IF(U59="",0,IF(U59="transition",0,IF(U59="SK",AK59,IF(U59="LB",AL59,IF(U59="ML",AM59,IF(U59="RLO",AN59,IF(U59="BD",AO59,IF(U59="BiP",AP59,IF(U59="PV",AQ59,IF(U59="OC",AR59,IF(U59="MG",AS59,0))))))))))</f>
        <v/>
      </c>
      <c r="W59" s="27">
        <f>IF(U59="BiP",Upgrades!$F$18,IF(U59="PV",Upgrades!$F$19,IF(U59="OC",Upgrades!$F$20,IF(U59="MG",Upgrades!$F$21,IF(U59="transition",-Parameters!$B$18*Parameters!$B$19,0)))))</f>
        <v/>
      </c>
      <c r="X59" s="22">
        <f>C59+T59-V59</f>
        <v/>
      </c>
      <c r="Y59" s="30">
        <f>O59*Parameters!$B$10/60*Parameters!$B$11+Q59*O59+P59</f>
        <v/>
      </c>
      <c r="Z59" s="34">
        <f>IF(U59="transition","→ Tier 3 (Galactic Arm)",IF(U59="MG","Moving Group — pocket drifts together",IF(U59="OC","Open Cluster acquired",IF(U59="PV","Peculiar Velocity — passive multiplier active",IF(U59="BiP","Binary Partner — pair bond formed",IF(AND(AU59=1,N59=0,AT59&lt;&gt;1),"Cohesion ready (waiting on completionists)","")))))) </f>
        <v/>
      </c>
      <c r="AA59" s="27">
        <f>(IF(E59=0,0,(Upgrades!$G$13+E59*Upgrades!$H$13)*POWER(Upgrades!$I$13,E59)))*(IF(Upgrades!$T$14="Stellar Kinematics",POWER(Upgrades!$U$14,F59),1)*IF(Upgrades!$T$15="Stellar Kinematics",POWER(Upgrades!$U$15,G59),1)*IF(Upgrades!$T$16="Stellar Kinematics",POWER(Upgrades!$U$16,H59),1)*IF(Upgrades!$T$17="Stellar Kinematics",POWER(Upgrades!$U$17,I59),1)*IF(Upgrades!$T$18="Stellar Kinematics",POWER(Upgrades!$U$18,J59),1)*IF(Upgrades!$T$19="Stellar Kinematics",POWER(Upgrades!$U$19,K59),1)*IF(Upgrades!$T$20="Stellar Kinematics",POWER(Upgrades!$U$20,L59),1)*IF(Upgrades!$T$21="Stellar Kinematics",POWER(Upgrades!$U$21,M59),1))*POWER(Upgrades!$P$13,E59)*POWER(Upgrades!$P$14,F59)*POWER(Upgrades!$P$15,G59)*POWER(Upgrades!$P$16,H59)*POWER(Upgrades!$P$17,I59)*POWER(Upgrades!$P$18,J59)*POWER(Upgrades!$P$19,K59)*POWER(Upgrades!$P$20,L59)*POWER(Upgrades!$P$21,M59)*$F$6*60</f>
        <v/>
      </c>
      <c r="AB59" s="27">
        <f>(IF(F59=0,0,(Upgrades!$G$14+F59*Upgrades!$H$14)*POWER(Upgrades!$I$14,F59)))*(IF(Upgrades!$T$13="Local Bubble",POWER(Upgrades!$U$13,E59),1)*IF(Upgrades!$T$15="Local Bubble",POWER(Upgrades!$U$15,G59),1)*IF(Upgrades!$T$16="Local Bubble",POWER(Upgrades!$U$16,H59),1)*IF(Upgrades!$T$17="Local Bubble",POWER(Upgrades!$U$17,I59),1)*IF(Upgrades!$T$18="Local Bubble",POWER(Upgrades!$U$18,J59),1)*IF(Upgrades!$T$19="Local Bubble",POWER(Upgrades!$U$19,K59),1)*IF(Upgrades!$T$20="Local Bubble",POWER(Upgrades!$U$20,L59),1)*IF(Upgrades!$T$21="Local Bubble",POWER(Upgrades!$U$21,M59),1))*POWER(Upgrades!$P$13,E59)*POWER(Upgrades!$P$14,F59)*POWER(Upgrades!$P$15,G59)*POWER(Upgrades!$P$16,H59)*POWER(Upgrades!$P$17,I59)*POWER(Upgrades!$P$18,J59)*POWER(Upgrades!$P$19,K59)*POWER(Upgrades!$P$20,L59)*POWER(Upgrades!$P$21,M59)*$F$6*60</f>
        <v/>
      </c>
      <c r="AC59" s="27">
        <f>(IF(G59=0,0,(Upgrades!$J$15+G59*Upgrades!$K$15)*POWER(Upgrades!$L$15,G59)))*(IF(Upgrades!$T$13="Microlensing",POWER(Upgrades!$U$13,E59),1)*IF(Upgrades!$T$14="Microlensing",POWER(Upgrades!$U$14,F59),1)*IF(Upgrades!$T$16="Microlensing",POWER(Upgrades!$U$16,H59),1)*IF(Upgrades!$T$17="Microlensing",POWER(Upgrades!$U$17,I59),1)*IF(Upgrades!$T$18="Microlensing",POWER(Upgrades!$U$18,J59),1)*IF(Upgrades!$T$19="Microlensing",POWER(Upgrades!$U$19,K59),1)*IF(Upgrades!$T$20="Microlensing",POWER(Upgrades!$U$20,L59),1)*IF(Upgrades!$T$21="Microlensing",POWER(Upgrades!$U$21,M59),1))*POWER(Upgrades!$Q$13,E59)*POWER(Upgrades!$Q$14,F59)*POWER(Upgrades!$Q$15,G59)*POWER(Upgrades!$Q$16,H59)*POWER(Upgrades!$Q$17,I59)*POWER(Upgrades!$Q$18,J59)*POWER(Upgrades!$Q$19,K59)*POWER(Upgrades!$Q$20,L59)*POWER(Upgrades!$Q$21,M59)*$G$6*(Parameters!$B$10*Parameters!$B$11+Q59*60)</f>
        <v/>
      </c>
      <c r="AD59" s="27">
        <f>(IF(H59=0,0,(Upgrades!$M$16+H59*Upgrades!$N$16)*POWER(Upgrades!$O$16,H59)))*(IF(Upgrades!$T$13="Roche Lobe Overflow",POWER(Upgrades!$U$13,E59),1)*IF(Upgrades!$T$14="Roche Lobe Overflow",POWER(Upgrades!$U$14,F59),1)*IF(Upgrades!$T$15="Roche Lobe Overflow",POWER(Upgrades!$U$15,G59),1)*IF(Upgrades!$T$17="Roche Lobe Overflow",POWER(Upgrades!$U$17,I59),1)*IF(Upgrades!$T$18="Roche Lobe Overflow",POWER(Upgrades!$U$18,J59),1)*IF(Upgrades!$T$19="Roche Lobe Overflow",POWER(Upgrades!$U$19,K59),1)*IF(Upgrades!$T$20="Roche Lobe Overflow",POWER(Upgrades!$U$20,L59),1)*IF(Upgrades!$T$21="Roche Lobe Overflow",POWER(Upgrades!$U$21,M59),1))*POWER(Upgrades!$R$13,E59)*POWER(Upgrades!$R$14,F59)*POWER(Upgrades!$R$15,G59)*POWER(Upgrades!$R$16,H59)*POWER(Upgrades!$R$17,I59)*POWER(Upgrades!$R$18,J59)*POWER(Upgrades!$R$19,K59)*POWER(Upgrades!$R$20,L59)*POWER(Upgrades!$R$21,M59)*$H$6*O59*60</f>
        <v/>
      </c>
      <c r="AE59" s="27">
        <f>(IF(I59=0,0,(Upgrades!$G$17+I59*Upgrades!$H$17)*POWER(Upgrades!$I$17,I59)))*(IF(Upgrades!$T$13="Brown Dwarf",POWER(Upgrades!$U$13,E59),1)*IF(Upgrades!$T$14="Brown Dwarf",POWER(Upgrades!$U$14,F59),1)*IF(Upgrades!$T$15="Brown Dwarf",POWER(Upgrades!$U$15,G59),1)*IF(Upgrades!$T$16="Brown Dwarf",POWER(Upgrades!$U$16,H59),1)*IF(Upgrades!$T$18="Brown Dwarf",POWER(Upgrades!$U$18,J59),1)*IF(Upgrades!$T$19="Brown Dwarf",POWER(Upgrades!$U$19,K59),1)*IF(Upgrades!$T$20="Brown Dwarf",POWER(Upgrades!$U$20,L59),1)*IF(Upgrades!$T$21="Brown Dwarf",POWER(Upgrades!$U$21,M59),1))*POWER(Upgrades!$P$13,E59)*POWER(Upgrades!$P$14,F59)*POWER(Upgrades!$P$15,G59)*POWER(Upgrades!$P$16,H59)*POWER(Upgrades!$P$17,I59)*POWER(Upgrades!$P$18,J59)*POWER(Upgrades!$P$19,K59)*POWER(Upgrades!$P$20,L59)*POWER(Upgrades!$P$21,M59)*$F$6*60</f>
        <v/>
      </c>
      <c r="AF59" s="27" t="n">
        <v>0</v>
      </c>
      <c r="AG59" s="27" t="n">
        <v>0</v>
      </c>
      <c r="AH59" s="27" t="n">
        <v>0</v>
      </c>
      <c r="AI59" s="27">
        <f>(IF(M59=0,0,(Upgrades!$G$21+M59*Upgrades!$H$21)*POWER(Upgrades!$I$21,M59)))*(IF(Upgrades!$T$13="Moving Group",POWER(Upgrades!$U$13,E59),1)*IF(Upgrades!$T$14="Moving Group",POWER(Upgrades!$U$14,F59),1)*IF(Upgrades!$T$15="Moving Group",POWER(Upgrades!$U$15,G59),1)*IF(Upgrades!$T$16="Moving Group",POWER(Upgrades!$U$16,H59),1)*IF(Upgrades!$T$17="Moving Group",POWER(Upgrades!$U$17,I59),1)*IF(Upgrades!$T$18="Moving Group",POWER(Upgrades!$U$18,J59),1)*IF(Upgrades!$T$19="Moving Group",POWER(Upgrades!$U$19,K59),1)*IF(Upgrades!$T$20="Moving Group",POWER(Upgrades!$U$20,L59),1))*POWER(Upgrades!$P$13,E59)*POWER(Upgrades!$P$14,F59)*POWER(Upgrades!$P$15,G59)*POWER(Upgrades!$P$16,H59)*POWER(Upgrades!$P$17,I59)*POWER(Upgrades!$P$18,J59)*POWER(Upgrades!$P$19,K59)*POWER(Upgrades!$P$20,L59)*POWER(Upgrades!$P$21,M59)*$F$6*60</f>
        <v/>
      </c>
      <c r="AJ59" s="27">
        <f>$C$6*60</f>
        <v/>
      </c>
      <c r="AK59" s="22">
        <f>IF(E59&gt;=Upgrades!$E$13,"",Upgrades!$C$13*POWER(Upgrades!$D$13,E59))</f>
        <v/>
      </c>
      <c r="AL59" s="22">
        <f>IF(F59&gt;=Upgrades!$E$14,"",Upgrades!$C$14*POWER(Upgrades!$D$14,F59))</f>
        <v/>
      </c>
      <c r="AM59" s="22">
        <f>IF(G59&gt;=Upgrades!$E$15,"",Upgrades!$C$15*POWER(Upgrades!$D$15,G59))</f>
        <v/>
      </c>
      <c r="AN59" s="22">
        <f>IF(H59&gt;=Upgrades!$E$16,"",Upgrades!$C$16*POWER(Upgrades!$D$16,H59))</f>
        <v/>
      </c>
      <c r="AO59" s="22">
        <f>IF(I59&gt;=Upgrades!$E$17,"",Upgrades!$C$17*POWER(Upgrades!$D$17,I59))</f>
        <v/>
      </c>
      <c r="AP59" s="22">
        <f>IF(J59&gt;=Upgrades!$E$18,"",Upgrades!$C$18*POWER(Upgrades!$D$18,J59))</f>
        <v/>
      </c>
      <c r="AQ59" s="22">
        <f>IF(K59&gt;=Upgrades!$E$19,"",Upgrades!$C$19*POWER(Upgrades!$D$19,K59))</f>
        <v/>
      </c>
      <c r="AR59" s="22">
        <f>IF(L59&gt;=Upgrades!$E$20,"",Upgrades!$C$20*POWER(Upgrades!$D$20,L59))</f>
        <v/>
      </c>
      <c r="AS59" s="22">
        <f>IF(M59&gt;=Upgrades!$E$21,"",Upgrades!$C$21*POWER(Upgrades!$D$21,M59))</f>
        <v/>
      </c>
      <c r="AT59" s="26">
        <f>IF(AND(D59&gt;=Parameters!$B$18*Parameters!$B$19,(I59&gt;=Upgrades!$E$17)*(M59&gt;=Upgrades!$E$21)=1,N59=0),1,"")</f>
        <v/>
      </c>
      <c r="AU59" s="26">
        <f>IF(AND(D59&gt;=Parameters!$B$18*Parameters!$B$19,N59=0),1,"")</f>
        <v/>
      </c>
      <c r="AV59" s="22">
        <f>MIN(IF(ISNUMBER(AP59),AP59,9E15),IF(ISNUMBER(AQ59),AQ59,9E15),IF(ISNUMBER(AR59),AR59,9E15),IF(ISNUMBER(AS59),AS59,9E15))</f>
        <v/>
      </c>
      <c r="AW59" s="22">
        <f>MIN(IF(ISNUMBER(AK59),AK59,9E15),IF(ISNUMBER(AL59),AL59,9E15),IF(ISNUMBER(AM59),AM59,9E15),IF(ISNUMBER(AN59),AN59,9E15),IF(ISNUMBER(AO59),AO59,9E15))</f>
        <v/>
      </c>
      <c r="AX59" s="29">
        <f>IF(BD59&gt;Parameters!$B$21*(MAX(IF(AND(NOT(AND(AU59=1,AT59&lt;&gt;1)),ISNUMBER(AK59),AK59&lt;=(C59+T59)),AY59,0),IF(AND(NOT(AND(AU59=1,AT59&lt;&gt;1)),ISNUMBER(AL59),AL59&lt;=(C59+T59)),AZ59,0),IF(AND(NOT(AND(AU59=1,AT59&lt;&gt;1)),ISNUMBER(AM59),AM59&lt;=(C59+T59)),BA59,0),IF(AND(NOT(AND(AU59=1,AT59&lt;&gt;1)),ISNUMBER(AN59),AN59&lt;=(C59+T59)),BB59,0),IF(AND(ISNUMBER(AO59),AO59&lt;=(C59+T59)),BC59,0))),TRUE,FALSE)</f>
        <v/>
      </c>
      <c r="AY59" s="32">
        <f>IFERROR(Upgrades!$H$13*(POWER(Upgrades!$P$13,E59)*POWER(Upgrades!$P$14,F59)*POWER(Upgrades!$P$15,G59)*POWER(Upgrades!$P$16,H59)*POWER(Upgrades!$P$17,I59)*POWER(Upgrades!$P$18,J59)*POWER(Upgrades!$P$19,K59)*POWER(Upgrades!$P$20,L59)*POWER(Upgrades!$P$21,M59))*(IF(Upgrades!$T$14="Stellar Kinematics",POWER(Upgrades!$U$14,F59),1)*IF(Upgrades!$T$15="Stellar Kinematics",POWER(Upgrades!$U$15,G59),1)*IF(Upgrades!$T$16="Stellar Kinematics",POWER(Upgrades!$U$16,H59),1)*IF(Upgrades!$T$17="Stellar Kinematics",POWER(Upgrades!$U$17,I59),1)*IF(Upgrades!$T$18="Stellar Kinematics",POWER(Upgrades!$U$18,J59),1)*IF(Upgrades!$T$19="Stellar Kinematics",POWER(Upgrades!$U$19,K59),1)*IF(Upgrades!$T$20="Stellar Kinematics",POWER(Upgrades!$U$20,L59),1)*IF(Upgrades!$T$21="Stellar Kinematics",POWER(Upgrades!$U$21,M59),1))*$F$6/AK59,0)</f>
        <v/>
      </c>
      <c r="AZ59" s="32">
        <f>IFERROR(Upgrades!$H$14*(POWER(Upgrades!$P$13,E59)*POWER(Upgrades!$P$14,F59)*POWER(Upgrades!$P$15,G59)*POWER(Upgrades!$P$16,H59)*POWER(Upgrades!$P$17,I59)*POWER(Upgrades!$P$18,J59)*POWER(Upgrades!$P$19,K59)*POWER(Upgrades!$P$20,L59)*POWER(Upgrades!$P$21,M59))*(IF(Upgrades!$T$13="Local Bubble",POWER(Upgrades!$U$13,E59),1)*IF(Upgrades!$T$15="Local Bubble",POWER(Upgrades!$U$15,G59),1)*IF(Upgrades!$T$16="Local Bubble",POWER(Upgrades!$U$16,H59),1)*IF(Upgrades!$T$17="Local Bubble",POWER(Upgrades!$U$17,I59),1)*IF(Upgrades!$T$18="Local Bubble",POWER(Upgrades!$U$18,J59),1)*IF(Upgrades!$T$19="Local Bubble",POWER(Upgrades!$U$19,K59),1)*IF(Upgrades!$T$20="Local Bubble",POWER(Upgrades!$U$20,L59),1)*IF(Upgrades!$T$21="Local Bubble",POWER(Upgrades!$U$21,M59),1))*$F$6/AL59,0)</f>
        <v/>
      </c>
      <c r="BA59" s="32">
        <f>IFERROR(Upgrades!$K$15*(POWER(Upgrades!$Q$13,E59)*POWER(Upgrades!$Q$14,F59)*POWER(Upgrades!$Q$15,G59)*POWER(Upgrades!$Q$16,H59)*POWER(Upgrades!$Q$17,I59)*POWER(Upgrades!$Q$18,J59)*POWER(Upgrades!$Q$19,K59)*POWER(Upgrades!$Q$20,L59)*POWER(Upgrades!$Q$21,M59))*(IF(Upgrades!$T$13="Microlensing",POWER(Upgrades!$U$13,E59),1)*IF(Upgrades!$T$14="Microlensing",POWER(Upgrades!$U$14,F59),1)*IF(Upgrades!$T$16="Microlensing",POWER(Upgrades!$U$16,H59),1)*IF(Upgrades!$T$17="Microlensing",POWER(Upgrades!$U$17,I59),1)*IF(Upgrades!$T$18="Microlensing",POWER(Upgrades!$U$18,J59),1)*IF(Upgrades!$T$19="Microlensing",POWER(Upgrades!$U$19,K59),1)*IF(Upgrades!$T$20="Microlensing",POWER(Upgrades!$U$20,L59),1)*IF(Upgrades!$T$21="Microlensing",POWER(Upgrades!$U$21,M59),1))*$G$6*(Parameters!$B$10/60*Parameters!$B$11+Q59)/AM59,0)</f>
        <v/>
      </c>
      <c r="BB59" s="32">
        <f>IFERROR((Upgrades!$N$16*(POWER(Upgrades!$R$13,E59)*POWER(Upgrades!$R$14,F59)*POWER(Upgrades!$R$15,G59)*POWER(Upgrades!$R$16,H59)*POWER(Upgrades!$R$17,I59)*POWER(Upgrades!$R$18,J59)*POWER(Upgrades!$R$19,K59)*POWER(Upgrades!$R$20,L59)*POWER(Upgrades!$R$21,M59))*(IF(Upgrades!$T$13="Roche Lobe Overflow",POWER(Upgrades!$U$13,E59),1)*IF(Upgrades!$T$14="Roche Lobe Overflow",POWER(Upgrades!$U$14,F59),1)*IF(Upgrades!$T$15="Roche Lobe Overflow",POWER(Upgrades!$U$15,G59),1)*IF(Upgrades!$T$17="Roche Lobe Overflow",POWER(Upgrades!$U$17,I59),1)*IF(Upgrades!$T$18="Roche Lobe Overflow",POWER(Upgrades!$U$18,J59),1)*IF(Upgrades!$T$19="Roche Lobe Overflow",POWER(Upgrades!$U$19,K59),1)*IF(Upgrades!$T$20="Roche Lobe Overflow",POWER(Upgrades!$U$20,L59),1)*IF(Upgrades!$T$21="Roche Lobe Overflow",POWER(Upgrades!$U$21,M59),1))*$H$6*O59+((IF(F59=0,0,(Upgrades!$G$14+F59*Upgrades!$H$14)*POWER(Upgrades!$I$14,F59)))*(IF(Upgrades!$T$13="Local Bubble",POWER(Upgrades!$U$13,E59),1)*IF(Upgrades!$T$15="Local Bubble",POWER(Upgrades!$U$15,G59),1)*IF(Upgrades!$T$16="Local Bubble",POWER(Upgrades!$U$16,H59),1)*IF(Upgrades!$T$17="Local Bubble",POWER(Upgrades!$U$17,I59),1)*IF(Upgrades!$T$18="Local Bubble",POWER(Upgrades!$U$18,J59),1)*IF(Upgrades!$T$19="Local Bubble",POWER(Upgrades!$U$19,K59),1)*IF(Upgrades!$T$20="Local Bubble",POWER(Upgrades!$U$20,L59),1)*IF(Upgrades!$T$21="Local Bubble",POWER(Upgrades!$U$21,M59),1))*POWER(Upgrades!$P$13,E59)*POWER(Upgrades!$P$14,F59)*POWER(Upgrades!$P$15,G59)*POWER(Upgrades!$P$16,H59)*POWER(Upgrades!$P$17,I59)*POWER(Upgrades!$P$18,J59)*POWER(Upgrades!$P$19,K59)*POWER(Upgrades!$P$20,L59)*POWER(Upgrades!$P$21,M59)*$F$6)*0.05)/AN59,0)</f>
        <v/>
      </c>
      <c r="BC59" s="32">
        <f>IFERROR((Upgrades!$H$17*(POWER(Upgrades!$P$13,E59)*POWER(Upgrades!$P$14,F59)*POWER(Upgrades!$P$15,G59)*POWER(Upgrades!$P$16,H59)*POWER(Upgrades!$P$17,I59)*POWER(Upgrades!$P$18,J59)*POWER(Upgrades!$P$19,K59)*POWER(Upgrades!$P$20,L59)*POWER(Upgrades!$P$21,M59))*(IF(Upgrades!$T$13="Brown Dwarf",POWER(Upgrades!$U$13,E59),1)*IF(Upgrades!$T$14="Brown Dwarf",POWER(Upgrades!$U$14,F59),1)*IF(Upgrades!$T$15="Brown Dwarf",POWER(Upgrades!$U$15,G59),1)*IF(Upgrades!$T$16="Brown Dwarf",POWER(Upgrades!$U$16,H59),1)*IF(Upgrades!$T$18="Brown Dwarf",POWER(Upgrades!$U$18,J59),1)*IF(Upgrades!$T$19="Brown Dwarf",POWER(Upgrades!$U$19,K59),1)*IF(Upgrades!$T$20="Brown Dwarf",POWER(Upgrades!$U$20,L59),1)*IF(Upgrades!$T$21="Brown Dwarf",POWER(Upgrades!$U$21,M59),1))*$F$6+(((IF(H59=0,0,(Upgrades!$M$16+H59*Upgrades!$N$16)*POWER(Upgrades!$O$16,H59)))*(IF(Upgrades!$T$13="Roche Lobe Overflow",POWER(Upgrades!$U$13,E59),1)*IF(Upgrades!$T$14="Roche Lobe Overflow",POWER(Upgrades!$U$14,F59),1)*IF(Upgrades!$T$15="Roche Lobe Overflow",POWER(Upgrades!$U$15,G59),1)*IF(Upgrades!$T$17="Roche Lobe Overflow",POWER(Upgrades!$U$17,I59),1)*IF(Upgrades!$T$18="Roche Lobe Overflow",POWER(Upgrades!$U$18,J59),1)*IF(Upgrades!$T$19="Roche Lobe Overflow",POWER(Upgrades!$U$19,K59),1)*IF(Upgrades!$T$20="Roche Lobe Overflow",POWER(Upgrades!$U$20,L59),1)*IF(Upgrades!$T$21="Roche Lobe Overflow",POWER(Upgrades!$U$21,M59),1))*POWER(Upgrades!$R$13,E59)*POWER(Upgrades!$R$14,F59)*POWER(Upgrades!$R$15,G59)*POWER(Upgrades!$R$16,H59)*POWER(Upgrades!$R$17,I59)*POWER(Upgrades!$R$18,J59)*POWER(Upgrades!$R$19,K59)*POWER(Upgrades!$R$20,L59)*POWER(Upgrades!$R$21,M59)*$H$6)*O59)*0.10)/AO59,0)</f>
        <v/>
      </c>
      <c r="BD59" s="32">
        <f>MAX(IF(J59&gt;0,0,IFERROR(0.5*((IF(G59=0,0,(Upgrades!$J$15+G59*Upgrades!$K$15)*POWER(Upgrades!$L$15,G59)))*(IF(Upgrades!$T$13="Microlensing",POWER(Upgrades!$U$13,E59),1)*IF(Upgrades!$T$14="Microlensing",POWER(Upgrades!$U$14,F59),1)*IF(Upgrades!$T$16="Microlensing",POWER(Upgrades!$U$16,H59),1)*IF(Upgrades!$T$17="Microlensing",POWER(Upgrades!$U$17,I59),1)*IF(Upgrades!$T$18="Microlensing",POWER(Upgrades!$U$18,J59),1)*IF(Upgrades!$T$19="Microlensing",POWER(Upgrades!$U$19,K59),1)*IF(Upgrades!$T$20="Microlensing",POWER(Upgrades!$U$20,L59),1)*IF(Upgrades!$T$21="Microlensing",POWER(Upgrades!$U$21,M59),1))*(POWER(Upgrades!$Q$13,E59)*POWER(Upgrades!$Q$14,F59)*POWER(Upgrades!$Q$15,G59)*POWER(Upgrades!$Q$16,H59)*POWER(Upgrades!$Q$17,I59)*POWER(Upgrades!$Q$18,J59)*POWER(Upgrades!$Q$19,K59)*POWER(Upgrades!$Q$20,L59)*POWER(Upgrades!$Q$21,M59))*$G$6*(Parameters!$B$10/60*Parameters!$B$11+Q59))/Upgrades!$C$18,0)),IF(K59&gt;0,0,IFERROR(0.30*P59/Upgrades!$C$19,0)),IF(L59&gt;0,0,IFERROR(0.0001/Upgrades!$C$20,0)),IF(M59&gt;0,0,IFERROR((6.0*(POWER(Upgrades!$P$13,E59)*POWER(Upgrades!$P$14,F59)*POWER(Upgrades!$P$15,G59)*POWER(Upgrades!$P$16,H59)*POWER(Upgrades!$P$17,I59)*POWER(Upgrades!$P$18,J59)*POWER(Upgrades!$P$19,K59)*POWER(Upgrades!$P$20,L59)*POWER(Upgrades!$P$21,M59))*$F$6+0.20*O59*(Parameters!$B$10/60*Parameters!$B$11+Q59))/Upgrades!$C$21,0)),IF(AND(ISNUMBER(AK59),AK59&gt;(C59+T59)),AY59,0),IF(AND(ISNUMBER(AL59),AL59&gt;(C59+T59)),AZ59,0),IF(AND(ISNUMBER(AM59),AM59&gt;(C59+T59)),BA59,0),IF(AND(ISNUMBER(AN59),AN59&gt;(C59+T59)),BB59,0),IF(AND(ISNUMBER(AO59),AO59&gt;(C59+T59)),BC59,0))</f>
        <v/>
      </c>
      <c r="BE59" s="29">
        <f>IF(AT59=1,"transition",IF(MIN(IF(AND(J59=0,ISNUMBER(AP59),AP59&lt;=(C59+T59)),AP59,9E15),IF(AND(K59=0,ISNUMBER(AQ59),AQ59&lt;=(C59+T59)),AQ59,9E15),IF(AND(L59=0,ISNUMBER(AR59),AR59&lt;=(C59+T59)),AR59,9E15),IF(AND(M59=0,ISNUMBER(AS59),AS59&lt;=(C59+T59)),AS59,9E15))&lt;9E15,IF(AND(AND(J59=0,ISNUMBER(AP59),AP59&lt;=(C59+T59)),AP59=MIN(IF(AND(J59=0,ISNUMBER(AP59),AP59&lt;=(C59+T59)),AP59,9E15),IF(AND(K59=0,ISNUMBER(AQ59),AQ59&lt;=(C59+T59)),AQ59,9E15),IF(AND(L59=0,ISNUMBER(AR59),AR59&lt;=(C59+T59)),AR59,9E15),IF(AND(M59=0,ISNUMBER(AS59),AS59&lt;=(C59+T59)),AS59,9E15))),"BiP",IF(AND(AND(K59=0,ISNUMBER(AQ59),AQ59&lt;=(C59+T59)),AQ59=MIN(IF(AND(J59=0,ISNUMBER(AP59),AP59&lt;=(C59+T59)),AP59,9E15),IF(AND(K59=0,ISNUMBER(AQ59),AQ59&lt;=(C59+T59)),AQ59,9E15),IF(AND(L59=0,ISNUMBER(AR59),AR59&lt;=(C59+T59)),AR59,9E15),IF(AND(M59=0,ISNUMBER(AS59),AS59&lt;=(C59+T59)),AS59,9E15))),"PV",IF(AND(AND(L59=0,ISNUMBER(AR59),AR59&lt;=(C59+T59)),AR59=MIN(IF(AND(J59=0,ISNUMBER(AP59),AP59&lt;=(C59+T59)),AP59,9E15),IF(AND(K59=0,ISNUMBER(AQ59),AQ59&lt;=(C59+T59)),AQ59,9E15),IF(AND(L59=0,ISNUMBER(AR59),AR59&lt;=(C59+T59)),AR59,9E15),IF(AND(M59=0,ISNUMBER(AS59),AS59&lt;=(C59+T59)),AS59,9E15))),"OC","MG"))),IF(AX59=TRUE,"",IF(MAX(IF(AND(NOT(AND(AU59=1,AT59&lt;&gt;1)),ISNUMBER(AK59),AK59&lt;=(C59+T59)),AY59,0),IF(AND(NOT(AND(AU59=1,AT59&lt;&gt;1)),ISNUMBER(AL59),AL59&lt;=(C59+T59)),AZ59,0),IF(AND(NOT(AND(AU59=1,AT59&lt;&gt;1)),ISNUMBER(AM59),AM59&lt;=(C59+T59)),BA59,0),IF(AND(NOT(AND(AU59=1,AT59&lt;&gt;1)),ISNUMBER(AN59),AN59&lt;=(C59+T59)),BB59,0),IF(AND(ISNUMBER(AO59),AO59&lt;=(C59+T59)),BC59,0))&lt;=0,"",IF(AND(IF(AND(NOT(AND(AU59=1,AT59&lt;&gt;1)),ISNUMBER(AK59),AK59&lt;=(C59+T59)),AY59,0)&gt;0,IF(AND(NOT(AND(AU59=1,AT59&lt;&gt;1)),ISNUMBER(AK59),AK59&lt;=(C59+T59)),AY59,0)=MAX(IF(AND(NOT(AND(AU59=1,AT59&lt;&gt;1)),ISNUMBER(AK59),AK59&lt;=(C59+T59)),AY59,0),IF(AND(NOT(AND(AU59=1,AT59&lt;&gt;1)),ISNUMBER(AL59),AL59&lt;=(C59+T59)),AZ59,0),IF(AND(NOT(AND(AU59=1,AT59&lt;&gt;1)),ISNUMBER(AM59),AM59&lt;=(C59+T59)),BA59,0),IF(AND(NOT(AND(AU59=1,AT59&lt;&gt;1)),ISNUMBER(AN59),AN59&lt;=(C59+T59)),BB59,0),IF(AND(ISNUMBER(AO59),AO59&lt;=(C59+T59)),BC59,0))),"SK",IF(AND(IF(AND(NOT(AND(AU59=1,AT59&lt;&gt;1)),ISNUMBER(AL59),AL59&lt;=(C59+T59)),AZ59,0)&gt;0,IF(AND(NOT(AND(AU59=1,AT59&lt;&gt;1)),ISNUMBER(AL59),AL59&lt;=(C59+T59)),AZ59,0)=MAX(IF(AND(NOT(AND(AU59=1,AT59&lt;&gt;1)),ISNUMBER(AK59),AK59&lt;=(C59+T59)),AY59,0),IF(AND(NOT(AND(AU59=1,AT59&lt;&gt;1)),ISNUMBER(AL59),AL59&lt;=(C59+T59)),AZ59,0),IF(AND(NOT(AND(AU59=1,AT59&lt;&gt;1)),ISNUMBER(AM59),AM59&lt;=(C59+T59)),BA59,0),IF(AND(NOT(AND(AU59=1,AT59&lt;&gt;1)),ISNUMBER(AN59),AN59&lt;=(C59+T59)),BB59,0),IF(AND(ISNUMBER(AO59),AO59&lt;=(C59+T59)),BC59,0))),"LB",IF(AND(IF(AND(NOT(AND(AU59=1,AT59&lt;&gt;1)),ISNUMBER(AM59),AM59&lt;=(C59+T59)),BA59,0)&gt;0,IF(AND(NOT(AND(AU59=1,AT59&lt;&gt;1)),ISNUMBER(AM59),AM59&lt;=(C59+T59)),BA59,0)=MAX(IF(AND(NOT(AND(AU59=1,AT59&lt;&gt;1)),ISNUMBER(AK59),AK59&lt;=(C59+T59)),AY59,0),IF(AND(NOT(AND(AU59=1,AT59&lt;&gt;1)),ISNUMBER(AL59),AL59&lt;=(C59+T59)),AZ59,0),IF(AND(NOT(AND(AU59=1,AT59&lt;&gt;1)),ISNUMBER(AM59),AM59&lt;=(C59+T59)),BA59,0),IF(AND(NOT(AND(AU59=1,AT59&lt;&gt;1)),ISNUMBER(AN59),AN59&lt;=(C59+T59)),BB59,0),IF(AND(ISNUMBER(AO59),AO59&lt;=(C59+T59)),BC59,0))),"ML",IF(AND(IF(AND(NOT(AND(AU59=1,AT59&lt;&gt;1)),ISNUMBER(AN59),AN59&lt;=(C59+T59)),BB59,0)&gt;0,IF(AND(NOT(AND(AU59=1,AT59&lt;&gt;1)),ISNUMBER(AN59),AN59&lt;=(C59+T59)),BB59,0)=MAX(IF(AND(NOT(AND(AU59=1,AT59&lt;&gt;1)),ISNUMBER(AK59),AK59&lt;=(C59+T59)),AY59,0),IF(AND(NOT(AND(AU59=1,AT59&lt;&gt;1)),ISNUMBER(AL59),AL59&lt;=(C59+T59)),AZ59,0),IF(AND(NOT(AND(AU59=1,AT59&lt;&gt;1)),ISNUMBER(AM59),AM59&lt;=(C59+T59)),BA59,0),IF(AND(NOT(AND(AU59=1,AT59&lt;&gt;1)),ISNUMBER(AN59),AN59&lt;=(C59+T59)),BB59,0),IF(AND(ISNUMBER(AO59),AO59&lt;=(C59+T59)),BC59,0))),"RLO","BD"))))))))</f>
        <v/>
      </c>
    </row>
    <row r="60">
      <c r="A60" s="26" t="n">
        <v>49</v>
      </c>
      <c r="B60" s="27">
        <f>A60*10/60</f>
        <v/>
      </c>
      <c r="C60" s="22">
        <f>X59</f>
        <v/>
      </c>
      <c r="D60" s="27">
        <f>D59+W59</f>
        <v/>
      </c>
      <c r="E60" s="26">
        <f>E59+IF(U59="SK",1,0)</f>
        <v/>
      </c>
      <c r="F60" s="26">
        <f>F59+IF(U59="LB",1,0)</f>
        <v/>
      </c>
      <c r="G60" s="26">
        <f>G59+IF(U59="ML",1,0)</f>
        <v/>
      </c>
      <c r="H60" s="26">
        <f>H59+IF(U59="RLO",1,0)</f>
        <v/>
      </c>
      <c r="I60" s="26">
        <f>I59+IF(U59="BD",1,0)</f>
        <v/>
      </c>
      <c r="J60" s="26">
        <f>MAX(J59,IF(U59="BiP",1,0))</f>
        <v/>
      </c>
      <c r="K60" s="26">
        <f>MAX(K59,IF(U59="PV",1,0))</f>
        <v/>
      </c>
      <c r="L60" s="26">
        <f>MAX(L59,IF(U59="OC",1,0))</f>
        <v/>
      </c>
      <c r="M60" s="26">
        <f>MAX(M59,IF(U59="MG",1,0))</f>
        <v/>
      </c>
      <c r="N60" s="26">
        <f>MAX(N59,IF(U59="transition",1,0))</f>
        <v/>
      </c>
      <c r="O60" s="28">
        <f>(Parameters!$B$9+(IF(E60=0,0,(Upgrades!$J$13+E60*Upgrades!$K$13)*POWER(Upgrades!$L$13,E60)))*(IF(Upgrades!$T$14="Stellar Kinematics",POWER(Upgrades!$U$14,F60),1)*IF(Upgrades!$T$15="Stellar Kinematics",POWER(Upgrades!$U$15,G60),1)*IF(Upgrades!$T$16="Stellar Kinematics",POWER(Upgrades!$U$16,H60),1)*IF(Upgrades!$T$17="Stellar Kinematics",POWER(Upgrades!$U$17,I60),1)*IF(Upgrades!$T$18="Stellar Kinematics",POWER(Upgrades!$U$18,J60),1)*IF(Upgrades!$T$19="Stellar Kinematics",POWER(Upgrades!$U$19,K60),1)*IF(Upgrades!$T$20="Stellar Kinematics",POWER(Upgrades!$U$20,L60),1)*IF(Upgrades!$T$21="Stellar Kinematics",POWER(Upgrades!$U$21,M60),1))+(IF(F60=0,0,(Upgrades!$J$14+F60*Upgrades!$K$14)*POWER(Upgrades!$L$14,F60)))*(IF(Upgrades!$T$13="Local Bubble",POWER(Upgrades!$U$13,E60),1)*IF(Upgrades!$T$15="Local Bubble",POWER(Upgrades!$U$15,G60),1)*IF(Upgrades!$T$16="Local Bubble",POWER(Upgrades!$U$16,H60),1)*IF(Upgrades!$T$17="Local Bubble",POWER(Upgrades!$U$17,I60),1)*IF(Upgrades!$T$18="Local Bubble",POWER(Upgrades!$U$18,J60),1)*IF(Upgrades!$T$19="Local Bubble",POWER(Upgrades!$U$19,K60),1)*IF(Upgrades!$T$20="Local Bubble",POWER(Upgrades!$U$20,L60),1)*IF(Upgrades!$T$21="Local Bubble",POWER(Upgrades!$U$21,M60),1))+(IF(G60=0,0,(Upgrades!$J$15+G60*Upgrades!$K$15)*POWER(Upgrades!$L$15,G60)))*(IF(Upgrades!$T$13="Microlensing",POWER(Upgrades!$U$13,E60),1)*IF(Upgrades!$T$14="Microlensing",POWER(Upgrades!$U$14,F60),1)*IF(Upgrades!$T$16="Microlensing",POWER(Upgrades!$U$16,H60),1)*IF(Upgrades!$T$17="Microlensing",POWER(Upgrades!$U$17,I60),1)*IF(Upgrades!$T$18="Microlensing",POWER(Upgrades!$U$18,J60),1)*IF(Upgrades!$T$19="Microlensing",POWER(Upgrades!$U$19,K60),1)*IF(Upgrades!$T$20="Microlensing",POWER(Upgrades!$U$20,L60),1)*IF(Upgrades!$T$21="Microlensing",POWER(Upgrades!$U$21,M60),1))+(IF(H60=0,0,(Upgrades!$J$16+H60*Upgrades!$K$16)*POWER(Upgrades!$L$16,H60)))*(IF(Upgrades!$T$13="Roche Lobe Overflow",POWER(Upgrades!$U$13,E60),1)*IF(Upgrades!$T$14="Roche Lobe Overflow",POWER(Upgrades!$U$14,F60),1)*IF(Upgrades!$T$15="Roche Lobe Overflow",POWER(Upgrades!$U$15,G60),1)*IF(Upgrades!$T$17="Roche Lobe Overflow",POWER(Upgrades!$U$17,I60),1)*IF(Upgrades!$T$18="Roche Lobe Overflow",POWER(Upgrades!$U$18,J60),1)*IF(Upgrades!$T$19="Roche Lobe Overflow",POWER(Upgrades!$U$19,K60),1)*IF(Upgrades!$T$20="Roche Lobe Overflow",POWER(Upgrades!$U$20,L60),1)*IF(Upgrades!$T$21="Roche Lobe Overflow",POWER(Upgrades!$U$21,M60),1))+(IF(I60=0,0,(Upgrades!$J$17+I60*Upgrades!$K$17)*POWER(Upgrades!$L$17,I60)))*(IF(Upgrades!$T$13="Brown Dwarf",POWER(Upgrades!$U$13,E60),1)*IF(Upgrades!$T$14="Brown Dwarf",POWER(Upgrades!$U$14,F60),1)*IF(Upgrades!$T$15="Brown Dwarf",POWER(Upgrades!$U$15,G60),1)*IF(Upgrades!$T$16="Brown Dwarf",POWER(Upgrades!$U$16,H60),1)*IF(Upgrades!$T$18="Brown Dwarf",POWER(Upgrades!$U$18,J60),1)*IF(Upgrades!$T$19="Brown Dwarf",POWER(Upgrades!$U$19,K60),1)*IF(Upgrades!$T$20="Brown Dwarf",POWER(Upgrades!$U$20,L60),1)*IF(Upgrades!$T$21="Brown Dwarf",POWER(Upgrades!$U$21,M60),1))+(IF(J60=0,0,(Upgrades!$J$18+J60*Upgrades!$K$18)*POWER(Upgrades!$L$18,J60)))*(IF(Upgrades!$T$13="Binary Partner",POWER(Upgrades!$U$13,E60),1)*IF(Upgrades!$T$14="Binary Partner",POWER(Upgrades!$U$14,F60),1)*IF(Upgrades!$T$15="Binary Partner",POWER(Upgrades!$U$15,G60),1)*IF(Upgrades!$T$16="Binary Partner",POWER(Upgrades!$U$16,H60),1)*IF(Upgrades!$T$17="Binary Partner",POWER(Upgrades!$U$17,I60),1)*IF(Upgrades!$T$19="Binary Partner",POWER(Upgrades!$U$19,K60),1)*IF(Upgrades!$T$20="Binary Partner",POWER(Upgrades!$U$20,L60),1)*IF(Upgrades!$T$21="Binary Partner",POWER(Upgrades!$U$21,M60),1))+(IF(K60=0,0,(Upgrades!$J$19+K60*Upgrades!$K$19)*POWER(Upgrades!$L$19,K60)))*(IF(Upgrades!$T$13="Peculiar Velocity",POWER(Upgrades!$U$13,E60),1)*IF(Upgrades!$T$14="Peculiar Velocity",POWER(Upgrades!$U$14,F60),1)*IF(Upgrades!$T$15="Peculiar Velocity",POWER(Upgrades!$U$15,G60),1)*IF(Upgrades!$T$16="Peculiar Velocity",POWER(Upgrades!$U$16,H60),1)*IF(Upgrades!$T$17="Peculiar Velocity",POWER(Upgrades!$U$17,I60),1)*IF(Upgrades!$T$18="Peculiar Velocity",POWER(Upgrades!$U$18,J60),1)*IF(Upgrades!$T$20="Peculiar Velocity",POWER(Upgrades!$U$20,L60),1)*IF(Upgrades!$T$21="Peculiar Velocity",POWER(Upgrades!$U$21,M60),1))+(IF(L60=0,0,(Upgrades!$J$20+L60*Upgrades!$K$20)*POWER(Upgrades!$L$20,L60)))*(IF(Upgrades!$T$13="Open Cluster",POWER(Upgrades!$U$13,E60),1)*IF(Upgrades!$T$14="Open Cluster",POWER(Upgrades!$U$14,F60),1)*IF(Upgrades!$T$15="Open Cluster",POWER(Upgrades!$U$15,G60),1)*IF(Upgrades!$T$16="Open Cluster",POWER(Upgrades!$U$16,H60),1)*IF(Upgrades!$T$17="Open Cluster",POWER(Upgrades!$U$17,I60),1)*IF(Upgrades!$T$18="Open Cluster",POWER(Upgrades!$U$18,J60),1)*IF(Upgrades!$T$19="Open Cluster",POWER(Upgrades!$U$19,K60),1)*IF(Upgrades!$T$21="Open Cluster",POWER(Upgrades!$U$21,M60),1))+(IF(M60=0,0,(Upgrades!$J$21+M60*Upgrades!$K$21)*POWER(Upgrades!$L$21,M60)))*(IF(Upgrades!$T$13="Moving Group",POWER(Upgrades!$U$13,E60),1)*IF(Upgrades!$T$14="Moving Group",POWER(Upgrades!$U$14,F60),1)*IF(Upgrades!$T$15="Moving Group",POWER(Upgrades!$U$15,G60),1)*IF(Upgrades!$T$16="Moving Group",POWER(Upgrades!$U$16,H60),1)*IF(Upgrades!$T$17="Moving Group",POWER(Upgrades!$U$17,I60),1)*IF(Upgrades!$T$18="Moving Group",POWER(Upgrades!$U$18,J60),1)*IF(Upgrades!$T$19="Moving Group",POWER(Upgrades!$U$19,K60),1)*IF(Upgrades!$T$20="Moving Group",POWER(Upgrades!$U$20,L60),1)))*POWER(Upgrades!$Q$13,E60)*POWER(Upgrades!$Q$14,F60)*POWER(Upgrades!$Q$15,G60)*POWER(Upgrades!$Q$16,H60)*POWER(Upgrades!$Q$17,I60)*POWER(Upgrades!$Q$18,J60)*POWER(Upgrades!$Q$19,K60)*POWER(Upgrades!$Q$20,L60)*POWER(Upgrades!$Q$21,M60)*$G$6+$D$6</f>
        <v/>
      </c>
      <c r="P60" s="28">
        <f>((IF(E60=0,0,(Upgrades!$G$13+E60*Upgrades!$H$13)*POWER(Upgrades!$I$13,E60)))*(IF(Upgrades!$T$14="Stellar Kinematics",POWER(Upgrades!$U$14,F60),1)*IF(Upgrades!$T$15="Stellar Kinematics",POWER(Upgrades!$U$15,G60),1)*IF(Upgrades!$T$16="Stellar Kinematics",POWER(Upgrades!$U$16,H60),1)*IF(Upgrades!$T$17="Stellar Kinematics",POWER(Upgrades!$U$17,I60),1)*IF(Upgrades!$T$18="Stellar Kinematics",POWER(Upgrades!$U$18,J60),1)*IF(Upgrades!$T$19="Stellar Kinematics",POWER(Upgrades!$U$19,K60),1)*IF(Upgrades!$T$20="Stellar Kinematics",POWER(Upgrades!$U$20,L60),1)*IF(Upgrades!$T$21="Stellar Kinematics",POWER(Upgrades!$U$21,M60),1))+(IF(F60=0,0,(Upgrades!$G$14+F60*Upgrades!$H$14)*POWER(Upgrades!$I$14,F60)))*(IF(Upgrades!$T$13="Local Bubble",POWER(Upgrades!$U$13,E60),1)*IF(Upgrades!$T$15="Local Bubble",POWER(Upgrades!$U$15,G60),1)*IF(Upgrades!$T$16="Local Bubble",POWER(Upgrades!$U$16,H60),1)*IF(Upgrades!$T$17="Local Bubble",POWER(Upgrades!$U$17,I60),1)*IF(Upgrades!$T$18="Local Bubble",POWER(Upgrades!$U$18,J60),1)*IF(Upgrades!$T$19="Local Bubble",POWER(Upgrades!$U$19,K60),1)*IF(Upgrades!$T$20="Local Bubble",POWER(Upgrades!$U$20,L60),1)*IF(Upgrades!$T$21="Local Bubble",POWER(Upgrades!$U$21,M60),1))+(IF(G60=0,0,(Upgrades!$G$15+G60*Upgrades!$H$15)*POWER(Upgrades!$I$15,G60)))*(IF(Upgrades!$T$13="Microlensing",POWER(Upgrades!$U$13,E60),1)*IF(Upgrades!$T$14="Microlensing",POWER(Upgrades!$U$14,F60),1)*IF(Upgrades!$T$16="Microlensing",POWER(Upgrades!$U$16,H60),1)*IF(Upgrades!$T$17="Microlensing",POWER(Upgrades!$U$17,I60),1)*IF(Upgrades!$T$18="Microlensing",POWER(Upgrades!$U$18,J60),1)*IF(Upgrades!$T$19="Microlensing",POWER(Upgrades!$U$19,K60),1)*IF(Upgrades!$T$20="Microlensing",POWER(Upgrades!$U$20,L60),1)*IF(Upgrades!$T$21="Microlensing",POWER(Upgrades!$U$21,M60),1))+(IF(H60=0,0,(Upgrades!$G$16+H60*Upgrades!$H$16)*POWER(Upgrades!$I$16,H60)))*(IF(Upgrades!$T$13="Roche Lobe Overflow",POWER(Upgrades!$U$13,E60),1)*IF(Upgrades!$T$14="Roche Lobe Overflow",POWER(Upgrades!$U$14,F60),1)*IF(Upgrades!$T$15="Roche Lobe Overflow",POWER(Upgrades!$U$15,G60),1)*IF(Upgrades!$T$17="Roche Lobe Overflow",POWER(Upgrades!$U$17,I60),1)*IF(Upgrades!$T$18="Roche Lobe Overflow",POWER(Upgrades!$U$18,J60),1)*IF(Upgrades!$T$19="Roche Lobe Overflow",POWER(Upgrades!$U$19,K60),1)*IF(Upgrades!$T$20="Roche Lobe Overflow",POWER(Upgrades!$U$20,L60),1)*IF(Upgrades!$T$21="Roche Lobe Overflow",POWER(Upgrades!$U$21,M60),1))+(IF(I60=0,0,(Upgrades!$G$17+I60*Upgrades!$H$17)*POWER(Upgrades!$I$17,I60)))*(IF(Upgrades!$T$13="Brown Dwarf",POWER(Upgrades!$U$13,E60),1)*IF(Upgrades!$T$14="Brown Dwarf",POWER(Upgrades!$U$14,F60),1)*IF(Upgrades!$T$15="Brown Dwarf",POWER(Upgrades!$U$15,G60),1)*IF(Upgrades!$T$16="Brown Dwarf",POWER(Upgrades!$U$16,H60),1)*IF(Upgrades!$T$18="Brown Dwarf",POWER(Upgrades!$U$18,J60),1)*IF(Upgrades!$T$19="Brown Dwarf",POWER(Upgrades!$U$19,K60),1)*IF(Upgrades!$T$20="Brown Dwarf",POWER(Upgrades!$U$20,L60),1)*IF(Upgrades!$T$21="Brown Dwarf",POWER(Upgrades!$U$21,M60),1))+(IF(J60=0,0,(Upgrades!$G$18+J60*Upgrades!$H$18)*POWER(Upgrades!$I$18,J60)))*(IF(Upgrades!$T$13="Binary Partner",POWER(Upgrades!$U$13,E60),1)*IF(Upgrades!$T$14="Binary Partner",POWER(Upgrades!$U$14,F60),1)*IF(Upgrades!$T$15="Binary Partner",POWER(Upgrades!$U$15,G60),1)*IF(Upgrades!$T$16="Binary Partner",POWER(Upgrades!$U$16,H60),1)*IF(Upgrades!$T$17="Binary Partner",POWER(Upgrades!$U$17,I60),1)*IF(Upgrades!$T$19="Binary Partner",POWER(Upgrades!$U$19,K60),1)*IF(Upgrades!$T$20="Binary Partner",POWER(Upgrades!$U$20,L60),1)*IF(Upgrades!$T$21="Binary Partner",POWER(Upgrades!$U$21,M60),1))+(IF(K60=0,0,(Upgrades!$G$19+K60*Upgrades!$H$19)*POWER(Upgrades!$I$19,K60)))*(IF(Upgrades!$T$13="Peculiar Velocity",POWER(Upgrades!$U$13,E60),1)*IF(Upgrades!$T$14="Peculiar Velocity",POWER(Upgrades!$U$14,F60),1)*IF(Upgrades!$T$15="Peculiar Velocity",POWER(Upgrades!$U$15,G60),1)*IF(Upgrades!$T$16="Peculiar Velocity",POWER(Upgrades!$U$16,H60),1)*IF(Upgrades!$T$17="Peculiar Velocity",POWER(Upgrades!$U$17,I60),1)*IF(Upgrades!$T$18="Peculiar Velocity",POWER(Upgrades!$U$18,J60),1)*IF(Upgrades!$T$20="Peculiar Velocity",POWER(Upgrades!$U$20,L60),1)*IF(Upgrades!$T$21="Peculiar Velocity",POWER(Upgrades!$U$21,M60),1))+(IF(L60=0,0,(Upgrades!$G$20+L60*Upgrades!$H$20)*POWER(Upgrades!$I$20,L60)))*(IF(Upgrades!$T$13="Open Cluster",POWER(Upgrades!$U$13,E60),1)*IF(Upgrades!$T$14="Open Cluster",POWER(Upgrades!$U$14,F60),1)*IF(Upgrades!$T$15="Open Cluster",POWER(Upgrades!$U$15,G60),1)*IF(Upgrades!$T$16="Open Cluster",POWER(Upgrades!$U$16,H60),1)*IF(Upgrades!$T$17="Open Cluster",POWER(Upgrades!$U$17,I60),1)*IF(Upgrades!$T$18="Open Cluster",POWER(Upgrades!$U$18,J60),1)*IF(Upgrades!$T$19="Open Cluster",POWER(Upgrades!$U$19,K60),1)*IF(Upgrades!$T$21="Open Cluster",POWER(Upgrades!$U$21,M60),1))+(IF(M60=0,0,(Upgrades!$G$21+M60*Upgrades!$H$21)*POWER(Upgrades!$I$21,M60)))*(IF(Upgrades!$T$13="Moving Group",POWER(Upgrades!$U$13,E60),1)*IF(Upgrades!$T$14="Moving Group",POWER(Upgrades!$U$14,F60),1)*IF(Upgrades!$T$15="Moving Group",POWER(Upgrades!$U$15,G60),1)*IF(Upgrades!$T$16="Moving Group",POWER(Upgrades!$U$16,H60),1)*IF(Upgrades!$T$17="Moving Group",POWER(Upgrades!$U$17,I60),1)*IF(Upgrades!$T$18="Moving Group",POWER(Upgrades!$U$18,J60),1)*IF(Upgrades!$T$19="Moving Group",POWER(Upgrades!$U$19,K60),1)*IF(Upgrades!$T$20="Moving Group",POWER(Upgrades!$U$20,L60),1)))*POWER(Upgrades!$P$13,E60)*POWER(Upgrades!$P$14,F60)*POWER(Upgrades!$P$15,G60)*POWER(Upgrades!$P$16,H60)*POWER(Upgrades!$P$17,I60)*POWER(Upgrades!$P$18,J60)*POWER(Upgrades!$P$19,K60)*POWER(Upgrades!$P$20,L60)*POWER(Upgrades!$P$21,M60)*$F$6+$C$6</f>
        <v/>
      </c>
      <c r="Q60" s="28">
        <f>((IF(E60=0,0,(Upgrades!$M$13+E60*Upgrades!$N$13)*POWER(Upgrades!$O$13,E60)))*(IF(Upgrades!$T$14="Stellar Kinematics",POWER(Upgrades!$U$14,F60),1)*IF(Upgrades!$T$15="Stellar Kinematics",POWER(Upgrades!$U$15,G60),1)*IF(Upgrades!$T$16="Stellar Kinematics",POWER(Upgrades!$U$16,H60),1)*IF(Upgrades!$T$17="Stellar Kinematics",POWER(Upgrades!$U$17,I60),1)*IF(Upgrades!$T$18="Stellar Kinematics",POWER(Upgrades!$U$18,J60),1)*IF(Upgrades!$T$19="Stellar Kinematics",POWER(Upgrades!$U$19,K60),1)*IF(Upgrades!$T$20="Stellar Kinematics",POWER(Upgrades!$U$20,L60),1)*IF(Upgrades!$T$21="Stellar Kinematics",POWER(Upgrades!$U$21,M60),1))+(IF(F60=0,0,(Upgrades!$M$14+F60*Upgrades!$N$14)*POWER(Upgrades!$O$14,F60)))*(IF(Upgrades!$T$13="Local Bubble",POWER(Upgrades!$U$13,E60),1)*IF(Upgrades!$T$15="Local Bubble",POWER(Upgrades!$U$15,G60),1)*IF(Upgrades!$T$16="Local Bubble",POWER(Upgrades!$U$16,H60),1)*IF(Upgrades!$T$17="Local Bubble",POWER(Upgrades!$U$17,I60),1)*IF(Upgrades!$T$18="Local Bubble",POWER(Upgrades!$U$18,J60),1)*IF(Upgrades!$T$19="Local Bubble",POWER(Upgrades!$U$19,K60),1)*IF(Upgrades!$T$20="Local Bubble",POWER(Upgrades!$U$20,L60),1)*IF(Upgrades!$T$21="Local Bubble",POWER(Upgrades!$U$21,M60),1))+(IF(G60=0,0,(Upgrades!$M$15+G60*Upgrades!$N$15)*POWER(Upgrades!$O$15,G60)))*(IF(Upgrades!$T$13="Microlensing",POWER(Upgrades!$U$13,E60),1)*IF(Upgrades!$T$14="Microlensing",POWER(Upgrades!$U$14,F60),1)*IF(Upgrades!$T$16="Microlensing",POWER(Upgrades!$U$16,H60),1)*IF(Upgrades!$T$17="Microlensing",POWER(Upgrades!$U$17,I60),1)*IF(Upgrades!$T$18="Microlensing",POWER(Upgrades!$U$18,J60),1)*IF(Upgrades!$T$19="Microlensing",POWER(Upgrades!$U$19,K60),1)*IF(Upgrades!$T$20="Microlensing",POWER(Upgrades!$U$20,L60),1)*IF(Upgrades!$T$21="Microlensing",POWER(Upgrades!$U$21,M60),1))+(IF(H60=0,0,(Upgrades!$M$16+H60*Upgrades!$N$16)*POWER(Upgrades!$O$16,H60)))*(IF(Upgrades!$T$13="Roche Lobe Overflow",POWER(Upgrades!$U$13,E60),1)*IF(Upgrades!$T$14="Roche Lobe Overflow",POWER(Upgrades!$U$14,F60),1)*IF(Upgrades!$T$15="Roche Lobe Overflow",POWER(Upgrades!$U$15,G60),1)*IF(Upgrades!$T$17="Roche Lobe Overflow",POWER(Upgrades!$U$17,I60),1)*IF(Upgrades!$T$18="Roche Lobe Overflow",POWER(Upgrades!$U$18,J60),1)*IF(Upgrades!$T$19="Roche Lobe Overflow",POWER(Upgrades!$U$19,K60),1)*IF(Upgrades!$T$20="Roche Lobe Overflow",POWER(Upgrades!$U$20,L60),1)*IF(Upgrades!$T$21="Roche Lobe Overflow",POWER(Upgrades!$U$21,M60),1))+(IF(I60=0,0,(Upgrades!$M$17+I60*Upgrades!$N$17)*POWER(Upgrades!$O$17,I60)))*(IF(Upgrades!$T$13="Brown Dwarf",POWER(Upgrades!$U$13,E60),1)*IF(Upgrades!$T$14="Brown Dwarf",POWER(Upgrades!$U$14,F60),1)*IF(Upgrades!$T$15="Brown Dwarf",POWER(Upgrades!$U$15,G60),1)*IF(Upgrades!$T$16="Brown Dwarf",POWER(Upgrades!$U$16,H60),1)*IF(Upgrades!$T$18="Brown Dwarf",POWER(Upgrades!$U$18,J60),1)*IF(Upgrades!$T$19="Brown Dwarf",POWER(Upgrades!$U$19,K60),1)*IF(Upgrades!$T$20="Brown Dwarf",POWER(Upgrades!$U$20,L60),1)*IF(Upgrades!$T$21="Brown Dwarf",POWER(Upgrades!$U$21,M60),1))+(IF(J60=0,0,(Upgrades!$M$18+J60*Upgrades!$N$18)*POWER(Upgrades!$O$18,J60)))*(IF(Upgrades!$T$13="Binary Partner",POWER(Upgrades!$U$13,E60),1)*IF(Upgrades!$T$14="Binary Partner",POWER(Upgrades!$U$14,F60),1)*IF(Upgrades!$T$15="Binary Partner",POWER(Upgrades!$U$15,G60),1)*IF(Upgrades!$T$16="Binary Partner",POWER(Upgrades!$U$16,H60),1)*IF(Upgrades!$T$17="Binary Partner",POWER(Upgrades!$U$17,I60),1)*IF(Upgrades!$T$19="Binary Partner",POWER(Upgrades!$U$19,K60),1)*IF(Upgrades!$T$20="Binary Partner",POWER(Upgrades!$U$20,L60),1)*IF(Upgrades!$T$21="Binary Partner",POWER(Upgrades!$U$21,M60),1))+(IF(K60=0,0,(Upgrades!$M$19+K60*Upgrades!$N$19)*POWER(Upgrades!$O$19,K60)))*(IF(Upgrades!$T$13="Peculiar Velocity",POWER(Upgrades!$U$13,E60),1)*IF(Upgrades!$T$14="Peculiar Velocity",POWER(Upgrades!$U$14,F60),1)*IF(Upgrades!$T$15="Peculiar Velocity",POWER(Upgrades!$U$15,G60),1)*IF(Upgrades!$T$16="Peculiar Velocity",POWER(Upgrades!$U$16,H60),1)*IF(Upgrades!$T$17="Peculiar Velocity",POWER(Upgrades!$U$17,I60),1)*IF(Upgrades!$T$18="Peculiar Velocity",POWER(Upgrades!$U$18,J60),1)*IF(Upgrades!$T$20="Peculiar Velocity",POWER(Upgrades!$U$20,L60),1)*IF(Upgrades!$T$21="Peculiar Velocity",POWER(Upgrades!$U$21,M60),1))+(IF(L60=0,0,(Upgrades!$M$20+L60*Upgrades!$N$20)*POWER(Upgrades!$O$20,L60)))*(IF(Upgrades!$T$13="Open Cluster",POWER(Upgrades!$U$13,E60),1)*IF(Upgrades!$T$14="Open Cluster",POWER(Upgrades!$U$14,F60),1)*IF(Upgrades!$T$15="Open Cluster",POWER(Upgrades!$U$15,G60),1)*IF(Upgrades!$T$16="Open Cluster",POWER(Upgrades!$U$16,H60),1)*IF(Upgrades!$T$17="Open Cluster",POWER(Upgrades!$U$17,I60),1)*IF(Upgrades!$T$18="Open Cluster",POWER(Upgrades!$U$18,J60),1)*IF(Upgrades!$T$19="Open Cluster",POWER(Upgrades!$U$19,K60),1)*IF(Upgrades!$T$21="Open Cluster",POWER(Upgrades!$U$21,M60),1))+(IF(M60=0,0,(Upgrades!$M$21+M60*Upgrades!$N$21)*POWER(Upgrades!$O$21,M60)))*(IF(Upgrades!$T$13="Moving Group",POWER(Upgrades!$U$13,E60),1)*IF(Upgrades!$T$14="Moving Group",POWER(Upgrades!$U$14,F60),1)*IF(Upgrades!$T$15="Moving Group",POWER(Upgrades!$U$15,G60),1)*IF(Upgrades!$T$16="Moving Group",POWER(Upgrades!$U$16,H60),1)*IF(Upgrades!$T$17="Moving Group",POWER(Upgrades!$U$17,I60),1)*IF(Upgrades!$T$18="Moving Group",POWER(Upgrades!$U$18,J60),1)*IF(Upgrades!$T$19="Moving Group",POWER(Upgrades!$U$19,K60),1)*IF(Upgrades!$T$20="Moving Group",POWER(Upgrades!$U$20,L60),1)))*POWER(Upgrades!$R$13,E60)*POWER(Upgrades!$R$14,F60)*POWER(Upgrades!$R$15,G60)*POWER(Upgrades!$R$16,H60)*POWER(Upgrades!$R$17,I60)*POWER(Upgrades!$R$18,J60)*POWER(Upgrades!$R$19,K60)*POWER(Upgrades!$R$20,L60)*POWER(Upgrades!$R$21,M60)*$H$6+$E$6</f>
        <v/>
      </c>
      <c r="R60" s="27">
        <f>IF(N60=1,0,O60*Parameters!$B$10/60*Parameters!$B$11*10)</f>
        <v/>
      </c>
      <c r="S60" s="27">
        <f>IF(N60=1,0,Q60*O60*10)</f>
        <v/>
      </c>
      <c r="T60" s="27">
        <f>IF(N60=1,0,R60+S60+P60*10)</f>
        <v/>
      </c>
      <c r="U60" s="33">
        <f>BE60</f>
        <v/>
      </c>
      <c r="V60" s="22">
        <f>IF(U60="",0,IF(U60="transition",0,IF(U60="SK",AK60,IF(U60="LB",AL60,IF(U60="ML",AM60,IF(U60="RLO",AN60,IF(U60="BD",AO60,IF(U60="BiP",AP60,IF(U60="PV",AQ60,IF(U60="OC",AR60,IF(U60="MG",AS60,0))))))))))</f>
        <v/>
      </c>
      <c r="W60" s="27">
        <f>IF(U60="BiP",Upgrades!$F$18,IF(U60="PV",Upgrades!$F$19,IF(U60="OC",Upgrades!$F$20,IF(U60="MG",Upgrades!$F$21,IF(U60="transition",-Parameters!$B$18*Parameters!$B$19,0)))))</f>
        <v/>
      </c>
      <c r="X60" s="22">
        <f>C60+T60-V60</f>
        <v/>
      </c>
      <c r="Y60" s="30">
        <f>O60*Parameters!$B$10/60*Parameters!$B$11+Q60*O60+P60</f>
        <v/>
      </c>
      <c r="Z60" s="34">
        <f>IF(U60="transition","→ Tier 3 (Galactic Arm)",IF(U60="MG","Moving Group — pocket drifts together",IF(U60="OC","Open Cluster acquired",IF(U60="PV","Peculiar Velocity — passive multiplier active",IF(U60="BiP","Binary Partner — pair bond formed",IF(AND(AU60=1,N60=0,AT60&lt;&gt;1),"Cohesion ready (waiting on completionists)","")))))) </f>
        <v/>
      </c>
      <c r="AA60" s="27">
        <f>(IF(E60=0,0,(Upgrades!$G$13+E60*Upgrades!$H$13)*POWER(Upgrades!$I$13,E60)))*(IF(Upgrades!$T$14="Stellar Kinematics",POWER(Upgrades!$U$14,F60),1)*IF(Upgrades!$T$15="Stellar Kinematics",POWER(Upgrades!$U$15,G60),1)*IF(Upgrades!$T$16="Stellar Kinematics",POWER(Upgrades!$U$16,H60),1)*IF(Upgrades!$T$17="Stellar Kinematics",POWER(Upgrades!$U$17,I60),1)*IF(Upgrades!$T$18="Stellar Kinematics",POWER(Upgrades!$U$18,J60),1)*IF(Upgrades!$T$19="Stellar Kinematics",POWER(Upgrades!$U$19,K60),1)*IF(Upgrades!$T$20="Stellar Kinematics",POWER(Upgrades!$U$20,L60),1)*IF(Upgrades!$T$21="Stellar Kinematics",POWER(Upgrades!$U$21,M60),1))*POWER(Upgrades!$P$13,E60)*POWER(Upgrades!$P$14,F60)*POWER(Upgrades!$P$15,G60)*POWER(Upgrades!$P$16,H60)*POWER(Upgrades!$P$17,I60)*POWER(Upgrades!$P$18,J60)*POWER(Upgrades!$P$19,K60)*POWER(Upgrades!$P$20,L60)*POWER(Upgrades!$P$21,M60)*$F$6*60</f>
        <v/>
      </c>
      <c r="AB60" s="27">
        <f>(IF(F60=0,0,(Upgrades!$G$14+F60*Upgrades!$H$14)*POWER(Upgrades!$I$14,F60)))*(IF(Upgrades!$T$13="Local Bubble",POWER(Upgrades!$U$13,E60),1)*IF(Upgrades!$T$15="Local Bubble",POWER(Upgrades!$U$15,G60),1)*IF(Upgrades!$T$16="Local Bubble",POWER(Upgrades!$U$16,H60),1)*IF(Upgrades!$T$17="Local Bubble",POWER(Upgrades!$U$17,I60),1)*IF(Upgrades!$T$18="Local Bubble",POWER(Upgrades!$U$18,J60),1)*IF(Upgrades!$T$19="Local Bubble",POWER(Upgrades!$U$19,K60),1)*IF(Upgrades!$T$20="Local Bubble",POWER(Upgrades!$U$20,L60),1)*IF(Upgrades!$T$21="Local Bubble",POWER(Upgrades!$U$21,M60),1))*POWER(Upgrades!$P$13,E60)*POWER(Upgrades!$P$14,F60)*POWER(Upgrades!$P$15,G60)*POWER(Upgrades!$P$16,H60)*POWER(Upgrades!$P$17,I60)*POWER(Upgrades!$P$18,J60)*POWER(Upgrades!$P$19,K60)*POWER(Upgrades!$P$20,L60)*POWER(Upgrades!$P$21,M60)*$F$6*60</f>
        <v/>
      </c>
      <c r="AC60" s="27">
        <f>(IF(G60=0,0,(Upgrades!$J$15+G60*Upgrades!$K$15)*POWER(Upgrades!$L$15,G60)))*(IF(Upgrades!$T$13="Microlensing",POWER(Upgrades!$U$13,E60),1)*IF(Upgrades!$T$14="Microlensing",POWER(Upgrades!$U$14,F60),1)*IF(Upgrades!$T$16="Microlensing",POWER(Upgrades!$U$16,H60),1)*IF(Upgrades!$T$17="Microlensing",POWER(Upgrades!$U$17,I60),1)*IF(Upgrades!$T$18="Microlensing",POWER(Upgrades!$U$18,J60),1)*IF(Upgrades!$T$19="Microlensing",POWER(Upgrades!$U$19,K60),1)*IF(Upgrades!$T$20="Microlensing",POWER(Upgrades!$U$20,L60),1)*IF(Upgrades!$T$21="Microlensing",POWER(Upgrades!$U$21,M60),1))*POWER(Upgrades!$Q$13,E60)*POWER(Upgrades!$Q$14,F60)*POWER(Upgrades!$Q$15,G60)*POWER(Upgrades!$Q$16,H60)*POWER(Upgrades!$Q$17,I60)*POWER(Upgrades!$Q$18,J60)*POWER(Upgrades!$Q$19,K60)*POWER(Upgrades!$Q$20,L60)*POWER(Upgrades!$Q$21,M60)*$G$6*(Parameters!$B$10*Parameters!$B$11+Q60*60)</f>
        <v/>
      </c>
      <c r="AD60" s="27">
        <f>(IF(H60=0,0,(Upgrades!$M$16+H60*Upgrades!$N$16)*POWER(Upgrades!$O$16,H60)))*(IF(Upgrades!$T$13="Roche Lobe Overflow",POWER(Upgrades!$U$13,E60),1)*IF(Upgrades!$T$14="Roche Lobe Overflow",POWER(Upgrades!$U$14,F60),1)*IF(Upgrades!$T$15="Roche Lobe Overflow",POWER(Upgrades!$U$15,G60),1)*IF(Upgrades!$T$17="Roche Lobe Overflow",POWER(Upgrades!$U$17,I60),1)*IF(Upgrades!$T$18="Roche Lobe Overflow",POWER(Upgrades!$U$18,J60),1)*IF(Upgrades!$T$19="Roche Lobe Overflow",POWER(Upgrades!$U$19,K60),1)*IF(Upgrades!$T$20="Roche Lobe Overflow",POWER(Upgrades!$U$20,L60),1)*IF(Upgrades!$T$21="Roche Lobe Overflow",POWER(Upgrades!$U$21,M60),1))*POWER(Upgrades!$R$13,E60)*POWER(Upgrades!$R$14,F60)*POWER(Upgrades!$R$15,G60)*POWER(Upgrades!$R$16,H60)*POWER(Upgrades!$R$17,I60)*POWER(Upgrades!$R$18,J60)*POWER(Upgrades!$R$19,K60)*POWER(Upgrades!$R$20,L60)*POWER(Upgrades!$R$21,M60)*$H$6*O60*60</f>
        <v/>
      </c>
      <c r="AE60" s="27">
        <f>(IF(I60=0,0,(Upgrades!$G$17+I60*Upgrades!$H$17)*POWER(Upgrades!$I$17,I60)))*(IF(Upgrades!$T$13="Brown Dwarf",POWER(Upgrades!$U$13,E60),1)*IF(Upgrades!$T$14="Brown Dwarf",POWER(Upgrades!$U$14,F60),1)*IF(Upgrades!$T$15="Brown Dwarf",POWER(Upgrades!$U$15,G60),1)*IF(Upgrades!$T$16="Brown Dwarf",POWER(Upgrades!$U$16,H60),1)*IF(Upgrades!$T$18="Brown Dwarf",POWER(Upgrades!$U$18,J60),1)*IF(Upgrades!$T$19="Brown Dwarf",POWER(Upgrades!$U$19,K60),1)*IF(Upgrades!$T$20="Brown Dwarf",POWER(Upgrades!$U$20,L60),1)*IF(Upgrades!$T$21="Brown Dwarf",POWER(Upgrades!$U$21,M60),1))*POWER(Upgrades!$P$13,E60)*POWER(Upgrades!$P$14,F60)*POWER(Upgrades!$P$15,G60)*POWER(Upgrades!$P$16,H60)*POWER(Upgrades!$P$17,I60)*POWER(Upgrades!$P$18,J60)*POWER(Upgrades!$P$19,K60)*POWER(Upgrades!$P$20,L60)*POWER(Upgrades!$P$21,M60)*$F$6*60</f>
        <v/>
      </c>
      <c r="AF60" s="27" t="n">
        <v>0</v>
      </c>
      <c r="AG60" s="27" t="n">
        <v>0</v>
      </c>
      <c r="AH60" s="27" t="n">
        <v>0</v>
      </c>
      <c r="AI60" s="27">
        <f>(IF(M60=0,0,(Upgrades!$G$21+M60*Upgrades!$H$21)*POWER(Upgrades!$I$21,M60)))*(IF(Upgrades!$T$13="Moving Group",POWER(Upgrades!$U$13,E60),1)*IF(Upgrades!$T$14="Moving Group",POWER(Upgrades!$U$14,F60),1)*IF(Upgrades!$T$15="Moving Group",POWER(Upgrades!$U$15,G60),1)*IF(Upgrades!$T$16="Moving Group",POWER(Upgrades!$U$16,H60),1)*IF(Upgrades!$T$17="Moving Group",POWER(Upgrades!$U$17,I60),1)*IF(Upgrades!$T$18="Moving Group",POWER(Upgrades!$U$18,J60),1)*IF(Upgrades!$T$19="Moving Group",POWER(Upgrades!$U$19,K60),1)*IF(Upgrades!$T$20="Moving Group",POWER(Upgrades!$U$20,L60),1))*POWER(Upgrades!$P$13,E60)*POWER(Upgrades!$P$14,F60)*POWER(Upgrades!$P$15,G60)*POWER(Upgrades!$P$16,H60)*POWER(Upgrades!$P$17,I60)*POWER(Upgrades!$P$18,J60)*POWER(Upgrades!$P$19,K60)*POWER(Upgrades!$P$20,L60)*POWER(Upgrades!$P$21,M60)*$F$6*60</f>
        <v/>
      </c>
      <c r="AJ60" s="27">
        <f>$C$6*60</f>
        <v/>
      </c>
      <c r="AK60" s="22">
        <f>IF(E60&gt;=Upgrades!$E$13,"",Upgrades!$C$13*POWER(Upgrades!$D$13,E60))</f>
        <v/>
      </c>
      <c r="AL60" s="22">
        <f>IF(F60&gt;=Upgrades!$E$14,"",Upgrades!$C$14*POWER(Upgrades!$D$14,F60))</f>
        <v/>
      </c>
      <c r="AM60" s="22">
        <f>IF(G60&gt;=Upgrades!$E$15,"",Upgrades!$C$15*POWER(Upgrades!$D$15,G60))</f>
        <v/>
      </c>
      <c r="AN60" s="22">
        <f>IF(H60&gt;=Upgrades!$E$16,"",Upgrades!$C$16*POWER(Upgrades!$D$16,H60))</f>
        <v/>
      </c>
      <c r="AO60" s="22">
        <f>IF(I60&gt;=Upgrades!$E$17,"",Upgrades!$C$17*POWER(Upgrades!$D$17,I60))</f>
        <v/>
      </c>
      <c r="AP60" s="22">
        <f>IF(J60&gt;=Upgrades!$E$18,"",Upgrades!$C$18*POWER(Upgrades!$D$18,J60))</f>
        <v/>
      </c>
      <c r="AQ60" s="22">
        <f>IF(K60&gt;=Upgrades!$E$19,"",Upgrades!$C$19*POWER(Upgrades!$D$19,K60))</f>
        <v/>
      </c>
      <c r="AR60" s="22">
        <f>IF(L60&gt;=Upgrades!$E$20,"",Upgrades!$C$20*POWER(Upgrades!$D$20,L60))</f>
        <v/>
      </c>
      <c r="AS60" s="22">
        <f>IF(M60&gt;=Upgrades!$E$21,"",Upgrades!$C$21*POWER(Upgrades!$D$21,M60))</f>
        <v/>
      </c>
      <c r="AT60" s="26">
        <f>IF(AND(D60&gt;=Parameters!$B$18*Parameters!$B$19,(I60&gt;=Upgrades!$E$17)*(M60&gt;=Upgrades!$E$21)=1,N60=0),1,"")</f>
        <v/>
      </c>
      <c r="AU60" s="26">
        <f>IF(AND(D60&gt;=Parameters!$B$18*Parameters!$B$19,N60=0),1,"")</f>
        <v/>
      </c>
      <c r="AV60" s="22">
        <f>MIN(IF(ISNUMBER(AP60),AP60,9E15),IF(ISNUMBER(AQ60),AQ60,9E15),IF(ISNUMBER(AR60),AR60,9E15),IF(ISNUMBER(AS60),AS60,9E15))</f>
        <v/>
      </c>
      <c r="AW60" s="22">
        <f>MIN(IF(ISNUMBER(AK60),AK60,9E15),IF(ISNUMBER(AL60),AL60,9E15),IF(ISNUMBER(AM60),AM60,9E15),IF(ISNUMBER(AN60),AN60,9E15),IF(ISNUMBER(AO60),AO60,9E15))</f>
        <v/>
      </c>
      <c r="AX60" s="29">
        <f>IF(BD60&gt;Parameters!$B$21*(MAX(IF(AND(NOT(AND(AU60=1,AT60&lt;&gt;1)),ISNUMBER(AK60),AK60&lt;=(C60+T60)),AY60,0),IF(AND(NOT(AND(AU60=1,AT60&lt;&gt;1)),ISNUMBER(AL60),AL60&lt;=(C60+T60)),AZ60,0),IF(AND(NOT(AND(AU60=1,AT60&lt;&gt;1)),ISNUMBER(AM60),AM60&lt;=(C60+T60)),BA60,0),IF(AND(NOT(AND(AU60=1,AT60&lt;&gt;1)),ISNUMBER(AN60),AN60&lt;=(C60+T60)),BB60,0),IF(AND(ISNUMBER(AO60),AO60&lt;=(C60+T60)),BC60,0))),TRUE,FALSE)</f>
        <v/>
      </c>
      <c r="AY60" s="32">
        <f>IFERROR(Upgrades!$H$13*(POWER(Upgrades!$P$13,E60)*POWER(Upgrades!$P$14,F60)*POWER(Upgrades!$P$15,G60)*POWER(Upgrades!$P$16,H60)*POWER(Upgrades!$P$17,I60)*POWER(Upgrades!$P$18,J60)*POWER(Upgrades!$P$19,K60)*POWER(Upgrades!$P$20,L60)*POWER(Upgrades!$P$21,M60))*(IF(Upgrades!$T$14="Stellar Kinematics",POWER(Upgrades!$U$14,F60),1)*IF(Upgrades!$T$15="Stellar Kinematics",POWER(Upgrades!$U$15,G60),1)*IF(Upgrades!$T$16="Stellar Kinematics",POWER(Upgrades!$U$16,H60),1)*IF(Upgrades!$T$17="Stellar Kinematics",POWER(Upgrades!$U$17,I60),1)*IF(Upgrades!$T$18="Stellar Kinematics",POWER(Upgrades!$U$18,J60),1)*IF(Upgrades!$T$19="Stellar Kinematics",POWER(Upgrades!$U$19,K60),1)*IF(Upgrades!$T$20="Stellar Kinematics",POWER(Upgrades!$U$20,L60),1)*IF(Upgrades!$T$21="Stellar Kinematics",POWER(Upgrades!$U$21,M60),1))*$F$6/AK60,0)</f>
        <v/>
      </c>
      <c r="AZ60" s="32">
        <f>IFERROR(Upgrades!$H$14*(POWER(Upgrades!$P$13,E60)*POWER(Upgrades!$P$14,F60)*POWER(Upgrades!$P$15,G60)*POWER(Upgrades!$P$16,H60)*POWER(Upgrades!$P$17,I60)*POWER(Upgrades!$P$18,J60)*POWER(Upgrades!$P$19,K60)*POWER(Upgrades!$P$20,L60)*POWER(Upgrades!$P$21,M60))*(IF(Upgrades!$T$13="Local Bubble",POWER(Upgrades!$U$13,E60),1)*IF(Upgrades!$T$15="Local Bubble",POWER(Upgrades!$U$15,G60),1)*IF(Upgrades!$T$16="Local Bubble",POWER(Upgrades!$U$16,H60),1)*IF(Upgrades!$T$17="Local Bubble",POWER(Upgrades!$U$17,I60),1)*IF(Upgrades!$T$18="Local Bubble",POWER(Upgrades!$U$18,J60),1)*IF(Upgrades!$T$19="Local Bubble",POWER(Upgrades!$U$19,K60),1)*IF(Upgrades!$T$20="Local Bubble",POWER(Upgrades!$U$20,L60),1)*IF(Upgrades!$T$21="Local Bubble",POWER(Upgrades!$U$21,M60),1))*$F$6/AL60,0)</f>
        <v/>
      </c>
      <c r="BA60" s="32">
        <f>IFERROR(Upgrades!$K$15*(POWER(Upgrades!$Q$13,E60)*POWER(Upgrades!$Q$14,F60)*POWER(Upgrades!$Q$15,G60)*POWER(Upgrades!$Q$16,H60)*POWER(Upgrades!$Q$17,I60)*POWER(Upgrades!$Q$18,J60)*POWER(Upgrades!$Q$19,K60)*POWER(Upgrades!$Q$20,L60)*POWER(Upgrades!$Q$21,M60))*(IF(Upgrades!$T$13="Microlensing",POWER(Upgrades!$U$13,E60),1)*IF(Upgrades!$T$14="Microlensing",POWER(Upgrades!$U$14,F60),1)*IF(Upgrades!$T$16="Microlensing",POWER(Upgrades!$U$16,H60),1)*IF(Upgrades!$T$17="Microlensing",POWER(Upgrades!$U$17,I60),1)*IF(Upgrades!$T$18="Microlensing",POWER(Upgrades!$U$18,J60),1)*IF(Upgrades!$T$19="Microlensing",POWER(Upgrades!$U$19,K60),1)*IF(Upgrades!$T$20="Microlensing",POWER(Upgrades!$U$20,L60),1)*IF(Upgrades!$T$21="Microlensing",POWER(Upgrades!$U$21,M60),1))*$G$6*(Parameters!$B$10/60*Parameters!$B$11+Q60)/AM60,0)</f>
        <v/>
      </c>
      <c r="BB60" s="32">
        <f>IFERROR((Upgrades!$N$16*(POWER(Upgrades!$R$13,E60)*POWER(Upgrades!$R$14,F60)*POWER(Upgrades!$R$15,G60)*POWER(Upgrades!$R$16,H60)*POWER(Upgrades!$R$17,I60)*POWER(Upgrades!$R$18,J60)*POWER(Upgrades!$R$19,K60)*POWER(Upgrades!$R$20,L60)*POWER(Upgrades!$R$21,M60))*(IF(Upgrades!$T$13="Roche Lobe Overflow",POWER(Upgrades!$U$13,E60),1)*IF(Upgrades!$T$14="Roche Lobe Overflow",POWER(Upgrades!$U$14,F60),1)*IF(Upgrades!$T$15="Roche Lobe Overflow",POWER(Upgrades!$U$15,G60),1)*IF(Upgrades!$T$17="Roche Lobe Overflow",POWER(Upgrades!$U$17,I60),1)*IF(Upgrades!$T$18="Roche Lobe Overflow",POWER(Upgrades!$U$18,J60),1)*IF(Upgrades!$T$19="Roche Lobe Overflow",POWER(Upgrades!$U$19,K60),1)*IF(Upgrades!$T$20="Roche Lobe Overflow",POWER(Upgrades!$U$20,L60),1)*IF(Upgrades!$T$21="Roche Lobe Overflow",POWER(Upgrades!$U$21,M60),1))*$H$6*O60+((IF(F60=0,0,(Upgrades!$G$14+F60*Upgrades!$H$14)*POWER(Upgrades!$I$14,F60)))*(IF(Upgrades!$T$13="Local Bubble",POWER(Upgrades!$U$13,E60),1)*IF(Upgrades!$T$15="Local Bubble",POWER(Upgrades!$U$15,G60),1)*IF(Upgrades!$T$16="Local Bubble",POWER(Upgrades!$U$16,H60),1)*IF(Upgrades!$T$17="Local Bubble",POWER(Upgrades!$U$17,I60),1)*IF(Upgrades!$T$18="Local Bubble",POWER(Upgrades!$U$18,J60),1)*IF(Upgrades!$T$19="Local Bubble",POWER(Upgrades!$U$19,K60),1)*IF(Upgrades!$T$20="Local Bubble",POWER(Upgrades!$U$20,L60),1)*IF(Upgrades!$T$21="Local Bubble",POWER(Upgrades!$U$21,M60),1))*POWER(Upgrades!$P$13,E60)*POWER(Upgrades!$P$14,F60)*POWER(Upgrades!$P$15,G60)*POWER(Upgrades!$P$16,H60)*POWER(Upgrades!$P$17,I60)*POWER(Upgrades!$P$18,J60)*POWER(Upgrades!$P$19,K60)*POWER(Upgrades!$P$20,L60)*POWER(Upgrades!$P$21,M60)*$F$6)*0.05)/AN60,0)</f>
        <v/>
      </c>
      <c r="BC60" s="32">
        <f>IFERROR((Upgrades!$H$17*(POWER(Upgrades!$P$13,E60)*POWER(Upgrades!$P$14,F60)*POWER(Upgrades!$P$15,G60)*POWER(Upgrades!$P$16,H60)*POWER(Upgrades!$P$17,I60)*POWER(Upgrades!$P$18,J60)*POWER(Upgrades!$P$19,K60)*POWER(Upgrades!$P$20,L60)*POWER(Upgrades!$P$21,M60))*(IF(Upgrades!$T$13="Brown Dwarf",POWER(Upgrades!$U$13,E60),1)*IF(Upgrades!$T$14="Brown Dwarf",POWER(Upgrades!$U$14,F60),1)*IF(Upgrades!$T$15="Brown Dwarf",POWER(Upgrades!$U$15,G60),1)*IF(Upgrades!$T$16="Brown Dwarf",POWER(Upgrades!$U$16,H60),1)*IF(Upgrades!$T$18="Brown Dwarf",POWER(Upgrades!$U$18,J60),1)*IF(Upgrades!$T$19="Brown Dwarf",POWER(Upgrades!$U$19,K60),1)*IF(Upgrades!$T$20="Brown Dwarf",POWER(Upgrades!$U$20,L60),1)*IF(Upgrades!$T$21="Brown Dwarf",POWER(Upgrades!$U$21,M60),1))*$F$6+(((IF(H60=0,0,(Upgrades!$M$16+H60*Upgrades!$N$16)*POWER(Upgrades!$O$16,H60)))*(IF(Upgrades!$T$13="Roche Lobe Overflow",POWER(Upgrades!$U$13,E60),1)*IF(Upgrades!$T$14="Roche Lobe Overflow",POWER(Upgrades!$U$14,F60),1)*IF(Upgrades!$T$15="Roche Lobe Overflow",POWER(Upgrades!$U$15,G60),1)*IF(Upgrades!$T$17="Roche Lobe Overflow",POWER(Upgrades!$U$17,I60),1)*IF(Upgrades!$T$18="Roche Lobe Overflow",POWER(Upgrades!$U$18,J60),1)*IF(Upgrades!$T$19="Roche Lobe Overflow",POWER(Upgrades!$U$19,K60),1)*IF(Upgrades!$T$20="Roche Lobe Overflow",POWER(Upgrades!$U$20,L60),1)*IF(Upgrades!$T$21="Roche Lobe Overflow",POWER(Upgrades!$U$21,M60),1))*POWER(Upgrades!$R$13,E60)*POWER(Upgrades!$R$14,F60)*POWER(Upgrades!$R$15,G60)*POWER(Upgrades!$R$16,H60)*POWER(Upgrades!$R$17,I60)*POWER(Upgrades!$R$18,J60)*POWER(Upgrades!$R$19,K60)*POWER(Upgrades!$R$20,L60)*POWER(Upgrades!$R$21,M60)*$H$6)*O60)*0.10)/AO60,0)</f>
        <v/>
      </c>
      <c r="BD60" s="32">
        <f>MAX(IF(J60&gt;0,0,IFERROR(0.5*((IF(G60=0,0,(Upgrades!$J$15+G60*Upgrades!$K$15)*POWER(Upgrades!$L$15,G60)))*(IF(Upgrades!$T$13="Microlensing",POWER(Upgrades!$U$13,E60),1)*IF(Upgrades!$T$14="Microlensing",POWER(Upgrades!$U$14,F60),1)*IF(Upgrades!$T$16="Microlensing",POWER(Upgrades!$U$16,H60),1)*IF(Upgrades!$T$17="Microlensing",POWER(Upgrades!$U$17,I60),1)*IF(Upgrades!$T$18="Microlensing",POWER(Upgrades!$U$18,J60),1)*IF(Upgrades!$T$19="Microlensing",POWER(Upgrades!$U$19,K60),1)*IF(Upgrades!$T$20="Microlensing",POWER(Upgrades!$U$20,L60),1)*IF(Upgrades!$T$21="Microlensing",POWER(Upgrades!$U$21,M60),1))*(POWER(Upgrades!$Q$13,E60)*POWER(Upgrades!$Q$14,F60)*POWER(Upgrades!$Q$15,G60)*POWER(Upgrades!$Q$16,H60)*POWER(Upgrades!$Q$17,I60)*POWER(Upgrades!$Q$18,J60)*POWER(Upgrades!$Q$19,K60)*POWER(Upgrades!$Q$20,L60)*POWER(Upgrades!$Q$21,M60))*$G$6*(Parameters!$B$10/60*Parameters!$B$11+Q60))/Upgrades!$C$18,0)),IF(K60&gt;0,0,IFERROR(0.30*P60/Upgrades!$C$19,0)),IF(L60&gt;0,0,IFERROR(0.0001/Upgrades!$C$20,0)),IF(M60&gt;0,0,IFERROR((6.0*(POWER(Upgrades!$P$13,E60)*POWER(Upgrades!$P$14,F60)*POWER(Upgrades!$P$15,G60)*POWER(Upgrades!$P$16,H60)*POWER(Upgrades!$P$17,I60)*POWER(Upgrades!$P$18,J60)*POWER(Upgrades!$P$19,K60)*POWER(Upgrades!$P$20,L60)*POWER(Upgrades!$P$21,M60))*$F$6+0.20*O60*(Parameters!$B$10/60*Parameters!$B$11+Q60))/Upgrades!$C$21,0)),IF(AND(ISNUMBER(AK60),AK60&gt;(C60+T60)),AY60,0),IF(AND(ISNUMBER(AL60),AL60&gt;(C60+T60)),AZ60,0),IF(AND(ISNUMBER(AM60),AM60&gt;(C60+T60)),BA60,0),IF(AND(ISNUMBER(AN60),AN60&gt;(C60+T60)),BB60,0),IF(AND(ISNUMBER(AO60),AO60&gt;(C60+T60)),BC60,0))</f>
        <v/>
      </c>
      <c r="BE60" s="29">
        <f>IF(AT60=1,"transition",IF(MIN(IF(AND(J60=0,ISNUMBER(AP60),AP60&lt;=(C60+T60)),AP60,9E15),IF(AND(K60=0,ISNUMBER(AQ60),AQ60&lt;=(C60+T60)),AQ60,9E15),IF(AND(L60=0,ISNUMBER(AR60),AR60&lt;=(C60+T60)),AR60,9E15),IF(AND(M60=0,ISNUMBER(AS60),AS60&lt;=(C60+T60)),AS60,9E15))&lt;9E15,IF(AND(AND(J60=0,ISNUMBER(AP60),AP60&lt;=(C60+T60)),AP60=MIN(IF(AND(J60=0,ISNUMBER(AP60),AP60&lt;=(C60+T60)),AP60,9E15),IF(AND(K60=0,ISNUMBER(AQ60),AQ60&lt;=(C60+T60)),AQ60,9E15),IF(AND(L60=0,ISNUMBER(AR60),AR60&lt;=(C60+T60)),AR60,9E15),IF(AND(M60=0,ISNUMBER(AS60),AS60&lt;=(C60+T60)),AS60,9E15))),"BiP",IF(AND(AND(K60=0,ISNUMBER(AQ60),AQ60&lt;=(C60+T60)),AQ60=MIN(IF(AND(J60=0,ISNUMBER(AP60),AP60&lt;=(C60+T60)),AP60,9E15),IF(AND(K60=0,ISNUMBER(AQ60),AQ60&lt;=(C60+T60)),AQ60,9E15),IF(AND(L60=0,ISNUMBER(AR60),AR60&lt;=(C60+T60)),AR60,9E15),IF(AND(M60=0,ISNUMBER(AS60),AS60&lt;=(C60+T60)),AS60,9E15))),"PV",IF(AND(AND(L60=0,ISNUMBER(AR60),AR60&lt;=(C60+T60)),AR60=MIN(IF(AND(J60=0,ISNUMBER(AP60),AP60&lt;=(C60+T60)),AP60,9E15),IF(AND(K60=0,ISNUMBER(AQ60),AQ60&lt;=(C60+T60)),AQ60,9E15),IF(AND(L60=0,ISNUMBER(AR60),AR60&lt;=(C60+T60)),AR60,9E15),IF(AND(M60=0,ISNUMBER(AS60),AS60&lt;=(C60+T60)),AS60,9E15))),"OC","MG"))),IF(AX60=TRUE,"",IF(MAX(IF(AND(NOT(AND(AU60=1,AT60&lt;&gt;1)),ISNUMBER(AK60),AK60&lt;=(C60+T60)),AY60,0),IF(AND(NOT(AND(AU60=1,AT60&lt;&gt;1)),ISNUMBER(AL60),AL60&lt;=(C60+T60)),AZ60,0),IF(AND(NOT(AND(AU60=1,AT60&lt;&gt;1)),ISNUMBER(AM60),AM60&lt;=(C60+T60)),BA60,0),IF(AND(NOT(AND(AU60=1,AT60&lt;&gt;1)),ISNUMBER(AN60),AN60&lt;=(C60+T60)),BB60,0),IF(AND(ISNUMBER(AO60),AO60&lt;=(C60+T60)),BC60,0))&lt;=0,"",IF(AND(IF(AND(NOT(AND(AU60=1,AT60&lt;&gt;1)),ISNUMBER(AK60),AK60&lt;=(C60+T60)),AY60,0)&gt;0,IF(AND(NOT(AND(AU60=1,AT60&lt;&gt;1)),ISNUMBER(AK60),AK60&lt;=(C60+T60)),AY60,0)=MAX(IF(AND(NOT(AND(AU60=1,AT60&lt;&gt;1)),ISNUMBER(AK60),AK60&lt;=(C60+T60)),AY60,0),IF(AND(NOT(AND(AU60=1,AT60&lt;&gt;1)),ISNUMBER(AL60),AL60&lt;=(C60+T60)),AZ60,0),IF(AND(NOT(AND(AU60=1,AT60&lt;&gt;1)),ISNUMBER(AM60),AM60&lt;=(C60+T60)),BA60,0),IF(AND(NOT(AND(AU60=1,AT60&lt;&gt;1)),ISNUMBER(AN60),AN60&lt;=(C60+T60)),BB60,0),IF(AND(ISNUMBER(AO60),AO60&lt;=(C60+T60)),BC60,0))),"SK",IF(AND(IF(AND(NOT(AND(AU60=1,AT60&lt;&gt;1)),ISNUMBER(AL60),AL60&lt;=(C60+T60)),AZ60,0)&gt;0,IF(AND(NOT(AND(AU60=1,AT60&lt;&gt;1)),ISNUMBER(AL60),AL60&lt;=(C60+T60)),AZ60,0)=MAX(IF(AND(NOT(AND(AU60=1,AT60&lt;&gt;1)),ISNUMBER(AK60),AK60&lt;=(C60+T60)),AY60,0),IF(AND(NOT(AND(AU60=1,AT60&lt;&gt;1)),ISNUMBER(AL60),AL60&lt;=(C60+T60)),AZ60,0),IF(AND(NOT(AND(AU60=1,AT60&lt;&gt;1)),ISNUMBER(AM60),AM60&lt;=(C60+T60)),BA60,0),IF(AND(NOT(AND(AU60=1,AT60&lt;&gt;1)),ISNUMBER(AN60),AN60&lt;=(C60+T60)),BB60,0),IF(AND(ISNUMBER(AO60),AO60&lt;=(C60+T60)),BC60,0))),"LB",IF(AND(IF(AND(NOT(AND(AU60=1,AT60&lt;&gt;1)),ISNUMBER(AM60),AM60&lt;=(C60+T60)),BA60,0)&gt;0,IF(AND(NOT(AND(AU60=1,AT60&lt;&gt;1)),ISNUMBER(AM60),AM60&lt;=(C60+T60)),BA60,0)=MAX(IF(AND(NOT(AND(AU60=1,AT60&lt;&gt;1)),ISNUMBER(AK60),AK60&lt;=(C60+T60)),AY60,0),IF(AND(NOT(AND(AU60=1,AT60&lt;&gt;1)),ISNUMBER(AL60),AL60&lt;=(C60+T60)),AZ60,0),IF(AND(NOT(AND(AU60=1,AT60&lt;&gt;1)),ISNUMBER(AM60),AM60&lt;=(C60+T60)),BA60,0),IF(AND(NOT(AND(AU60=1,AT60&lt;&gt;1)),ISNUMBER(AN60),AN60&lt;=(C60+T60)),BB60,0),IF(AND(ISNUMBER(AO60),AO60&lt;=(C60+T60)),BC60,0))),"ML",IF(AND(IF(AND(NOT(AND(AU60=1,AT60&lt;&gt;1)),ISNUMBER(AN60),AN60&lt;=(C60+T60)),BB60,0)&gt;0,IF(AND(NOT(AND(AU60=1,AT60&lt;&gt;1)),ISNUMBER(AN60),AN60&lt;=(C60+T60)),BB60,0)=MAX(IF(AND(NOT(AND(AU60=1,AT60&lt;&gt;1)),ISNUMBER(AK60),AK60&lt;=(C60+T60)),AY60,0),IF(AND(NOT(AND(AU60=1,AT60&lt;&gt;1)),ISNUMBER(AL60),AL60&lt;=(C60+T60)),AZ60,0),IF(AND(NOT(AND(AU60=1,AT60&lt;&gt;1)),ISNUMBER(AM60),AM60&lt;=(C60+T60)),BA60,0),IF(AND(NOT(AND(AU60=1,AT60&lt;&gt;1)),ISNUMBER(AN60),AN60&lt;=(C60+T60)),BB60,0),IF(AND(ISNUMBER(AO60),AO60&lt;=(C60+T60)),BC60,0))),"RLO","BD"))))))))</f>
        <v/>
      </c>
    </row>
    <row r="61">
      <c r="A61" s="26" t="n">
        <v>50</v>
      </c>
      <c r="B61" s="27">
        <f>A61*10/60</f>
        <v/>
      </c>
      <c r="C61" s="22">
        <f>X60</f>
        <v/>
      </c>
      <c r="D61" s="27">
        <f>D60+W60</f>
        <v/>
      </c>
      <c r="E61" s="26">
        <f>E60+IF(U60="SK",1,0)</f>
        <v/>
      </c>
      <c r="F61" s="26">
        <f>F60+IF(U60="LB",1,0)</f>
        <v/>
      </c>
      <c r="G61" s="26">
        <f>G60+IF(U60="ML",1,0)</f>
        <v/>
      </c>
      <c r="H61" s="26">
        <f>H60+IF(U60="RLO",1,0)</f>
        <v/>
      </c>
      <c r="I61" s="26">
        <f>I60+IF(U60="BD",1,0)</f>
        <v/>
      </c>
      <c r="J61" s="26">
        <f>MAX(J60,IF(U60="BiP",1,0))</f>
        <v/>
      </c>
      <c r="K61" s="26">
        <f>MAX(K60,IF(U60="PV",1,0))</f>
        <v/>
      </c>
      <c r="L61" s="26">
        <f>MAX(L60,IF(U60="OC",1,0))</f>
        <v/>
      </c>
      <c r="M61" s="26">
        <f>MAX(M60,IF(U60="MG",1,0))</f>
        <v/>
      </c>
      <c r="N61" s="26">
        <f>MAX(N60,IF(U60="transition",1,0))</f>
        <v/>
      </c>
      <c r="O61" s="28">
        <f>(Parameters!$B$9+(IF(E61=0,0,(Upgrades!$J$13+E61*Upgrades!$K$13)*POWER(Upgrades!$L$13,E61)))*(IF(Upgrades!$T$14="Stellar Kinematics",POWER(Upgrades!$U$14,F61),1)*IF(Upgrades!$T$15="Stellar Kinematics",POWER(Upgrades!$U$15,G61),1)*IF(Upgrades!$T$16="Stellar Kinematics",POWER(Upgrades!$U$16,H61),1)*IF(Upgrades!$T$17="Stellar Kinematics",POWER(Upgrades!$U$17,I61),1)*IF(Upgrades!$T$18="Stellar Kinematics",POWER(Upgrades!$U$18,J61),1)*IF(Upgrades!$T$19="Stellar Kinematics",POWER(Upgrades!$U$19,K61),1)*IF(Upgrades!$T$20="Stellar Kinematics",POWER(Upgrades!$U$20,L61),1)*IF(Upgrades!$T$21="Stellar Kinematics",POWER(Upgrades!$U$21,M61),1))+(IF(F61=0,0,(Upgrades!$J$14+F61*Upgrades!$K$14)*POWER(Upgrades!$L$14,F61)))*(IF(Upgrades!$T$13="Local Bubble",POWER(Upgrades!$U$13,E61),1)*IF(Upgrades!$T$15="Local Bubble",POWER(Upgrades!$U$15,G61),1)*IF(Upgrades!$T$16="Local Bubble",POWER(Upgrades!$U$16,H61),1)*IF(Upgrades!$T$17="Local Bubble",POWER(Upgrades!$U$17,I61),1)*IF(Upgrades!$T$18="Local Bubble",POWER(Upgrades!$U$18,J61),1)*IF(Upgrades!$T$19="Local Bubble",POWER(Upgrades!$U$19,K61),1)*IF(Upgrades!$T$20="Local Bubble",POWER(Upgrades!$U$20,L61),1)*IF(Upgrades!$T$21="Local Bubble",POWER(Upgrades!$U$21,M61),1))+(IF(G61=0,0,(Upgrades!$J$15+G61*Upgrades!$K$15)*POWER(Upgrades!$L$15,G61)))*(IF(Upgrades!$T$13="Microlensing",POWER(Upgrades!$U$13,E61),1)*IF(Upgrades!$T$14="Microlensing",POWER(Upgrades!$U$14,F61),1)*IF(Upgrades!$T$16="Microlensing",POWER(Upgrades!$U$16,H61),1)*IF(Upgrades!$T$17="Microlensing",POWER(Upgrades!$U$17,I61),1)*IF(Upgrades!$T$18="Microlensing",POWER(Upgrades!$U$18,J61),1)*IF(Upgrades!$T$19="Microlensing",POWER(Upgrades!$U$19,K61),1)*IF(Upgrades!$T$20="Microlensing",POWER(Upgrades!$U$20,L61),1)*IF(Upgrades!$T$21="Microlensing",POWER(Upgrades!$U$21,M61),1))+(IF(H61=0,0,(Upgrades!$J$16+H61*Upgrades!$K$16)*POWER(Upgrades!$L$16,H61)))*(IF(Upgrades!$T$13="Roche Lobe Overflow",POWER(Upgrades!$U$13,E61),1)*IF(Upgrades!$T$14="Roche Lobe Overflow",POWER(Upgrades!$U$14,F61),1)*IF(Upgrades!$T$15="Roche Lobe Overflow",POWER(Upgrades!$U$15,G61),1)*IF(Upgrades!$T$17="Roche Lobe Overflow",POWER(Upgrades!$U$17,I61),1)*IF(Upgrades!$T$18="Roche Lobe Overflow",POWER(Upgrades!$U$18,J61),1)*IF(Upgrades!$T$19="Roche Lobe Overflow",POWER(Upgrades!$U$19,K61),1)*IF(Upgrades!$T$20="Roche Lobe Overflow",POWER(Upgrades!$U$20,L61),1)*IF(Upgrades!$T$21="Roche Lobe Overflow",POWER(Upgrades!$U$21,M61),1))+(IF(I61=0,0,(Upgrades!$J$17+I61*Upgrades!$K$17)*POWER(Upgrades!$L$17,I61)))*(IF(Upgrades!$T$13="Brown Dwarf",POWER(Upgrades!$U$13,E61),1)*IF(Upgrades!$T$14="Brown Dwarf",POWER(Upgrades!$U$14,F61),1)*IF(Upgrades!$T$15="Brown Dwarf",POWER(Upgrades!$U$15,G61),1)*IF(Upgrades!$T$16="Brown Dwarf",POWER(Upgrades!$U$16,H61),1)*IF(Upgrades!$T$18="Brown Dwarf",POWER(Upgrades!$U$18,J61),1)*IF(Upgrades!$T$19="Brown Dwarf",POWER(Upgrades!$U$19,K61),1)*IF(Upgrades!$T$20="Brown Dwarf",POWER(Upgrades!$U$20,L61),1)*IF(Upgrades!$T$21="Brown Dwarf",POWER(Upgrades!$U$21,M61),1))+(IF(J61=0,0,(Upgrades!$J$18+J61*Upgrades!$K$18)*POWER(Upgrades!$L$18,J61)))*(IF(Upgrades!$T$13="Binary Partner",POWER(Upgrades!$U$13,E61),1)*IF(Upgrades!$T$14="Binary Partner",POWER(Upgrades!$U$14,F61),1)*IF(Upgrades!$T$15="Binary Partner",POWER(Upgrades!$U$15,G61),1)*IF(Upgrades!$T$16="Binary Partner",POWER(Upgrades!$U$16,H61),1)*IF(Upgrades!$T$17="Binary Partner",POWER(Upgrades!$U$17,I61),1)*IF(Upgrades!$T$19="Binary Partner",POWER(Upgrades!$U$19,K61),1)*IF(Upgrades!$T$20="Binary Partner",POWER(Upgrades!$U$20,L61),1)*IF(Upgrades!$T$21="Binary Partner",POWER(Upgrades!$U$21,M61),1))+(IF(K61=0,0,(Upgrades!$J$19+K61*Upgrades!$K$19)*POWER(Upgrades!$L$19,K61)))*(IF(Upgrades!$T$13="Peculiar Velocity",POWER(Upgrades!$U$13,E61),1)*IF(Upgrades!$T$14="Peculiar Velocity",POWER(Upgrades!$U$14,F61),1)*IF(Upgrades!$T$15="Peculiar Velocity",POWER(Upgrades!$U$15,G61),1)*IF(Upgrades!$T$16="Peculiar Velocity",POWER(Upgrades!$U$16,H61),1)*IF(Upgrades!$T$17="Peculiar Velocity",POWER(Upgrades!$U$17,I61),1)*IF(Upgrades!$T$18="Peculiar Velocity",POWER(Upgrades!$U$18,J61),1)*IF(Upgrades!$T$20="Peculiar Velocity",POWER(Upgrades!$U$20,L61),1)*IF(Upgrades!$T$21="Peculiar Velocity",POWER(Upgrades!$U$21,M61),1))+(IF(L61=0,0,(Upgrades!$J$20+L61*Upgrades!$K$20)*POWER(Upgrades!$L$20,L61)))*(IF(Upgrades!$T$13="Open Cluster",POWER(Upgrades!$U$13,E61),1)*IF(Upgrades!$T$14="Open Cluster",POWER(Upgrades!$U$14,F61),1)*IF(Upgrades!$T$15="Open Cluster",POWER(Upgrades!$U$15,G61),1)*IF(Upgrades!$T$16="Open Cluster",POWER(Upgrades!$U$16,H61),1)*IF(Upgrades!$T$17="Open Cluster",POWER(Upgrades!$U$17,I61),1)*IF(Upgrades!$T$18="Open Cluster",POWER(Upgrades!$U$18,J61),1)*IF(Upgrades!$T$19="Open Cluster",POWER(Upgrades!$U$19,K61),1)*IF(Upgrades!$T$21="Open Cluster",POWER(Upgrades!$U$21,M61),1))+(IF(M61=0,0,(Upgrades!$J$21+M61*Upgrades!$K$21)*POWER(Upgrades!$L$21,M61)))*(IF(Upgrades!$T$13="Moving Group",POWER(Upgrades!$U$13,E61),1)*IF(Upgrades!$T$14="Moving Group",POWER(Upgrades!$U$14,F61),1)*IF(Upgrades!$T$15="Moving Group",POWER(Upgrades!$U$15,G61),1)*IF(Upgrades!$T$16="Moving Group",POWER(Upgrades!$U$16,H61),1)*IF(Upgrades!$T$17="Moving Group",POWER(Upgrades!$U$17,I61),1)*IF(Upgrades!$T$18="Moving Group",POWER(Upgrades!$U$18,J61),1)*IF(Upgrades!$T$19="Moving Group",POWER(Upgrades!$U$19,K61),1)*IF(Upgrades!$T$20="Moving Group",POWER(Upgrades!$U$20,L61),1)))*POWER(Upgrades!$Q$13,E61)*POWER(Upgrades!$Q$14,F61)*POWER(Upgrades!$Q$15,G61)*POWER(Upgrades!$Q$16,H61)*POWER(Upgrades!$Q$17,I61)*POWER(Upgrades!$Q$18,J61)*POWER(Upgrades!$Q$19,K61)*POWER(Upgrades!$Q$20,L61)*POWER(Upgrades!$Q$21,M61)*$G$6+$D$6</f>
        <v/>
      </c>
      <c r="P61" s="28">
        <f>((IF(E61=0,0,(Upgrades!$G$13+E61*Upgrades!$H$13)*POWER(Upgrades!$I$13,E61)))*(IF(Upgrades!$T$14="Stellar Kinematics",POWER(Upgrades!$U$14,F61),1)*IF(Upgrades!$T$15="Stellar Kinematics",POWER(Upgrades!$U$15,G61),1)*IF(Upgrades!$T$16="Stellar Kinematics",POWER(Upgrades!$U$16,H61),1)*IF(Upgrades!$T$17="Stellar Kinematics",POWER(Upgrades!$U$17,I61),1)*IF(Upgrades!$T$18="Stellar Kinematics",POWER(Upgrades!$U$18,J61),1)*IF(Upgrades!$T$19="Stellar Kinematics",POWER(Upgrades!$U$19,K61),1)*IF(Upgrades!$T$20="Stellar Kinematics",POWER(Upgrades!$U$20,L61),1)*IF(Upgrades!$T$21="Stellar Kinematics",POWER(Upgrades!$U$21,M61),1))+(IF(F61=0,0,(Upgrades!$G$14+F61*Upgrades!$H$14)*POWER(Upgrades!$I$14,F61)))*(IF(Upgrades!$T$13="Local Bubble",POWER(Upgrades!$U$13,E61),1)*IF(Upgrades!$T$15="Local Bubble",POWER(Upgrades!$U$15,G61),1)*IF(Upgrades!$T$16="Local Bubble",POWER(Upgrades!$U$16,H61),1)*IF(Upgrades!$T$17="Local Bubble",POWER(Upgrades!$U$17,I61),1)*IF(Upgrades!$T$18="Local Bubble",POWER(Upgrades!$U$18,J61),1)*IF(Upgrades!$T$19="Local Bubble",POWER(Upgrades!$U$19,K61),1)*IF(Upgrades!$T$20="Local Bubble",POWER(Upgrades!$U$20,L61),1)*IF(Upgrades!$T$21="Local Bubble",POWER(Upgrades!$U$21,M61),1))+(IF(G61=0,0,(Upgrades!$G$15+G61*Upgrades!$H$15)*POWER(Upgrades!$I$15,G61)))*(IF(Upgrades!$T$13="Microlensing",POWER(Upgrades!$U$13,E61),1)*IF(Upgrades!$T$14="Microlensing",POWER(Upgrades!$U$14,F61),1)*IF(Upgrades!$T$16="Microlensing",POWER(Upgrades!$U$16,H61),1)*IF(Upgrades!$T$17="Microlensing",POWER(Upgrades!$U$17,I61),1)*IF(Upgrades!$T$18="Microlensing",POWER(Upgrades!$U$18,J61),1)*IF(Upgrades!$T$19="Microlensing",POWER(Upgrades!$U$19,K61),1)*IF(Upgrades!$T$20="Microlensing",POWER(Upgrades!$U$20,L61),1)*IF(Upgrades!$T$21="Microlensing",POWER(Upgrades!$U$21,M61),1))+(IF(H61=0,0,(Upgrades!$G$16+H61*Upgrades!$H$16)*POWER(Upgrades!$I$16,H61)))*(IF(Upgrades!$T$13="Roche Lobe Overflow",POWER(Upgrades!$U$13,E61),1)*IF(Upgrades!$T$14="Roche Lobe Overflow",POWER(Upgrades!$U$14,F61),1)*IF(Upgrades!$T$15="Roche Lobe Overflow",POWER(Upgrades!$U$15,G61),1)*IF(Upgrades!$T$17="Roche Lobe Overflow",POWER(Upgrades!$U$17,I61),1)*IF(Upgrades!$T$18="Roche Lobe Overflow",POWER(Upgrades!$U$18,J61),1)*IF(Upgrades!$T$19="Roche Lobe Overflow",POWER(Upgrades!$U$19,K61),1)*IF(Upgrades!$T$20="Roche Lobe Overflow",POWER(Upgrades!$U$20,L61),1)*IF(Upgrades!$T$21="Roche Lobe Overflow",POWER(Upgrades!$U$21,M61),1))+(IF(I61=0,0,(Upgrades!$G$17+I61*Upgrades!$H$17)*POWER(Upgrades!$I$17,I61)))*(IF(Upgrades!$T$13="Brown Dwarf",POWER(Upgrades!$U$13,E61),1)*IF(Upgrades!$T$14="Brown Dwarf",POWER(Upgrades!$U$14,F61),1)*IF(Upgrades!$T$15="Brown Dwarf",POWER(Upgrades!$U$15,G61),1)*IF(Upgrades!$T$16="Brown Dwarf",POWER(Upgrades!$U$16,H61),1)*IF(Upgrades!$T$18="Brown Dwarf",POWER(Upgrades!$U$18,J61),1)*IF(Upgrades!$T$19="Brown Dwarf",POWER(Upgrades!$U$19,K61),1)*IF(Upgrades!$T$20="Brown Dwarf",POWER(Upgrades!$U$20,L61),1)*IF(Upgrades!$T$21="Brown Dwarf",POWER(Upgrades!$U$21,M61),1))+(IF(J61=0,0,(Upgrades!$G$18+J61*Upgrades!$H$18)*POWER(Upgrades!$I$18,J61)))*(IF(Upgrades!$T$13="Binary Partner",POWER(Upgrades!$U$13,E61),1)*IF(Upgrades!$T$14="Binary Partner",POWER(Upgrades!$U$14,F61),1)*IF(Upgrades!$T$15="Binary Partner",POWER(Upgrades!$U$15,G61),1)*IF(Upgrades!$T$16="Binary Partner",POWER(Upgrades!$U$16,H61),1)*IF(Upgrades!$T$17="Binary Partner",POWER(Upgrades!$U$17,I61),1)*IF(Upgrades!$T$19="Binary Partner",POWER(Upgrades!$U$19,K61),1)*IF(Upgrades!$T$20="Binary Partner",POWER(Upgrades!$U$20,L61),1)*IF(Upgrades!$T$21="Binary Partner",POWER(Upgrades!$U$21,M61),1))+(IF(K61=0,0,(Upgrades!$G$19+K61*Upgrades!$H$19)*POWER(Upgrades!$I$19,K61)))*(IF(Upgrades!$T$13="Peculiar Velocity",POWER(Upgrades!$U$13,E61),1)*IF(Upgrades!$T$14="Peculiar Velocity",POWER(Upgrades!$U$14,F61),1)*IF(Upgrades!$T$15="Peculiar Velocity",POWER(Upgrades!$U$15,G61),1)*IF(Upgrades!$T$16="Peculiar Velocity",POWER(Upgrades!$U$16,H61),1)*IF(Upgrades!$T$17="Peculiar Velocity",POWER(Upgrades!$U$17,I61),1)*IF(Upgrades!$T$18="Peculiar Velocity",POWER(Upgrades!$U$18,J61),1)*IF(Upgrades!$T$20="Peculiar Velocity",POWER(Upgrades!$U$20,L61),1)*IF(Upgrades!$T$21="Peculiar Velocity",POWER(Upgrades!$U$21,M61),1))+(IF(L61=0,0,(Upgrades!$G$20+L61*Upgrades!$H$20)*POWER(Upgrades!$I$20,L61)))*(IF(Upgrades!$T$13="Open Cluster",POWER(Upgrades!$U$13,E61),1)*IF(Upgrades!$T$14="Open Cluster",POWER(Upgrades!$U$14,F61),1)*IF(Upgrades!$T$15="Open Cluster",POWER(Upgrades!$U$15,G61),1)*IF(Upgrades!$T$16="Open Cluster",POWER(Upgrades!$U$16,H61),1)*IF(Upgrades!$T$17="Open Cluster",POWER(Upgrades!$U$17,I61),1)*IF(Upgrades!$T$18="Open Cluster",POWER(Upgrades!$U$18,J61),1)*IF(Upgrades!$T$19="Open Cluster",POWER(Upgrades!$U$19,K61),1)*IF(Upgrades!$T$21="Open Cluster",POWER(Upgrades!$U$21,M61),1))+(IF(M61=0,0,(Upgrades!$G$21+M61*Upgrades!$H$21)*POWER(Upgrades!$I$21,M61)))*(IF(Upgrades!$T$13="Moving Group",POWER(Upgrades!$U$13,E61),1)*IF(Upgrades!$T$14="Moving Group",POWER(Upgrades!$U$14,F61),1)*IF(Upgrades!$T$15="Moving Group",POWER(Upgrades!$U$15,G61),1)*IF(Upgrades!$T$16="Moving Group",POWER(Upgrades!$U$16,H61),1)*IF(Upgrades!$T$17="Moving Group",POWER(Upgrades!$U$17,I61),1)*IF(Upgrades!$T$18="Moving Group",POWER(Upgrades!$U$18,J61),1)*IF(Upgrades!$T$19="Moving Group",POWER(Upgrades!$U$19,K61),1)*IF(Upgrades!$T$20="Moving Group",POWER(Upgrades!$U$20,L61),1)))*POWER(Upgrades!$P$13,E61)*POWER(Upgrades!$P$14,F61)*POWER(Upgrades!$P$15,G61)*POWER(Upgrades!$P$16,H61)*POWER(Upgrades!$P$17,I61)*POWER(Upgrades!$P$18,J61)*POWER(Upgrades!$P$19,K61)*POWER(Upgrades!$P$20,L61)*POWER(Upgrades!$P$21,M61)*$F$6+$C$6</f>
        <v/>
      </c>
      <c r="Q61" s="28">
        <f>((IF(E61=0,0,(Upgrades!$M$13+E61*Upgrades!$N$13)*POWER(Upgrades!$O$13,E61)))*(IF(Upgrades!$T$14="Stellar Kinematics",POWER(Upgrades!$U$14,F61),1)*IF(Upgrades!$T$15="Stellar Kinematics",POWER(Upgrades!$U$15,G61),1)*IF(Upgrades!$T$16="Stellar Kinematics",POWER(Upgrades!$U$16,H61),1)*IF(Upgrades!$T$17="Stellar Kinematics",POWER(Upgrades!$U$17,I61),1)*IF(Upgrades!$T$18="Stellar Kinematics",POWER(Upgrades!$U$18,J61),1)*IF(Upgrades!$T$19="Stellar Kinematics",POWER(Upgrades!$U$19,K61),1)*IF(Upgrades!$T$20="Stellar Kinematics",POWER(Upgrades!$U$20,L61),1)*IF(Upgrades!$T$21="Stellar Kinematics",POWER(Upgrades!$U$21,M61),1))+(IF(F61=0,0,(Upgrades!$M$14+F61*Upgrades!$N$14)*POWER(Upgrades!$O$14,F61)))*(IF(Upgrades!$T$13="Local Bubble",POWER(Upgrades!$U$13,E61),1)*IF(Upgrades!$T$15="Local Bubble",POWER(Upgrades!$U$15,G61),1)*IF(Upgrades!$T$16="Local Bubble",POWER(Upgrades!$U$16,H61),1)*IF(Upgrades!$T$17="Local Bubble",POWER(Upgrades!$U$17,I61),1)*IF(Upgrades!$T$18="Local Bubble",POWER(Upgrades!$U$18,J61),1)*IF(Upgrades!$T$19="Local Bubble",POWER(Upgrades!$U$19,K61),1)*IF(Upgrades!$T$20="Local Bubble",POWER(Upgrades!$U$20,L61),1)*IF(Upgrades!$T$21="Local Bubble",POWER(Upgrades!$U$21,M61),1))+(IF(G61=0,0,(Upgrades!$M$15+G61*Upgrades!$N$15)*POWER(Upgrades!$O$15,G61)))*(IF(Upgrades!$T$13="Microlensing",POWER(Upgrades!$U$13,E61),1)*IF(Upgrades!$T$14="Microlensing",POWER(Upgrades!$U$14,F61),1)*IF(Upgrades!$T$16="Microlensing",POWER(Upgrades!$U$16,H61),1)*IF(Upgrades!$T$17="Microlensing",POWER(Upgrades!$U$17,I61),1)*IF(Upgrades!$T$18="Microlensing",POWER(Upgrades!$U$18,J61),1)*IF(Upgrades!$T$19="Microlensing",POWER(Upgrades!$U$19,K61),1)*IF(Upgrades!$T$20="Microlensing",POWER(Upgrades!$U$20,L61),1)*IF(Upgrades!$T$21="Microlensing",POWER(Upgrades!$U$21,M61),1))+(IF(H61=0,0,(Upgrades!$M$16+H61*Upgrades!$N$16)*POWER(Upgrades!$O$16,H61)))*(IF(Upgrades!$T$13="Roche Lobe Overflow",POWER(Upgrades!$U$13,E61),1)*IF(Upgrades!$T$14="Roche Lobe Overflow",POWER(Upgrades!$U$14,F61),1)*IF(Upgrades!$T$15="Roche Lobe Overflow",POWER(Upgrades!$U$15,G61),1)*IF(Upgrades!$T$17="Roche Lobe Overflow",POWER(Upgrades!$U$17,I61),1)*IF(Upgrades!$T$18="Roche Lobe Overflow",POWER(Upgrades!$U$18,J61),1)*IF(Upgrades!$T$19="Roche Lobe Overflow",POWER(Upgrades!$U$19,K61),1)*IF(Upgrades!$T$20="Roche Lobe Overflow",POWER(Upgrades!$U$20,L61),1)*IF(Upgrades!$T$21="Roche Lobe Overflow",POWER(Upgrades!$U$21,M61),1))+(IF(I61=0,0,(Upgrades!$M$17+I61*Upgrades!$N$17)*POWER(Upgrades!$O$17,I61)))*(IF(Upgrades!$T$13="Brown Dwarf",POWER(Upgrades!$U$13,E61),1)*IF(Upgrades!$T$14="Brown Dwarf",POWER(Upgrades!$U$14,F61),1)*IF(Upgrades!$T$15="Brown Dwarf",POWER(Upgrades!$U$15,G61),1)*IF(Upgrades!$T$16="Brown Dwarf",POWER(Upgrades!$U$16,H61),1)*IF(Upgrades!$T$18="Brown Dwarf",POWER(Upgrades!$U$18,J61),1)*IF(Upgrades!$T$19="Brown Dwarf",POWER(Upgrades!$U$19,K61),1)*IF(Upgrades!$T$20="Brown Dwarf",POWER(Upgrades!$U$20,L61),1)*IF(Upgrades!$T$21="Brown Dwarf",POWER(Upgrades!$U$21,M61),1))+(IF(J61=0,0,(Upgrades!$M$18+J61*Upgrades!$N$18)*POWER(Upgrades!$O$18,J61)))*(IF(Upgrades!$T$13="Binary Partner",POWER(Upgrades!$U$13,E61),1)*IF(Upgrades!$T$14="Binary Partner",POWER(Upgrades!$U$14,F61),1)*IF(Upgrades!$T$15="Binary Partner",POWER(Upgrades!$U$15,G61),1)*IF(Upgrades!$T$16="Binary Partner",POWER(Upgrades!$U$16,H61),1)*IF(Upgrades!$T$17="Binary Partner",POWER(Upgrades!$U$17,I61),1)*IF(Upgrades!$T$19="Binary Partner",POWER(Upgrades!$U$19,K61),1)*IF(Upgrades!$T$20="Binary Partner",POWER(Upgrades!$U$20,L61),1)*IF(Upgrades!$T$21="Binary Partner",POWER(Upgrades!$U$21,M61),1))+(IF(K61=0,0,(Upgrades!$M$19+K61*Upgrades!$N$19)*POWER(Upgrades!$O$19,K61)))*(IF(Upgrades!$T$13="Peculiar Velocity",POWER(Upgrades!$U$13,E61),1)*IF(Upgrades!$T$14="Peculiar Velocity",POWER(Upgrades!$U$14,F61),1)*IF(Upgrades!$T$15="Peculiar Velocity",POWER(Upgrades!$U$15,G61),1)*IF(Upgrades!$T$16="Peculiar Velocity",POWER(Upgrades!$U$16,H61),1)*IF(Upgrades!$T$17="Peculiar Velocity",POWER(Upgrades!$U$17,I61),1)*IF(Upgrades!$T$18="Peculiar Velocity",POWER(Upgrades!$U$18,J61),1)*IF(Upgrades!$T$20="Peculiar Velocity",POWER(Upgrades!$U$20,L61),1)*IF(Upgrades!$T$21="Peculiar Velocity",POWER(Upgrades!$U$21,M61),1))+(IF(L61=0,0,(Upgrades!$M$20+L61*Upgrades!$N$20)*POWER(Upgrades!$O$20,L61)))*(IF(Upgrades!$T$13="Open Cluster",POWER(Upgrades!$U$13,E61),1)*IF(Upgrades!$T$14="Open Cluster",POWER(Upgrades!$U$14,F61),1)*IF(Upgrades!$T$15="Open Cluster",POWER(Upgrades!$U$15,G61),1)*IF(Upgrades!$T$16="Open Cluster",POWER(Upgrades!$U$16,H61),1)*IF(Upgrades!$T$17="Open Cluster",POWER(Upgrades!$U$17,I61),1)*IF(Upgrades!$T$18="Open Cluster",POWER(Upgrades!$U$18,J61),1)*IF(Upgrades!$T$19="Open Cluster",POWER(Upgrades!$U$19,K61),1)*IF(Upgrades!$T$21="Open Cluster",POWER(Upgrades!$U$21,M61),1))+(IF(M61=0,0,(Upgrades!$M$21+M61*Upgrades!$N$21)*POWER(Upgrades!$O$21,M61)))*(IF(Upgrades!$T$13="Moving Group",POWER(Upgrades!$U$13,E61),1)*IF(Upgrades!$T$14="Moving Group",POWER(Upgrades!$U$14,F61),1)*IF(Upgrades!$T$15="Moving Group",POWER(Upgrades!$U$15,G61),1)*IF(Upgrades!$T$16="Moving Group",POWER(Upgrades!$U$16,H61),1)*IF(Upgrades!$T$17="Moving Group",POWER(Upgrades!$U$17,I61),1)*IF(Upgrades!$T$18="Moving Group",POWER(Upgrades!$U$18,J61),1)*IF(Upgrades!$T$19="Moving Group",POWER(Upgrades!$U$19,K61),1)*IF(Upgrades!$T$20="Moving Group",POWER(Upgrades!$U$20,L61),1)))*POWER(Upgrades!$R$13,E61)*POWER(Upgrades!$R$14,F61)*POWER(Upgrades!$R$15,G61)*POWER(Upgrades!$R$16,H61)*POWER(Upgrades!$R$17,I61)*POWER(Upgrades!$R$18,J61)*POWER(Upgrades!$R$19,K61)*POWER(Upgrades!$R$20,L61)*POWER(Upgrades!$R$21,M61)*$H$6+$E$6</f>
        <v/>
      </c>
      <c r="R61" s="27">
        <f>IF(N61=1,0,O61*Parameters!$B$10/60*Parameters!$B$11*10)</f>
        <v/>
      </c>
      <c r="S61" s="27">
        <f>IF(N61=1,0,Q61*O61*10)</f>
        <v/>
      </c>
      <c r="T61" s="27">
        <f>IF(N61=1,0,R61+S61+P61*10)</f>
        <v/>
      </c>
      <c r="U61" s="33">
        <f>BE61</f>
        <v/>
      </c>
      <c r="V61" s="22">
        <f>IF(U61="",0,IF(U61="transition",0,IF(U61="SK",AK61,IF(U61="LB",AL61,IF(U61="ML",AM61,IF(U61="RLO",AN61,IF(U61="BD",AO61,IF(U61="BiP",AP61,IF(U61="PV",AQ61,IF(U61="OC",AR61,IF(U61="MG",AS61,0))))))))))</f>
        <v/>
      </c>
      <c r="W61" s="27">
        <f>IF(U61="BiP",Upgrades!$F$18,IF(U61="PV",Upgrades!$F$19,IF(U61="OC",Upgrades!$F$20,IF(U61="MG",Upgrades!$F$21,IF(U61="transition",-Parameters!$B$18*Parameters!$B$19,0)))))</f>
        <v/>
      </c>
      <c r="X61" s="22">
        <f>C61+T61-V61</f>
        <v/>
      </c>
      <c r="Y61" s="30">
        <f>O61*Parameters!$B$10/60*Parameters!$B$11+Q61*O61+P61</f>
        <v/>
      </c>
      <c r="Z61" s="34">
        <f>IF(U61="transition","→ Tier 3 (Galactic Arm)",IF(U61="MG","Moving Group — pocket drifts together",IF(U61="OC","Open Cluster acquired",IF(U61="PV","Peculiar Velocity — passive multiplier active",IF(U61="BiP","Binary Partner — pair bond formed",IF(AND(AU61=1,N61=0,AT61&lt;&gt;1),"Cohesion ready (waiting on completionists)","")))))) </f>
        <v/>
      </c>
      <c r="AA61" s="27">
        <f>(IF(E61=0,0,(Upgrades!$G$13+E61*Upgrades!$H$13)*POWER(Upgrades!$I$13,E61)))*(IF(Upgrades!$T$14="Stellar Kinematics",POWER(Upgrades!$U$14,F61),1)*IF(Upgrades!$T$15="Stellar Kinematics",POWER(Upgrades!$U$15,G61),1)*IF(Upgrades!$T$16="Stellar Kinematics",POWER(Upgrades!$U$16,H61),1)*IF(Upgrades!$T$17="Stellar Kinematics",POWER(Upgrades!$U$17,I61),1)*IF(Upgrades!$T$18="Stellar Kinematics",POWER(Upgrades!$U$18,J61),1)*IF(Upgrades!$T$19="Stellar Kinematics",POWER(Upgrades!$U$19,K61),1)*IF(Upgrades!$T$20="Stellar Kinematics",POWER(Upgrades!$U$20,L61),1)*IF(Upgrades!$T$21="Stellar Kinematics",POWER(Upgrades!$U$21,M61),1))*POWER(Upgrades!$P$13,E61)*POWER(Upgrades!$P$14,F61)*POWER(Upgrades!$P$15,G61)*POWER(Upgrades!$P$16,H61)*POWER(Upgrades!$P$17,I61)*POWER(Upgrades!$P$18,J61)*POWER(Upgrades!$P$19,K61)*POWER(Upgrades!$P$20,L61)*POWER(Upgrades!$P$21,M61)*$F$6*60</f>
        <v/>
      </c>
      <c r="AB61" s="27">
        <f>(IF(F61=0,0,(Upgrades!$G$14+F61*Upgrades!$H$14)*POWER(Upgrades!$I$14,F61)))*(IF(Upgrades!$T$13="Local Bubble",POWER(Upgrades!$U$13,E61),1)*IF(Upgrades!$T$15="Local Bubble",POWER(Upgrades!$U$15,G61),1)*IF(Upgrades!$T$16="Local Bubble",POWER(Upgrades!$U$16,H61),1)*IF(Upgrades!$T$17="Local Bubble",POWER(Upgrades!$U$17,I61),1)*IF(Upgrades!$T$18="Local Bubble",POWER(Upgrades!$U$18,J61),1)*IF(Upgrades!$T$19="Local Bubble",POWER(Upgrades!$U$19,K61),1)*IF(Upgrades!$T$20="Local Bubble",POWER(Upgrades!$U$20,L61),1)*IF(Upgrades!$T$21="Local Bubble",POWER(Upgrades!$U$21,M61),1))*POWER(Upgrades!$P$13,E61)*POWER(Upgrades!$P$14,F61)*POWER(Upgrades!$P$15,G61)*POWER(Upgrades!$P$16,H61)*POWER(Upgrades!$P$17,I61)*POWER(Upgrades!$P$18,J61)*POWER(Upgrades!$P$19,K61)*POWER(Upgrades!$P$20,L61)*POWER(Upgrades!$P$21,M61)*$F$6*60</f>
        <v/>
      </c>
      <c r="AC61" s="27">
        <f>(IF(G61=0,0,(Upgrades!$J$15+G61*Upgrades!$K$15)*POWER(Upgrades!$L$15,G61)))*(IF(Upgrades!$T$13="Microlensing",POWER(Upgrades!$U$13,E61),1)*IF(Upgrades!$T$14="Microlensing",POWER(Upgrades!$U$14,F61),1)*IF(Upgrades!$T$16="Microlensing",POWER(Upgrades!$U$16,H61),1)*IF(Upgrades!$T$17="Microlensing",POWER(Upgrades!$U$17,I61),1)*IF(Upgrades!$T$18="Microlensing",POWER(Upgrades!$U$18,J61),1)*IF(Upgrades!$T$19="Microlensing",POWER(Upgrades!$U$19,K61),1)*IF(Upgrades!$T$20="Microlensing",POWER(Upgrades!$U$20,L61),1)*IF(Upgrades!$T$21="Microlensing",POWER(Upgrades!$U$21,M61),1))*POWER(Upgrades!$Q$13,E61)*POWER(Upgrades!$Q$14,F61)*POWER(Upgrades!$Q$15,G61)*POWER(Upgrades!$Q$16,H61)*POWER(Upgrades!$Q$17,I61)*POWER(Upgrades!$Q$18,J61)*POWER(Upgrades!$Q$19,K61)*POWER(Upgrades!$Q$20,L61)*POWER(Upgrades!$Q$21,M61)*$G$6*(Parameters!$B$10*Parameters!$B$11+Q61*60)</f>
        <v/>
      </c>
      <c r="AD61" s="27">
        <f>(IF(H61=0,0,(Upgrades!$M$16+H61*Upgrades!$N$16)*POWER(Upgrades!$O$16,H61)))*(IF(Upgrades!$T$13="Roche Lobe Overflow",POWER(Upgrades!$U$13,E61),1)*IF(Upgrades!$T$14="Roche Lobe Overflow",POWER(Upgrades!$U$14,F61),1)*IF(Upgrades!$T$15="Roche Lobe Overflow",POWER(Upgrades!$U$15,G61),1)*IF(Upgrades!$T$17="Roche Lobe Overflow",POWER(Upgrades!$U$17,I61),1)*IF(Upgrades!$T$18="Roche Lobe Overflow",POWER(Upgrades!$U$18,J61),1)*IF(Upgrades!$T$19="Roche Lobe Overflow",POWER(Upgrades!$U$19,K61),1)*IF(Upgrades!$T$20="Roche Lobe Overflow",POWER(Upgrades!$U$20,L61),1)*IF(Upgrades!$T$21="Roche Lobe Overflow",POWER(Upgrades!$U$21,M61),1))*POWER(Upgrades!$R$13,E61)*POWER(Upgrades!$R$14,F61)*POWER(Upgrades!$R$15,G61)*POWER(Upgrades!$R$16,H61)*POWER(Upgrades!$R$17,I61)*POWER(Upgrades!$R$18,J61)*POWER(Upgrades!$R$19,K61)*POWER(Upgrades!$R$20,L61)*POWER(Upgrades!$R$21,M61)*$H$6*O61*60</f>
        <v/>
      </c>
      <c r="AE61" s="27">
        <f>(IF(I61=0,0,(Upgrades!$G$17+I61*Upgrades!$H$17)*POWER(Upgrades!$I$17,I61)))*(IF(Upgrades!$T$13="Brown Dwarf",POWER(Upgrades!$U$13,E61),1)*IF(Upgrades!$T$14="Brown Dwarf",POWER(Upgrades!$U$14,F61),1)*IF(Upgrades!$T$15="Brown Dwarf",POWER(Upgrades!$U$15,G61),1)*IF(Upgrades!$T$16="Brown Dwarf",POWER(Upgrades!$U$16,H61),1)*IF(Upgrades!$T$18="Brown Dwarf",POWER(Upgrades!$U$18,J61),1)*IF(Upgrades!$T$19="Brown Dwarf",POWER(Upgrades!$U$19,K61),1)*IF(Upgrades!$T$20="Brown Dwarf",POWER(Upgrades!$U$20,L61),1)*IF(Upgrades!$T$21="Brown Dwarf",POWER(Upgrades!$U$21,M61),1))*POWER(Upgrades!$P$13,E61)*POWER(Upgrades!$P$14,F61)*POWER(Upgrades!$P$15,G61)*POWER(Upgrades!$P$16,H61)*POWER(Upgrades!$P$17,I61)*POWER(Upgrades!$P$18,J61)*POWER(Upgrades!$P$19,K61)*POWER(Upgrades!$P$20,L61)*POWER(Upgrades!$P$21,M61)*$F$6*60</f>
        <v/>
      </c>
      <c r="AF61" s="27" t="n">
        <v>0</v>
      </c>
      <c r="AG61" s="27" t="n">
        <v>0</v>
      </c>
      <c r="AH61" s="27" t="n">
        <v>0</v>
      </c>
      <c r="AI61" s="27">
        <f>(IF(M61=0,0,(Upgrades!$G$21+M61*Upgrades!$H$21)*POWER(Upgrades!$I$21,M61)))*(IF(Upgrades!$T$13="Moving Group",POWER(Upgrades!$U$13,E61),1)*IF(Upgrades!$T$14="Moving Group",POWER(Upgrades!$U$14,F61),1)*IF(Upgrades!$T$15="Moving Group",POWER(Upgrades!$U$15,G61),1)*IF(Upgrades!$T$16="Moving Group",POWER(Upgrades!$U$16,H61),1)*IF(Upgrades!$T$17="Moving Group",POWER(Upgrades!$U$17,I61),1)*IF(Upgrades!$T$18="Moving Group",POWER(Upgrades!$U$18,J61),1)*IF(Upgrades!$T$19="Moving Group",POWER(Upgrades!$U$19,K61),1)*IF(Upgrades!$T$20="Moving Group",POWER(Upgrades!$U$20,L61),1))*POWER(Upgrades!$P$13,E61)*POWER(Upgrades!$P$14,F61)*POWER(Upgrades!$P$15,G61)*POWER(Upgrades!$P$16,H61)*POWER(Upgrades!$P$17,I61)*POWER(Upgrades!$P$18,J61)*POWER(Upgrades!$P$19,K61)*POWER(Upgrades!$P$20,L61)*POWER(Upgrades!$P$21,M61)*$F$6*60</f>
        <v/>
      </c>
      <c r="AJ61" s="27">
        <f>$C$6*60</f>
        <v/>
      </c>
      <c r="AK61" s="22">
        <f>IF(E61&gt;=Upgrades!$E$13,"",Upgrades!$C$13*POWER(Upgrades!$D$13,E61))</f>
        <v/>
      </c>
      <c r="AL61" s="22">
        <f>IF(F61&gt;=Upgrades!$E$14,"",Upgrades!$C$14*POWER(Upgrades!$D$14,F61))</f>
        <v/>
      </c>
      <c r="AM61" s="22">
        <f>IF(G61&gt;=Upgrades!$E$15,"",Upgrades!$C$15*POWER(Upgrades!$D$15,G61))</f>
        <v/>
      </c>
      <c r="AN61" s="22">
        <f>IF(H61&gt;=Upgrades!$E$16,"",Upgrades!$C$16*POWER(Upgrades!$D$16,H61))</f>
        <v/>
      </c>
      <c r="AO61" s="22">
        <f>IF(I61&gt;=Upgrades!$E$17,"",Upgrades!$C$17*POWER(Upgrades!$D$17,I61))</f>
        <v/>
      </c>
      <c r="AP61" s="22">
        <f>IF(J61&gt;=Upgrades!$E$18,"",Upgrades!$C$18*POWER(Upgrades!$D$18,J61))</f>
        <v/>
      </c>
      <c r="AQ61" s="22">
        <f>IF(K61&gt;=Upgrades!$E$19,"",Upgrades!$C$19*POWER(Upgrades!$D$19,K61))</f>
        <v/>
      </c>
      <c r="AR61" s="22">
        <f>IF(L61&gt;=Upgrades!$E$20,"",Upgrades!$C$20*POWER(Upgrades!$D$20,L61))</f>
        <v/>
      </c>
      <c r="AS61" s="22">
        <f>IF(M61&gt;=Upgrades!$E$21,"",Upgrades!$C$21*POWER(Upgrades!$D$21,M61))</f>
        <v/>
      </c>
      <c r="AT61" s="26">
        <f>IF(AND(D61&gt;=Parameters!$B$18*Parameters!$B$19,(I61&gt;=Upgrades!$E$17)*(M61&gt;=Upgrades!$E$21)=1,N61=0),1,"")</f>
        <v/>
      </c>
      <c r="AU61" s="26">
        <f>IF(AND(D61&gt;=Parameters!$B$18*Parameters!$B$19,N61=0),1,"")</f>
        <v/>
      </c>
      <c r="AV61" s="22">
        <f>MIN(IF(ISNUMBER(AP61),AP61,9E15),IF(ISNUMBER(AQ61),AQ61,9E15),IF(ISNUMBER(AR61),AR61,9E15),IF(ISNUMBER(AS61),AS61,9E15))</f>
        <v/>
      </c>
      <c r="AW61" s="22">
        <f>MIN(IF(ISNUMBER(AK61),AK61,9E15),IF(ISNUMBER(AL61),AL61,9E15),IF(ISNUMBER(AM61),AM61,9E15),IF(ISNUMBER(AN61),AN61,9E15),IF(ISNUMBER(AO61),AO61,9E15))</f>
        <v/>
      </c>
      <c r="AX61" s="29">
        <f>IF(BD61&gt;Parameters!$B$21*(MAX(IF(AND(NOT(AND(AU61=1,AT61&lt;&gt;1)),ISNUMBER(AK61),AK61&lt;=(C61+T61)),AY61,0),IF(AND(NOT(AND(AU61=1,AT61&lt;&gt;1)),ISNUMBER(AL61),AL61&lt;=(C61+T61)),AZ61,0),IF(AND(NOT(AND(AU61=1,AT61&lt;&gt;1)),ISNUMBER(AM61),AM61&lt;=(C61+T61)),BA61,0),IF(AND(NOT(AND(AU61=1,AT61&lt;&gt;1)),ISNUMBER(AN61),AN61&lt;=(C61+T61)),BB61,0),IF(AND(ISNUMBER(AO61),AO61&lt;=(C61+T61)),BC61,0))),TRUE,FALSE)</f>
        <v/>
      </c>
      <c r="AY61" s="32">
        <f>IFERROR(Upgrades!$H$13*(POWER(Upgrades!$P$13,E61)*POWER(Upgrades!$P$14,F61)*POWER(Upgrades!$P$15,G61)*POWER(Upgrades!$P$16,H61)*POWER(Upgrades!$P$17,I61)*POWER(Upgrades!$P$18,J61)*POWER(Upgrades!$P$19,K61)*POWER(Upgrades!$P$20,L61)*POWER(Upgrades!$P$21,M61))*(IF(Upgrades!$T$14="Stellar Kinematics",POWER(Upgrades!$U$14,F61),1)*IF(Upgrades!$T$15="Stellar Kinematics",POWER(Upgrades!$U$15,G61),1)*IF(Upgrades!$T$16="Stellar Kinematics",POWER(Upgrades!$U$16,H61),1)*IF(Upgrades!$T$17="Stellar Kinematics",POWER(Upgrades!$U$17,I61),1)*IF(Upgrades!$T$18="Stellar Kinematics",POWER(Upgrades!$U$18,J61),1)*IF(Upgrades!$T$19="Stellar Kinematics",POWER(Upgrades!$U$19,K61),1)*IF(Upgrades!$T$20="Stellar Kinematics",POWER(Upgrades!$U$20,L61),1)*IF(Upgrades!$T$21="Stellar Kinematics",POWER(Upgrades!$U$21,M61),1))*$F$6/AK61,0)</f>
        <v/>
      </c>
      <c r="AZ61" s="32">
        <f>IFERROR(Upgrades!$H$14*(POWER(Upgrades!$P$13,E61)*POWER(Upgrades!$P$14,F61)*POWER(Upgrades!$P$15,G61)*POWER(Upgrades!$P$16,H61)*POWER(Upgrades!$P$17,I61)*POWER(Upgrades!$P$18,J61)*POWER(Upgrades!$P$19,K61)*POWER(Upgrades!$P$20,L61)*POWER(Upgrades!$P$21,M61))*(IF(Upgrades!$T$13="Local Bubble",POWER(Upgrades!$U$13,E61),1)*IF(Upgrades!$T$15="Local Bubble",POWER(Upgrades!$U$15,G61),1)*IF(Upgrades!$T$16="Local Bubble",POWER(Upgrades!$U$16,H61),1)*IF(Upgrades!$T$17="Local Bubble",POWER(Upgrades!$U$17,I61),1)*IF(Upgrades!$T$18="Local Bubble",POWER(Upgrades!$U$18,J61),1)*IF(Upgrades!$T$19="Local Bubble",POWER(Upgrades!$U$19,K61),1)*IF(Upgrades!$T$20="Local Bubble",POWER(Upgrades!$U$20,L61),1)*IF(Upgrades!$T$21="Local Bubble",POWER(Upgrades!$U$21,M61),1))*$F$6/AL61,0)</f>
        <v/>
      </c>
      <c r="BA61" s="32">
        <f>IFERROR(Upgrades!$K$15*(POWER(Upgrades!$Q$13,E61)*POWER(Upgrades!$Q$14,F61)*POWER(Upgrades!$Q$15,G61)*POWER(Upgrades!$Q$16,H61)*POWER(Upgrades!$Q$17,I61)*POWER(Upgrades!$Q$18,J61)*POWER(Upgrades!$Q$19,K61)*POWER(Upgrades!$Q$20,L61)*POWER(Upgrades!$Q$21,M61))*(IF(Upgrades!$T$13="Microlensing",POWER(Upgrades!$U$13,E61),1)*IF(Upgrades!$T$14="Microlensing",POWER(Upgrades!$U$14,F61),1)*IF(Upgrades!$T$16="Microlensing",POWER(Upgrades!$U$16,H61),1)*IF(Upgrades!$T$17="Microlensing",POWER(Upgrades!$U$17,I61),1)*IF(Upgrades!$T$18="Microlensing",POWER(Upgrades!$U$18,J61),1)*IF(Upgrades!$T$19="Microlensing",POWER(Upgrades!$U$19,K61),1)*IF(Upgrades!$T$20="Microlensing",POWER(Upgrades!$U$20,L61),1)*IF(Upgrades!$T$21="Microlensing",POWER(Upgrades!$U$21,M61),1))*$G$6*(Parameters!$B$10/60*Parameters!$B$11+Q61)/AM61,0)</f>
        <v/>
      </c>
      <c r="BB61" s="32">
        <f>IFERROR((Upgrades!$N$16*(POWER(Upgrades!$R$13,E61)*POWER(Upgrades!$R$14,F61)*POWER(Upgrades!$R$15,G61)*POWER(Upgrades!$R$16,H61)*POWER(Upgrades!$R$17,I61)*POWER(Upgrades!$R$18,J61)*POWER(Upgrades!$R$19,K61)*POWER(Upgrades!$R$20,L61)*POWER(Upgrades!$R$21,M61))*(IF(Upgrades!$T$13="Roche Lobe Overflow",POWER(Upgrades!$U$13,E61),1)*IF(Upgrades!$T$14="Roche Lobe Overflow",POWER(Upgrades!$U$14,F61),1)*IF(Upgrades!$T$15="Roche Lobe Overflow",POWER(Upgrades!$U$15,G61),1)*IF(Upgrades!$T$17="Roche Lobe Overflow",POWER(Upgrades!$U$17,I61),1)*IF(Upgrades!$T$18="Roche Lobe Overflow",POWER(Upgrades!$U$18,J61),1)*IF(Upgrades!$T$19="Roche Lobe Overflow",POWER(Upgrades!$U$19,K61),1)*IF(Upgrades!$T$20="Roche Lobe Overflow",POWER(Upgrades!$U$20,L61),1)*IF(Upgrades!$T$21="Roche Lobe Overflow",POWER(Upgrades!$U$21,M61),1))*$H$6*O61+((IF(F61=0,0,(Upgrades!$G$14+F61*Upgrades!$H$14)*POWER(Upgrades!$I$14,F61)))*(IF(Upgrades!$T$13="Local Bubble",POWER(Upgrades!$U$13,E61),1)*IF(Upgrades!$T$15="Local Bubble",POWER(Upgrades!$U$15,G61),1)*IF(Upgrades!$T$16="Local Bubble",POWER(Upgrades!$U$16,H61),1)*IF(Upgrades!$T$17="Local Bubble",POWER(Upgrades!$U$17,I61),1)*IF(Upgrades!$T$18="Local Bubble",POWER(Upgrades!$U$18,J61),1)*IF(Upgrades!$T$19="Local Bubble",POWER(Upgrades!$U$19,K61),1)*IF(Upgrades!$T$20="Local Bubble",POWER(Upgrades!$U$20,L61),1)*IF(Upgrades!$T$21="Local Bubble",POWER(Upgrades!$U$21,M61),1))*POWER(Upgrades!$P$13,E61)*POWER(Upgrades!$P$14,F61)*POWER(Upgrades!$P$15,G61)*POWER(Upgrades!$P$16,H61)*POWER(Upgrades!$P$17,I61)*POWER(Upgrades!$P$18,J61)*POWER(Upgrades!$P$19,K61)*POWER(Upgrades!$P$20,L61)*POWER(Upgrades!$P$21,M61)*$F$6)*0.05)/AN61,0)</f>
        <v/>
      </c>
      <c r="BC61" s="32">
        <f>IFERROR((Upgrades!$H$17*(POWER(Upgrades!$P$13,E61)*POWER(Upgrades!$P$14,F61)*POWER(Upgrades!$P$15,G61)*POWER(Upgrades!$P$16,H61)*POWER(Upgrades!$P$17,I61)*POWER(Upgrades!$P$18,J61)*POWER(Upgrades!$P$19,K61)*POWER(Upgrades!$P$20,L61)*POWER(Upgrades!$P$21,M61))*(IF(Upgrades!$T$13="Brown Dwarf",POWER(Upgrades!$U$13,E61),1)*IF(Upgrades!$T$14="Brown Dwarf",POWER(Upgrades!$U$14,F61),1)*IF(Upgrades!$T$15="Brown Dwarf",POWER(Upgrades!$U$15,G61),1)*IF(Upgrades!$T$16="Brown Dwarf",POWER(Upgrades!$U$16,H61),1)*IF(Upgrades!$T$18="Brown Dwarf",POWER(Upgrades!$U$18,J61),1)*IF(Upgrades!$T$19="Brown Dwarf",POWER(Upgrades!$U$19,K61),1)*IF(Upgrades!$T$20="Brown Dwarf",POWER(Upgrades!$U$20,L61),1)*IF(Upgrades!$T$21="Brown Dwarf",POWER(Upgrades!$U$21,M61),1))*$F$6+(((IF(H61=0,0,(Upgrades!$M$16+H61*Upgrades!$N$16)*POWER(Upgrades!$O$16,H61)))*(IF(Upgrades!$T$13="Roche Lobe Overflow",POWER(Upgrades!$U$13,E61),1)*IF(Upgrades!$T$14="Roche Lobe Overflow",POWER(Upgrades!$U$14,F61),1)*IF(Upgrades!$T$15="Roche Lobe Overflow",POWER(Upgrades!$U$15,G61),1)*IF(Upgrades!$T$17="Roche Lobe Overflow",POWER(Upgrades!$U$17,I61),1)*IF(Upgrades!$T$18="Roche Lobe Overflow",POWER(Upgrades!$U$18,J61),1)*IF(Upgrades!$T$19="Roche Lobe Overflow",POWER(Upgrades!$U$19,K61),1)*IF(Upgrades!$T$20="Roche Lobe Overflow",POWER(Upgrades!$U$20,L61),1)*IF(Upgrades!$T$21="Roche Lobe Overflow",POWER(Upgrades!$U$21,M61),1))*POWER(Upgrades!$R$13,E61)*POWER(Upgrades!$R$14,F61)*POWER(Upgrades!$R$15,G61)*POWER(Upgrades!$R$16,H61)*POWER(Upgrades!$R$17,I61)*POWER(Upgrades!$R$18,J61)*POWER(Upgrades!$R$19,K61)*POWER(Upgrades!$R$20,L61)*POWER(Upgrades!$R$21,M61)*$H$6)*O61)*0.10)/AO61,0)</f>
        <v/>
      </c>
      <c r="BD61" s="32">
        <f>MAX(IF(J61&gt;0,0,IFERROR(0.5*((IF(G61=0,0,(Upgrades!$J$15+G61*Upgrades!$K$15)*POWER(Upgrades!$L$15,G61)))*(IF(Upgrades!$T$13="Microlensing",POWER(Upgrades!$U$13,E61),1)*IF(Upgrades!$T$14="Microlensing",POWER(Upgrades!$U$14,F61),1)*IF(Upgrades!$T$16="Microlensing",POWER(Upgrades!$U$16,H61),1)*IF(Upgrades!$T$17="Microlensing",POWER(Upgrades!$U$17,I61),1)*IF(Upgrades!$T$18="Microlensing",POWER(Upgrades!$U$18,J61),1)*IF(Upgrades!$T$19="Microlensing",POWER(Upgrades!$U$19,K61),1)*IF(Upgrades!$T$20="Microlensing",POWER(Upgrades!$U$20,L61),1)*IF(Upgrades!$T$21="Microlensing",POWER(Upgrades!$U$21,M61),1))*(POWER(Upgrades!$Q$13,E61)*POWER(Upgrades!$Q$14,F61)*POWER(Upgrades!$Q$15,G61)*POWER(Upgrades!$Q$16,H61)*POWER(Upgrades!$Q$17,I61)*POWER(Upgrades!$Q$18,J61)*POWER(Upgrades!$Q$19,K61)*POWER(Upgrades!$Q$20,L61)*POWER(Upgrades!$Q$21,M61))*$G$6*(Parameters!$B$10/60*Parameters!$B$11+Q61))/Upgrades!$C$18,0)),IF(K61&gt;0,0,IFERROR(0.30*P61/Upgrades!$C$19,0)),IF(L61&gt;0,0,IFERROR(0.0001/Upgrades!$C$20,0)),IF(M61&gt;0,0,IFERROR((6.0*(POWER(Upgrades!$P$13,E61)*POWER(Upgrades!$P$14,F61)*POWER(Upgrades!$P$15,G61)*POWER(Upgrades!$P$16,H61)*POWER(Upgrades!$P$17,I61)*POWER(Upgrades!$P$18,J61)*POWER(Upgrades!$P$19,K61)*POWER(Upgrades!$P$20,L61)*POWER(Upgrades!$P$21,M61))*$F$6+0.20*O61*(Parameters!$B$10/60*Parameters!$B$11+Q61))/Upgrades!$C$21,0)),IF(AND(ISNUMBER(AK61),AK61&gt;(C61+T61)),AY61,0),IF(AND(ISNUMBER(AL61),AL61&gt;(C61+T61)),AZ61,0),IF(AND(ISNUMBER(AM61),AM61&gt;(C61+T61)),BA61,0),IF(AND(ISNUMBER(AN61),AN61&gt;(C61+T61)),BB61,0),IF(AND(ISNUMBER(AO61),AO61&gt;(C61+T61)),BC61,0))</f>
        <v/>
      </c>
      <c r="BE61" s="29">
        <f>IF(AT61=1,"transition",IF(MIN(IF(AND(J61=0,ISNUMBER(AP61),AP61&lt;=(C61+T61)),AP61,9E15),IF(AND(K61=0,ISNUMBER(AQ61),AQ61&lt;=(C61+T61)),AQ61,9E15),IF(AND(L61=0,ISNUMBER(AR61),AR61&lt;=(C61+T61)),AR61,9E15),IF(AND(M61=0,ISNUMBER(AS61),AS61&lt;=(C61+T61)),AS61,9E15))&lt;9E15,IF(AND(AND(J61=0,ISNUMBER(AP61),AP61&lt;=(C61+T61)),AP61=MIN(IF(AND(J61=0,ISNUMBER(AP61),AP61&lt;=(C61+T61)),AP61,9E15),IF(AND(K61=0,ISNUMBER(AQ61),AQ61&lt;=(C61+T61)),AQ61,9E15),IF(AND(L61=0,ISNUMBER(AR61),AR61&lt;=(C61+T61)),AR61,9E15),IF(AND(M61=0,ISNUMBER(AS61),AS61&lt;=(C61+T61)),AS61,9E15))),"BiP",IF(AND(AND(K61=0,ISNUMBER(AQ61),AQ61&lt;=(C61+T61)),AQ61=MIN(IF(AND(J61=0,ISNUMBER(AP61),AP61&lt;=(C61+T61)),AP61,9E15),IF(AND(K61=0,ISNUMBER(AQ61),AQ61&lt;=(C61+T61)),AQ61,9E15),IF(AND(L61=0,ISNUMBER(AR61),AR61&lt;=(C61+T61)),AR61,9E15),IF(AND(M61=0,ISNUMBER(AS61),AS61&lt;=(C61+T61)),AS61,9E15))),"PV",IF(AND(AND(L61=0,ISNUMBER(AR61),AR61&lt;=(C61+T61)),AR61=MIN(IF(AND(J61=0,ISNUMBER(AP61),AP61&lt;=(C61+T61)),AP61,9E15),IF(AND(K61=0,ISNUMBER(AQ61),AQ61&lt;=(C61+T61)),AQ61,9E15),IF(AND(L61=0,ISNUMBER(AR61),AR61&lt;=(C61+T61)),AR61,9E15),IF(AND(M61=0,ISNUMBER(AS61),AS61&lt;=(C61+T61)),AS61,9E15))),"OC","MG"))),IF(AX61=TRUE,"",IF(MAX(IF(AND(NOT(AND(AU61=1,AT61&lt;&gt;1)),ISNUMBER(AK61),AK61&lt;=(C61+T61)),AY61,0),IF(AND(NOT(AND(AU61=1,AT61&lt;&gt;1)),ISNUMBER(AL61),AL61&lt;=(C61+T61)),AZ61,0),IF(AND(NOT(AND(AU61=1,AT61&lt;&gt;1)),ISNUMBER(AM61),AM61&lt;=(C61+T61)),BA61,0),IF(AND(NOT(AND(AU61=1,AT61&lt;&gt;1)),ISNUMBER(AN61),AN61&lt;=(C61+T61)),BB61,0),IF(AND(ISNUMBER(AO61),AO61&lt;=(C61+T61)),BC61,0))&lt;=0,"",IF(AND(IF(AND(NOT(AND(AU61=1,AT61&lt;&gt;1)),ISNUMBER(AK61),AK61&lt;=(C61+T61)),AY61,0)&gt;0,IF(AND(NOT(AND(AU61=1,AT61&lt;&gt;1)),ISNUMBER(AK61),AK61&lt;=(C61+T61)),AY61,0)=MAX(IF(AND(NOT(AND(AU61=1,AT61&lt;&gt;1)),ISNUMBER(AK61),AK61&lt;=(C61+T61)),AY61,0),IF(AND(NOT(AND(AU61=1,AT61&lt;&gt;1)),ISNUMBER(AL61),AL61&lt;=(C61+T61)),AZ61,0),IF(AND(NOT(AND(AU61=1,AT61&lt;&gt;1)),ISNUMBER(AM61),AM61&lt;=(C61+T61)),BA61,0),IF(AND(NOT(AND(AU61=1,AT61&lt;&gt;1)),ISNUMBER(AN61),AN61&lt;=(C61+T61)),BB61,0),IF(AND(ISNUMBER(AO61),AO61&lt;=(C61+T61)),BC61,0))),"SK",IF(AND(IF(AND(NOT(AND(AU61=1,AT61&lt;&gt;1)),ISNUMBER(AL61),AL61&lt;=(C61+T61)),AZ61,0)&gt;0,IF(AND(NOT(AND(AU61=1,AT61&lt;&gt;1)),ISNUMBER(AL61),AL61&lt;=(C61+T61)),AZ61,0)=MAX(IF(AND(NOT(AND(AU61=1,AT61&lt;&gt;1)),ISNUMBER(AK61),AK61&lt;=(C61+T61)),AY61,0),IF(AND(NOT(AND(AU61=1,AT61&lt;&gt;1)),ISNUMBER(AL61),AL61&lt;=(C61+T61)),AZ61,0),IF(AND(NOT(AND(AU61=1,AT61&lt;&gt;1)),ISNUMBER(AM61),AM61&lt;=(C61+T61)),BA61,0),IF(AND(NOT(AND(AU61=1,AT61&lt;&gt;1)),ISNUMBER(AN61),AN61&lt;=(C61+T61)),BB61,0),IF(AND(ISNUMBER(AO61),AO61&lt;=(C61+T61)),BC61,0))),"LB",IF(AND(IF(AND(NOT(AND(AU61=1,AT61&lt;&gt;1)),ISNUMBER(AM61),AM61&lt;=(C61+T61)),BA61,0)&gt;0,IF(AND(NOT(AND(AU61=1,AT61&lt;&gt;1)),ISNUMBER(AM61),AM61&lt;=(C61+T61)),BA61,0)=MAX(IF(AND(NOT(AND(AU61=1,AT61&lt;&gt;1)),ISNUMBER(AK61),AK61&lt;=(C61+T61)),AY61,0),IF(AND(NOT(AND(AU61=1,AT61&lt;&gt;1)),ISNUMBER(AL61),AL61&lt;=(C61+T61)),AZ61,0),IF(AND(NOT(AND(AU61=1,AT61&lt;&gt;1)),ISNUMBER(AM61),AM61&lt;=(C61+T61)),BA61,0),IF(AND(NOT(AND(AU61=1,AT61&lt;&gt;1)),ISNUMBER(AN61),AN61&lt;=(C61+T61)),BB61,0),IF(AND(ISNUMBER(AO61),AO61&lt;=(C61+T61)),BC61,0))),"ML",IF(AND(IF(AND(NOT(AND(AU61=1,AT61&lt;&gt;1)),ISNUMBER(AN61),AN61&lt;=(C61+T61)),BB61,0)&gt;0,IF(AND(NOT(AND(AU61=1,AT61&lt;&gt;1)),ISNUMBER(AN61),AN61&lt;=(C61+T61)),BB61,0)=MAX(IF(AND(NOT(AND(AU61=1,AT61&lt;&gt;1)),ISNUMBER(AK61),AK61&lt;=(C61+T61)),AY61,0),IF(AND(NOT(AND(AU61=1,AT61&lt;&gt;1)),ISNUMBER(AL61),AL61&lt;=(C61+T61)),AZ61,0),IF(AND(NOT(AND(AU61=1,AT61&lt;&gt;1)),ISNUMBER(AM61),AM61&lt;=(C61+T61)),BA61,0),IF(AND(NOT(AND(AU61=1,AT61&lt;&gt;1)),ISNUMBER(AN61),AN61&lt;=(C61+T61)),BB61,0),IF(AND(ISNUMBER(AO61),AO61&lt;=(C61+T61)),BC61,0))),"RLO","BD"))))))))</f>
        <v/>
      </c>
    </row>
    <row r="62">
      <c r="A62" s="26" t="n">
        <v>51</v>
      </c>
      <c r="B62" s="27">
        <f>A62*10/60</f>
        <v/>
      </c>
      <c r="C62" s="22">
        <f>X61</f>
        <v/>
      </c>
      <c r="D62" s="27">
        <f>D61+W61</f>
        <v/>
      </c>
      <c r="E62" s="26">
        <f>E61+IF(U61="SK",1,0)</f>
        <v/>
      </c>
      <c r="F62" s="26">
        <f>F61+IF(U61="LB",1,0)</f>
        <v/>
      </c>
      <c r="G62" s="26">
        <f>G61+IF(U61="ML",1,0)</f>
        <v/>
      </c>
      <c r="H62" s="26">
        <f>H61+IF(U61="RLO",1,0)</f>
        <v/>
      </c>
      <c r="I62" s="26">
        <f>I61+IF(U61="BD",1,0)</f>
        <v/>
      </c>
      <c r="J62" s="26">
        <f>MAX(J61,IF(U61="BiP",1,0))</f>
        <v/>
      </c>
      <c r="K62" s="26">
        <f>MAX(K61,IF(U61="PV",1,0))</f>
        <v/>
      </c>
      <c r="L62" s="26">
        <f>MAX(L61,IF(U61="OC",1,0))</f>
        <v/>
      </c>
      <c r="M62" s="26">
        <f>MAX(M61,IF(U61="MG",1,0))</f>
        <v/>
      </c>
      <c r="N62" s="26">
        <f>MAX(N61,IF(U61="transition",1,0))</f>
        <v/>
      </c>
      <c r="O62" s="28">
        <f>(Parameters!$B$9+(IF(E62=0,0,(Upgrades!$J$13+E62*Upgrades!$K$13)*POWER(Upgrades!$L$13,E62)))*(IF(Upgrades!$T$14="Stellar Kinematics",POWER(Upgrades!$U$14,F62),1)*IF(Upgrades!$T$15="Stellar Kinematics",POWER(Upgrades!$U$15,G62),1)*IF(Upgrades!$T$16="Stellar Kinematics",POWER(Upgrades!$U$16,H62),1)*IF(Upgrades!$T$17="Stellar Kinematics",POWER(Upgrades!$U$17,I62),1)*IF(Upgrades!$T$18="Stellar Kinematics",POWER(Upgrades!$U$18,J62),1)*IF(Upgrades!$T$19="Stellar Kinematics",POWER(Upgrades!$U$19,K62),1)*IF(Upgrades!$T$20="Stellar Kinematics",POWER(Upgrades!$U$20,L62),1)*IF(Upgrades!$T$21="Stellar Kinematics",POWER(Upgrades!$U$21,M62),1))+(IF(F62=0,0,(Upgrades!$J$14+F62*Upgrades!$K$14)*POWER(Upgrades!$L$14,F62)))*(IF(Upgrades!$T$13="Local Bubble",POWER(Upgrades!$U$13,E62),1)*IF(Upgrades!$T$15="Local Bubble",POWER(Upgrades!$U$15,G62),1)*IF(Upgrades!$T$16="Local Bubble",POWER(Upgrades!$U$16,H62),1)*IF(Upgrades!$T$17="Local Bubble",POWER(Upgrades!$U$17,I62),1)*IF(Upgrades!$T$18="Local Bubble",POWER(Upgrades!$U$18,J62),1)*IF(Upgrades!$T$19="Local Bubble",POWER(Upgrades!$U$19,K62),1)*IF(Upgrades!$T$20="Local Bubble",POWER(Upgrades!$U$20,L62),1)*IF(Upgrades!$T$21="Local Bubble",POWER(Upgrades!$U$21,M62),1))+(IF(G62=0,0,(Upgrades!$J$15+G62*Upgrades!$K$15)*POWER(Upgrades!$L$15,G62)))*(IF(Upgrades!$T$13="Microlensing",POWER(Upgrades!$U$13,E62),1)*IF(Upgrades!$T$14="Microlensing",POWER(Upgrades!$U$14,F62),1)*IF(Upgrades!$T$16="Microlensing",POWER(Upgrades!$U$16,H62),1)*IF(Upgrades!$T$17="Microlensing",POWER(Upgrades!$U$17,I62),1)*IF(Upgrades!$T$18="Microlensing",POWER(Upgrades!$U$18,J62),1)*IF(Upgrades!$T$19="Microlensing",POWER(Upgrades!$U$19,K62),1)*IF(Upgrades!$T$20="Microlensing",POWER(Upgrades!$U$20,L62),1)*IF(Upgrades!$T$21="Microlensing",POWER(Upgrades!$U$21,M62),1))+(IF(H62=0,0,(Upgrades!$J$16+H62*Upgrades!$K$16)*POWER(Upgrades!$L$16,H62)))*(IF(Upgrades!$T$13="Roche Lobe Overflow",POWER(Upgrades!$U$13,E62),1)*IF(Upgrades!$T$14="Roche Lobe Overflow",POWER(Upgrades!$U$14,F62),1)*IF(Upgrades!$T$15="Roche Lobe Overflow",POWER(Upgrades!$U$15,G62),1)*IF(Upgrades!$T$17="Roche Lobe Overflow",POWER(Upgrades!$U$17,I62),1)*IF(Upgrades!$T$18="Roche Lobe Overflow",POWER(Upgrades!$U$18,J62),1)*IF(Upgrades!$T$19="Roche Lobe Overflow",POWER(Upgrades!$U$19,K62),1)*IF(Upgrades!$T$20="Roche Lobe Overflow",POWER(Upgrades!$U$20,L62),1)*IF(Upgrades!$T$21="Roche Lobe Overflow",POWER(Upgrades!$U$21,M62),1))+(IF(I62=0,0,(Upgrades!$J$17+I62*Upgrades!$K$17)*POWER(Upgrades!$L$17,I62)))*(IF(Upgrades!$T$13="Brown Dwarf",POWER(Upgrades!$U$13,E62),1)*IF(Upgrades!$T$14="Brown Dwarf",POWER(Upgrades!$U$14,F62),1)*IF(Upgrades!$T$15="Brown Dwarf",POWER(Upgrades!$U$15,G62),1)*IF(Upgrades!$T$16="Brown Dwarf",POWER(Upgrades!$U$16,H62),1)*IF(Upgrades!$T$18="Brown Dwarf",POWER(Upgrades!$U$18,J62),1)*IF(Upgrades!$T$19="Brown Dwarf",POWER(Upgrades!$U$19,K62),1)*IF(Upgrades!$T$20="Brown Dwarf",POWER(Upgrades!$U$20,L62),1)*IF(Upgrades!$T$21="Brown Dwarf",POWER(Upgrades!$U$21,M62),1))+(IF(J62=0,0,(Upgrades!$J$18+J62*Upgrades!$K$18)*POWER(Upgrades!$L$18,J62)))*(IF(Upgrades!$T$13="Binary Partner",POWER(Upgrades!$U$13,E62),1)*IF(Upgrades!$T$14="Binary Partner",POWER(Upgrades!$U$14,F62),1)*IF(Upgrades!$T$15="Binary Partner",POWER(Upgrades!$U$15,G62),1)*IF(Upgrades!$T$16="Binary Partner",POWER(Upgrades!$U$16,H62),1)*IF(Upgrades!$T$17="Binary Partner",POWER(Upgrades!$U$17,I62),1)*IF(Upgrades!$T$19="Binary Partner",POWER(Upgrades!$U$19,K62),1)*IF(Upgrades!$T$20="Binary Partner",POWER(Upgrades!$U$20,L62),1)*IF(Upgrades!$T$21="Binary Partner",POWER(Upgrades!$U$21,M62),1))+(IF(K62=0,0,(Upgrades!$J$19+K62*Upgrades!$K$19)*POWER(Upgrades!$L$19,K62)))*(IF(Upgrades!$T$13="Peculiar Velocity",POWER(Upgrades!$U$13,E62),1)*IF(Upgrades!$T$14="Peculiar Velocity",POWER(Upgrades!$U$14,F62),1)*IF(Upgrades!$T$15="Peculiar Velocity",POWER(Upgrades!$U$15,G62),1)*IF(Upgrades!$T$16="Peculiar Velocity",POWER(Upgrades!$U$16,H62),1)*IF(Upgrades!$T$17="Peculiar Velocity",POWER(Upgrades!$U$17,I62),1)*IF(Upgrades!$T$18="Peculiar Velocity",POWER(Upgrades!$U$18,J62),1)*IF(Upgrades!$T$20="Peculiar Velocity",POWER(Upgrades!$U$20,L62),1)*IF(Upgrades!$T$21="Peculiar Velocity",POWER(Upgrades!$U$21,M62),1))+(IF(L62=0,0,(Upgrades!$J$20+L62*Upgrades!$K$20)*POWER(Upgrades!$L$20,L62)))*(IF(Upgrades!$T$13="Open Cluster",POWER(Upgrades!$U$13,E62),1)*IF(Upgrades!$T$14="Open Cluster",POWER(Upgrades!$U$14,F62),1)*IF(Upgrades!$T$15="Open Cluster",POWER(Upgrades!$U$15,G62),1)*IF(Upgrades!$T$16="Open Cluster",POWER(Upgrades!$U$16,H62),1)*IF(Upgrades!$T$17="Open Cluster",POWER(Upgrades!$U$17,I62),1)*IF(Upgrades!$T$18="Open Cluster",POWER(Upgrades!$U$18,J62),1)*IF(Upgrades!$T$19="Open Cluster",POWER(Upgrades!$U$19,K62),1)*IF(Upgrades!$T$21="Open Cluster",POWER(Upgrades!$U$21,M62),1))+(IF(M62=0,0,(Upgrades!$J$21+M62*Upgrades!$K$21)*POWER(Upgrades!$L$21,M62)))*(IF(Upgrades!$T$13="Moving Group",POWER(Upgrades!$U$13,E62),1)*IF(Upgrades!$T$14="Moving Group",POWER(Upgrades!$U$14,F62),1)*IF(Upgrades!$T$15="Moving Group",POWER(Upgrades!$U$15,G62),1)*IF(Upgrades!$T$16="Moving Group",POWER(Upgrades!$U$16,H62),1)*IF(Upgrades!$T$17="Moving Group",POWER(Upgrades!$U$17,I62),1)*IF(Upgrades!$T$18="Moving Group",POWER(Upgrades!$U$18,J62),1)*IF(Upgrades!$T$19="Moving Group",POWER(Upgrades!$U$19,K62),1)*IF(Upgrades!$T$20="Moving Group",POWER(Upgrades!$U$20,L62),1)))*POWER(Upgrades!$Q$13,E62)*POWER(Upgrades!$Q$14,F62)*POWER(Upgrades!$Q$15,G62)*POWER(Upgrades!$Q$16,H62)*POWER(Upgrades!$Q$17,I62)*POWER(Upgrades!$Q$18,J62)*POWER(Upgrades!$Q$19,K62)*POWER(Upgrades!$Q$20,L62)*POWER(Upgrades!$Q$21,M62)*$G$6+$D$6</f>
        <v/>
      </c>
      <c r="P62" s="28">
        <f>((IF(E62=0,0,(Upgrades!$G$13+E62*Upgrades!$H$13)*POWER(Upgrades!$I$13,E62)))*(IF(Upgrades!$T$14="Stellar Kinematics",POWER(Upgrades!$U$14,F62),1)*IF(Upgrades!$T$15="Stellar Kinematics",POWER(Upgrades!$U$15,G62),1)*IF(Upgrades!$T$16="Stellar Kinematics",POWER(Upgrades!$U$16,H62),1)*IF(Upgrades!$T$17="Stellar Kinematics",POWER(Upgrades!$U$17,I62),1)*IF(Upgrades!$T$18="Stellar Kinematics",POWER(Upgrades!$U$18,J62),1)*IF(Upgrades!$T$19="Stellar Kinematics",POWER(Upgrades!$U$19,K62),1)*IF(Upgrades!$T$20="Stellar Kinematics",POWER(Upgrades!$U$20,L62),1)*IF(Upgrades!$T$21="Stellar Kinematics",POWER(Upgrades!$U$21,M62),1))+(IF(F62=0,0,(Upgrades!$G$14+F62*Upgrades!$H$14)*POWER(Upgrades!$I$14,F62)))*(IF(Upgrades!$T$13="Local Bubble",POWER(Upgrades!$U$13,E62),1)*IF(Upgrades!$T$15="Local Bubble",POWER(Upgrades!$U$15,G62),1)*IF(Upgrades!$T$16="Local Bubble",POWER(Upgrades!$U$16,H62),1)*IF(Upgrades!$T$17="Local Bubble",POWER(Upgrades!$U$17,I62),1)*IF(Upgrades!$T$18="Local Bubble",POWER(Upgrades!$U$18,J62),1)*IF(Upgrades!$T$19="Local Bubble",POWER(Upgrades!$U$19,K62),1)*IF(Upgrades!$T$20="Local Bubble",POWER(Upgrades!$U$20,L62),1)*IF(Upgrades!$T$21="Local Bubble",POWER(Upgrades!$U$21,M62),1))+(IF(G62=0,0,(Upgrades!$G$15+G62*Upgrades!$H$15)*POWER(Upgrades!$I$15,G62)))*(IF(Upgrades!$T$13="Microlensing",POWER(Upgrades!$U$13,E62),1)*IF(Upgrades!$T$14="Microlensing",POWER(Upgrades!$U$14,F62),1)*IF(Upgrades!$T$16="Microlensing",POWER(Upgrades!$U$16,H62),1)*IF(Upgrades!$T$17="Microlensing",POWER(Upgrades!$U$17,I62),1)*IF(Upgrades!$T$18="Microlensing",POWER(Upgrades!$U$18,J62),1)*IF(Upgrades!$T$19="Microlensing",POWER(Upgrades!$U$19,K62),1)*IF(Upgrades!$T$20="Microlensing",POWER(Upgrades!$U$20,L62),1)*IF(Upgrades!$T$21="Microlensing",POWER(Upgrades!$U$21,M62),1))+(IF(H62=0,0,(Upgrades!$G$16+H62*Upgrades!$H$16)*POWER(Upgrades!$I$16,H62)))*(IF(Upgrades!$T$13="Roche Lobe Overflow",POWER(Upgrades!$U$13,E62),1)*IF(Upgrades!$T$14="Roche Lobe Overflow",POWER(Upgrades!$U$14,F62),1)*IF(Upgrades!$T$15="Roche Lobe Overflow",POWER(Upgrades!$U$15,G62),1)*IF(Upgrades!$T$17="Roche Lobe Overflow",POWER(Upgrades!$U$17,I62),1)*IF(Upgrades!$T$18="Roche Lobe Overflow",POWER(Upgrades!$U$18,J62),1)*IF(Upgrades!$T$19="Roche Lobe Overflow",POWER(Upgrades!$U$19,K62),1)*IF(Upgrades!$T$20="Roche Lobe Overflow",POWER(Upgrades!$U$20,L62),1)*IF(Upgrades!$T$21="Roche Lobe Overflow",POWER(Upgrades!$U$21,M62),1))+(IF(I62=0,0,(Upgrades!$G$17+I62*Upgrades!$H$17)*POWER(Upgrades!$I$17,I62)))*(IF(Upgrades!$T$13="Brown Dwarf",POWER(Upgrades!$U$13,E62),1)*IF(Upgrades!$T$14="Brown Dwarf",POWER(Upgrades!$U$14,F62),1)*IF(Upgrades!$T$15="Brown Dwarf",POWER(Upgrades!$U$15,G62),1)*IF(Upgrades!$T$16="Brown Dwarf",POWER(Upgrades!$U$16,H62),1)*IF(Upgrades!$T$18="Brown Dwarf",POWER(Upgrades!$U$18,J62),1)*IF(Upgrades!$T$19="Brown Dwarf",POWER(Upgrades!$U$19,K62),1)*IF(Upgrades!$T$20="Brown Dwarf",POWER(Upgrades!$U$20,L62),1)*IF(Upgrades!$T$21="Brown Dwarf",POWER(Upgrades!$U$21,M62),1))+(IF(J62=0,0,(Upgrades!$G$18+J62*Upgrades!$H$18)*POWER(Upgrades!$I$18,J62)))*(IF(Upgrades!$T$13="Binary Partner",POWER(Upgrades!$U$13,E62),1)*IF(Upgrades!$T$14="Binary Partner",POWER(Upgrades!$U$14,F62),1)*IF(Upgrades!$T$15="Binary Partner",POWER(Upgrades!$U$15,G62),1)*IF(Upgrades!$T$16="Binary Partner",POWER(Upgrades!$U$16,H62),1)*IF(Upgrades!$T$17="Binary Partner",POWER(Upgrades!$U$17,I62),1)*IF(Upgrades!$T$19="Binary Partner",POWER(Upgrades!$U$19,K62),1)*IF(Upgrades!$T$20="Binary Partner",POWER(Upgrades!$U$20,L62),1)*IF(Upgrades!$T$21="Binary Partner",POWER(Upgrades!$U$21,M62),1))+(IF(K62=0,0,(Upgrades!$G$19+K62*Upgrades!$H$19)*POWER(Upgrades!$I$19,K62)))*(IF(Upgrades!$T$13="Peculiar Velocity",POWER(Upgrades!$U$13,E62),1)*IF(Upgrades!$T$14="Peculiar Velocity",POWER(Upgrades!$U$14,F62),1)*IF(Upgrades!$T$15="Peculiar Velocity",POWER(Upgrades!$U$15,G62),1)*IF(Upgrades!$T$16="Peculiar Velocity",POWER(Upgrades!$U$16,H62),1)*IF(Upgrades!$T$17="Peculiar Velocity",POWER(Upgrades!$U$17,I62),1)*IF(Upgrades!$T$18="Peculiar Velocity",POWER(Upgrades!$U$18,J62),1)*IF(Upgrades!$T$20="Peculiar Velocity",POWER(Upgrades!$U$20,L62),1)*IF(Upgrades!$T$21="Peculiar Velocity",POWER(Upgrades!$U$21,M62),1))+(IF(L62=0,0,(Upgrades!$G$20+L62*Upgrades!$H$20)*POWER(Upgrades!$I$20,L62)))*(IF(Upgrades!$T$13="Open Cluster",POWER(Upgrades!$U$13,E62),1)*IF(Upgrades!$T$14="Open Cluster",POWER(Upgrades!$U$14,F62),1)*IF(Upgrades!$T$15="Open Cluster",POWER(Upgrades!$U$15,G62),1)*IF(Upgrades!$T$16="Open Cluster",POWER(Upgrades!$U$16,H62),1)*IF(Upgrades!$T$17="Open Cluster",POWER(Upgrades!$U$17,I62),1)*IF(Upgrades!$T$18="Open Cluster",POWER(Upgrades!$U$18,J62),1)*IF(Upgrades!$T$19="Open Cluster",POWER(Upgrades!$U$19,K62),1)*IF(Upgrades!$T$21="Open Cluster",POWER(Upgrades!$U$21,M62),1))+(IF(M62=0,0,(Upgrades!$G$21+M62*Upgrades!$H$21)*POWER(Upgrades!$I$21,M62)))*(IF(Upgrades!$T$13="Moving Group",POWER(Upgrades!$U$13,E62),1)*IF(Upgrades!$T$14="Moving Group",POWER(Upgrades!$U$14,F62),1)*IF(Upgrades!$T$15="Moving Group",POWER(Upgrades!$U$15,G62),1)*IF(Upgrades!$T$16="Moving Group",POWER(Upgrades!$U$16,H62),1)*IF(Upgrades!$T$17="Moving Group",POWER(Upgrades!$U$17,I62),1)*IF(Upgrades!$T$18="Moving Group",POWER(Upgrades!$U$18,J62),1)*IF(Upgrades!$T$19="Moving Group",POWER(Upgrades!$U$19,K62),1)*IF(Upgrades!$T$20="Moving Group",POWER(Upgrades!$U$20,L62),1)))*POWER(Upgrades!$P$13,E62)*POWER(Upgrades!$P$14,F62)*POWER(Upgrades!$P$15,G62)*POWER(Upgrades!$P$16,H62)*POWER(Upgrades!$P$17,I62)*POWER(Upgrades!$P$18,J62)*POWER(Upgrades!$P$19,K62)*POWER(Upgrades!$P$20,L62)*POWER(Upgrades!$P$21,M62)*$F$6+$C$6</f>
        <v/>
      </c>
      <c r="Q62" s="28">
        <f>((IF(E62=0,0,(Upgrades!$M$13+E62*Upgrades!$N$13)*POWER(Upgrades!$O$13,E62)))*(IF(Upgrades!$T$14="Stellar Kinematics",POWER(Upgrades!$U$14,F62),1)*IF(Upgrades!$T$15="Stellar Kinematics",POWER(Upgrades!$U$15,G62),1)*IF(Upgrades!$T$16="Stellar Kinematics",POWER(Upgrades!$U$16,H62),1)*IF(Upgrades!$T$17="Stellar Kinematics",POWER(Upgrades!$U$17,I62),1)*IF(Upgrades!$T$18="Stellar Kinematics",POWER(Upgrades!$U$18,J62),1)*IF(Upgrades!$T$19="Stellar Kinematics",POWER(Upgrades!$U$19,K62),1)*IF(Upgrades!$T$20="Stellar Kinematics",POWER(Upgrades!$U$20,L62),1)*IF(Upgrades!$T$21="Stellar Kinematics",POWER(Upgrades!$U$21,M62),1))+(IF(F62=0,0,(Upgrades!$M$14+F62*Upgrades!$N$14)*POWER(Upgrades!$O$14,F62)))*(IF(Upgrades!$T$13="Local Bubble",POWER(Upgrades!$U$13,E62),1)*IF(Upgrades!$T$15="Local Bubble",POWER(Upgrades!$U$15,G62),1)*IF(Upgrades!$T$16="Local Bubble",POWER(Upgrades!$U$16,H62),1)*IF(Upgrades!$T$17="Local Bubble",POWER(Upgrades!$U$17,I62),1)*IF(Upgrades!$T$18="Local Bubble",POWER(Upgrades!$U$18,J62),1)*IF(Upgrades!$T$19="Local Bubble",POWER(Upgrades!$U$19,K62),1)*IF(Upgrades!$T$20="Local Bubble",POWER(Upgrades!$U$20,L62),1)*IF(Upgrades!$T$21="Local Bubble",POWER(Upgrades!$U$21,M62),1))+(IF(G62=0,0,(Upgrades!$M$15+G62*Upgrades!$N$15)*POWER(Upgrades!$O$15,G62)))*(IF(Upgrades!$T$13="Microlensing",POWER(Upgrades!$U$13,E62),1)*IF(Upgrades!$T$14="Microlensing",POWER(Upgrades!$U$14,F62),1)*IF(Upgrades!$T$16="Microlensing",POWER(Upgrades!$U$16,H62),1)*IF(Upgrades!$T$17="Microlensing",POWER(Upgrades!$U$17,I62),1)*IF(Upgrades!$T$18="Microlensing",POWER(Upgrades!$U$18,J62),1)*IF(Upgrades!$T$19="Microlensing",POWER(Upgrades!$U$19,K62),1)*IF(Upgrades!$T$20="Microlensing",POWER(Upgrades!$U$20,L62),1)*IF(Upgrades!$T$21="Microlensing",POWER(Upgrades!$U$21,M62),1))+(IF(H62=0,0,(Upgrades!$M$16+H62*Upgrades!$N$16)*POWER(Upgrades!$O$16,H62)))*(IF(Upgrades!$T$13="Roche Lobe Overflow",POWER(Upgrades!$U$13,E62),1)*IF(Upgrades!$T$14="Roche Lobe Overflow",POWER(Upgrades!$U$14,F62),1)*IF(Upgrades!$T$15="Roche Lobe Overflow",POWER(Upgrades!$U$15,G62),1)*IF(Upgrades!$T$17="Roche Lobe Overflow",POWER(Upgrades!$U$17,I62),1)*IF(Upgrades!$T$18="Roche Lobe Overflow",POWER(Upgrades!$U$18,J62),1)*IF(Upgrades!$T$19="Roche Lobe Overflow",POWER(Upgrades!$U$19,K62),1)*IF(Upgrades!$T$20="Roche Lobe Overflow",POWER(Upgrades!$U$20,L62),1)*IF(Upgrades!$T$21="Roche Lobe Overflow",POWER(Upgrades!$U$21,M62),1))+(IF(I62=0,0,(Upgrades!$M$17+I62*Upgrades!$N$17)*POWER(Upgrades!$O$17,I62)))*(IF(Upgrades!$T$13="Brown Dwarf",POWER(Upgrades!$U$13,E62),1)*IF(Upgrades!$T$14="Brown Dwarf",POWER(Upgrades!$U$14,F62),1)*IF(Upgrades!$T$15="Brown Dwarf",POWER(Upgrades!$U$15,G62),1)*IF(Upgrades!$T$16="Brown Dwarf",POWER(Upgrades!$U$16,H62),1)*IF(Upgrades!$T$18="Brown Dwarf",POWER(Upgrades!$U$18,J62),1)*IF(Upgrades!$T$19="Brown Dwarf",POWER(Upgrades!$U$19,K62),1)*IF(Upgrades!$T$20="Brown Dwarf",POWER(Upgrades!$U$20,L62),1)*IF(Upgrades!$T$21="Brown Dwarf",POWER(Upgrades!$U$21,M62),1))+(IF(J62=0,0,(Upgrades!$M$18+J62*Upgrades!$N$18)*POWER(Upgrades!$O$18,J62)))*(IF(Upgrades!$T$13="Binary Partner",POWER(Upgrades!$U$13,E62),1)*IF(Upgrades!$T$14="Binary Partner",POWER(Upgrades!$U$14,F62),1)*IF(Upgrades!$T$15="Binary Partner",POWER(Upgrades!$U$15,G62),1)*IF(Upgrades!$T$16="Binary Partner",POWER(Upgrades!$U$16,H62),1)*IF(Upgrades!$T$17="Binary Partner",POWER(Upgrades!$U$17,I62),1)*IF(Upgrades!$T$19="Binary Partner",POWER(Upgrades!$U$19,K62),1)*IF(Upgrades!$T$20="Binary Partner",POWER(Upgrades!$U$20,L62),1)*IF(Upgrades!$T$21="Binary Partner",POWER(Upgrades!$U$21,M62),1))+(IF(K62=0,0,(Upgrades!$M$19+K62*Upgrades!$N$19)*POWER(Upgrades!$O$19,K62)))*(IF(Upgrades!$T$13="Peculiar Velocity",POWER(Upgrades!$U$13,E62),1)*IF(Upgrades!$T$14="Peculiar Velocity",POWER(Upgrades!$U$14,F62),1)*IF(Upgrades!$T$15="Peculiar Velocity",POWER(Upgrades!$U$15,G62),1)*IF(Upgrades!$T$16="Peculiar Velocity",POWER(Upgrades!$U$16,H62),1)*IF(Upgrades!$T$17="Peculiar Velocity",POWER(Upgrades!$U$17,I62),1)*IF(Upgrades!$T$18="Peculiar Velocity",POWER(Upgrades!$U$18,J62),1)*IF(Upgrades!$T$20="Peculiar Velocity",POWER(Upgrades!$U$20,L62),1)*IF(Upgrades!$T$21="Peculiar Velocity",POWER(Upgrades!$U$21,M62),1))+(IF(L62=0,0,(Upgrades!$M$20+L62*Upgrades!$N$20)*POWER(Upgrades!$O$20,L62)))*(IF(Upgrades!$T$13="Open Cluster",POWER(Upgrades!$U$13,E62),1)*IF(Upgrades!$T$14="Open Cluster",POWER(Upgrades!$U$14,F62),1)*IF(Upgrades!$T$15="Open Cluster",POWER(Upgrades!$U$15,G62),1)*IF(Upgrades!$T$16="Open Cluster",POWER(Upgrades!$U$16,H62),1)*IF(Upgrades!$T$17="Open Cluster",POWER(Upgrades!$U$17,I62),1)*IF(Upgrades!$T$18="Open Cluster",POWER(Upgrades!$U$18,J62),1)*IF(Upgrades!$T$19="Open Cluster",POWER(Upgrades!$U$19,K62),1)*IF(Upgrades!$T$21="Open Cluster",POWER(Upgrades!$U$21,M62),1))+(IF(M62=0,0,(Upgrades!$M$21+M62*Upgrades!$N$21)*POWER(Upgrades!$O$21,M62)))*(IF(Upgrades!$T$13="Moving Group",POWER(Upgrades!$U$13,E62),1)*IF(Upgrades!$T$14="Moving Group",POWER(Upgrades!$U$14,F62),1)*IF(Upgrades!$T$15="Moving Group",POWER(Upgrades!$U$15,G62),1)*IF(Upgrades!$T$16="Moving Group",POWER(Upgrades!$U$16,H62),1)*IF(Upgrades!$T$17="Moving Group",POWER(Upgrades!$U$17,I62),1)*IF(Upgrades!$T$18="Moving Group",POWER(Upgrades!$U$18,J62),1)*IF(Upgrades!$T$19="Moving Group",POWER(Upgrades!$U$19,K62),1)*IF(Upgrades!$T$20="Moving Group",POWER(Upgrades!$U$20,L62),1)))*POWER(Upgrades!$R$13,E62)*POWER(Upgrades!$R$14,F62)*POWER(Upgrades!$R$15,G62)*POWER(Upgrades!$R$16,H62)*POWER(Upgrades!$R$17,I62)*POWER(Upgrades!$R$18,J62)*POWER(Upgrades!$R$19,K62)*POWER(Upgrades!$R$20,L62)*POWER(Upgrades!$R$21,M62)*$H$6+$E$6</f>
        <v/>
      </c>
      <c r="R62" s="27">
        <f>IF(N62=1,0,O62*Parameters!$B$10/60*Parameters!$B$11*10)</f>
        <v/>
      </c>
      <c r="S62" s="27">
        <f>IF(N62=1,0,Q62*O62*10)</f>
        <v/>
      </c>
      <c r="T62" s="27">
        <f>IF(N62=1,0,R62+S62+P62*10)</f>
        <v/>
      </c>
      <c r="U62" s="33">
        <f>BE62</f>
        <v/>
      </c>
      <c r="V62" s="22">
        <f>IF(U62="",0,IF(U62="transition",0,IF(U62="SK",AK62,IF(U62="LB",AL62,IF(U62="ML",AM62,IF(U62="RLO",AN62,IF(U62="BD",AO62,IF(U62="BiP",AP62,IF(U62="PV",AQ62,IF(U62="OC",AR62,IF(U62="MG",AS62,0))))))))))</f>
        <v/>
      </c>
      <c r="W62" s="27">
        <f>IF(U62="BiP",Upgrades!$F$18,IF(U62="PV",Upgrades!$F$19,IF(U62="OC",Upgrades!$F$20,IF(U62="MG",Upgrades!$F$21,IF(U62="transition",-Parameters!$B$18*Parameters!$B$19,0)))))</f>
        <v/>
      </c>
      <c r="X62" s="22">
        <f>C62+T62-V62</f>
        <v/>
      </c>
      <c r="Y62" s="30">
        <f>O62*Parameters!$B$10/60*Parameters!$B$11+Q62*O62+P62</f>
        <v/>
      </c>
      <c r="Z62" s="34">
        <f>IF(U62="transition","→ Tier 3 (Galactic Arm)",IF(U62="MG","Moving Group — pocket drifts together",IF(U62="OC","Open Cluster acquired",IF(U62="PV","Peculiar Velocity — passive multiplier active",IF(U62="BiP","Binary Partner — pair bond formed",IF(AND(AU62=1,N62=0,AT62&lt;&gt;1),"Cohesion ready (waiting on completionists)","")))))) </f>
        <v/>
      </c>
      <c r="AA62" s="27">
        <f>(IF(E62=0,0,(Upgrades!$G$13+E62*Upgrades!$H$13)*POWER(Upgrades!$I$13,E62)))*(IF(Upgrades!$T$14="Stellar Kinematics",POWER(Upgrades!$U$14,F62),1)*IF(Upgrades!$T$15="Stellar Kinematics",POWER(Upgrades!$U$15,G62),1)*IF(Upgrades!$T$16="Stellar Kinematics",POWER(Upgrades!$U$16,H62),1)*IF(Upgrades!$T$17="Stellar Kinematics",POWER(Upgrades!$U$17,I62),1)*IF(Upgrades!$T$18="Stellar Kinematics",POWER(Upgrades!$U$18,J62),1)*IF(Upgrades!$T$19="Stellar Kinematics",POWER(Upgrades!$U$19,K62),1)*IF(Upgrades!$T$20="Stellar Kinematics",POWER(Upgrades!$U$20,L62),1)*IF(Upgrades!$T$21="Stellar Kinematics",POWER(Upgrades!$U$21,M62),1))*POWER(Upgrades!$P$13,E62)*POWER(Upgrades!$P$14,F62)*POWER(Upgrades!$P$15,G62)*POWER(Upgrades!$P$16,H62)*POWER(Upgrades!$P$17,I62)*POWER(Upgrades!$P$18,J62)*POWER(Upgrades!$P$19,K62)*POWER(Upgrades!$P$20,L62)*POWER(Upgrades!$P$21,M62)*$F$6*60</f>
        <v/>
      </c>
      <c r="AB62" s="27">
        <f>(IF(F62=0,0,(Upgrades!$G$14+F62*Upgrades!$H$14)*POWER(Upgrades!$I$14,F62)))*(IF(Upgrades!$T$13="Local Bubble",POWER(Upgrades!$U$13,E62),1)*IF(Upgrades!$T$15="Local Bubble",POWER(Upgrades!$U$15,G62),1)*IF(Upgrades!$T$16="Local Bubble",POWER(Upgrades!$U$16,H62),1)*IF(Upgrades!$T$17="Local Bubble",POWER(Upgrades!$U$17,I62),1)*IF(Upgrades!$T$18="Local Bubble",POWER(Upgrades!$U$18,J62),1)*IF(Upgrades!$T$19="Local Bubble",POWER(Upgrades!$U$19,K62),1)*IF(Upgrades!$T$20="Local Bubble",POWER(Upgrades!$U$20,L62),1)*IF(Upgrades!$T$21="Local Bubble",POWER(Upgrades!$U$21,M62),1))*POWER(Upgrades!$P$13,E62)*POWER(Upgrades!$P$14,F62)*POWER(Upgrades!$P$15,G62)*POWER(Upgrades!$P$16,H62)*POWER(Upgrades!$P$17,I62)*POWER(Upgrades!$P$18,J62)*POWER(Upgrades!$P$19,K62)*POWER(Upgrades!$P$20,L62)*POWER(Upgrades!$P$21,M62)*$F$6*60</f>
        <v/>
      </c>
      <c r="AC62" s="27">
        <f>(IF(G62=0,0,(Upgrades!$J$15+G62*Upgrades!$K$15)*POWER(Upgrades!$L$15,G62)))*(IF(Upgrades!$T$13="Microlensing",POWER(Upgrades!$U$13,E62),1)*IF(Upgrades!$T$14="Microlensing",POWER(Upgrades!$U$14,F62),1)*IF(Upgrades!$T$16="Microlensing",POWER(Upgrades!$U$16,H62),1)*IF(Upgrades!$T$17="Microlensing",POWER(Upgrades!$U$17,I62),1)*IF(Upgrades!$T$18="Microlensing",POWER(Upgrades!$U$18,J62),1)*IF(Upgrades!$T$19="Microlensing",POWER(Upgrades!$U$19,K62),1)*IF(Upgrades!$T$20="Microlensing",POWER(Upgrades!$U$20,L62),1)*IF(Upgrades!$T$21="Microlensing",POWER(Upgrades!$U$21,M62),1))*POWER(Upgrades!$Q$13,E62)*POWER(Upgrades!$Q$14,F62)*POWER(Upgrades!$Q$15,G62)*POWER(Upgrades!$Q$16,H62)*POWER(Upgrades!$Q$17,I62)*POWER(Upgrades!$Q$18,J62)*POWER(Upgrades!$Q$19,K62)*POWER(Upgrades!$Q$20,L62)*POWER(Upgrades!$Q$21,M62)*$G$6*(Parameters!$B$10*Parameters!$B$11+Q62*60)</f>
        <v/>
      </c>
      <c r="AD62" s="27">
        <f>(IF(H62=0,0,(Upgrades!$M$16+H62*Upgrades!$N$16)*POWER(Upgrades!$O$16,H62)))*(IF(Upgrades!$T$13="Roche Lobe Overflow",POWER(Upgrades!$U$13,E62),1)*IF(Upgrades!$T$14="Roche Lobe Overflow",POWER(Upgrades!$U$14,F62),1)*IF(Upgrades!$T$15="Roche Lobe Overflow",POWER(Upgrades!$U$15,G62),1)*IF(Upgrades!$T$17="Roche Lobe Overflow",POWER(Upgrades!$U$17,I62),1)*IF(Upgrades!$T$18="Roche Lobe Overflow",POWER(Upgrades!$U$18,J62),1)*IF(Upgrades!$T$19="Roche Lobe Overflow",POWER(Upgrades!$U$19,K62),1)*IF(Upgrades!$T$20="Roche Lobe Overflow",POWER(Upgrades!$U$20,L62),1)*IF(Upgrades!$T$21="Roche Lobe Overflow",POWER(Upgrades!$U$21,M62),1))*POWER(Upgrades!$R$13,E62)*POWER(Upgrades!$R$14,F62)*POWER(Upgrades!$R$15,G62)*POWER(Upgrades!$R$16,H62)*POWER(Upgrades!$R$17,I62)*POWER(Upgrades!$R$18,J62)*POWER(Upgrades!$R$19,K62)*POWER(Upgrades!$R$20,L62)*POWER(Upgrades!$R$21,M62)*$H$6*O62*60</f>
        <v/>
      </c>
      <c r="AE62" s="27">
        <f>(IF(I62=0,0,(Upgrades!$G$17+I62*Upgrades!$H$17)*POWER(Upgrades!$I$17,I62)))*(IF(Upgrades!$T$13="Brown Dwarf",POWER(Upgrades!$U$13,E62),1)*IF(Upgrades!$T$14="Brown Dwarf",POWER(Upgrades!$U$14,F62),1)*IF(Upgrades!$T$15="Brown Dwarf",POWER(Upgrades!$U$15,G62),1)*IF(Upgrades!$T$16="Brown Dwarf",POWER(Upgrades!$U$16,H62),1)*IF(Upgrades!$T$18="Brown Dwarf",POWER(Upgrades!$U$18,J62),1)*IF(Upgrades!$T$19="Brown Dwarf",POWER(Upgrades!$U$19,K62),1)*IF(Upgrades!$T$20="Brown Dwarf",POWER(Upgrades!$U$20,L62),1)*IF(Upgrades!$T$21="Brown Dwarf",POWER(Upgrades!$U$21,M62),1))*POWER(Upgrades!$P$13,E62)*POWER(Upgrades!$P$14,F62)*POWER(Upgrades!$P$15,G62)*POWER(Upgrades!$P$16,H62)*POWER(Upgrades!$P$17,I62)*POWER(Upgrades!$P$18,J62)*POWER(Upgrades!$P$19,K62)*POWER(Upgrades!$P$20,L62)*POWER(Upgrades!$P$21,M62)*$F$6*60</f>
        <v/>
      </c>
      <c r="AF62" s="27" t="n">
        <v>0</v>
      </c>
      <c r="AG62" s="27" t="n">
        <v>0</v>
      </c>
      <c r="AH62" s="27" t="n">
        <v>0</v>
      </c>
      <c r="AI62" s="27">
        <f>(IF(M62=0,0,(Upgrades!$G$21+M62*Upgrades!$H$21)*POWER(Upgrades!$I$21,M62)))*(IF(Upgrades!$T$13="Moving Group",POWER(Upgrades!$U$13,E62),1)*IF(Upgrades!$T$14="Moving Group",POWER(Upgrades!$U$14,F62),1)*IF(Upgrades!$T$15="Moving Group",POWER(Upgrades!$U$15,G62),1)*IF(Upgrades!$T$16="Moving Group",POWER(Upgrades!$U$16,H62),1)*IF(Upgrades!$T$17="Moving Group",POWER(Upgrades!$U$17,I62),1)*IF(Upgrades!$T$18="Moving Group",POWER(Upgrades!$U$18,J62),1)*IF(Upgrades!$T$19="Moving Group",POWER(Upgrades!$U$19,K62),1)*IF(Upgrades!$T$20="Moving Group",POWER(Upgrades!$U$20,L62),1))*POWER(Upgrades!$P$13,E62)*POWER(Upgrades!$P$14,F62)*POWER(Upgrades!$P$15,G62)*POWER(Upgrades!$P$16,H62)*POWER(Upgrades!$P$17,I62)*POWER(Upgrades!$P$18,J62)*POWER(Upgrades!$P$19,K62)*POWER(Upgrades!$P$20,L62)*POWER(Upgrades!$P$21,M62)*$F$6*60</f>
        <v/>
      </c>
      <c r="AJ62" s="27">
        <f>$C$6*60</f>
        <v/>
      </c>
      <c r="AK62" s="22">
        <f>IF(E62&gt;=Upgrades!$E$13,"",Upgrades!$C$13*POWER(Upgrades!$D$13,E62))</f>
        <v/>
      </c>
      <c r="AL62" s="22">
        <f>IF(F62&gt;=Upgrades!$E$14,"",Upgrades!$C$14*POWER(Upgrades!$D$14,F62))</f>
        <v/>
      </c>
      <c r="AM62" s="22">
        <f>IF(G62&gt;=Upgrades!$E$15,"",Upgrades!$C$15*POWER(Upgrades!$D$15,G62))</f>
        <v/>
      </c>
      <c r="AN62" s="22">
        <f>IF(H62&gt;=Upgrades!$E$16,"",Upgrades!$C$16*POWER(Upgrades!$D$16,H62))</f>
        <v/>
      </c>
      <c r="AO62" s="22">
        <f>IF(I62&gt;=Upgrades!$E$17,"",Upgrades!$C$17*POWER(Upgrades!$D$17,I62))</f>
        <v/>
      </c>
      <c r="AP62" s="22">
        <f>IF(J62&gt;=Upgrades!$E$18,"",Upgrades!$C$18*POWER(Upgrades!$D$18,J62))</f>
        <v/>
      </c>
      <c r="AQ62" s="22">
        <f>IF(K62&gt;=Upgrades!$E$19,"",Upgrades!$C$19*POWER(Upgrades!$D$19,K62))</f>
        <v/>
      </c>
      <c r="AR62" s="22">
        <f>IF(L62&gt;=Upgrades!$E$20,"",Upgrades!$C$20*POWER(Upgrades!$D$20,L62))</f>
        <v/>
      </c>
      <c r="AS62" s="22">
        <f>IF(M62&gt;=Upgrades!$E$21,"",Upgrades!$C$21*POWER(Upgrades!$D$21,M62))</f>
        <v/>
      </c>
      <c r="AT62" s="26">
        <f>IF(AND(D62&gt;=Parameters!$B$18*Parameters!$B$19,(I62&gt;=Upgrades!$E$17)*(M62&gt;=Upgrades!$E$21)=1,N62=0),1,"")</f>
        <v/>
      </c>
      <c r="AU62" s="26">
        <f>IF(AND(D62&gt;=Parameters!$B$18*Parameters!$B$19,N62=0),1,"")</f>
        <v/>
      </c>
      <c r="AV62" s="22">
        <f>MIN(IF(ISNUMBER(AP62),AP62,9E15),IF(ISNUMBER(AQ62),AQ62,9E15),IF(ISNUMBER(AR62),AR62,9E15),IF(ISNUMBER(AS62),AS62,9E15))</f>
        <v/>
      </c>
      <c r="AW62" s="22">
        <f>MIN(IF(ISNUMBER(AK62),AK62,9E15),IF(ISNUMBER(AL62),AL62,9E15),IF(ISNUMBER(AM62),AM62,9E15),IF(ISNUMBER(AN62),AN62,9E15),IF(ISNUMBER(AO62),AO62,9E15))</f>
        <v/>
      </c>
      <c r="AX62" s="29">
        <f>IF(BD62&gt;Parameters!$B$21*(MAX(IF(AND(NOT(AND(AU62=1,AT62&lt;&gt;1)),ISNUMBER(AK62),AK62&lt;=(C62+T62)),AY62,0),IF(AND(NOT(AND(AU62=1,AT62&lt;&gt;1)),ISNUMBER(AL62),AL62&lt;=(C62+T62)),AZ62,0),IF(AND(NOT(AND(AU62=1,AT62&lt;&gt;1)),ISNUMBER(AM62),AM62&lt;=(C62+T62)),BA62,0),IF(AND(NOT(AND(AU62=1,AT62&lt;&gt;1)),ISNUMBER(AN62),AN62&lt;=(C62+T62)),BB62,0),IF(AND(ISNUMBER(AO62),AO62&lt;=(C62+T62)),BC62,0))),TRUE,FALSE)</f>
        <v/>
      </c>
      <c r="AY62" s="32">
        <f>IFERROR(Upgrades!$H$13*(POWER(Upgrades!$P$13,E62)*POWER(Upgrades!$P$14,F62)*POWER(Upgrades!$P$15,G62)*POWER(Upgrades!$P$16,H62)*POWER(Upgrades!$P$17,I62)*POWER(Upgrades!$P$18,J62)*POWER(Upgrades!$P$19,K62)*POWER(Upgrades!$P$20,L62)*POWER(Upgrades!$P$21,M62))*(IF(Upgrades!$T$14="Stellar Kinematics",POWER(Upgrades!$U$14,F62),1)*IF(Upgrades!$T$15="Stellar Kinematics",POWER(Upgrades!$U$15,G62),1)*IF(Upgrades!$T$16="Stellar Kinematics",POWER(Upgrades!$U$16,H62),1)*IF(Upgrades!$T$17="Stellar Kinematics",POWER(Upgrades!$U$17,I62),1)*IF(Upgrades!$T$18="Stellar Kinematics",POWER(Upgrades!$U$18,J62),1)*IF(Upgrades!$T$19="Stellar Kinematics",POWER(Upgrades!$U$19,K62),1)*IF(Upgrades!$T$20="Stellar Kinematics",POWER(Upgrades!$U$20,L62),1)*IF(Upgrades!$T$21="Stellar Kinematics",POWER(Upgrades!$U$21,M62),1))*$F$6/AK62,0)</f>
        <v/>
      </c>
      <c r="AZ62" s="32">
        <f>IFERROR(Upgrades!$H$14*(POWER(Upgrades!$P$13,E62)*POWER(Upgrades!$P$14,F62)*POWER(Upgrades!$P$15,G62)*POWER(Upgrades!$P$16,H62)*POWER(Upgrades!$P$17,I62)*POWER(Upgrades!$P$18,J62)*POWER(Upgrades!$P$19,K62)*POWER(Upgrades!$P$20,L62)*POWER(Upgrades!$P$21,M62))*(IF(Upgrades!$T$13="Local Bubble",POWER(Upgrades!$U$13,E62),1)*IF(Upgrades!$T$15="Local Bubble",POWER(Upgrades!$U$15,G62),1)*IF(Upgrades!$T$16="Local Bubble",POWER(Upgrades!$U$16,H62),1)*IF(Upgrades!$T$17="Local Bubble",POWER(Upgrades!$U$17,I62),1)*IF(Upgrades!$T$18="Local Bubble",POWER(Upgrades!$U$18,J62),1)*IF(Upgrades!$T$19="Local Bubble",POWER(Upgrades!$U$19,K62),1)*IF(Upgrades!$T$20="Local Bubble",POWER(Upgrades!$U$20,L62),1)*IF(Upgrades!$T$21="Local Bubble",POWER(Upgrades!$U$21,M62),1))*$F$6/AL62,0)</f>
        <v/>
      </c>
      <c r="BA62" s="32">
        <f>IFERROR(Upgrades!$K$15*(POWER(Upgrades!$Q$13,E62)*POWER(Upgrades!$Q$14,F62)*POWER(Upgrades!$Q$15,G62)*POWER(Upgrades!$Q$16,H62)*POWER(Upgrades!$Q$17,I62)*POWER(Upgrades!$Q$18,J62)*POWER(Upgrades!$Q$19,K62)*POWER(Upgrades!$Q$20,L62)*POWER(Upgrades!$Q$21,M62))*(IF(Upgrades!$T$13="Microlensing",POWER(Upgrades!$U$13,E62),1)*IF(Upgrades!$T$14="Microlensing",POWER(Upgrades!$U$14,F62),1)*IF(Upgrades!$T$16="Microlensing",POWER(Upgrades!$U$16,H62),1)*IF(Upgrades!$T$17="Microlensing",POWER(Upgrades!$U$17,I62),1)*IF(Upgrades!$T$18="Microlensing",POWER(Upgrades!$U$18,J62),1)*IF(Upgrades!$T$19="Microlensing",POWER(Upgrades!$U$19,K62),1)*IF(Upgrades!$T$20="Microlensing",POWER(Upgrades!$U$20,L62),1)*IF(Upgrades!$T$21="Microlensing",POWER(Upgrades!$U$21,M62),1))*$G$6*(Parameters!$B$10/60*Parameters!$B$11+Q62)/AM62,0)</f>
        <v/>
      </c>
      <c r="BB62" s="32">
        <f>IFERROR((Upgrades!$N$16*(POWER(Upgrades!$R$13,E62)*POWER(Upgrades!$R$14,F62)*POWER(Upgrades!$R$15,G62)*POWER(Upgrades!$R$16,H62)*POWER(Upgrades!$R$17,I62)*POWER(Upgrades!$R$18,J62)*POWER(Upgrades!$R$19,K62)*POWER(Upgrades!$R$20,L62)*POWER(Upgrades!$R$21,M62))*(IF(Upgrades!$T$13="Roche Lobe Overflow",POWER(Upgrades!$U$13,E62),1)*IF(Upgrades!$T$14="Roche Lobe Overflow",POWER(Upgrades!$U$14,F62),1)*IF(Upgrades!$T$15="Roche Lobe Overflow",POWER(Upgrades!$U$15,G62),1)*IF(Upgrades!$T$17="Roche Lobe Overflow",POWER(Upgrades!$U$17,I62),1)*IF(Upgrades!$T$18="Roche Lobe Overflow",POWER(Upgrades!$U$18,J62),1)*IF(Upgrades!$T$19="Roche Lobe Overflow",POWER(Upgrades!$U$19,K62),1)*IF(Upgrades!$T$20="Roche Lobe Overflow",POWER(Upgrades!$U$20,L62),1)*IF(Upgrades!$T$21="Roche Lobe Overflow",POWER(Upgrades!$U$21,M62),1))*$H$6*O62+((IF(F62=0,0,(Upgrades!$G$14+F62*Upgrades!$H$14)*POWER(Upgrades!$I$14,F62)))*(IF(Upgrades!$T$13="Local Bubble",POWER(Upgrades!$U$13,E62),1)*IF(Upgrades!$T$15="Local Bubble",POWER(Upgrades!$U$15,G62),1)*IF(Upgrades!$T$16="Local Bubble",POWER(Upgrades!$U$16,H62),1)*IF(Upgrades!$T$17="Local Bubble",POWER(Upgrades!$U$17,I62),1)*IF(Upgrades!$T$18="Local Bubble",POWER(Upgrades!$U$18,J62),1)*IF(Upgrades!$T$19="Local Bubble",POWER(Upgrades!$U$19,K62),1)*IF(Upgrades!$T$20="Local Bubble",POWER(Upgrades!$U$20,L62),1)*IF(Upgrades!$T$21="Local Bubble",POWER(Upgrades!$U$21,M62),1))*POWER(Upgrades!$P$13,E62)*POWER(Upgrades!$P$14,F62)*POWER(Upgrades!$P$15,G62)*POWER(Upgrades!$P$16,H62)*POWER(Upgrades!$P$17,I62)*POWER(Upgrades!$P$18,J62)*POWER(Upgrades!$P$19,K62)*POWER(Upgrades!$P$20,L62)*POWER(Upgrades!$P$21,M62)*$F$6)*0.05)/AN62,0)</f>
        <v/>
      </c>
      <c r="BC62" s="32">
        <f>IFERROR((Upgrades!$H$17*(POWER(Upgrades!$P$13,E62)*POWER(Upgrades!$P$14,F62)*POWER(Upgrades!$P$15,G62)*POWER(Upgrades!$P$16,H62)*POWER(Upgrades!$P$17,I62)*POWER(Upgrades!$P$18,J62)*POWER(Upgrades!$P$19,K62)*POWER(Upgrades!$P$20,L62)*POWER(Upgrades!$P$21,M62))*(IF(Upgrades!$T$13="Brown Dwarf",POWER(Upgrades!$U$13,E62),1)*IF(Upgrades!$T$14="Brown Dwarf",POWER(Upgrades!$U$14,F62),1)*IF(Upgrades!$T$15="Brown Dwarf",POWER(Upgrades!$U$15,G62),1)*IF(Upgrades!$T$16="Brown Dwarf",POWER(Upgrades!$U$16,H62),1)*IF(Upgrades!$T$18="Brown Dwarf",POWER(Upgrades!$U$18,J62),1)*IF(Upgrades!$T$19="Brown Dwarf",POWER(Upgrades!$U$19,K62),1)*IF(Upgrades!$T$20="Brown Dwarf",POWER(Upgrades!$U$20,L62),1)*IF(Upgrades!$T$21="Brown Dwarf",POWER(Upgrades!$U$21,M62),1))*$F$6+(((IF(H62=0,0,(Upgrades!$M$16+H62*Upgrades!$N$16)*POWER(Upgrades!$O$16,H62)))*(IF(Upgrades!$T$13="Roche Lobe Overflow",POWER(Upgrades!$U$13,E62),1)*IF(Upgrades!$T$14="Roche Lobe Overflow",POWER(Upgrades!$U$14,F62),1)*IF(Upgrades!$T$15="Roche Lobe Overflow",POWER(Upgrades!$U$15,G62),1)*IF(Upgrades!$T$17="Roche Lobe Overflow",POWER(Upgrades!$U$17,I62),1)*IF(Upgrades!$T$18="Roche Lobe Overflow",POWER(Upgrades!$U$18,J62),1)*IF(Upgrades!$T$19="Roche Lobe Overflow",POWER(Upgrades!$U$19,K62),1)*IF(Upgrades!$T$20="Roche Lobe Overflow",POWER(Upgrades!$U$20,L62),1)*IF(Upgrades!$T$21="Roche Lobe Overflow",POWER(Upgrades!$U$21,M62),1))*POWER(Upgrades!$R$13,E62)*POWER(Upgrades!$R$14,F62)*POWER(Upgrades!$R$15,G62)*POWER(Upgrades!$R$16,H62)*POWER(Upgrades!$R$17,I62)*POWER(Upgrades!$R$18,J62)*POWER(Upgrades!$R$19,K62)*POWER(Upgrades!$R$20,L62)*POWER(Upgrades!$R$21,M62)*$H$6)*O62)*0.10)/AO62,0)</f>
        <v/>
      </c>
      <c r="BD62" s="32">
        <f>MAX(IF(J62&gt;0,0,IFERROR(0.5*((IF(G62=0,0,(Upgrades!$J$15+G62*Upgrades!$K$15)*POWER(Upgrades!$L$15,G62)))*(IF(Upgrades!$T$13="Microlensing",POWER(Upgrades!$U$13,E62),1)*IF(Upgrades!$T$14="Microlensing",POWER(Upgrades!$U$14,F62),1)*IF(Upgrades!$T$16="Microlensing",POWER(Upgrades!$U$16,H62),1)*IF(Upgrades!$T$17="Microlensing",POWER(Upgrades!$U$17,I62),1)*IF(Upgrades!$T$18="Microlensing",POWER(Upgrades!$U$18,J62),1)*IF(Upgrades!$T$19="Microlensing",POWER(Upgrades!$U$19,K62),1)*IF(Upgrades!$T$20="Microlensing",POWER(Upgrades!$U$20,L62),1)*IF(Upgrades!$T$21="Microlensing",POWER(Upgrades!$U$21,M62),1))*(POWER(Upgrades!$Q$13,E62)*POWER(Upgrades!$Q$14,F62)*POWER(Upgrades!$Q$15,G62)*POWER(Upgrades!$Q$16,H62)*POWER(Upgrades!$Q$17,I62)*POWER(Upgrades!$Q$18,J62)*POWER(Upgrades!$Q$19,K62)*POWER(Upgrades!$Q$20,L62)*POWER(Upgrades!$Q$21,M62))*$G$6*(Parameters!$B$10/60*Parameters!$B$11+Q62))/Upgrades!$C$18,0)),IF(K62&gt;0,0,IFERROR(0.30*P62/Upgrades!$C$19,0)),IF(L62&gt;0,0,IFERROR(0.0001/Upgrades!$C$20,0)),IF(M62&gt;0,0,IFERROR((6.0*(POWER(Upgrades!$P$13,E62)*POWER(Upgrades!$P$14,F62)*POWER(Upgrades!$P$15,G62)*POWER(Upgrades!$P$16,H62)*POWER(Upgrades!$P$17,I62)*POWER(Upgrades!$P$18,J62)*POWER(Upgrades!$P$19,K62)*POWER(Upgrades!$P$20,L62)*POWER(Upgrades!$P$21,M62))*$F$6+0.20*O62*(Parameters!$B$10/60*Parameters!$B$11+Q62))/Upgrades!$C$21,0)),IF(AND(ISNUMBER(AK62),AK62&gt;(C62+T62)),AY62,0),IF(AND(ISNUMBER(AL62),AL62&gt;(C62+T62)),AZ62,0),IF(AND(ISNUMBER(AM62),AM62&gt;(C62+T62)),BA62,0),IF(AND(ISNUMBER(AN62),AN62&gt;(C62+T62)),BB62,0),IF(AND(ISNUMBER(AO62),AO62&gt;(C62+T62)),BC62,0))</f>
        <v/>
      </c>
      <c r="BE62" s="29">
        <f>IF(AT62=1,"transition",IF(MIN(IF(AND(J62=0,ISNUMBER(AP62),AP62&lt;=(C62+T62)),AP62,9E15),IF(AND(K62=0,ISNUMBER(AQ62),AQ62&lt;=(C62+T62)),AQ62,9E15),IF(AND(L62=0,ISNUMBER(AR62),AR62&lt;=(C62+T62)),AR62,9E15),IF(AND(M62=0,ISNUMBER(AS62),AS62&lt;=(C62+T62)),AS62,9E15))&lt;9E15,IF(AND(AND(J62=0,ISNUMBER(AP62),AP62&lt;=(C62+T62)),AP62=MIN(IF(AND(J62=0,ISNUMBER(AP62),AP62&lt;=(C62+T62)),AP62,9E15),IF(AND(K62=0,ISNUMBER(AQ62),AQ62&lt;=(C62+T62)),AQ62,9E15),IF(AND(L62=0,ISNUMBER(AR62),AR62&lt;=(C62+T62)),AR62,9E15),IF(AND(M62=0,ISNUMBER(AS62),AS62&lt;=(C62+T62)),AS62,9E15))),"BiP",IF(AND(AND(K62=0,ISNUMBER(AQ62),AQ62&lt;=(C62+T62)),AQ62=MIN(IF(AND(J62=0,ISNUMBER(AP62),AP62&lt;=(C62+T62)),AP62,9E15),IF(AND(K62=0,ISNUMBER(AQ62),AQ62&lt;=(C62+T62)),AQ62,9E15),IF(AND(L62=0,ISNUMBER(AR62),AR62&lt;=(C62+T62)),AR62,9E15),IF(AND(M62=0,ISNUMBER(AS62),AS62&lt;=(C62+T62)),AS62,9E15))),"PV",IF(AND(AND(L62=0,ISNUMBER(AR62),AR62&lt;=(C62+T62)),AR62=MIN(IF(AND(J62=0,ISNUMBER(AP62),AP62&lt;=(C62+T62)),AP62,9E15),IF(AND(K62=0,ISNUMBER(AQ62),AQ62&lt;=(C62+T62)),AQ62,9E15),IF(AND(L62=0,ISNUMBER(AR62),AR62&lt;=(C62+T62)),AR62,9E15),IF(AND(M62=0,ISNUMBER(AS62),AS62&lt;=(C62+T62)),AS62,9E15))),"OC","MG"))),IF(AX62=TRUE,"",IF(MAX(IF(AND(NOT(AND(AU62=1,AT62&lt;&gt;1)),ISNUMBER(AK62),AK62&lt;=(C62+T62)),AY62,0),IF(AND(NOT(AND(AU62=1,AT62&lt;&gt;1)),ISNUMBER(AL62),AL62&lt;=(C62+T62)),AZ62,0),IF(AND(NOT(AND(AU62=1,AT62&lt;&gt;1)),ISNUMBER(AM62),AM62&lt;=(C62+T62)),BA62,0),IF(AND(NOT(AND(AU62=1,AT62&lt;&gt;1)),ISNUMBER(AN62),AN62&lt;=(C62+T62)),BB62,0),IF(AND(ISNUMBER(AO62),AO62&lt;=(C62+T62)),BC62,0))&lt;=0,"",IF(AND(IF(AND(NOT(AND(AU62=1,AT62&lt;&gt;1)),ISNUMBER(AK62),AK62&lt;=(C62+T62)),AY62,0)&gt;0,IF(AND(NOT(AND(AU62=1,AT62&lt;&gt;1)),ISNUMBER(AK62),AK62&lt;=(C62+T62)),AY62,0)=MAX(IF(AND(NOT(AND(AU62=1,AT62&lt;&gt;1)),ISNUMBER(AK62),AK62&lt;=(C62+T62)),AY62,0),IF(AND(NOT(AND(AU62=1,AT62&lt;&gt;1)),ISNUMBER(AL62),AL62&lt;=(C62+T62)),AZ62,0),IF(AND(NOT(AND(AU62=1,AT62&lt;&gt;1)),ISNUMBER(AM62),AM62&lt;=(C62+T62)),BA62,0),IF(AND(NOT(AND(AU62=1,AT62&lt;&gt;1)),ISNUMBER(AN62),AN62&lt;=(C62+T62)),BB62,0),IF(AND(ISNUMBER(AO62),AO62&lt;=(C62+T62)),BC62,0))),"SK",IF(AND(IF(AND(NOT(AND(AU62=1,AT62&lt;&gt;1)),ISNUMBER(AL62),AL62&lt;=(C62+T62)),AZ62,0)&gt;0,IF(AND(NOT(AND(AU62=1,AT62&lt;&gt;1)),ISNUMBER(AL62),AL62&lt;=(C62+T62)),AZ62,0)=MAX(IF(AND(NOT(AND(AU62=1,AT62&lt;&gt;1)),ISNUMBER(AK62),AK62&lt;=(C62+T62)),AY62,0),IF(AND(NOT(AND(AU62=1,AT62&lt;&gt;1)),ISNUMBER(AL62),AL62&lt;=(C62+T62)),AZ62,0),IF(AND(NOT(AND(AU62=1,AT62&lt;&gt;1)),ISNUMBER(AM62),AM62&lt;=(C62+T62)),BA62,0),IF(AND(NOT(AND(AU62=1,AT62&lt;&gt;1)),ISNUMBER(AN62),AN62&lt;=(C62+T62)),BB62,0),IF(AND(ISNUMBER(AO62),AO62&lt;=(C62+T62)),BC62,0))),"LB",IF(AND(IF(AND(NOT(AND(AU62=1,AT62&lt;&gt;1)),ISNUMBER(AM62),AM62&lt;=(C62+T62)),BA62,0)&gt;0,IF(AND(NOT(AND(AU62=1,AT62&lt;&gt;1)),ISNUMBER(AM62),AM62&lt;=(C62+T62)),BA62,0)=MAX(IF(AND(NOT(AND(AU62=1,AT62&lt;&gt;1)),ISNUMBER(AK62),AK62&lt;=(C62+T62)),AY62,0),IF(AND(NOT(AND(AU62=1,AT62&lt;&gt;1)),ISNUMBER(AL62),AL62&lt;=(C62+T62)),AZ62,0),IF(AND(NOT(AND(AU62=1,AT62&lt;&gt;1)),ISNUMBER(AM62),AM62&lt;=(C62+T62)),BA62,0),IF(AND(NOT(AND(AU62=1,AT62&lt;&gt;1)),ISNUMBER(AN62),AN62&lt;=(C62+T62)),BB62,0),IF(AND(ISNUMBER(AO62),AO62&lt;=(C62+T62)),BC62,0))),"ML",IF(AND(IF(AND(NOT(AND(AU62=1,AT62&lt;&gt;1)),ISNUMBER(AN62),AN62&lt;=(C62+T62)),BB62,0)&gt;0,IF(AND(NOT(AND(AU62=1,AT62&lt;&gt;1)),ISNUMBER(AN62),AN62&lt;=(C62+T62)),BB62,0)=MAX(IF(AND(NOT(AND(AU62=1,AT62&lt;&gt;1)),ISNUMBER(AK62),AK62&lt;=(C62+T62)),AY62,0),IF(AND(NOT(AND(AU62=1,AT62&lt;&gt;1)),ISNUMBER(AL62),AL62&lt;=(C62+T62)),AZ62,0),IF(AND(NOT(AND(AU62=1,AT62&lt;&gt;1)),ISNUMBER(AM62),AM62&lt;=(C62+T62)),BA62,0),IF(AND(NOT(AND(AU62=1,AT62&lt;&gt;1)),ISNUMBER(AN62),AN62&lt;=(C62+T62)),BB62,0),IF(AND(ISNUMBER(AO62),AO62&lt;=(C62+T62)),BC62,0))),"RLO","BD"))))))))</f>
        <v/>
      </c>
    </row>
    <row r="63">
      <c r="A63" s="26" t="n">
        <v>52</v>
      </c>
      <c r="B63" s="27">
        <f>A63*10/60</f>
        <v/>
      </c>
      <c r="C63" s="22">
        <f>X62</f>
        <v/>
      </c>
      <c r="D63" s="27">
        <f>D62+W62</f>
        <v/>
      </c>
      <c r="E63" s="26">
        <f>E62+IF(U62="SK",1,0)</f>
        <v/>
      </c>
      <c r="F63" s="26">
        <f>F62+IF(U62="LB",1,0)</f>
        <v/>
      </c>
      <c r="G63" s="26">
        <f>G62+IF(U62="ML",1,0)</f>
        <v/>
      </c>
      <c r="H63" s="26">
        <f>H62+IF(U62="RLO",1,0)</f>
        <v/>
      </c>
      <c r="I63" s="26">
        <f>I62+IF(U62="BD",1,0)</f>
        <v/>
      </c>
      <c r="J63" s="26">
        <f>MAX(J62,IF(U62="BiP",1,0))</f>
        <v/>
      </c>
      <c r="K63" s="26">
        <f>MAX(K62,IF(U62="PV",1,0))</f>
        <v/>
      </c>
      <c r="L63" s="26">
        <f>MAX(L62,IF(U62="OC",1,0))</f>
        <v/>
      </c>
      <c r="M63" s="26">
        <f>MAX(M62,IF(U62="MG",1,0))</f>
        <v/>
      </c>
      <c r="N63" s="26">
        <f>MAX(N62,IF(U62="transition",1,0))</f>
        <v/>
      </c>
      <c r="O63" s="28">
        <f>(Parameters!$B$9+(IF(E63=0,0,(Upgrades!$J$13+E63*Upgrades!$K$13)*POWER(Upgrades!$L$13,E63)))*(IF(Upgrades!$T$14="Stellar Kinematics",POWER(Upgrades!$U$14,F63),1)*IF(Upgrades!$T$15="Stellar Kinematics",POWER(Upgrades!$U$15,G63),1)*IF(Upgrades!$T$16="Stellar Kinematics",POWER(Upgrades!$U$16,H63),1)*IF(Upgrades!$T$17="Stellar Kinematics",POWER(Upgrades!$U$17,I63),1)*IF(Upgrades!$T$18="Stellar Kinematics",POWER(Upgrades!$U$18,J63),1)*IF(Upgrades!$T$19="Stellar Kinematics",POWER(Upgrades!$U$19,K63),1)*IF(Upgrades!$T$20="Stellar Kinematics",POWER(Upgrades!$U$20,L63),1)*IF(Upgrades!$T$21="Stellar Kinematics",POWER(Upgrades!$U$21,M63),1))+(IF(F63=0,0,(Upgrades!$J$14+F63*Upgrades!$K$14)*POWER(Upgrades!$L$14,F63)))*(IF(Upgrades!$T$13="Local Bubble",POWER(Upgrades!$U$13,E63),1)*IF(Upgrades!$T$15="Local Bubble",POWER(Upgrades!$U$15,G63),1)*IF(Upgrades!$T$16="Local Bubble",POWER(Upgrades!$U$16,H63),1)*IF(Upgrades!$T$17="Local Bubble",POWER(Upgrades!$U$17,I63),1)*IF(Upgrades!$T$18="Local Bubble",POWER(Upgrades!$U$18,J63),1)*IF(Upgrades!$T$19="Local Bubble",POWER(Upgrades!$U$19,K63),1)*IF(Upgrades!$T$20="Local Bubble",POWER(Upgrades!$U$20,L63),1)*IF(Upgrades!$T$21="Local Bubble",POWER(Upgrades!$U$21,M63),1))+(IF(G63=0,0,(Upgrades!$J$15+G63*Upgrades!$K$15)*POWER(Upgrades!$L$15,G63)))*(IF(Upgrades!$T$13="Microlensing",POWER(Upgrades!$U$13,E63),1)*IF(Upgrades!$T$14="Microlensing",POWER(Upgrades!$U$14,F63),1)*IF(Upgrades!$T$16="Microlensing",POWER(Upgrades!$U$16,H63),1)*IF(Upgrades!$T$17="Microlensing",POWER(Upgrades!$U$17,I63),1)*IF(Upgrades!$T$18="Microlensing",POWER(Upgrades!$U$18,J63),1)*IF(Upgrades!$T$19="Microlensing",POWER(Upgrades!$U$19,K63),1)*IF(Upgrades!$T$20="Microlensing",POWER(Upgrades!$U$20,L63),1)*IF(Upgrades!$T$21="Microlensing",POWER(Upgrades!$U$21,M63),1))+(IF(H63=0,0,(Upgrades!$J$16+H63*Upgrades!$K$16)*POWER(Upgrades!$L$16,H63)))*(IF(Upgrades!$T$13="Roche Lobe Overflow",POWER(Upgrades!$U$13,E63),1)*IF(Upgrades!$T$14="Roche Lobe Overflow",POWER(Upgrades!$U$14,F63),1)*IF(Upgrades!$T$15="Roche Lobe Overflow",POWER(Upgrades!$U$15,G63),1)*IF(Upgrades!$T$17="Roche Lobe Overflow",POWER(Upgrades!$U$17,I63),1)*IF(Upgrades!$T$18="Roche Lobe Overflow",POWER(Upgrades!$U$18,J63),1)*IF(Upgrades!$T$19="Roche Lobe Overflow",POWER(Upgrades!$U$19,K63),1)*IF(Upgrades!$T$20="Roche Lobe Overflow",POWER(Upgrades!$U$20,L63),1)*IF(Upgrades!$T$21="Roche Lobe Overflow",POWER(Upgrades!$U$21,M63),1))+(IF(I63=0,0,(Upgrades!$J$17+I63*Upgrades!$K$17)*POWER(Upgrades!$L$17,I63)))*(IF(Upgrades!$T$13="Brown Dwarf",POWER(Upgrades!$U$13,E63),1)*IF(Upgrades!$T$14="Brown Dwarf",POWER(Upgrades!$U$14,F63),1)*IF(Upgrades!$T$15="Brown Dwarf",POWER(Upgrades!$U$15,G63),1)*IF(Upgrades!$T$16="Brown Dwarf",POWER(Upgrades!$U$16,H63),1)*IF(Upgrades!$T$18="Brown Dwarf",POWER(Upgrades!$U$18,J63),1)*IF(Upgrades!$T$19="Brown Dwarf",POWER(Upgrades!$U$19,K63),1)*IF(Upgrades!$T$20="Brown Dwarf",POWER(Upgrades!$U$20,L63),1)*IF(Upgrades!$T$21="Brown Dwarf",POWER(Upgrades!$U$21,M63),1))+(IF(J63=0,0,(Upgrades!$J$18+J63*Upgrades!$K$18)*POWER(Upgrades!$L$18,J63)))*(IF(Upgrades!$T$13="Binary Partner",POWER(Upgrades!$U$13,E63),1)*IF(Upgrades!$T$14="Binary Partner",POWER(Upgrades!$U$14,F63),1)*IF(Upgrades!$T$15="Binary Partner",POWER(Upgrades!$U$15,G63),1)*IF(Upgrades!$T$16="Binary Partner",POWER(Upgrades!$U$16,H63),1)*IF(Upgrades!$T$17="Binary Partner",POWER(Upgrades!$U$17,I63),1)*IF(Upgrades!$T$19="Binary Partner",POWER(Upgrades!$U$19,K63),1)*IF(Upgrades!$T$20="Binary Partner",POWER(Upgrades!$U$20,L63),1)*IF(Upgrades!$T$21="Binary Partner",POWER(Upgrades!$U$21,M63),1))+(IF(K63=0,0,(Upgrades!$J$19+K63*Upgrades!$K$19)*POWER(Upgrades!$L$19,K63)))*(IF(Upgrades!$T$13="Peculiar Velocity",POWER(Upgrades!$U$13,E63),1)*IF(Upgrades!$T$14="Peculiar Velocity",POWER(Upgrades!$U$14,F63),1)*IF(Upgrades!$T$15="Peculiar Velocity",POWER(Upgrades!$U$15,G63),1)*IF(Upgrades!$T$16="Peculiar Velocity",POWER(Upgrades!$U$16,H63),1)*IF(Upgrades!$T$17="Peculiar Velocity",POWER(Upgrades!$U$17,I63),1)*IF(Upgrades!$T$18="Peculiar Velocity",POWER(Upgrades!$U$18,J63),1)*IF(Upgrades!$T$20="Peculiar Velocity",POWER(Upgrades!$U$20,L63),1)*IF(Upgrades!$T$21="Peculiar Velocity",POWER(Upgrades!$U$21,M63),1))+(IF(L63=0,0,(Upgrades!$J$20+L63*Upgrades!$K$20)*POWER(Upgrades!$L$20,L63)))*(IF(Upgrades!$T$13="Open Cluster",POWER(Upgrades!$U$13,E63),1)*IF(Upgrades!$T$14="Open Cluster",POWER(Upgrades!$U$14,F63),1)*IF(Upgrades!$T$15="Open Cluster",POWER(Upgrades!$U$15,G63),1)*IF(Upgrades!$T$16="Open Cluster",POWER(Upgrades!$U$16,H63),1)*IF(Upgrades!$T$17="Open Cluster",POWER(Upgrades!$U$17,I63),1)*IF(Upgrades!$T$18="Open Cluster",POWER(Upgrades!$U$18,J63),1)*IF(Upgrades!$T$19="Open Cluster",POWER(Upgrades!$U$19,K63),1)*IF(Upgrades!$T$21="Open Cluster",POWER(Upgrades!$U$21,M63),1))+(IF(M63=0,0,(Upgrades!$J$21+M63*Upgrades!$K$21)*POWER(Upgrades!$L$21,M63)))*(IF(Upgrades!$T$13="Moving Group",POWER(Upgrades!$U$13,E63),1)*IF(Upgrades!$T$14="Moving Group",POWER(Upgrades!$U$14,F63),1)*IF(Upgrades!$T$15="Moving Group",POWER(Upgrades!$U$15,G63),1)*IF(Upgrades!$T$16="Moving Group",POWER(Upgrades!$U$16,H63),1)*IF(Upgrades!$T$17="Moving Group",POWER(Upgrades!$U$17,I63),1)*IF(Upgrades!$T$18="Moving Group",POWER(Upgrades!$U$18,J63),1)*IF(Upgrades!$T$19="Moving Group",POWER(Upgrades!$U$19,K63),1)*IF(Upgrades!$T$20="Moving Group",POWER(Upgrades!$U$20,L63),1)))*POWER(Upgrades!$Q$13,E63)*POWER(Upgrades!$Q$14,F63)*POWER(Upgrades!$Q$15,G63)*POWER(Upgrades!$Q$16,H63)*POWER(Upgrades!$Q$17,I63)*POWER(Upgrades!$Q$18,J63)*POWER(Upgrades!$Q$19,K63)*POWER(Upgrades!$Q$20,L63)*POWER(Upgrades!$Q$21,M63)*$G$6+$D$6</f>
        <v/>
      </c>
      <c r="P63" s="28">
        <f>((IF(E63=0,0,(Upgrades!$G$13+E63*Upgrades!$H$13)*POWER(Upgrades!$I$13,E63)))*(IF(Upgrades!$T$14="Stellar Kinematics",POWER(Upgrades!$U$14,F63),1)*IF(Upgrades!$T$15="Stellar Kinematics",POWER(Upgrades!$U$15,G63),1)*IF(Upgrades!$T$16="Stellar Kinematics",POWER(Upgrades!$U$16,H63),1)*IF(Upgrades!$T$17="Stellar Kinematics",POWER(Upgrades!$U$17,I63),1)*IF(Upgrades!$T$18="Stellar Kinematics",POWER(Upgrades!$U$18,J63),1)*IF(Upgrades!$T$19="Stellar Kinematics",POWER(Upgrades!$U$19,K63),1)*IF(Upgrades!$T$20="Stellar Kinematics",POWER(Upgrades!$U$20,L63),1)*IF(Upgrades!$T$21="Stellar Kinematics",POWER(Upgrades!$U$21,M63),1))+(IF(F63=0,0,(Upgrades!$G$14+F63*Upgrades!$H$14)*POWER(Upgrades!$I$14,F63)))*(IF(Upgrades!$T$13="Local Bubble",POWER(Upgrades!$U$13,E63),1)*IF(Upgrades!$T$15="Local Bubble",POWER(Upgrades!$U$15,G63),1)*IF(Upgrades!$T$16="Local Bubble",POWER(Upgrades!$U$16,H63),1)*IF(Upgrades!$T$17="Local Bubble",POWER(Upgrades!$U$17,I63),1)*IF(Upgrades!$T$18="Local Bubble",POWER(Upgrades!$U$18,J63),1)*IF(Upgrades!$T$19="Local Bubble",POWER(Upgrades!$U$19,K63),1)*IF(Upgrades!$T$20="Local Bubble",POWER(Upgrades!$U$20,L63),1)*IF(Upgrades!$T$21="Local Bubble",POWER(Upgrades!$U$21,M63),1))+(IF(G63=0,0,(Upgrades!$G$15+G63*Upgrades!$H$15)*POWER(Upgrades!$I$15,G63)))*(IF(Upgrades!$T$13="Microlensing",POWER(Upgrades!$U$13,E63),1)*IF(Upgrades!$T$14="Microlensing",POWER(Upgrades!$U$14,F63),1)*IF(Upgrades!$T$16="Microlensing",POWER(Upgrades!$U$16,H63),1)*IF(Upgrades!$T$17="Microlensing",POWER(Upgrades!$U$17,I63),1)*IF(Upgrades!$T$18="Microlensing",POWER(Upgrades!$U$18,J63),1)*IF(Upgrades!$T$19="Microlensing",POWER(Upgrades!$U$19,K63),1)*IF(Upgrades!$T$20="Microlensing",POWER(Upgrades!$U$20,L63),1)*IF(Upgrades!$T$21="Microlensing",POWER(Upgrades!$U$21,M63),1))+(IF(H63=0,0,(Upgrades!$G$16+H63*Upgrades!$H$16)*POWER(Upgrades!$I$16,H63)))*(IF(Upgrades!$T$13="Roche Lobe Overflow",POWER(Upgrades!$U$13,E63),1)*IF(Upgrades!$T$14="Roche Lobe Overflow",POWER(Upgrades!$U$14,F63),1)*IF(Upgrades!$T$15="Roche Lobe Overflow",POWER(Upgrades!$U$15,G63),1)*IF(Upgrades!$T$17="Roche Lobe Overflow",POWER(Upgrades!$U$17,I63),1)*IF(Upgrades!$T$18="Roche Lobe Overflow",POWER(Upgrades!$U$18,J63),1)*IF(Upgrades!$T$19="Roche Lobe Overflow",POWER(Upgrades!$U$19,K63),1)*IF(Upgrades!$T$20="Roche Lobe Overflow",POWER(Upgrades!$U$20,L63),1)*IF(Upgrades!$T$21="Roche Lobe Overflow",POWER(Upgrades!$U$21,M63),1))+(IF(I63=0,0,(Upgrades!$G$17+I63*Upgrades!$H$17)*POWER(Upgrades!$I$17,I63)))*(IF(Upgrades!$T$13="Brown Dwarf",POWER(Upgrades!$U$13,E63),1)*IF(Upgrades!$T$14="Brown Dwarf",POWER(Upgrades!$U$14,F63),1)*IF(Upgrades!$T$15="Brown Dwarf",POWER(Upgrades!$U$15,G63),1)*IF(Upgrades!$T$16="Brown Dwarf",POWER(Upgrades!$U$16,H63),1)*IF(Upgrades!$T$18="Brown Dwarf",POWER(Upgrades!$U$18,J63),1)*IF(Upgrades!$T$19="Brown Dwarf",POWER(Upgrades!$U$19,K63),1)*IF(Upgrades!$T$20="Brown Dwarf",POWER(Upgrades!$U$20,L63),1)*IF(Upgrades!$T$21="Brown Dwarf",POWER(Upgrades!$U$21,M63),1))+(IF(J63=0,0,(Upgrades!$G$18+J63*Upgrades!$H$18)*POWER(Upgrades!$I$18,J63)))*(IF(Upgrades!$T$13="Binary Partner",POWER(Upgrades!$U$13,E63),1)*IF(Upgrades!$T$14="Binary Partner",POWER(Upgrades!$U$14,F63),1)*IF(Upgrades!$T$15="Binary Partner",POWER(Upgrades!$U$15,G63),1)*IF(Upgrades!$T$16="Binary Partner",POWER(Upgrades!$U$16,H63),1)*IF(Upgrades!$T$17="Binary Partner",POWER(Upgrades!$U$17,I63),1)*IF(Upgrades!$T$19="Binary Partner",POWER(Upgrades!$U$19,K63),1)*IF(Upgrades!$T$20="Binary Partner",POWER(Upgrades!$U$20,L63),1)*IF(Upgrades!$T$21="Binary Partner",POWER(Upgrades!$U$21,M63),1))+(IF(K63=0,0,(Upgrades!$G$19+K63*Upgrades!$H$19)*POWER(Upgrades!$I$19,K63)))*(IF(Upgrades!$T$13="Peculiar Velocity",POWER(Upgrades!$U$13,E63),1)*IF(Upgrades!$T$14="Peculiar Velocity",POWER(Upgrades!$U$14,F63),1)*IF(Upgrades!$T$15="Peculiar Velocity",POWER(Upgrades!$U$15,G63),1)*IF(Upgrades!$T$16="Peculiar Velocity",POWER(Upgrades!$U$16,H63),1)*IF(Upgrades!$T$17="Peculiar Velocity",POWER(Upgrades!$U$17,I63),1)*IF(Upgrades!$T$18="Peculiar Velocity",POWER(Upgrades!$U$18,J63),1)*IF(Upgrades!$T$20="Peculiar Velocity",POWER(Upgrades!$U$20,L63),1)*IF(Upgrades!$T$21="Peculiar Velocity",POWER(Upgrades!$U$21,M63),1))+(IF(L63=0,0,(Upgrades!$G$20+L63*Upgrades!$H$20)*POWER(Upgrades!$I$20,L63)))*(IF(Upgrades!$T$13="Open Cluster",POWER(Upgrades!$U$13,E63),1)*IF(Upgrades!$T$14="Open Cluster",POWER(Upgrades!$U$14,F63),1)*IF(Upgrades!$T$15="Open Cluster",POWER(Upgrades!$U$15,G63),1)*IF(Upgrades!$T$16="Open Cluster",POWER(Upgrades!$U$16,H63),1)*IF(Upgrades!$T$17="Open Cluster",POWER(Upgrades!$U$17,I63),1)*IF(Upgrades!$T$18="Open Cluster",POWER(Upgrades!$U$18,J63),1)*IF(Upgrades!$T$19="Open Cluster",POWER(Upgrades!$U$19,K63),1)*IF(Upgrades!$T$21="Open Cluster",POWER(Upgrades!$U$21,M63),1))+(IF(M63=0,0,(Upgrades!$G$21+M63*Upgrades!$H$21)*POWER(Upgrades!$I$21,M63)))*(IF(Upgrades!$T$13="Moving Group",POWER(Upgrades!$U$13,E63),1)*IF(Upgrades!$T$14="Moving Group",POWER(Upgrades!$U$14,F63),1)*IF(Upgrades!$T$15="Moving Group",POWER(Upgrades!$U$15,G63),1)*IF(Upgrades!$T$16="Moving Group",POWER(Upgrades!$U$16,H63),1)*IF(Upgrades!$T$17="Moving Group",POWER(Upgrades!$U$17,I63),1)*IF(Upgrades!$T$18="Moving Group",POWER(Upgrades!$U$18,J63),1)*IF(Upgrades!$T$19="Moving Group",POWER(Upgrades!$U$19,K63),1)*IF(Upgrades!$T$20="Moving Group",POWER(Upgrades!$U$20,L63),1)))*POWER(Upgrades!$P$13,E63)*POWER(Upgrades!$P$14,F63)*POWER(Upgrades!$P$15,G63)*POWER(Upgrades!$P$16,H63)*POWER(Upgrades!$P$17,I63)*POWER(Upgrades!$P$18,J63)*POWER(Upgrades!$P$19,K63)*POWER(Upgrades!$P$20,L63)*POWER(Upgrades!$P$21,M63)*$F$6+$C$6</f>
        <v/>
      </c>
      <c r="Q63" s="28">
        <f>((IF(E63=0,0,(Upgrades!$M$13+E63*Upgrades!$N$13)*POWER(Upgrades!$O$13,E63)))*(IF(Upgrades!$T$14="Stellar Kinematics",POWER(Upgrades!$U$14,F63),1)*IF(Upgrades!$T$15="Stellar Kinematics",POWER(Upgrades!$U$15,G63),1)*IF(Upgrades!$T$16="Stellar Kinematics",POWER(Upgrades!$U$16,H63),1)*IF(Upgrades!$T$17="Stellar Kinematics",POWER(Upgrades!$U$17,I63),1)*IF(Upgrades!$T$18="Stellar Kinematics",POWER(Upgrades!$U$18,J63),1)*IF(Upgrades!$T$19="Stellar Kinematics",POWER(Upgrades!$U$19,K63),1)*IF(Upgrades!$T$20="Stellar Kinematics",POWER(Upgrades!$U$20,L63),1)*IF(Upgrades!$T$21="Stellar Kinematics",POWER(Upgrades!$U$21,M63),1))+(IF(F63=0,0,(Upgrades!$M$14+F63*Upgrades!$N$14)*POWER(Upgrades!$O$14,F63)))*(IF(Upgrades!$T$13="Local Bubble",POWER(Upgrades!$U$13,E63),1)*IF(Upgrades!$T$15="Local Bubble",POWER(Upgrades!$U$15,G63),1)*IF(Upgrades!$T$16="Local Bubble",POWER(Upgrades!$U$16,H63),1)*IF(Upgrades!$T$17="Local Bubble",POWER(Upgrades!$U$17,I63),1)*IF(Upgrades!$T$18="Local Bubble",POWER(Upgrades!$U$18,J63),1)*IF(Upgrades!$T$19="Local Bubble",POWER(Upgrades!$U$19,K63),1)*IF(Upgrades!$T$20="Local Bubble",POWER(Upgrades!$U$20,L63),1)*IF(Upgrades!$T$21="Local Bubble",POWER(Upgrades!$U$21,M63),1))+(IF(G63=0,0,(Upgrades!$M$15+G63*Upgrades!$N$15)*POWER(Upgrades!$O$15,G63)))*(IF(Upgrades!$T$13="Microlensing",POWER(Upgrades!$U$13,E63),1)*IF(Upgrades!$T$14="Microlensing",POWER(Upgrades!$U$14,F63),1)*IF(Upgrades!$T$16="Microlensing",POWER(Upgrades!$U$16,H63),1)*IF(Upgrades!$T$17="Microlensing",POWER(Upgrades!$U$17,I63),1)*IF(Upgrades!$T$18="Microlensing",POWER(Upgrades!$U$18,J63),1)*IF(Upgrades!$T$19="Microlensing",POWER(Upgrades!$U$19,K63),1)*IF(Upgrades!$T$20="Microlensing",POWER(Upgrades!$U$20,L63),1)*IF(Upgrades!$T$21="Microlensing",POWER(Upgrades!$U$21,M63),1))+(IF(H63=0,0,(Upgrades!$M$16+H63*Upgrades!$N$16)*POWER(Upgrades!$O$16,H63)))*(IF(Upgrades!$T$13="Roche Lobe Overflow",POWER(Upgrades!$U$13,E63),1)*IF(Upgrades!$T$14="Roche Lobe Overflow",POWER(Upgrades!$U$14,F63),1)*IF(Upgrades!$T$15="Roche Lobe Overflow",POWER(Upgrades!$U$15,G63),1)*IF(Upgrades!$T$17="Roche Lobe Overflow",POWER(Upgrades!$U$17,I63),1)*IF(Upgrades!$T$18="Roche Lobe Overflow",POWER(Upgrades!$U$18,J63),1)*IF(Upgrades!$T$19="Roche Lobe Overflow",POWER(Upgrades!$U$19,K63),1)*IF(Upgrades!$T$20="Roche Lobe Overflow",POWER(Upgrades!$U$20,L63),1)*IF(Upgrades!$T$21="Roche Lobe Overflow",POWER(Upgrades!$U$21,M63),1))+(IF(I63=0,0,(Upgrades!$M$17+I63*Upgrades!$N$17)*POWER(Upgrades!$O$17,I63)))*(IF(Upgrades!$T$13="Brown Dwarf",POWER(Upgrades!$U$13,E63),1)*IF(Upgrades!$T$14="Brown Dwarf",POWER(Upgrades!$U$14,F63),1)*IF(Upgrades!$T$15="Brown Dwarf",POWER(Upgrades!$U$15,G63),1)*IF(Upgrades!$T$16="Brown Dwarf",POWER(Upgrades!$U$16,H63),1)*IF(Upgrades!$T$18="Brown Dwarf",POWER(Upgrades!$U$18,J63),1)*IF(Upgrades!$T$19="Brown Dwarf",POWER(Upgrades!$U$19,K63),1)*IF(Upgrades!$T$20="Brown Dwarf",POWER(Upgrades!$U$20,L63),1)*IF(Upgrades!$T$21="Brown Dwarf",POWER(Upgrades!$U$21,M63),1))+(IF(J63=0,0,(Upgrades!$M$18+J63*Upgrades!$N$18)*POWER(Upgrades!$O$18,J63)))*(IF(Upgrades!$T$13="Binary Partner",POWER(Upgrades!$U$13,E63),1)*IF(Upgrades!$T$14="Binary Partner",POWER(Upgrades!$U$14,F63),1)*IF(Upgrades!$T$15="Binary Partner",POWER(Upgrades!$U$15,G63),1)*IF(Upgrades!$T$16="Binary Partner",POWER(Upgrades!$U$16,H63),1)*IF(Upgrades!$T$17="Binary Partner",POWER(Upgrades!$U$17,I63),1)*IF(Upgrades!$T$19="Binary Partner",POWER(Upgrades!$U$19,K63),1)*IF(Upgrades!$T$20="Binary Partner",POWER(Upgrades!$U$20,L63),1)*IF(Upgrades!$T$21="Binary Partner",POWER(Upgrades!$U$21,M63),1))+(IF(K63=0,0,(Upgrades!$M$19+K63*Upgrades!$N$19)*POWER(Upgrades!$O$19,K63)))*(IF(Upgrades!$T$13="Peculiar Velocity",POWER(Upgrades!$U$13,E63),1)*IF(Upgrades!$T$14="Peculiar Velocity",POWER(Upgrades!$U$14,F63),1)*IF(Upgrades!$T$15="Peculiar Velocity",POWER(Upgrades!$U$15,G63),1)*IF(Upgrades!$T$16="Peculiar Velocity",POWER(Upgrades!$U$16,H63),1)*IF(Upgrades!$T$17="Peculiar Velocity",POWER(Upgrades!$U$17,I63),1)*IF(Upgrades!$T$18="Peculiar Velocity",POWER(Upgrades!$U$18,J63),1)*IF(Upgrades!$T$20="Peculiar Velocity",POWER(Upgrades!$U$20,L63),1)*IF(Upgrades!$T$21="Peculiar Velocity",POWER(Upgrades!$U$21,M63),1))+(IF(L63=0,0,(Upgrades!$M$20+L63*Upgrades!$N$20)*POWER(Upgrades!$O$20,L63)))*(IF(Upgrades!$T$13="Open Cluster",POWER(Upgrades!$U$13,E63),1)*IF(Upgrades!$T$14="Open Cluster",POWER(Upgrades!$U$14,F63),1)*IF(Upgrades!$T$15="Open Cluster",POWER(Upgrades!$U$15,G63),1)*IF(Upgrades!$T$16="Open Cluster",POWER(Upgrades!$U$16,H63),1)*IF(Upgrades!$T$17="Open Cluster",POWER(Upgrades!$U$17,I63),1)*IF(Upgrades!$T$18="Open Cluster",POWER(Upgrades!$U$18,J63),1)*IF(Upgrades!$T$19="Open Cluster",POWER(Upgrades!$U$19,K63),1)*IF(Upgrades!$T$21="Open Cluster",POWER(Upgrades!$U$21,M63),1))+(IF(M63=0,0,(Upgrades!$M$21+M63*Upgrades!$N$21)*POWER(Upgrades!$O$21,M63)))*(IF(Upgrades!$T$13="Moving Group",POWER(Upgrades!$U$13,E63),1)*IF(Upgrades!$T$14="Moving Group",POWER(Upgrades!$U$14,F63),1)*IF(Upgrades!$T$15="Moving Group",POWER(Upgrades!$U$15,G63),1)*IF(Upgrades!$T$16="Moving Group",POWER(Upgrades!$U$16,H63),1)*IF(Upgrades!$T$17="Moving Group",POWER(Upgrades!$U$17,I63),1)*IF(Upgrades!$T$18="Moving Group",POWER(Upgrades!$U$18,J63),1)*IF(Upgrades!$T$19="Moving Group",POWER(Upgrades!$U$19,K63),1)*IF(Upgrades!$T$20="Moving Group",POWER(Upgrades!$U$20,L63),1)))*POWER(Upgrades!$R$13,E63)*POWER(Upgrades!$R$14,F63)*POWER(Upgrades!$R$15,G63)*POWER(Upgrades!$R$16,H63)*POWER(Upgrades!$R$17,I63)*POWER(Upgrades!$R$18,J63)*POWER(Upgrades!$R$19,K63)*POWER(Upgrades!$R$20,L63)*POWER(Upgrades!$R$21,M63)*$H$6+$E$6</f>
        <v/>
      </c>
      <c r="R63" s="27">
        <f>IF(N63=1,0,O63*Parameters!$B$10/60*Parameters!$B$11*10)</f>
        <v/>
      </c>
      <c r="S63" s="27">
        <f>IF(N63=1,0,Q63*O63*10)</f>
        <v/>
      </c>
      <c r="T63" s="27">
        <f>IF(N63=1,0,R63+S63+P63*10)</f>
        <v/>
      </c>
      <c r="U63" s="33">
        <f>BE63</f>
        <v/>
      </c>
      <c r="V63" s="22">
        <f>IF(U63="",0,IF(U63="transition",0,IF(U63="SK",AK63,IF(U63="LB",AL63,IF(U63="ML",AM63,IF(U63="RLO",AN63,IF(U63="BD",AO63,IF(U63="BiP",AP63,IF(U63="PV",AQ63,IF(U63="OC",AR63,IF(U63="MG",AS63,0))))))))))</f>
        <v/>
      </c>
      <c r="W63" s="27">
        <f>IF(U63="BiP",Upgrades!$F$18,IF(U63="PV",Upgrades!$F$19,IF(U63="OC",Upgrades!$F$20,IF(U63="MG",Upgrades!$F$21,IF(U63="transition",-Parameters!$B$18*Parameters!$B$19,0)))))</f>
        <v/>
      </c>
      <c r="X63" s="22">
        <f>C63+T63-V63</f>
        <v/>
      </c>
      <c r="Y63" s="30">
        <f>O63*Parameters!$B$10/60*Parameters!$B$11+Q63*O63+P63</f>
        <v/>
      </c>
      <c r="Z63" s="34">
        <f>IF(U63="transition","→ Tier 3 (Galactic Arm)",IF(U63="MG","Moving Group — pocket drifts together",IF(U63="OC","Open Cluster acquired",IF(U63="PV","Peculiar Velocity — passive multiplier active",IF(U63="BiP","Binary Partner — pair bond formed",IF(AND(AU63=1,N63=0,AT63&lt;&gt;1),"Cohesion ready (waiting on completionists)","")))))) </f>
        <v/>
      </c>
      <c r="AA63" s="27">
        <f>(IF(E63=0,0,(Upgrades!$G$13+E63*Upgrades!$H$13)*POWER(Upgrades!$I$13,E63)))*(IF(Upgrades!$T$14="Stellar Kinematics",POWER(Upgrades!$U$14,F63),1)*IF(Upgrades!$T$15="Stellar Kinematics",POWER(Upgrades!$U$15,G63),1)*IF(Upgrades!$T$16="Stellar Kinematics",POWER(Upgrades!$U$16,H63),1)*IF(Upgrades!$T$17="Stellar Kinematics",POWER(Upgrades!$U$17,I63),1)*IF(Upgrades!$T$18="Stellar Kinematics",POWER(Upgrades!$U$18,J63),1)*IF(Upgrades!$T$19="Stellar Kinematics",POWER(Upgrades!$U$19,K63),1)*IF(Upgrades!$T$20="Stellar Kinematics",POWER(Upgrades!$U$20,L63),1)*IF(Upgrades!$T$21="Stellar Kinematics",POWER(Upgrades!$U$21,M63),1))*POWER(Upgrades!$P$13,E63)*POWER(Upgrades!$P$14,F63)*POWER(Upgrades!$P$15,G63)*POWER(Upgrades!$P$16,H63)*POWER(Upgrades!$P$17,I63)*POWER(Upgrades!$P$18,J63)*POWER(Upgrades!$P$19,K63)*POWER(Upgrades!$P$20,L63)*POWER(Upgrades!$P$21,M63)*$F$6*60</f>
        <v/>
      </c>
      <c r="AB63" s="27">
        <f>(IF(F63=0,0,(Upgrades!$G$14+F63*Upgrades!$H$14)*POWER(Upgrades!$I$14,F63)))*(IF(Upgrades!$T$13="Local Bubble",POWER(Upgrades!$U$13,E63),1)*IF(Upgrades!$T$15="Local Bubble",POWER(Upgrades!$U$15,G63),1)*IF(Upgrades!$T$16="Local Bubble",POWER(Upgrades!$U$16,H63),1)*IF(Upgrades!$T$17="Local Bubble",POWER(Upgrades!$U$17,I63),1)*IF(Upgrades!$T$18="Local Bubble",POWER(Upgrades!$U$18,J63),1)*IF(Upgrades!$T$19="Local Bubble",POWER(Upgrades!$U$19,K63),1)*IF(Upgrades!$T$20="Local Bubble",POWER(Upgrades!$U$20,L63),1)*IF(Upgrades!$T$21="Local Bubble",POWER(Upgrades!$U$21,M63),1))*POWER(Upgrades!$P$13,E63)*POWER(Upgrades!$P$14,F63)*POWER(Upgrades!$P$15,G63)*POWER(Upgrades!$P$16,H63)*POWER(Upgrades!$P$17,I63)*POWER(Upgrades!$P$18,J63)*POWER(Upgrades!$P$19,K63)*POWER(Upgrades!$P$20,L63)*POWER(Upgrades!$P$21,M63)*$F$6*60</f>
        <v/>
      </c>
      <c r="AC63" s="27">
        <f>(IF(G63=0,0,(Upgrades!$J$15+G63*Upgrades!$K$15)*POWER(Upgrades!$L$15,G63)))*(IF(Upgrades!$T$13="Microlensing",POWER(Upgrades!$U$13,E63),1)*IF(Upgrades!$T$14="Microlensing",POWER(Upgrades!$U$14,F63),1)*IF(Upgrades!$T$16="Microlensing",POWER(Upgrades!$U$16,H63),1)*IF(Upgrades!$T$17="Microlensing",POWER(Upgrades!$U$17,I63),1)*IF(Upgrades!$T$18="Microlensing",POWER(Upgrades!$U$18,J63),1)*IF(Upgrades!$T$19="Microlensing",POWER(Upgrades!$U$19,K63),1)*IF(Upgrades!$T$20="Microlensing",POWER(Upgrades!$U$20,L63),1)*IF(Upgrades!$T$21="Microlensing",POWER(Upgrades!$U$21,M63),1))*POWER(Upgrades!$Q$13,E63)*POWER(Upgrades!$Q$14,F63)*POWER(Upgrades!$Q$15,G63)*POWER(Upgrades!$Q$16,H63)*POWER(Upgrades!$Q$17,I63)*POWER(Upgrades!$Q$18,J63)*POWER(Upgrades!$Q$19,K63)*POWER(Upgrades!$Q$20,L63)*POWER(Upgrades!$Q$21,M63)*$G$6*(Parameters!$B$10*Parameters!$B$11+Q63*60)</f>
        <v/>
      </c>
      <c r="AD63" s="27">
        <f>(IF(H63=0,0,(Upgrades!$M$16+H63*Upgrades!$N$16)*POWER(Upgrades!$O$16,H63)))*(IF(Upgrades!$T$13="Roche Lobe Overflow",POWER(Upgrades!$U$13,E63),1)*IF(Upgrades!$T$14="Roche Lobe Overflow",POWER(Upgrades!$U$14,F63),1)*IF(Upgrades!$T$15="Roche Lobe Overflow",POWER(Upgrades!$U$15,G63),1)*IF(Upgrades!$T$17="Roche Lobe Overflow",POWER(Upgrades!$U$17,I63),1)*IF(Upgrades!$T$18="Roche Lobe Overflow",POWER(Upgrades!$U$18,J63),1)*IF(Upgrades!$T$19="Roche Lobe Overflow",POWER(Upgrades!$U$19,K63),1)*IF(Upgrades!$T$20="Roche Lobe Overflow",POWER(Upgrades!$U$20,L63),1)*IF(Upgrades!$T$21="Roche Lobe Overflow",POWER(Upgrades!$U$21,M63),1))*POWER(Upgrades!$R$13,E63)*POWER(Upgrades!$R$14,F63)*POWER(Upgrades!$R$15,G63)*POWER(Upgrades!$R$16,H63)*POWER(Upgrades!$R$17,I63)*POWER(Upgrades!$R$18,J63)*POWER(Upgrades!$R$19,K63)*POWER(Upgrades!$R$20,L63)*POWER(Upgrades!$R$21,M63)*$H$6*O63*60</f>
        <v/>
      </c>
      <c r="AE63" s="27">
        <f>(IF(I63=0,0,(Upgrades!$G$17+I63*Upgrades!$H$17)*POWER(Upgrades!$I$17,I63)))*(IF(Upgrades!$T$13="Brown Dwarf",POWER(Upgrades!$U$13,E63),1)*IF(Upgrades!$T$14="Brown Dwarf",POWER(Upgrades!$U$14,F63),1)*IF(Upgrades!$T$15="Brown Dwarf",POWER(Upgrades!$U$15,G63),1)*IF(Upgrades!$T$16="Brown Dwarf",POWER(Upgrades!$U$16,H63),1)*IF(Upgrades!$T$18="Brown Dwarf",POWER(Upgrades!$U$18,J63),1)*IF(Upgrades!$T$19="Brown Dwarf",POWER(Upgrades!$U$19,K63),1)*IF(Upgrades!$T$20="Brown Dwarf",POWER(Upgrades!$U$20,L63),1)*IF(Upgrades!$T$21="Brown Dwarf",POWER(Upgrades!$U$21,M63),1))*POWER(Upgrades!$P$13,E63)*POWER(Upgrades!$P$14,F63)*POWER(Upgrades!$P$15,G63)*POWER(Upgrades!$P$16,H63)*POWER(Upgrades!$P$17,I63)*POWER(Upgrades!$P$18,J63)*POWER(Upgrades!$P$19,K63)*POWER(Upgrades!$P$20,L63)*POWER(Upgrades!$P$21,M63)*$F$6*60</f>
        <v/>
      </c>
      <c r="AF63" s="27" t="n">
        <v>0</v>
      </c>
      <c r="AG63" s="27" t="n">
        <v>0</v>
      </c>
      <c r="AH63" s="27" t="n">
        <v>0</v>
      </c>
      <c r="AI63" s="27">
        <f>(IF(M63=0,0,(Upgrades!$G$21+M63*Upgrades!$H$21)*POWER(Upgrades!$I$21,M63)))*(IF(Upgrades!$T$13="Moving Group",POWER(Upgrades!$U$13,E63),1)*IF(Upgrades!$T$14="Moving Group",POWER(Upgrades!$U$14,F63),1)*IF(Upgrades!$T$15="Moving Group",POWER(Upgrades!$U$15,G63),1)*IF(Upgrades!$T$16="Moving Group",POWER(Upgrades!$U$16,H63),1)*IF(Upgrades!$T$17="Moving Group",POWER(Upgrades!$U$17,I63),1)*IF(Upgrades!$T$18="Moving Group",POWER(Upgrades!$U$18,J63),1)*IF(Upgrades!$T$19="Moving Group",POWER(Upgrades!$U$19,K63),1)*IF(Upgrades!$T$20="Moving Group",POWER(Upgrades!$U$20,L63),1))*POWER(Upgrades!$P$13,E63)*POWER(Upgrades!$P$14,F63)*POWER(Upgrades!$P$15,G63)*POWER(Upgrades!$P$16,H63)*POWER(Upgrades!$P$17,I63)*POWER(Upgrades!$P$18,J63)*POWER(Upgrades!$P$19,K63)*POWER(Upgrades!$P$20,L63)*POWER(Upgrades!$P$21,M63)*$F$6*60</f>
        <v/>
      </c>
      <c r="AJ63" s="27">
        <f>$C$6*60</f>
        <v/>
      </c>
      <c r="AK63" s="22">
        <f>IF(E63&gt;=Upgrades!$E$13,"",Upgrades!$C$13*POWER(Upgrades!$D$13,E63))</f>
        <v/>
      </c>
      <c r="AL63" s="22">
        <f>IF(F63&gt;=Upgrades!$E$14,"",Upgrades!$C$14*POWER(Upgrades!$D$14,F63))</f>
        <v/>
      </c>
      <c r="AM63" s="22">
        <f>IF(G63&gt;=Upgrades!$E$15,"",Upgrades!$C$15*POWER(Upgrades!$D$15,G63))</f>
        <v/>
      </c>
      <c r="AN63" s="22">
        <f>IF(H63&gt;=Upgrades!$E$16,"",Upgrades!$C$16*POWER(Upgrades!$D$16,H63))</f>
        <v/>
      </c>
      <c r="AO63" s="22">
        <f>IF(I63&gt;=Upgrades!$E$17,"",Upgrades!$C$17*POWER(Upgrades!$D$17,I63))</f>
        <v/>
      </c>
      <c r="AP63" s="22">
        <f>IF(J63&gt;=Upgrades!$E$18,"",Upgrades!$C$18*POWER(Upgrades!$D$18,J63))</f>
        <v/>
      </c>
      <c r="AQ63" s="22">
        <f>IF(K63&gt;=Upgrades!$E$19,"",Upgrades!$C$19*POWER(Upgrades!$D$19,K63))</f>
        <v/>
      </c>
      <c r="AR63" s="22">
        <f>IF(L63&gt;=Upgrades!$E$20,"",Upgrades!$C$20*POWER(Upgrades!$D$20,L63))</f>
        <v/>
      </c>
      <c r="AS63" s="22">
        <f>IF(M63&gt;=Upgrades!$E$21,"",Upgrades!$C$21*POWER(Upgrades!$D$21,M63))</f>
        <v/>
      </c>
      <c r="AT63" s="26">
        <f>IF(AND(D63&gt;=Parameters!$B$18*Parameters!$B$19,(I63&gt;=Upgrades!$E$17)*(M63&gt;=Upgrades!$E$21)=1,N63=0),1,"")</f>
        <v/>
      </c>
      <c r="AU63" s="26">
        <f>IF(AND(D63&gt;=Parameters!$B$18*Parameters!$B$19,N63=0),1,"")</f>
        <v/>
      </c>
      <c r="AV63" s="22">
        <f>MIN(IF(ISNUMBER(AP63),AP63,9E15),IF(ISNUMBER(AQ63),AQ63,9E15),IF(ISNUMBER(AR63),AR63,9E15),IF(ISNUMBER(AS63),AS63,9E15))</f>
        <v/>
      </c>
      <c r="AW63" s="22">
        <f>MIN(IF(ISNUMBER(AK63),AK63,9E15),IF(ISNUMBER(AL63),AL63,9E15),IF(ISNUMBER(AM63),AM63,9E15),IF(ISNUMBER(AN63),AN63,9E15),IF(ISNUMBER(AO63),AO63,9E15))</f>
        <v/>
      </c>
      <c r="AX63" s="29">
        <f>IF(BD63&gt;Parameters!$B$21*(MAX(IF(AND(NOT(AND(AU63=1,AT63&lt;&gt;1)),ISNUMBER(AK63),AK63&lt;=(C63+T63)),AY63,0),IF(AND(NOT(AND(AU63=1,AT63&lt;&gt;1)),ISNUMBER(AL63),AL63&lt;=(C63+T63)),AZ63,0),IF(AND(NOT(AND(AU63=1,AT63&lt;&gt;1)),ISNUMBER(AM63),AM63&lt;=(C63+T63)),BA63,0),IF(AND(NOT(AND(AU63=1,AT63&lt;&gt;1)),ISNUMBER(AN63),AN63&lt;=(C63+T63)),BB63,0),IF(AND(ISNUMBER(AO63),AO63&lt;=(C63+T63)),BC63,0))),TRUE,FALSE)</f>
        <v/>
      </c>
      <c r="AY63" s="32">
        <f>IFERROR(Upgrades!$H$13*(POWER(Upgrades!$P$13,E63)*POWER(Upgrades!$P$14,F63)*POWER(Upgrades!$P$15,G63)*POWER(Upgrades!$P$16,H63)*POWER(Upgrades!$P$17,I63)*POWER(Upgrades!$P$18,J63)*POWER(Upgrades!$P$19,K63)*POWER(Upgrades!$P$20,L63)*POWER(Upgrades!$P$21,M63))*(IF(Upgrades!$T$14="Stellar Kinematics",POWER(Upgrades!$U$14,F63),1)*IF(Upgrades!$T$15="Stellar Kinematics",POWER(Upgrades!$U$15,G63),1)*IF(Upgrades!$T$16="Stellar Kinematics",POWER(Upgrades!$U$16,H63),1)*IF(Upgrades!$T$17="Stellar Kinematics",POWER(Upgrades!$U$17,I63),1)*IF(Upgrades!$T$18="Stellar Kinematics",POWER(Upgrades!$U$18,J63),1)*IF(Upgrades!$T$19="Stellar Kinematics",POWER(Upgrades!$U$19,K63),1)*IF(Upgrades!$T$20="Stellar Kinematics",POWER(Upgrades!$U$20,L63),1)*IF(Upgrades!$T$21="Stellar Kinematics",POWER(Upgrades!$U$21,M63),1))*$F$6/AK63,0)</f>
        <v/>
      </c>
      <c r="AZ63" s="32">
        <f>IFERROR(Upgrades!$H$14*(POWER(Upgrades!$P$13,E63)*POWER(Upgrades!$P$14,F63)*POWER(Upgrades!$P$15,G63)*POWER(Upgrades!$P$16,H63)*POWER(Upgrades!$P$17,I63)*POWER(Upgrades!$P$18,J63)*POWER(Upgrades!$P$19,K63)*POWER(Upgrades!$P$20,L63)*POWER(Upgrades!$P$21,M63))*(IF(Upgrades!$T$13="Local Bubble",POWER(Upgrades!$U$13,E63),1)*IF(Upgrades!$T$15="Local Bubble",POWER(Upgrades!$U$15,G63),1)*IF(Upgrades!$T$16="Local Bubble",POWER(Upgrades!$U$16,H63),1)*IF(Upgrades!$T$17="Local Bubble",POWER(Upgrades!$U$17,I63),1)*IF(Upgrades!$T$18="Local Bubble",POWER(Upgrades!$U$18,J63),1)*IF(Upgrades!$T$19="Local Bubble",POWER(Upgrades!$U$19,K63),1)*IF(Upgrades!$T$20="Local Bubble",POWER(Upgrades!$U$20,L63),1)*IF(Upgrades!$T$21="Local Bubble",POWER(Upgrades!$U$21,M63),1))*$F$6/AL63,0)</f>
        <v/>
      </c>
      <c r="BA63" s="32">
        <f>IFERROR(Upgrades!$K$15*(POWER(Upgrades!$Q$13,E63)*POWER(Upgrades!$Q$14,F63)*POWER(Upgrades!$Q$15,G63)*POWER(Upgrades!$Q$16,H63)*POWER(Upgrades!$Q$17,I63)*POWER(Upgrades!$Q$18,J63)*POWER(Upgrades!$Q$19,K63)*POWER(Upgrades!$Q$20,L63)*POWER(Upgrades!$Q$21,M63))*(IF(Upgrades!$T$13="Microlensing",POWER(Upgrades!$U$13,E63),1)*IF(Upgrades!$T$14="Microlensing",POWER(Upgrades!$U$14,F63),1)*IF(Upgrades!$T$16="Microlensing",POWER(Upgrades!$U$16,H63),1)*IF(Upgrades!$T$17="Microlensing",POWER(Upgrades!$U$17,I63),1)*IF(Upgrades!$T$18="Microlensing",POWER(Upgrades!$U$18,J63),1)*IF(Upgrades!$T$19="Microlensing",POWER(Upgrades!$U$19,K63),1)*IF(Upgrades!$T$20="Microlensing",POWER(Upgrades!$U$20,L63),1)*IF(Upgrades!$T$21="Microlensing",POWER(Upgrades!$U$21,M63),1))*$G$6*(Parameters!$B$10/60*Parameters!$B$11+Q63)/AM63,0)</f>
        <v/>
      </c>
      <c r="BB63" s="32">
        <f>IFERROR((Upgrades!$N$16*(POWER(Upgrades!$R$13,E63)*POWER(Upgrades!$R$14,F63)*POWER(Upgrades!$R$15,G63)*POWER(Upgrades!$R$16,H63)*POWER(Upgrades!$R$17,I63)*POWER(Upgrades!$R$18,J63)*POWER(Upgrades!$R$19,K63)*POWER(Upgrades!$R$20,L63)*POWER(Upgrades!$R$21,M63))*(IF(Upgrades!$T$13="Roche Lobe Overflow",POWER(Upgrades!$U$13,E63),1)*IF(Upgrades!$T$14="Roche Lobe Overflow",POWER(Upgrades!$U$14,F63),1)*IF(Upgrades!$T$15="Roche Lobe Overflow",POWER(Upgrades!$U$15,G63),1)*IF(Upgrades!$T$17="Roche Lobe Overflow",POWER(Upgrades!$U$17,I63),1)*IF(Upgrades!$T$18="Roche Lobe Overflow",POWER(Upgrades!$U$18,J63),1)*IF(Upgrades!$T$19="Roche Lobe Overflow",POWER(Upgrades!$U$19,K63),1)*IF(Upgrades!$T$20="Roche Lobe Overflow",POWER(Upgrades!$U$20,L63),1)*IF(Upgrades!$T$21="Roche Lobe Overflow",POWER(Upgrades!$U$21,M63),1))*$H$6*O63+((IF(F63=0,0,(Upgrades!$G$14+F63*Upgrades!$H$14)*POWER(Upgrades!$I$14,F63)))*(IF(Upgrades!$T$13="Local Bubble",POWER(Upgrades!$U$13,E63),1)*IF(Upgrades!$T$15="Local Bubble",POWER(Upgrades!$U$15,G63),1)*IF(Upgrades!$T$16="Local Bubble",POWER(Upgrades!$U$16,H63),1)*IF(Upgrades!$T$17="Local Bubble",POWER(Upgrades!$U$17,I63),1)*IF(Upgrades!$T$18="Local Bubble",POWER(Upgrades!$U$18,J63),1)*IF(Upgrades!$T$19="Local Bubble",POWER(Upgrades!$U$19,K63),1)*IF(Upgrades!$T$20="Local Bubble",POWER(Upgrades!$U$20,L63),1)*IF(Upgrades!$T$21="Local Bubble",POWER(Upgrades!$U$21,M63),1))*POWER(Upgrades!$P$13,E63)*POWER(Upgrades!$P$14,F63)*POWER(Upgrades!$P$15,G63)*POWER(Upgrades!$P$16,H63)*POWER(Upgrades!$P$17,I63)*POWER(Upgrades!$P$18,J63)*POWER(Upgrades!$P$19,K63)*POWER(Upgrades!$P$20,L63)*POWER(Upgrades!$P$21,M63)*$F$6)*0.05)/AN63,0)</f>
        <v/>
      </c>
      <c r="BC63" s="32">
        <f>IFERROR((Upgrades!$H$17*(POWER(Upgrades!$P$13,E63)*POWER(Upgrades!$P$14,F63)*POWER(Upgrades!$P$15,G63)*POWER(Upgrades!$P$16,H63)*POWER(Upgrades!$P$17,I63)*POWER(Upgrades!$P$18,J63)*POWER(Upgrades!$P$19,K63)*POWER(Upgrades!$P$20,L63)*POWER(Upgrades!$P$21,M63))*(IF(Upgrades!$T$13="Brown Dwarf",POWER(Upgrades!$U$13,E63),1)*IF(Upgrades!$T$14="Brown Dwarf",POWER(Upgrades!$U$14,F63),1)*IF(Upgrades!$T$15="Brown Dwarf",POWER(Upgrades!$U$15,G63),1)*IF(Upgrades!$T$16="Brown Dwarf",POWER(Upgrades!$U$16,H63),1)*IF(Upgrades!$T$18="Brown Dwarf",POWER(Upgrades!$U$18,J63),1)*IF(Upgrades!$T$19="Brown Dwarf",POWER(Upgrades!$U$19,K63),1)*IF(Upgrades!$T$20="Brown Dwarf",POWER(Upgrades!$U$20,L63),1)*IF(Upgrades!$T$21="Brown Dwarf",POWER(Upgrades!$U$21,M63),1))*$F$6+(((IF(H63=0,0,(Upgrades!$M$16+H63*Upgrades!$N$16)*POWER(Upgrades!$O$16,H63)))*(IF(Upgrades!$T$13="Roche Lobe Overflow",POWER(Upgrades!$U$13,E63),1)*IF(Upgrades!$T$14="Roche Lobe Overflow",POWER(Upgrades!$U$14,F63),1)*IF(Upgrades!$T$15="Roche Lobe Overflow",POWER(Upgrades!$U$15,G63),1)*IF(Upgrades!$T$17="Roche Lobe Overflow",POWER(Upgrades!$U$17,I63),1)*IF(Upgrades!$T$18="Roche Lobe Overflow",POWER(Upgrades!$U$18,J63),1)*IF(Upgrades!$T$19="Roche Lobe Overflow",POWER(Upgrades!$U$19,K63),1)*IF(Upgrades!$T$20="Roche Lobe Overflow",POWER(Upgrades!$U$20,L63),1)*IF(Upgrades!$T$21="Roche Lobe Overflow",POWER(Upgrades!$U$21,M63),1))*POWER(Upgrades!$R$13,E63)*POWER(Upgrades!$R$14,F63)*POWER(Upgrades!$R$15,G63)*POWER(Upgrades!$R$16,H63)*POWER(Upgrades!$R$17,I63)*POWER(Upgrades!$R$18,J63)*POWER(Upgrades!$R$19,K63)*POWER(Upgrades!$R$20,L63)*POWER(Upgrades!$R$21,M63)*$H$6)*O63)*0.10)/AO63,0)</f>
        <v/>
      </c>
      <c r="BD63" s="32">
        <f>MAX(IF(J63&gt;0,0,IFERROR(0.5*((IF(G63=0,0,(Upgrades!$J$15+G63*Upgrades!$K$15)*POWER(Upgrades!$L$15,G63)))*(IF(Upgrades!$T$13="Microlensing",POWER(Upgrades!$U$13,E63),1)*IF(Upgrades!$T$14="Microlensing",POWER(Upgrades!$U$14,F63),1)*IF(Upgrades!$T$16="Microlensing",POWER(Upgrades!$U$16,H63),1)*IF(Upgrades!$T$17="Microlensing",POWER(Upgrades!$U$17,I63),1)*IF(Upgrades!$T$18="Microlensing",POWER(Upgrades!$U$18,J63),1)*IF(Upgrades!$T$19="Microlensing",POWER(Upgrades!$U$19,K63),1)*IF(Upgrades!$T$20="Microlensing",POWER(Upgrades!$U$20,L63),1)*IF(Upgrades!$T$21="Microlensing",POWER(Upgrades!$U$21,M63),1))*(POWER(Upgrades!$Q$13,E63)*POWER(Upgrades!$Q$14,F63)*POWER(Upgrades!$Q$15,G63)*POWER(Upgrades!$Q$16,H63)*POWER(Upgrades!$Q$17,I63)*POWER(Upgrades!$Q$18,J63)*POWER(Upgrades!$Q$19,K63)*POWER(Upgrades!$Q$20,L63)*POWER(Upgrades!$Q$21,M63))*$G$6*(Parameters!$B$10/60*Parameters!$B$11+Q63))/Upgrades!$C$18,0)),IF(K63&gt;0,0,IFERROR(0.30*P63/Upgrades!$C$19,0)),IF(L63&gt;0,0,IFERROR(0.0001/Upgrades!$C$20,0)),IF(M63&gt;0,0,IFERROR((6.0*(POWER(Upgrades!$P$13,E63)*POWER(Upgrades!$P$14,F63)*POWER(Upgrades!$P$15,G63)*POWER(Upgrades!$P$16,H63)*POWER(Upgrades!$P$17,I63)*POWER(Upgrades!$P$18,J63)*POWER(Upgrades!$P$19,K63)*POWER(Upgrades!$P$20,L63)*POWER(Upgrades!$P$21,M63))*$F$6+0.20*O63*(Parameters!$B$10/60*Parameters!$B$11+Q63))/Upgrades!$C$21,0)),IF(AND(ISNUMBER(AK63),AK63&gt;(C63+T63)),AY63,0),IF(AND(ISNUMBER(AL63),AL63&gt;(C63+T63)),AZ63,0),IF(AND(ISNUMBER(AM63),AM63&gt;(C63+T63)),BA63,0),IF(AND(ISNUMBER(AN63),AN63&gt;(C63+T63)),BB63,0),IF(AND(ISNUMBER(AO63),AO63&gt;(C63+T63)),BC63,0))</f>
        <v/>
      </c>
      <c r="BE63" s="29">
        <f>IF(AT63=1,"transition",IF(MIN(IF(AND(J63=0,ISNUMBER(AP63),AP63&lt;=(C63+T63)),AP63,9E15),IF(AND(K63=0,ISNUMBER(AQ63),AQ63&lt;=(C63+T63)),AQ63,9E15),IF(AND(L63=0,ISNUMBER(AR63),AR63&lt;=(C63+T63)),AR63,9E15),IF(AND(M63=0,ISNUMBER(AS63),AS63&lt;=(C63+T63)),AS63,9E15))&lt;9E15,IF(AND(AND(J63=0,ISNUMBER(AP63),AP63&lt;=(C63+T63)),AP63=MIN(IF(AND(J63=0,ISNUMBER(AP63),AP63&lt;=(C63+T63)),AP63,9E15),IF(AND(K63=0,ISNUMBER(AQ63),AQ63&lt;=(C63+T63)),AQ63,9E15),IF(AND(L63=0,ISNUMBER(AR63),AR63&lt;=(C63+T63)),AR63,9E15),IF(AND(M63=0,ISNUMBER(AS63),AS63&lt;=(C63+T63)),AS63,9E15))),"BiP",IF(AND(AND(K63=0,ISNUMBER(AQ63),AQ63&lt;=(C63+T63)),AQ63=MIN(IF(AND(J63=0,ISNUMBER(AP63),AP63&lt;=(C63+T63)),AP63,9E15),IF(AND(K63=0,ISNUMBER(AQ63),AQ63&lt;=(C63+T63)),AQ63,9E15),IF(AND(L63=0,ISNUMBER(AR63),AR63&lt;=(C63+T63)),AR63,9E15),IF(AND(M63=0,ISNUMBER(AS63),AS63&lt;=(C63+T63)),AS63,9E15))),"PV",IF(AND(AND(L63=0,ISNUMBER(AR63),AR63&lt;=(C63+T63)),AR63=MIN(IF(AND(J63=0,ISNUMBER(AP63),AP63&lt;=(C63+T63)),AP63,9E15),IF(AND(K63=0,ISNUMBER(AQ63),AQ63&lt;=(C63+T63)),AQ63,9E15),IF(AND(L63=0,ISNUMBER(AR63),AR63&lt;=(C63+T63)),AR63,9E15),IF(AND(M63=0,ISNUMBER(AS63),AS63&lt;=(C63+T63)),AS63,9E15))),"OC","MG"))),IF(AX63=TRUE,"",IF(MAX(IF(AND(NOT(AND(AU63=1,AT63&lt;&gt;1)),ISNUMBER(AK63),AK63&lt;=(C63+T63)),AY63,0),IF(AND(NOT(AND(AU63=1,AT63&lt;&gt;1)),ISNUMBER(AL63),AL63&lt;=(C63+T63)),AZ63,0),IF(AND(NOT(AND(AU63=1,AT63&lt;&gt;1)),ISNUMBER(AM63),AM63&lt;=(C63+T63)),BA63,0),IF(AND(NOT(AND(AU63=1,AT63&lt;&gt;1)),ISNUMBER(AN63),AN63&lt;=(C63+T63)),BB63,0),IF(AND(ISNUMBER(AO63),AO63&lt;=(C63+T63)),BC63,0))&lt;=0,"",IF(AND(IF(AND(NOT(AND(AU63=1,AT63&lt;&gt;1)),ISNUMBER(AK63),AK63&lt;=(C63+T63)),AY63,0)&gt;0,IF(AND(NOT(AND(AU63=1,AT63&lt;&gt;1)),ISNUMBER(AK63),AK63&lt;=(C63+T63)),AY63,0)=MAX(IF(AND(NOT(AND(AU63=1,AT63&lt;&gt;1)),ISNUMBER(AK63),AK63&lt;=(C63+T63)),AY63,0),IF(AND(NOT(AND(AU63=1,AT63&lt;&gt;1)),ISNUMBER(AL63),AL63&lt;=(C63+T63)),AZ63,0),IF(AND(NOT(AND(AU63=1,AT63&lt;&gt;1)),ISNUMBER(AM63),AM63&lt;=(C63+T63)),BA63,0),IF(AND(NOT(AND(AU63=1,AT63&lt;&gt;1)),ISNUMBER(AN63),AN63&lt;=(C63+T63)),BB63,0),IF(AND(ISNUMBER(AO63),AO63&lt;=(C63+T63)),BC63,0))),"SK",IF(AND(IF(AND(NOT(AND(AU63=1,AT63&lt;&gt;1)),ISNUMBER(AL63),AL63&lt;=(C63+T63)),AZ63,0)&gt;0,IF(AND(NOT(AND(AU63=1,AT63&lt;&gt;1)),ISNUMBER(AL63),AL63&lt;=(C63+T63)),AZ63,0)=MAX(IF(AND(NOT(AND(AU63=1,AT63&lt;&gt;1)),ISNUMBER(AK63),AK63&lt;=(C63+T63)),AY63,0),IF(AND(NOT(AND(AU63=1,AT63&lt;&gt;1)),ISNUMBER(AL63),AL63&lt;=(C63+T63)),AZ63,0),IF(AND(NOT(AND(AU63=1,AT63&lt;&gt;1)),ISNUMBER(AM63),AM63&lt;=(C63+T63)),BA63,0),IF(AND(NOT(AND(AU63=1,AT63&lt;&gt;1)),ISNUMBER(AN63),AN63&lt;=(C63+T63)),BB63,0),IF(AND(ISNUMBER(AO63),AO63&lt;=(C63+T63)),BC63,0))),"LB",IF(AND(IF(AND(NOT(AND(AU63=1,AT63&lt;&gt;1)),ISNUMBER(AM63),AM63&lt;=(C63+T63)),BA63,0)&gt;0,IF(AND(NOT(AND(AU63=1,AT63&lt;&gt;1)),ISNUMBER(AM63),AM63&lt;=(C63+T63)),BA63,0)=MAX(IF(AND(NOT(AND(AU63=1,AT63&lt;&gt;1)),ISNUMBER(AK63),AK63&lt;=(C63+T63)),AY63,0),IF(AND(NOT(AND(AU63=1,AT63&lt;&gt;1)),ISNUMBER(AL63),AL63&lt;=(C63+T63)),AZ63,0),IF(AND(NOT(AND(AU63=1,AT63&lt;&gt;1)),ISNUMBER(AM63),AM63&lt;=(C63+T63)),BA63,0),IF(AND(NOT(AND(AU63=1,AT63&lt;&gt;1)),ISNUMBER(AN63),AN63&lt;=(C63+T63)),BB63,0),IF(AND(ISNUMBER(AO63),AO63&lt;=(C63+T63)),BC63,0))),"ML",IF(AND(IF(AND(NOT(AND(AU63=1,AT63&lt;&gt;1)),ISNUMBER(AN63),AN63&lt;=(C63+T63)),BB63,0)&gt;0,IF(AND(NOT(AND(AU63=1,AT63&lt;&gt;1)),ISNUMBER(AN63),AN63&lt;=(C63+T63)),BB63,0)=MAX(IF(AND(NOT(AND(AU63=1,AT63&lt;&gt;1)),ISNUMBER(AK63),AK63&lt;=(C63+T63)),AY63,0),IF(AND(NOT(AND(AU63=1,AT63&lt;&gt;1)),ISNUMBER(AL63),AL63&lt;=(C63+T63)),AZ63,0),IF(AND(NOT(AND(AU63=1,AT63&lt;&gt;1)),ISNUMBER(AM63),AM63&lt;=(C63+T63)),BA63,0),IF(AND(NOT(AND(AU63=1,AT63&lt;&gt;1)),ISNUMBER(AN63),AN63&lt;=(C63+T63)),BB63,0),IF(AND(ISNUMBER(AO63),AO63&lt;=(C63+T63)),BC63,0))),"RLO","BD"))))))))</f>
        <v/>
      </c>
    </row>
    <row r="64">
      <c r="A64" s="26" t="n">
        <v>53</v>
      </c>
      <c r="B64" s="27">
        <f>A64*10/60</f>
        <v/>
      </c>
      <c r="C64" s="22">
        <f>X63</f>
        <v/>
      </c>
      <c r="D64" s="27">
        <f>D63+W63</f>
        <v/>
      </c>
      <c r="E64" s="26">
        <f>E63+IF(U63="SK",1,0)</f>
        <v/>
      </c>
      <c r="F64" s="26">
        <f>F63+IF(U63="LB",1,0)</f>
        <v/>
      </c>
      <c r="G64" s="26">
        <f>G63+IF(U63="ML",1,0)</f>
        <v/>
      </c>
      <c r="H64" s="26">
        <f>H63+IF(U63="RLO",1,0)</f>
        <v/>
      </c>
      <c r="I64" s="26">
        <f>I63+IF(U63="BD",1,0)</f>
        <v/>
      </c>
      <c r="J64" s="26">
        <f>MAX(J63,IF(U63="BiP",1,0))</f>
        <v/>
      </c>
      <c r="K64" s="26">
        <f>MAX(K63,IF(U63="PV",1,0))</f>
        <v/>
      </c>
      <c r="L64" s="26">
        <f>MAX(L63,IF(U63="OC",1,0))</f>
        <v/>
      </c>
      <c r="M64" s="26">
        <f>MAX(M63,IF(U63="MG",1,0))</f>
        <v/>
      </c>
      <c r="N64" s="26">
        <f>MAX(N63,IF(U63="transition",1,0))</f>
        <v/>
      </c>
      <c r="O64" s="28">
        <f>(Parameters!$B$9+(IF(E64=0,0,(Upgrades!$J$13+E64*Upgrades!$K$13)*POWER(Upgrades!$L$13,E64)))*(IF(Upgrades!$T$14="Stellar Kinematics",POWER(Upgrades!$U$14,F64),1)*IF(Upgrades!$T$15="Stellar Kinematics",POWER(Upgrades!$U$15,G64),1)*IF(Upgrades!$T$16="Stellar Kinematics",POWER(Upgrades!$U$16,H64),1)*IF(Upgrades!$T$17="Stellar Kinematics",POWER(Upgrades!$U$17,I64),1)*IF(Upgrades!$T$18="Stellar Kinematics",POWER(Upgrades!$U$18,J64),1)*IF(Upgrades!$T$19="Stellar Kinematics",POWER(Upgrades!$U$19,K64),1)*IF(Upgrades!$T$20="Stellar Kinematics",POWER(Upgrades!$U$20,L64),1)*IF(Upgrades!$T$21="Stellar Kinematics",POWER(Upgrades!$U$21,M64),1))+(IF(F64=0,0,(Upgrades!$J$14+F64*Upgrades!$K$14)*POWER(Upgrades!$L$14,F64)))*(IF(Upgrades!$T$13="Local Bubble",POWER(Upgrades!$U$13,E64),1)*IF(Upgrades!$T$15="Local Bubble",POWER(Upgrades!$U$15,G64),1)*IF(Upgrades!$T$16="Local Bubble",POWER(Upgrades!$U$16,H64),1)*IF(Upgrades!$T$17="Local Bubble",POWER(Upgrades!$U$17,I64),1)*IF(Upgrades!$T$18="Local Bubble",POWER(Upgrades!$U$18,J64),1)*IF(Upgrades!$T$19="Local Bubble",POWER(Upgrades!$U$19,K64),1)*IF(Upgrades!$T$20="Local Bubble",POWER(Upgrades!$U$20,L64),1)*IF(Upgrades!$T$21="Local Bubble",POWER(Upgrades!$U$21,M64),1))+(IF(G64=0,0,(Upgrades!$J$15+G64*Upgrades!$K$15)*POWER(Upgrades!$L$15,G64)))*(IF(Upgrades!$T$13="Microlensing",POWER(Upgrades!$U$13,E64),1)*IF(Upgrades!$T$14="Microlensing",POWER(Upgrades!$U$14,F64),1)*IF(Upgrades!$T$16="Microlensing",POWER(Upgrades!$U$16,H64),1)*IF(Upgrades!$T$17="Microlensing",POWER(Upgrades!$U$17,I64),1)*IF(Upgrades!$T$18="Microlensing",POWER(Upgrades!$U$18,J64),1)*IF(Upgrades!$T$19="Microlensing",POWER(Upgrades!$U$19,K64),1)*IF(Upgrades!$T$20="Microlensing",POWER(Upgrades!$U$20,L64),1)*IF(Upgrades!$T$21="Microlensing",POWER(Upgrades!$U$21,M64),1))+(IF(H64=0,0,(Upgrades!$J$16+H64*Upgrades!$K$16)*POWER(Upgrades!$L$16,H64)))*(IF(Upgrades!$T$13="Roche Lobe Overflow",POWER(Upgrades!$U$13,E64),1)*IF(Upgrades!$T$14="Roche Lobe Overflow",POWER(Upgrades!$U$14,F64),1)*IF(Upgrades!$T$15="Roche Lobe Overflow",POWER(Upgrades!$U$15,G64),1)*IF(Upgrades!$T$17="Roche Lobe Overflow",POWER(Upgrades!$U$17,I64),1)*IF(Upgrades!$T$18="Roche Lobe Overflow",POWER(Upgrades!$U$18,J64),1)*IF(Upgrades!$T$19="Roche Lobe Overflow",POWER(Upgrades!$U$19,K64),1)*IF(Upgrades!$T$20="Roche Lobe Overflow",POWER(Upgrades!$U$20,L64),1)*IF(Upgrades!$T$21="Roche Lobe Overflow",POWER(Upgrades!$U$21,M64),1))+(IF(I64=0,0,(Upgrades!$J$17+I64*Upgrades!$K$17)*POWER(Upgrades!$L$17,I64)))*(IF(Upgrades!$T$13="Brown Dwarf",POWER(Upgrades!$U$13,E64),1)*IF(Upgrades!$T$14="Brown Dwarf",POWER(Upgrades!$U$14,F64),1)*IF(Upgrades!$T$15="Brown Dwarf",POWER(Upgrades!$U$15,G64),1)*IF(Upgrades!$T$16="Brown Dwarf",POWER(Upgrades!$U$16,H64),1)*IF(Upgrades!$T$18="Brown Dwarf",POWER(Upgrades!$U$18,J64),1)*IF(Upgrades!$T$19="Brown Dwarf",POWER(Upgrades!$U$19,K64),1)*IF(Upgrades!$T$20="Brown Dwarf",POWER(Upgrades!$U$20,L64),1)*IF(Upgrades!$T$21="Brown Dwarf",POWER(Upgrades!$U$21,M64),1))+(IF(J64=0,0,(Upgrades!$J$18+J64*Upgrades!$K$18)*POWER(Upgrades!$L$18,J64)))*(IF(Upgrades!$T$13="Binary Partner",POWER(Upgrades!$U$13,E64),1)*IF(Upgrades!$T$14="Binary Partner",POWER(Upgrades!$U$14,F64),1)*IF(Upgrades!$T$15="Binary Partner",POWER(Upgrades!$U$15,G64),1)*IF(Upgrades!$T$16="Binary Partner",POWER(Upgrades!$U$16,H64),1)*IF(Upgrades!$T$17="Binary Partner",POWER(Upgrades!$U$17,I64),1)*IF(Upgrades!$T$19="Binary Partner",POWER(Upgrades!$U$19,K64),1)*IF(Upgrades!$T$20="Binary Partner",POWER(Upgrades!$U$20,L64),1)*IF(Upgrades!$T$21="Binary Partner",POWER(Upgrades!$U$21,M64),1))+(IF(K64=0,0,(Upgrades!$J$19+K64*Upgrades!$K$19)*POWER(Upgrades!$L$19,K64)))*(IF(Upgrades!$T$13="Peculiar Velocity",POWER(Upgrades!$U$13,E64),1)*IF(Upgrades!$T$14="Peculiar Velocity",POWER(Upgrades!$U$14,F64),1)*IF(Upgrades!$T$15="Peculiar Velocity",POWER(Upgrades!$U$15,G64),1)*IF(Upgrades!$T$16="Peculiar Velocity",POWER(Upgrades!$U$16,H64),1)*IF(Upgrades!$T$17="Peculiar Velocity",POWER(Upgrades!$U$17,I64),1)*IF(Upgrades!$T$18="Peculiar Velocity",POWER(Upgrades!$U$18,J64),1)*IF(Upgrades!$T$20="Peculiar Velocity",POWER(Upgrades!$U$20,L64),1)*IF(Upgrades!$T$21="Peculiar Velocity",POWER(Upgrades!$U$21,M64),1))+(IF(L64=0,0,(Upgrades!$J$20+L64*Upgrades!$K$20)*POWER(Upgrades!$L$20,L64)))*(IF(Upgrades!$T$13="Open Cluster",POWER(Upgrades!$U$13,E64),1)*IF(Upgrades!$T$14="Open Cluster",POWER(Upgrades!$U$14,F64),1)*IF(Upgrades!$T$15="Open Cluster",POWER(Upgrades!$U$15,G64),1)*IF(Upgrades!$T$16="Open Cluster",POWER(Upgrades!$U$16,H64),1)*IF(Upgrades!$T$17="Open Cluster",POWER(Upgrades!$U$17,I64),1)*IF(Upgrades!$T$18="Open Cluster",POWER(Upgrades!$U$18,J64),1)*IF(Upgrades!$T$19="Open Cluster",POWER(Upgrades!$U$19,K64),1)*IF(Upgrades!$T$21="Open Cluster",POWER(Upgrades!$U$21,M64),1))+(IF(M64=0,0,(Upgrades!$J$21+M64*Upgrades!$K$21)*POWER(Upgrades!$L$21,M64)))*(IF(Upgrades!$T$13="Moving Group",POWER(Upgrades!$U$13,E64),1)*IF(Upgrades!$T$14="Moving Group",POWER(Upgrades!$U$14,F64),1)*IF(Upgrades!$T$15="Moving Group",POWER(Upgrades!$U$15,G64),1)*IF(Upgrades!$T$16="Moving Group",POWER(Upgrades!$U$16,H64),1)*IF(Upgrades!$T$17="Moving Group",POWER(Upgrades!$U$17,I64),1)*IF(Upgrades!$T$18="Moving Group",POWER(Upgrades!$U$18,J64),1)*IF(Upgrades!$T$19="Moving Group",POWER(Upgrades!$U$19,K64),1)*IF(Upgrades!$T$20="Moving Group",POWER(Upgrades!$U$20,L64),1)))*POWER(Upgrades!$Q$13,E64)*POWER(Upgrades!$Q$14,F64)*POWER(Upgrades!$Q$15,G64)*POWER(Upgrades!$Q$16,H64)*POWER(Upgrades!$Q$17,I64)*POWER(Upgrades!$Q$18,J64)*POWER(Upgrades!$Q$19,K64)*POWER(Upgrades!$Q$20,L64)*POWER(Upgrades!$Q$21,M64)*$G$6+$D$6</f>
        <v/>
      </c>
      <c r="P64" s="28">
        <f>((IF(E64=0,0,(Upgrades!$G$13+E64*Upgrades!$H$13)*POWER(Upgrades!$I$13,E64)))*(IF(Upgrades!$T$14="Stellar Kinematics",POWER(Upgrades!$U$14,F64),1)*IF(Upgrades!$T$15="Stellar Kinematics",POWER(Upgrades!$U$15,G64),1)*IF(Upgrades!$T$16="Stellar Kinematics",POWER(Upgrades!$U$16,H64),1)*IF(Upgrades!$T$17="Stellar Kinematics",POWER(Upgrades!$U$17,I64),1)*IF(Upgrades!$T$18="Stellar Kinematics",POWER(Upgrades!$U$18,J64),1)*IF(Upgrades!$T$19="Stellar Kinematics",POWER(Upgrades!$U$19,K64),1)*IF(Upgrades!$T$20="Stellar Kinematics",POWER(Upgrades!$U$20,L64),1)*IF(Upgrades!$T$21="Stellar Kinematics",POWER(Upgrades!$U$21,M64),1))+(IF(F64=0,0,(Upgrades!$G$14+F64*Upgrades!$H$14)*POWER(Upgrades!$I$14,F64)))*(IF(Upgrades!$T$13="Local Bubble",POWER(Upgrades!$U$13,E64),1)*IF(Upgrades!$T$15="Local Bubble",POWER(Upgrades!$U$15,G64),1)*IF(Upgrades!$T$16="Local Bubble",POWER(Upgrades!$U$16,H64),1)*IF(Upgrades!$T$17="Local Bubble",POWER(Upgrades!$U$17,I64),1)*IF(Upgrades!$T$18="Local Bubble",POWER(Upgrades!$U$18,J64),1)*IF(Upgrades!$T$19="Local Bubble",POWER(Upgrades!$U$19,K64),1)*IF(Upgrades!$T$20="Local Bubble",POWER(Upgrades!$U$20,L64),1)*IF(Upgrades!$T$21="Local Bubble",POWER(Upgrades!$U$21,M64),1))+(IF(G64=0,0,(Upgrades!$G$15+G64*Upgrades!$H$15)*POWER(Upgrades!$I$15,G64)))*(IF(Upgrades!$T$13="Microlensing",POWER(Upgrades!$U$13,E64),1)*IF(Upgrades!$T$14="Microlensing",POWER(Upgrades!$U$14,F64),1)*IF(Upgrades!$T$16="Microlensing",POWER(Upgrades!$U$16,H64),1)*IF(Upgrades!$T$17="Microlensing",POWER(Upgrades!$U$17,I64),1)*IF(Upgrades!$T$18="Microlensing",POWER(Upgrades!$U$18,J64),1)*IF(Upgrades!$T$19="Microlensing",POWER(Upgrades!$U$19,K64),1)*IF(Upgrades!$T$20="Microlensing",POWER(Upgrades!$U$20,L64),1)*IF(Upgrades!$T$21="Microlensing",POWER(Upgrades!$U$21,M64),1))+(IF(H64=0,0,(Upgrades!$G$16+H64*Upgrades!$H$16)*POWER(Upgrades!$I$16,H64)))*(IF(Upgrades!$T$13="Roche Lobe Overflow",POWER(Upgrades!$U$13,E64),1)*IF(Upgrades!$T$14="Roche Lobe Overflow",POWER(Upgrades!$U$14,F64),1)*IF(Upgrades!$T$15="Roche Lobe Overflow",POWER(Upgrades!$U$15,G64),1)*IF(Upgrades!$T$17="Roche Lobe Overflow",POWER(Upgrades!$U$17,I64),1)*IF(Upgrades!$T$18="Roche Lobe Overflow",POWER(Upgrades!$U$18,J64),1)*IF(Upgrades!$T$19="Roche Lobe Overflow",POWER(Upgrades!$U$19,K64),1)*IF(Upgrades!$T$20="Roche Lobe Overflow",POWER(Upgrades!$U$20,L64),1)*IF(Upgrades!$T$21="Roche Lobe Overflow",POWER(Upgrades!$U$21,M64),1))+(IF(I64=0,0,(Upgrades!$G$17+I64*Upgrades!$H$17)*POWER(Upgrades!$I$17,I64)))*(IF(Upgrades!$T$13="Brown Dwarf",POWER(Upgrades!$U$13,E64),1)*IF(Upgrades!$T$14="Brown Dwarf",POWER(Upgrades!$U$14,F64),1)*IF(Upgrades!$T$15="Brown Dwarf",POWER(Upgrades!$U$15,G64),1)*IF(Upgrades!$T$16="Brown Dwarf",POWER(Upgrades!$U$16,H64),1)*IF(Upgrades!$T$18="Brown Dwarf",POWER(Upgrades!$U$18,J64),1)*IF(Upgrades!$T$19="Brown Dwarf",POWER(Upgrades!$U$19,K64),1)*IF(Upgrades!$T$20="Brown Dwarf",POWER(Upgrades!$U$20,L64),1)*IF(Upgrades!$T$21="Brown Dwarf",POWER(Upgrades!$U$21,M64),1))+(IF(J64=0,0,(Upgrades!$G$18+J64*Upgrades!$H$18)*POWER(Upgrades!$I$18,J64)))*(IF(Upgrades!$T$13="Binary Partner",POWER(Upgrades!$U$13,E64),1)*IF(Upgrades!$T$14="Binary Partner",POWER(Upgrades!$U$14,F64),1)*IF(Upgrades!$T$15="Binary Partner",POWER(Upgrades!$U$15,G64),1)*IF(Upgrades!$T$16="Binary Partner",POWER(Upgrades!$U$16,H64),1)*IF(Upgrades!$T$17="Binary Partner",POWER(Upgrades!$U$17,I64),1)*IF(Upgrades!$T$19="Binary Partner",POWER(Upgrades!$U$19,K64),1)*IF(Upgrades!$T$20="Binary Partner",POWER(Upgrades!$U$20,L64),1)*IF(Upgrades!$T$21="Binary Partner",POWER(Upgrades!$U$21,M64),1))+(IF(K64=0,0,(Upgrades!$G$19+K64*Upgrades!$H$19)*POWER(Upgrades!$I$19,K64)))*(IF(Upgrades!$T$13="Peculiar Velocity",POWER(Upgrades!$U$13,E64),1)*IF(Upgrades!$T$14="Peculiar Velocity",POWER(Upgrades!$U$14,F64),1)*IF(Upgrades!$T$15="Peculiar Velocity",POWER(Upgrades!$U$15,G64),1)*IF(Upgrades!$T$16="Peculiar Velocity",POWER(Upgrades!$U$16,H64),1)*IF(Upgrades!$T$17="Peculiar Velocity",POWER(Upgrades!$U$17,I64),1)*IF(Upgrades!$T$18="Peculiar Velocity",POWER(Upgrades!$U$18,J64),1)*IF(Upgrades!$T$20="Peculiar Velocity",POWER(Upgrades!$U$20,L64),1)*IF(Upgrades!$T$21="Peculiar Velocity",POWER(Upgrades!$U$21,M64),1))+(IF(L64=0,0,(Upgrades!$G$20+L64*Upgrades!$H$20)*POWER(Upgrades!$I$20,L64)))*(IF(Upgrades!$T$13="Open Cluster",POWER(Upgrades!$U$13,E64),1)*IF(Upgrades!$T$14="Open Cluster",POWER(Upgrades!$U$14,F64),1)*IF(Upgrades!$T$15="Open Cluster",POWER(Upgrades!$U$15,G64),1)*IF(Upgrades!$T$16="Open Cluster",POWER(Upgrades!$U$16,H64),1)*IF(Upgrades!$T$17="Open Cluster",POWER(Upgrades!$U$17,I64),1)*IF(Upgrades!$T$18="Open Cluster",POWER(Upgrades!$U$18,J64),1)*IF(Upgrades!$T$19="Open Cluster",POWER(Upgrades!$U$19,K64),1)*IF(Upgrades!$T$21="Open Cluster",POWER(Upgrades!$U$21,M64),1))+(IF(M64=0,0,(Upgrades!$G$21+M64*Upgrades!$H$21)*POWER(Upgrades!$I$21,M64)))*(IF(Upgrades!$T$13="Moving Group",POWER(Upgrades!$U$13,E64),1)*IF(Upgrades!$T$14="Moving Group",POWER(Upgrades!$U$14,F64),1)*IF(Upgrades!$T$15="Moving Group",POWER(Upgrades!$U$15,G64),1)*IF(Upgrades!$T$16="Moving Group",POWER(Upgrades!$U$16,H64),1)*IF(Upgrades!$T$17="Moving Group",POWER(Upgrades!$U$17,I64),1)*IF(Upgrades!$T$18="Moving Group",POWER(Upgrades!$U$18,J64),1)*IF(Upgrades!$T$19="Moving Group",POWER(Upgrades!$U$19,K64),1)*IF(Upgrades!$T$20="Moving Group",POWER(Upgrades!$U$20,L64),1)))*POWER(Upgrades!$P$13,E64)*POWER(Upgrades!$P$14,F64)*POWER(Upgrades!$P$15,G64)*POWER(Upgrades!$P$16,H64)*POWER(Upgrades!$P$17,I64)*POWER(Upgrades!$P$18,J64)*POWER(Upgrades!$P$19,K64)*POWER(Upgrades!$P$20,L64)*POWER(Upgrades!$P$21,M64)*$F$6+$C$6</f>
        <v/>
      </c>
      <c r="Q64" s="28">
        <f>((IF(E64=0,0,(Upgrades!$M$13+E64*Upgrades!$N$13)*POWER(Upgrades!$O$13,E64)))*(IF(Upgrades!$T$14="Stellar Kinematics",POWER(Upgrades!$U$14,F64),1)*IF(Upgrades!$T$15="Stellar Kinematics",POWER(Upgrades!$U$15,G64),1)*IF(Upgrades!$T$16="Stellar Kinematics",POWER(Upgrades!$U$16,H64),1)*IF(Upgrades!$T$17="Stellar Kinematics",POWER(Upgrades!$U$17,I64),1)*IF(Upgrades!$T$18="Stellar Kinematics",POWER(Upgrades!$U$18,J64),1)*IF(Upgrades!$T$19="Stellar Kinematics",POWER(Upgrades!$U$19,K64),1)*IF(Upgrades!$T$20="Stellar Kinematics",POWER(Upgrades!$U$20,L64),1)*IF(Upgrades!$T$21="Stellar Kinematics",POWER(Upgrades!$U$21,M64),1))+(IF(F64=0,0,(Upgrades!$M$14+F64*Upgrades!$N$14)*POWER(Upgrades!$O$14,F64)))*(IF(Upgrades!$T$13="Local Bubble",POWER(Upgrades!$U$13,E64),1)*IF(Upgrades!$T$15="Local Bubble",POWER(Upgrades!$U$15,G64),1)*IF(Upgrades!$T$16="Local Bubble",POWER(Upgrades!$U$16,H64),1)*IF(Upgrades!$T$17="Local Bubble",POWER(Upgrades!$U$17,I64),1)*IF(Upgrades!$T$18="Local Bubble",POWER(Upgrades!$U$18,J64),1)*IF(Upgrades!$T$19="Local Bubble",POWER(Upgrades!$U$19,K64),1)*IF(Upgrades!$T$20="Local Bubble",POWER(Upgrades!$U$20,L64),1)*IF(Upgrades!$T$21="Local Bubble",POWER(Upgrades!$U$21,M64),1))+(IF(G64=0,0,(Upgrades!$M$15+G64*Upgrades!$N$15)*POWER(Upgrades!$O$15,G64)))*(IF(Upgrades!$T$13="Microlensing",POWER(Upgrades!$U$13,E64),1)*IF(Upgrades!$T$14="Microlensing",POWER(Upgrades!$U$14,F64),1)*IF(Upgrades!$T$16="Microlensing",POWER(Upgrades!$U$16,H64),1)*IF(Upgrades!$T$17="Microlensing",POWER(Upgrades!$U$17,I64),1)*IF(Upgrades!$T$18="Microlensing",POWER(Upgrades!$U$18,J64),1)*IF(Upgrades!$T$19="Microlensing",POWER(Upgrades!$U$19,K64),1)*IF(Upgrades!$T$20="Microlensing",POWER(Upgrades!$U$20,L64),1)*IF(Upgrades!$T$21="Microlensing",POWER(Upgrades!$U$21,M64),1))+(IF(H64=0,0,(Upgrades!$M$16+H64*Upgrades!$N$16)*POWER(Upgrades!$O$16,H64)))*(IF(Upgrades!$T$13="Roche Lobe Overflow",POWER(Upgrades!$U$13,E64),1)*IF(Upgrades!$T$14="Roche Lobe Overflow",POWER(Upgrades!$U$14,F64),1)*IF(Upgrades!$T$15="Roche Lobe Overflow",POWER(Upgrades!$U$15,G64),1)*IF(Upgrades!$T$17="Roche Lobe Overflow",POWER(Upgrades!$U$17,I64),1)*IF(Upgrades!$T$18="Roche Lobe Overflow",POWER(Upgrades!$U$18,J64),1)*IF(Upgrades!$T$19="Roche Lobe Overflow",POWER(Upgrades!$U$19,K64),1)*IF(Upgrades!$T$20="Roche Lobe Overflow",POWER(Upgrades!$U$20,L64),1)*IF(Upgrades!$T$21="Roche Lobe Overflow",POWER(Upgrades!$U$21,M64),1))+(IF(I64=0,0,(Upgrades!$M$17+I64*Upgrades!$N$17)*POWER(Upgrades!$O$17,I64)))*(IF(Upgrades!$T$13="Brown Dwarf",POWER(Upgrades!$U$13,E64),1)*IF(Upgrades!$T$14="Brown Dwarf",POWER(Upgrades!$U$14,F64),1)*IF(Upgrades!$T$15="Brown Dwarf",POWER(Upgrades!$U$15,G64),1)*IF(Upgrades!$T$16="Brown Dwarf",POWER(Upgrades!$U$16,H64),1)*IF(Upgrades!$T$18="Brown Dwarf",POWER(Upgrades!$U$18,J64),1)*IF(Upgrades!$T$19="Brown Dwarf",POWER(Upgrades!$U$19,K64),1)*IF(Upgrades!$T$20="Brown Dwarf",POWER(Upgrades!$U$20,L64),1)*IF(Upgrades!$T$21="Brown Dwarf",POWER(Upgrades!$U$21,M64),1))+(IF(J64=0,0,(Upgrades!$M$18+J64*Upgrades!$N$18)*POWER(Upgrades!$O$18,J64)))*(IF(Upgrades!$T$13="Binary Partner",POWER(Upgrades!$U$13,E64),1)*IF(Upgrades!$T$14="Binary Partner",POWER(Upgrades!$U$14,F64),1)*IF(Upgrades!$T$15="Binary Partner",POWER(Upgrades!$U$15,G64),1)*IF(Upgrades!$T$16="Binary Partner",POWER(Upgrades!$U$16,H64),1)*IF(Upgrades!$T$17="Binary Partner",POWER(Upgrades!$U$17,I64),1)*IF(Upgrades!$T$19="Binary Partner",POWER(Upgrades!$U$19,K64),1)*IF(Upgrades!$T$20="Binary Partner",POWER(Upgrades!$U$20,L64),1)*IF(Upgrades!$T$21="Binary Partner",POWER(Upgrades!$U$21,M64),1))+(IF(K64=0,0,(Upgrades!$M$19+K64*Upgrades!$N$19)*POWER(Upgrades!$O$19,K64)))*(IF(Upgrades!$T$13="Peculiar Velocity",POWER(Upgrades!$U$13,E64),1)*IF(Upgrades!$T$14="Peculiar Velocity",POWER(Upgrades!$U$14,F64),1)*IF(Upgrades!$T$15="Peculiar Velocity",POWER(Upgrades!$U$15,G64),1)*IF(Upgrades!$T$16="Peculiar Velocity",POWER(Upgrades!$U$16,H64),1)*IF(Upgrades!$T$17="Peculiar Velocity",POWER(Upgrades!$U$17,I64),1)*IF(Upgrades!$T$18="Peculiar Velocity",POWER(Upgrades!$U$18,J64),1)*IF(Upgrades!$T$20="Peculiar Velocity",POWER(Upgrades!$U$20,L64),1)*IF(Upgrades!$T$21="Peculiar Velocity",POWER(Upgrades!$U$21,M64),1))+(IF(L64=0,0,(Upgrades!$M$20+L64*Upgrades!$N$20)*POWER(Upgrades!$O$20,L64)))*(IF(Upgrades!$T$13="Open Cluster",POWER(Upgrades!$U$13,E64),1)*IF(Upgrades!$T$14="Open Cluster",POWER(Upgrades!$U$14,F64),1)*IF(Upgrades!$T$15="Open Cluster",POWER(Upgrades!$U$15,G64),1)*IF(Upgrades!$T$16="Open Cluster",POWER(Upgrades!$U$16,H64),1)*IF(Upgrades!$T$17="Open Cluster",POWER(Upgrades!$U$17,I64),1)*IF(Upgrades!$T$18="Open Cluster",POWER(Upgrades!$U$18,J64),1)*IF(Upgrades!$T$19="Open Cluster",POWER(Upgrades!$U$19,K64),1)*IF(Upgrades!$T$21="Open Cluster",POWER(Upgrades!$U$21,M64),1))+(IF(M64=0,0,(Upgrades!$M$21+M64*Upgrades!$N$21)*POWER(Upgrades!$O$21,M64)))*(IF(Upgrades!$T$13="Moving Group",POWER(Upgrades!$U$13,E64),1)*IF(Upgrades!$T$14="Moving Group",POWER(Upgrades!$U$14,F64),1)*IF(Upgrades!$T$15="Moving Group",POWER(Upgrades!$U$15,G64),1)*IF(Upgrades!$T$16="Moving Group",POWER(Upgrades!$U$16,H64),1)*IF(Upgrades!$T$17="Moving Group",POWER(Upgrades!$U$17,I64),1)*IF(Upgrades!$T$18="Moving Group",POWER(Upgrades!$U$18,J64),1)*IF(Upgrades!$T$19="Moving Group",POWER(Upgrades!$U$19,K64),1)*IF(Upgrades!$T$20="Moving Group",POWER(Upgrades!$U$20,L64),1)))*POWER(Upgrades!$R$13,E64)*POWER(Upgrades!$R$14,F64)*POWER(Upgrades!$R$15,G64)*POWER(Upgrades!$R$16,H64)*POWER(Upgrades!$R$17,I64)*POWER(Upgrades!$R$18,J64)*POWER(Upgrades!$R$19,K64)*POWER(Upgrades!$R$20,L64)*POWER(Upgrades!$R$21,M64)*$H$6+$E$6</f>
        <v/>
      </c>
      <c r="R64" s="27">
        <f>IF(N64=1,0,O64*Parameters!$B$10/60*Parameters!$B$11*10)</f>
        <v/>
      </c>
      <c r="S64" s="27">
        <f>IF(N64=1,0,Q64*O64*10)</f>
        <v/>
      </c>
      <c r="T64" s="27">
        <f>IF(N64=1,0,R64+S64+P64*10)</f>
        <v/>
      </c>
      <c r="U64" s="33">
        <f>BE64</f>
        <v/>
      </c>
      <c r="V64" s="22">
        <f>IF(U64="",0,IF(U64="transition",0,IF(U64="SK",AK64,IF(U64="LB",AL64,IF(U64="ML",AM64,IF(U64="RLO",AN64,IF(U64="BD",AO64,IF(U64="BiP",AP64,IF(U64="PV",AQ64,IF(U64="OC",AR64,IF(U64="MG",AS64,0))))))))))</f>
        <v/>
      </c>
      <c r="W64" s="27">
        <f>IF(U64="BiP",Upgrades!$F$18,IF(U64="PV",Upgrades!$F$19,IF(U64="OC",Upgrades!$F$20,IF(U64="MG",Upgrades!$F$21,IF(U64="transition",-Parameters!$B$18*Parameters!$B$19,0)))))</f>
        <v/>
      </c>
      <c r="X64" s="22">
        <f>C64+T64-V64</f>
        <v/>
      </c>
      <c r="Y64" s="30">
        <f>O64*Parameters!$B$10/60*Parameters!$B$11+Q64*O64+P64</f>
        <v/>
      </c>
      <c r="Z64" s="34">
        <f>IF(U64="transition","→ Tier 3 (Galactic Arm)",IF(U64="MG","Moving Group — pocket drifts together",IF(U64="OC","Open Cluster acquired",IF(U64="PV","Peculiar Velocity — passive multiplier active",IF(U64="BiP","Binary Partner — pair bond formed",IF(AND(AU64=1,N64=0,AT64&lt;&gt;1),"Cohesion ready (waiting on completionists)","")))))) </f>
        <v/>
      </c>
      <c r="AA64" s="27">
        <f>(IF(E64=0,0,(Upgrades!$G$13+E64*Upgrades!$H$13)*POWER(Upgrades!$I$13,E64)))*(IF(Upgrades!$T$14="Stellar Kinematics",POWER(Upgrades!$U$14,F64),1)*IF(Upgrades!$T$15="Stellar Kinematics",POWER(Upgrades!$U$15,G64),1)*IF(Upgrades!$T$16="Stellar Kinematics",POWER(Upgrades!$U$16,H64),1)*IF(Upgrades!$T$17="Stellar Kinematics",POWER(Upgrades!$U$17,I64),1)*IF(Upgrades!$T$18="Stellar Kinematics",POWER(Upgrades!$U$18,J64),1)*IF(Upgrades!$T$19="Stellar Kinematics",POWER(Upgrades!$U$19,K64),1)*IF(Upgrades!$T$20="Stellar Kinematics",POWER(Upgrades!$U$20,L64),1)*IF(Upgrades!$T$21="Stellar Kinematics",POWER(Upgrades!$U$21,M64),1))*POWER(Upgrades!$P$13,E64)*POWER(Upgrades!$P$14,F64)*POWER(Upgrades!$P$15,G64)*POWER(Upgrades!$P$16,H64)*POWER(Upgrades!$P$17,I64)*POWER(Upgrades!$P$18,J64)*POWER(Upgrades!$P$19,K64)*POWER(Upgrades!$P$20,L64)*POWER(Upgrades!$P$21,M64)*$F$6*60</f>
        <v/>
      </c>
      <c r="AB64" s="27">
        <f>(IF(F64=0,0,(Upgrades!$G$14+F64*Upgrades!$H$14)*POWER(Upgrades!$I$14,F64)))*(IF(Upgrades!$T$13="Local Bubble",POWER(Upgrades!$U$13,E64),1)*IF(Upgrades!$T$15="Local Bubble",POWER(Upgrades!$U$15,G64),1)*IF(Upgrades!$T$16="Local Bubble",POWER(Upgrades!$U$16,H64),1)*IF(Upgrades!$T$17="Local Bubble",POWER(Upgrades!$U$17,I64),1)*IF(Upgrades!$T$18="Local Bubble",POWER(Upgrades!$U$18,J64),1)*IF(Upgrades!$T$19="Local Bubble",POWER(Upgrades!$U$19,K64),1)*IF(Upgrades!$T$20="Local Bubble",POWER(Upgrades!$U$20,L64),1)*IF(Upgrades!$T$21="Local Bubble",POWER(Upgrades!$U$21,M64),1))*POWER(Upgrades!$P$13,E64)*POWER(Upgrades!$P$14,F64)*POWER(Upgrades!$P$15,G64)*POWER(Upgrades!$P$16,H64)*POWER(Upgrades!$P$17,I64)*POWER(Upgrades!$P$18,J64)*POWER(Upgrades!$P$19,K64)*POWER(Upgrades!$P$20,L64)*POWER(Upgrades!$P$21,M64)*$F$6*60</f>
        <v/>
      </c>
      <c r="AC64" s="27">
        <f>(IF(G64=0,0,(Upgrades!$J$15+G64*Upgrades!$K$15)*POWER(Upgrades!$L$15,G64)))*(IF(Upgrades!$T$13="Microlensing",POWER(Upgrades!$U$13,E64),1)*IF(Upgrades!$T$14="Microlensing",POWER(Upgrades!$U$14,F64),1)*IF(Upgrades!$T$16="Microlensing",POWER(Upgrades!$U$16,H64),1)*IF(Upgrades!$T$17="Microlensing",POWER(Upgrades!$U$17,I64),1)*IF(Upgrades!$T$18="Microlensing",POWER(Upgrades!$U$18,J64),1)*IF(Upgrades!$T$19="Microlensing",POWER(Upgrades!$U$19,K64),1)*IF(Upgrades!$T$20="Microlensing",POWER(Upgrades!$U$20,L64),1)*IF(Upgrades!$T$21="Microlensing",POWER(Upgrades!$U$21,M64),1))*POWER(Upgrades!$Q$13,E64)*POWER(Upgrades!$Q$14,F64)*POWER(Upgrades!$Q$15,G64)*POWER(Upgrades!$Q$16,H64)*POWER(Upgrades!$Q$17,I64)*POWER(Upgrades!$Q$18,J64)*POWER(Upgrades!$Q$19,K64)*POWER(Upgrades!$Q$20,L64)*POWER(Upgrades!$Q$21,M64)*$G$6*(Parameters!$B$10*Parameters!$B$11+Q64*60)</f>
        <v/>
      </c>
      <c r="AD64" s="27">
        <f>(IF(H64=0,0,(Upgrades!$M$16+H64*Upgrades!$N$16)*POWER(Upgrades!$O$16,H64)))*(IF(Upgrades!$T$13="Roche Lobe Overflow",POWER(Upgrades!$U$13,E64),1)*IF(Upgrades!$T$14="Roche Lobe Overflow",POWER(Upgrades!$U$14,F64),1)*IF(Upgrades!$T$15="Roche Lobe Overflow",POWER(Upgrades!$U$15,G64),1)*IF(Upgrades!$T$17="Roche Lobe Overflow",POWER(Upgrades!$U$17,I64),1)*IF(Upgrades!$T$18="Roche Lobe Overflow",POWER(Upgrades!$U$18,J64),1)*IF(Upgrades!$T$19="Roche Lobe Overflow",POWER(Upgrades!$U$19,K64),1)*IF(Upgrades!$T$20="Roche Lobe Overflow",POWER(Upgrades!$U$20,L64),1)*IF(Upgrades!$T$21="Roche Lobe Overflow",POWER(Upgrades!$U$21,M64),1))*POWER(Upgrades!$R$13,E64)*POWER(Upgrades!$R$14,F64)*POWER(Upgrades!$R$15,G64)*POWER(Upgrades!$R$16,H64)*POWER(Upgrades!$R$17,I64)*POWER(Upgrades!$R$18,J64)*POWER(Upgrades!$R$19,K64)*POWER(Upgrades!$R$20,L64)*POWER(Upgrades!$R$21,M64)*$H$6*O64*60</f>
        <v/>
      </c>
      <c r="AE64" s="27">
        <f>(IF(I64=0,0,(Upgrades!$G$17+I64*Upgrades!$H$17)*POWER(Upgrades!$I$17,I64)))*(IF(Upgrades!$T$13="Brown Dwarf",POWER(Upgrades!$U$13,E64),1)*IF(Upgrades!$T$14="Brown Dwarf",POWER(Upgrades!$U$14,F64),1)*IF(Upgrades!$T$15="Brown Dwarf",POWER(Upgrades!$U$15,G64),1)*IF(Upgrades!$T$16="Brown Dwarf",POWER(Upgrades!$U$16,H64),1)*IF(Upgrades!$T$18="Brown Dwarf",POWER(Upgrades!$U$18,J64),1)*IF(Upgrades!$T$19="Brown Dwarf",POWER(Upgrades!$U$19,K64),1)*IF(Upgrades!$T$20="Brown Dwarf",POWER(Upgrades!$U$20,L64),1)*IF(Upgrades!$T$21="Brown Dwarf",POWER(Upgrades!$U$21,M64),1))*POWER(Upgrades!$P$13,E64)*POWER(Upgrades!$P$14,F64)*POWER(Upgrades!$P$15,G64)*POWER(Upgrades!$P$16,H64)*POWER(Upgrades!$P$17,I64)*POWER(Upgrades!$P$18,J64)*POWER(Upgrades!$P$19,K64)*POWER(Upgrades!$P$20,L64)*POWER(Upgrades!$P$21,M64)*$F$6*60</f>
        <v/>
      </c>
      <c r="AF64" s="27" t="n">
        <v>0</v>
      </c>
      <c r="AG64" s="27" t="n">
        <v>0</v>
      </c>
      <c r="AH64" s="27" t="n">
        <v>0</v>
      </c>
      <c r="AI64" s="27">
        <f>(IF(M64=0,0,(Upgrades!$G$21+M64*Upgrades!$H$21)*POWER(Upgrades!$I$21,M64)))*(IF(Upgrades!$T$13="Moving Group",POWER(Upgrades!$U$13,E64),1)*IF(Upgrades!$T$14="Moving Group",POWER(Upgrades!$U$14,F64),1)*IF(Upgrades!$T$15="Moving Group",POWER(Upgrades!$U$15,G64),1)*IF(Upgrades!$T$16="Moving Group",POWER(Upgrades!$U$16,H64),1)*IF(Upgrades!$T$17="Moving Group",POWER(Upgrades!$U$17,I64),1)*IF(Upgrades!$T$18="Moving Group",POWER(Upgrades!$U$18,J64),1)*IF(Upgrades!$T$19="Moving Group",POWER(Upgrades!$U$19,K64),1)*IF(Upgrades!$T$20="Moving Group",POWER(Upgrades!$U$20,L64),1))*POWER(Upgrades!$P$13,E64)*POWER(Upgrades!$P$14,F64)*POWER(Upgrades!$P$15,G64)*POWER(Upgrades!$P$16,H64)*POWER(Upgrades!$P$17,I64)*POWER(Upgrades!$P$18,J64)*POWER(Upgrades!$P$19,K64)*POWER(Upgrades!$P$20,L64)*POWER(Upgrades!$P$21,M64)*$F$6*60</f>
        <v/>
      </c>
      <c r="AJ64" s="27">
        <f>$C$6*60</f>
        <v/>
      </c>
      <c r="AK64" s="22">
        <f>IF(E64&gt;=Upgrades!$E$13,"",Upgrades!$C$13*POWER(Upgrades!$D$13,E64))</f>
        <v/>
      </c>
      <c r="AL64" s="22">
        <f>IF(F64&gt;=Upgrades!$E$14,"",Upgrades!$C$14*POWER(Upgrades!$D$14,F64))</f>
        <v/>
      </c>
      <c r="AM64" s="22">
        <f>IF(G64&gt;=Upgrades!$E$15,"",Upgrades!$C$15*POWER(Upgrades!$D$15,G64))</f>
        <v/>
      </c>
      <c r="AN64" s="22">
        <f>IF(H64&gt;=Upgrades!$E$16,"",Upgrades!$C$16*POWER(Upgrades!$D$16,H64))</f>
        <v/>
      </c>
      <c r="AO64" s="22">
        <f>IF(I64&gt;=Upgrades!$E$17,"",Upgrades!$C$17*POWER(Upgrades!$D$17,I64))</f>
        <v/>
      </c>
      <c r="AP64" s="22">
        <f>IF(J64&gt;=Upgrades!$E$18,"",Upgrades!$C$18*POWER(Upgrades!$D$18,J64))</f>
        <v/>
      </c>
      <c r="AQ64" s="22">
        <f>IF(K64&gt;=Upgrades!$E$19,"",Upgrades!$C$19*POWER(Upgrades!$D$19,K64))</f>
        <v/>
      </c>
      <c r="AR64" s="22">
        <f>IF(L64&gt;=Upgrades!$E$20,"",Upgrades!$C$20*POWER(Upgrades!$D$20,L64))</f>
        <v/>
      </c>
      <c r="AS64" s="22">
        <f>IF(M64&gt;=Upgrades!$E$21,"",Upgrades!$C$21*POWER(Upgrades!$D$21,M64))</f>
        <v/>
      </c>
      <c r="AT64" s="26">
        <f>IF(AND(D64&gt;=Parameters!$B$18*Parameters!$B$19,(I64&gt;=Upgrades!$E$17)*(M64&gt;=Upgrades!$E$21)=1,N64=0),1,"")</f>
        <v/>
      </c>
      <c r="AU64" s="26">
        <f>IF(AND(D64&gt;=Parameters!$B$18*Parameters!$B$19,N64=0),1,"")</f>
        <v/>
      </c>
      <c r="AV64" s="22">
        <f>MIN(IF(ISNUMBER(AP64),AP64,9E15),IF(ISNUMBER(AQ64),AQ64,9E15),IF(ISNUMBER(AR64),AR64,9E15),IF(ISNUMBER(AS64),AS64,9E15))</f>
        <v/>
      </c>
      <c r="AW64" s="22">
        <f>MIN(IF(ISNUMBER(AK64),AK64,9E15),IF(ISNUMBER(AL64),AL64,9E15),IF(ISNUMBER(AM64),AM64,9E15),IF(ISNUMBER(AN64),AN64,9E15),IF(ISNUMBER(AO64),AO64,9E15))</f>
        <v/>
      </c>
      <c r="AX64" s="29">
        <f>IF(BD64&gt;Parameters!$B$21*(MAX(IF(AND(NOT(AND(AU64=1,AT64&lt;&gt;1)),ISNUMBER(AK64),AK64&lt;=(C64+T64)),AY64,0),IF(AND(NOT(AND(AU64=1,AT64&lt;&gt;1)),ISNUMBER(AL64),AL64&lt;=(C64+T64)),AZ64,0),IF(AND(NOT(AND(AU64=1,AT64&lt;&gt;1)),ISNUMBER(AM64),AM64&lt;=(C64+T64)),BA64,0),IF(AND(NOT(AND(AU64=1,AT64&lt;&gt;1)),ISNUMBER(AN64),AN64&lt;=(C64+T64)),BB64,0),IF(AND(ISNUMBER(AO64),AO64&lt;=(C64+T64)),BC64,0))),TRUE,FALSE)</f>
        <v/>
      </c>
      <c r="AY64" s="32">
        <f>IFERROR(Upgrades!$H$13*(POWER(Upgrades!$P$13,E64)*POWER(Upgrades!$P$14,F64)*POWER(Upgrades!$P$15,G64)*POWER(Upgrades!$P$16,H64)*POWER(Upgrades!$P$17,I64)*POWER(Upgrades!$P$18,J64)*POWER(Upgrades!$P$19,K64)*POWER(Upgrades!$P$20,L64)*POWER(Upgrades!$P$21,M64))*(IF(Upgrades!$T$14="Stellar Kinematics",POWER(Upgrades!$U$14,F64),1)*IF(Upgrades!$T$15="Stellar Kinematics",POWER(Upgrades!$U$15,G64),1)*IF(Upgrades!$T$16="Stellar Kinematics",POWER(Upgrades!$U$16,H64),1)*IF(Upgrades!$T$17="Stellar Kinematics",POWER(Upgrades!$U$17,I64),1)*IF(Upgrades!$T$18="Stellar Kinematics",POWER(Upgrades!$U$18,J64),1)*IF(Upgrades!$T$19="Stellar Kinematics",POWER(Upgrades!$U$19,K64),1)*IF(Upgrades!$T$20="Stellar Kinematics",POWER(Upgrades!$U$20,L64),1)*IF(Upgrades!$T$21="Stellar Kinematics",POWER(Upgrades!$U$21,M64),1))*$F$6/AK64,0)</f>
        <v/>
      </c>
      <c r="AZ64" s="32">
        <f>IFERROR(Upgrades!$H$14*(POWER(Upgrades!$P$13,E64)*POWER(Upgrades!$P$14,F64)*POWER(Upgrades!$P$15,G64)*POWER(Upgrades!$P$16,H64)*POWER(Upgrades!$P$17,I64)*POWER(Upgrades!$P$18,J64)*POWER(Upgrades!$P$19,K64)*POWER(Upgrades!$P$20,L64)*POWER(Upgrades!$P$21,M64))*(IF(Upgrades!$T$13="Local Bubble",POWER(Upgrades!$U$13,E64),1)*IF(Upgrades!$T$15="Local Bubble",POWER(Upgrades!$U$15,G64),1)*IF(Upgrades!$T$16="Local Bubble",POWER(Upgrades!$U$16,H64),1)*IF(Upgrades!$T$17="Local Bubble",POWER(Upgrades!$U$17,I64),1)*IF(Upgrades!$T$18="Local Bubble",POWER(Upgrades!$U$18,J64),1)*IF(Upgrades!$T$19="Local Bubble",POWER(Upgrades!$U$19,K64),1)*IF(Upgrades!$T$20="Local Bubble",POWER(Upgrades!$U$20,L64),1)*IF(Upgrades!$T$21="Local Bubble",POWER(Upgrades!$U$21,M64),1))*$F$6/AL64,0)</f>
        <v/>
      </c>
      <c r="BA64" s="32">
        <f>IFERROR(Upgrades!$K$15*(POWER(Upgrades!$Q$13,E64)*POWER(Upgrades!$Q$14,F64)*POWER(Upgrades!$Q$15,G64)*POWER(Upgrades!$Q$16,H64)*POWER(Upgrades!$Q$17,I64)*POWER(Upgrades!$Q$18,J64)*POWER(Upgrades!$Q$19,K64)*POWER(Upgrades!$Q$20,L64)*POWER(Upgrades!$Q$21,M64))*(IF(Upgrades!$T$13="Microlensing",POWER(Upgrades!$U$13,E64),1)*IF(Upgrades!$T$14="Microlensing",POWER(Upgrades!$U$14,F64),1)*IF(Upgrades!$T$16="Microlensing",POWER(Upgrades!$U$16,H64),1)*IF(Upgrades!$T$17="Microlensing",POWER(Upgrades!$U$17,I64),1)*IF(Upgrades!$T$18="Microlensing",POWER(Upgrades!$U$18,J64),1)*IF(Upgrades!$T$19="Microlensing",POWER(Upgrades!$U$19,K64),1)*IF(Upgrades!$T$20="Microlensing",POWER(Upgrades!$U$20,L64),1)*IF(Upgrades!$T$21="Microlensing",POWER(Upgrades!$U$21,M64),1))*$G$6*(Parameters!$B$10/60*Parameters!$B$11+Q64)/AM64,0)</f>
        <v/>
      </c>
      <c r="BB64" s="32">
        <f>IFERROR((Upgrades!$N$16*(POWER(Upgrades!$R$13,E64)*POWER(Upgrades!$R$14,F64)*POWER(Upgrades!$R$15,G64)*POWER(Upgrades!$R$16,H64)*POWER(Upgrades!$R$17,I64)*POWER(Upgrades!$R$18,J64)*POWER(Upgrades!$R$19,K64)*POWER(Upgrades!$R$20,L64)*POWER(Upgrades!$R$21,M64))*(IF(Upgrades!$T$13="Roche Lobe Overflow",POWER(Upgrades!$U$13,E64),1)*IF(Upgrades!$T$14="Roche Lobe Overflow",POWER(Upgrades!$U$14,F64),1)*IF(Upgrades!$T$15="Roche Lobe Overflow",POWER(Upgrades!$U$15,G64),1)*IF(Upgrades!$T$17="Roche Lobe Overflow",POWER(Upgrades!$U$17,I64),1)*IF(Upgrades!$T$18="Roche Lobe Overflow",POWER(Upgrades!$U$18,J64),1)*IF(Upgrades!$T$19="Roche Lobe Overflow",POWER(Upgrades!$U$19,K64),1)*IF(Upgrades!$T$20="Roche Lobe Overflow",POWER(Upgrades!$U$20,L64),1)*IF(Upgrades!$T$21="Roche Lobe Overflow",POWER(Upgrades!$U$21,M64),1))*$H$6*O64+((IF(F64=0,0,(Upgrades!$G$14+F64*Upgrades!$H$14)*POWER(Upgrades!$I$14,F64)))*(IF(Upgrades!$T$13="Local Bubble",POWER(Upgrades!$U$13,E64),1)*IF(Upgrades!$T$15="Local Bubble",POWER(Upgrades!$U$15,G64),1)*IF(Upgrades!$T$16="Local Bubble",POWER(Upgrades!$U$16,H64),1)*IF(Upgrades!$T$17="Local Bubble",POWER(Upgrades!$U$17,I64),1)*IF(Upgrades!$T$18="Local Bubble",POWER(Upgrades!$U$18,J64),1)*IF(Upgrades!$T$19="Local Bubble",POWER(Upgrades!$U$19,K64),1)*IF(Upgrades!$T$20="Local Bubble",POWER(Upgrades!$U$20,L64),1)*IF(Upgrades!$T$21="Local Bubble",POWER(Upgrades!$U$21,M64),1))*POWER(Upgrades!$P$13,E64)*POWER(Upgrades!$P$14,F64)*POWER(Upgrades!$P$15,G64)*POWER(Upgrades!$P$16,H64)*POWER(Upgrades!$P$17,I64)*POWER(Upgrades!$P$18,J64)*POWER(Upgrades!$P$19,K64)*POWER(Upgrades!$P$20,L64)*POWER(Upgrades!$P$21,M64)*$F$6)*0.05)/AN64,0)</f>
        <v/>
      </c>
      <c r="BC64" s="32">
        <f>IFERROR((Upgrades!$H$17*(POWER(Upgrades!$P$13,E64)*POWER(Upgrades!$P$14,F64)*POWER(Upgrades!$P$15,G64)*POWER(Upgrades!$P$16,H64)*POWER(Upgrades!$P$17,I64)*POWER(Upgrades!$P$18,J64)*POWER(Upgrades!$P$19,K64)*POWER(Upgrades!$P$20,L64)*POWER(Upgrades!$P$21,M64))*(IF(Upgrades!$T$13="Brown Dwarf",POWER(Upgrades!$U$13,E64),1)*IF(Upgrades!$T$14="Brown Dwarf",POWER(Upgrades!$U$14,F64),1)*IF(Upgrades!$T$15="Brown Dwarf",POWER(Upgrades!$U$15,G64),1)*IF(Upgrades!$T$16="Brown Dwarf",POWER(Upgrades!$U$16,H64),1)*IF(Upgrades!$T$18="Brown Dwarf",POWER(Upgrades!$U$18,J64),1)*IF(Upgrades!$T$19="Brown Dwarf",POWER(Upgrades!$U$19,K64),1)*IF(Upgrades!$T$20="Brown Dwarf",POWER(Upgrades!$U$20,L64),1)*IF(Upgrades!$T$21="Brown Dwarf",POWER(Upgrades!$U$21,M64),1))*$F$6+(((IF(H64=0,0,(Upgrades!$M$16+H64*Upgrades!$N$16)*POWER(Upgrades!$O$16,H64)))*(IF(Upgrades!$T$13="Roche Lobe Overflow",POWER(Upgrades!$U$13,E64),1)*IF(Upgrades!$T$14="Roche Lobe Overflow",POWER(Upgrades!$U$14,F64),1)*IF(Upgrades!$T$15="Roche Lobe Overflow",POWER(Upgrades!$U$15,G64),1)*IF(Upgrades!$T$17="Roche Lobe Overflow",POWER(Upgrades!$U$17,I64),1)*IF(Upgrades!$T$18="Roche Lobe Overflow",POWER(Upgrades!$U$18,J64),1)*IF(Upgrades!$T$19="Roche Lobe Overflow",POWER(Upgrades!$U$19,K64),1)*IF(Upgrades!$T$20="Roche Lobe Overflow",POWER(Upgrades!$U$20,L64),1)*IF(Upgrades!$T$21="Roche Lobe Overflow",POWER(Upgrades!$U$21,M64),1))*POWER(Upgrades!$R$13,E64)*POWER(Upgrades!$R$14,F64)*POWER(Upgrades!$R$15,G64)*POWER(Upgrades!$R$16,H64)*POWER(Upgrades!$R$17,I64)*POWER(Upgrades!$R$18,J64)*POWER(Upgrades!$R$19,K64)*POWER(Upgrades!$R$20,L64)*POWER(Upgrades!$R$21,M64)*$H$6)*O64)*0.10)/AO64,0)</f>
        <v/>
      </c>
      <c r="BD64" s="32">
        <f>MAX(IF(J64&gt;0,0,IFERROR(0.5*((IF(G64=0,0,(Upgrades!$J$15+G64*Upgrades!$K$15)*POWER(Upgrades!$L$15,G64)))*(IF(Upgrades!$T$13="Microlensing",POWER(Upgrades!$U$13,E64),1)*IF(Upgrades!$T$14="Microlensing",POWER(Upgrades!$U$14,F64),1)*IF(Upgrades!$T$16="Microlensing",POWER(Upgrades!$U$16,H64),1)*IF(Upgrades!$T$17="Microlensing",POWER(Upgrades!$U$17,I64),1)*IF(Upgrades!$T$18="Microlensing",POWER(Upgrades!$U$18,J64),1)*IF(Upgrades!$T$19="Microlensing",POWER(Upgrades!$U$19,K64),1)*IF(Upgrades!$T$20="Microlensing",POWER(Upgrades!$U$20,L64),1)*IF(Upgrades!$T$21="Microlensing",POWER(Upgrades!$U$21,M64),1))*(POWER(Upgrades!$Q$13,E64)*POWER(Upgrades!$Q$14,F64)*POWER(Upgrades!$Q$15,G64)*POWER(Upgrades!$Q$16,H64)*POWER(Upgrades!$Q$17,I64)*POWER(Upgrades!$Q$18,J64)*POWER(Upgrades!$Q$19,K64)*POWER(Upgrades!$Q$20,L64)*POWER(Upgrades!$Q$21,M64))*$G$6*(Parameters!$B$10/60*Parameters!$B$11+Q64))/Upgrades!$C$18,0)),IF(K64&gt;0,0,IFERROR(0.30*P64/Upgrades!$C$19,0)),IF(L64&gt;0,0,IFERROR(0.0001/Upgrades!$C$20,0)),IF(M64&gt;0,0,IFERROR((6.0*(POWER(Upgrades!$P$13,E64)*POWER(Upgrades!$P$14,F64)*POWER(Upgrades!$P$15,G64)*POWER(Upgrades!$P$16,H64)*POWER(Upgrades!$P$17,I64)*POWER(Upgrades!$P$18,J64)*POWER(Upgrades!$P$19,K64)*POWER(Upgrades!$P$20,L64)*POWER(Upgrades!$P$21,M64))*$F$6+0.20*O64*(Parameters!$B$10/60*Parameters!$B$11+Q64))/Upgrades!$C$21,0)),IF(AND(ISNUMBER(AK64),AK64&gt;(C64+T64)),AY64,0),IF(AND(ISNUMBER(AL64),AL64&gt;(C64+T64)),AZ64,0),IF(AND(ISNUMBER(AM64),AM64&gt;(C64+T64)),BA64,0),IF(AND(ISNUMBER(AN64),AN64&gt;(C64+T64)),BB64,0),IF(AND(ISNUMBER(AO64),AO64&gt;(C64+T64)),BC64,0))</f>
        <v/>
      </c>
      <c r="BE64" s="29">
        <f>IF(AT64=1,"transition",IF(MIN(IF(AND(J64=0,ISNUMBER(AP64),AP64&lt;=(C64+T64)),AP64,9E15),IF(AND(K64=0,ISNUMBER(AQ64),AQ64&lt;=(C64+T64)),AQ64,9E15),IF(AND(L64=0,ISNUMBER(AR64),AR64&lt;=(C64+T64)),AR64,9E15),IF(AND(M64=0,ISNUMBER(AS64),AS64&lt;=(C64+T64)),AS64,9E15))&lt;9E15,IF(AND(AND(J64=0,ISNUMBER(AP64),AP64&lt;=(C64+T64)),AP64=MIN(IF(AND(J64=0,ISNUMBER(AP64),AP64&lt;=(C64+T64)),AP64,9E15),IF(AND(K64=0,ISNUMBER(AQ64),AQ64&lt;=(C64+T64)),AQ64,9E15),IF(AND(L64=0,ISNUMBER(AR64),AR64&lt;=(C64+T64)),AR64,9E15),IF(AND(M64=0,ISNUMBER(AS64),AS64&lt;=(C64+T64)),AS64,9E15))),"BiP",IF(AND(AND(K64=0,ISNUMBER(AQ64),AQ64&lt;=(C64+T64)),AQ64=MIN(IF(AND(J64=0,ISNUMBER(AP64),AP64&lt;=(C64+T64)),AP64,9E15),IF(AND(K64=0,ISNUMBER(AQ64),AQ64&lt;=(C64+T64)),AQ64,9E15),IF(AND(L64=0,ISNUMBER(AR64),AR64&lt;=(C64+T64)),AR64,9E15),IF(AND(M64=0,ISNUMBER(AS64),AS64&lt;=(C64+T64)),AS64,9E15))),"PV",IF(AND(AND(L64=0,ISNUMBER(AR64),AR64&lt;=(C64+T64)),AR64=MIN(IF(AND(J64=0,ISNUMBER(AP64),AP64&lt;=(C64+T64)),AP64,9E15),IF(AND(K64=0,ISNUMBER(AQ64),AQ64&lt;=(C64+T64)),AQ64,9E15),IF(AND(L64=0,ISNUMBER(AR64),AR64&lt;=(C64+T64)),AR64,9E15),IF(AND(M64=0,ISNUMBER(AS64),AS64&lt;=(C64+T64)),AS64,9E15))),"OC","MG"))),IF(AX64=TRUE,"",IF(MAX(IF(AND(NOT(AND(AU64=1,AT64&lt;&gt;1)),ISNUMBER(AK64),AK64&lt;=(C64+T64)),AY64,0),IF(AND(NOT(AND(AU64=1,AT64&lt;&gt;1)),ISNUMBER(AL64),AL64&lt;=(C64+T64)),AZ64,0),IF(AND(NOT(AND(AU64=1,AT64&lt;&gt;1)),ISNUMBER(AM64),AM64&lt;=(C64+T64)),BA64,0),IF(AND(NOT(AND(AU64=1,AT64&lt;&gt;1)),ISNUMBER(AN64),AN64&lt;=(C64+T64)),BB64,0),IF(AND(ISNUMBER(AO64),AO64&lt;=(C64+T64)),BC64,0))&lt;=0,"",IF(AND(IF(AND(NOT(AND(AU64=1,AT64&lt;&gt;1)),ISNUMBER(AK64),AK64&lt;=(C64+T64)),AY64,0)&gt;0,IF(AND(NOT(AND(AU64=1,AT64&lt;&gt;1)),ISNUMBER(AK64),AK64&lt;=(C64+T64)),AY64,0)=MAX(IF(AND(NOT(AND(AU64=1,AT64&lt;&gt;1)),ISNUMBER(AK64),AK64&lt;=(C64+T64)),AY64,0),IF(AND(NOT(AND(AU64=1,AT64&lt;&gt;1)),ISNUMBER(AL64),AL64&lt;=(C64+T64)),AZ64,0),IF(AND(NOT(AND(AU64=1,AT64&lt;&gt;1)),ISNUMBER(AM64),AM64&lt;=(C64+T64)),BA64,0),IF(AND(NOT(AND(AU64=1,AT64&lt;&gt;1)),ISNUMBER(AN64),AN64&lt;=(C64+T64)),BB64,0),IF(AND(ISNUMBER(AO64),AO64&lt;=(C64+T64)),BC64,0))),"SK",IF(AND(IF(AND(NOT(AND(AU64=1,AT64&lt;&gt;1)),ISNUMBER(AL64),AL64&lt;=(C64+T64)),AZ64,0)&gt;0,IF(AND(NOT(AND(AU64=1,AT64&lt;&gt;1)),ISNUMBER(AL64),AL64&lt;=(C64+T64)),AZ64,0)=MAX(IF(AND(NOT(AND(AU64=1,AT64&lt;&gt;1)),ISNUMBER(AK64),AK64&lt;=(C64+T64)),AY64,0),IF(AND(NOT(AND(AU64=1,AT64&lt;&gt;1)),ISNUMBER(AL64),AL64&lt;=(C64+T64)),AZ64,0),IF(AND(NOT(AND(AU64=1,AT64&lt;&gt;1)),ISNUMBER(AM64),AM64&lt;=(C64+T64)),BA64,0),IF(AND(NOT(AND(AU64=1,AT64&lt;&gt;1)),ISNUMBER(AN64),AN64&lt;=(C64+T64)),BB64,0),IF(AND(ISNUMBER(AO64),AO64&lt;=(C64+T64)),BC64,0))),"LB",IF(AND(IF(AND(NOT(AND(AU64=1,AT64&lt;&gt;1)),ISNUMBER(AM64),AM64&lt;=(C64+T64)),BA64,0)&gt;0,IF(AND(NOT(AND(AU64=1,AT64&lt;&gt;1)),ISNUMBER(AM64),AM64&lt;=(C64+T64)),BA64,0)=MAX(IF(AND(NOT(AND(AU64=1,AT64&lt;&gt;1)),ISNUMBER(AK64),AK64&lt;=(C64+T64)),AY64,0),IF(AND(NOT(AND(AU64=1,AT64&lt;&gt;1)),ISNUMBER(AL64),AL64&lt;=(C64+T64)),AZ64,0),IF(AND(NOT(AND(AU64=1,AT64&lt;&gt;1)),ISNUMBER(AM64),AM64&lt;=(C64+T64)),BA64,0),IF(AND(NOT(AND(AU64=1,AT64&lt;&gt;1)),ISNUMBER(AN64),AN64&lt;=(C64+T64)),BB64,0),IF(AND(ISNUMBER(AO64),AO64&lt;=(C64+T64)),BC64,0))),"ML",IF(AND(IF(AND(NOT(AND(AU64=1,AT64&lt;&gt;1)),ISNUMBER(AN64),AN64&lt;=(C64+T64)),BB64,0)&gt;0,IF(AND(NOT(AND(AU64=1,AT64&lt;&gt;1)),ISNUMBER(AN64),AN64&lt;=(C64+T64)),BB64,0)=MAX(IF(AND(NOT(AND(AU64=1,AT64&lt;&gt;1)),ISNUMBER(AK64),AK64&lt;=(C64+T64)),AY64,0),IF(AND(NOT(AND(AU64=1,AT64&lt;&gt;1)),ISNUMBER(AL64),AL64&lt;=(C64+T64)),AZ64,0),IF(AND(NOT(AND(AU64=1,AT64&lt;&gt;1)),ISNUMBER(AM64),AM64&lt;=(C64+T64)),BA64,0),IF(AND(NOT(AND(AU64=1,AT64&lt;&gt;1)),ISNUMBER(AN64),AN64&lt;=(C64+T64)),BB64,0),IF(AND(ISNUMBER(AO64),AO64&lt;=(C64+T64)),BC64,0))),"RLO","BD"))))))))</f>
        <v/>
      </c>
    </row>
    <row r="65">
      <c r="A65" s="26" t="n">
        <v>54</v>
      </c>
      <c r="B65" s="27">
        <f>A65*10/60</f>
        <v/>
      </c>
      <c r="C65" s="22">
        <f>X64</f>
        <v/>
      </c>
      <c r="D65" s="27">
        <f>D64+W64</f>
        <v/>
      </c>
      <c r="E65" s="26">
        <f>E64+IF(U64="SK",1,0)</f>
        <v/>
      </c>
      <c r="F65" s="26">
        <f>F64+IF(U64="LB",1,0)</f>
        <v/>
      </c>
      <c r="G65" s="26">
        <f>G64+IF(U64="ML",1,0)</f>
        <v/>
      </c>
      <c r="H65" s="26">
        <f>H64+IF(U64="RLO",1,0)</f>
        <v/>
      </c>
      <c r="I65" s="26">
        <f>I64+IF(U64="BD",1,0)</f>
        <v/>
      </c>
      <c r="J65" s="26">
        <f>MAX(J64,IF(U64="BiP",1,0))</f>
        <v/>
      </c>
      <c r="K65" s="26">
        <f>MAX(K64,IF(U64="PV",1,0))</f>
        <v/>
      </c>
      <c r="L65" s="26">
        <f>MAX(L64,IF(U64="OC",1,0))</f>
        <v/>
      </c>
      <c r="M65" s="26">
        <f>MAX(M64,IF(U64="MG",1,0))</f>
        <v/>
      </c>
      <c r="N65" s="26">
        <f>MAX(N64,IF(U64="transition",1,0))</f>
        <v/>
      </c>
      <c r="O65" s="28">
        <f>(Parameters!$B$9+(IF(E65=0,0,(Upgrades!$J$13+E65*Upgrades!$K$13)*POWER(Upgrades!$L$13,E65)))*(IF(Upgrades!$T$14="Stellar Kinematics",POWER(Upgrades!$U$14,F65),1)*IF(Upgrades!$T$15="Stellar Kinematics",POWER(Upgrades!$U$15,G65),1)*IF(Upgrades!$T$16="Stellar Kinematics",POWER(Upgrades!$U$16,H65),1)*IF(Upgrades!$T$17="Stellar Kinematics",POWER(Upgrades!$U$17,I65),1)*IF(Upgrades!$T$18="Stellar Kinematics",POWER(Upgrades!$U$18,J65),1)*IF(Upgrades!$T$19="Stellar Kinematics",POWER(Upgrades!$U$19,K65),1)*IF(Upgrades!$T$20="Stellar Kinematics",POWER(Upgrades!$U$20,L65),1)*IF(Upgrades!$T$21="Stellar Kinematics",POWER(Upgrades!$U$21,M65),1))+(IF(F65=0,0,(Upgrades!$J$14+F65*Upgrades!$K$14)*POWER(Upgrades!$L$14,F65)))*(IF(Upgrades!$T$13="Local Bubble",POWER(Upgrades!$U$13,E65),1)*IF(Upgrades!$T$15="Local Bubble",POWER(Upgrades!$U$15,G65),1)*IF(Upgrades!$T$16="Local Bubble",POWER(Upgrades!$U$16,H65),1)*IF(Upgrades!$T$17="Local Bubble",POWER(Upgrades!$U$17,I65),1)*IF(Upgrades!$T$18="Local Bubble",POWER(Upgrades!$U$18,J65),1)*IF(Upgrades!$T$19="Local Bubble",POWER(Upgrades!$U$19,K65),1)*IF(Upgrades!$T$20="Local Bubble",POWER(Upgrades!$U$20,L65),1)*IF(Upgrades!$T$21="Local Bubble",POWER(Upgrades!$U$21,M65),1))+(IF(G65=0,0,(Upgrades!$J$15+G65*Upgrades!$K$15)*POWER(Upgrades!$L$15,G65)))*(IF(Upgrades!$T$13="Microlensing",POWER(Upgrades!$U$13,E65),1)*IF(Upgrades!$T$14="Microlensing",POWER(Upgrades!$U$14,F65),1)*IF(Upgrades!$T$16="Microlensing",POWER(Upgrades!$U$16,H65),1)*IF(Upgrades!$T$17="Microlensing",POWER(Upgrades!$U$17,I65),1)*IF(Upgrades!$T$18="Microlensing",POWER(Upgrades!$U$18,J65),1)*IF(Upgrades!$T$19="Microlensing",POWER(Upgrades!$U$19,K65),1)*IF(Upgrades!$T$20="Microlensing",POWER(Upgrades!$U$20,L65),1)*IF(Upgrades!$T$21="Microlensing",POWER(Upgrades!$U$21,M65),1))+(IF(H65=0,0,(Upgrades!$J$16+H65*Upgrades!$K$16)*POWER(Upgrades!$L$16,H65)))*(IF(Upgrades!$T$13="Roche Lobe Overflow",POWER(Upgrades!$U$13,E65),1)*IF(Upgrades!$T$14="Roche Lobe Overflow",POWER(Upgrades!$U$14,F65),1)*IF(Upgrades!$T$15="Roche Lobe Overflow",POWER(Upgrades!$U$15,G65),1)*IF(Upgrades!$T$17="Roche Lobe Overflow",POWER(Upgrades!$U$17,I65),1)*IF(Upgrades!$T$18="Roche Lobe Overflow",POWER(Upgrades!$U$18,J65),1)*IF(Upgrades!$T$19="Roche Lobe Overflow",POWER(Upgrades!$U$19,K65),1)*IF(Upgrades!$T$20="Roche Lobe Overflow",POWER(Upgrades!$U$20,L65),1)*IF(Upgrades!$T$21="Roche Lobe Overflow",POWER(Upgrades!$U$21,M65),1))+(IF(I65=0,0,(Upgrades!$J$17+I65*Upgrades!$K$17)*POWER(Upgrades!$L$17,I65)))*(IF(Upgrades!$T$13="Brown Dwarf",POWER(Upgrades!$U$13,E65),1)*IF(Upgrades!$T$14="Brown Dwarf",POWER(Upgrades!$U$14,F65),1)*IF(Upgrades!$T$15="Brown Dwarf",POWER(Upgrades!$U$15,G65),1)*IF(Upgrades!$T$16="Brown Dwarf",POWER(Upgrades!$U$16,H65),1)*IF(Upgrades!$T$18="Brown Dwarf",POWER(Upgrades!$U$18,J65),1)*IF(Upgrades!$T$19="Brown Dwarf",POWER(Upgrades!$U$19,K65),1)*IF(Upgrades!$T$20="Brown Dwarf",POWER(Upgrades!$U$20,L65),1)*IF(Upgrades!$T$21="Brown Dwarf",POWER(Upgrades!$U$21,M65),1))+(IF(J65=0,0,(Upgrades!$J$18+J65*Upgrades!$K$18)*POWER(Upgrades!$L$18,J65)))*(IF(Upgrades!$T$13="Binary Partner",POWER(Upgrades!$U$13,E65),1)*IF(Upgrades!$T$14="Binary Partner",POWER(Upgrades!$U$14,F65),1)*IF(Upgrades!$T$15="Binary Partner",POWER(Upgrades!$U$15,G65),1)*IF(Upgrades!$T$16="Binary Partner",POWER(Upgrades!$U$16,H65),1)*IF(Upgrades!$T$17="Binary Partner",POWER(Upgrades!$U$17,I65),1)*IF(Upgrades!$T$19="Binary Partner",POWER(Upgrades!$U$19,K65),1)*IF(Upgrades!$T$20="Binary Partner",POWER(Upgrades!$U$20,L65),1)*IF(Upgrades!$T$21="Binary Partner",POWER(Upgrades!$U$21,M65),1))+(IF(K65=0,0,(Upgrades!$J$19+K65*Upgrades!$K$19)*POWER(Upgrades!$L$19,K65)))*(IF(Upgrades!$T$13="Peculiar Velocity",POWER(Upgrades!$U$13,E65),1)*IF(Upgrades!$T$14="Peculiar Velocity",POWER(Upgrades!$U$14,F65),1)*IF(Upgrades!$T$15="Peculiar Velocity",POWER(Upgrades!$U$15,G65),1)*IF(Upgrades!$T$16="Peculiar Velocity",POWER(Upgrades!$U$16,H65),1)*IF(Upgrades!$T$17="Peculiar Velocity",POWER(Upgrades!$U$17,I65),1)*IF(Upgrades!$T$18="Peculiar Velocity",POWER(Upgrades!$U$18,J65),1)*IF(Upgrades!$T$20="Peculiar Velocity",POWER(Upgrades!$U$20,L65),1)*IF(Upgrades!$T$21="Peculiar Velocity",POWER(Upgrades!$U$21,M65),1))+(IF(L65=0,0,(Upgrades!$J$20+L65*Upgrades!$K$20)*POWER(Upgrades!$L$20,L65)))*(IF(Upgrades!$T$13="Open Cluster",POWER(Upgrades!$U$13,E65),1)*IF(Upgrades!$T$14="Open Cluster",POWER(Upgrades!$U$14,F65),1)*IF(Upgrades!$T$15="Open Cluster",POWER(Upgrades!$U$15,G65),1)*IF(Upgrades!$T$16="Open Cluster",POWER(Upgrades!$U$16,H65),1)*IF(Upgrades!$T$17="Open Cluster",POWER(Upgrades!$U$17,I65),1)*IF(Upgrades!$T$18="Open Cluster",POWER(Upgrades!$U$18,J65),1)*IF(Upgrades!$T$19="Open Cluster",POWER(Upgrades!$U$19,K65),1)*IF(Upgrades!$T$21="Open Cluster",POWER(Upgrades!$U$21,M65),1))+(IF(M65=0,0,(Upgrades!$J$21+M65*Upgrades!$K$21)*POWER(Upgrades!$L$21,M65)))*(IF(Upgrades!$T$13="Moving Group",POWER(Upgrades!$U$13,E65),1)*IF(Upgrades!$T$14="Moving Group",POWER(Upgrades!$U$14,F65),1)*IF(Upgrades!$T$15="Moving Group",POWER(Upgrades!$U$15,G65),1)*IF(Upgrades!$T$16="Moving Group",POWER(Upgrades!$U$16,H65),1)*IF(Upgrades!$T$17="Moving Group",POWER(Upgrades!$U$17,I65),1)*IF(Upgrades!$T$18="Moving Group",POWER(Upgrades!$U$18,J65),1)*IF(Upgrades!$T$19="Moving Group",POWER(Upgrades!$U$19,K65),1)*IF(Upgrades!$T$20="Moving Group",POWER(Upgrades!$U$20,L65),1)))*POWER(Upgrades!$Q$13,E65)*POWER(Upgrades!$Q$14,F65)*POWER(Upgrades!$Q$15,G65)*POWER(Upgrades!$Q$16,H65)*POWER(Upgrades!$Q$17,I65)*POWER(Upgrades!$Q$18,J65)*POWER(Upgrades!$Q$19,K65)*POWER(Upgrades!$Q$20,L65)*POWER(Upgrades!$Q$21,M65)*$G$6+$D$6</f>
        <v/>
      </c>
      <c r="P65" s="28">
        <f>((IF(E65=0,0,(Upgrades!$G$13+E65*Upgrades!$H$13)*POWER(Upgrades!$I$13,E65)))*(IF(Upgrades!$T$14="Stellar Kinematics",POWER(Upgrades!$U$14,F65),1)*IF(Upgrades!$T$15="Stellar Kinematics",POWER(Upgrades!$U$15,G65),1)*IF(Upgrades!$T$16="Stellar Kinematics",POWER(Upgrades!$U$16,H65),1)*IF(Upgrades!$T$17="Stellar Kinematics",POWER(Upgrades!$U$17,I65),1)*IF(Upgrades!$T$18="Stellar Kinematics",POWER(Upgrades!$U$18,J65),1)*IF(Upgrades!$T$19="Stellar Kinematics",POWER(Upgrades!$U$19,K65),1)*IF(Upgrades!$T$20="Stellar Kinematics",POWER(Upgrades!$U$20,L65),1)*IF(Upgrades!$T$21="Stellar Kinematics",POWER(Upgrades!$U$21,M65),1))+(IF(F65=0,0,(Upgrades!$G$14+F65*Upgrades!$H$14)*POWER(Upgrades!$I$14,F65)))*(IF(Upgrades!$T$13="Local Bubble",POWER(Upgrades!$U$13,E65),1)*IF(Upgrades!$T$15="Local Bubble",POWER(Upgrades!$U$15,G65),1)*IF(Upgrades!$T$16="Local Bubble",POWER(Upgrades!$U$16,H65),1)*IF(Upgrades!$T$17="Local Bubble",POWER(Upgrades!$U$17,I65),1)*IF(Upgrades!$T$18="Local Bubble",POWER(Upgrades!$U$18,J65),1)*IF(Upgrades!$T$19="Local Bubble",POWER(Upgrades!$U$19,K65),1)*IF(Upgrades!$T$20="Local Bubble",POWER(Upgrades!$U$20,L65),1)*IF(Upgrades!$T$21="Local Bubble",POWER(Upgrades!$U$21,M65),1))+(IF(G65=0,0,(Upgrades!$G$15+G65*Upgrades!$H$15)*POWER(Upgrades!$I$15,G65)))*(IF(Upgrades!$T$13="Microlensing",POWER(Upgrades!$U$13,E65),1)*IF(Upgrades!$T$14="Microlensing",POWER(Upgrades!$U$14,F65),1)*IF(Upgrades!$T$16="Microlensing",POWER(Upgrades!$U$16,H65),1)*IF(Upgrades!$T$17="Microlensing",POWER(Upgrades!$U$17,I65),1)*IF(Upgrades!$T$18="Microlensing",POWER(Upgrades!$U$18,J65),1)*IF(Upgrades!$T$19="Microlensing",POWER(Upgrades!$U$19,K65),1)*IF(Upgrades!$T$20="Microlensing",POWER(Upgrades!$U$20,L65),1)*IF(Upgrades!$T$21="Microlensing",POWER(Upgrades!$U$21,M65),1))+(IF(H65=0,0,(Upgrades!$G$16+H65*Upgrades!$H$16)*POWER(Upgrades!$I$16,H65)))*(IF(Upgrades!$T$13="Roche Lobe Overflow",POWER(Upgrades!$U$13,E65),1)*IF(Upgrades!$T$14="Roche Lobe Overflow",POWER(Upgrades!$U$14,F65),1)*IF(Upgrades!$T$15="Roche Lobe Overflow",POWER(Upgrades!$U$15,G65),1)*IF(Upgrades!$T$17="Roche Lobe Overflow",POWER(Upgrades!$U$17,I65),1)*IF(Upgrades!$T$18="Roche Lobe Overflow",POWER(Upgrades!$U$18,J65),1)*IF(Upgrades!$T$19="Roche Lobe Overflow",POWER(Upgrades!$U$19,K65),1)*IF(Upgrades!$T$20="Roche Lobe Overflow",POWER(Upgrades!$U$20,L65),1)*IF(Upgrades!$T$21="Roche Lobe Overflow",POWER(Upgrades!$U$21,M65),1))+(IF(I65=0,0,(Upgrades!$G$17+I65*Upgrades!$H$17)*POWER(Upgrades!$I$17,I65)))*(IF(Upgrades!$T$13="Brown Dwarf",POWER(Upgrades!$U$13,E65),1)*IF(Upgrades!$T$14="Brown Dwarf",POWER(Upgrades!$U$14,F65),1)*IF(Upgrades!$T$15="Brown Dwarf",POWER(Upgrades!$U$15,G65),1)*IF(Upgrades!$T$16="Brown Dwarf",POWER(Upgrades!$U$16,H65),1)*IF(Upgrades!$T$18="Brown Dwarf",POWER(Upgrades!$U$18,J65),1)*IF(Upgrades!$T$19="Brown Dwarf",POWER(Upgrades!$U$19,K65),1)*IF(Upgrades!$T$20="Brown Dwarf",POWER(Upgrades!$U$20,L65),1)*IF(Upgrades!$T$21="Brown Dwarf",POWER(Upgrades!$U$21,M65),1))+(IF(J65=0,0,(Upgrades!$G$18+J65*Upgrades!$H$18)*POWER(Upgrades!$I$18,J65)))*(IF(Upgrades!$T$13="Binary Partner",POWER(Upgrades!$U$13,E65),1)*IF(Upgrades!$T$14="Binary Partner",POWER(Upgrades!$U$14,F65),1)*IF(Upgrades!$T$15="Binary Partner",POWER(Upgrades!$U$15,G65),1)*IF(Upgrades!$T$16="Binary Partner",POWER(Upgrades!$U$16,H65),1)*IF(Upgrades!$T$17="Binary Partner",POWER(Upgrades!$U$17,I65),1)*IF(Upgrades!$T$19="Binary Partner",POWER(Upgrades!$U$19,K65),1)*IF(Upgrades!$T$20="Binary Partner",POWER(Upgrades!$U$20,L65),1)*IF(Upgrades!$T$21="Binary Partner",POWER(Upgrades!$U$21,M65),1))+(IF(K65=0,0,(Upgrades!$G$19+K65*Upgrades!$H$19)*POWER(Upgrades!$I$19,K65)))*(IF(Upgrades!$T$13="Peculiar Velocity",POWER(Upgrades!$U$13,E65),1)*IF(Upgrades!$T$14="Peculiar Velocity",POWER(Upgrades!$U$14,F65),1)*IF(Upgrades!$T$15="Peculiar Velocity",POWER(Upgrades!$U$15,G65),1)*IF(Upgrades!$T$16="Peculiar Velocity",POWER(Upgrades!$U$16,H65),1)*IF(Upgrades!$T$17="Peculiar Velocity",POWER(Upgrades!$U$17,I65),1)*IF(Upgrades!$T$18="Peculiar Velocity",POWER(Upgrades!$U$18,J65),1)*IF(Upgrades!$T$20="Peculiar Velocity",POWER(Upgrades!$U$20,L65),1)*IF(Upgrades!$T$21="Peculiar Velocity",POWER(Upgrades!$U$21,M65),1))+(IF(L65=0,0,(Upgrades!$G$20+L65*Upgrades!$H$20)*POWER(Upgrades!$I$20,L65)))*(IF(Upgrades!$T$13="Open Cluster",POWER(Upgrades!$U$13,E65),1)*IF(Upgrades!$T$14="Open Cluster",POWER(Upgrades!$U$14,F65),1)*IF(Upgrades!$T$15="Open Cluster",POWER(Upgrades!$U$15,G65),1)*IF(Upgrades!$T$16="Open Cluster",POWER(Upgrades!$U$16,H65),1)*IF(Upgrades!$T$17="Open Cluster",POWER(Upgrades!$U$17,I65),1)*IF(Upgrades!$T$18="Open Cluster",POWER(Upgrades!$U$18,J65),1)*IF(Upgrades!$T$19="Open Cluster",POWER(Upgrades!$U$19,K65),1)*IF(Upgrades!$T$21="Open Cluster",POWER(Upgrades!$U$21,M65),1))+(IF(M65=0,0,(Upgrades!$G$21+M65*Upgrades!$H$21)*POWER(Upgrades!$I$21,M65)))*(IF(Upgrades!$T$13="Moving Group",POWER(Upgrades!$U$13,E65),1)*IF(Upgrades!$T$14="Moving Group",POWER(Upgrades!$U$14,F65),1)*IF(Upgrades!$T$15="Moving Group",POWER(Upgrades!$U$15,G65),1)*IF(Upgrades!$T$16="Moving Group",POWER(Upgrades!$U$16,H65),1)*IF(Upgrades!$T$17="Moving Group",POWER(Upgrades!$U$17,I65),1)*IF(Upgrades!$T$18="Moving Group",POWER(Upgrades!$U$18,J65),1)*IF(Upgrades!$T$19="Moving Group",POWER(Upgrades!$U$19,K65),1)*IF(Upgrades!$T$20="Moving Group",POWER(Upgrades!$U$20,L65),1)))*POWER(Upgrades!$P$13,E65)*POWER(Upgrades!$P$14,F65)*POWER(Upgrades!$P$15,G65)*POWER(Upgrades!$P$16,H65)*POWER(Upgrades!$P$17,I65)*POWER(Upgrades!$P$18,J65)*POWER(Upgrades!$P$19,K65)*POWER(Upgrades!$P$20,L65)*POWER(Upgrades!$P$21,M65)*$F$6+$C$6</f>
        <v/>
      </c>
      <c r="Q65" s="28">
        <f>((IF(E65=0,0,(Upgrades!$M$13+E65*Upgrades!$N$13)*POWER(Upgrades!$O$13,E65)))*(IF(Upgrades!$T$14="Stellar Kinematics",POWER(Upgrades!$U$14,F65),1)*IF(Upgrades!$T$15="Stellar Kinematics",POWER(Upgrades!$U$15,G65),1)*IF(Upgrades!$T$16="Stellar Kinematics",POWER(Upgrades!$U$16,H65),1)*IF(Upgrades!$T$17="Stellar Kinematics",POWER(Upgrades!$U$17,I65),1)*IF(Upgrades!$T$18="Stellar Kinematics",POWER(Upgrades!$U$18,J65),1)*IF(Upgrades!$T$19="Stellar Kinematics",POWER(Upgrades!$U$19,K65),1)*IF(Upgrades!$T$20="Stellar Kinematics",POWER(Upgrades!$U$20,L65),1)*IF(Upgrades!$T$21="Stellar Kinematics",POWER(Upgrades!$U$21,M65),1))+(IF(F65=0,0,(Upgrades!$M$14+F65*Upgrades!$N$14)*POWER(Upgrades!$O$14,F65)))*(IF(Upgrades!$T$13="Local Bubble",POWER(Upgrades!$U$13,E65),1)*IF(Upgrades!$T$15="Local Bubble",POWER(Upgrades!$U$15,G65),1)*IF(Upgrades!$T$16="Local Bubble",POWER(Upgrades!$U$16,H65),1)*IF(Upgrades!$T$17="Local Bubble",POWER(Upgrades!$U$17,I65),1)*IF(Upgrades!$T$18="Local Bubble",POWER(Upgrades!$U$18,J65),1)*IF(Upgrades!$T$19="Local Bubble",POWER(Upgrades!$U$19,K65),1)*IF(Upgrades!$T$20="Local Bubble",POWER(Upgrades!$U$20,L65),1)*IF(Upgrades!$T$21="Local Bubble",POWER(Upgrades!$U$21,M65),1))+(IF(G65=0,0,(Upgrades!$M$15+G65*Upgrades!$N$15)*POWER(Upgrades!$O$15,G65)))*(IF(Upgrades!$T$13="Microlensing",POWER(Upgrades!$U$13,E65),1)*IF(Upgrades!$T$14="Microlensing",POWER(Upgrades!$U$14,F65),1)*IF(Upgrades!$T$16="Microlensing",POWER(Upgrades!$U$16,H65),1)*IF(Upgrades!$T$17="Microlensing",POWER(Upgrades!$U$17,I65),1)*IF(Upgrades!$T$18="Microlensing",POWER(Upgrades!$U$18,J65),1)*IF(Upgrades!$T$19="Microlensing",POWER(Upgrades!$U$19,K65),1)*IF(Upgrades!$T$20="Microlensing",POWER(Upgrades!$U$20,L65),1)*IF(Upgrades!$T$21="Microlensing",POWER(Upgrades!$U$21,M65),1))+(IF(H65=0,0,(Upgrades!$M$16+H65*Upgrades!$N$16)*POWER(Upgrades!$O$16,H65)))*(IF(Upgrades!$T$13="Roche Lobe Overflow",POWER(Upgrades!$U$13,E65),1)*IF(Upgrades!$T$14="Roche Lobe Overflow",POWER(Upgrades!$U$14,F65),1)*IF(Upgrades!$T$15="Roche Lobe Overflow",POWER(Upgrades!$U$15,G65),1)*IF(Upgrades!$T$17="Roche Lobe Overflow",POWER(Upgrades!$U$17,I65),1)*IF(Upgrades!$T$18="Roche Lobe Overflow",POWER(Upgrades!$U$18,J65),1)*IF(Upgrades!$T$19="Roche Lobe Overflow",POWER(Upgrades!$U$19,K65),1)*IF(Upgrades!$T$20="Roche Lobe Overflow",POWER(Upgrades!$U$20,L65),1)*IF(Upgrades!$T$21="Roche Lobe Overflow",POWER(Upgrades!$U$21,M65),1))+(IF(I65=0,0,(Upgrades!$M$17+I65*Upgrades!$N$17)*POWER(Upgrades!$O$17,I65)))*(IF(Upgrades!$T$13="Brown Dwarf",POWER(Upgrades!$U$13,E65),1)*IF(Upgrades!$T$14="Brown Dwarf",POWER(Upgrades!$U$14,F65),1)*IF(Upgrades!$T$15="Brown Dwarf",POWER(Upgrades!$U$15,G65),1)*IF(Upgrades!$T$16="Brown Dwarf",POWER(Upgrades!$U$16,H65),1)*IF(Upgrades!$T$18="Brown Dwarf",POWER(Upgrades!$U$18,J65),1)*IF(Upgrades!$T$19="Brown Dwarf",POWER(Upgrades!$U$19,K65),1)*IF(Upgrades!$T$20="Brown Dwarf",POWER(Upgrades!$U$20,L65),1)*IF(Upgrades!$T$21="Brown Dwarf",POWER(Upgrades!$U$21,M65),1))+(IF(J65=0,0,(Upgrades!$M$18+J65*Upgrades!$N$18)*POWER(Upgrades!$O$18,J65)))*(IF(Upgrades!$T$13="Binary Partner",POWER(Upgrades!$U$13,E65),1)*IF(Upgrades!$T$14="Binary Partner",POWER(Upgrades!$U$14,F65),1)*IF(Upgrades!$T$15="Binary Partner",POWER(Upgrades!$U$15,G65),1)*IF(Upgrades!$T$16="Binary Partner",POWER(Upgrades!$U$16,H65),1)*IF(Upgrades!$T$17="Binary Partner",POWER(Upgrades!$U$17,I65),1)*IF(Upgrades!$T$19="Binary Partner",POWER(Upgrades!$U$19,K65),1)*IF(Upgrades!$T$20="Binary Partner",POWER(Upgrades!$U$20,L65),1)*IF(Upgrades!$T$21="Binary Partner",POWER(Upgrades!$U$21,M65),1))+(IF(K65=0,0,(Upgrades!$M$19+K65*Upgrades!$N$19)*POWER(Upgrades!$O$19,K65)))*(IF(Upgrades!$T$13="Peculiar Velocity",POWER(Upgrades!$U$13,E65),1)*IF(Upgrades!$T$14="Peculiar Velocity",POWER(Upgrades!$U$14,F65),1)*IF(Upgrades!$T$15="Peculiar Velocity",POWER(Upgrades!$U$15,G65),1)*IF(Upgrades!$T$16="Peculiar Velocity",POWER(Upgrades!$U$16,H65),1)*IF(Upgrades!$T$17="Peculiar Velocity",POWER(Upgrades!$U$17,I65),1)*IF(Upgrades!$T$18="Peculiar Velocity",POWER(Upgrades!$U$18,J65),1)*IF(Upgrades!$T$20="Peculiar Velocity",POWER(Upgrades!$U$20,L65),1)*IF(Upgrades!$T$21="Peculiar Velocity",POWER(Upgrades!$U$21,M65),1))+(IF(L65=0,0,(Upgrades!$M$20+L65*Upgrades!$N$20)*POWER(Upgrades!$O$20,L65)))*(IF(Upgrades!$T$13="Open Cluster",POWER(Upgrades!$U$13,E65),1)*IF(Upgrades!$T$14="Open Cluster",POWER(Upgrades!$U$14,F65),1)*IF(Upgrades!$T$15="Open Cluster",POWER(Upgrades!$U$15,G65),1)*IF(Upgrades!$T$16="Open Cluster",POWER(Upgrades!$U$16,H65),1)*IF(Upgrades!$T$17="Open Cluster",POWER(Upgrades!$U$17,I65),1)*IF(Upgrades!$T$18="Open Cluster",POWER(Upgrades!$U$18,J65),1)*IF(Upgrades!$T$19="Open Cluster",POWER(Upgrades!$U$19,K65),1)*IF(Upgrades!$T$21="Open Cluster",POWER(Upgrades!$U$21,M65),1))+(IF(M65=0,0,(Upgrades!$M$21+M65*Upgrades!$N$21)*POWER(Upgrades!$O$21,M65)))*(IF(Upgrades!$T$13="Moving Group",POWER(Upgrades!$U$13,E65),1)*IF(Upgrades!$T$14="Moving Group",POWER(Upgrades!$U$14,F65),1)*IF(Upgrades!$T$15="Moving Group",POWER(Upgrades!$U$15,G65),1)*IF(Upgrades!$T$16="Moving Group",POWER(Upgrades!$U$16,H65),1)*IF(Upgrades!$T$17="Moving Group",POWER(Upgrades!$U$17,I65),1)*IF(Upgrades!$T$18="Moving Group",POWER(Upgrades!$U$18,J65),1)*IF(Upgrades!$T$19="Moving Group",POWER(Upgrades!$U$19,K65),1)*IF(Upgrades!$T$20="Moving Group",POWER(Upgrades!$U$20,L65),1)))*POWER(Upgrades!$R$13,E65)*POWER(Upgrades!$R$14,F65)*POWER(Upgrades!$R$15,G65)*POWER(Upgrades!$R$16,H65)*POWER(Upgrades!$R$17,I65)*POWER(Upgrades!$R$18,J65)*POWER(Upgrades!$R$19,K65)*POWER(Upgrades!$R$20,L65)*POWER(Upgrades!$R$21,M65)*$H$6+$E$6</f>
        <v/>
      </c>
      <c r="R65" s="27">
        <f>IF(N65=1,0,O65*Parameters!$B$10/60*Parameters!$B$11*10)</f>
        <v/>
      </c>
      <c r="S65" s="27">
        <f>IF(N65=1,0,Q65*O65*10)</f>
        <v/>
      </c>
      <c r="T65" s="27">
        <f>IF(N65=1,0,R65+S65+P65*10)</f>
        <v/>
      </c>
      <c r="U65" s="33">
        <f>BE65</f>
        <v/>
      </c>
      <c r="V65" s="22">
        <f>IF(U65="",0,IF(U65="transition",0,IF(U65="SK",AK65,IF(U65="LB",AL65,IF(U65="ML",AM65,IF(U65="RLO",AN65,IF(U65="BD",AO65,IF(U65="BiP",AP65,IF(U65="PV",AQ65,IF(U65="OC",AR65,IF(U65="MG",AS65,0))))))))))</f>
        <v/>
      </c>
      <c r="W65" s="27">
        <f>IF(U65="BiP",Upgrades!$F$18,IF(U65="PV",Upgrades!$F$19,IF(U65="OC",Upgrades!$F$20,IF(U65="MG",Upgrades!$F$21,IF(U65="transition",-Parameters!$B$18*Parameters!$B$19,0)))))</f>
        <v/>
      </c>
      <c r="X65" s="22">
        <f>C65+T65-V65</f>
        <v/>
      </c>
      <c r="Y65" s="30">
        <f>O65*Parameters!$B$10/60*Parameters!$B$11+Q65*O65+P65</f>
        <v/>
      </c>
      <c r="Z65" s="34">
        <f>IF(U65="transition","→ Tier 3 (Galactic Arm)",IF(U65="MG","Moving Group — pocket drifts together",IF(U65="OC","Open Cluster acquired",IF(U65="PV","Peculiar Velocity — passive multiplier active",IF(U65="BiP","Binary Partner — pair bond formed",IF(AND(AU65=1,N65=0,AT65&lt;&gt;1),"Cohesion ready (waiting on completionists)","")))))) </f>
        <v/>
      </c>
      <c r="AA65" s="27">
        <f>(IF(E65=0,0,(Upgrades!$G$13+E65*Upgrades!$H$13)*POWER(Upgrades!$I$13,E65)))*(IF(Upgrades!$T$14="Stellar Kinematics",POWER(Upgrades!$U$14,F65),1)*IF(Upgrades!$T$15="Stellar Kinematics",POWER(Upgrades!$U$15,G65),1)*IF(Upgrades!$T$16="Stellar Kinematics",POWER(Upgrades!$U$16,H65),1)*IF(Upgrades!$T$17="Stellar Kinematics",POWER(Upgrades!$U$17,I65),1)*IF(Upgrades!$T$18="Stellar Kinematics",POWER(Upgrades!$U$18,J65),1)*IF(Upgrades!$T$19="Stellar Kinematics",POWER(Upgrades!$U$19,K65),1)*IF(Upgrades!$T$20="Stellar Kinematics",POWER(Upgrades!$U$20,L65),1)*IF(Upgrades!$T$21="Stellar Kinematics",POWER(Upgrades!$U$21,M65),1))*POWER(Upgrades!$P$13,E65)*POWER(Upgrades!$P$14,F65)*POWER(Upgrades!$P$15,G65)*POWER(Upgrades!$P$16,H65)*POWER(Upgrades!$P$17,I65)*POWER(Upgrades!$P$18,J65)*POWER(Upgrades!$P$19,K65)*POWER(Upgrades!$P$20,L65)*POWER(Upgrades!$P$21,M65)*$F$6*60</f>
        <v/>
      </c>
      <c r="AB65" s="27">
        <f>(IF(F65=0,0,(Upgrades!$G$14+F65*Upgrades!$H$14)*POWER(Upgrades!$I$14,F65)))*(IF(Upgrades!$T$13="Local Bubble",POWER(Upgrades!$U$13,E65),1)*IF(Upgrades!$T$15="Local Bubble",POWER(Upgrades!$U$15,G65),1)*IF(Upgrades!$T$16="Local Bubble",POWER(Upgrades!$U$16,H65),1)*IF(Upgrades!$T$17="Local Bubble",POWER(Upgrades!$U$17,I65),1)*IF(Upgrades!$T$18="Local Bubble",POWER(Upgrades!$U$18,J65),1)*IF(Upgrades!$T$19="Local Bubble",POWER(Upgrades!$U$19,K65),1)*IF(Upgrades!$T$20="Local Bubble",POWER(Upgrades!$U$20,L65),1)*IF(Upgrades!$T$21="Local Bubble",POWER(Upgrades!$U$21,M65),1))*POWER(Upgrades!$P$13,E65)*POWER(Upgrades!$P$14,F65)*POWER(Upgrades!$P$15,G65)*POWER(Upgrades!$P$16,H65)*POWER(Upgrades!$P$17,I65)*POWER(Upgrades!$P$18,J65)*POWER(Upgrades!$P$19,K65)*POWER(Upgrades!$P$20,L65)*POWER(Upgrades!$P$21,M65)*$F$6*60</f>
        <v/>
      </c>
      <c r="AC65" s="27">
        <f>(IF(G65=0,0,(Upgrades!$J$15+G65*Upgrades!$K$15)*POWER(Upgrades!$L$15,G65)))*(IF(Upgrades!$T$13="Microlensing",POWER(Upgrades!$U$13,E65),1)*IF(Upgrades!$T$14="Microlensing",POWER(Upgrades!$U$14,F65),1)*IF(Upgrades!$T$16="Microlensing",POWER(Upgrades!$U$16,H65),1)*IF(Upgrades!$T$17="Microlensing",POWER(Upgrades!$U$17,I65),1)*IF(Upgrades!$T$18="Microlensing",POWER(Upgrades!$U$18,J65),1)*IF(Upgrades!$T$19="Microlensing",POWER(Upgrades!$U$19,K65),1)*IF(Upgrades!$T$20="Microlensing",POWER(Upgrades!$U$20,L65),1)*IF(Upgrades!$T$21="Microlensing",POWER(Upgrades!$U$21,M65),1))*POWER(Upgrades!$Q$13,E65)*POWER(Upgrades!$Q$14,F65)*POWER(Upgrades!$Q$15,G65)*POWER(Upgrades!$Q$16,H65)*POWER(Upgrades!$Q$17,I65)*POWER(Upgrades!$Q$18,J65)*POWER(Upgrades!$Q$19,K65)*POWER(Upgrades!$Q$20,L65)*POWER(Upgrades!$Q$21,M65)*$G$6*(Parameters!$B$10*Parameters!$B$11+Q65*60)</f>
        <v/>
      </c>
      <c r="AD65" s="27">
        <f>(IF(H65=0,0,(Upgrades!$M$16+H65*Upgrades!$N$16)*POWER(Upgrades!$O$16,H65)))*(IF(Upgrades!$T$13="Roche Lobe Overflow",POWER(Upgrades!$U$13,E65),1)*IF(Upgrades!$T$14="Roche Lobe Overflow",POWER(Upgrades!$U$14,F65),1)*IF(Upgrades!$T$15="Roche Lobe Overflow",POWER(Upgrades!$U$15,G65),1)*IF(Upgrades!$T$17="Roche Lobe Overflow",POWER(Upgrades!$U$17,I65),1)*IF(Upgrades!$T$18="Roche Lobe Overflow",POWER(Upgrades!$U$18,J65),1)*IF(Upgrades!$T$19="Roche Lobe Overflow",POWER(Upgrades!$U$19,K65),1)*IF(Upgrades!$T$20="Roche Lobe Overflow",POWER(Upgrades!$U$20,L65),1)*IF(Upgrades!$T$21="Roche Lobe Overflow",POWER(Upgrades!$U$21,M65),1))*POWER(Upgrades!$R$13,E65)*POWER(Upgrades!$R$14,F65)*POWER(Upgrades!$R$15,G65)*POWER(Upgrades!$R$16,H65)*POWER(Upgrades!$R$17,I65)*POWER(Upgrades!$R$18,J65)*POWER(Upgrades!$R$19,K65)*POWER(Upgrades!$R$20,L65)*POWER(Upgrades!$R$21,M65)*$H$6*O65*60</f>
        <v/>
      </c>
      <c r="AE65" s="27">
        <f>(IF(I65=0,0,(Upgrades!$G$17+I65*Upgrades!$H$17)*POWER(Upgrades!$I$17,I65)))*(IF(Upgrades!$T$13="Brown Dwarf",POWER(Upgrades!$U$13,E65),1)*IF(Upgrades!$T$14="Brown Dwarf",POWER(Upgrades!$U$14,F65),1)*IF(Upgrades!$T$15="Brown Dwarf",POWER(Upgrades!$U$15,G65),1)*IF(Upgrades!$T$16="Brown Dwarf",POWER(Upgrades!$U$16,H65),1)*IF(Upgrades!$T$18="Brown Dwarf",POWER(Upgrades!$U$18,J65),1)*IF(Upgrades!$T$19="Brown Dwarf",POWER(Upgrades!$U$19,K65),1)*IF(Upgrades!$T$20="Brown Dwarf",POWER(Upgrades!$U$20,L65),1)*IF(Upgrades!$T$21="Brown Dwarf",POWER(Upgrades!$U$21,M65),1))*POWER(Upgrades!$P$13,E65)*POWER(Upgrades!$P$14,F65)*POWER(Upgrades!$P$15,G65)*POWER(Upgrades!$P$16,H65)*POWER(Upgrades!$P$17,I65)*POWER(Upgrades!$P$18,J65)*POWER(Upgrades!$P$19,K65)*POWER(Upgrades!$P$20,L65)*POWER(Upgrades!$P$21,M65)*$F$6*60</f>
        <v/>
      </c>
      <c r="AF65" s="27" t="n">
        <v>0</v>
      </c>
      <c r="AG65" s="27" t="n">
        <v>0</v>
      </c>
      <c r="AH65" s="27" t="n">
        <v>0</v>
      </c>
      <c r="AI65" s="27">
        <f>(IF(M65=0,0,(Upgrades!$G$21+M65*Upgrades!$H$21)*POWER(Upgrades!$I$21,M65)))*(IF(Upgrades!$T$13="Moving Group",POWER(Upgrades!$U$13,E65),1)*IF(Upgrades!$T$14="Moving Group",POWER(Upgrades!$U$14,F65),1)*IF(Upgrades!$T$15="Moving Group",POWER(Upgrades!$U$15,G65),1)*IF(Upgrades!$T$16="Moving Group",POWER(Upgrades!$U$16,H65),1)*IF(Upgrades!$T$17="Moving Group",POWER(Upgrades!$U$17,I65),1)*IF(Upgrades!$T$18="Moving Group",POWER(Upgrades!$U$18,J65),1)*IF(Upgrades!$T$19="Moving Group",POWER(Upgrades!$U$19,K65),1)*IF(Upgrades!$T$20="Moving Group",POWER(Upgrades!$U$20,L65),1))*POWER(Upgrades!$P$13,E65)*POWER(Upgrades!$P$14,F65)*POWER(Upgrades!$P$15,G65)*POWER(Upgrades!$P$16,H65)*POWER(Upgrades!$P$17,I65)*POWER(Upgrades!$P$18,J65)*POWER(Upgrades!$P$19,K65)*POWER(Upgrades!$P$20,L65)*POWER(Upgrades!$P$21,M65)*$F$6*60</f>
        <v/>
      </c>
      <c r="AJ65" s="27">
        <f>$C$6*60</f>
        <v/>
      </c>
      <c r="AK65" s="22">
        <f>IF(E65&gt;=Upgrades!$E$13,"",Upgrades!$C$13*POWER(Upgrades!$D$13,E65))</f>
        <v/>
      </c>
      <c r="AL65" s="22">
        <f>IF(F65&gt;=Upgrades!$E$14,"",Upgrades!$C$14*POWER(Upgrades!$D$14,F65))</f>
        <v/>
      </c>
      <c r="AM65" s="22">
        <f>IF(G65&gt;=Upgrades!$E$15,"",Upgrades!$C$15*POWER(Upgrades!$D$15,G65))</f>
        <v/>
      </c>
      <c r="AN65" s="22">
        <f>IF(H65&gt;=Upgrades!$E$16,"",Upgrades!$C$16*POWER(Upgrades!$D$16,H65))</f>
        <v/>
      </c>
      <c r="AO65" s="22">
        <f>IF(I65&gt;=Upgrades!$E$17,"",Upgrades!$C$17*POWER(Upgrades!$D$17,I65))</f>
        <v/>
      </c>
      <c r="AP65" s="22">
        <f>IF(J65&gt;=Upgrades!$E$18,"",Upgrades!$C$18*POWER(Upgrades!$D$18,J65))</f>
        <v/>
      </c>
      <c r="AQ65" s="22">
        <f>IF(K65&gt;=Upgrades!$E$19,"",Upgrades!$C$19*POWER(Upgrades!$D$19,K65))</f>
        <v/>
      </c>
      <c r="AR65" s="22">
        <f>IF(L65&gt;=Upgrades!$E$20,"",Upgrades!$C$20*POWER(Upgrades!$D$20,L65))</f>
        <v/>
      </c>
      <c r="AS65" s="22">
        <f>IF(M65&gt;=Upgrades!$E$21,"",Upgrades!$C$21*POWER(Upgrades!$D$21,M65))</f>
        <v/>
      </c>
      <c r="AT65" s="26">
        <f>IF(AND(D65&gt;=Parameters!$B$18*Parameters!$B$19,(I65&gt;=Upgrades!$E$17)*(M65&gt;=Upgrades!$E$21)=1,N65=0),1,"")</f>
        <v/>
      </c>
      <c r="AU65" s="26">
        <f>IF(AND(D65&gt;=Parameters!$B$18*Parameters!$B$19,N65=0),1,"")</f>
        <v/>
      </c>
      <c r="AV65" s="22">
        <f>MIN(IF(ISNUMBER(AP65),AP65,9E15),IF(ISNUMBER(AQ65),AQ65,9E15),IF(ISNUMBER(AR65),AR65,9E15),IF(ISNUMBER(AS65),AS65,9E15))</f>
        <v/>
      </c>
      <c r="AW65" s="22">
        <f>MIN(IF(ISNUMBER(AK65),AK65,9E15),IF(ISNUMBER(AL65),AL65,9E15),IF(ISNUMBER(AM65),AM65,9E15),IF(ISNUMBER(AN65),AN65,9E15),IF(ISNUMBER(AO65),AO65,9E15))</f>
        <v/>
      </c>
      <c r="AX65" s="29">
        <f>IF(BD65&gt;Parameters!$B$21*(MAX(IF(AND(NOT(AND(AU65=1,AT65&lt;&gt;1)),ISNUMBER(AK65),AK65&lt;=(C65+T65)),AY65,0),IF(AND(NOT(AND(AU65=1,AT65&lt;&gt;1)),ISNUMBER(AL65),AL65&lt;=(C65+T65)),AZ65,0),IF(AND(NOT(AND(AU65=1,AT65&lt;&gt;1)),ISNUMBER(AM65),AM65&lt;=(C65+T65)),BA65,0),IF(AND(NOT(AND(AU65=1,AT65&lt;&gt;1)),ISNUMBER(AN65),AN65&lt;=(C65+T65)),BB65,0),IF(AND(ISNUMBER(AO65),AO65&lt;=(C65+T65)),BC65,0))),TRUE,FALSE)</f>
        <v/>
      </c>
      <c r="AY65" s="32">
        <f>IFERROR(Upgrades!$H$13*(POWER(Upgrades!$P$13,E65)*POWER(Upgrades!$P$14,F65)*POWER(Upgrades!$P$15,G65)*POWER(Upgrades!$P$16,H65)*POWER(Upgrades!$P$17,I65)*POWER(Upgrades!$P$18,J65)*POWER(Upgrades!$P$19,K65)*POWER(Upgrades!$P$20,L65)*POWER(Upgrades!$P$21,M65))*(IF(Upgrades!$T$14="Stellar Kinematics",POWER(Upgrades!$U$14,F65),1)*IF(Upgrades!$T$15="Stellar Kinematics",POWER(Upgrades!$U$15,G65),1)*IF(Upgrades!$T$16="Stellar Kinematics",POWER(Upgrades!$U$16,H65),1)*IF(Upgrades!$T$17="Stellar Kinematics",POWER(Upgrades!$U$17,I65),1)*IF(Upgrades!$T$18="Stellar Kinematics",POWER(Upgrades!$U$18,J65),1)*IF(Upgrades!$T$19="Stellar Kinematics",POWER(Upgrades!$U$19,K65),1)*IF(Upgrades!$T$20="Stellar Kinematics",POWER(Upgrades!$U$20,L65),1)*IF(Upgrades!$T$21="Stellar Kinematics",POWER(Upgrades!$U$21,M65),1))*$F$6/AK65,0)</f>
        <v/>
      </c>
      <c r="AZ65" s="32">
        <f>IFERROR(Upgrades!$H$14*(POWER(Upgrades!$P$13,E65)*POWER(Upgrades!$P$14,F65)*POWER(Upgrades!$P$15,G65)*POWER(Upgrades!$P$16,H65)*POWER(Upgrades!$P$17,I65)*POWER(Upgrades!$P$18,J65)*POWER(Upgrades!$P$19,K65)*POWER(Upgrades!$P$20,L65)*POWER(Upgrades!$P$21,M65))*(IF(Upgrades!$T$13="Local Bubble",POWER(Upgrades!$U$13,E65),1)*IF(Upgrades!$T$15="Local Bubble",POWER(Upgrades!$U$15,G65),1)*IF(Upgrades!$T$16="Local Bubble",POWER(Upgrades!$U$16,H65),1)*IF(Upgrades!$T$17="Local Bubble",POWER(Upgrades!$U$17,I65),1)*IF(Upgrades!$T$18="Local Bubble",POWER(Upgrades!$U$18,J65),1)*IF(Upgrades!$T$19="Local Bubble",POWER(Upgrades!$U$19,K65),1)*IF(Upgrades!$T$20="Local Bubble",POWER(Upgrades!$U$20,L65),1)*IF(Upgrades!$T$21="Local Bubble",POWER(Upgrades!$U$21,M65),1))*$F$6/AL65,0)</f>
        <v/>
      </c>
      <c r="BA65" s="32">
        <f>IFERROR(Upgrades!$K$15*(POWER(Upgrades!$Q$13,E65)*POWER(Upgrades!$Q$14,F65)*POWER(Upgrades!$Q$15,G65)*POWER(Upgrades!$Q$16,H65)*POWER(Upgrades!$Q$17,I65)*POWER(Upgrades!$Q$18,J65)*POWER(Upgrades!$Q$19,K65)*POWER(Upgrades!$Q$20,L65)*POWER(Upgrades!$Q$21,M65))*(IF(Upgrades!$T$13="Microlensing",POWER(Upgrades!$U$13,E65),1)*IF(Upgrades!$T$14="Microlensing",POWER(Upgrades!$U$14,F65),1)*IF(Upgrades!$T$16="Microlensing",POWER(Upgrades!$U$16,H65),1)*IF(Upgrades!$T$17="Microlensing",POWER(Upgrades!$U$17,I65),1)*IF(Upgrades!$T$18="Microlensing",POWER(Upgrades!$U$18,J65),1)*IF(Upgrades!$T$19="Microlensing",POWER(Upgrades!$U$19,K65),1)*IF(Upgrades!$T$20="Microlensing",POWER(Upgrades!$U$20,L65),1)*IF(Upgrades!$T$21="Microlensing",POWER(Upgrades!$U$21,M65),1))*$G$6*(Parameters!$B$10/60*Parameters!$B$11+Q65)/AM65,0)</f>
        <v/>
      </c>
      <c r="BB65" s="32">
        <f>IFERROR((Upgrades!$N$16*(POWER(Upgrades!$R$13,E65)*POWER(Upgrades!$R$14,F65)*POWER(Upgrades!$R$15,G65)*POWER(Upgrades!$R$16,H65)*POWER(Upgrades!$R$17,I65)*POWER(Upgrades!$R$18,J65)*POWER(Upgrades!$R$19,K65)*POWER(Upgrades!$R$20,L65)*POWER(Upgrades!$R$21,M65))*(IF(Upgrades!$T$13="Roche Lobe Overflow",POWER(Upgrades!$U$13,E65),1)*IF(Upgrades!$T$14="Roche Lobe Overflow",POWER(Upgrades!$U$14,F65),1)*IF(Upgrades!$T$15="Roche Lobe Overflow",POWER(Upgrades!$U$15,G65),1)*IF(Upgrades!$T$17="Roche Lobe Overflow",POWER(Upgrades!$U$17,I65),1)*IF(Upgrades!$T$18="Roche Lobe Overflow",POWER(Upgrades!$U$18,J65),1)*IF(Upgrades!$T$19="Roche Lobe Overflow",POWER(Upgrades!$U$19,K65),1)*IF(Upgrades!$T$20="Roche Lobe Overflow",POWER(Upgrades!$U$20,L65),1)*IF(Upgrades!$T$21="Roche Lobe Overflow",POWER(Upgrades!$U$21,M65),1))*$H$6*O65+((IF(F65=0,0,(Upgrades!$G$14+F65*Upgrades!$H$14)*POWER(Upgrades!$I$14,F65)))*(IF(Upgrades!$T$13="Local Bubble",POWER(Upgrades!$U$13,E65),1)*IF(Upgrades!$T$15="Local Bubble",POWER(Upgrades!$U$15,G65),1)*IF(Upgrades!$T$16="Local Bubble",POWER(Upgrades!$U$16,H65),1)*IF(Upgrades!$T$17="Local Bubble",POWER(Upgrades!$U$17,I65),1)*IF(Upgrades!$T$18="Local Bubble",POWER(Upgrades!$U$18,J65),1)*IF(Upgrades!$T$19="Local Bubble",POWER(Upgrades!$U$19,K65),1)*IF(Upgrades!$T$20="Local Bubble",POWER(Upgrades!$U$20,L65),1)*IF(Upgrades!$T$21="Local Bubble",POWER(Upgrades!$U$21,M65),1))*POWER(Upgrades!$P$13,E65)*POWER(Upgrades!$P$14,F65)*POWER(Upgrades!$P$15,G65)*POWER(Upgrades!$P$16,H65)*POWER(Upgrades!$P$17,I65)*POWER(Upgrades!$P$18,J65)*POWER(Upgrades!$P$19,K65)*POWER(Upgrades!$P$20,L65)*POWER(Upgrades!$P$21,M65)*$F$6)*0.05)/AN65,0)</f>
        <v/>
      </c>
      <c r="BC65" s="32">
        <f>IFERROR((Upgrades!$H$17*(POWER(Upgrades!$P$13,E65)*POWER(Upgrades!$P$14,F65)*POWER(Upgrades!$P$15,G65)*POWER(Upgrades!$P$16,H65)*POWER(Upgrades!$P$17,I65)*POWER(Upgrades!$P$18,J65)*POWER(Upgrades!$P$19,K65)*POWER(Upgrades!$P$20,L65)*POWER(Upgrades!$P$21,M65))*(IF(Upgrades!$T$13="Brown Dwarf",POWER(Upgrades!$U$13,E65),1)*IF(Upgrades!$T$14="Brown Dwarf",POWER(Upgrades!$U$14,F65),1)*IF(Upgrades!$T$15="Brown Dwarf",POWER(Upgrades!$U$15,G65),1)*IF(Upgrades!$T$16="Brown Dwarf",POWER(Upgrades!$U$16,H65),1)*IF(Upgrades!$T$18="Brown Dwarf",POWER(Upgrades!$U$18,J65),1)*IF(Upgrades!$T$19="Brown Dwarf",POWER(Upgrades!$U$19,K65),1)*IF(Upgrades!$T$20="Brown Dwarf",POWER(Upgrades!$U$20,L65),1)*IF(Upgrades!$T$21="Brown Dwarf",POWER(Upgrades!$U$21,M65),1))*$F$6+(((IF(H65=0,0,(Upgrades!$M$16+H65*Upgrades!$N$16)*POWER(Upgrades!$O$16,H65)))*(IF(Upgrades!$T$13="Roche Lobe Overflow",POWER(Upgrades!$U$13,E65),1)*IF(Upgrades!$T$14="Roche Lobe Overflow",POWER(Upgrades!$U$14,F65),1)*IF(Upgrades!$T$15="Roche Lobe Overflow",POWER(Upgrades!$U$15,G65),1)*IF(Upgrades!$T$17="Roche Lobe Overflow",POWER(Upgrades!$U$17,I65),1)*IF(Upgrades!$T$18="Roche Lobe Overflow",POWER(Upgrades!$U$18,J65),1)*IF(Upgrades!$T$19="Roche Lobe Overflow",POWER(Upgrades!$U$19,K65),1)*IF(Upgrades!$T$20="Roche Lobe Overflow",POWER(Upgrades!$U$20,L65),1)*IF(Upgrades!$T$21="Roche Lobe Overflow",POWER(Upgrades!$U$21,M65),1))*POWER(Upgrades!$R$13,E65)*POWER(Upgrades!$R$14,F65)*POWER(Upgrades!$R$15,G65)*POWER(Upgrades!$R$16,H65)*POWER(Upgrades!$R$17,I65)*POWER(Upgrades!$R$18,J65)*POWER(Upgrades!$R$19,K65)*POWER(Upgrades!$R$20,L65)*POWER(Upgrades!$R$21,M65)*$H$6)*O65)*0.10)/AO65,0)</f>
        <v/>
      </c>
      <c r="BD65" s="32">
        <f>MAX(IF(J65&gt;0,0,IFERROR(0.5*((IF(G65=0,0,(Upgrades!$J$15+G65*Upgrades!$K$15)*POWER(Upgrades!$L$15,G65)))*(IF(Upgrades!$T$13="Microlensing",POWER(Upgrades!$U$13,E65),1)*IF(Upgrades!$T$14="Microlensing",POWER(Upgrades!$U$14,F65),1)*IF(Upgrades!$T$16="Microlensing",POWER(Upgrades!$U$16,H65),1)*IF(Upgrades!$T$17="Microlensing",POWER(Upgrades!$U$17,I65),1)*IF(Upgrades!$T$18="Microlensing",POWER(Upgrades!$U$18,J65),1)*IF(Upgrades!$T$19="Microlensing",POWER(Upgrades!$U$19,K65),1)*IF(Upgrades!$T$20="Microlensing",POWER(Upgrades!$U$20,L65),1)*IF(Upgrades!$T$21="Microlensing",POWER(Upgrades!$U$21,M65),1))*(POWER(Upgrades!$Q$13,E65)*POWER(Upgrades!$Q$14,F65)*POWER(Upgrades!$Q$15,G65)*POWER(Upgrades!$Q$16,H65)*POWER(Upgrades!$Q$17,I65)*POWER(Upgrades!$Q$18,J65)*POWER(Upgrades!$Q$19,K65)*POWER(Upgrades!$Q$20,L65)*POWER(Upgrades!$Q$21,M65))*$G$6*(Parameters!$B$10/60*Parameters!$B$11+Q65))/Upgrades!$C$18,0)),IF(K65&gt;0,0,IFERROR(0.30*P65/Upgrades!$C$19,0)),IF(L65&gt;0,0,IFERROR(0.0001/Upgrades!$C$20,0)),IF(M65&gt;0,0,IFERROR((6.0*(POWER(Upgrades!$P$13,E65)*POWER(Upgrades!$P$14,F65)*POWER(Upgrades!$P$15,G65)*POWER(Upgrades!$P$16,H65)*POWER(Upgrades!$P$17,I65)*POWER(Upgrades!$P$18,J65)*POWER(Upgrades!$P$19,K65)*POWER(Upgrades!$P$20,L65)*POWER(Upgrades!$P$21,M65))*$F$6+0.20*O65*(Parameters!$B$10/60*Parameters!$B$11+Q65))/Upgrades!$C$21,0)),IF(AND(ISNUMBER(AK65),AK65&gt;(C65+T65)),AY65,0),IF(AND(ISNUMBER(AL65),AL65&gt;(C65+T65)),AZ65,0),IF(AND(ISNUMBER(AM65),AM65&gt;(C65+T65)),BA65,0),IF(AND(ISNUMBER(AN65),AN65&gt;(C65+T65)),BB65,0),IF(AND(ISNUMBER(AO65),AO65&gt;(C65+T65)),BC65,0))</f>
        <v/>
      </c>
      <c r="BE65" s="29">
        <f>IF(AT65=1,"transition",IF(MIN(IF(AND(J65=0,ISNUMBER(AP65),AP65&lt;=(C65+T65)),AP65,9E15),IF(AND(K65=0,ISNUMBER(AQ65),AQ65&lt;=(C65+T65)),AQ65,9E15),IF(AND(L65=0,ISNUMBER(AR65),AR65&lt;=(C65+T65)),AR65,9E15),IF(AND(M65=0,ISNUMBER(AS65),AS65&lt;=(C65+T65)),AS65,9E15))&lt;9E15,IF(AND(AND(J65=0,ISNUMBER(AP65),AP65&lt;=(C65+T65)),AP65=MIN(IF(AND(J65=0,ISNUMBER(AP65),AP65&lt;=(C65+T65)),AP65,9E15),IF(AND(K65=0,ISNUMBER(AQ65),AQ65&lt;=(C65+T65)),AQ65,9E15),IF(AND(L65=0,ISNUMBER(AR65),AR65&lt;=(C65+T65)),AR65,9E15),IF(AND(M65=0,ISNUMBER(AS65),AS65&lt;=(C65+T65)),AS65,9E15))),"BiP",IF(AND(AND(K65=0,ISNUMBER(AQ65),AQ65&lt;=(C65+T65)),AQ65=MIN(IF(AND(J65=0,ISNUMBER(AP65),AP65&lt;=(C65+T65)),AP65,9E15),IF(AND(K65=0,ISNUMBER(AQ65),AQ65&lt;=(C65+T65)),AQ65,9E15),IF(AND(L65=0,ISNUMBER(AR65),AR65&lt;=(C65+T65)),AR65,9E15),IF(AND(M65=0,ISNUMBER(AS65),AS65&lt;=(C65+T65)),AS65,9E15))),"PV",IF(AND(AND(L65=0,ISNUMBER(AR65),AR65&lt;=(C65+T65)),AR65=MIN(IF(AND(J65=0,ISNUMBER(AP65),AP65&lt;=(C65+T65)),AP65,9E15),IF(AND(K65=0,ISNUMBER(AQ65),AQ65&lt;=(C65+T65)),AQ65,9E15),IF(AND(L65=0,ISNUMBER(AR65),AR65&lt;=(C65+T65)),AR65,9E15),IF(AND(M65=0,ISNUMBER(AS65),AS65&lt;=(C65+T65)),AS65,9E15))),"OC","MG"))),IF(AX65=TRUE,"",IF(MAX(IF(AND(NOT(AND(AU65=1,AT65&lt;&gt;1)),ISNUMBER(AK65),AK65&lt;=(C65+T65)),AY65,0),IF(AND(NOT(AND(AU65=1,AT65&lt;&gt;1)),ISNUMBER(AL65),AL65&lt;=(C65+T65)),AZ65,0),IF(AND(NOT(AND(AU65=1,AT65&lt;&gt;1)),ISNUMBER(AM65),AM65&lt;=(C65+T65)),BA65,0),IF(AND(NOT(AND(AU65=1,AT65&lt;&gt;1)),ISNUMBER(AN65),AN65&lt;=(C65+T65)),BB65,0),IF(AND(ISNUMBER(AO65),AO65&lt;=(C65+T65)),BC65,0))&lt;=0,"",IF(AND(IF(AND(NOT(AND(AU65=1,AT65&lt;&gt;1)),ISNUMBER(AK65),AK65&lt;=(C65+T65)),AY65,0)&gt;0,IF(AND(NOT(AND(AU65=1,AT65&lt;&gt;1)),ISNUMBER(AK65),AK65&lt;=(C65+T65)),AY65,0)=MAX(IF(AND(NOT(AND(AU65=1,AT65&lt;&gt;1)),ISNUMBER(AK65),AK65&lt;=(C65+T65)),AY65,0),IF(AND(NOT(AND(AU65=1,AT65&lt;&gt;1)),ISNUMBER(AL65),AL65&lt;=(C65+T65)),AZ65,0),IF(AND(NOT(AND(AU65=1,AT65&lt;&gt;1)),ISNUMBER(AM65),AM65&lt;=(C65+T65)),BA65,0),IF(AND(NOT(AND(AU65=1,AT65&lt;&gt;1)),ISNUMBER(AN65),AN65&lt;=(C65+T65)),BB65,0),IF(AND(ISNUMBER(AO65),AO65&lt;=(C65+T65)),BC65,0))),"SK",IF(AND(IF(AND(NOT(AND(AU65=1,AT65&lt;&gt;1)),ISNUMBER(AL65),AL65&lt;=(C65+T65)),AZ65,0)&gt;0,IF(AND(NOT(AND(AU65=1,AT65&lt;&gt;1)),ISNUMBER(AL65),AL65&lt;=(C65+T65)),AZ65,0)=MAX(IF(AND(NOT(AND(AU65=1,AT65&lt;&gt;1)),ISNUMBER(AK65),AK65&lt;=(C65+T65)),AY65,0),IF(AND(NOT(AND(AU65=1,AT65&lt;&gt;1)),ISNUMBER(AL65),AL65&lt;=(C65+T65)),AZ65,0),IF(AND(NOT(AND(AU65=1,AT65&lt;&gt;1)),ISNUMBER(AM65),AM65&lt;=(C65+T65)),BA65,0),IF(AND(NOT(AND(AU65=1,AT65&lt;&gt;1)),ISNUMBER(AN65),AN65&lt;=(C65+T65)),BB65,0),IF(AND(ISNUMBER(AO65),AO65&lt;=(C65+T65)),BC65,0))),"LB",IF(AND(IF(AND(NOT(AND(AU65=1,AT65&lt;&gt;1)),ISNUMBER(AM65),AM65&lt;=(C65+T65)),BA65,0)&gt;0,IF(AND(NOT(AND(AU65=1,AT65&lt;&gt;1)),ISNUMBER(AM65),AM65&lt;=(C65+T65)),BA65,0)=MAX(IF(AND(NOT(AND(AU65=1,AT65&lt;&gt;1)),ISNUMBER(AK65),AK65&lt;=(C65+T65)),AY65,0),IF(AND(NOT(AND(AU65=1,AT65&lt;&gt;1)),ISNUMBER(AL65),AL65&lt;=(C65+T65)),AZ65,0),IF(AND(NOT(AND(AU65=1,AT65&lt;&gt;1)),ISNUMBER(AM65),AM65&lt;=(C65+T65)),BA65,0),IF(AND(NOT(AND(AU65=1,AT65&lt;&gt;1)),ISNUMBER(AN65),AN65&lt;=(C65+T65)),BB65,0),IF(AND(ISNUMBER(AO65),AO65&lt;=(C65+T65)),BC65,0))),"ML",IF(AND(IF(AND(NOT(AND(AU65=1,AT65&lt;&gt;1)),ISNUMBER(AN65),AN65&lt;=(C65+T65)),BB65,0)&gt;0,IF(AND(NOT(AND(AU65=1,AT65&lt;&gt;1)),ISNUMBER(AN65),AN65&lt;=(C65+T65)),BB65,0)=MAX(IF(AND(NOT(AND(AU65=1,AT65&lt;&gt;1)),ISNUMBER(AK65),AK65&lt;=(C65+T65)),AY65,0),IF(AND(NOT(AND(AU65=1,AT65&lt;&gt;1)),ISNUMBER(AL65),AL65&lt;=(C65+T65)),AZ65,0),IF(AND(NOT(AND(AU65=1,AT65&lt;&gt;1)),ISNUMBER(AM65),AM65&lt;=(C65+T65)),BA65,0),IF(AND(NOT(AND(AU65=1,AT65&lt;&gt;1)),ISNUMBER(AN65),AN65&lt;=(C65+T65)),BB65,0),IF(AND(ISNUMBER(AO65),AO65&lt;=(C65+T65)),BC65,0))),"RLO","BD"))))))))</f>
        <v/>
      </c>
    </row>
    <row r="66">
      <c r="A66" s="26" t="n">
        <v>55</v>
      </c>
      <c r="B66" s="27">
        <f>A66*10/60</f>
        <v/>
      </c>
      <c r="C66" s="22">
        <f>X65</f>
        <v/>
      </c>
      <c r="D66" s="27">
        <f>D65+W65</f>
        <v/>
      </c>
      <c r="E66" s="26">
        <f>E65+IF(U65="SK",1,0)</f>
        <v/>
      </c>
      <c r="F66" s="26">
        <f>F65+IF(U65="LB",1,0)</f>
        <v/>
      </c>
      <c r="G66" s="26">
        <f>G65+IF(U65="ML",1,0)</f>
        <v/>
      </c>
      <c r="H66" s="26">
        <f>H65+IF(U65="RLO",1,0)</f>
        <v/>
      </c>
      <c r="I66" s="26">
        <f>I65+IF(U65="BD",1,0)</f>
        <v/>
      </c>
      <c r="J66" s="26">
        <f>MAX(J65,IF(U65="BiP",1,0))</f>
        <v/>
      </c>
      <c r="K66" s="26">
        <f>MAX(K65,IF(U65="PV",1,0))</f>
        <v/>
      </c>
      <c r="L66" s="26">
        <f>MAX(L65,IF(U65="OC",1,0))</f>
        <v/>
      </c>
      <c r="M66" s="26">
        <f>MAX(M65,IF(U65="MG",1,0))</f>
        <v/>
      </c>
      <c r="N66" s="26">
        <f>MAX(N65,IF(U65="transition",1,0))</f>
        <v/>
      </c>
      <c r="O66" s="28">
        <f>(Parameters!$B$9+(IF(E66=0,0,(Upgrades!$J$13+E66*Upgrades!$K$13)*POWER(Upgrades!$L$13,E66)))*(IF(Upgrades!$T$14="Stellar Kinematics",POWER(Upgrades!$U$14,F66),1)*IF(Upgrades!$T$15="Stellar Kinematics",POWER(Upgrades!$U$15,G66),1)*IF(Upgrades!$T$16="Stellar Kinematics",POWER(Upgrades!$U$16,H66),1)*IF(Upgrades!$T$17="Stellar Kinematics",POWER(Upgrades!$U$17,I66),1)*IF(Upgrades!$T$18="Stellar Kinematics",POWER(Upgrades!$U$18,J66),1)*IF(Upgrades!$T$19="Stellar Kinematics",POWER(Upgrades!$U$19,K66),1)*IF(Upgrades!$T$20="Stellar Kinematics",POWER(Upgrades!$U$20,L66),1)*IF(Upgrades!$T$21="Stellar Kinematics",POWER(Upgrades!$U$21,M66),1))+(IF(F66=0,0,(Upgrades!$J$14+F66*Upgrades!$K$14)*POWER(Upgrades!$L$14,F66)))*(IF(Upgrades!$T$13="Local Bubble",POWER(Upgrades!$U$13,E66),1)*IF(Upgrades!$T$15="Local Bubble",POWER(Upgrades!$U$15,G66),1)*IF(Upgrades!$T$16="Local Bubble",POWER(Upgrades!$U$16,H66),1)*IF(Upgrades!$T$17="Local Bubble",POWER(Upgrades!$U$17,I66),1)*IF(Upgrades!$T$18="Local Bubble",POWER(Upgrades!$U$18,J66),1)*IF(Upgrades!$T$19="Local Bubble",POWER(Upgrades!$U$19,K66),1)*IF(Upgrades!$T$20="Local Bubble",POWER(Upgrades!$U$20,L66),1)*IF(Upgrades!$T$21="Local Bubble",POWER(Upgrades!$U$21,M66),1))+(IF(G66=0,0,(Upgrades!$J$15+G66*Upgrades!$K$15)*POWER(Upgrades!$L$15,G66)))*(IF(Upgrades!$T$13="Microlensing",POWER(Upgrades!$U$13,E66),1)*IF(Upgrades!$T$14="Microlensing",POWER(Upgrades!$U$14,F66),1)*IF(Upgrades!$T$16="Microlensing",POWER(Upgrades!$U$16,H66),1)*IF(Upgrades!$T$17="Microlensing",POWER(Upgrades!$U$17,I66),1)*IF(Upgrades!$T$18="Microlensing",POWER(Upgrades!$U$18,J66),1)*IF(Upgrades!$T$19="Microlensing",POWER(Upgrades!$U$19,K66),1)*IF(Upgrades!$T$20="Microlensing",POWER(Upgrades!$U$20,L66),1)*IF(Upgrades!$T$21="Microlensing",POWER(Upgrades!$U$21,M66),1))+(IF(H66=0,0,(Upgrades!$J$16+H66*Upgrades!$K$16)*POWER(Upgrades!$L$16,H66)))*(IF(Upgrades!$T$13="Roche Lobe Overflow",POWER(Upgrades!$U$13,E66),1)*IF(Upgrades!$T$14="Roche Lobe Overflow",POWER(Upgrades!$U$14,F66),1)*IF(Upgrades!$T$15="Roche Lobe Overflow",POWER(Upgrades!$U$15,G66),1)*IF(Upgrades!$T$17="Roche Lobe Overflow",POWER(Upgrades!$U$17,I66),1)*IF(Upgrades!$T$18="Roche Lobe Overflow",POWER(Upgrades!$U$18,J66),1)*IF(Upgrades!$T$19="Roche Lobe Overflow",POWER(Upgrades!$U$19,K66),1)*IF(Upgrades!$T$20="Roche Lobe Overflow",POWER(Upgrades!$U$20,L66),1)*IF(Upgrades!$T$21="Roche Lobe Overflow",POWER(Upgrades!$U$21,M66),1))+(IF(I66=0,0,(Upgrades!$J$17+I66*Upgrades!$K$17)*POWER(Upgrades!$L$17,I66)))*(IF(Upgrades!$T$13="Brown Dwarf",POWER(Upgrades!$U$13,E66),1)*IF(Upgrades!$T$14="Brown Dwarf",POWER(Upgrades!$U$14,F66),1)*IF(Upgrades!$T$15="Brown Dwarf",POWER(Upgrades!$U$15,G66),1)*IF(Upgrades!$T$16="Brown Dwarf",POWER(Upgrades!$U$16,H66),1)*IF(Upgrades!$T$18="Brown Dwarf",POWER(Upgrades!$U$18,J66),1)*IF(Upgrades!$T$19="Brown Dwarf",POWER(Upgrades!$U$19,K66),1)*IF(Upgrades!$T$20="Brown Dwarf",POWER(Upgrades!$U$20,L66),1)*IF(Upgrades!$T$21="Brown Dwarf",POWER(Upgrades!$U$21,M66),1))+(IF(J66=0,0,(Upgrades!$J$18+J66*Upgrades!$K$18)*POWER(Upgrades!$L$18,J66)))*(IF(Upgrades!$T$13="Binary Partner",POWER(Upgrades!$U$13,E66),1)*IF(Upgrades!$T$14="Binary Partner",POWER(Upgrades!$U$14,F66),1)*IF(Upgrades!$T$15="Binary Partner",POWER(Upgrades!$U$15,G66),1)*IF(Upgrades!$T$16="Binary Partner",POWER(Upgrades!$U$16,H66),1)*IF(Upgrades!$T$17="Binary Partner",POWER(Upgrades!$U$17,I66),1)*IF(Upgrades!$T$19="Binary Partner",POWER(Upgrades!$U$19,K66),1)*IF(Upgrades!$T$20="Binary Partner",POWER(Upgrades!$U$20,L66),1)*IF(Upgrades!$T$21="Binary Partner",POWER(Upgrades!$U$21,M66),1))+(IF(K66=0,0,(Upgrades!$J$19+K66*Upgrades!$K$19)*POWER(Upgrades!$L$19,K66)))*(IF(Upgrades!$T$13="Peculiar Velocity",POWER(Upgrades!$U$13,E66),1)*IF(Upgrades!$T$14="Peculiar Velocity",POWER(Upgrades!$U$14,F66),1)*IF(Upgrades!$T$15="Peculiar Velocity",POWER(Upgrades!$U$15,G66),1)*IF(Upgrades!$T$16="Peculiar Velocity",POWER(Upgrades!$U$16,H66),1)*IF(Upgrades!$T$17="Peculiar Velocity",POWER(Upgrades!$U$17,I66),1)*IF(Upgrades!$T$18="Peculiar Velocity",POWER(Upgrades!$U$18,J66),1)*IF(Upgrades!$T$20="Peculiar Velocity",POWER(Upgrades!$U$20,L66),1)*IF(Upgrades!$T$21="Peculiar Velocity",POWER(Upgrades!$U$21,M66),1))+(IF(L66=0,0,(Upgrades!$J$20+L66*Upgrades!$K$20)*POWER(Upgrades!$L$20,L66)))*(IF(Upgrades!$T$13="Open Cluster",POWER(Upgrades!$U$13,E66),1)*IF(Upgrades!$T$14="Open Cluster",POWER(Upgrades!$U$14,F66),1)*IF(Upgrades!$T$15="Open Cluster",POWER(Upgrades!$U$15,G66),1)*IF(Upgrades!$T$16="Open Cluster",POWER(Upgrades!$U$16,H66),1)*IF(Upgrades!$T$17="Open Cluster",POWER(Upgrades!$U$17,I66),1)*IF(Upgrades!$T$18="Open Cluster",POWER(Upgrades!$U$18,J66),1)*IF(Upgrades!$T$19="Open Cluster",POWER(Upgrades!$U$19,K66),1)*IF(Upgrades!$T$21="Open Cluster",POWER(Upgrades!$U$21,M66),1))+(IF(M66=0,0,(Upgrades!$J$21+M66*Upgrades!$K$21)*POWER(Upgrades!$L$21,M66)))*(IF(Upgrades!$T$13="Moving Group",POWER(Upgrades!$U$13,E66),1)*IF(Upgrades!$T$14="Moving Group",POWER(Upgrades!$U$14,F66),1)*IF(Upgrades!$T$15="Moving Group",POWER(Upgrades!$U$15,G66),1)*IF(Upgrades!$T$16="Moving Group",POWER(Upgrades!$U$16,H66),1)*IF(Upgrades!$T$17="Moving Group",POWER(Upgrades!$U$17,I66),1)*IF(Upgrades!$T$18="Moving Group",POWER(Upgrades!$U$18,J66),1)*IF(Upgrades!$T$19="Moving Group",POWER(Upgrades!$U$19,K66),1)*IF(Upgrades!$T$20="Moving Group",POWER(Upgrades!$U$20,L66),1)))*POWER(Upgrades!$Q$13,E66)*POWER(Upgrades!$Q$14,F66)*POWER(Upgrades!$Q$15,G66)*POWER(Upgrades!$Q$16,H66)*POWER(Upgrades!$Q$17,I66)*POWER(Upgrades!$Q$18,J66)*POWER(Upgrades!$Q$19,K66)*POWER(Upgrades!$Q$20,L66)*POWER(Upgrades!$Q$21,M66)*$G$6+$D$6</f>
        <v/>
      </c>
      <c r="P66" s="28">
        <f>((IF(E66=0,0,(Upgrades!$G$13+E66*Upgrades!$H$13)*POWER(Upgrades!$I$13,E66)))*(IF(Upgrades!$T$14="Stellar Kinematics",POWER(Upgrades!$U$14,F66),1)*IF(Upgrades!$T$15="Stellar Kinematics",POWER(Upgrades!$U$15,G66),1)*IF(Upgrades!$T$16="Stellar Kinematics",POWER(Upgrades!$U$16,H66),1)*IF(Upgrades!$T$17="Stellar Kinematics",POWER(Upgrades!$U$17,I66),1)*IF(Upgrades!$T$18="Stellar Kinematics",POWER(Upgrades!$U$18,J66),1)*IF(Upgrades!$T$19="Stellar Kinematics",POWER(Upgrades!$U$19,K66),1)*IF(Upgrades!$T$20="Stellar Kinematics",POWER(Upgrades!$U$20,L66),1)*IF(Upgrades!$T$21="Stellar Kinematics",POWER(Upgrades!$U$21,M66),1))+(IF(F66=0,0,(Upgrades!$G$14+F66*Upgrades!$H$14)*POWER(Upgrades!$I$14,F66)))*(IF(Upgrades!$T$13="Local Bubble",POWER(Upgrades!$U$13,E66),1)*IF(Upgrades!$T$15="Local Bubble",POWER(Upgrades!$U$15,G66),1)*IF(Upgrades!$T$16="Local Bubble",POWER(Upgrades!$U$16,H66),1)*IF(Upgrades!$T$17="Local Bubble",POWER(Upgrades!$U$17,I66),1)*IF(Upgrades!$T$18="Local Bubble",POWER(Upgrades!$U$18,J66),1)*IF(Upgrades!$T$19="Local Bubble",POWER(Upgrades!$U$19,K66),1)*IF(Upgrades!$T$20="Local Bubble",POWER(Upgrades!$U$20,L66),1)*IF(Upgrades!$T$21="Local Bubble",POWER(Upgrades!$U$21,M66),1))+(IF(G66=0,0,(Upgrades!$G$15+G66*Upgrades!$H$15)*POWER(Upgrades!$I$15,G66)))*(IF(Upgrades!$T$13="Microlensing",POWER(Upgrades!$U$13,E66),1)*IF(Upgrades!$T$14="Microlensing",POWER(Upgrades!$U$14,F66),1)*IF(Upgrades!$T$16="Microlensing",POWER(Upgrades!$U$16,H66),1)*IF(Upgrades!$T$17="Microlensing",POWER(Upgrades!$U$17,I66),1)*IF(Upgrades!$T$18="Microlensing",POWER(Upgrades!$U$18,J66),1)*IF(Upgrades!$T$19="Microlensing",POWER(Upgrades!$U$19,K66),1)*IF(Upgrades!$T$20="Microlensing",POWER(Upgrades!$U$20,L66),1)*IF(Upgrades!$T$21="Microlensing",POWER(Upgrades!$U$21,M66),1))+(IF(H66=0,0,(Upgrades!$G$16+H66*Upgrades!$H$16)*POWER(Upgrades!$I$16,H66)))*(IF(Upgrades!$T$13="Roche Lobe Overflow",POWER(Upgrades!$U$13,E66),1)*IF(Upgrades!$T$14="Roche Lobe Overflow",POWER(Upgrades!$U$14,F66),1)*IF(Upgrades!$T$15="Roche Lobe Overflow",POWER(Upgrades!$U$15,G66),1)*IF(Upgrades!$T$17="Roche Lobe Overflow",POWER(Upgrades!$U$17,I66),1)*IF(Upgrades!$T$18="Roche Lobe Overflow",POWER(Upgrades!$U$18,J66),1)*IF(Upgrades!$T$19="Roche Lobe Overflow",POWER(Upgrades!$U$19,K66),1)*IF(Upgrades!$T$20="Roche Lobe Overflow",POWER(Upgrades!$U$20,L66),1)*IF(Upgrades!$T$21="Roche Lobe Overflow",POWER(Upgrades!$U$21,M66),1))+(IF(I66=0,0,(Upgrades!$G$17+I66*Upgrades!$H$17)*POWER(Upgrades!$I$17,I66)))*(IF(Upgrades!$T$13="Brown Dwarf",POWER(Upgrades!$U$13,E66),1)*IF(Upgrades!$T$14="Brown Dwarf",POWER(Upgrades!$U$14,F66),1)*IF(Upgrades!$T$15="Brown Dwarf",POWER(Upgrades!$U$15,G66),1)*IF(Upgrades!$T$16="Brown Dwarf",POWER(Upgrades!$U$16,H66),1)*IF(Upgrades!$T$18="Brown Dwarf",POWER(Upgrades!$U$18,J66),1)*IF(Upgrades!$T$19="Brown Dwarf",POWER(Upgrades!$U$19,K66),1)*IF(Upgrades!$T$20="Brown Dwarf",POWER(Upgrades!$U$20,L66),1)*IF(Upgrades!$T$21="Brown Dwarf",POWER(Upgrades!$U$21,M66),1))+(IF(J66=0,0,(Upgrades!$G$18+J66*Upgrades!$H$18)*POWER(Upgrades!$I$18,J66)))*(IF(Upgrades!$T$13="Binary Partner",POWER(Upgrades!$U$13,E66),1)*IF(Upgrades!$T$14="Binary Partner",POWER(Upgrades!$U$14,F66),1)*IF(Upgrades!$T$15="Binary Partner",POWER(Upgrades!$U$15,G66),1)*IF(Upgrades!$T$16="Binary Partner",POWER(Upgrades!$U$16,H66),1)*IF(Upgrades!$T$17="Binary Partner",POWER(Upgrades!$U$17,I66),1)*IF(Upgrades!$T$19="Binary Partner",POWER(Upgrades!$U$19,K66),1)*IF(Upgrades!$T$20="Binary Partner",POWER(Upgrades!$U$20,L66),1)*IF(Upgrades!$T$21="Binary Partner",POWER(Upgrades!$U$21,M66),1))+(IF(K66=0,0,(Upgrades!$G$19+K66*Upgrades!$H$19)*POWER(Upgrades!$I$19,K66)))*(IF(Upgrades!$T$13="Peculiar Velocity",POWER(Upgrades!$U$13,E66),1)*IF(Upgrades!$T$14="Peculiar Velocity",POWER(Upgrades!$U$14,F66),1)*IF(Upgrades!$T$15="Peculiar Velocity",POWER(Upgrades!$U$15,G66),1)*IF(Upgrades!$T$16="Peculiar Velocity",POWER(Upgrades!$U$16,H66),1)*IF(Upgrades!$T$17="Peculiar Velocity",POWER(Upgrades!$U$17,I66),1)*IF(Upgrades!$T$18="Peculiar Velocity",POWER(Upgrades!$U$18,J66),1)*IF(Upgrades!$T$20="Peculiar Velocity",POWER(Upgrades!$U$20,L66),1)*IF(Upgrades!$T$21="Peculiar Velocity",POWER(Upgrades!$U$21,M66),1))+(IF(L66=0,0,(Upgrades!$G$20+L66*Upgrades!$H$20)*POWER(Upgrades!$I$20,L66)))*(IF(Upgrades!$T$13="Open Cluster",POWER(Upgrades!$U$13,E66),1)*IF(Upgrades!$T$14="Open Cluster",POWER(Upgrades!$U$14,F66),1)*IF(Upgrades!$T$15="Open Cluster",POWER(Upgrades!$U$15,G66),1)*IF(Upgrades!$T$16="Open Cluster",POWER(Upgrades!$U$16,H66),1)*IF(Upgrades!$T$17="Open Cluster",POWER(Upgrades!$U$17,I66),1)*IF(Upgrades!$T$18="Open Cluster",POWER(Upgrades!$U$18,J66),1)*IF(Upgrades!$T$19="Open Cluster",POWER(Upgrades!$U$19,K66),1)*IF(Upgrades!$T$21="Open Cluster",POWER(Upgrades!$U$21,M66),1))+(IF(M66=0,0,(Upgrades!$G$21+M66*Upgrades!$H$21)*POWER(Upgrades!$I$21,M66)))*(IF(Upgrades!$T$13="Moving Group",POWER(Upgrades!$U$13,E66),1)*IF(Upgrades!$T$14="Moving Group",POWER(Upgrades!$U$14,F66),1)*IF(Upgrades!$T$15="Moving Group",POWER(Upgrades!$U$15,G66),1)*IF(Upgrades!$T$16="Moving Group",POWER(Upgrades!$U$16,H66),1)*IF(Upgrades!$T$17="Moving Group",POWER(Upgrades!$U$17,I66),1)*IF(Upgrades!$T$18="Moving Group",POWER(Upgrades!$U$18,J66),1)*IF(Upgrades!$T$19="Moving Group",POWER(Upgrades!$U$19,K66),1)*IF(Upgrades!$T$20="Moving Group",POWER(Upgrades!$U$20,L66),1)))*POWER(Upgrades!$P$13,E66)*POWER(Upgrades!$P$14,F66)*POWER(Upgrades!$P$15,G66)*POWER(Upgrades!$P$16,H66)*POWER(Upgrades!$P$17,I66)*POWER(Upgrades!$P$18,J66)*POWER(Upgrades!$P$19,K66)*POWER(Upgrades!$P$20,L66)*POWER(Upgrades!$P$21,M66)*$F$6+$C$6</f>
        <v/>
      </c>
      <c r="Q66" s="28">
        <f>((IF(E66=0,0,(Upgrades!$M$13+E66*Upgrades!$N$13)*POWER(Upgrades!$O$13,E66)))*(IF(Upgrades!$T$14="Stellar Kinematics",POWER(Upgrades!$U$14,F66),1)*IF(Upgrades!$T$15="Stellar Kinematics",POWER(Upgrades!$U$15,G66),1)*IF(Upgrades!$T$16="Stellar Kinematics",POWER(Upgrades!$U$16,H66),1)*IF(Upgrades!$T$17="Stellar Kinematics",POWER(Upgrades!$U$17,I66),1)*IF(Upgrades!$T$18="Stellar Kinematics",POWER(Upgrades!$U$18,J66),1)*IF(Upgrades!$T$19="Stellar Kinematics",POWER(Upgrades!$U$19,K66),1)*IF(Upgrades!$T$20="Stellar Kinematics",POWER(Upgrades!$U$20,L66),1)*IF(Upgrades!$T$21="Stellar Kinematics",POWER(Upgrades!$U$21,M66),1))+(IF(F66=0,0,(Upgrades!$M$14+F66*Upgrades!$N$14)*POWER(Upgrades!$O$14,F66)))*(IF(Upgrades!$T$13="Local Bubble",POWER(Upgrades!$U$13,E66),1)*IF(Upgrades!$T$15="Local Bubble",POWER(Upgrades!$U$15,G66),1)*IF(Upgrades!$T$16="Local Bubble",POWER(Upgrades!$U$16,H66),1)*IF(Upgrades!$T$17="Local Bubble",POWER(Upgrades!$U$17,I66),1)*IF(Upgrades!$T$18="Local Bubble",POWER(Upgrades!$U$18,J66),1)*IF(Upgrades!$T$19="Local Bubble",POWER(Upgrades!$U$19,K66),1)*IF(Upgrades!$T$20="Local Bubble",POWER(Upgrades!$U$20,L66),1)*IF(Upgrades!$T$21="Local Bubble",POWER(Upgrades!$U$21,M66),1))+(IF(G66=0,0,(Upgrades!$M$15+G66*Upgrades!$N$15)*POWER(Upgrades!$O$15,G66)))*(IF(Upgrades!$T$13="Microlensing",POWER(Upgrades!$U$13,E66),1)*IF(Upgrades!$T$14="Microlensing",POWER(Upgrades!$U$14,F66),1)*IF(Upgrades!$T$16="Microlensing",POWER(Upgrades!$U$16,H66),1)*IF(Upgrades!$T$17="Microlensing",POWER(Upgrades!$U$17,I66),1)*IF(Upgrades!$T$18="Microlensing",POWER(Upgrades!$U$18,J66),1)*IF(Upgrades!$T$19="Microlensing",POWER(Upgrades!$U$19,K66),1)*IF(Upgrades!$T$20="Microlensing",POWER(Upgrades!$U$20,L66),1)*IF(Upgrades!$T$21="Microlensing",POWER(Upgrades!$U$21,M66),1))+(IF(H66=0,0,(Upgrades!$M$16+H66*Upgrades!$N$16)*POWER(Upgrades!$O$16,H66)))*(IF(Upgrades!$T$13="Roche Lobe Overflow",POWER(Upgrades!$U$13,E66),1)*IF(Upgrades!$T$14="Roche Lobe Overflow",POWER(Upgrades!$U$14,F66),1)*IF(Upgrades!$T$15="Roche Lobe Overflow",POWER(Upgrades!$U$15,G66),1)*IF(Upgrades!$T$17="Roche Lobe Overflow",POWER(Upgrades!$U$17,I66),1)*IF(Upgrades!$T$18="Roche Lobe Overflow",POWER(Upgrades!$U$18,J66),1)*IF(Upgrades!$T$19="Roche Lobe Overflow",POWER(Upgrades!$U$19,K66),1)*IF(Upgrades!$T$20="Roche Lobe Overflow",POWER(Upgrades!$U$20,L66),1)*IF(Upgrades!$T$21="Roche Lobe Overflow",POWER(Upgrades!$U$21,M66),1))+(IF(I66=0,0,(Upgrades!$M$17+I66*Upgrades!$N$17)*POWER(Upgrades!$O$17,I66)))*(IF(Upgrades!$T$13="Brown Dwarf",POWER(Upgrades!$U$13,E66),1)*IF(Upgrades!$T$14="Brown Dwarf",POWER(Upgrades!$U$14,F66),1)*IF(Upgrades!$T$15="Brown Dwarf",POWER(Upgrades!$U$15,G66),1)*IF(Upgrades!$T$16="Brown Dwarf",POWER(Upgrades!$U$16,H66),1)*IF(Upgrades!$T$18="Brown Dwarf",POWER(Upgrades!$U$18,J66),1)*IF(Upgrades!$T$19="Brown Dwarf",POWER(Upgrades!$U$19,K66),1)*IF(Upgrades!$T$20="Brown Dwarf",POWER(Upgrades!$U$20,L66),1)*IF(Upgrades!$T$21="Brown Dwarf",POWER(Upgrades!$U$21,M66),1))+(IF(J66=0,0,(Upgrades!$M$18+J66*Upgrades!$N$18)*POWER(Upgrades!$O$18,J66)))*(IF(Upgrades!$T$13="Binary Partner",POWER(Upgrades!$U$13,E66),1)*IF(Upgrades!$T$14="Binary Partner",POWER(Upgrades!$U$14,F66),1)*IF(Upgrades!$T$15="Binary Partner",POWER(Upgrades!$U$15,G66),1)*IF(Upgrades!$T$16="Binary Partner",POWER(Upgrades!$U$16,H66),1)*IF(Upgrades!$T$17="Binary Partner",POWER(Upgrades!$U$17,I66),1)*IF(Upgrades!$T$19="Binary Partner",POWER(Upgrades!$U$19,K66),1)*IF(Upgrades!$T$20="Binary Partner",POWER(Upgrades!$U$20,L66),1)*IF(Upgrades!$T$21="Binary Partner",POWER(Upgrades!$U$21,M66),1))+(IF(K66=0,0,(Upgrades!$M$19+K66*Upgrades!$N$19)*POWER(Upgrades!$O$19,K66)))*(IF(Upgrades!$T$13="Peculiar Velocity",POWER(Upgrades!$U$13,E66),1)*IF(Upgrades!$T$14="Peculiar Velocity",POWER(Upgrades!$U$14,F66),1)*IF(Upgrades!$T$15="Peculiar Velocity",POWER(Upgrades!$U$15,G66),1)*IF(Upgrades!$T$16="Peculiar Velocity",POWER(Upgrades!$U$16,H66),1)*IF(Upgrades!$T$17="Peculiar Velocity",POWER(Upgrades!$U$17,I66),1)*IF(Upgrades!$T$18="Peculiar Velocity",POWER(Upgrades!$U$18,J66),1)*IF(Upgrades!$T$20="Peculiar Velocity",POWER(Upgrades!$U$20,L66),1)*IF(Upgrades!$T$21="Peculiar Velocity",POWER(Upgrades!$U$21,M66),1))+(IF(L66=0,0,(Upgrades!$M$20+L66*Upgrades!$N$20)*POWER(Upgrades!$O$20,L66)))*(IF(Upgrades!$T$13="Open Cluster",POWER(Upgrades!$U$13,E66),1)*IF(Upgrades!$T$14="Open Cluster",POWER(Upgrades!$U$14,F66),1)*IF(Upgrades!$T$15="Open Cluster",POWER(Upgrades!$U$15,G66),1)*IF(Upgrades!$T$16="Open Cluster",POWER(Upgrades!$U$16,H66),1)*IF(Upgrades!$T$17="Open Cluster",POWER(Upgrades!$U$17,I66),1)*IF(Upgrades!$T$18="Open Cluster",POWER(Upgrades!$U$18,J66),1)*IF(Upgrades!$T$19="Open Cluster",POWER(Upgrades!$U$19,K66),1)*IF(Upgrades!$T$21="Open Cluster",POWER(Upgrades!$U$21,M66),1))+(IF(M66=0,0,(Upgrades!$M$21+M66*Upgrades!$N$21)*POWER(Upgrades!$O$21,M66)))*(IF(Upgrades!$T$13="Moving Group",POWER(Upgrades!$U$13,E66),1)*IF(Upgrades!$T$14="Moving Group",POWER(Upgrades!$U$14,F66),1)*IF(Upgrades!$T$15="Moving Group",POWER(Upgrades!$U$15,G66),1)*IF(Upgrades!$T$16="Moving Group",POWER(Upgrades!$U$16,H66),1)*IF(Upgrades!$T$17="Moving Group",POWER(Upgrades!$U$17,I66),1)*IF(Upgrades!$T$18="Moving Group",POWER(Upgrades!$U$18,J66),1)*IF(Upgrades!$T$19="Moving Group",POWER(Upgrades!$U$19,K66),1)*IF(Upgrades!$T$20="Moving Group",POWER(Upgrades!$U$20,L66),1)))*POWER(Upgrades!$R$13,E66)*POWER(Upgrades!$R$14,F66)*POWER(Upgrades!$R$15,G66)*POWER(Upgrades!$R$16,H66)*POWER(Upgrades!$R$17,I66)*POWER(Upgrades!$R$18,J66)*POWER(Upgrades!$R$19,K66)*POWER(Upgrades!$R$20,L66)*POWER(Upgrades!$R$21,M66)*$H$6+$E$6</f>
        <v/>
      </c>
      <c r="R66" s="27">
        <f>IF(N66=1,0,O66*Parameters!$B$10/60*Parameters!$B$11*10)</f>
        <v/>
      </c>
      <c r="S66" s="27">
        <f>IF(N66=1,0,Q66*O66*10)</f>
        <v/>
      </c>
      <c r="T66" s="27">
        <f>IF(N66=1,0,R66+S66+P66*10)</f>
        <v/>
      </c>
      <c r="U66" s="33">
        <f>BE66</f>
        <v/>
      </c>
      <c r="V66" s="22">
        <f>IF(U66="",0,IF(U66="transition",0,IF(U66="SK",AK66,IF(U66="LB",AL66,IF(U66="ML",AM66,IF(U66="RLO",AN66,IF(U66="BD",AO66,IF(U66="BiP",AP66,IF(U66="PV",AQ66,IF(U66="OC",AR66,IF(U66="MG",AS66,0))))))))))</f>
        <v/>
      </c>
      <c r="W66" s="27">
        <f>IF(U66="BiP",Upgrades!$F$18,IF(U66="PV",Upgrades!$F$19,IF(U66="OC",Upgrades!$F$20,IF(U66="MG",Upgrades!$F$21,IF(U66="transition",-Parameters!$B$18*Parameters!$B$19,0)))))</f>
        <v/>
      </c>
      <c r="X66" s="22">
        <f>C66+T66-V66</f>
        <v/>
      </c>
      <c r="Y66" s="30">
        <f>O66*Parameters!$B$10/60*Parameters!$B$11+Q66*O66+P66</f>
        <v/>
      </c>
      <c r="Z66" s="34">
        <f>IF(U66="transition","→ Tier 3 (Galactic Arm)",IF(U66="MG","Moving Group — pocket drifts together",IF(U66="OC","Open Cluster acquired",IF(U66="PV","Peculiar Velocity — passive multiplier active",IF(U66="BiP","Binary Partner — pair bond formed",IF(AND(AU66=1,N66=0,AT66&lt;&gt;1),"Cohesion ready (waiting on completionists)","")))))) </f>
        <v/>
      </c>
      <c r="AA66" s="27">
        <f>(IF(E66=0,0,(Upgrades!$G$13+E66*Upgrades!$H$13)*POWER(Upgrades!$I$13,E66)))*(IF(Upgrades!$T$14="Stellar Kinematics",POWER(Upgrades!$U$14,F66),1)*IF(Upgrades!$T$15="Stellar Kinematics",POWER(Upgrades!$U$15,G66),1)*IF(Upgrades!$T$16="Stellar Kinematics",POWER(Upgrades!$U$16,H66),1)*IF(Upgrades!$T$17="Stellar Kinematics",POWER(Upgrades!$U$17,I66),1)*IF(Upgrades!$T$18="Stellar Kinematics",POWER(Upgrades!$U$18,J66),1)*IF(Upgrades!$T$19="Stellar Kinematics",POWER(Upgrades!$U$19,K66),1)*IF(Upgrades!$T$20="Stellar Kinematics",POWER(Upgrades!$U$20,L66),1)*IF(Upgrades!$T$21="Stellar Kinematics",POWER(Upgrades!$U$21,M66),1))*POWER(Upgrades!$P$13,E66)*POWER(Upgrades!$P$14,F66)*POWER(Upgrades!$P$15,G66)*POWER(Upgrades!$P$16,H66)*POWER(Upgrades!$P$17,I66)*POWER(Upgrades!$P$18,J66)*POWER(Upgrades!$P$19,K66)*POWER(Upgrades!$P$20,L66)*POWER(Upgrades!$P$21,M66)*$F$6*60</f>
        <v/>
      </c>
      <c r="AB66" s="27">
        <f>(IF(F66=0,0,(Upgrades!$G$14+F66*Upgrades!$H$14)*POWER(Upgrades!$I$14,F66)))*(IF(Upgrades!$T$13="Local Bubble",POWER(Upgrades!$U$13,E66),1)*IF(Upgrades!$T$15="Local Bubble",POWER(Upgrades!$U$15,G66),1)*IF(Upgrades!$T$16="Local Bubble",POWER(Upgrades!$U$16,H66),1)*IF(Upgrades!$T$17="Local Bubble",POWER(Upgrades!$U$17,I66),1)*IF(Upgrades!$T$18="Local Bubble",POWER(Upgrades!$U$18,J66),1)*IF(Upgrades!$T$19="Local Bubble",POWER(Upgrades!$U$19,K66),1)*IF(Upgrades!$T$20="Local Bubble",POWER(Upgrades!$U$20,L66),1)*IF(Upgrades!$T$21="Local Bubble",POWER(Upgrades!$U$21,M66),1))*POWER(Upgrades!$P$13,E66)*POWER(Upgrades!$P$14,F66)*POWER(Upgrades!$P$15,G66)*POWER(Upgrades!$P$16,H66)*POWER(Upgrades!$P$17,I66)*POWER(Upgrades!$P$18,J66)*POWER(Upgrades!$P$19,K66)*POWER(Upgrades!$P$20,L66)*POWER(Upgrades!$P$21,M66)*$F$6*60</f>
        <v/>
      </c>
      <c r="AC66" s="27">
        <f>(IF(G66=0,0,(Upgrades!$J$15+G66*Upgrades!$K$15)*POWER(Upgrades!$L$15,G66)))*(IF(Upgrades!$T$13="Microlensing",POWER(Upgrades!$U$13,E66),1)*IF(Upgrades!$T$14="Microlensing",POWER(Upgrades!$U$14,F66),1)*IF(Upgrades!$T$16="Microlensing",POWER(Upgrades!$U$16,H66),1)*IF(Upgrades!$T$17="Microlensing",POWER(Upgrades!$U$17,I66),1)*IF(Upgrades!$T$18="Microlensing",POWER(Upgrades!$U$18,J66),1)*IF(Upgrades!$T$19="Microlensing",POWER(Upgrades!$U$19,K66),1)*IF(Upgrades!$T$20="Microlensing",POWER(Upgrades!$U$20,L66),1)*IF(Upgrades!$T$21="Microlensing",POWER(Upgrades!$U$21,M66),1))*POWER(Upgrades!$Q$13,E66)*POWER(Upgrades!$Q$14,F66)*POWER(Upgrades!$Q$15,G66)*POWER(Upgrades!$Q$16,H66)*POWER(Upgrades!$Q$17,I66)*POWER(Upgrades!$Q$18,J66)*POWER(Upgrades!$Q$19,K66)*POWER(Upgrades!$Q$20,L66)*POWER(Upgrades!$Q$21,M66)*$G$6*(Parameters!$B$10*Parameters!$B$11+Q66*60)</f>
        <v/>
      </c>
      <c r="AD66" s="27">
        <f>(IF(H66=0,0,(Upgrades!$M$16+H66*Upgrades!$N$16)*POWER(Upgrades!$O$16,H66)))*(IF(Upgrades!$T$13="Roche Lobe Overflow",POWER(Upgrades!$U$13,E66),1)*IF(Upgrades!$T$14="Roche Lobe Overflow",POWER(Upgrades!$U$14,F66),1)*IF(Upgrades!$T$15="Roche Lobe Overflow",POWER(Upgrades!$U$15,G66),1)*IF(Upgrades!$T$17="Roche Lobe Overflow",POWER(Upgrades!$U$17,I66),1)*IF(Upgrades!$T$18="Roche Lobe Overflow",POWER(Upgrades!$U$18,J66),1)*IF(Upgrades!$T$19="Roche Lobe Overflow",POWER(Upgrades!$U$19,K66),1)*IF(Upgrades!$T$20="Roche Lobe Overflow",POWER(Upgrades!$U$20,L66),1)*IF(Upgrades!$T$21="Roche Lobe Overflow",POWER(Upgrades!$U$21,M66),1))*POWER(Upgrades!$R$13,E66)*POWER(Upgrades!$R$14,F66)*POWER(Upgrades!$R$15,G66)*POWER(Upgrades!$R$16,H66)*POWER(Upgrades!$R$17,I66)*POWER(Upgrades!$R$18,J66)*POWER(Upgrades!$R$19,K66)*POWER(Upgrades!$R$20,L66)*POWER(Upgrades!$R$21,M66)*$H$6*O66*60</f>
        <v/>
      </c>
      <c r="AE66" s="27">
        <f>(IF(I66=0,0,(Upgrades!$G$17+I66*Upgrades!$H$17)*POWER(Upgrades!$I$17,I66)))*(IF(Upgrades!$T$13="Brown Dwarf",POWER(Upgrades!$U$13,E66),1)*IF(Upgrades!$T$14="Brown Dwarf",POWER(Upgrades!$U$14,F66),1)*IF(Upgrades!$T$15="Brown Dwarf",POWER(Upgrades!$U$15,G66),1)*IF(Upgrades!$T$16="Brown Dwarf",POWER(Upgrades!$U$16,H66),1)*IF(Upgrades!$T$18="Brown Dwarf",POWER(Upgrades!$U$18,J66),1)*IF(Upgrades!$T$19="Brown Dwarf",POWER(Upgrades!$U$19,K66),1)*IF(Upgrades!$T$20="Brown Dwarf",POWER(Upgrades!$U$20,L66),1)*IF(Upgrades!$T$21="Brown Dwarf",POWER(Upgrades!$U$21,M66),1))*POWER(Upgrades!$P$13,E66)*POWER(Upgrades!$P$14,F66)*POWER(Upgrades!$P$15,G66)*POWER(Upgrades!$P$16,H66)*POWER(Upgrades!$P$17,I66)*POWER(Upgrades!$P$18,J66)*POWER(Upgrades!$P$19,K66)*POWER(Upgrades!$P$20,L66)*POWER(Upgrades!$P$21,M66)*$F$6*60</f>
        <v/>
      </c>
      <c r="AF66" s="27" t="n">
        <v>0</v>
      </c>
      <c r="AG66" s="27" t="n">
        <v>0</v>
      </c>
      <c r="AH66" s="27" t="n">
        <v>0</v>
      </c>
      <c r="AI66" s="27">
        <f>(IF(M66=0,0,(Upgrades!$G$21+M66*Upgrades!$H$21)*POWER(Upgrades!$I$21,M66)))*(IF(Upgrades!$T$13="Moving Group",POWER(Upgrades!$U$13,E66),1)*IF(Upgrades!$T$14="Moving Group",POWER(Upgrades!$U$14,F66),1)*IF(Upgrades!$T$15="Moving Group",POWER(Upgrades!$U$15,G66),1)*IF(Upgrades!$T$16="Moving Group",POWER(Upgrades!$U$16,H66),1)*IF(Upgrades!$T$17="Moving Group",POWER(Upgrades!$U$17,I66),1)*IF(Upgrades!$T$18="Moving Group",POWER(Upgrades!$U$18,J66),1)*IF(Upgrades!$T$19="Moving Group",POWER(Upgrades!$U$19,K66),1)*IF(Upgrades!$T$20="Moving Group",POWER(Upgrades!$U$20,L66),1))*POWER(Upgrades!$P$13,E66)*POWER(Upgrades!$P$14,F66)*POWER(Upgrades!$P$15,G66)*POWER(Upgrades!$P$16,H66)*POWER(Upgrades!$P$17,I66)*POWER(Upgrades!$P$18,J66)*POWER(Upgrades!$P$19,K66)*POWER(Upgrades!$P$20,L66)*POWER(Upgrades!$P$21,M66)*$F$6*60</f>
        <v/>
      </c>
      <c r="AJ66" s="27">
        <f>$C$6*60</f>
        <v/>
      </c>
      <c r="AK66" s="22">
        <f>IF(E66&gt;=Upgrades!$E$13,"",Upgrades!$C$13*POWER(Upgrades!$D$13,E66))</f>
        <v/>
      </c>
      <c r="AL66" s="22">
        <f>IF(F66&gt;=Upgrades!$E$14,"",Upgrades!$C$14*POWER(Upgrades!$D$14,F66))</f>
        <v/>
      </c>
      <c r="AM66" s="22">
        <f>IF(G66&gt;=Upgrades!$E$15,"",Upgrades!$C$15*POWER(Upgrades!$D$15,G66))</f>
        <v/>
      </c>
      <c r="AN66" s="22">
        <f>IF(H66&gt;=Upgrades!$E$16,"",Upgrades!$C$16*POWER(Upgrades!$D$16,H66))</f>
        <v/>
      </c>
      <c r="AO66" s="22">
        <f>IF(I66&gt;=Upgrades!$E$17,"",Upgrades!$C$17*POWER(Upgrades!$D$17,I66))</f>
        <v/>
      </c>
      <c r="AP66" s="22">
        <f>IF(J66&gt;=Upgrades!$E$18,"",Upgrades!$C$18*POWER(Upgrades!$D$18,J66))</f>
        <v/>
      </c>
      <c r="AQ66" s="22">
        <f>IF(K66&gt;=Upgrades!$E$19,"",Upgrades!$C$19*POWER(Upgrades!$D$19,K66))</f>
        <v/>
      </c>
      <c r="AR66" s="22">
        <f>IF(L66&gt;=Upgrades!$E$20,"",Upgrades!$C$20*POWER(Upgrades!$D$20,L66))</f>
        <v/>
      </c>
      <c r="AS66" s="22">
        <f>IF(M66&gt;=Upgrades!$E$21,"",Upgrades!$C$21*POWER(Upgrades!$D$21,M66))</f>
        <v/>
      </c>
      <c r="AT66" s="26">
        <f>IF(AND(D66&gt;=Parameters!$B$18*Parameters!$B$19,(I66&gt;=Upgrades!$E$17)*(M66&gt;=Upgrades!$E$21)=1,N66=0),1,"")</f>
        <v/>
      </c>
      <c r="AU66" s="26">
        <f>IF(AND(D66&gt;=Parameters!$B$18*Parameters!$B$19,N66=0),1,"")</f>
        <v/>
      </c>
      <c r="AV66" s="22">
        <f>MIN(IF(ISNUMBER(AP66),AP66,9E15),IF(ISNUMBER(AQ66),AQ66,9E15),IF(ISNUMBER(AR66),AR66,9E15),IF(ISNUMBER(AS66),AS66,9E15))</f>
        <v/>
      </c>
      <c r="AW66" s="22">
        <f>MIN(IF(ISNUMBER(AK66),AK66,9E15),IF(ISNUMBER(AL66),AL66,9E15),IF(ISNUMBER(AM66),AM66,9E15),IF(ISNUMBER(AN66),AN66,9E15),IF(ISNUMBER(AO66),AO66,9E15))</f>
        <v/>
      </c>
      <c r="AX66" s="29">
        <f>IF(BD66&gt;Parameters!$B$21*(MAX(IF(AND(NOT(AND(AU66=1,AT66&lt;&gt;1)),ISNUMBER(AK66),AK66&lt;=(C66+T66)),AY66,0),IF(AND(NOT(AND(AU66=1,AT66&lt;&gt;1)),ISNUMBER(AL66),AL66&lt;=(C66+T66)),AZ66,0),IF(AND(NOT(AND(AU66=1,AT66&lt;&gt;1)),ISNUMBER(AM66),AM66&lt;=(C66+T66)),BA66,0),IF(AND(NOT(AND(AU66=1,AT66&lt;&gt;1)),ISNUMBER(AN66),AN66&lt;=(C66+T66)),BB66,0),IF(AND(ISNUMBER(AO66),AO66&lt;=(C66+T66)),BC66,0))),TRUE,FALSE)</f>
        <v/>
      </c>
      <c r="AY66" s="32">
        <f>IFERROR(Upgrades!$H$13*(POWER(Upgrades!$P$13,E66)*POWER(Upgrades!$P$14,F66)*POWER(Upgrades!$P$15,G66)*POWER(Upgrades!$P$16,H66)*POWER(Upgrades!$P$17,I66)*POWER(Upgrades!$P$18,J66)*POWER(Upgrades!$P$19,K66)*POWER(Upgrades!$P$20,L66)*POWER(Upgrades!$P$21,M66))*(IF(Upgrades!$T$14="Stellar Kinematics",POWER(Upgrades!$U$14,F66),1)*IF(Upgrades!$T$15="Stellar Kinematics",POWER(Upgrades!$U$15,G66),1)*IF(Upgrades!$T$16="Stellar Kinematics",POWER(Upgrades!$U$16,H66),1)*IF(Upgrades!$T$17="Stellar Kinematics",POWER(Upgrades!$U$17,I66),1)*IF(Upgrades!$T$18="Stellar Kinematics",POWER(Upgrades!$U$18,J66),1)*IF(Upgrades!$T$19="Stellar Kinematics",POWER(Upgrades!$U$19,K66),1)*IF(Upgrades!$T$20="Stellar Kinematics",POWER(Upgrades!$U$20,L66),1)*IF(Upgrades!$T$21="Stellar Kinematics",POWER(Upgrades!$U$21,M66),1))*$F$6/AK66,0)</f>
        <v/>
      </c>
      <c r="AZ66" s="32">
        <f>IFERROR(Upgrades!$H$14*(POWER(Upgrades!$P$13,E66)*POWER(Upgrades!$P$14,F66)*POWER(Upgrades!$P$15,G66)*POWER(Upgrades!$P$16,H66)*POWER(Upgrades!$P$17,I66)*POWER(Upgrades!$P$18,J66)*POWER(Upgrades!$P$19,K66)*POWER(Upgrades!$P$20,L66)*POWER(Upgrades!$P$21,M66))*(IF(Upgrades!$T$13="Local Bubble",POWER(Upgrades!$U$13,E66),1)*IF(Upgrades!$T$15="Local Bubble",POWER(Upgrades!$U$15,G66),1)*IF(Upgrades!$T$16="Local Bubble",POWER(Upgrades!$U$16,H66),1)*IF(Upgrades!$T$17="Local Bubble",POWER(Upgrades!$U$17,I66),1)*IF(Upgrades!$T$18="Local Bubble",POWER(Upgrades!$U$18,J66),1)*IF(Upgrades!$T$19="Local Bubble",POWER(Upgrades!$U$19,K66),1)*IF(Upgrades!$T$20="Local Bubble",POWER(Upgrades!$U$20,L66),1)*IF(Upgrades!$T$21="Local Bubble",POWER(Upgrades!$U$21,M66),1))*$F$6/AL66,0)</f>
        <v/>
      </c>
      <c r="BA66" s="32">
        <f>IFERROR(Upgrades!$K$15*(POWER(Upgrades!$Q$13,E66)*POWER(Upgrades!$Q$14,F66)*POWER(Upgrades!$Q$15,G66)*POWER(Upgrades!$Q$16,H66)*POWER(Upgrades!$Q$17,I66)*POWER(Upgrades!$Q$18,J66)*POWER(Upgrades!$Q$19,K66)*POWER(Upgrades!$Q$20,L66)*POWER(Upgrades!$Q$21,M66))*(IF(Upgrades!$T$13="Microlensing",POWER(Upgrades!$U$13,E66),1)*IF(Upgrades!$T$14="Microlensing",POWER(Upgrades!$U$14,F66),1)*IF(Upgrades!$T$16="Microlensing",POWER(Upgrades!$U$16,H66),1)*IF(Upgrades!$T$17="Microlensing",POWER(Upgrades!$U$17,I66),1)*IF(Upgrades!$T$18="Microlensing",POWER(Upgrades!$U$18,J66),1)*IF(Upgrades!$T$19="Microlensing",POWER(Upgrades!$U$19,K66),1)*IF(Upgrades!$T$20="Microlensing",POWER(Upgrades!$U$20,L66),1)*IF(Upgrades!$T$21="Microlensing",POWER(Upgrades!$U$21,M66),1))*$G$6*(Parameters!$B$10/60*Parameters!$B$11+Q66)/AM66,0)</f>
        <v/>
      </c>
      <c r="BB66" s="32">
        <f>IFERROR((Upgrades!$N$16*(POWER(Upgrades!$R$13,E66)*POWER(Upgrades!$R$14,F66)*POWER(Upgrades!$R$15,G66)*POWER(Upgrades!$R$16,H66)*POWER(Upgrades!$R$17,I66)*POWER(Upgrades!$R$18,J66)*POWER(Upgrades!$R$19,K66)*POWER(Upgrades!$R$20,L66)*POWER(Upgrades!$R$21,M66))*(IF(Upgrades!$T$13="Roche Lobe Overflow",POWER(Upgrades!$U$13,E66),1)*IF(Upgrades!$T$14="Roche Lobe Overflow",POWER(Upgrades!$U$14,F66),1)*IF(Upgrades!$T$15="Roche Lobe Overflow",POWER(Upgrades!$U$15,G66),1)*IF(Upgrades!$T$17="Roche Lobe Overflow",POWER(Upgrades!$U$17,I66),1)*IF(Upgrades!$T$18="Roche Lobe Overflow",POWER(Upgrades!$U$18,J66),1)*IF(Upgrades!$T$19="Roche Lobe Overflow",POWER(Upgrades!$U$19,K66),1)*IF(Upgrades!$T$20="Roche Lobe Overflow",POWER(Upgrades!$U$20,L66),1)*IF(Upgrades!$T$21="Roche Lobe Overflow",POWER(Upgrades!$U$21,M66),1))*$H$6*O66+((IF(F66=0,0,(Upgrades!$G$14+F66*Upgrades!$H$14)*POWER(Upgrades!$I$14,F66)))*(IF(Upgrades!$T$13="Local Bubble",POWER(Upgrades!$U$13,E66),1)*IF(Upgrades!$T$15="Local Bubble",POWER(Upgrades!$U$15,G66),1)*IF(Upgrades!$T$16="Local Bubble",POWER(Upgrades!$U$16,H66),1)*IF(Upgrades!$T$17="Local Bubble",POWER(Upgrades!$U$17,I66),1)*IF(Upgrades!$T$18="Local Bubble",POWER(Upgrades!$U$18,J66),1)*IF(Upgrades!$T$19="Local Bubble",POWER(Upgrades!$U$19,K66),1)*IF(Upgrades!$T$20="Local Bubble",POWER(Upgrades!$U$20,L66),1)*IF(Upgrades!$T$21="Local Bubble",POWER(Upgrades!$U$21,M66),1))*POWER(Upgrades!$P$13,E66)*POWER(Upgrades!$P$14,F66)*POWER(Upgrades!$P$15,G66)*POWER(Upgrades!$P$16,H66)*POWER(Upgrades!$P$17,I66)*POWER(Upgrades!$P$18,J66)*POWER(Upgrades!$P$19,K66)*POWER(Upgrades!$P$20,L66)*POWER(Upgrades!$P$21,M66)*$F$6)*0.05)/AN66,0)</f>
        <v/>
      </c>
      <c r="BC66" s="32">
        <f>IFERROR((Upgrades!$H$17*(POWER(Upgrades!$P$13,E66)*POWER(Upgrades!$P$14,F66)*POWER(Upgrades!$P$15,G66)*POWER(Upgrades!$P$16,H66)*POWER(Upgrades!$P$17,I66)*POWER(Upgrades!$P$18,J66)*POWER(Upgrades!$P$19,K66)*POWER(Upgrades!$P$20,L66)*POWER(Upgrades!$P$21,M66))*(IF(Upgrades!$T$13="Brown Dwarf",POWER(Upgrades!$U$13,E66),1)*IF(Upgrades!$T$14="Brown Dwarf",POWER(Upgrades!$U$14,F66),1)*IF(Upgrades!$T$15="Brown Dwarf",POWER(Upgrades!$U$15,G66),1)*IF(Upgrades!$T$16="Brown Dwarf",POWER(Upgrades!$U$16,H66),1)*IF(Upgrades!$T$18="Brown Dwarf",POWER(Upgrades!$U$18,J66),1)*IF(Upgrades!$T$19="Brown Dwarf",POWER(Upgrades!$U$19,K66),1)*IF(Upgrades!$T$20="Brown Dwarf",POWER(Upgrades!$U$20,L66),1)*IF(Upgrades!$T$21="Brown Dwarf",POWER(Upgrades!$U$21,M66),1))*$F$6+(((IF(H66=0,0,(Upgrades!$M$16+H66*Upgrades!$N$16)*POWER(Upgrades!$O$16,H66)))*(IF(Upgrades!$T$13="Roche Lobe Overflow",POWER(Upgrades!$U$13,E66),1)*IF(Upgrades!$T$14="Roche Lobe Overflow",POWER(Upgrades!$U$14,F66),1)*IF(Upgrades!$T$15="Roche Lobe Overflow",POWER(Upgrades!$U$15,G66),1)*IF(Upgrades!$T$17="Roche Lobe Overflow",POWER(Upgrades!$U$17,I66),1)*IF(Upgrades!$T$18="Roche Lobe Overflow",POWER(Upgrades!$U$18,J66),1)*IF(Upgrades!$T$19="Roche Lobe Overflow",POWER(Upgrades!$U$19,K66),1)*IF(Upgrades!$T$20="Roche Lobe Overflow",POWER(Upgrades!$U$20,L66),1)*IF(Upgrades!$T$21="Roche Lobe Overflow",POWER(Upgrades!$U$21,M66),1))*POWER(Upgrades!$R$13,E66)*POWER(Upgrades!$R$14,F66)*POWER(Upgrades!$R$15,G66)*POWER(Upgrades!$R$16,H66)*POWER(Upgrades!$R$17,I66)*POWER(Upgrades!$R$18,J66)*POWER(Upgrades!$R$19,K66)*POWER(Upgrades!$R$20,L66)*POWER(Upgrades!$R$21,M66)*$H$6)*O66)*0.10)/AO66,0)</f>
        <v/>
      </c>
      <c r="BD66" s="32">
        <f>MAX(IF(J66&gt;0,0,IFERROR(0.5*((IF(G66=0,0,(Upgrades!$J$15+G66*Upgrades!$K$15)*POWER(Upgrades!$L$15,G66)))*(IF(Upgrades!$T$13="Microlensing",POWER(Upgrades!$U$13,E66),1)*IF(Upgrades!$T$14="Microlensing",POWER(Upgrades!$U$14,F66),1)*IF(Upgrades!$T$16="Microlensing",POWER(Upgrades!$U$16,H66),1)*IF(Upgrades!$T$17="Microlensing",POWER(Upgrades!$U$17,I66),1)*IF(Upgrades!$T$18="Microlensing",POWER(Upgrades!$U$18,J66),1)*IF(Upgrades!$T$19="Microlensing",POWER(Upgrades!$U$19,K66),1)*IF(Upgrades!$T$20="Microlensing",POWER(Upgrades!$U$20,L66),1)*IF(Upgrades!$T$21="Microlensing",POWER(Upgrades!$U$21,M66),1))*(POWER(Upgrades!$Q$13,E66)*POWER(Upgrades!$Q$14,F66)*POWER(Upgrades!$Q$15,G66)*POWER(Upgrades!$Q$16,H66)*POWER(Upgrades!$Q$17,I66)*POWER(Upgrades!$Q$18,J66)*POWER(Upgrades!$Q$19,K66)*POWER(Upgrades!$Q$20,L66)*POWER(Upgrades!$Q$21,M66))*$G$6*(Parameters!$B$10/60*Parameters!$B$11+Q66))/Upgrades!$C$18,0)),IF(K66&gt;0,0,IFERROR(0.30*P66/Upgrades!$C$19,0)),IF(L66&gt;0,0,IFERROR(0.0001/Upgrades!$C$20,0)),IF(M66&gt;0,0,IFERROR((6.0*(POWER(Upgrades!$P$13,E66)*POWER(Upgrades!$P$14,F66)*POWER(Upgrades!$P$15,G66)*POWER(Upgrades!$P$16,H66)*POWER(Upgrades!$P$17,I66)*POWER(Upgrades!$P$18,J66)*POWER(Upgrades!$P$19,K66)*POWER(Upgrades!$P$20,L66)*POWER(Upgrades!$P$21,M66))*$F$6+0.20*O66*(Parameters!$B$10/60*Parameters!$B$11+Q66))/Upgrades!$C$21,0)),IF(AND(ISNUMBER(AK66),AK66&gt;(C66+T66)),AY66,0),IF(AND(ISNUMBER(AL66),AL66&gt;(C66+T66)),AZ66,0),IF(AND(ISNUMBER(AM66),AM66&gt;(C66+T66)),BA66,0),IF(AND(ISNUMBER(AN66),AN66&gt;(C66+T66)),BB66,0),IF(AND(ISNUMBER(AO66),AO66&gt;(C66+T66)),BC66,0))</f>
        <v/>
      </c>
      <c r="BE66" s="29">
        <f>IF(AT66=1,"transition",IF(MIN(IF(AND(J66=0,ISNUMBER(AP66),AP66&lt;=(C66+T66)),AP66,9E15),IF(AND(K66=0,ISNUMBER(AQ66),AQ66&lt;=(C66+T66)),AQ66,9E15),IF(AND(L66=0,ISNUMBER(AR66),AR66&lt;=(C66+T66)),AR66,9E15),IF(AND(M66=0,ISNUMBER(AS66),AS66&lt;=(C66+T66)),AS66,9E15))&lt;9E15,IF(AND(AND(J66=0,ISNUMBER(AP66),AP66&lt;=(C66+T66)),AP66=MIN(IF(AND(J66=0,ISNUMBER(AP66),AP66&lt;=(C66+T66)),AP66,9E15),IF(AND(K66=0,ISNUMBER(AQ66),AQ66&lt;=(C66+T66)),AQ66,9E15),IF(AND(L66=0,ISNUMBER(AR66),AR66&lt;=(C66+T66)),AR66,9E15),IF(AND(M66=0,ISNUMBER(AS66),AS66&lt;=(C66+T66)),AS66,9E15))),"BiP",IF(AND(AND(K66=0,ISNUMBER(AQ66),AQ66&lt;=(C66+T66)),AQ66=MIN(IF(AND(J66=0,ISNUMBER(AP66),AP66&lt;=(C66+T66)),AP66,9E15),IF(AND(K66=0,ISNUMBER(AQ66),AQ66&lt;=(C66+T66)),AQ66,9E15),IF(AND(L66=0,ISNUMBER(AR66),AR66&lt;=(C66+T66)),AR66,9E15),IF(AND(M66=0,ISNUMBER(AS66),AS66&lt;=(C66+T66)),AS66,9E15))),"PV",IF(AND(AND(L66=0,ISNUMBER(AR66),AR66&lt;=(C66+T66)),AR66=MIN(IF(AND(J66=0,ISNUMBER(AP66),AP66&lt;=(C66+T66)),AP66,9E15),IF(AND(K66=0,ISNUMBER(AQ66),AQ66&lt;=(C66+T66)),AQ66,9E15),IF(AND(L66=0,ISNUMBER(AR66),AR66&lt;=(C66+T66)),AR66,9E15),IF(AND(M66=0,ISNUMBER(AS66),AS66&lt;=(C66+T66)),AS66,9E15))),"OC","MG"))),IF(AX66=TRUE,"",IF(MAX(IF(AND(NOT(AND(AU66=1,AT66&lt;&gt;1)),ISNUMBER(AK66),AK66&lt;=(C66+T66)),AY66,0),IF(AND(NOT(AND(AU66=1,AT66&lt;&gt;1)),ISNUMBER(AL66),AL66&lt;=(C66+T66)),AZ66,0),IF(AND(NOT(AND(AU66=1,AT66&lt;&gt;1)),ISNUMBER(AM66),AM66&lt;=(C66+T66)),BA66,0),IF(AND(NOT(AND(AU66=1,AT66&lt;&gt;1)),ISNUMBER(AN66),AN66&lt;=(C66+T66)),BB66,0),IF(AND(ISNUMBER(AO66),AO66&lt;=(C66+T66)),BC66,0))&lt;=0,"",IF(AND(IF(AND(NOT(AND(AU66=1,AT66&lt;&gt;1)),ISNUMBER(AK66),AK66&lt;=(C66+T66)),AY66,0)&gt;0,IF(AND(NOT(AND(AU66=1,AT66&lt;&gt;1)),ISNUMBER(AK66),AK66&lt;=(C66+T66)),AY66,0)=MAX(IF(AND(NOT(AND(AU66=1,AT66&lt;&gt;1)),ISNUMBER(AK66),AK66&lt;=(C66+T66)),AY66,0),IF(AND(NOT(AND(AU66=1,AT66&lt;&gt;1)),ISNUMBER(AL66),AL66&lt;=(C66+T66)),AZ66,0),IF(AND(NOT(AND(AU66=1,AT66&lt;&gt;1)),ISNUMBER(AM66),AM66&lt;=(C66+T66)),BA66,0),IF(AND(NOT(AND(AU66=1,AT66&lt;&gt;1)),ISNUMBER(AN66),AN66&lt;=(C66+T66)),BB66,0),IF(AND(ISNUMBER(AO66),AO66&lt;=(C66+T66)),BC66,0))),"SK",IF(AND(IF(AND(NOT(AND(AU66=1,AT66&lt;&gt;1)),ISNUMBER(AL66),AL66&lt;=(C66+T66)),AZ66,0)&gt;0,IF(AND(NOT(AND(AU66=1,AT66&lt;&gt;1)),ISNUMBER(AL66),AL66&lt;=(C66+T66)),AZ66,0)=MAX(IF(AND(NOT(AND(AU66=1,AT66&lt;&gt;1)),ISNUMBER(AK66),AK66&lt;=(C66+T66)),AY66,0),IF(AND(NOT(AND(AU66=1,AT66&lt;&gt;1)),ISNUMBER(AL66),AL66&lt;=(C66+T66)),AZ66,0),IF(AND(NOT(AND(AU66=1,AT66&lt;&gt;1)),ISNUMBER(AM66),AM66&lt;=(C66+T66)),BA66,0),IF(AND(NOT(AND(AU66=1,AT66&lt;&gt;1)),ISNUMBER(AN66),AN66&lt;=(C66+T66)),BB66,0),IF(AND(ISNUMBER(AO66),AO66&lt;=(C66+T66)),BC66,0))),"LB",IF(AND(IF(AND(NOT(AND(AU66=1,AT66&lt;&gt;1)),ISNUMBER(AM66),AM66&lt;=(C66+T66)),BA66,0)&gt;0,IF(AND(NOT(AND(AU66=1,AT66&lt;&gt;1)),ISNUMBER(AM66),AM66&lt;=(C66+T66)),BA66,0)=MAX(IF(AND(NOT(AND(AU66=1,AT66&lt;&gt;1)),ISNUMBER(AK66),AK66&lt;=(C66+T66)),AY66,0),IF(AND(NOT(AND(AU66=1,AT66&lt;&gt;1)),ISNUMBER(AL66),AL66&lt;=(C66+T66)),AZ66,0),IF(AND(NOT(AND(AU66=1,AT66&lt;&gt;1)),ISNUMBER(AM66),AM66&lt;=(C66+T66)),BA66,0),IF(AND(NOT(AND(AU66=1,AT66&lt;&gt;1)),ISNUMBER(AN66),AN66&lt;=(C66+T66)),BB66,0),IF(AND(ISNUMBER(AO66),AO66&lt;=(C66+T66)),BC66,0))),"ML",IF(AND(IF(AND(NOT(AND(AU66=1,AT66&lt;&gt;1)),ISNUMBER(AN66),AN66&lt;=(C66+T66)),BB66,0)&gt;0,IF(AND(NOT(AND(AU66=1,AT66&lt;&gt;1)),ISNUMBER(AN66),AN66&lt;=(C66+T66)),BB66,0)=MAX(IF(AND(NOT(AND(AU66=1,AT66&lt;&gt;1)),ISNUMBER(AK66),AK66&lt;=(C66+T66)),AY66,0),IF(AND(NOT(AND(AU66=1,AT66&lt;&gt;1)),ISNUMBER(AL66),AL66&lt;=(C66+T66)),AZ66,0),IF(AND(NOT(AND(AU66=1,AT66&lt;&gt;1)),ISNUMBER(AM66),AM66&lt;=(C66+T66)),BA66,0),IF(AND(NOT(AND(AU66=1,AT66&lt;&gt;1)),ISNUMBER(AN66),AN66&lt;=(C66+T66)),BB66,0),IF(AND(ISNUMBER(AO66),AO66&lt;=(C66+T66)),BC66,0))),"RLO","BD"))))))))</f>
        <v/>
      </c>
    </row>
    <row r="67">
      <c r="A67" s="26" t="n">
        <v>56</v>
      </c>
      <c r="B67" s="27">
        <f>A67*10/60</f>
        <v/>
      </c>
      <c r="C67" s="22">
        <f>X66</f>
        <v/>
      </c>
      <c r="D67" s="27">
        <f>D66+W66</f>
        <v/>
      </c>
      <c r="E67" s="26">
        <f>E66+IF(U66="SK",1,0)</f>
        <v/>
      </c>
      <c r="F67" s="26">
        <f>F66+IF(U66="LB",1,0)</f>
        <v/>
      </c>
      <c r="G67" s="26">
        <f>G66+IF(U66="ML",1,0)</f>
        <v/>
      </c>
      <c r="H67" s="26">
        <f>H66+IF(U66="RLO",1,0)</f>
        <v/>
      </c>
      <c r="I67" s="26">
        <f>I66+IF(U66="BD",1,0)</f>
        <v/>
      </c>
      <c r="J67" s="26">
        <f>MAX(J66,IF(U66="BiP",1,0))</f>
        <v/>
      </c>
      <c r="K67" s="26">
        <f>MAX(K66,IF(U66="PV",1,0))</f>
        <v/>
      </c>
      <c r="L67" s="26">
        <f>MAX(L66,IF(U66="OC",1,0))</f>
        <v/>
      </c>
      <c r="M67" s="26">
        <f>MAX(M66,IF(U66="MG",1,0))</f>
        <v/>
      </c>
      <c r="N67" s="26">
        <f>MAX(N66,IF(U66="transition",1,0))</f>
        <v/>
      </c>
      <c r="O67" s="28">
        <f>(Parameters!$B$9+(IF(E67=0,0,(Upgrades!$J$13+E67*Upgrades!$K$13)*POWER(Upgrades!$L$13,E67)))*(IF(Upgrades!$T$14="Stellar Kinematics",POWER(Upgrades!$U$14,F67),1)*IF(Upgrades!$T$15="Stellar Kinematics",POWER(Upgrades!$U$15,G67),1)*IF(Upgrades!$T$16="Stellar Kinematics",POWER(Upgrades!$U$16,H67),1)*IF(Upgrades!$T$17="Stellar Kinematics",POWER(Upgrades!$U$17,I67),1)*IF(Upgrades!$T$18="Stellar Kinematics",POWER(Upgrades!$U$18,J67),1)*IF(Upgrades!$T$19="Stellar Kinematics",POWER(Upgrades!$U$19,K67),1)*IF(Upgrades!$T$20="Stellar Kinematics",POWER(Upgrades!$U$20,L67),1)*IF(Upgrades!$T$21="Stellar Kinematics",POWER(Upgrades!$U$21,M67),1))+(IF(F67=0,0,(Upgrades!$J$14+F67*Upgrades!$K$14)*POWER(Upgrades!$L$14,F67)))*(IF(Upgrades!$T$13="Local Bubble",POWER(Upgrades!$U$13,E67),1)*IF(Upgrades!$T$15="Local Bubble",POWER(Upgrades!$U$15,G67),1)*IF(Upgrades!$T$16="Local Bubble",POWER(Upgrades!$U$16,H67),1)*IF(Upgrades!$T$17="Local Bubble",POWER(Upgrades!$U$17,I67),1)*IF(Upgrades!$T$18="Local Bubble",POWER(Upgrades!$U$18,J67),1)*IF(Upgrades!$T$19="Local Bubble",POWER(Upgrades!$U$19,K67),1)*IF(Upgrades!$T$20="Local Bubble",POWER(Upgrades!$U$20,L67),1)*IF(Upgrades!$T$21="Local Bubble",POWER(Upgrades!$U$21,M67),1))+(IF(G67=0,0,(Upgrades!$J$15+G67*Upgrades!$K$15)*POWER(Upgrades!$L$15,G67)))*(IF(Upgrades!$T$13="Microlensing",POWER(Upgrades!$U$13,E67),1)*IF(Upgrades!$T$14="Microlensing",POWER(Upgrades!$U$14,F67),1)*IF(Upgrades!$T$16="Microlensing",POWER(Upgrades!$U$16,H67),1)*IF(Upgrades!$T$17="Microlensing",POWER(Upgrades!$U$17,I67),1)*IF(Upgrades!$T$18="Microlensing",POWER(Upgrades!$U$18,J67),1)*IF(Upgrades!$T$19="Microlensing",POWER(Upgrades!$U$19,K67),1)*IF(Upgrades!$T$20="Microlensing",POWER(Upgrades!$U$20,L67),1)*IF(Upgrades!$T$21="Microlensing",POWER(Upgrades!$U$21,M67),1))+(IF(H67=0,0,(Upgrades!$J$16+H67*Upgrades!$K$16)*POWER(Upgrades!$L$16,H67)))*(IF(Upgrades!$T$13="Roche Lobe Overflow",POWER(Upgrades!$U$13,E67),1)*IF(Upgrades!$T$14="Roche Lobe Overflow",POWER(Upgrades!$U$14,F67),1)*IF(Upgrades!$T$15="Roche Lobe Overflow",POWER(Upgrades!$U$15,G67),1)*IF(Upgrades!$T$17="Roche Lobe Overflow",POWER(Upgrades!$U$17,I67),1)*IF(Upgrades!$T$18="Roche Lobe Overflow",POWER(Upgrades!$U$18,J67),1)*IF(Upgrades!$T$19="Roche Lobe Overflow",POWER(Upgrades!$U$19,K67),1)*IF(Upgrades!$T$20="Roche Lobe Overflow",POWER(Upgrades!$U$20,L67),1)*IF(Upgrades!$T$21="Roche Lobe Overflow",POWER(Upgrades!$U$21,M67),1))+(IF(I67=0,0,(Upgrades!$J$17+I67*Upgrades!$K$17)*POWER(Upgrades!$L$17,I67)))*(IF(Upgrades!$T$13="Brown Dwarf",POWER(Upgrades!$U$13,E67),1)*IF(Upgrades!$T$14="Brown Dwarf",POWER(Upgrades!$U$14,F67),1)*IF(Upgrades!$T$15="Brown Dwarf",POWER(Upgrades!$U$15,G67),1)*IF(Upgrades!$T$16="Brown Dwarf",POWER(Upgrades!$U$16,H67),1)*IF(Upgrades!$T$18="Brown Dwarf",POWER(Upgrades!$U$18,J67),1)*IF(Upgrades!$T$19="Brown Dwarf",POWER(Upgrades!$U$19,K67),1)*IF(Upgrades!$T$20="Brown Dwarf",POWER(Upgrades!$U$20,L67),1)*IF(Upgrades!$T$21="Brown Dwarf",POWER(Upgrades!$U$21,M67),1))+(IF(J67=0,0,(Upgrades!$J$18+J67*Upgrades!$K$18)*POWER(Upgrades!$L$18,J67)))*(IF(Upgrades!$T$13="Binary Partner",POWER(Upgrades!$U$13,E67),1)*IF(Upgrades!$T$14="Binary Partner",POWER(Upgrades!$U$14,F67),1)*IF(Upgrades!$T$15="Binary Partner",POWER(Upgrades!$U$15,G67),1)*IF(Upgrades!$T$16="Binary Partner",POWER(Upgrades!$U$16,H67),1)*IF(Upgrades!$T$17="Binary Partner",POWER(Upgrades!$U$17,I67),1)*IF(Upgrades!$T$19="Binary Partner",POWER(Upgrades!$U$19,K67),1)*IF(Upgrades!$T$20="Binary Partner",POWER(Upgrades!$U$20,L67),1)*IF(Upgrades!$T$21="Binary Partner",POWER(Upgrades!$U$21,M67),1))+(IF(K67=0,0,(Upgrades!$J$19+K67*Upgrades!$K$19)*POWER(Upgrades!$L$19,K67)))*(IF(Upgrades!$T$13="Peculiar Velocity",POWER(Upgrades!$U$13,E67),1)*IF(Upgrades!$T$14="Peculiar Velocity",POWER(Upgrades!$U$14,F67),1)*IF(Upgrades!$T$15="Peculiar Velocity",POWER(Upgrades!$U$15,G67),1)*IF(Upgrades!$T$16="Peculiar Velocity",POWER(Upgrades!$U$16,H67),1)*IF(Upgrades!$T$17="Peculiar Velocity",POWER(Upgrades!$U$17,I67),1)*IF(Upgrades!$T$18="Peculiar Velocity",POWER(Upgrades!$U$18,J67),1)*IF(Upgrades!$T$20="Peculiar Velocity",POWER(Upgrades!$U$20,L67),1)*IF(Upgrades!$T$21="Peculiar Velocity",POWER(Upgrades!$U$21,M67),1))+(IF(L67=0,0,(Upgrades!$J$20+L67*Upgrades!$K$20)*POWER(Upgrades!$L$20,L67)))*(IF(Upgrades!$T$13="Open Cluster",POWER(Upgrades!$U$13,E67),1)*IF(Upgrades!$T$14="Open Cluster",POWER(Upgrades!$U$14,F67),1)*IF(Upgrades!$T$15="Open Cluster",POWER(Upgrades!$U$15,G67),1)*IF(Upgrades!$T$16="Open Cluster",POWER(Upgrades!$U$16,H67),1)*IF(Upgrades!$T$17="Open Cluster",POWER(Upgrades!$U$17,I67),1)*IF(Upgrades!$T$18="Open Cluster",POWER(Upgrades!$U$18,J67),1)*IF(Upgrades!$T$19="Open Cluster",POWER(Upgrades!$U$19,K67),1)*IF(Upgrades!$T$21="Open Cluster",POWER(Upgrades!$U$21,M67),1))+(IF(M67=0,0,(Upgrades!$J$21+M67*Upgrades!$K$21)*POWER(Upgrades!$L$21,M67)))*(IF(Upgrades!$T$13="Moving Group",POWER(Upgrades!$U$13,E67),1)*IF(Upgrades!$T$14="Moving Group",POWER(Upgrades!$U$14,F67),1)*IF(Upgrades!$T$15="Moving Group",POWER(Upgrades!$U$15,G67),1)*IF(Upgrades!$T$16="Moving Group",POWER(Upgrades!$U$16,H67),1)*IF(Upgrades!$T$17="Moving Group",POWER(Upgrades!$U$17,I67),1)*IF(Upgrades!$T$18="Moving Group",POWER(Upgrades!$U$18,J67),1)*IF(Upgrades!$T$19="Moving Group",POWER(Upgrades!$U$19,K67),1)*IF(Upgrades!$T$20="Moving Group",POWER(Upgrades!$U$20,L67),1)))*POWER(Upgrades!$Q$13,E67)*POWER(Upgrades!$Q$14,F67)*POWER(Upgrades!$Q$15,G67)*POWER(Upgrades!$Q$16,H67)*POWER(Upgrades!$Q$17,I67)*POWER(Upgrades!$Q$18,J67)*POWER(Upgrades!$Q$19,K67)*POWER(Upgrades!$Q$20,L67)*POWER(Upgrades!$Q$21,M67)*$G$6+$D$6</f>
        <v/>
      </c>
      <c r="P67" s="28">
        <f>((IF(E67=0,0,(Upgrades!$G$13+E67*Upgrades!$H$13)*POWER(Upgrades!$I$13,E67)))*(IF(Upgrades!$T$14="Stellar Kinematics",POWER(Upgrades!$U$14,F67),1)*IF(Upgrades!$T$15="Stellar Kinematics",POWER(Upgrades!$U$15,G67),1)*IF(Upgrades!$T$16="Stellar Kinematics",POWER(Upgrades!$U$16,H67),1)*IF(Upgrades!$T$17="Stellar Kinematics",POWER(Upgrades!$U$17,I67),1)*IF(Upgrades!$T$18="Stellar Kinematics",POWER(Upgrades!$U$18,J67),1)*IF(Upgrades!$T$19="Stellar Kinematics",POWER(Upgrades!$U$19,K67),1)*IF(Upgrades!$T$20="Stellar Kinematics",POWER(Upgrades!$U$20,L67),1)*IF(Upgrades!$T$21="Stellar Kinematics",POWER(Upgrades!$U$21,M67),1))+(IF(F67=0,0,(Upgrades!$G$14+F67*Upgrades!$H$14)*POWER(Upgrades!$I$14,F67)))*(IF(Upgrades!$T$13="Local Bubble",POWER(Upgrades!$U$13,E67),1)*IF(Upgrades!$T$15="Local Bubble",POWER(Upgrades!$U$15,G67),1)*IF(Upgrades!$T$16="Local Bubble",POWER(Upgrades!$U$16,H67),1)*IF(Upgrades!$T$17="Local Bubble",POWER(Upgrades!$U$17,I67),1)*IF(Upgrades!$T$18="Local Bubble",POWER(Upgrades!$U$18,J67),1)*IF(Upgrades!$T$19="Local Bubble",POWER(Upgrades!$U$19,K67),1)*IF(Upgrades!$T$20="Local Bubble",POWER(Upgrades!$U$20,L67),1)*IF(Upgrades!$T$21="Local Bubble",POWER(Upgrades!$U$21,M67),1))+(IF(G67=0,0,(Upgrades!$G$15+G67*Upgrades!$H$15)*POWER(Upgrades!$I$15,G67)))*(IF(Upgrades!$T$13="Microlensing",POWER(Upgrades!$U$13,E67),1)*IF(Upgrades!$T$14="Microlensing",POWER(Upgrades!$U$14,F67),1)*IF(Upgrades!$T$16="Microlensing",POWER(Upgrades!$U$16,H67),1)*IF(Upgrades!$T$17="Microlensing",POWER(Upgrades!$U$17,I67),1)*IF(Upgrades!$T$18="Microlensing",POWER(Upgrades!$U$18,J67),1)*IF(Upgrades!$T$19="Microlensing",POWER(Upgrades!$U$19,K67),1)*IF(Upgrades!$T$20="Microlensing",POWER(Upgrades!$U$20,L67),1)*IF(Upgrades!$T$21="Microlensing",POWER(Upgrades!$U$21,M67),1))+(IF(H67=0,0,(Upgrades!$G$16+H67*Upgrades!$H$16)*POWER(Upgrades!$I$16,H67)))*(IF(Upgrades!$T$13="Roche Lobe Overflow",POWER(Upgrades!$U$13,E67),1)*IF(Upgrades!$T$14="Roche Lobe Overflow",POWER(Upgrades!$U$14,F67),1)*IF(Upgrades!$T$15="Roche Lobe Overflow",POWER(Upgrades!$U$15,G67),1)*IF(Upgrades!$T$17="Roche Lobe Overflow",POWER(Upgrades!$U$17,I67),1)*IF(Upgrades!$T$18="Roche Lobe Overflow",POWER(Upgrades!$U$18,J67),1)*IF(Upgrades!$T$19="Roche Lobe Overflow",POWER(Upgrades!$U$19,K67),1)*IF(Upgrades!$T$20="Roche Lobe Overflow",POWER(Upgrades!$U$20,L67),1)*IF(Upgrades!$T$21="Roche Lobe Overflow",POWER(Upgrades!$U$21,M67),1))+(IF(I67=0,0,(Upgrades!$G$17+I67*Upgrades!$H$17)*POWER(Upgrades!$I$17,I67)))*(IF(Upgrades!$T$13="Brown Dwarf",POWER(Upgrades!$U$13,E67),1)*IF(Upgrades!$T$14="Brown Dwarf",POWER(Upgrades!$U$14,F67),1)*IF(Upgrades!$T$15="Brown Dwarf",POWER(Upgrades!$U$15,G67),1)*IF(Upgrades!$T$16="Brown Dwarf",POWER(Upgrades!$U$16,H67),1)*IF(Upgrades!$T$18="Brown Dwarf",POWER(Upgrades!$U$18,J67),1)*IF(Upgrades!$T$19="Brown Dwarf",POWER(Upgrades!$U$19,K67),1)*IF(Upgrades!$T$20="Brown Dwarf",POWER(Upgrades!$U$20,L67),1)*IF(Upgrades!$T$21="Brown Dwarf",POWER(Upgrades!$U$21,M67),1))+(IF(J67=0,0,(Upgrades!$G$18+J67*Upgrades!$H$18)*POWER(Upgrades!$I$18,J67)))*(IF(Upgrades!$T$13="Binary Partner",POWER(Upgrades!$U$13,E67),1)*IF(Upgrades!$T$14="Binary Partner",POWER(Upgrades!$U$14,F67),1)*IF(Upgrades!$T$15="Binary Partner",POWER(Upgrades!$U$15,G67),1)*IF(Upgrades!$T$16="Binary Partner",POWER(Upgrades!$U$16,H67),1)*IF(Upgrades!$T$17="Binary Partner",POWER(Upgrades!$U$17,I67),1)*IF(Upgrades!$T$19="Binary Partner",POWER(Upgrades!$U$19,K67),1)*IF(Upgrades!$T$20="Binary Partner",POWER(Upgrades!$U$20,L67),1)*IF(Upgrades!$T$21="Binary Partner",POWER(Upgrades!$U$21,M67),1))+(IF(K67=0,0,(Upgrades!$G$19+K67*Upgrades!$H$19)*POWER(Upgrades!$I$19,K67)))*(IF(Upgrades!$T$13="Peculiar Velocity",POWER(Upgrades!$U$13,E67),1)*IF(Upgrades!$T$14="Peculiar Velocity",POWER(Upgrades!$U$14,F67),1)*IF(Upgrades!$T$15="Peculiar Velocity",POWER(Upgrades!$U$15,G67),1)*IF(Upgrades!$T$16="Peculiar Velocity",POWER(Upgrades!$U$16,H67),1)*IF(Upgrades!$T$17="Peculiar Velocity",POWER(Upgrades!$U$17,I67),1)*IF(Upgrades!$T$18="Peculiar Velocity",POWER(Upgrades!$U$18,J67),1)*IF(Upgrades!$T$20="Peculiar Velocity",POWER(Upgrades!$U$20,L67),1)*IF(Upgrades!$T$21="Peculiar Velocity",POWER(Upgrades!$U$21,M67),1))+(IF(L67=0,0,(Upgrades!$G$20+L67*Upgrades!$H$20)*POWER(Upgrades!$I$20,L67)))*(IF(Upgrades!$T$13="Open Cluster",POWER(Upgrades!$U$13,E67),1)*IF(Upgrades!$T$14="Open Cluster",POWER(Upgrades!$U$14,F67),1)*IF(Upgrades!$T$15="Open Cluster",POWER(Upgrades!$U$15,G67),1)*IF(Upgrades!$T$16="Open Cluster",POWER(Upgrades!$U$16,H67),1)*IF(Upgrades!$T$17="Open Cluster",POWER(Upgrades!$U$17,I67),1)*IF(Upgrades!$T$18="Open Cluster",POWER(Upgrades!$U$18,J67),1)*IF(Upgrades!$T$19="Open Cluster",POWER(Upgrades!$U$19,K67),1)*IF(Upgrades!$T$21="Open Cluster",POWER(Upgrades!$U$21,M67),1))+(IF(M67=0,0,(Upgrades!$G$21+M67*Upgrades!$H$21)*POWER(Upgrades!$I$21,M67)))*(IF(Upgrades!$T$13="Moving Group",POWER(Upgrades!$U$13,E67),1)*IF(Upgrades!$T$14="Moving Group",POWER(Upgrades!$U$14,F67),1)*IF(Upgrades!$T$15="Moving Group",POWER(Upgrades!$U$15,G67),1)*IF(Upgrades!$T$16="Moving Group",POWER(Upgrades!$U$16,H67),1)*IF(Upgrades!$T$17="Moving Group",POWER(Upgrades!$U$17,I67),1)*IF(Upgrades!$T$18="Moving Group",POWER(Upgrades!$U$18,J67),1)*IF(Upgrades!$T$19="Moving Group",POWER(Upgrades!$U$19,K67),1)*IF(Upgrades!$T$20="Moving Group",POWER(Upgrades!$U$20,L67),1)))*POWER(Upgrades!$P$13,E67)*POWER(Upgrades!$P$14,F67)*POWER(Upgrades!$P$15,G67)*POWER(Upgrades!$P$16,H67)*POWER(Upgrades!$P$17,I67)*POWER(Upgrades!$P$18,J67)*POWER(Upgrades!$P$19,K67)*POWER(Upgrades!$P$20,L67)*POWER(Upgrades!$P$21,M67)*$F$6+$C$6</f>
        <v/>
      </c>
      <c r="Q67" s="28">
        <f>((IF(E67=0,0,(Upgrades!$M$13+E67*Upgrades!$N$13)*POWER(Upgrades!$O$13,E67)))*(IF(Upgrades!$T$14="Stellar Kinematics",POWER(Upgrades!$U$14,F67),1)*IF(Upgrades!$T$15="Stellar Kinematics",POWER(Upgrades!$U$15,G67),1)*IF(Upgrades!$T$16="Stellar Kinematics",POWER(Upgrades!$U$16,H67),1)*IF(Upgrades!$T$17="Stellar Kinematics",POWER(Upgrades!$U$17,I67),1)*IF(Upgrades!$T$18="Stellar Kinematics",POWER(Upgrades!$U$18,J67),1)*IF(Upgrades!$T$19="Stellar Kinematics",POWER(Upgrades!$U$19,K67),1)*IF(Upgrades!$T$20="Stellar Kinematics",POWER(Upgrades!$U$20,L67),1)*IF(Upgrades!$T$21="Stellar Kinematics",POWER(Upgrades!$U$21,M67),1))+(IF(F67=0,0,(Upgrades!$M$14+F67*Upgrades!$N$14)*POWER(Upgrades!$O$14,F67)))*(IF(Upgrades!$T$13="Local Bubble",POWER(Upgrades!$U$13,E67),1)*IF(Upgrades!$T$15="Local Bubble",POWER(Upgrades!$U$15,G67),1)*IF(Upgrades!$T$16="Local Bubble",POWER(Upgrades!$U$16,H67),1)*IF(Upgrades!$T$17="Local Bubble",POWER(Upgrades!$U$17,I67),1)*IF(Upgrades!$T$18="Local Bubble",POWER(Upgrades!$U$18,J67),1)*IF(Upgrades!$T$19="Local Bubble",POWER(Upgrades!$U$19,K67),1)*IF(Upgrades!$T$20="Local Bubble",POWER(Upgrades!$U$20,L67),1)*IF(Upgrades!$T$21="Local Bubble",POWER(Upgrades!$U$21,M67),1))+(IF(G67=0,0,(Upgrades!$M$15+G67*Upgrades!$N$15)*POWER(Upgrades!$O$15,G67)))*(IF(Upgrades!$T$13="Microlensing",POWER(Upgrades!$U$13,E67),1)*IF(Upgrades!$T$14="Microlensing",POWER(Upgrades!$U$14,F67),1)*IF(Upgrades!$T$16="Microlensing",POWER(Upgrades!$U$16,H67),1)*IF(Upgrades!$T$17="Microlensing",POWER(Upgrades!$U$17,I67),1)*IF(Upgrades!$T$18="Microlensing",POWER(Upgrades!$U$18,J67),1)*IF(Upgrades!$T$19="Microlensing",POWER(Upgrades!$U$19,K67),1)*IF(Upgrades!$T$20="Microlensing",POWER(Upgrades!$U$20,L67),1)*IF(Upgrades!$T$21="Microlensing",POWER(Upgrades!$U$21,M67),1))+(IF(H67=0,0,(Upgrades!$M$16+H67*Upgrades!$N$16)*POWER(Upgrades!$O$16,H67)))*(IF(Upgrades!$T$13="Roche Lobe Overflow",POWER(Upgrades!$U$13,E67),1)*IF(Upgrades!$T$14="Roche Lobe Overflow",POWER(Upgrades!$U$14,F67),1)*IF(Upgrades!$T$15="Roche Lobe Overflow",POWER(Upgrades!$U$15,G67),1)*IF(Upgrades!$T$17="Roche Lobe Overflow",POWER(Upgrades!$U$17,I67),1)*IF(Upgrades!$T$18="Roche Lobe Overflow",POWER(Upgrades!$U$18,J67),1)*IF(Upgrades!$T$19="Roche Lobe Overflow",POWER(Upgrades!$U$19,K67),1)*IF(Upgrades!$T$20="Roche Lobe Overflow",POWER(Upgrades!$U$20,L67),1)*IF(Upgrades!$T$21="Roche Lobe Overflow",POWER(Upgrades!$U$21,M67),1))+(IF(I67=0,0,(Upgrades!$M$17+I67*Upgrades!$N$17)*POWER(Upgrades!$O$17,I67)))*(IF(Upgrades!$T$13="Brown Dwarf",POWER(Upgrades!$U$13,E67),1)*IF(Upgrades!$T$14="Brown Dwarf",POWER(Upgrades!$U$14,F67),1)*IF(Upgrades!$T$15="Brown Dwarf",POWER(Upgrades!$U$15,G67),1)*IF(Upgrades!$T$16="Brown Dwarf",POWER(Upgrades!$U$16,H67),1)*IF(Upgrades!$T$18="Brown Dwarf",POWER(Upgrades!$U$18,J67),1)*IF(Upgrades!$T$19="Brown Dwarf",POWER(Upgrades!$U$19,K67),1)*IF(Upgrades!$T$20="Brown Dwarf",POWER(Upgrades!$U$20,L67),1)*IF(Upgrades!$T$21="Brown Dwarf",POWER(Upgrades!$U$21,M67),1))+(IF(J67=0,0,(Upgrades!$M$18+J67*Upgrades!$N$18)*POWER(Upgrades!$O$18,J67)))*(IF(Upgrades!$T$13="Binary Partner",POWER(Upgrades!$U$13,E67),1)*IF(Upgrades!$T$14="Binary Partner",POWER(Upgrades!$U$14,F67),1)*IF(Upgrades!$T$15="Binary Partner",POWER(Upgrades!$U$15,G67),1)*IF(Upgrades!$T$16="Binary Partner",POWER(Upgrades!$U$16,H67),1)*IF(Upgrades!$T$17="Binary Partner",POWER(Upgrades!$U$17,I67),1)*IF(Upgrades!$T$19="Binary Partner",POWER(Upgrades!$U$19,K67),1)*IF(Upgrades!$T$20="Binary Partner",POWER(Upgrades!$U$20,L67),1)*IF(Upgrades!$T$21="Binary Partner",POWER(Upgrades!$U$21,M67),1))+(IF(K67=0,0,(Upgrades!$M$19+K67*Upgrades!$N$19)*POWER(Upgrades!$O$19,K67)))*(IF(Upgrades!$T$13="Peculiar Velocity",POWER(Upgrades!$U$13,E67),1)*IF(Upgrades!$T$14="Peculiar Velocity",POWER(Upgrades!$U$14,F67),1)*IF(Upgrades!$T$15="Peculiar Velocity",POWER(Upgrades!$U$15,G67),1)*IF(Upgrades!$T$16="Peculiar Velocity",POWER(Upgrades!$U$16,H67),1)*IF(Upgrades!$T$17="Peculiar Velocity",POWER(Upgrades!$U$17,I67),1)*IF(Upgrades!$T$18="Peculiar Velocity",POWER(Upgrades!$U$18,J67),1)*IF(Upgrades!$T$20="Peculiar Velocity",POWER(Upgrades!$U$20,L67),1)*IF(Upgrades!$T$21="Peculiar Velocity",POWER(Upgrades!$U$21,M67),1))+(IF(L67=0,0,(Upgrades!$M$20+L67*Upgrades!$N$20)*POWER(Upgrades!$O$20,L67)))*(IF(Upgrades!$T$13="Open Cluster",POWER(Upgrades!$U$13,E67),1)*IF(Upgrades!$T$14="Open Cluster",POWER(Upgrades!$U$14,F67),1)*IF(Upgrades!$T$15="Open Cluster",POWER(Upgrades!$U$15,G67),1)*IF(Upgrades!$T$16="Open Cluster",POWER(Upgrades!$U$16,H67),1)*IF(Upgrades!$T$17="Open Cluster",POWER(Upgrades!$U$17,I67),1)*IF(Upgrades!$T$18="Open Cluster",POWER(Upgrades!$U$18,J67),1)*IF(Upgrades!$T$19="Open Cluster",POWER(Upgrades!$U$19,K67),1)*IF(Upgrades!$T$21="Open Cluster",POWER(Upgrades!$U$21,M67),1))+(IF(M67=0,0,(Upgrades!$M$21+M67*Upgrades!$N$21)*POWER(Upgrades!$O$21,M67)))*(IF(Upgrades!$T$13="Moving Group",POWER(Upgrades!$U$13,E67),1)*IF(Upgrades!$T$14="Moving Group",POWER(Upgrades!$U$14,F67),1)*IF(Upgrades!$T$15="Moving Group",POWER(Upgrades!$U$15,G67),1)*IF(Upgrades!$T$16="Moving Group",POWER(Upgrades!$U$16,H67),1)*IF(Upgrades!$T$17="Moving Group",POWER(Upgrades!$U$17,I67),1)*IF(Upgrades!$T$18="Moving Group",POWER(Upgrades!$U$18,J67),1)*IF(Upgrades!$T$19="Moving Group",POWER(Upgrades!$U$19,K67),1)*IF(Upgrades!$T$20="Moving Group",POWER(Upgrades!$U$20,L67),1)))*POWER(Upgrades!$R$13,E67)*POWER(Upgrades!$R$14,F67)*POWER(Upgrades!$R$15,G67)*POWER(Upgrades!$R$16,H67)*POWER(Upgrades!$R$17,I67)*POWER(Upgrades!$R$18,J67)*POWER(Upgrades!$R$19,K67)*POWER(Upgrades!$R$20,L67)*POWER(Upgrades!$R$21,M67)*$H$6+$E$6</f>
        <v/>
      </c>
      <c r="R67" s="27">
        <f>IF(N67=1,0,O67*Parameters!$B$10/60*Parameters!$B$11*10)</f>
        <v/>
      </c>
      <c r="S67" s="27">
        <f>IF(N67=1,0,Q67*O67*10)</f>
        <v/>
      </c>
      <c r="T67" s="27">
        <f>IF(N67=1,0,R67+S67+P67*10)</f>
        <v/>
      </c>
      <c r="U67" s="33">
        <f>BE67</f>
        <v/>
      </c>
      <c r="V67" s="22">
        <f>IF(U67="",0,IF(U67="transition",0,IF(U67="SK",AK67,IF(U67="LB",AL67,IF(U67="ML",AM67,IF(U67="RLO",AN67,IF(U67="BD",AO67,IF(U67="BiP",AP67,IF(U67="PV",AQ67,IF(U67="OC",AR67,IF(U67="MG",AS67,0))))))))))</f>
        <v/>
      </c>
      <c r="W67" s="27">
        <f>IF(U67="BiP",Upgrades!$F$18,IF(U67="PV",Upgrades!$F$19,IF(U67="OC",Upgrades!$F$20,IF(U67="MG",Upgrades!$F$21,IF(U67="transition",-Parameters!$B$18*Parameters!$B$19,0)))))</f>
        <v/>
      </c>
      <c r="X67" s="22">
        <f>C67+T67-V67</f>
        <v/>
      </c>
      <c r="Y67" s="30">
        <f>O67*Parameters!$B$10/60*Parameters!$B$11+Q67*O67+P67</f>
        <v/>
      </c>
      <c r="Z67" s="34">
        <f>IF(U67="transition","→ Tier 3 (Galactic Arm)",IF(U67="MG","Moving Group — pocket drifts together",IF(U67="OC","Open Cluster acquired",IF(U67="PV","Peculiar Velocity — passive multiplier active",IF(U67="BiP","Binary Partner — pair bond formed",IF(AND(AU67=1,N67=0,AT67&lt;&gt;1),"Cohesion ready (waiting on completionists)","")))))) </f>
        <v/>
      </c>
      <c r="AA67" s="27">
        <f>(IF(E67=0,0,(Upgrades!$G$13+E67*Upgrades!$H$13)*POWER(Upgrades!$I$13,E67)))*(IF(Upgrades!$T$14="Stellar Kinematics",POWER(Upgrades!$U$14,F67),1)*IF(Upgrades!$T$15="Stellar Kinematics",POWER(Upgrades!$U$15,G67),1)*IF(Upgrades!$T$16="Stellar Kinematics",POWER(Upgrades!$U$16,H67),1)*IF(Upgrades!$T$17="Stellar Kinematics",POWER(Upgrades!$U$17,I67),1)*IF(Upgrades!$T$18="Stellar Kinematics",POWER(Upgrades!$U$18,J67),1)*IF(Upgrades!$T$19="Stellar Kinematics",POWER(Upgrades!$U$19,K67),1)*IF(Upgrades!$T$20="Stellar Kinematics",POWER(Upgrades!$U$20,L67),1)*IF(Upgrades!$T$21="Stellar Kinematics",POWER(Upgrades!$U$21,M67),1))*POWER(Upgrades!$P$13,E67)*POWER(Upgrades!$P$14,F67)*POWER(Upgrades!$P$15,G67)*POWER(Upgrades!$P$16,H67)*POWER(Upgrades!$P$17,I67)*POWER(Upgrades!$P$18,J67)*POWER(Upgrades!$P$19,K67)*POWER(Upgrades!$P$20,L67)*POWER(Upgrades!$P$21,M67)*$F$6*60</f>
        <v/>
      </c>
      <c r="AB67" s="27">
        <f>(IF(F67=0,0,(Upgrades!$G$14+F67*Upgrades!$H$14)*POWER(Upgrades!$I$14,F67)))*(IF(Upgrades!$T$13="Local Bubble",POWER(Upgrades!$U$13,E67),1)*IF(Upgrades!$T$15="Local Bubble",POWER(Upgrades!$U$15,G67),1)*IF(Upgrades!$T$16="Local Bubble",POWER(Upgrades!$U$16,H67),1)*IF(Upgrades!$T$17="Local Bubble",POWER(Upgrades!$U$17,I67),1)*IF(Upgrades!$T$18="Local Bubble",POWER(Upgrades!$U$18,J67),1)*IF(Upgrades!$T$19="Local Bubble",POWER(Upgrades!$U$19,K67),1)*IF(Upgrades!$T$20="Local Bubble",POWER(Upgrades!$U$20,L67),1)*IF(Upgrades!$T$21="Local Bubble",POWER(Upgrades!$U$21,M67),1))*POWER(Upgrades!$P$13,E67)*POWER(Upgrades!$P$14,F67)*POWER(Upgrades!$P$15,G67)*POWER(Upgrades!$P$16,H67)*POWER(Upgrades!$P$17,I67)*POWER(Upgrades!$P$18,J67)*POWER(Upgrades!$P$19,K67)*POWER(Upgrades!$P$20,L67)*POWER(Upgrades!$P$21,M67)*$F$6*60</f>
        <v/>
      </c>
      <c r="AC67" s="27">
        <f>(IF(G67=0,0,(Upgrades!$J$15+G67*Upgrades!$K$15)*POWER(Upgrades!$L$15,G67)))*(IF(Upgrades!$T$13="Microlensing",POWER(Upgrades!$U$13,E67),1)*IF(Upgrades!$T$14="Microlensing",POWER(Upgrades!$U$14,F67),1)*IF(Upgrades!$T$16="Microlensing",POWER(Upgrades!$U$16,H67),1)*IF(Upgrades!$T$17="Microlensing",POWER(Upgrades!$U$17,I67),1)*IF(Upgrades!$T$18="Microlensing",POWER(Upgrades!$U$18,J67),1)*IF(Upgrades!$T$19="Microlensing",POWER(Upgrades!$U$19,K67),1)*IF(Upgrades!$T$20="Microlensing",POWER(Upgrades!$U$20,L67),1)*IF(Upgrades!$T$21="Microlensing",POWER(Upgrades!$U$21,M67),1))*POWER(Upgrades!$Q$13,E67)*POWER(Upgrades!$Q$14,F67)*POWER(Upgrades!$Q$15,G67)*POWER(Upgrades!$Q$16,H67)*POWER(Upgrades!$Q$17,I67)*POWER(Upgrades!$Q$18,J67)*POWER(Upgrades!$Q$19,K67)*POWER(Upgrades!$Q$20,L67)*POWER(Upgrades!$Q$21,M67)*$G$6*(Parameters!$B$10*Parameters!$B$11+Q67*60)</f>
        <v/>
      </c>
      <c r="AD67" s="27">
        <f>(IF(H67=0,0,(Upgrades!$M$16+H67*Upgrades!$N$16)*POWER(Upgrades!$O$16,H67)))*(IF(Upgrades!$T$13="Roche Lobe Overflow",POWER(Upgrades!$U$13,E67),1)*IF(Upgrades!$T$14="Roche Lobe Overflow",POWER(Upgrades!$U$14,F67),1)*IF(Upgrades!$T$15="Roche Lobe Overflow",POWER(Upgrades!$U$15,G67),1)*IF(Upgrades!$T$17="Roche Lobe Overflow",POWER(Upgrades!$U$17,I67),1)*IF(Upgrades!$T$18="Roche Lobe Overflow",POWER(Upgrades!$U$18,J67),1)*IF(Upgrades!$T$19="Roche Lobe Overflow",POWER(Upgrades!$U$19,K67),1)*IF(Upgrades!$T$20="Roche Lobe Overflow",POWER(Upgrades!$U$20,L67),1)*IF(Upgrades!$T$21="Roche Lobe Overflow",POWER(Upgrades!$U$21,M67),1))*POWER(Upgrades!$R$13,E67)*POWER(Upgrades!$R$14,F67)*POWER(Upgrades!$R$15,G67)*POWER(Upgrades!$R$16,H67)*POWER(Upgrades!$R$17,I67)*POWER(Upgrades!$R$18,J67)*POWER(Upgrades!$R$19,K67)*POWER(Upgrades!$R$20,L67)*POWER(Upgrades!$R$21,M67)*$H$6*O67*60</f>
        <v/>
      </c>
      <c r="AE67" s="27">
        <f>(IF(I67=0,0,(Upgrades!$G$17+I67*Upgrades!$H$17)*POWER(Upgrades!$I$17,I67)))*(IF(Upgrades!$T$13="Brown Dwarf",POWER(Upgrades!$U$13,E67),1)*IF(Upgrades!$T$14="Brown Dwarf",POWER(Upgrades!$U$14,F67),1)*IF(Upgrades!$T$15="Brown Dwarf",POWER(Upgrades!$U$15,G67),1)*IF(Upgrades!$T$16="Brown Dwarf",POWER(Upgrades!$U$16,H67),1)*IF(Upgrades!$T$18="Brown Dwarf",POWER(Upgrades!$U$18,J67),1)*IF(Upgrades!$T$19="Brown Dwarf",POWER(Upgrades!$U$19,K67),1)*IF(Upgrades!$T$20="Brown Dwarf",POWER(Upgrades!$U$20,L67),1)*IF(Upgrades!$T$21="Brown Dwarf",POWER(Upgrades!$U$21,M67),1))*POWER(Upgrades!$P$13,E67)*POWER(Upgrades!$P$14,F67)*POWER(Upgrades!$P$15,G67)*POWER(Upgrades!$P$16,H67)*POWER(Upgrades!$P$17,I67)*POWER(Upgrades!$P$18,J67)*POWER(Upgrades!$P$19,K67)*POWER(Upgrades!$P$20,L67)*POWER(Upgrades!$P$21,M67)*$F$6*60</f>
        <v/>
      </c>
      <c r="AF67" s="27" t="n">
        <v>0</v>
      </c>
      <c r="AG67" s="27" t="n">
        <v>0</v>
      </c>
      <c r="AH67" s="27" t="n">
        <v>0</v>
      </c>
      <c r="AI67" s="27">
        <f>(IF(M67=0,0,(Upgrades!$G$21+M67*Upgrades!$H$21)*POWER(Upgrades!$I$21,M67)))*(IF(Upgrades!$T$13="Moving Group",POWER(Upgrades!$U$13,E67),1)*IF(Upgrades!$T$14="Moving Group",POWER(Upgrades!$U$14,F67),1)*IF(Upgrades!$T$15="Moving Group",POWER(Upgrades!$U$15,G67),1)*IF(Upgrades!$T$16="Moving Group",POWER(Upgrades!$U$16,H67),1)*IF(Upgrades!$T$17="Moving Group",POWER(Upgrades!$U$17,I67),1)*IF(Upgrades!$T$18="Moving Group",POWER(Upgrades!$U$18,J67),1)*IF(Upgrades!$T$19="Moving Group",POWER(Upgrades!$U$19,K67),1)*IF(Upgrades!$T$20="Moving Group",POWER(Upgrades!$U$20,L67),1))*POWER(Upgrades!$P$13,E67)*POWER(Upgrades!$P$14,F67)*POWER(Upgrades!$P$15,G67)*POWER(Upgrades!$P$16,H67)*POWER(Upgrades!$P$17,I67)*POWER(Upgrades!$P$18,J67)*POWER(Upgrades!$P$19,K67)*POWER(Upgrades!$P$20,L67)*POWER(Upgrades!$P$21,M67)*$F$6*60</f>
        <v/>
      </c>
      <c r="AJ67" s="27">
        <f>$C$6*60</f>
        <v/>
      </c>
      <c r="AK67" s="22">
        <f>IF(E67&gt;=Upgrades!$E$13,"",Upgrades!$C$13*POWER(Upgrades!$D$13,E67))</f>
        <v/>
      </c>
      <c r="AL67" s="22">
        <f>IF(F67&gt;=Upgrades!$E$14,"",Upgrades!$C$14*POWER(Upgrades!$D$14,F67))</f>
        <v/>
      </c>
      <c r="AM67" s="22">
        <f>IF(G67&gt;=Upgrades!$E$15,"",Upgrades!$C$15*POWER(Upgrades!$D$15,G67))</f>
        <v/>
      </c>
      <c r="AN67" s="22">
        <f>IF(H67&gt;=Upgrades!$E$16,"",Upgrades!$C$16*POWER(Upgrades!$D$16,H67))</f>
        <v/>
      </c>
      <c r="AO67" s="22">
        <f>IF(I67&gt;=Upgrades!$E$17,"",Upgrades!$C$17*POWER(Upgrades!$D$17,I67))</f>
        <v/>
      </c>
      <c r="AP67" s="22">
        <f>IF(J67&gt;=Upgrades!$E$18,"",Upgrades!$C$18*POWER(Upgrades!$D$18,J67))</f>
        <v/>
      </c>
      <c r="AQ67" s="22">
        <f>IF(K67&gt;=Upgrades!$E$19,"",Upgrades!$C$19*POWER(Upgrades!$D$19,K67))</f>
        <v/>
      </c>
      <c r="AR67" s="22">
        <f>IF(L67&gt;=Upgrades!$E$20,"",Upgrades!$C$20*POWER(Upgrades!$D$20,L67))</f>
        <v/>
      </c>
      <c r="AS67" s="22">
        <f>IF(M67&gt;=Upgrades!$E$21,"",Upgrades!$C$21*POWER(Upgrades!$D$21,M67))</f>
        <v/>
      </c>
      <c r="AT67" s="26">
        <f>IF(AND(D67&gt;=Parameters!$B$18*Parameters!$B$19,(I67&gt;=Upgrades!$E$17)*(M67&gt;=Upgrades!$E$21)=1,N67=0),1,"")</f>
        <v/>
      </c>
      <c r="AU67" s="26">
        <f>IF(AND(D67&gt;=Parameters!$B$18*Parameters!$B$19,N67=0),1,"")</f>
        <v/>
      </c>
      <c r="AV67" s="22">
        <f>MIN(IF(ISNUMBER(AP67),AP67,9E15),IF(ISNUMBER(AQ67),AQ67,9E15),IF(ISNUMBER(AR67),AR67,9E15),IF(ISNUMBER(AS67),AS67,9E15))</f>
        <v/>
      </c>
      <c r="AW67" s="22">
        <f>MIN(IF(ISNUMBER(AK67),AK67,9E15),IF(ISNUMBER(AL67),AL67,9E15),IF(ISNUMBER(AM67),AM67,9E15),IF(ISNUMBER(AN67),AN67,9E15),IF(ISNUMBER(AO67),AO67,9E15))</f>
        <v/>
      </c>
      <c r="AX67" s="29">
        <f>IF(BD67&gt;Parameters!$B$21*(MAX(IF(AND(NOT(AND(AU67=1,AT67&lt;&gt;1)),ISNUMBER(AK67),AK67&lt;=(C67+T67)),AY67,0),IF(AND(NOT(AND(AU67=1,AT67&lt;&gt;1)),ISNUMBER(AL67),AL67&lt;=(C67+T67)),AZ67,0),IF(AND(NOT(AND(AU67=1,AT67&lt;&gt;1)),ISNUMBER(AM67),AM67&lt;=(C67+T67)),BA67,0),IF(AND(NOT(AND(AU67=1,AT67&lt;&gt;1)),ISNUMBER(AN67),AN67&lt;=(C67+T67)),BB67,0),IF(AND(ISNUMBER(AO67),AO67&lt;=(C67+T67)),BC67,0))),TRUE,FALSE)</f>
        <v/>
      </c>
      <c r="AY67" s="32">
        <f>IFERROR(Upgrades!$H$13*(POWER(Upgrades!$P$13,E67)*POWER(Upgrades!$P$14,F67)*POWER(Upgrades!$P$15,G67)*POWER(Upgrades!$P$16,H67)*POWER(Upgrades!$P$17,I67)*POWER(Upgrades!$P$18,J67)*POWER(Upgrades!$P$19,K67)*POWER(Upgrades!$P$20,L67)*POWER(Upgrades!$P$21,M67))*(IF(Upgrades!$T$14="Stellar Kinematics",POWER(Upgrades!$U$14,F67),1)*IF(Upgrades!$T$15="Stellar Kinematics",POWER(Upgrades!$U$15,G67),1)*IF(Upgrades!$T$16="Stellar Kinematics",POWER(Upgrades!$U$16,H67),1)*IF(Upgrades!$T$17="Stellar Kinematics",POWER(Upgrades!$U$17,I67),1)*IF(Upgrades!$T$18="Stellar Kinematics",POWER(Upgrades!$U$18,J67),1)*IF(Upgrades!$T$19="Stellar Kinematics",POWER(Upgrades!$U$19,K67),1)*IF(Upgrades!$T$20="Stellar Kinematics",POWER(Upgrades!$U$20,L67),1)*IF(Upgrades!$T$21="Stellar Kinematics",POWER(Upgrades!$U$21,M67),1))*$F$6/AK67,0)</f>
        <v/>
      </c>
      <c r="AZ67" s="32">
        <f>IFERROR(Upgrades!$H$14*(POWER(Upgrades!$P$13,E67)*POWER(Upgrades!$P$14,F67)*POWER(Upgrades!$P$15,G67)*POWER(Upgrades!$P$16,H67)*POWER(Upgrades!$P$17,I67)*POWER(Upgrades!$P$18,J67)*POWER(Upgrades!$P$19,K67)*POWER(Upgrades!$P$20,L67)*POWER(Upgrades!$P$21,M67))*(IF(Upgrades!$T$13="Local Bubble",POWER(Upgrades!$U$13,E67),1)*IF(Upgrades!$T$15="Local Bubble",POWER(Upgrades!$U$15,G67),1)*IF(Upgrades!$T$16="Local Bubble",POWER(Upgrades!$U$16,H67),1)*IF(Upgrades!$T$17="Local Bubble",POWER(Upgrades!$U$17,I67),1)*IF(Upgrades!$T$18="Local Bubble",POWER(Upgrades!$U$18,J67),1)*IF(Upgrades!$T$19="Local Bubble",POWER(Upgrades!$U$19,K67),1)*IF(Upgrades!$T$20="Local Bubble",POWER(Upgrades!$U$20,L67),1)*IF(Upgrades!$T$21="Local Bubble",POWER(Upgrades!$U$21,M67),1))*$F$6/AL67,0)</f>
        <v/>
      </c>
      <c r="BA67" s="32">
        <f>IFERROR(Upgrades!$K$15*(POWER(Upgrades!$Q$13,E67)*POWER(Upgrades!$Q$14,F67)*POWER(Upgrades!$Q$15,G67)*POWER(Upgrades!$Q$16,H67)*POWER(Upgrades!$Q$17,I67)*POWER(Upgrades!$Q$18,J67)*POWER(Upgrades!$Q$19,K67)*POWER(Upgrades!$Q$20,L67)*POWER(Upgrades!$Q$21,M67))*(IF(Upgrades!$T$13="Microlensing",POWER(Upgrades!$U$13,E67),1)*IF(Upgrades!$T$14="Microlensing",POWER(Upgrades!$U$14,F67),1)*IF(Upgrades!$T$16="Microlensing",POWER(Upgrades!$U$16,H67),1)*IF(Upgrades!$T$17="Microlensing",POWER(Upgrades!$U$17,I67),1)*IF(Upgrades!$T$18="Microlensing",POWER(Upgrades!$U$18,J67),1)*IF(Upgrades!$T$19="Microlensing",POWER(Upgrades!$U$19,K67),1)*IF(Upgrades!$T$20="Microlensing",POWER(Upgrades!$U$20,L67),1)*IF(Upgrades!$T$21="Microlensing",POWER(Upgrades!$U$21,M67),1))*$G$6*(Parameters!$B$10/60*Parameters!$B$11+Q67)/AM67,0)</f>
        <v/>
      </c>
      <c r="BB67" s="32">
        <f>IFERROR((Upgrades!$N$16*(POWER(Upgrades!$R$13,E67)*POWER(Upgrades!$R$14,F67)*POWER(Upgrades!$R$15,G67)*POWER(Upgrades!$R$16,H67)*POWER(Upgrades!$R$17,I67)*POWER(Upgrades!$R$18,J67)*POWER(Upgrades!$R$19,K67)*POWER(Upgrades!$R$20,L67)*POWER(Upgrades!$R$21,M67))*(IF(Upgrades!$T$13="Roche Lobe Overflow",POWER(Upgrades!$U$13,E67),1)*IF(Upgrades!$T$14="Roche Lobe Overflow",POWER(Upgrades!$U$14,F67),1)*IF(Upgrades!$T$15="Roche Lobe Overflow",POWER(Upgrades!$U$15,G67),1)*IF(Upgrades!$T$17="Roche Lobe Overflow",POWER(Upgrades!$U$17,I67),1)*IF(Upgrades!$T$18="Roche Lobe Overflow",POWER(Upgrades!$U$18,J67),1)*IF(Upgrades!$T$19="Roche Lobe Overflow",POWER(Upgrades!$U$19,K67),1)*IF(Upgrades!$T$20="Roche Lobe Overflow",POWER(Upgrades!$U$20,L67),1)*IF(Upgrades!$T$21="Roche Lobe Overflow",POWER(Upgrades!$U$21,M67),1))*$H$6*O67+((IF(F67=0,0,(Upgrades!$G$14+F67*Upgrades!$H$14)*POWER(Upgrades!$I$14,F67)))*(IF(Upgrades!$T$13="Local Bubble",POWER(Upgrades!$U$13,E67),1)*IF(Upgrades!$T$15="Local Bubble",POWER(Upgrades!$U$15,G67),1)*IF(Upgrades!$T$16="Local Bubble",POWER(Upgrades!$U$16,H67),1)*IF(Upgrades!$T$17="Local Bubble",POWER(Upgrades!$U$17,I67),1)*IF(Upgrades!$T$18="Local Bubble",POWER(Upgrades!$U$18,J67),1)*IF(Upgrades!$T$19="Local Bubble",POWER(Upgrades!$U$19,K67),1)*IF(Upgrades!$T$20="Local Bubble",POWER(Upgrades!$U$20,L67),1)*IF(Upgrades!$T$21="Local Bubble",POWER(Upgrades!$U$21,M67),1))*POWER(Upgrades!$P$13,E67)*POWER(Upgrades!$P$14,F67)*POWER(Upgrades!$P$15,G67)*POWER(Upgrades!$P$16,H67)*POWER(Upgrades!$P$17,I67)*POWER(Upgrades!$P$18,J67)*POWER(Upgrades!$P$19,K67)*POWER(Upgrades!$P$20,L67)*POWER(Upgrades!$P$21,M67)*$F$6)*0.05)/AN67,0)</f>
        <v/>
      </c>
      <c r="BC67" s="32">
        <f>IFERROR((Upgrades!$H$17*(POWER(Upgrades!$P$13,E67)*POWER(Upgrades!$P$14,F67)*POWER(Upgrades!$P$15,G67)*POWER(Upgrades!$P$16,H67)*POWER(Upgrades!$P$17,I67)*POWER(Upgrades!$P$18,J67)*POWER(Upgrades!$P$19,K67)*POWER(Upgrades!$P$20,L67)*POWER(Upgrades!$P$21,M67))*(IF(Upgrades!$T$13="Brown Dwarf",POWER(Upgrades!$U$13,E67),1)*IF(Upgrades!$T$14="Brown Dwarf",POWER(Upgrades!$U$14,F67),1)*IF(Upgrades!$T$15="Brown Dwarf",POWER(Upgrades!$U$15,G67),1)*IF(Upgrades!$T$16="Brown Dwarf",POWER(Upgrades!$U$16,H67),1)*IF(Upgrades!$T$18="Brown Dwarf",POWER(Upgrades!$U$18,J67),1)*IF(Upgrades!$T$19="Brown Dwarf",POWER(Upgrades!$U$19,K67),1)*IF(Upgrades!$T$20="Brown Dwarf",POWER(Upgrades!$U$20,L67),1)*IF(Upgrades!$T$21="Brown Dwarf",POWER(Upgrades!$U$21,M67),1))*$F$6+(((IF(H67=0,0,(Upgrades!$M$16+H67*Upgrades!$N$16)*POWER(Upgrades!$O$16,H67)))*(IF(Upgrades!$T$13="Roche Lobe Overflow",POWER(Upgrades!$U$13,E67),1)*IF(Upgrades!$T$14="Roche Lobe Overflow",POWER(Upgrades!$U$14,F67),1)*IF(Upgrades!$T$15="Roche Lobe Overflow",POWER(Upgrades!$U$15,G67),1)*IF(Upgrades!$T$17="Roche Lobe Overflow",POWER(Upgrades!$U$17,I67),1)*IF(Upgrades!$T$18="Roche Lobe Overflow",POWER(Upgrades!$U$18,J67),1)*IF(Upgrades!$T$19="Roche Lobe Overflow",POWER(Upgrades!$U$19,K67),1)*IF(Upgrades!$T$20="Roche Lobe Overflow",POWER(Upgrades!$U$20,L67),1)*IF(Upgrades!$T$21="Roche Lobe Overflow",POWER(Upgrades!$U$21,M67),1))*POWER(Upgrades!$R$13,E67)*POWER(Upgrades!$R$14,F67)*POWER(Upgrades!$R$15,G67)*POWER(Upgrades!$R$16,H67)*POWER(Upgrades!$R$17,I67)*POWER(Upgrades!$R$18,J67)*POWER(Upgrades!$R$19,K67)*POWER(Upgrades!$R$20,L67)*POWER(Upgrades!$R$21,M67)*$H$6)*O67)*0.10)/AO67,0)</f>
        <v/>
      </c>
      <c r="BD67" s="32">
        <f>MAX(IF(J67&gt;0,0,IFERROR(0.5*((IF(G67=0,0,(Upgrades!$J$15+G67*Upgrades!$K$15)*POWER(Upgrades!$L$15,G67)))*(IF(Upgrades!$T$13="Microlensing",POWER(Upgrades!$U$13,E67),1)*IF(Upgrades!$T$14="Microlensing",POWER(Upgrades!$U$14,F67),1)*IF(Upgrades!$T$16="Microlensing",POWER(Upgrades!$U$16,H67),1)*IF(Upgrades!$T$17="Microlensing",POWER(Upgrades!$U$17,I67),1)*IF(Upgrades!$T$18="Microlensing",POWER(Upgrades!$U$18,J67),1)*IF(Upgrades!$T$19="Microlensing",POWER(Upgrades!$U$19,K67),1)*IF(Upgrades!$T$20="Microlensing",POWER(Upgrades!$U$20,L67),1)*IF(Upgrades!$T$21="Microlensing",POWER(Upgrades!$U$21,M67),1))*(POWER(Upgrades!$Q$13,E67)*POWER(Upgrades!$Q$14,F67)*POWER(Upgrades!$Q$15,G67)*POWER(Upgrades!$Q$16,H67)*POWER(Upgrades!$Q$17,I67)*POWER(Upgrades!$Q$18,J67)*POWER(Upgrades!$Q$19,K67)*POWER(Upgrades!$Q$20,L67)*POWER(Upgrades!$Q$21,M67))*$G$6*(Parameters!$B$10/60*Parameters!$B$11+Q67))/Upgrades!$C$18,0)),IF(K67&gt;0,0,IFERROR(0.30*P67/Upgrades!$C$19,0)),IF(L67&gt;0,0,IFERROR(0.0001/Upgrades!$C$20,0)),IF(M67&gt;0,0,IFERROR((6.0*(POWER(Upgrades!$P$13,E67)*POWER(Upgrades!$P$14,F67)*POWER(Upgrades!$P$15,G67)*POWER(Upgrades!$P$16,H67)*POWER(Upgrades!$P$17,I67)*POWER(Upgrades!$P$18,J67)*POWER(Upgrades!$P$19,K67)*POWER(Upgrades!$P$20,L67)*POWER(Upgrades!$P$21,M67))*$F$6+0.20*O67*(Parameters!$B$10/60*Parameters!$B$11+Q67))/Upgrades!$C$21,0)),IF(AND(ISNUMBER(AK67),AK67&gt;(C67+T67)),AY67,0),IF(AND(ISNUMBER(AL67),AL67&gt;(C67+T67)),AZ67,0),IF(AND(ISNUMBER(AM67),AM67&gt;(C67+T67)),BA67,0),IF(AND(ISNUMBER(AN67),AN67&gt;(C67+T67)),BB67,0),IF(AND(ISNUMBER(AO67),AO67&gt;(C67+T67)),BC67,0))</f>
        <v/>
      </c>
      <c r="BE67" s="29">
        <f>IF(AT67=1,"transition",IF(MIN(IF(AND(J67=0,ISNUMBER(AP67),AP67&lt;=(C67+T67)),AP67,9E15),IF(AND(K67=0,ISNUMBER(AQ67),AQ67&lt;=(C67+T67)),AQ67,9E15),IF(AND(L67=0,ISNUMBER(AR67),AR67&lt;=(C67+T67)),AR67,9E15),IF(AND(M67=0,ISNUMBER(AS67),AS67&lt;=(C67+T67)),AS67,9E15))&lt;9E15,IF(AND(AND(J67=0,ISNUMBER(AP67),AP67&lt;=(C67+T67)),AP67=MIN(IF(AND(J67=0,ISNUMBER(AP67),AP67&lt;=(C67+T67)),AP67,9E15),IF(AND(K67=0,ISNUMBER(AQ67),AQ67&lt;=(C67+T67)),AQ67,9E15),IF(AND(L67=0,ISNUMBER(AR67),AR67&lt;=(C67+T67)),AR67,9E15),IF(AND(M67=0,ISNUMBER(AS67),AS67&lt;=(C67+T67)),AS67,9E15))),"BiP",IF(AND(AND(K67=0,ISNUMBER(AQ67),AQ67&lt;=(C67+T67)),AQ67=MIN(IF(AND(J67=0,ISNUMBER(AP67),AP67&lt;=(C67+T67)),AP67,9E15),IF(AND(K67=0,ISNUMBER(AQ67),AQ67&lt;=(C67+T67)),AQ67,9E15),IF(AND(L67=0,ISNUMBER(AR67),AR67&lt;=(C67+T67)),AR67,9E15),IF(AND(M67=0,ISNUMBER(AS67),AS67&lt;=(C67+T67)),AS67,9E15))),"PV",IF(AND(AND(L67=0,ISNUMBER(AR67),AR67&lt;=(C67+T67)),AR67=MIN(IF(AND(J67=0,ISNUMBER(AP67),AP67&lt;=(C67+T67)),AP67,9E15),IF(AND(K67=0,ISNUMBER(AQ67),AQ67&lt;=(C67+T67)),AQ67,9E15),IF(AND(L67=0,ISNUMBER(AR67),AR67&lt;=(C67+T67)),AR67,9E15),IF(AND(M67=0,ISNUMBER(AS67),AS67&lt;=(C67+T67)),AS67,9E15))),"OC","MG"))),IF(AX67=TRUE,"",IF(MAX(IF(AND(NOT(AND(AU67=1,AT67&lt;&gt;1)),ISNUMBER(AK67),AK67&lt;=(C67+T67)),AY67,0),IF(AND(NOT(AND(AU67=1,AT67&lt;&gt;1)),ISNUMBER(AL67),AL67&lt;=(C67+T67)),AZ67,0),IF(AND(NOT(AND(AU67=1,AT67&lt;&gt;1)),ISNUMBER(AM67),AM67&lt;=(C67+T67)),BA67,0),IF(AND(NOT(AND(AU67=1,AT67&lt;&gt;1)),ISNUMBER(AN67),AN67&lt;=(C67+T67)),BB67,0),IF(AND(ISNUMBER(AO67),AO67&lt;=(C67+T67)),BC67,0))&lt;=0,"",IF(AND(IF(AND(NOT(AND(AU67=1,AT67&lt;&gt;1)),ISNUMBER(AK67),AK67&lt;=(C67+T67)),AY67,0)&gt;0,IF(AND(NOT(AND(AU67=1,AT67&lt;&gt;1)),ISNUMBER(AK67),AK67&lt;=(C67+T67)),AY67,0)=MAX(IF(AND(NOT(AND(AU67=1,AT67&lt;&gt;1)),ISNUMBER(AK67),AK67&lt;=(C67+T67)),AY67,0),IF(AND(NOT(AND(AU67=1,AT67&lt;&gt;1)),ISNUMBER(AL67),AL67&lt;=(C67+T67)),AZ67,0),IF(AND(NOT(AND(AU67=1,AT67&lt;&gt;1)),ISNUMBER(AM67),AM67&lt;=(C67+T67)),BA67,0),IF(AND(NOT(AND(AU67=1,AT67&lt;&gt;1)),ISNUMBER(AN67),AN67&lt;=(C67+T67)),BB67,0),IF(AND(ISNUMBER(AO67),AO67&lt;=(C67+T67)),BC67,0))),"SK",IF(AND(IF(AND(NOT(AND(AU67=1,AT67&lt;&gt;1)),ISNUMBER(AL67),AL67&lt;=(C67+T67)),AZ67,0)&gt;0,IF(AND(NOT(AND(AU67=1,AT67&lt;&gt;1)),ISNUMBER(AL67),AL67&lt;=(C67+T67)),AZ67,0)=MAX(IF(AND(NOT(AND(AU67=1,AT67&lt;&gt;1)),ISNUMBER(AK67),AK67&lt;=(C67+T67)),AY67,0),IF(AND(NOT(AND(AU67=1,AT67&lt;&gt;1)),ISNUMBER(AL67),AL67&lt;=(C67+T67)),AZ67,0),IF(AND(NOT(AND(AU67=1,AT67&lt;&gt;1)),ISNUMBER(AM67),AM67&lt;=(C67+T67)),BA67,0),IF(AND(NOT(AND(AU67=1,AT67&lt;&gt;1)),ISNUMBER(AN67),AN67&lt;=(C67+T67)),BB67,0),IF(AND(ISNUMBER(AO67),AO67&lt;=(C67+T67)),BC67,0))),"LB",IF(AND(IF(AND(NOT(AND(AU67=1,AT67&lt;&gt;1)),ISNUMBER(AM67),AM67&lt;=(C67+T67)),BA67,0)&gt;0,IF(AND(NOT(AND(AU67=1,AT67&lt;&gt;1)),ISNUMBER(AM67),AM67&lt;=(C67+T67)),BA67,0)=MAX(IF(AND(NOT(AND(AU67=1,AT67&lt;&gt;1)),ISNUMBER(AK67),AK67&lt;=(C67+T67)),AY67,0),IF(AND(NOT(AND(AU67=1,AT67&lt;&gt;1)),ISNUMBER(AL67),AL67&lt;=(C67+T67)),AZ67,0),IF(AND(NOT(AND(AU67=1,AT67&lt;&gt;1)),ISNUMBER(AM67),AM67&lt;=(C67+T67)),BA67,0),IF(AND(NOT(AND(AU67=1,AT67&lt;&gt;1)),ISNUMBER(AN67),AN67&lt;=(C67+T67)),BB67,0),IF(AND(ISNUMBER(AO67),AO67&lt;=(C67+T67)),BC67,0))),"ML",IF(AND(IF(AND(NOT(AND(AU67=1,AT67&lt;&gt;1)),ISNUMBER(AN67),AN67&lt;=(C67+T67)),BB67,0)&gt;0,IF(AND(NOT(AND(AU67=1,AT67&lt;&gt;1)),ISNUMBER(AN67),AN67&lt;=(C67+T67)),BB67,0)=MAX(IF(AND(NOT(AND(AU67=1,AT67&lt;&gt;1)),ISNUMBER(AK67),AK67&lt;=(C67+T67)),AY67,0),IF(AND(NOT(AND(AU67=1,AT67&lt;&gt;1)),ISNUMBER(AL67),AL67&lt;=(C67+T67)),AZ67,0),IF(AND(NOT(AND(AU67=1,AT67&lt;&gt;1)),ISNUMBER(AM67),AM67&lt;=(C67+T67)),BA67,0),IF(AND(NOT(AND(AU67=1,AT67&lt;&gt;1)),ISNUMBER(AN67),AN67&lt;=(C67+T67)),BB67,0),IF(AND(ISNUMBER(AO67),AO67&lt;=(C67+T67)),BC67,0))),"RLO","BD"))))))))</f>
        <v/>
      </c>
    </row>
    <row r="68">
      <c r="A68" s="26" t="n">
        <v>57</v>
      </c>
      <c r="B68" s="27">
        <f>A68*10/60</f>
        <v/>
      </c>
      <c r="C68" s="22">
        <f>X67</f>
        <v/>
      </c>
      <c r="D68" s="27">
        <f>D67+W67</f>
        <v/>
      </c>
      <c r="E68" s="26">
        <f>E67+IF(U67="SK",1,0)</f>
        <v/>
      </c>
      <c r="F68" s="26">
        <f>F67+IF(U67="LB",1,0)</f>
        <v/>
      </c>
      <c r="G68" s="26">
        <f>G67+IF(U67="ML",1,0)</f>
        <v/>
      </c>
      <c r="H68" s="26">
        <f>H67+IF(U67="RLO",1,0)</f>
        <v/>
      </c>
      <c r="I68" s="26">
        <f>I67+IF(U67="BD",1,0)</f>
        <v/>
      </c>
      <c r="J68" s="26">
        <f>MAX(J67,IF(U67="BiP",1,0))</f>
        <v/>
      </c>
      <c r="K68" s="26">
        <f>MAX(K67,IF(U67="PV",1,0))</f>
        <v/>
      </c>
      <c r="L68" s="26">
        <f>MAX(L67,IF(U67="OC",1,0))</f>
        <v/>
      </c>
      <c r="M68" s="26">
        <f>MAX(M67,IF(U67="MG",1,0))</f>
        <v/>
      </c>
      <c r="N68" s="26">
        <f>MAX(N67,IF(U67="transition",1,0))</f>
        <v/>
      </c>
      <c r="O68" s="28">
        <f>(Parameters!$B$9+(IF(E68=0,0,(Upgrades!$J$13+E68*Upgrades!$K$13)*POWER(Upgrades!$L$13,E68)))*(IF(Upgrades!$T$14="Stellar Kinematics",POWER(Upgrades!$U$14,F68),1)*IF(Upgrades!$T$15="Stellar Kinematics",POWER(Upgrades!$U$15,G68),1)*IF(Upgrades!$T$16="Stellar Kinematics",POWER(Upgrades!$U$16,H68),1)*IF(Upgrades!$T$17="Stellar Kinematics",POWER(Upgrades!$U$17,I68),1)*IF(Upgrades!$T$18="Stellar Kinematics",POWER(Upgrades!$U$18,J68),1)*IF(Upgrades!$T$19="Stellar Kinematics",POWER(Upgrades!$U$19,K68),1)*IF(Upgrades!$T$20="Stellar Kinematics",POWER(Upgrades!$U$20,L68),1)*IF(Upgrades!$T$21="Stellar Kinematics",POWER(Upgrades!$U$21,M68),1))+(IF(F68=0,0,(Upgrades!$J$14+F68*Upgrades!$K$14)*POWER(Upgrades!$L$14,F68)))*(IF(Upgrades!$T$13="Local Bubble",POWER(Upgrades!$U$13,E68),1)*IF(Upgrades!$T$15="Local Bubble",POWER(Upgrades!$U$15,G68),1)*IF(Upgrades!$T$16="Local Bubble",POWER(Upgrades!$U$16,H68),1)*IF(Upgrades!$T$17="Local Bubble",POWER(Upgrades!$U$17,I68),1)*IF(Upgrades!$T$18="Local Bubble",POWER(Upgrades!$U$18,J68),1)*IF(Upgrades!$T$19="Local Bubble",POWER(Upgrades!$U$19,K68),1)*IF(Upgrades!$T$20="Local Bubble",POWER(Upgrades!$U$20,L68),1)*IF(Upgrades!$T$21="Local Bubble",POWER(Upgrades!$U$21,M68),1))+(IF(G68=0,0,(Upgrades!$J$15+G68*Upgrades!$K$15)*POWER(Upgrades!$L$15,G68)))*(IF(Upgrades!$T$13="Microlensing",POWER(Upgrades!$U$13,E68),1)*IF(Upgrades!$T$14="Microlensing",POWER(Upgrades!$U$14,F68),1)*IF(Upgrades!$T$16="Microlensing",POWER(Upgrades!$U$16,H68),1)*IF(Upgrades!$T$17="Microlensing",POWER(Upgrades!$U$17,I68),1)*IF(Upgrades!$T$18="Microlensing",POWER(Upgrades!$U$18,J68),1)*IF(Upgrades!$T$19="Microlensing",POWER(Upgrades!$U$19,K68),1)*IF(Upgrades!$T$20="Microlensing",POWER(Upgrades!$U$20,L68),1)*IF(Upgrades!$T$21="Microlensing",POWER(Upgrades!$U$21,M68),1))+(IF(H68=0,0,(Upgrades!$J$16+H68*Upgrades!$K$16)*POWER(Upgrades!$L$16,H68)))*(IF(Upgrades!$T$13="Roche Lobe Overflow",POWER(Upgrades!$U$13,E68),1)*IF(Upgrades!$T$14="Roche Lobe Overflow",POWER(Upgrades!$U$14,F68),1)*IF(Upgrades!$T$15="Roche Lobe Overflow",POWER(Upgrades!$U$15,G68),1)*IF(Upgrades!$T$17="Roche Lobe Overflow",POWER(Upgrades!$U$17,I68),1)*IF(Upgrades!$T$18="Roche Lobe Overflow",POWER(Upgrades!$U$18,J68),1)*IF(Upgrades!$T$19="Roche Lobe Overflow",POWER(Upgrades!$U$19,K68),1)*IF(Upgrades!$T$20="Roche Lobe Overflow",POWER(Upgrades!$U$20,L68),1)*IF(Upgrades!$T$21="Roche Lobe Overflow",POWER(Upgrades!$U$21,M68),1))+(IF(I68=0,0,(Upgrades!$J$17+I68*Upgrades!$K$17)*POWER(Upgrades!$L$17,I68)))*(IF(Upgrades!$T$13="Brown Dwarf",POWER(Upgrades!$U$13,E68),1)*IF(Upgrades!$T$14="Brown Dwarf",POWER(Upgrades!$U$14,F68),1)*IF(Upgrades!$T$15="Brown Dwarf",POWER(Upgrades!$U$15,G68),1)*IF(Upgrades!$T$16="Brown Dwarf",POWER(Upgrades!$U$16,H68),1)*IF(Upgrades!$T$18="Brown Dwarf",POWER(Upgrades!$U$18,J68),1)*IF(Upgrades!$T$19="Brown Dwarf",POWER(Upgrades!$U$19,K68),1)*IF(Upgrades!$T$20="Brown Dwarf",POWER(Upgrades!$U$20,L68),1)*IF(Upgrades!$T$21="Brown Dwarf",POWER(Upgrades!$U$21,M68),1))+(IF(J68=0,0,(Upgrades!$J$18+J68*Upgrades!$K$18)*POWER(Upgrades!$L$18,J68)))*(IF(Upgrades!$T$13="Binary Partner",POWER(Upgrades!$U$13,E68),1)*IF(Upgrades!$T$14="Binary Partner",POWER(Upgrades!$U$14,F68),1)*IF(Upgrades!$T$15="Binary Partner",POWER(Upgrades!$U$15,G68),1)*IF(Upgrades!$T$16="Binary Partner",POWER(Upgrades!$U$16,H68),1)*IF(Upgrades!$T$17="Binary Partner",POWER(Upgrades!$U$17,I68),1)*IF(Upgrades!$T$19="Binary Partner",POWER(Upgrades!$U$19,K68),1)*IF(Upgrades!$T$20="Binary Partner",POWER(Upgrades!$U$20,L68),1)*IF(Upgrades!$T$21="Binary Partner",POWER(Upgrades!$U$21,M68),1))+(IF(K68=0,0,(Upgrades!$J$19+K68*Upgrades!$K$19)*POWER(Upgrades!$L$19,K68)))*(IF(Upgrades!$T$13="Peculiar Velocity",POWER(Upgrades!$U$13,E68),1)*IF(Upgrades!$T$14="Peculiar Velocity",POWER(Upgrades!$U$14,F68),1)*IF(Upgrades!$T$15="Peculiar Velocity",POWER(Upgrades!$U$15,G68),1)*IF(Upgrades!$T$16="Peculiar Velocity",POWER(Upgrades!$U$16,H68),1)*IF(Upgrades!$T$17="Peculiar Velocity",POWER(Upgrades!$U$17,I68),1)*IF(Upgrades!$T$18="Peculiar Velocity",POWER(Upgrades!$U$18,J68),1)*IF(Upgrades!$T$20="Peculiar Velocity",POWER(Upgrades!$U$20,L68),1)*IF(Upgrades!$T$21="Peculiar Velocity",POWER(Upgrades!$U$21,M68),1))+(IF(L68=0,0,(Upgrades!$J$20+L68*Upgrades!$K$20)*POWER(Upgrades!$L$20,L68)))*(IF(Upgrades!$T$13="Open Cluster",POWER(Upgrades!$U$13,E68),1)*IF(Upgrades!$T$14="Open Cluster",POWER(Upgrades!$U$14,F68),1)*IF(Upgrades!$T$15="Open Cluster",POWER(Upgrades!$U$15,G68),1)*IF(Upgrades!$T$16="Open Cluster",POWER(Upgrades!$U$16,H68),1)*IF(Upgrades!$T$17="Open Cluster",POWER(Upgrades!$U$17,I68),1)*IF(Upgrades!$T$18="Open Cluster",POWER(Upgrades!$U$18,J68),1)*IF(Upgrades!$T$19="Open Cluster",POWER(Upgrades!$U$19,K68),1)*IF(Upgrades!$T$21="Open Cluster",POWER(Upgrades!$U$21,M68),1))+(IF(M68=0,0,(Upgrades!$J$21+M68*Upgrades!$K$21)*POWER(Upgrades!$L$21,M68)))*(IF(Upgrades!$T$13="Moving Group",POWER(Upgrades!$U$13,E68),1)*IF(Upgrades!$T$14="Moving Group",POWER(Upgrades!$U$14,F68),1)*IF(Upgrades!$T$15="Moving Group",POWER(Upgrades!$U$15,G68),1)*IF(Upgrades!$T$16="Moving Group",POWER(Upgrades!$U$16,H68),1)*IF(Upgrades!$T$17="Moving Group",POWER(Upgrades!$U$17,I68),1)*IF(Upgrades!$T$18="Moving Group",POWER(Upgrades!$U$18,J68),1)*IF(Upgrades!$T$19="Moving Group",POWER(Upgrades!$U$19,K68),1)*IF(Upgrades!$T$20="Moving Group",POWER(Upgrades!$U$20,L68),1)))*POWER(Upgrades!$Q$13,E68)*POWER(Upgrades!$Q$14,F68)*POWER(Upgrades!$Q$15,G68)*POWER(Upgrades!$Q$16,H68)*POWER(Upgrades!$Q$17,I68)*POWER(Upgrades!$Q$18,J68)*POWER(Upgrades!$Q$19,K68)*POWER(Upgrades!$Q$20,L68)*POWER(Upgrades!$Q$21,M68)*$G$6+$D$6</f>
        <v/>
      </c>
      <c r="P68" s="28">
        <f>((IF(E68=0,0,(Upgrades!$G$13+E68*Upgrades!$H$13)*POWER(Upgrades!$I$13,E68)))*(IF(Upgrades!$T$14="Stellar Kinematics",POWER(Upgrades!$U$14,F68),1)*IF(Upgrades!$T$15="Stellar Kinematics",POWER(Upgrades!$U$15,G68),1)*IF(Upgrades!$T$16="Stellar Kinematics",POWER(Upgrades!$U$16,H68),1)*IF(Upgrades!$T$17="Stellar Kinematics",POWER(Upgrades!$U$17,I68),1)*IF(Upgrades!$T$18="Stellar Kinematics",POWER(Upgrades!$U$18,J68),1)*IF(Upgrades!$T$19="Stellar Kinematics",POWER(Upgrades!$U$19,K68),1)*IF(Upgrades!$T$20="Stellar Kinematics",POWER(Upgrades!$U$20,L68),1)*IF(Upgrades!$T$21="Stellar Kinematics",POWER(Upgrades!$U$21,M68),1))+(IF(F68=0,0,(Upgrades!$G$14+F68*Upgrades!$H$14)*POWER(Upgrades!$I$14,F68)))*(IF(Upgrades!$T$13="Local Bubble",POWER(Upgrades!$U$13,E68),1)*IF(Upgrades!$T$15="Local Bubble",POWER(Upgrades!$U$15,G68),1)*IF(Upgrades!$T$16="Local Bubble",POWER(Upgrades!$U$16,H68),1)*IF(Upgrades!$T$17="Local Bubble",POWER(Upgrades!$U$17,I68),1)*IF(Upgrades!$T$18="Local Bubble",POWER(Upgrades!$U$18,J68),1)*IF(Upgrades!$T$19="Local Bubble",POWER(Upgrades!$U$19,K68),1)*IF(Upgrades!$T$20="Local Bubble",POWER(Upgrades!$U$20,L68),1)*IF(Upgrades!$T$21="Local Bubble",POWER(Upgrades!$U$21,M68),1))+(IF(G68=0,0,(Upgrades!$G$15+G68*Upgrades!$H$15)*POWER(Upgrades!$I$15,G68)))*(IF(Upgrades!$T$13="Microlensing",POWER(Upgrades!$U$13,E68),1)*IF(Upgrades!$T$14="Microlensing",POWER(Upgrades!$U$14,F68),1)*IF(Upgrades!$T$16="Microlensing",POWER(Upgrades!$U$16,H68),1)*IF(Upgrades!$T$17="Microlensing",POWER(Upgrades!$U$17,I68),1)*IF(Upgrades!$T$18="Microlensing",POWER(Upgrades!$U$18,J68),1)*IF(Upgrades!$T$19="Microlensing",POWER(Upgrades!$U$19,K68),1)*IF(Upgrades!$T$20="Microlensing",POWER(Upgrades!$U$20,L68),1)*IF(Upgrades!$T$21="Microlensing",POWER(Upgrades!$U$21,M68),1))+(IF(H68=0,0,(Upgrades!$G$16+H68*Upgrades!$H$16)*POWER(Upgrades!$I$16,H68)))*(IF(Upgrades!$T$13="Roche Lobe Overflow",POWER(Upgrades!$U$13,E68),1)*IF(Upgrades!$T$14="Roche Lobe Overflow",POWER(Upgrades!$U$14,F68),1)*IF(Upgrades!$T$15="Roche Lobe Overflow",POWER(Upgrades!$U$15,G68),1)*IF(Upgrades!$T$17="Roche Lobe Overflow",POWER(Upgrades!$U$17,I68),1)*IF(Upgrades!$T$18="Roche Lobe Overflow",POWER(Upgrades!$U$18,J68),1)*IF(Upgrades!$T$19="Roche Lobe Overflow",POWER(Upgrades!$U$19,K68),1)*IF(Upgrades!$T$20="Roche Lobe Overflow",POWER(Upgrades!$U$20,L68),1)*IF(Upgrades!$T$21="Roche Lobe Overflow",POWER(Upgrades!$U$21,M68),1))+(IF(I68=0,0,(Upgrades!$G$17+I68*Upgrades!$H$17)*POWER(Upgrades!$I$17,I68)))*(IF(Upgrades!$T$13="Brown Dwarf",POWER(Upgrades!$U$13,E68),1)*IF(Upgrades!$T$14="Brown Dwarf",POWER(Upgrades!$U$14,F68),1)*IF(Upgrades!$T$15="Brown Dwarf",POWER(Upgrades!$U$15,G68),1)*IF(Upgrades!$T$16="Brown Dwarf",POWER(Upgrades!$U$16,H68),1)*IF(Upgrades!$T$18="Brown Dwarf",POWER(Upgrades!$U$18,J68),1)*IF(Upgrades!$T$19="Brown Dwarf",POWER(Upgrades!$U$19,K68),1)*IF(Upgrades!$T$20="Brown Dwarf",POWER(Upgrades!$U$20,L68),1)*IF(Upgrades!$T$21="Brown Dwarf",POWER(Upgrades!$U$21,M68),1))+(IF(J68=0,0,(Upgrades!$G$18+J68*Upgrades!$H$18)*POWER(Upgrades!$I$18,J68)))*(IF(Upgrades!$T$13="Binary Partner",POWER(Upgrades!$U$13,E68),1)*IF(Upgrades!$T$14="Binary Partner",POWER(Upgrades!$U$14,F68),1)*IF(Upgrades!$T$15="Binary Partner",POWER(Upgrades!$U$15,G68),1)*IF(Upgrades!$T$16="Binary Partner",POWER(Upgrades!$U$16,H68),1)*IF(Upgrades!$T$17="Binary Partner",POWER(Upgrades!$U$17,I68),1)*IF(Upgrades!$T$19="Binary Partner",POWER(Upgrades!$U$19,K68),1)*IF(Upgrades!$T$20="Binary Partner",POWER(Upgrades!$U$20,L68),1)*IF(Upgrades!$T$21="Binary Partner",POWER(Upgrades!$U$21,M68),1))+(IF(K68=0,0,(Upgrades!$G$19+K68*Upgrades!$H$19)*POWER(Upgrades!$I$19,K68)))*(IF(Upgrades!$T$13="Peculiar Velocity",POWER(Upgrades!$U$13,E68),1)*IF(Upgrades!$T$14="Peculiar Velocity",POWER(Upgrades!$U$14,F68),1)*IF(Upgrades!$T$15="Peculiar Velocity",POWER(Upgrades!$U$15,G68),1)*IF(Upgrades!$T$16="Peculiar Velocity",POWER(Upgrades!$U$16,H68),1)*IF(Upgrades!$T$17="Peculiar Velocity",POWER(Upgrades!$U$17,I68),1)*IF(Upgrades!$T$18="Peculiar Velocity",POWER(Upgrades!$U$18,J68),1)*IF(Upgrades!$T$20="Peculiar Velocity",POWER(Upgrades!$U$20,L68),1)*IF(Upgrades!$T$21="Peculiar Velocity",POWER(Upgrades!$U$21,M68),1))+(IF(L68=0,0,(Upgrades!$G$20+L68*Upgrades!$H$20)*POWER(Upgrades!$I$20,L68)))*(IF(Upgrades!$T$13="Open Cluster",POWER(Upgrades!$U$13,E68),1)*IF(Upgrades!$T$14="Open Cluster",POWER(Upgrades!$U$14,F68),1)*IF(Upgrades!$T$15="Open Cluster",POWER(Upgrades!$U$15,G68),1)*IF(Upgrades!$T$16="Open Cluster",POWER(Upgrades!$U$16,H68),1)*IF(Upgrades!$T$17="Open Cluster",POWER(Upgrades!$U$17,I68),1)*IF(Upgrades!$T$18="Open Cluster",POWER(Upgrades!$U$18,J68),1)*IF(Upgrades!$T$19="Open Cluster",POWER(Upgrades!$U$19,K68),1)*IF(Upgrades!$T$21="Open Cluster",POWER(Upgrades!$U$21,M68),1))+(IF(M68=0,0,(Upgrades!$G$21+M68*Upgrades!$H$21)*POWER(Upgrades!$I$21,M68)))*(IF(Upgrades!$T$13="Moving Group",POWER(Upgrades!$U$13,E68),1)*IF(Upgrades!$T$14="Moving Group",POWER(Upgrades!$U$14,F68),1)*IF(Upgrades!$T$15="Moving Group",POWER(Upgrades!$U$15,G68),1)*IF(Upgrades!$T$16="Moving Group",POWER(Upgrades!$U$16,H68),1)*IF(Upgrades!$T$17="Moving Group",POWER(Upgrades!$U$17,I68),1)*IF(Upgrades!$T$18="Moving Group",POWER(Upgrades!$U$18,J68),1)*IF(Upgrades!$T$19="Moving Group",POWER(Upgrades!$U$19,K68),1)*IF(Upgrades!$T$20="Moving Group",POWER(Upgrades!$U$20,L68),1)))*POWER(Upgrades!$P$13,E68)*POWER(Upgrades!$P$14,F68)*POWER(Upgrades!$P$15,G68)*POWER(Upgrades!$P$16,H68)*POWER(Upgrades!$P$17,I68)*POWER(Upgrades!$P$18,J68)*POWER(Upgrades!$P$19,K68)*POWER(Upgrades!$P$20,L68)*POWER(Upgrades!$P$21,M68)*$F$6+$C$6</f>
        <v/>
      </c>
      <c r="Q68" s="28">
        <f>((IF(E68=0,0,(Upgrades!$M$13+E68*Upgrades!$N$13)*POWER(Upgrades!$O$13,E68)))*(IF(Upgrades!$T$14="Stellar Kinematics",POWER(Upgrades!$U$14,F68),1)*IF(Upgrades!$T$15="Stellar Kinematics",POWER(Upgrades!$U$15,G68),1)*IF(Upgrades!$T$16="Stellar Kinematics",POWER(Upgrades!$U$16,H68),1)*IF(Upgrades!$T$17="Stellar Kinematics",POWER(Upgrades!$U$17,I68),1)*IF(Upgrades!$T$18="Stellar Kinematics",POWER(Upgrades!$U$18,J68),1)*IF(Upgrades!$T$19="Stellar Kinematics",POWER(Upgrades!$U$19,K68),1)*IF(Upgrades!$T$20="Stellar Kinematics",POWER(Upgrades!$U$20,L68),1)*IF(Upgrades!$T$21="Stellar Kinematics",POWER(Upgrades!$U$21,M68),1))+(IF(F68=0,0,(Upgrades!$M$14+F68*Upgrades!$N$14)*POWER(Upgrades!$O$14,F68)))*(IF(Upgrades!$T$13="Local Bubble",POWER(Upgrades!$U$13,E68),1)*IF(Upgrades!$T$15="Local Bubble",POWER(Upgrades!$U$15,G68),1)*IF(Upgrades!$T$16="Local Bubble",POWER(Upgrades!$U$16,H68),1)*IF(Upgrades!$T$17="Local Bubble",POWER(Upgrades!$U$17,I68),1)*IF(Upgrades!$T$18="Local Bubble",POWER(Upgrades!$U$18,J68),1)*IF(Upgrades!$T$19="Local Bubble",POWER(Upgrades!$U$19,K68),1)*IF(Upgrades!$T$20="Local Bubble",POWER(Upgrades!$U$20,L68),1)*IF(Upgrades!$T$21="Local Bubble",POWER(Upgrades!$U$21,M68),1))+(IF(G68=0,0,(Upgrades!$M$15+G68*Upgrades!$N$15)*POWER(Upgrades!$O$15,G68)))*(IF(Upgrades!$T$13="Microlensing",POWER(Upgrades!$U$13,E68),1)*IF(Upgrades!$T$14="Microlensing",POWER(Upgrades!$U$14,F68),1)*IF(Upgrades!$T$16="Microlensing",POWER(Upgrades!$U$16,H68),1)*IF(Upgrades!$T$17="Microlensing",POWER(Upgrades!$U$17,I68),1)*IF(Upgrades!$T$18="Microlensing",POWER(Upgrades!$U$18,J68),1)*IF(Upgrades!$T$19="Microlensing",POWER(Upgrades!$U$19,K68),1)*IF(Upgrades!$T$20="Microlensing",POWER(Upgrades!$U$20,L68),1)*IF(Upgrades!$T$21="Microlensing",POWER(Upgrades!$U$21,M68),1))+(IF(H68=0,0,(Upgrades!$M$16+H68*Upgrades!$N$16)*POWER(Upgrades!$O$16,H68)))*(IF(Upgrades!$T$13="Roche Lobe Overflow",POWER(Upgrades!$U$13,E68),1)*IF(Upgrades!$T$14="Roche Lobe Overflow",POWER(Upgrades!$U$14,F68),1)*IF(Upgrades!$T$15="Roche Lobe Overflow",POWER(Upgrades!$U$15,G68),1)*IF(Upgrades!$T$17="Roche Lobe Overflow",POWER(Upgrades!$U$17,I68),1)*IF(Upgrades!$T$18="Roche Lobe Overflow",POWER(Upgrades!$U$18,J68),1)*IF(Upgrades!$T$19="Roche Lobe Overflow",POWER(Upgrades!$U$19,K68),1)*IF(Upgrades!$T$20="Roche Lobe Overflow",POWER(Upgrades!$U$20,L68),1)*IF(Upgrades!$T$21="Roche Lobe Overflow",POWER(Upgrades!$U$21,M68),1))+(IF(I68=0,0,(Upgrades!$M$17+I68*Upgrades!$N$17)*POWER(Upgrades!$O$17,I68)))*(IF(Upgrades!$T$13="Brown Dwarf",POWER(Upgrades!$U$13,E68),1)*IF(Upgrades!$T$14="Brown Dwarf",POWER(Upgrades!$U$14,F68),1)*IF(Upgrades!$T$15="Brown Dwarf",POWER(Upgrades!$U$15,G68),1)*IF(Upgrades!$T$16="Brown Dwarf",POWER(Upgrades!$U$16,H68),1)*IF(Upgrades!$T$18="Brown Dwarf",POWER(Upgrades!$U$18,J68),1)*IF(Upgrades!$T$19="Brown Dwarf",POWER(Upgrades!$U$19,K68),1)*IF(Upgrades!$T$20="Brown Dwarf",POWER(Upgrades!$U$20,L68),1)*IF(Upgrades!$T$21="Brown Dwarf",POWER(Upgrades!$U$21,M68),1))+(IF(J68=0,0,(Upgrades!$M$18+J68*Upgrades!$N$18)*POWER(Upgrades!$O$18,J68)))*(IF(Upgrades!$T$13="Binary Partner",POWER(Upgrades!$U$13,E68),1)*IF(Upgrades!$T$14="Binary Partner",POWER(Upgrades!$U$14,F68),1)*IF(Upgrades!$T$15="Binary Partner",POWER(Upgrades!$U$15,G68),1)*IF(Upgrades!$T$16="Binary Partner",POWER(Upgrades!$U$16,H68),1)*IF(Upgrades!$T$17="Binary Partner",POWER(Upgrades!$U$17,I68),1)*IF(Upgrades!$T$19="Binary Partner",POWER(Upgrades!$U$19,K68),1)*IF(Upgrades!$T$20="Binary Partner",POWER(Upgrades!$U$20,L68),1)*IF(Upgrades!$T$21="Binary Partner",POWER(Upgrades!$U$21,M68),1))+(IF(K68=0,0,(Upgrades!$M$19+K68*Upgrades!$N$19)*POWER(Upgrades!$O$19,K68)))*(IF(Upgrades!$T$13="Peculiar Velocity",POWER(Upgrades!$U$13,E68),1)*IF(Upgrades!$T$14="Peculiar Velocity",POWER(Upgrades!$U$14,F68),1)*IF(Upgrades!$T$15="Peculiar Velocity",POWER(Upgrades!$U$15,G68),1)*IF(Upgrades!$T$16="Peculiar Velocity",POWER(Upgrades!$U$16,H68),1)*IF(Upgrades!$T$17="Peculiar Velocity",POWER(Upgrades!$U$17,I68),1)*IF(Upgrades!$T$18="Peculiar Velocity",POWER(Upgrades!$U$18,J68),1)*IF(Upgrades!$T$20="Peculiar Velocity",POWER(Upgrades!$U$20,L68),1)*IF(Upgrades!$T$21="Peculiar Velocity",POWER(Upgrades!$U$21,M68),1))+(IF(L68=0,0,(Upgrades!$M$20+L68*Upgrades!$N$20)*POWER(Upgrades!$O$20,L68)))*(IF(Upgrades!$T$13="Open Cluster",POWER(Upgrades!$U$13,E68),1)*IF(Upgrades!$T$14="Open Cluster",POWER(Upgrades!$U$14,F68),1)*IF(Upgrades!$T$15="Open Cluster",POWER(Upgrades!$U$15,G68),1)*IF(Upgrades!$T$16="Open Cluster",POWER(Upgrades!$U$16,H68),1)*IF(Upgrades!$T$17="Open Cluster",POWER(Upgrades!$U$17,I68),1)*IF(Upgrades!$T$18="Open Cluster",POWER(Upgrades!$U$18,J68),1)*IF(Upgrades!$T$19="Open Cluster",POWER(Upgrades!$U$19,K68),1)*IF(Upgrades!$T$21="Open Cluster",POWER(Upgrades!$U$21,M68),1))+(IF(M68=0,0,(Upgrades!$M$21+M68*Upgrades!$N$21)*POWER(Upgrades!$O$21,M68)))*(IF(Upgrades!$T$13="Moving Group",POWER(Upgrades!$U$13,E68),1)*IF(Upgrades!$T$14="Moving Group",POWER(Upgrades!$U$14,F68),1)*IF(Upgrades!$T$15="Moving Group",POWER(Upgrades!$U$15,G68),1)*IF(Upgrades!$T$16="Moving Group",POWER(Upgrades!$U$16,H68),1)*IF(Upgrades!$T$17="Moving Group",POWER(Upgrades!$U$17,I68),1)*IF(Upgrades!$T$18="Moving Group",POWER(Upgrades!$U$18,J68),1)*IF(Upgrades!$T$19="Moving Group",POWER(Upgrades!$U$19,K68),1)*IF(Upgrades!$T$20="Moving Group",POWER(Upgrades!$U$20,L68),1)))*POWER(Upgrades!$R$13,E68)*POWER(Upgrades!$R$14,F68)*POWER(Upgrades!$R$15,G68)*POWER(Upgrades!$R$16,H68)*POWER(Upgrades!$R$17,I68)*POWER(Upgrades!$R$18,J68)*POWER(Upgrades!$R$19,K68)*POWER(Upgrades!$R$20,L68)*POWER(Upgrades!$R$21,M68)*$H$6+$E$6</f>
        <v/>
      </c>
      <c r="R68" s="27">
        <f>IF(N68=1,0,O68*Parameters!$B$10/60*Parameters!$B$11*10)</f>
        <v/>
      </c>
      <c r="S68" s="27">
        <f>IF(N68=1,0,Q68*O68*10)</f>
        <v/>
      </c>
      <c r="T68" s="27">
        <f>IF(N68=1,0,R68+S68+P68*10)</f>
        <v/>
      </c>
      <c r="U68" s="33">
        <f>BE68</f>
        <v/>
      </c>
      <c r="V68" s="22">
        <f>IF(U68="",0,IF(U68="transition",0,IF(U68="SK",AK68,IF(U68="LB",AL68,IF(U68="ML",AM68,IF(U68="RLO",AN68,IF(U68="BD",AO68,IF(U68="BiP",AP68,IF(U68="PV",AQ68,IF(U68="OC",AR68,IF(U68="MG",AS68,0))))))))))</f>
        <v/>
      </c>
      <c r="W68" s="27">
        <f>IF(U68="BiP",Upgrades!$F$18,IF(U68="PV",Upgrades!$F$19,IF(U68="OC",Upgrades!$F$20,IF(U68="MG",Upgrades!$F$21,IF(U68="transition",-Parameters!$B$18*Parameters!$B$19,0)))))</f>
        <v/>
      </c>
      <c r="X68" s="22">
        <f>C68+T68-V68</f>
        <v/>
      </c>
      <c r="Y68" s="30">
        <f>O68*Parameters!$B$10/60*Parameters!$B$11+Q68*O68+P68</f>
        <v/>
      </c>
      <c r="Z68" s="34">
        <f>IF(U68="transition","→ Tier 3 (Galactic Arm)",IF(U68="MG","Moving Group — pocket drifts together",IF(U68="OC","Open Cluster acquired",IF(U68="PV","Peculiar Velocity — passive multiplier active",IF(U68="BiP","Binary Partner — pair bond formed",IF(AND(AU68=1,N68=0,AT68&lt;&gt;1),"Cohesion ready (waiting on completionists)","")))))) </f>
        <v/>
      </c>
      <c r="AA68" s="27">
        <f>(IF(E68=0,0,(Upgrades!$G$13+E68*Upgrades!$H$13)*POWER(Upgrades!$I$13,E68)))*(IF(Upgrades!$T$14="Stellar Kinematics",POWER(Upgrades!$U$14,F68),1)*IF(Upgrades!$T$15="Stellar Kinematics",POWER(Upgrades!$U$15,G68),1)*IF(Upgrades!$T$16="Stellar Kinematics",POWER(Upgrades!$U$16,H68),1)*IF(Upgrades!$T$17="Stellar Kinematics",POWER(Upgrades!$U$17,I68),1)*IF(Upgrades!$T$18="Stellar Kinematics",POWER(Upgrades!$U$18,J68),1)*IF(Upgrades!$T$19="Stellar Kinematics",POWER(Upgrades!$U$19,K68),1)*IF(Upgrades!$T$20="Stellar Kinematics",POWER(Upgrades!$U$20,L68),1)*IF(Upgrades!$T$21="Stellar Kinematics",POWER(Upgrades!$U$21,M68),1))*POWER(Upgrades!$P$13,E68)*POWER(Upgrades!$P$14,F68)*POWER(Upgrades!$P$15,G68)*POWER(Upgrades!$P$16,H68)*POWER(Upgrades!$P$17,I68)*POWER(Upgrades!$P$18,J68)*POWER(Upgrades!$P$19,K68)*POWER(Upgrades!$P$20,L68)*POWER(Upgrades!$P$21,M68)*$F$6*60</f>
        <v/>
      </c>
      <c r="AB68" s="27">
        <f>(IF(F68=0,0,(Upgrades!$G$14+F68*Upgrades!$H$14)*POWER(Upgrades!$I$14,F68)))*(IF(Upgrades!$T$13="Local Bubble",POWER(Upgrades!$U$13,E68),1)*IF(Upgrades!$T$15="Local Bubble",POWER(Upgrades!$U$15,G68),1)*IF(Upgrades!$T$16="Local Bubble",POWER(Upgrades!$U$16,H68),1)*IF(Upgrades!$T$17="Local Bubble",POWER(Upgrades!$U$17,I68),1)*IF(Upgrades!$T$18="Local Bubble",POWER(Upgrades!$U$18,J68),1)*IF(Upgrades!$T$19="Local Bubble",POWER(Upgrades!$U$19,K68),1)*IF(Upgrades!$T$20="Local Bubble",POWER(Upgrades!$U$20,L68),1)*IF(Upgrades!$T$21="Local Bubble",POWER(Upgrades!$U$21,M68),1))*POWER(Upgrades!$P$13,E68)*POWER(Upgrades!$P$14,F68)*POWER(Upgrades!$P$15,G68)*POWER(Upgrades!$P$16,H68)*POWER(Upgrades!$P$17,I68)*POWER(Upgrades!$P$18,J68)*POWER(Upgrades!$P$19,K68)*POWER(Upgrades!$P$20,L68)*POWER(Upgrades!$P$21,M68)*$F$6*60</f>
        <v/>
      </c>
      <c r="AC68" s="27">
        <f>(IF(G68=0,0,(Upgrades!$J$15+G68*Upgrades!$K$15)*POWER(Upgrades!$L$15,G68)))*(IF(Upgrades!$T$13="Microlensing",POWER(Upgrades!$U$13,E68),1)*IF(Upgrades!$T$14="Microlensing",POWER(Upgrades!$U$14,F68),1)*IF(Upgrades!$T$16="Microlensing",POWER(Upgrades!$U$16,H68),1)*IF(Upgrades!$T$17="Microlensing",POWER(Upgrades!$U$17,I68),1)*IF(Upgrades!$T$18="Microlensing",POWER(Upgrades!$U$18,J68),1)*IF(Upgrades!$T$19="Microlensing",POWER(Upgrades!$U$19,K68),1)*IF(Upgrades!$T$20="Microlensing",POWER(Upgrades!$U$20,L68),1)*IF(Upgrades!$T$21="Microlensing",POWER(Upgrades!$U$21,M68),1))*POWER(Upgrades!$Q$13,E68)*POWER(Upgrades!$Q$14,F68)*POWER(Upgrades!$Q$15,G68)*POWER(Upgrades!$Q$16,H68)*POWER(Upgrades!$Q$17,I68)*POWER(Upgrades!$Q$18,J68)*POWER(Upgrades!$Q$19,K68)*POWER(Upgrades!$Q$20,L68)*POWER(Upgrades!$Q$21,M68)*$G$6*(Parameters!$B$10*Parameters!$B$11+Q68*60)</f>
        <v/>
      </c>
      <c r="AD68" s="27">
        <f>(IF(H68=0,0,(Upgrades!$M$16+H68*Upgrades!$N$16)*POWER(Upgrades!$O$16,H68)))*(IF(Upgrades!$T$13="Roche Lobe Overflow",POWER(Upgrades!$U$13,E68),1)*IF(Upgrades!$T$14="Roche Lobe Overflow",POWER(Upgrades!$U$14,F68),1)*IF(Upgrades!$T$15="Roche Lobe Overflow",POWER(Upgrades!$U$15,G68),1)*IF(Upgrades!$T$17="Roche Lobe Overflow",POWER(Upgrades!$U$17,I68),1)*IF(Upgrades!$T$18="Roche Lobe Overflow",POWER(Upgrades!$U$18,J68),1)*IF(Upgrades!$T$19="Roche Lobe Overflow",POWER(Upgrades!$U$19,K68),1)*IF(Upgrades!$T$20="Roche Lobe Overflow",POWER(Upgrades!$U$20,L68),1)*IF(Upgrades!$T$21="Roche Lobe Overflow",POWER(Upgrades!$U$21,M68),1))*POWER(Upgrades!$R$13,E68)*POWER(Upgrades!$R$14,F68)*POWER(Upgrades!$R$15,G68)*POWER(Upgrades!$R$16,H68)*POWER(Upgrades!$R$17,I68)*POWER(Upgrades!$R$18,J68)*POWER(Upgrades!$R$19,K68)*POWER(Upgrades!$R$20,L68)*POWER(Upgrades!$R$21,M68)*$H$6*O68*60</f>
        <v/>
      </c>
      <c r="AE68" s="27">
        <f>(IF(I68=0,0,(Upgrades!$G$17+I68*Upgrades!$H$17)*POWER(Upgrades!$I$17,I68)))*(IF(Upgrades!$T$13="Brown Dwarf",POWER(Upgrades!$U$13,E68),1)*IF(Upgrades!$T$14="Brown Dwarf",POWER(Upgrades!$U$14,F68),1)*IF(Upgrades!$T$15="Brown Dwarf",POWER(Upgrades!$U$15,G68),1)*IF(Upgrades!$T$16="Brown Dwarf",POWER(Upgrades!$U$16,H68),1)*IF(Upgrades!$T$18="Brown Dwarf",POWER(Upgrades!$U$18,J68),1)*IF(Upgrades!$T$19="Brown Dwarf",POWER(Upgrades!$U$19,K68),1)*IF(Upgrades!$T$20="Brown Dwarf",POWER(Upgrades!$U$20,L68),1)*IF(Upgrades!$T$21="Brown Dwarf",POWER(Upgrades!$U$21,M68),1))*POWER(Upgrades!$P$13,E68)*POWER(Upgrades!$P$14,F68)*POWER(Upgrades!$P$15,G68)*POWER(Upgrades!$P$16,H68)*POWER(Upgrades!$P$17,I68)*POWER(Upgrades!$P$18,J68)*POWER(Upgrades!$P$19,K68)*POWER(Upgrades!$P$20,L68)*POWER(Upgrades!$P$21,M68)*$F$6*60</f>
        <v/>
      </c>
      <c r="AF68" s="27" t="n">
        <v>0</v>
      </c>
      <c r="AG68" s="27" t="n">
        <v>0</v>
      </c>
      <c r="AH68" s="27" t="n">
        <v>0</v>
      </c>
      <c r="AI68" s="27">
        <f>(IF(M68=0,0,(Upgrades!$G$21+M68*Upgrades!$H$21)*POWER(Upgrades!$I$21,M68)))*(IF(Upgrades!$T$13="Moving Group",POWER(Upgrades!$U$13,E68),1)*IF(Upgrades!$T$14="Moving Group",POWER(Upgrades!$U$14,F68),1)*IF(Upgrades!$T$15="Moving Group",POWER(Upgrades!$U$15,G68),1)*IF(Upgrades!$T$16="Moving Group",POWER(Upgrades!$U$16,H68),1)*IF(Upgrades!$T$17="Moving Group",POWER(Upgrades!$U$17,I68),1)*IF(Upgrades!$T$18="Moving Group",POWER(Upgrades!$U$18,J68),1)*IF(Upgrades!$T$19="Moving Group",POWER(Upgrades!$U$19,K68),1)*IF(Upgrades!$T$20="Moving Group",POWER(Upgrades!$U$20,L68),1))*POWER(Upgrades!$P$13,E68)*POWER(Upgrades!$P$14,F68)*POWER(Upgrades!$P$15,G68)*POWER(Upgrades!$P$16,H68)*POWER(Upgrades!$P$17,I68)*POWER(Upgrades!$P$18,J68)*POWER(Upgrades!$P$19,K68)*POWER(Upgrades!$P$20,L68)*POWER(Upgrades!$P$21,M68)*$F$6*60</f>
        <v/>
      </c>
      <c r="AJ68" s="27">
        <f>$C$6*60</f>
        <v/>
      </c>
      <c r="AK68" s="22">
        <f>IF(E68&gt;=Upgrades!$E$13,"",Upgrades!$C$13*POWER(Upgrades!$D$13,E68))</f>
        <v/>
      </c>
      <c r="AL68" s="22">
        <f>IF(F68&gt;=Upgrades!$E$14,"",Upgrades!$C$14*POWER(Upgrades!$D$14,F68))</f>
        <v/>
      </c>
      <c r="AM68" s="22">
        <f>IF(G68&gt;=Upgrades!$E$15,"",Upgrades!$C$15*POWER(Upgrades!$D$15,G68))</f>
        <v/>
      </c>
      <c r="AN68" s="22">
        <f>IF(H68&gt;=Upgrades!$E$16,"",Upgrades!$C$16*POWER(Upgrades!$D$16,H68))</f>
        <v/>
      </c>
      <c r="AO68" s="22">
        <f>IF(I68&gt;=Upgrades!$E$17,"",Upgrades!$C$17*POWER(Upgrades!$D$17,I68))</f>
        <v/>
      </c>
      <c r="AP68" s="22">
        <f>IF(J68&gt;=Upgrades!$E$18,"",Upgrades!$C$18*POWER(Upgrades!$D$18,J68))</f>
        <v/>
      </c>
      <c r="AQ68" s="22">
        <f>IF(K68&gt;=Upgrades!$E$19,"",Upgrades!$C$19*POWER(Upgrades!$D$19,K68))</f>
        <v/>
      </c>
      <c r="AR68" s="22">
        <f>IF(L68&gt;=Upgrades!$E$20,"",Upgrades!$C$20*POWER(Upgrades!$D$20,L68))</f>
        <v/>
      </c>
      <c r="AS68" s="22">
        <f>IF(M68&gt;=Upgrades!$E$21,"",Upgrades!$C$21*POWER(Upgrades!$D$21,M68))</f>
        <v/>
      </c>
      <c r="AT68" s="26">
        <f>IF(AND(D68&gt;=Parameters!$B$18*Parameters!$B$19,(I68&gt;=Upgrades!$E$17)*(M68&gt;=Upgrades!$E$21)=1,N68=0),1,"")</f>
        <v/>
      </c>
      <c r="AU68" s="26">
        <f>IF(AND(D68&gt;=Parameters!$B$18*Parameters!$B$19,N68=0),1,"")</f>
        <v/>
      </c>
      <c r="AV68" s="22">
        <f>MIN(IF(ISNUMBER(AP68),AP68,9E15),IF(ISNUMBER(AQ68),AQ68,9E15),IF(ISNUMBER(AR68),AR68,9E15),IF(ISNUMBER(AS68),AS68,9E15))</f>
        <v/>
      </c>
      <c r="AW68" s="22">
        <f>MIN(IF(ISNUMBER(AK68),AK68,9E15),IF(ISNUMBER(AL68),AL68,9E15),IF(ISNUMBER(AM68),AM68,9E15),IF(ISNUMBER(AN68),AN68,9E15),IF(ISNUMBER(AO68),AO68,9E15))</f>
        <v/>
      </c>
      <c r="AX68" s="29">
        <f>IF(BD68&gt;Parameters!$B$21*(MAX(IF(AND(NOT(AND(AU68=1,AT68&lt;&gt;1)),ISNUMBER(AK68),AK68&lt;=(C68+T68)),AY68,0),IF(AND(NOT(AND(AU68=1,AT68&lt;&gt;1)),ISNUMBER(AL68),AL68&lt;=(C68+T68)),AZ68,0),IF(AND(NOT(AND(AU68=1,AT68&lt;&gt;1)),ISNUMBER(AM68),AM68&lt;=(C68+T68)),BA68,0),IF(AND(NOT(AND(AU68=1,AT68&lt;&gt;1)),ISNUMBER(AN68),AN68&lt;=(C68+T68)),BB68,0),IF(AND(ISNUMBER(AO68),AO68&lt;=(C68+T68)),BC68,0))),TRUE,FALSE)</f>
        <v/>
      </c>
      <c r="AY68" s="32">
        <f>IFERROR(Upgrades!$H$13*(POWER(Upgrades!$P$13,E68)*POWER(Upgrades!$P$14,F68)*POWER(Upgrades!$P$15,G68)*POWER(Upgrades!$P$16,H68)*POWER(Upgrades!$P$17,I68)*POWER(Upgrades!$P$18,J68)*POWER(Upgrades!$P$19,K68)*POWER(Upgrades!$P$20,L68)*POWER(Upgrades!$P$21,M68))*(IF(Upgrades!$T$14="Stellar Kinematics",POWER(Upgrades!$U$14,F68),1)*IF(Upgrades!$T$15="Stellar Kinematics",POWER(Upgrades!$U$15,G68),1)*IF(Upgrades!$T$16="Stellar Kinematics",POWER(Upgrades!$U$16,H68),1)*IF(Upgrades!$T$17="Stellar Kinematics",POWER(Upgrades!$U$17,I68),1)*IF(Upgrades!$T$18="Stellar Kinematics",POWER(Upgrades!$U$18,J68),1)*IF(Upgrades!$T$19="Stellar Kinematics",POWER(Upgrades!$U$19,K68),1)*IF(Upgrades!$T$20="Stellar Kinematics",POWER(Upgrades!$U$20,L68),1)*IF(Upgrades!$T$21="Stellar Kinematics",POWER(Upgrades!$U$21,M68),1))*$F$6/AK68,0)</f>
        <v/>
      </c>
      <c r="AZ68" s="32">
        <f>IFERROR(Upgrades!$H$14*(POWER(Upgrades!$P$13,E68)*POWER(Upgrades!$P$14,F68)*POWER(Upgrades!$P$15,G68)*POWER(Upgrades!$P$16,H68)*POWER(Upgrades!$P$17,I68)*POWER(Upgrades!$P$18,J68)*POWER(Upgrades!$P$19,K68)*POWER(Upgrades!$P$20,L68)*POWER(Upgrades!$P$21,M68))*(IF(Upgrades!$T$13="Local Bubble",POWER(Upgrades!$U$13,E68),1)*IF(Upgrades!$T$15="Local Bubble",POWER(Upgrades!$U$15,G68),1)*IF(Upgrades!$T$16="Local Bubble",POWER(Upgrades!$U$16,H68),1)*IF(Upgrades!$T$17="Local Bubble",POWER(Upgrades!$U$17,I68),1)*IF(Upgrades!$T$18="Local Bubble",POWER(Upgrades!$U$18,J68),1)*IF(Upgrades!$T$19="Local Bubble",POWER(Upgrades!$U$19,K68),1)*IF(Upgrades!$T$20="Local Bubble",POWER(Upgrades!$U$20,L68),1)*IF(Upgrades!$T$21="Local Bubble",POWER(Upgrades!$U$21,M68),1))*$F$6/AL68,0)</f>
        <v/>
      </c>
      <c r="BA68" s="32">
        <f>IFERROR(Upgrades!$K$15*(POWER(Upgrades!$Q$13,E68)*POWER(Upgrades!$Q$14,F68)*POWER(Upgrades!$Q$15,G68)*POWER(Upgrades!$Q$16,H68)*POWER(Upgrades!$Q$17,I68)*POWER(Upgrades!$Q$18,J68)*POWER(Upgrades!$Q$19,K68)*POWER(Upgrades!$Q$20,L68)*POWER(Upgrades!$Q$21,M68))*(IF(Upgrades!$T$13="Microlensing",POWER(Upgrades!$U$13,E68),1)*IF(Upgrades!$T$14="Microlensing",POWER(Upgrades!$U$14,F68),1)*IF(Upgrades!$T$16="Microlensing",POWER(Upgrades!$U$16,H68),1)*IF(Upgrades!$T$17="Microlensing",POWER(Upgrades!$U$17,I68),1)*IF(Upgrades!$T$18="Microlensing",POWER(Upgrades!$U$18,J68),1)*IF(Upgrades!$T$19="Microlensing",POWER(Upgrades!$U$19,K68),1)*IF(Upgrades!$T$20="Microlensing",POWER(Upgrades!$U$20,L68),1)*IF(Upgrades!$T$21="Microlensing",POWER(Upgrades!$U$21,M68),1))*$G$6*(Parameters!$B$10/60*Parameters!$B$11+Q68)/AM68,0)</f>
        <v/>
      </c>
      <c r="BB68" s="32">
        <f>IFERROR((Upgrades!$N$16*(POWER(Upgrades!$R$13,E68)*POWER(Upgrades!$R$14,F68)*POWER(Upgrades!$R$15,G68)*POWER(Upgrades!$R$16,H68)*POWER(Upgrades!$R$17,I68)*POWER(Upgrades!$R$18,J68)*POWER(Upgrades!$R$19,K68)*POWER(Upgrades!$R$20,L68)*POWER(Upgrades!$R$21,M68))*(IF(Upgrades!$T$13="Roche Lobe Overflow",POWER(Upgrades!$U$13,E68),1)*IF(Upgrades!$T$14="Roche Lobe Overflow",POWER(Upgrades!$U$14,F68),1)*IF(Upgrades!$T$15="Roche Lobe Overflow",POWER(Upgrades!$U$15,G68),1)*IF(Upgrades!$T$17="Roche Lobe Overflow",POWER(Upgrades!$U$17,I68),1)*IF(Upgrades!$T$18="Roche Lobe Overflow",POWER(Upgrades!$U$18,J68),1)*IF(Upgrades!$T$19="Roche Lobe Overflow",POWER(Upgrades!$U$19,K68),1)*IF(Upgrades!$T$20="Roche Lobe Overflow",POWER(Upgrades!$U$20,L68),1)*IF(Upgrades!$T$21="Roche Lobe Overflow",POWER(Upgrades!$U$21,M68),1))*$H$6*O68+((IF(F68=0,0,(Upgrades!$G$14+F68*Upgrades!$H$14)*POWER(Upgrades!$I$14,F68)))*(IF(Upgrades!$T$13="Local Bubble",POWER(Upgrades!$U$13,E68),1)*IF(Upgrades!$T$15="Local Bubble",POWER(Upgrades!$U$15,G68),1)*IF(Upgrades!$T$16="Local Bubble",POWER(Upgrades!$U$16,H68),1)*IF(Upgrades!$T$17="Local Bubble",POWER(Upgrades!$U$17,I68),1)*IF(Upgrades!$T$18="Local Bubble",POWER(Upgrades!$U$18,J68),1)*IF(Upgrades!$T$19="Local Bubble",POWER(Upgrades!$U$19,K68),1)*IF(Upgrades!$T$20="Local Bubble",POWER(Upgrades!$U$20,L68),1)*IF(Upgrades!$T$21="Local Bubble",POWER(Upgrades!$U$21,M68),1))*POWER(Upgrades!$P$13,E68)*POWER(Upgrades!$P$14,F68)*POWER(Upgrades!$P$15,G68)*POWER(Upgrades!$P$16,H68)*POWER(Upgrades!$P$17,I68)*POWER(Upgrades!$P$18,J68)*POWER(Upgrades!$P$19,K68)*POWER(Upgrades!$P$20,L68)*POWER(Upgrades!$P$21,M68)*$F$6)*0.05)/AN68,0)</f>
        <v/>
      </c>
      <c r="BC68" s="32">
        <f>IFERROR((Upgrades!$H$17*(POWER(Upgrades!$P$13,E68)*POWER(Upgrades!$P$14,F68)*POWER(Upgrades!$P$15,G68)*POWER(Upgrades!$P$16,H68)*POWER(Upgrades!$P$17,I68)*POWER(Upgrades!$P$18,J68)*POWER(Upgrades!$P$19,K68)*POWER(Upgrades!$P$20,L68)*POWER(Upgrades!$P$21,M68))*(IF(Upgrades!$T$13="Brown Dwarf",POWER(Upgrades!$U$13,E68),1)*IF(Upgrades!$T$14="Brown Dwarf",POWER(Upgrades!$U$14,F68),1)*IF(Upgrades!$T$15="Brown Dwarf",POWER(Upgrades!$U$15,G68),1)*IF(Upgrades!$T$16="Brown Dwarf",POWER(Upgrades!$U$16,H68),1)*IF(Upgrades!$T$18="Brown Dwarf",POWER(Upgrades!$U$18,J68),1)*IF(Upgrades!$T$19="Brown Dwarf",POWER(Upgrades!$U$19,K68),1)*IF(Upgrades!$T$20="Brown Dwarf",POWER(Upgrades!$U$20,L68),1)*IF(Upgrades!$T$21="Brown Dwarf",POWER(Upgrades!$U$21,M68),1))*$F$6+(((IF(H68=0,0,(Upgrades!$M$16+H68*Upgrades!$N$16)*POWER(Upgrades!$O$16,H68)))*(IF(Upgrades!$T$13="Roche Lobe Overflow",POWER(Upgrades!$U$13,E68),1)*IF(Upgrades!$T$14="Roche Lobe Overflow",POWER(Upgrades!$U$14,F68),1)*IF(Upgrades!$T$15="Roche Lobe Overflow",POWER(Upgrades!$U$15,G68),1)*IF(Upgrades!$T$17="Roche Lobe Overflow",POWER(Upgrades!$U$17,I68),1)*IF(Upgrades!$T$18="Roche Lobe Overflow",POWER(Upgrades!$U$18,J68),1)*IF(Upgrades!$T$19="Roche Lobe Overflow",POWER(Upgrades!$U$19,K68),1)*IF(Upgrades!$T$20="Roche Lobe Overflow",POWER(Upgrades!$U$20,L68),1)*IF(Upgrades!$T$21="Roche Lobe Overflow",POWER(Upgrades!$U$21,M68),1))*POWER(Upgrades!$R$13,E68)*POWER(Upgrades!$R$14,F68)*POWER(Upgrades!$R$15,G68)*POWER(Upgrades!$R$16,H68)*POWER(Upgrades!$R$17,I68)*POWER(Upgrades!$R$18,J68)*POWER(Upgrades!$R$19,K68)*POWER(Upgrades!$R$20,L68)*POWER(Upgrades!$R$21,M68)*$H$6)*O68)*0.10)/AO68,0)</f>
        <v/>
      </c>
      <c r="BD68" s="32">
        <f>MAX(IF(J68&gt;0,0,IFERROR(0.5*((IF(G68=0,0,(Upgrades!$J$15+G68*Upgrades!$K$15)*POWER(Upgrades!$L$15,G68)))*(IF(Upgrades!$T$13="Microlensing",POWER(Upgrades!$U$13,E68),1)*IF(Upgrades!$T$14="Microlensing",POWER(Upgrades!$U$14,F68),1)*IF(Upgrades!$T$16="Microlensing",POWER(Upgrades!$U$16,H68),1)*IF(Upgrades!$T$17="Microlensing",POWER(Upgrades!$U$17,I68),1)*IF(Upgrades!$T$18="Microlensing",POWER(Upgrades!$U$18,J68),1)*IF(Upgrades!$T$19="Microlensing",POWER(Upgrades!$U$19,K68),1)*IF(Upgrades!$T$20="Microlensing",POWER(Upgrades!$U$20,L68),1)*IF(Upgrades!$T$21="Microlensing",POWER(Upgrades!$U$21,M68),1))*(POWER(Upgrades!$Q$13,E68)*POWER(Upgrades!$Q$14,F68)*POWER(Upgrades!$Q$15,G68)*POWER(Upgrades!$Q$16,H68)*POWER(Upgrades!$Q$17,I68)*POWER(Upgrades!$Q$18,J68)*POWER(Upgrades!$Q$19,K68)*POWER(Upgrades!$Q$20,L68)*POWER(Upgrades!$Q$21,M68))*$G$6*(Parameters!$B$10/60*Parameters!$B$11+Q68))/Upgrades!$C$18,0)),IF(K68&gt;0,0,IFERROR(0.30*P68/Upgrades!$C$19,0)),IF(L68&gt;0,0,IFERROR(0.0001/Upgrades!$C$20,0)),IF(M68&gt;0,0,IFERROR((6.0*(POWER(Upgrades!$P$13,E68)*POWER(Upgrades!$P$14,F68)*POWER(Upgrades!$P$15,G68)*POWER(Upgrades!$P$16,H68)*POWER(Upgrades!$P$17,I68)*POWER(Upgrades!$P$18,J68)*POWER(Upgrades!$P$19,K68)*POWER(Upgrades!$P$20,L68)*POWER(Upgrades!$P$21,M68))*$F$6+0.20*O68*(Parameters!$B$10/60*Parameters!$B$11+Q68))/Upgrades!$C$21,0)),IF(AND(ISNUMBER(AK68),AK68&gt;(C68+T68)),AY68,0),IF(AND(ISNUMBER(AL68),AL68&gt;(C68+T68)),AZ68,0),IF(AND(ISNUMBER(AM68),AM68&gt;(C68+T68)),BA68,0),IF(AND(ISNUMBER(AN68),AN68&gt;(C68+T68)),BB68,0),IF(AND(ISNUMBER(AO68),AO68&gt;(C68+T68)),BC68,0))</f>
        <v/>
      </c>
      <c r="BE68" s="29">
        <f>IF(AT68=1,"transition",IF(MIN(IF(AND(J68=0,ISNUMBER(AP68),AP68&lt;=(C68+T68)),AP68,9E15),IF(AND(K68=0,ISNUMBER(AQ68),AQ68&lt;=(C68+T68)),AQ68,9E15),IF(AND(L68=0,ISNUMBER(AR68),AR68&lt;=(C68+T68)),AR68,9E15),IF(AND(M68=0,ISNUMBER(AS68),AS68&lt;=(C68+T68)),AS68,9E15))&lt;9E15,IF(AND(AND(J68=0,ISNUMBER(AP68),AP68&lt;=(C68+T68)),AP68=MIN(IF(AND(J68=0,ISNUMBER(AP68),AP68&lt;=(C68+T68)),AP68,9E15),IF(AND(K68=0,ISNUMBER(AQ68),AQ68&lt;=(C68+T68)),AQ68,9E15),IF(AND(L68=0,ISNUMBER(AR68),AR68&lt;=(C68+T68)),AR68,9E15),IF(AND(M68=0,ISNUMBER(AS68),AS68&lt;=(C68+T68)),AS68,9E15))),"BiP",IF(AND(AND(K68=0,ISNUMBER(AQ68),AQ68&lt;=(C68+T68)),AQ68=MIN(IF(AND(J68=0,ISNUMBER(AP68),AP68&lt;=(C68+T68)),AP68,9E15),IF(AND(K68=0,ISNUMBER(AQ68),AQ68&lt;=(C68+T68)),AQ68,9E15),IF(AND(L68=0,ISNUMBER(AR68),AR68&lt;=(C68+T68)),AR68,9E15),IF(AND(M68=0,ISNUMBER(AS68),AS68&lt;=(C68+T68)),AS68,9E15))),"PV",IF(AND(AND(L68=0,ISNUMBER(AR68),AR68&lt;=(C68+T68)),AR68=MIN(IF(AND(J68=0,ISNUMBER(AP68),AP68&lt;=(C68+T68)),AP68,9E15),IF(AND(K68=0,ISNUMBER(AQ68),AQ68&lt;=(C68+T68)),AQ68,9E15),IF(AND(L68=0,ISNUMBER(AR68),AR68&lt;=(C68+T68)),AR68,9E15),IF(AND(M68=0,ISNUMBER(AS68),AS68&lt;=(C68+T68)),AS68,9E15))),"OC","MG"))),IF(AX68=TRUE,"",IF(MAX(IF(AND(NOT(AND(AU68=1,AT68&lt;&gt;1)),ISNUMBER(AK68),AK68&lt;=(C68+T68)),AY68,0),IF(AND(NOT(AND(AU68=1,AT68&lt;&gt;1)),ISNUMBER(AL68),AL68&lt;=(C68+T68)),AZ68,0),IF(AND(NOT(AND(AU68=1,AT68&lt;&gt;1)),ISNUMBER(AM68),AM68&lt;=(C68+T68)),BA68,0),IF(AND(NOT(AND(AU68=1,AT68&lt;&gt;1)),ISNUMBER(AN68),AN68&lt;=(C68+T68)),BB68,0),IF(AND(ISNUMBER(AO68),AO68&lt;=(C68+T68)),BC68,0))&lt;=0,"",IF(AND(IF(AND(NOT(AND(AU68=1,AT68&lt;&gt;1)),ISNUMBER(AK68),AK68&lt;=(C68+T68)),AY68,0)&gt;0,IF(AND(NOT(AND(AU68=1,AT68&lt;&gt;1)),ISNUMBER(AK68),AK68&lt;=(C68+T68)),AY68,0)=MAX(IF(AND(NOT(AND(AU68=1,AT68&lt;&gt;1)),ISNUMBER(AK68),AK68&lt;=(C68+T68)),AY68,0),IF(AND(NOT(AND(AU68=1,AT68&lt;&gt;1)),ISNUMBER(AL68),AL68&lt;=(C68+T68)),AZ68,0),IF(AND(NOT(AND(AU68=1,AT68&lt;&gt;1)),ISNUMBER(AM68),AM68&lt;=(C68+T68)),BA68,0),IF(AND(NOT(AND(AU68=1,AT68&lt;&gt;1)),ISNUMBER(AN68),AN68&lt;=(C68+T68)),BB68,0),IF(AND(ISNUMBER(AO68),AO68&lt;=(C68+T68)),BC68,0))),"SK",IF(AND(IF(AND(NOT(AND(AU68=1,AT68&lt;&gt;1)),ISNUMBER(AL68),AL68&lt;=(C68+T68)),AZ68,0)&gt;0,IF(AND(NOT(AND(AU68=1,AT68&lt;&gt;1)),ISNUMBER(AL68),AL68&lt;=(C68+T68)),AZ68,0)=MAX(IF(AND(NOT(AND(AU68=1,AT68&lt;&gt;1)),ISNUMBER(AK68),AK68&lt;=(C68+T68)),AY68,0),IF(AND(NOT(AND(AU68=1,AT68&lt;&gt;1)),ISNUMBER(AL68),AL68&lt;=(C68+T68)),AZ68,0),IF(AND(NOT(AND(AU68=1,AT68&lt;&gt;1)),ISNUMBER(AM68),AM68&lt;=(C68+T68)),BA68,0),IF(AND(NOT(AND(AU68=1,AT68&lt;&gt;1)),ISNUMBER(AN68),AN68&lt;=(C68+T68)),BB68,0),IF(AND(ISNUMBER(AO68),AO68&lt;=(C68+T68)),BC68,0))),"LB",IF(AND(IF(AND(NOT(AND(AU68=1,AT68&lt;&gt;1)),ISNUMBER(AM68),AM68&lt;=(C68+T68)),BA68,0)&gt;0,IF(AND(NOT(AND(AU68=1,AT68&lt;&gt;1)),ISNUMBER(AM68),AM68&lt;=(C68+T68)),BA68,0)=MAX(IF(AND(NOT(AND(AU68=1,AT68&lt;&gt;1)),ISNUMBER(AK68),AK68&lt;=(C68+T68)),AY68,0),IF(AND(NOT(AND(AU68=1,AT68&lt;&gt;1)),ISNUMBER(AL68),AL68&lt;=(C68+T68)),AZ68,0),IF(AND(NOT(AND(AU68=1,AT68&lt;&gt;1)),ISNUMBER(AM68),AM68&lt;=(C68+T68)),BA68,0),IF(AND(NOT(AND(AU68=1,AT68&lt;&gt;1)),ISNUMBER(AN68),AN68&lt;=(C68+T68)),BB68,0),IF(AND(ISNUMBER(AO68),AO68&lt;=(C68+T68)),BC68,0))),"ML",IF(AND(IF(AND(NOT(AND(AU68=1,AT68&lt;&gt;1)),ISNUMBER(AN68),AN68&lt;=(C68+T68)),BB68,0)&gt;0,IF(AND(NOT(AND(AU68=1,AT68&lt;&gt;1)),ISNUMBER(AN68),AN68&lt;=(C68+T68)),BB68,0)=MAX(IF(AND(NOT(AND(AU68=1,AT68&lt;&gt;1)),ISNUMBER(AK68),AK68&lt;=(C68+T68)),AY68,0),IF(AND(NOT(AND(AU68=1,AT68&lt;&gt;1)),ISNUMBER(AL68),AL68&lt;=(C68+T68)),AZ68,0),IF(AND(NOT(AND(AU68=1,AT68&lt;&gt;1)),ISNUMBER(AM68),AM68&lt;=(C68+T68)),BA68,0),IF(AND(NOT(AND(AU68=1,AT68&lt;&gt;1)),ISNUMBER(AN68),AN68&lt;=(C68+T68)),BB68,0),IF(AND(ISNUMBER(AO68),AO68&lt;=(C68+T68)),BC68,0))),"RLO","BD"))))))))</f>
        <v/>
      </c>
    </row>
    <row r="69">
      <c r="A69" s="26" t="n">
        <v>58</v>
      </c>
      <c r="B69" s="27">
        <f>A69*10/60</f>
        <v/>
      </c>
      <c r="C69" s="22">
        <f>X68</f>
        <v/>
      </c>
      <c r="D69" s="27">
        <f>D68+W68</f>
        <v/>
      </c>
      <c r="E69" s="26">
        <f>E68+IF(U68="SK",1,0)</f>
        <v/>
      </c>
      <c r="F69" s="26">
        <f>F68+IF(U68="LB",1,0)</f>
        <v/>
      </c>
      <c r="G69" s="26">
        <f>G68+IF(U68="ML",1,0)</f>
        <v/>
      </c>
      <c r="H69" s="26">
        <f>H68+IF(U68="RLO",1,0)</f>
        <v/>
      </c>
      <c r="I69" s="26">
        <f>I68+IF(U68="BD",1,0)</f>
        <v/>
      </c>
      <c r="J69" s="26">
        <f>MAX(J68,IF(U68="BiP",1,0))</f>
        <v/>
      </c>
      <c r="K69" s="26">
        <f>MAX(K68,IF(U68="PV",1,0))</f>
        <v/>
      </c>
      <c r="L69" s="26">
        <f>MAX(L68,IF(U68="OC",1,0))</f>
        <v/>
      </c>
      <c r="M69" s="26">
        <f>MAX(M68,IF(U68="MG",1,0))</f>
        <v/>
      </c>
      <c r="N69" s="26">
        <f>MAX(N68,IF(U68="transition",1,0))</f>
        <v/>
      </c>
      <c r="O69" s="28">
        <f>(Parameters!$B$9+(IF(E69=0,0,(Upgrades!$J$13+E69*Upgrades!$K$13)*POWER(Upgrades!$L$13,E69)))*(IF(Upgrades!$T$14="Stellar Kinematics",POWER(Upgrades!$U$14,F69),1)*IF(Upgrades!$T$15="Stellar Kinematics",POWER(Upgrades!$U$15,G69),1)*IF(Upgrades!$T$16="Stellar Kinematics",POWER(Upgrades!$U$16,H69),1)*IF(Upgrades!$T$17="Stellar Kinematics",POWER(Upgrades!$U$17,I69),1)*IF(Upgrades!$T$18="Stellar Kinematics",POWER(Upgrades!$U$18,J69),1)*IF(Upgrades!$T$19="Stellar Kinematics",POWER(Upgrades!$U$19,K69),1)*IF(Upgrades!$T$20="Stellar Kinematics",POWER(Upgrades!$U$20,L69),1)*IF(Upgrades!$T$21="Stellar Kinematics",POWER(Upgrades!$U$21,M69),1))+(IF(F69=0,0,(Upgrades!$J$14+F69*Upgrades!$K$14)*POWER(Upgrades!$L$14,F69)))*(IF(Upgrades!$T$13="Local Bubble",POWER(Upgrades!$U$13,E69),1)*IF(Upgrades!$T$15="Local Bubble",POWER(Upgrades!$U$15,G69),1)*IF(Upgrades!$T$16="Local Bubble",POWER(Upgrades!$U$16,H69),1)*IF(Upgrades!$T$17="Local Bubble",POWER(Upgrades!$U$17,I69),1)*IF(Upgrades!$T$18="Local Bubble",POWER(Upgrades!$U$18,J69),1)*IF(Upgrades!$T$19="Local Bubble",POWER(Upgrades!$U$19,K69),1)*IF(Upgrades!$T$20="Local Bubble",POWER(Upgrades!$U$20,L69),1)*IF(Upgrades!$T$21="Local Bubble",POWER(Upgrades!$U$21,M69),1))+(IF(G69=0,0,(Upgrades!$J$15+G69*Upgrades!$K$15)*POWER(Upgrades!$L$15,G69)))*(IF(Upgrades!$T$13="Microlensing",POWER(Upgrades!$U$13,E69),1)*IF(Upgrades!$T$14="Microlensing",POWER(Upgrades!$U$14,F69),1)*IF(Upgrades!$T$16="Microlensing",POWER(Upgrades!$U$16,H69),1)*IF(Upgrades!$T$17="Microlensing",POWER(Upgrades!$U$17,I69),1)*IF(Upgrades!$T$18="Microlensing",POWER(Upgrades!$U$18,J69),1)*IF(Upgrades!$T$19="Microlensing",POWER(Upgrades!$U$19,K69),1)*IF(Upgrades!$T$20="Microlensing",POWER(Upgrades!$U$20,L69),1)*IF(Upgrades!$T$21="Microlensing",POWER(Upgrades!$U$21,M69),1))+(IF(H69=0,0,(Upgrades!$J$16+H69*Upgrades!$K$16)*POWER(Upgrades!$L$16,H69)))*(IF(Upgrades!$T$13="Roche Lobe Overflow",POWER(Upgrades!$U$13,E69),1)*IF(Upgrades!$T$14="Roche Lobe Overflow",POWER(Upgrades!$U$14,F69),1)*IF(Upgrades!$T$15="Roche Lobe Overflow",POWER(Upgrades!$U$15,G69),1)*IF(Upgrades!$T$17="Roche Lobe Overflow",POWER(Upgrades!$U$17,I69),1)*IF(Upgrades!$T$18="Roche Lobe Overflow",POWER(Upgrades!$U$18,J69),1)*IF(Upgrades!$T$19="Roche Lobe Overflow",POWER(Upgrades!$U$19,K69),1)*IF(Upgrades!$T$20="Roche Lobe Overflow",POWER(Upgrades!$U$20,L69),1)*IF(Upgrades!$T$21="Roche Lobe Overflow",POWER(Upgrades!$U$21,M69),1))+(IF(I69=0,0,(Upgrades!$J$17+I69*Upgrades!$K$17)*POWER(Upgrades!$L$17,I69)))*(IF(Upgrades!$T$13="Brown Dwarf",POWER(Upgrades!$U$13,E69),1)*IF(Upgrades!$T$14="Brown Dwarf",POWER(Upgrades!$U$14,F69),1)*IF(Upgrades!$T$15="Brown Dwarf",POWER(Upgrades!$U$15,G69),1)*IF(Upgrades!$T$16="Brown Dwarf",POWER(Upgrades!$U$16,H69),1)*IF(Upgrades!$T$18="Brown Dwarf",POWER(Upgrades!$U$18,J69),1)*IF(Upgrades!$T$19="Brown Dwarf",POWER(Upgrades!$U$19,K69),1)*IF(Upgrades!$T$20="Brown Dwarf",POWER(Upgrades!$U$20,L69),1)*IF(Upgrades!$T$21="Brown Dwarf",POWER(Upgrades!$U$21,M69),1))+(IF(J69=0,0,(Upgrades!$J$18+J69*Upgrades!$K$18)*POWER(Upgrades!$L$18,J69)))*(IF(Upgrades!$T$13="Binary Partner",POWER(Upgrades!$U$13,E69),1)*IF(Upgrades!$T$14="Binary Partner",POWER(Upgrades!$U$14,F69),1)*IF(Upgrades!$T$15="Binary Partner",POWER(Upgrades!$U$15,G69),1)*IF(Upgrades!$T$16="Binary Partner",POWER(Upgrades!$U$16,H69),1)*IF(Upgrades!$T$17="Binary Partner",POWER(Upgrades!$U$17,I69),1)*IF(Upgrades!$T$19="Binary Partner",POWER(Upgrades!$U$19,K69),1)*IF(Upgrades!$T$20="Binary Partner",POWER(Upgrades!$U$20,L69),1)*IF(Upgrades!$T$21="Binary Partner",POWER(Upgrades!$U$21,M69),1))+(IF(K69=0,0,(Upgrades!$J$19+K69*Upgrades!$K$19)*POWER(Upgrades!$L$19,K69)))*(IF(Upgrades!$T$13="Peculiar Velocity",POWER(Upgrades!$U$13,E69),1)*IF(Upgrades!$T$14="Peculiar Velocity",POWER(Upgrades!$U$14,F69),1)*IF(Upgrades!$T$15="Peculiar Velocity",POWER(Upgrades!$U$15,G69),1)*IF(Upgrades!$T$16="Peculiar Velocity",POWER(Upgrades!$U$16,H69),1)*IF(Upgrades!$T$17="Peculiar Velocity",POWER(Upgrades!$U$17,I69),1)*IF(Upgrades!$T$18="Peculiar Velocity",POWER(Upgrades!$U$18,J69),1)*IF(Upgrades!$T$20="Peculiar Velocity",POWER(Upgrades!$U$20,L69),1)*IF(Upgrades!$T$21="Peculiar Velocity",POWER(Upgrades!$U$21,M69),1))+(IF(L69=0,0,(Upgrades!$J$20+L69*Upgrades!$K$20)*POWER(Upgrades!$L$20,L69)))*(IF(Upgrades!$T$13="Open Cluster",POWER(Upgrades!$U$13,E69),1)*IF(Upgrades!$T$14="Open Cluster",POWER(Upgrades!$U$14,F69),1)*IF(Upgrades!$T$15="Open Cluster",POWER(Upgrades!$U$15,G69),1)*IF(Upgrades!$T$16="Open Cluster",POWER(Upgrades!$U$16,H69),1)*IF(Upgrades!$T$17="Open Cluster",POWER(Upgrades!$U$17,I69),1)*IF(Upgrades!$T$18="Open Cluster",POWER(Upgrades!$U$18,J69),1)*IF(Upgrades!$T$19="Open Cluster",POWER(Upgrades!$U$19,K69),1)*IF(Upgrades!$T$21="Open Cluster",POWER(Upgrades!$U$21,M69),1))+(IF(M69=0,0,(Upgrades!$J$21+M69*Upgrades!$K$21)*POWER(Upgrades!$L$21,M69)))*(IF(Upgrades!$T$13="Moving Group",POWER(Upgrades!$U$13,E69),1)*IF(Upgrades!$T$14="Moving Group",POWER(Upgrades!$U$14,F69),1)*IF(Upgrades!$T$15="Moving Group",POWER(Upgrades!$U$15,G69),1)*IF(Upgrades!$T$16="Moving Group",POWER(Upgrades!$U$16,H69),1)*IF(Upgrades!$T$17="Moving Group",POWER(Upgrades!$U$17,I69),1)*IF(Upgrades!$T$18="Moving Group",POWER(Upgrades!$U$18,J69),1)*IF(Upgrades!$T$19="Moving Group",POWER(Upgrades!$U$19,K69),1)*IF(Upgrades!$T$20="Moving Group",POWER(Upgrades!$U$20,L69),1)))*POWER(Upgrades!$Q$13,E69)*POWER(Upgrades!$Q$14,F69)*POWER(Upgrades!$Q$15,G69)*POWER(Upgrades!$Q$16,H69)*POWER(Upgrades!$Q$17,I69)*POWER(Upgrades!$Q$18,J69)*POWER(Upgrades!$Q$19,K69)*POWER(Upgrades!$Q$20,L69)*POWER(Upgrades!$Q$21,M69)*$G$6+$D$6</f>
        <v/>
      </c>
      <c r="P69" s="28">
        <f>((IF(E69=0,0,(Upgrades!$G$13+E69*Upgrades!$H$13)*POWER(Upgrades!$I$13,E69)))*(IF(Upgrades!$T$14="Stellar Kinematics",POWER(Upgrades!$U$14,F69),1)*IF(Upgrades!$T$15="Stellar Kinematics",POWER(Upgrades!$U$15,G69),1)*IF(Upgrades!$T$16="Stellar Kinematics",POWER(Upgrades!$U$16,H69),1)*IF(Upgrades!$T$17="Stellar Kinematics",POWER(Upgrades!$U$17,I69),1)*IF(Upgrades!$T$18="Stellar Kinematics",POWER(Upgrades!$U$18,J69),1)*IF(Upgrades!$T$19="Stellar Kinematics",POWER(Upgrades!$U$19,K69),1)*IF(Upgrades!$T$20="Stellar Kinematics",POWER(Upgrades!$U$20,L69),1)*IF(Upgrades!$T$21="Stellar Kinematics",POWER(Upgrades!$U$21,M69),1))+(IF(F69=0,0,(Upgrades!$G$14+F69*Upgrades!$H$14)*POWER(Upgrades!$I$14,F69)))*(IF(Upgrades!$T$13="Local Bubble",POWER(Upgrades!$U$13,E69),1)*IF(Upgrades!$T$15="Local Bubble",POWER(Upgrades!$U$15,G69),1)*IF(Upgrades!$T$16="Local Bubble",POWER(Upgrades!$U$16,H69),1)*IF(Upgrades!$T$17="Local Bubble",POWER(Upgrades!$U$17,I69),1)*IF(Upgrades!$T$18="Local Bubble",POWER(Upgrades!$U$18,J69),1)*IF(Upgrades!$T$19="Local Bubble",POWER(Upgrades!$U$19,K69),1)*IF(Upgrades!$T$20="Local Bubble",POWER(Upgrades!$U$20,L69),1)*IF(Upgrades!$T$21="Local Bubble",POWER(Upgrades!$U$21,M69),1))+(IF(G69=0,0,(Upgrades!$G$15+G69*Upgrades!$H$15)*POWER(Upgrades!$I$15,G69)))*(IF(Upgrades!$T$13="Microlensing",POWER(Upgrades!$U$13,E69),1)*IF(Upgrades!$T$14="Microlensing",POWER(Upgrades!$U$14,F69),1)*IF(Upgrades!$T$16="Microlensing",POWER(Upgrades!$U$16,H69),1)*IF(Upgrades!$T$17="Microlensing",POWER(Upgrades!$U$17,I69),1)*IF(Upgrades!$T$18="Microlensing",POWER(Upgrades!$U$18,J69),1)*IF(Upgrades!$T$19="Microlensing",POWER(Upgrades!$U$19,K69),1)*IF(Upgrades!$T$20="Microlensing",POWER(Upgrades!$U$20,L69),1)*IF(Upgrades!$T$21="Microlensing",POWER(Upgrades!$U$21,M69),1))+(IF(H69=0,0,(Upgrades!$G$16+H69*Upgrades!$H$16)*POWER(Upgrades!$I$16,H69)))*(IF(Upgrades!$T$13="Roche Lobe Overflow",POWER(Upgrades!$U$13,E69),1)*IF(Upgrades!$T$14="Roche Lobe Overflow",POWER(Upgrades!$U$14,F69),1)*IF(Upgrades!$T$15="Roche Lobe Overflow",POWER(Upgrades!$U$15,G69),1)*IF(Upgrades!$T$17="Roche Lobe Overflow",POWER(Upgrades!$U$17,I69),1)*IF(Upgrades!$T$18="Roche Lobe Overflow",POWER(Upgrades!$U$18,J69),1)*IF(Upgrades!$T$19="Roche Lobe Overflow",POWER(Upgrades!$U$19,K69),1)*IF(Upgrades!$T$20="Roche Lobe Overflow",POWER(Upgrades!$U$20,L69),1)*IF(Upgrades!$T$21="Roche Lobe Overflow",POWER(Upgrades!$U$21,M69),1))+(IF(I69=0,0,(Upgrades!$G$17+I69*Upgrades!$H$17)*POWER(Upgrades!$I$17,I69)))*(IF(Upgrades!$T$13="Brown Dwarf",POWER(Upgrades!$U$13,E69),1)*IF(Upgrades!$T$14="Brown Dwarf",POWER(Upgrades!$U$14,F69),1)*IF(Upgrades!$T$15="Brown Dwarf",POWER(Upgrades!$U$15,G69),1)*IF(Upgrades!$T$16="Brown Dwarf",POWER(Upgrades!$U$16,H69),1)*IF(Upgrades!$T$18="Brown Dwarf",POWER(Upgrades!$U$18,J69),1)*IF(Upgrades!$T$19="Brown Dwarf",POWER(Upgrades!$U$19,K69),1)*IF(Upgrades!$T$20="Brown Dwarf",POWER(Upgrades!$U$20,L69),1)*IF(Upgrades!$T$21="Brown Dwarf",POWER(Upgrades!$U$21,M69),1))+(IF(J69=0,0,(Upgrades!$G$18+J69*Upgrades!$H$18)*POWER(Upgrades!$I$18,J69)))*(IF(Upgrades!$T$13="Binary Partner",POWER(Upgrades!$U$13,E69),1)*IF(Upgrades!$T$14="Binary Partner",POWER(Upgrades!$U$14,F69),1)*IF(Upgrades!$T$15="Binary Partner",POWER(Upgrades!$U$15,G69),1)*IF(Upgrades!$T$16="Binary Partner",POWER(Upgrades!$U$16,H69),1)*IF(Upgrades!$T$17="Binary Partner",POWER(Upgrades!$U$17,I69),1)*IF(Upgrades!$T$19="Binary Partner",POWER(Upgrades!$U$19,K69),1)*IF(Upgrades!$T$20="Binary Partner",POWER(Upgrades!$U$20,L69),1)*IF(Upgrades!$T$21="Binary Partner",POWER(Upgrades!$U$21,M69),1))+(IF(K69=0,0,(Upgrades!$G$19+K69*Upgrades!$H$19)*POWER(Upgrades!$I$19,K69)))*(IF(Upgrades!$T$13="Peculiar Velocity",POWER(Upgrades!$U$13,E69),1)*IF(Upgrades!$T$14="Peculiar Velocity",POWER(Upgrades!$U$14,F69),1)*IF(Upgrades!$T$15="Peculiar Velocity",POWER(Upgrades!$U$15,G69),1)*IF(Upgrades!$T$16="Peculiar Velocity",POWER(Upgrades!$U$16,H69),1)*IF(Upgrades!$T$17="Peculiar Velocity",POWER(Upgrades!$U$17,I69),1)*IF(Upgrades!$T$18="Peculiar Velocity",POWER(Upgrades!$U$18,J69),1)*IF(Upgrades!$T$20="Peculiar Velocity",POWER(Upgrades!$U$20,L69),1)*IF(Upgrades!$T$21="Peculiar Velocity",POWER(Upgrades!$U$21,M69),1))+(IF(L69=0,0,(Upgrades!$G$20+L69*Upgrades!$H$20)*POWER(Upgrades!$I$20,L69)))*(IF(Upgrades!$T$13="Open Cluster",POWER(Upgrades!$U$13,E69),1)*IF(Upgrades!$T$14="Open Cluster",POWER(Upgrades!$U$14,F69),1)*IF(Upgrades!$T$15="Open Cluster",POWER(Upgrades!$U$15,G69),1)*IF(Upgrades!$T$16="Open Cluster",POWER(Upgrades!$U$16,H69),1)*IF(Upgrades!$T$17="Open Cluster",POWER(Upgrades!$U$17,I69),1)*IF(Upgrades!$T$18="Open Cluster",POWER(Upgrades!$U$18,J69),1)*IF(Upgrades!$T$19="Open Cluster",POWER(Upgrades!$U$19,K69),1)*IF(Upgrades!$T$21="Open Cluster",POWER(Upgrades!$U$21,M69),1))+(IF(M69=0,0,(Upgrades!$G$21+M69*Upgrades!$H$21)*POWER(Upgrades!$I$21,M69)))*(IF(Upgrades!$T$13="Moving Group",POWER(Upgrades!$U$13,E69),1)*IF(Upgrades!$T$14="Moving Group",POWER(Upgrades!$U$14,F69),1)*IF(Upgrades!$T$15="Moving Group",POWER(Upgrades!$U$15,G69),1)*IF(Upgrades!$T$16="Moving Group",POWER(Upgrades!$U$16,H69),1)*IF(Upgrades!$T$17="Moving Group",POWER(Upgrades!$U$17,I69),1)*IF(Upgrades!$T$18="Moving Group",POWER(Upgrades!$U$18,J69),1)*IF(Upgrades!$T$19="Moving Group",POWER(Upgrades!$U$19,K69),1)*IF(Upgrades!$T$20="Moving Group",POWER(Upgrades!$U$20,L69),1)))*POWER(Upgrades!$P$13,E69)*POWER(Upgrades!$P$14,F69)*POWER(Upgrades!$P$15,G69)*POWER(Upgrades!$P$16,H69)*POWER(Upgrades!$P$17,I69)*POWER(Upgrades!$P$18,J69)*POWER(Upgrades!$P$19,K69)*POWER(Upgrades!$P$20,L69)*POWER(Upgrades!$P$21,M69)*$F$6+$C$6</f>
        <v/>
      </c>
      <c r="Q69" s="28">
        <f>((IF(E69=0,0,(Upgrades!$M$13+E69*Upgrades!$N$13)*POWER(Upgrades!$O$13,E69)))*(IF(Upgrades!$T$14="Stellar Kinematics",POWER(Upgrades!$U$14,F69),1)*IF(Upgrades!$T$15="Stellar Kinematics",POWER(Upgrades!$U$15,G69),1)*IF(Upgrades!$T$16="Stellar Kinematics",POWER(Upgrades!$U$16,H69),1)*IF(Upgrades!$T$17="Stellar Kinematics",POWER(Upgrades!$U$17,I69),1)*IF(Upgrades!$T$18="Stellar Kinematics",POWER(Upgrades!$U$18,J69),1)*IF(Upgrades!$T$19="Stellar Kinematics",POWER(Upgrades!$U$19,K69),1)*IF(Upgrades!$T$20="Stellar Kinematics",POWER(Upgrades!$U$20,L69),1)*IF(Upgrades!$T$21="Stellar Kinematics",POWER(Upgrades!$U$21,M69),1))+(IF(F69=0,0,(Upgrades!$M$14+F69*Upgrades!$N$14)*POWER(Upgrades!$O$14,F69)))*(IF(Upgrades!$T$13="Local Bubble",POWER(Upgrades!$U$13,E69),1)*IF(Upgrades!$T$15="Local Bubble",POWER(Upgrades!$U$15,G69),1)*IF(Upgrades!$T$16="Local Bubble",POWER(Upgrades!$U$16,H69),1)*IF(Upgrades!$T$17="Local Bubble",POWER(Upgrades!$U$17,I69),1)*IF(Upgrades!$T$18="Local Bubble",POWER(Upgrades!$U$18,J69),1)*IF(Upgrades!$T$19="Local Bubble",POWER(Upgrades!$U$19,K69),1)*IF(Upgrades!$T$20="Local Bubble",POWER(Upgrades!$U$20,L69),1)*IF(Upgrades!$T$21="Local Bubble",POWER(Upgrades!$U$21,M69),1))+(IF(G69=0,0,(Upgrades!$M$15+G69*Upgrades!$N$15)*POWER(Upgrades!$O$15,G69)))*(IF(Upgrades!$T$13="Microlensing",POWER(Upgrades!$U$13,E69),1)*IF(Upgrades!$T$14="Microlensing",POWER(Upgrades!$U$14,F69),1)*IF(Upgrades!$T$16="Microlensing",POWER(Upgrades!$U$16,H69),1)*IF(Upgrades!$T$17="Microlensing",POWER(Upgrades!$U$17,I69),1)*IF(Upgrades!$T$18="Microlensing",POWER(Upgrades!$U$18,J69),1)*IF(Upgrades!$T$19="Microlensing",POWER(Upgrades!$U$19,K69),1)*IF(Upgrades!$T$20="Microlensing",POWER(Upgrades!$U$20,L69),1)*IF(Upgrades!$T$21="Microlensing",POWER(Upgrades!$U$21,M69),1))+(IF(H69=0,0,(Upgrades!$M$16+H69*Upgrades!$N$16)*POWER(Upgrades!$O$16,H69)))*(IF(Upgrades!$T$13="Roche Lobe Overflow",POWER(Upgrades!$U$13,E69),1)*IF(Upgrades!$T$14="Roche Lobe Overflow",POWER(Upgrades!$U$14,F69),1)*IF(Upgrades!$T$15="Roche Lobe Overflow",POWER(Upgrades!$U$15,G69),1)*IF(Upgrades!$T$17="Roche Lobe Overflow",POWER(Upgrades!$U$17,I69),1)*IF(Upgrades!$T$18="Roche Lobe Overflow",POWER(Upgrades!$U$18,J69),1)*IF(Upgrades!$T$19="Roche Lobe Overflow",POWER(Upgrades!$U$19,K69),1)*IF(Upgrades!$T$20="Roche Lobe Overflow",POWER(Upgrades!$U$20,L69),1)*IF(Upgrades!$T$21="Roche Lobe Overflow",POWER(Upgrades!$U$21,M69),1))+(IF(I69=0,0,(Upgrades!$M$17+I69*Upgrades!$N$17)*POWER(Upgrades!$O$17,I69)))*(IF(Upgrades!$T$13="Brown Dwarf",POWER(Upgrades!$U$13,E69),1)*IF(Upgrades!$T$14="Brown Dwarf",POWER(Upgrades!$U$14,F69),1)*IF(Upgrades!$T$15="Brown Dwarf",POWER(Upgrades!$U$15,G69),1)*IF(Upgrades!$T$16="Brown Dwarf",POWER(Upgrades!$U$16,H69),1)*IF(Upgrades!$T$18="Brown Dwarf",POWER(Upgrades!$U$18,J69),1)*IF(Upgrades!$T$19="Brown Dwarf",POWER(Upgrades!$U$19,K69),1)*IF(Upgrades!$T$20="Brown Dwarf",POWER(Upgrades!$U$20,L69),1)*IF(Upgrades!$T$21="Brown Dwarf",POWER(Upgrades!$U$21,M69),1))+(IF(J69=0,0,(Upgrades!$M$18+J69*Upgrades!$N$18)*POWER(Upgrades!$O$18,J69)))*(IF(Upgrades!$T$13="Binary Partner",POWER(Upgrades!$U$13,E69),1)*IF(Upgrades!$T$14="Binary Partner",POWER(Upgrades!$U$14,F69),1)*IF(Upgrades!$T$15="Binary Partner",POWER(Upgrades!$U$15,G69),1)*IF(Upgrades!$T$16="Binary Partner",POWER(Upgrades!$U$16,H69),1)*IF(Upgrades!$T$17="Binary Partner",POWER(Upgrades!$U$17,I69),1)*IF(Upgrades!$T$19="Binary Partner",POWER(Upgrades!$U$19,K69),1)*IF(Upgrades!$T$20="Binary Partner",POWER(Upgrades!$U$20,L69),1)*IF(Upgrades!$T$21="Binary Partner",POWER(Upgrades!$U$21,M69),1))+(IF(K69=0,0,(Upgrades!$M$19+K69*Upgrades!$N$19)*POWER(Upgrades!$O$19,K69)))*(IF(Upgrades!$T$13="Peculiar Velocity",POWER(Upgrades!$U$13,E69),1)*IF(Upgrades!$T$14="Peculiar Velocity",POWER(Upgrades!$U$14,F69),1)*IF(Upgrades!$T$15="Peculiar Velocity",POWER(Upgrades!$U$15,G69),1)*IF(Upgrades!$T$16="Peculiar Velocity",POWER(Upgrades!$U$16,H69),1)*IF(Upgrades!$T$17="Peculiar Velocity",POWER(Upgrades!$U$17,I69),1)*IF(Upgrades!$T$18="Peculiar Velocity",POWER(Upgrades!$U$18,J69),1)*IF(Upgrades!$T$20="Peculiar Velocity",POWER(Upgrades!$U$20,L69),1)*IF(Upgrades!$T$21="Peculiar Velocity",POWER(Upgrades!$U$21,M69),1))+(IF(L69=0,0,(Upgrades!$M$20+L69*Upgrades!$N$20)*POWER(Upgrades!$O$20,L69)))*(IF(Upgrades!$T$13="Open Cluster",POWER(Upgrades!$U$13,E69),1)*IF(Upgrades!$T$14="Open Cluster",POWER(Upgrades!$U$14,F69),1)*IF(Upgrades!$T$15="Open Cluster",POWER(Upgrades!$U$15,G69),1)*IF(Upgrades!$T$16="Open Cluster",POWER(Upgrades!$U$16,H69),1)*IF(Upgrades!$T$17="Open Cluster",POWER(Upgrades!$U$17,I69),1)*IF(Upgrades!$T$18="Open Cluster",POWER(Upgrades!$U$18,J69),1)*IF(Upgrades!$T$19="Open Cluster",POWER(Upgrades!$U$19,K69),1)*IF(Upgrades!$T$21="Open Cluster",POWER(Upgrades!$U$21,M69),1))+(IF(M69=0,0,(Upgrades!$M$21+M69*Upgrades!$N$21)*POWER(Upgrades!$O$21,M69)))*(IF(Upgrades!$T$13="Moving Group",POWER(Upgrades!$U$13,E69),1)*IF(Upgrades!$T$14="Moving Group",POWER(Upgrades!$U$14,F69),1)*IF(Upgrades!$T$15="Moving Group",POWER(Upgrades!$U$15,G69),1)*IF(Upgrades!$T$16="Moving Group",POWER(Upgrades!$U$16,H69),1)*IF(Upgrades!$T$17="Moving Group",POWER(Upgrades!$U$17,I69),1)*IF(Upgrades!$T$18="Moving Group",POWER(Upgrades!$U$18,J69),1)*IF(Upgrades!$T$19="Moving Group",POWER(Upgrades!$U$19,K69),1)*IF(Upgrades!$T$20="Moving Group",POWER(Upgrades!$U$20,L69),1)))*POWER(Upgrades!$R$13,E69)*POWER(Upgrades!$R$14,F69)*POWER(Upgrades!$R$15,G69)*POWER(Upgrades!$R$16,H69)*POWER(Upgrades!$R$17,I69)*POWER(Upgrades!$R$18,J69)*POWER(Upgrades!$R$19,K69)*POWER(Upgrades!$R$20,L69)*POWER(Upgrades!$R$21,M69)*$H$6+$E$6</f>
        <v/>
      </c>
      <c r="R69" s="27">
        <f>IF(N69=1,0,O69*Parameters!$B$10/60*Parameters!$B$11*10)</f>
        <v/>
      </c>
      <c r="S69" s="27">
        <f>IF(N69=1,0,Q69*O69*10)</f>
        <v/>
      </c>
      <c r="T69" s="27">
        <f>IF(N69=1,0,R69+S69+P69*10)</f>
        <v/>
      </c>
      <c r="U69" s="33">
        <f>BE69</f>
        <v/>
      </c>
      <c r="V69" s="22">
        <f>IF(U69="",0,IF(U69="transition",0,IF(U69="SK",AK69,IF(U69="LB",AL69,IF(U69="ML",AM69,IF(U69="RLO",AN69,IF(U69="BD",AO69,IF(U69="BiP",AP69,IF(U69="PV",AQ69,IF(U69="OC",AR69,IF(U69="MG",AS69,0))))))))))</f>
        <v/>
      </c>
      <c r="W69" s="27">
        <f>IF(U69="BiP",Upgrades!$F$18,IF(U69="PV",Upgrades!$F$19,IF(U69="OC",Upgrades!$F$20,IF(U69="MG",Upgrades!$F$21,IF(U69="transition",-Parameters!$B$18*Parameters!$B$19,0)))))</f>
        <v/>
      </c>
      <c r="X69" s="22">
        <f>C69+T69-V69</f>
        <v/>
      </c>
      <c r="Y69" s="30">
        <f>O69*Parameters!$B$10/60*Parameters!$B$11+Q69*O69+P69</f>
        <v/>
      </c>
      <c r="Z69" s="34">
        <f>IF(U69="transition","→ Tier 3 (Galactic Arm)",IF(U69="MG","Moving Group — pocket drifts together",IF(U69="OC","Open Cluster acquired",IF(U69="PV","Peculiar Velocity — passive multiplier active",IF(U69="BiP","Binary Partner — pair bond formed",IF(AND(AU69=1,N69=0,AT69&lt;&gt;1),"Cohesion ready (waiting on completionists)","")))))) </f>
        <v/>
      </c>
      <c r="AA69" s="27">
        <f>(IF(E69=0,0,(Upgrades!$G$13+E69*Upgrades!$H$13)*POWER(Upgrades!$I$13,E69)))*(IF(Upgrades!$T$14="Stellar Kinematics",POWER(Upgrades!$U$14,F69),1)*IF(Upgrades!$T$15="Stellar Kinematics",POWER(Upgrades!$U$15,G69),1)*IF(Upgrades!$T$16="Stellar Kinematics",POWER(Upgrades!$U$16,H69),1)*IF(Upgrades!$T$17="Stellar Kinematics",POWER(Upgrades!$U$17,I69),1)*IF(Upgrades!$T$18="Stellar Kinematics",POWER(Upgrades!$U$18,J69),1)*IF(Upgrades!$T$19="Stellar Kinematics",POWER(Upgrades!$U$19,K69),1)*IF(Upgrades!$T$20="Stellar Kinematics",POWER(Upgrades!$U$20,L69),1)*IF(Upgrades!$T$21="Stellar Kinematics",POWER(Upgrades!$U$21,M69),1))*POWER(Upgrades!$P$13,E69)*POWER(Upgrades!$P$14,F69)*POWER(Upgrades!$P$15,G69)*POWER(Upgrades!$P$16,H69)*POWER(Upgrades!$P$17,I69)*POWER(Upgrades!$P$18,J69)*POWER(Upgrades!$P$19,K69)*POWER(Upgrades!$P$20,L69)*POWER(Upgrades!$P$21,M69)*$F$6*60</f>
        <v/>
      </c>
      <c r="AB69" s="27">
        <f>(IF(F69=0,0,(Upgrades!$G$14+F69*Upgrades!$H$14)*POWER(Upgrades!$I$14,F69)))*(IF(Upgrades!$T$13="Local Bubble",POWER(Upgrades!$U$13,E69),1)*IF(Upgrades!$T$15="Local Bubble",POWER(Upgrades!$U$15,G69),1)*IF(Upgrades!$T$16="Local Bubble",POWER(Upgrades!$U$16,H69),1)*IF(Upgrades!$T$17="Local Bubble",POWER(Upgrades!$U$17,I69),1)*IF(Upgrades!$T$18="Local Bubble",POWER(Upgrades!$U$18,J69),1)*IF(Upgrades!$T$19="Local Bubble",POWER(Upgrades!$U$19,K69),1)*IF(Upgrades!$T$20="Local Bubble",POWER(Upgrades!$U$20,L69),1)*IF(Upgrades!$T$21="Local Bubble",POWER(Upgrades!$U$21,M69),1))*POWER(Upgrades!$P$13,E69)*POWER(Upgrades!$P$14,F69)*POWER(Upgrades!$P$15,G69)*POWER(Upgrades!$P$16,H69)*POWER(Upgrades!$P$17,I69)*POWER(Upgrades!$P$18,J69)*POWER(Upgrades!$P$19,K69)*POWER(Upgrades!$P$20,L69)*POWER(Upgrades!$P$21,M69)*$F$6*60</f>
        <v/>
      </c>
      <c r="AC69" s="27">
        <f>(IF(G69=0,0,(Upgrades!$J$15+G69*Upgrades!$K$15)*POWER(Upgrades!$L$15,G69)))*(IF(Upgrades!$T$13="Microlensing",POWER(Upgrades!$U$13,E69),1)*IF(Upgrades!$T$14="Microlensing",POWER(Upgrades!$U$14,F69),1)*IF(Upgrades!$T$16="Microlensing",POWER(Upgrades!$U$16,H69),1)*IF(Upgrades!$T$17="Microlensing",POWER(Upgrades!$U$17,I69),1)*IF(Upgrades!$T$18="Microlensing",POWER(Upgrades!$U$18,J69),1)*IF(Upgrades!$T$19="Microlensing",POWER(Upgrades!$U$19,K69),1)*IF(Upgrades!$T$20="Microlensing",POWER(Upgrades!$U$20,L69),1)*IF(Upgrades!$T$21="Microlensing",POWER(Upgrades!$U$21,M69),1))*POWER(Upgrades!$Q$13,E69)*POWER(Upgrades!$Q$14,F69)*POWER(Upgrades!$Q$15,G69)*POWER(Upgrades!$Q$16,H69)*POWER(Upgrades!$Q$17,I69)*POWER(Upgrades!$Q$18,J69)*POWER(Upgrades!$Q$19,K69)*POWER(Upgrades!$Q$20,L69)*POWER(Upgrades!$Q$21,M69)*$G$6*(Parameters!$B$10*Parameters!$B$11+Q69*60)</f>
        <v/>
      </c>
      <c r="AD69" s="27">
        <f>(IF(H69=0,0,(Upgrades!$M$16+H69*Upgrades!$N$16)*POWER(Upgrades!$O$16,H69)))*(IF(Upgrades!$T$13="Roche Lobe Overflow",POWER(Upgrades!$U$13,E69),1)*IF(Upgrades!$T$14="Roche Lobe Overflow",POWER(Upgrades!$U$14,F69),1)*IF(Upgrades!$T$15="Roche Lobe Overflow",POWER(Upgrades!$U$15,G69),1)*IF(Upgrades!$T$17="Roche Lobe Overflow",POWER(Upgrades!$U$17,I69),1)*IF(Upgrades!$T$18="Roche Lobe Overflow",POWER(Upgrades!$U$18,J69),1)*IF(Upgrades!$T$19="Roche Lobe Overflow",POWER(Upgrades!$U$19,K69),1)*IF(Upgrades!$T$20="Roche Lobe Overflow",POWER(Upgrades!$U$20,L69),1)*IF(Upgrades!$T$21="Roche Lobe Overflow",POWER(Upgrades!$U$21,M69),1))*POWER(Upgrades!$R$13,E69)*POWER(Upgrades!$R$14,F69)*POWER(Upgrades!$R$15,G69)*POWER(Upgrades!$R$16,H69)*POWER(Upgrades!$R$17,I69)*POWER(Upgrades!$R$18,J69)*POWER(Upgrades!$R$19,K69)*POWER(Upgrades!$R$20,L69)*POWER(Upgrades!$R$21,M69)*$H$6*O69*60</f>
        <v/>
      </c>
      <c r="AE69" s="27">
        <f>(IF(I69=0,0,(Upgrades!$G$17+I69*Upgrades!$H$17)*POWER(Upgrades!$I$17,I69)))*(IF(Upgrades!$T$13="Brown Dwarf",POWER(Upgrades!$U$13,E69),1)*IF(Upgrades!$T$14="Brown Dwarf",POWER(Upgrades!$U$14,F69),1)*IF(Upgrades!$T$15="Brown Dwarf",POWER(Upgrades!$U$15,G69),1)*IF(Upgrades!$T$16="Brown Dwarf",POWER(Upgrades!$U$16,H69),1)*IF(Upgrades!$T$18="Brown Dwarf",POWER(Upgrades!$U$18,J69),1)*IF(Upgrades!$T$19="Brown Dwarf",POWER(Upgrades!$U$19,K69),1)*IF(Upgrades!$T$20="Brown Dwarf",POWER(Upgrades!$U$20,L69),1)*IF(Upgrades!$T$21="Brown Dwarf",POWER(Upgrades!$U$21,M69),1))*POWER(Upgrades!$P$13,E69)*POWER(Upgrades!$P$14,F69)*POWER(Upgrades!$P$15,G69)*POWER(Upgrades!$P$16,H69)*POWER(Upgrades!$P$17,I69)*POWER(Upgrades!$P$18,J69)*POWER(Upgrades!$P$19,K69)*POWER(Upgrades!$P$20,L69)*POWER(Upgrades!$P$21,M69)*$F$6*60</f>
        <v/>
      </c>
      <c r="AF69" s="27" t="n">
        <v>0</v>
      </c>
      <c r="AG69" s="27" t="n">
        <v>0</v>
      </c>
      <c r="AH69" s="27" t="n">
        <v>0</v>
      </c>
      <c r="AI69" s="27">
        <f>(IF(M69=0,0,(Upgrades!$G$21+M69*Upgrades!$H$21)*POWER(Upgrades!$I$21,M69)))*(IF(Upgrades!$T$13="Moving Group",POWER(Upgrades!$U$13,E69),1)*IF(Upgrades!$T$14="Moving Group",POWER(Upgrades!$U$14,F69),1)*IF(Upgrades!$T$15="Moving Group",POWER(Upgrades!$U$15,G69),1)*IF(Upgrades!$T$16="Moving Group",POWER(Upgrades!$U$16,H69),1)*IF(Upgrades!$T$17="Moving Group",POWER(Upgrades!$U$17,I69),1)*IF(Upgrades!$T$18="Moving Group",POWER(Upgrades!$U$18,J69),1)*IF(Upgrades!$T$19="Moving Group",POWER(Upgrades!$U$19,K69),1)*IF(Upgrades!$T$20="Moving Group",POWER(Upgrades!$U$20,L69),1))*POWER(Upgrades!$P$13,E69)*POWER(Upgrades!$P$14,F69)*POWER(Upgrades!$P$15,G69)*POWER(Upgrades!$P$16,H69)*POWER(Upgrades!$P$17,I69)*POWER(Upgrades!$P$18,J69)*POWER(Upgrades!$P$19,K69)*POWER(Upgrades!$P$20,L69)*POWER(Upgrades!$P$21,M69)*$F$6*60</f>
        <v/>
      </c>
      <c r="AJ69" s="27">
        <f>$C$6*60</f>
        <v/>
      </c>
      <c r="AK69" s="22">
        <f>IF(E69&gt;=Upgrades!$E$13,"",Upgrades!$C$13*POWER(Upgrades!$D$13,E69))</f>
        <v/>
      </c>
      <c r="AL69" s="22">
        <f>IF(F69&gt;=Upgrades!$E$14,"",Upgrades!$C$14*POWER(Upgrades!$D$14,F69))</f>
        <v/>
      </c>
      <c r="AM69" s="22">
        <f>IF(G69&gt;=Upgrades!$E$15,"",Upgrades!$C$15*POWER(Upgrades!$D$15,G69))</f>
        <v/>
      </c>
      <c r="AN69" s="22">
        <f>IF(H69&gt;=Upgrades!$E$16,"",Upgrades!$C$16*POWER(Upgrades!$D$16,H69))</f>
        <v/>
      </c>
      <c r="AO69" s="22">
        <f>IF(I69&gt;=Upgrades!$E$17,"",Upgrades!$C$17*POWER(Upgrades!$D$17,I69))</f>
        <v/>
      </c>
      <c r="AP69" s="22">
        <f>IF(J69&gt;=Upgrades!$E$18,"",Upgrades!$C$18*POWER(Upgrades!$D$18,J69))</f>
        <v/>
      </c>
      <c r="AQ69" s="22">
        <f>IF(K69&gt;=Upgrades!$E$19,"",Upgrades!$C$19*POWER(Upgrades!$D$19,K69))</f>
        <v/>
      </c>
      <c r="AR69" s="22">
        <f>IF(L69&gt;=Upgrades!$E$20,"",Upgrades!$C$20*POWER(Upgrades!$D$20,L69))</f>
        <v/>
      </c>
      <c r="AS69" s="22">
        <f>IF(M69&gt;=Upgrades!$E$21,"",Upgrades!$C$21*POWER(Upgrades!$D$21,M69))</f>
        <v/>
      </c>
      <c r="AT69" s="26">
        <f>IF(AND(D69&gt;=Parameters!$B$18*Parameters!$B$19,(I69&gt;=Upgrades!$E$17)*(M69&gt;=Upgrades!$E$21)=1,N69=0),1,"")</f>
        <v/>
      </c>
      <c r="AU69" s="26">
        <f>IF(AND(D69&gt;=Parameters!$B$18*Parameters!$B$19,N69=0),1,"")</f>
        <v/>
      </c>
      <c r="AV69" s="22">
        <f>MIN(IF(ISNUMBER(AP69),AP69,9E15),IF(ISNUMBER(AQ69),AQ69,9E15),IF(ISNUMBER(AR69),AR69,9E15),IF(ISNUMBER(AS69),AS69,9E15))</f>
        <v/>
      </c>
      <c r="AW69" s="22">
        <f>MIN(IF(ISNUMBER(AK69),AK69,9E15),IF(ISNUMBER(AL69),AL69,9E15),IF(ISNUMBER(AM69),AM69,9E15),IF(ISNUMBER(AN69),AN69,9E15),IF(ISNUMBER(AO69),AO69,9E15))</f>
        <v/>
      </c>
      <c r="AX69" s="29">
        <f>IF(BD69&gt;Parameters!$B$21*(MAX(IF(AND(NOT(AND(AU69=1,AT69&lt;&gt;1)),ISNUMBER(AK69),AK69&lt;=(C69+T69)),AY69,0),IF(AND(NOT(AND(AU69=1,AT69&lt;&gt;1)),ISNUMBER(AL69),AL69&lt;=(C69+T69)),AZ69,0),IF(AND(NOT(AND(AU69=1,AT69&lt;&gt;1)),ISNUMBER(AM69),AM69&lt;=(C69+T69)),BA69,0),IF(AND(NOT(AND(AU69=1,AT69&lt;&gt;1)),ISNUMBER(AN69),AN69&lt;=(C69+T69)),BB69,0),IF(AND(ISNUMBER(AO69),AO69&lt;=(C69+T69)),BC69,0))),TRUE,FALSE)</f>
        <v/>
      </c>
      <c r="AY69" s="32">
        <f>IFERROR(Upgrades!$H$13*(POWER(Upgrades!$P$13,E69)*POWER(Upgrades!$P$14,F69)*POWER(Upgrades!$P$15,G69)*POWER(Upgrades!$P$16,H69)*POWER(Upgrades!$P$17,I69)*POWER(Upgrades!$P$18,J69)*POWER(Upgrades!$P$19,K69)*POWER(Upgrades!$P$20,L69)*POWER(Upgrades!$P$21,M69))*(IF(Upgrades!$T$14="Stellar Kinematics",POWER(Upgrades!$U$14,F69),1)*IF(Upgrades!$T$15="Stellar Kinematics",POWER(Upgrades!$U$15,G69),1)*IF(Upgrades!$T$16="Stellar Kinematics",POWER(Upgrades!$U$16,H69),1)*IF(Upgrades!$T$17="Stellar Kinematics",POWER(Upgrades!$U$17,I69),1)*IF(Upgrades!$T$18="Stellar Kinematics",POWER(Upgrades!$U$18,J69),1)*IF(Upgrades!$T$19="Stellar Kinematics",POWER(Upgrades!$U$19,K69),1)*IF(Upgrades!$T$20="Stellar Kinematics",POWER(Upgrades!$U$20,L69),1)*IF(Upgrades!$T$21="Stellar Kinematics",POWER(Upgrades!$U$21,M69),1))*$F$6/AK69,0)</f>
        <v/>
      </c>
      <c r="AZ69" s="32">
        <f>IFERROR(Upgrades!$H$14*(POWER(Upgrades!$P$13,E69)*POWER(Upgrades!$P$14,F69)*POWER(Upgrades!$P$15,G69)*POWER(Upgrades!$P$16,H69)*POWER(Upgrades!$P$17,I69)*POWER(Upgrades!$P$18,J69)*POWER(Upgrades!$P$19,K69)*POWER(Upgrades!$P$20,L69)*POWER(Upgrades!$P$21,M69))*(IF(Upgrades!$T$13="Local Bubble",POWER(Upgrades!$U$13,E69),1)*IF(Upgrades!$T$15="Local Bubble",POWER(Upgrades!$U$15,G69),1)*IF(Upgrades!$T$16="Local Bubble",POWER(Upgrades!$U$16,H69),1)*IF(Upgrades!$T$17="Local Bubble",POWER(Upgrades!$U$17,I69),1)*IF(Upgrades!$T$18="Local Bubble",POWER(Upgrades!$U$18,J69),1)*IF(Upgrades!$T$19="Local Bubble",POWER(Upgrades!$U$19,K69),1)*IF(Upgrades!$T$20="Local Bubble",POWER(Upgrades!$U$20,L69),1)*IF(Upgrades!$T$21="Local Bubble",POWER(Upgrades!$U$21,M69),1))*$F$6/AL69,0)</f>
        <v/>
      </c>
      <c r="BA69" s="32">
        <f>IFERROR(Upgrades!$K$15*(POWER(Upgrades!$Q$13,E69)*POWER(Upgrades!$Q$14,F69)*POWER(Upgrades!$Q$15,G69)*POWER(Upgrades!$Q$16,H69)*POWER(Upgrades!$Q$17,I69)*POWER(Upgrades!$Q$18,J69)*POWER(Upgrades!$Q$19,K69)*POWER(Upgrades!$Q$20,L69)*POWER(Upgrades!$Q$21,M69))*(IF(Upgrades!$T$13="Microlensing",POWER(Upgrades!$U$13,E69),1)*IF(Upgrades!$T$14="Microlensing",POWER(Upgrades!$U$14,F69),1)*IF(Upgrades!$T$16="Microlensing",POWER(Upgrades!$U$16,H69),1)*IF(Upgrades!$T$17="Microlensing",POWER(Upgrades!$U$17,I69),1)*IF(Upgrades!$T$18="Microlensing",POWER(Upgrades!$U$18,J69),1)*IF(Upgrades!$T$19="Microlensing",POWER(Upgrades!$U$19,K69),1)*IF(Upgrades!$T$20="Microlensing",POWER(Upgrades!$U$20,L69),1)*IF(Upgrades!$T$21="Microlensing",POWER(Upgrades!$U$21,M69),1))*$G$6*(Parameters!$B$10/60*Parameters!$B$11+Q69)/AM69,0)</f>
        <v/>
      </c>
      <c r="BB69" s="32">
        <f>IFERROR((Upgrades!$N$16*(POWER(Upgrades!$R$13,E69)*POWER(Upgrades!$R$14,F69)*POWER(Upgrades!$R$15,G69)*POWER(Upgrades!$R$16,H69)*POWER(Upgrades!$R$17,I69)*POWER(Upgrades!$R$18,J69)*POWER(Upgrades!$R$19,K69)*POWER(Upgrades!$R$20,L69)*POWER(Upgrades!$R$21,M69))*(IF(Upgrades!$T$13="Roche Lobe Overflow",POWER(Upgrades!$U$13,E69),1)*IF(Upgrades!$T$14="Roche Lobe Overflow",POWER(Upgrades!$U$14,F69),1)*IF(Upgrades!$T$15="Roche Lobe Overflow",POWER(Upgrades!$U$15,G69),1)*IF(Upgrades!$T$17="Roche Lobe Overflow",POWER(Upgrades!$U$17,I69),1)*IF(Upgrades!$T$18="Roche Lobe Overflow",POWER(Upgrades!$U$18,J69),1)*IF(Upgrades!$T$19="Roche Lobe Overflow",POWER(Upgrades!$U$19,K69),1)*IF(Upgrades!$T$20="Roche Lobe Overflow",POWER(Upgrades!$U$20,L69),1)*IF(Upgrades!$T$21="Roche Lobe Overflow",POWER(Upgrades!$U$21,M69),1))*$H$6*O69+((IF(F69=0,0,(Upgrades!$G$14+F69*Upgrades!$H$14)*POWER(Upgrades!$I$14,F69)))*(IF(Upgrades!$T$13="Local Bubble",POWER(Upgrades!$U$13,E69),1)*IF(Upgrades!$T$15="Local Bubble",POWER(Upgrades!$U$15,G69),1)*IF(Upgrades!$T$16="Local Bubble",POWER(Upgrades!$U$16,H69),1)*IF(Upgrades!$T$17="Local Bubble",POWER(Upgrades!$U$17,I69),1)*IF(Upgrades!$T$18="Local Bubble",POWER(Upgrades!$U$18,J69),1)*IF(Upgrades!$T$19="Local Bubble",POWER(Upgrades!$U$19,K69),1)*IF(Upgrades!$T$20="Local Bubble",POWER(Upgrades!$U$20,L69),1)*IF(Upgrades!$T$21="Local Bubble",POWER(Upgrades!$U$21,M69),1))*POWER(Upgrades!$P$13,E69)*POWER(Upgrades!$P$14,F69)*POWER(Upgrades!$P$15,G69)*POWER(Upgrades!$P$16,H69)*POWER(Upgrades!$P$17,I69)*POWER(Upgrades!$P$18,J69)*POWER(Upgrades!$P$19,K69)*POWER(Upgrades!$P$20,L69)*POWER(Upgrades!$P$21,M69)*$F$6)*0.05)/AN69,0)</f>
        <v/>
      </c>
      <c r="BC69" s="32">
        <f>IFERROR((Upgrades!$H$17*(POWER(Upgrades!$P$13,E69)*POWER(Upgrades!$P$14,F69)*POWER(Upgrades!$P$15,G69)*POWER(Upgrades!$P$16,H69)*POWER(Upgrades!$P$17,I69)*POWER(Upgrades!$P$18,J69)*POWER(Upgrades!$P$19,K69)*POWER(Upgrades!$P$20,L69)*POWER(Upgrades!$P$21,M69))*(IF(Upgrades!$T$13="Brown Dwarf",POWER(Upgrades!$U$13,E69),1)*IF(Upgrades!$T$14="Brown Dwarf",POWER(Upgrades!$U$14,F69),1)*IF(Upgrades!$T$15="Brown Dwarf",POWER(Upgrades!$U$15,G69),1)*IF(Upgrades!$T$16="Brown Dwarf",POWER(Upgrades!$U$16,H69),1)*IF(Upgrades!$T$18="Brown Dwarf",POWER(Upgrades!$U$18,J69),1)*IF(Upgrades!$T$19="Brown Dwarf",POWER(Upgrades!$U$19,K69),1)*IF(Upgrades!$T$20="Brown Dwarf",POWER(Upgrades!$U$20,L69),1)*IF(Upgrades!$T$21="Brown Dwarf",POWER(Upgrades!$U$21,M69),1))*$F$6+(((IF(H69=0,0,(Upgrades!$M$16+H69*Upgrades!$N$16)*POWER(Upgrades!$O$16,H69)))*(IF(Upgrades!$T$13="Roche Lobe Overflow",POWER(Upgrades!$U$13,E69),1)*IF(Upgrades!$T$14="Roche Lobe Overflow",POWER(Upgrades!$U$14,F69),1)*IF(Upgrades!$T$15="Roche Lobe Overflow",POWER(Upgrades!$U$15,G69),1)*IF(Upgrades!$T$17="Roche Lobe Overflow",POWER(Upgrades!$U$17,I69),1)*IF(Upgrades!$T$18="Roche Lobe Overflow",POWER(Upgrades!$U$18,J69),1)*IF(Upgrades!$T$19="Roche Lobe Overflow",POWER(Upgrades!$U$19,K69),1)*IF(Upgrades!$T$20="Roche Lobe Overflow",POWER(Upgrades!$U$20,L69),1)*IF(Upgrades!$T$21="Roche Lobe Overflow",POWER(Upgrades!$U$21,M69),1))*POWER(Upgrades!$R$13,E69)*POWER(Upgrades!$R$14,F69)*POWER(Upgrades!$R$15,G69)*POWER(Upgrades!$R$16,H69)*POWER(Upgrades!$R$17,I69)*POWER(Upgrades!$R$18,J69)*POWER(Upgrades!$R$19,K69)*POWER(Upgrades!$R$20,L69)*POWER(Upgrades!$R$21,M69)*$H$6)*O69)*0.10)/AO69,0)</f>
        <v/>
      </c>
      <c r="BD69" s="32">
        <f>MAX(IF(J69&gt;0,0,IFERROR(0.5*((IF(G69=0,0,(Upgrades!$J$15+G69*Upgrades!$K$15)*POWER(Upgrades!$L$15,G69)))*(IF(Upgrades!$T$13="Microlensing",POWER(Upgrades!$U$13,E69),1)*IF(Upgrades!$T$14="Microlensing",POWER(Upgrades!$U$14,F69),1)*IF(Upgrades!$T$16="Microlensing",POWER(Upgrades!$U$16,H69),1)*IF(Upgrades!$T$17="Microlensing",POWER(Upgrades!$U$17,I69),1)*IF(Upgrades!$T$18="Microlensing",POWER(Upgrades!$U$18,J69),1)*IF(Upgrades!$T$19="Microlensing",POWER(Upgrades!$U$19,K69),1)*IF(Upgrades!$T$20="Microlensing",POWER(Upgrades!$U$20,L69),1)*IF(Upgrades!$T$21="Microlensing",POWER(Upgrades!$U$21,M69),1))*(POWER(Upgrades!$Q$13,E69)*POWER(Upgrades!$Q$14,F69)*POWER(Upgrades!$Q$15,G69)*POWER(Upgrades!$Q$16,H69)*POWER(Upgrades!$Q$17,I69)*POWER(Upgrades!$Q$18,J69)*POWER(Upgrades!$Q$19,K69)*POWER(Upgrades!$Q$20,L69)*POWER(Upgrades!$Q$21,M69))*$G$6*(Parameters!$B$10/60*Parameters!$B$11+Q69))/Upgrades!$C$18,0)),IF(K69&gt;0,0,IFERROR(0.30*P69/Upgrades!$C$19,0)),IF(L69&gt;0,0,IFERROR(0.0001/Upgrades!$C$20,0)),IF(M69&gt;0,0,IFERROR((6.0*(POWER(Upgrades!$P$13,E69)*POWER(Upgrades!$P$14,F69)*POWER(Upgrades!$P$15,G69)*POWER(Upgrades!$P$16,H69)*POWER(Upgrades!$P$17,I69)*POWER(Upgrades!$P$18,J69)*POWER(Upgrades!$P$19,K69)*POWER(Upgrades!$P$20,L69)*POWER(Upgrades!$P$21,M69))*$F$6+0.20*O69*(Parameters!$B$10/60*Parameters!$B$11+Q69))/Upgrades!$C$21,0)),IF(AND(ISNUMBER(AK69),AK69&gt;(C69+T69)),AY69,0),IF(AND(ISNUMBER(AL69),AL69&gt;(C69+T69)),AZ69,0),IF(AND(ISNUMBER(AM69),AM69&gt;(C69+T69)),BA69,0),IF(AND(ISNUMBER(AN69),AN69&gt;(C69+T69)),BB69,0),IF(AND(ISNUMBER(AO69),AO69&gt;(C69+T69)),BC69,0))</f>
        <v/>
      </c>
      <c r="BE69" s="29">
        <f>IF(AT69=1,"transition",IF(MIN(IF(AND(J69=0,ISNUMBER(AP69),AP69&lt;=(C69+T69)),AP69,9E15),IF(AND(K69=0,ISNUMBER(AQ69),AQ69&lt;=(C69+T69)),AQ69,9E15),IF(AND(L69=0,ISNUMBER(AR69),AR69&lt;=(C69+T69)),AR69,9E15),IF(AND(M69=0,ISNUMBER(AS69),AS69&lt;=(C69+T69)),AS69,9E15))&lt;9E15,IF(AND(AND(J69=0,ISNUMBER(AP69),AP69&lt;=(C69+T69)),AP69=MIN(IF(AND(J69=0,ISNUMBER(AP69),AP69&lt;=(C69+T69)),AP69,9E15),IF(AND(K69=0,ISNUMBER(AQ69),AQ69&lt;=(C69+T69)),AQ69,9E15),IF(AND(L69=0,ISNUMBER(AR69),AR69&lt;=(C69+T69)),AR69,9E15),IF(AND(M69=0,ISNUMBER(AS69),AS69&lt;=(C69+T69)),AS69,9E15))),"BiP",IF(AND(AND(K69=0,ISNUMBER(AQ69),AQ69&lt;=(C69+T69)),AQ69=MIN(IF(AND(J69=0,ISNUMBER(AP69),AP69&lt;=(C69+T69)),AP69,9E15),IF(AND(K69=0,ISNUMBER(AQ69),AQ69&lt;=(C69+T69)),AQ69,9E15),IF(AND(L69=0,ISNUMBER(AR69),AR69&lt;=(C69+T69)),AR69,9E15),IF(AND(M69=0,ISNUMBER(AS69),AS69&lt;=(C69+T69)),AS69,9E15))),"PV",IF(AND(AND(L69=0,ISNUMBER(AR69),AR69&lt;=(C69+T69)),AR69=MIN(IF(AND(J69=0,ISNUMBER(AP69),AP69&lt;=(C69+T69)),AP69,9E15),IF(AND(K69=0,ISNUMBER(AQ69),AQ69&lt;=(C69+T69)),AQ69,9E15),IF(AND(L69=0,ISNUMBER(AR69),AR69&lt;=(C69+T69)),AR69,9E15),IF(AND(M69=0,ISNUMBER(AS69),AS69&lt;=(C69+T69)),AS69,9E15))),"OC","MG"))),IF(AX69=TRUE,"",IF(MAX(IF(AND(NOT(AND(AU69=1,AT69&lt;&gt;1)),ISNUMBER(AK69),AK69&lt;=(C69+T69)),AY69,0),IF(AND(NOT(AND(AU69=1,AT69&lt;&gt;1)),ISNUMBER(AL69),AL69&lt;=(C69+T69)),AZ69,0),IF(AND(NOT(AND(AU69=1,AT69&lt;&gt;1)),ISNUMBER(AM69),AM69&lt;=(C69+T69)),BA69,0),IF(AND(NOT(AND(AU69=1,AT69&lt;&gt;1)),ISNUMBER(AN69),AN69&lt;=(C69+T69)),BB69,0),IF(AND(ISNUMBER(AO69),AO69&lt;=(C69+T69)),BC69,0))&lt;=0,"",IF(AND(IF(AND(NOT(AND(AU69=1,AT69&lt;&gt;1)),ISNUMBER(AK69),AK69&lt;=(C69+T69)),AY69,0)&gt;0,IF(AND(NOT(AND(AU69=1,AT69&lt;&gt;1)),ISNUMBER(AK69),AK69&lt;=(C69+T69)),AY69,0)=MAX(IF(AND(NOT(AND(AU69=1,AT69&lt;&gt;1)),ISNUMBER(AK69),AK69&lt;=(C69+T69)),AY69,0),IF(AND(NOT(AND(AU69=1,AT69&lt;&gt;1)),ISNUMBER(AL69),AL69&lt;=(C69+T69)),AZ69,0),IF(AND(NOT(AND(AU69=1,AT69&lt;&gt;1)),ISNUMBER(AM69),AM69&lt;=(C69+T69)),BA69,0),IF(AND(NOT(AND(AU69=1,AT69&lt;&gt;1)),ISNUMBER(AN69),AN69&lt;=(C69+T69)),BB69,0),IF(AND(ISNUMBER(AO69),AO69&lt;=(C69+T69)),BC69,0))),"SK",IF(AND(IF(AND(NOT(AND(AU69=1,AT69&lt;&gt;1)),ISNUMBER(AL69),AL69&lt;=(C69+T69)),AZ69,0)&gt;0,IF(AND(NOT(AND(AU69=1,AT69&lt;&gt;1)),ISNUMBER(AL69),AL69&lt;=(C69+T69)),AZ69,0)=MAX(IF(AND(NOT(AND(AU69=1,AT69&lt;&gt;1)),ISNUMBER(AK69),AK69&lt;=(C69+T69)),AY69,0),IF(AND(NOT(AND(AU69=1,AT69&lt;&gt;1)),ISNUMBER(AL69),AL69&lt;=(C69+T69)),AZ69,0),IF(AND(NOT(AND(AU69=1,AT69&lt;&gt;1)),ISNUMBER(AM69),AM69&lt;=(C69+T69)),BA69,0),IF(AND(NOT(AND(AU69=1,AT69&lt;&gt;1)),ISNUMBER(AN69),AN69&lt;=(C69+T69)),BB69,0),IF(AND(ISNUMBER(AO69),AO69&lt;=(C69+T69)),BC69,0))),"LB",IF(AND(IF(AND(NOT(AND(AU69=1,AT69&lt;&gt;1)),ISNUMBER(AM69),AM69&lt;=(C69+T69)),BA69,0)&gt;0,IF(AND(NOT(AND(AU69=1,AT69&lt;&gt;1)),ISNUMBER(AM69),AM69&lt;=(C69+T69)),BA69,0)=MAX(IF(AND(NOT(AND(AU69=1,AT69&lt;&gt;1)),ISNUMBER(AK69),AK69&lt;=(C69+T69)),AY69,0),IF(AND(NOT(AND(AU69=1,AT69&lt;&gt;1)),ISNUMBER(AL69),AL69&lt;=(C69+T69)),AZ69,0),IF(AND(NOT(AND(AU69=1,AT69&lt;&gt;1)),ISNUMBER(AM69),AM69&lt;=(C69+T69)),BA69,0),IF(AND(NOT(AND(AU69=1,AT69&lt;&gt;1)),ISNUMBER(AN69),AN69&lt;=(C69+T69)),BB69,0),IF(AND(ISNUMBER(AO69),AO69&lt;=(C69+T69)),BC69,0))),"ML",IF(AND(IF(AND(NOT(AND(AU69=1,AT69&lt;&gt;1)),ISNUMBER(AN69),AN69&lt;=(C69+T69)),BB69,0)&gt;0,IF(AND(NOT(AND(AU69=1,AT69&lt;&gt;1)),ISNUMBER(AN69),AN69&lt;=(C69+T69)),BB69,0)=MAX(IF(AND(NOT(AND(AU69=1,AT69&lt;&gt;1)),ISNUMBER(AK69),AK69&lt;=(C69+T69)),AY69,0),IF(AND(NOT(AND(AU69=1,AT69&lt;&gt;1)),ISNUMBER(AL69),AL69&lt;=(C69+T69)),AZ69,0),IF(AND(NOT(AND(AU69=1,AT69&lt;&gt;1)),ISNUMBER(AM69),AM69&lt;=(C69+T69)),BA69,0),IF(AND(NOT(AND(AU69=1,AT69&lt;&gt;1)),ISNUMBER(AN69),AN69&lt;=(C69+T69)),BB69,0),IF(AND(ISNUMBER(AO69),AO69&lt;=(C69+T69)),BC69,0))),"RLO","BD"))))))))</f>
        <v/>
      </c>
    </row>
    <row r="70">
      <c r="A70" s="26" t="n">
        <v>59</v>
      </c>
      <c r="B70" s="27">
        <f>A70*10/60</f>
        <v/>
      </c>
      <c r="C70" s="22">
        <f>X69</f>
        <v/>
      </c>
      <c r="D70" s="27">
        <f>D69+W69</f>
        <v/>
      </c>
      <c r="E70" s="26">
        <f>E69+IF(U69="SK",1,0)</f>
        <v/>
      </c>
      <c r="F70" s="26">
        <f>F69+IF(U69="LB",1,0)</f>
        <v/>
      </c>
      <c r="G70" s="26">
        <f>G69+IF(U69="ML",1,0)</f>
        <v/>
      </c>
      <c r="H70" s="26">
        <f>H69+IF(U69="RLO",1,0)</f>
        <v/>
      </c>
      <c r="I70" s="26">
        <f>I69+IF(U69="BD",1,0)</f>
        <v/>
      </c>
      <c r="J70" s="26">
        <f>MAX(J69,IF(U69="BiP",1,0))</f>
        <v/>
      </c>
      <c r="K70" s="26">
        <f>MAX(K69,IF(U69="PV",1,0))</f>
        <v/>
      </c>
      <c r="L70" s="26">
        <f>MAX(L69,IF(U69="OC",1,0))</f>
        <v/>
      </c>
      <c r="M70" s="26">
        <f>MAX(M69,IF(U69="MG",1,0))</f>
        <v/>
      </c>
      <c r="N70" s="26">
        <f>MAX(N69,IF(U69="transition",1,0))</f>
        <v/>
      </c>
      <c r="O70" s="28">
        <f>(Parameters!$B$9+(IF(E70=0,0,(Upgrades!$J$13+E70*Upgrades!$K$13)*POWER(Upgrades!$L$13,E70)))*(IF(Upgrades!$T$14="Stellar Kinematics",POWER(Upgrades!$U$14,F70),1)*IF(Upgrades!$T$15="Stellar Kinematics",POWER(Upgrades!$U$15,G70),1)*IF(Upgrades!$T$16="Stellar Kinematics",POWER(Upgrades!$U$16,H70),1)*IF(Upgrades!$T$17="Stellar Kinematics",POWER(Upgrades!$U$17,I70),1)*IF(Upgrades!$T$18="Stellar Kinematics",POWER(Upgrades!$U$18,J70),1)*IF(Upgrades!$T$19="Stellar Kinematics",POWER(Upgrades!$U$19,K70),1)*IF(Upgrades!$T$20="Stellar Kinematics",POWER(Upgrades!$U$20,L70),1)*IF(Upgrades!$T$21="Stellar Kinematics",POWER(Upgrades!$U$21,M70),1))+(IF(F70=0,0,(Upgrades!$J$14+F70*Upgrades!$K$14)*POWER(Upgrades!$L$14,F70)))*(IF(Upgrades!$T$13="Local Bubble",POWER(Upgrades!$U$13,E70),1)*IF(Upgrades!$T$15="Local Bubble",POWER(Upgrades!$U$15,G70),1)*IF(Upgrades!$T$16="Local Bubble",POWER(Upgrades!$U$16,H70),1)*IF(Upgrades!$T$17="Local Bubble",POWER(Upgrades!$U$17,I70),1)*IF(Upgrades!$T$18="Local Bubble",POWER(Upgrades!$U$18,J70),1)*IF(Upgrades!$T$19="Local Bubble",POWER(Upgrades!$U$19,K70),1)*IF(Upgrades!$T$20="Local Bubble",POWER(Upgrades!$U$20,L70),1)*IF(Upgrades!$T$21="Local Bubble",POWER(Upgrades!$U$21,M70),1))+(IF(G70=0,0,(Upgrades!$J$15+G70*Upgrades!$K$15)*POWER(Upgrades!$L$15,G70)))*(IF(Upgrades!$T$13="Microlensing",POWER(Upgrades!$U$13,E70),1)*IF(Upgrades!$T$14="Microlensing",POWER(Upgrades!$U$14,F70),1)*IF(Upgrades!$T$16="Microlensing",POWER(Upgrades!$U$16,H70),1)*IF(Upgrades!$T$17="Microlensing",POWER(Upgrades!$U$17,I70),1)*IF(Upgrades!$T$18="Microlensing",POWER(Upgrades!$U$18,J70),1)*IF(Upgrades!$T$19="Microlensing",POWER(Upgrades!$U$19,K70),1)*IF(Upgrades!$T$20="Microlensing",POWER(Upgrades!$U$20,L70),1)*IF(Upgrades!$T$21="Microlensing",POWER(Upgrades!$U$21,M70),1))+(IF(H70=0,0,(Upgrades!$J$16+H70*Upgrades!$K$16)*POWER(Upgrades!$L$16,H70)))*(IF(Upgrades!$T$13="Roche Lobe Overflow",POWER(Upgrades!$U$13,E70),1)*IF(Upgrades!$T$14="Roche Lobe Overflow",POWER(Upgrades!$U$14,F70),1)*IF(Upgrades!$T$15="Roche Lobe Overflow",POWER(Upgrades!$U$15,G70),1)*IF(Upgrades!$T$17="Roche Lobe Overflow",POWER(Upgrades!$U$17,I70),1)*IF(Upgrades!$T$18="Roche Lobe Overflow",POWER(Upgrades!$U$18,J70),1)*IF(Upgrades!$T$19="Roche Lobe Overflow",POWER(Upgrades!$U$19,K70),1)*IF(Upgrades!$T$20="Roche Lobe Overflow",POWER(Upgrades!$U$20,L70),1)*IF(Upgrades!$T$21="Roche Lobe Overflow",POWER(Upgrades!$U$21,M70),1))+(IF(I70=0,0,(Upgrades!$J$17+I70*Upgrades!$K$17)*POWER(Upgrades!$L$17,I70)))*(IF(Upgrades!$T$13="Brown Dwarf",POWER(Upgrades!$U$13,E70),1)*IF(Upgrades!$T$14="Brown Dwarf",POWER(Upgrades!$U$14,F70),1)*IF(Upgrades!$T$15="Brown Dwarf",POWER(Upgrades!$U$15,G70),1)*IF(Upgrades!$T$16="Brown Dwarf",POWER(Upgrades!$U$16,H70),1)*IF(Upgrades!$T$18="Brown Dwarf",POWER(Upgrades!$U$18,J70),1)*IF(Upgrades!$T$19="Brown Dwarf",POWER(Upgrades!$U$19,K70),1)*IF(Upgrades!$T$20="Brown Dwarf",POWER(Upgrades!$U$20,L70),1)*IF(Upgrades!$T$21="Brown Dwarf",POWER(Upgrades!$U$21,M70),1))+(IF(J70=0,0,(Upgrades!$J$18+J70*Upgrades!$K$18)*POWER(Upgrades!$L$18,J70)))*(IF(Upgrades!$T$13="Binary Partner",POWER(Upgrades!$U$13,E70),1)*IF(Upgrades!$T$14="Binary Partner",POWER(Upgrades!$U$14,F70),1)*IF(Upgrades!$T$15="Binary Partner",POWER(Upgrades!$U$15,G70),1)*IF(Upgrades!$T$16="Binary Partner",POWER(Upgrades!$U$16,H70),1)*IF(Upgrades!$T$17="Binary Partner",POWER(Upgrades!$U$17,I70),1)*IF(Upgrades!$T$19="Binary Partner",POWER(Upgrades!$U$19,K70),1)*IF(Upgrades!$T$20="Binary Partner",POWER(Upgrades!$U$20,L70),1)*IF(Upgrades!$T$21="Binary Partner",POWER(Upgrades!$U$21,M70),1))+(IF(K70=0,0,(Upgrades!$J$19+K70*Upgrades!$K$19)*POWER(Upgrades!$L$19,K70)))*(IF(Upgrades!$T$13="Peculiar Velocity",POWER(Upgrades!$U$13,E70),1)*IF(Upgrades!$T$14="Peculiar Velocity",POWER(Upgrades!$U$14,F70),1)*IF(Upgrades!$T$15="Peculiar Velocity",POWER(Upgrades!$U$15,G70),1)*IF(Upgrades!$T$16="Peculiar Velocity",POWER(Upgrades!$U$16,H70),1)*IF(Upgrades!$T$17="Peculiar Velocity",POWER(Upgrades!$U$17,I70),1)*IF(Upgrades!$T$18="Peculiar Velocity",POWER(Upgrades!$U$18,J70),1)*IF(Upgrades!$T$20="Peculiar Velocity",POWER(Upgrades!$U$20,L70),1)*IF(Upgrades!$T$21="Peculiar Velocity",POWER(Upgrades!$U$21,M70),1))+(IF(L70=0,0,(Upgrades!$J$20+L70*Upgrades!$K$20)*POWER(Upgrades!$L$20,L70)))*(IF(Upgrades!$T$13="Open Cluster",POWER(Upgrades!$U$13,E70),1)*IF(Upgrades!$T$14="Open Cluster",POWER(Upgrades!$U$14,F70),1)*IF(Upgrades!$T$15="Open Cluster",POWER(Upgrades!$U$15,G70),1)*IF(Upgrades!$T$16="Open Cluster",POWER(Upgrades!$U$16,H70),1)*IF(Upgrades!$T$17="Open Cluster",POWER(Upgrades!$U$17,I70),1)*IF(Upgrades!$T$18="Open Cluster",POWER(Upgrades!$U$18,J70),1)*IF(Upgrades!$T$19="Open Cluster",POWER(Upgrades!$U$19,K70),1)*IF(Upgrades!$T$21="Open Cluster",POWER(Upgrades!$U$21,M70),1))+(IF(M70=0,0,(Upgrades!$J$21+M70*Upgrades!$K$21)*POWER(Upgrades!$L$21,M70)))*(IF(Upgrades!$T$13="Moving Group",POWER(Upgrades!$U$13,E70),1)*IF(Upgrades!$T$14="Moving Group",POWER(Upgrades!$U$14,F70),1)*IF(Upgrades!$T$15="Moving Group",POWER(Upgrades!$U$15,G70),1)*IF(Upgrades!$T$16="Moving Group",POWER(Upgrades!$U$16,H70),1)*IF(Upgrades!$T$17="Moving Group",POWER(Upgrades!$U$17,I70),1)*IF(Upgrades!$T$18="Moving Group",POWER(Upgrades!$U$18,J70),1)*IF(Upgrades!$T$19="Moving Group",POWER(Upgrades!$U$19,K70),1)*IF(Upgrades!$T$20="Moving Group",POWER(Upgrades!$U$20,L70),1)))*POWER(Upgrades!$Q$13,E70)*POWER(Upgrades!$Q$14,F70)*POWER(Upgrades!$Q$15,G70)*POWER(Upgrades!$Q$16,H70)*POWER(Upgrades!$Q$17,I70)*POWER(Upgrades!$Q$18,J70)*POWER(Upgrades!$Q$19,K70)*POWER(Upgrades!$Q$20,L70)*POWER(Upgrades!$Q$21,M70)*$G$6+$D$6</f>
        <v/>
      </c>
      <c r="P70" s="28">
        <f>((IF(E70=0,0,(Upgrades!$G$13+E70*Upgrades!$H$13)*POWER(Upgrades!$I$13,E70)))*(IF(Upgrades!$T$14="Stellar Kinematics",POWER(Upgrades!$U$14,F70),1)*IF(Upgrades!$T$15="Stellar Kinematics",POWER(Upgrades!$U$15,G70),1)*IF(Upgrades!$T$16="Stellar Kinematics",POWER(Upgrades!$U$16,H70),1)*IF(Upgrades!$T$17="Stellar Kinematics",POWER(Upgrades!$U$17,I70),1)*IF(Upgrades!$T$18="Stellar Kinematics",POWER(Upgrades!$U$18,J70),1)*IF(Upgrades!$T$19="Stellar Kinematics",POWER(Upgrades!$U$19,K70),1)*IF(Upgrades!$T$20="Stellar Kinematics",POWER(Upgrades!$U$20,L70),1)*IF(Upgrades!$T$21="Stellar Kinematics",POWER(Upgrades!$U$21,M70),1))+(IF(F70=0,0,(Upgrades!$G$14+F70*Upgrades!$H$14)*POWER(Upgrades!$I$14,F70)))*(IF(Upgrades!$T$13="Local Bubble",POWER(Upgrades!$U$13,E70),1)*IF(Upgrades!$T$15="Local Bubble",POWER(Upgrades!$U$15,G70),1)*IF(Upgrades!$T$16="Local Bubble",POWER(Upgrades!$U$16,H70),1)*IF(Upgrades!$T$17="Local Bubble",POWER(Upgrades!$U$17,I70),1)*IF(Upgrades!$T$18="Local Bubble",POWER(Upgrades!$U$18,J70),1)*IF(Upgrades!$T$19="Local Bubble",POWER(Upgrades!$U$19,K70),1)*IF(Upgrades!$T$20="Local Bubble",POWER(Upgrades!$U$20,L70),1)*IF(Upgrades!$T$21="Local Bubble",POWER(Upgrades!$U$21,M70),1))+(IF(G70=0,0,(Upgrades!$G$15+G70*Upgrades!$H$15)*POWER(Upgrades!$I$15,G70)))*(IF(Upgrades!$T$13="Microlensing",POWER(Upgrades!$U$13,E70),1)*IF(Upgrades!$T$14="Microlensing",POWER(Upgrades!$U$14,F70),1)*IF(Upgrades!$T$16="Microlensing",POWER(Upgrades!$U$16,H70),1)*IF(Upgrades!$T$17="Microlensing",POWER(Upgrades!$U$17,I70),1)*IF(Upgrades!$T$18="Microlensing",POWER(Upgrades!$U$18,J70),1)*IF(Upgrades!$T$19="Microlensing",POWER(Upgrades!$U$19,K70),1)*IF(Upgrades!$T$20="Microlensing",POWER(Upgrades!$U$20,L70),1)*IF(Upgrades!$T$21="Microlensing",POWER(Upgrades!$U$21,M70),1))+(IF(H70=0,0,(Upgrades!$G$16+H70*Upgrades!$H$16)*POWER(Upgrades!$I$16,H70)))*(IF(Upgrades!$T$13="Roche Lobe Overflow",POWER(Upgrades!$U$13,E70),1)*IF(Upgrades!$T$14="Roche Lobe Overflow",POWER(Upgrades!$U$14,F70),1)*IF(Upgrades!$T$15="Roche Lobe Overflow",POWER(Upgrades!$U$15,G70),1)*IF(Upgrades!$T$17="Roche Lobe Overflow",POWER(Upgrades!$U$17,I70),1)*IF(Upgrades!$T$18="Roche Lobe Overflow",POWER(Upgrades!$U$18,J70),1)*IF(Upgrades!$T$19="Roche Lobe Overflow",POWER(Upgrades!$U$19,K70),1)*IF(Upgrades!$T$20="Roche Lobe Overflow",POWER(Upgrades!$U$20,L70),1)*IF(Upgrades!$T$21="Roche Lobe Overflow",POWER(Upgrades!$U$21,M70),1))+(IF(I70=0,0,(Upgrades!$G$17+I70*Upgrades!$H$17)*POWER(Upgrades!$I$17,I70)))*(IF(Upgrades!$T$13="Brown Dwarf",POWER(Upgrades!$U$13,E70),1)*IF(Upgrades!$T$14="Brown Dwarf",POWER(Upgrades!$U$14,F70),1)*IF(Upgrades!$T$15="Brown Dwarf",POWER(Upgrades!$U$15,G70),1)*IF(Upgrades!$T$16="Brown Dwarf",POWER(Upgrades!$U$16,H70),1)*IF(Upgrades!$T$18="Brown Dwarf",POWER(Upgrades!$U$18,J70),1)*IF(Upgrades!$T$19="Brown Dwarf",POWER(Upgrades!$U$19,K70),1)*IF(Upgrades!$T$20="Brown Dwarf",POWER(Upgrades!$U$20,L70),1)*IF(Upgrades!$T$21="Brown Dwarf",POWER(Upgrades!$U$21,M70),1))+(IF(J70=0,0,(Upgrades!$G$18+J70*Upgrades!$H$18)*POWER(Upgrades!$I$18,J70)))*(IF(Upgrades!$T$13="Binary Partner",POWER(Upgrades!$U$13,E70),1)*IF(Upgrades!$T$14="Binary Partner",POWER(Upgrades!$U$14,F70),1)*IF(Upgrades!$T$15="Binary Partner",POWER(Upgrades!$U$15,G70),1)*IF(Upgrades!$T$16="Binary Partner",POWER(Upgrades!$U$16,H70),1)*IF(Upgrades!$T$17="Binary Partner",POWER(Upgrades!$U$17,I70),1)*IF(Upgrades!$T$19="Binary Partner",POWER(Upgrades!$U$19,K70),1)*IF(Upgrades!$T$20="Binary Partner",POWER(Upgrades!$U$20,L70),1)*IF(Upgrades!$T$21="Binary Partner",POWER(Upgrades!$U$21,M70),1))+(IF(K70=0,0,(Upgrades!$G$19+K70*Upgrades!$H$19)*POWER(Upgrades!$I$19,K70)))*(IF(Upgrades!$T$13="Peculiar Velocity",POWER(Upgrades!$U$13,E70),1)*IF(Upgrades!$T$14="Peculiar Velocity",POWER(Upgrades!$U$14,F70),1)*IF(Upgrades!$T$15="Peculiar Velocity",POWER(Upgrades!$U$15,G70),1)*IF(Upgrades!$T$16="Peculiar Velocity",POWER(Upgrades!$U$16,H70),1)*IF(Upgrades!$T$17="Peculiar Velocity",POWER(Upgrades!$U$17,I70),1)*IF(Upgrades!$T$18="Peculiar Velocity",POWER(Upgrades!$U$18,J70),1)*IF(Upgrades!$T$20="Peculiar Velocity",POWER(Upgrades!$U$20,L70),1)*IF(Upgrades!$T$21="Peculiar Velocity",POWER(Upgrades!$U$21,M70),1))+(IF(L70=0,0,(Upgrades!$G$20+L70*Upgrades!$H$20)*POWER(Upgrades!$I$20,L70)))*(IF(Upgrades!$T$13="Open Cluster",POWER(Upgrades!$U$13,E70),1)*IF(Upgrades!$T$14="Open Cluster",POWER(Upgrades!$U$14,F70),1)*IF(Upgrades!$T$15="Open Cluster",POWER(Upgrades!$U$15,G70),1)*IF(Upgrades!$T$16="Open Cluster",POWER(Upgrades!$U$16,H70),1)*IF(Upgrades!$T$17="Open Cluster",POWER(Upgrades!$U$17,I70),1)*IF(Upgrades!$T$18="Open Cluster",POWER(Upgrades!$U$18,J70),1)*IF(Upgrades!$T$19="Open Cluster",POWER(Upgrades!$U$19,K70),1)*IF(Upgrades!$T$21="Open Cluster",POWER(Upgrades!$U$21,M70),1))+(IF(M70=0,0,(Upgrades!$G$21+M70*Upgrades!$H$21)*POWER(Upgrades!$I$21,M70)))*(IF(Upgrades!$T$13="Moving Group",POWER(Upgrades!$U$13,E70),1)*IF(Upgrades!$T$14="Moving Group",POWER(Upgrades!$U$14,F70),1)*IF(Upgrades!$T$15="Moving Group",POWER(Upgrades!$U$15,G70),1)*IF(Upgrades!$T$16="Moving Group",POWER(Upgrades!$U$16,H70),1)*IF(Upgrades!$T$17="Moving Group",POWER(Upgrades!$U$17,I70),1)*IF(Upgrades!$T$18="Moving Group",POWER(Upgrades!$U$18,J70),1)*IF(Upgrades!$T$19="Moving Group",POWER(Upgrades!$U$19,K70),1)*IF(Upgrades!$T$20="Moving Group",POWER(Upgrades!$U$20,L70),1)))*POWER(Upgrades!$P$13,E70)*POWER(Upgrades!$P$14,F70)*POWER(Upgrades!$P$15,G70)*POWER(Upgrades!$P$16,H70)*POWER(Upgrades!$P$17,I70)*POWER(Upgrades!$P$18,J70)*POWER(Upgrades!$P$19,K70)*POWER(Upgrades!$P$20,L70)*POWER(Upgrades!$P$21,M70)*$F$6+$C$6</f>
        <v/>
      </c>
      <c r="Q70" s="28">
        <f>((IF(E70=0,0,(Upgrades!$M$13+E70*Upgrades!$N$13)*POWER(Upgrades!$O$13,E70)))*(IF(Upgrades!$T$14="Stellar Kinematics",POWER(Upgrades!$U$14,F70),1)*IF(Upgrades!$T$15="Stellar Kinematics",POWER(Upgrades!$U$15,G70),1)*IF(Upgrades!$T$16="Stellar Kinematics",POWER(Upgrades!$U$16,H70),1)*IF(Upgrades!$T$17="Stellar Kinematics",POWER(Upgrades!$U$17,I70),1)*IF(Upgrades!$T$18="Stellar Kinematics",POWER(Upgrades!$U$18,J70),1)*IF(Upgrades!$T$19="Stellar Kinematics",POWER(Upgrades!$U$19,K70),1)*IF(Upgrades!$T$20="Stellar Kinematics",POWER(Upgrades!$U$20,L70),1)*IF(Upgrades!$T$21="Stellar Kinematics",POWER(Upgrades!$U$21,M70),1))+(IF(F70=0,0,(Upgrades!$M$14+F70*Upgrades!$N$14)*POWER(Upgrades!$O$14,F70)))*(IF(Upgrades!$T$13="Local Bubble",POWER(Upgrades!$U$13,E70),1)*IF(Upgrades!$T$15="Local Bubble",POWER(Upgrades!$U$15,G70),1)*IF(Upgrades!$T$16="Local Bubble",POWER(Upgrades!$U$16,H70),1)*IF(Upgrades!$T$17="Local Bubble",POWER(Upgrades!$U$17,I70),1)*IF(Upgrades!$T$18="Local Bubble",POWER(Upgrades!$U$18,J70),1)*IF(Upgrades!$T$19="Local Bubble",POWER(Upgrades!$U$19,K70),1)*IF(Upgrades!$T$20="Local Bubble",POWER(Upgrades!$U$20,L70),1)*IF(Upgrades!$T$21="Local Bubble",POWER(Upgrades!$U$21,M70),1))+(IF(G70=0,0,(Upgrades!$M$15+G70*Upgrades!$N$15)*POWER(Upgrades!$O$15,G70)))*(IF(Upgrades!$T$13="Microlensing",POWER(Upgrades!$U$13,E70),1)*IF(Upgrades!$T$14="Microlensing",POWER(Upgrades!$U$14,F70),1)*IF(Upgrades!$T$16="Microlensing",POWER(Upgrades!$U$16,H70),1)*IF(Upgrades!$T$17="Microlensing",POWER(Upgrades!$U$17,I70),1)*IF(Upgrades!$T$18="Microlensing",POWER(Upgrades!$U$18,J70),1)*IF(Upgrades!$T$19="Microlensing",POWER(Upgrades!$U$19,K70),1)*IF(Upgrades!$T$20="Microlensing",POWER(Upgrades!$U$20,L70),1)*IF(Upgrades!$T$21="Microlensing",POWER(Upgrades!$U$21,M70),1))+(IF(H70=0,0,(Upgrades!$M$16+H70*Upgrades!$N$16)*POWER(Upgrades!$O$16,H70)))*(IF(Upgrades!$T$13="Roche Lobe Overflow",POWER(Upgrades!$U$13,E70),1)*IF(Upgrades!$T$14="Roche Lobe Overflow",POWER(Upgrades!$U$14,F70),1)*IF(Upgrades!$T$15="Roche Lobe Overflow",POWER(Upgrades!$U$15,G70),1)*IF(Upgrades!$T$17="Roche Lobe Overflow",POWER(Upgrades!$U$17,I70),1)*IF(Upgrades!$T$18="Roche Lobe Overflow",POWER(Upgrades!$U$18,J70),1)*IF(Upgrades!$T$19="Roche Lobe Overflow",POWER(Upgrades!$U$19,K70),1)*IF(Upgrades!$T$20="Roche Lobe Overflow",POWER(Upgrades!$U$20,L70),1)*IF(Upgrades!$T$21="Roche Lobe Overflow",POWER(Upgrades!$U$21,M70),1))+(IF(I70=0,0,(Upgrades!$M$17+I70*Upgrades!$N$17)*POWER(Upgrades!$O$17,I70)))*(IF(Upgrades!$T$13="Brown Dwarf",POWER(Upgrades!$U$13,E70),1)*IF(Upgrades!$T$14="Brown Dwarf",POWER(Upgrades!$U$14,F70),1)*IF(Upgrades!$T$15="Brown Dwarf",POWER(Upgrades!$U$15,G70),1)*IF(Upgrades!$T$16="Brown Dwarf",POWER(Upgrades!$U$16,H70),1)*IF(Upgrades!$T$18="Brown Dwarf",POWER(Upgrades!$U$18,J70),1)*IF(Upgrades!$T$19="Brown Dwarf",POWER(Upgrades!$U$19,K70),1)*IF(Upgrades!$T$20="Brown Dwarf",POWER(Upgrades!$U$20,L70),1)*IF(Upgrades!$T$21="Brown Dwarf",POWER(Upgrades!$U$21,M70),1))+(IF(J70=0,0,(Upgrades!$M$18+J70*Upgrades!$N$18)*POWER(Upgrades!$O$18,J70)))*(IF(Upgrades!$T$13="Binary Partner",POWER(Upgrades!$U$13,E70),1)*IF(Upgrades!$T$14="Binary Partner",POWER(Upgrades!$U$14,F70),1)*IF(Upgrades!$T$15="Binary Partner",POWER(Upgrades!$U$15,G70),1)*IF(Upgrades!$T$16="Binary Partner",POWER(Upgrades!$U$16,H70),1)*IF(Upgrades!$T$17="Binary Partner",POWER(Upgrades!$U$17,I70),1)*IF(Upgrades!$T$19="Binary Partner",POWER(Upgrades!$U$19,K70),1)*IF(Upgrades!$T$20="Binary Partner",POWER(Upgrades!$U$20,L70),1)*IF(Upgrades!$T$21="Binary Partner",POWER(Upgrades!$U$21,M70),1))+(IF(K70=0,0,(Upgrades!$M$19+K70*Upgrades!$N$19)*POWER(Upgrades!$O$19,K70)))*(IF(Upgrades!$T$13="Peculiar Velocity",POWER(Upgrades!$U$13,E70),1)*IF(Upgrades!$T$14="Peculiar Velocity",POWER(Upgrades!$U$14,F70),1)*IF(Upgrades!$T$15="Peculiar Velocity",POWER(Upgrades!$U$15,G70),1)*IF(Upgrades!$T$16="Peculiar Velocity",POWER(Upgrades!$U$16,H70),1)*IF(Upgrades!$T$17="Peculiar Velocity",POWER(Upgrades!$U$17,I70),1)*IF(Upgrades!$T$18="Peculiar Velocity",POWER(Upgrades!$U$18,J70),1)*IF(Upgrades!$T$20="Peculiar Velocity",POWER(Upgrades!$U$20,L70),1)*IF(Upgrades!$T$21="Peculiar Velocity",POWER(Upgrades!$U$21,M70),1))+(IF(L70=0,0,(Upgrades!$M$20+L70*Upgrades!$N$20)*POWER(Upgrades!$O$20,L70)))*(IF(Upgrades!$T$13="Open Cluster",POWER(Upgrades!$U$13,E70),1)*IF(Upgrades!$T$14="Open Cluster",POWER(Upgrades!$U$14,F70),1)*IF(Upgrades!$T$15="Open Cluster",POWER(Upgrades!$U$15,G70),1)*IF(Upgrades!$T$16="Open Cluster",POWER(Upgrades!$U$16,H70),1)*IF(Upgrades!$T$17="Open Cluster",POWER(Upgrades!$U$17,I70),1)*IF(Upgrades!$T$18="Open Cluster",POWER(Upgrades!$U$18,J70),1)*IF(Upgrades!$T$19="Open Cluster",POWER(Upgrades!$U$19,K70),1)*IF(Upgrades!$T$21="Open Cluster",POWER(Upgrades!$U$21,M70),1))+(IF(M70=0,0,(Upgrades!$M$21+M70*Upgrades!$N$21)*POWER(Upgrades!$O$21,M70)))*(IF(Upgrades!$T$13="Moving Group",POWER(Upgrades!$U$13,E70),1)*IF(Upgrades!$T$14="Moving Group",POWER(Upgrades!$U$14,F70),1)*IF(Upgrades!$T$15="Moving Group",POWER(Upgrades!$U$15,G70),1)*IF(Upgrades!$T$16="Moving Group",POWER(Upgrades!$U$16,H70),1)*IF(Upgrades!$T$17="Moving Group",POWER(Upgrades!$U$17,I70),1)*IF(Upgrades!$T$18="Moving Group",POWER(Upgrades!$U$18,J70),1)*IF(Upgrades!$T$19="Moving Group",POWER(Upgrades!$U$19,K70),1)*IF(Upgrades!$T$20="Moving Group",POWER(Upgrades!$U$20,L70),1)))*POWER(Upgrades!$R$13,E70)*POWER(Upgrades!$R$14,F70)*POWER(Upgrades!$R$15,G70)*POWER(Upgrades!$R$16,H70)*POWER(Upgrades!$R$17,I70)*POWER(Upgrades!$R$18,J70)*POWER(Upgrades!$R$19,K70)*POWER(Upgrades!$R$20,L70)*POWER(Upgrades!$R$21,M70)*$H$6+$E$6</f>
        <v/>
      </c>
      <c r="R70" s="27">
        <f>IF(N70=1,0,O70*Parameters!$B$10/60*Parameters!$B$11*10)</f>
        <v/>
      </c>
      <c r="S70" s="27">
        <f>IF(N70=1,0,Q70*O70*10)</f>
        <v/>
      </c>
      <c r="T70" s="27">
        <f>IF(N70=1,0,R70+S70+P70*10)</f>
        <v/>
      </c>
      <c r="U70" s="33">
        <f>BE70</f>
        <v/>
      </c>
      <c r="V70" s="22">
        <f>IF(U70="",0,IF(U70="transition",0,IF(U70="SK",AK70,IF(U70="LB",AL70,IF(U70="ML",AM70,IF(U70="RLO",AN70,IF(U70="BD",AO70,IF(U70="BiP",AP70,IF(U70="PV",AQ70,IF(U70="OC",AR70,IF(U70="MG",AS70,0))))))))))</f>
        <v/>
      </c>
      <c r="W70" s="27">
        <f>IF(U70="BiP",Upgrades!$F$18,IF(U70="PV",Upgrades!$F$19,IF(U70="OC",Upgrades!$F$20,IF(U70="MG",Upgrades!$F$21,IF(U70="transition",-Parameters!$B$18*Parameters!$B$19,0)))))</f>
        <v/>
      </c>
      <c r="X70" s="22">
        <f>C70+T70-V70</f>
        <v/>
      </c>
      <c r="Y70" s="30">
        <f>O70*Parameters!$B$10/60*Parameters!$B$11+Q70*O70+P70</f>
        <v/>
      </c>
      <c r="Z70" s="34">
        <f>IF(U70="transition","→ Tier 3 (Galactic Arm)",IF(U70="MG","Moving Group — pocket drifts together",IF(U70="OC","Open Cluster acquired",IF(U70="PV","Peculiar Velocity — passive multiplier active",IF(U70="BiP","Binary Partner — pair bond formed",IF(AND(AU70=1,N70=0,AT70&lt;&gt;1),"Cohesion ready (waiting on completionists)","")))))) </f>
        <v/>
      </c>
      <c r="AA70" s="27">
        <f>(IF(E70=0,0,(Upgrades!$G$13+E70*Upgrades!$H$13)*POWER(Upgrades!$I$13,E70)))*(IF(Upgrades!$T$14="Stellar Kinematics",POWER(Upgrades!$U$14,F70),1)*IF(Upgrades!$T$15="Stellar Kinematics",POWER(Upgrades!$U$15,G70),1)*IF(Upgrades!$T$16="Stellar Kinematics",POWER(Upgrades!$U$16,H70),1)*IF(Upgrades!$T$17="Stellar Kinematics",POWER(Upgrades!$U$17,I70),1)*IF(Upgrades!$T$18="Stellar Kinematics",POWER(Upgrades!$U$18,J70),1)*IF(Upgrades!$T$19="Stellar Kinematics",POWER(Upgrades!$U$19,K70),1)*IF(Upgrades!$T$20="Stellar Kinematics",POWER(Upgrades!$U$20,L70),1)*IF(Upgrades!$T$21="Stellar Kinematics",POWER(Upgrades!$U$21,M70),1))*POWER(Upgrades!$P$13,E70)*POWER(Upgrades!$P$14,F70)*POWER(Upgrades!$P$15,G70)*POWER(Upgrades!$P$16,H70)*POWER(Upgrades!$P$17,I70)*POWER(Upgrades!$P$18,J70)*POWER(Upgrades!$P$19,K70)*POWER(Upgrades!$P$20,L70)*POWER(Upgrades!$P$21,M70)*$F$6*60</f>
        <v/>
      </c>
      <c r="AB70" s="27">
        <f>(IF(F70=0,0,(Upgrades!$G$14+F70*Upgrades!$H$14)*POWER(Upgrades!$I$14,F70)))*(IF(Upgrades!$T$13="Local Bubble",POWER(Upgrades!$U$13,E70),1)*IF(Upgrades!$T$15="Local Bubble",POWER(Upgrades!$U$15,G70),1)*IF(Upgrades!$T$16="Local Bubble",POWER(Upgrades!$U$16,H70),1)*IF(Upgrades!$T$17="Local Bubble",POWER(Upgrades!$U$17,I70),1)*IF(Upgrades!$T$18="Local Bubble",POWER(Upgrades!$U$18,J70),1)*IF(Upgrades!$T$19="Local Bubble",POWER(Upgrades!$U$19,K70),1)*IF(Upgrades!$T$20="Local Bubble",POWER(Upgrades!$U$20,L70),1)*IF(Upgrades!$T$21="Local Bubble",POWER(Upgrades!$U$21,M70),1))*POWER(Upgrades!$P$13,E70)*POWER(Upgrades!$P$14,F70)*POWER(Upgrades!$P$15,G70)*POWER(Upgrades!$P$16,H70)*POWER(Upgrades!$P$17,I70)*POWER(Upgrades!$P$18,J70)*POWER(Upgrades!$P$19,K70)*POWER(Upgrades!$P$20,L70)*POWER(Upgrades!$P$21,M70)*$F$6*60</f>
        <v/>
      </c>
      <c r="AC70" s="27">
        <f>(IF(G70=0,0,(Upgrades!$J$15+G70*Upgrades!$K$15)*POWER(Upgrades!$L$15,G70)))*(IF(Upgrades!$T$13="Microlensing",POWER(Upgrades!$U$13,E70),1)*IF(Upgrades!$T$14="Microlensing",POWER(Upgrades!$U$14,F70),1)*IF(Upgrades!$T$16="Microlensing",POWER(Upgrades!$U$16,H70),1)*IF(Upgrades!$T$17="Microlensing",POWER(Upgrades!$U$17,I70),1)*IF(Upgrades!$T$18="Microlensing",POWER(Upgrades!$U$18,J70),1)*IF(Upgrades!$T$19="Microlensing",POWER(Upgrades!$U$19,K70),1)*IF(Upgrades!$T$20="Microlensing",POWER(Upgrades!$U$20,L70),1)*IF(Upgrades!$T$21="Microlensing",POWER(Upgrades!$U$21,M70),1))*POWER(Upgrades!$Q$13,E70)*POWER(Upgrades!$Q$14,F70)*POWER(Upgrades!$Q$15,G70)*POWER(Upgrades!$Q$16,H70)*POWER(Upgrades!$Q$17,I70)*POWER(Upgrades!$Q$18,J70)*POWER(Upgrades!$Q$19,K70)*POWER(Upgrades!$Q$20,L70)*POWER(Upgrades!$Q$21,M70)*$G$6*(Parameters!$B$10*Parameters!$B$11+Q70*60)</f>
        <v/>
      </c>
      <c r="AD70" s="27">
        <f>(IF(H70=0,0,(Upgrades!$M$16+H70*Upgrades!$N$16)*POWER(Upgrades!$O$16,H70)))*(IF(Upgrades!$T$13="Roche Lobe Overflow",POWER(Upgrades!$U$13,E70),1)*IF(Upgrades!$T$14="Roche Lobe Overflow",POWER(Upgrades!$U$14,F70),1)*IF(Upgrades!$T$15="Roche Lobe Overflow",POWER(Upgrades!$U$15,G70),1)*IF(Upgrades!$T$17="Roche Lobe Overflow",POWER(Upgrades!$U$17,I70),1)*IF(Upgrades!$T$18="Roche Lobe Overflow",POWER(Upgrades!$U$18,J70),1)*IF(Upgrades!$T$19="Roche Lobe Overflow",POWER(Upgrades!$U$19,K70),1)*IF(Upgrades!$T$20="Roche Lobe Overflow",POWER(Upgrades!$U$20,L70),1)*IF(Upgrades!$T$21="Roche Lobe Overflow",POWER(Upgrades!$U$21,M70),1))*POWER(Upgrades!$R$13,E70)*POWER(Upgrades!$R$14,F70)*POWER(Upgrades!$R$15,G70)*POWER(Upgrades!$R$16,H70)*POWER(Upgrades!$R$17,I70)*POWER(Upgrades!$R$18,J70)*POWER(Upgrades!$R$19,K70)*POWER(Upgrades!$R$20,L70)*POWER(Upgrades!$R$21,M70)*$H$6*O70*60</f>
        <v/>
      </c>
      <c r="AE70" s="27">
        <f>(IF(I70=0,0,(Upgrades!$G$17+I70*Upgrades!$H$17)*POWER(Upgrades!$I$17,I70)))*(IF(Upgrades!$T$13="Brown Dwarf",POWER(Upgrades!$U$13,E70),1)*IF(Upgrades!$T$14="Brown Dwarf",POWER(Upgrades!$U$14,F70),1)*IF(Upgrades!$T$15="Brown Dwarf",POWER(Upgrades!$U$15,G70),1)*IF(Upgrades!$T$16="Brown Dwarf",POWER(Upgrades!$U$16,H70),1)*IF(Upgrades!$T$18="Brown Dwarf",POWER(Upgrades!$U$18,J70),1)*IF(Upgrades!$T$19="Brown Dwarf",POWER(Upgrades!$U$19,K70),1)*IF(Upgrades!$T$20="Brown Dwarf",POWER(Upgrades!$U$20,L70),1)*IF(Upgrades!$T$21="Brown Dwarf",POWER(Upgrades!$U$21,M70),1))*POWER(Upgrades!$P$13,E70)*POWER(Upgrades!$P$14,F70)*POWER(Upgrades!$P$15,G70)*POWER(Upgrades!$P$16,H70)*POWER(Upgrades!$P$17,I70)*POWER(Upgrades!$P$18,J70)*POWER(Upgrades!$P$19,K70)*POWER(Upgrades!$P$20,L70)*POWER(Upgrades!$P$21,M70)*$F$6*60</f>
        <v/>
      </c>
      <c r="AF70" s="27" t="n">
        <v>0</v>
      </c>
      <c r="AG70" s="27" t="n">
        <v>0</v>
      </c>
      <c r="AH70" s="27" t="n">
        <v>0</v>
      </c>
      <c r="AI70" s="27">
        <f>(IF(M70=0,0,(Upgrades!$G$21+M70*Upgrades!$H$21)*POWER(Upgrades!$I$21,M70)))*(IF(Upgrades!$T$13="Moving Group",POWER(Upgrades!$U$13,E70),1)*IF(Upgrades!$T$14="Moving Group",POWER(Upgrades!$U$14,F70),1)*IF(Upgrades!$T$15="Moving Group",POWER(Upgrades!$U$15,G70),1)*IF(Upgrades!$T$16="Moving Group",POWER(Upgrades!$U$16,H70),1)*IF(Upgrades!$T$17="Moving Group",POWER(Upgrades!$U$17,I70),1)*IF(Upgrades!$T$18="Moving Group",POWER(Upgrades!$U$18,J70),1)*IF(Upgrades!$T$19="Moving Group",POWER(Upgrades!$U$19,K70),1)*IF(Upgrades!$T$20="Moving Group",POWER(Upgrades!$U$20,L70),1))*POWER(Upgrades!$P$13,E70)*POWER(Upgrades!$P$14,F70)*POWER(Upgrades!$P$15,G70)*POWER(Upgrades!$P$16,H70)*POWER(Upgrades!$P$17,I70)*POWER(Upgrades!$P$18,J70)*POWER(Upgrades!$P$19,K70)*POWER(Upgrades!$P$20,L70)*POWER(Upgrades!$P$21,M70)*$F$6*60</f>
        <v/>
      </c>
      <c r="AJ70" s="27">
        <f>$C$6*60</f>
        <v/>
      </c>
      <c r="AK70" s="22">
        <f>IF(E70&gt;=Upgrades!$E$13,"",Upgrades!$C$13*POWER(Upgrades!$D$13,E70))</f>
        <v/>
      </c>
      <c r="AL70" s="22">
        <f>IF(F70&gt;=Upgrades!$E$14,"",Upgrades!$C$14*POWER(Upgrades!$D$14,F70))</f>
        <v/>
      </c>
      <c r="AM70" s="22">
        <f>IF(G70&gt;=Upgrades!$E$15,"",Upgrades!$C$15*POWER(Upgrades!$D$15,G70))</f>
        <v/>
      </c>
      <c r="AN70" s="22">
        <f>IF(H70&gt;=Upgrades!$E$16,"",Upgrades!$C$16*POWER(Upgrades!$D$16,H70))</f>
        <v/>
      </c>
      <c r="AO70" s="22">
        <f>IF(I70&gt;=Upgrades!$E$17,"",Upgrades!$C$17*POWER(Upgrades!$D$17,I70))</f>
        <v/>
      </c>
      <c r="AP70" s="22">
        <f>IF(J70&gt;=Upgrades!$E$18,"",Upgrades!$C$18*POWER(Upgrades!$D$18,J70))</f>
        <v/>
      </c>
      <c r="AQ70" s="22">
        <f>IF(K70&gt;=Upgrades!$E$19,"",Upgrades!$C$19*POWER(Upgrades!$D$19,K70))</f>
        <v/>
      </c>
      <c r="AR70" s="22">
        <f>IF(L70&gt;=Upgrades!$E$20,"",Upgrades!$C$20*POWER(Upgrades!$D$20,L70))</f>
        <v/>
      </c>
      <c r="AS70" s="22">
        <f>IF(M70&gt;=Upgrades!$E$21,"",Upgrades!$C$21*POWER(Upgrades!$D$21,M70))</f>
        <v/>
      </c>
      <c r="AT70" s="26">
        <f>IF(AND(D70&gt;=Parameters!$B$18*Parameters!$B$19,(I70&gt;=Upgrades!$E$17)*(M70&gt;=Upgrades!$E$21)=1,N70=0),1,"")</f>
        <v/>
      </c>
      <c r="AU70" s="26">
        <f>IF(AND(D70&gt;=Parameters!$B$18*Parameters!$B$19,N70=0),1,"")</f>
        <v/>
      </c>
      <c r="AV70" s="22">
        <f>MIN(IF(ISNUMBER(AP70),AP70,9E15),IF(ISNUMBER(AQ70),AQ70,9E15),IF(ISNUMBER(AR70),AR70,9E15),IF(ISNUMBER(AS70),AS70,9E15))</f>
        <v/>
      </c>
      <c r="AW70" s="22">
        <f>MIN(IF(ISNUMBER(AK70),AK70,9E15),IF(ISNUMBER(AL70),AL70,9E15),IF(ISNUMBER(AM70),AM70,9E15),IF(ISNUMBER(AN70),AN70,9E15),IF(ISNUMBER(AO70),AO70,9E15))</f>
        <v/>
      </c>
      <c r="AX70" s="29">
        <f>IF(BD70&gt;Parameters!$B$21*(MAX(IF(AND(NOT(AND(AU70=1,AT70&lt;&gt;1)),ISNUMBER(AK70),AK70&lt;=(C70+T70)),AY70,0),IF(AND(NOT(AND(AU70=1,AT70&lt;&gt;1)),ISNUMBER(AL70),AL70&lt;=(C70+T70)),AZ70,0),IF(AND(NOT(AND(AU70=1,AT70&lt;&gt;1)),ISNUMBER(AM70),AM70&lt;=(C70+T70)),BA70,0),IF(AND(NOT(AND(AU70=1,AT70&lt;&gt;1)),ISNUMBER(AN70),AN70&lt;=(C70+T70)),BB70,0),IF(AND(ISNUMBER(AO70),AO70&lt;=(C70+T70)),BC70,0))),TRUE,FALSE)</f>
        <v/>
      </c>
      <c r="AY70" s="32">
        <f>IFERROR(Upgrades!$H$13*(POWER(Upgrades!$P$13,E70)*POWER(Upgrades!$P$14,F70)*POWER(Upgrades!$P$15,G70)*POWER(Upgrades!$P$16,H70)*POWER(Upgrades!$P$17,I70)*POWER(Upgrades!$P$18,J70)*POWER(Upgrades!$P$19,K70)*POWER(Upgrades!$P$20,L70)*POWER(Upgrades!$P$21,M70))*(IF(Upgrades!$T$14="Stellar Kinematics",POWER(Upgrades!$U$14,F70),1)*IF(Upgrades!$T$15="Stellar Kinematics",POWER(Upgrades!$U$15,G70),1)*IF(Upgrades!$T$16="Stellar Kinematics",POWER(Upgrades!$U$16,H70),1)*IF(Upgrades!$T$17="Stellar Kinematics",POWER(Upgrades!$U$17,I70),1)*IF(Upgrades!$T$18="Stellar Kinematics",POWER(Upgrades!$U$18,J70),1)*IF(Upgrades!$T$19="Stellar Kinematics",POWER(Upgrades!$U$19,K70),1)*IF(Upgrades!$T$20="Stellar Kinematics",POWER(Upgrades!$U$20,L70),1)*IF(Upgrades!$T$21="Stellar Kinematics",POWER(Upgrades!$U$21,M70),1))*$F$6/AK70,0)</f>
        <v/>
      </c>
      <c r="AZ70" s="32">
        <f>IFERROR(Upgrades!$H$14*(POWER(Upgrades!$P$13,E70)*POWER(Upgrades!$P$14,F70)*POWER(Upgrades!$P$15,G70)*POWER(Upgrades!$P$16,H70)*POWER(Upgrades!$P$17,I70)*POWER(Upgrades!$P$18,J70)*POWER(Upgrades!$P$19,K70)*POWER(Upgrades!$P$20,L70)*POWER(Upgrades!$P$21,M70))*(IF(Upgrades!$T$13="Local Bubble",POWER(Upgrades!$U$13,E70),1)*IF(Upgrades!$T$15="Local Bubble",POWER(Upgrades!$U$15,G70),1)*IF(Upgrades!$T$16="Local Bubble",POWER(Upgrades!$U$16,H70),1)*IF(Upgrades!$T$17="Local Bubble",POWER(Upgrades!$U$17,I70),1)*IF(Upgrades!$T$18="Local Bubble",POWER(Upgrades!$U$18,J70),1)*IF(Upgrades!$T$19="Local Bubble",POWER(Upgrades!$U$19,K70),1)*IF(Upgrades!$T$20="Local Bubble",POWER(Upgrades!$U$20,L70),1)*IF(Upgrades!$T$21="Local Bubble",POWER(Upgrades!$U$21,M70),1))*$F$6/AL70,0)</f>
        <v/>
      </c>
      <c r="BA70" s="32">
        <f>IFERROR(Upgrades!$K$15*(POWER(Upgrades!$Q$13,E70)*POWER(Upgrades!$Q$14,F70)*POWER(Upgrades!$Q$15,G70)*POWER(Upgrades!$Q$16,H70)*POWER(Upgrades!$Q$17,I70)*POWER(Upgrades!$Q$18,J70)*POWER(Upgrades!$Q$19,K70)*POWER(Upgrades!$Q$20,L70)*POWER(Upgrades!$Q$21,M70))*(IF(Upgrades!$T$13="Microlensing",POWER(Upgrades!$U$13,E70),1)*IF(Upgrades!$T$14="Microlensing",POWER(Upgrades!$U$14,F70),1)*IF(Upgrades!$T$16="Microlensing",POWER(Upgrades!$U$16,H70),1)*IF(Upgrades!$T$17="Microlensing",POWER(Upgrades!$U$17,I70),1)*IF(Upgrades!$T$18="Microlensing",POWER(Upgrades!$U$18,J70),1)*IF(Upgrades!$T$19="Microlensing",POWER(Upgrades!$U$19,K70),1)*IF(Upgrades!$T$20="Microlensing",POWER(Upgrades!$U$20,L70),1)*IF(Upgrades!$T$21="Microlensing",POWER(Upgrades!$U$21,M70),1))*$G$6*(Parameters!$B$10/60*Parameters!$B$11+Q70)/AM70,0)</f>
        <v/>
      </c>
      <c r="BB70" s="32">
        <f>IFERROR((Upgrades!$N$16*(POWER(Upgrades!$R$13,E70)*POWER(Upgrades!$R$14,F70)*POWER(Upgrades!$R$15,G70)*POWER(Upgrades!$R$16,H70)*POWER(Upgrades!$R$17,I70)*POWER(Upgrades!$R$18,J70)*POWER(Upgrades!$R$19,K70)*POWER(Upgrades!$R$20,L70)*POWER(Upgrades!$R$21,M70))*(IF(Upgrades!$T$13="Roche Lobe Overflow",POWER(Upgrades!$U$13,E70),1)*IF(Upgrades!$T$14="Roche Lobe Overflow",POWER(Upgrades!$U$14,F70),1)*IF(Upgrades!$T$15="Roche Lobe Overflow",POWER(Upgrades!$U$15,G70),1)*IF(Upgrades!$T$17="Roche Lobe Overflow",POWER(Upgrades!$U$17,I70),1)*IF(Upgrades!$T$18="Roche Lobe Overflow",POWER(Upgrades!$U$18,J70),1)*IF(Upgrades!$T$19="Roche Lobe Overflow",POWER(Upgrades!$U$19,K70),1)*IF(Upgrades!$T$20="Roche Lobe Overflow",POWER(Upgrades!$U$20,L70),1)*IF(Upgrades!$T$21="Roche Lobe Overflow",POWER(Upgrades!$U$21,M70),1))*$H$6*O70+((IF(F70=0,0,(Upgrades!$G$14+F70*Upgrades!$H$14)*POWER(Upgrades!$I$14,F70)))*(IF(Upgrades!$T$13="Local Bubble",POWER(Upgrades!$U$13,E70),1)*IF(Upgrades!$T$15="Local Bubble",POWER(Upgrades!$U$15,G70),1)*IF(Upgrades!$T$16="Local Bubble",POWER(Upgrades!$U$16,H70),1)*IF(Upgrades!$T$17="Local Bubble",POWER(Upgrades!$U$17,I70),1)*IF(Upgrades!$T$18="Local Bubble",POWER(Upgrades!$U$18,J70),1)*IF(Upgrades!$T$19="Local Bubble",POWER(Upgrades!$U$19,K70),1)*IF(Upgrades!$T$20="Local Bubble",POWER(Upgrades!$U$20,L70),1)*IF(Upgrades!$T$21="Local Bubble",POWER(Upgrades!$U$21,M70),1))*POWER(Upgrades!$P$13,E70)*POWER(Upgrades!$P$14,F70)*POWER(Upgrades!$P$15,G70)*POWER(Upgrades!$P$16,H70)*POWER(Upgrades!$P$17,I70)*POWER(Upgrades!$P$18,J70)*POWER(Upgrades!$P$19,K70)*POWER(Upgrades!$P$20,L70)*POWER(Upgrades!$P$21,M70)*$F$6)*0.05)/AN70,0)</f>
        <v/>
      </c>
      <c r="BC70" s="32">
        <f>IFERROR((Upgrades!$H$17*(POWER(Upgrades!$P$13,E70)*POWER(Upgrades!$P$14,F70)*POWER(Upgrades!$P$15,G70)*POWER(Upgrades!$P$16,H70)*POWER(Upgrades!$P$17,I70)*POWER(Upgrades!$P$18,J70)*POWER(Upgrades!$P$19,K70)*POWER(Upgrades!$P$20,L70)*POWER(Upgrades!$P$21,M70))*(IF(Upgrades!$T$13="Brown Dwarf",POWER(Upgrades!$U$13,E70),1)*IF(Upgrades!$T$14="Brown Dwarf",POWER(Upgrades!$U$14,F70),1)*IF(Upgrades!$T$15="Brown Dwarf",POWER(Upgrades!$U$15,G70),1)*IF(Upgrades!$T$16="Brown Dwarf",POWER(Upgrades!$U$16,H70),1)*IF(Upgrades!$T$18="Brown Dwarf",POWER(Upgrades!$U$18,J70),1)*IF(Upgrades!$T$19="Brown Dwarf",POWER(Upgrades!$U$19,K70),1)*IF(Upgrades!$T$20="Brown Dwarf",POWER(Upgrades!$U$20,L70),1)*IF(Upgrades!$T$21="Brown Dwarf",POWER(Upgrades!$U$21,M70),1))*$F$6+(((IF(H70=0,0,(Upgrades!$M$16+H70*Upgrades!$N$16)*POWER(Upgrades!$O$16,H70)))*(IF(Upgrades!$T$13="Roche Lobe Overflow",POWER(Upgrades!$U$13,E70),1)*IF(Upgrades!$T$14="Roche Lobe Overflow",POWER(Upgrades!$U$14,F70),1)*IF(Upgrades!$T$15="Roche Lobe Overflow",POWER(Upgrades!$U$15,G70),1)*IF(Upgrades!$T$17="Roche Lobe Overflow",POWER(Upgrades!$U$17,I70),1)*IF(Upgrades!$T$18="Roche Lobe Overflow",POWER(Upgrades!$U$18,J70),1)*IF(Upgrades!$T$19="Roche Lobe Overflow",POWER(Upgrades!$U$19,K70),1)*IF(Upgrades!$T$20="Roche Lobe Overflow",POWER(Upgrades!$U$20,L70),1)*IF(Upgrades!$T$21="Roche Lobe Overflow",POWER(Upgrades!$U$21,M70),1))*POWER(Upgrades!$R$13,E70)*POWER(Upgrades!$R$14,F70)*POWER(Upgrades!$R$15,G70)*POWER(Upgrades!$R$16,H70)*POWER(Upgrades!$R$17,I70)*POWER(Upgrades!$R$18,J70)*POWER(Upgrades!$R$19,K70)*POWER(Upgrades!$R$20,L70)*POWER(Upgrades!$R$21,M70)*$H$6)*O70)*0.10)/AO70,0)</f>
        <v/>
      </c>
      <c r="BD70" s="32">
        <f>MAX(IF(J70&gt;0,0,IFERROR(0.5*((IF(G70=0,0,(Upgrades!$J$15+G70*Upgrades!$K$15)*POWER(Upgrades!$L$15,G70)))*(IF(Upgrades!$T$13="Microlensing",POWER(Upgrades!$U$13,E70),1)*IF(Upgrades!$T$14="Microlensing",POWER(Upgrades!$U$14,F70),1)*IF(Upgrades!$T$16="Microlensing",POWER(Upgrades!$U$16,H70),1)*IF(Upgrades!$T$17="Microlensing",POWER(Upgrades!$U$17,I70),1)*IF(Upgrades!$T$18="Microlensing",POWER(Upgrades!$U$18,J70),1)*IF(Upgrades!$T$19="Microlensing",POWER(Upgrades!$U$19,K70),1)*IF(Upgrades!$T$20="Microlensing",POWER(Upgrades!$U$20,L70),1)*IF(Upgrades!$T$21="Microlensing",POWER(Upgrades!$U$21,M70),1))*(POWER(Upgrades!$Q$13,E70)*POWER(Upgrades!$Q$14,F70)*POWER(Upgrades!$Q$15,G70)*POWER(Upgrades!$Q$16,H70)*POWER(Upgrades!$Q$17,I70)*POWER(Upgrades!$Q$18,J70)*POWER(Upgrades!$Q$19,K70)*POWER(Upgrades!$Q$20,L70)*POWER(Upgrades!$Q$21,M70))*$G$6*(Parameters!$B$10/60*Parameters!$B$11+Q70))/Upgrades!$C$18,0)),IF(K70&gt;0,0,IFERROR(0.30*P70/Upgrades!$C$19,0)),IF(L70&gt;0,0,IFERROR(0.0001/Upgrades!$C$20,0)),IF(M70&gt;0,0,IFERROR((6.0*(POWER(Upgrades!$P$13,E70)*POWER(Upgrades!$P$14,F70)*POWER(Upgrades!$P$15,G70)*POWER(Upgrades!$P$16,H70)*POWER(Upgrades!$P$17,I70)*POWER(Upgrades!$P$18,J70)*POWER(Upgrades!$P$19,K70)*POWER(Upgrades!$P$20,L70)*POWER(Upgrades!$P$21,M70))*$F$6+0.20*O70*(Parameters!$B$10/60*Parameters!$B$11+Q70))/Upgrades!$C$21,0)),IF(AND(ISNUMBER(AK70),AK70&gt;(C70+T70)),AY70,0),IF(AND(ISNUMBER(AL70),AL70&gt;(C70+T70)),AZ70,0),IF(AND(ISNUMBER(AM70),AM70&gt;(C70+T70)),BA70,0),IF(AND(ISNUMBER(AN70),AN70&gt;(C70+T70)),BB70,0),IF(AND(ISNUMBER(AO70),AO70&gt;(C70+T70)),BC70,0))</f>
        <v/>
      </c>
      <c r="BE70" s="29">
        <f>IF(AT70=1,"transition",IF(MIN(IF(AND(J70=0,ISNUMBER(AP70),AP70&lt;=(C70+T70)),AP70,9E15),IF(AND(K70=0,ISNUMBER(AQ70),AQ70&lt;=(C70+T70)),AQ70,9E15),IF(AND(L70=0,ISNUMBER(AR70),AR70&lt;=(C70+T70)),AR70,9E15),IF(AND(M70=0,ISNUMBER(AS70),AS70&lt;=(C70+T70)),AS70,9E15))&lt;9E15,IF(AND(AND(J70=0,ISNUMBER(AP70),AP70&lt;=(C70+T70)),AP70=MIN(IF(AND(J70=0,ISNUMBER(AP70),AP70&lt;=(C70+T70)),AP70,9E15),IF(AND(K70=0,ISNUMBER(AQ70),AQ70&lt;=(C70+T70)),AQ70,9E15),IF(AND(L70=0,ISNUMBER(AR70),AR70&lt;=(C70+T70)),AR70,9E15),IF(AND(M70=0,ISNUMBER(AS70),AS70&lt;=(C70+T70)),AS70,9E15))),"BiP",IF(AND(AND(K70=0,ISNUMBER(AQ70),AQ70&lt;=(C70+T70)),AQ70=MIN(IF(AND(J70=0,ISNUMBER(AP70),AP70&lt;=(C70+T70)),AP70,9E15),IF(AND(K70=0,ISNUMBER(AQ70),AQ70&lt;=(C70+T70)),AQ70,9E15),IF(AND(L70=0,ISNUMBER(AR70),AR70&lt;=(C70+T70)),AR70,9E15),IF(AND(M70=0,ISNUMBER(AS70),AS70&lt;=(C70+T70)),AS70,9E15))),"PV",IF(AND(AND(L70=0,ISNUMBER(AR70),AR70&lt;=(C70+T70)),AR70=MIN(IF(AND(J70=0,ISNUMBER(AP70),AP70&lt;=(C70+T70)),AP70,9E15),IF(AND(K70=0,ISNUMBER(AQ70),AQ70&lt;=(C70+T70)),AQ70,9E15),IF(AND(L70=0,ISNUMBER(AR70),AR70&lt;=(C70+T70)),AR70,9E15),IF(AND(M70=0,ISNUMBER(AS70),AS70&lt;=(C70+T70)),AS70,9E15))),"OC","MG"))),IF(AX70=TRUE,"",IF(MAX(IF(AND(NOT(AND(AU70=1,AT70&lt;&gt;1)),ISNUMBER(AK70),AK70&lt;=(C70+T70)),AY70,0),IF(AND(NOT(AND(AU70=1,AT70&lt;&gt;1)),ISNUMBER(AL70),AL70&lt;=(C70+T70)),AZ70,0),IF(AND(NOT(AND(AU70=1,AT70&lt;&gt;1)),ISNUMBER(AM70),AM70&lt;=(C70+T70)),BA70,0),IF(AND(NOT(AND(AU70=1,AT70&lt;&gt;1)),ISNUMBER(AN70),AN70&lt;=(C70+T70)),BB70,0),IF(AND(ISNUMBER(AO70),AO70&lt;=(C70+T70)),BC70,0))&lt;=0,"",IF(AND(IF(AND(NOT(AND(AU70=1,AT70&lt;&gt;1)),ISNUMBER(AK70),AK70&lt;=(C70+T70)),AY70,0)&gt;0,IF(AND(NOT(AND(AU70=1,AT70&lt;&gt;1)),ISNUMBER(AK70),AK70&lt;=(C70+T70)),AY70,0)=MAX(IF(AND(NOT(AND(AU70=1,AT70&lt;&gt;1)),ISNUMBER(AK70),AK70&lt;=(C70+T70)),AY70,0),IF(AND(NOT(AND(AU70=1,AT70&lt;&gt;1)),ISNUMBER(AL70),AL70&lt;=(C70+T70)),AZ70,0),IF(AND(NOT(AND(AU70=1,AT70&lt;&gt;1)),ISNUMBER(AM70),AM70&lt;=(C70+T70)),BA70,0),IF(AND(NOT(AND(AU70=1,AT70&lt;&gt;1)),ISNUMBER(AN70),AN70&lt;=(C70+T70)),BB70,0),IF(AND(ISNUMBER(AO70),AO70&lt;=(C70+T70)),BC70,0))),"SK",IF(AND(IF(AND(NOT(AND(AU70=1,AT70&lt;&gt;1)),ISNUMBER(AL70),AL70&lt;=(C70+T70)),AZ70,0)&gt;0,IF(AND(NOT(AND(AU70=1,AT70&lt;&gt;1)),ISNUMBER(AL70),AL70&lt;=(C70+T70)),AZ70,0)=MAX(IF(AND(NOT(AND(AU70=1,AT70&lt;&gt;1)),ISNUMBER(AK70),AK70&lt;=(C70+T70)),AY70,0),IF(AND(NOT(AND(AU70=1,AT70&lt;&gt;1)),ISNUMBER(AL70),AL70&lt;=(C70+T70)),AZ70,0),IF(AND(NOT(AND(AU70=1,AT70&lt;&gt;1)),ISNUMBER(AM70),AM70&lt;=(C70+T70)),BA70,0),IF(AND(NOT(AND(AU70=1,AT70&lt;&gt;1)),ISNUMBER(AN70),AN70&lt;=(C70+T70)),BB70,0),IF(AND(ISNUMBER(AO70),AO70&lt;=(C70+T70)),BC70,0))),"LB",IF(AND(IF(AND(NOT(AND(AU70=1,AT70&lt;&gt;1)),ISNUMBER(AM70),AM70&lt;=(C70+T70)),BA70,0)&gt;0,IF(AND(NOT(AND(AU70=1,AT70&lt;&gt;1)),ISNUMBER(AM70),AM70&lt;=(C70+T70)),BA70,0)=MAX(IF(AND(NOT(AND(AU70=1,AT70&lt;&gt;1)),ISNUMBER(AK70),AK70&lt;=(C70+T70)),AY70,0),IF(AND(NOT(AND(AU70=1,AT70&lt;&gt;1)),ISNUMBER(AL70),AL70&lt;=(C70+T70)),AZ70,0),IF(AND(NOT(AND(AU70=1,AT70&lt;&gt;1)),ISNUMBER(AM70),AM70&lt;=(C70+T70)),BA70,0),IF(AND(NOT(AND(AU70=1,AT70&lt;&gt;1)),ISNUMBER(AN70),AN70&lt;=(C70+T70)),BB70,0),IF(AND(ISNUMBER(AO70),AO70&lt;=(C70+T70)),BC70,0))),"ML",IF(AND(IF(AND(NOT(AND(AU70=1,AT70&lt;&gt;1)),ISNUMBER(AN70),AN70&lt;=(C70+T70)),BB70,0)&gt;0,IF(AND(NOT(AND(AU70=1,AT70&lt;&gt;1)),ISNUMBER(AN70),AN70&lt;=(C70+T70)),BB70,0)=MAX(IF(AND(NOT(AND(AU70=1,AT70&lt;&gt;1)),ISNUMBER(AK70),AK70&lt;=(C70+T70)),AY70,0),IF(AND(NOT(AND(AU70=1,AT70&lt;&gt;1)),ISNUMBER(AL70),AL70&lt;=(C70+T70)),AZ70,0),IF(AND(NOT(AND(AU70=1,AT70&lt;&gt;1)),ISNUMBER(AM70),AM70&lt;=(C70+T70)),BA70,0),IF(AND(NOT(AND(AU70=1,AT70&lt;&gt;1)),ISNUMBER(AN70),AN70&lt;=(C70+T70)),BB70,0),IF(AND(ISNUMBER(AO70),AO70&lt;=(C70+T70)),BC70,0))),"RLO","BD"))))))))</f>
        <v/>
      </c>
    </row>
    <row r="71">
      <c r="A71" s="26" t="n">
        <v>60</v>
      </c>
      <c r="B71" s="27">
        <f>A71*10/60</f>
        <v/>
      </c>
      <c r="C71" s="22">
        <f>X70</f>
        <v/>
      </c>
      <c r="D71" s="27">
        <f>D70+W70</f>
        <v/>
      </c>
      <c r="E71" s="26">
        <f>E70+IF(U70="SK",1,0)</f>
        <v/>
      </c>
      <c r="F71" s="26">
        <f>F70+IF(U70="LB",1,0)</f>
        <v/>
      </c>
      <c r="G71" s="26">
        <f>G70+IF(U70="ML",1,0)</f>
        <v/>
      </c>
      <c r="H71" s="26">
        <f>H70+IF(U70="RLO",1,0)</f>
        <v/>
      </c>
      <c r="I71" s="26">
        <f>I70+IF(U70="BD",1,0)</f>
        <v/>
      </c>
      <c r="J71" s="26">
        <f>MAX(J70,IF(U70="BiP",1,0))</f>
        <v/>
      </c>
      <c r="K71" s="26">
        <f>MAX(K70,IF(U70="PV",1,0))</f>
        <v/>
      </c>
      <c r="L71" s="26">
        <f>MAX(L70,IF(U70="OC",1,0))</f>
        <v/>
      </c>
      <c r="M71" s="26">
        <f>MAX(M70,IF(U70="MG",1,0))</f>
        <v/>
      </c>
      <c r="N71" s="26">
        <f>MAX(N70,IF(U70="transition",1,0))</f>
        <v/>
      </c>
      <c r="O71" s="28">
        <f>(Parameters!$B$9+(IF(E71=0,0,(Upgrades!$J$13+E71*Upgrades!$K$13)*POWER(Upgrades!$L$13,E71)))*(IF(Upgrades!$T$14="Stellar Kinematics",POWER(Upgrades!$U$14,F71),1)*IF(Upgrades!$T$15="Stellar Kinematics",POWER(Upgrades!$U$15,G71),1)*IF(Upgrades!$T$16="Stellar Kinematics",POWER(Upgrades!$U$16,H71),1)*IF(Upgrades!$T$17="Stellar Kinematics",POWER(Upgrades!$U$17,I71),1)*IF(Upgrades!$T$18="Stellar Kinematics",POWER(Upgrades!$U$18,J71),1)*IF(Upgrades!$T$19="Stellar Kinematics",POWER(Upgrades!$U$19,K71),1)*IF(Upgrades!$T$20="Stellar Kinematics",POWER(Upgrades!$U$20,L71),1)*IF(Upgrades!$T$21="Stellar Kinematics",POWER(Upgrades!$U$21,M71),1))+(IF(F71=0,0,(Upgrades!$J$14+F71*Upgrades!$K$14)*POWER(Upgrades!$L$14,F71)))*(IF(Upgrades!$T$13="Local Bubble",POWER(Upgrades!$U$13,E71),1)*IF(Upgrades!$T$15="Local Bubble",POWER(Upgrades!$U$15,G71),1)*IF(Upgrades!$T$16="Local Bubble",POWER(Upgrades!$U$16,H71),1)*IF(Upgrades!$T$17="Local Bubble",POWER(Upgrades!$U$17,I71),1)*IF(Upgrades!$T$18="Local Bubble",POWER(Upgrades!$U$18,J71),1)*IF(Upgrades!$T$19="Local Bubble",POWER(Upgrades!$U$19,K71),1)*IF(Upgrades!$T$20="Local Bubble",POWER(Upgrades!$U$20,L71),1)*IF(Upgrades!$T$21="Local Bubble",POWER(Upgrades!$U$21,M71),1))+(IF(G71=0,0,(Upgrades!$J$15+G71*Upgrades!$K$15)*POWER(Upgrades!$L$15,G71)))*(IF(Upgrades!$T$13="Microlensing",POWER(Upgrades!$U$13,E71),1)*IF(Upgrades!$T$14="Microlensing",POWER(Upgrades!$U$14,F71),1)*IF(Upgrades!$T$16="Microlensing",POWER(Upgrades!$U$16,H71),1)*IF(Upgrades!$T$17="Microlensing",POWER(Upgrades!$U$17,I71),1)*IF(Upgrades!$T$18="Microlensing",POWER(Upgrades!$U$18,J71),1)*IF(Upgrades!$T$19="Microlensing",POWER(Upgrades!$U$19,K71),1)*IF(Upgrades!$T$20="Microlensing",POWER(Upgrades!$U$20,L71),1)*IF(Upgrades!$T$21="Microlensing",POWER(Upgrades!$U$21,M71),1))+(IF(H71=0,0,(Upgrades!$J$16+H71*Upgrades!$K$16)*POWER(Upgrades!$L$16,H71)))*(IF(Upgrades!$T$13="Roche Lobe Overflow",POWER(Upgrades!$U$13,E71),1)*IF(Upgrades!$T$14="Roche Lobe Overflow",POWER(Upgrades!$U$14,F71),1)*IF(Upgrades!$T$15="Roche Lobe Overflow",POWER(Upgrades!$U$15,G71),1)*IF(Upgrades!$T$17="Roche Lobe Overflow",POWER(Upgrades!$U$17,I71),1)*IF(Upgrades!$T$18="Roche Lobe Overflow",POWER(Upgrades!$U$18,J71),1)*IF(Upgrades!$T$19="Roche Lobe Overflow",POWER(Upgrades!$U$19,K71),1)*IF(Upgrades!$T$20="Roche Lobe Overflow",POWER(Upgrades!$U$20,L71),1)*IF(Upgrades!$T$21="Roche Lobe Overflow",POWER(Upgrades!$U$21,M71),1))+(IF(I71=0,0,(Upgrades!$J$17+I71*Upgrades!$K$17)*POWER(Upgrades!$L$17,I71)))*(IF(Upgrades!$T$13="Brown Dwarf",POWER(Upgrades!$U$13,E71),1)*IF(Upgrades!$T$14="Brown Dwarf",POWER(Upgrades!$U$14,F71),1)*IF(Upgrades!$T$15="Brown Dwarf",POWER(Upgrades!$U$15,G71),1)*IF(Upgrades!$T$16="Brown Dwarf",POWER(Upgrades!$U$16,H71),1)*IF(Upgrades!$T$18="Brown Dwarf",POWER(Upgrades!$U$18,J71),1)*IF(Upgrades!$T$19="Brown Dwarf",POWER(Upgrades!$U$19,K71),1)*IF(Upgrades!$T$20="Brown Dwarf",POWER(Upgrades!$U$20,L71),1)*IF(Upgrades!$T$21="Brown Dwarf",POWER(Upgrades!$U$21,M71),1))+(IF(J71=0,0,(Upgrades!$J$18+J71*Upgrades!$K$18)*POWER(Upgrades!$L$18,J71)))*(IF(Upgrades!$T$13="Binary Partner",POWER(Upgrades!$U$13,E71),1)*IF(Upgrades!$T$14="Binary Partner",POWER(Upgrades!$U$14,F71),1)*IF(Upgrades!$T$15="Binary Partner",POWER(Upgrades!$U$15,G71),1)*IF(Upgrades!$T$16="Binary Partner",POWER(Upgrades!$U$16,H71),1)*IF(Upgrades!$T$17="Binary Partner",POWER(Upgrades!$U$17,I71),1)*IF(Upgrades!$T$19="Binary Partner",POWER(Upgrades!$U$19,K71),1)*IF(Upgrades!$T$20="Binary Partner",POWER(Upgrades!$U$20,L71),1)*IF(Upgrades!$T$21="Binary Partner",POWER(Upgrades!$U$21,M71),1))+(IF(K71=0,0,(Upgrades!$J$19+K71*Upgrades!$K$19)*POWER(Upgrades!$L$19,K71)))*(IF(Upgrades!$T$13="Peculiar Velocity",POWER(Upgrades!$U$13,E71),1)*IF(Upgrades!$T$14="Peculiar Velocity",POWER(Upgrades!$U$14,F71),1)*IF(Upgrades!$T$15="Peculiar Velocity",POWER(Upgrades!$U$15,G71),1)*IF(Upgrades!$T$16="Peculiar Velocity",POWER(Upgrades!$U$16,H71),1)*IF(Upgrades!$T$17="Peculiar Velocity",POWER(Upgrades!$U$17,I71),1)*IF(Upgrades!$T$18="Peculiar Velocity",POWER(Upgrades!$U$18,J71),1)*IF(Upgrades!$T$20="Peculiar Velocity",POWER(Upgrades!$U$20,L71),1)*IF(Upgrades!$T$21="Peculiar Velocity",POWER(Upgrades!$U$21,M71),1))+(IF(L71=0,0,(Upgrades!$J$20+L71*Upgrades!$K$20)*POWER(Upgrades!$L$20,L71)))*(IF(Upgrades!$T$13="Open Cluster",POWER(Upgrades!$U$13,E71),1)*IF(Upgrades!$T$14="Open Cluster",POWER(Upgrades!$U$14,F71),1)*IF(Upgrades!$T$15="Open Cluster",POWER(Upgrades!$U$15,G71),1)*IF(Upgrades!$T$16="Open Cluster",POWER(Upgrades!$U$16,H71),1)*IF(Upgrades!$T$17="Open Cluster",POWER(Upgrades!$U$17,I71),1)*IF(Upgrades!$T$18="Open Cluster",POWER(Upgrades!$U$18,J71),1)*IF(Upgrades!$T$19="Open Cluster",POWER(Upgrades!$U$19,K71),1)*IF(Upgrades!$T$21="Open Cluster",POWER(Upgrades!$U$21,M71),1))+(IF(M71=0,0,(Upgrades!$J$21+M71*Upgrades!$K$21)*POWER(Upgrades!$L$21,M71)))*(IF(Upgrades!$T$13="Moving Group",POWER(Upgrades!$U$13,E71),1)*IF(Upgrades!$T$14="Moving Group",POWER(Upgrades!$U$14,F71),1)*IF(Upgrades!$T$15="Moving Group",POWER(Upgrades!$U$15,G71),1)*IF(Upgrades!$T$16="Moving Group",POWER(Upgrades!$U$16,H71),1)*IF(Upgrades!$T$17="Moving Group",POWER(Upgrades!$U$17,I71),1)*IF(Upgrades!$T$18="Moving Group",POWER(Upgrades!$U$18,J71),1)*IF(Upgrades!$T$19="Moving Group",POWER(Upgrades!$U$19,K71),1)*IF(Upgrades!$T$20="Moving Group",POWER(Upgrades!$U$20,L71),1)))*POWER(Upgrades!$Q$13,E71)*POWER(Upgrades!$Q$14,F71)*POWER(Upgrades!$Q$15,G71)*POWER(Upgrades!$Q$16,H71)*POWER(Upgrades!$Q$17,I71)*POWER(Upgrades!$Q$18,J71)*POWER(Upgrades!$Q$19,K71)*POWER(Upgrades!$Q$20,L71)*POWER(Upgrades!$Q$21,M71)*$G$6+$D$6</f>
        <v/>
      </c>
      <c r="P71" s="28">
        <f>((IF(E71=0,0,(Upgrades!$G$13+E71*Upgrades!$H$13)*POWER(Upgrades!$I$13,E71)))*(IF(Upgrades!$T$14="Stellar Kinematics",POWER(Upgrades!$U$14,F71),1)*IF(Upgrades!$T$15="Stellar Kinematics",POWER(Upgrades!$U$15,G71),1)*IF(Upgrades!$T$16="Stellar Kinematics",POWER(Upgrades!$U$16,H71),1)*IF(Upgrades!$T$17="Stellar Kinematics",POWER(Upgrades!$U$17,I71),1)*IF(Upgrades!$T$18="Stellar Kinematics",POWER(Upgrades!$U$18,J71),1)*IF(Upgrades!$T$19="Stellar Kinematics",POWER(Upgrades!$U$19,K71),1)*IF(Upgrades!$T$20="Stellar Kinematics",POWER(Upgrades!$U$20,L71),1)*IF(Upgrades!$T$21="Stellar Kinematics",POWER(Upgrades!$U$21,M71),1))+(IF(F71=0,0,(Upgrades!$G$14+F71*Upgrades!$H$14)*POWER(Upgrades!$I$14,F71)))*(IF(Upgrades!$T$13="Local Bubble",POWER(Upgrades!$U$13,E71),1)*IF(Upgrades!$T$15="Local Bubble",POWER(Upgrades!$U$15,G71),1)*IF(Upgrades!$T$16="Local Bubble",POWER(Upgrades!$U$16,H71),1)*IF(Upgrades!$T$17="Local Bubble",POWER(Upgrades!$U$17,I71),1)*IF(Upgrades!$T$18="Local Bubble",POWER(Upgrades!$U$18,J71),1)*IF(Upgrades!$T$19="Local Bubble",POWER(Upgrades!$U$19,K71),1)*IF(Upgrades!$T$20="Local Bubble",POWER(Upgrades!$U$20,L71),1)*IF(Upgrades!$T$21="Local Bubble",POWER(Upgrades!$U$21,M71),1))+(IF(G71=0,0,(Upgrades!$G$15+G71*Upgrades!$H$15)*POWER(Upgrades!$I$15,G71)))*(IF(Upgrades!$T$13="Microlensing",POWER(Upgrades!$U$13,E71),1)*IF(Upgrades!$T$14="Microlensing",POWER(Upgrades!$U$14,F71),1)*IF(Upgrades!$T$16="Microlensing",POWER(Upgrades!$U$16,H71),1)*IF(Upgrades!$T$17="Microlensing",POWER(Upgrades!$U$17,I71),1)*IF(Upgrades!$T$18="Microlensing",POWER(Upgrades!$U$18,J71),1)*IF(Upgrades!$T$19="Microlensing",POWER(Upgrades!$U$19,K71),1)*IF(Upgrades!$T$20="Microlensing",POWER(Upgrades!$U$20,L71),1)*IF(Upgrades!$T$21="Microlensing",POWER(Upgrades!$U$21,M71),1))+(IF(H71=0,0,(Upgrades!$G$16+H71*Upgrades!$H$16)*POWER(Upgrades!$I$16,H71)))*(IF(Upgrades!$T$13="Roche Lobe Overflow",POWER(Upgrades!$U$13,E71),1)*IF(Upgrades!$T$14="Roche Lobe Overflow",POWER(Upgrades!$U$14,F71),1)*IF(Upgrades!$T$15="Roche Lobe Overflow",POWER(Upgrades!$U$15,G71),1)*IF(Upgrades!$T$17="Roche Lobe Overflow",POWER(Upgrades!$U$17,I71),1)*IF(Upgrades!$T$18="Roche Lobe Overflow",POWER(Upgrades!$U$18,J71),1)*IF(Upgrades!$T$19="Roche Lobe Overflow",POWER(Upgrades!$U$19,K71),1)*IF(Upgrades!$T$20="Roche Lobe Overflow",POWER(Upgrades!$U$20,L71),1)*IF(Upgrades!$T$21="Roche Lobe Overflow",POWER(Upgrades!$U$21,M71),1))+(IF(I71=0,0,(Upgrades!$G$17+I71*Upgrades!$H$17)*POWER(Upgrades!$I$17,I71)))*(IF(Upgrades!$T$13="Brown Dwarf",POWER(Upgrades!$U$13,E71),1)*IF(Upgrades!$T$14="Brown Dwarf",POWER(Upgrades!$U$14,F71),1)*IF(Upgrades!$T$15="Brown Dwarf",POWER(Upgrades!$U$15,G71),1)*IF(Upgrades!$T$16="Brown Dwarf",POWER(Upgrades!$U$16,H71),1)*IF(Upgrades!$T$18="Brown Dwarf",POWER(Upgrades!$U$18,J71),1)*IF(Upgrades!$T$19="Brown Dwarf",POWER(Upgrades!$U$19,K71),1)*IF(Upgrades!$T$20="Brown Dwarf",POWER(Upgrades!$U$20,L71),1)*IF(Upgrades!$T$21="Brown Dwarf",POWER(Upgrades!$U$21,M71),1))+(IF(J71=0,0,(Upgrades!$G$18+J71*Upgrades!$H$18)*POWER(Upgrades!$I$18,J71)))*(IF(Upgrades!$T$13="Binary Partner",POWER(Upgrades!$U$13,E71),1)*IF(Upgrades!$T$14="Binary Partner",POWER(Upgrades!$U$14,F71),1)*IF(Upgrades!$T$15="Binary Partner",POWER(Upgrades!$U$15,G71),1)*IF(Upgrades!$T$16="Binary Partner",POWER(Upgrades!$U$16,H71),1)*IF(Upgrades!$T$17="Binary Partner",POWER(Upgrades!$U$17,I71),1)*IF(Upgrades!$T$19="Binary Partner",POWER(Upgrades!$U$19,K71),1)*IF(Upgrades!$T$20="Binary Partner",POWER(Upgrades!$U$20,L71),1)*IF(Upgrades!$T$21="Binary Partner",POWER(Upgrades!$U$21,M71),1))+(IF(K71=0,0,(Upgrades!$G$19+K71*Upgrades!$H$19)*POWER(Upgrades!$I$19,K71)))*(IF(Upgrades!$T$13="Peculiar Velocity",POWER(Upgrades!$U$13,E71),1)*IF(Upgrades!$T$14="Peculiar Velocity",POWER(Upgrades!$U$14,F71),1)*IF(Upgrades!$T$15="Peculiar Velocity",POWER(Upgrades!$U$15,G71),1)*IF(Upgrades!$T$16="Peculiar Velocity",POWER(Upgrades!$U$16,H71),1)*IF(Upgrades!$T$17="Peculiar Velocity",POWER(Upgrades!$U$17,I71),1)*IF(Upgrades!$T$18="Peculiar Velocity",POWER(Upgrades!$U$18,J71),1)*IF(Upgrades!$T$20="Peculiar Velocity",POWER(Upgrades!$U$20,L71),1)*IF(Upgrades!$T$21="Peculiar Velocity",POWER(Upgrades!$U$21,M71),1))+(IF(L71=0,0,(Upgrades!$G$20+L71*Upgrades!$H$20)*POWER(Upgrades!$I$20,L71)))*(IF(Upgrades!$T$13="Open Cluster",POWER(Upgrades!$U$13,E71),1)*IF(Upgrades!$T$14="Open Cluster",POWER(Upgrades!$U$14,F71),1)*IF(Upgrades!$T$15="Open Cluster",POWER(Upgrades!$U$15,G71),1)*IF(Upgrades!$T$16="Open Cluster",POWER(Upgrades!$U$16,H71),1)*IF(Upgrades!$T$17="Open Cluster",POWER(Upgrades!$U$17,I71),1)*IF(Upgrades!$T$18="Open Cluster",POWER(Upgrades!$U$18,J71),1)*IF(Upgrades!$T$19="Open Cluster",POWER(Upgrades!$U$19,K71),1)*IF(Upgrades!$T$21="Open Cluster",POWER(Upgrades!$U$21,M71),1))+(IF(M71=0,0,(Upgrades!$G$21+M71*Upgrades!$H$21)*POWER(Upgrades!$I$21,M71)))*(IF(Upgrades!$T$13="Moving Group",POWER(Upgrades!$U$13,E71),1)*IF(Upgrades!$T$14="Moving Group",POWER(Upgrades!$U$14,F71),1)*IF(Upgrades!$T$15="Moving Group",POWER(Upgrades!$U$15,G71),1)*IF(Upgrades!$T$16="Moving Group",POWER(Upgrades!$U$16,H71),1)*IF(Upgrades!$T$17="Moving Group",POWER(Upgrades!$U$17,I71),1)*IF(Upgrades!$T$18="Moving Group",POWER(Upgrades!$U$18,J71),1)*IF(Upgrades!$T$19="Moving Group",POWER(Upgrades!$U$19,K71),1)*IF(Upgrades!$T$20="Moving Group",POWER(Upgrades!$U$20,L71),1)))*POWER(Upgrades!$P$13,E71)*POWER(Upgrades!$P$14,F71)*POWER(Upgrades!$P$15,G71)*POWER(Upgrades!$P$16,H71)*POWER(Upgrades!$P$17,I71)*POWER(Upgrades!$P$18,J71)*POWER(Upgrades!$P$19,K71)*POWER(Upgrades!$P$20,L71)*POWER(Upgrades!$P$21,M71)*$F$6+$C$6</f>
        <v/>
      </c>
      <c r="Q71" s="28">
        <f>((IF(E71=0,0,(Upgrades!$M$13+E71*Upgrades!$N$13)*POWER(Upgrades!$O$13,E71)))*(IF(Upgrades!$T$14="Stellar Kinematics",POWER(Upgrades!$U$14,F71),1)*IF(Upgrades!$T$15="Stellar Kinematics",POWER(Upgrades!$U$15,G71),1)*IF(Upgrades!$T$16="Stellar Kinematics",POWER(Upgrades!$U$16,H71),1)*IF(Upgrades!$T$17="Stellar Kinematics",POWER(Upgrades!$U$17,I71),1)*IF(Upgrades!$T$18="Stellar Kinematics",POWER(Upgrades!$U$18,J71),1)*IF(Upgrades!$T$19="Stellar Kinematics",POWER(Upgrades!$U$19,K71),1)*IF(Upgrades!$T$20="Stellar Kinematics",POWER(Upgrades!$U$20,L71),1)*IF(Upgrades!$T$21="Stellar Kinematics",POWER(Upgrades!$U$21,M71),1))+(IF(F71=0,0,(Upgrades!$M$14+F71*Upgrades!$N$14)*POWER(Upgrades!$O$14,F71)))*(IF(Upgrades!$T$13="Local Bubble",POWER(Upgrades!$U$13,E71),1)*IF(Upgrades!$T$15="Local Bubble",POWER(Upgrades!$U$15,G71),1)*IF(Upgrades!$T$16="Local Bubble",POWER(Upgrades!$U$16,H71),1)*IF(Upgrades!$T$17="Local Bubble",POWER(Upgrades!$U$17,I71),1)*IF(Upgrades!$T$18="Local Bubble",POWER(Upgrades!$U$18,J71),1)*IF(Upgrades!$T$19="Local Bubble",POWER(Upgrades!$U$19,K71),1)*IF(Upgrades!$T$20="Local Bubble",POWER(Upgrades!$U$20,L71),1)*IF(Upgrades!$T$21="Local Bubble",POWER(Upgrades!$U$21,M71),1))+(IF(G71=0,0,(Upgrades!$M$15+G71*Upgrades!$N$15)*POWER(Upgrades!$O$15,G71)))*(IF(Upgrades!$T$13="Microlensing",POWER(Upgrades!$U$13,E71),1)*IF(Upgrades!$T$14="Microlensing",POWER(Upgrades!$U$14,F71),1)*IF(Upgrades!$T$16="Microlensing",POWER(Upgrades!$U$16,H71),1)*IF(Upgrades!$T$17="Microlensing",POWER(Upgrades!$U$17,I71),1)*IF(Upgrades!$T$18="Microlensing",POWER(Upgrades!$U$18,J71),1)*IF(Upgrades!$T$19="Microlensing",POWER(Upgrades!$U$19,K71),1)*IF(Upgrades!$T$20="Microlensing",POWER(Upgrades!$U$20,L71),1)*IF(Upgrades!$T$21="Microlensing",POWER(Upgrades!$U$21,M71),1))+(IF(H71=0,0,(Upgrades!$M$16+H71*Upgrades!$N$16)*POWER(Upgrades!$O$16,H71)))*(IF(Upgrades!$T$13="Roche Lobe Overflow",POWER(Upgrades!$U$13,E71),1)*IF(Upgrades!$T$14="Roche Lobe Overflow",POWER(Upgrades!$U$14,F71),1)*IF(Upgrades!$T$15="Roche Lobe Overflow",POWER(Upgrades!$U$15,G71),1)*IF(Upgrades!$T$17="Roche Lobe Overflow",POWER(Upgrades!$U$17,I71),1)*IF(Upgrades!$T$18="Roche Lobe Overflow",POWER(Upgrades!$U$18,J71),1)*IF(Upgrades!$T$19="Roche Lobe Overflow",POWER(Upgrades!$U$19,K71),1)*IF(Upgrades!$T$20="Roche Lobe Overflow",POWER(Upgrades!$U$20,L71),1)*IF(Upgrades!$T$21="Roche Lobe Overflow",POWER(Upgrades!$U$21,M71),1))+(IF(I71=0,0,(Upgrades!$M$17+I71*Upgrades!$N$17)*POWER(Upgrades!$O$17,I71)))*(IF(Upgrades!$T$13="Brown Dwarf",POWER(Upgrades!$U$13,E71),1)*IF(Upgrades!$T$14="Brown Dwarf",POWER(Upgrades!$U$14,F71),1)*IF(Upgrades!$T$15="Brown Dwarf",POWER(Upgrades!$U$15,G71),1)*IF(Upgrades!$T$16="Brown Dwarf",POWER(Upgrades!$U$16,H71),1)*IF(Upgrades!$T$18="Brown Dwarf",POWER(Upgrades!$U$18,J71),1)*IF(Upgrades!$T$19="Brown Dwarf",POWER(Upgrades!$U$19,K71),1)*IF(Upgrades!$T$20="Brown Dwarf",POWER(Upgrades!$U$20,L71),1)*IF(Upgrades!$T$21="Brown Dwarf",POWER(Upgrades!$U$21,M71),1))+(IF(J71=0,0,(Upgrades!$M$18+J71*Upgrades!$N$18)*POWER(Upgrades!$O$18,J71)))*(IF(Upgrades!$T$13="Binary Partner",POWER(Upgrades!$U$13,E71),1)*IF(Upgrades!$T$14="Binary Partner",POWER(Upgrades!$U$14,F71),1)*IF(Upgrades!$T$15="Binary Partner",POWER(Upgrades!$U$15,G71),1)*IF(Upgrades!$T$16="Binary Partner",POWER(Upgrades!$U$16,H71),1)*IF(Upgrades!$T$17="Binary Partner",POWER(Upgrades!$U$17,I71),1)*IF(Upgrades!$T$19="Binary Partner",POWER(Upgrades!$U$19,K71),1)*IF(Upgrades!$T$20="Binary Partner",POWER(Upgrades!$U$20,L71),1)*IF(Upgrades!$T$21="Binary Partner",POWER(Upgrades!$U$21,M71),1))+(IF(K71=0,0,(Upgrades!$M$19+K71*Upgrades!$N$19)*POWER(Upgrades!$O$19,K71)))*(IF(Upgrades!$T$13="Peculiar Velocity",POWER(Upgrades!$U$13,E71),1)*IF(Upgrades!$T$14="Peculiar Velocity",POWER(Upgrades!$U$14,F71),1)*IF(Upgrades!$T$15="Peculiar Velocity",POWER(Upgrades!$U$15,G71),1)*IF(Upgrades!$T$16="Peculiar Velocity",POWER(Upgrades!$U$16,H71),1)*IF(Upgrades!$T$17="Peculiar Velocity",POWER(Upgrades!$U$17,I71),1)*IF(Upgrades!$T$18="Peculiar Velocity",POWER(Upgrades!$U$18,J71),1)*IF(Upgrades!$T$20="Peculiar Velocity",POWER(Upgrades!$U$20,L71),1)*IF(Upgrades!$T$21="Peculiar Velocity",POWER(Upgrades!$U$21,M71),1))+(IF(L71=0,0,(Upgrades!$M$20+L71*Upgrades!$N$20)*POWER(Upgrades!$O$20,L71)))*(IF(Upgrades!$T$13="Open Cluster",POWER(Upgrades!$U$13,E71),1)*IF(Upgrades!$T$14="Open Cluster",POWER(Upgrades!$U$14,F71),1)*IF(Upgrades!$T$15="Open Cluster",POWER(Upgrades!$U$15,G71),1)*IF(Upgrades!$T$16="Open Cluster",POWER(Upgrades!$U$16,H71),1)*IF(Upgrades!$T$17="Open Cluster",POWER(Upgrades!$U$17,I71),1)*IF(Upgrades!$T$18="Open Cluster",POWER(Upgrades!$U$18,J71),1)*IF(Upgrades!$T$19="Open Cluster",POWER(Upgrades!$U$19,K71),1)*IF(Upgrades!$T$21="Open Cluster",POWER(Upgrades!$U$21,M71),1))+(IF(M71=0,0,(Upgrades!$M$21+M71*Upgrades!$N$21)*POWER(Upgrades!$O$21,M71)))*(IF(Upgrades!$T$13="Moving Group",POWER(Upgrades!$U$13,E71),1)*IF(Upgrades!$T$14="Moving Group",POWER(Upgrades!$U$14,F71),1)*IF(Upgrades!$T$15="Moving Group",POWER(Upgrades!$U$15,G71),1)*IF(Upgrades!$T$16="Moving Group",POWER(Upgrades!$U$16,H71),1)*IF(Upgrades!$T$17="Moving Group",POWER(Upgrades!$U$17,I71),1)*IF(Upgrades!$T$18="Moving Group",POWER(Upgrades!$U$18,J71),1)*IF(Upgrades!$T$19="Moving Group",POWER(Upgrades!$U$19,K71),1)*IF(Upgrades!$T$20="Moving Group",POWER(Upgrades!$U$20,L71),1)))*POWER(Upgrades!$R$13,E71)*POWER(Upgrades!$R$14,F71)*POWER(Upgrades!$R$15,G71)*POWER(Upgrades!$R$16,H71)*POWER(Upgrades!$R$17,I71)*POWER(Upgrades!$R$18,J71)*POWER(Upgrades!$R$19,K71)*POWER(Upgrades!$R$20,L71)*POWER(Upgrades!$R$21,M71)*$H$6+$E$6</f>
        <v/>
      </c>
      <c r="R71" s="27">
        <f>IF(N71=1,0,O71*Parameters!$B$10/60*Parameters!$B$11*10)</f>
        <v/>
      </c>
      <c r="S71" s="27">
        <f>IF(N71=1,0,Q71*O71*10)</f>
        <v/>
      </c>
      <c r="T71" s="27">
        <f>IF(N71=1,0,R71+S71+P71*10)</f>
        <v/>
      </c>
      <c r="U71" s="33">
        <f>BE71</f>
        <v/>
      </c>
      <c r="V71" s="22">
        <f>IF(U71="",0,IF(U71="transition",0,IF(U71="SK",AK71,IF(U71="LB",AL71,IF(U71="ML",AM71,IF(U71="RLO",AN71,IF(U71="BD",AO71,IF(U71="BiP",AP71,IF(U71="PV",AQ71,IF(U71="OC",AR71,IF(U71="MG",AS71,0))))))))))</f>
        <v/>
      </c>
      <c r="W71" s="27">
        <f>IF(U71="BiP",Upgrades!$F$18,IF(U71="PV",Upgrades!$F$19,IF(U71="OC",Upgrades!$F$20,IF(U71="MG",Upgrades!$F$21,IF(U71="transition",-Parameters!$B$18*Parameters!$B$19,0)))))</f>
        <v/>
      </c>
      <c r="X71" s="22">
        <f>C71+T71-V71</f>
        <v/>
      </c>
      <c r="Y71" s="30">
        <f>O71*Parameters!$B$10/60*Parameters!$B$11+Q71*O71+P71</f>
        <v/>
      </c>
      <c r="Z71" s="34">
        <f>IF(U71="transition","→ Tier 3 (Galactic Arm)",IF(U71="MG","Moving Group — pocket drifts together",IF(U71="OC","Open Cluster acquired",IF(U71="PV","Peculiar Velocity — passive multiplier active",IF(U71="BiP","Binary Partner — pair bond formed",IF(AND(AU71=1,N71=0,AT71&lt;&gt;1),"Cohesion ready (waiting on completionists)","")))))) </f>
        <v/>
      </c>
      <c r="AA71" s="27">
        <f>(IF(E71=0,0,(Upgrades!$G$13+E71*Upgrades!$H$13)*POWER(Upgrades!$I$13,E71)))*(IF(Upgrades!$T$14="Stellar Kinematics",POWER(Upgrades!$U$14,F71),1)*IF(Upgrades!$T$15="Stellar Kinematics",POWER(Upgrades!$U$15,G71),1)*IF(Upgrades!$T$16="Stellar Kinematics",POWER(Upgrades!$U$16,H71),1)*IF(Upgrades!$T$17="Stellar Kinematics",POWER(Upgrades!$U$17,I71),1)*IF(Upgrades!$T$18="Stellar Kinematics",POWER(Upgrades!$U$18,J71),1)*IF(Upgrades!$T$19="Stellar Kinematics",POWER(Upgrades!$U$19,K71),1)*IF(Upgrades!$T$20="Stellar Kinematics",POWER(Upgrades!$U$20,L71),1)*IF(Upgrades!$T$21="Stellar Kinematics",POWER(Upgrades!$U$21,M71),1))*POWER(Upgrades!$P$13,E71)*POWER(Upgrades!$P$14,F71)*POWER(Upgrades!$P$15,G71)*POWER(Upgrades!$P$16,H71)*POWER(Upgrades!$P$17,I71)*POWER(Upgrades!$P$18,J71)*POWER(Upgrades!$P$19,K71)*POWER(Upgrades!$P$20,L71)*POWER(Upgrades!$P$21,M71)*$F$6*60</f>
        <v/>
      </c>
      <c r="AB71" s="27">
        <f>(IF(F71=0,0,(Upgrades!$G$14+F71*Upgrades!$H$14)*POWER(Upgrades!$I$14,F71)))*(IF(Upgrades!$T$13="Local Bubble",POWER(Upgrades!$U$13,E71),1)*IF(Upgrades!$T$15="Local Bubble",POWER(Upgrades!$U$15,G71),1)*IF(Upgrades!$T$16="Local Bubble",POWER(Upgrades!$U$16,H71),1)*IF(Upgrades!$T$17="Local Bubble",POWER(Upgrades!$U$17,I71),1)*IF(Upgrades!$T$18="Local Bubble",POWER(Upgrades!$U$18,J71),1)*IF(Upgrades!$T$19="Local Bubble",POWER(Upgrades!$U$19,K71),1)*IF(Upgrades!$T$20="Local Bubble",POWER(Upgrades!$U$20,L71),1)*IF(Upgrades!$T$21="Local Bubble",POWER(Upgrades!$U$21,M71),1))*POWER(Upgrades!$P$13,E71)*POWER(Upgrades!$P$14,F71)*POWER(Upgrades!$P$15,G71)*POWER(Upgrades!$P$16,H71)*POWER(Upgrades!$P$17,I71)*POWER(Upgrades!$P$18,J71)*POWER(Upgrades!$P$19,K71)*POWER(Upgrades!$P$20,L71)*POWER(Upgrades!$P$21,M71)*$F$6*60</f>
        <v/>
      </c>
      <c r="AC71" s="27">
        <f>(IF(G71=0,0,(Upgrades!$J$15+G71*Upgrades!$K$15)*POWER(Upgrades!$L$15,G71)))*(IF(Upgrades!$T$13="Microlensing",POWER(Upgrades!$U$13,E71),1)*IF(Upgrades!$T$14="Microlensing",POWER(Upgrades!$U$14,F71),1)*IF(Upgrades!$T$16="Microlensing",POWER(Upgrades!$U$16,H71),1)*IF(Upgrades!$T$17="Microlensing",POWER(Upgrades!$U$17,I71),1)*IF(Upgrades!$T$18="Microlensing",POWER(Upgrades!$U$18,J71),1)*IF(Upgrades!$T$19="Microlensing",POWER(Upgrades!$U$19,K71),1)*IF(Upgrades!$T$20="Microlensing",POWER(Upgrades!$U$20,L71),1)*IF(Upgrades!$T$21="Microlensing",POWER(Upgrades!$U$21,M71),1))*POWER(Upgrades!$Q$13,E71)*POWER(Upgrades!$Q$14,F71)*POWER(Upgrades!$Q$15,G71)*POWER(Upgrades!$Q$16,H71)*POWER(Upgrades!$Q$17,I71)*POWER(Upgrades!$Q$18,J71)*POWER(Upgrades!$Q$19,K71)*POWER(Upgrades!$Q$20,L71)*POWER(Upgrades!$Q$21,M71)*$G$6*(Parameters!$B$10*Parameters!$B$11+Q71*60)</f>
        <v/>
      </c>
      <c r="AD71" s="27">
        <f>(IF(H71=0,0,(Upgrades!$M$16+H71*Upgrades!$N$16)*POWER(Upgrades!$O$16,H71)))*(IF(Upgrades!$T$13="Roche Lobe Overflow",POWER(Upgrades!$U$13,E71),1)*IF(Upgrades!$T$14="Roche Lobe Overflow",POWER(Upgrades!$U$14,F71),1)*IF(Upgrades!$T$15="Roche Lobe Overflow",POWER(Upgrades!$U$15,G71),1)*IF(Upgrades!$T$17="Roche Lobe Overflow",POWER(Upgrades!$U$17,I71),1)*IF(Upgrades!$T$18="Roche Lobe Overflow",POWER(Upgrades!$U$18,J71),1)*IF(Upgrades!$T$19="Roche Lobe Overflow",POWER(Upgrades!$U$19,K71),1)*IF(Upgrades!$T$20="Roche Lobe Overflow",POWER(Upgrades!$U$20,L71),1)*IF(Upgrades!$T$21="Roche Lobe Overflow",POWER(Upgrades!$U$21,M71),1))*POWER(Upgrades!$R$13,E71)*POWER(Upgrades!$R$14,F71)*POWER(Upgrades!$R$15,G71)*POWER(Upgrades!$R$16,H71)*POWER(Upgrades!$R$17,I71)*POWER(Upgrades!$R$18,J71)*POWER(Upgrades!$R$19,K71)*POWER(Upgrades!$R$20,L71)*POWER(Upgrades!$R$21,M71)*$H$6*O71*60</f>
        <v/>
      </c>
      <c r="AE71" s="27">
        <f>(IF(I71=0,0,(Upgrades!$G$17+I71*Upgrades!$H$17)*POWER(Upgrades!$I$17,I71)))*(IF(Upgrades!$T$13="Brown Dwarf",POWER(Upgrades!$U$13,E71),1)*IF(Upgrades!$T$14="Brown Dwarf",POWER(Upgrades!$U$14,F71),1)*IF(Upgrades!$T$15="Brown Dwarf",POWER(Upgrades!$U$15,G71),1)*IF(Upgrades!$T$16="Brown Dwarf",POWER(Upgrades!$U$16,H71),1)*IF(Upgrades!$T$18="Brown Dwarf",POWER(Upgrades!$U$18,J71),1)*IF(Upgrades!$T$19="Brown Dwarf",POWER(Upgrades!$U$19,K71),1)*IF(Upgrades!$T$20="Brown Dwarf",POWER(Upgrades!$U$20,L71),1)*IF(Upgrades!$T$21="Brown Dwarf",POWER(Upgrades!$U$21,M71),1))*POWER(Upgrades!$P$13,E71)*POWER(Upgrades!$P$14,F71)*POWER(Upgrades!$P$15,G71)*POWER(Upgrades!$P$16,H71)*POWER(Upgrades!$P$17,I71)*POWER(Upgrades!$P$18,J71)*POWER(Upgrades!$P$19,K71)*POWER(Upgrades!$P$20,L71)*POWER(Upgrades!$P$21,M71)*$F$6*60</f>
        <v/>
      </c>
      <c r="AF71" s="27" t="n">
        <v>0</v>
      </c>
      <c r="AG71" s="27" t="n">
        <v>0</v>
      </c>
      <c r="AH71" s="27" t="n">
        <v>0</v>
      </c>
      <c r="AI71" s="27">
        <f>(IF(M71=0,0,(Upgrades!$G$21+M71*Upgrades!$H$21)*POWER(Upgrades!$I$21,M71)))*(IF(Upgrades!$T$13="Moving Group",POWER(Upgrades!$U$13,E71),1)*IF(Upgrades!$T$14="Moving Group",POWER(Upgrades!$U$14,F71),1)*IF(Upgrades!$T$15="Moving Group",POWER(Upgrades!$U$15,G71),1)*IF(Upgrades!$T$16="Moving Group",POWER(Upgrades!$U$16,H71),1)*IF(Upgrades!$T$17="Moving Group",POWER(Upgrades!$U$17,I71),1)*IF(Upgrades!$T$18="Moving Group",POWER(Upgrades!$U$18,J71),1)*IF(Upgrades!$T$19="Moving Group",POWER(Upgrades!$U$19,K71),1)*IF(Upgrades!$T$20="Moving Group",POWER(Upgrades!$U$20,L71),1))*POWER(Upgrades!$P$13,E71)*POWER(Upgrades!$P$14,F71)*POWER(Upgrades!$P$15,G71)*POWER(Upgrades!$P$16,H71)*POWER(Upgrades!$P$17,I71)*POWER(Upgrades!$P$18,J71)*POWER(Upgrades!$P$19,K71)*POWER(Upgrades!$P$20,L71)*POWER(Upgrades!$P$21,M71)*$F$6*60</f>
        <v/>
      </c>
      <c r="AJ71" s="27">
        <f>$C$6*60</f>
        <v/>
      </c>
      <c r="AK71" s="22">
        <f>IF(E71&gt;=Upgrades!$E$13,"",Upgrades!$C$13*POWER(Upgrades!$D$13,E71))</f>
        <v/>
      </c>
      <c r="AL71" s="22">
        <f>IF(F71&gt;=Upgrades!$E$14,"",Upgrades!$C$14*POWER(Upgrades!$D$14,F71))</f>
        <v/>
      </c>
      <c r="AM71" s="22">
        <f>IF(G71&gt;=Upgrades!$E$15,"",Upgrades!$C$15*POWER(Upgrades!$D$15,G71))</f>
        <v/>
      </c>
      <c r="AN71" s="22">
        <f>IF(H71&gt;=Upgrades!$E$16,"",Upgrades!$C$16*POWER(Upgrades!$D$16,H71))</f>
        <v/>
      </c>
      <c r="AO71" s="22">
        <f>IF(I71&gt;=Upgrades!$E$17,"",Upgrades!$C$17*POWER(Upgrades!$D$17,I71))</f>
        <v/>
      </c>
      <c r="AP71" s="22">
        <f>IF(J71&gt;=Upgrades!$E$18,"",Upgrades!$C$18*POWER(Upgrades!$D$18,J71))</f>
        <v/>
      </c>
      <c r="AQ71" s="22">
        <f>IF(K71&gt;=Upgrades!$E$19,"",Upgrades!$C$19*POWER(Upgrades!$D$19,K71))</f>
        <v/>
      </c>
      <c r="AR71" s="22">
        <f>IF(L71&gt;=Upgrades!$E$20,"",Upgrades!$C$20*POWER(Upgrades!$D$20,L71))</f>
        <v/>
      </c>
      <c r="AS71" s="22">
        <f>IF(M71&gt;=Upgrades!$E$21,"",Upgrades!$C$21*POWER(Upgrades!$D$21,M71))</f>
        <v/>
      </c>
      <c r="AT71" s="26">
        <f>IF(AND(D71&gt;=Parameters!$B$18*Parameters!$B$19,(I71&gt;=Upgrades!$E$17)*(M71&gt;=Upgrades!$E$21)=1,N71=0),1,"")</f>
        <v/>
      </c>
      <c r="AU71" s="26">
        <f>IF(AND(D71&gt;=Parameters!$B$18*Parameters!$B$19,N71=0),1,"")</f>
        <v/>
      </c>
      <c r="AV71" s="22">
        <f>MIN(IF(ISNUMBER(AP71),AP71,9E15),IF(ISNUMBER(AQ71),AQ71,9E15),IF(ISNUMBER(AR71),AR71,9E15),IF(ISNUMBER(AS71),AS71,9E15))</f>
        <v/>
      </c>
      <c r="AW71" s="22">
        <f>MIN(IF(ISNUMBER(AK71),AK71,9E15),IF(ISNUMBER(AL71),AL71,9E15),IF(ISNUMBER(AM71),AM71,9E15),IF(ISNUMBER(AN71),AN71,9E15),IF(ISNUMBER(AO71),AO71,9E15))</f>
        <v/>
      </c>
      <c r="AX71" s="29">
        <f>IF(BD71&gt;Parameters!$B$21*(MAX(IF(AND(NOT(AND(AU71=1,AT71&lt;&gt;1)),ISNUMBER(AK71),AK71&lt;=(C71+T71)),AY71,0),IF(AND(NOT(AND(AU71=1,AT71&lt;&gt;1)),ISNUMBER(AL71),AL71&lt;=(C71+T71)),AZ71,0),IF(AND(NOT(AND(AU71=1,AT71&lt;&gt;1)),ISNUMBER(AM71),AM71&lt;=(C71+T71)),BA71,0),IF(AND(NOT(AND(AU71=1,AT71&lt;&gt;1)),ISNUMBER(AN71),AN71&lt;=(C71+T71)),BB71,0),IF(AND(ISNUMBER(AO71),AO71&lt;=(C71+T71)),BC71,0))),TRUE,FALSE)</f>
        <v/>
      </c>
      <c r="AY71" s="32">
        <f>IFERROR(Upgrades!$H$13*(POWER(Upgrades!$P$13,E71)*POWER(Upgrades!$P$14,F71)*POWER(Upgrades!$P$15,G71)*POWER(Upgrades!$P$16,H71)*POWER(Upgrades!$P$17,I71)*POWER(Upgrades!$P$18,J71)*POWER(Upgrades!$P$19,K71)*POWER(Upgrades!$P$20,L71)*POWER(Upgrades!$P$21,M71))*(IF(Upgrades!$T$14="Stellar Kinematics",POWER(Upgrades!$U$14,F71),1)*IF(Upgrades!$T$15="Stellar Kinematics",POWER(Upgrades!$U$15,G71),1)*IF(Upgrades!$T$16="Stellar Kinematics",POWER(Upgrades!$U$16,H71),1)*IF(Upgrades!$T$17="Stellar Kinematics",POWER(Upgrades!$U$17,I71),1)*IF(Upgrades!$T$18="Stellar Kinematics",POWER(Upgrades!$U$18,J71),1)*IF(Upgrades!$T$19="Stellar Kinematics",POWER(Upgrades!$U$19,K71),1)*IF(Upgrades!$T$20="Stellar Kinematics",POWER(Upgrades!$U$20,L71),1)*IF(Upgrades!$T$21="Stellar Kinematics",POWER(Upgrades!$U$21,M71),1))*$F$6/AK71,0)</f>
        <v/>
      </c>
      <c r="AZ71" s="32">
        <f>IFERROR(Upgrades!$H$14*(POWER(Upgrades!$P$13,E71)*POWER(Upgrades!$P$14,F71)*POWER(Upgrades!$P$15,G71)*POWER(Upgrades!$P$16,H71)*POWER(Upgrades!$P$17,I71)*POWER(Upgrades!$P$18,J71)*POWER(Upgrades!$P$19,K71)*POWER(Upgrades!$P$20,L71)*POWER(Upgrades!$P$21,M71))*(IF(Upgrades!$T$13="Local Bubble",POWER(Upgrades!$U$13,E71),1)*IF(Upgrades!$T$15="Local Bubble",POWER(Upgrades!$U$15,G71),1)*IF(Upgrades!$T$16="Local Bubble",POWER(Upgrades!$U$16,H71),1)*IF(Upgrades!$T$17="Local Bubble",POWER(Upgrades!$U$17,I71),1)*IF(Upgrades!$T$18="Local Bubble",POWER(Upgrades!$U$18,J71),1)*IF(Upgrades!$T$19="Local Bubble",POWER(Upgrades!$U$19,K71),1)*IF(Upgrades!$T$20="Local Bubble",POWER(Upgrades!$U$20,L71),1)*IF(Upgrades!$T$21="Local Bubble",POWER(Upgrades!$U$21,M71),1))*$F$6/AL71,0)</f>
        <v/>
      </c>
      <c r="BA71" s="32">
        <f>IFERROR(Upgrades!$K$15*(POWER(Upgrades!$Q$13,E71)*POWER(Upgrades!$Q$14,F71)*POWER(Upgrades!$Q$15,G71)*POWER(Upgrades!$Q$16,H71)*POWER(Upgrades!$Q$17,I71)*POWER(Upgrades!$Q$18,J71)*POWER(Upgrades!$Q$19,K71)*POWER(Upgrades!$Q$20,L71)*POWER(Upgrades!$Q$21,M71))*(IF(Upgrades!$T$13="Microlensing",POWER(Upgrades!$U$13,E71),1)*IF(Upgrades!$T$14="Microlensing",POWER(Upgrades!$U$14,F71),1)*IF(Upgrades!$T$16="Microlensing",POWER(Upgrades!$U$16,H71),1)*IF(Upgrades!$T$17="Microlensing",POWER(Upgrades!$U$17,I71),1)*IF(Upgrades!$T$18="Microlensing",POWER(Upgrades!$U$18,J71),1)*IF(Upgrades!$T$19="Microlensing",POWER(Upgrades!$U$19,K71),1)*IF(Upgrades!$T$20="Microlensing",POWER(Upgrades!$U$20,L71),1)*IF(Upgrades!$T$21="Microlensing",POWER(Upgrades!$U$21,M71),1))*$G$6*(Parameters!$B$10/60*Parameters!$B$11+Q71)/AM71,0)</f>
        <v/>
      </c>
      <c r="BB71" s="32">
        <f>IFERROR((Upgrades!$N$16*(POWER(Upgrades!$R$13,E71)*POWER(Upgrades!$R$14,F71)*POWER(Upgrades!$R$15,G71)*POWER(Upgrades!$R$16,H71)*POWER(Upgrades!$R$17,I71)*POWER(Upgrades!$R$18,J71)*POWER(Upgrades!$R$19,K71)*POWER(Upgrades!$R$20,L71)*POWER(Upgrades!$R$21,M71))*(IF(Upgrades!$T$13="Roche Lobe Overflow",POWER(Upgrades!$U$13,E71),1)*IF(Upgrades!$T$14="Roche Lobe Overflow",POWER(Upgrades!$U$14,F71),1)*IF(Upgrades!$T$15="Roche Lobe Overflow",POWER(Upgrades!$U$15,G71),1)*IF(Upgrades!$T$17="Roche Lobe Overflow",POWER(Upgrades!$U$17,I71),1)*IF(Upgrades!$T$18="Roche Lobe Overflow",POWER(Upgrades!$U$18,J71),1)*IF(Upgrades!$T$19="Roche Lobe Overflow",POWER(Upgrades!$U$19,K71),1)*IF(Upgrades!$T$20="Roche Lobe Overflow",POWER(Upgrades!$U$20,L71),1)*IF(Upgrades!$T$21="Roche Lobe Overflow",POWER(Upgrades!$U$21,M71),1))*$H$6*O71+((IF(F71=0,0,(Upgrades!$G$14+F71*Upgrades!$H$14)*POWER(Upgrades!$I$14,F71)))*(IF(Upgrades!$T$13="Local Bubble",POWER(Upgrades!$U$13,E71),1)*IF(Upgrades!$T$15="Local Bubble",POWER(Upgrades!$U$15,G71),1)*IF(Upgrades!$T$16="Local Bubble",POWER(Upgrades!$U$16,H71),1)*IF(Upgrades!$T$17="Local Bubble",POWER(Upgrades!$U$17,I71),1)*IF(Upgrades!$T$18="Local Bubble",POWER(Upgrades!$U$18,J71),1)*IF(Upgrades!$T$19="Local Bubble",POWER(Upgrades!$U$19,K71),1)*IF(Upgrades!$T$20="Local Bubble",POWER(Upgrades!$U$20,L71),1)*IF(Upgrades!$T$21="Local Bubble",POWER(Upgrades!$U$21,M71),1))*POWER(Upgrades!$P$13,E71)*POWER(Upgrades!$P$14,F71)*POWER(Upgrades!$P$15,G71)*POWER(Upgrades!$P$16,H71)*POWER(Upgrades!$P$17,I71)*POWER(Upgrades!$P$18,J71)*POWER(Upgrades!$P$19,K71)*POWER(Upgrades!$P$20,L71)*POWER(Upgrades!$P$21,M71)*$F$6)*0.05)/AN71,0)</f>
        <v/>
      </c>
      <c r="BC71" s="32">
        <f>IFERROR((Upgrades!$H$17*(POWER(Upgrades!$P$13,E71)*POWER(Upgrades!$P$14,F71)*POWER(Upgrades!$P$15,G71)*POWER(Upgrades!$P$16,H71)*POWER(Upgrades!$P$17,I71)*POWER(Upgrades!$P$18,J71)*POWER(Upgrades!$P$19,K71)*POWER(Upgrades!$P$20,L71)*POWER(Upgrades!$P$21,M71))*(IF(Upgrades!$T$13="Brown Dwarf",POWER(Upgrades!$U$13,E71),1)*IF(Upgrades!$T$14="Brown Dwarf",POWER(Upgrades!$U$14,F71),1)*IF(Upgrades!$T$15="Brown Dwarf",POWER(Upgrades!$U$15,G71),1)*IF(Upgrades!$T$16="Brown Dwarf",POWER(Upgrades!$U$16,H71),1)*IF(Upgrades!$T$18="Brown Dwarf",POWER(Upgrades!$U$18,J71),1)*IF(Upgrades!$T$19="Brown Dwarf",POWER(Upgrades!$U$19,K71),1)*IF(Upgrades!$T$20="Brown Dwarf",POWER(Upgrades!$U$20,L71),1)*IF(Upgrades!$T$21="Brown Dwarf",POWER(Upgrades!$U$21,M71),1))*$F$6+(((IF(H71=0,0,(Upgrades!$M$16+H71*Upgrades!$N$16)*POWER(Upgrades!$O$16,H71)))*(IF(Upgrades!$T$13="Roche Lobe Overflow",POWER(Upgrades!$U$13,E71),1)*IF(Upgrades!$T$14="Roche Lobe Overflow",POWER(Upgrades!$U$14,F71),1)*IF(Upgrades!$T$15="Roche Lobe Overflow",POWER(Upgrades!$U$15,G71),1)*IF(Upgrades!$T$17="Roche Lobe Overflow",POWER(Upgrades!$U$17,I71),1)*IF(Upgrades!$T$18="Roche Lobe Overflow",POWER(Upgrades!$U$18,J71),1)*IF(Upgrades!$T$19="Roche Lobe Overflow",POWER(Upgrades!$U$19,K71),1)*IF(Upgrades!$T$20="Roche Lobe Overflow",POWER(Upgrades!$U$20,L71),1)*IF(Upgrades!$T$21="Roche Lobe Overflow",POWER(Upgrades!$U$21,M71),1))*POWER(Upgrades!$R$13,E71)*POWER(Upgrades!$R$14,F71)*POWER(Upgrades!$R$15,G71)*POWER(Upgrades!$R$16,H71)*POWER(Upgrades!$R$17,I71)*POWER(Upgrades!$R$18,J71)*POWER(Upgrades!$R$19,K71)*POWER(Upgrades!$R$20,L71)*POWER(Upgrades!$R$21,M71)*$H$6)*O71)*0.10)/AO71,0)</f>
        <v/>
      </c>
      <c r="BD71" s="32">
        <f>MAX(IF(J71&gt;0,0,IFERROR(0.5*((IF(G71=0,0,(Upgrades!$J$15+G71*Upgrades!$K$15)*POWER(Upgrades!$L$15,G71)))*(IF(Upgrades!$T$13="Microlensing",POWER(Upgrades!$U$13,E71),1)*IF(Upgrades!$T$14="Microlensing",POWER(Upgrades!$U$14,F71),1)*IF(Upgrades!$T$16="Microlensing",POWER(Upgrades!$U$16,H71),1)*IF(Upgrades!$T$17="Microlensing",POWER(Upgrades!$U$17,I71),1)*IF(Upgrades!$T$18="Microlensing",POWER(Upgrades!$U$18,J71),1)*IF(Upgrades!$T$19="Microlensing",POWER(Upgrades!$U$19,K71),1)*IF(Upgrades!$T$20="Microlensing",POWER(Upgrades!$U$20,L71),1)*IF(Upgrades!$T$21="Microlensing",POWER(Upgrades!$U$21,M71),1))*(POWER(Upgrades!$Q$13,E71)*POWER(Upgrades!$Q$14,F71)*POWER(Upgrades!$Q$15,G71)*POWER(Upgrades!$Q$16,H71)*POWER(Upgrades!$Q$17,I71)*POWER(Upgrades!$Q$18,J71)*POWER(Upgrades!$Q$19,K71)*POWER(Upgrades!$Q$20,L71)*POWER(Upgrades!$Q$21,M71))*$G$6*(Parameters!$B$10/60*Parameters!$B$11+Q71))/Upgrades!$C$18,0)),IF(K71&gt;0,0,IFERROR(0.30*P71/Upgrades!$C$19,0)),IF(L71&gt;0,0,IFERROR(0.0001/Upgrades!$C$20,0)),IF(M71&gt;0,0,IFERROR((6.0*(POWER(Upgrades!$P$13,E71)*POWER(Upgrades!$P$14,F71)*POWER(Upgrades!$P$15,G71)*POWER(Upgrades!$P$16,H71)*POWER(Upgrades!$P$17,I71)*POWER(Upgrades!$P$18,J71)*POWER(Upgrades!$P$19,K71)*POWER(Upgrades!$P$20,L71)*POWER(Upgrades!$P$21,M71))*$F$6+0.20*O71*(Parameters!$B$10/60*Parameters!$B$11+Q71))/Upgrades!$C$21,0)),IF(AND(ISNUMBER(AK71),AK71&gt;(C71+T71)),AY71,0),IF(AND(ISNUMBER(AL71),AL71&gt;(C71+T71)),AZ71,0),IF(AND(ISNUMBER(AM71),AM71&gt;(C71+T71)),BA71,0),IF(AND(ISNUMBER(AN71),AN71&gt;(C71+T71)),BB71,0),IF(AND(ISNUMBER(AO71),AO71&gt;(C71+T71)),BC71,0))</f>
        <v/>
      </c>
      <c r="BE71" s="29">
        <f>IF(AT71=1,"transition",IF(MIN(IF(AND(J71=0,ISNUMBER(AP71),AP71&lt;=(C71+T71)),AP71,9E15),IF(AND(K71=0,ISNUMBER(AQ71),AQ71&lt;=(C71+T71)),AQ71,9E15),IF(AND(L71=0,ISNUMBER(AR71),AR71&lt;=(C71+T71)),AR71,9E15),IF(AND(M71=0,ISNUMBER(AS71),AS71&lt;=(C71+T71)),AS71,9E15))&lt;9E15,IF(AND(AND(J71=0,ISNUMBER(AP71),AP71&lt;=(C71+T71)),AP71=MIN(IF(AND(J71=0,ISNUMBER(AP71),AP71&lt;=(C71+T71)),AP71,9E15),IF(AND(K71=0,ISNUMBER(AQ71),AQ71&lt;=(C71+T71)),AQ71,9E15),IF(AND(L71=0,ISNUMBER(AR71),AR71&lt;=(C71+T71)),AR71,9E15),IF(AND(M71=0,ISNUMBER(AS71),AS71&lt;=(C71+T71)),AS71,9E15))),"BiP",IF(AND(AND(K71=0,ISNUMBER(AQ71),AQ71&lt;=(C71+T71)),AQ71=MIN(IF(AND(J71=0,ISNUMBER(AP71),AP71&lt;=(C71+T71)),AP71,9E15),IF(AND(K71=0,ISNUMBER(AQ71),AQ71&lt;=(C71+T71)),AQ71,9E15),IF(AND(L71=0,ISNUMBER(AR71),AR71&lt;=(C71+T71)),AR71,9E15),IF(AND(M71=0,ISNUMBER(AS71),AS71&lt;=(C71+T71)),AS71,9E15))),"PV",IF(AND(AND(L71=0,ISNUMBER(AR71),AR71&lt;=(C71+T71)),AR71=MIN(IF(AND(J71=0,ISNUMBER(AP71),AP71&lt;=(C71+T71)),AP71,9E15),IF(AND(K71=0,ISNUMBER(AQ71),AQ71&lt;=(C71+T71)),AQ71,9E15),IF(AND(L71=0,ISNUMBER(AR71),AR71&lt;=(C71+T71)),AR71,9E15),IF(AND(M71=0,ISNUMBER(AS71),AS71&lt;=(C71+T71)),AS71,9E15))),"OC","MG"))),IF(AX71=TRUE,"",IF(MAX(IF(AND(NOT(AND(AU71=1,AT71&lt;&gt;1)),ISNUMBER(AK71),AK71&lt;=(C71+T71)),AY71,0),IF(AND(NOT(AND(AU71=1,AT71&lt;&gt;1)),ISNUMBER(AL71),AL71&lt;=(C71+T71)),AZ71,0),IF(AND(NOT(AND(AU71=1,AT71&lt;&gt;1)),ISNUMBER(AM71),AM71&lt;=(C71+T71)),BA71,0),IF(AND(NOT(AND(AU71=1,AT71&lt;&gt;1)),ISNUMBER(AN71),AN71&lt;=(C71+T71)),BB71,0),IF(AND(ISNUMBER(AO71),AO71&lt;=(C71+T71)),BC71,0))&lt;=0,"",IF(AND(IF(AND(NOT(AND(AU71=1,AT71&lt;&gt;1)),ISNUMBER(AK71),AK71&lt;=(C71+T71)),AY71,0)&gt;0,IF(AND(NOT(AND(AU71=1,AT71&lt;&gt;1)),ISNUMBER(AK71),AK71&lt;=(C71+T71)),AY71,0)=MAX(IF(AND(NOT(AND(AU71=1,AT71&lt;&gt;1)),ISNUMBER(AK71),AK71&lt;=(C71+T71)),AY71,0),IF(AND(NOT(AND(AU71=1,AT71&lt;&gt;1)),ISNUMBER(AL71),AL71&lt;=(C71+T71)),AZ71,0),IF(AND(NOT(AND(AU71=1,AT71&lt;&gt;1)),ISNUMBER(AM71),AM71&lt;=(C71+T71)),BA71,0),IF(AND(NOT(AND(AU71=1,AT71&lt;&gt;1)),ISNUMBER(AN71),AN71&lt;=(C71+T71)),BB71,0),IF(AND(ISNUMBER(AO71),AO71&lt;=(C71+T71)),BC71,0))),"SK",IF(AND(IF(AND(NOT(AND(AU71=1,AT71&lt;&gt;1)),ISNUMBER(AL71),AL71&lt;=(C71+T71)),AZ71,0)&gt;0,IF(AND(NOT(AND(AU71=1,AT71&lt;&gt;1)),ISNUMBER(AL71),AL71&lt;=(C71+T71)),AZ71,0)=MAX(IF(AND(NOT(AND(AU71=1,AT71&lt;&gt;1)),ISNUMBER(AK71),AK71&lt;=(C71+T71)),AY71,0),IF(AND(NOT(AND(AU71=1,AT71&lt;&gt;1)),ISNUMBER(AL71),AL71&lt;=(C71+T71)),AZ71,0),IF(AND(NOT(AND(AU71=1,AT71&lt;&gt;1)),ISNUMBER(AM71),AM71&lt;=(C71+T71)),BA71,0),IF(AND(NOT(AND(AU71=1,AT71&lt;&gt;1)),ISNUMBER(AN71),AN71&lt;=(C71+T71)),BB71,0),IF(AND(ISNUMBER(AO71),AO71&lt;=(C71+T71)),BC71,0))),"LB",IF(AND(IF(AND(NOT(AND(AU71=1,AT71&lt;&gt;1)),ISNUMBER(AM71),AM71&lt;=(C71+T71)),BA71,0)&gt;0,IF(AND(NOT(AND(AU71=1,AT71&lt;&gt;1)),ISNUMBER(AM71),AM71&lt;=(C71+T71)),BA71,0)=MAX(IF(AND(NOT(AND(AU71=1,AT71&lt;&gt;1)),ISNUMBER(AK71),AK71&lt;=(C71+T71)),AY71,0),IF(AND(NOT(AND(AU71=1,AT71&lt;&gt;1)),ISNUMBER(AL71),AL71&lt;=(C71+T71)),AZ71,0),IF(AND(NOT(AND(AU71=1,AT71&lt;&gt;1)),ISNUMBER(AM71),AM71&lt;=(C71+T71)),BA71,0),IF(AND(NOT(AND(AU71=1,AT71&lt;&gt;1)),ISNUMBER(AN71),AN71&lt;=(C71+T71)),BB71,0),IF(AND(ISNUMBER(AO71),AO71&lt;=(C71+T71)),BC71,0))),"ML",IF(AND(IF(AND(NOT(AND(AU71=1,AT71&lt;&gt;1)),ISNUMBER(AN71),AN71&lt;=(C71+T71)),BB71,0)&gt;0,IF(AND(NOT(AND(AU71=1,AT71&lt;&gt;1)),ISNUMBER(AN71),AN71&lt;=(C71+T71)),BB71,0)=MAX(IF(AND(NOT(AND(AU71=1,AT71&lt;&gt;1)),ISNUMBER(AK71),AK71&lt;=(C71+T71)),AY71,0),IF(AND(NOT(AND(AU71=1,AT71&lt;&gt;1)),ISNUMBER(AL71),AL71&lt;=(C71+T71)),AZ71,0),IF(AND(NOT(AND(AU71=1,AT71&lt;&gt;1)),ISNUMBER(AM71),AM71&lt;=(C71+T71)),BA71,0),IF(AND(NOT(AND(AU71=1,AT71&lt;&gt;1)),ISNUMBER(AN71),AN71&lt;=(C71+T71)),BB71,0),IF(AND(ISNUMBER(AO71),AO71&lt;=(C71+T71)),BC71,0))),"RLO","BD"))))))))</f>
        <v/>
      </c>
    </row>
    <row r="72">
      <c r="A72" s="26" t="n">
        <v>61</v>
      </c>
      <c r="B72" s="27">
        <f>A72*10/60</f>
        <v/>
      </c>
      <c r="C72" s="22">
        <f>X71</f>
        <v/>
      </c>
      <c r="D72" s="27">
        <f>D71+W71</f>
        <v/>
      </c>
      <c r="E72" s="26">
        <f>E71+IF(U71="SK",1,0)</f>
        <v/>
      </c>
      <c r="F72" s="26">
        <f>F71+IF(U71="LB",1,0)</f>
        <v/>
      </c>
      <c r="G72" s="26">
        <f>G71+IF(U71="ML",1,0)</f>
        <v/>
      </c>
      <c r="H72" s="26">
        <f>H71+IF(U71="RLO",1,0)</f>
        <v/>
      </c>
      <c r="I72" s="26">
        <f>I71+IF(U71="BD",1,0)</f>
        <v/>
      </c>
      <c r="J72" s="26">
        <f>MAX(J71,IF(U71="BiP",1,0))</f>
        <v/>
      </c>
      <c r="K72" s="26">
        <f>MAX(K71,IF(U71="PV",1,0))</f>
        <v/>
      </c>
      <c r="L72" s="26">
        <f>MAX(L71,IF(U71="OC",1,0))</f>
        <v/>
      </c>
      <c r="M72" s="26">
        <f>MAX(M71,IF(U71="MG",1,0))</f>
        <v/>
      </c>
      <c r="N72" s="26">
        <f>MAX(N71,IF(U71="transition",1,0))</f>
        <v/>
      </c>
      <c r="O72" s="28">
        <f>(Parameters!$B$9+(IF(E72=0,0,(Upgrades!$J$13+E72*Upgrades!$K$13)*POWER(Upgrades!$L$13,E72)))*(IF(Upgrades!$T$14="Stellar Kinematics",POWER(Upgrades!$U$14,F72),1)*IF(Upgrades!$T$15="Stellar Kinematics",POWER(Upgrades!$U$15,G72),1)*IF(Upgrades!$T$16="Stellar Kinematics",POWER(Upgrades!$U$16,H72),1)*IF(Upgrades!$T$17="Stellar Kinematics",POWER(Upgrades!$U$17,I72),1)*IF(Upgrades!$T$18="Stellar Kinematics",POWER(Upgrades!$U$18,J72),1)*IF(Upgrades!$T$19="Stellar Kinematics",POWER(Upgrades!$U$19,K72),1)*IF(Upgrades!$T$20="Stellar Kinematics",POWER(Upgrades!$U$20,L72),1)*IF(Upgrades!$T$21="Stellar Kinematics",POWER(Upgrades!$U$21,M72),1))+(IF(F72=0,0,(Upgrades!$J$14+F72*Upgrades!$K$14)*POWER(Upgrades!$L$14,F72)))*(IF(Upgrades!$T$13="Local Bubble",POWER(Upgrades!$U$13,E72),1)*IF(Upgrades!$T$15="Local Bubble",POWER(Upgrades!$U$15,G72),1)*IF(Upgrades!$T$16="Local Bubble",POWER(Upgrades!$U$16,H72),1)*IF(Upgrades!$T$17="Local Bubble",POWER(Upgrades!$U$17,I72),1)*IF(Upgrades!$T$18="Local Bubble",POWER(Upgrades!$U$18,J72),1)*IF(Upgrades!$T$19="Local Bubble",POWER(Upgrades!$U$19,K72),1)*IF(Upgrades!$T$20="Local Bubble",POWER(Upgrades!$U$20,L72),1)*IF(Upgrades!$T$21="Local Bubble",POWER(Upgrades!$U$21,M72),1))+(IF(G72=0,0,(Upgrades!$J$15+G72*Upgrades!$K$15)*POWER(Upgrades!$L$15,G72)))*(IF(Upgrades!$T$13="Microlensing",POWER(Upgrades!$U$13,E72),1)*IF(Upgrades!$T$14="Microlensing",POWER(Upgrades!$U$14,F72),1)*IF(Upgrades!$T$16="Microlensing",POWER(Upgrades!$U$16,H72),1)*IF(Upgrades!$T$17="Microlensing",POWER(Upgrades!$U$17,I72),1)*IF(Upgrades!$T$18="Microlensing",POWER(Upgrades!$U$18,J72),1)*IF(Upgrades!$T$19="Microlensing",POWER(Upgrades!$U$19,K72),1)*IF(Upgrades!$T$20="Microlensing",POWER(Upgrades!$U$20,L72),1)*IF(Upgrades!$T$21="Microlensing",POWER(Upgrades!$U$21,M72),1))+(IF(H72=0,0,(Upgrades!$J$16+H72*Upgrades!$K$16)*POWER(Upgrades!$L$16,H72)))*(IF(Upgrades!$T$13="Roche Lobe Overflow",POWER(Upgrades!$U$13,E72),1)*IF(Upgrades!$T$14="Roche Lobe Overflow",POWER(Upgrades!$U$14,F72),1)*IF(Upgrades!$T$15="Roche Lobe Overflow",POWER(Upgrades!$U$15,G72),1)*IF(Upgrades!$T$17="Roche Lobe Overflow",POWER(Upgrades!$U$17,I72),1)*IF(Upgrades!$T$18="Roche Lobe Overflow",POWER(Upgrades!$U$18,J72),1)*IF(Upgrades!$T$19="Roche Lobe Overflow",POWER(Upgrades!$U$19,K72),1)*IF(Upgrades!$T$20="Roche Lobe Overflow",POWER(Upgrades!$U$20,L72),1)*IF(Upgrades!$T$21="Roche Lobe Overflow",POWER(Upgrades!$U$21,M72),1))+(IF(I72=0,0,(Upgrades!$J$17+I72*Upgrades!$K$17)*POWER(Upgrades!$L$17,I72)))*(IF(Upgrades!$T$13="Brown Dwarf",POWER(Upgrades!$U$13,E72),1)*IF(Upgrades!$T$14="Brown Dwarf",POWER(Upgrades!$U$14,F72),1)*IF(Upgrades!$T$15="Brown Dwarf",POWER(Upgrades!$U$15,G72),1)*IF(Upgrades!$T$16="Brown Dwarf",POWER(Upgrades!$U$16,H72),1)*IF(Upgrades!$T$18="Brown Dwarf",POWER(Upgrades!$U$18,J72),1)*IF(Upgrades!$T$19="Brown Dwarf",POWER(Upgrades!$U$19,K72),1)*IF(Upgrades!$T$20="Brown Dwarf",POWER(Upgrades!$U$20,L72),1)*IF(Upgrades!$T$21="Brown Dwarf",POWER(Upgrades!$U$21,M72),1))+(IF(J72=0,0,(Upgrades!$J$18+J72*Upgrades!$K$18)*POWER(Upgrades!$L$18,J72)))*(IF(Upgrades!$T$13="Binary Partner",POWER(Upgrades!$U$13,E72),1)*IF(Upgrades!$T$14="Binary Partner",POWER(Upgrades!$U$14,F72),1)*IF(Upgrades!$T$15="Binary Partner",POWER(Upgrades!$U$15,G72),1)*IF(Upgrades!$T$16="Binary Partner",POWER(Upgrades!$U$16,H72),1)*IF(Upgrades!$T$17="Binary Partner",POWER(Upgrades!$U$17,I72),1)*IF(Upgrades!$T$19="Binary Partner",POWER(Upgrades!$U$19,K72),1)*IF(Upgrades!$T$20="Binary Partner",POWER(Upgrades!$U$20,L72),1)*IF(Upgrades!$T$21="Binary Partner",POWER(Upgrades!$U$21,M72),1))+(IF(K72=0,0,(Upgrades!$J$19+K72*Upgrades!$K$19)*POWER(Upgrades!$L$19,K72)))*(IF(Upgrades!$T$13="Peculiar Velocity",POWER(Upgrades!$U$13,E72),1)*IF(Upgrades!$T$14="Peculiar Velocity",POWER(Upgrades!$U$14,F72),1)*IF(Upgrades!$T$15="Peculiar Velocity",POWER(Upgrades!$U$15,G72),1)*IF(Upgrades!$T$16="Peculiar Velocity",POWER(Upgrades!$U$16,H72),1)*IF(Upgrades!$T$17="Peculiar Velocity",POWER(Upgrades!$U$17,I72),1)*IF(Upgrades!$T$18="Peculiar Velocity",POWER(Upgrades!$U$18,J72),1)*IF(Upgrades!$T$20="Peculiar Velocity",POWER(Upgrades!$U$20,L72),1)*IF(Upgrades!$T$21="Peculiar Velocity",POWER(Upgrades!$U$21,M72),1))+(IF(L72=0,0,(Upgrades!$J$20+L72*Upgrades!$K$20)*POWER(Upgrades!$L$20,L72)))*(IF(Upgrades!$T$13="Open Cluster",POWER(Upgrades!$U$13,E72),1)*IF(Upgrades!$T$14="Open Cluster",POWER(Upgrades!$U$14,F72),1)*IF(Upgrades!$T$15="Open Cluster",POWER(Upgrades!$U$15,G72),1)*IF(Upgrades!$T$16="Open Cluster",POWER(Upgrades!$U$16,H72),1)*IF(Upgrades!$T$17="Open Cluster",POWER(Upgrades!$U$17,I72),1)*IF(Upgrades!$T$18="Open Cluster",POWER(Upgrades!$U$18,J72),1)*IF(Upgrades!$T$19="Open Cluster",POWER(Upgrades!$U$19,K72),1)*IF(Upgrades!$T$21="Open Cluster",POWER(Upgrades!$U$21,M72),1))+(IF(M72=0,0,(Upgrades!$J$21+M72*Upgrades!$K$21)*POWER(Upgrades!$L$21,M72)))*(IF(Upgrades!$T$13="Moving Group",POWER(Upgrades!$U$13,E72),1)*IF(Upgrades!$T$14="Moving Group",POWER(Upgrades!$U$14,F72),1)*IF(Upgrades!$T$15="Moving Group",POWER(Upgrades!$U$15,G72),1)*IF(Upgrades!$T$16="Moving Group",POWER(Upgrades!$U$16,H72),1)*IF(Upgrades!$T$17="Moving Group",POWER(Upgrades!$U$17,I72),1)*IF(Upgrades!$T$18="Moving Group",POWER(Upgrades!$U$18,J72),1)*IF(Upgrades!$T$19="Moving Group",POWER(Upgrades!$U$19,K72),1)*IF(Upgrades!$T$20="Moving Group",POWER(Upgrades!$U$20,L72),1)))*POWER(Upgrades!$Q$13,E72)*POWER(Upgrades!$Q$14,F72)*POWER(Upgrades!$Q$15,G72)*POWER(Upgrades!$Q$16,H72)*POWER(Upgrades!$Q$17,I72)*POWER(Upgrades!$Q$18,J72)*POWER(Upgrades!$Q$19,K72)*POWER(Upgrades!$Q$20,L72)*POWER(Upgrades!$Q$21,M72)*$G$6+$D$6</f>
        <v/>
      </c>
      <c r="P72" s="28">
        <f>((IF(E72=0,0,(Upgrades!$G$13+E72*Upgrades!$H$13)*POWER(Upgrades!$I$13,E72)))*(IF(Upgrades!$T$14="Stellar Kinematics",POWER(Upgrades!$U$14,F72),1)*IF(Upgrades!$T$15="Stellar Kinematics",POWER(Upgrades!$U$15,G72),1)*IF(Upgrades!$T$16="Stellar Kinematics",POWER(Upgrades!$U$16,H72),1)*IF(Upgrades!$T$17="Stellar Kinematics",POWER(Upgrades!$U$17,I72),1)*IF(Upgrades!$T$18="Stellar Kinematics",POWER(Upgrades!$U$18,J72),1)*IF(Upgrades!$T$19="Stellar Kinematics",POWER(Upgrades!$U$19,K72),1)*IF(Upgrades!$T$20="Stellar Kinematics",POWER(Upgrades!$U$20,L72),1)*IF(Upgrades!$T$21="Stellar Kinematics",POWER(Upgrades!$U$21,M72),1))+(IF(F72=0,0,(Upgrades!$G$14+F72*Upgrades!$H$14)*POWER(Upgrades!$I$14,F72)))*(IF(Upgrades!$T$13="Local Bubble",POWER(Upgrades!$U$13,E72),1)*IF(Upgrades!$T$15="Local Bubble",POWER(Upgrades!$U$15,G72),1)*IF(Upgrades!$T$16="Local Bubble",POWER(Upgrades!$U$16,H72),1)*IF(Upgrades!$T$17="Local Bubble",POWER(Upgrades!$U$17,I72),1)*IF(Upgrades!$T$18="Local Bubble",POWER(Upgrades!$U$18,J72),1)*IF(Upgrades!$T$19="Local Bubble",POWER(Upgrades!$U$19,K72),1)*IF(Upgrades!$T$20="Local Bubble",POWER(Upgrades!$U$20,L72),1)*IF(Upgrades!$T$21="Local Bubble",POWER(Upgrades!$U$21,M72),1))+(IF(G72=0,0,(Upgrades!$G$15+G72*Upgrades!$H$15)*POWER(Upgrades!$I$15,G72)))*(IF(Upgrades!$T$13="Microlensing",POWER(Upgrades!$U$13,E72),1)*IF(Upgrades!$T$14="Microlensing",POWER(Upgrades!$U$14,F72),1)*IF(Upgrades!$T$16="Microlensing",POWER(Upgrades!$U$16,H72),1)*IF(Upgrades!$T$17="Microlensing",POWER(Upgrades!$U$17,I72),1)*IF(Upgrades!$T$18="Microlensing",POWER(Upgrades!$U$18,J72),1)*IF(Upgrades!$T$19="Microlensing",POWER(Upgrades!$U$19,K72),1)*IF(Upgrades!$T$20="Microlensing",POWER(Upgrades!$U$20,L72),1)*IF(Upgrades!$T$21="Microlensing",POWER(Upgrades!$U$21,M72),1))+(IF(H72=0,0,(Upgrades!$G$16+H72*Upgrades!$H$16)*POWER(Upgrades!$I$16,H72)))*(IF(Upgrades!$T$13="Roche Lobe Overflow",POWER(Upgrades!$U$13,E72),1)*IF(Upgrades!$T$14="Roche Lobe Overflow",POWER(Upgrades!$U$14,F72),1)*IF(Upgrades!$T$15="Roche Lobe Overflow",POWER(Upgrades!$U$15,G72),1)*IF(Upgrades!$T$17="Roche Lobe Overflow",POWER(Upgrades!$U$17,I72),1)*IF(Upgrades!$T$18="Roche Lobe Overflow",POWER(Upgrades!$U$18,J72),1)*IF(Upgrades!$T$19="Roche Lobe Overflow",POWER(Upgrades!$U$19,K72),1)*IF(Upgrades!$T$20="Roche Lobe Overflow",POWER(Upgrades!$U$20,L72),1)*IF(Upgrades!$T$21="Roche Lobe Overflow",POWER(Upgrades!$U$21,M72),1))+(IF(I72=0,0,(Upgrades!$G$17+I72*Upgrades!$H$17)*POWER(Upgrades!$I$17,I72)))*(IF(Upgrades!$T$13="Brown Dwarf",POWER(Upgrades!$U$13,E72),1)*IF(Upgrades!$T$14="Brown Dwarf",POWER(Upgrades!$U$14,F72),1)*IF(Upgrades!$T$15="Brown Dwarf",POWER(Upgrades!$U$15,G72),1)*IF(Upgrades!$T$16="Brown Dwarf",POWER(Upgrades!$U$16,H72),1)*IF(Upgrades!$T$18="Brown Dwarf",POWER(Upgrades!$U$18,J72),1)*IF(Upgrades!$T$19="Brown Dwarf",POWER(Upgrades!$U$19,K72),1)*IF(Upgrades!$T$20="Brown Dwarf",POWER(Upgrades!$U$20,L72),1)*IF(Upgrades!$T$21="Brown Dwarf",POWER(Upgrades!$U$21,M72),1))+(IF(J72=0,0,(Upgrades!$G$18+J72*Upgrades!$H$18)*POWER(Upgrades!$I$18,J72)))*(IF(Upgrades!$T$13="Binary Partner",POWER(Upgrades!$U$13,E72),1)*IF(Upgrades!$T$14="Binary Partner",POWER(Upgrades!$U$14,F72),1)*IF(Upgrades!$T$15="Binary Partner",POWER(Upgrades!$U$15,G72),1)*IF(Upgrades!$T$16="Binary Partner",POWER(Upgrades!$U$16,H72),1)*IF(Upgrades!$T$17="Binary Partner",POWER(Upgrades!$U$17,I72),1)*IF(Upgrades!$T$19="Binary Partner",POWER(Upgrades!$U$19,K72),1)*IF(Upgrades!$T$20="Binary Partner",POWER(Upgrades!$U$20,L72),1)*IF(Upgrades!$T$21="Binary Partner",POWER(Upgrades!$U$21,M72),1))+(IF(K72=0,0,(Upgrades!$G$19+K72*Upgrades!$H$19)*POWER(Upgrades!$I$19,K72)))*(IF(Upgrades!$T$13="Peculiar Velocity",POWER(Upgrades!$U$13,E72),1)*IF(Upgrades!$T$14="Peculiar Velocity",POWER(Upgrades!$U$14,F72),1)*IF(Upgrades!$T$15="Peculiar Velocity",POWER(Upgrades!$U$15,G72),1)*IF(Upgrades!$T$16="Peculiar Velocity",POWER(Upgrades!$U$16,H72),1)*IF(Upgrades!$T$17="Peculiar Velocity",POWER(Upgrades!$U$17,I72),1)*IF(Upgrades!$T$18="Peculiar Velocity",POWER(Upgrades!$U$18,J72),1)*IF(Upgrades!$T$20="Peculiar Velocity",POWER(Upgrades!$U$20,L72),1)*IF(Upgrades!$T$21="Peculiar Velocity",POWER(Upgrades!$U$21,M72),1))+(IF(L72=0,0,(Upgrades!$G$20+L72*Upgrades!$H$20)*POWER(Upgrades!$I$20,L72)))*(IF(Upgrades!$T$13="Open Cluster",POWER(Upgrades!$U$13,E72),1)*IF(Upgrades!$T$14="Open Cluster",POWER(Upgrades!$U$14,F72),1)*IF(Upgrades!$T$15="Open Cluster",POWER(Upgrades!$U$15,G72),1)*IF(Upgrades!$T$16="Open Cluster",POWER(Upgrades!$U$16,H72),1)*IF(Upgrades!$T$17="Open Cluster",POWER(Upgrades!$U$17,I72),1)*IF(Upgrades!$T$18="Open Cluster",POWER(Upgrades!$U$18,J72),1)*IF(Upgrades!$T$19="Open Cluster",POWER(Upgrades!$U$19,K72),1)*IF(Upgrades!$T$21="Open Cluster",POWER(Upgrades!$U$21,M72),1))+(IF(M72=0,0,(Upgrades!$G$21+M72*Upgrades!$H$21)*POWER(Upgrades!$I$21,M72)))*(IF(Upgrades!$T$13="Moving Group",POWER(Upgrades!$U$13,E72),1)*IF(Upgrades!$T$14="Moving Group",POWER(Upgrades!$U$14,F72),1)*IF(Upgrades!$T$15="Moving Group",POWER(Upgrades!$U$15,G72),1)*IF(Upgrades!$T$16="Moving Group",POWER(Upgrades!$U$16,H72),1)*IF(Upgrades!$T$17="Moving Group",POWER(Upgrades!$U$17,I72),1)*IF(Upgrades!$T$18="Moving Group",POWER(Upgrades!$U$18,J72),1)*IF(Upgrades!$T$19="Moving Group",POWER(Upgrades!$U$19,K72),1)*IF(Upgrades!$T$20="Moving Group",POWER(Upgrades!$U$20,L72),1)))*POWER(Upgrades!$P$13,E72)*POWER(Upgrades!$P$14,F72)*POWER(Upgrades!$P$15,G72)*POWER(Upgrades!$P$16,H72)*POWER(Upgrades!$P$17,I72)*POWER(Upgrades!$P$18,J72)*POWER(Upgrades!$P$19,K72)*POWER(Upgrades!$P$20,L72)*POWER(Upgrades!$P$21,M72)*$F$6+$C$6</f>
        <v/>
      </c>
      <c r="Q72" s="28">
        <f>((IF(E72=0,0,(Upgrades!$M$13+E72*Upgrades!$N$13)*POWER(Upgrades!$O$13,E72)))*(IF(Upgrades!$T$14="Stellar Kinematics",POWER(Upgrades!$U$14,F72),1)*IF(Upgrades!$T$15="Stellar Kinematics",POWER(Upgrades!$U$15,G72),1)*IF(Upgrades!$T$16="Stellar Kinematics",POWER(Upgrades!$U$16,H72),1)*IF(Upgrades!$T$17="Stellar Kinematics",POWER(Upgrades!$U$17,I72),1)*IF(Upgrades!$T$18="Stellar Kinematics",POWER(Upgrades!$U$18,J72),1)*IF(Upgrades!$T$19="Stellar Kinematics",POWER(Upgrades!$U$19,K72),1)*IF(Upgrades!$T$20="Stellar Kinematics",POWER(Upgrades!$U$20,L72),1)*IF(Upgrades!$T$21="Stellar Kinematics",POWER(Upgrades!$U$21,M72),1))+(IF(F72=0,0,(Upgrades!$M$14+F72*Upgrades!$N$14)*POWER(Upgrades!$O$14,F72)))*(IF(Upgrades!$T$13="Local Bubble",POWER(Upgrades!$U$13,E72),1)*IF(Upgrades!$T$15="Local Bubble",POWER(Upgrades!$U$15,G72),1)*IF(Upgrades!$T$16="Local Bubble",POWER(Upgrades!$U$16,H72),1)*IF(Upgrades!$T$17="Local Bubble",POWER(Upgrades!$U$17,I72),1)*IF(Upgrades!$T$18="Local Bubble",POWER(Upgrades!$U$18,J72),1)*IF(Upgrades!$T$19="Local Bubble",POWER(Upgrades!$U$19,K72),1)*IF(Upgrades!$T$20="Local Bubble",POWER(Upgrades!$U$20,L72),1)*IF(Upgrades!$T$21="Local Bubble",POWER(Upgrades!$U$21,M72),1))+(IF(G72=0,0,(Upgrades!$M$15+G72*Upgrades!$N$15)*POWER(Upgrades!$O$15,G72)))*(IF(Upgrades!$T$13="Microlensing",POWER(Upgrades!$U$13,E72),1)*IF(Upgrades!$T$14="Microlensing",POWER(Upgrades!$U$14,F72),1)*IF(Upgrades!$T$16="Microlensing",POWER(Upgrades!$U$16,H72),1)*IF(Upgrades!$T$17="Microlensing",POWER(Upgrades!$U$17,I72),1)*IF(Upgrades!$T$18="Microlensing",POWER(Upgrades!$U$18,J72),1)*IF(Upgrades!$T$19="Microlensing",POWER(Upgrades!$U$19,K72),1)*IF(Upgrades!$T$20="Microlensing",POWER(Upgrades!$U$20,L72),1)*IF(Upgrades!$T$21="Microlensing",POWER(Upgrades!$U$21,M72),1))+(IF(H72=0,0,(Upgrades!$M$16+H72*Upgrades!$N$16)*POWER(Upgrades!$O$16,H72)))*(IF(Upgrades!$T$13="Roche Lobe Overflow",POWER(Upgrades!$U$13,E72),1)*IF(Upgrades!$T$14="Roche Lobe Overflow",POWER(Upgrades!$U$14,F72),1)*IF(Upgrades!$T$15="Roche Lobe Overflow",POWER(Upgrades!$U$15,G72),1)*IF(Upgrades!$T$17="Roche Lobe Overflow",POWER(Upgrades!$U$17,I72),1)*IF(Upgrades!$T$18="Roche Lobe Overflow",POWER(Upgrades!$U$18,J72),1)*IF(Upgrades!$T$19="Roche Lobe Overflow",POWER(Upgrades!$U$19,K72),1)*IF(Upgrades!$T$20="Roche Lobe Overflow",POWER(Upgrades!$U$20,L72),1)*IF(Upgrades!$T$21="Roche Lobe Overflow",POWER(Upgrades!$U$21,M72),1))+(IF(I72=0,0,(Upgrades!$M$17+I72*Upgrades!$N$17)*POWER(Upgrades!$O$17,I72)))*(IF(Upgrades!$T$13="Brown Dwarf",POWER(Upgrades!$U$13,E72),1)*IF(Upgrades!$T$14="Brown Dwarf",POWER(Upgrades!$U$14,F72),1)*IF(Upgrades!$T$15="Brown Dwarf",POWER(Upgrades!$U$15,G72),1)*IF(Upgrades!$T$16="Brown Dwarf",POWER(Upgrades!$U$16,H72),1)*IF(Upgrades!$T$18="Brown Dwarf",POWER(Upgrades!$U$18,J72),1)*IF(Upgrades!$T$19="Brown Dwarf",POWER(Upgrades!$U$19,K72),1)*IF(Upgrades!$T$20="Brown Dwarf",POWER(Upgrades!$U$20,L72),1)*IF(Upgrades!$T$21="Brown Dwarf",POWER(Upgrades!$U$21,M72),1))+(IF(J72=0,0,(Upgrades!$M$18+J72*Upgrades!$N$18)*POWER(Upgrades!$O$18,J72)))*(IF(Upgrades!$T$13="Binary Partner",POWER(Upgrades!$U$13,E72),1)*IF(Upgrades!$T$14="Binary Partner",POWER(Upgrades!$U$14,F72),1)*IF(Upgrades!$T$15="Binary Partner",POWER(Upgrades!$U$15,G72),1)*IF(Upgrades!$T$16="Binary Partner",POWER(Upgrades!$U$16,H72),1)*IF(Upgrades!$T$17="Binary Partner",POWER(Upgrades!$U$17,I72),1)*IF(Upgrades!$T$19="Binary Partner",POWER(Upgrades!$U$19,K72),1)*IF(Upgrades!$T$20="Binary Partner",POWER(Upgrades!$U$20,L72),1)*IF(Upgrades!$T$21="Binary Partner",POWER(Upgrades!$U$21,M72),1))+(IF(K72=0,0,(Upgrades!$M$19+K72*Upgrades!$N$19)*POWER(Upgrades!$O$19,K72)))*(IF(Upgrades!$T$13="Peculiar Velocity",POWER(Upgrades!$U$13,E72),1)*IF(Upgrades!$T$14="Peculiar Velocity",POWER(Upgrades!$U$14,F72),1)*IF(Upgrades!$T$15="Peculiar Velocity",POWER(Upgrades!$U$15,G72),1)*IF(Upgrades!$T$16="Peculiar Velocity",POWER(Upgrades!$U$16,H72),1)*IF(Upgrades!$T$17="Peculiar Velocity",POWER(Upgrades!$U$17,I72),1)*IF(Upgrades!$T$18="Peculiar Velocity",POWER(Upgrades!$U$18,J72),1)*IF(Upgrades!$T$20="Peculiar Velocity",POWER(Upgrades!$U$20,L72),1)*IF(Upgrades!$T$21="Peculiar Velocity",POWER(Upgrades!$U$21,M72),1))+(IF(L72=0,0,(Upgrades!$M$20+L72*Upgrades!$N$20)*POWER(Upgrades!$O$20,L72)))*(IF(Upgrades!$T$13="Open Cluster",POWER(Upgrades!$U$13,E72),1)*IF(Upgrades!$T$14="Open Cluster",POWER(Upgrades!$U$14,F72),1)*IF(Upgrades!$T$15="Open Cluster",POWER(Upgrades!$U$15,G72),1)*IF(Upgrades!$T$16="Open Cluster",POWER(Upgrades!$U$16,H72),1)*IF(Upgrades!$T$17="Open Cluster",POWER(Upgrades!$U$17,I72),1)*IF(Upgrades!$T$18="Open Cluster",POWER(Upgrades!$U$18,J72),1)*IF(Upgrades!$T$19="Open Cluster",POWER(Upgrades!$U$19,K72),1)*IF(Upgrades!$T$21="Open Cluster",POWER(Upgrades!$U$21,M72),1))+(IF(M72=0,0,(Upgrades!$M$21+M72*Upgrades!$N$21)*POWER(Upgrades!$O$21,M72)))*(IF(Upgrades!$T$13="Moving Group",POWER(Upgrades!$U$13,E72),1)*IF(Upgrades!$T$14="Moving Group",POWER(Upgrades!$U$14,F72),1)*IF(Upgrades!$T$15="Moving Group",POWER(Upgrades!$U$15,G72),1)*IF(Upgrades!$T$16="Moving Group",POWER(Upgrades!$U$16,H72),1)*IF(Upgrades!$T$17="Moving Group",POWER(Upgrades!$U$17,I72),1)*IF(Upgrades!$T$18="Moving Group",POWER(Upgrades!$U$18,J72),1)*IF(Upgrades!$T$19="Moving Group",POWER(Upgrades!$U$19,K72),1)*IF(Upgrades!$T$20="Moving Group",POWER(Upgrades!$U$20,L72),1)))*POWER(Upgrades!$R$13,E72)*POWER(Upgrades!$R$14,F72)*POWER(Upgrades!$R$15,G72)*POWER(Upgrades!$R$16,H72)*POWER(Upgrades!$R$17,I72)*POWER(Upgrades!$R$18,J72)*POWER(Upgrades!$R$19,K72)*POWER(Upgrades!$R$20,L72)*POWER(Upgrades!$R$21,M72)*$H$6+$E$6</f>
        <v/>
      </c>
      <c r="R72" s="27">
        <f>IF(N72=1,0,O72*Parameters!$B$10/60*Parameters!$B$11*10)</f>
        <v/>
      </c>
      <c r="S72" s="27">
        <f>IF(N72=1,0,Q72*O72*10)</f>
        <v/>
      </c>
      <c r="T72" s="27">
        <f>IF(N72=1,0,R72+S72+P72*10)</f>
        <v/>
      </c>
      <c r="U72" s="33">
        <f>BE72</f>
        <v/>
      </c>
      <c r="V72" s="22">
        <f>IF(U72="",0,IF(U72="transition",0,IF(U72="SK",AK72,IF(U72="LB",AL72,IF(U72="ML",AM72,IF(U72="RLO",AN72,IF(U72="BD",AO72,IF(U72="BiP",AP72,IF(U72="PV",AQ72,IF(U72="OC",AR72,IF(U72="MG",AS72,0))))))))))</f>
        <v/>
      </c>
      <c r="W72" s="27">
        <f>IF(U72="BiP",Upgrades!$F$18,IF(U72="PV",Upgrades!$F$19,IF(U72="OC",Upgrades!$F$20,IF(U72="MG",Upgrades!$F$21,IF(U72="transition",-Parameters!$B$18*Parameters!$B$19,0)))))</f>
        <v/>
      </c>
      <c r="X72" s="22">
        <f>C72+T72-V72</f>
        <v/>
      </c>
      <c r="Y72" s="30">
        <f>O72*Parameters!$B$10/60*Parameters!$B$11+Q72*O72+P72</f>
        <v/>
      </c>
      <c r="Z72" s="34">
        <f>IF(U72="transition","→ Tier 3 (Galactic Arm)",IF(U72="MG","Moving Group — pocket drifts together",IF(U72="OC","Open Cluster acquired",IF(U72="PV","Peculiar Velocity — passive multiplier active",IF(U72="BiP","Binary Partner — pair bond formed",IF(AND(AU72=1,N72=0,AT72&lt;&gt;1),"Cohesion ready (waiting on completionists)","")))))) </f>
        <v/>
      </c>
      <c r="AA72" s="27">
        <f>(IF(E72=0,0,(Upgrades!$G$13+E72*Upgrades!$H$13)*POWER(Upgrades!$I$13,E72)))*(IF(Upgrades!$T$14="Stellar Kinematics",POWER(Upgrades!$U$14,F72),1)*IF(Upgrades!$T$15="Stellar Kinematics",POWER(Upgrades!$U$15,G72),1)*IF(Upgrades!$T$16="Stellar Kinematics",POWER(Upgrades!$U$16,H72),1)*IF(Upgrades!$T$17="Stellar Kinematics",POWER(Upgrades!$U$17,I72),1)*IF(Upgrades!$T$18="Stellar Kinematics",POWER(Upgrades!$U$18,J72),1)*IF(Upgrades!$T$19="Stellar Kinematics",POWER(Upgrades!$U$19,K72),1)*IF(Upgrades!$T$20="Stellar Kinematics",POWER(Upgrades!$U$20,L72),1)*IF(Upgrades!$T$21="Stellar Kinematics",POWER(Upgrades!$U$21,M72),1))*POWER(Upgrades!$P$13,E72)*POWER(Upgrades!$P$14,F72)*POWER(Upgrades!$P$15,G72)*POWER(Upgrades!$P$16,H72)*POWER(Upgrades!$P$17,I72)*POWER(Upgrades!$P$18,J72)*POWER(Upgrades!$P$19,K72)*POWER(Upgrades!$P$20,L72)*POWER(Upgrades!$P$21,M72)*$F$6*60</f>
        <v/>
      </c>
      <c r="AB72" s="27">
        <f>(IF(F72=0,0,(Upgrades!$G$14+F72*Upgrades!$H$14)*POWER(Upgrades!$I$14,F72)))*(IF(Upgrades!$T$13="Local Bubble",POWER(Upgrades!$U$13,E72),1)*IF(Upgrades!$T$15="Local Bubble",POWER(Upgrades!$U$15,G72),1)*IF(Upgrades!$T$16="Local Bubble",POWER(Upgrades!$U$16,H72),1)*IF(Upgrades!$T$17="Local Bubble",POWER(Upgrades!$U$17,I72),1)*IF(Upgrades!$T$18="Local Bubble",POWER(Upgrades!$U$18,J72),1)*IF(Upgrades!$T$19="Local Bubble",POWER(Upgrades!$U$19,K72),1)*IF(Upgrades!$T$20="Local Bubble",POWER(Upgrades!$U$20,L72),1)*IF(Upgrades!$T$21="Local Bubble",POWER(Upgrades!$U$21,M72),1))*POWER(Upgrades!$P$13,E72)*POWER(Upgrades!$P$14,F72)*POWER(Upgrades!$P$15,G72)*POWER(Upgrades!$P$16,H72)*POWER(Upgrades!$P$17,I72)*POWER(Upgrades!$P$18,J72)*POWER(Upgrades!$P$19,K72)*POWER(Upgrades!$P$20,L72)*POWER(Upgrades!$P$21,M72)*$F$6*60</f>
        <v/>
      </c>
      <c r="AC72" s="27">
        <f>(IF(G72=0,0,(Upgrades!$J$15+G72*Upgrades!$K$15)*POWER(Upgrades!$L$15,G72)))*(IF(Upgrades!$T$13="Microlensing",POWER(Upgrades!$U$13,E72),1)*IF(Upgrades!$T$14="Microlensing",POWER(Upgrades!$U$14,F72),1)*IF(Upgrades!$T$16="Microlensing",POWER(Upgrades!$U$16,H72),1)*IF(Upgrades!$T$17="Microlensing",POWER(Upgrades!$U$17,I72),1)*IF(Upgrades!$T$18="Microlensing",POWER(Upgrades!$U$18,J72),1)*IF(Upgrades!$T$19="Microlensing",POWER(Upgrades!$U$19,K72),1)*IF(Upgrades!$T$20="Microlensing",POWER(Upgrades!$U$20,L72),1)*IF(Upgrades!$T$21="Microlensing",POWER(Upgrades!$U$21,M72),1))*POWER(Upgrades!$Q$13,E72)*POWER(Upgrades!$Q$14,F72)*POWER(Upgrades!$Q$15,G72)*POWER(Upgrades!$Q$16,H72)*POWER(Upgrades!$Q$17,I72)*POWER(Upgrades!$Q$18,J72)*POWER(Upgrades!$Q$19,K72)*POWER(Upgrades!$Q$20,L72)*POWER(Upgrades!$Q$21,M72)*$G$6*(Parameters!$B$10*Parameters!$B$11+Q72*60)</f>
        <v/>
      </c>
      <c r="AD72" s="27">
        <f>(IF(H72=0,0,(Upgrades!$M$16+H72*Upgrades!$N$16)*POWER(Upgrades!$O$16,H72)))*(IF(Upgrades!$T$13="Roche Lobe Overflow",POWER(Upgrades!$U$13,E72),1)*IF(Upgrades!$T$14="Roche Lobe Overflow",POWER(Upgrades!$U$14,F72),1)*IF(Upgrades!$T$15="Roche Lobe Overflow",POWER(Upgrades!$U$15,G72),1)*IF(Upgrades!$T$17="Roche Lobe Overflow",POWER(Upgrades!$U$17,I72),1)*IF(Upgrades!$T$18="Roche Lobe Overflow",POWER(Upgrades!$U$18,J72),1)*IF(Upgrades!$T$19="Roche Lobe Overflow",POWER(Upgrades!$U$19,K72),1)*IF(Upgrades!$T$20="Roche Lobe Overflow",POWER(Upgrades!$U$20,L72),1)*IF(Upgrades!$T$21="Roche Lobe Overflow",POWER(Upgrades!$U$21,M72),1))*POWER(Upgrades!$R$13,E72)*POWER(Upgrades!$R$14,F72)*POWER(Upgrades!$R$15,G72)*POWER(Upgrades!$R$16,H72)*POWER(Upgrades!$R$17,I72)*POWER(Upgrades!$R$18,J72)*POWER(Upgrades!$R$19,K72)*POWER(Upgrades!$R$20,L72)*POWER(Upgrades!$R$21,M72)*$H$6*O72*60</f>
        <v/>
      </c>
      <c r="AE72" s="27">
        <f>(IF(I72=0,0,(Upgrades!$G$17+I72*Upgrades!$H$17)*POWER(Upgrades!$I$17,I72)))*(IF(Upgrades!$T$13="Brown Dwarf",POWER(Upgrades!$U$13,E72),1)*IF(Upgrades!$T$14="Brown Dwarf",POWER(Upgrades!$U$14,F72),1)*IF(Upgrades!$T$15="Brown Dwarf",POWER(Upgrades!$U$15,G72),1)*IF(Upgrades!$T$16="Brown Dwarf",POWER(Upgrades!$U$16,H72),1)*IF(Upgrades!$T$18="Brown Dwarf",POWER(Upgrades!$U$18,J72),1)*IF(Upgrades!$T$19="Brown Dwarf",POWER(Upgrades!$U$19,K72),1)*IF(Upgrades!$T$20="Brown Dwarf",POWER(Upgrades!$U$20,L72),1)*IF(Upgrades!$T$21="Brown Dwarf",POWER(Upgrades!$U$21,M72),1))*POWER(Upgrades!$P$13,E72)*POWER(Upgrades!$P$14,F72)*POWER(Upgrades!$P$15,G72)*POWER(Upgrades!$P$16,H72)*POWER(Upgrades!$P$17,I72)*POWER(Upgrades!$P$18,J72)*POWER(Upgrades!$P$19,K72)*POWER(Upgrades!$P$20,L72)*POWER(Upgrades!$P$21,M72)*$F$6*60</f>
        <v/>
      </c>
      <c r="AF72" s="27" t="n">
        <v>0</v>
      </c>
      <c r="AG72" s="27" t="n">
        <v>0</v>
      </c>
      <c r="AH72" s="27" t="n">
        <v>0</v>
      </c>
      <c r="AI72" s="27">
        <f>(IF(M72=0,0,(Upgrades!$G$21+M72*Upgrades!$H$21)*POWER(Upgrades!$I$21,M72)))*(IF(Upgrades!$T$13="Moving Group",POWER(Upgrades!$U$13,E72),1)*IF(Upgrades!$T$14="Moving Group",POWER(Upgrades!$U$14,F72),1)*IF(Upgrades!$T$15="Moving Group",POWER(Upgrades!$U$15,G72),1)*IF(Upgrades!$T$16="Moving Group",POWER(Upgrades!$U$16,H72),1)*IF(Upgrades!$T$17="Moving Group",POWER(Upgrades!$U$17,I72),1)*IF(Upgrades!$T$18="Moving Group",POWER(Upgrades!$U$18,J72),1)*IF(Upgrades!$T$19="Moving Group",POWER(Upgrades!$U$19,K72),1)*IF(Upgrades!$T$20="Moving Group",POWER(Upgrades!$U$20,L72),1))*POWER(Upgrades!$P$13,E72)*POWER(Upgrades!$P$14,F72)*POWER(Upgrades!$P$15,G72)*POWER(Upgrades!$P$16,H72)*POWER(Upgrades!$P$17,I72)*POWER(Upgrades!$P$18,J72)*POWER(Upgrades!$P$19,K72)*POWER(Upgrades!$P$20,L72)*POWER(Upgrades!$P$21,M72)*$F$6*60</f>
        <v/>
      </c>
      <c r="AJ72" s="27">
        <f>$C$6*60</f>
        <v/>
      </c>
      <c r="AK72" s="22">
        <f>IF(E72&gt;=Upgrades!$E$13,"",Upgrades!$C$13*POWER(Upgrades!$D$13,E72))</f>
        <v/>
      </c>
      <c r="AL72" s="22">
        <f>IF(F72&gt;=Upgrades!$E$14,"",Upgrades!$C$14*POWER(Upgrades!$D$14,F72))</f>
        <v/>
      </c>
      <c r="AM72" s="22">
        <f>IF(G72&gt;=Upgrades!$E$15,"",Upgrades!$C$15*POWER(Upgrades!$D$15,G72))</f>
        <v/>
      </c>
      <c r="AN72" s="22">
        <f>IF(H72&gt;=Upgrades!$E$16,"",Upgrades!$C$16*POWER(Upgrades!$D$16,H72))</f>
        <v/>
      </c>
      <c r="AO72" s="22">
        <f>IF(I72&gt;=Upgrades!$E$17,"",Upgrades!$C$17*POWER(Upgrades!$D$17,I72))</f>
        <v/>
      </c>
      <c r="AP72" s="22">
        <f>IF(J72&gt;=Upgrades!$E$18,"",Upgrades!$C$18*POWER(Upgrades!$D$18,J72))</f>
        <v/>
      </c>
      <c r="AQ72" s="22">
        <f>IF(K72&gt;=Upgrades!$E$19,"",Upgrades!$C$19*POWER(Upgrades!$D$19,K72))</f>
        <v/>
      </c>
      <c r="AR72" s="22">
        <f>IF(L72&gt;=Upgrades!$E$20,"",Upgrades!$C$20*POWER(Upgrades!$D$20,L72))</f>
        <v/>
      </c>
      <c r="AS72" s="22">
        <f>IF(M72&gt;=Upgrades!$E$21,"",Upgrades!$C$21*POWER(Upgrades!$D$21,M72))</f>
        <v/>
      </c>
      <c r="AT72" s="26">
        <f>IF(AND(D72&gt;=Parameters!$B$18*Parameters!$B$19,(I72&gt;=Upgrades!$E$17)*(M72&gt;=Upgrades!$E$21)=1,N72=0),1,"")</f>
        <v/>
      </c>
      <c r="AU72" s="26">
        <f>IF(AND(D72&gt;=Parameters!$B$18*Parameters!$B$19,N72=0),1,"")</f>
        <v/>
      </c>
      <c r="AV72" s="22">
        <f>MIN(IF(ISNUMBER(AP72),AP72,9E15),IF(ISNUMBER(AQ72),AQ72,9E15),IF(ISNUMBER(AR72),AR72,9E15),IF(ISNUMBER(AS72),AS72,9E15))</f>
        <v/>
      </c>
      <c r="AW72" s="22">
        <f>MIN(IF(ISNUMBER(AK72),AK72,9E15),IF(ISNUMBER(AL72),AL72,9E15),IF(ISNUMBER(AM72),AM72,9E15),IF(ISNUMBER(AN72),AN72,9E15),IF(ISNUMBER(AO72),AO72,9E15))</f>
        <v/>
      </c>
      <c r="AX72" s="29">
        <f>IF(BD72&gt;Parameters!$B$21*(MAX(IF(AND(NOT(AND(AU72=1,AT72&lt;&gt;1)),ISNUMBER(AK72),AK72&lt;=(C72+T72)),AY72,0),IF(AND(NOT(AND(AU72=1,AT72&lt;&gt;1)),ISNUMBER(AL72),AL72&lt;=(C72+T72)),AZ72,0),IF(AND(NOT(AND(AU72=1,AT72&lt;&gt;1)),ISNUMBER(AM72),AM72&lt;=(C72+T72)),BA72,0),IF(AND(NOT(AND(AU72=1,AT72&lt;&gt;1)),ISNUMBER(AN72),AN72&lt;=(C72+T72)),BB72,0),IF(AND(ISNUMBER(AO72),AO72&lt;=(C72+T72)),BC72,0))),TRUE,FALSE)</f>
        <v/>
      </c>
      <c r="AY72" s="32">
        <f>IFERROR(Upgrades!$H$13*(POWER(Upgrades!$P$13,E72)*POWER(Upgrades!$P$14,F72)*POWER(Upgrades!$P$15,G72)*POWER(Upgrades!$P$16,H72)*POWER(Upgrades!$P$17,I72)*POWER(Upgrades!$P$18,J72)*POWER(Upgrades!$P$19,K72)*POWER(Upgrades!$P$20,L72)*POWER(Upgrades!$P$21,M72))*(IF(Upgrades!$T$14="Stellar Kinematics",POWER(Upgrades!$U$14,F72),1)*IF(Upgrades!$T$15="Stellar Kinematics",POWER(Upgrades!$U$15,G72),1)*IF(Upgrades!$T$16="Stellar Kinematics",POWER(Upgrades!$U$16,H72),1)*IF(Upgrades!$T$17="Stellar Kinematics",POWER(Upgrades!$U$17,I72),1)*IF(Upgrades!$T$18="Stellar Kinematics",POWER(Upgrades!$U$18,J72),1)*IF(Upgrades!$T$19="Stellar Kinematics",POWER(Upgrades!$U$19,K72),1)*IF(Upgrades!$T$20="Stellar Kinematics",POWER(Upgrades!$U$20,L72),1)*IF(Upgrades!$T$21="Stellar Kinematics",POWER(Upgrades!$U$21,M72),1))*$F$6/AK72,0)</f>
        <v/>
      </c>
      <c r="AZ72" s="32">
        <f>IFERROR(Upgrades!$H$14*(POWER(Upgrades!$P$13,E72)*POWER(Upgrades!$P$14,F72)*POWER(Upgrades!$P$15,G72)*POWER(Upgrades!$P$16,H72)*POWER(Upgrades!$P$17,I72)*POWER(Upgrades!$P$18,J72)*POWER(Upgrades!$P$19,K72)*POWER(Upgrades!$P$20,L72)*POWER(Upgrades!$P$21,M72))*(IF(Upgrades!$T$13="Local Bubble",POWER(Upgrades!$U$13,E72),1)*IF(Upgrades!$T$15="Local Bubble",POWER(Upgrades!$U$15,G72),1)*IF(Upgrades!$T$16="Local Bubble",POWER(Upgrades!$U$16,H72),1)*IF(Upgrades!$T$17="Local Bubble",POWER(Upgrades!$U$17,I72),1)*IF(Upgrades!$T$18="Local Bubble",POWER(Upgrades!$U$18,J72),1)*IF(Upgrades!$T$19="Local Bubble",POWER(Upgrades!$U$19,K72),1)*IF(Upgrades!$T$20="Local Bubble",POWER(Upgrades!$U$20,L72),1)*IF(Upgrades!$T$21="Local Bubble",POWER(Upgrades!$U$21,M72),1))*$F$6/AL72,0)</f>
        <v/>
      </c>
      <c r="BA72" s="32">
        <f>IFERROR(Upgrades!$K$15*(POWER(Upgrades!$Q$13,E72)*POWER(Upgrades!$Q$14,F72)*POWER(Upgrades!$Q$15,G72)*POWER(Upgrades!$Q$16,H72)*POWER(Upgrades!$Q$17,I72)*POWER(Upgrades!$Q$18,J72)*POWER(Upgrades!$Q$19,K72)*POWER(Upgrades!$Q$20,L72)*POWER(Upgrades!$Q$21,M72))*(IF(Upgrades!$T$13="Microlensing",POWER(Upgrades!$U$13,E72),1)*IF(Upgrades!$T$14="Microlensing",POWER(Upgrades!$U$14,F72),1)*IF(Upgrades!$T$16="Microlensing",POWER(Upgrades!$U$16,H72),1)*IF(Upgrades!$T$17="Microlensing",POWER(Upgrades!$U$17,I72),1)*IF(Upgrades!$T$18="Microlensing",POWER(Upgrades!$U$18,J72),1)*IF(Upgrades!$T$19="Microlensing",POWER(Upgrades!$U$19,K72),1)*IF(Upgrades!$T$20="Microlensing",POWER(Upgrades!$U$20,L72),1)*IF(Upgrades!$T$21="Microlensing",POWER(Upgrades!$U$21,M72),1))*$G$6*(Parameters!$B$10/60*Parameters!$B$11+Q72)/AM72,0)</f>
        <v/>
      </c>
      <c r="BB72" s="32">
        <f>IFERROR((Upgrades!$N$16*(POWER(Upgrades!$R$13,E72)*POWER(Upgrades!$R$14,F72)*POWER(Upgrades!$R$15,G72)*POWER(Upgrades!$R$16,H72)*POWER(Upgrades!$R$17,I72)*POWER(Upgrades!$R$18,J72)*POWER(Upgrades!$R$19,K72)*POWER(Upgrades!$R$20,L72)*POWER(Upgrades!$R$21,M72))*(IF(Upgrades!$T$13="Roche Lobe Overflow",POWER(Upgrades!$U$13,E72),1)*IF(Upgrades!$T$14="Roche Lobe Overflow",POWER(Upgrades!$U$14,F72),1)*IF(Upgrades!$T$15="Roche Lobe Overflow",POWER(Upgrades!$U$15,G72),1)*IF(Upgrades!$T$17="Roche Lobe Overflow",POWER(Upgrades!$U$17,I72),1)*IF(Upgrades!$T$18="Roche Lobe Overflow",POWER(Upgrades!$U$18,J72),1)*IF(Upgrades!$T$19="Roche Lobe Overflow",POWER(Upgrades!$U$19,K72),1)*IF(Upgrades!$T$20="Roche Lobe Overflow",POWER(Upgrades!$U$20,L72),1)*IF(Upgrades!$T$21="Roche Lobe Overflow",POWER(Upgrades!$U$21,M72),1))*$H$6*O72+((IF(F72=0,0,(Upgrades!$G$14+F72*Upgrades!$H$14)*POWER(Upgrades!$I$14,F72)))*(IF(Upgrades!$T$13="Local Bubble",POWER(Upgrades!$U$13,E72),1)*IF(Upgrades!$T$15="Local Bubble",POWER(Upgrades!$U$15,G72),1)*IF(Upgrades!$T$16="Local Bubble",POWER(Upgrades!$U$16,H72),1)*IF(Upgrades!$T$17="Local Bubble",POWER(Upgrades!$U$17,I72),1)*IF(Upgrades!$T$18="Local Bubble",POWER(Upgrades!$U$18,J72),1)*IF(Upgrades!$T$19="Local Bubble",POWER(Upgrades!$U$19,K72),1)*IF(Upgrades!$T$20="Local Bubble",POWER(Upgrades!$U$20,L72),1)*IF(Upgrades!$T$21="Local Bubble",POWER(Upgrades!$U$21,M72),1))*POWER(Upgrades!$P$13,E72)*POWER(Upgrades!$P$14,F72)*POWER(Upgrades!$P$15,G72)*POWER(Upgrades!$P$16,H72)*POWER(Upgrades!$P$17,I72)*POWER(Upgrades!$P$18,J72)*POWER(Upgrades!$P$19,K72)*POWER(Upgrades!$P$20,L72)*POWER(Upgrades!$P$21,M72)*$F$6)*0.05)/AN72,0)</f>
        <v/>
      </c>
      <c r="BC72" s="32">
        <f>IFERROR((Upgrades!$H$17*(POWER(Upgrades!$P$13,E72)*POWER(Upgrades!$P$14,F72)*POWER(Upgrades!$P$15,G72)*POWER(Upgrades!$P$16,H72)*POWER(Upgrades!$P$17,I72)*POWER(Upgrades!$P$18,J72)*POWER(Upgrades!$P$19,K72)*POWER(Upgrades!$P$20,L72)*POWER(Upgrades!$P$21,M72))*(IF(Upgrades!$T$13="Brown Dwarf",POWER(Upgrades!$U$13,E72),1)*IF(Upgrades!$T$14="Brown Dwarf",POWER(Upgrades!$U$14,F72),1)*IF(Upgrades!$T$15="Brown Dwarf",POWER(Upgrades!$U$15,G72),1)*IF(Upgrades!$T$16="Brown Dwarf",POWER(Upgrades!$U$16,H72),1)*IF(Upgrades!$T$18="Brown Dwarf",POWER(Upgrades!$U$18,J72),1)*IF(Upgrades!$T$19="Brown Dwarf",POWER(Upgrades!$U$19,K72),1)*IF(Upgrades!$T$20="Brown Dwarf",POWER(Upgrades!$U$20,L72),1)*IF(Upgrades!$T$21="Brown Dwarf",POWER(Upgrades!$U$21,M72),1))*$F$6+(((IF(H72=0,0,(Upgrades!$M$16+H72*Upgrades!$N$16)*POWER(Upgrades!$O$16,H72)))*(IF(Upgrades!$T$13="Roche Lobe Overflow",POWER(Upgrades!$U$13,E72),1)*IF(Upgrades!$T$14="Roche Lobe Overflow",POWER(Upgrades!$U$14,F72),1)*IF(Upgrades!$T$15="Roche Lobe Overflow",POWER(Upgrades!$U$15,G72),1)*IF(Upgrades!$T$17="Roche Lobe Overflow",POWER(Upgrades!$U$17,I72),1)*IF(Upgrades!$T$18="Roche Lobe Overflow",POWER(Upgrades!$U$18,J72),1)*IF(Upgrades!$T$19="Roche Lobe Overflow",POWER(Upgrades!$U$19,K72),1)*IF(Upgrades!$T$20="Roche Lobe Overflow",POWER(Upgrades!$U$20,L72),1)*IF(Upgrades!$T$21="Roche Lobe Overflow",POWER(Upgrades!$U$21,M72),1))*POWER(Upgrades!$R$13,E72)*POWER(Upgrades!$R$14,F72)*POWER(Upgrades!$R$15,G72)*POWER(Upgrades!$R$16,H72)*POWER(Upgrades!$R$17,I72)*POWER(Upgrades!$R$18,J72)*POWER(Upgrades!$R$19,K72)*POWER(Upgrades!$R$20,L72)*POWER(Upgrades!$R$21,M72)*$H$6)*O72)*0.10)/AO72,0)</f>
        <v/>
      </c>
      <c r="BD72" s="32">
        <f>MAX(IF(J72&gt;0,0,IFERROR(0.5*((IF(G72=0,0,(Upgrades!$J$15+G72*Upgrades!$K$15)*POWER(Upgrades!$L$15,G72)))*(IF(Upgrades!$T$13="Microlensing",POWER(Upgrades!$U$13,E72),1)*IF(Upgrades!$T$14="Microlensing",POWER(Upgrades!$U$14,F72),1)*IF(Upgrades!$T$16="Microlensing",POWER(Upgrades!$U$16,H72),1)*IF(Upgrades!$T$17="Microlensing",POWER(Upgrades!$U$17,I72),1)*IF(Upgrades!$T$18="Microlensing",POWER(Upgrades!$U$18,J72),1)*IF(Upgrades!$T$19="Microlensing",POWER(Upgrades!$U$19,K72),1)*IF(Upgrades!$T$20="Microlensing",POWER(Upgrades!$U$20,L72),1)*IF(Upgrades!$T$21="Microlensing",POWER(Upgrades!$U$21,M72),1))*(POWER(Upgrades!$Q$13,E72)*POWER(Upgrades!$Q$14,F72)*POWER(Upgrades!$Q$15,G72)*POWER(Upgrades!$Q$16,H72)*POWER(Upgrades!$Q$17,I72)*POWER(Upgrades!$Q$18,J72)*POWER(Upgrades!$Q$19,K72)*POWER(Upgrades!$Q$20,L72)*POWER(Upgrades!$Q$21,M72))*$G$6*(Parameters!$B$10/60*Parameters!$B$11+Q72))/Upgrades!$C$18,0)),IF(K72&gt;0,0,IFERROR(0.30*P72/Upgrades!$C$19,0)),IF(L72&gt;0,0,IFERROR(0.0001/Upgrades!$C$20,0)),IF(M72&gt;0,0,IFERROR((6.0*(POWER(Upgrades!$P$13,E72)*POWER(Upgrades!$P$14,F72)*POWER(Upgrades!$P$15,G72)*POWER(Upgrades!$P$16,H72)*POWER(Upgrades!$P$17,I72)*POWER(Upgrades!$P$18,J72)*POWER(Upgrades!$P$19,K72)*POWER(Upgrades!$P$20,L72)*POWER(Upgrades!$P$21,M72))*$F$6+0.20*O72*(Parameters!$B$10/60*Parameters!$B$11+Q72))/Upgrades!$C$21,0)),IF(AND(ISNUMBER(AK72),AK72&gt;(C72+T72)),AY72,0),IF(AND(ISNUMBER(AL72),AL72&gt;(C72+T72)),AZ72,0),IF(AND(ISNUMBER(AM72),AM72&gt;(C72+T72)),BA72,0),IF(AND(ISNUMBER(AN72),AN72&gt;(C72+T72)),BB72,0),IF(AND(ISNUMBER(AO72),AO72&gt;(C72+T72)),BC72,0))</f>
        <v/>
      </c>
      <c r="BE72" s="29">
        <f>IF(AT72=1,"transition",IF(MIN(IF(AND(J72=0,ISNUMBER(AP72),AP72&lt;=(C72+T72)),AP72,9E15),IF(AND(K72=0,ISNUMBER(AQ72),AQ72&lt;=(C72+T72)),AQ72,9E15),IF(AND(L72=0,ISNUMBER(AR72),AR72&lt;=(C72+T72)),AR72,9E15),IF(AND(M72=0,ISNUMBER(AS72),AS72&lt;=(C72+T72)),AS72,9E15))&lt;9E15,IF(AND(AND(J72=0,ISNUMBER(AP72),AP72&lt;=(C72+T72)),AP72=MIN(IF(AND(J72=0,ISNUMBER(AP72),AP72&lt;=(C72+T72)),AP72,9E15),IF(AND(K72=0,ISNUMBER(AQ72),AQ72&lt;=(C72+T72)),AQ72,9E15),IF(AND(L72=0,ISNUMBER(AR72),AR72&lt;=(C72+T72)),AR72,9E15),IF(AND(M72=0,ISNUMBER(AS72),AS72&lt;=(C72+T72)),AS72,9E15))),"BiP",IF(AND(AND(K72=0,ISNUMBER(AQ72),AQ72&lt;=(C72+T72)),AQ72=MIN(IF(AND(J72=0,ISNUMBER(AP72),AP72&lt;=(C72+T72)),AP72,9E15),IF(AND(K72=0,ISNUMBER(AQ72),AQ72&lt;=(C72+T72)),AQ72,9E15),IF(AND(L72=0,ISNUMBER(AR72),AR72&lt;=(C72+T72)),AR72,9E15),IF(AND(M72=0,ISNUMBER(AS72),AS72&lt;=(C72+T72)),AS72,9E15))),"PV",IF(AND(AND(L72=0,ISNUMBER(AR72),AR72&lt;=(C72+T72)),AR72=MIN(IF(AND(J72=0,ISNUMBER(AP72),AP72&lt;=(C72+T72)),AP72,9E15),IF(AND(K72=0,ISNUMBER(AQ72),AQ72&lt;=(C72+T72)),AQ72,9E15),IF(AND(L72=0,ISNUMBER(AR72),AR72&lt;=(C72+T72)),AR72,9E15),IF(AND(M72=0,ISNUMBER(AS72),AS72&lt;=(C72+T72)),AS72,9E15))),"OC","MG"))),IF(AX72=TRUE,"",IF(MAX(IF(AND(NOT(AND(AU72=1,AT72&lt;&gt;1)),ISNUMBER(AK72),AK72&lt;=(C72+T72)),AY72,0),IF(AND(NOT(AND(AU72=1,AT72&lt;&gt;1)),ISNUMBER(AL72),AL72&lt;=(C72+T72)),AZ72,0),IF(AND(NOT(AND(AU72=1,AT72&lt;&gt;1)),ISNUMBER(AM72),AM72&lt;=(C72+T72)),BA72,0),IF(AND(NOT(AND(AU72=1,AT72&lt;&gt;1)),ISNUMBER(AN72),AN72&lt;=(C72+T72)),BB72,0),IF(AND(ISNUMBER(AO72),AO72&lt;=(C72+T72)),BC72,0))&lt;=0,"",IF(AND(IF(AND(NOT(AND(AU72=1,AT72&lt;&gt;1)),ISNUMBER(AK72),AK72&lt;=(C72+T72)),AY72,0)&gt;0,IF(AND(NOT(AND(AU72=1,AT72&lt;&gt;1)),ISNUMBER(AK72),AK72&lt;=(C72+T72)),AY72,0)=MAX(IF(AND(NOT(AND(AU72=1,AT72&lt;&gt;1)),ISNUMBER(AK72),AK72&lt;=(C72+T72)),AY72,0),IF(AND(NOT(AND(AU72=1,AT72&lt;&gt;1)),ISNUMBER(AL72),AL72&lt;=(C72+T72)),AZ72,0),IF(AND(NOT(AND(AU72=1,AT72&lt;&gt;1)),ISNUMBER(AM72),AM72&lt;=(C72+T72)),BA72,0),IF(AND(NOT(AND(AU72=1,AT72&lt;&gt;1)),ISNUMBER(AN72),AN72&lt;=(C72+T72)),BB72,0),IF(AND(ISNUMBER(AO72),AO72&lt;=(C72+T72)),BC72,0))),"SK",IF(AND(IF(AND(NOT(AND(AU72=1,AT72&lt;&gt;1)),ISNUMBER(AL72),AL72&lt;=(C72+T72)),AZ72,0)&gt;0,IF(AND(NOT(AND(AU72=1,AT72&lt;&gt;1)),ISNUMBER(AL72),AL72&lt;=(C72+T72)),AZ72,0)=MAX(IF(AND(NOT(AND(AU72=1,AT72&lt;&gt;1)),ISNUMBER(AK72),AK72&lt;=(C72+T72)),AY72,0),IF(AND(NOT(AND(AU72=1,AT72&lt;&gt;1)),ISNUMBER(AL72),AL72&lt;=(C72+T72)),AZ72,0),IF(AND(NOT(AND(AU72=1,AT72&lt;&gt;1)),ISNUMBER(AM72),AM72&lt;=(C72+T72)),BA72,0),IF(AND(NOT(AND(AU72=1,AT72&lt;&gt;1)),ISNUMBER(AN72),AN72&lt;=(C72+T72)),BB72,0),IF(AND(ISNUMBER(AO72),AO72&lt;=(C72+T72)),BC72,0))),"LB",IF(AND(IF(AND(NOT(AND(AU72=1,AT72&lt;&gt;1)),ISNUMBER(AM72),AM72&lt;=(C72+T72)),BA72,0)&gt;0,IF(AND(NOT(AND(AU72=1,AT72&lt;&gt;1)),ISNUMBER(AM72),AM72&lt;=(C72+T72)),BA72,0)=MAX(IF(AND(NOT(AND(AU72=1,AT72&lt;&gt;1)),ISNUMBER(AK72),AK72&lt;=(C72+T72)),AY72,0),IF(AND(NOT(AND(AU72=1,AT72&lt;&gt;1)),ISNUMBER(AL72),AL72&lt;=(C72+T72)),AZ72,0),IF(AND(NOT(AND(AU72=1,AT72&lt;&gt;1)),ISNUMBER(AM72),AM72&lt;=(C72+T72)),BA72,0),IF(AND(NOT(AND(AU72=1,AT72&lt;&gt;1)),ISNUMBER(AN72),AN72&lt;=(C72+T72)),BB72,0),IF(AND(ISNUMBER(AO72),AO72&lt;=(C72+T72)),BC72,0))),"ML",IF(AND(IF(AND(NOT(AND(AU72=1,AT72&lt;&gt;1)),ISNUMBER(AN72),AN72&lt;=(C72+T72)),BB72,0)&gt;0,IF(AND(NOT(AND(AU72=1,AT72&lt;&gt;1)),ISNUMBER(AN72),AN72&lt;=(C72+T72)),BB72,0)=MAX(IF(AND(NOT(AND(AU72=1,AT72&lt;&gt;1)),ISNUMBER(AK72),AK72&lt;=(C72+T72)),AY72,0),IF(AND(NOT(AND(AU72=1,AT72&lt;&gt;1)),ISNUMBER(AL72),AL72&lt;=(C72+T72)),AZ72,0),IF(AND(NOT(AND(AU72=1,AT72&lt;&gt;1)),ISNUMBER(AM72),AM72&lt;=(C72+T72)),BA72,0),IF(AND(NOT(AND(AU72=1,AT72&lt;&gt;1)),ISNUMBER(AN72),AN72&lt;=(C72+T72)),BB72,0),IF(AND(ISNUMBER(AO72),AO72&lt;=(C72+T72)),BC72,0))),"RLO","BD"))))))))</f>
        <v/>
      </c>
    </row>
    <row r="73">
      <c r="A73" s="26" t="n">
        <v>62</v>
      </c>
      <c r="B73" s="27">
        <f>A73*10/60</f>
        <v/>
      </c>
      <c r="C73" s="22">
        <f>X72</f>
        <v/>
      </c>
      <c r="D73" s="27">
        <f>D72+W72</f>
        <v/>
      </c>
      <c r="E73" s="26">
        <f>E72+IF(U72="SK",1,0)</f>
        <v/>
      </c>
      <c r="F73" s="26">
        <f>F72+IF(U72="LB",1,0)</f>
        <v/>
      </c>
      <c r="G73" s="26">
        <f>G72+IF(U72="ML",1,0)</f>
        <v/>
      </c>
      <c r="H73" s="26">
        <f>H72+IF(U72="RLO",1,0)</f>
        <v/>
      </c>
      <c r="I73" s="26">
        <f>I72+IF(U72="BD",1,0)</f>
        <v/>
      </c>
      <c r="J73" s="26">
        <f>MAX(J72,IF(U72="BiP",1,0))</f>
        <v/>
      </c>
      <c r="K73" s="26">
        <f>MAX(K72,IF(U72="PV",1,0))</f>
        <v/>
      </c>
      <c r="L73" s="26">
        <f>MAX(L72,IF(U72="OC",1,0))</f>
        <v/>
      </c>
      <c r="M73" s="26">
        <f>MAX(M72,IF(U72="MG",1,0))</f>
        <v/>
      </c>
      <c r="N73" s="26">
        <f>MAX(N72,IF(U72="transition",1,0))</f>
        <v/>
      </c>
      <c r="O73" s="28">
        <f>(Parameters!$B$9+(IF(E73=0,0,(Upgrades!$J$13+E73*Upgrades!$K$13)*POWER(Upgrades!$L$13,E73)))*(IF(Upgrades!$T$14="Stellar Kinematics",POWER(Upgrades!$U$14,F73),1)*IF(Upgrades!$T$15="Stellar Kinematics",POWER(Upgrades!$U$15,G73),1)*IF(Upgrades!$T$16="Stellar Kinematics",POWER(Upgrades!$U$16,H73),1)*IF(Upgrades!$T$17="Stellar Kinematics",POWER(Upgrades!$U$17,I73),1)*IF(Upgrades!$T$18="Stellar Kinematics",POWER(Upgrades!$U$18,J73),1)*IF(Upgrades!$T$19="Stellar Kinematics",POWER(Upgrades!$U$19,K73),1)*IF(Upgrades!$T$20="Stellar Kinematics",POWER(Upgrades!$U$20,L73),1)*IF(Upgrades!$T$21="Stellar Kinematics",POWER(Upgrades!$U$21,M73),1))+(IF(F73=0,0,(Upgrades!$J$14+F73*Upgrades!$K$14)*POWER(Upgrades!$L$14,F73)))*(IF(Upgrades!$T$13="Local Bubble",POWER(Upgrades!$U$13,E73),1)*IF(Upgrades!$T$15="Local Bubble",POWER(Upgrades!$U$15,G73),1)*IF(Upgrades!$T$16="Local Bubble",POWER(Upgrades!$U$16,H73),1)*IF(Upgrades!$T$17="Local Bubble",POWER(Upgrades!$U$17,I73),1)*IF(Upgrades!$T$18="Local Bubble",POWER(Upgrades!$U$18,J73),1)*IF(Upgrades!$T$19="Local Bubble",POWER(Upgrades!$U$19,K73),1)*IF(Upgrades!$T$20="Local Bubble",POWER(Upgrades!$U$20,L73),1)*IF(Upgrades!$T$21="Local Bubble",POWER(Upgrades!$U$21,M73),1))+(IF(G73=0,0,(Upgrades!$J$15+G73*Upgrades!$K$15)*POWER(Upgrades!$L$15,G73)))*(IF(Upgrades!$T$13="Microlensing",POWER(Upgrades!$U$13,E73),1)*IF(Upgrades!$T$14="Microlensing",POWER(Upgrades!$U$14,F73),1)*IF(Upgrades!$T$16="Microlensing",POWER(Upgrades!$U$16,H73),1)*IF(Upgrades!$T$17="Microlensing",POWER(Upgrades!$U$17,I73),1)*IF(Upgrades!$T$18="Microlensing",POWER(Upgrades!$U$18,J73),1)*IF(Upgrades!$T$19="Microlensing",POWER(Upgrades!$U$19,K73),1)*IF(Upgrades!$T$20="Microlensing",POWER(Upgrades!$U$20,L73),1)*IF(Upgrades!$T$21="Microlensing",POWER(Upgrades!$U$21,M73),1))+(IF(H73=0,0,(Upgrades!$J$16+H73*Upgrades!$K$16)*POWER(Upgrades!$L$16,H73)))*(IF(Upgrades!$T$13="Roche Lobe Overflow",POWER(Upgrades!$U$13,E73),1)*IF(Upgrades!$T$14="Roche Lobe Overflow",POWER(Upgrades!$U$14,F73),1)*IF(Upgrades!$T$15="Roche Lobe Overflow",POWER(Upgrades!$U$15,G73),1)*IF(Upgrades!$T$17="Roche Lobe Overflow",POWER(Upgrades!$U$17,I73),1)*IF(Upgrades!$T$18="Roche Lobe Overflow",POWER(Upgrades!$U$18,J73),1)*IF(Upgrades!$T$19="Roche Lobe Overflow",POWER(Upgrades!$U$19,K73),1)*IF(Upgrades!$T$20="Roche Lobe Overflow",POWER(Upgrades!$U$20,L73),1)*IF(Upgrades!$T$21="Roche Lobe Overflow",POWER(Upgrades!$U$21,M73),1))+(IF(I73=0,0,(Upgrades!$J$17+I73*Upgrades!$K$17)*POWER(Upgrades!$L$17,I73)))*(IF(Upgrades!$T$13="Brown Dwarf",POWER(Upgrades!$U$13,E73),1)*IF(Upgrades!$T$14="Brown Dwarf",POWER(Upgrades!$U$14,F73),1)*IF(Upgrades!$T$15="Brown Dwarf",POWER(Upgrades!$U$15,G73),1)*IF(Upgrades!$T$16="Brown Dwarf",POWER(Upgrades!$U$16,H73),1)*IF(Upgrades!$T$18="Brown Dwarf",POWER(Upgrades!$U$18,J73),1)*IF(Upgrades!$T$19="Brown Dwarf",POWER(Upgrades!$U$19,K73),1)*IF(Upgrades!$T$20="Brown Dwarf",POWER(Upgrades!$U$20,L73),1)*IF(Upgrades!$T$21="Brown Dwarf",POWER(Upgrades!$U$21,M73),1))+(IF(J73=0,0,(Upgrades!$J$18+J73*Upgrades!$K$18)*POWER(Upgrades!$L$18,J73)))*(IF(Upgrades!$T$13="Binary Partner",POWER(Upgrades!$U$13,E73),1)*IF(Upgrades!$T$14="Binary Partner",POWER(Upgrades!$U$14,F73),1)*IF(Upgrades!$T$15="Binary Partner",POWER(Upgrades!$U$15,G73),1)*IF(Upgrades!$T$16="Binary Partner",POWER(Upgrades!$U$16,H73),1)*IF(Upgrades!$T$17="Binary Partner",POWER(Upgrades!$U$17,I73),1)*IF(Upgrades!$T$19="Binary Partner",POWER(Upgrades!$U$19,K73),1)*IF(Upgrades!$T$20="Binary Partner",POWER(Upgrades!$U$20,L73),1)*IF(Upgrades!$T$21="Binary Partner",POWER(Upgrades!$U$21,M73),1))+(IF(K73=0,0,(Upgrades!$J$19+K73*Upgrades!$K$19)*POWER(Upgrades!$L$19,K73)))*(IF(Upgrades!$T$13="Peculiar Velocity",POWER(Upgrades!$U$13,E73),1)*IF(Upgrades!$T$14="Peculiar Velocity",POWER(Upgrades!$U$14,F73),1)*IF(Upgrades!$T$15="Peculiar Velocity",POWER(Upgrades!$U$15,G73),1)*IF(Upgrades!$T$16="Peculiar Velocity",POWER(Upgrades!$U$16,H73),1)*IF(Upgrades!$T$17="Peculiar Velocity",POWER(Upgrades!$U$17,I73),1)*IF(Upgrades!$T$18="Peculiar Velocity",POWER(Upgrades!$U$18,J73),1)*IF(Upgrades!$T$20="Peculiar Velocity",POWER(Upgrades!$U$20,L73),1)*IF(Upgrades!$T$21="Peculiar Velocity",POWER(Upgrades!$U$21,M73),1))+(IF(L73=0,0,(Upgrades!$J$20+L73*Upgrades!$K$20)*POWER(Upgrades!$L$20,L73)))*(IF(Upgrades!$T$13="Open Cluster",POWER(Upgrades!$U$13,E73),1)*IF(Upgrades!$T$14="Open Cluster",POWER(Upgrades!$U$14,F73),1)*IF(Upgrades!$T$15="Open Cluster",POWER(Upgrades!$U$15,G73),1)*IF(Upgrades!$T$16="Open Cluster",POWER(Upgrades!$U$16,H73),1)*IF(Upgrades!$T$17="Open Cluster",POWER(Upgrades!$U$17,I73),1)*IF(Upgrades!$T$18="Open Cluster",POWER(Upgrades!$U$18,J73),1)*IF(Upgrades!$T$19="Open Cluster",POWER(Upgrades!$U$19,K73),1)*IF(Upgrades!$T$21="Open Cluster",POWER(Upgrades!$U$21,M73),1))+(IF(M73=0,0,(Upgrades!$J$21+M73*Upgrades!$K$21)*POWER(Upgrades!$L$21,M73)))*(IF(Upgrades!$T$13="Moving Group",POWER(Upgrades!$U$13,E73),1)*IF(Upgrades!$T$14="Moving Group",POWER(Upgrades!$U$14,F73),1)*IF(Upgrades!$T$15="Moving Group",POWER(Upgrades!$U$15,G73),1)*IF(Upgrades!$T$16="Moving Group",POWER(Upgrades!$U$16,H73),1)*IF(Upgrades!$T$17="Moving Group",POWER(Upgrades!$U$17,I73),1)*IF(Upgrades!$T$18="Moving Group",POWER(Upgrades!$U$18,J73),1)*IF(Upgrades!$T$19="Moving Group",POWER(Upgrades!$U$19,K73),1)*IF(Upgrades!$T$20="Moving Group",POWER(Upgrades!$U$20,L73),1)))*POWER(Upgrades!$Q$13,E73)*POWER(Upgrades!$Q$14,F73)*POWER(Upgrades!$Q$15,G73)*POWER(Upgrades!$Q$16,H73)*POWER(Upgrades!$Q$17,I73)*POWER(Upgrades!$Q$18,J73)*POWER(Upgrades!$Q$19,K73)*POWER(Upgrades!$Q$20,L73)*POWER(Upgrades!$Q$21,M73)*$G$6+$D$6</f>
        <v/>
      </c>
      <c r="P73" s="28">
        <f>((IF(E73=0,0,(Upgrades!$G$13+E73*Upgrades!$H$13)*POWER(Upgrades!$I$13,E73)))*(IF(Upgrades!$T$14="Stellar Kinematics",POWER(Upgrades!$U$14,F73),1)*IF(Upgrades!$T$15="Stellar Kinematics",POWER(Upgrades!$U$15,G73),1)*IF(Upgrades!$T$16="Stellar Kinematics",POWER(Upgrades!$U$16,H73),1)*IF(Upgrades!$T$17="Stellar Kinematics",POWER(Upgrades!$U$17,I73),1)*IF(Upgrades!$T$18="Stellar Kinematics",POWER(Upgrades!$U$18,J73),1)*IF(Upgrades!$T$19="Stellar Kinematics",POWER(Upgrades!$U$19,K73),1)*IF(Upgrades!$T$20="Stellar Kinematics",POWER(Upgrades!$U$20,L73),1)*IF(Upgrades!$T$21="Stellar Kinematics",POWER(Upgrades!$U$21,M73),1))+(IF(F73=0,0,(Upgrades!$G$14+F73*Upgrades!$H$14)*POWER(Upgrades!$I$14,F73)))*(IF(Upgrades!$T$13="Local Bubble",POWER(Upgrades!$U$13,E73),1)*IF(Upgrades!$T$15="Local Bubble",POWER(Upgrades!$U$15,G73),1)*IF(Upgrades!$T$16="Local Bubble",POWER(Upgrades!$U$16,H73),1)*IF(Upgrades!$T$17="Local Bubble",POWER(Upgrades!$U$17,I73),1)*IF(Upgrades!$T$18="Local Bubble",POWER(Upgrades!$U$18,J73),1)*IF(Upgrades!$T$19="Local Bubble",POWER(Upgrades!$U$19,K73),1)*IF(Upgrades!$T$20="Local Bubble",POWER(Upgrades!$U$20,L73),1)*IF(Upgrades!$T$21="Local Bubble",POWER(Upgrades!$U$21,M73),1))+(IF(G73=0,0,(Upgrades!$G$15+G73*Upgrades!$H$15)*POWER(Upgrades!$I$15,G73)))*(IF(Upgrades!$T$13="Microlensing",POWER(Upgrades!$U$13,E73),1)*IF(Upgrades!$T$14="Microlensing",POWER(Upgrades!$U$14,F73),1)*IF(Upgrades!$T$16="Microlensing",POWER(Upgrades!$U$16,H73),1)*IF(Upgrades!$T$17="Microlensing",POWER(Upgrades!$U$17,I73),1)*IF(Upgrades!$T$18="Microlensing",POWER(Upgrades!$U$18,J73),1)*IF(Upgrades!$T$19="Microlensing",POWER(Upgrades!$U$19,K73),1)*IF(Upgrades!$T$20="Microlensing",POWER(Upgrades!$U$20,L73),1)*IF(Upgrades!$T$21="Microlensing",POWER(Upgrades!$U$21,M73),1))+(IF(H73=0,0,(Upgrades!$G$16+H73*Upgrades!$H$16)*POWER(Upgrades!$I$16,H73)))*(IF(Upgrades!$T$13="Roche Lobe Overflow",POWER(Upgrades!$U$13,E73),1)*IF(Upgrades!$T$14="Roche Lobe Overflow",POWER(Upgrades!$U$14,F73),1)*IF(Upgrades!$T$15="Roche Lobe Overflow",POWER(Upgrades!$U$15,G73),1)*IF(Upgrades!$T$17="Roche Lobe Overflow",POWER(Upgrades!$U$17,I73),1)*IF(Upgrades!$T$18="Roche Lobe Overflow",POWER(Upgrades!$U$18,J73),1)*IF(Upgrades!$T$19="Roche Lobe Overflow",POWER(Upgrades!$U$19,K73),1)*IF(Upgrades!$T$20="Roche Lobe Overflow",POWER(Upgrades!$U$20,L73),1)*IF(Upgrades!$T$21="Roche Lobe Overflow",POWER(Upgrades!$U$21,M73),1))+(IF(I73=0,0,(Upgrades!$G$17+I73*Upgrades!$H$17)*POWER(Upgrades!$I$17,I73)))*(IF(Upgrades!$T$13="Brown Dwarf",POWER(Upgrades!$U$13,E73),1)*IF(Upgrades!$T$14="Brown Dwarf",POWER(Upgrades!$U$14,F73),1)*IF(Upgrades!$T$15="Brown Dwarf",POWER(Upgrades!$U$15,G73),1)*IF(Upgrades!$T$16="Brown Dwarf",POWER(Upgrades!$U$16,H73),1)*IF(Upgrades!$T$18="Brown Dwarf",POWER(Upgrades!$U$18,J73),1)*IF(Upgrades!$T$19="Brown Dwarf",POWER(Upgrades!$U$19,K73),1)*IF(Upgrades!$T$20="Brown Dwarf",POWER(Upgrades!$U$20,L73),1)*IF(Upgrades!$T$21="Brown Dwarf",POWER(Upgrades!$U$21,M73),1))+(IF(J73=0,0,(Upgrades!$G$18+J73*Upgrades!$H$18)*POWER(Upgrades!$I$18,J73)))*(IF(Upgrades!$T$13="Binary Partner",POWER(Upgrades!$U$13,E73),1)*IF(Upgrades!$T$14="Binary Partner",POWER(Upgrades!$U$14,F73),1)*IF(Upgrades!$T$15="Binary Partner",POWER(Upgrades!$U$15,G73),1)*IF(Upgrades!$T$16="Binary Partner",POWER(Upgrades!$U$16,H73),1)*IF(Upgrades!$T$17="Binary Partner",POWER(Upgrades!$U$17,I73),1)*IF(Upgrades!$T$19="Binary Partner",POWER(Upgrades!$U$19,K73),1)*IF(Upgrades!$T$20="Binary Partner",POWER(Upgrades!$U$20,L73),1)*IF(Upgrades!$T$21="Binary Partner",POWER(Upgrades!$U$21,M73),1))+(IF(K73=0,0,(Upgrades!$G$19+K73*Upgrades!$H$19)*POWER(Upgrades!$I$19,K73)))*(IF(Upgrades!$T$13="Peculiar Velocity",POWER(Upgrades!$U$13,E73),1)*IF(Upgrades!$T$14="Peculiar Velocity",POWER(Upgrades!$U$14,F73),1)*IF(Upgrades!$T$15="Peculiar Velocity",POWER(Upgrades!$U$15,G73),1)*IF(Upgrades!$T$16="Peculiar Velocity",POWER(Upgrades!$U$16,H73),1)*IF(Upgrades!$T$17="Peculiar Velocity",POWER(Upgrades!$U$17,I73),1)*IF(Upgrades!$T$18="Peculiar Velocity",POWER(Upgrades!$U$18,J73),1)*IF(Upgrades!$T$20="Peculiar Velocity",POWER(Upgrades!$U$20,L73),1)*IF(Upgrades!$T$21="Peculiar Velocity",POWER(Upgrades!$U$21,M73),1))+(IF(L73=0,0,(Upgrades!$G$20+L73*Upgrades!$H$20)*POWER(Upgrades!$I$20,L73)))*(IF(Upgrades!$T$13="Open Cluster",POWER(Upgrades!$U$13,E73),1)*IF(Upgrades!$T$14="Open Cluster",POWER(Upgrades!$U$14,F73),1)*IF(Upgrades!$T$15="Open Cluster",POWER(Upgrades!$U$15,G73),1)*IF(Upgrades!$T$16="Open Cluster",POWER(Upgrades!$U$16,H73),1)*IF(Upgrades!$T$17="Open Cluster",POWER(Upgrades!$U$17,I73),1)*IF(Upgrades!$T$18="Open Cluster",POWER(Upgrades!$U$18,J73),1)*IF(Upgrades!$T$19="Open Cluster",POWER(Upgrades!$U$19,K73),1)*IF(Upgrades!$T$21="Open Cluster",POWER(Upgrades!$U$21,M73),1))+(IF(M73=0,0,(Upgrades!$G$21+M73*Upgrades!$H$21)*POWER(Upgrades!$I$21,M73)))*(IF(Upgrades!$T$13="Moving Group",POWER(Upgrades!$U$13,E73),1)*IF(Upgrades!$T$14="Moving Group",POWER(Upgrades!$U$14,F73),1)*IF(Upgrades!$T$15="Moving Group",POWER(Upgrades!$U$15,G73),1)*IF(Upgrades!$T$16="Moving Group",POWER(Upgrades!$U$16,H73),1)*IF(Upgrades!$T$17="Moving Group",POWER(Upgrades!$U$17,I73),1)*IF(Upgrades!$T$18="Moving Group",POWER(Upgrades!$U$18,J73),1)*IF(Upgrades!$T$19="Moving Group",POWER(Upgrades!$U$19,K73),1)*IF(Upgrades!$T$20="Moving Group",POWER(Upgrades!$U$20,L73),1)))*POWER(Upgrades!$P$13,E73)*POWER(Upgrades!$P$14,F73)*POWER(Upgrades!$P$15,G73)*POWER(Upgrades!$P$16,H73)*POWER(Upgrades!$P$17,I73)*POWER(Upgrades!$P$18,J73)*POWER(Upgrades!$P$19,K73)*POWER(Upgrades!$P$20,L73)*POWER(Upgrades!$P$21,M73)*$F$6+$C$6</f>
        <v/>
      </c>
      <c r="Q73" s="28">
        <f>((IF(E73=0,0,(Upgrades!$M$13+E73*Upgrades!$N$13)*POWER(Upgrades!$O$13,E73)))*(IF(Upgrades!$T$14="Stellar Kinematics",POWER(Upgrades!$U$14,F73),1)*IF(Upgrades!$T$15="Stellar Kinematics",POWER(Upgrades!$U$15,G73),1)*IF(Upgrades!$T$16="Stellar Kinematics",POWER(Upgrades!$U$16,H73),1)*IF(Upgrades!$T$17="Stellar Kinematics",POWER(Upgrades!$U$17,I73),1)*IF(Upgrades!$T$18="Stellar Kinematics",POWER(Upgrades!$U$18,J73),1)*IF(Upgrades!$T$19="Stellar Kinematics",POWER(Upgrades!$U$19,K73),1)*IF(Upgrades!$T$20="Stellar Kinematics",POWER(Upgrades!$U$20,L73),1)*IF(Upgrades!$T$21="Stellar Kinematics",POWER(Upgrades!$U$21,M73),1))+(IF(F73=0,0,(Upgrades!$M$14+F73*Upgrades!$N$14)*POWER(Upgrades!$O$14,F73)))*(IF(Upgrades!$T$13="Local Bubble",POWER(Upgrades!$U$13,E73),1)*IF(Upgrades!$T$15="Local Bubble",POWER(Upgrades!$U$15,G73),1)*IF(Upgrades!$T$16="Local Bubble",POWER(Upgrades!$U$16,H73),1)*IF(Upgrades!$T$17="Local Bubble",POWER(Upgrades!$U$17,I73),1)*IF(Upgrades!$T$18="Local Bubble",POWER(Upgrades!$U$18,J73),1)*IF(Upgrades!$T$19="Local Bubble",POWER(Upgrades!$U$19,K73),1)*IF(Upgrades!$T$20="Local Bubble",POWER(Upgrades!$U$20,L73),1)*IF(Upgrades!$T$21="Local Bubble",POWER(Upgrades!$U$21,M73),1))+(IF(G73=0,0,(Upgrades!$M$15+G73*Upgrades!$N$15)*POWER(Upgrades!$O$15,G73)))*(IF(Upgrades!$T$13="Microlensing",POWER(Upgrades!$U$13,E73),1)*IF(Upgrades!$T$14="Microlensing",POWER(Upgrades!$U$14,F73),1)*IF(Upgrades!$T$16="Microlensing",POWER(Upgrades!$U$16,H73),1)*IF(Upgrades!$T$17="Microlensing",POWER(Upgrades!$U$17,I73),1)*IF(Upgrades!$T$18="Microlensing",POWER(Upgrades!$U$18,J73),1)*IF(Upgrades!$T$19="Microlensing",POWER(Upgrades!$U$19,K73),1)*IF(Upgrades!$T$20="Microlensing",POWER(Upgrades!$U$20,L73),1)*IF(Upgrades!$T$21="Microlensing",POWER(Upgrades!$U$21,M73),1))+(IF(H73=0,0,(Upgrades!$M$16+H73*Upgrades!$N$16)*POWER(Upgrades!$O$16,H73)))*(IF(Upgrades!$T$13="Roche Lobe Overflow",POWER(Upgrades!$U$13,E73),1)*IF(Upgrades!$T$14="Roche Lobe Overflow",POWER(Upgrades!$U$14,F73),1)*IF(Upgrades!$T$15="Roche Lobe Overflow",POWER(Upgrades!$U$15,G73),1)*IF(Upgrades!$T$17="Roche Lobe Overflow",POWER(Upgrades!$U$17,I73),1)*IF(Upgrades!$T$18="Roche Lobe Overflow",POWER(Upgrades!$U$18,J73),1)*IF(Upgrades!$T$19="Roche Lobe Overflow",POWER(Upgrades!$U$19,K73),1)*IF(Upgrades!$T$20="Roche Lobe Overflow",POWER(Upgrades!$U$20,L73),1)*IF(Upgrades!$T$21="Roche Lobe Overflow",POWER(Upgrades!$U$21,M73),1))+(IF(I73=0,0,(Upgrades!$M$17+I73*Upgrades!$N$17)*POWER(Upgrades!$O$17,I73)))*(IF(Upgrades!$T$13="Brown Dwarf",POWER(Upgrades!$U$13,E73),1)*IF(Upgrades!$T$14="Brown Dwarf",POWER(Upgrades!$U$14,F73),1)*IF(Upgrades!$T$15="Brown Dwarf",POWER(Upgrades!$U$15,G73),1)*IF(Upgrades!$T$16="Brown Dwarf",POWER(Upgrades!$U$16,H73),1)*IF(Upgrades!$T$18="Brown Dwarf",POWER(Upgrades!$U$18,J73),1)*IF(Upgrades!$T$19="Brown Dwarf",POWER(Upgrades!$U$19,K73),1)*IF(Upgrades!$T$20="Brown Dwarf",POWER(Upgrades!$U$20,L73),1)*IF(Upgrades!$T$21="Brown Dwarf",POWER(Upgrades!$U$21,M73),1))+(IF(J73=0,0,(Upgrades!$M$18+J73*Upgrades!$N$18)*POWER(Upgrades!$O$18,J73)))*(IF(Upgrades!$T$13="Binary Partner",POWER(Upgrades!$U$13,E73),1)*IF(Upgrades!$T$14="Binary Partner",POWER(Upgrades!$U$14,F73),1)*IF(Upgrades!$T$15="Binary Partner",POWER(Upgrades!$U$15,G73),1)*IF(Upgrades!$T$16="Binary Partner",POWER(Upgrades!$U$16,H73),1)*IF(Upgrades!$T$17="Binary Partner",POWER(Upgrades!$U$17,I73),1)*IF(Upgrades!$T$19="Binary Partner",POWER(Upgrades!$U$19,K73),1)*IF(Upgrades!$T$20="Binary Partner",POWER(Upgrades!$U$20,L73),1)*IF(Upgrades!$T$21="Binary Partner",POWER(Upgrades!$U$21,M73),1))+(IF(K73=0,0,(Upgrades!$M$19+K73*Upgrades!$N$19)*POWER(Upgrades!$O$19,K73)))*(IF(Upgrades!$T$13="Peculiar Velocity",POWER(Upgrades!$U$13,E73),1)*IF(Upgrades!$T$14="Peculiar Velocity",POWER(Upgrades!$U$14,F73),1)*IF(Upgrades!$T$15="Peculiar Velocity",POWER(Upgrades!$U$15,G73),1)*IF(Upgrades!$T$16="Peculiar Velocity",POWER(Upgrades!$U$16,H73),1)*IF(Upgrades!$T$17="Peculiar Velocity",POWER(Upgrades!$U$17,I73),1)*IF(Upgrades!$T$18="Peculiar Velocity",POWER(Upgrades!$U$18,J73),1)*IF(Upgrades!$T$20="Peculiar Velocity",POWER(Upgrades!$U$20,L73),1)*IF(Upgrades!$T$21="Peculiar Velocity",POWER(Upgrades!$U$21,M73),1))+(IF(L73=0,0,(Upgrades!$M$20+L73*Upgrades!$N$20)*POWER(Upgrades!$O$20,L73)))*(IF(Upgrades!$T$13="Open Cluster",POWER(Upgrades!$U$13,E73),1)*IF(Upgrades!$T$14="Open Cluster",POWER(Upgrades!$U$14,F73),1)*IF(Upgrades!$T$15="Open Cluster",POWER(Upgrades!$U$15,G73),1)*IF(Upgrades!$T$16="Open Cluster",POWER(Upgrades!$U$16,H73),1)*IF(Upgrades!$T$17="Open Cluster",POWER(Upgrades!$U$17,I73),1)*IF(Upgrades!$T$18="Open Cluster",POWER(Upgrades!$U$18,J73),1)*IF(Upgrades!$T$19="Open Cluster",POWER(Upgrades!$U$19,K73),1)*IF(Upgrades!$T$21="Open Cluster",POWER(Upgrades!$U$21,M73),1))+(IF(M73=0,0,(Upgrades!$M$21+M73*Upgrades!$N$21)*POWER(Upgrades!$O$21,M73)))*(IF(Upgrades!$T$13="Moving Group",POWER(Upgrades!$U$13,E73),1)*IF(Upgrades!$T$14="Moving Group",POWER(Upgrades!$U$14,F73),1)*IF(Upgrades!$T$15="Moving Group",POWER(Upgrades!$U$15,G73),1)*IF(Upgrades!$T$16="Moving Group",POWER(Upgrades!$U$16,H73),1)*IF(Upgrades!$T$17="Moving Group",POWER(Upgrades!$U$17,I73),1)*IF(Upgrades!$T$18="Moving Group",POWER(Upgrades!$U$18,J73),1)*IF(Upgrades!$T$19="Moving Group",POWER(Upgrades!$U$19,K73),1)*IF(Upgrades!$T$20="Moving Group",POWER(Upgrades!$U$20,L73),1)))*POWER(Upgrades!$R$13,E73)*POWER(Upgrades!$R$14,F73)*POWER(Upgrades!$R$15,G73)*POWER(Upgrades!$R$16,H73)*POWER(Upgrades!$R$17,I73)*POWER(Upgrades!$R$18,J73)*POWER(Upgrades!$R$19,K73)*POWER(Upgrades!$R$20,L73)*POWER(Upgrades!$R$21,M73)*$H$6+$E$6</f>
        <v/>
      </c>
      <c r="R73" s="27">
        <f>IF(N73=1,0,O73*Parameters!$B$10/60*Parameters!$B$11*10)</f>
        <v/>
      </c>
      <c r="S73" s="27">
        <f>IF(N73=1,0,Q73*O73*10)</f>
        <v/>
      </c>
      <c r="T73" s="27">
        <f>IF(N73=1,0,R73+S73+P73*10)</f>
        <v/>
      </c>
      <c r="U73" s="33">
        <f>BE73</f>
        <v/>
      </c>
      <c r="V73" s="22">
        <f>IF(U73="",0,IF(U73="transition",0,IF(U73="SK",AK73,IF(U73="LB",AL73,IF(U73="ML",AM73,IF(U73="RLO",AN73,IF(U73="BD",AO73,IF(U73="BiP",AP73,IF(U73="PV",AQ73,IF(U73="OC",AR73,IF(U73="MG",AS73,0))))))))))</f>
        <v/>
      </c>
      <c r="W73" s="27">
        <f>IF(U73="BiP",Upgrades!$F$18,IF(U73="PV",Upgrades!$F$19,IF(U73="OC",Upgrades!$F$20,IF(U73="MG",Upgrades!$F$21,IF(U73="transition",-Parameters!$B$18*Parameters!$B$19,0)))))</f>
        <v/>
      </c>
      <c r="X73" s="22">
        <f>C73+T73-V73</f>
        <v/>
      </c>
      <c r="Y73" s="30">
        <f>O73*Parameters!$B$10/60*Parameters!$B$11+Q73*O73+P73</f>
        <v/>
      </c>
      <c r="Z73" s="34">
        <f>IF(U73="transition","→ Tier 3 (Galactic Arm)",IF(U73="MG","Moving Group — pocket drifts together",IF(U73="OC","Open Cluster acquired",IF(U73="PV","Peculiar Velocity — passive multiplier active",IF(U73="BiP","Binary Partner — pair bond formed",IF(AND(AU73=1,N73=0,AT73&lt;&gt;1),"Cohesion ready (waiting on completionists)","")))))) </f>
        <v/>
      </c>
      <c r="AA73" s="27">
        <f>(IF(E73=0,0,(Upgrades!$G$13+E73*Upgrades!$H$13)*POWER(Upgrades!$I$13,E73)))*(IF(Upgrades!$T$14="Stellar Kinematics",POWER(Upgrades!$U$14,F73),1)*IF(Upgrades!$T$15="Stellar Kinematics",POWER(Upgrades!$U$15,G73),1)*IF(Upgrades!$T$16="Stellar Kinematics",POWER(Upgrades!$U$16,H73),1)*IF(Upgrades!$T$17="Stellar Kinematics",POWER(Upgrades!$U$17,I73),1)*IF(Upgrades!$T$18="Stellar Kinematics",POWER(Upgrades!$U$18,J73),1)*IF(Upgrades!$T$19="Stellar Kinematics",POWER(Upgrades!$U$19,K73),1)*IF(Upgrades!$T$20="Stellar Kinematics",POWER(Upgrades!$U$20,L73),1)*IF(Upgrades!$T$21="Stellar Kinematics",POWER(Upgrades!$U$21,M73),1))*POWER(Upgrades!$P$13,E73)*POWER(Upgrades!$P$14,F73)*POWER(Upgrades!$P$15,G73)*POWER(Upgrades!$P$16,H73)*POWER(Upgrades!$P$17,I73)*POWER(Upgrades!$P$18,J73)*POWER(Upgrades!$P$19,K73)*POWER(Upgrades!$P$20,L73)*POWER(Upgrades!$P$21,M73)*$F$6*60</f>
        <v/>
      </c>
      <c r="AB73" s="27">
        <f>(IF(F73=0,0,(Upgrades!$G$14+F73*Upgrades!$H$14)*POWER(Upgrades!$I$14,F73)))*(IF(Upgrades!$T$13="Local Bubble",POWER(Upgrades!$U$13,E73),1)*IF(Upgrades!$T$15="Local Bubble",POWER(Upgrades!$U$15,G73),1)*IF(Upgrades!$T$16="Local Bubble",POWER(Upgrades!$U$16,H73),1)*IF(Upgrades!$T$17="Local Bubble",POWER(Upgrades!$U$17,I73),1)*IF(Upgrades!$T$18="Local Bubble",POWER(Upgrades!$U$18,J73),1)*IF(Upgrades!$T$19="Local Bubble",POWER(Upgrades!$U$19,K73),1)*IF(Upgrades!$T$20="Local Bubble",POWER(Upgrades!$U$20,L73),1)*IF(Upgrades!$T$21="Local Bubble",POWER(Upgrades!$U$21,M73),1))*POWER(Upgrades!$P$13,E73)*POWER(Upgrades!$P$14,F73)*POWER(Upgrades!$P$15,G73)*POWER(Upgrades!$P$16,H73)*POWER(Upgrades!$P$17,I73)*POWER(Upgrades!$P$18,J73)*POWER(Upgrades!$P$19,K73)*POWER(Upgrades!$P$20,L73)*POWER(Upgrades!$P$21,M73)*$F$6*60</f>
        <v/>
      </c>
      <c r="AC73" s="27">
        <f>(IF(G73=0,0,(Upgrades!$J$15+G73*Upgrades!$K$15)*POWER(Upgrades!$L$15,G73)))*(IF(Upgrades!$T$13="Microlensing",POWER(Upgrades!$U$13,E73),1)*IF(Upgrades!$T$14="Microlensing",POWER(Upgrades!$U$14,F73),1)*IF(Upgrades!$T$16="Microlensing",POWER(Upgrades!$U$16,H73),1)*IF(Upgrades!$T$17="Microlensing",POWER(Upgrades!$U$17,I73),1)*IF(Upgrades!$T$18="Microlensing",POWER(Upgrades!$U$18,J73),1)*IF(Upgrades!$T$19="Microlensing",POWER(Upgrades!$U$19,K73),1)*IF(Upgrades!$T$20="Microlensing",POWER(Upgrades!$U$20,L73),1)*IF(Upgrades!$T$21="Microlensing",POWER(Upgrades!$U$21,M73),1))*POWER(Upgrades!$Q$13,E73)*POWER(Upgrades!$Q$14,F73)*POWER(Upgrades!$Q$15,G73)*POWER(Upgrades!$Q$16,H73)*POWER(Upgrades!$Q$17,I73)*POWER(Upgrades!$Q$18,J73)*POWER(Upgrades!$Q$19,K73)*POWER(Upgrades!$Q$20,L73)*POWER(Upgrades!$Q$21,M73)*$G$6*(Parameters!$B$10*Parameters!$B$11+Q73*60)</f>
        <v/>
      </c>
      <c r="AD73" s="27">
        <f>(IF(H73=0,0,(Upgrades!$M$16+H73*Upgrades!$N$16)*POWER(Upgrades!$O$16,H73)))*(IF(Upgrades!$T$13="Roche Lobe Overflow",POWER(Upgrades!$U$13,E73),1)*IF(Upgrades!$T$14="Roche Lobe Overflow",POWER(Upgrades!$U$14,F73),1)*IF(Upgrades!$T$15="Roche Lobe Overflow",POWER(Upgrades!$U$15,G73),1)*IF(Upgrades!$T$17="Roche Lobe Overflow",POWER(Upgrades!$U$17,I73),1)*IF(Upgrades!$T$18="Roche Lobe Overflow",POWER(Upgrades!$U$18,J73),1)*IF(Upgrades!$T$19="Roche Lobe Overflow",POWER(Upgrades!$U$19,K73),1)*IF(Upgrades!$T$20="Roche Lobe Overflow",POWER(Upgrades!$U$20,L73),1)*IF(Upgrades!$T$21="Roche Lobe Overflow",POWER(Upgrades!$U$21,M73),1))*POWER(Upgrades!$R$13,E73)*POWER(Upgrades!$R$14,F73)*POWER(Upgrades!$R$15,G73)*POWER(Upgrades!$R$16,H73)*POWER(Upgrades!$R$17,I73)*POWER(Upgrades!$R$18,J73)*POWER(Upgrades!$R$19,K73)*POWER(Upgrades!$R$20,L73)*POWER(Upgrades!$R$21,M73)*$H$6*O73*60</f>
        <v/>
      </c>
      <c r="AE73" s="27">
        <f>(IF(I73=0,0,(Upgrades!$G$17+I73*Upgrades!$H$17)*POWER(Upgrades!$I$17,I73)))*(IF(Upgrades!$T$13="Brown Dwarf",POWER(Upgrades!$U$13,E73),1)*IF(Upgrades!$T$14="Brown Dwarf",POWER(Upgrades!$U$14,F73),1)*IF(Upgrades!$T$15="Brown Dwarf",POWER(Upgrades!$U$15,G73),1)*IF(Upgrades!$T$16="Brown Dwarf",POWER(Upgrades!$U$16,H73),1)*IF(Upgrades!$T$18="Brown Dwarf",POWER(Upgrades!$U$18,J73),1)*IF(Upgrades!$T$19="Brown Dwarf",POWER(Upgrades!$U$19,K73),1)*IF(Upgrades!$T$20="Brown Dwarf",POWER(Upgrades!$U$20,L73),1)*IF(Upgrades!$T$21="Brown Dwarf",POWER(Upgrades!$U$21,M73),1))*POWER(Upgrades!$P$13,E73)*POWER(Upgrades!$P$14,F73)*POWER(Upgrades!$P$15,G73)*POWER(Upgrades!$P$16,H73)*POWER(Upgrades!$P$17,I73)*POWER(Upgrades!$P$18,J73)*POWER(Upgrades!$P$19,K73)*POWER(Upgrades!$P$20,L73)*POWER(Upgrades!$P$21,M73)*$F$6*60</f>
        <v/>
      </c>
      <c r="AF73" s="27" t="n">
        <v>0</v>
      </c>
      <c r="AG73" s="27" t="n">
        <v>0</v>
      </c>
      <c r="AH73" s="27" t="n">
        <v>0</v>
      </c>
      <c r="AI73" s="27">
        <f>(IF(M73=0,0,(Upgrades!$G$21+M73*Upgrades!$H$21)*POWER(Upgrades!$I$21,M73)))*(IF(Upgrades!$T$13="Moving Group",POWER(Upgrades!$U$13,E73),1)*IF(Upgrades!$T$14="Moving Group",POWER(Upgrades!$U$14,F73),1)*IF(Upgrades!$T$15="Moving Group",POWER(Upgrades!$U$15,G73),1)*IF(Upgrades!$T$16="Moving Group",POWER(Upgrades!$U$16,H73),1)*IF(Upgrades!$T$17="Moving Group",POWER(Upgrades!$U$17,I73),1)*IF(Upgrades!$T$18="Moving Group",POWER(Upgrades!$U$18,J73),1)*IF(Upgrades!$T$19="Moving Group",POWER(Upgrades!$U$19,K73),1)*IF(Upgrades!$T$20="Moving Group",POWER(Upgrades!$U$20,L73),1))*POWER(Upgrades!$P$13,E73)*POWER(Upgrades!$P$14,F73)*POWER(Upgrades!$P$15,G73)*POWER(Upgrades!$P$16,H73)*POWER(Upgrades!$P$17,I73)*POWER(Upgrades!$P$18,J73)*POWER(Upgrades!$P$19,K73)*POWER(Upgrades!$P$20,L73)*POWER(Upgrades!$P$21,M73)*$F$6*60</f>
        <v/>
      </c>
      <c r="AJ73" s="27">
        <f>$C$6*60</f>
        <v/>
      </c>
      <c r="AK73" s="22">
        <f>IF(E73&gt;=Upgrades!$E$13,"",Upgrades!$C$13*POWER(Upgrades!$D$13,E73))</f>
        <v/>
      </c>
      <c r="AL73" s="22">
        <f>IF(F73&gt;=Upgrades!$E$14,"",Upgrades!$C$14*POWER(Upgrades!$D$14,F73))</f>
        <v/>
      </c>
      <c r="AM73" s="22">
        <f>IF(G73&gt;=Upgrades!$E$15,"",Upgrades!$C$15*POWER(Upgrades!$D$15,G73))</f>
        <v/>
      </c>
      <c r="AN73" s="22">
        <f>IF(H73&gt;=Upgrades!$E$16,"",Upgrades!$C$16*POWER(Upgrades!$D$16,H73))</f>
        <v/>
      </c>
      <c r="AO73" s="22">
        <f>IF(I73&gt;=Upgrades!$E$17,"",Upgrades!$C$17*POWER(Upgrades!$D$17,I73))</f>
        <v/>
      </c>
      <c r="AP73" s="22">
        <f>IF(J73&gt;=Upgrades!$E$18,"",Upgrades!$C$18*POWER(Upgrades!$D$18,J73))</f>
        <v/>
      </c>
      <c r="AQ73" s="22">
        <f>IF(K73&gt;=Upgrades!$E$19,"",Upgrades!$C$19*POWER(Upgrades!$D$19,K73))</f>
        <v/>
      </c>
      <c r="AR73" s="22">
        <f>IF(L73&gt;=Upgrades!$E$20,"",Upgrades!$C$20*POWER(Upgrades!$D$20,L73))</f>
        <v/>
      </c>
      <c r="AS73" s="22">
        <f>IF(M73&gt;=Upgrades!$E$21,"",Upgrades!$C$21*POWER(Upgrades!$D$21,M73))</f>
        <v/>
      </c>
      <c r="AT73" s="26">
        <f>IF(AND(D73&gt;=Parameters!$B$18*Parameters!$B$19,(I73&gt;=Upgrades!$E$17)*(M73&gt;=Upgrades!$E$21)=1,N73=0),1,"")</f>
        <v/>
      </c>
      <c r="AU73" s="26">
        <f>IF(AND(D73&gt;=Parameters!$B$18*Parameters!$B$19,N73=0),1,"")</f>
        <v/>
      </c>
      <c r="AV73" s="22">
        <f>MIN(IF(ISNUMBER(AP73),AP73,9E15),IF(ISNUMBER(AQ73),AQ73,9E15),IF(ISNUMBER(AR73),AR73,9E15),IF(ISNUMBER(AS73),AS73,9E15))</f>
        <v/>
      </c>
      <c r="AW73" s="22">
        <f>MIN(IF(ISNUMBER(AK73),AK73,9E15),IF(ISNUMBER(AL73),AL73,9E15),IF(ISNUMBER(AM73),AM73,9E15),IF(ISNUMBER(AN73),AN73,9E15),IF(ISNUMBER(AO73),AO73,9E15))</f>
        <v/>
      </c>
      <c r="AX73" s="29">
        <f>IF(BD73&gt;Parameters!$B$21*(MAX(IF(AND(NOT(AND(AU73=1,AT73&lt;&gt;1)),ISNUMBER(AK73),AK73&lt;=(C73+T73)),AY73,0),IF(AND(NOT(AND(AU73=1,AT73&lt;&gt;1)),ISNUMBER(AL73),AL73&lt;=(C73+T73)),AZ73,0),IF(AND(NOT(AND(AU73=1,AT73&lt;&gt;1)),ISNUMBER(AM73),AM73&lt;=(C73+T73)),BA73,0),IF(AND(NOT(AND(AU73=1,AT73&lt;&gt;1)),ISNUMBER(AN73),AN73&lt;=(C73+T73)),BB73,0),IF(AND(ISNUMBER(AO73),AO73&lt;=(C73+T73)),BC73,0))),TRUE,FALSE)</f>
        <v/>
      </c>
      <c r="AY73" s="32">
        <f>IFERROR(Upgrades!$H$13*(POWER(Upgrades!$P$13,E73)*POWER(Upgrades!$P$14,F73)*POWER(Upgrades!$P$15,G73)*POWER(Upgrades!$P$16,H73)*POWER(Upgrades!$P$17,I73)*POWER(Upgrades!$P$18,J73)*POWER(Upgrades!$P$19,K73)*POWER(Upgrades!$P$20,L73)*POWER(Upgrades!$P$21,M73))*(IF(Upgrades!$T$14="Stellar Kinematics",POWER(Upgrades!$U$14,F73),1)*IF(Upgrades!$T$15="Stellar Kinematics",POWER(Upgrades!$U$15,G73),1)*IF(Upgrades!$T$16="Stellar Kinematics",POWER(Upgrades!$U$16,H73),1)*IF(Upgrades!$T$17="Stellar Kinematics",POWER(Upgrades!$U$17,I73),1)*IF(Upgrades!$T$18="Stellar Kinematics",POWER(Upgrades!$U$18,J73),1)*IF(Upgrades!$T$19="Stellar Kinematics",POWER(Upgrades!$U$19,K73),1)*IF(Upgrades!$T$20="Stellar Kinematics",POWER(Upgrades!$U$20,L73),1)*IF(Upgrades!$T$21="Stellar Kinematics",POWER(Upgrades!$U$21,M73),1))*$F$6/AK73,0)</f>
        <v/>
      </c>
      <c r="AZ73" s="32">
        <f>IFERROR(Upgrades!$H$14*(POWER(Upgrades!$P$13,E73)*POWER(Upgrades!$P$14,F73)*POWER(Upgrades!$P$15,G73)*POWER(Upgrades!$P$16,H73)*POWER(Upgrades!$P$17,I73)*POWER(Upgrades!$P$18,J73)*POWER(Upgrades!$P$19,K73)*POWER(Upgrades!$P$20,L73)*POWER(Upgrades!$P$21,M73))*(IF(Upgrades!$T$13="Local Bubble",POWER(Upgrades!$U$13,E73),1)*IF(Upgrades!$T$15="Local Bubble",POWER(Upgrades!$U$15,G73),1)*IF(Upgrades!$T$16="Local Bubble",POWER(Upgrades!$U$16,H73),1)*IF(Upgrades!$T$17="Local Bubble",POWER(Upgrades!$U$17,I73),1)*IF(Upgrades!$T$18="Local Bubble",POWER(Upgrades!$U$18,J73),1)*IF(Upgrades!$T$19="Local Bubble",POWER(Upgrades!$U$19,K73),1)*IF(Upgrades!$T$20="Local Bubble",POWER(Upgrades!$U$20,L73),1)*IF(Upgrades!$T$21="Local Bubble",POWER(Upgrades!$U$21,M73),1))*$F$6/AL73,0)</f>
        <v/>
      </c>
      <c r="BA73" s="32">
        <f>IFERROR(Upgrades!$K$15*(POWER(Upgrades!$Q$13,E73)*POWER(Upgrades!$Q$14,F73)*POWER(Upgrades!$Q$15,G73)*POWER(Upgrades!$Q$16,H73)*POWER(Upgrades!$Q$17,I73)*POWER(Upgrades!$Q$18,J73)*POWER(Upgrades!$Q$19,K73)*POWER(Upgrades!$Q$20,L73)*POWER(Upgrades!$Q$21,M73))*(IF(Upgrades!$T$13="Microlensing",POWER(Upgrades!$U$13,E73),1)*IF(Upgrades!$T$14="Microlensing",POWER(Upgrades!$U$14,F73),1)*IF(Upgrades!$T$16="Microlensing",POWER(Upgrades!$U$16,H73),1)*IF(Upgrades!$T$17="Microlensing",POWER(Upgrades!$U$17,I73),1)*IF(Upgrades!$T$18="Microlensing",POWER(Upgrades!$U$18,J73),1)*IF(Upgrades!$T$19="Microlensing",POWER(Upgrades!$U$19,K73),1)*IF(Upgrades!$T$20="Microlensing",POWER(Upgrades!$U$20,L73),1)*IF(Upgrades!$T$21="Microlensing",POWER(Upgrades!$U$21,M73),1))*$G$6*(Parameters!$B$10/60*Parameters!$B$11+Q73)/AM73,0)</f>
        <v/>
      </c>
      <c r="BB73" s="32">
        <f>IFERROR((Upgrades!$N$16*(POWER(Upgrades!$R$13,E73)*POWER(Upgrades!$R$14,F73)*POWER(Upgrades!$R$15,G73)*POWER(Upgrades!$R$16,H73)*POWER(Upgrades!$R$17,I73)*POWER(Upgrades!$R$18,J73)*POWER(Upgrades!$R$19,K73)*POWER(Upgrades!$R$20,L73)*POWER(Upgrades!$R$21,M73))*(IF(Upgrades!$T$13="Roche Lobe Overflow",POWER(Upgrades!$U$13,E73),1)*IF(Upgrades!$T$14="Roche Lobe Overflow",POWER(Upgrades!$U$14,F73),1)*IF(Upgrades!$T$15="Roche Lobe Overflow",POWER(Upgrades!$U$15,G73),1)*IF(Upgrades!$T$17="Roche Lobe Overflow",POWER(Upgrades!$U$17,I73),1)*IF(Upgrades!$T$18="Roche Lobe Overflow",POWER(Upgrades!$U$18,J73),1)*IF(Upgrades!$T$19="Roche Lobe Overflow",POWER(Upgrades!$U$19,K73),1)*IF(Upgrades!$T$20="Roche Lobe Overflow",POWER(Upgrades!$U$20,L73),1)*IF(Upgrades!$T$21="Roche Lobe Overflow",POWER(Upgrades!$U$21,M73),1))*$H$6*O73+((IF(F73=0,0,(Upgrades!$G$14+F73*Upgrades!$H$14)*POWER(Upgrades!$I$14,F73)))*(IF(Upgrades!$T$13="Local Bubble",POWER(Upgrades!$U$13,E73),1)*IF(Upgrades!$T$15="Local Bubble",POWER(Upgrades!$U$15,G73),1)*IF(Upgrades!$T$16="Local Bubble",POWER(Upgrades!$U$16,H73),1)*IF(Upgrades!$T$17="Local Bubble",POWER(Upgrades!$U$17,I73),1)*IF(Upgrades!$T$18="Local Bubble",POWER(Upgrades!$U$18,J73),1)*IF(Upgrades!$T$19="Local Bubble",POWER(Upgrades!$U$19,K73),1)*IF(Upgrades!$T$20="Local Bubble",POWER(Upgrades!$U$20,L73),1)*IF(Upgrades!$T$21="Local Bubble",POWER(Upgrades!$U$21,M73),1))*POWER(Upgrades!$P$13,E73)*POWER(Upgrades!$P$14,F73)*POWER(Upgrades!$P$15,G73)*POWER(Upgrades!$P$16,H73)*POWER(Upgrades!$P$17,I73)*POWER(Upgrades!$P$18,J73)*POWER(Upgrades!$P$19,K73)*POWER(Upgrades!$P$20,L73)*POWER(Upgrades!$P$21,M73)*$F$6)*0.05)/AN73,0)</f>
        <v/>
      </c>
      <c r="BC73" s="32">
        <f>IFERROR((Upgrades!$H$17*(POWER(Upgrades!$P$13,E73)*POWER(Upgrades!$P$14,F73)*POWER(Upgrades!$P$15,G73)*POWER(Upgrades!$P$16,H73)*POWER(Upgrades!$P$17,I73)*POWER(Upgrades!$P$18,J73)*POWER(Upgrades!$P$19,K73)*POWER(Upgrades!$P$20,L73)*POWER(Upgrades!$P$21,M73))*(IF(Upgrades!$T$13="Brown Dwarf",POWER(Upgrades!$U$13,E73),1)*IF(Upgrades!$T$14="Brown Dwarf",POWER(Upgrades!$U$14,F73),1)*IF(Upgrades!$T$15="Brown Dwarf",POWER(Upgrades!$U$15,G73),1)*IF(Upgrades!$T$16="Brown Dwarf",POWER(Upgrades!$U$16,H73),1)*IF(Upgrades!$T$18="Brown Dwarf",POWER(Upgrades!$U$18,J73),1)*IF(Upgrades!$T$19="Brown Dwarf",POWER(Upgrades!$U$19,K73),1)*IF(Upgrades!$T$20="Brown Dwarf",POWER(Upgrades!$U$20,L73),1)*IF(Upgrades!$T$21="Brown Dwarf",POWER(Upgrades!$U$21,M73),1))*$F$6+(((IF(H73=0,0,(Upgrades!$M$16+H73*Upgrades!$N$16)*POWER(Upgrades!$O$16,H73)))*(IF(Upgrades!$T$13="Roche Lobe Overflow",POWER(Upgrades!$U$13,E73),1)*IF(Upgrades!$T$14="Roche Lobe Overflow",POWER(Upgrades!$U$14,F73),1)*IF(Upgrades!$T$15="Roche Lobe Overflow",POWER(Upgrades!$U$15,G73),1)*IF(Upgrades!$T$17="Roche Lobe Overflow",POWER(Upgrades!$U$17,I73),1)*IF(Upgrades!$T$18="Roche Lobe Overflow",POWER(Upgrades!$U$18,J73),1)*IF(Upgrades!$T$19="Roche Lobe Overflow",POWER(Upgrades!$U$19,K73),1)*IF(Upgrades!$T$20="Roche Lobe Overflow",POWER(Upgrades!$U$20,L73),1)*IF(Upgrades!$T$21="Roche Lobe Overflow",POWER(Upgrades!$U$21,M73),1))*POWER(Upgrades!$R$13,E73)*POWER(Upgrades!$R$14,F73)*POWER(Upgrades!$R$15,G73)*POWER(Upgrades!$R$16,H73)*POWER(Upgrades!$R$17,I73)*POWER(Upgrades!$R$18,J73)*POWER(Upgrades!$R$19,K73)*POWER(Upgrades!$R$20,L73)*POWER(Upgrades!$R$21,M73)*$H$6)*O73)*0.10)/AO73,0)</f>
        <v/>
      </c>
      <c r="BD73" s="32">
        <f>MAX(IF(J73&gt;0,0,IFERROR(0.5*((IF(G73=0,0,(Upgrades!$J$15+G73*Upgrades!$K$15)*POWER(Upgrades!$L$15,G73)))*(IF(Upgrades!$T$13="Microlensing",POWER(Upgrades!$U$13,E73),1)*IF(Upgrades!$T$14="Microlensing",POWER(Upgrades!$U$14,F73),1)*IF(Upgrades!$T$16="Microlensing",POWER(Upgrades!$U$16,H73),1)*IF(Upgrades!$T$17="Microlensing",POWER(Upgrades!$U$17,I73),1)*IF(Upgrades!$T$18="Microlensing",POWER(Upgrades!$U$18,J73),1)*IF(Upgrades!$T$19="Microlensing",POWER(Upgrades!$U$19,K73),1)*IF(Upgrades!$T$20="Microlensing",POWER(Upgrades!$U$20,L73),1)*IF(Upgrades!$T$21="Microlensing",POWER(Upgrades!$U$21,M73),1))*(POWER(Upgrades!$Q$13,E73)*POWER(Upgrades!$Q$14,F73)*POWER(Upgrades!$Q$15,G73)*POWER(Upgrades!$Q$16,H73)*POWER(Upgrades!$Q$17,I73)*POWER(Upgrades!$Q$18,J73)*POWER(Upgrades!$Q$19,K73)*POWER(Upgrades!$Q$20,L73)*POWER(Upgrades!$Q$21,M73))*$G$6*(Parameters!$B$10/60*Parameters!$B$11+Q73))/Upgrades!$C$18,0)),IF(K73&gt;0,0,IFERROR(0.30*P73/Upgrades!$C$19,0)),IF(L73&gt;0,0,IFERROR(0.0001/Upgrades!$C$20,0)),IF(M73&gt;0,0,IFERROR((6.0*(POWER(Upgrades!$P$13,E73)*POWER(Upgrades!$P$14,F73)*POWER(Upgrades!$P$15,G73)*POWER(Upgrades!$P$16,H73)*POWER(Upgrades!$P$17,I73)*POWER(Upgrades!$P$18,J73)*POWER(Upgrades!$P$19,K73)*POWER(Upgrades!$P$20,L73)*POWER(Upgrades!$P$21,M73))*$F$6+0.20*O73*(Parameters!$B$10/60*Parameters!$B$11+Q73))/Upgrades!$C$21,0)),IF(AND(ISNUMBER(AK73),AK73&gt;(C73+T73)),AY73,0),IF(AND(ISNUMBER(AL73),AL73&gt;(C73+T73)),AZ73,0),IF(AND(ISNUMBER(AM73),AM73&gt;(C73+T73)),BA73,0),IF(AND(ISNUMBER(AN73),AN73&gt;(C73+T73)),BB73,0),IF(AND(ISNUMBER(AO73),AO73&gt;(C73+T73)),BC73,0))</f>
        <v/>
      </c>
      <c r="BE73" s="29">
        <f>IF(AT73=1,"transition",IF(MIN(IF(AND(J73=0,ISNUMBER(AP73),AP73&lt;=(C73+T73)),AP73,9E15),IF(AND(K73=0,ISNUMBER(AQ73),AQ73&lt;=(C73+T73)),AQ73,9E15),IF(AND(L73=0,ISNUMBER(AR73),AR73&lt;=(C73+T73)),AR73,9E15),IF(AND(M73=0,ISNUMBER(AS73),AS73&lt;=(C73+T73)),AS73,9E15))&lt;9E15,IF(AND(AND(J73=0,ISNUMBER(AP73),AP73&lt;=(C73+T73)),AP73=MIN(IF(AND(J73=0,ISNUMBER(AP73),AP73&lt;=(C73+T73)),AP73,9E15),IF(AND(K73=0,ISNUMBER(AQ73),AQ73&lt;=(C73+T73)),AQ73,9E15),IF(AND(L73=0,ISNUMBER(AR73),AR73&lt;=(C73+T73)),AR73,9E15),IF(AND(M73=0,ISNUMBER(AS73),AS73&lt;=(C73+T73)),AS73,9E15))),"BiP",IF(AND(AND(K73=0,ISNUMBER(AQ73),AQ73&lt;=(C73+T73)),AQ73=MIN(IF(AND(J73=0,ISNUMBER(AP73),AP73&lt;=(C73+T73)),AP73,9E15),IF(AND(K73=0,ISNUMBER(AQ73),AQ73&lt;=(C73+T73)),AQ73,9E15),IF(AND(L73=0,ISNUMBER(AR73),AR73&lt;=(C73+T73)),AR73,9E15),IF(AND(M73=0,ISNUMBER(AS73),AS73&lt;=(C73+T73)),AS73,9E15))),"PV",IF(AND(AND(L73=0,ISNUMBER(AR73),AR73&lt;=(C73+T73)),AR73=MIN(IF(AND(J73=0,ISNUMBER(AP73),AP73&lt;=(C73+T73)),AP73,9E15),IF(AND(K73=0,ISNUMBER(AQ73),AQ73&lt;=(C73+T73)),AQ73,9E15),IF(AND(L73=0,ISNUMBER(AR73),AR73&lt;=(C73+T73)),AR73,9E15),IF(AND(M73=0,ISNUMBER(AS73),AS73&lt;=(C73+T73)),AS73,9E15))),"OC","MG"))),IF(AX73=TRUE,"",IF(MAX(IF(AND(NOT(AND(AU73=1,AT73&lt;&gt;1)),ISNUMBER(AK73),AK73&lt;=(C73+T73)),AY73,0),IF(AND(NOT(AND(AU73=1,AT73&lt;&gt;1)),ISNUMBER(AL73),AL73&lt;=(C73+T73)),AZ73,0),IF(AND(NOT(AND(AU73=1,AT73&lt;&gt;1)),ISNUMBER(AM73),AM73&lt;=(C73+T73)),BA73,0),IF(AND(NOT(AND(AU73=1,AT73&lt;&gt;1)),ISNUMBER(AN73),AN73&lt;=(C73+T73)),BB73,0),IF(AND(ISNUMBER(AO73),AO73&lt;=(C73+T73)),BC73,0))&lt;=0,"",IF(AND(IF(AND(NOT(AND(AU73=1,AT73&lt;&gt;1)),ISNUMBER(AK73),AK73&lt;=(C73+T73)),AY73,0)&gt;0,IF(AND(NOT(AND(AU73=1,AT73&lt;&gt;1)),ISNUMBER(AK73),AK73&lt;=(C73+T73)),AY73,0)=MAX(IF(AND(NOT(AND(AU73=1,AT73&lt;&gt;1)),ISNUMBER(AK73),AK73&lt;=(C73+T73)),AY73,0),IF(AND(NOT(AND(AU73=1,AT73&lt;&gt;1)),ISNUMBER(AL73),AL73&lt;=(C73+T73)),AZ73,0),IF(AND(NOT(AND(AU73=1,AT73&lt;&gt;1)),ISNUMBER(AM73),AM73&lt;=(C73+T73)),BA73,0),IF(AND(NOT(AND(AU73=1,AT73&lt;&gt;1)),ISNUMBER(AN73),AN73&lt;=(C73+T73)),BB73,0),IF(AND(ISNUMBER(AO73),AO73&lt;=(C73+T73)),BC73,0))),"SK",IF(AND(IF(AND(NOT(AND(AU73=1,AT73&lt;&gt;1)),ISNUMBER(AL73),AL73&lt;=(C73+T73)),AZ73,0)&gt;0,IF(AND(NOT(AND(AU73=1,AT73&lt;&gt;1)),ISNUMBER(AL73),AL73&lt;=(C73+T73)),AZ73,0)=MAX(IF(AND(NOT(AND(AU73=1,AT73&lt;&gt;1)),ISNUMBER(AK73),AK73&lt;=(C73+T73)),AY73,0),IF(AND(NOT(AND(AU73=1,AT73&lt;&gt;1)),ISNUMBER(AL73),AL73&lt;=(C73+T73)),AZ73,0),IF(AND(NOT(AND(AU73=1,AT73&lt;&gt;1)),ISNUMBER(AM73),AM73&lt;=(C73+T73)),BA73,0),IF(AND(NOT(AND(AU73=1,AT73&lt;&gt;1)),ISNUMBER(AN73),AN73&lt;=(C73+T73)),BB73,0),IF(AND(ISNUMBER(AO73),AO73&lt;=(C73+T73)),BC73,0))),"LB",IF(AND(IF(AND(NOT(AND(AU73=1,AT73&lt;&gt;1)),ISNUMBER(AM73),AM73&lt;=(C73+T73)),BA73,0)&gt;0,IF(AND(NOT(AND(AU73=1,AT73&lt;&gt;1)),ISNUMBER(AM73),AM73&lt;=(C73+T73)),BA73,0)=MAX(IF(AND(NOT(AND(AU73=1,AT73&lt;&gt;1)),ISNUMBER(AK73),AK73&lt;=(C73+T73)),AY73,0),IF(AND(NOT(AND(AU73=1,AT73&lt;&gt;1)),ISNUMBER(AL73),AL73&lt;=(C73+T73)),AZ73,0),IF(AND(NOT(AND(AU73=1,AT73&lt;&gt;1)),ISNUMBER(AM73),AM73&lt;=(C73+T73)),BA73,0),IF(AND(NOT(AND(AU73=1,AT73&lt;&gt;1)),ISNUMBER(AN73),AN73&lt;=(C73+T73)),BB73,0),IF(AND(ISNUMBER(AO73),AO73&lt;=(C73+T73)),BC73,0))),"ML",IF(AND(IF(AND(NOT(AND(AU73=1,AT73&lt;&gt;1)),ISNUMBER(AN73),AN73&lt;=(C73+T73)),BB73,0)&gt;0,IF(AND(NOT(AND(AU73=1,AT73&lt;&gt;1)),ISNUMBER(AN73),AN73&lt;=(C73+T73)),BB73,0)=MAX(IF(AND(NOT(AND(AU73=1,AT73&lt;&gt;1)),ISNUMBER(AK73),AK73&lt;=(C73+T73)),AY73,0),IF(AND(NOT(AND(AU73=1,AT73&lt;&gt;1)),ISNUMBER(AL73),AL73&lt;=(C73+T73)),AZ73,0),IF(AND(NOT(AND(AU73=1,AT73&lt;&gt;1)),ISNUMBER(AM73),AM73&lt;=(C73+T73)),BA73,0),IF(AND(NOT(AND(AU73=1,AT73&lt;&gt;1)),ISNUMBER(AN73),AN73&lt;=(C73+T73)),BB73,0),IF(AND(ISNUMBER(AO73),AO73&lt;=(C73+T73)),BC73,0))),"RLO","BD"))))))))</f>
        <v/>
      </c>
    </row>
    <row r="74">
      <c r="A74" s="26" t="n">
        <v>63</v>
      </c>
      <c r="B74" s="27">
        <f>A74*10/60</f>
        <v/>
      </c>
      <c r="C74" s="22">
        <f>X73</f>
        <v/>
      </c>
      <c r="D74" s="27">
        <f>D73+W73</f>
        <v/>
      </c>
      <c r="E74" s="26">
        <f>E73+IF(U73="SK",1,0)</f>
        <v/>
      </c>
      <c r="F74" s="26">
        <f>F73+IF(U73="LB",1,0)</f>
        <v/>
      </c>
      <c r="G74" s="26">
        <f>G73+IF(U73="ML",1,0)</f>
        <v/>
      </c>
      <c r="H74" s="26">
        <f>H73+IF(U73="RLO",1,0)</f>
        <v/>
      </c>
      <c r="I74" s="26">
        <f>I73+IF(U73="BD",1,0)</f>
        <v/>
      </c>
      <c r="J74" s="26">
        <f>MAX(J73,IF(U73="BiP",1,0))</f>
        <v/>
      </c>
      <c r="K74" s="26">
        <f>MAX(K73,IF(U73="PV",1,0))</f>
        <v/>
      </c>
      <c r="L74" s="26">
        <f>MAX(L73,IF(U73="OC",1,0))</f>
        <v/>
      </c>
      <c r="M74" s="26">
        <f>MAX(M73,IF(U73="MG",1,0))</f>
        <v/>
      </c>
      <c r="N74" s="26">
        <f>MAX(N73,IF(U73="transition",1,0))</f>
        <v/>
      </c>
      <c r="O74" s="28">
        <f>(Parameters!$B$9+(IF(E74=0,0,(Upgrades!$J$13+E74*Upgrades!$K$13)*POWER(Upgrades!$L$13,E74)))*(IF(Upgrades!$T$14="Stellar Kinematics",POWER(Upgrades!$U$14,F74),1)*IF(Upgrades!$T$15="Stellar Kinematics",POWER(Upgrades!$U$15,G74),1)*IF(Upgrades!$T$16="Stellar Kinematics",POWER(Upgrades!$U$16,H74),1)*IF(Upgrades!$T$17="Stellar Kinematics",POWER(Upgrades!$U$17,I74),1)*IF(Upgrades!$T$18="Stellar Kinematics",POWER(Upgrades!$U$18,J74),1)*IF(Upgrades!$T$19="Stellar Kinematics",POWER(Upgrades!$U$19,K74),1)*IF(Upgrades!$T$20="Stellar Kinematics",POWER(Upgrades!$U$20,L74),1)*IF(Upgrades!$T$21="Stellar Kinematics",POWER(Upgrades!$U$21,M74),1))+(IF(F74=0,0,(Upgrades!$J$14+F74*Upgrades!$K$14)*POWER(Upgrades!$L$14,F74)))*(IF(Upgrades!$T$13="Local Bubble",POWER(Upgrades!$U$13,E74),1)*IF(Upgrades!$T$15="Local Bubble",POWER(Upgrades!$U$15,G74),1)*IF(Upgrades!$T$16="Local Bubble",POWER(Upgrades!$U$16,H74),1)*IF(Upgrades!$T$17="Local Bubble",POWER(Upgrades!$U$17,I74),1)*IF(Upgrades!$T$18="Local Bubble",POWER(Upgrades!$U$18,J74),1)*IF(Upgrades!$T$19="Local Bubble",POWER(Upgrades!$U$19,K74),1)*IF(Upgrades!$T$20="Local Bubble",POWER(Upgrades!$U$20,L74),1)*IF(Upgrades!$T$21="Local Bubble",POWER(Upgrades!$U$21,M74),1))+(IF(G74=0,0,(Upgrades!$J$15+G74*Upgrades!$K$15)*POWER(Upgrades!$L$15,G74)))*(IF(Upgrades!$T$13="Microlensing",POWER(Upgrades!$U$13,E74),1)*IF(Upgrades!$T$14="Microlensing",POWER(Upgrades!$U$14,F74),1)*IF(Upgrades!$T$16="Microlensing",POWER(Upgrades!$U$16,H74),1)*IF(Upgrades!$T$17="Microlensing",POWER(Upgrades!$U$17,I74),1)*IF(Upgrades!$T$18="Microlensing",POWER(Upgrades!$U$18,J74),1)*IF(Upgrades!$T$19="Microlensing",POWER(Upgrades!$U$19,K74),1)*IF(Upgrades!$T$20="Microlensing",POWER(Upgrades!$U$20,L74),1)*IF(Upgrades!$T$21="Microlensing",POWER(Upgrades!$U$21,M74),1))+(IF(H74=0,0,(Upgrades!$J$16+H74*Upgrades!$K$16)*POWER(Upgrades!$L$16,H74)))*(IF(Upgrades!$T$13="Roche Lobe Overflow",POWER(Upgrades!$U$13,E74),1)*IF(Upgrades!$T$14="Roche Lobe Overflow",POWER(Upgrades!$U$14,F74),1)*IF(Upgrades!$T$15="Roche Lobe Overflow",POWER(Upgrades!$U$15,G74),1)*IF(Upgrades!$T$17="Roche Lobe Overflow",POWER(Upgrades!$U$17,I74),1)*IF(Upgrades!$T$18="Roche Lobe Overflow",POWER(Upgrades!$U$18,J74),1)*IF(Upgrades!$T$19="Roche Lobe Overflow",POWER(Upgrades!$U$19,K74),1)*IF(Upgrades!$T$20="Roche Lobe Overflow",POWER(Upgrades!$U$20,L74),1)*IF(Upgrades!$T$21="Roche Lobe Overflow",POWER(Upgrades!$U$21,M74),1))+(IF(I74=0,0,(Upgrades!$J$17+I74*Upgrades!$K$17)*POWER(Upgrades!$L$17,I74)))*(IF(Upgrades!$T$13="Brown Dwarf",POWER(Upgrades!$U$13,E74),1)*IF(Upgrades!$T$14="Brown Dwarf",POWER(Upgrades!$U$14,F74),1)*IF(Upgrades!$T$15="Brown Dwarf",POWER(Upgrades!$U$15,G74),1)*IF(Upgrades!$T$16="Brown Dwarf",POWER(Upgrades!$U$16,H74),1)*IF(Upgrades!$T$18="Brown Dwarf",POWER(Upgrades!$U$18,J74),1)*IF(Upgrades!$T$19="Brown Dwarf",POWER(Upgrades!$U$19,K74),1)*IF(Upgrades!$T$20="Brown Dwarf",POWER(Upgrades!$U$20,L74),1)*IF(Upgrades!$T$21="Brown Dwarf",POWER(Upgrades!$U$21,M74),1))+(IF(J74=0,0,(Upgrades!$J$18+J74*Upgrades!$K$18)*POWER(Upgrades!$L$18,J74)))*(IF(Upgrades!$T$13="Binary Partner",POWER(Upgrades!$U$13,E74),1)*IF(Upgrades!$T$14="Binary Partner",POWER(Upgrades!$U$14,F74),1)*IF(Upgrades!$T$15="Binary Partner",POWER(Upgrades!$U$15,G74),1)*IF(Upgrades!$T$16="Binary Partner",POWER(Upgrades!$U$16,H74),1)*IF(Upgrades!$T$17="Binary Partner",POWER(Upgrades!$U$17,I74),1)*IF(Upgrades!$T$19="Binary Partner",POWER(Upgrades!$U$19,K74),1)*IF(Upgrades!$T$20="Binary Partner",POWER(Upgrades!$U$20,L74),1)*IF(Upgrades!$T$21="Binary Partner",POWER(Upgrades!$U$21,M74),1))+(IF(K74=0,0,(Upgrades!$J$19+K74*Upgrades!$K$19)*POWER(Upgrades!$L$19,K74)))*(IF(Upgrades!$T$13="Peculiar Velocity",POWER(Upgrades!$U$13,E74),1)*IF(Upgrades!$T$14="Peculiar Velocity",POWER(Upgrades!$U$14,F74),1)*IF(Upgrades!$T$15="Peculiar Velocity",POWER(Upgrades!$U$15,G74),1)*IF(Upgrades!$T$16="Peculiar Velocity",POWER(Upgrades!$U$16,H74),1)*IF(Upgrades!$T$17="Peculiar Velocity",POWER(Upgrades!$U$17,I74),1)*IF(Upgrades!$T$18="Peculiar Velocity",POWER(Upgrades!$U$18,J74),1)*IF(Upgrades!$T$20="Peculiar Velocity",POWER(Upgrades!$U$20,L74),1)*IF(Upgrades!$T$21="Peculiar Velocity",POWER(Upgrades!$U$21,M74),1))+(IF(L74=0,0,(Upgrades!$J$20+L74*Upgrades!$K$20)*POWER(Upgrades!$L$20,L74)))*(IF(Upgrades!$T$13="Open Cluster",POWER(Upgrades!$U$13,E74),1)*IF(Upgrades!$T$14="Open Cluster",POWER(Upgrades!$U$14,F74),1)*IF(Upgrades!$T$15="Open Cluster",POWER(Upgrades!$U$15,G74),1)*IF(Upgrades!$T$16="Open Cluster",POWER(Upgrades!$U$16,H74),1)*IF(Upgrades!$T$17="Open Cluster",POWER(Upgrades!$U$17,I74),1)*IF(Upgrades!$T$18="Open Cluster",POWER(Upgrades!$U$18,J74),1)*IF(Upgrades!$T$19="Open Cluster",POWER(Upgrades!$U$19,K74),1)*IF(Upgrades!$T$21="Open Cluster",POWER(Upgrades!$U$21,M74),1))+(IF(M74=0,0,(Upgrades!$J$21+M74*Upgrades!$K$21)*POWER(Upgrades!$L$21,M74)))*(IF(Upgrades!$T$13="Moving Group",POWER(Upgrades!$U$13,E74),1)*IF(Upgrades!$T$14="Moving Group",POWER(Upgrades!$U$14,F74),1)*IF(Upgrades!$T$15="Moving Group",POWER(Upgrades!$U$15,G74),1)*IF(Upgrades!$T$16="Moving Group",POWER(Upgrades!$U$16,H74),1)*IF(Upgrades!$T$17="Moving Group",POWER(Upgrades!$U$17,I74),1)*IF(Upgrades!$T$18="Moving Group",POWER(Upgrades!$U$18,J74),1)*IF(Upgrades!$T$19="Moving Group",POWER(Upgrades!$U$19,K74),1)*IF(Upgrades!$T$20="Moving Group",POWER(Upgrades!$U$20,L74),1)))*POWER(Upgrades!$Q$13,E74)*POWER(Upgrades!$Q$14,F74)*POWER(Upgrades!$Q$15,G74)*POWER(Upgrades!$Q$16,H74)*POWER(Upgrades!$Q$17,I74)*POWER(Upgrades!$Q$18,J74)*POWER(Upgrades!$Q$19,K74)*POWER(Upgrades!$Q$20,L74)*POWER(Upgrades!$Q$21,M74)*$G$6+$D$6</f>
        <v/>
      </c>
      <c r="P74" s="28">
        <f>((IF(E74=0,0,(Upgrades!$G$13+E74*Upgrades!$H$13)*POWER(Upgrades!$I$13,E74)))*(IF(Upgrades!$T$14="Stellar Kinematics",POWER(Upgrades!$U$14,F74),1)*IF(Upgrades!$T$15="Stellar Kinematics",POWER(Upgrades!$U$15,G74),1)*IF(Upgrades!$T$16="Stellar Kinematics",POWER(Upgrades!$U$16,H74),1)*IF(Upgrades!$T$17="Stellar Kinematics",POWER(Upgrades!$U$17,I74),1)*IF(Upgrades!$T$18="Stellar Kinematics",POWER(Upgrades!$U$18,J74),1)*IF(Upgrades!$T$19="Stellar Kinematics",POWER(Upgrades!$U$19,K74),1)*IF(Upgrades!$T$20="Stellar Kinematics",POWER(Upgrades!$U$20,L74),1)*IF(Upgrades!$T$21="Stellar Kinematics",POWER(Upgrades!$U$21,M74),1))+(IF(F74=0,0,(Upgrades!$G$14+F74*Upgrades!$H$14)*POWER(Upgrades!$I$14,F74)))*(IF(Upgrades!$T$13="Local Bubble",POWER(Upgrades!$U$13,E74),1)*IF(Upgrades!$T$15="Local Bubble",POWER(Upgrades!$U$15,G74),1)*IF(Upgrades!$T$16="Local Bubble",POWER(Upgrades!$U$16,H74),1)*IF(Upgrades!$T$17="Local Bubble",POWER(Upgrades!$U$17,I74),1)*IF(Upgrades!$T$18="Local Bubble",POWER(Upgrades!$U$18,J74),1)*IF(Upgrades!$T$19="Local Bubble",POWER(Upgrades!$U$19,K74),1)*IF(Upgrades!$T$20="Local Bubble",POWER(Upgrades!$U$20,L74),1)*IF(Upgrades!$T$21="Local Bubble",POWER(Upgrades!$U$21,M74),1))+(IF(G74=0,0,(Upgrades!$G$15+G74*Upgrades!$H$15)*POWER(Upgrades!$I$15,G74)))*(IF(Upgrades!$T$13="Microlensing",POWER(Upgrades!$U$13,E74),1)*IF(Upgrades!$T$14="Microlensing",POWER(Upgrades!$U$14,F74),1)*IF(Upgrades!$T$16="Microlensing",POWER(Upgrades!$U$16,H74),1)*IF(Upgrades!$T$17="Microlensing",POWER(Upgrades!$U$17,I74),1)*IF(Upgrades!$T$18="Microlensing",POWER(Upgrades!$U$18,J74),1)*IF(Upgrades!$T$19="Microlensing",POWER(Upgrades!$U$19,K74),1)*IF(Upgrades!$T$20="Microlensing",POWER(Upgrades!$U$20,L74),1)*IF(Upgrades!$T$21="Microlensing",POWER(Upgrades!$U$21,M74),1))+(IF(H74=0,0,(Upgrades!$G$16+H74*Upgrades!$H$16)*POWER(Upgrades!$I$16,H74)))*(IF(Upgrades!$T$13="Roche Lobe Overflow",POWER(Upgrades!$U$13,E74),1)*IF(Upgrades!$T$14="Roche Lobe Overflow",POWER(Upgrades!$U$14,F74),1)*IF(Upgrades!$T$15="Roche Lobe Overflow",POWER(Upgrades!$U$15,G74),1)*IF(Upgrades!$T$17="Roche Lobe Overflow",POWER(Upgrades!$U$17,I74),1)*IF(Upgrades!$T$18="Roche Lobe Overflow",POWER(Upgrades!$U$18,J74),1)*IF(Upgrades!$T$19="Roche Lobe Overflow",POWER(Upgrades!$U$19,K74),1)*IF(Upgrades!$T$20="Roche Lobe Overflow",POWER(Upgrades!$U$20,L74),1)*IF(Upgrades!$T$21="Roche Lobe Overflow",POWER(Upgrades!$U$21,M74),1))+(IF(I74=0,0,(Upgrades!$G$17+I74*Upgrades!$H$17)*POWER(Upgrades!$I$17,I74)))*(IF(Upgrades!$T$13="Brown Dwarf",POWER(Upgrades!$U$13,E74),1)*IF(Upgrades!$T$14="Brown Dwarf",POWER(Upgrades!$U$14,F74),1)*IF(Upgrades!$T$15="Brown Dwarf",POWER(Upgrades!$U$15,G74),1)*IF(Upgrades!$T$16="Brown Dwarf",POWER(Upgrades!$U$16,H74),1)*IF(Upgrades!$T$18="Brown Dwarf",POWER(Upgrades!$U$18,J74),1)*IF(Upgrades!$T$19="Brown Dwarf",POWER(Upgrades!$U$19,K74),1)*IF(Upgrades!$T$20="Brown Dwarf",POWER(Upgrades!$U$20,L74),1)*IF(Upgrades!$T$21="Brown Dwarf",POWER(Upgrades!$U$21,M74),1))+(IF(J74=0,0,(Upgrades!$G$18+J74*Upgrades!$H$18)*POWER(Upgrades!$I$18,J74)))*(IF(Upgrades!$T$13="Binary Partner",POWER(Upgrades!$U$13,E74),1)*IF(Upgrades!$T$14="Binary Partner",POWER(Upgrades!$U$14,F74),1)*IF(Upgrades!$T$15="Binary Partner",POWER(Upgrades!$U$15,G74),1)*IF(Upgrades!$T$16="Binary Partner",POWER(Upgrades!$U$16,H74),1)*IF(Upgrades!$T$17="Binary Partner",POWER(Upgrades!$U$17,I74),1)*IF(Upgrades!$T$19="Binary Partner",POWER(Upgrades!$U$19,K74),1)*IF(Upgrades!$T$20="Binary Partner",POWER(Upgrades!$U$20,L74),1)*IF(Upgrades!$T$21="Binary Partner",POWER(Upgrades!$U$21,M74),1))+(IF(K74=0,0,(Upgrades!$G$19+K74*Upgrades!$H$19)*POWER(Upgrades!$I$19,K74)))*(IF(Upgrades!$T$13="Peculiar Velocity",POWER(Upgrades!$U$13,E74),1)*IF(Upgrades!$T$14="Peculiar Velocity",POWER(Upgrades!$U$14,F74),1)*IF(Upgrades!$T$15="Peculiar Velocity",POWER(Upgrades!$U$15,G74),1)*IF(Upgrades!$T$16="Peculiar Velocity",POWER(Upgrades!$U$16,H74),1)*IF(Upgrades!$T$17="Peculiar Velocity",POWER(Upgrades!$U$17,I74),1)*IF(Upgrades!$T$18="Peculiar Velocity",POWER(Upgrades!$U$18,J74),1)*IF(Upgrades!$T$20="Peculiar Velocity",POWER(Upgrades!$U$20,L74),1)*IF(Upgrades!$T$21="Peculiar Velocity",POWER(Upgrades!$U$21,M74),1))+(IF(L74=0,0,(Upgrades!$G$20+L74*Upgrades!$H$20)*POWER(Upgrades!$I$20,L74)))*(IF(Upgrades!$T$13="Open Cluster",POWER(Upgrades!$U$13,E74),1)*IF(Upgrades!$T$14="Open Cluster",POWER(Upgrades!$U$14,F74),1)*IF(Upgrades!$T$15="Open Cluster",POWER(Upgrades!$U$15,G74),1)*IF(Upgrades!$T$16="Open Cluster",POWER(Upgrades!$U$16,H74),1)*IF(Upgrades!$T$17="Open Cluster",POWER(Upgrades!$U$17,I74),1)*IF(Upgrades!$T$18="Open Cluster",POWER(Upgrades!$U$18,J74),1)*IF(Upgrades!$T$19="Open Cluster",POWER(Upgrades!$U$19,K74),1)*IF(Upgrades!$T$21="Open Cluster",POWER(Upgrades!$U$21,M74),1))+(IF(M74=0,0,(Upgrades!$G$21+M74*Upgrades!$H$21)*POWER(Upgrades!$I$21,M74)))*(IF(Upgrades!$T$13="Moving Group",POWER(Upgrades!$U$13,E74),1)*IF(Upgrades!$T$14="Moving Group",POWER(Upgrades!$U$14,F74),1)*IF(Upgrades!$T$15="Moving Group",POWER(Upgrades!$U$15,G74),1)*IF(Upgrades!$T$16="Moving Group",POWER(Upgrades!$U$16,H74),1)*IF(Upgrades!$T$17="Moving Group",POWER(Upgrades!$U$17,I74),1)*IF(Upgrades!$T$18="Moving Group",POWER(Upgrades!$U$18,J74),1)*IF(Upgrades!$T$19="Moving Group",POWER(Upgrades!$U$19,K74),1)*IF(Upgrades!$T$20="Moving Group",POWER(Upgrades!$U$20,L74),1)))*POWER(Upgrades!$P$13,E74)*POWER(Upgrades!$P$14,F74)*POWER(Upgrades!$P$15,G74)*POWER(Upgrades!$P$16,H74)*POWER(Upgrades!$P$17,I74)*POWER(Upgrades!$P$18,J74)*POWER(Upgrades!$P$19,K74)*POWER(Upgrades!$P$20,L74)*POWER(Upgrades!$P$21,M74)*$F$6+$C$6</f>
        <v/>
      </c>
      <c r="Q74" s="28">
        <f>((IF(E74=0,0,(Upgrades!$M$13+E74*Upgrades!$N$13)*POWER(Upgrades!$O$13,E74)))*(IF(Upgrades!$T$14="Stellar Kinematics",POWER(Upgrades!$U$14,F74),1)*IF(Upgrades!$T$15="Stellar Kinematics",POWER(Upgrades!$U$15,G74),1)*IF(Upgrades!$T$16="Stellar Kinematics",POWER(Upgrades!$U$16,H74),1)*IF(Upgrades!$T$17="Stellar Kinematics",POWER(Upgrades!$U$17,I74),1)*IF(Upgrades!$T$18="Stellar Kinematics",POWER(Upgrades!$U$18,J74),1)*IF(Upgrades!$T$19="Stellar Kinematics",POWER(Upgrades!$U$19,K74),1)*IF(Upgrades!$T$20="Stellar Kinematics",POWER(Upgrades!$U$20,L74),1)*IF(Upgrades!$T$21="Stellar Kinematics",POWER(Upgrades!$U$21,M74),1))+(IF(F74=0,0,(Upgrades!$M$14+F74*Upgrades!$N$14)*POWER(Upgrades!$O$14,F74)))*(IF(Upgrades!$T$13="Local Bubble",POWER(Upgrades!$U$13,E74),1)*IF(Upgrades!$T$15="Local Bubble",POWER(Upgrades!$U$15,G74),1)*IF(Upgrades!$T$16="Local Bubble",POWER(Upgrades!$U$16,H74),1)*IF(Upgrades!$T$17="Local Bubble",POWER(Upgrades!$U$17,I74),1)*IF(Upgrades!$T$18="Local Bubble",POWER(Upgrades!$U$18,J74),1)*IF(Upgrades!$T$19="Local Bubble",POWER(Upgrades!$U$19,K74),1)*IF(Upgrades!$T$20="Local Bubble",POWER(Upgrades!$U$20,L74),1)*IF(Upgrades!$T$21="Local Bubble",POWER(Upgrades!$U$21,M74),1))+(IF(G74=0,0,(Upgrades!$M$15+G74*Upgrades!$N$15)*POWER(Upgrades!$O$15,G74)))*(IF(Upgrades!$T$13="Microlensing",POWER(Upgrades!$U$13,E74),1)*IF(Upgrades!$T$14="Microlensing",POWER(Upgrades!$U$14,F74),1)*IF(Upgrades!$T$16="Microlensing",POWER(Upgrades!$U$16,H74),1)*IF(Upgrades!$T$17="Microlensing",POWER(Upgrades!$U$17,I74),1)*IF(Upgrades!$T$18="Microlensing",POWER(Upgrades!$U$18,J74),1)*IF(Upgrades!$T$19="Microlensing",POWER(Upgrades!$U$19,K74),1)*IF(Upgrades!$T$20="Microlensing",POWER(Upgrades!$U$20,L74),1)*IF(Upgrades!$T$21="Microlensing",POWER(Upgrades!$U$21,M74),1))+(IF(H74=0,0,(Upgrades!$M$16+H74*Upgrades!$N$16)*POWER(Upgrades!$O$16,H74)))*(IF(Upgrades!$T$13="Roche Lobe Overflow",POWER(Upgrades!$U$13,E74),1)*IF(Upgrades!$T$14="Roche Lobe Overflow",POWER(Upgrades!$U$14,F74),1)*IF(Upgrades!$T$15="Roche Lobe Overflow",POWER(Upgrades!$U$15,G74),1)*IF(Upgrades!$T$17="Roche Lobe Overflow",POWER(Upgrades!$U$17,I74),1)*IF(Upgrades!$T$18="Roche Lobe Overflow",POWER(Upgrades!$U$18,J74),1)*IF(Upgrades!$T$19="Roche Lobe Overflow",POWER(Upgrades!$U$19,K74),1)*IF(Upgrades!$T$20="Roche Lobe Overflow",POWER(Upgrades!$U$20,L74),1)*IF(Upgrades!$T$21="Roche Lobe Overflow",POWER(Upgrades!$U$21,M74),1))+(IF(I74=0,0,(Upgrades!$M$17+I74*Upgrades!$N$17)*POWER(Upgrades!$O$17,I74)))*(IF(Upgrades!$T$13="Brown Dwarf",POWER(Upgrades!$U$13,E74),1)*IF(Upgrades!$T$14="Brown Dwarf",POWER(Upgrades!$U$14,F74),1)*IF(Upgrades!$T$15="Brown Dwarf",POWER(Upgrades!$U$15,G74),1)*IF(Upgrades!$T$16="Brown Dwarf",POWER(Upgrades!$U$16,H74),1)*IF(Upgrades!$T$18="Brown Dwarf",POWER(Upgrades!$U$18,J74),1)*IF(Upgrades!$T$19="Brown Dwarf",POWER(Upgrades!$U$19,K74),1)*IF(Upgrades!$T$20="Brown Dwarf",POWER(Upgrades!$U$20,L74),1)*IF(Upgrades!$T$21="Brown Dwarf",POWER(Upgrades!$U$21,M74),1))+(IF(J74=0,0,(Upgrades!$M$18+J74*Upgrades!$N$18)*POWER(Upgrades!$O$18,J74)))*(IF(Upgrades!$T$13="Binary Partner",POWER(Upgrades!$U$13,E74),1)*IF(Upgrades!$T$14="Binary Partner",POWER(Upgrades!$U$14,F74),1)*IF(Upgrades!$T$15="Binary Partner",POWER(Upgrades!$U$15,G74),1)*IF(Upgrades!$T$16="Binary Partner",POWER(Upgrades!$U$16,H74),1)*IF(Upgrades!$T$17="Binary Partner",POWER(Upgrades!$U$17,I74),1)*IF(Upgrades!$T$19="Binary Partner",POWER(Upgrades!$U$19,K74),1)*IF(Upgrades!$T$20="Binary Partner",POWER(Upgrades!$U$20,L74),1)*IF(Upgrades!$T$21="Binary Partner",POWER(Upgrades!$U$21,M74),1))+(IF(K74=0,0,(Upgrades!$M$19+K74*Upgrades!$N$19)*POWER(Upgrades!$O$19,K74)))*(IF(Upgrades!$T$13="Peculiar Velocity",POWER(Upgrades!$U$13,E74),1)*IF(Upgrades!$T$14="Peculiar Velocity",POWER(Upgrades!$U$14,F74),1)*IF(Upgrades!$T$15="Peculiar Velocity",POWER(Upgrades!$U$15,G74),1)*IF(Upgrades!$T$16="Peculiar Velocity",POWER(Upgrades!$U$16,H74),1)*IF(Upgrades!$T$17="Peculiar Velocity",POWER(Upgrades!$U$17,I74),1)*IF(Upgrades!$T$18="Peculiar Velocity",POWER(Upgrades!$U$18,J74),1)*IF(Upgrades!$T$20="Peculiar Velocity",POWER(Upgrades!$U$20,L74),1)*IF(Upgrades!$T$21="Peculiar Velocity",POWER(Upgrades!$U$21,M74),1))+(IF(L74=0,0,(Upgrades!$M$20+L74*Upgrades!$N$20)*POWER(Upgrades!$O$20,L74)))*(IF(Upgrades!$T$13="Open Cluster",POWER(Upgrades!$U$13,E74),1)*IF(Upgrades!$T$14="Open Cluster",POWER(Upgrades!$U$14,F74),1)*IF(Upgrades!$T$15="Open Cluster",POWER(Upgrades!$U$15,G74),1)*IF(Upgrades!$T$16="Open Cluster",POWER(Upgrades!$U$16,H74),1)*IF(Upgrades!$T$17="Open Cluster",POWER(Upgrades!$U$17,I74),1)*IF(Upgrades!$T$18="Open Cluster",POWER(Upgrades!$U$18,J74),1)*IF(Upgrades!$T$19="Open Cluster",POWER(Upgrades!$U$19,K74),1)*IF(Upgrades!$T$21="Open Cluster",POWER(Upgrades!$U$21,M74),1))+(IF(M74=0,0,(Upgrades!$M$21+M74*Upgrades!$N$21)*POWER(Upgrades!$O$21,M74)))*(IF(Upgrades!$T$13="Moving Group",POWER(Upgrades!$U$13,E74),1)*IF(Upgrades!$T$14="Moving Group",POWER(Upgrades!$U$14,F74),1)*IF(Upgrades!$T$15="Moving Group",POWER(Upgrades!$U$15,G74),1)*IF(Upgrades!$T$16="Moving Group",POWER(Upgrades!$U$16,H74),1)*IF(Upgrades!$T$17="Moving Group",POWER(Upgrades!$U$17,I74),1)*IF(Upgrades!$T$18="Moving Group",POWER(Upgrades!$U$18,J74),1)*IF(Upgrades!$T$19="Moving Group",POWER(Upgrades!$U$19,K74),1)*IF(Upgrades!$T$20="Moving Group",POWER(Upgrades!$U$20,L74),1)))*POWER(Upgrades!$R$13,E74)*POWER(Upgrades!$R$14,F74)*POWER(Upgrades!$R$15,G74)*POWER(Upgrades!$R$16,H74)*POWER(Upgrades!$R$17,I74)*POWER(Upgrades!$R$18,J74)*POWER(Upgrades!$R$19,K74)*POWER(Upgrades!$R$20,L74)*POWER(Upgrades!$R$21,M74)*$H$6+$E$6</f>
        <v/>
      </c>
      <c r="R74" s="27">
        <f>IF(N74=1,0,O74*Parameters!$B$10/60*Parameters!$B$11*10)</f>
        <v/>
      </c>
      <c r="S74" s="27">
        <f>IF(N74=1,0,Q74*O74*10)</f>
        <v/>
      </c>
      <c r="T74" s="27">
        <f>IF(N74=1,0,R74+S74+P74*10)</f>
        <v/>
      </c>
      <c r="U74" s="33">
        <f>BE74</f>
        <v/>
      </c>
      <c r="V74" s="22">
        <f>IF(U74="",0,IF(U74="transition",0,IF(U74="SK",AK74,IF(U74="LB",AL74,IF(U74="ML",AM74,IF(U74="RLO",AN74,IF(U74="BD",AO74,IF(U74="BiP",AP74,IF(U74="PV",AQ74,IF(U74="OC",AR74,IF(U74="MG",AS74,0))))))))))</f>
        <v/>
      </c>
      <c r="W74" s="27">
        <f>IF(U74="BiP",Upgrades!$F$18,IF(U74="PV",Upgrades!$F$19,IF(U74="OC",Upgrades!$F$20,IF(U74="MG",Upgrades!$F$21,IF(U74="transition",-Parameters!$B$18*Parameters!$B$19,0)))))</f>
        <v/>
      </c>
      <c r="X74" s="22">
        <f>C74+T74-V74</f>
        <v/>
      </c>
      <c r="Y74" s="30">
        <f>O74*Parameters!$B$10/60*Parameters!$B$11+Q74*O74+P74</f>
        <v/>
      </c>
      <c r="Z74" s="34">
        <f>IF(U74="transition","→ Tier 3 (Galactic Arm)",IF(U74="MG","Moving Group — pocket drifts together",IF(U74="OC","Open Cluster acquired",IF(U74="PV","Peculiar Velocity — passive multiplier active",IF(U74="BiP","Binary Partner — pair bond formed",IF(AND(AU74=1,N74=0,AT74&lt;&gt;1),"Cohesion ready (waiting on completionists)","")))))) </f>
        <v/>
      </c>
      <c r="AA74" s="27">
        <f>(IF(E74=0,0,(Upgrades!$G$13+E74*Upgrades!$H$13)*POWER(Upgrades!$I$13,E74)))*(IF(Upgrades!$T$14="Stellar Kinematics",POWER(Upgrades!$U$14,F74),1)*IF(Upgrades!$T$15="Stellar Kinematics",POWER(Upgrades!$U$15,G74),1)*IF(Upgrades!$T$16="Stellar Kinematics",POWER(Upgrades!$U$16,H74),1)*IF(Upgrades!$T$17="Stellar Kinematics",POWER(Upgrades!$U$17,I74),1)*IF(Upgrades!$T$18="Stellar Kinematics",POWER(Upgrades!$U$18,J74),1)*IF(Upgrades!$T$19="Stellar Kinematics",POWER(Upgrades!$U$19,K74),1)*IF(Upgrades!$T$20="Stellar Kinematics",POWER(Upgrades!$U$20,L74),1)*IF(Upgrades!$T$21="Stellar Kinematics",POWER(Upgrades!$U$21,M74),1))*POWER(Upgrades!$P$13,E74)*POWER(Upgrades!$P$14,F74)*POWER(Upgrades!$P$15,G74)*POWER(Upgrades!$P$16,H74)*POWER(Upgrades!$P$17,I74)*POWER(Upgrades!$P$18,J74)*POWER(Upgrades!$P$19,K74)*POWER(Upgrades!$P$20,L74)*POWER(Upgrades!$P$21,M74)*$F$6*60</f>
        <v/>
      </c>
      <c r="AB74" s="27">
        <f>(IF(F74=0,0,(Upgrades!$G$14+F74*Upgrades!$H$14)*POWER(Upgrades!$I$14,F74)))*(IF(Upgrades!$T$13="Local Bubble",POWER(Upgrades!$U$13,E74),1)*IF(Upgrades!$T$15="Local Bubble",POWER(Upgrades!$U$15,G74),1)*IF(Upgrades!$T$16="Local Bubble",POWER(Upgrades!$U$16,H74),1)*IF(Upgrades!$T$17="Local Bubble",POWER(Upgrades!$U$17,I74),1)*IF(Upgrades!$T$18="Local Bubble",POWER(Upgrades!$U$18,J74),1)*IF(Upgrades!$T$19="Local Bubble",POWER(Upgrades!$U$19,K74),1)*IF(Upgrades!$T$20="Local Bubble",POWER(Upgrades!$U$20,L74),1)*IF(Upgrades!$T$21="Local Bubble",POWER(Upgrades!$U$21,M74),1))*POWER(Upgrades!$P$13,E74)*POWER(Upgrades!$P$14,F74)*POWER(Upgrades!$P$15,G74)*POWER(Upgrades!$P$16,H74)*POWER(Upgrades!$P$17,I74)*POWER(Upgrades!$P$18,J74)*POWER(Upgrades!$P$19,K74)*POWER(Upgrades!$P$20,L74)*POWER(Upgrades!$P$21,M74)*$F$6*60</f>
        <v/>
      </c>
      <c r="AC74" s="27">
        <f>(IF(G74=0,0,(Upgrades!$J$15+G74*Upgrades!$K$15)*POWER(Upgrades!$L$15,G74)))*(IF(Upgrades!$T$13="Microlensing",POWER(Upgrades!$U$13,E74),1)*IF(Upgrades!$T$14="Microlensing",POWER(Upgrades!$U$14,F74),1)*IF(Upgrades!$T$16="Microlensing",POWER(Upgrades!$U$16,H74),1)*IF(Upgrades!$T$17="Microlensing",POWER(Upgrades!$U$17,I74),1)*IF(Upgrades!$T$18="Microlensing",POWER(Upgrades!$U$18,J74),1)*IF(Upgrades!$T$19="Microlensing",POWER(Upgrades!$U$19,K74),1)*IF(Upgrades!$T$20="Microlensing",POWER(Upgrades!$U$20,L74),1)*IF(Upgrades!$T$21="Microlensing",POWER(Upgrades!$U$21,M74),1))*POWER(Upgrades!$Q$13,E74)*POWER(Upgrades!$Q$14,F74)*POWER(Upgrades!$Q$15,G74)*POWER(Upgrades!$Q$16,H74)*POWER(Upgrades!$Q$17,I74)*POWER(Upgrades!$Q$18,J74)*POWER(Upgrades!$Q$19,K74)*POWER(Upgrades!$Q$20,L74)*POWER(Upgrades!$Q$21,M74)*$G$6*(Parameters!$B$10*Parameters!$B$11+Q74*60)</f>
        <v/>
      </c>
      <c r="AD74" s="27">
        <f>(IF(H74=0,0,(Upgrades!$M$16+H74*Upgrades!$N$16)*POWER(Upgrades!$O$16,H74)))*(IF(Upgrades!$T$13="Roche Lobe Overflow",POWER(Upgrades!$U$13,E74),1)*IF(Upgrades!$T$14="Roche Lobe Overflow",POWER(Upgrades!$U$14,F74),1)*IF(Upgrades!$T$15="Roche Lobe Overflow",POWER(Upgrades!$U$15,G74),1)*IF(Upgrades!$T$17="Roche Lobe Overflow",POWER(Upgrades!$U$17,I74),1)*IF(Upgrades!$T$18="Roche Lobe Overflow",POWER(Upgrades!$U$18,J74),1)*IF(Upgrades!$T$19="Roche Lobe Overflow",POWER(Upgrades!$U$19,K74),1)*IF(Upgrades!$T$20="Roche Lobe Overflow",POWER(Upgrades!$U$20,L74),1)*IF(Upgrades!$T$21="Roche Lobe Overflow",POWER(Upgrades!$U$21,M74),1))*POWER(Upgrades!$R$13,E74)*POWER(Upgrades!$R$14,F74)*POWER(Upgrades!$R$15,G74)*POWER(Upgrades!$R$16,H74)*POWER(Upgrades!$R$17,I74)*POWER(Upgrades!$R$18,J74)*POWER(Upgrades!$R$19,K74)*POWER(Upgrades!$R$20,L74)*POWER(Upgrades!$R$21,M74)*$H$6*O74*60</f>
        <v/>
      </c>
      <c r="AE74" s="27">
        <f>(IF(I74=0,0,(Upgrades!$G$17+I74*Upgrades!$H$17)*POWER(Upgrades!$I$17,I74)))*(IF(Upgrades!$T$13="Brown Dwarf",POWER(Upgrades!$U$13,E74),1)*IF(Upgrades!$T$14="Brown Dwarf",POWER(Upgrades!$U$14,F74),1)*IF(Upgrades!$T$15="Brown Dwarf",POWER(Upgrades!$U$15,G74),1)*IF(Upgrades!$T$16="Brown Dwarf",POWER(Upgrades!$U$16,H74),1)*IF(Upgrades!$T$18="Brown Dwarf",POWER(Upgrades!$U$18,J74),1)*IF(Upgrades!$T$19="Brown Dwarf",POWER(Upgrades!$U$19,K74),1)*IF(Upgrades!$T$20="Brown Dwarf",POWER(Upgrades!$U$20,L74),1)*IF(Upgrades!$T$21="Brown Dwarf",POWER(Upgrades!$U$21,M74),1))*POWER(Upgrades!$P$13,E74)*POWER(Upgrades!$P$14,F74)*POWER(Upgrades!$P$15,G74)*POWER(Upgrades!$P$16,H74)*POWER(Upgrades!$P$17,I74)*POWER(Upgrades!$P$18,J74)*POWER(Upgrades!$P$19,K74)*POWER(Upgrades!$P$20,L74)*POWER(Upgrades!$P$21,M74)*$F$6*60</f>
        <v/>
      </c>
      <c r="AF74" s="27" t="n">
        <v>0</v>
      </c>
      <c r="AG74" s="27" t="n">
        <v>0</v>
      </c>
      <c r="AH74" s="27" t="n">
        <v>0</v>
      </c>
      <c r="AI74" s="27">
        <f>(IF(M74=0,0,(Upgrades!$G$21+M74*Upgrades!$H$21)*POWER(Upgrades!$I$21,M74)))*(IF(Upgrades!$T$13="Moving Group",POWER(Upgrades!$U$13,E74),1)*IF(Upgrades!$T$14="Moving Group",POWER(Upgrades!$U$14,F74),1)*IF(Upgrades!$T$15="Moving Group",POWER(Upgrades!$U$15,G74),1)*IF(Upgrades!$T$16="Moving Group",POWER(Upgrades!$U$16,H74),1)*IF(Upgrades!$T$17="Moving Group",POWER(Upgrades!$U$17,I74),1)*IF(Upgrades!$T$18="Moving Group",POWER(Upgrades!$U$18,J74),1)*IF(Upgrades!$T$19="Moving Group",POWER(Upgrades!$U$19,K74),1)*IF(Upgrades!$T$20="Moving Group",POWER(Upgrades!$U$20,L74),1))*POWER(Upgrades!$P$13,E74)*POWER(Upgrades!$P$14,F74)*POWER(Upgrades!$P$15,G74)*POWER(Upgrades!$P$16,H74)*POWER(Upgrades!$P$17,I74)*POWER(Upgrades!$P$18,J74)*POWER(Upgrades!$P$19,K74)*POWER(Upgrades!$P$20,L74)*POWER(Upgrades!$P$21,M74)*$F$6*60</f>
        <v/>
      </c>
      <c r="AJ74" s="27">
        <f>$C$6*60</f>
        <v/>
      </c>
      <c r="AK74" s="22">
        <f>IF(E74&gt;=Upgrades!$E$13,"",Upgrades!$C$13*POWER(Upgrades!$D$13,E74))</f>
        <v/>
      </c>
      <c r="AL74" s="22">
        <f>IF(F74&gt;=Upgrades!$E$14,"",Upgrades!$C$14*POWER(Upgrades!$D$14,F74))</f>
        <v/>
      </c>
      <c r="AM74" s="22">
        <f>IF(G74&gt;=Upgrades!$E$15,"",Upgrades!$C$15*POWER(Upgrades!$D$15,G74))</f>
        <v/>
      </c>
      <c r="AN74" s="22">
        <f>IF(H74&gt;=Upgrades!$E$16,"",Upgrades!$C$16*POWER(Upgrades!$D$16,H74))</f>
        <v/>
      </c>
      <c r="AO74" s="22">
        <f>IF(I74&gt;=Upgrades!$E$17,"",Upgrades!$C$17*POWER(Upgrades!$D$17,I74))</f>
        <v/>
      </c>
      <c r="AP74" s="22">
        <f>IF(J74&gt;=Upgrades!$E$18,"",Upgrades!$C$18*POWER(Upgrades!$D$18,J74))</f>
        <v/>
      </c>
      <c r="AQ74" s="22">
        <f>IF(K74&gt;=Upgrades!$E$19,"",Upgrades!$C$19*POWER(Upgrades!$D$19,K74))</f>
        <v/>
      </c>
      <c r="AR74" s="22">
        <f>IF(L74&gt;=Upgrades!$E$20,"",Upgrades!$C$20*POWER(Upgrades!$D$20,L74))</f>
        <v/>
      </c>
      <c r="AS74" s="22">
        <f>IF(M74&gt;=Upgrades!$E$21,"",Upgrades!$C$21*POWER(Upgrades!$D$21,M74))</f>
        <v/>
      </c>
      <c r="AT74" s="26">
        <f>IF(AND(D74&gt;=Parameters!$B$18*Parameters!$B$19,(I74&gt;=Upgrades!$E$17)*(M74&gt;=Upgrades!$E$21)=1,N74=0),1,"")</f>
        <v/>
      </c>
      <c r="AU74" s="26">
        <f>IF(AND(D74&gt;=Parameters!$B$18*Parameters!$B$19,N74=0),1,"")</f>
        <v/>
      </c>
      <c r="AV74" s="22">
        <f>MIN(IF(ISNUMBER(AP74),AP74,9E15),IF(ISNUMBER(AQ74),AQ74,9E15),IF(ISNUMBER(AR74),AR74,9E15),IF(ISNUMBER(AS74),AS74,9E15))</f>
        <v/>
      </c>
      <c r="AW74" s="22">
        <f>MIN(IF(ISNUMBER(AK74),AK74,9E15),IF(ISNUMBER(AL74),AL74,9E15),IF(ISNUMBER(AM74),AM74,9E15),IF(ISNUMBER(AN74),AN74,9E15),IF(ISNUMBER(AO74),AO74,9E15))</f>
        <v/>
      </c>
      <c r="AX74" s="29">
        <f>IF(BD74&gt;Parameters!$B$21*(MAX(IF(AND(NOT(AND(AU74=1,AT74&lt;&gt;1)),ISNUMBER(AK74),AK74&lt;=(C74+T74)),AY74,0),IF(AND(NOT(AND(AU74=1,AT74&lt;&gt;1)),ISNUMBER(AL74),AL74&lt;=(C74+T74)),AZ74,0),IF(AND(NOT(AND(AU74=1,AT74&lt;&gt;1)),ISNUMBER(AM74),AM74&lt;=(C74+T74)),BA74,0),IF(AND(NOT(AND(AU74=1,AT74&lt;&gt;1)),ISNUMBER(AN74),AN74&lt;=(C74+T74)),BB74,0),IF(AND(ISNUMBER(AO74),AO74&lt;=(C74+T74)),BC74,0))),TRUE,FALSE)</f>
        <v/>
      </c>
      <c r="AY74" s="32">
        <f>IFERROR(Upgrades!$H$13*(POWER(Upgrades!$P$13,E74)*POWER(Upgrades!$P$14,F74)*POWER(Upgrades!$P$15,G74)*POWER(Upgrades!$P$16,H74)*POWER(Upgrades!$P$17,I74)*POWER(Upgrades!$P$18,J74)*POWER(Upgrades!$P$19,K74)*POWER(Upgrades!$P$20,L74)*POWER(Upgrades!$P$21,M74))*(IF(Upgrades!$T$14="Stellar Kinematics",POWER(Upgrades!$U$14,F74),1)*IF(Upgrades!$T$15="Stellar Kinematics",POWER(Upgrades!$U$15,G74),1)*IF(Upgrades!$T$16="Stellar Kinematics",POWER(Upgrades!$U$16,H74),1)*IF(Upgrades!$T$17="Stellar Kinematics",POWER(Upgrades!$U$17,I74),1)*IF(Upgrades!$T$18="Stellar Kinematics",POWER(Upgrades!$U$18,J74),1)*IF(Upgrades!$T$19="Stellar Kinematics",POWER(Upgrades!$U$19,K74),1)*IF(Upgrades!$T$20="Stellar Kinematics",POWER(Upgrades!$U$20,L74),1)*IF(Upgrades!$T$21="Stellar Kinematics",POWER(Upgrades!$U$21,M74),1))*$F$6/AK74,0)</f>
        <v/>
      </c>
      <c r="AZ74" s="32">
        <f>IFERROR(Upgrades!$H$14*(POWER(Upgrades!$P$13,E74)*POWER(Upgrades!$P$14,F74)*POWER(Upgrades!$P$15,G74)*POWER(Upgrades!$P$16,H74)*POWER(Upgrades!$P$17,I74)*POWER(Upgrades!$P$18,J74)*POWER(Upgrades!$P$19,K74)*POWER(Upgrades!$P$20,L74)*POWER(Upgrades!$P$21,M74))*(IF(Upgrades!$T$13="Local Bubble",POWER(Upgrades!$U$13,E74),1)*IF(Upgrades!$T$15="Local Bubble",POWER(Upgrades!$U$15,G74),1)*IF(Upgrades!$T$16="Local Bubble",POWER(Upgrades!$U$16,H74),1)*IF(Upgrades!$T$17="Local Bubble",POWER(Upgrades!$U$17,I74),1)*IF(Upgrades!$T$18="Local Bubble",POWER(Upgrades!$U$18,J74),1)*IF(Upgrades!$T$19="Local Bubble",POWER(Upgrades!$U$19,K74),1)*IF(Upgrades!$T$20="Local Bubble",POWER(Upgrades!$U$20,L74),1)*IF(Upgrades!$T$21="Local Bubble",POWER(Upgrades!$U$21,M74),1))*$F$6/AL74,0)</f>
        <v/>
      </c>
      <c r="BA74" s="32">
        <f>IFERROR(Upgrades!$K$15*(POWER(Upgrades!$Q$13,E74)*POWER(Upgrades!$Q$14,F74)*POWER(Upgrades!$Q$15,G74)*POWER(Upgrades!$Q$16,H74)*POWER(Upgrades!$Q$17,I74)*POWER(Upgrades!$Q$18,J74)*POWER(Upgrades!$Q$19,K74)*POWER(Upgrades!$Q$20,L74)*POWER(Upgrades!$Q$21,M74))*(IF(Upgrades!$T$13="Microlensing",POWER(Upgrades!$U$13,E74),1)*IF(Upgrades!$T$14="Microlensing",POWER(Upgrades!$U$14,F74),1)*IF(Upgrades!$T$16="Microlensing",POWER(Upgrades!$U$16,H74),1)*IF(Upgrades!$T$17="Microlensing",POWER(Upgrades!$U$17,I74),1)*IF(Upgrades!$T$18="Microlensing",POWER(Upgrades!$U$18,J74),1)*IF(Upgrades!$T$19="Microlensing",POWER(Upgrades!$U$19,K74),1)*IF(Upgrades!$T$20="Microlensing",POWER(Upgrades!$U$20,L74),1)*IF(Upgrades!$T$21="Microlensing",POWER(Upgrades!$U$21,M74),1))*$G$6*(Parameters!$B$10/60*Parameters!$B$11+Q74)/AM74,0)</f>
        <v/>
      </c>
      <c r="BB74" s="32">
        <f>IFERROR((Upgrades!$N$16*(POWER(Upgrades!$R$13,E74)*POWER(Upgrades!$R$14,F74)*POWER(Upgrades!$R$15,G74)*POWER(Upgrades!$R$16,H74)*POWER(Upgrades!$R$17,I74)*POWER(Upgrades!$R$18,J74)*POWER(Upgrades!$R$19,K74)*POWER(Upgrades!$R$20,L74)*POWER(Upgrades!$R$21,M74))*(IF(Upgrades!$T$13="Roche Lobe Overflow",POWER(Upgrades!$U$13,E74),1)*IF(Upgrades!$T$14="Roche Lobe Overflow",POWER(Upgrades!$U$14,F74),1)*IF(Upgrades!$T$15="Roche Lobe Overflow",POWER(Upgrades!$U$15,G74),1)*IF(Upgrades!$T$17="Roche Lobe Overflow",POWER(Upgrades!$U$17,I74),1)*IF(Upgrades!$T$18="Roche Lobe Overflow",POWER(Upgrades!$U$18,J74),1)*IF(Upgrades!$T$19="Roche Lobe Overflow",POWER(Upgrades!$U$19,K74),1)*IF(Upgrades!$T$20="Roche Lobe Overflow",POWER(Upgrades!$U$20,L74),1)*IF(Upgrades!$T$21="Roche Lobe Overflow",POWER(Upgrades!$U$21,M74),1))*$H$6*O74+((IF(F74=0,0,(Upgrades!$G$14+F74*Upgrades!$H$14)*POWER(Upgrades!$I$14,F74)))*(IF(Upgrades!$T$13="Local Bubble",POWER(Upgrades!$U$13,E74),1)*IF(Upgrades!$T$15="Local Bubble",POWER(Upgrades!$U$15,G74),1)*IF(Upgrades!$T$16="Local Bubble",POWER(Upgrades!$U$16,H74),1)*IF(Upgrades!$T$17="Local Bubble",POWER(Upgrades!$U$17,I74),1)*IF(Upgrades!$T$18="Local Bubble",POWER(Upgrades!$U$18,J74),1)*IF(Upgrades!$T$19="Local Bubble",POWER(Upgrades!$U$19,K74),1)*IF(Upgrades!$T$20="Local Bubble",POWER(Upgrades!$U$20,L74),1)*IF(Upgrades!$T$21="Local Bubble",POWER(Upgrades!$U$21,M74),1))*POWER(Upgrades!$P$13,E74)*POWER(Upgrades!$P$14,F74)*POWER(Upgrades!$P$15,G74)*POWER(Upgrades!$P$16,H74)*POWER(Upgrades!$P$17,I74)*POWER(Upgrades!$P$18,J74)*POWER(Upgrades!$P$19,K74)*POWER(Upgrades!$P$20,L74)*POWER(Upgrades!$P$21,M74)*$F$6)*0.05)/AN74,0)</f>
        <v/>
      </c>
      <c r="BC74" s="32">
        <f>IFERROR((Upgrades!$H$17*(POWER(Upgrades!$P$13,E74)*POWER(Upgrades!$P$14,F74)*POWER(Upgrades!$P$15,G74)*POWER(Upgrades!$P$16,H74)*POWER(Upgrades!$P$17,I74)*POWER(Upgrades!$P$18,J74)*POWER(Upgrades!$P$19,K74)*POWER(Upgrades!$P$20,L74)*POWER(Upgrades!$P$21,M74))*(IF(Upgrades!$T$13="Brown Dwarf",POWER(Upgrades!$U$13,E74),1)*IF(Upgrades!$T$14="Brown Dwarf",POWER(Upgrades!$U$14,F74),1)*IF(Upgrades!$T$15="Brown Dwarf",POWER(Upgrades!$U$15,G74),1)*IF(Upgrades!$T$16="Brown Dwarf",POWER(Upgrades!$U$16,H74),1)*IF(Upgrades!$T$18="Brown Dwarf",POWER(Upgrades!$U$18,J74),1)*IF(Upgrades!$T$19="Brown Dwarf",POWER(Upgrades!$U$19,K74),1)*IF(Upgrades!$T$20="Brown Dwarf",POWER(Upgrades!$U$20,L74),1)*IF(Upgrades!$T$21="Brown Dwarf",POWER(Upgrades!$U$21,M74),1))*$F$6+(((IF(H74=0,0,(Upgrades!$M$16+H74*Upgrades!$N$16)*POWER(Upgrades!$O$16,H74)))*(IF(Upgrades!$T$13="Roche Lobe Overflow",POWER(Upgrades!$U$13,E74),1)*IF(Upgrades!$T$14="Roche Lobe Overflow",POWER(Upgrades!$U$14,F74),1)*IF(Upgrades!$T$15="Roche Lobe Overflow",POWER(Upgrades!$U$15,G74),1)*IF(Upgrades!$T$17="Roche Lobe Overflow",POWER(Upgrades!$U$17,I74),1)*IF(Upgrades!$T$18="Roche Lobe Overflow",POWER(Upgrades!$U$18,J74),1)*IF(Upgrades!$T$19="Roche Lobe Overflow",POWER(Upgrades!$U$19,K74),1)*IF(Upgrades!$T$20="Roche Lobe Overflow",POWER(Upgrades!$U$20,L74),1)*IF(Upgrades!$T$21="Roche Lobe Overflow",POWER(Upgrades!$U$21,M74),1))*POWER(Upgrades!$R$13,E74)*POWER(Upgrades!$R$14,F74)*POWER(Upgrades!$R$15,G74)*POWER(Upgrades!$R$16,H74)*POWER(Upgrades!$R$17,I74)*POWER(Upgrades!$R$18,J74)*POWER(Upgrades!$R$19,K74)*POWER(Upgrades!$R$20,L74)*POWER(Upgrades!$R$21,M74)*$H$6)*O74)*0.10)/AO74,0)</f>
        <v/>
      </c>
      <c r="BD74" s="32">
        <f>MAX(IF(J74&gt;0,0,IFERROR(0.5*((IF(G74=0,0,(Upgrades!$J$15+G74*Upgrades!$K$15)*POWER(Upgrades!$L$15,G74)))*(IF(Upgrades!$T$13="Microlensing",POWER(Upgrades!$U$13,E74),1)*IF(Upgrades!$T$14="Microlensing",POWER(Upgrades!$U$14,F74),1)*IF(Upgrades!$T$16="Microlensing",POWER(Upgrades!$U$16,H74),1)*IF(Upgrades!$T$17="Microlensing",POWER(Upgrades!$U$17,I74),1)*IF(Upgrades!$T$18="Microlensing",POWER(Upgrades!$U$18,J74),1)*IF(Upgrades!$T$19="Microlensing",POWER(Upgrades!$U$19,K74),1)*IF(Upgrades!$T$20="Microlensing",POWER(Upgrades!$U$20,L74),1)*IF(Upgrades!$T$21="Microlensing",POWER(Upgrades!$U$21,M74),1))*(POWER(Upgrades!$Q$13,E74)*POWER(Upgrades!$Q$14,F74)*POWER(Upgrades!$Q$15,G74)*POWER(Upgrades!$Q$16,H74)*POWER(Upgrades!$Q$17,I74)*POWER(Upgrades!$Q$18,J74)*POWER(Upgrades!$Q$19,K74)*POWER(Upgrades!$Q$20,L74)*POWER(Upgrades!$Q$21,M74))*$G$6*(Parameters!$B$10/60*Parameters!$B$11+Q74))/Upgrades!$C$18,0)),IF(K74&gt;0,0,IFERROR(0.30*P74/Upgrades!$C$19,0)),IF(L74&gt;0,0,IFERROR(0.0001/Upgrades!$C$20,0)),IF(M74&gt;0,0,IFERROR((6.0*(POWER(Upgrades!$P$13,E74)*POWER(Upgrades!$P$14,F74)*POWER(Upgrades!$P$15,G74)*POWER(Upgrades!$P$16,H74)*POWER(Upgrades!$P$17,I74)*POWER(Upgrades!$P$18,J74)*POWER(Upgrades!$P$19,K74)*POWER(Upgrades!$P$20,L74)*POWER(Upgrades!$P$21,M74))*$F$6+0.20*O74*(Parameters!$B$10/60*Parameters!$B$11+Q74))/Upgrades!$C$21,0)),IF(AND(ISNUMBER(AK74),AK74&gt;(C74+T74)),AY74,0),IF(AND(ISNUMBER(AL74),AL74&gt;(C74+T74)),AZ74,0),IF(AND(ISNUMBER(AM74),AM74&gt;(C74+T74)),BA74,0),IF(AND(ISNUMBER(AN74),AN74&gt;(C74+T74)),BB74,0),IF(AND(ISNUMBER(AO74),AO74&gt;(C74+T74)),BC74,0))</f>
        <v/>
      </c>
      <c r="BE74" s="29">
        <f>IF(AT74=1,"transition",IF(MIN(IF(AND(J74=0,ISNUMBER(AP74),AP74&lt;=(C74+T74)),AP74,9E15),IF(AND(K74=0,ISNUMBER(AQ74),AQ74&lt;=(C74+T74)),AQ74,9E15),IF(AND(L74=0,ISNUMBER(AR74),AR74&lt;=(C74+T74)),AR74,9E15),IF(AND(M74=0,ISNUMBER(AS74),AS74&lt;=(C74+T74)),AS74,9E15))&lt;9E15,IF(AND(AND(J74=0,ISNUMBER(AP74),AP74&lt;=(C74+T74)),AP74=MIN(IF(AND(J74=0,ISNUMBER(AP74),AP74&lt;=(C74+T74)),AP74,9E15),IF(AND(K74=0,ISNUMBER(AQ74),AQ74&lt;=(C74+T74)),AQ74,9E15),IF(AND(L74=0,ISNUMBER(AR74),AR74&lt;=(C74+T74)),AR74,9E15),IF(AND(M74=0,ISNUMBER(AS74),AS74&lt;=(C74+T74)),AS74,9E15))),"BiP",IF(AND(AND(K74=0,ISNUMBER(AQ74),AQ74&lt;=(C74+T74)),AQ74=MIN(IF(AND(J74=0,ISNUMBER(AP74),AP74&lt;=(C74+T74)),AP74,9E15),IF(AND(K74=0,ISNUMBER(AQ74),AQ74&lt;=(C74+T74)),AQ74,9E15),IF(AND(L74=0,ISNUMBER(AR74),AR74&lt;=(C74+T74)),AR74,9E15),IF(AND(M74=0,ISNUMBER(AS74),AS74&lt;=(C74+T74)),AS74,9E15))),"PV",IF(AND(AND(L74=0,ISNUMBER(AR74),AR74&lt;=(C74+T74)),AR74=MIN(IF(AND(J74=0,ISNUMBER(AP74),AP74&lt;=(C74+T74)),AP74,9E15),IF(AND(K74=0,ISNUMBER(AQ74),AQ74&lt;=(C74+T74)),AQ74,9E15),IF(AND(L74=0,ISNUMBER(AR74),AR74&lt;=(C74+T74)),AR74,9E15),IF(AND(M74=0,ISNUMBER(AS74),AS74&lt;=(C74+T74)),AS74,9E15))),"OC","MG"))),IF(AX74=TRUE,"",IF(MAX(IF(AND(NOT(AND(AU74=1,AT74&lt;&gt;1)),ISNUMBER(AK74),AK74&lt;=(C74+T74)),AY74,0),IF(AND(NOT(AND(AU74=1,AT74&lt;&gt;1)),ISNUMBER(AL74),AL74&lt;=(C74+T74)),AZ74,0),IF(AND(NOT(AND(AU74=1,AT74&lt;&gt;1)),ISNUMBER(AM74),AM74&lt;=(C74+T74)),BA74,0),IF(AND(NOT(AND(AU74=1,AT74&lt;&gt;1)),ISNUMBER(AN74),AN74&lt;=(C74+T74)),BB74,0),IF(AND(ISNUMBER(AO74),AO74&lt;=(C74+T74)),BC74,0))&lt;=0,"",IF(AND(IF(AND(NOT(AND(AU74=1,AT74&lt;&gt;1)),ISNUMBER(AK74),AK74&lt;=(C74+T74)),AY74,0)&gt;0,IF(AND(NOT(AND(AU74=1,AT74&lt;&gt;1)),ISNUMBER(AK74),AK74&lt;=(C74+T74)),AY74,0)=MAX(IF(AND(NOT(AND(AU74=1,AT74&lt;&gt;1)),ISNUMBER(AK74),AK74&lt;=(C74+T74)),AY74,0),IF(AND(NOT(AND(AU74=1,AT74&lt;&gt;1)),ISNUMBER(AL74),AL74&lt;=(C74+T74)),AZ74,0),IF(AND(NOT(AND(AU74=1,AT74&lt;&gt;1)),ISNUMBER(AM74),AM74&lt;=(C74+T74)),BA74,0),IF(AND(NOT(AND(AU74=1,AT74&lt;&gt;1)),ISNUMBER(AN74),AN74&lt;=(C74+T74)),BB74,0),IF(AND(ISNUMBER(AO74),AO74&lt;=(C74+T74)),BC74,0))),"SK",IF(AND(IF(AND(NOT(AND(AU74=1,AT74&lt;&gt;1)),ISNUMBER(AL74),AL74&lt;=(C74+T74)),AZ74,0)&gt;0,IF(AND(NOT(AND(AU74=1,AT74&lt;&gt;1)),ISNUMBER(AL74),AL74&lt;=(C74+T74)),AZ74,0)=MAX(IF(AND(NOT(AND(AU74=1,AT74&lt;&gt;1)),ISNUMBER(AK74),AK74&lt;=(C74+T74)),AY74,0),IF(AND(NOT(AND(AU74=1,AT74&lt;&gt;1)),ISNUMBER(AL74),AL74&lt;=(C74+T74)),AZ74,0),IF(AND(NOT(AND(AU74=1,AT74&lt;&gt;1)),ISNUMBER(AM74),AM74&lt;=(C74+T74)),BA74,0),IF(AND(NOT(AND(AU74=1,AT74&lt;&gt;1)),ISNUMBER(AN74),AN74&lt;=(C74+T74)),BB74,0),IF(AND(ISNUMBER(AO74),AO74&lt;=(C74+T74)),BC74,0))),"LB",IF(AND(IF(AND(NOT(AND(AU74=1,AT74&lt;&gt;1)),ISNUMBER(AM74),AM74&lt;=(C74+T74)),BA74,0)&gt;0,IF(AND(NOT(AND(AU74=1,AT74&lt;&gt;1)),ISNUMBER(AM74),AM74&lt;=(C74+T74)),BA74,0)=MAX(IF(AND(NOT(AND(AU74=1,AT74&lt;&gt;1)),ISNUMBER(AK74),AK74&lt;=(C74+T74)),AY74,0),IF(AND(NOT(AND(AU74=1,AT74&lt;&gt;1)),ISNUMBER(AL74),AL74&lt;=(C74+T74)),AZ74,0),IF(AND(NOT(AND(AU74=1,AT74&lt;&gt;1)),ISNUMBER(AM74),AM74&lt;=(C74+T74)),BA74,0),IF(AND(NOT(AND(AU74=1,AT74&lt;&gt;1)),ISNUMBER(AN74),AN74&lt;=(C74+T74)),BB74,0),IF(AND(ISNUMBER(AO74),AO74&lt;=(C74+T74)),BC74,0))),"ML",IF(AND(IF(AND(NOT(AND(AU74=1,AT74&lt;&gt;1)),ISNUMBER(AN74),AN74&lt;=(C74+T74)),BB74,0)&gt;0,IF(AND(NOT(AND(AU74=1,AT74&lt;&gt;1)),ISNUMBER(AN74),AN74&lt;=(C74+T74)),BB74,0)=MAX(IF(AND(NOT(AND(AU74=1,AT74&lt;&gt;1)),ISNUMBER(AK74),AK74&lt;=(C74+T74)),AY74,0),IF(AND(NOT(AND(AU74=1,AT74&lt;&gt;1)),ISNUMBER(AL74),AL74&lt;=(C74+T74)),AZ74,0),IF(AND(NOT(AND(AU74=1,AT74&lt;&gt;1)),ISNUMBER(AM74),AM74&lt;=(C74+T74)),BA74,0),IF(AND(NOT(AND(AU74=1,AT74&lt;&gt;1)),ISNUMBER(AN74),AN74&lt;=(C74+T74)),BB74,0),IF(AND(ISNUMBER(AO74),AO74&lt;=(C74+T74)),BC74,0))),"RLO","BD"))))))))</f>
        <v/>
      </c>
    </row>
    <row r="75">
      <c r="A75" s="26" t="n">
        <v>64</v>
      </c>
      <c r="B75" s="27">
        <f>A75*10/60</f>
        <v/>
      </c>
      <c r="C75" s="22">
        <f>X74</f>
        <v/>
      </c>
      <c r="D75" s="27">
        <f>D74+W74</f>
        <v/>
      </c>
      <c r="E75" s="26">
        <f>E74+IF(U74="SK",1,0)</f>
        <v/>
      </c>
      <c r="F75" s="26">
        <f>F74+IF(U74="LB",1,0)</f>
        <v/>
      </c>
      <c r="G75" s="26">
        <f>G74+IF(U74="ML",1,0)</f>
        <v/>
      </c>
      <c r="H75" s="26">
        <f>H74+IF(U74="RLO",1,0)</f>
        <v/>
      </c>
      <c r="I75" s="26">
        <f>I74+IF(U74="BD",1,0)</f>
        <v/>
      </c>
      <c r="J75" s="26">
        <f>MAX(J74,IF(U74="BiP",1,0))</f>
        <v/>
      </c>
      <c r="K75" s="26">
        <f>MAX(K74,IF(U74="PV",1,0))</f>
        <v/>
      </c>
      <c r="L75" s="26">
        <f>MAX(L74,IF(U74="OC",1,0))</f>
        <v/>
      </c>
      <c r="M75" s="26">
        <f>MAX(M74,IF(U74="MG",1,0))</f>
        <v/>
      </c>
      <c r="N75" s="26">
        <f>MAX(N74,IF(U74="transition",1,0))</f>
        <v/>
      </c>
      <c r="O75" s="28">
        <f>(Parameters!$B$9+(IF(E75=0,0,(Upgrades!$J$13+E75*Upgrades!$K$13)*POWER(Upgrades!$L$13,E75)))*(IF(Upgrades!$T$14="Stellar Kinematics",POWER(Upgrades!$U$14,F75),1)*IF(Upgrades!$T$15="Stellar Kinematics",POWER(Upgrades!$U$15,G75),1)*IF(Upgrades!$T$16="Stellar Kinematics",POWER(Upgrades!$U$16,H75),1)*IF(Upgrades!$T$17="Stellar Kinematics",POWER(Upgrades!$U$17,I75),1)*IF(Upgrades!$T$18="Stellar Kinematics",POWER(Upgrades!$U$18,J75),1)*IF(Upgrades!$T$19="Stellar Kinematics",POWER(Upgrades!$U$19,K75),1)*IF(Upgrades!$T$20="Stellar Kinematics",POWER(Upgrades!$U$20,L75),1)*IF(Upgrades!$T$21="Stellar Kinematics",POWER(Upgrades!$U$21,M75),1))+(IF(F75=0,0,(Upgrades!$J$14+F75*Upgrades!$K$14)*POWER(Upgrades!$L$14,F75)))*(IF(Upgrades!$T$13="Local Bubble",POWER(Upgrades!$U$13,E75),1)*IF(Upgrades!$T$15="Local Bubble",POWER(Upgrades!$U$15,G75),1)*IF(Upgrades!$T$16="Local Bubble",POWER(Upgrades!$U$16,H75),1)*IF(Upgrades!$T$17="Local Bubble",POWER(Upgrades!$U$17,I75),1)*IF(Upgrades!$T$18="Local Bubble",POWER(Upgrades!$U$18,J75),1)*IF(Upgrades!$T$19="Local Bubble",POWER(Upgrades!$U$19,K75),1)*IF(Upgrades!$T$20="Local Bubble",POWER(Upgrades!$U$20,L75),1)*IF(Upgrades!$T$21="Local Bubble",POWER(Upgrades!$U$21,M75),1))+(IF(G75=0,0,(Upgrades!$J$15+G75*Upgrades!$K$15)*POWER(Upgrades!$L$15,G75)))*(IF(Upgrades!$T$13="Microlensing",POWER(Upgrades!$U$13,E75),1)*IF(Upgrades!$T$14="Microlensing",POWER(Upgrades!$U$14,F75),1)*IF(Upgrades!$T$16="Microlensing",POWER(Upgrades!$U$16,H75),1)*IF(Upgrades!$T$17="Microlensing",POWER(Upgrades!$U$17,I75),1)*IF(Upgrades!$T$18="Microlensing",POWER(Upgrades!$U$18,J75),1)*IF(Upgrades!$T$19="Microlensing",POWER(Upgrades!$U$19,K75),1)*IF(Upgrades!$T$20="Microlensing",POWER(Upgrades!$U$20,L75),1)*IF(Upgrades!$T$21="Microlensing",POWER(Upgrades!$U$21,M75),1))+(IF(H75=0,0,(Upgrades!$J$16+H75*Upgrades!$K$16)*POWER(Upgrades!$L$16,H75)))*(IF(Upgrades!$T$13="Roche Lobe Overflow",POWER(Upgrades!$U$13,E75),1)*IF(Upgrades!$T$14="Roche Lobe Overflow",POWER(Upgrades!$U$14,F75),1)*IF(Upgrades!$T$15="Roche Lobe Overflow",POWER(Upgrades!$U$15,G75),1)*IF(Upgrades!$T$17="Roche Lobe Overflow",POWER(Upgrades!$U$17,I75),1)*IF(Upgrades!$T$18="Roche Lobe Overflow",POWER(Upgrades!$U$18,J75),1)*IF(Upgrades!$T$19="Roche Lobe Overflow",POWER(Upgrades!$U$19,K75),1)*IF(Upgrades!$T$20="Roche Lobe Overflow",POWER(Upgrades!$U$20,L75),1)*IF(Upgrades!$T$21="Roche Lobe Overflow",POWER(Upgrades!$U$21,M75),1))+(IF(I75=0,0,(Upgrades!$J$17+I75*Upgrades!$K$17)*POWER(Upgrades!$L$17,I75)))*(IF(Upgrades!$T$13="Brown Dwarf",POWER(Upgrades!$U$13,E75),1)*IF(Upgrades!$T$14="Brown Dwarf",POWER(Upgrades!$U$14,F75),1)*IF(Upgrades!$T$15="Brown Dwarf",POWER(Upgrades!$U$15,G75),1)*IF(Upgrades!$T$16="Brown Dwarf",POWER(Upgrades!$U$16,H75),1)*IF(Upgrades!$T$18="Brown Dwarf",POWER(Upgrades!$U$18,J75),1)*IF(Upgrades!$T$19="Brown Dwarf",POWER(Upgrades!$U$19,K75),1)*IF(Upgrades!$T$20="Brown Dwarf",POWER(Upgrades!$U$20,L75),1)*IF(Upgrades!$T$21="Brown Dwarf",POWER(Upgrades!$U$21,M75),1))+(IF(J75=0,0,(Upgrades!$J$18+J75*Upgrades!$K$18)*POWER(Upgrades!$L$18,J75)))*(IF(Upgrades!$T$13="Binary Partner",POWER(Upgrades!$U$13,E75),1)*IF(Upgrades!$T$14="Binary Partner",POWER(Upgrades!$U$14,F75),1)*IF(Upgrades!$T$15="Binary Partner",POWER(Upgrades!$U$15,G75),1)*IF(Upgrades!$T$16="Binary Partner",POWER(Upgrades!$U$16,H75),1)*IF(Upgrades!$T$17="Binary Partner",POWER(Upgrades!$U$17,I75),1)*IF(Upgrades!$T$19="Binary Partner",POWER(Upgrades!$U$19,K75),1)*IF(Upgrades!$T$20="Binary Partner",POWER(Upgrades!$U$20,L75),1)*IF(Upgrades!$T$21="Binary Partner",POWER(Upgrades!$U$21,M75),1))+(IF(K75=0,0,(Upgrades!$J$19+K75*Upgrades!$K$19)*POWER(Upgrades!$L$19,K75)))*(IF(Upgrades!$T$13="Peculiar Velocity",POWER(Upgrades!$U$13,E75),1)*IF(Upgrades!$T$14="Peculiar Velocity",POWER(Upgrades!$U$14,F75),1)*IF(Upgrades!$T$15="Peculiar Velocity",POWER(Upgrades!$U$15,G75),1)*IF(Upgrades!$T$16="Peculiar Velocity",POWER(Upgrades!$U$16,H75),1)*IF(Upgrades!$T$17="Peculiar Velocity",POWER(Upgrades!$U$17,I75),1)*IF(Upgrades!$T$18="Peculiar Velocity",POWER(Upgrades!$U$18,J75),1)*IF(Upgrades!$T$20="Peculiar Velocity",POWER(Upgrades!$U$20,L75),1)*IF(Upgrades!$T$21="Peculiar Velocity",POWER(Upgrades!$U$21,M75),1))+(IF(L75=0,0,(Upgrades!$J$20+L75*Upgrades!$K$20)*POWER(Upgrades!$L$20,L75)))*(IF(Upgrades!$T$13="Open Cluster",POWER(Upgrades!$U$13,E75),1)*IF(Upgrades!$T$14="Open Cluster",POWER(Upgrades!$U$14,F75),1)*IF(Upgrades!$T$15="Open Cluster",POWER(Upgrades!$U$15,G75),1)*IF(Upgrades!$T$16="Open Cluster",POWER(Upgrades!$U$16,H75),1)*IF(Upgrades!$T$17="Open Cluster",POWER(Upgrades!$U$17,I75),1)*IF(Upgrades!$T$18="Open Cluster",POWER(Upgrades!$U$18,J75),1)*IF(Upgrades!$T$19="Open Cluster",POWER(Upgrades!$U$19,K75),1)*IF(Upgrades!$T$21="Open Cluster",POWER(Upgrades!$U$21,M75),1))+(IF(M75=0,0,(Upgrades!$J$21+M75*Upgrades!$K$21)*POWER(Upgrades!$L$21,M75)))*(IF(Upgrades!$T$13="Moving Group",POWER(Upgrades!$U$13,E75),1)*IF(Upgrades!$T$14="Moving Group",POWER(Upgrades!$U$14,F75),1)*IF(Upgrades!$T$15="Moving Group",POWER(Upgrades!$U$15,G75),1)*IF(Upgrades!$T$16="Moving Group",POWER(Upgrades!$U$16,H75),1)*IF(Upgrades!$T$17="Moving Group",POWER(Upgrades!$U$17,I75),1)*IF(Upgrades!$T$18="Moving Group",POWER(Upgrades!$U$18,J75),1)*IF(Upgrades!$T$19="Moving Group",POWER(Upgrades!$U$19,K75),1)*IF(Upgrades!$T$20="Moving Group",POWER(Upgrades!$U$20,L75),1)))*POWER(Upgrades!$Q$13,E75)*POWER(Upgrades!$Q$14,F75)*POWER(Upgrades!$Q$15,G75)*POWER(Upgrades!$Q$16,H75)*POWER(Upgrades!$Q$17,I75)*POWER(Upgrades!$Q$18,J75)*POWER(Upgrades!$Q$19,K75)*POWER(Upgrades!$Q$20,L75)*POWER(Upgrades!$Q$21,M75)*$G$6+$D$6</f>
        <v/>
      </c>
      <c r="P75" s="28">
        <f>((IF(E75=0,0,(Upgrades!$G$13+E75*Upgrades!$H$13)*POWER(Upgrades!$I$13,E75)))*(IF(Upgrades!$T$14="Stellar Kinematics",POWER(Upgrades!$U$14,F75),1)*IF(Upgrades!$T$15="Stellar Kinematics",POWER(Upgrades!$U$15,G75),1)*IF(Upgrades!$T$16="Stellar Kinematics",POWER(Upgrades!$U$16,H75),1)*IF(Upgrades!$T$17="Stellar Kinematics",POWER(Upgrades!$U$17,I75),1)*IF(Upgrades!$T$18="Stellar Kinematics",POWER(Upgrades!$U$18,J75),1)*IF(Upgrades!$T$19="Stellar Kinematics",POWER(Upgrades!$U$19,K75),1)*IF(Upgrades!$T$20="Stellar Kinematics",POWER(Upgrades!$U$20,L75),1)*IF(Upgrades!$T$21="Stellar Kinematics",POWER(Upgrades!$U$21,M75),1))+(IF(F75=0,0,(Upgrades!$G$14+F75*Upgrades!$H$14)*POWER(Upgrades!$I$14,F75)))*(IF(Upgrades!$T$13="Local Bubble",POWER(Upgrades!$U$13,E75),1)*IF(Upgrades!$T$15="Local Bubble",POWER(Upgrades!$U$15,G75),1)*IF(Upgrades!$T$16="Local Bubble",POWER(Upgrades!$U$16,H75),1)*IF(Upgrades!$T$17="Local Bubble",POWER(Upgrades!$U$17,I75),1)*IF(Upgrades!$T$18="Local Bubble",POWER(Upgrades!$U$18,J75),1)*IF(Upgrades!$T$19="Local Bubble",POWER(Upgrades!$U$19,K75),1)*IF(Upgrades!$T$20="Local Bubble",POWER(Upgrades!$U$20,L75),1)*IF(Upgrades!$T$21="Local Bubble",POWER(Upgrades!$U$21,M75),1))+(IF(G75=0,0,(Upgrades!$G$15+G75*Upgrades!$H$15)*POWER(Upgrades!$I$15,G75)))*(IF(Upgrades!$T$13="Microlensing",POWER(Upgrades!$U$13,E75),1)*IF(Upgrades!$T$14="Microlensing",POWER(Upgrades!$U$14,F75),1)*IF(Upgrades!$T$16="Microlensing",POWER(Upgrades!$U$16,H75),1)*IF(Upgrades!$T$17="Microlensing",POWER(Upgrades!$U$17,I75),1)*IF(Upgrades!$T$18="Microlensing",POWER(Upgrades!$U$18,J75),1)*IF(Upgrades!$T$19="Microlensing",POWER(Upgrades!$U$19,K75),1)*IF(Upgrades!$T$20="Microlensing",POWER(Upgrades!$U$20,L75),1)*IF(Upgrades!$T$21="Microlensing",POWER(Upgrades!$U$21,M75),1))+(IF(H75=0,0,(Upgrades!$G$16+H75*Upgrades!$H$16)*POWER(Upgrades!$I$16,H75)))*(IF(Upgrades!$T$13="Roche Lobe Overflow",POWER(Upgrades!$U$13,E75),1)*IF(Upgrades!$T$14="Roche Lobe Overflow",POWER(Upgrades!$U$14,F75),1)*IF(Upgrades!$T$15="Roche Lobe Overflow",POWER(Upgrades!$U$15,G75),1)*IF(Upgrades!$T$17="Roche Lobe Overflow",POWER(Upgrades!$U$17,I75),1)*IF(Upgrades!$T$18="Roche Lobe Overflow",POWER(Upgrades!$U$18,J75),1)*IF(Upgrades!$T$19="Roche Lobe Overflow",POWER(Upgrades!$U$19,K75),1)*IF(Upgrades!$T$20="Roche Lobe Overflow",POWER(Upgrades!$U$20,L75),1)*IF(Upgrades!$T$21="Roche Lobe Overflow",POWER(Upgrades!$U$21,M75),1))+(IF(I75=0,0,(Upgrades!$G$17+I75*Upgrades!$H$17)*POWER(Upgrades!$I$17,I75)))*(IF(Upgrades!$T$13="Brown Dwarf",POWER(Upgrades!$U$13,E75),1)*IF(Upgrades!$T$14="Brown Dwarf",POWER(Upgrades!$U$14,F75),1)*IF(Upgrades!$T$15="Brown Dwarf",POWER(Upgrades!$U$15,G75),1)*IF(Upgrades!$T$16="Brown Dwarf",POWER(Upgrades!$U$16,H75),1)*IF(Upgrades!$T$18="Brown Dwarf",POWER(Upgrades!$U$18,J75),1)*IF(Upgrades!$T$19="Brown Dwarf",POWER(Upgrades!$U$19,K75),1)*IF(Upgrades!$T$20="Brown Dwarf",POWER(Upgrades!$U$20,L75),1)*IF(Upgrades!$T$21="Brown Dwarf",POWER(Upgrades!$U$21,M75),1))+(IF(J75=0,0,(Upgrades!$G$18+J75*Upgrades!$H$18)*POWER(Upgrades!$I$18,J75)))*(IF(Upgrades!$T$13="Binary Partner",POWER(Upgrades!$U$13,E75),1)*IF(Upgrades!$T$14="Binary Partner",POWER(Upgrades!$U$14,F75),1)*IF(Upgrades!$T$15="Binary Partner",POWER(Upgrades!$U$15,G75),1)*IF(Upgrades!$T$16="Binary Partner",POWER(Upgrades!$U$16,H75),1)*IF(Upgrades!$T$17="Binary Partner",POWER(Upgrades!$U$17,I75),1)*IF(Upgrades!$T$19="Binary Partner",POWER(Upgrades!$U$19,K75),1)*IF(Upgrades!$T$20="Binary Partner",POWER(Upgrades!$U$20,L75),1)*IF(Upgrades!$T$21="Binary Partner",POWER(Upgrades!$U$21,M75),1))+(IF(K75=0,0,(Upgrades!$G$19+K75*Upgrades!$H$19)*POWER(Upgrades!$I$19,K75)))*(IF(Upgrades!$T$13="Peculiar Velocity",POWER(Upgrades!$U$13,E75),1)*IF(Upgrades!$T$14="Peculiar Velocity",POWER(Upgrades!$U$14,F75),1)*IF(Upgrades!$T$15="Peculiar Velocity",POWER(Upgrades!$U$15,G75),1)*IF(Upgrades!$T$16="Peculiar Velocity",POWER(Upgrades!$U$16,H75),1)*IF(Upgrades!$T$17="Peculiar Velocity",POWER(Upgrades!$U$17,I75),1)*IF(Upgrades!$T$18="Peculiar Velocity",POWER(Upgrades!$U$18,J75),1)*IF(Upgrades!$T$20="Peculiar Velocity",POWER(Upgrades!$U$20,L75),1)*IF(Upgrades!$T$21="Peculiar Velocity",POWER(Upgrades!$U$21,M75),1))+(IF(L75=0,0,(Upgrades!$G$20+L75*Upgrades!$H$20)*POWER(Upgrades!$I$20,L75)))*(IF(Upgrades!$T$13="Open Cluster",POWER(Upgrades!$U$13,E75),1)*IF(Upgrades!$T$14="Open Cluster",POWER(Upgrades!$U$14,F75),1)*IF(Upgrades!$T$15="Open Cluster",POWER(Upgrades!$U$15,G75),1)*IF(Upgrades!$T$16="Open Cluster",POWER(Upgrades!$U$16,H75),1)*IF(Upgrades!$T$17="Open Cluster",POWER(Upgrades!$U$17,I75),1)*IF(Upgrades!$T$18="Open Cluster",POWER(Upgrades!$U$18,J75),1)*IF(Upgrades!$T$19="Open Cluster",POWER(Upgrades!$U$19,K75),1)*IF(Upgrades!$T$21="Open Cluster",POWER(Upgrades!$U$21,M75),1))+(IF(M75=0,0,(Upgrades!$G$21+M75*Upgrades!$H$21)*POWER(Upgrades!$I$21,M75)))*(IF(Upgrades!$T$13="Moving Group",POWER(Upgrades!$U$13,E75),1)*IF(Upgrades!$T$14="Moving Group",POWER(Upgrades!$U$14,F75),1)*IF(Upgrades!$T$15="Moving Group",POWER(Upgrades!$U$15,G75),1)*IF(Upgrades!$T$16="Moving Group",POWER(Upgrades!$U$16,H75),1)*IF(Upgrades!$T$17="Moving Group",POWER(Upgrades!$U$17,I75),1)*IF(Upgrades!$T$18="Moving Group",POWER(Upgrades!$U$18,J75),1)*IF(Upgrades!$T$19="Moving Group",POWER(Upgrades!$U$19,K75),1)*IF(Upgrades!$T$20="Moving Group",POWER(Upgrades!$U$20,L75),1)))*POWER(Upgrades!$P$13,E75)*POWER(Upgrades!$P$14,F75)*POWER(Upgrades!$P$15,G75)*POWER(Upgrades!$P$16,H75)*POWER(Upgrades!$P$17,I75)*POWER(Upgrades!$P$18,J75)*POWER(Upgrades!$P$19,K75)*POWER(Upgrades!$P$20,L75)*POWER(Upgrades!$P$21,M75)*$F$6+$C$6</f>
        <v/>
      </c>
      <c r="Q75" s="28">
        <f>((IF(E75=0,0,(Upgrades!$M$13+E75*Upgrades!$N$13)*POWER(Upgrades!$O$13,E75)))*(IF(Upgrades!$T$14="Stellar Kinematics",POWER(Upgrades!$U$14,F75),1)*IF(Upgrades!$T$15="Stellar Kinematics",POWER(Upgrades!$U$15,G75),1)*IF(Upgrades!$T$16="Stellar Kinematics",POWER(Upgrades!$U$16,H75),1)*IF(Upgrades!$T$17="Stellar Kinematics",POWER(Upgrades!$U$17,I75),1)*IF(Upgrades!$T$18="Stellar Kinematics",POWER(Upgrades!$U$18,J75),1)*IF(Upgrades!$T$19="Stellar Kinematics",POWER(Upgrades!$U$19,K75),1)*IF(Upgrades!$T$20="Stellar Kinematics",POWER(Upgrades!$U$20,L75),1)*IF(Upgrades!$T$21="Stellar Kinematics",POWER(Upgrades!$U$21,M75),1))+(IF(F75=0,0,(Upgrades!$M$14+F75*Upgrades!$N$14)*POWER(Upgrades!$O$14,F75)))*(IF(Upgrades!$T$13="Local Bubble",POWER(Upgrades!$U$13,E75),1)*IF(Upgrades!$T$15="Local Bubble",POWER(Upgrades!$U$15,G75),1)*IF(Upgrades!$T$16="Local Bubble",POWER(Upgrades!$U$16,H75),1)*IF(Upgrades!$T$17="Local Bubble",POWER(Upgrades!$U$17,I75),1)*IF(Upgrades!$T$18="Local Bubble",POWER(Upgrades!$U$18,J75),1)*IF(Upgrades!$T$19="Local Bubble",POWER(Upgrades!$U$19,K75),1)*IF(Upgrades!$T$20="Local Bubble",POWER(Upgrades!$U$20,L75),1)*IF(Upgrades!$T$21="Local Bubble",POWER(Upgrades!$U$21,M75),1))+(IF(G75=0,0,(Upgrades!$M$15+G75*Upgrades!$N$15)*POWER(Upgrades!$O$15,G75)))*(IF(Upgrades!$T$13="Microlensing",POWER(Upgrades!$U$13,E75),1)*IF(Upgrades!$T$14="Microlensing",POWER(Upgrades!$U$14,F75),1)*IF(Upgrades!$T$16="Microlensing",POWER(Upgrades!$U$16,H75),1)*IF(Upgrades!$T$17="Microlensing",POWER(Upgrades!$U$17,I75),1)*IF(Upgrades!$T$18="Microlensing",POWER(Upgrades!$U$18,J75),1)*IF(Upgrades!$T$19="Microlensing",POWER(Upgrades!$U$19,K75),1)*IF(Upgrades!$T$20="Microlensing",POWER(Upgrades!$U$20,L75),1)*IF(Upgrades!$T$21="Microlensing",POWER(Upgrades!$U$21,M75),1))+(IF(H75=0,0,(Upgrades!$M$16+H75*Upgrades!$N$16)*POWER(Upgrades!$O$16,H75)))*(IF(Upgrades!$T$13="Roche Lobe Overflow",POWER(Upgrades!$U$13,E75),1)*IF(Upgrades!$T$14="Roche Lobe Overflow",POWER(Upgrades!$U$14,F75),1)*IF(Upgrades!$T$15="Roche Lobe Overflow",POWER(Upgrades!$U$15,G75),1)*IF(Upgrades!$T$17="Roche Lobe Overflow",POWER(Upgrades!$U$17,I75),1)*IF(Upgrades!$T$18="Roche Lobe Overflow",POWER(Upgrades!$U$18,J75),1)*IF(Upgrades!$T$19="Roche Lobe Overflow",POWER(Upgrades!$U$19,K75),1)*IF(Upgrades!$T$20="Roche Lobe Overflow",POWER(Upgrades!$U$20,L75),1)*IF(Upgrades!$T$21="Roche Lobe Overflow",POWER(Upgrades!$U$21,M75),1))+(IF(I75=0,0,(Upgrades!$M$17+I75*Upgrades!$N$17)*POWER(Upgrades!$O$17,I75)))*(IF(Upgrades!$T$13="Brown Dwarf",POWER(Upgrades!$U$13,E75),1)*IF(Upgrades!$T$14="Brown Dwarf",POWER(Upgrades!$U$14,F75),1)*IF(Upgrades!$T$15="Brown Dwarf",POWER(Upgrades!$U$15,G75),1)*IF(Upgrades!$T$16="Brown Dwarf",POWER(Upgrades!$U$16,H75),1)*IF(Upgrades!$T$18="Brown Dwarf",POWER(Upgrades!$U$18,J75),1)*IF(Upgrades!$T$19="Brown Dwarf",POWER(Upgrades!$U$19,K75),1)*IF(Upgrades!$T$20="Brown Dwarf",POWER(Upgrades!$U$20,L75),1)*IF(Upgrades!$T$21="Brown Dwarf",POWER(Upgrades!$U$21,M75),1))+(IF(J75=0,0,(Upgrades!$M$18+J75*Upgrades!$N$18)*POWER(Upgrades!$O$18,J75)))*(IF(Upgrades!$T$13="Binary Partner",POWER(Upgrades!$U$13,E75),1)*IF(Upgrades!$T$14="Binary Partner",POWER(Upgrades!$U$14,F75),1)*IF(Upgrades!$T$15="Binary Partner",POWER(Upgrades!$U$15,G75),1)*IF(Upgrades!$T$16="Binary Partner",POWER(Upgrades!$U$16,H75),1)*IF(Upgrades!$T$17="Binary Partner",POWER(Upgrades!$U$17,I75),1)*IF(Upgrades!$T$19="Binary Partner",POWER(Upgrades!$U$19,K75),1)*IF(Upgrades!$T$20="Binary Partner",POWER(Upgrades!$U$20,L75),1)*IF(Upgrades!$T$21="Binary Partner",POWER(Upgrades!$U$21,M75),1))+(IF(K75=0,0,(Upgrades!$M$19+K75*Upgrades!$N$19)*POWER(Upgrades!$O$19,K75)))*(IF(Upgrades!$T$13="Peculiar Velocity",POWER(Upgrades!$U$13,E75),1)*IF(Upgrades!$T$14="Peculiar Velocity",POWER(Upgrades!$U$14,F75),1)*IF(Upgrades!$T$15="Peculiar Velocity",POWER(Upgrades!$U$15,G75),1)*IF(Upgrades!$T$16="Peculiar Velocity",POWER(Upgrades!$U$16,H75),1)*IF(Upgrades!$T$17="Peculiar Velocity",POWER(Upgrades!$U$17,I75),1)*IF(Upgrades!$T$18="Peculiar Velocity",POWER(Upgrades!$U$18,J75),1)*IF(Upgrades!$T$20="Peculiar Velocity",POWER(Upgrades!$U$20,L75),1)*IF(Upgrades!$T$21="Peculiar Velocity",POWER(Upgrades!$U$21,M75),1))+(IF(L75=0,0,(Upgrades!$M$20+L75*Upgrades!$N$20)*POWER(Upgrades!$O$20,L75)))*(IF(Upgrades!$T$13="Open Cluster",POWER(Upgrades!$U$13,E75),1)*IF(Upgrades!$T$14="Open Cluster",POWER(Upgrades!$U$14,F75),1)*IF(Upgrades!$T$15="Open Cluster",POWER(Upgrades!$U$15,G75),1)*IF(Upgrades!$T$16="Open Cluster",POWER(Upgrades!$U$16,H75),1)*IF(Upgrades!$T$17="Open Cluster",POWER(Upgrades!$U$17,I75),1)*IF(Upgrades!$T$18="Open Cluster",POWER(Upgrades!$U$18,J75),1)*IF(Upgrades!$T$19="Open Cluster",POWER(Upgrades!$U$19,K75),1)*IF(Upgrades!$T$21="Open Cluster",POWER(Upgrades!$U$21,M75),1))+(IF(M75=0,0,(Upgrades!$M$21+M75*Upgrades!$N$21)*POWER(Upgrades!$O$21,M75)))*(IF(Upgrades!$T$13="Moving Group",POWER(Upgrades!$U$13,E75),1)*IF(Upgrades!$T$14="Moving Group",POWER(Upgrades!$U$14,F75),1)*IF(Upgrades!$T$15="Moving Group",POWER(Upgrades!$U$15,G75),1)*IF(Upgrades!$T$16="Moving Group",POWER(Upgrades!$U$16,H75),1)*IF(Upgrades!$T$17="Moving Group",POWER(Upgrades!$U$17,I75),1)*IF(Upgrades!$T$18="Moving Group",POWER(Upgrades!$U$18,J75),1)*IF(Upgrades!$T$19="Moving Group",POWER(Upgrades!$U$19,K75),1)*IF(Upgrades!$T$20="Moving Group",POWER(Upgrades!$U$20,L75),1)))*POWER(Upgrades!$R$13,E75)*POWER(Upgrades!$R$14,F75)*POWER(Upgrades!$R$15,G75)*POWER(Upgrades!$R$16,H75)*POWER(Upgrades!$R$17,I75)*POWER(Upgrades!$R$18,J75)*POWER(Upgrades!$R$19,K75)*POWER(Upgrades!$R$20,L75)*POWER(Upgrades!$R$21,M75)*$H$6+$E$6</f>
        <v/>
      </c>
      <c r="R75" s="27">
        <f>IF(N75=1,0,O75*Parameters!$B$10/60*Parameters!$B$11*10)</f>
        <v/>
      </c>
      <c r="S75" s="27">
        <f>IF(N75=1,0,Q75*O75*10)</f>
        <v/>
      </c>
      <c r="T75" s="27">
        <f>IF(N75=1,0,R75+S75+P75*10)</f>
        <v/>
      </c>
      <c r="U75" s="33">
        <f>BE75</f>
        <v/>
      </c>
      <c r="V75" s="22">
        <f>IF(U75="",0,IF(U75="transition",0,IF(U75="SK",AK75,IF(U75="LB",AL75,IF(U75="ML",AM75,IF(U75="RLO",AN75,IF(U75="BD",AO75,IF(U75="BiP",AP75,IF(U75="PV",AQ75,IF(U75="OC",AR75,IF(U75="MG",AS75,0))))))))))</f>
        <v/>
      </c>
      <c r="W75" s="27">
        <f>IF(U75="BiP",Upgrades!$F$18,IF(U75="PV",Upgrades!$F$19,IF(U75="OC",Upgrades!$F$20,IF(U75="MG",Upgrades!$F$21,IF(U75="transition",-Parameters!$B$18*Parameters!$B$19,0)))))</f>
        <v/>
      </c>
      <c r="X75" s="22">
        <f>C75+T75-V75</f>
        <v/>
      </c>
      <c r="Y75" s="30">
        <f>O75*Parameters!$B$10/60*Parameters!$B$11+Q75*O75+P75</f>
        <v/>
      </c>
      <c r="Z75" s="34">
        <f>IF(U75="transition","→ Tier 3 (Galactic Arm)",IF(U75="MG","Moving Group — pocket drifts together",IF(U75="OC","Open Cluster acquired",IF(U75="PV","Peculiar Velocity — passive multiplier active",IF(U75="BiP","Binary Partner — pair bond formed",IF(AND(AU75=1,N75=0,AT75&lt;&gt;1),"Cohesion ready (waiting on completionists)","")))))) </f>
        <v/>
      </c>
      <c r="AA75" s="27">
        <f>(IF(E75=0,0,(Upgrades!$G$13+E75*Upgrades!$H$13)*POWER(Upgrades!$I$13,E75)))*(IF(Upgrades!$T$14="Stellar Kinematics",POWER(Upgrades!$U$14,F75),1)*IF(Upgrades!$T$15="Stellar Kinematics",POWER(Upgrades!$U$15,G75),1)*IF(Upgrades!$T$16="Stellar Kinematics",POWER(Upgrades!$U$16,H75),1)*IF(Upgrades!$T$17="Stellar Kinematics",POWER(Upgrades!$U$17,I75),1)*IF(Upgrades!$T$18="Stellar Kinematics",POWER(Upgrades!$U$18,J75),1)*IF(Upgrades!$T$19="Stellar Kinematics",POWER(Upgrades!$U$19,K75),1)*IF(Upgrades!$T$20="Stellar Kinematics",POWER(Upgrades!$U$20,L75),1)*IF(Upgrades!$T$21="Stellar Kinematics",POWER(Upgrades!$U$21,M75),1))*POWER(Upgrades!$P$13,E75)*POWER(Upgrades!$P$14,F75)*POWER(Upgrades!$P$15,G75)*POWER(Upgrades!$P$16,H75)*POWER(Upgrades!$P$17,I75)*POWER(Upgrades!$P$18,J75)*POWER(Upgrades!$P$19,K75)*POWER(Upgrades!$P$20,L75)*POWER(Upgrades!$P$21,M75)*$F$6*60</f>
        <v/>
      </c>
      <c r="AB75" s="27">
        <f>(IF(F75=0,0,(Upgrades!$G$14+F75*Upgrades!$H$14)*POWER(Upgrades!$I$14,F75)))*(IF(Upgrades!$T$13="Local Bubble",POWER(Upgrades!$U$13,E75),1)*IF(Upgrades!$T$15="Local Bubble",POWER(Upgrades!$U$15,G75),1)*IF(Upgrades!$T$16="Local Bubble",POWER(Upgrades!$U$16,H75),1)*IF(Upgrades!$T$17="Local Bubble",POWER(Upgrades!$U$17,I75),1)*IF(Upgrades!$T$18="Local Bubble",POWER(Upgrades!$U$18,J75),1)*IF(Upgrades!$T$19="Local Bubble",POWER(Upgrades!$U$19,K75),1)*IF(Upgrades!$T$20="Local Bubble",POWER(Upgrades!$U$20,L75),1)*IF(Upgrades!$T$21="Local Bubble",POWER(Upgrades!$U$21,M75),1))*POWER(Upgrades!$P$13,E75)*POWER(Upgrades!$P$14,F75)*POWER(Upgrades!$P$15,G75)*POWER(Upgrades!$P$16,H75)*POWER(Upgrades!$P$17,I75)*POWER(Upgrades!$P$18,J75)*POWER(Upgrades!$P$19,K75)*POWER(Upgrades!$P$20,L75)*POWER(Upgrades!$P$21,M75)*$F$6*60</f>
        <v/>
      </c>
      <c r="AC75" s="27">
        <f>(IF(G75=0,0,(Upgrades!$J$15+G75*Upgrades!$K$15)*POWER(Upgrades!$L$15,G75)))*(IF(Upgrades!$T$13="Microlensing",POWER(Upgrades!$U$13,E75),1)*IF(Upgrades!$T$14="Microlensing",POWER(Upgrades!$U$14,F75),1)*IF(Upgrades!$T$16="Microlensing",POWER(Upgrades!$U$16,H75),1)*IF(Upgrades!$T$17="Microlensing",POWER(Upgrades!$U$17,I75),1)*IF(Upgrades!$T$18="Microlensing",POWER(Upgrades!$U$18,J75),1)*IF(Upgrades!$T$19="Microlensing",POWER(Upgrades!$U$19,K75),1)*IF(Upgrades!$T$20="Microlensing",POWER(Upgrades!$U$20,L75),1)*IF(Upgrades!$T$21="Microlensing",POWER(Upgrades!$U$21,M75),1))*POWER(Upgrades!$Q$13,E75)*POWER(Upgrades!$Q$14,F75)*POWER(Upgrades!$Q$15,G75)*POWER(Upgrades!$Q$16,H75)*POWER(Upgrades!$Q$17,I75)*POWER(Upgrades!$Q$18,J75)*POWER(Upgrades!$Q$19,K75)*POWER(Upgrades!$Q$20,L75)*POWER(Upgrades!$Q$21,M75)*$G$6*(Parameters!$B$10*Parameters!$B$11+Q75*60)</f>
        <v/>
      </c>
      <c r="AD75" s="27">
        <f>(IF(H75=0,0,(Upgrades!$M$16+H75*Upgrades!$N$16)*POWER(Upgrades!$O$16,H75)))*(IF(Upgrades!$T$13="Roche Lobe Overflow",POWER(Upgrades!$U$13,E75),1)*IF(Upgrades!$T$14="Roche Lobe Overflow",POWER(Upgrades!$U$14,F75),1)*IF(Upgrades!$T$15="Roche Lobe Overflow",POWER(Upgrades!$U$15,G75),1)*IF(Upgrades!$T$17="Roche Lobe Overflow",POWER(Upgrades!$U$17,I75),1)*IF(Upgrades!$T$18="Roche Lobe Overflow",POWER(Upgrades!$U$18,J75),1)*IF(Upgrades!$T$19="Roche Lobe Overflow",POWER(Upgrades!$U$19,K75),1)*IF(Upgrades!$T$20="Roche Lobe Overflow",POWER(Upgrades!$U$20,L75),1)*IF(Upgrades!$T$21="Roche Lobe Overflow",POWER(Upgrades!$U$21,M75),1))*POWER(Upgrades!$R$13,E75)*POWER(Upgrades!$R$14,F75)*POWER(Upgrades!$R$15,G75)*POWER(Upgrades!$R$16,H75)*POWER(Upgrades!$R$17,I75)*POWER(Upgrades!$R$18,J75)*POWER(Upgrades!$R$19,K75)*POWER(Upgrades!$R$20,L75)*POWER(Upgrades!$R$21,M75)*$H$6*O75*60</f>
        <v/>
      </c>
      <c r="AE75" s="27">
        <f>(IF(I75=0,0,(Upgrades!$G$17+I75*Upgrades!$H$17)*POWER(Upgrades!$I$17,I75)))*(IF(Upgrades!$T$13="Brown Dwarf",POWER(Upgrades!$U$13,E75),1)*IF(Upgrades!$T$14="Brown Dwarf",POWER(Upgrades!$U$14,F75),1)*IF(Upgrades!$T$15="Brown Dwarf",POWER(Upgrades!$U$15,G75),1)*IF(Upgrades!$T$16="Brown Dwarf",POWER(Upgrades!$U$16,H75),1)*IF(Upgrades!$T$18="Brown Dwarf",POWER(Upgrades!$U$18,J75),1)*IF(Upgrades!$T$19="Brown Dwarf",POWER(Upgrades!$U$19,K75),1)*IF(Upgrades!$T$20="Brown Dwarf",POWER(Upgrades!$U$20,L75),1)*IF(Upgrades!$T$21="Brown Dwarf",POWER(Upgrades!$U$21,M75),1))*POWER(Upgrades!$P$13,E75)*POWER(Upgrades!$P$14,F75)*POWER(Upgrades!$P$15,G75)*POWER(Upgrades!$P$16,H75)*POWER(Upgrades!$P$17,I75)*POWER(Upgrades!$P$18,J75)*POWER(Upgrades!$P$19,K75)*POWER(Upgrades!$P$20,L75)*POWER(Upgrades!$P$21,M75)*$F$6*60</f>
        <v/>
      </c>
      <c r="AF75" s="27" t="n">
        <v>0</v>
      </c>
      <c r="AG75" s="27" t="n">
        <v>0</v>
      </c>
      <c r="AH75" s="27" t="n">
        <v>0</v>
      </c>
      <c r="AI75" s="27">
        <f>(IF(M75=0,0,(Upgrades!$G$21+M75*Upgrades!$H$21)*POWER(Upgrades!$I$21,M75)))*(IF(Upgrades!$T$13="Moving Group",POWER(Upgrades!$U$13,E75),1)*IF(Upgrades!$T$14="Moving Group",POWER(Upgrades!$U$14,F75),1)*IF(Upgrades!$T$15="Moving Group",POWER(Upgrades!$U$15,G75),1)*IF(Upgrades!$T$16="Moving Group",POWER(Upgrades!$U$16,H75),1)*IF(Upgrades!$T$17="Moving Group",POWER(Upgrades!$U$17,I75),1)*IF(Upgrades!$T$18="Moving Group",POWER(Upgrades!$U$18,J75),1)*IF(Upgrades!$T$19="Moving Group",POWER(Upgrades!$U$19,K75),1)*IF(Upgrades!$T$20="Moving Group",POWER(Upgrades!$U$20,L75),1))*POWER(Upgrades!$P$13,E75)*POWER(Upgrades!$P$14,F75)*POWER(Upgrades!$P$15,G75)*POWER(Upgrades!$P$16,H75)*POWER(Upgrades!$P$17,I75)*POWER(Upgrades!$P$18,J75)*POWER(Upgrades!$P$19,K75)*POWER(Upgrades!$P$20,L75)*POWER(Upgrades!$P$21,M75)*$F$6*60</f>
        <v/>
      </c>
      <c r="AJ75" s="27">
        <f>$C$6*60</f>
        <v/>
      </c>
      <c r="AK75" s="22">
        <f>IF(E75&gt;=Upgrades!$E$13,"",Upgrades!$C$13*POWER(Upgrades!$D$13,E75))</f>
        <v/>
      </c>
      <c r="AL75" s="22">
        <f>IF(F75&gt;=Upgrades!$E$14,"",Upgrades!$C$14*POWER(Upgrades!$D$14,F75))</f>
        <v/>
      </c>
      <c r="AM75" s="22">
        <f>IF(G75&gt;=Upgrades!$E$15,"",Upgrades!$C$15*POWER(Upgrades!$D$15,G75))</f>
        <v/>
      </c>
      <c r="AN75" s="22">
        <f>IF(H75&gt;=Upgrades!$E$16,"",Upgrades!$C$16*POWER(Upgrades!$D$16,H75))</f>
        <v/>
      </c>
      <c r="AO75" s="22">
        <f>IF(I75&gt;=Upgrades!$E$17,"",Upgrades!$C$17*POWER(Upgrades!$D$17,I75))</f>
        <v/>
      </c>
      <c r="AP75" s="22">
        <f>IF(J75&gt;=Upgrades!$E$18,"",Upgrades!$C$18*POWER(Upgrades!$D$18,J75))</f>
        <v/>
      </c>
      <c r="AQ75" s="22">
        <f>IF(K75&gt;=Upgrades!$E$19,"",Upgrades!$C$19*POWER(Upgrades!$D$19,K75))</f>
        <v/>
      </c>
      <c r="AR75" s="22">
        <f>IF(L75&gt;=Upgrades!$E$20,"",Upgrades!$C$20*POWER(Upgrades!$D$20,L75))</f>
        <v/>
      </c>
      <c r="AS75" s="22">
        <f>IF(M75&gt;=Upgrades!$E$21,"",Upgrades!$C$21*POWER(Upgrades!$D$21,M75))</f>
        <v/>
      </c>
      <c r="AT75" s="26">
        <f>IF(AND(D75&gt;=Parameters!$B$18*Parameters!$B$19,(I75&gt;=Upgrades!$E$17)*(M75&gt;=Upgrades!$E$21)=1,N75=0),1,"")</f>
        <v/>
      </c>
      <c r="AU75" s="26">
        <f>IF(AND(D75&gt;=Parameters!$B$18*Parameters!$B$19,N75=0),1,"")</f>
        <v/>
      </c>
      <c r="AV75" s="22">
        <f>MIN(IF(ISNUMBER(AP75),AP75,9E15),IF(ISNUMBER(AQ75),AQ75,9E15),IF(ISNUMBER(AR75),AR75,9E15),IF(ISNUMBER(AS75),AS75,9E15))</f>
        <v/>
      </c>
      <c r="AW75" s="22">
        <f>MIN(IF(ISNUMBER(AK75),AK75,9E15),IF(ISNUMBER(AL75),AL75,9E15),IF(ISNUMBER(AM75),AM75,9E15),IF(ISNUMBER(AN75),AN75,9E15),IF(ISNUMBER(AO75),AO75,9E15))</f>
        <v/>
      </c>
      <c r="AX75" s="29">
        <f>IF(BD75&gt;Parameters!$B$21*(MAX(IF(AND(NOT(AND(AU75=1,AT75&lt;&gt;1)),ISNUMBER(AK75),AK75&lt;=(C75+T75)),AY75,0),IF(AND(NOT(AND(AU75=1,AT75&lt;&gt;1)),ISNUMBER(AL75),AL75&lt;=(C75+T75)),AZ75,0),IF(AND(NOT(AND(AU75=1,AT75&lt;&gt;1)),ISNUMBER(AM75),AM75&lt;=(C75+T75)),BA75,0),IF(AND(NOT(AND(AU75=1,AT75&lt;&gt;1)),ISNUMBER(AN75),AN75&lt;=(C75+T75)),BB75,0),IF(AND(ISNUMBER(AO75),AO75&lt;=(C75+T75)),BC75,0))),TRUE,FALSE)</f>
        <v/>
      </c>
      <c r="AY75" s="32">
        <f>IFERROR(Upgrades!$H$13*(POWER(Upgrades!$P$13,E75)*POWER(Upgrades!$P$14,F75)*POWER(Upgrades!$P$15,G75)*POWER(Upgrades!$P$16,H75)*POWER(Upgrades!$P$17,I75)*POWER(Upgrades!$P$18,J75)*POWER(Upgrades!$P$19,K75)*POWER(Upgrades!$P$20,L75)*POWER(Upgrades!$P$21,M75))*(IF(Upgrades!$T$14="Stellar Kinematics",POWER(Upgrades!$U$14,F75),1)*IF(Upgrades!$T$15="Stellar Kinematics",POWER(Upgrades!$U$15,G75),1)*IF(Upgrades!$T$16="Stellar Kinematics",POWER(Upgrades!$U$16,H75),1)*IF(Upgrades!$T$17="Stellar Kinematics",POWER(Upgrades!$U$17,I75),1)*IF(Upgrades!$T$18="Stellar Kinematics",POWER(Upgrades!$U$18,J75),1)*IF(Upgrades!$T$19="Stellar Kinematics",POWER(Upgrades!$U$19,K75),1)*IF(Upgrades!$T$20="Stellar Kinematics",POWER(Upgrades!$U$20,L75),1)*IF(Upgrades!$T$21="Stellar Kinematics",POWER(Upgrades!$U$21,M75),1))*$F$6/AK75,0)</f>
        <v/>
      </c>
      <c r="AZ75" s="32">
        <f>IFERROR(Upgrades!$H$14*(POWER(Upgrades!$P$13,E75)*POWER(Upgrades!$P$14,F75)*POWER(Upgrades!$P$15,G75)*POWER(Upgrades!$P$16,H75)*POWER(Upgrades!$P$17,I75)*POWER(Upgrades!$P$18,J75)*POWER(Upgrades!$P$19,K75)*POWER(Upgrades!$P$20,L75)*POWER(Upgrades!$P$21,M75))*(IF(Upgrades!$T$13="Local Bubble",POWER(Upgrades!$U$13,E75),1)*IF(Upgrades!$T$15="Local Bubble",POWER(Upgrades!$U$15,G75),1)*IF(Upgrades!$T$16="Local Bubble",POWER(Upgrades!$U$16,H75),1)*IF(Upgrades!$T$17="Local Bubble",POWER(Upgrades!$U$17,I75),1)*IF(Upgrades!$T$18="Local Bubble",POWER(Upgrades!$U$18,J75),1)*IF(Upgrades!$T$19="Local Bubble",POWER(Upgrades!$U$19,K75),1)*IF(Upgrades!$T$20="Local Bubble",POWER(Upgrades!$U$20,L75),1)*IF(Upgrades!$T$21="Local Bubble",POWER(Upgrades!$U$21,M75),1))*$F$6/AL75,0)</f>
        <v/>
      </c>
      <c r="BA75" s="32">
        <f>IFERROR(Upgrades!$K$15*(POWER(Upgrades!$Q$13,E75)*POWER(Upgrades!$Q$14,F75)*POWER(Upgrades!$Q$15,G75)*POWER(Upgrades!$Q$16,H75)*POWER(Upgrades!$Q$17,I75)*POWER(Upgrades!$Q$18,J75)*POWER(Upgrades!$Q$19,K75)*POWER(Upgrades!$Q$20,L75)*POWER(Upgrades!$Q$21,M75))*(IF(Upgrades!$T$13="Microlensing",POWER(Upgrades!$U$13,E75),1)*IF(Upgrades!$T$14="Microlensing",POWER(Upgrades!$U$14,F75),1)*IF(Upgrades!$T$16="Microlensing",POWER(Upgrades!$U$16,H75),1)*IF(Upgrades!$T$17="Microlensing",POWER(Upgrades!$U$17,I75),1)*IF(Upgrades!$T$18="Microlensing",POWER(Upgrades!$U$18,J75),1)*IF(Upgrades!$T$19="Microlensing",POWER(Upgrades!$U$19,K75),1)*IF(Upgrades!$T$20="Microlensing",POWER(Upgrades!$U$20,L75),1)*IF(Upgrades!$T$21="Microlensing",POWER(Upgrades!$U$21,M75),1))*$G$6*(Parameters!$B$10/60*Parameters!$B$11+Q75)/AM75,0)</f>
        <v/>
      </c>
      <c r="BB75" s="32">
        <f>IFERROR((Upgrades!$N$16*(POWER(Upgrades!$R$13,E75)*POWER(Upgrades!$R$14,F75)*POWER(Upgrades!$R$15,G75)*POWER(Upgrades!$R$16,H75)*POWER(Upgrades!$R$17,I75)*POWER(Upgrades!$R$18,J75)*POWER(Upgrades!$R$19,K75)*POWER(Upgrades!$R$20,L75)*POWER(Upgrades!$R$21,M75))*(IF(Upgrades!$T$13="Roche Lobe Overflow",POWER(Upgrades!$U$13,E75),1)*IF(Upgrades!$T$14="Roche Lobe Overflow",POWER(Upgrades!$U$14,F75),1)*IF(Upgrades!$T$15="Roche Lobe Overflow",POWER(Upgrades!$U$15,G75),1)*IF(Upgrades!$T$17="Roche Lobe Overflow",POWER(Upgrades!$U$17,I75),1)*IF(Upgrades!$T$18="Roche Lobe Overflow",POWER(Upgrades!$U$18,J75),1)*IF(Upgrades!$T$19="Roche Lobe Overflow",POWER(Upgrades!$U$19,K75),1)*IF(Upgrades!$T$20="Roche Lobe Overflow",POWER(Upgrades!$U$20,L75),1)*IF(Upgrades!$T$21="Roche Lobe Overflow",POWER(Upgrades!$U$21,M75),1))*$H$6*O75+((IF(F75=0,0,(Upgrades!$G$14+F75*Upgrades!$H$14)*POWER(Upgrades!$I$14,F75)))*(IF(Upgrades!$T$13="Local Bubble",POWER(Upgrades!$U$13,E75),1)*IF(Upgrades!$T$15="Local Bubble",POWER(Upgrades!$U$15,G75),1)*IF(Upgrades!$T$16="Local Bubble",POWER(Upgrades!$U$16,H75),1)*IF(Upgrades!$T$17="Local Bubble",POWER(Upgrades!$U$17,I75),1)*IF(Upgrades!$T$18="Local Bubble",POWER(Upgrades!$U$18,J75),1)*IF(Upgrades!$T$19="Local Bubble",POWER(Upgrades!$U$19,K75),1)*IF(Upgrades!$T$20="Local Bubble",POWER(Upgrades!$U$20,L75),1)*IF(Upgrades!$T$21="Local Bubble",POWER(Upgrades!$U$21,M75),1))*POWER(Upgrades!$P$13,E75)*POWER(Upgrades!$P$14,F75)*POWER(Upgrades!$P$15,G75)*POWER(Upgrades!$P$16,H75)*POWER(Upgrades!$P$17,I75)*POWER(Upgrades!$P$18,J75)*POWER(Upgrades!$P$19,K75)*POWER(Upgrades!$P$20,L75)*POWER(Upgrades!$P$21,M75)*$F$6)*0.05)/AN75,0)</f>
        <v/>
      </c>
      <c r="BC75" s="32">
        <f>IFERROR((Upgrades!$H$17*(POWER(Upgrades!$P$13,E75)*POWER(Upgrades!$P$14,F75)*POWER(Upgrades!$P$15,G75)*POWER(Upgrades!$P$16,H75)*POWER(Upgrades!$P$17,I75)*POWER(Upgrades!$P$18,J75)*POWER(Upgrades!$P$19,K75)*POWER(Upgrades!$P$20,L75)*POWER(Upgrades!$P$21,M75))*(IF(Upgrades!$T$13="Brown Dwarf",POWER(Upgrades!$U$13,E75),1)*IF(Upgrades!$T$14="Brown Dwarf",POWER(Upgrades!$U$14,F75),1)*IF(Upgrades!$T$15="Brown Dwarf",POWER(Upgrades!$U$15,G75),1)*IF(Upgrades!$T$16="Brown Dwarf",POWER(Upgrades!$U$16,H75),1)*IF(Upgrades!$T$18="Brown Dwarf",POWER(Upgrades!$U$18,J75),1)*IF(Upgrades!$T$19="Brown Dwarf",POWER(Upgrades!$U$19,K75),1)*IF(Upgrades!$T$20="Brown Dwarf",POWER(Upgrades!$U$20,L75),1)*IF(Upgrades!$T$21="Brown Dwarf",POWER(Upgrades!$U$21,M75),1))*$F$6+(((IF(H75=0,0,(Upgrades!$M$16+H75*Upgrades!$N$16)*POWER(Upgrades!$O$16,H75)))*(IF(Upgrades!$T$13="Roche Lobe Overflow",POWER(Upgrades!$U$13,E75),1)*IF(Upgrades!$T$14="Roche Lobe Overflow",POWER(Upgrades!$U$14,F75),1)*IF(Upgrades!$T$15="Roche Lobe Overflow",POWER(Upgrades!$U$15,G75),1)*IF(Upgrades!$T$17="Roche Lobe Overflow",POWER(Upgrades!$U$17,I75),1)*IF(Upgrades!$T$18="Roche Lobe Overflow",POWER(Upgrades!$U$18,J75),1)*IF(Upgrades!$T$19="Roche Lobe Overflow",POWER(Upgrades!$U$19,K75),1)*IF(Upgrades!$T$20="Roche Lobe Overflow",POWER(Upgrades!$U$20,L75),1)*IF(Upgrades!$T$21="Roche Lobe Overflow",POWER(Upgrades!$U$21,M75),1))*POWER(Upgrades!$R$13,E75)*POWER(Upgrades!$R$14,F75)*POWER(Upgrades!$R$15,G75)*POWER(Upgrades!$R$16,H75)*POWER(Upgrades!$R$17,I75)*POWER(Upgrades!$R$18,J75)*POWER(Upgrades!$R$19,K75)*POWER(Upgrades!$R$20,L75)*POWER(Upgrades!$R$21,M75)*$H$6)*O75)*0.10)/AO75,0)</f>
        <v/>
      </c>
      <c r="BD75" s="32">
        <f>MAX(IF(J75&gt;0,0,IFERROR(0.5*((IF(G75=0,0,(Upgrades!$J$15+G75*Upgrades!$K$15)*POWER(Upgrades!$L$15,G75)))*(IF(Upgrades!$T$13="Microlensing",POWER(Upgrades!$U$13,E75),1)*IF(Upgrades!$T$14="Microlensing",POWER(Upgrades!$U$14,F75),1)*IF(Upgrades!$T$16="Microlensing",POWER(Upgrades!$U$16,H75),1)*IF(Upgrades!$T$17="Microlensing",POWER(Upgrades!$U$17,I75),1)*IF(Upgrades!$T$18="Microlensing",POWER(Upgrades!$U$18,J75),1)*IF(Upgrades!$T$19="Microlensing",POWER(Upgrades!$U$19,K75),1)*IF(Upgrades!$T$20="Microlensing",POWER(Upgrades!$U$20,L75),1)*IF(Upgrades!$T$21="Microlensing",POWER(Upgrades!$U$21,M75),1))*(POWER(Upgrades!$Q$13,E75)*POWER(Upgrades!$Q$14,F75)*POWER(Upgrades!$Q$15,G75)*POWER(Upgrades!$Q$16,H75)*POWER(Upgrades!$Q$17,I75)*POWER(Upgrades!$Q$18,J75)*POWER(Upgrades!$Q$19,K75)*POWER(Upgrades!$Q$20,L75)*POWER(Upgrades!$Q$21,M75))*$G$6*(Parameters!$B$10/60*Parameters!$B$11+Q75))/Upgrades!$C$18,0)),IF(K75&gt;0,0,IFERROR(0.30*P75/Upgrades!$C$19,0)),IF(L75&gt;0,0,IFERROR(0.0001/Upgrades!$C$20,0)),IF(M75&gt;0,0,IFERROR((6.0*(POWER(Upgrades!$P$13,E75)*POWER(Upgrades!$P$14,F75)*POWER(Upgrades!$P$15,G75)*POWER(Upgrades!$P$16,H75)*POWER(Upgrades!$P$17,I75)*POWER(Upgrades!$P$18,J75)*POWER(Upgrades!$P$19,K75)*POWER(Upgrades!$P$20,L75)*POWER(Upgrades!$P$21,M75))*$F$6+0.20*O75*(Parameters!$B$10/60*Parameters!$B$11+Q75))/Upgrades!$C$21,0)),IF(AND(ISNUMBER(AK75),AK75&gt;(C75+T75)),AY75,0),IF(AND(ISNUMBER(AL75),AL75&gt;(C75+T75)),AZ75,0),IF(AND(ISNUMBER(AM75),AM75&gt;(C75+T75)),BA75,0),IF(AND(ISNUMBER(AN75),AN75&gt;(C75+T75)),BB75,0),IF(AND(ISNUMBER(AO75),AO75&gt;(C75+T75)),BC75,0))</f>
        <v/>
      </c>
      <c r="BE75" s="29">
        <f>IF(AT75=1,"transition",IF(MIN(IF(AND(J75=0,ISNUMBER(AP75),AP75&lt;=(C75+T75)),AP75,9E15),IF(AND(K75=0,ISNUMBER(AQ75),AQ75&lt;=(C75+T75)),AQ75,9E15),IF(AND(L75=0,ISNUMBER(AR75),AR75&lt;=(C75+T75)),AR75,9E15),IF(AND(M75=0,ISNUMBER(AS75),AS75&lt;=(C75+T75)),AS75,9E15))&lt;9E15,IF(AND(AND(J75=0,ISNUMBER(AP75),AP75&lt;=(C75+T75)),AP75=MIN(IF(AND(J75=0,ISNUMBER(AP75),AP75&lt;=(C75+T75)),AP75,9E15),IF(AND(K75=0,ISNUMBER(AQ75),AQ75&lt;=(C75+T75)),AQ75,9E15),IF(AND(L75=0,ISNUMBER(AR75),AR75&lt;=(C75+T75)),AR75,9E15),IF(AND(M75=0,ISNUMBER(AS75),AS75&lt;=(C75+T75)),AS75,9E15))),"BiP",IF(AND(AND(K75=0,ISNUMBER(AQ75),AQ75&lt;=(C75+T75)),AQ75=MIN(IF(AND(J75=0,ISNUMBER(AP75),AP75&lt;=(C75+T75)),AP75,9E15),IF(AND(K75=0,ISNUMBER(AQ75),AQ75&lt;=(C75+T75)),AQ75,9E15),IF(AND(L75=0,ISNUMBER(AR75),AR75&lt;=(C75+T75)),AR75,9E15),IF(AND(M75=0,ISNUMBER(AS75),AS75&lt;=(C75+T75)),AS75,9E15))),"PV",IF(AND(AND(L75=0,ISNUMBER(AR75),AR75&lt;=(C75+T75)),AR75=MIN(IF(AND(J75=0,ISNUMBER(AP75),AP75&lt;=(C75+T75)),AP75,9E15),IF(AND(K75=0,ISNUMBER(AQ75),AQ75&lt;=(C75+T75)),AQ75,9E15),IF(AND(L75=0,ISNUMBER(AR75),AR75&lt;=(C75+T75)),AR75,9E15),IF(AND(M75=0,ISNUMBER(AS75),AS75&lt;=(C75+T75)),AS75,9E15))),"OC","MG"))),IF(AX75=TRUE,"",IF(MAX(IF(AND(NOT(AND(AU75=1,AT75&lt;&gt;1)),ISNUMBER(AK75),AK75&lt;=(C75+T75)),AY75,0),IF(AND(NOT(AND(AU75=1,AT75&lt;&gt;1)),ISNUMBER(AL75),AL75&lt;=(C75+T75)),AZ75,0),IF(AND(NOT(AND(AU75=1,AT75&lt;&gt;1)),ISNUMBER(AM75),AM75&lt;=(C75+T75)),BA75,0),IF(AND(NOT(AND(AU75=1,AT75&lt;&gt;1)),ISNUMBER(AN75),AN75&lt;=(C75+T75)),BB75,0),IF(AND(ISNUMBER(AO75),AO75&lt;=(C75+T75)),BC75,0))&lt;=0,"",IF(AND(IF(AND(NOT(AND(AU75=1,AT75&lt;&gt;1)),ISNUMBER(AK75),AK75&lt;=(C75+T75)),AY75,0)&gt;0,IF(AND(NOT(AND(AU75=1,AT75&lt;&gt;1)),ISNUMBER(AK75),AK75&lt;=(C75+T75)),AY75,0)=MAX(IF(AND(NOT(AND(AU75=1,AT75&lt;&gt;1)),ISNUMBER(AK75),AK75&lt;=(C75+T75)),AY75,0),IF(AND(NOT(AND(AU75=1,AT75&lt;&gt;1)),ISNUMBER(AL75),AL75&lt;=(C75+T75)),AZ75,0),IF(AND(NOT(AND(AU75=1,AT75&lt;&gt;1)),ISNUMBER(AM75),AM75&lt;=(C75+T75)),BA75,0),IF(AND(NOT(AND(AU75=1,AT75&lt;&gt;1)),ISNUMBER(AN75),AN75&lt;=(C75+T75)),BB75,0),IF(AND(ISNUMBER(AO75),AO75&lt;=(C75+T75)),BC75,0))),"SK",IF(AND(IF(AND(NOT(AND(AU75=1,AT75&lt;&gt;1)),ISNUMBER(AL75),AL75&lt;=(C75+T75)),AZ75,0)&gt;0,IF(AND(NOT(AND(AU75=1,AT75&lt;&gt;1)),ISNUMBER(AL75),AL75&lt;=(C75+T75)),AZ75,0)=MAX(IF(AND(NOT(AND(AU75=1,AT75&lt;&gt;1)),ISNUMBER(AK75),AK75&lt;=(C75+T75)),AY75,0),IF(AND(NOT(AND(AU75=1,AT75&lt;&gt;1)),ISNUMBER(AL75),AL75&lt;=(C75+T75)),AZ75,0),IF(AND(NOT(AND(AU75=1,AT75&lt;&gt;1)),ISNUMBER(AM75),AM75&lt;=(C75+T75)),BA75,0),IF(AND(NOT(AND(AU75=1,AT75&lt;&gt;1)),ISNUMBER(AN75),AN75&lt;=(C75+T75)),BB75,0),IF(AND(ISNUMBER(AO75),AO75&lt;=(C75+T75)),BC75,0))),"LB",IF(AND(IF(AND(NOT(AND(AU75=1,AT75&lt;&gt;1)),ISNUMBER(AM75),AM75&lt;=(C75+T75)),BA75,0)&gt;0,IF(AND(NOT(AND(AU75=1,AT75&lt;&gt;1)),ISNUMBER(AM75),AM75&lt;=(C75+T75)),BA75,0)=MAX(IF(AND(NOT(AND(AU75=1,AT75&lt;&gt;1)),ISNUMBER(AK75),AK75&lt;=(C75+T75)),AY75,0),IF(AND(NOT(AND(AU75=1,AT75&lt;&gt;1)),ISNUMBER(AL75),AL75&lt;=(C75+T75)),AZ75,0),IF(AND(NOT(AND(AU75=1,AT75&lt;&gt;1)),ISNUMBER(AM75),AM75&lt;=(C75+T75)),BA75,0),IF(AND(NOT(AND(AU75=1,AT75&lt;&gt;1)),ISNUMBER(AN75),AN75&lt;=(C75+T75)),BB75,0),IF(AND(ISNUMBER(AO75),AO75&lt;=(C75+T75)),BC75,0))),"ML",IF(AND(IF(AND(NOT(AND(AU75=1,AT75&lt;&gt;1)),ISNUMBER(AN75),AN75&lt;=(C75+T75)),BB75,0)&gt;0,IF(AND(NOT(AND(AU75=1,AT75&lt;&gt;1)),ISNUMBER(AN75),AN75&lt;=(C75+T75)),BB75,0)=MAX(IF(AND(NOT(AND(AU75=1,AT75&lt;&gt;1)),ISNUMBER(AK75),AK75&lt;=(C75+T75)),AY75,0),IF(AND(NOT(AND(AU75=1,AT75&lt;&gt;1)),ISNUMBER(AL75),AL75&lt;=(C75+T75)),AZ75,0),IF(AND(NOT(AND(AU75=1,AT75&lt;&gt;1)),ISNUMBER(AM75),AM75&lt;=(C75+T75)),BA75,0),IF(AND(NOT(AND(AU75=1,AT75&lt;&gt;1)),ISNUMBER(AN75),AN75&lt;=(C75+T75)),BB75,0),IF(AND(ISNUMBER(AO75),AO75&lt;=(C75+T75)),BC75,0))),"RLO","BD"))))))))</f>
        <v/>
      </c>
    </row>
    <row r="76">
      <c r="A76" s="26" t="n">
        <v>65</v>
      </c>
      <c r="B76" s="27">
        <f>A76*10/60</f>
        <v/>
      </c>
      <c r="C76" s="22">
        <f>X75</f>
        <v/>
      </c>
      <c r="D76" s="27">
        <f>D75+W75</f>
        <v/>
      </c>
      <c r="E76" s="26">
        <f>E75+IF(U75="SK",1,0)</f>
        <v/>
      </c>
      <c r="F76" s="26">
        <f>F75+IF(U75="LB",1,0)</f>
        <v/>
      </c>
      <c r="G76" s="26">
        <f>G75+IF(U75="ML",1,0)</f>
        <v/>
      </c>
      <c r="H76" s="26">
        <f>H75+IF(U75="RLO",1,0)</f>
        <v/>
      </c>
      <c r="I76" s="26">
        <f>I75+IF(U75="BD",1,0)</f>
        <v/>
      </c>
      <c r="J76" s="26">
        <f>MAX(J75,IF(U75="BiP",1,0))</f>
        <v/>
      </c>
      <c r="K76" s="26">
        <f>MAX(K75,IF(U75="PV",1,0))</f>
        <v/>
      </c>
      <c r="L76" s="26">
        <f>MAX(L75,IF(U75="OC",1,0))</f>
        <v/>
      </c>
      <c r="M76" s="26">
        <f>MAX(M75,IF(U75="MG",1,0))</f>
        <v/>
      </c>
      <c r="N76" s="26">
        <f>MAX(N75,IF(U75="transition",1,0))</f>
        <v/>
      </c>
      <c r="O76" s="28">
        <f>(Parameters!$B$9+(IF(E76=0,0,(Upgrades!$J$13+E76*Upgrades!$K$13)*POWER(Upgrades!$L$13,E76)))*(IF(Upgrades!$T$14="Stellar Kinematics",POWER(Upgrades!$U$14,F76),1)*IF(Upgrades!$T$15="Stellar Kinematics",POWER(Upgrades!$U$15,G76),1)*IF(Upgrades!$T$16="Stellar Kinematics",POWER(Upgrades!$U$16,H76),1)*IF(Upgrades!$T$17="Stellar Kinematics",POWER(Upgrades!$U$17,I76),1)*IF(Upgrades!$T$18="Stellar Kinematics",POWER(Upgrades!$U$18,J76),1)*IF(Upgrades!$T$19="Stellar Kinematics",POWER(Upgrades!$U$19,K76),1)*IF(Upgrades!$T$20="Stellar Kinematics",POWER(Upgrades!$U$20,L76),1)*IF(Upgrades!$T$21="Stellar Kinematics",POWER(Upgrades!$U$21,M76),1))+(IF(F76=0,0,(Upgrades!$J$14+F76*Upgrades!$K$14)*POWER(Upgrades!$L$14,F76)))*(IF(Upgrades!$T$13="Local Bubble",POWER(Upgrades!$U$13,E76),1)*IF(Upgrades!$T$15="Local Bubble",POWER(Upgrades!$U$15,G76),1)*IF(Upgrades!$T$16="Local Bubble",POWER(Upgrades!$U$16,H76),1)*IF(Upgrades!$T$17="Local Bubble",POWER(Upgrades!$U$17,I76),1)*IF(Upgrades!$T$18="Local Bubble",POWER(Upgrades!$U$18,J76),1)*IF(Upgrades!$T$19="Local Bubble",POWER(Upgrades!$U$19,K76),1)*IF(Upgrades!$T$20="Local Bubble",POWER(Upgrades!$U$20,L76),1)*IF(Upgrades!$T$21="Local Bubble",POWER(Upgrades!$U$21,M76),1))+(IF(G76=0,0,(Upgrades!$J$15+G76*Upgrades!$K$15)*POWER(Upgrades!$L$15,G76)))*(IF(Upgrades!$T$13="Microlensing",POWER(Upgrades!$U$13,E76),1)*IF(Upgrades!$T$14="Microlensing",POWER(Upgrades!$U$14,F76),1)*IF(Upgrades!$T$16="Microlensing",POWER(Upgrades!$U$16,H76),1)*IF(Upgrades!$T$17="Microlensing",POWER(Upgrades!$U$17,I76),1)*IF(Upgrades!$T$18="Microlensing",POWER(Upgrades!$U$18,J76),1)*IF(Upgrades!$T$19="Microlensing",POWER(Upgrades!$U$19,K76),1)*IF(Upgrades!$T$20="Microlensing",POWER(Upgrades!$U$20,L76),1)*IF(Upgrades!$T$21="Microlensing",POWER(Upgrades!$U$21,M76),1))+(IF(H76=0,0,(Upgrades!$J$16+H76*Upgrades!$K$16)*POWER(Upgrades!$L$16,H76)))*(IF(Upgrades!$T$13="Roche Lobe Overflow",POWER(Upgrades!$U$13,E76),1)*IF(Upgrades!$T$14="Roche Lobe Overflow",POWER(Upgrades!$U$14,F76),1)*IF(Upgrades!$T$15="Roche Lobe Overflow",POWER(Upgrades!$U$15,G76),1)*IF(Upgrades!$T$17="Roche Lobe Overflow",POWER(Upgrades!$U$17,I76),1)*IF(Upgrades!$T$18="Roche Lobe Overflow",POWER(Upgrades!$U$18,J76),1)*IF(Upgrades!$T$19="Roche Lobe Overflow",POWER(Upgrades!$U$19,K76),1)*IF(Upgrades!$T$20="Roche Lobe Overflow",POWER(Upgrades!$U$20,L76),1)*IF(Upgrades!$T$21="Roche Lobe Overflow",POWER(Upgrades!$U$21,M76),1))+(IF(I76=0,0,(Upgrades!$J$17+I76*Upgrades!$K$17)*POWER(Upgrades!$L$17,I76)))*(IF(Upgrades!$T$13="Brown Dwarf",POWER(Upgrades!$U$13,E76),1)*IF(Upgrades!$T$14="Brown Dwarf",POWER(Upgrades!$U$14,F76),1)*IF(Upgrades!$T$15="Brown Dwarf",POWER(Upgrades!$U$15,G76),1)*IF(Upgrades!$T$16="Brown Dwarf",POWER(Upgrades!$U$16,H76),1)*IF(Upgrades!$T$18="Brown Dwarf",POWER(Upgrades!$U$18,J76),1)*IF(Upgrades!$T$19="Brown Dwarf",POWER(Upgrades!$U$19,K76),1)*IF(Upgrades!$T$20="Brown Dwarf",POWER(Upgrades!$U$20,L76),1)*IF(Upgrades!$T$21="Brown Dwarf",POWER(Upgrades!$U$21,M76),1))+(IF(J76=0,0,(Upgrades!$J$18+J76*Upgrades!$K$18)*POWER(Upgrades!$L$18,J76)))*(IF(Upgrades!$T$13="Binary Partner",POWER(Upgrades!$U$13,E76),1)*IF(Upgrades!$T$14="Binary Partner",POWER(Upgrades!$U$14,F76),1)*IF(Upgrades!$T$15="Binary Partner",POWER(Upgrades!$U$15,G76),1)*IF(Upgrades!$T$16="Binary Partner",POWER(Upgrades!$U$16,H76),1)*IF(Upgrades!$T$17="Binary Partner",POWER(Upgrades!$U$17,I76),1)*IF(Upgrades!$T$19="Binary Partner",POWER(Upgrades!$U$19,K76),1)*IF(Upgrades!$T$20="Binary Partner",POWER(Upgrades!$U$20,L76),1)*IF(Upgrades!$T$21="Binary Partner",POWER(Upgrades!$U$21,M76),1))+(IF(K76=0,0,(Upgrades!$J$19+K76*Upgrades!$K$19)*POWER(Upgrades!$L$19,K76)))*(IF(Upgrades!$T$13="Peculiar Velocity",POWER(Upgrades!$U$13,E76),1)*IF(Upgrades!$T$14="Peculiar Velocity",POWER(Upgrades!$U$14,F76),1)*IF(Upgrades!$T$15="Peculiar Velocity",POWER(Upgrades!$U$15,G76),1)*IF(Upgrades!$T$16="Peculiar Velocity",POWER(Upgrades!$U$16,H76),1)*IF(Upgrades!$T$17="Peculiar Velocity",POWER(Upgrades!$U$17,I76),1)*IF(Upgrades!$T$18="Peculiar Velocity",POWER(Upgrades!$U$18,J76),1)*IF(Upgrades!$T$20="Peculiar Velocity",POWER(Upgrades!$U$20,L76),1)*IF(Upgrades!$T$21="Peculiar Velocity",POWER(Upgrades!$U$21,M76),1))+(IF(L76=0,0,(Upgrades!$J$20+L76*Upgrades!$K$20)*POWER(Upgrades!$L$20,L76)))*(IF(Upgrades!$T$13="Open Cluster",POWER(Upgrades!$U$13,E76),1)*IF(Upgrades!$T$14="Open Cluster",POWER(Upgrades!$U$14,F76),1)*IF(Upgrades!$T$15="Open Cluster",POWER(Upgrades!$U$15,G76),1)*IF(Upgrades!$T$16="Open Cluster",POWER(Upgrades!$U$16,H76),1)*IF(Upgrades!$T$17="Open Cluster",POWER(Upgrades!$U$17,I76),1)*IF(Upgrades!$T$18="Open Cluster",POWER(Upgrades!$U$18,J76),1)*IF(Upgrades!$T$19="Open Cluster",POWER(Upgrades!$U$19,K76),1)*IF(Upgrades!$T$21="Open Cluster",POWER(Upgrades!$U$21,M76),1))+(IF(M76=0,0,(Upgrades!$J$21+M76*Upgrades!$K$21)*POWER(Upgrades!$L$21,M76)))*(IF(Upgrades!$T$13="Moving Group",POWER(Upgrades!$U$13,E76),1)*IF(Upgrades!$T$14="Moving Group",POWER(Upgrades!$U$14,F76),1)*IF(Upgrades!$T$15="Moving Group",POWER(Upgrades!$U$15,G76),1)*IF(Upgrades!$T$16="Moving Group",POWER(Upgrades!$U$16,H76),1)*IF(Upgrades!$T$17="Moving Group",POWER(Upgrades!$U$17,I76),1)*IF(Upgrades!$T$18="Moving Group",POWER(Upgrades!$U$18,J76),1)*IF(Upgrades!$T$19="Moving Group",POWER(Upgrades!$U$19,K76),1)*IF(Upgrades!$T$20="Moving Group",POWER(Upgrades!$U$20,L76),1)))*POWER(Upgrades!$Q$13,E76)*POWER(Upgrades!$Q$14,F76)*POWER(Upgrades!$Q$15,G76)*POWER(Upgrades!$Q$16,H76)*POWER(Upgrades!$Q$17,I76)*POWER(Upgrades!$Q$18,J76)*POWER(Upgrades!$Q$19,K76)*POWER(Upgrades!$Q$20,L76)*POWER(Upgrades!$Q$21,M76)*$G$6+$D$6</f>
        <v/>
      </c>
      <c r="P76" s="28">
        <f>((IF(E76=0,0,(Upgrades!$G$13+E76*Upgrades!$H$13)*POWER(Upgrades!$I$13,E76)))*(IF(Upgrades!$T$14="Stellar Kinematics",POWER(Upgrades!$U$14,F76),1)*IF(Upgrades!$T$15="Stellar Kinematics",POWER(Upgrades!$U$15,G76),1)*IF(Upgrades!$T$16="Stellar Kinematics",POWER(Upgrades!$U$16,H76),1)*IF(Upgrades!$T$17="Stellar Kinematics",POWER(Upgrades!$U$17,I76),1)*IF(Upgrades!$T$18="Stellar Kinematics",POWER(Upgrades!$U$18,J76),1)*IF(Upgrades!$T$19="Stellar Kinematics",POWER(Upgrades!$U$19,K76),1)*IF(Upgrades!$T$20="Stellar Kinematics",POWER(Upgrades!$U$20,L76),1)*IF(Upgrades!$T$21="Stellar Kinematics",POWER(Upgrades!$U$21,M76),1))+(IF(F76=0,0,(Upgrades!$G$14+F76*Upgrades!$H$14)*POWER(Upgrades!$I$14,F76)))*(IF(Upgrades!$T$13="Local Bubble",POWER(Upgrades!$U$13,E76),1)*IF(Upgrades!$T$15="Local Bubble",POWER(Upgrades!$U$15,G76),1)*IF(Upgrades!$T$16="Local Bubble",POWER(Upgrades!$U$16,H76),1)*IF(Upgrades!$T$17="Local Bubble",POWER(Upgrades!$U$17,I76),1)*IF(Upgrades!$T$18="Local Bubble",POWER(Upgrades!$U$18,J76),1)*IF(Upgrades!$T$19="Local Bubble",POWER(Upgrades!$U$19,K76),1)*IF(Upgrades!$T$20="Local Bubble",POWER(Upgrades!$U$20,L76),1)*IF(Upgrades!$T$21="Local Bubble",POWER(Upgrades!$U$21,M76),1))+(IF(G76=0,0,(Upgrades!$G$15+G76*Upgrades!$H$15)*POWER(Upgrades!$I$15,G76)))*(IF(Upgrades!$T$13="Microlensing",POWER(Upgrades!$U$13,E76),1)*IF(Upgrades!$T$14="Microlensing",POWER(Upgrades!$U$14,F76),1)*IF(Upgrades!$T$16="Microlensing",POWER(Upgrades!$U$16,H76),1)*IF(Upgrades!$T$17="Microlensing",POWER(Upgrades!$U$17,I76),1)*IF(Upgrades!$T$18="Microlensing",POWER(Upgrades!$U$18,J76),1)*IF(Upgrades!$T$19="Microlensing",POWER(Upgrades!$U$19,K76),1)*IF(Upgrades!$T$20="Microlensing",POWER(Upgrades!$U$20,L76),1)*IF(Upgrades!$T$21="Microlensing",POWER(Upgrades!$U$21,M76),1))+(IF(H76=0,0,(Upgrades!$G$16+H76*Upgrades!$H$16)*POWER(Upgrades!$I$16,H76)))*(IF(Upgrades!$T$13="Roche Lobe Overflow",POWER(Upgrades!$U$13,E76),1)*IF(Upgrades!$T$14="Roche Lobe Overflow",POWER(Upgrades!$U$14,F76),1)*IF(Upgrades!$T$15="Roche Lobe Overflow",POWER(Upgrades!$U$15,G76),1)*IF(Upgrades!$T$17="Roche Lobe Overflow",POWER(Upgrades!$U$17,I76),1)*IF(Upgrades!$T$18="Roche Lobe Overflow",POWER(Upgrades!$U$18,J76),1)*IF(Upgrades!$T$19="Roche Lobe Overflow",POWER(Upgrades!$U$19,K76),1)*IF(Upgrades!$T$20="Roche Lobe Overflow",POWER(Upgrades!$U$20,L76),1)*IF(Upgrades!$T$21="Roche Lobe Overflow",POWER(Upgrades!$U$21,M76),1))+(IF(I76=0,0,(Upgrades!$G$17+I76*Upgrades!$H$17)*POWER(Upgrades!$I$17,I76)))*(IF(Upgrades!$T$13="Brown Dwarf",POWER(Upgrades!$U$13,E76),1)*IF(Upgrades!$T$14="Brown Dwarf",POWER(Upgrades!$U$14,F76),1)*IF(Upgrades!$T$15="Brown Dwarf",POWER(Upgrades!$U$15,G76),1)*IF(Upgrades!$T$16="Brown Dwarf",POWER(Upgrades!$U$16,H76),1)*IF(Upgrades!$T$18="Brown Dwarf",POWER(Upgrades!$U$18,J76),1)*IF(Upgrades!$T$19="Brown Dwarf",POWER(Upgrades!$U$19,K76),1)*IF(Upgrades!$T$20="Brown Dwarf",POWER(Upgrades!$U$20,L76),1)*IF(Upgrades!$T$21="Brown Dwarf",POWER(Upgrades!$U$21,M76),1))+(IF(J76=0,0,(Upgrades!$G$18+J76*Upgrades!$H$18)*POWER(Upgrades!$I$18,J76)))*(IF(Upgrades!$T$13="Binary Partner",POWER(Upgrades!$U$13,E76),1)*IF(Upgrades!$T$14="Binary Partner",POWER(Upgrades!$U$14,F76),1)*IF(Upgrades!$T$15="Binary Partner",POWER(Upgrades!$U$15,G76),1)*IF(Upgrades!$T$16="Binary Partner",POWER(Upgrades!$U$16,H76),1)*IF(Upgrades!$T$17="Binary Partner",POWER(Upgrades!$U$17,I76),1)*IF(Upgrades!$T$19="Binary Partner",POWER(Upgrades!$U$19,K76),1)*IF(Upgrades!$T$20="Binary Partner",POWER(Upgrades!$U$20,L76),1)*IF(Upgrades!$T$21="Binary Partner",POWER(Upgrades!$U$21,M76),1))+(IF(K76=0,0,(Upgrades!$G$19+K76*Upgrades!$H$19)*POWER(Upgrades!$I$19,K76)))*(IF(Upgrades!$T$13="Peculiar Velocity",POWER(Upgrades!$U$13,E76),1)*IF(Upgrades!$T$14="Peculiar Velocity",POWER(Upgrades!$U$14,F76),1)*IF(Upgrades!$T$15="Peculiar Velocity",POWER(Upgrades!$U$15,G76),1)*IF(Upgrades!$T$16="Peculiar Velocity",POWER(Upgrades!$U$16,H76),1)*IF(Upgrades!$T$17="Peculiar Velocity",POWER(Upgrades!$U$17,I76),1)*IF(Upgrades!$T$18="Peculiar Velocity",POWER(Upgrades!$U$18,J76),1)*IF(Upgrades!$T$20="Peculiar Velocity",POWER(Upgrades!$U$20,L76),1)*IF(Upgrades!$T$21="Peculiar Velocity",POWER(Upgrades!$U$21,M76),1))+(IF(L76=0,0,(Upgrades!$G$20+L76*Upgrades!$H$20)*POWER(Upgrades!$I$20,L76)))*(IF(Upgrades!$T$13="Open Cluster",POWER(Upgrades!$U$13,E76),1)*IF(Upgrades!$T$14="Open Cluster",POWER(Upgrades!$U$14,F76),1)*IF(Upgrades!$T$15="Open Cluster",POWER(Upgrades!$U$15,G76),1)*IF(Upgrades!$T$16="Open Cluster",POWER(Upgrades!$U$16,H76),1)*IF(Upgrades!$T$17="Open Cluster",POWER(Upgrades!$U$17,I76),1)*IF(Upgrades!$T$18="Open Cluster",POWER(Upgrades!$U$18,J76),1)*IF(Upgrades!$T$19="Open Cluster",POWER(Upgrades!$U$19,K76),1)*IF(Upgrades!$T$21="Open Cluster",POWER(Upgrades!$U$21,M76),1))+(IF(M76=0,0,(Upgrades!$G$21+M76*Upgrades!$H$21)*POWER(Upgrades!$I$21,M76)))*(IF(Upgrades!$T$13="Moving Group",POWER(Upgrades!$U$13,E76),1)*IF(Upgrades!$T$14="Moving Group",POWER(Upgrades!$U$14,F76),1)*IF(Upgrades!$T$15="Moving Group",POWER(Upgrades!$U$15,G76),1)*IF(Upgrades!$T$16="Moving Group",POWER(Upgrades!$U$16,H76),1)*IF(Upgrades!$T$17="Moving Group",POWER(Upgrades!$U$17,I76),1)*IF(Upgrades!$T$18="Moving Group",POWER(Upgrades!$U$18,J76),1)*IF(Upgrades!$T$19="Moving Group",POWER(Upgrades!$U$19,K76),1)*IF(Upgrades!$T$20="Moving Group",POWER(Upgrades!$U$20,L76),1)))*POWER(Upgrades!$P$13,E76)*POWER(Upgrades!$P$14,F76)*POWER(Upgrades!$P$15,G76)*POWER(Upgrades!$P$16,H76)*POWER(Upgrades!$P$17,I76)*POWER(Upgrades!$P$18,J76)*POWER(Upgrades!$P$19,K76)*POWER(Upgrades!$P$20,L76)*POWER(Upgrades!$P$21,M76)*$F$6+$C$6</f>
        <v/>
      </c>
      <c r="Q76" s="28">
        <f>((IF(E76=0,0,(Upgrades!$M$13+E76*Upgrades!$N$13)*POWER(Upgrades!$O$13,E76)))*(IF(Upgrades!$T$14="Stellar Kinematics",POWER(Upgrades!$U$14,F76),1)*IF(Upgrades!$T$15="Stellar Kinematics",POWER(Upgrades!$U$15,G76),1)*IF(Upgrades!$T$16="Stellar Kinematics",POWER(Upgrades!$U$16,H76),1)*IF(Upgrades!$T$17="Stellar Kinematics",POWER(Upgrades!$U$17,I76),1)*IF(Upgrades!$T$18="Stellar Kinematics",POWER(Upgrades!$U$18,J76),1)*IF(Upgrades!$T$19="Stellar Kinematics",POWER(Upgrades!$U$19,K76),1)*IF(Upgrades!$T$20="Stellar Kinematics",POWER(Upgrades!$U$20,L76),1)*IF(Upgrades!$T$21="Stellar Kinematics",POWER(Upgrades!$U$21,M76),1))+(IF(F76=0,0,(Upgrades!$M$14+F76*Upgrades!$N$14)*POWER(Upgrades!$O$14,F76)))*(IF(Upgrades!$T$13="Local Bubble",POWER(Upgrades!$U$13,E76),1)*IF(Upgrades!$T$15="Local Bubble",POWER(Upgrades!$U$15,G76),1)*IF(Upgrades!$T$16="Local Bubble",POWER(Upgrades!$U$16,H76),1)*IF(Upgrades!$T$17="Local Bubble",POWER(Upgrades!$U$17,I76),1)*IF(Upgrades!$T$18="Local Bubble",POWER(Upgrades!$U$18,J76),1)*IF(Upgrades!$T$19="Local Bubble",POWER(Upgrades!$U$19,K76),1)*IF(Upgrades!$T$20="Local Bubble",POWER(Upgrades!$U$20,L76),1)*IF(Upgrades!$T$21="Local Bubble",POWER(Upgrades!$U$21,M76),1))+(IF(G76=0,0,(Upgrades!$M$15+G76*Upgrades!$N$15)*POWER(Upgrades!$O$15,G76)))*(IF(Upgrades!$T$13="Microlensing",POWER(Upgrades!$U$13,E76),1)*IF(Upgrades!$T$14="Microlensing",POWER(Upgrades!$U$14,F76),1)*IF(Upgrades!$T$16="Microlensing",POWER(Upgrades!$U$16,H76),1)*IF(Upgrades!$T$17="Microlensing",POWER(Upgrades!$U$17,I76),1)*IF(Upgrades!$T$18="Microlensing",POWER(Upgrades!$U$18,J76),1)*IF(Upgrades!$T$19="Microlensing",POWER(Upgrades!$U$19,K76),1)*IF(Upgrades!$T$20="Microlensing",POWER(Upgrades!$U$20,L76),1)*IF(Upgrades!$T$21="Microlensing",POWER(Upgrades!$U$21,M76),1))+(IF(H76=0,0,(Upgrades!$M$16+H76*Upgrades!$N$16)*POWER(Upgrades!$O$16,H76)))*(IF(Upgrades!$T$13="Roche Lobe Overflow",POWER(Upgrades!$U$13,E76),1)*IF(Upgrades!$T$14="Roche Lobe Overflow",POWER(Upgrades!$U$14,F76),1)*IF(Upgrades!$T$15="Roche Lobe Overflow",POWER(Upgrades!$U$15,G76),1)*IF(Upgrades!$T$17="Roche Lobe Overflow",POWER(Upgrades!$U$17,I76),1)*IF(Upgrades!$T$18="Roche Lobe Overflow",POWER(Upgrades!$U$18,J76),1)*IF(Upgrades!$T$19="Roche Lobe Overflow",POWER(Upgrades!$U$19,K76),1)*IF(Upgrades!$T$20="Roche Lobe Overflow",POWER(Upgrades!$U$20,L76),1)*IF(Upgrades!$T$21="Roche Lobe Overflow",POWER(Upgrades!$U$21,M76),1))+(IF(I76=0,0,(Upgrades!$M$17+I76*Upgrades!$N$17)*POWER(Upgrades!$O$17,I76)))*(IF(Upgrades!$T$13="Brown Dwarf",POWER(Upgrades!$U$13,E76),1)*IF(Upgrades!$T$14="Brown Dwarf",POWER(Upgrades!$U$14,F76),1)*IF(Upgrades!$T$15="Brown Dwarf",POWER(Upgrades!$U$15,G76),1)*IF(Upgrades!$T$16="Brown Dwarf",POWER(Upgrades!$U$16,H76),1)*IF(Upgrades!$T$18="Brown Dwarf",POWER(Upgrades!$U$18,J76),1)*IF(Upgrades!$T$19="Brown Dwarf",POWER(Upgrades!$U$19,K76),1)*IF(Upgrades!$T$20="Brown Dwarf",POWER(Upgrades!$U$20,L76),1)*IF(Upgrades!$T$21="Brown Dwarf",POWER(Upgrades!$U$21,M76),1))+(IF(J76=0,0,(Upgrades!$M$18+J76*Upgrades!$N$18)*POWER(Upgrades!$O$18,J76)))*(IF(Upgrades!$T$13="Binary Partner",POWER(Upgrades!$U$13,E76),1)*IF(Upgrades!$T$14="Binary Partner",POWER(Upgrades!$U$14,F76),1)*IF(Upgrades!$T$15="Binary Partner",POWER(Upgrades!$U$15,G76),1)*IF(Upgrades!$T$16="Binary Partner",POWER(Upgrades!$U$16,H76),1)*IF(Upgrades!$T$17="Binary Partner",POWER(Upgrades!$U$17,I76),1)*IF(Upgrades!$T$19="Binary Partner",POWER(Upgrades!$U$19,K76),1)*IF(Upgrades!$T$20="Binary Partner",POWER(Upgrades!$U$20,L76),1)*IF(Upgrades!$T$21="Binary Partner",POWER(Upgrades!$U$21,M76),1))+(IF(K76=0,0,(Upgrades!$M$19+K76*Upgrades!$N$19)*POWER(Upgrades!$O$19,K76)))*(IF(Upgrades!$T$13="Peculiar Velocity",POWER(Upgrades!$U$13,E76),1)*IF(Upgrades!$T$14="Peculiar Velocity",POWER(Upgrades!$U$14,F76),1)*IF(Upgrades!$T$15="Peculiar Velocity",POWER(Upgrades!$U$15,G76),1)*IF(Upgrades!$T$16="Peculiar Velocity",POWER(Upgrades!$U$16,H76),1)*IF(Upgrades!$T$17="Peculiar Velocity",POWER(Upgrades!$U$17,I76),1)*IF(Upgrades!$T$18="Peculiar Velocity",POWER(Upgrades!$U$18,J76),1)*IF(Upgrades!$T$20="Peculiar Velocity",POWER(Upgrades!$U$20,L76),1)*IF(Upgrades!$T$21="Peculiar Velocity",POWER(Upgrades!$U$21,M76),1))+(IF(L76=0,0,(Upgrades!$M$20+L76*Upgrades!$N$20)*POWER(Upgrades!$O$20,L76)))*(IF(Upgrades!$T$13="Open Cluster",POWER(Upgrades!$U$13,E76),1)*IF(Upgrades!$T$14="Open Cluster",POWER(Upgrades!$U$14,F76),1)*IF(Upgrades!$T$15="Open Cluster",POWER(Upgrades!$U$15,G76),1)*IF(Upgrades!$T$16="Open Cluster",POWER(Upgrades!$U$16,H76),1)*IF(Upgrades!$T$17="Open Cluster",POWER(Upgrades!$U$17,I76),1)*IF(Upgrades!$T$18="Open Cluster",POWER(Upgrades!$U$18,J76),1)*IF(Upgrades!$T$19="Open Cluster",POWER(Upgrades!$U$19,K76),1)*IF(Upgrades!$T$21="Open Cluster",POWER(Upgrades!$U$21,M76),1))+(IF(M76=0,0,(Upgrades!$M$21+M76*Upgrades!$N$21)*POWER(Upgrades!$O$21,M76)))*(IF(Upgrades!$T$13="Moving Group",POWER(Upgrades!$U$13,E76),1)*IF(Upgrades!$T$14="Moving Group",POWER(Upgrades!$U$14,F76),1)*IF(Upgrades!$T$15="Moving Group",POWER(Upgrades!$U$15,G76),1)*IF(Upgrades!$T$16="Moving Group",POWER(Upgrades!$U$16,H76),1)*IF(Upgrades!$T$17="Moving Group",POWER(Upgrades!$U$17,I76),1)*IF(Upgrades!$T$18="Moving Group",POWER(Upgrades!$U$18,J76),1)*IF(Upgrades!$T$19="Moving Group",POWER(Upgrades!$U$19,K76),1)*IF(Upgrades!$T$20="Moving Group",POWER(Upgrades!$U$20,L76),1)))*POWER(Upgrades!$R$13,E76)*POWER(Upgrades!$R$14,F76)*POWER(Upgrades!$R$15,G76)*POWER(Upgrades!$R$16,H76)*POWER(Upgrades!$R$17,I76)*POWER(Upgrades!$R$18,J76)*POWER(Upgrades!$R$19,K76)*POWER(Upgrades!$R$20,L76)*POWER(Upgrades!$R$21,M76)*$H$6+$E$6</f>
        <v/>
      </c>
      <c r="R76" s="27">
        <f>IF(N76=1,0,O76*Parameters!$B$10/60*Parameters!$B$11*10)</f>
        <v/>
      </c>
      <c r="S76" s="27">
        <f>IF(N76=1,0,Q76*O76*10)</f>
        <v/>
      </c>
      <c r="T76" s="27">
        <f>IF(N76=1,0,R76+S76+P76*10)</f>
        <v/>
      </c>
      <c r="U76" s="33">
        <f>BE76</f>
        <v/>
      </c>
      <c r="V76" s="22">
        <f>IF(U76="",0,IF(U76="transition",0,IF(U76="SK",AK76,IF(U76="LB",AL76,IF(U76="ML",AM76,IF(U76="RLO",AN76,IF(U76="BD",AO76,IF(U76="BiP",AP76,IF(U76="PV",AQ76,IF(U76="OC",AR76,IF(U76="MG",AS76,0))))))))))</f>
        <v/>
      </c>
      <c r="W76" s="27">
        <f>IF(U76="BiP",Upgrades!$F$18,IF(U76="PV",Upgrades!$F$19,IF(U76="OC",Upgrades!$F$20,IF(U76="MG",Upgrades!$F$21,IF(U76="transition",-Parameters!$B$18*Parameters!$B$19,0)))))</f>
        <v/>
      </c>
      <c r="X76" s="22">
        <f>C76+T76-V76</f>
        <v/>
      </c>
      <c r="Y76" s="30">
        <f>O76*Parameters!$B$10/60*Parameters!$B$11+Q76*O76+P76</f>
        <v/>
      </c>
      <c r="Z76" s="34">
        <f>IF(U76="transition","→ Tier 3 (Galactic Arm)",IF(U76="MG","Moving Group — pocket drifts together",IF(U76="OC","Open Cluster acquired",IF(U76="PV","Peculiar Velocity — passive multiplier active",IF(U76="BiP","Binary Partner — pair bond formed",IF(AND(AU76=1,N76=0,AT76&lt;&gt;1),"Cohesion ready (waiting on completionists)","")))))) </f>
        <v/>
      </c>
      <c r="AA76" s="27">
        <f>(IF(E76=0,0,(Upgrades!$G$13+E76*Upgrades!$H$13)*POWER(Upgrades!$I$13,E76)))*(IF(Upgrades!$T$14="Stellar Kinematics",POWER(Upgrades!$U$14,F76),1)*IF(Upgrades!$T$15="Stellar Kinematics",POWER(Upgrades!$U$15,G76),1)*IF(Upgrades!$T$16="Stellar Kinematics",POWER(Upgrades!$U$16,H76),1)*IF(Upgrades!$T$17="Stellar Kinematics",POWER(Upgrades!$U$17,I76),1)*IF(Upgrades!$T$18="Stellar Kinematics",POWER(Upgrades!$U$18,J76),1)*IF(Upgrades!$T$19="Stellar Kinematics",POWER(Upgrades!$U$19,K76),1)*IF(Upgrades!$T$20="Stellar Kinematics",POWER(Upgrades!$U$20,L76),1)*IF(Upgrades!$T$21="Stellar Kinematics",POWER(Upgrades!$U$21,M76),1))*POWER(Upgrades!$P$13,E76)*POWER(Upgrades!$P$14,F76)*POWER(Upgrades!$P$15,G76)*POWER(Upgrades!$P$16,H76)*POWER(Upgrades!$P$17,I76)*POWER(Upgrades!$P$18,J76)*POWER(Upgrades!$P$19,K76)*POWER(Upgrades!$P$20,L76)*POWER(Upgrades!$P$21,M76)*$F$6*60</f>
        <v/>
      </c>
      <c r="AB76" s="27">
        <f>(IF(F76=0,0,(Upgrades!$G$14+F76*Upgrades!$H$14)*POWER(Upgrades!$I$14,F76)))*(IF(Upgrades!$T$13="Local Bubble",POWER(Upgrades!$U$13,E76),1)*IF(Upgrades!$T$15="Local Bubble",POWER(Upgrades!$U$15,G76),1)*IF(Upgrades!$T$16="Local Bubble",POWER(Upgrades!$U$16,H76),1)*IF(Upgrades!$T$17="Local Bubble",POWER(Upgrades!$U$17,I76),1)*IF(Upgrades!$T$18="Local Bubble",POWER(Upgrades!$U$18,J76),1)*IF(Upgrades!$T$19="Local Bubble",POWER(Upgrades!$U$19,K76),1)*IF(Upgrades!$T$20="Local Bubble",POWER(Upgrades!$U$20,L76),1)*IF(Upgrades!$T$21="Local Bubble",POWER(Upgrades!$U$21,M76),1))*POWER(Upgrades!$P$13,E76)*POWER(Upgrades!$P$14,F76)*POWER(Upgrades!$P$15,G76)*POWER(Upgrades!$P$16,H76)*POWER(Upgrades!$P$17,I76)*POWER(Upgrades!$P$18,J76)*POWER(Upgrades!$P$19,K76)*POWER(Upgrades!$P$20,L76)*POWER(Upgrades!$P$21,M76)*$F$6*60</f>
        <v/>
      </c>
      <c r="AC76" s="27">
        <f>(IF(G76=0,0,(Upgrades!$J$15+G76*Upgrades!$K$15)*POWER(Upgrades!$L$15,G76)))*(IF(Upgrades!$T$13="Microlensing",POWER(Upgrades!$U$13,E76),1)*IF(Upgrades!$T$14="Microlensing",POWER(Upgrades!$U$14,F76),1)*IF(Upgrades!$T$16="Microlensing",POWER(Upgrades!$U$16,H76),1)*IF(Upgrades!$T$17="Microlensing",POWER(Upgrades!$U$17,I76),1)*IF(Upgrades!$T$18="Microlensing",POWER(Upgrades!$U$18,J76),1)*IF(Upgrades!$T$19="Microlensing",POWER(Upgrades!$U$19,K76),1)*IF(Upgrades!$T$20="Microlensing",POWER(Upgrades!$U$20,L76),1)*IF(Upgrades!$T$21="Microlensing",POWER(Upgrades!$U$21,M76),1))*POWER(Upgrades!$Q$13,E76)*POWER(Upgrades!$Q$14,F76)*POWER(Upgrades!$Q$15,G76)*POWER(Upgrades!$Q$16,H76)*POWER(Upgrades!$Q$17,I76)*POWER(Upgrades!$Q$18,J76)*POWER(Upgrades!$Q$19,K76)*POWER(Upgrades!$Q$20,L76)*POWER(Upgrades!$Q$21,M76)*$G$6*(Parameters!$B$10*Parameters!$B$11+Q76*60)</f>
        <v/>
      </c>
      <c r="AD76" s="27">
        <f>(IF(H76=0,0,(Upgrades!$M$16+H76*Upgrades!$N$16)*POWER(Upgrades!$O$16,H76)))*(IF(Upgrades!$T$13="Roche Lobe Overflow",POWER(Upgrades!$U$13,E76),1)*IF(Upgrades!$T$14="Roche Lobe Overflow",POWER(Upgrades!$U$14,F76),1)*IF(Upgrades!$T$15="Roche Lobe Overflow",POWER(Upgrades!$U$15,G76),1)*IF(Upgrades!$T$17="Roche Lobe Overflow",POWER(Upgrades!$U$17,I76),1)*IF(Upgrades!$T$18="Roche Lobe Overflow",POWER(Upgrades!$U$18,J76),1)*IF(Upgrades!$T$19="Roche Lobe Overflow",POWER(Upgrades!$U$19,K76),1)*IF(Upgrades!$T$20="Roche Lobe Overflow",POWER(Upgrades!$U$20,L76),1)*IF(Upgrades!$T$21="Roche Lobe Overflow",POWER(Upgrades!$U$21,M76),1))*POWER(Upgrades!$R$13,E76)*POWER(Upgrades!$R$14,F76)*POWER(Upgrades!$R$15,G76)*POWER(Upgrades!$R$16,H76)*POWER(Upgrades!$R$17,I76)*POWER(Upgrades!$R$18,J76)*POWER(Upgrades!$R$19,K76)*POWER(Upgrades!$R$20,L76)*POWER(Upgrades!$R$21,M76)*$H$6*O76*60</f>
        <v/>
      </c>
      <c r="AE76" s="27">
        <f>(IF(I76=0,0,(Upgrades!$G$17+I76*Upgrades!$H$17)*POWER(Upgrades!$I$17,I76)))*(IF(Upgrades!$T$13="Brown Dwarf",POWER(Upgrades!$U$13,E76),1)*IF(Upgrades!$T$14="Brown Dwarf",POWER(Upgrades!$U$14,F76),1)*IF(Upgrades!$T$15="Brown Dwarf",POWER(Upgrades!$U$15,G76),1)*IF(Upgrades!$T$16="Brown Dwarf",POWER(Upgrades!$U$16,H76),1)*IF(Upgrades!$T$18="Brown Dwarf",POWER(Upgrades!$U$18,J76),1)*IF(Upgrades!$T$19="Brown Dwarf",POWER(Upgrades!$U$19,K76),1)*IF(Upgrades!$T$20="Brown Dwarf",POWER(Upgrades!$U$20,L76),1)*IF(Upgrades!$T$21="Brown Dwarf",POWER(Upgrades!$U$21,M76),1))*POWER(Upgrades!$P$13,E76)*POWER(Upgrades!$P$14,F76)*POWER(Upgrades!$P$15,G76)*POWER(Upgrades!$P$16,H76)*POWER(Upgrades!$P$17,I76)*POWER(Upgrades!$P$18,J76)*POWER(Upgrades!$P$19,K76)*POWER(Upgrades!$P$20,L76)*POWER(Upgrades!$P$21,M76)*$F$6*60</f>
        <v/>
      </c>
      <c r="AF76" s="27" t="n">
        <v>0</v>
      </c>
      <c r="AG76" s="27" t="n">
        <v>0</v>
      </c>
      <c r="AH76" s="27" t="n">
        <v>0</v>
      </c>
      <c r="AI76" s="27">
        <f>(IF(M76=0,0,(Upgrades!$G$21+M76*Upgrades!$H$21)*POWER(Upgrades!$I$21,M76)))*(IF(Upgrades!$T$13="Moving Group",POWER(Upgrades!$U$13,E76),1)*IF(Upgrades!$T$14="Moving Group",POWER(Upgrades!$U$14,F76),1)*IF(Upgrades!$T$15="Moving Group",POWER(Upgrades!$U$15,G76),1)*IF(Upgrades!$T$16="Moving Group",POWER(Upgrades!$U$16,H76),1)*IF(Upgrades!$T$17="Moving Group",POWER(Upgrades!$U$17,I76),1)*IF(Upgrades!$T$18="Moving Group",POWER(Upgrades!$U$18,J76),1)*IF(Upgrades!$T$19="Moving Group",POWER(Upgrades!$U$19,K76),1)*IF(Upgrades!$T$20="Moving Group",POWER(Upgrades!$U$20,L76),1))*POWER(Upgrades!$P$13,E76)*POWER(Upgrades!$P$14,F76)*POWER(Upgrades!$P$15,G76)*POWER(Upgrades!$P$16,H76)*POWER(Upgrades!$P$17,I76)*POWER(Upgrades!$P$18,J76)*POWER(Upgrades!$P$19,K76)*POWER(Upgrades!$P$20,L76)*POWER(Upgrades!$P$21,M76)*$F$6*60</f>
        <v/>
      </c>
      <c r="AJ76" s="27">
        <f>$C$6*60</f>
        <v/>
      </c>
      <c r="AK76" s="22">
        <f>IF(E76&gt;=Upgrades!$E$13,"",Upgrades!$C$13*POWER(Upgrades!$D$13,E76))</f>
        <v/>
      </c>
      <c r="AL76" s="22">
        <f>IF(F76&gt;=Upgrades!$E$14,"",Upgrades!$C$14*POWER(Upgrades!$D$14,F76))</f>
        <v/>
      </c>
      <c r="AM76" s="22">
        <f>IF(G76&gt;=Upgrades!$E$15,"",Upgrades!$C$15*POWER(Upgrades!$D$15,G76))</f>
        <v/>
      </c>
      <c r="AN76" s="22">
        <f>IF(H76&gt;=Upgrades!$E$16,"",Upgrades!$C$16*POWER(Upgrades!$D$16,H76))</f>
        <v/>
      </c>
      <c r="AO76" s="22">
        <f>IF(I76&gt;=Upgrades!$E$17,"",Upgrades!$C$17*POWER(Upgrades!$D$17,I76))</f>
        <v/>
      </c>
      <c r="AP76" s="22">
        <f>IF(J76&gt;=Upgrades!$E$18,"",Upgrades!$C$18*POWER(Upgrades!$D$18,J76))</f>
        <v/>
      </c>
      <c r="AQ76" s="22">
        <f>IF(K76&gt;=Upgrades!$E$19,"",Upgrades!$C$19*POWER(Upgrades!$D$19,K76))</f>
        <v/>
      </c>
      <c r="AR76" s="22">
        <f>IF(L76&gt;=Upgrades!$E$20,"",Upgrades!$C$20*POWER(Upgrades!$D$20,L76))</f>
        <v/>
      </c>
      <c r="AS76" s="22">
        <f>IF(M76&gt;=Upgrades!$E$21,"",Upgrades!$C$21*POWER(Upgrades!$D$21,M76))</f>
        <v/>
      </c>
      <c r="AT76" s="26">
        <f>IF(AND(D76&gt;=Parameters!$B$18*Parameters!$B$19,(I76&gt;=Upgrades!$E$17)*(M76&gt;=Upgrades!$E$21)=1,N76=0),1,"")</f>
        <v/>
      </c>
      <c r="AU76" s="26">
        <f>IF(AND(D76&gt;=Parameters!$B$18*Parameters!$B$19,N76=0),1,"")</f>
        <v/>
      </c>
      <c r="AV76" s="22">
        <f>MIN(IF(ISNUMBER(AP76),AP76,9E15),IF(ISNUMBER(AQ76),AQ76,9E15),IF(ISNUMBER(AR76),AR76,9E15),IF(ISNUMBER(AS76),AS76,9E15))</f>
        <v/>
      </c>
      <c r="AW76" s="22">
        <f>MIN(IF(ISNUMBER(AK76),AK76,9E15),IF(ISNUMBER(AL76),AL76,9E15),IF(ISNUMBER(AM76),AM76,9E15),IF(ISNUMBER(AN76),AN76,9E15),IF(ISNUMBER(AO76),AO76,9E15))</f>
        <v/>
      </c>
      <c r="AX76" s="29">
        <f>IF(BD76&gt;Parameters!$B$21*(MAX(IF(AND(NOT(AND(AU76=1,AT76&lt;&gt;1)),ISNUMBER(AK76),AK76&lt;=(C76+T76)),AY76,0),IF(AND(NOT(AND(AU76=1,AT76&lt;&gt;1)),ISNUMBER(AL76),AL76&lt;=(C76+T76)),AZ76,0),IF(AND(NOT(AND(AU76=1,AT76&lt;&gt;1)),ISNUMBER(AM76),AM76&lt;=(C76+T76)),BA76,0),IF(AND(NOT(AND(AU76=1,AT76&lt;&gt;1)),ISNUMBER(AN76),AN76&lt;=(C76+T76)),BB76,0),IF(AND(ISNUMBER(AO76),AO76&lt;=(C76+T76)),BC76,0))),TRUE,FALSE)</f>
        <v/>
      </c>
      <c r="AY76" s="32">
        <f>IFERROR(Upgrades!$H$13*(POWER(Upgrades!$P$13,E76)*POWER(Upgrades!$P$14,F76)*POWER(Upgrades!$P$15,G76)*POWER(Upgrades!$P$16,H76)*POWER(Upgrades!$P$17,I76)*POWER(Upgrades!$P$18,J76)*POWER(Upgrades!$P$19,K76)*POWER(Upgrades!$P$20,L76)*POWER(Upgrades!$P$21,M76))*(IF(Upgrades!$T$14="Stellar Kinematics",POWER(Upgrades!$U$14,F76),1)*IF(Upgrades!$T$15="Stellar Kinematics",POWER(Upgrades!$U$15,G76),1)*IF(Upgrades!$T$16="Stellar Kinematics",POWER(Upgrades!$U$16,H76),1)*IF(Upgrades!$T$17="Stellar Kinematics",POWER(Upgrades!$U$17,I76),1)*IF(Upgrades!$T$18="Stellar Kinematics",POWER(Upgrades!$U$18,J76),1)*IF(Upgrades!$T$19="Stellar Kinematics",POWER(Upgrades!$U$19,K76),1)*IF(Upgrades!$T$20="Stellar Kinematics",POWER(Upgrades!$U$20,L76),1)*IF(Upgrades!$T$21="Stellar Kinematics",POWER(Upgrades!$U$21,M76),1))*$F$6/AK76,0)</f>
        <v/>
      </c>
      <c r="AZ76" s="32">
        <f>IFERROR(Upgrades!$H$14*(POWER(Upgrades!$P$13,E76)*POWER(Upgrades!$P$14,F76)*POWER(Upgrades!$P$15,G76)*POWER(Upgrades!$P$16,H76)*POWER(Upgrades!$P$17,I76)*POWER(Upgrades!$P$18,J76)*POWER(Upgrades!$P$19,K76)*POWER(Upgrades!$P$20,L76)*POWER(Upgrades!$P$21,M76))*(IF(Upgrades!$T$13="Local Bubble",POWER(Upgrades!$U$13,E76),1)*IF(Upgrades!$T$15="Local Bubble",POWER(Upgrades!$U$15,G76),1)*IF(Upgrades!$T$16="Local Bubble",POWER(Upgrades!$U$16,H76),1)*IF(Upgrades!$T$17="Local Bubble",POWER(Upgrades!$U$17,I76),1)*IF(Upgrades!$T$18="Local Bubble",POWER(Upgrades!$U$18,J76),1)*IF(Upgrades!$T$19="Local Bubble",POWER(Upgrades!$U$19,K76),1)*IF(Upgrades!$T$20="Local Bubble",POWER(Upgrades!$U$20,L76),1)*IF(Upgrades!$T$21="Local Bubble",POWER(Upgrades!$U$21,M76),1))*$F$6/AL76,0)</f>
        <v/>
      </c>
      <c r="BA76" s="32">
        <f>IFERROR(Upgrades!$K$15*(POWER(Upgrades!$Q$13,E76)*POWER(Upgrades!$Q$14,F76)*POWER(Upgrades!$Q$15,G76)*POWER(Upgrades!$Q$16,H76)*POWER(Upgrades!$Q$17,I76)*POWER(Upgrades!$Q$18,J76)*POWER(Upgrades!$Q$19,K76)*POWER(Upgrades!$Q$20,L76)*POWER(Upgrades!$Q$21,M76))*(IF(Upgrades!$T$13="Microlensing",POWER(Upgrades!$U$13,E76),1)*IF(Upgrades!$T$14="Microlensing",POWER(Upgrades!$U$14,F76),1)*IF(Upgrades!$T$16="Microlensing",POWER(Upgrades!$U$16,H76),1)*IF(Upgrades!$T$17="Microlensing",POWER(Upgrades!$U$17,I76),1)*IF(Upgrades!$T$18="Microlensing",POWER(Upgrades!$U$18,J76),1)*IF(Upgrades!$T$19="Microlensing",POWER(Upgrades!$U$19,K76),1)*IF(Upgrades!$T$20="Microlensing",POWER(Upgrades!$U$20,L76),1)*IF(Upgrades!$T$21="Microlensing",POWER(Upgrades!$U$21,M76),1))*$G$6*(Parameters!$B$10/60*Parameters!$B$11+Q76)/AM76,0)</f>
        <v/>
      </c>
      <c r="BB76" s="32">
        <f>IFERROR((Upgrades!$N$16*(POWER(Upgrades!$R$13,E76)*POWER(Upgrades!$R$14,F76)*POWER(Upgrades!$R$15,G76)*POWER(Upgrades!$R$16,H76)*POWER(Upgrades!$R$17,I76)*POWER(Upgrades!$R$18,J76)*POWER(Upgrades!$R$19,K76)*POWER(Upgrades!$R$20,L76)*POWER(Upgrades!$R$21,M76))*(IF(Upgrades!$T$13="Roche Lobe Overflow",POWER(Upgrades!$U$13,E76),1)*IF(Upgrades!$T$14="Roche Lobe Overflow",POWER(Upgrades!$U$14,F76),1)*IF(Upgrades!$T$15="Roche Lobe Overflow",POWER(Upgrades!$U$15,G76),1)*IF(Upgrades!$T$17="Roche Lobe Overflow",POWER(Upgrades!$U$17,I76),1)*IF(Upgrades!$T$18="Roche Lobe Overflow",POWER(Upgrades!$U$18,J76),1)*IF(Upgrades!$T$19="Roche Lobe Overflow",POWER(Upgrades!$U$19,K76),1)*IF(Upgrades!$T$20="Roche Lobe Overflow",POWER(Upgrades!$U$20,L76),1)*IF(Upgrades!$T$21="Roche Lobe Overflow",POWER(Upgrades!$U$21,M76),1))*$H$6*O76+((IF(F76=0,0,(Upgrades!$G$14+F76*Upgrades!$H$14)*POWER(Upgrades!$I$14,F76)))*(IF(Upgrades!$T$13="Local Bubble",POWER(Upgrades!$U$13,E76),1)*IF(Upgrades!$T$15="Local Bubble",POWER(Upgrades!$U$15,G76),1)*IF(Upgrades!$T$16="Local Bubble",POWER(Upgrades!$U$16,H76),1)*IF(Upgrades!$T$17="Local Bubble",POWER(Upgrades!$U$17,I76),1)*IF(Upgrades!$T$18="Local Bubble",POWER(Upgrades!$U$18,J76),1)*IF(Upgrades!$T$19="Local Bubble",POWER(Upgrades!$U$19,K76),1)*IF(Upgrades!$T$20="Local Bubble",POWER(Upgrades!$U$20,L76),1)*IF(Upgrades!$T$21="Local Bubble",POWER(Upgrades!$U$21,M76),1))*POWER(Upgrades!$P$13,E76)*POWER(Upgrades!$P$14,F76)*POWER(Upgrades!$P$15,G76)*POWER(Upgrades!$P$16,H76)*POWER(Upgrades!$P$17,I76)*POWER(Upgrades!$P$18,J76)*POWER(Upgrades!$P$19,K76)*POWER(Upgrades!$P$20,L76)*POWER(Upgrades!$P$21,M76)*$F$6)*0.05)/AN76,0)</f>
        <v/>
      </c>
      <c r="BC76" s="32">
        <f>IFERROR((Upgrades!$H$17*(POWER(Upgrades!$P$13,E76)*POWER(Upgrades!$P$14,F76)*POWER(Upgrades!$P$15,G76)*POWER(Upgrades!$P$16,H76)*POWER(Upgrades!$P$17,I76)*POWER(Upgrades!$P$18,J76)*POWER(Upgrades!$P$19,K76)*POWER(Upgrades!$P$20,L76)*POWER(Upgrades!$P$21,M76))*(IF(Upgrades!$T$13="Brown Dwarf",POWER(Upgrades!$U$13,E76),1)*IF(Upgrades!$T$14="Brown Dwarf",POWER(Upgrades!$U$14,F76),1)*IF(Upgrades!$T$15="Brown Dwarf",POWER(Upgrades!$U$15,G76),1)*IF(Upgrades!$T$16="Brown Dwarf",POWER(Upgrades!$U$16,H76),1)*IF(Upgrades!$T$18="Brown Dwarf",POWER(Upgrades!$U$18,J76),1)*IF(Upgrades!$T$19="Brown Dwarf",POWER(Upgrades!$U$19,K76),1)*IF(Upgrades!$T$20="Brown Dwarf",POWER(Upgrades!$U$20,L76),1)*IF(Upgrades!$T$21="Brown Dwarf",POWER(Upgrades!$U$21,M76),1))*$F$6+(((IF(H76=0,0,(Upgrades!$M$16+H76*Upgrades!$N$16)*POWER(Upgrades!$O$16,H76)))*(IF(Upgrades!$T$13="Roche Lobe Overflow",POWER(Upgrades!$U$13,E76),1)*IF(Upgrades!$T$14="Roche Lobe Overflow",POWER(Upgrades!$U$14,F76),1)*IF(Upgrades!$T$15="Roche Lobe Overflow",POWER(Upgrades!$U$15,G76),1)*IF(Upgrades!$T$17="Roche Lobe Overflow",POWER(Upgrades!$U$17,I76),1)*IF(Upgrades!$T$18="Roche Lobe Overflow",POWER(Upgrades!$U$18,J76),1)*IF(Upgrades!$T$19="Roche Lobe Overflow",POWER(Upgrades!$U$19,K76),1)*IF(Upgrades!$T$20="Roche Lobe Overflow",POWER(Upgrades!$U$20,L76),1)*IF(Upgrades!$T$21="Roche Lobe Overflow",POWER(Upgrades!$U$21,M76),1))*POWER(Upgrades!$R$13,E76)*POWER(Upgrades!$R$14,F76)*POWER(Upgrades!$R$15,G76)*POWER(Upgrades!$R$16,H76)*POWER(Upgrades!$R$17,I76)*POWER(Upgrades!$R$18,J76)*POWER(Upgrades!$R$19,K76)*POWER(Upgrades!$R$20,L76)*POWER(Upgrades!$R$21,M76)*$H$6)*O76)*0.10)/AO76,0)</f>
        <v/>
      </c>
      <c r="BD76" s="32">
        <f>MAX(IF(J76&gt;0,0,IFERROR(0.5*((IF(G76=0,0,(Upgrades!$J$15+G76*Upgrades!$K$15)*POWER(Upgrades!$L$15,G76)))*(IF(Upgrades!$T$13="Microlensing",POWER(Upgrades!$U$13,E76),1)*IF(Upgrades!$T$14="Microlensing",POWER(Upgrades!$U$14,F76),1)*IF(Upgrades!$T$16="Microlensing",POWER(Upgrades!$U$16,H76),1)*IF(Upgrades!$T$17="Microlensing",POWER(Upgrades!$U$17,I76),1)*IF(Upgrades!$T$18="Microlensing",POWER(Upgrades!$U$18,J76),1)*IF(Upgrades!$T$19="Microlensing",POWER(Upgrades!$U$19,K76),1)*IF(Upgrades!$T$20="Microlensing",POWER(Upgrades!$U$20,L76),1)*IF(Upgrades!$T$21="Microlensing",POWER(Upgrades!$U$21,M76),1))*(POWER(Upgrades!$Q$13,E76)*POWER(Upgrades!$Q$14,F76)*POWER(Upgrades!$Q$15,G76)*POWER(Upgrades!$Q$16,H76)*POWER(Upgrades!$Q$17,I76)*POWER(Upgrades!$Q$18,J76)*POWER(Upgrades!$Q$19,K76)*POWER(Upgrades!$Q$20,L76)*POWER(Upgrades!$Q$21,M76))*$G$6*(Parameters!$B$10/60*Parameters!$B$11+Q76))/Upgrades!$C$18,0)),IF(K76&gt;0,0,IFERROR(0.30*P76/Upgrades!$C$19,0)),IF(L76&gt;0,0,IFERROR(0.0001/Upgrades!$C$20,0)),IF(M76&gt;0,0,IFERROR((6.0*(POWER(Upgrades!$P$13,E76)*POWER(Upgrades!$P$14,F76)*POWER(Upgrades!$P$15,G76)*POWER(Upgrades!$P$16,H76)*POWER(Upgrades!$P$17,I76)*POWER(Upgrades!$P$18,J76)*POWER(Upgrades!$P$19,K76)*POWER(Upgrades!$P$20,L76)*POWER(Upgrades!$P$21,M76))*$F$6+0.20*O76*(Parameters!$B$10/60*Parameters!$B$11+Q76))/Upgrades!$C$21,0)),IF(AND(ISNUMBER(AK76),AK76&gt;(C76+T76)),AY76,0),IF(AND(ISNUMBER(AL76),AL76&gt;(C76+T76)),AZ76,0),IF(AND(ISNUMBER(AM76),AM76&gt;(C76+T76)),BA76,0),IF(AND(ISNUMBER(AN76),AN76&gt;(C76+T76)),BB76,0),IF(AND(ISNUMBER(AO76),AO76&gt;(C76+T76)),BC76,0))</f>
        <v/>
      </c>
      <c r="BE76" s="29">
        <f>IF(AT76=1,"transition",IF(MIN(IF(AND(J76=0,ISNUMBER(AP76),AP76&lt;=(C76+T76)),AP76,9E15),IF(AND(K76=0,ISNUMBER(AQ76),AQ76&lt;=(C76+T76)),AQ76,9E15),IF(AND(L76=0,ISNUMBER(AR76),AR76&lt;=(C76+T76)),AR76,9E15),IF(AND(M76=0,ISNUMBER(AS76),AS76&lt;=(C76+T76)),AS76,9E15))&lt;9E15,IF(AND(AND(J76=0,ISNUMBER(AP76),AP76&lt;=(C76+T76)),AP76=MIN(IF(AND(J76=0,ISNUMBER(AP76),AP76&lt;=(C76+T76)),AP76,9E15),IF(AND(K76=0,ISNUMBER(AQ76),AQ76&lt;=(C76+T76)),AQ76,9E15),IF(AND(L76=0,ISNUMBER(AR76),AR76&lt;=(C76+T76)),AR76,9E15),IF(AND(M76=0,ISNUMBER(AS76),AS76&lt;=(C76+T76)),AS76,9E15))),"BiP",IF(AND(AND(K76=0,ISNUMBER(AQ76),AQ76&lt;=(C76+T76)),AQ76=MIN(IF(AND(J76=0,ISNUMBER(AP76),AP76&lt;=(C76+T76)),AP76,9E15),IF(AND(K76=0,ISNUMBER(AQ76),AQ76&lt;=(C76+T76)),AQ76,9E15),IF(AND(L76=0,ISNUMBER(AR76),AR76&lt;=(C76+T76)),AR76,9E15),IF(AND(M76=0,ISNUMBER(AS76),AS76&lt;=(C76+T76)),AS76,9E15))),"PV",IF(AND(AND(L76=0,ISNUMBER(AR76),AR76&lt;=(C76+T76)),AR76=MIN(IF(AND(J76=0,ISNUMBER(AP76),AP76&lt;=(C76+T76)),AP76,9E15),IF(AND(K76=0,ISNUMBER(AQ76),AQ76&lt;=(C76+T76)),AQ76,9E15),IF(AND(L76=0,ISNUMBER(AR76),AR76&lt;=(C76+T76)),AR76,9E15),IF(AND(M76=0,ISNUMBER(AS76),AS76&lt;=(C76+T76)),AS76,9E15))),"OC","MG"))),IF(AX76=TRUE,"",IF(MAX(IF(AND(NOT(AND(AU76=1,AT76&lt;&gt;1)),ISNUMBER(AK76),AK76&lt;=(C76+T76)),AY76,0),IF(AND(NOT(AND(AU76=1,AT76&lt;&gt;1)),ISNUMBER(AL76),AL76&lt;=(C76+T76)),AZ76,0),IF(AND(NOT(AND(AU76=1,AT76&lt;&gt;1)),ISNUMBER(AM76),AM76&lt;=(C76+T76)),BA76,0),IF(AND(NOT(AND(AU76=1,AT76&lt;&gt;1)),ISNUMBER(AN76),AN76&lt;=(C76+T76)),BB76,0),IF(AND(ISNUMBER(AO76),AO76&lt;=(C76+T76)),BC76,0))&lt;=0,"",IF(AND(IF(AND(NOT(AND(AU76=1,AT76&lt;&gt;1)),ISNUMBER(AK76),AK76&lt;=(C76+T76)),AY76,0)&gt;0,IF(AND(NOT(AND(AU76=1,AT76&lt;&gt;1)),ISNUMBER(AK76),AK76&lt;=(C76+T76)),AY76,0)=MAX(IF(AND(NOT(AND(AU76=1,AT76&lt;&gt;1)),ISNUMBER(AK76),AK76&lt;=(C76+T76)),AY76,0),IF(AND(NOT(AND(AU76=1,AT76&lt;&gt;1)),ISNUMBER(AL76),AL76&lt;=(C76+T76)),AZ76,0),IF(AND(NOT(AND(AU76=1,AT76&lt;&gt;1)),ISNUMBER(AM76),AM76&lt;=(C76+T76)),BA76,0),IF(AND(NOT(AND(AU76=1,AT76&lt;&gt;1)),ISNUMBER(AN76),AN76&lt;=(C76+T76)),BB76,0),IF(AND(ISNUMBER(AO76),AO76&lt;=(C76+T76)),BC76,0))),"SK",IF(AND(IF(AND(NOT(AND(AU76=1,AT76&lt;&gt;1)),ISNUMBER(AL76),AL76&lt;=(C76+T76)),AZ76,0)&gt;0,IF(AND(NOT(AND(AU76=1,AT76&lt;&gt;1)),ISNUMBER(AL76),AL76&lt;=(C76+T76)),AZ76,0)=MAX(IF(AND(NOT(AND(AU76=1,AT76&lt;&gt;1)),ISNUMBER(AK76),AK76&lt;=(C76+T76)),AY76,0),IF(AND(NOT(AND(AU76=1,AT76&lt;&gt;1)),ISNUMBER(AL76),AL76&lt;=(C76+T76)),AZ76,0),IF(AND(NOT(AND(AU76=1,AT76&lt;&gt;1)),ISNUMBER(AM76),AM76&lt;=(C76+T76)),BA76,0),IF(AND(NOT(AND(AU76=1,AT76&lt;&gt;1)),ISNUMBER(AN76),AN76&lt;=(C76+T76)),BB76,0),IF(AND(ISNUMBER(AO76),AO76&lt;=(C76+T76)),BC76,0))),"LB",IF(AND(IF(AND(NOT(AND(AU76=1,AT76&lt;&gt;1)),ISNUMBER(AM76),AM76&lt;=(C76+T76)),BA76,0)&gt;0,IF(AND(NOT(AND(AU76=1,AT76&lt;&gt;1)),ISNUMBER(AM76),AM76&lt;=(C76+T76)),BA76,0)=MAX(IF(AND(NOT(AND(AU76=1,AT76&lt;&gt;1)),ISNUMBER(AK76),AK76&lt;=(C76+T76)),AY76,0),IF(AND(NOT(AND(AU76=1,AT76&lt;&gt;1)),ISNUMBER(AL76),AL76&lt;=(C76+T76)),AZ76,0),IF(AND(NOT(AND(AU76=1,AT76&lt;&gt;1)),ISNUMBER(AM76),AM76&lt;=(C76+T76)),BA76,0),IF(AND(NOT(AND(AU76=1,AT76&lt;&gt;1)),ISNUMBER(AN76),AN76&lt;=(C76+T76)),BB76,0),IF(AND(ISNUMBER(AO76),AO76&lt;=(C76+T76)),BC76,0))),"ML",IF(AND(IF(AND(NOT(AND(AU76=1,AT76&lt;&gt;1)),ISNUMBER(AN76),AN76&lt;=(C76+T76)),BB76,0)&gt;0,IF(AND(NOT(AND(AU76=1,AT76&lt;&gt;1)),ISNUMBER(AN76),AN76&lt;=(C76+T76)),BB76,0)=MAX(IF(AND(NOT(AND(AU76=1,AT76&lt;&gt;1)),ISNUMBER(AK76),AK76&lt;=(C76+T76)),AY76,0),IF(AND(NOT(AND(AU76=1,AT76&lt;&gt;1)),ISNUMBER(AL76),AL76&lt;=(C76+T76)),AZ76,0),IF(AND(NOT(AND(AU76=1,AT76&lt;&gt;1)),ISNUMBER(AM76),AM76&lt;=(C76+T76)),BA76,0),IF(AND(NOT(AND(AU76=1,AT76&lt;&gt;1)),ISNUMBER(AN76),AN76&lt;=(C76+T76)),BB76,0),IF(AND(ISNUMBER(AO76),AO76&lt;=(C76+T76)),BC76,0))),"RLO","BD"))))))))</f>
        <v/>
      </c>
    </row>
    <row r="77">
      <c r="A77" s="26" t="n">
        <v>66</v>
      </c>
      <c r="B77" s="27">
        <f>A77*10/60</f>
        <v/>
      </c>
      <c r="C77" s="22">
        <f>X76</f>
        <v/>
      </c>
      <c r="D77" s="27">
        <f>D76+W76</f>
        <v/>
      </c>
      <c r="E77" s="26">
        <f>E76+IF(U76="SK",1,0)</f>
        <v/>
      </c>
      <c r="F77" s="26">
        <f>F76+IF(U76="LB",1,0)</f>
        <v/>
      </c>
      <c r="G77" s="26">
        <f>G76+IF(U76="ML",1,0)</f>
        <v/>
      </c>
      <c r="H77" s="26">
        <f>H76+IF(U76="RLO",1,0)</f>
        <v/>
      </c>
      <c r="I77" s="26">
        <f>I76+IF(U76="BD",1,0)</f>
        <v/>
      </c>
      <c r="J77" s="26">
        <f>MAX(J76,IF(U76="BiP",1,0))</f>
        <v/>
      </c>
      <c r="K77" s="26">
        <f>MAX(K76,IF(U76="PV",1,0))</f>
        <v/>
      </c>
      <c r="L77" s="26">
        <f>MAX(L76,IF(U76="OC",1,0))</f>
        <v/>
      </c>
      <c r="M77" s="26">
        <f>MAX(M76,IF(U76="MG",1,0))</f>
        <v/>
      </c>
      <c r="N77" s="26">
        <f>MAX(N76,IF(U76="transition",1,0))</f>
        <v/>
      </c>
      <c r="O77" s="28">
        <f>(Parameters!$B$9+(IF(E77=0,0,(Upgrades!$J$13+E77*Upgrades!$K$13)*POWER(Upgrades!$L$13,E77)))*(IF(Upgrades!$T$14="Stellar Kinematics",POWER(Upgrades!$U$14,F77),1)*IF(Upgrades!$T$15="Stellar Kinematics",POWER(Upgrades!$U$15,G77),1)*IF(Upgrades!$T$16="Stellar Kinematics",POWER(Upgrades!$U$16,H77),1)*IF(Upgrades!$T$17="Stellar Kinematics",POWER(Upgrades!$U$17,I77),1)*IF(Upgrades!$T$18="Stellar Kinematics",POWER(Upgrades!$U$18,J77),1)*IF(Upgrades!$T$19="Stellar Kinematics",POWER(Upgrades!$U$19,K77),1)*IF(Upgrades!$T$20="Stellar Kinematics",POWER(Upgrades!$U$20,L77),1)*IF(Upgrades!$T$21="Stellar Kinematics",POWER(Upgrades!$U$21,M77),1))+(IF(F77=0,0,(Upgrades!$J$14+F77*Upgrades!$K$14)*POWER(Upgrades!$L$14,F77)))*(IF(Upgrades!$T$13="Local Bubble",POWER(Upgrades!$U$13,E77),1)*IF(Upgrades!$T$15="Local Bubble",POWER(Upgrades!$U$15,G77),1)*IF(Upgrades!$T$16="Local Bubble",POWER(Upgrades!$U$16,H77),1)*IF(Upgrades!$T$17="Local Bubble",POWER(Upgrades!$U$17,I77),1)*IF(Upgrades!$T$18="Local Bubble",POWER(Upgrades!$U$18,J77),1)*IF(Upgrades!$T$19="Local Bubble",POWER(Upgrades!$U$19,K77),1)*IF(Upgrades!$T$20="Local Bubble",POWER(Upgrades!$U$20,L77),1)*IF(Upgrades!$T$21="Local Bubble",POWER(Upgrades!$U$21,M77),1))+(IF(G77=0,0,(Upgrades!$J$15+G77*Upgrades!$K$15)*POWER(Upgrades!$L$15,G77)))*(IF(Upgrades!$T$13="Microlensing",POWER(Upgrades!$U$13,E77),1)*IF(Upgrades!$T$14="Microlensing",POWER(Upgrades!$U$14,F77),1)*IF(Upgrades!$T$16="Microlensing",POWER(Upgrades!$U$16,H77),1)*IF(Upgrades!$T$17="Microlensing",POWER(Upgrades!$U$17,I77),1)*IF(Upgrades!$T$18="Microlensing",POWER(Upgrades!$U$18,J77),1)*IF(Upgrades!$T$19="Microlensing",POWER(Upgrades!$U$19,K77),1)*IF(Upgrades!$T$20="Microlensing",POWER(Upgrades!$U$20,L77),1)*IF(Upgrades!$T$21="Microlensing",POWER(Upgrades!$U$21,M77),1))+(IF(H77=0,0,(Upgrades!$J$16+H77*Upgrades!$K$16)*POWER(Upgrades!$L$16,H77)))*(IF(Upgrades!$T$13="Roche Lobe Overflow",POWER(Upgrades!$U$13,E77),1)*IF(Upgrades!$T$14="Roche Lobe Overflow",POWER(Upgrades!$U$14,F77),1)*IF(Upgrades!$T$15="Roche Lobe Overflow",POWER(Upgrades!$U$15,G77),1)*IF(Upgrades!$T$17="Roche Lobe Overflow",POWER(Upgrades!$U$17,I77),1)*IF(Upgrades!$T$18="Roche Lobe Overflow",POWER(Upgrades!$U$18,J77),1)*IF(Upgrades!$T$19="Roche Lobe Overflow",POWER(Upgrades!$U$19,K77),1)*IF(Upgrades!$T$20="Roche Lobe Overflow",POWER(Upgrades!$U$20,L77),1)*IF(Upgrades!$T$21="Roche Lobe Overflow",POWER(Upgrades!$U$21,M77),1))+(IF(I77=0,0,(Upgrades!$J$17+I77*Upgrades!$K$17)*POWER(Upgrades!$L$17,I77)))*(IF(Upgrades!$T$13="Brown Dwarf",POWER(Upgrades!$U$13,E77),1)*IF(Upgrades!$T$14="Brown Dwarf",POWER(Upgrades!$U$14,F77),1)*IF(Upgrades!$T$15="Brown Dwarf",POWER(Upgrades!$U$15,G77),1)*IF(Upgrades!$T$16="Brown Dwarf",POWER(Upgrades!$U$16,H77),1)*IF(Upgrades!$T$18="Brown Dwarf",POWER(Upgrades!$U$18,J77),1)*IF(Upgrades!$T$19="Brown Dwarf",POWER(Upgrades!$U$19,K77),1)*IF(Upgrades!$T$20="Brown Dwarf",POWER(Upgrades!$U$20,L77),1)*IF(Upgrades!$T$21="Brown Dwarf",POWER(Upgrades!$U$21,M77),1))+(IF(J77=0,0,(Upgrades!$J$18+J77*Upgrades!$K$18)*POWER(Upgrades!$L$18,J77)))*(IF(Upgrades!$T$13="Binary Partner",POWER(Upgrades!$U$13,E77),1)*IF(Upgrades!$T$14="Binary Partner",POWER(Upgrades!$U$14,F77),1)*IF(Upgrades!$T$15="Binary Partner",POWER(Upgrades!$U$15,G77),1)*IF(Upgrades!$T$16="Binary Partner",POWER(Upgrades!$U$16,H77),1)*IF(Upgrades!$T$17="Binary Partner",POWER(Upgrades!$U$17,I77),1)*IF(Upgrades!$T$19="Binary Partner",POWER(Upgrades!$U$19,K77),1)*IF(Upgrades!$T$20="Binary Partner",POWER(Upgrades!$U$20,L77),1)*IF(Upgrades!$T$21="Binary Partner",POWER(Upgrades!$U$21,M77),1))+(IF(K77=0,0,(Upgrades!$J$19+K77*Upgrades!$K$19)*POWER(Upgrades!$L$19,K77)))*(IF(Upgrades!$T$13="Peculiar Velocity",POWER(Upgrades!$U$13,E77),1)*IF(Upgrades!$T$14="Peculiar Velocity",POWER(Upgrades!$U$14,F77),1)*IF(Upgrades!$T$15="Peculiar Velocity",POWER(Upgrades!$U$15,G77),1)*IF(Upgrades!$T$16="Peculiar Velocity",POWER(Upgrades!$U$16,H77),1)*IF(Upgrades!$T$17="Peculiar Velocity",POWER(Upgrades!$U$17,I77),1)*IF(Upgrades!$T$18="Peculiar Velocity",POWER(Upgrades!$U$18,J77),1)*IF(Upgrades!$T$20="Peculiar Velocity",POWER(Upgrades!$U$20,L77),1)*IF(Upgrades!$T$21="Peculiar Velocity",POWER(Upgrades!$U$21,M77),1))+(IF(L77=0,0,(Upgrades!$J$20+L77*Upgrades!$K$20)*POWER(Upgrades!$L$20,L77)))*(IF(Upgrades!$T$13="Open Cluster",POWER(Upgrades!$U$13,E77),1)*IF(Upgrades!$T$14="Open Cluster",POWER(Upgrades!$U$14,F77),1)*IF(Upgrades!$T$15="Open Cluster",POWER(Upgrades!$U$15,G77),1)*IF(Upgrades!$T$16="Open Cluster",POWER(Upgrades!$U$16,H77),1)*IF(Upgrades!$T$17="Open Cluster",POWER(Upgrades!$U$17,I77),1)*IF(Upgrades!$T$18="Open Cluster",POWER(Upgrades!$U$18,J77),1)*IF(Upgrades!$T$19="Open Cluster",POWER(Upgrades!$U$19,K77),1)*IF(Upgrades!$T$21="Open Cluster",POWER(Upgrades!$U$21,M77),1))+(IF(M77=0,0,(Upgrades!$J$21+M77*Upgrades!$K$21)*POWER(Upgrades!$L$21,M77)))*(IF(Upgrades!$T$13="Moving Group",POWER(Upgrades!$U$13,E77),1)*IF(Upgrades!$T$14="Moving Group",POWER(Upgrades!$U$14,F77),1)*IF(Upgrades!$T$15="Moving Group",POWER(Upgrades!$U$15,G77),1)*IF(Upgrades!$T$16="Moving Group",POWER(Upgrades!$U$16,H77),1)*IF(Upgrades!$T$17="Moving Group",POWER(Upgrades!$U$17,I77),1)*IF(Upgrades!$T$18="Moving Group",POWER(Upgrades!$U$18,J77),1)*IF(Upgrades!$T$19="Moving Group",POWER(Upgrades!$U$19,K77),1)*IF(Upgrades!$T$20="Moving Group",POWER(Upgrades!$U$20,L77),1)))*POWER(Upgrades!$Q$13,E77)*POWER(Upgrades!$Q$14,F77)*POWER(Upgrades!$Q$15,G77)*POWER(Upgrades!$Q$16,H77)*POWER(Upgrades!$Q$17,I77)*POWER(Upgrades!$Q$18,J77)*POWER(Upgrades!$Q$19,K77)*POWER(Upgrades!$Q$20,L77)*POWER(Upgrades!$Q$21,M77)*$G$6+$D$6</f>
        <v/>
      </c>
      <c r="P77" s="28">
        <f>((IF(E77=0,0,(Upgrades!$G$13+E77*Upgrades!$H$13)*POWER(Upgrades!$I$13,E77)))*(IF(Upgrades!$T$14="Stellar Kinematics",POWER(Upgrades!$U$14,F77),1)*IF(Upgrades!$T$15="Stellar Kinematics",POWER(Upgrades!$U$15,G77),1)*IF(Upgrades!$T$16="Stellar Kinematics",POWER(Upgrades!$U$16,H77),1)*IF(Upgrades!$T$17="Stellar Kinematics",POWER(Upgrades!$U$17,I77),1)*IF(Upgrades!$T$18="Stellar Kinematics",POWER(Upgrades!$U$18,J77),1)*IF(Upgrades!$T$19="Stellar Kinematics",POWER(Upgrades!$U$19,K77),1)*IF(Upgrades!$T$20="Stellar Kinematics",POWER(Upgrades!$U$20,L77),1)*IF(Upgrades!$T$21="Stellar Kinematics",POWER(Upgrades!$U$21,M77),1))+(IF(F77=0,0,(Upgrades!$G$14+F77*Upgrades!$H$14)*POWER(Upgrades!$I$14,F77)))*(IF(Upgrades!$T$13="Local Bubble",POWER(Upgrades!$U$13,E77),1)*IF(Upgrades!$T$15="Local Bubble",POWER(Upgrades!$U$15,G77),1)*IF(Upgrades!$T$16="Local Bubble",POWER(Upgrades!$U$16,H77),1)*IF(Upgrades!$T$17="Local Bubble",POWER(Upgrades!$U$17,I77),1)*IF(Upgrades!$T$18="Local Bubble",POWER(Upgrades!$U$18,J77),1)*IF(Upgrades!$T$19="Local Bubble",POWER(Upgrades!$U$19,K77),1)*IF(Upgrades!$T$20="Local Bubble",POWER(Upgrades!$U$20,L77),1)*IF(Upgrades!$T$21="Local Bubble",POWER(Upgrades!$U$21,M77),1))+(IF(G77=0,0,(Upgrades!$G$15+G77*Upgrades!$H$15)*POWER(Upgrades!$I$15,G77)))*(IF(Upgrades!$T$13="Microlensing",POWER(Upgrades!$U$13,E77),1)*IF(Upgrades!$T$14="Microlensing",POWER(Upgrades!$U$14,F77),1)*IF(Upgrades!$T$16="Microlensing",POWER(Upgrades!$U$16,H77),1)*IF(Upgrades!$T$17="Microlensing",POWER(Upgrades!$U$17,I77),1)*IF(Upgrades!$T$18="Microlensing",POWER(Upgrades!$U$18,J77),1)*IF(Upgrades!$T$19="Microlensing",POWER(Upgrades!$U$19,K77),1)*IF(Upgrades!$T$20="Microlensing",POWER(Upgrades!$U$20,L77),1)*IF(Upgrades!$T$21="Microlensing",POWER(Upgrades!$U$21,M77),1))+(IF(H77=0,0,(Upgrades!$G$16+H77*Upgrades!$H$16)*POWER(Upgrades!$I$16,H77)))*(IF(Upgrades!$T$13="Roche Lobe Overflow",POWER(Upgrades!$U$13,E77),1)*IF(Upgrades!$T$14="Roche Lobe Overflow",POWER(Upgrades!$U$14,F77),1)*IF(Upgrades!$T$15="Roche Lobe Overflow",POWER(Upgrades!$U$15,G77),1)*IF(Upgrades!$T$17="Roche Lobe Overflow",POWER(Upgrades!$U$17,I77),1)*IF(Upgrades!$T$18="Roche Lobe Overflow",POWER(Upgrades!$U$18,J77),1)*IF(Upgrades!$T$19="Roche Lobe Overflow",POWER(Upgrades!$U$19,K77),1)*IF(Upgrades!$T$20="Roche Lobe Overflow",POWER(Upgrades!$U$20,L77),1)*IF(Upgrades!$T$21="Roche Lobe Overflow",POWER(Upgrades!$U$21,M77),1))+(IF(I77=0,0,(Upgrades!$G$17+I77*Upgrades!$H$17)*POWER(Upgrades!$I$17,I77)))*(IF(Upgrades!$T$13="Brown Dwarf",POWER(Upgrades!$U$13,E77),1)*IF(Upgrades!$T$14="Brown Dwarf",POWER(Upgrades!$U$14,F77),1)*IF(Upgrades!$T$15="Brown Dwarf",POWER(Upgrades!$U$15,G77),1)*IF(Upgrades!$T$16="Brown Dwarf",POWER(Upgrades!$U$16,H77),1)*IF(Upgrades!$T$18="Brown Dwarf",POWER(Upgrades!$U$18,J77),1)*IF(Upgrades!$T$19="Brown Dwarf",POWER(Upgrades!$U$19,K77),1)*IF(Upgrades!$T$20="Brown Dwarf",POWER(Upgrades!$U$20,L77),1)*IF(Upgrades!$T$21="Brown Dwarf",POWER(Upgrades!$U$21,M77),1))+(IF(J77=0,0,(Upgrades!$G$18+J77*Upgrades!$H$18)*POWER(Upgrades!$I$18,J77)))*(IF(Upgrades!$T$13="Binary Partner",POWER(Upgrades!$U$13,E77),1)*IF(Upgrades!$T$14="Binary Partner",POWER(Upgrades!$U$14,F77),1)*IF(Upgrades!$T$15="Binary Partner",POWER(Upgrades!$U$15,G77),1)*IF(Upgrades!$T$16="Binary Partner",POWER(Upgrades!$U$16,H77),1)*IF(Upgrades!$T$17="Binary Partner",POWER(Upgrades!$U$17,I77),1)*IF(Upgrades!$T$19="Binary Partner",POWER(Upgrades!$U$19,K77),1)*IF(Upgrades!$T$20="Binary Partner",POWER(Upgrades!$U$20,L77),1)*IF(Upgrades!$T$21="Binary Partner",POWER(Upgrades!$U$21,M77),1))+(IF(K77=0,0,(Upgrades!$G$19+K77*Upgrades!$H$19)*POWER(Upgrades!$I$19,K77)))*(IF(Upgrades!$T$13="Peculiar Velocity",POWER(Upgrades!$U$13,E77),1)*IF(Upgrades!$T$14="Peculiar Velocity",POWER(Upgrades!$U$14,F77),1)*IF(Upgrades!$T$15="Peculiar Velocity",POWER(Upgrades!$U$15,G77),1)*IF(Upgrades!$T$16="Peculiar Velocity",POWER(Upgrades!$U$16,H77),1)*IF(Upgrades!$T$17="Peculiar Velocity",POWER(Upgrades!$U$17,I77),1)*IF(Upgrades!$T$18="Peculiar Velocity",POWER(Upgrades!$U$18,J77),1)*IF(Upgrades!$T$20="Peculiar Velocity",POWER(Upgrades!$U$20,L77),1)*IF(Upgrades!$T$21="Peculiar Velocity",POWER(Upgrades!$U$21,M77),1))+(IF(L77=0,0,(Upgrades!$G$20+L77*Upgrades!$H$20)*POWER(Upgrades!$I$20,L77)))*(IF(Upgrades!$T$13="Open Cluster",POWER(Upgrades!$U$13,E77),1)*IF(Upgrades!$T$14="Open Cluster",POWER(Upgrades!$U$14,F77),1)*IF(Upgrades!$T$15="Open Cluster",POWER(Upgrades!$U$15,G77),1)*IF(Upgrades!$T$16="Open Cluster",POWER(Upgrades!$U$16,H77),1)*IF(Upgrades!$T$17="Open Cluster",POWER(Upgrades!$U$17,I77),1)*IF(Upgrades!$T$18="Open Cluster",POWER(Upgrades!$U$18,J77),1)*IF(Upgrades!$T$19="Open Cluster",POWER(Upgrades!$U$19,K77),1)*IF(Upgrades!$T$21="Open Cluster",POWER(Upgrades!$U$21,M77),1))+(IF(M77=0,0,(Upgrades!$G$21+M77*Upgrades!$H$21)*POWER(Upgrades!$I$21,M77)))*(IF(Upgrades!$T$13="Moving Group",POWER(Upgrades!$U$13,E77),1)*IF(Upgrades!$T$14="Moving Group",POWER(Upgrades!$U$14,F77),1)*IF(Upgrades!$T$15="Moving Group",POWER(Upgrades!$U$15,G77),1)*IF(Upgrades!$T$16="Moving Group",POWER(Upgrades!$U$16,H77),1)*IF(Upgrades!$T$17="Moving Group",POWER(Upgrades!$U$17,I77),1)*IF(Upgrades!$T$18="Moving Group",POWER(Upgrades!$U$18,J77),1)*IF(Upgrades!$T$19="Moving Group",POWER(Upgrades!$U$19,K77),1)*IF(Upgrades!$T$20="Moving Group",POWER(Upgrades!$U$20,L77),1)))*POWER(Upgrades!$P$13,E77)*POWER(Upgrades!$P$14,F77)*POWER(Upgrades!$P$15,G77)*POWER(Upgrades!$P$16,H77)*POWER(Upgrades!$P$17,I77)*POWER(Upgrades!$P$18,J77)*POWER(Upgrades!$P$19,K77)*POWER(Upgrades!$P$20,L77)*POWER(Upgrades!$P$21,M77)*$F$6+$C$6</f>
        <v/>
      </c>
      <c r="Q77" s="28">
        <f>((IF(E77=0,0,(Upgrades!$M$13+E77*Upgrades!$N$13)*POWER(Upgrades!$O$13,E77)))*(IF(Upgrades!$T$14="Stellar Kinematics",POWER(Upgrades!$U$14,F77),1)*IF(Upgrades!$T$15="Stellar Kinematics",POWER(Upgrades!$U$15,G77),1)*IF(Upgrades!$T$16="Stellar Kinematics",POWER(Upgrades!$U$16,H77),1)*IF(Upgrades!$T$17="Stellar Kinematics",POWER(Upgrades!$U$17,I77),1)*IF(Upgrades!$T$18="Stellar Kinematics",POWER(Upgrades!$U$18,J77),1)*IF(Upgrades!$T$19="Stellar Kinematics",POWER(Upgrades!$U$19,K77),1)*IF(Upgrades!$T$20="Stellar Kinematics",POWER(Upgrades!$U$20,L77),1)*IF(Upgrades!$T$21="Stellar Kinematics",POWER(Upgrades!$U$21,M77),1))+(IF(F77=0,0,(Upgrades!$M$14+F77*Upgrades!$N$14)*POWER(Upgrades!$O$14,F77)))*(IF(Upgrades!$T$13="Local Bubble",POWER(Upgrades!$U$13,E77),1)*IF(Upgrades!$T$15="Local Bubble",POWER(Upgrades!$U$15,G77),1)*IF(Upgrades!$T$16="Local Bubble",POWER(Upgrades!$U$16,H77),1)*IF(Upgrades!$T$17="Local Bubble",POWER(Upgrades!$U$17,I77),1)*IF(Upgrades!$T$18="Local Bubble",POWER(Upgrades!$U$18,J77),1)*IF(Upgrades!$T$19="Local Bubble",POWER(Upgrades!$U$19,K77),1)*IF(Upgrades!$T$20="Local Bubble",POWER(Upgrades!$U$20,L77),1)*IF(Upgrades!$T$21="Local Bubble",POWER(Upgrades!$U$21,M77),1))+(IF(G77=0,0,(Upgrades!$M$15+G77*Upgrades!$N$15)*POWER(Upgrades!$O$15,G77)))*(IF(Upgrades!$T$13="Microlensing",POWER(Upgrades!$U$13,E77),1)*IF(Upgrades!$T$14="Microlensing",POWER(Upgrades!$U$14,F77),1)*IF(Upgrades!$T$16="Microlensing",POWER(Upgrades!$U$16,H77),1)*IF(Upgrades!$T$17="Microlensing",POWER(Upgrades!$U$17,I77),1)*IF(Upgrades!$T$18="Microlensing",POWER(Upgrades!$U$18,J77),1)*IF(Upgrades!$T$19="Microlensing",POWER(Upgrades!$U$19,K77),1)*IF(Upgrades!$T$20="Microlensing",POWER(Upgrades!$U$20,L77),1)*IF(Upgrades!$T$21="Microlensing",POWER(Upgrades!$U$21,M77),1))+(IF(H77=0,0,(Upgrades!$M$16+H77*Upgrades!$N$16)*POWER(Upgrades!$O$16,H77)))*(IF(Upgrades!$T$13="Roche Lobe Overflow",POWER(Upgrades!$U$13,E77),1)*IF(Upgrades!$T$14="Roche Lobe Overflow",POWER(Upgrades!$U$14,F77),1)*IF(Upgrades!$T$15="Roche Lobe Overflow",POWER(Upgrades!$U$15,G77),1)*IF(Upgrades!$T$17="Roche Lobe Overflow",POWER(Upgrades!$U$17,I77),1)*IF(Upgrades!$T$18="Roche Lobe Overflow",POWER(Upgrades!$U$18,J77),1)*IF(Upgrades!$T$19="Roche Lobe Overflow",POWER(Upgrades!$U$19,K77),1)*IF(Upgrades!$T$20="Roche Lobe Overflow",POWER(Upgrades!$U$20,L77),1)*IF(Upgrades!$T$21="Roche Lobe Overflow",POWER(Upgrades!$U$21,M77),1))+(IF(I77=0,0,(Upgrades!$M$17+I77*Upgrades!$N$17)*POWER(Upgrades!$O$17,I77)))*(IF(Upgrades!$T$13="Brown Dwarf",POWER(Upgrades!$U$13,E77),1)*IF(Upgrades!$T$14="Brown Dwarf",POWER(Upgrades!$U$14,F77),1)*IF(Upgrades!$T$15="Brown Dwarf",POWER(Upgrades!$U$15,G77),1)*IF(Upgrades!$T$16="Brown Dwarf",POWER(Upgrades!$U$16,H77),1)*IF(Upgrades!$T$18="Brown Dwarf",POWER(Upgrades!$U$18,J77),1)*IF(Upgrades!$T$19="Brown Dwarf",POWER(Upgrades!$U$19,K77),1)*IF(Upgrades!$T$20="Brown Dwarf",POWER(Upgrades!$U$20,L77),1)*IF(Upgrades!$T$21="Brown Dwarf",POWER(Upgrades!$U$21,M77),1))+(IF(J77=0,0,(Upgrades!$M$18+J77*Upgrades!$N$18)*POWER(Upgrades!$O$18,J77)))*(IF(Upgrades!$T$13="Binary Partner",POWER(Upgrades!$U$13,E77),1)*IF(Upgrades!$T$14="Binary Partner",POWER(Upgrades!$U$14,F77),1)*IF(Upgrades!$T$15="Binary Partner",POWER(Upgrades!$U$15,G77),1)*IF(Upgrades!$T$16="Binary Partner",POWER(Upgrades!$U$16,H77),1)*IF(Upgrades!$T$17="Binary Partner",POWER(Upgrades!$U$17,I77),1)*IF(Upgrades!$T$19="Binary Partner",POWER(Upgrades!$U$19,K77),1)*IF(Upgrades!$T$20="Binary Partner",POWER(Upgrades!$U$20,L77),1)*IF(Upgrades!$T$21="Binary Partner",POWER(Upgrades!$U$21,M77),1))+(IF(K77=0,0,(Upgrades!$M$19+K77*Upgrades!$N$19)*POWER(Upgrades!$O$19,K77)))*(IF(Upgrades!$T$13="Peculiar Velocity",POWER(Upgrades!$U$13,E77),1)*IF(Upgrades!$T$14="Peculiar Velocity",POWER(Upgrades!$U$14,F77),1)*IF(Upgrades!$T$15="Peculiar Velocity",POWER(Upgrades!$U$15,G77),1)*IF(Upgrades!$T$16="Peculiar Velocity",POWER(Upgrades!$U$16,H77),1)*IF(Upgrades!$T$17="Peculiar Velocity",POWER(Upgrades!$U$17,I77),1)*IF(Upgrades!$T$18="Peculiar Velocity",POWER(Upgrades!$U$18,J77),1)*IF(Upgrades!$T$20="Peculiar Velocity",POWER(Upgrades!$U$20,L77),1)*IF(Upgrades!$T$21="Peculiar Velocity",POWER(Upgrades!$U$21,M77),1))+(IF(L77=0,0,(Upgrades!$M$20+L77*Upgrades!$N$20)*POWER(Upgrades!$O$20,L77)))*(IF(Upgrades!$T$13="Open Cluster",POWER(Upgrades!$U$13,E77),1)*IF(Upgrades!$T$14="Open Cluster",POWER(Upgrades!$U$14,F77),1)*IF(Upgrades!$T$15="Open Cluster",POWER(Upgrades!$U$15,G77),1)*IF(Upgrades!$T$16="Open Cluster",POWER(Upgrades!$U$16,H77),1)*IF(Upgrades!$T$17="Open Cluster",POWER(Upgrades!$U$17,I77),1)*IF(Upgrades!$T$18="Open Cluster",POWER(Upgrades!$U$18,J77),1)*IF(Upgrades!$T$19="Open Cluster",POWER(Upgrades!$U$19,K77),1)*IF(Upgrades!$T$21="Open Cluster",POWER(Upgrades!$U$21,M77),1))+(IF(M77=0,0,(Upgrades!$M$21+M77*Upgrades!$N$21)*POWER(Upgrades!$O$21,M77)))*(IF(Upgrades!$T$13="Moving Group",POWER(Upgrades!$U$13,E77),1)*IF(Upgrades!$T$14="Moving Group",POWER(Upgrades!$U$14,F77),1)*IF(Upgrades!$T$15="Moving Group",POWER(Upgrades!$U$15,G77),1)*IF(Upgrades!$T$16="Moving Group",POWER(Upgrades!$U$16,H77),1)*IF(Upgrades!$T$17="Moving Group",POWER(Upgrades!$U$17,I77),1)*IF(Upgrades!$T$18="Moving Group",POWER(Upgrades!$U$18,J77),1)*IF(Upgrades!$T$19="Moving Group",POWER(Upgrades!$U$19,K77),1)*IF(Upgrades!$T$20="Moving Group",POWER(Upgrades!$U$20,L77),1)))*POWER(Upgrades!$R$13,E77)*POWER(Upgrades!$R$14,F77)*POWER(Upgrades!$R$15,G77)*POWER(Upgrades!$R$16,H77)*POWER(Upgrades!$R$17,I77)*POWER(Upgrades!$R$18,J77)*POWER(Upgrades!$R$19,K77)*POWER(Upgrades!$R$20,L77)*POWER(Upgrades!$R$21,M77)*$H$6+$E$6</f>
        <v/>
      </c>
      <c r="R77" s="27">
        <f>IF(N77=1,0,O77*Parameters!$B$10/60*Parameters!$B$11*10)</f>
        <v/>
      </c>
      <c r="S77" s="27">
        <f>IF(N77=1,0,Q77*O77*10)</f>
        <v/>
      </c>
      <c r="T77" s="27">
        <f>IF(N77=1,0,R77+S77+P77*10)</f>
        <v/>
      </c>
      <c r="U77" s="33">
        <f>BE77</f>
        <v/>
      </c>
      <c r="V77" s="22">
        <f>IF(U77="",0,IF(U77="transition",0,IF(U77="SK",AK77,IF(U77="LB",AL77,IF(U77="ML",AM77,IF(U77="RLO",AN77,IF(U77="BD",AO77,IF(U77="BiP",AP77,IF(U77="PV",AQ77,IF(U77="OC",AR77,IF(U77="MG",AS77,0))))))))))</f>
        <v/>
      </c>
      <c r="W77" s="27">
        <f>IF(U77="BiP",Upgrades!$F$18,IF(U77="PV",Upgrades!$F$19,IF(U77="OC",Upgrades!$F$20,IF(U77="MG",Upgrades!$F$21,IF(U77="transition",-Parameters!$B$18*Parameters!$B$19,0)))))</f>
        <v/>
      </c>
      <c r="X77" s="22">
        <f>C77+T77-V77</f>
        <v/>
      </c>
      <c r="Y77" s="30">
        <f>O77*Parameters!$B$10/60*Parameters!$B$11+Q77*O77+P77</f>
        <v/>
      </c>
      <c r="Z77" s="34">
        <f>IF(U77="transition","→ Tier 3 (Galactic Arm)",IF(U77="MG","Moving Group — pocket drifts together",IF(U77="OC","Open Cluster acquired",IF(U77="PV","Peculiar Velocity — passive multiplier active",IF(U77="BiP","Binary Partner — pair bond formed",IF(AND(AU77=1,N77=0,AT77&lt;&gt;1),"Cohesion ready (waiting on completionists)","")))))) </f>
        <v/>
      </c>
      <c r="AA77" s="27">
        <f>(IF(E77=0,0,(Upgrades!$G$13+E77*Upgrades!$H$13)*POWER(Upgrades!$I$13,E77)))*(IF(Upgrades!$T$14="Stellar Kinematics",POWER(Upgrades!$U$14,F77),1)*IF(Upgrades!$T$15="Stellar Kinematics",POWER(Upgrades!$U$15,G77),1)*IF(Upgrades!$T$16="Stellar Kinematics",POWER(Upgrades!$U$16,H77),1)*IF(Upgrades!$T$17="Stellar Kinematics",POWER(Upgrades!$U$17,I77),1)*IF(Upgrades!$T$18="Stellar Kinematics",POWER(Upgrades!$U$18,J77),1)*IF(Upgrades!$T$19="Stellar Kinematics",POWER(Upgrades!$U$19,K77),1)*IF(Upgrades!$T$20="Stellar Kinematics",POWER(Upgrades!$U$20,L77),1)*IF(Upgrades!$T$21="Stellar Kinematics",POWER(Upgrades!$U$21,M77),1))*POWER(Upgrades!$P$13,E77)*POWER(Upgrades!$P$14,F77)*POWER(Upgrades!$P$15,G77)*POWER(Upgrades!$P$16,H77)*POWER(Upgrades!$P$17,I77)*POWER(Upgrades!$P$18,J77)*POWER(Upgrades!$P$19,K77)*POWER(Upgrades!$P$20,L77)*POWER(Upgrades!$P$21,M77)*$F$6*60</f>
        <v/>
      </c>
      <c r="AB77" s="27">
        <f>(IF(F77=0,0,(Upgrades!$G$14+F77*Upgrades!$H$14)*POWER(Upgrades!$I$14,F77)))*(IF(Upgrades!$T$13="Local Bubble",POWER(Upgrades!$U$13,E77),1)*IF(Upgrades!$T$15="Local Bubble",POWER(Upgrades!$U$15,G77),1)*IF(Upgrades!$T$16="Local Bubble",POWER(Upgrades!$U$16,H77),1)*IF(Upgrades!$T$17="Local Bubble",POWER(Upgrades!$U$17,I77),1)*IF(Upgrades!$T$18="Local Bubble",POWER(Upgrades!$U$18,J77),1)*IF(Upgrades!$T$19="Local Bubble",POWER(Upgrades!$U$19,K77),1)*IF(Upgrades!$T$20="Local Bubble",POWER(Upgrades!$U$20,L77),1)*IF(Upgrades!$T$21="Local Bubble",POWER(Upgrades!$U$21,M77),1))*POWER(Upgrades!$P$13,E77)*POWER(Upgrades!$P$14,F77)*POWER(Upgrades!$P$15,G77)*POWER(Upgrades!$P$16,H77)*POWER(Upgrades!$P$17,I77)*POWER(Upgrades!$P$18,J77)*POWER(Upgrades!$P$19,K77)*POWER(Upgrades!$P$20,L77)*POWER(Upgrades!$P$21,M77)*$F$6*60</f>
        <v/>
      </c>
      <c r="AC77" s="27">
        <f>(IF(G77=0,0,(Upgrades!$J$15+G77*Upgrades!$K$15)*POWER(Upgrades!$L$15,G77)))*(IF(Upgrades!$T$13="Microlensing",POWER(Upgrades!$U$13,E77),1)*IF(Upgrades!$T$14="Microlensing",POWER(Upgrades!$U$14,F77),1)*IF(Upgrades!$T$16="Microlensing",POWER(Upgrades!$U$16,H77),1)*IF(Upgrades!$T$17="Microlensing",POWER(Upgrades!$U$17,I77),1)*IF(Upgrades!$T$18="Microlensing",POWER(Upgrades!$U$18,J77),1)*IF(Upgrades!$T$19="Microlensing",POWER(Upgrades!$U$19,K77),1)*IF(Upgrades!$T$20="Microlensing",POWER(Upgrades!$U$20,L77),1)*IF(Upgrades!$T$21="Microlensing",POWER(Upgrades!$U$21,M77),1))*POWER(Upgrades!$Q$13,E77)*POWER(Upgrades!$Q$14,F77)*POWER(Upgrades!$Q$15,G77)*POWER(Upgrades!$Q$16,H77)*POWER(Upgrades!$Q$17,I77)*POWER(Upgrades!$Q$18,J77)*POWER(Upgrades!$Q$19,K77)*POWER(Upgrades!$Q$20,L77)*POWER(Upgrades!$Q$21,M77)*$G$6*(Parameters!$B$10*Parameters!$B$11+Q77*60)</f>
        <v/>
      </c>
      <c r="AD77" s="27">
        <f>(IF(H77=0,0,(Upgrades!$M$16+H77*Upgrades!$N$16)*POWER(Upgrades!$O$16,H77)))*(IF(Upgrades!$T$13="Roche Lobe Overflow",POWER(Upgrades!$U$13,E77),1)*IF(Upgrades!$T$14="Roche Lobe Overflow",POWER(Upgrades!$U$14,F77),1)*IF(Upgrades!$T$15="Roche Lobe Overflow",POWER(Upgrades!$U$15,G77),1)*IF(Upgrades!$T$17="Roche Lobe Overflow",POWER(Upgrades!$U$17,I77),1)*IF(Upgrades!$T$18="Roche Lobe Overflow",POWER(Upgrades!$U$18,J77),1)*IF(Upgrades!$T$19="Roche Lobe Overflow",POWER(Upgrades!$U$19,K77),1)*IF(Upgrades!$T$20="Roche Lobe Overflow",POWER(Upgrades!$U$20,L77),1)*IF(Upgrades!$T$21="Roche Lobe Overflow",POWER(Upgrades!$U$21,M77),1))*POWER(Upgrades!$R$13,E77)*POWER(Upgrades!$R$14,F77)*POWER(Upgrades!$R$15,G77)*POWER(Upgrades!$R$16,H77)*POWER(Upgrades!$R$17,I77)*POWER(Upgrades!$R$18,J77)*POWER(Upgrades!$R$19,K77)*POWER(Upgrades!$R$20,L77)*POWER(Upgrades!$R$21,M77)*$H$6*O77*60</f>
        <v/>
      </c>
      <c r="AE77" s="27">
        <f>(IF(I77=0,0,(Upgrades!$G$17+I77*Upgrades!$H$17)*POWER(Upgrades!$I$17,I77)))*(IF(Upgrades!$T$13="Brown Dwarf",POWER(Upgrades!$U$13,E77),1)*IF(Upgrades!$T$14="Brown Dwarf",POWER(Upgrades!$U$14,F77),1)*IF(Upgrades!$T$15="Brown Dwarf",POWER(Upgrades!$U$15,G77),1)*IF(Upgrades!$T$16="Brown Dwarf",POWER(Upgrades!$U$16,H77),1)*IF(Upgrades!$T$18="Brown Dwarf",POWER(Upgrades!$U$18,J77),1)*IF(Upgrades!$T$19="Brown Dwarf",POWER(Upgrades!$U$19,K77),1)*IF(Upgrades!$T$20="Brown Dwarf",POWER(Upgrades!$U$20,L77),1)*IF(Upgrades!$T$21="Brown Dwarf",POWER(Upgrades!$U$21,M77),1))*POWER(Upgrades!$P$13,E77)*POWER(Upgrades!$P$14,F77)*POWER(Upgrades!$P$15,G77)*POWER(Upgrades!$P$16,H77)*POWER(Upgrades!$P$17,I77)*POWER(Upgrades!$P$18,J77)*POWER(Upgrades!$P$19,K77)*POWER(Upgrades!$P$20,L77)*POWER(Upgrades!$P$21,M77)*$F$6*60</f>
        <v/>
      </c>
      <c r="AF77" s="27" t="n">
        <v>0</v>
      </c>
      <c r="AG77" s="27" t="n">
        <v>0</v>
      </c>
      <c r="AH77" s="27" t="n">
        <v>0</v>
      </c>
      <c r="AI77" s="27">
        <f>(IF(M77=0,0,(Upgrades!$G$21+M77*Upgrades!$H$21)*POWER(Upgrades!$I$21,M77)))*(IF(Upgrades!$T$13="Moving Group",POWER(Upgrades!$U$13,E77),1)*IF(Upgrades!$T$14="Moving Group",POWER(Upgrades!$U$14,F77),1)*IF(Upgrades!$T$15="Moving Group",POWER(Upgrades!$U$15,G77),1)*IF(Upgrades!$T$16="Moving Group",POWER(Upgrades!$U$16,H77),1)*IF(Upgrades!$T$17="Moving Group",POWER(Upgrades!$U$17,I77),1)*IF(Upgrades!$T$18="Moving Group",POWER(Upgrades!$U$18,J77),1)*IF(Upgrades!$T$19="Moving Group",POWER(Upgrades!$U$19,K77),1)*IF(Upgrades!$T$20="Moving Group",POWER(Upgrades!$U$20,L77),1))*POWER(Upgrades!$P$13,E77)*POWER(Upgrades!$P$14,F77)*POWER(Upgrades!$P$15,G77)*POWER(Upgrades!$P$16,H77)*POWER(Upgrades!$P$17,I77)*POWER(Upgrades!$P$18,J77)*POWER(Upgrades!$P$19,K77)*POWER(Upgrades!$P$20,L77)*POWER(Upgrades!$P$21,M77)*$F$6*60</f>
        <v/>
      </c>
      <c r="AJ77" s="27">
        <f>$C$6*60</f>
        <v/>
      </c>
      <c r="AK77" s="22">
        <f>IF(E77&gt;=Upgrades!$E$13,"",Upgrades!$C$13*POWER(Upgrades!$D$13,E77))</f>
        <v/>
      </c>
      <c r="AL77" s="22">
        <f>IF(F77&gt;=Upgrades!$E$14,"",Upgrades!$C$14*POWER(Upgrades!$D$14,F77))</f>
        <v/>
      </c>
      <c r="AM77" s="22">
        <f>IF(G77&gt;=Upgrades!$E$15,"",Upgrades!$C$15*POWER(Upgrades!$D$15,G77))</f>
        <v/>
      </c>
      <c r="AN77" s="22">
        <f>IF(H77&gt;=Upgrades!$E$16,"",Upgrades!$C$16*POWER(Upgrades!$D$16,H77))</f>
        <v/>
      </c>
      <c r="AO77" s="22">
        <f>IF(I77&gt;=Upgrades!$E$17,"",Upgrades!$C$17*POWER(Upgrades!$D$17,I77))</f>
        <v/>
      </c>
      <c r="AP77" s="22">
        <f>IF(J77&gt;=Upgrades!$E$18,"",Upgrades!$C$18*POWER(Upgrades!$D$18,J77))</f>
        <v/>
      </c>
      <c r="AQ77" s="22">
        <f>IF(K77&gt;=Upgrades!$E$19,"",Upgrades!$C$19*POWER(Upgrades!$D$19,K77))</f>
        <v/>
      </c>
      <c r="AR77" s="22">
        <f>IF(L77&gt;=Upgrades!$E$20,"",Upgrades!$C$20*POWER(Upgrades!$D$20,L77))</f>
        <v/>
      </c>
      <c r="AS77" s="22">
        <f>IF(M77&gt;=Upgrades!$E$21,"",Upgrades!$C$21*POWER(Upgrades!$D$21,M77))</f>
        <v/>
      </c>
      <c r="AT77" s="26">
        <f>IF(AND(D77&gt;=Parameters!$B$18*Parameters!$B$19,(I77&gt;=Upgrades!$E$17)*(M77&gt;=Upgrades!$E$21)=1,N77=0),1,"")</f>
        <v/>
      </c>
      <c r="AU77" s="26">
        <f>IF(AND(D77&gt;=Parameters!$B$18*Parameters!$B$19,N77=0),1,"")</f>
        <v/>
      </c>
      <c r="AV77" s="22">
        <f>MIN(IF(ISNUMBER(AP77),AP77,9E15),IF(ISNUMBER(AQ77),AQ77,9E15),IF(ISNUMBER(AR77),AR77,9E15),IF(ISNUMBER(AS77),AS77,9E15))</f>
        <v/>
      </c>
      <c r="AW77" s="22">
        <f>MIN(IF(ISNUMBER(AK77),AK77,9E15),IF(ISNUMBER(AL77),AL77,9E15),IF(ISNUMBER(AM77),AM77,9E15),IF(ISNUMBER(AN77),AN77,9E15),IF(ISNUMBER(AO77),AO77,9E15))</f>
        <v/>
      </c>
      <c r="AX77" s="29">
        <f>IF(BD77&gt;Parameters!$B$21*(MAX(IF(AND(NOT(AND(AU77=1,AT77&lt;&gt;1)),ISNUMBER(AK77),AK77&lt;=(C77+T77)),AY77,0),IF(AND(NOT(AND(AU77=1,AT77&lt;&gt;1)),ISNUMBER(AL77),AL77&lt;=(C77+T77)),AZ77,0),IF(AND(NOT(AND(AU77=1,AT77&lt;&gt;1)),ISNUMBER(AM77),AM77&lt;=(C77+T77)),BA77,0),IF(AND(NOT(AND(AU77=1,AT77&lt;&gt;1)),ISNUMBER(AN77),AN77&lt;=(C77+T77)),BB77,0),IF(AND(ISNUMBER(AO77),AO77&lt;=(C77+T77)),BC77,0))),TRUE,FALSE)</f>
        <v/>
      </c>
      <c r="AY77" s="32">
        <f>IFERROR(Upgrades!$H$13*(POWER(Upgrades!$P$13,E77)*POWER(Upgrades!$P$14,F77)*POWER(Upgrades!$P$15,G77)*POWER(Upgrades!$P$16,H77)*POWER(Upgrades!$P$17,I77)*POWER(Upgrades!$P$18,J77)*POWER(Upgrades!$P$19,K77)*POWER(Upgrades!$P$20,L77)*POWER(Upgrades!$P$21,M77))*(IF(Upgrades!$T$14="Stellar Kinematics",POWER(Upgrades!$U$14,F77),1)*IF(Upgrades!$T$15="Stellar Kinematics",POWER(Upgrades!$U$15,G77),1)*IF(Upgrades!$T$16="Stellar Kinematics",POWER(Upgrades!$U$16,H77),1)*IF(Upgrades!$T$17="Stellar Kinematics",POWER(Upgrades!$U$17,I77),1)*IF(Upgrades!$T$18="Stellar Kinematics",POWER(Upgrades!$U$18,J77),1)*IF(Upgrades!$T$19="Stellar Kinematics",POWER(Upgrades!$U$19,K77),1)*IF(Upgrades!$T$20="Stellar Kinematics",POWER(Upgrades!$U$20,L77),1)*IF(Upgrades!$T$21="Stellar Kinematics",POWER(Upgrades!$U$21,M77),1))*$F$6/AK77,0)</f>
        <v/>
      </c>
      <c r="AZ77" s="32">
        <f>IFERROR(Upgrades!$H$14*(POWER(Upgrades!$P$13,E77)*POWER(Upgrades!$P$14,F77)*POWER(Upgrades!$P$15,G77)*POWER(Upgrades!$P$16,H77)*POWER(Upgrades!$P$17,I77)*POWER(Upgrades!$P$18,J77)*POWER(Upgrades!$P$19,K77)*POWER(Upgrades!$P$20,L77)*POWER(Upgrades!$P$21,M77))*(IF(Upgrades!$T$13="Local Bubble",POWER(Upgrades!$U$13,E77),1)*IF(Upgrades!$T$15="Local Bubble",POWER(Upgrades!$U$15,G77),1)*IF(Upgrades!$T$16="Local Bubble",POWER(Upgrades!$U$16,H77),1)*IF(Upgrades!$T$17="Local Bubble",POWER(Upgrades!$U$17,I77),1)*IF(Upgrades!$T$18="Local Bubble",POWER(Upgrades!$U$18,J77),1)*IF(Upgrades!$T$19="Local Bubble",POWER(Upgrades!$U$19,K77),1)*IF(Upgrades!$T$20="Local Bubble",POWER(Upgrades!$U$20,L77),1)*IF(Upgrades!$T$21="Local Bubble",POWER(Upgrades!$U$21,M77),1))*$F$6/AL77,0)</f>
        <v/>
      </c>
      <c r="BA77" s="32">
        <f>IFERROR(Upgrades!$K$15*(POWER(Upgrades!$Q$13,E77)*POWER(Upgrades!$Q$14,F77)*POWER(Upgrades!$Q$15,G77)*POWER(Upgrades!$Q$16,H77)*POWER(Upgrades!$Q$17,I77)*POWER(Upgrades!$Q$18,J77)*POWER(Upgrades!$Q$19,K77)*POWER(Upgrades!$Q$20,L77)*POWER(Upgrades!$Q$21,M77))*(IF(Upgrades!$T$13="Microlensing",POWER(Upgrades!$U$13,E77),1)*IF(Upgrades!$T$14="Microlensing",POWER(Upgrades!$U$14,F77),1)*IF(Upgrades!$T$16="Microlensing",POWER(Upgrades!$U$16,H77),1)*IF(Upgrades!$T$17="Microlensing",POWER(Upgrades!$U$17,I77),1)*IF(Upgrades!$T$18="Microlensing",POWER(Upgrades!$U$18,J77),1)*IF(Upgrades!$T$19="Microlensing",POWER(Upgrades!$U$19,K77),1)*IF(Upgrades!$T$20="Microlensing",POWER(Upgrades!$U$20,L77),1)*IF(Upgrades!$T$21="Microlensing",POWER(Upgrades!$U$21,M77),1))*$G$6*(Parameters!$B$10/60*Parameters!$B$11+Q77)/AM77,0)</f>
        <v/>
      </c>
      <c r="BB77" s="32">
        <f>IFERROR((Upgrades!$N$16*(POWER(Upgrades!$R$13,E77)*POWER(Upgrades!$R$14,F77)*POWER(Upgrades!$R$15,G77)*POWER(Upgrades!$R$16,H77)*POWER(Upgrades!$R$17,I77)*POWER(Upgrades!$R$18,J77)*POWER(Upgrades!$R$19,K77)*POWER(Upgrades!$R$20,L77)*POWER(Upgrades!$R$21,M77))*(IF(Upgrades!$T$13="Roche Lobe Overflow",POWER(Upgrades!$U$13,E77),1)*IF(Upgrades!$T$14="Roche Lobe Overflow",POWER(Upgrades!$U$14,F77),1)*IF(Upgrades!$T$15="Roche Lobe Overflow",POWER(Upgrades!$U$15,G77),1)*IF(Upgrades!$T$17="Roche Lobe Overflow",POWER(Upgrades!$U$17,I77),1)*IF(Upgrades!$T$18="Roche Lobe Overflow",POWER(Upgrades!$U$18,J77),1)*IF(Upgrades!$T$19="Roche Lobe Overflow",POWER(Upgrades!$U$19,K77),1)*IF(Upgrades!$T$20="Roche Lobe Overflow",POWER(Upgrades!$U$20,L77),1)*IF(Upgrades!$T$21="Roche Lobe Overflow",POWER(Upgrades!$U$21,M77),1))*$H$6*O77+((IF(F77=0,0,(Upgrades!$G$14+F77*Upgrades!$H$14)*POWER(Upgrades!$I$14,F77)))*(IF(Upgrades!$T$13="Local Bubble",POWER(Upgrades!$U$13,E77),1)*IF(Upgrades!$T$15="Local Bubble",POWER(Upgrades!$U$15,G77),1)*IF(Upgrades!$T$16="Local Bubble",POWER(Upgrades!$U$16,H77),1)*IF(Upgrades!$T$17="Local Bubble",POWER(Upgrades!$U$17,I77),1)*IF(Upgrades!$T$18="Local Bubble",POWER(Upgrades!$U$18,J77),1)*IF(Upgrades!$T$19="Local Bubble",POWER(Upgrades!$U$19,K77),1)*IF(Upgrades!$T$20="Local Bubble",POWER(Upgrades!$U$20,L77),1)*IF(Upgrades!$T$21="Local Bubble",POWER(Upgrades!$U$21,M77),1))*POWER(Upgrades!$P$13,E77)*POWER(Upgrades!$P$14,F77)*POWER(Upgrades!$P$15,G77)*POWER(Upgrades!$P$16,H77)*POWER(Upgrades!$P$17,I77)*POWER(Upgrades!$P$18,J77)*POWER(Upgrades!$P$19,K77)*POWER(Upgrades!$P$20,L77)*POWER(Upgrades!$P$21,M77)*$F$6)*0.05)/AN77,0)</f>
        <v/>
      </c>
      <c r="BC77" s="32">
        <f>IFERROR((Upgrades!$H$17*(POWER(Upgrades!$P$13,E77)*POWER(Upgrades!$P$14,F77)*POWER(Upgrades!$P$15,G77)*POWER(Upgrades!$P$16,H77)*POWER(Upgrades!$P$17,I77)*POWER(Upgrades!$P$18,J77)*POWER(Upgrades!$P$19,K77)*POWER(Upgrades!$P$20,L77)*POWER(Upgrades!$P$21,M77))*(IF(Upgrades!$T$13="Brown Dwarf",POWER(Upgrades!$U$13,E77),1)*IF(Upgrades!$T$14="Brown Dwarf",POWER(Upgrades!$U$14,F77),1)*IF(Upgrades!$T$15="Brown Dwarf",POWER(Upgrades!$U$15,G77),1)*IF(Upgrades!$T$16="Brown Dwarf",POWER(Upgrades!$U$16,H77),1)*IF(Upgrades!$T$18="Brown Dwarf",POWER(Upgrades!$U$18,J77),1)*IF(Upgrades!$T$19="Brown Dwarf",POWER(Upgrades!$U$19,K77),1)*IF(Upgrades!$T$20="Brown Dwarf",POWER(Upgrades!$U$20,L77),1)*IF(Upgrades!$T$21="Brown Dwarf",POWER(Upgrades!$U$21,M77),1))*$F$6+(((IF(H77=0,0,(Upgrades!$M$16+H77*Upgrades!$N$16)*POWER(Upgrades!$O$16,H77)))*(IF(Upgrades!$T$13="Roche Lobe Overflow",POWER(Upgrades!$U$13,E77),1)*IF(Upgrades!$T$14="Roche Lobe Overflow",POWER(Upgrades!$U$14,F77),1)*IF(Upgrades!$T$15="Roche Lobe Overflow",POWER(Upgrades!$U$15,G77),1)*IF(Upgrades!$T$17="Roche Lobe Overflow",POWER(Upgrades!$U$17,I77),1)*IF(Upgrades!$T$18="Roche Lobe Overflow",POWER(Upgrades!$U$18,J77),1)*IF(Upgrades!$T$19="Roche Lobe Overflow",POWER(Upgrades!$U$19,K77),1)*IF(Upgrades!$T$20="Roche Lobe Overflow",POWER(Upgrades!$U$20,L77),1)*IF(Upgrades!$T$21="Roche Lobe Overflow",POWER(Upgrades!$U$21,M77),1))*POWER(Upgrades!$R$13,E77)*POWER(Upgrades!$R$14,F77)*POWER(Upgrades!$R$15,G77)*POWER(Upgrades!$R$16,H77)*POWER(Upgrades!$R$17,I77)*POWER(Upgrades!$R$18,J77)*POWER(Upgrades!$R$19,K77)*POWER(Upgrades!$R$20,L77)*POWER(Upgrades!$R$21,M77)*$H$6)*O77)*0.10)/AO77,0)</f>
        <v/>
      </c>
      <c r="BD77" s="32">
        <f>MAX(IF(J77&gt;0,0,IFERROR(0.5*((IF(G77=0,0,(Upgrades!$J$15+G77*Upgrades!$K$15)*POWER(Upgrades!$L$15,G77)))*(IF(Upgrades!$T$13="Microlensing",POWER(Upgrades!$U$13,E77),1)*IF(Upgrades!$T$14="Microlensing",POWER(Upgrades!$U$14,F77),1)*IF(Upgrades!$T$16="Microlensing",POWER(Upgrades!$U$16,H77),1)*IF(Upgrades!$T$17="Microlensing",POWER(Upgrades!$U$17,I77),1)*IF(Upgrades!$T$18="Microlensing",POWER(Upgrades!$U$18,J77),1)*IF(Upgrades!$T$19="Microlensing",POWER(Upgrades!$U$19,K77),1)*IF(Upgrades!$T$20="Microlensing",POWER(Upgrades!$U$20,L77),1)*IF(Upgrades!$T$21="Microlensing",POWER(Upgrades!$U$21,M77),1))*(POWER(Upgrades!$Q$13,E77)*POWER(Upgrades!$Q$14,F77)*POWER(Upgrades!$Q$15,G77)*POWER(Upgrades!$Q$16,H77)*POWER(Upgrades!$Q$17,I77)*POWER(Upgrades!$Q$18,J77)*POWER(Upgrades!$Q$19,K77)*POWER(Upgrades!$Q$20,L77)*POWER(Upgrades!$Q$21,M77))*$G$6*(Parameters!$B$10/60*Parameters!$B$11+Q77))/Upgrades!$C$18,0)),IF(K77&gt;0,0,IFERROR(0.30*P77/Upgrades!$C$19,0)),IF(L77&gt;0,0,IFERROR(0.0001/Upgrades!$C$20,0)),IF(M77&gt;0,0,IFERROR((6.0*(POWER(Upgrades!$P$13,E77)*POWER(Upgrades!$P$14,F77)*POWER(Upgrades!$P$15,G77)*POWER(Upgrades!$P$16,H77)*POWER(Upgrades!$P$17,I77)*POWER(Upgrades!$P$18,J77)*POWER(Upgrades!$P$19,K77)*POWER(Upgrades!$P$20,L77)*POWER(Upgrades!$P$21,M77))*$F$6+0.20*O77*(Parameters!$B$10/60*Parameters!$B$11+Q77))/Upgrades!$C$21,0)),IF(AND(ISNUMBER(AK77),AK77&gt;(C77+T77)),AY77,0),IF(AND(ISNUMBER(AL77),AL77&gt;(C77+T77)),AZ77,0),IF(AND(ISNUMBER(AM77),AM77&gt;(C77+T77)),BA77,0),IF(AND(ISNUMBER(AN77),AN77&gt;(C77+T77)),BB77,0),IF(AND(ISNUMBER(AO77),AO77&gt;(C77+T77)),BC77,0))</f>
        <v/>
      </c>
      <c r="BE77" s="29">
        <f>IF(AT77=1,"transition",IF(MIN(IF(AND(J77=0,ISNUMBER(AP77),AP77&lt;=(C77+T77)),AP77,9E15),IF(AND(K77=0,ISNUMBER(AQ77),AQ77&lt;=(C77+T77)),AQ77,9E15),IF(AND(L77=0,ISNUMBER(AR77),AR77&lt;=(C77+T77)),AR77,9E15),IF(AND(M77=0,ISNUMBER(AS77),AS77&lt;=(C77+T77)),AS77,9E15))&lt;9E15,IF(AND(AND(J77=0,ISNUMBER(AP77),AP77&lt;=(C77+T77)),AP77=MIN(IF(AND(J77=0,ISNUMBER(AP77),AP77&lt;=(C77+T77)),AP77,9E15),IF(AND(K77=0,ISNUMBER(AQ77),AQ77&lt;=(C77+T77)),AQ77,9E15),IF(AND(L77=0,ISNUMBER(AR77),AR77&lt;=(C77+T77)),AR77,9E15),IF(AND(M77=0,ISNUMBER(AS77),AS77&lt;=(C77+T77)),AS77,9E15))),"BiP",IF(AND(AND(K77=0,ISNUMBER(AQ77),AQ77&lt;=(C77+T77)),AQ77=MIN(IF(AND(J77=0,ISNUMBER(AP77),AP77&lt;=(C77+T77)),AP77,9E15),IF(AND(K77=0,ISNUMBER(AQ77),AQ77&lt;=(C77+T77)),AQ77,9E15),IF(AND(L77=0,ISNUMBER(AR77),AR77&lt;=(C77+T77)),AR77,9E15),IF(AND(M77=0,ISNUMBER(AS77),AS77&lt;=(C77+T77)),AS77,9E15))),"PV",IF(AND(AND(L77=0,ISNUMBER(AR77),AR77&lt;=(C77+T77)),AR77=MIN(IF(AND(J77=0,ISNUMBER(AP77),AP77&lt;=(C77+T77)),AP77,9E15),IF(AND(K77=0,ISNUMBER(AQ77),AQ77&lt;=(C77+T77)),AQ77,9E15),IF(AND(L77=0,ISNUMBER(AR77),AR77&lt;=(C77+T77)),AR77,9E15),IF(AND(M77=0,ISNUMBER(AS77),AS77&lt;=(C77+T77)),AS77,9E15))),"OC","MG"))),IF(AX77=TRUE,"",IF(MAX(IF(AND(NOT(AND(AU77=1,AT77&lt;&gt;1)),ISNUMBER(AK77),AK77&lt;=(C77+T77)),AY77,0),IF(AND(NOT(AND(AU77=1,AT77&lt;&gt;1)),ISNUMBER(AL77),AL77&lt;=(C77+T77)),AZ77,0),IF(AND(NOT(AND(AU77=1,AT77&lt;&gt;1)),ISNUMBER(AM77),AM77&lt;=(C77+T77)),BA77,0),IF(AND(NOT(AND(AU77=1,AT77&lt;&gt;1)),ISNUMBER(AN77),AN77&lt;=(C77+T77)),BB77,0),IF(AND(ISNUMBER(AO77),AO77&lt;=(C77+T77)),BC77,0))&lt;=0,"",IF(AND(IF(AND(NOT(AND(AU77=1,AT77&lt;&gt;1)),ISNUMBER(AK77),AK77&lt;=(C77+T77)),AY77,0)&gt;0,IF(AND(NOT(AND(AU77=1,AT77&lt;&gt;1)),ISNUMBER(AK77),AK77&lt;=(C77+T77)),AY77,0)=MAX(IF(AND(NOT(AND(AU77=1,AT77&lt;&gt;1)),ISNUMBER(AK77),AK77&lt;=(C77+T77)),AY77,0),IF(AND(NOT(AND(AU77=1,AT77&lt;&gt;1)),ISNUMBER(AL77),AL77&lt;=(C77+T77)),AZ77,0),IF(AND(NOT(AND(AU77=1,AT77&lt;&gt;1)),ISNUMBER(AM77),AM77&lt;=(C77+T77)),BA77,0),IF(AND(NOT(AND(AU77=1,AT77&lt;&gt;1)),ISNUMBER(AN77),AN77&lt;=(C77+T77)),BB77,0),IF(AND(ISNUMBER(AO77),AO77&lt;=(C77+T77)),BC77,0))),"SK",IF(AND(IF(AND(NOT(AND(AU77=1,AT77&lt;&gt;1)),ISNUMBER(AL77),AL77&lt;=(C77+T77)),AZ77,0)&gt;0,IF(AND(NOT(AND(AU77=1,AT77&lt;&gt;1)),ISNUMBER(AL77),AL77&lt;=(C77+T77)),AZ77,0)=MAX(IF(AND(NOT(AND(AU77=1,AT77&lt;&gt;1)),ISNUMBER(AK77),AK77&lt;=(C77+T77)),AY77,0),IF(AND(NOT(AND(AU77=1,AT77&lt;&gt;1)),ISNUMBER(AL77),AL77&lt;=(C77+T77)),AZ77,0),IF(AND(NOT(AND(AU77=1,AT77&lt;&gt;1)),ISNUMBER(AM77),AM77&lt;=(C77+T77)),BA77,0),IF(AND(NOT(AND(AU77=1,AT77&lt;&gt;1)),ISNUMBER(AN77),AN77&lt;=(C77+T77)),BB77,0),IF(AND(ISNUMBER(AO77),AO77&lt;=(C77+T77)),BC77,0))),"LB",IF(AND(IF(AND(NOT(AND(AU77=1,AT77&lt;&gt;1)),ISNUMBER(AM77),AM77&lt;=(C77+T77)),BA77,0)&gt;0,IF(AND(NOT(AND(AU77=1,AT77&lt;&gt;1)),ISNUMBER(AM77),AM77&lt;=(C77+T77)),BA77,0)=MAX(IF(AND(NOT(AND(AU77=1,AT77&lt;&gt;1)),ISNUMBER(AK77),AK77&lt;=(C77+T77)),AY77,0),IF(AND(NOT(AND(AU77=1,AT77&lt;&gt;1)),ISNUMBER(AL77),AL77&lt;=(C77+T77)),AZ77,0),IF(AND(NOT(AND(AU77=1,AT77&lt;&gt;1)),ISNUMBER(AM77),AM77&lt;=(C77+T77)),BA77,0),IF(AND(NOT(AND(AU77=1,AT77&lt;&gt;1)),ISNUMBER(AN77),AN77&lt;=(C77+T77)),BB77,0),IF(AND(ISNUMBER(AO77),AO77&lt;=(C77+T77)),BC77,0))),"ML",IF(AND(IF(AND(NOT(AND(AU77=1,AT77&lt;&gt;1)),ISNUMBER(AN77),AN77&lt;=(C77+T77)),BB77,0)&gt;0,IF(AND(NOT(AND(AU77=1,AT77&lt;&gt;1)),ISNUMBER(AN77),AN77&lt;=(C77+T77)),BB77,0)=MAX(IF(AND(NOT(AND(AU77=1,AT77&lt;&gt;1)),ISNUMBER(AK77),AK77&lt;=(C77+T77)),AY77,0),IF(AND(NOT(AND(AU77=1,AT77&lt;&gt;1)),ISNUMBER(AL77),AL77&lt;=(C77+T77)),AZ77,0),IF(AND(NOT(AND(AU77=1,AT77&lt;&gt;1)),ISNUMBER(AM77),AM77&lt;=(C77+T77)),BA77,0),IF(AND(NOT(AND(AU77=1,AT77&lt;&gt;1)),ISNUMBER(AN77),AN77&lt;=(C77+T77)),BB77,0),IF(AND(ISNUMBER(AO77),AO77&lt;=(C77+T77)),BC77,0))),"RLO","BD"))))))))</f>
        <v/>
      </c>
    </row>
    <row r="78">
      <c r="A78" s="26" t="n">
        <v>67</v>
      </c>
      <c r="B78" s="27">
        <f>A78*10/60</f>
        <v/>
      </c>
      <c r="C78" s="22">
        <f>X77</f>
        <v/>
      </c>
      <c r="D78" s="27">
        <f>D77+W77</f>
        <v/>
      </c>
      <c r="E78" s="26">
        <f>E77+IF(U77="SK",1,0)</f>
        <v/>
      </c>
      <c r="F78" s="26">
        <f>F77+IF(U77="LB",1,0)</f>
        <v/>
      </c>
      <c r="G78" s="26">
        <f>G77+IF(U77="ML",1,0)</f>
        <v/>
      </c>
      <c r="H78" s="26">
        <f>H77+IF(U77="RLO",1,0)</f>
        <v/>
      </c>
      <c r="I78" s="26">
        <f>I77+IF(U77="BD",1,0)</f>
        <v/>
      </c>
      <c r="J78" s="26">
        <f>MAX(J77,IF(U77="BiP",1,0))</f>
        <v/>
      </c>
      <c r="K78" s="26">
        <f>MAX(K77,IF(U77="PV",1,0))</f>
        <v/>
      </c>
      <c r="L78" s="26">
        <f>MAX(L77,IF(U77="OC",1,0))</f>
        <v/>
      </c>
      <c r="M78" s="26">
        <f>MAX(M77,IF(U77="MG",1,0))</f>
        <v/>
      </c>
      <c r="N78" s="26">
        <f>MAX(N77,IF(U77="transition",1,0))</f>
        <v/>
      </c>
      <c r="O78" s="28">
        <f>(Parameters!$B$9+(IF(E78=0,0,(Upgrades!$J$13+E78*Upgrades!$K$13)*POWER(Upgrades!$L$13,E78)))*(IF(Upgrades!$T$14="Stellar Kinematics",POWER(Upgrades!$U$14,F78),1)*IF(Upgrades!$T$15="Stellar Kinematics",POWER(Upgrades!$U$15,G78),1)*IF(Upgrades!$T$16="Stellar Kinematics",POWER(Upgrades!$U$16,H78),1)*IF(Upgrades!$T$17="Stellar Kinematics",POWER(Upgrades!$U$17,I78),1)*IF(Upgrades!$T$18="Stellar Kinematics",POWER(Upgrades!$U$18,J78),1)*IF(Upgrades!$T$19="Stellar Kinematics",POWER(Upgrades!$U$19,K78),1)*IF(Upgrades!$T$20="Stellar Kinematics",POWER(Upgrades!$U$20,L78),1)*IF(Upgrades!$T$21="Stellar Kinematics",POWER(Upgrades!$U$21,M78),1))+(IF(F78=0,0,(Upgrades!$J$14+F78*Upgrades!$K$14)*POWER(Upgrades!$L$14,F78)))*(IF(Upgrades!$T$13="Local Bubble",POWER(Upgrades!$U$13,E78),1)*IF(Upgrades!$T$15="Local Bubble",POWER(Upgrades!$U$15,G78),1)*IF(Upgrades!$T$16="Local Bubble",POWER(Upgrades!$U$16,H78),1)*IF(Upgrades!$T$17="Local Bubble",POWER(Upgrades!$U$17,I78),1)*IF(Upgrades!$T$18="Local Bubble",POWER(Upgrades!$U$18,J78),1)*IF(Upgrades!$T$19="Local Bubble",POWER(Upgrades!$U$19,K78),1)*IF(Upgrades!$T$20="Local Bubble",POWER(Upgrades!$U$20,L78),1)*IF(Upgrades!$T$21="Local Bubble",POWER(Upgrades!$U$21,M78),1))+(IF(G78=0,0,(Upgrades!$J$15+G78*Upgrades!$K$15)*POWER(Upgrades!$L$15,G78)))*(IF(Upgrades!$T$13="Microlensing",POWER(Upgrades!$U$13,E78),1)*IF(Upgrades!$T$14="Microlensing",POWER(Upgrades!$U$14,F78),1)*IF(Upgrades!$T$16="Microlensing",POWER(Upgrades!$U$16,H78),1)*IF(Upgrades!$T$17="Microlensing",POWER(Upgrades!$U$17,I78),1)*IF(Upgrades!$T$18="Microlensing",POWER(Upgrades!$U$18,J78),1)*IF(Upgrades!$T$19="Microlensing",POWER(Upgrades!$U$19,K78),1)*IF(Upgrades!$T$20="Microlensing",POWER(Upgrades!$U$20,L78),1)*IF(Upgrades!$T$21="Microlensing",POWER(Upgrades!$U$21,M78),1))+(IF(H78=0,0,(Upgrades!$J$16+H78*Upgrades!$K$16)*POWER(Upgrades!$L$16,H78)))*(IF(Upgrades!$T$13="Roche Lobe Overflow",POWER(Upgrades!$U$13,E78),1)*IF(Upgrades!$T$14="Roche Lobe Overflow",POWER(Upgrades!$U$14,F78),1)*IF(Upgrades!$T$15="Roche Lobe Overflow",POWER(Upgrades!$U$15,G78),1)*IF(Upgrades!$T$17="Roche Lobe Overflow",POWER(Upgrades!$U$17,I78),1)*IF(Upgrades!$T$18="Roche Lobe Overflow",POWER(Upgrades!$U$18,J78),1)*IF(Upgrades!$T$19="Roche Lobe Overflow",POWER(Upgrades!$U$19,K78),1)*IF(Upgrades!$T$20="Roche Lobe Overflow",POWER(Upgrades!$U$20,L78),1)*IF(Upgrades!$T$21="Roche Lobe Overflow",POWER(Upgrades!$U$21,M78),1))+(IF(I78=0,0,(Upgrades!$J$17+I78*Upgrades!$K$17)*POWER(Upgrades!$L$17,I78)))*(IF(Upgrades!$T$13="Brown Dwarf",POWER(Upgrades!$U$13,E78),1)*IF(Upgrades!$T$14="Brown Dwarf",POWER(Upgrades!$U$14,F78),1)*IF(Upgrades!$T$15="Brown Dwarf",POWER(Upgrades!$U$15,G78),1)*IF(Upgrades!$T$16="Brown Dwarf",POWER(Upgrades!$U$16,H78),1)*IF(Upgrades!$T$18="Brown Dwarf",POWER(Upgrades!$U$18,J78),1)*IF(Upgrades!$T$19="Brown Dwarf",POWER(Upgrades!$U$19,K78),1)*IF(Upgrades!$T$20="Brown Dwarf",POWER(Upgrades!$U$20,L78),1)*IF(Upgrades!$T$21="Brown Dwarf",POWER(Upgrades!$U$21,M78),1))+(IF(J78=0,0,(Upgrades!$J$18+J78*Upgrades!$K$18)*POWER(Upgrades!$L$18,J78)))*(IF(Upgrades!$T$13="Binary Partner",POWER(Upgrades!$U$13,E78),1)*IF(Upgrades!$T$14="Binary Partner",POWER(Upgrades!$U$14,F78),1)*IF(Upgrades!$T$15="Binary Partner",POWER(Upgrades!$U$15,G78),1)*IF(Upgrades!$T$16="Binary Partner",POWER(Upgrades!$U$16,H78),1)*IF(Upgrades!$T$17="Binary Partner",POWER(Upgrades!$U$17,I78),1)*IF(Upgrades!$T$19="Binary Partner",POWER(Upgrades!$U$19,K78),1)*IF(Upgrades!$T$20="Binary Partner",POWER(Upgrades!$U$20,L78),1)*IF(Upgrades!$T$21="Binary Partner",POWER(Upgrades!$U$21,M78),1))+(IF(K78=0,0,(Upgrades!$J$19+K78*Upgrades!$K$19)*POWER(Upgrades!$L$19,K78)))*(IF(Upgrades!$T$13="Peculiar Velocity",POWER(Upgrades!$U$13,E78),1)*IF(Upgrades!$T$14="Peculiar Velocity",POWER(Upgrades!$U$14,F78),1)*IF(Upgrades!$T$15="Peculiar Velocity",POWER(Upgrades!$U$15,G78),1)*IF(Upgrades!$T$16="Peculiar Velocity",POWER(Upgrades!$U$16,H78),1)*IF(Upgrades!$T$17="Peculiar Velocity",POWER(Upgrades!$U$17,I78),1)*IF(Upgrades!$T$18="Peculiar Velocity",POWER(Upgrades!$U$18,J78),1)*IF(Upgrades!$T$20="Peculiar Velocity",POWER(Upgrades!$U$20,L78),1)*IF(Upgrades!$T$21="Peculiar Velocity",POWER(Upgrades!$U$21,M78),1))+(IF(L78=0,0,(Upgrades!$J$20+L78*Upgrades!$K$20)*POWER(Upgrades!$L$20,L78)))*(IF(Upgrades!$T$13="Open Cluster",POWER(Upgrades!$U$13,E78),1)*IF(Upgrades!$T$14="Open Cluster",POWER(Upgrades!$U$14,F78),1)*IF(Upgrades!$T$15="Open Cluster",POWER(Upgrades!$U$15,G78),1)*IF(Upgrades!$T$16="Open Cluster",POWER(Upgrades!$U$16,H78),1)*IF(Upgrades!$T$17="Open Cluster",POWER(Upgrades!$U$17,I78),1)*IF(Upgrades!$T$18="Open Cluster",POWER(Upgrades!$U$18,J78),1)*IF(Upgrades!$T$19="Open Cluster",POWER(Upgrades!$U$19,K78),1)*IF(Upgrades!$T$21="Open Cluster",POWER(Upgrades!$U$21,M78),1))+(IF(M78=0,0,(Upgrades!$J$21+M78*Upgrades!$K$21)*POWER(Upgrades!$L$21,M78)))*(IF(Upgrades!$T$13="Moving Group",POWER(Upgrades!$U$13,E78),1)*IF(Upgrades!$T$14="Moving Group",POWER(Upgrades!$U$14,F78),1)*IF(Upgrades!$T$15="Moving Group",POWER(Upgrades!$U$15,G78),1)*IF(Upgrades!$T$16="Moving Group",POWER(Upgrades!$U$16,H78),1)*IF(Upgrades!$T$17="Moving Group",POWER(Upgrades!$U$17,I78),1)*IF(Upgrades!$T$18="Moving Group",POWER(Upgrades!$U$18,J78),1)*IF(Upgrades!$T$19="Moving Group",POWER(Upgrades!$U$19,K78),1)*IF(Upgrades!$T$20="Moving Group",POWER(Upgrades!$U$20,L78),1)))*POWER(Upgrades!$Q$13,E78)*POWER(Upgrades!$Q$14,F78)*POWER(Upgrades!$Q$15,G78)*POWER(Upgrades!$Q$16,H78)*POWER(Upgrades!$Q$17,I78)*POWER(Upgrades!$Q$18,J78)*POWER(Upgrades!$Q$19,K78)*POWER(Upgrades!$Q$20,L78)*POWER(Upgrades!$Q$21,M78)*$G$6+$D$6</f>
        <v/>
      </c>
      <c r="P78" s="28">
        <f>((IF(E78=0,0,(Upgrades!$G$13+E78*Upgrades!$H$13)*POWER(Upgrades!$I$13,E78)))*(IF(Upgrades!$T$14="Stellar Kinematics",POWER(Upgrades!$U$14,F78),1)*IF(Upgrades!$T$15="Stellar Kinematics",POWER(Upgrades!$U$15,G78),1)*IF(Upgrades!$T$16="Stellar Kinematics",POWER(Upgrades!$U$16,H78),1)*IF(Upgrades!$T$17="Stellar Kinematics",POWER(Upgrades!$U$17,I78),1)*IF(Upgrades!$T$18="Stellar Kinematics",POWER(Upgrades!$U$18,J78),1)*IF(Upgrades!$T$19="Stellar Kinematics",POWER(Upgrades!$U$19,K78),1)*IF(Upgrades!$T$20="Stellar Kinematics",POWER(Upgrades!$U$20,L78),1)*IF(Upgrades!$T$21="Stellar Kinematics",POWER(Upgrades!$U$21,M78),1))+(IF(F78=0,0,(Upgrades!$G$14+F78*Upgrades!$H$14)*POWER(Upgrades!$I$14,F78)))*(IF(Upgrades!$T$13="Local Bubble",POWER(Upgrades!$U$13,E78),1)*IF(Upgrades!$T$15="Local Bubble",POWER(Upgrades!$U$15,G78),1)*IF(Upgrades!$T$16="Local Bubble",POWER(Upgrades!$U$16,H78),1)*IF(Upgrades!$T$17="Local Bubble",POWER(Upgrades!$U$17,I78),1)*IF(Upgrades!$T$18="Local Bubble",POWER(Upgrades!$U$18,J78),1)*IF(Upgrades!$T$19="Local Bubble",POWER(Upgrades!$U$19,K78),1)*IF(Upgrades!$T$20="Local Bubble",POWER(Upgrades!$U$20,L78),1)*IF(Upgrades!$T$21="Local Bubble",POWER(Upgrades!$U$21,M78),1))+(IF(G78=0,0,(Upgrades!$G$15+G78*Upgrades!$H$15)*POWER(Upgrades!$I$15,G78)))*(IF(Upgrades!$T$13="Microlensing",POWER(Upgrades!$U$13,E78),1)*IF(Upgrades!$T$14="Microlensing",POWER(Upgrades!$U$14,F78),1)*IF(Upgrades!$T$16="Microlensing",POWER(Upgrades!$U$16,H78),1)*IF(Upgrades!$T$17="Microlensing",POWER(Upgrades!$U$17,I78),1)*IF(Upgrades!$T$18="Microlensing",POWER(Upgrades!$U$18,J78),1)*IF(Upgrades!$T$19="Microlensing",POWER(Upgrades!$U$19,K78),1)*IF(Upgrades!$T$20="Microlensing",POWER(Upgrades!$U$20,L78),1)*IF(Upgrades!$T$21="Microlensing",POWER(Upgrades!$U$21,M78),1))+(IF(H78=0,0,(Upgrades!$G$16+H78*Upgrades!$H$16)*POWER(Upgrades!$I$16,H78)))*(IF(Upgrades!$T$13="Roche Lobe Overflow",POWER(Upgrades!$U$13,E78),1)*IF(Upgrades!$T$14="Roche Lobe Overflow",POWER(Upgrades!$U$14,F78),1)*IF(Upgrades!$T$15="Roche Lobe Overflow",POWER(Upgrades!$U$15,G78),1)*IF(Upgrades!$T$17="Roche Lobe Overflow",POWER(Upgrades!$U$17,I78),1)*IF(Upgrades!$T$18="Roche Lobe Overflow",POWER(Upgrades!$U$18,J78),1)*IF(Upgrades!$T$19="Roche Lobe Overflow",POWER(Upgrades!$U$19,K78),1)*IF(Upgrades!$T$20="Roche Lobe Overflow",POWER(Upgrades!$U$20,L78),1)*IF(Upgrades!$T$21="Roche Lobe Overflow",POWER(Upgrades!$U$21,M78),1))+(IF(I78=0,0,(Upgrades!$G$17+I78*Upgrades!$H$17)*POWER(Upgrades!$I$17,I78)))*(IF(Upgrades!$T$13="Brown Dwarf",POWER(Upgrades!$U$13,E78),1)*IF(Upgrades!$T$14="Brown Dwarf",POWER(Upgrades!$U$14,F78),1)*IF(Upgrades!$T$15="Brown Dwarf",POWER(Upgrades!$U$15,G78),1)*IF(Upgrades!$T$16="Brown Dwarf",POWER(Upgrades!$U$16,H78),1)*IF(Upgrades!$T$18="Brown Dwarf",POWER(Upgrades!$U$18,J78),1)*IF(Upgrades!$T$19="Brown Dwarf",POWER(Upgrades!$U$19,K78),1)*IF(Upgrades!$T$20="Brown Dwarf",POWER(Upgrades!$U$20,L78),1)*IF(Upgrades!$T$21="Brown Dwarf",POWER(Upgrades!$U$21,M78),1))+(IF(J78=0,0,(Upgrades!$G$18+J78*Upgrades!$H$18)*POWER(Upgrades!$I$18,J78)))*(IF(Upgrades!$T$13="Binary Partner",POWER(Upgrades!$U$13,E78),1)*IF(Upgrades!$T$14="Binary Partner",POWER(Upgrades!$U$14,F78),1)*IF(Upgrades!$T$15="Binary Partner",POWER(Upgrades!$U$15,G78),1)*IF(Upgrades!$T$16="Binary Partner",POWER(Upgrades!$U$16,H78),1)*IF(Upgrades!$T$17="Binary Partner",POWER(Upgrades!$U$17,I78),1)*IF(Upgrades!$T$19="Binary Partner",POWER(Upgrades!$U$19,K78),1)*IF(Upgrades!$T$20="Binary Partner",POWER(Upgrades!$U$20,L78),1)*IF(Upgrades!$T$21="Binary Partner",POWER(Upgrades!$U$21,M78),1))+(IF(K78=0,0,(Upgrades!$G$19+K78*Upgrades!$H$19)*POWER(Upgrades!$I$19,K78)))*(IF(Upgrades!$T$13="Peculiar Velocity",POWER(Upgrades!$U$13,E78),1)*IF(Upgrades!$T$14="Peculiar Velocity",POWER(Upgrades!$U$14,F78),1)*IF(Upgrades!$T$15="Peculiar Velocity",POWER(Upgrades!$U$15,G78),1)*IF(Upgrades!$T$16="Peculiar Velocity",POWER(Upgrades!$U$16,H78),1)*IF(Upgrades!$T$17="Peculiar Velocity",POWER(Upgrades!$U$17,I78),1)*IF(Upgrades!$T$18="Peculiar Velocity",POWER(Upgrades!$U$18,J78),1)*IF(Upgrades!$T$20="Peculiar Velocity",POWER(Upgrades!$U$20,L78),1)*IF(Upgrades!$T$21="Peculiar Velocity",POWER(Upgrades!$U$21,M78),1))+(IF(L78=0,0,(Upgrades!$G$20+L78*Upgrades!$H$20)*POWER(Upgrades!$I$20,L78)))*(IF(Upgrades!$T$13="Open Cluster",POWER(Upgrades!$U$13,E78),1)*IF(Upgrades!$T$14="Open Cluster",POWER(Upgrades!$U$14,F78),1)*IF(Upgrades!$T$15="Open Cluster",POWER(Upgrades!$U$15,G78),1)*IF(Upgrades!$T$16="Open Cluster",POWER(Upgrades!$U$16,H78),1)*IF(Upgrades!$T$17="Open Cluster",POWER(Upgrades!$U$17,I78),1)*IF(Upgrades!$T$18="Open Cluster",POWER(Upgrades!$U$18,J78),1)*IF(Upgrades!$T$19="Open Cluster",POWER(Upgrades!$U$19,K78),1)*IF(Upgrades!$T$21="Open Cluster",POWER(Upgrades!$U$21,M78),1))+(IF(M78=0,0,(Upgrades!$G$21+M78*Upgrades!$H$21)*POWER(Upgrades!$I$21,M78)))*(IF(Upgrades!$T$13="Moving Group",POWER(Upgrades!$U$13,E78),1)*IF(Upgrades!$T$14="Moving Group",POWER(Upgrades!$U$14,F78),1)*IF(Upgrades!$T$15="Moving Group",POWER(Upgrades!$U$15,G78),1)*IF(Upgrades!$T$16="Moving Group",POWER(Upgrades!$U$16,H78),1)*IF(Upgrades!$T$17="Moving Group",POWER(Upgrades!$U$17,I78),1)*IF(Upgrades!$T$18="Moving Group",POWER(Upgrades!$U$18,J78),1)*IF(Upgrades!$T$19="Moving Group",POWER(Upgrades!$U$19,K78),1)*IF(Upgrades!$T$20="Moving Group",POWER(Upgrades!$U$20,L78),1)))*POWER(Upgrades!$P$13,E78)*POWER(Upgrades!$P$14,F78)*POWER(Upgrades!$P$15,G78)*POWER(Upgrades!$P$16,H78)*POWER(Upgrades!$P$17,I78)*POWER(Upgrades!$P$18,J78)*POWER(Upgrades!$P$19,K78)*POWER(Upgrades!$P$20,L78)*POWER(Upgrades!$P$21,M78)*$F$6+$C$6</f>
        <v/>
      </c>
      <c r="Q78" s="28">
        <f>((IF(E78=0,0,(Upgrades!$M$13+E78*Upgrades!$N$13)*POWER(Upgrades!$O$13,E78)))*(IF(Upgrades!$T$14="Stellar Kinematics",POWER(Upgrades!$U$14,F78),1)*IF(Upgrades!$T$15="Stellar Kinematics",POWER(Upgrades!$U$15,G78),1)*IF(Upgrades!$T$16="Stellar Kinematics",POWER(Upgrades!$U$16,H78),1)*IF(Upgrades!$T$17="Stellar Kinematics",POWER(Upgrades!$U$17,I78),1)*IF(Upgrades!$T$18="Stellar Kinematics",POWER(Upgrades!$U$18,J78),1)*IF(Upgrades!$T$19="Stellar Kinematics",POWER(Upgrades!$U$19,K78),1)*IF(Upgrades!$T$20="Stellar Kinematics",POWER(Upgrades!$U$20,L78),1)*IF(Upgrades!$T$21="Stellar Kinematics",POWER(Upgrades!$U$21,M78),1))+(IF(F78=0,0,(Upgrades!$M$14+F78*Upgrades!$N$14)*POWER(Upgrades!$O$14,F78)))*(IF(Upgrades!$T$13="Local Bubble",POWER(Upgrades!$U$13,E78),1)*IF(Upgrades!$T$15="Local Bubble",POWER(Upgrades!$U$15,G78),1)*IF(Upgrades!$T$16="Local Bubble",POWER(Upgrades!$U$16,H78),1)*IF(Upgrades!$T$17="Local Bubble",POWER(Upgrades!$U$17,I78),1)*IF(Upgrades!$T$18="Local Bubble",POWER(Upgrades!$U$18,J78),1)*IF(Upgrades!$T$19="Local Bubble",POWER(Upgrades!$U$19,K78),1)*IF(Upgrades!$T$20="Local Bubble",POWER(Upgrades!$U$20,L78),1)*IF(Upgrades!$T$21="Local Bubble",POWER(Upgrades!$U$21,M78),1))+(IF(G78=0,0,(Upgrades!$M$15+G78*Upgrades!$N$15)*POWER(Upgrades!$O$15,G78)))*(IF(Upgrades!$T$13="Microlensing",POWER(Upgrades!$U$13,E78),1)*IF(Upgrades!$T$14="Microlensing",POWER(Upgrades!$U$14,F78),1)*IF(Upgrades!$T$16="Microlensing",POWER(Upgrades!$U$16,H78),1)*IF(Upgrades!$T$17="Microlensing",POWER(Upgrades!$U$17,I78),1)*IF(Upgrades!$T$18="Microlensing",POWER(Upgrades!$U$18,J78),1)*IF(Upgrades!$T$19="Microlensing",POWER(Upgrades!$U$19,K78),1)*IF(Upgrades!$T$20="Microlensing",POWER(Upgrades!$U$20,L78),1)*IF(Upgrades!$T$21="Microlensing",POWER(Upgrades!$U$21,M78),1))+(IF(H78=0,0,(Upgrades!$M$16+H78*Upgrades!$N$16)*POWER(Upgrades!$O$16,H78)))*(IF(Upgrades!$T$13="Roche Lobe Overflow",POWER(Upgrades!$U$13,E78),1)*IF(Upgrades!$T$14="Roche Lobe Overflow",POWER(Upgrades!$U$14,F78),1)*IF(Upgrades!$T$15="Roche Lobe Overflow",POWER(Upgrades!$U$15,G78),1)*IF(Upgrades!$T$17="Roche Lobe Overflow",POWER(Upgrades!$U$17,I78),1)*IF(Upgrades!$T$18="Roche Lobe Overflow",POWER(Upgrades!$U$18,J78),1)*IF(Upgrades!$T$19="Roche Lobe Overflow",POWER(Upgrades!$U$19,K78),1)*IF(Upgrades!$T$20="Roche Lobe Overflow",POWER(Upgrades!$U$20,L78),1)*IF(Upgrades!$T$21="Roche Lobe Overflow",POWER(Upgrades!$U$21,M78),1))+(IF(I78=0,0,(Upgrades!$M$17+I78*Upgrades!$N$17)*POWER(Upgrades!$O$17,I78)))*(IF(Upgrades!$T$13="Brown Dwarf",POWER(Upgrades!$U$13,E78),1)*IF(Upgrades!$T$14="Brown Dwarf",POWER(Upgrades!$U$14,F78),1)*IF(Upgrades!$T$15="Brown Dwarf",POWER(Upgrades!$U$15,G78),1)*IF(Upgrades!$T$16="Brown Dwarf",POWER(Upgrades!$U$16,H78),1)*IF(Upgrades!$T$18="Brown Dwarf",POWER(Upgrades!$U$18,J78),1)*IF(Upgrades!$T$19="Brown Dwarf",POWER(Upgrades!$U$19,K78),1)*IF(Upgrades!$T$20="Brown Dwarf",POWER(Upgrades!$U$20,L78),1)*IF(Upgrades!$T$21="Brown Dwarf",POWER(Upgrades!$U$21,M78),1))+(IF(J78=0,0,(Upgrades!$M$18+J78*Upgrades!$N$18)*POWER(Upgrades!$O$18,J78)))*(IF(Upgrades!$T$13="Binary Partner",POWER(Upgrades!$U$13,E78),1)*IF(Upgrades!$T$14="Binary Partner",POWER(Upgrades!$U$14,F78),1)*IF(Upgrades!$T$15="Binary Partner",POWER(Upgrades!$U$15,G78),1)*IF(Upgrades!$T$16="Binary Partner",POWER(Upgrades!$U$16,H78),1)*IF(Upgrades!$T$17="Binary Partner",POWER(Upgrades!$U$17,I78),1)*IF(Upgrades!$T$19="Binary Partner",POWER(Upgrades!$U$19,K78),1)*IF(Upgrades!$T$20="Binary Partner",POWER(Upgrades!$U$20,L78),1)*IF(Upgrades!$T$21="Binary Partner",POWER(Upgrades!$U$21,M78),1))+(IF(K78=0,0,(Upgrades!$M$19+K78*Upgrades!$N$19)*POWER(Upgrades!$O$19,K78)))*(IF(Upgrades!$T$13="Peculiar Velocity",POWER(Upgrades!$U$13,E78),1)*IF(Upgrades!$T$14="Peculiar Velocity",POWER(Upgrades!$U$14,F78),1)*IF(Upgrades!$T$15="Peculiar Velocity",POWER(Upgrades!$U$15,G78),1)*IF(Upgrades!$T$16="Peculiar Velocity",POWER(Upgrades!$U$16,H78),1)*IF(Upgrades!$T$17="Peculiar Velocity",POWER(Upgrades!$U$17,I78),1)*IF(Upgrades!$T$18="Peculiar Velocity",POWER(Upgrades!$U$18,J78),1)*IF(Upgrades!$T$20="Peculiar Velocity",POWER(Upgrades!$U$20,L78),1)*IF(Upgrades!$T$21="Peculiar Velocity",POWER(Upgrades!$U$21,M78),1))+(IF(L78=0,0,(Upgrades!$M$20+L78*Upgrades!$N$20)*POWER(Upgrades!$O$20,L78)))*(IF(Upgrades!$T$13="Open Cluster",POWER(Upgrades!$U$13,E78),1)*IF(Upgrades!$T$14="Open Cluster",POWER(Upgrades!$U$14,F78),1)*IF(Upgrades!$T$15="Open Cluster",POWER(Upgrades!$U$15,G78),1)*IF(Upgrades!$T$16="Open Cluster",POWER(Upgrades!$U$16,H78),1)*IF(Upgrades!$T$17="Open Cluster",POWER(Upgrades!$U$17,I78),1)*IF(Upgrades!$T$18="Open Cluster",POWER(Upgrades!$U$18,J78),1)*IF(Upgrades!$T$19="Open Cluster",POWER(Upgrades!$U$19,K78),1)*IF(Upgrades!$T$21="Open Cluster",POWER(Upgrades!$U$21,M78),1))+(IF(M78=0,0,(Upgrades!$M$21+M78*Upgrades!$N$21)*POWER(Upgrades!$O$21,M78)))*(IF(Upgrades!$T$13="Moving Group",POWER(Upgrades!$U$13,E78),1)*IF(Upgrades!$T$14="Moving Group",POWER(Upgrades!$U$14,F78),1)*IF(Upgrades!$T$15="Moving Group",POWER(Upgrades!$U$15,G78),1)*IF(Upgrades!$T$16="Moving Group",POWER(Upgrades!$U$16,H78),1)*IF(Upgrades!$T$17="Moving Group",POWER(Upgrades!$U$17,I78),1)*IF(Upgrades!$T$18="Moving Group",POWER(Upgrades!$U$18,J78),1)*IF(Upgrades!$T$19="Moving Group",POWER(Upgrades!$U$19,K78),1)*IF(Upgrades!$T$20="Moving Group",POWER(Upgrades!$U$20,L78),1)))*POWER(Upgrades!$R$13,E78)*POWER(Upgrades!$R$14,F78)*POWER(Upgrades!$R$15,G78)*POWER(Upgrades!$R$16,H78)*POWER(Upgrades!$R$17,I78)*POWER(Upgrades!$R$18,J78)*POWER(Upgrades!$R$19,K78)*POWER(Upgrades!$R$20,L78)*POWER(Upgrades!$R$21,M78)*$H$6+$E$6</f>
        <v/>
      </c>
      <c r="R78" s="27">
        <f>IF(N78=1,0,O78*Parameters!$B$10/60*Parameters!$B$11*10)</f>
        <v/>
      </c>
      <c r="S78" s="27">
        <f>IF(N78=1,0,Q78*O78*10)</f>
        <v/>
      </c>
      <c r="T78" s="27">
        <f>IF(N78=1,0,R78+S78+P78*10)</f>
        <v/>
      </c>
      <c r="U78" s="33">
        <f>BE78</f>
        <v/>
      </c>
      <c r="V78" s="22">
        <f>IF(U78="",0,IF(U78="transition",0,IF(U78="SK",AK78,IF(U78="LB",AL78,IF(U78="ML",AM78,IF(U78="RLO",AN78,IF(U78="BD",AO78,IF(U78="BiP",AP78,IF(U78="PV",AQ78,IF(U78="OC",AR78,IF(U78="MG",AS78,0))))))))))</f>
        <v/>
      </c>
      <c r="W78" s="27">
        <f>IF(U78="BiP",Upgrades!$F$18,IF(U78="PV",Upgrades!$F$19,IF(U78="OC",Upgrades!$F$20,IF(U78="MG",Upgrades!$F$21,IF(U78="transition",-Parameters!$B$18*Parameters!$B$19,0)))))</f>
        <v/>
      </c>
      <c r="X78" s="22">
        <f>C78+T78-V78</f>
        <v/>
      </c>
      <c r="Y78" s="30">
        <f>O78*Parameters!$B$10/60*Parameters!$B$11+Q78*O78+P78</f>
        <v/>
      </c>
      <c r="Z78" s="34">
        <f>IF(U78="transition","→ Tier 3 (Galactic Arm)",IF(U78="MG","Moving Group — pocket drifts together",IF(U78="OC","Open Cluster acquired",IF(U78="PV","Peculiar Velocity — passive multiplier active",IF(U78="BiP","Binary Partner — pair bond formed",IF(AND(AU78=1,N78=0,AT78&lt;&gt;1),"Cohesion ready (waiting on completionists)","")))))) </f>
        <v/>
      </c>
      <c r="AA78" s="27">
        <f>(IF(E78=0,0,(Upgrades!$G$13+E78*Upgrades!$H$13)*POWER(Upgrades!$I$13,E78)))*(IF(Upgrades!$T$14="Stellar Kinematics",POWER(Upgrades!$U$14,F78),1)*IF(Upgrades!$T$15="Stellar Kinematics",POWER(Upgrades!$U$15,G78),1)*IF(Upgrades!$T$16="Stellar Kinematics",POWER(Upgrades!$U$16,H78),1)*IF(Upgrades!$T$17="Stellar Kinematics",POWER(Upgrades!$U$17,I78),1)*IF(Upgrades!$T$18="Stellar Kinematics",POWER(Upgrades!$U$18,J78),1)*IF(Upgrades!$T$19="Stellar Kinematics",POWER(Upgrades!$U$19,K78),1)*IF(Upgrades!$T$20="Stellar Kinematics",POWER(Upgrades!$U$20,L78),1)*IF(Upgrades!$T$21="Stellar Kinematics",POWER(Upgrades!$U$21,M78),1))*POWER(Upgrades!$P$13,E78)*POWER(Upgrades!$P$14,F78)*POWER(Upgrades!$P$15,G78)*POWER(Upgrades!$P$16,H78)*POWER(Upgrades!$P$17,I78)*POWER(Upgrades!$P$18,J78)*POWER(Upgrades!$P$19,K78)*POWER(Upgrades!$P$20,L78)*POWER(Upgrades!$P$21,M78)*$F$6*60</f>
        <v/>
      </c>
      <c r="AB78" s="27">
        <f>(IF(F78=0,0,(Upgrades!$G$14+F78*Upgrades!$H$14)*POWER(Upgrades!$I$14,F78)))*(IF(Upgrades!$T$13="Local Bubble",POWER(Upgrades!$U$13,E78),1)*IF(Upgrades!$T$15="Local Bubble",POWER(Upgrades!$U$15,G78),1)*IF(Upgrades!$T$16="Local Bubble",POWER(Upgrades!$U$16,H78),1)*IF(Upgrades!$T$17="Local Bubble",POWER(Upgrades!$U$17,I78),1)*IF(Upgrades!$T$18="Local Bubble",POWER(Upgrades!$U$18,J78),1)*IF(Upgrades!$T$19="Local Bubble",POWER(Upgrades!$U$19,K78),1)*IF(Upgrades!$T$20="Local Bubble",POWER(Upgrades!$U$20,L78),1)*IF(Upgrades!$T$21="Local Bubble",POWER(Upgrades!$U$21,M78),1))*POWER(Upgrades!$P$13,E78)*POWER(Upgrades!$P$14,F78)*POWER(Upgrades!$P$15,G78)*POWER(Upgrades!$P$16,H78)*POWER(Upgrades!$P$17,I78)*POWER(Upgrades!$P$18,J78)*POWER(Upgrades!$P$19,K78)*POWER(Upgrades!$P$20,L78)*POWER(Upgrades!$P$21,M78)*$F$6*60</f>
        <v/>
      </c>
      <c r="AC78" s="27">
        <f>(IF(G78=0,0,(Upgrades!$J$15+G78*Upgrades!$K$15)*POWER(Upgrades!$L$15,G78)))*(IF(Upgrades!$T$13="Microlensing",POWER(Upgrades!$U$13,E78),1)*IF(Upgrades!$T$14="Microlensing",POWER(Upgrades!$U$14,F78),1)*IF(Upgrades!$T$16="Microlensing",POWER(Upgrades!$U$16,H78),1)*IF(Upgrades!$T$17="Microlensing",POWER(Upgrades!$U$17,I78),1)*IF(Upgrades!$T$18="Microlensing",POWER(Upgrades!$U$18,J78),1)*IF(Upgrades!$T$19="Microlensing",POWER(Upgrades!$U$19,K78),1)*IF(Upgrades!$T$20="Microlensing",POWER(Upgrades!$U$20,L78),1)*IF(Upgrades!$T$21="Microlensing",POWER(Upgrades!$U$21,M78),1))*POWER(Upgrades!$Q$13,E78)*POWER(Upgrades!$Q$14,F78)*POWER(Upgrades!$Q$15,G78)*POWER(Upgrades!$Q$16,H78)*POWER(Upgrades!$Q$17,I78)*POWER(Upgrades!$Q$18,J78)*POWER(Upgrades!$Q$19,K78)*POWER(Upgrades!$Q$20,L78)*POWER(Upgrades!$Q$21,M78)*$G$6*(Parameters!$B$10*Parameters!$B$11+Q78*60)</f>
        <v/>
      </c>
      <c r="AD78" s="27">
        <f>(IF(H78=0,0,(Upgrades!$M$16+H78*Upgrades!$N$16)*POWER(Upgrades!$O$16,H78)))*(IF(Upgrades!$T$13="Roche Lobe Overflow",POWER(Upgrades!$U$13,E78),1)*IF(Upgrades!$T$14="Roche Lobe Overflow",POWER(Upgrades!$U$14,F78),1)*IF(Upgrades!$T$15="Roche Lobe Overflow",POWER(Upgrades!$U$15,G78),1)*IF(Upgrades!$T$17="Roche Lobe Overflow",POWER(Upgrades!$U$17,I78),1)*IF(Upgrades!$T$18="Roche Lobe Overflow",POWER(Upgrades!$U$18,J78),1)*IF(Upgrades!$T$19="Roche Lobe Overflow",POWER(Upgrades!$U$19,K78),1)*IF(Upgrades!$T$20="Roche Lobe Overflow",POWER(Upgrades!$U$20,L78),1)*IF(Upgrades!$T$21="Roche Lobe Overflow",POWER(Upgrades!$U$21,M78),1))*POWER(Upgrades!$R$13,E78)*POWER(Upgrades!$R$14,F78)*POWER(Upgrades!$R$15,G78)*POWER(Upgrades!$R$16,H78)*POWER(Upgrades!$R$17,I78)*POWER(Upgrades!$R$18,J78)*POWER(Upgrades!$R$19,K78)*POWER(Upgrades!$R$20,L78)*POWER(Upgrades!$R$21,M78)*$H$6*O78*60</f>
        <v/>
      </c>
      <c r="AE78" s="27">
        <f>(IF(I78=0,0,(Upgrades!$G$17+I78*Upgrades!$H$17)*POWER(Upgrades!$I$17,I78)))*(IF(Upgrades!$T$13="Brown Dwarf",POWER(Upgrades!$U$13,E78),1)*IF(Upgrades!$T$14="Brown Dwarf",POWER(Upgrades!$U$14,F78),1)*IF(Upgrades!$T$15="Brown Dwarf",POWER(Upgrades!$U$15,G78),1)*IF(Upgrades!$T$16="Brown Dwarf",POWER(Upgrades!$U$16,H78),1)*IF(Upgrades!$T$18="Brown Dwarf",POWER(Upgrades!$U$18,J78),1)*IF(Upgrades!$T$19="Brown Dwarf",POWER(Upgrades!$U$19,K78),1)*IF(Upgrades!$T$20="Brown Dwarf",POWER(Upgrades!$U$20,L78),1)*IF(Upgrades!$T$21="Brown Dwarf",POWER(Upgrades!$U$21,M78),1))*POWER(Upgrades!$P$13,E78)*POWER(Upgrades!$P$14,F78)*POWER(Upgrades!$P$15,G78)*POWER(Upgrades!$P$16,H78)*POWER(Upgrades!$P$17,I78)*POWER(Upgrades!$P$18,J78)*POWER(Upgrades!$P$19,K78)*POWER(Upgrades!$P$20,L78)*POWER(Upgrades!$P$21,M78)*$F$6*60</f>
        <v/>
      </c>
      <c r="AF78" s="27" t="n">
        <v>0</v>
      </c>
      <c r="AG78" s="27" t="n">
        <v>0</v>
      </c>
      <c r="AH78" s="27" t="n">
        <v>0</v>
      </c>
      <c r="AI78" s="27">
        <f>(IF(M78=0,0,(Upgrades!$G$21+M78*Upgrades!$H$21)*POWER(Upgrades!$I$21,M78)))*(IF(Upgrades!$T$13="Moving Group",POWER(Upgrades!$U$13,E78),1)*IF(Upgrades!$T$14="Moving Group",POWER(Upgrades!$U$14,F78),1)*IF(Upgrades!$T$15="Moving Group",POWER(Upgrades!$U$15,G78),1)*IF(Upgrades!$T$16="Moving Group",POWER(Upgrades!$U$16,H78),1)*IF(Upgrades!$T$17="Moving Group",POWER(Upgrades!$U$17,I78),1)*IF(Upgrades!$T$18="Moving Group",POWER(Upgrades!$U$18,J78),1)*IF(Upgrades!$T$19="Moving Group",POWER(Upgrades!$U$19,K78),1)*IF(Upgrades!$T$20="Moving Group",POWER(Upgrades!$U$20,L78),1))*POWER(Upgrades!$P$13,E78)*POWER(Upgrades!$P$14,F78)*POWER(Upgrades!$P$15,G78)*POWER(Upgrades!$P$16,H78)*POWER(Upgrades!$P$17,I78)*POWER(Upgrades!$P$18,J78)*POWER(Upgrades!$P$19,K78)*POWER(Upgrades!$P$20,L78)*POWER(Upgrades!$P$21,M78)*$F$6*60</f>
        <v/>
      </c>
      <c r="AJ78" s="27">
        <f>$C$6*60</f>
        <v/>
      </c>
      <c r="AK78" s="22">
        <f>IF(E78&gt;=Upgrades!$E$13,"",Upgrades!$C$13*POWER(Upgrades!$D$13,E78))</f>
        <v/>
      </c>
      <c r="AL78" s="22">
        <f>IF(F78&gt;=Upgrades!$E$14,"",Upgrades!$C$14*POWER(Upgrades!$D$14,F78))</f>
        <v/>
      </c>
      <c r="AM78" s="22">
        <f>IF(G78&gt;=Upgrades!$E$15,"",Upgrades!$C$15*POWER(Upgrades!$D$15,G78))</f>
        <v/>
      </c>
      <c r="AN78" s="22">
        <f>IF(H78&gt;=Upgrades!$E$16,"",Upgrades!$C$16*POWER(Upgrades!$D$16,H78))</f>
        <v/>
      </c>
      <c r="AO78" s="22">
        <f>IF(I78&gt;=Upgrades!$E$17,"",Upgrades!$C$17*POWER(Upgrades!$D$17,I78))</f>
        <v/>
      </c>
      <c r="AP78" s="22">
        <f>IF(J78&gt;=Upgrades!$E$18,"",Upgrades!$C$18*POWER(Upgrades!$D$18,J78))</f>
        <v/>
      </c>
      <c r="AQ78" s="22">
        <f>IF(K78&gt;=Upgrades!$E$19,"",Upgrades!$C$19*POWER(Upgrades!$D$19,K78))</f>
        <v/>
      </c>
      <c r="AR78" s="22">
        <f>IF(L78&gt;=Upgrades!$E$20,"",Upgrades!$C$20*POWER(Upgrades!$D$20,L78))</f>
        <v/>
      </c>
      <c r="AS78" s="22">
        <f>IF(M78&gt;=Upgrades!$E$21,"",Upgrades!$C$21*POWER(Upgrades!$D$21,M78))</f>
        <v/>
      </c>
      <c r="AT78" s="26">
        <f>IF(AND(D78&gt;=Parameters!$B$18*Parameters!$B$19,(I78&gt;=Upgrades!$E$17)*(M78&gt;=Upgrades!$E$21)=1,N78=0),1,"")</f>
        <v/>
      </c>
      <c r="AU78" s="26">
        <f>IF(AND(D78&gt;=Parameters!$B$18*Parameters!$B$19,N78=0),1,"")</f>
        <v/>
      </c>
      <c r="AV78" s="22">
        <f>MIN(IF(ISNUMBER(AP78),AP78,9E15),IF(ISNUMBER(AQ78),AQ78,9E15),IF(ISNUMBER(AR78),AR78,9E15),IF(ISNUMBER(AS78),AS78,9E15))</f>
        <v/>
      </c>
      <c r="AW78" s="22">
        <f>MIN(IF(ISNUMBER(AK78),AK78,9E15),IF(ISNUMBER(AL78),AL78,9E15),IF(ISNUMBER(AM78),AM78,9E15),IF(ISNUMBER(AN78),AN78,9E15),IF(ISNUMBER(AO78),AO78,9E15))</f>
        <v/>
      </c>
      <c r="AX78" s="29">
        <f>IF(BD78&gt;Parameters!$B$21*(MAX(IF(AND(NOT(AND(AU78=1,AT78&lt;&gt;1)),ISNUMBER(AK78),AK78&lt;=(C78+T78)),AY78,0),IF(AND(NOT(AND(AU78=1,AT78&lt;&gt;1)),ISNUMBER(AL78),AL78&lt;=(C78+T78)),AZ78,0),IF(AND(NOT(AND(AU78=1,AT78&lt;&gt;1)),ISNUMBER(AM78),AM78&lt;=(C78+T78)),BA78,0),IF(AND(NOT(AND(AU78=1,AT78&lt;&gt;1)),ISNUMBER(AN78),AN78&lt;=(C78+T78)),BB78,0),IF(AND(ISNUMBER(AO78),AO78&lt;=(C78+T78)),BC78,0))),TRUE,FALSE)</f>
        <v/>
      </c>
      <c r="AY78" s="32">
        <f>IFERROR(Upgrades!$H$13*(POWER(Upgrades!$P$13,E78)*POWER(Upgrades!$P$14,F78)*POWER(Upgrades!$P$15,G78)*POWER(Upgrades!$P$16,H78)*POWER(Upgrades!$P$17,I78)*POWER(Upgrades!$P$18,J78)*POWER(Upgrades!$P$19,K78)*POWER(Upgrades!$P$20,L78)*POWER(Upgrades!$P$21,M78))*(IF(Upgrades!$T$14="Stellar Kinematics",POWER(Upgrades!$U$14,F78),1)*IF(Upgrades!$T$15="Stellar Kinematics",POWER(Upgrades!$U$15,G78),1)*IF(Upgrades!$T$16="Stellar Kinematics",POWER(Upgrades!$U$16,H78),1)*IF(Upgrades!$T$17="Stellar Kinematics",POWER(Upgrades!$U$17,I78),1)*IF(Upgrades!$T$18="Stellar Kinematics",POWER(Upgrades!$U$18,J78),1)*IF(Upgrades!$T$19="Stellar Kinematics",POWER(Upgrades!$U$19,K78),1)*IF(Upgrades!$T$20="Stellar Kinematics",POWER(Upgrades!$U$20,L78),1)*IF(Upgrades!$T$21="Stellar Kinematics",POWER(Upgrades!$U$21,M78),1))*$F$6/AK78,0)</f>
        <v/>
      </c>
      <c r="AZ78" s="32">
        <f>IFERROR(Upgrades!$H$14*(POWER(Upgrades!$P$13,E78)*POWER(Upgrades!$P$14,F78)*POWER(Upgrades!$P$15,G78)*POWER(Upgrades!$P$16,H78)*POWER(Upgrades!$P$17,I78)*POWER(Upgrades!$P$18,J78)*POWER(Upgrades!$P$19,K78)*POWER(Upgrades!$P$20,L78)*POWER(Upgrades!$P$21,M78))*(IF(Upgrades!$T$13="Local Bubble",POWER(Upgrades!$U$13,E78),1)*IF(Upgrades!$T$15="Local Bubble",POWER(Upgrades!$U$15,G78),1)*IF(Upgrades!$T$16="Local Bubble",POWER(Upgrades!$U$16,H78),1)*IF(Upgrades!$T$17="Local Bubble",POWER(Upgrades!$U$17,I78),1)*IF(Upgrades!$T$18="Local Bubble",POWER(Upgrades!$U$18,J78),1)*IF(Upgrades!$T$19="Local Bubble",POWER(Upgrades!$U$19,K78),1)*IF(Upgrades!$T$20="Local Bubble",POWER(Upgrades!$U$20,L78),1)*IF(Upgrades!$T$21="Local Bubble",POWER(Upgrades!$U$21,M78),1))*$F$6/AL78,0)</f>
        <v/>
      </c>
      <c r="BA78" s="32">
        <f>IFERROR(Upgrades!$K$15*(POWER(Upgrades!$Q$13,E78)*POWER(Upgrades!$Q$14,F78)*POWER(Upgrades!$Q$15,G78)*POWER(Upgrades!$Q$16,H78)*POWER(Upgrades!$Q$17,I78)*POWER(Upgrades!$Q$18,J78)*POWER(Upgrades!$Q$19,K78)*POWER(Upgrades!$Q$20,L78)*POWER(Upgrades!$Q$21,M78))*(IF(Upgrades!$T$13="Microlensing",POWER(Upgrades!$U$13,E78),1)*IF(Upgrades!$T$14="Microlensing",POWER(Upgrades!$U$14,F78),1)*IF(Upgrades!$T$16="Microlensing",POWER(Upgrades!$U$16,H78),1)*IF(Upgrades!$T$17="Microlensing",POWER(Upgrades!$U$17,I78),1)*IF(Upgrades!$T$18="Microlensing",POWER(Upgrades!$U$18,J78),1)*IF(Upgrades!$T$19="Microlensing",POWER(Upgrades!$U$19,K78),1)*IF(Upgrades!$T$20="Microlensing",POWER(Upgrades!$U$20,L78),1)*IF(Upgrades!$T$21="Microlensing",POWER(Upgrades!$U$21,M78),1))*$G$6*(Parameters!$B$10/60*Parameters!$B$11+Q78)/AM78,0)</f>
        <v/>
      </c>
      <c r="BB78" s="32">
        <f>IFERROR((Upgrades!$N$16*(POWER(Upgrades!$R$13,E78)*POWER(Upgrades!$R$14,F78)*POWER(Upgrades!$R$15,G78)*POWER(Upgrades!$R$16,H78)*POWER(Upgrades!$R$17,I78)*POWER(Upgrades!$R$18,J78)*POWER(Upgrades!$R$19,K78)*POWER(Upgrades!$R$20,L78)*POWER(Upgrades!$R$21,M78))*(IF(Upgrades!$T$13="Roche Lobe Overflow",POWER(Upgrades!$U$13,E78),1)*IF(Upgrades!$T$14="Roche Lobe Overflow",POWER(Upgrades!$U$14,F78),1)*IF(Upgrades!$T$15="Roche Lobe Overflow",POWER(Upgrades!$U$15,G78),1)*IF(Upgrades!$T$17="Roche Lobe Overflow",POWER(Upgrades!$U$17,I78),1)*IF(Upgrades!$T$18="Roche Lobe Overflow",POWER(Upgrades!$U$18,J78),1)*IF(Upgrades!$T$19="Roche Lobe Overflow",POWER(Upgrades!$U$19,K78),1)*IF(Upgrades!$T$20="Roche Lobe Overflow",POWER(Upgrades!$U$20,L78),1)*IF(Upgrades!$T$21="Roche Lobe Overflow",POWER(Upgrades!$U$21,M78),1))*$H$6*O78+((IF(F78=0,0,(Upgrades!$G$14+F78*Upgrades!$H$14)*POWER(Upgrades!$I$14,F78)))*(IF(Upgrades!$T$13="Local Bubble",POWER(Upgrades!$U$13,E78),1)*IF(Upgrades!$T$15="Local Bubble",POWER(Upgrades!$U$15,G78),1)*IF(Upgrades!$T$16="Local Bubble",POWER(Upgrades!$U$16,H78),1)*IF(Upgrades!$T$17="Local Bubble",POWER(Upgrades!$U$17,I78),1)*IF(Upgrades!$T$18="Local Bubble",POWER(Upgrades!$U$18,J78),1)*IF(Upgrades!$T$19="Local Bubble",POWER(Upgrades!$U$19,K78),1)*IF(Upgrades!$T$20="Local Bubble",POWER(Upgrades!$U$20,L78),1)*IF(Upgrades!$T$21="Local Bubble",POWER(Upgrades!$U$21,M78),1))*POWER(Upgrades!$P$13,E78)*POWER(Upgrades!$P$14,F78)*POWER(Upgrades!$P$15,G78)*POWER(Upgrades!$P$16,H78)*POWER(Upgrades!$P$17,I78)*POWER(Upgrades!$P$18,J78)*POWER(Upgrades!$P$19,K78)*POWER(Upgrades!$P$20,L78)*POWER(Upgrades!$P$21,M78)*$F$6)*0.05)/AN78,0)</f>
        <v/>
      </c>
      <c r="BC78" s="32">
        <f>IFERROR((Upgrades!$H$17*(POWER(Upgrades!$P$13,E78)*POWER(Upgrades!$P$14,F78)*POWER(Upgrades!$P$15,G78)*POWER(Upgrades!$P$16,H78)*POWER(Upgrades!$P$17,I78)*POWER(Upgrades!$P$18,J78)*POWER(Upgrades!$P$19,K78)*POWER(Upgrades!$P$20,L78)*POWER(Upgrades!$P$21,M78))*(IF(Upgrades!$T$13="Brown Dwarf",POWER(Upgrades!$U$13,E78),1)*IF(Upgrades!$T$14="Brown Dwarf",POWER(Upgrades!$U$14,F78),1)*IF(Upgrades!$T$15="Brown Dwarf",POWER(Upgrades!$U$15,G78),1)*IF(Upgrades!$T$16="Brown Dwarf",POWER(Upgrades!$U$16,H78),1)*IF(Upgrades!$T$18="Brown Dwarf",POWER(Upgrades!$U$18,J78),1)*IF(Upgrades!$T$19="Brown Dwarf",POWER(Upgrades!$U$19,K78),1)*IF(Upgrades!$T$20="Brown Dwarf",POWER(Upgrades!$U$20,L78),1)*IF(Upgrades!$T$21="Brown Dwarf",POWER(Upgrades!$U$21,M78),1))*$F$6+(((IF(H78=0,0,(Upgrades!$M$16+H78*Upgrades!$N$16)*POWER(Upgrades!$O$16,H78)))*(IF(Upgrades!$T$13="Roche Lobe Overflow",POWER(Upgrades!$U$13,E78),1)*IF(Upgrades!$T$14="Roche Lobe Overflow",POWER(Upgrades!$U$14,F78),1)*IF(Upgrades!$T$15="Roche Lobe Overflow",POWER(Upgrades!$U$15,G78),1)*IF(Upgrades!$T$17="Roche Lobe Overflow",POWER(Upgrades!$U$17,I78),1)*IF(Upgrades!$T$18="Roche Lobe Overflow",POWER(Upgrades!$U$18,J78),1)*IF(Upgrades!$T$19="Roche Lobe Overflow",POWER(Upgrades!$U$19,K78),1)*IF(Upgrades!$T$20="Roche Lobe Overflow",POWER(Upgrades!$U$20,L78),1)*IF(Upgrades!$T$21="Roche Lobe Overflow",POWER(Upgrades!$U$21,M78),1))*POWER(Upgrades!$R$13,E78)*POWER(Upgrades!$R$14,F78)*POWER(Upgrades!$R$15,G78)*POWER(Upgrades!$R$16,H78)*POWER(Upgrades!$R$17,I78)*POWER(Upgrades!$R$18,J78)*POWER(Upgrades!$R$19,K78)*POWER(Upgrades!$R$20,L78)*POWER(Upgrades!$R$21,M78)*$H$6)*O78)*0.10)/AO78,0)</f>
        <v/>
      </c>
      <c r="BD78" s="32">
        <f>MAX(IF(J78&gt;0,0,IFERROR(0.5*((IF(G78=0,0,(Upgrades!$J$15+G78*Upgrades!$K$15)*POWER(Upgrades!$L$15,G78)))*(IF(Upgrades!$T$13="Microlensing",POWER(Upgrades!$U$13,E78),1)*IF(Upgrades!$T$14="Microlensing",POWER(Upgrades!$U$14,F78),1)*IF(Upgrades!$T$16="Microlensing",POWER(Upgrades!$U$16,H78),1)*IF(Upgrades!$T$17="Microlensing",POWER(Upgrades!$U$17,I78),1)*IF(Upgrades!$T$18="Microlensing",POWER(Upgrades!$U$18,J78),1)*IF(Upgrades!$T$19="Microlensing",POWER(Upgrades!$U$19,K78),1)*IF(Upgrades!$T$20="Microlensing",POWER(Upgrades!$U$20,L78),1)*IF(Upgrades!$T$21="Microlensing",POWER(Upgrades!$U$21,M78),1))*(POWER(Upgrades!$Q$13,E78)*POWER(Upgrades!$Q$14,F78)*POWER(Upgrades!$Q$15,G78)*POWER(Upgrades!$Q$16,H78)*POWER(Upgrades!$Q$17,I78)*POWER(Upgrades!$Q$18,J78)*POWER(Upgrades!$Q$19,K78)*POWER(Upgrades!$Q$20,L78)*POWER(Upgrades!$Q$21,M78))*$G$6*(Parameters!$B$10/60*Parameters!$B$11+Q78))/Upgrades!$C$18,0)),IF(K78&gt;0,0,IFERROR(0.30*P78/Upgrades!$C$19,0)),IF(L78&gt;0,0,IFERROR(0.0001/Upgrades!$C$20,0)),IF(M78&gt;0,0,IFERROR((6.0*(POWER(Upgrades!$P$13,E78)*POWER(Upgrades!$P$14,F78)*POWER(Upgrades!$P$15,G78)*POWER(Upgrades!$P$16,H78)*POWER(Upgrades!$P$17,I78)*POWER(Upgrades!$P$18,J78)*POWER(Upgrades!$P$19,K78)*POWER(Upgrades!$P$20,L78)*POWER(Upgrades!$P$21,M78))*$F$6+0.20*O78*(Parameters!$B$10/60*Parameters!$B$11+Q78))/Upgrades!$C$21,0)),IF(AND(ISNUMBER(AK78),AK78&gt;(C78+T78)),AY78,0),IF(AND(ISNUMBER(AL78),AL78&gt;(C78+T78)),AZ78,0),IF(AND(ISNUMBER(AM78),AM78&gt;(C78+T78)),BA78,0),IF(AND(ISNUMBER(AN78),AN78&gt;(C78+T78)),BB78,0),IF(AND(ISNUMBER(AO78),AO78&gt;(C78+T78)),BC78,0))</f>
        <v/>
      </c>
      <c r="BE78" s="29">
        <f>IF(AT78=1,"transition",IF(MIN(IF(AND(J78=0,ISNUMBER(AP78),AP78&lt;=(C78+T78)),AP78,9E15),IF(AND(K78=0,ISNUMBER(AQ78),AQ78&lt;=(C78+T78)),AQ78,9E15),IF(AND(L78=0,ISNUMBER(AR78),AR78&lt;=(C78+T78)),AR78,9E15),IF(AND(M78=0,ISNUMBER(AS78),AS78&lt;=(C78+T78)),AS78,9E15))&lt;9E15,IF(AND(AND(J78=0,ISNUMBER(AP78),AP78&lt;=(C78+T78)),AP78=MIN(IF(AND(J78=0,ISNUMBER(AP78),AP78&lt;=(C78+T78)),AP78,9E15),IF(AND(K78=0,ISNUMBER(AQ78),AQ78&lt;=(C78+T78)),AQ78,9E15),IF(AND(L78=0,ISNUMBER(AR78),AR78&lt;=(C78+T78)),AR78,9E15),IF(AND(M78=0,ISNUMBER(AS78),AS78&lt;=(C78+T78)),AS78,9E15))),"BiP",IF(AND(AND(K78=0,ISNUMBER(AQ78),AQ78&lt;=(C78+T78)),AQ78=MIN(IF(AND(J78=0,ISNUMBER(AP78),AP78&lt;=(C78+T78)),AP78,9E15),IF(AND(K78=0,ISNUMBER(AQ78),AQ78&lt;=(C78+T78)),AQ78,9E15),IF(AND(L78=0,ISNUMBER(AR78),AR78&lt;=(C78+T78)),AR78,9E15),IF(AND(M78=0,ISNUMBER(AS78),AS78&lt;=(C78+T78)),AS78,9E15))),"PV",IF(AND(AND(L78=0,ISNUMBER(AR78),AR78&lt;=(C78+T78)),AR78=MIN(IF(AND(J78=0,ISNUMBER(AP78),AP78&lt;=(C78+T78)),AP78,9E15),IF(AND(K78=0,ISNUMBER(AQ78),AQ78&lt;=(C78+T78)),AQ78,9E15),IF(AND(L78=0,ISNUMBER(AR78),AR78&lt;=(C78+T78)),AR78,9E15),IF(AND(M78=0,ISNUMBER(AS78),AS78&lt;=(C78+T78)),AS78,9E15))),"OC","MG"))),IF(AX78=TRUE,"",IF(MAX(IF(AND(NOT(AND(AU78=1,AT78&lt;&gt;1)),ISNUMBER(AK78),AK78&lt;=(C78+T78)),AY78,0),IF(AND(NOT(AND(AU78=1,AT78&lt;&gt;1)),ISNUMBER(AL78),AL78&lt;=(C78+T78)),AZ78,0),IF(AND(NOT(AND(AU78=1,AT78&lt;&gt;1)),ISNUMBER(AM78),AM78&lt;=(C78+T78)),BA78,0),IF(AND(NOT(AND(AU78=1,AT78&lt;&gt;1)),ISNUMBER(AN78),AN78&lt;=(C78+T78)),BB78,0),IF(AND(ISNUMBER(AO78),AO78&lt;=(C78+T78)),BC78,0))&lt;=0,"",IF(AND(IF(AND(NOT(AND(AU78=1,AT78&lt;&gt;1)),ISNUMBER(AK78),AK78&lt;=(C78+T78)),AY78,0)&gt;0,IF(AND(NOT(AND(AU78=1,AT78&lt;&gt;1)),ISNUMBER(AK78),AK78&lt;=(C78+T78)),AY78,0)=MAX(IF(AND(NOT(AND(AU78=1,AT78&lt;&gt;1)),ISNUMBER(AK78),AK78&lt;=(C78+T78)),AY78,0),IF(AND(NOT(AND(AU78=1,AT78&lt;&gt;1)),ISNUMBER(AL78),AL78&lt;=(C78+T78)),AZ78,0),IF(AND(NOT(AND(AU78=1,AT78&lt;&gt;1)),ISNUMBER(AM78),AM78&lt;=(C78+T78)),BA78,0),IF(AND(NOT(AND(AU78=1,AT78&lt;&gt;1)),ISNUMBER(AN78),AN78&lt;=(C78+T78)),BB78,0),IF(AND(ISNUMBER(AO78),AO78&lt;=(C78+T78)),BC78,0))),"SK",IF(AND(IF(AND(NOT(AND(AU78=1,AT78&lt;&gt;1)),ISNUMBER(AL78),AL78&lt;=(C78+T78)),AZ78,0)&gt;0,IF(AND(NOT(AND(AU78=1,AT78&lt;&gt;1)),ISNUMBER(AL78),AL78&lt;=(C78+T78)),AZ78,0)=MAX(IF(AND(NOT(AND(AU78=1,AT78&lt;&gt;1)),ISNUMBER(AK78),AK78&lt;=(C78+T78)),AY78,0),IF(AND(NOT(AND(AU78=1,AT78&lt;&gt;1)),ISNUMBER(AL78),AL78&lt;=(C78+T78)),AZ78,0),IF(AND(NOT(AND(AU78=1,AT78&lt;&gt;1)),ISNUMBER(AM78),AM78&lt;=(C78+T78)),BA78,0),IF(AND(NOT(AND(AU78=1,AT78&lt;&gt;1)),ISNUMBER(AN78),AN78&lt;=(C78+T78)),BB78,0),IF(AND(ISNUMBER(AO78),AO78&lt;=(C78+T78)),BC78,0))),"LB",IF(AND(IF(AND(NOT(AND(AU78=1,AT78&lt;&gt;1)),ISNUMBER(AM78),AM78&lt;=(C78+T78)),BA78,0)&gt;0,IF(AND(NOT(AND(AU78=1,AT78&lt;&gt;1)),ISNUMBER(AM78),AM78&lt;=(C78+T78)),BA78,0)=MAX(IF(AND(NOT(AND(AU78=1,AT78&lt;&gt;1)),ISNUMBER(AK78),AK78&lt;=(C78+T78)),AY78,0),IF(AND(NOT(AND(AU78=1,AT78&lt;&gt;1)),ISNUMBER(AL78),AL78&lt;=(C78+T78)),AZ78,0),IF(AND(NOT(AND(AU78=1,AT78&lt;&gt;1)),ISNUMBER(AM78),AM78&lt;=(C78+T78)),BA78,0),IF(AND(NOT(AND(AU78=1,AT78&lt;&gt;1)),ISNUMBER(AN78),AN78&lt;=(C78+T78)),BB78,0),IF(AND(ISNUMBER(AO78),AO78&lt;=(C78+T78)),BC78,0))),"ML",IF(AND(IF(AND(NOT(AND(AU78=1,AT78&lt;&gt;1)),ISNUMBER(AN78),AN78&lt;=(C78+T78)),BB78,0)&gt;0,IF(AND(NOT(AND(AU78=1,AT78&lt;&gt;1)),ISNUMBER(AN78),AN78&lt;=(C78+T78)),BB78,0)=MAX(IF(AND(NOT(AND(AU78=1,AT78&lt;&gt;1)),ISNUMBER(AK78),AK78&lt;=(C78+T78)),AY78,0),IF(AND(NOT(AND(AU78=1,AT78&lt;&gt;1)),ISNUMBER(AL78),AL78&lt;=(C78+T78)),AZ78,0),IF(AND(NOT(AND(AU78=1,AT78&lt;&gt;1)),ISNUMBER(AM78),AM78&lt;=(C78+T78)),BA78,0),IF(AND(NOT(AND(AU78=1,AT78&lt;&gt;1)),ISNUMBER(AN78),AN78&lt;=(C78+T78)),BB78,0),IF(AND(ISNUMBER(AO78),AO78&lt;=(C78+T78)),BC78,0))),"RLO","BD"))))))))</f>
        <v/>
      </c>
    </row>
    <row r="79">
      <c r="A79" s="26" t="n">
        <v>68</v>
      </c>
      <c r="B79" s="27">
        <f>A79*10/60</f>
        <v/>
      </c>
      <c r="C79" s="22">
        <f>X78</f>
        <v/>
      </c>
      <c r="D79" s="27">
        <f>D78+W78</f>
        <v/>
      </c>
      <c r="E79" s="26">
        <f>E78+IF(U78="SK",1,0)</f>
        <v/>
      </c>
      <c r="F79" s="26">
        <f>F78+IF(U78="LB",1,0)</f>
        <v/>
      </c>
      <c r="G79" s="26">
        <f>G78+IF(U78="ML",1,0)</f>
        <v/>
      </c>
      <c r="H79" s="26">
        <f>H78+IF(U78="RLO",1,0)</f>
        <v/>
      </c>
      <c r="I79" s="26">
        <f>I78+IF(U78="BD",1,0)</f>
        <v/>
      </c>
      <c r="J79" s="26">
        <f>MAX(J78,IF(U78="BiP",1,0))</f>
        <v/>
      </c>
      <c r="K79" s="26">
        <f>MAX(K78,IF(U78="PV",1,0))</f>
        <v/>
      </c>
      <c r="L79" s="26">
        <f>MAX(L78,IF(U78="OC",1,0))</f>
        <v/>
      </c>
      <c r="M79" s="26">
        <f>MAX(M78,IF(U78="MG",1,0))</f>
        <v/>
      </c>
      <c r="N79" s="26">
        <f>MAX(N78,IF(U78="transition",1,0))</f>
        <v/>
      </c>
      <c r="O79" s="28">
        <f>(Parameters!$B$9+(IF(E79=0,0,(Upgrades!$J$13+E79*Upgrades!$K$13)*POWER(Upgrades!$L$13,E79)))*(IF(Upgrades!$T$14="Stellar Kinematics",POWER(Upgrades!$U$14,F79),1)*IF(Upgrades!$T$15="Stellar Kinematics",POWER(Upgrades!$U$15,G79),1)*IF(Upgrades!$T$16="Stellar Kinematics",POWER(Upgrades!$U$16,H79),1)*IF(Upgrades!$T$17="Stellar Kinematics",POWER(Upgrades!$U$17,I79),1)*IF(Upgrades!$T$18="Stellar Kinematics",POWER(Upgrades!$U$18,J79),1)*IF(Upgrades!$T$19="Stellar Kinematics",POWER(Upgrades!$U$19,K79),1)*IF(Upgrades!$T$20="Stellar Kinematics",POWER(Upgrades!$U$20,L79),1)*IF(Upgrades!$T$21="Stellar Kinematics",POWER(Upgrades!$U$21,M79),1))+(IF(F79=0,0,(Upgrades!$J$14+F79*Upgrades!$K$14)*POWER(Upgrades!$L$14,F79)))*(IF(Upgrades!$T$13="Local Bubble",POWER(Upgrades!$U$13,E79),1)*IF(Upgrades!$T$15="Local Bubble",POWER(Upgrades!$U$15,G79),1)*IF(Upgrades!$T$16="Local Bubble",POWER(Upgrades!$U$16,H79),1)*IF(Upgrades!$T$17="Local Bubble",POWER(Upgrades!$U$17,I79),1)*IF(Upgrades!$T$18="Local Bubble",POWER(Upgrades!$U$18,J79),1)*IF(Upgrades!$T$19="Local Bubble",POWER(Upgrades!$U$19,K79),1)*IF(Upgrades!$T$20="Local Bubble",POWER(Upgrades!$U$20,L79),1)*IF(Upgrades!$T$21="Local Bubble",POWER(Upgrades!$U$21,M79),1))+(IF(G79=0,0,(Upgrades!$J$15+G79*Upgrades!$K$15)*POWER(Upgrades!$L$15,G79)))*(IF(Upgrades!$T$13="Microlensing",POWER(Upgrades!$U$13,E79),1)*IF(Upgrades!$T$14="Microlensing",POWER(Upgrades!$U$14,F79),1)*IF(Upgrades!$T$16="Microlensing",POWER(Upgrades!$U$16,H79),1)*IF(Upgrades!$T$17="Microlensing",POWER(Upgrades!$U$17,I79),1)*IF(Upgrades!$T$18="Microlensing",POWER(Upgrades!$U$18,J79),1)*IF(Upgrades!$T$19="Microlensing",POWER(Upgrades!$U$19,K79),1)*IF(Upgrades!$T$20="Microlensing",POWER(Upgrades!$U$20,L79),1)*IF(Upgrades!$T$21="Microlensing",POWER(Upgrades!$U$21,M79),1))+(IF(H79=0,0,(Upgrades!$J$16+H79*Upgrades!$K$16)*POWER(Upgrades!$L$16,H79)))*(IF(Upgrades!$T$13="Roche Lobe Overflow",POWER(Upgrades!$U$13,E79),1)*IF(Upgrades!$T$14="Roche Lobe Overflow",POWER(Upgrades!$U$14,F79),1)*IF(Upgrades!$T$15="Roche Lobe Overflow",POWER(Upgrades!$U$15,G79),1)*IF(Upgrades!$T$17="Roche Lobe Overflow",POWER(Upgrades!$U$17,I79),1)*IF(Upgrades!$T$18="Roche Lobe Overflow",POWER(Upgrades!$U$18,J79),1)*IF(Upgrades!$T$19="Roche Lobe Overflow",POWER(Upgrades!$U$19,K79),1)*IF(Upgrades!$T$20="Roche Lobe Overflow",POWER(Upgrades!$U$20,L79),1)*IF(Upgrades!$T$21="Roche Lobe Overflow",POWER(Upgrades!$U$21,M79),1))+(IF(I79=0,0,(Upgrades!$J$17+I79*Upgrades!$K$17)*POWER(Upgrades!$L$17,I79)))*(IF(Upgrades!$T$13="Brown Dwarf",POWER(Upgrades!$U$13,E79),1)*IF(Upgrades!$T$14="Brown Dwarf",POWER(Upgrades!$U$14,F79),1)*IF(Upgrades!$T$15="Brown Dwarf",POWER(Upgrades!$U$15,G79),1)*IF(Upgrades!$T$16="Brown Dwarf",POWER(Upgrades!$U$16,H79),1)*IF(Upgrades!$T$18="Brown Dwarf",POWER(Upgrades!$U$18,J79),1)*IF(Upgrades!$T$19="Brown Dwarf",POWER(Upgrades!$U$19,K79),1)*IF(Upgrades!$T$20="Brown Dwarf",POWER(Upgrades!$U$20,L79),1)*IF(Upgrades!$T$21="Brown Dwarf",POWER(Upgrades!$U$21,M79),1))+(IF(J79=0,0,(Upgrades!$J$18+J79*Upgrades!$K$18)*POWER(Upgrades!$L$18,J79)))*(IF(Upgrades!$T$13="Binary Partner",POWER(Upgrades!$U$13,E79),1)*IF(Upgrades!$T$14="Binary Partner",POWER(Upgrades!$U$14,F79),1)*IF(Upgrades!$T$15="Binary Partner",POWER(Upgrades!$U$15,G79),1)*IF(Upgrades!$T$16="Binary Partner",POWER(Upgrades!$U$16,H79),1)*IF(Upgrades!$T$17="Binary Partner",POWER(Upgrades!$U$17,I79),1)*IF(Upgrades!$T$19="Binary Partner",POWER(Upgrades!$U$19,K79),1)*IF(Upgrades!$T$20="Binary Partner",POWER(Upgrades!$U$20,L79),1)*IF(Upgrades!$T$21="Binary Partner",POWER(Upgrades!$U$21,M79),1))+(IF(K79=0,0,(Upgrades!$J$19+K79*Upgrades!$K$19)*POWER(Upgrades!$L$19,K79)))*(IF(Upgrades!$T$13="Peculiar Velocity",POWER(Upgrades!$U$13,E79),1)*IF(Upgrades!$T$14="Peculiar Velocity",POWER(Upgrades!$U$14,F79),1)*IF(Upgrades!$T$15="Peculiar Velocity",POWER(Upgrades!$U$15,G79),1)*IF(Upgrades!$T$16="Peculiar Velocity",POWER(Upgrades!$U$16,H79),1)*IF(Upgrades!$T$17="Peculiar Velocity",POWER(Upgrades!$U$17,I79),1)*IF(Upgrades!$T$18="Peculiar Velocity",POWER(Upgrades!$U$18,J79),1)*IF(Upgrades!$T$20="Peculiar Velocity",POWER(Upgrades!$U$20,L79),1)*IF(Upgrades!$T$21="Peculiar Velocity",POWER(Upgrades!$U$21,M79),1))+(IF(L79=0,0,(Upgrades!$J$20+L79*Upgrades!$K$20)*POWER(Upgrades!$L$20,L79)))*(IF(Upgrades!$T$13="Open Cluster",POWER(Upgrades!$U$13,E79),1)*IF(Upgrades!$T$14="Open Cluster",POWER(Upgrades!$U$14,F79),1)*IF(Upgrades!$T$15="Open Cluster",POWER(Upgrades!$U$15,G79),1)*IF(Upgrades!$T$16="Open Cluster",POWER(Upgrades!$U$16,H79),1)*IF(Upgrades!$T$17="Open Cluster",POWER(Upgrades!$U$17,I79),1)*IF(Upgrades!$T$18="Open Cluster",POWER(Upgrades!$U$18,J79),1)*IF(Upgrades!$T$19="Open Cluster",POWER(Upgrades!$U$19,K79),1)*IF(Upgrades!$T$21="Open Cluster",POWER(Upgrades!$U$21,M79),1))+(IF(M79=0,0,(Upgrades!$J$21+M79*Upgrades!$K$21)*POWER(Upgrades!$L$21,M79)))*(IF(Upgrades!$T$13="Moving Group",POWER(Upgrades!$U$13,E79),1)*IF(Upgrades!$T$14="Moving Group",POWER(Upgrades!$U$14,F79),1)*IF(Upgrades!$T$15="Moving Group",POWER(Upgrades!$U$15,G79),1)*IF(Upgrades!$T$16="Moving Group",POWER(Upgrades!$U$16,H79),1)*IF(Upgrades!$T$17="Moving Group",POWER(Upgrades!$U$17,I79),1)*IF(Upgrades!$T$18="Moving Group",POWER(Upgrades!$U$18,J79),1)*IF(Upgrades!$T$19="Moving Group",POWER(Upgrades!$U$19,K79),1)*IF(Upgrades!$T$20="Moving Group",POWER(Upgrades!$U$20,L79),1)))*POWER(Upgrades!$Q$13,E79)*POWER(Upgrades!$Q$14,F79)*POWER(Upgrades!$Q$15,G79)*POWER(Upgrades!$Q$16,H79)*POWER(Upgrades!$Q$17,I79)*POWER(Upgrades!$Q$18,J79)*POWER(Upgrades!$Q$19,K79)*POWER(Upgrades!$Q$20,L79)*POWER(Upgrades!$Q$21,M79)*$G$6+$D$6</f>
        <v/>
      </c>
      <c r="P79" s="28">
        <f>((IF(E79=0,0,(Upgrades!$G$13+E79*Upgrades!$H$13)*POWER(Upgrades!$I$13,E79)))*(IF(Upgrades!$T$14="Stellar Kinematics",POWER(Upgrades!$U$14,F79),1)*IF(Upgrades!$T$15="Stellar Kinematics",POWER(Upgrades!$U$15,G79),1)*IF(Upgrades!$T$16="Stellar Kinematics",POWER(Upgrades!$U$16,H79),1)*IF(Upgrades!$T$17="Stellar Kinematics",POWER(Upgrades!$U$17,I79),1)*IF(Upgrades!$T$18="Stellar Kinematics",POWER(Upgrades!$U$18,J79),1)*IF(Upgrades!$T$19="Stellar Kinematics",POWER(Upgrades!$U$19,K79),1)*IF(Upgrades!$T$20="Stellar Kinematics",POWER(Upgrades!$U$20,L79),1)*IF(Upgrades!$T$21="Stellar Kinematics",POWER(Upgrades!$U$21,M79),1))+(IF(F79=0,0,(Upgrades!$G$14+F79*Upgrades!$H$14)*POWER(Upgrades!$I$14,F79)))*(IF(Upgrades!$T$13="Local Bubble",POWER(Upgrades!$U$13,E79),1)*IF(Upgrades!$T$15="Local Bubble",POWER(Upgrades!$U$15,G79),1)*IF(Upgrades!$T$16="Local Bubble",POWER(Upgrades!$U$16,H79),1)*IF(Upgrades!$T$17="Local Bubble",POWER(Upgrades!$U$17,I79),1)*IF(Upgrades!$T$18="Local Bubble",POWER(Upgrades!$U$18,J79),1)*IF(Upgrades!$T$19="Local Bubble",POWER(Upgrades!$U$19,K79),1)*IF(Upgrades!$T$20="Local Bubble",POWER(Upgrades!$U$20,L79),1)*IF(Upgrades!$T$21="Local Bubble",POWER(Upgrades!$U$21,M79),1))+(IF(G79=0,0,(Upgrades!$G$15+G79*Upgrades!$H$15)*POWER(Upgrades!$I$15,G79)))*(IF(Upgrades!$T$13="Microlensing",POWER(Upgrades!$U$13,E79),1)*IF(Upgrades!$T$14="Microlensing",POWER(Upgrades!$U$14,F79),1)*IF(Upgrades!$T$16="Microlensing",POWER(Upgrades!$U$16,H79),1)*IF(Upgrades!$T$17="Microlensing",POWER(Upgrades!$U$17,I79),1)*IF(Upgrades!$T$18="Microlensing",POWER(Upgrades!$U$18,J79),1)*IF(Upgrades!$T$19="Microlensing",POWER(Upgrades!$U$19,K79),1)*IF(Upgrades!$T$20="Microlensing",POWER(Upgrades!$U$20,L79),1)*IF(Upgrades!$T$21="Microlensing",POWER(Upgrades!$U$21,M79),1))+(IF(H79=0,0,(Upgrades!$G$16+H79*Upgrades!$H$16)*POWER(Upgrades!$I$16,H79)))*(IF(Upgrades!$T$13="Roche Lobe Overflow",POWER(Upgrades!$U$13,E79),1)*IF(Upgrades!$T$14="Roche Lobe Overflow",POWER(Upgrades!$U$14,F79),1)*IF(Upgrades!$T$15="Roche Lobe Overflow",POWER(Upgrades!$U$15,G79),1)*IF(Upgrades!$T$17="Roche Lobe Overflow",POWER(Upgrades!$U$17,I79),1)*IF(Upgrades!$T$18="Roche Lobe Overflow",POWER(Upgrades!$U$18,J79),1)*IF(Upgrades!$T$19="Roche Lobe Overflow",POWER(Upgrades!$U$19,K79),1)*IF(Upgrades!$T$20="Roche Lobe Overflow",POWER(Upgrades!$U$20,L79),1)*IF(Upgrades!$T$21="Roche Lobe Overflow",POWER(Upgrades!$U$21,M79),1))+(IF(I79=0,0,(Upgrades!$G$17+I79*Upgrades!$H$17)*POWER(Upgrades!$I$17,I79)))*(IF(Upgrades!$T$13="Brown Dwarf",POWER(Upgrades!$U$13,E79),1)*IF(Upgrades!$T$14="Brown Dwarf",POWER(Upgrades!$U$14,F79),1)*IF(Upgrades!$T$15="Brown Dwarf",POWER(Upgrades!$U$15,G79),1)*IF(Upgrades!$T$16="Brown Dwarf",POWER(Upgrades!$U$16,H79),1)*IF(Upgrades!$T$18="Brown Dwarf",POWER(Upgrades!$U$18,J79),1)*IF(Upgrades!$T$19="Brown Dwarf",POWER(Upgrades!$U$19,K79),1)*IF(Upgrades!$T$20="Brown Dwarf",POWER(Upgrades!$U$20,L79),1)*IF(Upgrades!$T$21="Brown Dwarf",POWER(Upgrades!$U$21,M79),1))+(IF(J79=0,0,(Upgrades!$G$18+J79*Upgrades!$H$18)*POWER(Upgrades!$I$18,J79)))*(IF(Upgrades!$T$13="Binary Partner",POWER(Upgrades!$U$13,E79),1)*IF(Upgrades!$T$14="Binary Partner",POWER(Upgrades!$U$14,F79),1)*IF(Upgrades!$T$15="Binary Partner",POWER(Upgrades!$U$15,G79),1)*IF(Upgrades!$T$16="Binary Partner",POWER(Upgrades!$U$16,H79),1)*IF(Upgrades!$T$17="Binary Partner",POWER(Upgrades!$U$17,I79),1)*IF(Upgrades!$T$19="Binary Partner",POWER(Upgrades!$U$19,K79),1)*IF(Upgrades!$T$20="Binary Partner",POWER(Upgrades!$U$20,L79),1)*IF(Upgrades!$T$21="Binary Partner",POWER(Upgrades!$U$21,M79),1))+(IF(K79=0,0,(Upgrades!$G$19+K79*Upgrades!$H$19)*POWER(Upgrades!$I$19,K79)))*(IF(Upgrades!$T$13="Peculiar Velocity",POWER(Upgrades!$U$13,E79),1)*IF(Upgrades!$T$14="Peculiar Velocity",POWER(Upgrades!$U$14,F79),1)*IF(Upgrades!$T$15="Peculiar Velocity",POWER(Upgrades!$U$15,G79),1)*IF(Upgrades!$T$16="Peculiar Velocity",POWER(Upgrades!$U$16,H79),1)*IF(Upgrades!$T$17="Peculiar Velocity",POWER(Upgrades!$U$17,I79),1)*IF(Upgrades!$T$18="Peculiar Velocity",POWER(Upgrades!$U$18,J79),1)*IF(Upgrades!$T$20="Peculiar Velocity",POWER(Upgrades!$U$20,L79),1)*IF(Upgrades!$T$21="Peculiar Velocity",POWER(Upgrades!$U$21,M79),1))+(IF(L79=0,0,(Upgrades!$G$20+L79*Upgrades!$H$20)*POWER(Upgrades!$I$20,L79)))*(IF(Upgrades!$T$13="Open Cluster",POWER(Upgrades!$U$13,E79),1)*IF(Upgrades!$T$14="Open Cluster",POWER(Upgrades!$U$14,F79),1)*IF(Upgrades!$T$15="Open Cluster",POWER(Upgrades!$U$15,G79),1)*IF(Upgrades!$T$16="Open Cluster",POWER(Upgrades!$U$16,H79),1)*IF(Upgrades!$T$17="Open Cluster",POWER(Upgrades!$U$17,I79),1)*IF(Upgrades!$T$18="Open Cluster",POWER(Upgrades!$U$18,J79),1)*IF(Upgrades!$T$19="Open Cluster",POWER(Upgrades!$U$19,K79),1)*IF(Upgrades!$T$21="Open Cluster",POWER(Upgrades!$U$21,M79),1))+(IF(M79=0,0,(Upgrades!$G$21+M79*Upgrades!$H$21)*POWER(Upgrades!$I$21,M79)))*(IF(Upgrades!$T$13="Moving Group",POWER(Upgrades!$U$13,E79),1)*IF(Upgrades!$T$14="Moving Group",POWER(Upgrades!$U$14,F79),1)*IF(Upgrades!$T$15="Moving Group",POWER(Upgrades!$U$15,G79),1)*IF(Upgrades!$T$16="Moving Group",POWER(Upgrades!$U$16,H79),1)*IF(Upgrades!$T$17="Moving Group",POWER(Upgrades!$U$17,I79),1)*IF(Upgrades!$T$18="Moving Group",POWER(Upgrades!$U$18,J79),1)*IF(Upgrades!$T$19="Moving Group",POWER(Upgrades!$U$19,K79),1)*IF(Upgrades!$T$20="Moving Group",POWER(Upgrades!$U$20,L79),1)))*POWER(Upgrades!$P$13,E79)*POWER(Upgrades!$P$14,F79)*POWER(Upgrades!$P$15,G79)*POWER(Upgrades!$P$16,H79)*POWER(Upgrades!$P$17,I79)*POWER(Upgrades!$P$18,J79)*POWER(Upgrades!$P$19,K79)*POWER(Upgrades!$P$20,L79)*POWER(Upgrades!$P$21,M79)*$F$6+$C$6</f>
        <v/>
      </c>
      <c r="Q79" s="28">
        <f>((IF(E79=0,0,(Upgrades!$M$13+E79*Upgrades!$N$13)*POWER(Upgrades!$O$13,E79)))*(IF(Upgrades!$T$14="Stellar Kinematics",POWER(Upgrades!$U$14,F79),1)*IF(Upgrades!$T$15="Stellar Kinematics",POWER(Upgrades!$U$15,G79),1)*IF(Upgrades!$T$16="Stellar Kinematics",POWER(Upgrades!$U$16,H79),1)*IF(Upgrades!$T$17="Stellar Kinematics",POWER(Upgrades!$U$17,I79),1)*IF(Upgrades!$T$18="Stellar Kinematics",POWER(Upgrades!$U$18,J79),1)*IF(Upgrades!$T$19="Stellar Kinematics",POWER(Upgrades!$U$19,K79),1)*IF(Upgrades!$T$20="Stellar Kinematics",POWER(Upgrades!$U$20,L79),1)*IF(Upgrades!$T$21="Stellar Kinematics",POWER(Upgrades!$U$21,M79),1))+(IF(F79=0,0,(Upgrades!$M$14+F79*Upgrades!$N$14)*POWER(Upgrades!$O$14,F79)))*(IF(Upgrades!$T$13="Local Bubble",POWER(Upgrades!$U$13,E79),1)*IF(Upgrades!$T$15="Local Bubble",POWER(Upgrades!$U$15,G79),1)*IF(Upgrades!$T$16="Local Bubble",POWER(Upgrades!$U$16,H79),1)*IF(Upgrades!$T$17="Local Bubble",POWER(Upgrades!$U$17,I79),1)*IF(Upgrades!$T$18="Local Bubble",POWER(Upgrades!$U$18,J79),1)*IF(Upgrades!$T$19="Local Bubble",POWER(Upgrades!$U$19,K79),1)*IF(Upgrades!$T$20="Local Bubble",POWER(Upgrades!$U$20,L79),1)*IF(Upgrades!$T$21="Local Bubble",POWER(Upgrades!$U$21,M79),1))+(IF(G79=0,0,(Upgrades!$M$15+G79*Upgrades!$N$15)*POWER(Upgrades!$O$15,G79)))*(IF(Upgrades!$T$13="Microlensing",POWER(Upgrades!$U$13,E79),1)*IF(Upgrades!$T$14="Microlensing",POWER(Upgrades!$U$14,F79),1)*IF(Upgrades!$T$16="Microlensing",POWER(Upgrades!$U$16,H79),1)*IF(Upgrades!$T$17="Microlensing",POWER(Upgrades!$U$17,I79),1)*IF(Upgrades!$T$18="Microlensing",POWER(Upgrades!$U$18,J79),1)*IF(Upgrades!$T$19="Microlensing",POWER(Upgrades!$U$19,K79),1)*IF(Upgrades!$T$20="Microlensing",POWER(Upgrades!$U$20,L79),1)*IF(Upgrades!$T$21="Microlensing",POWER(Upgrades!$U$21,M79),1))+(IF(H79=0,0,(Upgrades!$M$16+H79*Upgrades!$N$16)*POWER(Upgrades!$O$16,H79)))*(IF(Upgrades!$T$13="Roche Lobe Overflow",POWER(Upgrades!$U$13,E79),1)*IF(Upgrades!$T$14="Roche Lobe Overflow",POWER(Upgrades!$U$14,F79),1)*IF(Upgrades!$T$15="Roche Lobe Overflow",POWER(Upgrades!$U$15,G79),1)*IF(Upgrades!$T$17="Roche Lobe Overflow",POWER(Upgrades!$U$17,I79),1)*IF(Upgrades!$T$18="Roche Lobe Overflow",POWER(Upgrades!$U$18,J79),1)*IF(Upgrades!$T$19="Roche Lobe Overflow",POWER(Upgrades!$U$19,K79),1)*IF(Upgrades!$T$20="Roche Lobe Overflow",POWER(Upgrades!$U$20,L79),1)*IF(Upgrades!$T$21="Roche Lobe Overflow",POWER(Upgrades!$U$21,M79),1))+(IF(I79=0,0,(Upgrades!$M$17+I79*Upgrades!$N$17)*POWER(Upgrades!$O$17,I79)))*(IF(Upgrades!$T$13="Brown Dwarf",POWER(Upgrades!$U$13,E79),1)*IF(Upgrades!$T$14="Brown Dwarf",POWER(Upgrades!$U$14,F79),1)*IF(Upgrades!$T$15="Brown Dwarf",POWER(Upgrades!$U$15,G79),1)*IF(Upgrades!$T$16="Brown Dwarf",POWER(Upgrades!$U$16,H79),1)*IF(Upgrades!$T$18="Brown Dwarf",POWER(Upgrades!$U$18,J79),1)*IF(Upgrades!$T$19="Brown Dwarf",POWER(Upgrades!$U$19,K79),1)*IF(Upgrades!$T$20="Brown Dwarf",POWER(Upgrades!$U$20,L79),1)*IF(Upgrades!$T$21="Brown Dwarf",POWER(Upgrades!$U$21,M79),1))+(IF(J79=0,0,(Upgrades!$M$18+J79*Upgrades!$N$18)*POWER(Upgrades!$O$18,J79)))*(IF(Upgrades!$T$13="Binary Partner",POWER(Upgrades!$U$13,E79),1)*IF(Upgrades!$T$14="Binary Partner",POWER(Upgrades!$U$14,F79),1)*IF(Upgrades!$T$15="Binary Partner",POWER(Upgrades!$U$15,G79),1)*IF(Upgrades!$T$16="Binary Partner",POWER(Upgrades!$U$16,H79),1)*IF(Upgrades!$T$17="Binary Partner",POWER(Upgrades!$U$17,I79),1)*IF(Upgrades!$T$19="Binary Partner",POWER(Upgrades!$U$19,K79),1)*IF(Upgrades!$T$20="Binary Partner",POWER(Upgrades!$U$20,L79),1)*IF(Upgrades!$T$21="Binary Partner",POWER(Upgrades!$U$21,M79),1))+(IF(K79=0,0,(Upgrades!$M$19+K79*Upgrades!$N$19)*POWER(Upgrades!$O$19,K79)))*(IF(Upgrades!$T$13="Peculiar Velocity",POWER(Upgrades!$U$13,E79),1)*IF(Upgrades!$T$14="Peculiar Velocity",POWER(Upgrades!$U$14,F79),1)*IF(Upgrades!$T$15="Peculiar Velocity",POWER(Upgrades!$U$15,G79),1)*IF(Upgrades!$T$16="Peculiar Velocity",POWER(Upgrades!$U$16,H79),1)*IF(Upgrades!$T$17="Peculiar Velocity",POWER(Upgrades!$U$17,I79),1)*IF(Upgrades!$T$18="Peculiar Velocity",POWER(Upgrades!$U$18,J79),1)*IF(Upgrades!$T$20="Peculiar Velocity",POWER(Upgrades!$U$20,L79),1)*IF(Upgrades!$T$21="Peculiar Velocity",POWER(Upgrades!$U$21,M79),1))+(IF(L79=0,0,(Upgrades!$M$20+L79*Upgrades!$N$20)*POWER(Upgrades!$O$20,L79)))*(IF(Upgrades!$T$13="Open Cluster",POWER(Upgrades!$U$13,E79),1)*IF(Upgrades!$T$14="Open Cluster",POWER(Upgrades!$U$14,F79),1)*IF(Upgrades!$T$15="Open Cluster",POWER(Upgrades!$U$15,G79),1)*IF(Upgrades!$T$16="Open Cluster",POWER(Upgrades!$U$16,H79),1)*IF(Upgrades!$T$17="Open Cluster",POWER(Upgrades!$U$17,I79),1)*IF(Upgrades!$T$18="Open Cluster",POWER(Upgrades!$U$18,J79),1)*IF(Upgrades!$T$19="Open Cluster",POWER(Upgrades!$U$19,K79),1)*IF(Upgrades!$T$21="Open Cluster",POWER(Upgrades!$U$21,M79),1))+(IF(M79=0,0,(Upgrades!$M$21+M79*Upgrades!$N$21)*POWER(Upgrades!$O$21,M79)))*(IF(Upgrades!$T$13="Moving Group",POWER(Upgrades!$U$13,E79),1)*IF(Upgrades!$T$14="Moving Group",POWER(Upgrades!$U$14,F79),1)*IF(Upgrades!$T$15="Moving Group",POWER(Upgrades!$U$15,G79),1)*IF(Upgrades!$T$16="Moving Group",POWER(Upgrades!$U$16,H79),1)*IF(Upgrades!$T$17="Moving Group",POWER(Upgrades!$U$17,I79),1)*IF(Upgrades!$T$18="Moving Group",POWER(Upgrades!$U$18,J79),1)*IF(Upgrades!$T$19="Moving Group",POWER(Upgrades!$U$19,K79),1)*IF(Upgrades!$T$20="Moving Group",POWER(Upgrades!$U$20,L79),1)))*POWER(Upgrades!$R$13,E79)*POWER(Upgrades!$R$14,F79)*POWER(Upgrades!$R$15,G79)*POWER(Upgrades!$R$16,H79)*POWER(Upgrades!$R$17,I79)*POWER(Upgrades!$R$18,J79)*POWER(Upgrades!$R$19,K79)*POWER(Upgrades!$R$20,L79)*POWER(Upgrades!$R$21,M79)*$H$6+$E$6</f>
        <v/>
      </c>
      <c r="R79" s="27">
        <f>IF(N79=1,0,O79*Parameters!$B$10/60*Parameters!$B$11*10)</f>
        <v/>
      </c>
      <c r="S79" s="27">
        <f>IF(N79=1,0,Q79*O79*10)</f>
        <v/>
      </c>
      <c r="T79" s="27">
        <f>IF(N79=1,0,R79+S79+P79*10)</f>
        <v/>
      </c>
      <c r="U79" s="33">
        <f>BE79</f>
        <v/>
      </c>
      <c r="V79" s="22">
        <f>IF(U79="",0,IF(U79="transition",0,IF(U79="SK",AK79,IF(U79="LB",AL79,IF(U79="ML",AM79,IF(U79="RLO",AN79,IF(U79="BD",AO79,IF(U79="BiP",AP79,IF(U79="PV",AQ79,IF(U79="OC",AR79,IF(U79="MG",AS79,0))))))))))</f>
        <v/>
      </c>
      <c r="W79" s="27">
        <f>IF(U79="BiP",Upgrades!$F$18,IF(U79="PV",Upgrades!$F$19,IF(U79="OC",Upgrades!$F$20,IF(U79="MG",Upgrades!$F$21,IF(U79="transition",-Parameters!$B$18*Parameters!$B$19,0)))))</f>
        <v/>
      </c>
      <c r="X79" s="22">
        <f>C79+T79-V79</f>
        <v/>
      </c>
      <c r="Y79" s="30">
        <f>O79*Parameters!$B$10/60*Parameters!$B$11+Q79*O79+P79</f>
        <v/>
      </c>
      <c r="Z79" s="34">
        <f>IF(U79="transition","→ Tier 3 (Galactic Arm)",IF(U79="MG","Moving Group — pocket drifts together",IF(U79="OC","Open Cluster acquired",IF(U79="PV","Peculiar Velocity — passive multiplier active",IF(U79="BiP","Binary Partner — pair bond formed",IF(AND(AU79=1,N79=0,AT79&lt;&gt;1),"Cohesion ready (waiting on completionists)","")))))) </f>
        <v/>
      </c>
      <c r="AA79" s="27">
        <f>(IF(E79=0,0,(Upgrades!$G$13+E79*Upgrades!$H$13)*POWER(Upgrades!$I$13,E79)))*(IF(Upgrades!$T$14="Stellar Kinematics",POWER(Upgrades!$U$14,F79),1)*IF(Upgrades!$T$15="Stellar Kinematics",POWER(Upgrades!$U$15,G79),1)*IF(Upgrades!$T$16="Stellar Kinematics",POWER(Upgrades!$U$16,H79),1)*IF(Upgrades!$T$17="Stellar Kinematics",POWER(Upgrades!$U$17,I79),1)*IF(Upgrades!$T$18="Stellar Kinematics",POWER(Upgrades!$U$18,J79),1)*IF(Upgrades!$T$19="Stellar Kinematics",POWER(Upgrades!$U$19,K79),1)*IF(Upgrades!$T$20="Stellar Kinematics",POWER(Upgrades!$U$20,L79),1)*IF(Upgrades!$T$21="Stellar Kinematics",POWER(Upgrades!$U$21,M79),1))*POWER(Upgrades!$P$13,E79)*POWER(Upgrades!$P$14,F79)*POWER(Upgrades!$P$15,G79)*POWER(Upgrades!$P$16,H79)*POWER(Upgrades!$P$17,I79)*POWER(Upgrades!$P$18,J79)*POWER(Upgrades!$P$19,K79)*POWER(Upgrades!$P$20,L79)*POWER(Upgrades!$P$21,M79)*$F$6*60</f>
        <v/>
      </c>
      <c r="AB79" s="27">
        <f>(IF(F79=0,0,(Upgrades!$G$14+F79*Upgrades!$H$14)*POWER(Upgrades!$I$14,F79)))*(IF(Upgrades!$T$13="Local Bubble",POWER(Upgrades!$U$13,E79),1)*IF(Upgrades!$T$15="Local Bubble",POWER(Upgrades!$U$15,G79),1)*IF(Upgrades!$T$16="Local Bubble",POWER(Upgrades!$U$16,H79),1)*IF(Upgrades!$T$17="Local Bubble",POWER(Upgrades!$U$17,I79),1)*IF(Upgrades!$T$18="Local Bubble",POWER(Upgrades!$U$18,J79),1)*IF(Upgrades!$T$19="Local Bubble",POWER(Upgrades!$U$19,K79),1)*IF(Upgrades!$T$20="Local Bubble",POWER(Upgrades!$U$20,L79),1)*IF(Upgrades!$T$21="Local Bubble",POWER(Upgrades!$U$21,M79),1))*POWER(Upgrades!$P$13,E79)*POWER(Upgrades!$P$14,F79)*POWER(Upgrades!$P$15,G79)*POWER(Upgrades!$P$16,H79)*POWER(Upgrades!$P$17,I79)*POWER(Upgrades!$P$18,J79)*POWER(Upgrades!$P$19,K79)*POWER(Upgrades!$P$20,L79)*POWER(Upgrades!$P$21,M79)*$F$6*60</f>
        <v/>
      </c>
      <c r="AC79" s="27">
        <f>(IF(G79=0,0,(Upgrades!$J$15+G79*Upgrades!$K$15)*POWER(Upgrades!$L$15,G79)))*(IF(Upgrades!$T$13="Microlensing",POWER(Upgrades!$U$13,E79),1)*IF(Upgrades!$T$14="Microlensing",POWER(Upgrades!$U$14,F79),1)*IF(Upgrades!$T$16="Microlensing",POWER(Upgrades!$U$16,H79),1)*IF(Upgrades!$T$17="Microlensing",POWER(Upgrades!$U$17,I79),1)*IF(Upgrades!$T$18="Microlensing",POWER(Upgrades!$U$18,J79),1)*IF(Upgrades!$T$19="Microlensing",POWER(Upgrades!$U$19,K79),1)*IF(Upgrades!$T$20="Microlensing",POWER(Upgrades!$U$20,L79),1)*IF(Upgrades!$T$21="Microlensing",POWER(Upgrades!$U$21,M79),1))*POWER(Upgrades!$Q$13,E79)*POWER(Upgrades!$Q$14,F79)*POWER(Upgrades!$Q$15,G79)*POWER(Upgrades!$Q$16,H79)*POWER(Upgrades!$Q$17,I79)*POWER(Upgrades!$Q$18,J79)*POWER(Upgrades!$Q$19,K79)*POWER(Upgrades!$Q$20,L79)*POWER(Upgrades!$Q$21,M79)*$G$6*(Parameters!$B$10*Parameters!$B$11+Q79*60)</f>
        <v/>
      </c>
      <c r="AD79" s="27">
        <f>(IF(H79=0,0,(Upgrades!$M$16+H79*Upgrades!$N$16)*POWER(Upgrades!$O$16,H79)))*(IF(Upgrades!$T$13="Roche Lobe Overflow",POWER(Upgrades!$U$13,E79),1)*IF(Upgrades!$T$14="Roche Lobe Overflow",POWER(Upgrades!$U$14,F79),1)*IF(Upgrades!$T$15="Roche Lobe Overflow",POWER(Upgrades!$U$15,G79),1)*IF(Upgrades!$T$17="Roche Lobe Overflow",POWER(Upgrades!$U$17,I79),1)*IF(Upgrades!$T$18="Roche Lobe Overflow",POWER(Upgrades!$U$18,J79),1)*IF(Upgrades!$T$19="Roche Lobe Overflow",POWER(Upgrades!$U$19,K79),1)*IF(Upgrades!$T$20="Roche Lobe Overflow",POWER(Upgrades!$U$20,L79),1)*IF(Upgrades!$T$21="Roche Lobe Overflow",POWER(Upgrades!$U$21,M79),1))*POWER(Upgrades!$R$13,E79)*POWER(Upgrades!$R$14,F79)*POWER(Upgrades!$R$15,G79)*POWER(Upgrades!$R$16,H79)*POWER(Upgrades!$R$17,I79)*POWER(Upgrades!$R$18,J79)*POWER(Upgrades!$R$19,K79)*POWER(Upgrades!$R$20,L79)*POWER(Upgrades!$R$21,M79)*$H$6*O79*60</f>
        <v/>
      </c>
      <c r="AE79" s="27">
        <f>(IF(I79=0,0,(Upgrades!$G$17+I79*Upgrades!$H$17)*POWER(Upgrades!$I$17,I79)))*(IF(Upgrades!$T$13="Brown Dwarf",POWER(Upgrades!$U$13,E79),1)*IF(Upgrades!$T$14="Brown Dwarf",POWER(Upgrades!$U$14,F79),1)*IF(Upgrades!$T$15="Brown Dwarf",POWER(Upgrades!$U$15,G79),1)*IF(Upgrades!$T$16="Brown Dwarf",POWER(Upgrades!$U$16,H79),1)*IF(Upgrades!$T$18="Brown Dwarf",POWER(Upgrades!$U$18,J79),1)*IF(Upgrades!$T$19="Brown Dwarf",POWER(Upgrades!$U$19,K79),1)*IF(Upgrades!$T$20="Brown Dwarf",POWER(Upgrades!$U$20,L79),1)*IF(Upgrades!$T$21="Brown Dwarf",POWER(Upgrades!$U$21,M79),1))*POWER(Upgrades!$P$13,E79)*POWER(Upgrades!$P$14,F79)*POWER(Upgrades!$P$15,G79)*POWER(Upgrades!$P$16,H79)*POWER(Upgrades!$P$17,I79)*POWER(Upgrades!$P$18,J79)*POWER(Upgrades!$P$19,K79)*POWER(Upgrades!$P$20,L79)*POWER(Upgrades!$P$21,M79)*$F$6*60</f>
        <v/>
      </c>
      <c r="AF79" s="27" t="n">
        <v>0</v>
      </c>
      <c r="AG79" s="27" t="n">
        <v>0</v>
      </c>
      <c r="AH79" s="27" t="n">
        <v>0</v>
      </c>
      <c r="AI79" s="27">
        <f>(IF(M79=0,0,(Upgrades!$G$21+M79*Upgrades!$H$21)*POWER(Upgrades!$I$21,M79)))*(IF(Upgrades!$T$13="Moving Group",POWER(Upgrades!$U$13,E79),1)*IF(Upgrades!$T$14="Moving Group",POWER(Upgrades!$U$14,F79),1)*IF(Upgrades!$T$15="Moving Group",POWER(Upgrades!$U$15,G79),1)*IF(Upgrades!$T$16="Moving Group",POWER(Upgrades!$U$16,H79),1)*IF(Upgrades!$T$17="Moving Group",POWER(Upgrades!$U$17,I79),1)*IF(Upgrades!$T$18="Moving Group",POWER(Upgrades!$U$18,J79),1)*IF(Upgrades!$T$19="Moving Group",POWER(Upgrades!$U$19,K79),1)*IF(Upgrades!$T$20="Moving Group",POWER(Upgrades!$U$20,L79),1))*POWER(Upgrades!$P$13,E79)*POWER(Upgrades!$P$14,F79)*POWER(Upgrades!$P$15,G79)*POWER(Upgrades!$P$16,H79)*POWER(Upgrades!$P$17,I79)*POWER(Upgrades!$P$18,J79)*POWER(Upgrades!$P$19,K79)*POWER(Upgrades!$P$20,L79)*POWER(Upgrades!$P$21,M79)*$F$6*60</f>
        <v/>
      </c>
      <c r="AJ79" s="27">
        <f>$C$6*60</f>
        <v/>
      </c>
      <c r="AK79" s="22">
        <f>IF(E79&gt;=Upgrades!$E$13,"",Upgrades!$C$13*POWER(Upgrades!$D$13,E79))</f>
        <v/>
      </c>
      <c r="AL79" s="22">
        <f>IF(F79&gt;=Upgrades!$E$14,"",Upgrades!$C$14*POWER(Upgrades!$D$14,F79))</f>
        <v/>
      </c>
      <c r="AM79" s="22">
        <f>IF(G79&gt;=Upgrades!$E$15,"",Upgrades!$C$15*POWER(Upgrades!$D$15,G79))</f>
        <v/>
      </c>
      <c r="AN79" s="22">
        <f>IF(H79&gt;=Upgrades!$E$16,"",Upgrades!$C$16*POWER(Upgrades!$D$16,H79))</f>
        <v/>
      </c>
      <c r="AO79" s="22">
        <f>IF(I79&gt;=Upgrades!$E$17,"",Upgrades!$C$17*POWER(Upgrades!$D$17,I79))</f>
        <v/>
      </c>
      <c r="AP79" s="22">
        <f>IF(J79&gt;=Upgrades!$E$18,"",Upgrades!$C$18*POWER(Upgrades!$D$18,J79))</f>
        <v/>
      </c>
      <c r="AQ79" s="22">
        <f>IF(K79&gt;=Upgrades!$E$19,"",Upgrades!$C$19*POWER(Upgrades!$D$19,K79))</f>
        <v/>
      </c>
      <c r="AR79" s="22">
        <f>IF(L79&gt;=Upgrades!$E$20,"",Upgrades!$C$20*POWER(Upgrades!$D$20,L79))</f>
        <v/>
      </c>
      <c r="AS79" s="22">
        <f>IF(M79&gt;=Upgrades!$E$21,"",Upgrades!$C$21*POWER(Upgrades!$D$21,M79))</f>
        <v/>
      </c>
      <c r="AT79" s="26">
        <f>IF(AND(D79&gt;=Parameters!$B$18*Parameters!$B$19,(I79&gt;=Upgrades!$E$17)*(M79&gt;=Upgrades!$E$21)=1,N79=0),1,"")</f>
        <v/>
      </c>
      <c r="AU79" s="26">
        <f>IF(AND(D79&gt;=Parameters!$B$18*Parameters!$B$19,N79=0),1,"")</f>
        <v/>
      </c>
      <c r="AV79" s="22">
        <f>MIN(IF(ISNUMBER(AP79),AP79,9E15),IF(ISNUMBER(AQ79),AQ79,9E15),IF(ISNUMBER(AR79),AR79,9E15),IF(ISNUMBER(AS79),AS79,9E15))</f>
        <v/>
      </c>
      <c r="AW79" s="22">
        <f>MIN(IF(ISNUMBER(AK79),AK79,9E15),IF(ISNUMBER(AL79),AL79,9E15),IF(ISNUMBER(AM79),AM79,9E15),IF(ISNUMBER(AN79),AN79,9E15),IF(ISNUMBER(AO79),AO79,9E15))</f>
        <v/>
      </c>
      <c r="AX79" s="29">
        <f>IF(BD79&gt;Parameters!$B$21*(MAX(IF(AND(NOT(AND(AU79=1,AT79&lt;&gt;1)),ISNUMBER(AK79),AK79&lt;=(C79+T79)),AY79,0),IF(AND(NOT(AND(AU79=1,AT79&lt;&gt;1)),ISNUMBER(AL79),AL79&lt;=(C79+T79)),AZ79,0),IF(AND(NOT(AND(AU79=1,AT79&lt;&gt;1)),ISNUMBER(AM79),AM79&lt;=(C79+T79)),BA79,0),IF(AND(NOT(AND(AU79=1,AT79&lt;&gt;1)),ISNUMBER(AN79),AN79&lt;=(C79+T79)),BB79,0),IF(AND(ISNUMBER(AO79),AO79&lt;=(C79+T79)),BC79,0))),TRUE,FALSE)</f>
        <v/>
      </c>
      <c r="AY79" s="32">
        <f>IFERROR(Upgrades!$H$13*(POWER(Upgrades!$P$13,E79)*POWER(Upgrades!$P$14,F79)*POWER(Upgrades!$P$15,G79)*POWER(Upgrades!$P$16,H79)*POWER(Upgrades!$P$17,I79)*POWER(Upgrades!$P$18,J79)*POWER(Upgrades!$P$19,K79)*POWER(Upgrades!$P$20,L79)*POWER(Upgrades!$P$21,M79))*(IF(Upgrades!$T$14="Stellar Kinematics",POWER(Upgrades!$U$14,F79),1)*IF(Upgrades!$T$15="Stellar Kinematics",POWER(Upgrades!$U$15,G79),1)*IF(Upgrades!$T$16="Stellar Kinematics",POWER(Upgrades!$U$16,H79),1)*IF(Upgrades!$T$17="Stellar Kinematics",POWER(Upgrades!$U$17,I79),1)*IF(Upgrades!$T$18="Stellar Kinematics",POWER(Upgrades!$U$18,J79),1)*IF(Upgrades!$T$19="Stellar Kinematics",POWER(Upgrades!$U$19,K79),1)*IF(Upgrades!$T$20="Stellar Kinematics",POWER(Upgrades!$U$20,L79),1)*IF(Upgrades!$T$21="Stellar Kinematics",POWER(Upgrades!$U$21,M79),1))*$F$6/AK79,0)</f>
        <v/>
      </c>
      <c r="AZ79" s="32">
        <f>IFERROR(Upgrades!$H$14*(POWER(Upgrades!$P$13,E79)*POWER(Upgrades!$P$14,F79)*POWER(Upgrades!$P$15,G79)*POWER(Upgrades!$P$16,H79)*POWER(Upgrades!$P$17,I79)*POWER(Upgrades!$P$18,J79)*POWER(Upgrades!$P$19,K79)*POWER(Upgrades!$P$20,L79)*POWER(Upgrades!$P$21,M79))*(IF(Upgrades!$T$13="Local Bubble",POWER(Upgrades!$U$13,E79),1)*IF(Upgrades!$T$15="Local Bubble",POWER(Upgrades!$U$15,G79),1)*IF(Upgrades!$T$16="Local Bubble",POWER(Upgrades!$U$16,H79),1)*IF(Upgrades!$T$17="Local Bubble",POWER(Upgrades!$U$17,I79),1)*IF(Upgrades!$T$18="Local Bubble",POWER(Upgrades!$U$18,J79),1)*IF(Upgrades!$T$19="Local Bubble",POWER(Upgrades!$U$19,K79),1)*IF(Upgrades!$T$20="Local Bubble",POWER(Upgrades!$U$20,L79),1)*IF(Upgrades!$T$21="Local Bubble",POWER(Upgrades!$U$21,M79),1))*$F$6/AL79,0)</f>
        <v/>
      </c>
      <c r="BA79" s="32">
        <f>IFERROR(Upgrades!$K$15*(POWER(Upgrades!$Q$13,E79)*POWER(Upgrades!$Q$14,F79)*POWER(Upgrades!$Q$15,G79)*POWER(Upgrades!$Q$16,H79)*POWER(Upgrades!$Q$17,I79)*POWER(Upgrades!$Q$18,J79)*POWER(Upgrades!$Q$19,K79)*POWER(Upgrades!$Q$20,L79)*POWER(Upgrades!$Q$21,M79))*(IF(Upgrades!$T$13="Microlensing",POWER(Upgrades!$U$13,E79),1)*IF(Upgrades!$T$14="Microlensing",POWER(Upgrades!$U$14,F79),1)*IF(Upgrades!$T$16="Microlensing",POWER(Upgrades!$U$16,H79),1)*IF(Upgrades!$T$17="Microlensing",POWER(Upgrades!$U$17,I79),1)*IF(Upgrades!$T$18="Microlensing",POWER(Upgrades!$U$18,J79),1)*IF(Upgrades!$T$19="Microlensing",POWER(Upgrades!$U$19,K79),1)*IF(Upgrades!$T$20="Microlensing",POWER(Upgrades!$U$20,L79),1)*IF(Upgrades!$T$21="Microlensing",POWER(Upgrades!$U$21,M79),1))*$G$6*(Parameters!$B$10/60*Parameters!$B$11+Q79)/AM79,0)</f>
        <v/>
      </c>
      <c r="BB79" s="32">
        <f>IFERROR((Upgrades!$N$16*(POWER(Upgrades!$R$13,E79)*POWER(Upgrades!$R$14,F79)*POWER(Upgrades!$R$15,G79)*POWER(Upgrades!$R$16,H79)*POWER(Upgrades!$R$17,I79)*POWER(Upgrades!$R$18,J79)*POWER(Upgrades!$R$19,K79)*POWER(Upgrades!$R$20,L79)*POWER(Upgrades!$R$21,M79))*(IF(Upgrades!$T$13="Roche Lobe Overflow",POWER(Upgrades!$U$13,E79),1)*IF(Upgrades!$T$14="Roche Lobe Overflow",POWER(Upgrades!$U$14,F79),1)*IF(Upgrades!$T$15="Roche Lobe Overflow",POWER(Upgrades!$U$15,G79),1)*IF(Upgrades!$T$17="Roche Lobe Overflow",POWER(Upgrades!$U$17,I79),1)*IF(Upgrades!$T$18="Roche Lobe Overflow",POWER(Upgrades!$U$18,J79),1)*IF(Upgrades!$T$19="Roche Lobe Overflow",POWER(Upgrades!$U$19,K79),1)*IF(Upgrades!$T$20="Roche Lobe Overflow",POWER(Upgrades!$U$20,L79),1)*IF(Upgrades!$T$21="Roche Lobe Overflow",POWER(Upgrades!$U$21,M79),1))*$H$6*O79+((IF(F79=0,0,(Upgrades!$G$14+F79*Upgrades!$H$14)*POWER(Upgrades!$I$14,F79)))*(IF(Upgrades!$T$13="Local Bubble",POWER(Upgrades!$U$13,E79),1)*IF(Upgrades!$T$15="Local Bubble",POWER(Upgrades!$U$15,G79),1)*IF(Upgrades!$T$16="Local Bubble",POWER(Upgrades!$U$16,H79),1)*IF(Upgrades!$T$17="Local Bubble",POWER(Upgrades!$U$17,I79),1)*IF(Upgrades!$T$18="Local Bubble",POWER(Upgrades!$U$18,J79),1)*IF(Upgrades!$T$19="Local Bubble",POWER(Upgrades!$U$19,K79),1)*IF(Upgrades!$T$20="Local Bubble",POWER(Upgrades!$U$20,L79),1)*IF(Upgrades!$T$21="Local Bubble",POWER(Upgrades!$U$21,M79),1))*POWER(Upgrades!$P$13,E79)*POWER(Upgrades!$P$14,F79)*POWER(Upgrades!$P$15,G79)*POWER(Upgrades!$P$16,H79)*POWER(Upgrades!$P$17,I79)*POWER(Upgrades!$P$18,J79)*POWER(Upgrades!$P$19,K79)*POWER(Upgrades!$P$20,L79)*POWER(Upgrades!$P$21,M79)*$F$6)*0.05)/AN79,0)</f>
        <v/>
      </c>
      <c r="BC79" s="32">
        <f>IFERROR((Upgrades!$H$17*(POWER(Upgrades!$P$13,E79)*POWER(Upgrades!$P$14,F79)*POWER(Upgrades!$P$15,G79)*POWER(Upgrades!$P$16,H79)*POWER(Upgrades!$P$17,I79)*POWER(Upgrades!$P$18,J79)*POWER(Upgrades!$P$19,K79)*POWER(Upgrades!$P$20,L79)*POWER(Upgrades!$P$21,M79))*(IF(Upgrades!$T$13="Brown Dwarf",POWER(Upgrades!$U$13,E79),1)*IF(Upgrades!$T$14="Brown Dwarf",POWER(Upgrades!$U$14,F79),1)*IF(Upgrades!$T$15="Brown Dwarf",POWER(Upgrades!$U$15,G79),1)*IF(Upgrades!$T$16="Brown Dwarf",POWER(Upgrades!$U$16,H79),1)*IF(Upgrades!$T$18="Brown Dwarf",POWER(Upgrades!$U$18,J79),1)*IF(Upgrades!$T$19="Brown Dwarf",POWER(Upgrades!$U$19,K79),1)*IF(Upgrades!$T$20="Brown Dwarf",POWER(Upgrades!$U$20,L79),1)*IF(Upgrades!$T$21="Brown Dwarf",POWER(Upgrades!$U$21,M79),1))*$F$6+(((IF(H79=0,0,(Upgrades!$M$16+H79*Upgrades!$N$16)*POWER(Upgrades!$O$16,H79)))*(IF(Upgrades!$T$13="Roche Lobe Overflow",POWER(Upgrades!$U$13,E79),1)*IF(Upgrades!$T$14="Roche Lobe Overflow",POWER(Upgrades!$U$14,F79),1)*IF(Upgrades!$T$15="Roche Lobe Overflow",POWER(Upgrades!$U$15,G79),1)*IF(Upgrades!$T$17="Roche Lobe Overflow",POWER(Upgrades!$U$17,I79),1)*IF(Upgrades!$T$18="Roche Lobe Overflow",POWER(Upgrades!$U$18,J79),1)*IF(Upgrades!$T$19="Roche Lobe Overflow",POWER(Upgrades!$U$19,K79),1)*IF(Upgrades!$T$20="Roche Lobe Overflow",POWER(Upgrades!$U$20,L79),1)*IF(Upgrades!$T$21="Roche Lobe Overflow",POWER(Upgrades!$U$21,M79),1))*POWER(Upgrades!$R$13,E79)*POWER(Upgrades!$R$14,F79)*POWER(Upgrades!$R$15,G79)*POWER(Upgrades!$R$16,H79)*POWER(Upgrades!$R$17,I79)*POWER(Upgrades!$R$18,J79)*POWER(Upgrades!$R$19,K79)*POWER(Upgrades!$R$20,L79)*POWER(Upgrades!$R$21,M79)*$H$6)*O79)*0.10)/AO79,0)</f>
        <v/>
      </c>
      <c r="BD79" s="32">
        <f>MAX(IF(J79&gt;0,0,IFERROR(0.5*((IF(G79=0,0,(Upgrades!$J$15+G79*Upgrades!$K$15)*POWER(Upgrades!$L$15,G79)))*(IF(Upgrades!$T$13="Microlensing",POWER(Upgrades!$U$13,E79),1)*IF(Upgrades!$T$14="Microlensing",POWER(Upgrades!$U$14,F79),1)*IF(Upgrades!$T$16="Microlensing",POWER(Upgrades!$U$16,H79),1)*IF(Upgrades!$T$17="Microlensing",POWER(Upgrades!$U$17,I79),1)*IF(Upgrades!$T$18="Microlensing",POWER(Upgrades!$U$18,J79),1)*IF(Upgrades!$T$19="Microlensing",POWER(Upgrades!$U$19,K79),1)*IF(Upgrades!$T$20="Microlensing",POWER(Upgrades!$U$20,L79),1)*IF(Upgrades!$T$21="Microlensing",POWER(Upgrades!$U$21,M79),1))*(POWER(Upgrades!$Q$13,E79)*POWER(Upgrades!$Q$14,F79)*POWER(Upgrades!$Q$15,G79)*POWER(Upgrades!$Q$16,H79)*POWER(Upgrades!$Q$17,I79)*POWER(Upgrades!$Q$18,J79)*POWER(Upgrades!$Q$19,K79)*POWER(Upgrades!$Q$20,L79)*POWER(Upgrades!$Q$21,M79))*$G$6*(Parameters!$B$10/60*Parameters!$B$11+Q79))/Upgrades!$C$18,0)),IF(K79&gt;0,0,IFERROR(0.30*P79/Upgrades!$C$19,0)),IF(L79&gt;0,0,IFERROR(0.0001/Upgrades!$C$20,0)),IF(M79&gt;0,0,IFERROR((6.0*(POWER(Upgrades!$P$13,E79)*POWER(Upgrades!$P$14,F79)*POWER(Upgrades!$P$15,G79)*POWER(Upgrades!$P$16,H79)*POWER(Upgrades!$P$17,I79)*POWER(Upgrades!$P$18,J79)*POWER(Upgrades!$P$19,K79)*POWER(Upgrades!$P$20,L79)*POWER(Upgrades!$P$21,M79))*$F$6+0.20*O79*(Parameters!$B$10/60*Parameters!$B$11+Q79))/Upgrades!$C$21,0)),IF(AND(ISNUMBER(AK79),AK79&gt;(C79+T79)),AY79,0),IF(AND(ISNUMBER(AL79),AL79&gt;(C79+T79)),AZ79,0),IF(AND(ISNUMBER(AM79),AM79&gt;(C79+T79)),BA79,0),IF(AND(ISNUMBER(AN79),AN79&gt;(C79+T79)),BB79,0),IF(AND(ISNUMBER(AO79),AO79&gt;(C79+T79)),BC79,0))</f>
        <v/>
      </c>
      <c r="BE79" s="29">
        <f>IF(AT79=1,"transition",IF(MIN(IF(AND(J79=0,ISNUMBER(AP79),AP79&lt;=(C79+T79)),AP79,9E15),IF(AND(K79=0,ISNUMBER(AQ79),AQ79&lt;=(C79+T79)),AQ79,9E15),IF(AND(L79=0,ISNUMBER(AR79),AR79&lt;=(C79+T79)),AR79,9E15),IF(AND(M79=0,ISNUMBER(AS79),AS79&lt;=(C79+T79)),AS79,9E15))&lt;9E15,IF(AND(AND(J79=0,ISNUMBER(AP79),AP79&lt;=(C79+T79)),AP79=MIN(IF(AND(J79=0,ISNUMBER(AP79),AP79&lt;=(C79+T79)),AP79,9E15),IF(AND(K79=0,ISNUMBER(AQ79),AQ79&lt;=(C79+T79)),AQ79,9E15),IF(AND(L79=0,ISNUMBER(AR79),AR79&lt;=(C79+T79)),AR79,9E15),IF(AND(M79=0,ISNUMBER(AS79),AS79&lt;=(C79+T79)),AS79,9E15))),"BiP",IF(AND(AND(K79=0,ISNUMBER(AQ79),AQ79&lt;=(C79+T79)),AQ79=MIN(IF(AND(J79=0,ISNUMBER(AP79),AP79&lt;=(C79+T79)),AP79,9E15),IF(AND(K79=0,ISNUMBER(AQ79),AQ79&lt;=(C79+T79)),AQ79,9E15),IF(AND(L79=0,ISNUMBER(AR79),AR79&lt;=(C79+T79)),AR79,9E15),IF(AND(M79=0,ISNUMBER(AS79),AS79&lt;=(C79+T79)),AS79,9E15))),"PV",IF(AND(AND(L79=0,ISNUMBER(AR79),AR79&lt;=(C79+T79)),AR79=MIN(IF(AND(J79=0,ISNUMBER(AP79),AP79&lt;=(C79+T79)),AP79,9E15),IF(AND(K79=0,ISNUMBER(AQ79),AQ79&lt;=(C79+T79)),AQ79,9E15),IF(AND(L79=0,ISNUMBER(AR79),AR79&lt;=(C79+T79)),AR79,9E15),IF(AND(M79=0,ISNUMBER(AS79),AS79&lt;=(C79+T79)),AS79,9E15))),"OC","MG"))),IF(AX79=TRUE,"",IF(MAX(IF(AND(NOT(AND(AU79=1,AT79&lt;&gt;1)),ISNUMBER(AK79),AK79&lt;=(C79+T79)),AY79,0),IF(AND(NOT(AND(AU79=1,AT79&lt;&gt;1)),ISNUMBER(AL79),AL79&lt;=(C79+T79)),AZ79,0),IF(AND(NOT(AND(AU79=1,AT79&lt;&gt;1)),ISNUMBER(AM79),AM79&lt;=(C79+T79)),BA79,0),IF(AND(NOT(AND(AU79=1,AT79&lt;&gt;1)),ISNUMBER(AN79),AN79&lt;=(C79+T79)),BB79,0),IF(AND(ISNUMBER(AO79),AO79&lt;=(C79+T79)),BC79,0))&lt;=0,"",IF(AND(IF(AND(NOT(AND(AU79=1,AT79&lt;&gt;1)),ISNUMBER(AK79),AK79&lt;=(C79+T79)),AY79,0)&gt;0,IF(AND(NOT(AND(AU79=1,AT79&lt;&gt;1)),ISNUMBER(AK79),AK79&lt;=(C79+T79)),AY79,0)=MAX(IF(AND(NOT(AND(AU79=1,AT79&lt;&gt;1)),ISNUMBER(AK79),AK79&lt;=(C79+T79)),AY79,0),IF(AND(NOT(AND(AU79=1,AT79&lt;&gt;1)),ISNUMBER(AL79),AL79&lt;=(C79+T79)),AZ79,0),IF(AND(NOT(AND(AU79=1,AT79&lt;&gt;1)),ISNUMBER(AM79),AM79&lt;=(C79+T79)),BA79,0),IF(AND(NOT(AND(AU79=1,AT79&lt;&gt;1)),ISNUMBER(AN79),AN79&lt;=(C79+T79)),BB79,0),IF(AND(ISNUMBER(AO79),AO79&lt;=(C79+T79)),BC79,0))),"SK",IF(AND(IF(AND(NOT(AND(AU79=1,AT79&lt;&gt;1)),ISNUMBER(AL79),AL79&lt;=(C79+T79)),AZ79,0)&gt;0,IF(AND(NOT(AND(AU79=1,AT79&lt;&gt;1)),ISNUMBER(AL79),AL79&lt;=(C79+T79)),AZ79,0)=MAX(IF(AND(NOT(AND(AU79=1,AT79&lt;&gt;1)),ISNUMBER(AK79),AK79&lt;=(C79+T79)),AY79,0),IF(AND(NOT(AND(AU79=1,AT79&lt;&gt;1)),ISNUMBER(AL79),AL79&lt;=(C79+T79)),AZ79,0),IF(AND(NOT(AND(AU79=1,AT79&lt;&gt;1)),ISNUMBER(AM79),AM79&lt;=(C79+T79)),BA79,0),IF(AND(NOT(AND(AU79=1,AT79&lt;&gt;1)),ISNUMBER(AN79),AN79&lt;=(C79+T79)),BB79,0),IF(AND(ISNUMBER(AO79),AO79&lt;=(C79+T79)),BC79,0))),"LB",IF(AND(IF(AND(NOT(AND(AU79=1,AT79&lt;&gt;1)),ISNUMBER(AM79),AM79&lt;=(C79+T79)),BA79,0)&gt;0,IF(AND(NOT(AND(AU79=1,AT79&lt;&gt;1)),ISNUMBER(AM79),AM79&lt;=(C79+T79)),BA79,0)=MAX(IF(AND(NOT(AND(AU79=1,AT79&lt;&gt;1)),ISNUMBER(AK79),AK79&lt;=(C79+T79)),AY79,0),IF(AND(NOT(AND(AU79=1,AT79&lt;&gt;1)),ISNUMBER(AL79),AL79&lt;=(C79+T79)),AZ79,0),IF(AND(NOT(AND(AU79=1,AT79&lt;&gt;1)),ISNUMBER(AM79),AM79&lt;=(C79+T79)),BA79,0),IF(AND(NOT(AND(AU79=1,AT79&lt;&gt;1)),ISNUMBER(AN79),AN79&lt;=(C79+T79)),BB79,0),IF(AND(ISNUMBER(AO79),AO79&lt;=(C79+T79)),BC79,0))),"ML",IF(AND(IF(AND(NOT(AND(AU79=1,AT79&lt;&gt;1)),ISNUMBER(AN79),AN79&lt;=(C79+T79)),BB79,0)&gt;0,IF(AND(NOT(AND(AU79=1,AT79&lt;&gt;1)),ISNUMBER(AN79),AN79&lt;=(C79+T79)),BB79,0)=MAX(IF(AND(NOT(AND(AU79=1,AT79&lt;&gt;1)),ISNUMBER(AK79),AK79&lt;=(C79+T79)),AY79,0),IF(AND(NOT(AND(AU79=1,AT79&lt;&gt;1)),ISNUMBER(AL79),AL79&lt;=(C79+T79)),AZ79,0),IF(AND(NOT(AND(AU79=1,AT79&lt;&gt;1)),ISNUMBER(AM79),AM79&lt;=(C79+T79)),BA79,0),IF(AND(NOT(AND(AU79=1,AT79&lt;&gt;1)),ISNUMBER(AN79),AN79&lt;=(C79+T79)),BB79,0),IF(AND(ISNUMBER(AO79),AO79&lt;=(C79+T79)),BC79,0))),"RLO","BD"))))))))</f>
        <v/>
      </c>
    </row>
    <row r="80">
      <c r="A80" s="26" t="n">
        <v>69</v>
      </c>
      <c r="B80" s="27">
        <f>A80*10/60</f>
        <v/>
      </c>
      <c r="C80" s="22">
        <f>X79</f>
        <v/>
      </c>
      <c r="D80" s="27">
        <f>D79+W79</f>
        <v/>
      </c>
      <c r="E80" s="26">
        <f>E79+IF(U79="SK",1,0)</f>
        <v/>
      </c>
      <c r="F80" s="26">
        <f>F79+IF(U79="LB",1,0)</f>
        <v/>
      </c>
      <c r="G80" s="26">
        <f>G79+IF(U79="ML",1,0)</f>
        <v/>
      </c>
      <c r="H80" s="26">
        <f>H79+IF(U79="RLO",1,0)</f>
        <v/>
      </c>
      <c r="I80" s="26">
        <f>I79+IF(U79="BD",1,0)</f>
        <v/>
      </c>
      <c r="J80" s="26">
        <f>MAX(J79,IF(U79="BiP",1,0))</f>
        <v/>
      </c>
      <c r="K80" s="26">
        <f>MAX(K79,IF(U79="PV",1,0))</f>
        <v/>
      </c>
      <c r="L80" s="26">
        <f>MAX(L79,IF(U79="OC",1,0))</f>
        <v/>
      </c>
      <c r="M80" s="26">
        <f>MAX(M79,IF(U79="MG",1,0))</f>
        <v/>
      </c>
      <c r="N80" s="26">
        <f>MAX(N79,IF(U79="transition",1,0))</f>
        <v/>
      </c>
      <c r="O80" s="28">
        <f>(Parameters!$B$9+(IF(E80=0,0,(Upgrades!$J$13+E80*Upgrades!$K$13)*POWER(Upgrades!$L$13,E80)))*(IF(Upgrades!$T$14="Stellar Kinematics",POWER(Upgrades!$U$14,F80),1)*IF(Upgrades!$T$15="Stellar Kinematics",POWER(Upgrades!$U$15,G80),1)*IF(Upgrades!$T$16="Stellar Kinematics",POWER(Upgrades!$U$16,H80),1)*IF(Upgrades!$T$17="Stellar Kinematics",POWER(Upgrades!$U$17,I80),1)*IF(Upgrades!$T$18="Stellar Kinematics",POWER(Upgrades!$U$18,J80),1)*IF(Upgrades!$T$19="Stellar Kinematics",POWER(Upgrades!$U$19,K80),1)*IF(Upgrades!$T$20="Stellar Kinematics",POWER(Upgrades!$U$20,L80),1)*IF(Upgrades!$T$21="Stellar Kinematics",POWER(Upgrades!$U$21,M80),1))+(IF(F80=0,0,(Upgrades!$J$14+F80*Upgrades!$K$14)*POWER(Upgrades!$L$14,F80)))*(IF(Upgrades!$T$13="Local Bubble",POWER(Upgrades!$U$13,E80),1)*IF(Upgrades!$T$15="Local Bubble",POWER(Upgrades!$U$15,G80),1)*IF(Upgrades!$T$16="Local Bubble",POWER(Upgrades!$U$16,H80),1)*IF(Upgrades!$T$17="Local Bubble",POWER(Upgrades!$U$17,I80),1)*IF(Upgrades!$T$18="Local Bubble",POWER(Upgrades!$U$18,J80),1)*IF(Upgrades!$T$19="Local Bubble",POWER(Upgrades!$U$19,K80),1)*IF(Upgrades!$T$20="Local Bubble",POWER(Upgrades!$U$20,L80),1)*IF(Upgrades!$T$21="Local Bubble",POWER(Upgrades!$U$21,M80),1))+(IF(G80=0,0,(Upgrades!$J$15+G80*Upgrades!$K$15)*POWER(Upgrades!$L$15,G80)))*(IF(Upgrades!$T$13="Microlensing",POWER(Upgrades!$U$13,E80),1)*IF(Upgrades!$T$14="Microlensing",POWER(Upgrades!$U$14,F80),1)*IF(Upgrades!$T$16="Microlensing",POWER(Upgrades!$U$16,H80),1)*IF(Upgrades!$T$17="Microlensing",POWER(Upgrades!$U$17,I80),1)*IF(Upgrades!$T$18="Microlensing",POWER(Upgrades!$U$18,J80),1)*IF(Upgrades!$T$19="Microlensing",POWER(Upgrades!$U$19,K80),1)*IF(Upgrades!$T$20="Microlensing",POWER(Upgrades!$U$20,L80),1)*IF(Upgrades!$T$21="Microlensing",POWER(Upgrades!$U$21,M80),1))+(IF(H80=0,0,(Upgrades!$J$16+H80*Upgrades!$K$16)*POWER(Upgrades!$L$16,H80)))*(IF(Upgrades!$T$13="Roche Lobe Overflow",POWER(Upgrades!$U$13,E80),1)*IF(Upgrades!$T$14="Roche Lobe Overflow",POWER(Upgrades!$U$14,F80),1)*IF(Upgrades!$T$15="Roche Lobe Overflow",POWER(Upgrades!$U$15,G80),1)*IF(Upgrades!$T$17="Roche Lobe Overflow",POWER(Upgrades!$U$17,I80),1)*IF(Upgrades!$T$18="Roche Lobe Overflow",POWER(Upgrades!$U$18,J80),1)*IF(Upgrades!$T$19="Roche Lobe Overflow",POWER(Upgrades!$U$19,K80),1)*IF(Upgrades!$T$20="Roche Lobe Overflow",POWER(Upgrades!$U$20,L80),1)*IF(Upgrades!$T$21="Roche Lobe Overflow",POWER(Upgrades!$U$21,M80),1))+(IF(I80=0,0,(Upgrades!$J$17+I80*Upgrades!$K$17)*POWER(Upgrades!$L$17,I80)))*(IF(Upgrades!$T$13="Brown Dwarf",POWER(Upgrades!$U$13,E80),1)*IF(Upgrades!$T$14="Brown Dwarf",POWER(Upgrades!$U$14,F80),1)*IF(Upgrades!$T$15="Brown Dwarf",POWER(Upgrades!$U$15,G80),1)*IF(Upgrades!$T$16="Brown Dwarf",POWER(Upgrades!$U$16,H80),1)*IF(Upgrades!$T$18="Brown Dwarf",POWER(Upgrades!$U$18,J80),1)*IF(Upgrades!$T$19="Brown Dwarf",POWER(Upgrades!$U$19,K80),1)*IF(Upgrades!$T$20="Brown Dwarf",POWER(Upgrades!$U$20,L80),1)*IF(Upgrades!$T$21="Brown Dwarf",POWER(Upgrades!$U$21,M80),1))+(IF(J80=0,0,(Upgrades!$J$18+J80*Upgrades!$K$18)*POWER(Upgrades!$L$18,J80)))*(IF(Upgrades!$T$13="Binary Partner",POWER(Upgrades!$U$13,E80),1)*IF(Upgrades!$T$14="Binary Partner",POWER(Upgrades!$U$14,F80),1)*IF(Upgrades!$T$15="Binary Partner",POWER(Upgrades!$U$15,G80),1)*IF(Upgrades!$T$16="Binary Partner",POWER(Upgrades!$U$16,H80),1)*IF(Upgrades!$T$17="Binary Partner",POWER(Upgrades!$U$17,I80),1)*IF(Upgrades!$T$19="Binary Partner",POWER(Upgrades!$U$19,K80),1)*IF(Upgrades!$T$20="Binary Partner",POWER(Upgrades!$U$20,L80),1)*IF(Upgrades!$T$21="Binary Partner",POWER(Upgrades!$U$21,M80),1))+(IF(K80=0,0,(Upgrades!$J$19+K80*Upgrades!$K$19)*POWER(Upgrades!$L$19,K80)))*(IF(Upgrades!$T$13="Peculiar Velocity",POWER(Upgrades!$U$13,E80),1)*IF(Upgrades!$T$14="Peculiar Velocity",POWER(Upgrades!$U$14,F80),1)*IF(Upgrades!$T$15="Peculiar Velocity",POWER(Upgrades!$U$15,G80),1)*IF(Upgrades!$T$16="Peculiar Velocity",POWER(Upgrades!$U$16,H80),1)*IF(Upgrades!$T$17="Peculiar Velocity",POWER(Upgrades!$U$17,I80),1)*IF(Upgrades!$T$18="Peculiar Velocity",POWER(Upgrades!$U$18,J80),1)*IF(Upgrades!$T$20="Peculiar Velocity",POWER(Upgrades!$U$20,L80),1)*IF(Upgrades!$T$21="Peculiar Velocity",POWER(Upgrades!$U$21,M80),1))+(IF(L80=0,0,(Upgrades!$J$20+L80*Upgrades!$K$20)*POWER(Upgrades!$L$20,L80)))*(IF(Upgrades!$T$13="Open Cluster",POWER(Upgrades!$U$13,E80),1)*IF(Upgrades!$T$14="Open Cluster",POWER(Upgrades!$U$14,F80),1)*IF(Upgrades!$T$15="Open Cluster",POWER(Upgrades!$U$15,G80),1)*IF(Upgrades!$T$16="Open Cluster",POWER(Upgrades!$U$16,H80),1)*IF(Upgrades!$T$17="Open Cluster",POWER(Upgrades!$U$17,I80),1)*IF(Upgrades!$T$18="Open Cluster",POWER(Upgrades!$U$18,J80),1)*IF(Upgrades!$T$19="Open Cluster",POWER(Upgrades!$U$19,K80),1)*IF(Upgrades!$T$21="Open Cluster",POWER(Upgrades!$U$21,M80),1))+(IF(M80=0,0,(Upgrades!$J$21+M80*Upgrades!$K$21)*POWER(Upgrades!$L$21,M80)))*(IF(Upgrades!$T$13="Moving Group",POWER(Upgrades!$U$13,E80),1)*IF(Upgrades!$T$14="Moving Group",POWER(Upgrades!$U$14,F80),1)*IF(Upgrades!$T$15="Moving Group",POWER(Upgrades!$U$15,G80),1)*IF(Upgrades!$T$16="Moving Group",POWER(Upgrades!$U$16,H80),1)*IF(Upgrades!$T$17="Moving Group",POWER(Upgrades!$U$17,I80),1)*IF(Upgrades!$T$18="Moving Group",POWER(Upgrades!$U$18,J80),1)*IF(Upgrades!$T$19="Moving Group",POWER(Upgrades!$U$19,K80),1)*IF(Upgrades!$T$20="Moving Group",POWER(Upgrades!$U$20,L80),1)))*POWER(Upgrades!$Q$13,E80)*POWER(Upgrades!$Q$14,F80)*POWER(Upgrades!$Q$15,G80)*POWER(Upgrades!$Q$16,H80)*POWER(Upgrades!$Q$17,I80)*POWER(Upgrades!$Q$18,J80)*POWER(Upgrades!$Q$19,K80)*POWER(Upgrades!$Q$20,L80)*POWER(Upgrades!$Q$21,M80)*$G$6+$D$6</f>
        <v/>
      </c>
      <c r="P80" s="28">
        <f>((IF(E80=0,0,(Upgrades!$G$13+E80*Upgrades!$H$13)*POWER(Upgrades!$I$13,E80)))*(IF(Upgrades!$T$14="Stellar Kinematics",POWER(Upgrades!$U$14,F80),1)*IF(Upgrades!$T$15="Stellar Kinematics",POWER(Upgrades!$U$15,G80),1)*IF(Upgrades!$T$16="Stellar Kinematics",POWER(Upgrades!$U$16,H80),1)*IF(Upgrades!$T$17="Stellar Kinematics",POWER(Upgrades!$U$17,I80),1)*IF(Upgrades!$T$18="Stellar Kinematics",POWER(Upgrades!$U$18,J80),1)*IF(Upgrades!$T$19="Stellar Kinematics",POWER(Upgrades!$U$19,K80),1)*IF(Upgrades!$T$20="Stellar Kinematics",POWER(Upgrades!$U$20,L80),1)*IF(Upgrades!$T$21="Stellar Kinematics",POWER(Upgrades!$U$21,M80),1))+(IF(F80=0,0,(Upgrades!$G$14+F80*Upgrades!$H$14)*POWER(Upgrades!$I$14,F80)))*(IF(Upgrades!$T$13="Local Bubble",POWER(Upgrades!$U$13,E80),1)*IF(Upgrades!$T$15="Local Bubble",POWER(Upgrades!$U$15,G80),1)*IF(Upgrades!$T$16="Local Bubble",POWER(Upgrades!$U$16,H80),1)*IF(Upgrades!$T$17="Local Bubble",POWER(Upgrades!$U$17,I80),1)*IF(Upgrades!$T$18="Local Bubble",POWER(Upgrades!$U$18,J80),1)*IF(Upgrades!$T$19="Local Bubble",POWER(Upgrades!$U$19,K80),1)*IF(Upgrades!$T$20="Local Bubble",POWER(Upgrades!$U$20,L80),1)*IF(Upgrades!$T$21="Local Bubble",POWER(Upgrades!$U$21,M80),1))+(IF(G80=0,0,(Upgrades!$G$15+G80*Upgrades!$H$15)*POWER(Upgrades!$I$15,G80)))*(IF(Upgrades!$T$13="Microlensing",POWER(Upgrades!$U$13,E80),1)*IF(Upgrades!$T$14="Microlensing",POWER(Upgrades!$U$14,F80),1)*IF(Upgrades!$T$16="Microlensing",POWER(Upgrades!$U$16,H80),1)*IF(Upgrades!$T$17="Microlensing",POWER(Upgrades!$U$17,I80),1)*IF(Upgrades!$T$18="Microlensing",POWER(Upgrades!$U$18,J80),1)*IF(Upgrades!$T$19="Microlensing",POWER(Upgrades!$U$19,K80),1)*IF(Upgrades!$T$20="Microlensing",POWER(Upgrades!$U$20,L80),1)*IF(Upgrades!$T$21="Microlensing",POWER(Upgrades!$U$21,M80),1))+(IF(H80=0,0,(Upgrades!$G$16+H80*Upgrades!$H$16)*POWER(Upgrades!$I$16,H80)))*(IF(Upgrades!$T$13="Roche Lobe Overflow",POWER(Upgrades!$U$13,E80),1)*IF(Upgrades!$T$14="Roche Lobe Overflow",POWER(Upgrades!$U$14,F80),1)*IF(Upgrades!$T$15="Roche Lobe Overflow",POWER(Upgrades!$U$15,G80),1)*IF(Upgrades!$T$17="Roche Lobe Overflow",POWER(Upgrades!$U$17,I80),1)*IF(Upgrades!$T$18="Roche Lobe Overflow",POWER(Upgrades!$U$18,J80),1)*IF(Upgrades!$T$19="Roche Lobe Overflow",POWER(Upgrades!$U$19,K80),1)*IF(Upgrades!$T$20="Roche Lobe Overflow",POWER(Upgrades!$U$20,L80),1)*IF(Upgrades!$T$21="Roche Lobe Overflow",POWER(Upgrades!$U$21,M80),1))+(IF(I80=0,0,(Upgrades!$G$17+I80*Upgrades!$H$17)*POWER(Upgrades!$I$17,I80)))*(IF(Upgrades!$T$13="Brown Dwarf",POWER(Upgrades!$U$13,E80),1)*IF(Upgrades!$T$14="Brown Dwarf",POWER(Upgrades!$U$14,F80),1)*IF(Upgrades!$T$15="Brown Dwarf",POWER(Upgrades!$U$15,G80),1)*IF(Upgrades!$T$16="Brown Dwarf",POWER(Upgrades!$U$16,H80),1)*IF(Upgrades!$T$18="Brown Dwarf",POWER(Upgrades!$U$18,J80),1)*IF(Upgrades!$T$19="Brown Dwarf",POWER(Upgrades!$U$19,K80),1)*IF(Upgrades!$T$20="Brown Dwarf",POWER(Upgrades!$U$20,L80),1)*IF(Upgrades!$T$21="Brown Dwarf",POWER(Upgrades!$U$21,M80),1))+(IF(J80=0,0,(Upgrades!$G$18+J80*Upgrades!$H$18)*POWER(Upgrades!$I$18,J80)))*(IF(Upgrades!$T$13="Binary Partner",POWER(Upgrades!$U$13,E80),1)*IF(Upgrades!$T$14="Binary Partner",POWER(Upgrades!$U$14,F80),1)*IF(Upgrades!$T$15="Binary Partner",POWER(Upgrades!$U$15,G80),1)*IF(Upgrades!$T$16="Binary Partner",POWER(Upgrades!$U$16,H80),1)*IF(Upgrades!$T$17="Binary Partner",POWER(Upgrades!$U$17,I80),1)*IF(Upgrades!$T$19="Binary Partner",POWER(Upgrades!$U$19,K80),1)*IF(Upgrades!$T$20="Binary Partner",POWER(Upgrades!$U$20,L80),1)*IF(Upgrades!$T$21="Binary Partner",POWER(Upgrades!$U$21,M80),1))+(IF(K80=0,0,(Upgrades!$G$19+K80*Upgrades!$H$19)*POWER(Upgrades!$I$19,K80)))*(IF(Upgrades!$T$13="Peculiar Velocity",POWER(Upgrades!$U$13,E80),1)*IF(Upgrades!$T$14="Peculiar Velocity",POWER(Upgrades!$U$14,F80),1)*IF(Upgrades!$T$15="Peculiar Velocity",POWER(Upgrades!$U$15,G80),1)*IF(Upgrades!$T$16="Peculiar Velocity",POWER(Upgrades!$U$16,H80),1)*IF(Upgrades!$T$17="Peculiar Velocity",POWER(Upgrades!$U$17,I80),1)*IF(Upgrades!$T$18="Peculiar Velocity",POWER(Upgrades!$U$18,J80),1)*IF(Upgrades!$T$20="Peculiar Velocity",POWER(Upgrades!$U$20,L80),1)*IF(Upgrades!$T$21="Peculiar Velocity",POWER(Upgrades!$U$21,M80),1))+(IF(L80=0,0,(Upgrades!$G$20+L80*Upgrades!$H$20)*POWER(Upgrades!$I$20,L80)))*(IF(Upgrades!$T$13="Open Cluster",POWER(Upgrades!$U$13,E80),1)*IF(Upgrades!$T$14="Open Cluster",POWER(Upgrades!$U$14,F80),1)*IF(Upgrades!$T$15="Open Cluster",POWER(Upgrades!$U$15,G80),1)*IF(Upgrades!$T$16="Open Cluster",POWER(Upgrades!$U$16,H80),1)*IF(Upgrades!$T$17="Open Cluster",POWER(Upgrades!$U$17,I80),1)*IF(Upgrades!$T$18="Open Cluster",POWER(Upgrades!$U$18,J80),1)*IF(Upgrades!$T$19="Open Cluster",POWER(Upgrades!$U$19,K80),1)*IF(Upgrades!$T$21="Open Cluster",POWER(Upgrades!$U$21,M80),1))+(IF(M80=0,0,(Upgrades!$G$21+M80*Upgrades!$H$21)*POWER(Upgrades!$I$21,M80)))*(IF(Upgrades!$T$13="Moving Group",POWER(Upgrades!$U$13,E80),1)*IF(Upgrades!$T$14="Moving Group",POWER(Upgrades!$U$14,F80),1)*IF(Upgrades!$T$15="Moving Group",POWER(Upgrades!$U$15,G80),1)*IF(Upgrades!$T$16="Moving Group",POWER(Upgrades!$U$16,H80),1)*IF(Upgrades!$T$17="Moving Group",POWER(Upgrades!$U$17,I80),1)*IF(Upgrades!$T$18="Moving Group",POWER(Upgrades!$U$18,J80),1)*IF(Upgrades!$T$19="Moving Group",POWER(Upgrades!$U$19,K80),1)*IF(Upgrades!$T$20="Moving Group",POWER(Upgrades!$U$20,L80),1)))*POWER(Upgrades!$P$13,E80)*POWER(Upgrades!$P$14,F80)*POWER(Upgrades!$P$15,G80)*POWER(Upgrades!$P$16,H80)*POWER(Upgrades!$P$17,I80)*POWER(Upgrades!$P$18,J80)*POWER(Upgrades!$P$19,K80)*POWER(Upgrades!$P$20,L80)*POWER(Upgrades!$P$21,M80)*$F$6+$C$6</f>
        <v/>
      </c>
      <c r="Q80" s="28">
        <f>((IF(E80=0,0,(Upgrades!$M$13+E80*Upgrades!$N$13)*POWER(Upgrades!$O$13,E80)))*(IF(Upgrades!$T$14="Stellar Kinematics",POWER(Upgrades!$U$14,F80),1)*IF(Upgrades!$T$15="Stellar Kinematics",POWER(Upgrades!$U$15,G80),1)*IF(Upgrades!$T$16="Stellar Kinematics",POWER(Upgrades!$U$16,H80),1)*IF(Upgrades!$T$17="Stellar Kinematics",POWER(Upgrades!$U$17,I80),1)*IF(Upgrades!$T$18="Stellar Kinematics",POWER(Upgrades!$U$18,J80),1)*IF(Upgrades!$T$19="Stellar Kinematics",POWER(Upgrades!$U$19,K80),1)*IF(Upgrades!$T$20="Stellar Kinematics",POWER(Upgrades!$U$20,L80),1)*IF(Upgrades!$T$21="Stellar Kinematics",POWER(Upgrades!$U$21,M80),1))+(IF(F80=0,0,(Upgrades!$M$14+F80*Upgrades!$N$14)*POWER(Upgrades!$O$14,F80)))*(IF(Upgrades!$T$13="Local Bubble",POWER(Upgrades!$U$13,E80),1)*IF(Upgrades!$T$15="Local Bubble",POWER(Upgrades!$U$15,G80),1)*IF(Upgrades!$T$16="Local Bubble",POWER(Upgrades!$U$16,H80),1)*IF(Upgrades!$T$17="Local Bubble",POWER(Upgrades!$U$17,I80),1)*IF(Upgrades!$T$18="Local Bubble",POWER(Upgrades!$U$18,J80),1)*IF(Upgrades!$T$19="Local Bubble",POWER(Upgrades!$U$19,K80),1)*IF(Upgrades!$T$20="Local Bubble",POWER(Upgrades!$U$20,L80),1)*IF(Upgrades!$T$21="Local Bubble",POWER(Upgrades!$U$21,M80),1))+(IF(G80=0,0,(Upgrades!$M$15+G80*Upgrades!$N$15)*POWER(Upgrades!$O$15,G80)))*(IF(Upgrades!$T$13="Microlensing",POWER(Upgrades!$U$13,E80),1)*IF(Upgrades!$T$14="Microlensing",POWER(Upgrades!$U$14,F80),1)*IF(Upgrades!$T$16="Microlensing",POWER(Upgrades!$U$16,H80),1)*IF(Upgrades!$T$17="Microlensing",POWER(Upgrades!$U$17,I80),1)*IF(Upgrades!$T$18="Microlensing",POWER(Upgrades!$U$18,J80),1)*IF(Upgrades!$T$19="Microlensing",POWER(Upgrades!$U$19,K80),1)*IF(Upgrades!$T$20="Microlensing",POWER(Upgrades!$U$20,L80),1)*IF(Upgrades!$T$21="Microlensing",POWER(Upgrades!$U$21,M80),1))+(IF(H80=0,0,(Upgrades!$M$16+H80*Upgrades!$N$16)*POWER(Upgrades!$O$16,H80)))*(IF(Upgrades!$T$13="Roche Lobe Overflow",POWER(Upgrades!$U$13,E80),1)*IF(Upgrades!$T$14="Roche Lobe Overflow",POWER(Upgrades!$U$14,F80),1)*IF(Upgrades!$T$15="Roche Lobe Overflow",POWER(Upgrades!$U$15,G80),1)*IF(Upgrades!$T$17="Roche Lobe Overflow",POWER(Upgrades!$U$17,I80),1)*IF(Upgrades!$T$18="Roche Lobe Overflow",POWER(Upgrades!$U$18,J80),1)*IF(Upgrades!$T$19="Roche Lobe Overflow",POWER(Upgrades!$U$19,K80),1)*IF(Upgrades!$T$20="Roche Lobe Overflow",POWER(Upgrades!$U$20,L80),1)*IF(Upgrades!$T$21="Roche Lobe Overflow",POWER(Upgrades!$U$21,M80),1))+(IF(I80=0,0,(Upgrades!$M$17+I80*Upgrades!$N$17)*POWER(Upgrades!$O$17,I80)))*(IF(Upgrades!$T$13="Brown Dwarf",POWER(Upgrades!$U$13,E80),1)*IF(Upgrades!$T$14="Brown Dwarf",POWER(Upgrades!$U$14,F80),1)*IF(Upgrades!$T$15="Brown Dwarf",POWER(Upgrades!$U$15,G80),1)*IF(Upgrades!$T$16="Brown Dwarf",POWER(Upgrades!$U$16,H80),1)*IF(Upgrades!$T$18="Brown Dwarf",POWER(Upgrades!$U$18,J80),1)*IF(Upgrades!$T$19="Brown Dwarf",POWER(Upgrades!$U$19,K80),1)*IF(Upgrades!$T$20="Brown Dwarf",POWER(Upgrades!$U$20,L80),1)*IF(Upgrades!$T$21="Brown Dwarf",POWER(Upgrades!$U$21,M80),1))+(IF(J80=0,0,(Upgrades!$M$18+J80*Upgrades!$N$18)*POWER(Upgrades!$O$18,J80)))*(IF(Upgrades!$T$13="Binary Partner",POWER(Upgrades!$U$13,E80),1)*IF(Upgrades!$T$14="Binary Partner",POWER(Upgrades!$U$14,F80),1)*IF(Upgrades!$T$15="Binary Partner",POWER(Upgrades!$U$15,G80),1)*IF(Upgrades!$T$16="Binary Partner",POWER(Upgrades!$U$16,H80),1)*IF(Upgrades!$T$17="Binary Partner",POWER(Upgrades!$U$17,I80),1)*IF(Upgrades!$T$19="Binary Partner",POWER(Upgrades!$U$19,K80),1)*IF(Upgrades!$T$20="Binary Partner",POWER(Upgrades!$U$20,L80),1)*IF(Upgrades!$T$21="Binary Partner",POWER(Upgrades!$U$21,M80),1))+(IF(K80=0,0,(Upgrades!$M$19+K80*Upgrades!$N$19)*POWER(Upgrades!$O$19,K80)))*(IF(Upgrades!$T$13="Peculiar Velocity",POWER(Upgrades!$U$13,E80),1)*IF(Upgrades!$T$14="Peculiar Velocity",POWER(Upgrades!$U$14,F80),1)*IF(Upgrades!$T$15="Peculiar Velocity",POWER(Upgrades!$U$15,G80),1)*IF(Upgrades!$T$16="Peculiar Velocity",POWER(Upgrades!$U$16,H80),1)*IF(Upgrades!$T$17="Peculiar Velocity",POWER(Upgrades!$U$17,I80),1)*IF(Upgrades!$T$18="Peculiar Velocity",POWER(Upgrades!$U$18,J80),1)*IF(Upgrades!$T$20="Peculiar Velocity",POWER(Upgrades!$U$20,L80),1)*IF(Upgrades!$T$21="Peculiar Velocity",POWER(Upgrades!$U$21,M80),1))+(IF(L80=0,0,(Upgrades!$M$20+L80*Upgrades!$N$20)*POWER(Upgrades!$O$20,L80)))*(IF(Upgrades!$T$13="Open Cluster",POWER(Upgrades!$U$13,E80),1)*IF(Upgrades!$T$14="Open Cluster",POWER(Upgrades!$U$14,F80),1)*IF(Upgrades!$T$15="Open Cluster",POWER(Upgrades!$U$15,G80),1)*IF(Upgrades!$T$16="Open Cluster",POWER(Upgrades!$U$16,H80),1)*IF(Upgrades!$T$17="Open Cluster",POWER(Upgrades!$U$17,I80),1)*IF(Upgrades!$T$18="Open Cluster",POWER(Upgrades!$U$18,J80),1)*IF(Upgrades!$T$19="Open Cluster",POWER(Upgrades!$U$19,K80),1)*IF(Upgrades!$T$21="Open Cluster",POWER(Upgrades!$U$21,M80),1))+(IF(M80=0,0,(Upgrades!$M$21+M80*Upgrades!$N$21)*POWER(Upgrades!$O$21,M80)))*(IF(Upgrades!$T$13="Moving Group",POWER(Upgrades!$U$13,E80),1)*IF(Upgrades!$T$14="Moving Group",POWER(Upgrades!$U$14,F80),1)*IF(Upgrades!$T$15="Moving Group",POWER(Upgrades!$U$15,G80),1)*IF(Upgrades!$T$16="Moving Group",POWER(Upgrades!$U$16,H80),1)*IF(Upgrades!$T$17="Moving Group",POWER(Upgrades!$U$17,I80),1)*IF(Upgrades!$T$18="Moving Group",POWER(Upgrades!$U$18,J80),1)*IF(Upgrades!$T$19="Moving Group",POWER(Upgrades!$U$19,K80),1)*IF(Upgrades!$T$20="Moving Group",POWER(Upgrades!$U$20,L80),1)))*POWER(Upgrades!$R$13,E80)*POWER(Upgrades!$R$14,F80)*POWER(Upgrades!$R$15,G80)*POWER(Upgrades!$R$16,H80)*POWER(Upgrades!$R$17,I80)*POWER(Upgrades!$R$18,J80)*POWER(Upgrades!$R$19,K80)*POWER(Upgrades!$R$20,L80)*POWER(Upgrades!$R$21,M80)*$H$6+$E$6</f>
        <v/>
      </c>
      <c r="R80" s="27">
        <f>IF(N80=1,0,O80*Parameters!$B$10/60*Parameters!$B$11*10)</f>
        <v/>
      </c>
      <c r="S80" s="27">
        <f>IF(N80=1,0,Q80*O80*10)</f>
        <v/>
      </c>
      <c r="T80" s="27">
        <f>IF(N80=1,0,R80+S80+P80*10)</f>
        <v/>
      </c>
      <c r="U80" s="33">
        <f>BE80</f>
        <v/>
      </c>
      <c r="V80" s="22">
        <f>IF(U80="",0,IF(U80="transition",0,IF(U80="SK",AK80,IF(U80="LB",AL80,IF(U80="ML",AM80,IF(U80="RLO",AN80,IF(U80="BD",AO80,IF(U80="BiP",AP80,IF(U80="PV",AQ80,IF(U80="OC",AR80,IF(U80="MG",AS80,0))))))))))</f>
        <v/>
      </c>
      <c r="W80" s="27">
        <f>IF(U80="BiP",Upgrades!$F$18,IF(U80="PV",Upgrades!$F$19,IF(U80="OC",Upgrades!$F$20,IF(U80="MG",Upgrades!$F$21,IF(U80="transition",-Parameters!$B$18*Parameters!$B$19,0)))))</f>
        <v/>
      </c>
      <c r="X80" s="22">
        <f>C80+T80-V80</f>
        <v/>
      </c>
      <c r="Y80" s="30">
        <f>O80*Parameters!$B$10/60*Parameters!$B$11+Q80*O80+P80</f>
        <v/>
      </c>
      <c r="Z80" s="34">
        <f>IF(U80="transition","→ Tier 3 (Galactic Arm)",IF(U80="MG","Moving Group — pocket drifts together",IF(U80="OC","Open Cluster acquired",IF(U80="PV","Peculiar Velocity — passive multiplier active",IF(U80="BiP","Binary Partner — pair bond formed",IF(AND(AU80=1,N80=0,AT80&lt;&gt;1),"Cohesion ready (waiting on completionists)","")))))) </f>
        <v/>
      </c>
      <c r="AA80" s="27">
        <f>(IF(E80=0,0,(Upgrades!$G$13+E80*Upgrades!$H$13)*POWER(Upgrades!$I$13,E80)))*(IF(Upgrades!$T$14="Stellar Kinematics",POWER(Upgrades!$U$14,F80),1)*IF(Upgrades!$T$15="Stellar Kinematics",POWER(Upgrades!$U$15,G80),1)*IF(Upgrades!$T$16="Stellar Kinematics",POWER(Upgrades!$U$16,H80),1)*IF(Upgrades!$T$17="Stellar Kinematics",POWER(Upgrades!$U$17,I80),1)*IF(Upgrades!$T$18="Stellar Kinematics",POWER(Upgrades!$U$18,J80),1)*IF(Upgrades!$T$19="Stellar Kinematics",POWER(Upgrades!$U$19,K80),1)*IF(Upgrades!$T$20="Stellar Kinematics",POWER(Upgrades!$U$20,L80),1)*IF(Upgrades!$T$21="Stellar Kinematics",POWER(Upgrades!$U$21,M80),1))*POWER(Upgrades!$P$13,E80)*POWER(Upgrades!$P$14,F80)*POWER(Upgrades!$P$15,G80)*POWER(Upgrades!$P$16,H80)*POWER(Upgrades!$P$17,I80)*POWER(Upgrades!$P$18,J80)*POWER(Upgrades!$P$19,K80)*POWER(Upgrades!$P$20,L80)*POWER(Upgrades!$P$21,M80)*$F$6*60</f>
        <v/>
      </c>
      <c r="AB80" s="27">
        <f>(IF(F80=0,0,(Upgrades!$G$14+F80*Upgrades!$H$14)*POWER(Upgrades!$I$14,F80)))*(IF(Upgrades!$T$13="Local Bubble",POWER(Upgrades!$U$13,E80),1)*IF(Upgrades!$T$15="Local Bubble",POWER(Upgrades!$U$15,G80),1)*IF(Upgrades!$T$16="Local Bubble",POWER(Upgrades!$U$16,H80),1)*IF(Upgrades!$T$17="Local Bubble",POWER(Upgrades!$U$17,I80),1)*IF(Upgrades!$T$18="Local Bubble",POWER(Upgrades!$U$18,J80),1)*IF(Upgrades!$T$19="Local Bubble",POWER(Upgrades!$U$19,K80),1)*IF(Upgrades!$T$20="Local Bubble",POWER(Upgrades!$U$20,L80),1)*IF(Upgrades!$T$21="Local Bubble",POWER(Upgrades!$U$21,M80),1))*POWER(Upgrades!$P$13,E80)*POWER(Upgrades!$P$14,F80)*POWER(Upgrades!$P$15,G80)*POWER(Upgrades!$P$16,H80)*POWER(Upgrades!$P$17,I80)*POWER(Upgrades!$P$18,J80)*POWER(Upgrades!$P$19,K80)*POWER(Upgrades!$P$20,L80)*POWER(Upgrades!$P$21,M80)*$F$6*60</f>
        <v/>
      </c>
      <c r="AC80" s="27">
        <f>(IF(G80=0,0,(Upgrades!$J$15+G80*Upgrades!$K$15)*POWER(Upgrades!$L$15,G80)))*(IF(Upgrades!$T$13="Microlensing",POWER(Upgrades!$U$13,E80),1)*IF(Upgrades!$T$14="Microlensing",POWER(Upgrades!$U$14,F80),1)*IF(Upgrades!$T$16="Microlensing",POWER(Upgrades!$U$16,H80),1)*IF(Upgrades!$T$17="Microlensing",POWER(Upgrades!$U$17,I80),1)*IF(Upgrades!$T$18="Microlensing",POWER(Upgrades!$U$18,J80),1)*IF(Upgrades!$T$19="Microlensing",POWER(Upgrades!$U$19,K80),1)*IF(Upgrades!$T$20="Microlensing",POWER(Upgrades!$U$20,L80),1)*IF(Upgrades!$T$21="Microlensing",POWER(Upgrades!$U$21,M80),1))*POWER(Upgrades!$Q$13,E80)*POWER(Upgrades!$Q$14,F80)*POWER(Upgrades!$Q$15,G80)*POWER(Upgrades!$Q$16,H80)*POWER(Upgrades!$Q$17,I80)*POWER(Upgrades!$Q$18,J80)*POWER(Upgrades!$Q$19,K80)*POWER(Upgrades!$Q$20,L80)*POWER(Upgrades!$Q$21,M80)*$G$6*(Parameters!$B$10*Parameters!$B$11+Q80*60)</f>
        <v/>
      </c>
      <c r="AD80" s="27">
        <f>(IF(H80=0,0,(Upgrades!$M$16+H80*Upgrades!$N$16)*POWER(Upgrades!$O$16,H80)))*(IF(Upgrades!$T$13="Roche Lobe Overflow",POWER(Upgrades!$U$13,E80),1)*IF(Upgrades!$T$14="Roche Lobe Overflow",POWER(Upgrades!$U$14,F80),1)*IF(Upgrades!$T$15="Roche Lobe Overflow",POWER(Upgrades!$U$15,G80),1)*IF(Upgrades!$T$17="Roche Lobe Overflow",POWER(Upgrades!$U$17,I80),1)*IF(Upgrades!$T$18="Roche Lobe Overflow",POWER(Upgrades!$U$18,J80),1)*IF(Upgrades!$T$19="Roche Lobe Overflow",POWER(Upgrades!$U$19,K80),1)*IF(Upgrades!$T$20="Roche Lobe Overflow",POWER(Upgrades!$U$20,L80),1)*IF(Upgrades!$T$21="Roche Lobe Overflow",POWER(Upgrades!$U$21,M80),1))*POWER(Upgrades!$R$13,E80)*POWER(Upgrades!$R$14,F80)*POWER(Upgrades!$R$15,G80)*POWER(Upgrades!$R$16,H80)*POWER(Upgrades!$R$17,I80)*POWER(Upgrades!$R$18,J80)*POWER(Upgrades!$R$19,K80)*POWER(Upgrades!$R$20,L80)*POWER(Upgrades!$R$21,M80)*$H$6*O80*60</f>
        <v/>
      </c>
      <c r="AE80" s="27">
        <f>(IF(I80=0,0,(Upgrades!$G$17+I80*Upgrades!$H$17)*POWER(Upgrades!$I$17,I80)))*(IF(Upgrades!$T$13="Brown Dwarf",POWER(Upgrades!$U$13,E80),1)*IF(Upgrades!$T$14="Brown Dwarf",POWER(Upgrades!$U$14,F80),1)*IF(Upgrades!$T$15="Brown Dwarf",POWER(Upgrades!$U$15,G80),1)*IF(Upgrades!$T$16="Brown Dwarf",POWER(Upgrades!$U$16,H80),1)*IF(Upgrades!$T$18="Brown Dwarf",POWER(Upgrades!$U$18,J80),1)*IF(Upgrades!$T$19="Brown Dwarf",POWER(Upgrades!$U$19,K80),1)*IF(Upgrades!$T$20="Brown Dwarf",POWER(Upgrades!$U$20,L80),1)*IF(Upgrades!$T$21="Brown Dwarf",POWER(Upgrades!$U$21,M80),1))*POWER(Upgrades!$P$13,E80)*POWER(Upgrades!$P$14,F80)*POWER(Upgrades!$P$15,G80)*POWER(Upgrades!$P$16,H80)*POWER(Upgrades!$P$17,I80)*POWER(Upgrades!$P$18,J80)*POWER(Upgrades!$P$19,K80)*POWER(Upgrades!$P$20,L80)*POWER(Upgrades!$P$21,M80)*$F$6*60</f>
        <v/>
      </c>
      <c r="AF80" s="27" t="n">
        <v>0</v>
      </c>
      <c r="AG80" s="27" t="n">
        <v>0</v>
      </c>
      <c r="AH80" s="27" t="n">
        <v>0</v>
      </c>
      <c r="AI80" s="27">
        <f>(IF(M80=0,0,(Upgrades!$G$21+M80*Upgrades!$H$21)*POWER(Upgrades!$I$21,M80)))*(IF(Upgrades!$T$13="Moving Group",POWER(Upgrades!$U$13,E80),1)*IF(Upgrades!$T$14="Moving Group",POWER(Upgrades!$U$14,F80),1)*IF(Upgrades!$T$15="Moving Group",POWER(Upgrades!$U$15,G80),1)*IF(Upgrades!$T$16="Moving Group",POWER(Upgrades!$U$16,H80),1)*IF(Upgrades!$T$17="Moving Group",POWER(Upgrades!$U$17,I80),1)*IF(Upgrades!$T$18="Moving Group",POWER(Upgrades!$U$18,J80),1)*IF(Upgrades!$T$19="Moving Group",POWER(Upgrades!$U$19,K80),1)*IF(Upgrades!$T$20="Moving Group",POWER(Upgrades!$U$20,L80),1))*POWER(Upgrades!$P$13,E80)*POWER(Upgrades!$P$14,F80)*POWER(Upgrades!$P$15,G80)*POWER(Upgrades!$P$16,H80)*POWER(Upgrades!$P$17,I80)*POWER(Upgrades!$P$18,J80)*POWER(Upgrades!$P$19,K80)*POWER(Upgrades!$P$20,L80)*POWER(Upgrades!$P$21,M80)*$F$6*60</f>
        <v/>
      </c>
      <c r="AJ80" s="27">
        <f>$C$6*60</f>
        <v/>
      </c>
      <c r="AK80" s="22">
        <f>IF(E80&gt;=Upgrades!$E$13,"",Upgrades!$C$13*POWER(Upgrades!$D$13,E80))</f>
        <v/>
      </c>
      <c r="AL80" s="22">
        <f>IF(F80&gt;=Upgrades!$E$14,"",Upgrades!$C$14*POWER(Upgrades!$D$14,F80))</f>
        <v/>
      </c>
      <c r="AM80" s="22">
        <f>IF(G80&gt;=Upgrades!$E$15,"",Upgrades!$C$15*POWER(Upgrades!$D$15,G80))</f>
        <v/>
      </c>
      <c r="AN80" s="22">
        <f>IF(H80&gt;=Upgrades!$E$16,"",Upgrades!$C$16*POWER(Upgrades!$D$16,H80))</f>
        <v/>
      </c>
      <c r="AO80" s="22">
        <f>IF(I80&gt;=Upgrades!$E$17,"",Upgrades!$C$17*POWER(Upgrades!$D$17,I80))</f>
        <v/>
      </c>
      <c r="AP80" s="22">
        <f>IF(J80&gt;=Upgrades!$E$18,"",Upgrades!$C$18*POWER(Upgrades!$D$18,J80))</f>
        <v/>
      </c>
      <c r="AQ80" s="22">
        <f>IF(K80&gt;=Upgrades!$E$19,"",Upgrades!$C$19*POWER(Upgrades!$D$19,K80))</f>
        <v/>
      </c>
      <c r="AR80" s="22">
        <f>IF(L80&gt;=Upgrades!$E$20,"",Upgrades!$C$20*POWER(Upgrades!$D$20,L80))</f>
        <v/>
      </c>
      <c r="AS80" s="22">
        <f>IF(M80&gt;=Upgrades!$E$21,"",Upgrades!$C$21*POWER(Upgrades!$D$21,M80))</f>
        <v/>
      </c>
      <c r="AT80" s="26">
        <f>IF(AND(D80&gt;=Parameters!$B$18*Parameters!$B$19,(I80&gt;=Upgrades!$E$17)*(M80&gt;=Upgrades!$E$21)=1,N80=0),1,"")</f>
        <v/>
      </c>
      <c r="AU80" s="26">
        <f>IF(AND(D80&gt;=Parameters!$B$18*Parameters!$B$19,N80=0),1,"")</f>
        <v/>
      </c>
      <c r="AV80" s="22">
        <f>MIN(IF(ISNUMBER(AP80),AP80,9E15),IF(ISNUMBER(AQ80),AQ80,9E15),IF(ISNUMBER(AR80),AR80,9E15),IF(ISNUMBER(AS80),AS80,9E15))</f>
        <v/>
      </c>
      <c r="AW80" s="22">
        <f>MIN(IF(ISNUMBER(AK80),AK80,9E15),IF(ISNUMBER(AL80),AL80,9E15),IF(ISNUMBER(AM80),AM80,9E15),IF(ISNUMBER(AN80),AN80,9E15),IF(ISNUMBER(AO80),AO80,9E15))</f>
        <v/>
      </c>
      <c r="AX80" s="29">
        <f>IF(BD80&gt;Parameters!$B$21*(MAX(IF(AND(NOT(AND(AU80=1,AT80&lt;&gt;1)),ISNUMBER(AK80),AK80&lt;=(C80+T80)),AY80,0),IF(AND(NOT(AND(AU80=1,AT80&lt;&gt;1)),ISNUMBER(AL80),AL80&lt;=(C80+T80)),AZ80,0),IF(AND(NOT(AND(AU80=1,AT80&lt;&gt;1)),ISNUMBER(AM80),AM80&lt;=(C80+T80)),BA80,0),IF(AND(NOT(AND(AU80=1,AT80&lt;&gt;1)),ISNUMBER(AN80),AN80&lt;=(C80+T80)),BB80,0),IF(AND(ISNUMBER(AO80),AO80&lt;=(C80+T80)),BC80,0))),TRUE,FALSE)</f>
        <v/>
      </c>
      <c r="AY80" s="32">
        <f>IFERROR(Upgrades!$H$13*(POWER(Upgrades!$P$13,E80)*POWER(Upgrades!$P$14,F80)*POWER(Upgrades!$P$15,G80)*POWER(Upgrades!$P$16,H80)*POWER(Upgrades!$P$17,I80)*POWER(Upgrades!$P$18,J80)*POWER(Upgrades!$P$19,K80)*POWER(Upgrades!$P$20,L80)*POWER(Upgrades!$P$21,M80))*(IF(Upgrades!$T$14="Stellar Kinematics",POWER(Upgrades!$U$14,F80),1)*IF(Upgrades!$T$15="Stellar Kinematics",POWER(Upgrades!$U$15,G80),1)*IF(Upgrades!$T$16="Stellar Kinematics",POWER(Upgrades!$U$16,H80),1)*IF(Upgrades!$T$17="Stellar Kinematics",POWER(Upgrades!$U$17,I80),1)*IF(Upgrades!$T$18="Stellar Kinematics",POWER(Upgrades!$U$18,J80),1)*IF(Upgrades!$T$19="Stellar Kinematics",POWER(Upgrades!$U$19,K80),1)*IF(Upgrades!$T$20="Stellar Kinematics",POWER(Upgrades!$U$20,L80),1)*IF(Upgrades!$T$21="Stellar Kinematics",POWER(Upgrades!$U$21,M80),1))*$F$6/AK80,0)</f>
        <v/>
      </c>
      <c r="AZ80" s="32">
        <f>IFERROR(Upgrades!$H$14*(POWER(Upgrades!$P$13,E80)*POWER(Upgrades!$P$14,F80)*POWER(Upgrades!$P$15,G80)*POWER(Upgrades!$P$16,H80)*POWER(Upgrades!$P$17,I80)*POWER(Upgrades!$P$18,J80)*POWER(Upgrades!$P$19,K80)*POWER(Upgrades!$P$20,L80)*POWER(Upgrades!$P$21,M80))*(IF(Upgrades!$T$13="Local Bubble",POWER(Upgrades!$U$13,E80),1)*IF(Upgrades!$T$15="Local Bubble",POWER(Upgrades!$U$15,G80),1)*IF(Upgrades!$T$16="Local Bubble",POWER(Upgrades!$U$16,H80),1)*IF(Upgrades!$T$17="Local Bubble",POWER(Upgrades!$U$17,I80),1)*IF(Upgrades!$T$18="Local Bubble",POWER(Upgrades!$U$18,J80),1)*IF(Upgrades!$T$19="Local Bubble",POWER(Upgrades!$U$19,K80),1)*IF(Upgrades!$T$20="Local Bubble",POWER(Upgrades!$U$20,L80),1)*IF(Upgrades!$T$21="Local Bubble",POWER(Upgrades!$U$21,M80),1))*$F$6/AL80,0)</f>
        <v/>
      </c>
      <c r="BA80" s="32">
        <f>IFERROR(Upgrades!$K$15*(POWER(Upgrades!$Q$13,E80)*POWER(Upgrades!$Q$14,F80)*POWER(Upgrades!$Q$15,G80)*POWER(Upgrades!$Q$16,H80)*POWER(Upgrades!$Q$17,I80)*POWER(Upgrades!$Q$18,J80)*POWER(Upgrades!$Q$19,K80)*POWER(Upgrades!$Q$20,L80)*POWER(Upgrades!$Q$21,M80))*(IF(Upgrades!$T$13="Microlensing",POWER(Upgrades!$U$13,E80),1)*IF(Upgrades!$T$14="Microlensing",POWER(Upgrades!$U$14,F80),1)*IF(Upgrades!$T$16="Microlensing",POWER(Upgrades!$U$16,H80),1)*IF(Upgrades!$T$17="Microlensing",POWER(Upgrades!$U$17,I80),1)*IF(Upgrades!$T$18="Microlensing",POWER(Upgrades!$U$18,J80),1)*IF(Upgrades!$T$19="Microlensing",POWER(Upgrades!$U$19,K80),1)*IF(Upgrades!$T$20="Microlensing",POWER(Upgrades!$U$20,L80),1)*IF(Upgrades!$T$21="Microlensing",POWER(Upgrades!$U$21,M80),1))*$G$6*(Parameters!$B$10/60*Parameters!$B$11+Q80)/AM80,0)</f>
        <v/>
      </c>
      <c r="BB80" s="32">
        <f>IFERROR((Upgrades!$N$16*(POWER(Upgrades!$R$13,E80)*POWER(Upgrades!$R$14,F80)*POWER(Upgrades!$R$15,G80)*POWER(Upgrades!$R$16,H80)*POWER(Upgrades!$R$17,I80)*POWER(Upgrades!$R$18,J80)*POWER(Upgrades!$R$19,K80)*POWER(Upgrades!$R$20,L80)*POWER(Upgrades!$R$21,M80))*(IF(Upgrades!$T$13="Roche Lobe Overflow",POWER(Upgrades!$U$13,E80),1)*IF(Upgrades!$T$14="Roche Lobe Overflow",POWER(Upgrades!$U$14,F80),1)*IF(Upgrades!$T$15="Roche Lobe Overflow",POWER(Upgrades!$U$15,G80),1)*IF(Upgrades!$T$17="Roche Lobe Overflow",POWER(Upgrades!$U$17,I80),1)*IF(Upgrades!$T$18="Roche Lobe Overflow",POWER(Upgrades!$U$18,J80),1)*IF(Upgrades!$T$19="Roche Lobe Overflow",POWER(Upgrades!$U$19,K80),1)*IF(Upgrades!$T$20="Roche Lobe Overflow",POWER(Upgrades!$U$20,L80),1)*IF(Upgrades!$T$21="Roche Lobe Overflow",POWER(Upgrades!$U$21,M80),1))*$H$6*O80+((IF(F80=0,0,(Upgrades!$G$14+F80*Upgrades!$H$14)*POWER(Upgrades!$I$14,F80)))*(IF(Upgrades!$T$13="Local Bubble",POWER(Upgrades!$U$13,E80),1)*IF(Upgrades!$T$15="Local Bubble",POWER(Upgrades!$U$15,G80),1)*IF(Upgrades!$T$16="Local Bubble",POWER(Upgrades!$U$16,H80),1)*IF(Upgrades!$T$17="Local Bubble",POWER(Upgrades!$U$17,I80),1)*IF(Upgrades!$T$18="Local Bubble",POWER(Upgrades!$U$18,J80),1)*IF(Upgrades!$T$19="Local Bubble",POWER(Upgrades!$U$19,K80),1)*IF(Upgrades!$T$20="Local Bubble",POWER(Upgrades!$U$20,L80),1)*IF(Upgrades!$T$21="Local Bubble",POWER(Upgrades!$U$21,M80),1))*POWER(Upgrades!$P$13,E80)*POWER(Upgrades!$P$14,F80)*POWER(Upgrades!$P$15,G80)*POWER(Upgrades!$P$16,H80)*POWER(Upgrades!$P$17,I80)*POWER(Upgrades!$P$18,J80)*POWER(Upgrades!$P$19,K80)*POWER(Upgrades!$P$20,L80)*POWER(Upgrades!$P$21,M80)*$F$6)*0.05)/AN80,0)</f>
        <v/>
      </c>
      <c r="BC80" s="32">
        <f>IFERROR((Upgrades!$H$17*(POWER(Upgrades!$P$13,E80)*POWER(Upgrades!$P$14,F80)*POWER(Upgrades!$P$15,G80)*POWER(Upgrades!$P$16,H80)*POWER(Upgrades!$P$17,I80)*POWER(Upgrades!$P$18,J80)*POWER(Upgrades!$P$19,K80)*POWER(Upgrades!$P$20,L80)*POWER(Upgrades!$P$21,M80))*(IF(Upgrades!$T$13="Brown Dwarf",POWER(Upgrades!$U$13,E80),1)*IF(Upgrades!$T$14="Brown Dwarf",POWER(Upgrades!$U$14,F80),1)*IF(Upgrades!$T$15="Brown Dwarf",POWER(Upgrades!$U$15,G80),1)*IF(Upgrades!$T$16="Brown Dwarf",POWER(Upgrades!$U$16,H80),1)*IF(Upgrades!$T$18="Brown Dwarf",POWER(Upgrades!$U$18,J80),1)*IF(Upgrades!$T$19="Brown Dwarf",POWER(Upgrades!$U$19,K80),1)*IF(Upgrades!$T$20="Brown Dwarf",POWER(Upgrades!$U$20,L80),1)*IF(Upgrades!$T$21="Brown Dwarf",POWER(Upgrades!$U$21,M80),1))*$F$6+(((IF(H80=0,0,(Upgrades!$M$16+H80*Upgrades!$N$16)*POWER(Upgrades!$O$16,H80)))*(IF(Upgrades!$T$13="Roche Lobe Overflow",POWER(Upgrades!$U$13,E80),1)*IF(Upgrades!$T$14="Roche Lobe Overflow",POWER(Upgrades!$U$14,F80),1)*IF(Upgrades!$T$15="Roche Lobe Overflow",POWER(Upgrades!$U$15,G80),1)*IF(Upgrades!$T$17="Roche Lobe Overflow",POWER(Upgrades!$U$17,I80),1)*IF(Upgrades!$T$18="Roche Lobe Overflow",POWER(Upgrades!$U$18,J80),1)*IF(Upgrades!$T$19="Roche Lobe Overflow",POWER(Upgrades!$U$19,K80),1)*IF(Upgrades!$T$20="Roche Lobe Overflow",POWER(Upgrades!$U$20,L80),1)*IF(Upgrades!$T$21="Roche Lobe Overflow",POWER(Upgrades!$U$21,M80),1))*POWER(Upgrades!$R$13,E80)*POWER(Upgrades!$R$14,F80)*POWER(Upgrades!$R$15,G80)*POWER(Upgrades!$R$16,H80)*POWER(Upgrades!$R$17,I80)*POWER(Upgrades!$R$18,J80)*POWER(Upgrades!$R$19,K80)*POWER(Upgrades!$R$20,L80)*POWER(Upgrades!$R$21,M80)*$H$6)*O80)*0.10)/AO80,0)</f>
        <v/>
      </c>
      <c r="BD80" s="32">
        <f>MAX(IF(J80&gt;0,0,IFERROR(0.5*((IF(G80=0,0,(Upgrades!$J$15+G80*Upgrades!$K$15)*POWER(Upgrades!$L$15,G80)))*(IF(Upgrades!$T$13="Microlensing",POWER(Upgrades!$U$13,E80),1)*IF(Upgrades!$T$14="Microlensing",POWER(Upgrades!$U$14,F80),1)*IF(Upgrades!$T$16="Microlensing",POWER(Upgrades!$U$16,H80),1)*IF(Upgrades!$T$17="Microlensing",POWER(Upgrades!$U$17,I80),1)*IF(Upgrades!$T$18="Microlensing",POWER(Upgrades!$U$18,J80),1)*IF(Upgrades!$T$19="Microlensing",POWER(Upgrades!$U$19,K80),1)*IF(Upgrades!$T$20="Microlensing",POWER(Upgrades!$U$20,L80),1)*IF(Upgrades!$T$21="Microlensing",POWER(Upgrades!$U$21,M80),1))*(POWER(Upgrades!$Q$13,E80)*POWER(Upgrades!$Q$14,F80)*POWER(Upgrades!$Q$15,G80)*POWER(Upgrades!$Q$16,H80)*POWER(Upgrades!$Q$17,I80)*POWER(Upgrades!$Q$18,J80)*POWER(Upgrades!$Q$19,K80)*POWER(Upgrades!$Q$20,L80)*POWER(Upgrades!$Q$21,M80))*$G$6*(Parameters!$B$10/60*Parameters!$B$11+Q80))/Upgrades!$C$18,0)),IF(K80&gt;0,0,IFERROR(0.30*P80/Upgrades!$C$19,0)),IF(L80&gt;0,0,IFERROR(0.0001/Upgrades!$C$20,0)),IF(M80&gt;0,0,IFERROR((6.0*(POWER(Upgrades!$P$13,E80)*POWER(Upgrades!$P$14,F80)*POWER(Upgrades!$P$15,G80)*POWER(Upgrades!$P$16,H80)*POWER(Upgrades!$P$17,I80)*POWER(Upgrades!$P$18,J80)*POWER(Upgrades!$P$19,K80)*POWER(Upgrades!$P$20,L80)*POWER(Upgrades!$P$21,M80))*$F$6+0.20*O80*(Parameters!$B$10/60*Parameters!$B$11+Q80))/Upgrades!$C$21,0)),IF(AND(ISNUMBER(AK80),AK80&gt;(C80+T80)),AY80,0),IF(AND(ISNUMBER(AL80),AL80&gt;(C80+T80)),AZ80,0),IF(AND(ISNUMBER(AM80),AM80&gt;(C80+T80)),BA80,0),IF(AND(ISNUMBER(AN80),AN80&gt;(C80+T80)),BB80,0),IF(AND(ISNUMBER(AO80),AO80&gt;(C80+T80)),BC80,0))</f>
        <v/>
      </c>
      <c r="BE80" s="29">
        <f>IF(AT80=1,"transition",IF(MIN(IF(AND(J80=0,ISNUMBER(AP80),AP80&lt;=(C80+T80)),AP80,9E15),IF(AND(K80=0,ISNUMBER(AQ80),AQ80&lt;=(C80+T80)),AQ80,9E15),IF(AND(L80=0,ISNUMBER(AR80),AR80&lt;=(C80+T80)),AR80,9E15),IF(AND(M80=0,ISNUMBER(AS80),AS80&lt;=(C80+T80)),AS80,9E15))&lt;9E15,IF(AND(AND(J80=0,ISNUMBER(AP80),AP80&lt;=(C80+T80)),AP80=MIN(IF(AND(J80=0,ISNUMBER(AP80),AP80&lt;=(C80+T80)),AP80,9E15),IF(AND(K80=0,ISNUMBER(AQ80),AQ80&lt;=(C80+T80)),AQ80,9E15),IF(AND(L80=0,ISNUMBER(AR80),AR80&lt;=(C80+T80)),AR80,9E15),IF(AND(M80=0,ISNUMBER(AS80),AS80&lt;=(C80+T80)),AS80,9E15))),"BiP",IF(AND(AND(K80=0,ISNUMBER(AQ80),AQ80&lt;=(C80+T80)),AQ80=MIN(IF(AND(J80=0,ISNUMBER(AP80),AP80&lt;=(C80+T80)),AP80,9E15),IF(AND(K80=0,ISNUMBER(AQ80),AQ80&lt;=(C80+T80)),AQ80,9E15),IF(AND(L80=0,ISNUMBER(AR80),AR80&lt;=(C80+T80)),AR80,9E15),IF(AND(M80=0,ISNUMBER(AS80),AS80&lt;=(C80+T80)),AS80,9E15))),"PV",IF(AND(AND(L80=0,ISNUMBER(AR80),AR80&lt;=(C80+T80)),AR80=MIN(IF(AND(J80=0,ISNUMBER(AP80),AP80&lt;=(C80+T80)),AP80,9E15),IF(AND(K80=0,ISNUMBER(AQ80),AQ80&lt;=(C80+T80)),AQ80,9E15),IF(AND(L80=0,ISNUMBER(AR80),AR80&lt;=(C80+T80)),AR80,9E15),IF(AND(M80=0,ISNUMBER(AS80),AS80&lt;=(C80+T80)),AS80,9E15))),"OC","MG"))),IF(AX80=TRUE,"",IF(MAX(IF(AND(NOT(AND(AU80=1,AT80&lt;&gt;1)),ISNUMBER(AK80),AK80&lt;=(C80+T80)),AY80,0),IF(AND(NOT(AND(AU80=1,AT80&lt;&gt;1)),ISNUMBER(AL80),AL80&lt;=(C80+T80)),AZ80,0),IF(AND(NOT(AND(AU80=1,AT80&lt;&gt;1)),ISNUMBER(AM80),AM80&lt;=(C80+T80)),BA80,0),IF(AND(NOT(AND(AU80=1,AT80&lt;&gt;1)),ISNUMBER(AN80),AN80&lt;=(C80+T80)),BB80,0),IF(AND(ISNUMBER(AO80),AO80&lt;=(C80+T80)),BC80,0))&lt;=0,"",IF(AND(IF(AND(NOT(AND(AU80=1,AT80&lt;&gt;1)),ISNUMBER(AK80),AK80&lt;=(C80+T80)),AY80,0)&gt;0,IF(AND(NOT(AND(AU80=1,AT80&lt;&gt;1)),ISNUMBER(AK80),AK80&lt;=(C80+T80)),AY80,0)=MAX(IF(AND(NOT(AND(AU80=1,AT80&lt;&gt;1)),ISNUMBER(AK80),AK80&lt;=(C80+T80)),AY80,0),IF(AND(NOT(AND(AU80=1,AT80&lt;&gt;1)),ISNUMBER(AL80),AL80&lt;=(C80+T80)),AZ80,0),IF(AND(NOT(AND(AU80=1,AT80&lt;&gt;1)),ISNUMBER(AM80),AM80&lt;=(C80+T80)),BA80,0),IF(AND(NOT(AND(AU80=1,AT80&lt;&gt;1)),ISNUMBER(AN80),AN80&lt;=(C80+T80)),BB80,0),IF(AND(ISNUMBER(AO80),AO80&lt;=(C80+T80)),BC80,0))),"SK",IF(AND(IF(AND(NOT(AND(AU80=1,AT80&lt;&gt;1)),ISNUMBER(AL80),AL80&lt;=(C80+T80)),AZ80,0)&gt;0,IF(AND(NOT(AND(AU80=1,AT80&lt;&gt;1)),ISNUMBER(AL80),AL80&lt;=(C80+T80)),AZ80,0)=MAX(IF(AND(NOT(AND(AU80=1,AT80&lt;&gt;1)),ISNUMBER(AK80),AK80&lt;=(C80+T80)),AY80,0),IF(AND(NOT(AND(AU80=1,AT80&lt;&gt;1)),ISNUMBER(AL80),AL80&lt;=(C80+T80)),AZ80,0),IF(AND(NOT(AND(AU80=1,AT80&lt;&gt;1)),ISNUMBER(AM80),AM80&lt;=(C80+T80)),BA80,0),IF(AND(NOT(AND(AU80=1,AT80&lt;&gt;1)),ISNUMBER(AN80),AN80&lt;=(C80+T80)),BB80,0),IF(AND(ISNUMBER(AO80),AO80&lt;=(C80+T80)),BC80,0))),"LB",IF(AND(IF(AND(NOT(AND(AU80=1,AT80&lt;&gt;1)),ISNUMBER(AM80),AM80&lt;=(C80+T80)),BA80,0)&gt;0,IF(AND(NOT(AND(AU80=1,AT80&lt;&gt;1)),ISNUMBER(AM80),AM80&lt;=(C80+T80)),BA80,0)=MAX(IF(AND(NOT(AND(AU80=1,AT80&lt;&gt;1)),ISNUMBER(AK80),AK80&lt;=(C80+T80)),AY80,0),IF(AND(NOT(AND(AU80=1,AT80&lt;&gt;1)),ISNUMBER(AL80),AL80&lt;=(C80+T80)),AZ80,0),IF(AND(NOT(AND(AU80=1,AT80&lt;&gt;1)),ISNUMBER(AM80),AM80&lt;=(C80+T80)),BA80,0),IF(AND(NOT(AND(AU80=1,AT80&lt;&gt;1)),ISNUMBER(AN80),AN80&lt;=(C80+T80)),BB80,0),IF(AND(ISNUMBER(AO80),AO80&lt;=(C80+T80)),BC80,0))),"ML",IF(AND(IF(AND(NOT(AND(AU80=1,AT80&lt;&gt;1)),ISNUMBER(AN80),AN80&lt;=(C80+T80)),BB80,0)&gt;0,IF(AND(NOT(AND(AU80=1,AT80&lt;&gt;1)),ISNUMBER(AN80),AN80&lt;=(C80+T80)),BB80,0)=MAX(IF(AND(NOT(AND(AU80=1,AT80&lt;&gt;1)),ISNUMBER(AK80),AK80&lt;=(C80+T80)),AY80,0),IF(AND(NOT(AND(AU80=1,AT80&lt;&gt;1)),ISNUMBER(AL80),AL80&lt;=(C80+T80)),AZ80,0),IF(AND(NOT(AND(AU80=1,AT80&lt;&gt;1)),ISNUMBER(AM80),AM80&lt;=(C80+T80)),BA80,0),IF(AND(NOT(AND(AU80=1,AT80&lt;&gt;1)),ISNUMBER(AN80),AN80&lt;=(C80+T80)),BB80,0),IF(AND(ISNUMBER(AO80),AO80&lt;=(C80+T80)),BC80,0))),"RLO","BD"))))))))</f>
        <v/>
      </c>
    </row>
    <row r="81">
      <c r="A81" s="26" t="n">
        <v>70</v>
      </c>
      <c r="B81" s="27">
        <f>A81*10/60</f>
        <v/>
      </c>
      <c r="C81" s="22">
        <f>X80</f>
        <v/>
      </c>
      <c r="D81" s="27">
        <f>D80+W80</f>
        <v/>
      </c>
      <c r="E81" s="26">
        <f>E80+IF(U80="SK",1,0)</f>
        <v/>
      </c>
      <c r="F81" s="26">
        <f>F80+IF(U80="LB",1,0)</f>
        <v/>
      </c>
      <c r="G81" s="26">
        <f>G80+IF(U80="ML",1,0)</f>
        <v/>
      </c>
      <c r="H81" s="26">
        <f>H80+IF(U80="RLO",1,0)</f>
        <v/>
      </c>
      <c r="I81" s="26">
        <f>I80+IF(U80="BD",1,0)</f>
        <v/>
      </c>
      <c r="J81" s="26">
        <f>MAX(J80,IF(U80="BiP",1,0))</f>
        <v/>
      </c>
      <c r="K81" s="26">
        <f>MAX(K80,IF(U80="PV",1,0))</f>
        <v/>
      </c>
      <c r="L81" s="26">
        <f>MAX(L80,IF(U80="OC",1,0))</f>
        <v/>
      </c>
      <c r="M81" s="26">
        <f>MAX(M80,IF(U80="MG",1,0))</f>
        <v/>
      </c>
      <c r="N81" s="26">
        <f>MAX(N80,IF(U80="transition",1,0))</f>
        <v/>
      </c>
      <c r="O81" s="28">
        <f>(Parameters!$B$9+(IF(E81=0,0,(Upgrades!$J$13+E81*Upgrades!$K$13)*POWER(Upgrades!$L$13,E81)))*(IF(Upgrades!$T$14="Stellar Kinematics",POWER(Upgrades!$U$14,F81),1)*IF(Upgrades!$T$15="Stellar Kinematics",POWER(Upgrades!$U$15,G81),1)*IF(Upgrades!$T$16="Stellar Kinematics",POWER(Upgrades!$U$16,H81),1)*IF(Upgrades!$T$17="Stellar Kinematics",POWER(Upgrades!$U$17,I81),1)*IF(Upgrades!$T$18="Stellar Kinematics",POWER(Upgrades!$U$18,J81),1)*IF(Upgrades!$T$19="Stellar Kinematics",POWER(Upgrades!$U$19,K81),1)*IF(Upgrades!$T$20="Stellar Kinematics",POWER(Upgrades!$U$20,L81),1)*IF(Upgrades!$T$21="Stellar Kinematics",POWER(Upgrades!$U$21,M81),1))+(IF(F81=0,0,(Upgrades!$J$14+F81*Upgrades!$K$14)*POWER(Upgrades!$L$14,F81)))*(IF(Upgrades!$T$13="Local Bubble",POWER(Upgrades!$U$13,E81),1)*IF(Upgrades!$T$15="Local Bubble",POWER(Upgrades!$U$15,G81),1)*IF(Upgrades!$T$16="Local Bubble",POWER(Upgrades!$U$16,H81),1)*IF(Upgrades!$T$17="Local Bubble",POWER(Upgrades!$U$17,I81),1)*IF(Upgrades!$T$18="Local Bubble",POWER(Upgrades!$U$18,J81),1)*IF(Upgrades!$T$19="Local Bubble",POWER(Upgrades!$U$19,K81),1)*IF(Upgrades!$T$20="Local Bubble",POWER(Upgrades!$U$20,L81),1)*IF(Upgrades!$T$21="Local Bubble",POWER(Upgrades!$U$21,M81),1))+(IF(G81=0,0,(Upgrades!$J$15+G81*Upgrades!$K$15)*POWER(Upgrades!$L$15,G81)))*(IF(Upgrades!$T$13="Microlensing",POWER(Upgrades!$U$13,E81),1)*IF(Upgrades!$T$14="Microlensing",POWER(Upgrades!$U$14,F81),1)*IF(Upgrades!$T$16="Microlensing",POWER(Upgrades!$U$16,H81),1)*IF(Upgrades!$T$17="Microlensing",POWER(Upgrades!$U$17,I81),1)*IF(Upgrades!$T$18="Microlensing",POWER(Upgrades!$U$18,J81),1)*IF(Upgrades!$T$19="Microlensing",POWER(Upgrades!$U$19,K81),1)*IF(Upgrades!$T$20="Microlensing",POWER(Upgrades!$U$20,L81),1)*IF(Upgrades!$T$21="Microlensing",POWER(Upgrades!$U$21,M81),1))+(IF(H81=0,0,(Upgrades!$J$16+H81*Upgrades!$K$16)*POWER(Upgrades!$L$16,H81)))*(IF(Upgrades!$T$13="Roche Lobe Overflow",POWER(Upgrades!$U$13,E81),1)*IF(Upgrades!$T$14="Roche Lobe Overflow",POWER(Upgrades!$U$14,F81),1)*IF(Upgrades!$T$15="Roche Lobe Overflow",POWER(Upgrades!$U$15,G81),1)*IF(Upgrades!$T$17="Roche Lobe Overflow",POWER(Upgrades!$U$17,I81),1)*IF(Upgrades!$T$18="Roche Lobe Overflow",POWER(Upgrades!$U$18,J81),1)*IF(Upgrades!$T$19="Roche Lobe Overflow",POWER(Upgrades!$U$19,K81),1)*IF(Upgrades!$T$20="Roche Lobe Overflow",POWER(Upgrades!$U$20,L81),1)*IF(Upgrades!$T$21="Roche Lobe Overflow",POWER(Upgrades!$U$21,M81),1))+(IF(I81=0,0,(Upgrades!$J$17+I81*Upgrades!$K$17)*POWER(Upgrades!$L$17,I81)))*(IF(Upgrades!$T$13="Brown Dwarf",POWER(Upgrades!$U$13,E81),1)*IF(Upgrades!$T$14="Brown Dwarf",POWER(Upgrades!$U$14,F81),1)*IF(Upgrades!$T$15="Brown Dwarf",POWER(Upgrades!$U$15,G81),1)*IF(Upgrades!$T$16="Brown Dwarf",POWER(Upgrades!$U$16,H81),1)*IF(Upgrades!$T$18="Brown Dwarf",POWER(Upgrades!$U$18,J81),1)*IF(Upgrades!$T$19="Brown Dwarf",POWER(Upgrades!$U$19,K81),1)*IF(Upgrades!$T$20="Brown Dwarf",POWER(Upgrades!$U$20,L81),1)*IF(Upgrades!$T$21="Brown Dwarf",POWER(Upgrades!$U$21,M81),1))+(IF(J81=0,0,(Upgrades!$J$18+J81*Upgrades!$K$18)*POWER(Upgrades!$L$18,J81)))*(IF(Upgrades!$T$13="Binary Partner",POWER(Upgrades!$U$13,E81),1)*IF(Upgrades!$T$14="Binary Partner",POWER(Upgrades!$U$14,F81),1)*IF(Upgrades!$T$15="Binary Partner",POWER(Upgrades!$U$15,G81),1)*IF(Upgrades!$T$16="Binary Partner",POWER(Upgrades!$U$16,H81),1)*IF(Upgrades!$T$17="Binary Partner",POWER(Upgrades!$U$17,I81),1)*IF(Upgrades!$T$19="Binary Partner",POWER(Upgrades!$U$19,K81),1)*IF(Upgrades!$T$20="Binary Partner",POWER(Upgrades!$U$20,L81),1)*IF(Upgrades!$T$21="Binary Partner",POWER(Upgrades!$U$21,M81),1))+(IF(K81=0,0,(Upgrades!$J$19+K81*Upgrades!$K$19)*POWER(Upgrades!$L$19,K81)))*(IF(Upgrades!$T$13="Peculiar Velocity",POWER(Upgrades!$U$13,E81),1)*IF(Upgrades!$T$14="Peculiar Velocity",POWER(Upgrades!$U$14,F81),1)*IF(Upgrades!$T$15="Peculiar Velocity",POWER(Upgrades!$U$15,G81),1)*IF(Upgrades!$T$16="Peculiar Velocity",POWER(Upgrades!$U$16,H81),1)*IF(Upgrades!$T$17="Peculiar Velocity",POWER(Upgrades!$U$17,I81),1)*IF(Upgrades!$T$18="Peculiar Velocity",POWER(Upgrades!$U$18,J81),1)*IF(Upgrades!$T$20="Peculiar Velocity",POWER(Upgrades!$U$20,L81),1)*IF(Upgrades!$T$21="Peculiar Velocity",POWER(Upgrades!$U$21,M81),1))+(IF(L81=0,0,(Upgrades!$J$20+L81*Upgrades!$K$20)*POWER(Upgrades!$L$20,L81)))*(IF(Upgrades!$T$13="Open Cluster",POWER(Upgrades!$U$13,E81),1)*IF(Upgrades!$T$14="Open Cluster",POWER(Upgrades!$U$14,F81),1)*IF(Upgrades!$T$15="Open Cluster",POWER(Upgrades!$U$15,G81),1)*IF(Upgrades!$T$16="Open Cluster",POWER(Upgrades!$U$16,H81),1)*IF(Upgrades!$T$17="Open Cluster",POWER(Upgrades!$U$17,I81),1)*IF(Upgrades!$T$18="Open Cluster",POWER(Upgrades!$U$18,J81),1)*IF(Upgrades!$T$19="Open Cluster",POWER(Upgrades!$U$19,K81),1)*IF(Upgrades!$T$21="Open Cluster",POWER(Upgrades!$U$21,M81),1))+(IF(M81=0,0,(Upgrades!$J$21+M81*Upgrades!$K$21)*POWER(Upgrades!$L$21,M81)))*(IF(Upgrades!$T$13="Moving Group",POWER(Upgrades!$U$13,E81),1)*IF(Upgrades!$T$14="Moving Group",POWER(Upgrades!$U$14,F81),1)*IF(Upgrades!$T$15="Moving Group",POWER(Upgrades!$U$15,G81),1)*IF(Upgrades!$T$16="Moving Group",POWER(Upgrades!$U$16,H81),1)*IF(Upgrades!$T$17="Moving Group",POWER(Upgrades!$U$17,I81),1)*IF(Upgrades!$T$18="Moving Group",POWER(Upgrades!$U$18,J81),1)*IF(Upgrades!$T$19="Moving Group",POWER(Upgrades!$U$19,K81),1)*IF(Upgrades!$T$20="Moving Group",POWER(Upgrades!$U$20,L81),1)))*POWER(Upgrades!$Q$13,E81)*POWER(Upgrades!$Q$14,F81)*POWER(Upgrades!$Q$15,G81)*POWER(Upgrades!$Q$16,H81)*POWER(Upgrades!$Q$17,I81)*POWER(Upgrades!$Q$18,J81)*POWER(Upgrades!$Q$19,K81)*POWER(Upgrades!$Q$20,L81)*POWER(Upgrades!$Q$21,M81)*$G$6+$D$6</f>
        <v/>
      </c>
      <c r="P81" s="28">
        <f>((IF(E81=0,0,(Upgrades!$G$13+E81*Upgrades!$H$13)*POWER(Upgrades!$I$13,E81)))*(IF(Upgrades!$T$14="Stellar Kinematics",POWER(Upgrades!$U$14,F81),1)*IF(Upgrades!$T$15="Stellar Kinematics",POWER(Upgrades!$U$15,G81),1)*IF(Upgrades!$T$16="Stellar Kinematics",POWER(Upgrades!$U$16,H81),1)*IF(Upgrades!$T$17="Stellar Kinematics",POWER(Upgrades!$U$17,I81),1)*IF(Upgrades!$T$18="Stellar Kinematics",POWER(Upgrades!$U$18,J81),1)*IF(Upgrades!$T$19="Stellar Kinematics",POWER(Upgrades!$U$19,K81),1)*IF(Upgrades!$T$20="Stellar Kinematics",POWER(Upgrades!$U$20,L81),1)*IF(Upgrades!$T$21="Stellar Kinematics",POWER(Upgrades!$U$21,M81),1))+(IF(F81=0,0,(Upgrades!$G$14+F81*Upgrades!$H$14)*POWER(Upgrades!$I$14,F81)))*(IF(Upgrades!$T$13="Local Bubble",POWER(Upgrades!$U$13,E81),1)*IF(Upgrades!$T$15="Local Bubble",POWER(Upgrades!$U$15,G81),1)*IF(Upgrades!$T$16="Local Bubble",POWER(Upgrades!$U$16,H81),1)*IF(Upgrades!$T$17="Local Bubble",POWER(Upgrades!$U$17,I81),1)*IF(Upgrades!$T$18="Local Bubble",POWER(Upgrades!$U$18,J81),1)*IF(Upgrades!$T$19="Local Bubble",POWER(Upgrades!$U$19,K81),1)*IF(Upgrades!$T$20="Local Bubble",POWER(Upgrades!$U$20,L81),1)*IF(Upgrades!$T$21="Local Bubble",POWER(Upgrades!$U$21,M81),1))+(IF(G81=0,0,(Upgrades!$G$15+G81*Upgrades!$H$15)*POWER(Upgrades!$I$15,G81)))*(IF(Upgrades!$T$13="Microlensing",POWER(Upgrades!$U$13,E81),1)*IF(Upgrades!$T$14="Microlensing",POWER(Upgrades!$U$14,F81),1)*IF(Upgrades!$T$16="Microlensing",POWER(Upgrades!$U$16,H81),1)*IF(Upgrades!$T$17="Microlensing",POWER(Upgrades!$U$17,I81),1)*IF(Upgrades!$T$18="Microlensing",POWER(Upgrades!$U$18,J81),1)*IF(Upgrades!$T$19="Microlensing",POWER(Upgrades!$U$19,K81),1)*IF(Upgrades!$T$20="Microlensing",POWER(Upgrades!$U$20,L81),1)*IF(Upgrades!$T$21="Microlensing",POWER(Upgrades!$U$21,M81),1))+(IF(H81=0,0,(Upgrades!$G$16+H81*Upgrades!$H$16)*POWER(Upgrades!$I$16,H81)))*(IF(Upgrades!$T$13="Roche Lobe Overflow",POWER(Upgrades!$U$13,E81),1)*IF(Upgrades!$T$14="Roche Lobe Overflow",POWER(Upgrades!$U$14,F81),1)*IF(Upgrades!$T$15="Roche Lobe Overflow",POWER(Upgrades!$U$15,G81),1)*IF(Upgrades!$T$17="Roche Lobe Overflow",POWER(Upgrades!$U$17,I81),1)*IF(Upgrades!$T$18="Roche Lobe Overflow",POWER(Upgrades!$U$18,J81),1)*IF(Upgrades!$T$19="Roche Lobe Overflow",POWER(Upgrades!$U$19,K81),1)*IF(Upgrades!$T$20="Roche Lobe Overflow",POWER(Upgrades!$U$20,L81),1)*IF(Upgrades!$T$21="Roche Lobe Overflow",POWER(Upgrades!$U$21,M81),1))+(IF(I81=0,0,(Upgrades!$G$17+I81*Upgrades!$H$17)*POWER(Upgrades!$I$17,I81)))*(IF(Upgrades!$T$13="Brown Dwarf",POWER(Upgrades!$U$13,E81),1)*IF(Upgrades!$T$14="Brown Dwarf",POWER(Upgrades!$U$14,F81),1)*IF(Upgrades!$T$15="Brown Dwarf",POWER(Upgrades!$U$15,G81),1)*IF(Upgrades!$T$16="Brown Dwarf",POWER(Upgrades!$U$16,H81),1)*IF(Upgrades!$T$18="Brown Dwarf",POWER(Upgrades!$U$18,J81),1)*IF(Upgrades!$T$19="Brown Dwarf",POWER(Upgrades!$U$19,K81),1)*IF(Upgrades!$T$20="Brown Dwarf",POWER(Upgrades!$U$20,L81),1)*IF(Upgrades!$T$21="Brown Dwarf",POWER(Upgrades!$U$21,M81),1))+(IF(J81=0,0,(Upgrades!$G$18+J81*Upgrades!$H$18)*POWER(Upgrades!$I$18,J81)))*(IF(Upgrades!$T$13="Binary Partner",POWER(Upgrades!$U$13,E81),1)*IF(Upgrades!$T$14="Binary Partner",POWER(Upgrades!$U$14,F81),1)*IF(Upgrades!$T$15="Binary Partner",POWER(Upgrades!$U$15,G81),1)*IF(Upgrades!$T$16="Binary Partner",POWER(Upgrades!$U$16,H81),1)*IF(Upgrades!$T$17="Binary Partner",POWER(Upgrades!$U$17,I81),1)*IF(Upgrades!$T$19="Binary Partner",POWER(Upgrades!$U$19,K81),1)*IF(Upgrades!$T$20="Binary Partner",POWER(Upgrades!$U$20,L81),1)*IF(Upgrades!$T$21="Binary Partner",POWER(Upgrades!$U$21,M81),1))+(IF(K81=0,0,(Upgrades!$G$19+K81*Upgrades!$H$19)*POWER(Upgrades!$I$19,K81)))*(IF(Upgrades!$T$13="Peculiar Velocity",POWER(Upgrades!$U$13,E81),1)*IF(Upgrades!$T$14="Peculiar Velocity",POWER(Upgrades!$U$14,F81),1)*IF(Upgrades!$T$15="Peculiar Velocity",POWER(Upgrades!$U$15,G81),1)*IF(Upgrades!$T$16="Peculiar Velocity",POWER(Upgrades!$U$16,H81),1)*IF(Upgrades!$T$17="Peculiar Velocity",POWER(Upgrades!$U$17,I81),1)*IF(Upgrades!$T$18="Peculiar Velocity",POWER(Upgrades!$U$18,J81),1)*IF(Upgrades!$T$20="Peculiar Velocity",POWER(Upgrades!$U$20,L81),1)*IF(Upgrades!$T$21="Peculiar Velocity",POWER(Upgrades!$U$21,M81),1))+(IF(L81=0,0,(Upgrades!$G$20+L81*Upgrades!$H$20)*POWER(Upgrades!$I$20,L81)))*(IF(Upgrades!$T$13="Open Cluster",POWER(Upgrades!$U$13,E81),1)*IF(Upgrades!$T$14="Open Cluster",POWER(Upgrades!$U$14,F81),1)*IF(Upgrades!$T$15="Open Cluster",POWER(Upgrades!$U$15,G81),1)*IF(Upgrades!$T$16="Open Cluster",POWER(Upgrades!$U$16,H81),1)*IF(Upgrades!$T$17="Open Cluster",POWER(Upgrades!$U$17,I81),1)*IF(Upgrades!$T$18="Open Cluster",POWER(Upgrades!$U$18,J81),1)*IF(Upgrades!$T$19="Open Cluster",POWER(Upgrades!$U$19,K81),1)*IF(Upgrades!$T$21="Open Cluster",POWER(Upgrades!$U$21,M81),1))+(IF(M81=0,0,(Upgrades!$G$21+M81*Upgrades!$H$21)*POWER(Upgrades!$I$21,M81)))*(IF(Upgrades!$T$13="Moving Group",POWER(Upgrades!$U$13,E81),1)*IF(Upgrades!$T$14="Moving Group",POWER(Upgrades!$U$14,F81),1)*IF(Upgrades!$T$15="Moving Group",POWER(Upgrades!$U$15,G81),1)*IF(Upgrades!$T$16="Moving Group",POWER(Upgrades!$U$16,H81),1)*IF(Upgrades!$T$17="Moving Group",POWER(Upgrades!$U$17,I81),1)*IF(Upgrades!$T$18="Moving Group",POWER(Upgrades!$U$18,J81),1)*IF(Upgrades!$T$19="Moving Group",POWER(Upgrades!$U$19,K81),1)*IF(Upgrades!$T$20="Moving Group",POWER(Upgrades!$U$20,L81),1)))*POWER(Upgrades!$P$13,E81)*POWER(Upgrades!$P$14,F81)*POWER(Upgrades!$P$15,G81)*POWER(Upgrades!$P$16,H81)*POWER(Upgrades!$P$17,I81)*POWER(Upgrades!$P$18,J81)*POWER(Upgrades!$P$19,K81)*POWER(Upgrades!$P$20,L81)*POWER(Upgrades!$P$21,M81)*$F$6+$C$6</f>
        <v/>
      </c>
      <c r="Q81" s="28">
        <f>((IF(E81=0,0,(Upgrades!$M$13+E81*Upgrades!$N$13)*POWER(Upgrades!$O$13,E81)))*(IF(Upgrades!$T$14="Stellar Kinematics",POWER(Upgrades!$U$14,F81),1)*IF(Upgrades!$T$15="Stellar Kinematics",POWER(Upgrades!$U$15,G81),1)*IF(Upgrades!$T$16="Stellar Kinematics",POWER(Upgrades!$U$16,H81),1)*IF(Upgrades!$T$17="Stellar Kinematics",POWER(Upgrades!$U$17,I81),1)*IF(Upgrades!$T$18="Stellar Kinematics",POWER(Upgrades!$U$18,J81),1)*IF(Upgrades!$T$19="Stellar Kinematics",POWER(Upgrades!$U$19,K81),1)*IF(Upgrades!$T$20="Stellar Kinematics",POWER(Upgrades!$U$20,L81),1)*IF(Upgrades!$T$21="Stellar Kinematics",POWER(Upgrades!$U$21,M81),1))+(IF(F81=0,0,(Upgrades!$M$14+F81*Upgrades!$N$14)*POWER(Upgrades!$O$14,F81)))*(IF(Upgrades!$T$13="Local Bubble",POWER(Upgrades!$U$13,E81),1)*IF(Upgrades!$T$15="Local Bubble",POWER(Upgrades!$U$15,G81),1)*IF(Upgrades!$T$16="Local Bubble",POWER(Upgrades!$U$16,H81),1)*IF(Upgrades!$T$17="Local Bubble",POWER(Upgrades!$U$17,I81),1)*IF(Upgrades!$T$18="Local Bubble",POWER(Upgrades!$U$18,J81),1)*IF(Upgrades!$T$19="Local Bubble",POWER(Upgrades!$U$19,K81),1)*IF(Upgrades!$T$20="Local Bubble",POWER(Upgrades!$U$20,L81),1)*IF(Upgrades!$T$21="Local Bubble",POWER(Upgrades!$U$21,M81),1))+(IF(G81=0,0,(Upgrades!$M$15+G81*Upgrades!$N$15)*POWER(Upgrades!$O$15,G81)))*(IF(Upgrades!$T$13="Microlensing",POWER(Upgrades!$U$13,E81),1)*IF(Upgrades!$T$14="Microlensing",POWER(Upgrades!$U$14,F81),1)*IF(Upgrades!$T$16="Microlensing",POWER(Upgrades!$U$16,H81),1)*IF(Upgrades!$T$17="Microlensing",POWER(Upgrades!$U$17,I81),1)*IF(Upgrades!$T$18="Microlensing",POWER(Upgrades!$U$18,J81),1)*IF(Upgrades!$T$19="Microlensing",POWER(Upgrades!$U$19,K81),1)*IF(Upgrades!$T$20="Microlensing",POWER(Upgrades!$U$20,L81),1)*IF(Upgrades!$T$21="Microlensing",POWER(Upgrades!$U$21,M81),1))+(IF(H81=0,0,(Upgrades!$M$16+H81*Upgrades!$N$16)*POWER(Upgrades!$O$16,H81)))*(IF(Upgrades!$T$13="Roche Lobe Overflow",POWER(Upgrades!$U$13,E81),1)*IF(Upgrades!$T$14="Roche Lobe Overflow",POWER(Upgrades!$U$14,F81),1)*IF(Upgrades!$T$15="Roche Lobe Overflow",POWER(Upgrades!$U$15,G81),1)*IF(Upgrades!$T$17="Roche Lobe Overflow",POWER(Upgrades!$U$17,I81),1)*IF(Upgrades!$T$18="Roche Lobe Overflow",POWER(Upgrades!$U$18,J81),1)*IF(Upgrades!$T$19="Roche Lobe Overflow",POWER(Upgrades!$U$19,K81),1)*IF(Upgrades!$T$20="Roche Lobe Overflow",POWER(Upgrades!$U$20,L81),1)*IF(Upgrades!$T$21="Roche Lobe Overflow",POWER(Upgrades!$U$21,M81),1))+(IF(I81=0,0,(Upgrades!$M$17+I81*Upgrades!$N$17)*POWER(Upgrades!$O$17,I81)))*(IF(Upgrades!$T$13="Brown Dwarf",POWER(Upgrades!$U$13,E81),1)*IF(Upgrades!$T$14="Brown Dwarf",POWER(Upgrades!$U$14,F81),1)*IF(Upgrades!$T$15="Brown Dwarf",POWER(Upgrades!$U$15,G81),1)*IF(Upgrades!$T$16="Brown Dwarf",POWER(Upgrades!$U$16,H81),1)*IF(Upgrades!$T$18="Brown Dwarf",POWER(Upgrades!$U$18,J81),1)*IF(Upgrades!$T$19="Brown Dwarf",POWER(Upgrades!$U$19,K81),1)*IF(Upgrades!$T$20="Brown Dwarf",POWER(Upgrades!$U$20,L81),1)*IF(Upgrades!$T$21="Brown Dwarf",POWER(Upgrades!$U$21,M81),1))+(IF(J81=0,0,(Upgrades!$M$18+J81*Upgrades!$N$18)*POWER(Upgrades!$O$18,J81)))*(IF(Upgrades!$T$13="Binary Partner",POWER(Upgrades!$U$13,E81),1)*IF(Upgrades!$T$14="Binary Partner",POWER(Upgrades!$U$14,F81),1)*IF(Upgrades!$T$15="Binary Partner",POWER(Upgrades!$U$15,G81),1)*IF(Upgrades!$T$16="Binary Partner",POWER(Upgrades!$U$16,H81),1)*IF(Upgrades!$T$17="Binary Partner",POWER(Upgrades!$U$17,I81),1)*IF(Upgrades!$T$19="Binary Partner",POWER(Upgrades!$U$19,K81),1)*IF(Upgrades!$T$20="Binary Partner",POWER(Upgrades!$U$20,L81),1)*IF(Upgrades!$T$21="Binary Partner",POWER(Upgrades!$U$21,M81),1))+(IF(K81=0,0,(Upgrades!$M$19+K81*Upgrades!$N$19)*POWER(Upgrades!$O$19,K81)))*(IF(Upgrades!$T$13="Peculiar Velocity",POWER(Upgrades!$U$13,E81),1)*IF(Upgrades!$T$14="Peculiar Velocity",POWER(Upgrades!$U$14,F81),1)*IF(Upgrades!$T$15="Peculiar Velocity",POWER(Upgrades!$U$15,G81),1)*IF(Upgrades!$T$16="Peculiar Velocity",POWER(Upgrades!$U$16,H81),1)*IF(Upgrades!$T$17="Peculiar Velocity",POWER(Upgrades!$U$17,I81),1)*IF(Upgrades!$T$18="Peculiar Velocity",POWER(Upgrades!$U$18,J81),1)*IF(Upgrades!$T$20="Peculiar Velocity",POWER(Upgrades!$U$20,L81),1)*IF(Upgrades!$T$21="Peculiar Velocity",POWER(Upgrades!$U$21,M81),1))+(IF(L81=0,0,(Upgrades!$M$20+L81*Upgrades!$N$20)*POWER(Upgrades!$O$20,L81)))*(IF(Upgrades!$T$13="Open Cluster",POWER(Upgrades!$U$13,E81),1)*IF(Upgrades!$T$14="Open Cluster",POWER(Upgrades!$U$14,F81),1)*IF(Upgrades!$T$15="Open Cluster",POWER(Upgrades!$U$15,G81),1)*IF(Upgrades!$T$16="Open Cluster",POWER(Upgrades!$U$16,H81),1)*IF(Upgrades!$T$17="Open Cluster",POWER(Upgrades!$U$17,I81),1)*IF(Upgrades!$T$18="Open Cluster",POWER(Upgrades!$U$18,J81),1)*IF(Upgrades!$T$19="Open Cluster",POWER(Upgrades!$U$19,K81),1)*IF(Upgrades!$T$21="Open Cluster",POWER(Upgrades!$U$21,M81),1))+(IF(M81=0,0,(Upgrades!$M$21+M81*Upgrades!$N$21)*POWER(Upgrades!$O$21,M81)))*(IF(Upgrades!$T$13="Moving Group",POWER(Upgrades!$U$13,E81),1)*IF(Upgrades!$T$14="Moving Group",POWER(Upgrades!$U$14,F81),1)*IF(Upgrades!$T$15="Moving Group",POWER(Upgrades!$U$15,G81),1)*IF(Upgrades!$T$16="Moving Group",POWER(Upgrades!$U$16,H81),1)*IF(Upgrades!$T$17="Moving Group",POWER(Upgrades!$U$17,I81),1)*IF(Upgrades!$T$18="Moving Group",POWER(Upgrades!$U$18,J81),1)*IF(Upgrades!$T$19="Moving Group",POWER(Upgrades!$U$19,K81),1)*IF(Upgrades!$T$20="Moving Group",POWER(Upgrades!$U$20,L81),1)))*POWER(Upgrades!$R$13,E81)*POWER(Upgrades!$R$14,F81)*POWER(Upgrades!$R$15,G81)*POWER(Upgrades!$R$16,H81)*POWER(Upgrades!$R$17,I81)*POWER(Upgrades!$R$18,J81)*POWER(Upgrades!$R$19,K81)*POWER(Upgrades!$R$20,L81)*POWER(Upgrades!$R$21,M81)*$H$6+$E$6</f>
        <v/>
      </c>
      <c r="R81" s="27">
        <f>IF(N81=1,0,O81*Parameters!$B$10/60*Parameters!$B$11*10)</f>
        <v/>
      </c>
      <c r="S81" s="27">
        <f>IF(N81=1,0,Q81*O81*10)</f>
        <v/>
      </c>
      <c r="T81" s="27">
        <f>IF(N81=1,0,R81+S81+P81*10)</f>
        <v/>
      </c>
      <c r="U81" s="33">
        <f>BE81</f>
        <v/>
      </c>
      <c r="V81" s="22">
        <f>IF(U81="",0,IF(U81="transition",0,IF(U81="SK",AK81,IF(U81="LB",AL81,IF(U81="ML",AM81,IF(U81="RLO",AN81,IF(U81="BD",AO81,IF(U81="BiP",AP81,IF(U81="PV",AQ81,IF(U81="OC",AR81,IF(U81="MG",AS81,0))))))))))</f>
        <v/>
      </c>
      <c r="W81" s="27">
        <f>IF(U81="BiP",Upgrades!$F$18,IF(U81="PV",Upgrades!$F$19,IF(U81="OC",Upgrades!$F$20,IF(U81="MG",Upgrades!$F$21,IF(U81="transition",-Parameters!$B$18*Parameters!$B$19,0)))))</f>
        <v/>
      </c>
      <c r="X81" s="22">
        <f>C81+T81-V81</f>
        <v/>
      </c>
      <c r="Y81" s="30">
        <f>O81*Parameters!$B$10/60*Parameters!$B$11+Q81*O81+P81</f>
        <v/>
      </c>
      <c r="Z81" s="34">
        <f>IF(U81="transition","→ Tier 3 (Galactic Arm)",IF(U81="MG","Moving Group — pocket drifts together",IF(U81="OC","Open Cluster acquired",IF(U81="PV","Peculiar Velocity — passive multiplier active",IF(U81="BiP","Binary Partner — pair bond formed",IF(AND(AU81=1,N81=0,AT81&lt;&gt;1),"Cohesion ready (waiting on completionists)","")))))) </f>
        <v/>
      </c>
      <c r="AA81" s="27">
        <f>(IF(E81=0,0,(Upgrades!$G$13+E81*Upgrades!$H$13)*POWER(Upgrades!$I$13,E81)))*(IF(Upgrades!$T$14="Stellar Kinematics",POWER(Upgrades!$U$14,F81),1)*IF(Upgrades!$T$15="Stellar Kinematics",POWER(Upgrades!$U$15,G81),1)*IF(Upgrades!$T$16="Stellar Kinematics",POWER(Upgrades!$U$16,H81),1)*IF(Upgrades!$T$17="Stellar Kinematics",POWER(Upgrades!$U$17,I81),1)*IF(Upgrades!$T$18="Stellar Kinematics",POWER(Upgrades!$U$18,J81),1)*IF(Upgrades!$T$19="Stellar Kinematics",POWER(Upgrades!$U$19,K81),1)*IF(Upgrades!$T$20="Stellar Kinematics",POWER(Upgrades!$U$20,L81),1)*IF(Upgrades!$T$21="Stellar Kinematics",POWER(Upgrades!$U$21,M81),1))*POWER(Upgrades!$P$13,E81)*POWER(Upgrades!$P$14,F81)*POWER(Upgrades!$P$15,G81)*POWER(Upgrades!$P$16,H81)*POWER(Upgrades!$P$17,I81)*POWER(Upgrades!$P$18,J81)*POWER(Upgrades!$P$19,K81)*POWER(Upgrades!$P$20,L81)*POWER(Upgrades!$P$21,M81)*$F$6*60</f>
        <v/>
      </c>
      <c r="AB81" s="27">
        <f>(IF(F81=0,0,(Upgrades!$G$14+F81*Upgrades!$H$14)*POWER(Upgrades!$I$14,F81)))*(IF(Upgrades!$T$13="Local Bubble",POWER(Upgrades!$U$13,E81),1)*IF(Upgrades!$T$15="Local Bubble",POWER(Upgrades!$U$15,G81),1)*IF(Upgrades!$T$16="Local Bubble",POWER(Upgrades!$U$16,H81),1)*IF(Upgrades!$T$17="Local Bubble",POWER(Upgrades!$U$17,I81),1)*IF(Upgrades!$T$18="Local Bubble",POWER(Upgrades!$U$18,J81),1)*IF(Upgrades!$T$19="Local Bubble",POWER(Upgrades!$U$19,K81),1)*IF(Upgrades!$T$20="Local Bubble",POWER(Upgrades!$U$20,L81),1)*IF(Upgrades!$T$21="Local Bubble",POWER(Upgrades!$U$21,M81),1))*POWER(Upgrades!$P$13,E81)*POWER(Upgrades!$P$14,F81)*POWER(Upgrades!$P$15,G81)*POWER(Upgrades!$P$16,H81)*POWER(Upgrades!$P$17,I81)*POWER(Upgrades!$P$18,J81)*POWER(Upgrades!$P$19,K81)*POWER(Upgrades!$P$20,L81)*POWER(Upgrades!$P$21,M81)*$F$6*60</f>
        <v/>
      </c>
      <c r="AC81" s="27">
        <f>(IF(G81=0,0,(Upgrades!$J$15+G81*Upgrades!$K$15)*POWER(Upgrades!$L$15,G81)))*(IF(Upgrades!$T$13="Microlensing",POWER(Upgrades!$U$13,E81),1)*IF(Upgrades!$T$14="Microlensing",POWER(Upgrades!$U$14,F81),1)*IF(Upgrades!$T$16="Microlensing",POWER(Upgrades!$U$16,H81),1)*IF(Upgrades!$T$17="Microlensing",POWER(Upgrades!$U$17,I81),1)*IF(Upgrades!$T$18="Microlensing",POWER(Upgrades!$U$18,J81),1)*IF(Upgrades!$T$19="Microlensing",POWER(Upgrades!$U$19,K81),1)*IF(Upgrades!$T$20="Microlensing",POWER(Upgrades!$U$20,L81),1)*IF(Upgrades!$T$21="Microlensing",POWER(Upgrades!$U$21,M81),1))*POWER(Upgrades!$Q$13,E81)*POWER(Upgrades!$Q$14,F81)*POWER(Upgrades!$Q$15,G81)*POWER(Upgrades!$Q$16,H81)*POWER(Upgrades!$Q$17,I81)*POWER(Upgrades!$Q$18,J81)*POWER(Upgrades!$Q$19,K81)*POWER(Upgrades!$Q$20,L81)*POWER(Upgrades!$Q$21,M81)*$G$6*(Parameters!$B$10*Parameters!$B$11+Q81*60)</f>
        <v/>
      </c>
      <c r="AD81" s="27">
        <f>(IF(H81=0,0,(Upgrades!$M$16+H81*Upgrades!$N$16)*POWER(Upgrades!$O$16,H81)))*(IF(Upgrades!$T$13="Roche Lobe Overflow",POWER(Upgrades!$U$13,E81),1)*IF(Upgrades!$T$14="Roche Lobe Overflow",POWER(Upgrades!$U$14,F81),1)*IF(Upgrades!$T$15="Roche Lobe Overflow",POWER(Upgrades!$U$15,G81),1)*IF(Upgrades!$T$17="Roche Lobe Overflow",POWER(Upgrades!$U$17,I81),1)*IF(Upgrades!$T$18="Roche Lobe Overflow",POWER(Upgrades!$U$18,J81),1)*IF(Upgrades!$T$19="Roche Lobe Overflow",POWER(Upgrades!$U$19,K81),1)*IF(Upgrades!$T$20="Roche Lobe Overflow",POWER(Upgrades!$U$20,L81),1)*IF(Upgrades!$T$21="Roche Lobe Overflow",POWER(Upgrades!$U$21,M81),1))*POWER(Upgrades!$R$13,E81)*POWER(Upgrades!$R$14,F81)*POWER(Upgrades!$R$15,G81)*POWER(Upgrades!$R$16,H81)*POWER(Upgrades!$R$17,I81)*POWER(Upgrades!$R$18,J81)*POWER(Upgrades!$R$19,K81)*POWER(Upgrades!$R$20,L81)*POWER(Upgrades!$R$21,M81)*$H$6*O81*60</f>
        <v/>
      </c>
      <c r="AE81" s="27">
        <f>(IF(I81=0,0,(Upgrades!$G$17+I81*Upgrades!$H$17)*POWER(Upgrades!$I$17,I81)))*(IF(Upgrades!$T$13="Brown Dwarf",POWER(Upgrades!$U$13,E81),1)*IF(Upgrades!$T$14="Brown Dwarf",POWER(Upgrades!$U$14,F81),1)*IF(Upgrades!$T$15="Brown Dwarf",POWER(Upgrades!$U$15,G81),1)*IF(Upgrades!$T$16="Brown Dwarf",POWER(Upgrades!$U$16,H81),1)*IF(Upgrades!$T$18="Brown Dwarf",POWER(Upgrades!$U$18,J81),1)*IF(Upgrades!$T$19="Brown Dwarf",POWER(Upgrades!$U$19,K81),1)*IF(Upgrades!$T$20="Brown Dwarf",POWER(Upgrades!$U$20,L81),1)*IF(Upgrades!$T$21="Brown Dwarf",POWER(Upgrades!$U$21,M81),1))*POWER(Upgrades!$P$13,E81)*POWER(Upgrades!$P$14,F81)*POWER(Upgrades!$P$15,G81)*POWER(Upgrades!$P$16,H81)*POWER(Upgrades!$P$17,I81)*POWER(Upgrades!$P$18,J81)*POWER(Upgrades!$P$19,K81)*POWER(Upgrades!$P$20,L81)*POWER(Upgrades!$P$21,M81)*$F$6*60</f>
        <v/>
      </c>
      <c r="AF81" s="27" t="n">
        <v>0</v>
      </c>
      <c r="AG81" s="27" t="n">
        <v>0</v>
      </c>
      <c r="AH81" s="27" t="n">
        <v>0</v>
      </c>
      <c r="AI81" s="27">
        <f>(IF(M81=0,0,(Upgrades!$G$21+M81*Upgrades!$H$21)*POWER(Upgrades!$I$21,M81)))*(IF(Upgrades!$T$13="Moving Group",POWER(Upgrades!$U$13,E81),1)*IF(Upgrades!$T$14="Moving Group",POWER(Upgrades!$U$14,F81),1)*IF(Upgrades!$T$15="Moving Group",POWER(Upgrades!$U$15,G81),1)*IF(Upgrades!$T$16="Moving Group",POWER(Upgrades!$U$16,H81),1)*IF(Upgrades!$T$17="Moving Group",POWER(Upgrades!$U$17,I81),1)*IF(Upgrades!$T$18="Moving Group",POWER(Upgrades!$U$18,J81),1)*IF(Upgrades!$T$19="Moving Group",POWER(Upgrades!$U$19,K81),1)*IF(Upgrades!$T$20="Moving Group",POWER(Upgrades!$U$20,L81),1))*POWER(Upgrades!$P$13,E81)*POWER(Upgrades!$P$14,F81)*POWER(Upgrades!$P$15,G81)*POWER(Upgrades!$P$16,H81)*POWER(Upgrades!$P$17,I81)*POWER(Upgrades!$P$18,J81)*POWER(Upgrades!$P$19,K81)*POWER(Upgrades!$P$20,L81)*POWER(Upgrades!$P$21,M81)*$F$6*60</f>
        <v/>
      </c>
      <c r="AJ81" s="27">
        <f>$C$6*60</f>
        <v/>
      </c>
      <c r="AK81" s="22">
        <f>IF(E81&gt;=Upgrades!$E$13,"",Upgrades!$C$13*POWER(Upgrades!$D$13,E81))</f>
        <v/>
      </c>
      <c r="AL81" s="22">
        <f>IF(F81&gt;=Upgrades!$E$14,"",Upgrades!$C$14*POWER(Upgrades!$D$14,F81))</f>
        <v/>
      </c>
      <c r="AM81" s="22">
        <f>IF(G81&gt;=Upgrades!$E$15,"",Upgrades!$C$15*POWER(Upgrades!$D$15,G81))</f>
        <v/>
      </c>
      <c r="AN81" s="22">
        <f>IF(H81&gt;=Upgrades!$E$16,"",Upgrades!$C$16*POWER(Upgrades!$D$16,H81))</f>
        <v/>
      </c>
      <c r="AO81" s="22">
        <f>IF(I81&gt;=Upgrades!$E$17,"",Upgrades!$C$17*POWER(Upgrades!$D$17,I81))</f>
        <v/>
      </c>
      <c r="AP81" s="22">
        <f>IF(J81&gt;=Upgrades!$E$18,"",Upgrades!$C$18*POWER(Upgrades!$D$18,J81))</f>
        <v/>
      </c>
      <c r="AQ81" s="22">
        <f>IF(K81&gt;=Upgrades!$E$19,"",Upgrades!$C$19*POWER(Upgrades!$D$19,K81))</f>
        <v/>
      </c>
      <c r="AR81" s="22">
        <f>IF(L81&gt;=Upgrades!$E$20,"",Upgrades!$C$20*POWER(Upgrades!$D$20,L81))</f>
        <v/>
      </c>
      <c r="AS81" s="22">
        <f>IF(M81&gt;=Upgrades!$E$21,"",Upgrades!$C$21*POWER(Upgrades!$D$21,M81))</f>
        <v/>
      </c>
      <c r="AT81" s="26">
        <f>IF(AND(D81&gt;=Parameters!$B$18*Parameters!$B$19,(I81&gt;=Upgrades!$E$17)*(M81&gt;=Upgrades!$E$21)=1,N81=0),1,"")</f>
        <v/>
      </c>
      <c r="AU81" s="26">
        <f>IF(AND(D81&gt;=Parameters!$B$18*Parameters!$B$19,N81=0),1,"")</f>
        <v/>
      </c>
      <c r="AV81" s="22">
        <f>MIN(IF(ISNUMBER(AP81),AP81,9E15),IF(ISNUMBER(AQ81),AQ81,9E15),IF(ISNUMBER(AR81),AR81,9E15),IF(ISNUMBER(AS81),AS81,9E15))</f>
        <v/>
      </c>
      <c r="AW81" s="22">
        <f>MIN(IF(ISNUMBER(AK81),AK81,9E15),IF(ISNUMBER(AL81),AL81,9E15),IF(ISNUMBER(AM81),AM81,9E15),IF(ISNUMBER(AN81),AN81,9E15),IF(ISNUMBER(AO81),AO81,9E15))</f>
        <v/>
      </c>
      <c r="AX81" s="29">
        <f>IF(BD81&gt;Parameters!$B$21*(MAX(IF(AND(NOT(AND(AU81=1,AT81&lt;&gt;1)),ISNUMBER(AK81),AK81&lt;=(C81+T81)),AY81,0),IF(AND(NOT(AND(AU81=1,AT81&lt;&gt;1)),ISNUMBER(AL81),AL81&lt;=(C81+T81)),AZ81,0),IF(AND(NOT(AND(AU81=1,AT81&lt;&gt;1)),ISNUMBER(AM81),AM81&lt;=(C81+T81)),BA81,0),IF(AND(NOT(AND(AU81=1,AT81&lt;&gt;1)),ISNUMBER(AN81),AN81&lt;=(C81+T81)),BB81,0),IF(AND(ISNUMBER(AO81),AO81&lt;=(C81+T81)),BC81,0))),TRUE,FALSE)</f>
        <v/>
      </c>
      <c r="AY81" s="32">
        <f>IFERROR(Upgrades!$H$13*(POWER(Upgrades!$P$13,E81)*POWER(Upgrades!$P$14,F81)*POWER(Upgrades!$P$15,G81)*POWER(Upgrades!$P$16,H81)*POWER(Upgrades!$P$17,I81)*POWER(Upgrades!$P$18,J81)*POWER(Upgrades!$P$19,K81)*POWER(Upgrades!$P$20,L81)*POWER(Upgrades!$P$21,M81))*(IF(Upgrades!$T$14="Stellar Kinematics",POWER(Upgrades!$U$14,F81),1)*IF(Upgrades!$T$15="Stellar Kinematics",POWER(Upgrades!$U$15,G81),1)*IF(Upgrades!$T$16="Stellar Kinematics",POWER(Upgrades!$U$16,H81),1)*IF(Upgrades!$T$17="Stellar Kinematics",POWER(Upgrades!$U$17,I81),1)*IF(Upgrades!$T$18="Stellar Kinematics",POWER(Upgrades!$U$18,J81),1)*IF(Upgrades!$T$19="Stellar Kinematics",POWER(Upgrades!$U$19,K81),1)*IF(Upgrades!$T$20="Stellar Kinematics",POWER(Upgrades!$U$20,L81),1)*IF(Upgrades!$T$21="Stellar Kinematics",POWER(Upgrades!$U$21,M81),1))*$F$6/AK81,0)</f>
        <v/>
      </c>
      <c r="AZ81" s="32">
        <f>IFERROR(Upgrades!$H$14*(POWER(Upgrades!$P$13,E81)*POWER(Upgrades!$P$14,F81)*POWER(Upgrades!$P$15,G81)*POWER(Upgrades!$P$16,H81)*POWER(Upgrades!$P$17,I81)*POWER(Upgrades!$P$18,J81)*POWER(Upgrades!$P$19,K81)*POWER(Upgrades!$P$20,L81)*POWER(Upgrades!$P$21,M81))*(IF(Upgrades!$T$13="Local Bubble",POWER(Upgrades!$U$13,E81),1)*IF(Upgrades!$T$15="Local Bubble",POWER(Upgrades!$U$15,G81),1)*IF(Upgrades!$T$16="Local Bubble",POWER(Upgrades!$U$16,H81),1)*IF(Upgrades!$T$17="Local Bubble",POWER(Upgrades!$U$17,I81),1)*IF(Upgrades!$T$18="Local Bubble",POWER(Upgrades!$U$18,J81),1)*IF(Upgrades!$T$19="Local Bubble",POWER(Upgrades!$U$19,K81),1)*IF(Upgrades!$T$20="Local Bubble",POWER(Upgrades!$U$20,L81),1)*IF(Upgrades!$T$21="Local Bubble",POWER(Upgrades!$U$21,M81),1))*$F$6/AL81,0)</f>
        <v/>
      </c>
      <c r="BA81" s="32">
        <f>IFERROR(Upgrades!$K$15*(POWER(Upgrades!$Q$13,E81)*POWER(Upgrades!$Q$14,F81)*POWER(Upgrades!$Q$15,G81)*POWER(Upgrades!$Q$16,H81)*POWER(Upgrades!$Q$17,I81)*POWER(Upgrades!$Q$18,J81)*POWER(Upgrades!$Q$19,K81)*POWER(Upgrades!$Q$20,L81)*POWER(Upgrades!$Q$21,M81))*(IF(Upgrades!$T$13="Microlensing",POWER(Upgrades!$U$13,E81),1)*IF(Upgrades!$T$14="Microlensing",POWER(Upgrades!$U$14,F81),1)*IF(Upgrades!$T$16="Microlensing",POWER(Upgrades!$U$16,H81),1)*IF(Upgrades!$T$17="Microlensing",POWER(Upgrades!$U$17,I81),1)*IF(Upgrades!$T$18="Microlensing",POWER(Upgrades!$U$18,J81),1)*IF(Upgrades!$T$19="Microlensing",POWER(Upgrades!$U$19,K81),1)*IF(Upgrades!$T$20="Microlensing",POWER(Upgrades!$U$20,L81),1)*IF(Upgrades!$T$21="Microlensing",POWER(Upgrades!$U$21,M81),1))*$G$6*(Parameters!$B$10/60*Parameters!$B$11+Q81)/AM81,0)</f>
        <v/>
      </c>
      <c r="BB81" s="32">
        <f>IFERROR((Upgrades!$N$16*(POWER(Upgrades!$R$13,E81)*POWER(Upgrades!$R$14,F81)*POWER(Upgrades!$R$15,G81)*POWER(Upgrades!$R$16,H81)*POWER(Upgrades!$R$17,I81)*POWER(Upgrades!$R$18,J81)*POWER(Upgrades!$R$19,K81)*POWER(Upgrades!$R$20,L81)*POWER(Upgrades!$R$21,M81))*(IF(Upgrades!$T$13="Roche Lobe Overflow",POWER(Upgrades!$U$13,E81),1)*IF(Upgrades!$T$14="Roche Lobe Overflow",POWER(Upgrades!$U$14,F81),1)*IF(Upgrades!$T$15="Roche Lobe Overflow",POWER(Upgrades!$U$15,G81),1)*IF(Upgrades!$T$17="Roche Lobe Overflow",POWER(Upgrades!$U$17,I81),1)*IF(Upgrades!$T$18="Roche Lobe Overflow",POWER(Upgrades!$U$18,J81),1)*IF(Upgrades!$T$19="Roche Lobe Overflow",POWER(Upgrades!$U$19,K81),1)*IF(Upgrades!$T$20="Roche Lobe Overflow",POWER(Upgrades!$U$20,L81),1)*IF(Upgrades!$T$21="Roche Lobe Overflow",POWER(Upgrades!$U$21,M81),1))*$H$6*O81+((IF(F81=0,0,(Upgrades!$G$14+F81*Upgrades!$H$14)*POWER(Upgrades!$I$14,F81)))*(IF(Upgrades!$T$13="Local Bubble",POWER(Upgrades!$U$13,E81),1)*IF(Upgrades!$T$15="Local Bubble",POWER(Upgrades!$U$15,G81),1)*IF(Upgrades!$T$16="Local Bubble",POWER(Upgrades!$U$16,H81),1)*IF(Upgrades!$T$17="Local Bubble",POWER(Upgrades!$U$17,I81),1)*IF(Upgrades!$T$18="Local Bubble",POWER(Upgrades!$U$18,J81),1)*IF(Upgrades!$T$19="Local Bubble",POWER(Upgrades!$U$19,K81),1)*IF(Upgrades!$T$20="Local Bubble",POWER(Upgrades!$U$20,L81),1)*IF(Upgrades!$T$21="Local Bubble",POWER(Upgrades!$U$21,M81),1))*POWER(Upgrades!$P$13,E81)*POWER(Upgrades!$P$14,F81)*POWER(Upgrades!$P$15,G81)*POWER(Upgrades!$P$16,H81)*POWER(Upgrades!$P$17,I81)*POWER(Upgrades!$P$18,J81)*POWER(Upgrades!$P$19,K81)*POWER(Upgrades!$P$20,L81)*POWER(Upgrades!$P$21,M81)*$F$6)*0.05)/AN81,0)</f>
        <v/>
      </c>
      <c r="BC81" s="32">
        <f>IFERROR((Upgrades!$H$17*(POWER(Upgrades!$P$13,E81)*POWER(Upgrades!$P$14,F81)*POWER(Upgrades!$P$15,G81)*POWER(Upgrades!$P$16,H81)*POWER(Upgrades!$P$17,I81)*POWER(Upgrades!$P$18,J81)*POWER(Upgrades!$P$19,K81)*POWER(Upgrades!$P$20,L81)*POWER(Upgrades!$P$21,M81))*(IF(Upgrades!$T$13="Brown Dwarf",POWER(Upgrades!$U$13,E81),1)*IF(Upgrades!$T$14="Brown Dwarf",POWER(Upgrades!$U$14,F81),1)*IF(Upgrades!$T$15="Brown Dwarf",POWER(Upgrades!$U$15,G81),1)*IF(Upgrades!$T$16="Brown Dwarf",POWER(Upgrades!$U$16,H81),1)*IF(Upgrades!$T$18="Brown Dwarf",POWER(Upgrades!$U$18,J81),1)*IF(Upgrades!$T$19="Brown Dwarf",POWER(Upgrades!$U$19,K81),1)*IF(Upgrades!$T$20="Brown Dwarf",POWER(Upgrades!$U$20,L81),1)*IF(Upgrades!$T$21="Brown Dwarf",POWER(Upgrades!$U$21,M81),1))*$F$6+(((IF(H81=0,0,(Upgrades!$M$16+H81*Upgrades!$N$16)*POWER(Upgrades!$O$16,H81)))*(IF(Upgrades!$T$13="Roche Lobe Overflow",POWER(Upgrades!$U$13,E81),1)*IF(Upgrades!$T$14="Roche Lobe Overflow",POWER(Upgrades!$U$14,F81),1)*IF(Upgrades!$T$15="Roche Lobe Overflow",POWER(Upgrades!$U$15,G81),1)*IF(Upgrades!$T$17="Roche Lobe Overflow",POWER(Upgrades!$U$17,I81),1)*IF(Upgrades!$T$18="Roche Lobe Overflow",POWER(Upgrades!$U$18,J81),1)*IF(Upgrades!$T$19="Roche Lobe Overflow",POWER(Upgrades!$U$19,K81),1)*IF(Upgrades!$T$20="Roche Lobe Overflow",POWER(Upgrades!$U$20,L81),1)*IF(Upgrades!$T$21="Roche Lobe Overflow",POWER(Upgrades!$U$21,M81),1))*POWER(Upgrades!$R$13,E81)*POWER(Upgrades!$R$14,F81)*POWER(Upgrades!$R$15,G81)*POWER(Upgrades!$R$16,H81)*POWER(Upgrades!$R$17,I81)*POWER(Upgrades!$R$18,J81)*POWER(Upgrades!$R$19,K81)*POWER(Upgrades!$R$20,L81)*POWER(Upgrades!$R$21,M81)*$H$6)*O81)*0.10)/AO81,0)</f>
        <v/>
      </c>
      <c r="BD81" s="32">
        <f>MAX(IF(J81&gt;0,0,IFERROR(0.5*((IF(G81=0,0,(Upgrades!$J$15+G81*Upgrades!$K$15)*POWER(Upgrades!$L$15,G81)))*(IF(Upgrades!$T$13="Microlensing",POWER(Upgrades!$U$13,E81),1)*IF(Upgrades!$T$14="Microlensing",POWER(Upgrades!$U$14,F81),1)*IF(Upgrades!$T$16="Microlensing",POWER(Upgrades!$U$16,H81),1)*IF(Upgrades!$T$17="Microlensing",POWER(Upgrades!$U$17,I81),1)*IF(Upgrades!$T$18="Microlensing",POWER(Upgrades!$U$18,J81),1)*IF(Upgrades!$T$19="Microlensing",POWER(Upgrades!$U$19,K81),1)*IF(Upgrades!$T$20="Microlensing",POWER(Upgrades!$U$20,L81),1)*IF(Upgrades!$T$21="Microlensing",POWER(Upgrades!$U$21,M81),1))*(POWER(Upgrades!$Q$13,E81)*POWER(Upgrades!$Q$14,F81)*POWER(Upgrades!$Q$15,G81)*POWER(Upgrades!$Q$16,H81)*POWER(Upgrades!$Q$17,I81)*POWER(Upgrades!$Q$18,J81)*POWER(Upgrades!$Q$19,K81)*POWER(Upgrades!$Q$20,L81)*POWER(Upgrades!$Q$21,M81))*$G$6*(Parameters!$B$10/60*Parameters!$B$11+Q81))/Upgrades!$C$18,0)),IF(K81&gt;0,0,IFERROR(0.30*P81/Upgrades!$C$19,0)),IF(L81&gt;0,0,IFERROR(0.0001/Upgrades!$C$20,0)),IF(M81&gt;0,0,IFERROR((6.0*(POWER(Upgrades!$P$13,E81)*POWER(Upgrades!$P$14,F81)*POWER(Upgrades!$P$15,G81)*POWER(Upgrades!$P$16,H81)*POWER(Upgrades!$P$17,I81)*POWER(Upgrades!$P$18,J81)*POWER(Upgrades!$P$19,K81)*POWER(Upgrades!$P$20,L81)*POWER(Upgrades!$P$21,M81))*$F$6+0.20*O81*(Parameters!$B$10/60*Parameters!$B$11+Q81))/Upgrades!$C$21,0)),IF(AND(ISNUMBER(AK81),AK81&gt;(C81+T81)),AY81,0),IF(AND(ISNUMBER(AL81),AL81&gt;(C81+T81)),AZ81,0),IF(AND(ISNUMBER(AM81),AM81&gt;(C81+T81)),BA81,0),IF(AND(ISNUMBER(AN81),AN81&gt;(C81+T81)),BB81,0),IF(AND(ISNUMBER(AO81),AO81&gt;(C81+T81)),BC81,0))</f>
        <v/>
      </c>
      <c r="BE81" s="29">
        <f>IF(AT81=1,"transition",IF(MIN(IF(AND(J81=0,ISNUMBER(AP81),AP81&lt;=(C81+T81)),AP81,9E15),IF(AND(K81=0,ISNUMBER(AQ81),AQ81&lt;=(C81+T81)),AQ81,9E15),IF(AND(L81=0,ISNUMBER(AR81),AR81&lt;=(C81+T81)),AR81,9E15),IF(AND(M81=0,ISNUMBER(AS81),AS81&lt;=(C81+T81)),AS81,9E15))&lt;9E15,IF(AND(AND(J81=0,ISNUMBER(AP81),AP81&lt;=(C81+T81)),AP81=MIN(IF(AND(J81=0,ISNUMBER(AP81),AP81&lt;=(C81+T81)),AP81,9E15),IF(AND(K81=0,ISNUMBER(AQ81),AQ81&lt;=(C81+T81)),AQ81,9E15),IF(AND(L81=0,ISNUMBER(AR81),AR81&lt;=(C81+T81)),AR81,9E15),IF(AND(M81=0,ISNUMBER(AS81),AS81&lt;=(C81+T81)),AS81,9E15))),"BiP",IF(AND(AND(K81=0,ISNUMBER(AQ81),AQ81&lt;=(C81+T81)),AQ81=MIN(IF(AND(J81=0,ISNUMBER(AP81),AP81&lt;=(C81+T81)),AP81,9E15),IF(AND(K81=0,ISNUMBER(AQ81),AQ81&lt;=(C81+T81)),AQ81,9E15),IF(AND(L81=0,ISNUMBER(AR81),AR81&lt;=(C81+T81)),AR81,9E15),IF(AND(M81=0,ISNUMBER(AS81),AS81&lt;=(C81+T81)),AS81,9E15))),"PV",IF(AND(AND(L81=0,ISNUMBER(AR81),AR81&lt;=(C81+T81)),AR81=MIN(IF(AND(J81=0,ISNUMBER(AP81),AP81&lt;=(C81+T81)),AP81,9E15),IF(AND(K81=0,ISNUMBER(AQ81),AQ81&lt;=(C81+T81)),AQ81,9E15),IF(AND(L81=0,ISNUMBER(AR81),AR81&lt;=(C81+T81)),AR81,9E15),IF(AND(M81=0,ISNUMBER(AS81),AS81&lt;=(C81+T81)),AS81,9E15))),"OC","MG"))),IF(AX81=TRUE,"",IF(MAX(IF(AND(NOT(AND(AU81=1,AT81&lt;&gt;1)),ISNUMBER(AK81),AK81&lt;=(C81+T81)),AY81,0),IF(AND(NOT(AND(AU81=1,AT81&lt;&gt;1)),ISNUMBER(AL81),AL81&lt;=(C81+T81)),AZ81,0),IF(AND(NOT(AND(AU81=1,AT81&lt;&gt;1)),ISNUMBER(AM81),AM81&lt;=(C81+T81)),BA81,0),IF(AND(NOT(AND(AU81=1,AT81&lt;&gt;1)),ISNUMBER(AN81),AN81&lt;=(C81+T81)),BB81,0),IF(AND(ISNUMBER(AO81),AO81&lt;=(C81+T81)),BC81,0))&lt;=0,"",IF(AND(IF(AND(NOT(AND(AU81=1,AT81&lt;&gt;1)),ISNUMBER(AK81),AK81&lt;=(C81+T81)),AY81,0)&gt;0,IF(AND(NOT(AND(AU81=1,AT81&lt;&gt;1)),ISNUMBER(AK81),AK81&lt;=(C81+T81)),AY81,0)=MAX(IF(AND(NOT(AND(AU81=1,AT81&lt;&gt;1)),ISNUMBER(AK81),AK81&lt;=(C81+T81)),AY81,0),IF(AND(NOT(AND(AU81=1,AT81&lt;&gt;1)),ISNUMBER(AL81),AL81&lt;=(C81+T81)),AZ81,0),IF(AND(NOT(AND(AU81=1,AT81&lt;&gt;1)),ISNUMBER(AM81),AM81&lt;=(C81+T81)),BA81,0),IF(AND(NOT(AND(AU81=1,AT81&lt;&gt;1)),ISNUMBER(AN81),AN81&lt;=(C81+T81)),BB81,0),IF(AND(ISNUMBER(AO81),AO81&lt;=(C81+T81)),BC81,0))),"SK",IF(AND(IF(AND(NOT(AND(AU81=1,AT81&lt;&gt;1)),ISNUMBER(AL81),AL81&lt;=(C81+T81)),AZ81,0)&gt;0,IF(AND(NOT(AND(AU81=1,AT81&lt;&gt;1)),ISNUMBER(AL81),AL81&lt;=(C81+T81)),AZ81,0)=MAX(IF(AND(NOT(AND(AU81=1,AT81&lt;&gt;1)),ISNUMBER(AK81),AK81&lt;=(C81+T81)),AY81,0),IF(AND(NOT(AND(AU81=1,AT81&lt;&gt;1)),ISNUMBER(AL81),AL81&lt;=(C81+T81)),AZ81,0),IF(AND(NOT(AND(AU81=1,AT81&lt;&gt;1)),ISNUMBER(AM81),AM81&lt;=(C81+T81)),BA81,0),IF(AND(NOT(AND(AU81=1,AT81&lt;&gt;1)),ISNUMBER(AN81),AN81&lt;=(C81+T81)),BB81,0),IF(AND(ISNUMBER(AO81),AO81&lt;=(C81+T81)),BC81,0))),"LB",IF(AND(IF(AND(NOT(AND(AU81=1,AT81&lt;&gt;1)),ISNUMBER(AM81),AM81&lt;=(C81+T81)),BA81,0)&gt;0,IF(AND(NOT(AND(AU81=1,AT81&lt;&gt;1)),ISNUMBER(AM81),AM81&lt;=(C81+T81)),BA81,0)=MAX(IF(AND(NOT(AND(AU81=1,AT81&lt;&gt;1)),ISNUMBER(AK81),AK81&lt;=(C81+T81)),AY81,0),IF(AND(NOT(AND(AU81=1,AT81&lt;&gt;1)),ISNUMBER(AL81),AL81&lt;=(C81+T81)),AZ81,0),IF(AND(NOT(AND(AU81=1,AT81&lt;&gt;1)),ISNUMBER(AM81),AM81&lt;=(C81+T81)),BA81,0),IF(AND(NOT(AND(AU81=1,AT81&lt;&gt;1)),ISNUMBER(AN81),AN81&lt;=(C81+T81)),BB81,0),IF(AND(ISNUMBER(AO81),AO81&lt;=(C81+T81)),BC81,0))),"ML",IF(AND(IF(AND(NOT(AND(AU81=1,AT81&lt;&gt;1)),ISNUMBER(AN81),AN81&lt;=(C81+T81)),BB81,0)&gt;0,IF(AND(NOT(AND(AU81=1,AT81&lt;&gt;1)),ISNUMBER(AN81),AN81&lt;=(C81+T81)),BB81,0)=MAX(IF(AND(NOT(AND(AU81=1,AT81&lt;&gt;1)),ISNUMBER(AK81),AK81&lt;=(C81+T81)),AY81,0),IF(AND(NOT(AND(AU81=1,AT81&lt;&gt;1)),ISNUMBER(AL81),AL81&lt;=(C81+T81)),AZ81,0),IF(AND(NOT(AND(AU81=1,AT81&lt;&gt;1)),ISNUMBER(AM81),AM81&lt;=(C81+T81)),BA81,0),IF(AND(NOT(AND(AU81=1,AT81&lt;&gt;1)),ISNUMBER(AN81),AN81&lt;=(C81+T81)),BB81,0),IF(AND(ISNUMBER(AO81),AO81&lt;=(C81+T81)),BC81,0))),"RLO","BD"))))))))</f>
        <v/>
      </c>
    </row>
    <row r="82">
      <c r="A82" s="26" t="n">
        <v>71</v>
      </c>
      <c r="B82" s="27">
        <f>A82*10/60</f>
        <v/>
      </c>
      <c r="C82" s="22">
        <f>X81</f>
        <v/>
      </c>
      <c r="D82" s="27">
        <f>D81+W81</f>
        <v/>
      </c>
      <c r="E82" s="26">
        <f>E81+IF(U81="SK",1,0)</f>
        <v/>
      </c>
      <c r="F82" s="26">
        <f>F81+IF(U81="LB",1,0)</f>
        <v/>
      </c>
      <c r="G82" s="26">
        <f>G81+IF(U81="ML",1,0)</f>
        <v/>
      </c>
      <c r="H82" s="26">
        <f>H81+IF(U81="RLO",1,0)</f>
        <v/>
      </c>
      <c r="I82" s="26">
        <f>I81+IF(U81="BD",1,0)</f>
        <v/>
      </c>
      <c r="J82" s="26">
        <f>MAX(J81,IF(U81="BiP",1,0))</f>
        <v/>
      </c>
      <c r="K82" s="26">
        <f>MAX(K81,IF(U81="PV",1,0))</f>
        <v/>
      </c>
      <c r="L82" s="26">
        <f>MAX(L81,IF(U81="OC",1,0))</f>
        <v/>
      </c>
      <c r="M82" s="26">
        <f>MAX(M81,IF(U81="MG",1,0))</f>
        <v/>
      </c>
      <c r="N82" s="26">
        <f>MAX(N81,IF(U81="transition",1,0))</f>
        <v/>
      </c>
      <c r="O82" s="28">
        <f>(Parameters!$B$9+(IF(E82=0,0,(Upgrades!$J$13+E82*Upgrades!$K$13)*POWER(Upgrades!$L$13,E82)))*(IF(Upgrades!$T$14="Stellar Kinematics",POWER(Upgrades!$U$14,F82),1)*IF(Upgrades!$T$15="Stellar Kinematics",POWER(Upgrades!$U$15,G82),1)*IF(Upgrades!$T$16="Stellar Kinematics",POWER(Upgrades!$U$16,H82),1)*IF(Upgrades!$T$17="Stellar Kinematics",POWER(Upgrades!$U$17,I82),1)*IF(Upgrades!$T$18="Stellar Kinematics",POWER(Upgrades!$U$18,J82),1)*IF(Upgrades!$T$19="Stellar Kinematics",POWER(Upgrades!$U$19,K82),1)*IF(Upgrades!$T$20="Stellar Kinematics",POWER(Upgrades!$U$20,L82),1)*IF(Upgrades!$T$21="Stellar Kinematics",POWER(Upgrades!$U$21,M82),1))+(IF(F82=0,0,(Upgrades!$J$14+F82*Upgrades!$K$14)*POWER(Upgrades!$L$14,F82)))*(IF(Upgrades!$T$13="Local Bubble",POWER(Upgrades!$U$13,E82),1)*IF(Upgrades!$T$15="Local Bubble",POWER(Upgrades!$U$15,G82),1)*IF(Upgrades!$T$16="Local Bubble",POWER(Upgrades!$U$16,H82),1)*IF(Upgrades!$T$17="Local Bubble",POWER(Upgrades!$U$17,I82),1)*IF(Upgrades!$T$18="Local Bubble",POWER(Upgrades!$U$18,J82),1)*IF(Upgrades!$T$19="Local Bubble",POWER(Upgrades!$U$19,K82),1)*IF(Upgrades!$T$20="Local Bubble",POWER(Upgrades!$U$20,L82),1)*IF(Upgrades!$T$21="Local Bubble",POWER(Upgrades!$U$21,M82),1))+(IF(G82=0,0,(Upgrades!$J$15+G82*Upgrades!$K$15)*POWER(Upgrades!$L$15,G82)))*(IF(Upgrades!$T$13="Microlensing",POWER(Upgrades!$U$13,E82),1)*IF(Upgrades!$T$14="Microlensing",POWER(Upgrades!$U$14,F82),1)*IF(Upgrades!$T$16="Microlensing",POWER(Upgrades!$U$16,H82),1)*IF(Upgrades!$T$17="Microlensing",POWER(Upgrades!$U$17,I82),1)*IF(Upgrades!$T$18="Microlensing",POWER(Upgrades!$U$18,J82),1)*IF(Upgrades!$T$19="Microlensing",POWER(Upgrades!$U$19,K82),1)*IF(Upgrades!$T$20="Microlensing",POWER(Upgrades!$U$20,L82),1)*IF(Upgrades!$T$21="Microlensing",POWER(Upgrades!$U$21,M82),1))+(IF(H82=0,0,(Upgrades!$J$16+H82*Upgrades!$K$16)*POWER(Upgrades!$L$16,H82)))*(IF(Upgrades!$T$13="Roche Lobe Overflow",POWER(Upgrades!$U$13,E82),1)*IF(Upgrades!$T$14="Roche Lobe Overflow",POWER(Upgrades!$U$14,F82),1)*IF(Upgrades!$T$15="Roche Lobe Overflow",POWER(Upgrades!$U$15,G82),1)*IF(Upgrades!$T$17="Roche Lobe Overflow",POWER(Upgrades!$U$17,I82),1)*IF(Upgrades!$T$18="Roche Lobe Overflow",POWER(Upgrades!$U$18,J82),1)*IF(Upgrades!$T$19="Roche Lobe Overflow",POWER(Upgrades!$U$19,K82),1)*IF(Upgrades!$T$20="Roche Lobe Overflow",POWER(Upgrades!$U$20,L82),1)*IF(Upgrades!$T$21="Roche Lobe Overflow",POWER(Upgrades!$U$21,M82),1))+(IF(I82=0,0,(Upgrades!$J$17+I82*Upgrades!$K$17)*POWER(Upgrades!$L$17,I82)))*(IF(Upgrades!$T$13="Brown Dwarf",POWER(Upgrades!$U$13,E82),1)*IF(Upgrades!$T$14="Brown Dwarf",POWER(Upgrades!$U$14,F82),1)*IF(Upgrades!$T$15="Brown Dwarf",POWER(Upgrades!$U$15,G82),1)*IF(Upgrades!$T$16="Brown Dwarf",POWER(Upgrades!$U$16,H82),1)*IF(Upgrades!$T$18="Brown Dwarf",POWER(Upgrades!$U$18,J82),1)*IF(Upgrades!$T$19="Brown Dwarf",POWER(Upgrades!$U$19,K82),1)*IF(Upgrades!$T$20="Brown Dwarf",POWER(Upgrades!$U$20,L82),1)*IF(Upgrades!$T$21="Brown Dwarf",POWER(Upgrades!$U$21,M82),1))+(IF(J82=0,0,(Upgrades!$J$18+J82*Upgrades!$K$18)*POWER(Upgrades!$L$18,J82)))*(IF(Upgrades!$T$13="Binary Partner",POWER(Upgrades!$U$13,E82),1)*IF(Upgrades!$T$14="Binary Partner",POWER(Upgrades!$U$14,F82),1)*IF(Upgrades!$T$15="Binary Partner",POWER(Upgrades!$U$15,G82),1)*IF(Upgrades!$T$16="Binary Partner",POWER(Upgrades!$U$16,H82),1)*IF(Upgrades!$T$17="Binary Partner",POWER(Upgrades!$U$17,I82),1)*IF(Upgrades!$T$19="Binary Partner",POWER(Upgrades!$U$19,K82),1)*IF(Upgrades!$T$20="Binary Partner",POWER(Upgrades!$U$20,L82),1)*IF(Upgrades!$T$21="Binary Partner",POWER(Upgrades!$U$21,M82),1))+(IF(K82=0,0,(Upgrades!$J$19+K82*Upgrades!$K$19)*POWER(Upgrades!$L$19,K82)))*(IF(Upgrades!$T$13="Peculiar Velocity",POWER(Upgrades!$U$13,E82),1)*IF(Upgrades!$T$14="Peculiar Velocity",POWER(Upgrades!$U$14,F82),1)*IF(Upgrades!$T$15="Peculiar Velocity",POWER(Upgrades!$U$15,G82),1)*IF(Upgrades!$T$16="Peculiar Velocity",POWER(Upgrades!$U$16,H82),1)*IF(Upgrades!$T$17="Peculiar Velocity",POWER(Upgrades!$U$17,I82),1)*IF(Upgrades!$T$18="Peculiar Velocity",POWER(Upgrades!$U$18,J82),1)*IF(Upgrades!$T$20="Peculiar Velocity",POWER(Upgrades!$U$20,L82),1)*IF(Upgrades!$T$21="Peculiar Velocity",POWER(Upgrades!$U$21,M82),1))+(IF(L82=0,0,(Upgrades!$J$20+L82*Upgrades!$K$20)*POWER(Upgrades!$L$20,L82)))*(IF(Upgrades!$T$13="Open Cluster",POWER(Upgrades!$U$13,E82),1)*IF(Upgrades!$T$14="Open Cluster",POWER(Upgrades!$U$14,F82),1)*IF(Upgrades!$T$15="Open Cluster",POWER(Upgrades!$U$15,G82),1)*IF(Upgrades!$T$16="Open Cluster",POWER(Upgrades!$U$16,H82),1)*IF(Upgrades!$T$17="Open Cluster",POWER(Upgrades!$U$17,I82),1)*IF(Upgrades!$T$18="Open Cluster",POWER(Upgrades!$U$18,J82),1)*IF(Upgrades!$T$19="Open Cluster",POWER(Upgrades!$U$19,K82),1)*IF(Upgrades!$T$21="Open Cluster",POWER(Upgrades!$U$21,M82),1))+(IF(M82=0,0,(Upgrades!$J$21+M82*Upgrades!$K$21)*POWER(Upgrades!$L$21,M82)))*(IF(Upgrades!$T$13="Moving Group",POWER(Upgrades!$U$13,E82),1)*IF(Upgrades!$T$14="Moving Group",POWER(Upgrades!$U$14,F82),1)*IF(Upgrades!$T$15="Moving Group",POWER(Upgrades!$U$15,G82),1)*IF(Upgrades!$T$16="Moving Group",POWER(Upgrades!$U$16,H82),1)*IF(Upgrades!$T$17="Moving Group",POWER(Upgrades!$U$17,I82),1)*IF(Upgrades!$T$18="Moving Group",POWER(Upgrades!$U$18,J82),1)*IF(Upgrades!$T$19="Moving Group",POWER(Upgrades!$U$19,K82),1)*IF(Upgrades!$T$20="Moving Group",POWER(Upgrades!$U$20,L82),1)))*POWER(Upgrades!$Q$13,E82)*POWER(Upgrades!$Q$14,F82)*POWER(Upgrades!$Q$15,G82)*POWER(Upgrades!$Q$16,H82)*POWER(Upgrades!$Q$17,I82)*POWER(Upgrades!$Q$18,J82)*POWER(Upgrades!$Q$19,K82)*POWER(Upgrades!$Q$20,L82)*POWER(Upgrades!$Q$21,M82)*$G$6+$D$6</f>
        <v/>
      </c>
      <c r="P82" s="28">
        <f>((IF(E82=0,0,(Upgrades!$G$13+E82*Upgrades!$H$13)*POWER(Upgrades!$I$13,E82)))*(IF(Upgrades!$T$14="Stellar Kinematics",POWER(Upgrades!$U$14,F82),1)*IF(Upgrades!$T$15="Stellar Kinematics",POWER(Upgrades!$U$15,G82),1)*IF(Upgrades!$T$16="Stellar Kinematics",POWER(Upgrades!$U$16,H82),1)*IF(Upgrades!$T$17="Stellar Kinematics",POWER(Upgrades!$U$17,I82),1)*IF(Upgrades!$T$18="Stellar Kinematics",POWER(Upgrades!$U$18,J82),1)*IF(Upgrades!$T$19="Stellar Kinematics",POWER(Upgrades!$U$19,K82),1)*IF(Upgrades!$T$20="Stellar Kinematics",POWER(Upgrades!$U$20,L82),1)*IF(Upgrades!$T$21="Stellar Kinematics",POWER(Upgrades!$U$21,M82),1))+(IF(F82=0,0,(Upgrades!$G$14+F82*Upgrades!$H$14)*POWER(Upgrades!$I$14,F82)))*(IF(Upgrades!$T$13="Local Bubble",POWER(Upgrades!$U$13,E82),1)*IF(Upgrades!$T$15="Local Bubble",POWER(Upgrades!$U$15,G82),1)*IF(Upgrades!$T$16="Local Bubble",POWER(Upgrades!$U$16,H82),1)*IF(Upgrades!$T$17="Local Bubble",POWER(Upgrades!$U$17,I82),1)*IF(Upgrades!$T$18="Local Bubble",POWER(Upgrades!$U$18,J82),1)*IF(Upgrades!$T$19="Local Bubble",POWER(Upgrades!$U$19,K82),1)*IF(Upgrades!$T$20="Local Bubble",POWER(Upgrades!$U$20,L82),1)*IF(Upgrades!$T$21="Local Bubble",POWER(Upgrades!$U$21,M82),1))+(IF(G82=0,0,(Upgrades!$G$15+G82*Upgrades!$H$15)*POWER(Upgrades!$I$15,G82)))*(IF(Upgrades!$T$13="Microlensing",POWER(Upgrades!$U$13,E82),1)*IF(Upgrades!$T$14="Microlensing",POWER(Upgrades!$U$14,F82),1)*IF(Upgrades!$T$16="Microlensing",POWER(Upgrades!$U$16,H82),1)*IF(Upgrades!$T$17="Microlensing",POWER(Upgrades!$U$17,I82),1)*IF(Upgrades!$T$18="Microlensing",POWER(Upgrades!$U$18,J82),1)*IF(Upgrades!$T$19="Microlensing",POWER(Upgrades!$U$19,K82),1)*IF(Upgrades!$T$20="Microlensing",POWER(Upgrades!$U$20,L82),1)*IF(Upgrades!$T$21="Microlensing",POWER(Upgrades!$U$21,M82),1))+(IF(H82=0,0,(Upgrades!$G$16+H82*Upgrades!$H$16)*POWER(Upgrades!$I$16,H82)))*(IF(Upgrades!$T$13="Roche Lobe Overflow",POWER(Upgrades!$U$13,E82),1)*IF(Upgrades!$T$14="Roche Lobe Overflow",POWER(Upgrades!$U$14,F82),1)*IF(Upgrades!$T$15="Roche Lobe Overflow",POWER(Upgrades!$U$15,G82),1)*IF(Upgrades!$T$17="Roche Lobe Overflow",POWER(Upgrades!$U$17,I82),1)*IF(Upgrades!$T$18="Roche Lobe Overflow",POWER(Upgrades!$U$18,J82),1)*IF(Upgrades!$T$19="Roche Lobe Overflow",POWER(Upgrades!$U$19,K82),1)*IF(Upgrades!$T$20="Roche Lobe Overflow",POWER(Upgrades!$U$20,L82),1)*IF(Upgrades!$T$21="Roche Lobe Overflow",POWER(Upgrades!$U$21,M82),1))+(IF(I82=0,0,(Upgrades!$G$17+I82*Upgrades!$H$17)*POWER(Upgrades!$I$17,I82)))*(IF(Upgrades!$T$13="Brown Dwarf",POWER(Upgrades!$U$13,E82),1)*IF(Upgrades!$T$14="Brown Dwarf",POWER(Upgrades!$U$14,F82),1)*IF(Upgrades!$T$15="Brown Dwarf",POWER(Upgrades!$U$15,G82),1)*IF(Upgrades!$T$16="Brown Dwarf",POWER(Upgrades!$U$16,H82),1)*IF(Upgrades!$T$18="Brown Dwarf",POWER(Upgrades!$U$18,J82),1)*IF(Upgrades!$T$19="Brown Dwarf",POWER(Upgrades!$U$19,K82),1)*IF(Upgrades!$T$20="Brown Dwarf",POWER(Upgrades!$U$20,L82),1)*IF(Upgrades!$T$21="Brown Dwarf",POWER(Upgrades!$U$21,M82),1))+(IF(J82=0,0,(Upgrades!$G$18+J82*Upgrades!$H$18)*POWER(Upgrades!$I$18,J82)))*(IF(Upgrades!$T$13="Binary Partner",POWER(Upgrades!$U$13,E82),1)*IF(Upgrades!$T$14="Binary Partner",POWER(Upgrades!$U$14,F82),1)*IF(Upgrades!$T$15="Binary Partner",POWER(Upgrades!$U$15,G82),1)*IF(Upgrades!$T$16="Binary Partner",POWER(Upgrades!$U$16,H82),1)*IF(Upgrades!$T$17="Binary Partner",POWER(Upgrades!$U$17,I82),1)*IF(Upgrades!$T$19="Binary Partner",POWER(Upgrades!$U$19,K82),1)*IF(Upgrades!$T$20="Binary Partner",POWER(Upgrades!$U$20,L82),1)*IF(Upgrades!$T$21="Binary Partner",POWER(Upgrades!$U$21,M82),1))+(IF(K82=0,0,(Upgrades!$G$19+K82*Upgrades!$H$19)*POWER(Upgrades!$I$19,K82)))*(IF(Upgrades!$T$13="Peculiar Velocity",POWER(Upgrades!$U$13,E82),1)*IF(Upgrades!$T$14="Peculiar Velocity",POWER(Upgrades!$U$14,F82),1)*IF(Upgrades!$T$15="Peculiar Velocity",POWER(Upgrades!$U$15,G82),1)*IF(Upgrades!$T$16="Peculiar Velocity",POWER(Upgrades!$U$16,H82),1)*IF(Upgrades!$T$17="Peculiar Velocity",POWER(Upgrades!$U$17,I82),1)*IF(Upgrades!$T$18="Peculiar Velocity",POWER(Upgrades!$U$18,J82),1)*IF(Upgrades!$T$20="Peculiar Velocity",POWER(Upgrades!$U$20,L82),1)*IF(Upgrades!$T$21="Peculiar Velocity",POWER(Upgrades!$U$21,M82),1))+(IF(L82=0,0,(Upgrades!$G$20+L82*Upgrades!$H$20)*POWER(Upgrades!$I$20,L82)))*(IF(Upgrades!$T$13="Open Cluster",POWER(Upgrades!$U$13,E82),1)*IF(Upgrades!$T$14="Open Cluster",POWER(Upgrades!$U$14,F82),1)*IF(Upgrades!$T$15="Open Cluster",POWER(Upgrades!$U$15,G82),1)*IF(Upgrades!$T$16="Open Cluster",POWER(Upgrades!$U$16,H82),1)*IF(Upgrades!$T$17="Open Cluster",POWER(Upgrades!$U$17,I82),1)*IF(Upgrades!$T$18="Open Cluster",POWER(Upgrades!$U$18,J82),1)*IF(Upgrades!$T$19="Open Cluster",POWER(Upgrades!$U$19,K82),1)*IF(Upgrades!$T$21="Open Cluster",POWER(Upgrades!$U$21,M82),1))+(IF(M82=0,0,(Upgrades!$G$21+M82*Upgrades!$H$21)*POWER(Upgrades!$I$21,M82)))*(IF(Upgrades!$T$13="Moving Group",POWER(Upgrades!$U$13,E82),1)*IF(Upgrades!$T$14="Moving Group",POWER(Upgrades!$U$14,F82),1)*IF(Upgrades!$T$15="Moving Group",POWER(Upgrades!$U$15,G82),1)*IF(Upgrades!$T$16="Moving Group",POWER(Upgrades!$U$16,H82),1)*IF(Upgrades!$T$17="Moving Group",POWER(Upgrades!$U$17,I82),1)*IF(Upgrades!$T$18="Moving Group",POWER(Upgrades!$U$18,J82),1)*IF(Upgrades!$T$19="Moving Group",POWER(Upgrades!$U$19,K82),1)*IF(Upgrades!$T$20="Moving Group",POWER(Upgrades!$U$20,L82),1)))*POWER(Upgrades!$P$13,E82)*POWER(Upgrades!$P$14,F82)*POWER(Upgrades!$P$15,G82)*POWER(Upgrades!$P$16,H82)*POWER(Upgrades!$P$17,I82)*POWER(Upgrades!$P$18,J82)*POWER(Upgrades!$P$19,K82)*POWER(Upgrades!$P$20,L82)*POWER(Upgrades!$P$21,M82)*$F$6+$C$6</f>
        <v/>
      </c>
      <c r="Q82" s="28">
        <f>((IF(E82=0,0,(Upgrades!$M$13+E82*Upgrades!$N$13)*POWER(Upgrades!$O$13,E82)))*(IF(Upgrades!$T$14="Stellar Kinematics",POWER(Upgrades!$U$14,F82),1)*IF(Upgrades!$T$15="Stellar Kinematics",POWER(Upgrades!$U$15,G82),1)*IF(Upgrades!$T$16="Stellar Kinematics",POWER(Upgrades!$U$16,H82),1)*IF(Upgrades!$T$17="Stellar Kinematics",POWER(Upgrades!$U$17,I82),1)*IF(Upgrades!$T$18="Stellar Kinematics",POWER(Upgrades!$U$18,J82),1)*IF(Upgrades!$T$19="Stellar Kinematics",POWER(Upgrades!$U$19,K82),1)*IF(Upgrades!$T$20="Stellar Kinematics",POWER(Upgrades!$U$20,L82),1)*IF(Upgrades!$T$21="Stellar Kinematics",POWER(Upgrades!$U$21,M82),1))+(IF(F82=0,0,(Upgrades!$M$14+F82*Upgrades!$N$14)*POWER(Upgrades!$O$14,F82)))*(IF(Upgrades!$T$13="Local Bubble",POWER(Upgrades!$U$13,E82),1)*IF(Upgrades!$T$15="Local Bubble",POWER(Upgrades!$U$15,G82),1)*IF(Upgrades!$T$16="Local Bubble",POWER(Upgrades!$U$16,H82),1)*IF(Upgrades!$T$17="Local Bubble",POWER(Upgrades!$U$17,I82),1)*IF(Upgrades!$T$18="Local Bubble",POWER(Upgrades!$U$18,J82),1)*IF(Upgrades!$T$19="Local Bubble",POWER(Upgrades!$U$19,K82),1)*IF(Upgrades!$T$20="Local Bubble",POWER(Upgrades!$U$20,L82),1)*IF(Upgrades!$T$21="Local Bubble",POWER(Upgrades!$U$21,M82),1))+(IF(G82=0,0,(Upgrades!$M$15+G82*Upgrades!$N$15)*POWER(Upgrades!$O$15,G82)))*(IF(Upgrades!$T$13="Microlensing",POWER(Upgrades!$U$13,E82),1)*IF(Upgrades!$T$14="Microlensing",POWER(Upgrades!$U$14,F82),1)*IF(Upgrades!$T$16="Microlensing",POWER(Upgrades!$U$16,H82),1)*IF(Upgrades!$T$17="Microlensing",POWER(Upgrades!$U$17,I82),1)*IF(Upgrades!$T$18="Microlensing",POWER(Upgrades!$U$18,J82),1)*IF(Upgrades!$T$19="Microlensing",POWER(Upgrades!$U$19,K82),1)*IF(Upgrades!$T$20="Microlensing",POWER(Upgrades!$U$20,L82),1)*IF(Upgrades!$T$21="Microlensing",POWER(Upgrades!$U$21,M82),1))+(IF(H82=0,0,(Upgrades!$M$16+H82*Upgrades!$N$16)*POWER(Upgrades!$O$16,H82)))*(IF(Upgrades!$T$13="Roche Lobe Overflow",POWER(Upgrades!$U$13,E82),1)*IF(Upgrades!$T$14="Roche Lobe Overflow",POWER(Upgrades!$U$14,F82),1)*IF(Upgrades!$T$15="Roche Lobe Overflow",POWER(Upgrades!$U$15,G82),1)*IF(Upgrades!$T$17="Roche Lobe Overflow",POWER(Upgrades!$U$17,I82),1)*IF(Upgrades!$T$18="Roche Lobe Overflow",POWER(Upgrades!$U$18,J82),1)*IF(Upgrades!$T$19="Roche Lobe Overflow",POWER(Upgrades!$U$19,K82),1)*IF(Upgrades!$T$20="Roche Lobe Overflow",POWER(Upgrades!$U$20,L82),1)*IF(Upgrades!$T$21="Roche Lobe Overflow",POWER(Upgrades!$U$21,M82),1))+(IF(I82=0,0,(Upgrades!$M$17+I82*Upgrades!$N$17)*POWER(Upgrades!$O$17,I82)))*(IF(Upgrades!$T$13="Brown Dwarf",POWER(Upgrades!$U$13,E82),1)*IF(Upgrades!$T$14="Brown Dwarf",POWER(Upgrades!$U$14,F82),1)*IF(Upgrades!$T$15="Brown Dwarf",POWER(Upgrades!$U$15,G82),1)*IF(Upgrades!$T$16="Brown Dwarf",POWER(Upgrades!$U$16,H82),1)*IF(Upgrades!$T$18="Brown Dwarf",POWER(Upgrades!$U$18,J82),1)*IF(Upgrades!$T$19="Brown Dwarf",POWER(Upgrades!$U$19,K82),1)*IF(Upgrades!$T$20="Brown Dwarf",POWER(Upgrades!$U$20,L82),1)*IF(Upgrades!$T$21="Brown Dwarf",POWER(Upgrades!$U$21,M82),1))+(IF(J82=0,0,(Upgrades!$M$18+J82*Upgrades!$N$18)*POWER(Upgrades!$O$18,J82)))*(IF(Upgrades!$T$13="Binary Partner",POWER(Upgrades!$U$13,E82),1)*IF(Upgrades!$T$14="Binary Partner",POWER(Upgrades!$U$14,F82),1)*IF(Upgrades!$T$15="Binary Partner",POWER(Upgrades!$U$15,G82),1)*IF(Upgrades!$T$16="Binary Partner",POWER(Upgrades!$U$16,H82),1)*IF(Upgrades!$T$17="Binary Partner",POWER(Upgrades!$U$17,I82),1)*IF(Upgrades!$T$19="Binary Partner",POWER(Upgrades!$U$19,K82),1)*IF(Upgrades!$T$20="Binary Partner",POWER(Upgrades!$U$20,L82),1)*IF(Upgrades!$T$21="Binary Partner",POWER(Upgrades!$U$21,M82),1))+(IF(K82=0,0,(Upgrades!$M$19+K82*Upgrades!$N$19)*POWER(Upgrades!$O$19,K82)))*(IF(Upgrades!$T$13="Peculiar Velocity",POWER(Upgrades!$U$13,E82),1)*IF(Upgrades!$T$14="Peculiar Velocity",POWER(Upgrades!$U$14,F82),1)*IF(Upgrades!$T$15="Peculiar Velocity",POWER(Upgrades!$U$15,G82),1)*IF(Upgrades!$T$16="Peculiar Velocity",POWER(Upgrades!$U$16,H82),1)*IF(Upgrades!$T$17="Peculiar Velocity",POWER(Upgrades!$U$17,I82),1)*IF(Upgrades!$T$18="Peculiar Velocity",POWER(Upgrades!$U$18,J82),1)*IF(Upgrades!$T$20="Peculiar Velocity",POWER(Upgrades!$U$20,L82),1)*IF(Upgrades!$T$21="Peculiar Velocity",POWER(Upgrades!$U$21,M82),1))+(IF(L82=0,0,(Upgrades!$M$20+L82*Upgrades!$N$20)*POWER(Upgrades!$O$20,L82)))*(IF(Upgrades!$T$13="Open Cluster",POWER(Upgrades!$U$13,E82),1)*IF(Upgrades!$T$14="Open Cluster",POWER(Upgrades!$U$14,F82),1)*IF(Upgrades!$T$15="Open Cluster",POWER(Upgrades!$U$15,G82),1)*IF(Upgrades!$T$16="Open Cluster",POWER(Upgrades!$U$16,H82),1)*IF(Upgrades!$T$17="Open Cluster",POWER(Upgrades!$U$17,I82),1)*IF(Upgrades!$T$18="Open Cluster",POWER(Upgrades!$U$18,J82),1)*IF(Upgrades!$T$19="Open Cluster",POWER(Upgrades!$U$19,K82),1)*IF(Upgrades!$T$21="Open Cluster",POWER(Upgrades!$U$21,M82),1))+(IF(M82=0,0,(Upgrades!$M$21+M82*Upgrades!$N$21)*POWER(Upgrades!$O$21,M82)))*(IF(Upgrades!$T$13="Moving Group",POWER(Upgrades!$U$13,E82),1)*IF(Upgrades!$T$14="Moving Group",POWER(Upgrades!$U$14,F82),1)*IF(Upgrades!$T$15="Moving Group",POWER(Upgrades!$U$15,G82),1)*IF(Upgrades!$T$16="Moving Group",POWER(Upgrades!$U$16,H82),1)*IF(Upgrades!$T$17="Moving Group",POWER(Upgrades!$U$17,I82),1)*IF(Upgrades!$T$18="Moving Group",POWER(Upgrades!$U$18,J82),1)*IF(Upgrades!$T$19="Moving Group",POWER(Upgrades!$U$19,K82),1)*IF(Upgrades!$T$20="Moving Group",POWER(Upgrades!$U$20,L82),1)))*POWER(Upgrades!$R$13,E82)*POWER(Upgrades!$R$14,F82)*POWER(Upgrades!$R$15,G82)*POWER(Upgrades!$R$16,H82)*POWER(Upgrades!$R$17,I82)*POWER(Upgrades!$R$18,J82)*POWER(Upgrades!$R$19,K82)*POWER(Upgrades!$R$20,L82)*POWER(Upgrades!$R$21,M82)*$H$6+$E$6</f>
        <v/>
      </c>
      <c r="R82" s="27">
        <f>IF(N82=1,0,O82*Parameters!$B$10/60*Parameters!$B$11*10)</f>
        <v/>
      </c>
      <c r="S82" s="27">
        <f>IF(N82=1,0,Q82*O82*10)</f>
        <v/>
      </c>
      <c r="T82" s="27">
        <f>IF(N82=1,0,R82+S82+P82*10)</f>
        <v/>
      </c>
      <c r="U82" s="33">
        <f>BE82</f>
        <v/>
      </c>
      <c r="V82" s="22">
        <f>IF(U82="",0,IF(U82="transition",0,IF(U82="SK",AK82,IF(U82="LB",AL82,IF(U82="ML",AM82,IF(U82="RLO",AN82,IF(U82="BD",AO82,IF(U82="BiP",AP82,IF(U82="PV",AQ82,IF(U82="OC",AR82,IF(U82="MG",AS82,0))))))))))</f>
        <v/>
      </c>
      <c r="W82" s="27">
        <f>IF(U82="BiP",Upgrades!$F$18,IF(U82="PV",Upgrades!$F$19,IF(U82="OC",Upgrades!$F$20,IF(U82="MG",Upgrades!$F$21,IF(U82="transition",-Parameters!$B$18*Parameters!$B$19,0)))))</f>
        <v/>
      </c>
      <c r="X82" s="22">
        <f>C82+T82-V82</f>
        <v/>
      </c>
      <c r="Y82" s="30">
        <f>O82*Parameters!$B$10/60*Parameters!$B$11+Q82*O82+P82</f>
        <v/>
      </c>
      <c r="Z82" s="34">
        <f>IF(U82="transition","→ Tier 3 (Galactic Arm)",IF(U82="MG","Moving Group — pocket drifts together",IF(U82="OC","Open Cluster acquired",IF(U82="PV","Peculiar Velocity — passive multiplier active",IF(U82="BiP","Binary Partner — pair bond formed",IF(AND(AU82=1,N82=0,AT82&lt;&gt;1),"Cohesion ready (waiting on completionists)","")))))) </f>
        <v/>
      </c>
      <c r="AA82" s="27">
        <f>(IF(E82=0,0,(Upgrades!$G$13+E82*Upgrades!$H$13)*POWER(Upgrades!$I$13,E82)))*(IF(Upgrades!$T$14="Stellar Kinematics",POWER(Upgrades!$U$14,F82),1)*IF(Upgrades!$T$15="Stellar Kinematics",POWER(Upgrades!$U$15,G82),1)*IF(Upgrades!$T$16="Stellar Kinematics",POWER(Upgrades!$U$16,H82),1)*IF(Upgrades!$T$17="Stellar Kinematics",POWER(Upgrades!$U$17,I82),1)*IF(Upgrades!$T$18="Stellar Kinematics",POWER(Upgrades!$U$18,J82),1)*IF(Upgrades!$T$19="Stellar Kinematics",POWER(Upgrades!$U$19,K82),1)*IF(Upgrades!$T$20="Stellar Kinematics",POWER(Upgrades!$U$20,L82),1)*IF(Upgrades!$T$21="Stellar Kinematics",POWER(Upgrades!$U$21,M82),1))*POWER(Upgrades!$P$13,E82)*POWER(Upgrades!$P$14,F82)*POWER(Upgrades!$P$15,G82)*POWER(Upgrades!$P$16,H82)*POWER(Upgrades!$P$17,I82)*POWER(Upgrades!$P$18,J82)*POWER(Upgrades!$P$19,K82)*POWER(Upgrades!$P$20,L82)*POWER(Upgrades!$P$21,M82)*$F$6*60</f>
        <v/>
      </c>
      <c r="AB82" s="27">
        <f>(IF(F82=0,0,(Upgrades!$G$14+F82*Upgrades!$H$14)*POWER(Upgrades!$I$14,F82)))*(IF(Upgrades!$T$13="Local Bubble",POWER(Upgrades!$U$13,E82),1)*IF(Upgrades!$T$15="Local Bubble",POWER(Upgrades!$U$15,G82),1)*IF(Upgrades!$T$16="Local Bubble",POWER(Upgrades!$U$16,H82),1)*IF(Upgrades!$T$17="Local Bubble",POWER(Upgrades!$U$17,I82),1)*IF(Upgrades!$T$18="Local Bubble",POWER(Upgrades!$U$18,J82),1)*IF(Upgrades!$T$19="Local Bubble",POWER(Upgrades!$U$19,K82),1)*IF(Upgrades!$T$20="Local Bubble",POWER(Upgrades!$U$20,L82),1)*IF(Upgrades!$T$21="Local Bubble",POWER(Upgrades!$U$21,M82),1))*POWER(Upgrades!$P$13,E82)*POWER(Upgrades!$P$14,F82)*POWER(Upgrades!$P$15,G82)*POWER(Upgrades!$P$16,H82)*POWER(Upgrades!$P$17,I82)*POWER(Upgrades!$P$18,J82)*POWER(Upgrades!$P$19,K82)*POWER(Upgrades!$P$20,L82)*POWER(Upgrades!$P$21,M82)*$F$6*60</f>
        <v/>
      </c>
      <c r="AC82" s="27">
        <f>(IF(G82=0,0,(Upgrades!$J$15+G82*Upgrades!$K$15)*POWER(Upgrades!$L$15,G82)))*(IF(Upgrades!$T$13="Microlensing",POWER(Upgrades!$U$13,E82),1)*IF(Upgrades!$T$14="Microlensing",POWER(Upgrades!$U$14,F82),1)*IF(Upgrades!$T$16="Microlensing",POWER(Upgrades!$U$16,H82),1)*IF(Upgrades!$T$17="Microlensing",POWER(Upgrades!$U$17,I82),1)*IF(Upgrades!$T$18="Microlensing",POWER(Upgrades!$U$18,J82),1)*IF(Upgrades!$T$19="Microlensing",POWER(Upgrades!$U$19,K82),1)*IF(Upgrades!$T$20="Microlensing",POWER(Upgrades!$U$20,L82),1)*IF(Upgrades!$T$21="Microlensing",POWER(Upgrades!$U$21,M82),1))*POWER(Upgrades!$Q$13,E82)*POWER(Upgrades!$Q$14,F82)*POWER(Upgrades!$Q$15,G82)*POWER(Upgrades!$Q$16,H82)*POWER(Upgrades!$Q$17,I82)*POWER(Upgrades!$Q$18,J82)*POWER(Upgrades!$Q$19,K82)*POWER(Upgrades!$Q$20,L82)*POWER(Upgrades!$Q$21,M82)*$G$6*(Parameters!$B$10*Parameters!$B$11+Q82*60)</f>
        <v/>
      </c>
      <c r="AD82" s="27">
        <f>(IF(H82=0,0,(Upgrades!$M$16+H82*Upgrades!$N$16)*POWER(Upgrades!$O$16,H82)))*(IF(Upgrades!$T$13="Roche Lobe Overflow",POWER(Upgrades!$U$13,E82),1)*IF(Upgrades!$T$14="Roche Lobe Overflow",POWER(Upgrades!$U$14,F82),1)*IF(Upgrades!$T$15="Roche Lobe Overflow",POWER(Upgrades!$U$15,G82),1)*IF(Upgrades!$T$17="Roche Lobe Overflow",POWER(Upgrades!$U$17,I82),1)*IF(Upgrades!$T$18="Roche Lobe Overflow",POWER(Upgrades!$U$18,J82),1)*IF(Upgrades!$T$19="Roche Lobe Overflow",POWER(Upgrades!$U$19,K82),1)*IF(Upgrades!$T$20="Roche Lobe Overflow",POWER(Upgrades!$U$20,L82),1)*IF(Upgrades!$T$21="Roche Lobe Overflow",POWER(Upgrades!$U$21,M82),1))*POWER(Upgrades!$R$13,E82)*POWER(Upgrades!$R$14,F82)*POWER(Upgrades!$R$15,G82)*POWER(Upgrades!$R$16,H82)*POWER(Upgrades!$R$17,I82)*POWER(Upgrades!$R$18,J82)*POWER(Upgrades!$R$19,K82)*POWER(Upgrades!$R$20,L82)*POWER(Upgrades!$R$21,M82)*$H$6*O82*60</f>
        <v/>
      </c>
      <c r="AE82" s="27">
        <f>(IF(I82=0,0,(Upgrades!$G$17+I82*Upgrades!$H$17)*POWER(Upgrades!$I$17,I82)))*(IF(Upgrades!$T$13="Brown Dwarf",POWER(Upgrades!$U$13,E82),1)*IF(Upgrades!$T$14="Brown Dwarf",POWER(Upgrades!$U$14,F82),1)*IF(Upgrades!$T$15="Brown Dwarf",POWER(Upgrades!$U$15,G82),1)*IF(Upgrades!$T$16="Brown Dwarf",POWER(Upgrades!$U$16,H82),1)*IF(Upgrades!$T$18="Brown Dwarf",POWER(Upgrades!$U$18,J82),1)*IF(Upgrades!$T$19="Brown Dwarf",POWER(Upgrades!$U$19,K82),1)*IF(Upgrades!$T$20="Brown Dwarf",POWER(Upgrades!$U$20,L82),1)*IF(Upgrades!$T$21="Brown Dwarf",POWER(Upgrades!$U$21,M82),1))*POWER(Upgrades!$P$13,E82)*POWER(Upgrades!$P$14,F82)*POWER(Upgrades!$P$15,G82)*POWER(Upgrades!$P$16,H82)*POWER(Upgrades!$P$17,I82)*POWER(Upgrades!$P$18,J82)*POWER(Upgrades!$P$19,K82)*POWER(Upgrades!$P$20,L82)*POWER(Upgrades!$P$21,M82)*$F$6*60</f>
        <v/>
      </c>
      <c r="AF82" s="27" t="n">
        <v>0</v>
      </c>
      <c r="AG82" s="27" t="n">
        <v>0</v>
      </c>
      <c r="AH82" s="27" t="n">
        <v>0</v>
      </c>
      <c r="AI82" s="27">
        <f>(IF(M82=0,0,(Upgrades!$G$21+M82*Upgrades!$H$21)*POWER(Upgrades!$I$21,M82)))*(IF(Upgrades!$T$13="Moving Group",POWER(Upgrades!$U$13,E82),1)*IF(Upgrades!$T$14="Moving Group",POWER(Upgrades!$U$14,F82),1)*IF(Upgrades!$T$15="Moving Group",POWER(Upgrades!$U$15,G82),1)*IF(Upgrades!$T$16="Moving Group",POWER(Upgrades!$U$16,H82),1)*IF(Upgrades!$T$17="Moving Group",POWER(Upgrades!$U$17,I82),1)*IF(Upgrades!$T$18="Moving Group",POWER(Upgrades!$U$18,J82),1)*IF(Upgrades!$T$19="Moving Group",POWER(Upgrades!$U$19,K82),1)*IF(Upgrades!$T$20="Moving Group",POWER(Upgrades!$U$20,L82),1))*POWER(Upgrades!$P$13,E82)*POWER(Upgrades!$P$14,F82)*POWER(Upgrades!$P$15,G82)*POWER(Upgrades!$P$16,H82)*POWER(Upgrades!$P$17,I82)*POWER(Upgrades!$P$18,J82)*POWER(Upgrades!$P$19,K82)*POWER(Upgrades!$P$20,L82)*POWER(Upgrades!$P$21,M82)*$F$6*60</f>
        <v/>
      </c>
      <c r="AJ82" s="27">
        <f>$C$6*60</f>
        <v/>
      </c>
      <c r="AK82" s="22">
        <f>IF(E82&gt;=Upgrades!$E$13,"",Upgrades!$C$13*POWER(Upgrades!$D$13,E82))</f>
        <v/>
      </c>
      <c r="AL82" s="22">
        <f>IF(F82&gt;=Upgrades!$E$14,"",Upgrades!$C$14*POWER(Upgrades!$D$14,F82))</f>
        <v/>
      </c>
      <c r="AM82" s="22">
        <f>IF(G82&gt;=Upgrades!$E$15,"",Upgrades!$C$15*POWER(Upgrades!$D$15,G82))</f>
        <v/>
      </c>
      <c r="AN82" s="22">
        <f>IF(H82&gt;=Upgrades!$E$16,"",Upgrades!$C$16*POWER(Upgrades!$D$16,H82))</f>
        <v/>
      </c>
      <c r="AO82" s="22">
        <f>IF(I82&gt;=Upgrades!$E$17,"",Upgrades!$C$17*POWER(Upgrades!$D$17,I82))</f>
        <v/>
      </c>
      <c r="AP82" s="22">
        <f>IF(J82&gt;=Upgrades!$E$18,"",Upgrades!$C$18*POWER(Upgrades!$D$18,J82))</f>
        <v/>
      </c>
      <c r="AQ82" s="22">
        <f>IF(K82&gt;=Upgrades!$E$19,"",Upgrades!$C$19*POWER(Upgrades!$D$19,K82))</f>
        <v/>
      </c>
      <c r="AR82" s="22">
        <f>IF(L82&gt;=Upgrades!$E$20,"",Upgrades!$C$20*POWER(Upgrades!$D$20,L82))</f>
        <v/>
      </c>
      <c r="AS82" s="22">
        <f>IF(M82&gt;=Upgrades!$E$21,"",Upgrades!$C$21*POWER(Upgrades!$D$21,M82))</f>
        <v/>
      </c>
      <c r="AT82" s="26">
        <f>IF(AND(D82&gt;=Parameters!$B$18*Parameters!$B$19,(I82&gt;=Upgrades!$E$17)*(M82&gt;=Upgrades!$E$21)=1,N82=0),1,"")</f>
        <v/>
      </c>
      <c r="AU82" s="26">
        <f>IF(AND(D82&gt;=Parameters!$B$18*Parameters!$B$19,N82=0),1,"")</f>
        <v/>
      </c>
      <c r="AV82" s="22">
        <f>MIN(IF(ISNUMBER(AP82),AP82,9E15),IF(ISNUMBER(AQ82),AQ82,9E15),IF(ISNUMBER(AR82),AR82,9E15),IF(ISNUMBER(AS82),AS82,9E15))</f>
        <v/>
      </c>
      <c r="AW82" s="22">
        <f>MIN(IF(ISNUMBER(AK82),AK82,9E15),IF(ISNUMBER(AL82),AL82,9E15),IF(ISNUMBER(AM82),AM82,9E15),IF(ISNUMBER(AN82),AN82,9E15),IF(ISNUMBER(AO82),AO82,9E15))</f>
        <v/>
      </c>
      <c r="AX82" s="29">
        <f>IF(BD82&gt;Parameters!$B$21*(MAX(IF(AND(NOT(AND(AU82=1,AT82&lt;&gt;1)),ISNUMBER(AK82),AK82&lt;=(C82+T82)),AY82,0),IF(AND(NOT(AND(AU82=1,AT82&lt;&gt;1)),ISNUMBER(AL82),AL82&lt;=(C82+T82)),AZ82,0),IF(AND(NOT(AND(AU82=1,AT82&lt;&gt;1)),ISNUMBER(AM82),AM82&lt;=(C82+T82)),BA82,0),IF(AND(NOT(AND(AU82=1,AT82&lt;&gt;1)),ISNUMBER(AN82),AN82&lt;=(C82+T82)),BB82,0),IF(AND(ISNUMBER(AO82),AO82&lt;=(C82+T82)),BC82,0))),TRUE,FALSE)</f>
        <v/>
      </c>
      <c r="AY82" s="32">
        <f>IFERROR(Upgrades!$H$13*(POWER(Upgrades!$P$13,E82)*POWER(Upgrades!$P$14,F82)*POWER(Upgrades!$P$15,G82)*POWER(Upgrades!$P$16,H82)*POWER(Upgrades!$P$17,I82)*POWER(Upgrades!$P$18,J82)*POWER(Upgrades!$P$19,K82)*POWER(Upgrades!$P$20,L82)*POWER(Upgrades!$P$21,M82))*(IF(Upgrades!$T$14="Stellar Kinematics",POWER(Upgrades!$U$14,F82),1)*IF(Upgrades!$T$15="Stellar Kinematics",POWER(Upgrades!$U$15,G82),1)*IF(Upgrades!$T$16="Stellar Kinematics",POWER(Upgrades!$U$16,H82),1)*IF(Upgrades!$T$17="Stellar Kinematics",POWER(Upgrades!$U$17,I82),1)*IF(Upgrades!$T$18="Stellar Kinematics",POWER(Upgrades!$U$18,J82),1)*IF(Upgrades!$T$19="Stellar Kinematics",POWER(Upgrades!$U$19,K82),1)*IF(Upgrades!$T$20="Stellar Kinematics",POWER(Upgrades!$U$20,L82),1)*IF(Upgrades!$T$21="Stellar Kinematics",POWER(Upgrades!$U$21,M82),1))*$F$6/AK82,0)</f>
        <v/>
      </c>
      <c r="AZ82" s="32">
        <f>IFERROR(Upgrades!$H$14*(POWER(Upgrades!$P$13,E82)*POWER(Upgrades!$P$14,F82)*POWER(Upgrades!$P$15,G82)*POWER(Upgrades!$P$16,H82)*POWER(Upgrades!$P$17,I82)*POWER(Upgrades!$P$18,J82)*POWER(Upgrades!$P$19,K82)*POWER(Upgrades!$P$20,L82)*POWER(Upgrades!$P$21,M82))*(IF(Upgrades!$T$13="Local Bubble",POWER(Upgrades!$U$13,E82),1)*IF(Upgrades!$T$15="Local Bubble",POWER(Upgrades!$U$15,G82),1)*IF(Upgrades!$T$16="Local Bubble",POWER(Upgrades!$U$16,H82),1)*IF(Upgrades!$T$17="Local Bubble",POWER(Upgrades!$U$17,I82),1)*IF(Upgrades!$T$18="Local Bubble",POWER(Upgrades!$U$18,J82),1)*IF(Upgrades!$T$19="Local Bubble",POWER(Upgrades!$U$19,K82),1)*IF(Upgrades!$T$20="Local Bubble",POWER(Upgrades!$U$20,L82),1)*IF(Upgrades!$T$21="Local Bubble",POWER(Upgrades!$U$21,M82),1))*$F$6/AL82,0)</f>
        <v/>
      </c>
      <c r="BA82" s="32">
        <f>IFERROR(Upgrades!$K$15*(POWER(Upgrades!$Q$13,E82)*POWER(Upgrades!$Q$14,F82)*POWER(Upgrades!$Q$15,G82)*POWER(Upgrades!$Q$16,H82)*POWER(Upgrades!$Q$17,I82)*POWER(Upgrades!$Q$18,J82)*POWER(Upgrades!$Q$19,K82)*POWER(Upgrades!$Q$20,L82)*POWER(Upgrades!$Q$21,M82))*(IF(Upgrades!$T$13="Microlensing",POWER(Upgrades!$U$13,E82),1)*IF(Upgrades!$T$14="Microlensing",POWER(Upgrades!$U$14,F82),1)*IF(Upgrades!$T$16="Microlensing",POWER(Upgrades!$U$16,H82),1)*IF(Upgrades!$T$17="Microlensing",POWER(Upgrades!$U$17,I82),1)*IF(Upgrades!$T$18="Microlensing",POWER(Upgrades!$U$18,J82),1)*IF(Upgrades!$T$19="Microlensing",POWER(Upgrades!$U$19,K82),1)*IF(Upgrades!$T$20="Microlensing",POWER(Upgrades!$U$20,L82),1)*IF(Upgrades!$T$21="Microlensing",POWER(Upgrades!$U$21,M82),1))*$G$6*(Parameters!$B$10/60*Parameters!$B$11+Q82)/AM82,0)</f>
        <v/>
      </c>
      <c r="BB82" s="32">
        <f>IFERROR((Upgrades!$N$16*(POWER(Upgrades!$R$13,E82)*POWER(Upgrades!$R$14,F82)*POWER(Upgrades!$R$15,G82)*POWER(Upgrades!$R$16,H82)*POWER(Upgrades!$R$17,I82)*POWER(Upgrades!$R$18,J82)*POWER(Upgrades!$R$19,K82)*POWER(Upgrades!$R$20,L82)*POWER(Upgrades!$R$21,M82))*(IF(Upgrades!$T$13="Roche Lobe Overflow",POWER(Upgrades!$U$13,E82),1)*IF(Upgrades!$T$14="Roche Lobe Overflow",POWER(Upgrades!$U$14,F82),1)*IF(Upgrades!$T$15="Roche Lobe Overflow",POWER(Upgrades!$U$15,G82),1)*IF(Upgrades!$T$17="Roche Lobe Overflow",POWER(Upgrades!$U$17,I82),1)*IF(Upgrades!$T$18="Roche Lobe Overflow",POWER(Upgrades!$U$18,J82),1)*IF(Upgrades!$T$19="Roche Lobe Overflow",POWER(Upgrades!$U$19,K82),1)*IF(Upgrades!$T$20="Roche Lobe Overflow",POWER(Upgrades!$U$20,L82),1)*IF(Upgrades!$T$21="Roche Lobe Overflow",POWER(Upgrades!$U$21,M82),1))*$H$6*O82+((IF(F82=0,0,(Upgrades!$G$14+F82*Upgrades!$H$14)*POWER(Upgrades!$I$14,F82)))*(IF(Upgrades!$T$13="Local Bubble",POWER(Upgrades!$U$13,E82),1)*IF(Upgrades!$T$15="Local Bubble",POWER(Upgrades!$U$15,G82),1)*IF(Upgrades!$T$16="Local Bubble",POWER(Upgrades!$U$16,H82),1)*IF(Upgrades!$T$17="Local Bubble",POWER(Upgrades!$U$17,I82),1)*IF(Upgrades!$T$18="Local Bubble",POWER(Upgrades!$U$18,J82),1)*IF(Upgrades!$T$19="Local Bubble",POWER(Upgrades!$U$19,K82),1)*IF(Upgrades!$T$20="Local Bubble",POWER(Upgrades!$U$20,L82),1)*IF(Upgrades!$T$21="Local Bubble",POWER(Upgrades!$U$21,M82),1))*POWER(Upgrades!$P$13,E82)*POWER(Upgrades!$P$14,F82)*POWER(Upgrades!$P$15,G82)*POWER(Upgrades!$P$16,H82)*POWER(Upgrades!$P$17,I82)*POWER(Upgrades!$P$18,J82)*POWER(Upgrades!$P$19,K82)*POWER(Upgrades!$P$20,L82)*POWER(Upgrades!$P$21,M82)*$F$6)*0.05)/AN82,0)</f>
        <v/>
      </c>
      <c r="BC82" s="32">
        <f>IFERROR((Upgrades!$H$17*(POWER(Upgrades!$P$13,E82)*POWER(Upgrades!$P$14,F82)*POWER(Upgrades!$P$15,G82)*POWER(Upgrades!$P$16,H82)*POWER(Upgrades!$P$17,I82)*POWER(Upgrades!$P$18,J82)*POWER(Upgrades!$P$19,K82)*POWER(Upgrades!$P$20,L82)*POWER(Upgrades!$P$21,M82))*(IF(Upgrades!$T$13="Brown Dwarf",POWER(Upgrades!$U$13,E82),1)*IF(Upgrades!$T$14="Brown Dwarf",POWER(Upgrades!$U$14,F82),1)*IF(Upgrades!$T$15="Brown Dwarf",POWER(Upgrades!$U$15,G82),1)*IF(Upgrades!$T$16="Brown Dwarf",POWER(Upgrades!$U$16,H82),1)*IF(Upgrades!$T$18="Brown Dwarf",POWER(Upgrades!$U$18,J82),1)*IF(Upgrades!$T$19="Brown Dwarf",POWER(Upgrades!$U$19,K82),1)*IF(Upgrades!$T$20="Brown Dwarf",POWER(Upgrades!$U$20,L82),1)*IF(Upgrades!$T$21="Brown Dwarf",POWER(Upgrades!$U$21,M82),1))*$F$6+(((IF(H82=0,0,(Upgrades!$M$16+H82*Upgrades!$N$16)*POWER(Upgrades!$O$16,H82)))*(IF(Upgrades!$T$13="Roche Lobe Overflow",POWER(Upgrades!$U$13,E82),1)*IF(Upgrades!$T$14="Roche Lobe Overflow",POWER(Upgrades!$U$14,F82),1)*IF(Upgrades!$T$15="Roche Lobe Overflow",POWER(Upgrades!$U$15,G82),1)*IF(Upgrades!$T$17="Roche Lobe Overflow",POWER(Upgrades!$U$17,I82),1)*IF(Upgrades!$T$18="Roche Lobe Overflow",POWER(Upgrades!$U$18,J82),1)*IF(Upgrades!$T$19="Roche Lobe Overflow",POWER(Upgrades!$U$19,K82),1)*IF(Upgrades!$T$20="Roche Lobe Overflow",POWER(Upgrades!$U$20,L82),1)*IF(Upgrades!$T$21="Roche Lobe Overflow",POWER(Upgrades!$U$21,M82),1))*POWER(Upgrades!$R$13,E82)*POWER(Upgrades!$R$14,F82)*POWER(Upgrades!$R$15,G82)*POWER(Upgrades!$R$16,H82)*POWER(Upgrades!$R$17,I82)*POWER(Upgrades!$R$18,J82)*POWER(Upgrades!$R$19,K82)*POWER(Upgrades!$R$20,L82)*POWER(Upgrades!$R$21,M82)*$H$6)*O82)*0.10)/AO82,0)</f>
        <v/>
      </c>
      <c r="BD82" s="32">
        <f>MAX(IF(J82&gt;0,0,IFERROR(0.5*((IF(G82=0,0,(Upgrades!$J$15+G82*Upgrades!$K$15)*POWER(Upgrades!$L$15,G82)))*(IF(Upgrades!$T$13="Microlensing",POWER(Upgrades!$U$13,E82),1)*IF(Upgrades!$T$14="Microlensing",POWER(Upgrades!$U$14,F82),1)*IF(Upgrades!$T$16="Microlensing",POWER(Upgrades!$U$16,H82),1)*IF(Upgrades!$T$17="Microlensing",POWER(Upgrades!$U$17,I82),1)*IF(Upgrades!$T$18="Microlensing",POWER(Upgrades!$U$18,J82),1)*IF(Upgrades!$T$19="Microlensing",POWER(Upgrades!$U$19,K82),1)*IF(Upgrades!$T$20="Microlensing",POWER(Upgrades!$U$20,L82),1)*IF(Upgrades!$T$21="Microlensing",POWER(Upgrades!$U$21,M82),1))*(POWER(Upgrades!$Q$13,E82)*POWER(Upgrades!$Q$14,F82)*POWER(Upgrades!$Q$15,G82)*POWER(Upgrades!$Q$16,H82)*POWER(Upgrades!$Q$17,I82)*POWER(Upgrades!$Q$18,J82)*POWER(Upgrades!$Q$19,K82)*POWER(Upgrades!$Q$20,L82)*POWER(Upgrades!$Q$21,M82))*$G$6*(Parameters!$B$10/60*Parameters!$B$11+Q82))/Upgrades!$C$18,0)),IF(K82&gt;0,0,IFERROR(0.30*P82/Upgrades!$C$19,0)),IF(L82&gt;0,0,IFERROR(0.0001/Upgrades!$C$20,0)),IF(M82&gt;0,0,IFERROR((6.0*(POWER(Upgrades!$P$13,E82)*POWER(Upgrades!$P$14,F82)*POWER(Upgrades!$P$15,G82)*POWER(Upgrades!$P$16,H82)*POWER(Upgrades!$P$17,I82)*POWER(Upgrades!$P$18,J82)*POWER(Upgrades!$P$19,K82)*POWER(Upgrades!$P$20,L82)*POWER(Upgrades!$P$21,M82))*$F$6+0.20*O82*(Parameters!$B$10/60*Parameters!$B$11+Q82))/Upgrades!$C$21,0)),IF(AND(ISNUMBER(AK82),AK82&gt;(C82+T82)),AY82,0),IF(AND(ISNUMBER(AL82),AL82&gt;(C82+T82)),AZ82,0),IF(AND(ISNUMBER(AM82),AM82&gt;(C82+T82)),BA82,0),IF(AND(ISNUMBER(AN82),AN82&gt;(C82+T82)),BB82,0),IF(AND(ISNUMBER(AO82),AO82&gt;(C82+T82)),BC82,0))</f>
        <v/>
      </c>
      <c r="BE82" s="29">
        <f>IF(AT82=1,"transition",IF(MIN(IF(AND(J82=0,ISNUMBER(AP82),AP82&lt;=(C82+T82)),AP82,9E15),IF(AND(K82=0,ISNUMBER(AQ82),AQ82&lt;=(C82+T82)),AQ82,9E15),IF(AND(L82=0,ISNUMBER(AR82),AR82&lt;=(C82+T82)),AR82,9E15),IF(AND(M82=0,ISNUMBER(AS82),AS82&lt;=(C82+T82)),AS82,9E15))&lt;9E15,IF(AND(AND(J82=0,ISNUMBER(AP82),AP82&lt;=(C82+T82)),AP82=MIN(IF(AND(J82=0,ISNUMBER(AP82),AP82&lt;=(C82+T82)),AP82,9E15),IF(AND(K82=0,ISNUMBER(AQ82),AQ82&lt;=(C82+T82)),AQ82,9E15),IF(AND(L82=0,ISNUMBER(AR82),AR82&lt;=(C82+T82)),AR82,9E15),IF(AND(M82=0,ISNUMBER(AS82),AS82&lt;=(C82+T82)),AS82,9E15))),"BiP",IF(AND(AND(K82=0,ISNUMBER(AQ82),AQ82&lt;=(C82+T82)),AQ82=MIN(IF(AND(J82=0,ISNUMBER(AP82),AP82&lt;=(C82+T82)),AP82,9E15),IF(AND(K82=0,ISNUMBER(AQ82),AQ82&lt;=(C82+T82)),AQ82,9E15),IF(AND(L82=0,ISNUMBER(AR82),AR82&lt;=(C82+T82)),AR82,9E15),IF(AND(M82=0,ISNUMBER(AS82),AS82&lt;=(C82+T82)),AS82,9E15))),"PV",IF(AND(AND(L82=0,ISNUMBER(AR82),AR82&lt;=(C82+T82)),AR82=MIN(IF(AND(J82=0,ISNUMBER(AP82),AP82&lt;=(C82+T82)),AP82,9E15),IF(AND(K82=0,ISNUMBER(AQ82),AQ82&lt;=(C82+T82)),AQ82,9E15),IF(AND(L82=0,ISNUMBER(AR82),AR82&lt;=(C82+T82)),AR82,9E15),IF(AND(M82=0,ISNUMBER(AS82),AS82&lt;=(C82+T82)),AS82,9E15))),"OC","MG"))),IF(AX82=TRUE,"",IF(MAX(IF(AND(NOT(AND(AU82=1,AT82&lt;&gt;1)),ISNUMBER(AK82),AK82&lt;=(C82+T82)),AY82,0),IF(AND(NOT(AND(AU82=1,AT82&lt;&gt;1)),ISNUMBER(AL82),AL82&lt;=(C82+T82)),AZ82,0),IF(AND(NOT(AND(AU82=1,AT82&lt;&gt;1)),ISNUMBER(AM82),AM82&lt;=(C82+T82)),BA82,0),IF(AND(NOT(AND(AU82=1,AT82&lt;&gt;1)),ISNUMBER(AN82),AN82&lt;=(C82+T82)),BB82,0),IF(AND(ISNUMBER(AO82),AO82&lt;=(C82+T82)),BC82,0))&lt;=0,"",IF(AND(IF(AND(NOT(AND(AU82=1,AT82&lt;&gt;1)),ISNUMBER(AK82),AK82&lt;=(C82+T82)),AY82,0)&gt;0,IF(AND(NOT(AND(AU82=1,AT82&lt;&gt;1)),ISNUMBER(AK82),AK82&lt;=(C82+T82)),AY82,0)=MAX(IF(AND(NOT(AND(AU82=1,AT82&lt;&gt;1)),ISNUMBER(AK82),AK82&lt;=(C82+T82)),AY82,0),IF(AND(NOT(AND(AU82=1,AT82&lt;&gt;1)),ISNUMBER(AL82),AL82&lt;=(C82+T82)),AZ82,0),IF(AND(NOT(AND(AU82=1,AT82&lt;&gt;1)),ISNUMBER(AM82),AM82&lt;=(C82+T82)),BA82,0),IF(AND(NOT(AND(AU82=1,AT82&lt;&gt;1)),ISNUMBER(AN82),AN82&lt;=(C82+T82)),BB82,0),IF(AND(ISNUMBER(AO82),AO82&lt;=(C82+T82)),BC82,0))),"SK",IF(AND(IF(AND(NOT(AND(AU82=1,AT82&lt;&gt;1)),ISNUMBER(AL82),AL82&lt;=(C82+T82)),AZ82,0)&gt;0,IF(AND(NOT(AND(AU82=1,AT82&lt;&gt;1)),ISNUMBER(AL82),AL82&lt;=(C82+T82)),AZ82,0)=MAX(IF(AND(NOT(AND(AU82=1,AT82&lt;&gt;1)),ISNUMBER(AK82),AK82&lt;=(C82+T82)),AY82,0),IF(AND(NOT(AND(AU82=1,AT82&lt;&gt;1)),ISNUMBER(AL82),AL82&lt;=(C82+T82)),AZ82,0),IF(AND(NOT(AND(AU82=1,AT82&lt;&gt;1)),ISNUMBER(AM82),AM82&lt;=(C82+T82)),BA82,0),IF(AND(NOT(AND(AU82=1,AT82&lt;&gt;1)),ISNUMBER(AN82),AN82&lt;=(C82+T82)),BB82,0),IF(AND(ISNUMBER(AO82),AO82&lt;=(C82+T82)),BC82,0))),"LB",IF(AND(IF(AND(NOT(AND(AU82=1,AT82&lt;&gt;1)),ISNUMBER(AM82),AM82&lt;=(C82+T82)),BA82,0)&gt;0,IF(AND(NOT(AND(AU82=1,AT82&lt;&gt;1)),ISNUMBER(AM82),AM82&lt;=(C82+T82)),BA82,0)=MAX(IF(AND(NOT(AND(AU82=1,AT82&lt;&gt;1)),ISNUMBER(AK82),AK82&lt;=(C82+T82)),AY82,0),IF(AND(NOT(AND(AU82=1,AT82&lt;&gt;1)),ISNUMBER(AL82),AL82&lt;=(C82+T82)),AZ82,0),IF(AND(NOT(AND(AU82=1,AT82&lt;&gt;1)),ISNUMBER(AM82),AM82&lt;=(C82+T82)),BA82,0),IF(AND(NOT(AND(AU82=1,AT82&lt;&gt;1)),ISNUMBER(AN82),AN82&lt;=(C82+T82)),BB82,0),IF(AND(ISNUMBER(AO82),AO82&lt;=(C82+T82)),BC82,0))),"ML",IF(AND(IF(AND(NOT(AND(AU82=1,AT82&lt;&gt;1)),ISNUMBER(AN82),AN82&lt;=(C82+T82)),BB82,0)&gt;0,IF(AND(NOT(AND(AU82=1,AT82&lt;&gt;1)),ISNUMBER(AN82),AN82&lt;=(C82+T82)),BB82,0)=MAX(IF(AND(NOT(AND(AU82=1,AT82&lt;&gt;1)),ISNUMBER(AK82),AK82&lt;=(C82+T82)),AY82,0),IF(AND(NOT(AND(AU82=1,AT82&lt;&gt;1)),ISNUMBER(AL82),AL82&lt;=(C82+T82)),AZ82,0),IF(AND(NOT(AND(AU82=1,AT82&lt;&gt;1)),ISNUMBER(AM82),AM82&lt;=(C82+T82)),BA82,0),IF(AND(NOT(AND(AU82=1,AT82&lt;&gt;1)),ISNUMBER(AN82),AN82&lt;=(C82+T82)),BB82,0),IF(AND(ISNUMBER(AO82),AO82&lt;=(C82+T82)),BC82,0))),"RLO","BD"))))))))</f>
        <v/>
      </c>
    </row>
    <row r="83">
      <c r="A83" s="26" t="n">
        <v>72</v>
      </c>
      <c r="B83" s="27">
        <f>A83*10/60</f>
        <v/>
      </c>
      <c r="C83" s="22">
        <f>X82</f>
        <v/>
      </c>
      <c r="D83" s="27">
        <f>D82+W82</f>
        <v/>
      </c>
      <c r="E83" s="26">
        <f>E82+IF(U82="SK",1,0)</f>
        <v/>
      </c>
      <c r="F83" s="26">
        <f>F82+IF(U82="LB",1,0)</f>
        <v/>
      </c>
      <c r="G83" s="26">
        <f>G82+IF(U82="ML",1,0)</f>
        <v/>
      </c>
      <c r="H83" s="26">
        <f>H82+IF(U82="RLO",1,0)</f>
        <v/>
      </c>
      <c r="I83" s="26">
        <f>I82+IF(U82="BD",1,0)</f>
        <v/>
      </c>
      <c r="J83" s="26">
        <f>MAX(J82,IF(U82="BiP",1,0))</f>
        <v/>
      </c>
      <c r="K83" s="26">
        <f>MAX(K82,IF(U82="PV",1,0))</f>
        <v/>
      </c>
      <c r="L83" s="26">
        <f>MAX(L82,IF(U82="OC",1,0))</f>
        <v/>
      </c>
      <c r="M83" s="26">
        <f>MAX(M82,IF(U82="MG",1,0))</f>
        <v/>
      </c>
      <c r="N83" s="26">
        <f>MAX(N82,IF(U82="transition",1,0))</f>
        <v/>
      </c>
      <c r="O83" s="28">
        <f>(Parameters!$B$9+(IF(E83=0,0,(Upgrades!$J$13+E83*Upgrades!$K$13)*POWER(Upgrades!$L$13,E83)))*(IF(Upgrades!$T$14="Stellar Kinematics",POWER(Upgrades!$U$14,F83),1)*IF(Upgrades!$T$15="Stellar Kinematics",POWER(Upgrades!$U$15,G83),1)*IF(Upgrades!$T$16="Stellar Kinematics",POWER(Upgrades!$U$16,H83),1)*IF(Upgrades!$T$17="Stellar Kinematics",POWER(Upgrades!$U$17,I83),1)*IF(Upgrades!$T$18="Stellar Kinematics",POWER(Upgrades!$U$18,J83),1)*IF(Upgrades!$T$19="Stellar Kinematics",POWER(Upgrades!$U$19,K83),1)*IF(Upgrades!$T$20="Stellar Kinematics",POWER(Upgrades!$U$20,L83),1)*IF(Upgrades!$T$21="Stellar Kinematics",POWER(Upgrades!$U$21,M83),1))+(IF(F83=0,0,(Upgrades!$J$14+F83*Upgrades!$K$14)*POWER(Upgrades!$L$14,F83)))*(IF(Upgrades!$T$13="Local Bubble",POWER(Upgrades!$U$13,E83),1)*IF(Upgrades!$T$15="Local Bubble",POWER(Upgrades!$U$15,G83),1)*IF(Upgrades!$T$16="Local Bubble",POWER(Upgrades!$U$16,H83),1)*IF(Upgrades!$T$17="Local Bubble",POWER(Upgrades!$U$17,I83),1)*IF(Upgrades!$T$18="Local Bubble",POWER(Upgrades!$U$18,J83),1)*IF(Upgrades!$T$19="Local Bubble",POWER(Upgrades!$U$19,K83),1)*IF(Upgrades!$T$20="Local Bubble",POWER(Upgrades!$U$20,L83),1)*IF(Upgrades!$T$21="Local Bubble",POWER(Upgrades!$U$21,M83),1))+(IF(G83=0,0,(Upgrades!$J$15+G83*Upgrades!$K$15)*POWER(Upgrades!$L$15,G83)))*(IF(Upgrades!$T$13="Microlensing",POWER(Upgrades!$U$13,E83),1)*IF(Upgrades!$T$14="Microlensing",POWER(Upgrades!$U$14,F83),1)*IF(Upgrades!$T$16="Microlensing",POWER(Upgrades!$U$16,H83),1)*IF(Upgrades!$T$17="Microlensing",POWER(Upgrades!$U$17,I83),1)*IF(Upgrades!$T$18="Microlensing",POWER(Upgrades!$U$18,J83),1)*IF(Upgrades!$T$19="Microlensing",POWER(Upgrades!$U$19,K83),1)*IF(Upgrades!$T$20="Microlensing",POWER(Upgrades!$U$20,L83),1)*IF(Upgrades!$T$21="Microlensing",POWER(Upgrades!$U$21,M83),1))+(IF(H83=0,0,(Upgrades!$J$16+H83*Upgrades!$K$16)*POWER(Upgrades!$L$16,H83)))*(IF(Upgrades!$T$13="Roche Lobe Overflow",POWER(Upgrades!$U$13,E83),1)*IF(Upgrades!$T$14="Roche Lobe Overflow",POWER(Upgrades!$U$14,F83),1)*IF(Upgrades!$T$15="Roche Lobe Overflow",POWER(Upgrades!$U$15,G83),1)*IF(Upgrades!$T$17="Roche Lobe Overflow",POWER(Upgrades!$U$17,I83),1)*IF(Upgrades!$T$18="Roche Lobe Overflow",POWER(Upgrades!$U$18,J83),1)*IF(Upgrades!$T$19="Roche Lobe Overflow",POWER(Upgrades!$U$19,K83),1)*IF(Upgrades!$T$20="Roche Lobe Overflow",POWER(Upgrades!$U$20,L83),1)*IF(Upgrades!$T$21="Roche Lobe Overflow",POWER(Upgrades!$U$21,M83),1))+(IF(I83=0,0,(Upgrades!$J$17+I83*Upgrades!$K$17)*POWER(Upgrades!$L$17,I83)))*(IF(Upgrades!$T$13="Brown Dwarf",POWER(Upgrades!$U$13,E83),1)*IF(Upgrades!$T$14="Brown Dwarf",POWER(Upgrades!$U$14,F83),1)*IF(Upgrades!$T$15="Brown Dwarf",POWER(Upgrades!$U$15,G83),1)*IF(Upgrades!$T$16="Brown Dwarf",POWER(Upgrades!$U$16,H83),1)*IF(Upgrades!$T$18="Brown Dwarf",POWER(Upgrades!$U$18,J83),1)*IF(Upgrades!$T$19="Brown Dwarf",POWER(Upgrades!$U$19,K83),1)*IF(Upgrades!$T$20="Brown Dwarf",POWER(Upgrades!$U$20,L83),1)*IF(Upgrades!$T$21="Brown Dwarf",POWER(Upgrades!$U$21,M83),1))+(IF(J83=0,0,(Upgrades!$J$18+J83*Upgrades!$K$18)*POWER(Upgrades!$L$18,J83)))*(IF(Upgrades!$T$13="Binary Partner",POWER(Upgrades!$U$13,E83),1)*IF(Upgrades!$T$14="Binary Partner",POWER(Upgrades!$U$14,F83),1)*IF(Upgrades!$T$15="Binary Partner",POWER(Upgrades!$U$15,G83),1)*IF(Upgrades!$T$16="Binary Partner",POWER(Upgrades!$U$16,H83),1)*IF(Upgrades!$T$17="Binary Partner",POWER(Upgrades!$U$17,I83),1)*IF(Upgrades!$T$19="Binary Partner",POWER(Upgrades!$U$19,K83),1)*IF(Upgrades!$T$20="Binary Partner",POWER(Upgrades!$U$20,L83),1)*IF(Upgrades!$T$21="Binary Partner",POWER(Upgrades!$U$21,M83),1))+(IF(K83=0,0,(Upgrades!$J$19+K83*Upgrades!$K$19)*POWER(Upgrades!$L$19,K83)))*(IF(Upgrades!$T$13="Peculiar Velocity",POWER(Upgrades!$U$13,E83),1)*IF(Upgrades!$T$14="Peculiar Velocity",POWER(Upgrades!$U$14,F83),1)*IF(Upgrades!$T$15="Peculiar Velocity",POWER(Upgrades!$U$15,G83),1)*IF(Upgrades!$T$16="Peculiar Velocity",POWER(Upgrades!$U$16,H83),1)*IF(Upgrades!$T$17="Peculiar Velocity",POWER(Upgrades!$U$17,I83),1)*IF(Upgrades!$T$18="Peculiar Velocity",POWER(Upgrades!$U$18,J83),1)*IF(Upgrades!$T$20="Peculiar Velocity",POWER(Upgrades!$U$20,L83),1)*IF(Upgrades!$T$21="Peculiar Velocity",POWER(Upgrades!$U$21,M83),1))+(IF(L83=0,0,(Upgrades!$J$20+L83*Upgrades!$K$20)*POWER(Upgrades!$L$20,L83)))*(IF(Upgrades!$T$13="Open Cluster",POWER(Upgrades!$U$13,E83),1)*IF(Upgrades!$T$14="Open Cluster",POWER(Upgrades!$U$14,F83),1)*IF(Upgrades!$T$15="Open Cluster",POWER(Upgrades!$U$15,G83),1)*IF(Upgrades!$T$16="Open Cluster",POWER(Upgrades!$U$16,H83),1)*IF(Upgrades!$T$17="Open Cluster",POWER(Upgrades!$U$17,I83),1)*IF(Upgrades!$T$18="Open Cluster",POWER(Upgrades!$U$18,J83),1)*IF(Upgrades!$T$19="Open Cluster",POWER(Upgrades!$U$19,K83),1)*IF(Upgrades!$T$21="Open Cluster",POWER(Upgrades!$U$21,M83),1))+(IF(M83=0,0,(Upgrades!$J$21+M83*Upgrades!$K$21)*POWER(Upgrades!$L$21,M83)))*(IF(Upgrades!$T$13="Moving Group",POWER(Upgrades!$U$13,E83),1)*IF(Upgrades!$T$14="Moving Group",POWER(Upgrades!$U$14,F83),1)*IF(Upgrades!$T$15="Moving Group",POWER(Upgrades!$U$15,G83),1)*IF(Upgrades!$T$16="Moving Group",POWER(Upgrades!$U$16,H83),1)*IF(Upgrades!$T$17="Moving Group",POWER(Upgrades!$U$17,I83),1)*IF(Upgrades!$T$18="Moving Group",POWER(Upgrades!$U$18,J83),1)*IF(Upgrades!$T$19="Moving Group",POWER(Upgrades!$U$19,K83),1)*IF(Upgrades!$T$20="Moving Group",POWER(Upgrades!$U$20,L83),1)))*POWER(Upgrades!$Q$13,E83)*POWER(Upgrades!$Q$14,F83)*POWER(Upgrades!$Q$15,G83)*POWER(Upgrades!$Q$16,H83)*POWER(Upgrades!$Q$17,I83)*POWER(Upgrades!$Q$18,J83)*POWER(Upgrades!$Q$19,K83)*POWER(Upgrades!$Q$20,L83)*POWER(Upgrades!$Q$21,M83)*$G$6+$D$6</f>
        <v/>
      </c>
      <c r="P83" s="28">
        <f>((IF(E83=0,0,(Upgrades!$G$13+E83*Upgrades!$H$13)*POWER(Upgrades!$I$13,E83)))*(IF(Upgrades!$T$14="Stellar Kinematics",POWER(Upgrades!$U$14,F83),1)*IF(Upgrades!$T$15="Stellar Kinematics",POWER(Upgrades!$U$15,G83),1)*IF(Upgrades!$T$16="Stellar Kinematics",POWER(Upgrades!$U$16,H83),1)*IF(Upgrades!$T$17="Stellar Kinematics",POWER(Upgrades!$U$17,I83),1)*IF(Upgrades!$T$18="Stellar Kinematics",POWER(Upgrades!$U$18,J83),1)*IF(Upgrades!$T$19="Stellar Kinematics",POWER(Upgrades!$U$19,K83),1)*IF(Upgrades!$T$20="Stellar Kinematics",POWER(Upgrades!$U$20,L83),1)*IF(Upgrades!$T$21="Stellar Kinematics",POWER(Upgrades!$U$21,M83),1))+(IF(F83=0,0,(Upgrades!$G$14+F83*Upgrades!$H$14)*POWER(Upgrades!$I$14,F83)))*(IF(Upgrades!$T$13="Local Bubble",POWER(Upgrades!$U$13,E83),1)*IF(Upgrades!$T$15="Local Bubble",POWER(Upgrades!$U$15,G83),1)*IF(Upgrades!$T$16="Local Bubble",POWER(Upgrades!$U$16,H83),1)*IF(Upgrades!$T$17="Local Bubble",POWER(Upgrades!$U$17,I83),1)*IF(Upgrades!$T$18="Local Bubble",POWER(Upgrades!$U$18,J83),1)*IF(Upgrades!$T$19="Local Bubble",POWER(Upgrades!$U$19,K83),1)*IF(Upgrades!$T$20="Local Bubble",POWER(Upgrades!$U$20,L83),1)*IF(Upgrades!$T$21="Local Bubble",POWER(Upgrades!$U$21,M83),1))+(IF(G83=0,0,(Upgrades!$G$15+G83*Upgrades!$H$15)*POWER(Upgrades!$I$15,G83)))*(IF(Upgrades!$T$13="Microlensing",POWER(Upgrades!$U$13,E83),1)*IF(Upgrades!$T$14="Microlensing",POWER(Upgrades!$U$14,F83),1)*IF(Upgrades!$T$16="Microlensing",POWER(Upgrades!$U$16,H83),1)*IF(Upgrades!$T$17="Microlensing",POWER(Upgrades!$U$17,I83),1)*IF(Upgrades!$T$18="Microlensing",POWER(Upgrades!$U$18,J83),1)*IF(Upgrades!$T$19="Microlensing",POWER(Upgrades!$U$19,K83),1)*IF(Upgrades!$T$20="Microlensing",POWER(Upgrades!$U$20,L83),1)*IF(Upgrades!$T$21="Microlensing",POWER(Upgrades!$U$21,M83),1))+(IF(H83=0,0,(Upgrades!$G$16+H83*Upgrades!$H$16)*POWER(Upgrades!$I$16,H83)))*(IF(Upgrades!$T$13="Roche Lobe Overflow",POWER(Upgrades!$U$13,E83),1)*IF(Upgrades!$T$14="Roche Lobe Overflow",POWER(Upgrades!$U$14,F83),1)*IF(Upgrades!$T$15="Roche Lobe Overflow",POWER(Upgrades!$U$15,G83),1)*IF(Upgrades!$T$17="Roche Lobe Overflow",POWER(Upgrades!$U$17,I83),1)*IF(Upgrades!$T$18="Roche Lobe Overflow",POWER(Upgrades!$U$18,J83),1)*IF(Upgrades!$T$19="Roche Lobe Overflow",POWER(Upgrades!$U$19,K83),1)*IF(Upgrades!$T$20="Roche Lobe Overflow",POWER(Upgrades!$U$20,L83),1)*IF(Upgrades!$T$21="Roche Lobe Overflow",POWER(Upgrades!$U$21,M83),1))+(IF(I83=0,0,(Upgrades!$G$17+I83*Upgrades!$H$17)*POWER(Upgrades!$I$17,I83)))*(IF(Upgrades!$T$13="Brown Dwarf",POWER(Upgrades!$U$13,E83),1)*IF(Upgrades!$T$14="Brown Dwarf",POWER(Upgrades!$U$14,F83),1)*IF(Upgrades!$T$15="Brown Dwarf",POWER(Upgrades!$U$15,G83),1)*IF(Upgrades!$T$16="Brown Dwarf",POWER(Upgrades!$U$16,H83),1)*IF(Upgrades!$T$18="Brown Dwarf",POWER(Upgrades!$U$18,J83),1)*IF(Upgrades!$T$19="Brown Dwarf",POWER(Upgrades!$U$19,K83),1)*IF(Upgrades!$T$20="Brown Dwarf",POWER(Upgrades!$U$20,L83),1)*IF(Upgrades!$T$21="Brown Dwarf",POWER(Upgrades!$U$21,M83),1))+(IF(J83=0,0,(Upgrades!$G$18+J83*Upgrades!$H$18)*POWER(Upgrades!$I$18,J83)))*(IF(Upgrades!$T$13="Binary Partner",POWER(Upgrades!$U$13,E83),1)*IF(Upgrades!$T$14="Binary Partner",POWER(Upgrades!$U$14,F83),1)*IF(Upgrades!$T$15="Binary Partner",POWER(Upgrades!$U$15,G83),1)*IF(Upgrades!$T$16="Binary Partner",POWER(Upgrades!$U$16,H83),1)*IF(Upgrades!$T$17="Binary Partner",POWER(Upgrades!$U$17,I83),1)*IF(Upgrades!$T$19="Binary Partner",POWER(Upgrades!$U$19,K83),1)*IF(Upgrades!$T$20="Binary Partner",POWER(Upgrades!$U$20,L83),1)*IF(Upgrades!$T$21="Binary Partner",POWER(Upgrades!$U$21,M83),1))+(IF(K83=0,0,(Upgrades!$G$19+K83*Upgrades!$H$19)*POWER(Upgrades!$I$19,K83)))*(IF(Upgrades!$T$13="Peculiar Velocity",POWER(Upgrades!$U$13,E83),1)*IF(Upgrades!$T$14="Peculiar Velocity",POWER(Upgrades!$U$14,F83),1)*IF(Upgrades!$T$15="Peculiar Velocity",POWER(Upgrades!$U$15,G83),1)*IF(Upgrades!$T$16="Peculiar Velocity",POWER(Upgrades!$U$16,H83),1)*IF(Upgrades!$T$17="Peculiar Velocity",POWER(Upgrades!$U$17,I83),1)*IF(Upgrades!$T$18="Peculiar Velocity",POWER(Upgrades!$U$18,J83),1)*IF(Upgrades!$T$20="Peculiar Velocity",POWER(Upgrades!$U$20,L83),1)*IF(Upgrades!$T$21="Peculiar Velocity",POWER(Upgrades!$U$21,M83),1))+(IF(L83=0,0,(Upgrades!$G$20+L83*Upgrades!$H$20)*POWER(Upgrades!$I$20,L83)))*(IF(Upgrades!$T$13="Open Cluster",POWER(Upgrades!$U$13,E83),1)*IF(Upgrades!$T$14="Open Cluster",POWER(Upgrades!$U$14,F83),1)*IF(Upgrades!$T$15="Open Cluster",POWER(Upgrades!$U$15,G83),1)*IF(Upgrades!$T$16="Open Cluster",POWER(Upgrades!$U$16,H83),1)*IF(Upgrades!$T$17="Open Cluster",POWER(Upgrades!$U$17,I83),1)*IF(Upgrades!$T$18="Open Cluster",POWER(Upgrades!$U$18,J83),1)*IF(Upgrades!$T$19="Open Cluster",POWER(Upgrades!$U$19,K83),1)*IF(Upgrades!$T$21="Open Cluster",POWER(Upgrades!$U$21,M83),1))+(IF(M83=0,0,(Upgrades!$G$21+M83*Upgrades!$H$21)*POWER(Upgrades!$I$21,M83)))*(IF(Upgrades!$T$13="Moving Group",POWER(Upgrades!$U$13,E83),1)*IF(Upgrades!$T$14="Moving Group",POWER(Upgrades!$U$14,F83),1)*IF(Upgrades!$T$15="Moving Group",POWER(Upgrades!$U$15,G83),1)*IF(Upgrades!$T$16="Moving Group",POWER(Upgrades!$U$16,H83),1)*IF(Upgrades!$T$17="Moving Group",POWER(Upgrades!$U$17,I83),1)*IF(Upgrades!$T$18="Moving Group",POWER(Upgrades!$U$18,J83),1)*IF(Upgrades!$T$19="Moving Group",POWER(Upgrades!$U$19,K83),1)*IF(Upgrades!$T$20="Moving Group",POWER(Upgrades!$U$20,L83),1)))*POWER(Upgrades!$P$13,E83)*POWER(Upgrades!$P$14,F83)*POWER(Upgrades!$P$15,G83)*POWER(Upgrades!$P$16,H83)*POWER(Upgrades!$P$17,I83)*POWER(Upgrades!$P$18,J83)*POWER(Upgrades!$P$19,K83)*POWER(Upgrades!$P$20,L83)*POWER(Upgrades!$P$21,M83)*$F$6+$C$6</f>
        <v/>
      </c>
      <c r="Q83" s="28">
        <f>((IF(E83=0,0,(Upgrades!$M$13+E83*Upgrades!$N$13)*POWER(Upgrades!$O$13,E83)))*(IF(Upgrades!$T$14="Stellar Kinematics",POWER(Upgrades!$U$14,F83),1)*IF(Upgrades!$T$15="Stellar Kinematics",POWER(Upgrades!$U$15,G83),1)*IF(Upgrades!$T$16="Stellar Kinematics",POWER(Upgrades!$U$16,H83),1)*IF(Upgrades!$T$17="Stellar Kinematics",POWER(Upgrades!$U$17,I83),1)*IF(Upgrades!$T$18="Stellar Kinematics",POWER(Upgrades!$U$18,J83),1)*IF(Upgrades!$T$19="Stellar Kinematics",POWER(Upgrades!$U$19,K83),1)*IF(Upgrades!$T$20="Stellar Kinematics",POWER(Upgrades!$U$20,L83),1)*IF(Upgrades!$T$21="Stellar Kinematics",POWER(Upgrades!$U$21,M83),1))+(IF(F83=0,0,(Upgrades!$M$14+F83*Upgrades!$N$14)*POWER(Upgrades!$O$14,F83)))*(IF(Upgrades!$T$13="Local Bubble",POWER(Upgrades!$U$13,E83),1)*IF(Upgrades!$T$15="Local Bubble",POWER(Upgrades!$U$15,G83),1)*IF(Upgrades!$T$16="Local Bubble",POWER(Upgrades!$U$16,H83),1)*IF(Upgrades!$T$17="Local Bubble",POWER(Upgrades!$U$17,I83),1)*IF(Upgrades!$T$18="Local Bubble",POWER(Upgrades!$U$18,J83),1)*IF(Upgrades!$T$19="Local Bubble",POWER(Upgrades!$U$19,K83),1)*IF(Upgrades!$T$20="Local Bubble",POWER(Upgrades!$U$20,L83),1)*IF(Upgrades!$T$21="Local Bubble",POWER(Upgrades!$U$21,M83),1))+(IF(G83=0,0,(Upgrades!$M$15+G83*Upgrades!$N$15)*POWER(Upgrades!$O$15,G83)))*(IF(Upgrades!$T$13="Microlensing",POWER(Upgrades!$U$13,E83),1)*IF(Upgrades!$T$14="Microlensing",POWER(Upgrades!$U$14,F83),1)*IF(Upgrades!$T$16="Microlensing",POWER(Upgrades!$U$16,H83),1)*IF(Upgrades!$T$17="Microlensing",POWER(Upgrades!$U$17,I83),1)*IF(Upgrades!$T$18="Microlensing",POWER(Upgrades!$U$18,J83),1)*IF(Upgrades!$T$19="Microlensing",POWER(Upgrades!$U$19,K83),1)*IF(Upgrades!$T$20="Microlensing",POWER(Upgrades!$U$20,L83),1)*IF(Upgrades!$T$21="Microlensing",POWER(Upgrades!$U$21,M83),1))+(IF(H83=0,0,(Upgrades!$M$16+H83*Upgrades!$N$16)*POWER(Upgrades!$O$16,H83)))*(IF(Upgrades!$T$13="Roche Lobe Overflow",POWER(Upgrades!$U$13,E83),1)*IF(Upgrades!$T$14="Roche Lobe Overflow",POWER(Upgrades!$U$14,F83),1)*IF(Upgrades!$T$15="Roche Lobe Overflow",POWER(Upgrades!$U$15,G83),1)*IF(Upgrades!$T$17="Roche Lobe Overflow",POWER(Upgrades!$U$17,I83),1)*IF(Upgrades!$T$18="Roche Lobe Overflow",POWER(Upgrades!$U$18,J83),1)*IF(Upgrades!$T$19="Roche Lobe Overflow",POWER(Upgrades!$U$19,K83),1)*IF(Upgrades!$T$20="Roche Lobe Overflow",POWER(Upgrades!$U$20,L83),1)*IF(Upgrades!$T$21="Roche Lobe Overflow",POWER(Upgrades!$U$21,M83),1))+(IF(I83=0,0,(Upgrades!$M$17+I83*Upgrades!$N$17)*POWER(Upgrades!$O$17,I83)))*(IF(Upgrades!$T$13="Brown Dwarf",POWER(Upgrades!$U$13,E83),1)*IF(Upgrades!$T$14="Brown Dwarf",POWER(Upgrades!$U$14,F83),1)*IF(Upgrades!$T$15="Brown Dwarf",POWER(Upgrades!$U$15,G83),1)*IF(Upgrades!$T$16="Brown Dwarf",POWER(Upgrades!$U$16,H83),1)*IF(Upgrades!$T$18="Brown Dwarf",POWER(Upgrades!$U$18,J83),1)*IF(Upgrades!$T$19="Brown Dwarf",POWER(Upgrades!$U$19,K83),1)*IF(Upgrades!$T$20="Brown Dwarf",POWER(Upgrades!$U$20,L83),1)*IF(Upgrades!$T$21="Brown Dwarf",POWER(Upgrades!$U$21,M83),1))+(IF(J83=0,0,(Upgrades!$M$18+J83*Upgrades!$N$18)*POWER(Upgrades!$O$18,J83)))*(IF(Upgrades!$T$13="Binary Partner",POWER(Upgrades!$U$13,E83),1)*IF(Upgrades!$T$14="Binary Partner",POWER(Upgrades!$U$14,F83),1)*IF(Upgrades!$T$15="Binary Partner",POWER(Upgrades!$U$15,G83),1)*IF(Upgrades!$T$16="Binary Partner",POWER(Upgrades!$U$16,H83),1)*IF(Upgrades!$T$17="Binary Partner",POWER(Upgrades!$U$17,I83),1)*IF(Upgrades!$T$19="Binary Partner",POWER(Upgrades!$U$19,K83),1)*IF(Upgrades!$T$20="Binary Partner",POWER(Upgrades!$U$20,L83),1)*IF(Upgrades!$T$21="Binary Partner",POWER(Upgrades!$U$21,M83),1))+(IF(K83=0,0,(Upgrades!$M$19+K83*Upgrades!$N$19)*POWER(Upgrades!$O$19,K83)))*(IF(Upgrades!$T$13="Peculiar Velocity",POWER(Upgrades!$U$13,E83),1)*IF(Upgrades!$T$14="Peculiar Velocity",POWER(Upgrades!$U$14,F83),1)*IF(Upgrades!$T$15="Peculiar Velocity",POWER(Upgrades!$U$15,G83),1)*IF(Upgrades!$T$16="Peculiar Velocity",POWER(Upgrades!$U$16,H83),1)*IF(Upgrades!$T$17="Peculiar Velocity",POWER(Upgrades!$U$17,I83),1)*IF(Upgrades!$T$18="Peculiar Velocity",POWER(Upgrades!$U$18,J83),1)*IF(Upgrades!$T$20="Peculiar Velocity",POWER(Upgrades!$U$20,L83),1)*IF(Upgrades!$T$21="Peculiar Velocity",POWER(Upgrades!$U$21,M83),1))+(IF(L83=0,0,(Upgrades!$M$20+L83*Upgrades!$N$20)*POWER(Upgrades!$O$20,L83)))*(IF(Upgrades!$T$13="Open Cluster",POWER(Upgrades!$U$13,E83),1)*IF(Upgrades!$T$14="Open Cluster",POWER(Upgrades!$U$14,F83),1)*IF(Upgrades!$T$15="Open Cluster",POWER(Upgrades!$U$15,G83),1)*IF(Upgrades!$T$16="Open Cluster",POWER(Upgrades!$U$16,H83),1)*IF(Upgrades!$T$17="Open Cluster",POWER(Upgrades!$U$17,I83),1)*IF(Upgrades!$T$18="Open Cluster",POWER(Upgrades!$U$18,J83),1)*IF(Upgrades!$T$19="Open Cluster",POWER(Upgrades!$U$19,K83),1)*IF(Upgrades!$T$21="Open Cluster",POWER(Upgrades!$U$21,M83),1))+(IF(M83=0,0,(Upgrades!$M$21+M83*Upgrades!$N$21)*POWER(Upgrades!$O$21,M83)))*(IF(Upgrades!$T$13="Moving Group",POWER(Upgrades!$U$13,E83),1)*IF(Upgrades!$T$14="Moving Group",POWER(Upgrades!$U$14,F83),1)*IF(Upgrades!$T$15="Moving Group",POWER(Upgrades!$U$15,G83),1)*IF(Upgrades!$T$16="Moving Group",POWER(Upgrades!$U$16,H83),1)*IF(Upgrades!$T$17="Moving Group",POWER(Upgrades!$U$17,I83),1)*IF(Upgrades!$T$18="Moving Group",POWER(Upgrades!$U$18,J83),1)*IF(Upgrades!$T$19="Moving Group",POWER(Upgrades!$U$19,K83),1)*IF(Upgrades!$T$20="Moving Group",POWER(Upgrades!$U$20,L83),1)))*POWER(Upgrades!$R$13,E83)*POWER(Upgrades!$R$14,F83)*POWER(Upgrades!$R$15,G83)*POWER(Upgrades!$R$16,H83)*POWER(Upgrades!$R$17,I83)*POWER(Upgrades!$R$18,J83)*POWER(Upgrades!$R$19,K83)*POWER(Upgrades!$R$20,L83)*POWER(Upgrades!$R$21,M83)*$H$6+$E$6</f>
        <v/>
      </c>
      <c r="R83" s="27">
        <f>IF(N83=1,0,O83*Parameters!$B$10/60*Parameters!$B$11*10)</f>
        <v/>
      </c>
      <c r="S83" s="27">
        <f>IF(N83=1,0,Q83*O83*10)</f>
        <v/>
      </c>
      <c r="T83" s="27">
        <f>IF(N83=1,0,R83+S83+P83*10)</f>
        <v/>
      </c>
      <c r="U83" s="33">
        <f>BE83</f>
        <v/>
      </c>
      <c r="V83" s="22">
        <f>IF(U83="",0,IF(U83="transition",0,IF(U83="SK",AK83,IF(U83="LB",AL83,IF(U83="ML",AM83,IF(U83="RLO",AN83,IF(U83="BD",AO83,IF(U83="BiP",AP83,IF(U83="PV",AQ83,IF(U83="OC",AR83,IF(U83="MG",AS83,0))))))))))</f>
        <v/>
      </c>
      <c r="W83" s="27">
        <f>IF(U83="BiP",Upgrades!$F$18,IF(U83="PV",Upgrades!$F$19,IF(U83="OC",Upgrades!$F$20,IF(U83="MG",Upgrades!$F$21,IF(U83="transition",-Parameters!$B$18*Parameters!$B$19,0)))))</f>
        <v/>
      </c>
      <c r="X83" s="22">
        <f>C83+T83-V83</f>
        <v/>
      </c>
      <c r="Y83" s="30">
        <f>O83*Parameters!$B$10/60*Parameters!$B$11+Q83*O83+P83</f>
        <v/>
      </c>
      <c r="Z83" s="34">
        <f>IF(U83="transition","→ Tier 3 (Galactic Arm)",IF(U83="MG","Moving Group — pocket drifts together",IF(U83="OC","Open Cluster acquired",IF(U83="PV","Peculiar Velocity — passive multiplier active",IF(U83="BiP","Binary Partner — pair bond formed",IF(AND(AU83=1,N83=0,AT83&lt;&gt;1),"Cohesion ready (waiting on completionists)","")))))) </f>
        <v/>
      </c>
      <c r="AA83" s="27">
        <f>(IF(E83=0,0,(Upgrades!$G$13+E83*Upgrades!$H$13)*POWER(Upgrades!$I$13,E83)))*(IF(Upgrades!$T$14="Stellar Kinematics",POWER(Upgrades!$U$14,F83),1)*IF(Upgrades!$T$15="Stellar Kinematics",POWER(Upgrades!$U$15,G83),1)*IF(Upgrades!$T$16="Stellar Kinematics",POWER(Upgrades!$U$16,H83),1)*IF(Upgrades!$T$17="Stellar Kinematics",POWER(Upgrades!$U$17,I83),1)*IF(Upgrades!$T$18="Stellar Kinematics",POWER(Upgrades!$U$18,J83),1)*IF(Upgrades!$T$19="Stellar Kinematics",POWER(Upgrades!$U$19,K83),1)*IF(Upgrades!$T$20="Stellar Kinematics",POWER(Upgrades!$U$20,L83),1)*IF(Upgrades!$T$21="Stellar Kinematics",POWER(Upgrades!$U$21,M83),1))*POWER(Upgrades!$P$13,E83)*POWER(Upgrades!$P$14,F83)*POWER(Upgrades!$P$15,G83)*POWER(Upgrades!$P$16,H83)*POWER(Upgrades!$P$17,I83)*POWER(Upgrades!$P$18,J83)*POWER(Upgrades!$P$19,K83)*POWER(Upgrades!$P$20,L83)*POWER(Upgrades!$P$21,M83)*$F$6*60</f>
        <v/>
      </c>
      <c r="AB83" s="27">
        <f>(IF(F83=0,0,(Upgrades!$G$14+F83*Upgrades!$H$14)*POWER(Upgrades!$I$14,F83)))*(IF(Upgrades!$T$13="Local Bubble",POWER(Upgrades!$U$13,E83),1)*IF(Upgrades!$T$15="Local Bubble",POWER(Upgrades!$U$15,G83),1)*IF(Upgrades!$T$16="Local Bubble",POWER(Upgrades!$U$16,H83),1)*IF(Upgrades!$T$17="Local Bubble",POWER(Upgrades!$U$17,I83),1)*IF(Upgrades!$T$18="Local Bubble",POWER(Upgrades!$U$18,J83),1)*IF(Upgrades!$T$19="Local Bubble",POWER(Upgrades!$U$19,K83),1)*IF(Upgrades!$T$20="Local Bubble",POWER(Upgrades!$U$20,L83),1)*IF(Upgrades!$T$21="Local Bubble",POWER(Upgrades!$U$21,M83),1))*POWER(Upgrades!$P$13,E83)*POWER(Upgrades!$P$14,F83)*POWER(Upgrades!$P$15,G83)*POWER(Upgrades!$P$16,H83)*POWER(Upgrades!$P$17,I83)*POWER(Upgrades!$P$18,J83)*POWER(Upgrades!$P$19,K83)*POWER(Upgrades!$P$20,L83)*POWER(Upgrades!$P$21,M83)*$F$6*60</f>
        <v/>
      </c>
      <c r="AC83" s="27">
        <f>(IF(G83=0,0,(Upgrades!$J$15+G83*Upgrades!$K$15)*POWER(Upgrades!$L$15,G83)))*(IF(Upgrades!$T$13="Microlensing",POWER(Upgrades!$U$13,E83),1)*IF(Upgrades!$T$14="Microlensing",POWER(Upgrades!$U$14,F83),1)*IF(Upgrades!$T$16="Microlensing",POWER(Upgrades!$U$16,H83),1)*IF(Upgrades!$T$17="Microlensing",POWER(Upgrades!$U$17,I83),1)*IF(Upgrades!$T$18="Microlensing",POWER(Upgrades!$U$18,J83),1)*IF(Upgrades!$T$19="Microlensing",POWER(Upgrades!$U$19,K83),1)*IF(Upgrades!$T$20="Microlensing",POWER(Upgrades!$U$20,L83),1)*IF(Upgrades!$T$21="Microlensing",POWER(Upgrades!$U$21,M83),1))*POWER(Upgrades!$Q$13,E83)*POWER(Upgrades!$Q$14,F83)*POWER(Upgrades!$Q$15,G83)*POWER(Upgrades!$Q$16,H83)*POWER(Upgrades!$Q$17,I83)*POWER(Upgrades!$Q$18,J83)*POWER(Upgrades!$Q$19,K83)*POWER(Upgrades!$Q$20,L83)*POWER(Upgrades!$Q$21,M83)*$G$6*(Parameters!$B$10*Parameters!$B$11+Q83*60)</f>
        <v/>
      </c>
      <c r="AD83" s="27">
        <f>(IF(H83=0,0,(Upgrades!$M$16+H83*Upgrades!$N$16)*POWER(Upgrades!$O$16,H83)))*(IF(Upgrades!$T$13="Roche Lobe Overflow",POWER(Upgrades!$U$13,E83),1)*IF(Upgrades!$T$14="Roche Lobe Overflow",POWER(Upgrades!$U$14,F83),1)*IF(Upgrades!$T$15="Roche Lobe Overflow",POWER(Upgrades!$U$15,G83),1)*IF(Upgrades!$T$17="Roche Lobe Overflow",POWER(Upgrades!$U$17,I83),1)*IF(Upgrades!$T$18="Roche Lobe Overflow",POWER(Upgrades!$U$18,J83),1)*IF(Upgrades!$T$19="Roche Lobe Overflow",POWER(Upgrades!$U$19,K83),1)*IF(Upgrades!$T$20="Roche Lobe Overflow",POWER(Upgrades!$U$20,L83),1)*IF(Upgrades!$T$21="Roche Lobe Overflow",POWER(Upgrades!$U$21,M83),1))*POWER(Upgrades!$R$13,E83)*POWER(Upgrades!$R$14,F83)*POWER(Upgrades!$R$15,G83)*POWER(Upgrades!$R$16,H83)*POWER(Upgrades!$R$17,I83)*POWER(Upgrades!$R$18,J83)*POWER(Upgrades!$R$19,K83)*POWER(Upgrades!$R$20,L83)*POWER(Upgrades!$R$21,M83)*$H$6*O83*60</f>
        <v/>
      </c>
      <c r="AE83" s="27">
        <f>(IF(I83=0,0,(Upgrades!$G$17+I83*Upgrades!$H$17)*POWER(Upgrades!$I$17,I83)))*(IF(Upgrades!$T$13="Brown Dwarf",POWER(Upgrades!$U$13,E83),1)*IF(Upgrades!$T$14="Brown Dwarf",POWER(Upgrades!$U$14,F83),1)*IF(Upgrades!$T$15="Brown Dwarf",POWER(Upgrades!$U$15,G83),1)*IF(Upgrades!$T$16="Brown Dwarf",POWER(Upgrades!$U$16,H83),1)*IF(Upgrades!$T$18="Brown Dwarf",POWER(Upgrades!$U$18,J83),1)*IF(Upgrades!$T$19="Brown Dwarf",POWER(Upgrades!$U$19,K83),1)*IF(Upgrades!$T$20="Brown Dwarf",POWER(Upgrades!$U$20,L83),1)*IF(Upgrades!$T$21="Brown Dwarf",POWER(Upgrades!$U$21,M83),1))*POWER(Upgrades!$P$13,E83)*POWER(Upgrades!$P$14,F83)*POWER(Upgrades!$P$15,G83)*POWER(Upgrades!$P$16,H83)*POWER(Upgrades!$P$17,I83)*POWER(Upgrades!$P$18,J83)*POWER(Upgrades!$P$19,K83)*POWER(Upgrades!$P$20,L83)*POWER(Upgrades!$P$21,M83)*$F$6*60</f>
        <v/>
      </c>
      <c r="AF83" s="27" t="n">
        <v>0</v>
      </c>
      <c r="AG83" s="27" t="n">
        <v>0</v>
      </c>
      <c r="AH83" s="27" t="n">
        <v>0</v>
      </c>
      <c r="AI83" s="27">
        <f>(IF(M83=0,0,(Upgrades!$G$21+M83*Upgrades!$H$21)*POWER(Upgrades!$I$21,M83)))*(IF(Upgrades!$T$13="Moving Group",POWER(Upgrades!$U$13,E83),1)*IF(Upgrades!$T$14="Moving Group",POWER(Upgrades!$U$14,F83),1)*IF(Upgrades!$T$15="Moving Group",POWER(Upgrades!$U$15,G83),1)*IF(Upgrades!$T$16="Moving Group",POWER(Upgrades!$U$16,H83),1)*IF(Upgrades!$T$17="Moving Group",POWER(Upgrades!$U$17,I83),1)*IF(Upgrades!$T$18="Moving Group",POWER(Upgrades!$U$18,J83),1)*IF(Upgrades!$T$19="Moving Group",POWER(Upgrades!$U$19,K83),1)*IF(Upgrades!$T$20="Moving Group",POWER(Upgrades!$U$20,L83),1))*POWER(Upgrades!$P$13,E83)*POWER(Upgrades!$P$14,F83)*POWER(Upgrades!$P$15,G83)*POWER(Upgrades!$P$16,H83)*POWER(Upgrades!$P$17,I83)*POWER(Upgrades!$P$18,J83)*POWER(Upgrades!$P$19,K83)*POWER(Upgrades!$P$20,L83)*POWER(Upgrades!$P$21,M83)*$F$6*60</f>
        <v/>
      </c>
      <c r="AJ83" s="27">
        <f>$C$6*60</f>
        <v/>
      </c>
      <c r="AK83" s="22">
        <f>IF(E83&gt;=Upgrades!$E$13,"",Upgrades!$C$13*POWER(Upgrades!$D$13,E83))</f>
        <v/>
      </c>
      <c r="AL83" s="22">
        <f>IF(F83&gt;=Upgrades!$E$14,"",Upgrades!$C$14*POWER(Upgrades!$D$14,F83))</f>
        <v/>
      </c>
      <c r="AM83" s="22">
        <f>IF(G83&gt;=Upgrades!$E$15,"",Upgrades!$C$15*POWER(Upgrades!$D$15,G83))</f>
        <v/>
      </c>
      <c r="AN83" s="22">
        <f>IF(H83&gt;=Upgrades!$E$16,"",Upgrades!$C$16*POWER(Upgrades!$D$16,H83))</f>
        <v/>
      </c>
      <c r="AO83" s="22">
        <f>IF(I83&gt;=Upgrades!$E$17,"",Upgrades!$C$17*POWER(Upgrades!$D$17,I83))</f>
        <v/>
      </c>
      <c r="AP83" s="22">
        <f>IF(J83&gt;=Upgrades!$E$18,"",Upgrades!$C$18*POWER(Upgrades!$D$18,J83))</f>
        <v/>
      </c>
      <c r="AQ83" s="22">
        <f>IF(K83&gt;=Upgrades!$E$19,"",Upgrades!$C$19*POWER(Upgrades!$D$19,K83))</f>
        <v/>
      </c>
      <c r="AR83" s="22">
        <f>IF(L83&gt;=Upgrades!$E$20,"",Upgrades!$C$20*POWER(Upgrades!$D$20,L83))</f>
        <v/>
      </c>
      <c r="AS83" s="22">
        <f>IF(M83&gt;=Upgrades!$E$21,"",Upgrades!$C$21*POWER(Upgrades!$D$21,M83))</f>
        <v/>
      </c>
      <c r="AT83" s="26">
        <f>IF(AND(D83&gt;=Parameters!$B$18*Parameters!$B$19,(I83&gt;=Upgrades!$E$17)*(M83&gt;=Upgrades!$E$21)=1,N83=0),1,"")</f>
        <v/>
      </c>
      <c r="AU83" s="26">
        <f>IF(AND(D83&gt;=Parameters!$B$18*Parameters!$B$19,N83=0),1,"")</f>
        <v/>
      </c>
      <c r="AV83" s="22">
        <f>MIN(IF(ISNUMBER(AP83),AP83,9E15),IF(ISNUMBER(AQ83),AQ83,9E15),IF(ISNUMBER(AR83),AR83,9E15),IF(ISNUMBER(AS83),AS83,9E15))</f>
        <v/>
      </c>
      <c r="AW83" s="22">
        <f>MIN(IF(ISNUMBER(AK83),AK83,9E15),IF(ISNUMBER(AL83),AL83,9E15),IF(ISNUMBER(AM83),AM83,9E15),IF(ISNUMBER(AN83),AN83,9E15),IF(ISNUMBER(AO83),AO83,9E15))</f>
        <v/>
      </c>
      <c r="AX83" s="29">
        <f>IF(BD83&gt;Parameters!$B$21*(MAX(IF(AND(NOT(AND(AU83=1,AT83&lt;&gt;1)),ISNUMBER(AK83),AK83&lt;=(C83+T83)),AY83,0),IF(AND(NOT(AND(AU83=1,AT83&lt;&gt;1)),ISNUMBER(AL83),AL83&lt;=(C83+T83)),AZ83,0),IF(AND(NOT(AND(AU83=1,AT83&lt;&gt;1)),ISNUMBER(AM83),AM83&lt;=(C83+T83)),BA83,0),IF(AND(NOT(AND(AU83=1,AT83&lt;&gt;1)),ISNUMBER(AN83),AN83&lt;=(C83+T83)),BB83,0),IF(AND(ISNUMBER(AO83),AO83&lt;=(C83+T83)),BC83,0))),TRUE,FALSE)</f>
        <v/>
      </c>
      <c r="AY83" s="32">
        <f>IFERROR(Upgrades!$H$13*(POWER(Upgrades!$P$13,E83)*POWER(Upgrades!$P$14,F83)*POWER(Upgrades!$P$15,G83)*POWER(Upgrades!$P$16,H83)*POWER(Upgrades!$P$17,I83)*POWER(Upgrades!$P$18,J83)*POWER(Upgrades!$P$19,K83)*POWER(Upgrades!$P$20,L83)*POWER(Upgrades!$P$21,M83))*(IF(Upgrades!$T$14="Stellar Kinematics",POWER(Upgrades!$U$14,F83),1)*IF(Upgrades!$T$15="Stellar Kinematics",POWER(Upgrades!$U$15,G83),1)*IF(Upgrades!$T$16="Stellar Kinematics",POWER(Upgrades!$U$16,H83),1)*IF(Upgrades!$T$17="Stellar Kinematics",POWER(Upgrades!$U$17,I83),1)*IF(Upgrades!$T$18="Stellar Kinematics",POWER(Upgrades!$U$18,J83),1)*IF(Upgrades!$T$19="Stellar Kinematics",POWER(Upgrades!$U$19,K83),1)*IF(Upgrades!$T$20="Stellar Kinematics",POWER(Upgrades!$U$20,L83),1)*IF(Upgrades!$T$21="Stellar Kinematics",POWER(Upgrades!$U$21,M83),1))*$F$6/AK83,0)</f>
        <v/>
      </c>
      <c r="AZ83" s="32">
        <f>IFERROR(Upgrades!$H$14*(POWER(Upgrades!$P$13,E83)*POWER(Upgrades!$P$14,F83)*POWER(Upgrades!$P$15,G83)*POWER(Upgrades!$P$16,H83)*POWER(Upgrades!$P$17,I83)*POWER(Upgrades!$P$18,J83)*POWER(Upgrades!$P$19,K83)*POWER(Upgrades!$P$20,L83)*POWER(Upgrades!$P$21,M83))*(IF(Upgrades!$T$13="Local Bubble",POWER(Upgrades!$U$13,E83),1)*IF(Upgrades!$T$15="Local Bubble",POWER(Upgrades!$U$15,G83),1)*IF(Upgrades!$T$16="Local Bubble",POWER(Upgrades!$U$16,H83),1)*IF(Upgrades!$T$17="Local Bubble",POWER(Upgrades!$U$17,I83),1)*IF(Upgrades!$T$18="Local Bubble",POWER(Upgrades!$U$18,J83),1)*IF(Upgrades!$T$19="Local Bubble",POWER(Upgrades!$U$19,K83),1)*IF(Upgrades!$T$20="Local Bubble",POWER(Upgrades!$U$20,L83),1)*IF(Upgrades!$T$21="Local Bubble",POWER(Upgrades!$U$21,M83),1))*$F$6/AL83,0)</f>
        <v/>
      </c>
      <c r="BA83" s="32">
        <f>IFERROR(Upgrades!$K$15*(POWER(Upgrades!$Q$13,E83)*POWER(Upgrades!$Q$14,F83)*POWER(Upgrades!$Q$15,G83)*POWER(Upgrades!$Q$16,H83)*POWER(Upgrades!$Q$17,I83)*POWER(Upgrades!$Q$18,J83)*POWER(Upgrades!$Q$19,K83)*POWER(Upgrades!$Q$20,L83)*POWER(Upgrades!$Q$21,M83))*(IF(Upgrades!$T$13="Microlensing",POWER(Upgrades!$U$13,E83),1)*IF(Upgrades!$T$14="Microlensing",POWER(Upgrades!$U$14,F83),1)*IF(Upgrades!$T$16="Microlensing",POWER(Upgrades!$U$16,H83),1)*IF(Upgrades!$T$17="Microlensing",POWER(Upgrades!$U$17,I83),1)*IF(Upgrades!$T$18="Microlensing",POWER(Upgrades!$U$18,J83),1)*IF(Upgrades!$T$19="Microlensing",POWER(Upgrades!$U$19,K83),1)*IF(Upgrades!$T$20="Microlensing",POWER(Upgrades!$U$20,L83),1)*IF(Upgrades!$T$21="Microlensing",POWER(Upgrades!$U$21,M83),1))*$G$6*(Parameters!$B$10/60*Parameters!$B$11+Q83)/AM83,0)</f>
        <v/>
      </c>
      <c r="BB83" s="32">
        <f>IFERROR((Upgrades!$N$16*(POWER(Upgrades!$R$13,E83)*POWER(Upgrades!$R$14,F83)*POWER(Upgrades!$R$15,G83)*POWER(Upgrades!$R$16,H83)*POWER(Upgrades!$R$17,I83)*POWER(Upgrades!$R$18,J83)*POWER(Upgrades!$R$19,K83)*POWER(Upgrades!$R$20,L83)*POWER(Upgrades!$R$21,M83))*(IF(Upgrades!$T$13="Roche Lobe Overflow",POWER(Upgrades!$U$13,E83),1)*IF(Upgrades!$T$14="Roche Lobe Overflow",POWER(Upgrades!$U$14,F83),1)*IF(Upgrades!$T$15="Roche Lobe Overflow",POWER(Upgrades!$U$15,G83),1)*IF(Upgrades!$T$17="Roche Lobe Overflow",POWER(Upgrades!$U$17,I83),1)*IF(Upgrades!$T$18="Roche Lobe Overflow",POWER(Upgrades!$U$18,J83),1)*IF(Upgrades!$T$19="Roche Lobe Overflow",POWER(Upgrades!$U$19,K83),1)*IF(Upgrades!$T$20="Roche Lobe Overflow",POWER(Upgrades!$U$20,L83),1)*IF(Upgrades!$T$21="Roche Lobe Overflow",POWER(Upgrades!$U$21,M83),1))*$H$6*O83+((IF(F83=0,0,(Upgrades!$G$14+F83*Upgrades!$H$14)*POWER(Upgrades!$I$14,F83)))*(IF(Upgrades!$T$13="Local Bubble",POWER(Upgrades!$U$13,E83),1)*IF(Upgrades!$T$15="Local Bubble",POWER(Upgrades!$U$15,G83),1)*IF(Upgrades!$T$16="Local Bubble",POWER(Upgrades!$U$16,H83),1)*IF(Upgrades!$T$17="Local Bubble",POWER(Upgrades!$U$17,I83),1)*IF(Upgrades!$T$18="Local Bubble",POWER(Upgrades!$U$18,J83),1)*IF(Upgrades!$T$19="Local Bubble",POWER(Upgrades!$U$19,K83),1)*IF(Upgrades!$T$20="Local Bubble",POWER(Upgrades!$U$20,L83),1)*IF(Upgrades!$T$21="Local Bubble",POWER(Upgrades!$U$21,M83),1))*POWER(Upgrades!$P$13,E83)*POWER(Upgrades!$P$14,F83)*POWER(Upgrades!$P$15,G83)*POWER(Upgrades!$P$16,H83)*POWER(Upgrades!$P$17,I83)*POWER(Upgrades!$P$18,J83)*POWER(Upgrades!$P$19,K83)*POWER(Upgrades!$P$20,L83)*POWER(Upgrades!$P$21,M83)*$F$6)*0.05)/AN83,0)</f>
        <v/>
      </c>
      <c r="BC83" s="32">
        <f>IFERROR((Upgrades!$H$17*(POWER(Upgrades!$P$13,E83)*POWER(Upgrades!$P$14,F83)*POWER(Upgrades!$P$15,G83)*POWER(Upgrades!$P$16,H83)*POWER(Upgrades!$P$17,I83)*POWER(Upgrades!$P$18,J83)*POWER(Upgrades!$P$19,K83)*POWER(Upgrades!$P$20,L83)*POWER(Upgrades!$P$21,M83))*(IF(Upgrades!$T$13="Brown Dwarf",POWER(Upgrades!$U$13,E83),1)*IF(Upgrades!$T$14="Brown Dwarf",POWER(Upgrades!$U$14,F83),1)*IF(Upgrades!$T$15="Brown Dwarf",POWER(Upgrades!$U$15,G83),1)*IF(Upgrades!$T$16="Brown Dwarf",POWER(Upgrades!$U$16,H83),1)*IF(Upgrades!$T$18="Brown Dwarf",POWER(Upgrades!$U$18,J83),1)*IF(Upgrades!$T$19="Brown Dwarf",POWER(Upgrades!$U$19,K83),1)*IF(Upgrades!$T$20="Brown Dwarf",POWER(Upgrades!$U$20,L83),1)*IF(Upgrades!$T$21="Brown Dwarf",POWER(Upgrades!$U$21,M83),1))*$F$6+(((IF(H83=0,0,(Upgrades!$M$16+H83*Upgrades!$N$16)*POWER(Upgrades!$O$16,H83)))*(IF(Upgrades!$T$13="Roche Lobe Overflow",POWER(Upgrades!$U$13,E83),1)*IF(Upgrades!$T$14="Roche Lobe Overflow",POWER(Upgrades!$U$14,F83),1)*IF(Upgrades!$T$15="Roche Lobe Overflow",POWER(Upgrades!$U$15,G83),1)*IF(Upgrades!$T$17="Roche Lobe Overflow",POWER(Upgrades!$U$17,I83),1)*IF(Upgrades!$T$18="Roche Lobe Overflow",POWER(Upgrades!$U$18,J83),1)*IF(Upgrades!$T$19="Roche Lobe Overflow",POWER(Upgrades!$U$19,K83),1)*IF(Upgrades!$T$20="Roche Lobe Overflow",POWER(Upgrades!$U$20,L83),1)*IF(Upgrades!$T$21="Roche Lobe Overflow",POWER(Upgrades!$U$21,M83),1))*POWER(Upgrades!$R$13,E83)*POWER(Upgrades!$R$14,F83)*POWER(Upgrades!$R$15,G83)*POWER(Upgrades!$R$16,H83)*POWER(Upgrades!$R$17,I83)*POWER(Upgrades!$R$18,J83)*POWER(Upgrades!$R$19,K83)*POWER(Upgrades!$R$20,L83)*POWER(Upgrades!$R$21,M83)*$H$6)*O83)*0.10)/AO83,0)</f>
        <v/>
      </c>
      <c r="BD83" s="32">
        <f>MAX(IF(J83&gt;0,0,IFERROR(0.5*((IF(G83=0,0,(Upgrades!$J$15+G83*Upgrades!$K$15)*POWER(Upgrades!$L$15,G83)))*(IF(Upgrades!$T$13="Microlensing",POWER(Upgrades!$U$13,E83),1)*IF(Upgrades!$T$14="Microlensing",POWER(Upgrades!$U$14,F83),1)*IF(Upgrades!$T$16="Microlensing",POWER(Upgrades!$U$16,H83),1)*IF(Upgrades!$T$17="Microlensing",POWER(Upgrades!$U$17,I83),1)*IF(Upgrades!$T$18="Microlensing",POWER(Upgrades!$U$18,J83),1)*IF(Upgrades!$T$19="Microlensing",POWER(Upgrades!$U$19,K83),1)*IF(Upgrades!$T$20="Microlensing",POWER(Upgrades!$U$20,L83),1)*IF(Upgrades!$T$21="Microlensing",POWER(Upgrades!$U$21,M83),1))*(POWER(Upgrades!$Q$13,E83)*POWER(Upgrades!$Q$14,F83)*POWER(Upgrades!$Q$15,G83)*POWER(Upgrades!$Q$16,H83)*POWER(Upgrades!$Q$17,I83)*POWER(Upgrades!$Q$18,J83)*POWER(Upgrades!$Q$19,K83)*POWER(Upgrades!$Q$20,L83)*POWER(Upgrades!$Q$21,M83))*$G$6*(Parameters!$B$10/60*Parameters!$B$11+Q83))/Upgrades!$C$18,0)),IF(K83&gt;0,0,IFERROR(0.30*P83/Upgrades!$C$19,0)),IF(L83&gt;0,0,IFERROR(0.0001/Upgrades!$C$20,0)),IF(M83&gt;0,0,IFERROR((6.0*(POWER(Upgrades!$P$13,E83)*POWER(Upgrades!$P$14,F83)*POWER(Upgrades!$P$15,G83)*POWER(Upgrades!$P$16,H83)*POWER(Upgrades!$P$17,I83)*POWER(Upgrades!$P$18,J83)*POWER(Upgrades!$P$19,K83)*POWER(Upgrades!$P$20,L83)*POWER(Upgrades!$P$21,M83))*$F$6+0.20*O83*(Parameters!$B$10/60*Parameters!$B$11+Q83))/Upgrades!$C$21,0)),IF(AND(ISNUMBER(AK83),AK83&gt;(C83+T83)),AY83,0),IF(AND(ISNUMBER(AL83),AL83&gt;(C83+T83)),AZ83,0),IF(AND(ISNUMBER(AM83),AM83&gt;(C83+T83)),BA83,0),IF(AND(ISNUMBER(AN83),AN83&gt;(C83+T83)),BB83,0),IF(AND(ISNUMBER(AO83),AO83&gt;(C83+T83)),BC83,0))</f>
        <v/>
      </c>
      <c r="BE83" s="29">
        <f>IF(AT83=1,"transition",IF(MIN(IF(AND(J83=0,ISNUMBER(AP83),AP83&lt;=(C83+T83)),AP83,9E15),IF(AND(K83=0,ISNUMBER(AQ83),AQ83&lt;=(C83+T83)),AQ83,9E15),IF(AND(L83=0,ISNUMBER(AR83),AR83&lt;=(C83+T83)),AR83,9E15),IF(AND(M83=0,ISNUMBER(AS83),AS83&lt;=(C83+T83)),AS83,9E15))&lt;9E15,IF(AND(AND(J83=0,ISNUMBER(AP83),AP83&lt;=(C83+T83)),AP83=MIN(IF(AND(J83=0,ISNUMBER(AP83),AP83&lt;=(C83+T83)),AP83,9E15),IF(AND(K83=0,ISNUMBER(AQ83),AQ83&lt;=(C83+T83)),AQ83,9E15),IF(AND(L83=0,ISNUMBER(AR83),AR83&lt;=(C83+T83)),AR83,9E15),IF(AND(M83=0,ISNUMBER(AS83),AS83&lt;=(C83+T83)),AS83,9E15))),"BiP",IF(AND(AND(K83=0,ISNUMBER(AQ83),AQ83&lt;=(C83+T83)),AQ83=MIN(IF(AND(J83=0,ISNUMBER(AP83),AP83&lt;=(C83+T83)),AP83,9E15),IF(AND(K83=0,ISNUMBER(AQ83),AQ83&lt;=(C83+T83)),AQ83,9E15),IF(AND(L83=0,ISNUMBER(AR83),AR83&lt;=(C83+T83)),AR83,9E15),IF(AND(M83=0,ISNUMBER(AS83),AS83&lt;=(C83+T83)),AS83,9E15))),"PV",IF(AND(AND(L83=0,ISNUMBER(AR83),AR83&lt;=(C83+T83)),AR83=MIN(IF(AND(J83=0,ISNUMBER(AP83),AP83&lt;=(C83+T83)),AP83,9E15),IF(AND(K83=0,ISNUMBER(AQ83),AQ83&lt;=(C83+T83)),AQ83,9E15),IF(AND(L83=0,ISNUMBER(AR83),AR83&lt;=(C83+T83)),AR83,9E15),IF(AND(M83=0,ISNUMBER(AS83),AS83&lt;=(C83+T83)),AS83,9E15))),"OC","MG"))),IF(AX83=TRUE,"",IF(MAX(IF(AND(NOT(AND(AU83=1,AT83&lt;&gt;1)),ISNUMBER(AK83),AK83&lt;=(C83+T83)),AY83,0),IF(AND(NOT(AND(AU83=1,AT83&lt;&gt;1)),ISNUMBER(AL83),AL83&lt;=(C83+T83)),AZ83,0),IF(AND(NOT(AND(AU83=1,AT83&lt;&gt;1)),ISNUMBER(AM83),AM83&lt;=(C83+T83)),BA83,0),IF(AND(NOT(AND(AU83=1,AT83&lt;&gt;1)),ISNUMBER(AN83),AN83&lt;=(C83+T83)),BB83,0),IF(AND(ISNUMBER(AO83),AO83&lt;=(C83+T83)),BC83,0))&lt;=0,"",IF(AND(IF(AND(NOT(AND(AU83=1,AT83&lt;&gt;1)),ISNUMBER(AK83),AK83&lt;=(C83+T83)),AY83,0)&gt;0,IF(AND(NOT(AND(AU83=1,AT83&lt;&gt;1)),ISNUMBER(AK83),AK83&lt;=(C83+T83)),AY83,0)=MAX(IF(AND(NOT(AND(AU83=1,AT83&lt;&gt;1)),ISNUMBER(AK83),AK83&lt;=(C83+T83)),AY83,0),IF(AND(NOT(AND(AU83=1,AT83&lt;&gt;1)),ISNUMBER(AL83),AL83&lt;=(C83+T83)),AZ83,0),IF(AND(NOT(AND(AU83=1,AT83&lt;&gt;1)),ISNUMBER(AM83),AM83&lt;=(C83+T83)),BA83,0),IF(AND(NOT(AND(AU83=1,AT83&lt;&gt;1)),ISNUMBER(AN83),AN83&lt;=(C83+T83)),BB83,0),IF(AND(ISNUMBER(AO83),AO83&lt;=(C83+T83)),BC83,0))),"SK",IF(AND(IF(AND(NOT(AND(AU83=1,AT83&lt;&gt;1)),ISNUMBER(AL83),AL83&lt;=(C83+T83)),AZ83,0)&gt;0,IF(AND(NOT(AND(AU83=1,AT83&lt;&gt;1)),ISNUMBER(AL83),AL83&lt;=(C83+T83)),AZ83,0)=MAX(IF(AND(NOT(AND(AU83=1,AT83&lt;&gt;1)),ISNUMBER(AK83),AK83&lt;=(C83+T83)),AY83,0),IF(AND(NOT(AND(AU83=1,AT83&lt;&gt;1)),ISNUMBER(AL83),AL83&lt;=(C83+T83)),AZ83,0),IF(AND(NOT(AND(AU83=1,AT83&lt;&gt;1)),ISNUMBER(AM83),AM83&lt;=(C83+T83)),BA83,0),IF(AND(NOT(AND(AU83=1,AT83&lt;&gt;1)),ISNUMBER(AN83),AN83&lt;=(C83+T83)),BB83,0),IF(AND(ISNUMBER(AO83),AO83&lt;=(C83+T83)),BC83,0))),"LB",IF(AND(IF(AND(NOT(AND(AU83=1,AT83&lt;&gt;1)),ISNUMBER(AM83),AM83&lt;=(C83+T83)),BA83,0)&gt;0,IF(AND(NOT(AND(AU83=1,AT83&lt;&gt;1)),ISNUMBER(AM83),AM83&lt;=(C83+T83)),BA83,0)=MAX(IF(AND(NOT(AND(AU83=1,AT83&lt;&gt;1)),ISNUMBER(AK83),AK83&lt;=(C83+T83)),AY83,0),IF(AND(NOT(AND(AU83=1,AT83&lt;&gt;1)),ISNUMBER(AL83),AL83&lt;=(C83+T83)),AZ83,0),IF(AND(NOT(AND(AU83=1,AT83&lt;&gt;1)),ISNUMBER(AM83),AM83&lt;=(C83+T83)),BA83,0),IF(AND(NOT(AND(AU83=1,AT83&lt;&gt;1)),ISNUMBER(AN83),AN83&lt;=(C83+T83)),BB83,0),IF(AND(ISNUMBER(AO83),AO83&lt;=(C83+T83)),BC83,0))),"ML",IF(AND(IF(AND(NOT(AND(AU83=1,AT83&lt;&gt;1)),ISNUMBER(AN83),AN83&lt;=(C83+T83)),BB83,0)&gt;0,IF(AND(NOT(AND(AU83=1,AT83&lt;&gt;1)),ISNUMBER(AN83),AN83&lt;=(C83+T83)),BB83,0)=MAX(IF(AND(NOT(AND(AU83=1,AT83&lt;&gt;1)),ISNUMBER(AK83),AK83&lt;=(C83+T83)),AY83,0),IF(AND(NOT(AND(AU83=1,AT83&lt;&gt;1)),ISNUMBER(AL83),AL83&lt;=(C83+T83)),AZ83,0),IF(AND(NOT(AND(AU83=1,AT83&lt;&gt;1)),ISNUMBER(AM83),AM83&lt;=(C83+T83)),BA83,0),IF(AND(NOT(AND(AU83=1,AT83&lt;&gt;1)),ISNUMBER(AN83),AN83&lt;=(C83+T83)),BB83,0),IF(AND(ISNUMBER(AO83),AO83&lt;=(C83+T83)),BC83,0))),"RLO","BD"))))))))</f>
        <v/>
      </c>
    </row>
    <row r="84">
      <c r="A84" s="26" t="n">
        <v>73</v>
      </c>
      <c r="B84" s="27">
        <f>A84*10/60</f>
        <v/>
      </c>
      <c r="C84" s="22">
        <f>X83</f>
        <v/>
      </c>
      <c r="D84" s="27">
        <f>D83+W83</f>
        <v/>
      </c>
      <c r="E84" s="26">
        <f>E83+IF(U83="SK",1,0)</f>
        <v/>
      </c>
      <c r="F84" s="26">
        <f>F83+IF(U83="LB",1,0)</f>
        <v/>
      </c>
      <c r="G84" s="26">
        <f>G83+IF(U83="ML",1,0)</f>
        <v/>
      </c>
      <c r="H84" s="26">
        <f>H83+IF(U83="RLO",1,0)</f>
        <v/>
      </c>
      <c r="I84" s="26">
        <f>I83+IF(U83="BD",1,0)</f>
        <v/>
      </c>
      <c r="J84" s="26">
        <f>MAX(J83,IF(U83="BiP",1,0))</f>
        <v/>
      </c>
      <c r="K84" s="26">
        <f>MAX(K83,IF(U83="PV",1,0))</f>
        <v/>
      </c>
      <c r="L84" s="26">
        <f>MAX(L83,IF(U83="OC",1,0))</f>
        <v/>
      </c>
      <c r="M84" s="26">
        <f>MAX(M83,IF(U83="MG",1,0))</f>
        <v/>
      </c>
      <c r="N84" s="26">
        <f>MAX(N83,IF(U83="transition",1,0))</f>
        <v/>
      </c>
      <c r="O84" s="28">
        <f>(Parameters!$B$9+(IF(E84=0,0,(Upgrades!$J$13+E84*Upgrades!$K$13)*POWER(Upgrades!$L$13,E84)))*(IF(Upgrades!$T$14="Stellar Kinematics",POWER(Upgrades!$U$14,F84),1)*IF(Upgrades!$T$15="Stellar Kinematics",POWER(Upgrades!$U$15,G84),1)*IF(Upgrades!$T$16="Stellar Kinematics",POWER(Upgrades!$U$16,H84),1)*IF(Upgrades!$T$17="Stellar Kinematics",POWER(Upgrades!$U$17,I84),1)*IF(Upgrades!$T$18="Stellar Kinematics",POWER(Upgrades!$U$18,J84),1)*IF(Upgrades!$T$19="Stellar Kinematics",POWER(Upgrades!$U$19,K84),1)*IF(Upgrades!$T$20="Stellar Kinematics",POWER(Upgrades!$U$20,L84),1)*IF(Upgrades!$T$21="Stellar Kinematics",POWER(Upgrades!$U$21,M84),1))+(IF(F84=0,0,(Upgrades!$J$14+F84*Upgrades!$K$14)*POWER(Upgrades!$L$14,F84)))*(IF(Upgrades!$T$13="Local Bubble",POWER(Upgrades!$U$13,E84),1)*IF(Upgrades!$T$15="Local Bubble",POWER(Upgrades!$U$15,G84),1)*IF(Upgrades!$T$16="Local Bubble",POWER(Upgrades!$U$16,H84),1)*IF(Upgrades!$T$17="Local Bubble",POWER(Upgrades!$U$17,I84),1)*IF(Upgrades!$T$18="Local Bubble",POWER(Upgrades!$U$18,J84),1)*IF(Upgrades!$T$19="Local Bubble",POWER(Upgrades!$U$19,K84),1)*IF(Upgrades!$T$20="Local Bubble",POWER(Upgrades!$U$20,L84),1)*IF(Upgrades!$T$21="Local Bubble",POWER(Upgrades!$U$21,M84),1))+(IF(G84=0,0,(Upgrades!$J$15+G84*Upgrades!$K$15)*POWER(Upgrades!$L$15,G84)))*(IF(Upgrades!$T$13="Microlensing",POWER(Upgrades!$U$13,E84),1)*IF(Upgrades!$T$14="Microlensing",POWER(Upgrades!$U$14,F84),1)*IF(Upgrades!$T$16="Microlensing",POWER(Upgrades!$U$16,H84),1)*IF(Upgrades!$T$17="Microlensing",POWER(Upgrades!$U$17,I84),1)*IF(Upgrades!$T$18="Microlensing",POWER(Upgrades!$U$18,J84),1)*IF(Upgrades!$T$19="Microlensing",POWER(Upgrades!$U$19,K84),1)*IF(Upgrades!$T$20="Microlensing",POWER(Upgrades!$U$20,L84),1)*IF(Upgrades!$T$21="Microlensing",POWER(Upgrades!$U$21,M84),1))+(IF(H84=0,0,(Upgrades!$J$16+H84*Upgrades!$K$16)*POWER(Upgrades!$L$16,H84)))*(IF(Upgrades!$T$13="Roche Lobe Overflow",POWER(Upgrades!$U$13,E84),1)*IF(Upgrades!$T$14="Roche Lobe Overflow",POWER(Upgrades!$U$14,F84),1)*IF(Upgrades!$T$15="Roche Lobe Overflow",POWER(Upgrades!$U$15,G84),1)*IF(Upgrades!$T$17="Roche Lobe Overflow",POWER(Upgrades!$U$17,I84),1)*IF(Upgrades!$T$18="Roche Lobe Overflow",POWER(Upgrades!$U$18,J84),1)*IF(Upgrades!$T$19="Roche Lobe Overflow",POWER(Upgrades!$U$19,K84),1)*IF(Upgrades!$T$20="Roche Lobe Overflow",POWER(Upgrades!$U$20,L84),1)*IF(Upgrades!$T$21="Roche Lobe Overflow",POWER(Upgrades!$U$21,M84),1))+(IF(I84=0,0,(Upgrades!$J$17+I84*Upgrades!$K$17)*POWER(Upgrades!$L$17,I84)))*(IF(Upgrades!$T$13="Brown Dwarf",POWER(Upgrades!$U$13,E84),1)*IF(Upgrades!$T$14="Brown Dwarf",POWER(Upgrades!$U$14,F84),1)*IF(Upgrades!$T$15="Brown Dwarf",POWER(Upgrades!$U$15,G84),1)*IF(Upgrades!$T$16="Brown Dwarf",POWER(Upgrades!$U$16,H84),1)*IF(Upgrades!$T$18="Brown Dwarf",POWER(Upgrades!$U$18,J84),1)*IF(Upgrades!$T$19="Brown Dwarf",POWER(Upgrades!$U$19,K84),1)*IF(Upgrades!$T$20="Brown Dwarf",POWER(Upgrades!$U$20,L84),1)*IF(Upgrades!$T$21="Brown Dwarf",POWER(Upgrades!$U$21,M84),1))+(IF(J84=0,0,(Upgrades!$J$18+J84*Upgrades!$K$18)*POWER(Upgrades!$L$18,J84)))*(IF(Upgrades!$T$13="Binary Partner",POWER(Upgrades!$U$13,E84),1)*IF(Upgrades!$T$14="Binary Partner",POWER(Upgrades!$U$14,F84),1)*IF(Upgrades!$T$15="Binary Partner",POWER(Upgrades!$U$15,G84),1)*IF(Upgrades!$T$16="Binary Partner",POWER(Upgrades!$U$16,H84),1)*IF(Upgrades!$T$17="Binary Partner",POWER(Upgrades!$U$17,I84),1)*IF(Upgrades!$T$19="Binary Partner",POWER(Upgrades!$U$19,K84),1)*IF(Upgrades!$T$20="Binary Partner",POWER(Upgrades!$U$20,L84),1)*IF(Upgrades!$T$21="Binary Partner",POWER(Upgrades!$U$21,M84),1))+(IF(K84=0,0,(Upgrades!$J$19+K84*Upgrades!$K$19)*POWER(Upgrades!$L$19,K84)))*(IF(Upgrades!$T$13="Peculiar Velocity",POWER(Upgrades!$U$13,E84),1)*IF(Upgrades!$T$14="Peculiar Velocity",POWER(Upgrades!$U$14,F84),1)*IF(Upgrades!$T$15="Peculiar Velocity",POWER(Upgrades!$U$15,G84),1)*IF(Upgrades!$T$16="Peculiar Velocity",POWER(Upgrades!$U$16,H84),1)*IF(Upgrades!$T$17="Peculiar Velocity",POWER(Upgrades!$U$17,I84),1)*IF(Upgrades!$T$18="Peculiar Velocity",POWER(Upgrades!$U$18,J84),1)*IF(Upgrades!$T$20="Peculiar Velocity",POWER(Upgrades!$U$20,L84),1)*IF(Upgrades!$T$21="Peculiar Velocity",POWER(Upgrades!$U$21,M84),1))+(IF(L84=0,0,(Upgrades!$J$20+L84*Upgrades!$K$20)*POWER(Upgrades!$L$20,L84)))*(IF(Upgrades!$T$13="Open Cluster",POWER(Upgrades!$U$13,E84),1)*IF(Upgrades!$T$14="Open Cluster",POWER(Upgrades!$U$14,F84),1)*IF(Upgrades!$T$15="Open Cluster",POWER(Upgrades!$U$15,G84),1)*IF(Upgrades!$T$16="Open Cluster",POWER(Upgrades!$U$16,H84),1)*IF(Upgrades!$T$17="Open Cluster",POWER(Upgrades!$U$17,I84),1)*IF(Upgrades!$T$18="Open Cluster",POWER(Upgrades!$U$18,J84),1)*IF(Upgrades!$T$19="Open Cluster",POWER(Upgrades!$U$19,K84),1)*IF(Upgrades!$T$21="Open Cluster",POWER(Upgrades!$U$21,M84),1))+(IF(M84=0,0,(Upgrades!$J$21+M84*Upgrades!$K$21)*POWER(Upgrades!$L$21,M84)))*(IF(Upgrades!$T$13="Moving Group",POWER(Upgrades!$U$13,E84),1)*IF(Upgrades!$T$14="Moving Group",POWER(Upgrades!$U$14,F84),1)*IF(Upgrades!$T$15="Moving Group",POWER(Upgrades!$U$15,G84),1)*IF(Upgrades!$T$16="Moving Group",POWER(Upgrades!$U$16,H84),1)*IF(Upgrades!$T$17="Moving Group",POWER(Upgrades!$U$17,I84),1)*IF(Upgrades!$T$18="Moving Group",POWER(Upgrades!$U$18,J84),1)*IF(Upgrades!$T$19="Moving Group",POWER(Upgrades!$U$19,K84),1)*IF(Upgrades!$T$20="Moving Group",POWER(Upgrades!$U$20,L84),1)))*POWER(Upgrades!$Q$13,E84)*POWER(Upgrades!$Q$14,F84)*POWER(Upgrades!$Q$15,G84)*POWER(Upgrades!$Q$16,H84)*POWER(Upgrades!$Q$17,I84)*POWER(Upgrades!$Q$18,J84)*POWER(Upgrades!$Q$19,K84)*POWER(Upgrades!$Q$20,L84)*POWER(Upgrades!$Q$21,M84)*$G$6+$D$6</f>
        <v/>
      </c>
      <c r="P84" s="28">
        <f>((IF(E84=0,0,(Upgrades!$G$13+E84*Upgrades!$H$13)*POWER(Upgrades!$I$13,E84)))*(IF(Upgrades!$T$14="Stellar Kinematics",POWER(Upgrades!$U$14,F84),1)*IF(Upgrades!$T$15="Stellar Kinematics",POWER(Upgrades!$U$15,G84),1)*IF(Upgrades!$T$16="Stellar Kinematics",POWER(Upgrades!$U$16,H84),1)*IF(Upgrades!$T$17="Stellar Kinematics",POWER(Upgrades!$U$17,I84),1)*IF(Upgrades!$T$18="Stellar Kinematics",POWER(Upgrades!$U$18,J84),1)*IF(Upgrades!$T$19="Stellar Kinematics",POWER(Upgrades!$U$19,K84),1)*IF(Upgrades!$T$20="Stellar Kinematics",POWER(Upgrades!$U$20,L84),1)*IF(Upgrades!$T$21="Stellar Kinematics",POWER(Upgrades!$U$21,M84),1))+(IF(F84=0,0,(Upgrades!$G$14+F84*Upgrades!$H$14)*POWER(Upgrades!$I$14,F84)))*(IF(Upgrades!$T$13="Local Bubble",POWER(Upgrades!$U$13,E84),1)*IF(Upgrades!$T$15="Local Bubble",POWER(Upgrades!$U$15,G84),1)*IF(Upgrades!$T$16="Local Bubble",POWER(Upgrades!$U$16,H84),1)*IF(Upgrades!$T$17="Local Bubble",POWER(Upgrades!$U$17,I84),1)*IF(Upgrades!$T$18="Local Bubble",POWER(Upgrades!$U$18,J84),1)*IF(Upgrades!$T$19="Local Bubble",POWER(Upgrades!$U$19,K84),1)*IF(Upgrades!$T$20="Local Bubble",POWER(Upgrades!$U$20,L84),1)*IF(Upgrades!$T$21="Local Bubble",POWER(Upgrades!$U$21,M84),1))+(IF(G84=0,0,(Upgrades!$G$15+G84*Upgrades!$H$15)*POWER(Upgrades!$I$15,G84)))*(IF(Upgrades!$T$13="Microlensing",POWER(Upgrades!$U$13,E84),1)*IF(Upgrades!$T$14="Microlensing",POWER(Upgrades!$U$14,F84),1)*IF(Upgrades!$T$16="Microlensing",POWER(Upgrades!$U$16,H84),1)*IF(Upgrades!$T$17="Microlensing",POWER(Upgrades!$U$17,I84),1)*IF(Upgrades!$T$18="Microlensing",POWER(Upgrades!$U$18,J84),1)*IF(Upgrades!$T$19="Microlensing",POWER(Upgrades!$U$19,K84),1)*IF(Upgrades!$T$20="Microlensing",POWER(Upgrades!$U$20,L84),1)*IF(Upgrades!$T$21="Microlensing",POWER(Upgrades!$U$21,M84),1))+(IF(H84=0,0,(Upgrades!$G$16+H84*Upgrades!$H$16)*POWER(Upgrades!$I$16,H84)))*(IF(Upgrades!$T$13="Roche Lobe Overflow",POWER(Upgrades!$U$13,E84),1)*IF(Upgrades!$T$14="Roche Lobe Overflow",POWER(Upgrades!$U$14,F84),1)*IF(Upgrades!$T$15="Roche Lobe Overflow",POWER(Upgrades!$U$15,G84),1)*IF(Upgrades!$T$17="Roche Lobe Overflow",POWER(Upgrades!$U$17,I84),1)*IF(Upgrades!$T$18="Roche Lobe Overflow",POWER(Upgrades!$U$18,J84),1)*IF(Upgrades!$T$19="Roche Lobe Overflow",POWER(Upgrades!$U$19,K84),1)*IF(Upgrades!$T$20="Roche Lobe Overflow",POWER(Upgrades!$U$20,L84),1)*IF(Upgrades!$T$21="Roche Lobe Overflow",POWER(Upgrades!$U$21,M84),1))+(IF(I84=0,0,(Upgrades!$G$17+I84*Upgrades!$H$17)*POWER(Upgrades!$I$17,I84)))*(IF(Upgrades!$T$13="Brown Dwarf",POWER(Upgrades!$U$13,E84),1)*IF(Upgrades!$T$14="Brown Dwarf",POWER(Upgrades!$U$14,F84),1)*IF(Upgrades!$T$15="Brown Dwarf",POWER(Upgrades!$U$15,G84),1)*IF(Upgrades!$T$16="Brown Dwarf",POWER(Upgrades!$U$16,H84),1)*IF(Upgrades!$T$18="Brown Dwarf",POWER(Upgrades!$U$18,J84),1)*IF(Upgrades!$T$19="Brown Dwarf",POWER(Upgrades!$U$19,K84),1)*IF(Upgrades!$T$20="Brown Dwarf",POWER(Upgrades!$U$20,L84),1)*IF(Upgrades!$T$21="Brown Dwarf",POWER(Upgrades!$U$21,M84),1))+(IF(J84=0,0,(Upgrades!$G$18+J84*Upgrades!$H$18)*POWER(Upgrades!$I$18,J84)))*(IF(Upgrades!$T$13="Binary Partner",POWER(Upgrades!$U$13,E84),1)*IF(Upgrades!$T$14="Binary Partner",POWER(Upgrades!$U$14,F84),1)*IF(Upgrades!$T$15="Binary Partner",POWER(Upgrades!$U$15,G84),1)*IF(Upgrades!$T$16="Binary Partner",POWER(Upgrades!$U$16,H84),1)*IF(Upgrades!$T$17="Binary Partner",POWER(Upgrades!$U$17,I84),1)*IF(Upgrades!$T$19="Binary Partner",POWER(Upgrades!$U$19,K84),1)*IF(Upgrades!$T$20="Binary Partner",POWER(Upgrades!$U$20,L84),1)*IF(Upgrades!$T$21="Binary Partner",POWER(Upgrades!$U$21,M84),1))+(IF(K84=0,0,(Upgrades!$G$19+K84*Upgrades!$H$19)*POWER(Upgrades!$I$19,K84)))*(IF(Upgrades!$T$13="Peculiar Velocity",POWER(Upgrades!$U$13,E84),1)*IF(Upgrades!$T$14="Peculiar Velocity",POWER(Upgrades!$U$14,F84),1)*IF(Upgrades!$T$15="Peculiar Velocity",POWER(Upgrades!$U$15,G84),1)*IF(Upgrades!$T$16="Peculiar Velocity",POWER(Upgrades!$U$16,H84),1)*IF(Upgrades!$T$17="Peculiar Velocity",POWER(Upgrades!$U$17,I84),1)*IF(Upgrades!$T$18="Peculiar Velocity",POWER(Upgrades!$U$18,J84),1)*IF(Upgrades!$T$20="Peculiar Velocity",POWER(Upgrades!$U$20,L84),1)*IF(Upgrades!$T$21="Peculiar Velocity",POWER(Upgrades!$U$21,M84),1))+(IF(L84=0,0,(Upgrades!$G$20+L84*Upgrades!$H$20)*POWER(Upgrades!$I$20,L84)))*(IF(Upgrades!$T$13="Open Cluster",POWER(Upgrades!$U$13,E84),1)*IF(Upgrades!$T$14="Open Cluster",POWER(Upgrades!$U$14,F84),1)*IF(Upgrades!$T$15="Open Cluster",POWER(Upgrades!$U$15,G84),1)*IF(Upgrades!$T$16="Open Cluster",POWER(Upgrades!$U$16,H84),1)*IF(Upgrades!$T$17="Open Cluster",POWER(Upgrades!$U$17,I84),1)*IF(Upgrades!$T$18="Open Cluster",POWER(Upgrades!$U$18,J84),1)*IF(Upgrades!$T$19="Open Cluster",POWER(Upgrades!$U$19,K84),1)*IF(Upgrades!$T$21="Open Cluster",POWER(Upgrades!$U$21,M84),1))+(IF(M84=0,0,(Upgrades!$G$21+M84*Upgrades!$H$21)*POWER(Upgrades!$I$21,M84)))*(IF(Upgrades!$T$13="Moving Group",POWER(Upgrades!$U$13,E84),1)*IF(Upgrades!$T$14="Moving Group",POWER(Upgrades!$U$14,F84),1)*IF(Upgrades!$T$15="Moving Group",POWER(Upgrades!$U$15,G84),1)*IF(Upgrades!$T$16="Moving Group",POWER(Upgrades!$U$16,H84),1)*IF(Upgrades!$T$17="Moving Group",POWER(Upgrades!$U$17,I84),1)*IF(Upgrades!$T$18="Moving Group",POWER(Upgrades!$U$18,J84),1)*IF(Upgrades!$T$19="Moving Group",POWER(Upgrades!$U$19,K84),1)*IF(Upgrades!$T$20="Moving Group",POWER(Upgrades!$U$20,L84),1)))*POWER(Upgrades!$P$13,E84)*POWER(Upgrades!$P$14,F84)*POWER(Upgrades!$P$15,G84)*POWER(Upgrades!$P$16,H84)*POWER(Upgrades!$P$17,I84)*POWER(Upgrades!$P$18,J84)*POWER(Upgrades!$P$19,K84)*POWER(Upgrades!$P$20,L84)*POWER(Upgrades!$P$21,M84)*$F$6+$C$6</f>
        <v/>
      </c>
      <c r="Q84" s="28">
        <f>((IF(E84=0,0,(Upgrades!$M$13+E84*Upgrades!$N$13)*POWER(Upgrades!$O$13,E84)))*(IF(Upgrades!$T$14="Stellar Kinematics",POWER(Upgrades!$U$14,F84),1)*IF(Upgrades!$T$15="Stellar Kinematics",POWER(Upgrades!$U$15,G84),1)*IF(Upgrades!$T$16="Stellar Kinematics",POWER(Upgrades!$U$16,H84),1)*IF(Upgrades!$T$17="Stellar Kinematics",POWER(Upgrades!$U$17,I84),1)*IF(Upgrades!$T$18="Stellar Kinematics",POWER(Upgrades!$U$18,J84),1)*IF(Upgrades!$T$19="Stellar Kinematics",POWER(Upgrades!$U$19,K84),1)*IF(Upgrades!$T$20="Stellar Kinematics",POWER(Upgrades!$U$20,L84),1)*IF(Upgrades!$T$21="Stellar Kinematics",POWER(Upgrades!$U$21,M84),1))+(IF(F84=0,0,(Upgrades!$M$14+F84*Upgrades!$N$14)*POWER(Upgrades!$O$14,F84)))*(IF(Upgrades!$T$13="Local Bubble",POWER(Upgrades!$U$13,E84),1)*IF(Upgrades!$T$15="Local Bubble",POWER(Upgrades!$U$15,G84),1)*IF(Upgrades!$T$16="Local Bubble",POWER(Upgrades!$U$16,H84),1)*IF(Upgrades!$T$17="Local Bubble",POWER(Upgrades!$U$17,I84),1)*IF(Upgrades!$T$18="Local Bubble",POWER(Upgrades!$U$18,J84),1)*IF(Upgrades!$T$19="Local Bubble",POWER(Upgrades!$U$19,K84),1)*IF(Upgrades!$T$20="Local Bubble",POWER(Upgrades!$U$20,L84),1)*IF(Upgrades!$T$21="Local Bubble",POWER(Upgrades!$U$21,M84),1))+(IF(G84=0,0,(Upgrades!$M$15+G84*Upgrades!$N$15)*POWER(Upgrades!$O$15,G84)))*(IF(Upgrades!$T$13="Microlensing",POWER(Upgrades!$U$13,E84),1)*IF(Upgrades!$T$14="Microlensing",POWER(Upgrades!$U$14,F84),1)*IF(Upgrades!$T$16="Microlensing",POWER(Upgrades!$U$16,H84),1)*IF(Upgrades!$T$17="Microlensing",POWER(Upgrades!$U$17,I84),1)*IF(Upgrades!$T$18="Microlensing",POWER(Upgrades!$U$18,J84),1)*IF(Upgrades!$T$19="Microlensing",POWER(Upgrades!$U$19,K84),1)*IF(Upgrades!$T$20="Microlensing",POWER(Upgrades!$U$20,L84),1)*IF(Upgrades!$T$21="Microlensing",POWER(Upgrades!$U$21,M84),1))+(IF(H84=0,0,(Upgrades!$M$16+H84*Upgrades!$N$16)*POWER(Upgrades!$O$16,H84)))*(IF(Upgrades!$T$13="Roche Lobe Overflow",POWER(Upgrades!$U$13,E84),1)*IF(Upgrades!$T$14="Roche Lobe Overflow",POWER(Upgrades!$U$14,F84),1)*IF(Upgrades!$T$15="Roche Lobe Overflow",POWER(Upgrades!$U$15,G84),1)*IF(Upgrades!$T$17="Roche Lobe Overflow",POWER(Upgrades!$U$17,I84),1)*IF(Upgrades!$T$18="Roche Lobe Overflow",POWER(Upgrades!$U$18,J84),1)*IF(Upgrades!$T$19="Roche Lobe Overflow",POWER(Upgrades!$U$19,K84),1)*IF(Upgrades!$T$20="Roche Lobe Overflow",POWER(Upgrades!$U$20,L84),1)*IF(Upgrades!$T$21="Roche Lobe Overflow",POWER(Upgrades!$U$21,M84),1))+(IF(I84=0,0,(Upgrades!$M$17+I84*Upgrades!$N$17)*POWER(Upgrades!$O$17,I84)))*(IF(Upgrades!$T$13="Brown Dwarf",POWER(Upgrades!$U$13,E84),1)*IF(Upgrades!$T$14="Brown Dwarf",POWER(Upgrades!$U$14,F84),1)*IF(Upgrades!$T$15="Brown Dwarf",POWER(Upgrades!$U$15,G84),1)*IF(Upgrades!$T$16="Brown Dwarf",POWER(Upgrades!$U$16,H84),1)*IF(Upgrades!$T$18="Brown Dwarf",POWER(Upgrades!$U$18,J84),1)*IF(Upgrades!$T$19="Brown Dwarf",POWER(Upgrades!$U$19,K84),1)*IF(Upgrades!$T$20="Brown Dwarf",POWER(Upgrades!$U$20,L84),1)*IF(Upgrades!$T$21="Brown Dwarf",POWER(Upgrades!$U$21,M84),1))+(IF(J84=0,0,(Upgrades!$M$18+J84*Upgrades!$N$18)*POWER(Upgrades!$O$18,J84)))*(IF(Upgrades!$T$13="Binary Partner",POWER(Upgrades!$U$13,E84),1)*IF(Upgrades!$T$14="Binary Partner",POWER(Upgrades!$U$14,F84),1)*IF(Upgrades!$T$15="Binary Partner",POWER(Upgrades!$U$15,G84),1)*IF(Upgrades!$T$16="Binary Partner",POWER(Upgrades!$U$16,H84),1)*IF(Upgrades!$T$17="Binary Partner",POWER(Upgrades!$U$17,I84),1)*IF(Upgrades!$T$19="Binary Partner",POWER(Upgrades!$U$19,K84),1)*IF(Upgrades!$T$20="Binary Partner",POWER(Upgrades!$U$20,L84),1)*IF(Upgrades!$T$21="Binary Partner",POWER(Upgrades!$U$21,M84),1))+(IF(K84=0,0,(Upgrades!$M$19+K84*Upgrades!$N$19)*POWER(Upgrades!$O$19,K84)))*(IF(Upgrades!$T$13="Peculiar Velocity",POWER(Upgrades!$U$13,E84),1)*IF(Upgrades!$T$14="Peculiar Velocity",POWER(Upgrades!$U$14,F84),1)*IF(Upgrades!$T$15="Peculiar Velocity",POWER(Upgrades!$U$15,G84),1)*IF(Upgrades!$T$16="Peculiar Velocity",POWER(Upgrades!$U$16,H84),1)*IF(Upgrades!$T$17="Peculiar Velocity",POWER(Upgrades!$U$17,I84),1)*IF(Upgrades!$T$18="Peculiar Velocity",POWER(Upgrades!$U$18,J84),1)*IF(Upgrades!$T$20="Peculiar Velocity",POWER(Upgrades!$U$20,L84),1)*IF(Upgrades!$T$21="Peculiar Velocity",POWER(Upgrades!$U$21,M84),1))+(IF(L84=0,0,(Upgrades!$M$20+L84*Upgrades!$N$20)*POWER(Upgrades!$O$20,L84)))*(IF(Upgrades!$T$13="Open Cluster",POWER(Upgrades!$U$13,E84),1)*IF(Upgrades!$T$14="Open Cluster",POWER(Upgrades!$U$14,F84),1)*IF(Upgrades!$T$15="Open Cluster",POWER(Upgrades!$U$15,G84),1)*IF(Upgrades!$T$16="Open Cluster",POWER(Upgrades!$U$16,H84),1)*IF(Upgrades!$T$17="Open Cluster",POWER(Upgrades!$U$17,I84),1)*IF(Upgrades!$T$18="Open Cluster",POWER(Upgrades!$U$18,J84),1)*IF(Upgrades!$T$19="Open Cluster",POWER(Upgrades!$U$19,K84),1)*IF(Upgrades!$T$21="Open Cluster",POWER(Upgrades!$U$21,M84),1))+(IF(M84=0,0,(Upgrades!$M$21+M84*Upgrades!$N$21)*POWER(Upgrades!$O$21,M84)))*(IF(Upgrades!$T$13="Moving Group",POWER(Upgrades!$U$13,E84),1)*IF(Upgrades!$T$14="Moving Group",POWER(Upgrades!$U$14,F84),1)*IF(Upgrades!$T$15="Moving Group",POWER(Upgrades!$U$15,G84),1)*IF(Upgrades!$T$16="Moving Group",POWER(Upgrades!$U$16,H84),1)*IF(Upgrades!$T$17="Moving Group",POWER(Upgrades!$U$17,I84),1)*IF(Upgrades!$T$18="Moving Group",POWER(Upgrades!$U$18,J84),1)*IF(Upgrades!$T$19="Moving Group",POWER(Upgrades!$U$19,K84),1)*IF(Upgrades!$T$20="Moving Group",POWER(Upgrades!$U$20,L84),1)))*POWER(Upgrades!$R$13,E84)*POWER(Upgrades!$R$14,F84)*POWER(Upgrades!$R$15,G84)*POWER(Upgrades!$R$16,H84)*POWER(Upgrades!$R$17,I84)*POWER(Upgrades!$R$18,J84)*POWER(Upgrades!$R$19,K84)*POWER(Upgrades!$R$20,L84)*POWER(Upgrades!$R$21,M84)*$H$6+$E$6</f>
        <v/>
      </c>
      <c r="R84" s="27">
        <f>IF(N84=1,0,O84*Parameters!$B$10/60*Parameters!$B$11*10)</f>
        <v/>
      </c>
      <c r="S84" s="27">
        <f>IF(N84=1,0,Q84*O84*10)</f>
        <v/>
      </c>
      <c r="T84" s="27">
        <f>IF(N84=1,0,R84+S84+P84*10)</f>
        <v/>
      </c>
      <c r="U84" s="33">
        <f>BE84</f>
        <v/>
      </c>
      <c r="V84" s="22">
        <f>IF(U84="",0,IF(U84="transition",0,IF(U84="SK",AK84,IF(U84="LB",AL84,IF(U84="ML",AM84,IF(U84="RLO",AN84,IF(U84="BD",AO84,IF(U84="BiP",AP84,IF(U84="PV",AQ84,IF(U84="OC",AR84,IF(U84="MG",AS84,0))))))))))</f>
        <v/>
      </c>
      <c r="W84" s="27">
        <f>IF(U84="BiP",Upgrades!$F$18,IF(U84="PV",Upgrades!$F$19,IF(U84="OC",Upgrades!$F$20,IF(U84="MG",Upgrades!$F$21,IF(U84="transition",-Parameters!$B$18*Parameters!$B$19,0)))))</f>
        <v/>
      </c>
      <c r="X84" s="22">
        <f>C84+T84-V84</f>
        <v/>
      </c>
      <c r="Y84" s="30">
        <f>O84*Parameters!$B$10/60*Parameters!$B$11+Q84*O84+P84</f>
        <v/>
      </c>
      <c r="Z84" s="34">
        <f>IF(U84="transition","→ Tier 3 (Galactic Arm)",IF(U84="MG","Moving Group — pocket drifts together",IF(U84="OC","Open Cluster acquired",IF(U84="PV","Peculiar Velocity — passive multiplier active",IF(U84="BiP","Binary Partner — pair bond formed",IF(AND(AU84=1,N84=0,AT84&lt;&gt;1),"Cohesion ready (waiting on completionists)","")))))) </f>
        <v/>
      </c>
      <c r="AA84" s="27">
        <f>(IF(E84=0,0,(Upgrades!$G$13+E84*Upgrades!$H$13)*POWER(Upgrades!$I$13,E84)))*(IF(Upgrades!$T$14="Stellar Kinematics",POWER(Upgrades!$U$14,F84),1)*IF(Upgrades!$T$15="Stellar Kinematics",POWER(Upgrades!$U$15,G84),1)*IF(Upgrades!$T$16="Stellar Kinematics",POWER(Upgrades!$U$16,H84),1)*IF(Upgrades!$T$17="Stellar Kinematics",POWER(Upgrades!$U$17,I84),1)*IF(Upgrades!$T$18="Stellar Kinematics",POWER(Upgrades!$U$18,J84),1)*IF(Upgrades!$T$19="Stellar Kinematics",POWER(Upgrades!$U$19,K84),1)*IF(Upgrades!$T$20="Stellar Kinematics",POWER(Upgrades!$U$20,L84),1)*IF(Upgrades!$T$21="Stellar Kinematics",POWER(Upgrades!$U$21,M84),1))*POWER(Upgrades!$P$13,E84)*POWER(Upgrades!$P$14,F84)*POWER(Upgrades!$P$15,G84)*POWER(Upgrades!$P$16,H84)*POWER(Upgrades!$P$17,I84)*POWER(Upgrades!$P$18,J84)*POWER(Upgrades!$P$19,K84)*POWER(Upgrades!$P$20,L84)*POWER(Upgrades!$P$21,M84)*$F$6*60</f>
        <v/>
      </c>
      <c r="AB84" s="27">
        <f>(IF(F84=0,0,(Upgrades!$G$14+F84*Upgrades!$H$14)*POWER(Upgrades!$I$14,F84)))*(IF(Upgrades!$T$13="Local Bubble",POWER(Upgrades!$U$13,E84),1)*IF(Upgrades!$T$15="Local Bubble",POWER(Upgrades!$U$15,G84),1)*IF(Upgrades!$T$16="Local Bubble",POWER(Upgrades!$U$16,H84),1)*IF(Upgrades!$T$17="Local Bubble",POWER(Upgrades!$U$17,I84),1)*IF(Upgrades!$T$18="Local Bubble",POWER(Upgrades!$U$18,J84),1)*IF(Upgrades!$T$19="Local Bubble",POWER(Upgrades!$U$19,K84),1)*IF(Upgrades!$T$20="Local Bubble",POWER(Upgrades!$U$20,L84),1)*IF(Upgrades!$T$21="Local Bubble",POWER(Upgrades!$U$21,M84),1))*POWER(Upgrades!$P$13,E84)*POWER(Upgrades!$P$14,F84)*POWER(Upgrades!$P$15,G84)*POWER(Upgrades!$P$16,H84)*POWER(Upgrades!$P$17,I84)*POWER(Upgrades!$P$18,J84)*POWER(Upgrades!$P$19,K84)*POWER(Upgrades!$P$20,L84)*POWER(Upgrades!$P$21,M84)*$F$6*60</f>
        <v/>
      </c>
      <c r="AC84" s="27">
        <f>(IF(G84=0,0,(Upgrades!$J$15+G84*Upgrades!$K$15)*POWER(Upgrades!$L$15,G84)))*(IF(Upgrades!$T$13="Microlensing",POWER(Upgrades!$U$13,E84),1)*IF(Upgrades!$T$14="Microlensing",POWER(Upgrades!$U$14,F84),1)*IF(Upgrades!$T$16="Microlensing",POWER(Upgrades!$U$16,H84),1)*IF(Upgrades!$T$17="Microlensing",POWER(Upgrades!$U$17,I84),1)*IF(Upgrades!$T$18="Microlensing",POWER(Upgrades!$U$18,J84),1)*IF(Upgrades!$T$19="Microlensing",POWER(Upgrades!$U$19,K84),1)*IF(Upgrades!$T$20="Microlensing",POWER(Upgrades!$U$20,L84),1)*IF(Upgrades!$T$21="Microlensing",POWER(Upgrades!$U$21,M84),1))*POWER(Upgrades!$Q$13,E84)*POWER(Upgrades!$Q$14,F84)*POWER(Upgrades!$Q$15,G84)*POWER(Upgrades!$Q$16,H84)*POWER(Upgrades!$Q$17,I84)*POWER(Upgrades!$Q$18,J84)*POWER(Upgrades!$Q$19,K84)*POWER(Upgrades!$Q$20,L84)*POWER(Upgrades!$Q$21,M84)*$G$6*(Parameters!$B$10*Parameters!$B$11+Q84*60)</f>
        <v/>
      </c>
      <c r="AD84" s="27">
        <f>(IF(H84=0,0,(Upgrades!$M$16+H84*Upgrades!$N$16)*POWER(Upgrades!$O$16,H84)))*(IF(Upgrades!$T$13="Roche Lobe Overflow",POWER(Upgrades!$U$13,E84),1)*IF(Upgrades!$T$14="Roche Lobe Overflow",POWER(Upgrades!$U$14,F84),1)*IF(Upgrades!$T$15="Roche Lobe Overflow",POWER(Upgrades!$U$15,G84),1)*IF(Upgrades!$T$17="Roche Lobe Overflow",POWER(Upgrades!$U$17,I84),1)*IF(Upgrades!$T$18="Roche Lobe Overflow",POWER(Upgrades!$U$18,J84),1)*IF(Upgrades!$T$19="Roche Lobe Overflow",POWER(Upgrades!$U$19,K84),1)*IF(Upgrades!$T$20="Roche Lobe Overflow",POWER(Upgrades!$U$20,L84),1)*IF(Upgrades!$T$21="Roche Lobe Overflow",POWER(Upgrades!$U$21,M84),1))*POWER(Upgrades!$R$13,E84)*POWER(Upgrades!$R$14,F84)*POWER(Upgrades!$R$15,G84)*POWER(Upgrades!$R$16,H84)*POWER(Upgrades!$R$17,I84)*POWER(Upgrades!$R$18,J84)*POWER(Upgrades!$R$19,K84)*POWER(Upgrades!$R$20,L84)*POWER(Upgrades!$R$21,M84)*$H$6*O84*60</f>
        <v/>
      </c>
      <c r="AE84" s="27">
        <f>(IF(I84=0,0,(Upgrades!$G$17+I84*Upgrades!$H$17)*POWER(Upgrades!$I$17,I84)))*(IF(Upgrades!$T$13="Brown Dwarf",POWER(Upgrades!$U$13,E84),1)*IF(Upgrades!$T$14="Brown Dwarf",POWER(Upgrades!$U$14,F84),1)*IF(Upgrades!$T$15="Brown Dwarf",POWER(Upgrades!$U$15,G84),1)*IF(Upgrades!$T$16="Brown Dwarf",POWER(Upgrades!$U$16,H84),1)*IF(Upgrades!$T$18="Brown Dwarf",POWER(Upgrades!$U$18,J84),1)*IF(Upgrades!$T$19="Brown Dwarf",POWER(Upgrades!$U$19,K84),1)*IF(Upgrades!$T$20="Brown Dwarf",POWER(Upgrades!$U$20,L84),1)*IF(Upgrades!$T$21="Brown Dwarf",POWER(Upgrades!$U$21,M84),1))*POWER(Upgrades!$P$13,E84)*POWER(Upgrades!$P$14,F84)*POWER(Upgrades!$P$15,G84)*POWER(Upgrades!$P$16,H84)*POWER(Upgrades!$P$17,I84)*POWER(Upgrades!$P$18,J84)*POWER(Upgrades!$P$19,K84)*POWER(Upgrades!$P$20,L84)*POWER(Upgrades!$P$21,M84)*$F$6*60</f>
        <v/>
      </c>
      <c r="AF84" s="27" t="n">
        <v>0</v>
      </c>
      <c r="AG84" s="27" t="n">
        <v>0</v>
      </c>
      <c r="AH84" s="27" t="n">
        <v>0</v>
      </c>
      <c r="AI84" s="27">
        <f>(IF(M84=0,0,(Upgrades!$G$21+M84*Upgrades!$H$21)*POWER(Upgrades!$I$21,M84)))*(IF(Upgrades!$T$13="Moving Group",POWER(Upgrades!$U$13,E84),1)*IF(Upgrades!$T$14="Moving Group",POWER(Upgrades!$U$14,F84),1)*IF(Upgrades!$T$15="Moving Group",POWER(Upgrades!$U$15,G84),1)*IF(Upgrades!$T$16="Moving Group",POWER(Upgrades!$U$16,H84),1)*IF(Upgrades!$T$17="Moving Group",POWER(Upgrades!$U$17,I84),1)*IF(Upgrades!$T$18="Moving Group",POWER(Upgrades!$U$18,J84),1)*IF(Upgrades!$T$19="Moving Group",POWER(Upgrades!$U$19,K84),1)*IF(Upgrades!$T$20="Moving Group",POWER(Upgrades!$U$20,L84),1))*POWER(Upgrades!$P$13,E84)*POWER(Upgrades!$P$14,F84)*POWER(Upgrades!$P$15,G84)*POWER(Upgrades!$P$16,H84)*POWER(Upgrades!$P$17,I84)*POWER(Upgrades!$P$18,J84)*POWER(Upgrades!$P$19,K84)*POWER(Upgrades!$P$20,L84)*POWER(Upgrades!$P$21,M84)*$F$6*60</f>
        <v/>
      </c>
      <c r="AJ84" s="27">
        <f>$C$6*60</f>
        <v/>
      </c>
      <c r="AK84" s="22">
        <f>IF(E84&gt;=Upgrades!$E$13,"",Upgrades!$C$13*POWER(Upgrades!$D$13,E84))</f>
        <v/>
      </c>
      <c r="AL84" s="22">
        <f>IF(F84&gt;=Upgrades!$E$14,"",Upgrades!$C$14*POWER(Upgrades!$D$14,F84))</f>
        <v/>
      </c>
      <c r="AM84" s="22">
        <f>IF(G84&gt;=Upgrades!$E$15,"",Upgrades!$C$15*POWER(Upgrades!$D$15,G84))</f>
        <v/>
      </c>
      <c r="AN84" s="22">
        <f>IF(H84&gt;=Upgrades!$E$16,"",Upgrades!$C$16*POWER(Upgrades!$D$16,H84))</f>
        <v/>
      </c>
      <c r="AO84" s="22">
        <f>IF(I84&gt;=Upgrades!$E$17,"",Upgrades!$C$17*POWER(Upgrades!$D$17,I84))</f>
        <v/>
      </c>
      <c r="AP84" s="22">
        <f>IF(J84&gt;=Upgrades!$E$18,"",Upgrades!$C$18*POWER(Upgrades!$D$18,J84))</f>
        <v/>
      </c>
      <c r="AQ84" s="22">
        <f>IF(K84&gt;=Upgrades!$E$19,"",Upgrades!$C$19*POWER(Upgrades!$D$19,K84))</f>
        <v/>
      </c>
      <c r="AR84" s="22">
        <f>IF(L84&gt;=Upgrades!$E$20,"",Upgrades!$C$20*POWER(Upgrades!$D$20,L84))</f>
        <v/>
      </c>
      <c r="AS84" s="22">
        <f>IF(M84&gt;=Upgrades!$E$21,"",Upgrades!$C$21*POWER(Upgrades!$D$21,M84))</f>
        <v/>
      </c>
      <c r="AT84" s="26">
        <f>IF(AND(D84&gt;=Parameters!$B$18*Parameters!$B$19,(I84&gt;=Upgrades!$E$17)*(M84&gt;=Upgrades!$E$21)=1,N84=0),1,"")</f>
        <v/>
      </c>
      <c r="AU84" s="26">
        <f>IF(AND(D84&gt;=Parameters!$B$18*Parameters!$B$19,N84=0),1,"")</f>
        <v/>
      </c>
      <c r="AV84" s="22">
        <f>MIN(IF(ISNUMBER(AP84),AP84,9E15),IF(ISNUMBER(AQ84),AQ84,9E15),IF(ISNUMBER(AR84),AR84,9E15),IF(ISNUMBER(AS84),AS84,9E15))</f>
        <v/>
      </c>
      <c r="AW84" s="22">
        <f>MIN(IF(ISNUMBER(AK84),AK84,9E15),IF(ISNUMBER(AL84),AL84,9E15),IF(ISNUMBER(AM84),AM84,9E15),IF(ISNUMBER(AN84),AN84,9E15),IF(ISNUMBER(AO84),AO84,9E15))</f>
        <v/>
      </c>
      <c r="AX84" s="29">
        <f>IF(BD84&gt;Parameters!$B$21*(MAX(IF(AND(NOT(AND(AU84=1,AT84&lt;&gt;1)),ISNUMBER(AK84),AK84&lt;=(C84+T84)),AY84,0),IF(AND(NOT(AND(AU84=1,AT84&lt;&gt;1)),ISNUMBER(AL84),AL84&lt;=(C84+T84)),AZ84,0),IF(AND(NOT(AND(AU84=1,AT84&lt;&gt;1)),ISNUMBER(AM84),AM84&lt;=(C84+T84)),BA84,0),IF(AND(NOT(AND(AU84=1,AT84&lt;&gt;1)),ISNUMBER(AN84),AN84&lt;=(C84+T84)),BB84,0),IF(AND(ISNUMBER(AO84),AO84&lt;=(C84+T84)),BC84,0))),TRUE,FALSE)</f>
        <v/>
      </c>
      <c r="AY84" s="32">
        <f>IFERROR(Upgrades!$H$13*(POWER(Upgrades!$P$13,E84)*POWER(Upgrades!$P$14,F84)*POWER(Upgrades!$P$15,G84)*POWER(Upgrades!$P$16,H84)*POWER(Upgrades!$P$17,I84)*POWER(Upgrades!$P$18,J84)*POWER(Upgrades!$P$19,K84)*POWER(Upgrades!$P$20,L84)*POWER(Upgrades!$P$21,M84))*(IF(Upgrades!$T$14="Stellar Kinematics",POWER(Upgrades!$U$14,F84),1)*IF(Upgrades!$T$15="Stellar Kinematics",POWER(Upgrades!$U$15,G84),1)*IF(Upgrades!$T$16="Stellar Kinematics",POWER(Upgrades!$U$16,H84),1)*IF(Upgrades!$T$17="Stellar Kinematics",POWER(Upgrades!$U$17,I84),1)*IF(Upgrades!$T$18="Stellar Kinematics",POWER(Upgrades!$U$18,J84),1)*IF(Upgrades!$T$19="Stellar Kinematics",POWER(Upgrades!$U$19,K84),1)*IF(Upgrades!$T$20="Stellar Kinematics",POWER(Upgrades!$U$20,L84),1)*IF(Upgrades!$T$21="Stellar Kinematics",POWER(Upgrades!$U$21,M84),1))*$F$6/AK84,0)</f>
        <v/>
      </c>
      <c r="AZ84" s="32">
        <f>IFERROR(Upgrades!$H$14*(POWER(Upgrades!$P$13,E84)*POWER(Upgrades!$P$14,F84)*POWER(Upgrades!$P$15,G84)*POWER(Upgrades!$P$16,H84)*POWER(Upgrades!$P$17,I84)*POWER(Upgrades!$P$18,J84)*POWER(Upgrades!$P$19,K84)*POWER(Upgrades!$P$20,L84)*POWER(Upgrades!$P$21,M84))*(IF(Upgrades!$T$13="Local Bubble",POWER(Upgrades!$U$13,E84),1)*IF(Upgrades!$T$15="Local Bubble",POWER(Upgrades!$U$15,G84),1)*IF(Upgrades!$T$16="Local Bubble",POWER(Upgrades!$U$16,H84),1)*IF(Upgrades!$T$17="Local Bubble",POWER(Upgrades!$U$17,I84),1)*IF(Upgrades!$T$18="Local Bubble",POWER(Upgrades!$U$18,J84),1)*IF(Upgrades!$T$19="Local Bubble",POWER(Upgrades!$U$19,K84),1)*IF(Upgrades!$T$20="Local Bubble",POWER(Upgrades!$U$20,L84),1)*IF(Upgrades!$T$21="Local Bubble",POWER(Upgrades!$U$21,M84),1))*$F$6/AL84,0)</f>
        <v/>
      </c>
      <c r="BA84" s="32">
        <f>IFERROR(Upgrades!$K$15*(POWER(Upgrades!$Q$13,E84)*POWER(Upgrades!$Q$14,F84)*POWER(Upgrades!$Q$15,G84)*POWER(Upgrades!$Q$16,H84)*POWER(Upgrades!$Q$17,I84)*POWER(Upgrades!$Q$18,J84)*POWER(Upgrades!$Q$19,K84)*POWER(Upgrades!$Q$20,L84)*POWER(Upgrades!$Q$21,M84))*(IF(Upgrades!$T$13="Microlensing",POWER(Upgrades!$U$13,E84),1)*IF(Upgrades!$T$14="Microlensing",POWER(Upgrades!$U$14,F84),1)*IF(Upgrades!$T$16="Microlensing",POWER(Upgrades!$U$16,H84),1)*IF(Upgrades!$T$17="Microlensing",POWER(Upgrades!$U$17,I84),1)*IF(Upgrades!$T$18="Microlensing",POWER(Upgrades!$U$18,J84),1)*IF(Upgrades!$T$19="Microlensing",POWER(Upgrades!$U$19,K84),1)*IF(Upgrades!$T$20="Microlensing",POWER(Upgrades!$U$20,L84),1)*IF(Upgrades!$T$21="Microlensing",POWER(Upgrades!$U$21,M84),1))*$G$6*(Parameters!$B$10/60*Parameters!$B$11+Q84)/AM84,0)</f>
        <v/>
      </c>
      <c r="BB84" s="32">
        <f>IFERROR((Upgrades!$N$16*(POWER(Upgrades!$R$13,E84)*POWER(Upgrades!$R$14,F84)*POWER(Upgrades!$R$15,G84)*POWER(Upgrades!$R$16,H84)*POWER(Upgrades!$R$17,I84)*POWER(Upgrades!$R$18,J84)*POWER(Upgrades!$R$19,K84)*POWER(Upgrades!$R$20,L84)*POWER(Upgrades!$R$21,M84))*(IF(Upgrades!$T$13="Roche Lobe Overflow",POWER(Upgrades!$U$13,E84),1)*IF(Upgrades!$T$14="Roche Lobe Overflow",POWER(Upgrades!$U$14,F84),1)*IF(Upgrades!$T$15="Roche Lobe Overflow",POWER(Upgrades!$U$15,G84),1)*IF(Upgrades!$T$17="Roche Lobe Overflow",POWER(Upgrades!$U$17,I84),1)*IF(Upgrades!$T$18="Roche Lobe Overflow",POWER(Upgrades!$U$18,J84),1)*IF(Upgrades!$T$19="Roche Lobe Overflow",POWER(Upgrades!$U$19,K84),1)*IF(Upgrades!$T$20="Roche Lobe Overflow",POWER(Upgrades!$U$20,L84),1)*IF(Upgrades!$T$21="Roche Lobe Overflow",POWER(Upgrades!$U$21,M84),1))*$H$6*O84+((IF(F84=0,0,(Upgrades!$G$14+F84*Upgrades!$H$14)*POWER(Upgrades!$I$14,F84)))*(IF(Upgrades!$T$13="Local Bubble",POWER(Upgrades!$U$13,E84),1)*IF(Upgrades!$T$15="Local Bubble",POWER(Upgrades!$U$15,G84),1)*IF(Upgrades!$T$16="Local Bubble",POWER(Upgrades!$U$16,H84),1)*IF(Upgrades!$T$17="Local Bubble",POWER(Upgrades!$U$17,I84),1)*IF(Upgrades!$T$18="Local Bubble",POWER(Upgrades!$U$18,J84),1)*IF(Upgrades!$T$19="Local Bubble",POWER(Upgrades!$U$19,K84),1)*IF(Upgrades!$T$20="Local Bubble",POWER(Upgrades!$U$20,L84),1)*IF(Upgrades!$T$21="Local Bubble",POWER(Upgrades!$U$21,M84),1))*POWER(Upgrades!$P$13,E84)*POWER(Upgrades!$P$14,F84)*POWER(Upgrades!$P$15,G84)*POWER(Upgrades!$P$16,H84)*POWER(Upgrades!$P$17,I84)*POWER(Upgrades!$P$18,J84)*POWER(Upgrades!$P$19,K84)*POWER(Upgrades!$P$20,L84)*POWER(Upgrades!$P$21,M84)*$F$6)*0.05)/AN84,0)</f>
        <v/>
      </c>
      <c r="BC84" s="32">
        <f>IFERROR((Upgrades!$H$17*(POWER(Upgrades!$P$13,E84)*POWER(Upgrades!$P$14,F84)*POWER(Upgrades!$P$15,G84)*POWER(Upgrades!$P$16,H84)*POWER(Upgrades!$P$17,I84)*POWER(Upgrades!$P$18,J84)*POWER(Upgrades!$P$19,K84)*POWER(Upgrades!$P$20,L84)*POWER(Upgrades!$P$21,M84))*(IF(Upgrades!$T$13="Brown Dwarf",POWER(Upgrades!$U$13,E84),1)*IF(Upgrades!$T$14="Brown Dwarf",POWER(Upgrades!$U$14,F84),1)*IF(Upgrades!$T$15="Brown Dwarf",POWER(Upgrades!$U$15,G84),1)*IF(Upgrades!$T$16="Brown Dwarf",POWER(Upgrades!$U$16,H84),1)*IF(Upgrades!$T$18="Brown Dwarf",POWER(Upgrades!$U$18,J84),1)*IF(Upgrades!$T$19="Brown Dwarf",POWER(Upgrades!$U$19,K84),1)*IF(Upgrades!$T$20="Brown Dwarf",POWER(Upgrades!$U$20,L84),1)*IF(Upgrades!$T$21="Brown Dwarf",POWER(Upgrades!$U$21,M84),1))*$F$6+(((IF(H84=0,0,(Upgrades!$M$16+H84*Upgrades!$N$16)*POWER(Upgrades!$O$16,H84)))*(IF(Upgrades!$T$13="Roche Lobe Overflow",POWER(Upgrades!$U$13,E84),1)*IF(Upgrades!$T$14="Roche Lobe Overflow",POWER(Upgrades!$U$14,F84),1)*IF(Upgrades!$T$15="Roche Lobe Overflow",POWER(Upgrades!$U$15,G84),1)*IF(Upgrades!$T$17="Roche Lobe Overflow",POWER(Upgrades!$U$17,I84),1)*IF(Upgrades!$T$18="Roche Lobe Overflow",POWER(Upgrades!$U$18,J84),1)*IF(Upgrades!$T$19="Roche Lobe Overflow",POWER(Upgrades!$U$19,K84),1)*IF(Upgrades!$T$20="Roche Lobe Overflow",POWER(Upgrades!$U$20,L84),1)*IF(Upgrades!$T$21="Roche Lobe Overflow",POWER(Upgrades!$U$21,M84),1))*POWER(Upgrades!$R$13,E84)*POWER(Upgrades!$R$14,F84)*POWER(Upgrades!$R$15,G84)*POWER(Upgrades!$R$16,H84)*POWER(Upgrades!$R$17,I84)*POWER(Upgrades!$R$18,J84)*POWER(Upgrades!$R$19,K84)*POWER(Upgrades!$R$20,L84)*POWER(Upgrades!$R$21,M84)*$H$6)*O84)*0.10)/AO84,0)</f>
        <v/>
      </c>
      <c r="BD84" s="32">
        <f>MAX(IF(J84&gt;0,0,IFERROR(0.5*((IF(G84=0,0,(Upgrades!$J$15+G84*Upgrades!$K$15)*POWER(Upgrades!$L$15,G84)))*(IF(Upgrades!$T$13="Microlensing",POWER(Upgrades!$U$13,E84),1)*IF(Upgrades!$T$14="Microlensing",POWER(Upgrades!$U$14,F84),1)*IF(Upgrades!$T$16="Microlensing",POWER(Upgrades!$U$16,H84),1)*IF(Upgrades!$T$17="Microlensing",POWER(Upgrades!$U$17,I84),1)*IF(Upgrades!$T$18="Microlensing",POWER(Upgrades!$U$18,J84),1)*IF(Upgrades!$T$19="Microlensing",POWER(Upgrades!$U$19,K84),1)*IF(Upgrades!$T$20="Microlensing",POWER(Upgrades!$U$20,L84),1)*IF(Upgrades!$T$21="Microlensing",POWER(Upgrades!$U$21,M84),1))*(POWER(Upgrades!$Q$13,E84)*POWER(Upgrades!$Q$14,F84)*POWER(Upgrades!$Q$15,G84)*POWER(Upgrades!$Q$16,H84)*POWER(Upgrades!$Q$17,I84)*POWER(Upgrades!$Q$18,J84)*POWER(Upgrades!$Q$19,K84)*POWER(Upgrades!$Q$20,L84)*POWER(Upgrades!$Q$21,M84))*$G$6*(Parameters!$B$10/60*Parameters!$B$11+Q84))/Upgrades!$C$18,0)),IF(K84&gt;0,0,IFERROR(0.30*P84/Upgrades!$C$19,0)),IF(L84&gt;0,0,IFERROR(0.0001/Upgrades!$C$20,0)),IF(M84&gt;0,0,IFERROR((6.0*(POWER(Upgrades!$P$13,E84)*POWER(Upgrades!$P$14,F84)*POWER(Upgrades!$P$15,G84)*POWER(Upgrades!$P$16,H84)*POWER(Upgrades!$P$17,I84)*POWER(Upgrades!$P$18,J84)*POWER(Upgrades!$P$19,K84)*POWER(Upgrades!$P$20,L84)*POWER(Upgrades!$P$21,M84))*$F$6+0.20*O84*(Parameters!$B$10/60*Parameters!$B$11+Q84))/Upgrades!$C$21,0)),IF(AND(ISNUMBER(AK84),AK84&gt;(C84+T84)),AY84,0),IF(AND(ISNUMBER(AL84),AL84&gt;(C84+T84)),AZ84,0),IF(AND(ISNUMBER(AM84),AM84&gt;(C84+T84)),BA84,0),IF(AND(ISNUMBER(AN84),AN84&gt;(C84+T84)),BB84,0),IF(AND(ISNUMBER(AO84),AO84&gt;(C84+T84)),BC84,0))</f>
        <v/>
      </c>
      <c r="BE84" s="29">
        <f>IF(AT84=1,"transition",IF(MIN(IF(AND(J84=0,ISNUMBER(AP84),AP84&lt;=(C84+T84)),AP84,9E15),IF(AND(K84=0,ISNUMBER(AQ84),AQ84&lt;=(C84+T84)),AQ84,9E15),IF(AND(L84=0,ISNUMBER(AR84),AR84&lt;=(C84+T84)),AR84,9E15),IF(AND(M84=0,ISNUMBER(AS84),AS84&lt;=(C84+T84)),AS84,9E15))&lt;9E15,IF(AND(AND(J84=0,ISNUMBER(AP84),AP84&lt;=(C84+T84)),AP84=MIN(IF(AND(J84=0,ISNUMBER(AP84),AP84&lt;=(C84+T84)),AP84,9E15),IF(AND(K84=0,ISNUMBER(AQ84),AQ84&lt;=(C84+T84)),AQ84,9E15),IF(AND(L84=0,ISNUMBER(AR84),AR84&lt;=(C84+T84)),AR84,9E15),IF(AND(M84=0,ISNUMBER(AS84),AS84&lt;=(C84+T84)),AS84,9E15))),"BiP",IF(AND(AND(K84=0,ISNUMBER(AQ84),AQ84&lt;=(C84+T84)),AQ84=MIN(IF(AND(J84=0,ISNUMBER(AP84),AP84&lt;=(C84+T84)),AP84,9E15),IF(AND(K84=0,ISNUMBER(AQ84),AQ84&lt;=(C84+T84)),AQ84,9E15),IF(AND(L84=0,ISNUMBER(AR84),AR84&lt;=(C84+T84)),AR84,9E15),IF(AND(M84=0,ISNUMBER(AS84),AS84&lt;=(C84+T84)),AS84,9E15))),"PV",IF(AND(AND(L84=0,ISNUMBER(AR84),AR84&lt;=(C84+T84)),AR84=MIN(IF(AND(J84=0,ISNUMBER(AP84),AP84&lt;=(C84+T84)),AP84,9E15),IF(AND(K84=0,ISNUMBER(AQ84),AQ84&lt;=(C84+T84)),AQ84,9E15),IF(AND(L84=0,ISNUMBER(AR84),AR84&lt;=(C84+T84)),AR84,9E15),IF(AND(M84=0,ISNUMBER(AS84),AS84&lt;=(C84+T84)),AS84,9E15))),"OC","MG"))),IF(AX84=TRUE,"",IF(MAX(IF(AND(NOT(AND(AU84=1,AT84&lt;&gt;1)),ISNUMBER(AK84),AK84&lt;=(C84+T84)),AY84,0),IF(AND(NOT(AND(AU84=1,AT84&lt;&gt;1)),ISNUMBER(AL84),AL84&lt;=(C84+T84)),AZ84,0),IF(AND(NOT(AND(AU84=1,AT84&lt;&gt;1)),ISNUMBER(AM84),AM84&lt;=(C84+T84)),BA84,0),IF(AND(NOT(AND(AU84=1,AT84&lt;&gt;1)),ISNUMBER(AN84),AN84&lt;=(C84+T84)),BB84,0),IF(AND(ISNUMBER(AO84),AO84&lt;=(C84+T84)),BC84,0))&lt;=0,"",IF(AND(IF(AND(NOT(AND(AU84=1,AT84&lt;&gt;1)),ISNUMBER(AK84),AK84&lt;=(C84+T84)),AY84,0)&gt;0,IF(AND(NOT(AND(AU84=1,AT84&lt;&gt;1)),ISNUMBER(AK84),AK84&lt;=(C84+T84)),AY84,0)=MAX(IF(AND(NOT(AND(AU84=1,AT84&lt;&gt;1)),ISNUMBER(AK84),AK84&lt;=(C84+T84)),AY84,0),IF(AND(NOT(AND(AU84=1,AT84&lt;&gt;1)),ISNUMBER(AL84),AL84&lt;=(C84+T84)),AZ84,0),IF(AND(NOT(AND(AU84=1,AT84&lt;&gt;1)),ISNUMBER(AM84),AM84&lt;=(C84+T84)),BA84,0),IF(AND(NOT(AND(AU84=1,AT84&lt;&gt;1)),ISNUMBER(AN84),AN84&lt;=(C84+T84)),BB84,0),IF(AND(ISNUMBER(AO84),AO84&lt;=(C84+T84)),BC84,0))),"SK",IF(AND(IF(AND(NOT(AND(AU84=1,AT84&lt;&gt;1)),ISNUMBER(AL84),AL84&lt;=(C84+T84)),AZ84,0)&gt;0,IF(AND(NOT(AND(AU84=1,AT84&lt;&gt;1)),ISNUMBER(AL84),AL84&lt;=(C84+T84)),AZ84,0)=MAX(IF(AND(NOT(AND(AU84=1,AT84&lt;&gt;1)),ISNUMBER(AK84),AK84&lt;=(C84+T84)),AY84,0),IF(AND(NOT(AND(AU84=1,AT84&lt;&gt;1)),ISNUMBER(AL84),AL84&lt;=(C84+T84)),AZ84,0),IF(AND(NOT(AND(AU84=1,AT84&lt;&gt;1)),ISNUMBER(AM84),AM84&lt;=(C84+T84)),BA84,0),IF(AND(NOT(AND(AU84=1,AT84&lt;&gt;1)),ISNUMBER(AN84),AN84&lt;=(C84+T84)),BB84,0),IF(AND(ISNUMBER(AO84),AO84&lt;=(C84+T84)),BC84,0))),"LB",IF(AND(IF(AND(NOT(AND(AU84=1,AT84&lt;&gt;1)),ISNUMBER(AM84),AM84&lt;=(C84+T84)),BA84,0)&gt;0,IF(AND(NOT(AND(AU84=1,AT84&lt;&gt;1)),ISNUMBER(AM84),AM84&lt;=(C84+T84)),BA84,0)=MAX(IF(AND(NOT(AND(AU84=1,AT84&lt;&gt;1)),ISNUMBER(AK84),AK84&lt;=(C84+T84)),AY84,0),IF(AND(NOT(AND(AU84=1,AT84&lt;&gt;1)),ISNUMBER(AL84),AL84&lt;=(C84+T84)),AZ84,0),IF(AND(NOT(AND(AU84=1,AT84&lt;&gt;1)),ISNUMBER(AM84),AM84&lt;=(C84+T84)),BA84,0),IF(AND(NOT(AND(AU84=1,AT84&lt;&gt;1)),ISNUMBER(AN84),AN84&lt;=(C84+T84)),BB84,0),IF(AND(ISNUMBER(AO84),AO84&lt;=(C84+T84)),BC84,0))),"ML",IF(AND(IF(AND(NOT(AND(AU84=1,AT84&lt;&gt;1)),ISNUMBER(AN84),AN84&lt;=(C84+T84)),BB84,0)&gt;0,IF(AND(NOT(AND(AU84=1,AT84&lt;&gt;1)),ISNUMBER(AN84),AN84&lt;=(C84+T84)),BB84,0)=MAX(IF(AND(NOT(AND(AU84=1,AT84&lt;&gt;1)),ISNUMBER(AK84),AK84&lt;=(C84+T84)),AY84,0),IF(AND(NOT(AND(AU84=1,AT84&lt;&gt;1)),ISNUMBER(AL84),AL84&lt;=(C84+T84)),AZ84,0),IF(AND(NOT(AND(AU84=1,AT84&lt;&gt;1)),ISNUMBER(AM84),AM84&lt;=(C84+T84)),BA84,0),IF(AND(NOT(AND(AU84=1,AT84&lt;&gt;1)),ISNUMBER(AN84),AN84&lt;=(C84+T84)),BB84,0),IF(AND(ISNUMBER(AO84),AO84&lt;=(C84+T84)),BC84,0))),"RLO","BD"))))))))</f>
        <v/>
      </c>
    </row>
    <row r="85">
      <c r="A85" s="26" t="n">
        <v>74</v>
      </c>
      <c r="B85" s="27">
        <f>A85*10/60</f>
        <v/>
      </c>
      <c r="C85" s="22">
        <f>X84</f>
        <v/>
      </c>
      <c r="D85" s="27">
        <f>D84+W84</f>
        <v/>
      </c>
      <c r="E85" s="26">
        <f>E84+IF(U84="SK",1,0)</f>
        <v/>
      </c>
      <c r="F85" s="26">
        <f>F84+IF(U84="LB",1,0)</f>
        <v/>
      </c>
      <c r="G85" s="26">
        <f>G84+IF(U84="ML",1,0)</f>
        <v/>
      </c>
      <c r="H85" s="26">
        <f>H84+IF(U84="RLO",1,0)</f>
        <v/>
      </c>
      <c r="I85" s="26">
        <f>I84+IF(U84="BD",1,0)</f>
        <v/>
      </c>
      <c r="J85" s="26">
        <f>MAX(J84,IF(U84="BiP",1,0))</f>
        <v/>
      </c>
      <c r="K85" s="26">
        <f>MAX(K84,IF(U84="PV",1,0))</f>
        <v/>
      </c>
      <c r="L85" s="26">
        <f>MAX(L84,IF(U84="OC",1,0))</f>
        <v/>
      </c>
      <c r="M85" s="26">
        <f>MAX(M84,IF(U84="MG",1,0))</f>
        <v/>
      </c>
      <c r="N85" s="26">
        <f>MAX(N84,IF(U84="transition",1,0))</f>
        <v/>
      </c>
      <c r="O85" s="28">
        <f>(Parameters!$B$9+(IF(E85=0,0,(Upgrades!$J$13+E85*Upgrades!$K$13)*POWER(Upgrades!$L$13,E85)))*(IF(Upgrades!$T$14="Stellar Kinematics",POWER(Upgrades!$U$14,F85),1)*IF(Upgrades!$T$15="Stellar Kinematics",POWER(Upgrades!$U$15,G85),1)*IF(Upgrades!$T$16="Stellar Kinematics",POWER(Upgrades!$U$16,H85),1)*IF(Upgrades!$T$17="Stellar Kinematics",POWER(Upgrades!$U$17,I85),1)*IF(Upgrades!$T$18="Stellar Kinematics",POWER(Upgrades!$U$18,J85),1)*IF(Upgrades!$T$19="Stellar Kinematics",POWER(Upgrades!$U$19,K85),1)*IF(Upgrades!$T$20="Stellar Kinematics",POWER(Upgrades!$U$20,L85),1)*IF(Upgrades!$T$21="Stellar Kinematics",POWER(Upgrades!$U$21,M85),1))+(IF(F85=0,0,(Upgrades!$J$14+F85*Upgrades!$K$14)*POWER(Upgrades!$L$14,F85)))*(IF(Upgrades!$T$13="Local Bubble",POWER(Upgrades!$U$13,E85),1)*IF(Upgrades!$T$15="Local Bubble",POWER(Upgrades!$U$15,G85),1)*IF(Upgrades!$T$16="Local Bubble",POWER(Upgrades!$U$16,H85),1)*IF(Upgrades!$T$17="Local Bubble",POWER(Upgrades!$U$17,I85),1)*IF(Upgrades!$T$18="Local Bubble",POWER(Upgrades!$U$18,J85),1)*IF(Upgrades!$T$19="Local Bubble",POWER(Upgrades!$U$19,K85),1)*IF(Upgrades!$T$20="Local Bubble",POWER(Upgrades!$U$20,L85),1)*IF(Upgrades!$T$21="Local Bubble",POWER(Upgrades!$U$21,M85),1))+(IF(G85=0,0,(Upgrades!$J$15+G85*Upgrades!$K$15)*POWER(Upgrades!$L$15,G85)))*(IF(Upgrades!$T$13="Microlensing",POWER(Upgrades!$U$13,E85),1)*IF(Upgrades!$T$14="Microlensing",POWER(Upgrades!$U$14,F85),1)*IF(Upgrades!$T$16="Microlensing",POWER(Upgrades!$U$16,H85),1)*IF(Upgrades!$T$17="Microlensing",POWER(Upgrades!$U$17,I85),1)*IF(Upgrades!$T$18="Microlensing",POWER(Upgrades!$U$18,J85),1)*IF(Upgrades!$T$19="Microlensing",POWER(Upgrades!$U$19,K85),1)*IF(Upgrades!$T$20="Microlensing",POWER(Upgrades!$U$20,L85),1)*IF(Upgrades!$T$21="Microlensing",POWER(Upgrades!$U$21,M85),1))+(IF(H85=0,0,(Upgrades!$J$16+H85*Upgrades!$K$16)*POWER(Upgrades!$L$16,H85)))*(IF(Upgrades!$T$13="Roche Lobe Overflow",POWER(Upgrades!$U$13,E85),1)*IF(Upgrades!$T$14="Roche Lobe Overflow",POWER(Upgrades!$U$14,F85),1)*IF(Upgrades!$T$15="Roche Lobe Overflow",POWER(Upgrades!$U$15,G85),1)*IF(Upgrades!$T$17="Roche Lobe Overflow",POWER(Upgrades!$U$17,I85),1)*IF(Upgrades!$T$18="Roche Lobe Overflow",POWER(Upgrades!$U$18,J85),1)*IF(Upgrades!$T$19="Roche Lobe Overflow",POWER(Upgrades!$U$19,K85),1)*IF(Upgrades!$T$20="Roche Lobe Overflow",POWER(Upgrades!$U$20,L85),1)*IF(Upgrades!$T$21="Roche Lobe Overflow",POWER(Upgrades!$U$21,M85),1))+(IF(I85=0,0,(Upgrades!$J$17+I85*Upgrades!$K$17)*POWER(Upgrades!$L$17,I85)))*(IF(Upgrades!$T$13="Brown Dwarf",POWER(Upgrades!$U$13,E85),1)*IF(Upgrades!$T$14="Brown Dwarf",POWER(Upgrades!$U$14,F85),1)*IF(Upgrades!$T$15="Brown Dwarf",POWER(Upgrades!$U$15,G85),1)*IF(Upgrades!$T$16="Brown Dwarf",POWER(Upgrades!$U$16,H85),1)*IF(Upgrades!$T$18="Brown Dwarf",POWER(Upgrades!$U$18,J85),1)*IF(Upgrades!$T$19="Brown Dwarf",POWER(Upgrades!$U$19,K85),1)*IF(Upgrades!$T$20="Brown Dwarf",POWER(Upgrades!$U$20,L85),1)*IF(Upgrades!$T$21="Brown Dwarf",POWER(Upgrades!$U$21,M85),1))+(IF(J85=0,0,(Upgrades!$J$18+J85*Upgrades!$K$18)*POWER(Upgrades!$L$18,J85)))*(IF(Upgrades!$T$13="Binary Partner",POWER(Upgrades!$U$13,E85),1)*IF(Upgrades!$T$14="Binary Partner",POWER(Upgrades!$U$14,F85),1)*IF(Upgrades!$T$15="Binary Partner",POWER(Upgrades!$U$15,G85),1)*IF(Upgrades!$T$16="Binary Partner",POWER(Upgrades!$U$16,H85),1)*IF(Upgrades!$T$17="Binary Partner",POWER(Upgrades!$U$17,I85),1)*IF(Upgrades!$T$19="Binary Partner",POWER(Upgrades!$U$19,K85),1)*IF(Upgrades!$T$20="Binary Partner",POWER(Upgrades!$U$20,L85),1)*IF(Upgrades!$T$21="Binary Partner",POWER(Upgrades!$U$21,M85),1))+(IF(K85=0,0,(Upgrades!$J$19+K85*Upgrades!$K$19)*POWER(Upgrades!$L$19,K85)))*(IF(Upgrades!$T$13="Peculiar Velocity",POWER(Upgrades!$U$13,E85),1)*IF(Upgrades!$T$14="Peculiar Velocity",POWER(Upgrades!$U$14,F85),1)*IF(Upgrades!$T$15="Peculiar Velocity",POWER(Upgrades!$U$15,G85),1)*IF(Upgrades!$T$16="Peculiar Velocity",POWER(Upgrades!$U$16,H85),1)*IF(Upgrades!$T$17="Peculiar Velocity",POWER(Upgrades!$U$17,I85),1)*IF(Upgrades!$T$18="Peculiar Velocity",POWER(Upgrades!$U$18,J85),1)*IF(Upgrades!$T$20="Peculiar Velocity",POWER(Upgrades!$U$20,L85),1)*IF(Upgrades!$T$21="Peculiar Velocity",POWER(Upgrades!$U$21,M85),1))+(IF(L85=0,0,(Upgrades!$J$20+L85*Upgrades!$K$20)*POWER(Upgrades!$L$20,L85)))*(IF(Upgrades!$T$13="Open Cluster",POWER(Upgrades!$U$13,E85),1)*IF(Upgrades!$T$14="Open Cluster",POWER(Upgrades!$U$14,F85),1)*IF(Upgrades!$T$15="Open Cluster",POWER(Upgrades!$U$15,G85),1)*IF(Upgrades!$T$16="Open Cluster",POWER(Upgrades!$U$16,H85),1)*IF(Upgrades!$T$17="Open Cluster",POWER(Upgrades!$U$17,I85),1)*IF(Upgrades!$T$18="Open Cluster",POWER(Upgrades!$U$18,J85),1)*IF(Upgrades!$T$19="Open Cluster",POWER(Upgrades!$U$19,K85),1)*IF(Upgrades!$T$21="Open Cluster",POWER(Upgrades!$U$21,M85),1))+(IF(M85=0,0,(Upgrades!$J$21+M85*Upgrades!$K$21)*POWER(Upgrades!$L$21,M85)))*(IF(Upgrades!$T$13="Moving Group",POWER(Upgrades!$U$13,E85),1)*IF(Upgrades!$T$14="Moving Group",POWER(Upgrades!$U$14,F85),1)*IF(Upgrades!$T$15="Moving Group",POWER(Upgrades!$U$15,G85),1)*IF(Upgrades!$T$16="Moving Group",POWER(Upgrades!$U$16,H85),1)*IF(Upgrades!$T$17="Moving Group",POWER(Upgrades!$U$17,I85),1)*IF(Upgrades!$T$18="Moving Group",POWER(Upgrades!$U$18,J85),1)*IF(Upgrades!$T$19="Moving Group",POWER(Upgrades!$U$19,K85),1)*IF(Upgrades!$T$20="Moving Group",POWER(Upgrades!$U$20,L85),1)))*POWER(Upgrades!$Q$13,E85)*POWER(Upgrades!$Q$14,F85)*POWER(Upgrades!$Q$15,G85)*POWER(Upgrades!$Q$16,H85)*POWER(Upgrades!$Q$17,I85)*POWER(Upgrades!$Q$18,J85)*POWER(Upgrades!$Q$19,K85)*POWER(Upgrades!$Q$20,L85)*POWER(Upgrades!$Q$21,M85)*$G$6+$D$6</f>
        <v/>
      </c>
      <c r="P85" s="28">
        <f>((IF(E85=0,0,(Upgrades!$G$13+E85*Upgrades!$H$13)*POWER(Upgrades!$I$13,E85)))*(IF(Upgrades!$T$14="Stellar Kinematics",POWER(Upgrades!$U$14,F85),1)*IF(Upgrades!$T$15="Stellar Kinematics",POWER(Upgrades!$U$15,G85),1)*IF(Upgrades!$T$16="Stellar Kinematics",POWER(Upgrades!$U$16,H85),1)*IF(Upgrades!$T$17="Stellar Kinematics",POWER(Upgrades!$U$17,I85),1)*IF(Upgrades!$T$18="Stellar Kinematics",POWER(Upgrades!$U$18,J85),1)*IF(Upgrades!$T$19="Stellar Kinematics",POWER(Upgrades!$U$19,K85),1)*IF(Upgrades!$T$20="Stellar Kinematics",POWER(Upgrades!$U$20,L85),1)*IF(Upgrades!$T$21="Stellar Kinematics",POWER(Upgrades!$U$21,M85),1))+(IF(F85=0,0,(Upgrades!$G$14+F85*Upgrades!$H$14)*POWER(Upgrades!$I$14,F85)))*(IF(Upgrades!$T$13="Local Bubble",POWER(Upgrades!$U$13,E85),1)*IF(Upgrades!$T$15="Local Bubble",POWER(Upgrades!$U$15,G85),1)*IF(Upgrades!$T$16="Local Bubble",POWER(Upgrades!$U$16,H85),1)*IF(Upgrades!$T$17="Local Bubble",POWER(Upgrades!$U$17,I85),1)*IF(Upgrades!$T$18="Local Bubble",POWER(Upgrades!$U$18,J85),1)*IF(Upgrades!$T$19="Local Bubble",POWER(Upgrades!$U$19,K85),1)*IF(Upgrades!$T$20="Local Bubble",POWER(Upgrades!$U$20,L85),1)*IF(Upgrades!$T$21="Local Bubble",POWER(Upgrades!$U$21,M85),1))+(IF(G85=0,0,(Upgrades!$G$15+G85*Upgrades!$H$15)*POWER(Upgrades!$I$15,G85)))*(IF(Upgrades!$T$13="Microlensing",POWER(Upgrades!$U$13,E85),1)*IF(Upgrades!$T$14="Microlensing",POWER(Upgrades!$U$14,F85),1)*IF(Upgrades!$T$16="Microlensing",POWER(Upgrades!$U$16,H85),1)*IF(Upgrades!$T$17="Microlensing",POWER(Upgrades!$U$17,I85),1)*IF(Upgrades!$T$18="Microlensing",POWER(Upgrades!$U$18,J85),1)*IF(Upgrades!$T$19="Microlensing",POWER(Upgrades!$U$19,K85),1)*IF(Upgrades!$T$20="Microlensing",POWER(Upgrades!$U$20,L85),1)*IF(Upgrades!$T$21="Microlensing",POWER(Upgrades!$U$21,M85),1))+(IF(H85=0,0,(Upgrades!$G$16+H85*Upgrades!$H$16)*POWER(Upgrades!$I$16,H85)))*(IF(Upgrades!$T$13="Roche Lobe Overflow",POWER(Upgrades!$U$13,E85),1)*IF(Upgrades!$T$14="Roche Lobe Overflow",POWER(Upgrades!$U$14,F85),1)*IF(Upgrades!$T$15="Roche Lobe Overflow",POWER(Upgrades!$U$15,G85),1)*IF(Upgrades!$T$17="Roche Lobe Overflow",POWER(Upgrades!$U$17,I85),1)*IF(Upgrades!$T$18="Roche Lobe Overflow",POWER(Upgrades!$U$18,J85),1)*IF(Upgrades!$T$19="Roche Lobe Overflow",POWER(Upgrades!$U$19,K85),1)*IF(Upgrades!$T$20="Roche Lobe Overflow",POWER(Upgrades!$U$20,L85),1)*IF(Upgrades!$T$21="Roche Lobe Overflow",POWER(Upgrades!$U$21,M85),1))+(IF(I85=0,0,(Upgrades!$G$17+I85*Upgrades!$H$17)*POWER(Upgrades!$I$17,I85)))*(IF(Upgrades!$T$13="Brown Dwarf",POWER(Upgrades!$U$13,E85),1)*IF(Upgrades!$T$14="Brown Dwarf",POWER(Upgrades!$U$14,F85),1)*IF(Upgrades!$T$15="Brown Dwarf",POWER(Upgrades!$U$15,G85),1)*IF(Upgrades!$T$16="Brown Dwarf",POWER(Upgrades!$U$16,H85),1)*IF(Upgrades!$T$18="Brown Dwarf",POWER(Upgrades!$U$18,J85),1)*IF(Upgrades!$T$19="Brown Dwarf",POWER(Upgrades!$U$19,K85),1)*IF(Upgrades!$T$20="Brown Dwarf",POWER(Upgrades!$U$20,L85),1)*IF(Upgrades!$T$21="Brown Dwarf",POWER(Upgrades!$U$21,M85),1))+(IF(J85=0,0,(Upgrades!$G$18+J85*Upgrades!$H$18)*POWER(Upgrades!$I$18,J85)))*(IF(Upgrades!$T$13="Binary Partner",POWER(Upgrades!$U$13,E85),1)*IF(Upgrades!$T$14="Binary Partner",POWER(Upgrades!$U$14,F85),1)*IF(Upgrades!$T$15="Binary Partner",POWER(Upgrades!$U$15,G85),1)*IF(Upgrades!$T$16="Binary Partner",POWER(Upgrades!$U$16,H85),1)*IF(Upgrades!$T$17="Binary Partner",POWER(Upgrades!$U$17,I85),1)*IF(Upgrades!$T$19="Binary Partner",POWER(Upgrades!$U$19,K85),1)*IF(Upgrades!$T$20="Binary Partner",POWER(Upgrades!$U$20,L85),1)*IF(Upgrades!$T$21="Binary Partner",POWER(Upgrades!$U$21,M85),1))+(IF(K85=0,0,(Upgrades!$G$19+K85*Upgrades!$H$19)*POWER(Upgrades!$I$19,K85)))*(IF(Upgrades!$T$13="Peculiar Velocity",POWER(Upgrades!$U$13,E85),1)*IF(Upgrades!$T$14="Peculiar Velocity",POWER(Upgrades!$U$14,F85),1)*IF(Upgrades!$T$15="Peculiar Velocity",POWER(Upgrades!$U$15,G85),1)*IF(Upgrades!$T$16="Peculiar Velocity",POWER(Upgrades!$U$16,H85),1)*IF(Upgrades!$T$17="Peculiar Velocity",POWER(Upgrades!$U$17,I85),1)*IF(Upgrades!$T$18="Peculiar Velocity",POWER(Upgrades!$U$18,J85),1)*IF(Upgrades!$T$20="Peculiar Velocity",POWER(Upgrades!$U$20,L85),1)*IF(Upgrades!$T$21="Peculiar Velocity",POWER(Upgrades!$U$21,M85),1))+(IF(L85=0,0,(Upgrades!$G$20+L85*Upgrades!$H$20)*POWER(Upgrades!$I$20,L85)))*(IF(Upgrades!$T$13="Open Cluster",POWER(Upgrades!$U$13,E85),1)*IF(Upgrades!$T$14="Open Cluster",POWER(Upgrades!$U$14,F85),1)*IF(Upgrades!$T$15="Open Cluster",POWER(Upgrades!$U$15,G85),1)*IF(Upgrades!$T$16="Open Cluster",POWER(Upgrades!$U$16,H85),1)*IF(Upgrades!$T$17="Open Cluster",POWER(Upgrades!$U$17,I85),1)*IF(Upgrades!$T$18="Open Cluster",POWER(Upgrades!$U$18,J85),1)*IF(Upgrades!$T$19="Open Cluster",POWER(Upgrades!$U$19,K85),1)*IF(Upgrades!$T$21="Open Cluster",POWER(Upgrades!$U$21,M85),1))+(IF(M85=0,0,(Upgrades!$G$21+M85*Upgrades!$H$21)*POWER(Upgrades!$I$21,M85)))*(IF(Upgrades!$T$13="Moving Group",POWER(Upgrades!$U$13,E85),1)*IF(Upgrades!$T$14="Moving Group",POWER(Upgrades!$U$14,F85),1)*IF(Upgrades!$T$15="Moving Group",POWER(Upgrades!$U$15,G85),1)*IF(Upgrades!$T$16="Moving Group",POWER(Upgrades!$U$16,H85),1)*IF(Upgrades!$T$17="Moving Group",POWER(Upgrades!$U$17,I85),1)*IF(Upgrades!$T$18="Moving Group",POWER(Upgrades!$U$18,J85),1)*IF(Upgrades!$T$19="Moving Group",POWER(Upgrades!$U$19,K85),1)*IF(Upgrades!$T$20="Moving Group",POWER(Upgrades!$U$20,L85),1)))*POWER(Upgrades!$P$13,E85)*POWER(Upgrades!$P$14,F85)*POWER(Upgrades!$P$15,G85)*POWER(Upgrades!$P$16,H85)*POWER(Upgrades!$P$17,I85)*POWER(Upgrades!$P$18,J85)*POWER(Upgrades!$P$19,K85)*POWER(Upgrades!$P$20,L85)*POWER(Upgrades!$P$21,M85)*$F$6+$C$6</f>
        <v/>
      </c>
      <c r="Q85" s="28">
        <f>((IF(E85=0,0,(Upgrades!$M$13+E85*Upgrades!$N$13)*POWER(Upgrades!$O$13,E85)))*(IF(Upgrades!$T$14="Stellar Kinematics",POWER(Upgrades!$U$14,F85),1)*IF(Upgrades!$T$15="Stellar Kinematics",POWER(Upgrades!$U$15,G85),1)*IF(Upgrades!$T$16="Stellar Kinematics",POWER(Upgrades!$U$16,H85),1)*IF(Upgrades!$T$17="Stellar Kinematics",POWER(Upgrades!$U$17,I85),1)*IF(Upgrades!$T$18="Stellar Kinematics",POWER(Upgrades!$U$18,J85),1)*IF(Upgrades!$T$19="Stellar Kinematics",POWER(Upgrades!$U$19,K85),1)*IF(Upgrades!$T$20="Stellar Kinematics",POWER(Upgrades!$U$20,L85),1)*IF(Upgrades!$T$21="Stellar Kinematics",POWER(Upgrades!$U$21,M85),1))+(IF(F85=0,0,(Upgrades!$M$14+F85*Upgrades!$N$14)*POWER(Upgrades!$O$14,F85)))*(IF(Upgrades!$T$13="Local Bubble",POWER(Upgrades!$U$13,E85),1)*IF(Upgrades!$T$15="Local Bubble",POWER(Upgrades!$U$15,G85),1)*IF(Upgrades!$T$16="Local Bubble",POWER(Upgrades!$U$16,H85),1)*IF(Upgrades!$T$17="Local Bubble",POWER(Upgrades!$U$17,I85),1)*IF(Upgrades!$T$18="Local Bubble",POWER(Upgrades!$U$18,J85),1)*IF(Upgrades!$T$19="Local Bubble",POWER(Upgrades!$U$19,K85),1)*IF(Upgrades!$T$20="Local Bubble",POWER(Upgrades!$U$20,L85),1)*IF(Upgrades!$T$21="Local Bubble",POWER(Upgrades!$U$21,M85),1))+(IF(G85=0,0,(Upgrades!$M$15+G85*Upgrades!$N$15)*POWER(Upgrades!$O$15,G85)))*(IF(Upgrades!$T$13="Microlensing",POWER(Upgrades!$U$13,E85),1)*IF(Upgrades!$T$14="Microlensing",POWER(Upgrades!$U$14,F85),1)*IF(Upgrades!$T$16="Microlensing",POWER(Upgrades!$U$16,H85),1)*IF(Upgrades!$T$17="Microlensing",POWER(Upgrades!$U$17,I85),1)*IF(Upgrades!$T$18="Microlensing",POWER(Upgrades!$U$18,J85),1)*IF(Upgrades!$T$19="Microlensing",POWER(Upgrades!$U$19,K85),1)*IF(Upgrades!$T$20="Microlensing",POWER(Upgrades!$U$20,L85),1)*IF(Upgrades!$T$21="Microlensing",POWER(Upgrades!$U$21,M85),1))+(IF(H85=0,0,(Upgrades!$M$16+H85*Upgrades!$N$16)*POWER(Upgrades!$O$16,H85)))*(IF(Upgrades!$T$13="Roche Lobe Overflow",POWER(Upgrades!$U$13,E85),1)*IF(Upgrades!$T$14="Roche Lobe Overflow",POWER(Upgrades!$U$14,F85),1)*IF(Upgrades!$T$15="Roche Lobe Overflow",POWER(Upgrades!$U$15,G85),1)*IF(Upgrades!$T$17="Roche Lobe Overflow",POWER(Upgrades!$U$17,I85),1)*IF(Upgrades!$T$18="Roche Lobe Overflow",POWER(Upgrades!$U$18,J85),1)*IF(Upgrades!$T$19="Roche Lobe Overflow",POWER(Upgrades!$U$19,K85),1)*IF(Upgrades!$T$20="Roche Lobe Overflow",POWER(Upgrades!$U$20,L85),1)*IF(Upgrades!$T$21="Roche Lobe Overflow",POWER(Upgrades!$U$21,M85),1))+(IF(I85=0,0,(Upgrades!$M$17+I85*Upgrades!$N$17)*POWER(Upgrades!$O$17,I85)))*(IF(Upgrades!$T$13="Brown Dwarf",POWER(Upgrades!$U$13,E85),1)*IF(Upgrades!$T$14="Brown Dwarf",POWER(Upgrades!$U$14,F85),1)*IF(Upgrades!$T$15="Brown Dwarf",POWER(Upgrades!$U$15,G85),1)*IF(Upgrades!$T$16="Brown Dwarf",POWER(Upgrades!$U$16,H85),1)*IF(Upgrades!$T$18="Brown Dwarf",POWER(Upgrades!$U$18,J85),1)*IF(Upgrades!$T$19="Brown Dwarf",POWER(Upgrades!$U$19,K85),1)*IF(Upgrades!$T$20="Brown Dwarf",POWER(Upgrades!$U$20,L85),1)*IF(Upgrades!$T$21="Brown Dwarf",POWER(Upgrades!$U$21,M85),1))+(IF(J85=0,0,(Upgrades!$M$18+J85*Upgrades!$N$18)*POWER(Upgrades!$O$18,J85)))*(IF(Upgrades!$T$13="Binary Partner",POWER(Upgrades!$U$13,E85),1)*IF(Upgrades!$T$14="Binary Partner",POWER(Upgrades!$U$14,F85),1)*IF(Upgrades!$T$15="Binary Partner",POWER(Upgrades!$U$15,G85),1)*IF(Upgrades!$T$16="Binary Partner",POWER(Upgrades!$U$16,H85),1)*IF(Upgrades!$T$17="Binary Partner",POWER(Upgrades!$U$17,I85),1)*IF(Upgrades!$T$19="Binary Partner",POWER(Upgrades!$U$19,K85),1)*IF(Upgrades!$T$20="Binary Partner",POWER(Upgrades!$U$20,L85),1)*IF(Upgrades!$T$21="Binary Partner",POWER(Upgrades!$U$21,M85),1))+(IF(K85=0,0,(Upgrades!$M$19+K85*Upgrades!$N$19)*POWER(Upgrades!$O$19,K85)))*(IF(Upgrades!$T$13="Peculiar Velocity",POWER(Upgrades!$U$13,E85),1)*IF(Upgrades!$T$14="Peculiar Velocity",POWER(Upgrades!$U$14,F85),1)*IF(Upgrades!$T$15="Peculiar Velocity",POWER(Upgrades!$U$15,G85),1)*IF(Upgrades!$T$16="Peculiar Velocity",POWER(Upgrades!$U$16,H85),1)*IF(Upgrades!$T$17="Peculiar Velocity",POWER(Upgrades!$U$17,I85),1)*IF(Upgrades!$T$18="Peculiar Velocity",POWER(Upgrades!$U$18,J85),1)*IF(Upgrades!$T$20="Peculiar Velocity",POWER(Upgrades!$U$20,L85),1)*IF(Upgrades!$T$21="Peculiar Velocity",POWER(Upgrades!$U$21,M85),1))+(IF(L85=0,0,(Upgrades!$M$20+L85*Upgrades!$N$20)*POWER(Upgrades!$O$20,L85)))*(IF(Upgrades!$T$13="Open Cluster",POWER(Upgrades!$U$13,E85),1)*IF(Upgrades!$T$14="Open Cluster",POWER(Upgrades!$U$14,F85),1)*IF(Upgrades!$T$15="Open Cluster",POWER(Upgrades!$U$15,G85),1)*IF(Upgrades!$T$16="Open Cluster",POWER(Upgrades!$U$16,H85),1)*IF(Upgrades!$T$17="Open Cluster",POWER(Upgrades!$U$17,I85),1)*IF(Upgrades!$T$18="Open Cluster",POWER(Upgrades!$U$18,J85),1)*IF(Upgrades!$T$19="Open Cluster",POWER(Upgrades!$U$19,K85),1)*IF(Upgrades!$T$21="Open Cluster",POWER(Upgrades!$U$21,M85),1))+(IF(M85=0,0,(Upgrades!$M$21+M85*Upgrades!$N$21)*POWER(Upgrades!$O$21,M85)))*(IF(Upgrades!$T$13="Moving Group",POWER(Upgrades!$U$13,E85),1)*IF(Upgrades!$T$14="Moving Group",POWER(Upgrades!$U$14,F85),1)*IF(Upgrades!$T$15="Moving Group",POWER(Upgrades!$U$15,G85),1)*IF(Upgrades!$T$16="Moving Group",POWER(Upgrades!$U$16,H85),1)*IF(Upgrades!$T$17="Moving Group",POWER(Upgrades!$U$17,I85),1)*IF(Upgrades!$T$18="Moving Group",POWER(Upgrades!$U$18,J85),1)*IF(Upgrades!$T$19="Moving Group",POWER(Upgrades!$U$19,K85),1)*IF(Upgrades!$T$20="Moving Group",POWER(Upgrades!$U$20,L85),1)))*POWER(Upgrades!$R$13,E85)*POWER(Upgrades!$R$14,F85)*POWER(Upgrades!$R$15,G85)*POWER(Upgrades!$R$16,H85)*POWER(Upgrades!$R$17,I85)*POWER(Upgrades!$R$18,J85)*POWER(Upgrades!$R$19,K85)*POWER(Upgrades!$R$20,L85)*POWER(Upgrades!$R$21,M85)*$H$6+$E$6</f>
        <v/>
      </c>
      <c r="R85" s="27">
        <f>IF(N85=1,0,O85*Parameters!$B$10/60*Parameters!$B$11*10)</f>
        <v/>
      </c>
      <c r="S85" s="27">
        <f>IF(N85=1,0,Q85*O85*10)</f>
        <v/>
      </c>
      <c r="T85" s="27">
        <f>IF(N85=1,0,R85+S85+P85*10)</f>
        <v/>
      </c>
      <c r="U85" s="33">
        <f>BE85</f>
        <v/>
      </c>
      <c r="V85" s="22">
        <f>IF(U85="",0,IF(U85="transition",0,IF(U85="SK",AK85,IF(U85="LB",AL85,IF(U85="ML",AM85,IF(U85="RLO",AN85,IF(U85="BD",AO85,IF(U85="BiP",AP85,IF(U85="PV",AQ85,IF(U85="OC",AR85,IF(U85="MG",AS85,0))))))))))</f>
        <v/>
      </c>
      <c r="W85" s="27">
        <f>IF(U85="BiP",Upgrades!$F$18,IF(U85="PV",Upgrades!$F$19,IF(U85="OC",Upgrades!$F$20,IF(U85="MG",Upgrades!$F$21,IF(U85="transition",-Parameters!$B$18*Parameters!$B$19,0)))))</f>
        <v/>
      </c>
      <c r="X85" s="22">
        <f>C85+T85-V85</f>
        <v/>
      </c>
      <c r="Y85" s="30">
        <f>O85*Parameters!$B$10/60*Parameters!$B$11+Q85*O85+P85</f>
        <v/>
      </c>
      <c r="Z85" s="34">
        <f>IF(U85="transition","→ Tier 3 (Galactic Arm)",IF(U85="MG","Moving Group — pocket drifts together",IF(U85="OC","Open Cluster acquired",IF(U85="PV","Peculiar Velocity — passive multiplier active",IF(U85="BiP","Binary Partner — pair bond formed",IF(AND(AU85=1,N85=0,AT85&lt;&gt;1),"Cohesion ready (waiting on completionists)","")))))) </f>
        <v/>
      </c>
      <c r="AA85" s="27">
        <f>(IF(E85=0,0,(Upgrades!$G$13+E85*Upgrades!$H$13)*POWER(Upgrades!$I$13,E85)))*(IF(Upgrades!$T$14="Stellar Kinematics",POWER(Upgrades!$U$14,F85),1)*IF(Upgrades!$T$15="Stellar Kinematics",POWER(Upgrades!$U$15,G85),1)*IF(Upgrades!$T$16="Stellar Kinematics",POWER(Upgrades!$U$16,H85),1)*IF(Upgrades!$T$17="Stellar Kinematics",POWER(Upgrades!$U$17,I85),1)*IF(Upgrades!$T$18="Stellar Kinematics",POWER(Upgrades!$U$18,J85),1)*IF(Upgrades!$T$19="Stellar Kinematics",POWER(Upgrades!$U$19,K85),1)*IF(Upgrades!$T$20="Stellar Kinematics",POWER(Upgrades!$U$20,L85),1)*IF(Upgrades!$T$21="Stellar Kinematics",POWER(Upgrades!$U$21,M85),1))*POWER(Upgrades!$P$13,E85)*POWER(Upgrades!$P$14,F85)*POWER(Upgrades!$P$15,G85)*POWER(Upgrades!$P$16,H85)*POWER(Upgrades!$P$17,I85)*POWER(Upgrades!$P$18,J85)*POWER(Upgrades!$P$19,K85)*POWER(Upgrades!$P$20,L85)*POWER(Upgrades!$P$21,M85)*$F$6*60</f>
        <v/>
      </c>
      <c r="AB85" s="27">
        <f>(IF(F85=0,0,(Upgrades!$G$14+F85*Upgrades!$H$14)*POWER(Upgrades!$I$14,F85)))*(IF(Upgrades!$T$13="Local Bubble",POWER(Upgrades!$U$13,E85),1)*IF(Upgrades!$T$15="Local Bubble",POWER(Upgrades!$U$15,G85),1)*IF(Upgrades!$T$16="Local Bubble",POWER(Upgrades!$U$16,H85),1)*IF(Upgrades!$T$17="Local Bubble",POWER(Upgrades!$U$17,I85),1)*IF(Upgrades!$T$18="Local Bubble",POWER(Upgrades!$U$18,J85),1)*IF(Upgrades!$T$19="Local Bubble",POWER(Upgrades!$U$19,K85),1)*IF(Upgrades!$T$20="Local Bubble",POWER(Upgrades!$U$20,L85),1)*IF(Upgrades!$T$21="Local Bubble",POWER(Upgrades!$U$21,M85),1))*POWER(Upgrades!$P$13,E85)*POWER(Upgrades!$P$14,F85)*POWER(Upgrades!$P$15,G85)*POWER(Upgrades!$P$16,H85)*POWER(Upgrades!$P$17,I85)*POWER(Upgrades!$P$18,J85)*POWER(Upgrades!$P$19,K85)*POWER(Upgrades!$P$20,L85)*POWER(Upgrades!$P$21,M85)*$F$6*60</f>
        <v/>
      </c>
      <c r="AC85" s="27">
        <f>(IF(G85=0,0,(Upgrades!$J$15+G85*Upgrades!$K$15)*POWER(Upgrades!$L$15,G85)))*(IF(Upgrades!$T$13="Microlensing",POWER(Upgrades!$U$13,E85),1)*IF(Upgrades!$T$14="Microlensing",POWER(Upgrades!$U$14,F85),1)*IF(Upgrades!$T$16="Microlensing",POWER(Upgrades!$U$16,H85),1)*IF(Upgrades!$T$17="Microlensing",POWER(Upgrades!$U$17,I85),1)*IF(Upgrades!$T$18="Microlensing",POWER(Upgrades!$U$18,J85),1)*IF(Upgrades!$T$19="Microlensing",POWER(Upgrades!$U$19,K85),1)*IF(Upgrades!$T$20="Microlensing",POWER(Upgrades!$U$20,L85),1)*IF(Upgrades!$T$21="Microlensing",POWER(Upgrades!$U$21,M85),1))*POWER(Upgrades!$Q$13,E85)*POWER(Upgrades!$Q$14,F85)*POWER(Upgrades!$Q$15,G85)*POWER(Upgrades!$Q$16,H85)*POWER(Upgrades!$Q$17,I85)*POWER(Upgrades!$Q$18,J85)*POWER(Upgrades!$Q$19,K85)*POWER(Upgrades!$Q$20,L85)*POWER(Upgrades!$Q$21,M85)*$G$6*(Parameters!$B$10*Parameters!$B$11+Q85*60)</f>
        <v/>
      </c>
      <c r="AD85" s="27">
        <f>(IF(H85=0,0,(Upgrades!$M$16+H85*Upgrades!$N$16)*POWER(Upgrades!$O$16,H85)))*(IF(Upgrades!$T$13="Roche Lobe Overflow",POWER(Upgrades!$U$13,E85),1)*IF(Upgrades!$T$14="Roche Lobe Overflow",POWER(Upgrades!$U$14,F85),1)*IF(Upgrades!$T$15="Roche Lobe Overflow",POWER(Upgrades!$U$15,G85),1)*IF(Upgrades!$T$17="Roche Lobe Overflow",POWER(Upgrades!$U$17,I85),1)*IF(Upgrades!$T$18="Roche Lobe Overflow",POWER(Upgrades!$U$18,J85),1)*IF(Upgrades!$T$19="Roche Lobe Overflow",POWER(Upgrades!$U$19,K85),1)*IF(Upgrades!$T$20="Roche Lobe Overflow",POWER(Upgrades!$U$20,L85),1)*IF(Upgrades!$T$21="Roche Lobe Overflow",POWER(Upgrades!$U$21,M85),1))*POWER(Upgrades!$R$13,E85)*POWER(Upgrades!$R$14,F85)*POWER(Upgrades!$R$15,G85)*POWER(Upgrades!$R$16,H85)*POWER(Upgrades!$R$17,I85)*POWER(Upgrades!$R$18,J85)*POWER(Upgrades!$R$19,K85)*POWER(Upgrades!$R$20,L85)*POWER(Upgrades!$R$21,M85)*$H$6*O85*60</f>
        <v/>
      </c>
      <c r="AE85" s="27">
        <f>(IF(I85=0,0,(Upgrades!$G$17+I85*Upgrades!$H$17)*POWER(Upgrades!$I$17,I85)))*(IF(Upgrades!$T$13="Brown Dwarf",POWER(Upgrades!$U$13,E85),1)*IF(Upgrades!$T$14="Brown Dwarf",POWER(Upgrades!$U$14,F85),1)*IF(Upgrades!$T$15="Brown Dwarf",POWER(Upgrades!$U$15,G85),1)*IF(Upgrades!$T$16="Brown Dwarf",POWER(Upgrades!$U$16,H85),1)*IF(Upgrades!$T$18="Brown Dwarf",POWER(Upgrades!$U$18,J85),1)*IF(Upgrades!$T$19="Brown Dwarf",POWER(Upgrades!$U$19,K85),1)*IF(Upgrades!$T$20="Brown Dwarf",POWER(Upgrades!$U$20,L85),1)*IF(Upgrades!$T$21="Brown Dwarf",POWER(Upgrades!$U$21,M85),1))*POWER(Upgrades!$P$13,E85)*POWER(Upgrades!$P$14,F85)*POWER(Upgrades!$P$15,G85)*POWER(Upgrades!$P$16,H85)*POWER(Upgrades!$P$17,I85)*POWER(Upgrades!$P$18,J85)*POWER(Upgrades!$P$19,K85)*POWER(Upgrades!$P$20,L85)*POWER(Upgrades!$P$21,M85)*$F$6*60</f>
        <v/>
      </c>
      <c r="AF85" s="27" t="n">
        <v>0</v>
      </c>
      <c r="AG85" s="27" t="n">
        <v>0</v>
      </c>
      <c r="AH85" s="27" t="n">
        <v>0</v>
      </c>
      <c r="AI85" s="27">
        <f>(IF(M85=0,0,(Upgrades!$G$21+M85*Upgrades!$H$21)*POWER(Upgrades!$I$21,M85)))*(IF(Upgrades!$T$13="Moving Group",POWER(Upgrades!$U$13,E85),1)*IF(Upgrades!$T$14="Moving Group",POWER(Upgrades!$U$14,F85),1)*IF(Upgrades!$T$15="Moving Group",POWER(Upgrades!$U$15,G85),1)*IF(Upgrades!$T$16="Moving Group",POWER(Upgrades!$U$16,H85),1)*IF(Upgrades!$T$17="Moving Group",POWER(Upgrades!$U$17,I85),1)*IF(Upgrades!$T$18="Moving Group",POWER(Upgrades!$U$18,J85),1)*IF(Upgrades!$T$19="Moving Group",POWER(Upgrades!$U$19,K85),1)*IF(Upgrades!$T$20="Moving Group",POWER(Upgrades!$U$20,L85),1))*POWER(Upgrades!$P$13,E85)*POWER(Upgrades!$P$14,F85)*POWER(Upgrades!$P$15,G85)*POWER(Upgrades!$P$16,H85)*POWER(Upgrades!$P$17,I85)*POWER(Upgrades!$P$18,J85)*POWER(Upgrades!$P$19,K85)*POWER(Upgrades!$P$20,L85)*POWER(Upgrades!$P$21,M85)*$F$6*60</f>
        <v/>
      </c>
      <c r="AJ85" s="27">
        <f>$C$6*60</f>
        <v/>
      </c>
      <c r="AK85" s="22">
        <f>IF(E85&gt;=Upgrades!$E$13,"",Upgrades!$C$13*POWER(Upgrades!$D$13,E85))</f>
        <v/>
      </c>
      <c r="AL85" s="22">
        <f>IF(F85&gt;=Upgrades!$E$14,"",Upgrades!$C$14*POWER(Upgrades!$D$14,F85))</f>
        <v/>
      </c>
      <c r="AM85" s="22">
        <f>IF(G85&gt;=Upgrades!$E$15,"",Upgrades!$C$15*POWER(Upgrades!$D$15,G85))</f>
        <v/>
      </c>
      <c r="AN85" s="22">
        <f>IF(H85&gt;=Upgrades!$E$16,"",Upgrades!$C$16*POWER(Upgrades!$D$16,H85))</f>
        <v/>
      </c>
      <c r="AO85" s="22">
        <f>IF(I85&gt;=Upgrades!$E$17,"",Upgrades!$C$17*POWER(Upgrades!$D$17,I85))</f>
        <v/>
      </c>
      <c r="AP85" s="22">
        <f>IF(J85&gt;=Upgrades!$E$18,"",Upgrades!$C$18*POWER(Upgrades!$D$18,J85))</f>
        <v/>
      </c>
      <c r="AQ85" s="22">
        <f>IF(K85&gt;=Upgrades!$E$19,"",Upgrades!$C$19*POWER(Upgrades!$D$19,K85))</f>
        <v/>
      </c>
      <c r="AR85" s="22">
        <f>IF(L85&gt;=Upgrades!$E$20,"",Upgrades!$C$20*POWER(Upgrades!$D$20,L85))</f>
        <v/>
      </c>
      <c r="AS85" s="22">
        <f>IF(M85&gt;=Upgrades!$E$21,"",Upgrades!$C$21*POWER(Upgrades!$D$21,M85))</f>
        <v/>
      </c>
      <c r="AT85" s="26">
        <f>IF(AND(D85&gt;=Parameters!$B$18*Parameters!$B$19,(I85&gt;=Upgrades!$E$17)*(M85&gt;=Upgrades!$E$21)=1,N85=0),1,"")</f>
        <v/>
      </c>
      <c r="AU85" s="26">
        <f>IF(AND(D85&gt;=Parameters!$B$18*Parameters!$B$19,N85=0),1,"")</f>
        <v/>
      </c>
      <c r="AV85" s="22">
        <f>MIN(IF(ISNUMBER(AP85),AP85,9E15),IF(ISNUMBER(AQ85),AQ85,9E15),IF(ISNUMBER(AR85),AR85,9E15),IF(ISNUMBER(AS85),AS85,9E15))</f>
        <v/>
      </c>
      <c r="AW85" s="22">
        <f>MIN(IF(ISNUMBER(AK85),AK85,9E15),IF(ISNUMBER(AL85),AL85,9E15),IF(ISNUMBER(AM85),AM85,9E15),IF(ISNUMBER(AN85),AN85,9E15),IF(ISNUMBER(AO85),AO85,9E15))</f>
        <v/>
      </c>
      <c r="AX85" s="29">
        <f>IF(BD85&gt;Parameters!$B$21*(MAX(IF(AND(NOT(AND(AU85=1,AT85&lt;&gt;1)),ISNUMBER(AK85),AK85&lt;=(C85+T85)),AY85,0),IF(AND(NOT(AND(AU85=1,AT85&lt;&gt;1)),ISNUMBER(AL85),AL85&lt;=(C85+T85)),AZ85,0),IF(AND(NOT(AND(AU85=1,AT85&lt;&gt;1)),ISNUMBER(AM85),AM85&lt;=(C85+T85)),BA85,0),IF(AND(NOT(AND(AU85=1,AT85&lt;&gt;1)),ISNUMBER(AN85),AN85&lt;=(C85+T85)),BB85,0),IF(AND(ISNUMBER(AO85),AO85&lt;=(C85+T85)),BC85,0))),TRUE,FALSE)</f>
        <v/>
      </c>
      <c r="AY85" s="32">
        <f>IFERROR(Upgrades!$H$13*(POWER(Upgrades!$P$13,E85)*POWER(Upgrades!$P$14,F85)*POWER(Upgrades!$P$15,G85)*POWER(Upgrades!$P$16,H85)*POWER(Upgrades!$P$17,I85)*POWER(Upgrades!$P$18,J85)*POWER(Upgrades!$P$19,K85)*POWER(Upgrades!$P$20,L85)*POWER(Upgrades!$P$21,M85))*(IF(Upgrades!$T$14="Stellar Kinematics",POWER(Upgrades!$U$14,F85),1)*IF(Upgrades!$T$15="Stellar Kinematics",POWER(Upgrades!$U$15,G85),1)*IF(Upgrades!$T$16="Stellar Kinematics",POWER(Upgrades!$U$16,H85),1)*IF(Upgrades!$T$17="Stellar Kinematics",POWER(Upgrades!$U$17,I85),1)*IF(Upgrades!$T$18="Stellar Kinematics",POWER(Upgrades!$U$18,J85),1)*IF(Upgrades!$T$19="Stellar Kinematics",POWER(Upgrades!$U$19,K85),1)*IF(Upgrades!$T$20="Stellar Kinematics",POWER(Upgrades!$U$20,L85),1)*IF(Upgrades!$T$21="Stellar Kinematics",POWER(Upgrades!$U$21,M85),1))*$F$6/AK85,0)</f>
        <v/>
      </c>
      <c r="AZ85" s="32">
        <f>IFERROR(Upgrades!$H$14*(POWER(Upgrades!$P$13,E85)*POWER(Upgrades!$P$14,F85)*POWER(Upgrades!$P$15,G85)*POWER(Upgrades!$P$16,H85)*POWER(Upgrades!$P$17,I85)*POWER(Upgrades!$P$18,J85)*POWER(Upgrades!$P$19,K85)*POWER(Upgrades!$P$20,L85)*POWER(Upgrades!$P$21,M85))*(IF(Upgrades!$T$13="Local Bubble",POWER(Upgrades!$U$13,E85),1)*IF(Upgrades!$T$15="Local Bubble",POWER(Upgrades!$U$15,G85),1)*IF(Upgrades!$T$16="Local Bubble",POWER(Upgrades!$U$16,H85),1)*IF(Upgrades!$T$17="Local Bubble",POWER(Upgrades!$U$17,I85),1)*IF(Upgrades!$T$18="Local Bubble",POWER(Upgrades!$U$18,J85),1)*IF(Upgrades!$T$19="Local Bubble",POWER(Upgrades!$U$19,K85),1)*IF(Upgrades!$T$20="Local Bubble",POWER(Upgrades!$U$20,L85),1)*IF(Upgrades!$T$21="Local Bubble",POWER(Upgrades!$U$21,M85),1))*$F$6/AL85,0)</f>
        <v/>
      </c>
      <c r="BA85" s="32">
        <f>IFERROR(Upgrades!$K$15*(POWER(Upgrades!$Q$13,E85)*POWER(Upgrades!$Q$14,F85)*POWER(Upgrades!$Q$15,G85)*POWER(Upgrades!$Q$16,H85)*POWER(Upgrades!$Q$17,I85)*POWER(Upgrades!$Q$18,J85)*POWER(Upgrades!$Q$19,K85)*POWER(Upgrades!$Q$20,L85)*POWER(Upgrades!$Q$21,M85))*(IF(Upgrades!$T$13="Microlensing",POWER(Upgrades!$U$13,E85),1)*IF(Upgrades!$T$14="Microlensing",POWER(Upgrades!$U$14,F85),1)*IF(Upgrades!$T$16="Microlensing",POWER(Upgrades!$U$16,H85),1)*IF(Upgrades!$T$17="Microlensing",POWER(Upgrades!$U$17,I85),1)*IF(Upgrades!$T$18="Microlensing",POWER(Upgrades!$U$18,J85),1)*IF(Upgrades!$T$19="Microlensing",POWER(Upgrades!$U$19,K85),1)*IF(Upgrades!$T$20="Microlensing",POWER(Upgrades!$U$20,L85),1)*IF(Upgrades!$T$21="Microlensing",POWER(Upgrades!$U$21,M85),1))*$G$6*(Parameters!$B$10/60*Parameters!$B$11+Q85)/AM85,0)</f>
        <v/>
      </c>
      <c r="BB85" s="32">
        <f>IFERROR((Upgrades!$N$16*(POWER(Upgrades!$R$13,E85)*POWER(Upgrades!$R$14,F85)*POWER(Upgrades!$R$15,G85)*POWER(Upgrades!$R$16,H85)*POWER(Upgrades!$R$17,I85)*POWER(Upgrades!$R$18,J85)*POWER(Upgrades!$R$19,K85)*POWER(Upgrades!$R$20,L85)*POWER(Upgrades!$R$21,M85))*(IF(Upgrades!$T$13="Roche Lobe Overflow",POWER(Upgrades!$U$13,E85),1)*IF(Upgrades!$T$14="Roche Lobe Overflow",POWER(Upgrades!$U$14,F85),1)*IF(Upgrades!$T$15="Roche Lobe Overflow",POWER(Upgrades!$U$15,G85),1)*IF(Upgrades!$T$17="Roche Lobe Overflow",POWER(Upgrades!$U$17,I85),1)*IF(Upgrades!$T$18="Roche Lobe Overflow",POWER(Upgrades!$U$18,J85),1)*IF(Upgrades!$T$19="Roche Lobe Overflow",POWER(Upgrades!$U$19,K85),1)*IF(Upgrades!$T$20="Roche Lobe Overflow",POWER(Upgrades!$U$20,L85),1)*IF(Upgrades!$T$21="Roche Lobe Overflow",POWER(Upgrades!$U$21,M85),1))*$H$6*O85+((IF(F85=0,0,(Upgrades!$G$14+F85*Upgrades!$H$14)*POWER(Upgrades!$I$14,F85)))*(IF(Upgrades!$T$13="Local Bubble",POWER(Upgrades!$U$13,E85),1)*IF(Upgrades!$T$15="Local Bubble",POWER(Upgrades!$U$15,G85),1)*IF(Upgrades!$T$16="Local Bubble",POWER(Upgrades!$U$16,H85),1)*IF(Upgrades!$T$17="Local Bubble",POWER(Upgrades!$U$17,I85),1)*IF(Upgrades!$T$18="Local Bubble",POWER(Upgrades!$U$18,J85),1)*IF(Upgrades!$T$19="Local Bubble",POWER(Upgrades!$U$19,K85),1)*IF(Upgrades!$T$20="Local Bubble",POWER(Upgrades!$U$20,L85),1)*IF(Upgrades!$T$21="Local Bubble",POWER(Upgrades!$U$21,M85),1))*POWER(Upgrades!$P$13,E85)*POWER(Upgrades!$P$14,F85)*POWER(Upgrades!$P$15,G85)*POWER(Upgrades!$P$16,H85)*POWER(Upgrades!$P$17,I85)*POWER(Upgrades!$P$18,J85)*POWER(Upgrades!$P$19,K85)*POWER(Upgrades!$P$20,L85)*POWER(Upgrades!$P$21,M85)*$F$6)*0.05)/AN85,0)</f>
        <v/>
      </c>
      <c r="BC85" s="32">
        <f>IFERROR((Upgrades!$H$17*(POWER(Upgrades!$P$13,E85)*POWER(Upgrades!$P$14,F85)*POWER(Upgrades!$P$15,G85)*POWER(Upgrades!$P$16,H85)*POWER(Upgrades!$P$17,I85)*POWER(Upgrades!$P$18,J85)*POWER(Upgrades!$P$19,K85)*POWER(Upgrades!$P$20,L85)*POWER(Upgrades!$P$21,M85))*(IF(Upgrades!$T$13="Brown Dwarf",POWER(Upgrades!$U$13,E85),1)*IF(Upgrades!$T$14="Brown Dwarf",POWER(Upgrades!$U$14,F85),1)*IF(Upgrades!$T$15="Brown Dwarf",POWER(Upgrades!$U$15,G85),1)*IF(Upgrades!$T$16="Brown Dwarf",POWER(Upgrades!$U$16,H85),1)*IF(Upgrades!$T$18="Brown Dwarf",POWER(Upgrades!$U$18,J85),1)*IF(Upgrades!$T$19="Brown Dwarf",POWER(Upgrades!$U$19,K85),1)*IF(Upgrades!$T$20="Brown Dwarf",POWER(Upgrades!$U$20,L85),1)*IF(Upgrades!$T$21="Brown Dwarf",POWER(Upgrades!$U$21,M85),1))*$F$6+(((IF(H85=0,0,(Upgrades!$M$16+H85*Upgrades!$N$16)*POWER(Upgrades!$O$16,H85)))*(IF(Upgrades!$T$13="Roche Lobe Overflow",POWER(Upgrades!$U$13,E85),1)*IF(Upgrades!$T$14="Roche Lobe Overflow",POWER(Upgrades!$U$14,F85),1)*IF(Upgrades!$T$15="Roche Lobe Overflow",POWER(Upgrades!$U$15,G85),1)*IF(Upgrades!$T$17="Roche Lobe Overflow",POWER(Upgrades!$U$17,I85),1)*IF(Upgrades!$T$18="Roche Lobe Overflow",POWER(Upgrades!$U$18,J85),1)*IF(Upgrades!$T$19="Roche Lobe Overflow",POWER(Upgrades!$U$19,K85),1)*IF(Upgrades!$T$20="Roche Lobe Overflow",POWER(Upgrades!$U$20,L85),1)*IF(Upgrades!$T$21="Roche Lobe Overflow",POWER(Upgrades!$U$21,M85),1))*POWER(Upgrades!$R$13,E85)*POWER(Upgrades!$R$14,F85)*POWER(Upgrades!$R$15,G85)*POWER(Upgrades!$R$16,H85)*POWER(Upgrades!$R$17,I85)*POWER(Upgrades!$R$18,J85)*POWER(Upgrades!$R$19,K85)*POWER(Upgrades!$R$20,L85)*POWER(Upgrades!$R$21,M85)*$H$6)*O85)*0.10)/AO85,0)</f>
        <v/>
      </c>
      <c r="BD85" s="32">
        <f>MAX(IF(J85&gt;0,0,IFERROR(0.5*((IF(G85=0,0,(Upgrades!$J$15+G85*Upgrades!$K$15)*POWER(Upgrades!$L$15,G85)))*(IF(Upgrades!$T$13="Microlensing",POWER(Upgrades!$U$13,E85),1)*IF(Upgrades!$T$14="Microlensing",POWER(Upgrades!$U$14,F85),1)*IF(Upgrades!$T$16="Microlensing",POWER(Upgrades!$U$16,H85),1)*IF(Upgrades!$T$17="Microlensing",POWER(Upgrades!$U$17,I85),1)*IF(Upgrades!$T$18="Microlensing",POWER(Upgrades!$U$18,J85),1)*IF(Upgrades!$T$19="Microlensing",POWER(Upgrades!$U$19,K85),1)*IF(Upgrades!$T$20="Microlensing",POWER(Upgrades!$U$20,L85),1)*IF(Upgrades!$T$21="Microlensing",POWER(Upgrades!$U$21,M85),1))*(POWER(Upgrades!$Q$13,E85)*POWER(Upgrades!$Q$14,F85)*POWER(Upgrades!$Q$15,G85)*POWER(Upgrades!$Q$16,H85)*POWER(Upgrades!$Q$17,I85)*POWER(Upgrades!$Q$18,J85)*POWER(Upgrades!$Q$19,K85)*POWER(Upgrades!$Q$20,L85)*POWER(Upgrades!$Q$21,M85))*$G$6*(Parameters!$B$10/60*Parameters!$B$11+Q85))/Upgrades!$C$18,0)),IF(K85&gt;0,0,IFERROR(0.30*P85/Upgrades!$C$19,0)),IF(L85&gt;0,0,IFERROR(0.0001/Upgrades!$C$20,0)),IF(M85&gt;0,0,IFERROR((6.0*(POWER(Upgrades!$P$13,E85)*POWER(Upgrades!$P$14,F85)*POWER(Upgrades!$P$15,G85)*POWER(Upgrades!$P$16,H85)*POWER(Upgrades!$P$17,I85)*POWER(Upgrades!$P$18,J85)*POWER(Upgrades!$P$19,K85)*POWER(Upgrades!$P$20,L85)*POWER(Upgrades!$P$21,M85))*$F$6+0.20*O85*(Parameters!$B$10/60*Parameters!$B$11+Q85))/Upgrades!$C$21,0)),IF(AND(ISNUMBER(AK85),AK85&gt;(C85+T85)),AY85,0),IF(AND(ISNUMBER(AL85),AL85&gt;(C85+T85)),AZ85,0),IF(AND(ISNUMBER(AM85),AM85&gt;(C85+T85)),BA85,0),IF(AND(ISNUMBER(AN85),AN85&gt;(C85+T85)),BB85,0),IF(AND(ISNUMBER(AO85),AO85&gt;(C85+T85)),BC85,0))</f>
        <v/>
      </c>
      <c r="BE85" s="29">
        <f>IF(AT85=1,"transition",IF(MIN(IF(AND(J85=0,ISNUMBER(AP85),AP85&lt;=(C85+T85)),AP85,9E15),IF(AND(K85=0,ISNUMBER(AQ85),AQ85&lt;=(C85+T85)),AQ85,9E15),IF(AND(L85=0,ISNUMBER(AR85),AR85&lt;=(C85+T85)),AR85,9E15),IF(AND(M85=0,ISNUMBER(AS85),AS85&lt;=(C85+T85)),AS85,9E15))&lt;9E15,IF(AND(AND(J85=0,ISNUMBER(AP85),AP85&lt;=(C85+T85)),AP85=MIN(IF(AND(J85=0,ISNUMBER(AP85),AP85&lt;=(C85+T85)),AP85,9E15),IF(AND(K85=0,ISNUMBER(AQ85),AQ85&lt;=(C85+T85)),AQ85,9E15),IF(AND(L85=0,ISNUMBER(AR85),AR85&lt;=(C85+T85)),AR85,9E15),IF(AND(M85=0,ISNUMBER(AS85),AS85&lt;=(C85+T85)),AS85,9E15))),"BiP",IF(AND(AND(K85=0,ISNUMBER(AQ85),AQ85&lt;=(C85+T85)),AQ85=MIN(IF(AND(J85=0,ISNUMBER(AP85),AP85&lt;=(C85+T85)),AP85,9E15),IF(AND(K85=0,ISNUMBER(AQ85),AQ85&lt;=(C85+T85)),AQ85,9E15),IF(AND(L85=0,ISNUMBER(AR85),AR85&lt;=(C85+T85)),AR85,9E15),IF(AND(M85=0,ISNUMBER(AS85),AS85&lt;=(C85+T85)),AS85,9E15))),"PV",IF(AND(AND(L85=0,ISNUMBER(AR85),AR85&lt;=(C85+T85)),AR85=MIN(IF(AND(J85=0,ISNUMBER(AP85),AP85&lt;=(C85+T85)),AP85,9E15),IF(AND(K85=0,ISNUMBER(AQ85),AQ85&lt;=(C85+T85)),AQ85,9E15),IF(AND(L85=0,ISNUMBER(AR85),AR85&lt;=(C85+T85)),AR85,9E15),IF(AND(M85=0,ISNUMBER(AS85),AS85&lt;=(C85+T85)),AS85,9E15))),"OC","MG"))),IF(AX85=TRUE,"",IF(MAX(IF(AND(NOT(AND(AU85=1,AT85&lt;&gt;1)),ISNUMBER(AK85),AK85&lt;=(C85+T85)),AY85,0),IF(AND(NOT(AND(AU85=1,AT85&lt;&gt;1)),ISNUMBER(AL85),AL85&lt;=(C85+T85)),AZ85,0),IF(AND(NOT(AND(AU85=1,AT85&lt;&gt;1)),ISNUMBER(AM85),AM85&lt;=(C85+T85)),BA85,0),IF(AND(NOT(AND(AU85=1,AT85&lt;&gt;1)),ISNUMBER(AN85),AN85&lt;=(C85+T85)),BB85,0),IF(AND(ISNUMBER(AO85),AO85&lt;=(C85+T85)),BC85,0))&lt;=0,"",IF(AND(IF(AND(NOT(AND(AU85=1,AT85&lt;&gt;1)),ISNUMBER(AK85),AK85&lt;=(C85+T85)),AY85,0)&gt;0,IF(AND(NOT(AND(AU85=1,AT85&lt;&gt;1)),ISNUMBER(AK85),AK85&lt;=(C85+T85)),AY85,0)=MAX(IF(AND(NOT(AND(AU85=1,AT85&lt;&gt;1)),ISNUMBER(AK85),AK85&lt;=(C85+T85)),AY85,0),IF(AND(NOT(AND(AU85=1,AT85&lt;&gt;1)),ISNUMBER(AL85),AL85&lt;=(C85+T85)),AZ85,0),IF(AND(NOT(AND(AU85=1,AT85&lt;&gt;1)),ISNUMBER(AM85),AM85&lt;=(C85+T85)),BA85,0),IF(AND(NOT(AND(AU85=1,AT85&lt;&gt;1)),ISNUMBER(AN85),AN85&lt;=(C85+T85)),BB85,0),IF(AND(ISNUMBER(AO85),AO85&lt;=(C85+T85)),BC85,0))),"SK",IF(AND(IF(AND(NOT(AND(AU85=1,AT85&lt;&gt;1)),ISNUMBER(AL85),AL85&lt;=(C85+T85)),AZ85,0)&gt;0,IF(AND(NOT(AND(AU85=1,AT85&lt;&gt;1)),ISNUMBER(AL85),AL85&lt;=(C85+T85)),AZ85,0)=MAX(IF(AND(NOT(AND(AU85=1,AT85&lt;&gt;1)),ISNUMBER(AK85),AK85&lt;=(C85+T85)),AY85,0),IF(AND(NOT(AND(AU85=1,AT85&lt;&gt;1)),ISNUMBER(AL85),AL85&lt;=(C85+T85)),AZ85,0),IF(AND(NOT(AND(AU85=1,AT85&lt;&gt;1)),ISNUMBER(AM85),AM85&lt;=(C85+T85)),BA85,0),IF(AND(NOT(AND(AU85=1,AT85&lt;&gt;1)),ISNUMBER(AN85),AN85&lt;=(C85+T85)),BB85,0),IF(AND(ISNUMBER(AO85),AO85&lt;=(C85+T85)),BC85,0))),"LB",IF(AND(IF(AND(NOT(AND(AU85=1,AT85&lt;&gt;1)),ISNUMBER(AM85),AM85&lt;=(C85+T85)),BA85,0)&gt;0,IF(AND(NOT(AND(AU85=1,AT85&lt;&gt;1)),ISNUMBER(AM85),AM85&lt;=(C85+T85)),BA85,0)=MAX(IF(AND(NOT(AND(AU85=1,AT85&lt;&gt;1)),ISNUMBER(AK85),AK85&lt;=(C85+T85)),AY85,0),IF(AND(NOT(AND(AU85=1,AT85&lt;&gt;1)),ISNUMBER(AL85),AL85&lt;=(C85+T85)),AZ85,0),IF(AND(NOT(AND(AU85=1,AT85&lt;&gt;1)),ISNUMBER(AM85),AM85&lt;=(C85+T85)),BA85,0),IF(AND(NOT(AND(AU85=1,AT85&lt;&gt;1)),ISNUMBER(AN85),AN85&lt;=(C85+T85)),BB85,0),IF(AND(ISNUMBER(AO85),AO85&lt;=(C85+T85)),BC85,0))),"ML",IF(AND(IF(AND(NOT(AND(AU85=1,AT85&lt;&gt;1)),ISNUMBER(AN85),AN85&lt;=(C85+T85)),BB85,0)&gt;0,IF(AND(NOT(AND(AU85=1,AT85&lt;&gt;1)),ISNUMBER(AN85),AN85&lt;=(C85+T85)),BB85,0)=MAX(IF(AND(NOT(AND(AU85=1,AT85&lt;&gt;1)),ISNUMBER(AK85),AK85&lt;=(C85+T85)),AY85,0),IF(AND(NOT(AND(AU85=1,AT85&lt;&gt;1)),ISNUMBER(AL85),AL85&lt;=(C85+T85)),AZ85,0),IF(AND(NOT(AND(AU85=1,AT85&lt;&gt;1)),ISNUMBER(AM85),AM85&lt;=(C85+T85)),BA85,0),IF(AND(NOT(AND(AU85=1,AT85&lt;&gt;1)),ISNUMBER(AN85),AN85&lt;=(C85+T85)),BB85,0),IF(AND(ISNUMBER(AO85),AO85&lt;=(C85+T85)),BC85,0))),"RLO","BD"))))))))</f>
        <v/>
      </c>
    </row>
    <row r="86">
      <c r="A86" s="26" t="n">
        <v>75</v>
      </c>
      <c r="B86" s="27">
        <f>A86*10/60</f>
        <v/>
      </c>
      <c r="C86" s="22">
        <f>X85</f>
        <v/>
      </c>
      <c r="D86" s="27">
        <f>D85+W85</f>
        <v/>
      </c>
      <c r="E86" s="26">
        <f>E85+IF(U85="SK",1,0)</f>
        <v/>
      </c>
      <c r="F86" s="26">
        <f>F85+IF(U85="LB",1,0)</f>
        <v/>
      </c>
      <c r="G86" s="26">
        <f>G85+IF(U85="ML",1,0)</f>
        <v/>
      </c>
      <c r="H86" s="26">
        <f>H85+IF(U85="RLO",1,0)</f>
        <v/>
      </c>
      <c r="I86" s="26">
        <f>I85+IF(U85="BD",1,0)</f>
        <v/>
      </c>
      <c r="J86" s="26">
        <f>MAX(J85,IF(U85="BiP",1,0))</f>
        <v/>
      </c>
      <c r="K86" s="26">
        <f>MAX(K85,IF(U85="PV",1,0))</f>
        <v/>
      </c>
      <c r="L86" s="26">
        <f>MAX(L85,IF(U85="OC",1,0))</f>
        <v/>
      </c>
      <c r="M86" s="26">
        <f>MAX(M85,IF(U85="MG",1,0))</f>
        <v/>
      </c>
      <c r="N86" s="26">
        <f>MAX(N85,IF(U85="transition",1,0))</f>
        <v/>
      </c>
      <c r="O86" s="28">
        <f>(Parameters!$B$9+(IF(E86=0,0,(Upgrades!$J$13+E86*Upgrades!$K$13)*POWER(Upgrades!$L$13,E86)))*(IF(Upgrades!$T$14="Stellar Kinematics",POWER(Upgrades!$U$14,F86),1)*IF(Upgrades!$T$15="Stellar Kinematics",POWER(Upgrades!$U$15,G86),1)*IF(Upgrades!$T$16="Stellar Kinematics",POWER(Upgrades!$U$16,H86),1)*IF(Upgrades!$T$17="Stellar Kinematics",POWER(Upgrades!$U$17,I86),1)*IF(Upgrades!$T$18="Stellar Kinematics",POWER(Upgrades!$U$18,J86),1)*IF(Upgrades!$T$19="Stellar Kinematics",POWER(Upgrades!$U$19,K86),1)*IF(Upgrades!$T$20="Stellar Kinematics",POWER(Upgrades!$U$20,L86),1)*IF(Upgrades!$T$21="Stellar Kinematics",POWER(Upgrades!$U$21,M86),1))+(IF(F86=0,0,(Upgrades!$J$14+F86*Upgrades!$K$14)*POWER(Upgrades!$L$14,F86)))*(IF(Upgrades!$T$13="Local Bubble",POWER(Upgrades!$U$13,E86),1)*IF(Upgrades!$T$15="Local Bubble",POWER(Upgrades!$U$15,G86),1)*IF(Upgrades!$T$16="Local Bubble",POWER(Upgrades!$U$16,H86),1)*IF(Upgrades!$T$17="Local Bubble",POWER(Upgrades!$U$17,I86),1)*IF(Upgrades!$T$18="Local Bubble",POWER(Upgrades!$U$18,J86),1)*IF(Upgrades!$T$19="Local Bubble",POWER(Upgrades!$U$19,K86),1)*IF(Upgrades!$T$20="Local Bubble",POWER(Upgrades!$U$20,L86),1)*IF(Upgrades!$T$21="Local Bubble",POWER(Upgrades!$U$21,M86),1))+(IF(G86=0,0,(Upgrades!$J$15+G86*Upgrades!$K$15)*POWER(Upgrades!$L$15,G86)))*(IF(Upgrades!$T$13="Microlensing",POWER(Upgrades!$U$13,E86),1)*IF(Upgrades!$T$14="Microlensing",POWER(Upgrades!$U$14,F86),1)*IF(Upgrades!$T$16="Microlensing",POWER(Upgrades!$U$16,H86),1)*IF(Upgrades!$T$17="Microlensing",POWER(Upgrades!$U$17,I86),1)*IF(Upgrades!$T$18="Microlensing",POWER(Upgrades!$U$18,J86),1)*IF(Upgrades!$T$19="Microlensing",POWER(Upgrades!$U$19,K86),1)*IF(Upgrades!$T$20="Microlensing",POWER(Upgrades!$U$20,L86),1)*IF(Upgrades!$T$21="Microlensing",POWER(Upgrades!$U$21,M86),1))+(IF(H86=0,0,(Upgrades!$J$16+H86*Upgrades!$K$16)*POWER(Upgrades!$L$16,H86)))*(IF(Upgrades!$T$13="Roche Lobe Overflow",POWER(Upgrades!$U$13,E86),1)*IF(Upgrades!$T$14="Roche Lobe Overflow",POWER(Upgrades!$U$14,F86),1)*IF(Upgrades!$T$15="Roche Lobe Overflow",POWER(Upgrades!$U$15,G86),1)*IF(Upgrades!$T$17="Roche Lobe Overflow",POWER(Upgrades!$U$17,I86),1)*IF(Upgrades!$T$18="Roche Lobe Overflow",POWER(Upgrades!$U$18,J86),1)*IF(Upgrades!$T$19="Roche Lobe Overflow",POWER(Upgrades!$U$19,K86),1)*IF(Upgrades!$T$20="Roche Lobe Overflow",POWER(Upgrades!$U$20,L86),1)*IF(Upgrades!$T$21="Roche Lobe Overflow",POWER(Upgrades!$U$21,M86),1))+(IF(I86=0,0,(Upgrades!$J$17+I86*Upgrades!$K$17)*POWER(Upgrades!$L$17,I86)))*(IF(Upgrades!$T$13="Brown Dwarf",POWER(Upgrades!$U$13,E86),1)*IF(Upgrades!$T$14="Brown Dwarf",POWER(Upgrades!$U$14,F86),1)*IF(Upgrades!$T$15="Brown Dwarf",POWER(Upgrades!$U$15,G86),1)*IF(Upgrades!$T$16="Brown Dwarf",POWER(Upgrades!$U$16,H86),1)*IF(Upgrades!$T$18="Brown Dwarf",POWER(Upgrades!$U$18,J86),1)*IF(Upgrades!$T$19="Brown Dwarf",POWER(Upgrades!$U$19,K86),1)*IF(Upgrades!$T$20="Brown Dwarf",POWER(Upgrades!$U$20,L86),1)*IF(Upgrades!$T$21="Brown Dwarf",POWER(Upgrades!$U$21,M86),1))+(IF(J86=0,0,(Upgrades!$J$18+J86*Upgrades!$K$18)*POWER(Upgrades!$L$18,J86)))*(IF(Upgrades!$T$13="Binary Partner",POWER(Upgrades!$U$13,E86),1)*IF(Upgrades!$T$14="Binary Partner",POWER(Upgrades!$U$14,F86),1)*IF(Upgrades!$T$15="Binary Partner",POWER(Upgrades!$U$15,G86),1)*IF(Upgrades!$T$16="Binary Partner",POWER(Upgrades!$U$16,H86),1)*IF(Upgrades!$T$17="Binary Partner",POWER(Upgrades!$U$17,I86),1)*IF(Upgrades!$T$19="Binary Partner",POWER(Upgrades!$U$19,K86),1)*IF(Upgrades!$T$20="Binary Partner",POWER(Upgrades!$U$20,L86),1)*IF(Upgrades!$T$21="Binary Partner",POWER(Upgrades!$U$21,M86),1))+(IF(K86=0,0,(Upgrades!$J$19+K86*Upgrades!$K$19)*POWER(Upgrades!$L$19,K86)))*(IF(Upgrades!$T$13="Peculiar Velocity",POWER(Upgrades!$U$13,E86),1)*IF(Upgrades!$T$14="Peculiar Velocity",POWER(Upgrades!$U$14,F86),1)*IF(Upgrades!$T$15="Peculiar Velocity",POWER(Upgrades!$U$15,G86),1)*IF(Upgrades!$T$16="Peculiar Velocity",POWER(Upgrades!$U$16,H86),1)*IF(Upgrades!$T$17="Peculiar Velocity",POWER(Upgrades!$U$17,I86),1)*IF(Upgrades!$T$18="Peculiar Velocity",POWER(Upgrades!$U$18,J86),1)*IF(Upgrades!$T$20="Peculiar Velocity",POWER(Upgrades!$U$20,L86),1)*IF(Upgrades!$T$21="Peculiar Velocity",POWER(Upgrades!$U$21,M86),1))+(IF(L86=0,0,(Upgrades!$J$20+L86*Upgrades!$K$20)*POWER(Upgrades!$L$20,L86)))*(IF(Upgrades!$T$13="Open Cluster",POWER(Upgrades!$U$13,E86),1)*IF(Upgrades!$T$14="Open Cluster",POWER(Upgrades!$U$14,F86),1)*IF(Upgrades!$T$15="Open Cluster",POWER(Upgrades!$U$15,G86),1)*IF(Upgrades!$T$16="Open Cluster",POWER(Upgrades!$U$16,H86),1)*IF(Upgrades!$T$17="Open Cluster",POWER(Upgrades!$U$17,I86),1)*IF(Upgrades!$T$18="Open Cluster",POWER(Upgrades!$U$18,J86),1)*IF(Upgrades!$T$19="Open Cluster",POWER(Upgrades!$U$19,K86),1)*IF(Upgrades!$T$21="Open Cluster",POWER(Upgrades!$U$21,M86),1))+(IF(M86=0,0,(Upgrades!$J$21+M86*Upgrades!$K$21)*POWER(Upgrades!$L$21,M86)))*(IF(Upgrades!$T$13="Moving Group",POWER(Upgrades!$U$13,E86),1)*IF(Upgrades!$T$14="Moving Group",POWER(Upgrades!$U$14,F86),1)*IF(Upgrades!$T$15="Moving Group",POWER(Upgrades!$U$15,G86),1)*IF(Upgrades!$T$16="Moving Group",POWER(Upgrades!$U$16,H86),1)*IF(Upgrades!$T$17="Moving Group",POWER(Upgrades!$U$17,I86),1)*IF(Upgrades!$T$18="Moving Group",POWER(Upgrades!$U$18,J86),1)*IF(Upgrades!$T$19="Moving Group",POWER(Upgrades!$U$19,K86),1)*IF(Upgrades!$T$20="Moving Group",POWER(Upgrades!$U$20,L86),1)))*POWER(Upgrades!$Q$13,E86)*POWER(Upgrades!$Q$14,F86)*POWER(Upgrades!$Q$15,G86)*POWER(Upgrades!$Q$16,H86)*POWER(Upgrades!$Q$17,I86)*POWER(Upgrades!$Q$18,J86)*POWER(Upgrades!$Q$19,K86)*POWER(Upgrades!$Q$20,L86)*POWER(Upgrades!$Q$21,M86)*$G$6+$D$6</f>
        <v/>
      </c>
      <c r="P86" s="28">
        <f>((IF(E86=0,0,(Upgrades!$G$13+E86*Upgrades!$H$13)*POWER(Upgrades!$I$13,E86)))*(IF(Upgrades!$T$14="Stellar Kinematics",POWER(Upgrades!$U$14,F86),1)*IF(Upgrades!$T$15="Stellar Kinematics",POWER(Upgrades!$U$15,G86),1)*IF(Upgrades!$T$16="Stellar Kinematics",POWER(Upgrades!$U$16,H86),1)*IF(Upgrades!$T$17="Stellar Kinematics",POWER(Upgrades!$U$17,I86),1)*IF(Upgrades!$T$18="Stellar Kinematics",POWER(Upgrades!$U$18,J86),1)*IF(Upgrades!$T$19="Stellar Kinematics",POWER(Upgrades!$U$19,K86),1)*IF(Upgrades!$T$20="Stellar Kinematics",POWER(Upgrades!$U$20,L86),1)*IF(Upgrades!$T$21="Stellar Kinematics",POWER(Upgrades!$U$21,M86),1))+(IF(F86=0,0,(Upgrades!$G$14+F86*Upgrades!$H$14)*POWER(Upgrades!$I$14,F86)))*(IF(Upgrades!$T$13="Local Bubble",POWER(Upgrades!$U$13,E86),1)*IF(Upgrades!$T$15="Local Bubble",POWER(Upgrades!$U$15,G86),1)*IF(Upgrades!$T$16="Local Bubble",POWER(Upgrades!$U$16,H86),1)*IF(Upgrades!$T$17="Local Bubble",POWER(Upgrades!$U$17,I86),1)*IF(Upgrades!$T$18="Local Bubble",POWER(Upgrades!$U$18,J86),1)*IF(Upgrades!$T$19="Local Bubble",POWER(Upgrades!$U$19,K86),1)*IF(Upgrades!$T$20="Local Bubble",POWER(Upgrades!$U$20,L86),1)*IF(Upgrades!$T$21="Local Bubble",POWER(Upgrades!$U$21,M86),1))+(IF(G86=0,0,(Upgrades!$G$15+G86*Upgrades!$H$15)*POWER(Upgrades!$I$15,G86)))*(IF(Upgrades!$T$13="Microlensing",POWER(Upgrades!$U$13,E86),1)*IF(Upgrades!$T$14="Microlensing",POWER(Upgrades!$U$14,F86),1)*IF(Upgrades!$T$16="Microlensing",POWER(Upgrades!$U$16,H86),1)*IF(Upgrades!$T$17="Microlensing",POWER(Upgrades!$U$17,I86),1)*IF(Upgrades!$T$18="Microlensing",POWER(Upgrades!$U$18,J86),1)*IF(Upgrades!$T$19="Microlensing",POWER(Upgrades!$U$19,K86),1)*IF(Upgrades!$T$20="Microlensing",POWER(Upgrades!$U$20,L86),1)*IF(Upgrades!$T$21="Microlensing",POWER(Upgrades!$U$21,M86),1))+(IF(H86=0,0,(Upgrades!$G$16+H86*Upgrades!$H$16)*POWER(Upgrades!$I$16,H86)))*(IF(Upgrades!$T$13="Roche Lobe Overflow",POWER(Upgrades!$U$13,E86),1)*IF(Upgrades!$T$14="Roche Lobe Overflow",POWER(Upgrades!$U$14,F86),1)*IF(Upgrades!$T$15="Roche Lobe Overflow",POWER(Upgrades!$U$15,G86),1)*IF(Upgrades!$T$17="Roche Lobe Overflow",POWER(Upgrades!$U$17,I86),1)*IF(Upgrades!$T$18="Roche Lobe Overflow",POWER(Upgrades!$U$18,J86),1)*IF(Upgrades!$T$19="Roche Lobe Overflow",POWER(Upgrades!$U$19,K86),1)*IF(Upgrades!$T$20="Roche Lobe Overflow",POWER(Upgrades!$U$20,L86),1)*IF(Upgrades!$T$21="Roche Lobe Overflow",POWER(Upgrades!$U$21,M86),1))+(IF(I86=0,0,(Upgrades!$G$17+I86*Upgrades!$H$17)*POWER(Upgrades!$I$17,I86)))*(IF(Upgrades!$T$13="Brown Dwarf",POWER(Upgrades!$U$13,E86),1)*IF(Upgrades!$T$14="Brown Dwarf",POWER(Upgrades!$U$14,F86),1)*IF(Upgrades!$T$15="Brown Dwarf",POWER(Upgrades!$U$15,G86),1)*IF(Upgrades!$T$16="Brown Dwarf",POWER(Upgrades!$U$16,H86),1)*IF(Upgrades!$T$18="Brown Dwarf",POWER(Upgrades!$U$18,J86),1)*IF(Upgrades!$T$19="Brown Dwarf",POWER(Upgrades!$U$19,K86),1)*IF(Upgrades!$T$20="Brown Dwarf",POWER(Upgrades!$U$20,L86),1)*IF(Upgrades!$T$21="Brown Dwarf",POWER(Upgrades!$U$21,M86),1))+(IF(J86=0,0,(Upgrades!$G$18+J86*Upgrades!$H$18)*POWER(Upgrades!$I$18,J86)))*(IF(Upgrades!$T$13="Binary Partner",POWER(Upgrades!$U$13,E86),1)*IF(Upgrades!$T$14="Binary Partner",POWER(Upgrades!$U$14,F86),1)*IF(Upgrades!$T$15="Binary Partner",POWER(Upgrades!$U$15,G86),1)*IF(Upgrades!$T$16="Binary Partner",POWER(Upgrades!$U$16,H86),1)*IF(Upgrades!$T$17="Binary Partner",POWER(Upgrades!$U$17,I86),1)*IF(Upgrades!$T$19="Binary Partner",POWER(Upgrades!$U$19,K86),1)*IF(Upgrades!$T$20="Binary Partner",POWER(Upgrades!$U$20,L86),1)*IF(Upgrades!$T$21="Binary Partner",POWER(Upgrades!$U$21,M86),1))+(IF(K86=0,0,(Upgrades!$G$19+K86*Upgrades!$H$19)*POWER(Upgrades!$I$19,K86)))*(IF(Upgrades!$T$13="Peculiar Velocity",POWER(Upgrades!$U$13,E86),1)*IF(Upgrades!$T$14="Peculiar Velocity",POWER(Upgrades!$U$14,F86),1)*IF(Upgrades!$T$15="Peculiar Velocity",POWER(Upgrades!$U$15,G86),1)*IF(Upgrades!$T$16="Peculiar Velocity",POWER(Upgrades!$U$16,H86),1)*IF(Upgrades!$T$17="Peculiar Velocity",POWER(Upgrades!$U$17,I86),1)*IF(Upgrades!$T$18="Peculiar Velocity",POWER(Upgrades!$U$18,J86),1)*IF(Upgrades!$T$20="Peculiar Velocity",POWER(Upgrades!$U$20,L86),1)*IF(Upgrades!$T$21="Peculiar Velocity",POWER(Upgrades!$U$21,M86),1))+(IF(L86=0,0,(Upgrades!$G$20+L86*Upgrades!$H$20)*POWER(Upgrades!$I$20,L86)))*(IF(Upgrades!$T$13="Open Cluster",POWER(Upgrades!$U$13,E86),1)*IF(Upgrades!$T$14="Open Cluster",POWER(Upgrades!$U$14,F86),1)*IF(Upgrades!$T$15="Open Cluster",POWER(Upgrades!$U$15,G86),1)*IF(Upgrades!$T$16="Open Cluster",POWER(Upgrades!$U$16,H86),1)*IF(Upgrades!$T$17="Open Cluster",POWER(Upgrades!$U$17,I86),1)*IF(Upgrades!$T$18="Open Cluster",POWER(Upgrades!$U$18,J86),1)*IF(Upgrades!$T$19="Open Cluster",POWER(Upgrades!$U$19,K86),1)*IF(Upgrades!$T$21="Open Cluster",POWER(Upgrades!$U$21,M86),1))+(IF(M86=0,0,(Upgrades!$G$21+M86*Upgrades!$H$21)*POWER(Upgrades!$I$21,M86)))*(IF(Upgrades!$T$13="Moving Group",POWER(Upgrades!$U$13,E86),1)*IF(Upgrades!$T$14="Moving Group",POWER(Upgrades!$U$14,F86),1)*IF(Upgrades!$T$15="Moving Group",POWER(Upgrades!$U$15,G86),1)*IF(Upgrades!$T$16="Moving Group",POWER(Upgrades!$U$16,H86),1)*IF(Upgrades!$T$17="Moving Group",POWER(Upgrades!$U$17,I86),1)*IF(Upgrades!$T$18="Moving Group",POWER(Upgrades!$U$18,J86),1)*IF(Upgrades!$T$19="Moving Group",POWER(Upgrades!$U$19,K86),1)*IF(Upgrades!$T$20="Moving Group",POWER(Upgrades!$U$20,L86),1)))*POWER(Upgrades!$P$13,E86)*POWER(Upgrades!$P$14,F86)*POWER(Upgrades!$P$15,G86)*POWER(Upgrades!$P$16,H86)*POWER(Upgrades!$P$17,I86)*POWER(Upgrades!$P$18,J86)*POWER(Upgrades!$P$19,K86)*POWER(Upgrades!$P$20,L86)*POWER(Upgrades!$P$21,M86)*$F$6+$C$6</f>
        <v/>
      </c>
      <c r="Q86" s="28">
        <f>((IF(E86=0,0,(Upgrades!$M$13+E86*Upgrades!$N$13)*POWER(Upgrades!$O$13,E86)))*(IF(Upgrades!$T$14="Stellar Kinematics",POWER(Upgrades!$U$14,F86),1)*IF(Upgrades!$T$15="Stellar Kinematics",POWER(Upgrades!$U$15,G86),1)*IF(Upgrades!$T$16="Stellar Kinematics",POWER(Upgrades!$U$16,H86),1)*IF(Upgrades!$T$17="Stellar Kinematics",POWER(Upgrades!$U$17,I86),1)*IF(Upgrades!$T$18="Stellar Kinematics",POWER(Upgrades!$U$18,J86),1)*IF(Upgrades!$T$19="Stellar Kinematics",POWER(Upgrades!$U$19,K86),1)*IF(Upgrades!$T$20="Stellar Kinematics",POWER(Upgrades!$U$20,L86),1)*IF(Upgrades!$T$21="Stellar Kinematics",POWER(Upgrades!$U$21,M86),1))+(IF(F86=0,0,(Upgrades!$M$14+F86*Upgrades!$N$14)*POWER(Upgrades!$O$14,F86)))*(IF(Upgrades!$T$13="Local Bubble",POWER(Upgrades!$U$13,E86),1)*IF(Upgrades!$T$15="Local Bubble",POWER(Upgrades!$U$15,G86),1)*IF(Upgrades!$T$16="Local Bubble",POWER(Upgrades!$U$16,H86),1)*IF(Upgrades!$T$17="Local Bubble",POWER(Upgrades!$U$17,I86),1)*IF(Upgrades!$T$18="Local Bubble",POWER(Upgrades!$U$18,J86),1)*IF(Upgrades!$T$19="Local Bubble",POWER(Upgrades!$U$19,K86),1)*IF(Upgrades!$T$20="Local Bubble",POWER(Upgrades!$U$20,L86),1)*IF(Upgrades!$T$21="Local Bubble",POWER(Upgrades!$U$21,M86),1))+(IF(G86=0,0,(Upgrades!$M$15+G86*Upgrades!$N$15)*POWER(Upgrades!$O$15,G86)))*(IF(Upgrades!$T$13="Microlensing",POWER(Upgrades!$U$13,E86),1)*IF(Upgrades!$T$14="Microlensing",POWER(Upgrades!$U$14,F86),1)*IF(Upgrades!$T$16="Microlensing",POWER(Upgrades!$U$16,H86),1)*IF(Upgrades!$T$17="Microlensing",POWER(Upgrades!$U$17,I86),1)*IF(Upgrades!$T$18="Microlensing",POWER(Upgrades!$U$18,J86),1)*IF(Upgrades!$T$19="Microlensing",POWER(Upgrades!$U$19,K86),1)*IF(Upgrades!$T$20="Microlensing",POWER(Upgrades!$U$20,L86),1)*IF(Upgrades!$T$21="Microlensing",POWER(Upgrades!$U$21,M86),1))+(IF(H86=0,0,(Upgrades!$M$16+H86*Upgrades!$N$16)*POWER(Upgrades!$O$16,H86)))*(IF(Upgrades!$T$13="Roche Lobe Overflow",POWER(Upgrades!$U$13,E86),1)*IF(Upgrades!$T$14="Roche Lobe Overflow",POWER(Upgrades!$U$14,F86),1)*IF(Upgrades!$T$15="Roche Lobe Overflow",POWER(Upgrades!$U$15,G86),1)*IF(Upgrades!$T$17="Roche Lobe Overflow",POWER(Upgrades!$U$17,I86),1)*IF(Upgrades!$T$18="Roche Lobe Overflow",POWER(Upgrades!$U$18,J86),1)*IF(Upgrades!$T$19="Roche Lobe Overflow",POWER(Upgrades!$U$19,K86),1)*IF(Upgrades!$T$20="Roche Lobe Overflow",POWER(Upgrades!$U$20,L86),1)*IF(Upgrades!$T$21="Roche Lobe Overflow",POWER(Upgrades!$U$21,M86),1))+(IF(I86=0,0,(Upgrades!$M$17+I86*Upgrades!$N$17)*POWER(Upgrades!$O$17,I86)))*(IF(Upgrades!$T$13="Brown Dwarf",POWER(Upgrades!$U$13,E86),1)*IF(Upgrades!$T$14="Brown Dwarf",POWER(Upgrades!$U$14,F86),1)*IF(Upgrades!$T$15="Brown Dwarf",POWER(Upgrades!$U$15,G86),1)*IF(Upgrades!$T$16="Brown Dwarf",POWER(Upgrades!$U$16,H86),1)*IF(Upgrades!$T$18="Brown Dwarf",POWER(Upgrades!$U$18,J86),1)*IF(Upgrades!$T$19="Brown Dwarf",POWER(Upgrades!$U$19,K86),1)*IF(Upgrades!$T$20="Brown Dwarf",POWER(Upgrades!$U$20,L86),1)*IF(Upgrades!$T$21="Brown Dwarf",POWER(Upgrades!$U$21,M86),1))+(IF(J86=0,0,(Upgrades!$M$18+J86*Upgrades!$N$18)*POWER(Upgrades!$O$18,J86)))*(IF(Upgrades!$T$13="Binary Partner",POWER(Upgrades!$U$13,E86),1)*IF(Upgrades!$T$14="Binary Partner",POWER(Upgrades!$U$14,F86),1)*IF(Upgrades!$T$15="Binary Partner",POWER(Upgrades!$U$15,G86),1)*IF(Upgrades!$T$16="Binary Partner",POWER(Upgrades!$U$16,H86),1)*IF(Upgrades!$T$17="Binary Partner",POWER(Upgrades!$U$17,I86),1)*IF(Upgrades!$T$19="Binary Partner",POWER(Upgrades!$U$19,K86),1)*IF(Upgrades!$T$20="Binary Partner",POWER(Upgrades!$U$20,L86),1)*IF(Upgrades!$T$21="Binary Partner",POWER(Upgrades!$U$21,M86),1))+(IF(K86=0,0,(Upgrades!$M$19+K86*Upgrades!$N$19)*POWER(Upgrades!$O$19,K86)))*(IF(Upgrades!$T$13="Peculiar Velocity",POWER(Upgrades!$U$13,E86),1)*IF(Upgrades!$T$14="Peculiar Velocity",POWER(Upgrades!$U$14,F86),1)*IF(Upgrades!$T$15="Peculiar Velocity",POWER(Upgrades!$U$15,G86),1)*IF(Upgrades!$T$16="Peculiar Velocity",POWER(Upgrades!$U$16,H86),1)*IF(Upgrades!$T$17="Peculiar Velocity",POWER(Upgrades!$U$17,I86),1)*IF(Upgrades!$T$18="Peculiar Velocity",POWER(Upgrades!$U$18,J86),1)*IF(Upgrades!$T$20="Peculiar Velocity",POWER(Upgrades!$U$20,L86),1)*IF(Upgrades!$T$21="Peculiar Velocity",POWER(Upgrades!$U$21,M86),1))+(IF(L86=0,0,(Upgrades!$M$20+L86*Upgrades!$N$20)*POWER(Upgrades!$O$20,L86)))*(IF(Upgrades!$T$13="Open Cluster",POWER(Upgrades!$U$13,E86),1)*IF(Upgrades!$T$14="Open Cluster",POWER(Upgrades!$U$14,F86),1)*IF(Upgrades!$T$15="Open Cluster",POWER(Upgrades!$U$15,G86),1)*IF(Upgrades!$T$16="Open Cluster",POWER(Upgrades!$U$16,H86),1)*IF(Upgrades!$T$17="Open Cluster",POWER(Upgrades!$U$17,I86),1)*IF(Upgrades!$T$18="Open Cluster",POWER(Upgrades!$U$18,J86),1)*IF(Upgrades!$T$19="Open Cluster",POWER(Upgrades!$U$19,K86),1)*IF(Upgrades!$T$21="Open Cluster",POWER(Upgrades!$U$21,M86),1))+(IF(M86=0,0,(Upgrades!$M$21+M86*Upgrades!$N$21)*POWER(Upgrades!$O$21,M86)))*(IF(Upgrades!$T$13="Moving Group",POWER(Upgrades!$U$13,E86),1)*IF(Upgrades!$T$14="Moving Group",POWER(Upgrades!$U$14,F86),1)*IF(Upgrades!$T$15="Moving Group",POWER(Upgrades!$U$15,G86),1)*IF(Upgrades!$T$16="Moving Group",POWER(Upgrades!$U$16,H86),1)*IF(Upgrades!$T$17="Moving Group",POWER(Upgrades!$U$17,I86),1)*IF(Upgrades!$T$18="Moving Group",POWER(Upgrades!$U$18,J86),1)*IF(Upgrades!$T$19="Moving Group",POWER(Upgrades!$U$19,K86),1)*IF(Upgrades!$T$20="Moving Group",POWER(Upgrades!$U$20,L86),1)))*POWER(Upgrades!$R$13,E86)*POWER(Upgrades!$R$14,F86)*POWER(Upgrades!$R$15,G86)*POWER(Upgrades!$R$16,H86)*POWER(Upgrades!$R$17,I86)*POWER(Upgrades!$R$18,J86)*POWER(Upgrades!$R$19,K86)*POWER(Upgrades!$R$20,L86)*POWER(Upgrades!$R$21,M86)*$H$6+$E$6</f>
        <v/>
      </c>
      <c r="R86" s="27">
        <f>IF(N86=1,0,O86*Parameters!$B$10/60*Parameters!$B$11*10)</f>
        <v/>
      </c>
      <c r="S86" s="27">
        <f>IF(N86=1,0,Q86*O86*10)</f>
        <v/>
      </c>
      <c r="T86" s="27">
        <f>IF(N86=1,0,R86+S86+P86*10)</f>
        <v/>
      </c>
      <c r="U86" s="33">
        <f>BE86</f>
        <v/>
      </c>
      <c r="V86" s="22">
        <f>IF(U86="",0,IF(U86="transition",0,IF(U86="SK",AK86,IF(U86="LB",AL86,IF(U86="ML",AM86,IF(U86="RLO",AN86,IF(U86="BD",AO86,IF(U86="BiP",AP86,IF(U86="PV",AQ86,IF(U86="OC",AR86,IF(U86="MG",AS86,0))))))))))</f>
        <v/>
      </c>
      <c r="W86" s="27">
        <f>IF(U86="BiP",Upgrades!$F$18,IF(U86="PV",Upgrades!$F$19,IF(U86="OC",Upgrades!$F$20,IF(U86="MG",Upgrades!$F$21,IF(U86="transition",-Parameters!$B$18*Parameters!$B$19,0)))))</f>
        <v/>
      </c>
      <c r="X86" s="22">
        <f>C86+T86-V86</f>
        <v/>
      </c>
      <c r="Y86" s="30">
        <f>O86*Parameters!$B$10/60*Parameters!$B$11+Q86*O86+P86</f>
        <v/>
      </c>
      <c r="Z86" s="34">
        <f>IF(U86="transition","→ Tier 3 (Galactic Arm)",IF(U86="MG","Moving Group — pocket drifts together",IF(U86="OC","Open Cluster acquired",IF(U86="PV","Peculiar Velocity — passive multiplier active",IF(U86="BiP","Binary Partner — pair bond formed",IF(AND(AU86=1,N86=0,AT86&lt;&gt;1),"Cohesion ready (waiting on completionists)","")))))) </f>
        <v/>
      </c>
      <c r="AA86" s="27">
        <f>(IF(E86=0,0,(Upgrades!$G$13+E86*Upgrades!$H$13)*POWER(Upgrades!$I$13,E86)))*(IF(Upgrades!$T$14="Stellar Kinematics",POWER(Upgrades!$U$14,F86),1)*IF(Upgrades!$T$15="Stellar Kinematics",POWER(Upgrades!$U$15,G86),1)*IF(Upgrades!$T$16="Stellar Kinematics",POWER(Upgrades!$U$16,H86),1)*IF(Upgrades!$T$17="Stellar Kinematics",POWER(Upgrades!$U$17,I86),1)*IF(Upgrades!$T$18="Stellar Kinematics",POWER(Upgrades!$U$18,J86),1)*IF(Upgrades!$T$19="Stellar Kinematics",POWER(Upgrades!$U$19,K86),1)*IF(Upgrades!$T$20="Stellar Kinematics",POWER(Upgrades!$U$20,L86),1)*IF(Upgrades!$T$21="Stellar Kinematics",POWER(Upgrades!$U$21,M86),1))*POWER(Upgrades!$P$13,E86)*POWER(Upgrades!$P$14,F86)*POWER(Upgrades!$P$15,G86)*POWER(Upgrades!$P$16,H86)*POWER(Upgrades!$P$17,I86)*POWER(Upgrades!$P$18,J86)*POWER(Upgrades!$P$19,K86)*POWER(Upgrades!$P$20,L86)*POWER(Upgrades!$P$21,M86)*$F$6*60</f>
        <v/>
      </c>
      <c r="AB86" s="27">
        <f>(IF(F86=0,0,(Upgrades!$G$14+F86*Upgrades!$H$14)*POWER(Upgrades!$I$14,F86)))*(IF(Upgrades!$T$13="Local Bubble",POWER(Upgrades!$U$13,E86),1)*IF(Upgrades!$T$15="Local Bubble",POWER(Upgrades!$U$15,G86),1)*IF(Upgrades!$T$16="Local Bubble",POWER(Upgrades!$U$16,H86),1)*IF(Upgrades!$T$17="Local Bubble",POWER(Upgrades!$U$17,I86),1)*IF(Upgrades!$T$18="Local Bubble",POWER(Upgrades!$U$18,J86),1)*IF(Upgrades!$T$19="Local Bubble",POWER(Upgrades!$U$19,K86),1)*IF(Upgrades!$T$20="Local Bubble",POWER(Upgrades!$U$20,L86),1)*IF(Upgrades!$T$21="Local Bubble",POWER(Upgrades!$U$21,M86),1))*POWER(Upgrades!$P$13,E86)*POWER(Upgrades!$P$14,F86)*POWER(Upgrades!$P$15,G86)*POWER(Upgrades!$P$16,H86)*POWER(Upgrades!$P$17,I86)*POWER(Upgrades!$P$18,J86)*POWER(Upgrades!$P$19,K86)*POWER(Upgrades!$P$20,L86)*POWER(Upgrades!$P$21,M86)*$F$6*60</f>
        <v/>
      </c>
      <c r="AC86" s="27">
        <f>(IF(G86=0,0,(Upgrades!$J$15+G86*Upgrades!$K$15)*POWER(Upgrades!$L$15,G86)))*(IF(Upgrades!$T$13="Microlensing",POWER(Upgrades!$U$13,E86),1)*IF(Upgrades!$T$14="Microlensing",POWER(Upgrades!$U$14,F86),1)*IF(Upgrades!$T$16="Microlensing",POWER(Upgrades!$U$16,H86),1)*IF(Upgrades!$T$17="Microlensing",POWER(Upgrades!$U$17,I86),1)*IF(Upgrades!$T$18="Microlensing",POWER(Upgrades!$U$18,J86),1)*IF(Upgrades!$T$19="Microlensing",POWER(Upgrades!$U$19,K86),1)*IF(Upgrades!$T$20="Microlensing",POWER(Upgrades!$U$20,L86),1)*IF(Upgrades!$T$21="Microlensing",POWER(Upgrades!$U$21,M86),1))*POWER(Upgrades!$Q$13,E86)*POWER(Upgrades!$Q$14,F86)*POWER(Upgrades!$Q$15,G86)*POWER(Upgrades!$Q$16,H86)*POWER(Upgrades!$Q$17,I86)*POWER(Upgrades!$Q$18,J86)*POWER(Upgrades!$Q$19,K86)*POWER(Upgrades!$Q$20,L86)*POWER(Upgrades!$Q$21,M86)*$G$6*(Parameters!$B$10*Parameters!$B$11+Q86*60)</f>
        <v/>
      </c>
      <c r="AD86" s="27">
        <f>(IF(H86=0,0,(Upgrades!$M$16+H86*Upgrades!$N$16)*POWER(Upgrades!$O$16,H86)))*(IF(Upgrades!$T$13="Roche Lobe Overflow",POWER(Upgrades!$U$13,E86),1)*IF(Upgrades!$T$14="Roche Lobe Overflow",POWER(Upgrades!$U$14,F86),1)*IF(Upgrades!$T$15="Roche Lobe Overflow",POWER(Upgrades!$U$15,G86),1)*IF(Upgrades!$T$17="Roche Lobe Overflow",POWER(Upgrades!$U$17,I86),1)*IF(Upgrades!$T$18="Roche Lobe Overflow",POWER(Upgrades!$U$18,J86),1)*IF(Upgrades!$T$19="Roche Lobe Overflow",POWER(Upgrades!$U$19,K86),1)*IF(Upgrades!$T$20="Roche Lobe Overflow",POWER(Upgrades!$U$20,L86),1)*IF(Upgrades!$T$21="Roche Lobe Overflow",POWER(Upgrades!$U$21,M86),1))*POWER(Upgrades!$R$13,E86)*POWER(Upgrades!$R$14,F86)*POWER(Upgrades!$R$15,G86)*POWER(Upgrades!$R$16,H86)*POWER(Upgrades!$R$17,I86)*POWER(Upgrades!$R$18,J86)*POWER(Upgrades!$R$19,K86)*POWER(Upgrades!$R$20,L86)*POWER(Upgrades!$R$21,M86)*$H$6*O86*60</f>
        <v/>
      </c>
      <c r="AE86" s="27">
        <f>(IF(I86=0,0,(Upgrades!$G$17+I86*Upgrades!$H$17)*POWER(Upgrades!$I$17,I86)))*(IF(Upgrades!$T$13="Brown Dwarf",POWER(Upgrades!$U$13,E86),1)*IF(Upgrades!$T$14="Brown Dwarf",POWER(Upgrades!$U$14,F86),1)*IF(Upgrades!$T$15="Brown Dwarf",POWER(Upgrades!$U$15,G86),1)*IF(Upgrades!$T$16="Brown Dwarf",POWER(Upgrades!$U$16,H86),1)*IF(Upgrades!$T$18="Brown Dwarf",POWER(Upgrades!$U$18,J86),1)*IF(Upgrades!$T$19="Brown Dwarf",POWER(Upgrades!$U$19,K86),1)*IF(Upgrades!$T$20="Brown Dwarf",POWER(Upgrades!$U$20,L86),1)*IF(Upgrades!$T$21="Brown Dwarf",POWER(Upgrades!$U$21,M86),1))*POWER(Upgrades!$P$13,E86)*POWER(Upgrades!$P$14,F86)*POWER(Upgrades!$P$15,G86)*POWER(Upgrades!$P$16,H86)*POWER(Upgrades!$P$17,I86)*POWER(Upgrades!$P$18,J86)*POWER(Upgrades!$P$19,K86)*POWER(Upgrades!$P$20,L86)*POWER(Upgrades!$P$21,M86)*$F$6*60</f>
        <v/>
      </c>
      <c r="AF86" s="27" t="n">
        <v>0</v>
      </c>
      <c r="AG86" s="27" t="n">
        <v>0</v>
      </c>
      <c r="AH86" s="27" t="n">
        <v>0</v>
      </c>
      <c r="AI86" s="27">
        <f>(IF(M86=0,0,(Upgrades!$G$21+M86*Upgrades!$H$21)*POWER(Upgrades!$I$21,M86)))*(IF(Upgrades!$T$13="Moving Group",POWER(Upgrades!$U$13,E86),1)*IF(Upgrades!$T$14="Moving Group",POWER(Upgrades!$U$14,F86),1)*IF(Upgrades!$T$15="Moving Group",POWER(Upgrades!$U$15,G86),1)*IF(Upgrades!$T$16="Moving Group",POWER(Upgrades!$U$16,H86),1)*IF(Upgrades!$T$17="Moving Group",POWER(Upgrades!$U$17,I86),1)*IF(Upgrades!$T$18="Moving Group",POWER(Upgrades!$U$18,J86),1)*IF(Upgrades!$T$19="Moving Group",POWER(Upgrades!$U$19,K86),1)*IF(Upgrades!$T$20="Moving Group",POWER(Upgrades!$U$20,L86),1))*POWER(Upgrades!$P$13,E86)*POWER(Upgrades!$P$14,F86)*POWER(Upgrades!$P$15,G86)*POWER(Upgrades!$P$16,H86)*POWER(Upgrades!$P$17,I86)*POWER(Upgrades!$P$18,J86)*POWER(Upgrades!$P$19,K86)*POWER(Upgrades!$P$20,L86)*POWER(Upgrades!$P$21,M86)*$F$6*60</f>
        <v/>
      </c>
      <c r="AJ86" s="27">
        <f>$C$6*60</f>
        <v/>
      </c>
      <c r="AK86" s="22">
        <f>IF(E86&gt;=Upgrades!$E$13,"",Upgrades!$C$13*POWER(Upgrades!$D$13,E86))</f>
        <v/>
      </c>
      <c r="AL86" s="22">
        <f>IF(F86&gt;=Upgrades!$E$14,"",Upgrades!$C$14*POWER(Upgrades!$D$14,F86))</f>
        <v/>
      </c>
      <c r="AM86" s="22">
        <f>IF(G86&gt;=Upgrades!$E$15,"",Upgrades!$C$15*POWER(Upgrades!$D$15,G86))</f>
        <v/>
      </c>
      <c r="AN86" s="22">
        <f>IF(H86&gt;=Upgrades!$E$16,"",Upgrades!$C$16*POWER(Upgrades!$D$16,H86))</f>
        <v/>
      </c>
      <c r="AO86" s="22">
        <f>IF(I86&gt;=Upgrades!$E$17,"",Upgrades!$C$17*POWER(Upgrades!$D$17,I86))</f>
        <v/>
      </c>
      <c r="AP86" s="22">
        <f>IF(J86&gt;=Upgrades!$E$18,"",Upgrades!$C$18*POWER(Upgrades!$D$18,J86))</f>
        <v/>
      </c>
      <c r="AQ86" s="22">
        <f>IF(K86&gt;=Upgrades!$E$19,"",Upgrades!$C$19*POWER(Upgrades!$D$19,K86))</f>
        <v/>
      </c>
      <c r="AR86" s="22">
        <f>IF(L86&gt;=Upgrades!$E$20,"",Upgrades!$C$20*POWER(Upgrades!$D$20,L86))</f>
        <v/>
      </c>
      <c r="AS86" s="22">
        <f>IF(M86&gt;=Upgrades!$E$21,"",Upgrades!$C$21*POWER(Upgrades!$D$21,M86))</f>
        <v/>
      </c>
      <c r="AT86" s="26">
        <f>IF(AND(D86&gt;=Parameters!$B$18*Parameters!$B$19,(I86&gt;=Upgrades!$E$17)*(M86&gt;=Upgrades!$E$21)=1,N86=0),1,"")</f>
        <v/>
      </c>
      <c r="AU86" s="26">
        <f>IF(AND(D86&gt;=Parameters!$B$18*Parameters!$B$19,N86=0),1,"")</f>
        <v/>
      </c>
      <c r="AV86" s="22">
        <f>MIN(IF(ISNUMBER(AP86),AP86,9E15),IF(ISNUMBER(AQ86),AQ86,9E15),IF(ISNUMBER(AR86),AR86,9E15),IF(ISNUMBER(AS86),AS86,9E15))</f>
        <v/>
      </c>
      <c r="AW86" s="22">
        <f>MIN(IF(ISNUMBER(AK86),AK86,9E15),IF(ISNUMBER(AL86),AL86,9E15),IF(ISNUMBER(AM86),AM86,9E15),IF(ISNUMBER(AN86),AN86,9E15),IF(ISNUMBER(AO86),AO86,9E15))</f>
        <v/>
      </c>
      <c r="AX86" s="29">
        <f>IF(BD86&gt;Parameters!$B$21*(MAX(IF(AND(NOT(AND(AU86=1,AT86&lt;&gt;1)),ISNUMBER(AK86),AK86&lt;=(C86+T86)),AY86,0),IF(AND(NOT(AND(AU86=1,AT86&lt;&gt;1)),ISNUMBER(AL86),AL86&lt;=(C86+T86)),AZ86,0),IF(AND(NOT(AND(AU86=1,AT86&lt;&gt;1)),ISNUMBER(AM86),AM86&lt;=(C86+T86)),BA86,0),IF(AND(NOT(AND(AU86=1,AT86&lt;&gt;1)),ISNUMBER(AN86),AN86&lt;=(C86+T86)),BB86,0),IF(AND(ISNUMBER(AO86),AO86&lt;=(C86+T86)),BC86,0))),TRUE,FALSE)</f>
        <v/>
      </c>
      <c r="AY86" s="32">
        <f>IFERROR(Upgrades!$H$13*(POWER(Upgrades!$P$13,E86)*POWER(Upgrades!$P$14,F86)*POWER(Upgrades!$P$15,G86)*POWER(Upgrades!$P$16,H86)*POWER(Upgrades!$P$17,I86)*POWER(Upgrades!$P$18,J86)*POWER(Upgrades!$P$19,K86)*POWER(Upgrades!$P$20,L86)*POWER(Upgrades!$P$21,M86))*(IF(Upgrades!$T$14="Stellar Kinematics",POWER(Upgrades!$U$14,F86),1)*IF(Upgrades!$T$15="Stellar Kinematics",POWER(Upgrades!$U$15,G86),1)*IF(Upgrades!$T$16="Stellar Kinematics",POWER(Upgrades!$U$16,H86),1)*IF(Upgrades!$T$17="Stellar Kinematics",POWER(Upgrades!$U$17,I86),1)*IF(Upgrades!$T$18="Stellar Kinematics",POWER(Upgrades!$U$18,J86),1)*IF(Upgrades!$T$19="Stellar Kinematics",POWER(Upgrades!$U$19,K86),1)*IF(Upgrades!$T$20="Stellar Kinematics",POWER(Upgrades!$U$20,L86),1)*IF(Upgrades!$T$21="Stellar Kinematics",POWER(Upgrades!$U$21,M86),1))*$F$6/AK86,0)</f>
        <v/>
      </c>
      <c r="AZ86" s="32">
        <f>IFERROR(Upgrades!$H$14*(POWER(Upgrades!$P$13,E86)*POWER(Upgrades!$P$14,F86)*POWER(Upgrades!$P$15,G86)*POWER(Upgrades!$P$16,H86)*POWER(Upgrades!$P$17,I86)*POWER(Upgrades!$P$18,J86)*POWER(Upgrades!$P$19,K86)*POWER(Upgrades!$P$20,L86)*POWER(Upgrades!$P$21,M86))*(IF(Upgrades!$T$13="Local Bubble",POWER(Upgrades!$U$13,E86),1)*IF(Upgrades!$T$15="Local Bubble",POWER(Upgrades!$U$15,G86),1)*IF(Upgrades!$T$16="Local Bubble",POWER(Upgrades!$U$16,H86),1)*IF(Upgrades!$T$17="Local Bubble",POWER(Upgrades!$U$17,I86),1)*IF(Upgrades!$T$18="Local Bubble",POWER(Upgrades!$U$18,J86),1)*IF(Upgrades!$T$19="Local Bubble",POWER(Upgrades!$U$19,K86),1)*IF(Upgrades!$T$20="Local Bubble",POWER(Upgrades!$U$20,L86),1)*IF(Upgrades!$T$21="Local Bubble",POWER(Upgrades!$U$21,M86),1))*$F$6/AL86,0)</f>
        <v/>
      </c>
      <c r="BA86" s="32">
        <f>IFERROR(Upgrades!$K$15*(POWER(Upgrades!$Q$13,E86)*POWER(Upgrades!$Q$14,F86)*POWER(Upgrades!$Q$15,G86)*POWER(Upgrades!$Q$16,H86)*POWER(Upgrades!$Q$17,I86)*POWER(Upgrades!$Q$18,J86)*POWER(Upgrades!$Q$19,K86)*POWER(Upgrades!$Q$20,L86)*POWER(Upgrades!$Q$21,M86))*(IF(Upgrades!$T$13="Microlensing",POWER(Upgrades!$U$13,E86),1)*IF(Upgrades!$T$14="Microlensing",POWER(Upgrades!$U$14,F86),1)*IF(Upgrades!$T$16="Microlensing",POWER(Upgrades!$U$16,H86),1)*IF(Upgrades!$T$17="Microlensing",POWER(Upgrades!$U$17,I86),1)*IF(Upgrades!$T$18="Microlensing",POWER(Upgrades!$U$18,J86),1)*IF(Upgrades!$T$19="Microlensing",POWER(Upgrades!$U$19,K86),1)*IF(Upgrades!$T$20="Microlensing",POWER(Upgrades!$U$20,L86),1)*IF(Upgrades!$T$21="Microlensing",POWER(Upgrades!$U$21,M86),1))*$G$6*(Parameters!$B$10/60*Parameters!$B$11+Q86)/AM86,0)</f>
        <v/>
      </c>
      <c r="BB86" s="32">
        <f>IFERROR((Upgrades!$N$16*(POWER(Upgrades!$R$13,E86)*POWER(Upgrades!$R$14,F86)*POWER(Upgrades!$R$15,G86)*POWER(Upgrades!$R$16,H86)*POWER(Upgrades!$R$17,I86)*POWER(Upgrades!$R$18,J86)*POWER(Upgrades!$R$19,K86)*POWER(Upgrades!$R$20,L86)*POWER(Upgrades!$R$21,M86))*(IF(Upgrades!$T$13="Roche Lobe Overflow",POWER(Upgrades!$U$13,E86),1)*IF(Upgrades!$T$14="Roche Lobe Overflow",POWER(Upgrades!$U$14,F86),1)*IF(Upgrades!$T$15="Roche Lobe Overflow",POWER(Upgrades!$U$15,G86),1)*IF(Upgrades!$T$17="Roche Lobe Overflow",POWER(Upgrades!$U$17,I86),1)*IF(Upgrades!$T$18="Roche Lobe Overflow",POWER(Upgrades!$U$18,J86),1)*IF(Upgrades!$T$19="Roche Lobe Overflow",POWER(Upgrades!$U$19,K86),1)*IF(Upgrades!$T$20="Roche Lobe Overflow",POWER(Upgrades!$U$20,L86),1)*IF(Upgrades!$T$21="Roche Lobe Overflow",POWER(Upgrades!$U$21,M86),1))*$H$6*O86+((IF(F86=0,0,(Upgrades!$G$14+F86*Upgrades!$H$14)*POWER(Upgrades!$I$14,F86)))*(IF(Upgrades!$T$13="Local Bubble",POWER(Upgrades!$U$13,E86),1)*IF(Upgrades!$T$15="Local Bubble",POWER(Upgrades!$U$15,G86),1)*IF(Upgrades!$T$16="Local Bubble",POWER(Upgrades!$U$16,H86),1)*IF(Upgrades!$T$17="Local Bubble",POWER(Upgrades!$U$17,I86),1)*IF(Upgrades!$T$18="Local Bubble",POWER(Upgrades!$U$18,J86),1)*IF(Upgrades!$T$19="Local Bubble",POWER(Upgrades!$U$19,K86),1)*IF(Upgrades!$T$20="Local Bubble",POWER(Upgrades!$U$20,L86),1)*IF(Upgrades!$T$21="Local Bubble",POWER(Upgrades!$U$21,M86),1))*POWER(Upgrades!$P$13,E86)*POWER(Upgrades!$P$14,F86)*POWER(Upgrades!$P$15,G86)*POWER(Upgrades!$P$16,H86)*POWER(Upgrades!$P$17,I86)*POWER(Upgrades!$P$18,J86)*POWER(Upgrades!$P$19,K86)*POWER(Upgrades!$P$20,L86)*POWER(Upgrades!$P$21,M86)*$F$6)*0.05)/AN86,0)</f>
        <v/>
      </c>
      <c r="BC86" s="32">
        <f>IFERROR((Upgrades!$H$17*(POWER(Upgrades!$P$13,E86)*POWER(Upgrades!$P$14,F86)*POWER(Upgrades!$P$15,G86)*POWER(Upgrades!$P$16,H86)*POWER(Upgrades!$P$17,I86)*POWER(Upgrades!$P$18,J86)*POWER(Upgrades!$P$19,K86)*POWER(Upgrades!$P$20,L86)*POWER(Upgrades!$P$21,M86))*(IF(Upgrades!$T$13="Brown Dwarf",POWER(Upgrades!$U$13,E86),1)*IF(Upgrades!$T$14="Brown Dwarf",POWER(Upgrades!$U$14,F86),1)*IF(Upgrades!$T$15="Brown Dwarf",POWER(Upgrades!$U$15,G86),1)*IF(Upgrades!$T$16="Brown Dwarf",POWER(Upgrades!$U$16,H86),1)*IF(Upgrades!$T$18="Brown Dwarf",POWER(Upgrades!$U$18,J86),1)*IF(Upgrades!$T$19="Brown Dwarf",POWER(Upgrades!$U$19,K86),1)*IF(Upgrades!$T$20="Brown Dwarf",POWER(Upgrades!$U$20,L86),1)*IF(Upgrades!$T$21="Brown Dwarf",POWER(Upgrades!$U$21,M86),1))*$F$6+(((IF(H86=0,0,(Upgrades!$M$16+H86*Upgrades!$N$16)*POWER(Upgrades!$O$16,H86)))*(IF(Upgrades!$T$13="Roche Lobe Overflow",POWER(Upgrades!$U$13,E86),1)*IF(Upgrades!$T$14="Roche Lobe Overflow",POWER(Upgrades!$U$14,F86),1)*IF(Upgrades!$T$15="Roche Lobe Overflow",POWER(Upgrades!$U$15,G86),1)*IF(Upgrades!$T$17="Roche Lobe Overflow",POWER(Upgrades!$U$17,I86),1)*IF(Upgrades!$T$18="Roche Lobe Overflow",POWER(Upgrades!$U$18,J86),1)*IF(Upgrades!$T$19="Roche Lobe Overflow",POWER(Upgrades!$U$19,K86),1)*IF(Upgrades!$T$20="Roche Lobe Overflow",POWER(Upgrades!$U$20,L86),1)*IF(Upgrades!$T$21="Roche Lobe Overflow",POWER(Upgrades!$U$21,M86),1))*POWER(Upgrades!$R$13,E86)*POWER(Upgrades!$R$14,F86)*POWER(Upgrades!$R$15,G86)*POWER(Upgrades!$R$16,H86)*POWER(Upgrades!$R$17,I86)*POWER(Upgrades!$R$18,J86)*POWER(Upgrades!$R$19,K86)*POWER(Upgrades!$R$20,L86)*POWER(Upgrades!$R$21,M86)*$H$6)*O86)*0.10)/AO86,0)</f>
        <v/>
      </c>
      <c r="BD86" s="32">
        <f>MAX(IF(J86&gt;0,0,IFERROR(0.5*((IF(G86=0,0,(Upgrades!$J$15+G86*Upgrades!$K$15)*POWER(Upgrades!$L$15,G86)))*(IF(Upgrades!$T$13="Microlensing",POWER(Upgrades!$U$13,E86),1)*IF(Upgrades!$T$14="Microlensing",POWER(Upgrades!$U$14,F86),1)*IF(Upgrades!$T$16="Microlensing",POWER(Upgrades!$U$16,H86),1)*IF(Upgrades!$T$17="Microlensing",POWER(Upgrades!$U$17,I86),1)*IF(Upgrades!$T$18="Microlensing",POWER(Upgrades!$U$18,J86),1)*IF(Upgrades!$T$19="Microlensing",POWER(Upgrades!$U$19,K86),1)*IF(Upgrades!$T$20="Microlensing",POWER(Upgrades!$U$20,L86),1)*IF(Upgrades!$T$21="Microlensing",POWER(Upgrades!$U$21,M86),1))*(POWER(Upgrades!$Q$13,E86)*POWER(Upgrades!$Q$14,F86)*POWER(Upgrades!$Q$15,G86)*POWER(Upgrades!$Q$16,H86)*POWER(Upgrades!$Q$17,I86)*POWER(Upgrades!$Q$18,J86)*POWER(Upgrades!$Q$19,K86)*POWER(Upgrades!$Q$20,L86)*POWER(Upgrades!$Q$21,M86))*$G$6*(Parameters!$B$10/60*Parameters!$B$11+Q86))/Upgrades!$C$18,0)),IF(K86&gt;0,0,IFERROR(0.30*P86/Upgrades!$C$19,0)),IF(L86&gt;0,0,IFERROR(0.0001/Upgrades!$C$20,0)),IF(M86&gt;0,0,IFERROR((6.0*(POWER(Upgrades!$P$13,E86)*POWER(Upgrades!$P$14,F86)*POWER(Upgrades!$P$15,G86)*POWER(Upgrades!$P$16,H86)*POWER(Upgrades!$P$17,I86)*POWER(Upgrades!$P$18,J86)*POWER(Upgrades!$P$19,K86)*POWER(Upgrades!$P$20,L86)*POWER(Upgrades!$P$21,M86))*$F$6+0.20*O86*(Parameters!$B$10/60*Parameters!$B$11+Q86))/Upgrades!$C$21,0)),IF(AND(ISNUMBER(AK86),AK86&gt;(C86+T86)),AY86,0),IF(AND(ISNUMBER(AL86),AL86&gt;(C86+T86)),AZ86,0),IF(AND(ISNUMBER(AM86),AM86&gt;(C86+T86)),BA86,0),IF(AND(ISNUMBER(AN86),AN86&gt;(C86+T86)),BB86,0),IF(AND(ISNUMBER(AO86),AO86&gt;(C86+T86)),BC86,0))</f>
        <v/>
      </c>
      <c r="BE86" s="29">
        <f>IF(AT86=1,"transition",IF(MIN(IF(AND(J86=0,ISNUMBER(AP86),AP86&lt;=(C86+T86)),AP86,9E15),IF(AND(K86=0,ISNUMBER(AQ86),AQ86&lt;=(C86+T86)),AQ86,9E15),IF(AND(L86=0,ISNUMBER(AR86),AR86&lt;=(C86+T86)),AR86,9E15),IF(AND(M86=0,ISNUMBER(AS86),AS86&lt;=(C86+T86)),AS86,9E15))&lt;9E15,IF(AND(AND(J86=0,ISNUMBER(AP86),AP86&lt;=(C86+T86)),AP86=MIN(IF(AND(J86=0,ISNUMBER(AP86),AP86&lt;=(C86+T86)),AP86,9E15),IF(AND(K86=0,ISNUMBER(AQ86),AQ86&lt;=(C86+T86)),AQ86,9E15),IF(AND(L86=0,ISNUMBER(AR86),AR86&lt;=(C86+T86)),AR86,9E15),IF(AND(M86=0,ISNUMBER(AS86),AS86&lt;=(C86+T86)),AS86,9E15))),"BiP",IF(AND(AND(K86=0,ISNUMBER(AQ86),AQ86&lt;=(C86+T86)),AQ86=MIN(IF(AND(J86=0,ISNUMBER(AP86),AP86&lt;=(C86+T86)),AP86,9E15),IF(AND(K86=0,ISNUMBER(AQ86),AQ86&lt;=(C86+T86)),AQ86,9E15),IF(AND(L86=0,ISNUMBER(AR86),AR86&lt;=(C86+T86)),AR86,9E15),IF(AND(M86=0,ISNUMBER(AS86),AS86&lt;=(C86+T86)),AS86,9E15))),"PV",IF(AND(AND(L86=0,ISNUMBER(AR86),AR86&lt;=(C86+T86)),AR86=MIN(IF(AND(J86=0,ISNUMBER(AP86),AP86&lt;=(C86+T86)),AP86,9E15),IF(AND(K86=0,ISNUMBER(AQ86),AQ86&lt;=(C86+T86)),AQ86,9E15),IF(AND(L86=0,ISNUMBER(AR86),AR86&lt;=(C86+T86)),AR86,9E15),IF(AND(M86=0,ISNUMBER(AS86),AS86&lt;=(C86+T86)),AS86,9E15))),"OC","MG"))),IF(AX86=TRUE,"",IF(MAX(IF(AND(NOT(AND(AU86=1,AT86&lt;&gt;1)),ISNUMBER(AK86),AK86&lt;=(C86+T86)),AY86,0),IF(AND(NOT(AND(AU86=1,AT86&lt;&gt;1)),ISNUMBER(AL86),AL86&lt;=(C86+T86)),AZ86,0),IF(AND(NOT(AND(AU86=1,AT86&lt;&gt;1)),ISNUMBER(AM86),AM86&lt;=(C86+T86)),BA86,0),IF(AND(NOT(AND(AU86=1,AT86&lt;&gt;1)),ISNUMBER(AN86),AN86&lt;=(C86+T86)),BB86,0),IF(AND(ISNUMBER(AO86),AO86&lt;=(C86+T86)),BC86,0))&lt;=0,"",IF(AND(IF(AND(NOT(AND(AU86=1,AT86&lt;&gt;1)),ISNUMBER(AK86),AK86&lt;=(C86+T86)),AY86,0)&gt;0,IF(AND(NOT(AND(AU86=1,AT86&lt;&gt;1)),ISNUMBER(AK86),AK86&lt;=(C86+T86)),AY86,0)=MAX(IF(AND(NOT(AND(AU86=1,AT86&lt;&gt;1)),ISNUMBER(AK86),AK86&lt;=(C86+T86)),AY86,0),IF(AND(NOT(AND(AU86=1,AT86&lt;&gt;1)),ISNUMBER(AL86),AL86&lt;=(C86+T86)),AZ86,0),IF(AND(NOT(AND(AU86=1,AT86&lt;&gt;1)),ISNUMBER(AM86),AM86&lt;=(C86+T86)),BA86,0),IF(AND(NOT(AND(AU86=1,AT86&lt;&gt;1)),ISNUMBER(AN86),AN86&lt;=(C86+T86)),BB86,0),IF(AND(ISNUMBER(AO86),AO86&lt;=(C86+T86)),BC86,0))),"SK",IF(AND(IF(AND(NOT(AND(AU86=1,AT86&lt;&gt;1)),ISNUMBER(AL86),AL86&lt;=(C86+T86)),AZ86,0)&gt;0,IF(AND(NOT(AND(AU86=1,AT86&lt;&gt;1)),ISNUMBER(AL86),AL86&lt;=(C86+T86)),AZ86,0)=MAX(IF(AND(NOT(AND(AU86=1,AT86&lt;&gt;1)),ISNUMBER(AK86),AK86&lt;=(C86+T86)),AY86,0),IF(AND(NOT(AND(AU86=1,AT86&lt;&gt;1)),ISNUMBER(AL86),AL86&lt;=(C86+T86)),AZ86,0),IF(AND(NOT(AND(AU86=1,AT86&lt;&gt;1)),ISNUMBER(AM86),AM86&lt;=(C86+T86)),BA86,0),IF(AND(NOT(AND(AU86=1,AT86&lt;&gt;1)),ISNUMBER(AN86),AN86&lt;=(C86+T86)),BB86,0),IF(AND(ISNUMBER(AO86),AO86&lt;=(C86+T86)),BC86,0))),"LB",IF(AND(IF(AND(NOT(AND(AU86=1,AT86&lt;&gt;1)),ISNUMBER(AM86),AM86&lt;=(C86+T86)),BA86,0)&gt;0,IF(AND(NOT(AND(AU86=1,AT86&lt;&gt;1)),ISNUMBER(AM86),AM86&lt;=(C86+T86)),BA86,0)=MAX(IF(AND(NOT(AND(AU86=1,AT86&lt;&gt;1)),ISNUMBER(AK86),AK86&lt;=(C86+T86)),AY86,0),IF(AND(NOT(AND(AU86=1,AT86&lt;&gt;1)),ISNUMBER(AL86),AL86&lt;=(C86+T86)),AZ86,0),IF(AND(NOT(AND(AU86=1,AT86&lt;&gt;1)),ISNUMBER(AM86),AM86&lt;=(C86+T86)),BA86,0),IF(AND(NOT(AND(AU86=1,AT86&lt;&gt;1)),ISNUMBER(AN86),AN86&lt;=(C86+T86)),BB86,0),IF(AND(ISNUMBER(AO86),AO86&lt;=(C86+T86)),BC86,0))),"ML",IF(AND(IF(AND(NOT(AND(AU86=1,AT86&lt;&gt;1)),ISNUMBER(AN86),AN86&lt;=(C86+T86)),BB86,0)&gt;0,IF(AND(NOT(AND(AU86=1,AT86&lt;&gt;1)),ISNUMBER(AN86),AN86&lt;=(C86+T86)),BB86,0)=MAX(IF(AND(NOT(AND(AU86=1,AT86&lt;&gt;1)),ISNUMBER(AK86),AK86&lt;=(C86+T86)),AY86,0),IF(AND(NOT(AND(AU86=1,AT86&lt;&gt;1)),ISNUMBER(AL86),AL86&lt;=(C86+T86)),AZ86,0),IF(AND(NOT(AND(AU86=1,AT86&lt;&gt;1)),ISNUMBER(AM86),AM86&lt;=(C86+T86)),BA86,0),IF(AND(NOT(AND(AU86=1,AT86&lt;&gt;1)),ISNUMBER(AN86),AN86&lt;=(C86+T86)),BB86,0),IF(AND(ISNUMBER(AO86),AO86&lt;=(C86+T86)),BC86,0))),"RLO","BD"))))))))</f>
        <v/>
      </c>
    </row>
    <row r="87">
      <c r="A87" s="26" t="n">
        <v>76</v>
      </c>
      <c r="B87" s="27">
        <f>A87*10/60</f>
        <v/>
      </c>
      <c r="C87" s="22">
        <f>X86</f>
        <v/>
      </c>
      <c r="D87" s="27">
        <f>D86+W86</f>
        <v/>
      </c>
      <c r="E87" s="26">
        <f>E86+IF(U86="SK",1,0)</f>
        <v/>
      </c>
      <c r="F87" s="26">
        <f>F86+IF(U86="LB",1,0)</f>
        <v/>
      </c>
      <c r="G87" s="26">
        <f>G86+IF(U86="ML",1,0)</f>
        <v/>
      </c>
      <c r="H87" s="26">
        <f>H86+IF(U86="RLO",1,0)</f>
        <v/>
      </c>
      <c r="I87" s="26">
        <f>I86+IF(U86="BD",1,0)</f>
        <v/>
      </c>
      <c r="J87" s="26">
        <f>MAX(J86,IF(U86="BiP",1,0))</f>
        <v/>
      </c>
      <c r="K87" s="26">
        <f>MAX(K86,IF(U86="PV",1,0))</f>
        <v/>
      </c>
      <c r="L87" s="26">
        <f>MAX(L86,IF(U86="OC",1,0))</f>
        <v/>
      </c>
      <c r="M87" s="26">
        <f>MAX(M86,IF(U86="MG",1,0))</f>
        <v/>
      </c>
      <c r="N87" s="26">
        <f>MAX(N86,IF(U86="transition",1,0))</f>
        <v/>
      </c>
      <c r="O87" s="28">
        <f>(Parameters!$B$9+(IF(E87=0,0,(Upgrades!$J$13+E87*Upgrades!$K$13)*POWER(Upgrades!$L$13,E87)))*(IF(Upgrades!$T$14="Stellar Kinematics",POWER(Upgrades!$U$14,F87),1)*IF(Upgrades!$T$15="Stellar Kinematics",POWER(Upgrades!$U$15,G87),1)*IF(Upgrades!$T$16="Stellar Kinematics",POWER(Upgrades!$U$16,H87),1)*IF(Upgrades!$T$17="Stellar Kinematics",POWER(Upgrades!$U$17,I87),1)*IF(Upgrades!$T$18="Stellar Kinematics",POWER(Upgrades!$U$18,J87),1)*IF(Upgrades!$T$19="Stellar Kinematics",POWER(Upgrades!$U$19,K87),1)*IF(Upgrades!$T$20="Stellar Kinematics",POWER(Upgrades!$U$20,L87),1)*IF(Upgrades!$T$21="Stellar Kinematics",POWER(Upgrades!$U$21,M87),1))+(IF(F87=0,0,(Upgrades!$J$14+F87*Upgrades!$K$14)*POWER(Upgrades!$L$14,F87)))*(IF(Upgrades!$T$13="Local Bubble",POWER(Upgrades!$U$13,E87),1)*IF(Upgrades!$T$15="Local Bubble",POWER(Upgrades!$U$15,G87),1)*IF(Upgrades!$T$16="Local Bubble",POWER(Upgrades!$U$16,H87),1)*IF(Upgrades!$T$17="Local Bubble",POWER(Upgrades!$U$17,I87),1)*IF(Upgrades!$T$18="Local Bubble",POWER(Upgrades!$U$18,J87),1)*IF(Upgrades!$T$19="Local Bubble",POWER(Upgrades!$U$19,K87),1)*IF(Upgrades!$T$20="Local Bubble",POWER(Upgrades!$U$20,L87),1)*IF(Upgrades!$T$21="Local Bubble",POWER(Upgrades!$U$21,M87),1))+(IF(G87=0,0,(Upgrades!$J$15+G87*Upgrades!$K$15)*POWER(Upgrades!$L$15,G87)))*(IF(Upgrades!$T$13="Microlensing",POWER(Upgrades!$U$13,E87),1)*IF(Upgrades!$T$14="Microlensing",POWER(Upgrades!$U$14,F87),1)*IF(Upgrades!$T$16="Microlensing",POWER(Upgrades!$U$16,H87),1)*IF(Upgrades!$T$17="Microlensing",POWER(Upgrades!$U$17,I87),1)*IF(Upgrades!$T$18="Microlensing",POWER(Upgrades!$U$18,J87),1)*IF(Upgrades!$T$19="Microlensing",POWER(Upgrades!$U$19,K87),1)*IF(Upgrades!$T$20="Microlensing",POWER(Upgrades!$U$20,L87),1)*IF(Upgrades!$T$21="Microlensing",POWER(Upgrades!$U$21,M87),1))+(IF(H87=0,0,(Upgrades!$J$16+H87*Upgrades!$K$16)*POWER(Upgrades!$L$16,H87)))*(IF(Upgrades!$T$13="Roche Lobe Overflow",POWER(Upgrades!$U$13,E87),1)*IF(Upgrades!$T$14="Roche Lobe Overflow",POWER(Upgrades!$U$14,F87),1)*IF(Upgrades!$T$15="Roche Lobe Overflow",POWER(Upgrades!$U$15,G87),1)*IF(Upgrades!$T$17="Roche Lobe Overflow",POWER(Upgrades!$U$17,I87),1)*IF(Upgrades!$T$18="Roche Lobe Overflow",POWER(Upgrades!$U$18,J87),1)*IF(Upgrades!$T$19="Roche Lobe Overflow",POWER(Upgrades!$U$19,K87),1)*IF(Upgrades!$T$20="Roche Lobe Overflow",POWER(Upgrades!$U$20,L87),1)*IF(Upgrades!$T$21="Roche Lobe Overflow",POWER(Upgrades!$U$21,M87),1))+(IF(I87=0,0,(Upgrades!$J$17+I87*Upgrades!$K$17)*POWER(Upgrades!$L$17,I87)))*(IF(Upgrades!$T$13="Brown Dwarf",POWER(Upgrades!$U$13,E87),1)*IF(Upgrades!$T$14="Brown Dwarf",POWER(Upgrades!$U$14,F87),1)*IF(Upgrades!$T$15="Brown Dwarf",POWER(Upgrades!$U$15,G87),1)*IF(Upgrades!$T$16="Brown Dwarf",POWER(Upgrades!$U$16,H87),1)*IF(Upgrades!$T$18="Brown Dwarf",POWER(Upgrades!$U$18,J87),1)*IF(Upgrades!$T$19="Brown Dwarf",POWER(Upgrades!$U$19,K87),1)*IF(Upgrades!$T$20="Brown Dwarf",POWER(Upgrades!$U$20,L87),1)*IF(Upgrades!$T$21="Brown Dwarf",POWER(Upgrades!$U$21,M87),1))+(IF(J87=0,0,(Upgrades!$J$18+J87*Upgrades!$K$18)*POWER(Upgrades!$L$18,J87)))*(IF(Upgrades!$T$13="Binary Partner",POWER(Upgrades!$U$13,E87),1)*IF(Upgrades!$T$14="Binary Partner",POWER(Upgrades!$U$14,F87),1)*IF(Upgrades!$T$15="Binary Partner",POWER(Upgrades!$U$15,G87),1)*IF(Upgrades!$T$16="Binary Partner",POWER(Upgrades!$U$16,H87),1)*IF(Upgrades!$T$17="Binary Partner",POWER(Upgrades!$U$17,I87),1)*IF(Upgrades!$T$19="Binary Partner",POWER(Upgrades!$U$19,K87),1)*IF(Upgrades!$T$20="Binary Partner",POWER(Upgrades!$U$20,L87),1)*IF(Upgrades!$T$21="Binary Partner",POWER(Upgrades!$U$21,M87),1))+(IF(K87=0,0,(Upgrades!$J$19+K87*Upgrades!$K$19)*POWER(Upgrades!$L$19,K87)))*(IF(Upgrades!$T$13="Peculiar Velocity",POWER(Upgrades!$U$13,E87),1)*IF(Upgrades!$T$14="Peculiar Velocity",POWER(Upgrades!$U$14,F87),1)*IF(Upgrades!$T$15="Peculiar Velocity",POWER(Upgrades!$U$15,G87),1)*IF(Upgrades!$T$16="Peculiar Velocity",POWER(Upgrades!$U$16,H87),1)*IF(Upgrades!$T$17="Peculiar Velocity",POWER(Upgrades!$U$17,I87),1)*IF(Upgrades!$T$18="Peculiar Velocity",POWER(Upgrades!$U$18,J87),1)*IF(Upgrades!$T$20="Peculiar Velocity",POWER(Upgrades!$U$20,L87),1)*IF(Upgrades!$T$21="Peculiar Velocity",POWER(Upgrades!$U$21,M87),1))+(IF(L87=0,0,(Upgrades!$J$20+L87*Upgrades!$K$20)*POWER(Upgrades!$L$20,L87)))*(IF(Upgrades!$T$13="Open Cluster",POWER(Upgrades!$U$13,E87),1)*IF(Upgrades!$T$14="Open Cluster",POWER(Upgrades!$U$14,F87),1)*IF(Upgrades!$T$15="Open Cluster",POWER(Upgrades!$U$15,G87),1)*IF(Upgrades!$T$16="Open Cluster",POWER(Upgrades!$U$16,H87),1)*IF(Upgrades!$T$17="Open Cluster",POWER(Upgrades!$U$17,I87),1)*IF(Upgrades!$T$18="Open Cluster",POWER(Upgrades!$U$18,J87),1)*IF(Upgrades!$T$19="Open Cluster",POWER(Upgrades!$U$19,K87),1)*IF(Upgrades!$T$21="Open Cluster",POWER(Upgrades!$U$21,M87),1))+(IF(M87=0,0,(Upgrades!$J$21+M87*Upgrades!$K$21)*POWER(Upgrades!$L$21,M87)))*(IF(Upgrades!$T$13="Moving Group",POWER(Upgrades!$U$13,E87),1)*IF(Upgrades!$T$14="Moving Group",POWER(Upgrades!$U$14,F87),1)*IF(Upgrades!$T$15="Moving Group",POWER(Upgrades!$U$15,G87),1)*IF(Upgrades!$T$16="Moving Group",POWER(Upgrades!$U$16,H87),1)*IF(Upgrades!$T$17="Moving Group",POWER(Upgrades!$U$17,I87),1)*IF(Upgrades!$T$18="Moving Group",POWER(Upgrades!$U$18,J87),1)*IF(Upgrades!$T$19="Moving Group",POWER(Upgrades!$U$19,K87),1)*IF(Upgrades!$T$20="Moving Group",POWER(Upgrades!$U$20,L87),1)))*POWER(Upgrades!$Q$13,E87)*POWER(Upgrades!$Q$14,F87)*POWER(Upgrades!$Q$15,G87)*POWER(Upgrades!$Q$16,H87)*POWER(Upgrades!$Q$17,I87)*POWER(Upgrades!$Q$18,J87)*POWER(Upgrades!$Q$19,K87)*POWER(Upgrades!$Q$20,L87)*POWER(Upgrades!$Q$21,M87)*$G$6+$D$6</f>
        <v/>
      </c>
      <c r="P87" s="28">
        <f>((IF(E87=0,0,(Upgrades!$G$13+E87*Upgrades!$H$13)*POWER(Upgrades!$I$13,E87)))*(IF(Upgrades!$T$14="Stellar Kinematics",POWER(Upgrades!$U$14,F87),1)*IF(Upgrades!$T$15="Stellar Kinematics",POWER(Upgrades!$U$15,G87),1)*IF(Upgrades!$T$16="Stellar Kinematics",POWER(Upgrades!$U$16,H87),1)*IF(Upgrades!$T$17="Stellar Kinematics",POWER(Upgrades!$U$17,I87),1)*IF(Upgrades!$T$18="Stellar Kinematics",POWER(Upgrades!$U$18,J87),1)*IF(Upgrades!$T$19="Stellar Kinematics",POWER(Upgrades!$U$19,K87),1)*IF(Upgrades!$T$20="Stellar Kinematics",POWER(Upgrades!$U$20,L87),1)*IF(Upgrades!$T$21="Stellar Kinematics",POWER(Upgrades!$U$21,M87),1))+(IF(F87=0,0,(Upgrades!$G$14+F87*Upgrades!$H$14)*POWER(Upgrades!$I$14,F87)))*(IF(Upgrades!$T$13="Local Bubble",POWER(Upgrades!$U$13,E87),1)*IF(Upgrades!$T$15="Local Bubble",POWER(Upgrades!$U$15,G87),1)*IF(Upgrades!$T$16="Local Bubble",POWER(Upgrades!$U$16,H87),1)*IF(Upgrades!$T$17="Local Bubble",POWER(Upgrades!$U$17,I87),1)*IF(Upgrades!$T$18="Local Bubble",POWER(Upgrades!$U$18,J87),1)*IF(Upgrades!$T$19="Local Bubble",POWER(Upgrades!$U$19,K87),1)*IF(Upgrades!$T$20="Local Bubble",POWER(Upgrades!$U$20,L87),1)*IF(Upgrades!$T$21="Local Bubble",POWER(Upgrades!$U$21,M87),1))+(IF(G87=0,0,(Upgrades!$G$15+G87*Upgrades!$H$15)*POWER(Upgrades!$I$15,G87)))*(IF(Upgrades!$T$13="Microlensing",POWER(Upgrades!$U$13,E87),1)*IF(Upgrades!$T$14="Microlensing",POWER(Upgrades!$U$14,F87),1)*IF(Upgrades!$T$16="Microlensing",POWER(Upgrades!$U$16,H87),1)*IF(Upgrades!$T$17="Microlensing",POWER(Upgrades!$U$17,I87),1)*IF(Upgrades!$T$18="Microlensing",POWER(Upgrades!$U$18,J87),1)*IF(Upgrades!$T$19="Microlensing",POWER(Upgrades!$U$19,K87),1)*IF(Upgrades!$T$20="Microlensing",POWER(Upgrades!$U$20,L87),1)*IF(Upgrades!$T$21="Microlensing",POWER(Upgrades!$U$21,M87),1))+(IF(H87=0,0,(Upgrades!$G$16+H87*Upgrades!$H$16)*POWER(Upgrades!$I$16,H87)))*(IF(Upgrades!$T$13="Roche Lobe Overflow",POWER(Upgrades!$U$13,E87),1)*IF(Upgrades!$T$14="Roche Lobe Overflow",POWER(Upgrades!$U$14,F87),1)*IF(Upgrades!$T$15="Roche Lobe Overflow",POWER(Upgrades!$U$15,G87),1)*IF(Upgrades!$T$17="Roche Lobe Overflow",POWER(Upgrades!$U$17,I87),1)*IF(Upgrades!$T$18="Roche Lobe Overflow",POWER(Upgrades!$U$18,J87),1)*IF(Upgrades!$T$19="Roche Lobe Overflow",POWER(Upgrades!$U$19,K87),1)*IF(Upgrades!$T$20="Roche Lobe Overflow",POWER(Upgrades!$U$20,L87),1)*IF(Upgrades!$T$21="Roche Lobe Overflow",POWER(Upgrades!$U$21,M87),1))+(IF(I87=0,0,(Upgrades!$G$17+I87*Upgrades!$H$17)*POWER(Upgrades!$I$17,I87)))*(IF(Upgrades!$T$13="Brown Dwarf",POWER(Upgrades!$U$13,E87),1)*IF(Upgrades!$T$14="Brown Dwarf",POWER(Upgrades!$U$14,F87),1)*IF(Upgrades!$T$15="Brown Dwarf",POWER(Upgrades!$U$15,G87),1)*IF(Upgrades!$T$16="Brown Dwarf",POWER(Upgrades!$U$16,H87),1)*IF(Upgrades!$T$18="Brown Dwarf",POWER(Upgrades!$U$18,J87),1)*IF(Upgrades!$T$19="Brown Dwarf",POWER(Upgrades!$U$19,K87),1)*IF(Upgrades!$T$20="Brown Dwarf",POWER(Upgrades!$U$20,L87),1)*IF(Upgrades!$T$21="Brown Dwarf",POWER(Upgrades!$U$21,M87),1))+(IF(J87=0,0,(Upgrades!$G$18+J87*Upgrades!$H$18)*POWER(Upgrades!$I$18,J87)))*(IF(Upgrades!$T$13="Binary Partner",POWER(Upgrades!$U$13,E87),1)*IF(Upgrades!$T$14="Binary Partner",POWER(Upgrades!$U$14,F87),1)*IF(Upgrades!$T$15="Binary Partner",POWER(Upgrades!$U$15,G87),1)*IF(Upgrades!$T$16="Binary Partner",POWER(Upgrades!$U$16,H87),1)*IF(Upgrades!$T$17="Binary Partner",POWER(Upgrades!$U$17,I87),1)*IF(Upgrades!$T$19="Binary Partner",POWER(Upgrades!$U$19,K87),1)*IF(Upgrades!$T$20="Binary Partner",POWER(Upgrades!$U$20,L87),1)*IF(Upgrades!$T$21="Binary Partner",POWER(Upgrades!$U$21,M87),1))+(IF(K87=0,0,(Upgrades!$G$19+K87*Upgrades!$H$19)*POWER(Upgrades!$I$19,K87)))*(IF(Upgrades!$T$13="Peculiar Velocity",POWER(Upgrades!$U$13,E87),1)*IF(Upgrades!$T$14="Peculiar Velocity",POWER(Upgrades!$U$14,F87),1)*IF(Upgrades!$T$15="Peculiar Velocity",POWER(Upgrades!$U$15,G87),1)*IF(Upgrades!$T$16="Peculiar Velocity",POWER(Upgrades!$U$16,H87),1)*IF(Upgrades!$T$17="Peculiar Velocity",POWER(Upgrades!$U$17,I87),1)*IF(Upgrades!$T$18="Peculiar Velocity",POWER(Upgrades!$U$18,J87),1)*IF(Upgrades!$T$20="Peculiar Velocity",POWER(Upgrades!$U$20,L87),1)*IF(Upgrades!$T$21="Peculiar Velocity",POWER(Upgrades!$U$21,M87),1))+(IF(L87=0,0,(Upgrades!$G$20+L87*Upgrades!$H$20)*POWER(Upgrades!$I$20,L87)))*(IF(Upgrades!$T$13="Open Cluster",POWER(Upgrades!$U$13,E87),1)*IF(Upgrades!$T$14="Open Cluster",POWER(Upgrades!$U$14,F87),1)*IF(Upgrades!$T$15="Open Cluster",POWER(Upgrades!$U$15,G87),1)*IF(Upgrades!$T$16="Open Cluster",POWER(Upgrades!$U$16,H87),1)*IF(Upgrades!$T$17="Open Cluster",POWER(Upgrades!$U$17,I87),1)*IF(Upgrades!$T$18="Open Cluster",POWER(Upgrades!$U$18,J87),1)*IF(Upgrades!$T$19="Open Cluster",POWER(Upgrades!$U$19,K87),1)*IF(Upgrades!$T$21="Open Cluster",POWER(Upgrades!$U$21,M87),1))+(IF(M87=0,0,(Upgrades!$G$21+M87*Upgrades!$H$21)*POWER(Upgrades!$I$21,M87)))*(IF(Upgrades!$T$13="Moving Group",POWER(Upgrades!$U$13,E87),1)*IF(Upgrades!$T$14="Moving Group",POWER(Upgrades!$U$14,F87),1)*IF(Upgrades!$T$15="Moving Group",POWER(Upgrades!$U$15,G87),1)*IF(Upgrades!$T$16="Moving Group",POWER(Upgrades!$U$16,H87),1)*IF(Upgrades!$T$17="Moving Group",POWER(Upgrades!$U$17,I87),1)*IF(Upgrades!$T$18="Moving Group",POWER(Upgrades!$U$18,J87),1)*IF(Upgrades!$T$19="Moving Group",POWER(Upgrades!$U$19,K87),1)*IF(Upgrades!$T$20="Moving Group",POWER(Upgrades!$U$20,L87),1)))*POWER(Upgrades!$P$13,E87)*POWER(Upgrades!$P$14,F87)*POWER(Upgrades!$P$15,G87)*POWER(Upgrades!$P$16,H87)*POWER(Upgrades!$P$17,I87)*POWER(Upgrades!$P$18,J87)*POWER(Upgrades!$P$19,K87)*POWER(Upgrades!$P$20,L87)*POWER(Upgrades!$P$21,M87)*$F$6+$C$6</f>
        <v/>
      </c>
      <c r="Q87" s="28">
        <f>((IF(E87=0,0,(Upgrades!$M$13+E87*Upgrades!$N$13)*POWER(Upgrades!$O$13,E87)))*(IF(Upgrades!$T$14="Stellar Kinematics",POWER(Upgrades!$U$14,F87),1)*IF(Upgrades!$T$15="Stellar Kinematics",POWER(Upgrades!$U$15,G87),1)*IF(Upgrades!$T$16="Stellar Kinematics",POWER(Upgrades!$U$16,H87),1)*IF(Upgrades!$T$17="Stellar Kinematics",POWER(Upgrades!$U$17,I87),1)*IF(Upgrades!$T$18="Stellar Kinematics",POWER(Upgrades!$U$18,J87),1)*IF(Upgrades!$T$19="Stellar Kinematics",POWER(Upgrades!$U$19,K87),1)*IF(Upgrades!$T$20="Stellar Kinematics",POWER(Upgrades!$U$20,L87),1)*IF(Upgrades!$T$21="Stellar Kinematics",POWER(Upgrades!$U$21,M87),1))+(IF(F87=0,0,(Upgrades!$M$14+F87*Upgrades!$N$14)*POWER(Upgrades!$O$14,F87)))*(IF(Upgrades!$T$13="Local Bubble",POWER(Upgrades!$U$13,E87),1)*IF(Upgrades!$T$15="Local Bubble",POWER(Upgrades!$U$15,G87),1)*IF(Upgrades!$T$16="Local Bubble",POWER(Upgrades!$U$16,H87),1)*IF(Upgrades!$T$17="Local Bubble",POWER(Upgrades!$U$17,I87),1)*IF(Upgrades!$T$18="Local Bubble",POWER(Upgrades!$U$18,J87),1)*IF(Upgrades!$T$19="Local Bubble",POWER(Upgrades!$U$19,K87),1)*IF(Upgrades!$T$20="Local Bubble",POWER(Upgrades!$U$20,L87),1)*IF(Upgrades!$T$21="Local Bubble",POWER(Upgrades!$U$21,M87),1))+(IF(G87=0,0,(Upgrades!$M$15+G87*Upgrades!$N$15)*POWER(Upgrades!$O$15,G87)))*(IF(Upgrades!$T$13="Microlensing",POWER(Upgrades!$U$13,E87),1)*IF(Upgrades!$T$14="Microlensing",POWER(Upgrades!$U$14,F87),1)*IF(Upgrades!$T$16="Microlensing",POWER(Upgrades!$U$16,H87),1)*IF(Upgrades!$T$17="Microlensing",POWER(Upgrades!$U$17,I87),1)*IF(Upgrades!$T$18="Microlensing",POWER(Upgrades!$U$18,J87),1)*IF(Upgrades!$T$19="Microlensing",POWER(Upgrades!$U$19,K87),1)*IF(Upgrades!$T$20="Microlensing",POWER(Upgrades!$U$20,L87),1)*IF(Upgrades!$T$21="Microlensing",POWER(Upgrades!$U$21,M87),1))+(IF(H87=0,0,(Upgrades!$M$16+H87*Upgrades!$N$16)*POWER(Upgrades!$O$16,H87)))*(IF(Upgrades!$T$13="Roche Lobe Overflow",POWER(Upgrades!$U$13,E87),1)*IF(Upgrades!$T$14="Roche Lobe Overflow",POWER(Upgrades!$U$14,F87),1)*IF(Upgrades!$T$15="Roche Lobe Overflow",POWER(Upgrades!$U$15,G87),1)*IF(Upgrades!$T$17="Roche Lobe Overflow",POWER(Upgrades!$U$17,I87),1)*IF(Upgrades!$T$18="Roche Lobe Overflow",POWER(Upgrades!$U$18,J87),1)*IF(Upgrades!$T$19="Roche Lobe Overflow",POWER(Upgrades!$U$19,K87),1)*IF(Upgrades!$T$20="Roche Lobe Overflow",POWER(Upgrades!$U$20,L87),1)*IF(Upgrades!$T$21="Roche Lobe Overflow",POWER(Upgrades!$U$21,M87),1))+(IF(I87=0,0,(Upgrades!$M$17+I87*Upgrades!$N$17)*POWER(Upgrades!$O$17,I87)))*(IF(Upgrades!$T$13="Brown Dwarf",POWER(Upgrades!$U$13,E87),1)*IF(Upgrades!$T$14="Brown Dwarf",POWER(Upgrades!$U$14,F87),1)*IF(Upgrades!$T$15="Brown Dwarf",POWER(Upgrades!$U$15,G87),1)*IF(Upgrades!$T$16="Brown Dwarf",POWER(Upgrades!$U$16,H87),1)*IF(Upgrades!$T$18="Brown Dwarf",POWER(Upgrades!$U$18,J87),1)*IF(Upgrades!$T$19="Brown Dwarf",POWER(Upgrades!$U$19,K87),1)*IF(Upgrades!$T$20="Brown Dwarf",POWER(Upgrades!$U$20,L87),1)*IF(Upgrades!$T$21="Brown Dwarf",POWER(Upgrades!$U$21,M87),1))+(IF(J87=0,0,(Upgrades!$M$18+J87*Upgrades!$N$18)*POWER(Upgrades!$O$18,J87)))*(IF(Upgrades!$T$13="Binary Partner",POWER(Upgrades!$U$13,E87),1)*IF(Upgrades!$T$14="Binary Partner",POWER(Upgrades!$U$14,F87),1)*IF(Upgrades!$T$15="Binary Partner",POWER(Upgrades!$U$15,G87),1)*IF(Upgrades!$T$16="Binary Partner",POWER(Upgrades!$U$16,H87),1)*IF(Upgrades!$T$17="Binary Partner",POWER(Upgrades!$U$17,I87),1)*IF(Upgrades!$T$19="Binary Partner",POWER(Upgrades!$U$19,K87),1)*IF(Upgrades!$T$20="Binary Partner",POWER(Upgrades!$U$20,L87),1)*IF(Upgrades!$T$21="Binary Partner",POWER(Upgrades!$U$21,M87),1))+(IF(K87=0,0,(Upgrades!$M$19+K87*Upgrades!$N$19)*POWER(Upgrades!$O$19,K87)))*(IF(Upgrades!$T$13="Peculiar Velocity",POWER(Upgrades!$U$13,E87),1)*IF(Upgrades!$T$14="Peculiar Velocity",POWER(Upgrades!$U$14,F87),1)*IF(Upgrades!$T$15="Peculiar Velocity",POWER(Upgrades!$U$15,G87),1)*IF(Upgrades!$T$16="Peculiar Velocity",POWER(Upgrades!$U$16,H87),1)*IF(Upgrades!$T$17="Peculiar Velocity",POWER(Upgrades!$U$17,I87),1)*IF(Upgrades!$T$18="Peculiar Velocity",POWER(Upgrades!$U$18,J87),1)*IF(Upgrades!$T$20="Peculiar Velocity",POWER(Upgrades!$U$20,L87),1)*IF(Upgrades!$T$21="Peculiar Velocity",POWER(Upgrades!$U$21,M87),1))+(IF(L87=0,0,(Upgrades!$M$20+L87*Upgrades!$N$20)*POWER(Upgrades!$O$20,L87)))*(IF(Upgrades!$T$13="Open Cluster",POWER(Upgrades!$U$13,E87),1)*IF(Upgrades!$T$14="Open Cluster",POWER(Upgrades!$U$14,F87),1)*IF(Upgrades!$T$15="Open Cluster",POWER(Upgrades!$U$15,G87),1)*IF(Upgrades!$T$16="Open Cluster",POWER(Upgrades!$U$16,H87),1)*IF(Upgrades!$T$17="Open Cluster",POWER(Upgrades!$U$17,I87),1)*IF(Upgrades!$T$18="Open Cluster",POWER(Upgrades!$U$18,J87),1)*IF(Upgrades!$T$19="Open Cluster",POWER(Upgrades!$U$19,K87),1)*IF(Upgrades!$T$21="Open Cluster",POWER(Upgrades!$U$21,M87),1))+(IF(M87=0,0,(Upgrades!$M$21+M87*Upgrades!$N$21)*POWER(Upgrades!$O$21,M87)))*(IF(Upgrades!$T$13="Moving Group",POWER(Upgrades!$U$13,E87),1)*IF(Upgrades!$T$14="Moving Group",POWER(Upgrades!$U$14,F87),1)*IF(Upgrades!$T$15="Moving Group",POWER(Upgrades!$U$15,G87),1)*IF(Upgrades!$T$16="Moving Group",POWER(Upgrades!$U$16,H87),1)*IF(Upgrades!$T$17="Moving Group",POWER(Upgrades!$U$17,I87),1)*IF(Upgrades!$T$18="Moving Group",POWER(Upgrades!$U$18,J87),1)*IF(Upgrades!$T$19="Moving Group",POWER(Upgrades!$U$19,K87),1)*IF(Upgrades!$T$20="Moving Group",POWER(Upgrades!$U$20,L87),1)))*POWER(Upgrades!$R$13,E87)*POWER(Upgrades!$R$14,F87)*POWER(Upgrades!$R$15,G87)*POWER(Upgrades!$R$16,H87)*POWER(Upgrades!$R$17,I87)*POWER(Upgrades!$R$18,J87)*POWER(Upgrades!$R$19,K87)*POWER(Upgrades!$R$20,L87)*POWER(Upgrades!$R$21,M87)*$H$6+$E$6</f>
        <v/>
      </c>
      <c r="R87" s="27">
        <f>IF(N87=1,0,O87*Parameters!$B$10/60*Parameters!$B$11*10)</f>
        <v/>
      </c>
      <c r="S87" s="27">
        <f>IF(N87=1,0,Q87*O87*10)</f>
        <v/>
      </c>
      <c r="T87" s="27">
        <f>IF(N87=1,0,R87+S87+P87*10)</f>
        <v/>
      </c>
      <c r="U87" s="33">
        <f>BE87</f>
        <v/>
      </c>
      <c r="V87" s="22">
        <f>IF(U87="",0,IF(U87="transition",0,IF(U87="SK",AK87,IF(U87="LB",AL87,IF(U87="ML",AM87,IF(U87="RLO",AN87,IF(U87="BD",AO87,IF(U87="BiP",AP87,IF(U87="PV",AQ87,IF(U87="OC",AR87,IF(U87="MG",AS87,0))))))))))</f>
        <v/>
      </c>
      <c r="W87" s="27">
        <f>IF(U87="BiP",Upgrades!$F$18,IF(U87="PV",Upgrades!$F$19,IF(U87="OC",Upgrades!$F$20,IF(U87="MG",Upgrades!$F$21,IF(U87="transition",-Parameters!$B$18*Parameters!$B$19,0)))))</f>
        <v/>
      </c>
      <c r="X87" s="22">
        <f>C87+T87-V87</f>
        <v/>
      </c>
      <c r="Y87" s="30">
        <f>O87*Parameters!$B$10/60*Parameters!$B$11+Q87*O87+P87</f>
        <v/>
      </c>
      <c r="Z87" s="34">
        <f>IF(U87="transition","→ Tier 3 (Galactic Arm)",IF(U87="MG","Moving Group — pocket drifts together",IF(U87="OC","Open Cluster acquired",IF(U87="PV","Peculiar Velocity — passive multiplier active",IF(U87="BiP","Binary Partner — pair bond formed",IF(AND(AU87=1,N87=0,AT87&lt;&gt;1),"Cohesion ready (waiting on completionists)","")))))) </f>
        <v/>
      </c>
      <c r="AA87" s="27">
        <f>(IF(E87=0,0,(Upgrades!$G$13+E87*Upgrades!$H$13)*POWER(Upgrades!$I$13,E87)))*(IF(Upgrades!$T$14="Stellar Kinematics",POWER(Upgrades!$U$14,F87),1)*IF(Upgrades!$T$15="Stellar Kinematics",POWER(Upgrades!$U$15,G87),1)*IF(Upgrades!$T$16="Stellar Kinematics",POWER(Upgrades!$U$16,H87),1)*IF(Upgrades!$T$17="Stellar Kinematics",POWER(Upgrades!$U$17,I87),1)*IF(Upgrades!$T$18="Stellar Kinematics",POWER(Upgrades!$U$18,J87),1)*IF(Upgrades!$T$19="Stellar Kinematics",POWER(Upgrades!$U$19,K87),1)*IF(Upgrades!$T$20="Stellar Kinematics",POWER(Upgrades!$U$20,L87),1)*IF(Upgrades!$T$21="Stellar Kinematics",POWER(Upgrades!$U$21,M87),1))*POWER(Upgrades!$P$13,E87)*POWER(Upgrades!$P$14,F87)*POWER(Upgrades!$P$15,G87)*POWER(Upgrades!$P$16,H87)*POWER(Upgrades!$P$17,I87)*POWER(Upgrades!$P$18,J87)*POWER(Upgrades!$P$19,K87)*POWER(Upgrades!$P$20,L87)*POWER(Upgrades!$P$21,M87)*$F$6*60</f>
        <v/>
      </c>
      <c r="AB87" s="27">
        <f>(IF(F87=0,0,(Upgrades!$G$14+F87*Upgrades!$H$14)*POWER(Upgrades!$I$14,F87)))*(IF(Upgrades!$T$13="Local Bubble",POWER(Upgrades!$U$13,E87),1)*IF(Upgrades!$T$15="Local Bubble",POWER(Upgrades!$U$15,G87),1)*IF(Upgrades!$T$16="Local Bubble",POWER(Upgrades!$U$16,H87),1)*IF(Upgrades!$T$17="Local Bubble",POWER(Upgrades!$U$17,I87),1)*IF(Upgrades!$T$18="Local Bubble",POWER(Upgrades!$U$18,J87),1)*IF(Upgrades!$T$19="Local Bubble",POWER(Upgrades!$U$19,K87),1)*IF(Upgrades!$T$20="Local Bubble",POWER(Upgrades!$U$20,L87),1)*IF(Upgrades!$T$21="Local Bubble",POWER(Upgrades!$U$21,M87),1))*POWER(Upgrades!$P$13,E87)*POWER(Upgrades!$P$14,F87)*POWER(Upgrades!$P$15,G87)*POWER(Upgrades!$P$16,H87)*POWER(Upgrades!$P$17,I87)*POWER(Upgrades!$P$18,J87)*POWER(Upgrades!$P$19,K87)*POWER(Upgrades!$P$20,L87)*POWER(Upgrades!$P$21,M87)*$F$6*60</f>
        <v/>
      </c>
      <c r="AC87" s="27">
        <f>(IF(G87=0,0,(Upgrades!$J$15+G87*Upgrades!$K$15)*POWER(Upgrades!$L$15,G87)))*(IF(Upgrades!$T$13="Microlensing",POWER(Upgrades!$U$13,E87),1)*IF(Upgrades!$T$14="Microlensing",POWER(Upgrades!$U$14,F87),1)*IF(Upgrades!$T$16="Microlensing",POWER(Upgrades!$U$16,H87),1)*IF(Upgrades!$T$17="Microlensing",POWER(Upgrades!$U$17,I87),1)*IF(Upgrades!$T$18="Microlensing",POWER(Upgrades!$U$18,J87),1)*IF(Upgrades!$T$19="Microlensing",POWER(Upgrades!$U$19,K87),1)*IF(Upgrades!$T$20="Microlensing",POWER(Upgrades!$U$20,L87),1)*IF(Upgrades!$T$21="Microlensing",POWER(Upgrades!$U$21,M87),1))*POWER(Upgrades!$Q$13,E87)*POWER(Upgrades!$Q$14,F87)*POWER(Upgrades!$Q$15,G87)*POWER(Upgrades!$Q$16,H87)*POWER(Upgrades!$Q$17,I87)*POWER(Upgrades!$Q$18,J87)*POWER(Upgrades!$Q$19,K87)*POWER(Upgrades!$Q$20,L87)*POWER(Upgrades!$Q$21,M87)*$G$6*(Parameters!$B$10*Parameters!$B$11+Q87*60)</f>
        <v/>
      </c>
      <c r="AD87" s="27">
        <f>(IF(H87=0,0,(Upgrades!$M$16+H87*Upgrades!$N$16)*POWER(Upgrades!$O$16,H87)))*(IF(Upgrades!$T$13="Roche Lobe Overflow",POWER(Upgrades!$U$13,E87),1)*IF(Upgrades!$T$14="Roche Lobe Overflow",POWER(Upgrades!$U$14,F87),1)*IF(Upgrades!$T$15="Roche Lobe Overflow",POWER(Upgrades!$U$15,G87),1)*IF(Upgrades!$T$17="Roche Lobe Overflow",POWER(Upgrades!$U$17,I87),1)*IF(Upgrades!$T$18="Roche Lobe Overflow",POWER(Upgrades!$U$18,J87),1)*IF(Upgrades!$T$19="Roche Lobe Overflow",POWER(Upgrades!$U$19,K87),1)*IF(Upgrades!$T$20="Roche Lobe Overflow",POWER(Upgrades!$U$20,L87),1)*IF(Upgrades!$T$21="Roche Lobe Overflow",POWER(Upgrades!$U$21,M87),1))*POWER(Upgrades!$R$13,E87)*POWER(Upgrades!$R$14,F87)*POWER(Upgrades!$R$15,G87)*POWER(Upgrades!$R$16,H87)*POWER(Upgrades!$R$17,I87)*POWER(Upgrades!$R$18,J87)*POWER(Upgrades!$R$19,K87)*POWER(Upgrades!$R$20,L87)*POWER(Upgrades!$R$21,M87)*$H$6*O87*60</f>
        <v/>
      </c>
      <c r="AE87" s="27">
        <f>(IF(I87=0,0,(Upgrades!$G$17+I87*Upgrades!$H$17)*POWER(Upgrades!$I$17,I87)))*(IF(Upgrades!$T$13="Brown Dwarf",POWER(Upgrades!$U$13,E87),1)*IF(Upgrades!$T$14="Brown Dwarf",POWER(Upgrades!$U$14,F87),1)*IF(Upgrades!$T$15="Brown Dwarf",POWER(Upgrades!$U$15,G87),1)*IF(Upgrades!$T$16="Brown Dwarf",POWER(Upgrades!$U$16,H87),1)*IF(Upgrades!$T$18="Brown Dwarf",POWER(Upgrades!$U$18,J87),1)*IF(Upgrades!$T$19="Brown Dwarf",POWER(Upgrades!$U$19,K87),1)*IF(Upgrades!$T$20="Brown Dwarf",POWER(Upgrades!$U$20,L87),1)*IF(Upgrades!$T$21="Brown Dwarf",POWER(Upgrades!$U$21,M87),1))*POWER(Upgrades!$P$13,E87)*POWER(Upgrades!$P$14,F87)*POWER(Upgrades!$P$15,G87)*POWER(Upgrades!$P$16,H87)*POWER(Upgrades!$P$17,I87)*POWER(Upgrades!$P$18,J87)*POWER(Upgrades!$P$19,K87)*POWER(Upgrades!$P$20,L87)*POWER(Upgrades!$P$21,M87)*$F$6*60</f>
        <v/>
      </c>
      <c r="AF87" s="27" t="n">
        <v>0</v>
      </c>
      <c r="AG87" s="27" t="n">
        <v>0</v>
      </c>
      <c r="AH87" s="27" t="n">
        <v>0</v>
      </c>
      <c r="AI87" s="27">
        <f>(IF(M87=0,0,(Upgrades!$G$21+M87*Upgrades!$H$21)*POWER(Upgrades!$I$21,M87)))*(IF(Upgrades!$T$13="Moving Group",POWER(Upgrades!$U$13,E87),1)*IF(Upgrades!$T$14="Moving Group",POWER(Upgrades!$U$14,F87),1)*IF(Upgrades!$T$15="Moving Group",POWER(Upgrades!$U$15,G87),1)*IF(Upgrades!$T$16="Moving Group",POWER(Upgrades!$U$16,H87),1)*IF(Upgrades!$T$17="Moving Group",POWER(Upgrades!$U$17,I87),1)*IF(Upgrades!$T$18="Moving Group",POWER(Upgrades!$U$18,J87),1)*IF(Upgrades!$T$19="Moving Group",POWER(Upgrades!$U$19,K87),1)*IF(Upgrades!$T$20="Moving Group",POWER(Upgrades!$U$20,L87),1))*POWER(Upgrades!$P$13,E87)*POWER(Upgrades!$P$14,F87)*POWER(Upgrades!$P$15,G87)*POWER(Upgrades!$P$16,H87)*POWER(Upgrades!$P$17,I87)*POWER(Upgrades!$P$18,J87)*POWER(Upgrades!$P$19,K87)*POWER(Upgrades!$P$20,L87)*POWER(Upgrades!$P$21,M87)*$F$6*60</f>
        <v/>
      </c>
      <c r="AJ87" s="27">
        <f>$C$6*60</f>
        <v/>
      </c>
      <c r="AK87" s="22">
        <f>IF(E87&gt;=Upgrades!$E$13,"",Upgrades!$C$13*POWER(Upgrades!$D$13,E87))</f>
        <v/>
      </c>
      <c r="AL87" s="22">
        <f>IF(F87&gt;=Upgrades!$E$14,"",Upgrades!$C$14*POWER(Upgrades!$D$14,F87))</f>
        <v/>
      </c>
      <c r="AM87" s="22">
        <f>IF(G87&gt;=Upgrades!$E$15,"",Upgrades!$C$15*POWER(Upgrades!$D$15,G87))</f>
        <v/>
      </c>
      <c r="AN87" s="22">
        <f>IF(H87&gt;=Upgrades!$E$16,"",Upgrades!$C$16*POWER(Upgrades!$D$16,H87))</f>
        <v/>
      </c>
      <c r="AO87" s="22">
        <f>IF(I87&gt;=Upgrades!$E$17,"",Upgrades!$C$17*POWER(Upgrades!$D$17,I87))</f>
        <v/>
      </c>
      <c r="AP87" s="22">
        <f>IF(J87&gt;=Upgrades!$E$18,"",Upgrades!$C$18*POWER(Upgrades!$D$18,J87))</f>
        <v/>
      </c>
      <c r="AQ87" s="22">
        <f>IF(K87&gt;=Upgrades!$E$19,"",Upgrades!$C$19*POWER(Upgrades!$D$19,K87))</f>
        <v/>
      </c>
      <c r="AR87" s="22">
        <f>IF(L87&gt;=Upgrades!$E$20,"",Upgrades!$C$20*POWER(Upgrades!$D$20,L87))</f>
        <v/>
      </c>
      <c r="AS87" s="22">
        <f>IF(M87&gt;=Upgrades!$E$21,"",Upgrades!$C$21*POWER(Upgrades!$D$21,M87))</f>
        <v/>
      </c>
      <c r="AT87" s="26">
        <f>IF(AND(D87&gt;=Parameters!$B$18*Parameters!$B$19,(I87&gt;=Upgrades!$E$17)*(M87&gt;=Upgrades!$E$21)=1,N87=0),1,"")</f>
        <v/>
      </c>
      <c r="AU87" s="26">
        <f>IF(AND(D87&gt;=Parameters!$B$18*Parameters!$B$19,N87=0),1,"")</f>
        <v/>
      </c>
      <c r="AV87" s="22">
        <f>MIN(IF(ISNUMBER(AP87),AP87,9E15),IF(ISNUMBER(AQ87),AQ87,9E15),IF(ISNUMBER(AR87),AR87,9E15),IF(ISNUMBER(AS87),AS87,9E15))</f>
        <v/>
      </c>
      <c r="AW87" s="22">
        <f>MIN(IF(ISNUMBER(AK87),AK87,9E15),IF(ISNUMBER(AL87),AL87,9E15),IF(ISNUMBER(AM87),AM87,9E15),IF(ISNUMBER(AN87),AN87,9E15),IF(ISNUMBER(AO87),AO87,9E15))</f>
        <v/>
      </c>
      <c r="AX87" s="29">
        <f>IF(BD87&gt;Parameters!$B$21*(MAX(IF(AND(NOT(AND(AU87=1,AT87&lt;&gt;1)),ISNUMBER(AK87),AK87&lt;=(C87+T87)),AY87,0),IF(AND(NOT(AND(AU87=1,AT87&lt;&gt;1)),ISNUMBER(AL87),AL87&lt;=(C87+T87)),AZ87,0),IF(AND(NOT(AND(AU87=1,AT87&lt;&gt;1)),ISNUMBER(AM87),AM87&lt;=(C87+T87)),BA87,0),IF(AND(NOT(AND(AU87=1,AT87&lt;&gt;1)),ISNUMBER(AN87),AN87&lt;=(C87+T87)),BB87,0),IF(AND(ISNUMBER(AO87),AO87&lt;=(C87+T87)),BC87,0))),TRUE,FALSE)</f>
        <v/>
      </c>
      <c r="AY87" s="32">
        <f>IFERROR(Upgrades!$H$13*(POWER(Upgrades!$P$13,E87)*POWER(Upgrades!$P$14,F87)*POWER(Upgrades!$P$15,G87)*POWER(Upgrades!$P$16,H87)*POWER(Upgrades!$P$17,I87)*POWER(Upgrades!$P$18,J87)*POWER(Upgrades!$P$19,K87)*POWER(Upgrades!$P$20,L87)*POWER(Upgrades!$P$21,M87))*(IF(Upgrades!$T$14="Stellar Kinematics",POWER(Upgrades!$U$14,F87),1)*IF(Upgrades!$T$15="Stellar Kinematics",POWER(Upgrades!$U$15,G87),1)*IF(Upgrades!$T$16="Stellar Kinematics",POWER(Upgrades!$U$16,H87),1)*IF(Upgrades!$T$17="Stellar Kinematics",POWER(Upgrades!$U$17,I87),1)*IF(Upgrades!$T$18="Stellar Kinematics",POWER(Upgrades!$U$18,J87),1)*IF(Upgrades!$T$19="Stellar Kinematics",POWER(Upgrades!$U$19,K87),1)*IF(Upgrades!$T$20="Stellar Kinematics",POWER(Upgrades!$U$20,L87),1)*IF(Upgrades!$T$21="Stellar Kinematics",POWER(Upgrades!$U$21,M87),1))*$F$6/AK87,0)</f>
        <v/>
      </c>
      <c r="AZ87" s="32">
        <f>IFERROR(Upgrades!$H$14*(POWER(Upgrades!$P$13,E87)*POWER(Upgrades!$P$14,F87)*POWER(Upgrades!$P$15,G87)*POWER(Upgrades!$P$16,H87)*POWER(Upgrades!$P$17,I87)*POWER(Upgrades!$P$18,J87)*POWER(Upgrades!$P$19,K87)*POWER(Upgrades!$P$20,L87)*POWER(Upgrades!$P$21,M87))*(IF(Upgrades!$T$13="Local Bubble",POWER(Upgrades!$U$13,E87),1)*IF(Upgrades!$T$15="Local Bubble",POWER(Upgrades!$U$15,G87),1)*IF(Upgrades!$T$16="Local Bubble",POWER(Upgrades!$U$16,H87),1)*IF(Upgrades!$T$17="Local Bubble",POWER(Upgrades!$U$17,I87),1)*IF(Upgrades!$T$18="Local Bubble",POWER(Upgrades!$U$18,J87),1)*IF(Upgrades!$T$19="Local Bubble",POWER(Upgrades!$U$19,K87),1)*IF(Upgrades!$T$20="Local Bubble",POWER(Upgrades!$U$20,L87),1)*IF(Upgrades!$T$21="Local Bubble",POWER(Upgrades!$U$21,M87),1))*$F$6/AL87,0)</f>
        <v/>
      </c>
      <c r="BA87" s="32">
        <f>IFERROR(Upgrades!$K$15*(POWER(Upgrades!$Q$13,E87)*POWER(Upgrades!$Q$14,F87)*POWER(Upgrades!$Q$15,G87)*POWER(Upgrades!$Q$16,H87)*POWER(Upgrades!$Q$17,I87)*POWER(Upgrades!$Q$18,J87)*POWER(Upgrades!$Q$19,K87)*POWER(Upgrades!$Q$20,L87)*POWER(Upgrades!$Q$21,M87))*(IF(Upgrades!$T$13="Microlensing",POWER(Upgrades!$U$13,E87),1)*IF(Upgrades!$T$14="Microlensing",POWER(Upgrades!$U$14,F87),1)*IF(Upgrades!$T$16="Microlensing",POWER(Upgrades!$U$16,H87),1)*IF(Upgrades!$T$17="Microlensing",POWER(Upgrades!$U$17,I87),1)*IF(Upgrades!$T$18="Microlensing",POWER(Upgrades!$U$18,J87),1)*IF(Upgrades!$T$19="Microlensing",POWER(Upgrades!$U$19,K87),1)*IF(Upgrades!$T$20="Microlensing",POWER(Upgrades!$U$20,L87),1)*IF(Upgrades!$T$21="Microlensing",POWER(Upgrades!$U$21,M87),1))*$G$6*(Parameters!$B$10/60*Parameters!$B$11+Q87)/AM87,0)</f>
        <v/>
      </c>
      <c r="BB87" s="32">
        <f>IFERROR((Upgrades!$N$16*(POWER(Upgrades!$R$13,E87)*POWER(Upgrades!$R$14,F87)*POWER(Upgrades!$R$15,G87)*POWER(Upgrades!$R$16,H87)*POWER(Upgrades!$R$17,I87)*POWER(Upgrades!$R$18,J87)*POWER(Upgrades!$R$19,K87)*POWER(Upgrades!$R$20,L87)*POWER(Upgrades!$R$21,M87))*(IF(Upgrades!$T$13="Roche Lobe Overflow",POWER(Upgrades!$U$13,E87),1)*IF(Upgrades!$T$14="Roche Lobe Overflow",POWER(Upgrades!$U$14,F87),1)*IF(Upgrades!$T$15="Roche Lobe Overflow",POWER(Upgrades!$U$15,G87),1)*IF(Upgrades!$T$17="Roche Lobe Overflow",POWER(Upgrades!$U$17,I87),1)*IF(Upgrades!$T$18="Roche Lobe Overflow",POWER(Upgrades!$U$18,J87),1)*IF(Upgrades!$T$19="Roche Lobe Overflow",POWER(Upgrades!$U$19,K87),1)*IF(Upgrades!$T$20="Roche Lobe Overflow",POWER(Upgrades!$U$20,L87),1)*IF(Upgrades!$T$21="Roche Lobe Overflow",POWER(Upgrades!$U$21,M87),1))*$H$6*O87+((IF(F87=0,0,(Upgrades!$G$14+F87*Upgrades!$H$14)*POWER(Upgrades!$I$14,F87)))*(IF(Upgrades!$T$13="Local Bubble",POWER(Upgrades!$U$13,E87),1)*IF(Upgrades!$T$15="Local Bubble",POWER(Upgrades!$U$15,G87),1)*IF(Upgrades!$T$16="Local Bubble",POWER(Upgrades!$U$16,H87),1)*IF(Upgrades!$T$17="Local Bubble",POWER(Upgrades!$U$17,I87),1)*IF(Upgrades!$T$18="Local Bubble",POWER(Upgrades!$U$18,J87),1)*IF(Upgrades!$T$19="Local Bubble",POWER(Upgrades!$U$19,K87),1)*IF(Upgrades!$T$20="Local Bubble",POWER(Upgrades!$U$20,L87),1)*IF(Upgrades!$T$21="Local Bubble",POWER(Upgrades!$U$21,M87),1))*POWER(Upgrades!$P$13,E87)*POWER(Upgrades!$P$14,F87)*POWER(Upgrades!$P$15,G87)*POWER(Upgrades!$P$16,H87)*POWER(Upgrades!$P$17,I87)*POWER(Upgrades!$P$18,J87)*POWER(Upgrades!$P$19,K87)*POWER(Upgrades!$P$20,L87)*POWER(Upgrades!$P$21,M87)*$F$6)*0.05)/AN87,0)</f>
        <v/>
      </c>
      <c r="BC87" s="32">
        <f>IFERROR((Upgrades!$H$17*(POWER(Upgrades!$P$13,E87)*POWER(Upgrades!$P$14,F87)*POWER(Upgrades!$P$15,G87)*POWER(Upgrades!$P$16,H87)*POWER(Upgrades!$P$17,I87)*POWER(Upgrades!$P$18,J87)*POWER(Upgrades!$P$19,K87)*POWER(Upgrades!$P$20,L87)*POWER(Upgrades!$P$21,M87))*(IF(Upgrades!$T$13="Brown Dwarf",POWER(Upgrades!$U$13,E87),1)*IF(Upgrades!$T$14="Brown Dwarf",POWER(Upgrades!$U$14,F87),1)*IF(Upgrades!$T$15="Brown Dwarf",POWER(Upgrades!$U$15,G87),1)*IF(Upgrades!$T$16="Brown Dwarf",POWER(Upgrades!$U$16,H87),1)*IF(Upgrades!$T$18="Brown Dwarf",POWER(Upgrades!$U$18,J87),1)*IF(Upgrades!$T$19="Brown Dwarf",POWER(Upgrades!$U$19,K87),1)*IF(Upgrades!$T$20="Brown Dwarf",POWER(Upgrades!$U$20,L87),1)*IF(Upgrades!$T$21="Brown Dwarf",POWER(Upgrades!$U$21,M87),1))*$F$6+(((IF(H87=0,0,(Upgrades!$M$16+H87*Upgrades!$N$16)*POWER(Upgrades!$O$16,H87)))*(IF(Upgrades!$T$13="Roche Lobe Overflow",POWER(Upgrades!$U$13,E87),1)*IF(Upgrades!$T$14="Roche Lobe Overflow",POWER(Upgrades!$U$14,F87),1)*IF(Upgrades!$T$15="Roche Lobe Overflow",POWER(Upgrades!$U$15,G87),1)*IF(Upgrades!$T$17="Roche Lobe Overflow",POWER(Upgrades!$U$17,I87),1)*IF(Upgrades!$T$18="Roche Lobe Overflow",POWER(Upgrades!$U$18,J87),1)*IF(Upgrades!$T$19="Roche Lobe Overflow",POWER(Upgrades!$U$19,K87),1)*IF(Upgrades!$T$20="Roche Lobe Overflow",POWER(Upgrades!$U$20,L87),1)*IF(Upgrades!$T$21="Roche Lobe Overflow",POWER(Upgrades!$U$21,M87),1))*POWER(Upgrades!$R$13,E87)*POWER(Upgrades!$R$14,F87)*POWER(Upgrades!$R$15,G87)*POWER(Upgrades!$R$16,H87)*POWER(Upgrades!$R$17,I87)*POWER(Upgrades!$R$18,J87)*POWER(Upgrades!$R$19,K87)*POWER(Upgrades!$R$20,L87)*POWER(Upgrades!$R$21,M87)*$H$6)*O87)*0.10)/AO87,0)</f>
        <v/>
      </c>
      <c r="BD87" s="32">
        <f>MAX(IF(J87&gt;0,0,IFERROR(0.5*((IF(G87=0,0,(Upgrades!$J$15+G87*Upgrades!$K$15)*POWER(Upgrades!$L$15,G87)))*(IF(Upgrades!$T$13="Microlensing",POWER(Upgrades!$U$13,E87),1)*IF(Upgrades!$T$14="Microlensing",POWER(Upgrades!$U$14,F87),1)*IF(Upgrades!$T$16="Microlensing",POWER(Upgrades!$U$16,H87),1)*IF(Upgrades!$T$17="Microlensing",POWER(Upgrades!$U$17,I87),1)*IF(Upgrades!$T$18="Microlensing",POWER(Upgrades!$U$18,J87),1)*IF(Upgrades!$T$19="Microlensing",POWER(Upgrades!$U$19,K87),1)*IF(Upgrades!$T$20="Microlensing",POWER(Upgrades!$U$20,L87),1)*IF(Upgrades!$T$21="Microlensing",POWER(Upgrades!$U$21,M87),1))*(POWER(Upgrades!$Q$13,E87)*POWER(Upgrades!$Q$14,F87)*POWER(Upgrades!$Q$15,G87)*POWER(Upgrades!$Q$16,H87)*POWER(Upgrades!$Q$17,I87)*POWER(Upgrades!$Q$18,J87)*POWER(Upgrades!$Q$19,K87)*POWER(Upgrades!$Q$20,L87)*POWER(Upgrades!$Q$21,M87))*$G$6*(Parameters!$B$10/60*Parameters!$B$11+Q87))/Upgrades!$C$18,0)),IF(K87&gt;0,0,IFERROR(0.30*P87/Upgrades!$C$19,0)),IF(L87&gt;0,0,IFERROR(0.0001/Upgrades!$C$20,0)),IF(M87&gt;0,0,IFERROR((6.0*(POWER(Upgrades!$P$13,E87)*POWER(Upgrades!$P$14,F87)*POWER(Upgrades!$P$15,G87)*POWER(Upgrades!$P$16,H87)*POWER(Upgrades!$P$17,I87)*POWER(Upgrades!$P$18,J87)*POWER(Upgrades!$P$19,K87)*POWER(Upgrades!$P$20,L87)*POWER(Upgrades!$P$21,M87))*$F$6+0.20*O87*(Parameters!$B$10/60*Parameters!$B$11+Q87))/Upgrades!$C$21,0)),IF(AND(ISNUMBER(AK87),AK87&gt;(C87+T87)),AY87,0),IF(AND(ISNUMBER(AL87),AL87&gt;(C87+T87)),AZ87,0),IF(AND(ISNUMBER(AM87),AM87&gt;(C87+T87)),BA87,0),IF(AND(ISNUMBER(AN87),AN87&gt;(C87+T87)),BB87,0),IF(AND(ISNUMBER(AO87),AO87&gt;(C87+T87)),BC87,0))</f>
        <v/>
      </c>
      <c r="BE87" s="29">
        <f>IF(AT87=1,"transition",IF(MIN(IF(AND(J87=0,ISNUMBER(AP87),AP87&lt;=(C87+T87)),AP87,9E15),IF(AND(K87=0,ISNUMBER(AQ87),AQ87&lt;=(C87+T87)),AQ87,9E15),IF(AND(L87=0,ISNUMBER(AR87),AR87&lt;=(C87+T87)),AR87,9E15),IF(AND(M87=0,ISNUMBER(AS87),AS87&lt;=(C87+T87)),AS87,9E15))&lt;9E15,IF(AND(AND(J87=0,ISNUMBER(AP87),AP87&lt;=(C87+T87)),AP87=MIN(IF(AND(J87=0,ISNUMBER(AP87),AP87&lt;=(C87+T87)),AP87,9E15),IF(AND(K87=0,ISNUMBER(AQ87),AQ87&lt;=(C87+T87)),AQ87,9E15),IF(AND(L87=0,ISNUMBER(AR87),AR87&lt;=(C87+T87)),AR87,9E15),IF(AND(M87=0,ISNUMBER(AS87),AS87&lt;=(C87+T87)),AS87,9E15))),"BiP",IF(AND(AND(K87=0,ISNUMBER(AQ87),AQ87&lt;=(C87+T87)),AQ87=MIN(IF(AND(J87=0,ISNUMBER(AP87),AP87&lt;=(C87+T87)),AP87,9E15),IF(AND(K87=0,ISNUMBER(AQ87),AQ87&lt;=(C87+T87)),AQ87,9E15),IF(AND(L87=0,ISNUMBER(AR87),AR87&lt;=(C87+T87)),AR87,9E15),IF(AND(M87=0,ISNUMBER(AS87),AS87&lt;=(C87+T87)),AS87,9E15))),"PV",IF(AND(AND(L87=0,ISNUMBER(AR87),AR87&lt;=(C87+T87)),AR87=MIN(IF(AND(J87=0,ISNUMBER(AP87),AP87&lt;=(C87+T87)),AP87,9E15),IF(AND(K87=0,ISNUMBER(AQ87),AQ87&lt;=(C87+T87)),AQ87,9E15),IF(AND(L87=0,ISNUMBER(AR87),AR87&lt;=(C87+T87)),AR87,9E15),IF(AND(M87=0,ISNUMBER(AS87),AS87&lt;=(C87+T87)),AS87,9E15))),"OC","MG"))),IF(AX87=TRUE,"",IF(MAX(IF(AND(NOT(AND(AU87=1,AT87&lt;&gt;1)),ISNUMBER(AK87),AK87&lt;=(C87+T87)),AY87,0),IF(AND(NOT(AND(AU87=1,AT87&lt;&gt;1)),ISNUMBER(AL87),AL87&lt;=(C87+T87)),AZ87,0),IF(AND(NOT(AND(AU87=1,AT87&lt;&gt;1)),ISNUMBER(AM87),AM87&lt;=(C87+T87)),BA87,0),IF(AND(NOT(AND(AU87=1,AT87&lt;&gt;1)),ISNUMBER(AN87),AN87&lt;=(C87+T87)),BB87,0),IF(AND(ISNUMBER(AO87),AO87&lt;=(C87+T87)),BC87,0))&lt;=0,"",IF(AND(IF(AND(NOT(AND(AU87=1,AT87&lt;&gt;1)),ISNUMBER(AK87),AK87&lt;=(C87+T87)),AY87,0)&gt;0,IF(AND(NOT(AND(AU87=1,AT87&lt;&gt;1)),ISNUMBER(AK87),AK87&lt;=(C87+T87)),AY87,0)=MAX(IF(AND(NOT(AND(AU87=1,AT87&lt;&gt;1)),ISNUMBER(AK87),AK87&lt;=(C87+T87)),AY87,0),IF(AND(NOT(AND(AU87=1,AT87&lt;&gt;1)),ISNUMBER(AL87),AL87&lt;=(C87+T87)),AZ87,0),IF(AND(NOT(AND(AU87=1,AT87&lt;&gt;1)),ISNUMBER(AM87),AM87&lt;=(C87+T87)),BA87,0),IF(AND(NOT(AND(AU87=1,AT87&lt;&gt;1)),ISNUMBER(AN87),AN87&lt;=(C87+T87)),BB87,0),IF(AND(ISNUMBER(AO87),AO87&lt;=(C87+T87)),BC87,0))),"SK",IF(AND(IF(AND(NOT(AND(AU87=1,AT87&lt;&gt;1)),ISNUMBER(AL87),AL87&lt;=(C87+T87)),AZ87,0)&gt;0,IF(AND(NOT(AND(AU87=1,AT87&lt;&gt;1)),ISNUMBER(AL87),AL87&lt;=(C87+T87)),AZ87,0)=MAX(IF(AND(NOT(AND(AU87=1,AT87&lt;&gt;1)),ISNUMBER(AK87),AK87&lt;=(C87+T87)),AY87,0),IF(AND(NOT(AND(AU87=1,AT87&lt;&gt;1)),ISNUMBER(AL87),AL87&lt;=(C87+T87)),AZ87,0),IF(AND(NOT(AND(AU87=1,AT87&lt;&gt;1)),ISNUMBER(AM87),AM87&lt;=(C87+T87)),BA87,0),IF(AND(NOT(AND(AU87=1,AT87&lt;&gt;1)),ISNUMBER(AN87),AN87&lt;=(C87+T87)),BB87,0),IF(AND(ISNUMBER(AO87),AO87&lt;=(C87+T87)),BC87,0))),"LB",IF(AND(IF(AND(NOT(AND(AU87=1,AT87&lt;&gt;1)),ISNUMBER(AM87),AM87&lt;=(C87+T87)),BA87,0)&gt;0,IF(AND(NOT(AND(AU87=1,AT87&lt;&gt;1)),ISNUMBER(AM87),AM87&lt;=(C87+T87)),BA87,0)=MAX(IF(AND(NOT(AND(AU87=1,AT87&lt;&gt;1)),ISNUMBER(AK87),AK87&lt;=(C87+T87)),AY87,0),IF(AND(NOT(AND(AU87=1,AT87&lt;&gt;1)),ISNUMBER(AL87),AL87&lt;=(C87+T87)),AZ87,0),IF(AND(NOT(AND(AU87=1,AT87&lt;&gt;1)),ISNUMBER(AM87),AM87&lt;=(C87+T87)),BA87,0),IF(AND(NOT(AND(AU87=1,AT87&lt;&gt;1)),ISNUMBER(AN87),AN87&lt;=(C87+T87)),BB87,0),IF(AND(ISNUMBER(AO87),AO87&lt;=(C87+T87)),BC87,0))),"ML",IF(AND(IF(AND(NOT(AND(AU87=1,AT87&lt;&gt;1)),ISNUMBER(AN87),AN87&lt;=(C87+T87)),BB87,0)&gt;0,IF(AND(NOT(AND(AU87=1,AT87&lt;&gt;1)),ISNUMBER(AN87),AN87&lt;=(C87+T87)),BB87,0)=MAX(IF(AND(NOT(AND(AU87=1,AT87&lt;&gt;1)),ISNUMBER(AK87),AK87&lt;=(C87+T87)),AY87,0),IF(AND(NOT(AND(AU87=1,AT87&lt;&gt;1)),ISNUMBER(AL87),AL87&lt;=(C87+T87)),AZ87,0),IF(AND(NOT(AND(AU87=1,AT87&lt;&gt;1)),ISNUMBER(AM87),AM87&lt;=(C87+T87)),BA87,0),IF(AND(NOT(AND(AU87=1,AT87&lt;&gt;1)),ISNUMBER(AN87),AN87&lt;=(C87+T87)),BB87,0),IF(AND(ISNUMBER(AO87),AO87&lt;=(C87+T87)),BC87,0))),"RLO","BD"))))))))</f>
        <v/>
      </c>
    </row>
    <row r="88">
      <c r="A88" s="26" t="n">
        <v>77</v>
      </c>
      <c r="B88" s="27">
        <f>A88*10/60</f>
        <v/>
      </c>
      <c r="C88" s="22">
        <f>X87</f>
        <v/>
      </c>
      <c r="D88" s="27">
        <f>D87+W87</f>
        <v/>
      </c>
      <c r="E88" s="26">
        <f>E87+IF(U87="SK",1,0)</f>
        <v/>
      </c>
      <c r="F88" s="26">
        <f>F87+IF(U87="LB",1,0)</f>
        <v/>
      </c>
      <c r="G88" s="26">
        <f>G87+IF(U87="ML",1,0)</f>
        <v/>
      </c>
      <c r="H88" s="26">
        <f>H87+IF(U87="RLO",1,0)</f>
        <v/>
      </c>
      <c r="I88" s="26">
        <f>I87+IF(U87="BD",1,0)</f>
        <v/>
      </c>
      <c r="J88" s="26">
        <f>MAX(J87,IF(U87="BiP",1,0))</f>
        <v/>
      </c>
      <c r="K88" s="26">
        <f>MAX(K87,IF(U87="PV",1,0))</f>
        <v/>
      </c>
      <c r="L88" s="26">
        <f>MAX(L87,IF(U87="OC",1,0))</f>
        <v/>
      </c>
      <c r="M88" s="26">
        <f>MAX(M87,IF(U87="MG",1,0))</f>
        <v/>
      </c>
      <c r="N88" s="26">
        <f>MAX(N87,IF(U87="transition",1,0))</f>
        <v/>
      </c>
      <c r="O88" s="28">
        <f>(Parameters!$B$9+(IF(E88=0,0,(Upgrades!$J$13+E88*Upgrades!$K$13)*POWER(Upgrades!$L$13,E88)))*(IF(Upgrades!$T$14="Stellar Kinematics",POWER(Upgrades!$U$14,F88),1)*IF(Upgrades!$T$15="Stellar Kinematics",POWER(Upgrades!$U$15,G88),1)*IF(Upgrades!$T$16="Stellar Kinematics",POWER(Upgrades!$U$16,H88),1)*IF(Upgrades!$T$17="Stellar Kinematics",POWER(Upgrades!$U$17,I88),1)*IF(Upgrades!$T$18="Stellar Kinematics",POWER(Upgrades!$U$18,J88),1)*IF(Upgrades!$T$19="Stellar Kinematics",POWER(Upgrades!$U$19,K88),1)*IF(Upgrades!$T$20="Stellar Kinematics",POWER(Upgrades!$U$20,L88),1)*IF(Upgrades!$T$21="Stellar Kinematics",POWER(Upgrades!$U$21,M88),1))+(IF(F88=0,0,(Upgrades!$J$14+F88*Upgrades!$K$14)*POWER(Upgrades!$L$14,F88)))*(IF(Upgrades!$T$13="Local Bubble",POWER(Upgrades!$U$13,E88),1)*IF(Upgrades!$T$15="Local Bubble",POWER(Upgrades!$U$15,G88),1)*IF(Upgrades!$T$16="Local Bubble",POWER(Upgrades!$U$16,H88),1)*IF(Upgrades!$T$17="Local Bubble",POWER(Upgrades!$U$17,I88),1)*IF(Upgrades!$T$18="Local Bubble",POWER(Upgrades!$U$18,J88),1)*IF(Upgrades!$T$19="Local Bubble",POWER(Upgrades!$U$19,K88),1)*IF(Upgrades!$T$20="Local Bubble",POWER(Upgrades!$U$20,L88),1)*IF(Upgrades!$T$21="Local Bubble",POWER(Upgrades!$U$21,M88),1))+(IF(G88=0,0,(Upgrades!$J$15+G88*Upgrades!$K$15)*POWER(Upgrades!$L$15,G88)))*(IF(Upgrades!$T$13="Microlensing",POWER(Upgrades!$U$13,E88),1)*IF(Upgrades!$T$14="Microlensing",POWER(Upgrades!$U$14,F88),1)*IF(Upgrades!$T$16="Microlensing",POWER(Upgrades!$U$16,H88),1)*IF(Upgrades!$T$17="Microlensing",POWER(Upgrades!$U$17,I88),1)*IF(Upgrades!$T$18="Microlensing",POWER(Upgrades!$U$18,J88),1)*IF(Upgrades!$T$19="Microlensing",POWER(Upgrades!$U$19,K88),1)*IF(Upgrades!$T$20="Microlensing",POWER(Upgrades!$U$20,L88),1)*IF(Upgrades!$T$21="Microlensing",POWER(Upgrades!$U$21,M88),1))+(IF(H88=0,0,(Upgrades!$J$16+H88*Upgrades!$K$16)*POWER(Upgrades!$L$16,H88)))*(IF(Upgrades!$T$13="Roche Lobe Overflow",POWER(Upgrades!$U$13,E88),1)*IF(Upgrades!$T$14="Roche Lobe Overflow",POWER(Upgrades!$U$14,F88),1)*IF(Upgrades!$T$15="Roche Lobe Overflow",POWER(Upgrades!$U$15,G88),1)*IF(Upgrades!$T$17="Roche Lobe Overflow",POWER(Upgrades!$U$17,I88),1)*IF(Upgrades!$T$18="Roche Lobe Overflow",POWER(Upgrades!$U$18,J88),1)*IF(Upgrades!$T$19="Roche Lobe Overflow",POWER(Upgrades!$U$19,K88),1)*IF(Upgrades!$T$20="Roche Lobe Overflow",POWER(Upgrades!$U$20,L88),1)*IF(Upgrades!$T$21="Roche Lobe Overflow",POWER(Upgrades!$U$21,M88),1))+(IF(I88=0,0,(Upgrades!$J$17+I88*Upgrades!$K$17)*POWER(Upgrades!$L$17,I88)))*(IF(Upgrades!$T$13="Brown Dwarf",POWER(Upgrades!$U$13,E88),1)*IF(Upgrades!$T$14="Brown Dwarf",POWER(Upgrades!$U$14,F88),1)*IF(Upgrades!$T$15="Brown Dwarf",POWER(Upgrades!$U$15,G88),1)*IF(Upgrades!$T$16="Brown Dwarf",POWER(Upgrades!$U$16,H88),1)*IF(Upgrades!$T$18="Brown Dwarf",POWER(Upgrades!$U$18,J88),1)*IF(Upgrades!$T$19="Brown Dwarf",POWER(Upgrades!$U$19,K88),1)*IF(Upgrades!$T$20="Brown Dwarf",POWER(Upgrades!$U$20,L88),1)*IF(Upgrades!$T$21="Brown Dwarf",POWER(Upgrades!$U$21,M88),1))+(IF(J88=0,0,(Upgrades!$J$18+J88*Upgrades!$K$18)*POWER(Upgrades!$L$18,J88)))*(IF(Upgrades!$T$13="Binary Partner",POWER(Upgrades!$U$13,E88),1)*IF(Upgrades!$T$14="Binary Partner",POWER(Upgrades!$U$14,F88),1)*IF(Upgrades!$T$15="Binary Partner",POWER(Upgrades!$U$15,G88),1)*IF(Upgrades!$T$16="Binary Partner",POWER(Upgrades!$U$16,H88),1)*IF(Upgrades!$T$17="Binary Partner",POWER(Upgrades!$U$17,I88),1)*IF(Upgrades!$T$19="Binary Partner",POWER(Upgrades!$U$19,K88),1)*IF(Upgrades!$T$20="Binary Partner",POWER(Upgrades!$U$20,L88),1)*IF(Upgrades!$T$21="Binary Partner",POWER(Upgrades!$U$21,M88),1))+(IF(K88=0,0,(Upgrades!$J$19+K88*Upgrades!$K$19)*POWER(Upgrades!$L$19,K88)))*(IF(Upgrades!$T$13="Peculiar Velocity",POWER(Upgrades!$U$13,E88),1)*IF(Upgrades!$T$14="Peculiar Velocity",POWER(Upgrades!$U$14,F88),1)*IF(Upgrades!$T$15="Peculiar Velocity",POWER(Upgrades!$U$15,G88),1)*IF(Upgrades!$T$16="Peculiar Velocity",POWER(Upgrades!$U$16,H88),1)*IF(Upgrades!$T$17="Peculiar Velocity",POWER(Upgrades!$U$17,I88),1)*IF(Upgrades!$T$18="Peculiar Velocity",POWER(Upgrades!$U$18,J88),1)*IF(Upgrades!$T$20="Peculiar Velocity",POWER(Upgrades!$U$20,L88),1)*IF(Upgrades!$T$21="Peculiar Velocity",POWER(Upgrades!$U$21,M88),1))+(IF(L88=0,0,(Upgrades!$J$20+L88*Upgrades!$K$20)*POWER(Upgrades!$L$20,L88)))*(IF(Upgrades!$T$13="Open Cluster",POWER(Upgrades!$U$13,E88),1)*IF(Upgrades!$T$14="Open Cluster",POWER(Upgrades!$U$14,F88),1)*IF(Upgrades!$T$15="Open Cluster",POWER(Upgrades!$U$15,G88),1)*IF(Upgrades!$T$16="Open Cluster",POWER(Upgrades!$U$16,H88),1)*IF(Upgrades!$T$17="Open Cluster",POWER(Upgrades!$U$17,I88),1)*IF(Upgrades!$T$18="Open Cluster",POWER(Upgrades!$U$18,J88),1)*IF(Upgrades!$T$19="Open Cluster",POWER(Upgrades!$U$19,K88),1)*IF(Upgrades!$T$21="Open Cluster",POWER(Upgrades!$U$21,M88),1))+(IF(M88=0,0,(Upgrades!$J$21+M88*Upgrades!$K$21)*POWER(Upgrades!$L$21,M88)))*(IF(Upgrades!$T$13="Moving Group",POWER(Upgrades!$U$13,E88),1)*IF(Upgrades!$T$14="Moving Group",POWER(Upgrades!$U$14,F88),1)*IF(Upgrades!$T$15="Moving Group",POWER(Upgrades!$U$15,G88),1)*IF(Upgrades!$T$16="Moving Group",POWER(Upgrades!$U$16,H88),1)*IF(Upgrades!$T$17="Moving Group",POWER(Upgrades!$U$17,I88),1)*IF(Upgrades!$T$18="Moving Group",POWER(Upgrades!$U$18,J88),1)*IF(Upgrades!$T$19="Moving Group",POWER(Upgrades!$U$19,K88),1)*IF(Upgrades!$T$20="Moving Group",POWER(Upgrades!$U$20,L88),1)))*POWER(Upgrades!$Q$13,E88)*POWER(Upgrades!$Q$14,F88)*POWER(Upgrades!$Q$15,G88)*POWER(Upgrades!$Q$16,H88)*POWER(Upgrades!$Q$17,I88)*POWER(Upgrades!$Q$18,J88)*POWER(Upgrades!$Q$19,K88)*POWER(Upgrades!$Q$20,L88)*POWER(Upgrades!$Q$21,M88)*$G$6+$D$6</f>
        <v/>
      </c>
      <c r="P88" s="28">
        <f>((IF(E88=0,0,(Upgrades!$G$13+E88*Upgrades!$H$13)*POWER(Upgrades!$I$13,E88)))*(IF(Upgrades!$T$14="Stellar Kinematics",POWER(Upgrades!$U$14,F88),1)*IF(Upgrades!$T$15="Stellar Kinematics",POWER(Upgrades!$U$15,G88),1)*IF(Upgrades!$T$16="Stellar Kinematics",POWER(Upgrades!$U$16,H88),1)*IF(Upgrades!$T$17="Stellar Kinematics",POWER(Upgrades!$U$17,I88),1)*IF(Upgrades!$T$18="Stellar Kinematics",POWER(Upgrades!$U$18,J88),1)*IF(Upgrades!$T$19="Stellar Kinematics",POWER(Upgrades!$U$19,K88),1)*IF(Upgrades!$T$20="Stellar Kinematics",POWER(Upgrades!$U$20,L88),1)*IF(Upgrades!$T$21="Stellar Kinematics",POWER(Upgrades!$U$21,M88),1))+(IF(F88=0,0,(Upgrades!$G$14+F88*Upgrades!$H$14)*POWER(Upgrades!$I$14,F88)))*(IF(Upgrades!$T$13="Local Bubble",POWER(Upgrades!$U$13,E88),1)*IF(Upgrades!$T$15="Local Bubble",POWER(Upgrades!$U$15,G88),1)*IF(Upgrades!$T$16="Local Bubble",POWER(Upgrades!$U$16,H88),1)*IF(Upgrades!$T$17="Local Bubble",POWER(Upgrades!$U$17,I88),1)*IF(Upgrades!$T$18="Local Bubble",POWER(Upgrades!$U$18,J88),1)*IF(Upgrades!$T$19="Local Bubble",POWER(Upgrades!$U$19,K88),1)*IF(Upgrades!$T$20="Local Bubble",POWER(Upgrades!$U$20,L88),1)*IF(Upgrades!$T$21="Local Bubble",POWER(Upgrades!$U$21,M88),1))+(IF(G88=0,0,(Upgrades!$G$15+G88*Upgrades!$H$15)*POWER(Upgrades!$I$15,G88)))*(IF(Upgrades!$T$13="Microlensing",POWER(Upgrades!$U$13,E88),1)*IF(Upgrades!$T$14="Microlensing",POWER(Upgrades!$U$14,F88),1)*IF(Upgrades!$T$16="Microlensing",POWER(Upgrades!$U$16,H88),1)*IF(Upgrades!$T$17="Microlensing",POWER(Upgrades!$U$17,I88),1)*IF(Upgrades!$T$18="Microlensing",POWER(Upgrades!$U$18,J88),1)*IF(Upgrades!$T$19="Microlensing",POWER(Upgrades!$U$19,K88),1)*IF(Upgrades!$T$20="Microlensing",POWER(Upgrades!$U$20,L88),1)*IF(Upgrades!$T$21="Microlensing",POWER(Upgrades!$U$21,M88),1))+(IF(H88=0,0,(Upgrades!$G$16+H88*Upgrades!$H$16)*POWER(Upgrades!$I$16,H88)))*(IF(Upgrades!$T$13="Roche Lobe Overflow",POWER(Upgrades!$U$13,E88),1)*IF(Upgrades!$T$14="Roche Lobe Overflow",POWER(Upgrades!$U$14,F88),1)*IF(Upgrades!$T$15="Roche Lobe Overflow",POWER(Upgrades!$U$15,G88),1)*IF(Upgrades!$T$17="Roche Lobe Overflow",POWER(Upgrades!$U$17,I88),1)*IF(Upgrades!$T$18="Roche Lobe Overflow",POWER(Upgrades!$U$18,J88),1)*IF(Upgrades!$T$19="Roche Lobe Overflow",POWER(Upgrades!$U$19,K88),1)*IF(Upgrades!$T$20="Roche Lobe Overflow",POWER(Upgrades!$U$20,L88),1)*IF(Upgrades!$T$21="Roche Lobe Overflow",POWER(Upgrades!$U$21,M88),1))+(IF(I88=0,0,(Upgrades!$G$17+I88*Upgrades!$H$17)*POWER(Upgrades!$I$17,I88)))*(IF(Upgrades!$T$13="Brown Dwarf",POWER(Upgrades!$U$13,E88),1)*IF(Upgrades!$T$14="Brown Dwarf",POWER(Upgrades!$U$14,F88),1)*IF(Upgrades!$T$15="Brown Dwarf",POWER(Upgrades!$U$15,G88),1)*IF(Upgrades!$T$16="Brown Dwarf",POWER(Upgrades!$U$16,H88),1)*IF(Upgrades!$T$18="Brown Dwarf",POWER(Upgrades!$U$18,J88),1)*IF(Upgrades!$T$19="Brown Dwarf",POWER(Upgrades!$U$19,K88),1)*IF(Upgrades!$T$20="Brown Dwarf",POWER(Upgrades!$U$20,L88),1)*IF(Upgrades!$T$21="Brown Dwarf",POWER(Upgrades!$U$21,M88),1))+(IF(J88=0,0,(Upgrades!$G$18+J88*Upgrades!$H$18)*POWER(Upgrades!$I$18,J88)))*(IF(Upgrades!$T$13="Binary Partner",POWER(Upgrades!$U$13,E88),1)*IF(Upgrades!$T$14="Binary Partner",POWER(Upgrades!$U$14,F88),1)*IF(Upgrades!$T$15="Binary Partner",POWER(Upgrades!$U$15,G88),1)*IF(Upgrades!$T$16="Binary Partner",POWER(Upgrades!$U$16,H88),1)*IF(Upgrades!$T$17="Binary Partner",POWER(Upgrades!$U$17,I88),1)*IF(Upgrades!$T$19="Binary Partner",POWER(Upgrades!$U$19,K88),1)*IF(Upgrades!$T$20="Binary Partner",POWER(Upgrades!$U$20,L88),1)*IF(Upgrades!$T$21="Binary Partner",POWER(Upgrades!$U$21,M88),1))+(IF(K88=0,0,(Upgrades!$G$19+K88*Upgrades!$H$19)*POWER(Upgrades!$I$19,K88)))*(IF(Upgrades!$T$13="Peculiar Velocity",POWER(Upgrades!$U$13,E88),1)*IF(Upgrades!$T$14="Peculiar Velocity",POWER(Upgrades!$U$14,F88),1)*IF(Upgrades!$T$15="Peculiar Velocity",POWER(Upgrades!$U$15,G88),1)*IF(Upgrades!$T$16="Peculiar Velocity",POWER(Upgrades!$U$16,H88),1)*IF(Upgrades!$T$17="Peculiar Velocity",POWER(Upgrades!$U$17,I88),1)*IF(Upgrades!$T$18="Peculiar Velocity",POWER(Upgrades!$U$18,J88),1)*IF(Upgrades!$T$20="Peculiar Velocity",POWER(Upgrades!$U$20,L88),1)*IF(Upgrades!$T$21="Peculiar Velocity",POWER(Upgrades!$U$21,M88),1))+(IF(L88=0,0,(Upgrades!$G$20+L88*Upgrades!$H$20)*POWER(Upgrades!$I$20,L88)))*(IF(Upgrades!$T$13="Open Cluster",POWER(Upgrades!$U$13,E88),1)*IF(Upgrades!$T$14="Open Cluster",POWER(Upgrades!$U$14,F88),1)*IF(Upgrades!$T$15="Open Cluster",POWER(Upgrades!$U$15,G88),1)*IF(Upgrades!$T$16="Open Cluster",POWER(Upgrades!$U$16,H88),1)*IF(Upgrades!$T$17="Open Cluster",POWER(Upgrades!$U$17,I88),1)*IF(Upgrades!$T$18="Open Cluster",POWER(Upgrades!$U$18,J88),1)*IF(Upgrades!$T$19="Open Cluster",POWER(Upgrades!$U$19,K88),1)*IF(Upgrades!$T$21="Open Cluster",POWER(Upgrades!$U$21,M88),1))+(IF(M88=0,0,(Upgrades!$G$21+M88*Upgrades!$H$21)*POWER(Upgrades!$I$21,M88)))*(IF(Upgrades!$T$13="Moving Group",POWER(Upgrades!$U$13,E88),1)*IF(Upgrades!$T$14="Moving Group",POWER(Upgrades!$U$14,F88),1)*IF(Upgrades!$T$15="Moving Group",POWER(Upgrades!$U$15,G88),1)*IF(Upgrades!$T$16="Moving Group",POWER(Upgrades!$U$16,H88),1)*IF(Upgrades!$T$17="Moving Group",POWER(Upgrades!$U$17,I88),1)*IF(Upgrades!$T$18="Moving Group",POWER(Upgrades!$U$18,J88),1)*IF(Upgrades!$T$19="Moving Group",POWER(Upgrades!$U$19,K88),1)*IF(Upgrades!$T$20="Moving Group",POWER(Upgrades!$U$20,L88),1)))*POWER(Upgrades!$P$13,E88)*POWER(Upgrades!$P$14,F88)*POWER(Upgrades!$P$15,G88)*POWER(Upgrades!$P$16,H88)*POWER(Upgrades!$P$17,I88)*POWER(Upgrades!$P$18,J88)*POWER(Upgrades!$P$19,K88)*POWER(Upgrades!$P$20,L88)*POWER(Upgrades!$P$21,M88)*$F$6+$C$6</f>
        <v/>
      </c>
      <c r="Q88" s="28">
        <f>((IF(E88=0,0,(Upgrades!$M$13+E88*Upgrades!$N$13)*POWER(Upgrades!$O$13,E88)))*(IF(Upgrades!$T$14="Stellar Kinematics",POWER(Upgrades!$U$14,F88),1)*IF(Upgrades!$T$15="Stellar Kinematics",POWER(Upgrades!$U$15,G88),1)*IF(Upgrades!$T$16="Stellar Kinematics",POWER(Upgrades!$U$16,H88),1)*IF(Upgrades!$T$17="Stellar Kinematics",POWER(Upgrades!$U$17,I88),1)*IF(Upgrades!$T$18="Stellar Kinematics",POWER(Upgrades!$U$18,J88),1)*IF(Upgrades!$T$19="Stellar Kinematics",POWER(Upgrades!$U$19,K88),1)*IF(Upgrades!$T$20="Stellar Kinematics",POWER(Upgrades!$U$20,L88),1)*IF(Upgrades!$T$21="Stellar Kinematics",POWER(Upgrades!$U$21,M88),1))+(IF(F88=0,0,(Upgrades!$M$14+F88*Upgrades!$N$14)*POWER(Upgrades!$O$14,F88)))*(IF(Upgrades!$T$13="Local Bubble",POWER(Upgrades!$U$13,E88),1)*IF(Upgrades!$T$15="Local Bubble",POWER(Upgrades!$U$15,G88),1)*IF(Upgrades!$T$16="Local Bubble",POWER(Upgrades!$U$16,H88),1)*IF(Upgrades!$T$17="Local Bubble",POWER(Upgrades!$U$17,I88),1)*IF(Upgrades!$T$18="Local Bubble",POWER(Upgrades!$U$18,J88),1)*IF(Upgrades!$T$19="Local Bubble",POWER(Upgrades!$U$19,K88),1)*IF(Upgrades!$T$20="Local Bubble",POWER(Upgrades!$U$20,L88),1)*IF(Upgrades!$T$21="Local Bubble",POWER(Upgrades!$U$21,M88),1))+(IF(G88=0,0,(Upgrades!$M$15+G88*Upgrades!$N$15)*POWER(Upgrades!$O$15,G88)))*(IF(Upgrades!$T$13="Microlensing",POWER(Upgrades!$U$13,E88),1)*IF(Upgrades!$T$14="Microlensing",POWER(Upgrades!$U$14,F88),1)*IF(Upgrades!$T$16="Microlensing",POWER(Upgrades!$U$16,H88),1)*IF(Upgrades!$T$17="Microlensing",POWER(Upgrades!$U$17,I88),1)*IF(Upgrades!$T$18="Microlensing",POWER(Upgrades!$U$18,J88),1)*IF(Upgrades!$T$19="Microlensing",POWER(Upgrades!$U$19,K88),1)*IF(Upgrades!$T$20="Microlensing",POWER(Upgrades!$U$20,L88),1)*IF(Upgrades!$T$21="Microlensing",POWER(Upgrades!$U$21,M88),1))+(IF(H88=0,0,(Upgrades!$M$16+H88*Upgrades!$N$16)*POWER(Upgrades!$O$16,H88)))*(IF(Upgrades!$T$13="Roche Lobe Overflow",POWER(Upgrades!$U$13,E88),1)*IF(Upgrades!$T$14="Roche Lobe Overflow",POWER(Upgrades!$U$14,F88),1)*IF(Upgrades!$T$15="Roche Lobe Overflow",POWER(Upgrades!$U$15,G88),1)*IF(Upgrades!$T$17="Roche Lobe Overflow",POWER(Upgrades!$U$17,I88),1)*IF(Upgrades!$T$18="Roche Lobe Overflow",POWER(Upgrades!$U$18,J88),1)*IF(Upgrades!$T$19="Roche Lobe Overflow",POWER(Upgrades!$U$19,K88),1)*IF(Upgrades!$T$20="Roche Lobe Overflow",POWER(Upgrades!$U$20,L88),1)*IF(Upgrades!$T$21="Roche Lobe Overflow",POWER(Upgrades!$U$21,M88),1))+(IF(I88=0,0,(Upgrades!$M$17+I88*Upgrades!$N$17)*POWER(Upgrades!$O$17,I88)))*(IF(Upgrades!$T$13="Brown Dwarf",POWER(Upgrades!$U$13,E88),1)*IF(Upgrades!$T$14="Brown Dwarf",POWER(Upgrades!$U$14,F88),1)*IF(Upgrades!$T$15="Brown Dwarf",POWER(Upgrades!$U$15,G88),1)*IF(Upgrades!$T$16="Brown Dwarf",POWER(Upgrades!$U$16,H88),1)*IF(Upgrades!$T$18="Brown Dwarf",POWER(Upgrades!$U$18,J88),1)*IF(Upgrades!$T$19="Brown Dwarf",POWER(Upgrades!$U$19,K88),1)*IF(Upgrades!$T$20="Brown Dwarf",POWER(Upgrades!$U$20,L88),1)*IF(Upgrades!$T$21="Brown Dwarf",POWER(Upgrades!$U$21,M88),1))+(IF(J88=0,0,(Upgrades!$M$18+J88*Upgrades!$N$18)*POWER(Upgrades!$O$18,J88)))*(IF(Upgrades!$T$13="Binary Partner",POWER(Upgrades!$U$13,E88),1)*IF(Upgrades!$T$14="Binary Partner",POWER(Upgrades!$U$14,F88),1)*IF(Upgrades!$T$15="Binary Partner",POWER(Upgrades!$U$15,G88),1)*IF(Upgrades!$T$16="Binary Partner",POWER(Upgrades!$U$16,H88),1)*IF(Upgrades!$T$17="Binary Partner",POWER(Upgrades!$U$17,I88),1)*IF(Upgrades!$T$19="Binary Partner",POWER(Upgrades!$U$19,K88),1)*IF(Upgrades!$T$20="Binary Partner",POWER(Upgrades!$U$20,L88),1)*IF(Upgrades!$T$21="Binary Partner",POWER(Upgrades!$U$21,M88),1))+(IF(K88=0,0,(Upgrades!$M$19+K88*Upgrades!$N$19)*POWER(Upgrades!$O$19,K88)))*(IF(Upgrades!$T$13="Peculiar Velocity",POWER(Upgrades!$U$13,E88),1)*IF(Upgrades!$T$14="Peculiar Velocity",POWER(Upgrades!$U$14,F88),1)*IF(Upgrades!$T$15="Peculiar Velocity",POWER(Upgrades!$U$15,G88),1)*IF(Upgrades!$T$16="Peculiar Velocity",POWER(Upgrades!$U$16,H88),1)*IF(Upgrades!$T$17="Peculiar Velocity",POWER(Upgrades!$U$17,I88),1)*IF(Upgrades!$T$18="Peculiar Velocity",POWER(Upgrades!$U$18,J88),1)*IF(Upgrades!$T$20="Peculiar Velocity",POWER(Upgrades!$U$20,L88),1)*IF(Upgrades!$T$21="Peculiar Velocity",POWER(Upgrades!$U$21,M88),1))+(IF(L88=0,0,(Upgrades!$M$20+L88*Upgrades!$N$20)*POWER(Upgrades!$O$20,L88)))*(IF(Upgrades!$T$13="Open Cluster",POWER(Upgrades!$U$13,E88),1)*IF(Upgrades!$T$14="Open Cluster",POWER(Upgrades!$U$14,F88),1)*IF(Upgrades!$T$15="Open Cluster",POWER(Upgrades!$U$15,G88),1)*IF(Upgrades!$T$16="Open Cluster",POWER(Upgrades!$U$16,H88),1)*IF(Upgrades!$T$17="Open Cluster",POWER(Upgrades!$U$17,I88),1)*IF(Upgrades!$T$18="Open Cluster",POWER(Upgrades!$U$18,J88),1)*IF(Upgrades!$T$19="Open Cluster",POWER(Upgrades!$U$19,K88),1)*IF(Upgrades!$T$21="Open Cluster",POWER(Upgrades!$U$21,M88),1))+(IF(M88=0,0,(Upgrades!$M$21+M88*Upgrades!$N$21)*POWER(Upgrades!$O$21,M88)))*(IF(Upgrades!$T$13="Moving Group",POWER(Upgrades!$U$13,E88),1)*IF(Upgrades!$T$14="Moving Group",POWER(Upgrades!$U$14,F88),1)*IF(Upgrades!$T$15="Moving Group",POWER(Upgrades!$U$15,G88),1)*IF(Upgrades!$T$16="Moving Group",POWER(Upgrades!$U$16,H88),1)*IF(Upgrades!$T$17="Moving Group",POWER(Upgrades!$U$17,I88),1)*IF(Upgrades!$T$18="Moving Group",POWER(Upgrades!$U$18,J88),1)*IF(Upgrades!$T$19="Moving Group",POWER(Upgrades!$U$19,K88),1)*IF(Upgrades!$T$20="Moving Group",POWER(Upgrades!$U$20,L88),1)))*POWER(Upgrades!$R$13,E88)*POWER(Upgrades!$R$14,F88)*POWER(Upgrades!$R$15,G88)*POWER(Upgrades!$R$16,H88)*POWER(Upgrades!$R$17,I88)*POWER(Upgrades!$R$18,J88)*POWER(Upgrades!$R$19,K88)*POWER(Upgrades!$R$20,L88)*POWER(Upgrades!$R$21,M88)*$H$6+$E$6</f>
        <v/>
      </c>
      <c r="R88" s="27">
        <f>IF(N88=1,0,O88*Parameters!$B$10/60*Parameters!$B$11*10)</f>
        <v/>
      </c>
      <c r="S88" s="27">
        <f>IF(N88=1,0,Q88*O88*10)</f>
        <v/>
      </c>
      <c r="T88" s="27">
        <f>IF(N88=1,0,R88+S88+P88*10)</f>
        <v/>
      </c>
      <c r="U88" s="33">
        <f>BE88</f>
        <v/>
      </c>
      <c r="V88" s="22">
        <f>IF(U88="",0,IF(U88="transition",0,IF(U88="SK",AK88,IF(U88="LB",AL88,IF(U88="ML",AM88,IF(U88="RLO",AN88,IF(U88="BD",AO88,IF(U88="BiP",AP88,IF(U88="PV",AQ88,IF(U88="OC",AR88,IF(U88="MG",AS88,0))))))))))</f>
        <v/>
      </c>
      <c r="W88" s="27">
        <f>IF(U88="BiP",Upgrades!$F$18,IF(U88="PV",Upgrades!$F$19,IF(U88="OC",Upgrades!$F$20,IF(U88="MG",Upgrades!$F$21,IF(U88="transition",-Parameters!$B$18*Parameters!$B$19,0)))))</f>
        <v/>
      </c>
      <c r="X88" s="22">
        <f>C88+T88-V88</f>
        <v/>
      </c>
      <c r="Y88" s="30">
        <f>O88*Parameters!$B$10/60*Parameters!$B$11+Q88*O88+P88</f>
        <v/>
      </c>
      <c r="Z88" s="34">
        <f>IF(U88="transition","→ Tier 3 (Galactic Arm)",IF(U88="MG","Moving Group — pocket drifts together",IF(U88="OC","Open Cluster acquired",IF(U88="PV","Peculiar Velocity — passive multiplier active",IF(U88="BiP","Binary Partner — pair bond formed",IF(AND(AU88=1,N88=0,AT88&lt;&gt;1),"Cohesion ready (waiting on completionists)","")))))) </f>
        <v/>
      </c>
      <c r="AA88" s="27">
        <f>(IF(E88=0,0,(Upgrades!$G$13+E88*Upgrades!$H$13)*POWER(Upgrades!$I$13,E88)))*(IF(Upgrades!$T$14="Stellar Kinematics",POWER(Upgrades!$U$14,F88),1)*IF(Upgrades!$T$15="Stellar Kinematics",POWER(Upgrades!$U$15,G88),1)*IF(Upgrades!$T$16="Stellar Kinematics",POWER(Upgrades!$U$16,H88),1)*IF(Upgrades!$T$17="Stellar Kinematics",POWER(Upgrades!$U$17,I88),1)*IF(Upgrades!$T$18="Stellar Kinematics",POWER(Upgrades!$U$18,J88),1)*IF(Upgrades!$T$19="Stellar Kinematics",POWER(Upgrades!$U$19,K88),1)*IF(Upgrades!$T$20="Stellar Kinematics",POWER(Upgrades!$U$20,L88),1)*IF(Upgrades!$T$21="Stellar Kinematics",POWER(Upgrades!$U$21,M88),1))*POWER(Upgrades!$P$13,E88)*POWER(Upgrades!$P$14,F88)*POWER(Upgrades!$P$15,G88)*POWER(Upgrades!$P$16,H88)*POWER(Upgrades!$P$17,I88)*POWER(Upgrades!$P$18,J88)*POWER(Upgrades!$P$19,K88)*POWER(Upgrades!$P$20,L88)*POWER(Upgrades!$P$21,M88)*$F$6*60</f>
        <v/>
      </c>
      <c r="AB88" s="27">
        <f>(IF(F88=0,0,(Upgrades!$G$14+F88*Upgrades!$H$14)*POWER(Upgrades!$I$14,F88)))*(IF(Upgrades!$T$13="Local Bubble",POWER(Upgrades!$U$13,E88),1)*IF(Upgrades!$T$15="Local Bubble",POWER(Upgrades!$U$15,G88),1)*IF(Upgrades!$T$16="Local Bubble",POWER(Upgrades!$U$16,H88),1)*IF(Upgrades!$T$17="Local Bubble",POWER(Upgrades!$U$17,I88),1)*IF(Upgrades!$T$18="Local Bubble",POWER(Upgrades!$U$18,J88),1)*IF(Upgrades!$T$19="Local Bubble",POWER(Upgrades!$U$19,K88),1)*IF(Upgrades!$T$20="Local Bubble",POWER(Upgrades!$U$20,L88),1)*IF(Upgrades!$T$21="Local Bubble",POWER(Upgrades!$U$21,M88),1))*POWER(Upgrades!$P$13,E88)*POWER(Upgrades!$P$14,F88)*POWER(Upgrades!$P$15,G88)*POWER(Upgrades!$P$16,H88)*POWER(Upgrades!$P$17,I88)*POWER(Upgrades!$P$18,J88)*POWER(Upgrades!$P$19,K88)*POWER(Upgrades!$P$20,L88)*POWER(Upgrades!$P$21,M88)*$F$6*60</f>
        <v/>
      </c>
      <c r="AC88" s="27">
        <f>(IF(G88=0,0,(Upgrades!$J$15+G88*Upgrades!$K$15)*POWER(Upgrades!$L$15,G88)))*(IF(Upgrades!$T$13="Microlensing",POWER(Upgrades!$U$13,E88),1)*IF(Upgrades!$T$14="Microlensing",POWER(Upgrades!$U$14,F88),1)*IF(Upgrades!$T$16="Microlensing",POWER(Upgrades!$U$16,H88),1)*IF(Upgrades!$T$17="Microlensing",POWER(Upgrades!$U$17,I88),1)*IF(Upgrades!$T$18="Microlensing",POWER(Upgrades!$U$18,J88),1)*IF(Upgrades!$T$19="Microlensing",POWER(Upgrades!$U$19,K88),1)*IF(Upgrades!$T$20="Microlensing",POWER(Upgrades!$U$20,L88),1)*IF(Upgrades!$T$21="Microlensing",POWER(Upgrades!$U$21,M88),1))*POWER(Upgrades!$Q$13,E88)*POWER(Upgrades!$Q$14,F88)*POWER(Upgrades!$Q$15,G88)*POWER(Upgrades!$Q$16,H88)*POWER(Upgrades!$Q$17,I88)*POWER(Upgrades!$Q$18,J88)*POWER(Upgrades!$Q$19,K88)*POWER(Upgrades!$Q$20,L88)*POWER(Upgrades!$Q$21,M88)*$G$6*(Parameters!$B$10*Parameters!$B$11+Q88*60)</f>
        <v/>
      </c>
      <c r="AD88" s="27">
        <f>(IF(H88=0,0,(Upgrades!$M$16+H88*Upgrades!$N$16)*POWER(Upgrades!$O$16,H88)))*(IF(Upgrades!$T$13="Roche Lobe Overflow",POWER(Upgrades!$U$13,E88),1)*IF(Upgrades!$T$14="Roche Lobe Overflow",POWER(Upgrades!$U$14,F88),1)*IF(Upgrades!$T$15="Roche Lobe Overflow",POWER(Upgrades!$U$15,G88),1)*IF(Upgrades!$T$17="Roche Lobe Overflow",POWER(Upgrades!$U$17,I88),1)*IF(Upgrades!$T$18="Roche Lobe Overflow",POWER(Upgrades!$U$18,J88),1)*IF(Upgrades!$T$19="Roche Lobe Overflow",POWER(Upgrades!$U$19,K88),1)*IF(Upgrades!$T$20="Roche Lobe Overflow",POWER(Upgrades!$U$20,L88),1)*IF(Upgrades!$T$21="Roche Lobe Overflow",POWER(Upgrades!$U$21,M88),1))*POWER(Upgrades!$R$13,E88)*POWER(Upgrades!$R$14,F88)*POWER(Upgrades!$R$15,G88)*POWER(Upgrades!$R$16,H88)*POWER(Upgrades!$R$17,I88)*POWER(Upgrades!$R$18,J88)*POWER(Upgrades!$R$19,K88)*POWER(Upgrades!$R$20,L88)*POWER(Upgrades!$R$21,M88)*$H$6*O88*60</f>
        <v/>
      </c>
      <c r="AE88" s="27">
        <f>(IF(I88=0,0,(Upgrades!$G$17+I88*Upgrades!$H$17)*POWER(Upgrades!$I$17,I88)))*(IF(Upgrades!$T$13="Brown Dwarf",POWER(Upgrades!$U$13,E88),1)*IF(Upgrades!$T$14="Brown Dwarf",POWER(Upgrades!$U$14,F88),1)*IF(Upgrades!$T$15="Brown Dwarf",POWER(Upgrades!$U$15,G88),1)*IF(Upgrades!$T$16="Brown Dwarf",POWER(Upgrades!$U$16,H88),1)*IF(Upgrades!$T$18="Brown Dwarf",POWER(Upgrades!$U$18,J88),1)*IF(Upgrades!$T$19="Brown Dwarf",POWER(Upgrades!$U$19,K88),1)*IF(Upgrades!$T$20="Brown Dwarf",POWER(Upgrades!$U$20,L88),1)*IF(Upgrades!$T$21="Brown Dwarf",POWER(Upgrades!$U$21,M88),1))*POWER(Upgrades!$P$13,E88)*POWER(Upgrades!$P$14,F88)*POWER(Upgrades!$P$15,G88)*POWER(Upgrades!$P$16,H88)*POWER(Upgrades!$P$17,I88)*POWER(Upgrades!$P$18,J88)*POWER(Upgrades!$P$19,K88)*POWER(Upgrades!$P$20,L88)*POWER(Upgrades!$P$21,M88)*$F$6*60</f>
        <v/>
      </c>
      <c r="AF88" s="27" t="n">
        <v>0</v>
      </c>
      <c r="AG88" s="27" t="n">
        <v>0</v>
      </c>
      <c r="AH88" s="27" t="n">
        <v>0</v>
      </c>
      <c r="AI88" s="27">
        <f>(IF(M88=0,0,(Upgrades!$G$21+M88*Upgrades!$H$21)*POWER(Upgrades!$I$21,M88)))*(IF(Upgrades!$T$13="Moving Group",POWER(Upgrades!$U$13,E88),1)*IF(Upgrades!$T$14="Moving Group",POWER(Upgrades!$U$14,F88),1)*IF(Upgrades!$T$15="Moving Group",POWER(Upgrades!$U$15,G88),1)*IF(Upgrades!$T$16="Moving Group",POWER(Upgrades!$U$16,H88),1)*IF(Upgrades!$T$17="Moving Group",POWER(Upgrades!$U$17,I88),1)*IF(Upgrades!$T$18="Moving Group",POWER(Upgrades!$U$18,J88),1)*IF(Upgrades!$T$19="Moving Group",POWER(Upgrades!$U$19,K88),1)*IF(Upgrades!$T$20="Moving Group",POWER(Upgrades!$U$20,L88),1))*POWER(Upgrades!$P$13,E88)*POWER(Upgrades!$P$14,F88)*POWER(Upgrades!$P$15,G88)*POWER(Upgrades!$P$16,H88)*POWER(Upgrades!$P$17,I88)*POWER(Upgrades!$P$18,J88)*POWER(Upgrades!$P$19,K88)*POWER(Upgrades!$P$20,L88)*POWER(Upgrades!$P$21,M88)*$F$6*60</f>
        <v/>
      </c>
      <c r="AJ88" s="27">
        <f>$C$6*60</f>
        <v/>
      </c>
      <c r="AK88" s="22">
        <f>IF(E88&gt;=Upgrades!$E$13,"",Upgrades!$C$13*POWER(Upgrades!$D$13,E88))</f>
        <v/>
      </c>
      <c r="AL88" s="22">
        <f>IF(F88&gt;=Upgrades!$E$14,"",Upgrades!$C$14*POWER(Upgrades!$D$14,F88))</f>
        <v/>
      </c>
      <c r="AM88" s="22">
        <f>IF(G88&gt;=Upgrades!$E$15,"",Upgrades!$C$15*POWER(Upgrades!$D$15,G88))</f>
        <v/>
      </c>
      <c r="AN88" s="22">
        <f>IF(H88&gt;=Upgrades!$E$16,"",Upgrades!$C$16*POWER(Upgrades!$D$16,H88))</f>
        <v/>
      </c>
      <c r="AO88" s="22">
        <f>IF(I88&gt;=Upgrades!$E$17,"",Upgrades!$C$17*POWER(Upgrades!$D$17,I88))</f>
        <v/>
      </c>
      <c r="AP88" s="22">
        <f>IF(J88&gt;=Upgrades!$E$18,"",Upgrades!$C$18*POWER(Upgrades!$D$18,J88))</f>
        <v/>
      </c>
      <c r="AQ88" s="22">
        <f>IF(K88&gt;=Upgrades!$E$19,"",Upgrades!$C$19*POWER(Upgrades!$D$19,K88))</f>
        <v/>
      </c>
      <c r="AR88" s="22">
        <f>IF(L88&gt;=Upgrades!$E$20,"",Upgrades!$C$20*POWER(Upgrades!$D$20,L88))</f>
        <v/>
      </c>
      <c r="AS88" s="22">
        <f>IF(M88&gt;=Upgrades!$E$21,"",Upgrades!$C$21*POWER(Upgrades!$D$21,M88))</f>
        <v/>
      </c>
      <c r="AT88" s="26">
        <f>IF(AND(D88&gt;=Parameters!$B$18*Parameters!$B$19,(I88&gt;=Upgrades!$E$17)*(M88&gt;=Upgrades!$E$21)=1,N88=0),1,"")</f>
        <v/>
      </c>
      <c r="AU88" s="26">
        <f>IF(AND(D88&gt;=Parameters!$B$18*Parameters!$B$19,N88=0),1,"")</f>
        <v/>
      </c>
      <c r="AV88" s="22">
        <f>MIN(IF(ISNUMBER(AP88),AP88,9E15),IF(ISNUMBER(AQ88),AQ88,9E15),IF(ISNUMBER(AR88),AR88,9E15),IF(ISNUMBER(AS88),AS88,9E15))</f>
        <v/>
      </c>
      <c r="AW88" s="22">
        <f>MIN(IF(ISNUMBER(AK88),AK88,9E15),IF(ISNUMBER(AL88),AL88,9E15),IF(ISNUMBER(AM88),AM88,9E15),IF(ISNUMBER(AN88),AN88,9E15),IF(ISNUMBER(AO88),AO88,9E15))</f>
        <v/>
      </c>
      <c r="AX88" s="29">
        <f>IF(BD88&gt;Parameters!$B$21*(MAX(IF(AND(NOT(AND(AU88=1,AT88&lt;&gt;1)),ISNUMBER(AK88),AK88&lt;=(C88+T88)),AY88,0),IF(AND(NOT(AND(AU88=1,AT88&lt;&gt;1)),ISNUMBER(AL88),AL88&lt;=(C88+T88)),AZ88,0),IF(AND(NOT(AND(AU88=1,AT88&lt;&gt;1)),ISNUMBER(AM88),AM88&lt;=(C88+T88)),BA88,0),IF(AND(NOT(AND(AU88=1,AT88&lt;&gt;1)),ISNUMBER(AN88),AN88&lt;=(C88+T88)),BB88,0),IF(AND(ISNUMBER(AO88),AO88&lt;=(C88+T88)),BC88,0))),TRUE,FALSE)</f>
        <v/>
      </c>
      <c r="AY88" s="32">
        <f>IFERROR(Upgrades!$H$13*(POWER(Upgrades!$P$13,E88)*POWER(Upgrades!$P$14,F88)*POWER(Upgrades!$P$15,G88)*POWER(Upgrades!$P$16,H88)*POWER(Upgrades!$P$17,I88)*POWER(Upgrades!$P$18,J88)*POWER(Upgrades!$P$19,K88)*POWER(Upgrades!$P$20,L88)*POWER(Upgrades!$P$21,M88))*(IF(Upgrades!$T$14="Stellar Kinematics",POWER(Upgrades!$U$14,F88),1)*IF(Upgrades!$T$15="Stellar Kinematics",POWER(Upgrades!$U$15,G88),1)*IF(Upgrades!$T$16="Stellar Kinematics",POWER(Upgrades!$U$16,H88),1)*IF(Upgrades!$T$17="Stellar Kinematics",POWER(Upgrades!$U$17,I88),1)*IF(Upgrades!$T$18="Stellar Kinematics",POWER(Upgrades!$U$18,J88),1)*IF(Upgrades!$T$19="Stellar Kinematics",POWER(Upgrades!$U$19,K88),1)*IF(Upgrades!$T$20="Stellar Kinematics",POWER(Upgrades!$U$20,L88),1)*IF(Upgrades!$T$21="Stellar Kinematics",POWER(Upgrades!$U$21,M88),1))*$F$6/AK88,0)</f>
        <v/>
      </c>
      <c r="AZ88" s="32">
        <f>IFERROR(Upgrades!$H$14*(POWER(Upgrades!$P$13,E88)*POWER(Upgrades!$P$14,F88)*POWER(Upgrades!$P$15,G88)*POWER(Upgrades!$P$16,H88)*POWER(Upgrades!$P$17,I88)*POWER(Upgrades!$P$18,J88)*POWER(Upgrades!$P$19,K88)*POWER(Upgrades!$P$20,L88)*POWER(Upgrades!$P$21,M88))*(IF(Upgrades!$T$13="Local Bubble",POWER(Upgrades!$U$13,E88),1)*IF(Upgrades!$T$15="Local Bubble",POWER(Upgrades!$U$15,G88),1)*IF(Upgrades!$T$16="Local Bubble",POWER(Upgrades!$U$16,H88),1)*IF(Upgrades!$T$17="Local Bubble",POWER(Upgrades!$U$17,I88),1)*IF(Upgrades!$T$18="Local Bubble",POWER(Upgrades!$U$18,J88),1)*IF(Upgrades!$T$19="Local Bubble",POWER(Upgrades!$U$19,K88),1)*IF(Upgrades!$T$20="Local Bubble",POWER(Upgrades!$U$20,L88),1)*IF(Upgrades!$T$21="Local Bubble",POWER(Upgrades!$U$21,M88),1))*$F$6/AL88,0)</f>
        <v/>
      </c>
      <c r="BA88" s="32">
        <f>IFERROR(Upgrades!$K$15*(POWER(Upgrades!$Q$13,E88)*POWER(Upgrades!$Q$14,F88)*POWER(Upgrades!$Q$15,G88)*POWER(Upgrades!$Q$16,H88)*POWER(Upgrades!$Q$17,I88)*POWER(Upgrades!$Q$18,J88)*POWER(Upgrades!$Q$19,K88)*POWER(Upgrades!$Q$20,L88)*POWER(Upgrades!$Q$21,M88))*(IF(Upgrades!$T$13="Microlensing",POWER(Upgrades!$U$13,E88),1)*IF(Upgrades!$T$14="Microlensing",POWER(Upgrades!$U$14,F88),1)*IF(Upgrades!$T$16="Microlensing",POWER(Upgrades!$U$16,H88),1)*IF(Upgrades!$T$17="Microlensing",POWER(Upgrades!$U$17,I88),1)*IF(Upgrades!$T$18="Microlensing",POWER(Upgrades!$U$18,J88),1)*IF(Upgrades!$T$19="Microlensing",POWER(Upgrades!$U$19,K88),1)*IF(Upgrades!$T$20="Microlensing",POWER(Upgrades!$U$20,L88),1)*IF(Upgrades!$T$21="Microlensing",POWER(Upgrades!$U$21,M88),1))*$G$6*(Parameters!$B$10/60*Parameters!$B$11+Q88)/AM88,0)</f>
        <v/>
      </c>
      <c r="BB88" s="32">
        <f>IFERROR((Upgrades!$N$16*(POWER(Upgrades!$R$13,E88)*POWER(Upgrades!$R$14,F88)*POWER(Upgrades!$R$15,G88)*POWER(Upgrades!$R$16,H88)*POWER(Upgrades!$R$17,I88)*POWER(Upgrades!$R$18,J88)*POWER(Upgrades!$R$19,K88)*POWER(Upgrades!$R$20,L88)*POWER(Upgrades!$R$21,M88))*(IF(Upgrades!$T$13="Roche Lobe Overflow",POWER(Upgrades!$U$13,E88),1)*IF(Upgrades!$T$14="Roche Lobe Overflow",POWER(Upgrades!$U$14,F88),1)*IF(Upgrades!$T$15="Roche Lobe Overflow",POWER(Upgrades!$U$15,G88),1)*IF(Upgrades!$T$17="Roche Lobe Overflow",POWER(Upgrades!$U$17,I88),1)*IF(Upgrades!$T$18="Roche Lobe Overflow",POWER(Upgrades!$U$18,J88),1)*IF(Upgrades!$T$19="Roche Lobe Overflow",POWER(Upgrades!$U$19,K88),1)*IF(Upgrades!$T$20="Roche Lobe Overflow",POWER(Upgrades!$U$20,L88),1)*IF(Upgrades!$T$21="Roche Lobe Overflow",POWER(Upgrades!$U$21,M88),1))*$H$6*O88+((IF(F88=0,0,(Upgrades!$G$14+F88*Upgrades!$H$14)*POWER(Upgrades!$I$14,F88)))*(IF(Upgrades!$T$13="Local Bubble",POWER(Upgrades!$U$13,E88),1)*IF(Upgrades!$T$15="Local Bubble",POWER(Upgrades!$U$15,G88),1)*IF(Upgrades!$T$16="Local Bubble",POWER(Upgrades!$U$16,H88),1)*IF(Upgrades!$T$17="Local Bubble",POWER(Upgrades!$U$17,I88),1)*IF(Upgrades!$T$18="Local Bubble",POWER(Upgrades!$U$18,J88),1)*IF(Upgrades!$T$19="Local Bubble",POWER(Upgrades!$U$19,K88),1)*IF(Upgrades!$T$20="Local Bubble",POWER(Upgrades!$U$20,L88),1)*IF(Upgrades!$T$21="Local Bubble",POWER(Upgrades!$U$21,M88),1))*POWER(Upgrades!$P$13,E88)*POWER(Upgrades!$P$14,F88)*POWER(Upgrades!$P$15,G88)*POWER(Upgrades!$P$16,H88)*POWER(Upgrades!$P$17,I88)*POWER(Upgrades!$P$18,J88)*POWER(Upgrades!$P$19,K88)*POWER(Upgrades!$P$20,L88)*POWER(Upgrades!$P$21,M88)*$F$6)*0.05)/AN88,0)</f>
        <v/>
      </c>
      <c r="BC88" s="32">
        <f>IFERROR((Upgrades!$H$17*(POWER(Upgrades!$P$13,E88)*POWER(Upgrades!$P$14,F88)*POWER(Upgrades!$P$15,G88)*POWER(Upgrades!$P$16,H88)*POWER(Upgrades!$P$17,I88)*POWER(Upgrades!$P$18,J88)*POWER(Upgrades!$P$19,K88)*POWER(Upgrades!$P$20,L88)*POWER(Upgrades!$P$21,M88))*(IF(Upgrades!$T$13="Brown Dwarf",POWER(Upgrades!$U$13,E88),1)*IF(Upgrades!$T$14="Brown Dwarf",POWER(Upgrades!$U$14,F88),1)*IF(Upgrades!$T$15="Brown Dwarf",POWER(Upgrades!$U$15,G88),1)*IF(Upgrades!$T$16="Brown Dwarf",POWER(Upgrades!$U$16,H88),1)*IF(Upgrades!$T$18="Brown Dwarf",POWER(Upgrades!$U$18,J88),1)*IF(Upgrades!$T$19="Brown Dwarf",POWER(Upgrades!$U$19,K88),1)*IF(Upgrades!$T$20="Brown Dwarf",POWER(Upgrades!$U$20,L88),1)*IF(Upgrades!$T$21="Brown Dwarf",POWER(Upgrades!$U$21,M88),1))*$F$6+(((IF(H88=0,0,(Upgrades!$M$16+H88*Upgrades!$N$16)*POWER(Upgrades!$O$16,H88)))*(IF(Upgrades!$T$13="Roche Lobe Overflow",POWER(Upgrades!$U$13,E88),1)*IF(Upgrades!$T$14="Roche Lobe Overflow",POWER(Upgrades!$U$14,F88),1)*IF(Upgrades!$T$15="Roche Lobe Overflow",POWER(Upgrades!$U$15,G88),1)*IF(Upgrades!$T$17="Roche Lobe Overflow",POWER(Upgrades!$U$17,I88),1)*IF(Upgrades!$T$18="Roche Lobe Overflow",POWER(Upgrades!$U$18,J88),1)*IF(Upgrades!$T$19="Roche Lobe Overflow",POWER(Upgrades!$U$19,K88),1)*IF(Upgrades!$T$20="Roche Lobe Overflow",POWER(Upgrades!$U$20,L88),1)*IF(Upgrades!$T$21="Roche Lobe Overflow",POWER(Upgrades!$U$21,M88),1))*POWER(Upgrades!$R$13,E88)*POWER(Upgrades!$R$14,F88)*POWER(Upgrades!$R$15,G88)*POWER(Upgrades!$R$16,H88)*POWER(Upgrades!$R$17,I88)*POWER(Upgrades!$R$18,J88)*POWER(Upgrades!$R$19,K88)*POWER(Upgrades!$R$20,L88)*POWER(Upgrades!$R$21,M88)*$H$6)*O88)*0.10)/AO88,0)</f>
        <v/>
      </c>
      <c r="BD88" s="32">
        <f>MAX(IF(J88&gt;0,0,IFERROR(0.5*((IF(G88=0,0,(Upgrades!$J$15+G88*Upgrades!$K$15)*POWER(Upgrades!$L$15,G88)))*(IF(Upgrades!$T$13="Microlensing",POWER(Upgrades!$U$13,E88),1)*IF(Upgrades!$T$14="Microlensing",POWER(Upgrades!$U$14,F88),1)*IF(Upgrades!$T$16="Microlensing",POWER(Upgrades!$U$16,H88),1)*IF(Upgrades!$T$17="Microlensing",POWER(Upgrades!$U$17,I88),1)*IF(Upgrades!$T$18="Microlensing",POWER(Upgrades!$U$18,J88),1)*IF(Upgrades!$T$19="Microlensing",POWER(Upgrades!$U$19,K88),1)*IF(Upgrades!$T$20="Microlensing",POWER(Upgrades!$U$20,L88),1)*IF(Upgrades!$T$21="Microlensing",POWER(Upgrades!$U$21,M88),1))*(POWER(Upgrades!$Q$13,E88)*POWER(Upgrades!$Q$14,F88)*POWER(Upgrades!$Q$15,G88)*POWER(Upgrades!$Q$16,H88)*POWER(Upgrades!$Q$17,I88)*POWER(Upgrades!$Q$18,J88)*POWER(Upgrades!$Q$19,K88)*POWER(Upgrades!$Q$20,L88)*POWER(Upgrades!$Q$21,M88))*$G$6*(Parameters!$B$10/60*Parameters!$B$11+Q88))/Upgrades!$C$18,0)),IF(K88&gt;0,0,IFERROR(0.30*P88/Upgrades!$C$19,0)),IF(L88&gt;0,0,IFERROR(0.0001/Upgrades!$C$20,0)),IF(M88&gt;0,0,IFERROR((6.0*(POWER(Upgrades!$P$13,E88)*POWER(Upgrades!$P$14,F88)*POWER(Upgrades!$P$15,G88)*POWER(Upgrades!$P$16,H88)*POWER(Upgrades!$P$17,I88)*POWER(Upgrades!$P$18,J88)*POWER(Upgrades!$P$19,K88)*POWER(Upgrades!$P$20,L88)*POWER(Upgrades!$P$21,M88))*$F$6+0.20*O88*(Parameters!$B$10/60*Parameters!$B$11+Q88))/Upgrades!$C$21,0)),IF(AND(ISNUMBER(AK88),AK88&gt;(C88+T88)),AY88,0),IF(AND(ISNUMBER(AL88),AL88&gt;(C88+T88)),AZ88,0),IF(AND(ISNUMBER(AM88),AM88&gt;(C88+T88)),BA88,0),IF(AND(ISNUMBER(AN88),AN88&gt;(C88+T88)),BB88,0),IF(AND(ISNUMBER(AO88),AO88&gt;(C88+T88)),BC88,0))</f>
        <v/>
      </c>
      <c r="BE88" s="29">
        <f>IF(AT88=1,"transition",IF(MIN(IF(AND(J88=0,ISNUMBER(AP88),AP88&lt;=(C88+T88)),AP88,9E15),IF(AND(K88=0,ISNUMBER(AQ88),AQ88&lt;=(C88+T88)),AQ88,9E15),IF(AND(L88=0,ISNUMBER(AR88),AR88&lt;=(C88+T88)),AR88,9E15),IF(AND(M88=0,ISNUMBER(AS88),AS88&lt;=(C88+T88)),AS88,9E15))&lt;9E15,IF(AND(AND(J88=0,ISNUMBER(AP88),AP88&lt;=(C88+T88)),AP88=MIN(IF(AND(J88=0,ISNUMBER(AP88),AP88&lt;=(C88+T88)),AP88,9E15),IF(AND(K88=0,ISNUMBER(AQ88),AQ88&lt;=(C88+T88)),AQ88,9E15),IF(AND(L88=0,ISNUMBER(AR88),AR88&lt;=(C88+T88)),AR88,9E15),IF(AND(M88=0,ISNUMBER(AS88),AS88&lt;=(C88+T88)),AS88,9E15))),"BiP",IF(AND(AND(K88=0,ISNUMBER(AQ88),AQ88&lt;=(C88+T88)),AQ88=MIN(IF(AND(J88=0,ISNUMBER(AP88),AP88&lt;=(C88+T88)),AP88,9E15),IF(AND(K88=0,ISNUMBER(AQ88),AQ88&lt;=(C88+T88)),AQ88,9E15),IF(AND(L88=0,ISNUMBER(AR88),AR88&lt;=(C88+T88)),AR88,9E15),IF(AND(M88=0,ISNUMBER(AS88),AS88&lt;=(C88+T88)),AS88,9E15))),"PV",IF(AND(AND(L88=0,ISNUMBER(AR88),AR88&lt;=(C88+T88)),AR88=MIN(IF(AND(J88=0,ISNUMBER(AP88),AP88&lt;=(C88+T88)),AP88,9E15),IF(AND(K88=0,ISNUMBER(AQ88),AQ88&lt;=(C88+T88)),AQ88,9E15),IF(AND(L88=0,ISNUMBER(AR88),AR88&lt;=(C88+T88)),AR88,9E15),IF(AND(M88=0,ISNUMBER(AS88),AS88&lt;=(C88+T88)),AS88,9E15))),"OC","MG"))),IF(AX88=TRUE,"",IF(MAX(IF(AND(NOT(AND(AU88=1,AT88&lt;&gt;1)),ISNUMBER(AK88),AK88&lt;=(C88+T88)),AY88,0),IF(AND(NOT(AND(AU88=1,AT88&lt;&gt;1)),ISNUMBER(AL88),AL88&lt;=(C88+T88)),AZ88,0),IF(AND(NOT(AND(AU88=1,AT88&lt;&gt;1)),ISNUMBER(AM88),AM88&lt;=(C88+T88)),BA88,0),IF(AND(NOT(AND(AU88=1,AT88&lt;&gt;1)),ISNUMBER(AN88),AN88&lt;=(C88+T88)),BB88,0),IF(AND(ISNUMBER(AO88),AO88&lt;=(C88+T88)),BC88,0))&lt;=0,"",IF(AND(IF(AND(NOT(AND(AU88=1,AT88&lt;&gt;1)),ISNUMBER(AK88),AK88&lt;=(C88+T88)),AY88,0)&gt;0,IF(AND(NOT(AND(AU88=1,AT88&lt;&gt;1)),ISNUMBER(AK88),AK88&lt;=(C88+T88)),AY88,0)=MAX(IF(AND(NOT(AND(AU88=1,AT88&lt;&gt;1)),ISNUMBER(AK88),AK88&lt;=(C88+T88)),AY88,0),IF(AND(NOT(AND(AU88=1,AT88&lt;&gt;1)),ISNUMBER(AL88),AL88&lt;=(C88+T88)),AZ88,0),IF(AND(NOT(AND(AU88=1,AT88&lt;&gt;1)),ISNUMBER(AM88),AM88&lt;=(C88+T88)),BA88,0),IF(AND(NOT(AND(AU88=1,AT88&lt;&gt;1)),ISNUMBER(AN88),AN88&lt;=(C88+T88)),BB88,0),IF(AND(ISNUMBER(AO88),AO88&lt;=(C88+T88)),BC88,0))),"SK",IF(AND(IF(AND(NOT(AND(AU88=1,AT88&lt;&gt;1)),ISNUMBER(AL88),AL88&lt;=(C88+T88)),AZ88,0)&gt;0,IF(AND(NOT(AND(AU88=1,AT88&lt;&gt;1)),ISNUMBER(AL88),AL88&lt;=(C88+T88)),AZ88,0)=MAX(IF(AND(NOT(AND(AU88=1,AT88&lt;&gt;1)),ISNUMBER(AK88),AK88&lt;=(C88+T88)),AY88,0),IF(AND(NOT(AND(AU88=1,AT88&lt;&gt;1)),ISNUMBER(AL88),AL88&lt;=(C88+T88)),AZ88,0),IF(AND(NOT(AND(AU88=1,AT88&lt;&gt;1)),ISNUMBER(AM88),AM88&lt;=(C88+T88)),BA88,0),IF(AND(NOT(AND(AU88=1,AT88&lt;&gt;1)),ISNUMBER(AN88),AN88&lt;=(C88+T88)),BB88,0),IF(AND(ISNUMBER(AO88),AO88&lt;=(C88+T88)),BC88,0))),"LB",IF(AND(IF(AND(NOT(AND(AU88=1,AT88&lt;&gt;1)),ISNUMBER(AM88),AM88&lt;=(C88+T88)),BA88,0)&gt;0,IF(AND(NOT(AND(AU88=1,AT88&lt;&gt;1)),ISNUMBER(AM88),AM88&lt;=(C88+T88)),BA88,0)=MAX(IF(AND(NOT(AND(AU88=1,AT88&lt;&gt;1)),ISNUMBER(AK88),AK88&lt;=(C88+T88)),AY88,0),IF(AND(NOT(AND(AU88=1,AT88&lt;&gt;1)),ISNUMBER(AL88),AL88&lt;=(C88+T88)),AZ88,0),IF(AND(NOT(AND(AU88=1,AT88&lt;&gt;1)),ISNUMBER(AM88),AM88&lt;=(C88+T88)),BA88,0),IF(AND(NOT(AND(AU88=1,AT88&lt;&gt;1)),ISNUMBER(AN88),AN88&lt;=(C88+T88)),BB88,0),IF(AND(ISNUMBER(AO88),AO88&lt;=(C88+T88)),BC88,0))),"ML",IF(AND(IF(AND(NOT(AND(AU88=1,AT88&lt;&gt;1)),ISNUMBER(AN88),AN88&lt;=(C88+T88)),BB88,0)&gt;0,IF(AND(NOT(AND(AU88=1,AT88&lt;&gt;1)),ISNUMBER(AN88),AN88&lt;=(C88+T88)),BB88,0)=MAX(IF(AND(NOT(AND(AU88=1,AT88&lt;&gt;1)),ISNUMBER(AK88),AK88&lt;=(C88+T88)),AY88,0),IF(AND(NOT(AND(AU88=1,AT88&lt;&gt;1)),ISNUMBER(AL88),AL88&lt;=(C88+T88)),AZ88,0),IF(AND(NOT(AND(AU88=1,AT88&lt;&gt;1)),ISNUMBER(AM88),AM88&lt;=(C88+T88)),BA88,0),IF(AND(NOT(AND(AU88=1,AT88&lt;&gt;1)),ISNUMBER(AN88),AN88&lt;=(C88+T88)),BB88,0),IF(AND(ISNUMBER(AO88),AO88&lt;=(C88+T88)),BC88,0))),"RLO","BD"))))))))</f>
        <v/>
      </c>
    </row>
    <row r="89">
      <c r="A89" s="26" t="n">
        <v>78</v>
      </c>
      <c r="B89" s="27">
        <f>A89*10/60</f>
        <v/>
      </c>
      <c r="C89" s="22">
        <f>X88</f>
        <v/>
      </c>
      <c r="D89" s="27">
        <f>D88+W88</f>
        <v/>
      </c>
      <c r="E89" s="26">
        <f>E88+IF(U88="SK",1,0)</f>
        <v/>
      </c>
      <c r="F89" s="26">
        <f>F88+IF(U88="LB",1,0)</f>
        <v/>
      </c>
      <c r="G89" s="26">
        <f>G88+IF(U88="ML",1,0)</f>
        <v/>
      </c>
      <c r="H89" s="26">
        <f>H88+IF(U88="RLO",1,0)</f>
        <v/>
      </c>
      <c r="I89" s="26">
        <f>I88+IF(U88="BD",1,0)</f>
        <v/>
      </c>
      <c r="J89" s="26">
        <f>MAX(J88,IF(U88="BiP",1,0))</f>
        <v/>
      </c>
      <c r="K89" s="26">
        <f>MAX(K88,IF(U88="PV",1,0))</f>
        <v/>
      </c>
      <c r="L89" s="26">
        <f>MAX(L88,IF(U88="OC",1,0))</f>
        <v/>
      </c>
      <c r="M89" s="26">
        <f>MAX(M88,IF(U88="MG",1,0))</f>
        <v/>
      </c>
      <c r="N89" s="26">
        <f>MAX(N88,IF(U88="transition",1,0))</f>
        <v/>
      </c>
      <c r="O89" s="28">
        <f>(Parameters!$B$9+(IF(E89=0,0,(Upgrades!$J$13+E89*Upgrades!$K$13)*POWER(Upgrades!$L$13,E89)))*(IF(Upgrades!$T$14="Stellar Kinematics",POWER(Upgrades!$U$14,F89),1)*IF(Upgrades!$T$15="Stellar Kinematics",POWER(Upgrades!$U$15,G89),1)*IF(Upgrades!$T$16="Stellar Kinematics",POWER(Upgrades!$U$16,H89),1)*IF(Upgrades!$T$17="Stellar Kinematics",POWER(Upgrades!$U$17,I89),1)*IF(Upgrades!$T$18="Stellar Kinematics",POWER(Upgrades!$U$18,J89),1)*IF(Upgrades!$T$19="Stellar Kinematics",POWER(Upgrades!$U$19,K89),1)*IF(Upgrades!$T$20="Stellar Kinematics",POWER(Upgrades!$U$20,L89),1)*IF(Upgrades!$T$21="Stellar Kinematics",POWER(Upgrades!$U$21,M89),1))+(IF(F89=0,0,(Upgrades!$J$14+F89*Upgrades!$K$14)*POWER(Upgrades!$L$14,F89)))*(IF(Upgrades!$T$13="Local Bubble",POWER(Upgrades!$U$13,E89),1)*IF(Upgrades!$T$15="Local Bubble",POWER(Upgrades!$U$15,G89),1)*IF(Upgrades!$T$16="Local Bubble",POWER(Upgrades!$U$16,H89),1)*IF(Upgrades!$T$17="Local Bubble",POWER(Upgrades!$U$17,I89),1)*IF(Upgrades!$T$18="Local Bubble",POWER(Upgrades!$U$18,J89),1)*IF(Upgrades!$T$19="Local Bubble",POWER(Upgrades!$U$19,K89),1)*IF(Upgrades!$T$20="Local Bubble",POWER(Upgrades!$U$20,L89),1)*IF(Upgrades!$T$21="Local Bubble",POWER(Upgrades!$U$21,M89),1))+(IF(G89=0,0,(Upgrades!$J$15+G89*Upgrades!$K$15)*POWER(Upgrades!$L$15,G89)))*(IF(Upgrades!$T$13="Microlensing",POWER(Upgrades!$U$13,E89),1)*IF(Upgrades!$T$14="Microlensing",POWER(Upgrades!$U$14,F89),1)*IF(Upgrades!$T$16="Microlensing",POWER(Upgrades!$U$16,H89),1)*IF(Upgrades!$T$17="Microlensing",POWER(Upgrades!$U$17,I89),1)*IF(Upgrades!$T$18="Microlensing",POWER(Upgrades!$U$18,J89),1)*IF(Upgrades!$T$19="Microlensing",POWER(Upgrades!$U$19,K89),1)*IF(Upgrades!$T$20="Microlensing",POWER(Upgrades!$U$20,L89),1)*IF(Upgrades!$T$21="Microlensing",POWER(Upgrades!$U$21,M89),1))+(IF(H89=0,0,(Upgrades!$J$16+H89*Upgrades!$K$16)*POWER(Upgrades!$L$16,H89)))*(IF(Upgrades!$T$13="Roche Lobe Overflow",POWER(Upgrades!$U$13,E89),1)*IF(Upgrades!$T$14="Roche Lobe Overflow",POWER(Upgrades!$U$14,F89),1)*IF(Upgrades!$T$15="Roche Lobe Overflow",POWER(Upgrades!$U$15,G89),1)*IF(Upgrades!$T$17="Roche Lobe Overflow",POWER(Upgrades!$U$17,I89),1)*IF(Upgrades!$T$18="Roche Lobe Overflow",POWER(Upgrades!$U$18,J89),1)*IF(Upgrades!$T$19="Roche Lobe Overflow",POWER(Upgrades!$U$19,K89),1)*IF(Upgrades!$T$20="Roche Lobe Overflow",POWER(Upgrades!$U$20,L89),1)*IF(Upgrades!$T$21="Roche Lobe Overflow",POWER(Upgrades!$U$21,M89),1))+(IF(I89=0,0,(Upgrades!$J$17+I89*Upgrades!$K$17)*POWER(Upgrades!$L$17,I89)))*(IF(Upgrades!$T$13="Brown Dwarf",POWER(Upgrades!$U$13,E89),1)*IF(Upgrades!$T$14="Brown Dwarf",POWER(Upgrades!$U$14,F89),1)*IF(Upgrades!$T$15="Brown Dwarf",POWER(Upgrades!$U$15,G89),1)*IF(Upgrades!$T$16="Brown Dwarf",POWER(Upgrades!$U$16,H89),1)*IF(Upgrades!$T$18="Brown Dwarf",POWER(Upgrades!$U$18,J89),1)*IF(Upgrades!$T$19="Brown Dwarf",POWER(Upgrades!$U$19,K89),1)*IF(Upgrades!$T$20="Brown Dwarf",POWER(Upgrades!$U$20,L89),1)*IF(Upgrades!$T$21="Brown Dwarf",POWER(Upgrades!$U$21,M89),1))+(IF(J89=0,0,(Upgrades!$J$18+J89*Upgrades!$K$18)*POWER(Upgrades!$L$18,J89)))*(IF(Upgrades!$T$13="Binary Partner",POWER(Upgrades!$U$13,E89),1)*IF(Upgrades!$T$14="Binary Partner",POWER(Upgrades!$U$14,F89),1)*IF(Upgrades!$T$15="Binary Partner",POWER(Upgrades!$U$15,G89),1)*IF(Upgrades!$T$16="Binary Partner",POWER(Upgrades!$U$16,H89),1)*IF(Upgrades!$T$17="Binary Partner",POWER(Upgrades!$U$17,I89),1)*IF(Upgrades!$T$19="Binary Partner",POWER(Upgrades!$U$19,K89),1)*IF(Upgrades!$T$20="Binary Partner",POWER(Upgrades!$U$20,L89),1)*IF(Upgrades!$T$21="Binary Partner",POWER(Upgrades!$U$21,M89),1))+(IF(K89=0,0,(Upgrades!$J$19+K89*Upgrades!$K$19)*POWER(Upgrades!$L$19,K89)))*(IF(Upgrades!$T$13="Peculiar Velocity",POWER(Upgrades!$U$13,E89),1)*IF(Upgrades!$T$14="Peculiar Velocity",POWER(Upgrades!$U$14,F89),1)*IF(Upgrades!$T$15="Peculiar Velocity",POWER(Upgrades!$U$15,G89),1)*IF(Upgrades!$T$16="Peculiar Velocity",POWER(Upgrades!$U$16,H89),1)*IF(Upgrades!$T$17="Peculiar Velocity",POWER(Upgrades!$U$17,I89),1)*IF(Upgrades!$T$18="Peculiar Velocity",POWER(Upgrades!$U$18,J89),1)*IF(Upgrades!$T$20="Peculiar Velocity",POWER(Upgrades!$U$20,L89),1)*IF(Upgrades!$T$21="Peculiar Velocity",POWER(Upgrades!$U$21,M89),1))+(IF(L89=0,0,(Upgrades!$J$20+L89*Upgrades!$K$20)*POWER(Upgrades!$L$20,L89)))*(IF(Upgrades!$T$13="Open Cluster",POWER(Upgrades!$U$13,E89),1)*IF(Upgrades!$T$14="Open Cluster",POWER(Upgrades!$U$14,F89),1)*IF(Upgrades!$T$15="Open Cluster",POWER(Upgrades!$U$15,G89),1)*IF(Upgrades!$T$16="Open Cluster",POWER(Upgrades!$U$16,H89),1)*IF(Upgrades!$T$17="Open Cluster",POWER(Upgrades!$U$17,I89),1)*IF(Upgrades!$T$18="Open Cluster",POWER(Upgrades!$U$18,J89),1)*IF(Upgrades!$T$19="Open Cluster",POWER(Upgrades!$U$19,K89),1)*IF(Upgrades!$T$21="Open Cluster",POWER(Upgrades!$U$21,M89),1))+(IF(M89=0,0,(Upgrades!$J$21+M89*Upgrades!$K$21)*POWER(Upgrades!$L$21,M89)))*(IF(Upgrades!$T$13="Moving Group",POWER(Upgrades!$U$13,E89),1)*IF(Upgrades!$T$14="Moving Group",POWER(Upgrades!$U$14,F89),1)*IF(Upgrades!$T$15="Moving Group",POWER(Upgrades!$U$15,G89),1)*IF(Upgrades!$T$16="Moving Group",POWER(Upgrades!$U$16,H89),1)*IF(Upgrades!$T$17="Moving Group",POWER(Upgrades!$U$17,I89),1)*IF(Upgrades!$T$18="Moving Group",POWER(Upgrades!$U$18,J89),1)*IF(Upgrades!$T$19="Moving Group",POWER(Upgrades!$U$19,K89),1)*IF(Upgrades!$T$20="Moving Group",POWER(Upgrades!$U$20,L89),1)))*POWER(Upgrades!$Q$13,E89)*POWER(Upgrades!$Q$14,F89)*POWER(Upgrades!$Q$15,G89)*POWER(Upgrades!$Q$16,H89)*POWER(Upgrades!$Q$17,I89)*POWER(Upgrades!$Q$18,J89)*POWER(Upgrades!$Q$19,K89)*POWER(Upgrades!$Q$20,L89)*POWER(Upgrades!$Q$21,M89)*$G$6+$D$6</f>
        <v/>
      </c>
      <c r="P89" s="28">
        <f>((IF(E89=0,0,(Upgrades!$G$13+E89*Upgrades!$H$13)*POWER(Upgrades!$I$13,E89)))*(IF(Upgrades!$T$14="Stellar Kinematics",POWER(Upgrades!$U$14,F89),1)*IF(Upgrades!$T$15="Stellar Kinematics",POWER(Upgrades!$U$15,G89),1)*IF(Upgrades!$T$16="Stellar Kinematics",POWER(Upgrades!$U$16,H89),1)*IF(Upgrades!$T$17="Stellar Kinematics",POWER(Upgrades!$U$17,I89),1)*IF(Upgrades!$T$18="Stellar Kinematics",POWER(Upgrades!$U$18,J89),1)*IF(Upgrades!$T$19="Stellar Kinematics",POWER(Upgrades!$U$19,K89),1)*IF(Upgrades!$T$20="Stellar Kinematics",POWER(Upgrades!$U$20,L89),1)*IF(Upgrades!$T$21="Stellar Kinematics",POWER(Upgrades!$U$21,M89),1))+(IF(F89=0,0,(Upgrades!$G$14+F89*Upgrades!$H$14)*POWER(Upgrades!$I$14,F89)))*(IF(Upgrades!$T$13="Local Bubble",POWER(Upgrades!$U$13,E89),1)*IF(Upgrades!$T$15="Local Bubble",POWER(Upgrades!$U$15,G89),1)*IF(Upgrades!$T$16="Local Bubble",POWER(Upgrades!$U$16,H89),1)*IF(Upgrades!$T$17="Local Bubble",POWER(Upgrades!$U$17,I89),1)*IF(Upgrades!$T$18="Local Bubble",POWER(Upgrades!$U$18,J89),1)*IF(Upgrades!$T$19="Local Bubble",POWER(Upgrades!$U$19,K89),1)*IF(Upgrades!$T$20="Local Bubble",POWER(Upgrades!$U$20,L89),1)*IF(Upgrades!$T$21="Local Bubble",POWER(Upgrades!$U$21,M89),1))+(IF(G89=0,0,(Upgrades!$G$15+G89*Upgrades!$H$15)*POWER(Upgrades!$I$15,G89)))*(IF(Upgrades!$T$13="Microlensing",POWER(Upgrades!$U$13,E89),1)*IF(Upgrades!$T$14="Microlensing",POWER(Upgrades!$U$14,F89),1)*IF(Upgrades!$T$16="Microlensing",POWER(Upgrades!$U$16,H89),1)*IF(Upgrades!$T$17="Microlensing",POWER(Upgrades!$U$17,I89),1)*IF(Upgrades!$T$18="Microlensing",POWER(Upgrades!$U$18,J89),1)*IF(Upgrades!$T$19="Microlensing",POWER(Upgrades!$U$19,K89),1)*IF(Upgrades!$T$20="Microlensing",POWER(Upgrades!$U$20,L89),1)*IF(Upgrades!$T$21="Microlensing",POWER(Upgrades!$U$21,M89),1))+(IF(H89=0,0,(Upgrades!$G$16+H89*Upgrades!$H$16)*POWER(Upgrades!$I$16,H89)))*(IF(Upgrades!$T$13="Roche Lobe Overflow",POWER(Upgrades!$U$13,E89),1)*IF(Upgrades!$T$14="Roche Lobe Overflow",POWER(Upgrades!$U$14,F89),1)*IF(Upgrades!$T$15="Roche Lobe Overflow",POWER(Upgrades!$U$15,G89),1)*IF(Upgrades!$T$17="Roche Lobe Overflow",POWER(Upgrades!$U$17,I89),1)*IF(Upgrades!$T$18="Roche Lobe Overflow",POWER(Upgrades!$U$18,J89),1)*IF(Upgrades!$T$19="Roche Lobe Overflow",POWER(Upgrades!$U$19,K89),1)*IF(Upgrades!$T$20="Roche Lobe Overflow",POWER(Upgrades!$U$20,L89),1)*IF(Upgrades!$T$21="Roche Lobe Overflow",POWER(Upgrades!$U$21,M89),1))+(IF(I89=0,0,(Upgrades!$G$17+I89*Upgrades!$H$17)*POWER(Upgrades!$I$17,I89)))*(IF(Upgrades!$T$13="Brown Dwarf",POWER(Upgrades!$U$13,E89),1)*IF(Upgrades!$T$14="Brown Dwarf",POWER(Upgrades!$U$14,F89),1)*IF(Upgrades!$T$15="Brown Dwarf",POWER(Upgrades!$U$15,G89),1)*IF(Upgrades!$T$16="Brown Dwarf",POWER(Upgrades!$U$16,H89),1)*IF(Upgrades!$T$18="Brown Dwarf",POWER(Upgrades!$U$18,J89),1)*IF(Upgrades!$T$19="Brown Dwarf",POWER(Upgrades!$U$19,K89),1)*IF(Upgrades!$T$20="Brown Dwarf",POWER(Upgrades!$U$20,L89),1)*IF(Upgrades!$T$21="Brown Dwarf",POWER(Upgrades!$U$21,M89),1))+(IF(J89=0,0,(Upgrades!$G$18+J89*Upgrades!$H$18)*POWER(Upgrades!$I$18,J89)))*(IF(Upgrades!$T$13="Binary Partner",POWER(Upgrades!$U$13,E89),1)*IF(Upgrades!$T$14="Binary Partner",POWER(Upgrades!$U$14,F89),1)*IF(Upgrades!$T$15="Binary Partner",POWER(Upgrades!$U$15,G89),1)*IF(Upgrades!$T$16="Binary Partner",POWER(Upgrades!$U$16,H89),1)*IF(Upgrades!$T$17="Binary Partner",POWER(Upgrades!$U$17,I89),1)*IF(Upgrades!$T$19="Binary Partner",POWER(Upgrades!$U$19,K89),1)*IF(Upgrades!$T$20="Binary Partner",POWER(Upgrades!$U$20,L89),1)*IF(Upgrades!$T$21="Binary Partner",POWER(Upgrades!$U$21,M89),1))+(IF(K89=0,0,(Upgrades!$G$19+K89*Upgrades!$H$19)*POWER(Upgrades!$I$19,K89)))*(IF(Upgrades!$T$13="Peculiar Velocity",POWER(Upgrades!$U$13,E89),1)*IF(Upgrades!$T$14="Peculiar Velocity",POWER(Upgrades!$U$14,F89),1)*IF(Upgrades!$T$15="Peculiar Velocity",POWER(Upgrades!$U$15,G89),1)*IF(Upgrades!$T$16="Peculiar Velocity",POWER(Upgrades!$U$16,H89),1)*IF(Upgrades!$T$17="Peculiar Velocity",POWER(Upgrades!$U$17,I89),1)*IF(Upgrades!$T$18="Peculiar Velocity",POWER(Upgrades!$U$18,J89),1)*IF(Upgrades!$T$20="Peculiar Velocity",POWER(Upgrades!$U$20,L89),1)*IF(Upgrades!$T$21="Peculiar Velocity",POWER(Upgrades!$U$21,M89),1))+(IF(L89=0,0,(Upgrades!$G$20+L89*Upgrades!$H$20)*POWER(Upgrades!$I$20,L89)))*(IF(Upgrades!$T$13="Open Cluster",POWER(Upgrades!$U$13,E89),1)*IF(Upgrades!$T$14="Open Cluster",POWER(Upgrades!$U$14,F89),1)*IF(Upgrades!$T$15="Open Cluster",POWER(Upgrades!$U$15,G89),1)*IF(Upgrades!$T$16="Open Cluster",POWER(Upgrades!$U$16,H89),1)*IF(Upgrades!$T$17="Open Cluster",POWER(Upgrades!$U$17,I89),1)*IF(Upgrades!$T$18="Open Cluster",POWER(Upgrades!$U$18,J89),1)*IF(Upgrades!$T$19="Open Cluster",POWER(Upgrades!$U$19,K89),1)*IF(Upgrades!$T$21="Open Cluster",POWER(Upgrades!$U$21,M89),1))+(IF(M89=0,0,(Upgrades!$G$21+M89*Upgrades!$H$21)*POWER(Upgrades!$I$21,M89)))*(IF(Upgrades!$T$13="Moving Group",POWER(Upgrades!$U$13,E89),1)*IF(Upgrades!$T$14="Moving Group",POWER(Upgrades!$U$14,F89),1)*IF(Upgrades!$T$15="Moving Group",POWER(Upgrades!$U$15,G89),1)*IF(Upgrades!$T$16="Moving Group",POWER(Upgrades!$U$16,H89),1)*IF(Upgrades!$T$17="Moving Group",POWER(Upgrades!$U$17,I89),1)*IF(Upgrades!$T$18="Moving Group",POWER(Upgrades!$U$18,J89),1)*IF(Upgrades!$T$19="Moving Group",POWER(Upgrades!$U$19,K89),1)*IF(Upgrades!$T$20="Moving Group",POWER(Upgrades!$U$20,L89),1)))*POWER(Upgrades!$P$13,E89)*POWER(Upgrades!$P$14,F89)*POWER(Upgrades!$P$15,G89)*POWER(Upgrades!$P$16,H89)*POWER(Upgrades!$P$17,I89)*POWER(Upgrades!$P$18,J89)*POWER(Upgrades!$P$19,K89)*POWER(Upgrades!$P$20,L89)*POWER(Upgrades!$P$21,M89)*$F$6+$C$6</f>
        <v/>
      </c>
      <c r="Q89" s="28">
        <f>((IF(E89=0,0,(Upgrades!$M$13+E89*Upgrades!$N$13)*POWER(Upgrades!$O$13,E89)))*(IF(Upgrades!$T$14="Stellar Kinematics",POWER(Upgrades!$U$14,F89),1)*IF(Upgrades!$T$15="Stellar Kinematics",POWER(Upgrades!$U$15,G89),1)*IF(Upgrades!$T$16="Stellar Kinematics",POWER(Upgrades!$U$16,H89),1)*IF(Upgrades!$T$17="Stellar Kinematics",POWER(Upgrades!$U$17,I89),1)*IF(Upgrades!$T$18="Stellar Kinematics",POWER(Upgrades!$U$18,J89),1)*IF(Upgrades!$T$19="Stellar Kinematics",POWER(Upgrades!$U$19,K89),1)*IF(Upgrades!$T$20="Stellar Kinematics",POWER(Upgrades!$U$20,L89),1)*IF(Upgrades!$T$21="Stellar Kinematics",POWER(Upgrades!$U$21,M89),1))+(IF(F89=0,0,(Upgrades!$M$14+F89*Upgrades!$N$14)*POWER(Upgrades!$O$14,F89)))*(IF(Upgrades!$T$13="Local Bubble",POWER(Upgrades!$U$13,E89),1)*IF(Upgrades!$T$15="Local Bubble",POWER(Upgrades!$U$15,G89),1)*IF(Upgrades!$T$16="Local Bubble",POWER(Upgrades!$U$16,H89),1)*IF(Upgrades!$T$17="Local Bubble",POWER(Upgrades!$U$17,I89),1)*IF(Upgrades!$T$18="Local Bubble",POWER(Upgrades!$U$18,J89),1)*IF(Upgrades!$T$19="Local Bubble",POWER(Upgrades!$U$19,K89),1)*IF(Upgrades!$T$20="Local Bubble",POWER(Upgrades!$U$20,L89),1)*IF(Upgrades!$T$21="Local Bubble",POWER(Upgrades!$U$21,M89),1))+(IF(G89=0,0,(Upgrades!$M$15+G89*Upgrades!$N$15)*POWER(Upgrades!$O$15,G89)))*(IF(Upgrades!$T$13="Microlensing",POWER(Upgrades!$U$13,E89),1)*IF(Upgrades!$T$14="Microlensing",POWER(Upgrades!$U$14,F89),1)*IF(Upgrades!$T$16="Microlensing",POWER(Upgrades!$U$16,H89),1)*IF(Upgrades!$T$17="Microlensing",POWER(Upgrades!$U$17,I89),1)*IF(Upgrades!$T$18="Microlensing",POWER(Upgrades!$U$18,J89),1)*IF(Upgrades!$T$19="Microlensing",POWER(Upgrades!$U$19,K89),1)*IF(Upgrades!$T$20="Microlensing",POWER(Upgrades!$U$20,L89),1)*IF(Upgrades!$T$21="Microlensing",POWER(Upgrades!$U$21,M89),1))+(IF(H89=0,0,(Upgrades!$M$16+H89*Upgrades!$N$16)*POWER(Upgrades!$O$16,H89)))*(IF(Upgrades!$T$13="Roche Lobe Overflow",POWER(Upgrades!$U$13,E89),1)*IF(Upgrades!$T$14="Roche Lobe Overflow",POWER(Upgrades!$U$14,F89),1)*IF(Upgrades!$T$15="Roche Lobe Overflow",POWER(Upgrades!$U$15,G89),1)*IF(Upgrades!$T$17="Roche Lobe Overflow",POWER(Upgrades!$U$17,I89),1)*IF(Upgrades!$T$18="Roche Lobe Overflow",POWER(Upgrades!$U$18,J89),1)*IF(Upgrades!$T$19="Roche Lobe Overflow",POWER(Upgrades!$U$19,K89),1)*IF(Upgrades!$T$20="Roche Lobe Overflow",POWER(Upgrades!$U$20,L89),1)*IF(Upgrades!$T$21="Roche Lobe Overflow",POWER(Upgrades!$U$21,M89),1))+(IF(I89=0,0,(Upgrades!$M$17+I89*Upgrades!$N$17)*POWER(Upgrades!$O$17,I89)))*(IF(Upgrades!$T$13="Brown Dwarf",POWER(Upgrades!$U$13,E89),1)*IF(Upgrades!$T$14="Brown Dwarf",POWER(Upgrades!$U$14,F89),1)*IF(Upgrades!$T$15="Brown Dwarf",POWER(Upgrades!$U$15,G89),1)*IF(Upgrades!$T$16="Brown Dwarf",POWER(Upgrades!$U$16,H89),1)*IF(Upgrades!$T$18="Brown Dwarf",POWER(Upgrades!$U$18,J89),1)*IF(Upgrades!$T$19="Brown Dwarf",POWER(Upgrades!$U$19,K89),1)*IF(Upgrades!$T$20="Brown Dwarf",POWER(Upgrades!$U$20,L89),1)*IF(Upgrades!$T$21="Brown Dwarf",POWER(Upgrades!$U$21,M89),1))+(IF(J89=0,0,(Upgrades!$M$18+J89*Upgrades!$N$18)*POWER(Upgrades!$O$18,J89)))*(IF(Upgrades!$T$13="Binary Partner",POWER(Upgrades!$U$13,E89),1)*IF(Upgrades!$T$14="Binary Partner",POWER(Upgrades!$U$14,F89),1)*IF(Upgrades!$T$15="Binary Partner",POWER(Upgrades!$U$15,G89),1)*IF(Upgrades!$T$16="Binary Partner",POWER(Upgrades!$U$16,H89),1)*IF(Upgrades!$T$17="Binary Partner",POWER(Upgrades!$U$17,I89),1)*IF(Upgrades!$T$19="Binary Partner",POWER(Upgrades!$U$19,K89),1)*IF(Upgrades!$T$20="Binary Partner",POWER(Upgrades!$U$20,L89),1)*IF(Upgrades!$T$21="Binary Partner",POWER(Upgrades!$U$21,M89),1))+(IF(K89=0,0,(Upgrades!$M$19+K89*Upgrades!$N$19)*POWER(Upgrades!$O$19,K89)))*(IF(Upgrades!$T$13="Peculiar Velocity",POWER(Upgrades!$U$13,E89),1)*IF(Upgrades!$T$14="Peculiar Velocity",POWER(Upgrades!$U$14,F89),1)*IF(Upgrades!$T$15="Peculiar Velocity",POWER(Upgrades!$U$15,G89),1)*IF(Upgrades!$T$16="Peculiar Velocity",POWER(Upgrades!$U$16,H89),1)*IF(Upgrades!$T$17="Peculiar Velocity",POWER(Upgrades!$U$17,I89),1)*IF(Upgrades!$T$18="Peculiar Velocity",POWER(Upgrades!$U$18,J89),1)*IF(Upgrades!$T$20="Peculiar Velocity",POWER(Upgrades!$U$20,L89),1)*IF(Upgrades!$T$21="Peculiar Velocity",POWER(Upgrades!$U$21,M89),1))+(IF(L89=0,0,(Upgrades!$M$20+L89*Upgrades!$N$20)*POWER(Upgrades!$O$20,L89)))*(IF(Upgrades!$T$13="Open Cluster",POWER(Upgrades!$U$13,E89),1)*IF(Upgrades!$T$14="Open Cluster",POWER(Upgrades!$U$14,F89),1)*IF(Upgrades!$T$15="Open Cluster",POWER(Upgrades!$U$15,G89),1)*IF(Upgrades!$T$16="Open Cluster",POWER(Upgrades!$U$16,H89),1)*IF(Upgrades!$T$17="Open Cluster",POWER(Upgrades!$U$17,I89),1)*IF(Upgrades!$T$18="Open Cluster",POWER(Upgrades!$U$18,J89),1)*IF(Upgrades!$T$19="Open Cluster",POWER(Upgrades!$U$19,K89),1)*IF(Upgrades!$T$21="Open Cluster",POWER(Upgrades!$U$21,M89),1))+(IF(M89=0,0,(Upgrades!$M$21+M89*Upgrades!$N$21)*POWER(Upgrades!$O$21,M89)))*(IF(Upgrades!$T$13="Moving Group",POWER(Upgrades!$U$13,E89),1)*IF(Upgrades!$T$14="Moving Group",POWER(Upgrades!$U$14,F89),1)*IF(Upgrades!$T$15="Moving Group",POWER(Upgrades!$U$15,G89),1)*IF(Upgrades!$T$16="Moving Group",POWER(Upgrades!$U$16,H89),1)*IF(Upgrades!$T$17="Moving Group",POWER(Upgrades!$U$17,I89),1)*IF(Upgrades!$T$18="Moving Group",POWER(Upgrades!$U$18,J89),1)*IF(Upgrades!$T$19="Moving Group",POWER(Upgrades!$U$19,K89),1)*IF(Upgrades!$T$20="Moving Group",POWER(Upgrades!$U$20,L89),1)))*POWER(Upgrades!$R$13,E89)*POWER(Upgrades!$R$14,F89)*POWER(Upgrades!$R$15,G89)*POWER(Upgrades!$R$16,H89)*POWER(Upgrades!$R$17,I89)*POWER(Upgrades!$R$18,J89)*POWER(Upgrades!$R$19,K89)*POWER(Upgrades!$R$20,L89)*POWER(Upgrades!$R$21,M89)*$H$6+$E$6</f>
        <v/>
      </c>
      <c r="R89" s="27">
        <f>IF(N89=1,0,O89*Parameters!$B$10/60*Parameters!$B$11*10)</f>
        <v/>
      </c>
      <c r="S89" s="27">
        <f>IF(N89=1,0,Q89*O89*10)</f>
        <v/>
      </c>
      <c r="T89" s="27">
        <f>IF(N89=1,0,R89+S89+P89*10)</f>
        <v/>
      </c>
      <c r="U89" s="33">
        <f>BE89</f>
        <v/>
      </c>
      <c r="V89" s="22">
        <f>IF(U89="",0,IF(U89="transition",0,IF(U89="SK",AK89,IF(U89="LB",AL89,IF(U89="ML",AM89,IF(U89="RLO",AN89,IF(U89="BD",AO89,IF(U89="BiP",AP89,IF(U89="PV",AQ89,IF(U89="OC",AR89,IF(U89="MG",AS89,0))))))))))</f>
        <v/>
      </c>
      <c r="W89" s="27">
        <f>IF(U89="BiP",Upgrades!$F$18,IF(U89="PV",Upgrades!$F$19,IF(U89="OC",Upgrades!$F$20,IF(U89="MG",Upgrades!$F$21,IF(U89="transition",-Parameters!$B$18*Parameters!$B$19,0)))))</f>
        <v/>
      </c>
      <c r="X89" s="22">
        <f>C89+T89-V89</f>
        <v/>
      </c>
      <c r="Y89" s="30">
        <f>O89*Parameters!$B$10/60*Parameters!$B$11+Q89*O89+P89</f>
        <v/>
      </c>
      <c r="Z89" s="34">
        <f>IF(U89="transition","→ Tier 3 (Galactic Arm)",IF(U89="MG","Moving Group — pocket drifts together",IF(U89="OC","Open Cluster acquired",IF(U89="PV","Peculiar Velocity — passive multiplier active",IF(U89="BiP","Binary Partner — pair bond formed",IF(AND(AU89=1,N89=0,AT89&lt;&gt;1),"Cohesion ready (waiting on completionists)","")))))) </f>
        <v/>
      </c>
      <c r="AA89" s="27">
        <f>(IF(E89=0,0,(Upgrades!$G$13+E89*Upgrades!$H$13)*POWER(Upgrades!$I$13,E89)))*(IF(Upgrades!$T$14="Stellar Kinematics",POWER(Upgrades!$U$14,F89),1)*IF(Upgrades!$T$15="Stellar Kinematics",POWER(Upgrades!$U$15,G89),1)*IF(Upgrades!$T$16="Stellar Kinematics",POWER(Upgrades!$U$16,H89),1)*IF(Upgrades!$T$17="Stellar Kinematics",POWER(Upgrades!$U$17,I89),1)*IF(Upgrades!$T$18="Stellar Kinematics",POWER(Upgrades!$U$18,J89),1)*IF(Upgrades!$T$19="Stellar Kinematics",POWER(Upgrades!$U$19,K89),1)*IF(Upgrades!$T$20="Stellar Kinematics",POWER(Upgrades!$U$20,L89),1)*IF(Upgrades!$T$21="Stellar Kinematics",POWER(Upgrades!$U$21,M89),1))*POWER(Upgrades!$P$13,E89)*POWER(Upgrades!$P$14,F89)*POWER(Upgrades!$P$15,G89)*POWER(Upgrades!$P$16,H89)*POWER(Upgrades!$P$17,I89)*POWER(Upgrades!$P$18,J89)*POWER(Upgrades!$P$19,K89)*POWER(Upgrades!$P$20,L89)*POWER(Upgrades!$P$21,M89)*$F$6*60</f>
        <v/>
      </c>
      <c r="AB89" s="27">
        <f>(IF(F89=0,0,(Upgrades!$G$14+F89*Upgrades!$H$14)*POWER(Upgrades!$I$14,F89)))*(IF(Upgrades!$T$13="Local Bubble",POWER(Upgrades!$U$13,E89),1)*IF(Upgrades!$T$15="Local Bubble",POWER(Upgrades!$U$15,G89),1)*IF(Upgrades!$T$16="Local Bubble",POWER(Upgrades!$U$16,H89),1)*IF(Upgrades!$T$17="Local Bubble",POWER(Upgrades!$U$17,I89),1)*IF(Upgrades!$T$18="Local Bubble",POWER(Upgrades!$U$18,J89),1)*IF(Upgrades!$T$19="Local Bubble",POWER(Upgrades!$U$19,K89),1)*IF(Upgrades!$T$20="Local Bubble",POWER(Upgrades!$U$20,L89),1)*IF(Upgrades!$T$21="Local Bubble",POWER(Upgrades!$U$21,M89),1))*POWER(Upgrades!$P$13,E89)*POWER(Upgrades!$P$14,F89)*POWER(Upgrades!$P$15,G89)*POWER(Upgrades!$P$16,H89)*POWER(Upgrades!$P$17,I89)*POWER(Upgrades!$P$18,J89)*POWER(Upgrades!$P$19,K89)*POWER(Upgrades!$P$20,L89)*POWER(Upgrades!$P$21,M89)*$F$6*60</f>
        <v/>
      </c>
      <c r="AC89" s="27">
        <f>(IF(G89=0,0,(Upgrades!$J$15+G89*Upgrades!$K$15)*POWER(Upgrades!$L$15,G89)))*(IF(Upgrades!$T$13="Microlensing",POWER(Upgrades!$U$13,E89),1)*IF(Upgrades!$T$14="Microlensing",POWER(Upgrades!$U$14,F89),1)*IF(Upgrades!$T$16="Microlensing",POWER(Upgrades!$U$16,H89),1)*IF(Upgrades!$T$17="Microlensing",POWER(Upgrades!$U$17,I89),1)*IF(Upgrades!$T$18="Microlensing",POWER(Upgrades!$U$18,J89),1)*IF(Upgrades!$T$19="Microlensing",POWER(Upgrades!$U$19,K89),1)*IF(Upgrades!$T$20="Microlensing",POWER(Upgrades!$U$20,L89),1)*IF(Upgrades!$T$21="Microlensing",POWER(Upgrades!$U$21,M89),1))*POWER(Upgrades!$Q$13,E89)*POWER(Upgrades!$Q$14,F89)*POWER(Upgrades!$Q$15,G89)*POWER(Upgrades!$Q$16,H89)*POWER(Upgrades!$Q$17,I89)*POWER(Upgrades!$Q$18,J89)*POWER(Upgrades!$Q$19,K89)*POWER(Upgrades!$Q$20,L89)*POWER(Upgrades!$Q$21,M89)*$G$6*(Parameters!$B$10*Parameters!$B$11+Q89*60)</f>
        <v/>
      </c>
      <c r="AD89" s="27">
        <f>(IF(H89=0,0,(Upgrades!$M$16+H89*Upgrades!$N$16)*POWER(Upgrades!$O$16,H89)))*(IF(Upgrades!$T$13="Roche Lobe Overflow",POWER(Upgrades!$U$13,E89),1)*IF(Upgrades!$T$14="Roche Lobe Overflow",POWER(Upgrades!$U$14,F89),1)*IF(Upgrades!$T$15="Roche Lobe Overflow",POWER(Upgrades!$U$15,G89),1)*IF(Upgrades!$T$17="Roche Lobe Overflow",POWER(Upgrades!$U$17,I89),1)*IF(Upgrades!$T$18="Roche Lobe Overflow",POWER(Upgrades!$U$18,J89),1)*IF(Upgrades!$T$19="Roche Lobe Overflow",POWER(Upgrades!$U$19,K89),1)*IF(Upgrades!$T$20="Roche Lobe Overflow",POWER(Upgrades!$U$20,L89),1)*IF(Upgrades!$T$21="Roche Lobe Overflow",POWER(Upgrades!$U$21,M89),1))*POWER(Upgrades!$R$13,E89)*POWER(Upgrades!$R$14,F89)*POWER(Upgrades!$R$15,G89)*POWER(Upgrades!$R$16,H89)*POWER(Upgrades!$R$17,I89)*POWER(Upgrades!$R$18,J89)*POWER(Upgrades!$R$19,K89)*POWER(Upgrades!$R$20,L89)*POWER(Upgrades!$R$21,M89)*$H$6*O89*60</f>
        <v/>
      </c>
      <c r="AE89" s="27">
        <f>(IF(I89=0,0,(Upgrades!$G$17+I89*Upgrades!$H$17)*POWER(Upgrades!$I$17,I89)))*(IF(Upgrades!$T$13="Brown Dwarf",POWER(Upgrades!$U$13,E89),1)*IF(Upgrades!$T$14="Brown Dwarf",POWER(Upgrades!$U$14,F89),1)*IF(Upgrades!$T$15="Brown Dwarf",POWER(Upgrades!$U$15,G89),1)*IF(Upgrades!$T$16="Brown Dwarf",POWER(Upgrades!$U$16,H89),1)*IF(Upgrades!$T$18="Brown Dwarf",POWER(Upgrades!$U$18,J89),1)*IF(Upgrades!$T$19="Brown Dwarf",POWER(Upgrades!$U$19,K89),1)*IF(Upgrades!$T$20="Brown Dwarf",POWER(Upgrades!$U$20,L89),1)*IF(Upgrades!$T$21="Brown Dwarf",POWER(Upgrades!$U$21,M89),1))*POWER(Upgrades!$P$13,E89)*POWER(Upgrades!$P$14,F89)*POWER(Upgrades!$P$15,G89)*POWER(Upgrades!$P$16,H89)*POWER(Upgrades!$P$17,I89)*POWER(Upgrades!$P$18,J89)*POWER(Upgrades!$P$19,K89)*POWER(Upgrades!$P$20,L89)*POWER(Upgrades!$P$21,M89)*$F$6*60</f>
        <v/>
      </c>
      <c r="AF89" s="27" t="n">
        <v>0</v>
      </c>
      <c r="AG89" s="27" t="n">
        <v>0</v>
      </c>
      <c r="AH89" s="27" t="n">
        <v>0</v>
      </c>
      <c r="AI89" s="27">
        <f>(IF(M89=0,0,(Upgrades!$G$21+M89*Upgrades!$H$21)*POWER(Upgrades!$I$21,M89)))*(IF(Upgrades!$T$13="Moving Group",POWER(Upgrades!$U$13,E89),1)*IF(Upgrades!$T$14="Moving Group",POWER(Upgrades!$U$14,F89),1)*IF(Upgrades!$T$15="Moving Group",POWER(Upgrades!$U$15,G89),1)*IF(Upgrades!$T$16="Moving Group",POWER(Upgrades!$U$16,H89),1)*IF(Upgrades!$T$17="Moving Group",POWER(Upgrades!$U$17,I89),1)*IF(Upgrades!$T$18="Moving Group",POWER(Upgrades!$U$18,J89),1)*IF(Upgrades!$T$19="Moving Group",POWER(Upgrades!$U$19,K89),1)*IF(Upgrades!$T$20="Moving Group",POWER(Upgrades!$U$20,L89),1))*POWER(Upgrades!$P$13,E89)*POWER(Upgrades!$P$14,F89)*POWER(Upgrades!$P$15,G89)*POWER(Upgrades!$P$16,H89)*POWER(Upgrades!$P$17,I89)*POWER(Upgrades!$P$18,J89)*POWER(Upgrades!$P$19,K89)*POWER(Upgrades!$P$20,L89)*POWER(Upgrades!$P$21,M89)*$F$6*60</f>
        <v/>
      </c>
      <c r="AJ89" s="27">
        <f>$C$6*60</f>
        <v/>
      </c>
      <c r="AK89" s="22">
        <f>IF(E89&gt;=Upgrades!$E$13,"",Upgrades!$C$13*POWER(Upgrades!$D$13,E89))</f>
        <v/>
      </c>
      <c r="AL89" s="22">
        <f>IF(F89&gt;=Upgrades!$E$14,"",Upgrades!$C$14*POWER(Upgrades!$D$14,F89))</f>
        <v/>
      </c>
      <c r="AM89" s="22">
        <f>IF(G89&gt;=Upgrades!$E$15,"",Upgrades!$C$15*POWER(Upgrades!$D$15,G89))</f>
        <v/>
      </c>
      <c r="AN89" s="22">
        <f>IF(H89&gt;=Upgrades!$E$16,"",Upgrades!$C$16*POWER(Upgrades!$D$16,H89))</f>
        <v/>
      </c>
      <c r="AO89" s="22">
        <f>IF(I89&gt;=Upgrades!$E$17,"",Upgrades!$C$17*POWER(Upgrades!$D$17,I89))</f>
        <v/>
      </c>
      <c r="AP89" s="22">
        <f>IF(J89&gt;=Upgrades!$E$18,"",Upgrades!$C$18*POWER(Upgrades!$D$18,J89))</f>
        <v/>
      </c>
      <c r="AQ89" s="22">
        <f>IF(K89&gt;=Upgrades!$E$19,"",Upgrades!$C$19*POWER(Upgrades!$D$19,K89))</f>
        <v/>
      </c>
      <c r="AR89" s="22">
        <f>IF(L89&gt;=Upgrades!$E$20,"",Upgrades!$C$20*POWER(Upgrades!$D$20,L89))</f>
        <v/>
      </c>
      <c r="AS89" s="22">
        <f>IF(M89&gt;=Upgrades!$E$21,"",Upgrades!$C$21*POWER(Upgrades!$D$21,M89))</f>
        <v/>
      </c>
      <c r="AT89" s="26">
        <f>IF(AND(D89&gt;=Parameters!$B$18*Parameters!$B$19,(I89&gt;=Upgrades!$E$17)*(M89&gt;=Upgrades!$E$21)=1,N89=0),1,"")</f>
        <v/>
      </c>
      <c r="AU89" s="26">
        <f>IF(AND(D89&gt;=Parameters!$B$18*Parameters!$B$19,N89=0),1,"")</f>
        <v/>
      </c>
      <c r="AV89" s="22">
        <f>MIN(IF(ISNUMBER(AP89),AP89,9E15),IF(ISNUMBER(AQ89),AQ89,9E15),IF(ISNUMBER(AR89),AR89,9E15),IF(ISNUMBER(AS89),AS89,9E15))</f>
        <v/>
      </c>
      <c r="AW89" s="22">
        <f>MIN(IF(ISNUMBER(AK89),AK89,9E15),IF(ISNUMBER(AL89),AL89,9E15),IF(ISNUMBER(AM89),AM89,9E15),IF(ISNUMBER(AN89),AN89,9E15),IF(ISNUMBER(AO89),AO89,9E15))</f>
        <v/>
      </c>
      <c r="AX89" s="29">
        <f>IF(BD89&gt;Parameters!$B$21*(MAX(IF(AND(NOT(AND(AU89=1,AT89&lt;&gt;1)),ISNUMBER(AK89),AK89&lt;=(C89+T89)),AY89,0),IF(AND(NOT(AND(AU89=1,AT89&lt;&gt;1)),ISNUMBER(AL89),AL89&lt;=(C89+T89)),AZ89,0),IF(AND(NOT(AND(AU89=1,AT89&lt;&gt;1)),ISNUMBER(AM89),AM89&lt;=(C89+T89)),BA89,0),IF(AND(NOT(AND(AU89=1,AT89&lt;&gt;1)),ISNUMBER(AN89),AN89&lt;=(C89+T89)),BB89,0),IF(AND(ISNUMBER(AO89),AO89&lt;=(C89+T89)),BC89,0))),TRUE,FALSE)</f>
        <v/>
      </c>
      <c r="AY89" s="32">
        <f>IFERROR(Upgrades!$H$13*(POWER(Upgrades!$P$13,E89)*POWER(Upgrades!$P$14,F89)*POWER(Upgrades!$P$15,G89)*POWER(Upgrades!$P$16,H89)*POWER(Upgrades!$P$17,I89)*POWER(Upgrades!$P$18,J89)*POWER(Upgrades!$P$19,K89)*POWER(Upgrades!$P$20,L89)*POWER(Upgrades!$P$21,M89))*(IF(Upgrades!$T$14="Stellar Kinematics",POWER(Upgrades!$U$14,F89),1)*IF(Upgrades!$T$15="Stellar Kinematics",POWER(Upgrades!$U$15,G89),1)*IF(Upgrades!$T$16="Stellar Kinematics",POWER(Upgrades!$U$16,H89),1)*IF(Upgrades!$T$17="Stellar Kinematics",POWER(Upgrades!$U$17,I89),1)*IF(Upgrades!$T$18="Stellar Kinematics",POWER(Upgrades!$U$18,J89),1)*IF(Upgrades!$T$19="Stellar Kinematics",POWER(Upgrades!$U$19,K89),1)*IF(Upgrades!$T$20="Stellar Kinematics",POWER(Upgrades!$U$20,L89),1)*IF(Upgrades!$T$21="Stellar Kinematics",POWER(Upgrades!$U$21,M89),1))*$F$6/AK89,0)</f>
        <v/>
      </c>
      <c r="AZ89" s="32">
        <f>IFERROR(Upgrades!$H$14*(POWER(Upgrades!$P$13,E89)*POWER(Upgrades!$P$14,F89)*POWER(Upgrades!$P$15,G89)*POWER(Upgrades!$P$16,H89)*POWER(Upgrades!$P$17,I89)*POWER(Upgrades!$P$18,J89)*POWER(Upgrades!$P$19,K89)*POWER(Upgrades!$P$20,L89)*POWER(Upgrades!$P$21,M89))*(IF(Upgrades!$T$13="Local Bubble",POWER(Upgrades!$U$13,E89),1)*IF(Upgrades!$T$15="Local Bubble",POWER(Upgrades!$U$15,G89),1)*IF(Upgrades!$T$16="Local Bubble",POWER(Upgrades!$U$16,H89),1)*IF(Upgrades!$T$17="Local Bubble",POWER(Upgrades!$U$17,I89),1)*IF(Upgrades!$T$18="Local Bubble",POWER(Upgrades!$U$18,J89),1)*IF(Upgrades!$T$19="Local Bubble",POWER(Upgrades!$U$19,K89),1)*IF(Upgrades!$T$20="Local Bubble",POWER(Upgrades!$U$20,L89),1)*IF(Upgrades!$T$21="Local Bubble",POWER(Upgrades!$U$21,M89),1))*$F$6/AL89,0)</f>
        <v/>
      </c>
      <c r="BA89" s="32">
        <f>IFERROR(Upgrades!$K$15*(POWER(Upgrades!$Q$13,E89)*POWER(Upgrades!$Q$14,F89)*POWER(Upgrades!$Q$15,G89)*POWER(Upgrades!$Q$16,H89)*POWER(Upgrades!$Q$17,I89)*POWER(Upgrades!$Q$18,J89)*POWER(Upgrades!$Q$19,K89)*POWER(Upgrades!$Q$20,L89)*POWER(Upgrades!$Q$21,M89))*(IF(Upgrades!$T$13="Microlensing",POWER(Upgrades!$U$13,E89),1)*IF(Upgrades!$T$14="Microlensing",POWER(Upgrades!$U$14,F89),1)*IF(Upgrades!$T$16="Microlensing",POWER(Upgrades!$U$16,H89),1)*IF(Upgrades!$T$17="Microlensing",POWER(Upgrades!$U$17,I89),1)*IF(Upgrades!$T$18="Microlensing",POWER(Upgrades!$U$18,J89),1)*IF(Upgrades!$T$19="Microlensing",POWER(Upgrades!$U$19,K89),1)*IF(Upgrades!$T$20="Microlensing",POWER(Upgrades!$U$20,L89),1)*IF(Upgrades!$T$21="Microlensing",POWER(Upgrades!$U$21,M89),1))*$G$6*(Parameters!$B$10/60*Parameters!$B$11+Q89)/AM89,0)</f>
        <v/>
      </c>
      <c r="BB89" s="32">
        <f>IFERROR((Upgrades!$N$16*(POWER(Upgrades!$R$13,E89)*POWER(Upgrades!$R$14,F89)*POWER(Upgrades!$R$15,G89)*POWER(Upgrades!$R$16,H89)*POWER(Upgrades!$R$17,I89)*POWER(Upgrades!$R$18,J89)*POWER(Upgrades!$R$19,K89)*POWER(Upgrades!$R$20,L89)*POWER(Upgrades!$R$21,M89))*(IF(Upgrades!$T$13="Roche Lobe Overflow",POWER(Upgrades!$U$13,E89),1)*IF(Upgrades!$T$14="Roche Lobe Overflow",POWER(Upgrades!$U$14,F89),1)*IF(Upgrades!$T$15="Roche Lobe Overflow",POWER(Upgrades!$U$15,G89),1)*IF(Upgrades!$T$17="Roche Lobe Overflow",POWER(Upgrades!$U$17,I89),1)*IF(Upgrades!$T$18="Roche Lobe Overflow",POWER(Upgrades!$U$18,J89),1)*IF(Upgrades!$T$19="Roche Lobe Overflow",POWER(Upgrades!$U$19,K89),1)*IF(Upgrades!$T$20="Roche Lobe Overflow",POWER(Upgrades!$U$20,L89),1)*IF(Upgrades!$T$21="Roche Lobe Overflow",POWER(Upgrades!$U$21,M89),1))*$H$6*O89+((IF(F89=0,0,(Upgrades!$G$14+F89*Upgrades!$H$14)*POWER(Upgrades!$I$14,F89)))*(IF(Upgrades!$T$13="Local Bubble",POWER(Upgrades!$U$13,E89),1)*IF(Upgrades!$T$15="Local Bubble",POWER(Upgrades!$U$15,G89),1)*IF(Upgrades!$T$16="Local Bubble",POWER(Upgrades!$U$16,H89),1)*IF(Upgrades!$T$17="Local Bubble",POWER(Upgrades!$U$17,I89),1)*IF(Upgrades!$T$18="Local Bubble",POWER(Upgrades!$U$18,J89),1)*IF(Upgrades!$T$19="Local Bubble",POWER(Upgrades!$U$19,K89),1)*IF(Upgrades!$T$20="Local Bubble",POWER(Upgrades!$U$20,L89),1)*IF(Upgrades!$T$21="Local Bubble",POWER(Upgrades!$U$21,M89),1))*POWER(Upgrades!$P$13,E89)*POWER(Upgrades!$P$14,F89)*POWER(Upgrades!$P$15,G89)*POWER(Upgrades!$P$16,H89)*POWER(Upgrades!$P$17,I89)*POWER(Upgrades!$P$18,J89)*POWER(Upgrades!$P$19,K89)*POWER(Upgrades!$P$20,L89)*POWER(Upgrades!$P$21,M89)*$F$6)*0.05)/AN89,0)</f>
        <v/>
      </c>
      <c r="BC89" s="32">
        <f>IFERROR((Upgrades!$H$17*(POWER(Upgrades!$P$13,E89)*POWER(Upgrades!$P$14,F89)*POWER(Upgrades!$P$15,G89)*POWER(Upgrades!$P$16,H89)*POWER(Upgrades!$P$17,I89)*POWER(Upgrades!$P$18,J89)*POWER(Upgrades!$P$19,K89)*POWER(Upgrades!$P$20,L89)*POWER(Upgrades!$P$21,M89))*(IF(Upgrades!$T$13="Brown Dwarf",POWER(Upgrades!$U$13,E89),1)*IF(Upgrades!$T$14="Brown Dwarf",POWER(Upgrades!$U$14,F89),1)*IF(Upgrades!$T$15="Brown Dwarf",POWER(Upgrades!$U$15,G89),1)*IF(Upgrades!$T$16="Brown Dwarf",POWER(Upgrades!$U$16,H89),1)*IF(Upgrades!$T$18="Brown Dwarf",POWER(Upgrades!$U$18,J89),1)*IF(Upgrades!$T$19="Brown Dwarf",POWER(Upgrades!$U$19,K89),1)*IF(Upgrades!$T$20="Brown Dwarf",POWER(Upgrades!$U$20,L89),1)*IF(Upgrades!$T$21="Brown Dwarf",POWER(Upgrades!$U$21,M89),1))*$F$6+(((IF(H89=0,0,(Upgrades!$M$16+H89*Upgrades!$N$16)*POWER(Upgrades!$O$16,H89)))*(IF(Upgrades!$T$13="Roche Lobe Overflow",POWER(Upgrades!$U$13,E89),1)*IF(Upgrades!$T$14="Roche Lobe Overflow",POWER(Upgrades!$U$14,F89),1)*IF(Upgrades!$T$15="Roche Lobe Overflow",POWER(Upgrades!$U$15,G89),1)*IF(Upgrades!$T$17="Roche Lobe Overflow",POWER(Upgrades!$U$17,I89),1)*IF(Upgrades!$T$18="Roche Lobe Overflow",POWER(Upgrades!$U$18,J89),1)*IF(Upgrades!$T$19="Roche Lobe Overflow",POWER(Upgrades!$U$19,K89),1)*IF(Upgrades!$T$20="Roche Lobe Overflow",POWER(Upgrades!$U$20,L89),1)*IF(Upgrades!$T$21="Roche Lobe Overflow",POWER(Upgrades!$U$21,M89),1))*POWER(Upgrades!$R$13,E89)*POWER(Upgrades!$R$14,F89)*POWER(Upgrades!$R$15,G89)*POWER(Upgrades!$R$16,H89)*POWER(Upgrades!$R$17,I89)*POWER(Upgrades!$R$18,J89)*POWER(Upgrades!$R$19,K89)*POWER(Upgrades!$R$20,L89)*POWER(Upgrades!$R$21,M89)*$H$6)*O89)*0.10)/AO89,0)</f>
        <v/>
      </c>
      <c r="BD89" s="32">
        <f>MAX(IF(J89&gt;0,0,IFERROR(0.5*((IF(G89=0,0,(Upgrades!$J$15+G89*Upgrades!$K$15)*POWER(Upgrades!$L$15,G89)))*(IF(Upgrades!$T$13="Microlensing",POWER(Upgrades!$U$13,E89),1)*IF(Upgrades!$T$14="Microlensing",POWER(Upgrades!$U$14,F89),1)*IF(Upgrades!$T$16="Microlensing",POWER(Upgrades!$U$16,H89),1)*IF(Upgrades!$T$17="Microlensing",POWER(Upgrades!$U$17,I89),1)*IF(Upgrades!$T$18="Microlensing",POWER(Upgrades!$U$18,J89),1)*IF(Upgrades!$T$19="Microlensing",POWER(Upgrades!$U$19,K89),1)*IF(Upgrades!$T$20="Microlensing",POWER(Upgrades!$U$20,L89),1)*IF(Upgrades!$T$21="Microlensing",POWER(Upgrades!$U$21,M89),1))*(POWER(Upgrades!$Q$13,E89)*POWER(Upgrades!$Q$14,F89)*POWER(Upgrades!$Q$15,G89)*POWER(Upgrades!$Q$16,H89)*POWER(Upgrades!$Q$17,I89)*POWER(Upgrades!$Q$18,J89)*POWER(Upgrades!$Q$19,K89)*POWER(Upgrades!$Q$20,L89)*POWER(Upgrades!$Q$21,M89))*$G$6*(Parameters!$B$10/60*Parameters!$B$11+Q89))/Upgrades!$C$18,0)),IF(K89&gt;0,0,IFERROR(0.30*P89/Upgrades!$C$19,0)),IF(L89&gt;0,0,IFERROR(0.0001/Upgrades!$C$20,0)),IF(M89&gt;0,0,IFERROR((6.0*(POWER(Upgrades!$P$13,E89)*POWER(Upgrades!$P$14,F89)*POWER(Upgrades!$P$15,G89)*POWER(Upgrades!$P$16,H89)*POWER(Upgrades!$P$17,I89)*POWER(Upgrades!$P$18,J89)*POWER(Upgrades!$P$19,K89)*POWER(Upgrades!$P$20,L89)*POWER(Upgrades!$P$21,M89))*$F$6+0.20*O89*(Parameters!$B$10/60*Parameters!$B$11+Q89))/Upgrades!$C$21,0)),IF(AND(ISNUMBER(AK89),AK89&gt;(C89+T89)),AY89,0),IF(AND(ISNUMBER(AL89),AL89&gt;(C89+T89)),AZ89,0),IF(AND(ISNUMBER(AM89),AM89&gt;(C89+T89)),BA89,0),IF(AND(ISNUMBER(AN89),AN89&gt;(C89+T89)),BB89,0),IF(AND(ISNUMBER(AO89),AO89&gt;(C89+T89)),BC89,0))</f>
        <v/>
      </c>
      <c r="BE89" s="29">
        <f>IF(AT89=1,"transition",IF(MIN(IF(AND(J89=0,ISNUMBER(AP89),AP89&lt;=(C89+T89)),AP89,9E15),IF(AND(K89=0,ISNUMBER(AQ89),AQ89&lt;=(C89+T89)),AQ89,9E15),IF(AND(L89=0,ISNUMBER(AR89),AR89&lt;=(C89+T89)),AR89,9E15),IF(AND(M89=0,ISNUMBER(AS89),AS89&lt;=(C89+T89)),AS89,9E15))&lt;9E15,IF(AND(AND(J89=0,ISNUMBER(AP89),AP89&lt;=(C89+T89)),AP89=MIN(IF(AND(J89=0,ISNUMBER(AP89),AP89&lt;=(C89+T89)),AP89,9E15),IF(AND(K89=0,ISNUMBER(AQ89),AQ89&lt;=(C89+T89)),AQ89,9E15),IF(AND(L89=0,ISNUMBER(AR89),AR89&lt;=(C89+T89)),AR89,9E15),IF(AND(M89=0,ISNUMBER(AS89),AS89&lt;=(C89+T89)),AS89,9E15))),"BiP",IF(AND(AND(K89=0,ISNUMBER(AQ89),AQ89&lt;=(C89+T89)),AQ89=MIN(IF(AND(J89=0,ISNUMBER(AP89),AP89&lt;=(C89+T89)),AP89,9E15),IF(AND(K89=0,ISNUMBER(AQ89),AQ89&lt;=(C89+T89)),AQ89,9E15),IF(AND(L89=0,ISNUMBER(AR89),AR89&lt;=(C89+T89)),AR89,9E15),IF(AND(M89=0,ISNUMBER(AS89),AS89&lt;=(C89+T89)),AS89,9E15))),"PV",IF(AND(AND(L89=0,ISNUMBER(AR89),AR89&lt;=(C89+T89)),AR89=MIN(IF(AND(J89=0,ISNUMBER(AP89),AP89&lt;=(C89+T89)),AP89,9E15),IF(AND(K89=0,ISNUMBER(AQ89),AQ89&lt;=(C89+T89)),AQ89,9E15),IF(AND(L89=0,ISNUMBER(AR89),AR89&lt;=(C89+T89)),AR89,9E15),IF(AND(M89=0,ISNUMBER(AS89),AS89&lt;=(C89+T89)),AS89,9E15))),"OC","MG"))),IF(AX89=TRUE,"",IF(MAX(IF(AND(NOT(AND(AU89=1,AT89&lt;&gt;1)),ISNUMBER(AK89),AK89&lt;=(C89+T89)),AY89,0),IF(AND(NOT(AND(AU89=1,AT89&lt;&gt;1)),ISNUMBER(AL89),AL89&lt;=(C89+T89)),AZ89,0),IF(AND(NOT(AND(AU89=1,AT89&lt;&gt;1)),ISNUMBER(AM89),AM89&lt;=(C89+T89)),BA89,0),IF(AND(NOT(AND(AU89=1,AT89&lt;&gt;1)),ISNUMBER(AN89),AN89&lt;=(C89+T89)),BB89,0),IF(AND(ISNUMBER(AO89),AO89&lt;=(C89+T89)),BC89,0))&lt;=0,"",IF(AND(IF(AND(NOT(AND(AU89=1,AT89&lt;&gt;1)),ISNUMBER(AK89),AK89&lt;=(C89+T89)),AY89,0)&gt;0,IF(AND(NOT(AND(AU89=1,AT89&lt;&gt;1)),ISNUMBER(AK89),AK89&lt;=(C89+T89)),AY89,0)=MAX(IF(AND(NOT(AND(AU89=1,AT89&lt;&gt;1)),ISNUMBER(AK89),AK89&lt;=(C89+T89)),AY89,0),IF(AND(NOT(AND(AU89=1,AT89&lt;&gt;1)),ISNUMBER(AL89),AL89&lt;=(C89+T89)),AZ89,0),IF(AND(NOT(AND(AU89=1,AT89&lt;&gt;1)),ISNUMBER(AM89),AM89&lt;=(C89+T89)),BA89,0),IF(AND(NOT(AND(AU89=1,AT89&lt;&gt;1)),ISNUMBER(AN89),AN89&lt;=(C89+T89)),BB89,0),IF(AND(ISNUMBER(AO89),AO89&lt;=(C89+T89)),BC89,0))),"SK",IF(AND(IF(AND(NOT(AND(AU89=1,AT89&lt;&gt;1)),ISNUMBER(AL89),AL89&lt;=(C89+T89)),AZ89,0)&gt;0,IF(AND(NOT(AND(AU89=1,AT89&lt;&gt;1)),ISNUMBER(AL89),AL89&lt;=(C89+T89)),AZ89,0)=MAX(IF(AND(NOT(AND(AU89=1,AT89&lt;&gt;1)),ISNUMBER(AK89),AK89&lt;=(C89+T89)),AY89,0),IF(AND(NOT(AND(AU89=1,AT89&lt;&gt;1)),ISNUMBER(AL89),AL89&lt;=(C89+T89)),AZ89,0),IF(AND(NOT(AND(AU89=1,AT89&lt;&gt;1)),ISNUMBER(AM89),AM89&lt;=(C89+T89)),BA89,0),IF(AND(NOT(AND(AU89=1,AT89&lt;&gt;1)),ISNUMBER(AN89),AN89&lt;=(C89+T89)),BB89,0),IF(AND(ISNUMBER(AO89),AO89&lt;=(C89+T89)),BC89,0))),"LB",IF(AND(IF(AND(NOT(AND(AU89=1,AT89&lt;&gt;1)),ISNUMBER(AM89),AM89&lt;=(C89+T89)),BA89,0)&gt;0,IF(AND(NOT(AND(AU89=1,AT89&lt;&gt;1)),ISNUMBER(AM89),AM89&lt;=(C89+T89)),BA89,0)=MAX(IF(AND(NOT(AND(AU89=1,AT89&lt;&gt;1)),ISNUMBER(AK89),AK89&lt;=(C89+T89)),AY89,0),IF(AND(NOT(AND(AU89=1,AT89&lt;&gt;1)),ISNUMBER(AL89),AL89&lt;=(C89+T89)),AZ89,0),IF(AND(NOT(AND(AU89=1,AT89&lt;&gt;1)),ISNUMBER(AM89),AM89&lt;=(C89+T89)),BA89,0),IF(AND(NOT(AND(AU89=1,AT89&lt;&gt;1)),ISNUMBER(AN89),AN89&lt;=(C89+T89)),BB89,0),IF(AND(ISNUMBER(AO89),AO89&lt;=(C89+T89)),BC89,0))),"ML",IF(AND(IF(AND(NOT(AND(AU89=1,AT89&lt;&gt;1)),ISNUMBER(AN89),AN89&lt;=(C89+T89)),BB89,0)&gt;0,IF(AND(NOT(AND(AU89=1,AT89&lt;&gt;1)),ISNUMBER(AN89),AN89&lt;=(C89+T89)),BB89,0)=MAX(IF(AND(NOT(AND(AU89=1,AT89&lt;&gt;1)),ISNUMBER(AK89),AK89&lt;=(C89+T89)),AY89,0),IF(AND(NOT(AND(AU89=1,AT89&lt;&gt;1)),ISNUMBER(AL89),AL89&lt;=(C89+T89)),AZ89,0),IF(AND(NOT(AND(AU89=1,AT89&lt;&gt;1)),ISNUMBER(AM89),AM89&lt;=(C89+T89)),BA89,0),IF(AND(NOT(AND(AU89=1,AT89&lt;&gt;1)),ISNUMBER(AN89),AN89&lt;=(C89+T89)),BB89,0),IF(AND(ISNUMBER(AO89),AO89&lt;=(C89+T89)),BC89,0))),"RLO","BD"))))))))</f>
        <v/>
      </c>
    </row>
    <row r="90">
      <c r="A90" s="26" t="n">
        <v>79</v>
      </c>
      <c r="B90" s="27">
        <f>A90*10/60</f>
        <v/>
      </c>
      <c r="C90" s="22">
        <f>X89</f>
        <v/>
      </c>
      <c r="D90" s="27">
        <f>D89+W89</f>
        <v/>
      </c>
      <c r="E90" s="26">
        <f>E89+IF(U89="SK",1,0)</f>
        <v/>
      </c>
      <c r="F90" s="26">
        <f>F89+IF(U89="LB",1,0)</f>
        <v/>
      </c>
      <c r="G90" s="26">
        <f>G89+IF(U89="ML",1,0)</f>
        <v/>
      </c>
      <c r="H90" s="26">
        <f>H89+IF(U89="RLO",1,0)</f>
        <v/>
      </c>
      <c r="I90" s="26">
        <f>I89+IF(U89="BD",1,0)</f>
        <v/>
      </c>
      <c r="J90" s="26">
        <f>MAX(J89,IF(U89="BiP",1,0))</f>
        <v/>
      </c>
      <c r="K90" s="26">
        <f>MAX(K89,IF(U89="PV",1,0))</f>
        <v/>
      </c>
      <c r="L90" s="26">
        <f>MAX(L89,IF(U89="OC",1,0))</f>
        <v/>
      </c>
      <c r="M90" s="26">
        <f>MAX(M89,IF(U89="MG",1,0))</f>
        <v/>
      </c>
      <c r="N90" s="26">
        <f>MAX(N89,IF(U89="transition",1,0))</f>
        <v/>
      </c>
      <c r="O90" s="28">
        <f>(Parameters!$B$9+(IF(E90=0,0,(Upgrades!$J$13+E90*Upgrades!$K$13)*POWER(Upgrades!$L$13,E90)))*(IF(Upgrades!$T$14="Stellar Kinematics",POWER(Upgrades!$U$14,F90),1)*IF(Upgrades!$T$15="Stellar Kinematics",POWER(Upgrades!$U$15,G90),1)*IF(Upgrades!$T$16="Stellar Kinematics",POWER(Upgrades!$U$16,H90),1)*IF(Upgrades!$T$17="Stellar Kinematics",POWER(Upgrades!$U$17,I90),1)*IF(Upgrades!$T$18="Stellar Kinematics",POWER(Upgrades!$U$18,J90),1)*IF(Upgrades!$T$19="Stellar Kinematics",POWER(Upgrades!$U$19,K90),1)*IF(Upgrades!$T$20="Stellar Kinematics",POWER(Upgrades!$U$20,L90),1)*IF(Upgrades!$T$21="Stellar Kinematics",POWER(Upgrades!$U$21,M90),1))+(IF(F90=0,0,(Upgrades!$J$14+F90*Upgrades!$K$14)*POWER(Upgrades!$L$14,F90)))*(IF(Upgrades!$T$13="Local Bubble",POWER(Upgrades!$U$13,E90),1)*IF(Upgrades!$T$15="Local Bubble",POWER(Upgrades!$U$15,G90),1)*IF(Upgrades!$T$16="Local Bubble",POWER(Upgrades!$U$16,H90),1)*IF(Upgrades!$T$17="Local Bubble",POWER(Upgrades!$U$17,I90),1)*IF(Upgrades!$T$18="Local Bubble",POWER(Upgrades!$U$18,J90),1)*IF(Upgrades!$T$19="Local Bubble",POWER(Upgrades!$U$19,K90),1)*IF(Upgrades!$T$20="Local Bubble",POWER(Upgrades!$U$20,L90),1)*IF(Upgrades!$T$21="Local Bubble",POWER(Upgrades!$U$21,M90),1))+(IF(G90=0,0,(Upgrades!$J$15+G90*Upgrades!$K$15)*POWER(Upgrades!$L$15,G90)))*(IF(Upgrades!$T$13="Microlensing",POWER(Upgrades!$U$13,E90),1)*IF(Upgrades!$T$14="Microlensing",POWER(Upgrades!$U$14,F90),1)*IF(Upgrades!$T$16="Microlensing",POWER(Upgrades!$U$16,H90),1)*IF(Upgrades!$T$17="Microlensing",POWER(Upgrades!$U$17,I90),1)*IF(Upgrades!$T$18="Microlensing",POWER(Upgrades!$U$18,J90),1)*IF(Upgrades!$T$19="Microlensing",POWER(Upgrades!$U$19,K90),1)*IF(Upgrades!$T$20="Microlensing",POWER(Upgrades!$U$20,L90),1)*IF(Upgrades!$T$21="Microlensing",POWER(Upgrades!$U$21,M90),1))+(IF(H90=0,0,(Upgrades!$J$16+H90*Upgrades!$K$16)*POWER(Upgrades!$L$16,H90)))*(IF(Upgrades!$T$13="Roche Lobe Overflow",POWER(Upgrades!$U$13,E90),1)*IF(Upgrades!$T$14="Roche Lobe Overflow",POWER(Upgrades!$U$14,F90),1)*IF(Upgrades!$T$15="Roche Lobe Overflow",POWER(Upgrades!$U$15,G90),1)*IF(Upgrades!$T$17="Roche Lobe Overflow",POWER(Upgrades!$U$17,I90),1)*IF(Upgrades!$T$18="Roche Lobe Overflow",POWER(Upgrades!$U$18,J90),1)*IF(Upgrades!$T$19="Roche Lobe Overflow",POWER(Upgrades!$U$19,K90),1)*IF(Upgrades!$T$20="Roche Lobe Overflow",POWER(Upgrades!$U$20,L90),1)*IF(Upgrades!$T$21="Roche Lobe Overflow",POWER(Upgrades!$U$21,M90),1))+(IF(I90=0,0,(Upgrades!$J$17+I90*Upgrades!$K$17)*POWER(Upgrades!$L$17,I90)))*(IF(Upgrades!$T$13="Brown Dwarf",POWER(Upgrades!$U$13,E90),1)*IF(Upgrades!$T$14="Brown Dwarf",POWER(Upgrades!$U$14,F90),1)*IF(Upgrades!$T$15="Brown Dwarf",POWER(Upgrades!$U$15,G90),1)*IF(Upgrades!$T$16="Brown Dwarf",POWER(Upgrades!$U$16,H90),1)*IF(Upgrades!$T$18="Brown Dwarf",POWER(Upgrades!$U$18,J90),1)*IF(Upgrades!$T$19="Brown Dwarf",POWER(Upgrades!$U$19,K90),1)*IF(Upgrades!$T$20="Brown Dwarf",POWER(Upgrades!$U$20,L90),1)*IF(Upgrades!$T$21="Brown Dwarf",POWER(Upgrades!$U$21,M90),1))+(IF(J90=0,0,(Upgrades!$J$18+J90*Upgrades!$K$18)*POWER(Upgrades!$L$18,J90)))*(IF(Upgrades!$T$13="Binary Partner",POWER(Upgrades!$U$13,E90),1)*IF(Upgrades!$T$14="Binary Partner",POWER(Upgrades!$U$14,F90),1)*IF(Upgrades!$T$15="Binary Partner",POWER(Upgrades!$U$15,G90),1)*IF(Upgrades!$T$16="Binary Partner",POWER(Upgrades!$U$16,H90),1)*IF(Upgrades!$T$17="Binary Partner",POWER(Upgrades!$U$17,I90),1)*IF(Upgrades!$T$19="Binary Partner",POWER(Upgrades!$U$19,K90),1)*IF(Upgrades!$T$20="Binary Partner",POWER(Upgrades!$U$20,L90),1)*IF(Upgrades!$T$21="Binary Partner",POWER(Upgrades!$U$21,M90),1))+(IF(K90=0,0,(Upgrades!$J$19+K90*Upgrades!$K$19)*POWER(Upgrades!$L$19,K90)))*(IF(Upgrades!$T$13="Peculiar Velocity",POWER(Upgrades!$U$13,E90),1)*IF(Upgrades!$T$14="Peculiar Velocity",POWER(Upgrades!$U$14,F90),1)*IF(Upgrades!$T$15="Peculiar Velocity",POWER(Upgrades!$U$15,G90),1)*IF(Upgrades!$T$16="Peculiar Velocity",POWER(Upgrades!$U$16,H90),1)*IF(Upgrades!$T$17="Peculiar Velocity",POWER(Upgrades!$U$17,I90),1)*IF(Upgrades!$T$18="Peculiar Velocity",POWER(Upgrades!$U$18,J90),1)*IF(Upgrades!$T$20="Peculiar Velocity",POWER(Upgrades!$U$20,L90),1)*IF(Upgrades!$T$21="Peculiar Velocity",POWER(Upgrades!$U$21,M90),1))+(IF(L90=0,0,(Upgrades!$J$20+L90*Upgrades!$K$20)*POWER(Upgrades!$L$20,L90)))*(IF(Upgrades!$T$13="Open Cluster",POWER(Upgrades!$U$13,E90),1)*IF(Upgrades!$T$14="Open Cluster",POWER(Upgrades!$U$14,F90),1)*IF(Upgrades!$T$15="Open Cluster",POWER(Upgrades!$U$15,G90),1)*IF(Upgrades!$T$16="Open Cluster",POWER(Upgrades!$U$16,H90),1)*IF(Upgrades!$T$17="Open Cluster",POWER(Upgrades!$U$17,I90),1)*IF(Upgrades!$T$18="Open Cluster",POWER(Upgrades!$U$18,J90),1)*IF(Upgrades!$T$19="Open Cluster",POWER(Upgrades!$U$19,K90),1)*IF(Upgrades!$T$21="Open Cluster",POWER(Upgrades!$U$21,M90),1))+(IF(M90=0,0,(Upgrades!$J$21+M90*Upgrades!$K$21)*POWER(Upgrades!$L$21,M90)))*(IF(Upgrades!$T$13="Moving Group",POWER(Upgrades!$U$13,E90),1)*IF(Upgrades!$T$14="Moving Group",POWER(Upgrades!$U$14,F90),1)*IF(Upgrades!$T$15="Moving Group",POWER(Upgrades!$U$15,G90),1)*IF(Upgrades!$T$16="Moving Group",POWER(Upgrades!$U$16,H90),1)*IF(Upgrades!$T$17="Moving Group",POWER(Upgrades!$U$17,I90),1)*IF(Upgrades!$T$18="Moving Group",POWER(Upgrades!$U$18,J90),1)*IF(Upgrades!$T$19="Moving Group",POWER(Upgrades!$U$19,K90),1)*IF(Upgrades!$T$20="Moving Group",POWER(Upgrades!$U$20,L90),1)))*POWER(Upgrades!$Q$13,E90)*POWER(Upgrades!$Q$14,F90)*POWER(Upgrades!$Q$15,G90)*POWER(Upgrades!$Q$16,H90)*POWER(Upgrades!$Q$17,I90)*POWER(Upgrades!$Q$18,J90)*POWER(Upgrades!$Q$19,K90)*POWER(Upgrades!$Q$20,L90)*POWER(Upgrades!$Q$21,M90)*$G$6+$D$6</f>
        <v/>
      </c>
      <c r="P90" s="28">
        <f>((IF(E90=0,0,(Upgrades!$G$13+E90*Upgrades!$H$13)*POWER(Upgrades!$I$13,E90)))*(IF(Upgrades!$T$14="Stellar Kinematics",POWER(Upgrades!$U$14,F90),1)*IF(Upgrades!$T$15="Stellar Kinematics",POWER(Upgrades!$U$15,G90),1)*IF(Upgrades!$T$16="Stellar Kinematics",POWER(Upgrades!$U$16,H90),1)*IF(Upgrades!$T$17="Stellar Kinematics",POWER(Upgrades!$U$17,I90),1)*IF(Upgrades!$T$18="Stellar Kinematics",POWER(Upgrades!$U$18,J90),1)*IF(Upgrades!$T$19="Stellar Kinematics",POWER(Upgrades!$U$19,K90),1)*IF(Upgrades!$T$20="Stellar Kinematics",POWER(Upgrades!$U$20,L90),1)*IF(Upgrades!$T$21="Stellar Kinematics",POWER(Upgrades!$U$21,M90),1))+(IF(F90=0,0,(Upgrades!$G$14+F90*Upgrades!$H$14)*POWER(Upgrades!$I$14,F90)))*(IF(Upgrades!$T$13="Local Bubble",POWER(Upgrades!$U$13,E90),1)*IF(Upgrades!$T$15="Local Bubble",POWER(Upgrades!$U$15,G90),1)*IF(Upgrades!$T$16="Local Bubble",POWER(Upgrades!$U$16,H90),1)*IF(Upgrades!$T$17="Local Bubble",POWER(Upgrades!$U$17,I90),1)*IF(Upgrades!$T$18="Local Bubble",POWER(Upgrades!$U$18,J90),1)*IF(Upgrades!$T$19="Local Bubble",POWER(Upgrades!$U$19,K90),1)*IF(Upgrades!$T$20="Local Bubble",POWER(Upgrades!$U$20,L90),1)*IF(Upgrades!$T$21="Local Bubble",POWER(Upgrades!$U$21,M90),1))+(IF(G90=0,0,(Upgrades!$G$15+G90*Upgrades!$H$15)*POWER(Upgrades!$I$15,G90)))*(IF(Upgrades!$T$13="Microlensing",POWER(Upgrades!$U$13,E90),1)*IF(Upgrades!$T$14="Microlensing",POWER(Upgrades!$U$14,F90),1)*IF(Upgrades!$T$16="Microlensing",POWER(Upgrades!$U$16,H90),1)*IF(Upgrades!$T$17="Microlensing",POWER(Upgrades!$U$17,I90),1)*IF(Upgrades!$T$18="Microlensing",POWER(Upgrades!$U$18,J90),1)*IF(Upgrades!$T$19="Microlensing",POWER(Upgrades!$U$19,K90),1)*IF(Upgrades!$T$20="Microlensing",POWER(Upgrades!$U$20,L90),1)*IF(Upgrades!$T$21="Microlensing",POWER(Upgrades!$U$21,M90),1))+(IF(H90=0,0,(Upgrades!$G$16+H90*Upgrades!$H$16)*POWER(Upgrades!$I$16,H90)))*(IF(Upgrades!$T$13="Roche Lobe Overflow",POWER(Upgrades!$U$13,E90),1)*IF(Upgrades!$T$14="Roche Lobe Overflow",POWER(Upgrades!$U$14,F90),1)*IF(Upgrades!$T$15="Roche Lobe Overflow",POWER(Upgrades!$U$15,G90),1)*IF(Upgrades!$T$17="Roche Lobe Overflow",POWER(Upgrades!$U$17,I90),1)*IF(Upgrades!$T$18="Roche Lobe Overflow",POWER(Upgrades!$U$18,J90),1)*IF(Upgrades!$T$19="Roche Lobe Overflow",POWER(Upgrades!$U$19,K90),1)*IF(Upgrades!$T$20="Roche Lobe Overflow",POWER(Upgrades!$U$20,L90),1)*IF(Upgrades!$T$21="Roche Lobe Overflow",POWER(Upgrades!$U$21,M90),1))+(IF(I90=0,0,(Upgrades!$G$17+I90*Upgrades!$H$17)*POWER(Upgrades!$I$17,I90)))*(IF(Upgrades!$T$13="Brown Dwarf",POWER(Upgrades!$U$13,E90),1)*IF(Upgrades!$T$14="Brown Dwarf",POWER(Upgrades!$U$14,F90),1)*IF(Upgrades!$T$15="Brown Dwarf",POWER(Upgrades!$U$15,G90),1)*IF(Upgrades!$T$16="Brown Dwarf",POWER(Upgrades!$U$16,H90),1)*IF(Upgrades!$T$18="Brown Dwarf",POWER(Upgrades!$U$18,J90),1)*IF(Upgrades!$T$19="Brown Dwarf",POWER(Upgrades!$U$19,K90),1)*IF(Upgrades!$T$20="Brown Dwarf",POWER(Upgrades!$U$20,L90),1)*IF(Upgrades!$T$21="Brown Dwarf",POWER(Upgrades!$U$21,M90),1))+(IF(J90=0,0,(Upgrades!$G$18+J90*Upgrades!$H$18)*POWER(Upgrades!$I$18,J90)))*(IF(Upgrades!$T$13="Binary Partner",POWER(Upgrades!$U$13,E90),1)*IF(Upgrades!$T$14="Binary Partner",POWER(Upgrades!$U$14,F90),1)*IF(Upgrades!$T$15="Binary Partner",POWER(Upgrades!$U$15,G90),1)*IF(Upgrades!$T$16="Binary Partner",POWER(Upgrades!$U$16,H90),1)*IF(Upgrades!$T$17="Binary Partner",POWER(Upgrades!$U$17,I90),1)*IF(Upgrades!$T$19="Binary Partner",POWER(Upgrades!$U$19,K90),1)*IF(Upgrades!$T$20="Binary Partner",POWER(Upgrades!$U$20,L90),1)*IF(Upgrades!$T$21="Binary Partner",POWER(Upgrades!$U$21,M90),1))+(IF(K90=0,0,(Upgrades!$G$19+K90*Upgrades!$H$19)*POWER(Upgrades!$I$19,K90)))*(IF(Upgrades!$T$13="Peculiar Velocity",POWER(Upgrades!$U$13,E90),1)*IF(Upgrades!$T$14="Peculiar Velocity",POWER(Upgrades!$U$14,F90),1)*IF(Upgrades!$T$15="Peculiar Velocity",POWER(Upgrades!$U$15,G90),1)*IF(Upgrades!$T$16="Peculiar Velocity",POWER(Upgrades!$U$16,H90),1)*IF(Upgrades!$T$17="Peculiar Velocity",POWER(Upgrades!$U$17,I90),1)*IF(Upgrades!$T$18="Peculiar Velocity",POWER(Upgrades!$U$18,J90),1)*IF(Upgrades!$T$20="Peculiar Velocity",POWER(Upgrades!$U$20,L90),1)*IF(Upgrades!$T$21="Peculiar Velocity",POWER(Upgrades!$U$21,M90),1))+(IF(L90=0,0,(Upgrades!$G$20+L90*Upgrades!$H$20)*POWER(Upgrades!$I$20,L90)))*(IF(Upgrades!$T$13="Open Cluster",POWER(Upgrades!$U$13,E90),1)*IF(Upgrades!$T$14="Open Cluster",POWER(Upgrades!$U$14,F90),1)*IF(Upgrades!$T$15="Open Cluster",POWER(Upgrades!$U$15,G90),1)*IF(Upgrades!$T$16="Open Cluster",POWER(Upgrades!$U$16,H90),1)*IF(Upgrades!$T$17="Open Cluster",POWER(Upgrades!$U$17,I90),1)*IF(Upgrades!$T$18="Open Cluster",POWER(Upgrades!$U$18,J90),1)*IF(Upgrades!$T$19="Open Cluster",POWER(Upgrades!$U$19,K90),1)*IF(Upgrades!$T$21="Open Cluster",POWER(Upgrades!$U$21,M90),1))+(IF(M90=0,0,(Upgrades!$G$21+M90*Upgrades!$H$21)*POWER(Upgrades!$I$21,M90)))*(IF(Upgrades!$T$13="Moving Group",POWER(Upgrades!$U$13,E90),1)*IF(Upgrades!$T$14="Moving Group",POWER(Upgrades!$U$14,F90),1)*IF(Upgrades!$T$15="Moving Group",POWER(Upgrades!$U$15,G90),1)*IF(Upgrades!$T$16="Moving Group",POWER(Upgrades!$U$16,H90),1)*IF(Upgrades!$T$17="Moving Group",POWER(Upgrades!$U$17,I90),1)*IF(Upgrades!$T$18="Moving Group",POWER(Upgrades!$U$18,J90),1)*IF(Upgrades!$T$19="Moving Group",POWER(Upgrades!$U$19,K90),1)*IF(Upgrades!$T$20="Moving Group",POWER(Upgrades!$U$20,L90),1)))*POWER(Upgrades!$P$13,E90)*POWER(Upgrades!$P$14,F90)*POWER(Upgrades!$P$15,G90)*POWER(Upgrades!$P$16,H90)*POWER(Upgrades!$P$17,I90)*POWER(Upgrades!$P$18,J90)*POWER(Upgrades!$P$19,K90)*POWER(Upgrades!$P$20,L90)*POWER(Upgrades!$P$21,M90)*$F$6+$C$6</f>
        <v/>
      </c>
      <c r="Q90" s="28">
        <f>((IF(E90=0,0,(Upgrades!$M$13+E90*Upgrades!$N$13)*POWER(Upgrades!$O$13,E90)))*(IF(Upgrades!$T$14="Stellar Kinematics",POWER(Upgrades!$U$14,F90),1)*IF(Upgrades!$T$15="Stellar Kinematics",POWER(Upgrades!$U$15,G90),1)*IF(Upgrades!$T$16="Stellar Kinematics",POWER(Upgrades!$U$16,H90),1)*IF(Upgrades!$T$17="Stellar Kinematics",POWER(Upgrades!$U$17,I90),1)*IF(Upgrades!$T$18="Stellar Kinematics",POWER(Upgrades!$U$18,J90),1)*IF(Upgrades!$T$19="Stellar Kinematics",POWER(Upgrades!$U$19,K90),1)*IF(Upgrades!$T$20="Stellar Kinematics",POWER(Upgrades!$U$20,L90),1)*IF(Upgrades!$T$21="Stellar Kinematics",POWER(Upgrades!$U$21,M90),1))+(IF(F90=0,0,(Upgrades!$M$14+F90*Upgrades!$N$14)*POWER(Upgrades!$O$14,F90)))*(IF(Upgrades!$T$13="Local Bubble",POWER(Upgrades!$U$13,E90),1)*IF(Upgrades!$T$15="Local Bubble",POWER(Upgrades!$U$15,G90),1)*IF(Upgrades!$T$16="Local Bubble",POWER(Upgrades!$U$16,H90),1)*IF(Upgrades!$T$17="Local Bubble",POWER(Upgrades!$U$17,I90),1)*IF(Upgrades!$T$18="Local Bubble",POWER(Upgrades!$U$18,J90),1)*IF(Upgrades!$T$19="Local Bubble",POWER(Upgrades!$U$19,K90),1)*IF(Upgrades!$T$20="Local Bubble",POWER(Upgrades!$U$20,L90),1)*IF(Upgrades!$T$21="Local Bubble",POWER(Upgrades!$U$21,M90),1))+(IF(G90=0,0,(Upgrades!$M$15+G90*Upgrades!$N$15)*POWER(Upgrades!$O$15,G90)))*(IF(Upgrades!$T$13="Microlensing",POWER(Upgrades!$U$13,E90),1)*IF(Upgrades!$T$14="Microlensing",POWER(Upgrades!$U$14,F90),1)*IF(Upgrades!$T$16="Microlensing",POWER(Upgrades!$U$16,H90),1)*IF(Upgrades!$T$17="Microlensing",POWER(Upgrades!$U$17,I90),1)*IF(Upgrades!$T$18="Microlensing",POWER(Upgrades!$U$18,J90),1)*IF(Upgrades!$T$19="Microlensing",POWER(Upgrades!$U$19,K90),1)*IF(Upgrades!$T$20="Microlensing",POWER(Upgrades!$U$20,L90),1)*IF(Upgrades!$T$21="Microlensing",POWER(Upgrades!$U$21,M90),1))+(IF(H90=0,0,(Upgrades!$M$16+H90*Upgrades!$N$16)*POWER(Upgrades!$O$16,H90)))*(IF(Upgrades!$T$13="Roche Lobe Overflow",POWER(Upgrades!$U$13,E90),1)*IF(Upgrades!$T$14="Roche Lobe Overflow",POWER(Upgrades!$U$14,F90),1)*IF(Upgrades!$T$15="Roche Lobe Overflow",POWER(Upgrades!$U$15,G90),1)*IF(Upgrades!$T$17="Roche Lobe Overflow",POWER(Upgrades!$U$17,I90),1)*IF(Upgrades!$T$18="Roche Lobe Overflow",POWER(Upgrades!$U$18,J90),1)*IF(Upgrades!$T$19="Roche Lobe Overflow",POWER(Upgrades!$U$19,K90),1)*IF(Upgrades!$T$20="Roche Lobe Overflow",POWER(Upgrades!$U$20,L90),1)*IF(Upgrades!$T$21="Roche Lobe Overflow",POWER(Upgrades!$U$21,M90),1))+(IF(I90=0,0,(Upgrades!$M$17+I90*Upgrades!$N$17)*POWER(Upgrades!$O$17,I90)))*(IF(Upgrades!$T$13="Brown Dwarf",POWER(Upgrades!$U$13,E90),1)*IF(Upgrades!$T$14="Brown Dwarf",POWER(Upgrades!$U$14,F90),1)*IF(Upgrades!$T$15="Brown Dwarf",POWER(Upgrades!$U$15,G90),1)*IF(Upgrades!$T$16="Brown Dwarf",POWER(Upgrades!$U$16,H90),1)*IF(Upgrades!$T$18="Brown Dwarf",POWER(Upgrades!$U$18,J90),1)*IF(Upgrades!$T$19="Brown Dwarf",POWER(Upgrades!$U$19,K90),1)*IF(Upgrades!$T$20="Brown Dwarf",POWER(Upgrades!$U$20,L90),1)*IF(Upgrades!$T$21="Brown Dwarf",POWER(Upgrades!$U$21,M90),1))+(IF(J90=0,0,(Upgrades!$M$18+J90*Upgrades!$N$18)*POWER(Upgrades!$O$18,J90)))*(IF(Upgrades!$T$13="Binary Partner",POWER(Upgrades!$U$13,E90),1)*IF(Upgrades!$T$14="Binary Partner",POWER(Upgrades!$U$14,F90),1)*IF(Upgrades!$T$15="Binary Partner",POWER(Upgrades!$U$15,G90),1)*IF(Upgrades!$T$16="Binary Partner",POWER(Upgrades!$U$16,H90),1)*IF(Upgrades!$T$17="Binary Partner",POWER(Upgrades!$U$17,I90),1)*IF(Upgrades!$T$19="Binary Partner",POWER(Upgrades!$U$19,K90),1)*IF(Upgrades!$T$20="Binary Partner",POWER(Upgrades!$U$20,L90),1)*IF(Upgrades!$T$21="Binary Partner",POWER(Upgrades!$U$21,M90),1))+(IF(K90=0,0,(Upgrades!$M$19+K90*Upgrades!$N$19)*POWER(Upgrades!$O$19,K90)))*(IF(Upgrades!$T$13="Peculiar Velocity",POWER(Upgrades!$U$13,E90),1)*IF(Upgrades!$T$14="Peculiar Velocity",POWER(Upgrades!$U$14,F90),1)*IF(Upgrades!$T$15="Peculiar Velocity",POWER(Upgrades!$U$15,G90),1)*IF(Upgrades!$T$16="Peculiar Velocity",POWER(Upgrades!$U$16,H90),1)*IF(Upgrades!$T$17="Peculiar Velocity",POWER(Upgrades!$U$17,I90),1)*IF(Upgrades!$T$18="Peculiar Velocity",POWER(Upgrades!$U$18,J90),1)*IF(Upgrades!$T$20="Peculiar Velocity",POWER(Upgrades!$U$20,L90),1)*IF(Upgrades!$T$21="Peculiar Velocity",POWER(Upgrades!$U$21,M90),1))+(IF(L90=0,0,(Upgrades!$M$20+L90*Upgrades!$N$20)*POWER(Upgrades!$O$20,L90)))*(IF(Upgrades!$T$13="Open Cluster",POWER(Upgrades!$U$13,E90),1)*IF(Upgrades!$T$14="Open Cluster",POWER(Upgrades!$U$14,F90),1)*IF(Upgrades!$T$15="Open Cluster",POWER(Upgrades!$U$15,G90),1)*IF(Upgrades!$T$16="Open Cluster",POWER(Upgrades!$U$16,H90),1)*IF(Upgrades!$T$17="Open Cluster",POWER(Upgrades!$U$17,I90),1)*IF(Upgrades!$T$18="Open Cluster",POWER(Upgrades!$U$18,J90),1)*IF(Upgrades!$T$19="Open Cluster",POWER(Upgrades!$U$19,K90),1)*IF(Upgrades!$T$21="Open Cluster",POWER(Upgrades!$U$21,M90),1))+(IF(M90=0,0,(Upgrades!$M$21+M90*Upgrades!$N$21)*POWER(Upgrades!$O$21,M90)))*(IF(Upgrades!$T$13="Moving Group",POWER(Upgrades!$U$13,E90),1)*IF(Upgrades!$T$14="Moving Group",POWER(Upgrades!$U$14,F90),1)*IF(Upgrades!$T$15="Moving Group",POWER(Upgrades!$U$15,G90),1)*IF(Upgrades!$T$16="Moving Group",POWER(Upgrades!$U$16,H90),1)*IF(Upgrades!$T$17="Moving Group",POWER(Upgrades!$U$17,I90),1)*IF(Upgrades!$T$18="Moving Group",POWER(Upgrades!$U$18,J90),1)*IF(Upgrades!$T$19="Moving Group",POWER(Upgrades!$U$19,K90),1)*IF(Upgrades!$T$20="Moving Group",POWER(Upgrades!$U$20,L90),1)))*POWER(Upgrades!$R$13,E90)*POWER(Upgrades!$R$14,F90)*POWER(Upgrades!$R$15,G90)*POWER(Upgrades!$R$16,H90)*POWER(Upgrades!$R$17,I90)*POWER(Upgrades!$R$18,J90)*POWER(Upgrades!$R$19,K90)*POWER(Upgrades!$R$20,L90)*POWER(Upgrades!$R$21,M90)*$H$6+$E$6</f>
        <v/>
      </c>
      <c r="R90" s="27">
        <f>IF(N90=1,0,O90*Parameters!$B$10/60*Parameters!$B$11*10)</f>
        <v/>
      </c>
      <c r="S90" s="27">
        <f>IF(N90=1,0,Q90*O90*10)</f>
        <v/>
      </c>
      <c r="T90" s="27">
        <f>IF(N90=1,0,R90+S90+P90*10)</f>
        <v/>
      </c>
      <c r="U90" s="33">
        <f>BE90</f>
        <v/>
      </c>
      <c r="V90" s="22">
        <f>IF(U90="",0,IF(U90="transition",0,IF(U90="SK",AK90,IF(U90="LB",AL90,IF(U90="ML",AM90,IF(U90="RLO",AN90,IF(U90="BD",AO90,IF(U90="BiP",AP90,IF(U90="PV",AQ90,IF(U90="OC",AR90,IF(U90="MG",AS90,0))))))))))</f>
        <v/>
      </c>
      <c r="W90" s="27">
        <f>IF(U90="BiP",Upgrades!$F$18,IF(U90="PV",Upgrades!$F$19,IF(U90="OC",Upgrades!$F$20,IF(U90="MG",Upgrades!$F$21,IF(U90="transition",-Parameters!$B$18*Parameters!$B$19,0)))))</f>
        <v/>
      </c>
      <c r="X90" s="22">
        <f>C90+T90-V90</f>
        <v/>
      </c>
      <c r="Y90" s="30">
        <f>O90*Parameters!$B$10/60*Parameters!$B$11+Q90*O90+P90</f>
        <v/>
      </c>
      <c r="Z90" s="34">
        <f>IF(U90="transition","→ Tier 3 (Galactic Arm)",IF(U90="MG","Moving Group — pocket drifts together",IF(U90="OC","Open Cluster acquired",IF(U90="PV","Peculiar Velocity — passive multiplier active",IF(U90="BiP","Binary Partner — pair bond formed",IF(AND(AU90=1,N90=0,AT90&lt;&gt;1),"Cohesion ready (waiting on completionists)","")))))) </f>
        <v/>
      </c>
      <c r="AA90" s="27">
        <f>(IF(E90=0,0,(Upgrades!$G$13+E90*Upgrades!$H$13)*POWER(Upgrades!$I$13,E90)))*(IF(Upgrades!$T$14="Stellar Kinematics",POWER(Upgrades!$U$14,F90),1)*IF(Upgrades!$T$15="Stellar Kinematics",POWER(Upgrades!$U$15,G90),1)*IF(Upgrades!$T$16="Stellar Kinematics",POWER(Upgrades!$U$16,H90),1)*IF(Upgrades!$T$17="Stellar Kinematics",POWER(Upgrades!$U$17,I90),1)*IF(Upgrades!$T$18="Stellar Kinematics",POWER(Upgrades!$U$18,J90),1)*IF(Upgrades!$T$19="Stellar Kinematics",POWER(Upgrades!$U$19,K90),1)*IF(Upgrades!$T$20="Stellar Kinematics",POWER(Upgrades!$U$20,L90),1)*IF(Upgrades!$T$21="Stellar Kinematics",POWER(Upgrades!$U$21,M90),1))*POWER(Upgrades!$P$13,E90)*POWER(Upgrades!$P$14,F90)*POWER(Upgrades!$P$15,G90)*POWER(Upgrades!$P$16,H90)*POWER(Upgrades!$P$17,I90)*POWER(Upgrades!$P$18,J90)*POWER(Upgrades!$P$19,K90)*POWER(Upgrades!$P$20,L90)*POWER(Upgrades!$P$21,M90)*$F$6*60</f>
        <v/>
      </c>
      <c r="AB90" s="27">
        <f>(IF(F90=0,0,(Upgrades!$G$14+F90*Upgrades!$H$14)*POWER(Upgrades!$I$14,F90)))*(IF(Upgrades!$T$13="Local Bubble",POWER(Upgrades!$U$13,E90),1)*IF(Upgrades!$T$15="Local Bubble",POWER(Upgrades!$U$15,G90),1)*IF(Upgrades!$T$16="Local Bubble",POWER(Upgrades!$U$16,H90),1)*IF(Upgrades!$T$17="Local Bubble",POWER(Upgrades!$U$17,I90),1)*IF(Upgrades!$T$18="Local Bubble",POWER(Upgrades!$U$18,J90),1)*IF(Upgrades!$T$19="Local Bubble",POWER(Upgrades!$U$19,K90),1)*IF(Upgrades!$T$20="Local Bubble",POWER(Upgrades!$U$20,L90),1)*IF(Upgrades!$T$21="Local Bubble",POWER(Upgrades!$U$21,M90),1))*POWER(Upgrades!$P$13,E90)*POWER(Upgrades!$P$14,F90)*POWER(Upgrades!$P$15,G90)*POWER(Upgrades!$P$16,H90)*POWER(Upgrades!$P$17,I90)*POWER(Upgrades!$P$18,J90)*POWER(Upgrades!$P$19,K90)*POWER(Upgrades!$P$20,L90)*POWER(Upgrades!$P$21,M90)*$F$6*60</f>
        <v/>
      </c>
      <c r="AC90" s="27">
        <f>(IF(G90=0,0,(Upgrades!$J$15+G90*Upgrades!$K$15)*POWER(Upgrades!$L$15,G90)))*(IF(Upgrades!$T$13="Microlensing",POWER(Upgrades!$U$13,E90),1)*IF(Upgrades!$T$14="Microlensing",POWER(Upgrades!$U$14,F90),1)*IF(Upgrades!$T$16="Microlensing",POWER(Upgrades!$U$16,H90),1)*IF(Upgrades!$T$17="Microlensing",POWER(Upgrades!$U$17,I90),1)*IF(Upgrades!$T$18="Microlensing",POWER(Upgrades!$U$18,J90),1)*IF(Upgrades!$T$19="Microlensing",POWER(Upgrades!$U$19,K90),1)*IF(Upgrades!$T$20="Microlensing",POWER(Upgrades!$U$20,L90),1)*IF(Upgrades!$T$21="Microlensing",POWER(Upgrades!$U$21,M90),1))*POWER(Upgrades!$Q$13,E90)*POWER(Upgrades!$Q$14,F90)*POWER(Upgrades!$Q$15,G90)*POWER(Upgrades!$Q$16,H90)*POWER(Upgrades!$Q$17,I90)*POWER(Upgrades!$Q$18,J90)*POWER(Upgrades!$Q$19,K90)*POWER(Upgrades!$Q$20,L90)*POWER(Upgrades!$Q$21,M90)*$G$6*(Parameters!$B$10*Parameters!$B$11+Q90*60)</f>
        <v/>
      </c>
      <c r="AD90" s="27">
        <f>(IF(H90=0,0,(Upgrades!$M$16+H90*Upgrades!$N$16)*POWER(Upgrades!$O$16,H90)))*(IF(Upgrades!$T$13="Roche Lobe Overflow",POWER(Upgrades!$U$13,E90),1)*IF(Upgrades!$T$14="Roche Lobe Overflow",POWER(Upgrades!$U$14,F90),1)*IF(Upgrades!$T$15="Roche Lobe Overflow",POWER(Upgrades!$U$15,G90),1)*IF(Upgrades!$T$17="Roche Lobe Overflow",POWER(Upgrades!$U$17,I90),1)*IF(Upgrades!$T$18="Roche Lobe Overflow",POWER(Upgrades!$U$18,J90),1)*IF(Upgrades!$T$19="Roche Lobe Overflow",POWER(Upgrades!$U$19,K90),1)*IF(Upgrades!$T$20="Roche Lobe Overflow",POWER(Upgrades!$U$20,L90),1)*IF(Upgrades!$T$21="Roche Lobe Overflow",POWER(Upgrades!$U$21,M90),1))*POWER(Upgrades!$R$13,E90)*POWER(Upgrades!$R$14,F90)*POWER(Upgrades!$R$15,G90)*POWER(Upgrades!$R$16,H90)*POWER(Upgrades!$R$17,I90)*POWER(Upgrades!$R$18,J90)*POWER(Upgrades!$R$19,K90)*POWER(Upgrades!$R$20,L90)*POWER(Upgrades!$R$21,M90)*$H$6*O90*60</f>
        <v/>
      </c>
      <c r="AE90" s="27">
        <f>(IF(I90=0,0,(Upgrades!$G$17+I90*Upgrades!$H$17)*POWER(Upgrades!$I$17,I90)))*(IF(Upgrades!$T$13="Brown Dwarf",POWER(Upgrades!$U$13,E90),1)*IF(Upgrades!$T$14="Brown Dwarf",POWER(Upgrades!$U$14,F90),1)*IF(Upgrades!$T$15="Brown Dwarf",POWER(Upgrades!$U$15,G90),1)*IF(Upgrades!$T$16="Brown Dwarf",POWER(Upgrades!$U$16,H90),1)*IF(Upgrades!$T$18="Brown Dwarf",POWER(Upgrades!$U$18,J90),1)*IF(Upgrades!$T$19="Brown Dwarf",POWER(Upgrades!$U$19,K90),1)*IF(Upgrades!$T$20="Brown Dwarf",POWER(Upgrades!$U$20,L90),1)*IF(Upgrades!$T$21="Brown Dwarf",POWER(Upgrades!$U$21,M90),1))*POWER(Upgrades!$P$13,E90)*POWER(Upgrades!$P$14,F90)*POWER(Upgrades!$P$15,G90)*POWER(Upgrades!$P$16,H90)*POWER(Upgrades!$P$17,I90)*POWER(Upgrades!$P$18,J90)*POWER(Upgrades!$P$19,K90)*POWER(Upgrades!$P$20,L90)*POWER(Upgrades!$P$21,M90)*$F$6*60</f>
        <v/>
      </c>
      <c r="AF90" s="27" t="n">
        <v>0</v>
      </c>
      <c r="AG90" s="27" t="n">
        <v>0</v>
      </c>
      <c r="AH90" s="27" t="n">
        <v>0</v>
      </c>
      <c r="AI90" s="27">
        <f>(IF(M90=0,0,(Upgrades!$G$21+M90*Upgrades!$H$21)*POWER(Upgrades!$I$21,M90)))*(IF(Upgrades!$T$13="Moving Group",POWER(Upgrades!$U$13,E90),1)*IF(Upgrades!$T$14="Moving Group",POWER(Upgrades!$U$14,F90),1)*IF(Upgrades!$T$15="Moving Group",POWER(Upgrades!$U$15,G90),1)*IF(Upgrades!$T$16="Moving Group",POWER(Upgrades!$U$16,H90),1)*IF(Upgrades!$T$17="Moving Group",POWER(Upgrades!$U$17,I90),1)*IF(Upgrades!$T$18="Moving Group",POWER(Upgrades!$U$18,J90),1)*IF(Upgrades!$T$19="Moving Group",POWER(Upgrades!$U$19,K90),1)*IF(Upgrades!$T$20="Moving Group",POWER(Upgrades!$U$20,L90),1))*POWER(Upgrades!$P$13,E90)*POWER(Upgrades!$P$14,F90)*POWER(Upgrades!$P$15,G90)*POWER(Upgrades!$P$16,H90)*POWER(Upgrades!$P$17,I90)*POWER(Upgrades!$P$18,J90)*POWER(Upgrades!$P$19,K90)*POWER(Upgrades!$P$20,L90)*POWER(Upgrades!$P$21,M90)*$F$6*60</f>
        <v/>
      </c>
      <c r="AJ90" s="27">
        <f>$C$6*60</f>
        <v/>
      </c>
      <c r="AK90" s="22">
        <f>IF(E90&gt;=Upgrades!$E$13,"",Upgrades!$C$13*POWER(Upgrades!$D$13,E90))</f>
        <v/>
      </c>
      <c r="AL90" s="22">
        <f>IF(F90&gt;=Upgrades!$E$14,"",Upgrades!$C$14*POWER(Upgrades!$D$14,F90))</f>
        <v/>
      </c>
      <c r="AM90" s="22">
        <f>IF(G90&gt;=Upgrades!$E$15,"",Upgrades!$C$15*POWER(Upgrades!$D$15,G90))</f>
        <v/>
      </c>
      <c r="AN90" s="22">
        <f>IF(H90&gt;=Upgrades!$E$16,"",Upgrades!$C$16*POWER(Upgrades!$D$16,H90))</f>
        <v/>
      </c>
      <c r="AO90" s="22">
        <f>IF(I90&gt;=Upgrades!$E$17,"",Upgrades!$C$17*POWER(Upgrades!$D$17,I90))</f>
        <v/>
      </c>
      <c r="AP90" s="22">
        <f>IF(J90&gt;=Upgrades!$E$18,"",Upgrades!$C$18*POWER(Upgrades!$D$18,J90))</f>
        <v/>
      </c>
      <c r="AQ90" s="22">
        <f>IF(K90&gt;=Upgrades!$E$19,"",Upgrades!$C$19*POWER(Upgrades!$D$19,K90))</f>
        <v/>
      </c>
      <c r="AR90" s="22">
        <f>IF(L90&gt;=Upgrades!$E$20,"",Upgrades!$C$20*POWER(Upgrades!$D$20,L90))</f>
        <v/>
      </c>
      <c r="AS90" s="22">
        <f>IF(M90&gt;=Upgrades!$E$21,"",Upgrades!$C$21*POWER(Upgrades!$D$21,M90))</f>
        <v/>
      </c>
      <c r="AT90" s="26">
        <f>IF(AND(D90&gt;=Parameters!$B$18*Parameters!$B$19,(I90&gt;=Upgrades!$E$17)*(M90&gt;=Upgrades!$E$21)=1,N90=0),1,"")</f>
        <v/>
      </c>
      <c r="AU90" s="26">
        <f>IF(AND(D90&gt;=Parameters!$B$18*Parameters!$B$19,N90=0),1,"")</f>
        <v/>
      </c>
      <c r="AV90" s="22">
        <f>MIN(IF(ISNUMBER(AP90),AP90,9E15),IF(ISNUMBER(AQ90),AQ90,9E15),IF(ISNUMBER(AR90),AR90,9E15),IF(ISNUMBER(AS90),AS90,9E15))</f>
        <v/>
      </c>
      <c r="AW90" s="22">
        <f>MIN(IF(ISNUMBER(AK90),AK90,9E15),IF(ISNUMBER(AL90),AL90,9E15),IF(ISNUMBER(AM90),AM90,9E15),IF(ISNUMBER(AN90),AN90,9E15),IF(ISNUMBER(AO90),AO90,9E15))</f>
        <v/>
      </c>
      <c r="AX90" s="29">
        <f>IF(BD90&gt;Parameters!$B$21*(MAX(IF(AND(NOT(AND(AU90=1,AT90&lt;&gt;1)),ISNUMBER(AK90),AK90&lt;=(C90+T90)),AY90,0),IF(AND(NOT(AND(AU90=1,AT90&lt;&gt;1)),ISNUMBER(AL90),AL90&lt;=(C90+T90)),AZ90,0),IF(AND(NOT(AND(AU90=1,AT90&lt;&gt;1)),ISNUMBER(AM90),AM90&lt;=(C90+T90)),BA90,0),IF(AND(NOT(AND(AU90=1,AT90&lt;&gt;1)),ISNUMBER(AN90),AN90&lt;=(C90+T90)),BB90,0),IF(AND(ISNUMBER(AO90),AO90&lt;=(C90+T90)),BC90,0))),TRUE,FALSE)</f>
        <v/>
      </c>
      <c r="AY90" s="32">
        <f>IFERROR(Upgrades!$H$13*(POWER(Upgrades!$P$13,E90)*POWER(Upgrades!$P$14,F90)*POWER(Upgrades!$P$15,G90)*POWER(Upgrades!$P$16,H90)*POWER(Upgrades!$P$17,I90)*POWER(Upgrades!$P$18,J90)*POWER(Upgrades!$P$19,K90)*POWER(Upgrades!$P$20,L90)*POWER(Upgrades!$P$21,M90))*(IF(Upgrades!$T$14="Stellar Kinematics",POWER(Upgrades!$U$14,F90),1)*IF(Upgrades!$T$15="Stellar Kinematics",POWER(Upgrades!$U$15,G90),1)*IF(Upgrades!$T$16="Stellar Kinematics",POWER(Upgrades!$U$16,H90),1)*IF(Upgrades!$T$17="Stellar Kinematics",POWER(Upgrades!$U$17,I90),1)*IF(Upgrades!$T$18="Stellar Kinematics",POWER(Upgrades!$U$18,J90),1)*IF(Upgrades!$T$19="Stellar Kinematics",POWER(Upgrades!$U$19,K90),1)*IF(Upgrades!$T$20="Stellar Kinematics",POWER(Upgrades!$U$20,L90),1)*IF(Upgrades!$T$21="Stellar Kinematics",POWER(Upgrades!$U$21,M90),1))*$F$6/AK90,0)</f>
        <v/>
      </c>
      <c r="AZ90" s="32">
        <f>IFERROR(Upgrades!$H$14*(POWER(Upgrades!$P$13,E90)*POWER(Upgrades!$P$14,F90)*POWER(Upgrades!$P$15,G90)*POWER(Upgrades!$P$16,H90)*POWER(Upgrades!$P$17,I90)*POWER(Upgrades!$P$18,J90)*POWER(Upgrades!$P$19,K90)*POWER(Upgrades!$P$20,L90)*POWER(Upgrades!$P$21,M90))*(IF(Upgrades!$T$13="Local Bubble",POWER(Upgrades!$U$13,E90),1)*IF(Upgrades!$T$15="Local Bubble",POWER(Upgrades!$U$15,G90),1)*IF(Upgrades!$T$16="Local Bubble",POWER(Upgrades!$U$16,H90),1)*IF(Upgrades!$T$17="Local Bubble",POWER(Upgrades!$U$17,I90),1)*IF(Upgrades!$T$18="Local Bubble",POWER(Upgrades!$U$18,J90),1)*IF(Upgrades!$T$19="Local Bubble",POWER(Upgrades!$U$19,K90),1)*IF(Upgrades!$T$20="Local Bubble",POWER(Upgrades!$U$20,L90),1)*IF(Upgrades!$T$21="Local Bubble",POWER(Upgrades!$U$21,M90),1))*$F$6/AL90,0)</f>
        <v/>
      </c>
      <c r="BA90" s="32">
        <f>IFERROR(Upgrades!$K$15*(POWER(Upgrades!$Q$13,E90)*POWER(Upgrades!$Q$14,F90)*POWER(Upgrades!$Q$15,G90)*POWER(Upgrades!$Q$16,H90)*POWER(Upgrades!$Q$17,I90)*POWER(Upgrades!$Q$18,J90)*POWER(Upgrades!$Q$19,K90)*POWER(Upgrades!$Q$20,L90)*POWER(Upgrades!$Q$21,M90))*(IF(Upgrades!$T$13="Microlensing",POWER(Upgrades!$U$13,E90),1)*IF(Upgrades!$T$14="Microlensing",POWER(Upgrades!$U$14,F90),1)*IF(Upgrades!$T$16="Microlensing",POWER(Upgrades!$U$16,H90),1)*IF(Upgrades!$T$17="Microlensing",POWER(Upgrades!$U$17,I90),1)*IF(Upgrades!$T$18="Microlensing",POWER(Upgrades!$U$18,J90),1)*IF(Upgrades!$T$19="Microlensing",POWER(Upgrades!$U$19,K90),1)*IF(Upgrades!$T$20="Microlensing",POWER(Upgrades!$U$20,L90),1)*IF(Upgrades!$T$21="Microlensing",POWER(Upgrades!$U$21,M90),1))*$G$6*(Parameters!$B$10/60*Parameters!$B$11+Q90)/AM90,0)</f>
        <v/>
      </c>
      <c r="BB90" s="32">
        <f>IFERROR((Upgrades!$N$16*(POWER(Upgrades!$R$13,E90)*POWER(Upgrades!$R$14,F90)*POWER(Upgrades!$R$15,G90)*POWER(Upgrades!$R$16,H90)*POWER(Upgrades!$R$17,I90)*POWER(Upgrades!$R$18,J90)*POWER(Upgrades!$R$19,K90)*POWER(Upgrades!$R$20,L90)*POWER(Upgrades!$R$21,M90))*(IF(Upgrades!$T$13="Roche Lobe Overflow",POWER(Upgrades!$U$13,E90),1)*IF(Upgrades!$T$14="Roche Lobe Overflow",POWER(Upgrades!$U$14,F90),1)*IF(Upgrades!$T$15="Roche Lobe Overflow",POWER(Upgrades!$U$15,G90),1)*IF(Upgrades!$T$17="Roche Lobe Overflow",POWER(Upgrades!$U$17,I90),1)*IF(Upgrades!$T$18="Roche Lobe Overflow",POWER(Upgrades!$U$18,J90),1)*IF(Upgrades!$T$19="Roche Lobe Overflow",POWER(Upgrades!$U$19,K90),1)*IF(Upgrades!$T$20="Roche Lobe Overflow",POWER(Upgrades!$U$20,L90),1)*IF(Upgrades!$T$21="Roche Lobe Overflow",POWER(Upgrades!$U$21,M90),1))*$H$6*O90+((IF(F90=0,0,(Upgrades!$G$14+F90*Upgrades!$H$14)*POWER(Upgrades!$I$14,F90)))*(IF(Upgrades!$T$13="Local Bubble",POWER(Upgrades!$U$13,E90),1)*IF(Upgrades!$T$15="Local Bubble",POWER(Upgrades!$U$15,G90),1)*IF(Upgrades!$T$16="Local Bubble",POWER(Upgrades!$U$16,H90),1)*IF(Upgrades!$T$17="Local Bubble",POWER(Upgrades!$U$17,I90),1)*IF(Upgrades!$T$18="Local Bubble",POWER(Upgrades!$U$18,J90),1)*IF(Upgrades!$T$19="Local Bubble",POWER(Upgrades!$U$19,K90),1)*IF(Upgrades!$T$20="Local Bubble",POWER(Upgrades!$U$20,L90),1)*IF(Upgrades!$T$21="Local Bubble",POWER(Upgrades!$U$21,M90),1))*POWER(Upgrades!$P$13,E90)*POWER(Upgrades!$P$14,F90)*POWER(Upgrades!$P$15,G90)*POWER(Upgrades!$P$16,H90)*POWER(Upgrades!$P$17,I90)*POWER(Upgrades!$P$18,J90)*POWER(Upgrades!$P$19,K90)*POWER(Upgrades!$P$20,L90)*POWER(Upgrades!$P$21,M90)*$F$6)*0.05)/AN90,0)</f>
        <v/>
      </c>
      <c r="BC90" s="32">
        <f>IFERROR((Upgrades!$H$17*(POWER(Upgrades!$P$13,E90)*POWER(Upgrades!$P$14,F90)*POWER(Upgrades!$P$15,G90)*POWER(Upgrades!$P$16,H90)*POWER(Upgrades!$P$17,I90)*POWER(Upgrades!$P$18,J90)*POWER(Upgrades!$P$19,K90)*POWER(Upgrades!$P$20,L90)*POWER(Upgrades!$P$21,M90))*(IF(Upgrades!$T$13="Brown Dwarf",POWER(Upgrades!$U$13,E90),1)*IF(Upgrades!$T$14="Brown Dwarf",POWER(Upgrades!$U$14,F90),1)*IF(Upgrades!$T$15="Brown Dwarf",POWER(Upgrades!$U$15,G90),1)*IF(Upgrades!$T$16="Brown Dwarf",POWER(Upgrades!$U$16,H90),1)*IF(Upgrades!$T$18="Brown Dwarf",POWER(Upgrades!$U$18,J90),1)*IF(Upgrades!$T$19="Brown Dwarf",POWER(Upgrades!$U$19,K90),1)*IF(Upgrades!$T$20="Brown Dwarf",POWER(Upgrades!$U$20,L90),1)*IF(Upgrades!$T$21="Brown Dwarf",POWER(Upgrades!$U$21,M90),1))*$F$6+(((IF(H90=0,0,(Upgrades!$M$16+H90*Upgrades!$N$16)*POWER(Upgrades!$O$16,H90)))*(IF(Upgrades!$T$13="Roche Lobe Overflow",POWER(Upgrades!$U$13,E90),1)*IF(Upgrades!$T$14="Roche Lobe Overflow",POWER(Upgrades!$U$14,F90),1)*IF(Upgrades!$T$15="Roche Lobe Overflow",POWER(Upgrades!$U$15,G90),1)*IF(Upgrades!$T$17="Roche Lobe Overflow",POWER(Upgrades!$U$17,I90),1)*IF(Upgrades!$T$18="Roche Lobe Overflow",POWER(Upgrades!$U$18,J90),1)*IF(Upgrades!$T$19="Roche Lobe Overflow",POWER(Upgrades!$U$19,K90),1)*IF(Upgrades!$T$20="Roche Lobe Overflow",POWER(Upgrades!$U$20,L90),1)*IF(Upgrades!$T$21="Roche Lobe Overflow",POWER(Upgrades!$U$21,M90),1))*POWER(Upgrades!$R$13,E90)*POWER(Upgrades!$R$14,F90)*POWER(Upgrades!$R$15,G90)*POWER(Upgrades!$R$16,H90)*POWER(Upgrades!$R$17,I90)*POWER(Upgrades!$R$18,J90)*POWER(Upgrades!$R$19,K90)*POWER(Upgrades!$R$20,L90)*POWER(Upgrades!$R$21,M90)*$H$6)*O90)*0.10)/AO90,0)</f>
        <v/>
      </c>
      <c r="BD90" s="32">
        <f>MAX(IF(J90&gt;0,0,IFERROR(0.5*((IF(G90=0,0,(Upgrades!$J$15+G90*Upgrades!$K$15)*POWER(Upgrades!$L$15,G90)))*(IF(Upgrades!$T$13="Microlensing",POWER(Upgrades!$U$13,E90),1)*IF(Upgrades!$T$14="Microlensing",POWER(Upgrades!$U$14,F90),1)*IF(Upgrades!$T$16="Microlensing",POWER(Upgrades!$U$16,H90),1)*IF(Upgrades!$T$17="Microlensing",POWER(Upgrades!$U$17,I90),1)*IF(Upgrades!$T$18="Microlensing",POWER(Upgrades!$U$18,J90),1)*IF(Upgrades!$T$19="Microlensing",POWER(Upgrades!$U$19,K90),1)*IF(Upgrades!$T$20="Microlensing",POWER(Upgrades!$U$20,L90),1)*IF(Upgrades!$T$21="Microlensing",POWER(Upgrades!$U$21,M90),1))*(POWER(Upgrades!$Q$13,E90)*POWER(Upgrades!$Q$14,F90)*POWER(Upgrades!$Q$15,G90)*POWER(Upgrades!$Q$16,H90)*POWER(Upgrades!$Q$17,I90)*POWER(Upgrades!$Q$18,J90)*POWER(Upgrades!$Q$19,K90)*POWER(Upgrades!$Q$20,L90)*POWER(Upgrades!$Q$21,M90))*$G$6*(Parameters!$B$10/60*Parameters!$B$11+Q90))/Upgrades!$C$18,0)),IF(K90&gt;0,0,IFERROR(0.30*P90/Upgrades!$C$19,0)),IF(L90&gt;0,0,IFERROR(0.0001/Upgrades!$C$20,0)),IF(M90&gt;0,0,IFERROR((6.0*(POWER(Upgrades!$P$13,E90)*POWER(Upgrades!$P$14,F90)*POWER(Upgrades!$P$15,G90)*POWER(Upgrades!$P$16,H90)*POWER(Upgrades!$P$17,I90)*POWER(Upgrades!$P$18,J90)*POWER(Upgrades!$P$19,K90)*POWER(Upgrades!$P$20,L90)*POWER(Upgrades!$P$21,M90))*$F$6+0.20*O90*(Parameters!$B$10/60*Parameters!$B$11+Q90))/Upgrades!$C$21,0)),IF(AND(ISNUMBER(AK90),AK90&gt;(C90+T90)),AY90,0),IF(AND(ISNUMBER(AL90),AL90&gt;(C90+T90)),AZ90,0),IF(AND(ISNUMBER(AM90),AM90&gt;(C90+T90)),BA90,0),IF(AND(ISNUMBER(AN90),AN90&gt;(C90+T90)),BB90,0),IF(AND(ISNUMBER(AO90),AO90&gt;(C90+T90)),BC90,0))</f>
        <v/>
      </c>
      <c r="BE90" s="29">
        <f>IF(AT90=1,"transition",IF(MIN(IF(AND(J90=0,ISNUMBER(AP90),AP90&lt;=(C90+T90)),AP90,9E15),IF(AND(K90=0,ISNUMBER(AQ90),AQ90&lt;=(C90+T90)),AQ90,9E15),IF(AND(L90=0,ISNUMBER(AR90),AR90&lt;=(C90+T90)),AR90,9E15),IF(AND(M90=0,ISNUMBER(AS90),AS90&lt;=(C90+T90)),AS90,9E15))&lt;9E15,IF(AND(AND(J90=0,ISNUMBER(AP90),AP90&lt;=(C90+T90)),AP90=MIN(IF(AND(J90=0,ISNUMBER(AP90),AP90&lt;=(C90+T90)),AP90,9E15),IF(AND(K90=0,ISNUMBER(AQ90),AQ90&lt;=(C90+T90)),AQ90,9E15),IF(AND(L90=0,ISNUMBER(AR90),AR90&lt;=(C90+T90)),AR90,9E15),IF(AND(M90=0,ISNUMBER(AS90),AS90&lt;=(C90+T90)),AS90,9E15))),"BiP",IF(AND(AND(K90=0,ISNUMBER(AQ90),AQ90&lt;=(C90+T90)),AQ90=MIN(IF(AND(J90=0,ISNUMBER(AP90),AP90&lt;=(C90+T90)),AP90,9E15),IF(AND(K90=0,ISNUMBER(AQ90),AQ90&lt;=(C90+T90)),AQ90,9E15),IF(AND(L90=0,ISNUMBER(AR90),AR90&lt;=(C90+T90)),AR90,9E15),IF(AND(M90=0,ISNUMBER(AS90),AS90&lt;=(C90+T90)),AS90,9E15))),"PV",IF(AND(AND(L90=0,ISNUMBER(AR90),AR90&lt;=(C90+T90)),AR90=MIN(IF(AND(J90=0,ISNUMBER(AP90),AP90&lt;=(C90+T90)),AP90,9E15),IF(AND(K90=0,ISNUMBER(AQ90),AQ90&lt;=(C90+T90)),AQ90,9E15),IF(AND(L90=0,ISNUMBER(AR90),AR90&lt;=(C90+T90)),AR90,9E15),IF(AND(M90=0,ISNUMBER(AS90),AS90&lt;=(C90+T90)),AS90,9E15))),"OC","MG"))),IF(AX90=TRUE,"",IF(MAX(IF(AND(NOT(AND(AU90=1,AT90&lt;&gt;1)),ISNUMBER(AK90),AK90&lt;=(C90+T90)),AY90,0),IF(AND(NOT(AND(AU90=1,AT90&lt;&gt;1)),ISNUMBER(AL90),AL90&lt;=(C90+T90)),AZ90,0),IF(AND(NOT(AND(AU90=1,AT90&lt;&gt;1)),ISNUMBER(AM90),AM90&lt;=(C90+T90)),BA90,0),IF(AND(NOT(AND(AU90=1,AT90&lt;&gt;1)),ISNUMBER(AN90),AN90&lt;=(C90+T90)),BB90,0),IF(AND(ISNUMBER(AO90),AO90&lt;=(C90+T90)),BC90,0))&lt;=0,"",IF(AND(IF(AND(NOT(AND(AU90=1,AT90&lt;&gt;1)),ISNUMBER(AK90),AK90&lt;=(C90+T90)),AY90,0)&gt;0,IF(AND(NOT(AND(AU90=1,AT90&lt;&gt;1)),ISNUMBER(AK90),AK90&lt;=(C90+T90)),AY90,0)=MAX(IF(AND(NOT(AND(AU90=1,AT90&lt;&gt;1)),ISNUMBER(AK90),AK90&lt;=(C90+T90)),AY90,0),IF(AND(NOT(AND(AU90=1,AT90&lt;&gt;1)),ISNUMBER(AL90),AL90&lt;=(C90+T90)),AZ90,0),IF(AND(NOT(AND(AU90=1,AT90&lt;&gt;1)),ISNUMBER(AM90),AM90&lt;=(C90+T90)),BA90,0),IF(AND(NOT(AND(AU90=1,AT90&lt;&gt;1)),ISNUMBER(AN90),AN90&lt;=(C90+T90)),BB90,0),IF(AND(ISNUMBER(AO90),AO90&lt;=(C90+T90)),BC90,0))),"SK",IF(AND(IF(AND(NOT(AND(AU90=1,AT90&lt;&gt;1)),ISNUMBER(AL90),AL90&lt;=(C90+T90)),AZ90,0)&gt;0,IF(AND(NOT(AND(AU90=1,AT90&lt;&gt;1)),ISNUMBER(AL90),AL90&lt;=(C90+T90)),AZ90,0)=MAX(IF(AND(NOT(AND(AU90=1,AT90&lt;&gt;1)),ISNUMBER(AK90),AK90&lt;=(C90+T90)),AY90,0),IF(AND(NOT(AND(AU90=1,AT90&lt;&gt;1)),ISNUMBER(AL90),AL90&lt;=(C90+T90)),AZ90,0),IF(AND(NOT(AND(AU90=1,AT90&lt;&gt;1)),ISNUMBER(AM90),AM90&lt;=(C90+T90)),BA90,0),IF(AND(NOT(AND(AU90=1,AT90&lt;&gt;1)),ISNUMBER(AN90),AN90&lt;=(C90+T90)),BB90,0),IF(AND(ISNUMBER(AO90),AO90&lt;=(C90+T90)),BC90,0))),"LB",IF(AND(IF(AND(NOT(AND(AU90=1,AT90&lt;&gt;1)),ISNUMBER(AM90),AM90&lt;=(C90+T90)),BA90,0)&gt;0,IF(AND(NOT(AND(AU90=1,AT90&lt;&gt;1)),ISNUMBER(AM90),AM90&lt;=(C90+T90)),BA90,0)=MAX(IF(AND(NOT(AND(AU90=1,AT90&lt;&gt;1)),ISNUMBER(AK90),AK90&lt;=(C90+T90)),AY90,0),IF(AND(NOT(AND(AU90=1,AT90&lt;&gt;1)),ISNUMBER(AL90),AL90&lt;=(C90+T90)),AZ90,0),IF(AND(NOT(AND(AU90=1,AT90&lt;&gt;1)),ISNUMBER(AM90),AM90&lt;=(C90+T90)),BA90,0),IF(AND(NOT(AND(AU90=1,AT90&lt;&gt;1)),ISNUMBER(AN90),AN90&lt;=(C90+T90)),BB90,0),IF(AND(ISNUMBER(AO90),AO90&lt;=(C90+T90)),BC90,0))),"ML",IF(AND(IF(AND(NOT(AND(AU90=1,AT90&lt;&gt;1)),ISNUMBER(AN90),AN90&lt;=(C90+T90)),BB90,0)&gt;0,IF(AND(NOT(AND(AU90=1,AT90&lt;&gt;1)),ISNUMBER(AN90),AN90&lt;=(C90+T90)),BB90,0)=MAX(IF(AND(NOT(AND(AU90=1,AT90&lt;&gt;1)),ISNUMBER(AK90),AK90&lt;=(C90+T90)),AY90,0),IF(AND(NOT(AND(AU90=1,AT90&lt;&gt;1)),ISNUMBER(AL90),AL90&lt;=(C90+T90)),AZ90,0),IF(AND(NOT(AND(AU90=1,AT90&lt;&gt;1)),ISNUMBER(AM90),AM90&lt;=(C90+T90)),BA90,0),IF(AND(NOT(AND(AU90=1,AT90&lt;&gt;1)),ISNUMBER(AN90),AN90&lt;=(C90+T90)),BB90,0),IF(AND(ISNUMBER(AO90),AO90&lt;=(C90+T90)),BC90,0))),"RLO","BD"))))))))</f>
        <v/>
      </c>
    </row>
    <row r="91">
      <c r="A91" s="26" t="n">
        <v>80</v>
      </c>
      <c r="B91" s="27">
        <f>A91*10/60</f>
        <v/>
      </c>
      <c r="C91" s="22">
        <f>X90</f>
        <v/>
      </c>
      <c r="D91" s="27">
        <f>D90+W90</f>
        <v/>
      </c>
      <c r="E91" s="26">
        <f>E90+IF(U90="SK",1,0)</f>
        <v/>
      </c>
      <c r="F91" s="26">
        <f>F90+IF(U90="LB",1,0)</f>
        <v/>
      </c>
      <c r="G91" s="26">
        <f>G90+IF(U90="ML",1,0)</f>
        <v/>
      </c>
      <c r="H91" s="26">
        <f>H90+IF(U90="RLO",1,0)</f>
        <v/>
      </c>
      <c r="I91" s="26">
        <f>I90+IF(U90="BD",1,0)</f>
        <v/>
      </c>
      <c r="J91" s="26">
        <f>MAX(J90,IF(U90="BiP",1,0))</f>
        <v/>
      </c>
      <c r="K91" s="26">
        <f>MAX(K90,IF(U90="PV",1,0))</f>
        <v/>
      </c>
      <c r="L91" s="26">
        <f>MAX(L90,IF(U90="OC",1,0))</f>
        <v/>
      </c>
      <c r="M91" s="26">
        <f>MAX(M90,IF(U90="MG",1,0))</f>
        <v/>
      </c>
      <c r="N91" s="26">
        <f>MAX(N90,IF(U90="transition",1,0))</f>
        <v/>
      </c>
      <c r="O91" s="28">
        <f>(Parameters!$B$9+(IF(E91=0,0,(Upgrades!$J$13+E91*Upgrades!$K$13)*POWER(Upgrades!$L$13,E91)))*(IF(Upgrades!$T$14="Stellar Kinematics",POWER(Upgrades!$U$14,F91),1)*IF(Upgrades!$T$15="Stellar Kinematics",POWER(Upgrades!$U$15,G91),1)*IF(Upgrades!$T$16="Stellar Kinematics",POWER(Upgrades!$U$16,H91),1)*IF(Upgrades!$T$17="Stellar Kinematics",POWER(Upgrades!$U$17,I91),1)*IF(Upgrades!$T$18="Stellar Kinematics",POWER(Upgrades!$U$18,J91),1)*IF(Upgrades!$T$19="Stellar Kinematics",POWER(Upgrades!$U$19,K91),1)*IF(Upgrades!$T$20="Stellar Kinematics",POWER(Upgrades!$U$20,L91),1)*IF(Upgrades!$T$21="Stellar Kinematics",POWER(Upgrades!$U$21,M91),1))+(IF(F91=0,0,(Upgrades!$J$14+F91*Upgrades!$K$14)*POWER(Upgrades!$L$14,F91)))*(IF(Upgrades!$T$13="Local Bubble",POWER(Upgrades!$U$13,E91),1)*IF(Upgrades!$T$15="Local Bubble",POWER(Upgrades!$U$15,G91),1)*IF(Upgrades!$T$16="Local Bubble",POWER(Upgrades!$U$16,H91),1)*IF(Upgrades!$T$17="Local Bubble",POWER(Upgrades!$U$17,I91),1)*IF(Upgrades!$T$18="Local Bubble",POWER(Upgrades!$U$18,J91),1)*IF(Upgrades!$T$19="Local Bubble",POWER(Upgrades!$U$19,K91),1)*IF(Upgrades!$T$20="Local Bubble",POWER(Upgrades!$U$20,L91),1)*IF(Upgrades!$T$21="Local Bubble",POWER(Upgrades!$U$21,M91),1))+(IF(G91=0,0,(Upgrades!$J$15+G91*Upgrades!$K$15)*POWER(Upgrades!$L$15,G91)))*(IF(Upgrades!$T$13="Microlensing",POWER(Upgrades!$U$13,E91),1)*IF(Upgrades!$T$14="Microlensing",POWER(Upgrades!$U$14,F91),1)*IF(Upgrades!$T$16="Microlensing",POWER(Upgrades!$U$16,H91),1)*IF(Upgrades!$T$17="Microlensing",POWER(Upgrades!$U$17,I91),1)*IF(Upgrades!$T$18="Microlensing",POWER(Upgrades!$U$18,J91),1)*IF(Upgrades!$T$19="Microlensing",POWER(Upgrades!$U$19,K91),1)*IF(Upgrades!$T$20="Microlensing",POWER(Upgrades!$U$20,L91),1)*IF(Upgrades!$T$21="Microlensing",POWER(Upgrades!$U$21,M91),1))+(IF(H91=0,0,(Upgrades!$J$16+H91*Upgrades!$K$16)*POWER(Upgrades!$L$16,H91)))*(IF(Upgrades!$T$13="Roche Lobe Overflow",POWER(Upgrades!$U$13,E91),1)*IF(Upgrades!$T$14="Roche Lobe Overflow",POWER(Upgrades!$U$14,F91),1)*IF(Upgrades!$T$15="Roche Lobe Overflow",POWER(Upgrades!$U$15,G91),1)*IF(Upgrades!$T$17="Roche Lobe Overflow",POWER(Upgrades!$U$17,I91),1)*IF(Upgrades!$T$18="Roche Lobe Overflow",POWER(Upgrades!$U$18,J91),1)*IF(Upgrades!$T$19="Roche Lobe Overflow",POWER(Upgrades!$U$19,K91),1)*IF(Upgrades!$T$20="Roche Lobe Overflow",POWER(Upgrades!$U$20,L91),1)*IF(Upgrades!$T$21="Roche Lobe Overflow",POWER(Upgrades!$U$21,M91),1))+(IF(I91=0,0,(Upgrades!$J$17+I91*Upgrades!$K$17)*POWER(Upgrades!$L$17,I91)))*(IF(Upgrades!$T$13="Brown Dwarf",POWER(Upgrades!$U$13,E91),1)*IF(Upgrades!$T$14="Brown Dwarf",POWER(Upgrades!$U$14,F91),1)*IF(Upgrades!$T$15="Brown Dwarf",POWER(Upgrades!$U$15,G91),1)*IF(Upgrades!$T$16="Brown Dwarf",POWER(Upgrades!$U$16,H91),1)*IF(Upgrades!$T$18="Brown Dwarf",POWER(Upgrades!$U$18,J91),1)*IF(Upgrades!$T$19="Brown Dwarf",POWER(Upgrades!$U$19,K91),1)*IF(Upgrades!$T$20="Brown Dwarf",POWER(Upgrades!$U$20,L91),1)*IF(Upgrades!$T$21="Brown Dwarf",POWER(Upgrades!$U$21,M91),1))+(IF(J91=0,0,(Upgrades!$J$18+J91*Upgrades!$K$18)*POWER(Upgrades!$L$18,J91)))*(IF(Upgrades!$T$13="Binary Partner",POWER(Upgrades!$U$13,E91),1)*IF(Upgrades!$T$14="Binary Partner",POWER(Upgrades!$U$14,F91),1)*IF(Upgrades!$T$15="Binary Partner",POWER(Upgrades!$U$15,G91),1)*IF(Upgrades!$T$16="Binary Partner",POWER(Upgrades!$U$16,H91),1)*IF(Upgrades!$T$17="Binary Partner",POWER(Upgrades!$U$17,I91),1)*IF(Upgrades!$T$19="Binary Partner",POWER(Upgrades!$U$19,K91),1)*IF(Upgrades!$T$20="Binary Partner",POWER(Upgrades!$U$20,L91),1)*IF(Upgrades!$T$21="Binary Partner",POWER(Upgrades!$U$21,M91),1))+(IF(K91=0,0,(Upgrades!$J$19+K91*Upgrades!$K$19)*POWER(Upgrades!$L$19,K91)))*(IF(Upgrades!$T$13="Peculiar Velocity",POWER(Upgrades!$U$13,E91),1)*IF(Upgrades!$T$14="Peculiar Velocity",POWER(Upgrades!$U$14,F91),1)*IF(Upgrades!$T$15="Peculiar Velocity",POWER(Upgrades!$U$15,G91),1)*IF(Upgrades!$T$16="Peculiar Velocity",POWER(Upgrades!$U$16,H91),1)*IF(Upgrades!$T$17="Peculiar Velocity",POWER(Upgrades!$U$17,I91),1)*IF(Upgrades!$T$18="Peculiar Velocity",POWER(Upgrades!$U$18,J91),1)*IF(Upgrades!$T$20="Peculiar Velocity",POWER(Upgrades!$U$20,L91),1)*IF(Upgrades!$T$21="Peculiar Velocity",POWER(Upgrades!$U$21,M91),1))+(IF(L91=0,0,(Upgrades!$J$20+L91*Upgrades!$K$20)*POWER(Upgrades!$L$20,L91)))*(IF(Upgrades!$T$13="Open Cluster",POWER(Upgrades!$U$13,E91),1)*IF(Upgrades!$T$14="Open Cluster",POWER(Upgrades!$U$14,F91),1)*IF(Upgrades!$T$15="Open Cluster",POWER(Upgrades!$U$15,G91),1)*IF(Upgrades!$T$16="Open Cluster",POWER(Upgrades!$U$16,H91),1)*IF(Upgrades!$T$17="Open Cluster",POWER(Upgrades!$U$17,I91),1)*IF(Upgrades!$T$18="Open Cluster",POWER(Upgrades!$U$18,J91),1)*IF(Upgrades!$T$19="Open Cluster",POWER(Upgrades!$U$19,K91),1)*IF(Upgrades!$T$21="Open Cluster",POWER(Upgrades!$U$21,M91),1))+(IF(M91=0,0,(Upgrades!$J$21+M91*Upgrades!$K$21)*POWER(Upgrades!$L$21,M91)))*(IF(Upgrades!$T$13="Moving Group",POWER(Upgrades!$U$13,E91),1)*IF(Upgrades!$T$14="Moving Group",POWER(Upgrades!$U$14,F91),1)*IF(Upgrades!$T$15="Moving Group",POWER(Upgrades!$U$15,G91),1)*IF(Upgrades!$T$16="Moving Group",POWER(Upgrades!$U$16,H91),1)*IF(Upgrades!$T$17="Moving Group",POWER(Upgrades!$U$17,I91),1)*IF(Upgrades!$T$18="Moving Group",POWER(Upgrades!$U$18,J91),1)*IF(Upgrades!$T$19="Moving Group",POWER(Upgrades!$U$19,K91),1)*IF(Upgrades!$T$20="Moving Group",POWER(Upgrades!$U$20,L91),1)))*POWER(Upgrades!$Q$13,E91)*POWER(Upgrades!$Q$14,F91)*POWER(Upgrades!$Q$15,G91)*POWER(Upgrades!$Q$16,H91)*POWER(Upgrades!$Q$17,I91)*POWER(Upgrades!$Q$18,J91)*POWER(Upgrades!$Q$19,K91)*POWER(Upgrades!$Q$20,L91)*POWER(Upgrades!$Q$21,M91)*$G$6+$D$6</f>
        <v/>
      </c>
      <c r="P91" s="28">
        <f>((IF(E91=0,0,(Upgrades!$G$13+E91*Upgrades!$H$13)*POWER(Upgrades!$I$13,E91)))*(IF(Upgrades!$T$14="Stellar Kinematics",POWER(Upgrades!$U$14,F91),1)*IF(Upgrades!$T$15="Stellar Kinematics",POWER(Upgrades!$U$15,G91),1)*IF(Upgrades!$T$16="Stellar Kinematics",POWER(Upgrades!$U$16,H91),1)*IF(Upgrades!$T$17="Stellar Kinematics",POWER(Upgrades!$U$17,I91),1)*IF(Upgrades!$T$18="Stellar Kinematics",POWER(Upgrades!$U$18,J91),1)*IF(Upgrades!$T$19="Stellar Kinematics",POWER(Upgrades!$U$19,K91),1)*IF(Upgrades!$T$20="Stellar Kinematics",POWER(Upgrades!$U$20,L91),1)*IF(Upgrades!$T$21="Stellar Kinematics",POWER(Upgrades!$U$21,M91),1))+(IF(F91=0,0,(Upgrades!$G$14+F91*Upgrades!$H$14)*POWER(Upgrades!$I$14,F91)))*(IF(Upgrades!$T$13="Local Bubble",POWER(Upgrades!$U$13,E91),1)*IF(Upgrades!$T$15="Local Bubble",POWER(Upgrades!$U$15,G91),1)*IF(Upgrades!$T$16="Local Bubble",POWER(Upgrades!$U$16,H91),1)*IF(Upgrades!$T$17="Local Bubble",POWER(Upgrades!$U$17,I91),1)*IF(Upgrades!$T$18="Local Bubble",POWER(Upgrades!$U$18,J91),1)*IF(Upgrades!$T$19="Local Bubble",POWER(Upgrades!$U$19,K91),1)*IF(Upgrades!$T$20="Local Bubble",POWER(Upgrades!$U$20,L91),1)*IF(Upgrades!$T$21="Local Bubble",POWER(Upgrades!$U$21,M91),1))+(IF(G91=0,0,(Upgrades!$G$15+G91*Upgrades!$H$15)*POWER(Upgrades!$I$15,G91)))*(IF(Upgrades!$T$13="Microlensing",POWER(Upgrades!$U$13,E91),1)*IF(Upgrades!$T$14="Microlensing",POWER(Upgrades!$U$14,F91),1)*IF(Upgrades!$T$16="Microlensing",POWER(Upgrades!$U$16,H91),1)*IF(Upgrades!$T$17="Microlensing",POWER(Upgrades!$U$17,I91),1)*IF(Upgrades!$T$18="Microlensing",POWER(Upgrades!$U$18,J91),1)*IF(Upgrades!$T$19="Microlensing",POWER(Upgrades!$U$19,K91),1)*IF(Upgrades!$T$20="Microlensing",POWER(Upgrades!$U$20,L91),1)*IF(Upgrades!$T$21="Microlensing",POWER(Upgrades!$U$21,M91),1))+(IF(H91=0,0,(Upgrades!$G$16+H91*Upgrades!$H$16)*POWER(Upgrades!$I$16,H91)))*(IF(Upgrades!$T$13="Roche Lobe Overflow",POWER(Upgrades!$U$13,E91),1)*IF(Upgrades!$T$14="Roche Lobe Overflow",POWER(Upgrades!$U$14,F91),1)*IF(Upgrades!$T$15="Roche Lobe Overflow",POWER(Upgrades!$U$15,G91),1)*IF(Upgrades!$T$17="Roche Lobe Overflow",POWER(Upgrades!$U$17,I91),1)*IF(Upgrades!$T$18="Roche Lobe Overflow",POWER(Upgrades!$U$18,J91),1)*IF(Upgrades!$T$19="Roche Lobe Overflow",POWER(Upgrades!$U$19,K91),1)*IF(Upgrades!$T$20="Roche Lobe Overflow",POWER(Upgrades!$U$20,L91),1)*IF(Upgrades!$T$21="Roche Lobe Overflow",POWER(Upgrades!$U$21,M91),1))+(IF(I91=0,0,(Upgrades!$G$17+I91*Upgrades!$H$17)*POWER(Upgrades!$I$17,I91)))*(IF(Upgrades!$T$13="Brown Dwarf",POWER(Upgrades!$U$13,E91),1)*IF(Upgrades!$T$14="Brown Dwarf",POWER(Upgrades!$U$14,F91),1)*IF(Upgrades!$T$15="Brown Dwarf",POWER(Upgrades!$U$15,G91),1)*IF(Upgrades!$T$16="Brown Dwarf",POWER(Upgrades!$U$16,H91),1)*IF(Upgrades!$T$18="Brown Dwarf",POWER(Upgrades!$U$18,J91),1)*IF(Upgrades!$T$19="Brown Dwarf",POWER(Upgrades!$U$19,K91),1)*IF(Upgrades!$T$20="Brown Dwarf",POWER(Upgrades!$U$20,L91),1)*IF(Upgrades!$T$21="Brown Dwarf",POWER(Upgrades!$U$21,M91),1))+(IF(J91=0,0,(Upgrades!$G$18+J91*Upgrades!$H$18)*POWER(Upgrades!$I$18,J91)))*(IF(Upgrades!$T$13="Binary Partner",POWER(Upgrades!$U$13,E91),1)*IF(Upgrades!$T$14="Binary Partner",POWER(Upgrades!$U$14,F91),1)*IF(Upgrades!$T$15="Binary Partner",POWER(Upgrades!$U$15,G91),1)*IF(Upgrades!$T$16="Binary Partner",POWER(Upgrades!$U$16,H91),1)*IF(Upgrades!$T$17="Binary Partner",POWER(Upgrades!$U$17,I91),1)*IF(Upgrades!$T$19="Binary Partner",POWER(Upgrades!$U$19,K91),1)*IF(Upgrades!$T$20="Binary Partner",POWER(Upgrades!$U$20,L91),1)*IF(Upgrades!$T$21="Binary Partner",POWER(Upgrades!$U$21,M91),1))+(IF(K91=0,0,(Upgrades!$G$19+K91*Upgrades!$H$19)*POWER(Upgrades!$I$19,K91)))*(IF(Upgrades!$T$13="Peculiar Velocity",POWER(Upgrades!$U$13,E91),1)*IF(Upgrades!$T$14="Peculiar Velocity",POWER(Upgrades!$U$14,F91),1)*IF(Upgrades!$T$15="Peculiar Velocity",POWER(Upgrades!$U$15,G91),1)*IF(Upgrades!$T$16="Peculiar Velocity",POWER(Upgrades!$U$16,H91),1)*IF(Upgrades!$T$17="Peculiar Velocity",POWER(Upgrades!$U$17,I91),1)*IF(Upgrades!$T$18="Peculiar Velocity",POWER(Upgrades!$U$18,J91),1)*IF(Upgrades!$T$20="Peculiar Velocity",POWER(Upgrades!$U$20,L91),1)*IF(Upgrades!$T$21="Peculiar Velocity",POWER(Upgrades!$U$21,M91),1))+(IF(L91=0,0,(Upgrades!$G$20+L91*Upgrades!$H$20)*POWER(Upgrades!$I$20,L91)))*(IF(Upgrades!$T$13="Open Cluster",POWER(Upgrades!$U$13,E91),1)*IF(Upgrades!$T$14="Open Cluster",POWER(Upgrades!$U$14,F91),1)*IF(Upgrades!$T$15="Open Cluster",POWER(Upgrades!$U$15,G91),1)*IF(Upgrades!$T$16="Open Cluster",POWER(Upgrades!$U$16,H91),1)*IF(Upgrades!$T$17="Open Cluster",POWER(Upgrades!$U$17,I91),1)*IF(Upgrades!$T$18="Open Cluster",POWER(Upgrades!$U$18,J91),1)*IF(Upgrades!$T$19="Open Cluster",POWER(Upgrades!$U$19,K91),1)*IF(Upgrades!$T$21="Open Cluster",POWER(Upgrades!$U$21,M91),1))+(IF(M91=0,0,(Upgrades!$G$21+M91*Upgrades!$H$21)*POWER(Upgrades!$I$21,M91)))*(IF(Upgrades!$T$13="Moving Group",POWER(Upgrades!$U$13,E91),1)*IF(Upgrades!$T$14="Moving Group",POWER(Upgrades!$U$14,F91),1)*IF(Upgrades!$T$15="Moving Group",POWER(Upgrades!$U$15,G91),1)*IF(Upgrades!$T$16="Moving Group",POWER(Upgrades!$U$16,H91),1)*IF(Upgrades!$T$17="Moving Group",POWER(Upgrades!$U$17,I91),1)*IF(Upgrades!$T$18="Moving Group",POWER(Upgrades!$U$18,J91),1)*IF(Upgrades!$T$19="Moving Group",POWER(Upgrades!$U$19,K91),1)*IF(Upgrades!$T$20="Moving Group",POWER(Upgrades!$U$20,L91),1)))*POWER(Upgrades!$P$13,E91)*POWER(Upgrades!$P$14,F91)*POWER(Upgrades!$P$15,G91)*POWER(Upgrades!$P$16,H91)*POWER(Upgrades!$P$17,I91)*POWER(Upgrades!$P$18,J91)*POWER(Upgrades!$P$19,K91)*POWER(Upgrades!$P$20,L91)*POWER(Upgrades!$P$21,M91)*$F$6+$C$6</f>
        <v/>
      </c>
      <c r="Q91" s="28">
        <f>((IF(E91=0,0,(Upgrades!$M$13+E91*Upgrades!$N$13)*POWER(Upgrades!$O$13,E91)))*(IF(Upgrades!$T$14="Stellar Kinematics",POWER(Upgrades!$U$14,F91),1)*IF(Upgrades!$T$15="Stellar Kinematics",POWER(Upgrades!$U$15,G91),1)*IF(Upgrades!$T$16="Stellar Kinematics",POWER(Upgrades!$U$16,H91),1)*IF(Upgrades!$T$17="Stellar Kinematics",POWER(Upgrades!$U$17,I91),1)*IF(Upgrades!$T$18="Stellar Kinematics",POWER(Upgrades!$U$18,J91),1)*IF(Upgrades!$T$19="Stellar Kinematics",POWER(Upgrades!$U$19,K91),1)*IF(Upgrades!$T$20="Stellar Kinematics",POWER(Upgrades!$U$20,L91),1)*IF(Upgrades!$T$21="Stellar Kinematics",POWER(Upgrades!$U$21,M91),1))+(IF(F91=0,0,(Upgrades!$M$14+F91*Upgrades!$N$14)*POWER(Upgrades!$O$14,F91)))*(IF(Upgrades!$T$13="Local Bubble",POWER(Upgrades!$U$13,E91),1)*IF(Upgrades!$T$15="Local Bubble",POWER(Upgrades!$U$15,G91),1)*IF(Upgrades!$T$16="Local Bubble",POWER(Upgrades!$U$16,H91),1)*IF(Upgrades!$T$17="Local Bubble",POWER(Upgrades!$U$17,I91),1)*IF(Upgrades!$T$18="Local Bubble",POWER(Upgrades!$U$18,J91),1)*IF(Upgrades!$T$19="Local Bubble",POWER(Upgrades!$U$19,K91),1)*IF(Upgrades!$T$20="Local Bubble",POWER(Upgrades!$U$20,L91),1)*IF(Upgrades!$T$21="Local Bubble",POWER(Upgrades!$U$21,M91),1))+(IF(G91=0,0,(Upgrades!$M$15+G91*Upgrades!$N$15)*POWER(Upgrades!$O$15,G91)))*(IF(Upgrades!$T$13="Microlensing",POWER(Upgrades!$U$13,E91),1)*IF(Upgrades!$T$14="Microlensing",POWER(Upgrades!$U$14,F91),1)*IF(Upgrades!$T$16="Microlensing",POWER(Upgrades!$U$16,H91),1)*IF(Upgrades!$T$17="Microlensing",POWER(Upgrades!$U$17,I91),1)*IF(Upgrades!$T$18="Microlensing",POWER(Upgrades!$U$18,J91),1)*IF(Upgrades!$T$19="Microlensing",POWER(Upgrades!$U$19,K91),1)*IF(Upgrades!$T$20="Microlensing",POWER(Upgrades!$U$20,L91),1)*IF(Upgrades!$T$21="Microlensing",POWER(Upgrades!$U$21,M91),1))+(IF(H91=0,0,(Upgrades!$M$16+H91*Upgrades!$N$16)*POWER(Upgrades!$O$16,H91)))*(IF(Upgrades!$T$13="Roche Lobe Overflow",POWER(Upgrades!$U$13,E91),1)*IF(Upgrades!$T$14="Roche Lobe Overflow",POWER(Upgrades!$U$14,F91),1)*IF(Upgrades!$T$15="Roche Lobe Overflow",POWER(Upgrades!$U$15,G91),1)*IF(Upgrades!$T$17="Roche Lobe Overflow",POWER(Upgrades!$U$17,I91),1)*IF(Upgrades!$T$18="Roche Lobe Overflow",POWER(Upgrades!$U$18,J91),1)*IF(Upgrades!$T$19="Roche Lobe Overflow",POWER(Upgrades!$U$19,K91),1)*IF(Upgrades!$T$20="Roche Lobe Overflow",POWER(Upgrades!$U$20,L91),1)*IF(Upgrades!$T$21="Roche Lobe Overflow",POWER(Upgrades!$U$21,M91),1))+(IF(I91=0,0,(Upgrades!$M$17+I91*Upgrades!$N$17)*POWER(Upgrades!$O$17,I91)))*(IF(Upgrades!$T$13="Brown Dwarf",POWER(Upgrades!$U$13,E91),1)*IF(Upgrades!$T$14="Brown Dwarf",POWER(Upgrades!$U$14,F91),1)*IF(Upgrades!$T$15="Brown Dwarf",POWER(Upgrades!$U$15,G91),1)*IF(Upgrades!$T$16="Brown Dwarf",POWER(Upgrades!$U$16,H91),1)*IF(Upgrades!$T$18="Brown Dwarf",POWER(Upgrades!$U$18,J91),1)*IF(Upgrades!$T$19="Brown Dwarf",POWER(Upgrades!$U$19,K91),1)*IF(Upgrades!$T$20="Brown Dwarf",POWER(Upgrades!$U$20,L91),1)*IF(Upgrades!$T$21="Brown Dwarf",POWER(Upgrades!$U$21,M91),1))+(IF(J91=0,0,(Upgrades!$M$18+J91*Upgrades!$N$18)*POWER(Upgrades!$O$18,J91)))*(IF(Upgrades!$T$13="Binary Partner",POWER(Upgrades!$U$13,E91),1)*IF(Upgrades!$T$14="Binary Partner",POWER(Upgrades!$U$14,F91),1)*IF(Upgrades!$T$15="Binary Partner",POWER(Upgrades!$U$15,G91),1)*IF(Upgrades!$T$16="Binary Partner",POWER(Upgrades!$U$16,H91),1)*IF(Upgrades!$T$17="Binary Partner",POWER(Upgrades!$U$17,I91),1)*IF(Upgrades!$T$19="Binary Partner",POWER(Upgrades!$U$19,K91),1)*IF(Upgrades!$T$20="Binary Partner",POWER(Upgrades!$U$20,L91),1)*IF(Upgrades!$T$21="Binary Partner",POWER(Upgrades!$U$21,M91),1))+(IF(K91=0,0,(Upgrades!$M$19+K91*Upgrades!$N$19)*POWER(Upgrades!$O$19,K91)))*(IF(Upgrades!$T$13="Peculiar Velocity",POWER(Upgrades!$U$13,E91),1)*IF(Upgrades!$T$14="Peculiar Velocity",POWER(Upgrades!$U$14,F91),1)*IF(Upgrades!$T$15="Peculiar Velocity",POWER(Upgrades!$U$15,G91),1)*IF(Upgrades!$T$16="Peculiar Velocity",POWER(Upgrades!$U$16,H91),1)*IF(Upgrades!$T$17="Peculiar Velocity",POWER(Upgrades!$U$17,I91),1)*IF(Upgrades!$T$18="Peculiar Velocity",POWER(Upgrades!$U$18,J91),1)*IF(Upgrades!$T$20="Peculiar Velocity",POWER(Upgrades!$U$20,L91),1)*IF(Upgrades!$T$21="Peculiar Velocity",POWER(Upgrades!$U$21,M91),1))+(IF(L91=0,0,(Upgrades!$M$20+L91*Upgrades!$N$20)*POWER(Upgrades!$O$20,L91)))*(IF(Upgrades!$T$13="Open Cluster",POWER(Upgrades!$U$13,E91),1)*IF(Upgrades!$T$14="Open Cluster",POWER(Upgrades!$U$14,F91),1)*IF(Upgrades!$T$15="Open Cluster",POWER(Upgrades!$U$15,G91),1)*IF(Upgrades!$T$16="Open Cluster",POWER(Upgrades!$U$16,H91),1)*IF(Upgrades!$T$17="Open Cluster",POWER(Upgrades!$U$17,I91),1)*IF(Upgrades!$T$18="Open Cluster",POWER(Upgrades!$U$18,J91),1)*IF(Upgrades!$T$19="Open Cluster",POWER(Upgrades!$U$19,K91),1)*IF(Upgrades!$T$21="Open Cluster",POWER(Upgrades!$U$21,M91),1))+(IF(M91=0,0,(Upgrades!$M$21+M91*Upgrades!$N$21)*POWER(Upgrades!$O$21,M91)))*(IF(Upgrades!$T$13="Moving Group",POWER(Upgrades!$U$13,E91),1)*IF(Upgrades!$T$14="Moving Group",POWER(Upgrades!$U$14,F91),1)*IF(Upgrades!$T$15="Moving Group",POWER(Upgrades!$U$15,G91),1)*IF(Upgrades!$T$16="Moving Group",POWER(Upgrades!$U$16,H91),1)*IF(Upgrades!$T$17="Moving Group",POWER(Upgrades!$U$17,I91),1)*IF(Upgrades!$T$18="Moving Group",POWER(Upgrades!$U$18,J91),1)*IF(Upgrades!$T$19="Moving Group",POWER(Upgrades!$U$19,K91),1)*IF(Upgrades!$T$20="Moving Group",POWER(Upgrades!$U$20,L91),1)))*POWER(Upgrades!$R$13,E91)*POWER(Upgrades!$R$14,F91)*POWER(Upgrades!$R$15,G91)*POWER(Upgrades!$R$16,H91)*POWER(Upgrades!$R$17,I91)*POWER(Upgrades!$R$18,J91)*POWER(Upgrades!$R$19,K91)*POWER(Upgrades!$R$20,L91)*POWER(Upgrades!$R$21,M91)*$H$6+$E$6</f>
        <v/>
      </c>
      <c r="R91" s="27">
        <f>IF(N91=1,0,O91*Parameters!$B$10/60*Parameters!$B$11*10)</f>
        <v/>
      </c>
      <c r="S91" s="27">
        <f>IF(N91=1,0,Q91*O91*10)</f>
        <v/>
      </c>
      <c r="T91" s="27">
        <f>IF(N91=1,0,R91+S91+P91*10)</f>
        <v/>
      </c>
      <c r="U91" s="33">
        <f>BE91</f>
        <v/>
      </c>
      <c r="V91" s="22">
        <f>IF(U91="",0,IF(U91="transition",0,IF(U91="SK",AK91,IF(U91="LB",AL91,IF(U91="ML",AM91,IF(U91="RLO",AN91,IF(U91="BD",AO91,IF(U91="BiP",AP91,IF(U91="PV",AQ91,IF(U91="OC",AR91,IF(U91="MG",AS91,0))))))))))</f>
        <v/>
      </c>
      <c r="W91" s="27">
        <f>IF(U91="BiP",Upgrades!$F$18,IF(U91="PV",Upgrades!$F$19,IF(U91="OC",Upgrades!$F$20,IF(U91="MG",Upgrades!$F$21,IF(U91="transition",-Parameters!$B$18*Parameters!$B$19,0)))))</f>
        <v/>
      </c>
      <c r="X91" s="22">
        <f>C91+T91-V91</f>
        <v/>
      </c>
      <c r="Y91" s="30">
        <f>O91*Parameters!$B$10/60*Parameters!$B$11+Q91*O91+P91</f>
        <v/>
      </c>
      <c r="Z91" s="34">
        <f>IF(U91="transition","→ Tier 3 (Galactic Arm)",IF(U91="MG","Moving Group — pocket drifts together",IF(U91="OC","Open Cluster acquired",IF(U91="PV","Peculiar Velocity — passive multiplier active",IF(U91="BiP","Binary Partner — pair bond formed",IF(AND(AU91=1,N91=0,AT91&lt;&gt;1),"Cohesion ready (waiting on completionists)","")))))) </f>
        <v/>
      </c>
      <c r="AA91" s="27">
        <f>(IF(E91=0,0,(Upgrades!$G$13+E91*Upgrades!$H$13)*POWER(Upgrades!$I$13,E91)))*(IF(Upgrades!$T$14="Stellar Kinematics",POWER(Upgrades!$U$14,F91),1)*IF(Upgrades!$T$15="Stellar Kinematics",POWER(Upgrades!$U$15,G91),1)*IF(Upgrades!$T$16="Stellar Kinematics",POWER(Upgrades!$U$16,H91),1)*IF(Upgrades!$T$17="Stellar Kinematics",POWER(Upgrades!$U$17,I91),1)*IF(Upgrades!$T$18="Stellar Kinematics",POWER(Upgrades!$U$18,J91),1)*IF(Upgrades!$T$19="Stellar Kinematics",POWER(Upgrades!$U$19,K91),1)*IF(Upgrades!$T$20="Stellar Kinematics",POWER(Upgrades!$U$20,L91),1)*IF(Upgrades!$T$21="Stellar Kinematics",POWER(Upgrades!$U$21,M91),1))*POWER(Upgrades!$P$13,E91)*POWER(Upgrades!$P$14,F91)*POWER(Upgrades!$P$15,G91)*POWER(Upgrades!$P$16,H91)*POWER(Upgrades!$P$17,I91)*POWER(Upgrades!$P$18,J91)*POWER(Upgrades!$P$19,K91)*POWER(Upgrades!$P$20,L91)*POWER(Upgrades!$P$21,M91)*$F$6*60</f>
        <v/>
      </c>
      <c r="AB91" s="27">
        <f>(IF(F91=0,0,(Upgrades!$G$14+F91*Upgrades!$H$14)*POWER(Upgrades!$I$14,F91)))*(IF(Upgrades!$T$13="Local Bubble",POWER(Upgrades!$U$13,E91),1)*IF(Upgrades!$T$15="Local Bubble",POWER(Upgrades!$U$15,G91),1)*IF(Upgrades!$T$16="Local Bubble",POWER(Upgrades!$U$16,H91),1)*IF(Upgrades!$T$17="Local Bubble",POWER(Upgrades!$U$17,I91),1)*IF(Upgrades!$T$18="Local Bubble",POWER(Upgrades!$U$18,J91),1)*IF(Upgrades!$T$19="Local Bubble",POWER(Upgrades!$U$19,K91),1)*IF(Upgrades!$T$20="Local Bubble",POWER(Upgrades!$U$20,L91),1)*IF(Upgrades!$T$21="Local Bubble",POWER(Upgrades!$U$21,M91),1))*POWER(Upgrades!$P$13,E91)*POWER(Upgrades!$P$14,F91)*POWER(Upgrades!$P$15,G91)*POWER(Upgrades!$P$16,H91)*POWER(Upgrades!$P$17,I91)*POWER(Upgrades!$P$18,J91)*POWER(Upgrades!$P$19,K91)*POWER(Upgrades!$P$20,L91)*POWER(Upgrades!$P$21,M91)*$F$6*60</f>
        <v/>
      </c>
      <c r="AC91" s="27">
        <f>(IF(G91=0,0,(Upgrades!$J$15+G91*Upgrades!$K$15)*POWER(Upgrades!$L$15,G91)))*(IF(Upgrades!$T$13="Microlensing",POWER(Upgrades!$U$13,E91),1)*IF(Upgrades!$T$14="Microlensing",POWER(Upgrades!$U$14,F91),1)*IF(Upgrades!$T$16="Microlensing",POWER(Upgrades!$U$16,H91),1)*IF(Upgrades!$T$17="Microlensing",POWER(Upgrades!$U$17,I91),1)*IF(Upgrades!$T$18="Microlensing",POWER(Upgrades!$U$18,J91),1)*IF(Upgrades!$T$19="Microlensing",POWER(Upgrades!$U$19,K91),1)*IF(Upgrades!$T$20="Microlensing",POWER(Upgrades!$U$20,L91),1)*IF(Upgrades!$T$21="Microlensing",POWER(Upgrades!$U$21,M91),1))*POWER(Upgrades!$Q$13,E91)*POWER(Upgrades!$Q$14,F91)*POWER(Upgrades!$Q$15,G91)*POWER(Upgrades!$Q$16,H91)*POWER(Upgrades!$Q$17,I91)*POWER(Upgrades!$Q$18,J91)*POWER(Upgrades!$Q$19,K91)*POWER(Upgrades!$Q$20,L91)*POWER(Upgrades!$Q$21,M91)*$G$6*(Parameters!$B$10*Parameters!$B$11+Q91*60)</f>
        <v/>
      </c>
      <c r="AD91" s="27">
        <f>(IF(H91=0,0,(Upgrades!$M$16+H91*Upgrades!$N$16)*POWER(Upgrades!$O$16,H91)))*(IF(Upgrades!$T$13="Roche Lobe Overflow",POWER(Upgrades!$U$13,E91),1)*IF(Upgrades!$T$14="Roche Lobe Overflow",POWER(Upgrades!$U$14,F91),1)*IF(Upgrades!$T$15="Roche Lobe Overflow",POWER(Upgrades!$U$15,G91),1)*IF(Upgrades!$T$17="Roche Lobe Overflow",POWER(Upgrades!$U$17,I91),1)*IF(Upgrades!$T$18="Roche Lobe Overflow",POWER(Upgrades!$U$18,J91),1)*IF(Upgrades!$T$19="Roche Lobe Overflow",POWER(Upgrades!$U$19,K91),1)*IF(Upgrades!$T$20="Roche Lobe Overflow",POWER(Upgrades!$U$20,L91),1)*IF(Upgrades!$T$21="Roche Lobe Overflow",POWER(Upgrades!$U$21,M91),1))*POWER(Upgrades!$R$13,E91)*POWER(Upgrades!$R$14,F91)*POWER(Upgrades!$R$15,G91)*POWER(Upgrades!$R$16,H91)*POWER(Upgrades!$R$17,I91)*POWER(Upgrades!$R$18,J91)*POWER(Upgrades!$R$19,K91)*POWER(Upgrades!$R$20,L91)*POWER(Upgrades!$R$21,M91)*$H$6*O91*60</f>
        <v/>
      </c>
      <c r="AE91" s="27">
        <f>(IF(I91=0,0,(Upgrades!$G$17+I91*Upgrades!$H$17)*POWER(Upgrades!$I$17,I91)))*(IF(Upgrades!$T$13="Brown Dwarf",POWER(Upgrades!$U$13,E91),1)*IF(Upgrades!$T$14="Brown Dwarf",POWER(Upgrades!$U$14,F91),1)*IF(Upgrades!$T$15="Brown Dwarf",POWER(Upgrades!$U$15,G91),1)*IF(Upgrades!$T$16="Brown Dwarf",POWER(Upgrades!$U$16,H91),1)*IF(Upgrades!$T$18="Brown Dwarf",POWER(Upgrades!$U$18,J91),1)*IF(Upgrades!$T$19="Brown Dwarf",POWER(Upgrades!$U$19,K91),1)*IF(Upgrades!$T$20="Brown Dwarf",POWER(Upgrades!$U$20,L91),1)*IF(Upgrades!$T$21="Brown Dwarf",POWER(Upgrades!$U$21,M91),1))*POWER(Upgrades!$P$13,E91)*POWER(Upgrades!$P$14,F91)*POWER(Upgrades!$P$15,G91)*POWER(Upgrades!$P$16,H91)*POWER(Upgrades!$P$17,I91)*POWER(Upgrades!$P$18,J91)*POWER(Upgrades!$P$19,K91)*POWER(Upgrades!$P$20,L91)*POWER(Upgrades!$P$21,M91)*$F$6*60</f>
        <v/>
      </c>
      <c r="AF91" s="27" t="n">
        <v>0</v>
      </c>
      <c r="AG91" s="27" t="n">
        <v>0</v>
      </c>
      <c r="AH91" s="27" t="n">
        <v>0</v>
      </c>
      <c r="AI91" s="27">
        <f>(IF(M91=0,0,(Upgrades!$G$21+M91*Upgrades!$H$21)*POWER(Upgrades!$I$21,M91)))*(IF(Upgrades!$T$13="Moving Group",POWER(Upgrades!$U$13,E91),1)*IF(Upgrades!$T$14="Moving Group",POWER(Upgrades!$U$14,F91),1)*IF(Upgrades!$T$15="Moving Group",POWER(Upgrades!$U$15,G91),1)*IF(Upgrades!$T$16="Moving Group",POWER(Upgrades!$U$16,H91),1)*IF(Upgrades!$T$17="Moving Group",POWER(Upgrades!$U$17,I91),1)*IF(Upgrades!$T$18="Moving Group",POWER(Upgrades!$U$18,J91),1)*IF(Upgrades!$T$19="Moving Group",POWER(Upgrades!$U$19,K91),1)*IF(Upgrades!$T$20="Moving Group",POWER(Upgrades!$U$20,L91),1))*POWER(Upgrades!$P$13,E91)*POWER(Upgrades!$P$14,F91)*POWER(Upgrades!$P$15,G91)*POWER(Upgrades!$P$16,H91)*POWER(Upgrades!$P$17,I91)*POWER(Upgrades!$P$18,J91)*POWER(Upgrades!$P$19,K91)*POWER(Upgrades!$P$20,L91)*POWER(Upgrades!$P$21,M91)*$F$6*60</f>
        <v/>
      </c>
      <c r="AJ91" s="27">
        <f>$C$6*60</f>
        <v/>
      </c>
      <c r="AK91" s="22">
        <f>IF(E91&gt;=Upgrades!$E$13,"",Upgrades!$C$13*POWER(Upgrades!$D$13,E91))</f>
        <v/>
      </c>
      <c r="AL91" s="22">
        <f>IF(F91&gt;=Upgrades!$E$14,"",Upgrades!$C$14*POWER(Upgrades!$D$14,F91))</f>
        <v/>
      </c>
      <c r="AM91" s="22">
        <f>IF(G91&gt;=Upgrades!$E$15,"",Upgrades!$C$15*POWER(Upgrades!$D$15,G91))</f>
        <v/>
      </c>
      <c r="AN91" s="22">
        <f>IF(H91&gt;=Upgrades!$E$16,"",Upgrades!$C$16*POWER(Upgrades!$D$16,H91))</f>
        <v/>
      </c>
      <c r="AO91" s="22">
        <f>IF(I91&gt;=Upgrades!$E$17,"",Upgrades!$C$17*POWER(Upgrades!$D$17,I91))</f>
        <v/>
      </c>
      <c r="AP91" s="22">
        <f>IF(J91&gt;=Upgrades!$E$18,"",Upgrades!$C$18*POWER(Upgrades!$D$18,J91))</f>
        <v/>
      </c>
      <c r="AQ91" s="22">
        <f>IF(K91&gt;=Upgrades!$E$19,"",Upgrades!$C$19*POWER(Upgrades!$D$19,K91))</f>
        <v/>
      </c>
      <c r="AR91" s="22">
        <f>IF(L91&gt;=Upgrades!$E$20,"",Upgrades!$C$20*POWER(Upgrades!$D$20,L91))</f>
        <v/>
      </c>
      <c r="AS91" s="22">
        <f>IF(M91&gt;=Upgrades!$E$21,"",Upgrades!$C$21*POWER(Upgrades!$D$21,M91))</f>
        <v/>
      </c>
      <c r="AT91" s="26">
        <f>IF(AND(D91&gt;=Parameters!$B$18*Parameters!$B$19,(I91&gt;=Upgrades!$E$17)*(M91&gt;=Upgrades!$E$21)=1,N91=0),1,"")</f>
        <v/>
      </c>
      <c r="AU91" s="26">
        <f>IF(AND(D91&gt;=Parameters!$B$18*Parameters!$B$19,N91=0),1,"")</f>
        <v/>
      </c>
      <c r="AV91" s="22">
        <f>MIN(IF(ISNUMBER(AP91),AP91,9E15),IF(ISNUMBER(AQ91),AQ91,9E15),IF(ISNUMBER(AR91),AR91,9E15),IF(ISNUMBER(AS91),AS91,9E15))</f>
        <v/>
      </c>
      <c r="AW91" s="22">
        <f>MIN(IF(ISNUMBER(AK91),AK91,9E15),IF(ISNUMBER(AL91),AL91,9E15),IF(ISNUMBER(AM91),AM91,9E15),IF(ISNUMBER(AN91),AN91,9E15),IF(ISNUMBER(AO91),AO91,9E15))</f>
        <v/>
      </c>
      <c r="AX91" s="29">
        <f>IF(BD91&gt;Parameters!$B$21*(MAX(IF(AND(NOT(AND(AU91=1,AT91&lt;&gt;1)),ISNUMBER(AK91),AK91&lt;=(C91+T91)),AY91,0),IF(AND(NOT(AND(AU91=1,AT91&lt;&gt;1)),ISNUMBER(AL91),AL91&lt;=(C91+T91)),AZ91,0),IF(AND(NOT(AND(AU91=1,AT91&lt;&gt;1)),ISNUMBER(AM91),AM91&lt;=(C91+T91)),BA91,0),IF(AND(NOT(AND(AU91=1,AT91&lt;&gt;1)),ISNUMBER(AN91),AN91&lt;=(C91+T91)),BB91,0),IF(AND(ISNUMBER(AO91),AO91&lt;=(C91+T91)),BC91,0))),TRUE,FALSE)</f>
        <v/>
      </c>
      <c r="AY91" s="32">
        <f>IFERROR(Upgrades!$H$13*(POWER(Upgrades!$P$13,E91)*POWER(Upgrades!$P$14,F91)*POWER(Upgrades!$P$15,G91)*POWER(Upgrades!$P$16,H91)*POWER(Upgrades!$P$17,I91)*POWER(Upgrades!$P$18,J91)*POWER(Upgrades!$P$19,K91)*POWER(Upgrades!$P$20,L91)*POWER(Upgrades!$P$21,M91))*(IF(Upgrades!$T$14="Stellar Kinematics",POWER(Upgrades!$U$14,F91),1)*IF(Upgrades!$T$15="Stellar Kinematics",POWER(Upgrades!$U$15,G91),1)*IF(Upgrades!$T$16="Stellar Kinematics",POWER(Upgrades!$U$16,H91),1)*IF(Upgrades!$T$17="Stellar Kinematics",POWER(Upgrades!$U$17,I91),1)*IF(Upgrades!$T$18="Stellar Kinematics",POWER(Upgrades!$U$18,J91),1)*IF(Upgrades!$T$19="Stellar Kinematics",POWER(Upgrades!$U$19,K91),1)*IF(Upgrades!$T$20="Stellar Kinematics",POWER(Upgrades!$U$20,L91),1)*IF(Upgrades!$T$21="Stellar Kinematics",POWER(Upgrades!$U$21,M91),1))*$F$6/AK91,0)</f>
        <v/>
      </c>
      <c r="AZ91" s="32">
        <f>IFERROR(Upgrades!$H$14*(POWER(Upgrades!$P$13,E91)*POWER(Upgrades!$P$14,F91)*POWER(Upgrades!$P$15,G91)*POWER(Upgrades!$P$16,H91)*POWER(Upgrades!$P$17,I91)*POWER(Upgrades!$P$18,J91)*POWER(Upgrades!$P$19,K91)*POWER(Upgrades!$P$20,L91)*POWER(Upgrades!$P$21,M91))*(IF(Upgrades!$T$13="Local Bubble",POWER(Upgrades!$U$13,E91),1)*IF(Upgrades!$T$15="Local Bubble",POWER(Upgrades!$U$15,G91),1)*IF(Upgrades!$T$16="Local Bubble",POWER(Upgrades!$U$16,H91),1)*IF(Upgrades!$T$17="Local Bubble",POWER(Upgrades!$U$17,I91),1)*IF(Upgrades!$T$18="Local Bubble",POWER(Upgrades!$U$18,J91),1)*IF(Upgrades!$T$19="Local Bubble",POWER(Upgrades!$U$19,K91),1)*IF(Upgrades!$T$20="Local Bubble",POWER(Upgrades!$U$20,L91),1)*IF(Upgrades!$T$21="Local Bubble",POWER(Upgrades!$U$21,M91),1))*$F$6/AL91,0)</f>
        <v/>
      </c>
      <c r="BA91" s="32">
        <f>IFERROR(Upgrades!$K$15*(POWER(Upgrades!$Q$13,E91)*POWER(Upgrades!$Q$14,F91)*POWER(Upgrades!$Q$15,G91)*POWER(Upgrades!$Q$16,H91)*POWER(Upgrades!$Q$17,I91)*POWER(Upgrades!$Q$18,J91)*POWER(Upgrades!$Q$19,K91)*POWER(Upgrades!$Q$20,L91)*POWER(Upgrades!$Q$21,M91))*(IF(Upgrades!$T$13="Microlensing",POWER(Upgrades!$U$13,E91),1)*IF(Upgrades!$T$14="Microlensing",POWER(Upgrades!$U$14,F91),1)*IF(Upgrades!$T$16="Microlensing",POWER(Upgrades!$U$16,H91),1)*IF(Upgrades!$T$17="Microlensing",POWER(Upgrades!$U$17,I91),1)*IF(Upgrades!$T$18="Microlensing",POWER(Upgrades!$U$18,J91),1)*IF(Upgrades!$T$19="Microlensing",POWER(Upgrades!$U$19,K91),1)*IF(Upgrades!$T$20="Microlensing",POWER(Upgrades!$U$20,L91),1)*IF(Upgrades!$T$21="Microlensing",POWER(Upgrades!$U$21,M91),1))*$G$6*(Parameters!$B$10/60*Parameters!$B$11+Q91)/AM91,0)</f>
        <v/>
      </c>
      <c r="BB91" s="32">
        <f>IFERROR((Upgrades!$N$16*(POWER(Upgrades!$R$13,E91)*POWER(Upgrades!$R$14,F91)*POWER(Upgrades!$R$15,G91)*POWER(Upgrades!$R$16,H91)*POWER(Upgrades!$R$17,I91)*POWER(Upgrades!$R$18,J91)*POWER(Upgrades!$R$19,K91)*POWER(Upgrades!$R$20,L91)*POWER(Upgrades!$R$21,M91))*(IF(Upgrades!$T$13="Roche Lobe Overflow",POWER(Upgrades!$U$13,E91),1)*IF(Upgrades!$T$14="Roche Lobe Overflow",POWER(Upgrades!$U$14,F91),1)*IF(Upgrades!$T$15="Roche Lobe Overflow",POWER(Upgrades!$U$15,G91),1)*IF(Upgrades!$T$17="Roche Lobe Overflow",POWER(Upgrades!$U$17,I91),1)*IF(Upgrades!$T$18="Roche Lobe Overflow",POWER(Upgrades!$U$18,J91),1)*IF(Upgrades!$T$19="Roche Lobe Overflow",POWER(Upgrades!$U$19,K91),1)*IF(Upgrades!$T$20="Roche Lobe Overflow",POWER(Upgrades!$U$20,L91),1)*IF(Upgrades!$T$21="Roche Lobe Overflow",POWER(Upgrades!$U$21,M91),1))*$H$6*O91+((IF(F91=0,0,(Upgrades!$G$14+F91*Upgrades!$H$14)*POWER(Upgrades!$I$14,F91)))*(IF(Upgrades!$T$13="Local Bubble",POWER(Upgrades!$U$13,E91),1)*IF(Upgrades!$T$15="Local Bubble",POWER(Upgrades!$U$15,G91),1)*IF(Upgrades!$T$16="Local Bubble",POWER(Upgrades!$U$16,H91),1)*IF(Upgrades!$T$17="Local Bubble",POWER(Upgrades!$U$17,I91),1)*IF(Upgrades!$T$18="Local Bubble",POWER(Upgrades!$U$18,J91),1)*IF(Upgrades!$T$19="Local Bubble",POWER(Upgrades!$U$19,K91),1)*IF(Upgrades!$T$20="Local Bubble",POWER(Upgrades!$U$20,L91),1)*IF(Upgrades!$T$21="Local Bubble",POWER(Upgrades!$U$21,M91),1))*POWER(Upgrades!$P$13,E91)*POWER(Upgrades!$P$14,F91)*POWER(Upgrades!$P$15,G91)*POWER(Upgrades!$P$16,H91)*POWER(Upgrades!$P$17,I91)*POWER(Upgrades!$P$18,J91)*POWER(Upgrades!$P$19,K91)*POWER(Upgrades!$P$20,L91)*POWER(Upgrades!$P$21,M91)*$F$6)*0.05)/AN91,0)</f>
        <v/>
      </c>
      <c r="BC91" s="32">
        <f>IFERROR((Upgrades!$H$17*(POWER(Upgrades!$P$13,E91)*POWER(Upgrades!$P$14,F91)*POWER(Upgrades!$P$15,G91)*POWER(Upgrades!$P$16,H91)*POWER(Upgrades!$P$17,I91)*POWER(Upgrades!$P$18,J91)*POWER(Upgrades!$P$19,K91)*POWER(Upgrades!$P$20,L91)*POWER(Upgrades!$P$21,M91))*(IF(Upgrades!$T$13="Brown Dwarf",POWER(Upgrades!$U$13,E91),1)*IF(Upgrades!$T$14="Brown Dwarf",POWER(Upgrades!$U$14,F91),1)*IF(Upgrades!$T$15="Brown Dwarf",POWER(Upgrades!$U$15,G91),1)*IF(Upgrades!$T$16="Brown Dwarf",POWER(Upgrades!$U$16,H91),1)*IF(Upgrades!$T$18="Brown Dwarf",POWER(Upgrades!$U$18,J91),1)*IF(Upgrades!$T$19="Brown Dwarf",POWER(Upgrades!$U$19,K91),1)*IF(Upgrades!$T$20="Brown Dwarf",POWER(Upgrades!$U$20,L91),1)*IF(Upgrades!$T$21="Brown Dwarf",POWER(Upgrades!$U$21,M91),1))*$F$6+(((IF(H91=0,0,(Upgrades!$M$16+H91*Upgrades!$N$16)*POWER(Upgrades!$O$16,H91)))*(IF(Upgrades!$T$13="Roche Lobe Overflow",POWER(Upgrades!$U$13,E91),1)*IF(Upgrades!$T$14="Roche Lobe Overflow",POWER(Upgrades!$U$14,F91),1)*IF(Upgrades!$T$15="Roche Lobe Overflow",POWER(Upgrades!$U$15,G91),1)*IF(Upgrades!$T$17="Roche Lobe Overflow",POWER(Upgrades!$U$17,I91),1)*IF(Upgrades!$T$18="Roche Lobe Overflow",POWER(Upgrades!$U$18,J91),1)*IF(Upgrades!$T$19="Roche Lobe Overflow",POWER(Upgrades!$U$19,K91),1)*IF(Upgrades!$T$20="Roche Lobe Overflow",POWER(Upgrades!$U$20,L91),1)*IF(Upgrades!$T$21="Roche Lobe Overflow",POWER(Upgrades!$U$21,M91),1))*POWER(Upgrades!$R$13,E91)*POWER(Upgrades!$R$14,F91)*POWER(Upgrades!$R$15,G91)*POWER(Upgrades!$R$16,H91)*POWER(Upgrades!$R$17,I91)*POWER(Upgrades!$R$18,J91)*POWER(Upgrades!$R$19,K91)*POWER(Upgrades!$R$20,L91)*POWER(Upgrades!$R$21,M91)*$H$6)*O91)*0.10)/AO91,0)</f>
        <v/>
      </c>
      <c r="BD91" s="32">
        <f>MAX(IF(J91&gt;0,0,IFERROR(0.5*((IF(G91=0,0,(Upgrades!$J$15+G91*Upgrades!$K$15)*POWER(Upgrades!$L$15,G91)))*(IF(Upgrades!$T$13="Microlensing",POWER(Upgrades!$U$13,E91),1)*IF(Upgrades!$T$14="Microlensing",POWER(Upgrades!$U$14,F91),1)*IF(Upgrades!$T$16="Microlensing",POWER(Upgrades!$U$16,H91),1)*IF(Upgrades!$T$17="Microlensing",POWER(Upgrades!$U$17,I91),1)*IF(Upgrades!$T$18="Microlensing",POWER(Upgrades!$U$18,J91),1)*IF(Upgrades!$T$19="Microlensing",POWER(Upgrades!$U$19,K91),1)*IF(Upgrades!$T$20="Microlensing",POWER(Upgrades!$U$20,L91),1)*IF(Upgrades!$T$21="Microlensing",POWER(Upgrades!$U$21,M91),1))*(POWER(Upgrades!$Q$13,E91)*POWER(Upgrades!$Q$14,F91)*POWER(Upgrades!$Q$15,G91)*POWER(Upgrades!$Q$16,H91)*POWER(Upgrades!$Q$17,I91)*POWER(Upgrades!$Q$18,J91)*POWER(Upgrades!$Q$19,K91)*POWER(Upgrades!$Q$20,L91)*POWER(Upgrades!$Q$21,M91))*$G$6*(Parameters!$B$10/60*Parameters!$B$11+Q91))/Upgrades!$C$18,0)),IF(K91&gt;0,0,IFERROR(0.30*P91/Upgrades!$C$19,0)),IF(L91&gt;0,0,IFERROR(0.0001/Upgrades!$C$20,0)),IF(M91&gt;0,0,IFERROR((6.0*(POWER(Upgrades!$P$13,E91)*POWER(Upgrades!$P$14,F91)*POWER(Upgrades!$P$15,G91)*POWER(Upgrades!$P$16,H91)*POWER(Upgrades!$P$17,I91)*POWER(Upgrades!$P$18,J91)*POWER(Upgrades!$P$19,K91)*POWER(Upgrades!$P$20,L91)*POWER(Upgrades!$P$21,M91))*$F$6+0.20*O91*(Parameters!$B$10/60*Parameters!$B$11+Q91))/Upgrades!$C$21,0)),IF(AND(ISNUMBER(AK91),AK91&gt;(C91+T91)),AY91,0),IF(AND(ISNUMBER(AL91),AL91&gt;(C91+T91)),AZ91,0),IF(AND(ISNUMBER(AM91),AM91&gt;(C91+T91)),BA91,0),IF(AND(ISNUMBER(AN91),AN91&gt;(C91+T91)),BB91,0),IF(AND(ISNUMBER(AO91),AO91&gt;(C91+T91)),BC91,0))</f>
        <v/>
      </c>
      <c r="BE91" s="29">
        <f>IF(AT91=1,"transition",IF(MIN(IF(AND(J91=0,ISNUMBER(AP91),AP91&lt;=(C91+T91)),AP91,9E15),IF(AND(K91=0,ISNUMBER(AQ91),AQ91&lt;=(C91+T91)),AQ91,9E15),IF(AND(L91=0,ISNUMBER(AR91),AR91&lt;=(C91+T91)),AR91,9E15),IF(AND(M91=0,ISNUMBER(AS91),AS91&lt;=(C91+T91)),AS91,9E15))&lt;9E15,IF(AND(AND(J91=0,ISNUMBER(AP91),AP91&lt;=(C91+T91)),AP91=MIN(IF(AND(J91=0,ISNUMBER(AP91),AP91&lt;=(C91+T91)),AP91,9E15),IF(AND(K91=0,ISNUMBER(AQ91),AQ91&lt;=(C91+T91)),AQ91,9E15),IF(AND(L91=0,ISNUMBER(AR91),AR91&lt;=(C91+T91)),AR91,9E15),IF(AND(M91=0,ISNUMBER(AS91),AS91&lt;=(C91+T91)),AS91,9E15))),"BiP",IF(AND(AND(K91=0,ISNUMBER(AQ91),AQ91&lt;=(C91+T91)),AQ91=MIN(IF(AND(J91=0,ISNUMBER(AP91),AP91&lt;=(C91+T91)),AP91,9E15),IF(AND(K91=0,ISNUMBER(AQ91),AQ91&lt;=(C91+T91)),AQ91,9E15),IF(AND(L91=0,ISNUMBER(AR91),AR91&lt;=(C91+T91)),AR91,9E15),IF(AND(M91=0,ISNUMBER(AS91),AS91&lt;=(C91+T91)),AS91,9E15))),"PV",IF(AND(AND(L91=0,ISNUMBER(AR91),AR91&lt;=(C91+T91)),AR91=MIN(IF(AND(J91=0,ISNUMBER(AP91),AP91&lt;=(C91+T91)),AP91,9E15),IF(AND(K91=0,ISNUMBER(AQ91),AQ91&lt;=(C91+T91)),AQ91,9E15),IF(AND(L91=0,ISNUMBER(AR91),AR91&lt;=(C91+T91)),AR91,9E15),IF(AND(M91=0,ISNUMBER(AS91),AS91&lt;=(C91+T91)),AS91,9E15))),"OC","MG"))),IF(AX91=TRUE,"",IF(MAX(IF(AND(NOT(AND(AU91=1,AT91&lt;&gt;1)),ISNUMBER(AK91),AK91&lt;=(C91+T91)),AY91,0),IF(AND(NOT(AND(AU91=1,AT91&lt;&gt;1)),ISNUMBER(AL91),AL91&lt;=(C91+T91)),AZ91,0),IF(AND(NOT(AND(AU91=1,AT91&lt;&gt;1)),ISNUMBER(AM91),AM91&lt;=(C91+T91)),BA91,0),IF(AND(NOT(AND(AU91=1,AT91&lt;&gt;1)),ISNUMBER(AN91),AN91&lt;=(C91+T91)),BB91,0),IF(AND(ISNUMBER(AO91),AO91&lt;=(C91+T91)),BC91,0))&lt;=0,"",IF(AND(IF(AND(NOT(AND(AU91=1,AT91&lt;&gt;1)),ISNUMBER(AK91),AK91&lt;=(C91+T91)),AY91,0)&gt;0,IF(AND(NOT(AND(AU91=1,AT91&lt;&gt;1)),ISNUMBER(AK91),AK91&lt;=(C91+T91)),AY91,0)=MAX(IF(AND(NOT(AND(AU91=1,AT91&lt;&gt;1)),ISNUMBER(AK91),AK91&lt;=(C91+T91)),AY91,0),IF(AND(NOT(AND(AU91=1,AT91&lt;&gt;1)),ISNUMBER(AL91),AL91&lt;=(C91+T91)),AZ91,0),IF(AND(NOT(AND(AU91=1,AT91&lt;&gt;1)),ISNUMBER(AM91),AM91&lt;=(C91+T91)),BA91,0),IF(AND(NOT(AND(AU91=1,AT91&lt;&gt;1)),ISNUMBER(AN91),AN91&lt;=(C91+T91)),BB91,0),IF(AND(ISNUMBER(AO91),AO91&lt;=(C91+T91)),BC91,0))),"SK",IF(AND(IF(AND(NOT(AND(AU91=1,AT91&lt;&gt;1)),ISNUMBER(AL91),AL91&lt;=(C91+T91)),AZ91,0)&gt;0,IF(AND(NOT(AND(AU91=1,AT91&lt;&gt;1)),ISNUMBER(AL91),AL91&lt;=(C91+T91)),AZ91,0)=MAX(IF(AND(NOT(AND(AU91=1,AT91&lt;&gt;1)),ISNUMBER(AK91),AK91&lt;=(C91+T91)),AY91,0),IF(AND(NOT(AND(AU91=1,AT91&lt;&gt;1)),ISNUMBER(AL91),AL91&lt;=(C91+T91)),AZ91,0),IF(AND(NOT(AND(AU91=1,AT91&lt;&gt;1)),ISNUMBER(AM91),AM91&lt;=(C91+T91)),BA91,0),IF(AND(NOT(AND(AU91=1,AT91&lt;&gt;1)),ISNUMBER(AN91),AN91&lt;=(C91+T91)),BB91,0),IF(AND(ISNUMBER(AO91),AO91&lt;=(C91+T91)),BC91,0))),"LB",IF(AND(IF(AND(NOT(AND(AU91=1,AT91&lt;&gt;1)),ISNUMBER(AM91),AM91&lt;=(C91+T91)),BA91,0)&gt;0,IF(AND(NOT(AND(AU91=1,AT91&lt;&gt;1)),ISNUMBER(AM91),AM91&lt;=(C91+T91)),BA91,0)=MAX(IF(AND(NOT(AND(AU91=1,AT91&lt;&gt;1)),ISNUMBER(AK91),AK91&lt;=(C91+T91)),AY91,0),IF(AND(NOT(AND(AU91=1,AT91&lt;&gt;1)),ISNUMBER(AL91),AL91&lt;=(C91+T91)),AZ91,0),IF(AND(NOT(AND(AU91=1,AT91&lt;&gt;1)),ISNUMBER(AM91),AM91&lt;=(C91+T91)),BA91,0),IF(AND(NOT(AND(AU91=1,AT91&lt;&gt;1)),ISNUMBER(AN91),AN91&lt;=(C91+T91)),BB91,0),IF(AND(ISNUMBER(AO91),AO91&lt;=(C91+T91)),BC91,0))),"ML",IF(AND(IF(AND(NOT(AND(AU91=1,AT91&lt;&gt;1)),ISNUMBER(AN91),AN91&lt;=(C91+T91)),BB91,0)&gt;0,IF(AND(NOT(AND(AU91=1,AT91&lt;&gt;1)),ISNUMBER(AN91),AN91&lt;=(C91+T91)),BB91,0)=MAX(IF(AND(NOT(AND(AU91=1,AT91&lt;&gt;1)),ISNUMBER(AK91),AK91&lt;=(C91+T91)),AY91,0),IF(AND(NOT(AND(AU91=1,AT91&lt;&gt;1)),ISNUMBER(AL91),AL91&lt;=(C91+T91)),AZ91,0),IF(AND(NOT(AND(AU91=1,AT91&lt;&gt;1)),ISNUMBER(AM91),AM91&lt;=(C91+T91)),BA91,0),IF(AND(NOT(AND(AU91=1,AT91&lt;&gt;1)),ISNUMBER(AN91),AN91&lt;=(C91+T91)),BB91,0),IF(AND(ISNUMBER(AO91),AO91&lt;=(C91+T91)),BC91,0))),"RLO","BD"))))))))</f>
        <v/>
      </c>
    </row>
    <row r="92">
      <c r="A92" s="26" t="n">
        <v>81</v>
      </c>
      <c r="B92" s="27">
        <f>A92*10/60</f>
        <v/>
      </c>
      <c r="C92" s="22">
        <f>X91</f>
        <v/>
      </c>
      <c r="D92" s="27">
        <f>D91+W91</f>
        <v/>
      </c>
      <c r="E92" s="26">
        <f>E91+IF(U91="SK",1,0)</f>
        <v/>
      </c>
      <c r="F92" s="26">
        <f>F91+IF(U91="LB",1,0)</f>
        <v/>
      </c>
      <c r="G92" s="26">
        <f>G91+IF(U91="ML",1,0)</f>
        <v/>
      </c>
      <c r="H92" s="26">
        <f>H91+IF(U91="RLO",1,0)</f>
        <v/>
      </c>
      <c r="I92" s="26">
        <f>I91+IF(U91="BD",1,0)</f>
        <v/>
      </c>
      <c r="J92" s="26">
        <f>MAX(J91,IF(U91="BiP",1,0))</f>
        <v/>
      </c>
      <c r="K92" s="26">
        <f>MAX(K91,IF(U91="PV",1,0))</f>
        <v/>
      </c>
      <c r="L92" s="26">
        <f>MAX(L91,IF(U91="OC",1,0))</f>
        <v/>
      </c>
      <c r="M92" s="26">
        <f>MAX(M91,IF(U91="MG",1,0))</f>
        <v/>
      </c>
      <c r="N92" s="26">
        <f>MAX(N91,IF(U91="transition",1,0))</f>
        <v/>
      </c>
      <c r="O92" s="28">
        <f>(Parameters!$B$9+(IF(E92=0,0,(Upgrades!$J$13+E92*Upgrades!$K$13)*POWER(Upgrades!$L$13,E92)))*(IF(Upgrades!$T$14="Stellar Kinematics",POWER(Upgrades!$U$14,F92),1)*IF(Upgrades!$T$15="Stellar Kinematics",POWER(Upgrades!$U$15,G92),1)*IF(Upgrades!$T$16="Stellar Kinematics",POWER(Upgrades!$U$16,H92),1)*IF(Upgrades!$T$17="Stellar Kinematics",POWER(Upgrades!$U$17,I92),1)*IF(Upgrades!$T$18="Stellar Kinematics",POWER(Upgrades!$U$18,J92),1)*IF(Upgrades!$T$19="Stellar Kinematics",POWER(Upgrades!$U$19,K92),1)*IF(Upgrades!$T$20="Stellar Kinematics",POWER(Upgrades!$U$20,L92),1)*IF(Upgrades!$T$21="Stellar Kinematics",POWER(Upgrades!$U$21,M92),1))+(IF(F92=0,0,(Upgrades!$J$14+F92*Upgrades!$K$14)*POWER(Upgrades!$L$14,F92)))*(IF(Upgrades!$T$13="Local Bubble",POWER(Upgrades!$U$13,E92),1)*IF(Upgrades!$T$15="Local Bubble",POWER(Upgrades!$U$15,G92),1)*IF(Upgrades!$T$16="Local Bubble",POWER(Upgrades!$U$16,H92),1)*IF(Upgrades!$T$17="Local Bubble",POWER(Upgrades!$U$17,I92),1)*IF(Upgrades!$T$18="Local Bubble",POWER(Upgrades!$U$18,J92),1)*IF(Upgrades!$T$19="Local Bubble",POWER(Upgrades!$U$19,K92),1)*IF(Upgrades!$T$20="Local Bubble",POWER(Upgrades!$U$20,L92),1)*IF(Upgrades!$T$21="Local Bubble",POWER(Upgrades!$U$21,M92),1))+(IF(G92=0,0,(Upgrades!$J$15+G92*Upgrades!$K$15)*POWER(Upgrades!$L$15,G92)))*(IF(Upgrades!$T$13="Microlensing",POWER(Upgrades!$U$13,E92),1)*IF(Upgrades!$T$14="Microlensing",POWER(Upgrades!$U$14,F92),1)*IF(Upgrades!$T$16="Microlensing",POWER(Upgrades!$U$16,H92),1)*IF(Upgrades!$T$17="Microlensing",POWER(Upgrades!$U$17,I92),1)*IF(Upgrades!$T$18="Microlensing",POWER(Upgrades!$U$18,J92),1)*IF(Upgrades!$T$19="Microlensing",POWER(Upgrades!$U$19,K92),1)*IF(Upgrades!$T$20="Microlensing",POWER(Upgrades!$U$20,L92),1)*IF(Upgrades!$T$21="Microlensing",POWER(Upgrades!$U$21,M92),1))+(IF(H92=0,0,(Upgrades!$J$16+H92*Upgrades!$K$16)*POWER(Upgrades!$L$16,H92)))*(IF(Upgrades!$T$13="Roche Lobe Overflow",POWER(Upgrades!$U$13,E92),1)*IF(Upgrades!$T$14="Roche Lobe Overflow",POWER(Upgrades!$U$14,F92),1)*IF(Upgrades!$T$15="Roche Lobe Overflow",POWER(Upgrades!$U$15,G92),1)*IF(Upgrades!$T$17="Roche Lobe Overflow",POWER(Upgrades!$U$17,I92),1)*IF(Upgrades!$T$18="Roche Lobe Overflow",POWER(Upgrades!$U$18,J92),1)*IF(Upgrades!$T$19="Roche Lobe Overflow",POWER(Upgrades!$U$19,K92),1)*IF(Upgrades!$T$20="Roche Lobe Overflow",POWER(Upgrades!$U$20,L92),1)*IF(Upgrades!$T$21="Roche Lobe Overflow",POWER(Upgrades!$U$21,M92),1))+(IF(I92=0,0,(Upgrades!$J$17+I92*Upgrades!$K$17)*POWER(Upgrades!$L$17,I92)))*(IF(Upgrades!$T$13="Brown Dwarf",POWER(Upgrades!$U$13,E92),1)*IF(Upgrades!$T$14="Brown Dwarf",POWER(Upgrades!$U$14,F92),1)*IF(Upgrades!$T$15="Brown Dwarf",POWER(Upgrades!$U$15,G92),1)*IF(Upgrades!$T$16="Brown Dwarf",POWER(Upgrades!$U$16,H92),1)*IF(Upgrades!$T$18="Brown Dwarf",POWER(Upgrades!$U$18,J92),1)*IF(Upgrades!$T$19="Brown Dwarf",POWER(Upgrades!$U$19,K92),1)*IF(Upgrades!$T$20="Brown Dwarf",POWER(Upgrades!$U$20,L92),1)*IF(Upgrades!$T$21="Brown Dwarf",POWER(Upgrades!$U$21,M92),1))+(IF(J92=0,0,(Upgrades!$J$18+J92*Upgrades!$K$18)*POWER(Upgrades!$L$18,J92)))*(IF(Upgrades!$T$13="Binary Partner",POWER(Upgrades!$U$13,E92),1)*IF(Upgrades!$T$14="Binary Partner",POWER(Upgrades!$U$14,F92),1)*IF(Upgrades!$T$15="Binary Partner",POWER(Upgrades!$U$15,G92),1)*IF(Upgrades!$T$16="Binary Partner",POWER(Upgrades!$U$16,H92),1)*IF(Upgrades!$T$17="Binary Partner",POWER(Upgrades!$U$17,I92),1)*IF(Upgrades!$T$19="Binary Partner",POWER(Upgrades!$U$19,K92),1)*IF(Upgrades!$T$20="Binary Partner",POWER(Upgrades!$U$20,L92),1)*IF(Upgrades!$T$21="Binary Partner",POWER(Upgrades!$U$21,M92),1))+(IF(K92=0,0,(Upgrades!$J$19+K92*Upgrades!$K$19)*POWER(Upgrades!$L$19,K92)))*(IF(Upgrades!$T$13="Peculiar Velocity",POWER(Upgrades!$U$13,E92),1)*IF(Upgrades!$T$14="Peculiar Velocity",POWER(Upgrades!$U$14,F92),1)*IF(Upgrades!$T$15="Peculiar Velocity",POWER(Upgrades!$U$15,G92),1)*IF(Upgrades!$T$16="Peculiar Velocity",POWER(Upgrades!$U$16,H92),1)*IF(Upgrades!$T$17="Peculiar Velocity",POWER(Upgrades!$U$17,I92),1)*IF(Upgrades!$T$18="Peculiar Velocity",POWER(Upgrades!$U$18,J92),1)*IF(Upgrades!$T$20="Peculiar Velocity",POWER(Upgrades!$U$20,L92),1)*IF(Upgrades!$T$21="Peculiar Velocity",POWER(Upgrades!$U$21,M92),1))+(IF(L92=0,0,(Upgrades!$J$20+L92*Upgrades!$K$20)*POWER(Upgrades!$L$20,L92)))*(IF(Upgrades!$T$13="Open Cluster",POWER(Upgrades!$U$13,E92),1)*IF(Upgrades!$T$14="Open Cluster",POWER(Upgrades!$U$14,F92),1)*IF(Upgrades!$T$15="Open Cluster",POWER(Upgrades!$U$15,G92),1)*IF(Upgrades!$T$16="Open Cluster",POWER(Upgrades!$U$16,H92),1)*IF(Upgrades!$T$17="Open Cluster",POWER(Upgrades!$U$17,I92),1)*IF(Upgrades!$T$18="Open Cluster",POWER(Upgrades!$U$18,J92),1)*IF(Upgrades!$T$19="Open Cluster",POWER(Upgrades!$U$19,K92),1)*IF(Upgrades!$T$21="Open Cluster",POWER(Upgrades!$U$21,M92),1))+(IF(M92=0,0,(Upgrades!$J$21+M92*Upgrades!$K$21)*POWER(Upgrades!$L$21,M92)))*(IF(Upgrades!$T$13="Moving Group",POWER(Upgrades!$U$13,E92),1)*IF(Upgrades!$T$14="Moving Group",POWER(Upgrades!$U$14,F92),1)*IF(Upgrades!$T$15="Moving Group",POWER(Upgrades!$U$15,G92),1)*IF(Upgrades!$T$16="Moving Group",POWER(Upgrades!$U$16,H92),1)*IF(Upgrades!$T$17="Moving Group",POWER(Upgrades!$U$17,I92),1)*IF(Upgrades!$T$18="Moving Group",POWER(Upgrades!$U$18,J92),1)*IF(Upgrades!$T$19="Moving Group",POWER(Upgrades!$U$19,K92),1)*IF(Upgrades!$T$20="Moving Group",POWER(Upgrades!$U$20,L92),1)))*POWER(Upgrades!$Q$13,E92)*POWER(Upgrades!$Q$14,F92)*POWER(Upgrades!$Q$15,G92)*POWER(Upgrades!$Q$16,H92)*POWER(Upgrades!$Q$17,I92)*POWER(Upgrades!$Q$18,J92)*POWER(Upgrades!$Q$19,K92)*POWER(Upgrades!$Q$20,L92)*POWER(Upgrades!$Q$21,M92)*$G$6+$D$6</f>
        <v/>
      </c>
      <c r="P92" s="28">
        <f>((IF(E92=0,0,(Upgrades!$G$13+E92*Upgrades!$H$13)*POWER(Upgrades!$I$13,E92)))*(IF(Upgrades!$T$14="Stellar Kinematics",POWER(Upgrades!$U$14,F92),1)*IF(Upgrades!$T$15="Stellar Kinematics",POWER(Upgrades!$U$15,G92),1)*IF(Upgrades!$T$16="Stellar Kinematics",POWER(Upgrades!$U$16,H92),1)*IF(Upgrades!$T$17="Stellar Kinematics",POWER(Upgrades!$U$17,I92),1)*IF(Upgrades!$T$18="Stellar Kinematics",POWER(Upgrades!$U$18,J92),1)*IF(Upgrades!$T$19="Stellar Kinematics",POWER(Upgrades!$U$19,K92),1)*IF(Upgrades!$T$20="Stellar Kinematics",POWER(Upgrades!$U$20,L92),1)*IF(Upgrades!$T$21="Stellar Kinematics",POWER(Upgrades!$U$21,M92),1))+(IF(F92=0,0,(Upgrades!$G$14+F92*Upgrades!$H$14)*POWER(Upgrades!$I$14,F92)))*(IF(Upgrades!$T$13="Local Bubble",POWER(Upgrades!$U$13,E92),1)*IF(Upgrades!$T$15="Local Bubble",POWER(Upgrades!$U$15,G92),1)*IF(Upgrades!$T$16="Local Bubble",POWER(Upgrades!$U$16,H92),1)*IF(Upgrades!$T$17="Local Bubble",POWER(Upgrades!$U$17,I92),1)*IF(Upgrades!$T$18="Local Bubble",POWER(Upgrades!$U$18,J92),1)*IF(Upgrades!$T$19="Local Bubble",POWER(Upgrades!$U$19,K92),1)*IF(Upgrades!$T$20="Local Bubble",POWER(Upgrades!$U$20,L92),1)*IF(Upgrades!$T$21="Local Bubble",POWER(Upgrades!$U$21,M92),1))+(IF(G92=0,0,(Upgrades!$G$15+G92*Upgrades!$H$15)*POWER(Upgrades!$I$15,G92)))*(IF(Upgrades!$T$13="Microlensing",POWER(Upgrades!$U$13,E92),1)*IF(Upgrades!$T$14="Microlensing",POWER(Upgrades!$U$14,F92),1)*IF(Upgrades!$T$16="Microlensing",POWER(Upgrades!$U$16,H92),1)*IF(Upgrades!$T$17="Microlensing",POWER(Upgrades!$U$17,I92),1)*IF(Upgrades!$T$18="Microlensing",POWER(Upgrades!$U$18,J92),1)*IF(Upgrades!$T$19="Microlensing",POWER(Upgrades!$U$19,K92),1)*IF(Upgrades!$T$20="Microlensing",POWER(Upgrades!$U$20,L92),1)*IF(Upgrades!$T$21="Microlensing",POWER(Upgrades!$U$21,M92),1))+(IF(H92=0,0,(Upgrades!$G$16+H92*Upgrades!$H$16)*POWER(Upgrades!$I$16,H92)))*(IF(Upgrades!$T$13="Roche Lobe Overflow",POWER(Upgrades!$U$13,E92),1)*IF(Upgrades!$T$14="Roche Lobe Overflow",POWER(Upgrades!$U$14,F92),1)*IF(Upgrades!$T$15="Roche Lobe Overflow",POWER(Upgrades!$U$15,G92),1)*IF(Upgrades!$T$17="Roche Lobe Overflow",POWER(Upgrades!$U$17,I92),1)*IF(Upgrades!$T$18="Roche Lobe Overflow",POWER(Upgrades!$U$18,J92),1)*IF(Upgrades!$T$19="Roche Lobe Overflow",POWER(Upgrades!$U$19,K92),1)*IF(Upgrades!$T$20="Roche Lobe Overflow",POWER(Upgrades!$U$20,L92),1)*IF(Upgrades!$T$21="Roche Lobe Overflow",POWER(Upgrades!$U$21,M92),1))+(IF(I92=0,0,(Upgrades!$G$17+I92*Upgrades!$H$17)*POWER(Upgrades!$I$17,I92)))*(IF(Upgrades!$T$13="Brown Dwarf",POWER(Upgrades!$U$13,E92),1)*IF(Upgrades!$T$14="Brown Dwarf",POWER(Upgrades!$U$14,F92),1)*IF(Upgrades!$T$15="Brown Dwarf",POWER(Upgrades!$U$15,G92),1)*IF(Upgrades!$T$16="Brown Dwarf",POWER(Upgrades!$U$16,H92),1)*IF(Upgrades!$T$18="Brown Dwarf",POWER(Upgrades!$U$18,J92),1)*IF(Upgrades!$T$19="Brown Dwarf",POWER(Upgrades!$U$19,K92),1)*IF(Upgrades!$T$20="Brown Dwarf",POWER(Upgrades!$U$20,L92),1)*IF(Upgrades!$T$21="Brown Dwarf",POWER(Upgrades!$U$21,M92),1))+(IF(J92=0,0,(Upgrades!$G$18+J92*Upgrades!$H$18)*POWER(Upgrades!$I$18,J92)))*(IF(Upgrades!$T$13="Binary Partner",POWER(Upgrades!$U$13,E92),1)*IF(Upgrades!$T$14="Binary Partner",POWER(Upgrades!$U$14,F92),1)*IF(Upgrades!$T$15="Binary Partner",POWER(Upgrades!$U$15,G92),1)*IF(Upgrades!$T$16="Binary Partner",POWER(Upgrades!$U$16,H92),1)*IF(Upgrades!$T$17="Binary Partner",POWER(Upgrades!$U$17,I92),1)*IF(Upgrades!$T$19="Binary Partner",POWER(Upgrades!$U$19,K92),1)*IF(Upgrades!$T$20="Binary Partner",POWER(Upgrades!$U$20,L92),1)*IF(Upgrades!$T$21="Binary Partner",POWER(Upgrades!$U$21,M92),1))+(IF(K92=0,0,(Upgrades!$G$19+K92*Upgrades!$H$19)*POWER(Upgrades!$I$19,K92)))*(IF(Upgrades!$T$13="Peculiar Velocity",POWER(Upgrades!$U$13,E92),1)*IF(Upgrades!$T$14="Peculiar Velocity",POWER(Upgrades!$U$14,F92),1)*IF(Upgrades!$T$15="Peculiar Velocity",POWER(Upgrades!$U$15,G92),1)*IF(Upgrades!$T$16="Peculiar Velocity",POWER(Upgrades!$U$16,H92),1)*IF(Upgrades!$T$17="Peculiar Velocity",POWER(Upgrades!$U$17,I92),1)*IF(Upgrades!$T$18="Peculiar Velocity",POWER(Upgrades!$U$18,J92),1)*IF(Upgrades!$T$20="Peculiar Velocity",POWER(Upgrades!$U$20,L92),1)*IF(Upgrades!$T$21="Peculiar Velocity",POWER(Upgrades!$U$21,M92),1))+(IF(L92=0,0,(Upgrades!$G$20+L92*Upgrades!$H$20)*POWER(Upgrades!$I$20,L92)))*(IF(Upgrades!$T$13="Open Cluster",POWER(Upgrades!$U$13,E92),1)*IF(Upgrades!$T$14="Open Cluster",POWER(Upgrades!$U$14,F92),1)*IF(Upgrades!$T$15="Open Cluster",POWER(Upgrades!$U$15,G92),1)*IF(Upgrades!$T$16="Open Cluster",POWER(Upgrades!$U$16,H92),1)*IF(Upgrades!$T$17="Open Cluster",POWER(Upgrades!$U$17,I92),1)*IF(Upgrades!$T$18="Open Cluster",POWER(Upgrades!$U$18,J92),1)*IF(Upgrades!$T$19="Open Cluster",POWER(Upgrades!$U$19,K92),1)*IF(Upgrades!$T$21="Open Cluster",POWER(Upgrades!$U$21,M92),1))+(IF(M92=0,0,(Upgrades!$G$21+M92*Upgrades!$H$21)*POWER(Upgrades!$I$21,M92)))*(IF(Upgrades!$T$13="Moving Group",POWER(Upgrades!$U$13,E92),1)*IF(Upgrades!$T$14="Moving Group",POWER(Upgrades!$U$14,F92),1)*IF(Upgrades!$T$15="Moving Group",POWER(Upgrades!$U$15,G92),1)*IF(Upgrades!$T$16="Moving Group",POWER(Upgrades!$U$16,H92),1)*IF(Upgrades!$T$17="Moving Group",POWER(Upgrades!$U$17,I92),1)*IF(Upgrades!$T$18="Moving Group",POWER(Upgrades!$U$18,J92),1)*IF(Upgrades!$T$19="Moving Group",POWER(Upgrades!$U$19,K92),1)*IF(Upgrades!$T$20="Moving Group",POWER(Upgrades!$U$20,L92),1)))*POWER(Upgrades!$P$13,E92)*POWER(Upgrades!$P$14,F92)*POWER(Upgrades!$P$15,G92)*POWER(Upgrades!$P$16,H92)*POWER(Upgrades!$P$17,I92)*POWER(Upgrades!$P$18,J92)*POWER(Upgrades!$P$19,K92)*POWER(Upgrades!$P$20,L92)*POWER(Upgrades!$P$21,M92)*$F$6+$C$6</f>
        <v/>
      </c>
      <c r="Q92" s="28">
        <f>((IF(E92=0,0,(Upgrades!$M$13+E92*Upgrades!$N$13)*POWER(Upgrades!$O$13,E92)))*(IF(Upgrades!$T$14="Stellar Kinematics",POWER(Upgrades!$U$14,F92),1)*IF(Upgrades!$T$15="Stellar Kinematics",POWER(Upgrades!$U$15,G92),1)*IF(Upgrades!$T$16="Stellar Kinematics",POWER(Upgrades!$U$16,H92),1)*IF(Upgrades!$T$17="Stellar Kinematics",POWER(Upgrades!$U$17,I92),1)*IF(Upgrades!$T$18="Stellar Kinematics",POWER(Upgrades!$U$18,J92),1)*IF(Upgrades!$T$19="Stellar Kinematics",POWER(Upgrades!$U$19,K92),1)*IF(Upgrades!$T$20="Stellar Kinematics",POWER(Upgrades!$U$20,L92),1)*IF(Upgrades!$T$21="Stellar Kinematics",POWER(Upgrades!$U$21,M92),1))+(IF(F92=0,0,(Upgrades!$M$14+F92*Upgrades!$N$14)*POWER(Upgrades!$O$14,F92)))*(IF(Upgrades!$T$13="Local Bubble",POWER(Upgrades!$U$13,E92),1)*IF(Upgrades!$T$15="Local Bubble",POWER(Upgrades!$U$15,G92),1)*IF(Upgrades!$T$16="Local Bubble",POWER(Upgrades!$U$16,H92),1)*IF(Upgrades!$T$17="Local Bubble",POWER(Upgrades!$U$17,I92),1)*IF(Upgrades!$T$18="Local Bubble",POWER(Upgrades!$U$18,J92),1)*IF(Upgrades!$T$19="Local Bubble",POWER(Upgrades!$U$19,K92),1)*IF(Upgrades!$T$20="Local Bubble",POWER(Upgrades!$U$20,L92),1)*IF(Upgrades!$T$21="Local Bubble",POWER(Upgrades!$U$21,M92),1))+(IF(G92=0,0,(Upgrades!$M$15+G92*Upgrades!$N$15)*POWER(Upgrades!$O$15,G92)))*(IF(Upgrades!$T$13="Microlensing",POWER(Upgrades!$U$13,E92),1)*IF(Upgrades!$T$14="Microlensing",POWER(Upgrades!$U$14,F92),1)*IF(Upgrades!$T$16="Microlensing",POWER(Upgrades!$U$16,H92),1)*IF(Upgrades!$T$17="Microlensing",POWER(Upgrades!$U$17,I92),1)*IF(Upgrades!$T$18="Microlensing",POWER(Upgrades!$U$18,J92),1)*IF(Upgrades!$T$19="Microlensing",POWER(Upgrades!$U$19,K92),1)*IF(Upgrades!$T$20="Microlensing",POWER(Upgrades!$U$20,L92),1)*IF(Upgrades!$T$21="Microlensing",POWER(Upgrades!$U$21,M92),1))+(IF(H92=0,0,(Upgrades!$M$16+H92*Upgrades!$N$16)*POWER(Upgrades!$O$16,H92)))*(IF(Upgrades!$T$13="Roche Lobe Overflow",POWER(Upgrades!$U$13,E92),1)*IF(Upgrades!$T$14="Roche Lobe Overflow",POWER(Upgrades!$U$14,F92),1)*IF(Upgrades!$T$15="Roche Lobe Overflow",POWER(Upgrades!$U$15,G92),1)*IF(Upgrades!$T$17="Roche Lobe Overflow",POWER(Upgrades!$U$17,I92),1)*IF(Upgrades!$T$18="Roche Lobe Overflow",POWER(Upgrades!$U$18,J92),1)*IF(Upgrades!$T$19="Roche Lobe Overflow",POWER(Upgrades!$U$19,K92),1)*IF(Upgrades!$T$20="Roche Lobe Overflow",POWER(Upgrades!$U$20,L92),1)*IF(Upgrades!$T$21="Roche Lobe Overflow",POWER(Upgrades!$U$21,M92),1))+(IF(I92=0,0,(Upgrades!$M$17+I92*Upgrades!$N$17)*POWER(Upgrades!$O$17,I92)))*(IF(Upgrades!$T$13="Brown Dwarf",POWER(Upgrades!$U$13,E92),1)*IF(Upgrades!$T$14="Brown Dwarf",POWER(Upgrades!$U$14,F92),1)*IF(Upgrades!$T$15="Brown Dwarf",POWER(Upgrades!$U$15,G92),1)*IF(Upgrades!$T$16="Brown Dwarf",POWER(Upgrades!$U$16,H92),1)*IF(Upgrades!$T$18="Brown Dwarf",POWER(Upgrades!$U$18,J92),1)*IF(Upgrades!$T$19="Brown Dwarf",POWER(Upgrades!$U$19,K92),1)*IF(Upgrades!$T$20="Brown Dwarf",POWER(Upgrades!$U$20,L92),1)*IF(Upgrades!$T$21="Brown Dwarf",POWER(Upgrades!$U$21,M92),1))+(IF(J92=0,0,(Upgrades!$M$18+J92*Upgrades!$N$18)*POWER(Upgrades!$O$18,J92)))*(IF(Upgrades!$T$13="Binary Partner",POWER(Upgrades!$U$13,E92),1)*IF(Upgrades!$T$14="Binary Partner",POWER(Upgrades!$U$14,F92),1)*IF(Upgrades!$T$15="Binary Partner",POWER(Upgrades!$U$15,G92),1)*IF(Upgrades!$T$16="Binary Partner",POWER(Upgrades!$U$16,H92),1)*IF(Upgrades!$T$17="Binary Partner",POWER(Upgrades!$U$17,I92),1)*IF(Upgrades!$T$19="Binary Partner",POWER(Upgrades!$U$19,K92),1)*IF(Upgrades!$T$20="Binary Partner",POWER(Upgrades!$U$20,L92),1)*IF(Upgrades!$T$21="Binary Partner",POWER(Upgrades!$U$21,M92),1))+(IF(K92=0,0,(Upgrades!$M$19+K92*Upgrades!$N$19)*POWER(Upgrades!$O$19,K92)))*(IF(Upgrades!$T$13="Peculiar Velocity",POWER(Upgrades!$U$13,E92),1)*IF(Upgrades!$T$14="Peculiar Velocity",POWER(Upgrades!$U$14,F92),1)*IF(Upgrades!$T$15="Peculiar Velocity",POWER(Upgrades!$U$15,G92),1)*IF(Upgrades!$T$16="Peculiar Velocity",POWER(Upgrades!$U$16,H92),1)*IF(Upgrades!$T$17="Peculiar Velocity",POWER(Upgrades!$U$17,I92),1)*IF(Upgrades!$T$18="Peculiar Velocity",POWER(Upgrades!$U$18,J92),1)*IF(Upgrades!$T$20="Peculiar Velocity",POWER(Upgrades!$U$20,L92),1)*IF(Upgrades!$T$21="Peculiar Velocity",POWER(Upgrades!$U$21,M92),1))+(IF(L92=0,0,(Upgrades!$M$20+L92*Upgrades!$N$20)*POWER(Upgrades!$O$20,L92)))*(IF(Upgrades!$T$13="Open Cluster",POWER(Upgrades!$U$13,E92),1)*IF(Upgrades!$T$14="Open Cluster",POWER(Upgrades!$U$14,F92),1)*IF(Upgrades!$T$15="Open Cluster",POWER(Upgrades!$U$15,G92),1)*IF(Upgrades!$T$16="Open Cluster",POWER(Upgrades!$U$16,H92),1)*IF(Upgrades!$T$17="Open Cluster",POWER(Upgrades!$U$17,I92),1)*IF(Upgrades!$T$18="Open Cluster",POWER(Upgrades!$U$18,J92),1)*IF(Upgrades!$T$19="Open Cluster",POWER(Upgrades!$U$19,K92),1)*IF(Upgrades!$T$21="Open Cluster",POWER(Upgrades!$U$21,M92),1))+(IF(M92=0,0,(Upgrades!$M$21+M92*Upgrades!$N$21)*POWER(Upgrades!$O$21,M92)))*(IF(Upgrades!$T$13="Moving Group",POWER(Upgrades!$U$13,E92),1)*IF(Upgrades!$T$14="Moving Group",POWER(Upgrades!$U$14,F92),1)*IF(Upgrades!$T$15="Moving Group",POWER(Upgrades!$U$15,G92),1)*IF(Upgrades!$T$16="Moving Group",POWER(Upgrades!$U$16,H92),1)*IF(Upgrades!$T$17="Moving Group",POWER(Upgrades!$U$17,I92),1)*IF(Upgrades!$T$18="Moving Group",POWER(Upgrades!$U$18,J92),1)*IF(Upgrades!$T$19="Moving Group",POWER(Upgrades!$U$19,K92),1)*IF(Upgrades!$T$20="Moving Group",POWER(Upgrades!$U$20,L92),1)))*POWER(Upgrades!$R$13,E92)*POWER(Upgrades!$R$14,F92)*POWER(Upgrades!$R$15,G92)*POWER(Upgrades!$R$16,H92)*POWER(Upgrades!$R$17,I92)*POWER(Upgrades!$R$18,J92)*POWER(Upgrades!$R$19,K92)*POWER(Upgrades!$R$20,L92)*POWER(Upgrades!$R$21,M92)*$H$6+$E$6</f>
        <v/>
      </c>
      <c r="R92" s="27">
        <f>IF(N92=1,0,O92*Parameters!$B$10/60*Parameters!$B$11*10)</f>
        <v/>
      </c>
      <c r="S92" s="27">
        <f>IF(N92=1,0,Q92*O92*10)</f>
        <v/>
      </c>
      <c r="T92" s="27">
        <f>IF(N92=1,0,R92+S92+P92*10)</f>
        <v/>
      </c>
      <c r="U92" s="33">
        <f>BE92</f>
        <v/>
      </c>
      <c r="V92" s="22">
        <f>IF(U92="",0,IF(U92="transition",0,IF(U92="SK",AK92,IF(U92="LB",AL92,IF(U92="ML",AM92,IF(U92="RLO",AN92,IF(U92="BD",AO92,IF(U92="BiP",AP92,IF(U92="PV",AQ92,IF(U92="OC",AR92,IF(U92="MG",AS92,0))))))))))</f>
        <v/>
      </c>
      <c r="W92" s="27">
        <f>IF(U92="BiP",Upgrades!$F$18,IF(U92="PV",Upgrades!$F$19,IF(U92="OC",Upgrades!$F$20,IF(U92="MG",Upgrades!$F$21,IF(U92="transition",-Parameters!$B$18*Parameters!$B$19,0)))))</f>
        <v/>
      </c>
      <c r="X92" s="22">
        <f>C92+T92-V92</f>
        <v/>
      </c>
      <c r="Y92" s="30">
        <f>O92*Parameters!$B$10/60*Parameters!$B$11+Q92*O92+P92</f>
        <v/>
      </c>
      <c r="Z92" s="34">
        <f>IF(U92="transition","→ Tier 3 (Galactic Arm)",IF(U92="MG","Moving Group — pocket drifts together",IF(U92="OC","Open Cluster acquired",IF(U92="PV","Peculiar Velocity — passive multiplier active",IF(U92="BiP","Binary Partner — pair bond formed",IF(AND(AU92=1,N92=0,AT92&lt;&gt;1),"Cohesion ready (waiting on completionists)","")))))) </f>
        <v/>
      </c>
      <c r="AA92" s="27">
        <f>(IF(E92=0,0,(Upgrades!$G$13+E92*Upgrades!$H$13)*POWER(Upgrades!$I$13,E92)))*(IF(Upgrades!$T$14="Stellar Kinematics",POWER(Upgrades!$U$14,F92),1)*IF(Upgrades!$T$15="Stellar Kinematics",POWER(Upgrades!$U$15,G92),1)*IF(Upgrades!$T$16="Stellar Kinematics",POWER(Upgrades!$U$16,H92),1)*IF(Upgrades!$T$17="Stellar Kinematics",POWER(Upgrades!$U$17,I92),1)*IF(Upgrades!$T$18="Stellar Kinematics",POWER(Upgrades!$U$18,J92),1)*IF(Upgrades!$T$19="Stellar Kinematics",POWER(Upgrades!$U$19,K92),1)*IF(Upgrades!$T$20="Stellar Kinematics",POWER(Upgrades!$U$20,L92),1)*IF(Upgrades!$T$21="Stellar Kinematics",POWER(Upgrades!$U$21,M92),1))*POWER(Upgrades!$P$13,E92)*POWER(Upgrades!$P$14,F92)*POWER(Upgrades!$P$15,G92)*POWER(Upgrades!$P$16,H92)*POWER(Upgrades!$P$17,I92)*POWER(Upgrades!$P$18,J92)*POWER(Upgrades!$P$19,K92)*POWER(Upgrades!$P$20,L92)*POWER(Upgrades!$P$21,M92)*$F$6*60</f>
        <v/>
      </c>
      <c r="AB92" s="27">
        <f>(IF(F92=0,0,(Upgrades!$G$14+F92*Upgrades!$H$14)*POWER(Upgrades!$I$14,F92)))*(IF(Upgrades!$T$13="Local Bubble",POWER(Upgrades!$U$13,E92),1)*IF(Upgrades!$T$15="Local Bubble",POWER(Upgrades!$U$15,G92),1)*IF(Upgrades!$T$16="Local Bubble",POWER(Upgrades!$U$16,H92),1)*IF(Upgrades!$T$17="Local Bubble",POWER(Upgrades!$U$17,I92),1)*IF(Upgrades!$T$18="Local Bubble",POWER(Upgrades!$U$18,J92),1)*IF(Upgrades!$T$19="Local Bubble",POWER(Upgrades!$U$19,K92),1)*IF(Upgrades!$T$20="Local Bubble",POWER(Upgrades!$U$20,L92),1)*IF(Upgrades!$T$21="Local Bubble",POWER(Upgrades!$U$21,M92),1))*POWER(Upgrades!$P$13,E92)*POWER(Upgrades!$P$14,F92)*POWER(Upgrades!$P$15,G92)*POWER(Upgrades!$P$16,H92)*POWER(Upgrades!$P$17,I92)*POWER(Upgrades!$P$18,J92)*POWER(Upgrades!$P$19,K92)*POWER(Upgrades!$P$20,L92)*POWER(Upgrades!$P$21,M92)*$F$6*60</f>
        <v/>
      </c>
      <c r="AC92" s="27">
        <f>(IF(G92=0,0,(Upgrades!$J$15+G92*Upgrades!$K$15)*POWER(Upgrades!$L$15,G92)))*(IF(Upgrades!$T$13="Microlensing",POWER(Upgrades!$U$13,E92),1)*IF(Upgrades!$T$14="Microlensing",POWER(Upgrades!$U$14,F92),1)*IF(Upgrades!$T$16="Microlensing",POWER(Upgrades!$U$16,H92),1)*IF(Upgrades!$T$17="Microlensing",POWER(Upgrades!$U$17,I92),1)*IF(Upgrades!$T$18="Microlensing",POWER(Upgrades!$U$18,J92),1)*IF(Upgrades!$T$19="Microlensing",POWER(Upgrades!$U$19,K92),1)*IF(Upgrades!$T$20="Microlensing",POWER(Upgrades!$U$20,L92),1)*IF(Upgrades!$T$21="Microlensing",POWER(Upgrades!$U$21,M92),1))*POWER(Upgrades!$Q$13,E92)*POWER(Upgrades!$Q$14,F92)*POWER(Upgrades!$Q$15,G92)*POWER(Upgrades!$Q$16,H92)*POWER(Upgrades!$Q$17,I92)*POWER(Upgrades!$Q$18,J92)*POWER(Upgrades!$Q$19,K92)*POWER(Upgrades!$Q$20,L92)*POWER(Upgrades!$Q$21,M92)*$G$6*(Parameters!$B$10*Parameters!$B$11+Q92*60)</f>
        <v/>
      </c>
      <c r="AD92" s="27">
        <f>(IF(H92=0,0,(Upgrades!$M$16+H92*Upgrades!$N$16)*POWER(Upgrades!$O$16,H92)))*(IF(Upgrades!$T$13="Roche Lobe Overflow",POWER(Upgrades!$U$13,E92),1)*IF(Upgrades!$T$14="Roche Lobe Overflow",POWER(Upgrades!$U$14,F92),1)*IF(Upgrades!$T$15="Roche Lobe Overflow",POWER(Upgrades!$U$15,G92),1)*IF(Upgrades!$T$17="Roche Lobe Overflow",POWER(Upgrades!$U$17,I92),1)*IF(Upgrades!$T$18="Roche Lobe Overflow",POWER(Upgrades!$U$18,J92),1)*IF(Upgrades!$T$19="Roche Lobe Overflow",POWER(Upgrades!$U$19,K92),1)*IF(Upgrades!$T$20="Roche Lobe Overflow",POWER(Upgrades!$U$20,L92),1)*IF(Upgrades!$T$21="Roche Lobe Overflow",POWER(Upgrades!$U$21,M92),1))*POWER(Upgrades!$R$13,E92)*POWER(Upgrades!$R$14,F92)*POWER(Upgrades!$R$15,G92)*POWER(Upgrades!$R$16,H92)*POWER(Upgrades!$R$17,I92)*POWER(Upgrades!$R$18,J92)*POWER(Upgrades!$R$19,K92)*POWER(Upgrades!$R$20,L92)*POWER(Upgrades!$R$21,M92)*$H$6*O92*60</f>
        <v/>
      </c>
      <c r="AE92" s="27">
        <f>(IF(I92=0,0,(Upgrades!$G$17+I92*Upgrades!$H$17)*POWER(Upgrades!$I$17,I92)))*(IF(Upgrades!$T$13="Brown Dwarf",POWER(Upgrades!$U$13,E92),1)*IF(Upgrades!$T$14="Brown Dwarf",POWER(Upgrades!$U$14,F92),1)*IF(Upgrades!$T$15="Brown Dwarf",POWER(Upgrades!$U$15,G92),1)*IF(Upgrades!$T$16="Brown Dwarf",POWER(Upgrades!$U$16,H92),1)*IF(Upgrades!$T$18="Brown Dwarf",POWER(Upgrades!$U$18,J92),1)*IF(Upgrades!$T$19="Brown Dwarf",POWER(Upgrades!$U$19,K92),1)*IF(Upgrades!$T$20="Brown Dwarf",POWER(Upgrades!$U$20,L92),1)*IF(Upgrades!$T$21="Brown Dwarf",POWER(Upgrades!$U$21,M92),1))*POWER(Upgrades!$P$13,E92)*POWER(Upgrades!$P$14,F92)*POWER(Upgrades!$P$15,G92)*POWER(Upgrades!$P$16,H92)*POWER(Upgrades!$P$17,I92)*POWER(Upgrades!$P$18,J92)*POWER(Upgrades!$P$19,K92)*POWER(Upgrades!$P$20,L92)*POWER(Upgrades!$P$21,M92)*$F$6*60</f>
        <v/>
      </c>
      <c r="AF92" s="27" t="n">
        <v>0</v>
      </c>
      <c r="AG92" s="27" t="n">
        <v>0</v>
      </c>
      <c r="AH92" s="27" t="n">
        <v>0</v>
      </c>
      <c r="AI92" s="27">
        <f>(IF(M92=0,0,(Upgrades!$G$21+M92*Upgrades!$H$21)*POWER(Upgrades!$I$21,M92)))*(IF(Upgrades!$T$13="Moving Group",POWER(Upgrades!$U$13,E92),1)*IF(Upgrades!$T$14="Moving Group",POWER(Upgrades!$U$14,F92),1)*IF(Upgrades!$T$15="Moving Group",POWER(Upgrades!$U$15,G92),1)*IF(Upgrades!$T$16="Moving Group",POWER(Upgrades!$U$16,H92),1)*IF(Upgrades!$T$17="Moving Group",POWER(Upgrades!$U$17,I92),1)*IF(Upgrades!$T$18="Moving Group",POWER(Upgrades!$U$18,J92),1)*IF(Upgrades!$T$19="Moving Group",POWER(Upgrades!$U$19,K92),1)*IF(Upgrades!$T$20="Moving Group",POWER(Upgrades!$U$20,L92),1))*POWER(Upgrades!$P$13,E92)*POWER(Upgrades!$P$14,F92)*POWER(Upgrades!$P$15,G92)*POWER(Upgrades!$P$16,H92)*POWER(Upgrades!$P$17,I92)*POWER(Upgrades!$P$18,J92)*POWER(Upgrades!$P$19,K92)*POWER(Upgrades!$P$20,L92)*POWER(Upgrades!$P$21,M92)*$F$6*60</f>
        <v/>
      </c>
      <c r="AJ92" s="27">
        <f>$C$6*60</f>
        <v/>
      </c>
      <c r="AK92" s="22">
        <f>IF(E92&gt;=Upgrades!$E$13,"",Upgrades!$C$13*POWER(Upgrades!$D$13,E92))</f>
        <v/>
      </c>
      <c r="AL92" s="22">
        <f>IF(F92&gt;=Upgrades!$E$14,"",Upgrades!$C$14*POWER(Upgrades!$D$14,F92))</f>
        <v/>
      </c>
      <c r="AM92" s="22">
        <f>IF(G92&gt;=Upgrades!$E$15,"",Upgrades!$C$15*POWER(Upgrades!$D$15,G92))</f>
        <v/>
      </c>
      <c r="AN92" s="22">
        <f>IF(H92&gt;=Upgrades!$E$16,"",Upgrades!$C$16*POWER(Upgrades!$D$16,H92))</f>
        <v/>
      </c>
      <c r="AO92" s="22">
        <f>IF(I92&gt;=Upgrades!$E$17,"",Upgrades!$C$17*POWER(Upgrades!$D$17,I92))</f>
        <v/>
      </c>
      <c r="AP92" s="22">
        <f>IF(J92&gt;=Upgrades!$E$18,"",Upgrades!$C$18*POWER(Upgrades!$D$18,J92))</f>
        <v/>
      </c>
      <c r="AQ92" s="22">
        <f>IF(K92&gt;=Upgrades!$E$19,"",Upgrades!$C$19*POWER(Upgrades!$D$19,K92))</f>
        <v/>
      </c>
      <c r="AR92" s="22">
        <f>IF(L92&gt;=Upgrades!$E$20,"",Upgrades!$C$20*POWER(Upgrades!$D$20,L92))</f>
        <v/>
      </c>
      <c r="AS92" s="22">
        <f>IF(M92&gt;=Upgrades!$E$21,"",Upgrades!$C$21*POWER(Upgrades!$D$21,M92))</f>
        <v/>
      </c>
      <c r="AT92" s="26">
        <f>IF(AND(D92&gt;=Parameters!$B$18*Parameters!$B$19,(I92&gt;=Upgrades!$E$17)*(M92&gt;=Upgrades!$E$21)=1,N92=0),1,"")</f>
        <v/>
      </c>
      <c r="AU92" s="26">
        <f>IF(AND(D92&gt;=Parameters!$B$18*Parameters!$B$19,N92=0),1,"")</f>
        <v/>
      </c>
      <c r="AV92" s="22">
        <f>MIN(IF(ISNUMBER(AP92),AP92,9E15),IF(ISNUMBER(AQ92),AQ92,9E15),IF(ISNUMBER(AR92),AR92,9E15),IF(ISNUMBER(AS92),AS92,9E15))</f>
        <v/>
      </c>
      <c r="AW92" s="22">
        <f>MIN(IF(ISNUMBER(AK92),AK92,9E15),IF(ISNUMBER(AL92),AL92,9E15),IF(ISNUMBER(AM92),AM92,9E15),IF(ISNUMBER(AN92),AN92,9E15),IF(ISNUMBER(AO92),AO92,9E15))</f>
        <v/>
      </c>
      <c r="AX92" s="29">
        <f>IF(BD92&gt;Parameters!$B$21*(MAX(IF(AND(NOT(AND(AU92=1,AT92&lt;&gt;1)),ISNUMBER(AK92),AK92&lt;=(C92+T92)),AY92,0),IF(AND(NOT(AND(AU92=1,AT92&lt;&gt;1)),ISNUMBER(AL92),AL92&lt;=(C92+T92)),AZ92,0),IF(AND(NOT(AND(AU92=1,AT92&lt;&gt;1)),ISNUMBER(AM92),AM92&lt;=(C92+T92)),BA92,0),IF(AND(NOT(AND(AU92=1,AT92&lt;&gt;1)),ISNUMBER(AN92),AN92&lt;=(C92+T92)),BB92,0),IF(AND(ISNUMBER(AO92),AO92&lt;=(C92+T92)),BC92,0))),TRUE,FALSE)</f>
        <v/>
      </c>
      <c r="AY92" s="32">
        <f>IFERROR(Upgrades!$H$13*(POWER(Upgrades!$P$13,E92)*POWER(Upgrades!$P$14,F92)*POWER(Upgrades!$P$15,G92)*POWER(Upgrades!$P$16,H92)*POWER(Upgrades!$P$17,I92)*POWER(Upgrades!$P$18,J92)*POWER(Upgrades!$P$19,K92)*POWER(Upgrades!$P$20,L92)*POWER(Upgrades!$P$21,M92))*(IF(Upgrades!$T$14="Stellar Kinematics",POWER(Upgrades!$U$14,F92),1)*IF(Upgrades!$T$15="Stellar Kinematics",POWER(Upgrades!$U$15,G92),1)*IF(Upgrades!$T$16="Stellar Kinematics",POWER(Upgrades!$U$16,H92),1)*IF(Upgrades!$T$17="Stellar Kinematics",POWER(Upgrades!$U$17,I92),1)*IF(Upgrades!$T$18="Stellar Kinematics",POWER(Upgrades!$U$18,J92),1)*IF(Upgrades!$T$19="Stellar Kinematics",POWER(Upgrades!$U$19,K92),1)*IF(Upgrades!$T$20="Stellar Kinematics",POWER(Upgrades!$U$20,L92),1)*IF(Upgrades!$T$21="Stellar Kinematics",POWER(Upgrades!$U$21,M92),1))*$F$6/AK92,0)</f>
        <v/>
      </c>
      <c r="AZ92" s="32">
        <f>IFERROR(Upgrades!$H$14*(POWER(Upgrades!$P$13,E92)*POWER(Upgrades!$P$14,F92)*POWER(Upgrades!$P$15,G92)*POWER(Upgrades!$P$16,H92)*POWER(Upgrades!$P$17,I92)*POWER(Upgrades!$P$18,J92)*POWER(Upgrades!$P$19,K92)*POWER(Upgrades!$P$20,L92)*POWER(Upgrades!$P$21,M92))*(IF(Upgrades!$T$13="Local Bubble",POWER(Upgrades!$U$13,E92),1)*IF(Upgrades!$T$15="Local Bubble",POWER(Upgrades!$U$15,G92),1)*IF(Upgrades!$T$16="Local Bubble",POWER(Upgrades!$U$16,H92),1)*IF(Upgrades!$T$17="Local Bubble",POWER(Upgrades!$U$17,I92),1)*IF(Upgrades!$T$18="Local Bubble",POWER(Upgrades!$U$18,J92),1)*IF(Upgrades!$T$19="Local Bubble",POWER(Upgrades!$U$19,K92),1)*IF(Upgrades!$T$20="Local Bubble",POWER(Upgrades!$U$20,L92),1)*IF(Upgrades!$T$21="Local Bubble",POWER(Upgrades!$U$21,M92),1))*$F$6/AL92,0)</f>
        <v/>
      </c>
      <c r="BA92" s="32">
        <f>IFERROR(Upgrades!$K$15*(POWER(Upgrades!$Q$13,E92)*POWER(Upgrades!$Q$14,F92)*POWER(Upgrades!$Q$15,G92)*POWER(Upgrades!$Q$16,H92)*POWER(Upgrades!$Q$17,I92)*POWER(Upgrades!$Q$18,J92)*POWER(Upgrades!$Q$19,K92)*POWER(Upgrades!$Q$20,L92)*POWER(Upgrades!$Q$21,M92))*(IF(Upgrades!$T$13="Microlensing",POWER(Upgrades!$U$13,E92),1)*IF(Upgrades!$T$14="Microlensing",POWER(Upgrades!$U$14,F92),1)*IF(Upgrades!$T$16="Microlensing",POWER(Upgrades!$U$16,H92),1)*IF(Upgrades!$T$17="Microlensing",POWER(Upgrades!$U$17,I92),1)*IF(Upgrades!$T$18="Microlensing",POWER(Upgrades!$U$18,J92),1)*IF(Upgrades!$T$19="Microlensing",POWER(Upgrades!$U$19,K92),1)*IF(Upgrades!$T$20="Microlensing",POWER(Upgrades!$U$20,L92),1)*IF(Upgrades!$T$21="Microlensing",POWER(Upgrades!$U$21,M92),1))*$G$6*(Parameters!$B$10/60*Parameters!$B$11+Q92)/AM92,0)</f>
        <v/>
      </c>
      <c r="BB92" s="32">
        <f>IFERROR((Upgrades!$N$16*(POWER(Upgrades!$R$13,E92)*POWER(Upgrades!$R$14,F92)*POWER(Upgrades!$R$15,G92)*POWER(Upgrades!$R$16,H92)*POWER(Upgrades!$R$17,I92)*POWER(Upgrades!$R$18,J92)*POWER(Upgrades!$R$19,K92)*POWER(Upgrades!$R$20,L92)*POWER(Upgrades!$R$21,M92))*(IF(Upgrades!$T$13="Roche Lobe Overflow",POWER(Upgrades!$U$13,E92),1)*IF(Upgrades!$T$14="Roche Lobe Overflow",POWER(Upgrades!$U$14,F92),1)*IF(Upgrades!$T$15="Roche Lobe Overflow",POWER(Upgrades!$U$15,G92),1)*IF(Upgrades!$T$17="Roche Lobe Overflow",POWER(Upgrades!$U$17,I92),1)*IF(Upgrades!$T$18="Roche Lobe Overflow",POWER(Upgrades!$U$18,J92),1)*IF(Upgrades!$T$19="Roche Lobe Overflow",POWER(Upgrades!$U$19,K92),1)*IF(Upgrades!$T$20="Roche Lobe Overflow",POWER(Upgrades!$U$20,L92),1)*IF(Upgrades!$T$21="Roche Lobe Overflow",POWER(Upgrades!$U$21,M92),1))*$H$6*O92+((IF(F92=0,0,(Upgrades!$G$14+F92*Upgrades!$H$14)*POWER(Upgrades!$I$14,F92)))*(IF(Upgrades!$T$13="Local Bubble",POWER(Upgrades!$U$13,E92),1)*IF(Upgrades!$T$15="Local Bubble",POWER(Upgrades!$U$15,G92),1)*IF(Upgrades!$T$16="Local Bubble",POWER(Upgrades!$U$16,H92),1)*IF(Upgrades!$T$17="Local Bubble",POWER(Upgrades!$U$17,I92),1)*IF(Upgrades!$T$18="Local Bubble",POWER(Upgrades!$U$18,J92),1)*IF(Upgrades!$T$19="Local Bubble",POWER(Upgrades!$U$19,K92),1)*IF(Upgrades!$T$20="Local Bubble",POWER(Upgrades!$U$20,L92),1)*IF(Upgrades!$T$21="Local Bubble",POWER(Upgrades!$U$21,M92),1))*POWER(Upgrades!$P$13,E92)*POWER(Upgrades!$P$14,F92)*POWER(Upgrades!$P$15,G92)*POWER(Upgrades!$P$16,H92)*POWER(Upgrades!$P$17,I92)*POWER(Upgrades!$P$18,J92)*POWER(Upgrades!$P$19,K92)*POWER(Upgrades!$P$20,L92)*POWER(Upgrades!$P$21,M92)*$F$6)*0.05)/AN92,0)</f>
        <v/>
      </c>
      <c r="BC92" s="32">
        <f>IFERROR((Upgrades!$H$17*(POWER(Upgrades!$P$13,E92)*POWER(Upgrades!$P$14,F92)*POWER(Upgrades!$P$15,G92)*POWER(Upgrades!$P$16,H92)*POWER(Upgrades!$P$17,I92)*POWER(Upgrades!$P$18,J92)*POWER(Upgrades!$P$19,K92)*POWER(Upgrades!$P$20,L92)*POWER(Upgrades!$P$21,M92))*(IF(Upgrades!$T$13="Brown Dwarf",POWER(Upgrades!$U$13,E92),1)*IF(Upgrades!$T$14="Brown Dwarf",POWER(Upgrades!$U$14,F92),1)*IF(Upgrades!$T$15="Brown Dwarf",POWER(Upgrades!$U$15,G92),1)*IF(Upgrades!$T$16="Brown Dwarf",POWER(Upgrades!$U$16,H92),1)*IF(Upgrades!$T$18="Brown Dwarf",POWER(Upgrades!$U$18,J92),1)*IF(Upgrades!$T$19="Brown Dwarf",POWER(Upgrades!$U$19,K92),1)*IF(Upgrades!$T$20="Brown Dwarf",POWER(Upgrades!$U$20,L92),1)*IF(Upgrades!$T$21="Brown Dwarf",POWER(Upgrades!$U$21,M92),1))*$F$6+(((IF(H92=0,0,(Upgrades!$M$16+H92*Upgrades!$N$16)*POWER(Upgrades!$O$16,H92)))*(IF(Upgrades!$T$13="Roche Lobe Overflow",POWER(Upgrades!$U$13,E92),1)*IF(Upgrades!$T$14="Roche Lobe Overflow",POWER(Upgrades!$U$14,F92),1)*IF(Upgrades!$T$15="Roche Lobe Overflow",POWER(Upgrades!$U$15,G92),1)*IF(Upgrades!$T$17="Roche Lobe Overflow",POWER(Upgrades!$U$17,I92),1)*IF(Upgrades!$T$18="Roche Lobe Overflow",POWER(Upgrades!$U$18,J92),1)*IF(Upgrades!$T$19="Roche Lobe Overflow",POWER(Upgrades!$U$19,K92),1)*IF(Upgrades!$T$20="Roche Lobe Overflow",POWER(Upgrades!$U$20,L92),1)*IF(Upgrades!$T$21="Roche Lobe Overflow",POWER(Upgrades!$U$21,M92),1))*POWER(Upgrades!$R$13,E92)*POWER(Upgrades!$R$14,F92)*POWER(Upgrades!$R$15,G92)*POWER(Upgrades!$R$16,H92)*POWER(Upgrades!$R$17,I92)*POWER(Upgrades!$R$18,J92)*POWER(Upgrades!$R$19,K92)*POWER(Upgrades!$R$20,L92)*POWER(Upgrades!$R$21,M92)*$H$6)*O92)*0.10)/AO92,0)</f>
        <v/>
      </c>
      <c r="BD92" s="32">
        <f>MAX(IF(J92&gt;0,0,IFERROR(0.5*((IF(G92=0,0,(Upgrades!$J$15+G92*Upgrades!$K$15)*POWER(Upgrades!$L$15,G92)))*(IF(Upgrades!$T$13="Microlensing",POWER(Upgrades!$U$13,E92),1)*IF(Upgrades!$T$14="Microlensing",POWER(Upgrades!$U$14,F92),1)*IF(Upgrades!$T$16="Microlensing",POWER(Upgrades!$U$16,H92),1)*IF(Upgrades!$T$17="Microlensing",POWER(Upgrades!$U$17,I92),1)*IF(Upgrades!$T$18="Microlensing",POWER(Upgrades!$U$18,J92),1)*IF(Upgrades!$T$19="Microlensing",POWER(Upgrades!$U$19,K92),1)*IF(Upgrades!$T$20="Microlensing",POWER(Upgrades!$U$20,L92),1)*IF(Upgrades!$T$21="Microlensing",POWER(Upgrades!$U$21,M92),1))*(POWER(Upgrades!$Q$13,E92)*POWER(Upgrades!$Q$14,F92)*POWER(Upgrades!$Q$15,G92)*POWER(Upgrades!$Q$16,H92)*POWER(Upgrades!$Q$17,I92)*POWER(Upgrades!$Q$18,J92)*POWER(Upgrades!$Q$19,K92)*POWER(Upgrades!$Q$20,L92)*POWER(Upgrades!$Q$21,M92))*$G$6*(Parameters!$B$10/60*Parameters!$B$11+Q92))/Upgrades!$C$18,0)),IF(K92&gt;0,0,IFERROR(0.30*P92/Upgrades!$C$19,0)),IF(L92&gt;0,0,IFERROR(0.0001/Upgrades!$C$20,0)),IF(M92&gt;0,0,IFERROR((6.0*(POWER(Upgrades!$P$13,E92)*POWER(Upgrades!$P$14,F92)*POWER(Upgrades!$P$15,G92)*POWER(Upgrades!$P$16,H92)*POWER(Upgrades!$P$17,I92)*POWER(Upgrades!$P$18,J92)*POWER(Upgrades!$P$19,K92)*POWER(Upgrades!$P$20,L92)*POWER(Upgrades!$P$21,M92))*$F$6+0.20*O92*(Parameters!$B$10/60*Parameters!$B$11+Q92))/Upgrades!$C$21,0)),IF(AND(ISNUMBER(AK92),AK92&gt;(C92+T92)),AY92,0),IF(AND(ISNUMBER(AL92),AL92&gt;(C92+T92)),AZ92,0),IF(AND(ISNUMBER(AM92),AM92&gt;(C92+T92)),BA92,0),IF(AND(ISNUMBER(AN92),AN92&gt;(C92+T92)),BB92,0),IF(AND(ISNUMBER(AO92),AO92&gt;(C92+T92)),BC92,0))</f>
        <v/>
      </c>
      <c r="BE92" s="29">
        <f>IF(AT92=1,"transition",IF(MIN(IF(AND(J92=0,ISNUMBER(AP92),AP92&lt;=(C92+T92)),AP92,9E15),IF(AND(K92=0,ISNUMBER(AQ92),AQ92&lt;=(C92+T92)),AQ92,9E15),IF(AND(L92=0,ISNUMBER(AR92),AR92&lt;=(C92+T92)),AR92,9E15),IF(AND(M92=0,ISNUMBER(AS92),AS92&lt;=(C92+T92)),AS92,9E15))&lt;9E15,IF(AND(AND(J92=0,ISNUMBER(AP92),AP92&lt;=(C92+T92)),AP92=MIN(IF(AND(J92=0,ISNUMBER(AP92),AP92&lt;=(C92+T92)),AP92,9E15),IF(AND(K92=0,ISNUMBER(AQ92),AQ92&lt;=(C92+T92)),AQ92,9E15),IF(AND(L92=0,ISNUMBER(AR92),AR92&lt;=(C92+T92)),AR92,9E15),IF(AND(M92=0,ISNUMBER(AS92),AS92&lt;=(C92+T92)),AS92,9E15))),"BiP",IF(AND(AND(K92=0,ISNUMBER(AQ92),AQ92&lt;=(C92+T92)),AQ92=MIN(IF(AND(J92=0,ISNUMBER(AP92),AP92&lt;=(C92+T92)),AP92,9E15),IF(AND(K92=0,ISNUMBER(AQ92),AQ92&lt;=(C92+T92)),AQ92,9E15),IF(AND(L92=0,ISNUMBER(AR92),AR92&lt;=(C92+T92)),AR92,9E15),IF(AND(M92=0,ISNUMBER(AS92),AS92&lt;=(C92+T92)),AS92,9E15))),"PV",IF(AND(AND(L92=0,ISNUMBER(AR92),AR92&lt;=(C92+T92)),AR92=MIN(IF(AND(J92=0,ISNUMBER(AP92),AP92&lt;=(C92+T92)),AP92,9E15),IF(AND(K92=0,ISNUMBER(AQ92),AQ92&lt;=(C92+T92)),AQ92,9E15),IF(AND(L92=0,ISNUMBER(AR92),AR92&lt;=(C92+T92)),AR92,9E15),IF(AND(M92=0,ISNUMBER(AS92),AS92&lt;=(C92+T92)),AS92,9E15))),"OC","MG"))),IF(AX92=TRUE,"",IF(MAX(IF(AND(NOT(AND(AU92=1,AT92&lt;&gt;1)),ISNUMBER(AK92),AK92&lt;=(C92+T92)),AY92,0),IF(AND(NOT(AND(AU92=1,AT92&lt;&gt;1)),ISNUMBER(AL92),AL92&lt;=(C92+T92)),AZ92,0),IF(AND(NOT(AND(AU92=1,AT92&lt;&gt;1)),ISNUMBER(AM92),AM92&lt;=(C92+T92)),BA92,0),IF(AND(NOT(AND(AU92=1,AT92&lt;&gt;1)),ISNUMBER(AN92),AN92&lt;=(C92+T92)),BB92,0),IF(AND(ISNUMBER(AO92),AO92&lt;=(C92+T92)),BC92,0))&lt;=0,"",IF(AND(IF(AND(NOT(AND(AU92=1,AT92&lt;&gt;1)),ISNUMBER(AK92),AK92&lt;=(C92+T92)),AY92,0)&gt;0,IF(AND(NOT(AND(AU92=1,AT92&lt;&gt;1)),ISNUMBER(AK92),AK92&lt;=(C92+T92)),AY92,0)=MAX(IF(AND(NOT(AND(AU92=1,AT92&lt;&gt;1)),ISNUMBER(AK92),AK92&lt;=(C92+T92)),AY92,0),IF(AND(NOT(AND(AU92=1,AT92&lt;&gt;1)),ISNUMBER(AL92),AL92&lt;=(C92+T92)),AZ92,0),IF(AND(NOT(AND(AU92=1,AT92&lt;&gt;1)),ISNUMBER(AM92),AM92&lt;=(C92+T92)),BA92,0),IF(AND(NOT(AND(AU92=1,AT92&lt;&gt;1)),ISNUMBER(AN92),AN92&lt;=(C92+T92)),BB92,0),IF(AND(ISNUMBER(AO92),AO92&lt;=(C92+T92)),BC92,0))),"SK",IF(AND(IF(AND(NOT(AND(AU92=1,AT92&lt;&gt;1)),ISNUMBER(AL92),AL92&lt;=(C92+T92)),AZ92,0)&gt;0,IF(AND(NOT(AND(AU92=1,AT92&lt;&gt;1)),ISNUMBER(AL92),AL92&lt;=(C92+T92)),AZ92,0)=MAX(IF(AND(NOT(AND(AU92=1,AT92&lt;&gt;1)),ISNUMBER(AK92),AK92&lt;=(C92+T92)),AY92,0),IF(AND(NOT(AND(AU92=1,AT92&lt;&gt;1)),ISNUMBER(AL92),AL92&lt;=(C92+T92)),AZ92,0),IF(AND(NOT(AND(AU92=1,AT92&lt;&gt;1)),ISNUMBER(AM92),AM92&lt;=(C92+T92)),BA92,0),IF(AND(NOT(AND(AU92=1,AT92&lt;&gt;1)),ISNUMBER(AN92),AN92&lt;=(C92+T92)),BB92,0),IF(AND(ISNUMBER(AO92),AO92&lt;=(C92+T92)),BC92,0))),"LB",IF(AND(IF(AND(NOT(AND(AU92=1,AT92&lt;&gt;1)),ISNUMBER(AM92),AM92&lt;=(C92+T92)),BA92,0)&gt;0,IF(AND(NOT(AND(AU92=1,AT92&lt;&gt;1)),ISNUMBER(AM92),AM92&lt;=(C92+T92)),BA92,0)=MAX(IF(AND(NOT(AND(AU92=1,AT92&lt;&gt;1)),ISNUMBER(AK92),AK92&lt;=(C92+T92)),AY92,0),IF(AND(NOT(AND(AU92=1,AT92&lt;&gt;1)),ISNUMBER(AL92),AL92&lt;=(C92+T92)),AZ92,0),IF(AND(NOT(AND(AU92=1,AT92&lt;&gt;1)),ISNUMBER(AM92),AM92&lt;=(C92+T92)),BA92,0),IF(AND(NOT(AND(AU92=1,AT92&lt;&gt;1)),ISNUMBER(AN92),AN92&lt;=(C92+T92)),BB92,0),IF(AND(ISNUMBER(AO92),AO92&lt;=(C92+T92)),BC92,0))),"ML",IF(AND(IF(AND(NOT(AND(AU92=1,AT92&lt;&gt;1)),ISNUMBER(AN92),AN92&lt;=(C92+T92)),BB92,0)&gt;0,IF(AND(NOT(AND(AU92=1,AT92&lt;&gt;1)),ISNUMBER(AN92),AN92&lt;=(C92+T92)),BB92,0)=MAX(IF(AND(NOT(AND(AU92=1,AT92&lt;&gt;1)),ISNUMBER(AK92),AK92&lt;=(C92+T92)),AY92,0),IF(AND(NOT(AND(AU92=1,AT92&lt;&gt;1)),ISNUMBER(AL92),AL92&lt;=(C92+T92)),AZ92,0),IF(AND(NOT(AND(AU92=1,AT92&lt;&gt;1)),ISNUMBER(AM92),AM92&lt;=(C92+T92)),BA92,0),IF(AND(NOT(AND(AU92=1,AT92&lt;&gt;1)),ISNUMBER(AN92),AN92&lt;=(C92+T92)),BB92,0),IF(AND(ISNUMBER(AO92),AO92&lt;=(C92+T92)),BC92,0))),"RLO","BD"))))))))</f>
        <v/>
      </c>
    </row>
    <row r="93">
      <c r="A93" s="26" t="n">
        <v>82</v>
      </c>
      <c r="B93" s="27">
        <f>A93*10/60</f>
        <v/>
      </c>
      <c r="C93" s="22">
        <f>X92</f>
        <v/>
      </c>
      <c r="D93" s="27">
        <f>D92+W92</f>
        <v/>
      </c>
      <c r="E93" s="26">
        <f>E92+IF(U92="SK",1,0)</f>
        <v/>
      </c>
      <c r="F93" s="26">
        <f>F92+IF(U92="LB",1,0)</f>
        <v/>
      </c>
      <c r="G93" s="26">
        <f>G92+IF(U92="ML",1,0)</f>
        <v/>
      </c>
      <c r="H93" s="26">
        <f>H92+IF(U92="RLO",1,0)</f>
        <v/>
      </c>
      <c r="I93" s="26">
        <f>I92+IF(U92="BD",1,0)</f>
        <v/>
      </c>
      <c r="J93" s="26">
        <f>MAX(J92,IF(U92="BiP",1,0))</f>
        <v/>
      </c>
      <c r="K93" s="26">
        <f>MAX(K92,IF(U92="PV",1,0))</f>
        <v/>
      </c>
      <c r="L93" s="26">
        <f>MAX(L92,IF(U92="OC",1,0))</f>
        <v/>
      </c>
      <c r="M93" s="26">
        <f>MAX(M92,IF(U92="MG",1,0))</f>
        <v/>
      </c>
      <c r="N93" s="26">
        <f>MAX(N92,IF(U92="transition",1,0))</f>
        <v/>
      </c>
      <c r="O93" s="28">
        <f>(Parameters!$B$9+(IF(E93=0,0,(Upgrades!$J$13+E93*Upgrades!$K$13)*POWER(Upgrades!$L$13,E93)))*(IF(Upgrades!$T$14="Stellar Kinematics",POWER(Upgrades!$U$14,F93),1)*IF(Upgrades!$T$15="Stellar Kinematics",POWER(Upgrades!$U$15,G93),1)*IF(Upgrades!$T$16="Stellar Kinematics",POWER(Upgrades!$U$16,H93),1)*IF(Upgrades!$T$17="Stellar Kinematics",POWER(Upgrades!$U$17,I93),1)*IF(Upgrades!$T$18="Stellar Kinematics",POWER(Upgrades!$U$18,J93),1)*IF(Upgrades!$T$19="Stellar Kinematics",POWER(Upgrades!$U$19,K93),1)*IF(Upgrades!$T$20="Stellar Kinematics",POWER(Upgrades!$U$20,L93),1)*IF(Upgrades!$T$21="Stellar Kinematics",POWER(Upgrades!$U$21,M93),1))+(IF(F93=0,0,(Upgrades!$J$14+F93*Upgrades!$K$14)*POWER(Upgrades!$L$14,F93)))*(IF(Upgrades!$T$13="Local Bubble",POWER(Upgrades!$U$13,E93),1)*IF(Upgrades!$T$15="Local Bubble",POWER(Upgrades!$U$15,G93),1)*IF(Upgrades!$T$16="Local Bubble",POWER(Upgrades!$U$16,H93),1)*IF(Upgrades!$T$17="Local Bubble",POWER(Upgrades!$U$17,I93),1)*IF(Upgrades!$T$18="Local Bubble",POWER(Upgrades!$U$18,J93),1)*IF(Upgrades!$T$19="Local Bubble",POWER(Upgrades!$U$19,K93),1)*IF(Upgrades!$T$20="Local Bubble",POWER(Upgrades!$U$20,L93),1)*IF(Upgrades!$T$21="Local Bubble",POWER(Upgrades!$U$21,M93),1))+(IF(G93=0,0,(Upgrades!$J$15+G93*Upgrades!$K$15)*POWER(Upgrades!$L$15,G93)))*(IF(Upgrades!$T$13="Microlensing",POWER(Upgrades!$U$13,E93),1)*IF(Upgrades!$T$14="Microlensing",POWER(Upgrades!$U$14,F93),1)*IF(Upgrades!$T$16="Microlensing",POWER(Upgrades!$U$16,H93),1)*IF(Upgrades!$T$17="Microlensing",POWER(Upgrades!$U$17,I93),1)*IF(Upgrades!$T$18="Microlensing",POWER(Upgrades!$U$18,J93),1)*IF(Upgrades!$T$19="Microlensing",POWER(Upgrades!$U$19,K93),1)*IF(Upgrades!$T$20="Microlensing",POWER(Upgrades!$U$20,L93),1)*IF(Upgrades!$T$21="Microlensing",POWER(Upgrades!$U$21,M93),1))+(IF(H93=0,0,(Upgrades!$J$16+H93*Upgrades!$K$16)*POWER(Upgrades!$L$16,H93)))*(IF(Upgrades!$T$13="Roche Lobe Overflow",POWER(Upgrades!$U$13,E93),1)*IF(Upgrades!$T$14="Roche Lobe Overflow",POWER(Upgrades!$U$14,F93),1)*IF(Upgrades!$T$15="Roche Lobe Overflow",POWER(Upgrades!$U$15,G93),1)*IF(Upgrades!$T$17="Roche Lobe Overflow",POWER(Upgrades!$U$17,I93),1)*IF(Upgrades!$T$18="Roche Lobe Overflow",POWER(Upgrades!$U$18,J93),1)*IF(Upgrades!$T$19="Roche Lobe Overflow",POWER(Upgrades!$U$19,K93),1)*IF(Upgrades!$T$20="Roche Lobe Overflow",POWER(Upgrades!$U$20,L93),1)*IF(Upgrades!$T$21="Roche Lobe Overflow",POWER(Upgrades!$U$21,M93),1))+(IF(I93=0,0,(Upgrades!$J$17+I93*Upgrades!$K$17)*POWER(Upgrades!$L$17,I93)))*(IF(Upgrades!$T$13="Brown Dwarf",POWER(Upgrades!$U$13,E93),1)*IF(Upgrades!$T$14="Brown Dwarf",POWER(Upgrades!$U$14,F93),1)*IF(Upgrades!$T$15="Brown Dwarf",POWER(Upgrades!$U$15,G93),1)*IF(Upgrades!$T$16="Brown Dwarf",POWER(Upgrades!$U$16,H93),1)*IF(Upgrades!$T$18="Brown Dwarf",POWER(Upgrades!$U$18,J93),1)*IF(Upgrades!$T$19="Brown Dwarf",POWER(Upgrades!$U$19,K93),1)*IF(Upgrades!$T$20="Brown Dwarf",POWER(Upgrades!$U$20,L93),1)*IF(Upgrades!$T$21="Brown Dwarf",POWER(Upgrades!$U$21,M93),1))+(IF(J93=0,0,(Upgrades!$J$18+J93*Upgrades!$K$18)*POWER(Upgrades!$L$18,J93)))*(IF(Upgrades!$T$13="Binary Partner",POWER(Upgrades!$U$13,E93),1)*IF(Upgrades!$T$14="Binary Partner",POWER(Upgrades!$U$14,F93),1)*IF(Upgrades!$T$15="Binary Partner",POWER(Upgrades!$U$15,G93),1)*IF(Upgrades!$T$16="Binary Partner",POWER(Upgrades!$U$16,H93),1)*IF(Upgrades!$T$17="Binary Partner",POWER(Upgrades!$U$17,I93),1)*IF(Upgrades!$T$19="Binary Partner",POWER(Upgrades!$U$19,K93),1)*IF(Upgrades!$T$20="Binary Partner",POWER(Upgrades!$U$20,L93),1)*IF(Upgrades!$T$21="Binary Partner",POWER(Upgrades!$U$21,M93),1))+(IF(K93=0,0,(Upgrades!$J$19+K93*Upgrades!$K$19)*POWER(Upgrades!$L$19,K93)))*(IF(Upgrades!$T$13="Peculiar Velocity",POWER(Upgrades!$U$13,E93),1)*IF(Upgrades!$T$14="Peculiar Velocity",POWER(Upgrades!$U$14,F93),1)*IF(Upgrades!$T$15="Peculiar Velocity",POWER(Upgrades!$U$15,G93),1)*IF(Upgrades!$T$16="Peculiar Velocity",POWER(Upgrades!$U$16,H93),1)*IF(Upgrades!$T$17="Peculiar Velocity",POWER(Upgrades!$U$17,I93),1)*IF(Upgrades!$T$18="Peculiar Velocity",POWER(Upgrades!$U$18,J93),1)*IF(Upgrades!$T$20="Peculiar Velocity",POWER(Upgrades!$U$20,L93),1)*IF(Upgrades!$T$21="Peculiar Velocity",POWER(Upgrades!$U$21,M93),1))+(IF(L93=0,0,(Upgrades!$J$20+L93*Upgrades!$K$20)*POWER(Upgrades!$L$20,L93)))*(IF(Upgrades!$T$13="Open Cluster",POWER(Upgrades!$U$13,E93),1)*IF(Upgrades!$T$14="Open Cluster",POWER(Upgrades!$U$14,F93),1)*IF(Upgrades!$T$15="Open Cluster",POWER(Upgrades!$U$15,G93),1)*IF(Upgrades!$T$16="Open Cluster",POWER(Upgrades!$U$16,H93),1)*IF(Upgrades!$T$17="Open Cluster",POWER(Upgrades!$U$17,I93),1)*IF(Upgrades!$T$18="Open Cluster",POWER(Upgrades!$U$18,J93),1)*IF(Upgrades!$T$19="Open Cluster",POWER(Upgrades!$U$19,K93),1)*IF(Upgrades!$T$21="Open Cluster",POWER(Upgrades!$U$21,M93),1))+(IF(M93=0,0,(Upgrades!$J$21+M93*Upgrades!$K$21)*POWER(Upgrades!$L$21,M93)))*(IF(Upgrades!$T$13="Moving Group",POWER(Upgrades!$U$13,E93),1)*IF(Upgrades!$T$14="Moving Group",POWER(Upgrades!$U$14,F93),1)*IF(Upgrades!$T$15="Moving Group",POWER(Upgrades!$U$15,G93),1)*IF(Upgrades!$T$16="Moving Group",POWER(Upgrades!$U$16,H93),1)*IF(Upgrades!$T$17="Moving Group",POWER(Upgrades!$U$17,I93),1)*IF(Upgrades!$T$18="Moving Group",POWER(Upgrades!$U$18,J93),1)*IF(Upgrades!$T$19="Moving Group",POWER(Upgrades!$U$19,K93),1)*IF(Upgrades!$T$20="Moving Group",POWER(Upgrades!$U$20,L93),1)))*POWER(Upgrades!$Q$13,E93)*POWER(Upgrades!$Q$14,F93)*POWER(Upgrades!$Q$15,G93)*POWER(Upgrades!$Q$16,H93)*POWER(Upgrades!$Q$17,I93)*POWER(Upgrades!$Q$18,J93)*POWER(Upgrades!$Q$19,K93)*POWER(Upgrades!$Q$20,L93)*POWER(Upgrades!$Q$21,M93)*$G$6+$D$6</f>
        <v/>
      </c>
      <c r="P93" s="28">
        <f>((IF(E93=0,0,(Upgrades!$G$13+E93*Upgrades!$H$13)*POWER(Upgrades!$I$13,E93)))*(IF(Upgrades!$T$14="Stellar Kinematics",POWER(Upgrades!$U$14,F93),1)*IF(Upgrades!$T$15="Stellar Kinematics",POWER(Upgrades!$U$15,G93),1)*IF(Upgrades!$T$16="Stellar Kinematics",POWER(Upgrades!$U$16,H93),1)*IF(Upgrades!$T$17="Stellar Kinematics",POWER(Upgrades!$U$17,I93),1)*IF(Upgrades!$T$18="Stellar Kinematics",POWER(Upgrades!$U$18,J93),1)*IF(Upgrades!$T$19="Stellar Kinematics",POWER(Upgrades!$U$19,K93),1)*IF(Upgrades!$T$20="Stellar Kinematics",POWER(Upgrades!$U$20,L93),1)*IF(Upgrades!$T$21="Stellar Kinematics",POWER(Upgrades!$U$21,M93),1))+(IF(F93=0,0,(Upgrades!$G$14+F93*Upgrades!$H$14)*POWER(Upgrades!$I$14,F93)))*(IF(Upgrades!$T$13="Local Bubble",POWER(Upgrades!$U$13,E93),1)*IF(Upgrades!$T$15="Local Bubble",POWER(Upgrades!$U$15,G93),1)*IF(Upgrades!$T$16="Local Bubble",POWER(Upgrades!$U$16,H93),1)*IF(Upgrades!$T$17="Local Bubble",POWER(Upgrades!$U$17,I93),1)*IF(Upgrades!$T$18="Local Bubble",POWER(Upgrades!$U$18,J93),1)*IF(Upgrades!$T$19="Local Bubble",POWER(Upgrades!$U$19,K93),1)*IF(Upgrades!$T$20="Local Bubble",POWER(Upgrades!$U$20,L93),1)*IF(Upgrades!$T$21="Local Bubble",POWER(Upgrades!$U$21,M93),1))+(IF(G93=0,0,(Upgrades!$G$15+G93*Upgrades!$H$15)*POWER(Upgrades!$I$15,G93)))*(IF(Upgrades!$T$13="Microlensing",POWER(Upgrades!$U$13,E93),1)*IF(Upgrades!$T$14="Microlensing",POWER(Upgrades!$U$14,F93),1)*IF(Upgrades!$T$16="Microlensing",POWER(Upgrades!$U$16,H93),1)*IF(Upgrades!$T$17="Microlensing",POWER(Upgrades!$U$17,I93),1)*IF(Upgrades!$T$18="Microlensing",POWER(Upgrades!$U$18,J93),1)*IF(Upgrades!$T$19="Microlensing",POWER(Upgrades!$U$19,K93),1)*IF(Upgrades!$T$20="Microlensing",POWER(Upgrades!$U$20,L93),1)*IF(Upgrades!$T$21="Microlensing",POWER(Upgrades!$U$21,M93),1))+(IF(H93=0,0,(Upgrades!$G$16+H93*Upgrades!$H$16)*POWER(Upgrades!$I$16,H93)))*(IF(Upgrades!$T$13="Roche Lobe Overflow",POWER(Upgrades!$U$13,E93),1)*IF(Upgrades!$T$14="Roche Lobe Overflow",POWER(Upgrades!$U$14,F93),1)*IF(Upgrades!$T$15="Roche Lobe Overflow",POWER(Upgrades!$U$15,G93),1)*IF(Upgrades!$T$17="Roche Lobe Overflow",POWER(Upgrades!$U$17,I93),1)*IF(Upgrades!$T$18="Roche Lobe Overflow",POWER(Upgrades!$U$18,J93),1)*IF(Upgrades!$T$19="Roche Lobe Overflow",POWER(Upgrades!$U$19,K93),1)*IF(Upgrades!$T$20="Roche Lobe Overflow",POWER(Upgrades!$U$20,L93),1)*IF(Upgrades!$T$21="Roche Lobe Overflow",POWER(Upgrades!$U$21,M93),1))+(IF(I93=0,0,(Upgrades!$G$17+I93*Upgrades!$H$17)*POWER(Upgrades!$I$17,I93)))*(IF(Upgrades!$T$13="Brown Dwarf",POWER(Upgrades!$U$13,E93),1)*IF(Upgrades!$T$14="Brown Dwarf",POWER(Upgrades!$U$14,F93),1)*IF(Upgrades!$T$15="Brown Dwarf",POWER(Upgrades!$U$15,G93),1)*IF(Upgrades!$T$16="Brown Dwarf",POWER(Upgrades!$U$16,H93),1)*IF(Upgrades!$T$18="Brown Dwarf",POWER(Upgrades!$U$18,J93),1)*IF(Upgrades!$T$19="Brown Dwarf",POWER(Upgrades!$U$19,K93),1)*IF(Upgrades!$T$20="Brown Dwarf",POWER(Upgrades!$U$20,L93),1)*IF(Upgrades!$T$21="Brown Dwarf",POWER(Upgrades!$U$21,M93),1))+(IF(J93=0,0,(Upgrades!$G$18+J93*Upgrades!$H$18)*POWER(Upgrades!$I$18,J93)))*(IF(Upgrades!$T$13="Binary Partner",POWER(Upgrades!$U$13,E93),1)*IF(Upgrades!$T$14="Binary Partner",POWER(Upgrades!$U$14,F93),1)*IF(Upgrades!$T$15="Binary Partner",POWER(Upgrades!$U$15,G93),1)*IF(Upgrades!$T$16="Binary Partner",POWER(Upgrades!$U$16,H93),1)*IF(Upgrades!$T$17="Binary Partner",POWER(Upgrades!$U$17,I93),1)*IF(Upgrades!$T$19="Binary Partner",POWER(Upgrades!$U$19,K93),1)*IF(Upgrades!$T$20="Binary Partner",POWER(Upgrades!$U$20,L93),1)*IF(Upgrades!$T$21="Binary Partner",POWER(Upgrades!$U$21,M93),1))+(IF(K93=0,0,(Upgrades!$G$19+K93*Upgrades!$H$19)*POWER(Upgrades!$I$19,K93)))*(IF(Upgrades!$T$13="Peculiar Velocity",POWER(Upgrades!$U$13,E93),1)*IF(Upgrades!$T$14="Peculiar Velocity",POWER(Upgrades!$U$14,F93),1)*IF(Upgrades!$T$15="Peculiar Velocity",POWER(Upgrades!$U$15,G93),1)*IF(Upgrades!$T$16="Peculiar Velocity",POWER(Upgrades!$U$16,H93),1)*IF(Upgrades!$T$17="Peculiar Velocity",POWER(Upgrades!$U$17,I93),1)*IF(Upgrades!$T$18="Peculiar Velocity",POWER(Upgrades!$U$18,J93),1)*IF(Upgrades!$T$20="Peculiar Velocity",POWER(Upgrades!$U$20,L93),1)*IF(Upgrades!$T$21="Peculiar Velocity",POWER(Upgrades!$U$21,M93),1))+(IF(L93=0,0,(Upgrades!$G$20+L93*Upgrades!$H$20)*POWER(Upgrades!$I$20,L93)))*(IF(Upgrades!$T$13="Open Cluster",POWER(Upgrades!$U$13,E93),1)*IF(Upgrades!$T$14="Open Cluster",POWER(Upgrades!$U$14,F93),1)*IF(Upgrades!$T$15="Open Cluster",POWER(Upgrades!$U$15,G93),1)*IF(Upgrades!$T$16="Open Cluster",POWER(Upgrades!$U$16,H93),1)*IF(Upgrades!$T$17="Open Cluster",POWER(Upgrades!$U$17,I93),1)*IF(Upgrades!$T$18="Open Cluster",POWER(Upgrades!$U$18,J93),1)*IF(Upgrades!$T$19="Open Cluster",POWER(Upgrades!$U$19,K93),1)*IF(Upgrades!$T$21="Open Cluster",POWER(Upgrades!$U$21,M93),1))+(IF(M93=0,0,(Upgrades!$G$21+M93*Upgrades!$H$21)*POWER(Upgrades!$I$21,M93)))*(IF(Upgrades!$T$13="Moving Group",POWER(Upgrades!$U$13,E93),1)*IF(Upgrades!$T$14="Moving Group",POWER(Upgrades!$U$14,F93),1)*IF(Upgrades!$T$15="Moving Group",POWER(Upgrades!$U$15,G93),1)*IF(Upgrades!$T$16="Moving Group",POWER(Upgrades!$U$16,H93),1)*IF(Upgrades!$T$17="Moving Group",POWER(Upgrades!$U$17,I93),1)*IF(Upgrades!$T$18="Moving Group",POWER(Upgrades!$U$18,J93),1)*IF(Upgrades!$T$19="Moving Group",POWER(Upgrades!$U$19,K93),1)*IF(Upgrades!$T$20="Moving Group",POWER(Upgrades!$U$20,L93),1)))*POWER(Upgrades!$P$13,E93)*POWER(Upgrades!$P$14,F93)*POWER(Upgrades!$P$15,G93)*POWER(Upgrades!$P$16,H93)*POWER(Upgrades!$P$17,I93)*POWER(Upgrades!$P$18,J93)*POWER(Upgrades!$P$19,K93)*POWER(Upgrades!$P$20,L93)*POWER(Upgrades!$P$21,M93)*$F$6+$C$6</f>
        <v/>
      </c>
      <c r="Q93" s="28">
        <f>((IF(E93=0,0,(Upgrades!$M$13+E93*Upgrades!$N$13)*POWER(Upgrades!$O$13,E93)))*(IF(Upgrades!$T$14="Stellar Kinematics",POWER(Upgrades!$U$14,F93),1)*IF(Upgrades!$T$15="Stellar Kinematics",POWER(Upgrades!$U$15,G93),1)*IF(Upgrades!$T$16="Stellar Kinematics",POWER(Upgrades!$U$16,H93),1)*IF(Upgrades!$T$17="Stellar Kinematics",POWER(Upgrades!$U$17,I93),1)*IF(Upgrades!$T$18="Stellar Kinematics",POWER(Upgrades!$U$18,J93),1)*IF(Upgrades!$T$19="Stellar Kinematics",POWER(Upgrades!$U$19,K93),1)*IF(Upgrades!$T$20="Stellar Kinematics",POWER(Upgrades!$U$20,L93),1)*IF(Upgrades!$T$21="Stellar Kinematics",POWER(Upgrades!$U$21,M93),1))+(IF(F93=0,0,(Upgrades!$M$14+F93*Upgrades!$N$14)*POWER(Upgrades!$O$14,F93)))*(IF(Upgrades!$T$13="Local Bubble",POWER(Upgrades!$U$13,E93),1)*IF(Upgrades!$T$15="Local Bubble",POWER(Upgrades!$U$15,G93),1)*IF(Upgrades!$T$16="Local Bubble",POWER(Upgrades!$U$16,H93),1)*IF(Upgrades!$T$17="Local Bubble",POWER(Upgrades!$U$17,I93),1)*IF(Upgrades!$T$18="Local Bubble",POWER(Upgrades!$U$18,J93),1)*IF(Upgrades!$T$19="Local Bubble",POWER(Upgrades!$U$19,K93),1)*IF(Upgrades!$T$20="Local Bubble",POWER(Upgrades!$U$20,L93),1)*IF(Upgrades!$T$21="Local Bubble",POWER(Upgrades!$U$21,M93),1))+(IF(G93=0,0,(Upgrades!$M$15+G93*Upgrades!$N$15)*POWER(Upgrades!$O$15,G93)))*(IF(Upgrades!$T$13="Microlensing",POWER(Upgrades!$U$13,E93),1)*IF(Upgrades!$T$14="Microlensing",POWER(Upgrades!$U$14,F93),1)*IF(Upgrades!$T$16="Microlensing",POWER(Upgrades!$U$16,H93),1)*IF(Upgrades!$T$17="Microlensing",POWER(Upgrades!$U$17,I93),1)*IF(Upgrades!$T$18="Microlensing",POWER(Upgrades!$U$18,J93),1)*IF(Upgrades!$T$19="Microlensing",POWER(Upgrades!$U$19,K93),1)*IF(Upgrades!$T$20="Microlensing",POWER(Upgrades!$U$20,L93),1)*IF(Upgrades!$T$21="Microlensing",POWER(Upgrades!$U$21,M93),1))+(IF(H93=0,0,(Upgrades!$M$16+H93*Upgrades!$N$16)*POWER(Upgrades!$O$16,H93)))*(IF(Upgrades!$T$13="Roche Lobe Overflow",POWER(Upgrades!$U$13,E93),1)*IF(Upgrades!$T$14="Roche Lobe Overflow",POWER(Upgrades!$U$14,F93),1)*IF(Upgrades!$T$15="Roche Lobe Overflow",POWER(Upgrades!$U$15,G93),1)*IF(Upgrades!$T$17="Roche Lobe Overflow",POWER(Upgrades!$U$17,I93),1)*IF(Upgrades!$T$18="Roche Lobe Overflow",POWER(Upgrades!$U$18,J93),1)*IF(Upgrades!$T$19="Roche Lobe Overflow",POWER(Upgrades!$U$19,K93),1)*IF(Upgrades!$T$20="Roche Lobe Overflow",POWER(Upgrades!$U$20,L93),1)*IF(Upgrades!$T$21="Roche Lobe Overflow",POWER(Upgrades!$U$21,M93),1))+(IF(I93=0,0,(Upgrades!$M$17+I93*Upgrades!$N$17)*POWER(Upgrades!$O$17,I93)))*(IF(Upgrades!$T$13="Brown Dwarf",POWER(Upgrades!$U$13,E93),1)*IF(Upgrades!$T$14="Brown Dwarf",POWER(Upgrades!$U$14,F93),1)*IF(Upgrades!$T$15="Brown Dwarf",POWER(Upgrades!$U$15,G93),1)*IF(Upgrades!$T$16="Brown Dwarf",POWER(Upgrades!$U$16,H93),1)*IF(Upgrades!$T$18="Brown Dwarf",POWER(Upgrades!$U$18,J93),1)*IF(Upgrades!$T$19="Brown Dwarf",POWER(Upgrades!$U$19,K93),1)*IF(Upgrades!$T$20="Brown Dwarf",POWER(Upgrades!$U$20,L93),1)*IF(Upgrades!$T$21="Brown Dwarf",POWER(Upgrades!$U$21,M93),1))+(IF(J93=0,0,(Upgrades!$M$18+J93*Upgrades!$N$18)*POWER(Upgrades!$O$18,J93)))*(IF(Upgrades!$T$13="Binary Partner",POWER(Upgrades!$U$13,E93),1)*IF(Upgrades!$T$14="Binary Partner",POWER(Upgrades!$U$14,F93),1)*IF(Upgrades!$T$15="Binary Partner",POWER(Upgrades!$U$15,G93),1)*IF(Upgrades!$T$16="Binary Partner",POWER(Upgrades!$U$16,H93),1)*IF(Upgrades!$T$17="Binary Partner",POWER(Upgrades!$U$17,I93),1)*IF(Upgrades!$T$19="Binary Partner",POWER(Upgrades!$U$19,K93),1)*IF(Upgrades!$T$20="Binary Partner",POWER(Upgrades!$U$20,L93),1)*IF(Upgrades!$T$21="Binary Partner",POWER(Upgrades!$U$21,M93),1))+(IF(K93=0,0,(Upgrades!$M$19+K93*Upgrades!$N$19)*POWER(Upgrades!$O$19,K93)))*(IF(Upgrades!$T$13="Peculiar Velocity",POWER(Upgrades!$U$13,E93),1)*IF(Upgrades!$T$14="Peculiar Velocity",POWER(Upgrades!$U$14,F93),1)*IF(Upgrades!$T$15="Peculiar Velocity",POWER(Upgrades!$U$15,G93),1)*IF(Upgrades!$T$16="Peculiar Velocity",POWER(Upgrades!$U$16,H93),1)*IF(Upgrades!$T$17="Peculiar Velocity",POWER(Upgrades!$U$17,I93),1)*IF(Upgrades!$T$18="Peculiar Velocity",POWER(Upgrades!$U$18,J93),1)*IF(Upgrades!$T$20="Peculiar Velocity",POWER(Upgrades!$U$20,L93),1)*IF(Upgrades!$T$21="Peculiar Velocity",POWER(Upgrades!$U$21,M93),1))+(IF(L93=0,0,(Upgrades!$M$20+L93*Upgrades!$N$20)*POWER(Upgrades!$O$20,L93)))*(IF(Upgrades!$T$13="Open Cluster",POWER(Upgrades!$U$13,E93),1)*IF(Upgrades!$T$14="Open Cluster",POWER(Upgrades!$U$14,F93),1)*IF(Upgrades!$T$15="Open Cluster",POWER(Upgrades!$U$15,G93),1)*IF(Upgrades!$T$16="Open Cluster",POWER(Upgrades!$U$16,H93),1)*IF(Upgrades!$T$17="Open Cluster",POWER(Upgrades!$U$17,I93),1)*IF(Upgrades!$T$18="Open Cluster",POWER(Upgrades!$U$18,J93),1)*IF(Upgrades!$T$19="Open Cluster",POWER(Upgrades!$U$19,K93),1)*IF(Upgrades!$T$21="Open Cluster",POWER(Upgrades!$U$21,M93),1))+(IF(M93=0,0,(Upgrades!$M$21+M93*Upgrades!$N$21)*POWER(Upgrades!$O$21,M93)))*(IF(Upgrades!$T$13="Moving Group",POWER(Upgrades!$U$13,E93),1)*IF(Upgrades!$T$14="Moving Group",POWER(Upgrades!$U$14,F93),1)*IF(Upgrades!$T$15="Moving Group",POWER(Upgrades!$U$15,G93),1)*IF(Upgrades!$T$16="Moving Group",POWER(Upgrades!$U$16,H93),1)*IF(Upgrades!$T$17="Moving Group",POWER(Upgrades!$U$17,I93),1)*IF(Upgrades!$T$18="Moving Group",POWER(Upgrades!$U$18,J93),1)*IF(Upgrades!$T$19="Moving Group",POWER(Upgrades!$U$19,K93),1)*IF(Upgrades!$T$20="Moving Group",POWER(Upgrades!$U$20,L93),1)))*POWER(Upgrades!$R$13,E93)*POWER(Upgrades!$R$14,F93)*POWER(Upgrades!$R$15,G93)*POWER(Upgrades!$R$16,H93)*POWER(Upgrades!$R$17,I93)*POWER(Upgrades!$R$18,J93)*POWER(Upgrades!$R$19,K93)*POWER(Upgrades!$R$20,L93)*POWER(Upgrades!$R$21,M93)*$H$6+$E$6</f>
        <v/>
      </c>
      <c r="R93" s="27">
        <f>IF(N93=1,0,O93*Parameters!$B$10/60*Parameters!$B$11*10)</f>
        <v/>
      </c>
      <c r="S93" s="27">
        <f>IF(N93=1,0,Q93*O93*10)</f>
        <v/>
      </c>
      <c r="T93" s="27">
        <f>IF(N93=1,0,R93+S93+P93*10)</f>
        <v/>
      </c>
      <c r="U93" s="33">
        <f>BE93</f>
        <v/>
      </c>
      <c r="V93" s="22">
        <f>IF(U93="",0,IF(U93="transition",0,IF(U93="SK",AK93,IF(U93="LB",AL93,IF(U93="ML",AM93,IF(U93="RLO",AN93,IF(U93="BD",AO93,IF(U93="BiP",AP93,IF(U93="PV",AQ93,IF(U93="OC",AR93,IF(U93="MG",AS93,0))))))))))</f>
        <v/>
      </c>
      <c r="W93" s="27">
        <f>IF(U93="BiP",Upgrades!$F$18,IF(U93="PV",Upgrades!$F$19,IF(U93="OC",Upgrades!$F$20,IF(U93="MG",Upgrades!$F$21,IF(U93="transition",-Parameters!$B$18*Parameters!$B$19,0)))))</f>
        <v/>
      </c>
      <c r="X93" s="22">
        <f>C93+T93-V93</f>
        <v/>
      </c>
      <c r="Y93" s="30">
        <f>O93*Parameters!$B$10/60*Parameters!$B$11+Q93*O93+P93</f>
        <v/>
      </c>
      <c r="Z93" s="34">
        <f>IF(U93="transition","→ Tier 3 (Galactic Arm)",IF(U93="MG","Moving Group — pocket drifts together",IF(U93="OC","Open Cluster acquired",IF(U93="PV","Peculiar Velocity — passive multiplier active",IF(U93="BiP","Binary Partner — pair bond formed",IF(AND(AU93=1,N93=0,AT93&lt;&gt;1),"Cohesion ready (waiting on completionists)","")))))) </f>
        <v/>
      </c>
      <c r="AA93" s="27">
        <f>(IF(E93=0,0,(Upgrades!$G$13+E93*Upgrades!$H$13)*POWER(Upgrades!$I$13,E93)))*(IF(Upgrades!$T$14="Stellar Kinematics",POWER(Upgrades!$U$14,F93),1)*IF(Upgrades!$T$15="Stellar Kinematics",POWER(Upgrades!$U$15,G93),1)*IF(Upgrades!$T$16="Stellar Kinematics",POWER(Upgrades!$U$16,H93),1)*IF(Upgrades!$T$17="Stellar Kinematics",POWER(Upgrades!$U$17,I93),1)*IF(Upgrades!$T$18="Stellar Kinematics",POWER(Upgrades!$U$18,J93),1)*IF(Upgrades!$T$19="Stellar Kinematics",POWER(Upgrades!$U$19,K93),1)*IF(Upgrades!$T$20="Stellar Kinematics",POWER(Upgrades!$U$20,L93),1)*IF(Upgrades!$T$21="Stellar Kinematics",POWER(Upgrades!$U$21,M93),1))*POWER(Upgrades!$P$13,E93)*POWER(Upgrades!$P$14,F93)*POWER(Upgrades!$P$15,G93)*POWER(Upgrades!$P$16,H93)*POWER(Upgrades!$P$17,I93)*POWER(Upgrades!$P$18,J93)*POWER(Upgrades!$P$19,K93)*POWER(Upgrades!$P$20,L93)*POWER(Upgrades!$P$21,M93)*$F$6*60</f>
        <v/>
      </c>
      <c r="AB93" s="27">
        <f>(IF(F93=0,0,(Upgrades!$G$14+F93*Upgrades!$H$14)*POWER(Upgrades!$I$14,F93)))*(IF(Upgrades!$T$13="Local Bubble",POWER(Upgrades!$U$13,E93),1)*IF(Upgrades!$T$15="Local Bubble",POWER(Upgrades!$U$15,G93),1)*IF(Upgrades!$T$16="Local Bubble",POWER(Upgrades!$U$16,H93),1)*IF(Upgrades!$T$17="Local Bubble",POWER(Upgrades!$U$17,I93),1)*IF(Upgrades!$T$18="Local Bubble",POWER(Upgrades!$U$18,J93),1)*IF(Upgrades!$T$19="Local Bubble",POWER(Upgrades!$U$19,K93),1)*IF(Upgrades!$T$20="Local Bubble",POWER(Upgrades!$U$20,L93),1)*IF(Upgrades!$T$21="Local Bubble",POWER(Upgrades!$U$21,M93),1))*POWER(Upgrades!$P$13,E93)*POWER(Upgrades!$P$14,F93)*POWER(Upgrades!$P$15,G93)*POWER(Upgrades!$P$16,H93)*POWER(Upgrades!$P$17,I93)*POWER(Upgrades!$P$18,J93)*POWER(Upgrades!$P$19,K93)*POWER(Upgrades!$P$20,L93)*POWER(Upgrades!$P$21,M93)*$F$6*60</f>
        <v/>
      </c>
      <c r="AC93" s="27">
        <f>(IF(G93=0,0,(Upgrades!$J$15+G93*Upgrades!$K$15)*POWER(Upgrades!$L$15,G93)))*(IF(Upgrades!$T$13="Microlensing",POWER(Upgrades!$U$13,E93),1)*IF(Upgrades!$T$14="Microlensing",POWER(Upgrades!$U$14,F93),1)*IF(Upgrades!$T$16="Microlensing",POWER(Upgrades!$U$16,H93),1)*IF(Upgrades!$T$17="Microlensing",POWER(Upgrades!$U$17,I93),1)*IF(Upgrades!$T$18="Microlensing",POWER(Upgrades!$U$18,J93),1)*IF(Upgrades!$T$19="Microlensing",POWER(Upgrades!$U$19,K93),1)*IF(Upgrades!$T$20="Microlensing",POWER(Upgrades!$U$20,L93),1)*IF(Upgrades!$T$21="Microlensing",POWER(Upgrades!$U$21,M93),1))*POWER(Upgrades!$Q$13,E93)*POWER(Upgrades!$Q$14,F93)*POWER(Upgrades!$Q$15,G93)*POWER(Upgrades!$Q$16,H93)*POWER(Upgrades!$Q$17,I93)*POWER(Upgrades!$Q$18,J93)*POWER(Upgrades!$Q$19,K93)*POWER(Upgrades!$Q$20,L93)*POWER(Upgrades!$Q$21,M93)*$G$6*(Parameters!$B$10*Parameters!$B$11+Q93*60)</f>
        <v/>
      </c>
      <c r="AD93" s="27">
        <f>(IF(H93=0,0,(Upgrades!$M$16+H93*Upgrades!$N$16)*POWER(Upgrades!$O$16,H93)))*(IF(Upgrades!$T$13="Roche Lobe Overflow",POWER(Upgrades!$U$13,E93),1)*IF(Upgrades!$T$14="Roche Lobe Overflow",POWER(Upgrades!$U$14,F93),1)*IF(Upgrades!$T$15="Roche Lobe Overflow",POWER(Upgrades!$U$15,G93),1)*IF(Upgrades!$T$17="Roche Lobe Overflow",POWER(Upgrades!$U$17,I93),1)*IF(Upgrades!$T$18="Roche Lobe Overflow",POWER(Upgrades!$U$18,J93),1)*IF(Upgrades!$T$19="Roche Lobe Overflow",POWER(Upgrades!$U$19,K93),1)*IF(Upgrades!$T$20="Roche Lobe Overflow",POWER(Upgrades!$U$20,L93),1)*IF(Upgrades!$T$21="Roche Lobe Overflow",POWER(Upgrades!$U$21,M93),1))*POWER(Upgrades!$R$13,E93)*POWER(Upgrades!$R$14,F93)*POWER(Upgrades!$R$15,G93)*POWER(Upgrades!$R$16,H93)*POWER(Upgrades!$R$17,I93)*POWER(Upgrades!$R$18,J93)*POWER(Upgrades!$R$19,K93)*POWER(Upgrades!$R$20,L93)*POWER(Upgrades!$R$21,M93)*$H$6*O93*60</f>
        <v/>
      </c>
      <c r="AE93" s="27">
        <f>(IF(I93=0,0,(Upgrades!$G$17+I93*Upgrades!$H$17)*POWER(Upgrades!$I$17,I93)))*(IF(Upgrades!$T$13="Brown Dwarf",POWER(Upgrades!$U$13,E93),1)*IF(Upgrades!$T$14="Brown Dwarf",POWER(Upgrades!$U$14,F93),1)*IF(Upgrades!$T$15="Brown Dwarf",POWER(Upgrades!$U$15,G93),1)*IF(Upgrades!$T$16="Brown Dwarf",POWER(Upgrades!$U$16,H93),1)*IF(Upgrades!$T$18="Brown Dwarf",POWER(Upgrades!$U$18,J93),1)*IF(Upgrades!$T$19="Brown Dwarf",POWER(Upgrades!$U$19,K93),1)*IF(Upgrades!$T$20="Brown Dwarf",POWER(Upgrades!$U$20,L93),1)*IF(Upgrades!$T$21="Brown Dwarf",POWER(Upgrades!$U$21,M93),1))*POWER(Upgrades!$P$13,E93)*POWER(Upgrades!$P$14,F93)*POWER(Upgrades!$P$15,G93)*POWER(Upgrades!$P$16,H93)*POWER(Upgrades!$P$17,I93)*POWER(Upgrades!$P$18,J93)*POWER(Upgrades!$P$19,K93)*POWER(Upgrades!$P$20,L93)*POWER(Upgrades!$P$21,M93)*$F$6*60</f>
        <v/>
      </c>
      <c r="AF93" s="27" t="n">
        <v>0</v>
      </c>
      <c r="AG93" s="27" t="n">
        <v>0</v>
      </c>
      <c r="AH93" s="27" t="n">
        <v>0</v>
      </c>
      <c r="AI93" s="27">
        <f>(IF(M93=0,0,(Upgrades!$G$21+M93*Upgrades!$H$21)*POWER(Upgrades!$I$21,M93)))*(IF(Upgrades!$T$13="Moving Group",POWER(Upgrades!$U$13,E93),1)*IF(Upgrades!$T$14="Moving Group",POWER(Upgrades!$U$14,F93),1)*IF(Upgrades!$T$15="Moving Group",POWER(Upgrades!$U$15,G93),1)*IF(Upgrades!$T$16="Moving Group",POWER(Upgrades!$U$16,H93),1)*IF(Upgrades!$T$17="Moving Group",POWER(Upgrades!$U$17,I93),1)*IF(Upgrades!$T$18="Moving Group",POWER(Upgrades!$U$18,J93),1)*IF(Upgrades!$T$19="Moving Group",POWER(Upgrades!$U$19,K93),1)*IF(Upgrades!$T$20="Moving Group",POWER(Upgrades!$U$20,L93),1))*POWER(Upgrades!$P$13,E93)*POWER(Upgrades!$P$14,F93)*POWER(Upgrades!$P$15,G93)*POWER(Upgrades!$P$16,H93)*POWER(Upgrades!$P$17,I93)*POWER(Upgrades!$P$18,J93)*POWER(Upgrades!$P$19,K93)*POWER(Upgrades!$P$20,L93)*POWER(Upgrades!$P$21,M93)*$F$6*60</f>
        <v/>
      </c>
      <c r="AJ93" s="27">
        <f>$C$6*60</f>
        <v/>
      </c>
      <c r="AK93" s="22">
        <f>IF(E93&gt;=Upgrades!$E$13,"",Upgrades!$C$13*POWER(Upgrades!$D$13,E93))</f>
        <v/>
      </c>
      <c r="AL93" s="22">
        <f>IF(F93&gt;=Upgrades!$E$14,"",Upgrades!$C$14*POWER(Upgrades!$D$14,F93))</f>
        <v/>
      </c>
      <c r="AM93" s="22">
        <f>IF(G93&gt;=Upgrades!$E$15,"",Upgrades!$C$15*POWER(Upgrades!$D$15,G93))</f>
        <v/>
      </c>
      <c r="AN93" s="22">
        <f>IF(H93&gt;=Upgrades!$E$16,"",Upgrades!$C$16*POWER(Upgrades!$D$16,H93))</f>
        <v/>
      </c>
      <c r="AO93" s="22">
        <f>IF(I93&gt;=Upgrades!$E$17,"",Upgrades!$C$17*POWER(Upgrades!$D$17,I93))</f>
        <v/>
      </c>
      <c r="AP93" s="22">
        <f>IF(J93&gt;=Upgrades!$E$18,"",Upgrades!$C$18*POWER(Upgrades!$D$18,J93))</f>
        <v/>
      </c>
      <c r="AQ93" s="22">
        <f>IF(K93&gt;=Upgrades!$E$19,"",Upgrades!$C$19*POWER(Upgrades!$D$19,K93))</f>
        <v/>
      </c>
      <c r="AR93" s="22">
        <f>IF(L93&gt;=Upgrades!$E$20,"",Upgrades!$C$20*POWER(Upgrades!$D$20,L93))</f>
        <v/>
      </c>
      <c r="AS93" s="22">
        <f>IF(M93&gt;=Upgrades!$E$21,"",Upgrades!$C$21*POWER(Upgrades!$D$21,M93))</f>
        <v/>
      </c>
      <c r="AT93" s="26">
        <f>IF(AND(D93&gt;=Parameters!$B$18*Parameters!$B$19,(I93&gt;=Upgrades!$E$17)*(M93&gt;=Upgrades!$E$21)=1,N93=0),1,"")</f>
        <v/>
      </c>
      <c r="AU93" s="26">
        <f>IF(AND(D93&gt;=Parameters!$B$18*Parameters!$B$19,N93=0),1,"")</f>
        <v/>
      </c>
      <c r="AV93" s="22">
        <f>MIN(IF(ISNUMBER(AP93),AP93,9E15),IF(ISNUMBER(AQ93),AQ93,9E15),IF(ISNUMBER(AR93),AR93,9E15),IF(ISNUMBER(AS93),AS93,9E15))</f>
        <v/>
      </c>
      <c r="AW93" s="22">
        <f>MIN(IF(ISNUMBER(AK93),AK93,9E15),IF(ISNUMBER(AL93),AL93,9E15),IF(ISNUMBER(AM93),AM93,9E15),IF(ISNUMBER(AN93),AN93,9E15),IF(ISNUMBER(AO93),AO93,9E15))</f>
        <v/>
      </c>
      <c r="AX93" s="29">
        <f>IF(BD93&gt;Parameters!$B$21*(MAX(IF(AND(NOT(AND(AU93=1,AT93&lt;&gt;1)),ISNUMBER(AK93),AK93&lt;=(C93+T93)),AY93,0),IF(AND(NOT(AND(AU93=1,AT93&lt;&gt;1)),ISNUMBER(AL93),AL93&lt;=(C93+T93)),AZ93,0),IF(AND(NOT(AND(AU93=1,AT93&lt;&gt;1)),ISNUMBER(AM93),AM93&lt;=(C93+T93)),BA93,0),IF(AND(NOT(AND(AU93=1,AT93&lt;&gt;1)),ISNUMBER(AN93),AN93&lt;=(C93+T93)),BB93,0),IF(AND(ISNUMBER(AO93),AO93&lt;=(C93+T93)),BC93,0))),TRUE,FALSE)</f>
        <v/>
      </c>
      <c r="AY93" s="32">
        <f>IFERROR(Upgrades!$H$13*(POWER(Upgrades!$P$13,E93)*POWER(Upgrades!$P$14,F93)*POWER(Upgrades!$P$15,G93)*POWER(Upgrades!$P$16,H93)*POWER(Upgrades!$P$17,I93)*POWER(Upgrades!$P$18,J93)*POWER(Upgrades!$P$19,K93)*POWER(Upgrades!$P$20,L93)*POWER(Upgrades!$P$21,M93))*(IF(Upgrades!$T$14="Stellar Kinematics",POWER(Upgrades!$U$14,F93),1)*IF(Upgrades!$T$15="Stellar Kinematics",POWER(Upgrades!$U$15,G93),1)*IF(Upgrades!$T$16="Stellar Kinematics",POWER(Upgrades!$U$16,H93),1)*IF(Upgrades!$T$17="Stellar Kinematics",POWER(Upgrades!$U$17,I93),1)*IF(Upgrades!$T$18="Stellar Kinematics",POWER(Upgrades!$U$18,J93),1)*IF(Upgrades!$T$19="Stellar Kinematics",POWER(Upgrades!$U$19,K93),1)*IF(Upgrades!$T$20="Stellar Kinematics",POWER(Upgrades!$U$20,L93),1)*IF(Upgrades!$T$21="Stellar Kinematics",POWER(Upgrades!$U$21,M93),1))*$F$6/AK93,0)</f>
        <v/>
      </c>
      <c r="AZ93" s="32">
        <f>IFERROR(Upgrades!$H$14*(POWER(Upgrades!$P$13,E93)*POWER(Upgrades!$P$14,F93)*POWER(Upgrades!$P$15,G93)*POWER(Upgrades!$P$16,H93)*POWER(Upgrades!$P$17,I93)*POWER(Upgrades!$P$18,J93)*POWER(Upgrades!$P$19,K93)*POWER(Upgrades!$P$20,L93)*POWER(Upgrades!$P$21,M93))*(IF(Upgrades!$T$13="Local Bubble",POWER(Upgrades!$U$13,E93),1)*IF(Upgrades!$T$15="Local Bubble",POWER(Upgrades!$U$15,G93),1)*IF(Upgrades!$T$16="Local Bubble",POWER(Upgrades!$U$16,H93),1)*IF(Upgrades!$T$17="Local Bubble",POWER(Upgrades!$U$17,I93),1)*IF(Upgrades!$T$18="Local Bubble",POWER(Upgrades!$U$18,J93),1)*IF(Upgrades!$T$19="Local Bubble",POWER(Upgrades!$U$19,K93),1)*IF(Upgrades!$T$20="Local Bubble",POWER(Upgrades!$U$20,L93),1)*IF(Upgrades!$T$21="Local Bubble",POWER(Upgrades!$U$21,M93),1))*$F$6/AL93,0)</f>
        <v/>
      </c>
      <c r="BA93" s="32">
        <f>IFERROR(Upgrades!$K$15*(POWER(Upgrades!$Q$13,E93)*POWER(Upgrades!$Q$14,F93)*POWER(Upgrades!$Q$15,G93)*POWER(Upgrades!$Q$16,H93)*POWER(Upgrades!$Q$17,I93)*POWER(Upgrades!$Q$18,J93)*POWER(Upgrades!$Q$19,K93)*POWER(Upgrades!$Q$20,L93)*POWER(Upgrades!$Q$21,M93))*(IF(Upgrades!$T$13="Microlensing",POWER(Upgrades!$U$13,E93),1)*IF(Upgrades!$T$14="Microlensing",POWER(Upgrades!$U$14,F93),1)*IF(Upgrades!$T$16="Microlensing",POWER(Upgrades!$U$16,H93),1)*IF(Upgrades!$T$17="Microlensing",POWER(Upgrades!$U$17,I93),1)*IF(Upgrades!$T$18="Microlensing",POWER(Upgrades!$U$18,J93),1)*IF(Upgrades!$T$19="Microlensing",POWER(Upgrades!$U$19,K93),1)*IF(Upgrades!$T$20="Microlensing",POWER(Upgrades!$U$20,L93),1)*IF(Upgrades!$T$21="Microlensing",POWER(Upgrades!$U$21,M93),1))*$G$6*(Parameters!$B$10/60*Parameters!$B$11+Q93)/AM93,0)</f>
        <v/>
      </c>
      <c r="BB93" s="32">
        <f>IFERROR((Upgrades!$N$16*(POWER(Upgrades!$R$13,E93)*POWER(Upgrades!$R$14,F93)*POWER(Upgrades!$R$15,G93)*POWER(Upgrades!$R$16,H93)*POWER(Upgrades!$R$17,I93)*POWER(Upgrades!$R$18,J93)*POWER(Upgrades!$R$19,K93)*POWER(Upgrades!$R$20,L93)*POWER(Upgrades!$R$21,M93))*(IF(Upgrades!$T$13="Roche Lobe Overflow",POWER(Upgrades!$U$13,E93),1)*IF(Upgrades!$T$14="Roche Lobe Overflow",POWER(Upgrades!$U$14,F93),1)*IF(Upgrades!$T$15="Roche Lobe Overflow",POWER(Upgrades!$U$15,G93),1)*IF(Upgrades!$T$17="Roche Lobe Overflow",POWER(Upgrades!$U$17,I93),1)*IF(Upgrades!$T$18="Roche Lobe Overflow",POWER(Upgrades!$U$18,J93),1)*IF(Upgrades!$T$19="Roche Lobe Overflow",POWER(Upgrades!$U$19,K93),1)*IF(Upgrades!$T$20="Roche Lobe Overflow",POWER(Upgrades!$U$20,L93),1)*IF(Upgrades!$T$21="Roche Lobe Overflow",POWER(Upgrades!$U$21,M93),1))*$H$6*O93+((IF(F93=0,0,(Upgrades!$G$14+F93*Upgrades!$H$14)*POWER(Upgrades!$I$14,F93)))*(IF(Upgrades!$T$13="Local Bubble",POWER(Upgrades!$U$13,E93),1)*IF(Upgrades!$T$15="Local Bubble",POWER(Upgrades!$U$15,G93),1)*IF(Upgrades!$T$16="Local Bubble",POWER(Upgrades!$U$16,H93),1)*IF(Upgrades!$T$17="Local Bubble",POWER(Upgrades!$U$17,I93),1)*IF(Upgrades!$T$18="Local Bubble",POWER(Upgrades!$U$18,J93),1)*IF(Upgrades!$T$19="Local Bubble",POWER(Upgrades!$U$19,K93),1)*IF(Upgrades!$T$20="Local Bubble",POWER(Upgrades!$U$20,L93),1)*IF(Upgrades!$T$21="Local Bubble",POWER(Upgrades!$U$21,M93),1))*POWER(Upgrades!$P$13,E93)*POWER(Upgrades!$P$14,F93)*POWER(Upgrades!$P$15,G93)*POWER(Upgrades!$P$16,H93)*POWER(Upgrades!$P$17,I93)*POWER(Upgrades!$P$18,J93)*POWER(Upgrades!$P$19,K93)*POWER(Upgrades!$P$20,L93)*POWER(Upgrades!$P$21,M93)*$F$6)*0.05)/AN93,0)</f>
        <v/>
      </c>
      <c r="BC93" s="32">
        <f>IFERROR((Upgrades!$H$17*(POWER(Upgrades!$P$13,E93)*POWER(Upgrades!$P$14,F93)*POWER(Upgrades!$P$15,G93)*POWER(Upgrades!$P$16,H93)*POWER(Upgrades!$P$17,I93)*POWER(Upgrades!$P$18,J93)*POWER(Upgrades!$P$19,K93)*POWER(Upgrades!$P$20,L93)*POWER(Upgrades!$P$21,M93))*(IF(Upgrades!$T$13="Brown Dwarf",POWER(Upgrades!$U$13,E93),1)*IF(Upgrades!$T$14="Brown Dwarf",POWER(Upgrades!$U$14,F93),1)*IF(Upgrades!$T$15="Brown Dwarf",POWER(Upgrades!$U$15,G93),1)*IF(Upgrades!$T$16="Brown Dwarf",POWER(Upgrades!$U$16,H93),1)*IF(Upgrades!$T$18="Brown Dwarf",POWER(Upgrades!$U$18,J93),1)*IF(Upgrades!$T$19="Brown Dwarf",POWER(Upgrades!$U$19,K93),1)*IF(Upgrades!$T$20="Brown Dwarf",POWER(Upgrades!$U$20,L93),1)*IF(Upgrades!$T$21="Brown Dwarf",POWER(Upgrades!$U$21,M93),1))*$F$6+(((IF(H93=0,0,(Upgrades!$M$16+H93*Upgrades!$N$16)*POWER(Upgrades!$O$16,H93)))*(IF(Upgrades!$T$13="Roche Lobe Overflow",POWER(Upgrades!$U$13,E93),1)*IF(Upgrades!$T$14="Roche Lobe Overflow",POWER(Upgrades!$U$14,F93),1)*IF(Upgrades!$T$15="Roche Lobe Overflow",POWER(Upgrades!$U$15,G93),1)*IF(Upgrades!$T$17="Roche Lobe Overflow",POWER(Upgrades!$U$17,I93),1)*IF(Upgrades!$T$18="Roche Lobe Overflow",POWER(Upgrades!$U$18,J93),1)*IF(Upgrades!$T$19="Roche Lobe Overflow",POWER(Upgrades!$U$19,K93),1)*IF(Upgrades!$T$20="Roche Lobe Overflow",POWER(Upgrades!$U$20,L93),1)*IF(Upgrades!$T$21="Roche Lobe Overflow",POWER(Upgrades!$U$21,M93),1))*POWER(Upgrades!$R$13,E93)*POWER(Upgrades!$R$14,F93)*POWER(Upgrades!$R$15,G93)*POWER(Upgrades!$R$16,H93)*POWER(Upgrades!$R$17,I93)*POWER(Upgrades!$R$18,J93)*POWER(Upgrades!$R$19,K93)*POWER(Upgrades!$R$20,L93)*POWER(Upgrades!$R$21,M93)*$H$6)*O93)*0.10)/AO93,0)</f>
        <v/>
      </c>
      <c r="BD93" s="32">
        <f>MAX(IF(J93&gt;0,0,IFERROR(0.5*((IF(G93=0,0,(Upgrades!$J$15+G93*Upgrades!$K$15)*POWER(Upgrades!$L$15,G93)))*(IF(Upgrades!$T$13="Microlensing",POWER(Upgrades!$U$13,E93),1)*IF(Upgrades!$T$14="Microlensing",POWER(Upgrades!$U$14,F93),1)*IF(Upgrades!$T$16="Microlensing",POWER(Upgrades!$U$16,H93),1)*IF(Upgrades!$T$17="Microlensing",POWER(Upgrades!$U$17,I93),1)*IF(Upgrades!$T$18="Microlensing",POWER(Upgrades!$U$18,J93),1)*IF(Upgrades!$T$19="Microlensing",POWER(Upgrades!$U$19,K93),1)*IF(Upgrades!$T$20="Microlensing",POWER(Upgrades!$U$20,L93),1)*IF(Upgrades!$T$21="Microlensing",POWER(Upgrades!$U$21,M93),1))*(POWER(Upgrades!$Q$13,E93)*POWER(Upgrades!$Q$14,F93)*POWER(Upgrades!$Q$15,G93)*POWER(Upgrades!$Q$16,H93)*POWER(Upgrades!$Q$17,I93)*POWER(Upgrades!$Q$18,J93)*POWER(Upgrades!$Q$19,K93)*POWER(Upgrades!$Q$20,L93)*POWER(Upgrades!$Q$21,M93))*$G$6*(Parameters!$B$10/60*Parameters!$B$11+Q93))/Upgrades!$C$18,0)),IF(K93&gt;0,0,IFERROR(0.30*P93/Upgrades!$C$19,0)),IF(L93&gt;0,0,IFERROR(0.0001/Upgrades!$C$20,0)),IF(M93&gt;0,0,IFERROR((6.0*(POWER(Upgrades!$P$13,E93)*POWER(Upgrades!$P$14,F93)*POWER(Upgrades!$P$15,G93)*POWER(Upgrades!$P$16,H93)*POWER(Upgrades!$P$17,I93)*POWER(Upgrades!$P$18,J93)*POWER(Upgrades!$P$19,K93)*POWER(Upgrades!$P$20,L93)*POWER(Upgrades!$P$21,M93))*$F$6+0.20*O93*(Parameters!$B$10/60*Parameters!$B$11+Q93))/Upgrades!$C$21,0)),IF(AND(ISNUMBER(AK93),AK93&gt;(C93+T93)),AY93,0),IF(AND(ISNUMBER(AL93),AL93&gt;(C93+T93)),AZ93,0),IF(AND(ISNUMBER(AM93),AM93&gt;(C93+T93)),BA93,0),IF(AND(ISNUMBER(AN93),AN93&gt;(C93+T93)),BB93,0),IF(AND(ISNUMBER(AO93),AO93&gt;(C93+T93)),BC93,0))</f>
        <v/>
      </c>
      <c r="BE93" s="29">
        <f>IF(AT93=1,"transition",IF(MIN(IF(AND(J93=0,ISNUMBER(AP93),AP93&lt;=(C93+T93)),AP93,9E15),IF(AND(K93=0,ISNUMBER(AQ93),AQ93&lt;=(C93+T93)),AQ93,9E15),IF(AND(L93=0,ISNUMBER(AR93),AR93&lt;=(C93+T93)),AR93,9E15),IF(AND(M93=0,ISNUMBER(AS93),AS93&lt;=(C93+T93)),AS93,9E15))&lt;9E15,IF(AND(AND(J93=0,ISNUMBER(AP93),AP93&lt;=(C93+T93)),AP93=MIN(IF(AND(J93=0,ISNUMBER(AP93),AP93&lt;=(C93+T93)),AP93,9E15),IF(AND(K93=0,ISNUMBER(AQ93),AQ93&lt;=(C93+T93)),AQ93,9E15),IF(AND(L93=0,ISNUMBER(AR93),AR93&lt;=(C93+T93)),AR93,9E15),IF(AND(M93=0,ISNUMBER(AS93),AS93&lt;=(C93+T93)),AS93,9E15))),"BiP",IF(AND(AND(K93=0,ISNUMBER(AQ93),AQ93&lt;=(C93+T93)),AQ93=MIN(IF(AND(J93=0,ISNUMBER(AP93),AP93&lt;=(C93+T93)),AP93,9E15),IF(AND(K93=0,ISNUMBER(AQ93),AQ93&lt;=(C93+T93)),AQ93,9E15),IF(AND(L93=0,ISNUMBER(AR93),AR93&lt;=(C93+T93)),AR93,9E15),IF(AND(M93=0,ISNUMBER(AS93),AS93&lt;=(C93+T93)),AS93,9E15))),"PV",IF(AND(AND(L93=0,ISNUMBER(AR93),AR93&lt;=(C93+T93)),AR93=MIN(IF(AND(J93=0,ISNUMBER(AP93),AP93&lt;=(C93+T93)),AP93,9E15),IF(AND(K93=0,ISNUMBER(AQ93),AQ93&lt;=(C93+T93)),AQ93,9E15),IF(AND(L93=0,ISNUMBER(AR93),AR93&lt;=(C93+T93)),AR93,9E15),IF(AND(M93=0,ISNUMBER(AS93),AS93&lt;=(C93+T93)),AS93,9E15))),"OC","MG"))),IF(AX93=TRUE,"",IF(MAX(IF(AND(NOT(AND(AU93=1,AT93&lt;&gt;1)),ISNUMBER(AK93),AK93&lt;=(C93+T93)),AY93,0),IF(AND(NOT(AND(AU93=1,AT93&lt;&gt;1)),ISNUMBER(AL93),AL93&lt;=(C93+T93)),AZ93,0),IF(AND(NOT(AND(AU93=1,AT93&lt;&gt;1)),ISNUMBER(AM93),AM93&lt;=(C93+T93)),BA93,0),IF(AND(NOT(AND(AU93=1,AT93&lt;&gt;1)),ISNUMBER(AN93),AN93&lt;=(C93+T93)),BB93,0),IF(AND(ISNUMBER(AO93),AO93&lt;=(C93+T93)),BC93,0))&lt;=0,"",IF(AND(IF(AND(NOT(AND(AU93=1,AT93&lt;&gt;1)),ISNUMBER(AK93),AK93&lt;=(C93+T93)),AY93,0)&gt;0,IF(AND(NOT(AND(AU93=1,AT93&lt;&gt;1)),ISNUMBER(AK93),AK93&lt;=(C93+T93)),AY93,0)=MAX(IF(AND(NOT(AND(AU93=1,AT93&lt;&gt;1)),ISNUMBER(AK93),AK93&lt;=(C93+T93)),AY93,0),IF(AND(NOT(AND(AU93=1,AT93&lt;&gt;1)),ISNUMBER(AL93),AL93&lt;=(C93+T93)),AZ93,0),IF(AND(NOT(AND(AU93=1,AT93&lt;&gt;1)),ISNUMBER(AM93),AM93&lt;=(C93+T93)),BA93,0),IF(AND(NOT(AND(AU93=1,AT93&lt;&gt;1)),ISNUMBER(AN93),AN93&lt;=(C93+T93)),BB93,0),IF(AND(ISNUMBER(AO93),AO93&lt;=(C93+T93)),BC93,0))),"SK",IF(AND(IF(AND(NOT(AND(AU93=1,AT93&lt;&gt;1)),ISNUMBER(AL93),AL93&lt;=(C93+T93)),AZ93,0)&gt;0,IF(AND(NOT(AND(AU93=1,AT93&lt;&gt;1)),ISNUMBER(AL93),AL93&lt;=(C93+T93)),AZ93,0)=MAX(IF(AND(NOT(AND(AU93=1,AT93&lt;&gt;1)),ISNUMBER(AK93),AK93&lt;=(C93+T93)),AY93,0),IF(AND(NOT(AND(AU93=1,AT93&lt;&gt;1)),ISNUMBER(AL93),AL93&lt;=(C93+T93)),AZ93,0),IF(AND(NOT(AND(AU93=1,AT93&lt;&gt;1)),ISNUMBER(AM93),AM93&lt;=(C93+T93)),BA93,0),IF(AND(NOT(AND(AU93=1,AT93&lt;&gt;1)),ISNUMBER(AN93),AN93&lt;=(C93+T93)),BB93,0),IF(AND(ISNUMBER(AO93),AO93&lt;=(C93+T93)),BC93,0))),"LB",IF(AND(IF(AND(NOT(AND(AU93=1,AT93&lt;&gt;1)),ISNUMBER(AM93),AM93&lt;=(C93+T93)),BA93,0)&gt;0,IF(AND(NOT(AND(AU93=1,AT93&lt;&gt;1)),ISNUMBER(AM93),AM93&lt;=(C93+T93)),BA93,0)=MAX(IF(AND(NOT(AND(AU93=1,AT93&lt;&gt;1)),ISNUMBER(AK93),AK93&lt;=(C93+T93)),AY93,0),IF(AND(NOT(AND(AU93=1,AT93&lt;&gt;1)),ISNUMBER(AL93),AL93&lt;=(C93+T93)),AZ93,0),IF(AND(NOT(AND(AU93=1,AT93&lt;&gt;1)),ISNUMBER(AM93),AM93&lt;=(C93+T93)),BA93,0),IF(AND(NOT(AND(AU93=1,AT93&lt;&gt;1)),ISNUMBER(AN93),AN93&lt;=(C93+T93)),BB93,0),IF(AND(ISNUMBER(AO93),AO93&lt;=(C93+T93)),BC93,0))),"ML",IF(AND(IF(AND(NOT(AND(AU93=1,AT93&lt;&gt;1)),ISNUMBER(AN93),AN93&lt;=(C93+T93)),BB93,0)&gt;0,IF(AND(NOT(AND(AU93=1,AT93&lt;&gt;1)),ISNUMBER(AN93),AN93&lt;=(C93+T93)),BB93,0)=MAX(IF(AND(NOT(AND(AU93=1,AT93&lt;&gt;1)),ISNUMBER(AK93),AK93&lt;=(C93+T93)),AY93,0),IF(AND(NOT(AND(AU93=1,AT93&lt;&gt;1)),ISNUMBER(AL93),AL93&lt;=(C93+T93)),AZ93,0),IF(AND(NOT(AND(AU93=1,AT93&lt;&gt;1)),ISNUMBER(AM93),AM93&lt;=(C93+T93)),BA93,0),IF(AND(NOT(AND(AU93=1,AT93&lt;&gt;1)),ISNUMBER(AN93),AN93&lt;=(C93+T93)),BB93,0),IF(AND(ISNUMBER(AO93),AO93&lt;=(C93+T93)),BC93,0))),"RLO","BD"))))))))</f>
        <v/>
      </c>
    </row>
    <row r="94">
      <c r="A94" s="26" t="n">
        <v>83</v>
      </c>
      <c r="B94" s="27">
        <f>A94*10/60</f>
        <v/>
      </c>
      <c r="C94" s="22">
        <f>X93</f>
        <v/>
      </c>
      <c r="D94" s="27">
        <f>D93+W93</f>
        <v/>
      </c>
      <c r="E94" s="26">
        <f>E93+IF(U93="SK",1,0)</f>
        <v/>
      </c>
      <c r="F94" s="26">
        <f>F93+IF(U93="LB",1,0)</f>
        <v/>
      </c>
      <c r="G94" s="26">
        <f>G93+IF(U93="ML",1,0)</f>
        <v/>
      </c>
      <c r="H94" s="26">
        <f>H93+IF(U93="RLO",1,0)</f>
        <v/>
      </c>
      <c r="I94" s="26">
        <f>I93+IF(U93="BD",1,0)</f>
        <v/>
      </c>
      <c r="J94" s="26">
        <f>MAX(J93,IF(U93="BiP",1,0))</f>
        <v/>
      </c>
      <c r="K94" s="26">
        <f>MAX(K93,IF(U93="PV",1,0))</f>
        <v/>
      </c>
      <c r="L94" s="26">
        <f>MAX(L93,IF(U93="OC",1,0))</f>
        <v/>
      </c>
      <c r="M94" s="26">
        <f>MAX(M93,IF(U93="MG",1,0))</f>
        <v/>
      </c>
      <c r="N94" s="26">
        <f>MAX(N93,IF(U93="transition",1,0))</f>
        <v/>
      </c>
      <c r="O94" s="28">
        <f>(Parameters!$B$9+(IF(E94=0,0,(Upgrades!$J$13+E94*Upgrades!$K$13)*POWER(Upgrades!$L$13,E94)))*(IF(Upgrades!$T$14="Stellar Kinematics",POWER(Upgrades!$U$14,F94),1)*IF(Upgrades!$T$15="Stellar Kinematics",POWER(Upgrades!$U$15,G94),1)*IF(Upgrades!$T$16="Stellar Kinematics",POWER(Upgrades!$U$16,H94),1)*IF(Upgrades!$T$17="Stellar Kinematics",POWER(Upgrades!$U$17,I94),1)*IF(Upgrades!$T$18="Stellar Kinematics",POWER(Upgrades!$U$18,J94),1)*IF(Upgrades!$T$19="Stellar Kinematics",POWER(Upgrades!$U$19,K94),1)*IF(Upgrades!$T$20="Stellar Kinematics",POWER(Upgrades!$U$20,L94),1)*IF(Upgrades!$T$21="Stellar Kinematics",POWER(Upgrades!$U$21,M94),1))+(IF(F94=0,0,(Upgrades!$J$14+F94*Upgrades!$K$14)*POWER(Upgrades!$L$14,F94)))*(IF(Upgrades!$T$13="Local Bubble",POWER(Upgrades!$U$13,E94),1)*IF(Upgrades!$T$15="Local Bubble",POWER(Upgrades!$U$15,G94),1)*IF(Upgrades!$T$16="Local Bubble",POWER(Upgrades!$U$16,H94),1)*IF(Upgrades!$T$17="Local Bubble",POWER(Upgrades!$U$17,I94),1)*IF(Upgrades!$T$18="Local Bubble",POWER(Upgrades!$U$18,J94),1)*IF(Upgrades!$T$19="Local Bubble",POWER(Upgrades!$U$19,K94),1)*IF(Upgrades!$T$20="Local Bubble",POWER(Upgrades!$U$20,L94),1)*IF(Upgrades!$T$21="Local Bubble",POWER(Upgrades!$U$21,M94),1))+(IF(G94=0,0,(Upgrades!$J$15+G94*Upgrades!$K$15)*POWER(Upgrades!$L$15,G94)))*(IF(Upgrades!$T$13="Microlensing",POWER(Upgrades!$U$13,E94),1)*IF(Upgrades!$T$14="Microlensing",POWER(Upgrades!$U$14,F94),1)*IF(Upgrades!$T$16="Microlensing",POWER(Upgrades!$U$16,H94),1)*IF(Upgrades!$T$17="Microlensing",POWER(Upgrades!$U$17,I94),1)*IF(Upgrades!$T$18="Microlensing",POWER(Upgrades!$U$18,J94),1)*IF(Upgrades!$T$19="Microlensing",POWER(Upgrades!$U$19,K94),1)*IF(Upgrades!$T$20="Microlensing",POWER(Upgrades!$U$20,L94),1)*IF(Upgrades!$T$21="Microlensing",POWER(Upgrades!$U$21,M94),1))+(IF(H94=0,0,(Upgrades!$J$16+H94*Upgrades!$K$16)*POWER(Upgrades!$L$16,H94)))*(IF(Upgrades!$T$13="Roche Lobe Overflow",POWER(Upgrades!$U$13,E94),1)*IF(Upgrades!$T$14="Roche Lobe Overflow",POWER(Upgrades!$U$14,F94),1)*IF(Upgrades!$T$15="Roche Lobe Overflow",POWER(Upgrades!$U$15,G94),1)*IF(Upgrades!$T$17="Roche Lobe Overflow",POWER(Upgrades!$U$17,I94),1)*IF(Upgrades!$T$18="Roche Lobe Overflow",POWER(Upgrades!$U$18,J94),1)*IF(Upgrades!$T$19="Roche Lobe Overflow",POWER(Upgrades!$U$19,K94),1)*IF(Upgrades!$T$20="Roche Lobe Overflow",POWER(Upgrades!$U$20,L94),1)*IF(Upgrades!$T$21="Roche Lobe Overflow",POWER(Upgrades!$U$21,M94),1))+(IF(I94=0,0,(Upgrades!$J$17+I94*Upgrades!$K$17)*POWER(Upgrades!$L$17,I94)))*(IF(Upgrades!$T$13="Brown Dwarf",POWER(Upgrades!$U$13,E94),1)*IF(Upgrades!$T$14="Brown Dwarf",POWER(Upgrades!$U$14,F94),1)*IF(Upgrades!$T$15="Brown Dwarf",POWER(Upgrades!$U$15,G94),1)*IF(Upgrades!$T$16="Brown Dwarf",POWER(Upgrades!$U$16,H94),1)*IF(Upgrades!$T$18="Brown Dwarf",POWER(Upgrades!$U$18,J94),1)*IF(Upgrades!$T$19="Brown Dwarf",POWER(Upgrades!$U$19,K94),1)*IF(Upgrades!$T$20="Brown Dwarf",POWER(Upgrades!$U$20,L94),1)*IF(Upgrades!$T$21="Brown Dwarf",POWER(Upgrades!$U$21,M94),1))+(IF(J94=0,0,(Upgrades!$J$18+J94*Upgrades!$K$18)*POWER(Upgrades!$L$18,J94)))*(IF(Upgrades!$T$13="Binary Partner",POWER(Upgrades!$U$13,E94),1)*IF(Upgrades!$T$14="Binary Partner",POWER(Upgrades!$U$14,F94),1)*IF(Upgrades!$T$15="Binary Partner",POWER(Upgrades!$U$15,G94),1)*IF(Upgrades!$T$16="Binary Partner",POWER(Upgrades!$U$16,H94),1)*IF(Upgrades!$T$17="Binary Partner",POWER(Upgrades!$U$17,I94),1)*IF(Upgrades!$T$19="Binary Partner",POWER(Upgrades!$U$19,K94),1)*IF(Upgrades!$T$20="Binary Partner",POWER(Upgrades!$U$20,L94),1)*IF(Upgrades!$T$21="Binary Partner",POWER(Upgrades!$U$21,M94),1))+(IF(K94=0,0,(Upgrades!$J$19+K94*Upgrades!$K$19)*POWER(Upgrades!$L$19,K94)))*(IF(Upgrades!$T$13="Peculiar Velocity",POWER(Upgrades!$U$13,E94),1)*IF(Upgrades!$T$14="Peculiar Velocity",POWER(Upgrades!$U$14,F94),1)*IF(Upgrades!$T$15="Peculiar Velocity",POWER(Upgrades!$U$15,G94),1)*IF(Upgrades!$T$16="Peculiar Velocity",POWER(Upgrades!$U$16,H94),1)*IF(Upgrades!$T$17="Peculiar Velocity",POWER(Upgrades!$U$17,I94),1)*IF(Upgrades!$T$18="Peculiar Velocity",POWER(Upgrades!$U$18,J94),1)*IF(Upgrades!$T$20="Peculiar Velocity",POWER(Upgrades!$U$20,L94),1)*IF(Upgrades!$T$21="Peculiar Velocity",POWER(Upgrades!$U$21,M94),1))+(IF(L94=0,0,(Upgrades!$J$20+L94*Upgrades!$K$20)*POWER(Upgrades!$L$20,L94)))*(IF(Upgrades!$T$13="Open Cluster",POWER(Upgrades!$U$13,E94),1)*IF(Upgrades!$T$14="Open Cluster",POWER(Upgrades!$U$14,F94),1)*IF(Upgrades!$T$15="Open Cluster",POWER(Upgrades!$U$15,G94),1)*IF(Upgrades!$T$16="Open Cluster",POWER(Upgrades!$U$16,H94),1)*IF(Upgrades!$T$17="Open Cluster",POWER(Upgrades!$U$17,I94),1)*IF(Upgrades!$T$18="Open Cluster",POWER(Upgrades!$U$18,J94),1)*IF(Upgrades!$T$19="Open Cluster",POWER(Upgrades!$U$19,K94),1)*IF(Upgrades!$T$21="Open Cluster",POWER(Upgrades!$U$21,M94),1))+(IF(M94=0,0,(Upgrades!$J$21+M94*Upgrades!$K$21)*POWER(Upgrades!$L$21,M94)))*(IF(Upgrades!$T$13="Moving Group",POWER(Upgrades!$U$13,E94),1)*IF(Upgrades!$T$14="Moving Group",POWER(Upgrades!$U$14,F94),1)*IF(Upgrades!$T$15="Moving Group",POWER(Upgrades!$U$15,G94),1)*IF(Upgrades!$T$16="Moving Group",POWER(Upgrades!$U$16,H94),1)*IF(Upgrades!$T$17="Moving Group",POWER(Upgrades!$U$17,I94),1)*IF(Upgrades!$T$18="Moving Group",POWER(Upgrades!$U$18,J94),1)*IF(Upgrades!$T$19="Moving Group",POWER(Upgrades!$U$19,K94),1)*IF(Upgrades!$T$20="Moving Group",POWER(Upgrades!$U$20,L94),1)))*POWER(Upgrades!$Q$13,E94)*POWER(Upgrades!$Q$14,F94)*POWER(Upgrades!$Q$15,G94)*POWER(Upgrades!$Q$16,H94)*POWER(Upgrades!$Q$17,I94)*POWER(Upgrades!$Q$18,J94)*POWER(Upgrades!$Q$19,K94)*POWER(Upgrades!$Q$20,L94)*POWER(Upgrades!$Q$21,M94)*$G$6+$D$6</f>
        <v/>
      </c>
      <c r="P94" s="28">
        <f>((IF(E94=0,0,(Upgrades!$G$13+E94*Upgrades!$H$13)*POWER(Upgrades!$I$13,E94)))*(IF(Upgrades!$T$14="Stellar Kinematics",POWER(Upgrades!$U$14,F94),1)*IF(Upgrades!$T$15="Stellar Kinematics",POWER(Upgrades!$U$15,G94),1)*IF(Upgrades!$T$16="Stellar Kinematics",POWER(Upgrades!$U$16,H94),1)*IF(Upgrades!$T$17="Stellar Kinematics",POWER(Upgrades!$U$17,I94),1)*IF(Upgrades!$T$18="Stellar Kinematics",POWER(Upgrades!$U$18,J94),1)*IF(Upgrades!$T$19="Stellar Kinematics",POWER(Upgrades!$U$19,K94),1)*IF(Upgrades!$T$20="Stellar Kinematics",POWER(Upgrades!$U$20,L94),1)*IF(Upgrades!$T$21="Stellar Kinematics",POWER(Upgrades!$U$21,M94),1))+(IF(F94=0,0,(Upgrades!$G$14+F94*Upgrades!$H$14)*POWER(Upgrades!$I$14,F94)))*(IF(Upgrades!$T$13="Local Bubble",POWER(Upgrades!$U$13,E94),1)*IF(Upgrades!$T$15="Local Bubble",POWER(Upgrades!$U$15,G94),1)*IF(Upgrades!$T$16="Local Bubble",POWER(Upgrades!$U$16,H94),1)*IF(Upgrades!$T$17="Local Bubble",POWER(Upgrades!$U$17,I94),1)*IF(Upgrades!$T$18="Local Bubble",POWER(Upgrades!$U$18,J94),1)*IF(Upgrades!$T$19="Local Bubble",POWER(Upgrades!$U$19,K94),1)*IF(Upgrades!$T$20="Local Bubble",POWER(Upgrades!$U$20,L94),1)*IF(Upgrades!$T$21="Local Bubble",POWER(Upgrades!$U$21,M94),1))+(IF(G94=0,0,(Upgrades!$G$15+G94*Upgrades!$H$15)*POWER(Upgrades!$I$15,G94)))*(IF(Upgrades!$T$13="Microlensing",POWER(Upgrades!$U$13,E94),1)*IF(Upgrades!$T$14="Microlensing",POWER(Upgrades!$U$14,F94),1)*IF(Upgrades!$T$16="Microlensing",POWER(Upgrades!$U$16,H94),1)*IF(Upgrades!$T$17="Microlensing",POWER(Upgrades!$U$17,I94),1)*IF(Upgrades!$T$18="Microlensing",POWER(Upgrades!$U$18,J94),1)*IF(Upgrades!$T$19="Microlensing",POWER(Upgrades!$U$19,K94),1)*IF(Upgrades!$T$20="Microlensing",POWER(Upgrades!$U$20,L94),1)*IF(Upgrades!$T$21="Microlensing",POWER(Upgrades!$U$21,M94),1))+(IF(H94=0,0,(Upgrades!$G$16+H94*Upgrades!$H$16)*POWER(Upgrades!$I$16,H94)))*(IF(Upgrades!$T$13="Roche Lobe Overflow",POWER(Upgrades!$U$13,E94),1)*IF(Upgrades!$T$14="Roche Lobe Overflow",POWER(Upgrades!$U$14,F94),1)*IF(Upgrades!$T$15="Roche Lobe Overflow",POWER(Upgrades!$U$15,G94),1)*IF(Upgrades!$T$17="Roche Lobe Overflow",POWER(Upgrades!$U$17,I94),1)*IF(Upgrades!$T$18="Roche Lobe Overflow",POWER(Upgrades!$U$18,J94),1)*IF(Upgrades!$T$19="Roche Lobe Overflow",POWER(Upgrades!$U$19,K94),1)*IF(Upgrades!$T$20="Roche Lobe Overflow",POWER(Upgrades!$U$20,L94),1)*IF(Upgrades!$T$21="Roche Lobe Overflow",POWER(Upgrades!$U$21,M94),1))+(IF(I94=0,0,(Upgrades!$G$17+I94*Upgrades!$H$17)*POWER(Upgrades!$I$17,I94)))*(IF(Upgrades!$T$13="Brown Dwarf",POWER(Upgrades!$U$13,E94),1)*IF(Upgrades!$T$14="Brown Dwarf",POWER(Upgrades!$U$14,F94),1)*IF(Upgrades!$T$15="Brown Dwarf",POWER(Upgrades!$U$15,G94),1)*IF(Upgrades!$T$16="Brown Dwarf",POWER(Upgrades!$U$16,H94),1)*IF(Upgrades!$T$18="Brown Dwarf",POWER(Upgrades!$U$18,J94),1)*IF(Upgrades!$T$19="Brown Dwarf",POWER(Upgrades!$U$19,K94),1)*IF(Upgrades!$T$20="Brown Dwarf",POWER(Upgrades!$U$20,L94),1)*IF(Upgrades!$T$21="Brown Dwarf",POWER(Upgrades!$U$21,M94),1))+(IF(J94=0,0,(Upgrades!$G$18+J94*Upgrades!$H$18)*POWER(Upgrades!$I$18,J94)))*(IF(Upgrades!$T$13="Binary Partner",POWER(Upgrades!$U$13,E94),1)*IF(Upgrades!$T$14="Binary Partner",POWER(Upgrades!$U$14,F94),1)*IF(Upgrades!$T$15="Binary Partner",POWER(Upgrades!$U$15,G94),1)*IF(Upgrades!$T$16="Binary Partner",POWER(Upgrades!$U$16,H94),1)*IF(Upgrades!$T$17="Binary Partner",POWER(Upgrades!$U$17,I94),1)*IF(Upgrades!$T$19="Binary Partner",POWER(Upgrades!$U$19,K94),1)*IF(Upgrades!$T$20="Binary Partner",POWER(Upgrades!$U$20,L94),1)*IF(Upgrades!$T$21="Binary Partner",POWER(Upgrades!$U$21,M94),1))+(IF(K94=0,0,(Upgrades!$G$19+K94*Upgrades!$H$19)*POWER(Upgrades!$I$19,K94)))*(IF(Upgrades!$T$13="Peculiar Velocity",POWER(Upgrades!$U$13,E94),1)*IF(Upgrades!$T$14="Peculiar Velocity",POWER(Upgrades!$U$14,F94),1)*IF(Upgrades!$T$15="Peculiar Velocity",POWER(Upgrades!$U$15,G94),1)*IF(Upgrades!$T$16="Peculiar Velocity",POWER(Upgrades!$U$16,H94),1)*IF(Upgrades!$T$17="Peculiar Velocity",POWER(Upgrades!$U$17,I94),1)*IF(Upgrades!$T$18="Peculiar Velocity",POWER(Upgrades!$U$18,J94),1)*IF(Upgrades!$T$20="Peculiar Velocity",POWER(Upgrades!$U$20,L94),1)*IF(Upgrades!$T$21="Peculiar Velocity",POWER(Upgrades!$U$21,M94),1))+(IF(L94=0,0,(Upgrades!$G$20+L94*Upgrades!$H$20)*POWER(Upgrades!$I$20,L94)))*(IF(Upgrades!$T$13="Open Cluster",POWER(Upgrades!$U$13,E94),1)*IF(Upgrades!$T$14="Open Cluster",POWER(Upgrades!$U$14,F94),1)*IF(Upgrades!$T$15="Open Cluster",POWER(Upgrades!$U$15,G94),1)*IF(Upgrades!$T$16="Open Cluster",POWER(Upgrades!$U$16,H94),1)*IF(Upgrades!$T$17="Open Cluster",POWER(Upgrades!$U$17,I94),1)*IF(Upgrades!$T$18="Open Cluster",POWER(Upgrades!$U$18,J94),1)*IF(Upgrades!$T$19="Open Cluster",POWER(Upgrades!$U$19,K94),1)*IF(Upgrades!$T$21="Open Cluster",POWER(Upgrades!$U$21,M94),1))+(IF(M94=0,0,(Upgrades!$G$21+M94*Upgrades!$H$21)*POWER(Upgrades!$I$21,M94)))*(IF(Upgrades!$T$13="Moving Group",POWER(Upgrades!$U$13,E94),1)*IF(Upgrades!$T$14="Moving Group",POWER(Upgrades!$U$14,F94),1)*IF(Upgrades!$T$15="Moving Group",POWER(Upgrades!$U$15,G94),1)*IF(Upgrades!$T$16="Moving Group",POWER(Upgrades!$U$16,H94),1)*IF(Upgrades!$T$17="Moving Group",POWER(Upgrades!$U$17,I94),1)*IF(Upgrades!$T$18="Moving Group",POWER(Upgrades!$U$18,J94),1)*IF(Upgrades!$T$19="Moving Group",POWER(Upgrades!$U$19,K94),1)*IF(Upgrades!$T$20="Moving Group",POWER(Upgrades!$U$20,L94),1)))*POWER(Upgrades!$P$13,E94)*POWER(Upgrades!$P$14,F94)*POWER(Upgrades!$P$15,G94)*POWER(Upgrades!$P$16,H94)*POWER(Upgrades!$P$17,I94)*POWER(Upgrades!$P$18,J94)*POWER(Upgrades!$P$19,K94)*POWER(Upgrades!$P$20,L94)*POWER(Upgrades!$P$21,M94)*$F$6+$C$6</f>
        <v/>
      </c>
      <c r="Q94" s="28">
        <f>((IF(E94=0,0,(Upgrades!$M$13+E94*Upgrades!$N$13)*POWER(Upgrades!$O$13,E94)))*(IF(Upgrades!$T$14="Stellar Kinematics",POWER(Upgrades!$U$14,F94),1)*IF(Upgrades!$T$15="Stellar Kinematics",POWER(Upgrades!$U$15,G94),1)*IF(Upgrades!$T$16="Stellar Kinematics",POWER(Upgrades!$U$16,H94),1)*IF(Upgrades!$T$17="Stellar Kinematics",POWER(Upgrades!$U$17,I94),1)*IF(Upgrades!$T$18="Stellar Kinematics",POWER(Upgrades!$U$18,J94),1)*IF(Upgrades!$T$19="Stellar Kinematics",POWER(Upgrades!$U$19,K94),1)*IF(Upgrades!$T$20="Stellar Kinematics",POWER(Upgrades!$U$20,L94),1)*IF(Upgrades!$T$21="Stellar Kinematics",POWER(Upgrades!$U$21,M94),1))+(IF(F94=0,0,(Upgrades!$M$14+F94*Upgrades!$N$14)*POWER(Upgrades!$O$14,F94)))*(IF(Upgrades!$T$13="Local Bubble",POWER(Upgrades!$U$13,E94),1)*IF(Upgrades!$T$15="Local Bubble",POWER(Upgrades!$U$15,G94),1)*IF(Upgrades!$T$16="Local Bubble",POWER(Upgrades!$U$16,H94),1)*IF(Upgrades!$T$17="Local Bubble",POWER(Upgrades!$U$17,I94),1)*IF(Upgrades!$T$18="Local Bubble",POWER(Upgrades!$U$18,J94),1)*IF(Upgrades!$T$19="Local Bubble",POWER(Upgrades!$U$19,K94),1)*IF(Upgrades!$T$20="Local Bubble",POWER(Upgrades!$U$20,L94),1)*IF(Upgrades!$T$21="Local Bubble",POWER(Upgrades!$U$21,M94),1))+(IF(G94=0,0,(Upgrades!$M$15+G94*Upgrades!$N$15)*POWER(Upgrades!$O$15,G94)))*(IF(Upgrades!$T$13="Microlensing",POWER(Upgrades!$U$13,E94),1)*IF(Upgrades!$T$14="Microlensing",POWER(Upgrades!$U$14,F94),1)*IF(Upgrades!$T$16="Microlensing",POWER(Upgrades!$U$16,H94),1)*IF(Upgrades!$T$17="Microlensing",POWER(Upgrades!$U$17,I94),1)*IF(Upgrades!$T$18="Microlensing",POWER(Upgrades!$U$18,J94),1)*IF(Upgrades!$T$19="Microlensing",POWER(Upgrades!$U$19,K94),1)*IF(Upgrades!$T$20="Microlensing",POWER(Upgrades!$U$20,L94),1)*IF(Upgrades!$T$21="Microlensing",POWER(Upgrades!$U$21,M94),1))+(IF(H94=0,0,(Upgrades!$M$16+H94*Upgrades!$N$16)*POWER(Upgrades!$O$16,H94)))*(IF(Upgrades!$T$13="Roche Lobe Overflow",POWER(Upgrades!$U$13,E94),1)*IF(Upgrades!$T$14="Roche Lobe Overflow",POWER(Upgrades!$U$14,F94),1)*IF(Upgrades!$T$15="Roche Lobe Overflow",POWER(Upgrades!$U$15,G94),1)*IF(Upgrades!$T$17="Roche Lobe Overflow",POWER(Upgrades!$U$17,I94),1)*IF(Upgrades!$T$18="Roche Lobe Overflow",POWER(Upgrades!$U$18,J94),1)*IF(Upgrades!$T$19="Roche Lobe Overflow",POWER(Upgrades!$U$19,K94),1)*IF(Upgrades!$T$20="Roche Lobe Overflow",POWER(Upgrades!$U$20,L94),1)*IF(Upgrades!$T$21="Roche Lobe Overflow",POWER(Upgrades!$U$21,M94),1))+(IF(I94=0,0,(Upgrades!$M$17+I94*Upgrades!$N$17)*POWER(Upgrades!$O$17,I94)))*(IF(Upgrades!$T$13="Brown Dwarf",POWER(Upgrades!$U$13,E94),1)*IF(Upgrades!$T$14="Brown Dwarf",POWER(Upgrades!$U$14,F94),1)*IF(Upgrades!$T$15="Brown Dwarf",POWER(Upgrades!$U$15,G94),1)*IF(Upgrades!$T$16="Brown Dwarf",POWER(Upgrades!$U$16,H94),1)*IF(Upgrades!$T$18="Brown Dwarf",POWER(Upgrades!$U$18,J94),1)*IF(Upgrades!$T$19="Brown Dwarf",POWER(Upgrades!$U$19,K94),1)*IF(Upgrades!$T$20="Brown Dwarf",POWER(Upgrades!$U$20,L94),1)*IF(Upgrades!$T$21="Brown Dwarf",POWER(Upgrades!$U$21,M94),1))+(IF(J94=0,0,(Upgrades!$M$18+J94*Upgrades!$N$18)*POWER(Upgrades!$O$18,J94)))*(IF(Upgrades!$T$13="Binary Partner",POWER(Upgrades!$U$13,E94),1)*IF(Upgrades!$T$14="Binary Partner",POWER(Upgrades!$U$14,F94),1)*IF(Upgrades!$T$15="Binary Partner",POWER(Upgrades!$U$15,G94),1)*IF(Upgrades!$T$16="Binary Partner",POWER(Upgrades!$U$16,H94),1)*IF(Upgrades!$T$17="Binary Partner",POWER(Upgrades!$U$17,I94),1)*IF(Upgrades!$T$19="Binary Partner",POWER(Upgrades!$U$19,K94),1)*IF(Upgrades!$T$20="Binary Partner",POWER(Upgrades!$U$20,L94),1)*IF(Upgrades!$T$21="Binary Partner",POWER(Upgrades!$U$21,M94),1))+(IF(K94=0,0,(Upgrades!$M$19+K94*Upgrades!$N$19)*POWER(Upgrades!$O$19,K94)))*(IF(Upgrades!$T$13="Peculiar Velocity",POWER(Upgrades!$U$13,E94),1)*IF(Upgrades!$T$14="Peculiar Velocity",POWER(Upgrades!$U$14,F94),1)*IF(Upgrades!$T$15="Peculiar Velocity",POWER(Upgrades!$U$15,G94),1)*IF(Upgrades!$T$16="Peculiar Velocity",POWER(Upgrades!$U$16,H94),1)*IF(Upgrades!$T$17="Peculiar Velocity",POWER(Upgrades!$U$17,I94),1)*IF(Upgrades!$T$18="Peculiar Velocity",POWER(Upgrades!$U$18,J94),1)*IF(Upgrades!$T$20="Peculiar Velocity",POWER(Upgrades!$U$20,L94),1)*IF(Upgrades!$T$21="Peculiar Velocity",POWER(Upgrades!$U$21,M94),1))+(IF(L94=0,0,(Upgrades!$M$20+L94*Upgrades!$N$20)*POWER(Upgrades!$O$20,L94)))*(IF(Upgrades!$T$13="Open Cluster",POWER(Upgrades!$U$13,E94),1)*IF(Upgrades!$T$14="Open Cluster",POWER(Upgrades!$U$14,F94),1)*IF(Upgrades!$T$15="Open Cluster",POWER(Upgrades!$U$15,G94),1)*IF(Upgrades!$T$16="Open Cluster",POWER(Upgrades!$U$16,H94),1)*IF(Upgrades!$T$17="Open Cluster",POWER(Upgrades!$U$17,I94),1)*IF(Upgrades!$T$18="Open Cluster",POWER(Upgrades!$U$18,J94),1)*IF(Upgrades!$T$19="Open Cluster",POWER(Upgrades!$U$19,K94),1)*IF(Upgrades!$T$21="Open Cluster",POWER(Upgrades!$U$21,M94),1))+(IF(M94=0,0,(Upgrades!$M$21+M94*Upgrades!$N$21)*POWER(Upgrades!$O$21,M94)))*(IF(Upgrades!$T$13="Moving Group",POWER(Upgrades!$U$13,E94),1)*IF(Upgrades!$T$14="Moving Group",POWER(Upgrades!$U$14,F94),1)*IF(Upgrades!$T$15="Moving Group",POWER(Upgrades!$U$15,G94),1)*IF(Upgrades!$T$16="Moving Group",POWER(Upgrades!$U$16,H94),1)*IF(Upgrades!$T$17="Moving Group",POWER(Upgrades!$U$17,I94),1)*IF(Upgrades!$T$18="Moving Group",POWER(Upgrades!$U$18,J94),1)*IF(Upgrades!$T$19="Moving Group",POWER(Upgrades!$U$19,K94),1)*IF(Upgrades!$T$20="Moving Group",POWER(Upgrades!$U$20,L94),1)))*POWER(Upgrades!$R$13,E94)*POWER(Upgrades!$R$14,F94)*POWER(Upgrades!$R$15,G94)*POWER(Upgrades!$R$16,H94)*POWER(Upgrades!$R$17,I94)*POWER(Upgrades!$R$18,J94)*POWER(Upgrades!$R$19,K94)*POWER(Upgrades!$R$20,L94)*POWER(Upgrades!$R$21,M94)*$H$6+$E$6</f>
        <v/>
      </c>
      <c r="R94" s="27">
        <f>IF(N94=1,0,O94*Parameters!$B$10/60*Parameters!$B$11*10)</f>
        <v/>
      </c>
      <c r="S94" s="27">
        <f>IF(N94=1,0,Q94*O94*10)</f>
        <v/>
      </c>
      <c r="T94" s="27">
        <f>IF(N94=1,0,R94+S94+P94*10)</f>
        <v/>
      </c>
      <c r="U94" s="33">
        <f>BE94</f>
        <v/>
      </c>
      <c r="V94" s="22">
        <f>IF(U94="",0,IF(U94="transition",0,IF(U94="SK",AK94,IF(U94="LB",AL94,IF(U94="ML",AM94,IF(U94="RLO",AN94,IF(U94="BD",AO94,IF(U94="BiP",AP94,IF(U94="PV",AQ94,IF(U94="OC",AR94,IF(U94="MG",AS94,0))))))))))</f>
        <v/>
      </c>
      <c r="W94" s="27">
        <f>IF(U94="BiP",Upgrades!$F$18,IF(U94="PV",Upgrades!$F$19,IF(U94="OC",Upgrades!$F$20,IF(U94="MG",Upgrades!$F$21,IF(U94="transition",-Parameters!$B$18*Parameters!$B$19,0)))))</f>
        <v/>
      </c>
      <c r="X94" s="22">
        <f>C94+T94-V94</f>
        <v/>
      </c>
      <c r="Y94" s="30">
        <f>O94*Parameters!$B$10/60*Parameters!$B$11+Q94*O94+P94</f>
        <v/>
      </c>
      <c r="Z94" s="34">
        <f>IF(U94="transition","→ Tier 3 (Galactic Arm)",IF(U94="MG","Moving Group — pocket drifts together",IF(U94="OC","Open Cluster acquired",IF(U94="PV","Peculiar Velocity — passive multiplier active",IF(U94="BiP","Binary Partner — pair bond formed",IF(AND(AU94=1,N94=0,AT94&lt;&gt;1),"Cohesion ready (waiting on completionists)","")))))) </f>
        <v/>
      </c>
      <c r="AA94" s="27">
        <f>(IF(E94=0,0,(Upgrades!$G$13+E94*Upgrades!$H$13)*POWER(Upgrades!$I$13,E94)))*(IF(Upgrades!$T$14="Stellar Kinematics",POWER(Upgrades!$U$14,F94),1)*IF(Upgrades!$T$15="Stellar Kinematics",POWER(Upgrades!$U$15,G94),1)*IF(Upgrades!$T$16="Stellar Kinematics",POWER(Upgrades!$U$16,H94),1)*IF(Upgrades!$T$17="Stellar Kinematics",POWER(Upgrades!$U$17,I94),1)*IF(Upgrades!$T$18="Stellar Kinematics",POWER(Upgrades!$U$18,J94),1)*IF(Upgrades!$T$19="Stellar Kinematics",POWER(Upgrades!$U$19,K94),1)*IF(Upgrades!$T$20="Stellar Kinematics",POWER(Upgrades!$U$20,L94),1)*IF(Upgrades!$T$21="Stellar Kinematics",POWER(Upgrades!$U$21,M94),1))*POWER(Upgrades!$P$13,E94)*POWER(Upgrades!$P$14,F94)*POWER(Upgrades!$P$15,G94)*POWER(Upgrades!$P$16,H94)*POWER(Upgrades!$P$17,I94)*POWER(Upgrades!$P$18,J94)*POWER(Upgrades!$P$19,K94)*POWER(Upgrades!$P$20,L94)*POWER(Upgrades!$P$21,M94)*$F$6*60</f>
        <v/>
      </c>
      <c r="AB94" s="27">
        <f>(IF(F94=0,0,(Upgrades!$G$14+F94*Upgrades!$H$14)*POWER(Upgrades!$I$14,F94)))*(IF(Upgrades!$T$13="Local Bubble",POWER(Upgrades!$U$13,E94),1)*IF(Upgrades!$T$15="Local Bubble",POWER(Upgrades!$U$15,G94),1)*IF(Upgrades!$T$16="Local Bubble",POWER(Upgrades!$U$16,H94),1)*IF(Upgrades!$T$17="Local Bubble",POWER(Upgrades!$U$17,I94),1)*IF(Upgrades!$T$18="Local Bubble",POWER(Upgrades!$U$18,J94),1)*IF(Upgrades!$T$19="Local Bubble",POWER(Upgrades!$U$19,K94),1)*IF(Upgrades!$T$20="Local Bubble",POWER(Upgrades!$U$20,L94),1)*IF(Upgrades!$T$21="Local Bubble",POWER(Upgrades!$U$21,M94),1))*POWER(Upgrades!$P$13,E94)*POWER(Upgrades!$P$14,F94)*POWER(Upgrades!$P$15,G94)*POWER(Upgrades!$P$16,H94)*POWER(Upgrades!$P$17,I94)*POWER(Upgrades!$P$18,J94)*POWER(Upgrades!$P$19,K94)*POWER(Upgrades!$P$20,L94)*POWER(Upgrades!$P$21,M94)*$F$6*60</f>
        <v/>
      </c>
      <c r="AC94" s="27">
        <f>(IF(G94=0,0,(Upgrades!$J$15+G94*Upgrades!$K$15)*POWER(Upgrades!$L$15,G94)))*(IF(Upgrades!$T$13="Microlensing",POWER(Upgrades!$U$13,E94),1)*IF(Upgrades!$T$14="Microlensing",POWER(Upgrades!$U$14,F94),1)*IF(Upgrades!$T$16="Microlensing",POWER(Upgrades!$U$16,H94),1)*IF(Upgrades!$T$17="Microlensing",POWER(Upgrades!$U$17,I94),1)*IF(Upgrades!$T$18="Microlensing",POWER(Upgrades!$U$18,J94),1)*IF(Upgrades!$T$19="Microlensing",POWER(Upgrades!$U$19,K94),1)*IF(Upgrades!$T$20="Microlensing",POWER(Upgrades!$U$20,L94),1)*IF(Upgrades!$T$21="Microlensing",POWER(Upgrades!$U$21,M94),1))*POWER(Upgrades!$Q$13,E94)*POWER(Upgrades!$Q$14,F94)*POWER(Upgrades!$Q$15,G94)*POWER(Upgrades!$Q$16,H94)*POWER(Upgrades!$Q$17,I94)*POWER(Upgrades!$Q$18,J94)*POWER(Upgrades!$Q$19,K94)*POWER(Upgrades!$Q$20,L94)*POWER(Upgrades!$Q$21,M94)*$G$6*(Parameters!$B$10*Parameters!$B$11+Q94*60)</f>
        <v/>
      </c>
      <c r="AD94" s="27">
        <f>(IF(H94=0,0,(Upgrades!$M$16+H94*Upgrades!$N$16)*POWER(Upgrades!$O$16,H94)))*(IF(Upgrades!$T$13="Roche Lobe Overflow",POWER(Upgrades!$U$13,E94),1)*IF(Upgrades!$T$14="Roche Lobe Overflow",POWER(Upgrades!$U$14,F94),1)*IF(Upgrades!$T$15="Roche Lobe Overflow",POWER(Upgrades!$U$15,G94),1)*IF(Upgrades!$T$17="Roche Lobe Overflow",POWER(Upgrades!$U$17,I94),1)*IF(Upgrades!$T$18="Roche Lobe Overflow",POWER(Upgrades!$U$18,J94),1)*IF(Upgrades!$T$19="Roche Lobe Overflow",POWER(Upgrades!$U$19,K94),1)*IF(Upgrades!$T$20="Roche Lobe Overflow",POWER(Upgrades!$U$20,L94),1)*IF(Upgrades!$T$21="Roche Lobe Overflow",POWER(Upgrades!$U$21,M94),1))*POWER(Upgrades!$R$13,E94)*POWER(Upgrades!$R$14,F94)*POWER(Upgrades!$R$15,G94)*POWER(Upgrades!$R$16,H94)*POWER(Upgrades!$R$17,I94)*POWER(Upgrades!$R$18,J94)*POWER(Upgrades!$R$19,K94)*POWER(Upgrades!$R$20,L94)*POWER(Upgrades!$R$21,M94)*$H$6*O94*60</f>
        <v/>
      </c>
      <c r="AE94" s="27">
        <f>(IF(I94=0,0,(Upgrades!$G$17+I94*Upgrades!$H$17)*POWER(Upgrades!$I$17,I94)))*(IF(Upgrades!$T$13="Brown Dwarf",POWER(Upgrades!$U$13,E94),1)*IF(Upgrades!$T$14="Brown Dwarf",POWER(Upgrades!$U$14,F94),1)*IF(Upgrades!$T$15="Brown Dwarf",POWER(Upgrades!$U$15,G94),1)*IF(Upgrades!$T$16="Brown Dwarf",POWER(Upgrades!$U$16,H94),1)*IF(Upgrades!$T$18="Brown Dwarf",POWER(Upgrades!$U$18,J94),1)*IF(Upgrades!$T$19="Brown Dwarf",POWER(Upgrades!$U$19,K94),1)*IF(Upgrades!$T$20="Brown Dwarf",POWER(Upgrades!$U$20,L94),1)*IF(Upgrades!$T$21="Brown Dwarf",POWER(Upgrades!$U$21,M94),1))*POWER(Upgrades!$P$13,E94)*POWER(Upgrades!$P$14,F94)*POWER(Upgrades!$P$15,G94)*POWER(Upgrades!$P$16,H94)*POWER(Upgrades!$P$17,I94)*POWER(Upgrades!$P$18,J94)*POWER(Upgrades!$P$19,K94)*POWER(Upgrades!$P$20,L94)*POWER(Upgrades!$P$21,M94)*$F$6*60</f>
        <v/>
      </c>
      <c r="AF94" s="27" t="n">
        <v>0</v>
      </c>
      <c r="AG94" s="27" t="n">
        <v>0</v>
      </c>
      <c r="AH94" s="27" t="n">
        <v>0</v>
      </c>
      <c r="AI94" s="27">
        <f>(IF(M94=0,0,(Upgrades!$G$21+M94*Upgrades!$H$21)*POWER(Upgrades!$I$21,M94)))*(IF(Upgrades!$T$13="Moving Group",POWER(Upgrades!$U$13,E94),1)*IF(Upgrades!$T$14="Moving Group",POWER(Upgrades!$U$14,F94),1)*IF(Upgrades!$T$15="Moving Group",POWER(Upgrades!$U$15,G94),1)*IF(Upgrades!$T$16="Moving Group",POWER(Upgrades!$U$16,H94),1)*IF(Upgrades!$T$17="Moving Group",POWER(Upgrades!$U$17,I94),1)*IF(Upgrades!$T$18="Moving Group",POWER(Upgrades!$U$18,J94),1)*IF(Upgrades!$T$19="Moving Group",POWER(Upgrades!$U$19,K94),1)*IF(Upgrades!$T$20="Moving Group",POWER(Upgrades!$U$20,L94),1))*POWER(Upgrades!$P$13,E94)*POWER(Upgrades!$P$14,F94)*POWER(Upgrades!$P$15,G94)*POWER(Upgrades!$P$16,H94)*POWER(Upgrades!$P$17,I94)*POWER(Upgrades!$P$18,J94)*POWER(Upgrades!$P$19,K94)*POWER(Upgrades!$P$20,L94)*POWER(Upgrades!$P$21,M94)*$F$6*60</f>
        <v/>
      </c>
      <c r="AJ94" s="27">
        <f>$C$6*60</f>
        <v/>
      </c>
      <c r="AK94" s="22">
        <f>IF(E94&gt;=Upgrades!$E$13,"",Upgrades!$C$13*POWER(Upgrades!$D$13,E94))</f>
        <v/>
      </c>
      <c r="AL94" s="22">
        <f>IF(F94&gt;=Upgrades!$E$14,"",Upgrades!$C$14*POWER(Upgrades!$D$14,F94))</f>
        <v/>
      </c>
      <c r="AM94" s="22">
        <f>IF(G94&gt;=Upgrades!$E$15,"",Upgrades!$C$15*POWER(Upgrades!$D$15,G94))</f>
        <v/>
      </c>
      <c r="AN94" s="22">
        <f>IF(H94&gt;=Upgrades!$E$16,"",Upgrades!$C$16*POWER(Upgrades!$D$16,H94))</f>
        <v/>
      </c>
      <c r="AO94" s="22">
        <f>IF(I94&gt;=Upgrades!$E$17,"",Upgrades!$C$17*POWER(Upgrades!$D$17,I94))</f>
        <v/>
      </c>
      <c r="AP94" s="22">
        <f>IF(J94&gt;=Upgrades!$E$18,"",Upgrades!$C$18*POWER(Upgrades!$D$18,J94))</f>
        <v/>
      </c>
      <c r="AQ94" s="22">
        <f>IF(K94&gt;=Upgrades!$E$19,"",Upgrades!$C$19*POWER(Upgrades!$D$19,K94))</f>
        <v/>
      </c>
      <c r="AR94" s="22">
        <f>IF(L94&gt;=Upgrades!$E$20,"",Upgrades!$C$20*POWER(Upgrades!$D$20,L94))</f>
        <v/>
      </c>
      <c r="AS94" s="22">
        <f>IF(M94&gt;=Upgrades!$E$21,"",Upgrades!$C$21*POWER(Upgrades!$D$21,M94))</f>
        <v/>
      </c>
      <c r="AT94" s="26">
        <f>IF(AND(D94&gt;=Parameters!$B$18*Parameters!$B$19,(I94&gt;=Upgrades!$E$17)*(M94&gt;=Upgrades!$E$21)=1,N94=0),1,"")</f>
        <v/>
      </c>
      <c r="AU94" s="26">
        <f>IF(AND(D94&gt;=Parameters!$B$18*Parameters!$B$19,N94=0),1,"")</f>
        <v/>
      </c>
      <c r="AV94" s="22">
        <f>MIN(IF(ISNUMBER(AP94),AP94,9E15),IF(ISNUMBER(AQ94),AQ94,9E15),IF(ISNUMBER(AR94),AR94,9E15),IF(ISNUMBER(AS94),AS94,9E15))</f>
        <v/>
      </c>
      <c r="AW94" s="22">
        <f>MIN(IF(ISNUMBER(AK94),AK94,9E15),IF(ISNUMBER(AL94),AL94,9E15),IF(ISNUMBER(AM94),AM94,9E15),IF(ISNUMBER(AN94),AN94,9E15),IF(ISNUMBER(AO94),AO94,9E15))</f>
        <v/>
      </c>
      <c r="AX94" s="29">
        <f>IF(BD94&gt;Parameters!$B$21*(MAX(IF(AND(NOT(AND(AU94=1,AT94&lt;&gt;1)),ISNUMBER(AK94),AK94&lt;=(C94+T94)),AY94,0),IF(AND(NOT(AND(AU94=1,AT94&lt;&gt;1)),ISNUMBER(AL94),AL94&lt;=(C94+T94)),AZ94,0),IF(AND(NOT(AND(AU94=1,AT94&lt;&gt;1)),ISNUMBER(AM94),AM94&lt;=(C94+T94)),BA94,0),IF(AND(NOT(AND(AU94=1,AT94&lt;&gt;1)),ISNUMBER(AN94),AN94&lt;=(C94+T94)),BB94,0),IF(AND(ISNUMBER(AO94),AO94&lt;=(C94+T94)),BC94,0))),TRUE,FALSE)</f>
        <v/>
      </c>
      <c r="AY94" s="32">
        <f>IFERROR(Upgrades!$H$13*(POWER(Upgrades!$P$13,E94)*POWER(Upgrades!$P$14,F94)*POWER(Upgrades!$P$15,G94)*POWER(Upgrades!$P$16,H94)*POWER(Upgrades!$P$17,I94)*POWER(Upgrades!$P$18,J94)*POWER(Upgrades!$P$19,K94)*POWER(Upgrades!$P$20,L94)*POWER(Upgrades!$P$21,M94))*(IF(Upgrades!$T$14="Stellar Kinematics",POWER(Upgrades!$U$14,F94),1)*IF(Upgrades!$T$15="Stellar Kinematics",POWER(Upgrades!$U$15,G94),1)*IF(Upgrades!$T$16="Stellar Kinematics",POWER(Upgrades!$U$16,H94),1)*IF(Upgrades!$T$17="Stellar Kinematics",POWER(Upgrades!$U$17,I94),1)*IF(Upgrades!$T$18="Stellar Kinematics",POWER(Upgrades!$U$18,J94),1)*IF(Upgrades!$T$19="Stellar Kinematics",POWER(Upgrades!$U$19,K94),1)*IF(Upgrades!$T$20="Stellar Kinematics",POWER(Upgrades!$U$20,L94),1)*IF(Upgrades!$T$21="Stellar Kinematics",POWER(Upgrades!$U$21,M94),1))*$F$6/AK94,0)</f>
        <v/>
      </c>
      <c r="AZ94" s="32">
        <f>IFERROR(Upgrades!$H$14*(POWER(Upgrades!$P$13,E94)*POWER(Upgrades!$P$14,F94)*POWER(Upgrades!$P$15,G94)*POWER(Upgrades!$P$16,H94)*POWER(Upgrades!$P$17,I94)*POWER(Upgrades!$P$18,J94)*POWER(Upgrades!$P$19,K94)*POWER(Upgrades!$P$20,L94)*POWER(Upgrades!$P$21,M94))*(IF(Upgrades!$T$13="Local Bubble",POWER(Upgrades!$U$13,E94),1)*IF(Upgrades!$T$15="Local Bubble",POWER(Upgrades!$U$15,G94),1)*IF(Upgrades!$T$16="Local Bubble",POWER(Upgrades!$U$16,H94),1)*IF(Upgrades!$T$17="Local Bubble",POWER(Upgrades!$U$17,I94),1)*IF(Upgrades!$T$18="Local Bubble",POWER(Upgrades!$U$18,J94),1)*IF(Upgrades!$T$19="Local Bubble",POWER(Upgrades!$U$19,K94),1)*IF(Upgrades!$T$20="Local Bubble",POWER(Upgrades!$U$20,L94),1)*IF(Upgrades!$T$21="Local Bubble",POWER(Upgrades!$U$21,M94),1))*$F$6/AL94,0)</f>
        <v/>
      </c>
      <c r="BA94" s="32">
        <f>IFERROR(Upgrades!$K$15*(POWER(Upgrades!$Q$13,E94)*POWER(Upgrades!$Q$14,F94)*POWER(Upgrades!$Q$15,G94)*POWER(Upgrades!$Q$16,H94)*POWER(Upgrades!$Q$17,I94)*POWER(Upgrades!$Q$18,J94)*POWER(Upgrades!$Q$19,K94)*POWER(Upgrades!$Q$20,L94)*POWER(Upgrades!$Q$21,M94))*(IF(Upgrades!$T$13="Microlensing",POWER(Upgrades!$U$13,E94),1)*IF(Upgrades!$T$14="Microlensing",POWER(Upgrades!$U$14,F94),1)*IF(Upgrades!$T$16="Microlensing",POWER(Upgrades!$U$16,H94),1)*IF(Upgrades!$T$17="Microlensing",POWER(Upgrades!$U$17,I94),1)*IF(Upgrades!$T$18="Microlensing",POWER(Upgrades!$U$18,J94),1)*IF(Upgrades!$T$19="Microlensing",POWER(Upgrades!$U$19,K94),1)*IF(Upgrades!$T$20="Microlensing",POWER(Upgrades!$U$20,L94),1)*IF(Upgrades!$T$21="Microlensing",POWER(Upgrades!$U$21,M94),1))*$G$6*(Parameters!$B$10/60*Parameters!$B$11+Q94)/AM94,0)</f>
        <v/>
      </c>
      <c r="BB94" s="32">
        <f>IFERROR((Upgrades!$N$16*(POWER(Upgrades!$R$13,E94)*POWER(Upgrades!$R$14,F94)*POWER(Upgrades!$R$15,G94)*POWER(Upgrades!$R$16,H94)*POWER(Upgrades!$R$17,I94)*POWER(Upgrades!$R$18,J94)*POWER(Upgrades!$R$19,K94)*POWER(Upgrades!$R$20,L94)*POWER(Upgrades!$R$21,M94))*(IF(Upgrades!$T$13="Roche Lobe Overflow",POWER(Upgrades!$U$13,E94),1)*IF(Upgrades!$T$14="Roche Lobe Overflow",POWER(Upgrades!$U$14,F94),1)*IF(Upgrades!$T$15="Roche Lobe Overflow",POWER(Upgrades!$U$15,G94),1)*IF(Upgrades!$T$17="Roche Lobe Overflow",POWER(Upgrades!$U$17,I94),1)*IF(Upgrades!$T$18="Roche Lobe Overflow",POWER(Upgrades!$U$18,J94),1)*IF(Upgrades!$T$19="Roche Lobe Overflow",POWER(Upgrades!$U$19,K94),1)*IF(Upgrades!$T$20="Roche Lobe Overflow",POWER(Upgrades!$U$20,L94),1)*IF(Upgrades!$T$21="Roche Lobe Overflow",POWER(Upgrades!$U$21,M94),1))*$H$6*O94+((IF(F94=0,0,(Upgrades!$G$14+F94*Upgrades!$H$14)*POWER(Upgrades!$I$14,F94)))*(IF(Upgrades!$T$13="Local Bubble",POWER(Upgrades!$U$13,E94),1)*IF(Upgrades!$T$15="Local Bubble",POWER(Upgrades!$U$15,G94),1)*IF(Upgrades!$T$16="Local Bubble",POWER(Upgrades!$U$16,H94),1)*IF(Upgrades!$T$17="Local Bubble",POWER(Upgrades!$U$17,I94),1)*IF(Upgrades!$T$18="Local Bubble",POWER(Upgrades!$U$18,J94),1)*IF(Upgrades!$T$19="Local Bubble",POWER(Upgrades!$U$19,K94),1)*IF(Upgrades!$T$20="Local Bubble",POWER(Upgrades!$U$20,L94),1)*IF(Upgrades!$T$21="Local Bubble",POWER(Upgrades!$U$21,M94),1))*POWER(Upgrades!$P$13,E94)*POWER(Upgrades!$P$14,F94)*POWER(Upgrades!$P$15,G94)*POWER(Upgrades!$P$16,H94)*POWER(Upgrades!$P$17,I94)*POWER(Upgrades!$P$18,J94)*POWER(Upgrades!$P$19,K94)*POWER(Upgrades!$P$20,L94)*POWER(Upgrades!$P$21,M94)*$F$6)*0.05)/AN94,0)</f>
        <v/>
      </c>
      <c r="BC94" s="32">
        <f>IFERROR((Upgrades!$H$17*(POWER(Upgrades!$P$13,E94)*POWER(Upgrades!$P$14,F94)*POWER(Upgrades!$P$15,G94)*POWER(Upgrades!$P$16,H94)*POWER(Upgrades!$P$17,I94)*POWER(Upgrades!$P$18,J94)*POWER(Upgrades!$P$19,K94)*POWER(Upgrades!$P$20,L94)*POWER(Upgrades!$P$21,M94))*(IF(Upgrades!$T$13="Brown Dwarf",POWER(Upgrades!$U$13,E94),1)*IF(Upgrades!$T$14="Brown Dwarf",POWER(Upgrades!$U$14,F94),1)*IF(Upgrades!$T$15="Brown Dwarf",POWER(Upgrades!$U$15,G94),1)*IF(Upgrades!$T$16="Brown Dwarf",POWER(Upgrades!$U$16,H94),1)*IF(Upgrades!$T$18="Brown Dwarf",POWER(Upgrades!$U$18,J94),1)*IF(Upgrades!$T$19="Brown Dwarf",POWER(Upgrades!$U$19,K94),1)*IF(Upgrades!$T$20="Brown Dwarf",POWER(Upgrades!$U$20,L94),1)*IF(Upgrades!$T$21="Brown Dwarf",POWER(Upgrades!$U$21,M94),1))*$F$6+(((IF(H94=0,0,(Upgrades!$M$16+H94*Upgrades!$N$16)*POWER(Upgrades!$O$16,H94)))*(IF(Upgrades!$T$13="Roche Lobe Overflow",POWER(Upgrades!$U$13,E94),1)*IF(Upgrades!$T$14="Roche Lobe Overflow",POWER(Upgrades!$U$14,F94),1)*IF(Upgrades!$T$15="Roche Lobe Overflow",POWER(Upgrades!$U$15,G94),1)*IF(Upgrades!$T$17="Roche Lobe Overflow",POWER(Upgrades!$U$17,I94),1)*IF(Upgrades!$T$18="Roche Lobe Overflow",POWER(Upgrades!$U$18,J94),1)*IF(Upgrades!$T$19="Roche Lobe Overflow",POWER(Upgrades!$U$19,K94),1)*IF(Upgrades!$T$20="Roche Lobe Overflow",POWER(Upgrades!$U$20,L94),1)*IF(Upgrades!$T$21="Roche Lobe Overflow",POWER(Upgrades!$U$21,M94),1))*POWER(Upgrades!$R$13,E94)*POWER(Upgrades!$R$14,F94)*POWER(Upgrades!$R$15,G94)*POWER(Upgrades!$R$16,H94)*POWER(Upgrades!$R$17,I94)*POWER(Upgrades!$R$18,J94)*POWER(Upgrades!$R$19,K94)*POWER(Upgrades!$R$20,L94)*POWER(Upgrades!$R$21,M94)*$H$6)*O94)*0.10)/AO94,0)</f>
        <v/>
      </c>
      <c r="BD94" s="32">
        <f>MAX(IF(J94&gt;0,0,IFERROR(0.5*((IF(G94=0,0,(Upgrades!$J$15+G94*Upgrades!$K$15)*POWER(Upgrades!$L$15,G94)))*(IF(Upgrades!$T$13="Microlensing",POWER(Upgrades!$U$13,E94),1)*IF(Upgrades!$T$14="Microlensing",POWER(Upgrades!$U$14,F94),1)*IF(Upgrades!$T$16="Microlensing",POWER(Upgrades!$U$16,H94),1)*IF(Upgrades!$T$17="Microlensing",POWER(Upgrades!$U$17,I94),1)*IF(Upgrades!$T$18="Microlensing",POWER(Upgrades!$U$18,J94),1)*IF(Upgrades!$T$19="Microlensing",POWER(Upgrades!$U$19,K94),1)*IF(Upgrades!$T$20="Microlensing",POWER(Upgrades!$U$20,L94),1)*IF(Upgrades!$T$21="Microlensing",POWER(Upgrades!$U$21,M94),1))*(POWER(Upgrades!$Q$13,E94)*POWER(Upgrades!$Q$14,F94)*POWER(Upgrades!$Q$15,G94)*POWER(Upgrades!$Q$16,H94)*POWER(Upgrades!$Q$17,I94)*POWER(Upgrades!$Q$18,J94)*POWER(Upgrades!$Q$19,K94)*POWER(Upgrades!$Q$20,L94)*POWER(Upgrades!$Q$21,M94))*$G$6*(Parameters!$B$10/60*Parameters!$B$11+Q94))/Upgrades!$C$18,0)),IF(K94&gt;0,0,IFERROR(0.30*P94/Upgrades!$C$19,0)),IF(L94&gt;0,0,IFERROR(0.0001/Upgrades!$C$20,0)),IF(M94&gt;0,0,IFERROR((6.0*(POWER(Upgrades!$P$13,E94)*POWER(Upgrades!$P$14,F94)*POWER(Upgrades!$P$15,G94)*POWER(Upgrades!$P$16,H94)*POWER(Upgrades!$P$17,I94)*POWER(Upgrades!$P$18,J94)*POWER(Upgrades!$P$19,K94)*POWER(Upgrades!$P$20,L94)*POWER(Upgrades!$P$21,M94))*$F$6+0.20*O94*(Parameters!$B$10/60*Parameters!$B$11+Q94))/Upgrades!$C$21,0)),IF(AND(ISNUMBER(AK94),AK94&gt;(C94+T94)),AY94,0),IF(AND(ISNUMBER(AL94),AL94&gt;(C94+T94)),AZ94,0),IF(AND(ISNUMBER(AM94),AM94&gt;(C94+T94)),BA94,0),IF(AND(ISNUMBER(AN94),AN94&gt;(C94+T94)),BB94,0),IF(AND(ISNUMBER(AO94),AO94&gt;(C94+T94)),BC94,0))</f>
        <v/>
      </c>
      <c r="BE94" s="29">
        <f>IF(AT94=1,"transition",IF(MIN(IF(AND(J94=0,ISNUMBER(AP94),AP94&lt;=(C94+T94)),AP94,9E15),IF(AND(K94=0,ISNUMBER(AQ94),AQ94&lt;=(C94+T94)),AQ94,9E15),IF(AND(L94=0,ISNUMBER(AR94),AR94&lt;=(C94+T94)),AR94,9E15),IF(AND(M94=0,ISNUMBER(AS94),AS94&lt;=(C94+T94)),AS94,9E15))&lt;9E15,IF(AND(AND(J94=0,ISNUMBER(AP94),AP94&lt;=(C94+T94)),AP94=MIN(IF(AND(J94=0,ISNUMBER(AP94),AP94&lt;=(C94+T94)),AP94,9E15),IF(AND(K94=0,ISNUMBER(AQ94),AQ94&lt;=(C94+T94)),AQ94,9E15),IF(AND(L94=0,ISNUMBER(AR94),AR94&lt;=(C94+T94)),AR94,9E15),IF(AND(M94=0,ISNUMBER(AS94),AS94&lt;=(C94+T94)),AS94,9E15))),"BiP",IF(AND(AND(K94=0,ISNUMBER(AQ94),AQ94&lt;=(C94+T94)),AQ94=MIN(IF(AND(J94=0,ISNUMBER(AP94),AP94&lt;=(C94+T94)),AP94,9E15),IF(AND(K94=0,ISNUMBER(AQ94),AQ94&lt;=(C94+T94)),AQ94,9E15),IF(AND(L94=0,ISNUMBER(AR94),AR94&lt;=(C94+T94)),AR94,9E15),IF(AND(M94=0,ISNUMBER(AS94),AS94&lt;=(C94+T94)),AS94,9E15))),"PV",IF(AND(AND(L94=0,ISNUMBER(AR94),AR94&lt;=(C94+T94)),AR94=MIN(IF(AND(J94=0,ISNUMBER(AP94),AP94&lt;=(C94+T94)),AP94,9E15),IF(AND(K94=0,ISNUMBER(AQ94),AQ94&lt;=(C94+T94)),AQ94,9E15),IF(AND(L94=0,ISNUMBER(AR94),AR94&lt;=(C94+T94)),AR94,9E15),IF(AND(M94=0,ISNUMBER(AS94),AS94&lt;=(C94+T94)),AS94,9E15))),"OC","MG"))),IF(AX94=TRUE,"",IF(MAX(IF(AND(NOT(AND(AU94=1,AT94&lt;&gt;1)),ISNUMBER(AK94),AK94&lt;=(C94+T94)),AY94,0),IF(AND(NOT(AND(AU94=1,AT94&lt;&gt;1)),ISNUMBER(AL94),AL94&lt;=(C94+T94)),AZ94,0),IF(AND(NOT(AND(AU94=1,AT94&lt;&gt;1)),ISNUMBER(AM94),AM94&lt;=(C94+T94)),BA94,0),IF(AND(NOT(AND(AU94=1,AT94&lt;&gt;1)),ISNUMBER(AN94),AN94&lt;=(C94+T94)),BB94,0),IF(AND(ISNUMBER(AO94),AO94&lt;=(C94+T94)),BC94,0))&lt;=0,"",IF(AND(IF(AND(NOT(AND(AU94=1,AT94&lt;&gt;1)),ISNUMBER(AK94),AK94&lt;=(C94+T94)),AY94,0)&gt;0,IF(AND(NOT(AND(AU94=1,AT94&lt;&gt;1)),ISNUMBER(AK94),AK94&lt;=(C94+T94)),AY94,0)=MAX(IF(AND(NOT(AND(AU94=1,AT94&lt;&gt;1)),ISNUMBER(AK94),AK94&lt;=(C94+T94)),AY94,0),IF(AND(NOT(AND(AU94=1,AT94&lt;&gt;1)),ISNUMBER(AL94),AL94&lt;=(C94+T94)),AZ94,0),IF(AND(NOT(AND(AU94=1,AT94&lt;&gt;1)),ISNUMBER(AM94),AM94&lt;=(C94+T94)),BA94,0),IF(AND(NOT(AND(AU94=1,AT94&lt;&gt;1)),ISNUMBER(AN94),AN94&lt;=(C94+T94)),BB94,0),IF(AND(ISNUMBER(AO94),AO94&lt;=(C94+T94)),BC94,0))),"SK",IF(AND(IF(AND(NOT(AND(AU94=1,AT94&lt;&gt;1)),ISNUMBER(AL94),AL94&lt;=(C94+T94)),AZ94,0)&gt;0,IF(AND(NOT(AND(AU94=1,AT94&lt;&gt;1)),ISNUMBER(AL94),AL94&lt;=(C94+T94)),AZ94,0)=MAX(IF(AND(NOT(AND(AU94=1,AT94&lt;&gt;1)),ISNUMBER(AK94),AK94&lt;=(C94+T94)),AY94,0),IF(AND(NOT(AND(AU94=1,AT94&lt;&gt;1)),ISNUMBER(AL94),AL94&lt;=(C94+T94)),AZ94,0),IF(AND(NOT(AND(AU94=1,AT94&lt;&gt;1)),ISNUMBER(AM94),AM94&lt;=(C94+T94)),BA94,0),IF(AND(NOT(AND(AU94=1,AT94&lt;&gt;1)),ISNUMBER(AN94),AN94&lt;=(C94+T94)),BB94,0),IF(AND(ISNUMBER(AO94),AO94&lt;=(C94+T94)),BC94,0))),"LB",IF(AND(IF(AND(NOT(AND(AU94=1,AT94&lt;&gt;1)),ISNUMBER(AM94),AM94&lt;=(C94+T94)),BA94,0)&gt;0,IF(AND(NOT(AND(AU94=1,AT94&lt;&gt;1)),ISNUMBER(AM94),AM94&lt;=(C94+T94)),BA94,0)=MAX(IF(AND(NOT(AND(AU94=1,AT94&lt;&gt;1)),ISNUMBER(AK94),AK94&lt;=(C94+T94)),AY94,0),IF(AND(NOT(AND(AU94=1,AT94&lt;&gt;1)),ISNUMBER(AL94),AL94&lt;=(C94+T94)),AZ94,0),IF(AND(NOT(AND(AU94=1,AT94&lt;&gt;1)),ISNUMBER(AM94),AM94&lt;=(C94+T94)),BA94,0),IF(AND(NOT(AND(AU94=1,AT94&lt;&gt;1)),ISNUMBER(AN94),AN94&lt;=(C94+T94)),BB94,0),IF(AND(ISNUMBER(AO94),AO94&lt;=(C94+T94)),BC94,0))),"ML",IF(AND(IF(AND(NOT(AND(AU94=1,AT94&lt;&gt;1)),ISNUMBER(AN94),AN94&lt;=(C94+T94)),BB94,0)&gt;0,IF(AND(NOT(AND(AU94=1,AT94&lt;&gt;1)),ISNUMBER(AN94),AN94&lt;=(C94+T94)),BB94,0)=MAX(IF(AND(NOT(AND(AU94=1,AT94&lt;&gt;1)),ISNUMBER(AK94),AK94&lt;=(C94+T94)),AY94,0),IF(AND(NOT(AND(AU94=1,AT94&lt;&gt;1)),ISNUMBER(AL94),AL94&lt;=(C94+T94)),AZ94,0),IF(AND(NOT(AND(AU94=1,AT94&lt;&gt;1)),ISNUMBER(AM94),AM94&lt;=(C94+T94)),BA94,0),IF(AND(NOT(AND(AU94=1,AT94&lt;&gt;1)),ISNUMBER(AN94),AN94&lt;=(C94+T94)),BB94,0),IF(AND(ISNUMBER(AO94),AO94&lt;=(C94+T94)),BC94,0))),"RLO","BD"))))))))</f>
        <v/>
      </c>
    </row>
    <row r="95">
      <c r="A95" s="26" t="n">
        <v>84</v>
      </c>
      <c r="B95" s="27">
        <f>A95*10/60</f>
        <v/>
      </c>
      <c r="C95" s="22">
        <f>X94</f>
        <v/>
      </c>
      <c r="D95" s="27">
        <f>D94+W94</f>
        <v/>
      </c>
      <c r="E95" s="26">
        <f>E94+IF(U94="SK",1,0)</f>
        <v/>
      </c>
      <c r="F95" s="26">
        <f>F94+IF(U94="LB",1,0)</f>
        <v/>
      </c>
      <c r="G95" s="26">
        <f>G94+IF(U94="ML",1,0)</f>
        <v/>
      </c>
      <c r="H95" s="26">
        <f>H94+IF(U94="RLO",1,0)</f>
        <v/>
      </c>
      <c r="I95" s="26">
        <f>I94+IF(U94="BD",1,0)</f>
        <v/>
      </c>
      <c r="J95" s="26">
        <f>MAX(J94,IF(U94="BiP",1,0))</f>
        <v/>
      </c>
      <c r="K95" s="26">
        <f>MAX(K94,IF(U94="PV",1,0))</f>
        <v/>
      </c>
      <c r="L95" s="26">
        <f>MAX(L94,IF(U94="OC",1,0))</f>
        <v/>
      </c>
      <c r="M95" s="26">
        <f>MAX(M94,IF(U94="MG",1,0))</f>
        <v/>
      </c>
      <c r="N95" s="26">
        <f>MAX(N94,IF(U94="transition",1,0))</f>
        <v/>
      </c>
      <c r="O95" s="28">
        <f>(Parameters!$B$9+(IF(E95=0,0,(Upgrades!$J$13+E95*Upgrades!$K$13)*POWER(Upgrades!$L$13,E95)))*(IF(Upgrades!$T$14="Stellar Kinematics",POWER(Upgrades!$U$14,F95),1)*IF(Upgrades!$T$15="Stellar Kinematics",POWER(Upgrades!$U$15,G95),1)*IF(Upgrades!$T$16="Stellar Kinematics",POWER(Upgrades!$U$16,H95),1)*IF(Upgrades!$T$17="Stellar Kinematics",POWER(Upgrades!$U$17,I95),1)*IF(Upgrades!$T$18="Stellar Kinematics",POWER(Upgrades!$U$18,J95),1)*IF(Upgrades!$T$19="Stellar Kinematics",POWER(Upgrades!$U$19,K95),1)*IF(Upgrades!$T$20="Stellar Kinematics",POWER(Upgrades!$U$20,L95),1)*IF(Upgrades!$T$21="Stellar Kinematics",POWER(Upgrades!$U$21,M95),1))+(IF(F95=0,0,(Upgrades!$J$14+F95*Upgrades!$K$14)*POWER(Upgrades!$L$14,F95)))*(IF(Upgrades!$T$13="Local Bubble",POWER(Upgrades!$U$13,E95),1)*IF(Upgrades!$T$15="Local Bubble",POWER(Upgrades!$U$15,G95),1)*IF(Upgrades!$T$16="Local Bubble",POWER(Upgrades!$U$16,H95),1)*IF(Upgrades!$T$17="Local Bubble",POWER(Upgrades!$U$17,I95),1)*IF(Upgrades!$T$18="Local Bubble",POWER(Upgrades!$U$18,J95),1)*IF(Upgrades!$T$19="Local Bubble",POWER(Upgrades!$U$19,K95),1)*IF(Upgrades!$T$20="Local Bubble",POWER(Upgrades!$U$20,L95),1)*IF(Upgrades!$T$21="Local Bubble",POWER(Upgrades!$U$21,M95),1))+(IF(G95=0,0,(Upgrades!$J$15+G95*Upgrades!$K$15)*POWER(Upgrades!$L$15,G95)))*(IF(Upgrades!$T$13="Microlensing",POWER(Upgrades!$U$13,E95),1)*IF(Upgrades!$T$14="Microlensing",POWER(Upgrades!$U$14,F95),1)*IF(Upgrades!$T$16="Microlensing",POWER(Upgrades!$U$16,H95),1)*IF(Upgrades!$T$17="Microlensing",POWER(Upgrades!$U$17,I95),1)*IF(Upgrades!$T$18="Microlensing",POWER(Upgrades!$U$18,J95),1)*IF(Upgrades!$T$19="Microlensing",POWER(Upgrades!$U$19,K95),1)*IF(Upgrades!$T$20="Microlensing",POWER(Upgrades!$U$20,L95),1)*IF(Upgrades!$T$21="Microlensing",POWER(Upgrades!$U$21,M95),1))+(IF(H95=0,0,(Upgrades!$J$16+H95*Upgrades!$K$16)*POWER(Upgrades!$L$16,H95)))*(IF(Upgrades!$T$13="Roche Lobe Overflow",POWER(Upgrades!$U$13,E95),1)*IF(Upgrades!$T$14="Roche Lobe Overflow",POWER(Upgrades!$U$14,F95),1)*IF(Upgrades!$T$15="Roche Lobe Overflow",POWER(Upgrades!$U$15,G95),1)*IF(Upgrades!$T$17="Roche Lobe Overflow",POWER(Upgrades!$U$17,I95),1)*IF(Upgrades!$T$18="Roche Lobe Overflow",POWER(Upgrades!$U$18,J95),1)*IF(Upgrades!$T$19="Roche Lobe Overflow",POWER(Upgrades!$U$19,K95),1)*IF(Upgrades!$T$20="Roche Lobe Overflow",POWER(Upgrades!$U$20,L95),1)*IF(Upgrades!$T$21="Roche Lobe Overflow",POWER(Upgrades!$U$21,M95),1))+(IF(I95=0,0,(Upgrades!$J$17+I95*Upgrades!$K$17)*POWER(Upgrades!$L$17,I95)))*(IF(Upgrades!$T$13="Brown Dwarf",POWER(Upgrades!$U$13,E95),1)*IF(Upgrades!$T$14="Brown Dwarf",POWER(Upgrades!$U$14,F95),1)*IF(Upgrades!$T$15="Brown Dwarf",POWER(Upgrades!$U$15,G95),1)*IF(Upgrades!$T$16="Brown Dwarf",POWER(Upgrades!$U$16,H95),1)*IF(Upgrades!$T$18="Brown Dwarf",POWER(Upgrades!$U$18,J95),1)*IF(Upgrades!$T$19="Brown Dwarf",POWER(Upgrades!$U$19,K95),1)*IF(Upgrades!$T$20="Brown Dwarf",POWER(Upgrades!$U$20,L95),1)*IF(Upgrades!$T$21="Brown Dwarf",POWER(Upgrades!$U$21,M95),1))+(IF(J95=0,0,(Upgrades!$J$18+J95*Upgrades!$K$18)*POWER(Upgrades!$L$18,J95)))*(IF(Upgrades!$T$13="Binary Partner",POWER(Upgrades!$U$13,E95),1)*IF(Upgrades!$T$14="Binary Partner",POWER(Upgrades!$U$14,F95),1)*IF(Upgrades!$T$15="Binary Partner",POWER(Upgrades!$U$15,G95),1)*IF(Upgrades!$T$16="Binary Partner",POWER(Upgrades!$U$16,H95),1)*IF(Upgrades!$T$17="Binary Partner",POWER(Upgrades!$U$17,I95),1)*IF(Upgrades!$T$19="Binary Partner",POWER(Upgrades!$U$19,K95),1)*IF(Upgrades!$T$20="Binary Partner",POWER(Upgrades!$U$20,L95),1)*IF(Upgrades!$T$21="Binary Partner",POWER(Upgrades!$U$21,M95),1))+(IF(K95=0,0,(Upgrades!$J$19+K95*Upgrades!$K$19)*POWER(Upgrades!$L$19,K95)))*(IF(Upgrades!$T$13="Peculiar Velocity",POWER(Upgrades!$U$13,E95),1)*IF(Upgrades!$T$14="Peculiar Velocity",POWER(Upgrades!$U$14,F95),1)*IF(Upgrades!$T$15="Peculiar Velocity",POWER(Upgrades!$U$15,G95),1)*IF(Upgrades!$T$16="Peculiar Velocity",POWER(Upgrades!$U$16,H95),1)*IF(Upgrades!$T$17="Peculiar Velocity",POWER(Upgrades!$U$17,I95),1)*IF(Upgrades!$T$18="Peculiar Velocity",POWER(Upgrades!$U$18,J95),1)*IF(Upgrades!$T$20="Peculiar Velocity",POWER(Upgrades!$U$20,L95),1)*IF(Upgrades!$T$21="Peculiar Velocity",POWER(Upgrades!$U$21,M95),1))+(IF(L95=0,0,(Upgrades!$J$20+L95*Upgrades!$K$20)*POWER(Upgrades!$L$20,L95)))*(IF(Upgrades!$T$13="Open Cluster",POWER(Upgrades!$U$13,E95),1)*IF(Upgrades!$T$14="Open Cluster",POWER(Upgrades!$U$14,F95),1)*IF(Upgrades!$T$15="Open Cluster",POWER(Upgrades!$U$15,G95),1)*IF(Upgrades!$T$16="Open Cluster",POWER(Upgrades!$U$16,H95),1)*IF(Upgrades!$T$17="Open Cluster",POWER(Upgrades!$U$17,I95),1)*IF(Upgrades!$T$18="Open Cluster",POWER(Upgrades!$U$18,J95),1)*IF(Upgrades!$T$19="Open Cluster",POWER(Upgrades!$U$19,K95),1)*IF(Upgrades!$T$21="Open Cluster",POWER(Upgrades!$U$21,M95),1))+(IF(M95=0,0,(Upgrades!$J$21+M95*Upgrades!$K$21)*POWER(Upgrades!$L$21,M95)))*(IF(Upgrades!$T$13="Moving Group",POWER(Upgrades!$U$13,E95),1)*IF(Upgrades!$T$14="Moving Group",POWER(Upgrades!$U$14,F95),1)*IF(Upgrades!$T$15="Moving Group",POWER(Upgrades!$U$15,G95),1)*IF(Upgrades!$T$16="Moving Group",POWER(Upgrades!$U$16,H95),1)*IF(Upgrades!$T$17="Moving Group",POWER(Upgrades!$U$17,I95),1)*IF(Upgrades!$T$18="Moving Group",POWER(Upgrades!$U$18,J95),1)*IF(Upgrades!$T$19="Moving Group",POWER(Upgrades!$U$19,K95),1)*IF(Upgrades!$T$20="Moving Group",POWER(Upgrades!$U$20,L95),1)))*POWER(Upgrades!$Q$13,E95)*POWER(Upgrades!$Q$14,F95)*POWER(Upgrades!$Q$15,G95)*POWER(Upgrades!$Q$16,H95)*POWER(Upgrades!$Q$17,I95)*POWER(Upgrades!$Q$18,J95)*POWER(Upgrades!$Q$19,K95)*POWER(Upgrades!$Q$20,L95)*POWER(Upgrades!$Q$21,M95)*$G$6+$D$6</f>
        <v/>
      </c>
      <c r="P95" s="28">
        <f>((IF(E95=0,0,(Upgrades!$G$13+E95*Upgrades!$H$13)*POWER(Upgrades!$I$13,E95)))*(IF(Upgrades!$T$14="Stellar Kinematics",POWER(Upgrades!$U$14,F95),1)*IF(Upgrades!$T$15="Stellar Kinematics",POWER(Upgrades!$U$15,G95),1)*IF(Upgrades!$T$16="Stellar Kinematics",POWER(Upgrades!$U$16,H95),1)*IF(Upgrades!$T$17="Stellar Kinematics",POWER(Upgrades!$U$17,I95),1)*IF(Upgrades!$T$18="Stellar Kinematics",POWER(Upgrades!$U$18,J95),1)*IF(Upgrades!$T$19="Stellar Kinematics",POWER(Upgrades!$U$19,K95),1)*IF(Upgrades!$T$20="Stellar Kinematics",POWER(Upgrades!$U$20,L95),1)*IF(Upgrades!$T$21="Stellar Kinematics",POWER(Upgrades!$U$21,M95),1))+(IF(F95=0,0,(Upgrades!$G$14+F95*Upgrades!$H$14)*POWER(Upgrades!$I$14,F95)))*(IF(Upgrades!$T$13="Local Bubble",POWER(Upgrades!$U$13,E95),1)*IF(Upgrades!$T$15="Local Bubble",POWER(Upgrades!$U$15,G95),1)*IF(Upgrades!$T$16="Local Bubble",POWER(Upgrades!$U$16,H95),1)*IF(Upgrades!$T$17="Local Bubble",POWER(Upgrades!$U$17,I95),1)*IF(Upgrades!$T$18="Local Bubble",POWER(Upgrades!$U$18,J95),1)*IF(Upgrades!$T$19="Local Bubble",POWER(Upgrades!$U$19,K95),1)*IF(Upgrades!$T$20="Local Bubble",POWER(Upgrades!$U$20,L95),1)*IF(Upgrades!$T$21="Local Bubble",POWER(Upgrades!$U$21,M95),1))+(IF(G95=0,0,(Upgrades!$G$15+G95*Upgrades!$H$15)*POWER(Upgrades!$I$15,G95)))*(IF(Upgrades!$T$13="Microlensing",POWER(Upgrades!$U$13,E95),1)*IF(Upgrades!$T$14="Microlensing",POWER(Upgrades!$U$14,F95),1)*IF(Upgrades!$T$16="Microlensing",POWER(Upgrades!$U$16,H95),1)*IF(Upgrades!$T$17="Microlensing",POWER(Upgrades!$U$17,I95),1)*IF(Upgrades!$T$18="Microlensing",POWER(Upgrades!$U$18,J95),1)*IF(Upgrades!$T$19="Microlensing",POWER(Upgrades!$U$19,K95),1)*IF(Upgrades!$T$20="Microlensing",POWER(Upgrades!$U$20,L95),1)*IF(Upgrades!$T$21="Microlensing",POWER(Upgrades!$U$21,M95),1))+(IF(H95=0,0,(Upgrades!$G$16+H95*Upgrades!$H$16)*POWER(Upgrades!$I$16,H95)))*(IF(Upgrades!$T$13="Roche Lobe Overflow",POWER(Upgrades!$U$13,E95),1)*IF(Upgrades!$T$14="Roche Lobe Overflow",POWER(Upgrades!$U$14,F95),1)*IF(Upgrades!$T$15="Roche Lobe Overflow",POWER(Upgrades!$U$15,G95),1)*IF(Upgrades!$T$17="Roche Lobe Overflow",POWER(Upgrades!$U$17,I95),1)*IF(Upgrades!$T$18="Roche Lobe Overflow",POWER(Upgrades!$U$18,J95),1)*IF(Upgrades!$T$19="Roche Lobe Overflow",POWER(Upgrades!$U$19,K95),1)*IF(Upgrades!$T$20="Roche Lobe Overflow",POWER(Upgrades!$U$20,L95),1)*IF(Upgrades!$T$21="Roche Lobe Overflow",POWER(Upgrades!$U$21,M95),1))+(IF(I95=0,0,(Upgrades!$G$17+I95*Upgrades!$H$17)*POWER(Upgrades!$I$17,I95)))*(IF(Upgrades!$T$13="Brown Dwarf",POWER(Upgrades!$U$13,E95),1)*IF(Upgrades!$T$14="Brown Dwarf",POWER(Upgrades!$U$14,F95),1)*IF(Upgrades!$T$15="Brown Dwarf",POWER(Upgrades!$U$15,G95),1)*IF(Upgrades!$T$16="Brown Dwarf",POWER(Upgrades!$U$16,H95),1)*IF(Upgrades!$T$18="Brown Dwarf",POWER(Upgrades!$U$18,J95),1)*IF(Upgrades!$T$19="Brown Dwarf",POWER(Upgrades!$U$19,K95),1)*IF(Upgrades!$T$20="Brown Dwarf",POWER(Upgrades!$U$20,L95),1)*IF(Upgrades!$T$21="Brown Dwarf",POWER(Upgrades!$U$21,M95),1))+(IF(J95=0,0,(Upgrades!$G$18+J95*Upgrades!$H$18)*POWER(Upgrades!$I$18,J95)))*(IF(Upgrades!$T$13="Binary Partner",POWER(Upgrades!$U$13,E95),1)*IF(Upgrades!$T$14="Binary Partner",POWER(Upgrades!$U$14,F95),1)*IF(Upgrades!$T$15="Binary Partner",POWER(Upgrades!$U$15,G95),1)*IF(Upgrades!$T$16="Binary Partner",POWER(Upgrades!$U$16,H95),1)*IF(Upgrades!$T$17="Binary Partner",POWER(Upgrades!$U$17,I95),1)*IF(Upgrades!$T$19="Binary Partner",POWER(Upgrades!$U$19,K95),1)*IF(Upgrades!$T$20="Binary Partner",POWER(Upgrades!$U$20,L95),1)*IF(Upgrades!$T$21="Binary Partner",POWER(Upgrades!$U$21,M95),1))+(IF(K95=0,0,(Upgrades!$G$19+K95*Upgrades!$H$19)*POWER(Upgrades!$I$19,K95)))*(IF(Upgrades!$T$13="Peculiar Velocity",POWER(Upgrades!$U$13,E95),1)*IF(Upgrades!$T$14="Peculiar Velocity",POWER(Upgrades!$U$14,F95),1)*IF(Upgrades!$T$15="Peculiar Velocity",POWER(Upgrades!$U$15,G95),1)*IF(Upgrades!$T$16="Peculiar Velocity",POWER(Upgrades!$U$16,H95),1)*IF(Upgrades!$T$17="Peculiar Velocity",POWER(Upgrades!$U$17,I95),1)*IF(Upgrades!$T$18="Peculiar Velocity",POWER(Upgrades!$U$18,J95),1)*IF(Upgrades!$T$20="Peculiar Velocity",POWER(Upgrades!$U$20,L95),1)*IF(Upgrades!$T$21="Peculiar Velocity",POWER(Upgrades!$U$21,M95),1))+(IF(L95=0,0,(Upgrades!$G$20+L95*Upgrades!$H$20)*POWER(Upgrades!$I$20,L95)))*(IF(Upgrades!$T$13="Open Cluster",POWER(Upgrades!$U$13,E95),1)*IF(Upgrades!$T$14="Open Cluster",POWER(Upgrades!$U$14,F95),1)*IF(Upgrades!$T$15="Open Cluster",POWER(Upgrades!$U$15,G95),1)*IF(Upgrades!$T$16="Open Cluster",POWER(Upgrades!$U$16,H95),1)*IF(Upgrades!$T$17="Open Cluster",POWER(Upgrades!$U$17,I95),1)*IF(Upgrades!$T$18="Open Cluster",POWER(Upgrades!$U$18,J95),1)*IF(Upgrades!$T$19="Open Cluster",POWER(Upgrades!$U$19,K95),1)*IF(Upgrades!$T$21="Open Cluster",POWER(Upgrades!$U$21,M95),1))+(IF(M95=0,0,(Upgrades!$G$21+M95*Upgrades!$H$21)*POWER(Upgrades!$I$21,M95)))*(IF(Upgrades!$T$13="Moving Group",POWER(Upgrades!$U$13,E95),1)*IF(Upgrades!$T$14="Moving Group",POWER(Upgrades!$U$14,F95),1)*IF(Upgrades!$T$15="Moving Group",POWER(Upgrades!$U$15,G95),1)*IF(Upgrades!$T$16="Moving Group",POWER(Upgrades!$U$16,H95),1)*IF(Upgrades!$T$17="Moving Group",POWER(Upgrades!$U$17,I95),1)*IF(Upgrades!$T$18="Moving Group",POWER(Upgrades!$U$18,J95),1)*IF(Upgrades!$T$19="Moving Group",POWER(Upgrades!$U$19,K95),1)*IF(Upgrades!$T$20="Moving Group",POWER(Upgrades!$U$20,L95),1)))*POWER(Upgrades!$P$13,E95)*POWER(Upgrades!$P$14,F95)*POWER(Upgrades!$P$15,G95)*POWER(Upgrades!$P$16,H95)*POWER(Upgrades!$P$17,I95)*POWER(Upgrades!$P$18,J95)*POWER(Upgrades!$P$19,K95)*POWER(Upgrades!$P$20,L95)*POWER(Upgrades!$P$21,M95)*$F$6+$C$6</f>
        <v/>
      </c>
      <c r="Q95" s="28">
        <f>((IF(E95=0,0,(Upgrades!$M$13+E95*Upgrades!$N$13)*POWER(Upgrades!$O$13,E95)))*(IF(Upgrades!$T$14="Stellar Kinematics",POWER(Upgrades!$U$14,F95),1)*IF(Upgrades!$T$15="Stellar Kinematics",POWER(Upgrades!$U$15,G95),1)*IF(Upgrades!$T$16="Stellar Kinematics",POWER(Upgrades!$U$16,H95),1)*IF(Upgrades!$T$17="Stellar Kinematics",POWER(Upgrades!$U$17,I95),1)*IF(Upgrades!$T$18="Stellar Kinematics",POWER(Upgrades!$U$18,J95),1)*IF(Upgrades!$T$19="Stellar Kinematics",POWER(Upgrades!$U$19,K95),1)*IF(Upgrades!$T$20="Stellar Kinematics",POWER(Upgrades!$U$20,L95),1)*IF(Upgrades!$T$21="Stellar Kinematics",POWER(Upgrades!$U$21,M95),1))+(IF(F95=0,0,(Upgrades!$M$14+F95*Upgrades!$N$14)*POWER(Upgrades!$O$14,F95)))*(IF(Upgrades!$T$13="Local Bubble",POWER(Upgrades!$U$13,E95),1)*IF(Upgrades!$T$15="Local Bubble",POWER(Upgrades!$U$15,G95),1)*IF(Upgrades!$T$16="Local Bubble",POWER(Upgrades!$U$16,H95),1)*IF(Upgrades!$T$17="Local Bubble",POWER(Upgrades!$U$17,I95),1)*IF(Upgrades!$T$18="Local Bubble",POWER(Upgrades!$U$18,J95),1)*IF(Upgrades!$T$19="Local Bubble",POWER(Upgrades!$U$19,K95),1)*IF(Upgrades!$T$20="Local Bubble",POWER(Upgrades!$U$20,L95),1)*IF(Upgrades!$T$21="Local Bubble",POWER(Upgrades!$U$21,M95),1))+(IF(G95=0,0,(Upgrades!$M$15+G95*Upgrades!$N$15)*POWER(Upgrades!$O$15,G95)))*(IF(Upgrades!$T$13="Microlensing",POWER(Upgrades!$U$13,E95),1)*IF(Upgrades!$T$14="Microlensing",POWER(Upgrades!$U$14,F95),1)*IF(Upgrades!$T$16="Microlensing",POWER(Upgrades!$U$16,H95),1)*IF(Upgrades!$T$17="Microlensing",POWER(Upgrades!$U$17,I95),1)*IF(Upgrades!$T$18="Microlensing",POWER(Upgrades!$U$18,J95),1)*IF(Upgrades!$T$19="Microlensing",POWER(Upgrades!$U$19,K95),1)*IF(Upgrades!$T$20="Microlensing",POWER(Upgrades!$U$20,L95),1)*IF(Upgrades!$T$21="Microlensing",POWER(Upgrades!$U$21,M95),1))+(IF(H95=0,0,(Upgrades!$M$16+H95*Upgrades!$N$16)*POWER(Upgrades!$O$16,H95)))*(IF(Upgrades!$T$13="Roche Lobe Overflow",POWER(Upgrades!$U$13,E95),1)*IF(Upgrades!$T$14="Roche Lobe Overflow",POWER(Upgrades!$U$14,F95),1)*IF(Upgrades!$T$15="Roche Lobe Overflow",POWER(Upgrades!$U$15,G95),1)*IF(Upgrades!$T$17="Roche Lobe Overflow",POWER(Upgrades!$U$17,I95),1)*IF(Upgrades!$T$18="Roche Lobe Overflow",POWER(Upgrades!$U$18,J95),1)*IF(Upgrades!$T$19="Roche Lobe Overflow",POWER(Upgrades!$U$19,K95),1)*IF(Upgrades!$T$20="Roche Lobe Overflow",POWER(Upgrades!$U$20,L95),1)*IF(Upgrades!$T$21="Roche Lobe Overflow",POWER(Upgrades!$U$21,M95),1))+(IF(I95=0,0,(Upgrades!$M$17+I95*Upgrades!$N$17)*POWER(Upgrades!$O$17,I95)))*(IF(Upgrades!$T$13="Brown Dwarf",POWER(Upgrades!$U$13,E95),1)*IF(Upgrades!$T$14="Brown Dwarf",POWER(Upgrades!$U$14,F95),1)*IF(Upgrades!$T$15="Brown Dwarf",POWER(Upgrades!$U$15,G95),1)*IF(Upgrades!$T$16="Brown Dwarf",POWER(Upgrades!$U$16,H95),1)*IF(Upgrades!$T$18="Brown Dwarf",POWER(Upgrades!$U$18,J95),1)*IF(Upgrades!$T$19="Brown Dwarf",POWER(Upgrades!$U$19,K95),1)*IF(Upgrades!$T$20="Brown Dwarf",POWER(Upgrades!$U$20,L95),1)*IF(Upgrades!$T$21="Brown Dwarf",POWER(Upgrades!$U$21,M95),1))+(IF(J95=0,0,(Upgrades!$M$18+J95*Upgrades!$N$18)*POWER(Upgrades!$O$18,J95)))*(IF(Upgrades!$T$13="Binary Partner",POWER(Upgrades!$U$13,E95),1)*IF(Upgrades!$T$14="Binary Partner",POWER(Upgrades!$U$14,F95),1)*IF(Upgrades!$T$15="Binary Partner",POWER(Upgrades!$U$15,G95),1)*IF(Upgrades!$T$16="Binary Partner",POWER(Upgrades!$U$16,H95),1)*IF(Upgrades!$T$17="Binary Partner",POWER(Upgrades!$U$17,I95),1)*IF(Upgrades!$T$19="Binary Partner",POWER(Upgrades!$U$19,K95),1)*IF(Upgrades!$T$20="Binary Partner",POWER(Upgrades!$U$20,L95),1)*IF(Upgrades!$T$21="Binary Partner",POWER(Upgrades!$U$21,M95),1))+(IF(K95=0,0,(Upgrades!$M$19+K95*Upgrades!$N$19)*POWER(Upgrades!$O$19,K95)))*(IF(Upgrades!$T$13="Peculiar Velocity",POWER(Upgrades!$U$13,E95),1)*IF(Upgrades!$T$14="Peculiar Velocity",POWER(Upgrades!$U$14,F95),1)*IF(Upgrades!$T$15="Peculiar Velocity",POWER(Upgrades!$U$15,G95),1)*IF(Upgrades!$T$16="Peculiar Velocity",POWER(Upgrades!$U$16,H95),1)*IF(Upgrades!$T$17="Peculiar Velocity",POWER(Upgrades!$U$17,I95),1)*IF(Upgrades!$T$18="Peculiar Velocity",POWER(Upgrades!$U$18,J95),1)*IF(Upgrades!$T$20="Peculiar Velocity",POWER(Upgrades!$U$20,L95),1)*IF(Upgrades!$T$21="Peculiar Velocity",POWER(Upgrades!$U$21,M95),1))+(IF(L95=0,0,(Upgrades!$M$20+L95*Upgrades!$N$20)*POWER(Upgrades!$O$20,L95)))*(IF(Upgrades!$T$13="Open Cluster",POWER(Upgrades!$U$13,E95),1)*IF(Upgrades!$T$14="Open Cluster",POWER(Upgrades!$U$14,F95),1)*IF(Upgrades!$T$15="Open Cluster",POWER(Upgrades!$U$15,G95),1)*IF(Upgrades!$T$16="Open Cluster",POWER(Upgrades!$U$16,H95),1)*IF(Upgrades!$T$17="Open Cluster",POWER(Upgrades!$U$17,I95),1)*IF(Upgrades!$T$18="Open Cluster",POWER(Upgrades!$U$18,J95),1)*IF(Upgrades!$T$19="Open Cluster",POWER(Upgrades!$U$19,K95),1)*IF(Upgrades!$T$21="Open Cluster",POWER(Upgrades!$U$21,M95),1))+(IF(M95=0,0,(Upgrades!$M$21+M95*Upgrades!$N$21)*POWER(Upgrades!$O$21,M95)))*(IF(Upgrades!$T$13="Moving Group",POWER(Upgrades!$U$13,E95),1)*IF(Upgrades!$T$14="Moving Group",POWER(Upgrades!$U$14,F95),1)*IF(Upgrades!$T$15="Moving Group",POWER(Upgrades!$U$15,G95),1)*IF(Upgrades!$T$16="Moving Group",POWER(Upgrades!$U$16,H95),1)*IF(Upgrades!$T$17="Moving Group",POWER(Upgrades!$U$17,I95),1)*IF(Upgrades!$T$18="Moving Group",POWER(Upgrades!$U$18,J95),1)*IF(Upgrades!$T$19="Moving Group",POWER(Upgrades!$U$19,K95),1)*IF(Upgrades!$T$20="Moving Group",POWER(Upgrades!$U$20,L95),1)))*POWER(Upgrades!$R$13,E95)*POWER(Upgrades!$R$14,F95)*POWER(Upgrades!$R$15,G95)*POWER(Upgrades!$R$16,H95)*POWER(Upgrades!$R$17,I95)*POWER(Upgrades!$R$18,J95)*POWER(Upgrades!$R$19,K95)*POWER(Upgrades!$R$20,L95)*POWER(Upgrades!$R$21,M95)*$H$6+$E$6</f>
        <v/>
      </c>
      <c r="R95" s="27">
        <f>IF(N95=1,0,O95*Parameters!$B$10/60*Parameters!$B$11*10)</f>
        <v/>
      </c>
      <c r="S95" s="27">
        <f>IF(N95=1,0,Q95*O95*10)</f>
        <v/>
      </c>
      <c r="T95" s="27">
        <f>IF(N95=1,0,R95+S95+P95*10)</f>
        <v/>
      </c>
      <c r="U95" s="33">
        <f>BE95</f>
        <v/>
      </c>
      <c r="V95" s="22">
        <f>IF(U95="",0,IF(U95="transition",0,IF(U95="SK",AK95,IF(U95="LB",AL95,IF(U95="ML",AM95,IF(U95="RLO",AN95,IF(U95="BD",AO95,IF(U95="BiP",AP95,IF(U95="PV",AQ95,IF(U95="OC",AR95,IF(U95="MG",AS95,0))))))))))</f>
        <v/>
      </c>
      <c r="W95" s="27">
        <f>IF(U95="BiP",Upgrades!$F$18,IF(U95="PV",Upgrades!$F$19,IF(U95="OC",Upgrades!$F$20,IF(U95="MG",Upgrades!$F$21,IF(U95="transition",-Parameters!$B$18*Parameters!$B$19,0)))))</f>
        <v/>
      </c>
      <c r="X95" s="22">
        <f>C95+T95-V95</f>
        <v/>
      </c>
      <c r="Y95" s="30">
        <f>O95*Parameters!$B$10/60*Parameters!$B$11+Q95*O95+P95</f>
        <v/>
      </c>
      <c r="Z95" s="34">
        <f>IF(U95="transition","→ Tier 3 (Galactic Arm)",IF(U95="MG","Moving Group — pocket drifts together",IF(U95="OC","Open Cluster acquired",IF(U95="PV","Peculiar Velocity — passive multiplier active",IF(U95="BiP","Binary Partner — pair bond formed",IF(AND(AU95=1,N95=0,AT95&lt;&gt;1),"Cohesion ready (waiting on completionists)","")))))) </f>
        <v/>
      </c>
      <c r="AA95" s="27">
        <f>(IF(E95=0,0,(Upgrades!$G$13+E95*Upgrades!$H$13)*POWER(Upgrades!$I$13,E95)))*(IF(Upgrades!$T$14="Stellar Kinematics",POWER(Upgrades!$U$14,F95),1)*IF(Upgrades!$T$15="Stellar Kinematics",POWER(Upgrades!$U$15,G95),1)*IF(Upgrades!$T$16="Stellar Kinematics",POWER(Upgrades!$U$16,H95),1)*IF(Upgrades!$T$17="Stellar Kinematics",POWER(Upgrades!$U$17,I95),1)*IF(Upgrades!$T$18="Stellar Kinematics",POWER(Upgrades!$U$18,J95),1)*IF(Upgrades!$T$19="Stellar Kinematics",POWER(Upgrades!$U$19,K95),1)*IF(Upgrades!$T$20="Stellar Kinematics",POWER(Upgrades!$U$20,L95),1)*IF(Upgrades!$T$21="Stellar Kinematics",POWER(Upgrades!$U$21,M95),1))*POWER(Upgrades!$P$13,E95)*POWER(Upgrades!$P$14,F95)*POWER(Upgrades!$P$15,G95)*POWER(Upgrades!$P$16,H95)*POWER(Upgrades!$P$17,I95)*POWER(Upgrades!$P$18,J95)*POWER(Upgrades!$P$19,K95)*POWER(Upgrades!$P$20,L95)*POWER(Upgrades!$P$21,M95)*$F$6*60</f>
        <v/>
      </c>
      <c r="AB95" s="27">
        <f>(IF(F95=0,0,(Upgrades!$G$14+F95*Upgrades!$H$14)*POWER(Upgrades!$I$14,F95)))*(IF(Upgrades!$T$13="Local Bubble",POWER(Upgrades!$U$13,E95),1)*IF(Upgrades!$T$15="Local Bubble",POWER(Upgrades!$U$15,G95),1)*IF(Upgrades!$T$16="Local Bubble",POWER(Upgrades!$U$16,H95),1)*IF(Upgrades!$T$17="Local Bubble",POWER(Upgrades!$U$17,I95),1)*IF(Upgrades!$T$18="Local Bubble",POWER(Upgrades!$U$18,J95),1)*IF(Upgrades!$T$19="Local Bubble",POWER(Upgrades!$U$19,K95),1)*IF(Upgrades!$T$20="Local Bubble",POWER(Upgrades!$U$20,L95),1)*IF(Upgrades!$T$21="Local Bubble",POWER(Upgrades!$U$21,M95),1))*POWER(Upgrades!$P$13,E95)*POWER(Upgrades!$P$14,F95)*POWER(Upgrades!$P$15,G95)*POWER(Upgrades!$P$16,H95)*POWER(Upgrades!$P$17,I95)*POWER(Upgrades!$P$18,J95)*POWER(Upgrades!$P$19,K95)*POWER(Upgrades!$P$20,L95)*POWER(Upgrades!$P$21,M95)*$F$6*60</f>
        <v/>
      </c>
      <c r="AC95" s="27">
        <f>(IF(G95=0,0,(Upgrades!$J$15+G95*Upgrades!$K$15)*POWER(Upgrades!$L$15,G95)))*(IF(Upgrades!$T$13="Microlensing",POWER(Upgrades!$U$13,E95),1)*IF(Upgrades!$T$14="Microlensing",POWER(Upgrades!$U$14,F95),1)*IF(Upgrades!$T$16="Microlensing",POWER(Upgrades!$U$16,H95),1)*IF(Upgrades!$T$17="Microlensing",POWER(Upgrades!$U$17,I95),1)*IF(Upgrades!$T$18="Microlensing",POWER(Upgrades!$U$18,J95),1)*IF(Upgrades!$T$19="Microlensing",POWER(Upgrades!$U$19,K95),1)*IF(Upgrades!$T$20="Microlensing",POWER(Upgrades!$U$20,L95),1)*IF(Upgrades!$T$21="Microlensing",POWER(Upgrades!$U$21,M95),1))*POWER(Upgrades!$Q$13,E95)*POWER(Upgrades!$Q$14,F95)*POWER(Upgrades!$Q$15,G95)*POWER(Upgrades!$Q$16,H95)*POWER(Upgrades!$Q$17,I95)*POWER(Upgrades!$Q$18,J95)*POWER(Upgrades!$Q$19,K95)*POWER(Upgrades!$Q$20,L95)*POWER(Upgrades!$Q$21,M95)*$G$6*(Parameters!$B$10*Parameters!$B$11+Q95*60)</f>
        <v/>
      </c>
      <c r="AD95" s="27">
        <f>(IF(H95=0,0,(Upgrades!$M$16+H95*Upgrades!$N$16)*POWER(Upgrades!$O$16,H95)))*(IF(Upgrades!$T$13="Roche Lobe Overflow",POWER(Upgrades!$U$13,E95),1)*IF(Upgrades!$T$14="Roche Lobe Overflow",POWER(Upgrades!$U$14,F95),1)*IF(Upgrades!$T$15="Roche Lobe Overflow",POWER(Upgrades!$U$15,G95),1)*IF(Upgrades!$T$17="Roche Lobe Overflow",POWER(Upgrades!$U$17,I95),1)*IF(Upgrades!$T$18="Roche Lobe Overflow",POWER(Upgrades!$U$18,J95),1)*IF(Upgrades!$T$19="Roche Lobe Overflow",POWER(Upgrades!$U$19,K95),1)*IF(Upgrades!$T$20="Roche Lobe Overflow",POWER(Upgrades!$U$20,L95),1)*IF(Upgrades!$T$21="Roche Lobe Overflow",POWER(Upgrades!$U$21,M95),1))*POWER(Upgrades!$R$13,E95)*POWER(Upgrades!$R$14,F95)*POWER(Upgrades!$R$15,G95)*POWER(Upgrades!$R$16,H95)*POWER(Upgrades!$R$17,I95)*POWER(Upgrades!$R$18,J95)*POWER(Upgrades!$R$19,K95)*POWER(Upgrades!$R$20,L95)*POWER(Upgrades!$R$21,M95)*$H$6*O95*60</f>
        <v/>
      </c>
      <c r="AE95" s="27">
        <f>(IF(I95=0,0,(Upgrades!$G$17+I95*Upgrades!$H$17)*POWER(Upgrades!$I$17,I95)))*(IF(Upgrades!$T$13="Brown Dwarf",POWER(Upgrades!$U$13,E95),1)*IF(Upgrades!$T$14="Brown Dwarf",POWER(Upgrades!$U$14,F95),1)*IF(Upgrades!$T$15="Brown Dwarf",POWER(Upgrades!$U$15,G95),1)*IF(Upgrades!$T$16="Brown Dwarf",POWER(Upgrades!$U$16,H95),1)*IF(Upgrades!$T$18="Brown Dwarf",POWER(Upgrades!$U$18,J95),1)*IF(Upgrades!$T$19="Brown Dwarf",POWER(Upgrades!$U$19,K95),1)*IF(Upgrades!$T$20="Brown Dwarf",POWER(Upgrades!$U$20,L95),1)*IF(Upgrades!$T$21="Brown Dwarf",POWER(Upgrades!$U$21,M95),1))*POWER(Upgrades!$P$13,E95)*POWER(Upgrades!$P$14,F95)*POWER(Upgrades!$P$15,G95)*POWER(Upgrades!$P$16,H95)*POWER(Upgrades!$P$17,I95)*POWER(Upgrades!$P$18,J95)*POWER(Upgrades!$P$19,K95)*POWER(Upgrades!$P$20,L95)*POWER(Upgrades!$P$21,M95)*$F$6*60</f>
        <v/>
      </c>
      <c r="AF95" s="27" t="n">
        <v>0</v>
      </c>
      <c r="AG95" s="27" t="n">
        <v>0</v>
      </c>
      <c r="AH95" s="27" t="n">
        <v>0</v>
      </c>
      <c r="AI95" s="27">
        <f>(IF(M95=0,0,(Upgrades!$G$21+M95*Upgrades!$H$21)*POWER(Upgrades!$I$21,M95)))*(IF(Upgrades!$T$13="Moving Group",POWER(Upgrades!$U$13,E95),1)*IF(Upgrades!$T$14="Moving Group",POWER(Upgrades!$U$14,F95),1)*IF(Upgrades!$T$15="Moving Group",POWER(Upgrades!$U$15,G95),1)*IF(Upgrades!$T$16="Moving Group",POWER(Upgrades!$U$16,H95),1)*IF(Upgrades!$T$17="Moving Group",POWER(Upgrades!$U$17,I95),1)*IF(Upgrades!$T$18="Moving Group",POWER(Upgrades!$U$18,J95),1)*IF(Upgrades!$T$19="Moving Group",POWER(Upgrades!$U$19,K95),1)*IF(Upgrades!$T$20="Moving Group",POWER(Upgrades!$U$20,L95),1))*POWER(Upgrades!$P$13,E95)*POWER(Upgrades!$P$14,F95)*POWER(Upgrades!$P$15,G95)*POWER(Upgrades!$P$16,H95)*POWER(Upgrades!$P$17,I95)*POWER(Upgrades!$P$18,J95)*POWER(Upgrades!$P$19,K95)*POWER(Upgrades!$P$20,L95)*POWER(Upgrades!$P$21,M95)*$F$6*60</f>
        <v/>
      </c>
      <c r="AJ95" s="27">
        <f>$C$6*60</f>
        <v/>
      </c>
      <c r="AK95" s="22">
        <f>IF(E95&gt;=Upgrades!$E$13,"",Upgrades!$C$13*POWER(Upgrades!$D$13,E95))</f>
        <v/>
      </c>
      <c r="AL95" s="22">
        <f>IF(F95&gt;=Upgrades!$E$14,"",Upgrades!$C$14*POWER(Upgrades!$D$14,F95))</f>
        <v/>
      </c>
      <c r="AM95" s="22">
        <f>IF(G95&gt;=Upgrades!$E$15,"",Upgrades!$C$15*POWER(Upgrades!$D$15,G95))</f>
        <v/>
      </c>
      <c r="AN95" s="22">
        <f>IF(H95&gt;=Upgrades!$E$16,"",Upgrades!$C$16*POWER(Upgrades!$D$16,H95))</f>
        <v/>
      </c>
      <c r="AO95" s="22">
        <f>IF(I95&gt;=Upgrades!$E$17,"",Upgrades!$C$17*POWER(Upgrades!$D$17,I95))</f>
        <v/>
      </c>
      <c r="AP95" s="22">
        <f>IF(J95&gt;=Upgrades!$E$18,"",Upgrades!$C$18*POWER(Upgrades!$D$18,J95))</f>
        <v/>
      </c>
      <c r="AQ95" s="22">
        <f>IF(K95&gt;=Upgrades!$E$19,"",Upgrades!$C$19*POWER(Upgrades!$D$19,K95))</f>
        <v/>
      </c>
      <c r="AR95" s="22">
        <f>IF(L95&gt;=Upgrades!$E$20,"",Upgrades!$C$20*POWER(Upgrades!$D$20,L95))</f>
        <v/>
      </c>
      <c r="AS95" s="22">
        <f>IF(M95&gt;=Upgrades!$E$21,"",Upgrades!$C$21*POWER(Upgrades!$D$21,M95))</f>
        <v/>
      </c>
      <c r="AT95" s="26">
        <f>IF(AND(D95&gt;=Parameters!$B$18*Parameters!$B$19,(I95&gt;=Upgrades!$E$17)*(M95&gt;=Upgrades!$E$21)=1,N95=0),1,"")</f>
        <v/>
      </c>
      <c r="AU95" s="26">
        <f>IF(AND(D95&gt;=Parameters!$B$18*Parameters!$B$19,N95=0),1,"")</f>
        <v/>
      </c>
      <c r="AV95" s="22">
        <f>MIN(IF(ISNUMBER(AP95),AP95,9E15),IF(ISNUMBER(AQ95),AQ95,9E15),IF(ISNUMBER(AR95),AR95,9E15),IF(ISNUMBER(AS95),AS95,9E15))</f>
        <v/>
      </c>
      <c r="AW95" s="22">
        <f>MIN(IF(ISNUMBER(AK95),AK95,9E15),IF(ISNUMBER(AL95),AL95,9E15),IF(ISNUMBER(AM95),AM95,9E15),IF(ISNUMBER(AN95),AN95,9E15),IF(ISNUMBER(AO95),AO95,9E15))</f>
        <v/>
      </c>
      <c r="AX95" s="29">
        <f>IF(BD95&gt;Parameters!$B$21*(MAX(IF(AND(NOT(AND(AU95=1,AT95&lt;&gt;1)),ISNUMBER(AK95),AK95&lt;=(C95+T95)),AY95,0),IF(AND(NOT(AND(AU95=1,AT95&lt;&gt;1)),ISNUMBER(AL95),AL95&lt;=(C95+T95)),AZ95,0),IF(AND(NOT(AND(AU95=1,AT95&lt;&gt;1)),ISNUMBER(AM95),AM95&lt;=(C95+T95)),BA95,0),IF(AND(NOT(AND(AU95=1,AT95&lt;&gt;1)),ISNUMBER(AN95),AN95&lt;=(C95+T95)),BB95,0),IF(AND(ISNUMBER(AO95),AO95&lt;=(C95+T95)),BC95,0))),TRUE,FALSE)</f>
        <v/>
      </c>
      <c r="AY95" s="32">
        <f>IFERROR(Upgrades!$H$13*(POWER(Upgrades!$P$13,E95)*POWER(Upgrades!$P$14,F95)*POWER(Upgrades!$P$15,G95)*POWER(Upgrades!$P$16,H95)*POWER(Upgrades!$P$17,I95)*POWER(Upgrades!$P$18,J95)*POWER(Upgrades!$P$19,K95)*POWER(Upgrades!$P$20,L95)*POWER(Upgrades!$P$21,M95))*(IF(Upgrades!$T$14="Stellar Kinematics",POWER(Upgrades!$U$14,F95),1)*IF(Upgrades!$T$15="Stellar Kinematics",POWER(Upgrades!$U$15,G95),1)*IF(Upgrades!$T$16="Stellar Kinematics",POWER(Upgrades!$U$16,H95),1)*IF(Upgrades!$T$17="Stellar Kinematics",POWER(Upgrades!$U$17,I95),1)*IF(Upgrades!$T$18="Stellar Kinematics",POWER(Upgrades!$U$18,J95),1)*IF(Upgrades!$T$19="Stellar Kinematics",POWER(Upgrades!$U$19,K95),1)*IF(Upgrades!$T$20="Stellar Kinematics",POWER(Upgrades!$U$20,L95),1)*IF(Upgrades!$T$21="Stellar Kinematics",POWER(Upgrades!$U$21,M95),1))*$F$6/AK95,0)</f>
        <v/>
      </c>
      <c r="AZ95" s="32">
        <f>IFERROR(Upgrades!$H$14*(POWER(Upgrades!$P$13,E95)*POWER(Upgrades!$P$14,F95)*POWER(Upgrades!$P$15,G95)*POWER(Upgrades!$P$16,H95)*POWER(Upgrades!$P$17,I95)*POWER(Upgrades!$P$18,J95)*POWER(Upgrades!$P$19,K95)*POWER(Upgrades!$P$20,L95)*POWER(Upgrades!$P$21,M95))*(IF(Upgrades!$T$13="Local Bubble",POWER(Upgrades!$U$13,E95),1)*IF(Upgrades!$T$15="Local Bubble",POWER(Upgrades!$U$15,G95),1)*IF(Upgrades!$T$16="Local Bubble",POWER(Upgrades!$U$16,H95),1)*IF(Upgrades!$T$17="Local Bubble",POWER(Upgrades!$U$17,I95),1)*IF(Upgrades!$T$18="Local Bubble",POWER(Upgrades!$U$18,J95),1)*IF(Upgrades!$T$19="Local Bubble",POWER(Upgrades!$U$19,K95),1)*IF(Upgrades!$T$20="Local Bubble",POWER(Upgrades!$U$20,L95),1)*IF(Upgrades!$T$21="Local Bubble",POWER(Upgrades!$U$21,M95),1))*$F$6/AL95,0)</f>
        <v/>
      </c>
      <c r="BA95" s="32">
        <f>IFERROR(Upgrades!$K$15*(POWER(Upgrades!$Q$13,E95)*POWER(Upgrades!$Q$14,F95)*POWER(Upgrades!$Q$15,G95)*POWER(Upgrades!$Q$16,H95)*POWER(Upgrades!$Q$17,I95)*POWER(Upgrades!$Q$18,J95)*POWER(Upgrades!$Q$19,K95)*POWER(Upgrades!$Q$20,L95)*POWER(Upgrades!$Q$21,M95))*(IF(Upgrades!$T$13="Microlensing",POWER(Upgrades!$U$13,E95),1)*IF(Upgrades!$T$14="Microlensing",POWER(Upgrades!$U$14,F95),1)*IF(Upgrades!$T$16="Microlensing",POWER(Upgrades!$U$16,H95),1)*IF(Upgrades!$T$17="Microlensing",POWER(Upgrades!$U$17,I95),1)*IF(Upgrades!$T$18="Microlensing",POWER(Upgrades!$U$18,J95),1)*IF(Upgrades!$T$19="Microlensing",POWER(Upgrades!$U$19,K95),1)*IF(Upgrades!$T$20="Microlensing",POWER(Upgrades!$U$20,L95),1)*IF(Upgrades!$T$21="Microlensing",POWER(Upgrades!$U$21,M95),1))*$G$6*(Parameters!$B$10/60*Parameters!$B$11+Q95)/AM95,0)</f>
        <v/>
      </c>
      <c r="BB95" s="32">
        <f>IFERROR((Upgrades!$N$16*(POWER(Upgrades!$R$13,E95)*POWER(Upgrades!$R$14,F95)*POWER(Upgrades!$R$15,G95)*POWER(Upgrades!$R$16,H95)*POWER(Upgrades!$R$17,I95)*POWER(Upgrades!$R$18,J95)*POWER(Upgrades!$R$19,K95)*POWER(Upgrades!$R$20,L95)*POWER(Upgrades!$R$21,M95))*(IF(Upgrades!$T$13="Roche Lobe Overflow",POWER(Upgrades!$U$13,E95),1)*IF(Upgrades!$T$14="Roche Lobe Overflow",POWER(Upgrades!$U$14,F95),1)*IF(Upgrades!$T$15="Roche Lobe Overflow",POWER(Upgrades!$U$15,G95),1)*IF(Upgrades!$T$17="Roche Lobe Overflow",POWER(Upgrades!$U$17,I95),1)*IF(Upgrades!$T$18="Roche Lobe Overflow",POWER(Upgrades!$U$18,J95),1)*IF(Upgrades!$T$19="Roche Lobe Overflow",POWER(Upgrades!$U$19,K95),1)*IF(Upgrades!$T$20="Roche Lobe Overflow",POWER(Upgrades!$U$20,L95),1)*IF(Upgrades!$T$21="Roche Lobe Overflow",POWER(Upgrades!$U$21,M95),1))*$H$6*O95+((IF(F95=0,0,(Upgrades!$G$14+F95*Upgrades!$H$14)*POWER(Upgrades!$I$14,F95)))*(IF(Upgrades!$T$13="Local Bubble",POWER(Upgrades!$U$13,E95),1)*IF(Upgrades!$T$15="Local Bubble",POWER(Upgrades!$U$15,G95),1)*IF(Upgrades!$T$16="Local Bubble",POWER(Upgrades!$U$16,H95),1)*IF(Upgrades!$T$17="Local Bubble",POWER(Upgrades!$U$17,I95),1)*IF(Upgrades!$T$18="Local Bubble",POWER(Upgrades!$U$18,J95),1)*IF(Upgrades!$T$19="Local Bubble",POWER(Upgrades!$U$19,K95),1)*IF(Upgrades!$T$20="Local Bubble",POWER(Upgrades!$U$20,L95),1)*IF(Upgrades!$T$21="Local Bubble",POWER(Upgrades!$U$21,M95),1))*POWER(Upgrades!$P$13,E95)*POWER(Upgrades!$P$14,F95)*POWER(Upgrades!$P$15,G95)*POWER(Upgrades!$P$16,H95)*POWER(Upgrades!$P$17,I95)*POWER(Upgrades!$P$18,J95)*POWER(Upgrades!$P$19,K95)*POWER(Upgrades!$P$20,L95)*POWER(Upgrades!$P$21,M95)*$F$6)*0.05)/AN95,0)</f>
        <v/>
      </c>
      <c r="BC95" s="32">
        <f>IFERROR((Upgrades!$H$17*(POWER(Upgrades!$P$13,E95)*POWER(Upgrades!$P$14,F95)*POWER(Upgrades!$P$15,G95)*POWER(Upgrades!$P$16,H95)*POWER(Upgrades!$P$17,I95)*POWER(Upgrades!$P$18,J95)*POWER(Upgrades!$P$19,K95)*POWER(Upgrades!$P$20,L95)*POWER(Upgrades!$P$21,M95))*(IF(Upgrades!$T$13="Brown Dwarf",POWER(Upgrades!$U$13,E95),1)*IF(Upgrades!$T$14="Brown Dwarf",POWER(Upgrades!$U$14,F95),1)*IF(Upgrades!$T$15="Brown Dwarf",POWER(Upgrades!$U$15,G95),1)*IF(Upgrades!$T$16="Brown Dwarf",POWER(Upgrades!$U$16,H95),1)*IF(Upgrades!$T$18="Brown Dwarf",POWER(Upgrades!$U$18,J95),1)*IF(Upgrades!$T$19="Brown Dwarf",POWER(Upgrades!$U$19,K95),1)*IF(Upgrades!$T$20="Brown Dwarf",POWER(Upgrades!$U$20,L95),1)*IF(Upgrades!$T$21="Brown Dwarf",POWER(Upgrades!$U$21,M95),1))*$F$6+(((IF(H95=0,0,(Upgrades!$M$16+H95*Upgrades!$N$16)*POWER(Upgrades!$O$16,H95)))*(IF(Upgrades!$T$13="Roche Lobe Overflow",POWER(Upgrades!$U$13,E95),1)*IF(Upgrades!$T$14="Roche Lobe Overflow",POWER(Upgrades!$U$14,F95),1)*IF(Upgrades!$T$15="Roche Lobe Overflow",POWER(Upgrades!$U$15,G95),1)*IF(Upgrades!$T$17="Roche Lobe Overflow",POWER(Upgrades!$U$17,I95),1)*IF(Upgrades!$T$18="Roche Lobe Overflow",POWER(Upgrades!$U$18,J95),1)*IF(Upgrades!$T$19="Roche Lobe Overflow",POWER(Upgrades!$U$19,K95),1)*IF(Upgrades!$T$20="Roche Lobe Overflow",POWER(Upgrades!$U$20,L95),1)*IF(Upgrades!$T$21="Roche Lobe Overflow",POWER(Upgrades!$U$21,M95),1))*POWER(Upgrades!$R$13,E95)*POWER(Upgrades!$R$14,F95)*POWER(Upgrades!$R$15,G95)*POWER(Upgrades!$R$16,H95)*POWER(Upgrades!$R$17,I95)*POWER(Upgrades!$R$18,J95)*POWER(Upgrades!$R$19,K95)*POWER(Upgrades!$R$20,L95)*POWER(Upgrades!$R$21,M95)*$H$6)*O95)*0.10)/AO95,0)</f>
        <v/>
      </c>
      <c r="BD95" s="32">
        <f>MAX(IF(J95&gt;0,0,IFERROR(0.5*((IF(G95=0,0,(Upgrades!$J$15+G95*Upgrades!$K$15)*POWER(Upgrades!$L$15,G95)))*(IF(Upgrades!$T$13="Microlensing",POWER(Upgrades!$U$13,E95),1)*IF(Upgrades!$T$14="Microlensing",POWER(Upgrades!$U$14,F95),1)*IF(Upgrades!$T$16="Microlensing",POWER(Upgrades!$U$16,H95),1)*IF(Upgrades!$T$17="Microlensing",POWER(Upgrades!$U$17,I95),1)*IF(Upgrades!$T$18="Microlensing",POWER(Upgrades!$U$18,J95),1)*IF(Upgrades!$T$19="Microlensing",POWER(Upgrades!$U$19,K95),1)*IF(Upgrades!$T$20="Microlensing",POWER(Upgrades!$U$20,L95),1)*IF(Upgrades!$T$21="Microlensing",POWER(Upgrades!$U$21,M95),1))*(POWER(Upgrades!$Q$13,E95)*POWER(Upgrades!$Q$14,F95)*POWER(Upgrades!$Q$15,G95)*POWER(Upgrades!$Q$16,H95)*POWER(Upgrades!$Q$17,I95)*POWER(Upgrades!$Q$18,J95)*POWER(Upgrades!$Q$19,K95)*POWER(Upgrades!$Q$20,L95)*POWER(Upgrades!$Q$21,M95))*$G$6*(Parameters!$B$10/60*Parameters!$B$11+Q95))/Upgrades!$C$18,0)),IF(K95&gt;0,0,IFERROR(0.30*P95/Upgrades!$C$19,0)),IF(L95&gt;0,0,IFERROR(0.0001/Upgrades!$C$20,0)),IF(M95&gt;0,0,IFERROR((6.0*(POWER(Upgrades!$P$13,E95)*POWER(Upgrades!$P$14,F95)*POWER(Upgrades!$P$15,G95)*POWER(Upgrades!$P$16,H95)*POWER(Upgrades!$P$17,I95)*POWER(Upgrades!$P$18,J95)*POWER(Upgrades!$P$19,K95)*POWER(Upgrades!$P$20,L95)*POWER(Upgrades!$P$21,M95))*$F$6+0.20*O95*(Parameters!$B$10/60*Parameters!$B$11+Q95))/Upgrades!$C$21,0)),IF(AND(ISNUMBER(AK95),AK95&gt;(C95+T95)),AY95,0),IF(AND(ISNUMBER(AL95),AL95&gt;(C95+T95)),AZ95,0),IF(AND(ISNUMBER(AM95),AM95&gt;(C95+T95)),BA95,0),IF(AND(ISNUMBER(AN95),AN95&gt;(C95+T95)),BB95,0),IF(AND(ISNUMBER(AO95),AO95&gt;(C95+T95)),BC95,0))</f>
        <v/>
      </c>
      <c r="BE95" s="29">
        <f>IF(AT95=1,"transition",IF(MIN(IF(AND(J95=0,ISNUMBER(AP95),AP95&lt;=(C95+T95)),AP95,9E15),IF(AND(K95=0,ISNUMBER(AQ95),AQ95&lt;=(C95+T95)),AQ95,9E15),IF(AND(L95=0,ISNUMBER(AR95),AR95&lt;=(C95+T95)),AR95,9E15),IF(AND(M95=0,ISNUMBER(AS95),AS95&lt;=(C95+T95)),AS95,9E15))&lt;9E15,IF(AND(AND(J95=0,ISNUMBER(AP95),AP95&lt;=(C95+T95)),AP95=MIN(IF(AND(J95=0,ISNUMBER(AP95),AP95&lt;=(C95+T95)),AP95,9E15),IF(AND(K95=0,ISNUMBER(AQ95),AQ95&lt;=(C95+T95)),AQ95,9E15),IF(AND(L95=0,ISNUMBER(AR95),AR95&lt;=(C95+T95)),AR95,9E15),IF(AND(M95=0,ISNUMBER(AS95),AS95&lt;=(C95+T95)),AS95,9E15))),"BiP",IF(AND(AND(K95=0,ISNUMBER(AQ95),AQ95&lt;=(C95+T95)),AQ95=MIN(IF(AND(J95=0,ISNUMBER(AP95),AP95&lt;=(C95+T95)),AP95,9E15),IF(AND(K95=0,ISNUMBER(AQ95),AQ95&lt;=(C95+T95)),AQ95,9E15),IF(AND(L95=0,ISNUMBER(AR95),AR95&lt;=(C95+T95)),AR95,9E15),IF(AND(M95=0,ISNUMBER(AS95),AS95&lt;=(C95+T95)),AS95,9E15))),"PV",IF(AND(AND(L95=0,ISNUMBER(AR95),AR95&lt;=(C95+T95)),AR95=MIN(IF(AND(J95=0,ISNUMBER(AP95),AP95&lt;=(C95+T95)),AP95,9E15),IF(AND(K95=0,ISNUMBER(AQ95),AQ95&lt;=(C95+T95)),AQ95,9E15),IF(AND(L95=0,ISNUMBER(AR95),AR95&lt;=(C95+T95)),AR95,9E15),IF(AND(M95=0,ISNUMBER(AS95),AS95&lt;=(C95+T95)),AS95,9E15))),"OC","MG"))),IF(AX95=TRUE,"",IF(MAX(IF(AND(NOT(AND(AU95=1,AT95&lt;&gt;1)),ISNUMBER(AK95),AK95&lt;=(C95+T95)),AY95,0),IF(AND(NOT(AND(AU95=1,AT95&lt;&gt;1)),ISNUMBER(AL95),AL95&lt;=(C95+T95)),AZ95,0),IF(AND(NOT(AND(AU95=1,AT95&lt;&gt;1)),ISNUMBER(AM95),AM95&lt;=(C95+T95)),BA95,0),IF(AND(NOT(AND(AU95=1,AT95&lt;&gt;1)),ISNUMBER(AN95),AN95&lt;=(C95+T95)),BB95,0),IF(AND(ISNUMBER(AO95),AO95&lt;=(C95+T95)),BC95,0))&lt;=0,"",IF(AND(IF(AND(NOT(AND(AU95=1,AT95&lt;&gt;1)),ISNUMBER(AK95),AK95&lt;=(C95+T95)),AY95,0)&gt;0,IF(AND(NOT(AND(AU95=1,AT95&lt;&gt;1)),ISNUMBER(AK95),AK95&lt;=(C95+T95)),AY95,0)=MAX(IF(AND(NOT(AND(AU95=1,AT95&lt;&gt;1)),ISNUMBER(AK95),AK95&lt;=(C95+T95)),AY95,0),IF(AND(NOT(AND(AU95=1,AT95&lt;&gt;1)),ISNUMBER(AL95),AL95&lt;=(C95+T95)),AZ95,0),IF(AND(NOT(AND(AU95=1,AT95&lt;&gt;1)),ISNUMBER(AM95),AM95&lt;=(C95+T95)),BA95,0),IF(AND(NOT(AND(AU95=1,AT95&lt;&gt;1)),ISNUMBER(AN95),AN95&lt;=(C95+T95)),BB95,0),IF(AND(ISNUMBER(AO95),AO95&lt;=(C95+T95)),BC95,0))),"SK",IF(AND(IF(AND(NOT(AND(AU95=1,AT95&lt;&gt;1)),ISNUMBER(AL95),AL95&lt;=(C95+T95)),AZ95,0)&gt;0,IF(AND(NOT(AND(AU95=1,AT95&lt;&gt;1)),ISNUMBER(AL95),AL95&lt;=(C95+T95)),AZ95,0)=MAX(IF(AND(NOT(AND(AU95=1,AT95&lt;&gt;1)),ISNUMBER(AK95),AK95&lt;=(C95+T95)),AY95,0),IF(AND(NOT(AND(AU95=1,AT95&lt;&gt;1)),ISNUMBER(AL95),AL95&lt;=(C95+T95)),AZ95,0),IF(AND(NOT(AND(AU95=1,AT95&lt;&gt;1)),ISNUMBER(AM95),AM95&lt;=(C95+T95)),BA95,0),IF(AND(NOT(AND(AU95=1,AT95&lt;&gt;1)),ISNUMBER(AN95),AN95&lt;=(C95+T95)),BB95,0),IF(AND(ISNUMBER(AO95),AO95&lt;=(C95+T95)),BC95,0))),"LB",IF(AND(IF(AND(NOT(AND(AU95=1,AT95&lt;&gt;1)),ISNUMBER(AM95),AM95&lt;=(C95+T95)),BA95,0)&gt;0,IF(AND(NOT(AND(AU95=1,AT95&lt;&gt;1)),ISNUMBER(AM95),AM95&lt;=(C95+T95)),BA95,0)=MAX(IF(AND(NOT(AND(AU95=1,AT95&lt;&gt;1)),ISNUMBER(AK95),AK95&lt;=(C95+T95)),AY95,0),IF(AND(NOT(AND(AU95=1,AT95&lt;&gt;1)),ISNUMBER(AL95),AL95&lt;=(C95+T95)),AZ95,0),IF(AND(NOT(AND(AU95=1,AT95&lt;&gt;1)),ISNUMBER(AM95),AM95&lt;=(C95+T95)),BA95,0),IF(AND(NOT(AND(AU95=1,AT95&lt;&gt;1)),ISNUMBER(AN95),AN95&lt;=(C95+T95)),BB95,0),IF(AND(ISNUMBER(AO95),AO95&lt;=(C95+T95)),BC95,0))),"ML",IF(AND(IF(AND(NOT(AND(AU95=1,AT95&lt;&gt;1)),ISNUMBER(AN95),AN95&lt;=(C95+T95)),BB95,0)&gt;0,IF(AND(NOT(AND(AU95=1,AT95&lt;&gt;1)),ISNUMBER(AN95),AN95&lt;=(C95+T95)),BB95,0)=MAX(IF(AND(NOT(AND(AU95=1,AT95&lt;&gt;1)),ISNUMBER(AK95),AK95&lt;=(C95+T95)),AY95,0),IF(AND(NOT(AND(AU95=1,AT95&lt;&gt;1)),ISNUMBER(AL95),AL95&lt;=(C95+T95)),AZ95,0),IF(AND(NOT(AND(AU95=1,AT95&lt;&gt;1)),ISNUMBER(AM95),AM95&lt;=(C95+T95)),BA95,0),IF(AND(NOT(AND(AU95=1,AT95&lt;&gt;1)),ISNUMBER(AN95),AN95&lt;=(C95+T95)),BB95,0),IF(AND(ISNUMBER(AO95),AO95&lt;=(C95+T95)),BC95,0))),"RLO","BD"))))))))</f>
        <v/>
      </c>
    </row>
    <row r="96">
      <c r="A96" s="26" t="n">
        <v>85</v>
      </c>
      <c r="B96" s="27">
        <f>A96*10/60</f>
        <v/>
      </c>
      <c r="C96" s="22">
        <f>X95</f>
        <v/>
      </c>
      <c r="D96" s="27">
        <f>D95+W95</f>
        <v/>
      </c>
      <c r="E96" s="26">
        <f>E95+IF(U95="SK",1,0)</f>
        <v/>
      </c>
      <c r="F96" s="26">
        <f>F95+IF(U95="LB",1,0)</f>
        <v/>
      </c>
      <c r="G96" s="26">
        <f>G95+IF(U95="ML",1,0)</f>
        <v/>
      </c>
      <c r="H96" s="26">
        <f>H95+IF(U95="RLO",1,0)</f>
        <v/>
      </c>
      <c r="I96" s="26">
        <f>I95+IF(U95="BD",1,0)</f>
        <v/>
      </c>
      <c r="J96" s="26">
        <f>MAX(J95,IF(U95="BiP",1,0))</f>
        <v/>
      </c>
      <c r="K96" s="26">
        <f>MAX(K95,IF(U95="PV",1,0))</f>
        <v/>
      </c>
      <c r="L96" s="26">
        <f>MAX(L95,IF(U95="OC",1,0))</f>
        <v/>
      </c>
      <c r="M96" s="26">
        <f>MAX(M95,IF(U95="MG",1,0))</f>
        <v/>
      </c>
      <c r="N96" s="26">
        <f>MAX(N95,IF(U95="transition",1,0))</f>
        <v/>
      </c>
      <c r="O96" s="28">
        <f>(Parameters!$B$9+(IF(E96=0,0,(Upgrades!$J$13+E96*Upgrades!$K$13)*POWER(Upgrades!$L$13,E96)))*(IF(Upgrades!$T$14="Stellar Kinematics",POWER(Upgrades!$U$14,F96),1)*IF(Upgrades!$T$15="Stellar Kinematics",POWER(Upgrades!$U$15,G96),1)*IF(Upgrades!$T$16="Stellar Kinematics",POWER(Upgrades!$U$16,H96),1)*IF(Upgrades!$T$17="Stellar Kinematics",POWER(Upgrades!$U$17,I96),1)*IF(Upgrades!$T$18="Stellar Kinematics",POWER(Upgrades!$U$18,J96),1)*IF(Upgrades!$T$19="Stellar Kinematics",POWER(Upgrades!$U$19,K96),1)*IF(Upgrades!$T$20="Stellar Kinematics",POWER(Upgrades!$U$20,L96),1)*IF(Upgrades!$T$21="Stellar Kinematics",POWER(Upgrades!$U$21,M96),1))+(IF(F96=0,0,(Upgrades!$J$14+F96*Upgrades!$K$14)*POWER(Upgrades!$L$14,F96)))*(IF(Upgrades!$T$13="Local Bubble",POWER(Upgrades!$U$13,E96),1)*IF(Upgrades!$T$15="Local Bubble",POWER(Upgrades!$U$15,G96),1)*IF(Upgrades!$T$16="Local Bubble",POWER(Upgrades!$U$16,H96),1)*IF(Upgrades!$T$17="Local Bubble",POWER(Upgrades!$U$17,I96),1)*IF(Upgrades!$T$18="Local Bubble",POWER(Upgrades!$U$18,J96),1)*IF(Upgrades!$T$19="Local Bubble",POWER(Upgrades!$U$19,K96),1)*IF(Upgrades!$T$20="Local Bubble",POWER(Upgrades!$U$20,L96),1)*IF(Upgrades!$T$21="Local Bubble",POWER(Upgrades!$U$21,M96),1))+(IF(G96=0,0,(Upgrades!$J$15+G96*Upgrades!$K$15)*POWER(Upgrades!$L$15,G96)))*(IF(Upgrades!$T$13="Microlensing",POWER(Upgrades!$U$13,E96),1)*IF(Upgrades!$T$14="Microlensing",POWER(Upgrades!$U$14,F96),1)*IF(Upgrades!$T$16="Microlensing",POWER(Upgrades!$U$16,H96),1)*IF(Upgrades!$T$17="Microlensing",POWER(Upgrades!$U$17,I96),1)*IF(Upgrades!$T$18="Microlensing",POWER(Upgrades!$U$18,J96),1)*IF(Upgrades!$T$19="Microlensing",POWER(Upgrades!$U$19,K96),1)*IF(Upgrades!$T$20="Microlensing",POWER(Upgrades!$U$20,L96),1)*IF(Upgrades!$T$21="Microlensing",POWER(Upgrades!$U$21,M96),1))+(IF(H96=0,0,(Upgrades!$J$16+H96*Upgrades!$K$16)*POWER(Upgrades!$L$16,H96)))*(IF(Upgrades!$T$13="Roche Lobe Overflow",POWER(Upgrades!$U$13,E96),1)*IF(Upgrades!$T$14="Roche Lobe Overflow",POWER(Upgrades!$U$14,F96),1)*IF(Upgrades!$T$15="Roche Lobe Overflow",POWER(Upgrades!$U$15,G96),1)*IF(Upgrades!$T$17="Roche Lobe Overflow",POWER(Upgrades!$U$17,I96),1)*IF(Upgrades!$T$18="Roche Lobe Overflow",POWER(Upgrades!$U$18,J96),1)*IF(Upgrades!$T$19="Roche Lobe Overflow",POWER(Upgrades!$U$19,K96),1)*IF(Upgrades!$T$20="Roche Lobe Overflow",POWER(Upgrades!$U$20,L96),1)*IF(Upgrades!$T$21="Roche Lobe Overflow",POWER(Upgrades!$U$21,M96),1))+(IF(I96=0,0,(Upgrades!$J$17+I96*Upgrades!$K$17)*POWER(Upgrades!$L$17,I96)))*(IF(Upgrades!$T$13="Brown Dwarf",POWER(Upgrades!$U$13,E96),1)*IF(Upgrades!$T$14="Brown Dwarf",POWER(Upgrades!$U$14,F96),1)*IF(Upgrades!$T$15="Brown Dwarf",POWER(Upgrades!$U$15,G96),1)*IF(Upgrades!$T$16="Brown Dwarf",POWER(Upgrades!$U$16,H96),1)*IF(Upgrades!$T$18="Brown Dwarf",POWER(Upgrades!$U$18,J96),1)*IF(Upgrades!$T$19="Brown Dwarf",POWER(Upgrades!$U$19,K96),1)*IF(Upgrades!$T$20="Brown Dwarf",POWER(Upgrades!$U$20,L96),1)*IF(Upgrades!$T$21="Brown Dwarf",POWER(Upgrades!$U$21,M96),1))+(IF(J96=0,0,(Upgrades!$J$18+J96*Upgrades!$K$18)*POWER(Upgrades!$L$18,J96)))*(IF(Upgrades!$T$13="Binary Partner",POWER(Upgrades!$U$13,E96),1)*IF(Upgrades!$T$14="Binary Partner",POWER(Upgrades!$U$14,F96),1)*IF(Upgrades!$T$15="Binary Partner",POWER(Upgrades!$U$15,G96),1)*IF(Upgrades!$T$16="Binary Partner",POWER(Upgrades!$U$16,H96),1)*IF(Upgrades!$T$17="Binary Partner",POWER(Upgrades!$U$17,I96),1)*IF(Upgrades!$T$19="Binary Partner",POWER(Upgrades!$U$19,K96),1)*IF(Upgrades!$T$20="Binary Partner",POWER(Upgrades!$U$20,L96),1)*IF(Upgrades!$T$21="Binary Partner",POWER(Upgrades!$U$21,M96),1))+(IF(K96=0,0,(Upgrades!$J$19+K96*Upgrades!$K$19)*POWER(Upgrades!$L$19,K96)))*(IF(Upgrades!$T$13="Peculiar Velocity",POWER(Upgrades!$U$13,E96),1)*IF(Upgrades!$T$14="Peculiar Velocity",POWER(Upgrades!$U$14,F96),1)*IF(Upgrades!$T$15="Peculiar Velocity",POWER(Upgrades!$U$15,G96),1)*IF(Upgrades!$T$16="Peculiar Velocity",POWER(Upgrades!$U$16,H96),1)*IF(Upgrades!$T$17="Peculiar Velocity",POWER(Upgrades!$U$17,I96),1)*IF(Upgrades!$T$18="Peculiar Velocity",POWER(Upgrades!$U$18,J96),1)*IF(Upgrades!$T$20="Peculiar Velocity",POWER(Upgrades!$U$20,L96),1)*IF(Upgrades!$T$21="Peculiar Velocity",POWER(Upgrades!$U$21,M96),1))+(IF(L96=0,0,(Upgrades!$J$20+L96*Upgrades!$K$20)*POWER(Upgrades!$L$20,L96)))*(IF(Upgrades!$T$13="Open Cluster",POWER(Upgrades!$U$13,E96),1)*IF(Upgrades!$T$14="Open Cluster",POWER(Upgrades!$U$14,F96),1)*IF(Upgrades!$T$15="Open Cluster",POWER(Upgrades!$U$15,G96),1)*IF(Upgrades!$T$16="Open Cluster",POWER(Upgrades!$U$16,H96),1)*IF(Upgrades!$T$17="Open Cluster",POWER(Upgrades!$U$17,I96),1)*IF(Upgrades!$T$18="Open Cluster",POWER(Upgrades!$U$18,J96),1)*IF(Upgrades!$T$19="Open Cluster",POWER(Upgrades!$U$19,K96),1)*IF(Upgrades!$T$21="Open Cluster",POWER(Upgrades!$U$21,M96),1))+(IF(M96=0,0,(Upgrades!$J$21+M96*Upgrades!$K$21)*POWER(Upgrades!$L$21,M96)))*(IF(Upgrades!$T$13="Moving Group",POWER(Upgrades!$U$13,E96),1)*IF(Upgrades!$T$14="Moving Group",POWER(Upgrades!$U$14,F96),1)*IF(Upgrades!$T$15="Moving Group",POWER(Upgrades!$U$15,G96),1)*IF(Upgrades!$T$16="Moving Group",POWER(Upgrades!$U$16,H96),1)*IF(Upgrades!$T$17="Moving Group",POWER(Upgrades!$U$17,I96),1)*IF(Upgrades!$T$18="Moving Group",POWER(Upgrades!$U$18,J96),1)*IF(Upgrades!$T$19="Moving Group",POWER(Upgrades!$U$19,K96),1)*IF(Upgrades!$T$20="Moving Group",POWER(Upgrades!$U$20,L96),1)))*POWER(Upgrades!$Q$13,E96)*POWER(Upgrades!$Q$14,F96)*POWER(Upgrades!$Q$15,G96)*POWER(Upgrades!$Q$16,H96)*POWER(Upgrades!$Q$17,I96)*POWER(Upgrades!$Q$18,J96)*POWER(Upgrades!$Q$19,K96)*POWER(Upgrades!$Q$20,L96)*POWER(Upgrades!$Q$21,M96)*$G$6+$D$6</f>
        <v/>
      </c>
      <c r="P96" s="28">
        <f>((IF(E96=0,0,(Upgrades!$G$13+E96*Upgrades!$H$13)*POWER(Upgrades!$I$13,E96)))*(IF(Upgrades!$T$14="Stellar Kinematics",POWER(Upgrades!$U$14,F96),1)*IF(Upgrades!$T$15="Stellar Kinematics",POWER(Upgrades!$U$15,G96),1)*IF(Upgrades!$T$16="Stellar Kinematics",POWER(Upgrades!$U$16,H96),1)*IF(Upgrades!$T$17="Stellar Kinematics",POWER(Upgrades!$U$17,I96),1)*IF(Upgrades!$T$18="Stellar Kinematics",POWER(Upgrades!$U$18,J96),1)*IF(Upgrades!$T$19="Stellar Kinematics",POWER(Upgrades!$U$19,K96),1)*IF(Upgrades!$T$20="Stellar Kinematics",POWER(Upgrades!$U$20,L96),1)*IF(Upgrades!$T$21="Stellar Kinematics",POWER(Upgrades!$U$21,M96),1))+(IF(F96=0,0,(Upgrades!$G$14+F96*Upgrades!$H$14)*POWER(Upgrades!$I$14,F96)))*(IF(Upgrades!$T$13="Local Bubble",POWER(Upgrades!$U$13,E96),1)*IF(Upgrades!$T$15="Local Bubble",POWER(Upgrades!$U$15,G96),1)*IF(Upgrades!$T$16="Local Bubble",POWER(Upgrades!$U$16,H96),1)*IF(Upgrades!$T$17="Local Bubble",POWER(Upgrades!$U$17,I96),1)*IF(Upgrades!$T$18="Local Bubble",POWER(Upgrades!$U$18,J96),1)*IF(Upgrades!$T$19="Local Bubble",POWER(Upgrades!$U$19,K96),1)*IF(Upgrades!$T$20="Local Bubble",POWER(Upgrades!$U$20,L96),1)*IF(Upgrades!$T$21="Local Bubble",POWER(Upgrades!$U$21,M96),1))+(IF(G96=0,0,(Upgrades!$G$15+G96*Upgrades!$H$15)*POWER(Upgrades!$I$15,G96)))*(IF(Upgrades!$T$13="Microlensing",POWER(Upgrades!$U$13,E96),1)*IF(Upgrades!$T$14="Microlensing",POWER(Upgrades!$U$14,F96),1)*IF(Upgrades!$T$16="Microlensing",POWER(Upgrades!$U$16,H96),1)*IF(Upgrades!$T$17="Microlensing",POWER(Upgrades!$U$17,I96),1)*IF(Upgrades!$T$18="Microlensing",POWER(Upgrades!$U$18,J96),1)*IF(Upgrades!$T$19="Microlensing",POWER(Upgrades!$U$19,K96),1)*IF(Upgrades!$T$20="Microlensing",POWER(Upgrades!$U$20,L96),1)*IF(Upgrades!$T$21="Microlensing",POWER(Upgrades!$U$21,M96),1))+(IF(H96=0,0,(Upgrades!$G$16+H96*Upgrades!$H$16)*POWER(Upgrades!$I$16,H96)))*(IF(Upgrades!$T$13="Roche Lobe Overflow",POWER(Upgrades!$U$13,E96),1)*IF(Upgrades!$T$14="Roche Lobe Overflow",POWER(Upgrades!$U$14,F96),1)*IF(Upgrades!$T$15="Roche Lobe Overflow",POWER(Upgrades!$U$15,G96),1)*IF(Upgrades!$T$17="Roche Lobe Overflow",POWER(Upgrades!$U$17,I96),1)*IF(Upgrades!$T$18="Roche Lobe Overflow",POWER(Upgrades!$U$18,J96),1)*IF(Upgrades!$T$19="Roche Lobe Overflow",POWER(Upgrades!$U$19,K96),1)*IF(Upgrades!$T$20="Roche Lobe Overflow",POWER(Upgrades!$U$20,L96),1)*IF(Upgrades!$T$21="Roche Lobe Overflow",POWER(Upgrades!$U$21,M96),1))+(IF(I96=0,0,(Upgrades!$G$17+I96*Upgrades!$H$17)*POWER(Upgrades!$I$17,I96)))*(IF(Upgrades!$T$13="Brown Dwarf",POWER(Upgrades!$U$13,E96),1)*IF(Upgrades!$T$14="Brown Dwarf",POWER(Upgrades!$U$14,F96),1)*IF(Upgrades!$T$15="Brown Dwarf",POWER(Upgrades!$U$15,G96),1)*IF(Upgrades!$T$16="Brown Dwarf",POWER(Upgrades!$U$16,H96),1)*IF(Upgrades!$T$18="Brown Dwarf",POWER(Upgrades!$U$18,J96),1)*IF(Upgrades!$T$19="Brown Dwarf",POWER(Upgrades!$U$19,K96),1)*IF(Upgrades!$T$20="Brown Dwarf",POWER(Upgrades!$U$20,L96),1)*IF(Upgrades!$T$21="Brown Dwarf",POWER(Upgrades!$U$21,M96),1))+(IF(J96=0,0,(Upgrades!$G$18+J96*Upgrades!$H$18)*POWER(Upgrades!$I$18,J96)))*(IF(Upgrades!$T$13="Binary Partner",POWER(Upgrades!$U$13,E96),1)*IF(Upgrades!$T$14="Binary Partner",POWER(Upgrades!$U$14,F96),1)*IF(Upgrades!$T$15="Binary Partner",POWER(Upgrades!$U$15,G96),1)*IF(Upgrades!$T$16="Binary Partner",POWER(Upgrades!$U$16,H96),1)*IF(Upgrades!$T$17="Binary Partner",POWER(Upgrades!$U$17,I96),1)*IF(Upgrades!$T$19="Binary Partner",POWER(Upgrades!$U$19,K96),1)*IF(Upgrades!$T$20="Binary Partner",POWER(Upgrades!$U$20,L96),1)*IF(Upgrades!$T$21="Binary Partner",POWER(Upgrades!$U$21,M96),1))+(IF(K96=0,0,(Upgrades!$G$19+K96*Upgrades!$H$19)*POWER(Upgrades!$I$19,K96)))*(IF(Upgrades!$T$13="Peculiar Velocity",POWER(Upgrades!$U$13,E96),1)*IF(Upgrades!$T$14="Peculiar Velocity",POWER(Upgrades!$U$14,F96),1)*IF(Upgrades!$T$15="Peculiar Velocity",POWER(Upgrades!$U$15,G96),1)*IF(Upgrades!$T$16="Peculiar Velocity",POWER(Upgrades!$U$16,H96),1)*IF(Upgrades!$T$17="Peculiar Velocity",POWER(Upgrades!$U$17,I96),1)*IF(Upgrades!$T$18="Peculiar Velocity",POWER(Upgrades!$U$18,J96),1)*IF(Upgrades!$T$20="Peculiar Velocity",POWER(Upgrades!$U$20,L96),1)*IF(Upgrades!$T$21="Peculiar Velocity",POWER(Upgrades!$U$21,M96),1))+(IF(L96=0,0,(Upgrades!$G$20+L96*Upgrades!$H$20)*POWER(Upgrades!$I$20,L96)))*(IF(Upgrades!$T$13="Open Cluster",POWER(Upgrades!$U$13,E96),1)*IF(Upgrades!$T$14="Open Cluster",POWER(Upgrades!$U$14,F96),1)*IF(Upgrades!$T$15="Open Cluster",POWER(Upgrades!$U$15,G96),1)*IF(Upgrades!$T$16="Open Cluster",POWER(Upgrades!$U$16,H96),1)*IF(Upgrades!$T$17="Open Cluster",POWER(Upgrades!$U$17,I96),1)*IF(Upgrades!$T$18="Open Cluster",POWER(Upgrades!$U$18,J96),1)*IF(Upgrades!$T$19="Open Cluster",POWER(Upgrades!$U$19,K96),1)*IF(Upgrades!$T$21="Open Cluster",POWER(Upgrades!$U$21,M96),1))+(IF(M96=0,0,(Upgrades!$G$21+M96*Upgrades!$H$21)*POWER(Upgrades!$I$21,M96)))*(IF(Upgrades!$T$13="Moving Group",POWER(Upgrades!$U$13,E96),1)*IF(Upgrades!$T$14="Moving Group",POWER(Upgrades!$U$14,F96),1)*IF(Upgrades!$T$15="Moving Group",POWER(Upgrades!$U$15,G96),1)*IF(Upgrades!$T$16="Moving Group",POWER(Upgrades!$U$16,H96),1)*IF(Upgrades!$T$17="Moving Group",POWER(Upgrades!$U$17,I96),1)*IF(Upgrades!$T$18="Moving Group",POWER(Upgrades!$U$18,J96),1)*IF(Upgrades!$T$19="Moving Group",POWER(Upgrades!$U$19,K96),1)*IF(Upgrades!$T$20="Moving Group",POWER(Upgrades!$U$20,L96),1)))*POWER(Upgrades!$P$13,E96)*POWER(Upgrades!$P$14,F96)*POWER(Upgrades!$P$15,G96)*POWER(Upgrades!$P$16,H96)*POWER(Upgrades!$P$17,I96)*POWER(Upgrades!$P$18,J96)*POWER(Upgrades!$P$19,K96)*POWER(Upgrades!$P$20,L96)*POWER(Upgrades!$P$21,M96)*$F$6+$C$6</f>
        <v/>
      </c>
      <c r="Q96" s="28">
        <f>((IF(E96=0,0,(Upgrades!$M$13+E96*Upgrades!$N$13)*POWER(Upgrades!$O$13,E96)))*(IF(Upgrades!$T$14="Stellar Kinematics",POWER(Upgrades!$U$14,F96),1)*IF(Upgrades!$T$15="Stellar Kinematics",POWER(Upgrades!$U$15,G96),1)*IF(Upgrades!$T$16="Stellar Kinematics",POWER(Upgrades!$U$16,H96),1)*IF(Upgrades!$T$17="Stellar Kinematics",POWER(Upgrades!$U$17,I96),1)*IF(Upgrades!$T$18="Stellar Kinematics",POWER(Upgrades!$U$18,J96),1)*IF(Upgrades!$T$19="Stellar Kinematics",POWER(Upgrades!$U$19,K96),1)*IF(Upgrades!$T$20="Stellar Kinematics",POWER(Upgrades!$U$20,L96),1)*IF(Upgrades!$T$21="Stellar Kinematics",POWER(Upgrades!$U$21,M96),1))+(IF(F96=0,0,(Upgrades!$M$14+F96*Upgrades!$N$14)*POWER(Upgrades!$O$14,F96)))*(IF(Upgrades!$T$13="Local Bubble",POWER(Upgrades!$U$13,E96),1)*IF(Upgrades!$T$15="Local Bubble",POWER(Upgrades!$U$15,G96),1)*IF(Upgrades!$T$16="Local Bubble",POWER(Upgrades!$U$16,H96),1)*IF(Upgrades!$T$17="Local Bubble",POWER(Upgrades!$U$17,I96),1)*IF(Upgrades!$T$18="Local Bubble",POWER(Upgrades!$U$18,J96),1)*IF(Upgrades!$T$19="Local Bubble",POWER(Upgrades!$U$19,K96),1)*IF(Upgrades!$T$20="Local Bubble",POWER(Upgrades!$U$20,L96),1)*IF(Upgrades!$T$21="Local Bubble",POWER(Upgrades!$U$21,M96),1))+(IF(G96=0,0,(Upgrades!$M$15+G96*Upgrades!$N$15)*POWER(Upgrades!$O$15,G96)))*(IF(Upgrades!$T$13="Microlensing",POWER(Upgrades!$U$13,E96),1)*IF(Upgrades!$T$14="Microlensing",POWER(Upgrades!$U$14,F96),1)*IF(Upgrades!$T$16="Microlensing",POWER(Upgrades!$U$16,H96),1)*IF(Upgrades!$T$17="Microlensing",POWER(Upgrades!$U$17,I96),1)*IF(Upgrades!$T$18="Microlensing",POWER(Upgrades!$U$18,J96),1)*IF(Upgrades!$T$19="Microlensing",POWER(Upgrades!$U$19,K96),1)*IF(Upgrades!$T$20="Microlensing",POWER(Upgrades!$U$20,L96),1)*IF(Upgrades!$T$21="Microlensing",POWER(Upgrades!$U$21,M96),1))+(IF(H96=0,0,(Upgrades!$M$16+H96*Upgrades!$N$16)*POWER(Upgrades!$O$16,H96)))*(IF(Upgrades!$T$13="Roche Lobe Overflow",POWER(Upgrades!$U$13,E96),1)*IF(Upgrades!$T$14="Roche Lobe Overflow",POWER(Upgrades!$U$14,F96),1)*IF(Upgrades!$T$15="Roche Lobe Overflow",POWER(Upgrades!$U$15,G96),1)*IF(Upgrades!$T$17="Roche Lobe Overflow",POWER(Upgrades!$U$17,I96),1)*IF(Upgrades!$T$18="Roche Lobe Overflow",POWER(Upgrades!$U$18,J96),1)*IF(Upgrades!$T$19="Roche Lobe Overflow",POWER(Upgrades!$U$19,K96),1)*IF(Upgrades!$T$20="Roche Lobe Overflow",POWER(Upgrades!$U$20,L96),1)*IF(Upgrades!$T$21="Roche Lobe Overflow",POWER(Upgrades!$U$21,M96),1))+(IF(I96=0,0,(Upgrades!$M$17+I96*Upgrades!$N$17)*POWER(Upgrades!$O$17,I96)))*(IF(Upgrades!$T$13="Brown Dwarf",POWER(Upgrades!$U$13,E96),1)*IF(Upgrades!$T$14="Brown Dwarf",POWER(Upgrades!$U$14,F96),1)*IF(Upgrades!$T$15="Brown Dwarf",POWER(Upgrades!$U$15,G96),1)*IF(Upgrades!$T$16="Brown Dwarf",POWER(Upgrades!$U$16,H96),1)*IF(Upgrades!$T$18="Brown Dwarf",POWER(Upgrades!$U$18,J96),1)*IF(Upgrades!$T$19="Brown Dwarf",POWER(Upgrades!$U$19,K96),1)*IF(Upgrades!$T$20="Brown Dwarf",POWER(Upgrades!$U$20,L96),1)*IF(Upgrades!$T$21="Brown Dwarf",POWER(Upgrades!$U$21,M96),1))+(IF(J96=0,0,(Upgrades!$M$18+J96*Upgrades!$N$18)*POWER(Upgrades!$O$18,J96)))*(IF(Upgrades!$T$13="Binary Partner",POWER(Upgrades!$U$13,E96),1)*IF(Upgrades!$T$14="Binary Partner",POWER(Upgrades!$U$14,F96),1)*IF(Upgrades!$T$15="Binary Partner",POWER(Upgrades!$U$15,G96),1)*IF(Upgrades!$T$16="Binary Partner",POWER(Upgrades!$U$16,H96),1)*IF(Upgrades!$T$17="Binary Partner",POWER(Upgrades!$U$17,I96),1)*IF(Upgrades!$T$19="Binary Partner",POWER(Upgrades!$U$19,K96),1)*IF(Upgrades!$T$20="Binary Partner",POWER(Upgrades!$U$20,L96),1)*IF(Upgrades!$T$21="Binary Partner",POWER(Upgrades!$U$21,M96),1))+(IF(K96=0,0,(Upgrades!$M$19+K96*Upgrades!$N$19)*POWER(Upgrades!$O$19,K96)))*(IF(Upgrades!$T$13="Peculiar Velocity",POWER(Upgrades!$U$13,E96),1)*IF(Upgrades!$T$14="Peculiar Velocity",POWER(Upgrades!$U$14,F96),1)*IF(Upgrades!$T$15="Peculiar Velocity",POWER(Upgrades!$U$15,G96),1)*IF(Upgrades!$T$16="Peculiar Velocity",POWER(Upgrades!$U$16,H96),1)*IF(Upgrades!$T$17="Peculiar Velocity",POWER(Upgrades!$U$17,I96),1)*IF(Upgrades!$T$18="Peculiar Velocity",POWER(Upgrades!$U$18,J96),1)*IF(Upgrades!$T$20="Peculiar Velocity",POWER(Upgrades!$U$20,L96),1)*IF(Upgrades!$T$21="Peculiar Velocity",POWER(Upgrades!$U$21,M96),1))+(IF(L96=0,0,(Upgrades!$M$20+L96*Upgrades!$N$20)*POWER(Upgrades!$O$20,L96)))*(IF(Upgrades!$T$13="Open Cluster",POWER(Upgrades!$U$13,E96),1)*IF(Upgrades!$T$14="Open Cluster",POWER(Upgrades!$U$14,F96),1)*IF(Upgrades!$T$15="Open Cluster",POWER(Upgrades!$U$15,G96),1)*IF(Upgrades!$T$16="Open Cluster",POWER(Upgrades!$U$16,H96),1)*IF(Upgrades!$T$17="Open Cluster",POWER(Upgrades!$U$17,I96),1)*IF(Upgrades!$T$18="Open Cluster",POWER(Upgrades!$U$18,J96),1)*IF(Upgrades!$T$19="Open Cluster",POWER(Upgrades!$U$19,K96),1)*IF(Upgrades!$T$21="Open Cluster",POWER(Upgrades!$U$21,M96),1))+(IF(M96=0,0,(Upgrades!$M$21+M96*Upgrades!$N$21)*POWER(Upgrades!$O$21,M96)))*(IF(Upgrades!$T$13="Moving Group",POWER(Upgrades!$U$13,E96),1)*IF(Upgrades!$T$14="Moving Group",POWER(Upgrades!$U$14,F96),1)*IF(Upgrades!$T$15="Moving Group",POWER(Upgrades!$U$15,G96),1)*IF(Upgrades!$T$16="Moving Group",POWER(Upgrades!$U$16,H96),1)*IF(Upgrades!$T$17="Moving Group",POWER(Upgrades!$U$17,I96),1)*IF(Upgrades!$T$18="Moving Group",POWER(Upgrades!$U$18,J96),1)*IF(Upgrades!$T$19="Moving Group",POWER(Upgrades!$U$19,K96),1)*IF(Upgrades!$T$20="Moving Group",POWER(Upgrades!$U$20,L96),1)))*POWER(Upgrades!$R$13,E96)*POWER(Upgrades!$R$14,F96)*POWER(Upgrades!$R$15,G96)*POWER(Upgrades!$R$16,H96)*POWER(Upgrades!$R$17,I96)*POWER(Upgrades!$R$18,J96)*POWER(Upgrades!$R$19,K96)*POWER(Upgrades!$R$20,L96)*POWER(Upgrades!$R$21,M96)*$H$6+$E$6</f>
        <v/>
      </c>
      <c r="R96" s="27">
        <f>IF(N96=1,0,O96*Parameters!$B$10/60*Parameters!$B$11*10)</f>
        <v/>
      </c>
      <c r="S96" s="27">
        <f>IF(N96=1,0,Q96*O96*10)</f>
        <v/>
      </c>
      <c r="T96" s="27">
        <f>IF(N96=1,0,R96+S96+P96*10)</f>
        <v/>
      </c>
      <c r="U96" s="33">
        <f>BE96</f>
        <v/>
      </c>
      <c r="V96" s="22">
        <f>IF(U96="",0,IF(U96="transition",0,IF(U96="SK",AK96,IF(U96="LB",AL96,IF(U96="ML",AM96,IF(U96="RLO",AN96,IF(U96="BD",AO96,IF(U96="BiP",AP96,IF(U96="PV",AQ96,IF(U96="OC",AR96,IF(U96="MG",AS96,0))))))))))</f>
        <v/>
      </c>
      <c r="W96" s="27">
        <f>IF(U96="BiP",Upgrades!$F$18,IF(U96="PV",Upgrades!$F$19,IF(U96="OC",Upgrades!$F$20,IF(U96="MG",Upgrades!$F$21,IF(U96="transition",-Parameters!$B$18*Parameters!$B$19,0)))))</f>
        <v/>
      </c>
      <c r="X96" s="22">
        <f>C96+T96-V96</f>
        <v/>
      </c>
      <c r="Y96" s="30">
        <f>O96*Parameters!$B$10/60*Parameters!$B$11+Q96*O96+P96</f>
        <v/>
      </c>
      <c r="Z96" s="34">
        <f>IF(U96="transition","→ Tier 3 (Galactic Arm)",IF(U96="MG","Moving Group — pocket drifts together",IF(U96="OC","Open Cluster acquired",IF(U96="PV","Peculiar Velocity — passive multiplier active",IF(U96="BiP","Binary Partner — pair bond formed",IF(AND(AU96=1,N96=0,AT96&lt;&gt;1),"Cohesion ready (waiting on completionists)","")))))) </f>
        <v/>
      </c>
      <c r="AA96" s="27">
        <f>(IF(E96=0,0,(Upgrades!$G$13+E96*Upgrades!$H$13)*POWER(Upgrades!$I$13,E96)))*(IF(Upgrades!$T$14="Stellar Kinematics",POWER(Upgrades!$U$14,F96),1)*IF(Upgrades!$T$15="Stellar Kinematics",POWER(Upgrades!$U$15,G96),1)*IF(Upgrades!$T$16="Stellar Kinematics",POWER(Upgrades!$U$16,H96),1)*IF(Upgrades!$T$17="Stellar Kinematics",POWER(Upgrades!$U$17,I96),1)*IF(Upgrades!$T$18="Stellar Kinematics",POWER(Upgrades!$U$18,J96),1)*IF(Upgrades!$T$19="Stellar Kinematics",POWER(Upgrades!$U$19,K96),1)*IF(Upgrades!$T$20="Stellar Kinematics",POWER(Upgrades!$U$20,L96),1)*IF(Upgrades!$T$21="Stellar Kinematics",POWER(Upgrades!$U$21,M96),1))*POWER(Upgrades!$P$13,E96)*POWER(Upgrades!$P$14,F96)*POWER(Upgrades!$P$15,G96)*POWER(Upgrades!$P$16,H96)*POWER(Upgrades!$P$17,I96)*POWER(Upgrades!$P$18,J96)*POWER(Upgrades!$P$19,K96)*POWER(Upgrades!$P$20,L96)*POWER(Upgrades!$P$21,M96)*$F$6*60</f>
        <v/>
      </c>
      <c r="AB96" s="27">
        <f>(IF(F96=0,0,(Upgrades!$G$14+F96*Upgrades!$H$14)*POWER(Upgrades!$I$14,F96)))*(IF(Upgrades!$T$13="Local Bubble",POWER(Upgrades!$U$13,E96),1)*IF(Upgrades!$T$15="Local Bubble",POWER(Upgrades!$U$15,G96),1)*IF(Upgrades!$T$16="Local Bubble",POWER(Upgrades!$U$16,H96),1)*IF(Upgrades!$T$17="Local Bubble",POWER(Upgrades!$U$17,I96),1)*IF(Upgrades!$T$18="Local Bubble",POWER(Upgrades!$U$18,J96),1)*IF(Upgrades!$T$19="Local Bubble",POWER(Upgrades!$U$19,K96),1)*IF(Upgrades!$T$20="Local Bubble",POWER(Upgrades!$U$20,L96),1)*IF(Upgrades!$T$21="Local Bubble",POWER(Upgrades!$U$21,M96),1))*POWER(Upgrades!$P$13,E96)*POWER(Upgrades!$P$14,F96)*POWER(Upgrades!$P$15,G96)*POWER(Upgrades!$P$16,H96)*POWER(Upgrades!$P$17,I96)*POWER(Upgrades!$P$18,J96)*POWER(Upgrades!$P$19,K96)*POWER(Upgrades!$P$20,L96)*POWER(Upgrades!$P$21,M96)*$F$6*60</f>
        <v/>
      </c>
      <c r="AC96" s="27">
        <f>(IF(G96=0,0,(Upgrades!$J$15+G96*Upgrades!$K$15)*POWER(Upgrades!$L$15,G96)))*(IF(Upgrades!$T$13="Microlensing",POWER(Upgrades!$U$13,E96),1)*IF(Upgrades!$T$14="Microlensing",POWER(Upgrades!$U$14,F96),1)*IF(Upgrades!$T$16="Microlensing",POWER(Upgrades!$U$16,H96),1)*IF(Upgrades!$T$17="Microlensing",POWER(Upgrades!$U$17,I96),1)*IF(Upgrades!$T$18="Microlensing",POWER(Upgrades!$U$18,J96),1)*IF(Upgrades!$T$19="Microlensing",POWER(Upgrades!$U$19,K96),1)*IF(Upgrades!$T$20="Microlensing",POWER(Upgrades!$U$20,L96),1)*IF(Upgrades!$T$21="Microlensing",POWER(Upgrades!$U$21,M96),1))*POWER(Upgrades!$Q$13,E96)*POWER(Upgrades!$Q$14,F96)*POWER(Upgrades!$Q$15,G96)*POWER(Upgrades!$Q$16,H96)*POWER(Upgrades!$Q$17,I96)*POWER(Upgrades!$Q$18,J96)*POWER(Upgrades!$Q$19,K96)*POWER(Upgrades!$Q$20,L96)*POWER(Upgrades!$Q$21,M96)*$G$6*(Parameters!$B$10*Parameters!$B$11+Q96*60)</f>
        <v/>
      </c>
      <c r="AD96" s="27">
        <f>(IF(H96=0,0,(Upgrades!$M$16+H96*Upgrades!$N$16)*POWER(Upgrades!$O$16,H96)))*(IF(Upgrades!$T$13="Roche Lobe Overflow",POWER(Upgrades!$U$13,E96),1)*IF(Upgrades!$T$14="Roche Lobe Overflow",POWER(Upgrades!$U$14,F96),1)*IF(Upgrades!$T$15="Roche Lobe Overflow",POWER(Upgrades!$U$15,G96),1)*IF(Upgrades!$T$17="Roche Lobe Overflow",POWER(Upgrades!$U$17,I96),1)*IF(Upgrades!$T$18="Roche Lobe Overflow",POWER(Upgrades!$U$18,J96),1)*IF(Upgrades!$T$19="Roche Lobe Overflow",POWER(Upgrades!$U$19,K96),1)*IF(Upgrades!$T$20="Roche Lobe Overflow",POWER(Upgrades!$U$20,L96),1)*IF(Upgrades!$T$21="Roche Lobe Overflow",POWER(Upgrades!$U$21,M96),1))*POWER(Upgrades!$R$13,E96)*POWER(Upgrades!$R$14,F96)*POWER(Upgrades!$R$15,G96)*POWER(Upgrades!$R$16,H96)*POWER(Upgrades!$R$17,I96)*POWER(Upgrades!$R$18,J96)*POWER(Upgrades!$R$19,K96)*POWER(Upgrades!$R$20,L96)*POWER(Upgrades!$R$21,M96)*$H$6*O96*60</f>
        <v/>
      </c>
      <c r="AE96" s="27">
        <f>(IF(I96=0,0,(Upgrades!$G$17+I96*Upgrades!$H$17)*POWER(Upgrades!$I$17,I96)))*(IF(Upgrades!$T$13="Brown Dwarf",POWER(Upgrades!$U$13,E96),1)*IF(Upgrades!$T$14="Brown Dwarf",POWER(Upgrades!$U$14,F96),1)*IF(Upgrades!$T$15="Brown Dwarf",POWER(Upgrades!$U$15,G96),1)*IF(Upgrades!$T$16="Brown Dwarf",POWER(Upgrades!$U$16,H96),1)*IF(Upgrades!$T$18="Brown Dwarf",POWER(Upgrades!$U$18,J96),1)*IF(Upgrades!$T$19="Brown Dwarf",POWER(Upgrades!$U$19,K96),1)*IF(Upgrades!$T$20="Brown Dwarf",POWER(Upgrades!$U$20,L96),1)*IF(Upgrades!$T$21="Brown Dwarf",POWER(Upgrades!$U$21,M96),1))*POWER(Upgrades!$P$13,E96)*POWER(Upgrades!$P$14,F96)*POWER(Upgrades!$P$15,G96)*POWER(Upgrades!$P$16,H96)*POWER(Upgrades!$P$17,I96)*POWER(Upgrades!$P$18,J96)*POWER(Upgrades!$P$19,K96)*POWER(Upgrades!$P$20,L96)*POWER(Upgrades!$P$21,M96)*$F$6*60</f>
        <v/>
      </c>
      <c r="AF96" s="27" t="n">
        <v>0</v>
      </c>
      <c r="AG96" s="27" t="n">
        <v>0</v>
      </c>
      <c r="AH96" s="27" t="n">
        <v>0</v>
      </c>
      <c r="AI96" s="27">
        <f>(IF(M96=0,0,(Upgrades!$G$21+M96*Upgrades!$H$21)*POWER(Upgrades!$I$21,M96)))*(IF(Upgrades!$T$13="Moving Group",POWER(Upgrades!$U$13,E96),1)*IF(Upgrades!$T$14="Moving Group",POWER(Upgrades!$U$14,F96),1)*IF(Upgrades!$T$15="Moving Group",POWER(Upgrades!$U$15,G96),1)*IF(Upgrades!$T$16="Moving Group",POWER(Upgrades!$U$16,H96),1)*IF(Upgrades!$T$17="Moving Group",POWER(Upgrades!$U$17,I96),1)*IF(Upgrades!$T$18="Moving Group",POWER(Upgrades!$U$18,J96),1)*IF(Upgrades!$T$19="Moving Group",POWER(Upgrades!$U$19,K96),1)*IF(Upgrades!$T$20="Moving Group",POWER(Upgrades!$U$20,L96),1))*POWER(Upgrades!$P$13,E96)*POWER(Upgrades!$P$14,F96)*POWER(Upgrades!$P$15,G96)*POWER(Upgrades!$P$16,H96)*POWER(Upgrades!$P$17,I96)*POWER(Upgrades!$P$18,J96)*POWER(Upgrades!$P$19,K96)*POWER(Upgrades!$P$20,L96)*POWER(Upgrades!$P$21,M96)*$F$6*60</f>
        <v/>
      </c>
      <c r="AJ96" s="27">
        <f>$C$6*60</f>
        <v/>
      </c>
      <c r="AK96" s="22">
        <f>IF(E96&gt;=Upgrades!$E$13,"",Upgrades!$C$13*POWER(Upgrades!$D$13,E96))</f>
        <v/>
      </c>
      <c r="AL96" s="22">
        <f>IF(F96&gt;=Upgrades!$E$14,"",Upgrades!$C$14*POWER(Upgrades!$D$14,F96))</f>
        <v/>
      </c>
      <c r="AM96" s="22">
        <f>IF(G96&gt;=Upgrades!$E$15,"",Upgrades!$C$15*POWER(Upgrades!$D$15,G96))</f>
        <v/>
      </c>
      <c r="AN96" s="22">
        <f>IF(H96&gt;=Upgrades!$E$16,"",Upgrades!$C$16*POWER(Upgrades!$D$16,H96))</f>
        <v/>
      </c>
      <c r="AO96" s="22">
        <f>IF(I96&gt;=Upgrades!$E$17,"",Upgrades!$C$17*POWER(Upgrades!$D$17,I96))</f>
        <v/>
      </c>
      <c r="AP96" s="22">
        <f>IF(J96&gt;=Upgrades!$E$18,"",Upgrades!$C$18*POWER(Upgrades!$D$18,J96))</f>
        <v/>
      </c>
      <c r="AQ96" s="22">
        <f>IF(K96&gt;=Upgrades!$E$19,"",Upgrades!$C$19*POWER(Upgrades!$D$19,K96))</f>
        <v/>
      </c>
      <c r="AR96" s="22">
        <f>IF(L96&gt;=Upgrades!$E$20,"",Upgrades!$C$20*POWER(Upgrades!$D$20,L96))</f>
        <v/>
      </c>
      <c r="AS96" s="22">
        <f>IF(M96&gt;=Upgrades!$E$21,"",Upgrades!$C$21*POWER(Upgrades!$D$21,M96))</f>
        <v/>
      </c>
      <c r="AT96" s="26">
        <f>IF(AND(D96&gt;=Parameters!$B$18*Parameters!$B$19,(I96&gt;=Upgrades!$E$17)*(M96&gt;=Upgrades!$E$21)=1,N96=0),1,"")</f>
        <v/>
      </c>
      <c r="AU96" s="26">
        <f>IF(AND(D96&gt;=Parameters!$B$18*Parameters!$B$19,N96=0),1,"")</f>
        <v/>
      </c>
      <c r="AV96" s="22">
        <f>MIN(IF(ISNUMBER(AP96),AP96,9E15),IF(ISNUMBER(AQ96),AQ96,9E15),IF(ISNUMBER(AR96),AR96,9E15),IF(ISNUMBER(AS96),AS96,9E15))</f>
        <v/>
      </c>
      <c r="AW96" s="22">
        <f>MIN(IF(ISNUMBER(AK96),AK96,9E15),IF(ISNUMBER(AL96),AL96,9E15),IF(ISNUMBER(AM96),AM96,9E15),IF(ISNUMBER(AN96),AN96,9E15),IF(ISNUMBER(AO96),AO96,9E15))</f>
        <v/>
      </c>
      <c r="AX96" s="29">
        <f>IF(BD96&gt;Parameters!$B$21*(MAX(IF(AND(NOT(AND(AU96=1,AT96&lt;&gt;1)),ISNUMBER(AK96),AK96&lt;=(C96+T96)),AY96,0),IF(AND(NOT(AND(AU96=1,AT96&lt;&gt;1)),ISNUMBER(AL96),AL96&lt;=(C96+T96)),AZ96,0),IF(AND(NOT(AND(AU96=1,AT96&lt;&gt;1)),ISNUMBER(AM96),AM96&lt;=(C96+T96)),BA96,0),IF(AND(NOT(AND(AU96=1,AT96&lt;&gt;1)),ISNUMBER(AN96),AN96&lt;=(C96+T96)),BB96,0),IF(AND(ISNUMBER(AO96),AO96&lt;=(C96+T96)),BC96,0))),TRUE,FALSE)</f>
        <v/>
      </c>
      <c r="AY96" s="32">
        <f>IFERROR(Upgrades!$H$13*(POWER(Upgrades!$P$13,E96)*POWER(Upgrades!$P$14,F96)*POWER(Upgrades!$P$15,G96)*POWER(Upgrades!$P$16,H96)*POWER(Upgrades!$P$17,I96)*POWER(Upgrades!$P$18,J96)*POWER(Upgrades!$P$19,K96)*POWER(Upgrades!$P$20,L96)*POWER(Upgrades!$P$21,M96))*(IF(Upgrades!$T$14="Stellar Kinematics",POWER(Upgrades!$U$14,F96),1)*IF(Upgrades!$T$15="Stellar Kinematics",POWER(Upgrades!$U$15,G96),1)*IF(Upgrades!$T$16="Stellar Kinematics",POWER(Upgrades!$U$16,H96),1)*IF(Upgrades!$T$17="Stellar Kinematics",POWER(Upgrades!$U$17,I96),1)*IF(Upgrades!$T$18="Stellar Kinematics",POWER(Upgrades!$U$18,J96),1)*IF(Upgrades!$T$19="Stellar Kinematics",POWER(Upgrades!$U$19,K96),1)*IF(Upgrades!$T$20="Stellar Kinematics",POWER(Upgrades!$U$20,L96),1)*IF(Upgrades!$T$21="Stellar Kinematics",POWER(Upgrades!$U$21,M96),1))*$F$6/AK96,0)</f>
        <v/>
      </c>
      <c r="AZ96" s="32">
        <f>IFERROR(Upgrades!$H$14*(POWER(Upgrades!$P$13,E96)*POWER(Upgrades!$P$14,F96)*POWER(Upgrades!$P$15,G96)*POWER(Upgrades!$P$16,H96)*POWER(Upgrades!$P$17,I96)*POWER(Upgrades!$P$18,J96)*POWER(Upgrades!$P$19,K96)*POWER(Upgrades!$P$20,L96)*POWER(Upgrades!$P$21,M96))*(IF(Upgrades!$T$13="Local Bubble",POWER(Upgrades!$U$13,E96),1)*IF(Upgrades!$T$15="Local Bubble",POWER(Upgrades!$U$15,G96),1)*IF(Upgrades!$T$16="Local Bubble",POWER(Upgrades!$U$16,H96),1)*IF(Upgrades!$T$17="Local Bubble",POWER(Upgrades!$U$17,I96),1)*IF(Upgrades!$T$18="Local Bubble",POWER(Upgrades!$U$18,J96),1)*IF(Upgrades!$T$19="Local Bubble",POWER(Upgrades!$U$19,K96),1)*IF(Upgrades!$T$20="Local Bubble",POWER(Upgrades!$U$20,L96),1)*IF(Upgrades!$T$21="Local Bubble",POWER(Upgrades!$U$21,M96),1))*$F$6/AL96,0)</f>
        <v/>
      </c>
      <c r="BA96" s="32">
        <f>IFERROR(Upgrades!$K$15*(POWER(Upgrades!$Q$13,E96)*POWER(Upgrades!$Q$14,F96)*POWER(Upgrades!$Q$15,G96)*POWER(Upgrades!$Q$16,H96)*POWER(Upgrades!$Q$17,I96)*POWER(Upgrades!$Q$18,J96)*POWER(Upgrades!$Q$19,K96)*POWER(Upgrades!$Q$20,L96)*POWER(Upgrades!$Q$21,M96))*(IF(Upgrades!$T$13="Microlensing",POWER(Upgrades!$U$13,E96),1)*IF(Upgrades!$T$14="Microlensing",POWER(Upgrades!$U$14,F96),1)*IF(Upgrades!$T$16="Microlensing",POWER(Upgrades!$U$16,H96),1)*IF(Upgrades!$T$17="Microlensing",POWER(Upgrades!$U$17,I96),1)*IF(Upgrades!$T$18="Microlensing",POWER(Upgrades!$U$18,J96),1)*IF(Upgrades!$T$19="Microlensing",POWER(Upgrades!$U$19,K96),1)*IF(Upgrades!$T$20="Microlensing",POWER(Upgrades!$U$20,L96),1)*IF(Upgrades!$T$21="Microlensing",POWER(Upgrades!$U$21,M96),1))*$G$6*(Parameters!$B$10/60*Parameters!$B$11+Q96)/AM96,0)</f>
        <v/>
      </c>
      <c r="BB96" s="32">
        <f>IFERROR((Upgrades!$N$16*(POWER(Upgrades!$R$13,E96)*POWER(Upgrades!$R$14,F96)*POWER(Upgrades!$R$15,G96)*POWER(Upgrades!$R$16,H96)*POWER(Upgrades!$R$17,I96)*POWER(Upgrades!$R$18,J96)*POWER(Upgrades!$R$19,K96)*POWER(Upgrades!$R$20,L96)*POWER(Upgrades!$R$21,M96))*(IF(Upgrades!$T$13="Roche Lobe Overflow",POWER(Upgrades!$U$13,E96),1)*IF(Upgrades!$T$14="Roche Lobe Overflow",POWER(Upgrades!$U$14,F96),1)*IF(Upgrades!$T$15="Roche Lobe Overflow",POWER(Upgrades!$U$15,G96),1)*IF(Upgrades!$T$17="Roche Lobe Overflow",POWER(Upgrades!$U$17,I96),1)*IF(Upgrades!$T$18="Roche Lobe Overflow",POWER(Upgrades!$U$18,J96),1)*IF(Upgrades!$T$19="Roche Lobe Overflow",POWER(Upgrades!$U$19,K96),1)*IF(Upgrades!$T$20="Roche Lobe Overflow",POWER(Upgrades!$U$20,L96),1)*IF(Upgrades!$T$21="Roche Lobe Overflow",POWER(Upgrades!$U$21,M96),1))*$H$6*O96+((IF(F96=0,0,(Upgrades!$G$14+F96*Upgrades!$H$14)*POWER(Upgrades!$I$14,F96)))*(IF(Upgrades!$T$13="Local Bubble",POWER(Upgrades!$U$13,E96),1)*IF(Upgrades!$T$15="Local Bubble",POWER(Upgrades!$U$15,G96),1)*IF(Upgrades!$T$16="Local Bubble",POWER(Upgrades!$U$16,H96),1)*IF(Upgrades!$T$17="Local Bubble",POWER(Upgrades!$U$17,I96),1)*IF(Upgrades!$T$18="Local Bubble",POWER(Upgrades!$U$18,J96),1)*IF(Upgrades!$T$19="Local Bubble",POWER(Upgrades!$U$19,K96),1)*IF(Upgrades!$T$20="Local Bubble",POWER(Upgrades!$U$20,L96),1)*IF(Upgrades!$T$21="Local Bubble",POWER(Upgrades!$U$21,M96),1))*POWER(Upgrades!$P$13,E96)*POWER(Upgrades!$P$14,F96)*POWER(Upgrades!$P$15,G96)*POWER(Upgrades!$P$16,H96)*POWER(Upgrades!$P$17,I96)*POWER(Upgrades!$P$18,J96)*POWER(Upgrades!$P$19,K96)*POWER(Upgrades!$P$20,L96)*POWER(Upgrades!$P$21,M96)*$F$6)*0.05)/AN96,0)</f>
        <v/>
      </c>
      <c r="BC96" s="32">
        <f>IFERROR((Upgrades!$H$17*(POWER(Upgrades!$P$13,E96)*POWER(Upgrades!$P$14,F96)*POWER(Upgrades!$P$15,G96)*POWER(Upgrades!$P$16,H96)*POWER(Upgrades!$P$17,I96)*POWER(Upgrades!$P$18,J96)*POWER(Upgrades!$P$19,K96)*POWER(Upgrades!$P$20,L96)*POWER(Upgrades!$P$21,M96))*(IF(Upgrades!$T$13="Brown Dwarf",POWER(Upgrades!$U$13,E96),1)*IF(Upgrades!$T$14="Brown Dwarf",POWER(Upgrades!$U$14,F96),1)*IF(Upgrades!$T$15="Brown Dwarf",POWER(Upgrades!$U$15,G96),1)*IF(Upgrades!$T$16="Brown Dwarf",POWER(Upgrades!$U$16,H96),1)*IF(Upgrades!$T$18="Brown Dwarf",POWER(Upgrades!$U$18,J96),1)*IF(Upgrades!$T$19="Brown Dwarf",POWER(Upgrades!$U$19,K96),1)*IF(Upgrades!$T$20="Brown Dwarf",POWER(Upgrades!$U$20,L96),1)*IF(Upgrades!$T$21="Brown Dwarf",POWER(Upgrades!$U$21,M96),1))*$F$6+(((IF(H96=0,0,(Upgrades!$M$16+H96*Upgrades!$N$16)*POWER(Upgrades!$O$16,H96)))*(IF(Upgrades!$T$13="Roche Lobe Overflow",POWER(Upgrades!$U$13,E96),1)*IF(Upgrades!$T$14="Roche Lobe Overflow",POWER(Upgrades!$U$14,F96),1)*IF(Upgrades!$T$15="Roche Lobe Overflow",POWER(Upgrades!$U$15,G96),1)*IF(Upgrades!$T$17="Roche Lobe Overflow",POWER(Upgrades!$U$17,I96),1)*IF(Upgrades!$T$18="Roche Lobe Overflow",POWER(Upgrades!$U$18,J96),1)*IF(Upgrades!$T$19="Roche Lobe Overflow",POWER(Upgrades!$U$19,K96),1)*IF(Upgrades!$T$20="Roche Lobe Overflow",POWER(Upgrades!$U$20,L96),1)*IF(Upgrades!$T$21="Roche Lobe Overflow",POWER(Upgrades!$U$21,M96),1))*POWER(Upgrades!$R$13,E96)*POWER(Upgrades!$R$14,F96)*POWER(Upgrades!$R$15,G96)*POWER(Upgrades!$R$16,H96)*POWER(Upgrades!$R$17,I96)*POWER(Upgrades!$R$18,J96)*POWER(Upgrades!$R$19,K96)*POWER(Upgrades!$R$20,L96)*POWER(Upgrades!$R$21,M96)*$H$6)*O96)*0.10)/AO96,0)</f>
        <v/>
      </c>
      <c r="BD96" s="32">
        <f>MAX(IF(J96&gt;0,0,IFERROR(0.5*((IF(G96=0,0,(Upgrades!$J$15+G96*Upgrades!$K$15)*POWER(Upgrades!$L$15,G96)))*(IF(Upgrades!$T$13="Microlensing",POWER(Upgrades!$U$13,E96),1)*IF(Upgrades!$T$14="Microlensing",POWER(Upgrades!$U$14,F96),1)*IF(Upgrades!$T$16="Microlensing",POWER(Upgrades!$U$16,H96),1)*IF(Upgrades!$T$17="Microlensing",POWER(Upgrades!$U$17,I96),1)*IF(Upgrades!$T$18="Microlensing",POWER(Upgrades!$U$18,J96),1)*IF(Upgrades!$T$19="Microlensing",POWER(Upgrades!$U$19,K96),1)*IF(Upgrades!$T$20="Microlensing",POWER(Upgrades!$U$20,L96),1)*IF(Upgrades!$T$21="Microlensing",POWER(Upgrades!$U$21,M96),1))*(POWER(Upgrades!$Q$13,E96)*POWER(Upgrades!$Q$14,F96)*POWER(Upgrades!$Q$15,G96)*POWER(Upgrades!$Q$16,H96)*POWER(Upgrades!$Q$17,I96)*POWER(Upgrades!$Q$18,J96)*POWER(Upgrades!$Q$19,K96)*POWER(Upgrades!$Q$20,L96)*POWER(Upgrades!$Q$21,M96))*$G$6*(Parameters!$B$10/60*Parameters!$B$11+Q96))/Upgrades!$C$18,0)),IF(K96&gt;0,0,IFERROR(0.30*P96/Upgrades!$C$19,0)),IF(L96&gt;0,0,IFERROR(0.0001/Upgrades!$C$20,0)),IF(M96&gt;0,0,IFERROR((6.0*(POWER(Upgrades!$P$13,E96)*POWER(Upgrades!$P$14,F96)*POWER(Upgrades!$P$15,G96)*POWER(Upgrades!$P$16,H96)*POWER(Upgrades!$P$17,I96)*POWER(Upgrades!$P$18,J96)*POWER(Upgrades!$P$19,K96)*POWER(Upgrades!$P$20,L96)*POWER(Upgrades!$P$21,M96))*$F$6+0.20*O96*(Parameters!$B$10/60*Parameters!$B$11+Q96))/Upgrades!$C$21,0)),IF(AND(ISNUMBER(AK96),AK96&gt;(C96+T96)),AY96,0),IF(AND(ISNUMBER(AL96),AL96&gt;(C96+T96)),AZ96,0),IF(AND(ISNUMBER(AM96),AM96&gt;(C96+T96)),BA96,0),IF(AND(ISNUMBER(AN96),AN96&gt;(C96+T96)),BB96,0),IF(AND(ISNUMBER(AO96),AO96&gt;(C96+T96)),BC96,0))</f>
        <v/>
      </c>
      <c r="BE96" s="29">
        <f>IF(AT96=1,"transition",IF(MIN(IF(AND(J96=0,ISNUMBER(AP96),AP96&lt;=(C96+T96)),AP96,9E15),IF(AND(K96=0,ISNUMBER(AQ96),AQ96&lt;=(C96+T96)),AQ96,9E15),IF(AND(L96=0,ISNUMBER(AR96),AR96&lt;=(C96+T96)),AR96,9E15),IF(AND(M96=0,ISNUMBER(AS96),AS96&lt;=(C96+T96)),AS96,9E15))&lt;9E15,IF(AND(AND(J96=0,ISNUMBER(AP96),AP96&lt;=(C96+T96)),AP96=MIN(IF(AND(J96=0,ISNUMBER(AP96),AP96&lt;=(C96+T96)),AP96,9E15),IF(AND(K96=0,ISNUMBER(AQ96),AQ96&lt;=(C96+T96)),AQ96,9E15),IF(AND(L96=0,ISNUMBER(AR96),AR96&lt;=(C96+T96)),AR96,9E15),IF(AND(M96=0,ISNUMBER(AS96),AS96&lt;=(C96+T96)),AS96,9E15))),"BiP",IF(AND(AND(K96=0,ISNUMBER(AQ96),AQ96&lt;=(C96+T96)),AQ96=MIN(IF(AND(J96=0,ISNUMBER(AP96),AP96&lt;=(C96+T96)),AP96,9E15),IF(AND(K96=0,ISNUMBER(AQ96),AQ96&lt;=(C96+T96)),AQ96,9E15),IF(AND(L96=0,ISNUMBER(AR96),AR96&lt;=(C96+T96)),AR96,9E15),IF(AND(M96=0,ISNUMBER(AS96),AS96&lt;=(C96+T96)),AS96,9E15))),"PV",IF(AND(AND(L96=0,ISNUMBER(AR96),AR96&lt;=(C96+T96)),AR96=MIN(IF(AND(J96=0,ISNUMBER(AP96),AP96&lt;=(C96+T96)),AP96,9E15),IF(AND(K96=0,ISNUMBER(AQ96),AQ96&lt;=(C96+T96)),AQ96,9E15),IF(AND(L96=0,ISNUMBER(AR96),AR96&lt;=(C96+T96)),AR96,9E15),IF(AND(M96=0,ISNUMBER(AS96),AS96&lt;=(C96+T96)),AS96,9E15))),"OC","MG"))),IF(AX96=TRUE,"",IF(MAX(IF(AND(NOT(AND(AU96=1,AT96&lt;&gt;1)),ISNUMBER(AK96),AK96&lt;=(C96+T96)),AY96,0),IF(AND(NOT(AND(AU96=1,AT96&lt;&gt;1)),ISNUMBER(AL96),AL96&lt;=(C96+T96)),AZ96,0),IF(AND(NOT(AND(AU96=1,AT96&lt;&gt;1)),ISNUMBER(AM96),AM96&lt;=(C96+T96)),BA96,0),IF(AND(NOT(AND(AU96=1,AT96&lt;&gt;1)),ISNUMBER(AN96),AN96&lt;=(C96+T96)),BB96,0),IF(AND(ISNUMBER(AO96),AO96&lt;=(C96+T96)),BC96,0))&lt;=0,"",IF(AND(IF(AND(NOT(AND(AU96=1,AT96&lt;&gt;1)),ISNUMBER(AK96),AK96&lt;=(C96+T96)),AY96,0)&gt;0,IF(AND(NOT(AND(AU96=1,AT96&lt;&gt;1)),ISNUMBER(AK96),AK96&lt;=(C96+T96)),AY96,0)=MAX(IF(AND(NOT(AND(AU96=1,AT96&lt;&gt;1)),ISNUMBER(AK96),AK96&lt;=(C96+T96)),AY96,0),IF(AND(NOT(AND(AU96=1,AT96&lt;&gt;1)),ISNUMBER(AL96),AL96&lt;=(C96+T96)),AZ96,0),IF(AND(NOT(AND(AU96=1,AT96&lt;&gt;1)),ISNUMBER(AM96),AM96&lt;=(C96+T96)),BA96,0),IF(AND(NOT(AND(AU96=1,AT96&lt;&gt;1)),ISNUMBER(AN96),AN96&lt;=(C96+T96)),BB96,0),IF(AND(ISNUMBER(AO96),AO96&lt;=(C96+T96)),BC96,0))),"SK",IF(AND(IF(AND(NOT(AND(AU96=1,AT96&lt;&gt;1)),ISNUMBER(AL96),AL96&lt;=(C96+T96)),AZ96,0)&gt;0,IF(AND(NOT(AND(AU96=1,AT96&lt;&gt;1)),ISNUMBER(AL96),AL96&lt;=(C96+T96)),AZ96,0)=MAX(IF(AND(NOT(AND(AU96=1,AT96&lt;&gt;1)),ISNUMBER(AK96),AK96&lt;=(C96+T96)),AY96,0),IF(AND(NOT(AND(AU96=1,AT96&lt;&gt;1)),ISNUMBER(AL96),AL96&lt;=(C96+T96)),AZ96,0),IF(AND(NOT(AND(AU96=1,AT96&lt;&gt;1)),ISNUMBER(AM96),AM96&lt;=(C96+T96)),BA96,0),IF(AND(NOT(AND(AU96=1,AT96&lt;&gt;1)),ISNUMBER(AN96),AN96&lt;=(C96+T96)),BB96,0),IF(AND(ISNUMBER(AO96),AO96&lt;=(C96+T96)),BC96,0))),"LB",IF(AND(IF(AND(NOT(AND(AU96=1,AT96&lt;&gt;1)),ISNUMBER(AM96),AM96&lt;=(C96+T96)),BA96,0)&gt;0,IF(AND(NOT(AND(AU96=1,AT96&lt;&gt;1)),ISNUMBER(AM96),AM96&lt;=(C96+T96)),BA96,0)=MAX(IF(AND(NOT(AND(AU96=1,AT96&lt;&gt;1)),ISNUMBER(AK96),AK96&lt;=(C96+T96)),AY96,0),IF(AND(NOT(AND(AU96=1,AT96&lt;&gt;1)),ISNUMBER(AL96),AL96&lt;=(C96+T96)),AZ96,0),IF(AND(NOT(AND(AU96=1,AT96&lt;&gt;1)),ISNUMBER(AM96),AM96&lt;=(C96+T96)),BA96,0),IF(AND(NOT(AND(AU96=1,AT96&lt;&gt;1)),ISNUMBER(AN96),AN96&lt;=(C96+T96)),BB96,0),IF(AND(ISNUMBER(AO96),AO96&lt;=(C96+T96)),BC96,0))),"ML",IF(AND(IF(AND(NOT(AND(AU96=1,AT96&lt;&gt;1)),ISNUMBER(AN96),AN96&lt;=(C96+T96)),BB96,0)&gt;0,IF(AND(NOT(AND(AU96=1,AT96&lt;&gt;1)),ISNUMBER(AN96),AN96&lt;=(C96+T96)),BB96,0)=MAX(IF(AND(NOT(AND(AU96=1,AT96&lt;&gt;1)),ISNUMBER(AK96),AK96&lt;=(C96+T96)),AY96,0),IF(AND(NOT(AND(AU96=1,AT96&lt;&gt;1)),ISNUMBER(AL96),AL96&lt;=(C96+T96)),AZ96,0),IF(AND(NOT(AND(AU96=1,AT96&lt;&gt;1)),ISNUMBER(AM96),AM96&lt;=(C96+T96)),BA96,0),IF(AND(NOT(AND(AU96=1,AT96&lt;&gt;1)),ISNUMBER(AN96),AN96&lt;=(C96+T96)),BB96,0),IF(AND(ISNUMBER(AO96),AO96&lt;=(C96+T96)),BC96,0))),"RLO","BD"))))))))</f>
        <v/>
      </c>
    </row>
    <row r="97">
      <c r="A97" s="26" t="n">
        <v>86</v>
      </c>
      <c r="B97" s="27">
        <f>A97*10/60</f>
        <v/>
      </c>
      <c r="C97" s="22">
        <f>X96</f>
        <v/>
      </c>
      <c r="D97" s="27">
        <f>D96+W96</f>
        <v/>
      </c>
      <c r="E97" s="26">
        <f>E96+IF(U96="SK",1,0)</f>
        <v/>
      </c>
      <c r="F97" s="26">
        <f>F96+IF(U96="LB",1,0)</f>
        <v/>
      </c>
      <c r="G97" s="26">
        <f>G96+IF(U96="ML",1,0)</f>
        <v/>
      </c>
      <c r="H97" s="26">
        <f>H96+IF(U96="RLO",1,0)</f>
        <v/>
      </c>
      <c r="I97" s="26">
        <f>I96+IF(U96="BD",1,0)</f>
        <v/>
      </c>
      <c r="J97" s="26">
        <f>MAX(J96,IF(U96="BiP",1,0))</f>
        <v/>
      </c>
      <c r="K97" s="26">
        <f>MAX(K96,IF(U96="PV",1,0))</f>
        <v/>
      </c>
      <c r="L97" s="26">
        <f>MAX(L96,IF(U96="OC",1,0))</f>
        <v/>
      </c>
      <c r="M97" s="26">
        <f>MAX(M96,IF(U96="MG",1,0))</f>
        <v/>
      </c>
      <c r="N97" s="26">
        <f>MAX(N96,IF(U96="transition",1,0))</f>
        <v/>
      </c>
      <c r="O97" s="28">
        <f>(Parameters!$B$9+(IF(E97=0,0,(Upgrades!$J$13+E97*Upgrades!$K$13)*POWER(Upgrades!$L$13,E97)))*(IF(Upgrades!$T$14="Stellar Kinematics",POWER(Upgrades!$U$14,F97),1)*IF(Upgrades!$T$15="Stellar Kinematics",POWER(Upgrades!$U$15,G97),1)*IF(Upgrades!$T$16="Stellar Kinematics",POWER(Upgrades!$U$16,H97),1)*IF(Upgrades!$T$17="Stellar Kinematics",POWER(Upgrades!$U$17,I97),1)*IF(Upgrades!$T$18="Stellar Kinematics",POWER(Upgrades!$U$18,J97),1)*IF(Upgrades!$T$19="Stellar Kinematics",POWER(Upgrades!$U$19,K97),1)*IF(Upgrades!$T$20="Stellar Kinematics",POWER(Upgrades!$U$20,L97),1)*IF(Upgrades!$T$21="Stellar Kinematics",POWER(Upgrades!$U$21,M97),1))+(IF(F97=0,0,(Upgrades!$J$14+F97*Upgrades!$K$14)*POWER(Upgrades!$L$14,F97)))*(IF(Upgrades!$T$13="Local Bubble",POWER(Upgrades!$U$13,E97),1)*IF(Upgrades!$T$15="Local Bubble",POWER(Upgrades!$U$15,G97),1)*IF(Upgrades!$T$16="Local Bubble",POWER(Upgrades!$U$16,H97),1)*IF(Upgrades!$T$17="Local Bubble",POWER(Upgrades!$U$17,I97),1)*IF(Upgrades!$T$18="Local Bubble",POWER(Upgrades!$U$18,J97),1)*IF(Upgrades!$T$19="Local Bubble",POWER(Upgrades!$U$19,K97),1)*IF(Upgrades!$T$20="Local Bubble",POWER(Upgrades!$U$20,L97),1)*IF(Upgrades!$T$21="Local Bubble",POWER(Upgrades!$U$21,M97),1))+(IF(G97=0,0,(Upgrades!$J$15+G97*Upgrades!$K$15)*POWER(Upgrades!$L$15,G97)))*(IF(Upgrades!$T$13="Microlensing",POWER(Upgrades!$U$13,E97),1)*IF(Upgrades!$T$14="Microlensing",POWER(Upgrades!$U$14,F97),1)*IF(Upgrades!$T$16="Microlensing",POWER(Upgrades!$U$16,H97),1)*IF(Upgrades!$T$17="Microlensing",POWER(Upgrades!$U$17,I97),1)*IF(Upgrades!$T$18="Microlensing",POWER(Upgrades!$U$18,J97),1)*IF(Upgrades!$T$19="Microlensing",POWER(Upgrades!$U$19,K97),1)*IF(Upgrades!$T$20="Microlensing",POWER(Upgrades!$U$20,L97),1)*IF(Upgrades!$T$21="Microlensing",POWER(Upgrades!$U$21,M97),1))+(IF(H97=0,0,(Upgrades!$J$16+H97*Upgrades!$K$16)*POWER(Upgrades!$L$16,H97)))*(IF(Upgrades!$T$13="Roche Lobe Overflow",POWER(Upgrades!$U$13,E97),1)*IF(Upgrades!$T$14="Roche Lobe Overflow",POWER(Upgrades!$U$14,F97),1)*IF(Upgrades!$T$15="Roche Lobe Overflow",POWER(Upgrades!$U$15,G97),1)*IF(Upgrades!$T$17="Roche Lobe Overflow",POWER(Upgrades!$U$17,I97),1)*IF(Upgrades!$T$18="Roche Lobe Overflow",POWER(Upgrades!$U$18,J97),1)*IF(Upgrades!$T$19="Roche Lobe Overflow",POWER(Upgrades!$U$19,K97),1)*IF(Upgrades!$T$20="Roche Lobe Overflow",POWER(Upgrades!$U$20,L97),1)*IF(Upgrades!$T$21="Roche Lobe Overflow",POWER(Upgrades!$U$21,M97),1))+(IF(I97=0,0,(Upgrades!$J$17+I97*Upgrades!$K$17)*POWER(Upgrades!$L$17,I97)))*(IF(Upgrades!$T$13="Brown Dwarf",POWER(Upgrades!$U$13,E97),1)*IF(Upgrades!$T$14="Brown Dwarf",POWER(Upgrades!$U$14,F97),1)*IF(Upgrades!$T$15="Brown Dwarf",POWER(Upgrades!$U$15,G97),1)*IF(Upgrades!$T$16="Brown Dwarf",POWER(Upgrades!$U$16,H97),1)*IF(Upgrades!$T$18="Brown Dwarf",POWER(Upgrades!$U$18,J97),1)*IF(Upgrades!$T$19="Brown Dwarf",POWER(Upgrades!$U$19,K97),1)*IF(Upgrades!$T$20="Brown Dwarf",POWER(Upgrades!$U$20,L97),1)*IF(Upgrades!$T$21="Brown Dwarf",POWER(Upgrades!$U$21,M97),1))+(IF(J97=0,0,(Upgrades!$J$18+J97*Upgrades!$K$18)*POWER(Upgrades!$L$18,J97)))*(IF(Upgrades!$T$13="Binary Partner",POWER(Upgrades!$U$13,E97),1)*IF(Upgrades!$T$14="Binary Partner",POWER(Upgrades!$U$14,F97),1)*IF(Upgrades!$T$15="Binary Partner",POWER(Upgrades!$U$15,G97),1)*IF(Upgrades!$T$16="Binary Partner",POWER(Upgrades!$U$16,H97),1)*IF(Upgrades!$T$17="Binary Partner",POWER(Upgrades!$U$17,I97),1)*IF(Upgrades!$T$19="Binary Partner",POWER(Upgrades!$U$19,K97),1)*IF(Upgrades!$T$20="Binary Partner",POWER(Upgrades!$U$20,L97),1)*IF(Upgrades!$T$21="Binary Partner",POWER(Upgrades!$U$21,M97),1))+(IF(K97=0,0,(Upgrades!$J$19+K97*Upgrades!$K$19)*POWER(Upgrades!$L$19,K97)))*(IF(Upgrades!$T$13="Peculiar Velocity",POWER(Upgrades!$U$13,E97),1)*IF(Upgrades!$T$14="Peculiar Velocity",POWER(Upgrades!$U$14,F97),1)*IF(Upgrades!$T$15="Peculiar Velocity",POWER(Upgrades!$U$15,G97),1)*IF(Upgrades!$T$16="Peculiar Velocity",POWER(Upgrades!$U$16,H97),1)*IF(Upgrades!$T$17="Peculiar Velocity",POWER(Upgrades!$U$17,I97),1)*IF(Upgrades!$T$18="Peculiar Velocity",POWER(Upgrades!$U$18,J97),1)*IF(Upgrades!$T$20="Peculiar Velocity",POWER(Upgrades!$U$20,L97),1)*IF(Upgrades!$T$21="Peculiar Velocity",POWER(Upgrades!$U$21,M97),1))+(IF(L97=0,0,(Upgrades!$J$20+L97*Upgrades!$K$20)*POWER(Upgrades!$L$20,L97)))*(IF(Upgrades!$T$13="Open Cluster",POWER(Upgrades!$U$13,E97),1)*IF(Upgrades!$T$14="Open Cluster",POWER(Upgrades!$U$14,F97),1)*IF(Upgrades!$T$15="Open Cluster",POWER(Upgrades!$U$15,G97),1)*IF(Upgrades!$T$16="Open Cluster",POWER(Upgrades!$U$16,H97),1)*IF(Upgrades!$T$17="Open Cluster",POWER(Upgrades!$U$17,I97),1)*IF(Upgrades!$T$18="Open Cluster",POWER(Upgrades!$U$18,J97),1)*IF(Upgrades!$T$19="Open Cluster",POWER(Upgrades!$U$19,K97),1)*IF(Upgrades!$T$21="Open Cluster",POWER(Upgrades!$U$21,M97),1))+(IF(M97=0,0,(Upgrades!$J$21+M97*Upgrades!$K$21)*POWER(Upgrades!$L$21,M97)))*(IF(Upgrades!$T$13="Moving Group",POWER(Upgrades!$U$13,E97),1)*IF(Upgrades!$T$14="Moving Group",POWER(Upgrades!$U$14,F97),1)*IF(Upgrades!$T$15="Moving Group",POWER(Upgrades!$U$15,G97),1)*IF(Upgrades!$T$16="Moving Group",POWER(Upgrades!$U$16,H97),1)*IF(Upgrades!$T$17="Moving Group",POWER(Upgrades!$U$17,I97),1)*IF(Upgrades!$T$18="Moving Group",POWER(Upgrades!$U$18,J97),1)*IF(Upgrades!$T$19="Moving Group",POWER(Upgrades!$U$19,K97),1)*IF(Upgrades!$T$20="Moving Group",POWER(Upgrades!$U$20,L97),1)))*POWER(Upgrades!$Q$13,E97)*POWER(Upgrades!$Q$14,F97)*POWER(Upgrades!$Q$15,G97)*POWER(Upgrades!$Q$16,H97)*POWER(Upgrades!$Q$17,I97)*POWER(Upgrades!$Q$18,J97)*POWER(Upgrades!$Q$19,K97)*POWER(Upgrades!$Q$20,L97)*POWER(Upgrades!$Q$21,M97)*$G$6+$D$6</f>
        <v/>
      </c>
      <c r="P97" s="28">
        <f>((IF(E97=0,0,(Upgrades!$G$13+E97*Upgrades!$H$13)*POWER(Upgrades!$I$13,E97)))*(IF(Upgrades!$T$14="Stellar Kinematics",POWER(Upgrades!$U$14,F97),1)*IF(Upgrades!$T$15="Stellar Kinematics",POWER(Upgrades!$U$15,G97),1)*IF(Upgrades!$T$16="Stellar Kinematics",POWER(Upgrades!$U$16,H97),1)*IF(Upgrades!$T$17="Stellar Kinematics",POWER(Upgrades!$U$17,I97),1)*IF(Upgrades!$T$18="Stellar Kinematics",POWER(Upgrades!$U$18,J97),1)*IF(Upgrades!$T$19="Stellar Kinematics",POWER(Upgrades!$U$19,K97),1)*IF(Upgrades!$T$20="Stellar Kinematics",POWER(Upgrades!$U$20,L97),1)*IF(Upgrades!$T$21="Stellar Kinematics",POWER(Upgrades!$U$21,M97),1))+(IF(F97=0,0,(Upgrades!$G$14+F97*Upgrades!$H$14)*POWER(Upgrades!$I$14,F97)))*(IF(Upgrades!$T$13="Local Bubble",POWER(Upgrades!$U$13,E97),1)*IF(Upgrades!$T$15="Local Bubble",POWER(Upgrades!$U$15,G97),1)*IF(Upgrades!$T$16="Local Bubble",POWER(Upgrades!$U$16,H97),1)*IF(Upgrades!$T$17="Local Bubble",POWER(Upgrades!$U$17,I97),1)*IF(Upgrades!$T$18="Local Bubble",POWER(Upgrades!$U$18,J97),1)*IF(Upgrades!$T$19="Local Bubble",POWER(Upgrades!$U$19,K97),1)*IF(Upgrades!$T$20="Local Bubble",POWER(Upgrades!$U$20,L97),1)*IF(Upgrades!$T$21="Local Bubble",POWER(Upgrades!$U$21,M97),1))+(IF(G97=0,0,(Upgrades!$G$15+G97*Upgrades!$H$15)*POWER(Upgrades!$I$15,G97)))*(IF(Upgrades!$T$13="Microlensing",POWER(Upgrades!$U$13,E97),1)*IF(Upgrades!$T$14="Microlensing",POWER(Upgrades!$U$14,F97),1)*IF(Upgrades!$T$16="Microlensing",POWER(Upgrades!$U$16,H97),1)*IF(Upgrades!$T$17="Microlensing",POWER(Upgrades!$U$17,I97),1)*IF(Upgrades!$T$18="Microlensing",POWER(Upgrades!$U$18,J97),1)*IF(Upgrades!$T$19="Microlensing",POWER(Upgrades!$U$19,K97),1)*IF(Upgrades!$T$20="Microlensing",POWER(Upgrades!$U$20,L97),1)*IF(Upgrades!$T$21="Microlensing",POWER(Upgrades!$U$21,M97),1))+(IF(H97=0,0,(Upgrades!$G$16+H97*Upgrades!$H$16)*POWER(Upgrades!$I$16,H97)))*(IF(Upgrades!$T$13="Roche Lobe Overflow",POWER(Upgrades!$U$13,E97),1)*IF(Upgrades!$T$14="Roche Lobe Overflow",POWER(Upgrades!$U$14,F97),1)*IF(Upgrades!$T$15="Roche Lobe Overflow",POWER(Upgrades!$U$15,G97),1)*IF(Upgrades!$T$17="Roche Lobe Overflow",POWER(Upgrades!$U$17,I97),1)*IF(Upgrades!$T$18="Roche Lobe Overflow",POWER(Upgrades!$U$18,J97),1)*IF(Upgrades!$T$19="Roche Lobe Overflow",POWER(Upgrades!$U$19,K97),1)*IF(Upgrades!$T$20="Roche Lobe Overflow",POWER(Upgrades!$U$20,L97),1)*IF(Upgrades!$T$21="Roche Lobe Overflow",POWER(Upgrades!$U$21,M97),1))+(IF(I97=0,0,(Upgrades!$G$17+I97*Upgrades!$H$17)*POWER(Upgrades!$I$17,I97)))*(IF(Upgrades!$T$13="Brown Dwarf",POWER(Upgrades!$U$13,E97),1)*IF(Upgrades!$T$14="Brown Dwarf",POWER(Upgrades!$U$14,F97),1)*IF(Upgrades!$T$15="Brown Dwarf",POWER(Upgrades!$U$15,G97),1)*IF(Upgrades!$T$16="Brown Dwarf",POWER(Upgrades!$U$16,H97),1)*IF(Upgrades!$T$18="Brown Dwarf",POWER(Upgrades!$U$18,J97),1)*IF(Upgrades!$T$19="Brown Dwarf",POWER(Upgrades!$U$19,K97),1)*IF(Upgrades!$T$20="Brown Dwarf",POWER(Upgrades!$U$20,L97),1)*IF(Upgrades!$T$21="Brown Dwarf",POWER(Upgrades!$U$21,M97),1))+(IF(J97=0,0,(Upgrades!$G$18+J97*Upgrades!$H$18)*POWER(Upgrades!$I$18,J97)))*(IF(Upgrades!$T$13="Binary Partner",POWER(Upgrades!$U$13,E97),1)*IF(Upgrades!$T$14="Binary Partner",POWER(Upgrades!$U$14,F97),1)*IF(Upgrades!$T$15="Binary Partner",POWER(Upgrades!$U$15,G97),1)*IF(Upgrades!$T$16="Binary Partner",POWER(Upgrades!$U$16,H97),1)*IF(Upgrades!$T$17="Binary Partner",POWER(Upgrades!$U$17,I97),1)*IF(Upgrades!$T$19="Binary Partner",POWER(Upgrades!$U$19,K97),1)*IF(Upgrades!$T$20="Binary Partner",POWER(Upgrades!$U$20,L97),1)*IF(Upgrades!$T$21="Binary Partner",POWER(Upgrades!$U$21,M97),1))+(IF(K97=0,0,(Upgrades!$G$19+K97*Upgrades!$H$19)*POWER(Upgrades!$I$19,K97)))*(IF(Upgrades!$T$13="Peculiar Velocity",POWER(Upgrades!$U$13,E97),1)*IF(Upgrades!$T$14="Peculiar Velocity",POWER(Upgrades!$U$14,F97),1)*IF(Upgrades!$T$15="Peculiar Velocity",POWER(Upgrades!$U$15,G97),1)*IF(Upgrades!$T$16="Peculiar Velocity",POWER(Upgrades!$U$16,H97),1)*IF(Upgrades!$T$17="Peculiar Velocity",POWER(Upgrades!$U$17,I97),1)*IF(Upgrades!$T$18="Peculiar Velocity",POWER(Upgrades!$U$18,J97),1)*IF(Upgrades!$T$20="Peculiar Velocity",POWER(Upgrades!$U$20,L97),1)*IF(Upgrades!$T$21="Peculiar Velocity",POWER(Upgrades!$U$21,M97),1))+(IF(L97=0,0,(Upgrades!$G$20+L97*Upgrades!$H$20)*POWER(Upgrades!$I$20,L97)))*(IF(Upgrades!$T$13="Open Cluster",POWER(Upgrades!$U$13,E97),1)*IF(Upgrades!$T$14="Open Cluster",POWER(Upgrades!$U$14,F97),1)*IF(Upgrades!$T$15="Open Cluster",POWER(Upgrades!$U$15,G97),1)*IF(Upgrades!$T$16="Open Cluster",POWER(Upgrades!$U$16,H97),1)*IF(Upgrades!$T$17="Open Cluster",POWER(Upgrades!$U$17,I97),1)*IF(Upgrades!$T$18="Open Cluster",POWER(Upgrades!$U$18,J97),1)*IF(Upgrades!$T$19="Open Cluster",POWER(Upgrades!$U$19,K97),1)*IF(Upgrades!$T$21="Open Cluster",POWER(Upgrades!$U$21,M97),1))+(IF(M97=0,0,(Upgrades!$G$21+M97*Upgrades!$H$21)*POWER(Upgrades!$I$21,M97)))*(IF(Upgrades!$T$13="Moving Group",POWER(Upgrades!$U$13,E97),1)*IF(Upgrades!$T$14="Moving Group",POWER(Upgrades!$U$14,F97),1)*IF(Upgrades!$T$15="Moving Group",POWER(Upgrades!$U$15,G97),1)*IF(Upgrades!$T$16="Moving Group",POWER(Upgrades!$U$16,H97),1)*IF(Upgrades!$T$17="Moving Group",POWER(Upgrades!$U$17,I97),1)*IF(Upgrades!$T$18="Moving Group",POWER(Upgrades!$U$18,J97),1)*IF(Upgrades!$T$19="Moving Group",POWER(Upgrades!$U$19,K97),1)*IF(Upgrades!$T$20="Moving Group",POWER(Upgrades!$U$20,L97),1)))*POWER(Upgrades!$P$13,E97)*POWER(Upgrades!$P$14,F97)*POWER(Upgrades!$P$15,G97)*POWER(Upgrades!$P$16,H97)*POWER(Upgrades!$P$17,I97)*POWER(Upgrades!$P$18,J97)*POWER(Upgrades!$P$19,K97)*POWER(Upgrades!$P$20,L97)*POWER(Upgrades!$P$21,M97)*$F$6+$C$6</f>
        <v/>
      </c>
      <c r="Q97" s="28">
        <f>((IF(E97=0,0,(Upgrades!$M$13+E97*Upgrades!$N$13)*POWER(Upgrades!$O$13,E97)))*(IF(Upgrades!$T$14="Stellar Kinematics",POWER(Upgrades!$U$14,F97),1)*IF(Upgrades!$T$15="Stellar Kinematics",POWER(Upgrades!$U$15,G97),1)*IF(Upgrades!$T$16="Stellar Kinematics",POWER(Upgrades!$U$16,H97),1)*IF(Upgrades!$T$17="Stellar Kinematics",POWER(Upgrades!$U$17,I97),1)*IF(Upgrades!$T$18="Stellar Kinematics",POWER(Upgrades!$U$18,J97),1)*IF(Upgrades!$T$19="Stellar Kinematics",POWER(Upgrades!$U$19,K97),1)*IF(Upgrades!$T$20="Stellar Kinematics",POWER(Upgrades!$U$20,L97),1)*IF(Upgrades!$T$21="Stellar Kinematics",POWER(Upgrades!$U$21,M97),1))+(IF(F97=0,0,(Upgrades!$M$14+F97*Upgrades!$N$14)*POWER(Upgrades!$O$14,F97)))*(IF(Upgrades!$T$13="Local Bubble",POWER(Upgrades!$U$13,E97),1)*IF(Upgrades!$T$15="Local Bubble",POWER(Upgrades!$U$15,G97),1)*IF(Upgrades!$T$16="Local Bubble",POWER(Upgrades!$U$16,H97),1)*IF(Upgrades!$T$17="Local Bubble",POWER(Upgrades!$U$17,I97),1)*IF(Upgrades!$T$18="Local Bubble",POWER(Upgrades!$U$18,J97),1)*IF(Upgrades!$T$19="Local Bubble",POWER(Upgrades!$U$19,K97),1)*IF(Upgrades!$T$20="Local Bubble",POWER(Upgrades!$U$20,L97),1)*IF(Upgrades!$T$21="Local Bubble",POWER(Upgrades!$U$21,M97),1))+(IF(G97=0,0,(Upgrades!$M$15+G97*Upgrades!$N$15)*POWER(Upgrades!$O$15,G97)))*(IF(Upgrades!$T$13="Microlensing",POWER(Upgrades!$U$13,E97),1)*IF(Upgrades!$T$14="Microlensing",POWER(Upgrades!$U$14,F97),1)*IF(Upgrades!$T$16="Microlensing",POWER(Upgrades!$U$16,H97),1)*IF(Upgrades!$T$17="Microlensing",POWER(Upgrades!$U$17,I97),1)*IF(Upgrades!$T$18="Microlensing",POWER(Upgrades!$U$18,J97),1)*IF(Upgrades!$T$19="Microlensing",POWER(Upgrades!$U$19,K97),1)*IF(Upgrades!$T$20="Microlensing",POWER(Upgrades!$U$20,L97),1)*IF(Upgrades!$T$21="Microlensing",POWER(Upgrades!$U$21,M97),1))+(IF(H97=0,0,(Upgrades!$M$16+H97*Upgrades!$N$16)*POWER(Upgrades!$O$16,H97)))*(IF(Upgrades!$T$13="Roche Lobe Overflow",POWER(Upgrades!$U$13,E97),1)*IF(Upgrades!$T$14="Roche Lobe Overflow",POWER(Upgrades!$U$14,F97),1)*IF(Upgrades!$T$15="Roche Lobe Overflow",POWER(Upgrades!$U$15,G97),1)*IF(Upgrades!$T$17="Roche Lobe Overflow",POWER(Upgrades!$U$17,I97),1)*IF(Upgrades!$T$18="Roche Lobe Overflow",POWER(Upgrades!$U$18,J97),1)*IF(Upgrades!$T$19="Roche Lobe Overflow",POWER(Upgrades!$U$19,K97),1)*IF(Upgrades!$T$20="Roche Lobe Overflow",POWER(Upgrades!$U$20,L97),1)*IF(Upgrades!$T$21="Roche Lobe Overflow",POWER(Upgrades!$U$21,M97),1))+(IF(I97=0,0,(Upgrades!$M$17+I97*Upgrades!$N$17)*POWER(Upgrades!$O$17,I97)))*(IF(Upgrades!$T$13="Brown Dwarf",POWER(Upgrades!$U$13,E97),1)*IF(Upgrades!$T$14="Brown Dwarf",POWER(Upgrades!$U$14,F97),1)*IF(Upgrades!$T$15="Brown Dwarf",POWER(Upgrades!$U$15,G97),1)*IF(Upgrades!$T$16="Brown Dwarf",POWER(Upgrades!$U$16,H97),1)*IF(Upgrades!$T$18="Brown Dwarf",POWER(Upgrades!$U$18,J97),1)*IF(Upgrades!$T$19="Brown Dwarf",POWER(Upgrades!$U$19,K97),1)*IF(Upgrades!$T$20="Brown Dwarf",POWER(Upgrades!$U$20,L97),1)*IF(Upgrades!$T$21="Brown Dwarf",POWER(Upgrades!$U$21,M97),1))+(IF(J97=0,0,(Upgrades!$M$18+J97*Upgrades!$N$18)*POWER(Upgrades!$O$18,J97)))*(IF(Upgrades!$T$13="Binary Partner",POWER(Upgrades!$U$13,E97),1)*IF(Upgrades!$T$14="Binary Partner",POWER(Upgrades!$U$14,F97),1)*IF(Upgrades!$T$15="Binary Partner",POWER(Upgrades!$U$15,G97),1)*IF(Upgrades!$T$16="Binary Partner",POWER(Upgrades!$U$16,H97),1)*IF(Upgrades!$T$17="Binary Partner",POWER(Upgrades!$U$17,I97),1)*IF(Upgrades!$T$19="Binary Partner",POWER(Upgrades!$U$19,K97),1)*IF(Upgrades!$T$20="Binary Partner",POWER(Upgrades!$U$20,L97),1)*IF(Upgrades!$T$21="Binary Partner",POWER(Upgrades!$U$21,M97),1))+(IF(K97=0,0,(Upgrades!$M$19+K97*Upgrades!$N$19)*POWER(Upgrades!$O$19,K97)))*(IF(Upgrades!$T$13="Peculiar Velocity",POWER(Upgrades!$U$13,E97),1)*IF(Upgrades!$T$14="Peculiar Velocity",POWER(Upgrades!$U$14,F97),1)*IF(Upgrades!$T$15="Peculiar Velocity",POWER(Upgrades!$U$15,G97),1)*IF(Upgrades!$T$16="Peculiar Velocity",POWER(Upgrades!$U$16,H97),1)*IF(Upgrades!$T$17="Peculiar Velocity",POWER(Upgrades!$U$17,I97),1)*IF(Upgrades!$T$18="Peculiar Velocity",POWER(Upgrades!$U$18,J97),1)*IF(Upgrades!$T$20="Peculiar Velocity",POWER(Upgrades!$U$20,L97),1)*IF(Upgrades!$T$21="Peculiar Velocity",POWER(Upgrades!$U$21,M97),1))+(IF(L97=0,0,(Upgrades!$M$20+L97*Upgrades!$N$20)*POWER(Upgrades!$O$20,L97)))*(IF(Upgrades!$T$13="Open Cluster",POWER(Upgrades!$U$13,E97),1)*IF(Upgrades!$T$14="Open Cluster",POWER(Upgrades!$U$14,F97),1)*IF(Upgrades!$T$15="Open Cluster",POWER(Upgrades!$U$15,G97),1)*IF(Upgrades!$T$16="Open Cluster",POWER(Upgrades!$U$16,H97),1)*IF(Upgrades!$T$17="Open Cluster",POWER(Upgrades!$U$17,I97),1)*IF(Upgrades!$T$18="Open Cluster",POWER(Upgrades!$U$18,J97),1)*IF(Upgrades!$T$19="Open Cluster",POWER(Upgrades!$U$19,K97),1)*IF(Upgrades!$T$21="Open Cluster",POWER(Upgrades!$U$21,M97),1))+(IF(M97=0,0,(Upgrades!$M$21+M97*Upgrades!$N$21)*POWER(Upgrades!$O$21,M97)))*(IF(Upgrades!$T$13="Moving Group",POWER(Upgrades!$U$13,E97),1)*IF(Upgrades!$T$14="Moving Group",POWER(Upgrades!$U$14,F97),1)*IF(Upgrades!$T$15="Moving Group",POWER(Upgrades!$U$15,G97),1)*IF(Upgrades!$T$16="Moving Group",POWER(Upgrades!$U$16,H97),1)*IF(Upgrades!$T$17="Moving Group",POWER(Upgrades!$U$17,I97),1)*IF(Upgrades!$T$18="Moving Group",POWER(Upgrades!$U$18,J97),1)*IF(Upgrades!$T$19="Moving Group",POWER(Upgrades!$U$19,K97),1)*IF(Upgrades!$T$20="Moving Group",POWER(Upgrades!$U$20,L97),1)))*POWER(Upgrades!$R$13,E97)*POWER(Upgrades!$R$14,F97)*POWER(Upgrades!$R$15,G97)*POWER(Upgrades!$R$16,H97)*POWER(Upgrades!$R$17,I97)*POWER(Upgrades!$R$18,J97)*POWER(Upgrades!$R$19,K97)*POWER(Upgrades!$R$20,L97)*POWER(Upgrades!$R$21,M97)*$H$6+$E$6</f>
        <v/>
      </c>
      <c r="R97" s="27">
        <f>IF(N97=1,0,O97*Parameters!$B$10/60*Parameters!$B$11*10)</f>
        <v/>
      </c>
      <c r="S97" s="27">
        <f>IF(N97=1,0,Q97*O97*10)</f>
        <v/>
      </c>
      <c r="T97" s="27">
        <f>IF(N97=1,0,R97+S97+P97*10)</f>
        <v/>
      </c>
      <c r="U97" s="33">
        <f>BE97</f>
        <v/>
      </c>
      <c r="V97" s="22">
        <f>IF(U97="",0,IF(U97="transition",0,IF(U97="SK",AK97,IF(U97="LB",AL97,IF(U97="ML",AM97,IF(U97="RLO",AN97,IF(U97="BD",AO97,IF(U97="BiP",AP97,IF(U97="PV",AQ97,IF(U97="OC",AR97,IF(U97="MG",AS97,0))))))))))</f>
        <v/>
      </c>
      <c r="W97" s="27">
        <f>IF(U97="BiP",Upgrades!$F$18,IF(U97="PV",Upgrades!$F$19,IF(U97="OC",Upgrades!$F$20,IF(U97="MG",Upgrades!$F$21,IF(U97="transition",-Parameters!$B$18*Parameters!$B$19,0)))))</f>
        <v/>
      </c>
      <c r="X97" s="22">
        <f>C97+T97-V97</f>
        <v/>
      </c>
      <c r="Y97" s="30">
        <f>O97*Parameters!$B$10/60*Parameters!$B$11+Q97*O97+P97</f>
        <v/>
      </c>
      <c r="Z97" s="34">
        <f>IF(U97="transition","→ Tier 3 (Galactic Arm)",IF(U97="MG","Moving Group — pocket drifts together",IF(U97="OC","Open Cluster acquired",IF(U97="PV","Peculiar Velocity — passive multiplier active",IF(U97="BiP","Binary Partner — pair bond formed",IF(AND(AU97=1,N97=0,AT97&lt;&gt;1),"Cohesion ready (waiting on completionists)","")))))) </f>
        <v/>
      </c>
      <c r="AA97" s="27">
        <f>(IF(E97=0,0,(Upgrades!$G$13+E97*Upgrades!$H$13)*POWER(Upgrades!$I$13,E97)))*(IF(Upgrades!$T$14="Stellar Kinematics",POWER(Upgrades!$U$14,F97),1)*IF(Upgrades!$T$15="Stellar Kinematics",POWER(Upgrades!$U$15,G97),1)*IF(Upgrades!$T$16="Stellar Kinematics",POWER(Upgrades!$U$16,H97),1)*IF(Upgrades!$T$17="Stellar Kinematics",POWER(Upgrades!$U$17,I97),1)*IF(Upgrades!$T$18="Stellar Kinematics",POWER(Upgrades!$U$18,J97),1)*IF(Upgrades!$T$19="Stellar Kinematics",POWER(Upgrades!$U$19,K97),1)*IF(Upgrades!$T$20="Stellar Kinematics",POWER(Upgrades!$U$20,L97),1)*IF(Upgrades!$T$21="Stellar Kinematics",POWER(Upgrades!$U$21,M97),1))*POWER(Upgrades!$P$13,E97)*POWER(Upgrades!$P$14,F97)*POWER(Upgrades!$P$15,G97)*POWER(Upgrades!$P$16,H97)*POWER(Upgrades!$P$17,I97)*POWER(Upgrades!$P$18,J97)*POWER(Upgrades!$P$19,K97)*POWER(Upgrades!$P$20,L97)*POWER(Upgrades!$P$21,M97)*$F$6*60</f>
        <v/>
      </c>
      <c r="AB97" s="27">
        <f>(IF(F97=0,0,(Upgrades!$G$14+F97*Upgrades!$H$14)*POWER(Upgrades!$I$14,F97)))*(IF(Upgrades!$T$13="Local Bubble",POWER(Upgrades!$U$13,E97),1)*IF(Upgrades!$T$15="Local Bubble",POWER(Upgrades!$U$15,G97),1)*IF(Upgrades!$T$16="Local Bubble",POWER(Upgrades!$U$16,H97),1)*IF(Upgrades!$T$17="Local Bubble",POWER(Upgrades!$U$17,I97),1)*IF(Upgrades!$T$18="Local Bubble",POWER(Upgrades!$U$18,J97),1)*IF(Upgrades!$T$19="Local Bubble",POWER(Upgrades!$U$19,K97),1)*IF(Upgrades!$T$20="Local Bubble",POWER(Upgrades!$U$20,L97),1)*IF(Upgrades!$T$21="Local Bubble",POWER(Upgrades!$U$21,M97),1))*POWER(Upgrades!$P$13,E97)*POWER(Upgrades!$P$14,F97)*POWER(Upgrades!$P$15,G97)*POWER(Upgrades!$P$16,H97)*POWER(Upgrades!$P$17,I97)*POWER(Upgrades!$P$18,J97)*POWER(Upgrades!$P$19,K97)*POWER(Upgrades!$P$20,L97)*POWER(Upgrades!$P$21,M97)*$F$6*60</f>
        <v/>
      </c>
      <c r="AC97" s="27">
        <f>(IF(G97=0,0,(Upgrades!$J$15+G97*Upgrades!$K$15)*POWER(Upgrades!$L$15,G97)))*(IF(Upgrades!$T$13="Microlensing",POWER(Upgrades!$U$13,E97),1)*IF(Upgrades!$T$14="Microlensing",POWER(Upgrades!$U$14,F97),1)*IF(Upgrades!$T$16="Microlensing",POWER(Upgrades!$U$16,H97),1)*IF(Upgrades!$T$17="Microlensing",POWER(Upgrades!$U$17,I97),1)*IF(Upgrades!$T$18="Microlensing",POWER(Upgrades!$U$18,J97),1)*IF(Upgrades!$T$19="Microlensing",POWER(Upgrades!$U$19,K97),1)*IF(Upgrades!$T$20="Microlensing",POWER(Upgrades!$U$20,L97),1)*IF(Upgrades!$T$21="Microlensing",POWER(Upgrades!$U$21,M97),1))*POWER(Upgrades!$Q$13,E97)*POWER(Upgrades!$Q$14,F97)*POWER(Upgrades!$Q$15,G97)*POWER(Upgrades!$Q$16,H97)*POWER(Upgrades!$Q$17,I97)*POWER(Upgrades!$Q$18,J97)*POWER(Upgrades!$Q$19,K97)*POWER(Upgrades!$Q$20,L97)*POWER(Upgrades!$Q$21,M97)*$G$6*(Parameters!$B$10*Parameters!$B$11+Q97*60)</f>
        <v/>
      </c>
      <c r="AD97" s="27">
        <f>(IF(H97=0,0,(Upgrades!$M$16+H97*Upgrades!$N$16)*POWER(Upgrades!$O$16,H97)))*(IF(Upgrades!$T$13="Roche Lobe Overflow",POWER(Upgrades!$U$13,E97),1)*IF(Upgrades!$T$14="Roche Lobe Overflow",POWER(Upgrades!$U$14,F97),1)*IF(Upgrades!$T$15="Roche Lobe Overflow",POWER(Upgrades!$U$15,G97),1)*IF(Upgrades!$T$17="Roche Lobe Overflow",POWER(Upgrades!$U$17,I97),1)*IF(Upgrades!$T$18="Roche Lobe Overflow",POWER(Upgrades!$U$18,J97),1)*IF(Upgrades!$T$19="Roche Lobe Overflow",POWER(Upgrades!$U$19,K97),1)*IF(Upgrades!$T$20="Roche Lobe Overflow",POWER(Upgrades!$U$20,L97),1)*IF(Upgrades!$T$21="Roche Lobe Overflow",POWER(Upgrades!$U$21,M97),1))*POWER(Upgrades!$R$13,E97)*POWER(Upgrades!$R$14,F97)*POWER(Upgrades!$R$15,G97)*POWER(Upgrades!$R$16,H97)*POWER(Upgrades!$R$17,I97)*POWER(Upgrades!$R$18,J97)*POWER(Upgrades!$R$19,K97)*POWER(Upgrades!$R$20,L97)*POWER(Upgrades!$R$21,M97)*$H$6*O97*60</f>
        <v/>
      </c>
      <c r="AE97" s="27">
        <f>(IF(I97=0,0,(Upgrades!$G$17+I97*Upgrades!$H$17)*POWER(Upgrades!$I$17,I97)))*(IF(Upgrades!$T$13="Brown Dwarf",POWER(Upgrades!$U$13,E97),1)*IF(Upgrades!$T$14="Brown Dwarf",POWER(Upgrades!$U$14,F97),1)*IF(Upgrades!$T$15="Brown Dwarf",POWER(Upgrades!$U$15,G97),1)*IF(Upgrades!$T$16="Brown Dwarf",POWER(Upgrades!$U$16,H97),1)*IF(Upgrades!$T$18="Brown Dwarf",POWER(Upgrades!$U$18,J97),1)*IF(Upgrades!$T$19="Brown Dwarf",POWER(Upgrades!$U$19,K97),1)*IF(Upgrades!$T$20="Brown Dwarf",POWER(Upgrades!$U$20,L97),1)*IF(Upgrades!$T$21="Brown Dwarf",POWER(Upgrades!$U$21,M97),1))*POWER(Upgrades!$P$13,E97)*POWER(Upgrades!$P$14,F97)*POWER(Upgrades!$P$15,G97)*POWER(Upgrades!$P$16,H97)*POWER(Upgrades!$P$17,I97)*POWER(Upgrades!$P$18,J97)*POWER(Upgrades!$P$19,K97)*POWER(Upgrades!$P$20,L97)*POWER(Upgrades!$P$21,M97)*$F$6*60</f>
        <v/>
      </c>
      <c r="AF97" s="27" t="n">
        <v>0</v>
      </c>
      <c r="AG97" s="27" t="n">
        <v>0</v>
      </c>
      <c r="AH97" s="27" t="n">
        <v>0</v>
      </c>
      <c r="AI97" s="27">
        <f>(IF(M97=0,0,(Upgrades!$G$21+M97*Upgrades!$H$21)*POWER(Upgrades!$I$21,M97)))*(IF(Upgrades!$T$13="Moving Group",POWER(Upgrades!$U$13,E97),1)*IF(Upgrades!$T$14="Moving Group",POWER(Upgrades!$U$14,F97),1)*IF(Upgrades!$T$15="Moving Group",POWER(Upgrades!$U$15,G97),1)*IF(Upgrades!$T$16="Moving Group",POWER(Upgrades!$U$16,H97),1)*IF(Upgrades!$T$17="Moving Group",POWER(Upgrades!$U$17,I97),1)*IF(Upgrades!$T$18="Moving Group",POWER(Upgrades!$U$18,J97),1)*IF(Upgrades!$T$19="Moving Group",POWER(Upgrades!$U$19,K97),1)*IF(Upgrades!$T$20="Moving Group",POWER(Upgrades!$U$20,L97),1))*POWER(Upgrades!$P$13,E97)*POWER(Upgrades!$P$14,F97)*POWER(Upgrades!$P$15,G97)*POWER(Upgrades!$P$16,H97)*POWER(Upgrades!$P$17,I97)*POWER(Upgrades!$P$18,J97)*POWER(Upgrades!$P$19,K97)*POWER(Upgrades!$P$20,L97)*POWER(Upgrades!$P$21,M97)*$F$6*60</f>
        <v/>
      </c>
      <c r="AJ97" s="27">
        <f>$C$6*60</f>
        <v/>
      </c>
      <c r="AK97" s="22">
        <f>IF(E97&gt;=Upgrades!$E$13,"",Upgrades!$C$13*POWER(Upgrades!$D$13,E97))</f>
        <v/>
      </c>
      <c r="AL97" s="22">
        <f>IF(F97&gt;=Upgrades!$E$14,"",Upgrades!$C$14*POWER(Upgrades!$D$14,F97))</f>
        <v/>
      </c>
      <c r="AM97" s="22">
        <f>IF(G97&gt;=Upgrades!$E$15,"",Upgrades!$C$15*POWER(Upgrades!$D$15,G97))</f>
        <v/>
      </c>
      <c r="AN97" s="22">
        <f>IF(H97&gt;=Upgrades!$E$16,"",Upgrades!$C$16*POWER(Upgrades!$D$16,H97))</f>
        <v/>
      </c>
      <c r="AO97" s="22">
        <f>IF(I97&gt;=Upgrades!$E$17,"",Upgrades!$C$17*POWER(Upgrades!$D$17,I97))</f>
        <v/>
      </c>
      <c r="AP97" s="22">
        <f>IF(J97&gt;=Upgrades!$E$18,"",Upgrades!$C$18*POWER(Upgrades!$D$18,J97))</f>
        <v/>
      </c>
      <c r="AQ97" s="22">
        <f>IF(K97&gt;=Upgrades!$E$19,"",Upgrades!$C$19*POWER(Upgrades!$D$19,K97))</f>
        <v/>
      </c>
      <c r="AR97" s="22">
        <f>IF(L97&gt;=Upgrades!$E$20,"",Upgrades!$C$20*POWER(Upgrades!$D$20,L97))</f>
        <v/>
      </c>
      <c r="AS97" s="22">
        <f>IF(M97&gt;=Upgrades!$E$21,"",Upgrades!$C$21*POWER(Upgrades!$D$21,M97))</f>
        <v/>
      </c>
      <c r="AT97" s="26">
        <f>IF(AND(D97&gt;=Parameters!$B$18*Parameters!$B$19,(I97&gt;=Upgrades!$E$17)*(M97&gt;=Upgrades!$E$21)=1,N97=0),1,"")</f>
        <v/>
      </c>
      <c r="AU97" s="26">
        <f>IF(AND(D97&gt;=Parameters!$B$18*Parameters!$B$19,N97=0),1,"")</f>
        <v/>
      </c>
      <c r="AV97" s="22">
        <f>MIN(IF(ISNUMBER(AP97),AP97,9E15),IF(ISNUMBER(AQ97),AQ97,9E15),IF(ISNUMBER(AR97),AR97,9E15),IF(ISNUMBER(AS97),AS97,9E15))</f>
        <v/>
      </c>
      <c r="AW97" s="22">
        <f>MIN(IF(ISNUMBER(AK97),AK97,9E15),IF(ISNUMBER(AL97),AL97,9E15),IF(ISNUMBER(AM97),AM97,9E15),IF(ISNUMBER(AN97),AN97,9E15),IF(ISNUMBER(AO97),AO97,9E15))</f>
        <v/>
      </c>
      <c r="AX97" s="29">
        <f>IF(BD97&gt;Parameters!$B$21*(MAX(IF(AND(NOT(AND(AU97=1,AT97&lt;&gt;1)),ISNUMBER(AK97),AK97&lt;=(C97+T97)),AY97,0),IF(AND(NOT(AND(AU97=1,AT97&lt;&gt;1)),ISNUMBER(AL97),AL97&lt;=(C97+T97)),AZ97,0),IF(AND(NOT(AND(AU97=1,AT97&lt;&gt;1)),ISNUMBER(AM97),AM97&lt;=(C97+T97)),BA97,0),IF(AND(NOT(AND(AU97=1,AT97&lt;&gt;1)),ISNUMBER(AN97),AN97&lt;=(C97+T97)),BB97,0),IF(AND(ISNUMBER(AO97),AO97&lt;=(C97+T97)),BC97,0))),TRUE,FALSE)</f>
        <v/>
      </c>
      <c r="AY97" s="32">
        <f>IFERROR(Upgrades!$H$13*(POWER(Upgrades!$P$13,E97)*POWER(Upgrades!$P$14,F97)*POWER(Upgrades!$P$15,G97)*POWER(Upgrades!$P$16,H97)*POWER(Upgrades!$P$17,I97)*POWER(Upgrades!$P$18,J97)*POWER(Upgrades!$P$19,K97)*POWER(Upgrades!$P$20,L97)*POWER(Upgrades!$P$21,M97))*(IF(Upgrades!$T$14="Stellar Kinematics",POWER(Upgrades!$U$14,F97),1)*IF(Upgrades!$T$15="Stellar Kinematics",POWER(Upgrades!$U$15,G97),1)*IF(Upgrades!$T$16="Stellar Kinematics",POWER(Upgrades!$U$16,H97),1)*IF(Upgrades!$T$17="Stellar Kinematics",POWER(Upgrades!$U$17,I97),1)*IF(Upgrades!$T$18="Stellar Kinematics",POWER(Upgrades!$U$18,J97),1)*IF(Upgrades!$T$19="Stellar Kinematics",POWER(Upgrades!$U$19,K97),1)*IF(Upgrades!$T$20="Stellar Kinematics",POWER(Upgrades!$U$20,L97),1)*IF(Upgrades!$T$21="Stellar Kinematics",POWER(Upgrades!$U$21,M97),1))*$F$6/AK97,0)</f>
        <v/>
      </c>
      <c r="AZ97" s="32">
        <f>IFERROR(Upgrades!$H$14*(POWER(Upgrades!$P$13,E97)*POWER(Upgrades!$P$14,F97)*POWER(Upgrades!$P$15,G97)*POWER(Upgrades!$P$16,H97)*POWER(Upgrades!$P$17,I97)*POWER(Upgrades!$P$18,J97)*POWER(Upgrades!$P$19,K97)*POWER(Upgrades!$P$20,L97)*POWER(Upgrades!$P$21,M97))*(IF(Upgrades!$T$13="Local Bubble",POWER(Upgrades!$U$13,E97),1)*IF(Upgrades!$T$15="Local Bubble",POWER(Upgrades!$U$15,G97),1)*IF(Upgrades!$T$16="Local Bubble",POWER(Upgrades!$U$16,H97),1)*IF(Upgrades!$T$17="Local Bubble",POWER(Upgrades!$U$17,I97),1)*IF(Upgrades!$T$18="Local Bubble",POWER(Upgrades!$U$18,J97),1)*IF(Upgrades!$T$19="Local Bubble",POWER(Upgrades!$U$19,K97),1)*IF(Upgrades!$T$20="Local Bubble",POWER(Upgrades!$U$20,L97),1)*IF(Upgrades!$T$21="Local Bubble",POWER(Upgrades!$U$21,M97),1))*$F$6/AL97,0)</f>
        <v/>
      </c>
      <c r="BA97" s="32">
        <f>IFERROR(Upgrades!$K$15*(POWER(Upgrades!$Q$13,E97)*POWER(Upgrades!$Q$14,F97)*POWER(Upgrades!$Q$15,G97)*POWER(Upgrades!$Q$16,H97)*POWER(Upgrades!$Q$17,I97)*POWER(Upgrades!$Q$18,J97)*POWER(Upgrades!$Q$19,K97)*POWER(Upgrades!$Q$20,L97)*POWER(Upgrades!$Q$21,M97))*(IF(Upgrades!$T$13="Microlensing",POWER(Upgrades!$U$13,E97),1)*IF(Upgrades!$T$14="Microlensing",POWER(Upgrades!$U$14,F97),1)*IF(Upgrades!$T$16="Microlensing",POWER(Upgrades!$U$16,H97),1)*IF(Upgrades!$T$17="Microlensing",POWER(Upgrades!$U$17,I97),1)*IF(Upgrades!$T$18="Microlensing",POWER(Upgrades!$U$18,J97),1)*IF(Upgrades!$T$19="Microlensing",POWER(Upgrades!$U$19,K97),1)*IF(Upgrades!$T$20="Microlensing",POWER(Upgrades!$U$20,L97),1)*IF(Upgrades!$T$21="Microlensing",POWER(Upgrades!$U$21,M97),1))*$G$6*(Parameters!$B$10/60*Parameters!$B$11+Q97)/AM97,0)</f>
        <v/>
      </c>
      <c r="BB97" s="32">
        <f>IFERROR((Upgrades!$N$16*(POWER(Upgrades!$R$13,E97)*POWER(Upgrades!$R$14,F97)*POWER(Upgrades!$R$15,G97)*POWER(Upgrades!$R$16,H97)*POWER(Upgrades!$R$17,I97)*POWER(Upgrades!$R$18,J97)*POWER(Upgrades!$R$19,K97)*POWER(Upgrades!$R$20,L97)*POWER(Upgrades!$R$21,M97))*(IF(Upgrades!$T$13="Roche Lobe Overflow",POWER(Upgrades!$U$13,E97),1)*IF(Upgrades!$T$14="Roche Lobe Overflow",POWER(Upgrades!$U$14,F97),1)*IF(Upgrades!$T$15="Roche Lobe Overflow",POWER(Upgrades!$U$15,G97),1)*IF(Upgrades!$T$17="Roche Lobe Overflow",POWER(Upgrades!$U$17,I97),1)*IF(Upgrades!$T$18="Roche Lobe Overflow",POWER(Upgrades!$U$18,J97),1)*IF(Upgrades!$T$19="Roche Lobe Overflow",POWER(Upgrades!$U$19,K97),1)*IF(Upgrades!$T$20="Roche Lobe Overflow",POWER(Upgrades!$U$20,L97),1)*IF(Upgrades!$T$21="Roche Lobe Overflow",POWER(Upgrades!$U$21,M97),1))*$H$6*O97+((IF(F97=0,0,(Upgrades!$G$14+F97*Upgrades!$H$14)*POWER(Upgrades!$I$14,F97)))*(IF(Upgrades!$T$13="Local Bubble",POWER(Upgrades!$U$13,E97),1)*IF(Upgrades!$T$15="Local Bubble",POWER(Upgrades!$U$15,G97),1)*IF(Upgrades!$T$16="Local Bubble",POWER(Upgrades!$U$16,H97),1)*IF(Upgrades!$T$17="Local Bubble",POWER(Upgrades!$U$17,I97),1)*IF(Upgrades!$T$18="Local Bubble",POWER(Upgrades!$U$18,J97),1)*IF(Upgrades!$T$19="Local Bubble",POWER(Upgrades!$U$19,K97),1)*IF(Upgrades!$T$20="Local Bubble",POWER(Upgrades!$U$20,L97),1)*IF(Upgrades!$T$21="Local Bubble",POWER(Upgrades!$U$21,M97),1))*POWER(Upgrades!$P$13,E97)*POWER(Upgrades!$P$14,F97)*POWER(Upgrades!$P$15,G97)*POWER(Upgrades!$P$16,H97)*POWER(Upgrades!$P$17,I97)*POWER(Upgrades!$P$18,J97)*POWER(Upgrades!$P$19,K97)*POWER(Upgrades!$P$20,L97)*POWER(Upgrades!$P$21,M97)*$F$6)*0.05)/AN97,0)</f>
        <v/>
      </c>
      <c r="BC97" s="32">
        <f>IFERROR((Upgrades!$H$17*(POWER(Upgrades!$P$13,E97)*POWER(Upgrades!$P$14,F97)*POWER(Upgrades!$P$15,G97)*POWER(Upgrades!$P$16,H97)*POWER(Upgrades!$P$17,I97)*POWER(Upgrades!$P$18,J97)*POWER(Upgrades!$P$19,K97)*POWER(Upgrades!$P$20,L97)*POWER(Upgrades!$P$21,M97))*(IF(Upgrades!$T$13="Brown Dwarf",POWER(Upgrades!$U$13,E97),1)*IF(Upgrades!$T$14="Brown Dwarf",POWER(Upgrades!$U$14,F97),1)*IF(Upgrades!$T$15="Brown Dwarf",POWER(Upgrades!$U$15,G97),1)*IF(Upgrades!$T$16="Brown Dwarf",POWER(Upgrades!$U$16,H97),1)*IF(Upgrades!$T$18="Brown Dwarf",POWER(Upgrades!$U$18,J97),1)*IF(Upgrades!$T$19="Brown Dwarf",POWER(Upgrades!$U$19,K97),1)*IF(Upgrades!$T$20="Brown Dwarf",POWER(Upgrades!$U$20,L97),1)*IF(Upgrades!$T$21="Brown Dwarf",POWER(Upgrades!$U$21,M97),1))*$F$6+(((IF(H97=0,0,(Upgrades!$M$16+H97*Upgrades!$N$16)*POWER(Upgrades!$O$16,H97)))*(IF(Upgrades!$T$13="Roche Lobe Overflow",POWER(Upgrades!$U$13,E97),1)*IF(Upgrades!$T$14="Roche Lobe Overflow",POWER(Upgrades!$U$14,F97),1)*IF(Upgrades!$T$15="Roche Lobe Overflow",POWER(Upgrades!$U$15,G97),1)*IF(Upgrades!$T$17="Roche Lobe Overflow",POWER(Upgrades!$U$17,I97),1)*IF(Upgrades!$T$18="Roche Lobe Overflow",POWER(Upgrades!$U$18,J97),1)*IF(Upgrades!$T$19="Roche Lobe Overflow",POWER(Upgrades!$U$19,K97),1)*IF(Upgrades!$T$20="Roche Lobe Overflow",POWER(Upgrades!$U$20,L97),1)*IF(Upgrades!$T$21="Roche Lobe Overflow",POWER(Upgrades!$U$21,M97),1))*POWER(Upgrades!$R$13,E97)*POWER(Upgrades!$R$14,F97)*POWER(Upgrades!$R$15,G97)*POWER(Upgrades!$R$16,H97)*POWER(Upgrades!$R$17,I97)*POWER(Upgrades!$R$18,J97)*POWER(Upgrades!$R$19,K97)*POWER(Upgrades!$R$20,L97)*POWER(Upgrades!$R$21,M97)*$H$6)*O97)*0.10)/AO97,0)</f>
        <v/>
      </c>
      <c r="BD97" s="32">
        <f>MAX(IF(J97&gt;0,0,IFERROR(0.5*((IF(G97=0,0,(Upgrades!$J$15+G97*Upgrades!$K$15)*POWER(Upgrades!$L$15,G97)))*(IF(Upgrades!$T$13="Microlensing",POWER(Upgrades!$U$13,E97),1)*IF(Upgrades!$T$14="Microlensing",POWER(Upgrades!$U$14,F97),1)*IF(Upgrades!$T$16="Microlensing",POWER(Upgrades!$U$16,H97),1)*IF(Upgrades!$T$17="Microlensing",POWER(Upgrades!$U$17,I97),1)*IF(Upgrades!$T$18="Microlensing",POWER(Upgrades!$U$18,J97),1)*IF(Upgrades!$T$19="Microlensing",POWER(Upgrades!$U$19,K97),1)*IF(Upgrades!$T$20="Microlensing",POWER(Upgrades!$U$20,L97),1)*IF(Upgrades!$T$21="Microlensing",POWER(Upgrades!$U$21,M97),1))*(POWER(Upgrades!$Q$13,E97)*POWER(Upgrades!$Q$14,F97)*POWER(Upgrades!$Q$15,G97)*POWER(Upgrades!$Q$16,H97)*POWER(Upgrades!$Q$17,I97)*POWER(Upgrades!$Q$18,J97)*POWER(Upgrades!$Q$19,K97)*POWER(Upgrades!$Q$20,L97)*POWER(Upgrades!$Q$21,M97))*$G$6*(Parameters!$B$10/60*Parameters!$B$11+Q97))/Upgrades!$C$18,0)),IF(K97&gt;0,0,IFERROR(0.30*P97/Upgrades!$C$19,0)),IF(L97&gt;0,0,IFERROR(0.0001/Upgrades!$C$20,0)),IF(M97&gt;0,0,IFERROR((6.0*(POWER(Upgrades!$P$13,E97)*POWER(Upgrades!$P$14,F97)*POWER(Upgrades!$P$15,G97)*POWER(Upgrades!$P$16,H97)*POWER(Upgrades!$P$17,I97)*POWER(Upgrades!$P$18,J97)*POWER(Upgrades!$P$19,K97)*POWER(Upgrades!$P$20,L97)*POWER(Upgrades!$P$21,M97))*$F$6+0.20*O97*(Parameters!$B$10/60*Parameters!$B$11+Q97))/Upgrades!$C$21,0)),IF(AND(ISNUMBER(AK97),AK97&gt;(C97+T97)),AY97,0),IF(AND(ISNUMBER(AL97),AL97&gt;(C97+T97)),AZ97,0),IF(AND(ISNUMBER(AM97),AM97&gt;(C97+T97)),BA97,0),IF(AND(ISNUMBER(AN97),AN97&gt;(C97+T97)),BB97,0),IF(AND(ISNUMBER(AO97),AO97&gt;(C97+T97)),BC97,0))</f>
        <v/>
      </c>
      <c r="BE97" s="29">
        <f>IF(AT97=1,"transition",IF(MIN(IF(AND(J97=0,ISNUMBER(AP97),AP97&lt;=(C97+T97)),AP97,9E15),IF(AND(K97=0,ISNUMBER(AQ97),AQ97&lt;=(C97+T97)),AQ97,9E15),IF(AND(L97=0,ISNUMBER(AR97),AR97&lt;=(C97+T97)),AR97,9E15),IF(AND(M97=0,ISNUMBER(AS97),AS97&lt;=(C97+T97)),AS97,9E15))&lt;9E15,IF(AND(AND(J97=0,ISNUMBER(AP97),AP97&lt;=(C97+T97)),AP97=MIN(IF(AND(J97=0,ISNUMBER(AP97),AP97&lt;=(C97+T97)),AP97,9E15),IF(AND(K97=0,ISNUMBER(AQ97),AQ97&lt;=(C97+T97)),AQ97,9E15),IF(AND(L97=0,ISNUMBER(AR97),AR97&lt;=(C97+T97)),AR97,9E15),IF(AND(M97=0,ISNUMBER(AS97),AS97&lt;=(C97+T97)),AS97,9E15))),"BiP",IF(AND(AND(K97=0,ISNUMBER(AQ97),AQ97&lt;=(C97+T97)),AQ97=MIN(IF(AND(J97=0,ISNUMBER(AP97),AP97&lt;=(C97+T97)),AP97,9E15),IF(AND(K97=0,ISNUMBER(AQ97),AQ97&lt;=(C97+T97)),AQ97,9E15),IF(AND(L97=0,ISNUMBER(AR97),AR97&lt;=(C97+T97)),AR97,9E15),IF(AND(M97=0,ISNUMBER(AS97),AS97&lt;=(C97+T97)),AS97,9E15))),"PV",IF(AND(AND(L97=0,ISNUMBER(AR97),AR97&lt;=(C97+T97)),AR97=MIN(IF(AND(J97=0,ISNUMBER(AP97),AP97&lt;=(C97+T97)),AP97,9E15),IF(AND(K97=0,ISNUMBER(AQ97),AQ97&lt;=(C97+T97)),AQ97,9E15),IF(AND(L97=0,ISNUMBER(AR97),AR97&lt;=(C97+T97)),AR97,9E15),IF(AND(M97=0,ISNUMBER(AS97),AS97&lt;=(C97+T97)),AS97,9E15))),"OC","MG"))),IF(AX97=TRUE,"",IF(MAX(IF(AND(NOT(AND(AU97=1,AT97&lt;&gt;1)),ISNUMBER(AK97),AK97&lt;=(C97+T97)),AY97,0),IF(AND(NOT(AND(AU97=1,AT97&lt;&gt;1)),ISNUMBER(AL97),AL97&lt;=(C97+T97)),AZ97,0),IF(AND(NOT(AND(AU97=1,AT97&lt;&gt;1)),ISNUMBER(AM97),AM97&lt;=(C97+T97)),BA97,0),IF(AND(NOT(AND(AU97=1,AT97&lt;&gt;1)),ISNUMBER(AN97),AN97&lt;=(C97+T97)),BB97,0),IF(AND(ISNUMBER(AO97),AO97&lt;=(C97+T97)),BC97,0))&lt;=0,"",IF(AND(IF(AND(NOT(AND(AU97=1,AT97&lt;&gt;1)),ISNUMBER(AK97),AK97&lt;=(C97+T97)),AY97,0)&gt;0,IF(AND(NOT(AND(AU97=1,AT97&lt;&gt;1)),ISNUMBER(AK97),AK97&lt;=(C97+T97)),AY97,0)=MAX(IF(AND(NOT(AND(AU97=1,AT97&lt;&gt;1)),ISNUMBER(AK97),AK97&lt;=(C97+T97)),AY97,0),IF(AND(NOT(AND(AU97=1,AT97&lt;&gt;1)),ISNUMBER(AL97),AL97&lt;=(C97+T97)),AZ97,0),IF(AND(NOT(AND(AU97=1,AT97&lt;&gt;1)),ISNUMBER(AM97),AM97&lt;=(C97+T97)),BA97,0),IF(AND(NOT(AND(AU97=1,AT97&lt;&gt;1)),ISNUMBER(AN97),AN97&lt;=(C97+T97)),BB97,0),IF(AND(ISNUMBER(AO97),AO97&lt;=(C97+T97)),BC97,0))),"SK",IF(AND(IF(AND(NOT(AND(AU97=1,AT97&lt;&gt;1)),ISNUMBER(AL97),AL97&lt;=(C97+T97)),AZ97,0)&gt;0,IF(AND(NOT(AND(AU97=1,AT97&lt;&gt;1)),ISNUMBER(AL97),AL97&lt;=(C97+T97)),AZ97,0)=MAX(IF(AND(NOT(AND(AU97=1,AT97&lt;&gt;1)),ISNUMBER(AK97),AK97&lt;=(C97+T97)),AY97,0),IF(AND(NOT(AND(AU97=1,AT97&lt;&gt;1)),ISNUMBER(AL97),AL97&lt;=(C97+T97)),AZ97,0),IF(AND(NOT(AND(AU97=1,AT97&lt;&gt;1)),ISNUMBER(AM97),AM97&lt;=(C97+T97)),BA97,0),IF(AND(NOT(AND(AU97=1,AT97&lt;&gt;1)),ISNUMBER(AN97),AN97&lt;=(C97+T97)),BB97,0),IF(AND(ISNUMBER(AO97),AO97&lt;=(C97+T97)),BC97,0))),"LB",IF(AND(IF(AND(NOT(AND(AU97=1,AT97&lt;&gt;1)),ISNUMBER(AM97),AM97&lt;=(C97+T97)),BA97,0)&gt;0,IF(AND(NOT(AND(AU97=1,AT97&lt;&gt;1)),ISNUMBER(AM97),AM97&lt;=(C97+T97)),BA97,0)=MAX(IF(AND(NOT(AND(AU97=1,AT97&lt;&gt;1)),ISNUMBER(AK97),AK97&lt;=(C97+T97)),AY97,0),IF(AND(NOT(AND(AU97=1,AT97&lt;&gt;1)),ISNUMBER(AL97),AL97&lt;=(C97+T97)),AZ97,0),IF(AND(NOT(AND(AU97=1,AT97&lt;&gt;1)),ISNUMBER(AM97),AM97&lt;=(C97+T97)),BA97,0),IF(AND(NOT(AND(AU97=1,AT97&lt;&gt;1)),ISNUMBER(AN97),AN97&lt;=(C97+T97)),BB97,0),IF(AND(ISNUMBER(AO97),AO97&lt;=(C97+T97)),BC97,0))),"ML",IF(AND(IF(AND(NOT(AND(AU97=1,AT97&lt;&gt;1)),ISNUMBER(AN97),AN97&lt;=(C97+T97)),BB97,0)&gt;0,IF(AND(NOT(AND(AU97=1,AT97&lt;&gt;1)),ISNUMBER(AN97),AN97&lt;=(C97+T97)),BB97,0)=MAX(IF(AND(NOT(AND(AU97=1,AT97&lt;&gt;1)),ISNUMBER(AK97),AK97&lt;=(C97+T97)),AY97,0),IF(AND(NOT(AND(AU97=1,AT97&lt;&gt;1)),ISNUMBER(AL97),AL97&lt;=(C97+T97)),AZ97,0),IF(AND(NOT(AND(AU97=1,AT97&lt;&gt;1)),ISNUMBER(AM97),AM97&lt;=(C97+T97)),BA97,0),IF(AND(NOT(AND(AU97=1,AT97&lt;&gt;1)),ISNUMBER(AN97),AN97&lt;=(C97+T97)),BB97,0),IF(AND(ISNUMBER(AO97),AO97&lt;=(C97+T97)),BC97,0))),"RLO","BD"))))))))</f>
        <v/>
      </c>
    </row>
    <row r="98">
      <c r="A98" s="26" t="n">
        <v>87</v>
      </c>
      <c r="B98" s="27">
        <f>A98*10/60</f>
        <v/>
      </c>
      <c r="C98" s="22">
        <f>X97</f>
        <v/>
      </c>
      <c r="D98" s="27">
        <f>D97+W97</f>
        <v/>
      </c>
      <c r="E98" s="26">
        <f>E97+IF(U97="SK",1,0)</f>
        <v/>
      </c>
      <c r="F98" s="26">
        <f>F97+IF(U97="LB",1,0)</f>
        <v/>
      </c>
      <c r="G98" s="26">
        <f>G97+IF(U97="ML",1,0)</f>
        <v/>
      </c>
      <c r="H98" s="26">
        <f>H97+IF(U97="RLO",1,0)</f>
        <v/>
      </c>
      <c r="I98" s="26">
        <f>I97+IF(U97="BD",1,0)</f>
        <v/>
      </c>
      <c r="J98" s="26">
        <f>MAX(J97,IF(U97="BiP",1,0))</f>
        <v/>
      </c>
      <c r="K98" s="26">
        <f>MAX(K97,IF(U97="PV",1,0))</f>
        <v/>
      </c>
      <c r="L98" s="26">
        <f>MAX(L97,IF(U97="OC",1,0))</f>
        <v/>
      </c>
      <c r="M98" s="26">
        <f>MAX(M97,IF(U97="MG",1,0))</f>
        <v/>
      </c>
      <c r="N98" s="26">
        <f>MAX(N97,IF(U97="transition",1,0))</f>
        <v/>
      </c>
      <c r="O98" s="28">
        <f>(Parameters!$B$9+(IF(E98=0,0,(Upgrades!$J$13+E98*Upgrades!$K$13)*POWER(Upgrades!$L$13,E98)))*(IF(Upgrades!$T$14="Stellar Kinematics",POWER(Upgrades!$U$14,F98),1)*IF(Upgrades!$T$15="Stellar Kinematics",POWER(Upgrades!$U$15,G98),1)*IF(Upgrades!$T$16="Stellar Kinematics",POWER(Upgrades!$U$16,H98),1)*IF(Upgrades!$T$17="Stellar Kinematics",POWER(Upgrades!$U$17,I98),1)*IF(Upgrades!$T$18="Stellar Kinematics",POWER(Upgrades!$U$18,J98),1)*IF(Upgrades!$T$19="Stellar Kinematics",POWER(Upgrades!$U$19,K98),1)*IF(Upgrades!$T$20="Stellar Kinematics",POWER(Upgrades!$U$20,L98),1)*IF(Upgrades!$T$21="Stellar Kinematics",POWER(Upgrades!$U$21,M98),1))+(IF(F98=0,0,(Upgrades!$J$14+F98*Upgrades!$K$14)*POWER(Upgrades!$L$14,F98)))*(IF(Upgrades!$T$13="Local Bubble",POWER(Upgrades!$U$13,E98),1)*IF(Upgrades!$T$15="Local Bubble",POWER(Upgrades!$U$15,G98),1)*IF(Upgrades!$T$16="Local Bubble",POWER(Upgrades!$U$16,H98),1)*IF(Upgrades!$T$17="Local Bubble",POWER(Upgrades!$U$17,I98),1)*IF(Upgrades!$T$18="Local Bubble",POWER(Upgrades!$U$18,J98),1)*IF(Upgrades!$T$19="Local Bubble",POWER(Upgrades!$U$19,K98),1)*IF(Upgrades!$T$20="Local Bubble",POWER(Upgrades!$U$20,L98),1)*IF(Upgrades!$T$21="Local Bubble",POWER(Upgrades!$U$21,M98),1))+(IF(G98=0,0,(Upgrades!$J$15+G98*Upgrades!$K$15)*POWER(Upgrades!$L$15,G98)))*(IF(Upgrades!$T$13="Microlensing",POWER(Upgrades!$U$13,E98),1)*IF(Upgrades!$T$14="Microlensing",POWER(Upgrades!$U$14,F98),1)*IF(Upgrades!$T$16="Microlensing",POWER(Upgrades!$U$16,H98),1)*IF(Upgrades!$T$17="Microlensing",POWER(Upgrades!$U$17,I98),1)*IF(Upgrades!$T$18="Microlensing",POWER(Upgrades!$U$18,J98),1)*IF(Upgrades!$T$19="Microlensing",POWER(Upgrades!$U$19,K98),1)*IF(Upgrades!$T$20="Microlensing",POWER(Upgrades!$U$20,L98),1)*IF(Upgrades!$T$21="Microlensing",POWER(Upgrades!$U$21,M98),1))+(IF(H98=0,0,(Upgrades!$J$16+H98*Upgrades!$K$16)*POWER(Upgrades!$L$16,H98)))*(IF(Upgrades!$T$13="Roche Lobe Overflow",POWER(Upgrades!$U$13,E98),1)*IF(Upgrades!$T$14="Roche Lobe Overflow",POWER(Upgrades!$U$14,F98),1)*IF(Upgrades!$T$15="Roche Lobe Overflow",POWER(Upgrades!$U$15,G98),1)*IF(Upgrades!$T$17="Roche Lobe Overflow",POWER(Upgrades!$U$17,I98),1)*IF(Upgrades!$T$18="Roche Lobe Overflow",POWER(Upgrades!$U$18,J98),1)*IF(Upgrades!$T$19="Roche Lobe Overflow",POWER(Upgrades!$U$19,K98),1)*IF(Upgrades!$T$20="Roche Lobe Overflow",POWER(Upgrades!$U$20,L98),1)*IF(Upgrades!$T$21="Roche Lobe Overflow",POWER(Upgrades!$U$21,M98),1))+(IF(I98=0,0,(Upgrades!$J$17+I98*Upgrades!$K$17)*POWER(Upgrades!$L$17,I98)))*(IF(Upgrades!$T$13="Brown Dwarf",POWER(Upgrades!$U$13,E98),1)*IF(Upgrades!$T$14="Brown Dwarf",POWER(Upgrades!$U$14,F98),1)*IF(Upgrades!$T$15="Brown Dwarf",POWER(Upgrades!$U$15,G98),1)*IF(Upgrades!$T$16="Brown Dwarf",POWER(Upgrades!$U$16,H98),1)*IF(Upgrades!$T$18="Brown Dwarf",POWER(Upgrades!$U$18,J98),1)*IF(Upgrades!$T$19="Brown Dwarf",POWER(Upgrades!$U$19,K98),1)*IF(Upgrades!$T$20="Brown Dwarf",POWER(Upgrades!$U$20,L98),1)*IF(Upgrades!$T$21="Brown Dwarf",POWER(Upgrades!$U$21,M98),1))+(IF(J98=0,0,(Upgrades!$J$18+J98*Upgrades!$K$18)*POWER(Upgrades!$L$18,J98)))*(IF(Upgrades!$T$13="Binary Partner",POWER(Upgrades!$U$13,E98),1)*IF(Upgrades!$T$14="Binary Partner",POWER(Upgrades!$U$14,F98),1)*IF(Upgrades!$T$15="Binary Partner",POWER(Upgrades!$U$15,G98),1)*IF(Upgrades!$T$16="Binary Partner",POWER(Upgrades!$U$16,H98),1)*IF(Upgrades!$T$17="Binary Partner",POWER(Upgrades!$U$17,I98),1)*IF(Upgrades!$T$19="Binary Partner",POWER(Upgrades!$U$19,K98),1)*IF(Upgrades!$T$20="Binary Partner",POWER(Upgrades!$U$20,L98),1)*IF(Upgrades!$T$21="Binary Partner",POWER(Upgrades!$U$21,M98),1))+(IF(K98=0,0,(Upgrades!$J$19+K98*Upgrades!$K$19)*POWER(Upgrades!$L$19,K98)))*(IF(Upgrades!$T$13="Peculiar Velocity",POWER(Upgrades!$U$13,E98),1)*IF(Upgrades!$T$14="Peculiar Velocity",POWER(Upgrades!$U$14,F98),1)*IF(Upgrades!$T$15="Peculiar Velocity",POWER(Upgrades!$U$15,G98),1)*IF(Upgrades!$T$16="Peculiar Velocity",POWER(Upgrades!$U$16,H98),1)*IF(Upgrades!$T$17="Peculiar Velocity",POWER(Upgrades!$U$17,I98),1)*IF(Upgrades!$T$18="Peculiar Velocity",POWER(Upgrades!$U$18,J98),1)*IF(Upgrades!$T$20="Peculiar Velocity",POWER(Upgrades!$U$20,L98),1)*IF(Upgrades!$T$21="Peculiar Velocity",POWER(Upgrades!$U$21,M98),1))+(IF(L98=0,0,(Upgrades!$J$20+L98*Upgrades!$K$20)*POWER(Upgrades!$L$20,L98)))*(IF(Upgrades!$T$13="Open Cluster",POWER(Upgrades!$U$13,E98),1)*IF(Upgrades!$T$14="Open Cluster",POWER(Upgrades!$U$14,F98),1)*IF(Upgrades!$T$15="Open Cluster",POWER(Upgrades!$U$15,G98),1)*IF(Upgrades!$T$16="Open Cluster",POWER(Upgrades!$U$16,H98),1)*IF(Upgrades!$T$17="Open Cluster",POWER(Upgrades!$U$17,I98),1)*IF(Upgrades!$T$18="Open Cluster",POWER(Upgrades!$U$18,J98),1)*IF(Upgrades!$T$19="Open Cluster",POWER(Upgrades!$U$19,K98),1)*IF(Upgrades!$T$21="Open Cluster",POWER(Upgrades!$U$21,M98),1))+(IF(M98=0,0,(Upgrades!$J$21+M98*Upgrades!$K$21)*POWER(Upgrades!$L$21,M98)))*(IF(Upgrades!$T$13="Moving Group",POWER(Upgrades!$U$13,E98),1)*IF(Upgrades!$T$14="Moving Group",POWER(Upgrades!$U$14,F98),1)*IF(Upgrades!$T$15="Moving Group",POWER(Upgrades!$U$15,G98),1)*IF(Upgrades!$T$16="Moving Group",POWER(Upgrades!$U$16,H98),1)*IF(Upgrades!$T$17="Moving Group",POWER(Upgrades!$U$17,I98),1)*IF(Upgrades!$T$18="Moving Group",POWER(Upgrades!$U$18,J98),1)*IF(Upgrades!$T$19="Moving Group",POWER(Upgrades!$U$19,K98),1)*IF(Upgrades!$T$20="Moving Group",POWER(Upgrades!$U$20,L98),1)))*POWER(Upgrades!$Q$13,E98)*POWER(Upgrades!$Q$14,F98)*POWER(Upgrades!$Q$15,G98)*POWER(Upgrades!$Q$16,H98)*POWER(Upgrades!$Q$17,I98)*POWER(Upgrades!$Q$18,J98)*POWER(Upgrades!$Q$19,K98)*POWER(Upgrades!$Q$20,L98)*POWER(Upgrades!$Q$21,M98)*$G$6+$D$6</f>
        <v/>
      </c>
      <c r="P98" s="28">
        <f>((IF(E98=0,0,(Upgrades!$G$13+E98*Upgrades!$H$13)*POWER(Upgrades!$I$13,E98)))*(IF(Upgrades!$T$14="Stellar Kinematics",POWER(Upgrades!$U$14,F98),1)*IF(Upgrades!$T$15="Stellar Kinematics",POWER(Upgrades!$U$15,G98),1)*IF(Upgrades!$T$16="Stellar Kinematics",POWER(Upgrades!$U$16,H98),1)*IF(Upgrades!$T$17="Stellar Kinematics",POWER(Upgrades!$U$17,I98),1)*IF(Upgrades!$T$18="Stellar Kinematics",POWER(Upgrades!$U$18,J98),1)*IF(Upgrades!$T$19="Stellar Kinematics",POWER(Upgrades!$U$19,K98),1)*IF(Upgrades!$T$20="Stellar Kinematics",POWER(Upgrades!$U$20,L98),1)*IF(Upgrades!$T$21="Stellar Kinematics",POWER(Upgrades!$U$21,M98),1))+(IF(F98=0,0,(Upgrades!$G$14+F98*Upgrades!$H$14)*POWER(Upgrades!$I$14,F98)))*(IF(Upgrades!$T$13="Local Bubble",POWER(Upgrades!$U$13,E98),1)*IF(Upgrades!$T$15="Local Bubble",POWER(Upgrades!$U$15,G98),1)*IF(Upgrades!$T$16="Local Bubble",POWER(Upgrades!$U$16,H98),1)*IF(Upgrades!$T$17="Local Bubble",POWER(Upgrades!$U$17,I98),1)*IF(Upgrades!$T$18="Local Bubble",POWER(Upgrades!$U$18,J98),1)*IF(Upgrades!$T$19="Local Bubble",POWER(Upgrades!$U$19,K98),1)*IF(Upgrades!$T$20="Local Bubble",POWER(Upgrades!$U$20,L98),1)*IF(Upgrades!$T$21="Local Bubble",POWER(Upgrades!$U$21,M98),1))+(IF(G98=0,0,(Upgrades!$G$15+G98*Upgrades!$H$15)*POWER(Upgrades!$I$15,G98)))*(IF(Upgrades!$T$13="Microlensing",POWER(Upgrades!$U$13,E98),1)*IF(Upgrades!$T$14="Microlensing",POWER(Upgrades!$U$14,F98),1)*IF(Upgrades!$T$16="Microlensing",POWER(Upgrades!$U$16,H98),1)*IF(Upgrades!$T$17="Microlensing",POWER(Upgrades!$U$17,I98),1)*IF(Upgrades!$T$18="Microlensing",POWER(Upgrades!$U$18,J98),1)*IF(Upgrades!$T$19="Microlensing",POWER(Upgrades!$U$19,K98),1)*IF(Upgrades!$T$20="Microlensing",POWER(Upgrades!$U$20,L98),1)*IF(Upgrades!$T$21="Microlensing",POWER(Upgrades!$U$21,M98),1))+(IF(H98=0,0,(Upgrades!$G$16+H98*Upgrades!$H$16)*POWER(Upgrades!$I$16,H98)))*(IF(Upgrades!$T$13="Roche Lobe Overflow",POWER(Upgrades!$U$13,E98),1)*IF(Upgrades!$T$14="Roche Lobe Overflow",POWER(Upgrades!$U$14,F98),1)*IF(Upgrades!$T$15="Roche Lobe Overflow",POWER(Upgrades!$U$15,G98),1)*IF(Upgrades!$T$17="Roche Lobe Overflow",POWER(Upgrades!$U$17,I98),1)*IF(Upgrades!$T$18="Roche Lobe Overflow",POWER(Upgrades!$U$18,J98),1)*IF(Upgrades!$T$19="Roche Lobe Overflow",POWER(Upgrades!$U$19,K98),1)*IF(Upgrades!$T$20="Roche Lobe Overflow",POWER(Upgrades!$U$20,L98),1)*IF(Upgrades!$T$21="Roche Lobe Overflow",POWER(Upgrades!$U$21,M98),1))+(IF(I98=0,0,(Upgrades!$G$17+I98*Upgrades!$H$17)*POWER(Upgrades!$I$17,I98)))*(IF(Upgrades!$T$13="Brown Dwarf",POWER(Upgrades!$U$13,E98),1)*IF(Upgrades!$T$14="Brown Dwarf",POWER(Upgrades!$U$14,F98),1)*IF(Upgrades!$T$15="Brown Dwarf",POWER(Upgrades!$U$15,G98),1)*IF(Upgrades!$T$16="Brown Dwarf",POWER(Upgrades!$U$16,H98),1)*IF(Upgrades!$T$18="Brown Dwarf",POWER(Upgrades!$U$18,J98),1)*IF(Upgrades!$T$19="Brown Dwarf",POWER(Upgrades!$U$19,K98),1)*IF(Upgrades!$T$20="Brown Dwarf",POWER(Upgrades!$U$20,L98),1)*IF(Upgrades!$T$21="Brown Dwarf",POWER(Upgrades!$U$21,M98),1))+(IF(J98=0,0,(Upgrades!$G$18+J98*Upgrades!$H$18)*POWER(Upgrades!$I$18,J98)))*(IF(Upgrades!$T$13="Binary Partner",POWER(Upgrades!$U$13,E98),1)*IF(Upgrades!$T$14="Binary Partner",POWER(Upgrades!$U$14,F98),1)*IF(Upgrades!$T$15="Binary Partner",POWER(Upgrades!$U$15,G98),1)*IF(Upgrades!$T$16="Binary Partner",POWER(Upgrades!$U$16,H98),1)*IF(Upgrades!$T$17="Binary Partner",POWER(Upgrades!$U$17,I98),1)*IF(Upgrades!$T$19="Binary Partner",POWER(Upgrades!$U$19,K98),1)*IF(Upgrades!$T$20="Binary Partner",POWER(Upgrades!$U$20,L98),1)*IF(Upgrades!$T$21="Binary Partner",POWER(Upgrades!$U$21,M98),1))+(IF(K98=0,0,(Upgrades!$G$19+K98*Upgrades!$H$19)*POWER(Upgrades!$I$19,K98)))*(IF(Upgrades!$T$13="Peculiar Velocity",POWER(Upgrades!$U$13,E98),1)*IF(Upgrades!$T$14="Peculiar Velocity",POWER(Upgrades!$U$14,F98),1)*IF(Upgrades!$T$15="Peculiar Velocity",POWER(Upgrades!$U$15,G98),1)*IF(Upgrades!$T$16="Peculiar Velocity",POWER(Upgrades!$U$16,H98),1)*IF(Upgrades!$T$17="Peculiar Velocity",POWER(Upgrades!$U$17,I98),1)*IF(Upgrades!$T$18="Peculiar Velocity",POWER(Upgrades!$U$18,J98),1)*IF(Upgrades!$T$20="Peculiar Velocity",POWER(Upgrades!$U$20,L98),1)*IF(Upgrades!$T$21="Peculiar Velocity",POWER(Upgrades!$U$21,M98),1))+(IF(L98=0,0,(Upgrades!$G$20+L98*Upgrades!$H$20)*POWER(Upgrades!$I$20,L98)))*(IF(Upgrades!$T$13="Open Cluster",POWER(Upgrades!$U$13,E98),1)*IF(Upgrades!$T$14="Open Cluster",POWER(Upgrades!$U$14,F98),1)*IF(Upgrades!$T$15="Open Cluster",POWER(Upgrades!$U$15,G98),1)*IF(Upgrades!$T$16="Open Cluster",POWER(Upgrades!$U$16,H98),1)*IF(Upgrades!$T$17="Open Cluster",POWER(Upgrades!$U$17,I98),1)*IF(Upgrades!$T$18="Open Cluster",POWER(Upgrades!$U$18,J98),1)*IF(Upgrades!$T$19="Open Cluster",POWER(Upgrades!$U$19,K98),1)*IF(Upgrades!$T$21="Open Cluster",POWER(Upgrades!$U$21,M98),1))+(IF(M98=0,0,(Upgrades!$G$21+M98*Upgrades!$H$21)*POWER(Upgrades!$I$21,M98)))*(IF(Upgrades!$T$13="Moving Group",POWER(Upgrades!$U$13,E98),1)*IF(Upgrades!$T$14="Moving Group",POWER(Upgrades!$U$14,F98),1)*IF(Upgrades!$T$15="Moving Group",POWER(Upgrades!$U$15,G98),1)*IF(Upgrades!$T$16="Moving Group",POWER(Upgrades!$U$16,H98),1)*IF(Upgrades!$T$17="Moving Group",POWER(Upgrades!$U$17,I98),1)*IF(Upgrades!$T$18="Moving Group",POWER(Upgrades!$U$18,J98),1)*IF(Upgrades!$T$19="Moving Group",POWER(Upgrades!$U$19,K98),1)*IF(Upgrades!$T$20="Moving Group",POWER(Upgrades!$U$20,L98),1)))*POWER(Upgrades!$P$13,E98)*POWER(Upgrades!$P$14,F98)*POWER(Upgrades!$P$15,G98)*POWER(Upgrades!$P$16,H98)*POWER(Upgrades!$P$17,I98)*POWER(Upgrades!$P$18,J98)*POWER(Upgrades!$P$19,K98)*POWER(Upgrades!$P$20,L98)*POWER(Upgrades!$P$21,M98)*$F$6+$C$6</f>
        <v/>
      </c>
      <c r="Q98" s="28">
        <f>((IF(E98=0,0,(Upgrades!$M$13+E98*Upgrades!$N$13)*POWER(Upgrades!$O$13,E98)))*(IF(Upgrades!$T$14="Stellar Kinematics",POWER(Upgrades!$U$14,F98),1)*IF(Upgrades!$T$15="Stellar Kinematics",POWER(Upgrades!$U$15,G98),1)*IF(Upgrades!$T$16="Stellar Kinematics",POWER(Upgrades!$U$16,H98),1)*IF(Upgrades!$T$17="Stellar Kinematics",POWER(Upgrades!$U$17,I98),1)*IF(Upgrades!$T$18="Stellar Kinematics",POWER(Upgrades!$U$18,J98),1)*IF(Upgrades!$T$19="Stellar Kinematics",POWER(Upgrades!$U$19,K98),1)*IF(Upgrades!$T$20="Stellar Kinematics",POWER(Upgrades!$U$20,L98),1)*IF(Upgrades!$T$21="Stellar Kinematics",POWER(Upgrades!$U$21,M98),1))+(IF(F98=0,0,(Upgrades!$M$14+F98*Upgrades!$N$14)*POWER(Upgrades!$O$14,F98)))*(IF(Upgrades!$T$13="Local Bubble",POWER(Upgrades!$U$13,E98),1)*IF(Upgrades!$T$15="Local Bubble",POWER(Upgrades!$U$15,G98),1)*IF(Upgrades!$T$16="Local Bubble",POWER(Upgrades!$U$16,H98),1)*IF(Upgrades!$T$17="Local Bubble",POWER(Upgrades!$U$17,I98),1)*IF(Upgrades!$T$18="Local Bubble",POWER(Upgrades!$U$18,J98),1)*IF(Upgrades!$T$19="Local Bubble",POWER(Upgrades!$U$19,K98),1)*IF(Upgrades!$T$20="Local Bubble",POWER(Upgrades!$U$20,L98),1)*IF(Upgrades!$T$21="Local Bubble",POWER(Upgrades!$U$21,M98),1))+(IF(G98=0,0,(Upgrades!$M$15+G98*Upgrades!$N$15)*POWER(Upgrades!$O$15,G98)))*(IF(Upgrades!$T$13="Microlensing",POWER(Upgrades!$U$13,E98),1)*IF(Upgrades!$T$14="Microlensing",POWER(Upgrades!$U$14,F98),1)*IF(Upgrades!$T$16="Microlensing",POWER(Upgrades!$U$16,H98),1)*IF(Upgrades!$T$17="Microlensing",POWER(Upgrades!$U$17,I98),1)*IF(Upgrades!$T$18="Microlensing",POWER(Upgrades!$U$18,J98),1)*IF(Upgrades!$T$19="Microlensing",POWER(Upgrades!$U$19,K98),1)*IF(Upgrades!$T$20="Microlensing",POWER(Upgrades!$U$20,L98),1)*IF(Upgrades!$T$21="Microlensing",POWER(Upgrades!$U$21,M98),1))+(IF(H98=0,0,(Upgrades!$M$16+H98*Upgrades!$N$16)*POWER(Upgrades!$O$16,H98)))*(IF(Upgrades!$T$13="Roche Lobe Overflow",POWER(Upgrades!$U$13,E98),1)*IF(Upgrades!$T$14="Roche Lobe Overflow",POWER(Upgrades!$U$14,F98),1)*IF(Upgrades!$T$15="Roche Lobe Overflow",POWER(Upgrades!$U$15,G98),1)*IF(Upgrades!$T$17="Roche Lobe Overflow",POWER(Upgrades!$U$17,I98),1)*IF(Upgrades!$T$18="Roche Lobe Overflow",POWER(Upgrades!$U$18,J98),1)*IF(Upgrades!$T$19="Roche Lobe Overflow",POWER(Upgrades!$U$19,K98),1)*IF(Upgrades!$T$20="Roche Lobe Overflow",POWER(Upgrades!$U$20,L98),1)*IF(Upgrades!$T$21="Roche Lobe Overflow",POWER(Upgrades!$U$21,M98),1))+(IF(I98=0,0,(Upgrades!$M$17+I98*Upgrades!$N$17)*POWER(Upgrades!$O$17,I98)))*(IF(Upgrades!$T$13="Brown Dwarf",POWER(Upgrades!$U$13,E98),1)*IF(Upgrades!$T$14="Brown Dwarf",POWER(Upgrades!$U$14,F98),1)*IF(Upgrades!$T$15="Brown Dwarf",POWER(Upgrades!$U$15,G98),1)*IF(Upgrades!$T$16="Brown Dwarf",POWER(Upgrades!$U$16,H98),1)*IF(Upgrades!$T$18="Brown Dwarf",POWER(Upgrades!$U$18,J98),1)*IF(Upgrades!$T$19="Brown Dwarf",POWER(Upgrades!$U$19,K98),1)*IF(Upgrades!$T$20="Brown Dwarf",POWER(Upgrades!$U$20,L98),1)*IF(Upgrades!$T$21="Brown Dwarf",POWER(Upgrades!$U$21,M98),1))+(IF(J98=0,0,(Upgrades!$M$18+J98*Upgrades!$N$18)*POWER(Upgrades!$O$18,J98)))*(IF(Upgrades!$T$13="Binary Partner",POWER(Upgrades!$U$13,E98),1)*IF(Upgrades!$T$14="Binary Partner",POWER(Upgrades!$U$14,F98),1)*IF(Upgrades!$T$15="Binary Partner",POWER(Upgrades!$U$15,G98),1)*IF(Upgrades!$T$16="Binary Partner",POWER(Upgrades!$U$16,H98),1)*IF(Upgrades!$T$17="Binary Partner",POWER(Upgrades!$U$17,I98),1)*IF(Upgrades!$T$19="Binary Partner",POWER(Upgrades!$U$19,K98),1)*IF(Upgrades!$T$20="Binary Partner",POWER(Upgrades!$U$20,L98),1)*IF(Upgrades!$T$21="Binary Partner",POWER(Upgrades!$U$21,M98),1))+(IF(K98=0,0,(Upgrades!$M$19+K98*Upgrades!$N$19)*POWER(Upgrades!$O$19,K98)))*(IF(Upgrades!$T$13="Peculiar Velocity",POWER(Upgrades!$U$13,E98),1)*IF(Upgrades!$T$14="Peculiar Velocity",POWER(Upgrades!$U$14,F98),1)*IF(Upgrades!$T$15="Peculiar Velocity",POWER(Upgrades!$U$15,G98),1)*IF(Upgrades!$T$16="Peculiar Velocity",POWER(Upgrades!$U$16,H98),1)*IF(Upgrades!$T$17="Peculiar Velocity",POWER(Upgrades!$U$17,I98),1)*IF(Upgrades!$T$18="Peculiar Velocity",POWER(Upgrades!$U$18,J98),1)*IF(Upgrades!$T$20="Peculiar Velocity",POWER(Upgrades!$U$20,L98),1)*IF(Upgrades!$T$21="Peculiar Velocity",POWER(Upgrades!$U$21,M98),1))+(IF(L98=0,0,(Upgrades!$M$20+L98*Upgrades!$N$20)*POWER(Upgrades!$O$20,L98)))*(IF(Upgrades!$T$13="Open Cluster",POWER(Upgrades!$U$13,E98),1)*IF(Upgrades!$T$14="Open Cluster",POWER(Upgrades!$U$14,F98),1)*IF(Upgrades!$T$15="Open Cluster",POWER(Upgrades!$U$15,G98),1)*IF(Upgrades!$T$16="Open Cluster",POWER(Upgrades!$U$16,H98),1)*IF(Upgrades!$T$17="Open Cluster",POWER(Upgrades!$U$17,I98),1)*IF(Upgrades!$T$18="Open Cluster",POWER(Upgrades!$U$18,J98),1)*IF(Upgrades!$T$19="Open Cluster",POWER(Upgrades!$U$19,K98),1)*IF(Upgrades!$T$21="Open Cluster",POWER(Upgrades!$U$21,M98),1))+(IF(M98=0,0,(Upgrades!$M$21+M98*Upgrades!$N$21)*POWER(Upgrades!$O$21,M98)))*(IF(Upgrades!$T$13="Moving Group",POWER(Upgrades!$U$13,E98),1)*IF(Upgrades!$T$14="Moving Group",POWER(Upgrades!$U$14,F98),1)*IF(Upgrades!$T$15="Moving Group",POWER(Upgrades!$U$15,G98),1)*IF(Upgrades!$T$16="Moving Group",POWER(Upgrades!$U$16,H98),1)*IF(Upgrades!$T$17="Moving Group",POWER(Upgrades!$U$17,I98),1)*IF(Upgrades!$T$18="Moving Group",POWER(Upgrades!$U$18,J98),1)*IF(Upgrades!$T$19="Moving Group",POWER(Upgrades!$U$19,K98),1)*IF(Upgrades!$T$20="Moving Group",POWER(Upgrades!$U$20,L98),1)))*POWER(Upgrades!$R$13,E98)*POWER(Upgrades!$R$14,F98)*POWER(Upgrades!$R$15,G98)*POWER(Upgrades!$R$16,H98)*POWER(Upgrades!$R$17,I98)*POWER(Upgrades!$R$18,J98)*POWER(Upgrades!$R$19,K98)*POWER(Upgrades!$R$20,L98)*POWER(Upgrades!$R$21,M98)*$H$6+$E$6</f>
        <v/>
      </c>
      <c r="R98" s="27">
        <f>IF(N98=1,0,O98*Parameters!$B$10/60*Parameters!$B$11*10)</f>
        <v/>
      </c>
      <c r="S98" s="27">
        <f>IF(N98=1,0,Q98*O98*10)</f>
        <v/>
      </c>
      <c r="T98" s="27">
        <f>IF(N98=1,0,R98+S98+P98*10)</f>
        <v/>
      </c>
      <c r="U98" s="33">
        <f>BE98</f>
        <v/>
      </c>
      <c r="V98" s="22">
        <f>IF(U98="",0,IF(U98="transition",0,IF(U98="SK",AK98,IF(U98="LB",AL98,IF(U98="ML",AM98,IF(U98="RLO",AN98,IF(U98="BD",AO98,IF(U98="BiP",AP98,IF(U98="PV",AQ98,IF(U98="OC",AR98,IF(U98="MG",AS98,0))))))))))</f>
        <v/>
      </c>
      <c r="W98" s="27">
        <f>IF(U98="BiP",Upgrades!$F$18,IF(U98="PV",Upgrades!$F$19,IF(U98="OC",Upgrades!$F$20,IF(U98="MG",Upgrades!$F$21,IF(U98="transition",-Parameters!$B$18*Parameters!$B$19,0)))))</f>
        <v/>
      </c>
      <c r="X98" s="22">
        <f>C98+T98-V98</f>
        <v/>
      </c>
      <c r="Y98" s="30">
        <f>O98*Parameters!$B$10/60*Parameters!$B$11+Q98*O98+P98</f>
        <v/>
      </c>
      <c r="Z98" s="34">
        <f>IF(U98="transition","→ Tier 3 (Galactic Arm)",IF(U98="MG","Moving Group — pocket drifts together",IF(U98="OC","Open Cluster acquired",IF(U98="PV","Peculiar Velocity — passive multiplier active",IF(U98="BiP","Binary Partner — pair bond formed",IF(AND(AU98=1,N98=0,AT98&lt;&gt;1),"Cohesion ready (waiting on completionists)","")))))) </f>
        <v/>
      </c>
      <c r="AA98" s="27">
        <f>(IF(E98=0,0,(Upgrades!$G$13+E98*Upgrades!$H$13)*POWER(Upgrades!$I$13,E98)))*(IF(Upgrades!$T$14="Stellar Kinematics",POWER(Upgrades!$U$14,F98),1)*IF(Upgrades!$T$15="Stellar Kinematics",POWER(Upgrades!$U$15,G98),1)*IF(Upgrades!$T$16="Stellar Kinematics",POWER(Upgrades!$U$16,H98),1)*IF(Upgrades!$T$17="Stellar Kinematics",POWER(Upgrades!$U$17,I98),1)*IF(Upgrades!$T$18="Stellar Kinematics",POWER(Upgrades!$U$18,J98),1)*IF(Upgrades!$T$19="Stellar Kinematics",POWER(Upgrades!$U$19,K98),1)*IF(Upgrades!$T$20="Stellar Kinematics",POWER(Upgrades!$U$20,L98),1)*IF(Upgrades!$T$21="Stellar Kinematics",POWER(Upgrades!$U$21,M98),1))*POWER(Upgrades!$P$13,E98)*POWER(Upgrades!$P$14,F98)*POWER(Upgrades!$P$15,G98)*POWER(Upgrades!$P$16,H98)*POWER(Upgrades!$P$17,I98)*POWER(Upgrades!$P$18,J98)*POWER(Upgrades!$P$19,K98)*POWER(Upgrades!$P$20,L98)*POWER(Upgrades!$P$21,M98)*$F$6*60</f>
        <v/>
      </c>
      <c r="AB98" s="27">
        <f>(IF(F98=0,0,(Upgrades!$G$14+F98*Upgrades!$H$14)*POWER(Upgrades!$I$14,F98)))*(IF(Upgrades!$T$13="Local Bubble",POWER(Upgrades!$U$13,E98),1)*IF(Upgrades!$T$15="Local Bubble",POWER(Upgrades!$U$15,G98),1)*IF(Upgrades!$T$16="Local Bubble",POWER(Upgrades!$U$16,H98),1)*IF(Upgrades!$T$17="Local Bubble",POWER(Upgrades!$U$17,I98),1)*IF(Upgrades!$T$18="Local Bubble",POWER(Upgrades!$U$18,J98),1)*IF(Upgrades!$T$19="Local Bubble",POWER(Upgrades!$U$19,K98),1)*IF(Upgrades!$T$20="Local Bubble",POWER(Upgrades!$U$20,L98),1)*IF(Upgrades!$T$21="Local Bubble",POWER(Upgrades!$U$21,M98),1))*POWER(Upgrades!$P$13,E98)*POWER(Upgrades!$P$14,F98)*POWER(Upgrades!$P$15,G98)*POWER(Upgrades!$P$16,H98)*POWER(Upgrades!$P$17,I98)*POWER(Upgrades!$P$18,J98)*POWER(Upgrades!$P$19,K98)*POWER(Upgrades!$P$20,L98)*POWER(Upgrades!$P$21,M98)*$F$6*60</f>
        <v/>
      </c>
      <c r="AC98" s="27">
        <f>(IF(G98=0,0,(Upgrades!$J$15+G98*Upgrades!$K$15)*POWER(Upgrades!$L$15,G98)))*(IF(Upgrades!$T$13="Microlensing",POWER(Upgrades!$U$13,E98),1)*IF(Upgrades!$T$14="Microlensing",POWER(Upgrades!$U$14,F98),1)*IF(Upgrades!$T$16="Microlensing",POWER(Upgrades!$U$16,H98),1)*IF(Upgrades!$T$17="Microlensing",POWER(Upgrades!$U$17,I98),1)*IF(Upgrades!$T$18="Microlensing",POWER(Upgrades!$U$18,J98),1)*IF(Upgrades!$T$19="Microlensing",POWER(Upgrades!$U$19,K98),1)*IF(Upgrades!$T$20="Microlensing",POWER(Upgrades!$U$20,L98),1)*IF(Upgrades!$T$21="Microlensing",POWER(Upgrades!$U$21,M98),1))*POWER(Upgrades!$Q$13,E98)*POWER(Upgrades!$Q$14,F98)*POWER(Upgrades!$Q$15,G98)*POWER(Upgrades!$Q$16,H98)*POWER(Upgrades!$Q$17,I98)*POWER(Upgrades!$Q$18,J98)*POWER(Upgrades!$Q$19,K98)*POWER(Upgrades!$Q$20,L98)*POWER(Upgrades!$Q$21,M98)*$G$6*(Parameters!$B$10*Parameters!$B$11+Q98*60)</f>
        <v/>
      </c>
      <c r="AD98" s="27">
        <f>(IF(H98=0,0,(Upgrades!$M$16+H98*Upgrades!$N$16)*POWER(Upgrades!$O$16,H98)))*(IF(Upgrades!$T$13="Roche Lobe Overflow",POWER(Upgrades!$U$13,E98),1)*IF(Upgrades!$T$14="Roche Lobe Overflow",POWER(Upgrades!$U$14,F98),1)*IF(Upgrades!$T$15="Roche Lobe Overflow",POWER(Upgrades!$U$15,G98),1)*IF(Upgrades!$T$17="Roche Lobe Overflow",POWER(Upgrades!$U$17,I98),1)*IF(Upgrades!$T$18="Roche Lobe Overflow",POWER(Upgrades!$U$18,J98),1)*IF(Upgrades!$T$19="Roche Lobe Overflow",POWER(Upgrades!$U$19,K98),1)*IF(Upgrades!$T$20="Roche Lobe Overflow",POWER(Upgrades!$U$20,L98),1)*IF(Upgrades!$T$21="Roche Lobe Overflow",POWER(Upgrades!$U$21,M98),1))*POWER(Upgrades!$R$13,E98)*POWER(Upgrades!$R$14,F98)*POWER(Upgrades!$R$15,G98)*POWER(Upgrades!$R$16,H98)*POWER(Upgrades!$R$17,I98)*POWER(Upgrades!$R$18,J98)*POWER(Upgrades!$R$19,K98)*POWER(Upgrades!$R$20,L98)*POWER(Upgrades!$R$21,M98)*$H$6*O98*60</f>
        <v/>
      </c>
      <c r="AE98" s="27">
        <f>(IF(I98=0,0,(Upgrades!$G$17+I98*Upgrades!$H$17)*POWER(Upgrades!$I$17,I98)))*(IF(Upgrades!$T$13="Brown Dwarf",POWER(Upgrades!$U$13,E98),1)*IF(Upgrades!$T$14="Brown Dwarf",POWER(Upgrades!$U$14,F98),1)*IF(Upgrades!$T$15="Brown Dwarf",POWER(Upgrades!$U$15,G98),1)*IF(Upgrades!$T$16="Brown Dwarf",POWER(Upgrades!$U$16,H98),1)*IF(Upgrades!$T$18="Brown Dwarf",POWER(Upgrades!$U$18,J98),1)*IF(Upgrades!$T$19="Brown Dwarf",POWER(Upgrades!$U$19,K98),1)*IF(Upgrades!$T$20="Brown Dwarf",POWER(Upgrades!$U$20,L98),1)*IF(Upgrades!$T$21="Brown Dwarf",POWER(Upgrades!$U$21,M98),1))*POWER(Upgrades!$P$13,E98)*POWER(Upgrades!$P$14,F98)*POWER(Upgrades!$P$15,G98)*POWER(Upgrades!$P$16,H98)*POWER(Upgrades!$P$17,I98)*POWER(Upgrades!$P$18,J98)*POWER(Upgrades!$P$19,K98)*POWER(Upgrades!$P$20,L98)*POWER(Upgrades!$P$21,M98)*$F$6*60</f>
        <v/>
      </c>
      <c r="AF98" s="27" t="n">
        <v>0</v>
      </c>
      <c r="AG98" s="27" t="n">
        <v>0</v>
      </c>
      <c r="AH98" s="27" t="n">
        <v>0</v>
      </c>
      <c r="AI98" s="27">
        <f>(IF(M98=0,0,(Upgrades!$G$21+M98*Upgrades!$H$21)*POWER(Upgrades!$I$21,M98)))*(IF(Upgrades!$T$13="Moving Group",POWER(Upgrades!$U$13,E98),1)*IF(Upgrades!$T$14="Moving Group",POWER(Upgrades!$U$14,F98),1)*IF(Upgrades!$T$15="Moving Group",POWER(Upgrades!$U$15,G98),1)*IF(Upgrades!$T$16="Moving Group",POWER(Upgrades!$U$16,H98),1)*IF(Upgrades!$T$17="Moving Group",POWER(Upgrades!$U$17,I98),1)*IF(Upgrades!$T$18="Moving Group",POWER(Upgrades!$U$18,J98),1)*IF(Upgrades!$T$19="Moving Group",POWER(Upgrades!$U$19,K98),1)*IF(Upgrades!$T$20="Moving Group",POWER(Upgrades!$U$20,L98),1))*POWER(Upgrades!$P$13,E98)*POWER(Upgrades!$P$14,F98)*POWER(Upgrades!$P$15,G98)*POWER(Upgrades!$P$16,H98)*POWER(Upgrades!$P$17,I98)*POWER(Upgrades!$P$18,J98)*POWER(Upgrades!$P$19,K98)*POWER(Upgrades!$P$20,L98)*POWER(Upgrades!$P$21,M98)*$F$6*60</f>
        <v/>
      </c>
      <c r="AJ98" s="27">
        <f>$C$6*60</f>
        <v/>
      </c>
      <c r="AK98" s="22">
        <f>IF(E98&gt;=Upgrades!$E$13,"",Upgrades!$C$13*POWER(Upgrades!$D$13,E98))</f>
        <v/>
      </c>
      <c r="AL98" s="22">
        <f>IF(F98&gt;=Upgrades!$E$14,"",Upgrades!$C$14*POWER(Upgrades!$D$14,F98))</f>
        <v/>
      </c>
      <c r="AM98" s="22">
        <f>IF(G98&gt;=Upgrades!$E$15,"",Upgrades!$C$15*POWER(Upgrades!$D$15,G98))</f>
        <v/>
      </c>
      <c r="AN98" s="22">
        <f>IF(H98&gt;=Upgrades!$E$16,"",Upgrades!$C$16*POWER(Upgrades!$D$16,H98))</f>
        <v/>
      </c>
      <c r="AO98" s="22">
        <f>IF(I98&gt;=Upgrades!$E$17,"",Upgrades!$C$17*POWER(Upgrades!$D$17,I98))</f>
        <v/>
      </c>
      <c r="AP98" s="22">
        <f>IF(J98&gt;=Upgrades!$E$18,"",Upgrades!$C$18*POWER(Upgrades!$D$18,J98))</f>
        <v/>
      </c>
      <c r="AQ98" s="22">
        <f>IF(K98&gt;=Upgrades!$E$19,"",Upgrades!$C$19*POWER(Upgrades!$D$19,K98))</f>
        <v/>
      </c>
      <c r="AR98" s="22">
        <f>IF(L98&gt;=Upgrades!$E$20,"",Upgrades!$C$20*POWER(Upgrades!$D$20,L98))</f>
        <v/>
      </c>
      <c r="AS98" s="22">
        <f>IF(M98&gt;=Upgrades!$E$21,"",Upgrades!$C$21*POWER(Upgrades!$D$21,M98))</f>
        <v/>
      </c>
      <c r="AT98" s="26">
        <f>IF(AND(D98&gt;=Parameters!$B$18*Parameters!$B$19,(I98&gt;=Upgrades!$E$17)*(M98&gt;=Upgrades!$E$21)=1,N98=0),1,"")</f>
        <v/>
      </c>
      <c r="AU98" s="26">
        <f>IF(AND(D98&gt;=Parameters!$B$18*Parameters!$B$19,N98=0),1,"")</f>
        <v/>
      </c>
      <c r="AV98" s="22">
        <f>MIN(IF(ISNUMBER(AP98),AP98,9E15),IF(ISNUMBER(AQ98),AQ98,9E15),IF(ISNUMBER(AR98),AR98,9E15),IF(ISNUMBER(AS98),AS98,9E15))</f>
        <v/>
      </c>
      <c r="AW98" s="22">
        <f>MIN(IF(ISNUMBER(AK98),AK98,9E15),IF(ISNUMBER(AL98),AL98,9E15),IF(ISNUMBER(AM98),AM98,9E15),IF(ISNUMBER(AN98),AN98,9E15),IF(ISNUMBER(AO98),AO98,9E15))</f>
        <v/>
      </c>
      <c r="AX98" s="29">
        <f>IF(BD98&gt;Parameters!$B$21*(MAX(IF(AND(NOT(AND(AU98=1,AT98&lt;&gt;1)),ISNUMBER(AK98),AK98&lt;=(C98+T98)),AY98,0),IF(AND(NOT(AND(AU98=1,AT98&lt;&gt;1)),ISNUMBER(AL98),AL98&lt;=(C98+T98)),AZ98,0),IF(AND(NOT(AND(AU98=1,AT98&lt;&gt;1)),ISNUMBER(AM98),AM98&lt;=(C98+T98)),BA98,0),IF(AND(NOT(AND(AU98=1,AT98&lt;&gt;1)),ISNUMBER(AN98),AN98&lt;=(C98+T98)),BB98,0),IF(AND(ISNUMBER(AO98),AO98&lt;=(C98+T98)),BC98,0))),TRUE,FALSE)</f>
        <v/>
      </c>
      <c r="AY98" s="32">
        <f>IFERROR(Upgrades!$H$13*(POWER(Upgrades!$P$13,E98)*POWER(Upgrades!$P$14,F98)*POWER(Upgrades!$P$15,G98)*POWER(Upgrades!$P$16,H98)*POWER(Upgrades!$P$17,I98)*POWER(Upgrades!$P$18,J98)*POWER(Upgrades!$P$19,K98)*POWER(Upgrades!$P$20,L98)*POWER(Upgrades!$P$21,M98))*(IF(Upgrades!$T$14="Stellar Kinematics",POWER(Upgrades!$U$14,F98),1)*IF(Upgrades!$T$15="Stellar Kinematics",POWER(Upgrades!$U$15,G98),1)*IF(Upgrades!$T$16="Stellar Kinematics",POWER(Upgrades!$U$16,H98),1)*IF(Upgrades!$T$17="Stellar Kinematics",POWER(Upgrades!$U$17,I98),1)*IF(Upgrades!$T$18="Stellar Kinematics",POWER(Upgrades!$U$18,J98),1)*IF(Upgrades!$T$19="Stellar Kinematics",POWER(Upgrades!$U$19,K98),1)*IF(Upgrades!$T$20="Stellar Kinematics",POWER(Upgrades!$U$20,L98),1)*IF(Upgrades!$T$21="Stellar Kinematics",POWER(Upgrades!$U$21,M98),1))*$F$6/AK98,0)</f>
        <v/>
      </c>
      <c r="AZ98" s="32">
        <f>IFERROR(Upgrades!$H$14*(POWER(Upgrades!$P$13,E98)*POWER(Upgrades!$P$14,F98)*POWER(Upgrades!$P$15,G98)*POWER(Upgrades!$P$16,H98)*POWER(Upgrades!$P$17,I98)*POWER(Upgrades!$P$18,J98)*POWER(Upgrades!$P$19,K98)*POWER(Upgrades!$P$20,L98)*POWER(Upgrades!$P$21,M98))*(IF(Upgrades!$T$13="Local Bubble",POWER(Upgrades!$U$13,E98),1)*IF(Upgrades!$T$15="Local Bubble",POWER(Upgrades!$U$15,G98),1)*IF(Upgrades!$T$16="Local Bubble",POWER(Upgrades!$U$16,H98),1)*IF(Upgrades!$T$17="Local Bubble",POWER(Upgrades!$U$17,I98),1)*IF(Upgrades!$T$18="Local Bubble",POWER(Upgrades!$U$18,J98),1)*IF(Upgrades!$T$19="Local Bubble",POWER(Upgrades!$U$19,K98),1)*IF(Upgrades!$T$20="Local Bubble",POWER(Upgrades!$U$20,L98),1)*IF(Upgrades!$T$21="Local Bubble",POWER(Upgrades!$U$21,M98),1))*$F$6/AL98,0)</f>
        <v/>
      </c>
      <c r="BA98" s="32">
        <f>IFERROR(Upgrades!$K$15*(POWER(Upgrades!$Q$13,E98)*POWER(Upgrades!$Q$14,F98)*POWER(Upgrades!$Q$15,G98)*POWER(Upgrades!$Q$16,H98)*POWER(Upgrades!$Q$17,I98)*POWER(Upgrades!$Q$18,J98)*POWER(Upgrades!$Q$19,K98)*POWER(Upgrades!$Q$20,L98)*POWER(Upgrades!$Q$21,M98))*(IF(Upgrades!$T$13="Microlensing",POWER(Upgrades!$U$13,E98),1)*IF(Upgrades!$T$14="Microlensing",POWER(Upgrades!$U$14,F98),1)*IF(Upgrades!$T$16="Microlensing",POWER(Upgrades!$U$16,H98),1)*IF(Upgrades!$T$17="Microlensing",POWER(Upgrades!$U$17,I98),1)*IF(Upgrades!$T$18="Microlensing",POWER(Upgrades!$U$18,J98),1)*IF(Upgrades!$T$19="Microlensing",POWER(Upgrades!$U$19,K98),1)*IF(Upgrades!$T$20="Microlensing",POWER(Upgrades!$U$20,L98),1)*IF(Upgrades!$T$21="Microlensing",POWER(Upgrades!$U$21,M98),1))*$G$6*(Parameters!$B$10/60*Parameters!$B$11+Q98)/AM98,0)</f>
        <v/>
      </c>
      <c r="BB98" s="32">
        <f>IFERROR((Upgrades!$N$16*(POWER(Upgrades!$R$13,E98)*POWER(Upgrades!$R$14,F98)*POWER(Upgrades!$R$15,G98)*POWER(Upgrades!$R$16,H98)*POWER(Upgrades!$R$17,I98)*POWER(Upgrades!$R$18,J98)*POWER(Upgrades!$R$19,K98)*POWER(Upgrades!$R$20,L98)*POWER(Upgrades!$R$21,M98))*(IF(Upgrades!$T$13="Roche Lobe Overflow",POWER(Upgrades!$U$13,E98),1)*IF(Upgrades!$T$14="Roche Lobe Overflow",POWER(Upgrades!$U$14,F98),1)*IF(Upgrades!$T$15="Roche Lobe Overflow",POWER(Upgrades!$U$15,G98),1)*IF(Upgrades!$T$17="Roche Lobe Overflow",POWER(Upgrades!$U$17,I98),1)*IF(Upgrades!$T$18="Roche Lobe Overflow",POWER(Upgrades!$U$18,J98),1)*IF(Upgrades!$T$19="Roche Lobe Overflow",POWER(Upgrades!$U$19,K98),1)*IF(Upgrades!$T$20="Roche Lobe Overflow",POWER(Upgrades!$U$20,L98),1)*IF(Upgrades!$T$21="Roche Lobe Overflow",POWER(Upgrades!$U$21,M98),1))*$H$6*O98+((IF(F98=0,0,(Upgrades!$G$14+F98*Upgrades!$H$14)*POWER(Upgrades!$I$14,F98)))*(IF(Upgrades!$T$13="Local Bubble",POWER(Upgrades!$U$13,E98),1)*IF(Upgrades!$T$15="Local Bubble",POWER(Upgrades!$U$15,G98),1)*IF(Upgrades!$T$16="Local Bubble",POWER(Upgrades!$U$16,H98),1)*IF(Upgrades!$T$17="Local Bubble",POWER(Upgrades!$U$17,I98),1)*IF(Upgrades!$T$18="Local Bubble",POWER(Upgrades!$U$18,J98),1)*IF(Upgrades!$T$19="Local Bubble",POWER(Upgrades!$U$19,K98),1)*IF(Upgrades!$T$20="Local Bubble",POWER(Upgrades!$U$20,L98),1)*IF(Upgrades!$T$21="Local Bubble",POWER(Upgrades!$U$21,M98),1))*POWER(Upgrades!$P$13,E98)*POWER(Upgrades!$P$14,F98)*POWER(Upgrades!$P$15,G98)*POWER(Upgrades!$P$16,H98)*POWER(Upgrades!$P$17,I98)*POWER(Upgrades!$P$18,J98)*POWER(Upgrades!$P$19,K98)*POWER(Upgrades!$P$20,L98)*POWER(Upgrades!$P$21,M98)*$F$6)*0.05)/AN98,0)</f>
        <v/>
      </c>
      <c r="BC98" s="32">
        <f>IFERROR((Upgrades!$H$17*(POWER(Upgrades!$P$13,E98)*POWER(Upgrades!$P$14,F98)*POWER(Upgrades!$P$15,G98)*POWER(Upgrades!$P$16,H98)*POWER(Upgrades!$P$17,I98)*POWER(Upgrades!$P$18,J98)*POWER(Upgrades!$P$19,K98)*POWER(Upgrades!$P$20,L98)*POWER(Upgrades!$P$21,M98))*(IF(Upgrades!$T$13="Brown Dwarf",POWER(Upgrades!$U$13,E98),1)*IF(Upgrades!$T$14="Brown Dwarf",POWER(Upgrades!$U$14,F98),1)*IF(Upgrades!$T$15="Brown Dwarf",POWER(Upgrades!$U$15,G98),1)*IF(Upgrades!$T$16="Brown Dwarf",POWER(Upgrades!$U$16,H98),1)*IF(Upgrades!$T$18="Brown Dwarf",POWER(Upgrades!$U$18,J98),1)*IF(Upgrades!$T$19="Brown Dwarf",POWER(Upgrades!$U$19,K98),1)*IF(Upgrades!$T$20="Brown Dwarf",POWER(Upgrades!$U$20,L98),1)*IF(Upgrades!$T$21="Brown Dwarf",POWER(Upgrades!$U$21,M98),1))*$F$6+(((IF(H98=0,0,(Upgrades!$M$16+H98*Upgrades!$N$16)*POWER(Upgrades!$O$16,H98)))*(IF(Upgrades!$T$13="Roche Lobe Overflow",POWER(Upgrades!$U$13,E98),1)*IF(Upgrades!$T$14="Roche Lobe Overflow",POWER(Upgrades!$U$14,F98),1)*IF(Upgrades!$T$15="Roche Lobe Overflow",POWER(Upgrades!$U$15,G98),1)*IF(Upgrades!$T$17="Roche Lobe Overflow",POWER(Upgrades!$U$17,I98),1)*IF(Upgrades!$T$18="Roche Lobe Overflow",POWER(Upgrades!$U$18,J98),1)*IF(Upgrades!$T$19="Roche Lobe Overflow",POWER(Upgrades!$U$19,K98),1)*IF(Upgrades!$T$20="Roche Lobe Overflow",POWER(Upgrades!$U$20,L98),1)*IF(Upgrades!$T$21="Roche Lobe Overflow",POWER(Upgrades!$U$21,M98),1))*POWER(Upgrades!$R$13,E98)*POWER(Upgrades!$R$14,F98)*POWER(Upgrades!$R$15,G98)*POWER(Upgrades!$R$16,H98)*POWER(Upgrades!$R$17,I98)*POWER(Upgrades!$R$18,J98)*POWER(Upgrades!$R$19,K98)*POWER(Upgrades!$R$20,L98)*POWER(Upgrades!$R$21,M98)*$H$6)*O98)*0.10)/AO98,0)</f>
        <v/>
      </c>
      <c r="BD98" s="32">
        <f>MAX(IF(J98&gt;0,0,IFERROR(0.5*((IF(G98=0,0,(Upgrades!$J$15+G98*Upgrades!$K$15)*POWER(Upgrades!$L$15,G98)))*(IF(Upgrades!$T$13="Microlensing",POWER(Upgrades!$U$13,E98),1)*IF(Upgrades!$T$14="Microlensing",POWER(Upgrades!$U$14,F98),1)*IF(Upgrades!$T$16="Microlensing",POWER(Upgrades!$U$16,H98),1)*IF(Upgrades!$T$17="Microlensing",POWER(Upgrades!$U$17,I98),1)*IF(Upgrades!$T$18="Microlensing",POWER(Upgrades!$U$18,J98),1)*IF(Upgrades!$T$19="Microlensing",POWER(Upgrades!$U$19,K98),1)*IF(Upgrades!$T$20="Microlensing",POWER(Upgrades!$U$20,L98),1)*IF(Upgrades!$T$21="Microlensing",POWER(Upgrades!$U$21,M98),1))*(POWER(Upgrades!$Q$13,E98)*POWER(Upgrades!$Q$14,F98)*POWER(Upgrades!$Q$15,G98)*POWER(Upgrades!$Q$16,H98)*POWER(Upgrades!$Q$17,I98)*POWER(Upgrades!$Q$18,J98)*POWER(Upgrades!$Q$19,K98)*POWER(Upgrades!$Q$20,L98)*POWER(Upgrades!$Q$21,M98))*$G$6*(Parameters!$B$10/60*Parameters!$B$11+Q98))/Upgrades!$C$18,0)),IF(K98&gt;0,0,IFERROR(0.30*P98/Upgrades!$C$19,0)),IF(L98&gt;0,0,IFERROR(0.0001/Upgrades!$C$20,0)),IF(M98&gt;0,0,IFERROR((6.0*(POWER(Upgrades!$P$13,E98)*POWER(Upgrades!$P$14,F98)*POWER(Upgrades!$P$15,G98)*POWER(Upgrades!$P$16,H98)*POWER(Upgrades!$P$17,I98)*POWER(Upgrades!$P$18,J98)*POWER(Upgrades!$P$19,K98)*POWER(Upgrades!$P$20,L98)*POWER(Upgrades!$P$21,M98))*$F$6+0.20*O98*(Parameters!$B$10/60*Parameters!$B$11+Q98))/Upgrades!$C$21,0)),IF(AND(ISNUMBER(AK98),AK98&gt;(C98+T98)),AY98,0),IF(AND(ISNUMBER(AL98),AL98&gt;(C98+T98)),AZ98,0),IF(AND(ISNUMBER(AM98),AM98&gt;(C98+T98)),BA98,0),IF(AND(ISNUMBER(AN98),AN98&gt;(C98+T98)),BB98,0),IF(AND(ISNUMBER(AO98),AO98&gt;(C98+T98)),BC98,0))</f>
        <v/>
      </c>
      <c r="BE98" s="29">
        <f>IF(AT98=1,"transition",IF(MIN(IF(AND(J98=0,ISNUMBER(AP98),AP98&lt;=(C98+T98)),AP98,9E15),IF(AND(K98=0,ISNUMBER(AQ98),AQ98&lt;=(C98+T98)),AQ98,9E15),IF(AND(L98=0,ISNUMBER(AR98),AR98&lt;=(C98+T98)),AR98,9E15),IF(AND(M98=0,ISNUMBER(AS98),AS98&lt;=(C98+T98)),AS98,9E15))&lt;9E15,IF(AND(AND(J98=0,ISNUMBER(AP98),AP98&lt;=(C98+T98)),AP98=MIN(IF(AND(J98=0,ISNUMBER(AP98),AP98&lt;=(C98+T98)),AP98,9E15),IF(AND(K98=0,ISNUMBER(AQ98),AQ98&lt;=(C98+T98)),AQ98,9E15),IF(AND(L98=0,ISNUMBER(AR98),AR98&lt;=(C98+T98)),AR98,9E15),IF(AND(M98=0,ISNUMBER(AS98),AS98&lt;=(C98+T98)),AS98,9E15))),"BiP",IF(AND(AND(K98=0,ISNUMBER(AQ98),AQ98&lt;=(C98+T98)),AQ98=MIN(IF(AND(J98=0,ISNUMBER(AP98),AP98&lt;=(C98+T98)),AP98,9E15),IF(AND(K98=0,ISNUMBER(AQ98),AQ98&lt;=(C98+T98)),AQ98,9E15),IF(AND(L98=0,ISNUMBER(AR98),AR98&lt;=(C98+T98)),AR98,9E15),IF(AND(M98=0,ISNUMBER(AS98),AS98&lt;=(C98+T98)),AS98,9E15))),"PV",IF(AND(AND(L98=0,ISNUMBER(AR98),AR98&lt;=(C98+T98)),AR98=MIN(IF(AND(J98=0,ISNUMBER(AP98),AP98&lt;=(C98+T98)),AP98,9E15),IF(AND(K98=0,ISNUMBER(AQ98),AQ98&lt;=(C98+T98)),AQ98,9E15),IF(AND(L98=0,ISNUMBER(AR98),AR98&lt;=(C98+T98)),AR98,9E15),IF(AND(M98=0,ISNUMBER(AS98),AS98&lt;=(C98+T98)),AS98,9E15))),"OC","MG"))),IF(AX98=TRUE,"",IF(MAX(IF(AND(NOT(AND(AU98=1,AT98&lt;&gt;1)),ISNUMBER(AK98),AK98&lt;=(C98+T98)),AY98,0),IF(AND(NOT(AND(AU98=1,AT98&lt;&gt;1)),ISNUMBER(AL98),AL98&lt;=(C98+T98)),AZ98,0),IF(AND(NOT(AND(AU98=1,AT98&lt;&gt;1)),ISNUMBER(AM98),AM98&lt;=(C98+T98)),BA98,0),IF(AND(NOT(AND(AU98=1,AT98&lt;&gt;1)),ISNUMBER(AN98),AN98&lt;=(C98+T98)),BB98,0),IF(AND(ISNUMBER(AO98),AO98&lt;=(C98+T98)),BC98,0))&lt;=0,"",IF(AND(IF(AND(NOT(AND(AU98=1,AT98&lt;&gt;1)),ISNUMBER(AK98),AK98&lt;=(C98+T98)),AY98,0)&gt;0,IF(AND(NOT(AND(AU98=1,AT98&lt;&gt;1)),ISNUMBER(AK98),AK98&lt;=(C98+T98)),AY98,0)=MAX(IF(AND(NOT(AND(AU98=1,AT98&lt;&gt;1)),ISNUMBER(AK98),AK98&lt;=(C98+T98)),AY98,0),IF(AND(NOT(AND(AU98=1,AT98&lt;&gt;1)),ISNUMBER(AL98),AL98&lt;=(C98+T98)),AZ98,0),IF(AND(NOT(AND(AU98=1,AT98&lt;&gt;1)),ISNUMBER(AM98),AM98&lt;=(C98+T98)),BA98,0),IF(AND(NOT(AND(AU98=1,AT98&lt;&gt;1)),ISNUMBER(AN98),AN98&lt;=(C98+T98)),BB98,0),IF(AND(ISNUMBER(AO98),AO98&lt;=(C98+T98)),BC98,0))),"SK",IF(AND(IF(AND(NOT(AND(AU98=1,AT98&lt;&gt;1)),ISNUMBER(AL98),AL98&lt;=(C98+T98)),AZ98,0)&gt;0,IF(AND(NOT(AND(AU98=1,AT98&lt;&gt;1)),ISNUMBER(AL98),AL98&lt;=(C98+T98)),AZ98,0)=MAX(IF(AND(NOT(AND(AU98=1,AT98&lt;&gt;1)),ISNUMBER(AK98),AK98&lt;=(C98+T98)),AY98,0),IF(AND(NOT(AND(AU98=1,AT98&lt;&gt;1)),ISNUMBER(AL98),AL98&lt;=(C98+T98)),AZ98,0),IF(AND(NOT(AND(AU98=1,AT98&lt;&gt;1)),ISNUMBER(AM98),AM98&lt;=(C98+T98)),BA98,0),IF(AND(NOT(AND(AU98=1,AT98&lt;&gt;1)),ISNUMBER(AN98),AN98&lt;=(C98+T98)),BB98,0),IF(AND(ISNUMBER(AO98),AO98&lt;=(C98+T98)),BC98,0))),"LB",IF(AND(IF(AND(NOT(AND(AU98=1,AT98&lt;&gt;1)),ISNUMBER(AM98),AM98&lt;=(C98+T98)),BA98,0)&gt;0,IF(AND(NOT(AND(AU98=1,AT98&lt;&gt;1)),ISNUMBER(AM98),AM98&lt;=(C98+T98)),BA98,0)=MAX(IF(AND(NOT(AND(AU98=1,AT98&lt;&gt;1)),ISNUMBER(AK98),AK98&lt;=(C98+T98)),AY98,0),IF(AND(NOT(AND(AU98=1,AT98&lt;&gt;1)),ISNUMBER(AL98),AL98&lt;=(C98+T98)),AZ98,0),IF(AND(NOT(AND(AU98=1,AT98&lt;&gt;1)),ISNUMBER(AM98),AM98&lt;=(C98+T98)),BA98,0),IF(AND(NOT(AND(AU98=1,AT98&lt;&gt;1)),ISNUMBER(AN98),AN98&lt;=(C98+T98)),BB98,0),IF(AND(ISNUMBER(AO98),AO98&lt;=(C98+T98)),BC98,0))),"ML",IF(AND(IF(AND(NOT(AND(AU98=1,AT98&lt;&gt;1)),ISNUMBER(AN98),AN98&lt;=(C98+T98)),BB98,0)&gt;0,IF(AND(NOT(AND(AU98=1,AT98&lt;&gt;1)),ISNUMBER(AN98),AN98&lt;=(C98+T98)),BB98,0)=MAX(IF(AND(NOT(AND(AU98=1,AT98&lt;&gt;1)),ISNUMBER(AK98),AK98&lt;=(C98+T98)),AY98,0),IF(AND(NOT(AND(AU98=1,AT98&lt;&gt;1)),ISNUMBER(AL98),AL98&lt;=(C98+T98)),AZ98,0),IF(AND(NOT(AND(AU98=1,AT98&lt;&gt;1)),ISNUMBER(AM98),AM98&lt;=(C98+T98)),BA98,0),IF(AND(NOT(AND(AU98=1,AT98&lt;&gt;1)),ISNUMBER(AN98),AN98&lt;=(C98+T98)),BB98,0),IF(AND(ISNUMBER(AO98),AO98&lt;=(C98+T98)),BC98,0))),"RLO","BD"))))))))</f>
        <v/>
      </c>
    </row>
    <row r="99">
      <c r="A99" s="26" t="n">
        <v>88</v>
      </c>
      <c r="B99" s="27">
        <f>A99*10/60</f>
        <v/>
      </c>
      <c r="C99" s="22">
        <f>X98</f>
        <v/>
      </c>
      <c r="D99" s="27">
        <f>D98+W98</f>
        <v/>
      </c>
      <c r="E99" s="26">
        <f>E98+IF(U98="SK",1,0)</f>
        <v/>
      </c>
      <c r="F99" s="26">
        <f>F98+IF(U98="LB",1,0)</f>
        <v/>
      </c>
      <c r="G99" s="26">
        <f>G98+IF(U98="ML",1,0)</f>
        <v/>
      </c>
      <c r="H99" s="26">
        <f>H98+IF(U98="RLO",1,0)</f>
        <v/>
      </c>
      <c r="I99" s="26">
        <f>I98+IF(U98="BD",1,0)</f>
        <v/>
      </c>
      <c r="J99" s="26">
        <f>MAX(J98,IF(U98="BiP",1,0))</f>
        <v/>
      </c>
      <c r="K99" s="26">
        <f>MAX(K98,IF(U98="PV",1,0))</f>
        <v/>
      </c>
      <c r="L99" s="26">
        <f>MAX(L98,IF(U98="OC",1,0))</f>
        <v/>
      </c>
      <c r="M99" s="26">
        <f>MAX(M98,IF(U98="MG",1,0))</f>
        <v/>
      </c>
      <c r="N99" s="26">
        <f>MAX(N98,IF(U98="transition",1,0))</f>
        <v/>
      </c>
      <c r="O99" s="28">
        <f>(Parameters!$B$9+(IF(E99=0,0,(Upgrades!$J$13+E99*Upgrades!$K$13)*POWER(Upgrades!$L$13,E99)))*(IF(Upgrades!$T$14="Stellar Kinematics",POWER(Upgrades!$U$14,F99),1)*IF(Upgrades!$T$15="Stellar Kinematics",POWER(Upgrades!$U$15,G99),1)*IF(Upgrades!$T$16="Stellar Kinematics",POWER(Upgrades!$U$16,H99),1)*IF(Upgrades!$T$17="Stellar Kinematics",POWER(Upgrades!$U$17,I99),1)*IF(Upgrades!$T$18="Stellar Kinematics",POWER(Upgrades!$U$18,J99),1)*IF(Upgrades!$T$19="Stellar Kinematics",POWER(Upgrades!$U$19,K99),1)*IF(Upgrades!$T$20="Stellar Kinematics",POWER(Upgrades!$U$20,L99),1)*IF(Upgrades!$T$21="Stellar Kinematics",POWER(Upgrades!$U$21,M99),1))+(IF(F99=0,0,(Upgrades!$J$14+F99*Upgrades!$K$14)*POWER(Upgrades!$L$14,F99)))*(IF(Upgrades!$T$13="Local Bubble",POWER(Upgrades!$U$13,E99),1)*IF(Upgrades!$T$15="Local Bubble",POWER(Upgrades!$U$15,G99),1)*IF(Upgrades!$T$16="Local Bubble",POWER(Upgrades!$U$16,H99),1)*IF(Upgrades!$T$17="Local Bubble",POWER(Upgrades!$U$17,I99),1)*IF(Upgrades!$T$18="Local Bubble",POWER(Upgrades!$U$18,J99),1)*IF(Upgrades!$T$19="Local Bubble",POWER(Upgrades!$U$19,K99),1)*IF(Upgrades!$T$20="Local Bubble",POWER(Upgrades!$U$20,L99),1)*IF(Upgrades!$T$21="Local Bubble",POWER(Upgrades!$U$21,M99),1))+(IF(G99=0,0,(Upgrades!$J$15+G99*Upgrades!$K$15)*POWER(Upgrades!$L$15,G99)))*(IF(Upgrades!$T$13="Microlensing",POWER(Upgrades!$U$13,E99),1)*IF(Upgrades!$T$14="Microlensing",POWER(Upgrades!$U$14,F99),1)*IF(Upgrades!$T$16="Microlensing",POWER(Upgrades!$U$16,H99),1)*IF(Upgrades!$T$17="Microlensing",POWER(Upgrades!$U$17,I99),1)*IF(Upgrades!$T$18="Microlensing",POWER(Upgrades!$U$18,J99),1)*IF(Upgrades!$T$19="Microlensing",POWER(Upgrades!$U$19,K99),1)*IF(Upgrades!$T$20="Microlensing",POWER(Upgrades!$U$20,L99),1)*IF(Upgrades!$T$21="Microlensing",POWER(Upgrades!$U$21,M99),1))+(IF(H99=0,0,(Upgrades!$J$16+H99*Upgrades!$K$16)*POWER(Upgrades!$L$16,H99)))*(IF(Upgrades!$T$13="Roche Lobe Overflow",POWER(Upgrades!$U$13,E99),1)*IF(Upgrades!$T$14="Roche Lobe Overflow",POWER(Upgrades!$U$14,F99),1)*IF(Upgrades!$T$15="Roche Lobe Overflow",POWER(Upgrades!$U$15,G99),1)*IF(Upgrades!$T$17="Roche Lobe Overflow",POWER(Upgrades!$U$17,I99),1)*IF(Upgrades!$T$18="Roche Lobe Overflow",POWER(Upgrades!$U$18,J99),1)*IF(Upgrades!$T$19="Roche Lobe Overflow",POWER(Upgrades!$U$19,K99),1)*IF(Upgrades!$T$20="Roche Lobe Overflow",POWER(Upgrades!$U$20,L99),1)*IF(Upgrades!$T$21="Roche Lobe Overflow",POWER(Upgrades!$U$21,M99),1))+(IF(I99=0,0,(Upgrades!$J$17+I99*Upgrades!$K$17)*POWER(Upgrades!$L$17,I99)))*(IF(Upgrades!$T$13="Brown Dwarf",POWER(Upgrades!$U$13,E99),1)*IF(Upgrades!$T$14="Brown Dwarf",POWER(Upgrades!$U$14,F99),1)*IF(Upgrades!$T$15="Brown Dwarf",POWER(Upgrades!$U$15,G99),1)*IF(Upgrades!$T$16="Brown Dwarf",POWER(Upgrades!$U$16,H99),1)*IF(Upgrades!$T$18="Brown Dwarf",POWER(Upgrades!$U$18,J99),1)*IF(Upgrades!$T$19="Brown Dwarf",POWER(Upgrades!$U$19,K99),1)*IF(Upgrades!$T$20="Brown Dwarf",POWER(Upgrades!$U$20,L99),1)*IF(Upgrades!$T$21="Brown Dwarf",POWER(Upgrades!$U$21,M99),1))+(IF(J99=0,0,(Upgrades!$J$18+J99*Upgrades!$K$18)*POWER(Upgrades!$L$18,J99)))*(IF(Upgrades!$T$13="Binary Partner",POWER(Upgrades!$U$13,E99),1)*IF(Upgrades!$T$14="Binary Partner",POWER(Upgrades!$U$14,F99),1)*IF(Upgrades!$T$15="Binary Partner",POWER(Upgrades!$U$15,G99),1)*IF(Upgrades!$T$16="Binary Partner",POWER(Upgrades!$U$16,H99),1)*IF(Upgrades!$T$17="Binary Partner",POWER(Upgrades!$U$17,I99),1)*IF(Upgrades!$T$19="Binary Partner",POWER(Upgrades!$U$19,K99),1)*IF(Upgrades!$T$20="Binary Partner",POWER(Upgrades!$U$20,L99),1)*IF(Upgrades!$T$21="Binary Partner",POWER(Upgrades!$U$21,M99),1))+(IF(K99=0,0,(Upgrades!$J$19+K99*Upgrades!$K$19)*POWER(Upgrades!$L$19,K99)))*(IF(Upgrades!$T$13="Peculiar Velocity",POWER(Upgrades!$U$13,E99),1)*IF(Upgrades!$T$14="Peculiar Velocity",POWER(Upgrades!$U$14,F99),1)*IF(Upgrades!$T$15="Peculiar Velocity",POWER(Upgrades!$U$15,G99),1)*IF(Upgrades!$T$16="Peculiar Velocity",POWER(Upgrades!$U$16,H99),1)*IF(Upgrades!$T$17="Peculiar Velocity",POWER(Upgrades!$U$17,I99),1)*IF(Upgrades!$T$18="Peculiar Velocity",POWER(Upgrades!$U$18,J99),1)*IF(Upgrades!$T$20="Peculiar Velocity",POWER(Upgrades!$U$20,L99),1)*IF(Upgrades!$T$21="Peculiar Velocity",POWER(Upgrades!$U$21,M99),1))+(IF(L99=0,0,(Upgrades!$J$20+L99*Upgrades!$K$20)*POWER(Upgrades!$L$20,L99)))*(IF(Upgrades!$T$13="Open Cluster",POWER(Upgrades!$U$13,E99),1)*IF(Upgrades!$T$14="Open Cluster",POWER(Upgrades!$U$14,F99),1)*IF(Upgrades!$T$15="Open Cluster",POWER(Upgrades!$U$15,G99),1)*IF(Upgrades!$T$16="Open Cluster",POWER(Upgrades!$U$16,H99),1)*IF(Upgrades!$T$17="Open Cluster",POWER(Upgrades!$U$17,I99),1)*IF(Upgrades!$T$18="Open Cluster",POWER(Upgrades!$U$18,J99),1)*IF(Upgrades!$T$19="Open Cluster",POWER(Upgrades!$U$19,K99),1)*IF(Upgrades!$T$21="Open Cluster",POWER(Upgrades!$U$21,M99),1))+(IF(M99=0,0,(Upgrades!$J$21+M99*Upgrades!$K$21)*POWER(Upgrades!$L$21,M99)))*(IF(Upgrades!$T$13="Moving Group",POWER(Upgrades!$U$13,E99),1)*IF(Upgrades!$T$14="Moving Group",POWER(Upgrades!$U$14,F99),1)*IF(Upgrades!$T$15="Moving Group",POWER(Upgrades!$U$15,G99),1)*IF(Upgrades!$T$16="Moving Group",POWER(Upgrades!$U$16,H99),1)*IF(Upgrades!$T$17="Moving Group",POWER(Upgrades!$U$17,I99),1)*IF(Upgrades!$T$18="Moving Group",POWER(Upgrades!$U$18,J99),1)*IF(Upgrades!$T$19="Moving Group",POWER(Upgrades!$U$19,K99),1)*IF(Upgrades!$T$20="Moving Group",POWER(Upgrades!$U$20,L99),1)))*POWER(Upgrades!$Q$13,E99)*POWER(Upgrades!$Q$14,F99)*POWER(Upgrades!$Q$15,G99)*POWER(Upgrades!$Q$16,H99)*POWER(Upgrades!$Q$17,I99)*POWER(Upgrades!$Q$18,J99)*POWER(Upgrades!$Q$19,K99)*POWER(Upgrades!$Q$20,L99)*POWER(Upgrades!$Q$21,M99)*$G$6+$D$6</f>
        <v/>
      </c>
      <c r="P99" s="28">
        <f>((IF(E99=0,0,(Upgrades!$G$13+E99*Upgrades!$H$13)*POWER(Upgrades!$I$13,E99)))*(IF(Upgrades!$T$14="Stellar Kinematics",POWER(Upgrades!$U$14,F99),1)*IF(Upgrades!$T$15="Stellar Kinematics",POWER(Upgrades!$U$15,G99),1)*IF(Upgrades!$T$16="Stellar Kinematics",POWER(Upgrades!$U$16,H99),1)*IF(Upgrades!$T$17="Stellar Kinematics",POWER(Upgrades!$U$17,I99),1)*IF(Upgrades!$T$18="Stellar Kinematics",POWER(Upgrades!$U$18,J99),1)*IF(Upgrades!$T$19="Stellar Kinematics",POWER(Upgrades!$U$19,K99),1)*IF(Upgrades!$T$20="Stellar Kinematics",POWER(Upgrades!$U$20,L99),1)*IF(Upgrades!$T$21="Stellar Kinematics",POWER(Upgrades!$U$21,M99),1))+(IF(F99=0,0,(Upgrades!$G$14+F99*Upgrades!$H$14)*POWER(Upgrades!$I$14,F99)))*(IF(Upgrades!$T$13="Local Bubble",POWER(Upgrades!$U$13,E99),1)*IF(Upgrades!$T$15="Local Bubble",POWER(Upgrades!$U$15,G99),1)*IF(Upgrades!$T$16="Local Bubble",POWER(Upgrades!$U$16,H99),1)*IF(Upgrades!$T$17="Local Bubble",POWER(Upgrades!$U$17,I99),1)*IF(Upgrades!$T$18="Local Bubble",POWER(Upgrades!$U$18,J99),1)*IF(Upgrades!$T$19="Local Bubble",POWER(Upgrades!$U$19,K99),1)*IF(Upgrades!$T$20="Local Bubble",POWER(Upgrades!$U$20,L99),1)*IF(Upgrades!$T$21="Local Bubble",POWER(Upgrades!$U$21,M99),1))+(IF(G99=0,0,(Upgrades!$G$15+G99*Upgrades!$H$15)*POWER(Upgrades!$I$15,G99)))*(IF(Upgrades!$T$13="Microlensing",POWER(Upgrades!$U$13,E99),1)*IF(Upgrades!$T$14="Microlensing",POWER(Upgrades!$U$14,F99),1)*IF(Upgrades!$T$16="Microlensing",POWER(Upgrades!$U$16,H99),1)*IF(Upgrades!$T$17="Microlensing",POWER(Upgrades!$U$17,I99),1)*IF(Upgrades!$T$18="Microlensing",POWER(Upgrades!$U$18,J99),1)*IF(Upgrades!$T$19="Microlensing",POWER(Upgrades!$U$19,K99),1)*IF(Upgrades!$T$20="Microlensing",POWER(Upgrades!$U$20,L99),1)*IF(Upgrades!$T$21="Microlensing",POWER(Upgrades!$U$21,M99),1))+(IF(H99=0,0,(Upgrades!$G$16+H99*Upgrades!$H$16)*POWER(Upgrades!$I$16,H99)))*(IF(Upgrades!$T$13="Roche Lobe Overflow",POWER(Upgrades!$U$13,E99),1)*IF(Upgrades!$T$14="Roche Lobe Overflow",POWER(Upgrades!$U$14,F99),1)*IF(Upgrades!$T$15="Roche Lobe Overflow",POWER(Upgrades!$U$15,G99),1)*IF(Upgrades!$T$17="Roche Lobe Overflow",POWER(Upgrades!$U$17,I99),1)*IF(Upgrades!$T$18="Roche Lobe Overflow",POWER(Upgrades!$U$18,J99),1)*IF(Upgrades!$T$19="Roche Lobe Overflow",POWER(Upgrades!$U$19,K99),1)*IF(Upgrades!$T$20="Roche Lobe Overflow",POWER(Upgrades!$U$20,L99),1)*IF(Upgrades!$T$21="Roche Lobe Overflow",POWER(Upgrades!$U$21,M99),1))+(IF(I99=0,0,(Upgrades!$G$17+I99*Upgrades!$H$17)*POWER(Upgrades!$I$17,I99)))*(IF(Upgrades!$T$13="Brown Dwarf",POWER(Upgrades!$U$13,E99),1)*IF(Upgrades!$T$14="Brown Dwarf",POWER(Upgrades!$U$14,F99),1)*IF(Upgrades!$T$15="Brown Dwarf",POWER(Upgrades!$U$15,G99),1)*IF(Upgrades!$T$16="Brown Dwarf",POWER(Upgrades!$U$16,H99),1)*IF(Upgrades!$T$18="Brown Dwarf",POWER(Upgrades!$U$18,J99),1)*IF(Upgrades!$T$19="Brown Dwarf",POWER(Upgrades!$U$19,K99),1)*IF(Upgrades!$T$20="Brown Dwarf",POWER(Upgrades!$U$20,L99),1)*IF(Upgrades!$T$21="Brown Dwarf",POWER(Upgrades!$U$21,M99),1))+(IF(J99=0,0,(Upgrades!$G$18+J99*Upgrades!$H$18)*POWER(Upgrades!$I$18,J99)))*(IF(Upgrades!$T$13="Binary Partner",POWER(Upgrades!$U$13,E99),1)*IF(Upgrades!$T$14="Binary Partner",POWER(Upgrades!$U$14,F99),1)*IF(Upgrades!$T$15="Binary Partner",POWER(Upgrades!$U$15,G99),1)*IF(Upgrades!$T$16="Binary Partner",POWER(Upgrades!$U$16,H99),1)*IF(Upgrades!$T$17="Binary Partner",POWER(Upgrades!$U$17,I99),1)*IF(Upgrades!$T$19="Binary Partner",POWER(Upgrades!$U$19,K99),1)*IF(Upgrades!$T$20="Binary Partner",POWER(Upgrades!$U$20,L99),1)*IF(Upgrades!$T$21="Binary Partner",POWER(Upgrades!$U$21,M99),1))+(IF(K99=0,0,(Upgrades!$G$19+K99*Upgrades!$H$19)*POWER(Upgrades!$I$19,K99)))*(IF(Upgrades!$T$13="Peculiar Velocity",POWER(Upgrades!$U$13,E99),1)*IF(Upgrades!$T$14="Peculiar Velocity",POWER(Upgrades!$U$14,F99),1)*IF(Upgrades!$T$15="Peculiar Velocity",POWER(Upgrades!$U$15,G99),1)*IF(Upgrades!$T$16="Peculiar Velocity",POWER(Upgrades!$U$16,H99),1)*IF(Upgrades!$T$17="Peculiar Velocity",POWER(Upgrades!$U$17,I99),1)*IF(Upgrades!$T$18="Peculiar Velocity",POWER(Upgrades!$U$18,J99),1)*IF(Upgrades!$T$20="Peculiar Velocity",POWER(Upgrades!$U$20,L99),1)*IF(Upgrades!$T$21="Peculiar Velocity",POWER(Upgrades!$U$21,M99),1))+(IF(L99=0,0,(Upgrades!$G$20+L99*Upgrades!$H$20)*POWER(Upgrades!$I$20,L99)))*(IF(Upgrades!$T$13="Open Cluster",POWER(Upgrades!$U$13,E99),1)*IF(Upgrades!$T$14="Open Cluster",POWER(Upgrades!$U$14,F99),1)*IF(Upgrades!$T$15="Open Cluster",POWER(Upgrades!$U$15,G99),1)*IF(Upgrades!$T$16="Open Cluster",POWER(Upgrades!$U$16,H99),1)*IF(Upgrades!$T$17="Open Cluster",POWER(Upgrades!$U$17,I99),1)*IF(Upgrades!$T$18="Open Cluster",POWER(Upgrades!$U$18,J99),1)*IF(Upgrades!$T$19="Open Cluster",POWER(Upgrades!$U$19,K99),1)*IF(Upgrades!$T$21="Open Cluster",POWER(Upgrades!$U$21,M99),1))+(IF(M99=0,0,(Upgrades!$G$21+M99*Upgrades!$H$21)*POWER(Upgrades!$I$21,M99)))*(IF(Upgrades!$T$13="Moving Group",POWER(Upgrades!$U$13,E99),1)*IF(Upgrades!$T$14="Moving Group",POWER(Upgrades!$U$14,F99),1)*IF(Upgrades!$T$15="Moving Group",POWER(Upgrades!$U$15,G99),1)*IF(Upgrades!$T$16="Moving Group",POWER(Upgrades!$U$16,H99),1)*IF(Upgrades!$T$17="Moving Group",POWER(Upgrades!$U$17,I99),1)*IF(Upgrades!$T$18="Moving Group",POWER(Upgrades!$U$18,J99),1)*IF(Upgrades!$T$19="Moving Group",POWER(Upgrades!$U$19,K99),1)*IF(Upgrades!$T$20="Moving Group",POWER(Upgrades!$U$20,L99),1)))*POWER(Upgrades!$P$13,E99)*POWER(Upgrades!$P$14,F99)*POWER(Upgrades!$P$15,G99)*POWER(Upgrades!$P$16,H99)*POWER(Upgrades!$P$17,I99)*POWER(Upgrades!$P$18,J99)*POWER(Upgrades!$P$19,K99)*POWER(Upgrades!$P$20,L99)*POWER(Upgrades!$P$21,M99)*$F$6+$C$6</f>
        <v/>
      </c>
      <c r="Q99" s="28">
        <f>((IF(E99=0,0,(Upgrades!$M$13+E99*Upgrades!$N$13)*POWER(Upgrades!$O$13,E99)))*(IF(Upgrades!$T$14="Stellar Kinematics",POWER(Upgrades!$U$14,F99),1)*IF(Upgrades!$T$15="Stellar Kinematics",POWER(Upgrades!$U$15,G99),1)*IF(Upgrades!$T$16="Stellar Kinematics",POWER(Upgrades!$U$16,H99),1)*IF(Upgrades!$T$17="Stellar Kinematics",POWER(Upgrades!$U$17,I99),1)*IF(Upgrades!$T$18="Stellar Kinematics",POWER(Upgrades!$U$18,J99),1)*IF(Upgrades!$T$19="Stellar Kinematics",POWER(Upgrades!$U$19,K99),1)*IF(Upgrades!$T$20="Stellar Kinematics",POWER(Upgrades!$U$20,L99),1)*IF(Upgrades!$T$21="Stellar Kinematics",POWER(Upgrades!$U$21,M99),1))+(IF(F99=0,0,(Upgrades!$M$14+F99*Upgrades!$N$14)*POWER(Upgrades!$O$14,F99)))*(IF(Upgrades!$T$13="Local Bubble",POWER(Upgrades!$U$13,E99),1)*IF(Upgrades!$T$15="Local Bubble",POWER(Upgrades!$U$15,G99),1)*IF(Upgrades!$T$16="Local Bubble",POWER(Upgrades!$U$16,H99),1)*IF(Upgrades!$T$17="Local Bubble",POWER(Upgrades!$U$17,I99),1)*IF(Upgrades!$T$18="Local Bubble",POWER(Upgrades!$U$18,J99),1)*IF(Upgrades!$T$19="Local Bubble",POWER(Upgrades!$U$19,K99),1)*IF(Upgrades!$T$20="Local Bubble",POWER(Upgrades!$U$20,L99),1)*IF(Upgrades!$T$21="Local Bubble",POWER(Upgrades!$U$21,M99),1))+(IF(G99=0,0,(Upgrades!$M$15+G99*Upgrades!$N$15)*POWER(Upgrades!$O$15,G99)))*(IF(Upgrades!$T$13="Microlensing",POWER(Upgrades!$U$13,E99),1)*IF(Upgrades!$T$14="Microlensing",POWER(Upgrades!$U$14,F99),1)*IF(Upgrades!$T$16="Microlensing",POWER(Upgrades!$U$16,H99),1)*IF(Upgrades!$T$17="Microlensing",POWER(Upgrades!$U$17,I99),1)*IF(Upgrades!$T$18="Microlensing",POWER(Upgrades!$U$18,J99),1)*IF(Upgrades!$T$19="Microlensing",POWER(Upgrades!$U$19,K99),1)*IF(Upgrades!$T$20="Microlensing",POWER(Upgrades!$U$20,L99),1)*IF(Upgrades!$T$21="Microlensing",POWER(Upgrades!$U$21,M99),1))+(IF(H99=0,0,(Upgrades!$M$16+H99*Upgrades!$N$16)*POWER(Upgrades!$O$16,H99)))*(IF(Upgrades!$T$13="Roche Lobe Overflow",POWER(Upgrades!$U$13,E99),1)*IF(Upgrades!$T$14="Roche Lobe Overflow",POWER(Upgrades!$U$14,F99),1)*IF(Upgrades!$T$15="Roche Lobe Overflow",POWER(Upgrades!$U$15,G99),1)*IF(Upgrades!$T$17="Roche Lobe Overflow",POWER(Upgrades!$U$17,I99),1)*IF(Upgrades!$T$18="Roche Lobe Overflow",POWER(Upgrades!$U$18,J99),1)*IF(Upgrades!$T$19="Roche Lobe Overflow",POWER(Upgrades!$U$19,K99),1)*IF(Upgrades!$T$20="Roche Lobe Overflow",POWER(Upgrades!$U$20,L99),1)*IF(Upgrades!$T$21="Roche Lobe Overflow",POWER(Upgrades!$U$21,M99),1))+(IF(I99=0,0,(Upgrades!$M$17+I99*Upgrades!$N$17)*POWER(Upgrades!$O$17,I99)))*(IF(Upgrades!$T$13="Brown Dwarf",POWER(Upgrades!$U$13,E99),1)*IF(Upgrades!$T$14="Brown Dwarf",POWER(Upgrades!$U$14,F99),1)*IF(Upgrades!$T$15="Brown Dwarf",POWER(Upgrades!$U$15,G99),1)*IF(Upgrades!$T$16="Brown Dwarf",POWER(Upgrades!$U$16,H99),1)*IF(Upgrades!$T$18="Brown Dwarf",POWER(Upgrades!$U$18,J99),1)*IF(Upgrades!$T$19="Brown Dwarf",POWER(Upgrades!$U$19,K99),1)*IF(Upgrades!$T$20="Brown Dwarf",POWER(Upgrades!$U$20,L99),1)*IF(Upgrades!$T$21="Brown Dwarf",POWER(Upgrades!$U$21,M99),1))+(IF(J99=0,0,(Upgrades!$M$18+J99*Upgrades!$N$18)*POWER(Upgrades!$O$18,J99)))*(IF(Upgrades!$T$13="Binary Partner",POWER(Upgrades!$U$13,E99),1)*IF(Upgrades!$T$14="Binary Partner",POWER(Upgrades!$U$14,F99),1)*IF(Upgrades!$T$15="Binary Partner",POWER(Upgrades!$U$15,G99),1)*IF(Upgrades!$T$16="Binary Partner",POWER(Upgrades!$U$16,H99),1)*IF(Upgrades!$T$17="Binary Partner",POWER(Upgrades!$U$17,I99),1)*IF(Upgrades!$T$19="Binary Partner",POWER(Upgrades!$U$19,K99),1)*IF(Upgrades!$T$20="Binary Partner",POWER(Upgrades!$U$20,L99),1)*IF(Upgrades!$T$21="Binary Partner",POWER(Upgrades!$U$21,M99),1))+(IF(K99=0,0,(Upgrades!$M$19+K99*Upgrades!$N$19)*POWER(Upgrades!$O$19,K99)))*(IF(Upgrades!$T$13="Peculiar Velocity",POWER(Upgrades!$U$13,E99),1)*IF(Upgrades!$T$14="Peculiar Velocity",POWER(Upgrades!$U$14,F99),1)*IF(Upgrades!$T$15="Peculiar Velocity",POWER(Upgrades!$U$15,G99),1)*IF(Upgrades!$T$16="Peculiar Velocity",POWER(Upgrades!$U$16,H99),1)*IF(Upgrades!$T$17="Peculiar Velocity",POWER(Upgrades!$U$17,I99),1)*IF(Upgrades!$T$18="Peculiar Velocity",POWER(Upgrades!$U$18,J99),1)*IF(Upgrades!$T$20="Peculiar Velocity",POWER(Upgrades!$U$20,L99),1)*IF(Upgrades!$T$21="Peculiar Velocity",POWER(Upgrades!$U$21,M99),1))+(IF(L99=0,0,(Upgrades!$M$20+L99*Upgrades!$N$20)*POWER(Upgrades!$O$20,L99)))*(IF(Upgrades!$T$13="Open Cluster",POWER(Upgrades!$U$13,E99),1)*IF(Upgrades!$T$14="Open Cluster",POWER(Upgrades!$U$14,F99),1)*IF(Upgrades!$T$15="Open Cluster",POWER(Upgrades!$U$15,G99),1)*IF(Upgrades!$T$16="Open Cluster",POWER(Upgrades!$U$16,H99),1)*IF(Upgrades!$T$17="Open Cluster",POWER(Upgrades!$U$17,I99),1)*IF(Upgrades!$T$18="Open Cluster",POWER(Upgrades!$U$18,J99),1)*IF(Upgrades!$T$19="Open Cluster",POWER(Upgrades!$U$19,K99),1)*IF(Upgrades!$T$21="Open Cluster",POWER(Upgrades!$U$21,M99),1))+(IF(M99=0,0,(Upgrades!$M$21+M99*Upgrades!$N$21)*POWER(Upgrades!$O$21,M99)))*(IF(Upgrades!$T$13="Moving Group",POWER(Upgrades!$U$13,E99),1)*IF(Upgrades!$T$14="Moving Group",POWER(Upgrades!$U$14,F99),1)*IF(Upgrades!$T$15="Moving Group",POWER(Upgrades!$U$15,G99),1)*IF(Upgrades!$T$16="Moving Group",POWER(Upgrades!$U$16,H99),1)*IF(Upgrades!$T$17="Moving Group",POWER(Upgrades!$U$17,I99),1)*IF(Upgrades!$T$18="Moving Group",POWER(Upgrades!$U$18,J99),1)*IF(Upgrades!$T$19="Moving Group",POWER(Upgrades!$U$19,K99),1)*IF(Upgrades!$T$20="Moving Group",POWER(Upgrades!$U$20,L99),1)))*POWER(Upgrades!$R$13,E99)*POWER(Upgrades!$R$14,F99)*POWER(Upgrades!$R$15,G99)*POWER(Upgrades!$R$16,H99)*POWER(Upgrades!$R$17,I99)*POWER(Upgrades!$R$18,J99)*POWER(Upgrades!$R$19,K99)*POWER(Upgrades!$R$20,L99)*POWER(Upgrades!$R$21,M99)*$H$6+$E$6</f>
        <v/>
      </c>
      <c r="R99" s="27">
        <f>IF(N99=1,0,O99*Parameters!$B$10/60*Parameters!$B$11*10)</f>
        <v/>
      </c>
      <c r="S99" s="27">
        <f>IF(N99=1,0,Q99*O99*10)</f>
        <v/>
      </c>
      <c r="T99" s="27">
        <f>IF(N99=1,0,R99+S99+P99*10)</f>
        <v/>
      </c>
      <c r="U99" s="33">
        <f>BE99</f>
        <v/>
      </c>
      <c r="V99" s="22">
        <f>IF(U99="",0,IF(U99="transition",0,IF(U99="SK",AK99,IF(U99="LB",AL99,IF(U99="ML",AM99,IF(U99="RLO",AN99,IF(U99="BD",AO99,IF(U99="BiP",AP99,IF(U99="PV",AQ99,IF(U99="OC",AR99,IF(U99="MG",AS99,0))))))))))</f>
        <v/>
      </c>
      <c r="W99" s="27">
        <f>IF(U99="BiP",Upgrades!$F$18,IF(U99="PV",Upgrades!$F$19,IF(U99="OC",Upgrades!$F$20,IF(U99="MG",Upgrades!$F$21,IF(U99="transition",-Parameters!$B$18*Parameters!$B$19,0)))))</f>
        <v/>
      </c>
      <c r="X99" s="22">
        <f>C99+T99-V99</f>
        <v/>
      </c>
      <c r="Y99" s="30">
        <f>O99*Parameters!$B$10/60*Parameters!$B$11+Q99*O99+P99</f>
        <v/>
      </c>
      <c r="Z99" s="34">
        <f>IF(U99="transition","→ Tier 3 (Galactic Arm)",IF(U99="MG","Moving Group — pocket drifts together",IF(U99="OC","Open Cluster acquired",IF(U99="PV","Peculiar Velocity — passive multiplier active",IF(U99="BiP","Binary Partner — pair bond formed",IF(AND(AU99=1,N99=0,AT99&lt;&gt;1),"Cohesion ready (waiting on completionists)","")))))) </f>
        <v/>
      </c>
      <c r="AA99" s="27">
        <f>(IF(E99=0,0,(Upgrades!$G$13+E99*Upgrades!$H$13)*POWER(Upgrades!$I$13,E99)))*(IF(Upgrades!$T$14="Stellar Kinematics",POWER(Upgrades!$U$14,F99),1)*IF(Upgrades!$T$15="Stellar Kinematics",POWER(Upgrades!$U$15,G99),1)*IF(Upgrades!$T$16="Stellar Kinematics",POWER(Upgrades!$U$16,H99),1)*IF(Upgrades!$T$17="Stellar Kinematics",POWER(Upgrades!$U$17,I99),1)*IF(Upgrades!$T$18="Stellar Kinematics",POWER(Upgrades!$U$18,J99),1)*IF(Upgrades!$T$19="Stellar Kinematics",POWER(Upgrades!$U$19,K99),1)*IF(Upgrades!$T$20="Stellar Kinematics",POWER(Upgrades!$U$20,L99),1)*IF(Upgrades!$T$21="Stellar Kinematics",POWER(Upgrades!$U$21,M99),1))*POWER(Upgrades!$P$13,E99)*POWER(Upgrades!$P$14,F99)*POWER(Upgrades!$P$15,G99)*POWER(Upgrades!$P$16,H99)*POWER(Upgrades!$P$17,I99)*POWER(Upgrades!$P$18,J99)*POWER(Upgrades!$P$19,K99)*POWER(Upgrades!$P$20,L99)*POWER(Upgrades!$P$21,M99)*$F$6*60</f>
        <v/>
      </c>
      <c r="AB99" s="27">
        <f>(IF(F99=0,0,(Upgrades!$G$14+F99*Upgrades!$H$14)*POWER(Upgrades!$I$14,F99)))*(IF(Upgrades!$T$13="Local Bubble",POWER(Upgrades!$U$13,E99),1)*IF(Upgrades!$T$15="Local Bubble",POWER(Upgrades!$U$15,G99),1)*IF(Upgrades!$T$16="Local Bubble",POWER(Upgrades!$U$16,H99),1)*IF(Upgrades!$T$17="Local Bubble",POWER(Upgrades!$U$17,I99),1)*IF(Upgrades!$T$18="Local Bubble",POWER(Upgrades!$U$18,J99),1)*IF(Upgrades!$T$19="Local Bubble",POWER(Upgrades!$U$19,K99),1)*IF(Upgrades!$T$20="Local Bubble",POWER(Upgrades!$U$20,L99),1)*IF(Upgrades!$T$21="Local Bubble",POWER(Upgrades!$U$21,M99),1))*POWER(Upgrades!$P$13,E99)*POWER(Upgrades!$P$14,F99)*POWER(Upgrades!$P$15,G99)*POWER(Upgrades!$P$16,H99)*POWER(Upgrades!$P$17,I99)*POWER(Upgrades!$P$18,J99)*POWER(Upgrades!$P$19,K99)*POWER(Upgrades!$P$20,L99)*POWER(Upgrades!$P$21,M99)*$F$6*60</f>
        <v/>
      </c>
      <c r="AC99" s="27">
        <f>(IF(G99=0,0,(Upgrades!$J$15+G99*Upgrades!$K$15)*POWER(Upgrades!$L$15,G99)))*(IF(Upgrades!$T$13="Microlensing",POWER(Upgrades!$U$13,E99),1)*IF(Upgrades!$T$14="Microlensing",POWER(Upgrades!$U$14,F99),1)*IF(Upgrades!$T$16="Microlensing",POWER(Upgrades!$U$16,H99),1)*IF(Upgrades!$T$17="Microlensing",POWER(Upgrades!$U$17,I99),1)*IF(Upgrades!$T$18="Microlensing",POWER(Upgrades!$U$18,J99),1)*IF(Upgrades!$T$19="Microlensing",POWER(Upgrades!$U$19,K99),1)*IF(Upgrades!$T$20="Microlensing",POWER(Upgrades!$U$20,L99),1)*IF(Upgrades!$T$21="Microlensing",POWER(Upgrades!$U$21,M99),1))*POWER(Upgrades!$Q$13,E99)*POWER(Upgrades!$Q$14,F99)*POWER(Upgrades!$Q$15,G99)*POWER(Upgrades!$Q$16,H99)*POWER(Upgrades!$Q$17,I99)*POWER(Upgrades!$Q$18,J99)*POWER(Upgrades!$Q$19,K99)*POWER(Upgrades!$Q$20,L99)*POWER(Upgrades!$Q$21,M99)*$G$6*(Parameters!$B$10*Parameters!$B$11+Q99*60)</f>
        <v/>
      </c>
      <c r="AD99" s="27">
        <f>(IF(H99=0,0,(Upgrades!$M$16+H99*Upgrades!$N$16)*POWER(Upgrades!$O$16,H99)))*(IF(Upgrades!$T$13="Roche Lobe Overflow",POWER(Upgrades!$U$13,E99),1)*IF(Upgrades!$T$14="Roche Lobe Overflow",POWER(Upgrades!$U$14,F99),1)*IF(Upgrades!$T$15="Roche Lobe Overflow",POWER(Upgrades!$U$15,G99),1)*IF(Upgrades!$T$17="Roche Lobe Overflow",POWER(Upgrades!$U$17,I99),1)*IF(Upgrades!$T$18="Roche Lobe Overflow",POWER(Upgrades!$U$18,J99),1)*IF(Upgrades!$T$19="Roche Lobe Overflow",POWER(Upgrades!$U$19,K99),1)*IF(Upgrades!$T$20="Roche Lobe Overflow",POWER(Upgrades!$U$20,L99),1)*IF(Upgrades!$T$21="Roche Lobe Overflow",POWER(Upgrades!$U$21,M99),1))*POWER(Upgrades!$R$13,E99)*POWER(Upgrades!$R$14,F99)*POWER(Upgrades!$R$15,G99)*POWER(Upgrades!$R$16,H99)*POWER(Upgrades!$R$17,I99)*POWER(Upgrades!$R$18,J99)*POWER(Upgrades!$R$19,K99)*POWER(Upgrades!$R$20,L99)*POWER(Upgrades!$R$21,M99)*$H$6*O99*60</f>
        <v/>
      </c>
      <c r="AE99" s="27">
        <f>(IF(I99=0,0,(Upgrades!$G$17+I99*Upgrades!$H$17)*POWER(Upgrades!$I$17,I99)))*(IF(Upgrades!$T$13="Brown Dwarf",POWER(Upgrades!$U$13,E99),1)*IF(Upgrades!$T$14="Brown Dwarf",POWER(Upgrades!$U$14,F99),1)*IF(Upgrades!$T$15="Brown Dwarf",POWER(Upgrades!$U$15,G99),1)*IF(Upgrades!$T$16="Brown Dwarf",POWER(Upgrades!$U$16,H99),1)*IF(Upgrades!$T$18="Brown Dwarf",POWER(Upgrades!$U$18,J99),1)*IF(Upgrades!$T$19="Brown Dwarf",POWER(Upgrades!$U$19,K99),1)*IF(Upgrades!$T$20="Brown Dwarf",POWER(Upgrades!$U$20,L99),1)*IF(Upgrades!$T$21="Brown Dwarf",POWER(Upgrades!$U$21,M99),1))*POWER(Upgrades!$P$13,E99)*POWER(Upgrades!$P$14,F99)*POWER(Upgrades!$P$15,G99)*POWER(Upgrades!$P$16,H99)*POWER(Upgrades!$P$17,I99)*POWER(Upgrades!$P$18,J99)*POWER(Upgrades!$P$19,K99)*POWER(Upgrades!$P$20,L99)*POWER(Upgrades!$P$21,M99)*$F$6*60</f>
        <v/>
      </c>
      <c r="AF99" s="27" t="n">
        <v>0</v>
      </c>
      <c r="AG99" s="27" t="n">
        <v>0</v>
      </c>
      <c r="AH99" s="27" t="n">
        <v>0</v>
      </c>
      <c r="AI99" s="27">
        <f>(IF(M99=0,0,(Upgrades!$G$21+M99*Upgrades!$H$21)*POWER(Upgrades!$I$21,M99)))*(IF(Upgrades!$T$13="Moving Group",POWER(Upgrades!$U$13,E99),1)*IF(Upgrades!$T$14="Moving Group",POWER(Upgrades!$U$14,F99),1)*IF(Upgrades!$T$15="Moving Group",POWER(Upgrades!$U$15,G99),1)*IF(Upgrades!$T$16="Moving Group",POWER(Upgrades!$U$16,H99),1)*IF(Upgrades!$T$17="Moving Group",POWER(Upgrades!$U$17,I99),1)*IF(Upgrades!$T$18="Moving Group",POWER(Upgrades!$U$18,J99),1)*IF(Upgrades!$T$19="Moving Group",POWER(Upgrades!$U$19,K99),1)*IF(Upgrades!$T$20="Moving Group",POWER(Upgrades!$U$20,L99),1))*POWER(Upgrades!$P$13,E99)*POWER(Upgrades!$P$14,F99)*POWER(Upgrades!$P$15,G99)*POWER(Upgrades!$P$16,H99)*POWER(Upgrades!$P$17,I99)*POWER(Upgrades!$P$18,J99)*POWER(Upgrades!$P$19,K99)*POWER(Upgrades!$P$20,L99)*POWER(Upgrades!$P$21,M99)*$F$6*60</f>
        <v/>
      </c>
      <c r="AJ99" s="27">
        <f>$C$6*60</f>
        <v/>
      </c>
      <c r="AK99" s="22">
        <f>IF(E99&gt;=Upgrades!$E$13,"",Upgrades!$C$13*POWER(Upgrades!$D$13,E99))</f>
        <v/>
      </c>
      <c r="AL99" s="22">
        <f>IF(F99&gt;=Upgrades!$E$14,"",Upgrades!$C$14*POWER(Upgrades!$D$14,F99))</f>
        <v/>
      </c>
      <c r="AM99" s="22">
        <f>IF(G99&gt;=Upgrades!$E$15,"",Upgrades!$C$15*POWER(Upgrades!$D$15,G99))</f>
        <v/>
      </c>
      <c r="AN99" s="22">
        <f>IF(H99&gt;=Upgrades!$E$16,"",Upgrades!$C$16*POWER(Upgrades!$D$16,H99))</f>
        <v/>
      </c>
      <c r="AO99" s="22">
        <f>IF(I99&gt;=Upgrades!$E$17,"",Upgrades!$C$17*POWER(Upgrades!$D$17,I99))</f>
        <v/>
      </c>
      <c r="AP99" s="22">
        <f>IF(J99&gt;=Upgrades!$E$18,"",Upgrades!$C$18*POWER(Upgrades!$D$18,J99))</f>
        <v/>
      </c>
      <c r="AQ99" s="22">
        <f>IF(K99&gt;=Upgrades!$E$19,"",Upgrades!$C$19*POWER(Upgrades!$D$19,K99))</f>
        <v/>
      </c>
      <c r="AR99" s="22">
        <f>IF(L99&gt;=Upgrades!$E$20,"",Upgrades!$C$20*POWER(Upgrades!$D$20,L99))</f>
        <v/>
      </c>
      <c r="AS99" s="22">
        <f>IF(M99&gt;=Upgrades!$E$21,"",Upgrades!$C$21*POWER(Upgrades!$D$21,M99))</f>
        <v/>
      </c>
      <c r="AT99" s="26">
        <f>IF(AND(D99&gt;=Parameters!$B$18*Parameters!$B$19,(I99&gt;=Upgrades!$E$17)*(M99&gt;=Upgrades!$E$21)=1,N99=0),1,"")</f>
        <v/>
      </c>
      <c r="AU99" s="26">
        <f>IF(AND(D99&gt;=Parameters!$B$18*Parameters!$B$19,N99=0),1,"")</f>
        <v/>
      </c>
      <c r="AV99" s="22">
        <f>MIN(IF(ISNUMBER(AP99),AP99,9E15),IF(ISNUMBER(AQ99),AQ99,9E15),IF(ISNUMBER(AR99),AR99,9E15),IF(ISNUMBER(AS99),AS99,9E15))</f>
        <v/>
      </c>
      <c r="AW99" s="22">
        <f>MIN(IF(ISNUMBER(AK99),AK99,9E15),IF(ISNUMBER(AL99),AL99,9E15),IF(ISNUMBER(AM99),AM99,9E15),IF(ISNUMBER(AN99),AN99,9E15),IF(ISNUMBER(AO99),AO99,9E15))</f>
        <v/>
      </c>
      <c r="AX99" s="29">
        <f>IF(BD99&gt;Parameters!$B$21*(MAX(IF(AND(NOT(AND(AU99=1,AT99&lt;&gt;1)),ISNUMBER(AK99),AK99&lt;=(C99+T99)),AY99,0),IF(AND(NOT(AND(AU99=1,AT99&lt;&gt;1)),ISNUMBER(AL99),AL99&lt;=(C99+T99)),AZ99,0),IF(AND(NOT(AND(AU99=1,AT99&lt;&gt;1)),ISNUMBER(AM99),AM99&lt;=(C99+T99)),BA99,0),IF(AND(NOT(AND(AU99=1,AT99&lt;&gt;1)),ISNUMBER(AN99),AN99&lt;=(C99+T99)),BB99,0),IF(AND(ISNUMBER(AO99),AO99&lt;=(C99+T99)),BC99,0))),TRUE,FALSE)</f>
        <v/>
      </c>
      <c r="AY99" s="32">
        <f>IFERROR(Upgrades!$H$13*(POWER(Upgrades!$P$13,E99)*POWER(Upgrades!$P$14,F99)*POWER(Upgrades!$P$15,G99)*POWER(Upgrades!$P$16,H99)*POWER(Upgrades!$P$17,I99)*POWER(Upgrades!$P$18,J99)*POWER(Upgrades!$P$19,K99)*POWER(Upgrades!$P$20,L99)*POWER(Upgrades!$P$21,M99))*(IF(Upgrades!$T$14="Stellar Kinematics",POWER(Upgrades!$U$14,F99),1)*IF(Upgrades!$T$15="Stellar Kinematics",POWER(Upgrades!$U$15,G99),1)*IF(Upgrades!$T$16="Stellar Kinematics",POWER(Upgrades!$U$16,H99),1)*IF(Upgrades!$T$17="Stellar Kinematics",POWER(Upgrades!$U$17,I99),1)*IF(Upgrades!$T$18="Stellar Kinematics",POWER(Upgrades!$U$18,J99),1)*IF(Upgrades!$T$19="Stellar Kinematics",POWER(Upgrades!$U$19,K99),1)*IF(Upgrades!$T$20="Stellar Kinematics",POWER(Upgrades!$U$20,L99),1)*IF(Upgrades!$T$21="Stellar Kinematics",POWER(Upgrades!$U$21,M99),1))*$F$6/AK99,0)</f>
        <v/>
      </c>
      <c r="AZ99" s="32">
        <f>IFERROR(Upgrades!$H$14*(POWER(Upgrades!$P$13,E99)*POWER(Upgrades!$P$14,F99)*POWER(Upgrades!$P$15,G99)*POWER(Upgrades!$P$16,H99)*POWER(Upgrades!$P$17,I99)*POWER(Upgrades!$P$18,J99)*POWER(Upgrades!$P$19,K99)*POWER(Upgrades!$P$20,L99)*POWER(Upgrades!$P$21,M99))*(IF(Upgrades!$T$13="Local Bubble",POWER(Upgrades!$U$13,E99),1)*IF(Upgrades!$T$15="Local Bubble",POWER(Upgrades!$U$15,G99),1)*IF(Upgrades!$T$16="Local Bubble",POWER(Upgrades!$U$16,H99),1)*IF(Upgrades!$T$17="Local Bubble",POWER(Upgrades!$U$17,I99),1)*IF(Upgrades!$T$18="Local Bubble",POWER(Upgrades!$U$18,J99),1)*IF(Upgrades!$T$19="Local Bubble",POWER(Upgrades!$U$19,K99),1)*IF(Upgrades!$T$20="Local Bubble",POWER(Upgrades!$U$20,L99),1)*IF(Upgrades!$T$21="Local Bubble",POWER(Upgrades!$U$21,M99),1))*$F$6/AL99,0)</f>
        <v/>
      </c>
      <c r="BA99" s="32">
        <f>IFERROR(Upgrades!$K$15*(POWER(Upgrades!$Q$13,E99)*POWER(Upgrades!$Q$14,F99)*POWER(Upgrades!$Q$15,G99)*POWER(Upgrades!$Q$16,H99)*POWER(Upgrades!$Q$17,I99)*POWER(Upgrades!$Q$18,J99)*POWER(Upgrades!$Q$19,K99)*POWER(Upgrades!$Q$20,L99)*POWER(Upgrades!$Q$21,M99))*(IF(Upgrades!$T$13="Microlensing",POWER(Upgrades!$U$13,E99),1)*IF(Upgrades!$T$14="Microlensing",POWER(Upgrades!$U$14,F99),1)*IF(Upgrades!$T$16="Microlensing",POWER(Upgrades!$U$16,H99),1)*IF(Upgrades!$T$17="Microlensing",POWER(Upgrades!$U$17,I99),1)*IF(Upgrades!$T$18="Microlensing",POWER(Upgrades!$U$18,J99),1)*IF(Upgrades!$T$19="Microlensing",POWER(Upgrades!$U$19,K99),1)*IF(Upgrades!$T$20="Microlensing",POWER(Upgrades!$U$20,L99),1)*IF(Upgrades!$T$21="Microlensing",POWER(Upgrades!$U$21,M99),1))*$G$6*(Parameters!$B$10/60*Parameters!$B$11+Q99)/AM99,0)</f>
        <v/>
      </c>
      <c r="BB99" s="32">
        <f>IFERROR((Upgrades!$N$16*(POWER(Upgrades!$R$13,E99)*POWER(Upgrades!$R$14,F99)*POWER(Upgrades!$R$15,G99)*POWER(Upgrades!$R$16,H99)*POWER(Upgrades!$R$17,I99)*POWER(Upgrades!$R$18,J99)*POWER(Upgrades!$R$19,K99)*POWER(Upgrades!$R$20,L99)*POWER(Upgrades!$R$21,M99))*(IF(Upgrades!$T$13="Roche Lobe Overflow",POWER(Upgrades!$U$13,E99),1)*IF(Upgrades!$T$14="Roche Lobe Overflow",POWER(Upgrades!$U$14,F99),1)*IF(Upgrades!$T$15="Roche Lobe Overflow",POWER(Upgrades!$U$15,G99),1)*IF(Upgrades!$T$17="Roche Lobe Overflow",POWER(Upgrades!$U$17,I99),1)*IF(Upgrades!$T$18="Roche Lobe Overflow",POWER(Upgrades!$U$18,J99),1)*IF(Upgrades!$T$19="Roche Lobe Overflow",POWER(Upgrades!$U$19,K99),1)*IF(Upgrades!$T$20="Roche Lobe Overflow",POWER(Upgrades!$U$20,L99),1)*IF(Upgrades!$T$21="Roche Lobe Overflow",POWER(Upgrades!$U$21,M99),1))*$H$6*O99+((IF(F99=0,0,(Upgrades!$G$14+F99*Upgrades!$H$14)*POWER(Upgrades!$I$14,F99)))*(IF(Upgrades!$T$13="Local Bubble",POWER(Upgrades!$U$13,E99),1)*IF(Upgrades!$T$15="Local Bubble",POWER(Upgrades!$U$15,G99),1)*IF(Upgrades!$T$16="Local Bubble",POWER(Upgrades!$U$16,H99),1)*IF(Upgrades!$T$17="Local Bubble",POWER(Upgrades!$U$17,I99),1)*IF(Upgrades!$T$18="Local Bubble",POWER(Upgrades!$U$18,J99),1)*IF(Upgrades!$T$19="Local Bubble",POWER(Upgrades!$U$19,K99),1)*IF(Upgrades!$T$20="Local Bubble",POWER(Upgrades!$U$20,L99),1)*IF(Upgrades!$T$21="Local Bubble",POWER(Upgrades!$U$21,M99),1))*POWER(Upgrades!$P$13,E99)*POWER(Upgrades!$P$14,F99)*POWER(Upgrades!$P$15,G99)*POWER(Upgrades!$P$16,H99)*POWER(Upgrades!$P$17,I99)*POWER(Upgrades!$P$18,J99)*POWER(Upgrades!$P$19,K99)*POWER(Upgrades!$P$20,L99)*POWER(Upgrades!$P$21,M99)*$F$6)*0.05)/AN99,0)</f>
        <v/>
      </c>
      <c r="BC99" s="32">
        <f>IFERROR((Upgrades!$H$17*(POWER(Upgrades!$P$13,E99)*POWER(Upgrades!$P$14,F99)*POWER(Upgrades!$P$15,G99)*POWER(Upgrades!$P$16,H99)*POWER(Upgrades!$P$17,I99)*POWER(Upgrades!$P$18,J99)*POWER(Upgrades!$P$19,K99)*POWER(Upgrades!$P$20,L99)*POWER(Upgrades!$P$21,M99))*(IF(Upgrades!$T$13="Brown Dwarf",POWER(Upgrades!$U$13,E99),1)*IF(Upgrades!$T$14="Brown Dwarf",POWER(Upgrades!$U$14,F99),1)*IF(Upgrades!$T$15="Brown Dwarf",POWER(Upgrades!$U$15,G99),1)*IF(Upgrades!$T$16="Brown Dwarf",POWER(Upgrades!$U$16,H99),1)*IF(Upgrades!$T$18="Brown Dwarf",POWER(Upgrades!$U$18,J99),1)*IF(Upgrades!$T$19="Brown Dwarf",POWER(Upgrades!$U$19,K99),1)*IF(Upgrades!$T$20="Brown Dwarf",POWER(Upgrades!$U$20,L99),1)*IF(Upgrades!$T$21="Brown Dwarf",POWER(Upgrades!$U$21,M99),1))*$F$6+(((IF(H99=0,0,(Upgrades!$M$16+H99*Upgrades!$N$16)*POWER(Upgrades!$O$16,H99)))*(IF(Upgrades!$T$13="Roche Lobe Overflow",POWER(Upgrades!$U$13,E99),1)*IF(Upgrades!$T$14="Roche Lobe Overflow",POWER(Upgrades!$U$14,F99),1)*IF(Upgrades!$T$15="Roche Lobe Overflow",POWER(Upgrades!$U$15,G99),1)*IF(Upgrades!$T$17="Roche Lobe Overflow",POWER(Upgrades!$U$17,I99),1)*IF(Upgrades!$T$18="Roche Lobe Overflow",POWER(Upgrades!$U$18,J99),1)*IF(Upgrades!$T$19="Roche Lobe Overflow",POWER(Upgrades!$U$19,K99),1)*IF(Upgrades!$T$20="Roche Lobe Overflow",POWER(Upgrades!$U$20,L99),1)*IF(Upgrades!$T$21="Roche Lobe Overflow",POWER(Upgrades!$U$21,M99),1))*POWER(Upgrades!$R$13,E99)*POWER(Upgrades!$R$14,F99)*POWER(Upgrades!$R$15,G99)*POWER(Upgrades!$R$16,H99)*POWER(Upgrades!$R$17,I99)*POWER(Upgrades!$R$18,J99)*POWER(Upgrades!$R$19,K99)*POWER(Upgrades!$R$20,L99)*POWER(Upgrades!$R$21,M99)*$H$6)*O99)*0.10)/AO99,0)</f>
        <v/>
      </c>
      <c r="BD99" s="32">
        <f>MAX(IF(J99&gt;0,0,IFERROR(0.5*((IF(G99=0,0,(Upgrades!$J$15+G99*Upgrades!$K$15)*POWER(Upgrades!$L$15,G99)))*(IF(Upgrades!$T$13="Microlensing",POWER(Upgrades!$U$13,E99),1)*IF(Upgrades!$T$14="Microlensing",POWER(Upgrades!$U$14,F99),1)*IF(Upgrades!$T$16="Microlensing",POWER(Upgrades!$U$16,H99),1)*IF(Upgrades!$T$17="Microlensing",POWER(Upgrades!$U$17,I99),1)*IF(Upgrades!$T$18="Microlensing",POWER(Upgrades!$U$18,J99),1)*IF(Upgrades!$T$19="Microlensing",POWER(Upgrades!$U$19,K99),1)*IF(Upgrades!$T$20="Microlensing",POWER(Upgrades!$U$20,L99),1)*IF(Upgrades!$T$21="Microlensing",POWER(Upgrades!$U$21,M99),1))*(POWER(Upgrades!$Q$13,E99)*POWER(Upgrades!$Q$14,F99)*POWER(Upgrades!$Q$15,G99)*POWER(Upgrades!$Q$16,H99)*POWER(Upgrades!$Q$17,I99)*POWER(Upgrades!$Q$18,J99)*POWER(Upgrades!$Q$19,K99)*POWER(Upgrades!$Q$20,L99)*POWER(Upgrades!$Q$21,M99))*$G$6*(Parameters!$B$10/60*Parameters!$B$11+Q99))/Upgrades!$C$18,0)),IF(K99&gt;0,0,IFERROR(0.30*P99/Upgrades!$C$19,0)),IF(L99&gt;0,0,IFERROR(0.0001/Upgrades!$C$20,0)),IF(M99&gt;0,0,IFERROR((6.0*(POWER(Upgrades!$P$13,E99)*POWER(Upgrades!$P$14,F99)*POWER(Upgrades!$P$15,G99)*POWER(Upgrades!$P$16,H99)*POWER(Upgrades!$P$17,I99)*POWER(Upgrades!$P$18,J99)*POWER(Upgrades!$P$19,K99)*POWER(Upgrades!$P$20,L99)*POWER(Upgrades!$P$21,M99))*$F$6+0.20*O99*(Parameters!$B$10/60*Parameters!$B$11+Q99))/Upgrades!$C$21,0)),IF(AND(ISNUMBER(AK99),AK99&gt;(C99+T99)),AY99,0),IF(AND(ISNUMBER(AL99),AL99&gt;(C99+T99)),AZ99,0),IF(AND(ISNUMBER(AM99),AM99&gt;(C99+T99)),BA99,0),IF(AND(ISNUMBER(AN99),AN99&gt;(C99+T99)),BB99,0),IF(AND(ISNUMBER(AO99),AO99&gt;(C99+T99)),BC99,0))</f>
        <v/>
      </c>
      <c r="BE99" s="29">
        <f>IF(AT99=1,"transition",IF(MIN(IF(AND(J99=0,ISNUMBER(AP99),AP99&lt;=(C99+T99)),AP99,9E15),IF(AND(K99=0,ISNUMBER(AQ99),AQ99&lt;=(C99+T99)),AQ99,9E15),IF(AND(L99=0,ISNUMBER(AR99),AR99&lt;=(C99+T99)),AR99,9E15),IF(AND(M99=0,ISNUMBER(AS99),AS99&lt;=(C99+T99)),AS99,9E15))&lt;9E15,IF(AND(AND(J99=0,ISNUMBER(AP99),AP99&lt;=(C99+T99)),AP99=MIN(IF(AND(J99=0,ISNUMBER(AP99),AP99&lt;=(C99+T99)),AP99,9E15),IF(AND(K99=0,ISNUMBER(AQ99),AQ99&lt;=(C99+T99)),AQ99,9E15),IF(AND(L99=0,ISNUMBER(AR99),AR99&lt;=(C99+T99)),AR99,9E15),IF(AND(M99=0,ISNUMBER(AS99),AS99&lt;=(C99+T99)),AS99,9E15))),"BiP",IF(AND(AND(K99=0,ISNUMBER(AQ99),AQ99&lt;=(C99+T99)),AQ99=MIN(IF(AND(J99=0,ISNUMBER(AP99),AP99&lt;=(C99+T99)),AP99,9E15),IF(AND(K99=0,ISNUMBER(AQ99),AQ99&lt;=(C99+T99)),AQ99,9E15),IF(AND(L99=0,ISNUMBER(AR99),AR99&lt;=(C99+T99)),AR99,9E15),IF(AND(M99=0,ISNUMBER(AS99),AS99&lt;=(C99+T99)),AS99,9E15))),"PV",IF(AND(AND(L99=0,ISNUMBER(AR99),AR99&lt;=(C99+T99)),AR99=MIN(IF(AND(J99=0,ISNUMBER(AP99),AP99&lt;=(C99+T99)),AP99,9E15),IF(AND(K99=0,ISNUMBER(AQ99),AQ99&lt;=(C99+T99)),AQ99,9E15),IF(AND(L99=0,ISNUMBER(AR99),AR99&lt;=(C99+T99)),AR99,9E15),IF(AND(M99=0,ISNUMBER(AS99),AS99&lt;=(C99+T99)),AS99,9E15))),"OC","MG"))),IF(AX99=TRUE,"",IF(MAX(IF(AND(NOT(AND(AU99=1,AT99&lt;&gt;1)),ISNUMBER(AK99),AK99&lt;=(C99+T99)),AY99,0),IF(AND(NOT(AND(AU99=1,AT99&lt;&gt;1)),ISNUMBER(AL99),AL99&lt;=(C99+T99)),AZ99,0),IF(AND(NOT(AND(AU99=1,AT99&lt;&gt;1)),ISNUMBER(AM99),AM99&lt;=(C99+T99)),BA99,0),IF(AND(NOT(AND(AU99=1,AT99&lt;&gt;1)),ISNUMBER(AN99),AN99&lt;=(C99+T99)),BB99,0),IF(AND(ISNUMBER(AO99),AO99&lt;=(C99+T99)),BC99,0))&lt;=0,"",IF(AND(IF(AND(NOT(AND(AU99=1,AT99&lt;&gt;1)),ISNUMBER(AK99),AK99&lt;=(C99+T99)),AY99,0)&gt;0,IF(AND(NOT(AND(AU99=1,AT99&lt;&gt;1)),ISNUMBER(AK99),AK99&lt;=(C99+T99)),AY99,0)=MAX(IF(AND(NOT(AND(AU99=1,AT99&lt;&gt;1)),ISNUMBER(AK99),AK99&lt;=(C99+T99)),AY99,0),IF(AND(NOT(AND(AU99=1,AT99&lt;&gt;1)),ISNUMBER(AL99),AL99&lt;=(C99+T99)),AZ99,0),IF(AND(NOT(AND(AU99=1,AT99&lt;&gt;1)),ISNUMBER(AM99),AM99&lt;=(C99+T99)),BA99,0),IF(AND(NOT(AND(AU99=1,AT99&lt;&gt;1)),ISNUMBER(AN99),AN99&lt;=(C99+T99)),BB99,0),IF(AND(ISNUMBER(AO99),AO99&lt;=(C99+T99)),BC99,0))),"SK",IF(AND(IF(AND(NOT(AND(AU99=1,AT99&lt;&gt;1)),ISNUMBER(AL99),AL99&lt;=(C99+T99)),AZ99,0)&gt;0,IF(AND(NOT(AND(AU99=1,AT99&lt;&gt;1)),ISNUMBER(AL99),AL99&lt;=(C99+T99)),AZ99,0)=MAX(IF(AND(NOT(AND(AU99=1,AT99&lt;&gt;1)),ISNUMBER(AK99),AK99&lt;=(C99+T99)),AY99,0),IF(AND(NOT(AND(AU99=1,AT99&lt;&gt;1)),ISNUMBER(AL99),AL99&lt;=(C99+T99)),AZ99,0),IF(AND(NOT(AND(AU99=1,AT99&lt;&gt;1)),ISNUMBER(AM99),AM99&lt;=(C99+T99)),BA99,0),IF(AND(NOT(AND(AU99=1,AT99&lt;&gt;1)),ISNUMBER(AN99),AN99&lt;=(C99+T99)),BB99,0),IF(AND(ISNUMBER(AO99),AO99&lt;=(C99+T99)),BC99,0))),"LB",IF(AND(IF(AND(NOT(AND(AU99=1,AT99&lt;&gt;1)),ISNUMBER(AM99),AM99&lt;=(C99+T99)),BA99,0)&gt;0,IF(AND(NOT(AND(AU99=1,AT99&lt;&gt;1)),ISNUMBER(AM99),AM99&lt;=(C99+T99)),BA99,0)=MAX(IF(AND(NOT(AND(AU99=1,AT99&lt;&gt;1)),ISNUMBER(AK99),AK99&lt;=(C99+T99)),AY99,0),IF(AND(NOT(AND(AU99=1,AT99&lt;&gt;1)),ISNUMBER(AL99),AL99&lt;=(C99+T99)),AZ99,0),IF(AND(NOT(AND(AU99=1,AT99&lt;&gt;1)),ISNUMBER(AM99),AM99&lt;=(C99+T99)),BA99,0),IF(AND(NOT(AND(AU99=1,AT99&lt;&gt;1)),ISNUMBER(AN99),AN99&lt;=(C99+T99)),BB99,0),IF(AND(ISNUMBER(AO99),AO99&lt;=(C99+T99)),BC99,0))),"ML",IF(AND(IF(AND(NOT(AND(AU99=1,AT99&lt;&gt;1)),ISNUMBER(AN99),AN99&lt;=(C99+T99)),BB99,0)&gt;0,IF(AND(NOT(AND(AU99=1,AT99&lt;&gt;1)),ISNUMBER(AN99),AN99&lt;=(C99+T99)),BB99,0)=MAX(IF(AND(NOT(AND(AU99=1,AT99&lt;&gt;1)),ISNUMBER(AK99),AK99&lt;=(C99+T99)),AY99,0),IF(AND(NOT(AND(AU99=1,AT99&lt;&gt;1)),ISNUMBER(AL99),AL99&lt;=(C99+T99)),AZ99,0),IF(AND(NOT(AND(AU99=1,AT99&lt;&gt;1)),ISNUMBER(AM99),AM99&lt;=(C99+T99)),BA99,0),IF(AND(NOT(AND(AU99=1,AT99&lt;&gt;1)),ISNUMBER(AN99),AN99&lt;=(C99+T99)),BB99,0),IF(AND(ISNUMBER(AO99),AO99&lt;=(C99+T99)),BC99,0))),"RLO","BD"))))))))</f>
        <v/>
      </c>
    </row>
    <row r="100">
      <c r="A100" s="26" t="n">
        <v>89</v>
      </c>
      <c r="B100" s="27">
        <f>A100*10/60</f>
        <v/>
      </c>
      <c r="C100" s="22">
        <f>X99</f>
        <v/>
      </c>
      <c r="D100" s="27">
        <f>D99+W99</f>
        <v/>
      </c>
      <c r="E100" s="26">
        <f>E99+IF(U99="SK",1,0)</f>
        <v/>
      </c>
      <c r="F100" s="26">
        <f>F99+IF(U99="LB",1,0)</f>
        <v/>
      </c>
      <c r="G100" s="26">
        <f>G99+IF(U99="ML",1,0)</f>
        <v/>
      </c>
      <c r="H100" s="26">
        <f>H99+IF(U99="RLO",1,0)</f>
        <v/>
      </c>
      <c r="I100" s="26">
        <f>I99+IF(U99="BD",1,0)</f>
        <v/>
      </c>
      <c r="J100" s="26">
        <f>MAX(J99,IF(U99="BiP",1,0))</f>
        <v/>
      </c>
      <c r="K100" s="26">
        <f>MAX(K99,IF(U99="PV",1,0))</f>
        <v/>
      </c>
      <c r="L100" s="26">
        <f>MAX(L99,IF(U99="OC",1,0))</f>
        <v/>
      </c>
      <c r="M100" s="26">
        <f>MAX(M99,IF(U99="MG",1,0))</f>
        <v/>
      </c>
      <c r="N100" s="26">
        <f>MAX(N99,IF(U99="transition",1,0))</f>
        <v/>
      </c>
      <c r="O100" s="28">
        <f>(Parameters!$B$9+(IF(E100=0,0,(Upgrades!$J$13+E100*Upgrades!$K$13)*POWER(Upgrades!$L$13,E100)))*(IF(Upgrades!$T$14="Stellar Kinematics",POWER(Upgrades!$U$14,F100),1)*IF(Upgrades!$T$15="Stellar Kinematics",POWER(Upgrades!$U$15,G100),1)*IF(Upgrades!$T$16="Stellar Kinematics",POWER(Upgrades!$U$16,H100),1)*IF(Upgrades!$T$17="Stellar Kinematics",POWER(Upgrades!$U$17,I100),1)*IF(Upgrades!$T$18="Stellar Kinematics",POWER(Upgrades!$U$18,J100),1)*IF(Upgrades!$T$19="Stellar Kinematics",POWER(Upgrades!$U$19,K100),1)*IF(Upgrades!$T$20="Stellar Kinematics",POWER(Upgrades!$U$20,L100),1)*IF(Upgrades!$T$21="Stellar Kinematics",POWER(Upgrades!$U$21,M100),1))+(IF(F100=0,0,(Upgrades!$J$14+F100*Upgrades!$K$14)*POWER(Upgrades!$L$14,F100)))*(IF(Upgrades!$T$13="Local Bubble",POWER(Upgrades!$U$13,E100),1)*IF(Upgrades!$T$15="Local Bubble",POWER(Upgrades!$U$15,G100),1)*IF(Upgrades!$T$16="Local Bubble",POWER(Upgrades!$U$16,H100),1)*IF(Upgrades!$T$17="Local Bubble",POWER(Upgrades!$U$17,I100),1)*IF(Upgrades!$T$18="Local Bubble",POWER(Upgrades!$U$18,J100),1)*IF(Upgrades!$T$19="Local Bubble",POWER(Upgrades!$U$19,K100),1)*IF(Upgrades!$T$20="Local Bubble",POWER(Upgrades!$U$20,L100),1)*IF(Upgrades!$T$21="Local Bubble",POWER(Upgrades!$U$21,M100),1))+(IF(G100=0,0,(Upgrades!$J$15+G100*Upgrades!$K$15)*POWER(Upgrades!$L$15,G100)))*(IF(Upgrades!$T$13="Microlensing",POWER(Upgrades!$U$13,E100),1)*IF(Upgrades!$T$14="Microlensing",POWER(Upgrades!$U$14,F100),1)*IF(Upgrades!$T$16="Microlensing",POWER(Upgrades!$U$16,H100),1)*IF(Upgrades!$T$17="Microlensing",POWER(Upgrades!$U$17,I100),1)*IF(Upgrades!$T$18="Microlensing",POWER(Upgrades!$U$18,J100),1)*IF(Upgrades!$T$19="Microlensing",POWER(Upgrades!$U$19,K100),1)*IF(Upgrades!$T$20="Microlensing",POWER(Upgrades!$U$20,L100),1)*IF(Upgrades!$T$21="Microlensing",POWER(Upgrades!$U$21,M100),1))+(IF(H100=0,0,(Upgrades!$J$16+H100*Upgrades!$K$16)*POWER(Upgrades!$L$16,H100)))*(IF(Upgrades!$T$13="Roche Lobe Overflow",POWER(Upgrades!$U$13,E100),1)*IF(Upgrades!$T$14="Roche Lobe Overflow",POWER(Upgrades!$U$14,F100),1)*IF(Upgrades!$T$15="Roche Lobe Overflow",POWER(Upgrades!$U$15,G100),1)*IF(Upgrades!$T$17="Roche Lobe Overflow",POWER(Upgrades!$U$17,I100),1)*IF(Upgrades!$T$18="Roche Lobe Overflow",POWER(Upgrades!$U$18,J100),1)*IF(Upgrades!$T$19="Roche Lobe Overflow",POWER(Upgrades!$U$19,K100),1)*IF(Upgrades!$T$20="Roche Lobe Overflow",POWER(Upgrades!$U$20,L100),1)*IF(Upgrades!$T$21="Roche Lobe Overflow",POWER(Upgrades!$U$21,M100),1))+(IF(I100=0,0,(Upgrades!$J$17+I100*Upgrades!$K$17)*POWER(Upgrades!$L$17,I100)))*(IF(Upgrades!$T$13="Brown Dwarf",POWER(Upgrades!$U$13,E100),1)*IF(Upgrades!$T$14="Brown Dwarf",POWER(Upgrades!$U$14,F100),1)*IF(Upgrades!$T$15="Brown Dwarf",POWER(Upgrades!$U$15,G100),1)*IF(Upgrades!$T$16="Brown Dwarf",POWER(Upgrades!$U$16,H100),1)*IF(Upgrades!$T$18="Brown Dwarf",POWER(Upgrades!$U$18,J100),1)*IF(Upgrades!$T$19="Brown Dwarf",POWER(Upgrades!$U$19,K100),1)*IF(Upgrades!$T$20="Brown Dwarf",POWER(Upgrades!$U$20,L100),1)*IF(Upgrades!$T$21="Brown Dwarf",POWER(Upgrades!$U$21,M100),1))+(IF(J100=0,0,(Upgrades!$J$18+J100*Upgrades!$K$18)*POWER(Upgrades!$L$18,J100)))*(IF(Upgrades!$T$13="Binary Partner",POWER(Upgrades!$U$13,E100),1)*IF(Upgrades!$T$14="Binary Partner",POWER(Upgrades!$U$14,F100),1)*IF(Upgrades!$T$15="Binary Partner",POWER(Upgrades!$U$15,G100),1)*IF(Upgrades!$T$16="Binary Partner",POWER(Upgrades!$U$16,H100),1)*IF(Upgrades!$T$17="Binary Partner",POWER(Upgrades!$U$17,I100),1)*IF(Upgrades!$T$19="Binary Partner",POWER(Upgrades!$U$19,K100),1)*IF(Upgrades!$T$20="Binary Partner",POWER(Upgrades!$U$20,L100),1)*IF(Upgrades!$T$21="Binary Partner",POWER(Upgrades!$U$21,M100),1))+(IF(K100=0,0,(Upgrades!$J$19+K100*Upgrades!$K$19)*POWER(Upgrades!$L$19,K100)))*(IF(Upgrades!$T$13="Peculiar Velocity",POWER(Upgrades!$U$13,E100),1)*IF(Upgrades!$T$14="Peculiar Velocity",POWER(Upgrades!$U$14,F100),1)*IF(Upgrades!$T$15="Peculiar Velocity",POWER(Upgrades!$U$15,G100),1)*IF(Upgrades!$T$16="Peculiar Velocity",POWER(Upgrades!$U$16,H100),1)*IF(Upgrades!$T$17="Peculiar Velocity",POWER(Upgrades!$U$17,I100),1)*IF(Upgrades!$T$18="Peculiar Velocity",POWER(Upgrades!$U$18,J100),1)*IF(Upgrades!$T$20="Peculiar Velocity",POWER(Upgrades!$U$20,L100),1)*IF(Upgrades!$T$21="Peculiar Velocity",POWER(Upgrades!$U$21,M100),1))+(IF(L100=0,0,(Upgrades!$J$20+L100*Upgrades!$K$20)*POWER(Upgrades!$L$20,L100)))*(IF(Upgrades!$T$13="Open Cluster",POWER(Upgrades!$U$13,E100),1)*IF(Upgrades!$T$14="Open Cluster",POWER(Upgrades!$U$14,F100),1)*IF(Upgrades!$T$15="Open Cluster",POWER(Upgrades!$U$15,G100),1)*IF(Upgrades!$T$16="Open Cluster",POWER(Upgrades!$U$16,H100),1)*IF(Upgrades!$T$17="Open Cluster",POWER(Upgrades!$U$17,I100),1)*IF(Upgrades!$T$18="Open Cluster",POWER(Upgrades!$U$18,J100),1)*IF(Upgrades!$T$19="Open Cluster",POWER(Upgrades!$U$19,K100),1)*IF(Upgrades!$T$21="Open Cluster",POWER(Upgrades!$U$21,M100),1))+(IF(M100=0,0,(Upgrades!$J$21+M100*Upgrades!$K$21)*POWER(Upgrades!$L$21,M100)))*(IF(Upgrades!$T$13="Moving Group",POWER(Upgrades!$U$13,E100),1)*IF(Upgrades!$T$14="Moving Group",POWER(Upgrades!$U$14,F100),1)*IF(Upgrades!$T$15="Moving Group",POWER(Upgrades!$U$15,G100),1)*IF(Upgrades!$T$16="Moving Group",POWER(Upgrades!$U$16,H100),1)*IF(Upgrades!$T$17="Moving Group",POWER(Upgrades!$U$17,I100),1)*IF(Upgrades!$T$18="Moving Group",POWER(Upgrades!$U$18,J100),1)*IF(Upgrades!$T$19="Moving Group",POWER(Upgrades!$U$19,K100),1)*IF(Upgrades!$T$20="Moving Group",POWER(Upgrades!$U$20,L100),1)))*POWER(Upgrades!$Q$13,E100)*POWER(Upgrades!$Q$14,F100)*POWER(Upgrades!$Q$15,G100)*POWER(Upgrades!$Q$16,H100)*POWER(Upgrades!$Q$17,I100)*POWER(Upgrades!$Q$18,J100)*POWER(Upgrades!$Q$19,K100)*POWER(Upgrades!$Q$20,L100)*POWER(Upgrades!$Q$21,M100)*$G$6+$D$6</f>
        <v/>
      </c>
      <c r="P100" s="28">
        <f>((IF(E100=0,0,(Upgrades!$G$13+E100*Upgrades!$H$13)*POWER(Upgrades!$I$13,E100)))*(IF(Upgrades!$T$14="Stellar Kinematics",POWER(Upgrades!$U$14,F100),1)*IF(Upgrades!$T$15="Stellar Kinematics",POWER(Upgrades!$U$15,G100),1)*IF(Upgrades!$T$16="Stellar Kinematics",POWER(Upgrades!$U$16,H100),1)*IF(Upgrades!$T$17="Stellar Kinematics",POWER(Upgrades!$U$17,I100),1)*IF(Upgrades!$T$18="Stellar Kinematics",POWER(Upgrades!$U$18,J100),1)*IF(Upgrades!$T$19="Stellar Kinematics",POWER(Upgrades!$U$19,K100),1)*IF(Upgrades!$T$20="Stellar Kinematics",POWER(Upgrades!$U$20,L100),1)*IF(Upgrades!$T$21="Stellar Kinematics",POWER(Upgrades!$U$21,M100),1))+(IF(F100=0,0,(Upgrades!$G$14+F100*Upgrades!$H$14)*POWER(Upgrades!$I$14,F100)))*(IF(Upgrades!$T$13="Local Bubble",POWER(Upgrades!$U$13,E100),1)*IF(Upgrades!$T$15="Local Bubble",POWER(Upgrades!$U$15,G100),1)*IF(Upgrades!$T$16="Local Bubble",POWER(Upgrades!$U$16,H100),1)*IF(Upgrades!$T$17="Local Bubble",POWER(Upgrades!$U$17,I100),1)*IF(Upgrades!$T$18="Local Bubble",POWER(Upgrades!$U$18,J100),1)*IF(Upgrades!$T$19="Local Bubble",POWER(Upgrades!$U$19,K100),1)*IF(Upgrades!$T$20="Local Bubble",POWER(Upgrades!$U$20,L100),1)*IF(Upgrades!$T$21="Local Bubble",POWER(Upgrades!$U$21,M100),1))+(IF(G100=0,0,(Upgrades!$G$15+G100*Upgrades!$H$15)*POWER(Upgrades!$I$15,G100)))*(IF(Upgrades!$T$13="Microlensing",POWER(Upgrades!$U$13,E100),1)*IF(Upgrades!$T$14="Microlensing",POWER(Upgrades!$U$14,F100),1)*IF(Upgrades!$T$16="Microlensing",POWER(Upgrades!$U$16,H100),1)*IF(Upgrades!$T$17="Microlensing",POWER(Upgrades!$U$17,I100),1)*IF(Upgrades!$T$18="Microlensing",POWER(Upgrades!$U$18,J100),1)*IF(Upgrades!$T$19="Microlensing",POWER(Upgrades!$U$19,K100),1)*IF(Upgrades!$T$20="Microlensing",POWER(Upgrades!$U$20,L100),1)*IF(Upgrades!$T$21="Microlensing",POWER(Upgrades!$U$21,M100),1))+(IF(H100=0,0,(Upgrades!$G$16+H100*Upgrades!$H$16)*POWER(Upgrades!$I$16,H100)))*(IF(Upgrades!$T$13="Roche Lobe Overflow",POWER(Upgrades!$U$13,E100),1)*IF(Upgrades!$T$14="Roche Lobe Overflow",POWER(Upgrades!$U$14,F100),1)*IF(Upgrades!$T$15="Roche Lobe Overflow",POWER(Upgrades!$U$15,G100),1)*IF(Upgrades!$T$17="Roche Lobe Overflow",POWER(Upgrades!$U$17,I100),1)*IF(Upgrades!$T$18="Roche Lobe Overflow",POWER(Upgrades!$U$18,J100),1)*IF(Upgrades!$T$19="Roche Lobe Overflow",POWER(Upgrades!$U$19,K100),1)*IF(Upgrades!$T$20="Roche Lobe Overflow",POWER(Upgrades!$U$20,L100),1)*IF(Upgrades!$T$21="Roche Lobe Overflow",POWER(Upgrades!$U$21,M100),1))+(IF(I100=0,0,(Upgrades!$G$17+I100*Upgrades!$H$17)*POWER(Upgrades!$I$17,I100)))*(IF(Upgrades!$T$13="Brown Dwarf",POWER(Upgrades!$U$13,E100),1)*IF(Upgrades!$T$14="Brown Dwarf",POWER(Upgrades!$U$14,F100),1)*IF(Upgrades!$T$15="Brown Dwarf",POWER(Upgrades!$U$15,G100),1)*IF(Upgrades!$T$16="Brown Dwarf",POWER(Upgrades!$U$16,H100),1)*IF(Upgrades!$T$18="Brown Dwarf",POWER(Upgrades!$U$18,J100),1)*IF(Upgrades!$T$19="Brown Dwarf",POWER(Upgrades!$U$19,K100),1)*IF(Upgrades!$T$20="Brown Dwarf",POWER(Upgrades!$U$20,L100),1)*IF(Upgrades!$T$21="Brown Dwarf",POWER(Upgrades!$U$21,M100),1))+(IF(J100=0,0,(Upgrades!$G$18+J100*Upgrades!$H$18)*POWER(Upgrades!$I$18,J100)))*(IF(Upgrades!$T$13="Binary Partner",POWER(Upgrades!$U$13,E100),1)*IF(Upgrades!$T$14="Binary Partner",POWER(Upgrades!$U$14,F100),1)*IF(Upgrades!$T$15="Binary Partner",POWER(Upgrades!$U$15,G100),1)*IF(Upgrades!$T$16="Binary Partner",POWER(Upgrades!$U$16,H100),1)*IF(Upgrades!$T$17="Binary Partner",POWER(Upgrades!$U$17,I100),1)*IF(Upgrades!$T$19="Binary Partner",POWER(Upgrades!$U$19,K100),1)*IF(Upgrades!$T$20="Binary Partner",POWER(Upgrades!$U$20,L100),1)*IF(Upgrades!$T$21="Binary Partner",POWER(Upgrades!$U$21,M100),1))+(IF(K100=0,0,(Upgrades!$G$19+K100*Upgrades!$H$19)*POWER(Upgrades!$I$19,K100)))*(IF(Upgrades!$T$13="Peculiar Velocity",POWER(Upgrades!$U$13,E100),1)*IF(Upgrades!$T$14="Peculiar Velocity",POWER(Upgrades!$U$14,F100),1)*IF(Upgrades!$T$15="Peculiar Velocity",POWER(Upgrades!$U$15,G100),1)*IF(Upgrades!$T$16="Peculiar Velocity",POWER(Upgrades!$U$16,H100),1)*IF(Upgrades!$T$17="Peculiar Velocity",POWER(Upgrades!$U$17,I100),1)*IF(Upgrades!$T$18="Peculiar Velocity",POWER(Upgrades!$U$18,J100),1)*IF(Upgrades!$T$20="Peculiar Velocity",POWER(Upgrades!$U$20,L100),1)*IF(Upgrades!$T$21="Peculiar Velocity",POWER(Upgrades!$U$21,M100),1))+(IF(L100=0,0,(Upgrades!$G$20+L100*Upgrades!$H$20)*POWER(Upgrades!$I$20,L100)))*(IF(Upgrades!$T$13="Open Cluster",POWER(Upgrades!$U$13,E100),1)*IF(Upgrades!$T$14="Open Cluster",POWER(Upgrades!$U$14,F100),1)*IF(Upgrades!$T$15="Open Cluster",POWER(Upgrades!$U$15,G100),1)*IF(Upgrades!$T$16="Open Cluster",POWER(Upgrades!$U$16,H100),1)*IF(Upgrades!$T$17="Open Cluster",POWER(Upgrades!$U$17,I100),1)*IF(Upgrades!$T$18="Open Cluster",POWER(Upgrades!$U$18,J100),1)*IF(Upgrades!$T$19="Open Cluster",POWER(Upgrades!$U$19,K100),1)*IF(Upgrades!$T$21="Open Cluster",POWER(Upgrades!$U$21,M100),1))+(IF(M100=0,0,(Upgrades!$G$21+M100*Upgrades!$H$21)*POWER(Upgrades!$I$21,M100)))*(IF(Upgrades!$T$13="Moving Group",POWER(Upgrades!$U$13,E100),1)*IF(Upgrades!$T$14="Moving Group",POWER(Upgrades!$U$14,F100),1)*IF(Upgrades!$T$15="Moving Group",POWER(Upgrades!$U$15,G100),1)*IF(Upgrades!$T$16="Moving Group",POWER(Upgrades!$U$16,H100),1)*IF(Upgrades!$T$17="Moving Group",POWER(Upgrades!$U$17,I100),1)*IF(Upgrades!$T$18="Moving Group",POWER(Upgrades!$U$18,J100),1)*IF(Upgrades!$T$19="Moving Group",POWER(Upgrades!$U$19,K100),1)*IF(Upgrades!$T$20="Moving Group",POWER(Upgrades!$U$20,L100),1)))*POWER(Upgrades!$P$13,E100)*POWER(Upgrades!$P$14,F100)*POWER(Upgrades!$P$15,G100)*POWER(Upgrades!$P$16,H100)*POWER(Upgrades!$P$17,I100)*POWER(Upgrades!$P$18,J100)*POWER(Upgrades!$P$19,K100)*POWER(Upgrades!$P$20,L100)*POWER(Upgrades!$P$21,M100)*$F$6+$C$6</f>
        <v/>
      </c>
      <c r="Q100" s="28">
        <f>((IF(E100=0,0,(Upgrades!$M$13+E100*Upgrades!$N$13)*POWER(Upgrades!$O$13,E100)))*(IF(Upgrades!$T$14="Stellar Kinematics",POWER(Upgrades!$U$14,F100),1)*IF(Upgrades!$T$15="Stellar Kinematics",POWER(Upgrades!$U$15,G100),1)*IF(Upgrades!$T$16="Stellar Kinematics",POWER(Upgrades!$U$16,H100),1)*IF(Upgrades!$T$17="Stellar Kinematics",POWER(Upgrades!$U$17,I100),1)*IF(Upgrades!$T$18="Stellar Kinematics",POWER(Upgrades!$U$18,J100),1)*IF(Upgrades!$T$19="Stellar Kinematics",POWER(Upgrades!$U$19,K100),1)*IF(Upgrades!$T$20="Stellar Kinematics",POWER(Upgrades!$U$20,L100),1)*IF(Upgrades!$T$21="Stellar Kinematics",POWER(Upgrades!$U$21,M100),1))+(IF(F100=0,0,(Upgrades!$M$14+F100*Upgrades!$N$14)*POWER(Upgrades!$O$14,F100)))*(IF(Upgrades!$T$13="Local Bubble",POWER(Upgrades!$U$13,E100),1)*IF(Upgrades!$T$15="Local Bubble",POWER(Upgrades!$U$15,G100),1)*IF(Upgrades!$T$16="Local Bubble",POWER(Upgrades!$U$16,H100),1)*IF(Upgrades!$T$17="Local Bubble",POWER(Upgrades!$U$17,I100),1)*IF(Upgrades!$T$18="Local Bubble",POWER(Upgrades!$U$18,J100),1)*IF(Upgrades!$T$19="Local Bubble",POWER(Upgrades!$U$19,K100),1)*IF(Upgrades!$T$20="Local Bubble",POWER(Upgrades!$U$20,L100),1)*IF(Upgrades!$T$21="Local Bubble",POWER(Upgrades!$U$21,M100),1))+(IF(G100=0,0,(Upgrades!$M$15+G100*Upgrades!$N$15)*POWER(Upgrades!$O$15,G100)))*(IF(Upgrades!$T$13="Microlensing",POWER(Upgrades!$U$13,E100),1)*IF(Upgrades!$T$14="Microlensing",POWER(Upgrades!$U$14,F100),1)*IF(Upgrades!$T$16="Microlensing",POWER(Upgrades!$U$16,H100),1)*IF(Upgrades!$T$17="Microlensing",POWER(Upgrades!$U$17,I100),1)*IF(Upgrades!$T$18="Microlensing",POWER(Upgrades!$U$18,J100),1)*IF(Upgrades!$T$19="Microlensing",POWER(Upgrades!$U$19,K100),1)*IF(Upgrades!$T$20="Microlensing",POWER(Upgrades!$U$20,L100),1)*IF(Upgrades!$T$21="Microlensing",POWER(Upgrades!$U$21,M100),1))+(IF(H100=0,0,(Upgrades!$M$16+H100*Upgrades!$N$16)*POWER(Upgrades!$O$16,H100)))*(IF(Upgrades!$T$13="Roche Lobe Overflow",POWER(Upgrades!$U$13,E100),1)*IF(Upgrades!$T$14="Roche Lobe Overflow",POWER(Upgrades!$U$14,F100),1)*IF(Upgrades!$T$15="Roche Lobe Overflow",POWER(Upgrades!$U$15,G100),1)*IF(Upgrades!$T$17="Roche Lobe Overflow",POWER(Upgrades!$U$17,I100),1)*IF(Upgrades!$T$18="Roche Lobe Overflow",POWER(Upgrades!$U$18,J100),1)*IF(Upgrades!$T$19="Roche Lobe Overflow",POWER(Upgrades!$U$19,K100),1)*IF(Upgrades!$T$20="Roche Lobe Overflow",POWER(Upgrades!$U$20,L100),1)*IF(Upgrades!$T$21="Roche Lobe Overflow",POWER(Upgrades!$U$21,M100),1))+(IF(I100=0,0,(Upgrades!$M$17+I100*Upgrades!$N$17)*POWER(Upgrades!$O$17,I100)))*(IF(Upgrades!$T$13="Brown Dwarf",POWER(Upgrades!$U$13,E100),1)*IF(Upgrades!$T$14="Brown Dwarf",POWER(Upgrades!$U$14,F100),1)*IF(Upgrades!$T$15="Brown Dwarf",POWER(Upgrades!$U$15,G100),1)*IF(Upgrades!$T$16="Brown Dwarf",POWER(Upgrades!$U$16,H100),1)*IF(Upgrades!$T$18="Brown Dwarf",POWER(Upgrades!$U$18,J100),1)*IF(Upgrades!$T$19="Brown Dwarf",POWER(Upgrades!$U$19,K100),1)*IF(Upgrades!$T$20="Brown Dwarf",POWER(Upgrades!$U$20,L100),1)*IF(Upgrades!$T$21="Brown Dwarf",POWER(Upgrades!$U$21,M100),1))+(IF(J100=0,0,(Upgrades!$M$18+J100*Upgrades!$N$18)*POWER(Upgrades!$O$18,J100)))*(IF(Upgrades!$T$13="Binary Partner",POWER(Upgrades!$U$13,E100),1)*IF(Upgrades!$T$14="Binary Partner",POWER(Upgrades!$U$14,F100),1)*IF(Upgrades!$T$15="Binary Partner",POWER(Upgrades!$U$15,G100),1)*IF(Upgrades!$T$16="Binary Partner",POWER(Upgrades!$U$16,H100),1)*IF(Upgrades!$T$17="Binary Partner",POWER(Upgrades!$U$17,I100),1)*IF(Upgrades!$T$19="Binary Partner",POWER(Upgrades!$U$19,K100),1)*IF(Upgrades!$T$20="Binary Partner",POWER(Upgrades!$U$20,L100),1)*IF(Upgrades!$T$21="Binary Partner",POWER(Upgrades!$U$21,M100),1))+(IF(K100=0,0,(Upgrades!$M$19+K100*Upgrades!$N$19)*POWER(Upgrades!$O$19,K100)))*(IF(Upgrades!$T$13="Peculiar Velocity",POWER(Upgrades!$U$13,E100),1)*IF(Upgrades!$T$14="Peculiar Velocity",POWER(Upgrades!$U$14,F100),1)*IF(Upgrades!$T$15="Peculiar Velocity",POWER(Upgrades!$U$15,G100),1)*IF(Upgrades!$T$16="Peculiar Velocity",POWER(Upgrades!$U$16,H100),1)*IF(Upgrades!$T$17="Peculiar Velocity",POWER(Upgrades!$U$17,I100),1)*IF(Upgrades!$T$18="Peculiar Velocity",POWER(Upgrades!$U$18,J100),1)*IF(Upgrades!$T$20="Peculiar Velocity",POWER(Upgrades!$U$20,L100),1)*IF(Upgrades!$T$21="Peculiar Velocity",POWER(Upgrades!$U$21,M100),1))+(IF(L100=0,0,(Upgrades!$M$20+L100*Upgrades!$N$20)*POWER(Upgrades!$O$20,L100)))*(IF(Upgrades!$T$13="Open Cluster",POWER(Upgrades!$U$13,E100),1)*IF(Upgrades!$T$14="Open Cluster",POWER(Upgrades!$U$14,F100),1)*IF(Upgrades!$T$15="Open Cluster",POWER(Upgrades!$U$15,G100),1)*IF(Upgrades!$T$16="Open Cluster",POWER(Upgrades!$U$16,H100),1)*IF(Upgrades!$T$17="Open Cluster",POWER(Upgrades!$U$17,I100),1)*IF(Upgrades!$T$18="Open Cluster",POWER(Upgrades!$U$18,J100),1)*IF(Upgrades!$T$19="Open Cluster",POWER(Upgrades!$U$19,K100),1)*IF(Upgrades!$T$21="Open Cluster",POWER(Upgrades!$U$21,M100),1))+(IF(M100=0,0,(Upgrades!$M$21+M100*Upgrades!$N$21)*POWER(Upgrades!$O$21,M100)))*(IF(Upgrades!$T$13="Moving Group",POWER(Upgrades!$U$13,E100),1)*IF(Upgrades!$T$14="Moving Group",POWER(Upgrades!$U$14,F100),1)*IF(Upgrades!$T$15="Moving Group",POWER(Upgrades!$U$15,G100),1)*IF(Upgrades!$T$16="Moving Group",POWER(Upgrades!$U$16,H100),1)*IF(Upgrades!$T$17="Moving Group",POWER(Upgrades!$U$17,I100),1)*IF(Upgrades!$T$18="Moving Group",POWER(Upgrades!$U$18,J100),1)*IF(Upgrades!$T$19="Moving Group",POWER(Upgrades!$U$19,K100),1)*IF(Upgrades!$T$20="Moving Group",POWER(Upgrades!$U$20,L100),1)))*POWER(Upgrades!$R$13,E100)*POWER(Upgrades!$R$14,F100)*POWER(Upgrades!$R$15,G100)*POWER(Upgrades!$R$16,H100)*POWER(Upgrades!$R$17,I100)*POWER(Upgrades!$R$18,J100)*POWER(Upgrades!$R$19,K100)*POWER(Upgrades!$R$20,L100)*POWER(Upgrades!$R$21,M100)*$H$6+$E$6</f>
        <v/>
      </c>
      <c r="R100" s="27">
        <f>IF(N100=1,0,O100*Parameters!$B$10/60*Parameters!$B$11*10)</f>
        <v/>
      </c>
      <c r="S100" s="27">
        <f>IF(N100=1,0,Q100*O100*10)</f>
        <v/>
      </c>
      <c r="T100" s="27">
        <f>IF(N100=1,0,R100+S100+P100*10)</f>
        <v/>
      </c>
      <c r="U100" s="33">
        <f>BE100</f>
        <v/>
      </c>
      <c r="V100" s="22">
        <f>IF(U100="",0,IF(U100="transition",0,IF(U100="SK",AK100,IF(U100="LB",AL100,IF(U100="ML",AM100,IF(U100="RLO",AN100,IF(U100="BD",AO100,IF(U100="BiP",AP100,IF(U100="PV",AQ100,IF(U100="OC",AR100,IF(U100="MG",AS100,0))))))))))</f>
        <v/>
      </c>
      <c r="W100" s="27">
        <f>IF(U100="BiP",Upgrades!$F$18,IF(U100="PV",Upgrades!$F$19,IF(U100="OC",Upgrades!$F$20,IF(U100="MG",Upgrades!$F$21,IF(U100="transition",-Parameters!$B$18*Parameters!$B$19,0)))))</f>
        <v/>
      </c>
      <c r="X100" s="22">
        <f>C100+T100-V100</f>
        <v/>
      </c>
      <c r="Y100" s="30">
        <f>O100*Parameters!$B$10/60*Parameters!$B$11+Q100*O100+P100</f>
        <v/>
      </c>
      <c r="Z100" s="34">
        <f>IF(U100="transition","→ Tier 3 (Galactic Arm)",IF(U100="MG","Moving Group — pocket drifts together",IF(U100="OC","Open Cluster acquired",IF(U100="PV","Peculiar Velocity — passive multiplier active",IF(U100="BiP","Binary Partner — pair bond formed",IF(AND(AU100=1,N100=0,AT100&lt;&gt;1),"Cohesion ready (waiting on completionists)","")))))) </f>
        <v/>
      </c>
      <c r="AA100" s="27">
        <f>(IF(E100=0,0,(Upgrades!$G$13+E100*Upgrades!$H$13)*POWER(Upgrades!$I$13,E100)))*(IF(Upgrades!$T$14="Stellar Kinematics",POWER(Upgrades!$U$14,F100),1)*IF(Upgrades!$T$15="Stellar Kinematics",POWER(Upgrades!$U$15,G100),1)*IF(Upgrades!$T$16="Stellar Kinematics",POWER(Upgrades!$U$16,H100),1)*IF(Upgrades!$T$17="Stellar Kinematics",POWER(Upgrades!$U$17,I100),1)*IF(Upgrades!$T$18="Stellar Kinematics",POWER(Upgrades!$U$18,J100),1)*IF(Upgrades!$T$19="Stellar Kinematics",POWER(Upgrades!$U$19,K100),1)*IF(Upgrades!$T$20="Stellar Kinematics",POWER(Upgrades!$U$20,L100),1)*IF(Upgrades!$T$21="Stellar Kinematics",POWER(Upgrades!$U$21,M100),1))*POWER(Upgrades!$P$13,E100)*POWER(Upgrades!$P$14,F100)*POWER(Upgrades!$P$15,G100)*POWER(Upgrades!$P$16,H100)*POWER(Upgrades!$P$17,I100)*POWER(Upgrades!$P$18,J100)*POWER(Upgrades!$P$19,K100)*POWER(Upgrades!$P$20,L100)*POWER(Upgrades!$P$21,M100)*$F$6*60</f>
        <v/>
      </c>
      <c r="AB100" s="27">
        <f>(IF(F100=0,0,(Upgrades!$G$14+F100*Upgrades!$H$14)*POWER(Upgrades!$I$14,F100)))*(IF(Upgrades!$T$13="Local Bubble",POWER(Upgrades!$U$13,E100),1)*IF(Upgrades!$T$15="Local Bubble",POWER(Upgrades!$U$15,G100),1)*IF(Upgrades!$T$16="Local Bubble",POWER(Upgrades!$U$16,H100),1)*IF(Upgrades!$T$17="Local Bubble",POWER(Upgrades!$U$17,I100),1)*IF(Upgrades!$T$18="Local Bubble",POWER(Upgrades!$U$18,J100),1)*IF(Upgrades!$T$19="Local Bubble",POWER(Upgrades!$U$19,K100),1)*IF(Upgrades!$T$20="Local Bubble",POWER(Upgrades!$U$20,L100),1)*IF(Upgrades!$T$21="Local Bubble",POWER(Upgrades!$U$21,M100),1))*POWER(Upgrades!$P$13,E100)*POWER(Upgrades!$P$14,F100)*POWER(Upgrades!$P$15,G100)*POWER(Upgrades!$P$16,H100)*POWER(Upgrades!$P$17,I100)*POWER(Upgrades!$P$18,J100)*POWER(Upgrades!$P$19,K100)*POWER(Upgrades!$P$20,L100)*POWER(Upgrades!$P$21,M100)*$F$6*60</f>
        <v/>
      </c>
      <c r="AC100" s="27">
        <f>(IF(G100=0,0,(Upgrades!$J$15+G100*Upgrades!$K$15)*POWER(Upgrades!$L$15,G100)))*(IF(Upgrades!$T$13="Microlensing",POWER(Upgrades!$U$13,E100),1)*IF(Upgrades!$T$14="Microlensing",POWER(Upgrades!$U$14,F100),1)*IF(Upgrades!$T$16="Microlensing",POWER(Upgrades!$U$16,H100),1)*IF(Upgrades!$T$17="Microlensing",POWER(Upgrades!$U$17,I100),1)*IF(Upgrades!$T$18="Microlensing",POWER(Upgrades!$U$18,J100),1)*IF(Upgrades!$T$19="Microlensing",POWER(Upgrades!$U$19,K100),1)*IF(Upgrades!$T$20="Microlensing",POWER(Upgrades!$U$20,L100),1)*IF(Upgrades!$T$21="Microlensing",POWER(Upgrades!$U$21,M100),1))*POWER(Upgrades!$Q$13,E100)*POWER(Upgrades!$Q$14,F100)*POWER(Upgrades!$Q$15,G100)*POWER(Upgrades!$Q$16,H100)*POWER(Upgrades!$Q$17,I100)*POWER(Upgrades!$Q$18,J100)*POWER(Upgrades!$Q$19,K100)*POWER(Upgrades!$Q$20,L100)*POWER(Upgrades!$Q$21,M100)*$G$6*(Parameters!$B$10*Parameters!$B$11+Q100*60)</f>
        <v/>
      </c>
      <c r="AD100" s="27">
        <f>(IF(H100=0,0,(Upgrades!$M$16+H100*Upgrades!$N$16)*POWER(Upgrades!$O$16,H100)))*(IF(Upgrades!$T$13="Roche Lobe Overflow",POWER(Upgrades!$U$13,E100),1)*IF(Upgrades!$T$14="Roche Lobe Overflow",POWER(Upgrades!$U$14,F100),1)*IF(Upgrades!$T$15="Roche Lobe Overflow",POWER(Upgrades!$U$15,G100),1)*IF(Upgrades!$T$17="Roche Lobe Overflow",POWER(Upgrades!$U$17,I100),1)*IF(Upgrades!$T$18="Roche Lobe Overflow",POWER(Upgrades!$U$18,J100),1)*IF(Upgrades!$T$19="Roche Lobe Overflow",POWER(Upgrades!$U$19,K100),1)*IF(Upgrades!$T$20="Roche Lobe Overflow",POWER(Upgrades!$U$20,L100),1)*IF(Upgrades!$T$21="Roche Lobe Overflow",POWER(Upgrades!$U$21,M100),1))*POWER(Upgrades!$R$13,E100)*POWER(Upgrades!$R$14,F100)*POWER(Upgrades!$R$15,G100)*POWER(Upgrades!$R$16,H100)*POWER(Upgrades!$R$17,I100)*POWER(Upgrades!$R$18,J100)*POWER(Upgrades!$R$19,K100)*POWER(Upgrades!$R$20,L100)*POWER(Upgrades!$R$21,M100)*$H$6*O100*60</f>
        <v/>
      </c>
      <c r="AE100" s="27">
        <f>(IF(I100=0,0,(Upgrades!$G$17+I100*Upgrades!$H$17)*POWER(Upgrades!$I$17,I100)))*(IF(Upgrades!$T$13="Brown Dwarf",POWER(Upgrades!$U$13,E100),1)*IF(Upgrades!$T$14="Brown Dwarf",POWER(Upgrades!$U$14,F100),1)*IF(Upgrades!$T$15="Brown Dwarf",POWER(Upgrades!$U$15,G100),1)*IF(Upgrades!$T$16="Brown Dwarf",POWER(Upgrades!$U$16,H100),1)*IF(Upgrades!$T$18="Brown Dwarf",POWER(Upgrades!$U$18,J100),1)*IF(Upgrades!$T$19="Brown Dwarf",POWER(Upgrades!$U$19,K100),1)*IF(Upgrades!$T$20="Brown Dwarf",POWER(Upgrades!$U$20,L100),1)*IF(Upgrades!$T$21="Brown Dwarf",POWER(Upgrades!$U$21,M100),1))*POWER(Upgrades!$P$13,E100)*POWER(Upgrades!$P$14,F100)*POWER(Upgrades!$P$15,G100)*POWER(Upgrades!$P$16,H100)*POWER(Upgrades!$P$17,I100)*POWER(Upgrades!$P$18,J100)*POWER(Upgrades!$P$19,K100)*POWER(Upgrades!$P$20,L100)*POWER(Upgrades!$P$21,M100)*$F$6*60</f>
        <v/>
      </c>
      <c r="AF100" s="27" t="n">
        <v>0</v>
      </c>
      <c r="AG100" s="27" t="n">
        <v>0</v>
      </c>
      <c r="AH100" s="27" t="n">
        <v>0</v>
      </c>
      <c r="AI100" s="27">
        <f>(IF(M100=0,0,(Upgrades!$G$21+M100*Upgrades!$H$21)*POWER(Upgrades!$I$21,M100)))*(IF(Upgrades!$T$13="Moving Group",POWER(Upgrades!$U$13,E100),1)*IF(Upgrades!$T$14="Moving Group",POWER(Upgrades!$U$14,F100),1)*IF(Upgrades!$T$15="Moving Group",POWER(Upgrades!$U$15,G100),1)*IF(Upgrades!$T$16="Moving Group",POWER(Upgrades!$U$16,H100),1)*IF(Upgrades!$T$17="Moving Group",POWER(Upgrades!$U$17,I100),1)*IF(Upgrades!$T$18="Moving Group",POWER(Upgrades!$U$18,J100),1)*IF(Upgrades!$T$19="Moving Group",POWER(Upgrades!$U$19,K100),1)*IF(Upgrades!$T$20="Moving Group",POWER(Upgrades!$U$20,L100),1))*POWER(Upgrades!$P$13,E100)*POWER(Upgrades!$P$14,F100)*POWER(Upgrades!$P$15,G100)*POWER(Upgrades!$P$16,H100)*POWER(Upgrades!$P$17,I100)*POWER(Upgrades!$P$18,J100)*POWER(Upgrades!$P$19,K100)*POWER(Upgrades!$P$20,L100)*POWER(Upgrades!$P$21,M100)*$F$6*60</f>
        <v/>
      </c>
      <c r="AJ100" s="27">
        <f>$C$6*60</f>
        <v/>
      </c>
      <c r="AK100" s="22">
        <f>IF(E100&gt;=Upgrades!$E$13,"",Upgrades!$C$13*POWER(Upgrades!$D$13,E100))</f>
        <v/>
      </c>
      <c r="AL100" s="22">
        <f>IF(F100&gt;=Upgrades!$E$14,"",Upgrades!$C$14*POWER(Upgrades!$D$14,F100))</f>
        <v/>
      </c>
      <c r="AM100" s="22">
        <f>IF(G100&gt;=Upgrades!$E$15,"",Upgrades!$C$15*POWER(Upgrades!$D$15,G100))</f>
        <v/>
      </c>
      <c r="AN100" s="22">
        <f>IF(H100&gt;=Upgrades!$E$16,"",Upgrades!$C$16*POWER(Upgrades!$D$16,H100))</f>
        <v/>
      </c>
      <c r="AO100" s="22">
        <f>IF(I100&gt;=Upgrades!$E$17,"",Upgrades!$C$17*POWER(Upgrades!$D$17,I100))</f>
        <v/>
      </c>
      <c r="AP100" s="22">
        <f>IF(J100&gt;=Upgrades!$E$18,"",Upgrades!$C$18*POWER(Upgrades!$D$18,J100))</f>
        <v/>
      </c>
      <c r="AQ100" s="22">
        <f>IF(K100&gt;=Upgrades!$E$19,"",Upgrades!$C$19*POWER(Upgrades!$D$19,K100))</f>
        <v/>
      </c>
      <c r="AR100" s="22">
        <f>IF(L100&gt;=Upgrades!$E$20,"",Upgrades!$C$20*POWER(Upgrades!$D$20,L100))</f>
        <v/>
      </c>
      <c r="AS100" s="22">
        <f>IF(M100&gt;=Upgrades!$E$21,"",Upgrades!$C$21*POWER(Upgrades!$D$21,M100))</f>
        <v/>
      </c>
      <c r="AT100" s="26">
        <f>IF(AND(D100&gt;=Parameters!$B$18*Parameters!$B$19,(I100&gt;=Upgrades!$E$17)*(M100&gt;=Upgrades!$E$21)=1,N100=0),1,"")</f>
        <v/>
      </c>
      <c r="AU100" s="26">
        <f>IF(AND(D100&gt;=Parameters!$B$18*Parameters!$B$19,N100=0),1,"")</f>
        <v/>
      </c>
      <c r="AV100" s="22">
        <f>MIN(IF(ISNUMBER(AP100),AP100,9E15),IF(ISNUMBER(AQ100),AQ100,9E15),IF(ISNUMBER(AR100),AR100,9E15),IF(ISNUMBER(AS100),AS100,9E15))</f>
        <v/>
      </c>
      <c r="AW100" s="22">
        <f>MIN(IF(ISNUMBER(AK100),AK100,9E15),IF(ISNUMBER(AL100),AL100,9E15),IF(ISNUMBER(AM100),AM100,9E15),IF(ISNUMBER(AN100),AN100,9E15),IF(ISNUMBER(AO100),AO100,9E15))</f>
        <v/>
      </c>
      <c r="AX100" s="29">
        <f>IF(BD100&gt;Parameters!$B$21*(MAX(IF(AND(NOT(AND(AU100=1,AT100&lt;&gt;1)),ISNUMBER(AK100),AK100&lt;=(C100+T100)),AY100,0),IF(AND(NOT(AND(AU100=1,AT100&lt;&gt;1)),ISNUMBER(AL100),AL100&lt;=(C100+T100)),AZ100,0),IF(AND(NOT(AND(AU100=1,AT100&lt;&gt;1)),ISNUMBER(AM100),AM100&lt;=(C100+T100)),BA100,0),IF(AND(NOT(AND(AU100=1,AT100&lt;&gt;1)),ISNUMBER(AN100),AN100&lt;=(C100+T100)),BB100,0),IF(AND(ISNUMBER(AO100),AO100&lt;=(C100+T100)),BC100,0))),TRUE,FALSE)</f>
        <v/>
      </c>
      <c r="AY100" s="32">
        <f>IFERROR(Upgrades!$H$13*(POWER(Upgrades!$P$13,E100)*POWER(Upgrades!$P$14,F100)*POWER(Upgrades!$P$15,G100)*POWER(Upgrades!$P$16,H100)*POWER(Upgrades!$P$17,I100)*POWER(Upgrades!$P$18,J100)*POWER(Upgrades!$P$19,K100)*POWER(Upgrades!$P$20,L100)*POWER(Upgrades!$P$21,M100))*(IF(Upgrades!$T$14="Stellar Kinematics",POWER(Upgrades!$U$14,F100),1)*IF(Upgrades!$T$15="Stellar Kinematics",POWER(Upgrades!$U$15,G100),1)*IF(Upgrades!$T$16="Stellar Kinematics",POWER(Upgrades!$U$16,H100),1)*IF(Upgrades!$T$17="Stellar Kinematics",POWER(Upgrades!$U$17,I100),1)*IF(Upgrades!$T$18="Stellar Kinematics",POWER(Upgrades!$U$18,J100),1)*IF(Upgrades!$T$19="Stellar Kinematics",POWER(Upgrades!$U$19,K100),1)*IF(Upgrades!$T$20="Stellar Kinematics",POWER(Upgrades!$U$20,L100),1)*IF(Upgrades!$T$21="Stellar Kinematics",POWER(Upgrades!$U$21,M100),1))*$F$6/AK100,0)</f>
        <v/>
      </c>
      <c r="AZ100" s="32">
        <f>IFERROR(Upgrades!$H$14*(POWER(Upgrades!$P$13,E100)*POWER(Upgrades!$P$14,F100)*POWER(Upgrades!$P$15,G100)*POWER(Upgrades!$P$16,H100)*POWER(Upgrades!$P$17,I100)*POWER(Upgrades!$P$18,J100)*POWER(Upgrades!$P$19,K100)*POWER(Upgrades!$P$20,L100)*POWER(Upgrades!$P$21,M100))*(IF(Upgrades!$T$13="Local Bubble",POWER(Upgrades!$U$13,E100),1)*IF(Upgrades!$T$15="Local Bubble",POWER(Upgrades!$U$15,G100),1)*IF(Upgrades!$T$16="Local Bubble",POWER(Upgrades!$U$16,H100),1)*IF(Upgrades!$T$17="Local Bubble",POWER(Upgrades!$U$17,I100),1)*IF(Upgrades!$T$18="Local Bubble",POWER(Upgrades!$U$18,J100),1)*IF(Upgrades!$T$19="Local Bubble",POWER(Upgrades!$U$19,K100),1)*IF(Upgrades!$T$20="Local Bubble",POWER(Upgrades!$U$20,L100),1)*IF(Upgrades!$T$21="Local Bubble",POWER(Upgrades!$U$21,M100),1))*$F$6/AL100,0)</f>
        <v/>
      </c>
      <c r="BA100" s="32">
        <f>IFERROR(Upgrades!$K$15*(POWER(Upgrades!$Q$13,E100)*POWER(Upgrades!$Q$14,F100)*POWER(Upgrades!$Q$15,G100)*POWER(Upgrades!$Q$16,H100)*POWER(Upgrades!$Q$17,I100)*POWER(Upgrades!$Q$18,J100)*POWER(Upgrades!$Q$19,K100)*POWER(Upgrades!$Q$20,L100)*POWER(Upgrades!$Q$21,M100))*(IF(Upgrades!$T$13="Microlensing",POWER(Upgrades!$U$13,E100),1)*IF(Upgrades!$T$14="Microlensing",POWER(Upgrades!$U$14,F100),1)*IF(Upgrades!$T$16="Microlensing",POWER(Upgrades!$U$16,H100),1)*IF(Upgrades!$T$17="Microlensing",POWER(Upgrades!$U$17,I100),1)*IF(Upgrades!$T$18="Microlensing",POWER(Upgrades!$U$18,J100),1)*IF(Upgrades!$T$19="Microlensing",POWER(Upgrades!$U$19,K100),1)*IF(Upgrades!$T$20="Microlensing",POWER(Upgrades!$U$20,L100),1)*IF(Upgrades!$T$21="Microlensing",POWER(Upgrades!$U$21,M100),1))*$G$6*(Parameters!$B$10/60*Parameters!$B$11+Q100)/AM100,0)</f>
        <v/>
      </c>
      <c r="BB100" s="32">
        <f>IFERROR((Upgrades!$N$16*(POWER(Upgrades!$R$13,E100)*POWER(Upgrades!$R$14,F100)*POWER(Upgrades!$R$15,G100)*POWER(Upgrades!$R$16,H100)*POWER(Upgrades!$R$17,I100)*POWER(Upgrades!$R$18,J100)*POWER(Upgrades!$R$19,K100)*POWER(Upgrades!$R$20,L100)*POWER(Upgrades!$R$21,M100))*(IF(Upgrades!$T$13="Roche Lobe Overflow",POWER(Upgrades!$U$13,E100),1)*IF(Upgrades!$T$14="Roche Lobe Overflow",POWER(Upgrades!$U$14,F100),1)*IF(Upgrades!$T$15="Roche Lobe Overflow",POWER(Upgrades!$U$15,G100),1)*IF(Upgrades!$T$17="Roche Lobe Overflow",POWER(Upgrades!$U$17,I100),1)*IF(Upgrades!$T$18="Roche Lobe Overflow",POWER(Upgrades!$U$18,J100),1)*IF(Upgrades!$T$19="Roche Lobe Overflow",POWER(Upgrades!$U$19,K100),1)*IF(Upgrades!$T$20="Roche Lobe Overflow",POWER(Upgrades!$U$20,L100),1)*IF(Upgrades!$T$21="Roche Lobe Overflow",POWER(Upgrades!$U$21,M100),1))*$H$6*O100+((IF(F100=0,0,(Upgrades!$G$14+F100*Upgrades!$H$14)*POWER(Upgrades!$I$14,F100)))*(IF(Upgrades!$T$13="Local Bubble",POWER(Upgrades!$U$13,E100),1)*IF(Upgrades!$T$15="Local Bubble",POWER(Upgrades!$U$15,G100),1)*IF(Upgrades!$T$16="Local Bubble",POWER(Upgrades!$U$16,H100),1)*IF(Upgrades!$T$17="Local Bubble",POWER(Upgrades!$U$17,I100),1)*IF(Upgrades!$T$18="Local Bubble",POWER(Upgrades!$U$18,J100),1)*IF(Upgrades!$T$19="Local Bubble",POWER(Upgrades!$U$19,K100),1)*IF(Upgrades!$T$20="Local Bubble",POWER(Upgrades!$U$20,L100),1)*IF(Upgrades!$T$21="Local Bubble",POWER(Upgrades!$U$21,M100),1))*POWER(Upgrades!$P$13,E100)*POWER(Upgrades!$P$14,F100)*POWER(Upgrades!$P$15,G100)*POWER(Upgrades!$P$16,H100)*POWER(Upgrades!$P$17,I100)*POWER(Upgrades!$P$18,J100)*POWER(Upgrades!$P$19,K100)*POWER(Upgrades!$P$20,L100)*POWER(Upgrades!$P$21,M100)*$F$6)*0.05)/AN100,0)</f>
        <v/>
      </c>
      <c r="BC100" s="32">
        <f>IFERROR((Upgrades!$H$17*(POWER(Upgrades!$P$13,E100)*POWER(Upgrades!$P$14,F100)*POWER(Upgrades!$P$15,G100)*POWER(Upgrades!$P$16,H100)*POWER(Upgrades!$P$17,I100)*POWER(Upgrades!$P$18,J100)*POWER(Upgrades!$P$19,K100)*POWER(Upgrades!$P$20,L100)*POWER(Upgrades!$P$21,M100))*(IF(Upgrades!$T$13="Brown Dwarf",POWER(Upgrades!$U$13,E100),1)*IF(Upgrades!$T$14="Brown Dwarf",POWER(Upgrades!$U$14,F100),1)*IF(Upgrades!$T$15="Brown Dwarf",POWER(Upgrades!$U$15,G100),1)*IF(Upgrades!$T$16="Brown Dwarf",POWER(Upgrades!$U$16,H100),1)*IF(Upgrades!$T$18="Brown Dwarf",POWER(Upgrades!$U$18,J100),1)*IF(Upgrades!$T$19="Brown Dwarf",POWER(Upgrades!$U$19,K100),1)*IF(Upgrades!$T$20="Brown Dwarf",POWER(Upgrades!$U$20,L100),1)*IF(Upgrades!$T$21="Brown Dwarf",POWER(Upgrades!$U$21,M100),1))*$F$6+(((IF(H100=0,0,(Upgrades!$M$16+H100*Upgrades!$N$16)*POWER(Upgrades!$O$16,H100)))*(IF(Upgrades!$T$13="Roche Lobe Overflow",POWER(Upgrades!$U$13,E100),1)*IF(Upgrades!$T$14="Roche Lobe Overflow",POWER(Upgrades!$U$14,F100),1)*IF(Upgrades!$T$15="Roche Lobe Overflow",POWER(Upgrades!$U$15,G100),1)*IF(Upgrades!$T$17="Roche Lobe Overflow",POWER(Upgrades!$U$17,I100),1)*IF(Upgrades!$T$18="Roche Lobe Overflow",POWER(Upgrades!$U$18,J100),1)*IF(Upgrades!$T$19="Roche Lobe Overflow",POWER(Upgrades!$U$19,K100),1)*IF(Upgrades!$T$20="Roche Lobe Overflow",POWER(Upgrades!$U$20,L100),1)*IF(Upgrades!$T$21="Roche Lobe Overflow",POWER(Upgrades!$U$21,M100),1))*POWER(Upgrades!$R$13,E100)*POWER(Upgrades!$R$14,F100)*POWER(Upgrades!$R$15,G100)*POWER(Upgrades!$R$16,H100)*POWER(Upgrades!$R$17,I100)*POWER(Upgrades!$R$18,J100)*POWER(Upgrades!$R$19,K100)*POWER(Upgrades!$R$20,L100)*POWER(Upgrades!$R$21,M100)*$H$6)*O100)*0.10)/AO100,0)</f>
        <v/>
      </c>
      <c r="BD100" s="32">
        <f>MAX(IF(J100&gt;0,0,IFERROR(0.5*((IF(G100=0,0,(Upgrades!$J$15+G100*Upgrades!$K$15)*POWER(Upgrades!$L$15,G100)))*(IF(Upgrades!$T$13="Microlensing",POWER(Upgrades!$U$13,E100),1)*IF(Upgrades!$T$14="Microlensing",POWER(Upgrades!$U$14,F100),1)*IF(Upgrades!$T$16="Microlensing",POWER(Upgrades!$U$16,H100),1)*IF(Upgrades!$T$17="Microlensing",POWER(Upgrades!$U$17,I100),1)*IF(Upgrades!$T$18="Microlensing",POWER(Upgrades!$U$18,J100),1)*IF(Upgrades!$T$19="Microlensing",POWER(Upgrades!$U$19,K100),1)*IF(Upgrades!$T$20="Microlensing",POWER(Upgrades!$U$20,L100),1)*IF(Upgrades!$T$21="Microlensing",POWER(Upgrades!$U$21,M100),1))*(POWER(Upgrades!$Q$13,E100)*POWER(Upgrades!$Q$14,F100)*POWER(Upgrades!$Q$15,G100)*POWER(Upgrades!$Q$16,H100)*POWER(Upgrades!$Q$17,I100)*POWER(Upgrades!$Q$18,J100)*POWER(Upgrades!$Q$19,K100)*POWER(Upgrades!$Q$20,L100)*POWER(Upgrades!$Q$21,M100))*$G$6*(Parameters!$B$10/60*Parameters!$B$11+Q100))/Upgrades!$C$18,0)),IF(K100&gt;0,0,IFERROR(0.30*P100/Upgrades!$C$19,0)),IF(L100&gt;0,0,IFERROR(0.0001/Upgrades!$C$20,0)),IF(M100&gt;0,0,IFERROR((6.0*(POWER(Upgrades!$P$13,E100)*POWER(Upgrades!$P$14,F100)*POWER(Upgrades!$P$15,G100)*POWER(Upgrades!$P$16,H100)*POWER(Upgrades!$P$17,I100)*POWER(Upgrades!$P$18,J100)*POWER(Upgrades!$P$19,K100)*POWER(Upgrades!$P$20,L100)*POWER(Upgrades!$P$21,M100))*$F$6+0.20*O100*(Parameters!$B$10/60*Parameters!$B$11+Q100))/Upgrades!$C$21,0)),IF(AND(ISNUMBER(AK100),AK100&gt;(C100+T100)),AY100,0),IF(AND(ISNUMBER(AL100),AL100&gt;(C100+T100)),AZ100,0),IF(AND(ISNUMBER(AM100),AM100&gt;(C100+T100)),BA100,0),IF(AND(ISNUMBER(AN100),AN100&gt;(C100+T100)),BB100,0),IF(AND(ISNUMBER(AO100),AO100&gt;(C100+T100)),BC100,0))</f>
        <v/>
      </c>
      <c r="BE100" s="29">
        <f>IF(AT100=1,"transition",IF(MIN(IF(AND(J100=0,ISNUMBER(AP100),AP100&lt;=(C100+T100)),AP100,9E15),IF(AND(K100=0,ISNUMBER(AQ100),AQ100&lt;=(C100+T100)),AQ100,9E15),IF(AND(L100=0,ISNUMBER(AR100),AR100&lt;=(C100+T100)),AR100,9E15),IF(AND(M100=0,ISNUMBER(AS100),AS100&lt;=(C100+T100)),AS100,9E15))&lt;9E15,IF(AND(AND(J100=0,ISNUMBER(AP100),AP100&lt;=(C100+T100)),AP100=MIN(IF(AND(J100=0,ISNUMBER(AP100),AP100&lt;=(C100+T100)),AP100,9E15),IF(AND(K100=0,ISNUMBER(AQ100),AQ100&lt;=(C100+T100)),AQ100,9E15),IF(AND(L100=0,ISNUMBER(AR100),AR100&lt;=(C100+T100)),AR100,9E15),IF(AND(M100=0,ISNUMBER(AS100),AS100&lt;=(C100+T100)),AS100,9E15))),"BiP",IF(AND(AND(K100=0,ISNUMBER(AQ100),AQ100&lt;=(C100+T100)),AQ100=MIN(IF(AND(J100=0,ISNUMBER(AP100),AP100&lt;=(C100+T100)),AP100,9E15),IF(AND(K100=0,ISNUMBER(AQ100),AQ100&lt;=(C100+T100)),AQ100,9E15),IF(AND(L100=0,ISNUMBER(AR100),AR100&lt;=(C100+T100)),AR100,9E15),IF(AND(M100=0,ISNUMBER(AS100),AS100&lt;=(C100+T100)),AS100,9E15))),"PV",IF(AND(AND(L100=0,ISNUMBER(AR100),AR100&lt;=(C100+T100)),AR100=MIN(IF(AND(J100=0,ISNUMBER(AP100),AP100&lt;=(C100+T100)),AP100,9E15),IF(AND(K100=0,ISNUMBER(AQ100),AQ100&lt;=(C100+T100)),AQ100,9E15),IF(AND(L100=0,ISNUMBER(AR100),AR100&lt;=(C100+T100)),AR100,9E15),IF(AND(M100=0,ISNUMBER(AS100),AS100&lt;=(C100+T100)),AS100,9E15))),"OC","MG"))),IF(AX100=TRUE,"",IF(MAX(IF(AND(NOT(AND(AU100=1,AT100&lt;&gt;1)),ISNUMBER(AK100),AK100&lt;=(C100+T100)),AY100,0),IF(AND(NOT(AND(AU100=1,AT100&lt;&gt;1)),ISNUMBER(AL100),AL100&lt;=(C100+T100)),AZ100,0),IF(AND(NOT(AND(AU100=1,AT100&lt;&gt;1)),ISNUMBER(AM100),AM100&lt;=(C100+T100)),BA100,0),IF(AND(NOT(AND(AU100=1,AT100&lt;&gt;1)),ISNUMBER(AN100),AN100&lt;=(C100+T100)),BB100,0),IF(AND(ISNUMBER(AO100),AO100&lt;=(C100+T100)),BC100,0))&lt;=0,"",IF(AND(IF(AND(NOT(AND(AU100=1,AT100&lt;&gt;1)),ISNUMBER(AK100),AK100&lt;=(C100+T100)),AY100,0)&gt;0,IF(AND(NOT(AND(AU100=1,AT100&lt;&gt;1)),ISNUMBER(AK100),AK100&lt;=(C100+T100)),AY100,0)=MAX(IF(AND(NOT(AND(AU100=1,AT100&lt;&gt;1)),ISNUMBER(AK100),AK100&lt;=(C100+T100)),AY100,0),IF(AND(NOT(AND(AU100=1,AT100&lt;&gt;1)),ISNUMBER(AL100),AL100&lt;=(C100+T100)),AZ100,0),IF(AND(NOT(AND(AU100=1,AT100&lt;&gt;1)),ISNUMBER(AM100),AM100&lt;=(C100+T100)),BA100,0),IF(AND(NOT(AND(AU100=1,AT100&lt;&gt;1)),ISNUMBER(AN100),AN100&lt;=(C100+T100)),BB100,0),IF(AND(ISNUMBER(AO100),AO100&lt;=(C100+T100)),BC100,0))),"SK",IF(AND(IF(AND(NOT(AND(AU100=1,AT100&lt;&gt;1)),ISNUMBER(AL100),AL100&lt;=(C100+T100)),AZ100,0)&gt;0,IF(AND(NOT(AND(AU100=1,AT100&lt;&gt;1)),ISNUMBER(AL100),AL100&lt;=(C100+T100)),AZ100,0)=MAX(IF(AND(NOT(AND(AU100=1,AT100&lt;&gt;1)),ISNUMBER(AK100),AK100&lt;=(C100+T100)),AY100,0),IF(AND(NOT(AND(AU100=1,AT100&lt;&gt;1)),ISNUMBER(AL100),AL100&lt;=(C100+T100)),AZ100,0),IF(AND(NOT(AND(AU100=1,AT100&lt;&gt;1)),ISNUMBER(AM100),AM100&lt;=(C100+T100)),BA100,0),IF(AND(NOT(AND(AU100=1,AT100&lt;&gt;1)),ISNUMBER(AN100),AN100&lt;=(C100+T100)),BB100,0),IF(AND(ISNUMBER(AO100),AO100&lt;=(C100+T100)),BC100,0))),"LB",IF(AND(IF(AND(NOT(AND(AU100=1,AT100&lt;&gt;1)),ISNUMBER(AM100),AM100&lt;=(C100+T100)),BA100,0)&gt;0,IF(AND(NOT(AND(AU100=1,AT100&lt;&gt;1)),ISNUMBER(AM100),AM100&lt;=(C100+T100)),BA100,0)=MAX(IF(AND(NOT(AND(AU100=1,AT100&lt;&gt;1)),ISNUMBER(AK100),AK100&lt;=(C100+T100)),AY100,0),IF(AND(NOT(AND(AU100=1,AT100&lt;&gt;1)),ISNUMBER(AL100),AL100&lt;=(C100+T100)),AZ100,0),IF(AND(NOT(AND(AU100=1,AT100&lt;&gt;1)),ISNUMBER(AM100),AM100&lt;=(C100+T100)),BA100,0),IF(AND(NOT(AND(AU100=1,AT100&lt;&gt;1)),ISNUMBER(AN100),AN100&lt;=(C100+T100)),BB100,0),IF(AND(ISNUMBER(AO100),AO100&lt;=(C100+T100)),BC100,0))),"ML",IF(AND(IF(AND(NOT(AND(AU100=1,AT100&lt;&gt;1)),ISNUMBER(AN100),AN100&lt;=(C100+T100)),BB100,0)&gt;0,IF(AND(NOT(AND(AU100=1,AT100&lt;&gt;1)),ISNUMBER(AN100),AN100&lt;=(C100+T100)),BB100,0)=MAX(IF(AND(NOT(AND(AU100=1,AT100&lt;&gt;1)),ISNUMBER(AK100),AK100&lt;=(C100+T100)),AY100,0),IF(AND(NOT(AND(AU100=1,AT100&lt;&gt;1)),ISNUMBER(AL100),AL100&lt;=(C100+T100)),AZ100,0),IF(AND(NOT(AND(AU100=1,AT100&lt;&gt;1)),ISNUMBER(AM100),AM100&lt;=(C100+T100)),BA100,0),IF(AND(NOT(AND(AU100=1,AT100&lt;&gt;1)),ISNUMBER(AN100),AN100&lt;=(C100+T100)),BB100,0),IF(AND(ISNUMBER(AO100),AO100&lt;=(C100+T100)),BC100,0))),"RLO","BD"))))))))</f>
        <v/>
      </c>
    </row>
    <row r="101">
      <c r="A101" s="26" t="n">
        <v>90</v>
      </c>
      <c r="B101" s="27">
        <f>A101*10/60</f>
        <v/>
      </c>
      <c r="C101" s="22">
        <f>X100</f>
        <v/>
      </c>
      <c r="D101" s="27">
        <f>D100+W100</f>
        <v/>
      </c>
      <c r="E101" s="26">
        <f>E100+IF(U100="SK",1,0)</f>
        <v/>
      </c>
      <c r="F101" s="26">
        <f>F100+IF(U100="LB",1,0)</f>
        <v/>
      </c>
      <c r="G101" s="26">
        <f>G100+IF(U100="ML",1,0)</f>
        <v/>
      </c>
      <c r="H101" s="26">
        <f>H100+IF(U100="RLO",1,0)</f>
        <v/>
      </c>
      <c r="I101" s="26">
        <f>I100+IF(U100="BD",1,0)</f>
        <v/>
      </c>
      <c r="J101" s="26">
        <f>MAX(J100,IF(U100="BiP",1,0))</f>
        <v/>
      </c>
      <c r="K101" s="26">
        <f>MAX(K100,IF(U100="PV",1,0))</f>
        <v/>
      </c>
      <c r="L101" s="26">
        <f>MAX(L100,IF(U100="OC",1,0))</f>
        <v/>
      </c>
      <c r="M101" s="26">
        <f>MAX(M100,IF(U100="MG",1,0))</f>
        <v/>
      </c>
      <c r="N101" s="26">
        <f>MAX(N100,IF(U100="transition",1,0))</f>
        <v/>
      </c>
      <c r="O101" s="28">
        <f>(Parameters!$B$9+(IF(E101=0,0,(Upgrades!$J$13+E101*Upgrades!$K$13)*POWER(Upgrades!$L$13,E101)))*(IF(Upgrades!$T$14="Stellar Kinematics",POWER(Upgrades!$U$14,F101),1)*IF(Upgrades!$T$15="Stellar Kinematics",POWER(Upgrades!$U$15,G101),1)*IF(Upgrades!$T$16="Stellar Kinematics",POWER(Upgrades!$U$16,H101),1)*IF(Upgrades!$T$17="Stellar Kinematics",POWER(Upgrades!$U$17,I101),1)*IF(Upgrades!$T$18="Stellar Kinematics",POWER(Upgrades!$U$18,J101),1)*IF(Upgrades!$T$19="Stellar Kinematics",POWER(Upgrades!$U$19,K101),1)*IF(Upgrades!$T$20="Stellar Kinematics",POWER(Upgrades!$U$20,L101),1)*IF(Upgrades!$T$21="Stellar Kinematics",POWER(Upgrades!$U$21,M101),1))+(IF(F101=0,0,(Upgrades!$J$14+F101*Upgrades!$K$14)*POWER(Upgrades!$L$14,F101)))*(IF(Upgrades!$T$13="Local Bubble",POWER(Upgrades!$U$13,E101),1)*IF(Upgrades!$T$15="Local Bubble",POWER(Upgrades!$U$15,G101),1)*IF(Upgrades!$T$16="Local Bubble",POWER(Upgrades!$U$16,H101),1)*IF(Upgrades!$T$17="Local Bubble",POWER(Upgrades!$U$17,I101),1)*IF(Upgrades!$T$18="Local Bubble",POWER(Upgrades!$U$18,J101),1)*IF(Upgrades!$T$19="Local Bubble",POWER(Upgrades!$U$19,K101),1)*IF(Upgrades!$T$20="Local Bubble",POWER(Upgrades!$U$20,L101),1)*IF(Upgrades!$T$21="Local Bubble",POWER(Upgrades!$U$21,M101),1))+(IF(G101=0,0,(Upgrades!$J$15+G101*Upgrades!$K$15)*POWER(Upgrades!$L$15,G101)))*(IF(Upgrades!$T$13="Microlensing",POWER(Upgrades!$U$13,E101),1)*IF(Upgrades!$T$14="Microlensing",POWER(Upgrades!$U$14,F101),1)*IF(Upgrades!$T$16="Microlensing",POWER(Upgrades!$U$16,H101),1)*IF(Upgrades!$T$17="Microlensing",POWER(Upgrades!$U$17,I101),1)*IF(Upgrades!$T$18="Microlensing",POWER(Upgrades!$U$18,J101),1)*IF(Upgrades!$T$19="Microlensing",POWER(Upgrades!$U$19,K101),1)*IF(Upgrades!$T$20="Microlensing",POWER(Upgrades!$U$20,L101),1)*IF(Upgrades!$T$21="Microlensing",POWER(Upgrades!$U$21,M101),1))+(IF(H101=0,0,(Upgrades!$J$16+H101*Upgrades!$K$16)*POWER(Upgrades!$L$16,H101)))*(IF(Upgrades!$T$13="Roche Lobe Overflow",POWER(Upgrades!$U$13,E101),1)*IF(Upgrades!$T$14="Roche Lobe Overflow",POWER(Upgrades!$U$14,F101),1)*IF(Upgrades!$T$15="Roche Lobe Overflow",POWER(Upgrades!$U$15,G101),1)*IF(Upgrades!$T$17="Roche Lobe Overflow",POWER(Upgrades!$U$17,I101),1)*IF(Upgrades!$T$18="Roche Lobe Overflow",POWER(Upgrades!$U$18,J101),1)*IF(Upgrades!$T$19="Roche Lobe Overflow",POWER(Upgrades!$U$19,K101),1)*IF(Upgrades!$T$20="Roche Lobe Overflow",POWER(Upgrades!$U$20,L101),1)*IF(Upgrades!$T$21="Roche Lobe Overflow",POWER(Upgrades!$U$21,M101),1))+(IF(I101=0,0,(Upgrades!$J$17+I101*Upgrades!$K$17)*POWER(Upgrades!$L$17,I101)))*(IF(Upgrades!$T$13="Brown Dwarf",POWER(Upgrades!$U$13,E101),1)*IF(Upgrades!$T$14="Brown Dwarf",POWER(Upgrades!$U$14,F101),1)*IF(Upgrades!$T$15="Brown Dwarf",POWER(Upgrades!$U$15,G101),1)*IF(Upgrades!$T$16="Brown Dwarf",POWER(Upgrades!$U$16,H101),1)*IF(Upgrades!$T$18="Brown Dwarf",POWER(Upgrades!$U$18,J101),1)*IF(Upgrades!$T$19="Brown Dwarf",POWER(Upgrades!$U$19,K101),1)*IF(Upgrades!$T$20="Brown Dwarf",POWER(Upgrades!$U$20,L101),1)*IF(Upgrades!$T$21="Brown Dwarf",POWER(Upgrades!$U$21,M101),1))+(IF(J101=0,0,(Upgrades!$J$18+J101*Upgrades!$K$18)*POWER(Upgrades!$L$18,J101)))*(IF(Upgrades!$T$13="Binary Partner",POWER(Upgrades!$U$13,E101),1)*IF(Upgrades!$T$14="Binary Partner",POWER(Upgrades!$U$14,F101),1)*IF(Upgrades!$T$15="Binary Partner",POWER(Upgrades!$U$15,G101),1)*IF(Upgrades!$T$16="Binary Partner",POWER(Upgrades!$U$16,H101),1)*IF(Upgrades!$T$17="Binary Partner",POWER(Upgrades!$U$17,I101),1)*IF(Upgrades!$T$19="Binary Partner",POWER(Upgrades!$U$19,K101),1)*IF(Upgrades!$T$20="Binary Partner",POWER(Upgrades!$U$20,L101),1)*IF(Upgrades!$T$21="Binary Partner",POWER(Upgrades!$U$21,M101),1))+(IF(K101=0,0,(Upgrades!$J$19+K101*Upgrades!$K$19)*POWER(Upgrades!$L$19,K101)))*(IF(Upgrades!$T$13="Peculiar Velocity",POWER(Upgrades!$U$13,E101),1)*IF(Upgrades!$T$14="Peculiar Velocity",POWER(Upgrades!$U$14,F101),1)*IF(Upgrades!$T$15="Peculiar Velocity",POWER(Upgrades!$U$15,G101),1)*IF(Upgrades!$T$16="Peculiar Velocity",POWER(Upgrades!$U$16,H101),1)*IF(Upgrades!$T$17="Peculiar Velocity",POWER(Upgrades!$U$17,I101),1)*IF(Upgrades!$T$18="Peculiar Velocity",POWER(Upgrades!$U$18,J101),1)*IF(Upgrades!$T$20="Peculiar Velocity",POWER(Upgrades!$U$20,L101),1)*IF(Upgrades!$T$21="Peculiar Velocity",POWER(Upgrades!$U$21,M101),1))+(IF(L101=0,0,(Upgrades!$J$20+L101*Upgrades!$K$20)*POWER(Upgrades!$L$20,L101)))*(IF(Upgrades!$T$13="Open Cluster",POWER(Upgrades!$U$13,E101),1)*IF(Upgrades!$T$14="Open Cluster",POWER(Upgrades!$U$14,F101),1)*IF(Upgrades!$T$15="Open Cluster",POWER(Upgrades!$U$15,G101),1)*IF(Upgrades!$T$16="Open Cluster",POWER(Upgrades!$U$16,H101),1)*IF(Upgrades!$T$17="Open Cluster",POWER(Upgrades!$U$17,I101),1)*IF(Upgrades!$T$18="Open Cluster",POWER(Upgrades!$U$18,J101),1)*IF(Upgrades!$T$19="Open Cluster",POWER(Upgrades!$U$19,K101),1)*IF(Upgrades!$T$21="Open Cluster",POWER(Upgrades!$U$21,M101),1))+(IF(M101=0,0,(Upgrades!$J$21+M101*Upgrades!$K$21)*POWER(Upgrades!$L$21,M101)))*(IF(Upgrades!$T$13="Moving Group",POWER(Upgrades!$U$13,E101),1)*IF(Upgrades!$T$14="Moving Group",POWER(Upgrades!$U$14,F101),1)*IF(Upgrades!$T$15="Moving Group",POWER(Upgrades!$U$15,G101),1)*IF(Upgrades!$T$16="Moving Group",POWER(Upgrades!$U$16,H101),1)*IF(Upgrades!$T$17="Moving Group",POWER(Upgrades!$U$17,I101),1)*IF(Upgrades!$T$18="Moving Group",POWER(Upgrades!$U$18,J101),1)*IF(Upgrades!$T$19="Moving Group",POWER(Upgrades!$U$19,K101),1)*IF(Upgrades!$T$20="Moving Group",POWER(Upgrades!$U$20,L101),1)))*POWER(Upgrades!$Q$13,E101)*POWER(Upgrades!$Q$14,F101)*POWER(Upgrades!$Q$15,G101)*POWER(Upgrades!$Q$16,H101)*POWER(Upgrades!$Q$17,I101)*POWER(Upgrades!$Q$18,J101)*POWER(Upgrades!$Q$19,K101)*POWER(Upgrades!$Q$20,L101)*POWER(Upgrades!$Q$21,M101)*$G$6+$D$6</f>
        <v/>
      </c>
      <c r="P101" s="28">
        <f>((IF(E101=0,0,(Upgrades!$G$13+E101*Upgrades!$H$13)*POWER(Upgrades!$I$13,E101)))*(IF(Upgrades!$T$14="Stellar Kinematics",POWER(Upgrades!$U$14,F101),1)*IF(Upgrades!$T$15="Stellar Kinematics",POWER(Upgrades!$U$15,G101),1)*IF(Upgrades!$T$16="Stellar Kinematics",POWER(Upgrades!$U$16,H101),1)*IF(Upgrades!$T$17="Stellar Kinematics",POWER(Upgrades!$U$17,I101),1)*IF(Upgrades!$T$18="Stellar Kinematics",POWER(Upgrades!$U$18,J101),1)*IF(Upgrades!$T$19="Stellar Kinematics",POWER(Upgrades!$U$19,K101),1)*IF(Upgrades!$T$20="Stellar Kinematics",POWER(Upgrades!$U$20,L101),1)*IF(Upgrades!$T$21="Stellar Kinematics",POWER(Upgrades!$U$21,M101),1))+(IF(F101=0,0,(Upgrades!$G$14+F101*Upgrades!$H$14)*POWER(Upgrades!$I$14,F101)))*(IF(Upgrades!$T$13="Local Bubble",POWER(Upgrades!$U$13,E101),1)*IF(Upgrades!$T$15="Local Bubble",POWER(Upgrades!$U$15,G101),1)*IF(Upgrades!$T$16="Local Bubble",POWER(Upgrades!$U$16,H101),1)*IF(Upgrades!$T$17="Local Bubble",POWER(Upgrades!$U$17,I101),1)*IF(Upgrades!$T$18="Local Bubble",POWER(Upgrades!$U$18,J101),1)*IF(Upgrades!$T$19="Local Bubble",POWER(Upgrades!$U$19,K101),1)*IF(Upgrades!$T$20="Local Bubble",POWER(Upgrades!$U$20,L101),1)*IF(Upgrades!$T$21="Local Bubble",POWER(Upgrades!$U$21,M101),1))+(IF(G101=0,0,(Upgrades!$G$15+G101*Upgrades!$H$15)*POWER(Upgrades!$I$15,G101)))*(IF(Upgrades!$T$13="Microlensing",POWER(Upgrades!$U$13,E101),1)*IF(Upgrades!$T$14="Microlensing",POWER(Upgrades!$U$14,F101),1)*IF(Upgrades!$T$16="Microlensing",POWER(Upgrades!$U$16,H101),1)*IF(Upgrades!$T$17="Microlensing",POWER(Upgrades!$U$17,I101),1)*IF(Upgrades!$T$18="Microlensing",POWER(Upgrades!$U$18,J101),1)*IF(Upgrades!$T$19="Microlensing",POWER(Upgrades!$U$19,K101),1)*IF(Upgrades!$T$20="Microlensing",POWER(Upgrades!$U$20,L101),1)*IF(Upgrades!$T$21="Microlensing",POWER(Upgrades!$U$21,M101),1))+(IF(H101=0,0,(Upgrades!$G$16+H101*Upgrades!$H$16)*POWER(Upgrades!$I$16,H101)))*(IF(Upgrades!$T$13="Roche Lobe Overflow",POWER(Upgrades!$U$13,E101),1)*IF(Upgrades!$T$14="Roche Lobe Overflow",POWER(Upgrades!$U$14,F101),1)*IF(Upgrades!$T$15="Roche Lobe Overflow",POWER(Upgrades!$U$15,G101),1)*IF(Upgrades!$T$17="Roche Lobe Overflow",POWER(Upgrades!$U$17,I101),1)*IF(Upgrades!$T$18="Roche Lobe Overflow",POWER(Upgrades!$U$18,J101),1)*IF(Upgrades!$T$19="Roche Lobe Overflow",POWER(Upgrades!$U$19,K101),1)*IF(Upgrades!$T$20="Roche Lobe Overflow",POWER(Upgrades!$U$20,L101),1)*IF(Upgrades!$T$21="Roche Lobe Overflow",POWER(Upgrades!$U$21,M101),1))+(IF(I101=0,0,(Upgrades!$G$17+I101*Upgrades!$H$17)*POWER(Upgrades!$I$17,I101)))*(IF(Upgrades!$T$13="Brown Dwarf",POWER(Upgrades!$U$13,E101),1)*IF(Upgrades!$T$14="Brown Dwarf",POWER(Upgrades!$U$14,F101),1)*IF(Upgrades!$T$15="Brown Dwarf",POWER(Upgrades!$U$15,G101),1)*IF(Upgrades!$T$16="Brown Dwarf",POWER(Upgrades!$U$16,H101),1)*IF(Upgrades!$T$18="Brown Dwarf",POWER(Upgrades!$U$18,J101),1)*IF(Upgrades!$T$19="Brown Dwarf",POWER(Upgrades!$U$19,K101),1)*IF(Upgrades!$T$20="Brown Dwarf",POWER(Upgrades!$U$20,L101),1)*IF(Upgrades!$T$21="Brown Dwarf",POWER(Upgrades!$U$21,M101),1))+(IF(J101=0,0,(Upgrades!$G$18+J101*Upgrades!$H$18)*POWER(Upgrades!$I$18,J101)))*(IF(Upgrades!$T$13="Binary Partner",POWER(Upgrades!$U$13,E101),1)*IF(Upgrades!$T$14="Binary Partner",POWER(Upgrades!$U$14,F101),1)*IF(Upgrades!$T$15="Binary Partner",POWER(Upgrades!$U$15,G101),1)*IF(Upgrades!$T$16="Binary Partner",POWER(Upgrades!$U$16,H101),1)*IF(Upgrades!$T$17="Binary Partner",POWER(Upgrades!$U$17,I101),1)*IF(Upgrades!$T$19="Binary Partner",POWER(Upgrades!$U$19,K101),1)*IF(Upgrades!$T$20="Binary Partner",POWER(Upgrades!$U$20,L101),1)*IF(Upgrades!$T$21="Binary Partner",POWER(Upgrades!$U$21,M101),1))+(IF(K101=0,0,(Upgrades!$G$19+K101*Upgrades!$H$19)*POWER(Upgrades!$I$19,K101)))*(IF(Upgrades!$T$13="Peculiar Velocity",POWER(Upgrades!$U$13,E101),1)*IF(Upgrades!$T$14="Peculiar Velocity",POWER(Upgrades!$U$14,F101),1)*IF(Upgrades!$T$15="Peculiar Velocity",POWER(Upgrades!$U$15,G101),1)*IF(Upgrades!$T$16="Peculiar Velocity",POWER(Upgrades!$U$16,H101),1)*IF(Upgrades!$T$17="Peculiar Velocity",POWER(Upgrades!$U$17,I101),1)*IF(Upgrades!$T$18="Peculiar Velocity",POWER(Upgrades!$U$18,J101),1)*IF(Upgrades!$T$20="Peculiar Velocity",POWER(Upgrades!$U$20,L101),1)*IF(Upgrades!$T$21="Peculiar Velocity",POWER(Upgrades!$U$21,M101),1))+(IF(L101=0,0,(Upgrades!$G$20+L101*Upgrades!$H$20)*POWER(Upgrades!$I$20,L101)))*(IF(Upgrades!$T$13="Open Cluster",POWER(Upgrades!$U$13,E101),1)*IF(Upgrades!$T$14="Open Cluster",POWER(Upgrades!$U$14,F101),1)*IF(Upgrades!$T$15="Open Cluster",POWER(Upgrades!$U$15,G101),1)*IF(Upgrades!$T$16="Open Cluster",POWER(Upgrades!$U$16,H101),1)*IF(Upgrades!$T$17="Open Cluster",POWER(Upgrades!$U$17,I101),1)*IF(Upgrades!$T$18="Open Cluster",POWER(Upgrades!$U$18,J101),1)*IF(Upgrades!$T$19="Open Cluster",POWER(Upgrades!$U$19,K101),1)*IF(Upgrades!$T$21="Open Cluster",POWER(Upgrades!$U$21,M101),1))+(IF(M101=0,0,(Upgrades!$G$21+M101*Upgrades!$H$21)*POWER(Upgrades!$I$21,M101)))*(IF(Upgrades!$T$13="Moving Group",POWER(Upgrades!$U$13,E101),1)*IF(Upgrades!$T$14="Moving Group",POWER(Upgrades!$U$14,F101),1)*IF(Upgrades!$T$15="Moving Group",POWER(Upgrades!$U$15,G101),1)*IF(Upgrades!$T$16="Moving Group",POWER(Upgrades!$U$16,H101),1)*IF(Upgrades!$T$17="Moving Group",POWER(Upgrades!$U$17,I101),1)*IF(Upgrades!$T$18="Moving Group",POWER(Upgrades!$U$18,J101),1)*IF(Upgrades!$T$19="Moving Group",POWER(Upgrades!$U$19,K101),1)*IF(Upgrades!$T$20="Moving Group",POWER(Upgrades!$U$20,L101),1)))*POWER(Upgrades!$P$13,E101)*POWER(Upgrades!$P$14,F101)*POWER(Upgrades!$P$15,G101)*POWER(Upgrades!$P$16,H101)*POWER(Upgrades!$P$17,I101)*POWER(Upgrades!$P$18,J101)*POWER(Upgrades!$P$19,K101)*POWER(Upgrades!$P$20,L101)*POWER(Upgrades!$P$21,M101)*$F$6+$C$6</f>
        <v/>
      </c>
      <c r="Q101" s="28">
        <f>((IF(E101=0,0,(Upgrades!$M$13+E101*Upgrades!$N$13)*POWER(Upgrades!$O$13,E101)))*(IF(Upgrades!$T$14="Stellar Kinematics",POWER(Upgrades!$U$14,F101),1)*IF(Upgrades!$T$15="Stellar Kinematics",POWER(Upgrades!$U$15,G101),1)*IF(Upgrades!$T$16="Stellar Kinematics",POWER(Upgrades!$U$16,H101),1)*IF(Upgrades!$T$17="Stellar Kinematics",POWER(Upgrades!$U$17,I101),1)*IF(Upgrades!$T$18="Stellar Kinematics",POWER(Upgrades!$U$18,J101),1)*IF(Upgrades!$T$19="Stellar Kinematics",POWER(Upgrades!$U$19,K101),1)*IF(Upgrades!$T$20="Stellar Kinematics",POWER(Upgrades!$U$20,L101),1)*IF(Upgrades!$T$21="Stellar Kinematics",POWER(Upgrades!$U$21,M101),1))+(IF(F101=0,0,(Upgrades!$M$14+F101*Upgrades!$N$14)*POWER(Upgrades!$O$14,F101)))*(IF(Upgrades!$T$13="Local Bubble",POWER(Upgrades!$U$13,E101),1)*IF(Upgrades!$T$15="Local Bubble",POWER(Upgrades!$U$15,G101),1)*IF(Upgrades!$T$16="Local Bubble",POWER(Upgrades!$U$16,H101),1)*IF(Upgrades!$T$17="Local Bubble",POWER(Upgrades!$U$17,I101),1)*IF(Upgrades!$T$18="Local Bubble",POWER(Upgrades!$U$18,J101),1)*IF(Upgrades!$T$19="Local Bubble",POWER(Upgrades!$U$19,K101),1)*IF(Upgrades!$T$20="Local Bubble",POWER(Upgrades!$U$20,L101),1)*IF(Upgrades!$T$21="Local Bubble",POWER(Upgrades!$U$21,M101),1))+(IF(G101=0,0,(Upgrades!$M$15+G101*Upgrades!$N$15)*POWER(Upgrades!$O$15,G101)))*(IF(Upgrades!$T$13="Microlensing",POWER(Upgrades!$U$13,E101),1)*IF(Upgrades!$T$14="Microlensing",POWER(Upgrades!$U$14,F101),1)*IF(Upgrades!$T$16="Microlensing",POWER(Upgrades!$U$16,H101),1)*IF(Upgrades!$T$17="Microlensing",POWER(Upgrades!$U$17,I101),1)*IF(Upgrades!$T$18="Microlensing",POWER(Upgrades!$U$18,J101),1)*IF(Upgrades!$T$19="Microlensing",POWER(Upgrades!$U$19,K101),1)*IF(Upgrades!$T$20="Microlensing",POWER(Upgrades!$U$20,L101),1)*IF(Upgrades!$T$21="Microlensing",POWER(Upgrades!$U$21,M101),1))+(IF(H101=0,0,(Upgrades!$M$16+H101*Upgrades!$N$16)*POWER(Upgrades!$O$16,H101)))*(IF(Upgrades!$T$13="Roche Lobe Overflow",POWER(Upgrades!$U$13,E101),1)*IF(Upgrades!$T$14="Roche Lobe Overflow",POWER(Upgrades!$U$14,F101),1)*IF(Upgrades!$T$15="Roche Lobe Overflow",POWER(Upgrades!$U$15,G101),1)*IF(Upgrades!$T$17="Roche Lobe Overflow",POWER(Upgrades!$U$17,I101),1)*IF(Upgrades!$T$18="Roche Lobe Overflow",POWER(Upgrades!$U$18,J101),1)*IF(Upgrades!$T$19="Roche Lobe Overflow",POWER(Upgrades!$U$19,K101),1)*IF(Upgrades!$T$20="Roche Lobe Overflow",POWER(Upgrades!$U$20,L101),1)*IF(Upgrades!$T$21="Roche Lobe Overflow",POWER(Upgrades!$U$21,M101),1))+(IF(I101=0,0,(Upgrades!$M$17+I101*Upgrades!$N$17)*POWER(Upgrades!$O$17,I101)))*(IF(Upgrades!$T$13="Brown Dwarf",POWER(Upgrades!$U$13,E101),1)*IF(Upgrades!$T$14="Brown Dwarf",POWER(Upgrades!$U$14,F101),1)*IF(Upgrades!$T$15="Brown Dwarf",POWER(Upgrades!$U$15,G101),1)*IF(Upgrades!$T$16="Brown Dwarf",POWER(Upgrades!$U$16,H101),1)*IF(Upgrades!$T$18="Brown Dwarf",POWER(Upgrades!$U$18,J101),1)*IF(Upgrades!$T$19="Brown Dwarf",POWER(Upgrades!$U$19,K101),1)*IF(Upgrades!$T$20="Brown Dwarf",POWER(Upgrades!$U$20,L101),1)*IF(Upgrades!$T$21="Brown Dwarf",POWER(Upgrades!$U$21,M101),1))+(IF(J101=0,0,(Upgrades!$M$18+J101*Upgrades!$N$18)*POWER(Upgrades!$O$18,J101)))*(IF(Upgrades!$T$13="Binary Partner",POWER(Upgrades!$U$13,E101),1)*IF(Upgrades!$T$14="Binary Partner",POWER(Upgrades!$U$14,F101),1)*IF(Upgrades!$T$15="Binary Partner",POWER(Upgrades!$U$15,G101),1)*IF(Upgrades!$T$16="Binary Partner",POWER(Upgrades!$U$16,H101),1)*IF(Upgrades!$T$17="Binary Partner",POWER(Upgrades!$U$17,I101),1)*IF(Upgrades!$T$19="Binary Partner",POWER(Upgrades!$U$19,K101),1)*IF(Upgrades!$T$20="Binary Partner",POWER(Upgrades!$U$20,L101),1)*IF(Upgrades!$T$21="Binary Partner",POWER(Upgrades!$U$21,M101),1))+(IF(K101=0,0,(Upgrades!$M$19+K101*Upgrades!$N$19)*POWER(Upgrades!$O$19,K101)))*(IF(Upgrades!$T$13="Peculiar Velocity",POWER(Upgrades!$U$13,E101),1)*IF(Upgrades!$T$14="Peculiar Velocity",POWER(Upgrades!$U$14,F101),1)*IF(Upgrades!$T$15="Peculiar Velocity",POWER(Upgrades!$U$15,G101),1)*IF(Upgrades!$T$16="Peculiar Velocity",POWER(Upgrades!$U$16,H101),1)*IF(Upgrades!$T$17="Peculiar Velocity",POWER(Upgrades!$U$17,I101),1)*IF(Upgrades!$T$18="Peculiar Velocity",POWER(Upgrades!$U$18,J101),1)*IF(Upgrades!$T$20="Peculiar Velocity",POWER(Upgrades!$U$20,L101),1)*IF(Upgrades!$T$21="Peculiar Velocity",POWER(Upgrades!$U$21,M101),1))+(IF(L101=0,0,(Upgrades!$M$20+L101*Upgrades!$N$20)*POWER(Upgrades!$O$20,L101)))*(IF(Upgrades!$T$13="Open Cluster",POWER(Upgrades!$U$13,E101),1)*IF(Upgrades!$T$14="Open Cluster",POWER(Upgrades!$U$14,F101),1)*IF(Upgrades!$T$15="Open Cluster",POWER(Upgrades!$U$15,G101),1)*IF(Upgrades!$T$16="Open Cluster",POWER(Upgrades!$U$16,H101),1)*IF(Upgrades!$T$17="Open Cluster",POWER(Upgrades!$U$17,I101),1)*IF(Upgrades!$T$18="Open Cluster",POWER(Upgrades!$U$18,J101),1)*IF(Upgrades!$T$19="Open Cluster",POWER(Upgrades!$U$19,K101),1)*IF(Upgrades!$T$21="Open Cluster",POWER(Upgrades!$U$21,M101),1))+(IF(M101=0,0,(Upgrades!$M$21+M101*Upgrades!$N$21)*POWER(Upgrades!$O$21,M101)))*(IF(Upgrades!$T$13="Moving Group",POWER(Upgrades!$U$13,E101),1)*IF(Upgrades!$T$14="Moving Group",POWER(Upgrades!$U$14,F101),1)*IF(Upgrades!$T$15="Moving Group",POWER(Upgrades!$U$15,G101),1)*IF(Upgrades!$T$16="Moving Group",POWER(Upgrades!$U$16,H101),1)*IF(Upgrades!$T$17="Moving Group",POWER(Upgrades!$U$17,I101),1)*IF(Upgrades!$T$18="Moving Group",POWER(Upgrades!$U$18,J101),1)*IF(Upgrades!$T$19="Moving Group",POWER(Upgrades!$U$19,K101),1)*IF(Upgrades!$T$20="Moving Group",POWER(Upgrades!$U$20,L101),1)))*POWER(Upgrades!$R$13,E101)*POWER(Upgrades!$R$14,F101)*POWER(Upgrades!$R$15,G101)*POWER(Upgrades!$R$16,H101)*POWER(Upgrades!$R$17,I101)*POWER(Upgrades!$R$18,J101)*POWER(Upgrades!$R$19,K101)*POWER(Upgrades!$R$20,L101)*POWER(Upgrades!$R$21,M101)*$H$6+$E$6</f>
        <v/>
      </c>
      <c r="R101" s="27">
        <f>IF(N101=1,0,O101*Parameters!$B$10/60*Parameters!$B$11*10)</f>
        <v/>
      </c>
      <c r="S101" s="27">
        <f>IF(N101=1,0,Q101*O101*10)</f>
        <v/>
      </c>
      <c r="T101" s="27">
        <f>IF(N101=1,0,R101+S101+P101*10)</f>
        <v/>
      </c>
      <c r="U101" s="33">
        <f>BE101</f>
        <v/>
      </c>
      <c r="V101" s="22">
        <f>IF(U101="",0,IF(U101="transition",0,IF(U101="SK",AK101,IF(U101="LB",AL101,IF(U101="ML",AM101,IF(U101="RLO",AN101,IF(U101="BD",AO101,IF(U101="BiP",AP101,IF(U101="PV",AQ101,IF(U101="OC",AR101,IF(U101="MG",AS101,0))))))))))</f>
        <v/>
      </c>
      <c r="W101" s="27">
        <f>IF(U101="BiP",Upgrades!$F$18,IF(U101="PV",Upgrades!$F$19,IF(U101="OC",Upgrades!$F$20,IF(U101="MG",Upgrades!$F$21,IF(U101="transition",-Parameters!$B$18*Parameters!$B$19,0)))))</f>
        <v/>
      </c>
      <c r="X101" s="22">
        <f>C101+T101-V101</f>
        <v/>
      </c>
      <c r="Y101" s="30">
        <f>O101*Parameters!$B$10/60*Parameters!$B$11+Q101*O101+P101</f>
        <v/>
      </c>
      <c r="Z101" s="34">
        <f>IF(U101="transition","→ Tier 3 (Galactic Arm)",IF(U101="MG","Moving Group — pocket drifts together",IF(U101="OC","Open Cluster acquired",IF(U101="PV","Peculiar Velocity — passive multiplier active",IF(U101="BiP","Binary Partner — pair bond formed",IF(AND(AU101=1,N101=0,AT101&lt;&gt;1),"Cohesion ready (waiting on completionists)","")))))) </f>
        <v/>
      </c>
      <c r="AA101" s="27">
        <f>(IF(E101=0,0,(Upgrades!$G$13+E101*Upgrades!$H$13)*POWER(Upgrades!$I$13,E101)))*(IF(Upgrades!$T$14="Stellar Kinematics",POWER(Upgrades!$U$14,F101),1)*IF(Upgrades!$T$15="Stellar Kinematics",POWER(Upgrades!$U$15,G101),1)*IF(Upgrades!$T$16="Stellar Kinematics",POWER(Upgrades!$U$16,H101),1)*IF(Upgrades!$T$17="Stellar Kinematics",POWER(Upgrades!$U$17,I101),1)*IF(Upgrades!$T$18="Stellar Kinematics",POWER(Upgrades!$U$18,J101),1)*IF(Upgrades!$T$19="Stellar Kinematics",POWER(Upgrades!$U$19,K101),1)*IF(Upgrades!$T$20="Stellar Kinematics",POWER(Upgrades!$U$20,L101),1)*IF(Upgrades!$T$21="Stellar Kinematics",POWER(Upgrades!$U$21,M101),1))*POWER(Upgrades!$P$13,E101)*POWER(Upgrades!$P$14,F101)*POWER(Upgrades!$P$15,G101)*POWER(Upgrades!$P$16,H101)*POWER(Upgrades!$P$17,I101)*POWER(Upgrades!$P$18,J101)*POWER(Upgrades!$P$19,K101)*POWER(Upgrades!$P$20,L101)*POWER(Upgrades!$P$21,M101)*$F$6*60</f>
        <v/>
      </c>
      <c r="AB101" s="27">
        <f>(IF(F101=0,0,(Upgrades!$G$14+F101*Upgrades!$H$14)*POWER(Upgrades!$I$14,F101)))*(IF(Upgrades!$T$13="Local Bubble",POWER(Upgrades!$U$13,E101),1)*IF(Upgrades!$T$15="Local Bubble",POWER(Upgrades!$U$15,G101),1)*IF(Upgrades!$T$16="Local Bubble",POWER(Upgrades!$U$16,H101),1)*IF(Upgrades!$T$17="Local Bubble",POWER(Upgrades!$U$17,I101),1)*IF(Upgrades!$T$18="Local Bubble",POWER(Upgrades!$U$18,J101),1)*IF(Upgrades!$T$19="Local Bubble",POWER(Upgrades!$U$19,K101),1)*IF(Upgrades!$T$20="Local Bubble",POWER(Upgrades!$U$20,L101),1)*IF(Upgrades!$T$21="Local Bubble",POWER(Upgrades!$U$21,M101),1))*POWER(Upgrades!$P$13,E101)*POWER(Upgrades!$P$14,F101)*POWER(Upgrades!$P$15,G101)*POWER(Upgrades!$P$16,H101)*POWER(Upgrades!$P$17,I101)*POWER(Upgrades!$P$18,J101)*POWER(Upgrades!$P$19,K101)*POWER(Upgrades!$P$20,L101)*POWER(Upgrades!$P$21,M101)*$F$6*60</f>
        <v/>
      </c>
      <c r="AC101" s="27">
        <f>(IF(G101=0,0,(Upgrades!$J$15+G101*Upgrades!$K$15)*POWER(Upgrades!$L$15,G101)))*(IF(Upgrades!$T$13="Microlensing",POWER(Upgrades!$U$13,E101),1)*IF(Upgrades!$T$14="Microlensing",POWER(Upgrades!$U$14,F101),1)*IF(Upgrades!$T$16="Microlensing",POWER(Upgrades!$U$16,H101),1)*IF(Upgrades!$T$17="Microlensing",POWER(Upgrades!$U$17,I101),1)*IF(Upgrades!$T$18="Microlensing",POWER(Upgrades!$U$18,J101),1)*IF(Upgrades!$T$19="Microlensing",POWER(Upgrades!$U$19,K101),1)*IF(Upgrades!$T$20="Microlensing",POWER(Upgrades!$U$20,L101),1)*IF(Upgrades!$T$21="Microlensing",POWER(Upgrades!$U$21,M101),1))*POWER(Upgrades!$Q$13,E101)*POWER(Upgrades!$Q$14,F101)*POWER(Upgrades!$Q$15,G101)*POWER(Upgrades!$Q$16,H101)*POWER(Upgrades!$Q$17,I101)*POWER(Upgrades!$Q$18,J101)*POWER(Upgrades!$Q$19,K101)*POWER(Upgrades!$Q$20,L101)*POWER(Upgrades!$Q$21,M101)*$G$6*(Parameters!$B$10*Parameters!$B$11+Q101*60)</f>
        <v/>
      </c>
      <c r="AD101" s="27">
        <f>(IF(H101=0,0,(Upgrades!$M$16+H101*Upgrades!$N$16)*POWER(Upgrades!$O$16,H101)))*(IF(Upgrades!$T$13="Roche Lobe Overflow",POWER(Upgrades!$U$13,E101),1)*IF(Upgrades!$T$14="Roche Lobe Overflow",POWER(Upgrades!$U$14,F101),1)*IF(Upgrades!$T$15="Roche Lobe Overflow",POWER(Upgrades!$U$15,G101),1)*IF(Upgrades!$T$17="Roche Lobe Overflow",POWER(Upgrades!$U$17,I101),1)*IF(Upgrades!$T$18="Roche Lobe Overflow",POWER(Upgrades!$U$18,J101),1)*IF(Upgrades!$T$19="Roche Lobe Overflow",POWER(Upgrades!$U$19,K101),1)*IF(Upgrades!$T$20="Roche Lobe Overflow",POWER(Upgrades!$U$20,L101),1)*IF(Upgrades!$T$21="Roche Lobe Overflow",POWER(Upgrades!$U$21,M101),1))*POWER(Upgrades!$R$13,E101)*POWER(Upgrades!$R$14,F101)*POWER(Upgrades!$R$15,G101)*POWER(Upgrades!$R$16,H101)*POWER(Upgrades!$R$17,I101)*POWER(Upgrades!$R$18,J101)*POWER(Upgrades!$R$19,K101)*POWER(Upgrades!$R$20,L101)*POWER(Upgrades!$R$21,M101)*$H$6*O101*60</f>
        <v/>
      </c>
      <c r="AE101" s="27">
        <f>(IF(I101=0,0,(Upgrades!$G$17+I101*Upgrades!$H$17)*POWER(Upgrades!$I$17,I101)))*(IF(Upgrades!$T$13="Brown Dwarf",POWER(Upgrades!$U$13,E101),1)*IF(Upgrades!$T$14="Brown Dwarf",POWER(Upgrades!$U$14,F101),1)*IF(Upgrades!$T$15="Brown Dwarf",POWER(Upgrades!$U$15,G101),1)*IF(Upgrades!$T$16="Brown Dwarf",POWER(Upgrades!$U$16,H101),1)*IF(Upgrades!$T$18="Brown Dwarf",POWER(Upgrades!$U$18,J101),1)*IF(Upgrades!$T$19="Brown Dwarf",POWER(Upgrades!$U$19,K101),1)*IF(Upgrades!$T$20="Brown Dwarf",POWER(Upgrades!$U$20,L101),1)*IF(Upgrades!$T$21="Brown Dwarf",POWER(Upgrades!$U$21,M101),1))*POWER(Upgrades!$P$13,E101)*POWER(Upgrades!$P$14,F101)*POWER(Upgrades!$P$15,G101)*POWER(Upgrades!$P$16,H101)*POWER(Upgrades!$P$17,I101)*POWER(Upgrades!$P$18,J101)*POWER(Upgrades!$P$19,K101)*POWER(Upgrades!$P$20,L101)*POWER(Upgrades!$P$21,M101)*$F$6*60</f>
        <v/>
      </c>
      <c r="AF101" s="27" t="n">
        <v>0</v>
      </c>
      <c r="AG101" s="27" t="n">
        <v>0</v>
      </c>
      <c r="AH101" s="27" t="n">
        <v>0</v>
      </c>
      <c r="AI101" s="27">
        <f>(IF(M101=0,0,(Upgrades!$G$21+M101*Upgrades!$H$21)*POWER(Upgrades!$I$21,M101)))*(IF(Upgrades!$T$13="Moving Group",POWER(Upgrades!$U$13,E101),1)*IF(Upgrades!$T$14="Moving Group",POWER(Upgrades!$U$14,F101),1)*IF(Upgrades!$T$15="Moving Group",POWER(Upgrades!$U$15,G101),1)*IF(Upgrades!$T$16="Moving Group",POWER(Upgrades!$U$16,H101),1)*IF(Upgrades!$T$17="Moving Group",POWER(Upgrades!$U$17,I101),1)*IF(Upgrades!$T$18="Moving Group",POWER(Upgrades!$U$18,J101),1)*IF(Upgrades!$T$19="Moving Group",POWER(Upgrades!$U$19,K101),1)*IF(Upgrades!$T$20="Moving Group",POWER(Upgrades!$U$20,L101),1))*POWER(Upgrades!$P$13,E101)*POWER(Upgrades!$P$14,F101)*POWER(Upgrades!$P$15,G101)*POWER(Upgrades!$P$16,H101)*POWER(Upgrades!$P$17,I101)*POWER(Upgrades!$P$18,J101)*POWER(Upgrades!$P$19,K101)*POWER(Upgrades!$P$20,L101)*POWER(Upgrades!$P$21,M101)*$F$6*60</f>
        <v/>
      </c>
      <c r="AJ101" s="27">
        <f>$C$6*60</f>
        <v/>
      </c>
      <c r="AK101" s="22">
        <f>IF(E101&gt;=Upgrades!$E$13,"",Upgrades!$C$13*POWER(Upgrades!$D$13,E101))</f>
        <v/>
      </c>
      <c r="AL101" s="22">
        <f>IF(F101&gt;=Upgrades!$E$14,"",Upgrades!$C$14*POWER(Upgrades!$D$14,F101))</f>
        <v/>
      </c>
      <c r="AM101" s="22">
        <f>IF(G101&gt;=Upgrades!$E$15,"",Upgrades!$C$15*POWER(Upgrades!$D$15,G101))</f>
        <v/>
      </c>
      <c r="AN101" s="22">
        <f>IF(H101&gt;=Upgrades!$E$16,"",Upgrades!$C$16*POWER(Upgrades!$D$16,H101))</f>
        <v/>
      </c>
      <c r="AO101" s="22">
        <f>IF(I101&gt;=Upgrades!$E$17,"",Upgrades!$C$17*POWER(Upgrades!$D$17,I101))</f>
        <v/>
      </c>
      <c r="AP101" s="22">
        <f>IF(J101&gt;=Upgrades!$E$18,"",Upgrades!$C$18*POWER(Upgrades!$D$18,J101))</f>
        <v/>
      </c>
      <c r="AQ101" s="22">
        <f>IF(K101&gt;=Upgrades!$E$19,"",Upgrades!$C$19*POWER(Upgrades!$D$19,K101))</f>
        <v/>
      </c>
      <c r="AR101" s="22">
        <f>IF(L101&gt;=Upgrades!$E$20,"",Upgrades!$C$20*POWER(Upgrades!$D$20,L101))</f>
        <v/>
      </c>
      <c r="AS101" s="22">
        <f>IF(M101&gt;=Upgrades!$E$21,"",Upgrades!$C$21*POWER(Upgrades!$D$21,M101))</f>
        <v/>
      </c>
      <c r="AT101" s="26">
        <f>IF(AND(D101&gt;=Parameters!$B$18*Parameters!$B$19,(I101&gt;=Upgrades!$E$17)*(M101&gt;=Upgrades!$E$21)=1,N101=0),1,"")</f>
        <v/>
      </c>
      <c r="AU101" s="26">
        <f>IF(AND(D101&gt;=Parameters!$B$18*Parameters!$B$19,N101=0),1,"")</f>
        <v/>
      </c>
      <c r="AV101" s="22">
        <f>MIN(IF(ISNUMBER(AP101),AP101,9E15),IF(ISNUMBER(AQ101),AQ101,9E15),IF(ISNUMBER(AR101),AR101,9E15),IF(ISNUMBER(AS101),AS101,9E15))</f>
        <v/>
      </c>
      <c r="AW101" s="22">
        <f>MIN(IF(ISNUMBER(AK101),AK101,9E15),IF(ISNUMBER(AL101),AL101,9E15),IF(ISNUMBER(AM101),AM101,9E15),IF(ISNUMBER(AN101),AN101,9E15),IF(ISNUMBER(AO101),AO101,9E15))</f>
        <v/>
      </c>
      <c r="AX101" s="29">
        <f>IF(BD101&gt;Parameters!$B$21*(MAX(IF(AND(NOT(AND(AU101=1,AT101&lt;&gt;1)),ISNUMBER(AK101),AK101&lt;=(C101+T101)),AY101,0),IF(AND(NOT(AND(AU101=1,AT101&lt;&gt;1)),ISNUMBER(AL101),AL101&lt;=(C101+T101)),AZ101,0),IF(AND(NOT(AND(AU101=1,AT101&lt;&gt;1)),ISNUMBER(AM101),AM101&lt;=(C101+T101)),BA101,0),IF(AND(NOT(AND(AU101=1,AT101&lt;&gt;1)),ISNUMBER(AN101),AN101&lt;=(C101+T101)),BB101,0),IF(AND(ISNUMBER(AO101),AO101&lt;=(C101+T101)),BC101,0))),TRUE,FALSE)</f>
        <v/>
      </c>
      <c r="AY101" s="32">
        <f>IFERROR(Upgrades!$H$13*(POWER(Upgrades!$P$13,E101)*POWER(Upgrades!$P$14,F101)*POWER(Upgrades!$P$15,G101)*POWER(Upgrades!$P$16,H101)*POWER(Upgrades!$P$17,I101)*POWER(Upgrades!$P$18,J101)*POWER(Upgrades!$P$19,K101)*POWER(Upgrades!$P$20,L101)*POWER(Upgrades!$P$21,M101))*(IF(Upgrades!$T$14="Stellar Kinematics",POWER(Upgrades!$U$14,F101),1)*IF(Upgrades!$T$15="Stellar Kinematics",POWER(Upgrades!$U$15,G101),1)*IF(Upgrades!$T$16="Stellar Kinematics",POWER(Upgrades!$U$16,H101),1)*IF(Upgrades!$T$17="Stellar Kinematics",POWER(Upgrades!$U$17,I101),1)*IF(Upgrades!$T$18="Stellar Kinematics",POWER(Upgrades!$U$18,J101),1)*IF(Upgrades!$T$19="Stellar Kinematics",POWER(Upgrades!$U$19,K101),1)*IF(Upgrades!$T$20="Stellar Kinematics",POWER(Upgrades!$U$20,L101),1)*IF(Upgrades!$T$21="Stellar Kinematics",POWER(Upgrades!$U$21,M101),1))*$F$6/AK101,0)</f>
        <v/>
      </c>
      <c r="AZ101" s="32">
        <f>IFERROR(Upgrades!$H$14*(POWER(Upgrades!$P$13,E101)*POWER(Upgrades!$P$14,F101)*POWER(Upgrades!$P$15,G101)*POWER(Upgrades!$P$16,H101)*POWER(Upgrades!$P$17,I101)*POWER(Upgrades!$P$18,J101)*POWER(Upgrades!$P$19,K101)*POWER(Upgrades!$P$20,L101)*POWER(Upgrades!$P$21,M101))*(IF(Upgrades!$T$13="Local Bubble",POWER(Upgrades!$U$13,E101),1)*IF(Upgrades!$T$15="Local Bubble",POWER(Upgrades!$U$15,G101),1)*IF(Upgrades!$T$16="Local Bubble",POWER(Upgrades!$U$16,H101),1)*IF(Upgrades!$T$17="Local Bubble",POWER(Upgrades!$U$17,I101),1)*IF(Upgrades!$T$18="Local Bubble",POWER(Upgrades!$U$18,J101),1)*IF(Upgrades!$T$19="Local Bubble",POWER(Upgrades!$U$19,K101),1)*IF(Upgrades!$T$20="Local Bubble",POWER(Upgrades!$U$20,L101),1)*IF(Upgrades!$T$21="Local Bubble",POWER(Upgrades!$U$21,M101),1))*$F$6/AL101,0)</f>
        <v/>
      </c>
      <c r="BA101" s="32">
        <f>IFERROR(Upgrades!$K$15*(POWER(Upgrades!$Q$13,E101)*POWER(Upgrades!$Q$14,F101)*POWER(Upgrades!$Q$15,G101)*POWER(Upgrades!$Q$16,H101)*POWER(Upgrades!$Q$17,I101)*POWER(Upgrades!$Q$18,J101)*POWER(Upgrades!$Q$19,K101)*POWER(Upgrades!$Q$20,L101)*POWER(Upgrades!$Q$21,M101))*(IF(Upgrades!$T$13="Microlensing",POWER(Upgrades!$U$13,E101),1)*IF(Upgrades!$T$14="Microlensing",POWER(Upgrades!$U$14,F101),1)*IF(Upgrades!$T$16="Microlensing",POWER(Upgrades!$U$16,H101),1)*IF(Upgrades!$T$17="Microlensing",POWER(Upgrades!$U$17,I101),1)*IF(Upgrades!$T$18="Microlensing",POWER(Upgrades!$U$18,J101),1)*IF(Upgrades!$T$19="Microlensing",POWER(Upgrades!$U$19,K101),1)*IF(Upgrades!$T$20="Microlensing",POWER(Upgrades!$U$20,L101),1)*IF(Upgrades!$T$21="Microlensing",POWER(Upgrades!$U$21,M101),1))*$G$6*(Parameters!$B$10/60*Parameters!$B$11+Q101)/AM101,0)</f>
        <v/>
      </c>
      <c r="BB101" s="32">
        <f>IFERROR((Upgrades!$N$16*(POWER(Upgrades!$R$13,E101)*POWER(Upgrades!$R$14,F101)*POWER(Upgrades!$R$15,G101)*POWER(Upgrades!$R$16,H101)*POWER(Upgrades!$R$17,I101)*POWER(Upgrades!$R$18,J101)*POWER(Upgrades!$R$19,K101)*POWER(Upgrades!$R$20,L101)*POWER(Upgrades!$R$21,M101))*(IF(Upgrades!$T$13="Roche Lobe Overflow",POWER(Upgrades!$U$13,E101),1)*IF(Upgrades!$T$14="Roche Lobe Overflow",POWER(Upgrades!$U$14,F101),1)*IF(Upgrades!$T$15="Roche Lobe Overflow",POWER(Upgrades!$U$15,G101),1)*IF(Upgrades!$T$17="Roche Lobe Overflow",POWER(Upgrades!$U$17,I101),1)*IF(Upgrades!$T$18="Roche Lobe Overflow",POWER(Upgrades!$U$18,J101),1)*IF(Upgrades!$T$19="Roche Lobe Overflow",POWER(Upgrades!$U$19,K101),1)*IF(Upgrades!$T$20="Roche Lobe Overflow",POWER(Upgrades!$U$20,L101),1)*IF(Upgrades!$T$21="Roche Lobe Overflow",POWER(Upgrades!$U$21,M101),1))*$H$6*O101+((IF(F101=0,0,(Upgrades!$G$14+F101*Upgrades!$H$14)*POWER(Upgrades!$I$14,F101)))*(IF(Upgrades!$T$13="Local Bubble",POWER(Upgrades!$U$13,E101),1)*IF(Upgrades!$T$15="Local Bubble",POWER(Upgrades!$U$15,G101),1)*IF(Upgrades!$T$16="Local Bubble",POWER(Upgrades!$U$16,H101),1)*IF(Upgrades!$T$17="Local Bubble",POWER(Upgrades!$U$17,I101),1)*IF(Upgrades!$T$18="Local Bubble",POWER(Upgrades!$U$18,J101),1)*IF(Upgrades!$T$19="Local Bubble",POWER(Upgrades!$U$19,K101),1)*IF(Upgrades!$T$20="Local Bubble",POWER(Upgrades!$U$20,L101),1)*IF(Upgrades!$T$21="Local Bubble",POWER(Upgrades!$U$21,M101),1))*POWER(Upgrades!$P$13,E101)*POWER(Upgrades!$P$14,F101)*POWER(Upgrades!$P$15,G101)*POWER(Upgrades!$P$16,H101)*POWER(Upgrades!$P$17,I101)*POWER(Upgrades!$P$18,J101)*POWER(Upgrades!$P$19,K101)*POWER(Upgrades!$P$20,L101)*POWER(Upgrades!$P$21,M101)*$F$6)*0.05)/AN101,0)</f>
        <v/>
      </c>
      <c r="BC101" s="32">
        <f>IFERROR((Upgrades!$H$17*(POWER(Upgrades!$P$13,E101)*POWER(Upgrades!$P$14,F101)*POWER(Upgrades!$P$15,G101)*POWER(Upgrades!$P$16,H101)*POWER(Upgrades!$P$17,I101)*POWER(Upgrades!$P$18,J101)*POWER(Upgrades!$P$19,K101)*POWER(Upgrades!$P$20,L101)*POWER(Upgrades!$P$21,M101))*(IF(Upgrades!$T$13="Brown Dwarf",POWER(Upgrades!$U$13,E101),1)*IF(Upgrades!$T$14="Brown Dwarf",POWER(Upgrades!$U$14,F101),1)*IF(Upgrades!$T$15="Brown Dwarf",POWER(Upgrades!$U$15,G101),1)*IF(Upgrades!$T$16="Brown Dwarf",POWER(Upgrades!$U$16,H101),1)*IF(Upgrades!$T$18="Brown Dwarf",POWER(Upgrades!$U$18,J101),1)*IF(Upgrades!$T$19="Brown Dwarf",POWER(Upgrades!$U$19,K101),1)*IF(Upgrades!$T$20="Brown Dwarf",POWER(Upgrades!$U$20,L101),1)*IF(Upgrades!$T$21="Brown Dwarf",POWER(Upgrades!$U$21,M101),1))*$F$6+(((IF(H101=0,0,(Upgrades!$M$16+H101*Upgrades!$N$16)*POWER(Upgrades!$O$16,H101)))*(IF(Upgrades!$T$13="Roche Lobe Overflow",POWER(Upgrades!$U$13,E101),1)*IF(Upgrades!$T$14="Roche Lobe Overflow",POWER(Upgrades!$U$14,F101),1)*IF(Upgrades!$T$15="Roche Lobe Overflow",POWER(Upgrades!$U$15,G101),1)*IF(Upgrades!$T$17="Roche Lobe Overflow",POWER(Upgrades!$U$17,I101),1)*IF(Upgrades!$T$18="Roche Lobe Overflow",POWER(Upgrades!$U$18,J101),1)*IF(Upgrades!$T$19="Roche Lobe Overflow",POWER(Upgrades!$U$19,K101),1)*IF(Upgrades!$T$20="Roche Lobe Overflow",POWER(Upgrades!$U$20,L101),1)*IF(Upgrades!$T$21="Roche Lobe Overflow",POWER(Upgrades!$U$21,M101),1))*POWER(Upgrades!$R$13,E101)*POWER(Upgrades!$R$14,F101)*POWER(Upgrades!$R$15,G101)*POWER(Upgrades!$R$16,H101)*POWER(Upgrades!$R$17,I101)*POWER(Upgrades!$R$18,J101)*POWER(Upgrades!$R$19,K101)*POWER(Upgrades!$R$20,L101)*POWER(Upgrades!$R$21,M101)*$H$6)*O101)*0.10)/AO101,0)</f>
        <v/>
      </c>
      <c r="BD101" s="32">
        <f>MAX(IF(J101&gt;0,0,IFERROR(0.5*((IF(G101=0,0,(Upgrades!$J$15+G101*Upgrades!$K$15)*POWER(Upgrades!$L$15,G101)))*(IF(Upgrades!$T$13="Microlensing",POWER(Upgrades!$U$13,E101),1)*IF(Upgrades!$T$14="Microlensing",POWER(Upgrades!$U$14,F101),1)*IF(Upgrades!$T$16="Microlensing",POWER(Upgrades!$U$16,H101),1)*IF(Upgrades!$T$17="Microlensing",POWER(Upgrades!$U$17,I101),1)*IF(Upgrades!$T$18="Microlensing",POWER(Upgrades!$U$18,J101),1)*IF(Upgrades!$T$19="Microlensing",POWER(Upgrades!$U$19,K101),1)*IF(Upgrades!$T$20="Microlensing",POWER(Upgrades!$U$20,L101),1)*IF(Upgrades!$T$21="Microlensing",POWER(Upgrades!$U$21,M101),1))*(POWER(Upgrades!$Q$13,E101)*POWER(Upgrades!$Q$14,F101)*POWER(Upgrades!$Q$15,G101)*POWER(Upgrades!$Q$16,H101)*POWER(Upgrades!$Q$17,I101)*POWER(Upgrades!$Q$18,J101)*POWER(Upgrades!$Q$19,K101)*POWER(Upgrades!$Q$20,L101)*POWER(Upgrades!$Q$21,M101))*$G$6*(Parameters!$B$10/60*Parameters!$B$11+Q101))/Upgrades!$C$18,0)),IF(K101&gt;0,0,IFERROR(0.30*P101/Upgrades!$C$19,0)),IF(L101&gt;0,0,IFERROR(0.0001/Upgrades!$C$20,0)),IF(M101&gt;0,0,IFERROR((6.0*(POWER(Upgrades!$P$13,E101)*POWER(Upgrades!$P$14,F101)*POWER(Upgrades!$P$15,G101)*POWER(Upgrades!$P$16,H101)*POWER(Upgrades!$P$17,I101)*POWER(Upgrades!$P$18,J101)*POWER(Upgrades!$P$19,K101)*POWER(Upgrades!$P$20,L101)*POWER(Upgrades!$P$21,M101))*$F$6+0.20*O101*(Parameters!$B$10/60*Parameters!$B$11+Q101))/Upgrades!$C$21,0)),IF(AND(ISNUMBER(AK101),AK101&gt;(C101+T101)),AY101,0),IF(AND(ISNUMBER(AL101),AL101&gt;(C101+T101)),AZ101,0),IF(AND(ISNUMBER(AM101),AM101&gt;(C101+T101)),BA101,0),IF(AND(ISNUMBER(AN101),AN101&gt;(C101+T101)),BB101,0),IF(AND(ISNUMBER(AO101),AO101&gt;(C101+T101)),BC101,0))</f>
        <v/>
      </c>
      <c r="BE101" s="29">
        <f>IF(AT101=1,"transition",IF(MIN(IF(AND(J101=0,ISNUMBER(AP101),AP101&lt;=(C101+T101)),AP101,9E15),IF(AND(K101=0,ISNUMBER(AQ101),AQ101&lt;=(C101+T101)),AQ101,9E15),IF(AND(L101=0,ISNUMBER(AR101),AR101&lt;=(C101+T101)),AR101,9E15),IF(AND(M101=0,ISNUMBER(AS101),AS101&lt;=(C101+T101)),AS101,9E15))&lt;9E15,IF(AND(AND(J101=0,ISNUMBER(AP101),AP101&lt;=(C101+T101)),AP101=MIN(IF(AND(J101=0,ISNUMBER(AP101),AP101&lt;=(C101+T101)),AP101,9E15),IF(AND(K101=0,ISNUMBER(AQ101),AQ101&lt;=(C101+T101)),AQ101,9E15),IF(AND(L101=0,ISNUMBER(AR101),AR101&lt;=(C101+T101)),AR101,9E15),IF(AND(M101=0,ISNUMBER(AS101),AS101&lt;=(C101+T101)),AS101,9E15))),"BiP",IF(AND(AND(K101=0,ISNUMBER(AQ101),AQ101&lt;=(C101+T101)),AQ101=MIN(IF(AND(J101=0,ISNUMBER(AP101),AP101&lt;=(C101+T101)),AP101,9E15),IF(AND(K101=0,ISNUMBER(AQ101),AQ101&lt;=(C101+T101)),AQ101,9E15),IF(AND(L101=0,ISNUMBER(AR101),AR101&lt;=(C101+T101)),AR101,9E15),IF(AND(M101=0,ISNUMBER(AS101),AS101&lt;=(C101+T101)),AS101,9E15))),"PV",IF(AND(AND(L101=0,ISNUMBER(AR101),AR101&lt;=(C101+T101)),AR101=MIN(IF(AND(J101=0,ISNUMBER(AP101),AP101&lt;=(C101+T101)),AP101,9E15),IF(AND(K101=0,ISNUMBER(AQ101),AQ101&lt;=(C101+T101)),AQ101,9E15),IF(AND(L101=0,ISNUMBER(AR101),AR101&lt;=(C101+T101)),AR101,9E15),IF(AND(M101=0,ISNUMBER(AS101),AS101&lt;=(C101+T101)),AS101,9E15))),"OC","MG"))),IF(AX101=TRUE,"",IF(MAX(IF(AND(NOT(AND(AU101=1,AT101&lt;&gt;1)),ISNUMBER(AK101),AK101&lt;=(C101+T101)),AY101,0),IF(AND(NOT(AND(AU101=1,AT101&lt;&gt;1)),ISNUMBER(AL101),AL101&lt;=(C101+T101)),AZ101,0),IF(AND(NOT(AND(AU101=1,AT101&lt;&gt;1)),ISNUMBER(AM101),AM101&lt;=(C101+T101)),BA101,0),IF(AND(NOT(AND(AU101=1,AT101&lt;&gt;1)),ISNUMBER(AN101),AN101&lt;=(C101+T101)),BB101,0),IF(AND(ISNUMBER(AO101),AO101&lt;=(C101+T101)),BC101,0))&lt;=0,"",IF(AND(IF(AND(NOT(AND(AU101=1,AT101&lt;&gt;1)),ISNUMBER(AK101),AK101&lt;=(C101+T101)),AY101,0)&gt;0,IF(AND(NOT(AND(AU101=1,AT101&lt;&gt;1)),ISNUMBER(AK101),AK101&lt;=(C101+T101)),AY101,0)=MAX(IF(AND(NOT(AND(AU101=1,AT101&lt;&gt;1)),ISNUMBER(AK101),AK101&lt;=(C101+T101)),AY101,0),IF(AND(NOT(AND(AU101=1,AT101&lt;&gt;1)),ISNUMBER(AL101),AL101&lt;=(C101+T101)),AZ101,0),IF(AND(NOT(AND(AU101=1,AT101&lt;&gt;1)),ISNUMBER(AM101),AM101&lt;=(C101+T101)),BA101,0),IF(AND(NOT(AND(AU101=1,AT101&lt;&gt;1)),ISNUMBER(AN101),AN101&lt;=(C101+T101)),BB101,0),IF(AND(ISNUMBER(AO101),AO101&lt;=(C101+T101)),BC101,0))),"SK",IF(AND(IF(AND(NOT(AND(AU101=1,AT101&lt;&gt;1)),ISNUMBER(AL101),AL101&lt;=(C101+T101)),AZ101,0)&gt;0,IF(AND(NOT(AND(AU101=1,AT101&lt;&gt;1)),ISNUMBER(AL101),AL101&lt;=(C101+T101)),AZ101,0)=MAX(IF(AND(NOT(AND(AU101=1,AT101&lt;&gt;1)),ISNUMBER(AK101),AK101&lt;=(C101+T101)),AY101,0),IF(AND(NOT(AND(AU101=1,AT101&lt;&gt;1)),ISNUMBER(AL101),AL101&lt;=(C101+T101)),AZ101,0),IF(AND(NOT(AND(AU101=1,AT101&lt;&gt;1)),ISNUMBER(AM101),AM101&lt;=(C101+T101)),BA101,0),IF(AND(NOT(AND(AU101=1,AT101&lt;&gt;1)),ISNUMBER(AN101),AN101&lt;=(C101+T101)),BB101,0),IF(AND(ISNUMBER(AO101),AO101&lt;=(C101+T101)),BC101,0))),"LB",IF(AND(IF(AND(NOT(AND(AU101=1,AT101&lt;&gt;1)),ISNUMBER(AM101),AM101&lt;=(C101+T101)),BA101,0)&gt;0,IF(AND(NOT(AND(AU101=1,AT101&lt;&gt;1)),ISNUMBER(AM101),AM101&lt;=(C101+T101)),BA101,0)=MAX(IF(AND(NOT(AND(AU101=1,AT101&lt;&gt;1)),ISNUMBER(AK101),AK101&lt;=(C101+T101)),AY101,0),IF(AND(NOT(AND(AU101=1,AT101&lt;&gt;1)),ISNUMBER(AL101),AL101&lt;=(C101+T101)),AZ101,0),IF(AND(NOT(AND(AU101=1,AT101&lt;&gt;1)),ISNUMBER(AM101),AM101&lt;=(C101+T101)),BA101,0),IF(AND(NOT(AND(AU101=1,AT101&lt;&gt;1)),ISNUMBER(AN101),AN101&lt;=(C101+T101)),BB101,0),IF(AND(ISNUMBER(AO101),AO101&lt;=(C101+T101)),BC101,0))),"ML",IF(AND(IF(AND(NOT(AND(AU101=1,AT101&lt;&gt;1)),ISNUMBER(AN101),AN101&lt;=(C101+T101)),BB101,0)&gt;0,IF(AND(NOT(AND(AU101=1,AT101&lt;&gt;1)),ISNUMBER(AN101),AN101&lt;=(C101+T101)),BB101,0)=MAX(IF(AND(NOT(AND(AU101=1,AT101&lt;&gt;1)),ISNUMBER(AK101),AK101&lt;=(C101+T101)),AY101,0),IF(AND(NOT(AND(AU101=1,AT101&lt;&gt;1)),ISNUMBER(AL101),AL101&lt;=(C101+T101)),AZ101,0),IF(AND(NOT(AND(AU101=1,AT101&lt;&gt;1)),ISNUMBER(AM101),AM101&lt;=(C101+T101)),BA101,0),IF(AND(NOT(AND(AU101=1,AT101&lt;&gt;1)),ISNUMBER(AN101),AN101&lt;=(C101+T101)),BB101,0),IF(AND(ISNUMBER(AO101),AO101&lt;=(C101+T101)),BC101,0))),"RLO","BD"))))))))</f>
        <v/>
      </c>
    </row>
    <row r="102">
      <c r="A102" s="26" t="n">
        <v>91</v>
      </c>
      <c r="B102" s="27">
        <f>A102*10/60</f>
        <v/>
      </c>
      <c r="C102" s="22">
        <f>X101</f>
        <v/>
      </c>
      <c r="D102" s="27">
        <f>D101+W101</f>
        <v/>
      </c>
      <c r="E102" s="26">
        <f>E101+IF(U101="SK",1,0)</f>
        <v/>
      </c>
      <c r="F102" s="26">
        <f>F101+IF(U101="LB",1,0)</f>
        <v/>
      </c>
      <c r="G102" s="26">
        <f>G101+IF(U101="ML",1,0)</f>
        <v/>
      </c>
      <c r="H102" s="26">
        <f>H101+IF(U101="RLO",1,0)</f>
        <v/>
      </c>
      <c r="I102" s="26">
        <f>I101+IF(U101="BD",1,0)</f>
        <v/>
      </c>
      <c r="J102" s="26">
        <f>MAX(J101,IF(U101="BiP",1,0))</f>
        <v/>
      </c>
      <c r="K102" s="26">
        <f>MAX(K101,IF(U101="PV",1,0))</f>
        <v/>
      </c>
      <c r="L102" s="26">
        <f>MAX(L101,IF(U101="OC",1,0))</f>
        <v/>
      </c>
      <c r="M102" s="26">
        <f>MAX(M101,IF(U101="MG",1,0))</f>
        <v/>
      </c>
      <c r="N102" s="26">
        <f>MAX(N101,IF(U101="transition",1,0))</f>
        <v/>
      </c>
      <c r="O102" s="28">
        <f>(Parameters!$B$9+(IF(E102=0,0,(Upgrades!$J$13+E102*Upgrades!$K$13)*POWER(Upgrades!$L$13,E102)))*(IF(Upgrades!$T$14="Stellar Kinematics",POWER(Upgrades!$U$14,F102),1)*IF(Upgrades!$T$15="Stellar Kinematics",POWER(Upgrades!$U$15,G102),1)*IF(Upgrades!$T$16="Stellar Kinematics",POWER(Upgrades!$U$16,H102),1)*IF(Upgrades!$T$17="Stellar Kinematics",POWER(Upgrades!$U$17,I102),1)*IF(Upgrades!$T$18="Stellar Kinematics",POWER(Upgrades!$U$18,J102),1)*IF(Upgrades!$T$19="Stellar Kinematics",POWER(Upgrades!$U$19,K102),1)*IF(Upgrades!$T$20="Stellar Kinematics",POWER(Upgrades!$U$20,L102),1)*IF(Upgrades!$T$21="Stellar Kinematics",POWER(Upgrades!$U$21,M102),1))+(IF(F102=0,0,(Upgrades!$J$14+F102*Upgrades!$K$14)*POWER(Upgrades!$L$14,F102)))*(IF(Upgrades!$T$13="Local Bubble",POWER(Upgrades!$U$13,E102),1)*IF(Upgrades!$T$15="Local Bubble",POWER(Upgrades!$U$15,G102),1)*IF(Upgrades!$T$16="Local Bubble",POWER(Upgrades!$U$16,H102),1)*IF(Upgrades!$T$17="Local Bubble",POWER(Upgrades!$U$17,I102),1)*IF(Upgrades!$T$18="Local Bubble",POWER(Upgrades!$U$18,J102),1)*IF(Upgrades!$T$19="Local Bubble",POWER(Upgrades!$U$19,K102),1)*IF(Upgrades!$T$20="Local Bubble",POWER(Upgrades!$U$20,L102),1)*IF(Upgrades!$T$21="Local Bubble",POWER(Upgrades!$U$21,M102),1))+(IF(G102=0,0,(Upgrades!$J$15+G102*Upgrades!$K$15)*POWER(Upgrades!$L$15,G102)))*(IF(Upgrades!$T$13="Microlensing",POWER(Upgrades!$U$13,E102),1)*IF(Upgrades!$T$14="Microlensing",POWER(Upgrades!$U$14,F102),1)*IF(Upgrades!$T$16="Microlensing",POWER(Upgrades!$U$16,H102),1)*IF(Upgrades!$T$17="Microlensing",POWER(Upgrades!$U$17,I102),1)*IF(Upgrades!$T$18="Microlensing",POWER(Upgrades!$U$18,J102),1)*IF(Upgrades!$T$19="Microlensing",POWER(Upgrades!$U$19,K102),1)*IF(Upgrades!$T$20="Microlensing",POWER(Upgrades!$U$20,L102),1)*IF(Upgrades!$T$21="Microlensing",POWER(Upgrades!$U$21,M102),1))+(IF(H102=0,0,(Upgrades!$J$16+H102*Upgrades!$K$16)*POWER(Upgrades!$L$16,H102)))*(IF(Upgrades!$T$13="Roche Lobe Overflow",POWER(Upgrades!$U$13,E102),1)*IF(Upgrades!$T$14="Roche Lobe Overflow",POWER(Upgrades!$U$14,F102),1)*IF(Upgrades!$T$15="Roche Lobe Overflow",POWER(Upgrades!$U$15,G102),1)*IF(Upgrades!$T$17="Roche Lobe Overflow",POWER(Upgrades!$U$17,I102),1)*IF(Upgrades!$T$18="Roche Lobe Overflow",POWER(Upgrades!$U$18,J102),1)*IF(Upgrades!$T$19="Roche Lobe Overflow",POWER(Upgrades!$U$19,K102),1)*IF(Upgrades!$T$20="Roche Lobe Overflow",POWER(Upgrades!$U$20,L102),1)*IF(Upgrades!$T$21="Roche Lobe Overflow",POWER(Upgrades!$U$21,M102),1))+(IF(I102=0,0,(Upgrades!$J$17+I102*Upgrades!$K$17)*POWER(Upgrades!$L$17,I102)))*(IF(Upgrades!$T$13="Brown Dwarf",POWER(Upgrades!$U$13,E102),1)*IF(Upgrades!$T$14="Brown Dwarf",POWER(Upgrades!$U$14,F102),1)*IF(Upgrades!$T$15="Brown Dwarf",POWER(Upgrades!$U$15,G102),1)*IF(Upgrades!$T$16="Brown Dwarf",POWER(Upgrades!$U$16,H102),1)*IF(Upgrades!$T$18="Brown Dwarf",POWER(Upgrades!$U$18,J102),1)*IF(Upgrades!$T$19="Brown Dwarf",POWER(Upgrades!$U$19,K102),1)*IF(Upgrades!$T$20="Brown Dwarf",POWER(Upgrades!$U$20,L102),1)*IF(Upgrades!$T$21="Brown Dwarf",POWER(Upgrades!$U$21,M102),1))+(IF(J102=0,0,(Upgrades!$J$18+J102*Upgrades!$K$18)*POWER(Upgrades!$L$18,J102)))*(IF(Upgrades!$T$13="Binary Partner",POWER(Upgrades!$U$13,E102),1)*IF(Upgrades!$T$14="Binary Partner",POWER(Upgrades!$U$14,F102),1)*IF(Upgrades!$T$15="Binary Partner",POWER(Upgrades!$U$15,G102),1)*IF(Upgrades!$T$16="Binary Partner",POWER(Upgrades!$U$16,H102),1)*IF(Upgrades!$T$17="Binary Partner",POWER(Upgrades!$U$17,I102),1)*IF(Upgrades!$T$19="Binary Partner",POWER(Upgrades!$U$19,K102),1)*IF(Upgrades!$T$20="Binary Partner",POWER(Upgrades!$U$20,L102),1)*IF(Upgrades!$T$21="Binary Partner",POWER(Upgrades!$U$21,M102),1))+(IF(K102=0,0,(Upgrades!$J$19+K102*Upgrades!$K$19)*POWER(Upgrades!$L$19,K102)))*(IF(Upgrades!$T$13="Peculiar Velocity",POWER(Upgrades!$U$13,E102),1)*IF(Upgrades!$T$14="Peculiar Velocity",POWER(Upgrades!$U$14,F102),1)*IF(Upgrades!$T$15="Peculiar Velocity",POWER(Upgrades!$U$15,G102),1)*IF(Upgrades!$T$16="Peculiar Velocity",POWER(Upgrades!$U$16,H102),1)*IF(Upgrades!$T$17="Peculiar Velocity",POWER(Upgrades!$U$17,I102),1)*IF(Upgrades!$T$18="Peculiar Velocity",POWER(Upgrades!$U$18,J102),1)*IF(Upgrades!$T$20="Peculiar Velocity",POWER(Upgrades!$U$20,L102),1)*IF(Upgrades!$T$21="Peculiar Velocity",POWER(Upgrades!$U$21,M102),1))+(IF(L102=0,0,(Upgrades!$J$20+L102*Upgrades!$K$20)*POWER(Upgrades!$L$20,L102)))*(IF(Upgrades!$T$13="Open Cluster",POWER(Upgrades!$U$13,E102),1)*IF(Upgrades!$T$14="Open Cluster",POWER(Upgrades!$U$14,F102),1)*IF(Upgrades!$T$15="Open Cluster",POWER(Upgrades!$U$15,G102),1)*IF(Upgrades!$T$16="Open Cluster",POWER(Upgrades!$U$16,H102),1)*IF(Upgrades!$T$17="Open Cluster",POWER(Upgrades!$U$17,I102),1)*IF(Upgrades!$T$18="Open Cluster",POWER(Upgrades!$U$18,J102),1)*IF(Upgrades!$T$19="Open Cluster",POWER(Upgrades!$U$19,K102),1)*IF(Upgrades!$T$21="Open Cluster",POWER(Upgrades!$U$21,M102),1))+(IF(M102=0,0,(Upgrades!$J$21+M102*Upgrades!$K$21)*POWER(Upgrades!$L$21,M102)))*(IF(Upgrades!$T$13="Moving Group",POWER(Upgrades!$U$13,E102),1)*IF(Upgrades!$T$14="Moving Group",POWER(Upgrades!$U$14,F102),1)*IF(Upgrades!$T$15="Moving Group",POWER(Upgrades!$U$15,G102),1)*IF(Upgrades!$T$16="Moving Group",POWER(Upgrades!$U$16,H102),1)*IF(Upgrades!$T$17="Moving Group",POWER(Upgrades!$U$17,I102),1)*IF(Upgrades!$T$18="Moving Group",POWER(Upgrades!$U$18,J102),1)*IF(Upgrades!$T$19="Moving Group",POWER(Upgrades!$U$19,K102),1)*IF(Upgrades!$T$20="Moving Group",POWER(Upgrades!$U$20,L102),1)))*POWER(Upgrades!$Q$13,E102)*POWER(Upgrades!$Q$14,F102)*POWER(Upgrades!$Q$15,G102)*POWER(Upgrades!$Q$16,H102)*POWER(Upgrades!$Q$17,I102)*POWER(Upgrades!$Q$18,J102)*POWER(Upgrades!$Q$19,K102)*POWER(Upgrades!$Q$20,L102)*POWER(Upgrades!$Q$21,M102)*$G$6+$D$6</f>
        <v/>
      </c>
      <c r="P102" s="28">
        <f>((IF(E102=0,0,(Upgrades!$G$13+E102*Upgrades!$H$13)*POWER(Upgrades!$I$13,E102)))*(IF(Upgrades!$T$14="Stellar Kinematics",POWER(Upgrades!$U$14,F102),1)*IF(Upgrades!$T$15="Stellar Kinematics",POWER(Upgrades!$U$15,G102),1)*IF(Upgrades!$T$16="Stellar Kinematics",POWER(Upgrades!$U$16,H102),1)*IF(Upgrades!$T$17="Stellar Kinematics",POWER(Upgrades!$U$17,I102),1)*IF(Upgrades!$T$18="Stellar Kinematics",POWER(Upgrades!$U$18,J102),1)*IF(Upgrades!$T$19="Stellar Kinematics",POWER(Upgrades!$U$19,K102),1)*IF(Upgrades!$T$20="Stellar Kinematics",POWER(Upgrades!$U$20,L102),1)*IF(Upgrades!$T$21="Stellar Kinematics",POWER(Upgrades!$U$21,M102),1))+(IF(F102=0,0,(Upgrades!$G$14+F102*Upgrades!$H$14)*POWER(Upgrades!$I$14,F102)))*(IF(Upgrades!$T$13="Local Bubble",POWER(Upgrades!$U$13,E102),1)*IF(Upgrades!$T$15="Local Bubble",POWER(Upgrades!$U$15,G102),1)*IF(Upgrades!$T$16="Local Bubble",POWER(Upgrades!$U$16,H102),1)*IF(Upgrades!$T$17="Local Bubble",POWER(Upgrades!$U$17,I102),1)*IF(Upgrades!$T$18="Local Bubble",POWER(Upgrades!$U$18,J102),1)*IF(Upgrades!$T$19="Local Bubble",POWER(Upgrades!$U$19,K102),1)*IF(Upgrades!$T$20="Local Bubble",POWER(Upgrades!$U$20,L102),1)*IF(Upgrades!$T$21="Local Bubble",POWER(Upgrades!$U$21,M102),1))+(IF(G102=0,0,(Upgrades!$G$15+G102*Upgrades!$H$15)*POWER(Upgrades!$I$15,G102)))*(IF(Upgrades!$T$13="Microlensing",POWER(Upgrades!$U$13,E102),1)*IF(Upgrades!$T$14="Microlensing",POWER(Upgrades!$U$14,F102),1)*IF(Upgrades!$T$16="Microlensing",POWER(Upgrades!$U$16,H102),1)*IF(Upgrades!$T$17="Microlensing",POWER(Upgrades!$U$17,I102),1)*IF(Upgrades!$T$18="Microlensing",POWER(Upgrades!$U$18,J102),1)*IF(Upgrades!$T$19="Microlensing",POWER(Upgrades!$U$19,K102),1)*IF(Upgrades!$T$20="Microlensing",POWER(Upgrades!$U$20,L102),1)*IF(Upgrades!$T$21="Microlensing",POWER(Upgrades!$U$21,M102),1))+(IF(H102=0,0,(Upgrades!$G$16+H102*Upgrades!$H$16)*POWER(Upgrades!$I$16,H102)))*(IF(Upgrades!$T$13="Roche Lobe Overflow",POWER(Upgrades!$U$13,E102),1)*IF(Upgrades!$T$14="Roche Lobe Overflow",POWER(Upgrades!$U$14,F102),1)*IF(Upgrades!$T$15="Roche Lobe Overflow",POWER(Upgrades!$U$15,G102),1)*IF(Upgrades!$T$17="Roche Lobe Overflow",POWER(Upgrades!$U$17,I102),1)*IF(Upgrades!$T$18="Roche Lobe Overflow",POWER(Upgrades!$U$18,J102),1)*IF(Upgrades!$T$19="Roche Lobe Overflow",POWER(Upgrades!$U$19,K102),1)*IF(Upgrades!$T$20="Roche Lobe Overflow",POWER(Upgrades!$U$20,L102),1)*IF(Upgrades!$T$21="Roche Lobe Overflow",POWER(Upgrades!$U$21,M102),1))+(IF(I102=0,0,(Upgrades!$G$17+I102*Upgrades!$H$17)*POWER(Upgrades!$I$17,I102)))*(IF(Upgrades!$T$13="Brown Dwarf",POWER(Upgrades!$U$13,E102),1)*IF(Upgrades!$T$14="Brown Dwarf",POWER(Upgrades!$U$14,F102),1)*IF(Upgrades!$T$15="Brown Dwarf",POWER(Upgrades!$U$15,G102),1)*IF(Upgrades!$T$16="Brown Dwarf",POWER(Upgrades!$U$16,H102),1)*IF(Upgrades!$T$18="Brown Dwarf",POWER(Upgrades!$U$18,J102),1)*IF(Upgrades!$T$19="Brown Dwarf",POWER(Upgrades!$U$19,K102),1)*IF(Upgrades!$T$20="Brown Dwarf",POWER(Upgrades!$U$20,L102),1)*IF(Upgrades!$T$21="Brown Dwarf",POWER(Upgrades!$U$21,M102),1))+(IF(J102=0,0,(Upgrades!$G$18+J102*Upgrades!$H$18)*POWER(Upgrades!$I$18,J102)))*(IF(Upgrades!$T$13="Binary Partner",POWER(Upgrades!$U$13,E102),1)*IF(Upgrades!$T$14="Binary Partner",POWER(Upgrades!$U$14,F102),1)*IF(Upgrades!$T$15="Binary Partner",POWER(Upgrades!$U$15,G102),1)*IF(Upgrades!$T$16="Binary Partner",POWER(Upgrades!$U$16,H102),1)*IF(Upgrades!$T$17="Binary Partner",POWER(Upgrades!$U$17,I102),1)*IF(Upgrades!$T$19="Binary Partner",POWER(Upgrades!$U$19,K102),1)*IF(Upgrades!$T$20="Binary Partner",POWER(Upgrades!$U$20,L102),1)*IF(Upgrades!$T$21="Binary Partner",POWER(Upgrades!$U$21,M102),1))+(IF(K102=0,0,(Upgrades!$G$19+K102*Upgrades!$H$19)*POWER(Upgrades!$I$19,K102)))*(IF(Upgrades!$T$13="Peculiar Velocity",POWER(Upgrades!$U$13,E102),1)*IF(Upgrades!$T$14="Peculiar Velocity",POWER(Upgrades!$U$14,F102),1)*IF(Upgrades!$T$15="Peculiar Velocity",POWER(Upgrades!$U$15,G102),1)*IF(Upgrades!$T$16="Peculiar Velocity",POWER(Upgrades!$U$16,H102),1)*IF(Upgrades!$T$17="Peculiar Velocity",POWER(Upgrades!$U$17,I102),1)*IF(Upgrades!$T$18="Peculiar Velocity",POWER(Upgrades!$U$18,J102),1)*IF(Upgrades!$T$20="Peculiar Velocity",POWER(Upgrades!$U$20,L102),1)*IF(Upgrades!$T$21="Peculiar Velocity",POWER(Upgrades!$U$21,M102),1))+(IF(L102=0,0,(Upgrades!$G$20+L102*Upgrades!$H$20)*POWER(Upgrades!$I$20,L102)))*(IF(Upgrades!$T$13="Open Cluster",POWER(Upgrades!$U$13,E102),1)*IF(Upgrades!$T$14="Open Cluster",POWER(Upgrades!$U$14,F102),1)*IF(Upgrades!$T$15="Open Cluster",POWER(Upgrades!$U$15,G102),1)*IF(Upgrades!$T$16="Open Cluster",POWER(Upgrades!$U$16,H102),1)*IF(Upgrades!$T$17="Open Cluster",POWER(Upgrades!$U$17,I102),1)*IF(Upgrades!$T$18="Open Cluster",POWER(Upgrades!$U$18,J102),1)*IF(Upgrades!$T$19="Open Cluster",POWER(Upgrades!$U$19,K102),1)*IF(Upgrades!$T$21="Open Cluster",POWER(Upgrades!$U$21,M102),1))+(IF(M102=0,0,(Upgrades!$G$21+M102*Upgrades!$H$21)*POWER(Upgrades!$I$21,M102)))*(IF(Upgrades!$T$13="Moving Group",POWER(Upgrades!$U$13,E102),1)*IF(Upgrades!$T$14="Moving Group",POWER(Upgrades!$U$14,F102),1)*IF(Upgrades!$T$15="Moving Group",POWER(Upgrades!$U$15,G102),1)*IF(Upgrades!$T$16="Moving Group",POWER(Upgrades!$U$16,H102),1)*IF(Upgrades!$T$17="Moving Group",POWER(Upgrades!$U$17,I102),1)*IF(Upgrades!$T$18="Moving Group",POWER(Upgrades!$U$18,J102),1)*IF(Upgrades!$T$19="Moving Group",POWER(Upgrades!$U$19,K102),1)*IF(Upgrades!$T$20="Moving Group",POWER(Upgrades!$U$20,L102),1)))*POWER(Upgrades!$P$13,E102)*POWER(Upgrades!$P$14,F102)*POWER(Upgrades!$P$15,G102)*POWER(Upgrades!$P$16,H102)*POWER(Upgrades!$P$17,I102)*POWER(Upgrades!$P$18,J102)*POWER(Upgrades!$P$19,K102)*POWER(Upgrades!$P$20,L102)*POWER(Upgrades!$P$21,M102)*$F$6+$C$6</f>
        <v/>
      </c>
      <c r="Q102" s="28">
        <f>((IF(E102=0,0,(Upgrades!$M$13+E102*Upgrades!$N$13)*POWER(Upgrades!$O$13,E102)))*(IF(Upgrades!$T$14="Stellar Kinematics",POWER(Upgrades!$U$14,F102),1)*IF(Upgrades!$T$15="Stellar Kinematics",POWER(Upgrades!$U$15,G102),1)*IF(Upgrades!$T$16="Stellar Kinematics",POWER(Upgrades!$U$16,H102),1)*IF(Upgrades!$T$17="Stellar Kinematics",POWER(Upgrades!$U$17,I102),1)*IF(Upgrades!$T$18="Stellar Kinematics",POWER(Upgrades!$U$18,J102),1)*IF(Upgrades!$T$19="Stellar Kinematics",POWER(Upgrades!$U$19,K102),1)*IF(Upgrades!$T$20="Stellar Kinematics",POWER(Upgrades!$U$20,L102),1)*IF(Upgrades!$T$21="Stellar Kinematics",POWER(Upgrades!$U$21,M102),1))+(IF(F102=0,0,(Upgrades!$M$14+F102*Upgrades!$N$14)*POWER(Upgrades!$O$14,F102)))*(IF(Upgrades!$T$13="Local Bubble",POWER(Upgrades!$U$13,E102),1)*IF(Upgrades!$T$15="Local Bubble",POWER(Upgrades!$U$15,G102),1)*IF(Upgrades!$T$16="Local Bubble",POWER(Upgrades!$U$16,H102),1)*IF(Upgrades!$T$17="Local Bubble",POWER(Upgrades!$U$17,I102),1)*IF(Upgrades!$T$18="Local Bubble",POWER(Upgrades!$U$18,J102),1)*IF(Upgrades!$T$19="Local Bubble",POWER(Upgrades!$U$19,K102),1)*IF(Upgrades!$T$20="Local Bubble",POWER(Upgrades!$U$20,L102),1)*IF(Upgrades!$T$21="Local Bubble",POWER(Upgrades!$U$21,M102),1))+(IF(G102=0,0,(Upgrades!$M$15+G102*Upgrades!$N$15)*POWER(Upgrades!$O$15,G102)))*(IF(Upgrades!$T$13="Microlensing",POWER(Upgrades!$U$13,E102),1)*IF(Upgrades!$T$14="Microlensing",POWER(Upgrades!$U$14,F102),1)*IF(Upgrades!$T$16="Microlensing",POWER(Upgrades!$U$16,H102),1)*IF(Upgrades!$T$17="Microlensing",POWER(Upgrades!$U$17,I102),1)*IF(Upgrades!$T$18="Microlensing",POWER(Upgrades!$U$18,J102),1)*IF(Upgrades!$T$19="Microlensing",POWER(Upgrades!$U$19,K102),1)*IF(Upgrades!$T$20="Microlensing",POWER(Upgrades!$U$20,L102),1)*IF(Upgrades!$T$21="Microlensing",POWER(Upgrades!$U$21,M102),1))+(IF(H102=0,0,(Upgrades!$M$16+H102*Upgrades!$N$16)*POWER(Upgrades!$O$16,H102)))*(IF(Upgrades!$T$13="Roche Lobe Overflow",POWER(Upgrades!$U$13,E102),1)*IF(Upgrades!$T$14="Roche Lobe Overflow",POWER(Upgrades!$U$14,F102),1)*IF(Upgrades!$T$15="Roche Lobe Overflow",POWER(Upgrades!$U$15,G102),1)*IF(Upgrades!$T$17="Roche Lobe Overflow",POWER(Upgrades!$U$17,I102),1)*IF(Upgrades!$T$18="Roche Lobe Overflow",POWER(Upgrades!$U$18,J102),1)*IF(Upgrades!$T$19="Roche Lobe Overflow",POWER(Upgrades!$U$19,K102),1)*IF(Upgrades!$T$20="Roche Lobe Overflow",POWER(Upgrades!$U$20,L102),1)*IF(Upgrades!$T$21="Roche Lobe Overflow",POWER(Upgrades!$U$21,M102),1))+(IF(I102=0,0,(Upgrades!$M$17+I102*Upgrades!$N$17)*POWER(Upgrades!$O$17,I102)))*(IF(Upgrades!$T$13="Brown Dwarf",POWER(Upgrades!$U$13,E102),1)*IF(Upgrades!$T$14="Brown Dwarf",POWER(Upgrades!$U$14,F102),1)*IF(Upgrades!$T$15="Brown Dwarf",POWER(Upgrades!$U$15,G102),1)*IF(Upgrades!$T$16="Brown Dwarf",POWER(Upgrades!$U$16,H102),1)*IF(Upgrades!$T$18="Brown Dwarf",POWER(Upgrades!$U$18,J102),1)*IF(Upgrades!$T$19="Brown Dwarf",POWER(Upgrades!$U$19,K102),1)*IF(Upgrades!$T$20="Brown Dwarf",POWER(Upgrades!$U$20,L102),1)*IF(Upgrades!$T$21="Brown Dwarf",POWER(Upgrades!$U$21,M102),1))+(IF(J102=0,0,(Upgrades!$M$18+J102*Upgrades!$N$18)*POWER(Upgrades!$O$18,J102)))*(IF(Upgrades!$T$13="Binary Partner",POWER(Upgrades!$U$13,E102),1)*IF(Upgrades!$T$14="Binary Partner",POWER(Upgrades!$U$14,F102),1)*IF(Upgrades!$T$15="Binary Partner",POWER(Upgrades!$U$15,G102),1)*IF(Upgrades!$T$16="Binary Partner",POWER(Upgrades!$U$16,H102),1)*IF(Upgrades!$T$17="Binary Partner",POWER(Upgrades!$U$17,I102),1)*IF(Upgrades!$T$19="Binary Partner",POWER(Upgrades!$U$19,K102),1)*IF(Upgrades!$T$20="Binary Partner",POWER(Upgrades!$U$20,L102),1)*IF(Upgrades!$T$21="Binary Partner",POWER(Upgrades!$U$21,M102),1))+(IF(K102=0,0,(Upgrades!$M$19+K102*Upgrades!$N$19)*POWER(Upgrades!$O$19,K102)))*(IF(Upgrades!$T$13="Peculiar Velocity",POWER(Upgrades!$U$13,E102),1)*IF(Upgrades!$T$14="Peculiar Velocity",POWER(Upgrades!$U$14,F102),1)*IF(Upgrades!$T$15="Peculiar Velocity",POWER(Upgrades!$U$15,G102),1)*IF(Upgrades!$T$16="Peculiar Velocity",POWER(Upgrades!$U$16,H102),1)*IF(Upgrades!$T$17="Peculiar Velocity",POWER(Upgrades!$U$17,I102),1)*IF(Upgrades!$T$18="Peculiar Velocity",POWER(Upgrades!$U$18,J102),1)*IF(Upgrades!$T$20="Peculiar Velocity",POWER(Upgrades!$U$20,L102),1)*IF(Upgrades!$T$21="Peculiar Velocity",POWER(Upgrades!$U$21,M102),1))+(IF(L102=0,0,(Upgrades!$M$20+L102*Upgrades!$N$20)*POWER(Upgrades!$O$20,L102)))*(IF(Upgrades!$T$13="Open Cluster",POWER(Upgrades!$U$13,E102),1)*IF(Upgrades!$T$14="Open Cluster",POWER(Upgrades!$U$14,F102),1)*IF(Upgrades!$T$15="Open Cluster",POWER(Upgrades!$U$15,G102),1)*IF(Upgrades!$T$16="Open Cluster",POWER(Upgrades!$U$16,H102),1)*IF(Upgrades!$T$17="Open Cluster",POWER(Upgrades!$U$17,I102),1)*IF(Upgrades!$T$18="Open Cluster",POWER(Upgrades!$U$18,J102),1)*IF(Upgrades!$T$19="Open Cluster",POWER(Upgrades!$U$19,K102),1)*IF(Upgrades!$T$21="Open Cluster",POWER(Upgrades!$U$21,M102),1))+(IF(M102=0,0,(Upgrades!$M$21+M102*Upgrades!$N$21)*POWER(Upgrades!$O$21,M102)))*(IF(Upgrades!$T$13="Moving Group",POWER(Upgrades!$U$13,E102),1)*IF(Upgrades!$T$14="Moving Group",POWER(Upgrades!$U$14,F102),1)*IF(Upgrades!$T$15="Moving Group",POWER(Upgrades!$U$15,G102),1)*IF(Upgrades!$T$16="Moving Group",POWER(Upgrades!$U$16,H102),1)*IF(Upgrades!$T$17="Moving Group",POWER(Upgrades!$U$17,I102),1)*IF(Upgrades!$T$18="Moving Group",POWER(Upgrades!$U$18,J102),1)*IF(Upgrades!$T$19="Moving Group",POWER(Upgrades!$U$19,K102),1)*IF(Upgrades!$T$20="Moving Group",POWER(Upgrades!$U$20,L102),1)))*POWER(Upgrades!$R$13,E102)*POWER(Upgrades!$R$14,F102)*POWER(Upgrades!$R$15,G102)*POWER(Upgrades!$R$16,H102)*POWER(Upgrades!$R$17,I102)*POWER(Upgrades!$R$18,J102)*POWER(Upgrades!$R$19,K102)*POWER(Upgrades!$R$20,L102)*POWER(Upgrades!$R$21,M102)*$H$6+$E$6</f>
        <v/>
      </c>
      <c r="R102" s="27">
        <f>IF(N102=1,0,O102*Parameters!$B$10/60*Parameters!$B$11*10)</f>
        <v/>
      </c>
      <c r="S102" s="27">
        <f>IF(N102=1,0,Q102*O102*10)</f>
        <v/>
      </c>
      <c r="T102" s="27">
        <f>IF(N102=1,0,R102+S102+P102*10)</f>
        <v/>
      </c>
      <c r="U102" s="33">
        <f>BE102</f>
        <v/>
      </c>
      <c r="V102" s="22">
        <f>IF(U102="",0,IF(U102="transition",0,IF(U102="SK",AK102,IF(U102="LB",AL102,IF(U102="ML",AM102,IF(U102="RLO",AN102,IF(U102="BD",AO102,IF(U102="BiP",AP102,IF(U102="PV",AQ102,IF(U102="OC",AR102,IF(U102="MG",AS102,0))))))))))</f>
        <v/>
      </c>
      <c r="W102" s="27">
        <f>IF(U102="BiP",Upgrades!$F$18,IF(U102="PV",Upgrades!$F$19,IF(U102="OC",Upgrades!$F$20,IF(U102="MG",Upgrades!$F$21,IF(U102="transition",-Parameters!$B$18*Parameters!$B$19,0)))))</f>
        <v/>
      </c>
      <c r="X102" s="22">
        <f>C102+T102-V102</f>
        <v/>
      </c>
      <c r="Y102" s="30">
        <f>O102*Parameters!$B$10/60*Parameters!$B$11+Q102*O102+P102</f>
        <v/>
      </c>
      <c r="Z102" s="34">
        <f>IF(U102="transition","→ Tier 3 (Galactic Arm)",IF(U102="MG","Moving Group — pocket drifts together",IF(U102="OC","Open Cluster acquired",IF(U102="PV","Peculiar Velocity — passive multiplier active",IF(U102="BiP","Binary Partner — pair bond formed",IF(AND(AU102=1,N102=0,AT102&lt;&gt;1),"Cohesion ready (waiting on completionists)","")))))) </f>
        <v/>
      </c>
      <c r="AA102" s="27">
        <f>(IF(E102=0,0,(Upgrades!$G$13+E102*Upgrades!$H$13)*POWER(Upgrades!$I$13,E102)))*(IF(Upgrades!$T$14="Stellar Kinematics",POWER(Upgrades!$U$14,F102),1)*IF(Upgrades!$T$15="Stellar Kinematics",POWER(Upgrades!$U$15,G102),1)*IF(Upgrades!$T$16="Stellar Kinematics",POWER(Upgrades!$U$16,H102),1)*IF(Upgrades!$T$17="Stellar Kinematics",POWER(Upgrades!$U$17,I102),1)*IF(Upgrades!$T$18="Stellar Kinematics",POWER(Upgrades!$U$18,J102),1)*IF(Upgrades!$T$19="Stellar Kinematics",POWER(Upgrades!$U$19,K102),1)*IF(Upgrades!$T$20="Stellar Kinematics",POWER(Upgrades!$U$20,L102),1)*IF(Upgrades!$T$21="Stellar Kinematics",POWER(Upgrades!$U$21,M102),1))*POWER(Upgrades!$P$13,E102)*POWER(Upgrades!$P$14,F102)*POWER(Upgrades!$P$15,G102)*POWER(Upgrades!$P$16,H102)*POWER(Upgrades!$P$17,I102)*POWER(Upgrades!$P$18,J102)*POWER(Upgrades!$P$19,K102)*POWER(Upgrades!$P$20,L102)*POWER(Upgrades!$P$21,M102)*$F$6*60</f>
        <v/>
      </c>
      <c r="AB102" s="27">
        <f>(IF(F102=0,0,(Upgrades!$G$14+F102*Upgrades!$H$14)*POWER(Upgrades!$I$14,F102)))*(IF(Upgrades!$T$13="Local Bubble",POWER(Upgrades!$U$13,E102),1)*IF(Upgrades!$T$15="Local Bubble",POWER(Upgrades!$U$15,G102),1)*IF(Upgrades!$T$16="Local Bubble",POWER(Upgrades!$U$16,H102),1)*IF(Upgrades!$T$17="Local Bubble",POWER(Upgrades!$U$17,I102),1)*IF(Upgrades!$T$18="Local Bubble",POWER(Upgrades!$U$18,J102),1)*IF(Upgrades!$T$19="Local Bubble",POWER(Upgrades!$U$19,K102),1)*IF(Upgrades!$T$20="Local Bubble",POWER(Upgrades!$U$20,L102),1)*IF(Upgrades!$T$21="Local Bubble",POWER(Upgrades!$U$21,M102),1))*POWER(Upgrades!$P$13,E102)*POWER(Upgrades!$P$14,F102)*POWER(Upgrades!$P$15,G102)*POWER(Upgrades!$P$16,H102)*POWER(Upgrades!$P$17,I102)*POWER(Upgrades!$P$18,J102)*POWER(Upgrades!$P$19,K102)*POWER(Upgrades!$P$20,L102)*POWER(Upgrades!$P$21,M102)*$F$6*60</f>
        <v/>
      </c>
      <c r="AC102" s="27">
        <f>(IF(G102=0,0,(Upgrades!$J$15+G102*Upgrades!$K$15)*POWER(Upgrades!$L$15,G102)))*(IF(Upgrades!$T$13="Microlensing",POWER(Upgrades!$U$13,E102),1)*IF(Upgrades!$T$14="Microlensing",POWER(Upgrades!$U$14,F102),1)*IF(Upgrades!$T$16="Microlensing",POWER(Upgrades!$U$16,H102),1)*IF(Upgrades!$T$17="Microlensing",POWER(Upgrades!$U$17,I102),1)*IF(Upgrades!$T$18="Microlensing",POWER(Upgrades!$U$18,J102),1)*IF(Upgrades!$T$19="Microlensing",POWER(Upgrades!$U$19,K102),1)*IF(Upgrades!$T$20="Microlensing",POWER(Upgrades!$U$20,L102),1)*IF(Upgrades!$T$21="Microlensing",POWER(Upgrades!$U$21,M102),1))*POWER(Upgrades!$Q$13,E102)*POWER(Upgrades!$Q$14,F102)*POWER(Upgrades!$Q$15,G102)*POWER(Upgrades!$Q$16,H102)*POWER(Upgrades!$Q$17,I102)*POWER(Upgrades!$Q$18,J102)*POWER(Upgrades!$Q$19,K102)*POWER(Upgrades!$Q$20,L102)*POWER(Upgrades!$Q$21,M102)*$G$6*(Parameters!$B$10*Parameters!$B$11+Q102*60)</f>
        <v/>
      </c>
      <c r="AD102" s="27">
        <f>(IF(H102=0,0,(Upgrades!$M$16+H102*Upgrades!$N$16)*POWER(Upgrades!$O$16,H102)))*(IF(Upgrades!$T$13="Roche Lobe Overflow",POWER(Upgrades!$U$13,E102),1)*IF(Upgrades!$T$14="Roche Lobe Overflow",POWER(Upgrades!$U$14,F102),1)*IF(Upgrades!$T$15="Roche Lobe Overflow",POWER(Upgrades!$U$15,G102),1)*IF(Upgrades!$T$17="Roche Lobe Overflow",POWER(Upgrades!$U$17,I102),1)*IF(Upgrades!$T$18="Roche Lobe Overflow",POWER(Upgrades!$U$18,J102),1)*IF(Upgrades!$T$19="Roche Lobe Overflow",POWER(Upgrades!$U$19,K102),1)*IF(Upgrades!$T$20="Roche Lobe Overflow",POWER(Upgrades!$U$20,L102),1)*IF(Upgrades!$T$21="Roche Lobe Overflow",POWER(Upgrades!$U$21,M102),1))*POWER(Upgrades!$R$13,E102)*POWER(Upgrades!$R$14,F102)*POWER(Upgrades!$R$15,G102)*POWER(Upgrades!$R$16,H102)*POWER(Upgrades!$R$17,I102)*POWER(Upgrades!$R$18,J102)*POWER(Upgrades!$R$19,K102)*POWER(Upgrades!$R$20,L102)*POWER(Upgrades!$R$21,M102)*$H$6*O102*60</f>
        <v/>
      </c>
      <c r="AE102" s="27">
        <f>(IF(I102=0,0,(Upgrades!$G$17+I102*Upgrades!$H$17)*POWER(Upgrades!$I$17,I102)))*(IF(Upgrades!$T$13="Brown Dwarf",POWER(Upgrades!$U$13,E102),1)*IF(Upgrades!$T$14="Brown Dwarf",POWER(Upgrades!$U$14,F102),1)*IF(Upgrades!$T$15="Brown Dwarf",POWER(Upgrades!$U$15,G102),1)*IF(Upgrades!$T$16="Brown Dwarf",POWER(Upgrades!$U$16,H102),1)*IF(Upgrades!$T$18="Brown Dwarf",POWER(Upgrades!$U$18,J102),1)*IF(Upgrades!$T$19="Brown Dwarf",POWER(Upgrades!$U$19,K102),1)*IF(Upgrades!$T$20="Brown Dwarf",POWER(Upgrades!$U$20,L102),1)*IF(Upgrades!$T$21="Brown Dwarf",POWER(Upgrades!$U$21,M102),1))*POWER(Upgrades!$P$13,E102)*POWER(Upgrades!$P$14,F102)*POWER(Upgrades!$P$15,G102)*POWER(Upgrades!$P$16,H102)*POWER(Upgrades!$P$17,I102)*POWER(Upgrades!$P$18,J102)*POWER(Upgrades!$P$19,K102)*POWER(Upgrades!$P$20,L102)*POWER(Upgrades!$P$21,M102)*$F$6*60</f>
        <v/>
      </c>
      <c r="AF102" s="27" t="n">
        <v>0</v>
      </c>
      <c r="AG102" s="27" t="n">
        <v>0</v>
      </c>
      <c r="AH102" s="27" t="n">
        <v>0</v>
      </c>
      <c r="AI102" s="27">
        <f>(IF(M102=0,0,(Upgrades!$G$21+M102*Upgrades!$H$21)*POWER(Upgrades!$I$21,M102)))*(IF(Upgrades!$T$13="Moving Group",POWER(Upgrades!$U$13,E102),1)*IF(Upgrades!$T$14="Moving Group",POWER(Upgrades!$U$14,F102),1)*IF(Upgrades!$T$15="Moving Group",POWER(Upgrades!$U$15,G102),1)*IF(Upgrades!$T$16="Moving Group",POWER(Upgrades!$U$16,H102),1)*IF(Upgrades!$T$17="Moving Group",POWER(Upgrades!$U$17,I102),1)*IF(Upgrades!$T$18="Moving Group",POWER(Upgrades!$U$18,J102),1)*IF(Upgrades!$T$19="Moving Group",POWER(Upgrades!$U$19,K102),1)*IF(Upgrades!$T$20="Moving Group",POWER(Upgrades!$U$20,L102),1))*POWER(Upgrades!$P$13,E102)*POWER(Upgrades!$P$14,F102)*POWER(Upgrades!$P$15,G102)*POWER(Upgrades!$P$16,H102)*POWER(Upgrades!$P$17,I102)*POWER(Upgrades!$P$18,J102)*POWER(Upgrades!$P$19,K102)*POWER(Upgrades!$P$20,L102)*POWER(Upgrades!$P$21,M102)*$F$6*60</f>
        <v/>
      </c>
      <c r="AJ102" s="27">
        <f>$C$6*60</f>
        <v/>
      </c>
      <c r="AK102" s="22">
        <f>IF(E102&gt;=Upgrades!$E$13,"",Upgrades!$C$13*POWER(Upgrades!$D$13,E102))</f>
        <v/>
      </c>
      <c r="AL102" s="22">
        <f>IF(F102&gt;=Upgrades!$E$14,"",Upgrades!$C$14*POWER(Upgrades!$D$14,F102))</f>
        <v/>
      </c>
      <c r="AM102" s="22">
        <f>IF(G102&gt;=Upgrades!$E$15,"",Upgrades!$C$15*POWER(Upgrades!$D$15,G102))</f>
        <v/>
      </c>
      <c r="AN102" s="22">
        <f>IF(H102&gt;=Upgrades!$E$16,"",Upgrades!$C$16*POWER(Upgrades!$D$16,H102))</f>
        <v/>
      </c>
      <c r="AO102" s="22">
        <f>IF(I102&gt;=Upgrades!$E$17,"",Upgrades!$C$17*POWER(Upgrades!$D$17,I102))</f>
        <v/>
      </c>
      <c r="AP102" s="22">
        <f>IF(J102&gt;=Upgrades!$E$18,"",Upgrades!$C$18*POWER(Upgrades!$D$18,J102))</f>
        <v/>
      </c>
      <c r="AQ102" s="22">
        <f>IF(K102&gt;=Upgrades!$E$19,"",Upgrades!$C$19*POWER(Upgrades!$D$19,K102))</f>
        <v/>
      </c>
      <c r="AR102" s="22">
        <f>IF(L102&gt;=Upgrades!$E$20,"",Upgrades!$C$20*POWER(Upgrades!$D$20,L102))</f>
        <v/>
      </c>
      <c r="AS102" s="22">
        <f>IF(M102&gt;=Upgrades!$E$21,"",Upgrades!$C$21*POWER(Upgrades!$D$21,M102))</f>
        <v/>
      </c>
      <c r="AT102" s="26">
        <f>IF(AND(D102&gt;=Parameters!$B$18*Parameters!$B$19,(I102&gt;=Upgrades!$E$17)*(M102&gt;=Upgrades!$E$21)=1,N102=0),1,"")</f>
        <v/>
      </c>
      <c r="AU102" s="26">
        <f>IF(AND(D102&gt;=Parameters!$B$18*Parameters!$B$19,N102=0),1,"")</f>
        <v/>
      </c>
      <c r="AV102" s="22">
        <f>MIN(IF(ISNUMBER(AP102),AP102,9E15),IF(ISNUMBER(AQ102),AQ102,9E15),IF(ISNUMBER(AR102),AR102,9E15),IF(ISNUMBER(AS102),AS102,9E15))</f>
        <v/>
      </c>
      <c r="AW102" s="22">
        <f>MIN(IF(ISNUMBER(AK102),AK102,9E15),IF(ISNUMBER(AL102),AL102,9E15),IF(ISNUMBER(AM102),AM102,9E15),IF(ISNUMBER(AN102),AN102,9E15),IF(ISNUMBER(AO102),AO102,9E15))</f>
        <v/>
      </c>
      <c r="AX102" s="29">
        <f>IF(BD102&gt;Parameters!$B$21*(MAX(IF(AND(NOT(AND(AU102=1,AT102&lt;&gt;1)),ISNUMBER(AK102),AK102&lt;=(C102+T102)),AY102,0),IF(AND(NOT(AND(AU102=1,AT102&lt;&gt;1)),ISNUMBER(AL102),AL102&lt;=(C102+T102)),AZ102,0),IF(AND(NOT(AND(AU102=1,AT102&lt;&gt;1)),ISNUMBER(AM102),AM102&lt;=(C102+T102)),BA102,0),IF(AND(NOT(AND(AU102=1,AT102&lt;&gt;1)),ISNUMBER(AN102),AN102&lt;=(C102+T102)),BB102,0),IF(AND(ISNUMBER(AO102),AO102&lt;=(C102+T102)),BC102,0))),TRUE,FALSE)</f>
        <v/>
      </c>
      <c r="AY102" s="32">
        <f>IFERROR(Upgrades!$H$13*(POWER(Upgrades!$P$13,E102)*POWER(Upgrades!$P$14,F102)*POWER(Upgrades!$P$15,G102)*POWER(Upgrades!$P$16,H102)*POWER(Upgrades!$P$17,I102)*POWER(Upgrades!$P$18,J102)*POWER(Upgrades!$P$19,K102)*POWER(Upgrades!$P$20,L102)*POWER(Upgrades!$P$21,M102))*(IF(Upgrades!$T$14="Stellar Kinematics",POWER(Upgrades!$U$14,F102),1)*IF(Upgrades!$T$15="Stellar Kinematics",POWER(Upgrades!$U$15,G102),1)*IF(Upgrades!$T$16="Stellar Kinematics",POWER(Upgrades!$U$16,H102),1)*IF(Upgrades!$T$17="Stellar Kinematics",POWER(Upgrades!$U$17,I102),1)*IF(Upgrades!$T$18="Stellar Kinematics",POWER(Upgrades!$U$18,J102),1)*IF(Upgrades!$T$19="Stellar Kinematics",POWER(Upgrades!$U$19,K102),1)*IF(Upgrades!$T$20="Stellar Kinematics",POWER(Upgrades!$U$20,L102),1)*IF(Upgrades!$T$21="Stellar Kinematics",POWER(Upgrades!$U$21,M102),1))*$F$6/AK102,0)</f>
        <v/>
      </c>
      <c r="AZ102" s="32">
        <f>IFERROR(Upgrades!$H$14*(POWER(Upgrades!$P$13,E102)*POWER(Upgrades!$P$14,F102)*POWER(Upgrades!$P$15,G102)*POWER(Upgrades!$P$16,H102)*POWER(Upgrades!$P$17,I102)*POWER(Upgrades!$P$18,J102)*POWER(Upgrades!$P$19,K102)*POWER(Upgrades!$P$20,L102)*POWER(Upgrades!$P$21,M102))*(IF(Upgrades!$T$13="Local Bubble",POWER(Upgrades!$U$13,E102),1)*IF(Upgrades!$T$15="Local Bubble",POWER(Upgrades!$U$15,G102),1)*IF(Upgrades!$T$16="Local Bubble",POWER(Upgrades!$U$16,H102),1)*IF(Upgrades!$T$17="Local Bubble",POWER(Upgrades!$U$17,I102),1)*IF(Upgrades!$T$18="Local Bubble",POWER(Upgrades!$U$18,J102),1)*IF(Upgrades!$T$19="Local Bubble",POWER(Upgrades!$U$19,K102),1)*IF(Upgrades!$T$20="Local Bubble",POWER(Upgrades!$U$20,L102),1)*IF(Upgrades!$T$21="Local Bubble",POWER(Upgrades!$U$21,M102),1))*$F$6/AL102,0)</f>
        <v/>
      </c>
      <c r="BA102" s="32">
        <f>IFERROR(Upgrades!$K$15*(POWER(Upgrades!$Q$13,E102)*POWER(Upgrades!$Q$14,F102)*POWER(Upgrades!$Q$15,G102)*POWER(Upgrades!$Q$16,H102)*POWER(Upgrades!$Q$17,I102)*POWER(Upgrades!$Q$18,J102)*POWER(Upgrades!$Q$19,K102)*POWER(Upgrades!$Q$20,L102)*POWER(Upgrades!$Q$21,M102))*(IF(Upgrades!$T$13="Microlensing",POWER(Upgrades!$U$13,E102),1)*IF(Upgrades!$T$14="Microlensing",POWER(Upgrades!$U$14,F102),1)*IF(Upgrades!$T$16="Microlensing",POWER(Upgrades!$U$16,H102),1)*IF(Upgrades!$T$17="Microlensing",POWER(Upgrades!$U$17,I102),1)*IF(Upgrades!$T$18="Microlensing",POWER(Upgrades!$U$18,J102),1)*IF(Upgrades!$T$19="Microlensing",POWER(Upgrades!$U$19,K102),1)*IF(Upgrades!$T$20="Microlensing",POWER(Upgrades!$U$20,L102),1)*IF(Upgrades!$T$21="Microlensing",POWER(Upgrades!$U$21,M102),1))*$G$6*(Parameters!$B$10/60*Parameters!$B$11+Q102)/AM102,0)</f>
        <v/>
      </c>
      <c r="BB102" s="32">
        <f>IFERROR((Upgrades!$N$16*(POWER(Upgrades!$R$13,E102)*POWER(Upgrades!$R$14,F102)*POWER(Upgrades!$R$15,G102)*POWER(Upgrades!$R$16,H102)*POWER(Upgrades!$R$17,I102)*POWER(Upgrades!$R$18,J102)*POWER(Upgrades!$R$19,K102)*POWER(Upgrades!$R$20,L102)*POWER(Upgrades!$R$21,M102))*(IF(Upgrades!$T$13="Roche Lobe Overflow",POWER(Upgrades!$U$13,E102),1)*IF(Upgrades!$T$14="Roche Lobe Overflow",POWER(Upgrades!$U$14,F102),1)*IF(Upgrades!$T$15="Roche Lobe Overflow",POWER(Upgrades!$U$15,G102),1)*IF(Upgrades!$T$17="Roche Lobe Overflow",POWER(Upgrades!$U$17,I102),1)*IF(Upgrades!$T$18="Roche Lobe Overflow",POWER(Upgrades!$U$18,J102),1)*IF(Upgrades!$T$19="Roche Lobe Overflow",POWER(Upgrades!$U$19,K102),1)*IF(Upgrades!$T$20="Roche Lobe Overflow",POWER(Upgrades!$U$20,L102),1)*IF(Upgrades!$T$21="Roche Lobe Overflow",POWER(Upgrades!$U$21,M102),1))*$H$6*O102+((IF(F102=0,0,(Upgrades!$G$14+F102*Upgrades!$H$14)*POWER(Upgrades!$I$14,F102)))*(IF(Upgrades!$T$13="Local Bubble",POWER(Upgrades!$U$13,E102),1)*IF(Upgrades!$T$15="Local Bubble",POWER(Upgrades!$U$15,G102),1)*IF(Upgrades!$T$16="Local Bubble",POWER(Upgrades!$U$16,H102),1)*IF(Upgrades!$T$17="Local Bubble",POWER(Upgrades!$U$17,I102),1)*IF(Upgrades!$T$18="Local Bubble",POWER(Upgrades!$U$18,J102),1)*IF(Upgrades!$T$19="Local Bubble",POWER(Upgrades!$U$19,K102),1)*IF(Upgrades!$T$20="Local Bubble",POWER(Upgrades!$U$20,L102),1)*IF(Upgrades!$T$21="Local Bubble",POWER(Upgrades!$U$21,M102),1))*POWER(Upgrades!$P$13,E102)*POWER(Upgrades!$P$14,F102)*POWER(Upgrades!$P$15,G102)*POWER(Upgrades!$P$16,H102)*POWER(Upgrades!$P$17,I102)*POWER(Upgrades!$P$18,J102)*POWER(Upgrades!$P$19,K102)*POWER(Upgrades!$P$20,L102)*POWER(Upgrades!$P$21,M102)*$F$6)*0.05)/AN102,0)</f>
        <v/>
      </c>
      <c r="BC102" s="32">
        <f>IFERROR((Upgrades!$H$17*(POWER(Upgrades!$P$13,E102)*POWER(Upgrades!$P$14,F102)*POWER(Upgrades!$P$15,G102)*POWER(Upgrades!$P$16,H102)*POWER(Upgrades!$P$17,I102)*POWER(Upgrades!$P$18,J102)*POWER(Upgrades!$P$19,K102)*POWER(Upgrades!$P$20,L102)*POWER(Upgrades!$P$21,M102))*(IF(Upgrades!$T$13="Brown Dwarf",POWER(Upgrades!$U$13,E102),1)*IF(Upgrades!$T$14="Brown Dwarf",POWER(Upgrades!$U$14,F102),1)*IF(Upgrades!$T$15="Brown Dwarf",POWER(Upgrades!$U$15,G102),1)*IF(Upgrades!$T$16="Brown Dwarf",POWER(Upgrades!$U$16,H102),1)*IF(Upgrades!$T$18="Brown Dwarf",POWER(Upgrades!$U$18,J102),1)*IF(Upgrades!$T$19="Brown Dwarf",POWER(Upgrades!$U$19,K102),1)*IF(Upgrades!$T$20="Brown Dwarf",POWER(Upgrades!$U$20,L102),1)*IF(Upgrades!$T$21="Brown Dwarf",POWER(Upgrades!$U$21,M102),1))*$F$6+(((IF(H102=0,0,(Upgrades!$M$16+H102*Upgrades!$N$16)*POWER(Upgrades!$O$16,H102)))*(IF(Upgrades!$T$13="Roche Lobe Overflow",POWER(Upgrades!$U$13,E102),1)*IF(Upgrades!$T$14="Roche Lobe Overflow",POWER(Upgrades!$U$14,F102),1)*IF(Upgrades!$T$15="Roche Lobe Overflow",POWER(Upgrades!$U$15,G102),1)*IF(Upgrades!$T$17="Roche Lobe Overflow",POWER(Upgrades!$U$17,I102),1)*IF(Upgrades!$T$18="Roche Lobe Overflow",POWER(Upgrades!$U$18,J102),1)*IF(Upgrades!$T$19="Roche Lobe Overflow",POWER(Upgrades!$U$19,K102),1)*IF(Upgrades!$T$20="Roche Lobe Overflow",POWER(Upgrades!$U$20,L102),1)*IF(Upgrades!$T$21="Roche Lobe Overflow",POWER(Upgrades!$U$21,M102),1))*POWER(Upgrades!$R$13,E102)*POWER(Upgrades!$R$14,F102)*POWER(Upgrades!$R$15,G102)*POWER(Upgrades!$R$16,H102)*POWER(Upgrades!$R$17,I102)*POWER(Upgrades!$R$18,J102)*POWER(Upgrades!$R$19,K102)*POWER(Upgrades!$R$20,L102)*POWER(Upgrades!$R$21,M102)*$H$6)*O102)*0.10)/AO102,0)</f>
        <v/>
      </c>
      <c r="BD102" s="32">
        <f>MAX(IF(J102&gt;0,0,IFERROR(0.5*((IF(G102=0,0,(Upgrades!$J$15+G102*Upgrades!$K$15)*POWER(Upgrades!$L$15,G102)))*(IF(Upgrades!$T$13="Microlensing",POWER(Upgrades!$U$13,E102),1)*IF(Upgrades!$T$14="Microlensing",POWER(Upgrades!$U$14,F102),1)*IF(Upgrades!$T$16="Microlensing",POWER(Upgrades!$U$16,H102),1)*IF(Upgrades!$T$17="Microlensing",POWER(Upgrades!$U$17,I102),1)*IF(Upgrades!$T$18="Microlensing",POWER(Upgrades!$U$18,J102),1)*IF(Upgrades!$T$19="Microlensing",POWER(Upgrades!$U$19,K102),1)*IF(Upgrades!$T$20="Microlensing",POWER(Upgrades!$U$20,L102),1)*IF(Upgrades!$T$21="Microlensing",POWER(Upgrades!$U$21,M102),1))*(POWER(Upgrades!$Q$13,E102)*POWER(Upgrades!$Q$14,F102)*POWER(Upgrades!$Q$15,G102)*POWER(Upgrades!$Q$16,H102)*POWER(Upgrades!$Q$17,I102)*POWER(Upgrades!$Q$18,J102)*POWER(Upgrades!$Q$19,K102)*POWER(Upgrades!$Q$20,L102)*POWER(Upgrades!$Q$21,M102))*$G$6*(Parameters!$B$10/60*Parameters!$B$11+Q102))/Upgrades!$C$18,0)),IF(K102&gt;0,0,IFERROR(0.30*P102/Upgrades!$C$19,0)),IF(L102&gt;0,0,IFERROR(0.0001/Upgrades!$C$20,0)),IF(M102&gt;0,0,IFERROR((6.0*(POWER(Upgrades!$P$13,E102)*POWER(Upgrades!$P$14,F102)*POWER(Upgrades!$P$15,G102)*POWER(Upgrades!$P$16,H102)*POWER(Upgrades!$P$17,I102)*POWER(Upgrades!$P$18,J102)*POWER(Upgrades!$P$19,K102)*POWER(Upgrades!$P$20,L102)*POWER(Upgrades!$P$21,M102))*$F$6+0.20*O102*(Parameters!$B$10/60*Parameters!$B$11+Q102))/Upgrades!$C$21,0)),IF(AND(ISNUMBER(AK102),AK102&gt;(C102+T102)),AY102,0),IF(AND(ISNUMBER(AL102),AL102&gt;(C102+T102)),AZ102,0),IF(AND(ISNUMBER(AM102),AM102&gt;(C102+T102)),BA102,0),IF(AND(ISNUMBER(AN102),AN102&gt;(C102+T102)),BB102,0),IF(AND(ISNUMBER(AO102),AO102&gt;(C102+T102)),BC102,0))</f>
        <v/>
      </c>
      <c r="BE102" s="29">
        <f>IF(AT102=1,"transition",IF(MIN(IF(AND(J102=0,ISNUMBER(AP102),AP102&lt;=(C102+T102)),AP102,9E15),IF(AND(K102=0,ISNUMBER(AQ102),AQ102&lt;=(C102+T102)),AQ102,9E15),IF(AND(L102=0,ISNUMBER(AR102),AR102&lt;=(C102+T102)),AR102,9E15),IF(AND(M102=0,ISNUMBER(AS102),AS102&lt;=(C102+T102)),AS102,9E15))&lt;9E15,IF(AND(AND(J102=0,ISNUMBER(AP102),AP102&lt;=(C102+T102)),AP102=MIN(IF(AND(J102=0,ISNUMBER(AP102),AP102&lt;=(C102+T102)),AP102,9E15),IF(AND(K102=0,ISNUMBER(AQ102),AQ102&lt;=(C102+T102)),AQ102,9E15),IF(AND(L102=0,ISNUMBER(AR102),AR102&lt;=(C102+T102)),AR102,9E15),IF(AND(M102=0,ISNUMBER(AS102),AS102&lt;=(C102+T102)),AS102,9E15))),"BiP",IF(AND(AND(K102=0,ISNUMBER(AQ102),AQ102&lt;=(C102+T102)),AQ102=MIN(IF(AND(J102=0,ISNUMBER(AP102),AP102&lt;=(C102+T102)),AP102,9E15),IF(AND(K102=0,ISNUMBER(AQ102),AQ102&lt;=(C102+T102)),AQ102,9E15),IF(AND(L102=0,ISNUMBER(AR102),AR102&lt;=(C102+T102)),AR102,9E15),IF(AND(M102=0,ISNUMBER(AS102),AS102&lt;=(C102+T102)),AS102,9E15))),"PV",IF(AND(AND(L102=0,ISNUMBER(AR102),AR102&lt;=(C102+T102)),AR102=MIN(IF(AND(J102=0,ISNUMBER(AP102),AP102&lt;=(C102+T102)),AP102,9E15),IF(AND(K102=0,ISNUMBER(AQ102),AQ102&lt;=(C102+T102)),AQ102,9E15),IF(AND(L102=0,ISNUMBER(AR102),AR102&lt;=(C102+T102)),AR102,9E15),IF(AND(M102=0,ISNUMBER(AS102),AS102&lt;=(C102+T102)),AS102,9E15))),"OC","MG"))),IF(AX102=TRUE,"",IF(MAX(IF(AND(NOT(AND(AU102=1,AT102&lt;&gt;1)),ISNUMBER(AK102),AK102&lt;=(C102+T102)),AY102,0),IF(AND(NOT(AND(AU102=1,AT102&lt;&gt;1)),ISNUMBER(AL102),AL102&lt;=(C102+T102)),AZ102,0),IF(AND(NOT(AND(AU102=1,AT102&lt;&gt;1)),ISNUMBER(AM102),AM102&lt;=(C102+T102)),BA102,0),IF(AND(NOT(AND(AU102=1,AT102&lt;&gt;1)),ISNUMBER(AN102),AN102&lt;=(C102+T102)),BB102,0),IF(AND(ISNUMBER(AO102),AO102&lt;=(C102+T102)),BC102,0))&lt;=0,"",IF(AND(IF(AND(NOT(AND(AU102=1,AT102&lt;&gt;1)),ISNUMBER(AK102),AK102&lt;=(C102+T102)),AY102,0)&gt;0,IF(AND(NOT(AND(AU102=1,AT102&lt;&gt;1)),ISNUMBER(AK102),AK102&lt;=(C102+T102)),AY102,0)=MAX(IF(AND(NOT(AND(AU102=1,AT102&lt;&gt;1)),ISNUMBER(AK102),AK102&lt;=(C102+T102)),AY102,0),IF(AND(NOT(AND(AU102=1,AT102&lt;&gt;1)),ISNUMBER(AL102),AL102&lt;=(C102+T102)),AZ102,0),IF(AND(NOT(AND(AU102=1,AT102&lt;&gt;1)),ISNUMBER(AM102),AM102&lt;=(C102+T102)),BA102,0),IF(AND(NOT(AND(AU102=1,AT102&lt;&gt;1)),ISNUMBER(AN102),AN102&lt;=(C102+T102)),BB102,0),IF(AND(ISNUMBER(AO102),AO102&lt;=(C102+T102)),BC102,0))),"SK",IF(AND(IF(AND(NOT(AND(AU102=1,AT102&lt;&gt;1)),ISNUMBER(AL102),AL102&lt;=(C102+T102)),AZ102,0)&gt;0,IF(AND(NOT(AND(AU102=1,AT102&lt;&gt;1)),ISNUMBER(AL102),AL102&lt;=(C102+T102)),AZ102,0)=MAX(IF(AND(NOT(AND(AU102=1,AT102&lt;&gt;1)),ISNUMBER(AK102),AK102&lt;=(C102+T102)),AY102,0),IF(AND(NOT(AND(AU102=1,AT102&lt;&gt;1)),ISNUMBER(AL102),AL102&lt;=(C102+T102)),AZ102,0),IF(AND(NOT(AND(AU102=1,AT102&lt;&gt;1)),ISNUMBER(AM102),AM102&lt;=(C102+T102)),BA102,0),IF(AND(NOT(AND(AU102=1,AT102&lt;&gt;1)),ISNUMBER(AN102),AN102&lt;=(C102+T102)),BB102,0),IF(AND(ISNUMBER(AO102),AO102&lt;=(C102+T102)),BC102,0))),"LB",IF(AND(IF(AND(NOT(AND(AU102=1,AT102&lt;&gt;1)),ISNUMBER(AM102),AM102&lt;=(C102+T102)),BA102,0)&gt;0,IF(AND(NOT(AND(AU102=1,AT102&lt;&gt;1)),ISNUMBER(AM102),AM102&lt;=(C102+T102)),BA102,0)=MAX(IF(AND(NOT(AND(AU102=1,AT102&lt;&gt;1)),ISNUMBER(AK102),AK102&lt;=(C102+T102)),AY102,0),IF(AND(NOT(AND(AU102=1,AT102&lt;&gt;1)),ISNUMBER(AL102),AL102&lt;=(C102+T102)),AZ102,0),IF(AND(NOT(AND(AU102=1,AT102&lt;&gt;1)),ISNUMBER(AM102),AM102&lt;=(C102+T102)),BA102,0),IF(AND(NOT(AND(AU102=1,AT102&lt;&gt;1)),ISNUMBER(AN102),AN102&lt;=(C102+T102)),BB102,0),IF(AND(ISNUMBER(AO102),AO102&lt;=(C102+T102)),BC102,0))),"ML",IF(AND(IF(AND(NOT(AND(AU102=1,AT102&lt;&gt;1)),ISNUMBER(AN102),AN102&lt;=(C102+T102)),BB102,0)&gt;0,IF(AND(NOT(AND(AU102=1,AT102&lt;&gt;1)),ISNUMBER(AN102),AN102&lt;=(C102+T102)),BB102,0)=MAX(IF(AND(NOT(AND(AU102=1,AT102&lt;&gt;1)),ISNUMBER(AK102),AK102&lt;=(C102+T102)),AY102,0),IF(AND(NOT(AND(AU102=1,AT102&lt;&gt;1)),ISNUMBER(AL102),AL102&lt;=(C102+T102)),AZ102,0),IF(AND(NOT(AND(AU102=1,AT102&lt;&gt;1)),ISNUMBER(AM102),AM102&lt;=(C102+T102)),BA102,0),IF(AND(NOT(AND(AU102=1,AT102&lt;&gt;1)),ISNUMBER(AN102),AN102&lt;=(C102+T102)),BB102,0),IF(AND(ISNUMBER(AO102),AO102&lt;=(C102+T102)),BC102,0))),"RLO","BD"))))))))</f>
        <v/>
      </c>
    </row>
    <row r="103">
      <c r="A103" s="26" t="n">
        <v>92</v>
      </c>
      <c r="B103" s="27">
        <f>A103*10/60</f>
        <v/>
      </c>
      <c r="C103" s="22">
        <f>X102</f>
        <v/>
      </c>
      <c r="D103" s="27">
        <f>D102+W102</f>
        <v/>
      </c>
      <c r="E103" s="26">
        <f>E102+IF(U102="SK",1,0)</f>
        <v/>
      </c>
      <c r="F103" s="26">
        <f>F102+IF(U102="LB",1,0)</f>
        <v/>
      </c>
      <c r="G103" s="26">
        <f>G102+IF(U102="ML",1,0)</f>
        <v/>
      </c>
      <c r="H103" s="26">
        <f>H102+IF(U102="RLO",1,0)</f>
        <v/>
      </c>
      <c r="I103" s="26">
        <f>I102+IF(U102="BD",1,0)</f>
        <v/>
      </c>
      <c r="J103" s="26">
        <f>MAX(J102,IF(U102="BiP",1,0))</f>
        <v/>
      </c>
      <c r="K103" s="26">
        <f>MAX(K102,IF(U102="PV",1,0))</f>
        <v/>
      </c>
      <c r="L103" s="26">
        <f>MAX(L102,IF(U102="OC",1,0))</f>
        <v/>
      </c>
      <c r="M103" s="26">
        <f>MAX(M102,IF(U102="MG",1,0))</f>
        <v/>
      </c>
      <c r="N103" s="26">
        <f>MAX(N102,IF(U102="transition",1,0))</f>
        <v/>
      </c>
      <c r="O103" s="28">
        <f>(Parameters!$B$9+(IF(E103=0,0,(Upgrades!$J$13+E103*Upgrades!$K$13)*POWER(Upgrades!$L$13,E103)))*(IF(Upgrades!$T$14="Stellar Kinematics",POWER(Upgrades!$U$14,F103),1)*IF(Upgrades!$T$15="Stellar Kinematics",POWER(Upgrades!$U$15,G103),1)*IF(Upgrades!$T$16="Stellar Kinematics",POWER(Upgrades!$U$16,H103),1)*IF(Upgrades!$T$17="Stellar Kinematics",POWER(Upgrades!$U$17,I103),1)*IF(Upgrades!$T$18="Stellar Kinematics",POWER(Upgrades!$U$18,J103),1)*IF(Upgrades!$T$19="Stellar Kinematics",POWER(Upgrades!$U$19,K103),1)*IF(Upgrades!$T$20="Stellar Kinematics",POWER(Upgrades!$U$20,L103),1)*IF(Upgrades!$T$21="Stellar Kinematics",POWER(Upgrades!$U$21,M103),1))+(IF(F103=0,0,(Upgrades!$J$14+F103*Upgrades!$K$14)*POWER(Upgrades!$L$14,F103)))*(IF(Upgrades!$T$13="Local Bubble",POWER(Upgrades!$U$13,E103),1)*IF(Upgrades!$T$15="Local Bubble",POWER(Upgrades!$U$15,G103),1)*IF(Upgrades!$T$16="Local Bubble",POWER(Upgrades!$U$16,H103),1)*IF(Upgrades!$T$17="Local Bubble",POWER(Upgrades!$U$17,I103),1)*IF(Upgrades!$T$18="Local Bubble",POWER(Upgrades!$U$18,J103),1)*IF(Upgrades!$T$19="Local Bubble",POWER(Upgrades!$U$19,K103),1)*IF(Upgrades!$T$20="Local Bubble",POWER(Upgrades!$U$20,L103),1)*IF(Upgrades!$T$21="Local Bubble",POWER(Upgrades!$U$21,M103),1))+(IF(G103=0,0,(Upgrades!$J$15+G103*Upgrades!$K$15)*POWER(Upgrades!$L$15,G103)))*(IF(Upgrades!$T$13="Microlensing",POWER(Upgrades!$U$13,E103),1)*IF(Upgrades!$T$14="Microlensing",POWER(Upgrades!$U$14,F103),1)*IF(Upgrades!$T$16="Microlensing",POWER(Upgrades!$U$16,H103),1)*IF(Upgrades!$T$17="Microlensing",POWER(Upgrades!$U$17,I103),1)*IF(Upgrades!$T$18="Microlensing",POWER(Upgrades!$U$18,J103),1)*IF(Upgrades!$T$19="Microlensing",POWER(Upgrades!$U$19,K103),1)*IF(Upgrades!$T$20="Microlensing",POWER(Upgrades!$U$20,L103),1)*IF(Upgrades!$T$21="Microlensing",POWER(Upgrades!$U$21,M103),1))+(IF(H103=0,0,(Upgrades!$J$16+H103*Upgrades!$K$16)*POWER(Upgrades!$L$16,H103)))*(IF(Upgrades!$T$13="Roche Lobe Overflow",POWER(Upgrades!$U$13,E103),1)*IF(Upgrades!$T$14="Roche Lobe Overflow",POWER(Upgrades!$U$14,F103),1)*IF(Upgrades!$T$15="Roche Lobe Overflow",POWER(Upgrades!$U$15,G103),1)*IF(Upgrades!$T$17="Roche Lobe Overflow",POWER(Upgrades!$U$17,I103),1)*IF(Upgrades!$T$18="Roche Lobe Overflow",POWER(Upgrades!$U$18,J103),1)*IF(Upgrades!$T$19="Roche Lobe Overflow",POWER(Upgrades!$U$19,K103),1)*IF(Upgrades!$T$20="Roche Lobe Overflow",POWER(Upgrades!$U$20,L103),1)*IF(Upgrades!$T$21="Roche Lobe Overflow",POWER(Upgrades!$U$21,M103),1))+(IF(I103=0,0,(Upgrades!$J$17+I103*Upgrades!$K$17)*POWER(Upgrades!$L$17,I103)))*(IF(Upgrades!$T$13="Brown Dwarf",POWER(Upgrades!$U$13,E103),1)*IF(Upgrades!$T$14="Brown Dwarf",POWER(Upgrades!$U$14,F103),1)*IF(Upgrades!$T$15="Brown Dwarf",POWER(Upgrades!$U$15,G103),1)*IF(Upgrades!$T$16="Brown Dwarf",POWER(Upgrades!$U$16,H103),1)*IF(Upgrades!$T$18="Brown Dwarf",POWER(Upgrades!$U$18,J103),1)*IF(Upgrades!$T$19="Brown Dwarf",POWER(Upgrades!$U$19,K103),1)*IF(Upgrades!$T$20="Brown Dwarf",POWER(Upgrades!$U$20,L103),1)*IF(Upgrades!$T$21="Brown Dwarf",POWER(Upgrades!$U$21,M103),1))+(IF(J103=0,0,(Upgrades!$J$18+J103*Upgrades!$K$18)*POWER(Upgrades!$L$18,J103)))*(IF(Upgrades!$T$13="Binary Partner",POWER(Upgrades!$U$13,E103),1)*IF(Upgrades!$T$14="Binary Partner",POWER(Upgrades!$U$14,F103),1)*IF(Upgrades!$T$15="Binary Partner",POWER(Upgrades!$U$15,G103),1)*IF(Upgrades!$T$16="Binary Partner",POWER(Upgrades!$U$16,H103),1)*IF(Upgrades!$T$17="Binary Partner",POWER(Upgrades!$U$17,I103),1)*IF(Upgrades!$T$19="Binary Partner",POWER(Upgrades!$U$19,K103),1)*IF(Upgrades!$T$20="Binary Partner",POWER(Upgrades!$U$20,L103),1)*IF(Upgrades!$T$21="Binary Partner",POWER(Upgrades!$U$21,M103),1))+(IF(K103=0,0,(Upgrades!$J$19+K103*Upgrades!$K$19)*POWER(Upgrades!$L$19,K103)))*(IF(Upgrades!$T$13="Peculiar Velocity",POWER(Upgrades!$U$13,E103),1)*IF(Upgrades!$T$14="Peculiar Velocity",POWER(Upgrades!$U$14,F103),1)*IF(Upgrades!$T$15="Peculiar Velocity",POWER(Upgrades!$U$15,G103),1)*IF(Upgrades!$T$16="Peculiar Velocity",POWER(Upgrades!$U$16,H103),1)*IF(Upgrades!$T$17="Peculiar Velocity",POWER(Upgrades!$U$17,I103),1)*IF(Upgrades!$T$18="Peculiar Velocity",POWER(Upgrades!$U$18,J103),1)*IF(Upgrades!$T$20="Peculiar Velocity",POWER(Upgrades!$U$20,L103),1)*IF(Upgrades!$T$21="Peculiar Velocity",POWER(Upgrades!$U$21,M103),1))+(IF(L103=0,0,(Upgrades!$J$20+L103*Upgrades!$K$20)*POWER(Upgrades!$L$20,L103)))*(IF(Upgrades!$T$13="Open Cluster",POWER(Upgrades!$U$13,E103),1)*IF(Upgrades!$T$14="Open Cluster",POWER(Upgrades!$U$14,F103),1)*IF(Upgrades!$T$15="Open Cluster",POWER(Upgrades!$U$15,G103),1)*IF(Upgrades!$T$16="Open Cluster",POWER(Upgrades!$U$16,H103),1)*IF(Upgrades!$T$17="Open Cluster",POWER(Upgrades!$U$17,I103),1)*IF(Upgrades!$T$18="Open Cluster",POWER(Upgrades!$U$18,J103),1)*IF(Upgrades!$T$19="Open Cluster",POWER(Upgrades!$U$19,K103),1)*IF(Upgrades!$T$21="Open Cluster",POWER(Upgrades!$U$21,M103),1))+(IF(M103=0,0,(Upgrades!$J$21+M103*Upgrades!$K$21)*POWER(Upgrades!$L$21,M103)))*(IF(Upgrades!$T$13="Moving Group",POWER(Upgrades!$U$13,E103),1)*IF(Upgrades!$T$14="Moving Group",POWER(Upgrades!$U$14,F103),1)*IF(Upgrades!$T$15="Moving Group",POWER(Upgrades!$U$15,G103),1)*IF(Upgrades!$T$16="Moving Group",POWER(Upgrades!$U$16,H103),1)*IF(Upgrades!$T$17="Moving Group",POWER(Upgrades!$U$17,I103),1)*IF(Upgrades!$T$18="Moving Group",POWER(Upgrades!$U$18,J103),1)*IF(Upgrades!$T$19="Moving Group",POWER(Upgrades!$U$19,K103),1)*IF(Upgrades!$T$20="Moving Group",POWER(Upgrades!$U$20,L103),1)))*POWER(Upgrades!$Q$13,E103)*POWER(Upgrades!$Q$14,F103)*POWER(Upgrades!$Q$15,G103)*POWER(Upgrades!$Q$16,H103)*POWER(Upgrades!$Q$17,I103)*POWER(Upgrades!$Q$18,J103)*POWER(Upgrades!$Q$19,K103)*POWER(Upgrades!$Q$20,L103)*POWER(Upgrades!$Q$21,M103)*$G$6+$D$6</f>
        <v/>
      </c>
      <c r="P103" s="28">
        <f>((IF(E103=0,0,(Upgrades!$G$13+E103*Upgrades!$H$13)*POWER(Upgrades!$I$13,E103)))*(IF(Upgrades!$T$14="Stellar Kinematics",POWER(Upgrades!$U$14,F103),1)*IF(Upgrades!$T$15="Stellar Kinematics",POWER(Upgrades!$U$15,G103),1)*IF(Upgrades!$T$16="Stellar Kinematics",POWER(Upgrades!$U$16,H103),1)*IF(Upgrades!$T$17="Stellar Kinematics",POWER(Upgrades!$U$17,I103),1)*IF(Upgrades!$T$18="Stellar Kinematics",POWER(Upgrades!$U$18,J103),1)*IF(Upgrades!$T$19="Stellar Kinematics",POWER(Upgrades!$U$19,K103),1)*IF(Upgrades!$T$20="Stellar Kinematics",POWER(Upgrades!$U$20,L103),1)*IF(Upgrades!$T$21="Stellar Kinematics",POWER(Upgrades!$U$21,M103),1))+(IF(F103=0,0,(Upgrades!$G$14+F103*Upgrades!$H$14)*POWER(Upgrades!$I$14,F103)))*(IF(Upgrades!$T$13="Local Bubble",POWER(Upgrades!$U$13,E103),1)*IF(Upgrades!$T$15="Local Bubble",POWER(Upgrades!$U$15,G103),1)*IF(Upgrades!$T$16="Local Bubble",POWER(Upgrades!$U$16,H103),1)*IF(Upgrades!$T$17="Local Bubble",POWER(Upgrades!$U$17,I103),1)*IF(Upgrades!$T$18="Local Bubble",POWER(Upgrades!$U$18,J103),1)*IF(Upgrades!$T$19="Local Bubble",POWER(Upgrades!$U$19,K103),1)*IF(Upgrades!$T$20="Local Bubble",POWER(Upgrades!$U$20,L103),1)*IF(Upgrades!$T$21="Local Bubble",POWER(Upgrades!$U$21,M103),1))+(IF(G103=0,0,(Upgrades!$G$15+G103*Upgrades!$H$15)*POWER(Upgrades!$I$15,G103)))*(IF(Upgrades!$T$13="Microlensing",POWER(Upgrades!$U$13,E103),1)*IF(Upgrades!$T$14="Microlensing",POWER(Upgrades!$U$14,F103),1)*IF(Upgrades!$T$16="Microlensing",POWER(Upgrades!$U$16,H103),1)*IF(Upgrades!$T$17="Microlensing",POWER(Upgrades!$U$17,I103),1)*IF(Upgrades!$T$18="Microlensing",POWER(Upgrades!$U$18,J103),1)*IF(Upgrades!$T$19="Microlensing",POWER(Upgrades!$U$19,K103),1)*IF(Upgrades!$T$20="Microlensing",POWER(Upgrades!$U$20,L103),1)*IF(Upgrades!$T$21="Microlensing",POWER(Upgrades!$U$21,M103),1))+(IF(H103=0,0,(Upgrades!$G$16+H103*Upgrades!$H$16)*POWER(Upgrades!$I$16,H103)))*(IF(Upgrades!$T$13="Roche Lobe Overflow",POWER(Upgrades!$U$13,E103),1)*IF(Upgrades!$T$14="Roche Lobe Overflow",POWER(Upgrades!$U$14,F103),1)*IF(Upgrades!$T$15="Roche Lobe Overflow",POWER(Upgrades!$U$15,G103),1)*IF(Upgrades!$T$17="Roche Lobe Overflow",POWER(Upgrades!$U$17,I103),1)*IF(Upgrades!$T$18="Roche Lobe Overflow",POWER(Upgrades!$U$18,J103),1)*IF(Upgrades!$T$19="Roche Lobe Overflow",POWER(Upgrades!$U$19,K103),1)*IF(Upgrades!$T$20="Roche Lobe Overflow",POWER(Upgrades!$U$20,L103),1)*IF(Upgrades!$T$21="Roche Lobe Overflow",POWER(Upgrades!$U$21,M103),1))+(IF(I103=0,0,(Upgrades!$G$17+I103*Upgrades!$H$17)*POWER(Upgrades!$I$17,I103)))*(IF(Upgrades!$T$13="Brown Dwarf",POWER(Upgrades!$U$13,E103),1)*IF(Upgrades!$T$14="Brown Dwarf",POWER(Upgrades!$U$14,F103),1)*IF(Upgrades!$T$15="Brown Dwarf",POWER(Upgrades!$U$15,G103),1)*IF(Upgrades!$T$16="Brown Dwarf",POWER(Upgrades!$U$16,H103),1)*IF(Upgrades!$T$18="Brown Dwarf",POWER(Upgrades!$U$18,J103),1)*IF(Upgrades!$T$19="Brown Dwarf",POWER(Upgrades!$U$19,K103),1)*IF(Upgrades!$T$20="Brown Dwarf",POWER(Upgrades!$U$20,L103),1)*IF(Upgrades!$T$21="Brown Dwarf",POWER(Upgrades!$U$21,M103),1))+(IF(J103=0,0,(Upgrades!$G$18+J103*Upgrades!$H$18)*POWER(Upgrades!$I$18,J103)))*(IF(Upgrades!$T$13="Binary Partner",POWER(Upgrades!$U$13,E103),1)*IF(Upgrades!$T$14="Binary Partner",POWER(Upgrades!$U$14,F103),1)*IF(Upgrades!$T$15="Binary Partner",POWER(Upgrades!$U$15,G103),1)*IF(Upgrades!$T$16="Binary Partner",POWER(Upgrades!$U$16,H103),1)*IF(Upgrades!$T$17="Binary Partner",POWER(Upgrades!$U$17,I103),1)*IF(Upgrades!$T$19="Binary Partner",POWER(Upgrades!$U$19,K103),1)*IF(Upgrades!$T$20="Binary Partner",POWER(Upgrades!$U$20,L103),1)*IF(Upgrades!$T$21="Binary Partner",POWER(Upgrades!$U$21,M103),1))+(IF(K103=0,0,(Upgrades!$G$19+K103*Upgrades!$H$19)*POWER(Upgrades!$I$19,K103)))*(IF(Upgrades!$T$13="Peculiar Velocity",POWER(Upgrades!$U$13,E103),1)*IF(Upgrades!$T$14="Peculiar Velocity",POWER(Upgrades!$U$14,F103),1)*IF(Upgrades!$T$15="Peculiar Velocity",POWER(Upgrades!$U$15,G103),1)*IF(Upgrades!$T$16="Peculiar Velocity",POWER(Upgrades!$U$16,H103),1)*IF(Upgrades!$T$17="Peculiar Velocity",POWER(Upgrades!$U$17,I103),1)*IF(Upgrades!$T$18="Peculiar Velocity",POWER(Upgrades!$U$18,J103),1)*IF(Upgrades!$T$20="Peculiar Velocity",POWER(Upgrades!$U$20,L103),1)*IF(Upgrades!$T$21="Peculiar Velocity",POWER(Upgrades!$U$21,M103),1))+(IF(L103=0,0,(Upgrades!$G$20+L103*Upgrades!$H$20)*POWER(Upgrades!$I$20,L103)))*(IF(Upgrades!$T$13="Open Cluster",POWER(Upgrades!$U$13,E103),1)*IF(Upgrades!$T$14="Open Cluster",POWER(Upgrades!$U$14,F103),1)*IF(Upgrades!$T$15="Open Cluster",POWER(Upgrades!$U$15,G103),1)*IF(Upgrades!$T$16="Open Cluster",POWER(Upgrades!$U$16,H103),1)*IF(Upgrades!$T$17="Open Cluster",POWER(Upgrades!$U$17,I103),1)*IF(Upgrades!$T$18="Open Cluster",POWER(Upgrades!$U$18,J103),1)*IF(Upgrades!$T$19="Open Cluster",POWER(Upgrades!$U$19,K103),1)*IF(Upgrades!$T$21="Open Cluster",POWER(Upgrades!$U$21,M103),1))+(IF(M103=0,0,(Upgrades!$G$21+M103*Upgrades!$H$21)*POWER(Upgrades!$I$21,M103)))*(IF(Upgrades!$T$13="Moving Group",POWER(Upgrades!$U$13,E103),1)*IF(Upgrades!$T$14="Moving Group",POWER(Upgrades!$U$14,F103),1)*IF(Upgrades!$T$15="Moving Group",POWER(Upgrades!$U$15,G103),1)*IF(Upgrades!$T$16="Moving Group",POWER(Upgrades!$U$16,H103),1)*IF(Upgrades!$T$17="Moving Group",POWER(Upgrades!$U$17,I103),1)*IF(Upgrades!$T$18="Moving Group",POWER(Upgrades!$U$18,J103),1)*IF(Upgrades!$T$19="Moving Group",POWER(Upgrades!$U$19,K103),1)*IF(Upgrades!$T$20="Moving Group",POWER(Upgrades!$U$20,L103),1)))*POWER(Upgrades!$P$13,E103)*POWER(Upgrades!$P$14,F103)*POWER(Upgrades!$P$15,G103)*POWER(Upgrades!$P$16,H103)*POWER(Upgrades!$P$17,I103)*POWER(Upgrades!$P$18,J103)*POWER(Upgrades!$P$19,K103)*POWER(Upgrades!$P$20,L103)*POWER(Upgrades!$P$21,M103)*$F$6+$C$6</f>
        <v/>
      </c>
      <c r="Q103" s="28">
        <f>((IF(E103=0,0,(Upgrades!$M$13+E103*Upgrades!$N$13)*POWER(Upgrades!$O$13,E103)))*(IF(Upgrades!$T$14="Stellar Kinematics",POWER(Upgrades!$U$14,F103),1)*IF(Upgrades!$T$15="Stellar Kinematics",POWER(Upgrades!$U$15,G103),1)*IF(Upgrades!$T$16="Stellar Kinematics",POWER(Upgrades!$U$16,H103),1)*IF(Upgrades!$T$17="Stellar Kinematics",POWER(Upgrades!$U$17,I103),1)*IF(Upgrades!$T$18="Stellar Kinematics",POWER(Upgrades!$U$18,J103),1)*IF(Upgrades!$T$19="Stellar Kinematics",POWER(Upgrades!$U$19,K103),1)*IF(Upgrades!$T$20="Stellar Kinematics",POWER(Upgrades!$U$20,L103),1)*IF(Upgrades!$T$21="Stellar Kinematics",POWER(Upgrades!$U$21,M103),1))+(IF(F103=0,0,(Upgrades!$M$14+F103*Upgrades!$N$14)*POWER(Upgrades!$O$14,F103)))*(IF(Upgrades!$T$13="Local Bubble",POWER(Upgrades!$U$13,E103),1)*IF(Upgrades!$T$15="Local Bubble",POWER(Upgrades!$U$15,G103),1)*IF(Upgrades!$T$16="Local Bubble",POWER(Upgrades!$U$16,H103),1)*IF(Upgrades!$T$17="Local Bubble",POWER(Upgrades!$U$17,I103),1)*IF(Upgrades!$T$18="Local Bubble",POWER(Upgrades!$U$18,J103),1)*IF(Upgrades!$T$19="Local Bubble",POWER(Upgrades!$U$19,K103),1)*IF(Upgrades!$T$20="Local Bubble",POWER(Upgrades!$U$20,L103),1)*IF(Upgrades!$T$21="Local Bubble",POWER(Upgrades!$U$21,M103),1))+(IF(G103=0,0,(Upgrades!$M$15+G103*Upgrades!$N$15)*POWER(Upgrades!$O$15,G103)))*(IF(Upgrades!$T$13="Microlensing",POWER(Upgrades!$U$13,E103),1)*IF(Upgrades!$T$14="Microlensing",POWER(Upgrades!$U$14,F103),1)*IF(Upgrades!$T$16="Microlensing",POWER(Upgrades!$U$16,H103),1)*IF(Upgrades!$T$17="Microlensing",POWER(Upgrades!$U$17,I103),1)*IF(Upgrades!$T$18="Microlensing",POWER(Upgrades!$U$18,J103),1)*IF(Upgrades!$T$19="Microlensing",POWER(Upgrades!$U$19,K103),1)*IF(Upgrades!$T$20="Microlensing",POWER(Upgrades!$U$20,L103),1)*IF(Upgrades!$T$21="Microlensing",POWER(Upgrades!$U$21,M103),1))+(IF(H103=0,0,(Upgrades!$M$16+H103*Upgrades!$N$16)*POWER(Upgrades!$O$16,H103)))*(IF(Upgrades!$T$13="Roche Lobe Overflow",POWER(Upgrades!$U$13,E103),1)*IF(Upgrades!$T$14="Roche Lobe Overflow",POWER(Upgrades!$U$14,F103),1)*IF(Upgrades!$T$15="Roche Lobe Overflow",POWER(Upgrades!$U$15,G103),1)*IF(Upgrades!$T$17="Roche Lobe Overflow",POWER(Upgrades!$U$17,I103),1)*IF(Upgrades!$T$18="Roche Lobe Overflow",POWER(Upgrades!$U$18,J103),1)*IF(Upgrades!$T$19="Roche Lobe Overflow",POWER(Upgrades!$U$19,K103),1)*IF(Upgrades!$T$20="Roche Lobe Overflow",POWER(Upgrades!$U$20,L103),1)*IF(Upgrades!$T$21="Roche Lobe Overflow",POWER(Upgrades!$U$21,M103),1))+(IF(I103=0,0,(Upgrades!$M$17+I103*Upgrades!$N$17)*POWER(Upgrades!$O$17,I103)))*(IF(Upgrades!$T$13="Brown Dwarf",POWER(Upgrades!$U$13,E103),1)*IF(Upgrades!$T$14="Brown Dwarf",POWER(Upgrades!$U$14,F103),1)*IF(Upgrades!$T$15="Brown Dwarf",POWER(Upgrades!$U$15,G103),1)*IF(Upgrades!$T$16="Brown Dwarf",POWER(Upgrades!$U$16,H103),1)*IF(Upgrades!$T$18="Brown Dwarf",POWER(Upgrades!$U$18,J103),1)*IF(Upgrades!$T$19="Brown Dwarf",POWER(Upgrades!$U$19,K103),1)*IF(Upgrades!$T$20="Brown Dwarf",POWER(Upgrades!$U$20,L103),1)*IF(Upgrades!$T$21="Brown Dwarf",POWER(Upgrades!$U$21,M103),1))+(IF(J103=0,0,(Upgrades!$M$18+J103*Upgrades!$N$18)*POWER(Upgrades!$O$18,J103)))*(IF(Upgrades!$T$13="Binary Partner",POWER(Upgrades!$U$13,E103),1)*IF(Upgrades!$T$14="Binary Partner",POWER(Upgrades!$U$14,F103),1)*IF(Upgrades!$T$15="Binary Partner",POWER(Upgrades!$U$15,G103),1)*IF(Upgrades!$T$16="Binary Partner",POWER(Upgrades!$U$16,H103),1)*IF(Upgrades!$T$17="Binary Partner",POWER(Upgrades!$U$17,I103),1)*IF(Upgrades!$T$19="Binary Partner",POWER(Upgrades!$U$19,K103),1)*IF(Upgrades!$T$20="Binary Partner",POWER(Upgrades!$U$20,L103),1)*IF(Upgrades!$T$21="Binary Partner",POWER(Upgrades!$U$21,M103),1))+(IF(K103=0,0,(Upgrades!$M$19+K103*Upgrades!$N$19)*POWER(Upgrades!$O$19,K103)))*(IF(Upgrades!$T$13="Peculiar Velocity",POWER(Upgrades!$U$13,E103),1)*IF(Upgrades!$T$14="Peculiar Velocity",POWER(Upgrades!$U$14,F103),1)*IF(Upgrades!$T$15="Peculiar Velocity",POWER(Upgrades!$U$15,G103),1)*IF(Upgrades!$T$16="Peculiar Velocity",POWER(Upgrades!$U$16,H103),1)*IF(Upgrades!$T$17="Peculiar Velocity",POWER(Upgrades!$U$17,I103),1)*IF(Upgrades!$T$18="Peculiar Velocity",POWER(Upgrades!$U$18,J103),1)*IF(Upgrades!$T$20="Peculiar Velocity",POWER(Upgrades!$U$20,L103),1)*IF(Upgrades!$T$21="Peculiar Velocity",POWER(Upgrades!$U$21,M103),1))+(IF(L103=0,0,(Upgrades!$M$20+L103*Upgrades!$N$20)*POWER(Upgrades!$O$20,L103)))*(IF(Upgrades!$T$13="Open Cluster",POWER(Upgrades!$U$13,E103),1)*IF(Upgrades!$T$14="Open Cluster",POWER(Upgrades!$U$14,F103),1)*IF(Upgrades!$T$15="Open Cluster",POWER(Upgrades!$U$15,G103),1)*IF(Upgrades!$T$16="Open Cluster",POWER(Upgrades!$U$16,H103),1)*IF(Upgrades!$T$17="Open Cluster",POWER(Upgrades!$U$17,I103),1)*IF(Upgrades!$T$18="Open Cluster",POWER(Upgrades!$U$18,J103),1)*IF(Upgrades!$T$19="Open Cluster",POWER(Upgrades!$U$19,K103),1)*IF(Upgrades!$T$21="Open Cluster",POWER(Upgrades!$U$21,M103),1))+(IF(M103=0,0,(Upgrades!$M$21+M103*Upgrades!$N$21)*POWER(Upgrades!$O$21,M103)))*(IF(Upgrades!$T$13="Moving Group",POWER(Upgrades!$U$13,E103),1)*IF(Upgrades!$T$14="Moving Group",POWER(Upgrades!$U$14,F103),1)*IF(Upgrades!$T$15="Moving Group",POWER(Upgrades!$U$15,G103),1)*IF(Upgrades!$T$16="Moving Group",POWER(Upgrades!$U$16,H103),1)*IF(Upgrades!$T$17="Moving Group",POWER(Upgrades!$U$17,I103),1)*IF(Upgrades!$T$18="Moving Group",POWER(Upgrades!$U$18,J103),1)*IF(Upgrades!$T$19="Moving Group",POWER(Upgrades!$U$19,K103),1)*IF(Upgrades!$T$20="Moving Group",POWER(Upgrades!$U$20,L103),1)))*POWER(Upgrades!$R$13,E103)*POWER(Upgrades!$R$14,F103)*POWER(Upgrades!$R$15,G103)*POWER(Upgrades!$R$16,H103)*POWER(Upgrades!$R$17,I103)*POWER(Upgrades!$R$18,J103)*POWER(Upgrades!$R$19,K103)*POWER(Upgrades!$R$20,L103)*POWER(Upgrades!$R$21,M103)*$H$6+$E$6</f>
        <v/>
      </c>
      <c r="R103" s="27">
        <f>IF(N103=1,0,O103*Parameters!$B$10/60*Parameters!$B$11*10)</f>
        <v/>
      </c>
      <c r="S103" s="27">
        <f>IF(N103=1,0,Q103*O103*10)</f>
        <v/>
      </c>
      <c r="T103" s="27">
        <f>IF(N103=1,0,R103+S103+P103*10)</f>
        <v/>
      </c>
      <c r="U103" s="33">
        <f>BE103</f>
        <v/>
      </c>
      <c r="V103" s="22">
        <f>IF(U103="",0,IF(U103="transition",0,IF(U103="SK",AK103,IF(U103="LB",AL103,IF(U103="ML",AM103,IF(U103="RLO",AN103,IF(U103="BD",AO103,IF(U103="BiP",AP103,IF(U103="PV",AQ103,IF(U103="OC",AR103,IF(U103="MG",AS103,0))))))))))</f>
        <v/>
      </c>
      <c r="W103" s="27">
        <f>IF(U103="BiP",Upgrades!$F$18,IF(U103="PV",Upgrades!$F$19,IF(U103="OC",Upgrades!$F$20,IF(U103="MG",Upgrades!$F$21,IF(U103="transition",-Parameters!$B$18*Parameters!$B$19,0)))))</f>
        <v/>
      </c>
      <c r="X103" s="22">
        <f>C103+T103-V103</f>
        <v/>
      </c>
      <c r="Y103" s="30">
        <f>O103*Parameters!$B$10/60*Parameters!$B$11+Q103*O103+P103</f>
        <v/>
      </c>
      <c r="Z103" s="34">
        <f>IF(U103="transition","→ Tier 3 (Galactic Arm)",IF(U103="MG","Moving Group — pocket drifts together",IF(U103="OC","Open Cluster acquired",IF(U103="PV","Peculiar Velocity — passive multiplier active",IF(U103="BiP","Binary Partner — pair bond formed",IF(AND(AU103=1,N103=0,AT103&lt;&gt;1),"Cohesion ready (waiting on completionists)","")))))) </f>
        <v/>
      </c>
      <c r="AA103" s="27">
        <f>(IF(E103=0,0,(Upgrades!$G$13+E103*Upgrades!$H$13)*POWER(Upgrades!$I$13,E103)))*(IF(Upgrades!$T$14="Stellar Kinematics",POWER(Upgrades!$U$14,F103),1)*IF(Upgrades!$T$15="Stellar Kinematics",POWER(Upgrades!$U$15,G103),1)*IF(Upgrades!$T$16="Stellar Kinematics",POWER(Upgrades!$U$16,H103),1)*IF(Upgrades!$T$17="Stellar Kinematics",POWER(Upgrades!$U$17,I103),1)*IF(Upgrades!$T$18="Stellar Kinematics",POWER(Upgrades!$U$18,J103),1)*IF(Upgrades!$T$19="Stellar Kinematics",POWER(Upgrades!$U$19,K103),1)*IF(Upgrades!$T$20="Stellar Kinematics",POWER(Upgrades!$U$20,L103),1)*IF(Upgrades!$T$21="Stellar Kinematics",POWER(Upgrades!$U$21,M103),1))*POWER(Upgrades!$P$13,E103)*POWER(Upgrades!$P$14,F103)*POWER(Upgrades!$P$15,G103)*POWER(Upgrades!$P$16,H103)*POWER(Upgrades!$P$17,I103)*POWER(Upgrades!$P$18,J103)*POWER(Upgrades!$P$19,K103)*POWER(Upgrades!$P$20,L103)*POWER(Upgrades!$P$21,M103)*$F$6*60</f>
        <v/>
      </c>
      <c r="AB103" s="27">
        <f>(IF(F103=0,0,(Upgrades!$G$14+F103*Upgrades!$H$14)*POWER(Upgrades!$I$14,F103)))*(IF(Upgrades!$T$13="Local Bubble",POWER(Upgrades!$U$13,E103),1)*IF(Upgrades!$T$15="Local Bubble",POWER(Upgrades!$U$15,G103),1)*IF(Upgrades!$T$16="Local Bubble",POWER(Upgrades!$U$16,H103),1)*IF(Upgrades!$T$17="Local Bubble",POWER(Upgrades!$U$17,I103),1)*IF(Upgrades!$T$18="Local Bubble",POWER(Upgrades!$U$18,J103),1)*IF(Upgrades!$T$19="Local Bubble",POWER(Upgrades!$U$19,K103),1)*IF(Upgrades!$T$20="Local Bubble",POWER(Upgrades!$U$20,L103),1)*IF(Upgrades!$T$21="Local Bubble",POWER(Upgrades!$U$21,M103),1))*POWER(Upgrades!$P$13,E103)*POWER(Upgrades!$P$14,F103)*POWER(Upgrades!$P$15,G103)*POWER(Upgrades!$P$16,H103)*POWER(Upgrades!$P$17,I103)*POWER(Upgrades!$P$18,J103)*POWER(Upgrades!$P$19,K103)*POWER(Upgrades!$P$20,L103)*POWER(Upgrades!$P$21,M103)*$F$6*60</f>
        <v/>
      </c>
      <c r="AC103" s="27">
        <f>(IF(G103=0,0,(Upgrades!$J$15+G103*Upgrades!$K$15)*POWER(Upgrades!$L$15,G103)))*(IF(Upgrades!$T$13="Microlensing",POWER(Upgrades!$U$13,E103),1)*IF(Upgrades!$T$14="Microlensing",POWER(Upgrades!$U$14,F103),1)*IF(Upgrades!$T$16="Microlensing",POWER(Upgrades!$U$16,H103),1)*IF(Upgrades!$T$17="Microlensing",POWER(Upgrades!$U$17,I103),1)*IF(Upgrades!$T$18="Microlensing",POWER(Upgrades!$U$18,J103),1)*IF(Upgrades!$T$19="Microlensing",POWER(Upgrades!$U$19,K103),1)*IF(Upgrades!$T$20="Microlensing",POWER(Upgrades!$U$20,L103),1)*IF(Upgrades!$T$21="Microlensing",POWER(Upgrades!$U$21,M103),1))*POWER(Upgrades!$Q$13,E103)*POWER(Upgrades!$Q$14,F103)*POWER(Upgrades!$Q$15,G103)*POWER(Upgrades!$Q$16,H103)*POWER(Upgrades!$Q$17,I103)*POWER(Upgrades!$Q$18,J103)*POWER(Upgrades!$Q$19,K103)*POWER(Upgrades!$Q$20,L103)*POWER(Upgrades!$Q$21,M103)*$G$6*(Parameters!$B$10*Parameters!$B$11+Q103*60)</f>
        <v/>
      </c>
      <c r="AD103" s="27">
        <f>(IF(H103=0,0,(Upgrades!$M$16+H103*Upgrades!$N$16)*POWER(Upgrades!$O$16,H103)))*(IF(Upgrades!$T$13="Roche Lobe Overflow",POWER(Upgrades!$U$13,E103),1)*IF(Upgrades!$T$14="Roche Lobe Overflow",POWER(Upgrades!$U$14,F103),1)*IF(Upgrades!$T$15="Roche Lobe Overflow",POWER(Upgrades!$U$15,G103),1)*IF(Upgrades!$T$17="Roche Lobe Overflow",POWER(Upgrades!$U$17,I103),1)*IF(Upgrades!$T$18="Roche Lobe Overflow",POWER(Upgrades!$U$18,J103),1)*IF(Upgrades!$T$19="Roche Lobe Overflow",POWER(Upgrades!$U$19,K103),1)*IF(Upgrades!$T$20="Roche Lobe Overflow",POWER(Upgrades!$U$20,L103),1)*IF(Upgrades!$T$21="Roche Lobe Overflow",POWER(Upgrades!$U$21,M103),1))*POWER(Upgrades!$R$13,E103)*POWER(Upgrades!$R$14,F103)*POWER(Upgrades!$R$15,G103)*POWER(Upgrades!$R$16,H103)*POWER(Upgrades!$R$17,I103)*POWER(Upgrades!$R$18,J103)*POWER(Upgrades!$R$19,K103)*POWER(Upgrades!$R$20,L103)*POWER(Upgrades!$R$21,M103)*$H$6*O103*60</f>
        <v/>
      </c>
      <c r="AE103" s="27">
        <f>(IF(I103=0,0,(Upgrades!$G$17+I103*Upgrades!$H$17)*POWER(Upgrades!$I$17,I103)))*(IF(Upgrades!$T$13="Brown Dwarf",POWER(Upgrades!$U$13,E103),1)*IF(Upgrades!$T$14="Brown Dwarf",POWER(Upgrades!$U$14,F103),1)*IF(Upgrades!$T$15="Brown Dwarf",POWER(Upgrades!$U$15,G103),1)*IF(Upgrades!$T$16="Brown Dwarf",POWER(Upgrades!$U$16,H103),1)*IF(Upgrades!$T$18="Brown Dwarf",POWER(Upgrades!$U$18,J103),1)*IF(Upgrades!$T$19="Brown Dwarf",POWER(Upgrades!$U$19,K103),1)*IF(Upgrades!$T$20="Brown Dwarf",POWER(Upgrades!$U$20,L103),1)*IF(Upgrades!$T$21="Brown Dwarf",POWER(Upgrades!$U$21,M103),1))*POWER(Upgrades!$P$13,E103)*POWER(Upgrades!$P$14,F103)*POWER(Upgrades!$P$15,G103)*POWER(Upgrades!$P$16,H103)*POWER(Upgrades!$P$17,I103)*POWER(Upgrades!$P$18,J103)*POWER(Upgrades!$P$19,K103)*POWER(Upgrades!$P$20,L103)*POWER(Upgrades!$P$21,M103)*$F$6*60</f>
        <v/>
      </c>
      <c r="AF103" s="27" t="n">
        <v>0</v>
      </c>
      <c r="AG103" s="27" t="n">
        <v>0</v>
      </c>
      <c r="AH103" s="27" t="n">
        <v>0</v>
      </c>
      <c r="AI103" s="27">
        <f>(IF(M103=0,0,(Upgrades!$G$21+M103*Upgrades!$H$21)*POWER(Upgrades!$I$21,M103)))*(IF(Upgrades!$T$13="Moving Group",POWER(Upgrades!$U$13,E103),1)*IF(Upgrades!$T$14="Moving Group",POWER(Upgrades!$U$14,F103),1)*IF(Upgrades!$T$15="Moving Group",POWER(Upgrades!$U$15,G103),1)*IF(Upgrades!$T$16="Moving Group",POWER(Upgrades!$U$16,H103),1)*IF(Upgrades!$T$17="Moving Group",POWER(Upgrades!$U$17,I103),1)*IF(Upgrades!$T$18="Moving Group",POWER(Upgrades!$U$18,J103),1)*IF(Upgrades!$T$19="Moving Group",POWER(Upgrades!$U$19,K103),1)*IF(Upgrades!$T$20="Moving Group",POWER(Upgrades!$U$20,L103),1))*POWER(Upgrades!$P$13,E103)*POWER(Upgrades!$P$14,F103)*POWER(Upgrades!$P$15,G103)*POWER(Upgrades!$P$16,H103)*POWER(Upgrades!$P$17,I103)*POWER(Upgrades!$P$18,J103)*POWER(Upgrades!$P$19,K103)*POWER(Upgrades!$P$20,L103)*POWER(Upgrades!$P$21,M103)*$F$6*60</f>
        <v/>
      </c>
      <c r="AJ103" s="27">
        <f>$C$6*60</f>
        <v/>
      </c>
      <c r="AK103" s="22">
        <f>IF(E103&gt;=Upgrades!$E$13,"",Upgrades!$C$13*POWER(Upgrades!$D$13,E103))</f>
        <v/>
      </c>
      <c r="AL103" s="22">
        <f>IF(F103&gt;=Upgrades!$E$14,"",Upgrades!$C$14*POWER(Upgrades!$D$14,F103))</f>
        <v/>
      </c>
      <c r="AM103" s="22">
        <f>IF(G103&gt;=Upgrades!$E$15,"",Upgrades!$C$15*POWER(Upgrades!$D$15,G103))</f>
        <v/>
      </c>
      <c r="AN103" s="22">
        <f>IF(H103&gt;=Upgrades!$E$16,"",Upgrades!$C$16*POWER(Upgrades!$D$16,H103))</f>
        <v/>
      </c>
      <c r="AO103" s="22">
        <f>IF(I103&gt;=Upgrades!$E$17,"",Upgrades!$C$17*POWER(Upgrades!$D$17,I103))</f>
        <v/>
      </c>
      <c r="AP103" s="22">
        <f>IF(J103&gt;=Upgrades!$E$18,"",Upgrades!$C$18*POWER(Upgrades!$D$18,J103))</f>
        <v/>
      </c>
      <c r="AQ103" s="22">
        <f>IF(K103&gt;=Upgrades!$E$19,"",Upgrades!$C$19*POWER(Upgrades!$D$19,K103))</f>
        <v/>
      </c>
      <c r="AR103" s="22">
        <f>IF(L103&gt;=Upgrades!$E$20,"",Upgrades!$C$20*POWER(Upgrades!$D$20,L103))</f>
        <v/>
      </c>
      <c r="AS103" s="22">
        <f>IF(M103&gt;=Upgrades!$E$21,"",Upgrades!$C$21*POWER(Upgrades!$D$21,M103))</f>
        <v/>
      </c>
      <c r="AT103" s="26">
        <f>IF(AND(D103&gt;=Parameters!$B$18*Parameters!$B$19,(I103&gt;=Upgrades!$E$17)*(M103&gt;=Upgrades!$E$21)=1,N103=0),1,"")</f>
        <v/>
      </c>
      <c r="AU103" s="26">
        <f>IF(AND(D103&gt;=Parameters!$B$18*Parameters!$B$19,N103=0),1,"")</f>
        <v/>
      </c>
      <c r="AV103" s="22">
        <f>MIN(IF(ISNUMBER(AP103),AP103,9E15),IF(ISNUMBER(AQ103),AQ103,9E15),IF(ISNUMBER(AR103),AR103,9E15),IF(ISNUMBER(AS103),AS103,9E15))</f>
        <v/>
      </c>
      <c r="AW103" s="22">
        <f>MIN(IF(ISNUMBER(AK103),AK103,9E15),IF(ISNUMBER(AL103),AL103,9E15),IF(ISNUMBER(AM103),AM103,9E15),IF(ISNUMBER(AN103),AN103,9E15),IF(ISNUMBER(AO103),AO103,9E15))</f>
        <v/>
      </c>
      <c r="AX103" s="29">
        <f>IF(BD103&gt;Parameters!$B$21*(MAX(IF(AND(NOT(AND(AU103=1,AT103&lt;&gt;1)),ISNUMBER(AK103),AK103&lt;=(C103+T103)),AY103,0),IF(AND(NOT(AND(AU103=1,AT103&lt;&gt;1)),ISNUMBER(AL103),AL103&lt;=(C103+T103)),AZ103,0),IF(AND(NOT(AND(AU103=1,AT103&lt;&gt;1)),ISNUMBER(AM103),AM103&lt;=(C103+T103)),BA103,0),IF(AND(NOT(AND(AU103=1,AT103&lt;&gt;1)),ISNUMBER(AN103),AN103&lt;=(C103+T103)),BB103,0),IF(AND(ISNUMBER(AO103),AO103&lt;=(C103+T103)),BC103,0))),TRUE,FALSE)</f>
        <v/>
      </c>
      <c r="AY103" s="32">
        <f>IFERROR(Upgrades!$H$13*(POWER(Upgrades!$P$13,E103)*POWER(Upgrades!$P$14,F103)*POWER(Upgrades!$P$15,G103)*POWER(Upgrades!$P$16,H103)*POWER(Upgrades!$P$17,I103)*POWER(Upgrades!$P$18,J103)*POWER(Upgrades!$P$19,K103)*POWER(Upgrades!$P$20,L103)*POWER(Upgrades!$P$21,M103))*(IF(Upgrades!$T$14="Stellar Kinematics",POWER(Upgrades!$U$14,F103),1)*IF(Upgrades!$T$15="Stellar Kinematics",POWER(Upgrades!$U$15,G103),1)*IF(Upgrades!$T$16="Stellar Kinematics",POWER(Upgrades!$U$16,H103),1)*IF(Upgrades!$T$17="Stellar Kinematics",POWER(Upgrades!$U$17,I103),1)*IF(Upgrades!$T$18="Stellar Kinematics",POWER(Upgrades!$U$18,J103),1)*IF(Upgrades!$T$19="Stellar Kinematics",POWER(Upgrades!$U$19,K103),1)*IF(Upgrades!$T$20="Stellar Kinematics",POWER(Upgrades!$U$20,L103),1)*IF(Upgrades!$T$21="Stellar Kinematics",POWER(Upgrades!$U$21,M103),1))*$F$6/AK103,0)</f>
        <v/>
      </c>
      <c r="AZ103" s="32">
        <f>IFERROR(Upgrades!$H$14*(POWER(Upgrades!$P$13,E103)*POWER(Upgrades!$P$14,F103)*POWER(Upgrades!$P$15,G103)*POWER(Upgrades!$P$16,H103)*POWER(Upgrades!$P$17,I103)*POWER(Upgrades!$P$18,J103)*POWER(Upgrades!$P$19,K103)*POWER(Upgrades!$P$20,L103)*POWER(Upgrades!$P$21,M103))*(IF(Upgrades!$T$13="Local Bubble",POWER(Upgrades!$U$13,E103),1)*IF(Upgrades!$T$15="Local Bubble",POWER(Upgrades!$U$15,G103),1)*IF(Upgrades!$T$16="Local Bubble",POWER(Upgrades!$U$16,H103),1)*IF(Upgrades!$T$17="Local Bubble",POWER(Upgrades!$U$17,I103),1)*IF(Upgrades!$T$18="Local Bubble",POWER(Upgrades!$U$18,J103),1)*IF(Upgrades!$T$19="Local Bubble",POWER(Upgrades!$U$19,K103),1)*IF(Upgrades!$T$20="Local Bubble",POWER(Upgrades!$U$20,L103),1)*IF(Upgrades!$T$21="Local Bubble",POWER(Upgrades!$U$21,M103),1))*$F$6/AL103,0)</f>
        <v/>
      </c>
      <c r="BA103" s="32">
        <f>IFERROR(Upgrades!$K$15*(POWER(Upgrades!$Q$13,E103)*POWER(Upgrades!$Q$14,F103)*POWER(Upgrades!$Q$15,G103)*POWER(Upgrades!$Q$16,H103)*POWER(Upgrades!$Q$17,I103)*POWER(Upgrades!$Q$18,J103)*POWER(Upgrades!$Q$19,K103)*POWER(Upgrades!$Q$20,L103)*POWER(Upgrades!$Q$21,M103))*(IF(Upgrades!$T$13="Microlensing",POWER(Upgrades!$U$13,E103),1)*IF(Upgrades!$T$14="Microlensing",POWER(Upgrades!$U$14,F103),1)*IF(Upgrades!$T$16="Microlensing",POWER(Upgrades!$U$16,H103),1)*IF(Upgrades!$T$17="Microlensing",POWER(Upgrades!$U$17,I103),1)*IF(Upgrades!$T$18="Microlensing",POWER(Upgrades!$U$18,J103),1)*IF(Upgrades!$T$19="Microlensing",POWER(Upgrades!$U$19,K103),1)*IF(Upgrades!$T$20="Microlensing",POWER(Upgrades!$U$20,L103),1)*IF(Upgrades!$T$21="Microlensing",POWER(Upgrades!$U$21,M103),1))*$G$6*(Parameters!$B$10/60*Parameters!$B$11+Q103)/AM103,0)</f>
        <v/>
      </c>
      <c r="BB103" s="32">
        <f>IFERROR((Upgrades!$N$16*(POWER(Upgrades!$R$13,E103)*POWER(Upgrades!$R$14,F103)*POWER(Upgrades!$R$15,G103)*POWER(Upgrades!$R$16,H103)*POWER(Upgrades!$R$17,I103)*POWER(Upgrades!$R$18,J103)*POWER(Upgrades!$R$19,K103)*POWER(Upgrades!$R$20,L103)*POWER(Upgrades!$R$21,M103))*(IF(Upgrades!$T$13="Roche Lobe Overflow",POWER(Upgrades!$U$13,E103),1)*IF(Upgrades!$T$14="Roche Lobe Overflow",POWER(Upgrades!$U$14,F103),1)*IF(Upgrades!$T$15="Roche Lobe Overflow",POWER(Upgrades!$U$15,G103),1)*IF(Upgrades!$T$17="Roche Lobe Overflow",POWER(Upgrades!$U$17,I103),1)*IF(Upgrades!$T$18="Roche Lobe Overflow",POWER(Upgrades!$U$18,J103),1)*IF(Upgrades!$T$19="Roche Lobe Overflow",POWER(Upgrades!$U$19,K103),1)*IF(Upgrades!$T$20="Roche Lobe Overflow",POWER(Upgrades!$U$20,L103),1)*IF(Upgrades!$T$21="Roche Lobe Overflow",POWER(Upgrades!$U$21,M103),1))*$H$6*O103+((IF(F103=0,0,(Upgrades!$G$14+F103*Upgrades!$H$14)*POWER(Upgrades!$I$14,F103)))*(IF(Upgrades!$T$13="Local Bubble",POWER(Upgrades!$U$13,E103),1)*IF(Upgrades!$T$15="Local Bubble",POWER(Upgrades!$U$15,G103),1)*IF(Upgrades!$T$16="Local Bubble",POWER(Upgrades!$U$16,H103),1)*IF(Upgrades!$T$17="Local Bubble",POWER(Upgrades!$U$17,I103),1)*IF(Upgrades!$T$18="Local Bubble",POWER(Upgrades!$U$18,J103),1)*IF(Upgrades!$T$19="Local Bubble",POWER(Upgrades!$U$19,K103),1)*IF(Upgrades!$T$20="Local Bubble",POWER(Upgrades!$U$20,L103),1)*IF(Upgrades!$T$21="Local Bubble",POWER(Upgrades!$U$21,M103),1))*POWER(Upgrades!$P$13,E103)*POWER(Upgrades!$P$14,F103)*POWER(Upgrades!$P$15,G103)*POWER(Upgrades!$P$16,H103)*POWER(Upgrades!$P$17,I103)*POWER(Upgrades!$P$18,J103)*POWER(Upgrades!$P$19,K103)*POWER(Upgrades!$P$20,L103)*POWER(Upgrades!$P$21,M103)*$F$6)*0.05)/AN103,0)</f>
        <v/>
      </c>
      <c r="BC103" s="32">
        <f>IFERROR((Upgrades!$H$17*(POWER(Upgrades!$P$13,E103)*POWER(Upgrades!$P$14,F103)*POWER(Upgrades!$P$15,G103)*POWER(Upgrades!$P$16,H103)*POWER(Upgrades!$P$17,I103)*POWER(Upgrades!$P$18,J103)*POWER(Upgrades!$P$19,K103)*POWER(Upgrades!$P$20,L103)*POWER(Upgrades!$P$21,M103))*(IF(Upgrades!$T$13="Brown Dwarf",POWER(Upgrades!$U$13,E103),1)*IF(Upgrades!$T$14="Brown Dwarf",POWER(Upgrades!$U$14,F103),1)*IF(Upgrades!$T$15="Brown Dwarf",POWER(Upgrades!$U$15,G103),1)*IF(Upgrades!$T$16="Brown Dwarf",POWER(Upgrades!$U$16,H103),1)*IF(Upgrades!$T$18="Brown Dwarf",POWER(Upgrades!$U$18,J103),1)*IF(Upgrades!$T$19="Brown Dwarf",POWER(Upgrades!$U$19,K103),1)*IF(Upgrades!$T$20="Brown Dwarf",POWER(Upgrades!$U$20,L103),1)*IF(Upgrades!$T$21="Brown Dwarf",POWER(Upgrades!$U$21,M103),1))*$F$6+(((IF(H103=0,0,(Upgrades!$M$16+H103*Upgrades!$N$16)*POWER(Upgrades!$O$16,H103)))*(IF(Upgrades!$T$13="Roche Lobe Overflow",POWER(Upgrades!$U$13,E103),1)*IF(Upgrades!$T$14="Roche Lobe Overflow",POWER(Upgrades!$U$14,F103),1)*IF(Upgrades!$T$15="Roche Lobe Overflow",POWER(Upgrades!$U$15,G103),1)*IF(Upgrades!$T$17="Roche Lobe Overflow",POWER(Upgrades!$U$17,I103),1)*IF(Upgrades!$T$18="Roche Lobe Overflow",POWER(Upgrades!$U$18,J103),1)*IF(Upgrades!$T$19="Roche Lobe Overflow",POWER(Upgrades!$U$19,K103),1)*IF(Upgrades!$T$20="Roche Lobe Overflow",POWER(Upgrades!$U$20,L103),1)*IF(Upgrades!$T$21="Roche Lobe Overflow",POWER(Upgrades!$U$21,M103),1))*POWER(Upgrades!$R$13,E103)*POWER(Upgrades!$R$14,F103)*POWER(Upgrades!$R$15,G103)*POWER(Upgrades!$R$16,H103)*POWER(Upgrades!$R$17,I103)*POWER(Upgrades!$R$18,J103)*POWER(Upgrades!$R$19,K103)*POWER(Upgrades!$R$20,L103)*POWER(Upgrades!$R$21,M103)*$H$6)*O103)*0.10)/AO103,0)</f>
        <v/>
      </c>
      <c r="BD103" s="32">
        <f>MAX(IF(J103&gt;0,0,IFERROR(0.5*((IF(G103=0,0,(Upgrades!$J$15+G103*Upgrades!$K$15)*POWER(Upgrades!$L$15,G103)))*(IF(Upgrades!$T$13="Microlensing",POWER(Upgrades!$U$13,E103),1)*IF(Upgrades!$T$14="Microlensing",POWER(Upgrades!$U$14,F103),1)*IF(Upgrades!$T$16="Microlensing",POWER(Upgrades!$U$16,H103),1)*IF(Upgrades!$T$17="Microlensing",POWER(Upgrades!$U$17,I103),1)*IF(Upgrades!$T$18="Microlensing",POWER(Upgrades!$U$18,J103),1)*IF(Upgrades!$T$19="Microlensing",POWER(Upgrades!$U$19,K103),1)*IF(Upgrades!$T$20="Microlensing",POWER(Upgrades!$U$20,L103),1)*IF(Upgrades!$T$21="Microlensing",POWER(Upgrades!$U$21,M103),1))*(POWER(Upgrades!$Q$13,E103)*POWER(Upgrades!$Q$14,F103)*POWER(Upgrades!$Q$15,G103)*POWER(Upgrades!$Q$16,H103)*POWER(Upgrades!$Q$17,I103)*POWER(Upgrades!$Q$18,J103)*POWER(Upgrades!$Q$19,K103)*POWER(Upgrades!$Q$20,L103)*POWER(Upgrades!$Q$21,M103))*$G$6*(Parameters!$B$10/60*Parameters!$B$11+Q103))/Upgrades!$C$18,0)),IF(K103&gt;0,0,IFERROR(0.30*P103/Upgrades!$C$19,0)),IF(L103&gt;0,0,IFERROR(0.0001/Upgrades!$C$20,0)),IF(M103&gt;0,0,IFERROR((6.0*(POWER(Upgrades!$P$13,E103)*POWER(Upgrades!$P$14,F103)*POWER(Upgrades!$P$15,G103)*POWER(Upgrades!$P$16,H103)*POWER(Upgrades!$P$17,I103)*POWER(Upgrades!$P$18,J103)*POWER(Upgrades!$P$19,K103)*POWER(Upgrades!$P$20,L103)*POWER(Upgrades!$P$21,M103))*$F$6+0.20*O103*(Parameters!$B$10/60*Parameters!$B$11+Q103))/Upgrades!$C$21,0)),IF(AND(ISNUMBER(AK103),AK103&gt;(C103+T103)),AY103,0),IF(AND(ISNUMBER(AL103),AL103&gt;(C103+T103)),AZ103,0),IF(AND(ISNUMBER(AM103),AM103&gt;(C103+T103)),BA103,0),IF(AND(ISNUMBER(AN103),AN103&gt;(C103+T103)),BB103,0),IF(AND(ISNUMBER(AO103),AO103&gt;(C103+T103)),BC103,0))</f>
        <v/>
      </c>
      <c r="BE103" s="29">
        <f>IF(AT103=1,"transition",IF(MIN(IF(AND(J103=0,ISNUMBER(AP103),AP103&lt;=(C103+T103)),AP103,9E15),IF(AND(K103=0,ISNUMBER(AQ103),AQ103&lt;=(C103+T103)),AQ103,9E15),IF(AND(L103=0,ISNUMBER(AR103),AR103&lt;=(C103+T103)),AR103,9E15),IF(AND(M103=0,ISNUMBER(AS103),AS103&lt;=(C103+T103)),AS103,9E15))&lt;9E15,IF(AND(AND(J103=0,ISNUMBER(AP103),AP103&lt;=(C103+T103)),AP103=MIN(IF(AND(J103=0,ISNUMBER(AP103),AP103&lt;=(C103+T103)),AP103,9E15),IF(AND(K103=0,ISNUMBER(AQ103),AQ103&lt;=(C103+T103)),AQ103,9E15),IF(AND(L103=0,ISNUMBER(AR103),AR103&lt;=(C103+T103)),AR103,9E15),IF(AND(M103=0,ISNUMBER(AS103),AS103&lt;=(C103+T103)),AS103,9E15))),"BiP",IF(AND(AND(K103=0,ISNUMBER(AQ103),AQ103&lt;=(C103+T103)),AQ103=MIN(IF(AND(J103=0,ISNUMBER(AP103),AP103&lt;=(C103+T103)),AP103,9E15),IF(AND(K103=0,ISNUMBER(AQ103),AQ103&lt;=(C103+T103)),AQ103,9E15),IF(AND(L103=0,ISNUMBER(AR103),AR103&lt;=(C103+T103)),AR103,9E15),IF(AND(M103=0,ISNUMBER(AS103),AS103&lt;=(C103+T103)),AS103,9E15))),"PV",IF(AND(AND(L103=0,ISNUMBER(AR103),AR103&lt;=(C103+T103)),AR103=MIN(IF(AND(J103=0,ISNUMBER(AP103),AP103&lt;=(C103+T103)),AP103,9E15),IF(AND(K103=0,ISNUMBER(AQ103),AQ103&lt;=(C103+T103)),AQ103,9E15),IF(AND(L103=0,ISNUMBER(AR103),AR103&lt;=(C103+T103)),AR103,9E15),IF(AND(M103=0,ISNUMBER(AS103),AS103&lt;=(C103+T103)),AS103,9E15))),"OC","MG"))),IF(AX103=TRUE,"",IF(MAX(IF(AND(NOT(AND(AU103=1,AT103&lt;&gt;1)),ISNUMBER(AK103),AK103&lt;=(C103+T103)),AY103,0),IF(AND(NOT(AND(AU103=1,AT103&lt;&gt;1)),ISNUMBER(AL103),AL103&lt;=(C103+T103)),AZ103,0),IF(AND(NOT(AND(AU103=1,AT103&lt;&gt;1)),ISNUMBER(AM103),AM103&lt;=(C103+T103)),BA103,0),IF(AND(NOT(AND(AU103=1,AT103&lt;&gt;1)),ISNUMBER(AN103),AN103&lt;=(C103+T103)),BB103,0),IF(AND(ISNUMBER(AO103),AO103&lt;=(C103+T103)),BC103,0))&lt;=0,"",IF(AND(IF(AND(NOT(AND(AU103=1,AT103&lt;&gt;1)),ISNUMBER(AK103),AK103&lt;=(C103+T103)),AY103,0)&gt;0,IF(AND(NOT(AND(AU103=1,AT103&lt;&gt;1)),ISNUMBER(AK103),AK103&lt;=(C103+T103)),AY103,0)=MAX(IF(AND(NOT(AND(AU103=1,AT103&lt;&gt;1)),ISNUMBER(AK103),AK103&lt;=(C103+T103)),AY103,0),IF(AND(NOT(AND(AU103=1,AT103&lt;&gt;1)),ISNUMBER(AL103),AL103&lt;=(C103+T103)),AZ103,0),IF(AND(NOT(AND(AU103=1,AT103&lt;&gt;1)),ISNUMBER(AM103),AM103&lt;=(C103+T103)),BA103,0),IF(AND(NOT(AND(AU103=1,AT103&lt;&gt;1)),ISNUMBER(AN103),AN103&lt;=(C103+T103)),BB103,0),IF(AND(ISNUMBER(AO103),AO103&lt;=(C103+T103)),BC103,0))),"SK",IF(AND(IF(AND(NOT(AND(AU103=1,AT103&lt;&gt;1)),ISNUMBER(AL103),AL103&lt;=(C103+T103)),AZ103,0)&gt;0,IF(AND(NOT(AND(AU103=1,AT103&lt;&gt;1)),ISNUMBER(AL103),AL103&lt;=(C103+T103)),AZ103,0)=MAX(IF(AND(NOT(AND(AU103=1,AT103&lt;&gt;1)),ISNUMBER(AK103),AK103&lt;=(C103+T103)),AY103,0),IF(AND(NOT(AND(AU103=1,AT103&lt;&gt;1)),ISNUMBER(AL103),AL103&lt;=(C103+T103)),AZ103,0),IF(AND(NOT(AND(AU103=1,AT103&lt;&gt;1)),ISNUMBER(AM103),AM103&lt;=(C103+T103)),BA103,0),IF(AND(NOT(AND(AU103=1,AT103&lt;&gt;1)),ISNUMBER(AN103),AN103&lt;=(C103+T103)),BB103,0),IF(AND(ISNUMBER(AO103),AO103&lt;=(C103+T103)),BC103,0))),"LB",IF(AND(IF(AND(NOT(AND(AU103=1,AT103&lt;&gt;1)),ISNUMBER(AM103),AM103&lt;=(C103+T103)),BA103,0)&gt;0,IF(AND(NOT(AND(AU103=1,AT103&lt;&gt;1)),ISNUMBER(AM103),AM103&lt;=(C103+T103)),BA103,0)=MAX(IF(AND(NOT(AND(AU103=1,AT103&lt;&gt;1)),ISNUMBER(AK103),AK103&lt;=(C103+T103)),AY103,0),IF(AND(NOT(AND(AU103=1,AT103&lt;&gt;1)),ISNUMBER(AL103),AL103&lt;=(C103+T103)),AZ103,0),IF(AND(NOT(AND(AU103=1,AT103&lt;&gt;1)),ISNUMBER(AM103),AM103&lt;=(C103+T103)),BA103,0),IF(AND(NOT(AND(AU103=1,AT103&lt;&gt;1)),ISNUMBER(AN103),AN103&lt;=(C103+T103)),BB103,0),IF(AND(ISNUMBER(AO103),AO103&lt;=(C103+T103)),BC103,0))),"ML",IF(AND(IF(AND(NOT(AND(AU103=1,AT103&lt;&gt;1)),ISNUMBER(AN103),AN103&lt;=(C103+T103)),BB103,0)&gt;0,IF(AND(NOT(AND(AU103=1,AT103&lt;&gt;1)),ISNUMBER(AN103),AN103&lt;=(C103+T103)),BB103,0)=MAX(IF(AND(NOT(AND(AU103=1,AT103&lt;&gt;1)),ISNUMBER(AK103),AK103&lt;=(C103+T103)),AY103,0),IF(AND(NOT(AND(AU103=1,AT103&lt;&gt;1)),ISNUMBER(AL103),AL103&lt;=(C103+T103)),AZ103,0),IF(AND(NOT(AND(AU103=1,AT103&lt;&gt;1)),ISNUMBER(AM103),AM103&lt;=(C103+T103)),BA103,0),IF(AND(NOT(AND(AU103=1,AT103&lt;&gt;1)),ISNUMBER(AN103),AN103&lt;=(C103+T103)),BB103,0),IF(AND(ISNUMBER(AO103),AO103&lt;=(C103+T103)),BC103,0))),"RLO","BD"))))))))</f>
        <v/>
      </c>
    </row>
    <row r="104">
      <c r="A104" s="26" t="n">
        <v>93</v>
      </c>
      <c r="B104" s="27">
        <f>A104*10/60</f>
        <v/>
      </c>
      <c r="C104" s="22">
        <f>X103</f>
        <v/>
      </c>
      <c r="D104" s="27">
        <f>D103+W103</f>
        <v/>
      </c>
      <c r="E104" s="26">
        <f>E103+IF(U103="SK",1,0)</f>
        <v/>
      </c>
      <c r="F104" s="26">
        <f>F103+IF(U103="LB",1,0)</f>
        <v/>
      </c>
      <c r="G104" s="26">
        <f>G103+IF(U103="ML",1,0)</f>
        <v/>
      </c>
      <c r="H104" s="26">
        <f>H103+IF(U103="RLO",1,0)</f>
        <v/>
      </c>
      <c r="I104" s="26">
        <f>I103+IF(U103="BD",1,0)</f>
        <v/>
      </c>
      <c r="J104" s="26">
        <f>MAX(J103,IF(U103="BiP",1,0))</f>
        <v/>
      </c>
      <c r="K104" s="26">
        <f>MAX(K103,IF(U103="PV",1,0))</f>
        <v/>
      </c>
      <c r="L104" s="26">
        <f>MAX(L103,IF(U103="OC",1,0))</f>
        <v/>
      </c>
      <c r="M104" s="26">
        <f>MAX(M103,IF(U103="MG",1,0))</f>
        <v/>
      </c>
      <c r="N104" s="26">
        <f>MAX(N103,IF(U103="transition",1,0))</f>
        <v/>
      </c>
      <c r="O104" s="28">
        <f>(Parameters!$B$9+(IF(E104=0,0,(Upgrades!$J$13+E104*Upgrades!$K$13)*POWER(Upgrades!$L$13,E104)))*(IF(Upgrades!$T$14="Stellar Kinematics",POWER(Upgrades!$U$14,F104),1)*IF(Upgrades!$T$15="Stellar Kinematics",POWER(Upgrades!$U$15,G104),1)*IF(Upgrades!$T$16="Stellar Kinematics",POWER(Upgrades!$U$16,H104),1)*IF(Upgrades!$T$17="Stellar Kinematics",POWER(Upgrades!$U$17,I104),1)*IF(Upgrades!$T$18="Stellar Kinematics",POWER(Upgrades!$U$18,J104),1)*IF(Upgrades!$T$19="Stellar Kinematics",POWER(Upgrades!$U$19,K104),1)*IF(Upgrades!$T$20="Stellar Kinematics",POWER(Upgrades!$U$20,L104),1)*IF(Upgrades!$T$21="Stellar Kinematics",POWER(Upgrades!$U$21,M104),1))+(IF(F104=0,0,(Upgrades!$J$14+F104*Upgrades!$K$14)*POWER(Upgrades!$L$14,F104)))*(IF(Upgrades!$T$13="Local Bubble",POWER(Upgrades!$U$13,E104),1)*IF(Upgrades!$T$15="Local Bubble",POWER(Upgrades!$U$15,G104),1)*IF(Upgrades!$T$16="Local Bubble",POWER(Upgrades!$U$16,H104),1)*IF(Upgrades!$T$17="Local Bubble",POWER(Upgrades!$U$17,I104),1)*IF(Upgrades!$T$18="Local Bubble",POWER(Upgrades!$U$18,J104),1)*IF(Upgrades!$T$19="Local Bubble",POWER(Upgrades!$U$19,K104),1)*IF(Upgrades!$T$20="Local Bubble",POWER(Upgrades!$U$20,L104),1)*IF(Upgrades!$T$21="Local Bubble",POWER(Upgrades!$U$21,M104),1))+(IF(G104=0,0,(Upgrades!$J$15+G104*Upgrades!$K$15)*POWER(Upgrades!$L$15,G104)))*(IF(Upgrades!$T$13="Microlensing",POWER(Upgrades!$U$13,E104),1)*IF(Upgrades!$T$14="Microlensing",POWER(Upgrades!$U$14,F104),1)*IF(Upgrades!$T$16="Microlensing",POWER(Upgrades!$U$16,H104),1)*IF(Upgrades!$T$17="Microlensing",POWER(Upgrades!$U$17,I104),1)*IF(Upgrades!$T$18="Microlensing",POWER(Upgrades!$U$18,J104),1)*IF(Upgrades!$T$19="Microlensing",POWER(Upgrades!$U$19,K104),1)*IF(Upgrades!$T$20="Microlensing",POWER(Upgrades!$U$20,L104),1)*IF(Upgrades!$T$21="Microlensing",POWER(Upgrades!$U$21,M104),1))+(IF(H104=0,0,(Upgrades!$J$16+H104*Upgrades!$K$16)*POWER(Upgrades!$L$16,H104)))*(IF(Upgrades!$T$13="Roche Lobe Overflow",POWER(Upgrades!$U$13,E104),1)*IF(Upgrades!$T$14="Roche Lobe Overflow",POWER(Upgrades!$U$14,F104),1)*IF(Upgrades!$T$15="Roche Lobe Overflow",POWER(Upgrades!$U$15,G104),1)*IF(Upgrades!$T$17="Roche Lobe Overflow",POWER(Upgrades!$U$17,I104),1)*IF(Upgrades!$T$18="Roche Lobe Overflow",POWER(Upgrades!$U$18,J104),1)*IF(Upgrades!$T$19="Roche Lobe Overflow",POWER(Upgrades!$U$19,K104),1)*IF(Upgrades!$T$20="Roche Lobe Overflow",POWER(Upgrades!$U$20,L104),1)*IF(Upgrades!$T$21="Roche Lobe Overflow",POWER(Upgrades!$U$21,M104),1))+(IF(I104=0,0,(Upgrades!$J$17+I104*Upgrades!$K$17)*POWER(Upgrades!$L$17,I104)))*(IF(Upgrades!$T$13="Brown Dwarf",POWER(Upgrades!$U$13,E104),1)*IF(Upgrades!$T$14="Brown Dwarf",POWER(Upgrades!$U$14,F104),1)*IF(Upgrades!$T$15="Brown Dwarf",POWER(Upgrades!$U$15,G104),1)*IF(Upgrades!$T$16="Brown Dwarf",POWER(Upgrades!$U$16,H104),1)*IF(Upgrades!$T$18="Brown Dwarf",POWER(Upgrades!$U$18,J104),1)*IF(Upgrades!$T$19="Brown Dwarf",POWER(Upgrades!$U$19,K104),1)*IF(Upgrades!$T$20="Brown Dwarf",POWER(Upgrades!$U$20,L104),1)*IF(Upgrades!$T$21="Brown Dwarf",POWER(Upgrades!$U$21,M104),1))+(IF(J104=0,0,(Upgrades!$J$18+J104*Upgrades!$K$18)*POWER(Upgrades!$L$18,J104)))*(IF(Upgrades!$T$13="Binary Partner",POWER(Upgrades!$U$13,E104),1)*IF(Upgrades!$T$14="Binary Partner",POWER(Upgrades!$U$14,F104),1)*IF(Upgrades!$T$15="Binary Partner",POWER(Upgrades!$U$15,G104),1)*IF(Upgrades!$T$16="Binary Partner",POWER(Upgrades!$U$16,H104),1)*IF(Upgrades!$T$17="Binary Partner",POWER(Upgrades!$U$17,I104),1)*IF(Upgrades!$T$19="Binary Partner",POWER(Upgrades!$U$19,K104),1)*IF(Upgrades!$T$20="Binary Partner",POWER(Upgrades!$U$20,L104),1)*IF(Upgrades!$T$21="Binary Partner",POWER(Upgrades!$U$21,M104),1))+(IF(K104=0,0,(Upgrades!$J$19+K104*Upgrades!$K$19)*POWER(Upgrades!$L$19,K104)))*(IF(Upgrades!$T$13="Peculiar Velocity",POWER(Upgrades!$U$13,E104),1)*IF(Upgrades!$T$14="Peculiar Velocity",POWER(Upgrades!$U$14,F104),1)*IF(Upgrades!$T$15="Peculiar Velocity",POWER(Upgrades!$U$15,G104),1)*IF(Upgrades!$T$16="Peculiar Velocity",POWER(Upgrades!$U$16,H104),1)*IF(Upgrades!$T$17="Peculiar Velocity",POWER(Upgrades!$U$17,I104),1)*IF(Upgrades!$T$18="Peculiar Velocity",POWER(Upgrades!$U$18,J104),1)*IF(Upgrades!$T$20="Peculiar Velocity",POWER(Upgrades!$U$20,L104),1)*IF(Upgrades!$T$21="Peculiar Velocity",POWER(Upgrades!$U$21,M104),1))+(IF(L104=0,0,(Upgrades!$J$20+L104*Upgrades!$K$20)*POWER(Upgrades!$L$20,L104)))*(IF(Upgrades!$T$13="Open Cluster",POWER(Upgrades!$U$13,E104),1)*IF(Upgrades!$T$14="Open Cluster",POWER(Upgrades!$U$14,F104),1)*IF(Upgrades!$T$15="Open Cluster",POWER(Upgrades!$U$15,G104),1)*IF(Upgrades!$T$16="Open Cluster",POWER(Upgrades!$U$16,H104),1)*IF(Upgrades!$T$17="Open Cluster",POWER(Upgrades!$U$17,I104),1)*IF(Upgrades!$T$18="Open Cluster",POWER(Upgrades!$U$18,J104),1)*IF(Upgrades!$T$19="Open Cluster",POWER(Upgrades!$U$19,K104),1)*IF(Upgrades!$T$21="Open Cluster",POWER(Upgrades!$U$21,M104),1))+(IF(M104=0,0,(Upgrades!$J$21+M104*Upgrades!$K$21)*POWER(Upgrades!$L$21,M104)))*(IF(Upgrades!$T$13="Moving Group",POWER(Upgrades!$U$13,E104),1)*IF(Upgrades!$T$14="Moving Group",POWER(Upgrades!$U$14,F104),1)*IF(Upgrades!$T$15="Moving Group",POWER(Upgrades!$U$15,G104),1)*IF(Upgrades!$T$16="Moving Group",POWER(Upgrades!$U$16,H104),1)*IF(Upgrades!$T$17="Moving Group",POWER(Upgrades!$U$17,I104),1)*IF(Upgrades!$T$18="Moving Group",POWER(Upgrades!$U$18,J104),1)*IF(Upgrades!$T$19="Moving Group",POWER(Upgrades!$U$19,K104),1)*IF(Upgrades!$T$20="Moving Group",POWER(Upgrades!$U$20,L104),1)))*POWER(Upgrades!$Q$13,E104)*POWER(Upgrades!$Q$14,F104)*POWER(Upgrades!$Q$15,G104)*POWER(Upgrades!$Q$16,H104)*POWER(Upgrades!$Q$17,I104)*POWER(Upgrades!$Q$18,J104)*POWER(Upgrades!$Q$19,K104)*POWER(Upgrades!$Q$20,L104)*POWER(Upgrades!$Q$21,M104)*$G$6+$D$6</f>
        <v/>
      </c>
      <c r="P104" s="28">
        <f>((IF(E104=0,0,(Upgrades!$G$13+E104*Upgrades!$H$13)*POWER(Upgrades!$I$13,E104)))*(IF(Upgrades!$T$14="Stellar Kinematics",POWER(Upgrades!$U$14,F104),1)*IF(Upgrades!$T$15="Stellar Kinematics",POWER(Upgrades!$U$15,G104),1)*IF(Upgrades!$T$16="Stellar Kinematics",POWER(Upgrades!$U$16,H104),1)*IF(Upgrades!$T$17="Stellar Kinematics",POWER(Upgrades!$U$17,I104),1)*IF(Upgrades!$T$18="Stellar Kinematics",POWER(Upgrades!$U$18,J104),1)*IF(Upgrades!$T$19="Stellar Kinematics",POWER(Upgrades!$U$19,K104),1)*IF(Upgrades!$T$20="Stellar Kinematics",POWER(Upgrades!$U$20,L104),1)*IF(Upgrades!$T$21="Stellar Kinematics",POWER(Upgrades!$U$21,M104),1))+(IF(F104=0,0,(Upgrades!$G$14+F104*Upgrades!$H$14)*POWER(Upgrades!$I$14,F104)))*(IF(Upgrades!$T$13="Local Bubble",POWER(Upgrades!$U$13,E104),1)*IF(Upgrades!$T$15="Local Bubble",POWER(Upgrades!$U$15,G104),1)*IF(Upgrades!$T$16="Local Bubble",POWER(Upgrades!$U$16,H104),1)*IF(Upgrades!$T$17="Local Bubble",POWER(Upgrades!$U$17,I104),1)*IF(Upgrades!$T$18="Local Bubble",POWER(Upgrades!$U$18,J104),1)*IF(Upgrades!$T$19="Local Bubble",POWER(Upgrades!$U$19,K104),1)*IF(Upgrades!$T$20="Local Bubble",POWER(Upgrades!$U$20,L104),1)*IF(Upgrades!$T$21="Local Bubble",POWER(Upgrades!$U$21,M104),1))+(IF(G104=0,0,(Upgrades!$G$15+G104*Upgrades!$H$15)*POWER(Upgrades!$I$15,G104)))*(IF(Upgrades!$T$13="Microlensing",POWER(Upgrades!$U$13,E104),1)*IF(Upgrades!$T$14="Microlensing",POWER(Upgrades!$U$14,F104),1)*IF(Upgrades!$T$16="Microlensing",POWER(Upgrades!$U$16,H104),1)*IF(Upgrades!$T$17="Microlensing",POWER(Upgrades!$U$17,I104),1)*IF(Upgrades!$T$18="Microlensing",POWER(Upgrades!$U$18,J104),1)*IF(Upgrades!$T$19="Microlensing",POWER(Upgrades!$U$19,K104),1)*IF(Upgrades!$T$20="Microlensing",POWER(Upgrades!$U$20,L104),1)*IF(Upgrades!$T$21="Microlensing",POWER(Upgrades!$U$21,M104),1))+(IF(H104=0,0,(Upgrades!$G$16+H104*Upgrades!$H$16)*POWER(Upgrades!$I$16,H104)))*(IF(Upgrades!$T$13="Roche Lobe Overflow",POWER(Upgrades!$U$13,E104),1)*IF(Upgrades!$T$14="Roche Lobe Overflow",POWER(Upgrades!$U$14,F104),1)*IF(Upgrades!$T$15="Roche Lobe Overflow",POWER(Upgrades!$U$15,G104),1)*IF(Upgrades!$T$17="Roche Lobe Overflow",POWER(Upgrades!$U$17,I104),1)*IF(Upgrades!$T$18="Roche Lobe Overflow",POWER(Upgrades!$U$18,J104),1)*IF(Upgrades!$T$19="Roche Lobe Overflow",POWER(Upgrades!$U$19,K104),1)*IF(Upgrades!$T$20="Roche Lobe Overflow",POWER(Upgrades!$U$20,L104),1)*IF(Upgrades!$T$21="Roche Lobe Overflow",POWER(Upgrades!$U$21,M104),1))+(IF(I104=0,0,(Upgrades!$G$17+I104*Upgrades!$H$17)*POWER(Upgrades!$I$17,I104)))*(IF(Upgrades!$T$13="Brown Dwarf",POWER(Upgrades!$U$13,E104),1)*IF(Upgrades!$T$14="Brown Dwarf",POWER(Upgrades!$U$14,F104),1)*IF(Upgrades!$T$15="Brown Dwarf",POWER(Upgrades!$U$15,G104),1)*IF(Upgrades!$T$16="Brown Dwarf",POWER(Upgrades!$U$16,H104),1)*IF(Upgrades!$T$18="Brown Dwarf",POWER(Upgrades!$U$18,J104),1)*IF(Upgrades!$T$19="Brown Dwarf",POWER(Upgrades!$U$19,K104),1)*IF(Upgrades!$T$20="Brown Dwarf",POWER(Upgrades!$U$20,L104),1)*IF(Upgrades!$T$21="Brown Dwarf",POWER(Upgrades!$U$21,M104),1))+(IF(J104=0,0,(Upgrades!$G$18+J104*Upgrades!$H$18)*POWER(Upgrades!$I$18,J104)))*(IF(Upgrades!$T$13="Binary Partner",POWER(Upgrades!$U$13,E104),1)*IF(Upgrades!$T$14="Binary Partner",POWER(Upgrades!$U$14,F104),1)*IF(Upgrades!$T$15="Binary Partner",POWER(Upgrades!$U$15,G104),1)*IF(Upgrades!$T$16="Binary Partner",POWER(Upgrades!$U$16,H104),1)*IF(Upgrades!$T$17="Binary Partner",POWER(Upgrades!$U$17,I104),1)*IF(Upgrades!$T$19="Binary Partner",POWER(Upgrades!$U$19,K104),1)*IF(Upgrades!$T$20="Binary Partner",POWER(Upgrades!$U$20,L104),1)*IF(Upgrades!$T$21="Binary Partner",POWER(Upgrades!$U$21,M104),1))+(IF(K104=0,0,(Upgrades!$G$19+K104*Upgrades!$H$19)*POWER(Upgrades!$I$19,K104)))*(IF(Upgrades!$T$13="Peculiar Velocity",POWER(Upgrades!$U$13,E104),1)*IF(Upgrades!$T$14="Peculiar Velocity",POWER(Upgrades!$U$14,F104),1)*IF(Upgrades!$T$15="Peculiar Velocity",POWER(Upgrades!$U$15,G104),1)*IF(Upgrades!$T$16="Peculiar Velocity",POWER(Upgrades!$U$16,H104),1)*IF(Upgrades!$T$17="Peculiar Velocity",POWER(Upgrades!$U$17,I104),1)*IF(Upgrades!$T$18="Peculiar Velocity",POWER(Upgrades!$U$18,J104),1)*IF(Upgrades!$T$20="Peculiar Velocity",POWER(Upgrades!$U$20,L104),1)*IF(Upgrades!$T$21="Peculiar Velocity",POWER(Upgrades!$U$21,M104),1))+(IF(L104=0,0,(Upgrades!$G$20+L104*Upgrades!$H$20)*POWER(Upgrades!$I$20,L104)))*(IF(Upgrades!$T$13="Open Cluster",POWER(Upgrades!$U$13,E104),1)*IF(Upgrades!$T$14="Open Cluster",POWER(Upgrades!$U$14,F104),1)*IF(Upgrades!$T$15="Open Cluster",POWER(Upgrades!$U$15,G104),1)*IF(Upgrades!$T$16="Open Cluster",POWER(Upgrades!$U$16,H104),1)*IF(Upgrades!$T$17="Open Cluster",POWER(Upgrades!$U$17,I104),1)*IF(Upgrades!$T$18="Open Cluster",POWER(Upgrades!$U$18,J104),1)*IF(Upgrades!$T$19="Open Cluster",POWER(Upgrades!$U$19,K104),1)*IF(Upgrades!$T$21="Open Cluster",POWER(Upgrades!$U$21,M104),1))+(IF(M104=0,0,(Upgrades!$G$21+M104*Upgrades!$H$21)*POWER(Upgrades!$I$21,M104)))*(IF(Upgrades!$T$13="Moving Group",POWER(Upgrades!$U$13,E104),1)*IF(Upgrades!$T$14="Moving Group",POWER(Upgrades!$U$14,F104),1)*IF(Upgrades!$T$15="Moving Group",POWER(Upgrades!$U$15,G104),1)*IF(Upgrades!$T$16="Moving Group",POWER(Upgrades!$U$16,H104),1)*IF(Upgrades!$T$17="Moving Group",POWER(Upgrades!$U$17,I104),1)*IF(Upgrades!$T$18="Moving Group",POWER(Upgrades!$U$18,J104),1)*IF(Upgrades!$T$19="Moving Group",POWER(Upgrades!$U$19,K104),1)*IF(Upgrades!$T$20="Moving Group",POWER(Upgrades!$U$20,L104),1)))*POWER(Upgrades!$P$13,E104)*POWER(Upgrades!$P$14,F104)*POWER(Upgrades!$P$15,G104)*POWER(Upgrades!$P$16,H104)*POWER(Upgrades!$P$17,I104)*POWER(Upgrades!$P$18,J104)*POWER(Upgrades!$P$19,K104)*POWER(Upgrades!$P$20,L104)*POWER(Upgrades!$P$21,M104)*$F$6+$C$6</f>
        <v/>
      </c>
      <c r="Q104" s="28">
        <f>((IF(E104=0,0,(Upgrades!$M$13+E104*Upgrades!$N$13)*POWER(Upgrades!$O$13,E104)))*(IF(Upgrades!$T$14="Stellar Kinematics",POWER(Upgrades!$U$14,F104),1)*IF(Upgrades!$T$15="Stellar Kinematics",POWER(Upgrades!$U$15,G104),1)*IF(Upgrades!$T$16="Stellar Kinematics",POWER(Upgrades!$U$16,H104),1)*IF(Upgrades!$T$17="Stellar Kinematics",POWER(Upgrades!$U$17,I104),1)*IF(Upgrades!$T$18="Stellar Kinematics",POWER(Upgrades!$U$18,J104),1)*IF(Upgrades!$T$19="Stellar Kinematics",POWER(Upgrades!$U$19,K104),1)*IF(Upgrades!$T$20="Stellar Kinematics",POWER(Upgrades!$U$20,L104),1)*IF(Upgrades!$T$21="Stellar Kinematics",POWER(Upgrades!$U$21,M104),1))+(IF(F104=0,0,(Upgrades!$M$14+F104*Upgrades!$N$14)*POWER(Upgrades!$O$14,F104)))*(IF(Upgrades!$T$13="Local Bubble",POWER(Upgrades!$U$13,E104),1)*IF(Upgrades!$T$15="Local Bubble",POWER(Upgrades!$U$15,G104),1)*IF(Upgrades!$T$16="Local Bubble",POWER(Upgrades!$U$16,H104),1)*IF(Upgrades!$T$17="Local Bubble",POWER(Upgrades!$U$17,I104),1)*IF(Upgrades!$T$18="Local Bubble",POWER(Upgrades!$U$18,J104),1)*IF(Upgrades!$T$19="Local Bubble",POWER(Upgrades!$U$19,K104),1)*IF(Upgrades!$T$20="Local Bubble",POWER(Upgrades!$U$20,L104),1)*IF(Upgrades!$T$21="Local Bubble",POWER(Upgrades!$U$21,M104),1))+(IF(G104=0,0,(Upgrades!$M$15+G104*Upgrades!$N$15)*POWER(Upgrades!$O$15,G104)))*(IF(Upgrades!$T$13="Microlensing",POWER(Upgrades!$U$13,E104),1)*IF(Upgrades!$T$14="Microlensing",POWER(Upgrades!$U$14,F104),1)*IF(Upgrades!$T$16="Microlensing",POWER(Upgrades!$U$16,H104),1)*IF(Upgrades!$T$17="Microlensing",POWER(Upgrades!$U$17,I104),1)*IF(Upgrades!$T$18="Microlensing",POWER(Upgrades!$U$18,J104),1)*IF(Upgrades!$T$19="Microlensing",POWER(Upgrades!$U$19,K104),1)*IF(Upgrades!$T$20="Microlensing",POWER(Upgrades!$U$20,L104),1)*IF(Upgrades!$T$21="Microlensing",POWER(Upgrades!$U$21,M104),1))+(IF(H104=0,0,(Upgrades!$M$16+H104*Upgrades!$N$16)*POWER(Upgrades!$O$16,H104)))*(IF(Upgrades!$T$13="Roche Lobe Overflow",POWER(Upgrades!$U$13,E104),1)*IF(Upgrades!$T$14="Roche Lobe Overflow",POWER(Upgrades!$U$14,F104),1)*IF(Upgrades!$T$15="Roche Lobe Overflow",POWER(Upgrades!$U$15,G104),1)*IF(Upgrades!$T$17="Roche Lobe Overflow",POWER(Upgrades!$U$17,I104),1)*IF(Upgrades!$T$18="Roche Lobe Overflow",POWER(Upgrades!$U$18,J104),1)*IF(Upgrades!$T$19="Roche Lobe Overflow",POWER(Upgrades!$U$19,K104),1)*IF(Upgrades!$T$20="Roche Lobe Overflow",POWER(Upgrades!$U$20,L104),1)*IF(Upgrades!$T$21="Roche Lobe Overflow",POWER(Upgrades!$U$21,M104),1))+(IF(I104=0,0,(Upgrades!$M$17+I104*Upgrades!$N$17)*POWER(Upgrades!$O$17,I104)))*(IF(Upgrades!$T$13="Brown Dwarf",POWER(Upgrades!$U$13,E104),1)*IF(Upgrades!$T$14="Brown Dwarf",POWER(Upgrades!$U$14,F104),1)*IF(Upgrades!$T$15="Brown Dwarf",POWER(Upgrades!$U$15,G104),1)*IF(Upgrades!$T$16="Brown Dwarf",POWER(Upgrades!$U$16,H104),1)*IF(Upgrades!$T$18="Brown Dwarf",POWER(Upgrades!$U$18,J104),1)*IF(Upgrades!$T$19="Brown Dwarf",POWER(Upgrades!$U$19,K104),1)*IF(Upgrades!$T$20="Brown Dwarf",POWER(Upgrades!$U$20,L104),1)*IF(Upgrades!$T$21="Brown Dwarf",POWER(Upgrades!$U$21,M104),1))+(IF(J104=0,0,(Upgrades!$M$18+J104*Upgrades!$N$18)*POWER(Upgrades!$O$18,J104)))*(IF(Upgrades!$T$13="Binary Partner",POWER(Upgrades!$U$13,E104),1)*IF(Upgrades!$T$14="Binary Partner",POWER(Upgrades!$U$14,F104),1)*IF(Upgrades!$T$15="Binary Partner",POWER(Upgrades!$U$15,G104),1)*IF(Upgrades!$T$16="Binary Partner",POWER(Upgrades!$U$16,H104),1)*IF(Upgrades!$T$17="Binary Partner",POWER(Upgrades!$U$17,I104),1)*IF(Upgrades!$T$19="Binary Partner",POWER(Upgrades!$U$19,K104),1)*IF(Upgrades!$T$20="Binary Partner",POWER(Upgrades!$U$20,L104),1)*IF(Upgrades!$T$21="Binary Partner",POWER(Upgrades!$U$21,M104),1))+(IF(K104=0,0,(Upgrades!$M$19+K104*Upgrades!$N$19)*POWER(Upgrades!$O$19,K104)))*(IF(Upgrades!$T$13="Peculiar Velocity",POWER(Upgrades!$U$13,E104),1)*IF(Upgrades!$T$14="Peculiar Velocity",POWER(Upgrades!$U$14,F104),1)*IF(Upgrades!$T$15="Peculiar Velocity",POWER(Upgrades!$U$15,G104),1)*IF(Upgrades!$T$16="Peculiar Velocity",POWER(Upgrades!$U$16,H104),1)*IF(Upgrades!$T$17="Peculiar Velocity",POWER(Upgrades!$U$17,I104),1)*IF(Upgrades!$T$18="Peculiar Velocity",POWER(Upgrades!$U$18,J104),1)*IF(Upgrades!$T$20="Peculiar Velocity",POWER(Upgrades!$U$20,L104),1)*IF(Upgrades!$T$21="Peculiar Velocity",POWER(Upgrades!$U$21,M104),1))+(IF(L104=0,0,(Upgrades!$M$20+L104*Upgrades!$N$20)*POWER(Upgrades!$O$20,L104)))*(IF(Upgrades!$T$13="Open Cluster",POWER(Upgrades!$U$13,E104),1)*IF(Upgrades!$T$14="Open Cluster",POWER(Upgrades!$U$14,F104),1)*IF(Upgrades!$T$15="Open Cluster",POWER(Upgrades!$U$15,G104),1)*IF(Upgrades!$T$16="Open Cluster",POWER(Upgrades!$U$16,H104),1)*IF(Upgrades!$T$17="Open Cluster",POWER(Upgrades!$U$17,I104),1)*IF(Upgrades!$T$18="Open Cluster",POWER(Upgrades!$U$18,J104),1)*IF(Upgrades!$T$19="Open Cluster",POWER(Upgrades!$U$19,K104),1)*IF(Upgrades!$T$21="Open Cluster",POWER(Upgrades!$U$21,M104),1))+(IF(M104=0,0,(Upgrades!$M$21+M104*Upgrades!$N$21)*POWER(Upgrades!$O$21,M104)))*(IF(Upgrades!$T$13="Moving Group",POWER(Upgrades!$U$13,E104),1)*IF(Upgrades!$T$14="Moving Group",POWER(Upgrades!$U$14,F104),1)*IF(Upgrades!$T$15="Moving Group",POWER(Upgrades!$U$15,G104),1)*IF(Upgrades!$T$16="Moving Group",POWER(Upgrades!$U$16,H104),1)*IF(Upgrades!$T$17="Moving Group",POWER(Upgrades!$U$17,I104),1)*IF(Upgrades!$T$18="Moving Group",POWER(Upgrades!$U$18,J104),1)*IF(Upgrades!$T$19="Moving Group",POWER(Upgrades!$U$19,K104),1)*IF(Upgrades!$T$20="Moving Group",POWER(Upgrades!$U$20,L104),1)))*POWER(Upgrades!$R$13,E104)*POWER(Upgrades!$R$14,F104)*POWER(Upgrades!$R$15,G104)*POWER(Upgrades!$R$16,H104)*POWER(Upgrades!$R$17,I104)*POWER(Upgrades!$R$18,J104)*POWER(Upgrades!$R$19,K104)*POWER(Upgrades!$R$20,L104)*POWER(Upgrades!$R$21,M104)*$H$6+$E$6</f>
        <v/>
      </c>
      <c r="R104" s="27">
        <f>IF(N104=1,0,O104*Parameters!$B$10/60*Parameters!$B$11*10)</f>
        <v/>
      </c>
      <c r="S104" s="27">
        <f>IF(N104=1,0,Q104*O104*10)</f>
        <v/>
      </c>
      <c r="T104" s="27">
        <f>IF(N104=1,0,R104+S104+P104*10)</f>
        <v/>
      </c>
      <c r="U104" s="33">
        <f>BE104</f>
        <v/>
      </c>
      <c r="V104" s="22">
        <f>IF(U104="",0,IF(U104="transition",0,IF(U104="SK",AK104,IF(U104="LB",AL104,IF(U104="ML",AM104,IF(U104="RLO",AN104,IF(U104="BD",AO104,IF(U104="BiP",AP104,IF(U104="PV",AQ104,IF(U104="OC",AR104,IF(U104="MG",AS104,0))))))))))</f>
        <v/>
      </c>
      <c r="W104" s="27">
        <f>IF(U104="BiP",Upgrades!$F$18,IF(U104="PV",Upgrades!$F$19,IF(U104="OC",Upgrades!$F$20,IF(U104="MG",Upgrades!$F$21,IF(U104="transition",-Parameters!$B$18*Parameters!$B$19,0)))))</f>
        <v/>
      </c>
      <c r="X104" s="22">
        <f>C104+T104-V104</f>
        <v/>
      </c>
      <c r="Y104" s="30">
        <f>O104*Parameters!$B$10/60*Parameters!$B$11+Q104*O104+P104</f>
        <v/>
      </c>
      <c r="Z104" s="34">
        <f>IF(U104="transition","→ Tier 3 (Galactic Arm)",IF(U104="MG","Moving Group — pocket drifts together",IF(U104="OC","Open Cluster acquired",IF(U104="PV","Peculiar Velocity — passive multiplier active",IF(U104="BiP","Binary Partner — pair bond formed",IF(AND(AU104=1,N104=0,AT104&lt;&gt;1),"Cohesion ready (waiting on completionists)","")))))) </f>
        <v/>
      </c>
      <c r="AA104" s="27">
        <f>(IF(E104=0,0,(Upgrades!$G$13+E104*Upgrades!$H$13)*POWER(Upgrades!$I$13,E104)))*(IF(Upgrades!$T$14="Stellar Kinematics",POWER(Upgrades!$U$14,F104),1)*IF(Upgrades!$T$15="Stellar Kinematics",POWER(Upgrades!$U$15,G104),1)*IF(Upgrades!$T$16="Stellar Kinematics",POWER(Upgrades!$U$16,H104),1)*IF(Upgrades!$T$17="Stellar Kinematics",POWER(Upgrades!$U$17,I104),1)*IF(Upgrades!$T$18="Stellar Kinematics",POWER(Upgrades!$U$18,J104),1)*IF(Upgrades!$T$19="Stellar Kinematics",POWER(Upgrades!$U$19,K104),1)*IF(Upgrades!$T$20="Stellar Kinematics",POWER(Upgrades!$U$20,L104),1)*IF(Upgrades!$T$21="Stellar Kinematics",POWER(Upgrades!$U$21,M104),1))*POWER(Upgrades!$P$13,E104)*POWER(Upgrades!$P$14,F104)*POWER(Upgrades!$P$15,G104)*POWER(Upgrades!$P$16,H104)*POWER(Upgrades!$P$17,I104)*POWER(Upgrades!$P$18,J104)*POWER(Upgrades!$P$19,K104)*POWER(Upgrades!$P$20,L104)*POWER(Upgrades!$P$21,M104)*$F$6*60</f>
        <v/>
      </c>
      <c r="AB104" s="27">
        <f>(IF(F104=0,0,(Upgrades!$G$14+F104*Upgrades!$H$14)*POWER(Upgrades!$I$14,F104)))*(IF(Upgrades!$T$13="Local Bubble",POWER(Upgrades!$U$13,E104),1)*IF(Upgrades!$T$15="Local Bubble",POWER(Upgrades!$U$15,G104),1)*IF(Upgrades!$T$16="Local Bubble",POWER(Upgrades!$U$16,H104),1)*IF(Upgrades!$T$17="Local Bubble",POWER(Upgrades!$U$17,I104),1)*IF(Upgrades!$T$18="Local Bubble",POWER(Upgrades!$U$18,J104),1)*IF(Upgrades!$T$19="Local Bubble",POWER(Upgrades!$U$19,K104),1)*IF(Upgrades!$T$20="Local Bubble",POWER(Upgrades!$U$20,L104),1)*IF(Upgrades!$T$21="Local Bubble",POWER(Upgrades!$U$21,M104),1))*POWER(Upgrades!$P$13,E104)*POWER(Upgrades!$P$14,F104)*POWER(Upgrades!$P$15,G104)*POWER(Upgrades!$P$16,H104)*POWER(Upgrades!$P$17,I104)*POWER(Upgrades!$P$18,J104)*POWER(Upgrades!$P$19,K104)*POWER(Upgrades!$P$20,L104)*POWER(Upgrades!$P$21,M104)*$F$6*60</f>
        <v/>
      </c>
      <c r="AC104" s="27">
        <f>(IF(G104=0,0,(Upgrades!$J$15+G104*Upgrades!$K$15)*POWER(Upgrades!$L$15,G104)))*(IF(Upgrades!$T$13="Microlensing",POWER(Upgrades!$U$13,E104),1)*IF(Upgrades!$T$14="Microlensing",POWER(Upgrades!$U$14,F104),1)*IF(Upgrades!$T$16="Microlensing",POWER(Upgrades!$U$16,H104),1)*IF(Upgrades!$T$17="Microlensing",POWER(Upgrades!$U$17,I104),1)*IF(Upgrades!$T$18="Microlensing",POWER(Upgrades!$U$18,J104),1)*IF(Upgrades!$T$19="Microlensing",POWER(Upgrades!$U$19,K104),1)*IF(Upgrades!$T$20="Microlensing",POWER(Upgrades!$U$20,L104),1)*IF(Upgrades!$T$21="Microlensing",POWER(Upgrades!$U$21,M104),1))*POWER(Upgrades!$Q$13,E104)*POWER(Upgrades!$Q$14,F104)*POWER(Upgrades!$Q$15,G104)*POWER(Upgrades!$Q$16,H104)*POWER(Upgrades!$Q$17,I104)*POWER(Upgrades!$Q$18,J104)*POWER(Upgrades!$Q$19,K104)*POWER(Upgrades!$Q$20,L104)*POWER(Upgrades!$Q$21,M104)*$G$6*(Parameters!$B$10*Parameters!$B$11+Q104*60)</f>
        <v/>
      </c>
      <c r="AD104" s="27">
        <f>(IF(H104=0,0,(Upgrades!$M$16+H104*Upgrades!$N$16)*POWER(Upgrades!$O$16,H104)))*(IF(Upgrades!$T$13="Roche Lobe Overflow",POWER(Upgrades!$U$13,E104),1)*IF(Upgrades!$T$14="Roche Lobe Overflow",POWER(Upgrades!$U$14,F104),1)*IF(Upgrades!$T$15="Roche Lobe Overflow",POWER(Upgrades!$U$15,G104),1)*IF(Upgrades!$T$17="Roche Lobe Overflow",POWER(Upgrades!$U$17,I104),1)*IF(Upgrades!$T$18="Roche Lobe Overflow",POWER(Upgrades!$U$18,J104),1)*IF(Upgrades!$T$19="Roche Lobe Overflow",POWER(Upgrades!$U$19,K104),1)*IF(Upgrades!$T$20="Roche Lobe Overflow",POWER(Upgrades!$U$20,L104),1)*IF(Upgrades!$T$21="Roche Lobe Overflow",POWER(Upgrades!$U$21,M104),1))*POWER(Upgrades!$R$13,E104)*POWER(Upgrades!$R$14,F104)*POWER(Upgrades!$R$15,G104)*POWER(Upgrades!$R$16,H104)*POWER(Upgrades!$R$17,I104)*POWER(Upgrades!$R$18,J104)*POWER(Upgrades!$R$19,K104)*POWER(Upgrades!$R$20,L104)*POWER(Upgrades!$R$21,M104)*$H$6*O104*60</f>
        <v/>
      </c>
      <c r="AE104" s="27">
        <f>(IF(I104=0,0,(Upgrades!$G$17+I104*Upgrades!$H$17)*POWER(Upgrades!$I$17,I104)))*(IF(Upgrades!$T$13="Brown Dwarf",POWER(Upgrades!$U$13,E104),1)*IF(Upgrades!$T$14="Brown Dwarf",POWER(Upgrades!$U$14,F104),1)*IF(Upgrades!$T$15="Brown Dwarf",POWER(Upgrades!$U$15,G104),1)*IF(Upgrades!$T$16="Brown Dwarf",POWER(Upgrades!$U$16,H104),1)*IF(Upgrades!$T$18="Brown Dwarf",POWER(Upgrades!$U$18,J104),1)*IF(Upgrades!$T$19="Brown Dwarf",POWER(Upgrades!$U$19,K104),1)*IF(Upgrades!$T$20="Brown Dwarf",POWER(Upgrades!$U$20,L104),1)*IF(Upgrades!$T$21="Brown Dwarf",POWER(Upgrades!$U$21,M104),1))*POWER(Upgrades!$P$13,E104)*POWER(Upgrades!$P$14,F104)*POWER(Upgrades!$P$15,G104)*POWER(Upgrades!$P$16,H104)*POWER(Upgrades!$P$17,I104)*POWER(Upgrades!$P$18,J104)*POWER(Upgrades!$P$19,K104)*POWER(Upgrades!$P$20,L104)*POWER(Upgrades!$P$21,M104)*$F$6*60</f>
        <v/>
      </c>
      <c r="AF104" s="27" t="n">
        <v>0</v>
      </c>
      <c r="AG104" s="27" t="n">
        <v>0</v>
      </c>
      <c r="AH104" s="27" t="n">
        <v>0</v>
      </c>
      <c r="AI104" s="27">
        <f>(IF(M104=0,0,(Upgrades!$G$21+M104*Upgrades!$H$21)*POWER(Upgrades!$I$21,M104)))*(IF(Upgrades!$T$13="Moving Group",POWER(Upgrades!$U$13,E104),1)*IF(Upgrades!$T$14="Moving Group",POWER(Upgrades!$U$14,F104),1)*IF(Upgrades!$T$15="Moving Group",POWER(Upgrades!$U$15,G104),1)*IF(Upgrades!$T$16="Moving Group",POWER(Upgrades!$U$16,H104),1)*IF(Upgrades!$T$17="Moving Group",POWER(Upgrades!$U$17,I104),1)*IF(Upgrades!$T$18="Moving Group",POWER(Upgrades!$U$18,J104),1)*IF(Upgrades!$T$19="Moving Group",POWER(Upgrades!$U$19,K104),1)*IF(Upgrades!$T$20="Moving Group",POWER(Upgrades!$U$20,L104),1))*POWER(Upgrades!$P$13,E104)*POWER(Upgrades!$P$14,F104)*POWER(Upgrades!$P$15,G104)*POWER(Upgrades!$P$16,H104)*POWER(Upgrades!$P$17,I104)*POWER(Upgrades!$P$18,J104)*POWER(Upgrades!$P$19,K104)*POWER(Upgrades!$P$20,L104)*POWER(Upgrades!$P$21,M104)*$F$6*60</f>
        <v/>
      </c>
      <c r="AJ104" s="27">
        <f>$C$6*60</f>
        <v/>
      </c>
      <c r="AK104" s="22">
        <f>IF(E104&gt;=Upgrades!$E$13,"",Upgrades!$C$13*POWER(Upgrades!$D$13,E104))</f>
        <v/>
      </c>
      <c r="AL104" s="22">
        <f>IF(F104&gt;=Upgrades!$E$14,"",Upgrades!$C$14*POWER(Upgrades!$D$14,F104))</f>
        <v/>
      </c>
      <c r="AM104" s="22">
        <f>IF(G104&gt;=Upgrades!$E$15,"",Upgrades!$C$15*POWER(Upgrades!$D$15,G104))</f>
        <v/>
      </c>
      <c r="AN104" s="22">
        <f>IF(H104&gt;=Upgrades!$E$16,"",Upgrades!$C$16*POWER(Upgrades!$D$16,H104))</f>
        <v/>
      </c>
      <c r="AO104" s="22">
        <f>IF(I104&gt;=Upgrades!$E$17,"",Upgrades!$C$17*POWER(Upgrades!$D$17,I104))</f>
        <v/>
      </c>
      <c r="AP104" s="22">
        <f>IF(J104&gt;=Upgrades!$E$18,"",Upgrades!$C$18*POWER(Upgrades!$D$18,J104))</f>
        <v/>
      </c>
      <c r="AQ104" s="22">
        <f>IF(K104&gt;=Upgrades!$E$19,"",Upgrades!$C$19*POWER(Upgrades!$D$19,K104))</f>
        <v/>
      </c>
      <c r="AR104" s="22">
        <f>IF(L104&gt;=Upgrades!$E$20,"",Upgrades!$C$20*POWER(Upgrades!$D$20,L104))</f>
        <v/>
      </c>
      <c r="AS104" s="22">
        <f>IF(M104&gt;=Upgrades!$E$21,"",Upgrades!$C$21*POWER(Upgrades!$D$21,M104))</f>
        <v/>
      </c>
      <c r="AT104" s="26">
        <f>IF(AND(D104&gt;=Parameters!$B$18*Parameters!$B$19,(I104&gt;=Upgrades!$E$17)*(M104&gt;=Upgrades!$E$21)=1,N104=0),1,"")</f>
        <v/>
      </c>
      <c r="AU104" s="26">
        <f>IF(AND(D104&gt;=Parameters!$B$18*Parameters!$B$19,N104=0),1,"")</f>
        <v/>
      </c>
      <c r="AV104" s="22">
        <f>MIN(IF(ISNUMBER(AP104),AP104,9E15),IF(ISNUMBER(AQ104),AQ104,9E15),IF(ISNUMBER(AR104),AR104,9E15),IF(ISNUMBER(AS104),AS104,9E15))</f>
        <v/>
      </c>
      <c r="AW104" s="22">
        <f>MIN(IF(ISNUMBER(AK104),AK104,9E15),IF(ISNUMBER(AL104),AL104,9E15),IF(ISNUMBER(AM104),AM104,9E15),IF(ISNUMBER(AN104),AN104,9E15),IF(ISNUMBER(AO104),AO104,9E15))</f>
        <v/>
      </c>
      <c r="AX104" s="29">
        <f>IF(BD104&gt;Parameters!$B$21*(MAX(IF(AND(NOT(AND(AU104=1,AT104&lt;&gt;1)),ISNUMBER(AK104),AK104&lt;=(C104+T104)),AY104,0),IF(AND(NOT(AND(AU104=1,AT104&lt;&gt;1)),ISNUMBER(AL104),AL104&lt;=(C104+T104)),AZ104,0),IF(AND(NOT(AND(AU104=1,AT104&lt;&gt;1)),ISNUMBER(AM104),AM104&lt;=(C104+T104)),BA104,0),IF(AND(NOT(AND(AU104=1,AT104&lt;&gt;1)),ISNUMBER(AN104),AN104&lt;=(C104+T104)),BB104,0),IF(AND(ISNUMBER(AO104),AO104&lt;=(C104+T104)),BC104,0))),TRUE,FALSE)</f>
        <v/>
      </c>
      <c r="AY104" s="32">
        <f>IFERROR(Upgrades!$H$13*(POWER(Upgrades!$P$13,E104)*POWER(Upgrades!$P$14,F104)*POWER(Upgrades!$P$15,G104)*POWER(Upgrades!$P$16,H104)*POWER(Upgrades!$P$17,I104)*POWER(Upgrades!$P$18,J104)*POWER(Upgrades!$P$19,K104)*POWER(Upgrades!$P$20,L104)*POWER(Upgrades!$P$21,M104))*(IF(Upgrades!$T$14="Stellar Kinematics",POWER(Upgrades!$U$14,F104),1)*IF(Upgrades!$T$15="Stellar Kinematics",POWER(Upgrades!$U$15,G104),1)*IF(Upgrades!$T$16="Stellar Kinematics",POWER(Upgrades!$U$16,H104),1)*IF(Upgrades!$T$17="Stellar Kinematics",POWER(Upgrades!$U$17,I104),1)*IF(Upgrades!$T$18="Stellar Kinematics",POWER(Upgrades!$U$18,J104),1)*IF(Upgrades!$T$19="Stellar Kinematics",POWER(Upgrades!$U$19,K104),1)*IF(Upgrades!$T$20="Stellar Kinematics",POWER(Upgrades!$U$20,L104),1)*IF(Upgrades!$T$21="Stellar Kinematics",POWER(Upgrades!$U$21,M104),1))*$F$6/AK104,0)</f>
        <v/>
      </c>
      <c r="AZ104" s="32">
        <f>IFERROR(Upgrades!$H$14*(POWER(Upgrades!$P$13,E104)*POWER(Upgrades!$P$14,F104)*POWER(Upgrades!$P$15,G104)*POWER(Upgrades!$P$16,H104)*POWER(Upgrades!$P$17,I104)*POWER(Upgrades!$P$18,J104)*POWER(Upgrades!$P$19,K104)*POWER(Upgrades!$P$20,L104)*POWER(Upgrades!$P$21,M104))*(IF(Upgrades!$T$13="Local Bubble",POWER(Upgrades!$U$13,E104),1)*IF(Upgrades!$T$15="Local Bubble",POWER(Upgrades!$U$15,G104),1)*IF(Upgrades!$T$16="Local Bubble",POWER(Upgrades!$U$16,H104),1)*IF(Upgrades!$T$17="Local Bubble",POWER(Upgrades!$U$17,I104),1)*IF(Upgrades!$T$18="Local Bubble",POWER(Upgrades!$U$18,J104),1)*IF(Upgrades!$T$19="Local Bubble",POWER(Upgrades!$U$19,K104),1)*IF(Upgrades!$T$20="Local Bubble",POWER(Upgrades!$U$20,L104),1)*IF(Upgrades!$T$21="Local Bubble",POWER(Upgrades!$U$21,M104),1))*$F$6/AL104,0)</f>
        <v/>
      </c>
      <c r="BA104" s="32">
        <f>IFERROR(Upgrades!$K$15*(POWER(Upgrades!$Q$13,E104)*POWER(Upgrades!$Q$14,F104)*POWER(Upgrades!$Q$15,G104)*POWER(Upgrades!$Q$16,H104)*POWER(Upgrades!$Q$17,I104)*POWER(Upgrades!$Q$18,J104)*POWER(Upgrades!$Q$19,K104)*POWER(Upgrades!$Q$20,L104)*POWER(Upgrades!$Q$21,M104))*(IF(Upgrades!$T$13="Microlensing",POWER(Upgrades!$U$13,E104),1)*IF(Upgrades!$T$14="Microlensing",POWER(Upgrades!$U$14,F104),1)*IF(Upgrades!$T$16="Microlensing",POWER(Upgrades!$U$16,H104),1)*IF(Upgrades!$T$17="Microlensing",POWER(Upgrades!$U$17,I104),1)*IF(Upgrades!$T$18="Microlensing",POWER(Upgrades!$U$18,J104),1)*IF(Upgrades!$T$19="Microlensing",POWER(Upgrades!$U$19,K104),1)*IF(Upgrades!$T$20="Microlensing",POWER(Upgrades!$U$20,L104),1)*IF(Upgrades!$T$21="Microlensing",POWER(Upgrades!$U$21,M104),1))*$G$6*(Parameters!$B$10/60*Parameters!$B$11+Q104)/AM104,0)</f>
        <v/>
      </c>
      <c r="BB104" s="32">
        <f>IFERROR((Upgrades!$N$16*(POWER(Upgrades!$R$13,E104)*POWER(Upgrades!$R$14,F104)*POWER(Upgrades!$R$15,G104)*POWER(Upgrades!$R$16,H104)*POWER(Upgrades!$R$17,I104)*POWER(Upgrades!$R$18,J104)*POWER(Upgrades!$R$19,K104)*POWER(Upgrades!$R$20,L104)*POWER(Upgrades!$R$21,M104))*(IF(Upgrades!$T$13="Roche Lobe Overflow",POWER(Upgrades!$U$13,E104),1)*IF(Upgrades!$T$14="Roche Lobe Overflow",POWER(Upgrades!$U$14,F104),1)*IF(Upgrades!$T$15="Roche Lobe Overflow",POWER(Upgrades!$U$15,G104),1)*IF(Upgrades!$T$17="Roche Lobe Overflow",POWER(Upgrades!$U$17,I104),1)*IF(Upgrades!$T$18="Roche Lobe Overflow",POWER(Upgrades!$U$18,J104),1)*IF(Upgrades!$T$19="Roche Lobe Overflow",POWER(Upgrades!$U$19,K104),1)*IF(Upgrades!$T$20="Roche Lobe Overflow",POWER(Upgrades!$U$20,L104),1)*IF(Upgrades!$T$21="Roche Lobe Overflow",POWER(Upgrades!$U$21,M104),1))*$H$6*O104+((IF(F104=0,0,(Upgrades!$G$14+F104*Upgrades!$H$14)*POWER(Upgrades!$I$14,F104)))*(IF(Upgrades!$T$13="Local Bubble",POWER(Upgrades!$U$13,E104),1)*IF(Upgrades!$T$15="Local Bubble",POWER(Upgrades!$U$15,G104),1)*IF(Upgrades!$T$16="Local Bubble",POWER(Upgrades!$U$16,H104),1)*IF(Upgrades!$T$17="Local Bubble",POWER(Upgrades!$U$17,I104),1)*IF(Upgrades!$T$18="Local Bubble",POWER(Upgrades!$U$18,J104),1)*IF(Upgrades!$T$19="Local Bubble",POWER(Upgrades!$U$19,K104),1)*IF(Upgrades!$T$20="Local Bubble",POWER(Upgrades!$U$20,L104),1)*IF(Upgrades!$T$21="Local Bubble",POWER(Upgrades!$U$21,M104),1))*POWER(Upgrades!$P$13,E104)*POWER(Upgrades!$P$14,F104)*POWER(Upgrades!$P$15,G104)*POWER(Upgrades!$P$16,H104)*POWER(Upgrades!$P$17,I104)*POWER(Upgrades!$P$18,J104)*POWER(Upgrades!$P$19,K104)*POWER(Upgrades!$P$20,L104)*POWER(Upgrades!$P$21,M104)*$F$6)*0.05)/AN104,0)</f>
        <v/>
      </c>
      <c r="BC104" s="32">
        <f>IFERROR((Upgrades!$H$17*(POWER(Upgrades!$P$13,E104)*POWER(Upgrades!$P$14,F104)*POWER(Upgrades!$P$15,G104)*POWER(Upgrades!$P$16,H104)*POWER(Upgrades!$P$17,I104)*POWER(Upgrades!$P$18,J104)*POWER(Upgrades!$P$19,K104)*POWER(Upgrades!$P$20,L104)*POWER(Upgrades!$P$21,M104))*(IF(Upgrades!$T$13="Brown Dwarf",POWER(Upgrades!$U$13,E104),1)*IF(Upgrades!$T$14="Brown Dwarf",POWER(Upgrades!$U$14,F104),1)*IF(Upgrades!$T$15="Brown Dwarf",POWER(Upgrades!$U$15,G104),1)*IF(Upgrades!$T$16="Brown Dwarf",POWER(Upgrades!$U$16,H104),1)*IF(Upgrades!$T$18="Brown Dwarf",POWER(Upgrades!$U$18,J104),1)*IF(Upgrades!$T$19="Brown Dwarf",POWER(Upgrades!$U$19,K104),1)*IF(Upgrades!$T$20="Brown Dwarf",POWER(Upgrades!$U$20,L104),1)*IF(Upgrades!$T$21="Brown Dwarf",POWER(Upgrades!$U$21,M104),1))*$F$6+(((IF(H104=0,0,(Upgrades!$M$16+H104*Upgrades!$N$16)*POWER(Upgrades!$O$16,H104)))*(IF(Upgrades!$T$13="Roche Lobe Overflow",POWER(Upgrades!$U$13,E104),1)*IF(Upgrades!$T$14="Roche Lobe Overflow",POWER(Upgrades!$U$14,F104),1)*IF(Upgrades!$T$15="Roche Lobe Overflow",POWER(Upgrades!$U$15,G104),1)*IF(Upgrades!$T$17="Roche Lobe Overflow",POWER(Upgrades!$U$17,I104),1)*IF(Upgrades!$T$18="Roche Lobe Overflow",POWER(Upgrades!$U$18,J104),1)*IF(Upgrades!$T$19="Roche Lobe Overflow",POWER(Upgrades!$U$19,K104),1)*IF(Upgrades!$T$20="Roche Lobe Overflow",POWER(Upgrades!$U$20,L104),1)*IF(Upgrades!$T$21="Roche Lobe Overflow",POWER(Upgrades!$U$21,M104),1))*POWER(Upgrades!$R$13,E104)*POWER(Upgrades!$R$14,F104)*POWER(Upgrades!$R$15,G104)*POWER(Upgrades!$R$16,H104)*POWER(Upgrades!$R$17,I104)*POWER(Upgrades!$R$18,J104)*POWER(Upgrades!$R$19,K104)*POWER(Upgrades!$R$20,L104)*POWER(Upgrades!$R$21,M104)*$H$6)*O104)*0.10)/AO104,0)</f>
        <v/>
      </c>
      <c r="BD104" s="32">
        <f>MAX(IF(J104&gt;0,0,IFERROR(0.5*((IF(G104=0,0,(Upgrades!$J$15+G104*Upgrades!$K$15)*POWER(Upgrades!$L$15,G104)))*(IF(Upgrades!$T$13="Microlensing",POWER(Upgrades!$U$13,E104),1)*IF(Upgrades!$T$14="Microlensing",POWER(Upgrades!$U$14,F104),1)*IF(Upgrades!$T$16="Microlensing",POWER(Upgrades!$U$16,H104),1)*IF(Upgrades!$T$17="Microlensing",POWER(Upgrades!$U$17,I104),1)*IF(Upgrades!$T$18="Microlensing",POWER(Upgrades!$U$18,J104),1)*IF(Upgrades!$T$19="Microlensing",POWER(Upgrades!$U$19,K104),1)*IF(Upgrades!$T$20="Microlensing",POWER(Upgrades!$U$20,L104),1)*IF(Upgrades!$T$21="Microlensing",POWER(Upgrades!$U$21,M104),1))*(POWER(Upgrades!$Q$13,E104)*POWER(Upgrades!$Q$14,F104)*POWER(Upgrades!$Q$15,G104)*POWER(Upgrades!$Q$16,H104)*POWER(Upgrades!$Q$17,I104)*POWER(Upgrades!$Q$18,J104)*POWER(Upgrades!$Q$19,K104)*POWER(Upgrades!$Q$20,L104)*POWER(Upgrades!$Q$21,M104))*$G$6*(Parameters!$B$10/60*Parameters!$B$11+Q104))/Upgrades!$C$18,0)),IF(K104&gt;0,0,IFERROR(0.30*P104/Upgrades!$C$19,0)),IF(L104&gt;0,0,IFERROR(0.0001/Upgrades!$C$20,0)),IF(M104&gt;0,0,IFERROR((6.0*(POWER(Upgrades!$P$13,E104)*POWER(Upgrades!$P$14,F104)*POWER(Upgrades!$P$15,G104)*POWER(Upgrades!$P$16,H104)*POWER(Upgrades!$P$17,I104)*POWER(Upgrades!$P$18,J104)*POWER(Upgrades!$P$19,K104)*POWER(Upgrades!$P$20,L104)*POWER(Upgrades!$P$21,M104))*$F$6+0.20*O104*(Parameters!$B$10/60*Parameters!$B$11+Q104))/Upgrades!$C$21,0)),IF(AND(ISNUMBER(AK104),AK104&gt;(C104+T104)),AY104,0),IF(AND(ISNUMBER(AL104),AL104&gt;(C104+T104)),AZ104,0),IF(AND(ISNUMBER(AM104),AM104&gt;(C104+T104)),BA104,0),IF(AND(ISNUMBER(AN104),AN104&gt;(C104+T104)),BB104,0),IF(AND(ISNUMBER(AO104),AO104&gt;(C104+T104)),BC104,0))</f>
        <v/>
      </c>
      <c r="BE104" s="29">
        <f>IF(AT104=1,"transition",IF(MIN(IF(AND(J104=0,ISNUMBER(AP104),AP104&lt;=(C104+T104)),AP104,9E15),IF(AND(K104=0,ISNUMBER(AQ104),AQ104&lt;=(C104+T104)),AQ104,9E15),IF(AND(L104=0,ISNUMBER(AR104),AR104&lt;=(C104+T104)),AR104,9E15),IF(AND(M104=0,ISNUMBER(AS104),AS104&lt;=(C104+T104)),AS104,9E15))&lt;9E15,IF(AND(AND(J104=0,ISNUMBER(AP104),AP104&lt;=(C104+T104)),AP104=MIN(IF(AND(J104=0,ISNUMBER(AP104),AP104&lt;=(C104+T104)),AP104,9E15),IF(AND(K104=0,ISNUMBER(AQ104),AQ104&lt;=(C104+T104)),AQ104,9E15),IF(AND(L104=0,ISNUMBER(AR104),AR104&lt;=(C104+T104)),AR104,9E15),IF(AND(M104=0,ISNUMBER(AS104),AS104&lt;=(C104+T104)),AS104,9E15))),"BiP",IF(AND(AND(K104=0,ISNUMBER(AQ104),AQ104&lt;=(C104+T104)),AQ104=MIN(IF(AND(J104=0,ISNUMBER(AP104),AP104&lt;=(C104+T104)),AP104,9E15),IF(AND(K104=0,ISNUMBER(AQ104),AQ104&lt;=(C104+T104)),AQ104,9E15),IF(AND(L104=0,ISNUMBER(AR104),AR104&lt;=(C104+T104)),AR104,9E15),IF(AND(M104=0,ISNUMBER(AS104),AS104&lt;=(C104+T104)),AS104,9E15))),"PV",IF(AND(AND(L104=0,ISNUMBER(AR104),AR104&lt;=(C104+T104)),AR104=MIN(IF(AND(J104=0,ISNUMBER(AP104),AP104&lt;=(C104+T104)),AP104,9E15),IF(AND(K104=0,ISNUMBER(AQ104),AQ104&lt;=(C104+T104)),AQ104,9E15),IF(AND(L104=0,ISNUMBER(AR104),AR104&lt;=(C104+T104)),AR104,9E15),IF(AND(M104=0,ISNUMBER(AS104),AS104&lt;=(C104+T104)),AS104,9E15))),"OC","MG"))),IF(AX104=TRUE,"",IF(MAX(IF(AND(NOT(AND(AU104=1,AT104&lt;&gt;1)),ISNUMBER(AK104),AK104&lt;=(C104+T104)),AY104,0),IF(AND(NOT(AND(AU104=1,AT104&lt;&gt;1)),ISNUMBER(AL104),AL104&lt;=(C104+T104)),AZ104,0),IF(AND(NOT(AND(AU104=1,AT104&lt;&gt;1)),ISNUMBER(AM104),AM104&lt;=(C104+T104)),BA104,0),IF(AND(NOT(AND(AU104=1,AT104&lt;&gt;1)),ISNUMBER(AN104),AN104&lt;=(C104+T104)),BB104,0),IF(AND(ISNUMBER(AO104),AO104&lt;=(C104+T104)),BC104,0))&lt;=0,"",IF(AND(IF(AND(NOT(AND(AU104=1,AT104&lt;&gt;1)),ISNUMBER(AK104),AK104&lt;=(C104+T104)),AY104,0)&gt;0,IF(AND(NOT(AND(AU104=1,AT104&lt;&gt;1)),ISNUMBER(AK104),AK104&lt;=(C104+T104)),AY104,0)=MAX(IF(AND(NOT(AND(AU104=1,AT104&lt;&gt;1)),ISNUMBER(AK104),AK104&lt;=(C104+T104)),AY104,0),IF(AND(NOT(AND(AU104=1,AT104&lt;&gt;1)),ISNUMBER(AL104),AL104&lt;=(C104+T104)),AZ104,0),IF(AND(NOT(AND(AU104=1,AT104&lt;&gt;1)),ISNUMBER(AM104),AM104&lt;=(C104+T104)),BA104,0),IF(AND(NOT(AND(AU104=1,AT104&lt;&gt;1)),ISNUMBER(AN104),AN104&lt;=(C104+T104)),BB104,0),IF(AND(ISNUMBER(AO104),AO104&lt;=(C104+T104)),BC104,0))),"SK",IF(AND(IF(AND(NOT(AND(AU104=1,AT104&lt;&gt;1)),ISNUMBER(AL104),AL104&lt;=(C104+T104)),AZ104,0)&gt;0,IF(AND(NOT(AND(AU104=1,AT104&lt;&gt;1)),ISNUMBER(AL104),AL104&lt;=(C104+T104)),AZ104,0)=MAX(IF(AND(NOT(AND(AU104=1,AT104&lt;&gt;1)),ISNUMBER(AK104),AK104&lt;=(C104+T104)),AY104,0),IF(AND(NOT(AND(AU104=1,AT104&lt;&gt;1)),ISNUMBER(AL104),AL104&lt;=(C104+T104)),AZ104,0),IF(AND(NOT(AND(AU104=1,AT104&lt;&gt;1)),ISNUMBER(AM104),AM104&lt;=(C104+T104)),BA104,0),IF(AND(NOT(AND(AU104=1,AT104&lt;&gt;1)),ISNUMBER(AN104),AN104&lt;=(C104+T104)),BB104,0),IF(AND(ISNUMBER(AO104),AO104&lt;=(C104+T104)),BC104,0))),"LB",IF(AND(IF(AND(NOT(AND(AU104=1,AT104&lt;&gt;1)),ISNUMBER(AM104),AM104&lt;=(C104+T104)),BA104,0)&gt;0,IF(AND(NOT(AND(AU104=1,AT104&lt;&gt;1)),ISNUMBER(AM104),AM104&lt;=(C104+T104)),BA104,0)=MAX(IF(AND(NOT(AND(AU104=1,AT104&lt;&gt;1)),ISNUMBER(AK104),AK104&lt;=(C104+T104)),AY104,0),IF(AND(NOT(AND(AU104=1,AT104&lt;&gt;1)),ISNUMBER(AL104),AL104&lt;=(C104+T104)),AZ104,0),IF(AND(NOT(AND(AU104=1,AT104&lt;&gt;1)),ISNUMBER(AM104),AM104&lt;=(C104+T104)),BA104,0),IF(AND(NOT(AND(AU104=1,AT104&lt;&gt;1)),ISNUMBER(AN104),AN104&lt;=(C104+T104)),BB104,0),IF(AND(ISNUMBER(AO104),AO104&lt;=(C104+T104)),BC104,0))),"ML",IF(AND(IF(AND(NOT(AND(AU104=1,AT104&lt;&gt;1)),ISNUMBER(AN104),AN104&lt;=(C104+T104)),BB104,0)&gt;0,IF(AND(NOT(AND(AU104=1,AT104&lt;&gt;1)),ISNUMBER(AN104),AN104&lt;=(C104+T104)),BB104,0)=MAX(IF(AND(NOT(AND(AU104=1,AT104&lt;&gt;1)),ISNUMBER(AK104),AK104&lt;=(C104+T104)),AY104,0),IF(AND(NOT(AND(AU104=1,AT104&lt;&gt;1)),ISNUMBER(AL104),AL104&lt;=(C104+T104)),AZ104,0),IF(AND(NOT(AND(AU104=1,AT104&lt;&gt;1)),ISNUMBER(AM104),AM104&lt;=(C104+T104)),BA104,0),IF(AND(NOT(AND(AU104=1,AT104&lt;&gt;1)),ISNUMBER(AN104),AN104&lt;=(C104+T104)),BB104,0),IF(AND(ISNUMBER(AO104),AO104&lt;=(C104+T104)),BC104,0))),"RLO","BD"))))))))</f>
        <v/>
      </c>
    </row>
    <row r="105">
      <c r="A105" s="26" t="n">
        <v>94</v>
      </c>
      <c r="B105" s="27">
        <f>A105*10/60</f>
        <v/>
      </c>
      <c r="C105" s="22">
        <f>X104</f>
        <v/>
      </c>
      <c r="D105" s="27">
        <f>D104+W104</f>
        <v/>
      </c>
      <c r="E105" s="26">
        <f>E104+IF(U104="SK",1,0)</f>
        <v/>
      </c>
      <c r="F105" s="26">
        <f>F104+IF(U104="LB",1,0)</f>
        <v/>
      </c>
      <c r="G105" s="26">
        <f>G104+IF(U104="ML",1,0)</f>
        <v/>
      </c>
      <c r="H105" s="26">
        <f>H104+IF(U104="RLO",1,0)</f>
        <v/>
      </c>
      <c r="I105" s="26">
        <f>I104+IF(U104="BD",1,0)</f>
        <v/>
      </c>
      <c r="J105" s="26">
        <f>MAX(J104,IF(U104="BiP",1,0))</f>
        <v/>
      </c>
      <c r="K105" s="26">
        <f>MAX(K104,IF(U104="PV",1,0))</f>
        <v/>
      </c>
      <c r="L105" s="26">
        <f>MAX(L104,IF(U104="OC",1,0))</f>
        <v/>
      </c>
      <c r="M105" s="26">
        <f>MAX(M104,IF(U104="MG",1,0))</f>
        <v/>
      </c>
      <c r="N105" s="26">
        <f>MAX(N104,IF(U104="transition",1,0))</f>
        <v/>
      </c>
      <c r="O105" s="28">
        <f>(Parameters!$B$9+(IF(E105=0,0,(Upgrades!$J$13+E105*Upgrades!$K$13)*POWER(Upgrades!$L$13,E105)))*(IF(Upgrades!$T$14="Stellar Kinematics",POWER(Upgrades!$U$14,F105),1)*IF(Upgrades!$T$15="Stellar Kinematics",POWER(Upgrades!$U$15,G105),1)*IF(Upgrades!$T$16="Stellar Kinematics",POWER(Upgrades!$U$16,H105),1)*IF(Upgrades!$T$17="Stellar Kinematics",POWER(Upgrades!$U$17,I105),1)*IF(Upgrades!$T$18="Stellar Kinematics",POWER(Upgrades!$U$18,J105),1)*IF(Upgrades!$T$19="Stellar Kinematics",POWER(Upgrades!$U$19,K105),1)*IF(Upgrades!$T$20="Stellar Kinematics",POWER(Upgrades!$U$20,L105),1)*IF(Upgrades!$T$21="Stellar Kinematics",POWER(Upgrades!$U$21,M105),1))+(IF(F105=0,0,(Upgrades!$J$14+F105*Upgrades!$K$14)*POWER(Upgrades!$L$14,F105)))*(IF(Upgrades!$T$13="Local Bubble",POWER(Upgrades!$U$13,E105),1)*IF(Upgrades!$T$15="Local Bubble",POWER(Upgrades!$U$15,G105),1)*IF(Upgrades!$T$16="Local Bubble",POWER(Upgrades!$U$16,H105),1)*IF(Upgrades!$T$17="Local Bubble",POWER(Upgrades!$U$17,I105),1)*IF(Upgrades!$T$18="Local Bubble",POWER(Upgrades!$U$18,J105),1)*IF(Upgrades!$T$19="Local Bubble",POWER(Upgrades!$U$19,K105),1)*IF(Upgrades!$T$20="Local Bubble",POWER(Upgrades!$U$20,L105),1)*IF(Upgrades!$T$21="Local Bubble",POWER(Upgrades!$U$21,M105),1))+(IF(G105=0,0,(Upgrades!$J$15+G105*Upgrades!$K$15)*POWER(Upgrades!$L$15,G105)))*(IF(Upgrades!$T$13="Microlensing",POWER(Upgrades!$U$13,E105),1)*IF(Upgrades!$T$14="Microlensing",POWER(Upgrades!$U$14,F105),1)*IF(Upgrades!$T$16="Microlensing",POWER(Upgrades!$U$16,H105),1)*IF(Upgrades!$T$17="Microlensing",POWER(Upgrades!$U$17,I105),1)*IF(Upgrades!$T$18="Microlensing",POWER(Upgrades!$U$18,J105),1)*IF(Upgrades!$T$19="Microlensing",POWER(Upgrades!$U$19,K105),1)*IF(Upgrades!$T$20="Microlensing",POWER(Upgrades!$U$20,L105),1)*IF(Upgrades!$T$21="Microlensing",POWER(Upgrades!$U$21,M105),1))+(IF(H105=0,0,(Upgrades!$J$16+H105*Upgrades!$K$16)*POWER(Upgrades!$L$16,H105)))*(IF(Upgrades!$T$13="Roche Lobe Overflow",POWER(Upgrades!$U$13,E105),1)*IF(Upgrades!$T$14="Roche Lobe Overflow",POWER(Upgrades!$U$14,F105),1)*IF(Upgrades!$T$15="Roche Lobe Overflow",POWER(Upgrades!$U$15,G105),1)*IF(Upgrades!$T$17="Roche Lobe Overflow",POWER(Upgrades!$U$17,I105),1)*IF(Upgrades!$T$18="Roche Lobe Overflow",POWER(Upgrades!$U$18,J105),1)*IF(Upgrades!$T$19="Roche Lobe Overflow",POWER(Upgrades!$U$19,K105),1)*IF(Upgrades!$T$20="Roche Lobe Overflow",POWER(Upgrades!$U$20,L105),1)*IF(Upgrades!$T$21="Roche Lobe Overflow",POWER(Upgrades!$U$21,M105),1))+(IF(I105=0,0,(Upgrades!$J$17+I105*Upgrades!$K$17)*POWER(Upgrades!$L$17,I105)))*(IF(Upgrades!$T$13="Brown Dwarf",POWER(Upgrades!$U$13,E105),1)*IF(Upgrades!$T$14="Brown Dwarf",POWER(Upgrades!$U$14,F105),1)*IF(Upgrades!$T$15="Brown Dwarf",POWER(Upgrades!$U$15,G105),1)*IF(Upgrades!$T$16="Brown Dwarf",POWER(Upgrades!$U$16,H105),1)*IF(Upgrades!$T$18="Brown Dwarf",POWER(Upgrades!$U$18,J105),1)*IF(Upgrades!$T$19="Brown Dwarf",POWER(Upgrades!$U$19,K105),1)*IF(Upgrades!$T$20="Brown Dwarf",POWER(Upgrades!$U$20,L105),1)*IF(Upgrades!$T$21="Brown Dwarf",POWER(Upgrades!$U$21,M105),1))+(IF(J105=0,0,(Upgrades!$J$18+J105*Upgrades!$K$18)*POWER(Upgrades!$L$18,J105)))*(IF(Upgrades!$T$13="Binary Partner",POWER(Upgrades!$U$13,E105),1)*IF(Upgrades!$T$14="Binary Partner",POWER(Upgrades!$U$14,F105),1)*IF(Upgrades!$T$15="Binary Partner",POWER(Upgrades!$U$15,G105),1)*IF(Upgrades!$T$16="Binary Partner",POWER(Upgrades!$U$16,H105),1)*IF(Upgrades!$T$17="Binary Partner",POWER(Upgrades!$U$17,I105),1)*IF(Upgrades!$T$19="Binary Partner",POWER(Upgrades!$U$19,K105),1)*IF(Upgrades!$T$20="Binary Partner",POWER(Upgrades!$U$20,L105),1)*IF(Upgrades!$T$21="Binary Partner",POWER(Upgrades!$U$21,M105),1))+(IF(K105=0,0,(Upgrades!$J$19+K105*Upgrades!$K$19)*POWER(Upgrades!$L$19,K105)))*(IF(Upgrades!$T$13="Peculiar Velocity",POWER(Upgrades!$U$13,E105),1)*IF(Upgrades!$T$14="Peculiar Velocity",POWER(Upgrades!$U$14,F105),1)*IF(Upgrades!$T$15="Peculiar Velocity",POWER(Upgrades!$U$15,G105),1)*IF(Upgrades!$T$16="Peculiar Velocity",POWER(Upgrades!$U$16,H105),1)*IF(Upgrades!$T$17="Peculiar Velocity",POWER(Upgrades!$U$17,I105),1)*IF(Upgrades!$T$18="Peculiar Velocity",POWER(Upgrades!$U$18,J105),1)*IF(Upgrades!$T$20="Peculiar Velocity",POWER(Upgrades!$U$20,L105),1)*IF(Upgrades!$T$21="Peculiar Velocity",POWER(Upgrades!$U$21,M105),1))+(IF(L105=0,0,(Upgrades!$J$20+L105*Upgrades!$K$20)*POWER(Upgrades!$L$20,L105)))*(IF(Upgrades!$T$13="Open Cluster",POWER(Upgrades!$U$13,E105),1)*IF(Upgrades!$T$14="Open Cluster",POWER(Upgrades!$U$14,F105),1)*IF(Upgrades!$T$15="Open Cluster",POWER(Upgrades!$U$15,G105),1)*IF(Upgrades!$T$16="Open Cluster",POWER(Upgrades!$U$16,H105),1)*IF(Upgrades!$T$17="Open Cluster",POWER(Upgrades!$U$17,I105),1)*IF(Upgrades!$T$18="Open Cluster",POWER(Upgrades!$U$18,J105),1)*IF(Upgrades!$T$19="Open Cluster",POWER(Upgrades!$U$19,K105),1)*IF(Upgrades!$T$21="Open Cluster",POWER(Upgrades!$U$21,M105),1))+(IF(M105=0,0,(Upgrades!$J$21+M105*Upgrades!$K$21)*POWER(Upgrades!$L$21,M105)))*(IF(Upgrades!$T$13="Moving Group",POWER(Upgrades!$U$13,E105),1)*IF(Upgrades!$T$14="Moving Group",POWER(Upgrades!$U$14,F105),1)*IF(Upgrades!$T$15="Moving Group",POWER(Upgrades!$U$15,G105),1)*IF(Upgrades!$T$16="Moving Group",POWER(Upgrades!$U$16,H105),1)*IF(Upgrades!$T$17="Moving Group",POWER(Upgrades!$U$17,I105),1)*IF(Upgrades!$T$18="Moving Group",POWER(Upgrades!$U$18,J105),1)*IF(Upgrades!$T$19="Moving Group",POWER(Upgrades!$U$19,K105),1)*IF(Upgrades!$T$20="Moving Group",POWER(Upgrades!$U$20,L105),1)))*POWER(Upgrades!$Q$13,E105)*POWER(Upgrades!$Q$14,F105)*POWER(Upgrades!$Q$15,G105)*POWER(Upgrades!$Q$16,H105)*POWER(Upgrades!$Q$17,I105)*POWER(Upgrades!$Q$18,J105)*POWER(Upgrades!$Q$19,K105)*POWER(Upgrades!$Q$20,L105)*POWER(Upgrades!$Q$21,M105)*$G$6+$D$6</f>
        <v/>
      </c>
      <c r="P105" s="28">
        <f>((IF(E105=0,0,(Upgrades!$G$13+E105*Upgrades!$H$13)*POWER(Upgrades!$I$13,E105)))*(IF(Upgrades!$T$14="Stellar Kinematics",POWER(Upgrades!$U$14,F105),1)*IF(Upgrades!$T$15="Stellar Kinematics",POWER(Upgrades!$U$15,G105),1)*IF(Upgrades!$T$16="Stellar Kinematics",POWER(Upgrades!$U$16,H105),1)*IF(Upgrades!$T$17="Stellar Kinematics",POWER(Upgrades!$U$17,I105),1)*IF(Upgrades!$T$18="Stellar Kinematics",POWER(Upgrades!$U$18,J105),1)*IF(Upgrades!$T$19="Stellar Kinematics",POWER(Upgrades!$U$19,K105),1)*IF(Upgrades!$T$20="Stellar Kinematics",POWER(Upgrades!$U$20,L105),1)*IF(Upgrades!$T$21="Stellar Kinematics",POWER(Upgrades!$U$21,M105),1))+(IF(F105=0,0,(Upgrades!$G$14+F105*Upgrades!$H$14)*POWER(Upgrades!$I$14,F105)))*(IF(Upgrades!$T$13="Local Bubble",POWER(Upgrades!$U$13,E105),1)*IF(Upgrades!$T$15="Local Bubble",POWER(Upgrades!$U$15,G105),1)*IF(Upgrades!$T$16="Local Bubble",POWER(Upgrades!$U$16,H105),1)*IF(Upgrades!$T$17="Local Bubble",POWER(Upgrades!$U$17,I105),1)*IF(Upgrades!$T$18="Local Bubble",POWER(Upgrades!$U$18,J105),1)*IF(Upgrades!$T$19="Local Bubble",POWER(Upgrades!$U$19,K105),1)*IF(Upgrades!$T$20="Local Bubble",POWER(Upgrades!$U$20,L105),1)*IF(Upgrades!$T$21="Local Bubble",POWER(Upgrades!$U$21,M105),1))+(IF(G105=0,0,(Upgrades!$G$15+G105*Upgrades!$H$15)*POWER(Upgrades!$I$15,G105)))*(IF(Upgrades!$T$13="Microlensing",POWER(Upgrades!$U$13,E105),1)*IF(Upgrades!$T$14="Microlensing",POWER(Upgrades!$U$14,F105),1)*IF(Upgrades!$T$16="Microlensing",POWER(Upgrades!$U$16,H105),1)*IF(Upgrades!$T$17="Microlensing",POWER(Upgrades!$U$17,I105),1)*IF(Upgrades!$T$18="Microlensing",POWER(Upgrades!$U$18,J105),1)*IF(Upgrades!$T$19="Microlensing",POWER(Upgrades!$U$19,K105),1)*IF(Upgrades!$T$20="Microlensing",POWER(Upgrades!$U$20,L105),1)*IF(Upgrades!$T$21="Microlensing",POWER(Upgrades!$U$21,M105),1))+(IF(H105=0,0,(Upgrades!$G$16+H105*Upgrades!$H$16)*POWER(Upgrades!$I$16,H105)))*(IF(Upgrades!$T$13="Roche Lobe Overflow",POWER(Upgrades!$U$13,E105),1)*IF(Upgrades!$T$14="Roche Lobe Overflow",POWER(Upgrades!$U$14,F105),1)*IF(Upgrades!$T$15="Roche Lobe Overflow",POWER(Upgrades!$U$15,G105),1)*IF(Upgrades!$T$17="Roche Lobe Overflow",POWER(Upgrades!$U$17,I105),1)*IF(Upgrades!$T$18="Roche Lobe Overflow",POWER(Upgrades!$U$18,J105),1)*IF(Upgrades!$T$19="Roche Lobe Overflow",POWER(Upgrades!$U$19,K105),1)*IF(Upgrades!$T$20="Roche Lobe Overflow",POWER(Upgrades!$U$20,L105),1)*IF(Upgrades!$T$21="Roche Lobe Overflow",POWER(Upgrades!$U$21,M105),1))+(IF(I105=0,0,(Upgrades!$G$17+I105*Upgrades!$H$17)*POWER(Upgrades!$I$17,I105)))*(IF(Upgrades!$T$13="Brown Dwarf",POWER(Upgrades!$U$13,E105),1)*IF(Upgrades!$T$14="Brown Dwarf",POWER(Upgrades!$U$14,F105),1)*IF(Upgrades!$T$15="Brown Dwarf",POWER(Upgrades!$U$15,G105),1)*IF(Upgrades!$T$16="Brown Dwarf",POWER(Upgrades!$U$16,H105),1)*IF(Upgrades!$T$18="Brown Dwarf",POWER(Upgrades!$U$18,J105),1)*IF(Upgrades!$T$19="Brown Dwarf",POWER(Upgrades!$U$19,K105),1)*IF(Upgrades!$T$20="Brown Dwarf",POWER(Upgrades!$U$20,L105),1)*IF(Upgrades!$T$21="Brown Dwarf",POWER(Upgrades!$U$21,M105),1))+(IF(J105=0,0,(Upgrades!$G$18+J105*Upgrades!$H$18)*POWER(Upgrades!$I$18,J105)))*(IF(Upgrades!$T$13="Binary Partner",POWER(Upgrades!$U$13,E105),1)*IF(Upgrades!$T$14="Binary Partner",POWER(Upgrades!$U$14,F105),1)*IF(Upgrades!$T$15="Binary Partner",POWER(Upgrades!$U$15,G105),1)*IF(Upgrades!$T$16="Binary Partner",POWER(Upgrades!$U$16,H105),1)*IF(Upgrades!$T$17="Binary Partner",POWER(Upgrades!$U$17,I105),1)*IF(Upgrades!$T$19="Binary Partner",POWER(Upgrades!$U$19,K105),1)*IF(Upgrades!$T$20="Binary Partner",POWER(Upgrades!$U$20,L105),1)*IF(Upgrades!$T$21="Binary Partner",POWER(Upgrades!$U$21,M105),1))+(IF(K105=0,0,(Upgrades!$G$19+K105*Upgrades!$H$19)*POWER(Upgrades!$I$19,K105)))*(IF(Upgrades!$T$13="Peculiar Velocity",POWER(Upgrades!$U$13,E105),1)*IF(Upgrades!$T$14="Peculiar Velocity",POWER(Upgrades!$U$14,F105),1)*IF(Upgrades!$T$15="Peculiar Velocity",POWER(Upgrades!$U$15,G105),1)*IF(Upgrades!$T$16="Peculiar Velocity",POWER(Upgrades!$U$16,H105),1)*IF(Upgrades!$T$17="Peculiar Velocity",POWER(Upgrades!$U$17,I105),1)*IF(Upgrades!$T$18="Peculiar Velocity",POWER(Upgrades!$U$18,J105),1)*IF(Upgrades!$T$20="Peculiar Velocity",POWER(Upgrades!$U$20,L105),1)*IF(Upgrades!$T$21="Peculiar Velocity",POWER(Upgrades!$U$21,M105),1))+(IF(L105=0,0,(Upgrades!$G$20+L105*Upgrades!$H$20)*POWER(Upgrades!$I$20,L105)))*(IF(Upgrades!$T$13="Open Cluster",POWER(Upgrades!$U$13,E105),1)*IF(Upgrades!$T$14="Open Cluster",POWER(Upgrades!$U$14,F105),1)*IF(Upgrades!$T$15="Open Cluster",POWER(Upgrades!$U$15,G105),1)*IF(Upgrades!$T$16="Open Cluster",POWER(Upgrades!$U$16,H105),1)*IF(Upgrades!$T$17="Open Cluster",POWER(Upgrades!$U$17,I105),1)*IF(Upgrades!$T$18="Open Cluster",POWER(Upgrades!$U$18,J105),1)*IF(Upgrades!$T$19="Open Cluster",POWER(Upgrades!$U$19,K105),1)*IF(Upgrades!$T$21="Open Cluster",POWER(Upgrades!$U$21,M105),1))+(IF(M105=0,0,(Upgrades!$G$21+M105*Upgrades!$H$21)*POWER(Upgrades!$I$21,M105)))*(IF(Upgrades!$T$13="Moving Group",POWER(Upgrades!$U$13,E105),1)*IF(Upgrades!$T$14="Moving Group",POWER(Upgrades!$U$14,F105),1)*IF(Upgrades!$T$15="Moving Group",POWER(Upgrades!$U$15,G105),1)*IF(Upgrades!$T$16="Moving Group",POWER(Upgrades!$U$16,H105),1)*IF(Upgrades!$T$17="Moving Group",POWER(Upgrades!$U$17,I105),1)*IF(Upgrades!$T$18="Moving Group",POWER(Upgrades!$U$18,J105),1)*IF(Upgrades!$T$19="Moving Group",POWER(Upgrades!$U$19,K105),1)*IF(Upgrades!$T$20="Moving Group",POWER(Upgrades!$U$20,L105),1)))*POWER(Upgrades!$P$13,E105)*POWER(Upgrades!$P$14,F105)*POWER(Upgrades!$P$15,G105)*POWER(Upgrades!$P$16,H105)*POWER(Upgrades!$P$17,I105)*POWER(Upgrades!$P$18,J105)*POWER(Upgrades!$P$19,K105)*POWER(Upgrades!$P$20,L105)*POWER(Upgrades!$P$21,M105)*$F$6+$C$6</f>
        <v/>
      </c>
      <c r="Q105" s="28">
        <f>((IF(E105=0,0,(Upgrades!$M$13+E105*Upgrades!$N$13)*POWER(Upgrades!$O$13,E105)))*(IF(Upgrades!$T$14="Stellar Kinematics",POWER(Upgrades!$U$14,F105),1)*IF(Upgrades!$T$15="Stellar Kinematics",POWER(Upgrades!$U$15,G105),1)*IF(Upgrades!$T$16="Stellar Kinematics",POWER(Upgrades!$U$16,H105),1)*IF(Upgrades!$T$17="Stellar Kinematics",POWER(Upgrades!$U$17,I105),1)*IF(Upgrades!$T$18="Stellar Kinematics",POWER(Upgrades!$U$18,J105),1)*IF(Upgrades!$T$19="Stellar Kinematics",POWER(Upgrades!$U$19,K105),1)*IF(Upgrades!$T$20="Stellar Kinematics",POWER(Upgrades!$U$20,L105),1)*IF(Upgrades!$T$21="Stellar Kinematics",POWER(Upgrades!$U$21,M105),1))+(IF(F105=0,0,(Upgrades!$M$14+F105*Upgrades!$N$14)*POWER(Upgrades!$O$14,F105)))*(IF(Upgrades!$T$13="Local Bubble",POWER(Upgrades!$U$13,E105),1)*IF(Upgrades!$T$15="Local Bubble",POWER(Upgrades!$U$15,G105),1)*IF(Upgrades!$T$16="Local Bubble",POWER(Upgrades!$U$16,H105),1)*IF(Upgrades!$T$17="Local Bubble",POWER(Upgrades!$U$17,I105),1)*IF(Upgrades!$T$18="Local Bubble",POWER(Upgrades!$U$18,J105),1)*IF(Upgrades!$T$19="Local Bubble",POWER(Upgrades!$U$19,K105),1)*IF(Upgrades!$T$20="Local Bubble",POWER(Upgrades!$U$20,L105),1)*IF(Upgrades!$T$21="Local Bubble",POWER(Upgrades!$U$21,M105),1))+(IF(G105=0,0,(Upgrades!$M$15+G105*Upgrades!$N$15)*POWER(Upgrades!$O$15,G105)))*(IF(Upgrades!$T$13="Microlensing",POWER(Upgrades!$U$13,E105),1)*IF(Upgrades!$T$14="Microlensing",POWER(Upgrades!$U$14,F105),1)*IF(Upgrades!$T$16="Microlensing",POWER(Upgrades!$U$16,H105),1)*IF(Upgrades!$T$17="Microlensing",POWER(Upgrades!$U$17,I105),1)*IF(Upgrades!$T$18="Microlensing",POWER(Upgrades!$U$18,J105),1)*IF(Upgrades!$T$19="Microlensing",POWER(Upgrades!$U$19,K105),1)*IF(Upgrades!$T$20="Microlensing",POWER(Upgrades!$U$20,L105),1)*IF(Upgrades!$T$21="Microlensing",POWER(Upgrades!$U$21,M105),1))+(IF(H105=0,0,(Upgrades!$M$16+H105*Upgrades!$N$16)*POWER(Upgrades!$O$16,H105)))*(IF(Upgrades!$T$13="Roche Lobe Overflow",POWER(Upgrades!$U$13,E105),1)*IF(Upgrades!$T$14="Roche Lobe Overflow",POWER(Upgrades!$U$14,F105),1)*IF(Upgrades!$T$15="Roche Lobe Overflow",POWER(Upgrades!$U$15,G105),1)*IF(Upgrades!$T$17="Roche Lobe Overflow",POWER(Upgrades!$U$17,I105),1)*IF(Upgrades!$T$18="Roche Lobe Overflow",POWER(Upgrades!$U$18,J105),1)*IF(Upgrades!$T$19="Roche Lobe Overflow",POWER(Upgrades!$U$19,K105),1)*IF(Upgrades!$T$20="Roche Lobe Overflow",POWER(Upgrades!$U$20,L105),1)*IF(Upgrades!$T$21="Roche Lobe Overflow",POWER(Upgrades!$U$21,M105),1))+(IF(I105=0,0,(Upgrades!$M$17+I105*Upgrades!$N$17)*POWER(Upgrades!$O$17,I105)))*(IF(Upgrades!$T$13="Brown Dwarf",POWER(Upgrades!$U$13,E105),1)*IF(Upgrades!$T$14="Brown Dwarf",POWER(Upgrades!$U$14,F105),1)*IF(Upgrades!$T$15="Brown Dwarf",POWER(Upgrades!$U$15,G105),1)*IF(Upgrades!$T$16="Brown Dwarf",POWER(Upgrades!$U$16,H105),1)*IF(Upgrades!$T$18="Brown Dwarf",POWER(Upgrades!$U$18,J105),1)*IF(Upgrades!$T$19="Brown Dwarf",POWER(Upgrades!$U$19,K105),1)*IF(Upgrades!$T$20="Brown Dwarf",POWER(Upgrades!$U$20,L105),1)*IF(Upgrades!$T$21="Brown Dwarf",POWER(Upgrades!$U$21,M105),1))+(IF(J105=0,0,(Upgrades!$M$18+J105*Upgrades!$N$18)*POWER(Upgrades!$O$18,J105)))*(IF(Upgrades!$T$13="Binary Partner",POWER(Upgrades!$U$13,E105),1)*IF(Upgrades!$T$14="Binary Partner",POWER(Upgrades!$U$14,F105),1)*IF(Upgrades!$T$15="Binary Partner",POWER(Upgrades!$U$15,G105),1)*IF(Upgrades!$T$16="Binary Partner",POWER(Upgrades!$U$16,H105),1)*IF(Upgrades!$T$17="Binary Partner",POWER(Upgrades!$U$17,I105),1)*IF(Upgrades!$T$19="Binary Partner",POWER(Upgrades!$U$19,K105),1)*IF(Upgrades!$T$20="Binary Partner",POWER(Upgrades!$U$20,L105),1)*IF(Upgrades!$T$21="Binary Partner",POWER(Upgrades!$U$21,M105),1))+(IF(K105=0,0,(Upgrades!$M$19+K105*Upgrades!$N$19)*POWER(Upgrades!$O$19,K105)))*(IF(Upgrades!$T$13="Peculiar Velocity",POWER(Upgrades!$U$13,E105),1)*IF(Upgrades!$T$14="Peculiar Velocity",POWER(Upgrades!$U$14,F105),1)*IF(Upgrades!$T$15="Peculiar Velocity",POWER(Upgrades!$U$15,G105),1)*IF(Upgrades!$T$16="Peculiar Velocity",POWER(Upgrades!$U$16,H105),1)*IF(Upgrades!$T$17="Peculiar Velocity",POWER(Upgrades!$U$17,I105),1)*IF(Upgrades!$T$18="Peculiar Velocity",POWER(Upgrades!$U$18,J105),1)*IF(Upgrades!$T$20="Peculiar Velocity",POWER(Upgrades!$U$20,L105),1)*IF(Upgrades!$T$21="Peculiar Velocity",POWER(Upgrades!$U$21,M105),1))+(IF(L105=0,0,(Upgrades!$M$20+L105*Upgrades!$N$20)*POWER(Upgrades!$O$20,L105)))*(IF(Upgrades!$T$13="Open Cluster",POWER(Upgrades!$U$13,E105),1)*IF(Upgrades!$T$14="Open Cluster",POWER(Upgrades!$U$14,F105),1)*IF(Upgrades!$T$15="Open Cluster",POWER(Upgrades!$U$15,G105),1)*IF(Upgrades!$T$16="Open Cluster",POWER(Upgrades!$U$16,H105),1)*IF(Upgrades!$T$17="Open Cluster",POWER(Upgrades!$U$17,I105),1)*IF(Upgrades!$T$18="Open Cluster",POWER(Upgrades!$U$18,J105),1)*IF(Upgrades!$T$19="Open Cluster",POWER(Upgrades!$U$19,K105),1)*IF(Upgrades!$T$21="Open Cluster",POWER(Upgrades!$U$21,M105),1))+(IF(M105=0,0,(Upgrades!$M$21+M105*Upgrades!$N$21)*POWER(Upgrades!$O$21,M105)))*(IF(Upgrades!$T$13="Moving Group",POWER(Upgrades!$U$13,E105),1)*IF(Upgrades!$T$14="Moving Group",POWER(Upgrades!$U$14,F105),1)*IF(Upgrades!$T$15="Moving Group",POWER(Upgrades!$U$15,G105),1)*IF(Upgrades!$T$16="Moving Group",POWER(Upgrades!$U$16,H105),1)*IF(Upgrades!$T$17="Moving Group",POWER(Upgrades!$U$17,I105),1)*IF(Upgrades!$T$18="Moving Group",POWER(Upgrades!$U$18,J105),1)*IF(Upgrades!$T$19="Moving Group",POWER(Upgrades!$U$19,K105),1)*IF(Upgrades!$T$20="Moving Group",POWER(Upgrades!$U$20,L105),1)))*POWER(Upgrades!$R$13,E105)*POWER(Upgrades!$R$14,F105)*POWER(Upgrades!$R$15,G105)*POWER(Upgrades!$R$16,H105)*POWER(Upgrades!$R$17,I105)*POWER(Upgrades!$R$18,J105)*POWER(Upgrades!$R$19,K105)*POWER(Upgrades!$R$20,L105)*POWER(Upgrades!$R$21,M105)*$H$6+$E$6</f>
        <v/>
      </c>
      <c r="R105" s="27">
        <f>IF(N105=1,0,O105*Parameters!$B$10/60*Parameters!$B$11*10)</f>
        <v/>
      </c>
      <c r="S105" s="27">
        <f>IF(N105=1,0,Q105*O105*10)</f>
        <v/>
      </c>
      <c r="T105" s="27">
        <f>IF(N105=1,0,R105+S105+P105*10)</f>
        <v/>
      </c>
      <c r="U105" s="33">
        <f>BE105</f>
        <v/>
      </c>
      <c r="V105" s="22">
        <f>IF(U105="",0,IF(U105="transition",0,IF(U105="SK",AK105,IF(U105="LB",AL105,IF(U105="ML",AM105,IF(U105="RLO",AN105,IF(U105="BD",AO105,IF(U105="BiP",AP105,IF(U105="PV",AQ105,IF(U105="OC",AR105,IF(U105="MG",AS105,0))))))))))</f>
        <v/>
      </c>
      <c r="W105" s="27">
        <f>IF(U105="BiP",Upgrades!$F$18,IF(U105="PV",Upgrades!$F$19,IF(U105="OC",Upgrades!$F$20,IF(U105="MG",Upgrades!$F$21,IF(U105="transition",-Parameters!$B$18*Parameters!$B$19,0)))))</f>
        <v/>
      </c>
      <c r="X105" s="22">
        <f>C105+T105-V105</f>
        <v/>
      </c>
      <c r="Y105" s="30">
        <f>O105*Parameters!$B$10/60*Parameters!$B$11+Q105*O105+P105</f>
        <v/>
      </c>
      <c r="Z105" s="34">
        <f>IF(U105="transition","→ Tier 3 (Galactic Arm)",IF(U105="MG","Moving Group — pocket drifts together",IF(U105="OC","Open Cluster acquired",IF(U105="PV","Peculiar Velocity — passive multiplier active",IF(U105="BiP","Binary Partner — pair bond formed",IF(AND(AU105=1,N105=0,AT105&lt;&gt;1),"Cohesion ready (waiting on completionists)","")))))) </f>
        <v/>
      </c>
      <c r="AA105" s="27">
        <f>(IF(E105=0,0,(Upgrades!$G$13+E105*Upgrades!$H$13)*POWER(Upgrades!$I$13,E105)))*(IF(Upgrades!$T$14="Stellar Kinematics",POWER(Upgrades!$U$14,F105),1)*IF(Upgrades!$T$15="Stellar Kinematics",POWER(Upgrades!$U$15,G105),1)*IF(Upgrades!$T$16="Stellar Kinematics",POWER(Upgrades!$U$16,H105),1)*IF(Upgrades!$T$17="Stellar Kinematics",POWER(Upgrades!$U$17,I105),1)*IF(Upgrades!$T$18="Stellar Kinematics",POWER(Upgrades!$U$18,J105),1)*IF(Upgrades!$T$19="Stellar Kinematics",POWER(Upgrades!$U$19,K105),1)*IF(Upgrades!$T$20="Stellar Kinematics",POWER(Upgrades!$U$20,L105),1)*IF(Upgrades!$T$21="Stellar Kinematics",POWER(Upgrades!$U$21,M105),1))*POWER(Upgrades!$P$13,E105)*POWER(Upgrades!$P$14,F105)*POWER(Upgrades!$P$15,G105)*POWER(Upgrades!$P$16,H105)*POWER(Upgrades!$P$17,I105)*POWER(Upgrades!$P$18,J105)*POWER(Upgrades!$P$19,K105)*POWER(Upgrades!$P$20,L105)*POWER(Upgrades!$P$21,M105)*$F$6*60</f>
        <v/>
      </c>
      <c r="AB105" s="27">
        <f>(IF(F105=0,0,(Upgrades!$G$14+F105*Upgrades!$H$14)*POWER(Upgrades!$I$14,F105)))*(IF(Upgrades!$T$13="Local Bubble",POWER(Upgrades!$U$13,E105),1)*IF(Upgrades!$T$15="Local Bubble",POWER(Upgrades!$U$15,G105),1)*IF(Upgrades!$T$16="Local Bubble",POWER(Upgrades!$U$16,H105),1)*IF(Upgrades!$T$17="Local Bubble",POWER(Upgrades!$U$17,I105),1)*IF(Upgrades!$T$18="Local Bubble",POWER(Upgrades!$U$18,J105),1)*IF(Upgrades!$T$19="Local Bubble",POWER(Upgrades!$U$19,K105),1)*IF(Upgrades!$T$20="Local Bubble",POWER(Upgrades!$U$20,L105),1)*IF(Upgrades!$T$21="Local Bubble",POWER(Upgrades!$U$21,M105),1))*POWER(Upgrades!$P$13,E105)*POWER(Upgrades!$P$14,F105)*POWER(Upgrades!$P$15,G105)*POWER(Upgrades!$P$16,H105)*POWER(Upgrades!$P$17,I105)*POWER(Upgrades!$P$18,J105)*POWER(Upgrades!$P$19,K105)*POWER(Upgrades!$P$20,L105)*POWER(Upgrades!$P$21,M105)*$F$6*60</f>
        <v/>
      </c>
      <c r="AC105" s="27">
        <f>(IF(G105=0,0,(Upgrades!$J$15+G105*Upgrades!$K$15)*POWER(Upgrades!$L$15,G105)))*(IF(Upgrades!$T$13="Microlensing",POWER(Upgrades!$U$13,E105),1)*IF(Upgrades!$T$14="Microlensing",POWER(Upgrades!$U$14,F105),1)*IF(Upgrades!$T$16="Microlensing",POWER(Upgrades!$U$16,H105),1)*IF(Upgrades!$T$17="Microlensing",POWER(Upgrades!$U$17,I105),1)*IF(Upgrades!$T$18="Microlensing",POWER(Upgrades!$U$18,J105),1)*IF(Upgrades!$T$19="Microlensing",POWER(Upgrades!$U$19,K105),1)*IF(Upgrades!$T$20="Microlensing",POWER(Upgrades!$U$20,L105),1)*IF(Upgrades!$T$21="Microlensing",POWER(Upgrades!$U$21,M105),1))*POWER(Upgrades!$Q$13,E105)*POWER(Upgrades!$Q$14,F105)*POWER(Upgrades!$Q$15,G105)*POWER(Upgrades!$Q$16,H105)*POWER(Upgrades!$Q$17,I105)*POWER(Upgrades!$Q$18,J105)*POWER(Upgrades!$Q$19,K105)*POWER(Upgrades!$Q$20,L105)*POWER(Upgrades!$Q$21,M105)*$G$6*(Parameters!$B$10*Parameters!$B$11+Q105*60)</f>
        <v/>
      </c>
      <c r="AD105" s="27">
        <f>(IF(H105=0,0,(Upgrades!$M$16+H105*Upgrades!$N$16)*POWER(Upgrades!$O$16,H105)))*(IF(Upgrades!$T$13="Roche Lobe Overflow",POWER(Upgrades!$U$13,E105),1)*IF(Upgrades!$T$14="Roche Lobe Overflow",POWER(Upgrades!$U$14,F105),1)*IF(Upgrades!$T$15="Roche Lobe Overflow",POWER(Upgrades!$U$15,G105),1)*IF(Upgrades!$T$17="Roche Lobe Overflow",POWER(Upgrades!$U$17,I105),1)*IF(Upgrades!$T$18="Roche Lobe Overflow",POWER(Upgrades!$U$18,J105),1)*IF(Upgrades!$T$19="Roche Lobe Overflow",POWER(Upgrades!$U$19,K105),1)*IF(Upgrades!$T$20="Roche Lobe Overflow",POWER(Upgrades!$U$20,L105),1)*IF(Upgrades!$T$21="Roche Lobe Overflow",POWER(Upgrades!$U$21,M105),1))*POWER(Upgrades!$R$13,E105)*POWER(Upgrades!$R$14,F105)*POWER(Upgrades!$R$15,G105)*POWER(Upgrades!$R$16,H105)*POWER(Upgrades!$R$17,I105)*POWER(Upgrades!$R$18,J105)*POWER(Upgrades!$R$19,K105)*POWER(Upgrades!$R$20,L105)*POWER(Upgrades!$R$21,M105)*$H$6*O105*60</f>
        <v/>
      </c>
      <c r="AE105" s="27">
        <f>(IF(I105=0,0,(Upgrades!$G$17+I105*Upgrades!$H$17)*POWER(Upgrades!$I$17,I105)))*(IF(Upgrades!$T$13="Brown Dwarf",POWER(Upgrades!$U$13,E105),1)*IF(Upgrades!$T$14="Brown Dwarf",POWER(Upgrades!$U$14,F105),1)*IF(Upgrades!$T$15="Brown Dwarf",POWER(Upgrades!$U$15,G105),1)*IF(Upgrades!$T$16="Brown Dwarf",POWER(Upgrades!$U$16,H105),1)*IF(Upgrades!$T$18="Brown Dwarf",POWER(Upgrades!$U$18,J105),1)*IF(Upgrades!$T$19="Brown Dwarf",POWER(Upgrades!$U$19,K105),1)*IF(Upgrades!$T$20="Brown Dwarf",POWER(Upgrades!$U$20,L105),1)*IF(Upgrades!$T$21="Brown Dwarf",POWER(Upgrades!$U$21,M105),1))*POWER(Upgrades!$P$13,E105)*POWER(Upgrades!$P$14,F105)*POWER(Upgrades!$P$15,G105)*POWER(Upgrades!$P$16,H105)*POWER(Upgrades!$P$17,I105)*POWER(Upgrades!$P$18,J105)*POWER(Upgrades!$P$19,K105)*POWER(Upgrades!$P$20,L105)*POWER(Upgrades!$P$21,M105)*$F$6*60</f>
        <v/>
      </c>
      <c r="AF105" s="27" t="n">
        <v>0</v>
      </c>
      <c r="AG105" s="27" t="n">
        <v>0</v>
      </c>
      <c r="AH105" s="27" t="n">
        <v>0</v>
      </c>
      <c r="AI105" s="27">
        <f>(IF(M105=0,0,(Upgrades!$G$21+M105*Upgrades!$H$21)*POWER(Upgrades!$I$21,M105)))*(IF(Upgrades!$T$13="Moving Group",POWER(Upgrades!$U$13,E105),1)*IF(Upgrades!$T$14="Moving Group",POWER(Upgrades!$U$14,F105),1)*IF(Upgrades!$T$15="Moving Group",POWER(Upgrades!$U$15,G105),1)*IF(Upgrades!$T$16="Moving Group",POWER(Upgrades!$U$16,H105),1)*IF(Upgrades!$T$17="Moving Group",POWER(Upgrades!$U$17,I105),1)*IF(Upgrades!$T$18="Moving Group",POWER(Upgrades!$U$18,J105),1)*IF(Upgrades!$T$19="Moving Group",POWER(Upgrades!$U$19,K105),1)*IF(Upgrades!$T$20="Moving Group",POWER(Upgrades!$U$20,L105),1))*POWER(Upgrades!$P$13,E105)*POWER(Upgrades!$P$14,F105)*POWER(Upgrades!$P$15,G105)*POWER(Upgrades!$P$16,H105)*POWER(Upgrades!$P$17,I105)*POWER(Upgrades!$P$18,J105)*POWER(Upgrades!$P$19,K105)*POWER(Upgrades!$P$20,L105)*POWER(Upgrades!$P$21,M105)*$F$6*60</f>
        <v/>
      </c>
      <c r="AJ105" s="27">
        <f>$C$6*60</f>
        <v/>
      </c>
      <c r="AK105" s="22">
        <f>IF(E105&gt;=Upgrades!$E$13,"",Upgrades!$C$13*POWER(Upgrades!$D$13,E105))</f>
        <v/>
      </c>
      <c r="AL105" s="22">
        <f>IF(F105&gt;=Upgrades!$E$14,"",Upgrades!$C$14*POWER(Upgrades!$D$14,F105))</f>
        <v/>
      </c>
      <c r="AM105" s="22">
        <f>IF(G105&gt;=Upgrades!$E$15,"",Upgrades!$C$15*POWER(Upgrades!$D$15,G105))</f>
        <v/>
      </c>
      <c r="AN105" s="22">
        <f>IF(H105&gt;=Upgrades!$E$16,"",Upgrades!$C$16*POWER(Upgrades!$D$16,H105))</f>
        <v/>
      </c>
      <c r="AO105" s="22">
        <f>IF(I105&gt;=Upgrades!$E$17,"",Upgrades!$C$17*POWER(Upgrades!$D$17,I105))</f>
        <v/>
      </c>
      <c r="AP105" s="22">
        <f>IF(J105&gt;=Upgrades!$E$18,"",Upgrades!$C$18*POWER(Upgrades!$D$18,J105))</f>
        <v/>
      </c>
      <c r="AQ105" s="22">
        <f>IF(K105&gt;=Upgrades!$E$19,"",Upgrades!$C$19*POWER(Upgrades!$D$19,K105))</f>
        <v/>
      </c>
      <c r="AR105" s="22">
        <f>IF(L105&gt;=Upgrades!$E$20,"",Upgrades!$C$20*POWER(Upgrades!$D$20,L105))</f>
        <v/>
      </c>
      <c r="AS105" s="22">
        <f>IF(M105&gt;=Upgrades!$E$21,"",Upgrades!$C$21*POWER(Upgrades!$D$21,M105))</f>
        <v/>
      </c>
      <c r="AT105" s="26">
        <f>IF(AND(D105&gt;=Parameters!$B$18*Parameters!$B$19,(I105&gt;=Upgrades!$E$17)*(M105&gt;=Upgrades!$E$21)=1,N105=0),1,"")</f>
        <v/>
      </c>
      <c r="AU105" s="26">
        <f>IF(AND(D105&gt;=Parameters!$B$18*Parameters!$B$19,N105=0),1,"")</f>
        <v/>
      </c>
      <c r="AV105" s="22">
        <f>MIN(IF(ISNUMBER(AP105),AP105,9E15),IF(ISNUMBER(AQ105),AQ105,9E15),IF(ISNUMBER(AR105),AR105,9E15),IF(ISNUMBER(AS105),AS105,9E15))</f>
        <v/>
      </c>
      <c r="AW105" s="22">
        <f>MIN(IF(ISNUMBER(AK105),AK105,9E15),IF(ISNUMBER(AL105),AL105,9E15),IF(ISNUMBER(AM105),AM105,9E15),IF(ISNUMBER(AN105),AN105,9E15),IF(ISNUMBER(AO105),AO105,9E15))</f>
        <v/>
      </c>
      <c r="AX105" s="29">
        <f>IF(BD105&gt;Parameters!$B$21*(MAX(IF(AND(NOT(AND(AU105=1,AT105&lt;&gt;1)),ISNUMBER(AK105),AK105&lt;=(C105+T105)),AY105,0),IF(AND(NOT(AND(AU105=1,AT105&lt;&gt;1)),ISNUMBER(AL105),AL105&lt;=(C105+T105)),AZ105,0),IF(AND(NOT(AND(AU105=1,AT105&lt;&gt;1)),ISNUMBER(AM105),AM105&lt;=(C105+T105)),BA105,0),IF(AND(NOT(AND(AU105=1,AT105&lt;&gt;1)),ISNUMBER(AN105),AN105&lt;=(C105+T105)),BB105,0),IF(AND(ISNUMBER(AO105),AO105&lt;=(C105+T105)),BC105,0))),TRUE,FALSE)</f>
        <v/>
      </c>
      <c r="AY105" s="32">
        <f>IFERROR(Upgrades!$H$13*(POWER(Upgrades!$P$13,E105)*POWER(Upgrades!$P$14,F105)*POWER(Upgrades!$P$15,G105)*POWER(Upgrades!$P$16,H105)*POWER(Upgrades!$P$17,I105)*POWER(Upgrades!$P$18,J105)*POWER(Upgrades!$P$19,K105)*POWER(Upgrades!$P$20,L105)*POWER(Upgrades!$P$21,M105))*(IF(Upgrades!$T$14="Stellar Kinematics",POWER(Upgrades!$U$14,F105),1)*IF(Upgrades!$T$15="Stellar Kinematics",POWER(Upgrades!$U$15,G105),1)*IF(Upgrades!$T$16="Stellar Kinematics",POWER(Upgrades!$U$16,H105),1)*IF(Upgrades!$T$17="Stellar Kinematics",POWER(Upgrades!$U$17,I105),1)*IF(Upgrades!$T$18="Stellar Kinematics",POWER(Upgrades!$U$18,J105),1)*IF(Upgrades!$T$19="Stellar Kinematics",POWER(Upgrades!$U$19,K105),1)*IF(Upgrades!$T$20="Stellar Kinematics",POWER(Upgrades!$U$20,L105),1)*IF(Upgrades!$T$21="Stellar Kinematics",POWER(Upgrades!$U$21,M105),1))*$F$6/AK105,0)</f>
        <v/>
      </c>
      <c r="AZ105" s="32">
        <f>IFERROR(Upgrades!$H$14*(POWER(Upgrades!$P$13,E105)*POWER(Upgrades!$P$14,F105)*POWER(Upgrades!$P$15,G105)*POWER(Upgrades!$P$16,H105)*POWER(Upgrades!$P$17,I105)*POWER(Upgrades!$P$18,J105)*POWER(Upgrades!$P$19,K105)*POWER(Upgrades!$P$20,L105)*POWER(Upgrades!$P$21,M105))*(IF(Upgrades!$T$13="Local Bubble",POWER(Upgrades!$U$13,E105),1)*IF(Upgrades!$T$15="Local Bubble",POWER(Upgrades!$U$15,G105),1)*IF(Upgrades!$T$16="Local Bubble",POWER(Upgrades!$U$16,H105),1)*IF(Upgrades!$T$17="Local Bubble",POWER(Upgrades!$U$17,I105),1)*IF(Upgrades!$T$18="Local Bubble",POWER(Upgrades!$U$18,J105),1)*IF(Upgrades!$T$19="Local Bubble",POWER(Upgrades!$U$19,K105),1)*IF(Upgrades!$T$20="Local Bubble",POWER(Upgrades!$U$20,L105),1)*IF(Upgrades!$T$21="Local Bubble",POWER(Upgrades!$U$21,M105),1))*$F$6/AL105,0)</f>
        <v/>
      </c>
      <c r="BA105" s="32">
        <f>IFERROR(Upgrades!$K$15*(POWER(Upgrades!$Q$13,E105)*POWER(Upgrades!$Q$14,F105)*POWER(Upgrades!$Q$15,G105)*POWER(Upgrades!$Q$16,H105)*POWER(Upgrades!$Q$17,I105)*POWER(Upgrades!$Q$18,J105)*POWER(Upgrades!$Q$19,K105)*POWER(Upgrades!$Q$20,L105)*POWER(Upgrades!$Q$21,M105))*(IF(Upgrades!$T$13="Microlensing",POWER(Upgrades!$U$13,E105),1)*IF(Upgrades!$T$14="Microlensing",POWER(Upgrades!$U$14,F105),1)*IF(Upgrades!$T$16="Microlensing",POWER(Upgrades!$U$16,H105),1)*IF(Upgrades!$T$17="Microlensing",POWER(Upgrades!$U$17,I105),1)*IF(Upgrades!$T$18="Microlensing",POWER(Upgrades!$U$18,J105),1)*IF(Upgrades!$T$19="Microlensing",POWER(Upgrades!$U$19,K105),1)*IF(Upgrades!$T$20="Microlensing",POWER(Upgrades!$U$20,L105),1)*IF(Upgrades!$T$21="Microlensing",POWER(Upgrades!$U$21,M105),1))*$G$6*(Parameters!$B$10/60*Parameters!$B$11+Q105)/AM105,0)</f>
        <v/>
      </c>
      <c r="BB105" s="32">
        <f>IFERROR((Upgrades!$N$16*(POWER(Upgrades!$R$13,E105)*POWER(Upgrades!$R$14,F105)*POWER(Upgrades!$R$15,G105)*POWER(Upgrades!$R$16,H105)*POWER(Upgrades!$R$17,I105)*POWER(Upgrades!$R$18,J105)*POWER(Upgrades!$R$19,K105)*POWER(Upgrades!$R$20,L105)*POWER(Upgrades!$R$21,M105))*(IF(Upgrades!$T$13="Roche Lobe Overflow",POWER(Upgrades!$U$13,E105),1)*IF(Upgrades!$T$14="Roche Lobe Overflow",POWER(Upgrades!$U$14,F105),1)*IF(Upgrades!$T$15="Roche Lobe Overflow",POWER(Upgrades!$U$15,G105),1)*IF(Upgrades!$T$17="Roche Lobe Overflow",POWER(Upgrades!$U$17,I105),1)*IF(Upgrades!$T$18="Roche Lobe Overflow",POWER(Upgrades!$U$18,J105),1)*IF(Upgrades!$T$19="Roche Lobe Overflow",POWER(Upgrades!$U$19,K105),1)*IF(Upgrades!$T$20="Roche Lobe Overflow",POWER(Upgrades!$U$20,L105),1)*IF(Upgrades!$T$21="Roche Lobe Overflow",POWER(Upgrades!$U$21,M105),1))*$H$6*O105+((IF(F105=0,0,(Upgrades!$G$14+F105*Upgrades!$H$14)*POWER(Upgrades!$I$14,F105)))*(IF(Upgrades!$T$13="Local Bubble",POWER(Upgrades!$U$13,E105),1)*IF(Upgrades!$T$15="Local Bubble",POWER(Upgrades!$U$15,G105),1)*IF(Upgrades!$T$16="Local Bubble",POWER(Upgrades!$U$16,H105),1)*IF(Upgrades!$T$17="Local Bubble",POWER(Upgrades!$U$17,I105),1)*IF(Upgrades!$T$18="Local Bubble",POWER(Upgrades!$U$18,J105),1)*IF(Upgrades!$T$19="Local Bubble",POWER(Upgrades!$U$19,K105),1)*IF(Upgrades!$T$20="Local Bubble",POWER(Upgrades!$U$20,L105),1)*IF(Upgrades!$T$21="Local Bubble",POWER(Upgrades!$U$21,M105),1))*POWER(Upgrades!$P$13,E105)*POWER(Upgrades!$P$14,F105)*POWER(Upgrades!$P$15,G105)*POWER(Upgrades!$P$16,H105)*POWER(Upgrades!$P$17,I105)*POWER(Upgrades!$P$18,J105)*POWER(Upgrades!$P$19,K105)*POWER(Upgrades!$P$20,L105)*POWER(Upgrades!$P$21,M105)*$F$6)*0.05)/AN105,0)</f>
        <v/>
      </c>
      <c r="BC105" s="32">
        <f>IFERROR((Upgrades!$H$17*(POWER(Upgrades!$P$13,E105)*POWER(Upgrades!$P$14,F105)*POWER(Upgrades!$P$15,G105)*POWER(Upgrades!$P$16,H105)*POWER(Upgrades!$P$17,I105)*POWER(Upgrades!$P$18,J105)*POWER(Upgrades!$P$19,K105)*POWER(Upgrades!$P$20,L105)*POWER(Upgrades!$P$21,M105))*(IF(Upgrades!$T$13="Brown Dwarf",POWER(Upgrades!$U$13,E105),1)*IF(Upgrades!$T$14="Brown Dwarf",POWER(Upgrades!$U$14,F105),1)*IF(Upgrades!$T$15="Brown Dwarf",POWER(Upgrades!$U$15,G105),1)*IF(Upgrades!$T$16="Brown Dwarf",POWER(Upgrades!$U$16,H105),1)*IF(Upgrades!$T$18="Brown Dwarf",POWER(Upgrades!$U$18,J105),1)*IF(Upgrades!$T$19="Brown Dwarf",POWER(Upgrades!$U$19,K105),1)*IF(Upgrades!$T$20="Brown Dwarf",POWER(Upgrades!$U$20,L105),1)*IF(Upgrades!$T$21="Brown Dwarf",POWER(Upgrades!$U$21,M105),1))*$F$6+(((IF(H105=0,0,(Upgrades!$M$16+H105*Upgrades!$N$16)*POWER(Upgrades!$O$16,H105)))*(IF(Upgrades!$T$13="Roche Lobe Overflow",POWER(Upgrades!$U$13,E105),1)*IF(Upgrades!$T$14="Roche Lobe Overflow",POWER(Upgrades!$U$14,F105),1)*IF(Upgrades!$T$15="Roche Lobe Overflow",POWER(Upgrades!$U$15,G105),1)*IF(Upgrades!$T$17="Roche Lobe Overflow",POWER(Upgrades!$U$17,I105),1)*IF(Upgrades!$T$18="Roche Lobe Overflow",POWER(Upgrades!$U$18,J105),1)*IF(Upgrades!$T$19="Roche Lobe Overflow",POWER(Upgrades!$U$19,K105),1)*IF(Upgrades!$T$20="Roche Lobe Overflow",POWER(Upgrades!$U$20,L105),1)*IF(Upgrades!$T$21="Roche Lobe Overflow",POWER(Upgrades!$U$21,M105),1))*POWER(Upgrades!$R$13,E105)*POWER(Upgrades!$R$14,F105)*POWER(Upgrades!$R$15,G105)*POWER(Upgrades!$R$16,H105)*POWER(Upgrades!$R$17,I105)*POWER(Upgrades!$R$18,J105)*POWER(Upgrades!$R$19,K105)*POWER(Upgrades!$R$20,L105)*POWER(Upgrades!$R$21,M105)*$H$6)*O105)*0.10)/AO105,0)</f>
        <v/>
      </c>
      <c r="BD105" s="32">
        <f>MAX(IF(J105&gt;0,0,IFERROR(0.5*((IF(G105=0,0,(Upgrades!$J$15+G105*Upgrades!$K$15)*POWER(Upgrades!$L$15,G105)))*(IF(Upgrades!$T$13="Microlensing",POWER(Upgrades!$U$13,E105),1)*IF(Upgrades!$T$14="Microlensing",POWER(Upgrades!$U$14,F105),1)*IF(Upgrades!$T$16="Microlensing",POWER(Upgrades!$U$16,H105),1)*IF(Upgrades!$T$17="Microlensing",POWER(Upgrades!$U$17,I105),1)*IF(Upgrades!$T$18="Microlensing",POWER(Upgrades!$U$18,J105),1)*IF(Upgrades!$T$19="Microlensing",POWER(Upgrades!$U$19,K105),1)*IF(Upgrades!$T$20="Microlensing",POWER(Upgrades!$U$20,L105),1)*IF(Upgrades!$T$21="Microlensing",POWER(Upgrades!$U$21,M105),1))*(POWER(Upgrades!$Q$13,E105)*POWER(Upgrades!$Q$14,F105)*POWER(Upgrades!$Q$15,G105)*POWER(Upgrades!$Q$16,H105)*POWER(Upgrades!$Q$17,I105)*POWER(Upgrades!$Q$18,J105)*POWER(Upgrades!$Q$19,K105)*POWER(Upgrades!$Q$20,L105)*POWER(Upgrades!$Q$21,M105))*$G$6*(Parameters!$B$10/60*Parameters!$B$11+Q105))/Upgrades!$C$18,0)),IF(K105&gt;0,0,IFERROR(0.30*P105/Upgrades!$C$19,0)),IF(L105&gt;0,0,IFERROR(0.0001/Upgrades!$C$20,0)),IF(M105&gt;0,0,IFERROR((6.0*(POWER(Upgrades!$P$13,E105)*POWER(Upgrades!$P$14,F105)*POWER(Upgrades!$P$15,G105)*POWER(Upgrades!$P$16,H105)*POWER(Upgrades!$P$17,I105)*POWER(Upgrades!$P$18,J105)*POWER(Upgrades!$P$19,K105)*POWER(Upgrades!$P$20,L105)*POWER(Upgrades!$P$21,M105))*$F$6+0.20*O105*(Parameters!$B$10/60*Parameters!$B$11+Q105))/Upgrades!$C$21,0)),IF(AND(ISNUMBER(AK105),AK105&gt;(C105+T105)),AY105,0),IF(AND(ISNUMBER(AL105),AL105&gt;(C105+T105)),AZ105,0),IF(AND(ISNUMBER(AM105),AM105&gt;(C105+T105)),BA105,0),IF(AND(ISNUMBER(AN105),AN105&gt;(C105+T105)),BB105,0),IF(AND(ISNUMBER(AO105),AO105&gt;(C105+T105)),BC105,0))</f>
        <v/>
      </c>
      <c r="BE105" s="29">
        <f>IF(AT105=1,"transition",IF(MIN(IF(AND(J105=0,ISNUMBER(AP105),AP105&lt;=(C105+T105)),AP105,9E15),IF(AND(K105=0,ISNUMBER(AQ105),AQ105&lt;=(C105+T105)),AQ105,9E15),IF(AND(L105=0,ISNUMBER(AR105),AR105&lt;=(C105+T105)),AR105,9E15),IF(AND(M105=0,ISNUMBER(AS105),AS105&lt;=(C105+T105)),AS105,9E15))&lt;9E15,IF(AND(AND(J105=0,ISNUMBER(AP105),AP105&lt;=(C105+T105)),AP105=MIN(IF(AND(J105=0,ISNUMBER(AP105),AP105&lt;=(C105+T105)),AP105,9E15),IF(AND(K105=0,ISNUMBER(AQ105),AQ105&lt;=(C105+T105)),AQ105,9E15),IF(AND(L105=0,ISNUMBER(AR105),AR105&lt;=(C105+T105)),AR105,9E15),IF(AND(M105=0,ISNUMBER(AS105),AS105&lt;=(C105+T105)),AS105,9E15))),"BiP",IF(AND(AND(K105=0,ISNUMBER(AQ105),AQ105&lt;=(C105+T105)),AQ105=MIN(IF(AND(J105=0,ISNUMBER(AP105),AP105&lt;=(C105+T105)),AP105,9E15),IF(AND(K105=0,ISNUMBER(AQ105),AQ105&lt;=(C105+T105)),AQ105,9E15),IF(AND(L105=0,ISNUMBER(AR105),AR105&lt;=(C105+T105)),AR105,9E15),IF(AND(M105=0,ISNUMBER(AS105),AS105&lt;=(C105+T105)),AS105,9E15))),"PV",IF(AND(AND(L105=0,ISNUMBER(AR105),AR105&lt;=(C105+T105)),AR105=MIN(IF(AND(J105=0,ISNUMBER(AP105),AP105&lt;=(C105+T105)),AP105,9E15),IF(AND(K105=0,ISNUMBER(AQ105),AQ105&lt;=(C105+T105)),AQ105,9E15),IF(AND(L105=0,ISNUMBER(AR105),AR105&lt;=(C105+T105)),AR105,9E15),IF(AND(M105=0,ISNUMBER(AS105),AS105&lt;=(C105+T105)),AS105,9E15))),"OC","MG"))),IF(AX105=TRUE,"",IF(MAX(IF(AND(NOT(AND(AU105=1,AT105&lt;&gt;1)),ISNUMBER(AK105),AK105&lt;=(C105+T105)),AY105,0),IF(AND(NOT(AND(AU105=1,AT105&lt;&gt;1)),ISNUMBER(AL105),AL105&lt;=(C105+T105)),AZ105,0),IF(AND(NOT(AND(AU105=1,AT105&lt;&gt;1)),ISNUMBER(AM105),AM105&lt;=(C105+T105)),BA105,0),IF(AND(NOT(AND(AU105=1,AT105&lt;&gt;1)),ISNUMBER(AN105),AN105&lt;=(C105+T105)),BB105,0),IF(AND(ISNUMBER(AO105),AO105&lt;=(C105+T105)),BC105,0))&lt;=0,"",IF(AND(IF(AND(NOT(AND(AU105=1,AT105&lt;&gt;1)),ISNUMBER(AK105),AK105&lt;=(C105+T105)),AY105,0)&gt;0,IF(AND(NOT(AND(AU105=1,AT105&lt;&gt;1)),ISNUMBER(AK105),AK105&lt;=(C105+T105)),AY105,0)=MAX(IF(AND(NOT(AND(AU105=1,AT105&lt;&gt;1)),ISNUMBER(AK105),AK105&lt;=(C105+T105)),AY105,0),IF(AND(NOT(AND(AU105=1,AT105&lt;&gt;1)),ISNUMBER(AL105),AL105&lt;=(C105+T105)),AZ105,0),IF(AND(NOT(AND(AU105=1,AT105&lt;&gt;1)),ISNUMBER(AM105),AM105&lt;=(C105+T105)),BA105,0),IF(AND(NOT(AND(AU105=1,AT105&lt;&gt;1)),ISNUMBER(AN105),AN105&lt;=(C105+T105)),BB105,0),IF(AND(ISNUMBER(AO105),AO105&lt;=(C105+T105)),BC105,0))),"SK",IF(AND(IF(AND(NOT(AND(AU105=1,AT105&lt;&gt;1)),ISNUMBER(AL105),AL105&lt;=(C105+T105)),AZ105,0)&gt;0,IF(AND(NOT(AND(AU105=1,AT105&lt;&gt;1)),ISNUMBER(AL105),AL105&lt;=(C105+T105)),AZ105,0)=MAX(IF(AND(NOT(AND(AU105=1,AT105&lt;&gt;1)),ISNUMBER(AK105),AK105&lt;=(C105+T105)),AY105,0),IF(AND(NOT(AND(AU105=1,AT105&lt;&gt;1)),ISNUMBER(AL105),AL105&lt;=(C105+T105)),AZ105,0),IF(AND(NOT(AND(AU105=1,AT105&lt;&gt;1)),ISNUMBER(AM105),AM105&lt;=(C105+T105)),BA105,0),IF(AND(NOT(AND(AU105=1,AT105&lt;&gt;1)),ISNUMBER(AN105),AN105&lt;=(C105+T105)),BB105,0),IF(AND(ISNUMBER(AO105),AO105&lt;=(C105+T105)),BC105,0))),"LB",IF(AND(IF(AND(NOT(AND(AU105=1,AT105&lt;&gt;1)),ISNUMBER(AM105),AM105&lt;=(C105+T105)),BA105,0)&gt;0,IF(AND(NOT(AND(AU105=1,AT105&lt;&gt;1)),ISNUMBER(AM105),AM105&lt;=(C105+T105)),BA105,0)=MAX(IF(AND(NOT(AND(AU105=1,AT105&lt;&gt;1)),ISNUMBER(AK105),AK105&lt;=(C105+T105)),AY105,0),IF(AND(NOT(AND(AU105=1,AT105&lt;&gt;1)),ISNUMBER(AL105),AL105&lt;=(C105+T105)),AZ105,0),IF(AND(NOT(AND(AU105=1,AT105&lt;&gt;1)),ISNUMBER(AM105),AM105&lt;=(C105+T105)),BA105,0),IF(AND(NOT(AND(AU105=1,AT105&lt;&gt;1)),ISNUMBER(AN105),AN105&lt;=(C105+T105)),BB105,0),IF(AND(ISNUMBER(AO105),AO105&lt;=(C105+T105)),BC105,0))),"ML",IF(AND(IF(AND(NOT(AND(AU105=1,AT105&lt;&gt;1)),ISNUMBER(AN105),AN105&lt;=(C105+T105)),BB105,0)&gt;0,IF(AND(NOT(AND(AU105=1,AT105&lt;&gt;1)),ISNUMBER(AN105),AN105&lt;=(C105+T105)),BB105,0)=MAX(IF(AND(NOT(AND(AU105=1,AT105&lt;&gt;1)),ISNUMBER(AK105),AK105&lt;=(C105+T105)),AY105,0),IF(AND(NOT(AND(AU105=1,AT105&lt;&gt;1)),ISNUMBER(AL105),AL105&lt;=(C105+T105)),AZ105,0),IF(AND(NOT(AND(AU105=1,AT105&lt;&gt;1)),ISNUMBER(AM105),AM105&lt;=(C105+T105)),BA105,0),IF(AND(NOT(AND(AU105=1,AT105&lt;&gt;1)),ISNUMBER(AN105),AN105&lt;=(C105+T105)),BB105,0),IF(AND(ISNUMBER(AO105),AO105&lt;=(C105+T105)),BC105,0))),"RLO","BD"))))))))</f>
        <v/>
      </c>
    </row>
    <row r="106">
      <c r="A106" s="26" t="n">
        <v>95</v>
      </c>
      <c r="B106" s="27">
        <f>A106*10/60</f>
        <v/>
      </c>
      <c r="C106" s="22">
        <f>X105</f>
        <v/>
      </c>
      <c r="D106" s="27">
        <f>D105+W105</f>
        <v/>
      </c>
      <c r="E106" s="26">
        <f>E105+IF(U105="SK",1,0)</f>
        <v/>
      </c>
      <c r="F106" s="26">
        <f>F105+IF(U105="LB",1,0)</f>
        <v/>
      </c>
      <c r="G106" s="26">
        <f>G105+IF(U105="ML",1,0)</f>
        <v/>
      </c>
      <c r="H106" s="26">
        <f>H105+IF(U105="RLO",1,0)</f>
        <v/>
      </c>
      <c r="I106" s="26">
        <f>I105+IF(U105="BD",1,0)</f>
        <v/>
      </c>
      <c r="J106" s="26">
        <f>MAX(J105,IF(U105="BiP",1,0))</f>
        <v/>
      </c>
      <c r="K106" s="26">
        <f>MAX(K105,IF(U105="PV",1,0))</f>
        <v/>
      </c>
      <c r="L106" s="26">
        <f>MAX(L105,IF(U105="OC",1,0))</f>
        <v/>
      </c>
      <c r="M106" s="26">
        <f>MAX(M105,IF(U105="MG",1,0))</f>
        <v/>
      </c>
      <c r="N106" s="26">
        <f>MAX(N105,IF(U105="transition",1,0))</f>
        <v/>
      </c>
      <c r="O106" s="28">
        <f>(Parameters!$B$9+(IF(E106=0,0,(Upgrades!$J$13+E106*Upgrades!$K$13)*POWER(Upgrades!$L$13,E106)))*(IF(Upgrades!$T$14="Stellar Kinematics",POWER(Upgrades!$U$14,F106),1)*IF(Upgrades!$T$15="Stellar Kinematics",POWER(Upgrades!$U$15,G106),1)*IF(Upgrades!$T$16="Stellar Kinematics",POWER(Upgrades!$U$16,H106),1)*IF(Upgrades!$T$17="Stellar Kinematics",POWER(Upgrades!$U$17,I106),1)*IF(Upgrades!$T$18="Stellar Kinematics",POWER(Upgrades!$U$18,J106),1)*IF(Upgrades!$T$19="Stellar Kinematics",POWER(Upgrades!$U$19,K106),1)*IF(Upgrades!$T$20="Stellar Kinematics",POWER(Upgrades!$U$20,L106),1)*IF(Upgrades!$T$21="Stellar Kinematics",POWER(Upgrades!$U$21,M106),1))+(IF(F106=0,0,(Upgrades!$J$14+F106*Upgrades!$K$14)*POWER(Upgrades!$L$14,F106)))*(IF(Upgrades!$T$13="Local Bubble",POWER(Upgrades!$U$13,E106),1)*IF(Upgrades!$T$15="Local Bubble",POWER(Upgrades!$U$15,G106),1)*IF(Upgrades!$T$16="Local Bubble",POWER(Upgrades!$U$16,H106),1)*IF(Upgrades!$T$17="Local Bubble",POWER(Upgrades!$U$17,I106),1)*IF(Upgrades!$T$18="Local Bubble",POWER(Upgrades!$U$18,J106),1)*IF(Upgrades!$T$19="Local Bubble",POWER(Upgrades!$U$19,K106),1)*IF(Upgrades!$T$20="Local Bubble",POWER(Upgrades!$U$20,L106),1)*IF(Upgrades!$T$21="Local Bubble",POWER(Upgrades!$U$21,M106),1))+(IF(G106=0,0,(Upgrades!$J$15+G106*Upgrades!$K$15)*POWER(Upgrades!$L$15,G106)))*(IF(Upgrades!$T$13="Microlensing",POWER(Upgrades!$U$13,E106),1)*IF(Upgrades!$T$14="Microlensing",POWER(Upgrades!$U$14,F106),1)*IF(Upgrades!$T$16="Microlensing",POWER(Upgrades!$U$16,H106),1)*IF(Upgrades!$T$17="Microlensing",POWER(Upgrades!$U$17,I106),1)*IF(Upgrades!$T$18="Microlensing",POWER(Upgrades!$U$18,J106),1)*IF(Upgrades!$T$19="Microlensing",POWER(Upgrades!$U$19,K106),1)*IF(Upgrades!$T$20="Microlensing",POWER(Upgrades!$U$20,L106),1)*IF(Upgrades!$T$21="Microlensing",POWER(Upgrades!$U$21,M106),1))+(IF(H106=0,0,(Upgrades!$J$16+H106*Upgrades!$K$16)*POWER(Upgrades!$L$16,H106)))*(IF(Upgrades!$T$13="Roche Lobe Overflow",POWER(Upgrades!$U$13,E106),1)*IF(Upgrades!$T$14="Roche Lobe Overflow",POWER(Upgrades!$U$14,F106),1)*IF(Upgrades!$T$15="Roche Lobe Overflow",POWER(Upgrades!$U$15,G106),1)*IF(Upgrades!$T$17="Roche Lobe Overflow",POWER(Upgrades!$U$17,I106),1)*IF(Upgrades!$T$18="Roche Lobe Overflow",POWER(Upgrades!$U$18,J106),1)*IF(Upgrades!$T$19="Roche Lobe Overflow",POWER(Upgrades!$U$19,K106),1)*IF(Upgrades!$T$20="Roche Lobe Overflow",POWER(Upgrades!$U$20,L106),1)*IF(Upgrades!$T$21="Roche Lobe Overflow",POWER(Upgrades!$U$21,M106),1))+(IF(I106=0,0,(Upgrades!$J$17+I106*Upgrades!$K$17)*POWER(Upgrades!$L$17,I106)))*(IF(Upgrades!$T$13="Brown Dwarf",POWER(Upgrades!$U$13,E106),1)*IF(Upgrades!$T$14="Brown Dwarf",POWER(Upgrades!$U$14,F106),1)*IF(Upgrades!$T$15="Brown Dwarf",POWER(Upgrades!$U$15,G106),1)*IF(Upgrades!$T$16="Brown Dwarf",POWER(Upgrades!$U$16,H106),1)*IF(Upgrades!$T$18="Brown Dwarf",POWER(Upgrades!$U$18,J106),1)*IF(Upgrades!$T$19="Brown Dwarf",POWER(Upgrades!$U$19,K106),1)*IF(Upgrades!$T$20="Brown Dwarf",POWER(Upgrades!$U$20,L106),1)*IF(Upgrades!$T$21="Brown Dwarf",POWER(Upgrades!$U$21,M106),1))+(IF(J106=0,0,(Upgrades!$J$18+J106*Upgrades!$K$18)*POWER(Upgrades!$L$18,J106)))*(IF(Upgrades!$T$13="Binary Partner",POWER(Upgrades!$U$13,E106),1)*IF(Upgrades!$T$14="Binary Partner",POWER(Upgrades!$U$14,F106),1)*IF(Upgrades!$T$15="Binary Partner",POWER(Upgrades!$U$15,G106),1)*IF(Upgrades!$T$16="Binary Partner",POWER(Upgrades!$U$16,H106),1)*IF(Upgrades!$T$17="Binary Partner",POWER(Upgrades!$U$17,I106),1)*IF(Upgrades!$T$19="Binary Partner",POWER(Upgrades!$U$19,K106),1)*IF(Upgrades!$T$20="Binary Partner",POWER(Upgrades!$U$20,L106),1)*IF(Upgrades!$T$21="Binary Partner",POWER(Upgrades!$U$21,M106),1))+(IF(K106=0,0,(Upgrades!$J$19+K106*Upgrades!$K$19)*POWER(Upgrades!$L$19,K106)))*(IF(Upgrades!$T$13="Peculiar Velocity",POWER(Upgrades!$U$13,E106),1)*IF(Upgrades!$T$14="Peculiar Velocity",POWER(Upgrades!$U$14,F106),1)*IF(Upgrades!$T$15="Peculiar Velocity",POWER(Upgrades!$U$15,G106),1)*IF(Upgrades!$T$16="Peculiar Velocity",POWER(Upgrades!$U$16,H106),1)*IF(Upgrades!$T$17="Peculiar Velocity",POWER(Upgrades!$U$17,I106),1)*IF(Upgrades!$T$18="Peculiar Velocity",POWER(Upgrades!$U$18,J106),1)*IF(Upgrades!$T$20="Peculiar Velocity",POWER(Upgrades!$U$20,L106),1)*IF(Upgrades!$T$21="Peculiar Velocity",POWER(Upgrades!$U$21,M106),1))+(IF(L106=0,0,(Upgrades!$J$20+L106*Upgrades!$K$20)*POWER(Upgrades!$L$20,L106)))*(IF(Upgrades!$T$13="Open Cluster",POWER(Upgrades!$U$13,E106),1)*IF(Upgrades!$T$14="Open Cluster",POWER(Upgrades!$U$14,F106),1)*IF(Upgrades!$T$15="Open Cluster",POWER(Upgrades!$U$15,G106),1)*IF(Upgrades!$T$16="Open Cluster",POWER(Upgrades!$U$16,H106),1)*IF(Upgrades!$T$17="Open Cluster",POWER(Upgrades!$U$17,I106),1)*IF(Upgrades!$T$18="Open Cluster",POWER(Upgrades!$U$18,J106),1)*IF(Upgrades!$T$19="Open Cluster",POWER(Upgrades!$U$19,K106),1)*IF(Upgrades!$T$21="Open Cluster",POWER(Upgrades!$U$21,M106),1))+(IF(M106=0,0,(Upgrades!$J$21+M106*Upgrades!$K$21)*POWER(Upgrades!$L$21,M106)))*(IF(Upgrades!$T$13="Moving Group",POWER(Upgrades!$U$13,E106),1)*IF(Upgrades!$T$14="Moving Group",POWER(Upgrades!$U$14,F106),1)*IF(Upgrades!$T$15="Moving Group",POWER(Upgrades!$U$15,G106),1)*IF(Upgrades!$T$16="Moving Group",POWER(Upgrades!$U$16,H106),1)*IF(Upgrades!$T$17="Moving Group",POWER(Upgrades!$U$17,I106),1)*IF(Upgrades!$T$18="Moving Group",POWER(Upgrades!$U$18,J106),1)*IF(Upgrades!$T$19="Moving Group",POWER(Upgrades!$U$19,K106),1)*IF(Upgrades!$T$20="Moving Group",POWER(Upgrades!$U$20,L106),1)))*POWER(Upgrades!$Q$13,E106)*POWER(Upgrades!$Q$14,F106)*POWER(Upgrades!$Q$15,G106)*POWER(Upgrades!$Q$16,H106)*POWER(Upgrades!$Q$17,I106)*POWER(Upgrades!$Q$18,J106)*POWER(Upgrades!$Q$19,K106)*POWER(Upgrades!$Q$20,L106)*POWER(Upgrades!$Q$21,M106)*$G$6+$D$6</f>
        <v/>
      </c>
      <c r="P106" s="28">
        <f>((IF(E106=0,0,(Upgrades!$G$13+E106*Upgrades!$H$13)*POWER(Upgrades!$I$13,E106)))*(IF(Upgrades!$T$14="Stellar Kinematics",POWER(Upgrades!$U$14,F106),1)*IF(Upgrades!$T$15="Stellar Kinematics",POWER(Upgrades!$U$15,G106),1)*IF(Upgrades!$T$16="Stellar Kinematics",POWER(Upgrades!$U$16,H106),1)*IF(Upgrades!$T$17="Stellar Kinematics",POWER(Upgrades!$U$17,I106),1)*IF(Upgrades!$T$18="Stellar Kinematics",POWER(Upgrades!$U$18,J106),1)*IF(Upgrades!$T$19="Stellar Kinematics",POWER(Upgrades!$U$19,K106),1)*IF(Upgrades!$T$20="Stellar Kinematics",POWER(Upgrades!$U$20,L106),1)*IF(Upgrades!$T$21="Stellar Kinematics",POWER(Upgrades!$U$21,M106),1))+(IF(F106=0,0,(Upgrades!$G$14+F106*Upgrades!$H$14)*POWER(Upgrades!$I$14,F106)))*(IF(Upgrades!$T$13="Local Bubble",POWER(Upgrades!$U$13,E106),1)*IF(Upgrades!$T$15="Local Bubble",POWER(Upgrades!$U$15,G106),1)*IF(Upgrades!$T$16="Local Bubble",POWER(Upgrades!$U$16,H106),1)*IF(Upgrades!$T$17="Local Bubble",POWER(Upgrades!$U$17,I106),1)*IF(Upgrades!$T$18="Local Bubble",POWER(Upgrades!$U$18,J106),1)*IF(Upgrades!$T$19="Local Bubble",POWER(Upgrades!$U$19,K106),1)*IF(Upgrades!$T$20="Local Bubble",POWER(Upgrades!$U$20,L106),1)*IF(Upgrades!$T$21="Local Bubble",POWER(Upgrades!$U$21,M106),1))+(IF(G106=0,0,(Upgrades!$G$15+G106*Upgrades!$H$15)*POWER(Upgrades!$I$15,G106)))*(IF(Upgrades!$T$13="Microlensing",POWER(Upgrades!$U$13,E106),1)*IF(Upgrades!$T$14="Microlensing",POWER(Upgrades!$U$14,F106),1)*IF(Upgrades!$T$16="Microlensing",POWER(Upgrades!$U$16,H106),1)*IF(Upgrades!$T$17="Microlensing",POWER(Upgrades!$U$17,I106),1)*IF(Upgrades!$T$18="Microlensing",POWER(Upgrades!$U$18,J106),1)*IF(Upgrades!$T$19="Microlensing",POWER(Upgrades!$U$19,K106),1)*IF(Upgrades!$T$20="Microlensing",POWER(Upgrades!$U$20,L106),1)*IF(Upgrades!$T$21="Microlensing",POWER(Upgrades!$U$21,M106),1))+(IF(H106=0,0,(Upgrades!$G$16+H106*Upgrades!$H$16)*POWER(Upgrades!$I$16,H106)))*(IF(Upgrades!$T$13="Roche Lobe Overflow",POWER(Upgrades!$U$13,E106),1)*IF(Upgrades!$T$14="Roche Lobe Overflow",POWER(Upgrades!$U$14,F106),1)*IF(Upgrades!$T$15="Roche Lobe Overflow",POWER(Upgrades!$U$15,G106),1)*IF(Upgrades!$T$17="Roche Lobe Overflow",POWER(Upgrades!$U$17,I106),1)*IF(Upgrades!$T$18="Roche Lobe Overflow",POWER(Upgrades!$U$18,J106),1)*IF(Upgrades!$T$19="Roche Lobe Overflow",POWER(Upgrades!$U$19,K106),1)*IF(Upgrades!$T$20="Roche Lobe Overflow",POWER(Upgrades!$U$20,L106),1)*IF(Upgrades!$T$21="Roche Lobe Overflow",POWER(Upgrades!$U$21,M106),1))+(IF(I106=0,0,(Upgrades!$G$17+I106*Upgrades!$H$17)*POWER(Upgrades!$I$17,I106)))*(IF(Upgrades!$T$13="Brown Dwarf",POWER(Upgrades!$U$13,E106),1)*IF(Upgrades!$T$14="Brown Dwarf",POWER(Upgrades!$U$14,F106),1)*IF(Upgrades!$T$15="Brown Dwarf",POWER(Upgrades!$U$15,G106),1)*IF(Upgrades!$T$16="Brown Dwarf",POWER(Upgrades!$U$16,H106),1)*IF(Upgrades!$T$18="Brown Dwarf",POWER(Upgrades!$U$18,J106),1)*IF(Upgrades!$T$19="Brown Dwarf",POWER(Upgrades!$U$19,K106),1)*IF(Upgrades!$T$20="Brown Dwarf",POWER(Upgrades!$U$20,L106),1)*IF(Upgrades!$T$21="Brown Dwarf",POWER(Upgrades!$U$21,M106),1))+(IF(J106=0,0,(Upgrades!$G$18+J106*Upgrades!$H$18)*POWER(Upgrades!$I$18,J106)))*(IF(Upgrades!$T$13="Binary Partner",POWER(Upgrades!$U$13,E106),1)*IF(Upgrades!$T$14="Binary Partner",POWER(Upgrades!$U$14,F106),1)*IF(Upgrades!$T$15="Binary Partner",POWER(Upgrades!$U$15,G106),1)*IF(Upgrades!$T$16="Binary Partner",POWER(Upgrades!$U$16,H106),1)*IF(Upgrades!$T$17="Binary Partner",POWER(Upgrades!$U$17,I106),1)*IF(Upgrades!$T$19="Binary Partner",POWER(Upgrades!$U$19,K106),1)*IF(Upgrades!$T$20="Binary Partner",POWER(Upgrades!$U$20,L106),1)*IF(Upgrades!$T$21="Binary Partner",POWER(Upgrades!$U$21,M106),1))+(IF(K106=0,0,(Upgrades!$G$19+K106*Upgrades!$H$19)*POWER(Upgrades!$I$19,K106)))*(IF(Upgrades!$T$13="Peculiar Velocity",POWER(Upgrades!$U$13,E106),1)*IF(Upgrades!$T$14="Peculiar Velocity",POWER(Upgrades!$U$14,F106),1)*IF(Upgrades!$T$15="Peculiar Velocity",POWER(Upgrades!$U$15,G106),1)*IF(Upgrades!$T$16="Peculiar Velocity",POWER(Upgrades!$U$16,H106),1)*IF(Upgrades!$T$17="Peculiar Velocity",POWER(Upgrades!$U$17,I106),1)*IF(Upgrades!$T$18="Peculiar Velocity",POWER(Upgrades!$U$18,J106),1)*IF(Upgrades!$T$20="Peculiar Velocity",POWER(Upgrades!$U$20,L106),1)*IF(Upgrades!$T$21="Peculiar Velocity",POWER(Upgrades!$U$21,M106),1))+(IF(L106=0,0,(Upgrades!$G$20+L106*Upgrades!$H$20)*POWER(Upgrades!$I$20,L106)))*(IF(Upgrades!$T$13="Open Cluster",POWER(Upgrades!$U$13,E106),1)*IF(Upgrades!$T$14="Open Cluster",POWER(Upgrades!$U$14,F106),1)*IF(Upgrades!$T$15="Open Cluster",POWER(Upgrades!$U$15,G106),1)*IF(Upgrades!$T$16="Open Cluster",POWER(Upgrades!$U$16,H106),1)*IF(Upgrades!$T$17="Open Cluster",POWER(Upgrades!$U$17,I106),1)*IF(Upgrades!$T$18="Open Cluster",POWER(Upgrades!$U$18,J106),1)*IF(Upgrades!$T$19="Open Cluster",POWER(Upgrades!$U$19,K106),1)*IF(Upgrades!$T$21="Open Cluster",POWER(Upgrades!$U$21,M106),1))+(IF(M106=0,0,(Upgrades!$G$21+M106*Upgrades!$H$21)*POWER(Upgrades!$I$21,M106)))*(IF(Upgrades!$T$13="Moving Group",POWER(Upgrades!$U$13,E106),1)*IF(Upgrades!$T$14="Moving Group",POWER(Upgrades!$U$14,F106),1)*IF(Upgrades!$T$15="Moving Group",POWER(Upgrades!$U$15,G106),1)*IF(Upgrades!$T$16="Moving Group",POWER(Upgrades!$U$16,H106),1)*IF(Upgrades!$T$17="Moving Group",POWER(Upgrades!$U$17,I106),1)*IF(Upgrades!$T$18="Moving Group",POWER(Upgrades!$U$18,J106),1)*IF(Upgrades!$T$19="Moving Group",POWER(Upgrades!$U$19,K106),1)*IF(Upgrades!$T$20="Moving Group",POWER(Upgrades!$U$20,L106),1)))*POWER(Upgrades!$P$13,E106)*POWER(Upgrades!$P$14,F106)*POWER(Upgrades!$P$15,G106)*POWER(Upgrades!$P$16,H106)*POWER(Upgrades!$P$17,I106)*POWER(Upgrades!$P$18,J106)*POWER(Upgrades!$P$19,K106)*POWER(Upgrades!$P$20,L106)*POWER(Upgrades!$P$21,M106)*$F$6+$C$6</f>
        <v/>
      </c>
      <c r="Q106" s="28">
        <f>((IF(E106=0,0,(Upgrades!$M$13+E106*Upgrades!$N$13)*POWER(Upgrades!$O$13,E106)))*(IF(Upgrades!$T$14="Stellar Kinematics",POWER(Upgrades!$U$14,F106),1)*IF(Upgrades!$T$15="Stellar Kinematics",POWER(Upgrades!$U$15,G106),1)*IF(Upgrades!$T$16="Stellar Kinematics",POWER(Upgrades!$U$16,H106),1)*IF(Upgrades!$T$17="Stellar Kinematics",POWER(Upgrades!$U$17,I106),1)*IF(Upgrades!$T$18="Stellar Kinematics",POWER(Upgrades!$U$18,J106),1)*IF(Upgrades!$T$19="Stellar Kinematics",POWER(Upgrades!$U$19,K106),1)*IF(Upgrades!$T$20="Stellar Kinematics",POWER(Upgrades!$U$20,L106),1)*IF(Upgrades!$T$21="Stellar Kinematics",POWER(Upgrades!$U$21,M106),1))+(IF(F106=0,0,(Upgrades!$M$14+F106*Upgrades!$N$14)*POWER(Upgrades!$O$14,F106)))*(IF(Upgrades!$T$13="Local Bubble",POWER(Upgrades!$U$13,E106),1)*IF(Upgrades!$T$15="Local Bubble",POWER(Upgrades!$U$15,G106),1)*IF(Upgrades!$T$16="Local Bubble",POWER(Upgrades!$U$16,H106),1)*IF(Upgrades!$T$17="Local Bubble",POWER(Upgrades!$U$17,I106),1)*IF(Upgrades!$T$18="Local Bubble",POWER(Upgrades!$U$18,J106),1)*IF(Upgrades!$T$19="Local Bubble",POWER(Upgrades!$U$19,K106),1)*IF(Upgrades!$T$20="Local Bubble",POWER(Upgrades!$U$20,L106),1)*IF(Upgrades!$T$21="Local Bubble",POWER(Upgrades!$U$21,M106),1))+(IF(G106=0,0,(Upgrades!$M$15+G106*Upgrades!$N$15)*POWER(Upgrades!$O$15,G106)))*(IF(Upgrades!$T$13="Microlensing",POWER(Upgrades!$U$13,E106),1)*IF(Upgrades!$T$14="Microlensing",POWER(Upgrades!$U$14,F106),1)*IF(Upgrades!$T$16="Microlensing",POWER(Upgrades!$U$16,H106),1)*IF(Upgrades!$T$17="Microlensing",POWER(Upgrades!$U$17,I106),1)*IF(Upgrades!$T$18="Microlensing",POWER(Upgrades!$U$18,J106),1)*IF(Upgrades!$T$19="Microlensing",POWER(Upgrades!$U$19,K106),1)*IF(Upgrades!$T$20="Microlensing",POWER(Upgrades!$U$20,L106),1)*IF(Upgrades!$T$21="Microlensing",POWER(Upgrades!$U$21,M106),1))+(IF(H106=0,0,(Upgrades!$M$16+H106*Upgrades!$N$16)*POWER(Upgrades!$O$16,H106)))*(IF(Upgrades!$T$13="Roche Lobe Overflow",POWER(Upgrades!$U$13,E106),1)*IF(Upgrades!$T$14="Roche Lobe Overflow",POWER(Upgrades!$U$14,F106),1)*IF(Upgrades!$T$15="Roche Lobe Overflow",POWER(Upgrades!$U$15,G106),1)*IF(Upgrades!$T$17="Roche Lobe Overflow",POWER(Upgrades!$U$17,I106),1)*IF(Upgrades!$T$18="Roche Lobe Overflow",POWER(Upgrades!$U$18,J106),1)*IF(Upgrades!$T$19="Roche Lobe Overflow",POWER(Upgrades!$U$19,K106),1)*IF(Upgrades!$T$20="Roche Lobe Overflow",POWER(Upgrades!$U$20,L106),1)*IF(Upgrades!$T$21="Roche Lobe Overflow",POWER(Upgrades!$U$21,M106),1))+(IF(I106=0,0,(Upgrades!$M$17+I106*Upgrades!$N$17)*POWER(Upgrades!$O$17,I106)))*(IF(Upgrades!$T$13="Brown Dwarf",POWER(Upgrades!$U$13,E106),1)*IF(Upgrades!$T$14="Brown Dwarf",POWER(Upgrades!$U$14,F106),1)*IF(Upgrades!$T$15="Brown Dwarf",POWER(Upgrades!$U$15,G106),1)*IF(Upgrades!$T$16="Brown Dwarf",POWER(Upgrades!$U$16,H106),1)*IF(Upgrades!$T$18="Brown Dwarf",POWER(Upgrades!$U$18,J106),1)*IF(Upgrades!$T$19="Brown Dwarf",POWER(Upgrades!$U$19,K106),1)*IF(Upgrades!$T$20="Brown Dwarf",POWER(Upgrades!$U$20,L106),1)*IF(Upgrades!$T$21="Brown Dwarf",POWER(Upgrades!$U$21,M106),1))+(IF(J106=0,0,(Upgrades!$M$18+J106*Upgrades!$N$18)*POWER(Upgrades!$O$18,J106)))*(IF(Upgrades!$T$13="Binary Partner",POWER(Upgrades!$U$13,E106),1)*IF(Upgrades!$T$14="Binary Partner",POWER(Upgrades!$U$14,F106),1)*IF(Upgrades!$T$15="Binary Partner",POWER(Upgrades!$U$15,G106),1)*IF(Upgrades!$T$16="Binary Partner",POWER(Upgrades!$U$16,H106),1)*IF(Upgrades!$T$17="Binary Partner",POWER(Upgrades!$U$17,I106),1)*IF(Upgrades!$T$19="Binary Partner",POWER(Upgrades!$U$19,K106),1)*IF(Upgrades!$T$20="Binary Partner",POWER(Upgrades!$U$20,L106),1)*IF(Upgrades!$T$21="Binary Partner",POWER(Upgrades!$U$21,M106),1))+(IF(K106=0,0,(Upgrades!$M$19+K106*Upgrades!$N$19)*POWER(Upgrades!$O$19,K106)))*(IF(Upgrades!$T$13="Peculiar Velocity",POWER(Upgrades!$U$13,E106),1)*IF(Upgrades!$T$14="Peculiar Velocity",POWER(Upgrades!$U$14,F106),1)*IF(Upgrades!$T$15="Peculiar Velocity",POWER(Upgrades!$U$15,G106),1)*IF(Upgrades!$T$16="Peculiar Velocity",POWER(Upgrades!$U$16,H106),1)*IF(Upgrades!$T$17="Peculiar Velocity",POWER(Upgrades!$U$17,I106),1)*IF(Upgrades!$T$18="Peculiar Velocity",POWER(Upgrades!$U$18,J106),1)*IF(Upgrades!$T$20="Peculiar Velocity",POWER(Upgrades!$U$20,L106),1)*IF(Upgrades!$T$21="Peculiar Velocity",POWER(Upgrades!$U$21,M106),1))+(IF(L106=0,0,(Upgrades!$M$20+L106*Upgrades!$N$20)*POWER(Upgrades!$O$20,L106)))*(IF(Upgrades!$T$13="Open Cluster",POWER(Upgrades!$U$13,E106),1)*IF(Upgrades!$T$14="Open Cluster",POWER(Upgrades!$U$14,F106),1)*IF(Upgrades!$T$15="Open Cluster",POWER(Upgrades!$U$15,G106),1)*IF(Upgrades!$T$16="Open Cluster",POWER(Upgrades!$U$16,H106),1)*IF(Upgrades!$T$17="Open Cluster",POWER(Upgrades!$U$17,I106),1)*IF(Upgrades!$T$18="Open Cluster",POWER(Upgrades!$U$18,J106),1)*IF(Upgrades!$T$19="Open Cluster",POWER(Upgrades!$U$19,K106),1)*IF(Upgrades!$T$21="Open Cluster",POWER(Upgrades!$U$21,M106),1))+(IF(M106=0,0,(Upgrades!$M$21+M106*Upgrades!$N$21)*POWER(Upgrades!$O$21,M106)))*(IF(Upgrades!$T$13="Moving Group",POWER(Upgrades!$U$13,E106),1)*IF(Upgrades!$T$14="Moving Group",POWER(Upgrades!$U$14,F106),1)*IF(Upgrades!$T$15="Moving Group",POWER(Upgrades!$U$15,G106),1)*IF(Upgrades!$T$16="Moving Group",POWER(Upgrades!$U$16,H106),1)*IF(Upgrades!$T$17="Moving Group",POWER(Upgrades!$U$17,I106),1)*IF(Upgrades!$T$18="Moving Group",POWER(Upgrades!$U$18,J106),1)*IF(Upgrades!$T$19="Moving Group",POWER(Upgrades!$U$19,K106),1)*IF(Upgrades!$T$20="Moving Group",POWER(Upgrades!$U$20,L106),1)))*POWER(Upgrades!$R$13,E106)*POWER(Upgrades!$R$14,F106)*POWER(Upgrades!$R$15,G106)*POWER(Upgrades!$R$16,H106)*POWER(Upgrades!$R$17,I106)*POWER(Upgrades!$R$18,J106)*POWER(Upgrades!$R$19,K106)*POWER(Upgrades!$R$20,L106)*POWER(Upgrades!$R$21,M106)*$H$6+$E$6</f>
        <v/>
      </c>
      <c r="R106" s="27">
        <f>IF(N106=1,0,O106*Parameters!$B$10/60*Parameters!$B$11*10)</f>
        <v/>
      </c>
      <c r="S106" s="27">
        <f>IF(N106=1,0,Q106*O106*10)</f>
        <v/>
      </c>
      <c r="T106" s="27">
        <f>IF(N106=1,0,R106+S106+P106*10)</f>
        <v/>
      </c>
      <c r="U106" s="33">
        <f>BE106</f>
        <v/>
      </c>
      <c r="V106" s="22">
        <f>IF(U106="",0,IF(U106="transition",0,IF(U106="SK",AK106,IF(U106="LB",AL106,IF(U106="ML",AM106,IF(U106="RLO",AN106,IF(U106="BD",AO106,IF(U106="BiP",AP106,IF(U106="PV",AQ106,IF(U106="OC",AR106,IF(U106="MG",AS106,0))))))))))</f>
        <v/>
      </c>
      <c r="W106" s="27">
        <f>IF(U106="BiP",Upgrades!$F$18,IF(U106="PV",Upgrades!$F$19,IF(U106="OC",Upgrades!$F$20,IF(U106="MG",Upgrades!$F$21,IF(U106="transition",-Parameters!$B$18*Parameters!$B$19,0)))))</f>
        <v/>
      </c>
      <c r="X106" s="22">
        <f>C106+T106-V106</f>
        <v/>
      </c>
      <c r="Y106" s="30">
        <f>O106*Parameters!$B$10/60*Parameters!$B$11+Q106*O106+P106</f>
        <v/>
      </c>
      <c r="Z106" s="34">
        <f>IF(U106="transition","→ Tier 3 (Galactic Arm)",IF(U106="MG","Moving Group — pocket drifts together",IF(U106="OC","Open Cluster acquired",IF(U106="PV","Peculiar Velocity — passive multiplier active",IF(U106="BiP","Binary Partner — pair bond formed",IF(AND(AU106=1,N106=0,AT106&lt;&gt;1),"Cohesion ready (waiting on completionists)","")))))) </f>
        <v/>
      </c>
      <c r="AA106" s="27">
        <f>(IF(E106=0,0,(Upgrades!$G$13+E106*Upgrades!$H$13)*POWER(Upgrades!$I$13,E106)))*(IF(Upgrades!$T$14="Stellar Kinematics",POWER(Upgrades!$U$14,F106),1)*IF(Upgrades!$T$15="Stellar Kinematics",POWER(Upgrades!$U$15,G106),1)*IF(Upgrades!$T$16="Stellar Kinematics",POWER(Upgrades!$U$16,H106),1)*IF(Upgrades!$T$17="Stellar Kinematics",POWER(Upgrades!$U$17,I106),1)*IF(Upgrades!$T$18="Stellar Kinematics",POWER(Upgrades!$U$18,J106),1)*IF(Upgrades!$T$19="Stellar Kinematics",POWER(Upgrades!$U$19,K106),1)*IF(Upgrades!$T$20="Stellar Kinematics",POWER(Upgrades!$U$20,L106),1)*IF(Upgrades!$T$21="Stellar Kinematics",POWER(Upgrades!$U$21,M106),1))*POWER(Upgrades!$P$13,E106)*POWER(Upgrades!$P$14,F106)*POWER(Upgrades!$P$15,G106)*POWER(Upgrades!$P$16,H106)*POWER(Upgrades!$P$17,I106)*POWER(Upgrades!$P$18,J106)*POWER(Upgrades!$P$19,K106)*POWER(Upgrades!$P$20,L106)*POWER(Upgrades!$P$21,M106)*$F$6*60</f>
        <v/>
      </c>
      <c r="AB106" s="27">
        <f>(IF(F106=0,0,(Upgrades!$G$14+F106*Upgrades!$H$14)*POWER(Upgrades!$I$14,F106)))*(IF(Upgrades!$T$13="Local Bubble",POWER(Upgrades!$U$13,E106),1)*IF(Upgrades!$T$15="Local Bubble",POWER(Upgrades!$U$15,G106),1)*IF(Upgrades!$T$16="Local Bubble",POWER(Upgrades!$U$16,H106),1)*IF(Upgrades!$T$17="Local Bubble",POWER(Upgrades!$U$17,I106),1)*IF(Upgrades!$T$18="Local Bubble",POWER(Upgrades!$U$18,J106),1)*IF(Upgrades!$T$19="Local Bubble",POWER(Upgrades!$U$19,K106),1)*IF(Upgrades!$T$20="Local Bubble",POWER(Upgrades!$U$20,L106),1)*IF(Upgrades!$T$21="Local Bubble",POWER(Upgrades!$U$21,M106),1))*POWER(Upgrades!$P$13,E106)*POWER(Upgrades!$P$14,F106)*POWER(Upgrades!$P$15,G106)*POWER(Upgrades!$P$16,H106)*POWER(Upgrades!$P$17,I106)*POWER(Upgrades!$P$18,J106)*POWER(Upgrades!$P$19,K106)*POWER(Upgrades!$P$20,L106)*POWER(Upgrades!$P$21,M106)*$F$6*60</f>
        <v/>
      </c>
      <c r="AC106" s="27">
        <f>(IF(G106=0,0,(Upgrades!$J$15+G106*Upgrades!$K$15)*POWER(Upgrades!$L$15,G106)))*(IF(Upgrades!$T$13="Microlensing",POWER(Upgrades!$U$13,E106),1)*IF(Upgrades!$T$14="Microlensing",POWER(Upgrades!$U$14,F106),1)*IF(Upgrades!$T$16="Microlensing",POWER(Upgrades!$U$16,H106),1)*IF(Upgrades!$T$17="Microlensing",POWER(Upgrades!$U$17,I106),1)*IF(Upgrades!$T$18="Microlensing",POWER(Upgrades!$U$18,J106),1)*IF(Upgrades!$T$19="Microlensing",POWER(Upgrades!$U$19,K106),1)*IF(Upgrades!$T$20="Microlensing",POWER(Upgrades!$U$20,L106),1)*IF(Upgrades!$T$21="Microlensing",POWER(Upgrades!$U$21,M106),1))*POWER(Upgrades!$Q$13,E106)*POWER(Upgrades!$Q$14,F106)*POWER(Upgrades!$Q$15,G106)*POWER(Upgrades!$Q$16,H106)*POWER(Upgrades!$Q$17,I106)*POWER(Upgrades!$Q$18,J106)*POWER(Upgrades!$Q$19,K106)*POWER(Upgrades!$Q$20,L106)*POWER(Upgrades!$Q$21,M106)*$G$6*(Parameters!$B$10*Parameters!$B$11+Q106*60)</f>
        <v/>
      </c>
      <c r="AD106" s="27">
        <f>(IF(H106=0,0,(Upgrades!$M$16+H106*Upgrades!$N$16)*POWER(Upgrades!$O$16,H106)))*(IF(Upgrades!$T$13="Roche Lobe Overflow",POWER(Upgrades!$U$13,E106),1)*IF(Upgrades!$T$14="Roche Lobe Overflow",POWER(Upgrades!$U$14,F106),1)*IF(Upgrades!$T$15="Roche Lobe Overflow",POWER(Upgrades!$U$15,G106),1)*IF(Upgrades!$T$17="Roche Lobe Overflow",POWER(Upgrades!$U$17,I106),1)*IF(Upgrades!$T$18="Roche Lobe Overflow",POWER(Upgrades!$U$18,J106),1)*IF(Upgrades!$T$19="Roche Lobe Overflow",POWER(Upgrades!$U$19,K106),1)*IF(Upgrades!$T$20="Roche Lobe Overflow",POWER(Upgrades!$U$20,L106),1)*IF(Upgrades!$T$21="Roche Lobe Overflow",POWER(Upgrades!$U$21,M106),1))*POWER(Upgrades!$R$13,E106)*POWER(Upgrades!$R$14,F106)*POWER(Upgrades!$R$15,G106)*POWER(Upgrades!$R$16,H106)*POWER(Upgrades!$R$17,I106)*POWER(Upgrades!$R$18,J106)*POWER(Upgrades!$R$19,K106)*POWER(Upgrades!$R$20,L106)*POWER(Upgrades!$R$21,M106)*$H$6*O106*60</f>
        <v/>
      </c>
      <c r="AE106" s="27">
        <f>(IF(I106=0,0,(Upgrades!$G$17+I106*Upgrades!$H$17)*POWER(Upgrades!$I$17,I106)))*(IF(Upgrades!$T$13="Brown Dwarf",POWER(Upgrades!$U$13,E106),1)*IF(Upgrades!$T$14="Brown Dwarf",POWER(Upgrades!$U$14,F106),1)*IF(Upgrades!$T$15="Brown Dwarf",POWER(Upgrades!$U$15,G106),1)*IF(Upgrades!$T$16="Brown Dwarf",POWER(Upgrades!$U$16,H106),1)*IF(Upgrades!$T$18="Brown Dwarf",POWER(Upgrades!$U$18,J106),1)*IF(Upgrades!$T$19="Brown Dwarf",POWER(Upgrades!$U$19,K106),1)*IF(Upgrades!$T$20="Brown Dwarf",POWER(Upgrades!$U$20,L106),1)*IF(Upgrades!$T$21="Brown Dwarf",POWER(Upgrades!$U$21,M106),1))*POWER(Upgrades!$P$13,E106)*POWER(Upgrades!$P$14,F106)*POWER(Upgrades!$P$15,G106)*POWER(Upgrades!$P$16,H106)*POWER(Upgrades!$P$17,I106)*POWER(Upgrades!$P$18,J106)*POWER(Upgrades!$P$19,K106)*POWER(Upgrades!$P$20,L106)*POWER(Upgrades!$P$21,M106)*$F$6*60</f>
        <v/>
      </c>
      <c r="AF106" s="27" t="n">
        <v>0</v>
      </c>
      <c r="AG106" s="27" t="n">
        <v>0</v>
      </c>
      <c r="AH106" s="27" t="n">
        <v>0</v>
      </c>
      <c r="AI106" s="27">
        <f>(IF(M106=0,0,(Upgrades!$G$21+M106*Upgrades!$H$21)*POWER(Upgrades!$I$21,M106)))*(IF(Upgrades!$T$13="Moving Group",POWER(Upgrades!$U$13,E106),1)*IF(Upgrades!$T$14="Moving Group",POWER(Upgrades!$U$14,F106),1)*IF(Upgrades!$T$15="Moving Group",POWER(Upgrades!$U$15,G106),1)*IF(Upgrades!$T$16="Moving Group",POWER(Upgrades!$U$16,H106),1)*IF(Upgrades!$T$17="Moving Group",POWER(Upgrades!$U$17,I106),1)*IF(Upgrades!$T$18="Moving Group",POWER(Upgrades!$U$18,J106),1)*IF(Upgrades!$T$19="Moving Group",POWER(Upgrades!$U$19,K106),1)*IF(Upgrades!$T$20="Moving Group",POWER(Upgrades!$U$20,L106),1))*POWER(Upgrades!$P$13,E106)*POWER(Upgrades!$P$14,F106)*POWER(Upgrades!$P$15,G106)*POWER(Upgrades!$P$16,H106)*POWER(Upgrades!$P$17,I106)*POWER(Upgrades!$P$18,J106)*POWER(Upgrades!$P$19,K106)*POWER(Upgrades!$P$20,L106)*POWER(Upgrades!$P$21,M106)*$F$6*60</f>
        <v/>
      </c>
      <c r="AJ106" s="27">
        <f>$C$6*60</f>
        <v/>
      </c>
      <c r="AK106" s="22">
        <f>IF(E106&gt;=Upgrades!$E$13,"",Upgrades!$C$13*POWER(Upgrades!$D$13,E106))</f>
        <v/>
      </c>
      <c r="AL106" s="22">
        <f>IF(F106&gt;=Upgrades!$E$14,"",Upgrades!$C$14*POWER(Upgrades!$D$14,F106))</f>
        <v/>
      </c>
      <c r="AM106" s="22">
        <f>IF(G106&gt;=Upgrades!$E$15,"",Upgrades!$C$15*POWER(Upgrades!$D$15,G106))</f>
        <v/>
      </c>
      <c r="AN106" s="22">
        <f>IF(H106&gt;=Upgrades!$E$16,"",Upgrades!$C$16*POWER(Upgrades!$D$16,H106))</f>
        <v/>
      </c>
      <c r="AO106" s="22">
        <f>IF(I106&gt;=Upgrades!$E$17,"",Upgrades!$C$17*POWER(Upgrades!$D$17,I106))</f>
        <v/>
      </c>
      <c r="AP106" s="22">
        <f>IF(J106&gt;=Upgrades!$E$18,"",Upgrades!$C$18*POWER(Upgrades!$D$18,J106))</f>
        <v/>
      </c>
      <c r="AQ106" s="22">
        <f>IF(K106&gt;=Upgrades!$E$19,"",Upgrades!$C$19*POWER(Upgrades!$D$19,K106))</f>
        <v/>
      </c>
      <c r="AR106" s="22">
        <f>IF(L106&gt;=Upgrades!$E$20,"",Upgrades!$C$20*POWER(Upgrades!$D$20,L106))</f>
        <v/>
      </c>
      <c r="AS106" s="22">
        <f>IF(M106&gt;=Upgrades!$E$21,"",Upgrades!$C$21*POWER(Upgrades!$D$21,M106))</f>
        <v/>
      </c>
      <c r="AT106" s="26">
        <f>IF(AND(D106&gt;=Parameters!$B$18*Parameters!$B$19,(I106&gt;=Upgrades!$E$17)*(M106&gt;=Upgrades!$E$21)=1,N106=0),1,"")</f>
        <v/>
      </c>
      <c r="AU106" s="26">
        <f>IF(AND(D106&gt;=Parameters!$B$18*Parameters!$B$19,N106=0),1,"")</f>
        <v/>
      </c>
      <c r="AV106" s="22">
        <f>MIN(IF(ISNUMBER(AP106),AP106,9E15),IF(ISNUMBER(AQ106),AQ106,9E15),IF(ISNUMBER(AR106),AR106,9E15),IF(ISNUMBER(AS106),AS106,9E15))</f>
        <v/>
      </c>
      <c r="AW106" s="22">
        <f>MIN(IF(ISNUMBER(AK106),AK106,9E15),IF(ISNUMBER(AL106),AL106,9E15),IF(ISNUMBER(AM106),AM106,9E15),IF(ISNUMBER(AN106),AN106,9E15),IF(ISNUMBER(AO106),AO106,9E15))</f>
        <v/>
      </c>
      <c r="AX106" s="29">
        <f>IF(BD106&gt;Parameters!$B$21*(MAX(IF(AND(NOT(AND(AU106=1,AT106&lt;&gt;1)),ISNUMBER(AK106),AK106&lt;=(C106+T106)),AY106,0),IF(AND(NOT(AND(AU106=1,AT106&lt;&gt;1)),ISNUMBER(AL106),AL106&lt;=(C106+T106)),AZ106,0),IF(AND(NOT(AND(AU106=1,AT106&lt;&gt;1)),ISNUMBER(AM106),AM106&lt;=(C106+T106)),BA106,0),IF(AND(NOT(AND(AU106=1,AT106&lt;&gt;1)),ISNUMBER(AN106),AN106&lt;=(C106+T106)),BB106,0),IF(AND(ISNUMBER(AO106),AO106&lt;=(C106+T106)),BC106,0))),TRUE,FALSE)</f>
        <v/>
      </c>
      <c r="AY106" s="32">
        <f>IFERROR(Upgrades!$H$13*(POWER(Upgrades!$P$13,E106)*POWER(Upgrades!$P$14,F106)*POWER(Upgrades!$P$15,G106)*POWER(Upgrades!$P$16,H106)*POWER(Upgrades!$P$17,I106)*POWER(Upgrades!$P$18,J106)*POWER(Upgrades!$P$19,K106)*POWER(Upgrades!$P$20,L106)*POWER(Upgrades!$P$21,M106))*(IF(Upgrades!$T$14="Stellar Kinematics",POWER(Upgrades!$U$14,F106),1)*IF(Upgrades!$T$15="Stellar Kinematics",POWER(Upgrades!$U$15,G106),1)*IF(Upgrades!$T$16="Stellar Kinematics",POWER(Upgrades!$U$16,H106),1)*IF(Upgrades!$T$17="Stellar Kinematics",POWER(Upgrades!$U$17,I106),1)*IF(Upgrades!$T$18="Stellar Kinematics",POWER(Upgrades!$U$18,J106),1)*IF(Upgrades!$T$19="Stellar Kinematics",POWER(Upgrades!$U$19,K106),1)*IF(Upgrades!$T$20="Stellar Kinematics",POWER(Upgrades!$U$20,L106),1)*IF(Upgrades!$T$21="Stellar Kinematics",POWER(Upgrades!$U$21,M106),1))*$F$6/AK106,0)</f>
        <v/>
      </c>
      <c r="AZ106" s="32">
        <f>IFERROR(Upgrades!$H$14*(POWER(Upgrades!$P$13,E106)*POWER(Upgrades!$P$14,F106)*POWER(Upgrades!$P$15,G106)*POWER(Upgrades!$P$16,H106)*POWER(Upgrades!$P$17,I106)*POWER(Upgrades!$P$18,J106)*POWER(Upgrades!$P$19,K106)*POWER(Upgrades!$P$20,L106)*POWER(Upgrades!$P$21,M106))*(IF(Upgrades!$T$13="Local Bubble",POWER(Upgrades!$U$13,E106),1)*IF(Upgrades!$T$15="Local Bubble",POWER(Upgrades!$U$15,G106),1)*IF(Upgrades!$T$16="Local Bubble",POWER(Upgrades!$U$16,H106),1)*IF(Upgrades!$T$17="Local Bubble",POWER(Upgrades!$U$17,I106),1)*IF(Upgrades!$T$18="Local Bubble",POWER(Upgrades!$U$18,J106),1)*IF(Upgrades!$T$19="Local Bubble",POWER(Upgrades!$U$19,K106),1)*IF(Upgrades!$T$20="Local Bubble",POWER(Upgrades!$U$20,L106),1)*IF(Upgrades!$T$21="Local Bubble",POWER(Upgrades!$U$21,M106),1))*$F$6/AL106,0)</f>
        <v/>
      </c>
      <c r="BA106" s="32">
        <f>IFERROR(Upgrades!$K$15*(POWER(Upgrades!$Q$13,E106)*POWER(Upgrades!$Q$14,F106)*POWER(Upgrades!$Q$15,G106)*POWER(Upgrades!$Q$16,H106)*POWER(Upgrades!$Q$17,I106)*POWER(Upgrades!$Q$18,J106)*POWER(Upgrades!$Q$19,K106)*POWER(Upgrades!$Q$20,L106)*POWER(Upgrades!$Q$21,M106))*(IF(Upgrades!$T$13="Microlensing",POWER(Upgrades!$U$13,E106),1)*IF(Upgrades!$T$14="Microlensing",POWER(Upgrades!$U$14,F106),1)*IF(Upgrades!$T$16="Microlensing",POWER(Upgrades!$U$16,H106),1)*IF(Upgrades!$T$17="Microlensing",POWER(Upgrades!$U$17,I106),1)*IF(Upgrades!$T$18="Microlensing",POWER(Upgrades!$U$18,J106),1)*IF(Upgrades!$T$19="Microlensing",POWER(Upgrades!$U$19,K106),1)*IF(Upgrades!$T$20="Microlensing",POWER(Upgrades!$U$20,L106),1)*IF(Upgrades!$T$21="Microlensing",POWER(Upgrades!$U$21,M106),1))*$G$6*(Parameters!$B$10/60*Parameters!$B$11+Q106)/AM106,0)</f>
        <v/>
      </c>
      <c r="BB106" s="32">
        <f>IFERROR((Upgrades!$N$16*(POWER(Upgrades!$R$13,E106)*POWER(Upgrades!$R$14,F106)*POWER(Upgrades!$R$15,G106)*POWER(Upgrades!$R$16,H106)*POWER(Upgrades!$R$17,I106)*POWER(Upgrades!$R$18,J106)*POWER(Upgrades!$R$19,K106)*POWER(Upgrades!$R$20,L106)*POWER(Upgrades!$R$21,M106))*(IF(Upgrades!$T$13="Roche Lobe Overflow",POWER(Upgrades!$U$13,E106),1)*IF(Upgrades!$T$14="Roche Lobe Overflow",POWER(Upgrades!$U$14,F106),1)*IF(Upgrades!$T$15="Roche Lobe Overflow",POWER(Upgrades!$U$15,G106),1)*IF(Upgrades!$T$17="Roche Lobe Overflow",POWER(Upgrades!$U$17,I106),1)*IF(Upgrades!$T$18="Roche Lobe Overflow",POWER(Upgrades!$U$18,J106),1)*IF(Upgrades!$T$19="Roche Lobe Overflow",POWER(Upgrades!$U$19,K106),1)*IF(Upgrades!$T$20="Roche Lobe Overflow",POWER(Upgrades!$U$20,L106),1)*IF(Upgrades!$T$21="Roche Lobe Overflow",POWER(Upgrades!$U$21,M106),1))*$H$6*O106+((IF(F106=0,0,(Upgrades!$G$14+F106*Upgrades!$H$14)*POWER(Upgrades!$I$14,F106)))*(IF(Upgrades!$T$13="Local Bubble",POWER(Upgrades!$U$13,E106),1)*IF(Upgrades!$T$15="Local Bubble",POWER(Upgrades!$U$15,G106),1)*IF(Upgrades!$T$16="Local Bubble",POWER(Upgrades!$U$16,H106),1)*IF(Upgrades!$T$17="Local Bubble",POWER(Upgrades!$U$17,I106),1)*IF(Upgrades!$T$18="Local Bubble",POWER(Upgrades!$U$18,J106),1)*IF(Upgrades!$T$19="Local Bubble",POWER(Upgrades!$U$19,K106),1)*IF(Upgrades!$T$20="Local Bubble",POWER(Upgrades!$U$20,L106),1)*IF(Upgrades!$T$21="Local Bubble",POWER(Upgrades!$U$21,M106),1))*POWER(Upgrades!$P$13,E106)*POWER(Upgrades!$P$14,F106)*POWER(Upgrades!$P$15,G106)*POWER(Upgrades!$P$16,H106)*POWER(Upgrades!$P$17,I106)*POWER(Upgrades!$P$18,J106)*POWER(Upgrades!$P$19,K106)*POWER(Upgrades!$P$20,L106)*POWER(Upgrades!$P$21,M106)*$F$6)*0.05)/AN106,0)</f>
        <v/>
      </c>
      <c r="BC106" s="32">
        <f>IFERROR((Upgrades!$H$17*(POWER(Upgrades!$P$13,E106)*POWER(Upgrades!$P$14,F106)*POWER(Upgrades!$P$15,G106)*POWER(Upgrades!$P$16,H106)*POWER(Upgrades!$P$17,I106)*POWER(Upgrades!$P$18,J106)*POWER(Upgrades!$P$19,K106)*POWER(Upgrades!$P$20,L106)*POWER(Upgrades!$P$21,M106))*(IF(Upgrades!$T$13="Brown Dwarf",POWER(Upgrades!$U$13,E106),1)*IF(Upgrades!$T$14="Brown Dwarf",POWER(Upgrades!$U$14,F106),1)*IF(Upgrades!$T$15="Brown Dwarf",POWER(Upgrades!$U$15,G106),1)*IF(Upgrades!$T$16="Brown Dwarf",POWER(Upgrades!$U$16,H106),1)*IF(Upgrades!$T$18="Brown Dwarf",POWER(Upgrades!$U$18,J106),1)*IF(Upgrades!$T$19="Brown Dwarf",POWER(Upgrades!$U$19,K106),1)*IF(Upgrades!$T$20="Brown Dwarf",POWER(Upgrades!$U$20,L106),1)*IF(Upgrades!$T$21="Brown Dwarf",POWER(Upgrades!$U$21,M106),1))*$F$6+(((IF(H106=0,0,(Upgrades!$M$16+H106*Upgrades!$N$16)*POWER(Upgrades!$O$16,H106)))*(IF(Upgrades!$T$13="Roche Lobe Overflow",POWER(Upgrades!$U$13,E106),1)*IF(Upgrades!$T$14="Roche Lobe Overflow",POWER(Upgrades!$U$14,F106),1)*IF(Upgrades!$T$15="Roche Lobe Overflow",POWER(Upgrades!$U$15,G106),1)*IF(Upgrades!$T$17="Roche Lobe Overflow",POWER(Upgrades!$U$17,I106),1)*IF(Upgrades!$T$18="Roche Lobe Overflow",POWER(Upgrades!$U$18,J106),1)*IF(Upgrades!$T$19="Roche Lobe Overflow",POWER(Upgrades!$U$19,K106),1)*IF(Upgrades!$T$20="Roche Lobe Overflow",POWER(Upgrades!$U$20,L106),1)*IF(Upgrades!$T$21="Roche Lobe Overflow",POWER(Upgrades!$U$21,M106),1))*POWER(Upgrades!$R$13,E106)*POWER(Upgrades!$R$14,F106)*POWER(Upgrades!$R$15,G106)*POWER(Upgrades!$R$16,H106)*POWER(Upgrades!$R$17,I106)*POWER(Upgrades!$R$18,J106)*POWER(Upgrades!$R$19,K106)*POWER(Upgrades!$R$20,L106)*POWER(Upgrades!$R$21,M106)*$H$6)*O106)*0.10)/AO106,0)</f>
        <v/>
      </c>
      <c r="BD106" s="32">
        <f>MAX(IF(J106&gt;0,0,IFERROR(0.5*((IF(G106=0,0,(Upgrades!$J$15+G106*Upgrades!$K$15)*POWER(Upgrades!$L$15,G106)))*(IF(Upgrades!$T$13="Microlensing",POWER(Upgrades!$U$13,E106),1)*IF(Upgrades!$T$14="Microlensing",POWER(Upgrades!$U$14,F106),1)*IF(Upgrades!$T$16="Microlensing",POWER(Upgrades!$U$16,H106),1)*IF(Upgrades!$T$17="Microlensing",POWER(Upgrades!$U$17,I106),1)*IF(Upgrades!$T$18="Microlensing",POWER(Upgrades!$U$18,J106),1)*IF(Upgrades!$T$19="Microlensing",POWER(Upgrades!$U$19,K106),1)*IF(Upgrades!$T$20="Microlensing",POWER(Upgrades!$U$20,L106),1)*IF(Upgrades!$T$21="Microlensing",POWER(Upgrades!$U$21,M106),1))*(POWER(Upgrades!$Q$13,E106)*POWER(Upgrades!$Q$14,F106)*POWER(Upgrades!$Q$15,G106)*POWER(Upgrades!$Q$16,H106)*POWER(Upgrades!$Q$17,I106)*POWER(Upgrades!$Q$18,J106)*POWER(Upgrades!$Q$19,K106)*POWER(Upgrades!$Q$20,L106)*POWER(Upgrades!$Q$21,M106))*$G$6*(Parameters!$B$10/60*Parameters!$B$11+Q106))/Upgrades!$C$18,0)),IF(K106&gt;0,0,IFERROR(0.30*P106/Upgrades!$C$19,0)),IF(L106&gt;0,0,IFERROR(0.0001/Upgrades!$C$20,0)),IF(M106&gt;0,0,IFERROR((6.0*(POWER(Upgrades!$P$13,E106)*POWER(Upgrades!$P$14,F106)*POWER(Upgrades!$P$15,G106)*POWER(Upgrades!$P$16,H106)*POWER(Upgrades!$P$17,I106)*POWER(Upgrades!$P$18,J106)*POWER(Upgrades!$P$19,K106)*POWER(Upgrades!$P$20,L106)*POWER(Upgrades!$P$21,M106))*$F$6+0.20*O106*(Parameters!$B$10/60*Parameters!$B$11+Q106))/Upgrades!$C$21,0)),IF(AND(ISNUMBER(AK106),AK106&gt;(C106+T106)),AY106,0),IF(AND(ISNUMBER(AL106),AL106&gt;(C106+T106)),AZ106,0),IF(AND(ISNUMBER(AM106),AM106&gt;(C106+T106)),BA106,0),IF(AND(ISNUMBER(AN106),AN106&gt;(C106+T106)),BB106,0),IF(AND(ISNUMBER(AO106),AO106&gt;(C106+T106)),BC106,0))</f>
        <v/>
      </c>
      <c r="BE106" s="29">
        <f>IF(AT106=1,"transition",IF(MIN(IF(AND(J106=0,ISNUMBER(AP106),AP106&lt;=(C106+T106)),AP106,9E15),IF(AND(K106=0,ISNUMBER(AQ106),AQ106&lt;=(C106+T106)),AQ106,9E15),IF(AND(L106=0,ISNUMBER(AR106),AR106&lt;=(C106+T106)),AR106,9E15),IF(AND(M106=0,ISNUMBER(AS106),AS106&lt;=(C106+T106)),AS106,9E15))&lt;9E15,IF(AND(AND(J106=0,ISNUMBER(AP106),AP106&lt;=(C106+T106)),AP106=MIN(IF(AND(J106=0,ISNUMBER(AP106),AP106&lt;=(C106+T106)),AP106,9E15),IF(AND(K106=0,ISNUMBER(AQ106),AQ106&lt;=(C106+T106)),AQ106,9E15),IF(AND(L106=0,ISNUMBER(AR106),AR106&lt;=(C106+T106)),AR106,9E15),IF(AND(M106=0,ISNUMBER(AS106),AS106&lt;=(C106+T106)),AS106,9E15))),"BiP",IF(AND(AND(K106=0,ISNUMBER(AQ106),AQ106&lt;=(C106+T106)),AQ106=MIN(IF(AND(J106=0,ISNUMBER(AP106),AP106&lt;=(C106+T106)),AP106,9E15),IF(AND(K106=0,ISNUMBER(AQ106),AQ106&lt;=(C106+T106)),AQ106,9E15),IF(AND(L106=0,ISNUMBER(AR106),AR106&lt;=(C106+T106)),AR106,9E15),IF(AND(M106=0,ISNUMBER(AS106),AS106&lt;=(C106+T106)),AS106,9E15))),"PV",IF(AND(AND(L106=0,ISNUMBER(AR106),AR106&lt;=(C106+T106)),AR106=MIN(IF(AND(J106=0,ISNUMBER(AP106),AP106&lt;=(C106+T106)),AP106,9E15),IF(AND(K106=0,ISNUMBER(AQ106),AQ106&lt;=(C106+T106)),AQ106,9E15),IF(AND(L106=0,ISNUMBER(AR106),AR106&lt;=(C106+T106)),AR106,9E15),IF(AND(M106=0,ISNUMBER(AS106),AS106&lt;=(C106+T106)),AS106,9E15))),"OC","MG"))),IF(AX106=TRUE,"",IF(MAX(IF(AND(NOT(AND(AU106=1,AT106&lt;&gt;1)),ISNUMBER(AK106),AK106&lt;=(C106+T106)),AY106,0),IF(AND(NOT(AND(AU106=1,AT106&lt;&gt;1)),ISNUMBER(AL106),AL106&lt;=(C106+T106)),AZ106,0),IF(AND(NOT(AND(AU106=1,AT106&lt;&gt;1)),ISNUMBER(AM106),AM106&lt;=(C106+T106)),BA106,0),IF(AND(NOT(AND(AU106=1,AT106&lt;&gt;1)),ISNUMBER(AN106),AN106&lt;=(C106+T106)),BB106,0),IF(AND(ISNUMBER(AO106),AO106&lt;=(C106+T106)),BC106,0))&lt;=0,"",IF(AND(IF(AND(NOT(AND(AU106=1,AT106&lt;&gt;1)),ISNUMBER(AK106),AK106&lt;=(C106+T106)),AY106,0)&gt;0,IF(AND(NOT(AND(AU106=1,AT106&lt;&gt;1)),ISNUMBER(AK106),AK106&lt;=(C106+T106)),AY106,0)=MAX(IF(AND(NOT(AND(AU106=1,AT106&lt;&gt;1)),ISNUMBER(AK106),AK106&lt;=(C106+T106)),AY106,0),IF(AND(NOT(AND(AU106=1,AT106&lt;&gt;1)),ISNUMBER(AL106),AL106&lt;=(C106+T106)),AZ106,0),IF(AND(NOT(AND(AU106=1,AT106&lt;&gt;1)),ISNUMBER(AM106),AM106&lt;=(C106+T106)),BA106,0),IF(AND(NOT(AND(AU106=1,AT106&lt;&gt;1)),ISNUMBER(AN106),AN106&lt;=(C106+T106)),BB106,0),IF(AND(ISNUMBER(AO106),AO106&lt;=(C106+T106)),BC106,0))),"SK",IF(AND(IF(AND(NOT(AND(AU106=1,AT106&lt;&gt;1)),ISNUMBER(AL106),AL106&lt;=(C106+T106)),AZ106,0)&gt;0,IF(AND(NOT(AND(AU106=1,AT106&lt;&gt;1)),ISNUMBER(AL106),AL106&lt;=(C106+T106)),AZ106,0)=MAX(IF(AND(NOT(AND(AU106=1,AT106&lt;&gt;1)),ISNUMBER(AK106),AK106&lt;=(C106+T106)),AY106,0),IF(AND(NOT(AND(AU106=1,AT106&lt;&gt;1)),ISNUMBER(AL106),AL106&lt;=(C106+T106)),AZ106,0),IF(AND(NOT(AND(AU106=1,AT106&lt;&gt;1)),ISNUMBER(AM106),AM106&lt;=(C106+T106)),BA106,0),IF(AND(NOT(AND(AU106=1,AT106&lt;&gt;1)),ISNUMBER(AN106),AN106&lt;=(C106+T106)),BB106,0),IF(AND(ISNUMBER(AO106),AO106&lt;=(C106+T106)),BC106,0))),"LB",IF(AND(IF(AND(NOT(AND(AU106=1,AT106&lt;&gt;1)),ISNUMBER(AM106),AM106&lt;=(C106+T106)),BA106,0)&gt;0,IF(AND(NOT(AND(AU106=1,AT106&lt;&gt;1)),ISNUMBER(AM106),AM106&lt;=(C106+T106)),BA106,0)=MAX(IF(AND(NOT(AND(AU106=1,AT106&lt;&gt;1)),ISNUMBER(AK106),AK106&lt;=(C106+T106)),AY106,0),IF(AND(NOT(AND(AU106=1,AT106&lt;&gt;1)),ISNUMBER(AL106),AL106&lt;=(C106+T106)),AZ106,0),IF(AND(NOT(AND(AU106=1,AT106&lt;&gt;1)),ISNUMBER(AM106),AM106&lt;=(C106+T106)),BA106,0),IF(AND(NOT(AND(AU106=1,AT106&lt;&gt;1)),ISNUMBER(AN106),AN106&lt;=(C106+T106)),BB106,0),IF(AND(ISNUMBER(AO106),AO106&lt;=(C106+T106)),BC106,0))),"ML",IF(AND(IF(AND(NOT(AND(AU106=1,AT106&lt;&gt;1)),ISNUMBER(AN106),AN106&lt;=(C106+T106)),BB106,0)&gt;0,IF(AND(NOT(AND(AU106=1,AT106&lt;&gt;1)),ISNUMBER(AN106),AN106&lt;=(C106+T106)),BB106,0)=MAX(IF(AND(NOT(AND(AU106=1,AT106&lt;&gt;1)),ISNUMBER(AK106),AK106&lt;=(C106+T106)),AY106,0),IF(AND(NOT(AND(AU106=1,AT106&lt;&gt;1)),ISNUMBER(AL106),AL106&lt;=(C106+T106)),AZ106,0),IF(AND(NOT(AND(AU106=1,AT106&lt;&gt;1)),ISNUMBER(AM106),AM106&lt;=(C106+T106)),BA106,0),IF(AND(NOT(AND(AU106=1,AT106&lt;&gt;1)),ISNUMBER(AN106),AN106&lt;=(C106+T106)),BB106,0),IF(AND(ISNUMBER(AO106),AO106&lt;=(C106+T106)),BC106,0))),"RLO","BD"))))))))</f>
        <v/>
      </c>
    </row>
    <row r="107">
      <c r="A107" s="26" t="n">
        <v>96</v>
      </c>
      <c r="B107" s="27">
        <f>A107*10/60</f>
        <v/>
      </c>
      <c r="C107" s="22">
        <f>X106</f>
        <v/>
      </c>
      <c r="D107" s="27">
        <f>D106+W106</f>
        <v/>
      </c>
      <c r="E107" s="26">
        <f>E106+IF(U106="SK",1,0)</f>
        <v/>
      </c>
      <c r="F107" s="26">
        <f>F106+IF(U106="LB",1,0)</f>
        <v/>
      </c>
      <c r="G107" s="26">
        <f>G106+IF(U106="ML",1,0)</f>
        <v/>
      </c>
      <c r="H107" s="26">
        <f>H106+IF(U106="RLO",1,0)</f>
        <v/>
      </c>
      <c r="I107" s="26">
        <f>I106+IF(U106="BD",1,0)</f>
        <v/>
      </c>
      <c r="J107" s="26">
        <f>MAX(J106,IF(U106="BiP",1,0))</f>
        <v/>
      </c>
      <c r="K107" s="26">
        <f>MAX(K106,IF(U106="PV",1,0))</f>
        <v/>
      </c>
      <c r="L107" s="26">
        <f>MAX(L106,IF(U106="OC",1,0))</f>
        <v/>
      </c>
      <c r="M107" s="26">
        <f>MAX(M106,IF(U106="MG",1,0))</f>
        <v/>
      </c>
      <c r="N107" s="26">
        <f>MAX(N106,IF(U106="transition",1,0))</f>
        <v/>
      </c>
      <c r="O107" s="28">
        <f>(Parameters!$B$9+(IF(E107=0,0,(Upgrades!$J$13+E107*Upgrades!$K$13)*POWER(Upgrades!$L$13,E107)))*(IF(Upgrades!$T$14="Stellar Kinematics",POWER(Upgrades!$U$14,F107),1)*IF(Upgrades!$T$15="Stellar Kinematics",POWER(Upgrades!$U$15,G107),1)*IF(Upgrades!$T$16="Stellar Kinematics",POWER(Upgrades!$U$16,H107),1)*IF(Upgrades!$T$17="Stellar Kinematics",POWER(Upgrades!$U$17,I107),1)*IF(Upgrades!$T$18="Stellar Kinematics",POWER(Upgrades!$U$18,J107),1)*IF(Upgrades!$T$19="Stellar Kinematics",POWER(Upgrades!$U$19,K107),1)*IF(Upgrades!$T$20="Stellar Kinematics",POWER(Upgrades!$U$20,L107),1)*IF(Upgrades!$T$21="Stellar Kinematics",POWER(Upgrades!$U$21,M107),1))+(IF(F107=0,0,(Upgrades!$J$14+F107*Upgrades!$K$14)*POWER(Upgrades!$L$14,F107)))*(IF(Upgrades!$T$13="Local Bubble",POWER(Upgrades!$U$13,E107),1)*IF(Upgrades!$T$15="Local Bubble",POWER(Upgrades!$U$15,G107),1)*IF(Upgrades!$T$16="Local Bubble",POWER(Upgrades!$U$16,H107),1)*IF(Upgrades!$T$17="Local Bubble",POWER(Upgrades!$U$17,I107),1)*IF(Upgrades!$T$18="Local Bubble",POWER(Upgrades!$U$18,J107),1)*IF(Upgrades!$T$19="Local Bubble",POWER(Upgrades!$U$19,K107),1)*IF(Upgrades!$T$20="Local Bubble",POWER(Upgrades!$U$20,L107),1)*IF(Upgrades!$T$21="Local Bubble",POWER(Upgrades!$U$21,M107),1))+(IF(G107=0,0,(Upgrades!$J$15+G107*Upgrades!$K$15)*POWER(Upgrades!$L$15,G107)))*(IF(Upgrades!$T$13="Microlensing",POWER(Upgrades!$U$13,E107),1)*IF(Upgrades!$T$14="Microlensing",POWER(Upgrades!$U$14,F107),1)*IF(Upgrades!$T$16="Microlensing",POWER(Upgrades!$U$16,H107),1)*IF(Upgrades!$T$17="Microlensing",POWER(Upgrades!$U$17,I107),1)*IF(Upgrades!$T$18="Microlensing",POWER(Upgrades!$U$18,J107),1)*IF(Upgrades!$T$19="Microlensing",POWER(Upgrades!$U$19,K107),1)*IF(Upgrades!$T$20="Microlensing",POWER(Upgrades!$U$20,L107),1)*IF(Upgrades!$T$21="Microlensing",POWER(Upgrades!$U$21,M107),1))+(IF(H107=0,0,(Upgrades!$J$16+H107*Upgrades!$K$16)*POWER(Upgrades!$L$16,H107)))*(IF(Upgrades!$T$13="Roche Lobe Overflow",POWER(Upgrades!$U$13,E107),1)*IF(Upgrades!$T$14="Roche Lobe Overflow",POWER(Upgrades!$U$14,F107),1)*IF(Upgrades!$T$15="Roche Lobe Overflow",POWER(Upgrades!$U$15,G107),1)*IF(Upgrades!$T$17="Roche Lobe Overflow",POWER(Upgrades!$U$17,I107),1)*IF(Upgrades!$T$18="Roche Lobe Overflow",POWER(Upgrades!$U$18,J107),1)*IF(Upgrades!$T$19="Roche Lobe Overflow",POWER(Upgrades!$U$19,K107),1)*IF(Upgrades!$T$20="Roche Lobe Overflow",POWER(Upgrades!$U$20,L107),1)*IF(Upgrades!$T$21="Roche Lobe Overflow",POWER(Upgrades!$U$21,M107),1))+(IF(I107=0,0,(Upgrades!$J$17+I107*Upgrades!$K$17)*POWER(Upgrades!$L$17,I107)))*(IF(Upgrades!$T$13="Brown Dwarf",POWER(Upgrades!$U$13,E107),1)*IF(Upgrades!$T$14="Brown Dwarf",POWER(Upgrades!$U$14,F107),1)*IF(Upgrades!$T$15="Brown Dwarf",POWER(Upgrades!$U$15,G107),1)*IF(Upgrades!$T$16="Brown Dwarf",POWER(Upgrades!$U$16,H107),1)*IF(Upgrades!$T$18="Brown Dwarf",POWER(Upgrades!$U$18,J107),1)*IF(Upgrades!$T$19="Brown Dwarf",POWER(Upgrades!$U$19,K107),1)*IF(Upgrades!$T$20="Brown Dwarf",POWER(Upgrades!$U$20,L107),1)*IF(Upgrades!$T$21="Brown Dwarf",POWER(Upgrades!$U$21,M107),1))+(IF(J107=0,0,(Upgrades!$J$18+J107*Upgrades!$K$18)*POWER(Upgrades!$L$18,J107)))*(IF(Upgrades!$T$13="Binary Partner",POWER(Upgrades!$U$13,E107),1)*IF(Upgrades!$T$14="Binary Partner",POWER(Upgrades!$U$14,F107),1)*IF(Upgrades!$T$15="Binary Partner",POWER(Upgrades!$U$15,G107),1)*IF(Upgrades!$T$16="Binary Partner",POWER(Upgrades!$U$16,H107),1)*IF(Upgrades!$T$17="Binary Partner",POWER(Upgrades!$U$17,I107),1)*IF(Upgrades!$T$19="Binary Partner",POWER(Upgrades!$U$19,K107),1)*IF(Upgrades!$T$20="Binary Partner",POWER(Upgrades!$U$20,L107),1)*IF(Upgrades!$T$21="Binary Partner",POWER(Upgrades!$U$21,M107),1))+(IF(K107=0,0,(Upgrades!$J$19+K107*Upgrades!$K$19)*POWER(Upgrades!$L$19,K107)))*(IF(Upgrades!$T$13="Peculiar Velocity",POWER(Upgrades!$U$13,E107),1)*IF(Upgrades!$T$14="Peculiar Velocity",POWER(Upgrades!$U$14,F107),1)*IF(Upgrades!$T$15="Peculiar Velocity",POWER(Upgrades!$U$15,G107),1)*IF(Upgrades!$T$16="Peculiar Velocity",POWER(Upgrades!$U$16,H107),1)*IF(Upgrades!$T$17="Peculiar Velocity",POWER(Upgrades!$U$17,I107),1)*IF(Upgrades!$T$18="Peculiar Velocity",POWER(Upgrades!$U$18,J107),1)*IF(Upgrades!$T$20="Peculiar Velocity",POWER(Upgrades!$U$20,L107),1)*IF(Upgrades!$T$21="Peculiar Velocity",POWER(Upgrades!$U$21,M107),1))+(IF(L107=0,0,(Upgrades!$J$20+L107*Upgrades!$K$20)*POWER(Upgrades!$L$20,L107)))*(IF(Upgrades!$T$13="Open Cluster",POWER(Upgrades!$U$13,E107),1)*IF(Upgrades!$T$14="Open Cluster",POWER(Upgrades!$U$14,F107),1)*IF(Upgrades!$T$15="Open Cluster",POWER(Upgrades!$U$15,G107),1)*IF(Upgrades!$T$16="Open Cluster",POWER(Upgrades!$U$16,H107),1)*IF(Upgrades!$T$17="Open Cluster",POWER(Upgrades!$U$17,I107),1)*IF(Upgrades!$T$18="Open Cluster",POWER(Upgrades!$U$18,J107),1)*IF(Upgrades!$T$19="Open Cluster",POWER(Upgrades!$U$19,K107),1)*IF(Upgrades!$T$21="Open Cluster",POWER(Upgrades!$U$21,M107),1))+(IF(M107=0,0,(Upgrades!$J$21+M107*Upgrades!$K$21)*POWER(Upgrades!$L$21,M107)))*(IF(Upgrades!$T$13="Moving Group",POWER(Upgrades!$U$13,E107),1)*IF(Upgrades!$T$14="Moving Group",POWER(Upgrades!$U$14,F107),1)*IF(Upgrades!$T$15="Moving Group",POWER(Upgrades!$U$15,G107),1)*IF(Upgrades!$T$16="Moving Group",POWER(Upgrades!$U$16,H107),1)*IF(Upgrades!$T$17="Moving Group",POWER(Upgrades!$U$17,I107),1)*IF(Upgrades!$T$18="Moving Group",POWER(Upgrades!$U$18,J107),1)*IF(Upgrades!$T$19="Moving Group",POWER(Upgrades!$U$19,K107),1)*IF(Upgrades!$T$20="Moving Group",POWER(Upgrades!$U$20,L107),1)))*POWER(Upgrades!$Q$13,E107)*POWER(Upgrades!$Q$14,F107)*POWER(Upgrades!$Q$15,G107)*POWER(Upgrades!$Q$16,H107)*POWER(Upgrades!$Q$17,I107)*POWER(Upgrades!$Q$18,J107)*POWER(Upgrades!$Q$19,K107)*POWER(Upgrades!$Q$20,L107)*POWER(Upgrades!$Q$21,M107)*$G$6+$D$6</f>
        <v/>
      </c>
      <c r="P107" s="28">
        <f>((IF(E107=0,0,(Upgrades!$G$13+E107*Upgrades!$H$13)*POWER(Upgrades!$I$13,E107)))*(IF(Upgrades!$T$14="Stellar Kinematics",POWER(Upgrades!$U$14,F107),1)*IF(Upgrades!$T$15="Stellar Kinematics",POWER(Upgrades!$U$15,G107),1)*IF(Upgrades!$T$16="Stellar Kinematics",POWER(Upgrades!$U$16,H107),1)*IF(Upgrades!$T$17="Stellar Kinematics",POWER(Upgrades!$U$17,I107),1)*IF(Upgrades!$T$18="Stellar Kinematics",POWER(Upgrades!$U$18,J107),1)*IF(Upgrades!$T$19="Stellar Kinematics",POWER(Upgrades!$U$19,K107),1)*IF(Upgrades!$T$20="Stellar Kinematics",POWER(Upgrades!$U$20,L107),1)*IF(Upgrades!$T$21="Stellar Kinematics",POWER(Upgrades!$U$21,M107),1))+(IF(F107=0,0,(Upgrades!$G$14+F107*Upgrades!$H$14)*POWER(Upgrades!$I$14,F107)))*(IF(Upgrades!$T$13="Local Bubble",POWER(Upgrades!$U$13,E107),1)*IF(Upgrades!$T$15="Local Bubble",POWER(Upgrades!$U$15,G107),1)*IF(Upgrades!$T$16="Local Bubble",POWER(Upgrades!$U$16,H107),1)*IF(Upgrades!$T$17="Local Bubble",POWER(Upgrades!$U$17,I107),1)*IF(Upgrades!$T$18="Local Bubble",POWER(Upgrades!$U$18,J107),1)*IF(Upgrades!$T$19="Local Bubble",POWER(Upgrades!$U$19,K107),1)*IF(Upgrades!$T$20="Local Bubble",POWER(Upgrades!$U$20,L107),1)*IF(Upgrades!$T$21="Local Bubble",POWER(Upgrades!$U$21,M107),1))+(IF(G107=0,0,(Upgrades!$G$15+G107*Upgrades!$H$15)*POWER(Upgrades!$I$15,G107)))*(IF(Upgrades!$T$13="Microlensing",POWER(Upgrades!$U$13,E107),1)*IF(Upgrades!$T$14="Microlensing",POWER(Upgrades!$U$14,F107),1)*IF(Upgrades!$T$16="Microlensing",POWER(Upgrades!$U$16,H107),1)*IF(Upgrades!$T$17="Microlensing",POWER(Upgrades!$U$17,I107),1)*IF(Upgrades!$T$18="Microlensing",POWER(Upgrades!$U$18,J107),1)*IF(Upgrades!$T$19="Microlensing",POWER(Upgrades!$U$19,K107),1)*IF(Upgrades!$T$20="Microlensing",POWER(Upgrades!$U$20,L107),1)*IF(Upgrades!$T$21="Microlensing",POWER(Upgrades!$U$21,M107),1))+(IF(H107=0,0,(Upgrades!$G$16+H107*Upgrades!$H$16)*POWER(Upgrades!$I$16,H107)))*(IF(Upgrades!$T$13="Roche Lobe Overflow",POWER(Upgrades!$U$13,E107),1)*IF(Upgrades!$T$14="Roche Lobe Overflow",POWER(Upgrades!$U$14,F107),1)*IF(Upgrades!$T$15="Roche Lobe Overflow",POWER(Upgrades!$U$15,G107),1)*IF(Upgrades!$T$17="Roche Lobe Overflow",POWER(Upgrades!$U$17,I107),1)*IF(Upgrades!$T$18="Roche Lobe Overflow",POWER(Upgrades!$U$18,J107),1)*IF(Upgrades!$T$19="Roche Lobe Overflow",POWER(Upgrades!$U$19,K107),1)*IF(Upgrades!$T$20="Roche Lobe Overflow",POWER(Upgrades!$U$20,L107),1)*IF(Upgrades!$T$21="Roche Lobe Overflow",POWER(Upgrades!$U$21,M107),1))+(IF(I107=0,0,(Upgrades!$G$17+I107*Upgrades!$H$17)*POWER(Upgrades!$I$17,I107)))*(IF(Upgrades!$T$13="Brown Dwarf",POWER(Upgrades!$U$13,E107),1)*IF(Upgrades!$T$14="Brown Dwarf",POWER(Upgrades!$U$14,F107),1)*IF(Upgrades!$T$15="Brown Dwarf",POWER(Upgrades!$U$15,G107),1)*IF(Upgrades!$T$16="Brown Dwarf",POWER(Upgrades!$U$16,H107),1)*IF(Upgrades!$T$18="Brown Dwarf",POWER(Upgrades!$U$18,J107),1)*IF(Upgrades!$T$19="Brown Dwarf",POWER(Upgrades!$U$19,K107),1)*IF(Upgrades!$T$20="Brown Dwarf",POWER(Upgrades!$U$20,L107),1)*IF(Upgrades!$T$21="Brown Dwarf",POWER(Upgrades!$U$21,M107),1))+(IF(J107=0,0,(Upgrades!$G$18+J107*Upgrades!$H$18)*POWER(Upgrades!$I$18,J107)))*(IF(Upgrades!$T$13="Binary Partner",POWER(Upgrades!$U$13,E107),1)*IF(Upgrades!$T$14="Binary Partner",POWER(Upgrades!$U$14,F107),1)*IF(Upgrades!$T$15="Binary Partner",POWER(Upgrades!$U$15,G107),1)*IF(Upgrades!$T$16="Binary Partner",POWER(Upgrades!$U$16,H107),1)*IF(Upgrades!$T$17="Binary Partner",POWER(Upgrades!$U$17,I107),1)*IF(Upgrades!$T$19="Binary Partner",POWER(Upgrades!$U$19,K107),1)*IF(Upgrades!$T$20="Binary Partner",POWER(Upgrades!$U$20,L107),1)*IF(Upgrades!$T$21="Binary Partner",POWER(Upgrades!$U$21,M107),1))+(IF(K107=0,0,(Upgrades!$G$19+K107*Upgrades!$H$19)*POWER(Upgrades!$I$19,K107)))*(IF(Upgrades!$T$13="Peculiar Velocity",POWER(Upgrades!$U$13,E107),1)*IF(Upgrades!$T$14="Peculiar Velocity",POWER(Upgrades!$U$14,F107),1)*IF(Upgrades!$T$15="Peculiar Velocity",POWER(Upgrades!$U$15,G107),1)*IF(Upgrades!$T$16="Peculiar Velocity",POWER(Upgrades!$U$16,H107),1)*IF(Upgrades!$T$17="Peculiar Velocity",POWER(Upgrades!$U$17,I107),1)*IF(Upgrades!$T$18="Peculiar Velocity",POWER(Upgrades!$U$18,J107),1)*IF(Upgrades!$T$20="Peculiar Velocity",POWER(Upgrades!$U$20,L107),1)*IF(Upgrades!$T$21="Peculiar Velocity",POWER(Upgrades!$U$21,M107),1))+(IF(L107=0,0,(Upgrades!$G$20+L107*Upgrades!$H$20)*POWER(Upgrades!$I$20,L107)))*(IF(Upgrades!$T$13="Open Cluster",POWER(Upgrades!$U$13,E107),1)*IF(Upgrades!$T$14="Open Cluster",POWER(Upgrades!$U$14,F107),1)*IF(Upgrades!$T$15="Open Cluster",POWER(Upgrades!$U$15,G107),1)*IF(Upgrades!$T$16="Open Cluster",POWER(Upgrades!$U$16,H107),1)*IF(Upgrades!$T$17="Open Cluster",POWER(Upgrades!$U$17,I107),1)*IF(Upgrades!$T$18="Open Cluster",POWER(Upgrades!$U$18,J107),1)*IF(Upgrades!$T$19="Open Cluster",POWER(Upgrades!$U$19,K107),1)*IF(Upgrades!$T$21="Open Cluster",POWER(Upgrades!$U$21,M107),1))+(IF(M107=0,0,(Upgrades!$G$21+M107*Upgrades!$H$21)*POWER(Upgrades!$I$21,M107)))*(IF(Upgrades!$T$13="Moving Group",POWER(Upgrades!$U$13,E107),1)*IF(Upgrades!$T$14="Moving Group",POWER(Upgrades!$U$14,F107),1)*IF(Upgrades!$T$15="Moving Group",POWER(Upgrades!$U$15,G107),1)*IF(Upgrades!$T$16="Moving Group",POWER(Upgrades!$U$16,H107),1)*IF(Upgrades!$T$17="Moving Group",POWER(Upgrades!$U$17,I107),1)*IF(Upgrades!$T$18="Moving Group",POWER(Upgrades!$U$18,J107),1)*IF(Upgrades!$T$19="Moving Group",POWER(Upgrades!$U$19,K107),1)*IF(Upgrades!$T$20="Moving Group",POWER(Upgrades!$U$20,L107),1)))*POWER(Upgrades!$P$13,E107)*POWER(Upgrades!$P$14,F107)*POWER(Upgrades!$P$15,G107)*POWER(Upgrades!$P$16,H107)*POWER(Upgrades!$P$17,I107)*POWER(Upgrades!$P$18,J107)*POWER(Upgrades!$P$19,K107)*POWER(Upgrades!$P$20,L107)*POWER(Upgrades!$P$21,M107)*$F$6+$C$6</f>
        <v/>
      </c>
      <c r="Q107" s="28">
        <f>((IF(E107=0,0,(Upgrades!$M$13+E107*Upgrades!$N$13)*POWER(Upgrades!$O$13,E107)))*(IF(Upgrades!$T$14="Stellar Kinematics",POWER(Upgrades!$U$14,F107),1)*IF(Upgrades!$T$15="Stellar Kinematics",POWER(Upgrades!$U$15,G107),1)*IF(Upgrades!$T$16="Stellar Kinematics",POWER(Upgrades!$U$16,H107),1)*IF(Upgrades!$T$17="Stellar Kinematics",POWER(Upgrades!$U$17,I107),1)*IF(Upgrades!$T$18="Stellar Kinematics",POWER(Upgrades!$U$18,J107),1)*IF(Upgrades!$T$19="Stellar Kinematics",POWER(Upgrades!$U$19,K107),1)*IF(Upgrades!$T$20="Stellar Kinematics",POWER(Upgrades!$U$20,L107),1)*IF(Upgrades!$T$21="Stellar Kinematics",POWER(Upgrades!$U$21,M107),1))+(IF(F107=0,0,(Upgrades!$M$14+F107*Upgrades!$N$14)*POWER(Upgrades!$O$14,F107)))*(IF(Upgrades!$T$13="Local Bubble",POWER(Upgrades!$U$13,E107),1)*IF(Upgrades!$T$15="Local Bubble",POWER(Upgrades!$U$15,G107),1)*IF(Upgrades!$T$16="Local Bubble",POWER(Upgrades!$U$16,H107),1)*IF(Upgrades!$T$17="Local Bubble",POWER(Upgrades!$U$17,I107),1)*IF(Upgrades!$T$18="Local Bubble",POWER(Upgrades!$U$18,J107),1)*IF(Upgrades!$T$19="Local Bubble",POWER(Upgrades!$U$19,K107),1)*IF(Upgrades!$T$20="Local Bubble",POWER(Upgrades!$U$20,L107),1)*IF(Upgrades!$T$21="Local Bubble",POWER(Upgrades!$U$21,M107),1))+(IF(G107=0,0,(Upgrades!$M$15+G107*Upgrades!$N$15)*POWER(Upgrades!$O$15,G107)))*(IF(Upgrades!$T$13="Microlensing",POWER(Upgrades!$U$13,E107),1)*IF(Upgrades!$T$14="Microlensing",POWER(Upgrades!$U$14,F107),1)*IF(Upgrades!$T$16="Microlensing",POWER(Upgrades!$U$16,H107),1)*IF(Upgrades!$T$17="Microlensing",POWER(Upgrades!$U$17,I107),1)*IF(Upgrades!$T$18="Microlensing",POWER(Upgrades!$U$18,J107),1)*IF(Upgrades!$T$19="Microlensing",POWER(Upgrades!$U$19,K107),1)*IF(Upgrades!$T$20="Microlensing",POWER(Upgrades!$U$20,L107),1)*IF(Upgrades!$T$21="Microlensing",POWER(Upgrades!$U$21,M107),1))+(IF(H107=0,0,(Upgrades!$M$16+H107*Upgrades!$N$16)*POWER(Upgrades!$O$16,H107)))*(IF(Upgrades!$T$13="Roche Lobe Overflow",POWER(Upgrades!$U$13,E107),1)*IF(Upgrades!$T$14="Roche Lobe Overflow",POWER(Upgrades!$U$14,F107),1)*IF(Upgrades!$T$15="Roche Lobe Overflow",POWER(Upgrades!$U$15,G107),1)*IF(Upgrades!$T$17="Roche Lobe Overflow",POWER(Upgrades!$U$17,I107),1)*IF(Upgrades!$T$18="Roche Lobe Overflow",POWER(Upgrades!$U$18,J107),1)*IF(Upgrades!$T$19="Roche Lobe Overflow",POWER(Upgrades!$U$19,K107),1)*IF(Upgrades!$T$20="Roche Lobe Overflow",POWER(Upgrades!$U$20,L107),1)*IF(Upgrades!$T$21="Roche Lobe Overflow",POWER(Upgrades!$U$21,M107),1))+(IF(I107=0,0,(Upgrades!$M$17+I107*Upgrades!$N$17)*POWER(Upgrades!$O$17,I107)))*(IF(Upgrades!$T$13="Brown Dwarf",POWER(Upgrades!$U$13,E107),1)*IF(Upgrades!$T$14="Brown Dwarf",POWER(Upgrades!$U$14,F107),1)*IF(Upgrades!$T$15="Brown Dwarf",POWER(Upgrades!$U$15,G107),1)*IF(Upgrades!$T$16="Brown Dwarf",POWER(Upgrades!$U$16,H107),1)*IF(Upgrades!$T$18="Brown Dwarf",POWER(Upgrades!$U$18,J107),1)*IF(Upgrades!$T$19="Brown Dwarf",POWER(Upgrades!$U$19,K107),1)*IF(Upgrades!$T$20="Brown Dwarf",POWER(Upgrades!$U$20,L107),1)*IF(Upgrades!$T$21="Brown Dwarf",POWER(Upgrades!$U$21,M107),1))+(IF(J107=0,0,(Upgrades!$M$18+J107*Upgrades!$N$18)*POWER(Upgrades!$O$18,J107)))*(IF(Upgrades!$T$13="Binary Partner",POWER(Upgrades!$U$13,E107),1)*IF(Upgrades!$T$14="Binary Partner",POWER(Upgrades!$U$14,F107),1)*IF(Upgrades!$T$15="Binary Partner",POWER(Upgrades!$U$15,G107),1)*IF(Upgrades!$T$16="Binary Partner",POWER(Upgrades!$U$16,H107),1)*IF(Upgrades!$T$17="Binary Partner",POWER(Upgrades!$U$17,I107),1)*IF(Upgrades!$T$19="Binary Partner",POWER(Upgrades!$U$19,K107),1)*IF(Upgrades!$T$20="Binary Partner",POWER(Upgrades!$U$20,L107),1)*IF(Upgrades!$T$21="Binary Partner",POWER(Upgrades!$U$21,M107),1))+(IF(K107=0,0,(Upgrades!$M$19+K107*Upgrades!$N$19)*POWER(Upgrades!$O$19,K107)))*(IF(Upgrades!$T$13="Peculiar Velocity",POWER(Upgrades!$U$13,E107),1)*IF(Upgrades!$T$14="Peculiar Velocity",POWER(Upgrades!$U$14,F107),1)*IF(Upgrades!$T$15="Peculiar Velocity",POWER(Upgrades!$U$15,G107),1)*IF(Upgrades!$T$16="Peculiar Velocity",POWER(Upgrades!$U$16,H107),1)*IF(Upgrades!$T$17="Peculiar Velocity",POWER(Upgrades!$U$17,I107),1)*IF(Upgrades!$T$18="Peculiar Velocity",POWER(Upgrades!$U$18,J107),1)*IF(Upgrades!$T$20="Peculiar Velocity",POWER(Upgrades!$U$20,L107),1)*IF(Upgrades!$T$21="Peculiar Velocity",POWER(Upgrades!$U$21,M107),1))+(IF(L107=0,0,(Upgrades!$M$20+L107*Upgrades!$N$20)*POWER(Upgrades!$O$20,L107)))*(IF(Upgrades!$T$13="Open Cluster",POWER(Upgrades!$U$13,E107),1)*IF(Upgrades!$T$14="Open Cluster",POWER(Upgrades!$U$14,F107),1)*IF(Upgrades!$T$15="Open Cluster",POWER(Upgrades!$U$15,G107),1)*IF(Upgrades!$T$16="Open Cluster",POWER(Upgrades!$U$16,H107),1)*IF(Upgrades!$T$17="Open Cluster",POWER(Upgrades!$U$17,I107),1)*IF(Upgrades!$T$18="Open Cluster",POWER(Upgrades!$U$18,J107),1)*IF(Upgrades!$T$19="Open Cluster",POWER(Upgrades!$U$19,K107),1)*IF(Upgrades!$T$21="Open Cluster",POWER(Upgrades!$U$21,M107),1))+(IF(M107=0,0,(Upgrades!$M$21+M107*Upgrades!$N$21)*POWER(Upgrades!$O$21,M107)))*(IF(Upgrades!$T$13="Moving Group",POWER(Upgrades!$U$13,E107),1)*IF(Upgrades!$T$14="Moving Group",POWER(Upgrades!$U$14,F107),1)*IF(Upgrades!$T$15="Moving Group",POWER(Upgrades!$U$15,G107),1)*IF(Upgrades!$T$16="Moving Group",POWER(Upgrades!$U$16,H107),1)*IF(Upgrades!$T$17="Moving Group",POWER(Upgrades!$U$17,I107),1)*IF(Upgrades!$T$18="Moving Group",POWER(Upgrades!$U$18,J107),1)*IF(Upgrades!$T$19="Moving Group",POWER(Upgrades!$U$19,K107),1)*IF(Upgrades!$T$20="Moving Group",POWER(Upgrades!$U$20,L107),1)))*POWER(Upgrades!$R$13,E107)*POWER(Upgrades!$R$14,F107)*POWER(Upgrades!$R$15,G107)*POWER(Upgrades!$R$16,H107)*POWER(Upgrades!$R$17,I107)*POWER(Upgrades!$R$18,J107)*POWER(Upgrades!$R$19,K107)*POWER(Upgrades!$R$20,L107)*POWER(Upgrades!$R$21,M107)*$H$6+$E$6</f>
        <v/>
      </c>
      <c r="R107" s="27">
        <f>IF(N107=1,0,O107*Parameters!$B$10/60*Parameters!$B$11*10)</f>
        <v/>
      </c>
      <c r="S107" s="27">
        <f>IF(N107=1,0,Q107*O107*10)</f>
        <v/>
      </c>
      <c r="T107" s="27">
        <f>IF(N107=1,0,R107+S107+P107*10)</f>
        <v/>
      </c>
      <c r="U107" s="33">
        <f>BE107</f>
        <v/>
      </c>
      <c r="V107" s="22">
        <f>IF(U107="",0,IF(U107="transition",0,IF(U107="SK",AK107,IF(U107="LB",AL107,IF(U107="ML",AM107,IF(U107="RLO",AN107,IF(U107="BD",AO107,IF(U107="BiP",AP107,IF(U107="PV",AQ107,IF(U107="OC",AR107,IF(U107="MG",AS107,0))))))))))</f>
        <v/>
      </c>
      <c r="W107" s="27">
        <f>IF(U107="BiP",Upgrades!$F$18,IF(U107="PV",Upgrades!$F$19,IF(U107="OC",Upgrades!$F$20,IF(U107="MG",Upgrades!$F$21,IF(U107="transition",-Parameters!$B$18*Parameters!$B$19,0)))))</f>
        <v/>
      </c>
      <c r="X107" s="22">
        <f>C107+T107-V107</f>
        <v/>
      </c>
      <c r="Y107" s="30">
        <f>O107*Parameters!$B$10/60*Parameters!$B$11+Q107*O107+P107</f>
        <v/>
      </c>
      <c r="Z107" s="34">
        <f>IF(U107="transition","→ Tier 3 (Galactic Arm)",IF(U107="MG","Moving Group — pocket drifts together",IF(U107="OC","Open Cluster acquired",IF(U107="PV","Peculiar Velocity — passive multiplier active",IF(U107="BiP","Binary Partner — pair bond formed",IF(AND(AU107=1,N107=0,AT107&lt;&gt;1),"Cohesion ready (waiting on completionists)","")))))) </f>
        <v/>
      </c>
      <c r="AA107" s="27">
        <f>(IF(E107=0,0,(Upgrades!$G$13+E107*Upgrades!$H$13)*POWER(Upgrades!$I$13,E107)))*(IF(Upgrades!$T$14="Stellar Kinematics",POWER(Upgrades!$U$14,F107),1)*IF(Upgrades!$T$15="Stellar Kinematics",POWER(Upgrades!$U$15,G107),1)*IF(Upgrades!$T$16="Stellar Kinematics",POWER(Upgrades!$U$16,H107),1)*IF(Upgrades!$T$17="Stellar Kinematics",POWER(Upgrades!$U$17,I107),1)*IF(Upgrades!$T$18="Stellar Kinematics",POWER(Upgrades!$U$18,J107),1)*IF(Upgrades!$T$19="Stellar Kinematics",POWER(Upgrades!$U$19,K107),1)*IF(Upgrades!$T$20="Stellar Kinematics",POWER(Upgrades!$U$20,L107),1)*IF(Upgrades!$T$21="Stellar Kinematics",POWER(Upgrades!$U$21,M107),1))*POWER(Upgrades!$P$13,E107)*POWER(Upgrades!$P$14,F107)*POWER(Upgrades!$P$15,G107)*POWER(Upgrades!$P$16,H107)*POWER(Upgrades!$P$17,I107)*POWER(Upgrades!$P$18,J107)*POWER(Upgrades!$P$19,K107)*POWER(Upgrades!$P$20,L107)*POWER(Upgrades!$P$21,M107)*$F$6*60</f>
        <v/>
      </c>
      <c r="AB107" s="27">
        <f>(IF(F107=0,0,(Upgrades!$G$14+F107*Upgrades!$H$14)*POWER(Upgrades!$I$14,F107)))*(IF(Upgrades!$T$13="Local Bubble",POWER(Upgrades!$U$13,E107),1)*IF(Upgrades!$T$15="Local Bubble",POWER(Upgrades!$U$15,G107),1)*IF(Upgrades!$T$16="Local Bubble",POWER(Upgrades!$U$16,H107),1)*IF(Upgrades!$T$17="Local Bubble",POWER(Upgrades!$U$17,I107),1)*IF(Upgrades!$T$18="Local Bubble",POWER(Upgrades!$U$18,J107),1)*IF(Upgrades!$T$19="Local Bubble",POWER(Upgrades!$U$19,K107),1)*IF(Upgrades!$T$20="Local Bubble",POWER(Upgrades!$U$20,L107),1)*IF(Upgrades!$T$21="Local Bubble",POWER(Upgrades!$U$21,M107),1))*POWER(Upgrades!$P$13,E107)*POWER(Upgrades!$P$14,F107)*POWER(Upgrades!$P$15,G107)*POWER(Upgrades!$P$16,H107)*POWER(Upgrades!$P$17,I107)*POWER(Upgrades!$P$18,J107)*POWER(Upgrades!$P$19,K107)*POWER(Upgrades!$P$20,L107)*POWER(Upgrades!$P$21,M107)*$F$6*60</f>
        <v/>
      </c>
      <c r="AC107" s="27">
        <f>(IF(G107=0,0,(Upgrades!$J$15+G107*Upgrades!$K$15)*POWER(Upgrades!$L$15,G107)))*(IF(Upgrades!$T$13="Microlensing",POWER(Upgrades!$U$13,E107),1)*IF(Upgrades!$T$14="Microlensing",POWER(Upgrades!$U$14,F107),1)*IF(Upgrades!$T$16="Microlensing",POWER(Upgrades!$U$16,H107),1)*IF(Upgrades!$T$17="Microlensing",POWER(Upgrades!$U$17,I107),1)*IF(Upgrades!$T$18="Microlensing",POWER(Upgrades!$U$18,J107),1)*IF(Upgrades!$T$19="Microlensing",POWER(Upgrades!$U$19,K107),1)*IF(Upgrades!$T$20="Microlensing",POWER(Upgrades!$U$20,L107),1)*IF(Upgrades!$T$21="Microlensing",POWER(Upgrades!$U$21,M107),1))*POWER(Upgrades!$Q$13,E107)*POWER(Upgrades!$Q$14,F107)*POWER(Upgrades!$Q$15,G107)*POWER(Upgrades!$Q$16,H107)*POWER(Upgrades!$Q$17,I107)*POWER(Upgrades!$Q$18,J107)*POWER(Upgrades!$Q$19,K107)*POWER(Upgrades!$Q$20,L107)*POWER(Upgrades!$Q$21,M107)*$G$6*(Parameters!$B$10*Parameters!$B$11+Q107*60)</f>
        <v/>
      </c>
      <c r="AD107" s="27">
        <f>(IF(H107=0,0,(Upgrades!$M$16+H107*Upgrades!$N$16)*POWER(Upgrades!$O$16,H107)))*(IF(Upgrades!$T$13="Roche Lobe Overflow",POWER(Upgrades!$U$13,E107),1)*IF(Upgrades!$T$14="Roche Lobe Overflow",POWER(Upgrades!$U$14,F107),1)*IF(Upgrades!$T$15="Roche Lobe Overflow",POWER(Upgrades!$U$15,G107),1)*IF(Upgrades!$T$17="Roche Lobe Overflow",POWER(Upgrades!$U$17,I107),1)*IF(Upgrades!$T$18="Roche Lobe Overflow",POWER(Upgrades!$U$18,J107),1)*IF(Upgrades!$T$19="Roche Lobe Overflow",POWER(Upgrades!$U$19,K107),1)*IF(Upgrades!$T$20="Roche Lobe Overflow",POWER(Upgrades!$U$20,L107),1)*IF(Upgrades!$T$21="Roche Lobe Overflow",POWER(Upgrades!$U$21,M107),1))*POWER(Upgrades!$R$13,E107)*POWER(Upgrades!$R$14,F107)*POWER(Upgrades!$R$15,G107)*POWER(Upgrades!$R$16,H107)*POWER(Upgrades!$R$17,I107)*POWER(Upgrades!$R$18,J107)*POWER(Upgrades!$R$19,K107)*POWER(Upgrades!$R$20,L107)*POWER(Upgrades!$R$21,M107)*$H$6*O107*60</f>
        <v/>
      </c>
      <c r="AE107" s="27">
        <f>(IF(I107=0,0,(Upgrades!$G$17+I107*Upgrades!$H$17)*POWER(Upgrades!$I$17,I107)))*(IF(Upgrades!$T$13="Brown Dwarf",POWER(Upgrades!$U$13,E107),1)*IF(Upgrades!$T$14="Brown Dwarf",POWER(Upgrades!$U$14,F107),1)*IF(Upgrades!$T$15="Brown Dwarf",POWER(Upgrades!$U$15,G107),1)*IF(Upgrades!$T$16="Brown Dwarf",POWER(Upgrades!$U$16,H107),1)*IF(Upgrades!$T$18="Brown Dwarf",POWER(Upgrades!$U$18,J107),1)*IF(Upgrades!$T$19="Brown Dwarf",POWER(Upgrades!$U$19,K107),1)*IF(Upgrades!$T$20="Brown Dwarf",POWER(Upgrades!$U$20,L107),1)*IF(Upgrades!$T$21="Brown Dwarf",POWER(Upgrades!$U$21,M107),1))*POWER(Upgrades!$P$13,E107)*POWER(Upgrades!$P$14,F107)*POWER(Upgrades!$P$15,G107)*POWER(Upgrades!$P$16,H107)*POWER(Upgrades!$P$17,I107)*POWER(Upgrades!$P$18,J107)*POWER(Upgrades!$P$19,K107)*POWER(Upgrades!$P$20,L107)*POWER(Upgrades!$P$21,M107)*$F$6*60</f>
        <v/>
      </c>
      <c r="AF107" s="27" t="n">
        <v>0</v>
      </c>
      <c r="AG107" s="27" t="n">
        <v>0</v>
      </c>
      <c r="AH107" s="27" t="n">
        <v>0</v>
      </c>
      <c r="AI107" s="27">
        <f>(IF(M107=0,0,(Upgrades!$G$21+M107*Upgrades!$H$21)*POWER(Upgrades!$I$21,M107)))*(IF(Upgrades!$T$13="Moving Group",POWER(Upgrades!$U$13,E107),1)*IF(Upgrades!$T$14="Moving Group",POWER(Upgrades!$U$14,F107),1)*IF(Upgrades!$T$15="Moving Group",POWER(Upgrades!$U$15,G107),1)*IF(Upgrades!$T$16="Moving Group",POWER(Upgrades!$U$16,H107),1)*IF(Upgrades!$T$17="Moving Group",POWER(Upgrades!$U$17,I107),1)*IF(Upgrades!$T$18="Moving Group",POWER(Upgrades!$U$18,J107),1)*IF(Upgrades!$T$19="Moving Group",POWER(Upgrades!$U$19,K107),1)*IF(Upgrades!$T$20="Moving Group",POWER(Upgrades!$U$20,L107),1))*POWER(Upgrades!$P$13,E107)*POWER(Upgrades!$P$14,F107)*POWER(Upgrades!$P$15,G107)*POWER(Upgrades!$P$16,H107)*POWER(Upgrades!$P$17,I107)*POWER(Upgrades!$P$18,J107)*POWER(Upgrades!$P$19,K107)*POWER(Upgrades!$P$20,L107)*POWER(Upgrades!$P$21,M107)*$F$6*60</f>
        <v/>
      </c>
      <c r="AJ107" s="27">
        <f>$C$6*60</f>
        <v/>
      </c>
      <c r="AK107" s="22">
        <f>IF(E107&gt;=Upgrades!$E$13,"",Upgrades!$C$13*POWER(Upgrades!$D$13,E107))</f>
        <v/>
      </c>
      <c r="AL107" s="22">
        <f>IF(F107&gt;=Upgrades!$E$14,"",Upgrades!$C$14*POWER(Upgrades!$D$14,F107))</f>
        <v/>
      </c>
      <c r="AM107" s="22">
        <f>IF(G107&gt;=Upgrades!$E$15,"",Upgrades!$C$15*POWER(Upgrades!$D$15,G107))</f>
        <v/>
      </c>
      <c r="AN107" s="22">
        <f>IF(H107&gt;=Upgrades!$E$16,"",Upgrades!$C$16*POWER(Upgrades!$D$16,H107))</f>
        <v/>
      </c>
      <c r="AO107" s="22">
        <f>IF(I107&gt;=Upgrades!$E$17,"",Upgrades!$C$17*POWER(Upgrades!$D$17,I107))</f>
        <v/>
      </c>
      <c r="AP107" s="22">
        <f>IF(J107&gt;=Upgrades!$E$18,"",Upgrades!$C$18*POWER(Upgrades!$D$18,J107))</f>
        <v/>
      </c>
      <c r="AQ107" s="22">
        <f>IF(K107&gt;=Upgrades!$E$19,"",Upgrades!$C$19*POWER(Upgrades!$D$19,K107))</f>
        <v/>
      </c>
      <c r="AR107" s="22">
        <f>IF(L107&gt;=Upgrades!$E$20,"",Upgrades!$C$20*POWER(Upgrades!$D$20,L107))</f>
        <v/>
      </c>
      <c r="AS107" s="22">
        <f>IF(M107&gt;=Upgrades!$E$21,"",Upgrades!$C$21*POWER(Upgrades!$D$21,M107))</f>
        <v/>
      </c>
      <c r="AT107" s="26">
        <f>IF(AND(D107&gt;=Parameters!$B$18*Parameters!$B$19,(I107&gt;=Upgrades!$E$17)*(M107&gt;=Upgrades!$E$21)=1,N107=0),1,"")</f>
        <v/>
      </c>
      <c r="AU107" s="26">
        <f>IF(AND(D107&gt;=Parameters!$B$18*Parameters!$B$19,N107=0),1,"")</f>
        <v/>
      </c>
      <c r="AV107" s="22">
        <f>MIN(IF(ISNUMBER(AP107),AP107,9E15),IF(ISNUMBER(AQ107),AQ107,9E15),IF(ISNUMBER(AR107),AR107,9E15),IF(ISNUMBER(AS107),AS107,9E15))</f>
        <v/>
      </c>
      <c r="AW107" s="22">
        <f>MIN(IF(ISNUMBER(AK107),AK107,9E15),IF(ISNUMBER(AL107),AL107,9E15),IF(ISNUMBER(AM107),AM107,9E15),IF(ISNUMBER(AN107),AN107,9E15),IF(ISNUMBER(AO107),AO107,9E15))</f>
        <v/>
      </c>
      <c r="AX107" s="29">
        <f>IF(BD107&gt;Parameters!$B$21*(MAX(IF(AND(NOT(AND(AU107=1,AT107&lt;&gt;1)),ISNUMBER(AK107),AK107&lt;=(C107+T107)),AY107,0),IF(AND(NOT(AND(AU107=1,AT107&lt;&gt;1)),ISNUMBER(AL107),AL107&lt;=(C107+T107)),AZ107,0),IF(AND(NOT(AND(AU107=1,AT107&lt;&gt;1)),ISNUMBER(AM107),AM107&lt;=(C107+T107)),BA107,0),IF(AND(NOT(AND(AU107=1,AT107&lt;&gt;1)),ISNUMBER(AN107),AN107&lt;=(C107+T107)),BB107,0),IF(AND(ISNUMBER(AO107),AO107&lt;=(C107+T107)),BC107,0))),TRUE,FALSE)</f>
        <v/>
      </c>
      <c r="AY107" s="32">
        <f>IFERROR(Upgrades!$H$13*(POWER(Upgrades!$P$13,E107)*POWER(Upgrades!$P$14,F107)*POWER(Upgrades!$P$15,G107)*POWER(Upgrades!$P$16,H107)*POWER(Upgrades!$P$17,I107)*POWER(Upgrades!$P$18,J107)*POWER(Upgrades!$P$19,K107)*POWER(Upgrades!$P$20,L107)*POWER(Upgrades!$P$21,M107))*(IF(Upgrades!$T$14="Stellar Kinematics",POWER(Upgrades!$U$14,F107),1)*IF(Upgrades!$T$15="Stellar Kinematics",POWER(Upgrades!$U$15,G107),1)*IF(Upgrades!$T$16="Stellar Kinematics",POWER(Upgrades!$U$16,H107),1)*IF(Upgrades!$T$17="Stellar Kinematics",POWER(Upgrades!$U$17,I107),1)*IF(Upgrades!$T$18="Stellar Kinematics",POWER(Upgrades!$U$18,J107),1)*IF(Upgrades!$T$19="Stellar Kinematics",POWER(Upgrades!$U$19,K107),1)*IF(Upgrades!$T$20="Stellar Kinematics",POWER(Upgrades!$U$20,L107),1)*IF(Upgrades!$T$21="Stellar Kinematics",POWER(Upgrades!$U$21,M107),1))*$F$6/AK107,0)</f>
        <v/>
      </c>
      <c r="AZ107" s="32">
        <f>IFERROR(Upgrades!$H$14*(POWER(Upgrades!$P$13,E107)*POWER(Upgrades!$P$14,F107)*POWER(Upgrades!$P$15,G107)*POWER(Upgrades!$P$16,H107)*POWER(Upgrades!$P$17,I107)*POWER(Upgrades!$P$18,J107)*POWER(Upgrades!$P$19,K107)*POWER(Upgrades!$P$20,L107)*POWER(Upgrades!$P$21,M107))*(IF(Upgrades!$T$13="Local Bubble",POWER(Upgrades!$U$13,E107),1)*IF(Upgrades!$T$15="Local Bubble",POWER(Upgrades!$U$15,G107),1)*IF(Upgrades!$T$16="Local Bubble",POWER(Upgrades!$U$16,H107),1)*IF(Upgrades!$T$17="Local Bubble",POWER(Upgrades!$U$17,I107),1)*IF(Upgrades!$T$18="Local Bubble",POWER(Upgrades!$U$18,J107),1)*IF(Upgrades!$T$19="Local Bubble",POWER(Upgrades!$U$19,K107),1)*IF(Upgrades!$T$20="Local Bubble",POWER(Upgrades!$U$20,L107),1)*IF(Upgrades!$T$21="Local Bubble",POWER(Upgrades!$U$21,M107),1))*$F$6/AL107,0)</f>
        <v/>
      </c>
      <c r="BA107" s="32">
        <f>IFERROR(Upgrades!$K$15*(POWER(Upgrades!$Q$13,E107)*POWER(Upgrades!$Q$14,F107)*POWER(Upgrades!$Q$15,G107)*POWER(Upgrades!$Q$16,H107)*POWER(Upgrades!$Q$17,I107)*POWER(Upgrades!$Q$18,J107)*POWER(Upgrades!$Q$19,K107)*POWER(Upgrades!$Q$20,L107)*POWER(Upgrades!$Q$21,M107))*(IF(Upgrades!$T$13="Microlensing",POWER(Upgrades!$U$13,E107),1)*IF(Upgrades!$T$14="Microlensing",POWER(Upgrades!$U$14,F107),1)*IF(Upgrades!$T$16="Microlensing",POWER(Upgrades!$U$16,H107),1)*IF(Upgrades!$T$17="Microlensing",POWER(Upgrades!$U$17,I107),1)*IF(Upgrades!$T$18="Microlensing",POWER(Upgrades!$U$18,J107),1)*IF(Upgrades!$T$19="Microlensing",POWER(Upgrades!$U$19,K107),1)*IF(Upgrades!$T$20="Microlensing",POWER(Upgrades!$U$20,L107),1)*IF(Upgrades!$T$21="Microlensing",POWER(Upgrades!$U$21,M107),1))*$G$6*(Parameters!$B$10/60*Parameters!$B$11+Q107)/AM107,0)</f>
        <v/>
      </c>
      <c r="BB107" s="32">
        <f>IFERROR((Upgrades!$N$16*(POWER(Upgrades!$R$13,E107)*POWER(Upgrades!$R$14,F107)*POWER(Upgrades!$R$15,G107)*POWER(Upgrades!$R$16,H107)*POWER(Upgrades!$R$17,I107)*POWER(Upgrades!$R$18,J107)*POWER(Upgrades!$R$19,K107)*POWER(Upgrades!$R$20,L107)*POWER(Upgrades!$R$21,M107))*(IF(Upgrades!$T$13="Roche Lobe Overflow",POWER(Upgrades!$U$13,E107),1)*IF(Upgrades!$T$14="Roche Lobe Overflow",POWER(Upgrades!$U$14,F107),1)*IF(Upgrades!$T$15="Roche Lobe Overflow",POWER(Upgrades!$U$15,G107),1)*IF(Upgrades!$T$17="Roche Lobe Overflow",POWER(Upgrades!$U$17,I107),1)*IF(Upgrades!$T$18="Roche Lobe Overflow",POWER(Upgrades!$U$18,J107),1)*IF(Upgrades!$T$19="Roche Lobe Overflow",POWER(Upgrades!$U$19,K107),1)*IF(Upgrades!$T$20="Roche Lobe Overflow",POWER(Upgrades!$U$20,L107),1)*IF(Upgrades!$T$21="Roche Lobe Overflow",POWER(Upgrades!$U$21,M107),1))*$H$6*O107+((IF(F107=0,0,(Upgrades!$G$14+F107*Upgrades!$H$14)*POWER(Upgrades!$I$14,F107)))*(IF(Upgrades!$T$13="Local Bubble",POWER(Upgrades!$U$13,E107),1)*IF(Upgrades!$T$15="Local Bubble",POWER(Upgrades!$U$15,G107),1)*IF(Upgrades!$T$16="Local Bubble",POWER(Upgrades!$U$16,H107),1)*IF(Upgrades!$T$17="Local Bubble",POWER(Upgrades!$U$17,I107),1)*IF(Upgrades!$T$18="Local Bubble",POWER(Upgrades!$U$18,J107),1)*IF(Upgrades!$T$19="Local Bubble",POWER(Upgrades!$U$19,K107),1)*IF(Upgrades!$T$20="Local Bubble",POWER(Upgrades!$U$20,L107),1)*IF(Upgrades!$T$21="Local Bubble",POWER(Upgrades!$U$21,M107),1))*POWER(Upgrades!$P$13,E107)*POWER(Upgrades!$P$14,F107)*POWER(Upgrades!$P$15,G107)*POWER(Upgrades!$P$16,H107)*POWER(Upgrades!$P$17,I107)*POWER(Upgrades!$P$18,J107)*POWER(Upgrades!$P$19,K107)*POWER(Upgrades!$P$20,L107)*POWER(Upgrades!$P$21,M107)*$F$6)*0.05)/AN107,0)</f>
        <v/>
      </c>
      <c r="BC107" s="32">
        <f>IFERROR((Upgrades!$H$17*(POWER(Upgrades!$P$13,E107)*POWER(Upgrades!$P$14,F107)*POWER(Upgrades!$P$15,G107)*POWER(Upgrades!$P$16,H107)*POWER(Upgrades!$P$17,I107)*POWER(Upgrades!$P$18,J107)*POWER(Upgrades!$P$19,K107)*POWER(Upgrades!$P$20,L107)*POWER(Upgrades!$P$21,M107))*(IF(Upgrades!$T$13="Brown Dwarf",POWER(Upgrades!$U$13,E107),1)*IF(Upgrades!$T$14="Brown Dwarf",POWER(Upgrades!$U$14,F107),1)*IF(Upgrades!$T$15="Brown Dwarf",POWER(Upgrades!$U$15,G107),1)*IF(Upgrades!$T$16="Brown Dwarf",POWER(Upgrades!$U$16,H107),1)*IF(Upgrades!$T$18="Brown Dwarf",POWER(Upgrades!$U$18,J107),1)*IF(Upgrades!$T$19="Brown Dwarf",POWER(Upgrades!$U$19,K107),1)*IF(Upgrades!$T$20="Brown Dwarf",POWER(Upgrades!$U$20,L107),1)*IF(Upgrades!$T$21="Brown Dwarf",POWER(Upgrades!$U$21,M107),1))*$F$6+(((IF(H107=0,0,(Upgrades!$M$16+H107*Upgrades!$N$16)*POWER(Upgrades!$O$16,H107)))*(IF(Upgrades!$T$13="Roche Lobe Overflow",POWER(Upgrades!$U$13,E107),1)*IF(Upgrades!$T$14="Roche Lobe Overflow",POWER(Upgrades!$U$14,F107),1)*IF(Upgrades!$T$15="Roche Lobe Overflow",POWER(Upgrades!$U$15,G107),1)*IF(Upgrades!$T$17="Roche Lobe Overflow",POWER(Upgrades!$U$17,I107),1)*IF(Upgrades!$T$18="Roche Lobe Overflow",POWER(Upgrades!$U$18,J107),1)*IF(Upgrades!$T$19="Roche Lobe Overflow",POWER(Upgrades!$U$19,K107),1)*IF(Upgrades!$T$20="Roche Lobe Overflow",POWER(Upgrades!$U$20,L107),1)*IF(Upgrades!$T$21="Roche Lobe Overflow",POWER(Upgrades!$U$21,M107),1))*POWER(Upgrades!$R$13,E107)*POWER(Upgrades!$R$14,F107)*POWER(Upgrades!$R$15,G107)*POWER(Upgrades!$R$16,H107)*POWER(Upgrades!$R$17,I107)*POWER(Upgrades!$R$18,J107)*POWER(Upgrades!$R$19,K107)*POWER(Upgrades!$R$20,L107)*POWER(Upgrades!$R$21,M107)*$H$6)*O107)*0.10)/AO107,0)</f>
        <v/>
      </c>
      <c r="BD107" s="32">
        <f>MAX(IF(J107&gt;0,0,IFERROR(0.5*((IF(G107=0,0,(Upgrades!$J$15+G107*Upgrades!$K$15)*POWER(Upgrades!$L$15,G107)))*(IF(Upgrades!$T$13="Microlensing",POWER(Upgrades!$U$13,E107),1)*IF(Upgrades!$T$14="Microlensing",POWER(Upgrades!$U$14,F107),1)*IF(Upgrades!$T$16="Microlensing",POWER(Upgrades!$U$16,H107),1)*IF(Upgrades!$T$17="Microlensing",POWER(Upgrades!$U$17,I107),1)*IF(Upgrades!$T$18="Microlensing",POWER(Upgrades!$U$18,J107),1)*IF(Upgrades!$T$19="Microlensing",POWER(Upgrades!$U$19,K107),1)*IF(Upgrades!$T$20="Microlensing",POWER(Upgrades!$U$20,L107),1)*IF(Upgrades!$T$21="Microlensing",POWER(Upgrades!$U$21,M107),1))*(POWER(Upgrades!$Q$13,E107)*POWER(Upgrades!$Q$14,F107)*POWER(Upgrades!$Q$15,G107)*POWER(Upgrades!$Q$16,H107)*POWER(Upgrades!$Q$17,I107)*POWER(Upgrades!$Q$18,J107)*POWER(Upgrades!$Q$19,K107)*POWER(Upgrades!$Q$20,L107)*POWER(Upgrades!$Q$21,M107))*$G$6*(Parameters!$B$10/60*Parameters!$B$11+Q107))/Upgrades!$C$18,0)),IF(K107&gt;0,0,IFERROR(0.30*P107/Upgrades!$C$19,0)),IF(L107&gt;0,0,IFERROR(0.0001/Upgrades!$C$20,0)),IF(M107&gt;0,0,IFERROR((6.0*(POWER(Upgrades!$P$13,E107)*POWER(Upgrades!$P$14,F107)*POWER(Upgrades!$P$15,G107)*POWER(Upgrades!$P$16,H107)*POWER(Upgrades!$P$17,I107)*POWER(Upgrades!$P$18,J107)*POWER(Upgrades!$P$19,K107)*POWER(Upgrades!$P$20,L107)*POWER(Upgrades!$P$21,M107))*$F$6+0.20*O107*(Parameters!$B$10/60*Parameters!$B$11+Q107))/Upgrades!$C$21,0)),IF(AND(ISNUMBER(AK107),AK107&gt;(C107+T107)),AY107,0),IF(AND(ISNUMBER(AL107),AL107&gt;(C107+T107)),AZ107,0),IF(AND(ISNUMBER(AM107),AM107&gt;(C107+T107)),BA107,0),IF(AND(ISNUMBER(AN107),AN107&gt;(C107+T107)),BB107,0),IF(AND(ISNUMBER(AO107),AO107&gt;(C107+T107)),BC107,0))</f>
        <v/>
      </c>
      <c r="BE107" s="29">
        <f>IF(AT107=1,"transition",IF(MIN(IF(AND(J107=0,ISNUMBER(AP107),AP107&lt;=(C107+T107)),AP107,9E15),IF(AND(K107=0,ISNUMBER(AQ107),AQ107&lt;=(C107+T107)),AQ107,9E15),IF(AND(L107=0,ISNUMBER(AR107),AR107&lt;=(C107+T107)),AR107,9E15),IF(AND(M107=0,ISNUMBER(AS107),AS107&lt;=(C107+T107)),AS107,9E15))&lt;9E15,IF(AND(AND(J107=0,ISNUMBER(AP107),AP107&lt;=(C107+T107)),AP107=MIN(IF(AND(J107=0,ISNUMBER(AP107),AP107&lt;=(C107+T107)),AP107,9E15),IF(AND(K107=0,ISNUMBER(AQ107),AQ107&lt;=(C107+T107)),AQ107,9E15),IF(AND(L107=0,ISNUMBER(AR107),AR107&lt;=(C107+T107)),AR107,9E15),IF(AND(M107=0,ISNUMBER(AS107),AS107&lt;=(C107+T107)),AS107,9E15))),"BiP",IF(AND(AND(K107=0,ISNUMBER(AQ107),AQ107&lt;=(C107+T107)),AQ107=MIN(IF(AND(J107=0,ISNUMBER(AP107),AP107&lt;=(C107+T107)),AP107,9E15),IF(AND(K107=0,ISNUMBER(AQ107),AQ107&lt;=(C107+T107)),AQ107,9E15),IF(AND(L107=0,ISNUMBER(AR107),AR107&lt;=(C107+T107)),AR107,9E15),IF(AND(M107=0,ISNUMBER(AS107),AS107&lt;=(C107+T107)),AS107,9E15))),"PV",IF(AND(AND(L107=0,ISNUMBER(AR107),AR107&lt;=(C107+T107)),AR107=MIN(IF(AND(J107=0,ISNUMBER(AP107),AP107&lt;=(C107+T107)),AP107,9E15),IF(AND(K107=0,ISNUMBER(AQ107),AQ107&lt;=(C107+T107)),AQ107,9E15),IF(AND(L107=0,ISNUMBER(AR107),AR107&lt;=(C107+T107)),AR107,9E15),IF(AND(M107=0,ISNUMBER(AS107),AS107&lt;=(C107+T107)),AS107,9E15))),"OC","MG"))),IF(AX107=TRUE,"",IF(MAX(IF(AND(NOT(AND(AU107=1,AT107&lt;&gt;1)),ISNUMBER(AK107),AK107&lt;=(C107+T107)),AY107,0),IF(AND(NOT(AND(AU107=1,AT107&lt;&gt;1)),ISNUMBER(AL107),AL107&lt;=(C107+T107)),AZ107,0),IF(AND(NOT(AND(AU107=1,AT107&lt;&gt;1)),ISNUMBER(AM107),AM107&lt;=(C107+T107)),BA107,0),IF(AND(NOT(AND(AU107=1,AT107&lt;&gt;1)),ISNUMBER(AN107),AN107&lt;=(C107+T107)),BB107,0),IF(AND(ISNUMBER(AO107),AO107&lt;=(C107+T107)),BC107,0))&lt;=0,"",IF(AND(IF(AND(NOT(AND(AU107=1,AT107&lt;&gt;1)),ISNUMBER(AK107),AK107&lt;=(C107+T107)),AY107,0)&gt;0,IF(AND(NOT(AND(AU107=1,AT107&lt;&gt;1)),ISNUMBER(AK107),AK107&lt;=(C107+T107)),AY107,0)=MAX(IF(AND(NOT(AND(AU107=1,AT107&lt;&gt;1)),ISNUMBER(AK107),AK107&lt;=(C107+T107)),AY107,0),IF(AND(NOT(AND(AU107=1,AT107&lt;&gt;1)),ISNUMBER(AL107),AL107&lt;=(C107+T107)),AZ107,0),IF(AND(NOT(AND(AU107=1,AT107&lt;&gt;1)),ISNUMBER(AM107),AM107&lt;=(C107+T107)),BA107,0),IF(AND(NOT(AND(AU107=1,AT107&lt;&gt;1)),ISNUMBER(AN107),AN107&lt;=(C107+T107)),BB107,0),IF(AND(ISNUMBER(AO107),AO107&lt;=(C107+T107)),BC107,0))),"SK",IF(AND(IF(AND(NOT(AND(AU107=1,AT107&lt;&gt;1)),ISNUMBER(AL107),AL107&lt;=(C107+T107)),AZ107,0)&gt;0,IF(AND(NOT(AND(AU107=1,AT107&lt;&gt;1)),ISNUMBER(AL107),AL107&lt;=(C107+T107)),AZ107,0)=MAX(IF(AND(NOT(AND(AU107=1,AT107&lt;&gt;1)),ISNUMBER(AK107),AK107&lt;=(C107+T107)),AY107,0),IF(AND(NOT(AND(AU107=1,AT107&lt;&gt;1)),ISNUMBER(AL107),AL107&lt;=(C107+T107)),AZ107,0),IF(AND(NOT(AND(AU107=1,AT107&lt;&gt;1)),ISNUMBER(AM107),AM107&lt;=(C107+T107)),BA107,0),IF(AND(NOT(AND(AU107=1,AT107&lt;&gt;1)),ISNUMBER(AN107),AN107&lt;=(C107+T107)),BB107,0),IF(AND(ISNUMBER(AO107),AO107&lt;=(C107+T107)),BC107,0))),"LB",IF(AND(IF(AND(NOT(AND(AU107=1,AT107&lt;&gt;1)),ISNUMBER(AM107),AM107&lt;=(C107+T107)),BA107,0)&gt;0,IF(AND(NOT(AND(AU107=1,AT107&lt;&gt;1)),ISNUMBER(AM107),AM107&lt;=(C107+T107)),BA107,0)=MAX(IF(AND(NOT(AND(AU107=1,AT107&lt;&gt;1)),ISNUMBER(AK107),AK107&lt;=(C107+T107)),AY107,0),IF(AND(NOT(AND(AU107=1,AT107&lt;&gt;1)),ISNUMBER(AL107),AL107&lt;=(C107+T107)),AZ107,0),IF(AND(NOT(AND(AU107=1,AT107&lt;&gt;1)),ISNUMBER(AM107),AM107&lt;=(C107+T107)),BA107,0),IF(AND(NOT(AND(AU107=1,AT107&lt;&gt;1)),ISNUMBER(AN107),AN107&lt;=(C107+T107)),BB107,0),IF(AND(ISNUMBER(AO107),AO107&lt;=(C107+T107)),BC107,0))),"ML",IF(AND(IF(AND(NOT(AND(AU107=1,AT107&lt;&gt;1)),ISNUMBER(AN107),AN107&lt;=(C107+T107)),BB107,0)&gt;0,IF(AND(NOT(AND(AU107=1,AT107&lt;&gt;1)),ISNUMBER(AN107),AN107&lt;=(C107+T107)),BB107,0)=MAX(IF(AND(NOT(AND(AU107=1,AT107&lt;&gt;1)),ISNUMBER(AK107),AK107&lt;=(C107+T107)),AY107,0),IF(AND(NOT(AND(AU107=1,AT107&lt;&gt;1)),ISNUMBER(AL107),AL107&lt;=(C107+T107)),AZ107,0),IF(AND(NOT(AND(AU107=1,AT107&lt;&gt;1)),ISNUMBER(AM107),AM107&lt;=(C107+T107)),BA107,0),IF(AND(NOT(AND(AU107=1,AT107&lt;&gt;1)),ISNUMBER(AN107),AN107&lt;=(C107+T107)),BB107,0),IF(AND(ISNUMBER(AO107),AO107&lt;=(C107+T107)),BC107,0))),"RLO","BD"))))))))</f>
        <v/>
      </c>
    </row>
    <row r="108">
      <c r="A108" s="26" t="n">
        <v>97</v>
      </c>
      <c r="B108" s="27">
        <f>A108*10/60</f>
        <v/>
      </c>
      <c r="C108" s="22">
        <f>X107</f>
        <v/>
      </c>
      <c r="D108" s="27">
        <f>D107+W107</f>
        <v/>
      </c>
      <c r="E108" s="26">
        <f>E107+IF(U107="SK",1,0)</f>
        <v/>
      </c>
      <c r="F108" s="26">
        <f>F107+IF(U107="LB",1,0)</f>
        <v/>
      </c>
      <c r="G108" s="26">
        <f>G107+IF(U107="ML",1,0)</f>
        <v/>
      </c>
      <c r="H108" s="26">
        <f>H107+IF(U107="RLO",1,0)</f>
        <v/>
      </c>
      <c r="I108" s="26">
        <f>I107+IF(U107="BD",1,0)</f>
        <v/>
      </c>
      <c r="J108" s="26">
        <f>MAX(J107,IF(U107="BiP",1,0))</f>
        <v/>
      </c>
      <c r="K108" s="26">
        <f>MAX(K107,IF(U107="PV",1,0))</f>
        <v/>
      </c>
      <c r="L108" s="26">
        <f>MAX(L107,IF(U107="OC",1,0))</f>
        <v/>
      </c>
      <c r="M108" s="26">
        <f>MAX(M107,IF(U107="MG",1,0))</f>
        <v/>
      </c>
      <c r="N108" s="26">
        <f>MAX(N107,IF(U107="transition",1,0))</f>
        <v/>
      </c>
      <c r="O108" s="28">
        <f>(Parameters!$B$9+(IF(E108=0,0,(Upgrades!$J$13+E108*Upgrades!$K$13)*POWER(Upgrades!$L$13,E108)))*(IF(Upgrades!$T$14="Stellar Kinematics",POWER(Upgrades!$U$14,F108),1)*IF(Upgrades!$T$15="Stellar Kinematics",POWER(Upgrades!$U$15,G108),1)*IF(Upgrades!$T$16="Stellar Kinematics",POWER(Upgrades!$U$16,H108),1)*IF(Upgrades!$T$17="Stellar Kinematics",POWER(Upgrades!$U$17,I108),1)*IF(Upgrades!$T$18="Stellar Kinematics",POWER(Upgrades!$U$18,J108),1)*IF(Upgrades!$T$19="Stellar Kinematics",POWER(Upgrades!$U$19,K108),1)*IF(Upgrades!$T$20="Stellar Kinematics",POWER(Upgrades!$U$20,L108),1)*IF(Upgrades!$T$21="Stellar Kinematics",POWER(Upgrades!$U$21,M108),1))+(IF(F108=0,0,(Upgrades!$J$14+F108*Upgrades!$K$14)*POWER(Upgrades!$L$14,F108)))*(IF(Upgrades!$T$13="Local Bubble",POWER(Upgrades!$U$13,E108),1)*IF(Upgrades!$T$15="Local Bubble",POWER(Upgrades!$U$15,G108),1)*IF(Upgrades!$T$16="Local Bubble",POWER(Upgrades!$U$16,H108),1)*IF(Upgrades!$T$17="Local Bubble",POWER(Upgrades!$U$17,I108),1)*IF(Upgrades!$T$18="Local Bubble",POWER(Upgrades!$U$18,J108),1)*IF(Upgrades!$T$19="Local Bubble",POWER(Upgrades!$U$19,K108),1)*IF(Upgrades!$T$20="Local Bubble",POWER(Upgrades!$U$20,L108),1)*IF(Upgrades!$T$21="Local Bubble",POWER(Upgrades!$U$21,M108),1))+(IF(G108=0,0,(Upgrades!$J$15+G108*Upgrades!$K$15)*POWER(Upgrades!$L$15,G108)))*(IF(Upgrades!$T$13="Microlensing",POWER(Upgrades!$U$13,E108),1)*IF(Upgrades!$T$14="Microlensing",POWER(Upgrades!$U$14,F108),1)*IF(Upgrades!$T$16="Microlensing",POWER(Upgrades!$U$16,H108),1)*IF(Upgrades!$T$17="Microlensing",POWER(Upgrades!$U$17,I108),1)*IF(Upgrades!$T$18="Microlensing",POWER(Upgrades!$U$18,J108),1)*IF(Upgrades!$T$19="Microlensing",POWER(Upgrades!$U$19,K108),1)*IF(Upgrades!$T$20="Microlensing",POWER(Upgrades!$U$20,L108),1)*IF(Upgrades!$T$21="Microlensing",POWER(Upgrades!$U$21,M108),1))+(IF(H108=0,0,(Upgrades!$J$16+H108*Upgrades!$K$16)*POWER(Upgrades!$L$16,H108)))*(IF(Upgrades!$T$13="Roche Lobe Overflow",POWER(Upgrades!$U$13,E108),1)*IF(Upgrades!$T$14="Roche Lobe Overflow",POWER(Upgrades!$U$14,F108),1)*IF(Upgrades!$T$15="Roche Lobe Overflow",POWER(Upgrades!$U$15,G108),1)*IF(Upgrades!$T$17="Roche Lobe Overflow",POWER(Upgrades!$U$17,I108),1)*IF(Upgrades!$T$18="Roche Lobe Overflow",POWER(Upgrades!$U$18,J108),1)*IF(Upgrades!$T$19="Roche Lobe Overflow",POWER(Upgrades!$U$19,K108),1)*IF(Upgrades!$T$20="Roche Lobe Overflow",POWER(Upgrades!$U$20,L108),1)*IF(Upgrades!$T$21="Roche Lobe Overflow",POWER(Upgrades!$U$21,M108),1))+(IF(I108=0,0,(Upgrades!$J$17+I108*Upgrades!$K$17)*POWER(Upgrades!$L$17,I108)))*(IF(Upgrades!$T$13="Brown Dwarf",POWER(Upgrades!$U$13,E108),1)*IF(Upgrades!$T$14="Brown Dwarf",POWER(Upgrades!$U$14,F108),1)*IF(Upgrades!$T$15="Brown Dwarf",POWER(Upgrades!$U$15,G108),1)*IF(Upgrades!$T$16="Brown Dwarf",POWER(Upgrades!$U$16,H108),1)*IF(Upgrades!$T$18="Brown Dwarf",POWER(Upgrades!$U$18,J108),1)*IF(Upgrades!$T$19="Brown Dwarf",POWER(Upgrades!$U$19,K108),1)*IF(Upgrades!$T$20="Brown Dwarf",POWER(Upgrades!$U$20,L108),1)*IF(Upgrades!$T$21="Brown Dwarf",POWER(Upgrades!$U$21,M108),1))+(IF(J108=0,0,(Upgrades!$J$18+J108*Upgrades!$K$18)*POWER(Upgrades!$L$18,J108)))*(IF(Upgrades!$T$13="Binary Partner",POWER(Upgrades!$U$13,E108),1)*IF(Upgrades!$T$14="Binary Partner",POWER(Upgrades!$U$14,F108),1)*IF(Upgrades!$T$15="Binary Partner",POWER(Upgrades!$U$15,G108),1)*IF(Upgrades!$T$16="Binary Partner",POWER(Upgrades!$U$16,H108),1)*IF(Upgrades!$T$17="Binary Partner",POWER(Upgrades!$U$17,I108),1)*IF(Upgrades!$T$19="Binary Partner",POWER(Upgrades!$U$19,K108),1)*IF(Upgrades!$T$20="Binary Partner",POWER(Upgrades!$U$20,L108),1)*IF(Upgrades!$T$21="Binary Partner",POWER(Upgrades!$U$21,M108),1))+(IF(K108=0,0,(Upgrades!$J$19+K108*Upgrades!$K$19)*POWER(Upgrades!$L$19,K108)))*(IF(Upgrades!$T$13="Peculiar Velocity",POWER(Upgrades!$U$13,E108),1)*IF(Upgrades!$T$14="Peculiar Velocity",POWER(Upgrades!$U$14,F108),1)*IF(Upgrades!$T$15="Peculiar Velocity",POWER(Upgrades!$U$15,G108),1)*IF(Upgrades!$T$16="Peculiar Velocity",POWER(Upgrades!$U$16,H108),1)*IF(Upgrades!$T$17="Peculiar Velocity",POWER(Upgrades!$U$17,I108),1)*IF(Upgrades!$T$18="Peculiar Velocity",POWER(Upgrades!$U$18,J108),1)*IF(Upgrades!$T$20="Peculiar Velocity",POWER(Upgrades!$U$20,L108),1)*IF(Upgrades!$T$21="Peculiar Velocity",POWER(Upgrades!$U$21,M108),1))+(IF(L108=0,0,(Upgrades!$J$20+L108*Upgrades!$K$20)*POWER(Upgrades!$L$20,L108)))*(IF(Upgrades!$T$13="Open Cluster",POWER(Upgrades!$U$13,E108),1)*IF(Upgrades!$T$14="Open Cluster",POWER(Upgrades!$U$14,F108),1)*IF(Upgrades!$T$15="Open Cluster",POWER(Upgrades!$U$15,G108),1)*IF(Upgrades!$T$16="Open Cluster",POWER(Upgrades!$U$16,H108),1)*IF(Upgrades!$T$17="Open Cluster",POWER(Upgrades!$U$17,I108),1)*IF(Upgrades!$T$18="Open Cluster",POWER(Upgrades!$U$18,J108),1)*IF(Upgrades!$T$19="Open Cluster",POWER(Upgrades!$U$19,K108),1)*IF(Upgrades!$T$21="Open Cluster",POWER(Upgrades!$U$21,M108),1))+(IF(M108=0,0,(Upgrades!$J$21+M108*Upgrades!$K$21)*POWER(Upgrades!$L$21,M108)))*(IF(Upgrades!$T$13="Moving Group",POWER(Upgrades!$U$13,E108),1)*IF(Upgrades!$T$14="Moving Group",POWER(Upgrades!$U$14,F108),1)*IF(Upgrades!$T$15="Moving Group",POWER(Upgrades!$U$15,G108),1)*IF(Upgrades!$T$16="Moving Group",POWER(Upgrades!$U$16,H108),1)*IF(Upgrades!$T$17="Moving Group",POWER(Upgrades!$U$17,I108),1)*IF(Upgrades!$T$18="Moving Group",POWER(Upgrades!$U$18,J108),1)*IF(Upgrades!$T$19="Moving Group",POWER(Upgrades!$U$19,K108),1)*IF(Upgrades!$T$20="Moving Group",POWER(Upgrades!$U$20,L108),1)))*POWER(Upgrades!$Q$13,E108)*POWER(Upgrades!$Q$14,F108)*POWER(Upgrades!$Q$15,G108)*POWER(Upgrades!$Q$16,H108)*POWER(Upgrades!$Q$17,I108)*POWER(Upgrades!$Q$18,J108)*POWER(Upgrades!$Q$19,K108)*POWER(Upgrades!$Q$20,L108)*POWER(Upgrades!$Q$21,M108)*$G$6+$D$6</f>
        <v/>
      </c>
      <c r="P108" s="28">
        <f>((IF(E108=0,0,(Upgrades!$G$13+E108*Upgrades!$H$13)*POWER(Upgrades!$I$13,E108)))*(IF(Upgrades!$T$14="Stellar Kinematics",POWER(Upgrades!$U$14,F108),1)*IF(Upgrades!$T$15="Stellar Kinematics",POWER(Upgrades!$U$15,G108),1)*IF(Upgrades!$T$16="Stellar Kinematics",POWER(Upgrades!$U$16,H108),1)*IF(Upgrades!$T$17="Stellar Kinematics",POWER(Upgrades!$U$17,I108),1)*IF(Upgrades!$T$18="Stellar Kinematics",POWER(Upgrades!$U$18,J108),1)*IF(Upgrades!$T$19="Stellar Kinematics",POWER(Upgrades!$U$19,K108),1)*IF(Upgrades!$T$20="Stellar Kinematics",POWER(Upgrades!$U$20,L108),1)*IF(Upgrades!$T$21="Stellar Kinematics",POWER(Upgrades!$U$21,M108),1))+(IF(F108=0,0,(Upgrades!$G$14+F108*Upgrades!$H$14)*POWER(Upgrades!$I$14,F108)))*(IF(Upgrades!$T$13="Local Bubble",POWER(Upgrades!$U$13,E108),1)*IF(Upgrades!$T$15="Local Bubble",POWER(Upgrades!$U$15,G108),1)*IF(Upgrades!$T$16="Local Bubble",POWER(Upgrades!$U$16,H108),1)*IF(Upgrades!$T$17="Local Bubble",POWER(Upgrades!$U$17,I108),1)*IF(Upgrades!$T$18="Local Bubble",POWER(Upgrades!$U$18,J108),1)*IF(Upgrades!$T$19="Local Bubble",POWER(Upgrades!$U$19,K108),1)*IF(Upgrades!$T$20="Local Bubble",POWER(Upgrades!$U$20,L108),1)*IF(Upgrades!$T$21="Local Bubble",POWER(Upgrades!$U$21,M108),1))+(IF(G108=0,0,(Upgrades!$G$15+G108*Upgrades!$H$15)*POWER(Upgrades!$I$15,G108)))*(IF(Upgrades!$T$13="Microlensing",POWER(Upgrades!$U$13,E108),1)*IF(Upgrades!$T$14="Microlensing",POWER(Upgrades!$U$14,F108),1)*IF(Upgrades!$T$16="Microlensing",POWER(Upgrades!$U$16,H108),1)*IF(Upgrades!$T$17="Microlensing",POWER(Upgrades!$U$17,I108),1)*IF(Upgrades!$T$18="Microlensing",POWER(Upgrades!$U$18,J108),1)*IF(Upgrades!$T$19="Microlensing",POWER(Upgrades!$U$19,K108),1)*IF(Upgrades!$T$20="Microlensing",POWER(Upgrades!$U$20,L108),1)*IF(Upgrades!$T$21="Microlensing",POWER(Upgrades!$U$21,M108),1))+(IF(H108=0,0,(Upgrades!$G$16+H108*Upgrades!$H$16)*POWER(Upgrades!$I$16,H108)))*(IF(Upgrades!$T$13="Roche Lobe Overflow",POWER(Upgrades!$U$13,E108),1)*IF(Upgrades!$T$14="Roche Lobe Overflow",POWER(Upgrades!$U$14,F108),1)*IF(Upgrades!$T$15="Roche Lobe Overflow",POWER(Upgrades!$U$15,G108),1)*IF(Upgrades!$T$17="Roche Lobe Overflow",POWER(Upgrades!$U$17,I108),1)*IF(Upgrades!$T$18="Roche Lobe Overflow",POWER(Upgrades!$U$18,J108),1)*IF(Upgrades!$T$19="Roche Lobe Overflow",POWER(Upgrades!$U$19,K108),1)*IF(Upgrades!$T$20="Roche Lobe Overflow",POWER(Upgrades!$U$20,L108),1)*IF(Upgrades!$T$21="Roche Lobe Overflow",POWER(Upgrades!$U$21,M108),1))+(IF(I108=0,0,(Upgrades!$G$17+I108*Upgrades!$H$17)*POWER(Upgrades!$I$17,I108)))*(IF(Upgrades!$T$13="Brown Dwarf",POWER(Upgrades!$U$13,E108),1)*IF(Upgrades!$T$14="Brown Dwarf",POWER(Upgrades!$U$14,F108),1)*IF(Upgrades!$T$15="Brown Dwarf",POWER(Upgrades!$U$15,G108),1)*IF(Upgrades!$T$16="Brown Dwarf",POWER(Upgrades!$U$16,H108),1)*IF(Upgrades!$T$18="Brown Dwarf",POWER(Upgrades!$U$18,J108),1)*IF(Upgrades!$T$19="Brown Dwarf",POWER(Upgrades!$U$19,K108),1)*IF(Upgrades!$T$20="Brown Dwarf",POWER(Upgrades!$U$20,L108),1)*IF(Upgrades!$T$21="Brown Dwarf",POWER(Upgrades!$U$21,M108),1))+(IF(J108=0,0,(Upgrades!$G$18+J108*Upgrades!$H$18)*POWER(Upgrades!$I$18,J108)))*(IF(Upgrades!$T$13="Binary Partner",POWER(Upgrades!$U$13,E108),1)*IF(Upgrades!$T$14="Binary Partner",POWER(Upgrades!$U$14,F108),1)*IF(Upgrades!$T$15="Binary Partner",POWER(Upgrades!$U$15,G108),1)*IF(Upgrades!$T$16="Binary Partner",POWER(Upgrades!$U$16,H108),1)*IF(Upgrades!$T$17="Binary Partner",POWER(Upgrades!$U$17,I108),1)*IF(Upgrades!$T$19="Binary Partner",POWER(Upgrades!$U$19,K108),1)*IF(Upgrades!$T$20="Binary Partner",POWER(Upgrades!$U$20,L108),1)*IF(Upgrades!$T$21="Binary Partner",POWER(Upgrades!$U$21,M108),1))+(IF(K108=0,0,(Upgrades!$G$19+K108*Upgrades!$H$19)*POWER(Upgrades!$I$19,K108)))*(IF(Upgrades!$T$13="Peculiar Velocity",POWER(Upgrades!$U$13,E108),1)*IF(Upgrades!$T$14="Peculiar Velocity",POWER(Upgrades!$U$14,F108),1)*IF(Upgrades!$T$15="Peculiar Velocity",POWER(Upgrades!$U$15,G108),1)*IF(Upgrades!$T$16="Peculiar Velocity",POWER(Upgrades!$U$16,H108),1)*IF(Upgrades!$T$17="Peculiar Velocity",POWER(Upgrades!$U$17,I108),1)*IF(Upgrades!$T$18="Peculiar Velocity",POWER(Upgrades!$U$18,J108),1)*IF(Upgrades!$T$20="Peculiar Velocity",POWER(Upgrades!$U$20,L108),1)*IF(Upgrades!$T$21="Peculiar Velocity",POWER(Upgrades!$U$21,M108),1))+(IF(L108=0,0,(Upgrades!$G$20+L108*Upgrades!$H$20)*POWER(Upgrades!$I$20,L108)))*(IF(Upgrades!$T$13="Open Cluster",POWER(Upgrades!$U$13,E108),1)*IF(Upgrades!$T$14="Open Cluster",POWER(Upgrades!$U$14,F108),1)*IF(Upgrades!$T$15="Open Cluster",POWER(Upgrades!$U$15,G108),1)*IF(Upgrades!$T$16="Open Cluster",POWER(Upgrades!$U$16,H108),1)*IF(Upgrades!$T$17="Open Cluster",POWER(Upgrades!$U$17,I108),1)*IF(Upgrades!$T$18="Open Cluster",POWER(Upgrades!$U$18,J108),1)*IF(Upgrades!$T$19="Open Cluster",POWER(Upgrades!$U$19,K108),1)*IF(Upgrades!$T$21="Open Cluster",POWER(Upgrades!$U$21,M108),1))+(IF(M108=0,0,(Upgrades!$G$21+M108*Upgrades!$H$21)*POWER(Upgrades!$I$21,M108)))*(IF(Upgrades!$T$13="Moving Group",POWER(Upgrades!$U$13,E108),1)*IF(Upgrades!$T$14="Moving Group",POWER(Upgrades!$U$14,F108),1)*IF(Upgrades!$T$15="Moving Group",POWER(Upgrades!$U$15,G108),1)*IF(Upgrades!$T$16="Moving Group",POWER(Upgrades!$U$16,H108),1)*IF(Upgrades!$T$17="Moving Group",POWER(Upgrades!$U$17,I108),1)*IF(Upgrades!$T$18="Moving Group",POWER(Upgrades!$U$18,J108),1)*IF(Upgrades!$T$19="Moving Group",POWER(Upgrades!$U$19,K108),1)*IF(Upgrades!$T$20="Moving Group",POWER(Upgrades!$U$20,L108),1)))*POWER(Upgrades!$P$13,E108)*POWER(Upgrades!$P$14,F108)*POWER(Upgrades!$P$15,G108)*POWER(Upgrades!$P$16,H108)*POWER(Upgrades!$P$17,I108)*POWER(Upgrades!$P$18,J108)*POWER(Upgrades!$P$19,K108)*POWER(Upgrades!$P$20,L108)*POWER(Upgrades!$P$21,M108)*$F$6+$C$6</f>
        <v/>
      </c>
      <c r="Q108" s="28">
        <f>((IF(E108=0,0,(Upgrades!$M$13+E108*Upgrades!$N$13)*POWER(Upgrades!$O$13,E108)))*(IF(Upgrades!$T$14="Stellar Kinematics",POWER(Upgrades!$U$14,F108),1)*IF(Upgrades!$T$15="Stellar Kinematics",POWER(Upgrades!$U$15,G108),1)*IF(Upgrades!$T$16="Stellar Kinematics",POWER(Upgrades!$U$16,H108),1)*IF(Upgrades!$T$17="Stellar Kinematics",POWER(Upgrades!$U$17,I108),1)*IF(Upgrades!$T$18="Stellar Kinematics",POWER(Upgrades!$U$18,J108),1)*IF(Upgrades!$T$19="Stellar Kinematics",POWER(Upgrades!$U$19,K108),1)*IF(Upgrades!$T$20="Stellar Kinematics",POWER(Upgrades!$U$20,L108),1)*IF(Upgrades!$T$21="Stellar Kinematics",POWER(Upgrades!$U$21,M108),1))+(IF(F108=0,0,(Upgrades!$M$14+F108*Upgrades!$N$14)*POWER(Upgrades!$O$14,F108)))*(IF(Upgrades!$T$13="Local Bubble",POWER(Upgrades!$U$13,E108),1)*IF(Upgrades!$T$15="Local Bubble",POWER(Upgrades!$U$15,G108),1)*IF(Upgrades!$T$16="Local Bubble",POWER(Upgrades!$U$16,H108),1)*IF(Upgrades!$T$17="Local Bubble",POWER(Upgrades!$U$17,I108),1)*IF(Upgrades!$T$18="Local Bubble",POWER(Upgrades!$U$18,J108),1)*IF(Upgrades!$T$19="Local Bubble",POWER(Upgrades!$U$19,K108),1)*IF(Upgrades!$T$20="Local Bubble",POWER(Upgrades!$U$20,L108),1)*IF(Upgrades!$T$21="Local Bubble",POWER(Upgrades!$U$21,M108),1))+(IF(G108=0,0,(Upgrades!$M$15+G108*Upgrades!$N$15)*POWER(Upgrades!$O$15,G108)))*(IF(Upgrades!$T$13="Microlensing",POWER(Upgrades!$U$13,E108),1)*IF(Upgrades!$T$14="Microlensing",POWER(Upgrades!$U$14,F108),1)*IF(Upgrades!$T$16="Microlensing",POWER(Upgrades!$U$16,H108),1)*IF(Upgrades!$T$17="Microlensing",POWER(Upgrades!$U$17,I108),1)*IF(Upgrades!$T$18="Microlensing",POWER(Upgrades!$U$18,J108),1)*IF(Upgrades!$T$19="Microlensing",POWER(Upgrades!$U$19,K108),1)*IF(Upgrades!$T$20="Microlensing",POWER(Upgrades!$U$20,L108),1)*IF(Upgrades!$T$21="Microlensing",POWER(Upgrades!$U$21,M108),1))+(IF(H108=0,0,(Upgrades!$M$16+H108*Upgrades!$N$16)*POWER(Upgrades!$O$16,H108)))*(IF(Upgrades!$T$13="Roche Lobe Overflow",POWER(Upgrades!$U$13,E108),1)*IF(Upgrades!$T$14="Roche Lobe Overflow",POWER(Upgrades!$U$14,F108),1)*IF(Upgrades!$T$15="Roche Lobe Overflow",POWER(Upgrades!$U$15,G108),1)*IF(Upgrades!$T$17="Roche Lobe Overflow",POWER(Upgrades!$U$17,I108),1)*IF(Upgrades!$T$18="Roche Lobe Overflow",POWER(Upgrades!$U$18,J108),1)*IF(Upgrades!$T$19="Roche Lobe Overflow",POWER(Upgrades!$U$19,K108),1)*IF(Upgrades!$T$20="Roche Lobe Overflow",POWER(Upgrades!$U$20,L108),1)*IF(Upgrades!$T$21="Roche Lobe Overflow",POWER(Upgrades!$U$21,M108),1))+(IF(I108=0,0,(Upgrades!$M$17+I108*Upgrades!$N$17)*POWER(Upgrades!$O$17,I108)))*(IF(Upgrades!$T$13="Brown Dwarf",POWER(Upgrades!$U$13,E108),1)*IF(Upgrades!$T$14="Brown Dwarf",POWER(Upgrades!$U$14,F108),1)*IF(Upgrades!$T$15="Brown Dwarf",POWER(Upgrades!$U$15,G108),1)*IF(Upgrades!$T$16="Brown Dwarf",POWER(Upgrades!$U$16,H108),1)*IF(Upgrades!$T$18="Brown Dwarf",POWER(Upgrades!$U$18,J108),1)*IF(Upgrades!$T$19="Brown Dwarf",POWER(Upgrades!$U$19,K108),1)*IF(Upgrades!$T$20="Brown Dwarf",POWER(Upgrades!$U$20,L108),1)*IF(Upgrades!$T$21="Brown Dwarf",POWER(Upgrades!$U$21,M108),1))+(IF(J108=0,0,(Upgrades!$M$18+J108*Upgrades!$N$18)*POWER(Upgrades!$O$18,J108)))*(IF(Upgrades!$T$13="Binary Partner",POWER(Upgrades!$U$13,E108),1)*IF(Upgrades!$T$14="Binary Partner",POWER(Upgrades!$U$14,F108),1)*IF(Upgrades!$T$15="Binary Partner",POWER(Upgrades!$U$15,G108),1)*IF(Upgrades!$T$16="Binary Partner",POWER(Upgrades!$U$16,H108),1)*IF(Upgrades!$T$17="Binary Partner",POWER(Upgrades!$U$17,I108),1)*IF(Upgrades!$T$19="Binary Partner",POWER(Upgrades!$U$19,K108),1)*IF(Upgrades!$T$20="Binary Partner",POWER(Upgrades!$U$20,L108),1)*IF(Upgrades!$T$21="Binary Partner",POWER(Upgrades!$U$21,M108),1))+(IF(K108=0,0,(Upgrades!$M$19+K108*Upgrades!$N$19)*POWER(Upgrades!$O$19,K108)))*(IF(Upgrades!$T$13="Peculiar Velocity",POWER(Upgrades!$U$13,E108),1)*IF(Upgrades!$T$14="Peculiar Velocity",POWER(Upgrades!$U$14,F108),1)*IF(Upgrades!$T$15="Peculiar Velocity",POWER(Upgrades!$U$15,G108),1)*IF(Upgrades!$T$16="Peculiar Velocity",POWER(Upgrades!$U$16,H108),1)*IF(Upgrades!$T$17="Peculiar Velocity",POWER(Upgrades!$U$17,I108),1)*IF(Upgrades!$T$18="Peculiar Velocity",POWER(Upgrades!$U$18,J108),1)*IF(Upgrades!$T$20="Peculiar Velocity",POWER(Upgrades!$U$20,L108),1)*IF(Upgrades!$T$21="Peculiar Velocity",POWER(Upgrades!$U$21,M108),1))+(IF(L108=0,0,(Upgrades!$M$20+L108*Upgrades!$N$20)*POWER(Upgrades!$O$20,L108)))*(IF(Upgrades!$T$13="Open Cluster",POWER(Upgrades!$U$13,E108),1)*IF(Upgrades!$T$14="Open Cluster",POWER(Upgrades!$U$14,F108),1)*IF(Upgrades!$T$15="Open Cluster",POWER(Upgrades!$U$15,G108),1)*IF(Upgrades!$T$16="Open Cluster",POWER(Upgrades!$U$16,H108),1)*IF(Upgrades!$T$17="Open Cluster",POWER(Upgrades!$U$17,I108),1)*IF(Upgrades!$T$18="Open Cluster",POWER(Upgrades!$U$18,J108),1)*IF(Upgrades!$T$19="Open Cluster",POWER(Upgrades!$U$19,K108),1)*IF(Upgrades!$T$21="Open Cluster",POWER(Upgrades!$U$21,M108),1))+(IF(M108=0,0,(Upgrades!$M$21+M108*Upgrades!$N$21)*POWER(Upgrades!$O$21,M108)))*(IF(Upgrades!$T$13="Moving Group",POWER(Upgrades!$U$13,E108),1)*IF(Upgrades!$T$14="Moving Group",POWER(Upgrades!$U$14,F108),1)*IF(Upgrades!$T$15="Moving Group",POWER(Upgrades!$U$15,G108),1)*IF(Upgrades!$T$16="Moving Group",POWER(Upgrades!$U$16,H108),1)*IF(Upgrades!$T$17="Moving Group",POWER(Upgrades!$U$17,I108),1)*IF(Upgrades!$T$18="Moving Group",POWER(Upgrades!$U$18,J108),1)*IF(Upgrades!$T$19="Moving Group",POWER(Upgrades!$U$19,K108),1)*IF(Upgrades!$T$20="Moving Group",POWER(Upgrades!$U$20,L108),1)))*POWER(Upgrades!$R$13,E108)*POWER(Upgrades!$R$14,F108)*POWER(Upgrades!$R$15,G108)*POWER(Upgrades!$R$16,H108)*POWER(Upgrades!$R$17,I108)*POWER(Upgrades!$R$18,J108)*POWER(Upgrades!$R$19,K108)*POWER(Upgrades!$R$20,L108)*POWER(Upgrades!$R$21,M108)*$H$6+$E$6</f>
        <v/>
      </c>
      <c r="R108" s="27">
        <f>IF(N108=1,0,O108*Parameters!$B$10/60*Parameters!$B$11*10)</f>
        <v/>
      </c>
      <c r="S108" s="27">
        <f>IF(N108=1,0,Q108*O108*10)</f>
        <v/>
      </c>
      <c r="T108" s="27">
        <f>IF(N108=1,0,R108+S108+P108*10)</f>
        <v/>
      </c>
      <c r="U108" s="33">
        <f>BE108</f>
        <v/>
      </c>
      <c r="V108" s="22">
        <f>IF(U108="",0,IF(U108="transition",0,IF(U108="SK",AK108,IF(U108="LB",AL108,IF(U108="ML",AM108,IF(U108="RLO",AN108,IF(U108="BD",AO108,IF(U108="BiP",AP108,IF(U108="PV",AQ108,IF(U108="OC",AR108,IF(U108="MG",AS108,0))))))))))</f>
        <v/>
      </c>
      <c r="W108" s="27">
        <f>IF(U108="BiP",Upgrades!$F$18,IF(U108="PV",Upgrades!$F$19,IF(U108="OC",Upgrades!$F$20,IF(U108="MG",Upgrades!$F$21,IF(U108="transition",-Parameters!$B$18*Parameters!$B$19,0)))))</f>
        <v/>
      </c>
      <c r="X108" s="22">
        <f>C108+T108-V108</f>
        <v/>
      </c>
      <c r="Y108" s="30">
        <f>O108*Parameters!$B$10/60*Parameters!$B$11+Q108*O108+P108</f>
        <v/>
      </c>
      <c r="Z108" s="34">
        <f>IF(U108="transition","→ Tier 3 (Galactic Arm)",IF(U108="MG","Moving Group — pocket drifts together",IF(U108="OC","Open Cluster acquired",IF(U108="PV","Peculiar Velocity — passive multiplier active",IF(U108="BiP","Binary Partner — pair bond formed",IF(AND(AU108=1,N108=0,AT108&lt;&gt;1),"Cohesion ready (waiting on completionists)","")))))) </f>
        <v/>
      </c>
      <c r="AA108" s="27">
        <f>(IF(E108=0,0,(Upgrades!$G$13+E108*Upgrades!$H$13)*POWER(Upgrades!$I$13,E108)))*(IF(Upgrades!$T$14="Stellar Kinematics",POWER(Upgrades!$U$14,F108),1)*IF(Upgrades!$T$15="Stellar Kinematics",POWER(Upgrades!$U$15,G108),1)*IF(Upgrades!$T$16="Stellar Kinematics",POWER(Upgrades!$U$16,H108),1)*IF(Upgrades!$T$17="Stellar Kinematics",POWER(Upgrades!$U$17,I108),1)*IF(Upgrades!$T$18="Stellar Kinematics",POWER(Upgrades!$U$18,J108),1)*IF(Upgrades!$T$19="Stellar Kinematics",POWER(Upgrades!$U$19,K108),1)*IF(Upgrades!$T$20="Stellar Kinematics",POWER(Upgrades!$U$20,L108),1)*IF(Upgrades!$T$21="Stellar Kinematics",POWER(Upgrades!$U$21,M108),1))*POWER(Upgrades!$P$13,E108)*POWER(Upgrades!$P$14,F108)*POWER(Upgrades!$P$15,G108)*POWER(Upgrades!$P$16,H108)*POWER(Upgrades!$P$17,I108)*POWER(Upgrades!$P$18,J108)*POWER(Upgrades!$P$19,K108)*POWER(Upgrades!$P$20,L108)*POWER(Upgrades!$P$21,M108)*$F$6*60</f>
        <v/>
      </c>
      <c r="AB108" s="27">
        <f>(IF(F108=0,0,(Upgrades!$G$14+F108*Upgrades!$H$14)*POWER(Upgrades!$I$14,F108)))*(IF(Upgrades!$T$13="Local Bubble",POWER(Upgrades!$U$13,E108),1)*IF(Upgrades!$T$15="Local Bubble",POWER(Upgrades!$U$15,G108),1)*IF(Upgrades!$T$16="Local Bubble",POWER(Upgrades!$U$16,H108),1)*IF(Upgrades!$T$17="Local Bubble",POWER(Upgrades!$U$17,I108),1)*IF(Upgrades!$T$18="Local Bubble",POWER(Upgrades!$U$18,J108),1)*IF(Upgrades!$T$19="Local Bubble",POWER(Upgrades!$U$19,K108),1)*IF(Upgrades!$T$20="Local Bubble",POWER(Upgrades!$U$20,L108),1)*IF(Upgrades!$T$21="Local Bubble",POWER(Upgrades!$U$21,M108),1))*POWER(Upgrades!$P$13,E108)*POWER(Upgrades!$P$14,F108)*POWER(Upgrades!$P$15,G108)*POWER(Upgrades!$P$16,H108)*POWER(Upgrades!$P$17,I108)*POWER(Upgrades!$P$18,J108)*POWER(Upgrades!$P$19,K108)*POWER(Upgrades!$P$20,L108)*POWER(Upgrades!$P$21,M108)*$F$6*60</f>
        <v/>
      </c>
      <c r="AC108" s="27">
        <f>(IF(G108=0,0,(Upgrades!$J$15+G108*Upgrades!$K$15)*POWER(Upgrades!$L$15,G108)))*(IF(Upgrades!$T$13="Microlensing",POWER(Upgrades!$U$13,E108),1)*IF(Upgrades!$T$14="Microlensing",POWER(Upgrades!$U$14,F108),1)*IF(Upgrades!$T$16="Microlensing",POWER(Upgrades!$U$16,H108),1)*IF(Upgrades!$T$17="Microlensing",POWER(Upgrades!$U$17,I108),1)*IF(Upgrades!$T$18="Microlensing",POWER(Upgrades!$U$18,J108),1)*IF(Upgrades!$T$19="Microlensing",POWER(Upgrades!$U$19,K108),1)*IF(Upgrades!$T$20="Microlensing",POWER(Upgrades!$U$20,L108),1)*IF(Upgrades!$T$21="Microlensing",POWER(Upgrades!$U$21,M108),1))*POWER(Upgrades!$Q$13,E108)*POWER(Upgrades!$Q$14,F108)*POWER(Upgrades!$Q$15,G108)*POWER(Upgrades!$Q$16,H108)*POWER(Upgrades!$Q$17,I108)*POWER(Upgrades!$Q$18,J108)*POWER(Upgrades!$Q$19,K108)*POWER(Upgrades!$Q$20,L108)*POWER(Upgrades!$Q$21,M108)*$G$6*(Parameters!$B$10*Parameters!$B$11+Q108*60)</f>
        <v/>
      </c>
      <c r="AD108" s="27">
        <f>(IF(H108=0,0,(Upgrades!$M$16+H108*Upgrades!$N$16)*POWER(Upgrades!$O$16,H108)))*(IF(Upgrades!$T$13="Roche Lobe Overflow",POWER(Upgrades!$U$13,E108),1)*IF(Upgrades!$T$14="Roche Lobe Overflow",POWER(Upgrades!$U$14,F108),1)*IF(Upgrades!$T$15="Roche Lobe Overflow",POWER(Upgrades!$U$15,G108),1)*IF(Upgrades!$T$17="Roche Lobe Overflow",POWER(Upgrades!$U$17,I108),1)*IF(Upgrades!$T$18="Roche Lobe Overflow",POWER(Upgrades!$U$18,J108),1)*IF(Upgrades!$T$19="Roche Lobe Overflow",POWER(Upgrades!$U$19,K108),1)*IF(Upgrades!$T$20="Roche Lobe Overflow",POWER(Upgrades!$U$20,L108),1)*IF(Upgrades!$T$21="Roche Lobe Overflow",POWER(Upgrades!$U$21,M108),1))*POWER(Upgrades!$R$13,E108)*POWER(Upgrades!$R$14,F108)*POWER(Upgrades!$R$15,G108)*POWER(Upgrades!$R$16,H108)*POWER(Upgrades!$R$17,I108)*POWER(Upgrades!$R$18,J108)*POWER(Upgrades!$R$19,K108)*POWER(Upgrades!$R$20,L108)*POWER(Upgrades!$R$21,M108)*$H$6*O108*60</f>
        <v/>
      </c>
      <c r="AE108" s="27">
        <f>(IF(I108=0,0,(Upgrades!$G$17+I108*Upgrades!$H$17)*POWER(Upgrades!$I$17,I108)))*(IF(Upgrades!$T$13="Brown Dwarf",POWER(Upgrades!$U$13,E108),1)*IF(Upgrades!$T$14="Brown Dwarf",POWER(Upgrades!$U$14,F108),1)*IF(Upgrades!$T$15="Brown Dwarf",POWER(Upgrades!$U$15,G108),1)*IF(Upgrades!$T$16="Brown Dwarf",POWER(Upgrades!$U$16,H108),1)*IF(Upgrades!$T$18="Brown Dwarf",POWER(Upgrades!$U$18,J108),1)*IF(Upgrades!$T$19="Brown Dwarf",POWER(Upgrades!$U$19,K108),1)*IF(Upgrades!$T$20="Brown Dwarf",POWER(Upgrades!$U$20,L108),1)*IF(Upgrades!$T$21="Brown Dwarf",POWER(Upgrades!$U$21,M108),1))*POWER(Upgrades!$P$13,E108)*POWER(Upgrades!$P$14,F108)*POWER(Upgrades!$P$15,G108)*POWER(Upgrades!$P$16,H108)*POWER(Upgrades!$P$17,I108)*POWER(Upgrades!$P$18,J108)*POWER(Upgrades!$P$19,K108)*POWER(Upgrades!$P$20,L108)*POWER(Upgrades!$P$21,M108)*$F$6*60</f>
        <v/>
      </c>
      <c r="AF108" s="27" t="n">
        <v>0</v>
      </c>
      <c r="AG108" s="27" t="n">
        <v>0</v>
      </c>
      <c r="AH108" s="27" t="n">
        <v>0</v>
      </c>
      <c r="AI108" s="27">
        <f>(IF(M108=0,0,(Upgrades!$G$21+M108*Upgrades!$H$21)*POWER(Upgrades!$I$21,M108)))*(IF(Upgrades!$T$13="Moving Group",POWER(Upgrades!$U$13,E108),1)*IF(Upgrades!$T$14="Moving Group",POWER(Upgrades!$U$14,F108),1)*IF(Upgrades!$T$15="Moving Group",POWER(Upgrades!$U$15,G108),1)*IF(Upgrades!$T$16="Moving Group",POWER(Upgrades!$U$16,H108),1)*IF(Upgrades!$T$17="Moving Group",POWER(Upgrades!$U$17,I108),1)*IF(Upgrades!$T$18="Moving Group",POWER(Upgrades!$U$18,J108),1)*IF(Upgrades!$T$19="Moving Group",POWER(Upgrades!$U$19,K108),1)*IF(Upgrades!$T$20="Moving Group",POWER(Upgrades!$U$20,L108),1))*POWER(Upgrades!$P$13,E108)*POWER(Upgrades!$P$14,F108)*POWER(Upgrades!$P$15,G108)*POWER(Upgrades!$P$16,H108)*POWER(Upgrades!$P$17,I108)*POWER(Upgrades!$P$18,J108)*POWER(Upgrades!$P$19,K108)*POWER(Upgrades!$P$20,L108)*POWER(Upgrades!$P$21,M108)*$F$6*60</f>
        <v/>
      </c>
      <c r="AJ108" s="27">
        <f>$C$6*60</f>
        <v/>
      </c>
      <c r="AK108" s="22">
        <f>IF(E108&gt;=Upgrades!$E$13,"",Upgrades!$C$13*POWER(Upgrades!$D$13,E108))</f>
        <v/>
      </c>
      <c r="AL108" s="22">
        <f>IF(F108&gt;=Upgrades!$E$14,"",Upgrades!$C$14*POWER(Upgrades!$D$14,F108))</f>
        <v/>
      </c>
      <c r="AM108" s="22">
        <f>IF(G108&gt;=Upgrades!$E$15,"",Upgrades!$C$15*POWER(Upgrades!$D$15,G108))</f>
        <v/>
      </c>
      <c r="AN108" s="22">
        <f>IF(H108&gt;=Upgrades!$E$16,"",Upgrades!$C$16*POWER(Upgrades!$D$16,H108))</f>
        <v/>
      </c>
      <c r="AO108" s="22">
        <f>IF(I108&gt;=Upgrades!$E$17,"",Upgrades!$C$17*POWER(Upgrades!$D$17,I108))</f>
        <v/>
      </c>
      <c r="AP108" s="22">
        <f>IF(J108&gt;=Upgrades!$E$18,"",Upgrades!$C$18*POWER(Upgrades!$D$18,J108))</f>
        <v/>
      </c>
      <c r="AQ108" s="22">
        <f>IF(K108&gt;=Upgrades!$E$19,"",Upgrades!$C$19*POWER(Upgrades!$D$19,K108))</f>
        <v/>
      </c>
      <c r="AR108" s="22">
        <f>IF(L108&gt;=Upgrades!$E$20,"",Upgrades!$C$20*POWER(Upgrades!$D$20,L108))</f>
        <v/>
      </c>
      <c r="AS108" s="22">
        <f>IF(M108&gt;=Upgrades!$E$21,"",Upgrades!$C$21*POWER(Upgrades!$D$21,M108))</f>
        <v/>
      </c>
      <c r="AT108" s="26">
        <f>IF(AND(D108&gt;=Parameters!$B$18*Parameters!$B$19,(I108&gt;=Upgrades!$E$17)*(M108&gt;=Upgrades!$E$21)=1,N108=0),1,"")</f>
        <v/>
      </c>
      <c r="AU108" s="26">
        <f>IF(AND(D108&gt;=Parameters!$B$18*Parameters!$B$19,N108=0),1,"")</f>
        <v/>
      </c>
      <c r="AV108" s="22">
        <f>MIN(IF(ISNUMBER(AP108),AP108,9E15),IF(ISNUMBER(AQ108),AQ108,9E15),IF(ISNUMBER(AR108),AR108,9E15),IF(ISNUMBER(AS108),AS108,9E15))</f>
        <v/>
      </c>
      <c r="AW108" s="22">
        <f>MIN(IF(ISNUMBER(AK108),AK108,9E15),IF(ISNUMBER(AL108),AL108,9E15),IF(ISNUMBER(AM108),AM108,9E15),IF(ISNUMBER(AN108),AN108,9E15),IF(ISNUMBER(AO108),AO108,9E15))</f>
        <v/>
      </c>
      <c r="AX108" s="29">
        <f>IF(BD108&gt;Parameters!$B$21*(MAX(IF(AND(NOT(AND(AU108=1,AT108&lt;&gt;1)),ISNUMBER(AK108),AK108&lt;=(C108+T108)),AY108,0),IF(AND(NOT(AND(AU108=1,AT108&lt;&gt;1)),ISNUMBER(AL108),AL108&lt;=(C108+T108)),AZ108,0),IF(AND(NOT(AND(AU108=1,AT108&lt;&gt;1)),ISNUMBER(AM108),AM108&lt;=(C108+T108)),BA108,0),IF(AND(NOT(AND(AU108=1,AT108&lt;&gt;1)),ISNUMBER(AN108),AN108&lt;=(C108+T108)),BB108,0),IF(AND(ISNUMBER(AO108),AO108&lt;=(C108+T108)),BC108,0))),TRUE,FALSE)</f>
        <v/>
      </c>
      <c r="AY108" s="32">
        <f>IFERROR(Upgrades!$H$13*(POWER(Upgrades!$P$13,E108)*POWER(Upgrades!$P$14,F108)*POWER(Upgrades!$P$15,G108)*POWER(Upgrades!$P$16,H108)*POWER(Upgrades!$P$17,I108)*POWER(Upgrades!$P$18,J108)*POWER(Upgrades!$P$19,K108)*POWER(Upgrades!$P$20,L108)*POWER(Upgrades!$P$21,M108))*(IF(Upgrades!$T$14="Stellar Kinematics",POWER(Upgrades!$U$14,F108),1)*IF(Upgrades!$T$15="Stellar Kinematics",POWER(Upgrades!$U$15,G108),1)*IF(Upgrades!$T$16="Stellar Kinematics",POWER(Upgrades!$U$16,H108),1)*IF(Upgrades!$T$17="Stellar Kinematics",POWER(Upgrades!$U$17,I108),1)*IF(Upgrades!$T$18="Stellar Kinematics",POWER(Upgrades!$U$18,J108),1)*IF(Upgrades!$T$19="Stellar Kinematics",POWER(Upgrades!$U$19,K108),1)*IF(Upgrades!$T$20="Stellar Kinematics",POWER(Upgrades!$U$20,L108),1)*IF(Upgrades!$T$21="Stellar Kinematics",POWER(Upgrades!$U$21,M108),1))*$F$6/AK108,0)</f>
        <v/>
      </c>
      <c r="AZ108" s="32">
        <f>IFERROR(Upgrades!$H$14*(POWER(Upgrades!$P$13,E108)*POWER(Upgrades!$P$14,F108)*POWER(Upgrades!$P$15,G108)*POWER(Upgrades!$P$16,H108)*POWER(Upgrades!$P$17,I108)*POWER(Upgrades!$P$18,J108)*POWER(Upgrades!$P$19,K108)*POWER(Upgrades!$P$20,L108)*POWER(Upgrades!$P$21,M108))*(IF(Upgrades!$T$13="Local Bubble",POWER(Upgrades!$U$13,E108),1)*IF(Upgrades!$T$15="Local Bubble",POWER(Upgrades!$U$15,G108),1)*IF(Upgrades!$T$16="Local Bubble",POWER(Upgrades!$U$16,H108),1)*IF(Upgrades!$T$17="Local Bubble",POWER(Upgrades!$U$17,I108),1)*IF(Upgrades!$T$18="Local Bubble",POWER(Upgrades!$U$18,J108),1)*IF(Upgrades!$T$19="Local Bubble",POWER(Upgrades!$U$19,K108),1)*IF(Upgrades!$T$20="Local Bubble",POWER(Upgrades!$U$20,L108),1)*IF(Upgrades!$T$21="Local Bubble",POWER(Upgrades!$U$21,M108),1))*$F$6/AL108,0)</f>
        <v/>
      </c>
      <c r="BA108" s="32">
        <f>IFERROR(Upgrades!$K$15*(POWER(Upgrades!$Q$13,E108)*POWER(Upgrades!$Q$14,F108)*POWER(Upgrades!$Q$15,G108)*POWER(Upgrades!$Q$16,H108)*POWER(Upgrades!$Q$17,I108)*POWER(Upgrades!$Q$18,J108)*POWER(Upgrades!$Q$19,K108)*POWER(Upgrades!$Q$20,L108)*POWER(Upgrades!$Q$21,M108))*(IF(Upgrades!$T$13="Microlensing",POWER(Upgrades!$U$13,E108),1)*IF(Upgrades!$T$14="Microlensing",POWER(Upgrades!$U$14,F108),1)*IF(Upgrades!$T$16="Microlensing",POWER(Upgrades!$U$16,H108),1)*IF(Upgrades!$T$17="Microlensing",POWER(Upgrades!$U$17,I108),1)*IF(Upgrades!$T$18="Microlensing",POWER(Upgrades!$U$18,J108),1)*IF(Upgrades!$T$19="Microlensing",POWER(Upgrades!$U$19,K108),1)*IF(Upgrades!$T$20="Microlensing",POWER(Upgrades!$U$20,L108),1)*IF(Upgrades!$T$21="Microlensing",POWER(Upgrades!$U$21,M108),1))*$G$6*(Parameters!$B$10/60*Parameters!$B$11+Q108)/AM108,0)</f>
        <v/>
      </c>
      <c r="BB108" s="32">
        <f>IFERROR((Upgrades!$N$16*(POWER(Upgrades!$R$13,E108)*POWER(Upgrades!$R$14,F108)*POWER(Upgrades!$R$15,G108)*POWER(Upgrades!$R$16,H108)*POWER(Upgrades!$R$17,I108)*POWER(Upgrades!$R$18,J108)*POWER(Upgrades!$R$19,K108)*POWER(Upgrades!$R$20,L108)*POWER(Upgrades!$R$21,M108))*(IF(Upgrades!$T$13="Roche Lobe Overflow",POWER(Upgrades!$U$13,E108),1)*IF(Upgrades!$T$14="Roche Lobe Overflow",POWER(Upgrades!$U$14,F108),1)*IF(Upgrades!$T$15="Roche Lobe Overflow",POWER(Upgrades!$U$15,G108),1)*IF(Upgrades!$T$17="Roche Lobe Overflow",POWER(Upgrades!$U$17,I108),1)*IF(Upgrades!$T$18="Roche Lobe Overflow",POWER(Upgrades!$U$18,J108),1)*IF(Upgrades!$T$19="Roche Lobe Overflow",POWER(Upgrades!$U$19,K108),1)*IF(Upgrades!$T$20="Roche Lobe Overflow",POWER(Upgrades!$U$20,L108),1)*IF(Upgrades!$T$21="Roche Lobe Overflow",POWER(Upgrades!$U$21,M108),1))*$H$6*O108+((IF(F108=0,0,(Upgrades!$G$14+F108*Upgrades!$H$14)*POWER(Upgrades!$I$14,F108)))*(IF(Upgrades!$T$13="Local Bubble",POWER(Upgrades!$U$13,E108),1)*IF(Upgrades!$T$15="Local Bubble",POWER(Upgrades!$U$15,G108),1)*IF(Upgrades!$T$16="Local Bubble",POWER(Upgrades!$U$16,H108),1)*IF(Upgrades!$T$17="Local Bubble",POWER(Upgrades!$U$17,I108),1)*IF(Upgrades!$T$18="Local Bubble",POWER(Upgrades!$U$18,J108),1)*IF(Upgrades!$T$19="Local Bubble",POWER(Upgrades!$U$19,K108),1)*IF(Upgrades!$T$20="Local Bubble",POWER(Upgrades!$U$20,L108),1)*IF(Upgrades!$T$21="Local Bubble",POWER(Upgrades!$U$21,M108),1))*POWER(Upgrades!$P$13,E108)*POWER(Upgrades!$P$14,F108)*POWER(Upgrades!$P$15,G108)*POWER(Upgrades!$P$16,H108)*POWER(Upgrades!$P$17,I108)*POWER(Upgrades!$P$18,J108)*POWER(Upgrades!$P$19,K108)*POWER(Upgrades!$P$20,L108)*POWER(Upgrades!$P$21,M108)*$F$6)*0.05)/AN108,0)</f>
        <v/>
      </c>
      <c r="BC108" s="32">
        <f>IFERROR((Upgrades!$H$17*(POWER(Upgrades!$P$13,E108)*POWER(Upgrades!$P$14,F108)*POWER(Upgrades!$P$15,G108)*POWER(Upgrades!$P$16,H108)*POWER(Upgrades!$P$17,I108)*POWER(Upgrades!$P$18,J108)*POWER(Upgrades!$P$19,K108)*POWER(Upgrades!$P$20,L108)*POWER(Upgrades!$P$21,M108))*(IF(Upgrades!$T$13="Brown Dwarf",POWER(Upgrades!$U$13,E108),1)*IF(Upgrades!$T$14="Brown Dwarf",POWER(Upgrades!$U$14,F108),1)*IF(Upgrades!$T$15="Brown Dwarf",POWER(Upgrades!$U$15,G108),1)*IF(Upgrades!$T$16="Brown Dwarf",POWER(Upgrades!$U$16,H108),1)*IF(Upgrades!$T$18="Brown Dwarf",POWER(Upgrades!$U$18,J108),1)*IF(Upgrades!$T$19="Brown Dwarf",POWER(Upgrades!$U$19,K108),1)*IF(Upgrades!$T$20="Brown Dwarf",POWER(Upgrades!$U$20,L108),1)*IF(Upgrades!$T$21="Brown Dwarf",POWER(Upgrades!$U$21,M108),1))*$F$6+(((IF(H108=0,0,(Upgrades!$M$16+H108*Upgrades!$N$16)*POWER(Upgrades!$O$16,H108)))*(IF(Upgrades!$T$13="Roche Lobe Overflow",POWER(Upgrades!$U$13,E108),1)*IF(Upgrades!$T$14="Roche Lobe Overflow",POWER(Upgrades!$U$14,F108),1)*IF(Upgrades!$T$15="Roche Lobe Overflow",POWER(Upgrades!$U$15,G108),1)*IF(Upgrades!$T$17="Roche Lobe Overflow",POWER(Upgrades!$U$17,I108),1)*IF(Upgrades!$T$18="Roche Lobe Overflow",POWER(Upgrades!$U$18,J108),1)*IF(Upgrades!$T$19="Roche Lobe Overflow",POWER(Upgrades!$U$19,K108),1)*IF(Upgrades!$T$20="Roche Lobe Overflow",POWER(Upgrades!$U$20,L108),1)*IF(Upgrades!$T$21="Roche Lobe Overflow",POWER(Upgrades!$U$21,M108),1))*POWER(Upgrades!$R$13,E108)*POWER(Upgrades!$R$14,F108)*POWER(Upgrades!$R$15,G108)*POWER(Upgrades!$R$16,H108)*POWER(Upgrades!$R$17,I108)*POWER(Upgrades!$R$18,J108)*POWER(Upgrades!$R$19,K108)*POWER(Upgrades!$R$20,L108)*POWER(Upgrades!$R$21,M108)*$H$6)*O108)*0.10)/AO108,0)</f>
        <v/>
      </c>
      <c r="BD108" s="32">
        <f>MAX(IF(J108&gt;0,0,IFERROR(0.5*((IF(G108=0,0,(Upgrades!$J$15+G108*Upgrades!$K$15)*POWER(Upgrades!$L$15,G108)))*(IF(Upgrades!$T$13="Microlensing",POWER(Upgrades!$U$13,E108),1)*IF(Upgrades!$T$14="Microlensing",POWER(Upgrades!$U$14,F108),1)*IF(Upgrades!$T$16="Microlensing",POWER(Upgrades!$U$16,H108),1)*IF(Upgrades!$T$17="Microlensing",POWER(Upgrades!$U$17,I108),1)*IF(Upgrades!$T$18="Microlensing",POWER(Upgrades!$U$18,J108),1)*IF(Upgrades!$T$19="Microlensing",POWER(Upgrades!$U$19,K108),1)*IF(Upgrades!$T$20="Microlensing",POWER(Upgrades!$U$20,L108),1)*IF(Upgrades!$T$21="Microlensing",POWER(Upgrades!$U$21,M108),1))*(POWER(Upgrades!$Q$13,E108)*POWER(Upgrades!$Q$14,F108)*POWER(Upgrades!$Q$15,G108)*POWER(Upgrades!$Q$16,H108)*POWER(Upgrades!$Q$17,I108)*POWER(Upgrades!$Q$18,J108)*POWER(Upgrades!$Q$19,K108)*POWER(Upgrades!$Q$20,L108)*POWER(Upgrades!$Q$21,M108))*$G$6*(Parameters!$B$10/60*Parameters!$B$11+Q108))/Upgrades!$C$18,0)),IF(K108&gt;0,0,IFERROR(0.30*P108/Upgrades!$C$19,0)),IF(L108&gt;0,0,IFERROR(0.0001/Upgrades!$C$20,0)),IF(M108&gt;0,0,IFERROR((6.0*(POWER(Upgrades!$P$13,E108)*POWER(Upgrades!$P$14,F108)*POWER(Upgrades!$P$15,G108)*POWER(Upgrades!$P$16,H108)*POWER(Upgrades!$P$17,I108)*POWER(Upgrades!$P$18,J108)*POWER(Upgrades!$P$19,K108)*POWER(Upgrades!$P$20,L108)*POWER(Upgrades!$P$21,M108))*$F$6+0.20*O108*(Parameters!$B$10/60*Parameters!$B$11+Q108))/Upgrades!$C$21,0)),IF(AND(ISNUMBER(AK108),AK108&gt;(C108+T108)),AY108,0),IF(AND(ISNUMBER(AL108),AL108&gt;(C108+T108)),AZ108,0),IF(AND(ISNUMBER(AM108),AM108&gt;(C108+T108)),BA108,0),IF(AND(ISNUMBER(AN108),AN108&gt;(C108+T108)),BB108,0),IF(AND(ISNUMBER(AO108),AO108&gt;(C108+T108)),BC108,0))</f>
        <v/>
      </c>
      <c r="BE108" s="29">
        <f>IF(AT108=1,"transition",IF(MIN(IF(AND(J108=0,ISNUMBER(AP108),AP108&lt;=(C108+T108)),AP108,9E15),IF(AND(K108=0,ISNUMBER(AQ108),AQ108&lt;=(C108+T108)),AQ108,9E15),IF(AND(L108=0,ISNUMBER(AR108),AR108&lt;=(C108+T108)),AR108,9E15),IF(AND(M108=0,ISNUMBER(AS108),AS108&lt;=(C108+T108)),AS108,9E15))&lt;9E15,IF(AND(AND(J108=0,ISNUMBER(AP108),AP108&lt;=(C108+T108)),AP108=MIN(IF(AND(J108=0,ISNUMBER(AP108),AP108&lt;=(C108+T108)),AP108,9E15),IF(AND(K108=0,ISNUMBER(AQ108),AQ108&lt;=(C108+T108)),AQ108,9E15),IF(AND(L108=0,ISNUMBER(AR108),AR108&lt;=(C108+T108)),AR108,9E15),IF(AND(M108=0,ISNUMBER(AS108),AS108&lt;=(C108+T108)),AS108,9E15))),"BiP",IF(AND(AND(K108=0,ISNUMBER(AQ108),AQ108&lt;=(C108+T108)),AQ108=MIN(IF(AND(J108=0,ISNUMBER(AP108),AP108&lt;=(C108+T108)),AP108,9E15),IF(AND(K108=0,ISNUMBER(AQ108),AQ108&lt;=(C108+T108)),AQ108,9E15),IF(AND(L108=0,ISNUMBER(AR108),AR108&lt;=(C108+T108)),AR108,9E15),IF(AND(M108=0,ISNUMBER(AS108),AS108&lt;=(C108+T108)),AS108,9E15))),"PV",IF(AND(AND(L108=0,ISNUMBER(AR108),AR108&lt;=(C108+T108)),AR108=MIN(IF(AND(J108=0,ISNUMBER(AP108),AP108&lt;=(C108+T108)),AP108,9E15),IF(AND(K108=0,ISNUMBER(AQ108),AQ108&lt;=(C108+T108)),AQ108,9E15),IF(AND(L108=0,ISNUMBER(AR108),AR108&lt;=(C108+T108)),AR108,9E15),IF(AND(M108=0,ISNUMBER(AS108),AS108&lt;=(C108+T108)),AS108,9E15))),"OC","MG"))),IF(AX108=TRUE,"",IF(MAX(IF(AND(NOT(AND(AU108=1,AT108&lt;&gt;1)),ISNUMBER(AK108),AK108&lt;=(C108+T108)),AY108,0),IF(AND(NOT(AND(AU108=1,AT108&lt;&gt;1)),ISNUMBER(AL108),AL108&lt;=(C108+T108)),AZ108,0),IF(AND(NOT(AND(AU108=1,AT108&lt;&gt;1)),ISNUMBER(AM108),AM108&lt;=(C108+T108)),BA108,0),IF(AND(NOT(AND(AU108=1,AT108&lt;&gt;1)),ISNUMBER(AN108),AN108&lt;=(C108+T108)),BB108,0),IF(AND(ISNUMBER(AO108),AO108&lt;=(C108+T108)),BC108,0))&lt;=0,"",IF(AND(IF(AND(NOT(AND(AU108=1,AT108&lt;&gt;1)),ISNUMBER(AK108),AK108&lt;=(C108+T108)),AY108,0)&gt;0,IF(AND(NOT(AND(AU108=1,AT108&lt;&gt;1)),ISNUMBER(AK108),AK108&lt;=(C108+T108)),AY108,0)=MAX(IF(AND(NOT(AND(AU108=1,AT108&lt;&gt;1)),ISNUMBER(AK108),AK108&lt;=(C108+T108)),AY108,0),IF(AND(NOT(AND(AU108=1,AT108&lt;&gt;1)),ISNUMBER(AL108),AL108&lt;=(C108+T108)),AZ108,0),IF(AND(NOT(AND(AU108=1,AT108&lt;&gt;1)),ISNUMBER(AM108),AM108&lt;=(C108+T108)),BA108,0),IF(AND(NOT(AND(AU108=1,AT108&lt;&gt;1)),ISNUMBER(AN108),AN108&lt;=(C108+T108)),BB108,0),IF(AND(ISNUMBER(AO108),AO108&lt;=(C108+T108)),BC108,0))),"SK",IF(AND(IF(AND(NOT(AND(AU108=1,AT108&lt;&gt;1)),ISNUMBER(AL108),AL108&lt;=(C108+T108)),AZ108,0)&gt;0,IF(AND(NOT(AND(AU108=1,AT108&lt;&gt;1)),ISNUMBER(AL108),AL108&lt;=(C108+T108)),AZ108,0)=MAX(IF(AND(NOT(AND(AU108=1,AT108&lt;&gt;1)),ISNUMBER(AK108),AK108&lt;=(C108+T108)),AY108,0),IF(AND(NOT(AND(AU108=1,AT108&lt;&gt;1)),ISNUMBER(AL108),AL108&lt;=(C108+T108)),AZ108,0),IF(AND(NOT(AND(AU108=1,AT108&lt;&gt;1)),ISNUMBER(AM108),AM108&lt;=(C108+T108)),BA108,0),IF(AND(NOT(AND(AU108=1,AT108&lt;&gt;1)),ISNUMBER(AN108),AN108&lt;=(C108+T108)),BB108,0),IF(AND(ISNUMBER(AO108),AO108&lt;=(C108+T108)),BC108,0))),"LB",IF(AND(IF(AND(NOT(AND(AU108=1,AT108&lt;&gt;1)),ISNUMBER(AM108),AM108&lt;=(C108+T108)),BA108,0)&gt;0,IF(AND(NOT(AND(AU108=1,AT108&lt;&gt;1)),ISNUMBER(AM108),AM108&lt;=(C108+T108)),BA108,0)=MAX(IF(AND(NOT(AND(AU108=1,AT108&lt;&gt;1)),ISNUMBER(AK108),AK108&lt;=(C108+T108)),AY108,0),IF(AND(NOT(AND(AU108=1,AT108&lt;&gt;1)),ISNUMBER(AL108),AL108&lt;=(C108+T108)),AZ108,0),IF(AND(NOT(AND(AU108=1,AT108&lt;&gt;1)),ISNUMBER(AM108),AM108&lt;=(C108+T108)),BA108,0),IF(AND(NOT(AND(AU108=1,AT108&lt;&gt;1)),ISNUMBER(AN108),AN108&lt;=(C108+T108)),BB108,0),IF(AND(ISNUMBER(AO108),AO108&lt;=(C108+T108)),BC108,0))),"ML",IF(AND(IF(AND(NOT(AND(AU108=1,AT108&lt;&gt;1)),ISNUMBER(AN108),AN108&lt;=(C108+T108)),BB108,0)&gt;0,IF(AND(NOT(AND(AU108=1,AT108&lt;&gt;1)),ISNUMBER(AN108),AN108&lt;=(C108+T108)),BB108,0)=MAX(IF(AND(NOT(AND(AU108=1,AT108&lt;&gt;1)),ISNUMBER(AK108),AK108&lt;=(C108+T108)),AY108,0),IF(AND(NOT(AND(AU108=1,AT108&lt;&gt;1)),ISNUMBER(AL108),AL108&lt;=(C108+T108)),AZ108,0),IF(AND(NOT(AND(AU108=1,AT108&lt;&gt;1)),ISNUMBER(AM108),AM108&lt;=(C108+T108)),BA108,0),IF(AND(NOT(AND(AU108=1,AT108&lt;&gt;1)),ISNUMBER(AN108),AN108&lt;=(C108+T108)),BB108,0),IF(AND(ISNUMBER(AO108),AO108&lt;=(C108+T108)),BC108,0))),"RLO","BD"))))))))</f>
        <v/>
      </c>
    </row>
    <row r="109">
      <c r="A109" s="26" t="n">
        <v>98</v>
      </c>
      <c r="B109" s="27">
        <f>A109*10/60</f>
        <v/>
      </c>
      <c r="C109" s="22">
        <f>X108</f>
        <v/>
      </c>
      <c r="D109" s="27">
        <f>D108+W108</f>
        <v/>
      </c>
      <c r="E109" s="26">
        <f>E108+IF(U108="SK",1,0)</f>
        <v/>
      </c>
      <c r="F109" s="26">
        <f>F108+IF(U108="LB",1,0)</f>
        <v/>
      </c>
      <c r="G109" s="26">
        <f>G108+IF(U108="ML",1,0)</f>
        <v/>
      </c>
      <c r="H109" s="26">
        <f>H108+IF(U108="RLO",1,0)</f>
        <v/>
      </c>
      <c r="I109" s="26">
        <f>I108+IF(U108="BD",1,0)</f>
        <v/>
      </c>
      <c r="J109" s="26">
        <f>MAX(J108,IF(U108="BiP",1,0))</f>
        <v/>
      </c>
      <c r="K109" s="26">
        <f>MAX(K108,IF(U108="PV",1,0))</f>
        <v/>
      </c>
      <c r="L109" s="26">
        <f>MAX(L108,IF(U108="OC",1,0))</f>
        <v/>
      </c>
      <c r="M109" s="26">
        <f>MAX(M108,IF(U108="MG",1,0))</f>
        <v/>
      </c>
      <c r="N109" s="26">
        <f>MAX(N108,IF(U108="transition",1,0))</f>
        <v/>
      </c>
      <c r="O109" s="28">
        <f>(Parameters!$B$9+(IF(E109=0,0,(Upgrades!$J$13+E109*Upgrades!$K$13)*POWER(Upgrades!$L$13,E109)))*(IF(Upgrades!$T$14="Stellar Kinematics",POWER(Upgrades!$U$14,F109),1)*IF(Upgrades!$T$15="Stellar Kinematics",POWER(Upgrades!$U$15,G109),1)*IF(Upgrades!$T$16="Stellar Kinematics",POWER(Upgrades!$U$16,H109),1)*IF(Upgrades!$T$17="Stellar Kinematics",POWER(Upgrades!$U$17,I109),1)*IF(Upgrades!$T$18="Stellar Kinematics",POWER(Upgrades!$U$18,J109),1)*IF(Upgrades!$T$19="Stellar Kinematics",POWER(Upgrades!$U$19,K109),1)*IF(Upgrades!$T$20="Stellar Kinematics",POWER(Upgrades!$U$20,L109),1)*IF(Upgrades!$T$21="Stellar Kinematics",POWER(Upgrades!$U$21,M109),1))+(IF(F109=0,0,(Upgrades!$J$14+F109*Upgrades!$K$14)*POWER(Upgrades!$L$14,F109)))*(IF(Upgrades!$T$13="Local Bubble",POWER(Upgrades!$U$13,E109),1)*IF(Upgrades!$T$15="Local Bubble",POWER(Upgrades!$U$15,G109),1)*IF(Upgrades!$T$16="Local Bubble",POWER(Upgrades!$U$16,H109),1)*IF(Upgrades!$T$17="Local Bubble",POWER(Upgrades!$U$17,I109),1)*IF(Upgrades!$T$18="Local Bubble",POWER(Upgrades!$U$18,J109),1)*IF(Upgrades!$T$19="Local Bubble",POWER(Upgrades!$U$19,K109),1)*IF(Upgrades!$T$20="Local Bubble",POWER(Upgrades!$U$20,L109),1)*IF(Upgrades!$T$21="Local Bubble",POWER(Upgrades!$U$21,M109),1))+(IF(G109=0,0,(Upgrades!$J$15+G109*Upgrades!$K$15)*POWER(Upgrades!$L$15,G109)))*(IF(Upgrades!$T$13="Microlensing",POWER(Upgrades!$U$13,E109),1)*IF(Upgrades!$T$14="Microlensing",POWER(Upgrades!$U$14,F109),1)*IF(Upgrades!$T$16="Microlensing",POWER(Upgrades!$U$16,H109),1)*IF(Upgrades!$T$17="Microlensing",POWER(Upgrades!$U$17,I109),1)*IF(Upgrades!$T$18="Microlensing",POWER(Upgrades!$U$18,J109),1)*IF(Upgrades!$T$19="Microlensing",POWER(Upgrades!$U$19,K109),1)*IF(Upgrades!$T$20="Microlensing",POWER(Upgrades!$U$20,L109),1)*IF(Upgrades!$T$21="Microlensing",POWER(Upgrades!$U$21,M109),1))+(IF(H109=0,0,(Upgrades!$J$16+H109*Upgrades!$K$16)*POWER(Upgrades!$L$16,H109)))*(IF(Upgrades!$T$13="Roche Lobe Overflow",POWER(Upgrades!$U$13,E109),1)*IF(Upgrades!$T$14="Roche Lobe Overflow",POWER(Upgrades!$U$14,F109),1)*IF(Upgrades!$T$15="Roche Lobe Overflow",POWER(Upgrades!$U$15,G109),1)*IF(Upgrades!$T$17="Roche Lobe Overflow",POWER(Upgrades!$U$17,I109),1)*IF(Upgrades!$T$18="Roche Lobe Overflow",POWER(Upgrades!$U$18,J109),1)*IF(Upgrades!$T$19="Roche Lobe Overflow",POWER(Upgrades!$U$19,K109),1)*IF(Upgrades!$T$20="Roche Lobe Overflow",POWER(Upgrades!$U$20,L109),1)*IF(Upgrades!$T$21="Roche Lobe Overflow",POWER(Upgrades!$U$21,M109),1))+(IF(I109=0,0,(Upgrades!$J$17+I109*Upgrades!$K$17)*POWER(Upgrades!$L$17,I109)))*(IF(Upgrades!$T$13="Brown Dwarf",POWER(Upgrades!$U$13,E109),1)*IF(Upgrades!$T$14="Brown Dwarf",POWER(Upgrades!$U$14,F109),1)*IF(Upgrades!$T$15="Brown Dwarf",POWER(Upgrades!$U$15,G109),1)*IF(Upgrades!$T$16="Brown Dwarf",POWER(Upgrades!$U$16,H109),1)*IF(Upgrades!$T$18="Brown Dwarf",POWER(Upgrades!$U$18,J109),1)*IF(Upgrades!$T$19="Brown Dwarf",POWER(Upgrades!$U$19,K109),1)*IF(Upgrades!$T$20="Brown Dwarf",POWER(Upgrades!$U$20,L109),1)*IF(Upgrades!$T$21="Brown Dwarf",POWER(Upgrades!$U$21,M109),1))+(IF(J109=0,0,(Upgrades!$J$18+J109*Upgrades!$K$18)*POWER(Upgrades!$L$18,J109)))*(IF(Upgrades!$T$13="Binary Partner",POWER(Upgrades!$U$13,E109),1)*IF(Upgrades!$T$14="Binary Partner",POWER(Upgrades!$U$14,F109),1)*IF(Upgrades!$T$15="Binary Partner",POWER(Upgrades!$U$15,G109),1)*IF(Upgrades!$T$16="Binary Partner",POWER(Upgrades!$U$16,H109),1)*IF(Upgrades!$T$17="Binary Partner",POWER(Upgrades!$U$17,I109),1)*IF(Upgrades!$T$19="Binary Partner",POWER(Upgrades!$U$19,K109),1)*IF(Upgrades!$T$20="Binary Partner",POWER(Upgrades!$U$20,L109),1)*IF(Upgrades!$T$21="Binary Partner",POWER(Upgrades!$U$21,M109),1))+(IF(K109=0,0,(Upgrades!$J$19+K109*Upgrades!$K$19)*POWER(Upgrades!$L$19,K109)))*(IF(Upgrades!$T$13="Peculiar Velocity",POWER(Upgrades!$U$13,E109),1)*IF(Upgrades!$T$14="Peculiar Velocity",POWER(Upgrades!$U$14,F109),1)*IF(Upgrades!$T$15="Peculiar Velocity",POWER(Upgrades!$U$15,G109),1)*IF(Upgrades!$T$16="Peculiar Velocity",POWER(Upgrades!$U$16,H109),1)*IF(Upgrades!$T$17="Peculiar Velocity",POWER(Upgrades!$U$17,I109),1)*IF(Upgrades!$T$18="Peculiar Velocity",POWER(Upgrades!$U$18,J109),1)*IF(Upgrades!$T$20="Peculiar Velocity",POWER(Upgrades!$U$20,L109),1)*IF(Upgrades!$T$21="Peculiar Velocity",POWER(Upgrades!$U$21,M109),1))+(IF(L109=0,0,(Upgrades!$J$20+L109*Upgrades!$K$20)*POWER(Upgrades!$L$20,L109)))*(IF(Upgrades!$T$13="Open Cluster",POWER(Upgrades!$U$13,E109),1)*IF(Upgrades!$T$14="Open Cluster",POWER(Upgrades!$U$14,F109),1)*IF(Upgrades!$T$15="Open Cluster",POWER(Upgrades!$U$15,G109),1)*IF(Upgrades!$T$16="Open Cluster",POWER(Upgrades!$U$16,H109),1)*IF(Upgrades!$T$17="Open Cluster",POWER(Upgrades!$U$17,I109),1)*IF(Upgrades!$T$18="Open Cluster",POWER(Upgrades!$U$18,J109),1)*IF(Upgrades!$T$19="Open Cluster",POWER(Upgrades!$U$19,K109),1)*IF(Upgrades!$T$21="Open Cluster",POWER(Upgrades!$U$21,M109),1))+(IF(M109=0,0,(Upgrades!$J$21+M109*Upgrades!$K$21)*POWER(Upgrades!$L$21,M109)))*(IF(Upgrades!$T$13="Moving Group",POWER(Upgrades!$U$13,E109),1)*IF(Upgrades!$T$14="Moving Group",POWER(Upgrades!$U$14,F109),1)*IF(Upgrades!$T$15="Moving Group",POWER(Upgrades!$U$15,G109),1)*IF(Upgrades!$T$16="Moving Group",POWER(Upgrades!$U$16,H109),1)*IF(Upgrades!$T$17="Moving Group",POWER(Upgrades!$U$17,I109),1)*IF(Upgrades!$T$18="Moving Group",POWER(Upgrades!$U$18,J109),1)*IF(Upgrades!$T$19="Moving Group",POWER(Upgrades!$U$19,K109),1)*IF(Upgrades!$T$20="Moving Group",POWER(Upgrades!$U$20,L109),1)))*POWER(Upgrades!$Q$13,E109)*POWER(Upgrades!$Q$14,F109)*POWER(Upgrades!$Q$15,G109)*POWER(Upgrades!$Q$16,H109)*POWER(Upgrades!$Q$17,I109)*POWER(Upgrades!$Q$18,J109)*POWER(Upgrades!$Q$19,K109)*POWER(Upgrades!$Q$20,L109)*POWER(Upgrades!$Q$21,M109)*$G$6+$D$6</f>
        <v/>
      </c>
      <c r="P109" s="28">
        <f>((IF(E109=0,0,(Upgrades!$G$13+E109*Upgrades!$H$13)*POWER(Upgrades!$I$13,E109)))*(IF(Upgrades!$T$14="Stellar Kinematics",POWER(Upgrades!$U$14,F109),1)*IF(Upgrades!$T$15="Stellar Kinematics",POWER(Upgrades!$U$15,G109),1)*IF(Upgrades!$T$16="Stellar Kinematics",POWER(Upgrades!$U$16,H109),1)*IF(Upgrades!$T$17="Stellar Kinematics",POWER(Upgrades!$U$17,I109),1)*IF(Upgrades!$T$18="Stellar Kinematics",POWER(Upgrades!$U$18,J109),1)*IF(Upgrades!$T$19="Stellar Kinematics",POWER(Upgrades!$U$19,K109),1)*IF(Upgrades!$T$20="Stellar Kinematics",POWER(Upgrades!$U$20,L109),1)*IF(Upgrades!$T$21="Stellar Kinematics",POWER(Upgrades!$U$21,M109),1))+(IF(F109=0,0,(Upgrades!$G$14+F109*Upgrades!$H$14)*POWER(Upgrades!$I$14,F109)))*(IF(Upgrades!$T$13="Local Bubble",POWER(Upgrades!$U$13,E109),1)*IF(Upgrades!$T$15="Local Bubble",POWER(Upgrades!$U$15,G109),1)*IF(Upgrades!$T$16="Local Bubble",POWER(Upgrades!$U$16,H109),1)*IF(Upgrades!$T$17="Local Bubble",POWER(Upgrades!$U$17,I109),1)*IF(Upgrades!$T$18="Local Bubble",POWER(Upgrades!$U$18,J109),1)*IF(Upgrades!$T$19="Local Bubble",POWER(Upgrades!$U$19,K109),1)*IF(Upgrades!$T$20="Local Bubble",POWER(Upgrades!$U$20,L109),1)*IF(Upgrades!$T$21="Local Bubble",POWER(Upgrades!$U$21,M109),1))+(IF(G109=0,0,(Upgrades!$G$15+G109*Upgrades!$H$15)*POWER(Upgrades!$I$15,G109)))*(IF(Upgrades!$T$13="Microlensing",POWER(Upgrades!$U$13,E109),1)*IF(Upgrades!$T$14="Microlensing",POWER(Upgrades!$U$14,F109),1)*IF(Upgrades!$T$16="Microlensing",POWER(Upgrades!$U$16,H109),1)*IF(Upgrades!$T$17="Microlensing",POWER(Upgrades!$U$17,I109),1)*IF(Upgrades!$T$18="Microlensing",POWER(Upgrades!$U$18,J109),1)*IF(Upgrades!$T$19="Microlensing",POWER(Upgrades!$U$19,K109),1)*IF(Upgrades!$T$20="Microlensing",POWER(Upgrades!$U$20,L109),1)*IF(Upgrades!$T$21="Microlensing",POWER(Upgrades!$U$21,M109),1))+(IF(H109=0,0,(Upgrades!$G$16+H109*Upgrades!$H$16)*POWER(Upgrades!$I$16,H109)))*(IF(Upgrades!$T$13="Roche Lobe Overflow",POWER(Upgrades!$U$13,E109),1)*IF(Upgrades!$T$14="Roche Lobe Overflow",POWER(Upgrades!$U$14,F109),1)*IF(Upgrades!$T$15="Roche Lobe Overflow",POWER(Upgrades!$U$15,G109),1)*IF(Upgrades!$T$17="Roche Lobe Overflow",POWER(Upgrades!$U$17,I109),1)*IF(Upgrades!$T$18="Roche Lobe Overflow",POWER(Upgrades!$U$18,J109),1)*IF(Upgrades!$T$19="Roche Lobe Overflow",POWER(Upgrades!$U$19,K109),1)*IF(Upgrades!$T$20="Roche Lobe Overflow",POWER(Upgrades!$U$20,L109),1)*IF(Upgrades!$T$21="Roche Lobe Overflow",POWER(Upgrades!$U$21,M109),1))+(IF(I109=0,0,(Upgrades!$G$17+I109*Upgrades!$H$17)*POWER(Upgrades!$I$17,I109)))*(IF(Upgrades!$T$13="Brown Dwarf",POWER(Upgrades!$U$13,E109),1)*IF(Upgrades!$T$14="Brown Dwarf",POWER(Upgrades!$U$14,F109),1)*IF(Upgrades!$T$15="Brown Dwarf",POWER(Upgrades!$U$15,G109),1)*IF(Upgrades!$T$16="Brown Dwarf",POWER(Upgrades!$U$16,H109),1)*IF(Upgrades!$T$18="Brown Dwarf",POWER(Upgrades!$U$18,J109),1)*IF(Upgrades!$T$19="Brown Dwarf",POWER(Upgrades!$U$19,K109),1)*IF(Upgrades!$T$20="Brown Dwarf",POWER(Upgrades!$U$20,L109),1)*IF(Upgrades!$T$21="Brown Dwarf",POWER(Upgrades!$U$21,M109),1))+(IF(J109=0,0,(Upgrades!$G$18+J109*Upgrades!$H$18)*POWER(Upgrades!$I$18,J109)))*(IF(Upgrades!$T$13="Binary Partner",POWER(Upgrades!$U$13,E109),1)*IF(Upgrades!$T$14="Binary Partner",POWER(Upgrades!$U$14,F109),1)*IF(Upgrades!$T$15="Binary Partner",POWER(Upgrades!$U$15,G109),1)*IF(Upgrades!$T$16="Binary Partner",POWER(Upgrades!$U$16,H109),1)*IF(Upgrades!$T$17="Binary Partner",POWER(Upgrades!$U$17,I109),1)*IF(Upgrades!$T$19="Binary Partner",POWER(Upgrades!$U$19,K109),1)*IF(Upgrades!$T$20="Binary Partner",POWER(Upgrades!$U$20,L109),1)*IF(Upgrades!$T$21="Binary Partner",POWER(Upgrades!$U$21,M109),1))+(IF(K109=0,0,(Upgrades!$G$19+K109*Upgrades!$H$19)*POWER(Upgrades!$I$19,K109)))*(IF(Upgrades!$T$13="Peculiar Velocity",POWER(Upgrades!$U$13,E109),1)*IF(Upgrades!$T$14="Peculiar Velocity",POWER(Upgrades!$U$14,F109),1)*IF(Upgrades!$T$15="Peculiar Velocity",POWER(Upgrades!$U$15,G109),1)*IF(Upgrades!$T$16="Peculiar Velocity",POWER(Upgrades!$U$16,H109),1)*IF(Upgrades!$T$17="Peculiar Velocity",POWER(Upgrades!$U$17,I109),1)*IF(Upgrades!$T$18="Peculiar Velocity",POWER(Upgrades!$U$18,J109),1)*IF(Upgrades!$T$20="Peculiar Velocity",POWER(Upgrades!$U$20,L109),1)*IF(Upgrades!$T$21="Peculiar Velocity",POWER(Upgrades!$U$21,M109),1))+(IF(L109=0,0,(Upgrades!$G$20+L109*Upgrades!$H$20)*POWER(Upgrades!$I$20,L109)))*(IF(Upgrades!$T$13="Open Cluster",POWER(Upgrades!$U$13,E109),1)*IF(Upgrades!$T$14="Open Cluster",POWER(Upgrades!$U$14,F109),1)*IF(Upgrades!$T$15="Open Cluster",POWER(Upgrades!$U$15,G109),1)*IF(Upgrades!$T$16="Open Cluster",POWER(Upgrades!$U$16,H109),1)*IF(Upgrades!$T$17="Open Cluster",POWER(Upgrades!$U$17,I109),1)*IF(Upgrades!$T$18="Open Cluster",POWER(Upgrades!$U$18,J109),1)*IF(Upgrades!$T$19="Open Cluster",POWER(Upgrades!$U$19,K109),1)*IF(Upgrades!$T$21="Open Cluster",POWER(Upgrades!$U$21,M109),1))+(IF(M109=0,0,(Upgrades!$G$21+M109*Upgrades!$H$21)*POWER(Upgrades!$I$21,M109)))*(IF(Upgrades!$T$13="Moving Group",POWER(Upgrades!$U$13,E109),1)*IF(Upgrades!$T$14="Moving Group",POWER(Upgrades!$U$14,F109),1)*IF(Upgrades!$T$15="Moving Group",POWER(Upgrades!$U$15,G109),1)*IF(Upgrades!$T$16="Moving Group",POWER(Upgrades!$U$16,H109),1)*IF(Upgrades!$T$17="Moving Group",POWER(Upgrades!$U$17,I109),1)*IF(Upgrades!$T$18="Moving Group",POWER(Upgrades!$U$18,J109),1)*IF(Upgrades!$T$19="Moving Group",POWER(Upgrades!$U$19,K109),1)*IF(Upgrades!$T$20="Moving Group",POWER(Upgrades!$U$20,L109),1)))*POWER(Upgrades!$P$13,E109)*POWER(Upgrades!$P$14,F109)*POWER(Upgrades!$P$15,G109)*POWER(Upgrades!$P$16,H109)*POWER(Upgrades!$P$17,I109)*POWER(Upgrades!$P$18,J109)*POWER(Upgrades!$P$19,K109)*POWER(Upgrades!$P$20,L109)*POWER(Upgrades!$P$21,M109)*$F$6+$C$6</f>
        <v/>
      </c>
      <c r="Q109" s="28">
        <f>((IF(E109=0,0,(Upgrades!$M$13+E109*Upgrades!$N$13)*POWER(Upgrades!$O$13,E109)))*(IF(Upgrades!$T$14="Stellar Kinematics",POWER(Upgrades!$U$14,F109),1)*IF(Upgrades!$T$15="Stellar Kinematics",POWER(Upgrades!$U$15,G109),1)*IF(Upgrades!$T$16="Stellar Kinematics",POWER(Upgrades!$U$16,H109),1)*IF(Upgrades!$T$17="Stellar Kinematics",POWER(Upgrades!$U$17,I109),1)*IF(Upgrades!$T$18="Stellar Kinematics",POWER(Upgrades!$U$18,J109),1)*IF(Upgrades!$T$19="Stellar Kinematics",POWER(Upgrades!$U$19,K109),1)*IF(Upgrades!$T$20="Stellar Kinematics",POWER(Upgrades!$U$20,L109),1)*IF(Upgrades!$T$21="Stellar Kinematics",POWER(Upgrades!$U$21,M109),1))+(IF(F109=0,0,(Upgrades!$M$14+F109*Upgrades!$N$14)*POWER(Upgrades!$O$14,F109)))*(IF(Upgrades!$T$13="Local Bubble",POWER(Upgrades!$U$13,E109),1)*IF(Upgrades!$T$15="Local Bubble",POWER(Upgrades!$U$15,G109),1)*IF(Upgrades!$T$16="Local Bubble",POWER(Upgrades!$U$16,H109),1)*IF(Upgrades!$T$17="Local Bubble",POWER(Upgrades!$U$17,I109),1)*IF(Upgrades!$T$18="Local Bubble",POWER(Upgrades!$U$18,J109),1)*IF(Upgrades!$T$19="Local Bubble",POWER(Upgrades!$U$19,K109),1)*IF(Upgrades!$T$20="Local Bubble",POWER(Upgrades!$U$20,L109),1)*IF(Upgrades!$T$21="Local Bubble",POWER(Upgrades!$U$21,M109),1))+(IF(G109=0,0,(Upgrades!$M$15+G109*Upgrades!$N$15)*POWER(Upgrades!$O$15,G109)))*(IF(Upgrades!$T$13="Microlensing",POWER(Upgrades!$U$13,E109),1)*IF(Upgrades!$T$14="Microlensing",POWER(Upgrades!$U$14,F109),1)*IF(Upgrades!$T$16="Microlensing",POWER(Upgrades!$U$16,H109),1)*IF(Upgrades!$T$17="Microlensing",POWER(Upgrades!$U$17,I109),1)*IF(Upgrades!$T$18="Microlensing",POWER(Upgrades!$U$18,J109),1)*IF(Upgrades!$T$19="Microlensing",POWER(Upgrades!$U$19,K109),1)*IF(Upgrades!$T$20="Microlensing",POWER(Upgrades!$U$20,L109),1)*IF(Upgrades!$T$21="Microlensing",POWER(Upgrades!$U$21,M109),1))+(IF(H109=0,0,(Upgrades!$M$16+H109*Upgrades!$N$16)*POWER(Upgrades!$O$16,H109)))*(IF(Upgrades!$T$13="Roche Lobe Overflow",POWER(Upgrades!$U$13,E109),1)*IF(Upgrades!$T$14="Roche Lobe Overflow",POWER(Upgrades!$U$14,F109),1)*IF(Upgrades!$T$15="Roche Lobe Overflow",POWER(Upgrades!$U$15,G109),1)*IF(Upgrades!$T$17="Roche Lobe Overflow",POWER(Upgrades!$U$17,I109),1)*IF(Upgrades!$T$18="Roche Lobe Overflow",POWER(Upgrades!$U$18,J109),1)*IF(Upgrades!$T$19="Roche Lobe Overflow",POWER(Upgrades!$U$19,K109),1)*IF(Upgrades!$T$20="Roche Lobe Overflow",POWER(Upgrades!$U$20,L109),1)*IF(Upgrades!$T$21="Roche Lobe Overflow",POWER(Upgrades!$U$21,M109),1))+(IF(I109=0,0,(Upgrades!$M$17+I109*Upgrades!$N$17)*POWER(Upgrades!$O$17,I109)))*(IF(Upgrades!$T$13="Brown Dwarf",POWER(Upgrades!$U$13,E109),1)*IF(Upgrades!$T$14="Brown Dwarf",POWER(Upgrades!$U$14,F109),1)*IF(Upgrades!$T$15="Brown Dwarf",POWER(Upgrades!$U$15,G109),1)*IF(Upgrades!$T$16="Brown Dwarf",POWER(Upgrades!$U$16,H109),1)*IF(Upgrades!$T$18="Brown Dwarf",POWER(Upgrades!$U$18,J109),1)*IF(Upgrades!$T$19="Brown Dwarf",POWER(Upgrades!$U$19,K109),1)*IF(Upgrades!$T$20="Brown Dwarf",POWER(Upgrades!$U$20,L109),1)*IF(Upgrades!$T$21="Brown Dwarf",POWER(Upgrades!$U$21,M109),1))+(IF(J109=0,0,(Upgrades!$M$18+J109*Upgrades!$N$18)*POWER(Upgrades!$O$18,J109)))*(IF(Upgrades!$T$13="Binary Partner",POWER(Upgrades!$U$13,E109),1)*IF(Upgrades!$T$14="Binary Partner",POWER(Upgrades!$U$14,F109),1)*IF(Upgrades!$T$15="Binary Partner",POWER(Upgrades!$U$15,G109),1)*IF(Upgrades!$T$16="Binary Partner",POWER(Upgrades!$U$16,H109),1)*IF(Upgrades!$T$17="Binary Partner",POWER(Upgrades!$U$17,I109),1)*IF(Upgrades!$T$19="Binary Partner",POWER(Upgrades!$U$19,K109),1)*IF(Upgrades!$T$20="Binary Partner",POWER(Upgrades!$U$20,L109),1)*IF(Upgrades!$T$21="Binary Partner",POWER(Upgrades!$U$21,M109),1))+(IF(K109=0,0,(Upgrades!$M$19+K109*Upgrades!$N$19)*POWER(Upgrades!$O$19,K109)))*(IF(Upgrades!$T$13="Peculiar Velocity",POWER(Upgrades!$U$13,E109),1)*IF(Upgrades!$T$14="Peculiar Velocity",POWER(Upgrades!$U$14,F109),1)*IF(Upgrades!$T$15="Peculiar Velocity",POWER(Upgrades!$U$15,G109),1)*IF(Upgrades!$T$16="Peculiar Velocity",POWER(Upgrades!$U$16,H109),1)*IF(Upgrades!$T$17="Peculiar Velocity",POWER(Upgrades!$U$17,I109),1)*IF(Upgrades!$T$18="Peculiar Velocity",POWER(Upgrades!$U$18,J109),1)*IF(Upgrades!$T$20="Peculiar Velocity",POWER(Upgrades!$U$20,L109),1)*IF(Upgrades!$T$21="Peculiar Velocity",POWER(Upgrades!$U$21,M109),1))+(IF(L109=0,0,(Upgrades!$M$20+L109*Upgrades!$N$20)*POWER(Upgrades!$O$20,L109)))*(IF(Upgrades!$T$13="Open Cluster",POWER(Upgrades!$U$13,E109),1)*IF(Upgrades!$T$14="Open Cluster",POWER(Upgrades!$U$14,F109),1)*IF(Upgrades!$T$15="Open Cluster",POWER(Upgrades!$U$15,G109),1)*IF(Upgrades!$T$16="Open Cluster",POWER(Upgrades!$U$16,H109),1)*IF(Upgrades!$T$17="Open Cluster",POWER(Upgrades!$U$17,I109),1)*IF(Upgrades!$T$18="Open Cluster",POWER(Upgrades!$U$18,J109),1)*IF(Upgrades!$T$19="Open Cluster",POWER(Upgrades!$U$19,K109),1)*IF(Upgrades!$T$21="Open Cluster",POWER(Upgrades!$U$21,M109),1))+(IF(M109=0,0,(Upgrades!$M$21+M109*Upgrades!$N$21)*POWER(Upgrades!$O$21,M109)))*(IF(Upgrades!$T$13="Moving Group",POWER(Upgrades!$U$13,E109),1)*IF(Upgrades!$T$14="Moving Group",POWER(Upgrades!$U$14,F109),1)*IF(Upgrades!$T$15="Moving Group",POWER(Upgrades!$U$15,G109),1)*IF(Upgrades!$T$16="Moving Group",POWER(Upgrades!$U$16,H109),1)*IF(Upgrades!$T$17="Moving Group",POWER(Upgrades!$U$17,I109),1)*IF(Upgrades!$T$18="Moving Group",POWER(Upgrades!$U$18,J109),1)*IF(Upgrades!$T$19="Moving Group",POWER(Upgrades!$U$19,K109),1)*IF(Upgrades!$T$20="Moving Group",POWER(Upgrades!$U$20,L109),1)))*POWER(Upgrades!$R$13,E109)*POWER(Upgrades!$R$14,F109)*POWER(Upgrades!$R$15,G109)*POWER(Upgrades!$R$16,H109)*POWER(Upgrades!$R$17,I109)*POWER(Upgrades!$R$18,J109)*POWER(Upgrades!$R$19,K109)*POWER(Upgrades!$R$20,L109)*POWER(Upgrades!$R$21,M109)*$H$6+$E$6</f>
        <v/>
      </c>
      <c r="R109" s="27">
        <f>IF(N109=1,0,O109*Parameters!$B$10/60*Parameters!$B$11*10)</f>
        <v/>
      </c>
      <c r="S109" s="27">
        <f>IF(N109=1,0,Q109*O109*10)</f>
        <v/>
      </c>
      <c r="T109" s="27">
        <f>IF(N109=1,0,R109+S109+P109*10)</f>
        <v/>
      </c>
      <c r="U109" s="33">
        <f>BE109</f>
        <v/>
      </c>
      <c r="V109" s="22">
        <f>IF(U109="",0,IF(U109="transition",0,IF(U109="SK",AK109,IF(U109="LB",AL109,IF(U109="ML",AM109,IF(U109="RLO",AN109,IF(U109="BD",AO109,IF(U109="BiP",AP109,IF(U109="PV",AQ109,IF(U109="OC",AR109,IF(U109="MG",AS109,0))))))))))</f>
        <v/>
      </c>
      <c r="W109" s="27">
        <f>IF(U109="BiP",Upgrades!$F$18,IF(U109="PV",Upgrades!$F$19,IF(U109="OC",Upgrades!$F$20,IF(U109="MG",Upgrades!$F$21,IF(U109="transition",-Parameters!$B$18*Parameters!$B$19,0)))))</f>
        <v/>
      </c>
      <c r="X109" s="22">
        <f>C109+T109-V109</f>
        <v/>
      </c>
      <c r="Y109" s="30">
        <f>O109*Parameters!$B$10/60*Parameters!$B$11+Q109*O109+P109</f>
        <v/>
      </c>
      <c r="Z109" s="34">
        <f>IF(U109="transition","→ Tier 3 (Galactic Arm)",IF(U109="MG","Moving Group — pocket drifts together",IF(U109="OC","Open Cluster acquired",IF(U109="PV","Peculiar Velocity — passive multiplier active",IF(U109="BiP","Binary Partner — pair bond formed",IF(AND(AU109=1,N109=0,AT109&lt;&gt;1),"Cohesion ready (waiting on completionists)","")))))) </f>
        <v/>
      </c>
      <c r="AA109" s="27">
        <f>(IF(E109=0,0,(Upgrades!$G$13+E109*Upgrades!$H$13)*POWER(Upgrades!$I$13,E109)))*(IF(Upgrades!$T$14="Stellar Kinematics",POWER(Upgrades!$U$14,F109),1)*IF(Upgrades!$T$15="Stellar Kinematics",POWER(Upgrades!$U$15,G109),1)*IF(Upgrades!$T$16="Stellar Kinematics",POWER(Upgrades!$U$16,H109),1)*IF(Upgrades!$T$17="Stellar Kinematics",POWER(Upgrades!$U$17,I109),1)*IF(Upgrades!$T$18="Stellar Kinematics",POWER(Upgrades!$U$18,J109),1)*IF(Upgrades!$T$19="Stellar Kinematics",POWER(Upgrades!$U$19,K109),1)*IF(Upgrades!$T$20="Stellar Kinematics",POWER(Upgrades!$U$20,L109),1)*IF(Upgrades!$T$21="Stellar Kinematics",POWER(Upgrades!$U$21,M109),1))*POWER(Upgrades!$P$13,E109)*POWER(Upgrades!$P$14,F109)*POWER(Upgrades!$P$15,G109)*POWER(Upgrades!$P$16,H109)*POWER(Upgrades!$P$17,I109)*POWER(Upgrades!$P$18,J109)*POWER(Upgrades!$P$19,K109)*POWER(Upgrades!$P$20,L109)*POWER(Upgrades!$P$21,M109)*$F$6*60</f>
        <v/>
      </c>
      <c r="AB109" s="27">
        <f>(IF(F109=0,0,(Upgrades!$G$14+F109*Upgrades!$H$14)*POWER(Upgrades!$I$14,F109)))*(IF(Upgrades!$T$13="Local Bubble",POWER(Upgrades!$U$13,E109),1)*IF(Upgrades!$T$15="Local Bubble",POWER(Upgrades!$U$15,G109),1)*IF(Upgrades!$T$16="Local Bubble",POWER(Upgrades!$U$16,H109),1)*IF(Upgrades!$T$17="Local Bubble",POWER(Upgrades!$U$17,I109),1)*IF(Upgrades!$T$18="Local Bubble",POWER(Upgrades!$U$18,J109),1)*IF(Upgrades!$T$19="Local Bubble",POWER(Upgrades!$U$19,K109),1)*IF(Upgrades!$T$20="Local Bubble",POWER(Upgrades!$U$20,L109),1)*IF(Upgrades!$T$21="Local Bubble",POWER(Upgrades!$U$21,M109),1))*POWER(Upgrades!$P$13,E109)*POWER(Upgrades!$P$14,F109)*POWER(Upgrades!$P$15,G109)*POWER(Upgrades!$P$16,H109)*POWER(Upgrades!$P$17,I109)*POWER(Upgrades!$P$18,J109)*POWER(Upgrades!$P$19,K109)*POWER(Upgrades!$P$20,L109)*POWER(Upgrades!$P$21,M109)*$F$6*60</f>
        <v/>
      </c>
      <c r="AC109" s="27">
        <f>(IF(G109=0,0,(Upgrades!$J$15+G109*Upgrades!$K$15)*POWER(Upgrades!$L$15,G109)))*(IF(Upgrades!$T$13="Microlensing",POWER(Upgrades!$U$13,E109),1)*IF(Upgrades!$T$14="Microlensing",POWER(Upgrades!$U$14,F109),1)*IF(Upgrades!$T$16="Microlensing",POWER(Upgrades!$U$16,H109),1)*IF(Upgrades!$T$17="Microlensing",POWER(Upgrades!$U$17,I109),1)*IF(Upgrades!$T$18="Microlensing",POWER(Upgrades!$U$18,J109),1)*IF(Upgrades!$T$19="Microlensing",POWER(Upgrades!$U$19,K109),1)*IF(Upgrades!$T$20="Microlensing",POWER(Upgrades!$U$20,L109),1)*IF(Upgrades!$T$21="Microlensing",POWER(Upgrades!$U$21,M109),1))*POWER(Upgrades!$Q$13,E109)*POWER(Upgrades!$Q$14,F109)*POWER(Upgrades!$Q$15,G109)*POWER(Upgrades!$Q$16,H109)*POWER(Upgrades!$Q$17,I109)*POWER(Upgrades!$Q$18,J109)*POWER(Upgrades!$Q$19,K109)*POWER(Upgrades!$Q$20,L109)*POWER(Upgrades!$Q$21,M109)*$G$6*(Parameters!$B$10*Parameters!$B$11+Q109*60)</f>
        <v/>
      </c>
      <c r="AD109" s="27">
        <f>(IF(H109=0,0,(Upgrades!$M$16+H109*Upgrades!$N$16)*POWER(Upgrades!$O$16,H109)))*(IF(Upgrades!$T$13="Roche Lobe Overflow",POWER(Upgrades!$U$13,E109),1)*IF(Upgrades!$T$14="Roche Lobe Overflow",POWER(Upgrades!$U$14,F109),1)*IF(Upgrades!$T$15="Roche Lobe Overflow",POWER(Upgrades!$U$15,G109),1)*IF(Upgrades!$T$17="Roche Lobe Overflow",POWER(Upgrades!$U$17,I109),1)*IF(Upgrades!$T$18="Roche Lobe Overflow",POWER(Upgrades!$U$18,J109),1)*IF(Upgrades!$T$19="Roche Lobe Overflow",POWER(Upgrades!$U$19,K109),1)*IF(Upgrades!$T$20="Roche Lobe Overflow",POWER(Upgrades!$U$20,L109),1)*IF(Upgrades!$T$21="Roche Lobe Overflow",POWER(Upgrades!$U$21,M109),1))*POWER(Upgrades!$R$13,E109)*POWER(Upgrades!$R$14,F109)*POWER(Upgrades!$R$15,G109)*POWER(Upgrades!$R$16,H109)*POWER(Upgrades!$R$17,I109)*POWER(Upgrades!$R$18,J109)*POWER(Upgrades!$R$19,K109)*POWER(Upgrades!$R$20,L109)*POWER(Upgrades!$R$21,M109)*$H$6*O109*60</f>
        <v/>
      </c>
      <c r="AE109" s="27">
        <f>(IF(I109=0,0,(Upgrades!$G$17+I109*Upgrades!$H$17)*POWER(Upgrades!$I$17,I109)))*(IF(Upgrades!$T$13="Brown Dwarf",POWER(Upgrades!$U$13,E109),1)*IF(Upgrades!$T$14="Brown Dwarf",POWER(Upgrades!$U$14,F109),1)*IF(Upgrades!$T$15="Brown Dwarf",POWER(Upgrades!$U$15,G109),1)*IF(Upgrades!$T$16="Brown Dwarf",POWER(Upgrades!$U$16,H109),1)*IF(Upgrades!$T$18="Brown Dwarf",POWER(Upgrades!$U$18,J109),1)*IF(Upgrades!$T$19="Brown Dwarf",POWER(Upgrades!$U$19,K109),1)*IF(Upgrades!$T$20="Brown Dwarf",POWER(Upgrades!$U$20,L109),1)*IF(Upgrades!$T$21="Brown Dwarf",POWER(Upgrades!$U$21,M109),1))*POWER(Upgrades!$P$13,E109)*POWER(Upgrades!$P$14,F109)*POWER(Upgrades!$P$15,G109)*POWER(Upgrades!$P$16,H109)*POWER(Upgrades!$P$17,I109)*POWER(Upgrades!$P$18,J109)*POWER(Upgrades!$P$19,K109)*POWER(Upgrades!$P$20,L109)*POWER(Upgrades!$P$21,M109)*$F$6*60</f>
        <v/>
      </c>
      <c r="AF109" s="27" t="n">
        <v>0</v>
      </c>
      <c r="AG109" s="27" t="n">
        <v>0</v>
      </c>
      <c r="AH109" s="27" t="n">
        <v>0</v>
      </c>
      <c r="AI109" s="27">
        <f>(IF(M109=0,0,(Upgrades!$G$21+M109*Upgrades!$H$21)*POWER(Upgrades!$I$21,M109)))*(IF(Upgrades!$T$13="Moving Group",POWER(Upgrades!$U$13,E109),1)*IF(Upgrades!$T$14="Moving Group",POWER(Upgrades!$U$14,F109),1)*IF(Upgrades!$T$15="Moving Group",POWER(Upgrades!$U$15,G109),1)*IF(Upgrades!$T$16="Moving Group",POWER(Upgrades!$U$16,H109),1)*IF(Upgrades!$T$17="Moving Group",POWER(Upgrades!$U$17,I109),1)*IF(Upgrades!$T$18="Moving Group",POWER(Upgrades!$U$18,J109),1)*IF(Upgrades!$T$19="Moving Group",POWER(Upgrades!$U$19,K109),1)*IF(Upgrades!$T$20="Moving Group",POWER(Upgrades!$U$20,L109),1))*POWER(Upgrades!$P$13,E109)*POWER(Upgrades!$P$14,F109)*POWER(Upgrades!$P$15,G109)*POWER(Upgrades!$P$16,H109)*POWER(Upgrades!$P$17,I109)*POWER(Upgrades!$P$18,J109)*POWER(Upgrades!$P$19,K109)*POWER(Upgrades!$P$20,L109)*POWER(Upgrades!$P$21,M109)*$F$6*60</f>
        <v/>
      </c>
      <c r="AJ109" s="27">
        <f>$C$6*60</f>
        <v/>
      </c>
      <c r="AK109" s="22">
        <f>IF(E109&gt;=Upgrades!$E$13,"",Upgrades!$C$13*POWER(Upgrades!$D$13,E109))</f>
        <v/>
      </c>
      <c r="AL109" s="22">
        <f>IF(F109&gt;=Upgrades!$E$14,"",Upgrades!$C$14*POWER(Upgrades!$D$14,F109))</f>
        <v/>
      </c>
      <c r="AM109" s="22">
        <f>IF(G109&gt;=Upgrades!$E$15,"",Upgrades!$C$15*POWER(Upgrades!$D$15,G109))</f>
        <v/>
      </c>
      <c r="AN109" s="22">
        <f>IF(H109&gt;=Upgrades!$E$16,"",Upgrades!$C$16*POWER(Upgrades!$D$16,H109))</f>
        <v/>
      </c>
      <c r="AO109" s="22">
        <f>IF(I109&gt;=Upgrades!$E$17,"",Upgrades!$C$17*POWER(Upgrades!$D$17,I109))</f>
        <v/>
      </c>
      <c r="AP109" s="22">
        <f>IF(J109&gt;=Upgrades!$E$18,"",Upgrades!$C$18*POWER(Upgrades!$D$18,J109))</f>
        <v/>
      </c>
      <c r="AQ109" s="22">
        <f>IF(K109&gt;=Upgrades!$E$19,"",Upgrades!$C$19*POWER(Upgrades!$D$19,K109))</f>
        <v/>
      </c>
      <c r="AR109" s="22">
        <f>IF(L109&gt;=Upgrades!$E$20,"",Upgrades!$C$20*POWER(Upgrades!$D$20,L109))</f>
        <v/>
      </c>
      <c r="AS109" s="22">
        <f>IF(M109&gt;=Upgrades!$E$21,"",Upgrades!$C$21*POWER(Upgrades!$D$21,M109))</f>
        <v/>
      </c>
      <c r="AT109" s="26">
        <f>IF(AND(D109&gt;=Parameters!$B$18*Parameters!$B$19,(I109&gt;=Upgrades!$E$17)*(M109&gt;=Upgrades!$E$21)=1,N109=0),1,"")</f>
        <v/>
      </c>
      <c r="AU109" s="26">
        <f>IF(AND(D109&gt;=Parameters!$B$18*Parameters!$B$19,N109=0),1,"")</f>
        <v/>
      </c>
      <c r="AV109" s="22">
        <f>MIN(IF(ISNUMBER(AP109),AP109,9E15),IF(ISNUMBER(AQ109),AQ109,9E15),IF(ISNUMBER(AR109),AR109,9E15),IF(ISNUMBER(AS109),AS109,9E15))</f>
        <v/>
      </c>
      <c r="AW109" s="22">
        <f>MIN(IF(ISNUMBER(AK109),AK109,9E15),IF(ISNUMBER(AL109),AL109,9E15),IF(ISNUMBER(AM109),AM109,9E15),IF(ISNUMBER(AN109),AN109,9E15),IF(ISNUMBER(AO109),AO109,9E15))</f>
        <v/>
      </c>
      <c r="AX109" s="29">
        <f>IF(BD109&gt;Parameters!$B$21*(MAX(IF(AND(NOT(AND(AU109=1,AT109&lt;&gt;1)),ISNUMBER(AK109),AK109&lt;=(C109+T109)),AY109,0),IF(AND(NOT(AND(AU109=1,AT109&lt;&gt;1)),ISNUMBER(AL109),AL109&lt;=(C109+T109)),AZ109,0),IF(AND(NOT(AND(AU109=1,AT109&lt;&gt;1)),ISNUMBER(AM109),AM109&lt;=(C109+T109)),BA109,0),IF(AND(NOT(AND(AU109=1,AT109&lt;&gt;1)),ISNUMBER(AN109),AN109&lt;=(C109+T109)),BB109,0),IF(AND(ISNUMBER(AO109),AO109&lt;=(C109+T109)),BC109,0))),TRUE,FALSE)</f>
        <v/>
      </c>
      <c r="AY109" s="32">
        <f>IFERROR(Upgrades!$H$13*(POWER(Upgrades!$P$13,E109)*POWER(Upgrades!$P$14,F109)*POWER(Upgrades!$P$15,G109)*POWER(Upgrades!$P$16,H109)*POWER(Upgrades!$P$17,I109)*POWER(Upgrades!$P$18,J109)*POWER(Upgrades!$P$19,K109)*POWER(Upgrades!$P$20,L109)*POWER(Upgrades!$P$21,M109))*(IF(Upgrades!$T$14="Stellar Kinematics",POWER(Upgrades!$U$14,F109),1)*IF(Upgrades!$T$15="Stellar Kinematics",POWER(Upgrades!$U$15,G109),1)*IF(Upgrades!$T$16="Stellar Kinematics",POWER(Upgrades!$U$16,H109),1)*IF(Upgrades!$T$17="Stellar Kinematics",POWER(Upgrades!$U$17,I109),1)*IF(Upgrades!$T$18="Stellar Kinematics",POWER(Upgrades!$U$18,J109),1)*IF(Upgrades!$T$19="Stellar Kinematics",POWER(Upgrades!$U$19,K109),1)*IF(Upgrades!$T$20="Stellar Kinematics",POWER(Upgrades!$U$20,L109),1)*IF(Upgrades!$T$21="Stellar Kinematics",POWER(Upgrades!$U$21,M109),1))*$F$6/AK109,0)</f>
        <v/>
      </c>
      <c r="AZ109" s="32">
        <f>IFERROR(Upgrades!$H$14*(POWER(Upgrades!$P$13,E109)*POWER(Upgrades!$P$14,F109)*POWER(Upgrades!$P$15,G109)*POWER(Upgrades!$P$16,H109)*POWER(Upgrades!$P$17,I109)*POWER(Upgrades!$P$18,J109)*POWER(Upgrades!$P$19,K109)*POWER(Upgrades!$P$20,L109)*POWER(Upgrades!$P$21,M109))*(IF(Upgrades!$T$13="Local Bubble",POWER(Upgrades!$U$13,E109),1)*IF(Upgrades!$T$15="Local Bubble",POWER(Upgrades!$U$15,G109),1)*IF(Upgrades!$T$16="Local Bubble",POWER(Upgrades!$U$16,H109),1)*IF(Upgrades!$T$17="Local Bubble",POWER(Upgrades!$U$17,I109),1)*IF(Upgrades!$T$18="Local Bubble",POWER(Upgrades!$U$18,J109),1)*IF(Upgrades!$T$19="Local Bubble",POWER(Upgrades!$U$19,K109),1)*IF(Upgrades!$T$20="Local Bubble",POWER(Upgrades!$U$20,L109),1)*IF(Upgrades!$T$21="Local Bubble",POWER(Upgrades!$U$21,M109),1))*$F$6/AL109,0)</f>
        <v/>
      </c>
      <c r="BA109" s="32">
        <f>IFERROR(Upgrades!$K$15*(POWER(Upgrades!$Q$13,E109)*POWER(Upgrades!$Q$14,F109)*POWER(Upgrades!$Q$15,G109)*POWER(Upgrades!$Q$16,H109)*POWER(Upgrades!$Q$17,I109)*POWER(Upgrades!$Q$18,J109)*POWER(Upgrades!$Q$19,K109)*POWER(Upgrades!$Q$20,L109)*POWER(Upgrades!$Q$21,M109))*(IF(Upgrades!$T$13="Microlensing",POWER(Upgrades!$U$13,E109),1)*IF(Upgrades!$T$14="Microlensing",POWER(Upgrades!$U$14,F109),1)*IF(Upgrades!$T$16="Microlensing",POWER(Upgrades!$U$16,H109),1)*IF(Upgrades!$T$17="Microlensing",POWER(Upgrades!$U$17,I109),1)*IF(Upgrades!$T$18="Microlensing",POWER(Upgrades!$U$18,J109),1)*IF(Upgrades!$T$19="Microlensing",POWER(Upgrades!$U$19,K109),1)*IF(Upgrades!$T$20="Microlensing",POWER(Upgrades!$U$20,L109),1)*IF(Upgrades!$T$21="Microlensing",POWER(Upgrades!$U$21,M109),1))*$G$6*(Parameters!$B$10/60*Parameters!$B$11+Q109)/AM109,0)</f>
        <v/>
      </c>
      <c r="BB109" s="32">
        <f>IFERROR((Upgrades!$N$16*(POWER(Upgrades!$R$13,E109)*POWER(Upgrades!$R$14,F109)*POWER(Upgrades!$R$15,G109)*POWER(Upgrades!$R$16,H109)*POWER(Upgrades!$R$17,I109)*POWER(Upgrades!$R$18,J109)*POWER(Upgrades!$R$19,K109)*POWER(Upgrades!$R$20,L109)*POWER(Upgrades!$R$21,M109))*(IF(Upgrades!$T$13="Roche Lobe Overflow",POWER(Upgrades!$U$13,E109),1)*IF(Upgrades!$T$14="Roche Lobe Overflow",POWER(Upgrades!$U$14,F109),1)*IF(Upgrades!$T$15="Roche Lobe Overflow",POWER(Upgrades!$U$15,G109),1)*IF(Upgrades!$T$17="Roche Lobe Overflow",POWER(Upgrades!$U$17,I109),1)*IF(Upgrades!$T$18="Roche Lobe Overflow",POWER(Upgrades!$U$18,J109),1)*IF(Upgrades!$T$19="Roche Lobe Overflow",POWER(Upgrades!$U$19,K109),1)*IF(Upgrades!$T$20="Roche Lobe Overflow",POWER(Upgrades!$U$20,L109),1)*IF(Upgrades!$T$21="Roche Lobe Overflow",POWER(Upgrades!$U$21,M109),1))*$H$6*O109+((IF(F109=0,0,(Upgrades!$G$14+F109*Upgrades!$H$14)*POWER(Upgrades!$I$14,F109)))*(IF(Upgrades!$T$13="Local Bubble",POWER(Upgrades!$U$13,E109),1)*IF(Upgrades!$T$15="Local Bubble",POWER(Upgrades!$U$15,G109),1)*IF(Upgrades!$T$16="Local Bubble",POWER(Upgrades!$U$16,H109),1)*IF(Upgrades!$T$17="Local Bubble",POWER(Upgrades!$U$17,I109),1)*IF(Upgrades!$T$18="Local Bubble",POWER(Upgrades!$U$18,J109),1)*IF(Upgrades!$T$19="Local Bubble",POWER(Upgrades!$U$19,K109),1)*IF(Upgrades!$T$20="Local Bubble",POWER(Upgrades!$U$20,L109),1)*IF(Upgrades!$T$21="Local Bubble",POWER(Upgrades!$U$21,M109),1))*POWER(Upgrades!$P$13,E109)*POWER(Upgrades!$P$14,F109)*POWER(Upgrades!$P$15,G109)*POWER(Upgrades!$P$16,H109)*POWER(Upgrades!$P$17,I109)*POWER(Upgrades!$P$18,J109)*POWER(Upgrades!$P$19,K109)*POWER(Upgrades!$P$20,L109)*POWER(Upgrades!$P$21,M109)*$F$6)*0.05)/AN109,0)</f>
        <v/>
      </c>
      <c r="BC109" s="32">
        <f>IFERROR((Upgrades!$H$17*(POWER(Upgrades!$P$13,E109)*POWER(Upgrades!$P$14,F109)*POWER(Upgrades!$P$15,G109)*POWER(Upgrades!$P$16,H109)*POWER(Upgrades!$P$17,I109)*POWER(Upgrades!$P$18,J109)*POWER(Upgrades!$P$19,K109)*POWER(Upgrades!$P$20,L109)*POWER(Upgrades!$P$21,M109))*(IF(Upgrades!$T$13="Brown Dwarf",POWER(Upgrades!$U$13,E109),1)*IF(Upgrades!$T$14="Brown Dwarf",POWER(Upgrades!$U$14,F109),1)*IF(Upgrades!$T$15="Brown Dwarf",POWER(Upgrades!$U$15,G109),1)*IF(Upgrades!$T$16="Brown Dwarf",POWER(Upgrades!$U$16,H109),1)*IF(Upgrades!$T$18="Brown Dwarf",POWER(Upgrades!$U$18,J109),1)*IF(Upgrades!$T$19="Brown Dwarf",POWER(Upgrades!$U$19,K109),1)*IF(Upgrades!$T$20="Brown Dwarf",POWER(Upgrades!$U$20,L109),1)*IF(Upgrades!$T$21="Brown Dwarf",POWER(Upgrades!$U$21,M109),1))*$F$6+(((IF(H109=0,0,(Upgrades!$M$16+H109*Upgrades!$N$16)*POWER(Upgrades!$O$16,H109)))*(IF(Upgrades!$T$13="Roche Lobe Overflow",POWER(Upgrades!$U$13,E109),1)*IF(Upgrades!$T$14="Roche Lobe Overflow",POWER(Upgrades!$U$14,F109),1)*IF(Upgrades!$T$15="Roche Lobe Overflow",POWER(Upgrades!$U$15,G109),1)*IF(Upgrades!$T$17="Roche Lobe Overflow",POWER(Upgrades!$U$17,I109),1)*IF(Upgrades!$T$18="Roche Lobe Overflow",POWER(Upgrades!$U$18,J109),1)*IF(Upgrades!$T$19="Roche Lobe Overflow",POWER(Upgrades!$U$19,K109),1)*IF(Upgrades!$T$20="Roche Lobe Overflow",POWER(Upgrades!$U$20,L109),1)*IF(Upgrades!$T$21="Roche Lobe Overflow",POWER(Upgrades!$U$21,M109),1))*POWER(Upgrades!$R$13,E109)*POWER(Upgrades!$R$14,F109)*POWER(Upgrades!$R$15,G109)*POWER(Upgrades!$R$16,H109)*POWER(Upgrades!$R$17,I109)*POWER(Upgrades!$R$18,J109)*POWER(Upgrades!$R$19,K109)*POWER(Upgrades!$R$20,L109)*POWER(Upgrades!$R$21,M109)*$H$6)*O109)*0.10)/AO109,0)</f>
        <v/>
      </c>
      <c r="BD109" s="32">
        <f>MAX(IF(J109&gt;0,0,IFERROR(0.5*((IF(G109=0,0,(Upgrades!$J$15+G109*Upgrades!$K$15)*POWER(Upgrades!$L$15,G109)))*(IF(Upgrades!$T$13="Microlensing",POWER(Upgrades!$U$13,E109),1)*IF(Upgrades!$T$14="Microlensing",POWER(Upgrades!$U$14,F109),1)*IF(Upgrades!$T$16="Microlensing",POWER(Upgrades!$U$16,H109),1)*IF(Upgrades!$T$17="Microlensing",POWER(Upgrades!$U$17,I109),1)*IF(Upgrades!$T$18="Microlensing",POWER(Upgrades!$U$18,J109),1)*IF(Upgrades!$T$19="Microlensing",POWER(Upgrades!$U$19,K109),1)*IF(Upgrades!$T$20="Microlensing",POWER(Upgrades!$U$20,L109),1)*IF(Upgrades!$T$21="Microlensing",POWER(Upgrades!$U$21,M109),1))*(POWER(Upgrades!$Q$13,E109)*POWER(Upgrades!$Q$14,F109)*POWER(Upgrades!$Q$15,G109)*POWER(Upgrades!$Q$16,H109)*POWER(Upgrades!$Q$17,I109)*POWER(Upgrades!$Q$18,J109)*POWER(Upgrades!$Q$19,K109)*POWER(Upgrades!$Q$20,L109)*POWER(Upgrades!$Q$21,M109))*$G$6*(Parameters!$B$10/60*Parameters!$B$11+Q109))/Upgrades!$C$18,0)),IF(K109&gt;0,0,IFERROR(0.30*P109/Upgrades!$C$19,0)),IF(L109&gt;0,0,IFERROR(0.0001/Upgrades!$C$20,0)),IF(M109&gt;0,0,IFERROR((6.0*(POWER(Upgrades!$P$13,E109)*POWER(Upgrades!$P$14,F109)*POWER(Upgrades!$P$15,G109)*POWER(Upgrades!$P$16,H109)*POWER(Upgrades!$P$17,I109)*POWER(Upgrades!$P$18,J109)*POWER(Upgrades!$P$19,K109)*POWER(Upgrades!$P$20,L109)*POWER(Upgrades!$P$21,M109))*$F$6+0.20*O109*(Parameters!$B$10/60*Parameters!$B$11+Q109))/Upgrades!$C$21,0)),IF(AND(ISNUMBER(AK109),AK109&gt;(C109+T109)),AY109,0),IF(AND(ISNUMBER(AL109),AL109&gt;(C109+T109)),AZ109,0),IF(AND(ISNUMBER(AM109),AM109&gt;(C109+T109)),BA109,0),IF(AND(ISNUMBER(AN109),AN109&gt;(C109+T109)),BB109,0),IF(AND(ISNUMBER(AO109),AO109&gt;(C109+T109)),BC109,0))</f>
        <v/>
      </c>
      <c r="BE109" s="29">
        <f>IF(AT109=1,"transition",IF(MIN(IF(AND(J109=0,ISNUMBER(AP109),AP109&lt;=(C109+T109)),AP109,9E15),IF(AND(K109=0,ISNUMBER(AQ109),AQ109&lt;=(C109+T109)),AQ109,9E15),IF(AND(L109=0,ISNUMBER(AR109),AR109&lt;=(C109+T109)),AR109,9E15),IF(AND(M109=0,ISNUMBER(AS109),AS109&lt;=(C109+T109)),AS109,9E15))&lt;9E15,IF(AND(AND(J109=0,ISNUMBER(AP109),AP109&lt;=(C109+T109)),AP109=MIN(IF(AND(J109=0,ISNUMBER(AP109),AP109&lt;=(C109+T109)),AP109,9E15),IF(AND(K109=0,ISNUMBER(AQ109),AQ109&lt;=(C109+T109)),AQ109,9E15),IF(AND(L109=0,ISNUMBER(AR109),AR109&lt;=(C109+T109)),AR109,9E15),IF(AND(M109=0,ISNUMBER(AS109),AS109&lt;=(C109+T109)),AS109,9E15))),"BiP",IF(AND(AND(K109=0,ISNUMBER(AQ109),AQ109&lt;=(C109+T109)),AQ109=MIN(IF(AND(J109=0,ISNUMBER(AP109),AP109&lt;=(C109+T109)),AP109,9E15),IF(AND(K109=0,ISNUMBER(AQ109),AQ109&lt;=(C109+T109)),AQ109,9E15),IF(AND(L109=0,ISNUMBER(AR109),AR109&lt;=(C109+T109)),AR109,9E15),IF(AND(M109=0,ISNUMBER(AS109),AS109&lt;=(C109+T109)),AS109,9E15))),"PV",IF(AND(AND(L109=0,ISNUMBER(AR109),AR109&lt;=(C109+T109)),AR109=MIN(IF(AND(J109=0,ISNUMBER(AP109),AP109&lt;=(C109+T109)),AP109,9E15),IF(AND(K109=0,ISNUMBER(AQ109),AQ109&lt;=(C109+T109)),AQ109,9E15),IF(AND(L109=0,ISNUMBER(AR109),AR109&lt;=(C109+T109)),AR109,9E15),IF(AND(M109=0,ISNUMBER(AS109),AS109&lt;=(C109+T109)),AS109,9E15))),"OC","MG"))),IF(AX109=TRUE,"",IF(MAX(IF(AND(NOT(AND(AU109=1,AT109&lt;&gt;1)),ISNUMBER(AK109),AK109&lt;=(C109+T109)),AY109,0),IF(AND(NOT(AND(AU109=1,AT109&lt;&gt;1)),ISNUMBER(AL109),AL109&lt;=(C109+T109)),AZ109,0),IF(AND(NOT(AND(AU109=1,AT109&lt;&gt;1)),ISNUMBER(AM109),AM109&lt;=(C109+T109)),BA109,0),IF(AND(NOT(AND(AU109=1,AT109&lt;&gt;1)),ISNUMBER(AN109),AN109&lt;=(C109+T109)),BB109,0),IF(AND(ISNUMBER(AO109),AO109&lt;=(C109+T109)),BC109,0))&lt;=0,"",IF(AND(IF(AND(NOT(AND(AU109=1,AT109&lt;&gt;1)),ISNUMBER(AK109),AK109&lt;=(C109+T109)),AY109,0)&gt;0,IF(AND(NOT(AND(AU109=1,AT109&lt;&gt;1)),ISNUMBER(AK109),AK109&lt;=(C109+T109)),AY109,0)=MAX(IF(AND(NOT(AND(AU109=1,AT109&lt;&gt;1)),ISNUMBER(AK109),AK109&lt;=(C109+T109)),AY109,0),IF(AND(NOT(AND(AU109=1,AT109&lt;&gt;1)),ISNUMBER(AL109),AL109&lt;=(C109+T109)),AZ109,0),IF(AND(NOT(AND(AU109=1,AT109&lt;&gt;1)),ISNUMBER(AM109),AM109&lt;=(C109+T109)),BA109,0),IF(AND(NOT(AND(AU109=1,AT109&lt;&gt;1)),ISNUMBER(AN109),AN109&lt;=(C109+T109)),BB109,0),IF(AND(ISNUMBER(AO109),AO109&lt;=(C109+T109)),BC109,0))),"SK",IF(AND(IF(AND(NOT(AND(AU109=1,AT109&lt;&gt;1)),ISNUMBER(AL109),AL109&lt;=(C109+T109)),AZ109,0)&gt;0,IF(AND(NOT(AND(AU109=1,AT109&lt;&gt;1)),ISNUMBER(AL109),AL109&lt;=(C109+T109)),AZ109,0)=MAX(IF(AND(NOT(AND(AU109=1,AT109&lt;&gt;1)),ISNUMBER(AK109),AK109&lt;=(C109+T109)),AY109,0),IF(AND(NOT(AND(AU109=1,AT109&lt;&gt;1)),ISNUMBER(AL109),AL109&lt;=(C109+T109)),AZ109,0),IF(AND(NOT(AND(AU109=1,AT109&lt;&gt;1)),ISNUMBER(AM109),AM109&lt;=(C109+T109)),BA109,0),IF(AND(NOT(AND(AU109=1,AT109&lt;&gt;1)),ISNUMBER(AN109),AN109&lt;=(C109+T109)),BB109,0),IF(AND(ISNUMBER(AO109),AO109&lt;=(C109+T109)),BC109,0))),"LB",IF(AND(IF(AND(NOT(AND(AU109=1,AT109&lt;&gt;1)),ISNUMBER(AM109),AM109&lt;=(C109+T109)),BA109,0)&gt;0,IF(AND(NOT(AND(AU109=1,AT109&lt;&gt;1)),ISNUMBER(AM109),AM109&lt;=(C109+T109)),BA109,0)=MAX(IF(AND(NOT(AND(AU109=1,AT109&lt;&gt;1)),ISNUMBER(AK109),AK109&lt;=(C109+T109)),AY109,0),IF(AND(NOT(AND(AU109=1,AT109&lt;&gt;1)),ISNUMBER(AL109),AL109&lt;=(C109+T109)),AZ109,0),IF(AND(NOT(AND(AU109=1,AT109&lt;&gt;1)),ISNUMBER(AM109),AM109&lt;=(C109+T109)),BA109,0),IF(AND(NOT(AND(AU109=1,AT109&lt;&gt;1)),ISNUMBER(AN109),AN109&lt;=(C109+T109)),BB109,0),IF(AND(ISNUMBER(AO109),AO109&lt;=(C109+T109)),BC109,0))),"ML",IF(AND(IF(AND(NOT(AND(AU109=1,AT109&lt;&gt;1)),ISNUMBER(AN109),AN109&lt;=(C109+T109)),BB109,0)&gt;0,IF(AND(NOT(AND(AU109=1,AT109&lt;&gt;1)),ISNUMBER(AN109),AN109&lt;=(C109+T109)),BB109,0)=MAX(IF(AND(NOT(AND(AU109=1,AT109&lt;&gt;1)),ISNUMBER(AK109),AK109&lt;=(C109+T109)),AY109,0),IF(AND(NOT(AND(AU109=1,AT109&lt;&gt;1)),ISNUMBER(AL109),AL109&lt;=(C109+T109)),AZ109,0),IF(AND(NOT(AND(AU109=1,AT109&lt;&gt;1)),ISNUMBER(AM109),AM109&lt;=(C109+T109)),BA109,0),IF(AND(NOT(AND(AU109=1,AT109&lt;&gt;1)),ISNUMBER(AN109),AN109&lt;=(C109+T109)),BB109,0),IF(AND(ISNUMBER(AO109),AO109&lt;=(C109+T109)),BC109,0))),"RLO","BD"))))))))</f>
        <v/>
      </c>
    </row>
    <row r="110">
      <c r="A110" s="26" t="n">
        <v>99</v>
      </c>
      <c r="B110" s="27">
        <f>A110*10/60</f>
        <v/>
      </c>
      <c r="C110" s="22">
        <f>X109</f>
        <v/>
      </c>
      <c r="D110" s="27">
        <f>D109+W109</f>
        <v/>
      </c>
      <c r="E110" s="26">
        <f>E109+IF(U109="SK",1,0)</f>
        <v/>
      </c>
      <c r="F110" s="26">
        <f>F109+IF(U109="LB",1,0)</f>
        <v/>
      </c>
      <c r="G110" s="26">
        <f>G109+IF(U109="ML",1,0)</f>
        <v/>
      </c>
      <c r="H110" s="26">
        <f>H109+IF(U109="RLO",1,0)</f>
        <v/>
      </c>
      <c r="I110" s="26">
        <f>I109+IF(U109="BD",1,0)</f>
        <v/>
      </c>
      <c r="J110" s="26">
        <f>MAX(J109,IF(U109="BiP",1,0))</f>
        <v/>
      </c>
      <c r="K110" s="26">
        <f>MAX(K109,IF(U109="PV",1,0))</f>
        <v/>
      </c>
      <c r="L110" s="26">
        <f>MAX(L109,IF(U109="OC",1,0))</f>
        <v/>
      </c>
      <c r="M110" s="26">
        <f>MAX(M109,IF(U109="MG",1,0))</f>
        <v/>
      </c>
      <c r="N110" s="26">
        <f>MAX(N109,IF(U109="transition",1,0))</f>
        <v/>
      </c>
      <c r="O110" s="28">
        <f>(Parameters!$B$9+(IF(E110=0,0,(Upgrades!$J$13+E110*Upgrades!$K$13)*POWER(Upgrades!$L$13,E110)))*(IF(Upgrades!$T$14="Stellar Kinematics",POWER(Upgrades!$U$14,F110),1)*IF(Upgrades!$T$15="Stellar Kinematics",POWER(Upgrades!$U$15,G110),1)*IF(Upgrades!$T$16="Stellar Kinematics",POWER(Upgrades!$U$16,H110),1)*IF(Upgrades!$T$17="Stellar Kinematics",POWER(Upgrades!$U$17,I110),1)*IF(Upgrades!$T$18="Stellar Kinematics",POWER(Upgrades!$U$18,J110),1)*IF(Upgrades!$T$19="Stellar Kinematics",POWER(Upgrades!$U$19,K110),1)*IF(Upgrades!$T$20="Stellar Kinematics",POWER(Upgrades!$U$20,L110),1)*IF(Upgrades!$T$21="Stellar Kinematics",POWER(Upgrades!$U$21,M110),1))+(IF(F110=0,0,(Upgrades!$J$14+F110*Upgrades!$K$14)*POWER(Upgrades!$L$14,F110)))*(IF(Upgrades!$T$13="Local Bubble",POWER(Upgrades!$U$13,E110),1)*IF(Upgrades!$T$15="Local Bubble",POWER(Upgrades!$U$15,G110),1)*IF(Upgrades!$T$16="Local Bubble",POWER(Upgrades!$U$16,H110),1)*IF(Upgrades!$T$17="Local Bubble",POWER(Upgrades!$U$17,I110),1)*IF(Upgrades!$T$18="Local Bubble",POWER(Upgrades!$U$18,J110),1)*IF(Upgrades!$T$19="Local Bubble",POWER(Upgrades!$U$19,K110),1)*IF(Upgrades!$T$20="Local Bubble",POWER(Upgrades!$U$20,L110),1)*IF(Upgrades!$T$21="Local Bubble",POWER(Upgrades!$U$21,M110),1))+(IF(G110=0,0,(Upgrades!$J$15+G110*Upgrades!$K$15)*POWER(Upgrades!$L$15,G110)))*(IF(Upgrades!$T$13="Microlensing",POWER(Upgrades!$U$13,E110),1)*IF(Upgrades!$T$14="Microlensing",POWER(Upgrades!$U$14,F110),1)*IF(Upgrades!$T$16="Microlensing",POWER(Upgrades!$U$16,H110),1)*IF(Upgrades!$T$17="Microlensing",POWER(Upgrades!$U$17,I110),1)*IF(Upgrades!$T$18="Microlensing",POWER(Upgrades!$U$18,J110),1)*IF(Upgrades!$T$19="Microlensing",POWER(Upgrades!$U$19,K110),1)*IF(Upgrades!$T$20="Microlensing",POWER(Upgrades!$U$20,L110),1)*IF(Upgrades!$T$21="Microlensing",POWER(Upgrades!$U$21,M110),1))+(IF(H110=0,0,(Upgrades!$J$16+H110*Upgrades!$K$16)*POWER(Upgrades!$L$16,H110)))*(IF(Upgrades!$T$13="Roche Lobe Overflow",POWER(Upgrades!$U$13,E110),1)*IF(Upgrades!$T$14="Roche Lobe Overflow",POWER(Upgrades!$U$14,F110),1)*IF(Upgrades!$T$15="Roche Lobe Overflow",POWER(Upgrades!$U$15,G110),1)*IF(Upgrades!$T$17="Roche Lobe Overflow",POWER(Upgrades!$U$17,I110),1)*IF(Upgrades!$T$18="Roche Lobe Overflow",POWER(Upgrades!$U$18,J110),1)*IF(Upgrades!$T$19="Roche Lobe Overflow",POWER(Upgrades!$U$19,K110),1)*IF(Upgrades!$T$20="Roche Lobe Overflow",POWER(Upgrades!$U$20,L110),1)*IF(Upgrades!$T$21="Roche Lobe Overflow",POWER(Upgrades!$U$21,M110),1))+(IF(I110=0,0,(Upgrades!$J$17+I110*Upgrades!$K$17)*POWER(Upgrades!$L$17,I110)))*(IF(Upgrades!$T$13="Brown Dwarf",POWER(Upgrades!$U$13,E110),1)*IF(Upgrades!$T$14="Brown Dwarf",POWER(Upgrades!$U$14,F110),1)*IF(Upgrades!$T$15="Brown Dwarf",POWER(Upgrades!$U$15,G110),1)*IF(Upgrades!$T$16="Brown Dwarf",POWER(Upgrades!$U$16,H110),1)*IF(Upgrades!$T$18="Brown Dwarf",POWER(Upgrades!$U$18,J110),1)*IF(Upgrades!$T$19="Brown Dwarf",POWER(Upgrades!$U$19,K110),1)*IF(Upgrades!$T$20="Brown Dwarf",POWER(Upgrades!$U$20,L110),1)*IF(Upgrades!$T$21="Brown Dwarf",POWER(Upgrades!$U$21,M110),1))+(IF(J110=0,0,(Upgrades!$J$18+J110*Upgrades!$K$18)*POWER(Upgrades!$L$18,J110)))*(IF(Upgrades!$T$13="Binary Partner",POWER(Upgrades!$U$13,E110),1)*IF(Upgrades!$T$14="Binary Partner",POWER(Upgrades!$U$14,F110),1)*IF(Upgrades!$T$15="Binary Partner",POWER(Upgrades!$U$15,G110),1)*IF(Upgrades!$T$16="Binary Partner",POWER(Upgrades!$U$16,H110),1)*IF(Upgrades!$T$17="Binary Partner",POWER(Upgrades!$U$17,I110),1)*IF(Upgrades!$T$19="Binary Partner",POWER(Upgrades!$U$19,K110),1)*IF(Upgrades!$T$20="Binary Partner",POWER(Upgrades!$U$20,L110),1)*IF(Upgrades!$T$21="Binary Partner",POWER(Upgrades!$U$21,M110),1))+(IF(K110=0,0,(Upgrades!$J$19+K110*Upgrades!$K$19)*POWER(Upgrades!$L$19,K110)))*(IF(Upgrades!$T$13="Peculiar Velocity",POWER(Upgrades!$U$13,E110),1)*IF(Upgrades!$T$14="Peculiar Velocity",POWER(Upgrades!$U$14,F110),1)*IF(Upgrades!$T$15="Peculiar Velocity",POWER(Upgrades!$U$15,G110),1)*IF(Upgrades!$T$16="Peculiar Velocity",POWER(Upgrades!$U$16,H110),1)*IF(Upgrades!$T$17="Peculiar Velocity",POWER(Upgrades!$U$17,I110),1)*IF(Upgrades!$T$18="Peculiar Velocity",POWER(Upgrades!$U$18,J110),1)*IF(Upgrades!$T$20="Peculiar Velocity",POWER(Upgrades!$U$20,L110),1)*IF(Upgrades!$T$21="Peculiar Velocity",POWER(Upgrades!$U$21,M110),1))+(IF(L110=0,0,(Upgrades!$J$20+L110*Upgrades!$K$20)*POWER(Upgrades!$L$20,L110)))*(IF(Upgrades!$T$13="Open Cluster",POWER(Upgrades!$U$13,E110),1)*IF(Upgrades!$T$14="Open Cluster",POWER(Upgrades!$U$14,F110),1)*IF(Upgrades!$T$15="Open Cluster",POWER(Upgrades!$U$15,G110),1)*IF(Upgrades!$T$16="Open Cluster",POWER(Upgrades!$U$16,H110),1)*IF(Upgrades!$T$17="Open Cluster",POWER(Upgrades!$U$17,I110),1)*IF(Upgrades!$T$18="Open Cluster",POWER(Upgrades!$U$18,J110),1)*IF(Upgrades!$T$19="Open Cluster",POWER(Upgrades!$U$19,K110),1)*IF(Upgrades!$T$21="Open Cluster",POWER(Upgrades!$U$21,M110),1))+(IF(M110=0,0,(Upgrades!$J$21+M110*Upgrades!$K$21)*POWER(Upgrades!$L$21,M110)))*(IF(Upgrades!$T$13="Moving Group",POWER(Upgrades!$U$13,E110),1)*IF(Upgrades!$T$14="Moving Group",POWER(Upgrades!$U$14,F110),1)*IF(Upgrades!$T$15="Moving Group",POWER(Upgrades!$U$15,G110),1)*IF(Upgrades!$T$16="Moving Group",POWER(Upgrades!$U$16,H110),1)*IF(Upgrades!$T$17="Moving Group",POWER(Upgrades!$U$17,I110),1)*IF(Upgrades!$T$18="Moving Group",POWER(Upgrades!$U$18,J110),1)*IF(Upgrades!$T$19="Moving Group",POWER(Upgrades!$U$19,K110),1)*IF(Upgrades!$T$20="Moving Group",POWER(Upgrades!$U$20,L110),1)))*POWER(Upgrades!$Q$13,E110)*POWER(Upgrades!$Q$14,F110)*POWER(Upgrades!$Q$15,G110)*POWER(Upgrades!$Q$16,H110)*POWER(Upgrades!$Q$17,I110)*POWER(Upgrades!$Q$18,J110)*POWER(Upgrades!$Q$19,K110)*POWER(Upgrades!$Q$20,L110)*POWER(Upgrades!$Q$21,M110)*$G$6+$D$6</f>
        <v/>
      </c>
      <c r="P110" s="28">
        <f>((IF(E110=0,0,(Upgrades!$G$13+E110*Upgrades!$H$13)*POWER(Upgrades!$I$13,E110)))*(IF(Upgrades!$T$14="Stellar Kinematics",POWER(Upgrades!$U$14,F110),1)*IF(Upgrades!$T$15="Stellar Kinematics",POWER(Upgrades!$U$15,G110),1)*IF(Upgrades!$T$16="Stellar Kinematics",POWER(Upgrades!$U$16,H110),1)*IF(Upgrades!$T$17="Stellar Kinematics",POWER(Upgrades!$U$17,I110),1)*IF(Upgrades!$T$18="Stellar Kinematics",POWER(Upgrades!$U$18,J110),1)*IF(Upgrades!$T$19="Stellar Kinematics",POWER(Upgrades!$U$19,K110),1)*IF(Upgrades!$T$20="Stellar Kinematics",POWER(Upgrades!$U$20,L110),1)*IF(Upgrades!$T$21="Stellar Kinematics",POWER(Upgrades!$U$21,M110),1))+(IF(F110=0,0,(Upgrades!$G$14+F110*Upgrades!$H$14)*POWER(Upgrades!$I$14,F110)))*(IF(Upgrades!$T$13="Local Bubble",POWER(Upgrades!$U$13,E110),1)*IF(Upgrades!$T$15="Local Bubble",POWER(Upgrades!$U$15,G110),1)*IF(Upgrades!$T$16="Local Bubble",POWER(Upgrades!$U$16,H110),1)*IF(Upgrades!$T$17="Local Bubble",POWER(Upgrades!$U$17,I110),1)*IF(Upgrades!$T$18="Local Bubble",POWER(Upgrades!$U$18,J110),1)*IF(Upgrades!$T$19="Local Bubble",POWER(Upgrades!$U$19,K110),1)*IF(Upgrades!$T$20="Local Bubble",POWER(Upgrades!$U$20,L110),1)*IF(Upgrades!$T$21="Local Bubble",POWER(Upgrades!$U$21,M110),1))+(IF(G110=0,0,(Upgrades!$G$15+G110*Upgrades!$H$15)*POWER(Upgrades!$I$15,G110)))*(IF(Upgrades!$T$13="Microlensing",POWER(Upgrades!$U$13,E110),1)*IF(Upgrades!$T$14="Microlensing",POWER(Upgrades!$U$14,F110),1)*IF(Upgrades!$T$16="Microlensing",POWER(Upgrades!$U$16,H110),1)*IF(Upgrades!$T$17="Microlensing",POWER(Upgrades!$U$17,I110),1)*IF(Upgrades!$T$18="Microlensing",POWER(Upgrades!$U$18,J110),1)*IF(Upgrades!$T$19="Microlensing",POWER(Upgrades!$U$19,K110),1)*IF(Upgrades!$T$20="Microlensing",POWER(Upgrades!$U$20,L110),1)*IF(Upgrades!$T$21="Microlensing",POWER(Upgrades!$U$21,M110),1))+(IF(H110=0,0,(Upgrades!$G$16+H110*Upgrades!$H$16)*POWER(Upgrades!$I$16,H110)))*(IF(Upgrades!$T$13="Roche Lobe Overflow",POWER(Upgrades!$U$13,E110),1)*IF(Upgrades!$T$14="Roche Lobe Overflow",POWER(Upgrades!$U$14,F110),1)*IF(Upgrades!$T$15="Roche Lobe Overflow",POWER(Upgrades!$U$15,G110),1)*IF(Upgrades!$T$17="Roche Lobe Overflow",POWER(Upgrades!$U$17,I110),1)*IF(Upgrades!$T$18="Roche Lobe Overflow",POWER(Upgrades!$U$18,J110),1)*IF(Upgrades!$T$19="Roche Lobe Overflow",POWER(Upgrades!$U$19,K110),1)*IF(Upgrades!$T$20="Roche Lobe Overflow",POWER(Upgrades!$U$20,L110),1)*IF(Upgrades!$T$21="Roche Lobe Overflow",POWER(Upgrades!$U$21,M110),1))+(IF(I110=0,0,(Upgrades!$G$17+I110*Upgrades!$H$17)*POWER(Upgrades!$I$17,I110)))*(IF(Upgrades!$T$13="Brown Dwarf",POWER(Upgrades!$U$13,E110),1)*IF(Upgrades!$T$14="Brown Dwarf",POWER(Upgrades!$U$14,F110),1)*IF(Upgrades!$T$15="Brown Dwarf",POWER(Upgrades!$U$15,G110),1)*IF(Upgrades!$T$16="Brown Dwarf",POWER(Upgrades!$U$16,H110),1)*IF(Upgrades!$T$18="Brown Dwarf",POWER(Upgrades!$U$18,J110),1)*IF(Upgrades!$T$19="Brown Dwarf",POWER(Upgrades!$U$19,K110),1)*IF(Upgrades!$T$20="Brown Dwarf",POWER(Upgrades!$U$20,L110),1)*IF(Upgrades!$T$21="Brown Dwarf",POWER(Upgrades!$U$21,M110),1))+(IF(J110=0,0,(Upgrades!$G$18+J110*Upgrades!$H$18)*POWER(Upgrades!$I$18,J110)))*(IF(Upgrades!$T$13="Binary Partner",POWER(Upgrades!$U$13,E110),1)*IF(Upgrades!$T$14="Binary Partner",POWER(Upgrades!$U$14,F110),1)*IF(Upgrades!$T$15="Binary Partner",POWER(Upgrades!$U$15,G110),1)*IF(Upgrades!$T$16="Binary Partner",POWER(Upgrades!$U$16,H110),1)*IF(Upgrades!$T$17="Binary Partner",POWER(Upgrades!$U$17,I110),1)*IF(Upgrades!$T$19="Binary Partner",POWER(Upgrades!$U$19,K110),1)*IF(Upgrades!$T$20="Binary Partner",POWER(Upgrades!$U$20,L110),1)*IF(Upgrades!$T$21="Binary Partner",POWER(Upgrades!$U$21,M110),1))+(IF(K110=0,0,(Upgrades!$G$19+K110*Upgrades!$H$19)*POWER(Upgrades!$I$19,K110)))*(IF(Upgrades!$T$13="Peculiar Velocity",POWER(Upgrades!$U$13,E110),1)*IF(Upgrades!$T$14="Peculiar Velocity",POWER(Upgrades!$U$14,F110),1)*IF(Upgrades!$T$15="Peculiar Velocity",POWER(Upgrades!$U$15,G110),1)*IF(Upgrades!$T$16="Peculiar Velocity",POWER(Upgrades!$U$16,H110),1)*IF(Upgrades!$T$17="Peculiar Velocity",POWER(Upgrades!$U$17,I110),1)*IF(Upgrades!$T$18="Peculiar Velocity",POWER(Upgrades!$U$18,J110),1)*IF(Upgrades!$T$20="Peculiar Velocity",POWER(Upgrades!$U$20,L110),1)*IF(Upgrades!$T$21="Peculiar Velocity",POWER(Upgrades!$U$21,M110),1))+(IF(L110=0,0,(Upgrades!$G$20+L110*Upgrades!$H$20)*POWER(Upgrades!$I$20,L110)))*(IF(Upgrades!$T$13="Open Cluster",POWER(Upgrades!$U$13,E110),1)*IF(Upgrades!$T$14="Open Cluster",POWER(Upgrades!$U$14,F110),1)*IF(Upgrades!$T$15="Open Cluster",POWER(Upgrades!$U$15,G110),1)*IF(Upgrades!$T$16="Open Cluster",POWER(Upgrades!$U$16,H110),1)*IF(Upgrades!$T$17="Open Cluster",POWER(Upgrades!$U$17,I110),1)*IF(Upgrades!$T$18="Open Cluster",POWER(Upgrades!$U$18,J110),1)*IF(Upgrades!$T$19="Open Cluster",POWER(Upgrades!$U$19,K110),1)*IF(Upgrades!$T$21="Open Cluster",POWER(Upgrades!$U$21,M110),1))+(IF(M110=0,0,(Upgrades!$G$21+M110*Upgrades!$H$21)*POWER(Upgrades!$I$21,M110)))*(IF(Upgrades!$T$13="Moving Group",POWER(Upgrades!$U$13,E110),1)*IF(Upgrades!$T$14="Moving Group",POWER(Upgrades!$U$14,F110),1)*IF(Upgrades!$T$15="Moving Group",POWER(Upgrades!$U$15,G110),1)*IF(Upgrades!$T$16="Moving Group",POWER(Upgrades!$U$16,H110),1)*IF(Upgrades!$T$17="Moving Group",POWER(Upgrades!$U$17,I110),1)*IF(Upgrades!$T$18="Moving Group",POWER(Upgrades!$U$18,J110),1)*IF(Upgrades!$T$19="Moving Group",POWER(Upgrades!$U$19,K110),1)*IF(Upgrades!$T$20="Moving Group",POWER(Upgrades!$U$20,L110),1)))*POWER(Upgrades!$P$13,E110)*POWER(Upgrades!$P$14,F110)*POWER(Upgrades!$P$15,G110)*POWER(Upgrades!$P$16,H110)*POWER(Upgrades!$P$17,I110)*POWER(Upgrades!$P$18,J110)*POWER(Upgrades!$P$19,K110)*POWER(Upgrades!$P$20,L110)*POWER(Upgrades!$P$21,M110)*$F$6+$C$6</f>
        <v/>
      </c>
      <c r="Q110" s="28">
        <f>((IF(E110=0,0,(Upgrades!$M$13+E110*Upgrades!$N$13)*POWER(Upgrades!$O$13,E110)))*(IF(Upgrades!$T$14="Stellar Kinematics",POWER(Upgrades!$U$14,F110),1)*IF(Upgrades!$T$15="Stellar Kinematics",POWER(Upgrades!$U$15,G110),1)*IF(Upgrades!$T$16="Stellar Kinematics",POWER(Upgrades!$U$16,H110),1)*IF(Upgrades!$T$17="Stellar Kinematics",POWER(Upgrades!$U$17,I110),1)*IF(Upgrades!$T$18="Stellar Kinematics",POWER(Upgrades!$U$18,J110),1)*IF(Upgrades!$T$19="Stellar Kinematics",POWER(Upgrades!$U$19,K110),1)*IF(Upgrades!$T$20="Stellar Kinematics",POWER(Upgrades!$U$20,L110),1)*IF(Upgrades!$T$21="Stellar Kinematics",POWER(Upgrades!$U$21,M110),1))+(IF(F110=0,0,(Upgrades!$M$14+F110*Upgrades!$N$14)*POWER(Upgrades!$O$14,F110)))*(IF(Upgrades!$T$13="Local Bubble",POWER(Upgrades!$U$13,E110),1)*IF(Upgrades!$T$15="Local Bubble",POWER(Upgrades!$U$15,G110),1)*IF(Upgrades!$T$16="Local Bubble",POWER(Upgrades!$U$16,H110),1)*IF(Upgrades!$T$17="Local Bubble",POWER(Upgrades!$U$17,I110),1)*IF(Upgrades!$T$18="Local Bubble",POWER(Upgrades!$U$18,J110),1)*IF(Upgrades!$T$19="Local Bubble",POWER(Upgrades!$U$19,K110),1)*IF(Upgrades!$T$20="Local Bubble",POWER(Upgrades!$U$20,L110),1)*IF(Upgrades!$T$21="Local Bubble",POWER(Upgrades!$U$21,M110),1))+(IF(G110=0,0,(Upgrades!$M$15+G110*Upgrades!$N$15)*POWER(Upgrades!$O$15,G110)))*(IF(Upgrades!$T$13="Microlensing",POWER(Upgrades!$U$13,E110),1)*IF(Upgrades!$T$14="Microlensing",POWER(Upgrades!$U$14,F110),1)*IF(Upgrades!$T$16="Microlensing",POWER(Upgrades!$U$16,H110),1)*IF(Upgrades!$T$17="Microlensing",POWER(Upgrades!$U$17,I110),1)*IF(Upgrades!$T$18="Microlensing",POWER(Upgrades!$U$18,J110),1)*IF(Upgrades!$T$19="Microlensing",POWER(Upgrades!$U$19,K110),1)*IF(Upgrades!$T$20="Microlensing",POWER(Upgrades!$U$20,L110),1)*IF(Upgrades!$T$21="Microlensing",POWER(Upgrades!$U$21,M110),1))+(IF(H110=0,0,(Upgrades!$M$16+H110*Upgrades!$N$16)*POWER(Upgrades!$O$16,H110)))*(IF(Upgrades!$T$13="Roche Lobe Overflow",POWER(Upgrades!$U$13,E110),1)*IF(Upgrades!$T$14="Roche Lobe Overflow",POWER(Upgrades!$U$14,F110),1)*IF(Upgrades!$T$15="Roche Lobe Overflow",POWER(Upgrades!$U$15,G110),1)*IF(Upgrades!$T$17="Roche Lobe Overflow",POWER(Upgrades!$U$17,I110),1)*IF(Upgrades!$T$18="Roche Lobe Overflow",POWER(Upgrades!$U$18,J110),1)*IF(Upgrades!$T$19="Roche Lobe Overflow",POWER(Upgrades!$U$19,K110),1)*IF(Upgrades!$T$20="Roche Lobe Overflow",POWER(Upgrades!$U$20,L110),1)*IF(Upgrades!$T$21="Roche Lobe Overflow",POWER(Upgrades!$U$21,M110),1))+(IF(I110=0,0,(Upgrades!$M$17+I110*Upgrades!$N$17)*POWER(Upgrades!$O$17,I110)))*(IF(Upgrades!$T$13="Brown Dwarf",POWER(Upgrades!$U$13,E110),1)*IF(Upgrades!$T$14="Brown Dwarf",POWER(Upgrades!$U$14,F110),1)*IF(Upgrades!$T$15="Brown Dwarf",POWER(Upgrades!$U$15,G110),1)*IF(Upgrades!$T$16="Brown Dwarf",POWER(Upgrades!$U$16,H110),1)*IF(Upgrades!$T$18="Brown Dwarf",POWER(Upgrades!$U$18,J110),1)*IF(Upgrades!$T$19="Brown Dwarf",POWER(Upgrades!$U$19,K110),1)*IF(Upgrades!$T$20="Brown Dwarf",POWER(Upgrades!$U$20,L110),1)*IF(Upgrades!$T$21="Brown Dwarf",POWER(Upgrades!$U$21,M110),1))+(IF(J110=0,0,(Upgrades!$M$18+J110*Upgrades!$N$18)*POWER(Upgrades!$O$18,J110)))*(IF(Upgrades!$T$13="Binary Partner",POWER(Upgrades!$U$13,E110),1)*IF(Upgrades!$T$14="Binary Partner",POWER(Upgrades!$U$14,F110),1)*IF(Upgrades!$T$15="Binary Partner",POWER(Upgrades!$U$15,G110),1)*IF(Upgrades!$T$16="Binary Partner",POWER(Upgrades!$U$16,H110),1)*IF(Upgrades!$T$17="Binary Partner",POWER(Upgrades!$U$17,I110),1)*IF(Upgrades!$T$19="Binary Partner",POWER(Upgrades!$U$19,K110),1)*IF(Upgrades!$T$20="Binary Partner",POWER(Upgrades!$U$20,L110),1)*IF(Upgrades!$T$21="Binary Partner",POWER(Upgrades!$U$21,M110),1))+(IF(K110=0,0,(Upgrades!$M$19+K110*Upgrades!$N$19)*POWER(Upgrades!$O$19,K110)))*(IF(Upgrades!$T$13="Peculiar Velocity",POWER(Upgrades!$U$13,E110),1)*IF(Upgrades!$T$14="Peculiar Velocity",POWER(Upgrades!$U$14,F110),1)*IF(Upgrades!$T$15="Peculiar Velocity",POWER(Upgrades!$U$15,G110),1)*IF(Upgrades!$T$16="Peculiar Velocity",POWER(Upgrades!$U$16,H110),1)*IF(Upgrades!$T$17="Peculiar Velocity",POWER(Upgrades!$U$17,I110),1)*IF(Upgrades!$T$18="Peculiar Velocity",POWER(Upgrades!$U$18,J110),1)*IF(Upgrades!$T$20="Peculiar Velocity",POWER(Upgrades!$U$20,L110),1)*IF(Upgrades!$T$21="Peculiar Velocity",POWER(Upgrades!$U$21,M110),1))+(IF(L110=0,0,(Upgrades!$M$20+L110*Upgrades!$N$20)*POWER(Upgrades!$O$20,L110)))*(IF(Upgrades!$T$13="Open Cluster",POWER(Upgrades!$U$13,E110),1)*IF(Upgrades!$T$14="Open Cluster",POWER(Upgrades!$U$14,F110),1)*IF(Upgrades!$T$15="Open Cluster",POWER(Upgrades!$U$15,G110),1)*IF(Upgrades!$T$16="Open Cluster",POWER(Upgrades!$U$16,H110),1)*IF(Upgrades!$T$17="Open Cluster",POWER(Upgrades!$U$17,I110),1)*IF(Upgrades!$T$18="Open Cluster",POWER(Upgrades!$U$18,J110),1)*IF(Upgrades!$T$19="Open Cluster",POWER(Upgrades!$U$19,K110),1)*IF(Upgrades!$T$21="Open Cluster",POWER(Upgrades!$U$21,M110),1))+(IF(M110=0,0,(Upgrades!$M$21+M110*Upgrades!$N$21)*POWER(Upgrades!$O$21,M110)))*(IF(Upgrades!$T$13="Moving Group",POWER(Upgrades!$U$13,E110),1)*IF(Upgrades!$T$14="Moving Group",POWER(Upgrades!$U$14,F110),1)*IF(Upgrades!$T$15="Moving Group",POWER(Upgrades!$U$15,G110),1)*IF(Upgrades!$T$16="Moving Group",POWER(Upgrades!$U$16,H110),1)*IF(Upgrades!$T$17="Moving Group",POWER(Upgrades!$U$17,I110),1)*IF(Upgrades!$T$18="Moving Group",POWER(Upgrades!$U$18,J110),1)*IF(Upgrades!$T$19="Moving Group",POWER(Upgrades!$U$19,K110),1)*IF(Upgrades!$T$20="Moving Group",POWER(Upgrades!$U$20,L110),1)))*POWER(Upgrades!$R$13,E110)*POWER(Upgrades!$R$14,F110)*POWER(Upgrades!$R$15,G110)*POWER(Upgrades!$R$16,H110)*POWER(Upgrades!$R$17,I110)*POWER(Upgrades!$R$18,J110)*POWER(Upgrades!$R$19,K110)*POWER(Upgrades!$R$20,L110)*POWER(Upgrades!$R$21,M110)*$H$6+$E$6</f>
        <v/>
      </c>
      <c r="R110" s="27">
        <f>IF(N110=1,0,O110*Parameters!$B$10/60*Parameters!$B$11*10)</f>
        <v/>
      </c>
      <c r="S110" s="27">
        <f>IF(N110=1,0,Q110*O110*10)</f>
        <v/>
      </c>
      <c r="T110" s="27">
        <f>IF(N110=1,0,R110+S110+P110*10)</f>
        <v/>
      </c>
      <c r="U110" s="33">
        <f>BE110</f>
        <v/>
      </c>
      <c r="V110" s="22">
        <f>IF(U110="",0,IF(U110="transition",0,IF(U110="SK",AK110,IF(U110="LB",AL110,IF(U110="ML",AM110,IF(U110="RLO",AN110,IF(U110="BD",AO110,IF(U110="BiP",AP110,IF(U110="PV",AQ110,IF(U110="OC",AR110,IF(U110="MG",AS110,0))))))))))</f>
        <v/>
      </c>
      <c r="W110" s="27">
        <f>IF(U110="BiP",Upgrades!$F$18,IF(U110="PV",Upgrades!$F$19,IF(U110="OC",Upgrades!$F$20,IF(U110="MG",Upgrades!$F$21,IF(U110="transition",-Parameters!$B$18*Parameters!$B$19,0)))))</f>
        <v/>
      </c>
      <c r="X110" s="22">
        <f>C110+T110-V110</f>
        <v/>
      </c>
      <c r="Y110" s="30">
        <f>O110*Parameters!$B$10/60*Parameters!$B$11+Q110*O110+P110</f>
        <v/>
      </c>
      <c r="Z110" s="34">
        <f>IF(U110="transition","→ Tier 3 (Galactic Arm)",IF(U110="MG","Moving Group — pocket drifts together",IF(U110="OC","Open Cluster acquired",IF(U110="PV","Peculiar Velocity — passive multiplier active",IF(U110="BiP","Binary Partner — pair bond formed",IF(AND(AU110=1,N110=0,AT110&lt;&gt;1),"Cohesion ready (waiting on completionists)","")))))) </f>
        <v/>
      </c>
      <c r="AA110" s="27">
        <f>(IF(E110=0,0,(Upgrades!$G$13+E110*Upgrades!$H$13)*POWER(Upgrades!$I$13,E110)))*(IF(Upgrades!$T$14="Stellar Kinematics",POWER(Upgrades!$U$14,F110),1)*IF(Upgrades!$T$15="Stellar Kinematics",POWER(Upgrades!$U$15,G110),1)*IF(Upgrades!$T$16="Stellar Kinematics",POWER(Upgrades!$U$16,H110),1)*IF(Upgrades!$T$17="Stellar Kinematics",POWER(Upgrades!$U$17,I110),1)*IF(Upgrades!$T$18="Stellar Kinematics",POWER(Upgrades!$U$18,J110),1)*IF(Upgrades!$T$19="Stellar Kinematics",POWER(Upgrades!$U$19,K110),1)*IF(Upgrades!$T$20="Stellar Kinematics",POWER(Upgrades!$U$20,L110),1)*IF(Upgrades!$T$21="Stellar Kinematics",POWER(Upgrades!$U$21,M110),1))*POWER(Upgrades!$P$13,E110)*POWER(Upgrades!$P$14,F110)*POWER(Upgrades!$P$15,G110)*POWER(Upgrades!$P$16,H110)*POWER(Upgrades!$P$17,I110)*POWER(Upgrades!$P$18,J110)*POWER(Upgrades!$P$19,K110)*POWER(Upgrades!$P$20,L110)*POWER(Upgrades!$P$21,M110)*$F$6*60</f>
        <v/>
      </c>
      <c r="AB110" s="27">
        <f>(IF(F110=0,0,(Upgrades!$G$14+F110*Upgrades!$H$14)*POWER(Upgrades!$I$14,F110)))*(IF(Upgrades!$T$13="Local Bubble",POWER(Upgrades!$U$13,E110),1)*IF(Upgrades!$T$15="Local Bubble",POWER(Upgrades!$U$15,G110),1)*IF(Upgrades!$T$16="Local Bubble",POWER(Upgrades!$U$16,H110),1)*IF(Upgrades!$T$17="Local Bubble",POWER(Upgrades!$U$17,I110),1)*IF(Upgrades!$T$18="Local Bubble",POWER(Upgrades!$U$18,J110),1)*IF(Upgrades!$T$19="Local Bubble",POWER(Upgrades!$U$19,K110),1)*IF(Upgrades!$T$20="Local Bubble",POWER(Upgrades!$U$20,L110),1)*IF(Upgrades!$T$21="Local Bubble",POWER(Upgrades!$U$21,M110),1))*POWER(Upgrades!$P$13,E110)*POWER(Upgrades!$P$14,F110)*POWER(Upgrades!$P$15,G110)*POWER(Upgrades!$P$16,H110)*POWER(Upgrades!$P$17,I110)*POWER(Upgrades!$P$18,J110)*POWER(Upgrades!$P$19,K110)*POWER(Upgrades!$P$20,L110)*POWER(Upgrades!$P$21,M110)*$F$6*60</f>
        <v/>
      </c>
      <c r="AC110" s="27">
        <f>(IF(G110=0,0,(Upgrades!$J$15+G110*Upgrades!$K$15)*POWER(Upgrades!$L$15,G110)))*(IF(Upgrades!$T$13="Microlensing",POWER(Upgrades!$U$13,E110),1)*IF(Upgrades!$T$14="Microlensing",POWER(Upgrades!$U$14,F110),1)*IF(Upgrades!$T$16="Microlensing",POWER(Upgrades!$U$16,H110),1)*IF(Upgrades!$T$17="Microlensing",POWER(Upgrades!$U$17,I110),1)*IF(Upgrades!$T$18="Microlensing",POWER(Upgrades!$U$18,J110),1)*IF(Upgrades!$T$19="Microlensing",POWER(Upgrades!$U$19,K110),1)*IF(Upgrades!$T$20="Microlensing",POWER(Upgrades!$U$20,L110),1)*IF(Upgrades!$T$21="Microlensing",POWER(Upgrades!$U$21,M110),1))*POWER(Upgrades!$Q$13,E110)*POWER(Upgrades!$Q$14,F110)*POWER(Upgrades!$Q$15,G110)*POWER(Upgrades!$Q$16,H110)*POWER(Upgrades!$Q$17,I110)*POWER(Upgrades!$Q$18,J110)*POWER(Upgrades!$Q$19,K110)*POWER(Upgrades!$Q$20,L110)*POWER(Upgrades!$Q$21,M110)*$G$6*(Parameters!$B$10*Parameters!$B$11+Q110*60)</f>
        <v/>
      </c>
      <c r="AD110" s="27">
        <f>(IF(H110=0,0,(Upgrades!$M$16+H110*Upgrades!$N$16)*POWER(Upgrades!$O$16,H110)))*(IF(Upgrades!$T$13="Roche Lobe Overflow",POWER(Upgrades!$U$13,E110),1)*IF(Upgrades!$T$14="Roche Lobe Overflow",POWER(Upgrades!$U$14,F110),1)*IF(Upgrades!$T$15="Roche Lobe Overflow",POWER(Upgrades!$U$15,G110),1)*IF(Upgrades!$T$17="Roche Lobe Overflow",POWER(Upgrades!$U$17,I110),1)*IF(Upgrades!$T$18="Roche Lobe Overflow",POWER(Upgrades!$U$18,J110),1)*IF(Upgrades!$T$19="Roche Lobe Overflow",POWER(Upgrades!$U$19,K110),1)*IF(Upgrades!$T$20="Roche Lobe Overflow",POWER(Upgrades!$U$20,L110),1)*IF(Upgrades!$T$21="Roche Lobe Overflow",POWER(Upgrades!$U$21,M110),1))*POWER(Upgrades!$R$13,E110)*POWER(Upgrades!$R$14,F110)*POWER(Upgrades!$R$15,G110)*POWER(Upgrades!$R$16,H110)*POWER(Upgrades!$R$17,I110)*POWER(Upgrades!$R$18,J110)*POWER(Upgrades!$R$19,K110)*POWER(Upgrades!$R$20,L110)*POWER(Upgrades!$R$21,M110)*$H$6*O110*60</f>
        <v/>
      </c>
      <c r="AE110" s="27">
        <f>(IF(I110=0,0,(Upgrades!$G$17+I110*Upgrades!$H$17)*POWER(Upgrades!$I$17,I110)))*(IF(Upgrades!$T$13="Brown Dwarf",POWER(Upgrades!$U$13,E110),1)*IF(Upgrades!$T$14="Brown Dwarf",POWER(Upgrades!$U$14,F110),1)*IF(Upgrades!$T$15="Brown Dwarf",POWER(Upgrades!$U$15,G110),1)*IF(Upgrades!$T$16="Brown Dwarf",POWER(Upgrades!$U$16,H110),1)*IF(Upgrades!$T$18="Brown Dwarf",POWER(Upgrades!$U$18,J110),1)*IF(Upgrades!$T$19="Brown Dwarf",POWER(Upgrades!$U$19,K110),1)*IF(Upgrades!$T$20="Brown Dwarf",POWER(Upgrades!$U$20,L110),1)*IF(Upgrades!$T$21="Brown Dwarf",POWER(Upgrades!$U$21,M110),1))*POWER(Upgrades!$P$13,E110)*POWER(Upgrades!$P$14,F110)*POWER(Upgrades!$P$15,G110)*POWER(Upgrades!$P$16,H110)*POWER(Upgrades!$P$17,I110)*POWER(Upgrades!$P$18,J110)*POWER(Upgrades!$P$19,K110)*POWER(Upgrades!$P$20,L110)*POWER(Upgrades!$P$21,M110)*$F$6*60</f>
        <v/>
      </c>
      <c r="AF110" s="27" t="n">
        <v>0</v>
      </c>
      <c r="AG110" s="27" t="n">
        <v>0</v>
      </c>
      <c r="AH110" s="27" t="n">
        <v>0</v>
      </c>
      <c r="AI110" s="27">
        <f>(IF(M110=0,0,(Upgrades!$G$21+M110*Upgrades!$H$21)*POWER(Upgrades!$I$21,M110)))*(IF(Upgrades!$T$13="Moving Group",POWER(Upgrades!$U$13,E110),1)*IF(Upgrades!$T$14="Moving Group",POWER(Upgrades!$U$14,F110),1)*IF(Upgrades!$T$15="Moving Group",POWER(Upgrades!$U$15,G110),1)*IF(Upgrades!$T$16="Moving Group",POWER(Upgrades!$U$16,H110),1)*IF(Upgrades!$T$17="Moving Group",POWER(Upgrades!$U$17,I110),1)*IF(Upgrades!$T$18="Moving Group",POWER(Upgrades!$U$18,J110),1)*IF(Upgrades!$T$19="Moving Group",POWER(Upgrades!$U$19,K110),1)*IF(Upgrades!$T$20="Moving Group",POWER(Upgrades!$U$20,L110),1))*POWER(Upgrades!$P$13,E110)*POWER(Upgrades!$P$14,F110)*POWER(Upgrades!$P$15,G110)*POWER(Upgrades!$P$16,H110)*POWER(Upgrades!$P$17,I110)*POWER(Upgrades!$P$18,J110)*POWER(Upgrades!$P$19,K110)*POWER(Upgrades!$P$20,L110)*POWER(Upgrades!$P$21,M110)*$F$6*60</f>
        <v/>
      </c>
      <c r="AJ110" s="27">
        <f>$C$6*60</f>
        <v/>
      </c>
      <c r="AK110" s="22">
        <f>IF(E110&gt;=Upgrades!$E$13,"",Upgrades!$C$13*POWER(Upgrades!$D$13,E110))</f>
        <v/>
      </c>
      <c r="AL110" s="22">
        <f>IF(F110&gt;=Upgrades!$E$14,"",Upgrades!$C$14*POWER(Upgrades!$D$14,F110))</f>
        <v/>
      </c>
      <c r="AM110" s="22">
        <f>IF(G110&gt;=Upgrades!$E$15,"",Upgrades!$C$15*POWER(Upgrades!$D$15,G110))</f>
        <v/>
      </c>
      <c r="AN110" s="22">
        <f>IF(H110&gt;=Upgrades!$E$16,"",Upgrades!$C$16*POWER(Upgrades!$D$16,H110))</f>
        <v/>
      </c>
      <c r="AO110" s="22">
        <f>IF(I110&gt;=Upgrades!$E$17,"",Upgrades!$C$17*POWER(Upgrades!$D$17,I110))</f>
        <v/>
      </c>
      <c r="AP110" s="22">
        <f>IF(J110&gt;=Upgrades!$E$18,"",Upgrades!$C$18*POWER(Upgrades!$D$18,J110))</f>
        <v/>
      </c>
      <c r="AQ110" s="22">
        <f>IF(K110&gt;=Upgrades!$E$19,"",Upgrades!$C$19*POWER(Upgrades!$D$19,K110))</f>
        <v/>
      </c>
      <c r="AR110" s="22">
        <f>IF(L110&gt;=Upgrades!$E$20,"",Upgrades!$C$20*POWER(Upgrades!$D$20,L110))</f>
        <v/>
      </c>
      <c r="AS110" s="22">
        <f>IF(M110&gt;=Upgrades!$E$21,"",Upgrades!$C$21*POWER(Upgrades!$D$21,M110))</f>
        <v/>
      </c>
      <c r="AT110" s="26">
        <f>IF(AND(D110&gt;=Parameters!$B$18*Parameters!$B$19,(I110&gt;=Upgrades!$E$17)*(M110&gt;=Upgrades!$E$21)=1,N110=0),1,"")</f>
        <v/>
      </c>
      <c r="AU110" s="26">
        <f>IF(AND(D110&gt;=Parameters!$B$18*Parameters!$B$19,N110=0),1,"")</f>
        <v/>
      </c>
      <c r="AV110" s="22">
        <f>MIN(IF(ISNUMBER(AP110),AP110,9E15),IF(ISNUMBER(AQ110),AQ110,9E15),IF(ISNUMBER(AR110),AR110,9E15),IF(ISNUMBER(AS110),AS110,9E15))</f>
        <v/>
      </c>
      <c r="AW110" s="22">
        <f>MIN(IF(ISNUMBER(AK110),AK110,9E15),IF(ISNUMBER(AL110),AL110,9E15),IF(ISNUMBER(AM110),AM110,9E15),IF(ISNUMBER(AN110),AN110,9E15),IF(ISNUMBER(AO110),AO110,9E15))</f>
        <v/>
      </c>
      <c r="AX110" s="29">
        <f>IF(BD110&gt;Parameters!$B$21*(MAX(IF(AND(NOT(AND(AU110=1,AT110&lt;&gt;1)),ISNUMBER(AK110),AK110&lt;=(C110+T110)),AY110,0),IF(AND(NOT(AND(AU110=1,AT110&lt;&gt;1)),ISNUMBER(AL110),AL110&lt;=(C110+T110)),AZ110,0),IF(AND(NOT(AND(AU110=1,AT110&lt;&gt;1)),ISNUMBER(AM110),AM110&lt;=(C110+T110)),BA110,0),IF(AND(NOT(AND(AU110=1,AT110&lt;&gt;1)),ISNUMBER(AN110),AN110&lt;=(C110+T110)),BB110,0),IF(AND(ISNUMBER(AO110),AO110&lt;=(C110+T110)),BC110,0))),TRUE,FALSE)</f>
        <v/>
      </c>
      <c r="AY110" s="32">
        <f>IFERROR(Upgrades!$H$13*(POWER(Upgrades!$P$13,E110)*POWER(Upgrades!$P$14,F110)*POWER(Upgrades!$P$15,G110)*POWER(Upgrades!$P$16,H110)*POWER(Upgrades!$P$17,I110)*POWER(Upgrades!$P$18,J110)*POWER(Upgrades!$P$19,K110)*POWER(Upgrades!$P$20,L110)*POWER(Upgrades!$P$21,M110))*(IF(Upgrades!$T$14="Stellar Kinematics",POWER(Upgrades!$U$14,F110),1)*IF(Upgrades!$T$15="Stellar Kinematics",POWER(Upgrades!$U$15,G110),1)*IF(Upgrades!$T$16="Stellar Kinematics",POWER(Upgrades!$U$16,H110),1)*IF(Upgrades!$T$17="Stellar Kinematics",POWER(Upgrades!$U$17,I110),1)*IF(Upgrades!$T$18="Stellar Kinematics",POWER(Upgrades!$U$18,J110),1)*IF(Upgrades!$T$19="Stellar Kinematics",POWER(Upgrades!$U$19,K110),1)*IF(Upgrades!$T$20="Stellar Kinematics",POWER(Upgrades!$U$20,L110),1)*IF(Upgrades!$T$21="Stellar Kinematics",POWER(Upgrades!$U$21,M110),1))*$F$6/AK110,0)</f>
        <v/>
      </c>
      <c r="AZ110" s="32">
        <f>IFERROR(Upgrades!$H$14*(POWER(Upgrades!$P$13,E110)*POWER(Upgrades!$P$14,F110)*POWER(Upgrades!$P$15,G110)*POWER(Upgrades!$P$16,H110)*POWER(Upgrades!$P$17,I110)*POWER(Upgrades!$P$18,J110)*POWER(Upgrades!$P$19,K110)*POWER(Upgrades!$P$20,L110)*POWER(Upgrades!$P$21,M110))*(IF(Upgrades!$T$13="Local Bubble",POWER(Upgrades!$U$13,E110),1)*IF(Upgrades!$T$15="Local Bubble",POWER(Upgrades!$U$15,G110),1)*IF(Upgrades!$T$16="Local Bubble",POWER(Upgrades!$U$16,H110),1)*IF(Upgrades!$T$17="Local Bubble",POWER(Upgrades!$U$17,I110),1)*IF(Upgrades!$T$18="Local Bubble",POWER(Upgrades!$U$18,J110),1)*IF(Upgrades!$T$19="Local Bubble",POWER(Upgrades!$U$19,K110),1)*IF(Upgrades!$T$20="Local Bubble",POWER(Upgrades!$U$20,L110),1)*IF(Upgrades!$T$21="Local Bubble",POWER(Upgrades!$U$21,M110),1))*$F$6/AL110,0)</f>
        <v/>
      </c>
      <c r="BA110" s="32">
        <f>IFERROR(Upgrades!$K$15*(POWER(Upgrades!$Q$13,E110)*POWER(Upgrades!$Q$14,F110)*POWER(Upgrades!$Q$15,G110)*POWER(Upgrades!$Q$16,H110)*POWER(Upgrades!$Q$17,I110)*POWER(Upgrades!$Q$18,J110)*POWER(Upgrades!$Q$19,K110)*POWER(Upgrades!$Q$20,L110)*POWER(Upgrades!$Q$21,M110))*(IF(Upgrades!$T$13="Microlensing",POWER(Upgrades!$U$13,E110),1)*IF(Upgrades!$T$14="Microlensing",POWER(Upgrades!$U$14,F110),1)*IF(Upgrades!$T$16="Microlensing",POWER(Upgrades!$U$16,H110),1)*IF(Upgrades!$T$17="Microlensing",POWER(Upgrades!$U$17,I110),1)*IF(Upgrades!$T$18="Microlensing",POWER(Upgrades!$U$18,J110),1)*IF(Upgrades!$T$19="Microlensing",POWER(Upgrades!$U$19,K110),1)*IF(Upgrades!$T$20="Microlensing",POWER(Upgrades!$U$20,L110),1)*IF(Upgrades!$T$21="Microlensing",POWER(Upgrades!$U$21,M110),1))*$G$6*(Parameters!$B$10/60*Parameters!$B$11+Q110)/AM110,0)</f>
        <v/>
      </c>
      <c r="BB110" s="32">
        <f>IFERROR((Upgrades!$N$16*(POWER(Upgrades!$R$13,E110)*POWER(Upgrades!$R$14,F110)*POWER(Upgrades!$R$15,G110)*POWER(Upgrades!$R$16,H110)*POWER(Upgrades!$R$17,I110)*POWER(Upgrades!$R$18,J110)*POWER(Upgrades!$R$19,K110)*POWER(Upgrades!$R$20,L110)*POWER(Upgrades!$R$21,M110))*(IF(Upgrades!$T$13="Roche Lobe Overflow",POWER(Upgrades!$U$13,E110),1)*IF(Upgrades!$T$14="Roche Lobe Overflow",POWER(Upgrades!$U$14,F110),1)*IF(Upgrades!$T$15="Roche Lobe Overflow",POWER(Upgrades!$U$15,G110),1)*IF(Upgrades!$T$17="Roche Lobe Overflow",POWER(Upgrades!$U$17,I110),1)*IF(Upgrades!$T$18="Roche Lobe Overflow",POWER(Upgrades!$U$18,J110),1)*IF(Upgrades!$T$19="Roche Lobe Overflow",POWER(Upgrades!$U$19,K110),1)*IF(Upgrades!$T$20="Roche Lobe Overflow",POWER(Upgrades!$U$20,L110),1)*IF(Upgrades!$T$21="Roche Lobe Overflow",POWER(Upgrades!$U$21,M110),1))*$H$6*O110+((IF(F110=0,0,(Upgrades!$G$14+F110*Upgrades!$H$14)*POWER(Upgrades!$I$14,F110)))*(IF(Upgrades!$T$13="Local Bubble",POWER(Upgrades!$U$13,E110),1)*IF(Upgrades!$T$15="Local Bubble",POWER(Upgrades!$U$15,G110),1)*IF(Upgrades!$T$16="Local Bubble",POWER(Upgrades!$U$16,H110),1)*IF(Upgrades!$T$17="Local Bubble",POWER(Upgrades!$U$17,I110),1)*IF(Upgrades!$T$18="Local Bubble",POWER(Upgrades!$U$18,J110),1)*IF(Upgrades!$T$19="Local Bubble",POWER(Upgrades!$U$19,K110),1)*IF(Upgrades!$T$20="Local Bubble",POWER(Upgrades!$U$20,L110),1)*IF(Upgrades!$T$21="Local Bubble",POWER(Upgrades!$U$21,M110),1))*POWER(Upgrades!$P$13,E110)*POWER(Upgrades!$P$14,F110)*POWER(Upgrades!$P$15,G110)*POWER(Upgrades!$P$16,H110)*POWER(Upgrades!$P$17,I110)*POWER(Upgrades!$P$18,J110)*POWER(Upgrades!$P$19,K110)*POWER(Upgrades!$P$20,L110)*POWER(Upgrades!$P$21,M110)*$F$6)*0.05)/AN110,0)</f>
        <v/>
      </c>
      <c r="BC110" s="32">
        <f>IFERROR((Upgrades!$H$17*(POWER(Upgrades!$P$13,E110)*POWER(Upgrades!$P$14,F110)*POWER(Upgrades!$P$15,G110)*POWER(Upgrades!$P$16,H110)*POWER(Upgrades!$P$17,I110)*POWER(Upgrades!$P$18,J110)*POWER(Upgrades!$P$19,K110)*POWER(Upgrades!$P$20,L110)*POWER(Upgrades!$P$21,M110))*(IF(Upgrades!$T$13="Brown Dwarf",POWER(Upgrades!$U$13,E110),1)*IF(Upgrades!$T$14="Brown Dwarf",POWER(Upgrades!$U$14,F110),1)*IF(Upgrades!$T$15="Brown Dwarf",POWER(Upgrades!$U$15,G110),1)*IF(Upgrades!$T$16="Brown Dwarf",POWER(Upgrades!$U$16,H110),1)*IF(Upgrades!$T$18="Brown Dwarf",POWER(Upgrades!$U$18,J110),1)*IF(Upgrades!$T$19="Brown Dwarf",POWER(Upgrades!$U$19,K110),1)*IF(Upgrades!$T$20="Brown Dwarf",POWER(Upgrades!$U$20,L110),1)*IF(Upgrades!$T$21="Brown Dwarf",POWER(Upgrades!$U$21,M110),1))*$F$6+(((IF(H110=0,0,(Upgrades!$M$16+H110*Upgrades!$N$16)*POWER(Upgrades!$O$16,H110)))*(IF(Upgrades!$T$13="Roche Lobe Overflow",POWER(Upgrades!$U$13,E110),1)*IF(Upgrades!$T$14="Roche Lobe Overflow",POWER(Upgrades!$U$14,F110),1)*IF(Upgrades!$T$15="Roche Lobe Overflow",POWER(Upgrades!$U$15,G110),1)*IF(Upgrades!$T$17="Roche Lobe Overflow",POWER(Upgrades!$U$17,I110),1)*IF(Upgrades!$T$18="Roche Lobe Overflow",POWER(Upgrades!$U$18,J110),1)*IF(Upgrades!$T$19="Roche Lobe Overflow",POWER(Upgrades!$U$19,K110),1)*IF(Upgrades!$T$20="Roche Lobe Overflow",POWER(Upgrades!$U$20,L110),1)*IF(Upgrades!$T$21="Roche Lobe Overflow",POWER(Upgrades!$U$21,M110),1))*POWER(Upgrades!$R$13,E110)*POWER(Upgrades!$R$14,F110)*POWER(Upgrades!$R$15,G110)*POWER(Upgrades!$R$16,H110)*POWER(Upgrades!$R$17,I110)*POWER(Upgrades!$R$18,J110)*POWER(Upgrades!$R$19,K110)*POWER(Upgrades!$R$20,L110)*POWER(Upgrades!$R$21,M110)*$H$6)*O110)*0.10)/AO110,0)</f>
        <v/>
      </c>
      <c r="BD110" s="32">
        <f>MAX(IF(J110&gt;0,0,IFERROR(0.5*((IF(G110=0,0,(Upgrades!$J$15+G110*Upgrades!$K$15)*POWER(Upgrades!$L$15,G110)))*(IF(Upgrades!$T$13="Microlensing",POWER(Upgrades!$U$13,E110),1)*IF(Upgrades!$T$14="Microlensing",POWER(Upgrades!$U$14,F110),1)*IF(Upgrades!$T$16="Microlensing",POWER(Upgrades!$U$16,H110),1)*IF(Upgrades!$T$17="Microlensing",POWER(Upgrades!$U$17,I110),1)*IF(Upgrades!$T$18="Microlensing",POWER(Upgrades!$U$18,J110),1)*IF(Upgrades!$T$19="Microlensing",POWER(Upgrades!$U$19,K110),1)*IF(Upgrades!$T$20="Microlensing",POWER(Upgrades!$U$20,L110),1)*IF(Upgrades!$T$21="Microlensing",POWER(Upgrades!$U$21,M110),1))*(POWER(Upgrades!$Q$13,E110)*POWER(Upgrades!$Q$14,F110)*POWER(Upgrades!$Q$15,G110)*POWER(Upgrades!$Q$16,H110)*POWER(Upgrades!$Q$17,I110)*POWER(Upgrades!$Q$18,J110)*POWER(Upgrades!$Q$19,K110)*POWER(Upgrades!$Q$20,L110)*POWER(Upgrades!$Q$21,M110))*$G$6*(Parameters!$B$10/60*Parameters!$B$11+Q110))/Upgrades!$C$18,0)),IF(K110&gt;0,0,IFERROR(0.30*P110/Upgrades!$C$19,0)),IF(L110&gt;0,0,IFERROR(0.0001/Upgrades!$C$20,0)),IF(M110&gt;0,0,IFERROR((6.0*(POWER(Upgrades!$P$13,E110)*POWER(Upgrades!$P$14,F110)*POWER(Upgrades!$P$15,G110)*POWER(Upgrades!$P$16,H110)*POWER(Upgrades!$P$17,I110)*POWER(Upgrades!$P$18,J110)*POWER(Upgrades!$P$19,K110)*POWER(Upgrades!$P$20,L110)*POWER(Upgrades!$P$21,M110))*$F$6+0.20*O110*(Parameters!$B$10/60*Parameters!$B$11+Q110))/Upgrades!$C$21,0)),IF(AND(ISNUMBER(AK110),AK110&gt;(C110+T110)),AY110,0),IF(AND(ISNUMBER(AL110),AL110&gt;(C110+T110)),AZ110,0),IF(AND(ISNUMBER(AM110),AM110&gt;(C110+T110)),BA110,0),IF(AND(ISNUMBER(AN110),AN110&gt;(C110+T110)),BB110,0),IF(AND(ISNUMBER(AO110),AO110&gt;(C110+T110)),BC110,0))</f>
        <v/>
      </c>
      <c r="BE110" s="29">
        <f>IF(AT110=1,"transition",IF(MIN(IF(AND(J110=0,ISNUMBER(AP110),AP110&lt;=(C110+T110)),AP110,9E15),IF(AND(K110=0,ISNUMBER(AQ110),AQ110&lt;=(C110+T110)),AQ110,9E15),IF(AND(L110=0,ISNUMBER(AR110),AR110&lt;=(C110+T110)),AR110,9E15),IF(AND(M110=0,ISNUMBER(AS110),AS110&lt;=(C110+T110)),AS110,9E15))&lt;9E15,IF(AND(AND(J110=0,ISNUMBER(AP110),AP110&lt;=(C110+T110)),AP110=MIN(IF(AND(J110=0,ISNUMBER(AP110),AP110&lt;=(C110+T110)),AP110,9E15),IF(AND(K110=0,ISNUMBER(AQ110),AQ110&lt;=(C110+T110)),AQ110,9E15),IF(AND(L110=0,ISNUMBER(AR110),AR110&lt;=(C110+T110)),AR110,9E15),IF(AND(M110=0,ISNUMBER(AS110),AS110&lt;=(C110+T110)),AS110,9E15))),"BiP",IF(AND(AND(K110=0,ISNUMBER(AQ110),AQ110&lt;=(C110+T110)),AQ110=MIN(IF(AND(J110=0,ISNUMBER(AP110),AP110&lt;=(C110+T110)),AP110,9E15),IF(AND(K110=0,ISNUMBER(AQ110),AQ110&lt;=(C110+T110)),AQ110,9E15),IF(AND(L110=0,ISNUMBER(AR110),AR110&lt;=(C110+T110)),AR110,9E15),IF(AND(M110=0,ISNUMBER(AS110),AS110&lt;=(C110+T110)),AS110,9E15))),"PV",IF(AND(AND(L110=0,ISNUMBER(AR110),AR110&lt;=(C110+T110)),AR110=MIN(IF(AND(J110=0,ISNUMBER(AP110),AP110&lt;=(C110+T110)),AP110,9E15),IF(AND(K110=0,ISNUMBER(AQ110),AQ110&lt;=(C110+T110)),AQ110,9E15),IF(AND(L110=0,ISNUMBER(AR110),AR110&lt;=(C110+T110)),AR110,9E15),IF(AND(M110=0,ISNUMBER(AS110),AS110&lt;=(C110+T110)),AS110,9E15))),"OC","MG"))),IF(AX110=TRUE,"",IF(MAX(IF(AND(NOT(AND(AU110=1,AT110&lt;&gt;1)),ISNUMBER(AK110),AK110&lt;=(C110+T110)),AY110,0),IF(AND(NOT(AND(AU110=1,AT110&lt;&gt;1)),ISNUMBER(AL110),AL110&lt;=(C110+T110)),AZ110,0),IF(AND(NOT(AND(AU110=1,AT110&lt;&gt;1)),ISNUMBER(AM110),AM110&lt;=(C110+T110)),BA110,0),IF(AND(NOT(AND(AU110=1,AT110&lt;&gt;1)),ISNUMBER(AN110),AN110&lt;=(C110+T110)),BB110,0),IF(AND(ISNUMBER(AO110),AO110&lt;=(C110+T110)),BC110,0))&lt;=0,"",IF(AND(IF(AND(NOT(AND(AU110=1,AT110&lt;&gt;1)),ISNUMBER(AK110),AK110&lt;=(C110+T110)),AY110,0)&gt;0,IF(AND(NOT(AND(AU110=1,AT110&lt;&gt;1)),ISNUMBER(AK110),AK110&lt;=(C110+T110)),AY110,0)=MAX(IF(AND(NOT(AND(AU110=1,AT110&lt;&gt;1)),ISNUMBER(AK110),AK110&lt;=(C110+T110)),AY110,0),IF(AND(NOT(AND(AU110=1,AT110&lt;&gt;1)),ISNUMBER(AL110),AL110&lt;=(C110+T110)),AZ110,0),IF(AND(NOT(AND(AU110=1,AT110&lt;&gt;1)),ISNUMBER(AM110),AM110&lt;=(C110+T110)),BA110,0),IF(AND(NOT(AND(AU110=1,AT110&lt;&gt;1)),ISNUMBER(AN110),AN110&lt;=(C110+T110)),BB110,0),IF(AND(ISNUMBER(AO110),AO110&lt;=(C110+T110)),BC110,0))),"SK",IF(AND(IF(AND(NOT(AND(AU110=1,AT110&lt;&gt;1)),ISNUMBER(AL110),AL110&lt;=(C110+T110)),AZ110,0)&gt;0,IF(AND(NOT(AND(AU110=1,AT110&lt;&gt;1)),ISNUMBER(AL110),AL110&lt;=(C110+T110)),AZ110,0)=MAX(IF(AND(NOT(AND(AU110=1,AT110&lt;&gt;1)),ISNUMBER(AK110),AK110&lt;=(C110+T110)),AY110,0),IF(AND(NOT(AND(AU110=1,AT110&lt;&gt;1)),ISNUMBER(AL110),AL110&lt;=(C110+T110)),AZ110,0),IF(AND(NOT(AND(AU110=1,AT110&lt;&gt;1)),ISNUMBER(AM110),AM110&lt;=(C110+T110)),BA110,0),IF(AND(NOT(AND(AU110=1,AT110&lt;&gt;1)),ISNUMBER(AN110),AN110&lt;=(C110+T110)),BB110,0),IF(AND(ISNUMBER(AO110),AO110&lt;=(C110+T110)),BC110,0))),"LB",IF(AND(IF(AND(NOT(AND(AU110=1,AT110&lt;&gt;1)),ISNUMBER(AM110),AM110&lt;=(C110+T110)),BA110,0)&gt;0,IF(AND(NOT(AND(AU110=1,AT110&lt;&gt;1)),ISNUMBER(AM110),AM110&lt;=(C110+T110)),BA110,0)=MAX(IF(AND(NOT(AND(AU110=1,AT110&lt;&gt;1)),ISNUMBER(AK110),AK110&lt;=(C110+T110)),AY110,0),IF(AND(NOT(AND(AU110=1,AT110&lt;&gt;1)),ISNUMBER(AL110),AL110&lt;=(C110+T110)),AZ110,0),IF(AND(NOT(AND(AU110=1,AT110&lt;&gt;1)),ISNUMBER(AM110),AM110&lt;=(C110+T110)),BA110,0),IF(AND(NOT(AND(AU110=1,AT110&lt;&gt;1)),ISNUMBER(AN110),AN110&lt;=(C110+T110)),BB110,0),IF(AND(ISNUMBER(AO110),AO110&lt;=(C110+T110)),BC110,0))),"ML",IF(AND(IF(AND(NOT(AND(AU110=1,AT110&lt;&gt;1)),ISNUMBER(AN110),AN110&lt;=(C110+T110)),BB110,0)&gt;0,IF(AND(NOT(AND(AU110=1,AT110&lt;&gt;1)),ISNUMBER(AN110),AN110&lt;=(C110+T110)),BB110,0)=MAX(IF(AND(NOT(AND(AU110=1,AT110&lt;&gt;1)),ISNUMBER(AK110),AK110&lt;=(C110+T110)),AY110,0),IF(AND(NOT(AND(AU110=1,AT110&lt;&gt;1)),ISNUMBER(AL110),AL110&lt;=(C110+T110)),AZ110,0),IF(AND(NOT(AND(AU110=1,AT110&lt;&gt;1)),ISNUMBER(AM110),AM110&lt;=(C110+T110)),BA110,0),IF(AND(NOT(AND(AU110=1,AT110&lt;&gt;1)),ISNUMBER(AN110),AN110&lt;=(C110+T110)),BB110,0),IF(AND(ISNUMBER(AO110),AO110&lt;=(C110+T110)),BC110,0))),"RLO","BD"))))))))</f>
        <v/>
      </c>
    </row>
    <row r="111">
      <c r="A111" s="26" t="n">
        <v>100</v>
      </c>
      <c r="B111" s="27">
        <f>A111*10/60</f>
        <v/>
      </c>
      <c r="C111" s="22">
        <f>X110</f>
        <v/>
      </c>
      <c r="D111" s="27">
        <f>D110+W110</f>
        <v/>
      </c>
      <c r="E111" s="26">
        <f>E110+IF(U110="SK",1,0)</f>
        <v/>
      </c>
      <c r="F111" s="26">
        <f>F110+IF(U110="LB",1,0)</f>
        <v/>
      </c>
      <c r="G111" s="26">
        <f>G110+IF(U110="ML",1,0)</f>
        <v/>
      </c>
      <c r="H111" s="26">
        <f>H110+IF(U110="RLO",1,0)</f>
        <v/>
      </c>
      <c r="I111" s="26">
        <f>I110+IF(U110="BD",1,0)</f>
        <v/>
      </c>
      <c r="J111" s="26">
        <f>MAX(J110,IF(U110="BiP",1,0))</f>
        <v/>
      </c>
      <c r="K111" s="26">
        <f>MAX(K110,IF(U110="PV",1,0))</f>
        <v/>
      </c>
      <c r="L111" s="26">
        <f>MAX(L110,IF(U110="OC",1,0))</f>
        <v/>
      </c>
      <c r="M111" s="26">
        <f>MAX(M110,IF(U110="MG",1,0))</f>
        <v/>
      </c>
      <c r="N111" s="26">
        <f>MAX(N110,IF(U110="transition",1,0))</f>
        <v/>
      </c>
      <c r="O111" s="28">
        <f>(Parameters!$B$9+(IF(E111=0,0,(Upgrades!$J$13+E111*Upgrades!$K$13)*POWER(Upgrades!$L$13,E111)))*(IF(Upgrades!$T$14="Stellar Kinematics",POWER(Upgrades!$U$14,F111),1)*IF(Upgrades!$T$15="Stellar Kinematics",POWER(Upgrades!$U$15,G111),1)*IF(Upgrades!$T$16="Stellar Kinematics",POWER(Upgrades!$U$16,H111),1)*IF(Upgrades!$T$17="Stellar Kinematics",POWER(Upgrades!$U$17,I111),1)*IF(Upgrades!$T$18="Stellar Kinematics",POWER(Upgrades!$U$18,J111),1)*IF(Upgrades!$T$19="Stellar Kinematics",POWER(Upgrades!$U$19,K111),1)*IF(Upgrades!$T$20="Stellar Kinematics",POWER(Upgrades!$U$20,L111),1)*IF(Upgrades!$T$21="Stellar Kinematics",POWER(Upgrades!$U$21,M111),1))+(IF(F111=0,0,(Upgrades!$J$14+F111*Upgrades!$K$14)*POWER(Upgrades!$L$14,F111)))*(IF(Upgrades!$T$13="Local Bubble",POWER(Upgrades!$U$13,E111),1)*IF(Upgrades!$T$15="Local Bubble",POWER(Upgrades!$U$15,G111),1)*IF(Upgrades!$T$16="Local Bubble",POWER(Upgrades!$U$16,H111),1)*IF(Upgrades!$T$17="Local Bubble",POWER(Upgrades!$U$17,I111),1)*IF(Upgrades!$T$18="Local Bubble",POWER(Upgrades!$U$18,J111),1)*IF(Upgrades!$T$19="Local Bubble",POWER(Upgrades!$U$19,K111),1)*IF(Upgrades!$T$20="Local Bubble",POWER(Upgrades!$U$20,L111),1)*IF(Upgrades!$T$21="Local Bubble",POWER(Upgrades!$U$21,M111),1))+(IF(G111=0,0,(Upgrades!$J$15+G111*Upgrades!$K$15)*POWER(Upgrades!$L$15,G111)))*(IF(Upgrades!$T$13="Microlensing",POWER(Upgrades!$U$13,E111),1)*IF(Upgrades!$T$14="Microlensing",POWER(Upgrades!$U$14,F111),1)*IF(Upgrades!$T$16="Microlensing",POWER(Upgrades!$U$16,H111),1)*IF(Upgrades!$T$17="Microlensing",POWER(Upgrades!$U$17,I111),1)*IF(Upgrades!$T$18="Microlensing",POWER(Upgrades!$U$18,J111),1)*IF(Upgrades!$T$19="Microlensing",POWER(Upgrades!$U$19,K111),1)*IF(Upgrades!$T$20="Microlensing",POWER(Upgrades!$U$20,L111),1)*IF(Upgrades!$T$21="Microlensing",POWER(Upgrades!$U$21,M111),1))+(IF(H111=0,0,(Upgrades!$J$16+H111*Upgrades!$K$16)*POWER(Upgrades!$L$16,H111)))*(IF(Upgrades!$T$13="Roche Lobe Overflow",POWER(Upgrades!$U$13,E111),1)*IF(Upgrades!$T$14="Roche Lobe Overflow",POWER(Upgrades!$U$14,F111),1)*IF(Upgrades!$T$15="Roche Lobe Overflow",POWER(Upgrades!$U$15,G111),1)*IF(Upgrades!$T$17="Roche Lobe Overflow",POWER(Upgrades!$U$17,I111),1)*IF(Upgrades!$T$18="Roche Lobe Overflow",POWER(Upgrades!$U$18,J111),1)*IF(Upgrades!$T$19="Roche Lobe Overflow",POWER(Upgrades!$U$19,K111),1)*IF(Upgrades!$T$20="Roche Lobe Overflow",POWER(Upgrades!$U$20,L111),1)*IF(Upgrades!$T$21="Roche Lobe Overflow",POWER(Upgrades!$U$21,M111),1))+(IF(I111=0,0,(Upgrades!$J$17+I111*Upgrades!$K$17)*POWER(Upgrades!$L$17,I111)))*(IF(Upgrades!$T$13="Brown Dwarf",POWER(Upgrades!$U$13,E111),1)*IF(Upgrades!$T$14="Brown Dwarf",POWER(Upgrades!$U$14,F111),1)*IF(Upgrades!$T$15="Brown Dwarf",POWER(Upgrades!$U$15,G111),1)*IF(Upgrades!$T$16="Brown Dwarf",POWER(Upgrades!$U$16,H111),1)*IF(Upgrades!$T$18="Brown Dwarf",POWER(Upgrades!$U$18,J111),1)*IF(Upgrades!$T$19="Brown Dwarf",POWER(Upgrades!$U$19,K111),1)*IF(Upgrades!$T$20="Brown Dwarf",POWER(Upgrades!$U$20,L111),1)*IF(Upgrades!$T$21="Brown Dwarf",POWER(Upgrades!$U$21,M111),1))+(IF(J111=0,0,(Upgrades!$J$18+J111*Upgrades!$K$18)*POWER(Upgrades!$L$18,J111)))*(IF(Upgrades!$T$13="Binary Partner",POWER(Upgrades!$U$13,E111),1)*IF(Upgrades!$T$14="Binary Partner",POWER(Upgrades!$U$14,F111),1)*IF(Upgrades!$T$15="Binary Partner",POWER(Upgrades!$U$15,G111),1)*IF(Upgrades!$T$16="Binary Partner",POWER(Upgrades!$U$16,H111),1)*IF(Upgrades!$T$17="Binary Partner",POWER(Upgrades!$U$17,I111),1)*IF(Upgrades!$T$19="Binary Partner",POWER(Upgrades!$U$19,K111),1)*IF(Upgrades!$T$20="Binary Partner",POWER(Upgrades!$U$20,L111),1)*IF(Upgrades!$T$21="Binary Partner",POWER(Upgrades!$U$21,M111),1))+(IF(K111=0,0,(Upgrades!$J$19+K111*Upgrades!$K$19)*POWER(Upgrades!$L$19,K111)))*(IF(Upgrades!$T$13="Peculiar Velocity",POWER(Upgrades!$U$13,E111),1)*IF(Upgrades!$T$14="Peculiar Velocity",POWER(Upgrades!$U$14,F111),1)*IF(Upgrades!$T$15="Peculiar Velocity",POWER(Upgrades!$U$15,G111),1)*IF(Upgrades!$T$16="Peculiar Velocity",POWER(Upgrades!$U$16,H111),1)*IF(Upgrades!$T$17="Peculiar Velocity",POWER(Upgrades!$U$17,I111),1)*IF(Upgrades!$T$18="Peculiar Velocity",POWER(Upgrades!$U$18,J111),1)*IF(Upgrades!$T$20="Peculiar Velocity",POWER(Upgrades!$U$20,L111),1)*IF(Upgrades!$T$21="Peculiar Velocity",POWER(Upgrades!$U$21,M111),1))+(IF(L111=0,0,(Upgrades!$J$20+L111*Upgrades!$K$20)*POWER(Upgrades!$L$20,L111)))*(IF(Upgrades!$T$13="Open Cluster",POWER(Upgrades!$U$13,E111),1)*IF(Upgrades!$T$14="Open Cluster",POWER(Upgrades!$U$14,F111),1)*IF(Upgrades!$T$15="Open Cluster",POWER(Upgrades!$U$15,G111),1)*IF(Upgrades!$T$16="Open Cluster",POWER(Upgrades!$U$16,H111),1)*IF(Upgrades!$T$17="Open Cluster",POWER(Upgrades!$U$17,I111),1)*IF(Upgrades!$T$18="Open Cluster",POWER(Upgrades!$U$18,J111),1)*IF(Upgrades!$T$19="Open Cluster",POWER(Upgrades!$U$19,K111),1)*IF(Upgrades!$T$21="Open Cluster",POWER(Upgrades!$U$21,M111),1))+(IF(M111=0,0,(Upgrades!$J$21+M111*Upgrades!$K$21)*POWER(Upgrades!$L$21,M111)))*(IF(Upgrades!$T$13="Moving Group",POWER(Upgrades!$U$13,E111),1)*IF(Upgrades!$T$14="Moving Group",POWER(Upgrades!$U$14,F111),1)*IF(Upgrades!$T$15="Moving Group",POWER(Upgrades!$U$15,G111),1)*IF(Upgrades!$T$16="Moving Group",POWER(Upgrades!$U$16,H111),1)*IF(Upgrades!$T$17="Moving Group",POWER(Upgrades!$U$17,I111),1)*IF(Upgrades!$T$18="Moving Group",POWER(Upgrades!$U$18,J111),1)*IF(Upgrades!$T$19="Moving Group",POWER(Upgrades!$U$19,K111),1)*IF(Upgrades!$T$20="Moving Group",POWER(Upgrades!$U$20,L111),1)))*POWER(Upgrades!$Q$13,E111)*POWER(Upgrades!$Q$14,F111)*POWER(Upgrades!$Q$15,G111)*POWER(Upgrades!$Q$16,H111)*POWER(Upgrades!$Q$17,I111)*POWER(Upgrades!$Q$18,J111)*POWER(Upgrades!$Q$19,K111)*POWER(Upgrades!$Q$20,L111)*POWER(Upgrades!$Q$21,M111)*$G$6+$D$6</f>
        <v/>
      </c>
      <c r="P111" s="28">
        <f>((IF(E111=0,0,(Upgrades!$G$13+E111*Upgrades!$H$13)*POWER(Upgrades!$I$13,E111)))*(IF(Upgrades!$T$14="Stellar Kinematics",POWER(Upgrades!$U$14,F111),1)*IF(Upgrades!$T$15="Stellar Kinematics",POWER(Upgrades!$U$15,G111),1)*IF(Upgrades!$T$16="Stellar Kinematics",POWER(Upgrades!$U$16,H111),1)*IF(Upgrades!$T$17="Stellar Kinematics",POWER(Upgrades!$U$17,I111),1)*IF(Upgrades!$T$18="Stellar Kinematics",POWER(Upgrades!$U$18,J111),1)*IF(Upgrades!$T$19="Stellar Kinematics",POWER(Upgrades!$U$19,K111),1)*IF(Upgrades!$T$20="Stellar Kinematics",POWER(Upgrades!$U$20,L111),1)*IF(Upgrades!$T$21="Stellar Kinematics",POWER(Upgrades!$U$21,M111),1))+(IF(F111=0,0,(Upgrades!$G$14+F111*Upgrades!$H$14)*POWER(Upgrades!$I$14,F111)))*(IF(Upgrades!$T$13="Local Bubble",POWER(Upgrades!$U$13,E111),1)*IF(Upgrades!$T$15="Local Bubble",POWER(Upgrades!$U$15,G111),1)*IF(Upgrades!$T$16="Local Bubble",POWER(Upgrades!$U$16,H111),1)*IF(Upgrades!$T$17="Local Bubble",POWER(Upgrades!$U$17,I111),1)*IF(Upgrades!$T$18="Local Bubble",POWER(Upgrades!$U$18,J111),1)*IF(Upgrades!$T$19="Local Bubble",POWER(Upgrades!$U$19,K111),1)*IF(Upgrades!$T$20="Local Bubble",POWER(Upgrades!$U$20,L111),1)*IF(Upgrades!$T$21="Local Bubble",POWER(Upgrades!$U$21,M111),1))+(IF(G111=0,0,(Upgrades!$G$15+G111*Upgrades!$H$15)*POWER(Upgrades!$I$15,G111)))*(IF(Upgrades!$T$13="Microlensing",POWER(Upgrades!$U$13,E111),1)*IF(Upgrades!$T$14="Microlensing",POWER(Upgrades!$U$14,F111),1)*IF(Upgrades!$T$16="Microlensing",POWER(Upgrades!$U$16,H111),1)*IF(Upgrades!$T$17="Microlensing",POWER(Upgrades!$U$17,I111),1)*IF(Upgrades!$T$18="Microlensing",POWER(Upgrades!$U$18,J111),1)*IF(Upgrades!$T$19="Microlensing",POWER(Upgrades!$U$19,K111),1)*IF(Upgrades!$T$20="Microlensing",POWER(Upgrades!$U$20,L111),1)*IF(Upgrades!$T$21="Microlensing",POWER(Upgrades!$U$21,M111),1))+(IF(H111=0,0,(Upgrades!$G$16+H111*Upgrades!$H$16)*POWER(Upgrades!$I$16,H111)))*(IF(Upgrades!$T$13="Roche Lobe Overflow",POWER(Upgrades!$U$13,E111),1)*IF(Upgrades!$T$14="Roche Lobe Overflow",POWER(Upgrades!$U$14,F111),1)*IF(Upgrades!$T$15="Roche Lobe Overflow",POWER(Upgrades!$U$15,G111),1)*IF(Upgrades!$T$17="Roche Lobe Overflow",POWER(Upgrades!$U$17,I111),1)*IF(Upgrades!$T$18="Roche Lobe Overflow",POWER(Upgrades!$U$18,J111),1)*IF(Upgrades!$T$19="Roche Lobe Overflow",POWER(Upgrades!$U$19,K111),1)*IF(Upgrades!$T$20="Roche Lobe Overflow",POWER(Upgrades!$U$20,L111),1)*IF(Upgrades!$T$21="Roche Lobe Overflow",POWER(Upgrades!$U$21,M111),1))+(IF(I111=0,0,(Upgrades!$G$17+I111*Upgrades!$H$17)*POWER(Upgrades!$I$17,I111)))*(IF(Upgrades!$T$13="Brown Dwarf",POWER(Upgrades!$U$13,E111),1)*IF(Upgrades!$T$14="Brown Dwarf",POWER(Upgrades!$U$14,F111),1)*IF(Upgrades!$T$15="Brown Dwarf",POWER(Upgrades!$U$15,G111),1)*IF(Upgrades!$T$16="Brown Dwarf",POWER(Upgrades!$U$16,H111),1)*IF(Upgrades!$T$18="Brown Dwarf",POWER(Upgrades!$U$18,J111),1)*IF(Upgrades!$T$19="Brown Dwarf",POWER(Upgrades!$U$19,K111),1)*IF(Upgrades!$T$20="Brown Dwarf",POWER(Upgrades!$U$20,L111),1)*IF(Upgrades!$T$21="Brown Dwarf",POWER(Upgrades!$U$21,M111),1))+(IF(J111=0,0,(Upgrades!$G$18+J111*Upgrades!$H$18)*POWER(Upgrades!$I$18,J111)))*(IF(Upgrades!$T$13="Binary Partner",POWER(Upgrades!$U$13,E111),1)*IF(Upgrades!$T$14="Binary Partner",POWER(Upgrades!$U$14,F111),1)*IF(Upgrades!$T$15="Binary Partner",POWER(Upgrades!$U$15,G111),1)*IF(Upgrades!$T$16="Binary Partner",POWER(Upgrades!$U$16,H111),1)*IF(Upgrades!$T$17="Binary Partner",POWER(Upgrades!$U$17,I111),1)*IF(Upgrades!$T$19="Binary Partner",POWER(Upgrades!$U$19,K111),1)*IF(Upgrades!$T$20="Binary Partner",POWER(Upgrades!$U$20,L111),1)*IF(Upgrades!$T$21="Binary Partner",POWER(Upgrades!$U$21,M111),1))+(IF(K111=0,0,(Upgrades!$G$19+K111*Upgrades!$H$19)*POWER(Upgrades!$I$19,K111)))*(IF(Upgrades!$T$13="Peculiar Velocity",POWER(Upgrades!$U$13,E111),1)*IF(Upgrades!$T$14="Peculiar Velocity",POWER(Upgrades!$U$14,F111),1)*IF(Upgrades!$T$15="Peculiar Velocity",POWER(Upgrades!$U$15,G111),1)*IF(Upgrades!$T$16="Peculiar Velocity",POWER(Upgrades!$U$16,H111),1)*IF(Upgrades!$T$17="Peculiar Velocity",POWER(Upgrades!$U$17,I111),1)*IF(Upgrades!$T$18="Peculiar Velocity",POWER(Upgrades!$U$18,J111),1)*IF(Upgrades!$T$20="Peculiar Velocity",POWER(Upgrades!$U$20,L111),1)*IF(Upgrades!$T$21="Peculiar Velocity",POWER(Upgrades!$U$21,M111),1))+(IF(L111=0,0,(Upgrades!$G$20+L111*Upgrades!$H$20)*POWER(Upgrades!$I$20,L111)))*(IF(Upgrades!$T$13="Open Cluster",POWER(Upgrades!$U$13,E111),1)*IF(Upgrades!$T$14="Open Cluster",POWER(Upgrades!$U$14,F111),1)*IF(Upgrades!$T$15="Open Cluster",POWER(Upgrades!$U$15,G111),1)*IF(Upgrades!$T$16="Open Cluster",POWER(Upgrades!$U$16,H111),1)*IF(Upgrades!$T$17="Open Cluster",POWER(Upgrades!$U$17,I111),1)*IF(Upgrades!$T$18="Open Cluster",POWER(Upgrades!$U$18,J111),1)*IF(Upgrades!$T$19="Open Cluster",POWER(Upgrades!$U$19,K111),1)*IF(Upgrades!$T$21="Open Cluster",POWER(Upgrades!$U$21,M111),1))+(IF(M111=0,0,(Upgrades!$G$21+M111*Upgrades!$H$21)*POWER(Upgrades!$I$21,M111)))*(IF(Upgrades!$T$13="Moving Group",POWER(Upgrades!$U$13,E111),1)*IF(Upgrades!$T$14="Moving Group",POWER(Upgrades!$U$14,F111),1)*IF(Upgrades!$T$15="Moving Group",POWER(Upgrades!$U$15,G111),1)*IF(Upgrades!$T$16="Moving Group",POWER(Upgrades!$U$16,H111),1)*IF(Upgrades!$T$17="Moving Group",POWER(Upgrades!$U$17,I111),1)*IF(Upgrades!$T$18="Moving Group",POWER(Upgrades!$U$18,J111),1)*IF(Upgrades!$T$19="Moving Group",POWER(Upgrades!$U$19,K111),1)*IF(Upgrades!$T$20="Moving Group",POWER(Upgrades!$U$20,L111),1)))*POWER(Upgrades!$P$13,E111)*POWER(Upgrades!$P$14,F111)*POWER(Upgrades!$P$15,G111)*POWER(Upgrades!$P$16,H111)*POWER(Upgrades!$P$17,I111)*POWER(Upgrades!$P$18,J111)*POWER(Upgrades!$P$19,K111)*POWER(Upgrades!$P$20,L111)*POWER(Upgrades!$P$21,M111)*$F$6+$C$6</f>
        <v/>
      </c>
      <c r="Q111" s="28">
        <f>((IF(E111=0,0,(Upgrades!$M$13+E111*Upgrades!$N$13)*POWER(Upgrades!$O$13,E111)))*(IF(Upgrades!$T$14="Stellar Kinematics",POWER(Upgrades!$U$14,F111),1)*IF(Upgrades!$T$15="Stellar Kinematics",POWER(Upgrades!$U$15,G111),1)*IF(Upgrades!$T$16="Stellar Kinematics",POWER(Upgrades!$U$16,H111),1)*IF(Upgrades!$T$17="Stellar Kinematics",POWER(Upgrades!$U$17,I111),1)*IF(Upgrades!$T$18="Stellar Kinematics",POWER(Upgrades!$U$18,J111),1)*IF(Upgrades!$T$19="Stellar Kinematics",POWER(Upgrades!$U$19,K111),1)*IF(Upgrades!$T$20="Stellar Kinematics",POWER(Upgrades!$U$20,L111),1)*IF(Upgrades!$T$21="Stellar Kinematics",POWER(Upgrades!$U$21,M111),1))+(IF(F111=0,0,(Upgrades!$M$14+F111*Upgrades!$N$14)*POWER(Upgrades!$O$14,F111)))*(IF(Upgrades!$T$13="Local Bubble",POWER(Upgrades!$U$13,E111),1)*IF(Upgrades!$T$15="Local Bubble",POWER(Upgrades!$U$15,G111),1)*IF(Upgrades!$T$16="Local Bubble",POWER(Upgrades!$U$16,H111),1)*IF(Upgrades!$T$17="Local Bubble",POWER(Upgrades!$U$17,I111),1)*IF(Upgrades!$T$18="Local Bubble",POWER(Upgrades!$U$18,J111),1)*IF(Upgrades!$T$19="Local Bubble",POWER(Upgrades!$U$19,K111),1)*IF(Upgrades!$T$20="Local Bubble",POWER(Upgrades!$U$20,L111),1)*IF(Upgrades!$T$21="Local Bubble",POWER(Upgrades!$U$21,M111),1))+(IF(G111=0,0,(Upgrades!$M$15+G111*Upgrades!$N$15)*POWER(Upgrades!$O$15,G111)))*(IF(Upgrades!$T$13="Microlensing",POWER(Upgrades!$U$13,E111),1)*IF(Upgrades!$T$14="Microlensing",POWER(Upgrades!$U$14,F111),1)*IF(Upgrades!$T$16="Microlensing",POWER(Upgrades!$U$16,H111),1)*IF(Upgrades!$T$17="Microlensing",POWER(Upgrades!$U$17,I111),1)*IF(Upgrades!$T$18="Microlensing",POWER(Upgrades!$U$18,J111),1)*IF(Upgrades!$T$19="Microlensing",POWER(Upgrades!$U$19,K111),1)*IF(Upgrades!$T$20="Microlensing",POWER(Upgrades!$U$20,L111),1)*IF(Upgrades!$T$21="Microlensing",POWER(Upgrades!$U$21,M111),1))+(IF(H111=0,0,(Upgrades!$M$16+H111*Upgrades!$N$16)*POWER(Upgrades!$O$16,H111)))*(IF(Upgrades!$T$13="Roche Lobe Overflow",POWER(Upgrades!$U$13,E111),1)*IF(Upgrades!$T$14="Roche Lobe Overflow",POWER(Upgrades!$U$14,F111),1)*IF(Upgrades!$T$15="Roche Lobe Overflow",POWER(Upgrades!$U$15,G111),1)*IF(Upgrades!$T$17="Roche Lobe Overflow",POWER(Upgrades!$U$17,I111),1)*IF(Upgrades!$T$18="Roche Lobe Overflow",POWER(Upgrades!$U$18,J111),1)*IF(Upgrades!$T$19="Roche Lobe Overflow",POWER(Upgrades!$U$19,K111),1)*IF(Upgrades!$T$20="Roche Lobe Overflow",POWER(Upgrades!$U$20,L111),1)*IF(Upgrades!$T$21="Roche Lobe Overflow",POWER(Upgrades!$U$21,M111),1))+(IF(I111=0,0,(Upgrades!$M$17+I111*Upgrades!$N$17)*POWER(Upgrades!$O$17,I111)))*(IF(Upgrades!$T$13="Brown Dwarf",POWER(Upgrades!$U$13,E111),1)*IF(Upgrades!$T$14="Brown Dwarf",POWER(Upgrades!$U$14,F111),1)*IF(Upgrades!$T$15="Brown Dwarf",POWER(Upgrades!$U$15,G111),1)*IF(Upgrades!$T$16="Brown Dwarf",POWER(Upgrades!$U$16,H111),1)*IF(Upgrades!$T$18="Brown Dwarf",POWER(Upgrades!$U$18,J111),1)*IF(Upgrades!$T$19="Brown Dwarf",POWER(Upgrades!$U$19,K111),1)*IF(Upgrades!$T$20="Brown Dwarf",POWER(Upgrades!$U$20,L111),1)*IF(Upgrades!$T$21="Brown Dwarf",POWER(Upgrades!$U$21,M111),1))+(IF(J111=0,0,(Upgrades!$M$18+J111*Upgrades!$N$18)*POWER(Upgrades!$O$18,J111)))*(IF(Upgrades!$T$13="Binary Partner",POWER(Upgrades!$U$13,E111),1)*IF(Upgrades!$T$14="Binary Partner",POWER(Upgrades!$U$14,F111),1)*IF(Upgrades!$T$15="Binary Partner",POWER(Upgrades!$U$15,G111),1)*IF(Upgrades!$T$16="Binary Partner",POWER(Upgrades!$U$16,H111),1)*IF(Upgrades!$T$17="Binary Partner",POWER(Upgrades!$U$17,I111),1)*IF(Upgrades!$T$19="Binary Partner",POWER(Upgrades!$U$19,K111),1)*IF(Upgrades!$T$20="Binary Partner",POWER(Upgrades!$U$20,L111),1)*IF(Upgrades!$T$21="Binary Partner",POWER(Upgrades!$U$21,M111),1))+(IF(K111=0,0,(Upgrades!$M$19+K111*Upgrades!$N$19)*POWER(Upgrades!$O$19,K111)))*(IF(Upgrades!$T$13="Peculiar Velocity",POWER(Upgrades!$U$13,E111),1)*IF(Upgrades!$T$14="Peculiar Velocity",POWER(Upgrades!$U$14,F111),1)*IF(Upgrades!$T$15="Peculiar Velocity",POWER(Upgrades!$U$15,G111),1)*IF(Upgrades!$T$16="Peculiar Velocity",POWER(Upgrades!$U$16,H111),1)*IF(Upgrades!$T$17="Peculiar Velocity",POWER(Upgrades!$U$17,I111),1)*IF(Upgrades!$T$18="Peculiar Velocity",POWER(Upgrades!$U$18,J111),1)*IF(Upgrades!$T$20="Peculiar Velocity",POWER(Upgrades!$U$20,L111),1)*IF(Upgrades!$T$21="Peculiar Velocity",POWER(Upgrades!$U$21,M111),1))+(IF(L111=0,0,(Upgrades!$M$20+L111*Upgrades!$N$20)*POWER(Upgrades!$O$20,L111)))*(IF(Upgrades!$T$13="Open Cluster",POWER(Upgrades!$U$13,E111),1)*IF(Upgrades!$T$14="Open Cluster",POWER(Upgrades!$U$14,F111),1)*IF(Upgrades!$T$15="Open Cluster",POWER(Upgrades!$U$15,G111),1)*IF(Upgrades!$T$16="Open Cluster",POWER(Upgrades!$U$16,H111),1)*IF(Upgrades!$T$17="Open Cluster",POWER(Upgrades!$U$17,I111),1)*IF(Upgrades!$T$18="Open Cluster",POWER(Upgrades!$U$18,J111),1)*IF(Upgrades!$T$19="Open Cluster",POWER(Upgrades!$U$19,K111),1)*IF(Upgrades!$T$21="Open Cluster",POWER(Upgrades!$U$21,M111),1))+(IF(M111=0,0,(Upgrades!$M$21+M111*Upgrades!$N$21)*POWER(Upgrades!$O$21,M111)))*(IF(Upgrades!$T$13="Moving Group",POWER(Upgrades!$U$13,E111),1)*IF(Upgrades!$T$14="Moving Group",POWER(Upgrades!$U$14,F111),1)*IF(Upgrades!$T$15="Moving Group",POWER(Upgrades!$U$15,G111),1)*IF(Upgrades!$T$16="Moving Group",POWER(Upgrades!$U$16,H111),1)*IF(Upgrades!$T$17="Moving Group",POWER(Upgrades!$U$17,I111),1)*IF(Upgrades!$T$18="Moving Group",POWER(Upgrades!$U$18,J111),1)*IF(Upgrades!$T$19="Moving Group",POWER(Upgrades!$U$19,K111),1)*IF(Upgrades!$T$20="Moving Group",POWER(Upgrades!$U$20,L111),1)))*POWER(Upgrades!$R$13,E111)*POWER(Upgrades!$R$14,F111)*POWER(Upgrades!$R$15,G111)*POWER(Upgrades!$R$16,H111)*POWER(Upgrades!$R$17,I111)*POWER(Upgrades!$R$18,J111)*POWER(Upgrades!$R$19,K111)*POWER(Upgrades!$R$20,L111)*POWER(Upgrades!$R$21,M111)*$H$6+$E$6</f>
        <v/>
      </c>
      <c r="R111" s="27">
        <f>IF(N111=1,0,O111*Parameters!$B$10/60*Parameters!$B$11*10)</f>
        <v/>
      </c>
      <c r="S111" s="27">
        <f>IF(N111=1,0,Q111*O111*10)</f>
        <v/>
      </c>
      <c r="T111" s="27">
        <f>IF(N111=1,0,R111+S111+P111*10)</f>
        <v/>
      </c>
      <c r="U111" s="33">
        <f>BE111</f>
        <v/>
      </c>
      <c r="V111" s="22">
        <f>IF(U111="",0,IF(U111="transition",0,IF(U111="SK",AK111,IF(U111="LB",AL111,IF(U111="ML",AM111,IF(U111="RLO",AN111,IF(U111="BD",AO111,IF(U111="BiP",AP111,IF(U111="PV",AQ111,IF(U111="OC",AR111,IF(U111="MG",AS111,0))))))))))</f>
        <v/>
      </c>
      <c r="W111" s="27">
        <f>IF(U111="BiP",Upgrades!$F$18,IF(U111="PV",Upgrades!$F$19,IF(U111="OC",Upgrades!$F$20,IF(U111="MG",Upgrades!$F$21,IF(U111="transition",-Parameters!$B$18*Parameters!$B$19,0)))))</f>
        <v/>
      </c>
      <c r="X111" s="22">
        <f>C111+T111-V111</f>
        <v/>
      </c>
      <c r="Y111" s="30">
        <f>O111*Parameters!$B$10/60*Parameters!$B$11+Q111*O111+P111</f>
        <v/>
      </c>
      <c r="Z111" s="34">
        <f>IF(U111="transition","→ Tier 3 (Galactic Arm)",IF(U111="MG","Moving Group — pocket drifts together",IF(U111="OC","Open Cluster acquired",IF(U111="PV","Peculiar Velocity — passive multiplier active",IF(U111="BiP","Binary Partner — pair bond formed",IF(AND(AU111=1,N111=0,AT111&lt;&gt;1),"Cohesion ready (waiting on completionists)","")))))) </f>
        <v/>
      </c>
      <c r="AA111" s="27">
        <f>(IF(E111=0,0,(Upgrades!$G$13+E111*Upgrades!$H$13)*POWER(Upgrades!$I$13,E111)))*(IF(Upgrades!$T$14="Stellar Kinematics",POWER(Upgrades!$U$14,F111),1)*IF(Upgrades!$T$15="Stellar Kinematics",POWER(Upgrades!$U$15,G111),1)*IF(Upgrades!$T$16="Stellar Kinematics",POWER(Upgrades!$U$16,H111),1)*IF(Upgrades!$T$17="Stellar Kinematics",POWER(Upgrades!$U$17,I111),1)*IF(Upgrades!$T$18="Stellar Kinematics",POWER(Upgrades!$U$18,J111),1)*IF(Upgrades!$T$19="Stellar Kinematics",POWER(Upgrades!$U$19,K111),1)*IF(Upgrades!$T$20="Stellar Kinematics",POWER(Upgrades!$U$20,L111),1)*IF(Upgrades!$T$21="Stellar Kinematics",POWER(Upgrades!$U$21,M111),1))*POWER(Upgrades!$P$13,E111)*POWER(Upgrades!$P$14,F111)*POWER(Upgrades!$P$15,G111)*POWER(Upgrades!$P$16,H111)*POWER(Upgrades!$P$17,I111)*POWER(Upgrades!$P$18,J111)*POWER(Upgrades!$P$19,K111)*POWER(Upgrades!$P$20,L111)*POWER(Upgrades!$P$21,M111)*$F$6*60</f>
        <v/>
      </c>
      <c r="AB111" s="27">
        <f>(IF(F111=0,0,(Upgrades!$G$14+F111*Upgrades!$H$14)*POWER(Upgrades!$I$14,F111)))*(IF(Upgrades!$T$13="Local Bubble",POWER(Upgrades!$U$13,E111),1)*IF(Upgrades!$T$15="Local Bubble",POWER(Upgrades!$U$15,G111),1)*IF(Upgrades!$T$16="Local Bubble",POWER(Upgrades!$U$16,H111),1)*IF(Upgrades!$T$17="Local Bubble",POWER(Upgrades!$U$17,I111),1)*IF(Upgrades!$T$18="Local Bubble",POWER(Upgrades!$U$18,J111),1)*IF(Upgrades!$T$19="Local Bubble",POWER(Upgrades!$U$19,K111),1)*IF(Upgrades!$T$20="Local Bubble",POWER(Upgrades!$U$20,L111),1)*IF(Upgrades!$T$21="Local Bubble",POWER(Upgrades!$U$21,M111),1))*POWER(Upgrades!$P$13,E111)*POWER(Upgrades!$P$14,F111)*POWER(Upgrades!$P$15,G111)*POWER(Upgrades!$P$16,H111)*POWER(Upgrades!$P$17,I111)*POWER(Upgrades!$P$18,J111)*POWER(Upgrades!$P$19,K111)*POWER(Upgrades!$P$20,L111)*POWER(Upgrades!$P$21,M111)*$F$6*60</f>
        <v/>
      </c>
      <c r="AC111" s="27">
        <f>(IF(G111=0,0,(Upgrades!$J$15+G111*Upgrades!$K$15)*POWER(Upgrades!$L$15,G111)))*(IF(Upgrades!$T$13="Microlensing",POWER(Upgrades!$U$13,E111),1)*IF(Upgrades!$T$14="Microlensing",POWER(Upgrades!$U$14,F111),1)*IF(Upgrades!$T$16="Microlensing",POWER(Upgrades!$U$16,H111),1)*IF(Upgrades!$T$17="Microlensing",POWER(Upgrades!$U$17,I111),1)*IF(Upgrades!$T$18="Microlensing",POWER(Upgrades!$U$18,J111),1)*IF(Upgrades!$T$19="Microlensing",POWER(Upgrades!$U$19,K111),1)*IF(Upgrades!$T$20="Microlensing",POWER(Upgrades!$U$20,L111),1)*IF(Upgrades!$T$21="Microlensing",POWER(Upgrades!$U$21,M111),1))*POWER(Upgrades!$Q$13,E111)*POWER(Upgrades!$Q$14,F111)*POWER(Upgrades!$Q$15,G111)*POWER(Upgrades!$Q$16,H111)*POWER(Upgrades!$Q$17,I111)*POWER(Upgrades!$Q$18,J111)*POWER(Upgrades!$Q$19,K111)*POWER(Upgrades!$Q$20,L111)*POWER(Upgrades!$Q$21,M111)*$G$6*(Parameters!$B$10*Parameters!$B$11+Q111*60)</f>
        <v/>
      </c>
      <c r="AD111" s="27">
        <f>(IF(H111=0,0,(Upgrades!$M$16+H111*Upgrades!$N$16)*POWER(Upgrades!$O$16,H111)))*(IF(Upgrades!$T$13="Roche Lobe Overflow",POWER(Upgrades!$U$13,E111),1)*IF(Upgrades!$T$14="Roche Lobe Overflow",POWER(Upgrades!$U$14,F111),1)*IF(Upgrades!$T$15="Roche Lobe Overflow",POWER(Upgrades!$U$15,G111),1)*IF(Upgrades!$T$17="Roche Lobe Overflow",POWER(Upgrades!$U$17,I111),1)*IF(Upgrades!$T$18="Roche Lobe Overflow",POWER(Upgrades!$U$18,J111),1)*IF(Upgrades!$T$19="Roche Lobe Overflow",POWER(Upgrades!$U$19,K111),1)*IF(Upgrades!$T$20="Roche Lobe Overflow",POWER(Upgrades!$U$20,L111),1)*IF(Upgrades!$T$21="Roche Lobe Overflow",POWER(Upgrades!$U$21,M111),1))*POWER(Upgrades!$R$13,E111)*POWER(Upgrades!$R$14,F111)*POWER(Upgrades!$R$15,G111)*POWER(Upgrades!$R$16,H111)*POWER(Upgrades!$R$17,I111)*POWER(Upgrades!$R$18,J111)*POWER(Upgrades!$R$19,K111)*POWER(Upgrades!$R$20,L111)*POWER(Upgrades!$R$21,M111)*$H$6*O111*60</f>
        <v/>
      </c>
      <c r="AE111" s="27">
        <f>(IF(I111=0,0,(Upgrades!$G$17+I111*Upgrades!$H$17)*POWER(Upgrades!$I$17,I111)))*(IF(Upgrades!$T$13="Brown Dwarf",POWER(Upgrades!$U$13,E111),1)*IF(Upgrades!$T$14="Brown Dwarf",POWER(Upgrades!$U$14,F111),1)*IF(Upgrades!$T$15="Brown Dwarf",POWER(Upgrades!$U$15,G111),1)*IF(Upgrades!$T$16="Brown Dwarf",POWER(Upgrades!$U$16,H111),1)*IF(Upgrades!$T$18="Brown Dwarf",POWER(Upgrades!$U$18,J111),1)*IF(Upgrades!$T$19="Brown Dwarf",POWER(Upgrades!$U$19,K111),1)*IF(Upgrades!$T$20="Brown Dwarf",POWER(Upgrades!$U$20,L111),1)*IF(Upgrades!$T$21="Brown Dwarf",POWER(Upgrades!$U$21,M111),1))*POWER(Upgrades!$P$13,E111)*POWER(Upgrades!$P$14,F111)*POWER(Upgrades!$P$15,G111)*POWER(Upgrades!$P$16,H111)*POWER(Upgrades!$P$17,I111)*POWER(Upgrades!$P$18,J111)*POWER(Upgrades!$P$19,K111)*POWER(Upgrades!$P$20,L111)*POWER(Upgrades!$P$21,M111)*$F$6*60</f>
        <v/>
      </c>
      <c r="AF111" s="27" t="n">
        <v>0</v>
      </c>
      <c r="AG111" s="27" t="n">
        <v>0</v>
      </c>
      <c r="AH111" s="27" t="n">
        <v>0</v>
      </c>
      <c r="AI111" s="27">
        <f>(IF(M111=0,0,(Upgrades!$G$21+M111*Upgrades!$H$21)*POWER(Upgrades!$I$21,M111)))*(IF(Upgrades!$T$13="Moving Group",POWER(Upgrades!$U$13,E111),1)*IF(Upgrades!$T$14="Moving Group",POWER(Upgrades!$U$14,F111),1)*IF(Upgrades!$T$15="Moving Group",POWER(Upgrades!$U$15,G111),1)*IF(Upgrades!$T$16="Moving Group",POWER(Upgrades!$U$16,H111),1)*IF(Upgrades!$T$17="Moving Group",POWER(Upgrades!$U$17,I111),1)*IF(Upgrades!$T$18="Moving Group",POWER(Upgrades!$U$18,J111),1)*IF(Upgrades!$T$19="Moving Group",POWER(Upgrades!$U$19,K111),1)*IF(Upgrades!$T$20="Moving Group",POWER(Upgrades!$U$20,L111),1))*POWER(Upgrades!$P$13,E111)*POWER(Upgrades!$P$14,F111)*POWER(Upgrades!$P$15,G111)*POWER(Upgrades!$P$16,H111)*POWER(Upgrades!$P$17,I111)*POWER(Upgrades!$P$18,J111)*POWER(Upgrades!$P$19,K111)*POWER(Upgrades!$P$20,L111)*POWER(Upgrades!$P$21,M111)*$F$6*60</f>
        <v/>
      </c>
      <c r="AJ111" s="27">
        <f>$C$6*60</f>
        <v/>
      </c>
      <c r="AK111" s="22">
        <f>IF(E111&gt;=Upgrades!$E$13,"",Upgrades!$C$13*POWER(Upgrades!$D$13,E111))</f>
        <v/>
      </c>
      <c r="AL111" s="22">
        <f>IF(F111&gt;=Upgrades!$E$14,"",Upgrades!$C$14*POWER(Upgrades!$D$14,F111))</f>
        <v/>
      </c>
      <c r="AM111" s="22">
        <f>IF(G111&gt;=Upgrades!$E$15,"",Upgrades!$C$15*POWER(Upgrades!$D$15,G111))</f>
        <v/>
      </c>
      <c r="AN111" s="22">
        <f>IF(H111&gt;=Upgrades!$E$16,"",Upgrades!$C$16*POWER(Upgrades!$D$16,H111))</f>
        <v/>
      </c>
      <c r="AO111" s="22">
        <f>IF(I111&gt;=Upgrades!$E$17,"",Upgrades!$C$17*POWER(Upgrades!$D$17,I111))</f>
        <v/>
      </c>
      <c r="AP111" s="22">
        <f>IF(J111&gt;=Upgrades!$E$18,"",Upgrades!$C$18*POWER(Upgrades!$D$18,J111))</f>
        <v/>
      </c>
      <c r="AQ111" s="22">
        <f>IF(K111&gt;=Upgrades!$E$19,"",Upgrades!$C$19*POWER(Upgrades!$D$19,K111))</f>
        <v/>
      </c>
      <c r="AR111" s="22">
        <f>IF(L111&gt;=Upgrades!$E$20,"",Upgrades!$C$20*POWER(Upgrades!$D$20,L111))</f>
        <v/>
      </c>
      <c r="AS111" s="22">
        <f>IF(M111&gt;=Upgrades!$E$21,"",Upgrades!$C$21*POWER(Upgrades!$D$21,M111))</f>
        <v/>
      </c>
      <c r="AT111" s="26">
        <f>IF(AND(D111&gt;=Parameters!$B$18*Parameters!$B$19,(I111&gt;=Upgrades!$E$17)*(M111&gt;=Upgrades!$E$21)=1,N111=0),1,"")</f>
        <v/>
      </c>
      <c r="AU111" s="26">
        <f>IF(AND(D111&gt;=Parameters!$B$18*Parameters!$B$19,N111=0),1,"")</f>
        <v/>
      </c>
      <c r="AV111" s="22">
        <f>MIN(IF(ISNUMBER(AP111),AP111,9E15),IF(ISNUMBER(AQ111),AQ111,9E15),IF(ISNUMBER(AR111),AR111,9E15),IF(ISNUMBER(AS111),AS111,9E15))</f>
        <v/>
      </c>
      <c r="AW111" s="22">
        <f>MIN(IF(ISNUMBER(AK111),AK111,9E15),IF(ISNUMBER(AL111),AL111,9E15),IF(ISNUMBER(AM111),AM111,9E15),IF(ISNUMBER(AN111),AN111,9E15),IF(ISNUMBER(AO111),AO111,9E15))</f>
        <v/>
      </c>
      <c r="AX111" s="29">
        <f>IF(BD111&gt;Parameters!$B$21*(MAX(IF(AND(NOT(AND(AU111=1,AT111&lt;&gt;1)),ISNUMBER(AK111),AK111&lt;=(C111+T111)),AY111,0),IF(AND(NOT(AND(AU111=1,AT111&lt;&gt;1)),ISNUMBER(AL111),AL111&lt;=(C111+T111)),AZ111,0),IF(AND(NOT(AND(AU111=1,AT111&lt;&gt;1)),ISNUMBER(AM111),AM111&lt;=(C111+T111)),BA111,0),IF(AND(NOT(AND(AU111=1,AT111&lt;&gt;1)),ISNUMBER(AN111),AN111&lt;=(C111+T111)),BB111,0),IF(AND(ISNUMBER(AO111),AO111&lt;=(C111+T111)),BC111,0))),TRUE,FALSE)</f>
        <v/>
      </c>
      <c r="AY111" s="32">
        <f>IFERROR(Upgrades!$H$13*(POWER(Upgrades!$P$13,E111)*POWER(Upgrades!$P$14,F111)*POWER(Upgrades!$P$15,G111)*POWER(Upgrades!$P$16,H111)*POWER(Upgrades!$P$17,I111)*POWER(Upgrades!$P$18,J111)*POWER(Upgrades!$P$19,K111)*POWER(Upgrades!$P$20,L111)*POWER(Upgrades!$P$21,M111))*(IF(Upgrades!$T$14="Stellar Kinematics",POWER(Upgrades!$U$14,F111),1)*IF(Upgrades!$T$15="Stellar Kinematics",POWER(Upgrades!$U$15,G111),1)*IF(Upgrades!$T$16="Stellar Kinematics",POWER(Upgrades!$U$16,H111),1)*IF(Upgrades!$T$17="Stellar Kinematics",POWER(Upgrades!$U$17,I111),1)*IF(Upgrades!$T$18="Stellar Kinematics",POWER(Upgrades!$U$18,J111),1)*IF(Upgrades!$T$19="Stellar Kinematics",POWER(Upgrades!$U$19,K111),1)*IF(Upgrades!$T$20="Stellar Kinematics",POWER(Upgrades!$U$20,L111),1)*IF(Upgrades!$T$21="Stellar Kinematics",POWER(Upgrades!$U$21,M111),1))*$F$6/AK111,0)</f>
        <v/>
      </c>
      <c r="AZ111" s="32">
        <f>IFERROR(Upgrades!$H$14*(POWER(Upgrades!$P$13,E111)*POWER(Upgrades!$P$14,F111)*POWER(Upgrades!$P$15,G111)*POWER(Upgrades!$P$16,H111)*POWER(Upgrades!$P$17,I111)*POWER(Upgrades!$P$18,J111)*POWER(Upgrades!$P$19,K111)*POWER(Upgrades!$P$20,L111)*POWER(Upgrades!$P$21,M111))*(IF(Upgrades!$T$13="Local Bubble",POWER(Upgrades!$U$13,E111),1)*IF(Upgrades!$T$15="Local Bubble",POWER(Upgrades!$U$15,G111),1)*IF(Upgrades!$T$16="Local Bubble",POWER(Upgrades!$U$16,H111),1)*IF(Upgrades!$T$17="Local Bubble",POWER(Upgrades!$U$17,I111),1)*IF(Upgrades!$T$18="Local Bubble",POWER(Upgrades!$U$18,J111),1)*IF(Upgrades!$T$19="Local Bubble",POWER(Upgrades!$U$19,K111),1)*IF(Upgrades!$T$20="Local Bubble",POWER(Upgrades!$U$20,L111),1)*IF(Upgrades!$T$21="Local Bubble",POWER(Upgrades!$U$21,M111),1))*$F$6/AL111,0)</f>
        <v/>
      </c>
      <c r="BA111" s="32">
        <f>IFERROR(Upgrades!$K$15*(POWER(Upgrades!$Q$13,E111)*POWER(Upgrades!$Q$14,F111)*POWER(Upgrades!$Q$15,G111)*POWER(Upgrades!$Q$16,H111)*POWER(Upgrades!$Q$17,I111)*POWER(Upgrades!$Q$18,J111)*POWER(Upgrades!$Q$19,K111)*POWER(Upgrades!$Q$20,L111)*POWER(Upgrades!$Q$21,M111))*(IF(Upgrades!$T$13="Microlensing",POWER(Upgrades!$U$13,E111),1)*IF(Upgrades!$T$14="Microlensing",POWER(Upgrades!$U$14,F111),1)*IF(Upgrades!$T$16="Microlensing",POWER(Upgrades!$U$16,H111),1)*IF(Upgrades!$T$17="Microlensing",POWER(Upgrades!$U$17,I111),1)*IF(Upgrades!$T$18="Microlensing",POWER(Upgrades!$U$18,J111),1)*IF(Upgrades!$T$19="Microlensing",POWER(Upgrades!$U$19,K111),1)*IF(Upgrades!$T$20="Microlensing",POWER(Upgrades!$U$20,L111),1)*IF(Upgrades!$T$21="Microlensing",POWER(Upgrades!$U$21,M111),1))*$G$6*(Parameters!$B$10/60*Parameters!$B$11+Q111)/AM111,0)</f>
        <v/>
      </c>
      <c r="BB111" s="32">
        <f>IFERROR((Upgrades!$N$16*(POWER(Upgrades!$R$13,E111)*POWER(Upgrades!$R$14,F111)*POWER(Upgrades!$R$15,G111)*POWER(Upgrades!$R$16,H111)*POWER(Upgrades!$R$17,I111)*POWER(Upgrades!$R$18,J111)*POWER(Upgrades!$R$19,K111)*POWER(Upgrades!$R$20,L111)*POWER(Upgrades!$R$21,M111))*(IF(Upgrades!$T$13="Roche Lobe Overflow",POWER(Upgrades!$U$13,E111),1)*IF(Upgrades!$T$14="Roche Lobe Overflow",POWER(Upgrades!$U$14,F111),1)*IF(Upgrades!$T$15="Roche Lobe Overflow",POWER(Upgrades!$U$15,G111),1)*IF(Upgrades!$T$17="Roche Lobe Overflow",POWER(Upgrades!$U$17,I111),1)*IF(Upgrades!$T$18="Roche Lobe Overflow",POWER(Upgrades!$U$18,J111),1)*IF(Upgrades!$T$19="Roche Lobe Overflow",POWER(Upgrades!$U$19,K111),1)*IF(Upgrades!$T$20="Roche Lobe Overflow",POWER(Upgrades!$U$20,L111),1)*IF(Upgrades!$T$21="Roche Lobe Overflow",POWER(Upgrades!$U$21,M111),1))*$H$6*O111+((IF(F111=0,0,(Upgrades!$G$14+F111*Upgrades!$H$14)*POWER(Upgrades!$I$14,F111)))*(IF(Upgrades!$T$13="Local Bubble",POWER(Upgrades!$U$13,E111),1)*IF(Upgrades!$T$15="Local Bubble",POWER(Upgrades!$U$15,G111),1)*IF(Upgrades!$T$16="Local Bubble",POWER(Upgrades!$U$16,H111),1)*IF(Upgrades!$T$17="Local Bubble",POWER(Upgrades!$U$17,I111),1)*IF(Upgrades!$T$18="Local Bubble",POWER(Upgrades!$U$18,J111),1)*IF(Upgrades!$T$19="Local Bubble",POWER(Upgrades!$U$19,K111),1)*IF(Upgrades!$T$20="Local Bubble",POWER(Upgrades!$U$20,L111),1)*IF(Upgrades!$T$21="Local Bubble",POWER(Upgrades!$U$21,M111),1))*POWER(Upgrades!$P$13,E111)*POWER(Upgrades!$P$14,F111)*POWER(Upgrades!$P$15,G111)*POWER(Upgrades!$P$16,H111)*POWER(Upgrades!$P$17,I111)*POWER(Upgrades!$P$18,J111)*POWER(Upgrades!$P$19,K111)*POWER(Upgrades!$P$20,L111)*POWER(Upgrades!$P$21,M111)*$F$6)*0.05)/AN111,0)</f>
        <v/>
      </c>
      <c r="BC111" s="32">
        <f>IFERROR((Upgrades!$H$17*(POWER(Upgrades!$P$13,E111)*POWER(Upgrades!$P$14,F111)*POWER(Upgrades!$P$15,G111)*POWER(Upgrades!$P$16,H111)*POWER(Upgrades!$P$17,I111)*POWER(Upgrades!$P$18,J111)*POWER(Upgrades!$P$19,K111)*POWER(Upgrades!$P$20,L111)*POWER(Upgrades!$P$21,M111))*(IF(Upgrades!$T$13="Brown Dwarf",POWER(Upgrades!$U$13,E111),1)*IF(Upgrades!$T$14="Brown Dwarf",POWER(Upgrades!$U$14,F111),1)*IF(Upgrades!$T$15="Brown Dwarf",POWER(Upgrades!$U$15,G111),1)*IF(Upgrades!$T$16="Brown Dwarf",POWER(Upgrades!$U$16,H111),1)*IF(Upgrades!$T$18="Brown Dwarf",POWER(Upgrades!$U$18,J111),1)*IF(Upgrades!$T$19="Brown Dwarf",POWER(Upgrades!$U$19,K111),1)*IF(Upgrades!$T$20="Brown Dwarf",POWER(Upgrades!$U$20,L111),1)*IF(Upgrades!$T$21="Brown Dwarf",POWER(Upgrades!$U$21,M111),1))*$F$6+(((IF(H111=0,0,(Upgrades!$M$16+H111*Upgrades!$N$16)*POWER(Upgrades!$O$16,H111)))*(IF(Upgrades!$T$13="Roche Lobe Overflow",POWER(Upgrades!$U$13,E111),1)*IF(Upgrades!$T$14="Roche Lobe Overflow",POWER(Upgrades!$U$14,F111),1)*IF(Upgrades!$T$15="Roche Lobe Overflow",POWER(Upgrades!$U$15,G111),1)*IF(Upgrades!$T$17="Roche Lobe Overflow",POWER(Upgrades!$U$17,I111),1)*IF(Upgrades!$T$18="Roche Lobe Overflow",POWER(Upgrades!$U$18,J111),1)*IF(Upgrades!$T$19="Roche Lobe Overflow",POWER(Upgrades!$U$19,K111),1)*IF(Upgrades!$T$20="Roche Lobe Overflow",POWER(Upgrades!$U$20,L111),1)*IF(Upgrades!$T$21="Roche Lobe Overflow",POWER(Upgrades!$U$21,M111),1))*POWER(Upgrades!$R$13,E111)*POWER(Upgrades!$R$14,F111)*POWER(Upgrades!$R$15,G111)*POWER(Upgrades!$R$16,H111)*POWER(Upgrades!$R$17,I111)*POWER(Upgrades!$R$18,J111)*POWER(Upgrades!$R$19,K111)*POWER(Upgrades!$R$20,L111)*POWER(Upgrades!$R$21,M111)*$H$6)*O111)*0.10)/AO111,0)</f>
        <v/>
      </c>
      <c r="BD111" s="32">
        <f>MAX(IF(J111&gt;0,0,IFERROR(0.5*((IF(G111=0,0,(Upgrades!$J$15+G111*Upgrades!$K$15)*POWER(Upgrades!$L$15,G111)))*(IF(Upgrades!$T$13="Microlensing",POWER(Upgrades!$U$13,E111),1)*IF(Upgrades!$T$14="Microlensing",POWER(Upgrades!$U$14,F111),1)*IF(Upgrades!$T$16="Microlensing",POWER(Upgrades!$U$16,H111),1)*IF(Upgrades!$T$17="Microlensing",POWER(Upgrades!$U$17,I111),1)*IF(Upgrades!$T$18="Microlensing",POWER(Upgrades!$U$18,J111),1)*IF(Upgrades!$T$19="Microlensing",POWER(Upgrades!$U$19,K111),1)*IF(Upgrades!$T$20="Microlensing",POWER(Upgrades!$U$20,L111),1)*IF(Upgrades!$T$21="Microlensing",POWER(Upgrades!$U$21,M111),1))*(POWER(Upgrades!$Q$13,E111)*POWER(Upgrades!$Q$14,F111)*POWER(Upgrades!$Q$15,G111)*POWER(Upgrades!$Q$16,H111)*POWER(Upgrades!$Q$17,I111)*POWER(Upgrades!$Q$18,J111)*POWER(Upgrades!$Q$19,K111)*POWER(Upgrades!$Q$20,L111)*POWER(Upgrades!$Q$21,M111))*$G$6*(Parameters!$B$10/60*Parameters!$B$11+Q111))/Upgrades!$C$18,0)),IF(K111&gt;0,0,IFERROR(0.30*P111/Upgrades!$C$19,0)),IF(L111&gt;0,0,IFERROR(0.0001/Upgrades!$C$20,0)),IF(M111&gt;0,0,IFERROR((6.0*(POWER(Upgrades!$P$13,E111)*POWER(Upgrades!$P$14,F111)*POWER(Upgrades!$P$15,G111)*POWER(Upgrades!$P$16,H111)*POWER(Upgrades!$P$17,I111)*POWER(Upgrades!$P$18,J111)*POWER(Upgrades!$P$19,K111)*POWER(Upgrades!$P$20,L111)*POWER(Upgrades!$P$21,M111))*$F$6+0.20*O111*(Parameters!$B$10/60*Parameters!$B$11+Q111))/Upgrades!$C$21,0)),IF(AND(ISNUMBER(AK111),AK111&gt;(C111+T111)),AY111,0),IF(AND(ISNUMBER(AL111),AL111&gt;(C111+T111)),AZ111,0),IF(AND(ISNUMBER(AM111),AM111&gt;(C111+T111)),BA111,0),IF(AND(ISNUMBER(AN111),AN111&gt;(C111+T111)),BB111,0),IF(AND(ISNUMBER(AO111),AO111&gt;(C111+T111)),BC111,0))</f>
        <v/>
      </c>
      <c r="BE111" s="29">
        <f>IF(AT111=1,"transition",IF(MIN(IF(AND(J111=0,ISNUMBER(AP111),AP111&lt;=(C111+T111)),AP111,9E15),IF(AND(K111=0,ISNUMBER(AQ111),AQ111&lt;=(C111+T111)),AQ111,9E15),IF(AND(L111=0,ISNUMBER(AR111),AR111&lt;=(C111+T111)),AR111,9E15),IF(AND(M111=0,ISNUMBER(AS111),AS111&lt;=(C111+T111)),AS111,9E15))&lt;9E15,IF(AND(AND(J111=0,ISNUMBER(AP111),AP111&lt;=(C111+T111)),AP111=MIN(IF(AND(J111=0,ISNUMBER(AP111),AP111&lt;=(C111+T111)),AP111,9E15),IF(AND(K111=0,ISNUMBER(AQ111),AQ111&lt;=(C111+T111)),AQ111,9E15),IF(AND(L111=0,ISNUMBER(AR111),AR111&lt;=(C111+T111)),AR111,9E15),IF(AND(M111=0,ISNUMBER(AS111),AS111&lt;=(C111+T111)),AS111,9E15))),"BiP",IF(AND(AND(K111=0,ISNUMBER(AQ111),AQ111&lt;=(C111+T111)),AQ111=MIN(IF(AND(J111=0,ISNUMBER(AP111),AP111&lt;=(C111+T111)),AP111,9E15),IF(AND(K111=0,ISNUMBER(AQ111),AQ111&lt;=(C111+T111)),AQ111,9E15),IF(AND(L111=0,ISNUMBER(AR111),AR111&lt;=(C111+T111)),AR111,9E15),IF(AND(M111=0,ISNUMBER(AS111),AS111&lt;=(C111+T111)),AS111,9E15))),"PV",IF(AND(AND(L111=0,ISNUMBER(AR111),AR111&lt;=(C111+T111)),AR111=MIN(IF(AND(J111=0,ISNUMBER(AP111),AP111&lt;=(C111+T111)),AP111,9E15),IF(AND(K111=0,ISNUMBER(AQ111),AQ111&lt;=(C111+T111)),AQ111,9E15),IF(AND(L111=0,ISNUMBER(AR111),AR111&lt;=(C111+T111)),AR111,9E15),IF(AND(M111=0,ISNUMBER(AS111),AS111&lt;=(C111+T111)),AS111,9E15))),"OC","MG"))),IF(AX111=TRUE,"",IF(MAX(IF(AND(NOT(AND(AU111=1,AT111&lt;&gt;1)),ISNUMBER(AK111),AK111&lt;=(C111+T111)),AY111,0),IF(AND(NOT(AND(AU111=1,AT111&lt;&gt;1)),ISNUMBER(AL111),AL111&lt;=(C111+T111)),AZ111,0),IF(AND(NOT(AND(AU111=1,AT111&lt;&gt;1)),ISNUMBER(AM111),AM111&lt;=(C111+T111)),BA111,0),IF(AND(NOT(AND(AU111=1,AT111&lt;&gt;1)),ISNUMBER(AN111),AN111&lt;=(C111+T111)),BB111,0),IF(AND(ISNUMBER(AO111),AO111&lt;=(C111+T111)),BC111,0))&lt;=0,"",IF(AND(IF(AND(NOT(AND(AU111=1,AT111&lt;&gt;1)),ISNUMBER(AK111),AK111&lt;=(C111+T111)),AY111,0)&gt;0,IF(AND(NOT(AND(AU111=1,AT111&lt;&gt;1)),ISNUMBER(AK111),AK111&lt;=(C111+T111)),AY111,0)=MAX(IF(AND(NOT(AND(AU111=1,AT111&lt;&gt;1)),ISNUMBER(AK111),AK111&lt;=(C111+T111)),AY111,0),IF(AND(NOT(AND(AU111=1,AT111&lt;&gt;1)),ISNUMBER(AL111),AL111&lt;=(C111+T111)),AZ111,0),IF(AND(NOT(AND(AU111=1,AT111&lt;&gt;1)),ISNUMBER(AM111),AM111&lt;=(C111+T111)),BA111,0),IF(AND(NOT(AND(AU111=1,AT111&lt;&gt;1)),ISNUMBER(AN111),AN111&lt;=(C111+T111)),BB111,0),IF(AND(ISNUMBER(AO111),AO111&lt;=(C111+T111)),BC111,0))),"SK",IF(AND(IF(AND(NOT(AND(AU111=1,AT111&lt;&gt;1)),ISNUMBER(AL111),AL111&lt;=(C111+T111)),AZ111,0)&gt;0,IF(AND(NOT(AND(AU111=1,AT111&lt;&gt;1)),ISNUMBER(AL111),AL111&lt;=(C111+T111)),AZ111,0)=MAX(IF(AND(NOT(AND(AU111=1,AT111&lt;&gt;1)),ISNUMBER(AK111),AK111&lt;=(C111+T111)),AY111,0),IF(AND(NOT(AND(AU111=1,AT111&lt;&gt;1)),ISNUMBER(AL111),AL111&lt;=(C111+T111)),AZ111,0),IF(AND(NOT(AND(AU111=1,AT111&lt;&gt;1)),ISNUMBER(AM111),AM111&lt;=(C111+T111)),BA111,0),IF(AND(NOT(AND(AU111=1,AT111&lt;&gt;1)),ISNUMBER(AN111),AN111&lt;=(C111+T111)),BB111,0),IF(AND(ISNUMBER(AO111),AO111&lt;=(C111+T111)),BC111,0))),"LB",IF(AND(IF(AND(NOT(AND(AU111=1,AT111&lt;&gt;1)),ISNUMBER(AM111),AM111&lt;=(C111+T111)),BA111,0)&gt;0,IF(AND(NOT(AND(AU111=1,AT111&lt;&gt;1)),ISNUMBER(AM111),AM111&lt;=(C111+T111)),BA111,0)=MAX(IF(AND(NOT(AND(AU111=1,AT111&lt;&gt;1)),ISNUMBER(AK111),AK111&lt;=(C111+T111)),AY111,0),IF(AND(NOT(AND(AU111=1,AT111&lt;&gt;1)),ISNUMBER(AL111),AL111&lt;=(C111+T111)),AZ111,0),IF(AND(NOT(AND(AU111=1,AT111&lt;&gt;1)),ISNUMBER(AM111),AM111&lt;=(C111+T111)),BA111,0),IF(AND(NOT(AND(AU111=1,AT111&lt;&gt;1)),ISNUMBER(AN111),AN111&lt;=(C111+T111)),BB111,0),IF(AND(ISNUMBER(AO111),AO111&lt;=(C111+T111)),BC111,0))),"ML",IF(AND(IF(AND(NOT(AND(AU111=1,AT111&lt;&gt;1)),ISNUMBER(AN111),AN111&lt;=(C111+T111)),BB111,0)&gt;0,IF(AND(NOT(AND(AU111=1,AT111&lt;&gt;1)),ISNUMBER(AN111),AN111&lt;=(C111+T111)),BB111,0)=MAX(IF(AND(NOT(AND(AU111=1,AT111&lt;&gt;1)),ISNUMBER(AK111),AK111&lt;=(C111+T111)),AY111,0),IF(AND(NOT(AND(AU111=1,AT111&lt;&gt;1)),ISNUMBER(AL111),AL111&lt;=(C111+T111)),AZ111,0),IF(AND(NOT(AND(AU111=1,AT111&lt;&gt;1)),ISNUMBER(AM111),AM111&lt;=(C111+T111)),BA111,0),IF(AND(NOT(AND(AU111=1,AT111&lt;&gt;1)),ISNUMBER(AN111),AN111&lt;=(C111+T111)),BB111,0),IF(AND(ISNUMBER(AO111),AO111&lt;=(C111+T111)),BC111,0))),"RLO","BD"))))))))</f>
        <v/>
      </c>
    </row>
    <row r="112">
      <c r="A112" s="26" t="n">
        <v>101</v>
      </c>
      <c r="B112" s="27">
        <f>A112*10/60</f>
        <v/>
      </c>
      <c r="C112" s="22">
        <f>X111</f>
        <v/>
      </c>
      <c r="D112" s="27">
        <f>D111+W111</f>
        <v/>
      </c>
      <c r="E112" s="26">
        <f>E111+IF(U111="SK",1,0)</f>
        <v/>
      </c>
      <c r="F112" s="26">
        <f>F111+IF(U111="LB",1,0)</f>
        <v/>
      </c>
      <c r="G112" s="26">
        <f>G111+IF(U111="ML",1,0)</f>
        <v/>
      </c>
      <c r="H112" s="26">
        <f>H111+IF(U111="RLO",1,0)</f>
        <v/>
      </c>
      <c r="I112" s="26">
        <f>I111+IF(U111="BD",1,0)</f>
        <v/>
      </c>
      <c r="J112" s="26">
        <f>MAX(J111,IF(U111="BiP",1,0))</f>
        <v/>
      </c>
      <c r="K112" s="26">
        <f>MAX(K111,IF(U111="PV",1,0))</f>
        <v/>
      </c>
      <c r="L112" s="26">
        <f>MAX(L111,IF(U111="OC",1,0))</f>
        <v/>
      </c>
      <c r="M112" s="26">
        <f>MAX(M111,IF(U111="MG",1,0))</f>
        <v/>
      </c>
      <c r="N112" s="26">
        <f>MAX(N111,IF(U111="transition",1,0))</f>
        <v/>
      </c>
      <c r="O112" s="28">
        <f>(Parameters!$B$9+(IF(E112=0,0,(Upgrades!$J$13+E112*Upgrades!$K$13)*POWER(Upgrades!$L$13,E112)))*(IF(Upgrades!$T$14="Stellar Kinematics",POWER(Upgrades!$U$14,F112),1)*IF(Upgrades!$T$15="Stellar Kinematics",POWER(Upgrades!$U$15,G112),1)*IF(Upgrades!$T$16="Stellar Kinematics",POWER(Upgrades!$U$16,H112),1)*IF(Upgrades!$T$17="Stellar Kinematics",POWER(Upgrades!$U$17,I112),1)*IF(Upgrades!$T$18="Stellar Kinematics",POWER(Upgrades!$U$18,J112),1)*IF(Upgrades!$T$19="Stellar Kinematics",POWER(Upgrades!$U$19,K112),1)*IF(Upgrades!$T$20="Stellar Kinematics",POWER(Upgrades!$U$20,L112),1)*IF(Upgrades!$T$21="Stellar Kinematics",POWER(Upgrades!$U$21,M112),1))+(IF(F112=0,0,(Upgrades!$J$14+F112*Upgrades!$K$14)*POWER(Upgrades!$L$14,F112)))*(IF(Upgrades!$T$13="Local Bubble",POWER(Upgrades!$U$13,E112),1)*IF(Upgrades!$T$15="Local Bubble",POWER(Upgrades!$U$15,G112),1)*IF(Upgrades!$T$16="Local Bubble",POWER(Upgrades!$U$16,H112),1)*IF(Upgrades!$T$17="Local Bubble",POWER(Upgrades!$U$17,I112),1)*IF(Upgrades!$T$18="Local Bubble",POWER(Upgrades!$U$18,J112),1)*IF(Upgrades!$T$19="Local Bubble",POWER(Upgrades!$U$19,K112),1)*IF(Upgrades!$T$20="Local Bubble",POWER(Upgrades!$U$20,L112),1)*IF(Upgrades!$T$21="Local Bubble",POWER(Upgrades!$U$21,M112),1))+(IF(G112=0,0,(Upgrades!$J$15+G112*Upgrades!$K$15)*POWER(Upgrades!$L$15,G112)))*(IF(Upgrades!$T$13="Microlensing",POWER(Upgrades!$U$13,E112),1)*IF(Upgrades!$T$14="Microlensing",POWER(Upgrades!$U$14,F112),1)*IF(Upgrades!$T$16="Microlensing",POWER(Upgrades!$U$16,H112),1)*IF(Upgrades!$T$17="Microlensing",POWER(Upgrades!$U$17,I112),1)*IF(Upgrades!$T$18="Microlensing",POWER(Upgrades!$U$18,J112),1)*IF(Upgrades!$T$19="Microlensing",POWER(Upgrades!$U$19,K112),1)*IF(Upgrades!$T$20="Microlensing",POWER(Upgrades!$U$20,L112),1)*IF(Upgrades!$T$21="Microlensing",POWER(Upgrades!$U$21,M112),1))+(IF(H112=0,0,(Upgrades!$J$16+H112*Upgrades!$K$16)*POWER(Upgrades!$L$16,H112)))*(IF(Upgrades!$T$13="Roche Lobe Overflow",POWER(Upgrades!$U$13,E112),1)*IF(Upgrades!$T$14="Roche Lobe Overflow",POWER(Upgrades!$U$14,F112),1)*IF(Upgrades!$T$15="Roche Lobe Overflow",POWER(Upgrades!$U$15,G112),1)*IF(Upgrades!$T$17="Roche Lobe Overflow",POWER(Upgrades!$U$17,I112),1)*IF(Upgrades!$T$18="Roche Lobe Overflow",POWER(Upgrades!$U$18,J112),1)*IF(Upgrades!$T$19="Roche Lobe Overflow",POWER(Upgrades!$U$19,K112),1)*IF(Upgrades!$T$20="Roche Lobe Overflow",POWER(Upgrades!$U$20,L112),1)*IF(Upgrades!$T$21="Roche Lobe Overflow",POWER(Upgrades!$U$21,M112),1))+(IF(I112=0,0,(Upgrades!$J$17+I112*Upgrades!$K$17)*POWER(Upgrades!$L$17,I112)))*(IF(Upgrades!$T$13="Brown Dwarf",POWER(Upgrades!$U$13,E112),1)*IF(Upgrades!$T$14="Brown Dwarf",POWER(Upgrades!$U$14,F112),1)*IF(Upgrades!$T$15="Brown Dwarf",POWER(Upgrades!$U$15,G112),1)*IF(Upgrades!$T$16="Brown Dwarf",POWER(Upgrades!$U$16,H112),1)*IF(Upgrades!$T$18="Brown Dwarf",POWER(Upgrades!$U$18,J112),1)*IF(Upgrades!$T$19="Brown Dwarf",POWER(Upgrades!$U$19,K112),1)*IF(Upgrades!$T$20="Brown Dwarf",POWER(Upgrades!$U$20,L112),1)*IF(Upgrades!$T$21="Brown Dwarf",POWER(Upgrades!$U$21,M112),1))+(IF(J112=0,0,(Upgrades!$J$18+J112*Upgrades!$K$18)*POWER(Upgrades!$L$18,J112)))*(IF(Upgrades!$T$13="Binary Partner",POWER(Upgrades!$U$13,E112),1)*IF(Upgrades!$T$14="Binary Partner",POWER(Upgrades!$U$14,F112),1)*IF(Upgrades!$T$15="Binary Partner",POWER(Upgrades!$U$15,G112),1)*IF(Upgrades!$T$16="Binary Partner",POWER(Upgrades!$U$16,H112),1)*IF(Upgrades!$T$17="Binary Partner",POWER(Upgrades!$U$17,I112),1)*IF(Upgrades!$T$19="Binary Partner",POWER(Upgrades!$U$19,K112),1)*IF(Upgrades!$T$20="Binary Partner",POWER(Upgrades!$U$20,L112),1)*IF(Upgrades!$T$21="Binary Partner",POWER(Upgrades!$U$21,M112),1))+(IF(K112=0,0,(Upgrades!$J$19+K112*Upgrades!$K$19)*POWER(Upgrades!$L$19,K112)))*(IF(Upgrades!$T$13="Peculiar Velocity",POWER(Upgrades!$U$13,E112),1)*IF(Upgrades!$T$14="Peculiar Velocity",POWER(Upgrades!$U$14,F112),1)*IF(Upgrades!$T$15="Peculiar Velocity",POWER(Upgrades!$U$15,G112),1)*IF(Upgrades!$T$16="Peculiar Velocity",POWER(Upgrades!$U$16,H112),1)*IF(Upgrades!$T$17="Peculiar Velocity",POWER(Upgrades!$U$17,I112),1)*IF(Upgrades!$T$18="Peculiar Velocity",POWER(Upgrades!$U$18,J112),1)*IF(Upgrades!$T$20="Peculiar Velocity",POWER(Upgrades!$U$20,L112),1)*IF(Upgrades!$T$21="Peculiar Velocity",POWER(Upgrades!$U$21,M112),1))+(IF(L112=0,0,(Upgrades!$J$20+L112*Upgrades!$K$20)*POWER(Upgrades!$L$20,L112)))*(IF(Upgrades!$T$13="Open Cluster",POWER(Upgrades!$U$13,E112),1)*IF(Upgrades!$T$14="Open Cluster",POWER(Upgrades!$U$14,F112),1)*IF(Upgrades!$T$15="Open Cluster",POWER(Upgrades!$U$15,G112),1)*IF(Upgrades!$T$16="Open Cluster",POWER(Upgrades!$U$16,H112),1)*IF(Upgrades!$T$17="Open Cluster",POWER(Upgrades!$U$17,I112),1)*IF(Upgrades!$T$18="Open Cluster",POWER(Upgrades!$U$18,J112),1)*IF(Upgrades!$T$19="Open Cluster",POWER(Upgrades!$U$19,K112),1)*IF(Upgrades!$T$21="Open Cluster",POWER(Upgrades!$U$21,M112),1))+(IF(M112=0,0,(Upgrades!$J$21+M112*Upgrades!$K$21)*POWER(Upgrades!$L$21,M112)))*(IF(Upgrades!$T$13="Moving Group",POWER(Upgrades!$U$13,E112),1)*IF(Upgrades!$T$14="Moving Group",POWER(Upgrades!$U$14,F112),1)*IF(Upgrades!$T$15="Moving Group",POWER(Upgrades!$U$15,G112),1)*IF(Upgrades!$T$16="Moving Group",POWER(Upgrades!$U$16,H112),1)*IF(Upgrades!$T$17="Moving Group",POWER(Upgrades!$U$17,I112),1)*IF(Upgrades!$T$18="Moving Group",POWER(Upgrades!$U$18,J112),1)*IF(Upgrades!$T$19="Moving Group",POWER(Upgrades!$U$19,K112),1)*IF(Upgrades!$T$20="Moving Group",POWER(Upgrades!$U$20,L112),1)))*POWER(Upgrades!$Q$13,E112)*POWER(Upgrades!$Q$14,F112)*POWER(Upgrades!$Q$15,G112)*POWER(Upgrades!$Q$16,H112)*POWER(Upgrades!$Q$17,I112)*POWER(Upgrades!$Q$18,J112)*POWER(Upgrades!$Q$19,K112)*POWER(Upgrades!$Q$20,L112)*POWER(Upgrades!$Q$21,M112)*$G$6+$D$6</f>
        <v/>
      </c>
      <c r="P112" s="28">
        <f>((IF(E112=0,0,(Upgrades!$G$13+E112*Upgrades!$H$13)*POWER(Upgrades!$I$13,E112)))*(IF(Upgrades!$T$14="Stellar Kinematics",POWER(Upgrades!$U$14,F112),1)*IF(Upgrades!$T$15="Stellar Kinematics",POWER(Upgrades!$U$15,G112),1)*IF(Upgrades!$T$16="Stellar Kinematics",POWER(Upgrades!$U$16,H112),1)*IF(Upgrades!$T$17="Stellar Kinematics",POWER(Upgrades!$U$17,I112),1)*IF(Upgrades!$T$18="Stellar Kinematics",POWER(Upgrades!$U$18,J112),1)*IF(Upgrades!$T$19="Stellar Kinematics",POWER(Upgrades!$U$19,K112),1)*IF(Upgrades!$T$20="Stellar Kinematics",POWER(Upgrades!$U$20,L112),1)*IF(Upgrades!$T$21="Stellar Kinematics",POWER(Upgrades!$U$21,M112),1))+(IF(F112=0,0,(Upgrades!$G$14+F112*Upgrades!$H$14)*POWER(Upgrades!$I$14,F112)))*(IF(Upgrades!$T$13="Local Bubble",POWER(Upgrades!$U$13,E112),1)*IF(Upgrades!$T$15="Local Bubble",POWER(Upgrades!$U$15,G112),1)*IF(Upgrades!$T$16="Local Bubble",POWER(Upgrades!$U$16,H112),1)*IF(Upgrades!$T$17="Local Bubble",POWER(Upgrades!$U$17,I112),1)*IF(Upgrades!$T$18="Local Bubble",POWER(Upgrades!$U$18,J112),1)*IF(Upgrades!$T$19="Local Bubble",POWER(Upgrades!$U$19,K112),1)*IF(Upgrades!$T$20="Local Bubble",POWER(Upgrades!$U$20,L112),1)*IF(Upgrades!$T$21="Local Bubble",POWER(Upgrades!$U$21,M112),1))+(IF(G112=0,0,(Upgrades!$G$15+G112*Upgrades!$H$15)*POWER(Upgrades!$I$15,G112)))*(IF(Upgrades!$T$13="Microlensing",POWER(Upgrades!$U$13,E112),1)*IF(Upgrades!$T$14="Microlensing",POWER(Upgrades!$U$14,F112),1)*IF(Upgrades!$T$16="Microlensing",POWER(Upgrades!$U$16,H112),1)*IF(Upgrades!$T$17="Microlensing",POWER(Upgrades!$U$17,I112),1)*IF(Upgrades!$T$18="Microlensing",POWER(Upgrades!$U$18,J112),1)*IF(Upgrades!$T$19="Microlensing",POWER(Upgrades!$U$19,K112),1)*IF(Upgrades!$T$20="Microlensing",POWER(Upgrades!$U$20,L112),1)*IF(Upgrades!$T$21="Microlensing",POWER(Upgrades!$U$21,M112),1))+(IF(H112=0,0,(Upgrades!$G$16+H112*Upgrades!$H$16)*POWER(Upgrades!$I$16,H112)))*(IF(Upgrades!$T$13="Roche Lobe Overflow",POWER(Upgrades!$U$13,E112),1)*IF(Upgrades!$T$14="Roche Lobe Overflow",POWER(Upgrades!$U$14,F112),1)*IF(Upgrades!$T$15="Roche Lobe Overflow",POWER(Upgrades!$U$15,G112),1)*IF(Upgrades!$T$17="Roche Lobe Overflow",POWER(Upgrades!$U$17,I112),1)*IF(Upgrades!$T$18="Roche Lobe Overflow",POWER(Upgrades!$U$18,J112),1)*IF(Upgrades!$T$19="Roche Lobe Overflow",POWER(Upgrades!$U$19,K112),1)*IF(Upgrades!$T$20="Roche Lobe Overflow",POWER(Upgrades!$U$20,L112),1)*IF(Upgrades!$T$21="Roche Lobe Overflow",POWER(Upgrades!$U$21,M112),1))+(IF(I112=0,0,(Upgrades!$G$17+I112*Upgrades!$H$17)*POWER(Upgrades!$I$17,I112)))*(IF(Upgrades!$T$13="Brown Dwarf",POWER(Upgrades!$U$13,E112),1)*IF(Upgrades!$T$14="Brown Dwarf",POWER(Upgrades!$U$14,F112),1)*IF(Upgrades!$T$15="Brown Dwarf",POWER(Upgrades!$U$15,G112),1)*IF(Upgrades!$T$16="Brown Dwarf",POWER(Upgrades!$U$16,H112),1)*IF(Upgrades!$T$18="Brown Dwarf",POWER(Upgrades!$U$18,J112),1)*IF(Upgrades!$T$19="Brown Dwarf",POWER(Upgrades!$U$19,K112),1)*IF(Upgrades!$T$20="Brown Dwarf",POWER(Upgrades!$U$20,L112),1)*IF(Upgrades!$T$21="Brown Dwarf",POWER(Upgrades!$U$21,M112),1))+(IF(J112=0,0,(Upgrades!$G$18+J112*Upgrades!$H$18)*POWER(Upgrades!$I$18,J112)))*(IF(Upgrades!$T$13="Binary Partner",POWER(Upgrades!$U$13,E112),1)*IF(Upgrades!$T$14="Binary Partner",POWER(Upgrades!$U$14,F112),1)*IF(Upgrades!$T$15="Binary Partner",POWER(Upgrades!$U$15,G112),1)*IF(Upgrades!$T$16="Binary Partner",POWER(Upgrades!$U$16,H112),1)*IF(Upgrades!$T$17="Binary Partner",POWER(Upgrades!$U$17,I112),1)*IF(Upgrades!$T$19="Binary Partner",POWER(Upgrades!$U$19,K112),1)*IF(Upgrades!$T$20="Binary Partner",POWER(Upgrades!$U$20,L112),1)*IF(Upgrades!$T$21="Binary Partner",POWER(Upgrades!$U$21,M112),1))+(IF(K112=0,0,(Upgrades!$G$19+K112*Upgrades!$H$19)*POWER(Upgrades!$I$19,K112)))*(IF(Upgrades!$T$13="Peculiar Velocity",POWER(Upgrades!$U$13,E112),1)*IF(Upgrades!$T$14="Peculiar Velocity",POWER(Upgrades!$U$14,F112),1)*IF(Upgrades!$T$15="Peculiar Velocity",POWER(Upgrades!$U$15,G112),1)*IF(Upgrades!$T$16="Peculiar Velocity",POWER(Upgrades!$U$16,H112),1)*IF(Upgrades!$T$17="Peculiar Velocity",POWER(Upgrades!$U$17,I112),1)*IF(Upgrades!$T$18="Peculiar Velocity",POWER(Upgrades!$U$18,J112),1)*IF(Upgrades!$T$20="Peculiar Velocity",POWER(Upgrades!$U$20,L112),1)*IF(Upgrades!$T$21="Peculiar Velocity",POWER(Upgrades!$U$21,M112),1))+(IF(L112=0,0,(Upgrades!$G$20+L112*Upgrades!$H$20)*POWER(Upgrades!$I$20,L112)))*(IF(Upgrades!$T$13="Open Cluster",POWER(Upgrades!$U$13,E112),1)*IF(Upgrades!$T$14="Open Cluster",POWER(Upgrades!$U$14,F112),1)*IF(Upgrades!$T$15="Open Cluster",POWER(Upgrades!$U$15,G112),1)*IF(Upgrades!$T$16="Open Cluster",POWER(Upgrades!$U$16,H112),1)*IF(Upgrades!$T$17="Open Cluster",POWER(Upgrades!$U$17,I112),1)*IF(Upgrades!$T$18="Open Cluster",POWER(Upgrades!$U$18,J112),1)*IF(Upgrades!$T$19="Open Cluster",POWER(Upgrades!$U$19,K112),1)*IF(Upgrades!$T$21="Open Cluster",POWER(Upgrades!$U$21,M112),1))+(IF(M112=0,0,(Upgrades!$G$21+M112*Upgrades!$H$21)*POWER(Upgrades!$I$21,M112)))*(IF(Upgrades!$T$13="Moving Group",POWER(Upgrades!$U$13,E112),1)*IF(Upgrades!$T$14="Moving Group",POWER(Upgrades!$U$14,F112),1)*IF(Upgrades!$T$15="Moving Group",POWER(Upgrades!$U$15,G112),1)*IF(Upgrades!$T$16="Moving Group",POWER(Upgrades!$U$16,H112),1)*IF(Upgrades!$T$17="Moving Group",POWER(Upgrades!$U$17,I112),1)*IF(Upgrades!$T$18="Moving Group",POWER(Upgrades!$U$18,J112),1)*IF(Upgrades!$T$19="Moving Group",POWER(Upgrades!$U$19,K112),1)*IF(Upgrades!$T$20="Moving Group",POWER(Upgrades!$U$20,L112),1)))*POWER(Upgrades!$P$13,E112)*POWER(Upgrades!$P$14,F112)*POWER(Upgrades!$P$15,G112)*POWER(Upgrades!$P$16,H112)*POWER(Upgrades!$P$17,I112)*POWER(Upgrades!$P$18,J112)*POWER(Upgrades!$P$19,K112)*POWER(Upgrades!$P$20,L112)*POWER(Upgrades!$P$21,M112)*$F$6+$C$6</f>
        <v/>
      </c>
      <c r="Q112" s="28">
        <f>((IF(E112=0,0,(Upgrades!$M$13+E112*Upgrades!$N$13)*POWER(Upgrades!$O$13,E112)))*(IF(Upgrades!$T$14="Stellar Kinematics",POWER(Upgrades!$U$14,F112),1)*IF(Upgrades!$T$15="Stellar Kinematics",POWER(Upgrades!$U$15,G112),1)*IF(Upgrades!$T$16="Stellar Kinematics",POWER(Upgrades!$U$16,H112),1)*IF(Upgrades!$T$17="Stellar Kinematics",POWER(Upgrades!$U$17,I112),1)*IF(Upgrades!$T$18="Stellar Kinematics",POWER(Upgrades!$U$18,J112),1)*IF(Upgrades!$T$19="Stellar Kinematics",POWER(Upgrades!$U$19,K112),1)*IF(Upgrades!$T$20="Stellar Kinematics",POWER(Upgrades!$U$20,L112),1)*IF(Upgrades!$T$21="Stellar Kinematics",POWER(Upgrades!$U$21,M112),1))+(IF(F112=0,0,(Upgrades!$M$14+F112*Upgrades!$N$14)*POWER(Upgrades!$O$14,F112)))*(IF(Upgrades!$T$13="Local Bubble",POWER(Upgrades!$U$13,E112),1)*IF(Upgrades!$T$15="Local Bubble",POWER(Upgrades!$U$15,G112),1)*IF(Upgrades!$T$16="Local Bubble",POWER(Upgrades!$U$16,H112),1)*IF(Upgrades!$T$17="Local Bubble",POWER(Upgrades!$U$17,I112),1)*IF(Upgrades!$T$18="Local Bubble",POWER(Upgrades!$U$18,J112),1)*IF(Upgrades!$T$19="Local Bubble",POWER(Upgrades!$U$19,K112),1)*IF(Upgrades!$T$20="Local Bubble",POWER(Upgrades!$U$20,L112),1)*IF(Upgrades!$T$21="Local Bubble",POWER(Upgrades!$U$21,M112),1))+(IF(G112=0,0,(Upgrades!$M$15+G112*Upgrades!$N$15)*POWER(Upgrades!$O$15,G112)))*(IF(Upgrades!$T$13="Microlensing",POWER(Upgrades!$U$13,E112),1)*IF(Upgrades!$T$14="Microlensing",POWER(Upgrades!$U$14,F112),1)*IF(Upgrades!$T$16="Microlensing",POWER(Upgrades!$U$16,H112),1)*IF(Upgrades!$T$17="Microlensing",POWER(Upgrades!$U$17,I112),1)*IF(Upgrades!$T$18="Microlensing",POWER(Upgrades!$U$18,J112),1)*IF(Upgrades!$T$19="Microlensing",POWER(Upgrades!$U$19,K112),1)*IF(Upgrades!$T$20="Microlensing",POWER(Upgrades!$U$20,L112),1)*IF(Upgrades!$T$21="Microlensing",POWER(Upgrades!$U$21,M112),1))+(IF(H112=0,0,(Upgrades!$M$16+H112*Upgrades!$N$16)*POWER(Upgrades!$O$16,H112)))*(IF(Upgrades!$T$13="Roche Lobe Overflow",POWER(Upgrades!$U$13,E112),1)*IF(Upgrades!$T$14="Roche Lobe Overflow",POWER(Upgrades!$U$14,F112),1)*IF(Upgrades!$T$15="Roche Lobe Overflow",POWER(Upgrades!$U$15,G112),1)*IF(Upgrades!$T$17="Roche Lobe Overflow",POWER(Upgrades!$U$17,I112),1)*IF(Upgrades!$T$18="Roche Lobe Overflow",POWER(Upgrades!$U$18,J112),1)*IF(Upgrades!$T$19="Roche Lobe Overflow",POWER(Upgrades!$U$19,K112),1)*IF(Upgrades!$T$20="Roche Lobe Overflow",POWER(Upgrades!$U$20,L112),1)*IF(Upgrades!$T$21="Roche Lobe Overflow",POWER(Upgrades!$U$21,M112),1))+(IF(I112=0,0,(Upgrades!$M$17+I112*Upgrades!$N$17)*POWER(Upgrades!$O$17,I112)))*(IF(Upgrades!$T$13="Brown Dwarf",POWER(Upgrades!$U$13,E112),1)*IF(Upgrades!$T$14="Brown Dwarf",POWER(Upgrades!$U$14,F112),1)*IF(Upgrades!$T$15="Brown Dwarf",POWER(Upgrades!$U$15,G112),1)*IF(Upgrades!$T$16="Brown Dwarf",POWER(Upgrades!$U$16,H112),1)*IF(Upgrades!$T$18="Brown Dwarf",POWER(Upgrades!$U$18,J112),1)*IF(Upgrades!$T$19="Brown Dwarf",POWER(Upgrades!$U$19,K112),1)*IF(Upgrades!$T$20="Brown Dwarf",POWER(Upgrades!$U$20,L112),1)*IF(Upgrades!$T$21="Brown Dwarf",POWER(Upgrades!$U$21,M112),1))+(IF(J112=0,0,(Upgrades!$M$18+J112*Upgrades!$N$18)*POWER(Upgrades!$O$18,J112)))*(IF(Upgrades!$T$13="Binary Partner",POWER(Upgrades!$U$13,E112),1)*IF(Upgrades!$T$14="Binary Partner",POWER(Upgrades!$U$14,F112),1)*IF(Upgrades!$T$15="Binary Partner",POWER(Upgrades!$U$15,G112),1)*IF(Upgrades!$T$16="Binary Partner",POWER(Upgrades!$U$16,H112),1)*IF(Upgrades!$T$17="Binary Partner",POWER(Upgrades!$U$17,I112),1)*IF(Upgrades!$T$19="Binary Partner",POWER(Upgrades!$U$19,K112),1)*IF(Upgrades!$T$20="Binary Partner",POWER(Upgrades!$U$20,L112),1)*IF(Upgrades!$T$21="Binary Partner",POWER(Upgrades!$U$21,M112),1))+(IF(K112=0,0,(Upgrades!$M$19+K112*Upgrades!$N$19)*POWER(Upgrades!$O$19,K112)))*(IF(Upgrades!$T$13="Peculiar Velocity",POWER(Upgrades!$U$13,E112),1)*IF(Upgrades!$T$14="Peculiar Velocity",POWER(Upgrades!$U$14,F112),1)*IF(Upgrades!$T$15="Peculiar Velocity",POWER(Upgrades!$U$15,G112),1)*IF(Upgrades!$T$16="Peculiar Velocity",POWER(Upgrades!$U$16,H112),1)*IF(Upgrades!$T$17="Peculiar Velocity",POWER(Upgrades!$U$17,I112),1)*IF(Upgrades!$T$18="Peculiar Velocity",POWER(Upgrades!$U$18,J112),1)*IF(Upgrades!$T$20="Peculiar Velocity",POWER(Upgrades!$U$20,L112),1)*IF(Upgrades!$T$21="Peculiar Velocity",POWER(Upgrades!$U$21,M112),1))+(IF(L112=0,0,(Upgrades!$M$20+L112*Upgrades!$N$20)*POWER(Upgrades!$O$20,L112)))*(IF(Upgrades!$T$13="Open Cluster",POWER(Upgrades!$U$13,E112),1)*IF(Upgrades!$T$14="Open Cluster",POWER(Upgrades!$U$14,F112),1)*IF(Upgrades!$T$15="Open Cluster",POWER(Upgrades!$U$15,G112),1)*IF(Upgrades!$T$16="Open Cluster",POWER(Upgrades!$U$16,H112),1)*IF(Upgrades!$T$17="Open Cluster",POWER(Upgrades!$U$17,I112),1)*IF(Upgrades!$T$18="Open Cluster",POWER(Upgrades!$U$18,J112),1)*IF(Upgrades!$T$19="Open Cluster",POWER(Upgrades!$U$19,K112),1)*IF(Upgrades!$T$21="Open Cluster",POWER(Upgrades!$U$21,M112),1))+(IF(M112=0,0,(Upgrades!$M$21+M112*Upgrades!$N$21)*POWER(Upgrades!$O$21,M112)))*(IF(Upgrades!$T$13="Moving Group",POWER(Upgrades!$U$13,E112),1)*IF(Upgrades!$T$14="Moving Group",POWER(Upgrades!$U$14,F112),1)*IF(Upgrades!$T$15="Moving Group",POWER(Upgrades!$U$15,G112),1)*IF(Upgrades!$T$16="Moving Group",POWER(Upgrades!$U$16,H112),1)*IF(Upgrades!$T$17="Moving Group",POWER(Upgrades!$U$17,I112),1)*IF(Upgrades!$T$18="Moving Group",POWER(Upgrades!$U$18,J112),1)*IF(Upgrades!$T$19="Moving Group",POWER(Upgrades!$U$19,K112),1)*IF(Upgrades!$T$20="Moving Group",POWER(Upgrades!$U$20,L112),1)))*POWER(Upgrades!$R$13,E112)*POWER(Upgrades!$R$14,F112)*POWER(Upgrades!$R$15,G112)*POWER(Upgrades!$R$16,H112)*POWER(Upgrades!$R$17,I112)*POWER(Upgrades!$R$18,J112)*POWER(Upgrades!$R$19,K112)*POWER(Upgrades!$R$20,L112)*POWER(Upgrades!$R$21,M112)*$H$6+$E$6</f>
        <v/>
      </c>
      <c r="R112" s="27">
        <f>IF(N112=1,0,O112*Parameters!$B$10/60*Parameters!$B$11*10)</f>
        <v/>
      </c>
      <c r="S112" s="27">
        <f>IF(N112=1,0,Q112*O112*10)</f>
        <v/>
      </c>
      <c r="T112" s="27">
        <f>IF(N112=1,0,R112+S112+P112*10)</f>
        <v/>
      </c>
      <c r="U112" s="33">
        <f>BE112</f>
        <v/>
      </c>
      <c r="V112" s="22">
        <f>IF(U112="",0,IF(U112="transition",0,IF(U112="SK",AK112,IF(U112="LB",AL112,IF(U112="ML",AM112,IF(U112="RLO",AN112,IF(U112="BD",AO112,IF(U112="BiP",AP112,IF(U112="PV",AQ112,IF(U112="OC",AR112,IF(U112="MG",AS112,0))))))))))</f>
        <v/>
      </c>
      <c r="W112" s="27">
        <f>IF(U112="BiP",Upgrades!$F$18,IF(U112="PV",Upgrades!$F$19,IF(U112="OC",Upgrades!$F$20,IF(U112="MG",Upgrades!$F$21,IF(U112="transition",-Parameters!$B$18*Parameters!$B$19,0)))))</f>
        <v/>
      </c>
      <c r="X112" s="22">
        <f>C112+T112-V112</f>
        <v/>
      </c>
      <c r="Y112" s="30">
        <f>O112*Parameters!$B$10/60*Parameters!$B$11+Q112*O112+P112</f>
        <v/>
      </c>
      <c r="Z112" s="34">
        <f>IF(U112="transition","→ Tier 3 (Galactic Arm)",IF(U112="MG","Moving Group — pocket drifts together",IF(U112="OC","Open Cluster acquired",IF(U112="PV","Peculiar Velocity — passive multiplier active",IF(U112="BiP","Binary Partner — pair bond formed",IF(AND(AU112=1,N112=0,AT112&lt;&gt;1),"Cohesion ready (waiting on completionists)","")))))) </f>
        <v/>
      </c>
      <c r="AA112" s="27">
        <f>(IF(E112=0,0,(Upgrades!$G$13+E112*Upgrades!$H$13)*POWER(Upgrades!$I$13,E112)))*(IF(Upgrades!$T$14="Stellar Kinematics",POWER(Upgrades!$U$14,F112),1)*IF(Upgrades!$T$15="Stellar Kinematics",POWER(Upgrades!$U$15,G112),1)*IF(Upgrades!$T$16="Stellar Kinematics",POWER(Upgrades!$U$16,H112),1)*IF(Upgrades!$T$17="Stellar Kinematics",POWER(Upgrades!$U$17,I112),1)*IF(Upgrades!$T$18="Stellar Kinematics",POWER(Upgrades!$U$18,J112),1)*IF(Upgrades!$T$19="Stellar Kinematics",POWER(Upgrades!$U$19,K112),1)*IF(Upgrades!$T$20="Stellar Kinematics",POWER(Upgrades!$U$20,L112),1)*IF(Upgrades!$T$21="Stellar Kinematics",POWER(Upgrades!$U$21,M112),1))*POWER(Upgrades!$P$13,E112)*POWER(Upgrades!$P$14,F112)*POWER(Upgrades!$P$15,G112)*POWER(Upgrades!$P$16,H112)*POWER(Upgrades!$P$17,I112)*POWER(Upgrades!$P$18,J112)*POWER(Upgrades!$P$19,K112)*POWER(Upgrades!$P$20,L112)*POWER(Upgrades!$P$21,M112)*$F$6*60</f>
        <v/>
      </c>
      <c r="AB112" s="27">
        <f>(IF(F112=0,0,(Upgrades!$G$14+F112*Upgrades!$H$14)*POWER(Upgrades!$I$14,F112)))*(IF(Upgrades!$T$13="Local Bubble",POWER(Upgrades!$U$13,E112),1)*IF(Upgrades!$T$15="Local Bubble",POWER(Upgrades!$U$15,G112),1)*IF(Upgrades!$T$16="Local Bubble",POWER(Upgrades!$U$16,H112),1)*IF(Upgrades!$T$17="Local Bubble",POWER(Upgrades!$U$17,I112),1)*IF(Upgrades!$T$18="Local Bubble",POWER(Upgrades!$U$18,J112),1)*IF(Upgrades!$T$19="Local Bubble",POWER(Upgrades!$U$19,K112),1)*IF(Upgrades!$T$20="Local Bubble",POWER(Upgrades!$U$20,L112),1)*IF(Upgrades!$T$21="Local Bubble",POWER(Upgrades!$U$21,M112),1))*POWER(Upgrades!$P$13,E112)*POWER(Upgrades!$P$14,F112)*POWER(Upgrades!$P$15,G112)*POWER(Upgrades!$P$16,H112)*POWER(Upgrades!$P$17,I112)*POWER(Upgrades!$P$18,J112)*POWER(Upgrades!$P$19,K112)*POWER(Upgrades!$P$20,L112)*POWER(Upgrades!$P$21,M112)*$F$6*60</f>
        <v/>
      </c>
      <c r="AC112" s="27">
        <f>(IF(G112=0,0,(Upgrades!$J$15+G112*Upgrades!$K$15)*POWER(Upgrades!$L$15,G112)))*(IF(Upgrades!$T$13="Microlensing",POWER(Upgrades!$U$13,E112),1)*IF(Upgrades!$T$14="Microlensing",POWER(Upgrades!$U$14,F112),1)*IF(Upgrades!$T$16="Microlensing",POWER(Upgrades!$U$16,H112),1)*IF(Upgrades!$T$17="Microlensing",POWER(Upgrades!$U$17,I112),1)*IF(Upgrades!$T$18="Microlensing",POWER(Upgrades!$U$18,J112),1)*IF(Upgrades!$T$19="Microlensing",POWER(Upgrades!$U$19,K112),1)*IF(Upgrades!$T$20="Microlensing",POWER(Upgrades!$U$20,L112),1)*IF(Upgrades!$T$21="Microlensing",POWER(Upgrades!$U$21,M112),1))*POWER(Upgrades!$Q$13,E112)*POWER(Upgrades!$Q$14,F112)*POWER(Upgrades!$Q$15,G112)*POWER(Upgrades!$Q$16,H112)*POWER(Upgrades!$Q$17,I112)*POWER(Upgrades!$Q$18,J112)*POWER(Upgrades!$Q$19,K112)*POWER(Upgrades!$Q$20,L112)*POWER(Upgrades!$Q$21,M112)*$G$6*(Parameters!$B$10*Parameters!$B$11+Q112*60)</f>
        <v/>
      </c>
      <c r="AD112" s="27">
        <f>(IF(H112=0,0,(Upgrades!$M$16+H112*Upgrades!$N$16)*POWER(Upgrades!$O$16,H112)))*(IF(Upgrades!$T$13="Roche Lobe Overflow",POWER(Upgrades!$U$13,E112),1)*IF(Upgrades!$T$14="Roche Lobe Overflow",POWER(Upgrades!$U$14,F112),1)*IF(Upgrades!$T$15="Roche Lobe Overflow",POWER(Upgrades!$U$15,G112),1)*IF(Upgrades!$T$17="Roche Lobe Overflow",POWER(Upgrades!$U$17,I112),1)*IF(Upgrades!$T$18="Roche Lobe Overflow",POWER(Upgrades!$U$18,J112),1)*IF(Upgrades!$T$19="Roche Lobe Overflow",POWER(Upgrades!$U$19,K112),1)*IF(Upgrades!$T$20="Roche Lobe Overflow",POWER(Upgrades!$U$20,L112),1)*IF(Upgrades!$T$21="Roche Lobe Overflow",POWER(Upgrades!$U$21,M112),1))*POWER(Upgrades!$R$13,E112)*POWER(Upgrades!$R$14,F112)*POWER(Upgrades!$R$15,G112)*POWER(Upgrades!$R$16,H112)*POWER(Upgrades!$R$17,I112)*POWER(Upgrades!$R$18,J112)*POWER(Upgrades!$R$19,K112)*POWER(Upgrades!$R$20,L112)*POWER(Upgrades!$R$21,M112)*$H$6*O112*60</f>
        <v/>
      </c>
      <c r="AE112" s="27">
        <f>(IF(I112=0,0,(Upgrades!$G$17+I112*Upgrades!$H$17)*POWER(Upgrades!$I$17,I112)))*(IF(Upgrades!$T$13="Brown Dwarf",POWER(Upgrades!$U$13,E112),1)*IF(Upgrades!$T$14="Brown Dwarf",POWER(Upgrades!$U$14,F112),1)*IF(Upgrades!$T$15="Brown Dwarf",POWER(Upgrades!$U$15,G112),1)*IF(Upgrades!$T$16="Brown Dwarf",POWER(Upgrades!$U$16,H112),1)*IF(Upgrades!$T$18="Brown Dwarf",POWER(Upgrades!$U$18,J112),1)*IF(Upgrades!$T$19="Brown Dwarf",POWER(Upgrades!$U$19,K112),1)*IF(Upgrades!$T$20="Brown Dwarf",POWER(Upgrades!$U$20,L112),1)*IF(Upgrades!$T$21="Brown Dwarf",POWER(Upgrades!$U$21,M112),1))*POWER(Upgrades!$P$13,E112)*POWER(Upgrades!$P$14,F112)*POWER(Upgrades!$P$15,G112)*POWER(Upgrades!$P$16,H112)*POWER(Upgrades!$P$17,I112)*POWER(Upgrades!$P$18,J112)*POWER(Upgrades!$P$19,K112)*POWER(Upgrades!$P$20,L112)*POWER(Upgrades!$P$21,M112)*$F$6*60</f>
        <v/>
      </c>
      <c r="AF112" s="27" t="n">
        <v>0</v>
      </c>
      <c r="AG112" s="27" t="n">
        <v>0</v>
      </c>
      <c r="AH112" s="27" t="n">
        <v>0</v>
      </c>
      <c r="AI112" s="27">
        <f>(IF(M112=0,0,(Upgrades!$G$21+M112*Upgrades!$H$21)*POWER(Upgrades!$I$21,M112)))*(IF(Upgrades!$T$13="Moving Group",POWER(Upgrades!$U$13,E112),1)*IF(Upgrades!$T$14="Moving Group",POWER(Upgrades!$U$14,F112),1)*IF(Upgrades!$T$15="Moving Group",POWER(Upgrades!$U$15,G112),1)*IF(Upgrades!$T$16="Moving Group",POWER(Upgrades!$U$16,H112),1)*IF(Upgrades!$T$17="Moving Group",POWER(Upgrades!$U$17,I112),1)*IF(Upgrades!$T$18="Moving Group",POWER(Upgrades!$U$18,J112),1)*IF(Upgrades!$T$19="Moving Group",POWER(Upgrades!$U$19,K112),1)*IF(Upgrades!$T$20="Moving Group",POWER(Upgrades!$U$20,L112),1))*POWER(Upgrades!$P$13,E112)*POWER(Upgrades!$P$14,F112)*POWER(Upgrades!$P$15,G112)*POWER(Upgrades!$P$16,H112)*POWER(Upgrades!$P$17,I112)*POWER(Upgrades!$P$18,J112)*POWER(Upgrades!$P$19,K112)*POWER(Upgrades!$P$20,L112)*POWER(Upgrades!$P$21,M112)*$F$6*60</f>
        <v/>
      </c>
      <c r="AJ112" s="27">
        <f>$C$6*60</f>
        <v/>
      </c>
      <c r="AK112" s="22">
        <f>IF(E112&gt;=Upgrades!$E$13,"",Upgrades!$C$13*POWER(Upgrades!$D$13,E112))</f>
        <v/>
      </c>
      <c r="AL112" s="22">
        <f>IF(F112&gt;=Upgrades!$E$14,"",Upgrades!$C$14*POWER(Upgrades!$D$14,F112))</f>
        <v/>
      </c>
      <c r="AM112" s="22">
        <f>IF(G112&gt;=Upgrades!$E$15,"",Upgrades!$C$15*POWER(Upgrades!$D$15,G112))</f>
        <v/>
      </c>
      <c r="AN112" s="22">
        <f>IF(H112&gt;=Upgrades!$E$16,"",Upgrades!$C$16*POWER(Upgrades!$D$16,H112))</f>
        <v/>
      </c>
      <c r="AO112" s="22">
        <f>IF(I112&gt;=Upgrades!$E$17,"",Upgrades!$C$17*POWER(Upgrades!$D$17,I112))</f>
        <v/>
      </c>
      <c r="AP112" s="22">
        <f>IF(J112&gt;=Upgrades!$E$18,"",Upgrades!$C$18*POWER(Upgrades!$D$18,J112))</f>
        <v/>
      </c>
      <c r="AQ112" s="22">
        <f>IF(K112&gt;=Upgrades!$E$19,"",Upgrades!$C$19*POWER(Upgrades!$D$19,K112))</f>
        <v/>
      </c>
      <c r="AR112" s="22">
        <f>IF(L112&gt;=Upgrades!$E$20,"",Upgrades!$C$20*POWER(Upgrades!$D$20,L112))</f>
        <v/>
      </c>
      <c r="AS112" s="22">
        <f>IF(M112&gt;=Upgrades!$E$21,"",Upgrades!$C$21*POWER(Upgrades!$D$21,M112))</f>
        <v/>
      </c>
      <c r="AT112" s="26">
        <f>IF(AND(D112&gt;=Parameters!$B$18*Parameters!$B$19,(I112&gt;=Upgrades!$E$17)*(M112&gt;=Upgrades!$E$21)=1,N112=0),1,"")</f>
        <v/>
      </c>
      <c r="AU112" s="26">
        <f>IF(AND(D112&gt;=Parameters!$B$18*Parameters!$B$19,N112=0),1,"")</f>
        <v/>
      </c>
      <c r="AV112" s="22">
        <f>MIN(IF(ISNUMBER(AP112),AP112,9E15),IF(ISNUMBER(AQ112),AQ112,9E15),IF(ISNUMBER(AR112),AR112,9E15),IF(ISNUMBER(AS112),AS112,9E15))</f>
        <v/>
      </c>
      <c r="AW112" s="22">
        <f>MIN(IF(ISNUMBER(AK112),AK112,9E15),IF(ISNUMBER(AL112),AL112,9E15),IF(ISNUMBER(AM112),AM112,9E15),IF(ISNUMBER(AN112),AN112,9E15),IF(ISNUMBER(AO112),AO112,9E15))</f>
        <v/>
      </c>
      <c r="AX112" s="29">
        <f>IF(BD112&gt;Parameters!$B$21*(MAX(IF(AND(NOT(AND(AU112=1,AT112&lt;&gt;1)),ISNUMBER(AK112),AK112&lt;=(C112+T112)),AY112,0),IF(AND(NOT(AND(AU112=1,AT112&lt;&gt;1)),ISNUMBER(AL112),AL112&lt;=(C112+T112)),AZ112,0),IF(AND(NOT(AND(AU112=1,AT112&lt;&gt;1)),ISNUMBER(AM112),AM112&lt;=(C112+T112)),BA112,0),IF(AND(NOT(AND(AU112=1,AT112&lt;&gt;1)),ISNUMBER(AN112),AN112&lt;=(C112+T112)),BB112,0),IF(AND(ISNUMBER(AO112),AO112&lt;=(C112+T112)),BC112,0))),TRUE,FALSE)</f>
        <v/>
      </c>
      <c r="AY112" s="32">
        <f>IFERROR(Upgrades!$H$13*(POWER(Upgrades!$P$13,E112)*POWER(Upgrades!$P$14,F112)*POWER(Upgrades!$P$15,G112)*POWER(Upgrades!$P$16,H112)*POWER(Upgrades!$P$17,I112)*POWER(Upgrades!$P$18,J112)*POWER(Upgrades!$P$19,K112)*POWER(Upgrades!$P$20,L112)*POWER(Upgrades!$P$21,M112))*(IF(Upgrades!$T$14="Stellar Kinematics",POWER(Upgrades!$U$14,F112),1)*IF(Upgrades!$T$15="Stellar Kinematics",POWER(Upgrades!$U$15,G112),1)*IF(Upgrades!$T$16="Stellar Kinematics",POWER(Upgrades!$U$16,H112),1)*IF(Upgrades!$T$17="Stellar Kinematics",POWER(Upgrades!$U$17,I112),1)*IF(Upgrades!$T$18="Stellar Kinematics",POWER(Upgrades!$U$18,J112),1)*IF(Upgrades!$T$19="Stellar Kinematics",POWER(Upgrades!$U$19,K112),1)*IF(Upgrades!$T$20="Stellar Kinematics",POWER(Upgrades!$U$20,L112),1)*IF(Upgrades!$T$21="Stellar Kinematics",POWER(Upgrades!$U$21,M112),1))*$F$6/AK112,0)</f>
        <v/>
      </c>
      <c r="AZ112" s="32">
        <f>IFERROR(Upgrades!$H$14*(POWER(Upgrades!$P$13,E112)*POWER(Upgrades!$P$14,F112)*POWER(Upgrades!$P$15,G112)*POWER(Upgrades!$P$16,H112)*POWER(Upgrades!$P$17,I112)*POWER(Upgrades!$P$18,J112)*POWER(Upgrades!$P$19,K112)*POWER(Upgrades!$P$20,L112)*POWER(Upgrades!$P$21,M112))*(IF(Upgrades!$T$13="Local Bubble",POWER(Upgrades!$U$13,E112),1)*IF(Upgrades!$T$15="Local Bubble",POWER(Upgrades!$U$15,G112),1)*IF(Upgrades!$T$16="Local Bubble",POWER(Upgrades!$U$16,H112),1)*IF(Upgrades!$T$17="Local Bubble",POWER(Upgrades!$U$17,I112),1)*IF(Upgrades!$T$18="Local Bubble",POWER(Upgrades!$U$18,J112),1)*IF(Upgrades!$T$19="Local Bubble",POWER(Upgrades!$U$19,K112),1)*IF(Upgrades!$T$20="Local Bubble",POWER(Upgrades!$U$20,L112),1)*IF(Upgrades!$T$21="Local Bubble",POWER(Upgrades!$U$21,M112),1))*$F$6/AL112,0)</f>
        <v/>
      </c>
      <c r="BA112" s="32">
        <f>IFERROR(Upgrades!$K$15*(POWER(Upgrades!$Q$13,E112)*POWER(Upgrades!$Q$14,F112)*POWER(Upgrades!$Q$15,G112)*POWER(Upgrades!$Q$16,H112)*POWER(Upgrades!$Q$17,I112)*POWER(Upgrades!$Q$18,J112)*POWER(Upgrades!$Q$19,K112)*POWER(Upgrades!$Q$20,L112)*POWER(Upgrades!$Q$21,M112))*(IF(Upgrades!$T$13="Microlensing",POWER(Upgrades!$U$13,E112),1)*IF(Upgrades!$T$14="Microlensing",POWER(Upgrades!$U$14,F112),1)*IF(Upgrades!$T$16="Microlensing",POWER(Upgrades!$U$16,H112),1)*IF(Upgrades!$T$17="Microlensing",POWER(Upgrades!$U$17,I112),1)*IF(Upgrades!$T$18="Microlensing",POWER(Upgrades!$U$18,J112),1)*IF(Upgrades!$T$19="Microlensing",POWER(Upgrades!$U$19,K112),1)*IF(Upgrades!$T$20="Microlensing",POWER(Upgrades!$U$20,L112),1)*IF(Upgrades!$T$21="Microlensing",POWER(Upgrades!$U$21,M112),1))*$G$6*(Parameters!$B$10/60*Parameters!$B$11+Q112)/AM112,0)</f>
        <v/>
      </c>
      <c r="BB112" s="32">
        <f>IFERROR((Upgrades!$N$16*(POWER(Upgrades!$R$13,E112)*POWER(Upgrades!$R$14,F112)*POWER(Upgrades!$R$15,G112)*POWER(Upgrades!$R$16,H112)*POWER(Upgrades!$R$17,I112)*POWER(Upgrades!$R$18,J112)*POWER(Upgrades!$R$19,K112)*POWER(Upgrades!$R$20,L112)*POWER(Upgrades!$R$21,M112))*(IF(Upgrades!$T$13="Roche Lobe Overflow",POWER(Upgrades!$U$13,E112),1)*IF(Upgrades!$T$14="Roche Lobe Overflow",POWER(Upgrades!$U$14,F112),1)*IF(Upgrades!$T$15="Roche Lobe Overflow",POWER(Upgrades!$U$15,G112),1)*IF(Upgrades!$T$17="Roche Lobe Overflow",POWER(Upgrades!$U$17,I112),1)*IF(Upgrades!$T$18="Roche Lobe Overflow",POWER(Upgrades!$U$18,J112),1)*IF(Upgrades!$T$19="Roche Lobe Overflow",POWER(Upgrades!$U$19,K112),1)*IF(Upgrades!$T$20="Roche Lobe Overflow",POWER(Upgrades!$U$20,L112),1)*IF(Upgrades!$T$21="Roche Lobe Overflow",POWER(Upgrades!$U$21,M112),1))*$H$6*O112+((IF(F112=0,0,(Upgrades!$G$14+F112*Upgrades!$H$14)*POWER(Upgrades!$I$14,F112)))*(IF(Upgrades!$T$13="Local Bubble",POWER(Upgrades!$U$13,E112),1)*IF(Upgrades!$T$15="Local Bubble",POWER(Upgrades!$U$15,G112),1)*IF(Upgrades!$T$16="Local Bubble",POWER(Upgrades!$U$16,H112),1)*IF(Upgrades!$T$17="Local Bubble",POWER(Upgrades!$U$17,I112),1)*IF(Upgrades!$T$18="Local Bubble",POWER(Upgrades!$U$18,J112),1)*IF(Upgrades!$T$19="Local Bubble",POWER(Upgrades!$U$19,K112),1)*IF(Upgrades!$T$20="Local Bubble",POWER(Upgrades!$U$20,L112),1)*IF(Upgrades!$T$21="Local Bubble",POWER(Upgrades!$U$21,M112),1))*POWER(Upgrades!$P$13,E112)*POWER(Upgrades!$P$14,F112)*POWER(Upgrades!$P$15,G112)*POWER(Upgrades!$P$16,H112)*POWER(Upgrades!$P$17,I112)*POWER(Upgrades!$P$18,J112)*POWER(Upgrades!$P$19,K112)*POWER(Upgrades!$P$20,L112)*POWER(Upgrades!$P$21,M112)*$F$6)*0.05)/AN112,0)</f>
        <v/>
      </c>
      <c r="BC112" s="32">
        <f>IFERROR((Upgrades!$H$17*(POWER(Upgrades!$P$13,E112)*POWER(Upgrades!$P$14,F112)*POWER(Upgrades!$P$15,G112)*POWER(Upgrades!$P$16,H112)*POWER(Upgrades!$P$17,I112)*POWER(Upgrades!$P$18,J112)*POWER(Upgrades!$P$19,K112)*POWER(Upgrades!$P$20,L112)*POWER(Upgrades!$P$21,M112))*(IF(Upgrades!$T$13="Brown Dwarf",POWER(Upgrades!$U$13,E112),1)*IF(Upgrades!$T$14="Brown Dwarf",POWER(Upgrades!$U$14,F112),1)*IF(Upgrades!$T$15="Brown Dwarf",POWER(Upgrades!$U$15,G112),1)*IF(Upgrades!$T$16="Brown Dwarf",POWER(Upgrades!$U$16,H112),1)*IF(Upgrades!$T$18="Brown Dwarf",POWER(Upgrades!$U$18,J112),1)*IF(Upgrades!$T$19="Brown Dwarf",POWER(Upgrades!$U$19,K112),1)*IF(Upgrades!$T$20="Brown Dwarf",POWER(Upgrades!$U$20,L112),1)*IF(Upgrades!$T$21="Brown Dwarf",POWER(Upgrades!$U$21,M112),1))*$F$6+(((IF(H112=0,0,(Upgrades!$M$16+H112*Upgrades!$N$16)*POWER(Upgrades!$O$16,H112)))*(IF(Upgrades!$T$13="Roche Lobe Overflow",POWER(Upgrades!$U$13,E112),1)*IF(Upgrades!$T$14="Roche Lobe Overflow",POWER(Upgrades!$U$14,F112),1)*IF(Upgrades!$T$15="Roche Lobe Overflow",POWER(Upgrades!$U$15,G112),1)*IF(Upgrades!$T$17="Roche Lobe Overflow",POWER(Upgrades!$U$17,I112),1)*IF(Upgrades!$T$18="Roche Lobe Overflow",POWER(Upgrades!$U$18,J112),1)*IF(Upgrades!$T$19="Roche Lobe Overflow",POWER(Upgrades!$U$19,K112),1)*IF(Upgrades!$T$20="Roche Lobe Overflow",POWER(Upgrades!$U$20,L112),1)*IF(Upgrades!$T$21="Roche Lobe Overflow",POWER(Upgrades!$U$21,M112),1))*POWER(Upgrades!$R$13,E112)*POWER(Upgrades!$R$14,F112)*POWER(Upgrades!$R$15,G112)*POWER(Upgrades!$R$16,H112)*POWER(Upgrades!$R$17,I112)*POWER(Upgrades!$R$18,J112)*POWER(Upgrades!$R$19,K112)*POWER(Upgrades!$R$20,L112)*POWER(Upgrades!$R$21,M112)*$H$6)*O112)*0.10)/AO112,0)</f>
        <v/>
      </c>
      <c r="BD112" s="32">
        <f>MAX(IF(J112&gt;0,0,IFERROR(0.5*((IF(G112=0,0,(Upgrades!$J$15+G112*Upgrades!$K$15)*POWER(Upgrades!$L$15,G112)))*(IF(Upgrades!$T$13="Microlensing",POWER(Upgrades!$U$13,E112),1)*IF(Upgrades!$T$14="Microlensing",POWER(Upgrades!$U$14,F112),1)*IF(Upgrades!$T$16="Microlensing",POWER(Upgrades!$U$16,H112),1)*IF(Upgrades!$T$17="Microlensing",POWER(Upgrades!$U$17,I112),1)*IF(Upgrades!$T$18="Microlensing",POWER(Upgrades!$U$18,J112),1)*IF(Upgrades!$T$19="Microlensing",POWER(Upgrades!$U$19,K112),1)*IF(Upgrades!$T$20="Microlensing",POWER(Upgrades!$U$20,L112),1)*IF(Upgrades!$T$21="Microlensing",POWER(Upgrades!$U$21,M112),1))*(POWER(Upgrades!$Q$13,E112)*POWER(Upgrades!$Q$14,F112)*POWER(Upgrades!$Q$15,G112)*POWER(Upgrades!$Q$16,H112)*POWER(Upgrades!$Q$17,I112)*POWER(Upgrades!$Q$18,J112)*POWER(Upgrades!$Q$19,K112)*POWER(Upgrades!$Q$20,L112)*POWER(Upgrades!$Q$21,M112))*$G$6*(Parameters!$B$10/60*Parameters!$B$11+Q112))/Upgrades!$C$18,0)),IF(K112&gt;0,0,IFERROR(0.30*P112/Upgrades!$C$19,0)),IF(L112&gt;0,0,IFERROR(0.0001/Upgrades!$C$20,0)),IF(M112&gt;0,0,IFERROR((6.0*(POWER(Upgrades!$P$13,E112)*POWER(Upgrades!$P$14,F112)*POWER(Upgrades!$P$15,G112)*POWER(Upgrades!$P$16,H112)*POWER(Upgrades!$P$17,I112)*POWER(Upgrades!$P$18,J112)*POWER(Upgrades!$P$19,K112)*POWER(Upgrades!$P$20,L112)*POWER(Upgrades!$P$21,M112))*$F$6+0.20*O112*(Parameters!$B$10/60*Parameters!$B$11+Q112))/Upgrades!$C$21,0)),IF(AND(ISNUMBER(AK112),AK112&gt;(C112+T112)),AY112,0),IF(AND(ISNUMBER(AL112),AL112&gt;(C112+T112)),AZ112,0),IF(AND(ISNUMBER(AM112),AM112&gt;(C112+T112)),BA112,0),IF(AND(ISNUMBER(AN112),AN112&gt;(C112+T112)),BB112,0),IF(AND(ISNUMBER(AO112),AO112&gt;(C112+T112)),BC112,0))</f>
        <v/>
      </c>
      <c r="BE112" s="29">
        <f>IF(AT112=1,"transition",IF(MIN(IF(AND(J112=0,ISNUMBER(AP112),AP112&lt;=(C112+T112)),AP112,9E15),IF(AND(K112=0,ISNUMBER(AQ112),AQ112&lt;=(C112+T112)),AQ112,9E15),IF(AND(L112=0,ISNUMBER(AR112),AR112&lt;=(C112+T112)),AR112,9E15),IF(AND(M112=0,ISNUMBER(AS112),AS112&lt;=(C112+T112)),AS112,9E15))&lt;9E15,IF(AND(AND(J112=0,ISNUMBER(AP112),AP112&lt;=(C112+T112)),AP112=MIN(IF(AND(J112=0,ISNUMBER(AP112),AP112&lt;=(C112+T112)),AP112,9E15),IF(AND(K112=0,ISNUMBER(AQ112),AQ112&lt;=(C112+T112)),AQ112,9E15),IF(AND(L112=0,ISNUMBER(AR112),AR112&lt;=(C112+T112)),AR112,9E15),IF(AND(M112=0,ISNUMBER(AS112),AS112&lt;=(C112+T112)),AS112,9E15))),"BiP",IF(AND(AND(K112=0,ISNUMBER(AQ112),AQ112&lt;=(C112+T112)),AQ112=MIN(IF(AND(J112=0,ISNUMBER(AP112),AP112&lt;=(C112+T112)),AP112,9E15),IF(AND(K112=0,ISNUMBER(AQ112),AQ112&lt;=(C112+T112)),AQ112,9E15),IF(AND(L112=0,ISNUMBER(AR112),AR112&lt;=(C112+T112)),AR112,9E15),IF(AND(M112=0,ISNUMBER(AS112),AS112&lt;=(C112+T112)),AS112,9E15))),"PV",IF(AND(AND(L112=0,ISNUMBER(AR112),AR112&lt;=(C112+T112)),AR112=MIN(IF(AND(J112=0,ISNUMBER(AP112),AP112&lt;=(C112+T112)),AP112,9E15),IF(AND(K112=0,ISNUMBER(AQ112),AQ112&lt;=(C112+T112)),AQ112,9E15),IF(AND(L112=0,ISNUMBER(AR112),AR112&lt;=(C112+T112)),AR112,9E15),IF(AND(M112=0,ISNUMBER(AS112),AS112&lt;=(C112+T112)),AS112,9E15))),"OC","MG"))),IF(AX112=TRUE,"",IF(MAX(IF(AND(NOT(AND(AU112=1,AT112&lt;&gt;1)),ISNUMBER(AK112),AK112&lt;=(C112+T112)),AY112,0),IF(AND(NOT(AND(AU112=1,AT112&lt;&gt;1)),ISNUMBER(AL112),AL112&lt;=(C112+T112)),AZ112,0),IF(AND(NOT(AND(AU112=1,AT112&lt;&gt;1)),ISNUMBER(AM112),AM112&lt;=(C112+T112)),BA112,0),IF(AND(NOT(AND(AU112=1,AT112&lt;&gt;1)),ISNUMBER(AN112),AN112&lt;=(C112+T112)),BB112,0),IF(AND(ISNUMBER(AO112),AO112&lt;=(C112+T112)),BC112,0))&lt;=0,"",IF(AND(IF(AND(NOT(AND(AU112=1,AT112&lt;&gt;1)),ISNUMBER(AK112),AK112&lt;=(C112+T112)),AY112,0)&gt;0,IF(AND(NOT(AND(AU112=1,AT112&lt;&gt;1)),ISNUMBER(AK112),AK112&lt;=(C112+T112)),AY112,0)=MAX(IF(AND(NOT(AND(AU112=1,AT112&lt;&gt;1)),ISNUMBER(AK112),AK112&lt;=(C112+T112)),AY112,0),IF(AND(NOT(AND(AU112=1,AT112&lt;&gt;1)),ISNUMBER(AL112),AL112&lt;=(C112+T112)),AZ112,0),IF(AND(NOT(AND(AU112=1,AT112&lt;&gt;1)),ISNUMBER(AM112),AM112&lt;=(C112+T112)),BA112,0),IF(AND(NOT(AND(AU112=1,AT112&lt;&gt;1)),ISNUMBER(AN112),AN112&lt;=(C112+T112)),BB112,0),IF(AND(ISNUMBER(AO112),AO112&lt;=(C112+T112)),BC112,0))),"SK",IF(AND(IF(AND(NOT(AND(AU112=1,AT112&lt;&gt;1)),ISNUMBER(AL112),AL112&lt;=(C112+T112)),AZ112,0)&gt;0,IF(AND(NOT(AND(AU112=1,AT112&lt;&gt;1)),ISNUMBER(AL112),AL112&lt;=(C112+T112)),AZ112,0)=MAX(IF(AND(NOT(AND(AU112=1,AT112&lt;&gt;1)),ISNUMBER(AK112),AK112&lt;=(C112+T112)),AY112,0),IF(AND(NOT(AND(AU112=1,AT112&lt;&gt;1)),ISNUMBER(AL112),AL112&lt;=(C112+T112)),AZ112,0),IF(AND(NOT(AND(AU112=1,AT112&lt;&gt;1)),ISNUMBER(AM112),AM112&lt;=(C112+T112)),BA112,0),IF(AND(NOT(AND(AU112=1,AT112&lt;&gt;1)),ISNUMBER(AN112),AN112&lt;=(C112+T112)),BB112,0),IF(AND(ISNUMBER(AO112),AO112&lt;=(C112+T112)),BC112,0))),"LB",IF(AND(IF(AND(NOT(AND(AU112=1,AT112&lt;&gt;1)),ISNUMBER(AM112),AM112&lt;=(C112+T112)),BA112,0)&gt;0,IF(AND(NOT(AND(AU112=1,AT112&lt;&gt;1)),ISNUMBER(AM112),AM112&lt;=(C112+T112)),BA112,0)=MAX(IF(AND(NOT(AND(AU112=1,AT112&lt;&gt;1)),ISNUMBER(AK112),AK112&lt;=(C112+T112)),AY112,0),IF(AND(NOT(AND(AU112=1,AT112&lt;&gt;1)),ISNUMBER(AL112),AL112&lt;=(C112+T112)),AZ112,0),IF(AND(NOT(AND(AU112=1,AT112&lt;&gt;1)),ISNUMBER(AM112),AM112&lt;=(C112+T112)),BA112,0),IF(AND(NOT(AND(AU112=1,AT112&lt;&gt;1)),ISNUMBER(AN112),AN112&lt;=(C112+T112)),BB112,0),IF(AND(ISNUMBER(AO112),AO112&lt;=(C112+T112)),BC112,0))),"ML",IF(AND(IF(AND(NOT(AND(AU112=1,AT112&lt;&gt;1)),ISNUMBER(AN112),AN112&lt;=(C112+T112)),BB112,0)&gt;0,IF(AND(NOT(AND(AU112=1,AT112&lt;&gt;1)),ISNUMBER(AN112),AN112&lt;=(C112+T112)),BB112,0)=MAX(IF(AND(NOT(AND(AU112=1,AT112&lt;&gt;1)),ISNUMBER(AK112),AK112&lt;=(C112+T112)),AY112,0),IF(AND(NOT(AND(AU112=1,AT112&lt;&gt;1)),ISNUMBER(AL112),AL112&lt;=(C112+T112)),AZ112,0),IF(AND(NOT(AND(AU112=1,AT112&lt;&gt;1)),ISNUMBER(AM112),AM112&lt;=(C112+T112)),BA112,0),IF(AND(NOT(AND(AU112=1,AT112&lt;&gt;1)),ISNUMBER(AN112),AN112&lt;=(C112+T112)),BB112,0),IF(AND(ISNUMBER(AO112),AO112&lt;=(C112+T112)),BC112,0))),"RLO","BD"))))))))</f>
        <v/>
      </c>
    </row>
    <row r="113">
      <c r="A113" s="26" t="n">
        <v>102</v>
      </c>
      <c r="B113" s="27">
        <f>A113*10/60</f>
        <v/>
      </c>
      <c r="C113" s="22">
        <f>X112</f>
        <v/>
      </c>
      <c r="D113" s="27">
        <f>D112+W112</f>
        <v/>
      </c>
      <c r="E113" s="26">
        <f>E112+IF(U112="SK",1,0)</f>
        <v/>
      </c>
      <c r="F113" s="26">
        <f>F112+IF(U112="LB",1,0)</f>
        <v/>
      </c>
      <c r="G113" s="26">
        <f>G112+IF(U112="ML",1,0)</f>
        <v/>
      </c>
      <c r="H113" s="26">
        <f>H112+IF(U112="RLO",1,0)</f>
        <v/>
      </c>
      <c r="I113" s="26">
        <f>I112+IF(U112="BD",1,0)</f>
        <v/>
      </c>
      <c r="J113" s="26">
        <f>MAX(J112,IF(U112="BiP",1,0))</f>
        <v/>
      </c>
      <c r="K113" s="26">
        <f>MAX(K112,IF(U112="PV",1,0))</f>
        <v/>
      </c>
      <c r="L113" s="26">
        <f>MAX(L112,IF(U112="OC",1,0))</f>
        <v/>
      </c>
      <c r="M113" s="26">
        <f>MAX(M112,IF(U112="MG",1,0))</f>
        <v/>
      </c>
      <c r="N113" s="26">
        <f>MAX(N112,IF(U112="transition",1,0))</f>
        <v/>
      </c>
      <c r="O113" s="28">
        <f>(Parameters!$B$9+(IF(E113=0,0,(Upgrades!$J$13+E113*Upgrades!$K$13)*POWER(Upgrades!$L$13,E113)))*(IF(Upgrades!$T$14="Stellar Kinematics",POWER(Upgrades!$U$14,F113),1)*IF(Upgrades!$T$15="Stellar Kinematics",POWER(Upgrades!$U$15,G113),1)*IF(Upgrades!$T$16="Stellar Kinematics",POWER(Upgrades!$U$16,H113),1)*IF(Upgrades!$T$17="Stellar Kinematics",POWER(Upgrades!$U$17,I113),1)*IF(Upgrades!$T$18="Stellar Kinematics",POWER(Upgrades!$U$18,J113),1)*IF(Upgrades!$T$19="Stellar Kinematics",POWER(Upgrades!$U$19,K113),1)*IF(Upgrades!$T$20="Stellar Kinematics",POWER(Upgrades!$U$20,L113),1)*IF(Upgrades!$T$21="Stellar Kinematics",POWER(Upgrades!$U$21,M113),1))+(IF(F113=0,0,(Upgrades!$J$14+F113*Upgrades!$K$14)*POWER(Upgrades!$L$14,F113)))*(IF(Upgrades!$T$13="Local Bubble",POWER(Upgrades!$U$13,E113),1)*IF(Upgrades!$T$15="Local Bubble",POWER(Upgrades!$U$15,G113),1)*IF(Upgrades!$T$16="Local Bubble",POWER(Upgrades!$U$16,H113),1)*IF(Upgrades!$T$17="Local Bubble",POWER(Upgrades!$U$17,I113),1)*IF(Upgrades!$T$18="Local Bubble",POWER(Upgrades!$U$18,J113),1)*IF(Upgrades!$T$19="Local Bubble",POWER(Upgrades!$U$19,K113),1)*IF(Upgrades!$T$20="Local Bubble",POWER(Upgrades!$U$20,L113),1)*IF(Upgrades!$T$21="Local Bubble",POWER(Upgrades!$U$21,M113),1))+(IF(G113=0,0,(Upgrades!$J$15+G113*Upgrades!$K$15)*POWER(Upgrades!$L$15,G113)))*(IF(Upgrades!$T$13="Microlensing",POWER(Upgrades!$U$13,E113),1)*IF(Upgrades!$T$14="Microlensing",POWER(Upgrades!$U$14,F113),1)*IF(Upgrades!$T$16="Microlensing",POWER(Upgrades!$U$16,H113),1)*IF(Upgrades!$T$17="Microlensing",POWER(Upgrades!$U$17,I113),1)*IF(Upgrades!$T$18="Microlensing",POWER(Upgrades!$U$18,J113),1)*IF(Upgrades!$T$19="Microlensing",POWER(Upgrades!$U$19,K113),1)*IF(Upgrades!$T$20="Microlensing",POWER(Upgrades!$U$20,L113),1)*IF(Upgrades!$T$21="Microlensing",POWER(Upgrades!$U$21,M113),1))+(IF(H113=0,0,(Upgrades!$J$16+H113*Upgrades!$K$16)*POWER(Upgrades!$L$16,H113)))*(IF(Upgrades!$T$13="Roche Lobe Overflow",POWER(Upgrades!$U$13,E113),1)*IF(Upgrades!$T$14="Roche Lobe Overflow",POWER(Upgrades!$U$14,F113),1)*IF(Upgrades!$T$15="Roche Lobe Overflow",POWER(Upgrades!$U$15,G113),1)*IF(Upgrades!$T$17="Roche Lobe Overflow",POWER(Upgrades!$U$17,I113),1)*IF(Upgrades!$T$18="Roche Lobe Overflow",POWER(Upgrades!$U$18,J113),1)*IF(Upgrades!$T$19="Roche Lobe Overflow",POWER(Upgrades!$U$19,K113),1)*IF(Upgrades!$T$20="Roche Lobe Overflow",POWER(Upgrades!$U$20,L113),1)*IF(Upgrades!$T$21="Roche Lobe Overflow",POWER(Upgrades!$U$21,M113),1))+(IF(I113=0,0,(Upgrades!$J$17+I113*Upgrades!$K$17)*POWER(Upgrades!$L$17,I113)))*(IF(Upgrades!$T$13="Brown Dwarf",POWER(Upgrades!$U$13,E113),1)*IF(Upgrades!$T$14="Brown Dwarf",POWER(Upgrades!$U$14,F113),1)*IF(Upgrades!$T$15="Brown Dwarf",POWER(Upgrades!$U$15,G113),1)*IF(Upgrades!$T$16="Brown Dwarf",POWER(Upgrades!$U$16,H113),1)*IF(Upgrades!$T$18="Brown Dwarf",POWER(Upgrades!$U$18,J113),1)*IF(Upgrades!$T$19="Brown Dwarf",POWER(Upgrades!$U$19,K113),1)*IF(Upgrades!$T$20="Brown Dwarf",POWER(Upgrades!$U$20,L113),1)*IF(Upgrades!$T$21="Brown Dwarf",POWER(Upgrades!$U$21,M113),1))+(IF(J113=0,0,(Upgrades!$J$18+J113*Upgrades!$K$18)*POWER(Upgrades!$L$18,J113)))*(IF(Upgrades!$T$13="Binary Partner",POWER(Upgrades!$U$13,E113),1)*IF(Upgrades!$T$14="Binary Partner",POWER(Upgrades!$U$14,F113),1)*IF(Upgrades!$T$15="Binary Partner",POWER(Upgrades!$U$15,G113),1)*IF(Upgrades!$T$16="Binary Partner",POWER(Upgrades!$U$16,H113),1)*IF(Upgrades!$T$17="Binary Partner",POWER(Upgrades!$U$17,I113),1)*IF(Upgrades!$T$19="Binary Partner",POWER(Upgrades!$U$19,K113),1)*IF(Upgrades!$T$20="Binary Partner",POWER(Upgrades!$U$20,L113),1)*IF(Upgrades!$T$21="Binary Partner",POWER(Upgrades!$U$21,M113),1))+(IF(K113=0,0,(Upgrades!$J$19+K113*Upgrades!$K$19)*POWER(Upgrades!$L$19,K113)))*(IF(Upgrades!$T$13="Peculiar Velocity",POWER(Upgrades!$U$13,E113),1)*IF(Upgrades!$T$14="Peculiar Velocity",POWER(Upgrades!$U$14,F113),1)*IF(Upgrades!$T$15="Peculiar Velocity",POWER(Upgrades!$U$15,G113),1)*IF(Upgrades!$T$16="Peculiar Velocity",POWER(Upgrades!$U$16,H113),1)*IF(Upgrades!$T$17="Peculiar Velocity",POWER(Upgrades!$U$17,I113),1)*IF(Upgrades!$T$18="Peculiar Velocity",POWER(Upgrades!$U$18,J113),1)*IF(Upgrades!$T$20="Peculiar Velocity",POWER(Upgrades!$U$20,L113),1)*IF(Upgrades!$T$21="Peculiar Velocity",POWER(Upgrades!$U$21,M113),1))+(IF(L113=0,0,(Upgrades!$J$20+L113*Upgrades!$K$20)*POWER(Upgrades!$L$20,L113)))*(IF(Upgrades!$T$13="Open Cluster",POWER(Upgrades!$U$13,E113),1)*IF(Upgrades!$T$14="Open Cluster",POWER(Upgrades!$U$14,F113),1)*IF(Upgrades!$T$15="Open Cluster",POWER(Upgrades!$U$15,G113),1)*IF(Upgrades!$T$16="Open Cluster",POWER(Upgrades!$U$16,H113),1)*IF(Upgrades!$T$17="Open Cluster",POWER(Upgrades!$U$17,I113),1)*IF(Upgrades!$T$18="Open Cluster",POWER(Upgrades!$U$18,J113),1)*IF(Upgrades!$T$19="Open Cluster",POWER(Upgrades!$U$19,K113),1)*IF(Upgrades!$T$21="Open Cluster",POWER(Upgrades!$U$21,M113),1))+(IF(M113=0,0,(Upgrades!$J$21+M113*Upgrades!$K$21)*POWER(Upgrades!$L$21,M113)))*(IF(Upgrades!$T$13="Moving Group",POWER(Upgrades!$U$13,E113),1)*IF(Upgrades!$T$14="Moving Group",POWER(Upgrades!$U$14,F113),1)*IF(Upgrades!$T$15="Moving Group",POWER(Upgrades!$U$15,G113),1)*IF(Upgrades!$T$16="Moving Group",POWER(Upgrades!$U$16,H113),1)*IF(Upgrades!$T$17="Moving Group",POWER(Upgrades!$U$17,I113),1)*IF(Upgrades!$T$18="Moving Group",POWER(Upgrades!$U$18,J113),1)*IF(Upgrades!$T$19="Moving Group",POWER(Upgrades!$U$19,K113),1)*IF(Upgrades!$T$20="Moving Group",POWER(Upgrades!$U$20,L113),1)))*POWER(Upgrades!$Q$13,E113)*POWER(Upgrades!$Q$14,F113)*POWER(Upgrades!$Q$15,G113)*POWER(Upgrades!$Q$16,H113)*POWER(Upgrades!$Q$17,I113)*POWER(Upgrades!$Q$18,J113)*POWER(Upgrades!$Q$19,K113)*POWER(Upgrades!$Q$20,L113)*POWER(Upgrades!$Q$21,M113)*$G$6+$D$6</f>
        <v/>
      </c>
      <c r="P113" s="28">
        <f>((IF(E113=0,0,(Upgrades!$G$13+E113*Upgrades!$H$13)*POWER(Upgrades!$I$13,E113)))*(IF(Upgrades!$T$14="Stellar Kinematics",POWER(Upgrades!$U$14,F113),1)*IF(Upgrades!$T$15="Stellar Kinematics",POWER(Upgrades!$U$15,G113),1)*IF(Upgrades!$T$16="Stellar Kinematics",POWER(Upgrades!$U$16,H113),1)*IF(Upgrades!$T$17="Stellar Kinematics",POWER(Upgrades!$U$17,I113),1)*IF(Upgrades!$T$18="Stellar Kinematics",POWER(Upgrades!$U$18,J113),1)*IF(Upgrades!$T$19="Stellar Kinematics",POWER(Upgrades!$U$19,K113),1)*IF(Upgrades!$T$20="Stellar Kinematics",POWER(Upgrades!$U$20,L113),1)*IF(Upgrades!$T$21="Stellar Kinematics",POWER(Upgrades!$U$21,M113),1))+(IF(F113=0,0,(Upgrades!$G$14+F113*Upgrades!$H$14)*POWER(Upgrades!$I$14,F113)))*(IF(Upgrades!$T$13="Local Bubble",POWER(Upgrades!$U$13,E113),1)*IF(Upgrades!$T$15="Local Bubble",POWER(Upgrades!$U$15,G113),1)*IF(Upgrades!$T$16="Local Bubble",POWER(Upgrades!$U$16,H113),1)*IF(Upgrades!$T$17="Local Bubble",POWER(Upgrades!$U$17,I113),1)*IF(Upgrades!$T$18="Local Bubble",POWER(Upgrades!$U$18,J113),1)*IF(Upgrades!$T$19="Local Bubble",POWER(Upgrades!$U$19,K113),1)*IF(Upgrades!$T$20="Local Bubble",POWER(Upgrades!$U$20,L113),1)*IF(Upgrades!$T$21="Local Bubble",POWER(Upgrades!$U$21,M113),1))+(IF(G113=0,0,(Upgrades!$G$15+G113*Upgrades!$H$15)*POWER(Upgrades!$I$15,G113)))*(IF(Upgrades!$T$13="Microlensing",POWER(Upgrades!$U$13,E113),1)*IF(Upgrades!$T$14="Microlensing",POWER(Upgrades!$U$14,F113),1)*IF(Upgrades!$T$16="Microlensing",POWER(Upgrades!$U$16,H113),1)*IF(Upgrades!$T$17="Microlensing",POWER(Upgrades!$U$17,I113),1)*IF(Upgrades!$T$18="Microlensing",POWER(Upgrades!$U$18,J113),1)*IF(Upgrades!$T$19="Microlensing",POWER(Upgrades!$U$19,K113),1)*IF(Upgrades!$T$20="Microlensing",POWER(Upgrades!$U$20,L113),1)*IF(Upgrades!$T$21="Microlensing",POWER(Upgrades!$U$21,M113),1))+(IF(H113=0,0,(Upgrades!$G$16+H113*Upgrades!$H$16)*POWER(Upgrades!$I$16,H113)))*(IF(Upgrades!$T$13="Roche Lobe Overflow",POWER(Upgrades!$U$13,E113),1)*IF(Upgrades!$T$14="Roche Lobe Overflow",POWER(Upgrades!$U$14,F113),1)*IF(Upgrades!$T$15="Roche Lobe Overflow",POWER(Upgrades!$U$15,G113),1)*IF(Upgrades!$T$17="Roche Lobe Overflow",POWER(Upgrades!$U$17,I113),1)*IF(Upgrades!$T$18="Roche Lobe Overflow",POWER(Upgrades!$U$18,J113),1)*IF(Upgrades!$T$19="Roche Lobe Overflow",POWER(Upgrades!$U$19,K113),1)*IF(Upgrades!$T$20="Roche Lobe Overflow",POWER(Upgrades!$U$20,L113),1)*IF(Upgrades!$T$21="Roche Lobe Overflow",POWER(Upgrades!$U$21,M113),1))+(IF(I113=0,0,(Upgrades!$G$17+I113*Upgrades!$H$17)*POWER(Upgrades!$I$17,I113)))*(IF(Upgrades!$T$13="Brown Dwarf",POWER(Upgrades!$U$13,E113),1)*IF(Upgrades!$T$14="Brown Dwarf",POWER(Upgrades!$U$14,F113),1)*IF(Upgrades!$T$15="Brown Dwarf",POWER(Upgrades!$U$15,G113),1)*IF(Upgrades!$T$16="Brown Dwarf",POWER(Upgrades!$U$16,H113),1)*IF(Upgrades!$T$18="Brown Dwarf",POWER(Upgrades!$U$18,J113),1)*IF(Upgrades!$T$19="Brown Dwarf",POWER(Upgrades!$U$19,K113),1)*IF(Upgrades!$T$20="Brown Dwarf",POWER(Upgrades!$U$20,L113),1)*IF(Upgrades!$T$21="Brown Dwarf",POWER(Upgrades!$U$21,M113),1))+(IF(J113=0,0,(Upgrades!$G$18+J113*Upgrades!$H$18)*POWER(Upgrades!$I$18,J113)))*(IF(Upgrades!$T$13="Binary Partner",POWER(Upgrades!$U$13,E113),1)*IF(Upgrades!$T$14="Binary Partner",POWER(Upgrades!$U$14,F113),1)*IF(Upgrades!$T$15="Binary Partner",POWER(Upgrades!$U$15,G113),1)*IF(Upgrades!$T$16="Binary Partner",POWER(Upgrades!$U$16,H113),1)*IF(Upgrades!$T$17="Binary Partner",POWER(Upgrades!$U$17,I113),1)*IF(Upgrades!$T$19="Binary Partner",POWER(Upgrades!$U$19,K113),1)*IF(Upgrades!$T$20="Binary Partner",POWER(Upgrades!$U$20,L113),1)*IF(Upgrades!$T$21="Binary Partner",POWER(Upgrades!$U$21,M113),1))+(IF(K113=0,0,(Upgrades!$G$19+K113*Upgrades!$H$19)*POWER(Upgrades!$I$19,K113)))*(IF(Upgrades!$T$13="Peculiar Velocity",POWER(Upgrades!$U$13,E113),1)*IF(Upgrades!$T$14="Peculiar Velocity",POWER(Upgrades!$U$14,F113),1)*IF(Upgrades!$T$15="Peculiar Velocity",POWER(Upgrades!$U$15,G113),1)*IF(Upgrades!$T$16="Peculiar Velocity",POWER(Upgrades!$U$16,H113),1)*IF(Upgrades!$T$17="Peculiar Velocity",POWER(Upgrades!$U$17,I113),1)*IF(Upgrades!$T$18="Peculiar Velocity",POWER(Upgrades!$U$18,J113),1)*IF(Upgrades!$T$20="Peculiar Velocity",POWER(Upgrades!$U$20,L113),1)*IF(Upgrades!$T$21="Peculiar Velocity",POWER(Upgrades!$U$21,M113),1))+(IF(L113=0,0,(Upgrades!$G$20+L113*Upgrades!$H$20)*POWER(Upgrades!$I$20,L113)))*(IF(Upgrades!$T$13="Open Cluster",POWER(Upgrades!$U$13,E113),1)*IF(Upgrades!$T$14="Open Cluster",POWER(Upgrades!$U$14,F113),1)*IF(Upgrades!$T$15="Open Cluster",POWER(Upgrades!$U$15,G113),1)*IF(Upgrades!$T$16="Open Cluster",POWER(Upgrades!$U$16,H113),1)*IF(Upgrades!$T$17="Open Cluster",POWER(Upgrades!$U$17,I113),1)*IF(Upgrades!$T$18="Open Cluster",POWER(Upgrades!$U$18,J113),1)*IF(Upgrades!$T$19="Open Cluster",POWER(Upgrades!$U$19,K113),1)*IF(Upgrades!$T$21="Open Cluster",POWER(Upgrades!$U$21,M113),1))+(IF(M113=0,0,(Upgrades!$G$21+M113*Upgrades!$H$21)*POWER(Upgrades!$I$21,M113)))*(IF(Upgrades!$T$13="Moving Group",POWER(Upgrades!$U$13,E113),1)*IF(Upgrades!$T$14="Moving Group",POWER(Upgrades!$U$14,F113),1)*IF(Upgrades!$T$15="Moving Group",POWER(Upgrades!$U$15,G113),1)*IF(Upgrades!$T$16="Moving Group",POWER(Upgrades!$U$16,H113),1)*IF(Upgrades!$T$17="Moving Group",POWER(Upgrades!$U$17,I113),1)*IF(Upgrades!$T$18="Moving Group",POWER(Upgrades!$U$18,J113),1)*IF(Upgrades!$T$19="Moving Group",POWER(Upgrades!$U$19,K113),1)*IF(Upgrades!$T$20="Moving Group",POWER(Upgrades!$U$20,L113),1)))*POWER(Upgrades!$P$13,E113)*POWER(Upgrades!$P$14,F113)*POWER(Upgrades!$P$15,G113)*POWER(Upgrades!$P$16,H113)*POWER(Upgrades!$P$17,I113)*POWER(Upgrades!$P$18,J113)*POWER(Upgrades!$P$19,K113)*POWER(Upgrades!$P$20,L113)*POWER(Upgrades!$P$21,M113)*$F$6+$C$6</f>
        <v/>
      </c>
      <c r="Q113" s="28">
        <f>((IF(E113=0,0,(Upgrades!$M$13+E113*Upgrades!$N$13)*POWER(Upgrades!$O$13,E113)))*(IF(Upgrades!$T$14="Stellar Kinematics",POWER(Upgrades!$U$14,F113),1)*IF(Upgrades!$T$15="Stellar Kinematics",POWER(Upgrades!$U$15,G113),1)*IF(Upgrades!$T$16="Stellar Kinematics",POWER(Upgrades!$U$16,H113),1)*IF(Upgrades!$T$17="Stellar Kinematics",POWER(Upgrades!$U$17,I113),1)*IF(Upgrades!$T$18="Stellar Kinematics",POWER(Upgrades!$U$18,J113),1)*IF(Upgrades!$T$19="Stellar Kinematics",POWER(Upgrades!$U$19,K113),1)*IF(Upgrades!$T$20="Stellar Kinematics",POWER(Upgrades!$U$20,L113),1)*IF(Upgrades!$T$21="Stellar Kinematics",POWER(Upgrades!$U$21,M113),1))+(IF(F113=0,0,(Upgrades!$M$14+F113*Upgrades!$N$14)*POWER(Upgrades!$O$14,F113)))*(IF(Upgrades!$T$13="Local Bubble",POWER(Upgrades!$U$13,E113),1)*IF(Upgrades!$T$15="Local Bubble",POWER(Upgrades!$U$15,G113),1)*IF(Upgrades!$T$16="Local Bubble",POWER(Upgrades!$U$16,H113),1)*IF(Upgrades!$T$17="Local Bubble",POWER(Upgrades!$U$17,I113),1)*IF(Upgrades!$T$18="Local Bubble",POWER(Upgrades!$U$18,J113),1)*IF(Upgrades!$T$19="Local Bubble",POWER(Upgrades!$U$19,K113),1)*IF(Upgrades!$T$20="Local Bubble",POWER(Upgrades!$U$20,L113),1)*IF(Upgrades!$T$21="Local Bubble",POWER(Upgrades!$U$21,M113),1))+(IF(G113=0,0,(Upgrades!$M$15+G113*Upgrades!$N$15)*POWER(Upgrades!$O$15,G113)))*(IF(Upgrades!$T$13="Microlensing",POWER(Upgrades!$U$13,E113),1)*IF(Upgrades!$T$14="Microlensing",POWER(Upgrades!$U$14,F113),1)*IF(Upgrades!$T$16="Microlensing",POWER(Upgrades!$U$16,H113),1)*IF(Upgrades!$T$17="Microlensing",POWER(Upgrades!$U$17,I113),1)*IF(Upgrades!$T$18="Microlensing",POWER(Upgrades!$U$18,J113),1)*IF(Upgrades!$T$19="Microlensing",POWER(Upgrades!$U$19,K113),1)*IF(Upgrades!$T$20="Microlensing",POWER(Upgrades!$U$20,L113),1)*IF(Upgrades!$T$21="Microlensing",POWER(Upgrades!$U$21,M113),1))+(IF(H113=0,0,(Upgrades!$M$16+H113*Upgrades!$N$16)*POWER(Upgrades!$O$16,H113)))*(IF(Upgrades!$T$13="Roche Lobe Overflow",POWER(Upgrades!$U$13,E113),1)*IF(Upgrades!$T$14="Roche Lobe Overflow",POWER(Upgrades!$U$14,F113),1)*IF(Upgrades!$T$15="Roche Lobe Overflow",POWER(Upgrades!$U$15,G113),1)*IF(Upgrades!$T$17="Roche Lobe Overflow",POWER(Upgrades!$U$17,I113),1)*IF(Upgrades!$T$18="Roche Lobe Overflow",POWER(Upgrades!$U$18,J113),1)*IF(Upgrades!$T$19="Roche Lobe Overflow",POWER(Upgrades!$U$19,K113),1)*IF(Upgrades!$T$20="Roche Lobe Overflow",POWER(Upgrades!$U$20,L113),1)*IF(Upgrades!$T$21="Roche Lobe Overflow",POWER(Upgrades!$U$21,M113),1))+(IF(I113=0,0,(Upgrades!$M$17+I113*Upgrades!$N$17)*POWER(Upgrades!$O$17,I113)))*(IF(Upgrades!$T$13="Brown Dwarf",POWER(Upgrades!$U$13,E113),1)*IF(Upgrades!$T$14="Brown Dwarf",POWER(Upgrades!$U$14,F113),1)*IF(Upgrades!$T$15="Brown Dwarf",POWER(Upgrades!$U$15,G113),1)*IF(Upgrades!$T$16="Brown Dwarf",POWER(Upgrades!$U$16,H113),1)*IF(Upgrades!$T$18="Brown Dwarf",POWER(Upgrades!$U$18,J113),1)*IF(Upgrades!$T$19="Brown Dwarf",POWER(Upgrades!$U$19,K113),1)*IF(Upgrades!$T$20="Brown Dwarf",POWER(Upgrades!$U$20,L113),1)*IF(Upgrades!$T$21="Brown Dwarf",POWER(Upgrades!$U$21,M113),1))+(IF(J113=0,0,(Upgrades!$M$18+J113*Upgrades!$N$18)*POWER(Upgrades!$O$18,J113)))*(IF(Upgrades!$T$13="Binary Partner",POWER(Upgrades!$U$13,E113),1)*IF(Upgrades!$T$14="Binary Partner",POWER(Upgrades!$U$14,F113),1)*IF(Upgrades!$T$15="Binary Partner",POWER(Upgrades!$U$15,G113),1)*IF(Upgrades!$T$16="Binary Partner",POWER(Upgrades!$U$16,H113),1)*IF(Upgrades!$T$17="Binary Partner",POWER(Upgrades!$U$17,I113),1)*IF(Upgrades!$T$19="Binary Partner",POWER(Upgrades!$U$19,K113),1)*IF(Upgrades!$T$20="Binary Partner",POWER(Upgrades!$U$20,L113),1)*IF(Upgrades!$T$21="Binary Partner",POWER(Upgrades!$U$21,M113),1))+(IF(K113=0,0,(Upgrades!$M$19+K113*Upgrades!$N$19)*POWER(Upgrades!$O$19,K113)))*(IF(Upgrades!$T$13="Peculiar Velocity",POWER(Upgrades!$U$13,E113),1)*IF(Upgrades!$T$14="Peculiar Velocity",POWER(Upgrades!$U$14,F113),1)*IF(Upgrades!$T$15="Peculiar Velocity",POWER(Upgrades!$U$15,G113),1)*IF(Upgrades!$T$16="Peculiar Velocity",POWER(Upgrades!$U$16,H113),1)*IF(Upgrades!$T$17="Peculiar Velocity",POWER(Upgrades!$U$17,I113),1)*IF(Upgrades!$T$18="Peculiar Velocity",POWER(Upgrades!$U$18,J113),1)*IF(Upgrades!$T$20="Peculiar Velocity",POWER(Upgrades!$U$20,L113),1)*IF(Upgrades!$T$21="Peculiar Velocity",POWER(Upgrades!$U$21,M113),1))+(IF(L113=0,0,(Upgrades!$M$20+L113*Upgrades!$N$20)*POWER(Upgrades!$O$20,L113)))*(IF(Upgrades!$T$13="Open Cluster",POWER(Upgrades!$U$13,E113),1)*IF(Upgrades!$T$14="Open Cluster",POWER(Upgrades!$U$14,F113),1)*IF(Upgrades!$T$15="Open Cluster",POWER(Upgrades!$U$15,G113),1)*IF(Upgrades!$T$16="Open Cluster",POWER(Upgrades!$U$16,H113),1)*IF(Upgrades!$T$17="Open Cluster",POWER(Upgrades!$U$17,I113),1)*IF(Upgrades!$T$18="Open Cluster",POWER(Upgrades!$U$18,J113),1)*IF(Upgrades!$T$19="Open Cluster",POWER(Upgrades!$U$19,K113),1)*IF(Upgrades!$T$21="Open Cluster",POWER(Upgrades!$U$21,M113),1))+(IF(M113=0,0,(Upgrades!$M$21+M113*Upgrades!$N$21)*POWER(Upgrades!$O$21,M113)))*(IF(Upgrades!$T$13="Moving Group",POWER(Upgrades!$U$13,E113),1)*IF(Upgrades!$T$14="Moving Group",POWER(Upgrades!$U$14,F113),1)*IF(Upgrades!$T$15="Moving Group",POWER(Upgrades!$U$15,G113),1)*IF(Upgrades!$T$16="Moving Group",POWER(Upgrades!$U$16,H113),1)*IF(Upgrades!$T$17="Moving Group",POWER(Upgrades!$U$17,I113),1)*IF(Upgrades!$T$18="Moving Group",POWER(Upgrades!$U$18,J113),1)*IF(Upgrades!$T$19="Moving Group",POWER(Upgrades!$U$19,K113),1)*IF(Upgrades!$T$20="Moving Group",POWER(Upgrades!$U$20,L113),1)))*POWER(Upgrades!$R$13,E113)*POWER(Upgrades!$R$14,F113)*POWER(Upgrades!$R$15,G113)*POWER(Upgrades!$R$16,H113)*POWER(Upgrades!$R$17,I113)*POWER(Upgrades!$R$18,J113)*POWER(Upgrades!$R$19,K113)*POWER(Upgrades!$R$20,L113)*POWER(Upgrades!$R$21,M113)*$H$6+$E$6</f>
        <v/>
      </c>
      <c r="R113" s="27">
        <f>IF(N113=1,0,O113*Parameters!$B$10/60*Parameters!$B$11*10)</f>
        <v/>
      </c>
      <c r="S113" s="27">
        <f>IF(N113=1,0,Q113*O113*10)</f>
        <v/>
      </c>
      <c r="T113" s="27">
        <f>IF(N113=1,0,R113+S113+P113*10)</f>
        <v/>
      </c>
      <c r="U113" s="33">
        <f>BE113</f>
        <v/>
      </c>
      <c r="V113" s="22">
        <f>IF(U113="",0,IF(U113="transition",0,IF(U113="SK",AK113,IF(U113="LB",AL113,IF(U113="ML",AM113,IF(U113="RLO",AN113,IF(U113="BD",AO113,IF(U113="BiP",AP113,IF(U113="PV",AQ113,IF(U113="OC",AR113,IF(U113="MG",AS113,0))))))))))</f>
        <v/>
      </c>
      <c r="W113" s="27">
        <f>IF(U113="BiP",Upgrades!$F$18,IF(U113="PV",Upgrades!$F$19,IF(U113="OC",Upgrades!$F$20,IF(U113="MG",Upgrades!$F$21,IF(U113="transition",-Parameters!$B$18*Parameters!$B$19,0)))))</f>
        <v/>
      </c>
      <c r="X113" s="22">
        <f>C113+T113-V113</f>
        <v/>
      </c>
      <c r="Y113" s="30">
        <f>O113*Parameters!$B$10/60*Parameters!$B$11+Q113*O113+P113</f>
        <v/>
      </c>
      <c r="Z113" s="34">
        <f>IF(U113="transition","→ Tier 3 (Galactic Arm)",IF(U113="MG","Moving Group — pocket drifts together",IF(U113="OC","Open Cluster acquired",IF(U113="PV","Peculiar Velocity — passive multiplier active",IF(U113="BiP","Binary Partner — pair bond formed",IF(AND(AU113=1,N113=0,AT113&lt;&gt;1),"Cohesion ready (waiting on completionists)","")))))) </f>
        <v/>
      </c>
      <c r="AA113" s="27">
        <f>(IF(E113=0,0,(Upgrades!$G$13+E113*Upgrades!$H$13)*POWER(Upgrades!$I$13,E113)))*(IF(Upgrades!$T$14="Stellar Kinematics",POWER(Upgrades!$U$14,F113),1)*IF(Upgrades!$T$15="Stellar Kinematics",POWER(Upgrades!$U$15,G113),1)*IF(Upgrades!$T$16="Stellar Kinematics",POWER(Upgrades!$U$16,H113),1)*IF(Upgrades!$T$17="Stellar Kinematics",POWER(Upgrades!$U$17,I113),1)*IF(Upgrades!$T$18="Stellar Kinematics",POWER(Upgrades!$U$18,J113),1)*IF(Upgrades!$T$19="Stellar Kinematics",POWER(Upgrades!$U$19,K113),1)*IF(Upgrades!$T$20="Stellar Kinematics",POWER(Upgrades!$U$20,L113),1)*IF(Upgrades!$T$21="Stellar Kinematics",POWER(Upgrades!$U$21,M113),1))*POWER(Upgrades!$P$13,E113)*POWER(Upgrades!$P$14,F113)*POWER(Upgrades!$P$15,G113)*POWER(Upgrades!$P$16,H113)*POWER(Upgrades!$P$17,I113)*POWER(Upgrades!$P$18,J113)*POWER(Upgrades!$P$19,K113)*POWER(Upgrades!$P$20,L113)*POWER(Upgrades!$P$21,M113)*$F$6*60</f>
        <v/>
      </c>
      <c r="AB113" s="27">
        <f>(IF(F113=0,0,(Upgrades!$G$14+F113*Upgrades!$H$14)*POWER(Upgrades!$I$14,F113)))*(IF(Upgrades!$T$13="Local Bubble",POWER(Upgrades!$U$13,E113),1)*IF(Upgrades!$T$15="Local Bubble",POWER(Upgrades!$U$15,G113),1)*IF(Upgrades!$T$16="Local Bubble",POWER(Upgrades!$U$16,H113),1)*IF(Upgrades!$T$17="Local Bubble",POWER(Upgrades!$U$17,I113),1)*IF(Upgrades!$T$18="Local Bubble",POWER(Upgrades!$U$18,J113),1)*IF(Upgrades!$T$19="Local Bubble",POWER(Upgrades!$U$19,K113),1)*IF(Upgrades!$T$20="Local Bubble",POWER(Upgrades!$U$20,L113),1)*IF(Upgrades!$T$21="Local Bubble",POWER(Upgrades!$U$21,M113),1))*POWER(Upgrades!$P$13,E113)*POWER(Upgrades!$P$14,F113)*POWER(Upgrades!$P$15,G113)*POWER(Upgrades!$P$16,H113)*POWER(Upgrades!$P$17,I113)*POWER(Upgrades!$P$18,J113)*POWER(Upgrades!$P$19,K113)*POWER(Upgrades!$P$20,L113)*POWER(Upgrades!$P$21,M113)*$F$6*60</f>
        <v/>
      </c>
      <c r="AC113" s="27">
        <f>(IF(G113=0,0,(Upgrades!$J$15+G113*Upgrades!$K$15)*POWER(Upgrades!$L$15,G113)))*(IF(Upgrades!$T$13="Microlensing",POWER(Upgrades!$U$13,E113),1)*IF(Upgrades!$T$14="Microlensing",POWER(Upgrades!$U$14,F113),1)*IF(Upgrades!$T$16="Microlensing",POWER(Upgrades!$U$16,H113),1)*IF(Upgrades!$T$17="Microlensing",POWER(Upgrades!$U$17,I113),1)*IF(Upgrades!$T$18="Microlensing",POWER(Upgrades!$U$18,J113),1)*IF(Upgrades!$T$19="Microlensing",POWER(Upgrades!$U$19,K113),1)*IF(Upgrades!$T$20="Microlensing",POWER(Upgrades!$U$20,L113),1)*IF(Upgrades!$T$21="Microlensing",POWER(Upgrades!$U$21,M113),1))*POWER(Upgrades!$Q$13,E113)*POWER(Upgrades!$Q$14,F113)*POWER(Upgrades!$Q$15,G113)*POWER(Upgrades!$Q$16,H113)*POWER(Upgrades!$Q$17,I113)*POWER(Upgrades!$Q$18,J113)*POWER(Upgrades!$Q$19,K113)*POWER(Upgrades!$Q$20,L113)*POWER(Upgrades!$Q$21,M113)*$G$6*(Parameters!$B$10*Parameters!$B$11+Q113*60)</f>
        <v/>
      </c>
      <c r="AD113" s="27">
        <f>(IF(H113=0,0,(Upgrades!$M$16+H113*Upgrades!$N$16)*POWER(Upgrades!$O$16,H113)))*(IF(Upgrades!$T$13="Roche Lobe Overflow",POWER(Upgrades!$U$13,E113),1)*IF(Upgrades!$T$14="Roche Lobe Overflow",POWER(Upgrades!$U$14,F113),1)*IF(Upgrades!$T$15="Roche Lobe Overflow",POWER(Upgrades!$U$15,G113),1)*IF(Upgrades!$T$17="Roche Lobe Overflow",POWER(Upgrades!$U$17,I113),1)*IF(Upgrades!$T$18="Roche Lobe Overflow",POWER(Upgrades!$U$18,J113),1)*IF(Upgrades!$T$19="Roche Lobe Overflow",POWER(Upgrades!$U$19,K113),1)*IF(Upgrades!$T$20="Roche Lobe Overflow",POWER(Upgrades!$U$20,L113),1)*IF(Upgrades!$T$21="Roche Lobe Overflow",POWER(Upgrades!$U$21,M113),1))*POWER(Upgrades!$R$13,E113)*POWER(Upgrades!$R$14,F113)*POWER(Upgrades!$R$15,G113)*POWER(Upgrades!$R$16,H113)*POWER(Upgrades!$R$17,I113)*POWER(Upgrades!$R$18,J113)*POWER(Upgrades!$R$19,K113)*POWER(Upgrades!$R$20,L113)*POWER(Upgrades!$R$21,M113)*$H$6*O113*60</f>
        <v/>
      </c>
      <c r="AE113" s="27">
        <f>(IF(I113=0,0,(Upgrades!$G$17+I113*Upgrades!$H$17)*POWER(Upgrades!$I$17,I113)))*(IF(Upgrades!$T$13="Brown Dwarf",POWER(Upgrades!$U$13,E113),1)*IF(Upgrades!$T$14="Brown Dwarf",POWER(Upgrades!$U$14,F113),1)*IF(Upgrades!$T$15="Brown Dwarf",POWER(Upgrades!$U$15,G113),1)*IF(Upgrades!$T$16="Brown Dwarf",POWER(Upgrades!$U$16,H113),1)*IF(Upgrades!$T$18="Brown Dwarf",POWER(Upgrades!$U$18,J113),1)*IF(Upgrades!$T$19="Brown Dwarf",POWER(Upgrades!$U$19,K113),1)*IF(Upgrades!$T$20="Brown Dwarf",POWER(Upgrades!$U$20,L113),1)*IF(Upgrades!$T$21="Brown Dwarf",POWER(Upgrades!$U$21,M113),1))*POWER(Upgrades!$P$13,E113)*POWER(Upgrades!$P$14,F113)*POWER(Upgrades!$P$15,G113)*POWER(Upgrades!$P$16,H113)*POWER(Upgrades!$P$17,I113)*POWER(Upgrades!$P$18,J113)*POWER(Upgrades!$P$19,K113)*POWER(Upgrades!$P$20,L113)*POWER(Upgrades!$P$21,M113)*$F$6*60</f>
        <v/>
      </c>
      <c r="AF113" s="27" t="n">
        <v>0</v>
      </c>
      <c r="AG113" s="27" t="n">
        <v>0</v>
      </c>
      <c r="AH113" s="27" t="n">
        <v>0</v>
      </c>
      <c r="AI113" s="27">
        <f>(IF(M113=0,0,(Upgrades!$G$21+M113*Upgrades!$H$21)*POWER(Upgrades!$I$21,M113)))*(IF(Upgrades!$T$13="Moving Group",POWER(Upgrades!$U$13,E113),1)*IF(Upgrades!$T$14="Moving Group",POWER(Upgrades!$U$14,F113),1)*IF(Upgrades!$T$15="Moving Group",POWER(Upgrades!$U$15,G113),1)*IF(Upgrades!$T$16="Moving Group",POWER(Upgrades!$U$16,H113),1)*IF(Upgrades!$T$17="Moving Group",POWER(Upgrades!$U$17,I113),1)*IF(Upgrades!$T$18="Moving Group",POWER(Upgrades!$U$18,J113),1)*IF(Upgrades!$T$19="Moving Group",POWER(Upgrades!$U$19,K113),1)*IF(Upgrades!$T$20="Moving Group",POWER(Upgrades!$U$20,L113),1))*POWER(Upgrades!$P$13,E113)*POWER(Upgrades!$P$14,F113)*POWER(Upgrades!$P$15,G113)*POWER(Upgrades!$P$16,H113)*POWER(Upgrades!$P$17,I113)*POWER(Upgrades!$P$18,J113)*POWER(Upgrades!$P$19,K113)*POWER(Upgrades!$P$20,L113)*POWER(Upgrades!$P$21,M113)*$F$6*60</f>
        <v/>
      </c>
      <c r="AJ113" s="27">
        <f>$C$6*60</f>
        <v/>
      </c>
      <c r="AK113" s="22">
        <f>IF(E113&gt;=Upgrades!$E$13,"",Upgrades!$C$13*POWER(Upgrades!$D$13,E113))</f>
        <v/>
      </c>
      <c r="AL113" s="22">
        <f>IF(F113&gt;=Upgrades!$E$14,"",Upgrades!$C$14*POWER(Upgrades!$D$14,F113))</f>
        <v/>
      </c>
      <c r="AM113" s="22">
        <f>IF(G113&gt;=Upgrades!$E$15,"",Upgrades!$C$15*POWER(Upgrades!$D$15,G113))</f>
        <v/>
      </c>
      <c r="AN113" s="22">
        <f>IF(H113&gt;=Upgrades!$E$16,"",Upgrades!$C$16*POWER(Upgrades!$D$16,H113))</f>
        <v/>
      </c>
      <c r="AO113" s="22">
        <f>IF(I113&gt;=Upgrades!$E$17,"",Upgrades!$C$17*POWER(Upgrades!$D$17,I113))</f>
        <v/>
      </c>
      <c r="AP113" s="22">
        <f>IF(J113&gt;=Upgrades!$E$18,"",Upgrades!$C$18*POWER(Upgrades!$D$18,J113))</f>
        <v/>
      </c>
      <c r="AQ113" s="22">
        <f>IF(K113&gt;=Upgrades!$E$19,"",Upgrades!$C$19*POWER(Upgrades!$D$19,K113))</f>
        <v/>
      </c>
      <c r="AR113" s="22">
        <f>IF(L113&gt;=Upgrades!$E$20,"",Upgrades!$C$20*POWER(Upgrades!$D$20,L113))</f>
        <v/>
      </c>
      <c r="AS113" s="22">
        <f>IF(M113&gt;=Upgrades!$E$21,"",Upgrades!$C$21*POWER(Upgrades!$D$21,M113))</f>
        <v/>
      </c>
      <c r="AT113" s="26">
        <f>IF(AND(D113&gt;=Parameters!$B$18*Parameters!$B$19,(I113&gt;=Upgrades!$E$17)*(M113&gt;=Upgrades!$E$21)=1,N113=0),1,"")</f>
        <v/>
      </c>
      <c r="AU113" s="26">
        <f>IF(AND(D113&gt;=Parameters!$B$18*Parameters!$B$19,N113=0),1,"")</f>
        <v/>
      </c>
      <c r="AV113" s="22">
        <f>MIN(IF(ISNUMBER(AP113),AP113,9E15),IF(ISNUMBER(AQ113),AQ113,9E15),IF(ISNUMBER(AR113),AR113,9E15),IF(ISNUMBER(AS113),AS113,9E15))</f>
        <v/>
      </c>
      <c r="AW113" s="22">
        <f>MIN(IF(ISNUMBER(AK113),AK113,9E15),IF(ISNUMBER(AL113),AL113,9E15),IF(ISNUMBER(AM113),AM113,9E15),IF(ISNUMBER(AN113),AN113,9E15),IF(ISNUMBER(AO113),AO113,9E15))</f>
        <v/>
      </c>
      <c r="AX113" s="29">
        <f>IF(BD113&gt;Parameters!$B$21*(MAX(IF(AND(NOT(AND(AU113=1,AT113&lt;&gt;1)),ISNUMBER(AK113),AK113&lt;=(C113+T113)),AY113,0),IF(AND(NOT(AND(AU113=1,AT113&lt;&gt;1)),ISNUMBER(AL113),AL113&lt;=(C113+T113)),AZ113,0),IF(AND(NOT(AND(AU113=1,AT113&lt;&gt;1)),ISNUMBER(AM113),AM113&lt;=(C113+T113)),BA113,0),IF(AND(NOT(AND(AU113=1,AT113&lt;&gt;1)),ISNUMBER(AN113),AN113&lt;=(C113+T113)),BB113,0),IF(AND(ISNUMBER(AO113),AO113&lt;=(C113+T113)),BC113,0))),TRUE,FALSE)</f>
        <v/>
      </c>
      <c r="AY113" s="32">
        <f>IFERROR(Upgrades!$H$13*(POWER(Upgrades!$P$13,E113)*POWER(Upgrades!$P$14,F113)*POWER(Upgrades!$P$15,G113)*POWER(Upgrades!$P$16,H113)*POWER(Upgrades!$P$17,I113)*POWER(Upgrades!$P$18,J113)*POWER(Upgrades!$P$19,K113)*POWER(Upgrades!$P$20,L113)*POWER(Upgrades!$P$21,M113))*(IF(Upgrades!$T$14="Stellar Kinematics",POWER(Upgrades!$U$14,F113),1)*IF(Upgrades!$T$15="Stellar Kinematics",POWER(Upgrades!$U$15,G113),1)*IF(Upgrades!$T$16="Stellar Kinematics",POWER(Upgrades!$U$16,H113),1)*IF(Upgrades!$T$17="Stellar Kinematics",POWER(Upgrades!$U$17,I113),1)*IF(Upgrades!$T$18="Stellar Kinematics",POWER(Upgrades!$U$18,J113),1)*IF(Upgrades!$T$19="Stellar Kinematics",POWER(Upgrades!$U$19,K113),1)*IF(Upgrades!$T$20="Stellar Kinematics",POWER(Upgrades!$U$20,L113),1)*IF(Upgrades!$T$21="Stellar Kinematics",POWER(Upgrades!$U$21,M113),1))*$F$6/AK113,0)</f>
        <v/>
      </c>
      <c r="AZ113" s="32">
        <f>IFERROR(Upgrades!$H$14*(POWER(Upgrades!$P$13,E113)*POWER(Upgrades!$P$14,F113)*POWER(Upgrades!$P$15,G113)*POWER(Upgrades!$P$16,H113)*POWER(Upgrades!$P$17,I113)*POWER(Upgrades!$P$18,J113)*POWER(Upgrades!$P$19,K113)*POWER(Upgrades!$P$20,L113)*POWER(Upgrades!$P$21,M113))*(IF(Upgrades!$T$13="Local Bubble",POWER(Upgrades!$U$13,E113),1)*IF(Upgrades!$T$15="Local Bubble",POWER(Upgrades!$U$15,G113),1)*IF(Upgrades!$T$16="Local Bubble",POWER(Upgrades!$U$16,H113),1)*IF(Upgrades!$T$17="Local Bubble",POWER(Upgrades!$U$17,I113),1)*IF(Upgrades!$T$18="Local Bubble",POWER(Upgrades!$U$18,J113),1)*IF(Upgrades!$T$19="Local Bubble",POWER(Upgrades!$U$19,K113),1)*IF(Upgrades!$T$20="Local Bubble",POWER(Upgrades!$U$20,L113),1)*IF(Upgrades!$T$21="Local Bubble",POWER(Upgrades!$U$21,M113),1))*$F$6/AL113,0)</f>
        <v/>
      </c>
      <c r="BA113" s="32">
        <f>IFERROR(Upgrades!$K$15*(POWER(Upgrades!$Q$13,E113)*POWER(Upgrades!$Q$14,F113)*POWER(Upgrades!$Q$15,G113)*POWER(Upgrades!$Q$16,H113)*POWER(Upgrades!$Q$17,I113)*POWER(Upgrades!$Q$18,J113)*POWER(Upgrades!$Q$19,K113)*POWER(Upgrades!$Q$20,L113)*POWER(Upgrades!$Q$21,M113))*(IF(Upgrades!$T$13="Microlensing",POWER(Upgrades!$U$13,E113),1)*IF(Upgrades!$T$14="Microlensing",POWER(Upgrades!$U$14,F113),1)*IF(Upgrades!$T$16="Microlensing",POWER(Upgrades!$U$16,H113),1)*IF(Upgrades!$T$17="Microlensing",POWER(Upgrades!$U$17,I113),1)*IF(Upgrades!$T$18="Microlensing",POWER(Upgrades!$U$18,J113),1)*IF(Upgrades!$T$19="Microlensing",POWER(Upgrades!$U$19,K113),1)*IF(Upgrades!$T$20="Microlensing",POWER(Upgrades!$U$20,L113),1)*IF(Upgrades!$T$21="Microlensing",POWER(Upgrades!$U$21,M113),1))*$G$6*(Parameters!$B$10/60*Parameters!$B$11+Q113)/AM113,0)</f>
        <v/>
      </c>
      <c r="BB113" s="32">
        <f>IFERROR((Upgrades!$N$16*(POWER(Upgrades!$R$13,E113)*POWER(Upgrades!$R$14,F113)*POWER(Upgrades!$R$15,G113)*POWER(Upgrades!$R$16,H113)*POWER(Upgrades!$R$17,I113)*POWER(Upgrades!$R$18,J113)*POWER(Upgrades!$R$19,K113)*POWER(Upgrades!$R$20,L113)*POWER(Upgrades!$R$21,M113))*(IF(Upgrades!$T$13="Roche Lobe Overflow",POWER(Upgrades!$U$13,E113),1)*IF(Upgrades!$T$14="Roche Lobe Overflow",POWER(Upgrades!$U$14,F113),1)*IF(Upgrades!$T$15="Roche Lobe Overflow",POWER(Upgrades!$U$15,G113),1)*IF(Upgrades!$T$17="Roche Lobe Overflow",POWER(Upgrades!$U$17,I113),1)*IF(Upgrades!$T$18="Roche Lobe Overflow",POWER(Upgrades!$U$18,J113),1)*IF(Upgrades!$T$19="Roche Lobe Overflow",POWER(Upgrades!$U$19,K113),1)*IF(Upgrades!$T$20="Roche Lobe Overflow",POWER(Upgrades!$U$20,L113),1)*IF(Upgrades!$T$21="Roche Lobe Overflow",POWER(Upgrades!$U$21,M113),1))*$H$6*O113+((IF(F113=0,0,(Upgrades!$G$14+F113*Upgrades!$H$14)*POWER(Upgrades!$I$14,F113)))*(IF(Upgrades!$T$13="Local Bubble",POWER(Upgrades!$U$13,E113),1)*IF(Upgrades!$T$15="Local Bubble",POWER(Upgrades!$U$15,G113),1)*IF(Upgrades!$T$16="Local Bubble",POWER(Upgrades!$U$16,H113),1)*IF(Upgrades!$T$17="Local Bubble",POWER(Upgrades!$U$17,I113),1)*IF(Upgrades!$T$18="Local Bubble",POWER(Upgrades!$U$18,J113),1)*IF(Upgrades!$T$19="Local Bubble",POWER(Upgrades!$U$19,K113),1)*IF(Upgrades!$T$20="Local Bubble",POWER(Upgrades!$U$20,L113),1)*IF(Upgrades!$T$21="Local Bubble",POWER(Upgrades!$U$21,M113),1))*POWER(Upgrades!$P$13,E113)*POWER(Upgrades!$P$14,F113)*POWER(Upgrades!$P$15,G113)*POWER(Upgrades!$P$16,H113)*POWER(Upgrades!$P$17,I113)*POWER(Upgrades!$P$18,J113)*POWER(Upgrades!$P$19,K113)*POWER(Upgrades!$P$20,L113)*POWER(Upgrades!$P$21,M113)*$F$6)*0.05)/AN113,0)</f>
        <v/>
      </c>
      <c r="BC113" s="32">
        <f>IFERROR((Upgrades!$H$17*(POWER(Upgrades!$P$13,E113)*POWER(Upgrades!$P$14,F113)*POWER(Upgrades!$P$15,G113)*POWER(Upgrades!$P$16,H113)*POWER(Upgrades!$P$17,I113)*POWER(Upgrades!$P$18,J113)*POWER(Upgrades!$P$19,K113)*POWER(Upgrades!$P$20,L113)*POWER(Upgrades!$P$21,M113))*(IF(Upgrades!$T$13="Brown Dwarf",POWER(Upgrades!$U$13,E113),1)*IF(Upgrades!$T$14="Brown Dwarf",POWER(Upgrades!$U$14,F113),1)*IF(Upgrades!$T$15="Brown Dwarf",POWER(Upgrades!$U$15,G113),1)*IF(Upgrades!$T$16="Brown Dwarf",POWER(Upgrades!$U$16,H113),1)*IF(Upgrades!$T$18="Brown Dwarf",POWER(Upgrades!$U$18,J113),1)*IF(Upgrades!$T$19="Brown Dwarf",POWER(Upgrades!$U$19,K113),1)*IF(Upgrades!$T$20="Brown Dwarf",POWER(Upgrades!$U$20,L113),1)*IF(Upgrades!$T$21="Brown Dwarf",POWER(Upgrades!$U$21,M113),1))*$F$6+(((IF(H113=0,0,(Upgrades!$M$16+H113*Upgrades!$N$16)*POWER(Upgrades!$O$16,H113)))*(IF(Upgrades!$T$13="Roche Lobe Overflow",POWER(Upgrades!$U$13,E113),1)*IF(Upgrades!$T$14="Roche Lobe Overflow",POWER(Upgrades!$U$14,F113),1)*IF(Upgrades!$T$15="Roche Lobe Overflow",POWER(Upgrades!$U$15,G113),1)*IF(Upgrades!$T$17="Roche Lobe Overflow",POWER(Upgrades!$U$17,I113),1)*IF(Upgrades!$T$18="Roche Lobe Overflow",POWER(Upgrades!$U$18,J113),1)*IF(Upgrades!$T$19="Roche Lobe Overflow",POWER(Upgrades!$U$19,K113),1)*IF(Upgrades!$T$20="Roche Lobe Overflow",POWER(Upgrades!$U$20,L113),1)*IF(Upgrades!$T$21="Roche Lobe Overflow",POWER(Upgrades!$U$21,M113),1))*POWER(Upgrades!$R$13,E113)*POWER(Upgrades!$R$14,F113)*POWER(Upgrades!$R$15,G113)*POWER(Upgrades!$R$16,H113)*POWER(Upgrades!$R$17,I113)*POWER(Upgrades!$R$18,J113)*POWER(Upgrades!$R$19,K113)*POWER(Upgrades!$R$20,L113)*POWER(Upgrades!$R$21,M113)*$H$6)*O113)*0.10)/AO113,0)</f>
        <v/>
      </c>
      <c r="BD113" s="32">
        <f>MAX(IF(J113&gt;0,0,IFERROR(0.5*((IF(G113=0,0,(Upgrades!$J$15+G113*Upgrades!$K$15)*POWER(Upgrades!$L$15,G113)))*(IF(Upgrades!$T$13="Microlensing",POWER(Upgrades!$U$13,E113),1)*IF(Upgrades!$T$14="Microlensing",POWER(Upgrades!$U$14,F113),1)*IF(Upgrades!$T$16="Microlensing",POWER(Upgrades!$U$16,H113),1)*IF(Upgrades!$T$17="Microlensing",POWER(Upgrades!$U$17,I113),1)*IF(Upgrades!$T$18="Microlensing",POWER(Upgrades!$U$18,J113),1)*IF(Upgrades!$T$19="Microlensing",POWER(Upgrades!$U$19,K113),1)*IF(Upgrades!$T$20="Microlensing",POWER(Upgrades!$U$20,L113),1)*IF(Upgrades!$T$21="Microlensing",POWER(Upgrades!$U$21,M113),1))*(POWER(Upgrades!$Q$13,E113)*POWER(Upgrades!$Q$14,F113)*POWER(Upgrades!$Q$15,G113)*POWER(Upgrades!$Q$16,H113)*POWER(Upgrades!$Q$17,I113)*POWER(Upgrades!$Q$18,J113)*POWER(Upgrades!$Q$19,K113)*POWER(Upgrades!$Q$20,L113)*POWER(Upgrades!$Q$21,M113))*$G$6*(Parameters!$B$10/60*Parameters!$B$11+Q113))/Upgrades!$C$18,0)),IF(K113&gt;0,0,IFERROR(0.30*P113/Upgrades!$C$19,0)),IF(L113&gt;0,0,IFERROR(0.0001/Upgrades!$C$20,0)),IF(M113&gt;0,0,IFERROR((6.0*(POWER(Upgrades!$P$13,E113)*POWER(Upgrades!$P$14,F113)*POWER(Upgrades!$P$15,G113)*POWER(Upgrades!$P$16,H113)*POWER(Upgrades!$P$17,I113)*POWER(Upgrades!$P$18,J113)*POWER(Upgrades!$P$19,K113)*POWER(Upgrades!$P$20,L113)*POWER(Upgrades!$P$21,M113))*$F$6+0.20*O113*(Parameters!$B$10/60*Parameters!$B$11+Q113))/Upgrades!$C$21,0)),IF(AND(ISNUMBER(AK113),AK113&gt;(C113+T113)),AY113,0),IF(AND(ISNUMBER(AL113),AL113&gt;(C113+T113)),AZ113,0),IF(AND(ISNUMBER(AM113),AM113&gt;(C113+T113)),BA113,0),IF(AND(ISNUMBER(AN113),AN113&gt;(C113+T113)),BB113,0),IF(AND(ISNUMBER(AO113),AO113&gt;(C113+T113)),BC113,0))</f>
        <v/>
      </c>
      <c r="BE113" s="29">
        <f>IF(AT113=1,"transition",IF(MIN(IF(AND(J113=0,ISNUMBER(AP113),AP113&lt;=(C113+T113)),AP113,9E15),IF(AND(K113=0,ISNUMBER(AQ113),AQ113&lt;=(C113+T113)),AQ113,9E15),IF(AND(L113=0,ISNUMBER(AR113),AR113&lt;=(C113+T113)),AR113,9E15),IF(AND(M113=0,ISNUMBER(AS113),AS113&lt;=(C113+T113)),AS113,9E15))&lt;9E15,IF(AND(AND(J113=0,ISNUMBER(AP113),AP113&lt;=(C113+T113)),AP113=MIN(IF(AND(J113=0,ISNUMBER(AP113),AP113&lt;=(C113+T113)),AP113,9E15),IF(AND(K113=0,ISNUMBER(AQ113),AQ113&lt;=(C113+T113)),AQ113,9E15),IF(AND(L113=0,ISNUMBER(AR113),AR113&lt;=(C113+T113)),AR113,9E15),IF(AND(M113=0,ISNUMBER(AS113),AS113&lt;=(C113+T113)),AS113,9E15))),"BiP",IF(AND(AND(K113=0,ISNUMBER(AQ113),AQ113&lt;=(C113+T113)),AQ113=MIN(IF(AND(J113=0,ISNUMBER(AP113),AP113&lt;=(C113+T113)),AP113,9E15),IF(AND(K113=0,ISNUMBER(AQ113),AQ113&lt;=(C113+T113)),AQ113,9E15),IF(AND(L113=0,ISNUMBER(AR113),AR113&lt;=(C113+T113)),AR113,9E15),IF(AND(M113=0,ISNUMBER(AS113),AS113&lt;=(C113+T113)),AS113,9E15))),"PV",IF(AND(AND(L113=0,ISNUMBER(AR113),AR113&lt;=(C113+T113)),AR113=MIN(IF(AND(J113=0,ISNUMBER(AP113),AP113&lt;=(C113+T113)),AP113,9E15),IF(AND(K113=0,ISNUMBER(AQ113),AQ113&lt;=(C113+T113)),AQ113,9E15),IF(AND(L113=0,ISNUMBER(AR113),AR113&lt;=(C113+T113)),AR113,9E15),IF(AND(M113=0,ISNUMBER(AS113),AS113&lt;=(C113+T113)),AS113,9E15))),"OC","MG"))),IF(AX113=TRUE,"",IF(MAX(IF(AND(NOT(AND(AU113=1,AT113&lt;&gt;1)),ISNUMBER(AK113),AK113&lt;=(C113+T113)),AY113,0),IF(AND(NOT(AND(AU113=1,AT113&lt;&gt;1)),ISNUMBER(AL113),AL113&lt;=(C113+T113)),AZ113,0),IF(AND(NOT(AND(AU113=1,AT113&lt;&gt;1)),ISNUMBER(AM113),AM113&lt;=(C113+T113)),BA113,0),IF(AND(NOT(AND(AU113=1,AT113&lt;&gt;1)),ISNUMBER(AN113),AN113&lt;=(C113+T113)),BB113,0),IF(AND(ISNUMBER(AO113),AO113&lt;=(C113+T113)),BC113,0))&lt;=0,"",IF(AND(IF(AND(NOT(AND(AU113=1,AT113&lt;&gt;1)),ISNUMBER(AK113),AK113&lt;=(C113+T113)),AY113,0)&gt;0,IF(AND(NOT(AND(AU113=1,AT113&lt;&gt;1)),ISNUMBER(AK113),AK113&lt;=(C113+T113)),AY113,0)=MAX(IF(AND(NOT(AND(AU113=1,AT113&lt;&gt;1)),ISNUMBER(AK113),AK113&lt;=(C113+T113)),AY113,0),IF(AND(NOT(AND(AU113=1,AT113&lt;&gt;1)),ISNUMBER(AL113),AL113&lt;=(C113+T113)),AZ113,0),IF(AND(NOT(AND(AU113=1,AT113&lt;&gt;1)),ISNUMBER(AM113),AM113&lt;=(C113+T113)),BA113,0),IF(AND(NOT(AND(AU113=1,AT113&lt;&gt;1)),ISNUMBER(AN113),AN113&lt;=(C113+T113)),BB113,0),IF(AND(ISNUMBER(AO113),AO113&lt;=(C113+T113)),BC113,0))),"SK",IF(AND(IF(AND(NOT(AND(AU113=1,AT113&lt;&gt;1)),ISNUMBER(AL113),AL113&lt;=(C113+T113)),AZ113,0)&gt;0,IF(AND(NOT(AND(AU113=1,AT113&lt;&gt;1)),ISNUMBER(AL113),AL113&lt;=(C113+T113)),AZ113,0)=MAX(IF(AND(NOT(AND(AU113=1,AT113&lt;&gt;1)),ISNUMBER(AK113),AK113&lt;=(C113+T113)),AY113,0),IF(AND(NOT(AND(AU113=1,AT113&lt;&gt;1)),ISNUMBER(AL113),AL113&lt;=(C113+T113)),AZ113,0),IF(AND(NOT(AND(AU113=1,AT113&lt;&gt;1)),ISNUMBER(AM113),AM113&lt;=(C113+T113)),BA113,0),IF(AND(NOT(AND(AU113=1,AT113&lt;&gt;1)),ISNUMBER(AN113),AN113&lt;=(C113+T113)),BB113,0),IF(AND(ISNUMBER(AO113),AO113&lt;=(C113+T113)),BC113,0))),"LB",IF(AND(IF(AND(NOT(AND(AU113=1,AT113&lt;&gt;1)),ISNUMBER(AM113),AM113&lt;=(C113+T113)),BA113,0)&gt;0,IF(AND(NOT(AND(AU113=1,AT113&lt;&gt;1)),ISNUMBER(AM113),AM113&lt;=(C113+T113)),BA113,0)=MAX(IF(AND(NOT(AND(AU113=1,AT113&lt;&gt;1)),ISNUMBER(AK113),AK113&lt;=(C113+T113)),AY113,0),IF(AND(NOT(AND(AU113=1,AT113&lt;&gt;1)),ISNUMBER(AL113),AL113&lt;=(C113+T113)),AZ113,0),IF(AND(NOT(AND(AU113=1,AT113&lt;&gt;1)),ISNUMBER(AM113),AM113&lt;=(C113+T113)),BA113,0),IF(AND(NOT(AND(AU113=1,AT113&lt;&gt;1)),ISNUMBER(AN113),AN113&lt;=(C113+T113)),BB113,0),IF(AND(ISNUMBER(AO113),AO113&lt;=(C113+T113)),BC113,0))),"ML",IF(AND(IF(AND(NOT(AND(AU113=1,AT113&lt;&gt;1)),ISNUMBER(AN113),AN113&lt;=(C113+T113)),BB113,0)&gt;0,IF(AND(NOT(AND(AU113=1,AT113&lt;&gt;1)),ISNUMBER(AN113),AN113&lt;=(C113+T113)),BB113,0)=MAX(IF(AND(NOT(AND(AU113=1,AT113&lt;&gt;1)),ISNUMBER(AK113),AK113&lt;=(C113+T113)),AY113,0),IF(AND(NOT(AND(AU113=1,AT113&lt;&gt;1)),ISNUMBER(AL113),AL113&lt;=(C113+T113)),AZ113,0),IF(AND(NOT(AND(AU113=1,AT113&lt;&gt;1)),ISNUMBER(AM113),AM113&lt;=(C113+T113)),BA113,0),IF(AND(NOT(AND(AU113=1,AT113&lt;&gt;1)),ISNUMBER(AN113),AN113&lt;=(C113+T113)),BB113,0),IF(AND(ISNUMBER(AO113),AO113&lt;=(C113+T113)),BC113,0))),"RLO","BD"))))))))</f>
        <v/>
      </c>
    </row>
    <row r="114">
      <c r="A114" s="26" t="n">
        <v>103</v>
      </c>
      <c r="B114" s="27">
        <f>A114*10/60</f>
        <v/>
      </c>
      <c r="C114" s="22">
        <f>X113</f>
        <v/>
      </c>
      <c r="D114" s="27">
        <f>D113+W113</f>
        <v/>
      </c>
      <c r="E114" s="26">
        <f>E113+IF(U113="SK",1,0)</f>
        <v/>
      </c>
      <c r="F114" s="26">
        <f>F113+IF(U113="LB",1,0)</f>
        <v/>
      </c>
      <c r="G114" s="26">
        <f>G113+IF(U113="ML",1,0)</f>
        <v/>
      </c>
      <c r="H114" s="26">
        <f>H113+IF(U113="RLO",1,0)</f>
        <v/>
      </c>
      <c r="I114" s="26">
        <f>I113+IF(U113="BD",1,0)</f>
        <v/>
      </c>
      <c r="J114" s="26">
        <f>MAX(J113,IF(U113="BiP",1,0))</f>
        <v/>
      </c>
      <c r="K114" s="26">
        <f>MAX(K113,IF(U113="PV",1,0))</f>
        <v/>
      </c>
      <c r="L114" s="26">
        <f>MAX(L113,IF(U113="OC",1,0))</f>
        <v/>
      </c>
      <c r="M114" s="26">
        <f>MAX(M113,IF(U113="MG",1,0))</f>
        <v/>
      </c>
      <c r="N114" s="26">
        <f>MAX(N113,IF(U113="transition",1,0))</f>
        <v/>
      </c>
      <c r="O114" s="28">
        <f>(Parameters!$B$9+(IF(E114=0,0,(Upgrades!$J$13+E114*Upgrades!$K$13)*POWER(Upgrades!$L$13,E114)))*(IF(Upgrades!$T$14="Stellar Kinematics",POWER(Upgrades!$U$14,F114),1)*IF(Upgrades!$T$15="Stellar Kinematics",POWER(Upgrades!$U$15,G114),1)*IF(Upgrades!$T$16="Stellar Kinematics",POWER(Upgrades!$U$16,H114),1)*IF(Upgrades!$T$17="Stellar Kinematics",POWER(Upgrades!$U$17,I114),1)*IF(Upgrades!$T$18="Stellar Kinematics",POWER(Upgrades!$U$18,J114),1)*IF(Upgrades!$T$19="Stellar Kinematics",POWER(Upgrades!$U$19,K114),1)*IF(Upgrades!$T$20="Stellar Kinematics",POWER(Upgrades!$U$20,L114),1)*IF(Upgrades!$T$21="Stellar Kinematics",POWER(Upgrades!$U$21,M114),1))+(IF(F114=0,0,(Upgrades!$J$14+F114*Upgrades!$K$14)*POWER(Upgrades!$L$14,F114)))*(IF(Upgrades!$T$13="Local Bubble",POWER(Upgrades!$U$13,E114),1)*IF(Upgrades!$T$15="Local Bubble",POWER(Upgrades!$U$15,G114),1)*IF(Upgrades!$T$16="Local Bubble",POWER(Upgrades!$U$16,H114),1)*IF(Upgrades!$T$17="Local Bubble",POWER(Upgrades!$U$17,I114),1)*IF(Upgrades!$T$18="Local Bubble",POWER(Upgrades!$U$18,J114),1)*IF(Upgrades!$T$19="Local Bubble",POWER(Upgrades!$U$19,K114),1)*IF(Upgrades!$T$20="Local Bubble",POWER(Upgrades!$U$20,L114),1)*IF(Upgrades!$T$21="Local Bubble",POWER(Upgrades!$U$21,M114),1))+(IF(G114=0,0,(Upgrades!$J$15+G114*Upgrades!$K$15)*POWER(Upgrades!$L$15,G114)))*(IF(Upgrades!$T$13="Microlensing",POWER(Upgrades!$U$13,E114),1)*IF(Upgrades!$T$14="Microlensing",POWER(Upgrades!$U$14,F114),1)*IF(Upgrades!$T$16="Microlensing",POWER(Upgrades!$U$16,H114),1)*IF(Upgrades!$T$17="Microlensing",POWER(Upgrades!$U$17,I114),1)*IF(Upgrades!$T$18="Microlensing",POWER(Upgrades!$U$18,J114),1)*IF(Upgrades!$T$19="Microlensing",POWER(Upgrades!$U$19,K114),1)*IF(Upgrades!$T$20="Microlensing",POWER(Upgrades!$U$20,L114),1)*IF(Upgrades!$T$21="Microlensing",POWER(Upgrades!$U$21,M114),1))+(IF(H114=0,0,(Upgrades!$J$16+H114*Upgrades!$K$16)*POWER(Upgrades!$L$16,H114)))*(IF(Upgrades!$T$13="Roche Lobe Overflow",POWER(Upgrades!$U$13,E114),1)*IF(Upgrades!$T$14="Roche Lobe Overflow",POWER(Upgrades!$U$14,F114),1)*IF(Upgrades!$T$15="Roche Lobe Overflow",POWER(Upgrades!$U$15,G114),1)*IF(Upgrades!$T$17="Roche Lobe Overflow",POWER(Upgrades!$U$17,I114),1)*IF(Upgrades!$T$18="Roche Lobe Overflow",POWER(Upgrades!$U$18,J114),1)*IF(Upgrades!$T$19="Roche Lobe Overflow",POWER(Upgrades!$U$19,K114),1)*IF(Upgrades!$T$20="Roche Lobe Overflow",POWER(Upgrades!$U$20,L114),1)*IF(Upgrades!$T$21="Roche Lobe Overflow",POWER(Upgrades!$U$21,M114),1))+(IF(I114=0,0,(Upgrades!$J$17+I114*Upgrades!$K$17)*POWER(Upgrades!$L$17,I114)))*(IF(Upgrades!$T$13="Brown Dwarf",POWER(Upgrades!$U$13,E114),1)*IF(Upgrades!$T$14="Brown Dwarf",POWER(Upgrades!$U$14,F114),1)*IF(Upgrades!$T$15="Brown Dwarf",POWER(Upgrades!$U$15,G114),1)*IF(Upgrades!$T$16="Brown Dwarf",POWER(Upgrades!$U$16,H114),1)*IF(Upgrades!$T$18="Brown Dwarf",POWER(Upgrades!$U$18,J114),1)*IF(Upgrades!$T$19="Brown Dwarf",POWER(Upgrades!$U$19,K114),1)*IF(Upgrades!$T$20="Brown Dwarf",POWER(Upgrades!$U$20,L114),1)*IF(Upgrades!$T$21="Brown Dwarf",POWER(Upgrades!$U$21,M114),1))+(IF(J114=0,0,(Upgrades!$J$18+J114*Upgrades!$K$18)*POWER(Upgrades!$L$18,J114)))*(IF(Upgrades!$T$13="Binary Partner",POWER(Upgrades!$U$13,E114),1)*IF(Upgrades!$T$14="Binary Partner",POWER(Upgrades!$U$14,F114),1)*IF(Upgrades!$T$15="Binary Partner",POWER(Upgrades!$U$15,G114),1)*IF(Upgrades!$T$16="Binary Partner",POWER(Upgrades!$U$16,H114),1)*IF(Upgrades!$T$17="Binary Partner",POWER(Upgrades!$U$17,I114),1)*IF(Upgrades!$T$19="Binary Partner",POWER(Upgrades!$U$19,K114),1)*IF(Upgrades!$T$20="Binary Partner",POWER(Upgrades!$U$20,L114),1)*IF(Upgrades!$T$21="Binary Partner",POWER(Upgrades!$U$21,M114),1))+(IF(K114=0,0,(Upgrades!$J$19+K114*Upgrades!$K$19)*POWER(Upgrades!$L$19,K114)))*(IF(Upgrades!$T$13="Peculiar Velocity",POWER(Upgrades!$U$13,E114),1)*IF(Upgrades!$T$14="Peculiar Velocity",POWER(Upgrades!$U$14,F114),1)*IF(Upgrades!$T$15="Peculiar Velocity",POWER(Upgrades!$U$15,G114),1)*IF(Upgrades!$T$16="Peculiar Velocity",POWER(Upgrades!$U$16,H114),1)*IF(Upgrades!$T$17="Peculiar Velocity",POWER(Upgrades!$U$17,I114),1)*IF(Upgrades!$T$18="Peculiar Velocity",POWER(Upgrades!$U$18,J114),1)*IF(Upgrades!$T$20="Peculiar Velocity",POWER(Upgrades!$U$20,L114),1)*IF(Upgrades!$T$21="Peculiar Velocity",POWER(Upgrades!$U$21,M114),1))+(IF(L114=0,0,(Upgrades!$J$20+L114*Upgrades!$K$20)*POWER(Upgrades!$L$20,L114)))*(IF(Upgrades!$T$13="Open Cluster",POWER(Upgrades!$U$13,E114),1)*IF(Upgrades!$T$14="Open Cluster",POWER(Upgrades!$U$14,F114),1)*IF(Upgrades!$T$15="Open Cluster",POWER(Upgrades!$U$15,G114),1)*IF(Upgrades!$T$16="Open Cluster",POWER(Upgrades!$U$16,H114),1)*IF(Upgrades!$T$17="Open Cluster",POWER(Upgrades!$U$17,I114),1)*IF(Upgrades!$T$18="Open Cluster",POWER(Upgrades!$U$18,J114),1)*IF(Upgrades!$T$19="Open Cluster",POWER(Upgrades!$U$19,K114),1)*IF(Upgrades!$T$21="Open Cluster",POWER(Upgrades!$U$21,M114),1))+(IF(M114=0,0,(Upgrades!$J$21+M114*Upgrades!$K$21)*POWER(Upgrades!$L$21,M114)))*(IF(Upgrades!$T$13="Moving Group",POWER(Upgrades!$U$13,E114),1)*IF(Upgrades!$T$14="Moving Group",POWER(Upgrades!$U$14,F114),1)*IF(Upgrades!$T$15="Moving Group",POWER(Upgrades!$U$15,G114),1)*IF(Upgrades!$T$16="Moving Group",POWER(Upgrades!$U$16,H114),1)*IF(Upgrades!$T$17="Moving Group",POWER(Upgrades!$U$17,I114),1)*IF(Upgrades!$T$18="Moving Group",POWER(Upgrades!$U$18,J114),1)*IF(Upgrades!$T$19="Moving Group",POWER(Upgrades!$U$19,K114),1)*IF(Upgrades!$T$20="Moving Group",POWER(Upgrades!$U$20,L114),1)))*POWER(Upgrades!$Q$13,E114)*POWER(Upgrades!$Q$14,F114)*POWER(Upgrades!$Q$15,G114)*POWER(Upgrades!$Q$16,H114)*POWER(Upgrades!$Q$17,I114)*POWER(Upgrades!$Q$18,J114)*POWER(Upgrades!$Q$19,K114)*POWER(Upgrades!$Q$20,L114)*POWER(Upgrades!$Q$21,M114)*$G$6+$D$6</f>
        <v/>
      </c>
      <c r="P114" s="28">
        <f>((IF(E114=0,0,(Upgrades!$G$13+E114*Upgrades!$H$13)*POWER(Upgrades!$I$13,E114)))*(IF(Upgrades!$T$14="Stellar Kinematics",POWER(Upgrades!$U$14,F114),1)*IF(Upgrades!$T$15="Stellar Kinematics",POWER(Upgrades!$U$15,G114),1)*IF(Upgrades!$T$16="Stellar Kinematics",POWER(Upgrades!$U$16,H114),1)*IF(Upgrades!$T$17="Stellar Kinematics",POWER(Upgrades!$U$17,I114),1)*IF(Upgrades!$T$18="Stellar Kinematics",POWER(Upgrades!$U$18,J114),1)*IF(Upgrades!$T$19="Stellar Kinematics",POWER(Upgrades!$U$19,K114),1)*IF(Upgrades!$T$20="Stellar Kinematics",POWER(Upgrades!$U$20,L114),1)*IF(Upgrades!$T$21="Stellar Kinematics",POWER(Upgrades!$U$21,M114),1))+(IF(F114=0,0,(Upgrades!$G$14+F114*Upgrades!$H$14)*POWER(Upgrades!$I$14,F114)))*(IF(Upgrades!$T$13="Local Bubble",POWER(Upgrades!$U$13,E114),1)*IF(Upgrades!$T$15="Local Bubble",POWER(Upgrades!$U$15,G114),1)*IF(Upgrades!$T$16="Local Bubble",POWER(Upgrades!$U$16,H114),1)*IF(Upgrades!$T$17="Local Bubble",POWER(Upgrades!$U$17,I114),1)*IF(Upgrades!$T$18="Local Bubble",POWER(Upgrades!$U$18,J114),1)*IF(Upgrades!$T$19="Local Bubble",POWER(Upgrades!$U$19,K114),1)*IF(Upgrades!$T$20="Local Bubble",POWER(Upgrades!$U$20,L114),1)*IF(Upgrades!$T$21="Local Bubble",POWER(Upgrades!$U$21,M114),1))+(IF(G114=0,0,(Upgrades!$G$15+G114*Upgrades!$H$15)*POWER(Upgrades!$I$15,G114)))*(IF(Upgrades!$T$13="Microlensing",POWER(Upgrades!$U$13,E114),1)*IF(Upgrades!$T$14="Microlensing",POWER(Upgrades!$U$14,F114),1)*IF(Upgrades!$T$16="Microlensing",POWER(Upgrades!$U$16,H114),1)*IF(Upgrades!$T$17="Microlensing",POWER(Upgrades!$U$17,I114),1)*IF(Upgrades!$T$18="Microlensing",POWER(Upgrades!$U$18,J114),1)*IF(Upgrades!$T$19="Microlensing",POWER(Upgrades!$U$19,K114),1)*IF(Upgrades!$T$20="Microlensing",POWER(Upgrades!$U$20,L114),1)*IF(Upgrades!$T$21="Microlensing",POWER(Upgrades!$U$21,M114),1))+(IF(H114=0,0,(Upgrades!$G$16+H114*Upgrades!$H$16)*POWER(Upgrades!$I$16,H114)))*(IF(Upgrades!$T$13="Roche Lobe Overflow",POWER(Upgrades!$U$13,E114),1)*IF(Upgrades!$T$14="Roche Lobe Overflow",POWER(Upgrades!$U$14,F114),1)*IF(Upgrades!$T$15="Roche Lobe Overflow",POWER(Upgrades!$U$15,G114),1)*IF(Upgrades!$T$17="Roche Lobe Overflow",POWER(Upgrades!$U$17,I114),1)*IF(Upgrades!$T$18="Roche Lobe Overflow",POWER(Upgrades!$U$18,J114),1)*IF(Upgrades!$T$19="Roche Lobe Overflow",POWER(Upgrades!$U$19,K114),1)*IF(Upgrades!$T$20="Roche Lobe Overflow",POWER(Upgrades!$U$20,L114),1)*IF(Upgrades!$T$21="Roche Lobe Overflow",POWER(Upgrades!$U$21,M114),1))+(IF(I114=0,0,(Upgrades!$G$17+I114*Upgrades!$H$17)*POWER(Upgrades!$I$17,I114)))*(IF(Upgrades!$T$13="Brown Dwarf",POWER(Upgrades!$U$13,E114),1)*IF(Upgrades!$T$14="Brown Dwarf",POWER(Upgrades!$U$14,F114),1)*IF(Upgrades!$T$15="Brown Dwarf",POWER(Upgrades!$U$15,G114),1)*IF(Upgrades!$T$16="Brown Dwarf",POWER(Upgrades!$U$16,H114),1)*IF(Upgrades!$T$18="Brown Dwarf",POWER(Upgrades!$U$18,J114),1)*IF(Upgrades!$T$19="Brown Dwarf",POWER(Upgrades!$U$19,K114),1)*IF(Upgrades!$T$20="Brown Dwarf",POWER(Upgrades!$U$20,L114),1)*IF(Upgrades!$T$21="Brown Dwarf",POWER(Upgrades!$U$21,M114),1))+(IF(J114=0,0,(Upgrades!$G$18+J114*Upgrades!$H$18)*POWER(Upgrades!$I$18,J114)))*(IF(Upgrades!$T$13="Binary Partner",POWER(Upgrades!$U$13,E114),1)*IF(Upgrades!$T$14="Binary Partner",POWER(Upgrades!$U$14,F114),1)*IF(Upgrades!$T$15="Binary Partner",POWER(Upgrades!$U$15,G114),1)*IF(Upgrades!$T$16="Binary Partner",POWER(Upgrades!$U$16,H114),1)*IF(Upgrades!$T$17="Binary Partner",POWER(Upgrades!$U$17,I114),1)*IF(Upgrades!$T$19="Binary Partner",POWER(Upgrades!$U$19,K114),1)*IF(Upgrades!$T$20="Binary Partner",POWER(Upgrades!$U$20,L114),1)*IF(Upgrades!$T$21="Binary Partner",POWER(Upgrades!$U$21,M114),1))+(IF(K114=0,0,(Upgrades!$G$19+K114*Upgrades!$H$19)*POWER(Upgrades!$I$19,K114)))*(IF(Upgrades!$T$13="Peculiar Velocity",POWER(Upgrades!$U$13,E114),1)*IF(Upgrades!$T$14="Peculiar Velocity",POWER(Upgrades!$U$14,F114),1)*IF(Upgrades!$T$15="Peculiar Velocity",POWER(Upgrades!$U$15,G114),1)*IF(Upgrades!$T$16="Peculiar Velocity",POWER(Upgrades!$U$16,H114),1)*IF(Upgrades!$T$17="Peculiar Velocity",POWER(Upgrades!$U$17,I114),1)*IF(Upgrades!$T$18="Peculiar Velocity",POWER(Upgrades!$U$18,J114),1)*IF(Upgrades!$T$20="Peculiar Velocity",POWER(Upgrades!$U$20,L114),1)*IF(Upgrades!$T$21="Peculiar Velocity",POWER(Upgrades!$U$21,M114),1))+(IF(L114=0,0,(Upgrades!$G$20+L114*Upgrades!$H$20)*POWER(Upgrades!$I$20,L114)))*(IF(Upgrades!$T$13="Open Cluster",POWER(Upgrades!$U$13,E114),1)*IF(Upgrades!$T$14="Open Cluster",POWER(Upgrades!$U$14,F114),1)*IF(Upgrades!$T$15="Open Cluster",POWER(Upgrades!$U$15,G114),1)*IF(Upgrades!$T$16="Open Cluster",POWER(Upgrades!$U$16,H114),1)*IF(Upgrades!$T$17="Open Cluster",POWER(Upgrades!$U$17,I114),1)*IF(Upgrades!$T$18="Open Cluster",POWER(Upgrades!$U$18,J114),1)*IF(Upgrades!$T$19="Open Cluster",POWER(Upgrades!$U$19,K114),1)*IF(Upgrades!$T$21="Open Cluster",POWER(Upgrades!$U$21,M114),1))+(IF(M114=0,0,(Upgrades!$G$21+M114*Upgrades!$H$21)*POWER(Upgrades!$I$21,M114)))*(IF(Upgrades!$T$13="Moving Group",POWER(Upgrades!$U$13,E114),1)*IF(Upgrades!$T$14="Moving Group",POWER(Upgrades!$U$14,F114),1)*IF(Upgrades!$T$15="Moving Group",POWER(Upgrades!$U$15,G114),1)*IF(Upgrades!$T$16="Moving Group",POWER(Upgrades!$U$16,H114),1)*IF(Upgrades!$T$17="Moving Group",POWER(Upgrades!$U$17,I114),1)*IF(Upgrades!$T$18="Moving Group",POWER(Upgrades!$U$18,J114),1)*IF(Upgrades!$T$19="Moving Group",POWER(Upgrades!$U$19,K114),1)*IF(Upgrades!$T$20="Moving Group",POWER(Upgrades!$U$20,L114),1)))*POWER(Upgrades!$P$13,E114)*POWER(Upgrades!$P$14,F114)*POWER(Upgrades!$P$15,G114)*POWER(Upgrades!$P$16,H114)*POWER(Upgrades!$P$17,I114)*POWER(Upgrades!$P$18,J114)*POWER(Upgrades!$P$19,K114)*POWER(Upgrades!$P$20,L114)*POWER(Upgrades!$P$21,M114)*$F$6+$C$6</f>
        <v/>
      </c>
      <c r="Q114" s="28">
        <f>((IF(E114=0,0,(Upgrades!$M$13+E114*Upgrades!$N$13)*POWER(Upgrades!$O$13,E114)))*(IF(Upgrades!$T$14="Stellar Kinematics",POWER(Upgrades!$U$14,F114),1)*IF(Upgrades!$T$15="Stellar Kinematics",POWER(Upgrades!$U$15,G114),1)*IF(Upgrades!$T$16="Stellar Kinematics",POWER(Upgrades!$U$16,H114),1)*IF(Upgrades!$T$17="Stellar Kinematics",POWER(Upgrades!$U$17,I114),1)*IF(Upgrades!$T$18="Stellar Kinematics",POWER(Upgrades!$U$18,J114),1)*IF(Upgrades!$T$19="Stellar Kinematics",POWER(Upgrades!$U$19,K114),1)*IF(Upgrades!$T$20="Stellar Kinematics",POWER(Upgrades!$U$20,L114),1)*IF(Upgrades!$T$21="Stellar Kinematics",POWER(Upgrades!$U$21,M114),1))+(IF(F114=0,0,(Upgrades!$M$14+F114*Upgrades!$N$14)*POWER(Upgrades!$O$14,F114)))*(IF(Upgrades!$T$13="Local Bubble",POWER(Upgrades!$U$13,E114),1)*IF(Upgrades!$T$15="Local Bubble",POWER(Upgrades!$U$15,G114),1)*IF(Upgrades!$T$16="Local Bubble",POWER(Upgrades!$U$16,H114),1)*IF(Upgrades!$T$17="Local Bubble",POWER(Upgrades!$U$17,I114),1)*IF(Upgrades!$T$18="Local Bubble",POWER(Upgrades!$U$18,J114),1)*IF(Upgrades!$T$19="Local Bubble",POWER(Upgrades!$U$19,K114),1)*IF(Upgrades!$T$20="Local Bubble",POWER(Upgrades!$U$20,L114),1)*IF(Upgrades!$T$21="Local Bubble",POWER(Upgrades!$U$21,M114),1))+(IF(G114=0,0,(Upgrades!$M$15+G114*Upgrades!$N$15)*POWER(Upgrades!$O$15,G114)))*(IF(Upgrades!$T$13="Microlensing",POWER(Upgrades!$U$13,E114),1)*IF(Upgrades!$T$14="Microlensing",POWER(Upgrades!$U$14,F114),1)*IF(Upgrades!$T$16="Microlensing",POWER(Upgrades!$U$16,H114),1)*IF(Upgrades!$T$17="Microlensing",POWER(Upgrades!$U$17,I114),1)*IF(Upgrades!$T$18="Microlensing",POWER(Upgrades!$U$18,J114),1)*IF(Upgrades!$T$19="Microlensing",POWER(Upgrades!$U$19,K114),1)*IF(Upgrades!$T$20="Microlensing",POWER(Upgrades!$U$20,L114),1)*IF(Upgrades!$T$21="Microlensing",POWER(Upgrades!$U$21,M114),1))+(IF(H114=0,0,(Upgrades!$M$16+H114*Upgrades!$N$16)*POWER(Upgrades!$O$16,H114)))*(IF(Upgrades!$T$13="Roche Lobe Overflow",POWER(Upgrades!$U$13,E114),1)*IF(Upgrades!$T$14="Roche Lobe Overflow",POWER(Upgrades!$U$14,F114),1)*IF(Upgrades!$T$15="Roche Lobe Overflow",POWER(Upgrades!$U$15,G114),1)*IF(Upgrades!$T$17="Roche Lobe Overflow",POWER(Upgrades!$U$17,I114),1)*IF(Upgrades!$T$18="Roche Lobe Overflow",POWER(Upgrades!$U$18,J114),1)*IF(Upgrades!$T$19="Roche Lobe Overflow",POWER(Upgrades!$U$19,K114),1)*IF(Upgrades!$T$20="Roche Lobe Overflow",POWER(Upgrades!$U$20,L114),1)*IF(Upgrades!$T$21="Roche Lobe Overflow",POWER(Upgrades!$U$21,M114),1))+(IF(I114=0,0,(Upgrades!$M$17+I114*Upgrades!$N$17)*POWER(Upgrades!$O$17,I114)))*(IF(Upgrades!$T$13="Brown Dwarf",POWER(Upgrades!$U$13,E114),1)*IF(Upgrades!$T$14="Brown Dwarf",POWER(Upgrades!$U$14,F114),1)*IF(Upgrades!$T$15="Brown Dwarf",POWER(Upgrades!$U$15,G114),1)*IF(Upgrades!$T$16="Brown Dwarf",POWER(Upgrades!$U$16,H114),1)*IF(Upgrades!$T$18="Brown Dwarf",POWER(Upgrades!$U$18,J114),1)*IF(Upgrades!$T$19="Brown Dwarf",POWER(Upgrades!$U$19,K114),1)*IF(Upgrades!$T$20="Brown Dwarf",POWER(Upgrades!$U$20,L114),1)*IF(Upgrades!$T$21="Brown Dwarf",POWER(Upgrades!$U$21,M114),1))+(IF(J114=0,0,(Upgrades!$M$18+J114*Upgrades!$N$18)*POWER(Upgrades!$O$18,J114)))*(IF(Upgrades!$T$13="Binary Partner",POWER(Upgrades!$U$13,E114),1)*IF(Upgrades!$T$14="Binary Partner",POWER(Upgrades!$U$14,F114),1)*IF(Upgrades!$T$15="Binary Partner",POWER(Upgrades!$U$15,G114),1)*IF(Upgrades!$T$16="Binary Partner",POWER(Upgrades!$U$16,H114),1)*IF(Upgrades!$T$17="Binary Partner",POWER(Upgrades!$U$17,I114),1)*IF(Upgrades!$T$19="Binary Partner",POWER(Upgrades!$U$19,K114),1)*IF(Upgrades!$T$20="Binary Partner",POWER(Upgrades!$U$20,L114),1)*IF(Upgrades!$T$21="Binary Partner",POWER(Upgrades!$U$21,M114),1))+(IF(K114=0,0,(Upgrades!$M$19+K114*Upgrades!$N$19)*POWER(Upgrades!$O$19,K114)))*(IF(Upgrades!$T$13="Peculiar Velocity",POWER(Upgrades!$U$13,E114),1)*IF(Upgrades!$T$14="Peculiar Velocity",POWER(Upgrades!$U$14,F114),1)*IF(Upgrades!$T$15="Peculiar Velocity",POWER(Upgrades!$U$15,G114),1)*IF(Upgrades!$T$16="Peculiar Velocity",POWER(Upgrades!$U$16,H114),1)*IF(Upgrades!$T$17="Peculiar Velocity",POWER(Upgrades!$U$17,I114),1)*IF(Upgrades!$T$18="Peculiar Velocity",POWER(Upgrades!$U$18,J114),1)*IF(Upgrades!$T$20="Peculiar Velocity",POWER(Upgrades!$U$20,L114),1)*IF(Upgrades!$T$21="Peculiar Velocity",POWER(Upgrades!$U$21,M114),1))+(IF(L114=0,0,(Upgrades!$M$20+L114*Upgrades!$N$20)*POWER(Upgrades!$O$20,L114)))*(IF(Upgrades!$T$13="Open Cluster",POWER(Upgrades!$U$13,E114),1)*IF(Upgrades!$T$14="Open Cluster",POWER(Upgrades!$U$14,F114),1)*IF(Upgrades!$T$15="Open Cluster",POWER(Upgrades!$U$15,G114),1)*IF(Upgrades!$T$16="Open Cluster",POWER(Upgrades!$U$16,H114),1)*IF(Upgrades!$T$17="Open Cluster",POWER(Upgrades!$U$17,I114),1)*IF(Upgrades!$T$18="Open Cluster",POWER(Upgrades!$U$18,J114),1)*IF(Upgrades!$T$19="Open Cluster",POWER(Upgrades!$U$19,K114),1)*IF(Upgrades!$T$21="Open Cluster",POWER(Upgrades!$U$21,M114),1))+(IF(M114=0,0,(Upgrades!$M$21+M114*Upgrades!$N$21)*POWER(Upgrades!$O$21,M114)))*(IF(Upgrades!$T$13="Moving Group",POWER(Upgrades!$U$13,E114),1)*IF(Upgrades!$T$14="Moving Group",POWER(Upgrades!$U$14,F114),1)*IF(Upgrades!$T$15="Moving Group",POWER(Upgrades!$U$15,G114),1)*IF(Upgrades!$T$16="Moving Group",POWER(Upgrades!$U$16,H114),1)*IF(Upgrades!$T$17="Moving Group",POWER(Upgrades!$U$17,I114),1)*IF(Upgrades!$T$18="Moving Group",POWER(Upgrades!$U$18,J114),1)*IF(Upgrades!$T$19="Moving Group",POWER(Upgrades!$U$19,K114),1)*IF(Upgrades!$T$20="Moving Group",POWER(Upgrades!$U$20,L114),1)))*POWER(Upgrades!$R$13,E114)*POWER(Upgrades!$R$14,F114)*POWER(Upgrades!$R$15,G114)*POWER(Upgrades!$R$16,H114)*POWER(Upgrades!$R$17,I114)*POWER(Upgrades!$R$18,J114)*POWER(Upgrades!$R$19,K114)*POWER(Upgrades!$R$20,L114)*POWER(Upgrades!$R$21,M114)*$H$6+$E$6</f>
        <v/>
      </c>
      <c r="R114" s="27">
        <f>IF(N114=1,0,O114*Parameters!$B$10/60*Parameters!$B$11*10)</f>
        <v/>
      </c>
      <c r="S114" s="27">
        <f>IF(N114=1,0,Q114*O114*10)</f>
        <v/>
      </c>
      <c r="T114" s="27">
        <f>IF(N114=1,0,R114+S114+P114*10)</f>
        <v/>
      </c>
      <c r="U114" s="33">
        <f>BE114</f>
        <v/>
      </c>
      <c r="V114" s="22">
        <f>IF(U114="",0,IF(U114="transition",0,IF(U114="SK",AK114,IF(U114="LB",AL114,IF(U114="ML",AM114,IF(U114="RLO",AN114,IF(U114="BD",AO114,IF(U114="BiP",AP114,IF(U114="PV",AQ114,IF(U114="OC",AR114,IF(U114="MG",AS114,0))))))))))</f>
        <v/>
      </c>
      <c r="W114" s="27">
        <f>IF(U114="BiP",Upgrades!$F$18,IF(U114="PV",Upgrades!$F$19,IF(U114="OC",Upgrades!$F$20,IF(U114="MG",Upgrades!$F$21,IF(U114="transition",-Parameters!$B$18*Parameters!$B$19,0)))))</f>
        <v/>
      </c>
      <c r="X114" s="22">
        <f>C114+T114-V114</f>
        <v/>
      </c>
      <c r="Y114" s="30">
        <f>O114*Parameters!$B$10/60*Parameters!$B$11+Q114*O114+P114</f>
        <v/>
      </c>
      <c r="Z114" s="34">
        <f>IF(U114="transition","→ Tier 3 (Galactic Arm)",IF(U114="MG","Moving Group — pocket drifts together",IF(U114="OC","Open Cluster acquired",IF(U114="PV","Peculiar Velocity — passive multiplier active",IF(U114="BiP","Binary Partner — pair bond formed",IF(AND(AU114=1,N114=0,AT114&lt;&gt;1),"Cohesion ready (waiting on completionists)","")))))) </f>
        <v/>
      </c>
      <c r="AA114" s="27">
        <f>(IF(E114=0,0,(Upgrades!$G$13+E114*Upgrades!$H$13)*POWER(Upgrades!$I$13,E114)))*(IF(Upgrades!$T$14="Stellar Kinematics",POWER(Upgrades!$U$14,F114),1)*IF(Upgrades!$T$15="Stellar Kinematics",POWER(Upgrades!$U$15,G114),1)*IF(Upgrades!$T$16="Stellar Kinematics",POWER(Upgrades!$U$16,H114),1)*IF(Upgrades!$T$17="Stellar Kinematics",POWER(Upgrades!$U$17,I114),1)*IF(Upgrades!$T$18="Stellar Kinematics",POWER(Upgrades!$U$18,J114),1)*IF(Upgrades!$T$19="Stellar Kinematics",POWER(Upgrades!$U$19,K114),1)*IF(Upgrades!$T$20="Stellar Kinematics",POWER(Upgrades!$U$20,L114),1)*IF(Upgrades!$T$21="Stellar Kinematics",POWER(Upgrades!$U$21,M114),1))*POWER(Upgrades!$P$13,E114)*POWER(Upgrades!$P$14,F114)*POWER(Upgrades!$P$15,G114)*POWER(Upgrades!$P$16,H114)*POWER(Upgrades!$P$17,I114)*POWER(Upgrades!$P$18,J114)*POWER(Upgrades!$P$19,K114)*POWER(Upgrades!$P$20,L114)*POWER(Upgrades!$P$21,M114)*$F$6*60</f>
        <v/>
      </c>
      <c r="AB114" s="27">
        <f>(IF(F114=0,0,(Upgrades!$G$14+F114*Upgrades!$H$14)*POWER(Upgrades!$I$14,F114)))*(IF(Upgrades!$T$13="Local Bubble",POWER(Upgrades!$U$13,E114),1)*IF(Upgrades!$T$15="Local Bubble",POWER(Upgrades!$U$15,G114),1)*IF(Upgrades!$T$16="Local Bubble",POWER(Upgrades!$U$16,H114),1)*IF(Upgrades!$T$17="Local Bubble",POWER(Upgrades!$U$17,I114),1)*IF(Upgrades!$T$18="Local Bubble",POWER(Upgrades!$U$18,J114),1)*IF(Upgrades!$T$19="Local Bubble",POWER(Upgrades!$U$19,K114),1)*IF(Upgrades!$T$20="Local Bubble",POWER(Upgrades!$U$20,L114),1)*IF(Upgrades!$T$21="Local Bubble",POWER(Upgrades!$U$21,M114),1))*POWER(Upgrades!$P$13,E114)*POWER(Upgrades!$P$14,F114)*POWER(Upgrades!$P$15,G114)*POWER(Upgrades!$P$16,H114)*POWER(Upgrades!$P$17,I114)*POWER(Upgrades!$P$18,J114)*POWER(Upgrades!$P$19,K114)*POWER(Upgrades!$P$20,L114)*POWER(Upgrades!$P$21,M114)*$F$6*60</f>
        <v/>
      </c>
      <c r="AC114" s="27">
        <f>(IF(G114=0,0,(Upgrades!$J$15+G114*Upgrades!$K$15)*POWER(Upgrades!$L$15,G114)))*(IF(Upgrades!$T$13="Microlensing",POWER(Upgrades!$U$13,E114),1)*IF(Upgrades!$T$14="Microlensing",POWER(Upgrades!$U$14,F114),1)*IF(Upgrades!$T$16="Microlensing",POWER(Upgrades!$U$16,H114),1)*IF(Upgrades!$T$17="Microlensing",POWER(Upgrades!$U$17,I114),1)*IF(Upgrades!$T$18="Microlensing",POWER(Upgrades!$U$18,J114),1)*IF(Upgrades!$T$19="Microlensing",POWER(Upgrades!$U$19,K114),1)*IF(Upgrades!$T$20="Microlensing",POWER(Upgrades!$U$20,L114),1)*IF(Upgrades!$T$21="Microlensing",POWER(Upgrades!$U$21,M114),1))*POWER(Upgrades!$Q$13,E114)*POWER(Upgrades!$Q$14,F114)*POWER(Upgrades!$Q$15,G114)*POWER(Upgrades!$Q$16,H114)*POWER(Upgrades!$Q$17,I114)*POWER(Upgrades!$Q$18,J114)*POWER(Upgrades!$Q$19,K114)*POWER(Upgrades!$Q$20,L114)*POWER(Upgrades!$Q$21,M114)*$G$6*(Parameters!$B$10*Parameters!$B$11+Q114*60)</f>
        <v/>
      </c>
      <c r="AD114" s="27">
        <f>(IF(H114=0,0,(Upgrades!$M$16+H114*Upgrades!$N$16)*POWER(Upgrades!$O$16,H114)))*(IF(Upgrades!$T$13="Roche Lobe Overflow",POWER(Upgrades!$U$13,E114),1)*IF(Upgrades!$T$14="Roche Lobe Overflow",POWER(Upgrades!$U$14,F114),1)*IF(Upgrades!$T$15="Roche Lobe Overflow",POWER(Upgrades!$U$15,G114),1)*IF(Upgrades!$T$17="Roche Lobe Overflow",POWER(Upgrades!$U$17,I114),1)*IF(Upgrades!$T$18="Roche Lobe Overflow",POWER(Upgrades!$U$18,J114),1)*IF(Upgrades!$T$19="Roche Lobe Overflow",POWER(Upgrades!$U$19,K114),1)*IF(Upgrades!$T$20="Roche Lobe Overflow",POWER(Upgrades!$U$20,L114),1)*IF(Upgrades!$T$21="Roche Lobe Overflow",POWER(Upgrades!$U$21,M114),1))*POWER(Upgrades!$R$13,E114)*POWER(Upgrades!$R$14,F114)*POWER(Upgrades!$R$15,G114)*POWER(Upgrades!$R$16,H114)*POWER(Upgrades!$R$17,I114)*POWER(Upgrades!$R$18,J114)*POWER(Upgrades!$R$19,K114)*POWER(Upgrades!$R$20,L114)*POWER(Upgrades!$R$21,M114)*$H$6*O114*60</f>
        <v/>
      </c>
      <c r="AE114" s="27">
        <f>(IF(I114=0,0,(Upgrades!$G$17+I114*Upgrades!$H$17)*POWER(Upgrades!$I$17,I114)))*(IF(Upgrades!$T$13="Brown Dwarf",POWER(Upgrades!$U$13,E114),1)*IF(Upgrades!$T$14="Brown Dwarf",POWER(Upgrades!$U$14,F114),1)*IF(Upgrades!$T$15="Brown Dwarf",POWER(Upgrades!$U$15,G114),1)*IF(Upgrades!$T$16="Brown Dwarf",POWER(Upgrades!$U$16,H114),1)*IF(Upgrades!$T$18="Brown Dwarf",POWER(Upgrades!$U$18,J114),1)*IF(Upgrades!$T$19="Brown Dwarf",POWER(Upgrades!$U$19,K114),1)*IF(Upgrades!$T$20="Brown Dwarf",POWER(Upgrades!$U$20,L114),1)*IF(Upgrades!$T$21="Brown Dwarf",POWER(Upgrades!$U$21,M114),1))*POWER(Upgrades!$P$13,E114)*POWER(Upgrades!$P$14,F114)*POWER(Upgrades!$P$15,G114)*POWER(Upgrades!$P$16,H114)*POWER(Upgrades!$P$17,I114)*POWER(Upgrades!$P$18,J114)*POWER(Upgrades!$P$19,K114)*POWER(Upgrades!$P$20,L114)*POWER(Upgrades!$P$21,M114)*$F$6*60</f>
        <v/>
      </c>
      <c r="AF114" s="27" t="n">
        <v>0</v>
      </c>
      <c r="AG114" s="27" t="n">
        <v>0</v>
      </c>
      <c r="AH114" s="27" t="n">
        <v>0</v>
      </c>
      <c r="AI114" s="27">
        <f>(IF(M114=0,0,(Upgrades!$G$21+M114*Upgrades!$H$21)*POWER(Upgrades!$I$21,M114)))*(IF(Upgrades!$T$13="Moving Group",POWER(Upgrades!$U$13,E114),1)*IF(Upgrades!$T$14="Moving Group",POWER(Upgrades!$U$14,F114),1)*IF(Upgrades!$T$15="Moving Group",POWER(Upgrades!$U$15,G114),1)*IF(Upgrades!$T$16="Moving Group",POWER(Upgrades!$U$16,H114),1)*IF(Upgrades!$T$17="Moving Group",POWER(Upgrades!$U$17,I114),1)*IF(Upgrades!$T$18="Moving Group",POWER(Upgrades!$U$18,J114),1)*IF(Upgrades!$T$19="Moving Group",POWER(Upgrades!$U$19,K114),1)*IF(Upgrades!$T$20="Moving Group",POWER(Upgrades!$U$20,L114),1))*POWER(Upgrades!$P$13,E114)*POWER(Upgrades!$P$14,F114)*POWER(Upgrades!$P$15,G114)*POWER(Upgrades!$P$16,H114)*POWER(Upgrades!$P$17,I114)*POWER(Upgrades!$P$18,J114)*POWER(Upgrades!$P$19,K114)*POWER(Upgrades!$P$20,L114)*POWER(Upgrades!$P$21,M114)*$F$6*60</f>
        <v/>
      </c>
      <c r="AJ114" s="27">
        <f>$C$6*60</f>
        <v/>
      </c>
      <c r="AK114" s="22">
        <f>IF(E114&gt;=Upgrades!$E$13,"",Upgrades!$C$13*POWER(Upgrades!$D$13,E114))</f>
        <v/>
      </c>
      <c r="AL114" s="22">
        <f>IF(F114&gt;=Upgrades!$E$14,"",Upgrades!$C$14*POWER(Upgrades!$D$14,F114))</f>
        <v/>
      </c>
      <c r="AM114" s="22">
        <f>IF(G114&gt;=Upgrades!$E$15,"",Upgrades!$C$15*POWER(Upgrades!$D$15,G114))</f>
        <v/>
      </c>
      <c r="AN114" s="22">
        <f>IF(H114&gt;=Upgrades!$E$16,"",Upgrades!$C$16*POWER(Upgrades!$D$16,H114))</f>
        <v/>
      </c>
      <c r="AO114" s="22">
        <f>IF(I114&gt;=Upgrades!$E$17,"",Upgrades!$C$17*POWER(Upgrades!$D$17,I114))</f>
        <v/>
      </c>
      <c r="AP114" s="22">
        <f>IF(J114&gt;=Upgrades!$E$18,"",Upgrades!$C$18*POWER(Upgrades!$D$18,J114))</f>
        <v/>
      </c>
      <c r="AQ114" s="22">
        <f>IF(K114&gt;=Upgrades!$E$19,"",Upgrades!$C$19*POWER(Upgrades!$D$19,K114))</f>
        <v/>
      </c>
      <c r="AR114" s="22">
        <f>IF(L114&gt;=Upgrades!$E$20,"",Upgrades!$C$20*POWER(Upgrades!$D$20,L114))</f>
        <v/>
      </c>
      <c r="AS114" s="22">
        <f>IF(M114&gt;=Upgrades!$E$21,"",Upgrades!$C$21*POWER(Upgrades!$D$21,M114))</f>
        <v/>
      </c>
      <c r="AT114" s="26">
        <f>IF(AND(D114&gt;=Parameters!$B$18*Parameters!$B$19,(I114&gt;=Upgrades!$E$17)*(M114&gt;=Upgrades!$E$21)=1,N114=0),1,"")</f>
        <v/>
      </c>
      <c r="AU114" s="26">
        <f>IF(AND(D114&gt;=Parameters!$B$18*Parameters!$B$19,N114=0),1,"")</f>
        <v/>
      </c>
      <c r="AV114" s="22">
        <f>MIN(IF(ISNUMBER(AP114),AP114,9E15),IF(ISNUMBER(AQ114),AQ114,9E15),IF(ISNUMBER(AR114),AR114,9E15),IF(ISNUMBER(AS114),AS114,9E15))</f>
        <v/>
      </c>
      <c r="AW114" s="22">
        <f>MIN(IF(ISNUMBER(AK114),AK114,9E15),IF(ISNUMBER(AL114),AL114,9E15),IF(ISNUMBER(AM114),AM114,9E15),IF(ISNUMBER(AN114),AN114,9E15),IF(ISNUMBER(AO114),AO114,9E15))</f>
        <v/>
      </c>
      <c r="AX114" s="29">
        <f>IF(BD114&gt;Parameters!$B$21*(MAX(IF(AND(NOT(AND(AU114=1,AT114&lt;&gt;1)),ISNUMBER(AK114),AK114&lt;=(C114+T114)),AY114,0),IF(AND(NOT(AND(AU114=1,AT114&lt;&gt;1)),ISNUMBER(AL114),AL114&lt;=(C114+T114)),AZ114,0),IF(AND(NOT(AND(AU114=1,AT114&lt;&gt;1)),ISNUMBER(AM114),AM114&lt;=(C114+T114)),BA114,0),IF(AND(NOT(AND(AU114=1,AT114&lt;&gt;1)),ISNUMBER(AN114),AN114&lt;=(C114+T114)),BB114,0),IF(AND(ISNUMBER(AO114),AO114&lt;=(C114+T114)),BC114,0))),TRUE,FALSE)</f>
        <v/>
      </c>
      <c r="AY114" s="32">
        <f>IFERROR(Upgrades!$H$13*(POWER(Upgrades!$P$13,E114)*POWER(Upgrades!$P$14,F114)*POWER(Upgrades!$P$15,G114)*POWER(Upgrades!$P$16,H114)*POWER(Upgrades!$P$17,I114)*POWER(Upgrades!$P$18,J114)*POWER(Upgrades!$P$19,K114)*POWER(Upgrades!$P$20,L114)*POWER(Upgrades!$P$21,M114))*(IF(Upgrades!$T$14="Stellar Kinematics",POWER(Upgrades!$U$14,F114),1)*IF(Upgrades!$T$15="Stellar Kinematics",POWER(Upgrades!$U$15,G114),1)*IF(Upgrades!$T$16="Stellar Kinematics",POWER(Upgrades!$U$16,H114),1)*IF(Upgrades!$T$17="Stellar Kinematics",POWER(Upgrades!$U$17,I114),1)*IF(Upgrades!$T$18="Stellar Kinematics",POWER(Upgrades!$U$18,J114),1)*IF(Upgrades!$T$19="Stellar Kinematics",POWER(Upgrades!$U$19,K114),1)*IF(Upgrades!$T$20="Stellar Kinematics",POWER(Upgrades!$U$20,L114),1)*IF(Upgrades!$T$21="Stellar Kinematics",POWER(Upgrades!$U$21,M114),1))*$F$6/AK114,0)</f>
        <v/>
      </c>
      <c r="AZ114" s="32">
        <f>IFERROR(Upgrades!$H$14*(POWER(Upgrades!$P$13,E114)*POWER(Upgrades!$P$14,F114)*POWER(Upgrades!$P$15,G114)*POWER(Upgrades!$P$16,H114)*POWER(Upgrades!$P$17,I114)*POWER(Upgrades!$P$18,J114)*POWER(Upgrades!$P$19,K114)*POWER(Upgrades!$P$20,L114)*POWER(Upgrades!$P$21,M114))*(IF(Upgrades!$T$13="Local Bubble",POWER(Upgrades!$U$13,E114),1)*IF(Upgrades!$T$15="Local Bubble",POWER(Upgrades!$U$15,G114),1)*IF(Upgrades!$T$16="Local Bubble",POWER(Upgrades!$U$16,H114),1)*IF(Upgrades!$T$17="Local Bubble",POWER(Upgrades!$U$17,I114),1)*IF(Upgrades!$T$18="Local Bubble",POWER(Upgrades!$U$18,J114),1)*IF(Upgrades!$T$19="Local Bubble",POWER(Upgrades!$U$19,K114),1)*IF(Upgrades!$T$20="Local Bubble",POWER(Upgrades!$U$20,L114),1)*IF(Upgrades!$T$21="Local Bubble",POWER(Upgrades!$U$21,M114),1))*$F$6/AL114,0)</f>
        <v/>
      </c>
      <c r="BA114" s="32">
        <f>IFERROR(Upgrades!$K$15*(POWER(Upgrades!$Q$13,E114)*POWER(Upgrades!$Q$14,F114)*POWER(Upgrades!$Q$15,G114)*POWER(Upgrades!$Q$16,H114)*POWER(Upgrades!$Q$17,I114)*POWER(Upgrades!$Q$18,J114)*POWER(Upgrades!$Q$19,K114)*POWER(Upgrades!$Q$20,L114)*POWER(Upgrades!$Q$21,M114))*(IF(Upgrades!$T$13="Microlensing",POWER(Upgrades!$U$13,E114),1)*IF(Upgrades!$T$14="Microlensing",POWER(Upgrades!$U$14,F114),1)*IF(Upgrades!$T$16="Microlensing",POWER(Upgrades!$U$16,H114),1)*IF(Upgrades!$T$17="Microlensing",POWER(Upgrades!$U$17,I114),1)*IF(Upgrades!$T$18="Microlensing",POWER(Upgrades!$U$18,J114),1)*IF(Upgrades!$T$19="Microlensing",POWER(Upgrades!$U$19,K114),1)*IF(Upgrades!$T$20="Microlensing",POWER(Upgrades!$U$20,L114),1)*IF(Upgrades!$T$21="Microlensing",POWER(Upgrades!$U$21,M114),1))*$G$6*(Parameters!$B$10/60*Parameters!$B$11+Q114)/AM114,0)</f>
        <v/>
      </c>
      <c r="BB114" s="32">
        <f>IFERROR((Upgrades!$N$16*(POWER(Upgrades!$R$13,E114)*POWER(Upgrades!$R$14,F114)*POWER(Upgrades!$R$15,G114)*POWER(Upgrades!$R$16,H114)*POWER(Upgrades!$R$17,I114)*POWER(Upgrades!$R$18,J114)*POWER(Upgrades!$R$19,K114)*POWER(Upgrades!$R$20,L114)*POWER(Upgrades!$R$21,M114))*(IF(Upgrades!$T$13="Roche Lobe Overflow",POWER(Upgrades!$U$13,E114),1)*IF(Upgrades!$T$14="Roche Lobe Overflow",POWER(Upgrades!$U$14,F114),1)*IF(Upgrades!$T$15="Roche Lobe Overflow",POWER(Upgrades!$U$15,G114),1)*IF(Upgrades!$T$17="Roche Lobe Overflow",POWER(Upgrades!$U$17,I114),1)*IF(Upgrades!$T$18="Roche Lobe Overflow",POWER(Upgrades!$U$18,J114),1)*IF(Upgrades!$T$19="Roche Lobe Overflow",POWER(Upgrades!$U$19,K114),1)*IF(Upgrades!$T$20="Roche Lobe Overflow",POWER(Upgrades!$U$20,L114),1)*IF(Upgrades!$T$21="Roche Lobe Overflow",POWER(Upgrades!$U$21,M114),1))*$H$6*O114+((IF(F114=0,0,(Upgrades!$G$14+F114*Upgrades!$H$14)*POWER(Upgrades!$I$14,F114)))*(IF(Upgrades!$T$13="Local Bubble",POWER(Upgrades!$U$13,E114),1)*IF(Upgrades!$T$15="Local Bubble",POWER(Upgrades!$U$15,G114),1)*IF(Upgrades!$T$16="Local Bubble",POWER(Upgrades!$U$16,H114),1)*IF(Upgrades!$T$17="Local Bubble",POWER(Upgrades!$U$17,I114),1)*IF(Upgrades!$T$18="Local Bubble",POWER(Upgrades!$U$18,J114),1)*IF(Upgrades!$T$19="Local Bubble",POWER(Upgrades!$U$19,K114),1)*IF(Upgrades!$T$20="Local Bubble",POWER(Upgrades!$U$20,L114),1)*IF(Upgrades!$T$21="Local Bubble",POWER(Upgrades!$U$21,M114),1))*POWER(Upgrades!$P$13,E114)*POWER(Upgrades!$P$14,F114)*POWER(Upgrades!$P$15,G114)*POWER(Upgrades!$P$16,H114)*POWER(Upgrades!$P$17,I114)*POWER(Upgrades!$P$18,J114)*POWER(Upgrades!$P$19,K114)*POWER(Upgrades!$P$20,L114)*POWER(Upgrades!$P$21,M114)*$F$6)*0.05)/AN114,0)</f>
        <v/>
      </c>
      <c r="BC114" s="32">
        <f>IFERROR((Upgrades!$H$17*(POWER(Upgrades!$P$13,E114)*POWER(Upgrades!$P$14,F114)*POWER(Upgrades!$P$15,G114)*POWER(Upgrades!$P$16,H114)*POWER(Upgrades!$P$17,I114)*POWER(Upgrades!$P$18,J114)*POWER(Upgrades!$P$19,K114)*POWER(Upgrades!$P$20,L114)*POWER(Upgrades!$P$21,M114))*(IF(Upgrades!$T$13="Brown Dwarf",POWER(Upgrades!$U$13,E114),1)*IF(Upgrades!$T$14="Brown Dwarf",POWER(Upgrades!$U$14,F114),1)*IF(Upgrades!$T$15="Brown Dwarf",POWER(Upgrades!$U$15,G114),1)*IF(Upgrades!$T$16="Brown Dwarf",POWER(Upgrades!$U$16,H114),1)*IF(Upgrades!$T$18="Brown Dwarf",POWER(Upgrades!$U$18,J114),1)*IF(Upgrades!$T$19="Brown Dwarf",POWER(Upgrades!$U$19,K114),1)*IF(Upgrades!$T$20="Brown Dwarf",POWER(Upgrades!$U$20,L114),1)*IF(Upgrades!$T$21="Brown Dwarf",POWER(Upgrades!$U$21,M114),1))*$F$6+(((IF(H114=0,0,(Upgrades!$M$16+H114*Upgrades!$N$16)*POWER(Upgrades!$O$16,H114)))*(IF(Upgrades!$T$13="Roche Lobe Overflow",POWER(Upgrades!$U$13,E114),1)*IF(Upgrades!$T$14="Roche Lobe Overflow",POWER(Upgrades!$U$14,F114),1)*IF(Upgrades!$T$15="Roche Lobe Overflow",POWER(Upgrades!$U$15,G114),1)*IF(Upgrades!$T$17="Roche Lobe Overflow",POWER(Upgrades!$U$17,I114),1)*IF(Upgrades!$T$18="Roche Lobe Overflow",POWER(Upgrades!$U$18,J114),1)*IF(Upgrades!$T$19="Roche Lobe Overflow",POWER(Upgrades!$U$19,K114),1)*IF(Upgrades!$T$20="Roche Lobe Overflow",POWER(Upgrades!$U$20,L114),1)*IF(Upgrades!$T$21="Roche Lobe Overflow",POWER(Upgrades!$U$21,M114),1))*POWER(Upgrades!$R$13,E114)*POWER(Upgrades!$R$14,F114)*POWER(Upgrades!$R$15,G114)*POWER(Upgrades!$R$16,H114)*POWER(Upgrades!$R$17,I114)*POWER(Upgrades!$R$18,J114)*POWER(Upgrades!$R$19,K114)*POWER(Upgrades!$R$20,L114)*POWER(Upgrades!$R$21,M114)*$H$6)*O114)*0.10)/AO114,0)</f>
        <v/>
      </c>
      <c r="BD114" s="32">
        <f>MAX(IF(J114&gt;0,0,IFERROR(0.5*((IF(G114=0,0,(Upgrades!$J$15+G114*Upgrades!$K$15)*POWER(Upgrades!$L$15,G114)))*(IF(Upgrades!$T$13="Microlensing",POWER(Upgrades!$U$13,E114),1)*IF(Upgrades!$T$14="Microlensing",POWER(Upgrades!$U$14,F114),1)*IF(Upgrades!$T$16="Microlensing",POWER(Upgrades!$U$16,H114),1)*IF(Upgrades!$T$17="Microlensing",POWER(Upgrades!$U$17,I114),1)*IF(Upgrades!$T$18="Microlensing",POWER(Upgrades!$U$18,J114),1)*IF(Upgrades!$T$19="Microlensing",POWER(Upgrades!$U$19,K114),1)*IF(Upgrades!$T$20="Microlensing",POWER(Upgrades!$U$20,L114),1)*IF(Upgrades!$T$21="Microlensing",POWER(Upgrades!$U$21,M114),1))*(POWER(Upgrades!$Q$13,E114)*POWER(Upgrades!$Q$14,F114)*POWER(Upgrades!$Q$15,G114)*POWER(Upgrades!$Q$16,H114)*POWER(Upgrades!$Q$17,I114)*POWER(Upgrades!$Q$18,J114)*POWER(Upgrades!$Q$19,K114)*POWER(Upgrades!$Q$20,L114)*POWER(Upgrades!$Q$21,M114))*$G$6*(Parameters!$B$10/60*Parameters!$B$11+Q114))/Upgrades!$C$18,0)),IF(K114&gt;0,0,IFERROR(0.30*P114/Upgrades!$C$19,0)),IF(L114&gt;0,0,IFERROR(0.0001/Upgrades!$C$20,0)),IF(M114&gt;0,0,IFERROR((6.0*(POWER(Upgrades!$P$13,E114)*POWER(Upgrades!$P$14,F114)*POWER(Upgrades!$P$15,G114)*POWER(Upgrades!$P$16,H114)*POWER(Upgrades!$P$17,I114)*POWER(Upgrades!$P$18,J114)*POWER(Upgrades!$P$19,K114)*POWER(Upgrades!$P$20,L114)*POWER(Upgrades!$P$21,M114))*$F$6+0.20*O114*(Parameters!$B$10/60*Parameters!$B$11+Q114))/Upgrades!$C$21,0)),IF(AND(ISNUMBER(AK114),AK114&gt;(C114+T114)),AY114,0),IF(AND(ISNUMBER(AL114),AL114&gt;(C114+T114)),AZ114,0),IF(AND(ISNUMBER(AM114),AM114&gt;(C114+T114)),BA114,0),IF(AND(ISNUMBER(AN114),AN114&gt;(C114+T114)),BB114,0),IF(AND(ISNUMBER(AO114),AO114&gt;(C114+T114)),BC114,0))</f>
        <v/>
      </c>
      <c r="BE114" s="29">
        <f>IF(AT114=1,"transition",IF(MIN(IF(AND(J114=0,ISNUMBER(AP114),AP114&lt;=(C114+T114)),AP114,9E15),IF(AND(K114=0,ISNUMBER(AQ114),AQ114&lt;=(C114+T114)),AQ114,9E15),IF(AND(L114=0,ISNUMBER(AR114),AR114&lt;=(C114+T114)),AR114,9E15),IF(AND(M114=0,ISNUMBER(AS114),AS114&lt;=(C114+T114)),AS114,9E15))&lt;9E15,IF(AND(AND(J114=0,ISNUMBER(AP114),AP114&lt;=(C114+T114)),AP114=MIN(IF(AND(J114=0,ISNUMBER(AP114),AP114&lt;=(C114+T114)),AP114,9E15),IF(AND(K114=0,ISNUMBER(AQ114),AQ114&lt;=(C114+T114)),AQ114,9E15),IF(AND(L114=0,ISNUMBER(AR114),AR114&lt;=(C114+T114)),AR114,9E15),IF(AND(M114=0,ISNUMBER(AS114),AS114&lt;=(C114+T114)),AS114,9E15))),"BiP",IF(AND(AND(K114=0,ISNUMBER(AQ114),AQ114&lt;=(C114+T114)),AQ114=MIN(IF(AND(J114=0,ISNUMBER(AP114),AP114&lt;=(C114+T114)),AP114,9E15),IF(AND(K114=0,ISNUMBER(AQ114),AQ114&lt;=(C114+T114)),AQ114,9E15),IF(AND(L114=0,ISNUMBER(AR114),AR114&lt;=(C114+T114)),AR114,9E15),IF(AND(M114=0,ISNUMBER(AS114),AS114&lt;=(C114+T114)),AS114,9E15))),"PV",IF(AND(AND(L114=0,ISNUMBER(AR114),AR114&lt;=(C114+T114)),AR114=MIN(IF(AND(J114=0,ISNUMBER(AP114),AP114&lt;=(C114+T114)),AP114,9E15),IF(AND(K114=0,ISNUMBER(AQ114),AQ114&lt;=(C114+T114)),AQ114,9E15),IF(AND(L114=0,ISNUMBER(AR114),AR114&lt;=(C114+T114)),AR114,9E15),IF(AND(M114=0,ISNUMBER(AS114),AS114&lt;=(C114+T114)),AS114,9E15))),"OC","MG"))),IF(AX114=TRUE,"",IF(MAX(IF(AND(NOT(AND(AU114=1,AT114&lt;&gt;1)),ISNUMBER(AK114),AK114&lt;=(C114+T114)),AY114,0),IF(AND(NOT(AND(AU114=1,AT114&lt;&gt;1)),ISNUMBER(AL114),AL114&lt;=(C114+T114)),AZ114,0),IF(AND(NOT(AND(AU114=1,AT114&lt;&gt;1)),ISNUMBER(AM114),AM114&lt;=(C114+T114)),BA114,0),IF(AND(NOT(AND(AU114=1,AT114&lt;&gt;1)),ISNUMBER(AN114),AN114&lt;=(C114+T114)),BB114,0),IF(AND(ISNUMBER(AO114),AO114&lt;=(C114+T114)),BC114,0))&lt;=0,"",IF(AND(IF(AND(NOT(AND(AU114=1,AT114&lt;&gt;1)),ISNUMBER(AK114),AK114&lt;=(C114+T114)),AY114,0)&gt;0,IF(AND(NOT(AND(AU114=1,AT114&lt;&gt;1)),ISNUMBER(AK114),AK114&lt;=(C114+T114)),AY114,0)=MAX(IF(AND(NOT(AND(AU114=1,AT114&lt;&gt;1)),ISNUMBER(AK114),AK114&lt;=(C114+T114)),AY114,0),IF(AND(NOT(AND(AU114=1,AT114&lt;&gt;1)),ISNUMBER(AL114),AL114&lt;=(C114+T114)),AZ114,0),IF(AND(NOT(AND(AU114=1,AT114&lt;&gt;1)),ISNUMBER(AM114),AM114&lt;=(C114+T114)),BA114,0),IF(AND(NOT(AND(AU114=1,AT114&lt;&gt;1)),ISNUMBER(AN114),AN114&lt;=(C114+T114)),BB114,0),IF(AND(ISNUMBER(AO114),AO114&lt;=(C114+T114)),BC114,0))),"SK",IF(AND(IF(AND(NOT(AND(AU114=1,AT114&lt;&gt;1)),ISNUMBER(AL114),AL114&lt;=(C114+T114)),AZ114,0)&gt;0,IF(AND(NOT(AND(AU114=1,AT114&lt;&gt;1)),ISNUMBER(AL114),AL114&lt;=(C114+T114)),AZ114,0)=MAX(IF(AND(NOT(AND(AU114=1,AT114&lt;&gt;1)),ISNUMBER(AK114),AK114&lt;=(C114+T114)),AY114,0),IF(AND(NOT(AND(AU114=1,AT114&lt;&gt;1)),ISNUMBER(AL114),AL114&lt;=(C114+T114)),AZ114,0),IF(AND(NOT(AND(AU114=1,AT114&lt;&gt;1)),ISNUMBER(AM114),AM114&lt;=(C114+T114)),BA114,0),IF(AND(NOT(AND(AU114=1,AT114&lt;&gt;1)),ISNUMBER(AN114),AN114&lt;=(C114+T114)),BB114,0),IF(AND(ISNUMBER(AO114),AO114&lt;=(C114+T114)),BC114,0))),"LB",IF(AND(IF(AND(NOT(AND(AU114=1,AT114&lt;&gt;1)),ISNUMBER(AM114),AM114&lt;=(C114+T114)),BA114,0)&gt;0,IF(AND(NOT(AND(AU114=1,AT114&lt;&gt;1)),ISNUMBER(AM114),AM114&lt;=(C114+T114)),BA114,0)=MAX(IF(AND(NOT(AND(AU114=1,AT114&lt;&gt;1)),ISNUMBER(AK114),AK114&lt;=(C114+T114)),AY114,0),IF(AND(NOT(AND(AU114=1,AT114&lt;&gt;1)),ISNUMBER(AL114),AL114&lt;=(C114+T114)),AZ114,0),IF(AND(NOT(AND(AU114=1,AT114&lt;&gt;1)),ISNUMBER(AM114),AM114&lt;=(C114+T114)),BA114,0),IF(AND(NOT(AND(AU114=1,AT114&lt;&gt;1)),ISNUMBER(AN114),AN114&lt;=(C114+T114)),BB114,0),IF(AND(ISNUMBER(AO114),AO114&lt;=(C114+T114)),BC114,0))),"ML",IF(AND(IF(AND(NOT(AND(AU114=1,AT114&lt;&gt;1)),ISNUMBER(AN114),AN114&lt;=(C114+T114)),BB114,0)&gt;0,IF(AND(NOT(AND(AU114=1,AT114&lt;&gt;1)),ISNUMBER(AN114),AN114&lt;=(C114+T114)),BB114,0)=MAX(IF(AND(NOT(AND(AU114=1,AT114&lt;&gt;1)),ISNUMBER(AK114),AK114&lt;=(C114+T114)),AY114,0),IF(AND(NOT(AND(AU114=1,AT114&lt;&gt;1)),ISNUMBER(AL114),AL114&lt;=(C114+T114)),AZ114,0),IF(AND(NOT(AND(AU114=1,AT114&lt;&gt;1)),ISNUMBER(AM114),AM114&lt;=(C114+T114)),BA114,0),IF(AND(NOT(AND(AU114=1,AT114&lt;&gt;1)),ISNUMBER(AN114),AN114&lt;=(C114+T114)),BB114,0),IF(AND(ISNUMBER(AO114),AO114&lt;=(C114+T114)),BC114,0))),"RLO","BD"))))))))</f>
        <v/>
      </c>
    </row>
    <row r="115">
      <c r="A115" s="26" t="n">
        <v>104</v>
      </c>
      <c r="B115" s="27">
        <f>A115*10/60</f>
        <v/>
      </c>
      <c r="C115" s="22">
        <f>X114</f>
        <v/>
      </c>
      <c r="D115" s="27">
        <f>D114+W114</f>
        <v/>
      </c>
      <c r="E115" s="26">
        <f>E114+IF(U114="SK",1,0)</f>
        <v/>
      </c>
      <c r="F115" s="26">
        <f>F114+IF(U114="LB",1,0)</f>
        <v/>
      </c>
      <c r="G115" s="26">
        <f>G114+IF(U114="ML",1,0)</f>
        <v/>
      </c>
      <c r="H115" s="26">
        <f>H114+IF(U114="RLO",1,0)</f>
        <v/>
      </c>
      <c r="I115" s="26">
        <f>I114+IF(U114="BD",1,0)</f>
        <v/>
      </c>
      <c r="J115" s="26">
        <f>MAX(J114,IF(U114="BiP",1,0))</f>
        <v/>
      </c>
      <c r="K115" s="26">
        <f>MAX(K114,IF(U114="PV",1,0))</f>
        <v/>
      </c>
      <c r="L115" s="26">
        <f>MAX(L114,IF(U114="OC",1,0))</f>
        <v/>
      </c>
      <c r="M115" s="26">
        <f>MAX(M114,IF(U114="MG",1,0))</f>
        <v/>
      </c>
      <c r="N115" s="26">
        <f>MAX(N114,IF(U114="transition",1,0))</f>
        <v/>
      </c>
      <c r="O115" s="28">
        <f>(Parameters!$B$9+(IF(E115=0,0,(Upgrades!$J$13+E115*Upgrades!$K$13)*POWER(Upgrades!$L$13,E115)))*(IF(Upgrades!$T$14="Stellar Kinematics",POWER(Upgrades!$U$14,F115),1)*IF(Upgrades!$T$15="Stellar Kinematics",POWER(Upgrades!$U$15,G115),1)*IF(Upgrades!$T$16="Stellar Kinematics",POWER(Upgrades!$U$16,H115),1)*IF(Upgrades!$T$17="Stellar Kinematics",POWER(Upgrades!$U$17,I115),1)*IF(Upgrades!$T$18="Stellar Kinematics",POWER(Upgrades!$U$18,J115),1)*IF(Upgrades!$T$19="Stellar Kinematics",POWER(Upgrades!$U$19,K115),1)*IF(Upgrades!$T$20="Stellar Kinematics",POWER(Upgrades!$U$20,L115),1)*IF(Upgrades!$T$21="Stellar Kinematics",POWER(Upgrades!$U$21,M115),1))+(IF(F115=0,0,(Upgrades!$J$14+F115*Upgrades!$K$14)*POWER(Upgrades!$L$14,F115)))*(IF(Upgrades!$T$13="Local Bubble",POWER(Upgrades!$U$13,E115),1)*IF(Upgrades!$T$15="Local Bubble",POWER(Upgrades!$U$15,G115),1)*IF(Upgrades!$T$16="Local Bubble",POWER(Upgrades!$U$16,H115),1)*IF(Upgrades!$T$17="Local Bubble",POWER(Upgrades!$U$17,I115),1)*IF(Upgrades!$T$18="Local Bubble",POWER(Upgrades!$U$18,J115),1)*IF(Upgrades!$T$19="Local Bubble",POWER(Upgrades!$U$19,K115),1)*IF(Upgrades!$T$20="Local Bubble",POWER(Upgrades!$U$20,L115),1)*IF(Upgrades!$T$21="Local Bubble",POWER(Upgrades!$U$21,M115),1))+(IF(G115=0,0,(Upgrades!$J$15+G115*Upgrades!$K$15)*POWER(Upgrades!$L$15,G115)))*(IF(Upgrades!$T$13="Microlensing",POWER(Upgrades!$U$13,E115),1)*IF(Upgrades!$T$14="Microlensing",POWER(Upgrades!$U$14,F115),1)*IF(Upgrades!$T$16="Microlensing",POWER(Upgrades!$U$16,H115),1)*IF(Upgrades!$T$17="Microlensing",POWER(Upgrades!$U$17,I115),1)*IF(Upgrades!$T$18="Microlensing",POWER(Upgrades!$U$18,J115),1)*IF(Upgrades!$T$19="Microlensing",POWER(Upgrades!$U$19,K115),1)*IF(Upgrades!$T$20="Microlensing",POWER(Upgrades!$U$20,L115),1)*IF(Upgrades!$T$21="Microlensing",POWER(Upgrades!$U$21,M115),1))+(IF(H115=0,0,(Upgrades!$J$16+H115*Upgrades!$K$16)*POWER(Upgrades!$L$16,H115)))*(IF(Upgrades!$T$13="Roche Lobe Overflow",POWER(Upgrades!$U$13,E115),1)*IF(Upgrades!$T$14="Roche Lobe Overflow",POWER(Upgrades!$U$14,F115),1)*IF(Upgrades!$T$15="Roche Lobe Overflow",POWER(Upgrades!$U$15,G115),1)*IF(Upgrades!$T$17="Roche Lobe Overflow",POWER(Upgrades!$U$17,I115),1)*IF(Upgrades!$T$18="Roche Lobe Overflow",POWER(Upgrades!$U$18,J115),1)*IF(Upgrades!$T$19="Roche Lobe Overflow",POWER(Upgrades!$U$19,K115),1)*IF(Upgrades!$T$20="Roche Lobe Overflow",POWER(Upgrades!$U$20,L115),1)*IF(Upgrades!$T$21="Roche Lobe Overflow",POWER(Upgrades!$U$21,M115),1))+(IF(I115=0,0,(Upgrades!$J$17+I115*Upgrades!$K$17)*POWER(Upgrades!$L$17,I115)))*(IF(Upgrades!$T$13="Brown Dwarf",POWER(Upgrades!$U$13,E115),1)*IF(Upgrades!$T$14="Brown Dwarf",POWER(Upgrades!$U$14,F115),1)*IF(Upgrades!$T$15="Brown Dwarf",POWER(Upgrades!$U$15,G115),1)*IF(Upgrades!$T$16="Brown Dwarf",POWER(Upgrades!$U$16,H115),1)*IF(Upgrades!$T$18="Brown Dwarf",POWER(Upgrades!$U$18,J115),1)*IF(Upgrades!$T$19="Brown Dwarf",POWER(Upgrades!$U$19,K115),1)*IF(Upgrades!$T$20="Brown Dwarf",POWER(Upgrades!$U$20,L115),1)*IF(Upgrades!$T$21="Brown Dwarf",POWER(Upgrades!$U$21,M115),1))+(IF(J115=0,0,(Upgrades!$J$18+J115*Upgrades!$K$18)*POWER(Upgrades!$L$18,J115)))*(IF(Upgrades!$T$13="Binary Partner",POWER(Upgrades!$U$13,E115),1)*IF(Upgrades!$T$14="Binary Partner",POWER(Upgrades!$U$14,F115),1)*IF(Upgrades!$T$15="Binary Partner",POWER(Upgrades!$U$15,G115),1)*IF(Upgrades!$T$16="Binary Partner",POWER(Upgrades!$U$16,H115),1)*IF(Upgrades!$T$17="Binary Partner",POWER(Upgrades!$U$17,I115),1)*IF(Upgrades!$T$19="Binary Partner",POWER(Upgrades!$U$19,K115),1)*IF(Upgrades!$T$20="Binary Partner",POWER(Upgrades!$U$20,L115),1)*IF(Upgrades!$T$21="Binary Partner",POWER(Upgrades!$U$21,M115),1))+(IF(K115=0,0,(Upgrades!$J$19+K115*Upgrades!$K$19)*POWER(Upgrades!$L$19,K115)))*(IF(Upgrades!$T$13="Peculiar Velocity",POWER(Upgrades!$U$13,E115),1)*IF(Upgrades!$T$14="Peculiar Velocity",POWER(Upgrades!$U$14,F115),1)*IF(Upgrades!$T$15="Peculiar Velocity",POWER(Upgrades!$U$15,G115),1)*IF(Upgrades!$T$16="Peculiar Velocity",POWER(Upgrades!$U$16,H115),1)*IF(Upgrades!$T$17="Peculiar Velocity",POWER(Upgrades!$U$17,I115),1)*IF(Upgrades!$T$18="Peculiar Velocity",POWER(Upgrades!$U$18,J115),1)*IF(Upgrades!$T$20="Peculiar Velocity",POWER(Upgrades!$U$20,L115),1)*IF(Upgrades!$T$21="Peculiar Velocity",POWER(Upgrades!$U$21,M115),1))+(IF(L115=0,0,(Upgrades!$J$20+L115*Upgrades!$K$20)*POWER(Upgrades!$L$20,L115)))*(IF(Upgrades!$T$13="Open Cluster",POWER(Upgrades!$U$13,E115),1)*IF(Upgrades!$T$14="Open Cluster",POWER(Upgrades!$U$14,F115),1)*IF(Upgrades!$T$15="Open Cluster",POWER(Upgrades!$U$15,G115),1)*IF(Upgrades!$T$16="Open Cluster",POWER(Upgrades!$U$16,H115),1)*IF(Upgrades!$T$17="Open Cluster",POWER(Upgrades!$U$17,I115),1)*IF(Upgrades!$T$18="Open Cluster",POWER(Upgrades!$U$18,J115),1)*IF(Upgrades!$T$19="Open Cluster",POWER(Upgrades!$U$19,K115),1)*IF(Upgrades!$T$21="Open Cluster",POWER(Upgrades!$U$21,M115),1))+(IF(M115=0,0,(Upgrades!$J$21+M115*Upgrades!$K$21)*POWER(Upgrades!$L$21,M115)))*(IF(Upgrades!$T$13="Moving Group",POWER(Upgrades!$U$13,E115),1)*IF(Upgrades!$T$14="Moving Group",POWER(Upgrades!$U$14,F115),1)*IF(Upgrades!$T$15="Moving Group",POWER(Upgrades!$U$15,G115),1)*IF(Upgrades!$T$16="Moving Group",POWER(Upgrades!$U$16,H115),1)*IF(Upgrades!$T$17="Moving Group",POWER(Upgrades!$U$17,I115),1)*IF(Upgrades!$T$18="Moving Group",POWER(Upgrades!$U$18,J115),1)*IF(Upgrades!$T$19="Moving Group",POWER(Upgrades!$U$19,K115),1)*IF(Upgrades!$T$20="Moving Group",POWER(Upgrades!$U$20,L115),1)))*POWER(Upgrades!$Q$13,E115)*POWER(Upgrades!$Q$14,F115)*POWER(Upgrades!$Q$15,G115)*POWER(Upgrades!$Q$16,H115)*POWER(Upgrades!$Q$17,I115)*POWER(Upgrades!$Q$18,J115)*POWER(Upgrades!$Q$19,K115)*POWER(Upgrades!$Q$20,L115)*POWER(Upgrades!$Q$21,M115)*$G$6+$D$6</f>
        <v/>
      </c>
      <c r="P115" s="28">
        <f>((IF(E115=0,0,(Upgrades!$G$13+E115*Upgrades!$H$13)*POWER(Upgrades!$I$13,E115)))*(IF(Upgrades!$T$14="Stellar Kinematics",POWER(Upgrades!$U$14,F115),1)*IF(Upgrades!$T$15="Stellar Kinematics",POWER(Upgrades!$U$15,G115),1)*IF(Upgrades!$T$16="Stellar Kinematics",POWER(Upgrades!$U$16,H115),1)*IF(Upgrades!$T$17="Stellar Kinematics",POWER(Upgrades!$U$17,I115),1)*IF(Upgrades!$T$18="Stellar Kinematics",POWER(Upgrades!$U$18,J115),1)*IF(Upgrades!$T$19="Stellar Kinematics",POWER(Upgrades!$U$19,K115),1)*IF(Upgrades!$T$20="Stellar Kinematics",POWER(Upgrades!$U$20,L115),1)*IF(Upgrades!$T$21="Stellar Kinematics",POWER(Upgrades!$U$21,M115),1))+(IF(F115=0,0,(Upgrades!$G$14+F115*Upgrades!$H$14)*POWER(Upgrades!$I$14,F115)))*(IF(Upgrades!$T$13="Local Bubble",POWER(Upgrades!$U$13,E115),1)*IF(Upgrades!$T$15="Local Bubble",POWER(Upgrades!$U$15,G115),1)*IF(Upgrades!$T$16="Local Bubble",POWER(Upgrades!$U$16,H115),1)*IF(Upgrades!$T$17="Local Bubble",POWER(Upgrades!$U$17,I115),1)*IF(Upgrades!$T$18="Local Bubble",POWER(Upgrades!$U$18,J115),1)*IF(Upgrades!$T$19="Local Bubble",POWER(Upgrades!$U$19,K115),1)*IF(Upgrades!$T$20="Local Bubble",POWER(Upgrades!$U$20,L115),1)*IF(Upgrades!$T$21="Local Bubble",POWER(Upgrades!$U$21,M115),1))+(IF(G115=0,0,(Upgrades!$G$15+G115*Upgrades!$H$15)*POWER(Upgrades!$I$15,G115)))*(IF(Upgrades!$T$13="Microlensing",POWER(Upgrades!$U$13,E115),1)*IF(Upgrades!$T$14="Microlensing",POWER(Upgrades!$U$14,F115),1)*IF(Upgrades!$T$16="Microlensing",POWER(Upgrades!$U$16,H115),1)*IF(Upgrades!$T$17="Microlensing",POWER(Upgrades!$U$17,I115),1)*IF(Upgrades!$T$18="Microlensing",POWER(Upgrades!$U$18,J115),1)*IF(Upgrades!$T$19="Microlensing",POWER(Upgrades!$U$19,K115),1)*IF(Upgrades!$T$20="Microlensing",POWER(Upgrades!$U$20,L115),1)*IF(Upgrades!$T$21="Microlensing",POWER(Upgrades!$U$21,M115),1))+(IF(H115=0,0,(Upgrades!$G$16+H115*Upgrades!$H$16)*POWER(Upgrades!$I$16,H115)))*(IF(Upgrades!$T$13="Roche Lobe Overflow",POWER(Upgrades!$U$13,E115),1)*IF(Upgrades!$T$14="Roche Lobe Overflow",POWER(Upgrades!$U$14,F115),1)*IF(Upgrades!$T$15="Roche Lobe Overflow",POWER(Upgrades!$U$15,G115),1)*IF(Upgrades!$T$17="Roche Lobe Overflow",POWER(Upgrades!$U$17,I115),1)*IF(Upgrades!$T$18="Roche Lobe Overflow",POWER(Upgrades!$U$18,J115),1)*IF(Upgrades!$T$19="Roche Lobe Overflow",POWER(Upgrades!$U$19,K115),1)*IF(Upgrades!$T$20="Roche Lobe Overflow",POWER(Upgrades!$U$20,L115),1)*IF(Upgrades!$T$21="Roche Lobe Overflow",POWER(Upgrades!$U$21,M115),1))+(IF(I115=0,0,(Upgrades!$G$17+I115*Upgrades!$H$17)*POWER(Upgrades!$I$17,I115)))*(IF(Upgrades!$T$13="Brown Dwarf",POWER(Upgrades!$U$13,E115),1)*IF(Upgrades!$T$14="Brown Dwarf",POWER(Upgrades!$U$14,F115),1)*IF(Upgrades!$T$15="Brown Dwarf",POWER(Upgrades!$U$15,G115),1)*IF(Upgrades!$T$16="Brown Dwarf",POWER(Upgrades!$U$16,H115),1)*IF(Upgrades!$T$18="Brown Dwarf",POWER(Upgrades!$U$18,J115),1)*IF(Upgrades!$T$19="Brown Dwarf",POWER(Upgrades!$U$19,K115),1)*IF(Upgrades!$T$20="Brown Dwarf",POWER(Upgrades!$U$20,L115),1)*IF(Upgrades!$T$21="Brown Dwarf",POWER(Upgrades!$U$21,M115),1))+(IF(J115=0,0,(Upgrades!$G$18+J115*Upgrades!$H$18)*POWER(Upgrades!$I$18,J115)))*(IF(Upgrades!$T$13="Binary Partner",POWER(Upgrades!$U$13,E115),1)*IF(Upgrades!$T$14="Binary Partner",POWER(Upgrades!$U$14,F115),1)*IF(Upgrades!$T$15="Binary Partner",POWER(Upgrades!$U$15,G115),1)*IF(Upgrades!$T$16="Binary Partner",POWER(Upgrades!$U$16,H115),1)*IF(Upgrades!$T$17="Binary Partner",POWER(Upgrades!$U$17,I115),1)*IF(Upgrades!$T$19="Binary Partner",POWER(Upgrades!$U$19,K115),1)*IF(Upgrades!$T$20="Binary Partner",POWER(Upgrades!$U$20,L115),1)*IF(Upgrades!$T$21="Binary Partner",POWER(Upgrades!$U$21,M115),1))+(IF(K115=0,0,(Upgrades!$G$19+K115*Upgrades!$H$19)*POWER(Upgrades!$I$19,K115)))*(IF(Upgrades!$T$13="Peculiar Velocity",POWER(Upgrades!$U$13,E115),1)*IF(Upgrades!$T$14="Peculiar Velocity",POWER(Upgrades!$U$14,F115),1)*IF(Upgrades!$T$15="Peculiar Velocity",POWER(Upgrades!$U$15,G115),1)*IF(Upgrades!$T$16="Peculiar Velocity",POWER(Upgrades!$U$16,H115),1)*IF(Upgrades!$T$17="Peculiar Velocity",POWER(Upgrades!$U$17,I115),1)*IF(Upgrades!$T$18="Peculiar Velocity",POWER(Upgrades!$U$18,J115),1)*IF(Upgrades!$T$20="Peculiar Velocity",POWER(Upgrades!$U$20,L115),1)*IF(Upgrades!$T$21="Peculiar Velocity",POWER(Upgrades!$U$21,M115),1))+(IF(L115=0,0,(Upgrades!$G$20+L115*Upgrades!$H$20)*POWER(Upgrades!$I$20,L115)))*(IF(Upgrades!$T$13="Open Cluster",POWER(Upgrades!$U$13,E115),1)*IF(Upgrades!$T$14="Open Cluster",POWER(Upgrades!$U$14,F115),1)*IF(Upgrades!$T$15="Open Cluster",POWER(Upgrades!$U$15,G115),1)*IF(Upgrades!$T$16="Open Cluster",POWER(Upgrades!$U$16,H115),1)*IF(Upgrades!$T$17="Open Cluster",POWER(Upgrades!$U$17,I115),1)*IF(Upgrades!$T$18="Open Cluster",POWER(Upgrades!$U$18,J115),1)*IF(Upgrades!$T$19="Open Cluster",POWER(Upgrades!$U$19,K115),1)*IF(Upgrades!$T$21="Open Cluster",POWER(Upgrades!$U$21,M115),1))+(IF(M115=0,0,(Upgrades!$G$21+M115*Upgrades!$H$21)*POWER(Upgrades!$I$21,M115)))*(IF(Upgrades!$T$13="Moving Group",POWER(Upgrades!$U$13,E115),1)*IF(Upgrades!$T$14="Moving Group",POWER(Upgrades!$U$14,F115),1)*IF(Upgrades!$T$15="Moving Group",POWER(Upgrades!$U$15,G115),1)*IF(Upgrades!$T$16="Moving Group",POWER(Upgrades!$U$16,H115),1)*IF(Upgrades!$T$17="Moving Group",POWER(Upgrades!$U$17,I115),1)*IF(Upgrades!$T$18="Moving Group",POWER(Upgrades!$U$18,J115),1)*IF(Upgrades!$T$19="Moving Group",POWER(Upgrades!$U$19,K115),1)*IF(Upgrades!$T$20="Moving Group",POWER(Upgrades!$U$20,L115),1)))*POWER(Upgrades!$P$13,E115)*POWER(Upgrades!$P$14,F115)*POWER(Upgrades!$P$15,G115)*POWER(Upgrades!$P$16,H115)*POWER(Upgrades!$P$17,I115)*POWER(Upgrades!$P$18,J115)*POWER(Upgrades!$P$19,K115)*POWER(Upgrades!$P$20,L115)*POWER(Upgrades!$P$21,M115)*$F$6+$C$6</f>
        <v/>
      </c>
      <c r="Q115" s="28">
        <f>((IF(E115=0,0,(Upgrades!$M$13+E115*Upgrades!$N$13)*POWER(Upgrades!$O$13,E115)))*(IF(Upgrades!$T$14="Stellar Kinematics",POWER(Upgrades!$U$14,F115),1)*IF(Upgrades!$T$15="Stellar Kinematics",POWER(Upgrades!$U$15,G115),1)*IF(Upgrades!$T$16="Stellar Kinematics",POWER(Upgrades!$U$16,H115),1)*IF(Upgrades!$T$17="Stellar Kinematics",POWER(Upgrades!$U$17,I115),1)*IF(Upgrades!$T$18="Stellar Kinematics",POWER(Upgrades!$U$18,J115),1)*IF(Upgrades!$T$19="Stellar Kinematics",POWER(Upgrades!$U$19,K115),1)*IF(Upgrades!$T$20="Stellar Kinematics",POWER(Upgrades!$U$20,L115),1)*IF(Upgrades!$T$21="Stellar Kinematics",POWER(Upgrades!$U$21,M115),1))+(IF(F115=0,0,(Upgrades!$M$14+F115*Upgrades!$N$14)*POWER(Upgrades!$O$14,F115)))*(IF(Upgrades!$T$13="Local Bubble",POWER(Upgrades!$U$13,E115),1)*IF(Upgrades!$T$15="Local Bubble",POWER(Upgrades!$U$15,G115),1)*IF(Upgrades!$T$16="Local Bubble",POWER(Upgrades!$U$16,H115),1)*IF(Upgrades!$T$17="Local Bubble",POWER(Upgrades!$U$17,I115),1)*IF(Upgrades!$T$18="Local Bubble",POWER(Upgrades!$U$18,J115),1)*IF(Upgrades!$T$19="Local Bubble",POWER(Upgrades!$U$19,K115),1)*IF(Upgrades!$T$20="Local Bubble",POWER(Upgrades!$U$20,L115),1)*IF(Upgrades!$T$21="Local Bubble",POWER(Upgrades!$U$21,M115),1))+(IF(G115=0,0,(Upgrades!$M$15+G115*Upgrades!$N$15)*POWER(Upgrades!$O$15,G115)))*(IF(Upgrades!$T$13="Microlensing",POWER(Upgrades!$U$13,E115),1)*IF(Upgrades!$T$14="Microlensing",POWER(Upgrades!$U$14,F115),1)*IF(Upgrades!$T$16="Microlensing",POWER(Upgrades!$U$16,H115),1)*IF(Upgrades!$T$17="Microlensing",POWER(Upgrades!$U$17,I115),1)*IF(Upgrades!$T$18="Microlensing",POWER(Upgrades!$U$18,J115),1)*IF(Upgrades!$T$19="Microlensing",POWER(Upgrades!$U$19,K115),1)*IF(Upgrades!$T$20="Microlensing",POWER(Upgrades!$U$20,L115),1)*IF(Upgrades!$T$21="Microlensing",POWER(Upgrades!$U$21,M115),1))+(IF(H115=0,0,(Upgrades!$M$16+H115*Upgrades!$N$16)*POWER(Upgrades!$O$16,H115)))*(IF(Upgrades!$T$13="Roche Lobe Overflow",POWER(Upgrades!$U$13,E115),1)*IF(Upgrades!$T$14="Roche Lobe Overflow",POWER(Upgrades!$U$14,F115),1)*IF(Upgrades!$T$15="Roche Lobe Overflow",POWER(Upgrades!$U$15,G115),1)*IF(Upgrades!$T$17="Roche Lobe Overflow",POWER(Upgrades!$U$17,I115),1)*IF(Upgrades!$T$18="Roche Lobe Overflow",POWER(Upgrades!$U$18,J115),1)*IF(Upgrades!$T$19="Roche Lobe Overflow",POWER(Upgrades!$U$19,K115),1)*IF(Upgrades!$T$20="Roche Lobe Overflow",POWER(Upgrades!$U$20,L115),1)*IF(Upgrades!$T$21="Roche Lobe Overflow",POWER(Upgrades!$U$21,M115),1))+(IF(I115=0,0,(Upgrades!$M$17+I115*Upgrades!$N$17)*POWER(Upgrades!$O$17,I115)))*(IF(Upgrades!$T$13="Brown Dwarf",POWER(Upgrades!$U$13,E115),1)*IF(Upgrades!$T$14="Brown Dwarf",POWER(Upgrades!$U$14,F115),1)*IF(Upgrades!$T$15="Brown Dwarf",POWER(Upgrades!$U$15,G115),1)*IF(Upgrades!$T$16="Brown Dwarf",POWER(Upgrades!$U$16,H115),1)*IF(Upgrades!$T$18="Brown Dwarf",POWER(Upgrades!$U$18,J115),1)*IF(Upgrades!$T$19="Brown Dwarf",POWER(Upgrades!$U$19,K115),1)*IF(Upgrades!$T$20="Brown Dwarf",POWER(Upgrades!$U$20,L115),1)*IF(Upgrades!$T$21="Brown Dwarf",POWER(Upgrades!$U$21,M115),1))+(IF(J115=0,0,(Upgrades!$M$18+J115*Upgrades!$N$18)*POWER(Upgrades!$O$18,J115)))*(IF(Upgrades!$T$13="Binary Partner",POWER(Upgrades!$U$13,E115),1)*IF(Upgrades!$T$14="Binary Partner",POWER(Upgrades!$U$14,F115),1)*IF(Upgrades!$T$15="Binary Partner",POWER(Upgrades!$U$15,G115),1)*IF(Upgrades!$T$16="Binary Partner",POWER(Upgrades!$U$16,H115),1)*IF(Upgrades!$T$17="Binary Partner",POWER(Upgrades!$U$17,I115),1)*IF(Upgrades!$T$19="Binary Partner",POWER(Upgrades!$U$19,K115),1)*IF(Upgrades!$T$20="Binary Partner",POWER(Upgrades!$U$20,L115),1)*IF(Upgrades!$T$21="Binary Partner",POWER(Upgrades!$U$21,M115),1))+(IF(K115=0,0,(Upgrades!$M$19+K115*Upgrades!$N$19)*POWER(Upgrades!$O$19,K115)))*(IF(Upgrades!$T$13="Peculiar Velocity",POWER(Upgrades!$U$13,E115),1)*IF(Upgrades!$T$14="Peculiar Velocity",POWER(Upgrades!$U$14,F115),1)*IF(Upgrades!$T$15="Peculiar Velocity",POWER(Upgrades!$U$15,G115),1)*IF(Upgrades!$T$16="Peculiar Velocity",POWER(Upgrades!$U$16,H115),1)*IF(Upgrades!$T$17="Peculiar Velocity",POWER(Upgrades!$U$17,I115),1)*IF(Upgrades!$T$18="Peculiar Velocity",POWER(Upgrades!$U$18,J115),1)*IF(Upgrades!$T$20="Peculiar Velocity",POWER(Upgrades!$U$20,L115),1)*IF(Upgrades!$T$21="Peculiar Velocity",POWER(Upgrades!$U$21,M115),1))+(IF(L115=0,0,(Upgrades!$M$20+L115*Upgrades!$N$20)*POWER(Upgrades!$O$20,L115)))*(IF(Upgrades!$T$13="Open Cluster",POWER(Upgrades!$U$13,E115),1)*IF(Upgrades!$T$14="Open Cluster",POWER(Upgrades!$U$14,F115),1)*IF(Upgrades!$T$15="Open Cluster",POWER(Upgrades!$U$15,G115),1)*IF(Upgrades!$T$16="Open Cluster",POWER(Upgrades!$U$16,H115),1)*IF(Upgrades!$T$17="Open Cluster",POWER(Upgrades!$U$17,I115),1)*IF(Upgrades!$T$18="Open Cluster",POWER(Upgrades!$U$18,J115),1)*IF(Upgrades!$T$19="Open Cluster",POWER(Upgrades!$U$19,K115),1)*IF(Upgrades!$T$21="Open Cluster",POWER(Upgrades!$U$21,M115),1))+(IF(M115=0,0,(Upgrades!$M$21+M115*Upgrades!$N$21)*POWER(Upgrades!$O$21,M115)))*(IF(Upgrades!$T$13="Moving Group",POWER(Upgrades!$U$13,E115),1)*IF(Upgrades!$T$14="Moving Group",POWER(Upgrades!$U$14,F115),1)*IF(Upgrades!$T$15="Moving Group",POWER(Upgrades!$U$15,G115),1)*IF(Upgrades!$T$16="Moving Group",POWER(Upgrades!$U$16,H115),1)*IF(Upgrades!$T$17="Moving Group",POWER(Upgrades!$U$17,I115),1)*IF(Upgrades!$T$18="Moving Group",POWER(Upgrades!$U$18,J115),1)*IF(Upgrades!$T$19="Moving Group",POWER(Upgrades!$U$19,K115),1)*IF(Upgrades!$T$20="Moving Group",POWER(Upgrades!$U$20,L115),1)))*POWER(Upgrades!$R$13,E115)*POWER(Upgrades!$R$14,F115)*POWER(Upgrades!$R$15,G115)*POWER(Upgrades!$R$16,H115)*POWER(Upgrades!$R$17,I115)*POWER(Upgrades!$R$18,J115)*POWER(Upgrades!$R$19,K115)*POWER(Upgrades!$R$20,L115)*POWER(Upgrades!$R$21,M115)*$H$6+$E$6</f>
        <v/>
      </c>
      <c r="R115" s="27">
        <f>IF(N115=1,0,O115*Parameters!$B$10/60*Parameters!$B$11*10)</f>
        <v/>
      </c>
      <c r="S115" s="27">
        <f>IF(N115=1,0,Q115*O115*10)</f>
        <v/>
      </c>
      <c r="T115" s="27">
        <f>IF(N115=1,0,R115+S115+P115*10)</f>
        <v/>
      </c>
      <c r="U115" s="33">
        <f>BE115</f>
        <v/>
      </c>
      <c r="V115" s="22">
        <f>IF(U115="",0,IF(U115="transition",0,IF(U115="SK",AK115,IF(U115="LB",AL115,IF(U115="ML",AM115,IF(U115="RLO",AN115,IF(U115="BD",AO115,IF(U115="BiP",AP115,IF(U115="PV",AQ115,IF(U115="OC",AR115,IF(U115="MG",AS115,0))))))))))</f>
        <v/>
      </c>
      <c r="W115" s="27">
        <f>IF(U115="BiP",Upgrades!$F$18,IF(U115="PV",Upgrades!$F$19,IF(U115="OC",Upgrades!$F$20,IF(U115="MG",Upgrades!$F$21,IF(U115="transition",-Parameters!$B$18*Parameters!$B$19,0)))))</f>
        <v/>
      </c>
      <c r="X115" s="22">
        <f>C115+T115-V115</f>
        <v/>
      </c>
      <c r="Y115" s="30">
        <f>O115*Parameters!$B$10/60*Parameters!$B$11+Q115*O115+P115</f>
        <v/>
      </c>
      <c r="Z115" s="34">
        <f>IF(U115="transition","→ Tier 3 (Galactic Arm)",IF(U115="MG","Moving Group — pocket drifts together",IF(U115="OC","Open Cluster acquired",IF(U115="PV","Peculiar Velocity — passive multiplier active",IF(U115="BiP","Binary Partner — pair bond formed",IF(AND(AU115=1,N115=0,AT115&lt;&gt;1),"Cohesion ready (waiting on completionists)","")))))) </f>
        <v/>
      </c>
      <c r="AA115" s="27">
        <f>(IF(E115=0,0,(Upgrades!$G$13+E115*Upgrades!$H$13)*POWER(Upgrades!$I$13,E115)))*(IF(Upgrades!$T$14="Stellar Kinematics",POWER(Upgrades!$U$14,F115),1)*IF(Upgrades!$T$15="Stellar Kinematics",POWER(Upgrades!$U$15,G115),1)*IF(Upgrades!$T$16="Stellar Kinematics",POWER(Upgrades!$U$16,H115),1)*IF(Upgrades!$T$17="Stellar Kinematics",POWER(Upgrades!$U$17,I115),1)*IF(Upgrades!$T$18="Stellar Kinematics",POWER(Upgrades!$U$18,J115),1)*IF(Upgrades!$T$19="Stellar Kinematics",POWER(Upgrades!$U$19,K115),1)*IF(Upgrades!$T$20="Stellar Kinematics",POWER(Upgrades!$U$20,L115),1)*IF(Upgrades!$T$21="Stellar Kinematics",POWER(Upgrades!$U$21,M115),1))*POWER(Upgrades!$P$13,E115)*POWER(Upgrades!$P$14,F115)*POWER(Upgrades!$P$15,G115)*POWER(Upgrades!$P$16,H115)*POWER(Upgrades!$P$17,I115)*POWER(Upgrades!$P$18,J115)*POWER(Upgrades!$P$19,K115)*POWER(Upgrades!$P$20,L115)*POWER(Upgrades!$P$21,M115)*$F$6*60</f>
        <v/>
      </c>
      <c r="AB115" s="27">
        <f>(IF(F115=0,0,(Upgrades!$G$14+F115*Upgrades!$H$14)*POWER(Upgrades!$I$14,F115)))*(IF(Upgrades!$T$13="Local Bubble",POWER(Upgrades!$U$13,E115),1)*IF(Upgrades!$T$15="Local Bubble",POWER(Upgrades!$U$15,G115),1)*IF(Upgrades!$T$16="Local Bubble",POWER(Upgrades!$U$16,H115),1)*IF(Upgrades!$T$17="Local Bubble",POWER(Upgrades!$U$17,I115),1)*IF(Upgrades!$T$18="Local Bubble",POWER(Upgrades!$U$18,J115),1)*IF(Upgrades!$T$19="Local Bubble",POWER(Upgrades!$U$19,K115),1)*IF(Upgrades!$T$20="Local Bubble",POWER(Upgrades!$U$20,L115),1)*IF(Upgrades!$T$21="Local Bubble",POWER(Upgrades!$U$21,M115),1))*POWER(Upgrades!$P$13,E115)*POWER(Upgrades!$P$14,F115)*POWER(Upgrades!$P$15,G115)*POWER(Upgrades!$P$16,H115)*POWER(Upgrades!$P$17,I115)*POWER(Upgrades!$P$18,J115)*POWER(Upgrades!$P$19,K115)*POWER(Upgrades!$P$20,L115)*POWER(Upgrades!$P$21,M115)*$F$6*60</f>
        <v/>
      </c>
      <c r="AC115" s="27">
        <f>(IF(G115=0,0,(Upgrades!$J$15+G115*Upgrades!$K$15)*POWER(Upgrades!$L$15,G115)))*(IF(Upgrades!$T$13="Microlensing",POWER(Upgrades!$U$13,E115),1)*IF(Upgrades!$T$14="Microlensing",POWER(Upgrades!$U$14,F115),1)*IF(Upgrades!$T$16="Microlensing",POWER(Upgrades!$U$16,H115),1)*IF(Upgrades!$T$17="Microlensing",POWER(Upgrades!$U$17,I115),1)*IF(Upgrades!$T$18="Microlensing",POWER(Upgrades!$U$18,J115),1)*IF(Upgrades!$T$19="Microlensing",POWER(Upgrades!$U$19,K115),1)*IF(Upgrades!$T$20="Microlensing",POWER(Upgrades!$U$20,L115),1)*IF(Upgrades!$T$21="Microlensing",POWER(Upgrades!$U$21,M115),1))*POWER(Upgrades!$Q$13,E115)*POWER(Upgrades!$Q$14,F115)*POWER(Upgrades!$Q$15,G115)*POWER(Upgrades!$Q$16,H115)*POWER(Upgrades!$Q$17,I115)*POWER(Upgrades!$Q$18,J115)*POWER(Upgrades!$Q$19,K115)*POWER(Upgrades!$Q$20,L115)*POWER(Upgrades!$Q$21,M115)*$G$6*(Parameters!$B$10*Parameters!$B$11+Q115*60)</f>
        <v/>
      </c>
      <c r="AD115" s="27">
        <f>(IF(H115=0,0,(Upgrades!$M$16+H115*Upgrades!$N$16)*POWER(Upgrades!$O$16,H115)))*(IF(Upgrades!$T$13="Roche Lobe Overflow",POWER(Upgrades!$U$13,E115),1)*IF(Upgrades!$T$14="Roche Lobe Overflow",POWER(Upgrades!$U$14,F115),1)*IF(Upgrades!$T$15="Roche Lobe Overflow",POWER(Upgrades!$U$15,G115),1)*IF(Upgrades!$T$17="Roche Lobe Overflow",POWER(Upgrades!$U$17,I115),1)*IF(Upgrades!$T$18="Roche Lobe Overflow",POWER(Upgrades!$U$18,J115),1)*IF(Upgrades!$T$19="Roche Lobe Overflow",POWER(Upgrades!$U$19,K115),1)*IF(Upgrades!$T$20="Roche Lobe Overflow",POWER(Upgrades!$U$20,L115),1)*IF(Upgrades!$T$21="Roche Lobe Overflow",POWER(Upgrades!$U$21,M115),1))*POWER(Upgrades!$R$13,E115)*POWER(Upgrades!$R$14,F115)*POWER(Upgrades!$R$15,G115)*POWER(Upgrades!$R$16,H115)*POWER(Upgrades!$R$17,I115)*POWER(Upgrades!$R$18,J115)*POWER(Upgrades!$R$19,K115)*POWER(Upgrades!$R$20,L115)*POWER(Upgrades!$R$21,M115)*$H$6*O115*60</f>
        <v/>
      </c>
      <c r="AE115" s="27">
        <f>(IF(I115=0,0,(Upgrades!$G$17+I115*Upgrades!$H$17)*POWER(Upgrades!$I$17,I115)))*(IF(Upgrades!$T$13="Brown Dwarf",POWER(Upgrades!$U$13,E115),1)*IF(Upgrades!$T$14="Brown Dwarf",POWER(Upgrades!$U$14,F115),1)*IF(Upgrades!$T$15="Brown Dwarf",POWER(Upgrades!$U$15,G115),1)*IF(Upgrades!$T$16="Brown Dwarf",POWER(Upgrades!$U$16,H115),1)*IF(Upgrades!$T$18="Brown Dwarf",POWER(Upgrades!$U$18,J115),1)*IF(Upgrades!$T$19="Brown Dwarf",POWER(Upgrades!$U$19,K115),1)*IF(Upgrades!$T$20="Brown Dwarf",POWER(Upgrades!$U$20,L115),1)*IF(Upgrades!$T$21="Brown Dwarf",POWER(Upgrades!$U$21,M115),1))*POWER(Upgrades!$P$13,E115)*POWER(Upgrades!$P$14,F115)*POWER(Upgrades!$P$15,G115)*POWER(Upgrades!$P$16,H115)*POWER(Upgrades!$P$17,I115)*POWER(Upgrades!$P$18,J115)*POWER(Upgrades!$P$19,K115)*POWER(Upgrades!$P$20,L115)*POWER(Upgrades!$P$21,M115)*$F$6*60</f>
        <v/>
      </c>
      <c r="AF115" s="27" t="n">
        <v>0</v>
      </c>
      <c r="AG115" s="27" t="n">
        <v>0</v>
      </c>
      <c r="AH115" s="27" t="n">
        <v>0</v>
      </c>
      <c r="AI115" s="27">
        <f>(IF(M115=0,0,(Upgrades!$G$21+M115*Upgrades!$H$21)*POWER(Upgrades!$I$21,M115)))*(IF(Upgrades!$T$13="Moving Group",POWER(Upgrades!$U$13,E115),1)*IF(Upgrades!$T$14="Moving Group",POWER(Upgrades!$U$14,F115),1)*IF(Upgrades!$T$15="Moving Group",POWER(Upgrades!$U$15,G115),1)*IF(Upgrades!$T$16="Moving Group",POWER(Upgrades!$U$16,H115),1)*IF(Upgrades!$T$17="Moving Group",POWER(Upgrades!$U$17,I115),1)*IF(Upgrades!$T$18="Moving Group",POWER(Upgrades!$U$18,J115),1)*IF(Upgrades!$T$19="Moving Group",POWER(Upgrades!$U$19,K115),1)*IF(Upgrades!$T$20="Moving Group",POWER(Upgrades!$U$20,L115),1))*POWER(Upgrades!$P$13,E115)*POWER(Upgrades!$P$14,F115)*POWER(Upgrades!$P$15,G115)*POWER(Upgrades!$P$16,H115)*POWER(Upgrades!$P$17,I115)*POWER(Upgrades!$P$18,J115)*POWER(Upgrades!$P$19,K115)*POWER(Upgrades!$P$20,L115)*POWER(Upgrades!$P$21,M115)*$F$6*60</f>
        <v/>
      </c>
      <c r="AJ115" s="27">
        <f>$C$6*60</f>
        <v/>
      </c>
      <c r="AK115" s="22">
        <f>IF(E115&gt;=Upgrades!$E$13,"",Upgrades!$C$13*POWER(Upgrades!$D$13,E115))</f>
        <v/>
      </c>
      <c r="AL115" s="22">
        <f>IF(F115&gt;=Upgrades!$E$14,"",Upgrades!$C$14*POWER(Upgrades!$D$14,F115))</f>
        <v/>
      </c>
      <c r="AM115" s="22">
        <f>IF(G115&gt;=Upgrades!$E$15,"",Upgrades!$C$15*POWER(Upgrades!$D$15,G115))</f>
        <v/>
      </c>
      <c r="AN115" s="22">
        <f>IF(H115&gt;=Upgrades!$E$16,"",Upgrades!$C$16*POWER(Upgrades!$D$16,H115))</f>
        <v/>
      </c>
      <c r="AO115" s="22">
        <f>IF(I115&gt;=Upgrades!$E$17,"",Upgrades!$C$17*POWER(Upgrades!$D$17,I115))</f>
        <v/>
      </c>
      <c r="AP115" s="22">
        <f>IF(J115&gt;=Upgrades!$E$18,"",Upgrades!$C$18*POWER(Upgrades!$D$18,J115))</f>
        <v/>
      </c>
      <c r="AQ115" s="22">
        <f>IF(K115&gt;=Upgrades!$E$19,"",Upgrades!$C$19*POWER(Upgrades!$D$19,K115))</f>
        <v/>
      </c>
      <c r="AR115" s="22">
        <f>IF(L115&gt;=Upgrades!$E$20,"",Upgrades!$C$20*POWER(Upgrades!$D$20,L115))</f>
        <v/>
      </c>
      <c r="AS115" s="22">
        <f>IF(M115&gt;=Upgrades!$E$21,"",Upgrades!$C$21*POWER(Upgrades!$D$21,M115))</f>
        <v/>
      </c>
      <c r="AT115" s="26">
        <f>IF(AND(D115&gt;=Parameters!$B$18*Parameters!$B$19,(I115&gt;=Upgrades!$E$17)*(M115&gt;=Upgrades!$E$21)=1,N115=0),1,"")</f>
        <v/>
      </c>
      <c r="AU115" s="26">
        <f>IF(AND(D115&gt;=Parameters!$B$18*Parameters!$B$19,N115=0),1,"")</f>
        <v/>
      </c>
      <c r="AV115" s="22">
        <f>MIN(IF(ISNUMBER(AP115),AP115,9E15),IF(ISNUMBER(AQ115),AQ115,9E15),IF(ISNUMBER(AR115),AR115,9E15),IF(ISNUMBER(AS115),AS115,9E15))</f>
        <v/>
      </c>
      <c r="AW115" s="22">
        <f>MIN(IF(ISNUMBER(AK115),AK115,9E15),IF(ISNUMBER(AL115),AL115,9E15),IF(ISNUMBER(AM115),AM115,9E15),IF(ISNUMBER(AN115),AN115,9E15),IF(ISNUMBER(AO115),AO115,9E15))</f>
        <v/>
      </c>
      <c r="AX115" s="29">
        <f>IF(BD115&gt;Parameters!$B$21*(MAX(IF(AND(NOT(AND(AU115=1,AT115&lt;&gt;1)),ISNUMBER(AK115),AK115&lt;=(C115+T115)),AY115,0),IF(AND(NOT(AND(AU115=1,AT115&lt;&gt;1)),ISNUMBER(AL115),AL115&lt;=(C115+T115)),AZ115,0),IF(AND(NOT(AND(AU115=1,AT115&lt;&gt;1)),ISNUMBER(AM115),AM115&lt;=(C115+T115)),BA115,0),IF(AND(NOT(AND(AU115=1,AT115&lt;&gt;1)),ISNUMBER(AN115),AN115&lt;=(C115+T115)),BB115,0),IF(AND(ISNUMBER(AO115),AO115&lt;=(C115+T115)),BC115,0))),TRUE,FALSE)</f>
        <v/>
      </c>
      <c r="AY115" s="32">
        <f>IFERROR(Upgrades!$H$13*(POWER(Upgrades!$P$13,E115)*POWER(Upgrades!$P$14,F115)*POWER(Upgrades!$P$15,G115)*POWER(Upgrades!$P$16,H115)*POWER(Upgrades!$P$17,I115)*POWER(Upgrades!$P$18,J115)*POWER(Upgrades!$P$19,K115)*POWER(Upgrades!$P$20,L115)*POWER(Upgrades!$P$21,M115))*(IF(Upgrades!$T$14="Stellar Kinematics",POWER(Upgrades!$U$14,F115),1)*IF(Upgrades!$T$15="Stellar Kinematics",POWER(Upgrades!$U$15,G115),1)*IF(Upgrades!$T$16="Stellar Kinematics",POWER(Upgrades!$U$16,H115),1)*IF(Upgrades!$T$17="Stellar Kinematics",POWER(Upgrades!$U$17,I115),1)*IF(Upgrades!$T$18="Stellar Kinematics",POWER(Upgrades!$U$18,J115),1)*IF(Upgrades!$T$19="Stellar Kinematics",POWER(Upgrades!$U$19,K115),1)*IF(Upgrades!$T$20="Stellar Kinematics",POWER(Upgrades!$U$20,L115),1)*IF(Upgrades!$T$21="Stellar Kinematics",POWER(Upgrades!$U$21,M115),1))*$F$6/AK115,0)</f>
        <v/>
      </c>
      <c r="AZ115" s="32">
        <f>IFERROR(Upgrades!$H$14*(POWER(Upgrades!$P$13,E115)*POWER(Upgrades!$P$14,F115)*POWER(Upgrades!$P$15,G115)*POWER(Upgrades!$P$16,H115)*POWER(Upgrades!$P$17,I115)*POWER(Upgrades!$P$18,J115)*POWER(Upgrades!$P$19,K115)*POWER(Upgrades!$P$20,L115)*POWER(Upgrades!$P$21,M115))*(IF(Upgrades!$T$13="Local Bubble",POWER(Upgrades!$U$13,E115),1)*IF(Upgrades!$T$15="Local Bubble",POWER(Upgrades!$U$15,G115),1)*IF(Upgrades!$T$16="Local Bubble",POWER(Upgrades!$U$16,H115),1)*IF(Upgrades!$T$17="Local Bubble",POWER(Upgrades!$U$17,I115),1)*IF(Upgrades!$T$18="Local Bubble",POWER(Upgrades!$U$18,J115),1)*IF(Upgrades!$T$19="Local Bubble",POWER(Upgrades!$U$19,K115),1)*IF(Upgrades!$T$20="Local Bubble",POWER(Upgrades!$U$20,L115),1)*IF(Upgrades!$T$21="Local Bubble",POWER(Upgrades!$U$21,M115),1))*$F$6/AL115,0)</f>
        <v/>
      </c>
      <c r="BA115" s="32">
        <f>IFERROR(Upgrades!$K$15*(POWER(Upgrades!$Q$13,E115)*POWER(Upgrades!$Q$14,F115)*POWER(Upgrades!$Q$15,G115)*POWER(Upgrades!$Q$16,H115)*POWER(Upgrades!$Q$17,I115)*POWER(Upgrades!$Q$18,J115)*POWER(Upgrades!$Q$19,K115)*POWER(Upgrades!$Q$20,L115)*POWER(Upgrades!$Q$21,M115))*(IF(Upgrades!$T$13="Microlensing",POWER(Upgrades!$U$13,E115),1)*IF(Upgrades!$T$14="Microlensing",POWER(Upgrades!$U$14,F115),1)*IF(Upgrades!$T$16="Microlensing",POWER(Upgrades!$U$16,H115),1)*IF(Upgrades!$T$17="Microlensing",POWER(Upgrades!$U$17,I115),1)*IF(Upgrades!$T$18="Microlensing",POWER(Upgrades!$U$18,J115),1)*IF(Upgrades!$T$19="Microlensing",POWER(Upgrades!$U$19,K115),1)*IF(Upgrades!$T$20="Microlensing",POWER(Upgrades!$U$20,L115),1)*IF(Upgrades!$T$21="Microlensing",POWER(Upgrades!$U$21,M115),1))*$G$6*(Parameters!$B$10/60*Parameters!$B$11+Q115)/AM115,0)</f>
        <v/>
      </c>
      <c r="BB115" s="32">
        <f>IFERROR((Upgrades!$N$16*(POWER(Upgrades!$R$13,E115)*POWER(Upgrades!$R$14,F115)*POWER(Upgrades!$R$15,G115)*POWER(Upgrades!$R$16,H115)*POWER(Upgrades!$R$17,I115)*POWER(Upgrades!$R$18,J115)*POWER(Upgrades!$R$19,K115)*POWER(Upgrades!$R$20,L115)*POWER(Upgrades!$R$21,M115))*(IF(Upgrades!$T$13="Roche Lobe Overflow",POWER(Upgrades!$U$13,E115),1)*IF(Upgrades!$T$14="Roche Lobe Overflow",POWER(Upgrades!$U$14,F115),1)*IF(Upgrades!$T$15="Roche Lobe Overflow",POWER(Upgrades!$U$15,G115),1)*IF(Upgrades!$T$17="Roche Lobe Overflow",POWER(Upgrades!$U$17,I115),1)*IF(Upgrades!$T$18="Roche Lobe Overflow",POWER(Upgrades!$U$18,J115),1)*IF(Upgrades!$T$19="Roche Lobe Overflow",POWER(Upgrades!$U$19,K115),1)*IF(Upgrades!$T$20="Roche Lobe Overflow",POWER(Upgrades!$U$20,L115),1)*IF(Upgrades!$T$21="Roche Lobe Overflow",POWER(Upgrades!$U$21,M115),1))*$H$6*O115+((IF(F115=0,0,(Upgrades!$G$14+F115*Upgrades!$H$14)*POWER(Upgrades!$I$14,F115)))*(IF(Upgrades!$T$13="Local Bubble",POWER(Upgrades!$U$13,E115),1)*IF(Upgrades!$T$15="Local Bubble",POWER(Upgrades!$U$15,G115),1)*IF(Upgrades!$T$16="Local Bubble",POWER(Upgrades!$U$16,H115),1)*IF(Upgrades!$T$17="Local Bubble",POWER(Upgrades!$U$17,I115),1)*IF(Upgrades!$T$18="Local Bubble",POWER(Upgrades!$U$18,J115),1)*IF(Upgrades!$T$19="Local Bubble",POWER(Upgrades!$U$19,K115),1)*IF(Upgrades!$T$20="Local Bubble",POWER(Upgrades!$U$20,L115),1)*IF(Upgrades!$T$21="Local Bubble",POWER(Upgrades!$U$21,M115),1))*POWER(Upgrades!$P$13,E115)*POWER(Upgrades!$P$14,F115)*POWER(Upgrades!$P$15,G115)*POWER(Upgrades!$P$16,H115)*POWER(Upgrades!$P$17,I115)*POWER(Upgrades!$P$18,J115)*POWER(Upgrades!$P$19,K115)*POWER(Upgrades!$P$20,L115)*POWER(Upgrades!$P$21,M115)*$F$6)*0.05)/AN115,0)</f>
        <v/>
      </c>
      <c r="BC115" s="32">
        <f>IFERROR((Upgrades!$H$17*(POWER(Upgrades!$P$13,E115)*POWER(Upgrades!$P$14,F115)*POWER(Upgrades!$P$15,G115)*POWER(Upgrades!$P$16,H115)*POWER(Upgrades!$P$17,I115)*POWER(Upgrades!$P$18,J115)*POWER(Upgrades!$P$19,K115)*POWER(Upgrades!$P$20,L115)*POWER(Upgrades!$P$21,M115))*(IF(Upgrades!$T$13="Brown Dwarf",POWER(Upgrades!$U$13,E115),1)*IF(Upgrades!$T$14="Brown Dwarf",POWER(Upgrades!$U$14,F115),1)*IF(Upgrades!$T$15="Brown Dwarf",POWER(Upgrades!$U$15,G115),1)*IF(Upgrades!$T$16="Brown Dwarf",POWER(Upgrades!$U$16,H115),1)*IF(Upgrades!$T$18="Brown Dwarf",POWER(Upgrades!$U$18,J115),1)*IF(Upgrades!$T$19="Brown Dwarf",POWER(Upgrades!$U$19,K115),1)*IF(Upgrades!$T$20="Brown Dwarf",POWER(Upgrades!$U$20,L115),1)*IF(Upgrades!$T$21="Brown Dwarf",POWER(Upgrades!$U$21,M115),1))*$F$6+(((IF(H115=0,0,(Upgrades!$M$16+H115*Upgrades!$N$16)*POWER(Upgrades!$O$16,H115)))*(IF(Upgrades!$T$13="Roche Lobe Overflow",POWER(Upgrades!$U$13,E115),1)*IF(Upgrades!$T$14="Roche Lobe Overflow",POWER(Upgrades!$U$14,F115),1)*IF(Upgrades!$T$15="Roche Lobe Overflow",POWER(Upgrades!$U$15,G115),1)*IF(Upgrades!$T$17="Roche Lobe Overflow",POWER(Upgrades!$U$17,I115),1)*IF(Upgrades!$T$18="Roche Lobe Overflow",POWER(Upgrades!$U$18,J115),1)*IF(Upgrades!$T$19="Roche Lobe Overflow",POWER(Upgrades!$U$19,K115),1)*IF(Upgrades!$T$20="Roche Lobe Overflow",POWER(Upgrades!$U$20,L115),1)*IF(Upgrades!$T$21="Roche Lobe Overflow",POWER(Upgrades!$U$21,M115),1))*POWER(Upgrades!$R$13,E115)*POWER(Upgrades!$R$14,F115)*POWER(Upgrades!$R$15,G115)*POWER(Upgrades!$R$16,H115)*POWER(Upgrades!$R$17,I115)*POWER(Upgrades!$R$18,J115)*POWER(Upgrades!$R$19,K115)*POWER(Upgrades!$R$20,L115)*POWER(Upgrades!$R$21,M115)*$H$6)*O115)*0.10)/AO115,0)</f>
        <v/>
      </c>
      <c r="BD115" s="32">
        <f>MAX(IF(J115&gt;0,0,IFERROR(0.5*((IF(G115=0,0,(Upgrades!$J$15+G115*Upgrades!$K$15)*POWER(Upgrades!$L$15,G115)))*(IF(Upgrades!$T$13="Microlensing",POWER(Upgrades!$U$13,E115),1)*IF(Upgrades!$T$14="Microlensing",POWER(Upgrades!$U$14,F115),1)*IF(Upgrades!$T$16="Microlensing",POWER(Upgrades!$U$16,H115),1)*IF(Upgrades!$T$17="Microlensing",POWER(Upgrades!$U$17,I115),1)*IF(Upgrades!$T$18="Microlensing",POWER(Upgrades!$U$18,J115),1)*IF(Upgrades!$T$19="Microlensing",POWER(Upgrades!$U$19,K115),1)*IF(Upgrades!$T$20="Microlensing",POWER(Upgrades!$U$20,L115),1)*IF(Upgrades!$T$21="Microlensing",POWER(Upgrades!$U$21,M115),1))*(POWER(Upgrades!$Q$13,E115)*POWER(Upgrades!$Q$14,F115)*POWER(Upgrades!$Q$15,G115)*POWER(Upgrades!$Q$16,H115)*POWER(Upgrades!$Q$17,I115)*POWER(Upgrades!$Q$18,J115)*POWER(Upgrades!$Q$19,K115)*POWER(Upgrades!$Q$20,L115)*POWER(Upgrades!$Q$21,M115))*$G$6*(Parameters!$B$10/60*Parameters!$B$11+Q115))/Upgrades!$C$18,0)),IF(K115&gt;0,0,IFERROR(0.30*P115/Upgrades!$C$19,0)),IF(L115&gt;0,0,IFERROR(0.0001/Upgrades!$C$20,0)),IF(M115&gt;0,0,IFERROR((6.0*(POWER(Upgrades!$P$13,E115)*POWER(Upgrades!$P$14,F115)*POWER(Upgrades!$P$15,G115)*POWER(Upgrades!$P$16,H115)*POWER(Upgrades!$P$17,I115)*POWER(Upgrades!$P$18,J115)*POWER(Upgrades!$P$19,K115)*POWER(Upgrades!$P$20,L115)*POWER(Upgrades!$P$21,M115))*$F$6+0.20*O115*(Parameters!$B$10/60*Parameters!$B$11+Q115))/Upgrades!$C$21,0)),IF(AND(ISNUMBER(AK115),AK115&gt;(C115+T115)),AY115,0),IF(AND(ISNUMBER(AL115),AL115&gt;(C115+T115)),AZ115,0),IF(AND(ISNUMBER(AM115),AM115&gt;(C115+T115)),BA115,0),IF(AND(ISNUMBER(AN115),AN115&gt;(C115+T115)),BB115,0),IF(AND(ISNUMBER(AO115),AO115&gt;(C115+T115)),BC115,0))</f>
        <v/>
      </c>
      <c r="BE115" s="29">
        <f>IF(AT115=1,"transition",IF(MIN(IF(AND(J115=0,ISNUMBER(AP115),AP115&lt;=(C115+T115)),AP115,9E15),IF(AND(K115=0,ISNUMBER(AQ115),AQ115&lt;=(C115+T115)),AQ115,9E15),IF(AND(L115=0,ISNUMBER(AR115),AR115&lt;=(C115+T115)),AR115,9E15),IF(AND(M115=0,ISNUMBER(AS115),AS115&lt;=(C115+T115)),AS115,9E15))&lt;9E15,IF(AND(AND(J115=0,ISNUMBER(AP115),AP115&lt;=(C115+T115)),AP115=MIN(IF(AND(J115=0,ISNUMBER(AP115),AP115&lt;=(C115+T115)),AP115,9E15),IF(AND(K115=0,ISNUMBER(AQ115),AQ115&lt;=(C115+T115)),AQ115,9E15),IF(AND(L115=0,ISNUMBER(AR115),AR115&lt;=(C115+T115)),AR115,9E15),IF(AND(M115=0,ISNUMBER(AS115),AS115&lt;=(C115+T115)),AS115,9E15))),"BiP",IF(AND(AND(K115=0,ISNUMBER(AQ115),AQ115&lt;=(C115+T115)),AQ115=MIN(IF(AND(J115=0,ISNUMBER(AP115),AP115&lt;=(C115+T115)),AP115,9E15),IF(AND(K115=0,ISNUMBER(AQ115),AQ115&lt;=(C115+T115)),AQ115,9E15),IF(AND(L115=0,ISNUMBER(AR115),AR115&lt;=(C115+T115)),AR115,9E15),IF(AND(M115=0,ISNUMBER(AS115),AS115&lt;=(C115+T115)),AS115,9E15))),"PV",IF(AND(AND(L115=0,ISNUMBER(AR115),AR115&lt;=(C115+T115)),AR115=MIN(IF(AND(J115=0,ISNUMBER(AP115),AP115&lt;=(C115+T115)),AP115,9E15),IF(AND(K115=0,ISNUMBER(AQ115),AQ115&lt;=(C115+T115)),AQ115,9E15),IF(AND(L115=0,ISNUMBER(AR115),AR115&lt;=(C115+T115)),AR115,9E15),IF(AND(M115=0,ISNUMBER(AS115),AS115&lt;=(C115+T115)),AS115,9E15))),"OC","MG"))),IF(AX115=TRUE,"",IF(MAX(IF(AND(NOT(AND(AU115=1,AT115&lt;&gt;1)),ISNUMBER(AK115),AK115&lt;=(C115+T115)),AY115,0),IF(AND(NOT(AND(AU115=1,AT115&lt;&gt;1)),ISNUMBER(AL115),AL115&lt;=(C115+T115)),AZ115,0),IF(AND(NOT(AND(AU115=1,AT115&lt;&gt;1)),ISNUMBER(AM115),AM115&lt;=(C115+T115)),BA115,0),IF(AND(NOT(AND(AU115=1,AT115&lt;&gt;1)),ISNUMBER(AN115),AN115&lt;=(C115+T115)),BB115,0),IF(AND(ISNUMBER(AO115),AO115&lt;=(C115+T115)),BC115,0))&lt;=0,"",IF(AND(IF(AND(NOT(AND(AU115=1,AT115&lt;&gt;1)),ISNUMBER(AK115),AK115&lt;=(C115+T115)),AY115,0)&gt;0,IF(AND(NOT(AND(AU115=1,AT115&lt;&gt;1)),ISNUMBER(AK115),AK115&lt;=(C115+T115)),AY115,0)=MAX(IF(AND(NOT(AND(AU115=1,AT115&lt;&gt;1)),ISNUMBER(AK115),AK115&lt;=(C115+T115)),AY115,0),IF(AND(NOT(AND(AU115=1,AT115&lt;&gt;1)),ISNUMBER(AL115),AL115&lt;=(C115+T115)),AZ115,0),IF(AND(NOT(AND(AU115=1,AT115&lt;&gt;1)),ISNUMBER(AM115),AM115&lt;=(C115+T115)),BA115,0),IF(AND(NOT(AND(AU115=1,AT115&lt;&gt;1)),ISNUMBER(AN115),AN115&lt;=(C115+T115)),BB115,0),IF(AND(ISNUMBER(AO115),AO115&lt;=(C115+T115)),BC115,0))),"SK",IF(AND(IF(AND(NOT(AND(AU115=1,AT115&lt;&gt;1)),ISNUMBER(AL115),AL115&lt;=(C115+T115)),AZ115,0)&gt;0,IF(AND(NOT(AND(AU115=1,AT115&lt;&gt;1)),ISNUMBER(AL115),AL115&lt;=(C115+T115)),AZ115,0)=MAX(IF(AND(NOT(AND(AU115=1,AT115&lt;&gt;1)),ISNUMBER(AK115),AK115&lt;=(C115+T115)),AY115,0),IF(AND(NOT(AND(AU115=1,AT115&lt;&gt;1)),ISNUMBER(AL115),AL115&lt;=(C115+T115)),AZ115,0),IF(AND(NOT(AND(AU115=1,AT115&lt;&gt;1)),ISNUMBER(AM115),AM115&lt;=(C115+T115)),BA115,0),IF(AND(NOT(AND(AU115=1,AT115&lt;&gt;1)),ISNUMBER(AN115),AN115&lt;=(C115+T115)),BB115,0),IF(AND(ISNUMBER(AO115),AO115&lt;=(C115+T115)),BC115,0))),"LB",IF(AND(IF(AND(NOT(AND(AU115=1,AT115&lt;&gt;1)),ISNUMBER(AM115),AM115&lt;=(C115+T115)),BA115,0)&gt;0,IF(AND(NOT(AND(AU115=1,AT115&lt;&gt;1)),ISNUMBER(AM115),AM115&lt;=(C115+T115)),BA115,0)=MAX(IF(AND(NOT(AND(AU115=1,AT115&lt;&gt;1)),ISNUMBER(AK115),AK115&lt;=(C115+T115)),AY115,0),IF(AND(NOT(AND(AU115=1,AT115&lt;&gt;1)),ISNUMBER(AL115),AL115&lt;=(C115+T115)),AZ115,0),IF(AND(NOT(AND(AU115=1,AT115&lt;&gt;1)),ISNUMBER(AM115),AM115&lt;=(C115+T115)),BA115,0),IF(AND(NOT(AND(AU115=1,AT115&lt;&gt;1)),ISNUMBER(AN115),AN115&lt;=(C115+T115)),BB115,0),IF(AND(ISNUMBER(AO115),AO115&lt;=(C115+T115)),BC115,0))),"ML",IF(AND(IF(AND(NOT(AND(AU115=1,AT115&lt;&gt;1)),ISNUMBER(AN115),AN115&lt;=(C115+T115)),BB115,0)&gt;0,IF(AND(NOT(AND(AU115=1,AT115&lt;&gt;1)),ISNUMBER(AN115),AN115&lt;=(C115+T115)),BB115,0)=MAX(IF(AND(NOT(AND(AU115=1,AT115&lt;&gt;1)),ISNUMBER(AK115),AK115&lt;=(C115+T115)),AY115,0),IF(AND(NOT(AND(AU115=1,AT115&lt;&gt;1)),ISNUMBER(AL115),AL115&lt;=(C115+T115)),AZ115,0),IF(AND(NOT(AND(AU115=1,AT115&lt;&gt;1)),ISNUMBER(AM115),AM115&lt;=(C115+T115)),BA115,0),IF(AND(NOT(AND(AU115=1,AT115&lt;&gt;1)),ISNUMBER(AN115),AN115&lt;=(C115+T115)),BB115,0),IF(AND(ISNUMBER(AO115),AO115&lt;=(C115+T115)),BC115,0))),"RLO","BD"))))))))</f>
        <v/>
      </c>
    </row>
    <row r="116">
      <c r="A116" s="26" t="n">
        <v>105</v>
      </c>
      <c r="B116" s="27">
        <f>A116*10/60</f>
        <v/>
      </c>
      <c r="C116" s="22">
        <f>X115</f>
        <v/>
      </c>
      <c r="D116" s="27">
        <f>D115+W115</f>
        <v/>
      </c>
      <c r="E116" s="26">
        <f>E115+IF(U115="SK",1,0)</f>
        <v/>
      </c>
      <c r="F116" s="26">
        <f>F115+IF(U115="LB",1,0)</f>
        <v/>
      </c>
      <c r="G116" s="26">
        <f>G115+IF(U115="ML",1,0)</f>
        <v/>
      </c>
      <c r="H116" s="26">
        <f>H115+IF(U115="RLO",1,0)</f>
        <v/>
      </c>
      <c r="I116" s="26">
        <f>I115+IF(U115="BD",1,0)</f>
        <v/>
      </c>
      <c r="J116" s="26">
        <f>MAX(J115,IF(U115="BiP",1,0))</f>
        <v/>
      </c>
      <c r="K116" s="26">
        <f>MAX(K115,IF(U115="PV",1,0))</f>
        <v/>
      </c>
      <c r="L116" s="26">
        <f>MAX(L115,IF(U115="OC",1,0))</f>
        <v/>
      </c>
      <c r="M116" s="26">
        <f>MAX(M115,IF(U115="MG",1,0))</f>
        <v/>
      </c>
      <c r="N116" s="26">
        <f>MAX(N115,IF(U115="transition",1,0))</f>
        <v/>
      </c>
      <c r="O116" s="28">
        <f>(Parameters!$B$9+(IF(E116=0,0,(Upgrades!$J$13+E116*Upgrades!$K$13)*POWER(Upgrades!$L$13,E116)))*(IF(Upgrades!$T$14="Stellar Kinematics",POWER(Upgrades!$U$14,F116),1)*IF(Upgrades!$T$15="Stellar Kinematics",POWER(Upgrades!$U$15,G116),1)*IF(Upgrades!$T$16="Stellar Kinematics",POWER(Upgrades!$U$16,H116),1)*IF(Upgrades!$T$17="Stellar Kinematics",POWER(Upgrades!$U$17,I116),1)*IF(Upgrades!$T$18="Stellar Kinematics",POWER(Upgrades!$U$18,J116),1)*IF(Upgrades!$T$19="Stellar Kinematics",POWER(Upgrades!$U$19,K116),1)*IF(Upgrades!$T$20="Stellar Kinematics",POWER(Upgrades!$U$20,L116),1)*IF(Upgrades!$T$21="Stellar Kinematics",POWER(Upgrades!$U$21,M116),1))+(IF(F116=0,0,(Upgrades!$J$14+F116*Upgrades!$K$14)*POWER(Upgrades!$L$14,F116)))*(IF(Upgrades!$T$13="Local Bubble",POWER(Upgrades!$U$13,E116),1)*IF(Upgrades!$T$15="Local Bubble",POWER(Upgrades!$U$15,G116),1)*IF(Upgrades!$T$16="Local Bubble",POWER(Upgrades!$U$16,H116),1)*IF(Upgrades!$T$17="Local Bubble",POWER(Upgrades!$U$17,I116),1)*IF(Upgrades!$T$18="Local Bubble",POWER(Upgrades!$U$18,J116),1)*IF(Upgrades!$T$19="Local Bubble",POWER(Upgrades!$U$19,K116),1)*IF(Upgrades!$T$20="Local Bubble",POWER(Upgrades!$U$20,L116),1)*IF(Upgrades!$T$21="Local Bubble",POWER(Upgrades!$U$21,M116),1))+(IF(G116=0,0,(Upgrades!$J$15+G116*Upgrades!$K$15)*POWER(Upgrades!$L$15,G116)))*(IF(Upgrades!$T$13="Microlensing",POWER(Upgrades!$U$13,E116),1)*IF(Upgrades!$T$14="Microlensing",POWER(Upgrades!$U$14,F116),1)*IF(Upgrades!$T$16="Microlensing",POWER(Upgrades!$U$16,H116),1)*IF(Upgrades!$T$17="Microlensing",POWER(Upgrades!$U$17,I116),1)*IF(Upgrades!$T$18="Microlensing",POWER(Upgrades!$U$18,J116),1)*IF(Upgrades!$T$19="Microlensing",POWER(Upgrades!$U$19,K116),1)*IF(Upgrades!$T$20="Microlensing",POWER(Upgrades!$U$20,L116),1)*IF(Upgrades!$T$21="Microlensing",POWER(Upgrades!$U$21,M116),1))+(IF(H116=0,0,(Upgrades!$J$16+H116*Upgrades!$K$16)*POWER(Upgrades!$L$16,H116)))*(IF(Upgrades!$T$13="Roche Lobe Overflow",POWER(Upgrades!$U$13,E116),1)*IF(Upgrades!$T$14="Roche Lobe Overflow",POWER(Upgrades!$U$14,F116),1)*IF(Upgrades!$T$15="Roche Lobe Overflow",POWER(Upgrades!$U$15,G116),1)*IF(Upgrades!$T$17="Roche Lobe Overflow",POWER(Upgrades!$U$17,I116),1)*IF(Upgrades!$T$18="Roche Lobe Overflow",POWER(Upgrades!$U$18,J116),1)*IF(Upgrades!$T$19="Roche Lobe Overflow",POWER(Upgrades!$U$19,K116),1)*IF(Upgrades!$T$20="Roche Lobe Overflow",POWER(Upgrades!$U$20,L116),1)*IF(Upgrades!$T$21="Roche Lobe Overflow",POWER(Upgrades!$U$21,M116),1))+(IF(I116=0,0,(Upgrades!$J$17+I116*Upgrades!$K$17)*POWER(Upgrades!$L$17,I116)))*(IF(Upgrades!$T$13="Brown Dwarf",POWER(Upgrades!$U$13,E116),1)*IF(Upgrades!$T$14="Brown Dwarf",POWER(Upgrades!$U$14,F116),1)*IF(Upgrades!$T$15="Brown Dwarf",POWER(Upgrades!$U$15,G116),1)*IF(Upgrades!$T$16="Brown Dwarf",POWER(Upgrades!$U$16,H116),1)*IF(Upgrades!$T$18="Brown Dwarf",POWER(Upgrades!$U$18,J116),1)*IF(Upgrades!$T$19="Brown Dwarf",POWER(Upgrades!$U$19,K116),1)*IF(Upgrades!$T$20="Brown Dwarf",POWER(Upgrades!$U$20,L116),1)*IF(Upgrades!$T$21="Brown Dwarf",POWER(Upgrades!$U$21,M116),1))+(IF(J116=0,0,(Upgrades!$J$18+J116*Upgrades!$K$18)*POWER(Upgrades!$L$18,J116)))*(IF(Upgrades!$T$13="Binary Partner",POWER(Upgrades!$U$13,E116),1)*IF(Upgrades!$T$14="Binary Partner",POWER(Upgrades!$U$14,F116),1)*IF(Upgrades!$T$15="Binary Partner",POWER(Upgrades!$U$15,G116),1)*IF(Upgrades!$T$16="Binary Partner",POWER(Upgrades!$U$16,H116),1)*IF(Upgrades!$T$17="Binary Partner",POWER(Upgrades!$U$17,I116),1)*IF(Upgrades!$T$19="Binary Partner",POWER(Upgrades!$U$19,K116),1)*IF(Upgrades!$T$20="Binary Partner",POWER(Upgrades!$U$20,L116),1)*IF(Upgrades!$T$21="Binary Partner",POWER(Upgrades!$U$21,M116),1))+(IF(K116=0,0,(Upgrades!$J$19+K116*Upgrades!$K$19)*POWER(Upgrades!$L$19,K116)))*(IF(Upgrades!$T$13="Peculiar Velocity",POWER(Upgrades!$U$13,E116),1)*IF(Upgrades!$T$14="Peculiar Velocity",POWER(Upgrades!$U$14,F116),1)*IF(Upgrades!$T$15="Peculiar Velocity",POWER(Upgrades!$U$15,G116),1)*IF(Upgrades!$T$16="Peculiar Velocity",POWER(Upgrades!$U$16,H116),1)*IF(Upgrades!$T$17="Peculiar Velocity",POWER(Upgrades!$U$17,I116),1)*IF(Upgrades!$T$18="Peculiar Velocity",POWER(Upgrades!$U$18,J116),1)*IF(Upgrades!$T$20="Peculiar Velocity",POWER(Upgrades!$U$20,L116),1)*IF(Upgrades!$T$21="Peculiar Velocity",POWER(Upgrades!$U$21,M116),1))+(IF(L116=0,0,(Upgrades!$J$20+L116*Upgrades!$K$20)*POWER(Upgrades!$L$20,L116)))*(IF(Upgrades!$T$13="Open Cluster",POWER(Upgrades!$U$13,E116),1)*IF(Upgrades!$T$14="Open Cluster",POWER(Upgrades!$U$14,F116),1)*IF(Upgrades!$T$15="Open Cluster",POWER(Upgrades!$U$15,G116),1)*IF(Upgrades!$T$16="Open Cluster",POWER(Upgrades!$U$16,H116),1)*IF(Upgrades!$T$17="Open Cluster",POWER(Upgrades!$U$17,I116),1)*IF(Upgrades!$T$18="Open Cluster",POWER(Upgrades!$U$18,J116),1)*IF(Upgrades!$T$19="Open Cluster",POWER(Upgrades!$U$19,K116),1)*IF(Upgrades!$T$21="Open Cluster",POWER(Upgrades!$U$21,M116),1))+(IF(M116=0,0,(Upgrades!$J$21+M116*Upgrades!$K$21)*POWER(Upgrades!$L$21,M116)))*(IF(Upgrades!$T$13="Moving Group",POWER(Upgrades!$U$13,E116),1)*IF(Upgrades!$T$14="Moving Group",POWER(Upgrades!$U$14,F116),1)*IF(Upgrades!$T$15="Moving Group",POWER(Upgrades!$U$15,G116),1)*IF(Upgrades!$T$16="Moving Group",POWER(Upgrades!$U$16,H116),1)*IF(Upgrades!$T$17="Moving Group",POWER(Upgrades!$U$17,I116),1)*IF(Upgrades!$T$18="Moving Group",POWER(Upgrades!$U$18,J116),1)*IF(Upgrades!$T$19="Moving Group",POWER(Upgrades!$U$19,K116),1)*IF(Upgrades!$T$20="Moving Group",POWER(Upgrades!$U$20,L116),1)))*POWER(Upgrades!$Q$13,E116)*POWER(Upgrades!$Q$14,F116)*POWER(Upgrades!$Q$15,G116)*POWER(Upgrades!$Q$16,H116)*POWER(Upgrades!$Q$17,I116)*POWER(Upgrades!$Q$18,J116)*POWER(Upgrades!$Q$19,K116)*POWER(Upgrades!$Q$20,L116)*POWER(Upgrades!$Q$21,M116)*$G$6+$D$6</f>
        <v/>
      </c>
      <c r="P116" s="28">
        <f>((IF(E116=0,0,(Upgrades!$G$13+E116*Upgrades!$H$13)*POWER(Upgrades!$I$13,E116)))*(IF(Upgrades!$T$14="Stellar Kinematics",POWER(Upgrades!$U$14,F116),1)*IF(Upgrades!$T$15="Stellar Kinematics",POWER(Upgrades!$U$15,G116),1)*IF(Upgrades!$T$16="Stellar Kinematics",POWER(Upgrades!$U$16,H116),1)*IF(Upgrades!$T$17="Stellar Kinematics",POWER(Upgrades!$U$17,I116),1)*IF(Upgrades!$T$18="Stellar Kinematics",POWER(Upgrades!$U$18,J116),1)*IF(Upgrades!$T$19="Stellar Kinematics",POWER(Upgrades!$U$19,K116),1)*IF(Upgrades!$T$20="Stellar Kinematics",POWER(Upgrades!$U$20,L116),1)*IF(Upgrades!$T$21="Stellar Kinematics",POWER(Upgrades!$U$21,M116),1))+(IF(F116=0,0,(Upgrades!$G$14+F116*Upgrades!$H$14)*POWER(Upgrades!$I$14,F116)))*(IF(Upgrades!$T$13="Local Bubble",POWER(Upgrades!$U$13,E116),1)*IF(Upgrades!$T$15="Local Bubble",POWER(Upgrades!$U$15,G116),1)*IF(Upgrades!$T$16="Local Bubble",POWER(Upgrades!$U$16,H116),1)*IF(Upgrades!$T$17="Local Bubble",POWER(Upgrades!$U$17,I116),1)*IF(Upgrades!$T$18="Local Bubble",POWER(Upgrades!$U$18,J116),1)*IF(Upgrades!$T$19="Local Bubble",POWER(Upgrades!$U$19,K116),1)*IF(Upgrades!$T$20="Local Bubble",POWER(Upgrades!$U$20,L116),1)*IF(Upgrades!$T$21="Local Bubble",POWER(Upgrades!$U$21,M116),1))+(IF(G116=0,0,(Upgrades!$G$15+G116*Upgrades!$H$15)*POWER(Upgrades!$I$15,G116)))*(IF(Upgrades!$T$13="Microlensing",POWER(Upgrades!$U$13,E116),1)*IF(Upgrades!$T$14="Microlensing",POWER(Upgrades!$U$14,F116),1)*IF(Upgrades!$T$16="Microlensing",POWER(Upgrades!$U$16,H116),1)*IF(Upgrades!$T$17="Microlensing",POWER(Upgrades!$U$17,I116),1)*IF(Upgrades!$T$18="Microlensing",POWER(Upgrades!$U$18,J116),1)*IF(Upgrades!$T$19="Microlensing",POWER(Upgrades!$U$19,K116),1)*IF(Upgrades!$T$20="Microlensing",POWER(Upgrades!$U$20,L116),1)*IF(Upgrades!$T$21="Microlensing",POWER(Upgrades!$U$21,M116),1))+(IF(H116=0,0,(Upgrades!$G$16+H116*Upgrades!$H$16)*POWER(Upgrades!$I$16,H116)))*(IF(Upgrades!$T$13="Roche Lobe Overflow",POWER(Upgrades!$U$13,E116),1)*IF(Upgrades!$T$14="Roche Lobe Overflow",POWER(Upgrades!$U$14,F116),1)*IF(Upgrades!$T$15="Roche Lobe Overflow",POWER(Upgrades!$U$15,G116),1)*IF(Upgrades!$T$17="Roche Lobe Overflow",POWER(Upgrades!$U$17,I116),1)*IF(Upgrades!$T$18="Roche Lobe Overflow",POWER(Upgrades!$U$18,J116),1)*IF(Upgrades!$T$19="Roche Lobe Overflow",POWER(Upgrades!$U$19,K116),1)*IF(Upgrades!$T$20="Roche Lobe Overflow",POWER(Upgrades!$U$20,L116),1)*IF(Upgrades!$T$21="Roche Lobe Overflow",POWER(Upgrades!$U$21,M116),1))+(IF(I116=0,0,(Upgrades!$G$17+I116*Upgrades!$H$17)*POWER(Upgrades!$I$17,I116)))*(IF(Upgrades!$T$13="Brown Dwarf",POWER(Upgrades!$U$13,E116),1)*IF(Upgrades!$T$14="Brown Dwarf",POWER(Upgrades!$U$14,F116),1)*IF(Upgrades!$T$15="Brown Dwarf",POWER(Upgrades!$U$15,G116),1)*IF(Upgrades!$T$16="Brown Dwarf",POWER(Upgrades!$U$16,H116),1)*IF(Upgrades!$T$18="Brown Dwarf",POWER(Upgrades!$U$18,J116),1)*IF(Upgrades!$T$19="Brown Dwarf",POWER(Upgrades!$U$19,K116),1)*IF(Upgrades!$T$20="Brown Dwarf",POWER(Upgrades!$U$20,L116),1)*IF(Upgrades!$T$21="Brown Dwarf",POWER(Upgrades!$U$21,M116),1))+(IF(J116=0,0,(Upgrades!$G$18+J116*Upgrades!$H$18)*POWER(Upgrades!$I$18,J116)))*(IF(Upgrades!$T$13="Binary Partner",POWER(Upgrades!$U$13,E116),1)*IF(Upgrades!$T$14="Binary Partner",POWER(Upgrades!$U$14,F116),1)*IF(Upgrades!$T$15="Binary Partner",POWER(Upgrades!$U$15,G116),1)*IF(Upgrades!$T$16="Binary Partner",POWER(Upgrades!$U$16,H116),1)*IF(Upgrades!$T$17="Binary Partner",POWER(Upgrades!$U$17,I116),1)*IF(Upgrades!$T$19="Binary Partner",POWER(Upgrades!$U$19,K116),1)*IF(Upgrades!$T$20="Binary Partner",POWER(Upgrades!$U$20,L116),1)*IF(Upgrades!$T$21="Binary Partner",POWER(Upgrades!$U$21,M116),1))+(IF(K116=0,0,(Upgrades!$G$19+K116*Upgrades!$H$19)*POWER(Upgrades!$I$19,K116)))*(IF(Upgrades!$T$13="Peculiar Velocity",POWER(Upgrades!$U$13,E116),1)*IF(Upgrades!$T$14="Peculiar Velocity",POWER(Upgrades!$U$14,F116),1)*IF(Upgrades!$T$15="Peculiar Velocity",POWER(Upgrades!$U$15,G116),1)*IF(Upgrades!$T$16="Peculiar Velocity",POWER(Upgrades!$U$16,H116),1)*IF(Upgrades!$T$17="Peculiar Velocity",POWER(Upgrades!$U$17,I116),1)*IF(Upgrades!$T$18="Peculiar Velocity",POWER(Upgrades!$U$18,J116),1)*IF(Upgrades!$T$20="Peculiar Velocity",POWER(Upgrades!$U$20,L116),1)*IF(Upgrades!$T$21="Peculiar Velocity",POWER(Upgrades!$U$21,M116),1))+(IF(L116=0,0,(Upgrades!$G$20+L116*Upgrades!$H$20)*POWER(Upgrades!$I$20,L116)))*(IF(Upgrades!$T$13="Open Cluster",POWER(Upgrades!$U$13,E116),1)*IF(Upgrades!$T$14="Open Cluster",POWER(Upgrades!$U$14,F116),1)*IF(Upgrades!$T$15="Open Cluster",POWER(Upgrades!$U$15,G116),1)*IF(Upgrades!$T$16="Open Cluster",POWER(Upgrades!$U$16,H116),1)*IF(Upgrades!$T$17="Open Cluster",POWER(Upgrades!$U$17,I116),1)*IF(Upgrades!$T$18="Open Cluster",POWER(Upgrades!$U$18,J116),1)*IF(Upgrades!$T$19="Open Cluster",POWER(Upgrades!$U$19,K116),1)*IF(Upgrades!$T$21="Open Cluster",POWER(Upgrades!$U$21,M116),1))+(IF(M116=0,0,(Upgrades!$G$21+M116*Upgrades!$H$21)*POWER(Upgrades!$I$21,M116)))*(IF(Upgrades!$T$13="Moving Group",POWER(Upgrades!$U$13,E116),1)*IF(Upgrades!$T$14="Moving Group",POWER(Upgrades!$U$14,F116),1)*IF(Upgrades!$T$15="Moving Group",POWER(Upgrades!$U$15,G116),1)*IF(Upgrades!$T$16="Moving Group",POWER(Upgrades!$U$16,H116),1)*IF(Upgrades!$T$17="Moving Group",POWER(Upgrades!$U$17,I116),1)*IF(Upgrades!$T$18="Moving Group",POWER(Upgrades!$U$18,J116),1)*IF(Upgrades!$T$19="Moving Group",POWER(Upgrades!$U$19,K116),1)*IF(Upgrades!$T$20="Moving Group",POWER(Upgrades!$U$20,L116),1)))*POWER(Upgrades!$P$13,E116)*POWER(Upgrades!$P$14,F116)*POWER(Upgrades!$P$15,G116)*POWER(Upgrades!$P$16,H116)*POWER(Upgrades!$P$17,I116)*POWER(Upgrades!$P$18,J116)*POWER(Upgrades!$P$19,K116)*POWER(Upgrades!$P$20,L116)*POWER(Upgrades!$P$21,M116)*$F$6+$C$6</f>
        <v/>
      </c>
      <c r="Q116" s="28">
        <f>((IF(E116=0,0,(Upgrades!$M$13+E116*Upgrades!$N$13)*POWER(Upgrades!$O$13,E116)))*(IF(Upgrades!$T$14="Stellar Kinematics",POWER(Upgrades!$U$14,F116),1)*IF(Upgrades!$T$15="Stellar Kinematics",POWER(Upgrades!$U$15,G116),1)*IF(Upgrades!$T$16="Stellar Kinematics",POWER(Upgrades!$U$16,H116),1)*IF(Upgrades!$T$17="Stellar Kinematics",POWER(Upgrades!$U$17,I116),1)*IF(Upgrades!$T$18="Stellar Kinematics",POWER(Upgrades!$U$18,J116),1)*IF(Upgrades!$T$19="Stellar Kinematics",POWER(Upgrades!$U$19,K116),1)*IF(Upgrades!$T$20="Stellar Kinematics",POWER(Upgrades!$U$20,L116),1)*IF(Upgrades!$T$21="Stellar Kinematics",POWER(Upgrades!$U$21,M116),1))+(IF(F116=0,0,(Upgrades!$M$14+F116*Upgrades!$N$14)*POWER(Upgrades!$O$14,F116)))*(IF(Upgrades!$T$13="Local Bubble",POWER(Upgrades!$U$13,E116),1)*IF(Upgrades!$T$15="Local Bubble",POWER(Upgrades!$U$15,G116),1)*IF(Upgrades!$T$16="Local Bubble",POWER(Upgrades!$U$16,H116),1)*IF(Upgrades!$T$17="Local Bubble",POWER(Upgrades!$U$17,I116),1)*IF(Upgrades!$T$18="Local Bubble",POWER(Upgrades!$U$18,J116),1)*IF(Upgrades!$T$19="Local Bubble",POWER(Upgrades!$U$19,K116),1)*IF(Upgrades!$T$20="Local Bubble",POWER(Upgrades!$U$20,L116),1)*IF(Upgrades!$T$21="Local Bubble",POWER(Upgrades!$U$21,M116),1))+(IF(G116=0,0,(Upgrades!$M$15+G116*Upgrades!$N$15)*POWER(Upgrades!$O$15,G116)))*(IF(Upgrades!$T$13="Microlensing",POWER(Upgrades!$U$13,E116),1)*IF(Upgrades!$T$14="Microlensing",POWER(Upgrades!$U$14,F116),1)*IF(Upgrades!$T$16="Microlensing",POWER(Upgrades!$U$16,H116),1)*IF(Upgrades!$T$17="Microlensing",POWER(Upgrades!$U$17,I116),1)*IF(Upgrades!$T$18="Microlensing",POWER(Upgrades!$U$18,J116),1)*IF(Upgrades!$T$19="Microlensing",POWER(Upgrades!$U$19,K116),1)*IF(Upgrades!$T$20="Microlensing",POWER(Upgrades!$U$20,L116),1)*IF(Upgrades!$T$21="Microlensing",POWER(Upgrades!$U$21,M116),1))+(IF(H116=0,0,(Upgrades!$M$16+H116*Upgrades!$N$16)*POWER(Upgrades!$O$16,H116)))*(IF(Upgrades!$T$13="Roche Lobe Overflow",POWER(Upgrades!$U$13,E116),1)*IF(Upgrades!$T$14="Roche Lobe Overflow",POWER(Upgrades!$U$14,F116),1)*IF(Upgrades!$T$15="Roche Lobe Overflow",POWER(Upgrades!$U$15,G116),1)*IF(Upgrades!$T$17="Roche Lobe Overflow",POWER(Upgrades!$U$17,I116),1)*IF(Upgrades!$T$18="Roche Lobe Overflow",POWER(Upgrades!$U$18,J116),1)*IF(Upgrades!$T$19="Roche Lobe Overflow",POWER(Upgrades!$U$19,K116),1)*IF(Upgrades!$T$20="Roche Lobe Overflow",POWER(Upgrades!$U$20,L116),1)*IF(Upgrades!$T$21="Roche Lobe Overflow",POWER(Upgrades!$U$21,M116),1))+(IF(I116=0,0,(Upgrades!$M$17+I116*Upgrades!$N$17)*POWER(Upgrades!$O$17,I116)))*(IF(Upgrades!$T$13="Brown Dwarf",POWER(Upgrades!$U$13,E116),1)*IF(Upgrades!$T$14="Brown Dwarf",POWER(Upgrades!$U$14,F116),1)*IF(Upgrades!$T$15="Brown Dwarf",POWER(Upgrades!$U$15,G116),1)*IF(Upgrades!$T$16="Brown Dwarf",POWER(Upgrades!$U$16,H116),1)*IF(Upgrades!$T$18="Brown Dwarf",POWER(Upgrades!$U$18,J116),1)*IF(Upgrades!$T$19="Brown Dwarf",POWER(Upgrades!$U$19,K116),1)*IF(Upgrades!$T$20="Brown Dwarf",POWER(Upgrades!$U$20,L116),1)*IF(Upgrades!$T$21="Brown Dwarf",POWER(Upgrades!$U$21,M116),1))+(IF(J116=0,0,(Upgrades!$M$18+J116*Upgrades!$N$18)*POWER(Upgrades!$O$18,J116)))*(IF(Upgrades!$T$13="Binary Partner",POWER(Upgrades!$U$13,E116),1)*IF(Upgrades!$T$14="Binary Partner",POWER(Upgrades!$U$14,F116),1)*IF(Upgrades!$T$15="Binary Partner",POWER(Upgrades!$U$15,G116),1)*IF(Upgrades!$T$16="Binary Partner",POWER(Upgrades!$U$16,H116),1)*IF(Upgrades!$T$17="Binary Partner",POWER(Upgrades!$U$17,I116),1)*IF(Upgrades!$T$19="Binary Partner",POWER(Upgrades!$U$19,K116),1)*IF(Upgrades!$T$20="Binary Partner",POWER(Upgrades!$U$20,L116),1)*IF(Upgrades!$T$21="Binary Partner",POWER(Upgrades!$U$21,M116),1))+(IF(K116=0,0,(Upgrades!$M$19+K116*Upgrades!$N$19)*POWER(Upgrades!$O$19,K116)))*(IF(Upgrades!$T$13="Peculiar Velocity",POWER(Upgrades!$U$13,E116),1)*IF(Upgrades!$T$14="Peculiar Velocity",POWER(Upgrades!$U$14,F116),1)*IF(Upgrades!$T$15="Peculiar Velocity",POWER(Upgrades!$U$15,G116),1)*IF(Upgrades!$T$16="Peculiar Velocity",POWER(Upgrades!$U$16,H116),1)*IF(Upgrades!$T$17="Peculiar Velocity",POWER(Upgrades!$U$17,I116),1)*IF(Upgrades!$T$18="Peculiar Velocity",POWER(Upgrades!$U$18,J116),1)*IF(Upgrades!$T$20="Peculiar Velocity",POWER(Upgrades!$U$20,L116),1)*IF(Upgrades!$T$21="Peculiar Velocity",POWER(Upgrades!$U$21,M116),1))+(IF(L116=0,0,(Upgrades!$M$20+L116*Upgrades!$N$20)*POWER(Upgrades!$O$20,L116)))*(IF(Upgrades!$T$13="Open Cluster",POWER(Upgrades!$U$13,E116),1)*IF(Upgrades!$T$14="Open Cluster",POWER(Upgrades!$U$14,F116),1)*IF(Upgrades!$T$15="Open Cluster",POWER(Upgrades!$U$15,G116),1)*IF(Upgrades!$T$16="Open Cluster",POWER(Upgrades!$U$16,H116),1)*IF(Upgrades!$T$17="Open Cluster",POWER(Upgrades!$U$17,I116),1)*IF(Upgrades!$T$18="Open Cluster",POWER(Upgrades!$U$18,J116),1)*IF(Upgrades!$T$19="Open Cluster",POWER(Upgrades!$U$19,K116),1)*IF(Upgrades!$T$21="Open Cluster",POWER(Upgrades!$U$21,M116),1))+(IF(M116=0,0,(Upgrades!$M$21+M116*Upgrades!$N$21)*POWER(Upgrades!$O$21,M116)))*(IF(Upgrades!$T$13="Moving Group",POWER(Upgrades!$U$13,E116),1)*IF(Upgrades!$T$14="Moving Group",POWER(Upgrades!$U$14,F116),1)*IF(Upgrades!$T$15="Moving Group",POWER(Upgrades!$U$15,G116),1)*IF(Upgrades!$T$16="Moving Group",POWER(Upgrades!$U$16,H116),1)*IF(Upgrades!$T$17="Moving Group",POWER(Upgrades!$U$17,I116),1)*IF(Upgrades!$T$18="Moving Group",POWER(Upgrades!$U$18,J116),1)*IF(Upgrades!$T$19="Moving Group",POWER(Upgrades!$U$19,K116),1)*IF(Upgrades!$T$20="Moving Group",POWER(Upgrades!$U$20,L116),1)))*POWER(Upgrades!$R$13,E116)*POWER(Upgrades!$R$14,F116)*POWER(Upgrades!$R$15,G116)*POWER(Upgrades!$R$16,H116)*POWER(Upgrades!$R$17,I116)*POWER(Upgrades!$R$18,J116)*POWER(Upgrades!$R$19,K116)*POWER(Upgrades!$R$20,L116)*POWER(Upgrades!$R$21,M116)*$H$6+$E$6</f>
        <v/>
      </c>
      <c r="R116" s="27">
        <f>IF(N116=1,0,O116*Parameters!$B$10/60*Parameters!$B$11*10)</f>
        <v/>
      </c>
      <c r="S116" s="27">
        <f>IF(N116=1,0,Q116*O116*10)</f>
        <v/>
      </c>
      <c r="T116" s="27">
        <f>IF(N116=1,0,R116+S116+P116*10)</f>
        <v/>
      </c>
      <c r="U116" s="33">
        <f>BE116</f>
        <v/>
      </c>
      <c r="V116" s="22">
        <f>IF(U116="",0,IF(U116="transition",0,IF(U116="SK",AK116,IF(U116="LB",AL116,IF(U116="ML",AM116,IF(U116="RLO",AN116,IF(U116="BD",AO116,IF(U116="BiP",AP116,IF(U116="PV",AQ116,IF(U116="OC",AR116,IF(U116="MG",AS116,0))))))))))</f>
        <v/>
      </c>
      <c r="W116" s="27">
        <f>IF(U116="BiP",Upgrades!$F$18,IF(U116="PV",Upgrades!$F$19,IF(U116="OC",Upgrades!$F$20,IF(U116="MG",Upgrades!$F$21,IF(U116="transition",-Parameters!$B$18*Parameters!$B$19,0)))))</f>
        <v/>
      </c>
      <c r="X116" s="22">
        <f>C116+T116-V116</f>
        <v/>
      </c>
      <c r="Y116" s="30">
        <f>O116*Parameters!$B$10/60*Parameters!$B$11+Q116*O116+P116</f>
        <v/>
      </c>
      <c r="Z116" s="34">
        <f>IF(U116="transition","→ Tier 3 (Galactic Arm)",IF(U116="MG","Moving Group — pocket drifts together",IF(U116="OC","Open Cluster acquired",IF(U116="PV","Peculiar Velocity — passive multiplier active",IF(U116="BiP","Binary Partner — pair bond formed",IF(AND(AU116=1,N116=0,AT116&lt;&gt;1),"Cohesion ready (waiting on completionists)","")))))) </f>
        <v/>
      </c>
      <c r="AA116" s="27">
        <f>(IF(E116=0,0,(Upgrades!$G$13+E116*Upgrades!$H$13)*POWER(Upgrades!$I$13,E116)))*(IF(Upgrades!$T$14="Stellar Kinematics",POWER(Upgrades!$U$14,F116),1)*IF(Upgrades!$T$15="Stellar Kinematics",POWER(Upgrades!$U$15,G116),1)*IF(Upgrades!$T$16="Stellar Kinematics",POWER(Upgrades!$U$16,H116),1)*IF(Upgrades!$T$17="Stellar Kinematics",POWER(Upgrades!$U$17,I116),1)*IF(Upgrades!$T$18="Stellar Kinematics",POWER(Upgrades!$U$18,J116),1)*IF(Upgrades!$T$19="Stellar Kinematics",POWER(Upgrades!$U$19,K116),1)*IF(Upgrades!$T$20="Stellar Kinematics",POWER(Upgrades!$U$20,L116),1)*IF(Upgrades!$T$21="Stellar Kinematics",POWER(Upgrades!$U$21,M116),1))*POWER(Upgrades!$P$13,E116)*POWER(Upgrades!$P$14,F116)*POWER(Upgrades!$P$15,G116)*POWER(Upgrades!$P$16,H116)*POWER(Upgrades!$P$17,I116)*POWER(Upgrades!$P$18,J116)*POWER(Upgrades!$P$19,K116)*POWER(Upgrades!$P$20,L116)*POWER(Upgrades!$P$21,M116)*$F$6*60</f>
        <v/>
      </c>
      <c r="AB116" s="27">
        <f>(IF(F116=0,0,(Upgrades!$G$14+F116*Upgrades!$H$14)*POWER(Upgrades!$I$14,F116)))*(IF(Upgrades!$T$13="Local Bubble",POWER(Upgrades!$U$13,E116),1)*IF(Upgrades!$T$15="Local Bubble",POWER(Upgrades!$U$15,G116),1)*IF(Upgrades!$T$16="Local Bubble",POWER(Upgrades!$U$16,H116),1)*IF(Upgrades!$T$17="Local Bubble",POWER(Upgrades!$U$17,I116),1)*IF(Upgrades!$T$18="Local Bubble",POWER(Upgrades!$U$18,J116),1)*IF(Upgrades!$T$19="Local Bubble",POWER(Upgrades!$U$19,K116),1)*IF(Upgrades!$T$20="Local Bubble",POWER(Upgrades!$U$20,L116),1)*IF(Upgrades!$T$21="Local Bubble",POWER(Upgrades!$U$21,M116),1))*POWER(Upgrades!$P$13,E116)*POWER(Upgrades!$P$14,F116)*POWER(Upgrades!$P$15,G116)*POWER(Upgrades!$P$16,H116)*POWER(Upgrades!$P$17,I116)*POWER(Upgrades!$P$18,J116)*POWER(Upgrades!$P$19,K116)*POWER(Upgrades!$P$20,L116)*POWER(Upgrades!$P$21,M116)*$F$6*60</f>
        <v/>
      </c>
      <c r="AC116" s="27">
        <f>(IF(G116=0,0,(Upgrades!$J$15+G116*Upgrades!$K$15)*POWER(Upgrades!$L$15,G116)))*(IF(Upgrades!$T$13="Microlensing",POWER(Upgrades!$U$13,E116),1)*IF(Upgrades!$T$14="Microlensing",POWER(Upgrades!$U$14,F116),1)*IF(Upgrades!$T$16="Microlensing",POWER(Upgrades!$U$16,H116),1)*IF(Upgrades!$T$17="Microlensing",POWER(Upgrades!$U$17,I116),1)*IF(Upgrades!$T$18="Microlensing",POWER(Upgrades!$U$18,J116),1)*IF(Upgrades!$T$19="Microlensing",POWER(Upgrades!$U$19,K116),1)*IF(Upgrades!$T$20="Microlensing",POWER(Upgrades!$U$20,L116),1)*IF(Upgrades!$T$21="Microlensing",POWER(Upgrades!$U$21,M116),1))*POWER(Upgrades!$Q$13,E116)*POWER(Upgrades!$Q$14,F116)*POWER(Upgrades!$Q$15,G116)*POWER(Upgrades!$Q$16,H116)*POWER(Upgrades!$Q$17,I116)*POWER(Upgrades!$Q$18,J116)*POWER(Upgrades!$Q$19,K116)*POWER(Upgrades!$Q$20,L116)*POWER(Upgrades!$Q$21,M116)*$G$6*(Parameters!$B$10*Parameters!$B$11+Q116*60)</f>
        <v/>
      </c>
      <c r="AD116" s="27">
        <f>(IF(H116=0,0,(Upgrades!$M$16+H116*Upgrades!$N$16)*POWER(Upgrades!$O$16,H116)))*(IF(Upgrades!$T$13="Roche Lobe Overflow",POWER(Upgrades!$U$13,E116),1)*IF(Upgrades!$T$14="Roche Lobe Overflow",POWER(Upgrades!$U$14,F116),1)*IF(Upgrades!$T$15="Roche Lobe Overflow",POWER(Upgrades!$U$15,G116),1)*IF(Upgrades!$T$17="Roche Lobe Overflow",POWER(Upgrades!$U$17,I116),1)*IF(Upgrades!$T$18="Roche Lobe Overflow",POWER(Upgrades!$U$18,J116),1)*IF(Upgrades!$T$19="Roche Lobe Overflow",POWER(Upgrades!$U$19,K116),1)*IF(Upgrades!$T$20="Roche Lobe Overflow",POWER(Upgrades!$U$20,L116),1)*IF(Upgrades!$T$21="Roche Lobe Overflow",POWER(Upgrades!$U$21,M116),1))*POWER(Upgrades!$R$13,E116)*POWER(Upgrades!$R$14,F116)*POWER(Upgrades!$R$15,G116)*POWER(Upgrades!$R$16,H116)*POWER(Upgrades!$R$17,I116)*POWER(Upgrades!$R$18,J116)*POWER(Upgrades!$R$19,K116)*POWER(Upgrades!$R$20,L116)*POWER(Upgrades!$R$21,M116)*$H$6*O116*60</f>
        <v/>
      </c>
      <c r="AE116" s="27">
        <f>(IF(I116=0,0,(Upgrades!$G$17+I116*Upgrades!$H$17)*POWER(Upgrades!$I$17,I116)))*(IF(Upgrades!$T$13="Brown Dwarf",POWER(Upgrades!$U$13,E116),1)*IF(Upgrades!$T$14="Brown Dwarf",POWER(Upgrades!$U$14,F116),1)*IF(Upgrades!$T$15="Brown Dwarf",POWER(Upgrades!$U$15,G116),1)*IF(Upgrades!$T$16="Brown Dwarf",POWER(Upgrades!$U$16,H116),1)*IF(Upgrades!$T$18="Brown Dwarf",POWER(Upgrades!$U$18,J116),1)*IF(Upgrades!$T$19="Brown Dwarf",POWER(Upgrades!$U$19,K116),1)*IF(Upgrades!$T$20="Brown Dwarf",POWER(Upgrades!$U$20,L116),1)*IF(Upgrades!$T$21="Brown Dwarf",POWER(Upgrades!$U$21,M116),1))*POWER(Upgrades!$P$13,E116)*POWER(Upgrades!$P$14,F116)*POWER(Upgrades!$P$15,G116)*POWER(Upgrades!$P$16,H116)*POWER(Upgrades!$P$17,I116)*POWER(Upgrades!$P$18,J116)*POWER(Upgrades!$P$19,K116)*POWER(Upgrades!$P$20,L116)*POWER(Upgrades!$P$21,M116)*$F$6*60</f>
        <v/>
      </c>
      <c r="AF116" s="27" t="n">
        <v>0</v>
      </c>
      <c r="AG116" s="27" t="n">
        <v>0</v>
      </c>
      <c r="AH116" s="27" t="n">
        <v>0</v>
      </c>
      <c r="AI116" s="27">
        <f>(IF(M116=0,0,(Upgrades!$G$21+M116*Upgrades!$H$21)*POWER(Upgrades!$I$21,M116)))*(IF(Upgrades!$T$13="Moving Group",POWER(Upgrades!$U$13,E116),1)*IF(Upgrades!$T$14="Moving Group",POWER(Upgrades!$U$14,F116),1)*IF(Upgrades!$T$15="Moving Group",POWER(Upgrades!$U$15,G116),1)*IF(Upgrades!$T$16="Moving Group",POWER(Upgrades!$U$16,H116),1)*IF(Upgrades!$T$17="Moving Group",POWER(Upgrades!$U$17,I116),1)*IF(Upgrades!$T$18="Moving Group",POWER(Upgrades!$U$18,J116),1)*IF(Upgrades!$T$19="Moving Group",POWER(Upgrades!$U$19,K116),1)*IF(Upgrades!$T$20="Moving Group",POWER(Upgrades!$U$20,L116),1))*POWER(Upgrades!$P$13,E116)*POWER(Upgrades!$P$14,F116)*POWER(Upgrades!$P$15,G116)*POWER(Upgrades!$P$16,H116)*POWER(Upgrades!$P$17,I116)*POWER(Upgrades!$P$18,J116)*POWER(Upgrades!$P$19,K116)*POWER(Upgrades!$P$20,L116)*POWER(Upgrades!$P$21,M116)*$F$6*60</f>
        <v/>
      </c>
      <c r="AJ116" s="27">
        <f>$C$6*60</f>
        <v/>
      </c>
      <c r="AK116" s="22">
        <f>IF(E116&gt;=Upgrades!$E$13,"",Upgrades!$C$13*POWER(Upgrades!$D$13,E116))</f>
        <v/>
      </c>
      <c r="AL116" s="22">
        <f>IF(F116&gt;=Upgrades!$E$14,"",Upgrades!$C$14*POWER(Upgrades!$D$14,F116))</f>
        <v/>
      </c>
      <c r="AM116" s="22">
        <f>IF(G116&gt;=Upgrades!$E$15,"",Upgrades!$C$15*POWER(Upgrades!$D$15,G116))</f>
        <v/>
      </c>
      <c r="AN116" s="22">
        <f>IF(H116&gt;=Upgrades!$E$16,"",Upgrades!$C$16*POWER(Upgrades!$D$16,H116))</f>
        <v/>
      </c>
      <c r="AO116" s="22">
        <f>IF(I116&gt;=Upgrades!$E$17,"",Upgrades!$C$17*POWER(Upgrades!$D$17,I116))</f>
        <v/>
      </c>
      <c r="AP116" s="22">
        <f>IF(J116&gt;=Upgrades!$E$18,"",Upgrades!$C$18*POWER(Upgrades!$D$18,J116))</f>
        <v/>
      </c>
      <c r="AQ116" s="22">
        <f>IF(K116&gt;=Upgrades!$E$19,"",Upgrades!$C$19*POWER(Upgrades!$D$19,K116))</f>
        <v/>
      </c>
      <c r="AR116" s="22">
        <f>IF(L116&gt;=Upgrades!$E$20,"",Upgrades!$C$20*POWER(Upgrades!$D$20,L116))</f>
        <v/>
      </c>
      <c r="AS116" s="22">
        <f>IF(M116&gt;=Upgrades!$E$21,"",Upgrades!$C$21*POWER(Upgrades!$D$21,M116))</f>
        <v/>
      </c>
      <c r="AT116" s="26">
        <f>IF(AND(D116&gt;=Parameters!$B$18*Parameters!$B$19,(I116&gt;=Upgrades!$E$17)*(M116&gt;=Upgrades!$E$21)=1,N116=0),1,"")</f>
        <v/>
      </c>
      <c r="AU116" s="26">
        <f>IF(AND(D116&gt;=Parameters!$B$18*Parameters!$B$19,N116=0),1,"")</f>
        <v/>
      </c>
      <c r="AV116" s="22">
        <f>MIN(IF(ISNUMBER(AP116),AP116,9E15),IF(ISNUMBER(AQ116),AQ116,9E15),IF(ISNUMBER(AR116),AR116,9E15),IF(ISNUMBER(AS116),AS116,9E15))</f>
        <v/>
      </c>
      <c r="AW116" s="22">
        <f>MIN(IF(ISNUMBER(AK116),AK116,9E15),IF(ISNUMBER(AL116),AL116,9E15),IF(ISNUMBER(AM116),AM116,9E15),IF(ISNUMBER(AN116),AN116,9E15),IF(ISNUMBER(AO116),AO116,9E15))</f>
        <v/>
      </c>
      <c r="AX116" s="29">
        <f>IF(BD116&gt;Parameters!$B$21*(MAX(IF(AND(NOT(AND(AU116=1,AT116&lt;&gt;1)),ISNUMBER(AK116),AK116&lt;=(C116+T116)),AY116,0),IF(AND(NOT(AND(AU116=1,AT116&lt;&gt;1)),ISNUMBER(AL116),AL116&lt;=(C116+T116)),AZ116,0),IF(AND(NOT(AND(AU116=1,AT116&lt;&gt;1)),ISNUMBER(AM116),AM116&lt;=(C116+T116)),BA116,0),IF(AND(NOT(AND(AU116=1,AT116&lt;&gt;1)),ISNUMBER(AN116),AN116&lt;=(C116+T116)),BB116,0),IF(AND(ISNUMBER(AO116),AO116&lt;=(C116+T116)),BC116,0))),TRUE,FALSE)</f>
        <v/>
      </c>
      <c r="AY116" s="32">
        <f>IFERROR(Upgrades!$H$13*(POWER(Upgrades!$P$13,E116)*POWER(Upgrades!$P$14,F116)*POWER(Upgrades!$P$15,G116)*POWER(Upgrades!$P$16,H116)*POWER(Upgrades!$P$17,I116)*POWER(Upgrades!$P$18,J116)*POWER(Upgrades!$P$19,K116)*POWER(Upgrades!$P$20,L116)*POWER(Upgrades!$P$21,M116))*(IF(Upgrades!$T$14="Stellar Kinematics",POWER(Upgrades!$U$14,F116),1)*IF(Upgrades!$T$15="Stellar Kinematics",POWER(Upgrades!$U$15,G116),1)*IF(Upgrades!$T$16="Stellar Kinematics",POWER(Upgrades!$U$16,H116),1)*IF(Upgrades!$T$17="Stellar Kinematics",POWER(Upgrades!$U$17,I116),1)*IF(Upgrades!$T$18="Stellar Kinematics",POWER(Upgrades!$U$18,J116),1)*IF(Upgrades!$T$19="Stellar Kinematics",POWER(Upgrades!$U$19,K116),1)*IF(Upgrades!$T$20="Stellar Kinematics",POWER(Upgrades!$U$20,L116),1)*IF(Upgrades!$T$21="Stellar Kinematics",POWER(Upgrades!$U$21,M116),1))*$F$6/AK116,0)</f>
        <v/>
      </c>
      <c r="AZ116" s="32">
        <f>IFERROR(Upgrades!$H$14*(POWER(Upgrades!$P$13,E116)*POWER(Upgrades!$P$14,F116)*POWER(Upgrades!$P$15,G116)*POWER(Upgrades!$P$16,H116)*POWER(Upgrades!$P$17,I116)*POWER(Upgrades!$P$18,J116)*POWER(Upgrades!$P$19,K116)*POWER(Upgrades!$P$20,L116)*POWER(Upgrades!$P$21,M116))*(IF(Upgrades!$T$13="Local Bubble",POWER(Upgrades!$U$13,E116),1)*IF(Upgrades!$T$15="Local Bubble",POWER(Upgrades!$U$15,G116),1)*IF(Upgrades!$T$16="Local Bubble",POWER(Upgrades!$U$16,H116),1)*IF(Upgrades!$T$17="Local Bubble",POWER(Upgrades!$U$17,I116),1)*IF(Upgrades!$T$18="Local Bubble",POWER(Upgrades!$U$18,J116),1)*IF(Upgrades!$T$19="Local Bubble",POWER(Upgrades!$U$19,K116),1)*IF(Upgrades!$T$20="Local Bubble",POWER(Upgrades!$U$20,L116),1)*IF(Upgrades!$T$21="Local Bubble",POWER(Upgrades!$U$21,M116),1))*$F$6/AL116,0)</f>
        <v/>
      </c>
      <c r="BA116" s="32">
        <f>IFERROR(Upgrades!$K$15*(POWER(Upgrades!$Q$13,E116)*POWER(Upgrades!$Q$14,F116)*POWER(Upgrades!$Q$15,G116)*POWER(Upgrades!$Q$16,H116)*POWER(Upgrades!$Q$17,I116)*POWER(Upgrades!$Q$18,J116)*POWER(Upgrades!$Q$19,K116)*POWER(Upgrades!$Q$20,L116)*POWER(Upgrades!$Q$21,M116))*(IF(Upgrades!$T$13="Microlensing",POWER(Upgrades!$U$13,E116),1)*IF(Upgrades!$T$14="Microlensing",POWER(Upgrades!$U$14,F116),1)*IF(Upgrades!$T$16="Microlensing",POWER(Upgrades!$U$16,H116),1)*IF(Upgrades!$T$17="Microlensing",POWER(Upgrades!$U$17,I116),1)*IF(Upgrades!$T$18="Microlensing",POWER(Upgrades!$U$18,J116),1)*IF(Upgrades!$T$19="Microlensing",POWER(Upgrades!$U$19,K116),1)*IF(Upgrades!$T$20="Microlensing",POWER(Upgrades!$U$20,L116),1)*IF(Upgrades!$T$21="Microlensing",POWER(Upgrades!$U$21,M116),1))*$G$6*(Parameters!$B$10/60*Parameters!$B$11+Q116)/AM116,0)</f>
        <v/>
      </c>
      <c r="BB116" s="32">
        <f>IFERROR((Upgrades!$N$16*(POWER(Upgrades!$R$13,E116)*POWER(Upgrades!$R$14,F116)*POWER(Upgrades!$R$15,G116)*POWER(Upgrades!$R$16,H116)*POWER(Upgrades!$R$17,I116)*POWER(Upgrades!$R$18,J116)*POWER(Upgrades!$R$19,K116)*POWER(Upgrades!$R$20,L116)*POWER(Upgrades!$R$21,M116))*(IF(Upgrades!$T$13="Roche Lobe Overflow",POWER(Upgrades!$U$13,E116),1)*IF(Upgrades!$T$14="Roche Lobe Overflow",POWER(Upgrades!$U$14,F116),1)*IF(Upgrades!$T$15="Roche Lobe Overflow",POWER(Upgrades!$U$15,G116),1)*IF(Upgrades!$T$17="Roche Lobe Overflow",POWER(Upgrades!$U$17,I116),1)*IF(Upgrades!$T$18="Roche Lobe Overflow",POWER(Upgrades!$U$18,J116),1)*IF(Upgrades!$T$19="Roche Lobe Overflow",POWER(Upgrades!$U$19,K116),1)*IF(Upgrades!$T$20="Roche Lobe Overflow",POWER(Upgrades!$U$20,L116),1)*IF(Upgrades!$T$21="Roche Lobe Overflow",POWER(Upgrades!$U$21,M116),1))*$H$6*O116+((IF(F116=0,0,(Upgrades!$G$14+F116*Upgrades!$H$14)*POWER(Upgrades!$I$14,F116)))*(IF(Upgrades!$T$13="Local Bubble",POWER(Upgrades!$U$13,E116),1)*IF(Upgrades!$T$15="Local Bubble",POWER(Upgrades!$U$15,G116),1)*IF(Upgrades!$T$16="Local Bubble",POWER(Upgrades!$U$16,H116),1)*IF(Upgrades!$T$17="Local Bubble",POWER(Upgrades!$U$17,I116),1)*IF(Upgrades!$T$18="Local Bubble",POWER(Upgrades!$U$18,J116),1)*IF(Upgrades!$T$19="Local Bubble",POWER(Upgrades!$U$19,K116),1)*IF(Upgrades!$T$20="Local Bubble",POWER(Upgrades!$U$20,L116),1)*IF(Upgrades!$T$21="Local Bubble",POWER(Upgrades!$U$21,M116),1))*POWER(Upgrades!$P$13,E116)*POWER(Upgrades!$P$14,F116)*POWER(Upgrades!$P$15,G116)*POWER(Upgrades!$P$16,H116)*POWER(Upgrades!$P$17,I116)*POWER(Upgrades!$P$18,J116)*POWER(Upgrades!$P$19,K116)*POWER(Upgrades!$P$20,L116)*POWER(Upgrades!$P$21,M116)*$F$6)*0.05)/AN116,0)</f>
        <v/>
      </c>
      <c r="BC116" s="32">
        <f>IFERROR((Upgrades!$H$17*(POWER(Upgrades!$P$13,E116)*POWER(Upgrades!$P$14,F116)*POWER(Upgrades!$P$15,G116)*POWER(Upgrades!$P$16,H116)*POWER(Upgrades!$P$17,I116)*POWER(Upgrades!$P$18,J116)*POWER(Upgrades!$P$19,K116)*POWER(Upgrades!$P$20,L116)*POWER(Upgrades!$P$21,M116))*(IF(Upgrades!$T$13="Brown Dwarf",POWER(Upgrades!$U$13,E116),1)*IF(Upgrades!$T$14="Brown Dwarf",POWER(Upgrades!$U$14,F116),1)*IF(Upgrades!$T$15="Brown Dwarf",POWER(Upgrades!$U$15,G116),1)*IF(Upgrades!$T$16="Brown Dwarf",POWER(Upgrades!$U$16,H116),1)*IF(Upgrades!$T$18="Brown Dwarf",POWER(Upgrades!$U$18,J116),1)*IF(Upgrades!$T$19="Brown Dwarf",POWER(Upgrades!$U$19,K116),1)*IF(Upgrades!$T$20="Brown Dwarf",POWER(Upgrades!$U$20,L116),1)*IF(Upgrades!$T$21="Brown Dwarf",POWER(Upgrades!$U$21,M116),1))*$F$6+(((IF(H116=0,0,(Upgrades!$M$16+H116*Upgrades!$N$16)*POWER(Upgrades!$O$16,H116)))*(IF(Upgrades!$T$13="Roche Lobe Overflow",POWER(Upgrades!$U$13,E116),1)*IF(Upgrades!$T$14="Roche Lobe Overflow",POWER(Upgrades!$U$14,F116),1)*IF(Upgrades!$T$15="Roche Lobe Overflow",POWER(Upgrades!$U$15,G116),1)*IF(Upgrades!$T$17="Roche Lobe Overflow",POWER(Upgrades!$U$17,I116),1)*IF(Upgrades!$T$18="Roche Lobe Overflow",POWER(Upgrades!$U$18,J116),1)*IF(Upgrades!$T$19="Roche Lobe Overflow",POWER(Upgrades!$U$19,K116),1)*IF(Upgrades!$T$20="Roche Lobe Overflow",POWER(Upgrades!$U$20,L116),1)*IF(Upgrades!$T$21="Roche Lobe Overflow",POWER(Upgrades!$U$21,M116),1))*POWER(Upgrades!$R$13,E116)*POWER(Upgrades!$R$14,F116)*POWER(Upgrades!$R$15,G116)*POWER(Upgrades!$R$16,H116)*POWER(Upgrades!$R$17,I116)*POWER(Upgrades!$R$18,J116)*POWER(Upgrades!$R$19,K116)*POWER(Upgrades!$R$20,L116)*POWER(Upgrades!$R$21,M116)*$H$6)*O116)*0.10)/AO116,0)</f>
        <v/>
      </c>
      <c r="BD116" s="32">
        <f>MAX(IF(J116&gt;0,0,IFERROR(0.5*((IF(G116=0,0,(Upgrades!$J$15+G116*Upgrades!$K$15)*POWER(Upgrades!$L$15,G116)))*(IF(Upgrades!$T$13="Microlensing",POWER(Upgrades!$U$13,E116),1)*IF(Upgrades!$T$14="Microlensing",POWER(Upgrades!$U$14,F116),1)*IF(Upgrades!$T$16="Microlensing",POWER(Upgrades!$U$16,H116),1)*IF(Upgrades!$T$17="Microlensing",POWER(Upgrades!$U$17,I116),1)*IF(Upgrades!$T$18="Microlensing",POWER(Upgrades!$U$18,J116),1)*IF(Upgrades!$T$19="Microlensing",POWER(Upgrades!$U$19,K116),1)*IF(Upgrades!$T$20="Microlensing",POWER(Upgrades!$U$20,L116),1)*IF(Upgrades!$T$21="Microlensing",POWER(Upgrades!$U$21,M116),1))*(POWER(Upgrades!$Q$13,E116)*POWER(Upgrades!$Q$14,F116)*POWER(Upgrades!$Q$15,G116)*POWER(Upgrades!$Q$16,H116)*POWER(Upgrades!$Q$17,I116)*POWER(Upgrades!$Q$18,J116)*POWER(Upgrades!$Q$19,K116)*POWER(Upgrades!$Q$20,L116)*POWER(Upgrades!$Q$21,M116))*$G$6*(Parameters!$B$10/60*Parameters!$B$11+Q116))/Upgrades!$C$18,0)),IF(K116&gt;0,0,IFERROR(0.30*P116/Upgrades!$C$19,0)),IF(L116&gt;0,0,IFERROR(0.0001/Upgrades!$C$20,0)),IF(M116&gt;0,0,IFERROR((6.0*(POWER(Upgrades!$P$13,E116)*POWER(Upgrades!$P$14,F116)*POWER(Upgrades!$P$15,G116)*POWER(Upgrades!$P$16,H116)*POWER(Upgrades!$P$17,I116)*POWER(Upgrades!$P$18,J116)*POWER(Upgrades!$P$19,K116)*POWER(Upgrades!$P$20,L116)*POWER(Upgrades!$P$21,M116))*$F$6+0.20*O116*(Parameters!$B$10/60*Parameters!$B$11+Q116))/Upgrades!$C$21,0)),IF(AND(ISNUMBER(AK116),AK116&gt;(C116+T116)),AY116,0),IF(AND(ISNUMBER(AL116),AL116&gt;(C116+T116)),AZ116,0),IF(AND(ISNUMBER(AM116),AM116&gt;(C116+T116)),BA116,0),IF(AND(ISNUMBER(AN116),AN116&gt;(C116+T116)),BB116,0),IF(AND(ISNUMBER(AO116),AO116&gt;(C116+T116)),BC116,0))</f>
        <v/>
      </c>
      <c r="BE116" s="29">
        <f>IF(AT116=1,"transition",IF(MIN(IF(AND(J116=0,ISNUMBER(AP116),AP116&lt;=(C116+T116)),AP116,9E15),IF(AND(K116=0,ISNUMBER(AQ116),AQ116&lt;=(C116+T116)),AQ116,9E15),IF(AND(L116=0,ISNUMBER(AR116),AR116&lt;=(C116+T116)),AR116,9E15),IF(AND(M116=0,ISNUMBER(AS116),AS116&lt;=(C116+T116)),AS116,9E15))&lt;9E15,IF(AND(AND(J116=0,ISNUMBER(AP116),AP116&lt;=(C116+T116)),AP116=MIN(IF(AND(J116=0,ISNUMBER(AP116),AP116&lt;=(C116+T116)),AP116,9E15),IF(AND(K116=0,ISNUMBER(AQ116),AQ116&lt;=(C116+T116)),AQ116,9E15),IF(AND(L116=0,ISNUMBER(AR116),AR116&lt;=(C116+T116)),AR116,9E15),IF(AND(M116=0,ISNUMBER(AS116),AS116&lt;=(C116+T116)),AS116,9E15))),"BiP",IF(AND(AND(K116=0,ISNUMBER(AQ116),AQ116&lt;=(C116+T116)),AQ116=MIN(IF(AND(J116=0,ISNUMBER(AP116),AP116&lt;=(C116+T116)),AP116,9E15),IF(AND(K116=0,ISNUMBER(AQ116),AQ116&lt;=(C116+T116)),AQ116,9E15),IF(AND(L116=0,ISNUMBER(AR116),AR116&lt;=(C116+T116)),AR116,9E15),IF(AND(M116=0,ISNUMBER(AS116),AS116&lt;=(C116+T116)),AS116,9E15))),"PV",IF(AND(AND(L116=0,ISNUMBER(AR116),AR116&lt;=(C116+T116)),AR116=MIN(IF(AND(J116=0,ISNUMBER(AP116),AP116&lt;=(C116+T116)),AP116,9E15),IF(AND(K116=0,ISNUMBER(AQ116),AQ116&lt;=(C116+T116)),AQ116,9E15),IF(AND(L116=0,ISNUMBER(AR116),AR116&lt;=(C116+T116)),AR116,9E15),IF(AND(M116=0,ISNUMBER(AS116),AS116&lt;=(C116+T116)),AS116,9E15))),"OC","MG"))),IF(AX116=TRUE,"",IF(MAX(IF(AND(NOT(AND(AU116=1,AT116&lt;&gt;1)),ISNUMBER(AK116),AK116&lt;=(C116+T116)),AY116,0),IF(AND(NOT(AND(AU116=1,AT116&lt;&gt;1)),ISNUMBER(AL116),AL116&lt;=(C116+T116)),AZ116,0),IF(AND(NOT(AND(AU116=1,AT116&lt;&gt;1)),ISNUMBER(AM116),AM116&lt;=(C116+T116)),BA116,0),IF(AND(NOT(AND(AU116=1,AT116&lt;&gt;1)),ISNUMBER(AN116),AN116&lt;=(C116+T116)),BB116,0),IF(AND(ISNUMBER(AO116),AO116&lt;=(C116+T116)),BC116,0))&lt;=0,"",IF(AND(IF(AND(NOT(AND(AU116=1,AT116&lt;&gt;1)),ISNUMBER(AK116),AK116&lt;=(C116+T116)),AY116,0)&gt;0,IF(AND(NOT(AND(AU116=1,AT116&lt;&gt;1)),ISNUMBER(AK116),AK116&lt;=(C116+T116)),AY116,0)=MAX(IF(AND(NOT(AND(AU116=1,AT116&lt;&gt;1)),ISNUMBER(AK116),AK116&lt;=(C116+T116)),AY116,0),IF(AND(NOT(AND(AU116=1,AT116&lt;&gt;1)),ISNUMBER(AL116),AL116&lt;=(C116+T116)),AZ116,0),IF(AND(NOT(AND(AU116=1,AT116&lt;&gt;1)),ISNUMBER(AM116),AM116&lt;=(C116+T116)),BA116,0),IF(AND(NOT(AND(AU116=1,AT116&lt;&gt;1)),ISNUMBER(AN116),AN116&lt;=(C116+T116)),BB116,0),IF(AND(ISNUMBER(AO116),AO116&lt;=(C116+T116)),BC116,0))),"SK",IF(AND(IF(AND(NOT(AND(AU116=1,AT116&lt;&gt;1)),ISNUMBER(AL116),AL116&lt;=(C116+T116)),AZ116,0)&gt;0,IF(AND(NOT(AND(AU116=1,AT116&lt;&gt;1)),ISNUMBER(AL116),AL116&lt;=(C116+T116)),AZ116,0)=MAX(IF(AND(NOT(AND(AU116=1,AT116&lt;&gt;1)),ISNUMBER(AK116),AK116&lt;=(C116+T116)),AY116,0),IF(AND(NOT(AND(AU116=1,AT116&lt;&gt;1)),ISNUMBER(AL116),AL116&lt;=(C116+T116)),AZ116,0),IF(AND(NOT(AND(AU116=1,AT116&lt;&gt;1)),ISNUMBER(AM116),AM116&lt;=(C116+T116)),BA116,0),IF(AND(NOT(AND(AU116=1,AT116&lt;&gt;1)),ISNUMBER(AN116),AN116&lt;=(C116+T116)),BB116,0),IF(AND(ISNUMBER(AO116),AO116&lt;=(C116+T116)),BC116,0))),"LB",IF(AND(IF(AND(NOT(AND(AU116=1,AT116&lt;&gt;1)),ISNUMBER(AM116),AM116&lt;=(C116+T116)),BA116,0)&gt;0,IF(AND(NOT(AND(AU116=1,AT116&lt;&gt;1)),ISNUMBER(AM116),AM116&lt;=(C116+T116)),BA116,0)=MAX(IF(AND(NOT(AND(AU116=1,AT116&lt;&gt;1)),ISNUMBER(AK116),AK116&lt;=(C116+T116)),AY116,0),IF(AND(NOT(AND(AU116=1,AT116&lt;&gt;1)),ISNUMBER(AL116),AL116&lt;=(C116+T116)),AZ116,0),IF(AND(NOT(AND(AU116=1,AT116&lt;&gt;1)),ISNUMBER(AM116),AM116&lt;=(C116+T116)),BA116,0),IF(AND(NOT(AND(AU116=1,AT116&lt;&gt;1)),ISNUMBER(AN116),AN116&lt;=(C116+T116)),BB116,0),IF(AND(ISNUMBER(AO116),AO116&lt;=(C116+T116)),BC116,0))),"ML",IF(AND(IF(AND(NOT(AND(AU116=1,AT116&lt;&gt;1)),ISNUMBER(AN116),AN116&lt;=(C116+T116)),BB116,0)&gt;0,IF(AND(NOT(AND(AU116=1,AT116&lt;&gt;1)),ISNUMBER(AN116),AN116&lt;=(C116+T116)),BB116,0)=MAX(IF(AND(NOT(AND(AU116=1,AT116&lt;&gt;1)),ISNUMBER(AK116),AK116&lt;=(C116+T116)),AY116,0),IF(AND(NOT(AND(AU116=1,AT116&lt;&gt;1)),ISNUMBER(AL116),AL116&lt;=(C116+T116)),AZ116,0),IF(AND(NOT(AND(AU116=1,AT116&lt;&gt;1)),ISNUMBER(AM116),AM116&lt;=(C116+T116)),BA116,0),IF(AND(NOT(AND(AU116=1,AT116&lt;&gt;1)),ISNUMBER(AN116),AN116&lt;=(C116+T116)),BB116,0),IF(AND(ISNUMBER(AO116),AO116&lt;=(C116+T116)),BC116,0))),"RLO","BD"))))))))</f>
        <v/>
      </c>
    </row>
    <row r="117">
      <c r="A117" s="26" t="n">
        <v>106</v>
      </c>
      <c r="B117" s="27">
        <f>A117*10/60</f>
        <v/>
      </c>
      <c r="C117" s="22">
        <f>X116</f>
        <v/>
      </c>
      <c r="D117" s="27">
        <f>D116+W116</f>
        <v/>
      </c>
      <c r="E117" s="26">
        <f>E116+IF(U116="SK",1,0)</f>
        <v/>
      </c>
      <c r="F117" s="26">
        <f>F116+IF(U116="LB",1,0)</f>
        <v/>
      </c>
      <c r="G117" s="26">
        <f>G116+IF(U116="ML",1,0)</f>
        <v/>
      </c>
      <c r="H117" s="26">
        <f>H116+IF(U116="RLO",1,0)</f>
        <v/>
      </c>
      <c r="I117" s="26">
        <f>I116+IF(U116="BD",1,0)</f>
        <v/>
      </c>
      <c r="J117" s="26">
        <f>MAX(J116,IF(U116="BiP",1,0))</f>
        <v/>
      </c>
      <c r="K117" s="26">
        <f>MAX(K116,IF(U116="PV",1,0))</f>
        <v/>
      </c>
      <c r="L117" s="26">
        <f>MAX(L116,IF(U116="OC",1,0))</f>
        <v/>
      </c>
      <c r="M117" s="26">
        <f>MAX(M116,IF(U116="MG",1,0))</f>
        <v/>
      </c>
      <c r="N117" s="26">
        <f>MAX(N116,IF(U116="transition",1,0))</f>
        <v/>
      </c>
      <c r="O117" s="28">
        <f>(Parameters!$B$9+(IF(E117=0,0,(Upgrades!$J$13+E117*Upgrades!$K$13)*POWER(Upgrades!$L$13,E117)))*(IF(Upgrades!$T$14="Stellar Kinematics",POWER(Upgrades!$U$14,F117),1)*IF(Upgrades!$T$15="Stellar Kinematics",POWER(Upgrades!$U$15,G117),1)*IF(Upgrades!$T$16="Stellar Kinematics",POWER(Upgrades!$U$16,H117),1)*IF(Upgrades!$T$17="Stellar Kinematics",POWER(Upgrades!$U$17,I117),1)*IF(Upgrades!$T$18="Stellar Kinematics",POWER(Upgrades!$U$18,J117),1)*IF(Upgrades!$T$19="Stellar Kinematics",POWER(Upgrades!$U$19,K117),1)*IF(Upgrades!$T$20="Stellar Kinematics",POWER(Upgrades!$U$20,L117),1)*IF(Upgrades!$T$21="Stellar Kinematics",POWER(Upgrades!$U$21,M117),1))+(IF(F117=0,0,(Upgrades!$J$14+F117*Upgrades!$K$14)*POWER(Upgrades!$L$14,F117)))*(IF(Upgrades!$T$13="Local Bubble",POWER(Upgrades!$U$13,E117),1)*IF(Upgrades!$T$15="Local Bubble",POWER(Upgrades!$U$15,G117),1)*IF(Upgrades!$T$16="Local Bubble",POWER(Upgrades!$U$16,H117),1)*IF(Upgrades!$T$17="Local Bubble",POWER(Upgrades!$U$17,I117),1)*IF(Upgrades!$T$18="Local Bubble",POWER(Upgrades!$U$18,J117),1)*IF(Upgrades!$T$19="Local Bubble",POWER(Upgrades!$U$19,K117),1)*IF(Upgrades!$T$20="Local Bubble",POWER(Upgrades!$U$20,L117),1)*IF(Upgrades!$T$21="Local Bubble",POWER(Upgrades!$U$21,M117),1))+(IF(G117=0,0,(Upgrades!$J$15+G117*Upgrades!$K$15)*POWER(Upgrades!$L$15,G117)))*(IF(Upgrades!$T$13="Microlensing",POWER(Upgrades!$U$13,E117),1)*IF(Upgrades!$T$14="Microlensing",POWER(Upgrades!$U$14,F117),1)*IF(Upgrades!$T$16="Microlensing",POWER(Upgrades!$U$16,H117),1)*IF(Upgrades!$T$17="Microlensing",POWER(Upgrades!$U$17,I117),1)*IF(Upgrades!$T$18="Microlensing",POWER(Upgrades!$U$18,J117),1)*IF(Upgrades!$T$19="Microlensing",POWER(Upgrades!$U$19,K117),1)*IF(Upgrades!$T$20="Microlensing",POWER(Upgrades!$U$20,L117),1)*IF(Upgrades!$T$21="Microlensing",POWER(Upgrades!$U$21,M117),1))+(IF(H117=0,0,(Upgrades!$J$16+H117*Upgrades!$K$16)*POWER(Upgrades!$L$16,H117)))*(IF(Upgrades!$T$13="Roche Lobe Overflow",POWER(Upgrades!$U$13,E117),1)*IF(Upgrades!$T$14="Roche Lobe Overflow",POWER(Upgrades!$U$14,F117),1)*IF(Upgrades!$T$15="Roche Lobe Overflow",POWER(Upgrades!$U$15,G117),1)*IF(Upgrades!$T$17="Roche Lobe Overflow",POWER(Upgrades!$U$17,I117),1)*IF(Upgrades!$T$18="Roche Lobe Overflow",POWER(Upgrades!$U$18,J117),1)*IF(Upgrades!$T$19="Roche Lobe Overflow",POWER(Upgrades!$U$19,K117),1)*IF(Upgrades!$T$20="Roche Lobe Overflow",POWER(Upgrades!$U$20,L117),1)*IF(Upgrades!$T$21="Roche Lobe Overflow",POWER(Upgrades!$U$21,M117),1))+(IF(I117=0,0,(Upgrades!$J$17+I117*Upgrades!$K$17)*POWER(Upgrades!$L$17,I117)))*(IF(Upgrades!$T$13="Brown Dwarf",POWER(Upgrades!$U$13,E117),1)*IF(Upgrades!$T$14="Brown Dwarf",POWER(Upgrades!$U$14,F117),1)*IF(Upgrades!$T$15="Brown Dwarf",POWER(Upgrades!$U$15,G117),1)*IF(Upgrades!$T$16="Brown Dwarf",POWER(Upgrades!$U$16,H117),1)*IF(Upgrades!$T$18="Brown Dwarf",POWER(Upgrades!$U$18,J117),1)*IF(Upgrades!$T$19="Brown Dwarf",POWER(Upgrades!$U$19,K117),1)*IF(Upgrades!$T$20="Brown Dwarf",POWER(Upgrades!$U$20,L117),1)*IF(Upgrades!$T$21="Brown Dwarf",POWER(Upgrades!$U$21,M117),1))+(IF(J117=0,0,(Upgrades!$J$18+J117*Upgrades!$K$18)*POWER(Upgrades!$L$18,J117)))*(IF(Upgrades!$T$13="Binary Partner",POWER(Upgrades!$U$13,E117),1)*IF(Upgrades!$T$14="Binary Partner",POWER(Upgrades!$U$14,F117),1)*IF(Upgrades!$T$15="Binary Partner",POWER(Upgrades!$U$15,G117),1)*IF(Upgrades!$T$16="Binary Partner",POWER(Upgrades!$U$16,H117),1)*IF(Upgrades!$T$17="Binary Partner",POWER(Upgrades!$U$17,I117),1)*IF(Upgrades!$T$19="Binary Partner",POWER(Upgrades!$U$19,K117),1)*IF(Upgrades!$T$20="Binary Partner",POWER(Upgrades!$U$20,L117),1)*IF(Upgrades!$T$21="Binary Partner",POWER(Upgrades!$U$21,M117),1))+(IF(K117=0,0,(Upgrades!$J$19+K117*Upgrades!$K$19)*POWER(Upgrades!$L$19,K117)))*(IF(Upgrades!$T$13="Peculiar Velocity",POWER(Upgrades!$U$13,E117),1)*IF(Upgrades!$T$14="Peculiar Velocity",POWER(Upgrades!$U$14,F117),1)*IF(Upgrades!$T$15="Peculiar Velocity",POWER(Upgrades!$U$15,G117),1)*IF(Upgrades!$T$16="Peculiar Velocity",POWER(Upgrades!$U$16,H117),1)*IF(Upgrades!$T$17="Peculiar Velocity",POWER(Upgrades!$U$17,I117),1)*IF(Upgrades!$T$18="Peculiar Velocity",POWER(Upgrades!$U$18,J117),1)*IF(Upgrades!$T$20="Peculiar Velocity",POWER(Upgrades!$U$20,L117),1)*IF(Upgrades!$T$21="Peculiar Velocity",POWER(Upgrades!$U$21,M117),1))+(IF(L117=0,0,(Upgrades!$J$20+L117*Upgrades!$K$20)*POWER(Upgrades!$L$20,L117)))*(IF(Upgrades!$T$13="Open Cluster",POWER(Upgrades!$U$13,E117),1)*IF(Upgrades!$T$14="Open Cluster",POWER(Upgrades!$U$14,F117),1)*IF(Upgrades!$T$15="Open Cluster",POWER(Upgrades!$U$15,G117),1)*IF(Upgrades!$T$16="Open Cluster",POWER(Upgrades!$U$16,H117),1)*IF(Upgrades!$T$17="Open Cluster",POWER(Upgrades!$U$17,I117),1)*IF(Upgrades!$T$18="Open Cluster",POWER(Upgrades!$U$18,J117),1)*IF(Upgrades!$T$19="Open Cluster",POWER(Upgrades!$U$19,K117),1)*IF(Upgrades!$T$21="Open Cluster",POWER(Upgrades!$U$21,M117),1))+(IF(M117=0,0,(Upgrades!$J$21+M117*Upgrades!$K$21)*POWER(Upgrades!$L$21,M117)))*(IF(Upgrades!$T$13="Moving Group",POWER(Upgrades!$U$13,E117),1)*IF(Upgrades!$T$14="Moving Group",POWER(Upgrades!$U$14,F117),1)*IF(Upgrades!$T$15="Moving Group",POWER(Upgrades!$U$15,G117),1)*IF(Upgrades!$T$16="Moving Group",POWER(Upgrades!$U$16,H117),1)*IF(Upgrades!$T$17="Moving Group",POWER(Upgrades!$U$17,I117),1)*IF(Upgrades!$T$18="Moving Group",POWER(Upgrades!$U$18,J117),1)*IF(Upgrades!$T$19="Moving Group",POWER(Upgrades!$U$19,K117),1)*IF(Upgrades!$T$20="Moving Group",POWER(Upgrades!$U$20,L117),1)))*POWER(Upgrades!$Q$13,E117)*POWER(Upgrades!$Q$14,F117)*POWER(Upgrades!$Q$15,G117)*POWER(Upgrades!$Q$16,H117)*POWER(Upgrades!$Q$17,I117)*POWER(Upgrades!$Q$18,J117)*POWER(Upgrades!$Q$19,K117)*POWER(Upgrades!$Q$20,L117)*POWER(Upgrades!$Q$21,M117)*$G$6+$D$6</f>
        <v/>
      </c>
      <c r="P117" s="28">
        <f>((IF(E117=0,0,(Upgrades!$G$13+E117*Upgrades!$H$13)*POWER(Upgrades!$I$13,E117)))*(IF(Upgrades!$T$14="Stellar Kinematics",POWER(Upgrades!$U$14,F117),1)*IF(Upgrades!$T$15="Stellar Kinematics",POWER(Upgrades!$U$15,G117),1)*IF(Upgrades!$T$16="Stellar Kinematics",POWER(Upgrades!$U$16,H117),1)*IF(Upgrades!$T$17="Stellar Kinematics",POWER(Upgrades!$U$17,I117),1)*IF(Upgrades!$T$18="Stellar Kinematics",POWER(Upgrades!$U$18,J117),1)*IF(Upgrades!$T$19="Stellar Kinematics",POWER(Upgrades!$U$19,K117),1)*IF(Upgrades!$T$20="Stellar Kinematics",POWER(Upgrades!$U$20,L117),1)*IF(Upgrades!$T$21="Stellar Kinematics",POWER(Upgrades!$U$21,M117),1))+(IF(F117=0,0,(Upgrades!$G$14+F117*Upgrades!$H$14)*POWER(Upgrades!$I$14,F117)))*(IF(Upgrades!$T$13="Local Bubble",POWER(Upgrades!$U$13,E117),1)*IF(Upgrades!$T$15="Local Bubble",POWER(Upgrades!$U$15,G117),1)*IF(Upgrades!$T$16="Local Bubble",POWER(Upgrades!$U$16,H117),1)*IF(Upgrades!$T$17="Local Bubble",POWER(Upgrades!$U$17,I117),1)*IF(Upgrades!$T$18="Local Bubble",POWER(Upgrades!$U$18,J117),1)*IF(Upgrades!$T$19="Local Bubble",POWER(Upgrades!$U$19,K117),1)*IF(Upgrades!$T$20="Local Bubble",POWER(Upgrades!$U$20,L117),1)*IF(Upgrades!$T$21="Local Bubble",POWER(Upgrades!$U$21,M117),1))+(IF(G117=0,0,(Upgrades!$G$15+G117*Upgrades!$H$15)*POWER(Upgrades!$I$15,G117)))*(IF(Upgrades!$T$13="Microlensing",POWER(Upgrades!$U$13,E117),1)*IF(Upgrades!$T$14="Microlensing",POWER(Upgrades!$U$14,F117),1)*IF(Upgrades!$T$16="Microlensing",POWER(Upgrades!$U$16,H117),1)*IF(Upgrades!$T$17="Microlensing",POWER(Upgrades!$U$17,I117),1)*IF(Upgrades!$T$18="Microlensing",POWER(Upgrades!$U$18,J117),1)*IF(Upgrades!$T$19="Microlensing",POWER(Upgrades!$U$19,K117),1)*IF(Upgrades!$T$20="Microlensing",POWER(Upgrades!$U$20,L117),1)*IF(Upgrades!$T$21="Microlensing",POWER(Upgrades!$U$21,M117),1))+(IF(H117=0,0,(Upgrades!$G$16+H117*Upgrades!$H$16)*POWER(Upgrades!$I$16,H117)))*(IF(Upgrades!$T$13="Roche Lobe Overflow",POWER(Upgrades!$U$13,E117),1)*IF(Upgrades!$T$14="Roche Lobe Overflow",POWER(Upgrades!$U$14,F117),1)*IF(Upgrades!$T$15="Roche Lobe Overflow",POWER(Upgrades!$U$15,G117),1)*IF(Upgrades!$T$17="Roche Lobe Overflow",POWER(Upgrades!$U$17,I117),1)*IF(Upgrades!$T$18="Roche Lobe Overflow",POWER(Upgrades!$U$18,J117),1)*IF(Upgrades!$T$19="Roche Lobe Overflow",POWER(Upgrades!$U$19,K117),1)*IF(Upgrades!$T$20="Roche Lobe Overflow",POWER(Upgrades!$U$20,L117),1)*IF(Upgrades!$T$21="Roche Lobe Overflow",POWER(Upgrades!$U$21,M117),1))+(IF(I117=0,0,(Upgrades!$G$17+I117*Upgrades!$H$17)*POWER(Upgrades!$I$17,I117)))*(IF(Upgrades!$T$13="Brown Dwarf",POWER(Upgrades!$U$13,E117),1)*IF(Upgrades!$T$14="Brown Dwarf",POWER(Upgrades!$U$14,F117),1)*IF(Upgrades!$T$15="Brown Dwarf",POWER(Upgrades!$U$15,G117),1)*IF(Upgrades!$T$16="Brown Dwarf",POWER(Upgrades!$U$16,H117),1)*IF(Upgrades!$T$18="Brown Dwarf",POWER(Upgrades!$U$18,J117),1)*IF(Upgrades!$T$19="Brown Dwarf",POWER(Upgrades!$U$19,K117),1)*IF(Upgrades!$T$20="Brown Dwarf",POWER(Upgrades!$U$20,L117),1)*IF(Upgrades!$T$21="Brown Dwarf",POWER(Upgrades!$U$21,M117),1))+(IF(J117=0,0,(Upgrades!$G$18+J117*Upgrades!$H$18)*POWER(Upgrades!$I$18,J117)))*(IF(Upgrades!$T$13="Binary Partner",POWER(Upgrades!$U$13,E117),1)*IF(Upgrades!$T$14="Binary Partner",POWER(Upgrades!$U$14,F117),1)*IF(Upgrades!$T$15="Binary Partner",POWER(Upgrades!$U$15,G117),1)*IF(Upgrades!$T$16="Binary Partner",POWER(Upgrades!$U$16,H117),1)*IF(Upgrades!$T$17="Binary Partner",POWER(Upgrades!$U$17,I117),1)*IF(Upgrades!$T$19="Binary Partner",POWER(Upgrades!$U$19,K117),1)*IF(Upgrades!$T$20="Binary Partner",POWER(Upgrades!$U$20,L117),1)*IF(Upgrades!$T$21="Binary Partner",POWER(Upgrades!$U$21,M117),1))+(IF(K117=0,0,(Upgrades!$G$19+K117*Upgrades!$H$19)*POWER(Upgrades!$I$19,K117)))*(IF(Upgrades!$T$13="Peculiar Velocity",POWER(Upgrades!$U$13,E117),1)*IF(Upgrades!$T$14="Peculiar Velocity",POWER(Upgrades!$U$14,F117),1)*IF(Upgrades!$T$15="Peculiar Velocity",POWER(Upgrades!$U$15,G117),1)*IF(Upgrades!$T$16="Peculiar Velocity",POWER(Upgrades!$U$16,H117),1)*IF(Upgrades!$T$17="Peculiar Velocity",POWER(Upgrades!$U$17,I117),1)*IF(Upgrades!$T$18="Peculiar Velocity",POWER(Upgrades!$U$18,J117),1)*IF(Upgrades!$T$20="Peculiar Velocity",POWER(Upgrades!$U$20,L117),1)*IF(Upgrades!$T$21="Peculiar Velocity",POWER(Upgrades!$U$21,M117),1))+(IF(L117=0,0,(Upgrades!$G$20+L117*Upgrades!$H$20)*POWER(Upgrades!$I$20,L117)))*(IF(Upgrades!$T$13="Open Cluster",POWER(Upgrades!$U$13,E117),1)*IF(Upgrades!$T$14="Open Cluster",POWER(Upgrades!$U$14,F117),1)*IF(Upgrades!$T$15="Open Cluster",POWER(Upgrades!$U$15,G117),1)*IF(Upgrades!$T$16="Open Cluster",POWER(Upgrades!$U$16,H117),1)*IF(Upgrades!$T$17="Open Cluster",POWER(Upgrades!$U$17,I117),1)*IF(Upgrades!$T$18="Open Cluster",POWER(Upgrades!$U$18,J117),1)*IF(Upgrades!$T$19="Open Cluster",POWER(Upgrades!$U$19,K117),1)*IF(Upgrades!$T$21="Open Cluster",POWER(Upgrades!$U$21,M117),1))+(IF(M117=0,0,(Upgrades!$G$21+M117*Upgrades!$H$21)*POWER(Upgrades!$I$21,M117)))*(IF(Upgrades!$T$13="Moving Group",POWER(Upgrades!$U$13,E117),1)*IF(Upgrades!$T$14="Moving Group",POWER(Upgrades!$U$14,F117),1)*IF(Upgrades!$T$15="Moving Group",POWER(Upgrades!$U$15,G117),1)*IF(Upgrades!$T$16="Moving Group",POWER(Upgrades!$U$16,H117),1)*IF(Upgrades!$T$17="Moving Group",POWER(Upgrades!$U$17,I117),1)*IF(Upgrades!$T$18="Moving Group",POWER(Upgrades!$U$18,J117),1)*IF(Upgrades!$T$19="Moving Group",POWER(Upgrades!$U$19,K117),1)*IF(Upgrades!$T$20="Moving Group",POWER(Upgrades!$U$20,L117),1)))*POWER(Upgrades!$P$13,E117)*POWER(Upgrades!$P$14,F117)*POWER(Upgrades!$P$15,G117)*POWER(Upgrades!$P$16,H117)*POWER(Upgrades!$P$17,I117)*POWER(Upgrades!$P$18,J117)*POWER(Upgrades!$P$19,K117)*POWER(Upgrades!$P$20,L117)*POWER(Upgrades!$P$21,M117)*$F$6+$C$6</f>
        <v/>
      </c>
      <c r="Q117" s="28">
        <f>((IF(E117=0,0,(Upgrades!$M$13+E117*Upgrades!$N$13)*POWER(Upgrades!$O$13,E117)))*(IF(Upgrades!$T$14="Stellar Kinematics",POWER(Upgrades!$U$14,F117),1)*IF(Upgrades!$T$15="Stellar Kinematics",POWER(Upgrades!$U$15,G117),1)*IF(Upgrades!$T$16="Stellar Kinematics",POWER(Upgrades!$U$16,H117),1)*IF(Upgrades!$T$17="Stellar Kinematics",POWER(Upgrades!$U$17,I117),1)*IF(Upgrades!$T$18="Stellar Kinematics",POWER(Upgrades!$U$18,J117),1)*IF(Upgrades!$T$19="Stellar Kinematics",POWER(Upgrades!$U$19,K117),1)*IF(Upgrades!$T$20="Stellar Kinematics",POWER(Upgrades!$U$20,L117),1)*IF(Upgrades!$T$21="Stellar Kinematics",POWER(Upgrades!$U$21,M117),1))+(IF(F117=0,0,(Upgrades!$M$14+F117*Upgrades!$N$14)*POWER(Upgrades!$O$14,F117)))*(IF(Upgrades!$T$13="Local Bubble",POWER(Upgrades!$U$13,E117),1)*IF(Upgrades!$T$15="Local Bubble",POWER(Upgrades!$U$15,G117),1)*IF(Upgrades!$T$16="Local Bubble",POWER(Upgrades!$U$16,H117),1)*IF(Upgrades!$T$17="Local Bubble",POWER(Upgrades!$U$17,I117),1)*IF(Upgrades!$T$18="Local Bubble",POWER(Upgrades!$U$18,J117),1)*IF(Upgrades!$T$19="Local Bubble",POWER(Upgrades!$U$19,K117),1)*IF(Upgrades!$T$20="Local Bubble",POWER(Upgrades!$U$20,L117),1)*IF(Upgrades!$T$21="Local Bubble",POWER(Upgrades!$U$21,M117),1))+(IF(G117=0,0,(Upgrades!$M$15+G117*Upgrades!$N$15)*POWER(Upgrades!$O$15,G117)))*(IF(Upgrades!$T$13="Microlensing",POWER(Upgrades!$U$13,E117),1)*IF(Upgrades!$T$14="Microlensing",POWER(Upgrades!$U$14,F117),1)*IF(Upgrades!$T$16="Microlensing",POWER(Upgrades!$U$16,H117),1)*IF(Upgrades!$T$17="Microlensing",POWER(Upgrades!$U$17,I117),1)*IF(Upgrades!$T$18="Microlensing",POWER(Upgrades!$U$18,J117),1)*IF(Upgrades!$T$19="Microlensing",POWER(Upgrades!$U$19,K117),1)*IF(Upgrades!$T$20="Microlensing",POWER(Upgrades!$U$20,L117),1)*IF(Upgrades!$T$21="Microlensing",POWER(Upgrades!$U$21,M117),1))+(IF(H117=0,0,(Upgrades!$M$16+H117*Upgrades!$N$16)*POWER(Upgrades!$O$16,H117)))*(IF(Upgrades!$T$13="Roche Lobe Overflow",POWER(Upgrades!$U$13,E117),1)*IF(Upgrades!$T$14="Roche Lobe Overflow",POWER(Upgrades!$U$14,F117),1)*IF(Upgrades!$T$15="Roche Lobe Overflow",POWER(Upgrades!$U$15,G117),1)*IF(Upgrades!$T$17="Roche Lobe Overflow",POWER(Upgrades!$U$17,I117),1)*IF(Upgrades!$T$18="Roche Lobe Overflow",POWER(Upgrades!$U$18,J117),1)*IF(Upgrades!$T$19="Roche Lobe Overflow",POWER(Upgrades!$U$19,K117),1)*IF(Upgrades!$T$20="Roche Lobe Overflow",POWER(Upgrades!$U$20,L117),1)*IF(Upgrades!$T$21="Roche Lobe Overflow",POWER(Upgrades!$U$21,M117),1))+(IF(I117=0,0,(Upgrades!$M$17+I117*Upgrades!$N$17)*POWER(Upgrades!$O$17,I117)))*(IF(Upgrades!$T$13="Brown Dwarf",POWER(Upgrades!$U$13,E117),1)*IF(Upgrades!$T$14="Brown Dwarf",POWER(Upgrades!$U$14,F117),1)*IF(Upgrades!$T$15="Brown Dwarf",POWER(Upgrades!$U$15,G117),1)*IF(Upgrades!$T$16="Brown Dwarf",POWER(Upgrades!$U$16,H117),1)*IF(Upgrades!$T$18="Brown Dwarf",POWER(Upgrades!$U$18,J117),1)*IF(Upgrades!$T$19="Brown Dwarf",POWER(Upgrades!$U$19,K117),1)*IF(Upgrades!$T$20="Brown Dwarf",POWER(Upgrades!$U$20,L117),1)*IF(Upgrades!$T$21="Brown Dwarf",POWER(Upgrades!$U$21,M117),1))+(IF(J117=0,0,(Upgrades!$M$18+J117*Upgrades!$N$18)*POWER(Upgrades!$O$18,J117)))*(IF(Upgrades!$T$13="Binary Partner",POWER(Upgrades!$U$13,E117),1)*IF(Upgrades!$T$14="Binary Partner",POWER(Upgrades!$U$14,F117),1)*IF(Upgrades!$T$15="Binary Partner",POWER(Upgrades!$U$15,G117),1)*IF(Upgrades!$T$16="Binary Partner",POWER(Upgrades!$U$16,H117),1)*IF(Upgrades!$T$17="Binary Partner",POWER(Upgrades!$U$17,I117),1)*IF(Upgrades!$T$19="Binary Partner",POWER(Upgrades!$U$19,K117),1)*IF(Upgrades!$T$20="Binary Partner",POWER(Upgrades!$U$20,L117),1)*IF(Upgrades!$T$21="Binary Partner",POWER(Upgrades!$U$21,M117),1))+(IF(K117=0,0,(Upgrades!$M$19+K117*Upgrades!$N$19)*POWER(Upgrades!$O$19,K117)))*(IF(Upgrades!$T$13="Peculiar Velocity",POWER(Upgrades!$U$13,E117),1)*IF(Upgrades!$T$14="Peculiar Velocity",POWER(Upgrades!$U$14,F117),1)*IF(Upgrades!$T$15="Peculiar Velocity",POWER(Upgrades!$U$15,G117),1)*IF(Upgrades!$T$16="Peculiar Velocity",POWER(Upgrades!$U$16,H117),1)*IF(Upgrades!$T$17="Peculiar Velocity",POWER(Upgrades!$U$17,I117),1)*IF(Upgrades!$T$18="Peculiar Velocity",POWER(Upgrades!$U$18,J117),1)*IF(Upgrades!$T$20="Peculiar Velocity",POWER(Upgrades!$U$20,L117),1)*IF(Upgrades!$T$21="Peculiar Velocity",POWER(Upgrades!$U$21,M117),1))+(IF(L117=0,0,(Upgrades!$M$20+L117*Upgrades!$N$20)*POWER(Upgrades!$O$20,L117)))*(IF(Upgrades!$T$13="Open Cluster",POWER(Upgrades!$U$13,E117),1)*IF(Upgrades!$T$14="Open Cluster",POWER(Upgrades!$U$14,F117),1)*IF(Upgrades!$T$15="Open Cluster",POWER(Upgrades!$U$15,G117),1)*IF(Upgrades!$T$16="Open Cluster",POWER(Upgrades!$U$16,H117),1)*IF(Upgrades!$T$17="Open Cluster",POWER(Upgrades!$U$17,I117),1)*IF(Upgrades!$T$18="Open Cluster",POWER(Upgrades!$U$18,J117),1)*IF(Upgrades!$T$19="Open Cluster",POWER(Upgrades!$U$19,K117),1)*IF(Upgrades!$T$21="Open Cluster",POWER(Upgrades!$U$21,M117),1))+(IF(M117=0,0,(Upgrades!$M$21+M117*Upgrades!$N$21)*POWER(Upgrades!$O$21,M117)))*(IF(Upgrades!$T$13="Moving Group",POWER(Upgrades!$U$13,E117),1)*IF(Upgrades!$T$14="Moving Group",POWER(Upgrades!$U$14,F117),1)*IF(Upgrades!$T$15="Moving Group",POWER(Upgrades!$U$15,G117),1)*IF(Upgrades!$T$16="Moving Group",POWER(Upgrades!$U$16,H117),1)*IF(Upgrades!$T$17="Moving Group",POWER(Upgrades!$U$17,I117),1)*IF(Upgrades!$T$18="Moving Group",POWER(Upgrades!$U$18,J117),1)*IF(Upgrades!$T$19="Moving Group",POWER(Upgrades!$U$19,K117),1)*IF(Upgrades!$T$20="Moving Group",POWER(Upgrades!$U$20,L117),1)))*POWER(Upgrades!$R$13,E117)*POWER(Upgrades!$R$14,F117)*POWER(Upgrades!$R$15,G117)*POWER(Upgrades!$R$16,H117)*POWER(Upgrades!$R$17,I117)*POWER(Upgrades!$R$18,J117)*POWER(Upgrades!$R$19,K117)*POWER(Upgrades!$R$20,L117)*POWER(Upgrades!$R$21,M117)*$H$6+$E$6</f>
        <v/>
      </c>
      <c r="R117" s="27">
        <f>IF(N117=1,0,O117*Parameters!$B$10/60*Parameters!$B$11*10)</f>
        <v/>
      </c>
      <c r="S117" s="27">
        <f>IF(N117=1,0,Q117*O117*10)</f>
        <v/>
      </c>
      <c r="T117" s="27">
        <f>IF(N117=1,0,R117+S117+P117*10)</f>
        <v/>
      </c>
      <c r="U117" s="33">
        <f>BE117</f>
        <v/>
      </c>
      <c r="V117" s="22">
        <f>IF(U117="",0,IF(U117="transition",0,IF(U117="SK",AK117,IF(U117="LB",AL117,IF(U117="ML",AM117,IF(U117="RLO",AN117,IF(U117="BD",AO117,IF(U117="BiP",AP117,IF(U117="PV",AQ117,IF(U117="OC",AR117,IF(U117="MG",AS117,0))))))))))</f>
        <v/>
      </c>
      <c r="W117" s="27">
        <f>IF(U117="BiP",Upgrades!$F$18,IF(U117="PV",Upgrades!$F$19,IF(U117="OC",Upgrades!$F$20,IF(U117="MG",Upgrades!$F$21,IF(U117="transition",-Parameters!$B$18*Parameters!$B$19,0)))))</f>
        <v/>
      </c>
      <c r="X117" s="22">
        <f>C117+T117-V117</f>
        <v/>
      </c>
      <c r="Y117" s="30">
        <f>O117*Parameters!$B$10/60*Parameters!$B$11+Q117*O117+P117</f>
        <v/>
      </c>
      <c r="Z117" s="34">
        <f>IF(U117="transition","→ Tier 3 (Galactic Arm)",IF(U117="MG","Moving Group — pocket drifts together",IF(U117="OC","Open Cluster acquired",IF(U117="PV","Peculiar Velocity — passive multiplier active",IF(U117="BiP","Binary Partner — pair bond formed",IF(AND(AU117=1,N117=0,AT117&lt;&gt;1),"Cohesion ready (waiting on completionists)","")))))) </f>
        <v/>
      </c>
      <c r="AA117" s="27">
        <f>(IF(E117=0,0,(Upgrades!$G$13+E117*Upgrades!$H$13)*POWER(Upgrades!$I$13,E117)))*(IF(Upgrades!$T$14="Stellar Kinematics",POWER(Upgrades!$U$14,F117),1)*IF(Upgrades!$T$15="Stellar Kinematics",POWER(Upgrades!$U$15,G117),1)*IF(Upgrades!$T$16="Stellar Kinematics",POWER(Upgrades!$U$16,H117),1)*IF(Upgrades!$T$17="Stellar Kinematics",POWER(Upgrades!$U$17,I117),1)*IF(Upgrades!$T$18="Stellar Kinematics",POWER(Upgrades!$U$18,J117),1)*IF(Upgrades!$T$19="Stellar Kinematics",POWER(Upgrades!$U$19,K117),1)*IF(Upgrades!$T$20="Stellar Kinematics",POWER(Upgrades!$U$20,L117),1)*IF(Upgrades!$T$21="Stellar Kinematics",POWER(Upgrades!$U$21,M117),1))*POWER(Upgrades!$P$13,E117)*POWER(Upgrades!$P$14,F117)*POWER(Upgrades!$P$15,G117)*POWER(Upgrades!$P$16,H117)*POWER(Upgrades!$P$17,I117)*POWER(Upgrades!$P$18,J117)*POWER(Upgrades!$P$19,K117)*POWER(Upgrades!$P$20,L117)*POWER(Upgrades!$P$21,M117)*$F$6*60</f>
        <v/>
      </c>
      <c r="AB117" s="27">
        <f>(IF(F117=0,0,(Upgrades!$G$14+F117*Upgrades!$H$14)*POWER(Upgrades!$I$14,F117)))*(IF(Upgrades!$T$13="Local Bubble",POWER(Upgrades!$U$13,E117),1)*IF(Upgrades!$T$15="Local Bubble",POWER(Upgrades!$U$15,G117),1)*IF(Upgrades!$T$16="Local Bubble",POWER(Upgrades!$U$16,H117),1)*IF(Upgrades!$T$17="Local Bubble",POWER(Upgrades!$U$17,I117),1)*IF(Upgrades!$T$18="Local Bubble",POWER(Upgrades!$U$18,J117),1)*IF(Upgrades!$T$19="Local Bubble",POWER(Upgrades!$U$19,K117),1)*IF(Upgrades!$T$20="Local Bubble",POWER(Upgrades!$U$20,L117),1)*IF(Upgrades!$T$21="Local Bubble",POWER(Upgrades!$U$21,M117),1))*POWER(Upgrades!$P$13,E117)*POWER(Upgrades!$P$14,F117)*POWER(Upgrades!$P$15,G117)*POWER(Upgrades!$P$16,H117)*POWER(Upgrades!$P$17,I117)*POWER(Upgrades!$P$18,J117)*POWER(Upgrades!$P$19,K117)*POWER(Upgrades!$P$20,L117)*POWER(Upgrades!$P$21,M117)*$F$6*60</f>
        <v/>
      </c>
      <c r="AC117" s="27">
        <f>(IF(G117=0,0,(Upgrades!$J$15+G117*Upgrades!$K$15)*POWER(Upgrades!$L$15,G117)))*(IF(Upgrades!$T$13="Microlensing",POWER(Upgrades!$U$13,E117),1)*IF(Upgrades!$T$14="Microlensing",POWER(Upgrades!$U$14,F117),1)*IF(Upgrades!$T$16="Microlensing",POWER(Upgrades!$U$16,H117),1)*IF(Upgrades!$T$17="Microlensing",POWER(Upgrades!$U$17,I117),1)*IF(Upgrades!$T$18="Microlensing",POWER(Upgrades!$U$18,J117),1)*IF(Upgrades!$T$19="Microlensing",POWER(Upgrades!$U$19,K117),1)*IF(Upgrades!$T$20="Microlensing",POWER(Upgrades!$U$20,L117),1)*IF(Upgrades!$T$21="Microlensing",POWER(Upgrades!$U$21,M117),1))*POWER(Upgrades!$Q$13,E117)*POWER(Upgrades!$Q$14,F117)*POWER(Upgrades!$Q$15,G117)*POWER(Upgrades!$Q$16,H117)*POWER(Upgrades!$Q$17,I117)*POWER(Upgrades!$Q$18,J117)*POWER(Upgrades!$Q$19,K117)*POWER(Upgrades!$Q$20,L117)*POWER(Upgrades!$Q$21,M117)*$G$6*(Parameters!$B$10*Parameters!$B$11+Q117*60)</f>
        <v/>
      </c>
      <c r="AD117" s="27">
        <f>(IF(H117=0,0,(Upgrades!$M$16+H117*Upgrades!$N$16)*POWER(Upgrades!$O$16,H117)))*(IF(Upgrades!$T$13="Roche Lobe Overflow",POWER(Upgrades!$U$13,E117),1)*IF(Upgrades!$T$14="Roche Lobe Overflow",POWER(Upgrades!$U$14,F117),1)*IF(Upgrades!$T$15="Roche Lobe Overflow",POWER(Upgrades!$U$15,G117),1)*IF(Upgrades!$T$17="Roche Lobe Overflow",POWER(Upgrades!$U$17,I117),1)*IF(Upgrades!$T$18="Roche Lobe Overflow",POWER(Upgrades!$U$18,J117),1)*IF(Upgrades!$T$19="Roche Lobe Overflow",POWER(Upgrades!$U$19,K117),1)*IF(Upgrades!$T$20="Roche Lobe Overflow",POWER(Upgrades!$U$20,L117),1)*IF(Upgrades!$T$21="Roche Lobe Overflow",POWER(Upgrades!$U$21,M117),1))*POWER(Upgrades!$R$13,E117)*POWER(Upgrades!$R$14,F117)*POWER(Upgrades!$R$15,G117)*POWER(Upgrades!$R$16,H117)*POWER(Upgrades!$R$17,I117)*POWER(Upgrades!$R$18,J117)*POWER(Upgrades!$R$19,K117)*POWER(Upgrades!$R$20,L117)*POWER(Upgrades!$R$21,M117)*$H$6*O117*60</f>
        <v/>
      </c>
      <c r="AE117" s="27">
        <f>(IF(I117=0,0,(Upgrades!$G$17+I117*Upgrades!$H$17)*POWER(Upgrades!$I$17,I117)))*(IF(Upgrades!$T$13="Brown Dwarf",POWER(Upgrades!$U$13,E117),1)*IF(Upgrades!$T$14="Brown Dwarf",POWER(Upgrades!$U$14,F117),1)*IF(Upgrades!$T$15="Brown Dwarf",POWER(Upgrades!$U$15,G117),1)*IF(Upgrades!$T$16="Brown Dwarf",POWER(Upgrades!$U$16,H117),1)*IF(Upgrades!$T$18="Brown Dwarf",POWER(Upgrades!$U$18,J117),1)*IF(Upgrades!$T$19="Brown Dwarf",POWER(Upgrades!$U$19,K117),1)*IF(Upgrades!$T$20="Brown Dwarf",POWER(Upgrades!$U$20,L117),1)*IF(Upgrades!$T$21="Brown Dwarf",POWER(Upgrades!$U$21,M117),1))*POWER(Upgrades!$P$13,E117)*POWER(Upgrades!$P$14,F117)*POWER(Upgrades!$P$15,G117)*POWER(Upgrades!$P$16,H117)*POWER(Upgrades!$P$17,I117)*POWER(Upgrades!$P$18,J117)*POWER(Upgrades!$P$19,K117)*POWER(Upgrades!$P$20,L117)*POWER(Upgrades!$P$21,M117)*$F$6*60</f>
        <v/>
      </c>
      <c r="AF117" s="27" t="n">
        <v>0</v>
      </c>
      <c r="AG117" s="27" t="n">
        <v>0</v>
      </c>
      <c r="AH117" s="27" t="n">
        <v>0</v>
      </c>
      <c r="AI117" s="27">
        <f>(IF(M117=0,0,(Upgrades!$G$21+M117*Upgrades!$H$21)*POWER(Upgrades!$I$21,M117)))*(IF(Upgrades!$T$13="Moving Group",POWER(Upgrades!$U$13,E117),1)*IF(Upgrades!$T$14="Moving Group",POWER(Upgrades!$U$14,F117),1)*IF(Upgrades!$T$15="Moving Group",POWER(Upgrades!$U$15,G117),1)*IF(Upgrades!$T$16="Moving Group",POWER(Upgrades!$U$16,H117),1)*IF(Upgrades!$T$17="Moving Group",POWER(Upgrades!$U$17,I117),1)*IF(Upgrades!$T$18="Moving Group",POWER(Upgrades!$U$18,J117),1)*IF(Upgrades!$T$19="Moving Group",POWER(Upgrades!$U$19,K117),1)*IF(Upgrades!$T$20="Moving Group",POWER(Upgrades!$U$20,L117),1))*POWER(Upgrades!$P$13,E117)*POWER(Upgrades!$P$14,F117)*POWER(Upgrades!$P$15,G117)*POWER(Upgrades!$P$16,H117)*POWER(Upgrades!$P$17,I117)*POWER(Upgrades!$P$18,J117)*POWER(Upgrades!$P$19,K117)*POWER(Upgrades!$P$20,L117)*POWER(Upgrades!$P$21,M117)*$F$6*60</f>
        <v/>
      </c>
      <c r="AJ117" s="27">
        <f>$C$6*60</f>
        <v/>
      </c>
      <c r="AK117" s="22">
        <f>IF(E117&gt;=Upgrades!$E$13,"",Upgrades!$C$13*POWER(Upgrades!$D$13,E117))</f>
        <v/>
      </c>
      <c r="AL117" s="22">
        <f>IF(F117&gt;=Upgrades!$E$14,"",Upgrades!$C$14*POWER(Upgrades!$D$14,F117))</f>
        <v/>
      </c>
      <c r="AM117" s="22">
        <f>IF(G117&gt;=Upgrades!$E$15,"",Upgrades!$C$15*POWER(Upgrades!$D$15,G117))</f>
        <v/>
      </c>
      <c r="AN117" s="22">
        <f>IF(H117&gt;=Upgrades!$E$16,"",Upgrades!$C$16*POWER(Upgrades!$D$16,H117))</f>
        <v/>
      </c>
      <c r="AO117" s="22">
        <f>IF(I117&gt;=Upgrades!$E$17,"",Upgrades!$C$17*POWER(Upgrades!$D$17,I117))</f>
        <v/>
      </c>
      <c r="AP117" s="22">
        <f>IF(J117&gt;=Upgrades!$E$18,"",Upgrades!$C$18*POWER(Upgrades!$D$18,J117))</f>
        <v/>
      </c>
      <c r="AQ117" s="22">
        <f>IF(K117&gt;=Upgrades!$E$19,"",Upgrades!$C$19*POWER(Upgrades!$D$19,K117))</f>
        <v/>
      </c>
      <c r="AR117" s="22">
        <f>IF(L117&gt;=Upgrades!$E$20,"",Upgrades!$C$20*POWER(Upgrades!$D$20,L117))</f>
        <v/>
      </c>
      <c r="AS117" s="22">
        <f>IF(M117&gt;=Upgrades!$E$21,"",Upgrades!$C$21*POWER(Upgrades!$D$21,M117))</f>
        <v/>
      </c>
      <c r="AT117" s="26">
        <f>IF(AND(D117&gt;=Parameters!$B$18*Parameters!$B$19,(I117&gt;=Upgrades!$E$17)*(M117&gt;=Upgrades!$E$21)=1,N117=0),1,"")</f>
        <v/>
      </c>
      <c r="AU117" s="26">
        <f>IF(AND(D117&gt;=Parameters!$B$18*Parameters!$B$19,N117=0),1,"")</f>
        <v/>
      </c>
      <c r="AV117" s="22">
        <f>MIN(IF(ISNUMBER(AP117),AP117,9E15),IF(ISNUMBER(AQ117),AQ117,9E15),IF(ISNUMBER(AR117),AR117,9E15),IF(ISNUMBER(AS117),AS117,9E15))</f>
        <v/>
      </c>
      <c r="AW117" s="22">
        <f>MIN(IF(ISNUMBER(AK117),AK117,9E15),IF(ISNUMBER(AL117),AL117,9E15),IF(ISNUMBER(AM117),AM117,9E15),IF(ISNUMBER(AN117),AN117,9E15),IF(ISNUMBER(AO117),AO117,9E15))</f>
        <v/>
      </c>
      <c r="AX117" s="29">
        <f>IF(BD117&gt;Parameters!$B$21*(MAX(IF(AND(NOT(AND(AU117=1,AT117&lt;&gt;1)),ISNUMBER(AK117),AK117&lt;=(C117+T117)),AY117,0),IF(AND(NOT(AND(AU117=1,AT117&lt;&gt;1)),ISNUMBER(AL117),AL117&lt;=(C117+T117)),AZ117,0),IF(AND(NOT(AND(AU117=1,AT117&lt;&gt;1)),ISNUMBER(AM117),AM117&lt;=(C117+T117)),BA117,0),IF(AND(NOT(AND(AU117=1,AT117&lt;&gt;1)),ISNUMBER(AN117),AN117&lt;=(C117+T117)),BB117,0),IF(AND(ISNUMBER(AO117),AO117&lt;=(C117+T117)),BC117,0))),TRUE,FALSE)</f>
        <v/>
      </c>
      <c r="AY117" s="32">
        <f>IFERROR(Upgrades!$H$13*(POWER(Upgrades!$P$13,E117)*POWER(Upgrades!$P$14,F117)*POWER(Upgrades!$P$15,G117)*POWER(Upgrades!$P$16,H117)*POWER(Upgrades!$P$17,I117)*POWER(Upgrades!$P$18,J117)*POWER(Upgrades!$P$19,K117)*POWER(Upgrades!$P$20,L117)*POWER(Upgrades!$P$21,M117))*(IF(Upgrades!$T$14="Stellar Kinematics",POWER(Upgrades!$U$14,F117),1)*IF(Upgrades!$T$15="Stellar Kinematics",POWER(Upgrades!$U$15,G117),1)*IF(Upgrades!$T$16="Stellar Kinematics",POWER(Upgrades!$U$16,H117),1)*IF(Upgrades!$T$17="Stellar Kinematics",POWER(Upgrades!$U$17,I117),1)*IF(Upgrades!$T$18="Stellar Kinematics",POWER(Upgrades!$U$18,J117),1)*IF(Upgrades!$T$19="Stellar Kinematics",POWER(Upgrades!$U$19,K117),1)*IF(Upgrades!$T$20="Stellar Kinematics",POWER(Upgrades!$U$20,L117),1)*IF(Upgrades!$T$21="Stellar Kinematics",POWER(Upgrades!$U$21,M117),1))*$F$6/AK117,0)</f>
        <v/>
      </c>
      <c r="AZ117" s="32">
        <f>IFERROR(Upgrades!$H$14*(POWER(Upgrades!$P$13,E117)*POWER(Upgrades!$P$14,F117)*POWER(Upgrades!$P$15,G117)*POWER(Upgrades!$P$16,H117)*POWER(Upgrades!$P$17,I117)*POWER(Upgrades!$P$18,J117)*POWER(Upgrades!$P$19,K117)*POWER(Upgrades!$P$20,L117)*POWER(Upgrades!$P$21,M117))*(IF(Upgrades!$T$13="Local Bubble",POWER(Upgrades!$U$13,E117),1)*IF(Upgrades!$T$15="Local Bubble",POWER(Upgrades!$U$15,G117),1)*IF(Upgrades!$T$16="Local Bubble",POWER(Upgrades!$U$16,H117),1)*IF(Upgrades!$T$17="Local Bubble",POWER(Upgrades!$U$17,I117),1)*IF(Upgrades!$T$18="Local Bubble",POWER(Upgrades!$U$18,J117),1)*IF(Upgrades!$T$19="Local Bubble",POWER(Upgrades!$U$19,K117),1)*IF(Upgrades!$T$20="Local Bubble",POWER(Upgrades!$U$20,L117),1)*IF(Upgrades!$T$21="Local Bubble",POWER(Upgrades!$U$21,M117),1))*$F$6/AL117,0)</f>
        <v/>
      </c>
      <c r="BA117" s="32">
        <f>IFERROR(Upgrades!$K$15*(POWER(Upgrades!$Q$13,E117)*POWER(Upgrades!$Q$14,F117)*POWER(Upgrades!$Q$15,G117)*POWER(Upgrades!$Q$16,H117)*POWER(Upgrades!$Q$17,I117)*POWER(Upgrades!$Q$18,J117)*POWER(Upgrades!$Q$19,K117)*POWER(Upgrades!$Q$20,L117)*POWER(Upgrades!$Q$21,M117))*(IF(Upgrades!$T$13="Microlensing",POWER(Upgrades!$U$13,E117),1)*IF(Upgrades!$T$14="Microlensing",POWER(Upgrades!$U$14,F117),1)*IF(Upgrades!$T$16="Microlensing",POWER(Upgrades!$U$16,H117),1)*IF(Upgrades!$T$17="Microlensing",POWER(Upgrades!$U$17,I117),1)*IF(Upgrades!$T$18="Microlensing",POWER(Upgrades!$U$18,J117),1)*IF(Upgrades!$T$19="Microlensing",POWER(Upgrades!$U$19,K117),1)*IF(Upgrades!$T$20="Microlensing",POWER(Upgrades!$U$20,L117),1)*IF(Upgrades!$T$21="Microlensing",POWER(Upgrades!$U$21,M117),1))*$G$6*(Parameters!$B$10/60*Parameters!$B$11+Q117)/AM117,0)</f>
        <v/>
      </c>
      <c r="BB117" s="32">
        <f>IFERROR((Upgrades!$N$16*(POWER(Upgrades!$R$13,E117)*POWER(Upgrades!$R$14,F117)*POWER(Upgrades!$R$15,G117)*POWER(Upgrades!$R$16,H117)*POWER(Upgrades!$R$17,I117)*POWER(Upgrades!$R$18,J117)*POWER(Upgrades!$R$19,K117)*POWER(Upgrades!$R$20,L117)*POWER(Upgrades!$R$21,M117))*(IF(Upgrades!$T$13="Roche Lobe Overflow",POWER(Upgrades!$U$13,E117),1)*IF(Upgrades!$T$14="Roche Lobe Overflow",POWER(Upgrades!$U$14,F117),1)*IF(Upgrades!$T$15="Roche Lobe Overflow",POWER(Upgrades!$U$15,G117),1)*IF(Upgrades!$T$17="Roche Lobe Overflow",POWER(Upgrades!$U$17,I117),1)*IF(Upgrades!$T$18="Roche Lobe Overflow",POWER(Upgrades!$U$18,J117),1)*IF(Upgrades!$T$19="Roche Lobe Overflow",POWER(Upgrades!$U$19,K117),1)*IF(Upgrades!$T$20="Roche Lobe Overflow",POWER(Upgrades!$U$20,L117),1)*IF(Upgrades!$T$21="Roche Lobe Overflow",POWER(Upgrades!$U$21,M117),1))*$H$6*O117+((IF(F117=0,0,(Upgrades!$G$14+F117*Upgrades!$H$14)*POWER(Upgrades!$I$14,F117)))*(IF(Upgrades!$T$13="Local Bubble",POWER(Upgrades!$U$13,E117),1)*IF(Upgrades!$T$15="Local Bubble",POWER(Upgrades!$U$15,G117),1)*IF(Upgrades!$T$16="Local Bubble",POWER(Upgrades!$U$16,H117),1)*IF(Upgrades!$T$17="Local Bubble",POWER(Upgrades!$U$17,I117),1)*IF(Upgrades!$T$18="Local Bubble",POWER(Upgrades!$U$18,J117),1)*IF(Upgrades!$T$19="Local Bubble",POWER(Upgrades!$U$19,K117),1)*IF(Upgrades!$T$20="Local Bubble",POWER(Upgrades!$U$20,L117),1)*IF(Upgrades!$T$21="Local Bubble",POWER(Upgrades!$U$21,M117),1))*POWER(Upgrades!$P$13,E117)*POWER(Upgrades!$P$14,F117)*POWER(Upgrades!$P$15,G117)*POWER(Upgrades!$P$16,H117)*POWER(Upgrades!$P$17,I117)*POWER(Upgrades!$P$18,J117)*POWER(Upgrades!$P$19,K117)*POWER(Upgrades!$P$20,L117)*POWER(Upgrades!$P$21,M117)*$F$6)*0.05)/AN117,0)</f>
        <v/>
      </c>
      <c r="BC117" s="32">
        <f>IFERROR((Upgrades!$H$17*(POWER(Upgrades!$P$13,E117)*POWER(Upgrades!$P$14,F117)*POWER(Upgrades!$P$15,G117)*POWER(Upgrades!$P$16,H117)*POWER(Upgrades!$P$17,I117)*POWER(Upgrades!$P$18,J117)*POWER(Upgrades!$P$19,K117)*POWER(Upgrades!$P$20,L117)*POWER(Upgrades!$P$21,M117))*(IF(Upgrades!$T$13="Brown Dwarf",POWER(Upgrades!$U$13,E117),1)*IF(Upgrades!$T$14="Brown Dwarf",POWER(Upgrades!$U$14,F117),1)*IF(Upgrades!$T$15="Brown Dwarf",POWER(Upgrades!$U$15,G117),1)*IF(Upgrades!$T$16="Brown Dwarf",POWER(Upgrades!$U$16,H117),1)*IF(Upgrades!$T$18="Brown Dwarf",POWER(Upgrades!$U$18,J117),1)*IF(Upgrades!$T$19="Brown Dwarf",POWER(Upgrades!$U$19,K117),1)*IF(Upgrades!$T$20="Brown Dwarf",POWER(Upgrades!$U$20,L117),1)*IF(Upgrades!$T$21="Brown Dwarf",POWER(Upgrades!$U$21,M117),1))*$F$6+(((IF(H117=0,0,(Upgrades!$M$16+H117*Upgrades!$N$16)*POWER(Upgrades!$O$16,H117)))*(IF(Upgrades!$T$13="Roche Lobe Overflow",POWER(Upgrades!$U$13,E117),1)*IF(Upgrades!$T$14="Roche Lobe Overflow",POWER(Upgrades!$U$14,F117),1)*IF(Upgrades!$T$15="Roche Lobe Overflow",POWER(Upgrades!$U$15,G117),1)*IF(Upgrades!$T$17="Roche Lobe Overflow",POWER(Upgrades!$U$17,I117),1)*IF(Upgrades!$T$18="Roche Lobe Overflow",POWER(Upgrades!$U$18,J117),1)*IF(Upgrades!$T$19="Roche Lobe Overflow",POWER(Upgrades!$U$19,K117),1)*IF(Upgrades!$T$20="Roche Lobe Overflow",POWER(Upgrades!$U$20,L117),1)*IF(Upgrades!$T$21="Roche Lobe Overflow",POWER(Upgrades!$U$21,M117),1))*POWER(Upgrades!$R$13,E117)*POWER(Upgrades!$R$14,F117)*POWER(Upgrades!$R$15,G117)*POWER(Upgrades!$R$16,H117)*POWER(Upgrades!$R$17,I117)*POWER(Upgrades!$R$18,J117)*POWER(Upgrades!$R$19,K117)*POWER(Upgrades!$R$20,L117)*POWER(Upgrades!$R$21,M117)*$H$6)*O117)*0.10)/AO117,0)</f>
        <v/>
      </c>
      <c r="BD117" s="32">
        <f>MAX(IF(J117&gt;0,0,IFERROR(0.5*((IF(G117=0,0,(Upgrades!$J$15+G117*Upgrades!$K$15)*POWER(Upgrades!$L$15,G117)))*(IF(Upgrades!$T$13="Microlensing",POWER(Upgrades!$U$13,E117),1)*IF(Upgrades!$T$14="Microlensing",POWER(Upgrades!$U$14,F117),1)*IF(Upgrades!$T$16="Microlensing",POWER(Upgrades!$U$16,H117),1)*IF(Upgrades!$T$17="Microlensing",POWER(Upgrades!$U$17,I117),1)*IF(Upgrades!$T$18="Microlensing",POWER(Upgrades!$U$18,J117),1)*IF(Upgrades!$T$19="Microlensing",POWER(Upgrades!$U$19,K117),1)*IF(Upgrades!$T$20="Microlensing",POWER(Upgrades!$U$20,L117),1)*IF(Upgrades!$T$21="Microlensing",POWER(Upgrades!$U$21,M117),1))*(POWER(Upgrades!$Q$13,E117)*POWER(Upgrades!$Q$14,F117)*POWER(Upgrades!$Q$15,G117)*POWER(Upgrades!$Q$16,H117)*POWER(Upgrades!$Q$17,I117)*POWER(Upgrades!$Q$18,J117)*POWER(Upgrades!$Q$19,K117)*POWER(Upgrades!$Q$20,L117)*POWER(Upgrades!$Q$21,M117))*$G$6*(Parameters!$B$10/60*Parameters!$B$11+Q117))/Upgrades!$C$18,0)),IF(K117&gt;0,0,IFERROR(0.30*P117/Upgrades!$C$19,0)),IF(L117&gt;0,0,IFERROR(0.0001/Upgrades!$C$20,0)),IF(M117&gt;0,0,IFERROR((6.0*(POWER(Upgrades!$P$13,E117)*POWER(Upgrades!$P$14,F117)*POWER(Upgrades!$P$15,G117)*POWER(Upgrades!$P$16,H117)*POWER(Upgrades!$P$17,I117)*POWER(Upgrades!$P$18,J117)*POWER(Upgrades!$P$19,K117)*POWER(Upgrades!$P$20,L117)*POWER(Upgrades!$P$21,M117))*$F$6+0.20*O117*(Parameters!$B$10/60*Parameters!$B$11+Q117))/Upgrades!$C$21,0)),IF(AND(ISNUMBER(AK117),AK117&gt;(C117+T117)),AY117,0),IF(AND(ISNUMBER(AL117),AL117&gt;(C117+T117)),AZ117,0),IF(AND(ISNUMBER(AM117),AM117&gt;(C117+T117)),BA117,0),IF(AND(ISNUMBER(AN117),AN117&gt;(C117+T117)),BB117,0),IF(AND(ISNUMBER(AO117),AO117&gt;(C117+T117)),BC117,0))</f>
        <v/>
      </c>
      <c r="BE117" s="29">
        <f>IF(AT117=1,"transition",IF(MIN(IF(AND(J117=0,ISNUMBER(AP117),AP117&lt;=(C117+T117)),AP117,9E15),IF(AND(K117=0,ISNUMBER(AQ117),AQ117&lt;=(C117+T117)),AQ117,9E15),IF(AND(L117=0,ISNUMBER(AR117),AR117&lt;=(C117+T117)),AR117,9E15),IF(AND(M117=0,ISNUMBER(AS117),AS117&lt;=(C117+T117)),AS117,9E15))&lt;9E15,IF(AND(AND(J117=0,ISNUMBER(AP117),AP117&lt;=(C117+T117)),AP117=MIN(IF(AND(J117=0,ISNUMBER(AP117),AP117&lt;=(C117+T117)),AP117,9E15),IF(AND(K117=0,ISNUMBER(AQ117),AQ117&lt;=(C117+T117)),AQ117,9E15),IF(AND(L117=0,ISNUMBER(AR117),AR117&lt;=(C117+T117)),AR117,9E15),IF(AND(M117=0,ISNUMBER(AS117),AS117&lt;=(C117+T117)),AS117,9E15))),"BiP",IF(AND(AND(K117=0,ISNUMBER(AQ117),AQ117&lt;=(C117+T117)),AQ117=MIN(IF(AND(J117=0,ISNUMBER(AP117),AP117&lt;=(C117+T117)),AP117,9E15),IF(AND(K117=0,ISNUMBER(AQ117),AQ117&lt;=(C117+T117)),AQ117,9E15),IF(AND(L117=0,ISNUMBER(AR117),AR117&lt;=(C117+T117)),AR117,9E15),IF(AND(M117=0,ISNUMBER(AS117),AS117&lt;=(C117+T117)),AS117,9E15))),"PV",IF(AND(AND(L117=0,ISNUMBER(AR117),AR117&lt;=(C117+T117)),AR117=MIN(IF(AND(J117=0,ISNUMBER(AP117),AP117&lt;=(C117+T117)),AP117,9E15),IF(AND(K117=0,ISNUMBER(AQ117),AQ117&lt;=(C117+T117)),AQ117,9E15),IF(AND(L117=0,ISNUMBER(AR117),AR117&lt;=(C117+T117)),AR117,9E15),IF(AND(M117=0,ISNUMBER(AS117),AS117&lt;=(C117+T117)),AS117,9E15))),"OC","MG"))),IF(AX117=TRUE,"",IF(MAX(IF(AND(NOT(AND(AU117=1,AT117&lt;&gt;1)),ISNUMBER(AK117),AK117&lt;=(C117+T117)),AY117,0),IF(AND(NOT(AND(AU117=1,AT117&lt;&gt;1)),ISNUMBER(AL117),AL117&lt;=(C117+T117)),AZ117,0),IF(AND(NOT(AND(AU117=1,AT117&lt;&gt;1)),ISNUMBER(AM117),AM117&lt;=(C117+T117)),BA117,0),IF(AND(NOT(AND(AU117=1,AT117&lt;&gt;1)),ISNUMBER(AN117),AN117&lt;=(C117+T117)),BB117,0),IF(AND(ISNUMBER(AO117),AO117&lt;=(C117+T117)),BC117,0))&lt;=0,"",IF(AND(IF(AND(NOT(AND(AU117=1,AT117&lt;&gt;1)),ISNUMBER(AK117),AK117&lt;=(C117+T117)),AY117,0)&gt;0,IF(AND(NOT(AND(AU117=1,AT117&lt;&gt;1)),ISNUMBER(AK117),AK117&lt;=(C117+T117)),AY117,0)=MAX(IF(AND(NOT(AND(AU117=1,AT117&lt;&gt;1)),ISNUMBER(AK117),AK117&lt;=(C117+T117)),AY117,0),IF(AND(NOT(AND(AU117=1,AT117&lt;&gt;1)),ISNUMBER(AL117),AL117&lt;=(C117+T117)),AZ117,0),IF(AND(NOT(AND(AU117=1,AT117&lt;&gt;1)),ISNUMBER(AM117),AM117&lt;=(C117+T117)),BA117,0),IF(AND(NOT(AND(AU117=1,AT117&lt;&gt;1)),ISNUMBER(AN117),AN117&lt;=(C117+T117)),BB117,0),IF(AND(ISNUMBER(AO117),AO117&lt;=(C117+T117)),BC117,0))),"SK",IF(AND(IF(AND(NOT(AND(AU117=1,AT117&lt;&gt;1)),ISNUMBER(AL117),AL117&lt;=(C117+T117)),AZ117,0)&gt;0,IF(AND(NOT(AND(AU117=1,AT117&lt;&gt;1)),ISNUMBER(AL117),AL117&lt;=(C117+T117)),AZ117,0)=MAX(IF(AND(NOT(AND(AU117=1,AT117&lt;&gt;1)),ISNUMBER(AK117),AK117&lt;=(C117+T117)),AY117,0),IF(AND(NOT(AND(AU117=1,AT117&lt;&gt;1)),ISNUMBER(AL117),AL117&lt;=(C117+T117)),AZ117,0),IF(AND(NOT(AND(AU117=1,AT117&lt;&gt;1)),ISNUMBER(AM117),AM117&lt;=(C117+T117)),BA117,0),IF(AND(NOT(AND(AU117=1,AT117&lt;&gt;1)),ISNUMBER(AN117),AN117&lt;=(C117+T117)),BB117,0),IF(AND(ISNUMBER(AO117),AO117&lt;=(C117+T117)),BC117,0))),"LB",IF(AND(IF(AND(NOT(AND(AU117=1,AT117&lt;&gt;1)),ISNUMBER(AM117),AM117&lt;=(C117+T117)),BA117,0)&gt;0,IF(AND(NOT(AND(AU117=1,AT117&lt;&gt;1)),ISNUMBER(AM117),AM117&lt;=(C117+T117)),BA117,0)=MAX(IF(AND(NOT(AND(AU117=1,AT117&lt;&gt;1)),ISNUMBER(AK117),AK117&lt;=(C117+T117)),AY117,0),IF(AND(NOT(AND(AU117=1,AT117&lt;&gt;1)),ISNUMBER(AL117),AL117&lt;=(C117+T117)),AZ117,0),IF(AND(NOT(AND(AU117=1,AT117&lt;&gt;1)),ISNUMBER(AM117),AM117&lt;=(C117+T117)),BA117,0),IF(AND(NOT(AND(AU117=1,AT117&lt;&gt;1)),ISNUMBER(AN117),AN117&lt;=(C117+T117)),BB117,0),IF(AND(ISNUMBER(AO117),AO117&lt;=(C117+T117)),BC117,0))),"ML",IF(AND(IF(AND(NOT(AND(AU117=1,AT117&lt;&gt;1)),ISNUMBER(AN117),AN117&lt;=(C117+T117)),BB117,0)&gt;0,IF(AND(NOT(AND(AU117=1,AT117&lt;&gt;1)),ISNUMBER(AN117),AN117&lt;=(C117+T117)),BB117,0)=MAX(IF(AND(NOT(AND(AU117=1,AT117&lt;&gt;1)),ISNUMBER(AK117),AK117&lt;=(C117+T117)),AY117,0),IF(AND(NOT(AND(AU117=1,AT117&lt;&gt;1)),ISNUMBER(AL117),AL117&lt;=(C117+T117)),AZ117,0),IF(AND(NOT(AND(AU117=1,AT117&lt;&gt;1)),ISNUMBER(AM117),AM117&lt;=(C117+T117)),BA117,0),IF(AND(NOT(AND(AU117=1,AT117&lt;&gt;1)),ISNUMBER(AN117),AN117&lt;=(C117+T117)),BB117,0),IF(AND(ISNUMBER(AO117),AO117&lt;=(C117+T117)),BC117,0))),"RLO","BD"))))))))</f>
        <v/>
      </c>
    </row>
    <row r="118">
      <c r="A118" s="26" t="n">
        <v>107</v>
      </c>
      <c r="B118" s="27">
        <f>A118*10/60</f>
        <v/>
      </c>
      <c r="C118" s="22">
        <f>X117</f>
        <v/>
      </c>
      <c r="D118" s="27">
        <f>D117+W117</f>
        <v/>
      </c>
      <c r="E118" s="26">
        <f>E117+IF(U117="SK",1,0)</f>
        <v/>
      </c>
      <c r="F118" s="26">
        <f>F117+IF(U117="LB",1,0)</f>
        <v/>
      </c>
      <c r="G118" s="26">
        <f>G117+IF(U117="ML",1,0)</f>
        <v/>
      </c>
      <c r="H118" s="26">
        <f>H117+IF(U117="RLO",1,0)</f>
        <v/>
      </c>
      <c r="I118" s="26">
        <f>I117+IF(U117="BD",1,0)</f>
        <v/>
      </c>
      <c r="J118" s="26">
        <f>MAX(J117,IF(U117="BiP",1,0))</f>
        <v/>
      </c>
      <c r="K118" s="26">
        <f>MAX(K117,IF(U117="PV",1,0))</f>
        <v/>
      </c>
      <c r="L118" s="26">
        <f>MAX(L117,IF(U117="OC",1,0))</f>
        <v/>
      </c>
      <c r="M118" s="26">
        <f>MAX(M117,IF(U117="MG",1,0))</f>
        <v/>
      </c>
      <c r="N118" s="26">
        <f>MAX(N117,IF(U117="transition",1,0))</f>
        <v/>
      </c>
      <c r="O118" s="28">
        <f>(Parameters!$B$9+(IF(E118=0,0,(Upgrades!$J$13+E118*Upgrades!$K$13)*POWER(Upgrades!$L$13,E118)))*(IF(Upgrades!$T$14="Stellar Kinematics",POWER(Upgrades!$U$14,F118),1)*IF(Upgrades!$T$15="Stellar Kinematics",POWER(Upgrades!$U$15,G118),1)*IF(Upgrades!$T$16="Stellar Kinematics",POWER(Upgrades!$U$16,H118),1)*IF(Upgrades!$T$17="Stellar Kinematics",POWER(Upgrades!$U$17,I118),1)*IF(Upgrades!$T$18="Stellar Kinematics",POWER(Upgrades!$U$18,J118),1)*IF(Upgrades!$T$19="Stellar Kinematics",POWER(Upgrades!$U$19,K118),1)*IF(Upgrades!$T$20="Stellar Kinematics",POWER(Upgrades!$U$20,L118),1)*IF(Upgrades!$T$21="Stellar Kinematics",POWER(Upgrades!$U$21,M118),1))+(IF(F118=0,0,(Upgrades!$J$14+F118*Upgrades!$K$14)*POWER(Upgrades!$L$14,F118)))*(IF(Upgrades!$T$13="Local Bubble",POWER(Upgrades!$U$13,E118),1)*IF(Upgrades!$T$15="Local Bubble",POWER(Upgrades!$U$15,G118),1)*IF(Upgrades!$T$16="Local Bubble",POWER(Upgrades!$U$16,H118),1)*IF(Upgrades!$T$17="Local Bubble",POWER(Upgrades!$U$17,I118),1)*IF(Upgrades!$T$18="Local Bubble",POWER(Upgrades!$U$18,J118),1)*IF(Upgrades!$T$19="Local Bubble",POWER(Upgrades!$U$19,K118),1)*IF(Upgrades!$T$20="Local Bubble",POWER(Upgrades!$U$20,L118),1)*IF(Upgrades!$T$21="Local Bubble",POWER(Upgrades!$U$21,M118),1))+(IF(G118=0,0,(Upgrades!$J$15+G118*Upgrades!$K$15)*POWER(Upgrades!$L$15,G118)))*(IF(Upgrades!$T$13="Microlensing",POWER(Upgrades!$U$13,E118),1)*IF(Upgrades!$T$14="Microlensing",POWER(Upgrades!$U$14,F118),1)*IF(Upgrades!$T$16="Microlensing",POWER(Upgrades!$U$16,H118),1)*IF(Upgrades!$T$17="Microlensing",POWER(Upgrades!$U$17,I118),1)*IF(Upgrades!$T$18="Microlensing",POWER(Upgrades!$U$18,J118),1)*IF(Upgrades!$T$19="Microlensing",POWER(Upgrades!$U$19,K118),1)*IF(Upgrades!$T$20="Microlensing",POWER(Upgrades!$U$20,L118),1)*IF(Upgrades!$T$21="Microlensing",POWER(Upgrades!$U$21,M118),1))+(IF(H118=0,0,(Upgrades!$J$16+H118*Upgrades!$K$16)*POWER(Upgrades!$L$16,H118)))*(IF(Upgrades!$T$13="Roche Lobe Overflow",POWER(Upgrades!$U$13,E118),1)*IF(Upgrades!$T$14="Roche Lobe Overflow",POWER(Upgrades!$U$14,F118),1)*IF(Upgrades!$T$15="Roche Lobe Overflow",POWER(Upgrades!$U$15,G118),1)*IF(Upgrades!$T$17="Roche Lobe Overflow",POWER(Upgrades!$U$17,I118),1)*IF(Upgrades!$T$18="Roche Lobe Overflow",POWER(Upgrades!$U$18,J118),1)*IF(Upgrades!$T$19="Roche Lobe Overflow",POWER(Upgrades!$U$19,K118),1)*IF(Upgrades!$T$20="Roche Lobe Overflow",POWER(Upgrades!$U$20,L118),1)*IF(Upgrades!$T$21="Roche Lobe Overflow",POWER(Upgrades!$U$21,M118),1))+(IF(I118=0,0,(Upgrades!$J$17+I118*Upgrades!$K$17)*POWER(Upgrades!$L$17,I118)))*(IF(Upgrades!$T$13="Brown Dwarf",POWER(Upgrades!$U$13,E118),1)*IF(Upgrades!$T$14="Brown Dwarf",POWER(Upgrades!$U$14,F118),1)*IF(Upgrades!$T$15="Brown Dwarf",POWER(Upgrades!$U$15,G118),1)*IF(Upgrades!$T$16="Brown Dwarf",POWER(Upgrades!$U$16,H118),1)*IF(Upgrades!$T$18="Brown Dwarf",POWER(Upgrades!$U$18,J118),1)*IF(Upgrades!$T$19="Brown Dwarf",POWER(Upgrades!$U$19,K118),1)*IF(Upgrades!$T$20="Brown Dwarf",POWER(Upgrades!$U$20,L118),1)*IF(Upgrades!$T$21="Brown Dwarf",POWER(Upgrades!$U$21,M118),1))+(IF(J118=0,0,(Upgrades!$J$18+J118*Upgrades!$K$18)*POWER(Upgrades!$L$18,J118)))*(IF(Upgrades!$T$13="Binary Partner",POWER(Upgrades!$U$13,E118),1)*IF(Upgrades!$T$14="Binary Partner",POWER(Upgrades!$U$14,F118),1)*IF(Upgrades!$T$15="Binary Partner",POWER(Upgrades!$U$15,G118),1)*IF(Upgrades!$T$16="Binary Partner",POWER(Upgrades!$U$16,H118),1)*IF(Upgrades!$T$17="Binary Partner",POWER(Upgrades!$U$17,I118),1)*IF(Upgrades!$T$19="Binary Partner",POWER(Upgrades!$U$19,K118),1)*IF(Upgrades!$T$20="Binary Partner",POWER(Upgrades!$U$20,L118),1)*IF(Upgrades!$T$21="Binary Partner",POWER(Upgrades!$U$21,M118),1))+(IF(K118=0,0,(Upgrades!$J$19+K118*Upgrades!$K$19)*POWER(Upgrades!$L$19,K118)))*(IF(Upgrades!$T$13="Peculiar Velocity",POWER(Upgrades!$U$13,E118),1)*IF(Upgrades!$T$14="Peculiar Velocity",POWER(Upgrades!$U$14,F118),1)*IF(Upgrades!$T$15="Peculiar Velocity",POWER(Upgrades!$U$15,G118),1)*IF(Upgrades!$T$16="Peculiar Velocity",POWER(Upgrades!$U$16,H118),1)*IF(Upgrades!$T$17="Peculiar Velocity",POWER(Upgrades!$U$17,I118),1)*IF(Upgrades!$T$18="Peculiar Velocity",POWER(Upgrades!$U$18,J118),1)*IF(Upgrades!$T$20="Peculiar Velocity",POWER(Upgrades!$U$20,L118),1)*IF(Upgrades!$T$21="Peculiar Velocity",POWER(Upgrades!$U$21,M118),1))+(IF(L118=0,0,(Upgrades!$J$20+L118*Upgrades!$K$20)*POWER(Upgrades!$L$20,L118)))*(IF(Upgrades!$T$13="Open Cluster",POWER(Upgrades!$U$13,E118),1)*IF(Upgrades!$T$14="Open Cluster",POWER(Upgrades!$U$14,F118),1)*IF(Upgrades!$T$15="Open Cluster",POWER(Upgrades!$U$15,G118),1)*IF(Upgrades!$T$16="Open Cluster",POWER(Upgrades!$U$16,H118),1)*IF(Upgrades!$T$17="Open Cluster",POWER(Upgrades!$U$17,I118),1)*IF(Upgrades!$T$18="Open Cluster",POWER(Upgrades!$U$18,J118),1)*IF(Upgrades!$T$19="Open Cluster",POWER(Upgrades!$U$19,K118),1)*IF(Upgrades!$T$21="Open Cluster",POWER(Upgrades!$U$21,M118),1))+(IF(M118=0,0,(Upgrades!$J$21+M118*Upgrades!$K$21)*POWER(Upgrades!$L$21,M118)))*(IF(Upgrades!$T$13="Moving Group",POWER(Upgrades!$U$13,E118),1)*IF(Upgrades!$T$14="Moving Group",POWER(Upgrades!$U$14,F118),1)*IF(Upgrades!$T$15="Moving Group",POWER(Upgrades!$U$15,G118),1)*IF(Upgrades!$T$16="Moving Group",POWER(Upgrades!$U$16,H118),1)*IF(Upgrades!$T$17="Moving Group",POWER(Upgrades!$U$17,I118),1)*IF(Upgrades!$T$18="Moving Group",POWER(Upgrades!$U$18,J118),1)*IF(Upgrades!$T$19="Moving Group",POWER(Upgrades!$U$19,K118),1)*IF(Upgrades!$T$20="Moving Group",POWER(Upgrades!$U$20,L118),1)))*POWER(Upgrades!$Q$13,E118)*POWER(Upgrades!$Q$14,F118)*POWER(Upgrades!$Q$15,G118)*POWER(Upgrades!$Q$16,H118)*POWER(Upgrades!$Q$17,I118)*POWER(Upgrades!$Q$18,J118)*POWER(Upgrades!$Q$19,K118)*POWER(Upgrades!$Q$20,L118)*POWER(Upgrades!$Q$21,M118)*$G$6+$D$6</f>
        <v/>
      </c>
      <c r="P118" s="28">
        <f>((IF(E118=0,0,(Upgrades!$G$13+E118*Upgrades!$H$13)*POWER(Upgrades!$I$13,E118)))*(IF(Upgrades!$T$14="Stellar Kinematics",POWER(Upgrades!$U$14,F118),1)*IF(Upgrades!$T$15="Stellar Kinematics",POWER(Upgrades!$U$15,G118),1)*IF(Upgrades!$T$16="Stellar Kinematics",POWER(Upgrades!$U$16,H118),1)*IF(Upgrades!$T$17="Stellar Kinematics",POWER(Upgrades!$U$17,I118),1)*IF(Upgrades!$T$18="Stellar Kinematics",POWER(Upgrades!$U$18,J118),1)*IF(Upgrades!$T$19="Stellar Kinematics",POWER(Upgrades!$U$19,K118),1)*IF(Upgrades!$T$20="Stellar Kinematics",POWER(Upgrades!$U$20,L118),1)*IF(Upgrades!$T$21="Stellar Kinematics",POWER(Upgrades!$U$21,M118),1))+(IF(F118=0,0,(Upgrades!$G$14+F118*Upgrades!$H$14)*POWER(Upgrades!$I$14,F118)))*(IF(Upgrades!$T$13="Local Bubble",POWER(Upgrades!$U$13,E118),1)*IF(Upgrades!$T$15="Local Bubble",POWER(Upgrades!$U$15,G118),1)*IF(Upgrades!$T$16="Local Bubble",POWER(Upgrades!$U$16,H118),1)*IF(Upgrades!$T$17="Local Bubble",POWER(Upgrades!$U$17,I118),1)*IF(Upgrades!$T$18="Local Bubble",POWER(Upgrades!$U$18,J118),1)*IF(Upgrades!$T$19="Local Bubble",POWER(Upgrades!$U$19,K118),1)*IF(Upgrades!$T$20="Local Bubble",POWER(Upgrades!$U$20,L118),1)*IF(Upgrades!$T$21="Local Bubble",POWER(Upgrades!$U$21,M118),1))+(IF(G118=0,0,(Upgrades!$G$15+G118*Upgrades!$H$15)*POWER(Upgrades!$I$15,G118)))*(IF(Upgrades!$T$13="Microlensing",POWER(Upgrades!$U$13,E118),1)*IF(Upgrades!$T$14="Microlensing",POWER(Upgrades!$U$14,F118),1)*IF(Upgrades!$T$16="Microlensing",POWER(Upgrades!$U$16,H118),1)*IF(Upgrades!$T$17="Microlensing",POWER(Upgrades!$U$17,I118),1)*IF(Upgrades!$T$18="Microlensing",POWER(Upgrades!$U$18,J118),1)*IF(Upgrades!$T$19="Microlensing",POWER(Upgrades!$U$19,K118),1)*IF(Upgrades!$T$20="Microlensing",POWER(Upgrades!$U$20,L118),1)*IF(Upgrades!$T$21="Microlensing",POWER(Upgrades!$U$21,M118),1))+(IF(H118=0,0,(Upgrades!$G$16+H118*Upgrades!$H$16)*POWER(Upgrades!$I$16,H118)))*(IF(Upgrades!$T$13="Roche Lobe Overflow",POWER(Upgrades!$U$13,E118),1)*IF(Upgrades!$T$14="Roche Lobe Overflow",POWER(Upgrades!$U$14,F118),1)*IF(Upgrades!$T$15="Roche Lobe Overflow",POWER(Upgrades!$U$15,G118),1)*IF(Upgrades!$T$17="Roche Lobe Overflow",POWER(Upgrades!$U$17,I118),1)*IF(Upgrades!$T$18="Roche Lobe Overflow",POWER(Upgrades!$U$18,J118),1)*IF(Upgrades!$T$19="Roche Lobe Overflow",POWER(Upgrades!$U$19,K118),1)*IF(Upgrades!$T$20="Roche Lobe Overflow",POWER(Upgrades!$U$20,L118),1)*IF(Upgrades!$T$21="Roche Lobe Overflow",POWER(Upgrades!$U$21,M118),1))+(IF(I118=0,0,(Upgrades!$G$17+I118*Upgrades!$H$17)*POWER(Upgrades!$I$17,I118)))*(IF(Upgrades!$T$13="Brown Dwarf",POWER(Upgrades!$U$13,E118),1)*IF(Upgrades!$T$14="Brown Dwarf",POWER(Upgrades!$U$14,F118),1)*IF(Upgrades!$T$15="Brown Dwarf",POWER(Upgrades!$U$15,G118),1)*IF(Upgrades!$T$16="Brown Dwarf",POWER(Upgrades!$U$16,H118),1)*IF(Upgrades!$T$18="Brown Dwarf",POWER(Upgrades!$U$18,J118),1)*IF(Upgrades!$T$19="Brown Dwarf",POWER(Upgrades!$U$19,K118),1)*IF(Upgrades!$T$20="Brown Dwarf",POWER(Upgrades!$U$20,L118),1)*IF(Upgrades!$T$21="Brown Dwarf",POWER(Upgrades!$U$21,M118),1))+(IF(J118=0,0,(Upgrades!$G$18+J118*Upgrades!$H$18)*POWER(Upgrades!$I$18,J118)))*(IF(Upgrades!$T$13="Binary Partner",POWER(Upgrades!$U$13,E118),1)*IF(Upgrades!$T$14="Binary Partner",POWER(Upgrades!$U$14,F118),1)*IF(Upgrades!$T$15="Binary Partner",POWER(Upgrades!$U$15,G118),1)*IF(Upgrades!$T$16="Binary Partner",POWER(Upgrades!$U$16,H118),1)*IF(Upgrades!$T$17="Binary Partner",POWER(Upgrades!$U$17,I118),1)*IF(Upgrades!$T$19="Binary Partner",POWER(Upgrades!$U$19,K118),1)*IF(Upgrades!$T$20="Binary Partner",POWER(Upgrades!$U$20,L118),1)*IF(Upgrades!$T$21="Binary Partner",POWER(Upgrades!$U$21,M118),1))+(IF(K118=0,0,(Upgrades!$G$19+K118*Upgrades!$H$19)*POWER(Upgrades!$I$19,K118)))*(IF(Upgrades!$T$13="Peculiar Velocity",POWER(Upgrades!$U$13,E118),1)*IF(Upgrades!$T$14="Peculiar Velocity",POWER(Upgrades!$U$14,F118),1)*IF(Upgrades!$T$15="Peculiar Velocity",POWER(Upgrades!$U$15,G118),1)*IF(Upgrades!$T$16="Peculiar Velocity",POWER(Upgrades!$U$16,H118),1)*IF(Upgrades!$T$17="Peculiar Velocity",POWER(Upgrades!$U$17,I118),1)*IF(Upgrades!$T$18="Peculiar Velocity",POWER(Upgrades!$U$18,J118),1)*IF(Upgrades!$T$20="Peculiar Velocity",POWER(Upgrades!$U$20,L118),1)*IF(Upgrades!$T$21="Peculiar Velocity",POWER(Upgrades!$U$21,M118),1))+(IF(L118=0,0,(Upgrades!$G$20+L118*Upgrades!$H$20)*POWER(Upgrades!$I$20,L118)))*(IF(Upgrades!$T$13="Open Cluster",POWER(Upgrades!$U$13,E118),1)*IF(Upgrades!$T$14="Open Cluster",POWER(Upgrades!$U$14,F118),1)*IF(Upgrades!$T$15="Open Cluster",POWER(Upgrades!$U$15,G118),1)*IF(Upgrades!$T$16="Open Cluster",POWER(Upgrades!$U$16,H118),1)*IF(Upgrades!$T$17="Open Cluster",POWER(Upgrades!$U$17,I118),1)*IF(Upgrades!$T$18="Open Cluster",POWER(Upgrades!$U$18,J118),1)*IF(Upgrades!$T$19="Open Cluster",POWER(Upgrades!$U$19,K118),1)*IF(Upgrades!$T$21="Open Cluster",POWER(Upgrades!$U$21,M118),1))+(IF(M118=0,0,(Upgrades!$G$21+M118*Upgrades!$H$21)*POWER(Upgrades!$I$21,M118)))*(IF(Upgrades!$T$13="Moving Group",POWER(Upgrades!$U$13,E118),1)*IF(Upgrades!$T$14="Moving Group",POWER(Upgrades!$U$14,F118),1)*IF(Upgrades!$T$15="Moving Group",POWER(Upgrades!$U$15,G118),1)*IF(Upgrades!$T$16="Moving Group",POWER(Upgrades!$U$16,H118),1)*IF(Upgrades!$T$17="Moving Group",POWER(Upgrades!$U$17,I118),1)*IF(Upgrades!$T$18="Moving Group",POWER(Upgrades!$U$18,J118),1)*IF(Upgrades!$T$19="Moving Group",POWER(Upgrades!$U$19,K118),1)*IF(Upgrades!$T$20="Moving Group",POWER(Upgrades!$U$20,L118),1)))*POWER(Upgrades!$P$13,E118)*POWER(Upgrades!$P$14,F118)*POWER(Upgrades!$P$15,G118)*POWER(Upgrades!$P$16,H118)*POWER(Upgrades!$P$17,I118)*POWER(Upgrades!$P$18,J118)*POWER(Upgrades!$P$19,K118)*POWER(Upgrades!$P$20,L118)*POWER(Upgrades!$P$21,M118)*$F$6+$C$6</f>
        <v/>
      </c>
      <c r="Q118" s="28">
        <f>((IF(E118=0,0,(Upgrades!$M$13+E118*Upgrades!$N$13)*POWER(Upgrades!$O$13,E118)))*(IF(Upgrades!$T$14="Stellar Kinematics",POWER(Upgrades!$U$14,F118),1)*IF(Upgrades!$T$15="Stellar Kinematics",POWER(Upgrades!$U$15,G118),1)*IF(Upgrades!$T$16="Stellar Kinematics",POWER(Upgrades!$U$16,H118),1)*IF(Upgrades!$T$17="Stellar Kinematics",POWER(Upgrades!$U$17,I118),1)*IF(Upgrades!$T$18="Stellar Kinematics",POWER(Upgrades!$U$18,J118),1)*IF(Upgrades!$T$19="Stellar Kinematics",POWER(Upgrades!$U$19,K118),1)*IF(Upgrades!$T$20="Stellar Kinematics",POWER(Upgrades!$U$20,L118),1)*IF(Upgrades!$T$21="Stellar Kinematics",POWER(Upgrades!$U$21,M118),1))+(IF(F118=0,0,(Upgrades!$M$14+F118*Upgrades!$N$14)*POWER(Upgrades!$O$14,F118)))*(IF(Upgrades!$T$13="Local Bubble",POWER(Upgrades!$U$13,E118),1)*IF(Upgrades!$T$15="Local Bubble",POWER(Upgrades!$U$15,G118),1)*IF(Upgrades!$T$16="Local Bubble",POWER(Upgrades!$U$16,H118),1)*IF(Upgrades!$T$17="Local Bubble",POWER(Upgrades!$U$17,I118),1)*IF(Upgrades!$T$18="Local Bubble",POWER(Upgrades!$U$18,J118),1)*IF(Upgrades!$T$19="Local Bubble",POWER(Upgrades!$U$19,K118),1)*IF(Upgrades!$T$20="Local Bubble",POWER(Upgrades!$U$20,L118),1)*IF(Upgrades!$T$21="Local Bubble",POWER(Upgrades!$U$21,M118),1))+(IF(G118=0,0,(Upgrades!$M$15+G118*Upgrades!$N$15)*POWER(Upgrades!$O$15,G118)))*(IF(Upgrades!$T$13="Microlensing",POWER(Upgrades!$U$13,E118),1)*IF(Upgrades!$T$14="Microlensing",POWER(Upgrades!$U$14,F118),1)*IF(Upgrades!$T$16="Microlensing",POWER(Upgrades!$U$16,H118),1)*IF(Upgrades!$T$17="Microlensing",POWER(Upgrades!$U$17,I118),1)*IF(Upgrades!$T$18="Microlensing",POWER(Upgrades!$U$18,J118),1)*IF(Upgrades!$T$19="Microlensing",POWER(Upgrades!$U$19,K118),1)*IF(Upgrades!$T$20="Microlensing",POWER(Upgrades!$U$20,L118),1)*IF(Upgrades!$T$21="Microlensing",POWER(Upgrades!$U$21,M118),1))+(IF(H118=0,0,(Upgrades!$M$16+H118*Upgrades!$N$16)*POWER(Upgrades!$O$16,H118)))*(IF(Upgrades!$T$13="Roche Lobe Overflow",POWER(Upgrades!$U$13,E118),1)*IF(Upgrades!$T$14="Roche Lobe Overflow",POWER(Upgrades!$U$14,F118),1)*IF(Upgrades!$T$15="Roche Lobe Overflow",POWER(Upgrades!$U$15,G118),1)*IF(Upgrades!$T$17="Roche Lobe Overflow",POWER(Upgrades!$U$17,I118),1)*IF(Upgrades!$T$18="Roche Lobe Overflow",POWER(Upgrades!$U$18,J118),1)*IF(Upgrades!$T$19="Roche Lobe Overflow",POWER(Upgrades!$U$19,K118),1)*IF(Upgrades!$T$20="Roche Lobe Overflow",POWER(Upgrades!$U$20,L118),1)*IF(Upgrades!$T$21="Roche Lobe Overflow",POWER(Upgrades!$U$21,M118),1))+(IF(I118=0,0,(Upgrades!$M$17+I118*Upgrades!$N$17)*POWER(Upgrades!$O$17,I118)))*(IF(Upgrades!$T$13="Brown Dwarf",POWER(Upgrades!$U$13,E118),1)*IF(Upgrades!$T$14="Brown Dwarf",POWER(Upgrades!$U$14,F118),1)*IF(Upgrades!$T$15="Brown Dwarf",POWER(Upgrades!$U$15,G118),1)*IF(Upgrades!$T$16="Brown Dwarf",POWER(Upgrades!$U$16,H118),1)*IF(Upgrades!$T$18="Brown Dwarf",POWER(Upgrades!$U$18,J118),1)*IF(Upgrades!$T$19="Brown Dwarf",POWER(Upgrades!$U$19,K118),1)*IF(Upgrades!$T$20="Brown Dwarf",POWER(Upgrades!$U$20,L118),1)*IF(Upgrades!$T$21="Brown Dwarf",POWER(Upgrades!$U$21,M118),1))+(IF(J118=0,0,(Upgrades!$M$18+J118*Upgrades!$N$18)*POWER(Upgrades!$O$18,J118)))*(IF(Upgrades!$T$13="Binary Partner",POWER(Upgrades!$U$13,E118),1)*IF(Upgrades!$T$14="Binary Partner",POWER(Upgrades!$U$14,F118),1)*IF(Upgrades!$T$15="Binary Partner",POWER(Upgrades!$U$15,G118),1)*IF(Upgrades!$T$16="Binary Partner",POWER(Upgrades!$U$16,H118),1)*IF(Upgrades!$T$17="Binary Partner",POWER(Upgrades!$U$17,I118),1)*IF(Upgrades!$T$19="Binary Partner",POWER(Upgrades!$U$19,K118),1)*IF(Upgrades!$T$20="Binary Partner",POWER(Upgrades!$U$20,L118),1)*IF(Upgrades!$T$21="Binary Partner",POWER(Upgrades!$U$21,M118),1))+(IF(K118=0,0,(Upgrades!$M$19+K118*Upgrades!$N$19)*POWER(Upgrades!$O$19,K118)))*(IF(Upgrades!$T$13="Peculiar Velocity",POWER(Upgrades!$U$13,E118),1)*IF(Upgrades!$T$14="Peculiar Velocity",POWER(Upgrades!$U$14,F118),1)*IF(Upgrades!$T$15="Peculiar Velocity",POWER(Upgrades!$U$15,G118),1)*IF(Upgrades!$T$16="Peculiar Velocity",POWER(Upgrades!$U$16,H118),1)*IF(Upgrades!$T$17="Peculiar Velocity",POWER(Upgrades!$U$17,I118),1)*IF(Upgrades!$T$18="Peculiar Velocity",POWER(Upgrades!$U$18,J118),1)*IF(Upgrades!$T$20="Peculiar Velocity",POWER(Upgrades!$U$20,L118),1)*IF(Upgrades!$T$21="Peculiar Velocity",POWER(Upgrades!$U$21,M118),1))+(IF(L118=0,0,(Upgrades!$M$20+L118*Upgrades!$N$20)*POWER(Upgrades!$O$20,L118)))*(IF(Upgrades!$T$13="Open Cluster",POWER(Upgrades!$U$13,E118),1)*IF(Upgrades!$T$14="Open Cluster",POWER(Upgrades!$U$14,F118),1)*IF(Upgrades!$T$15="Open Cluster",POWER(Upgrades!$U$15,G118),1)*IF(Upgrades!$T$16="Open Cluster",POWER(Upgrades!$U$16,H118),1)*IF(Upgrades!$T$17="Open Cluster",POWER(Upgrades!$U$17,I118),1)*IF(Upgrades!$T$18="Open Cluster",POWER(Upgrades!$U$18,J118),1)*IF(Upgrades!$T$19="Open Cluster",POWER(Upgrades!$U$19,K118),1)*IF(Upgrades!$T$21="Open Cluster",POWER(Upgrades!$U$21,M118),1))+(IF(M118=0,0,(Upgrades!$M$21+M118*Upgrades!$N$21)*POWER(Upgrades!$O$21,M118)))*(IF(Upgrades!$T$13="Moving Group",POWER(Upgrades!$U$13,E118),1)*IF(Upgrades!$T$14="Moving Group",POWER(Upgrades!$U$14,F118),1)*IF(Upgrades!$T$15="Moving Group",POWER(Upgrades!$U$15,G118),1)*IF(Upgrades!$T$16="Moving Group",POWER(Upgrades!$U$16,H118),1)*IF(Upgrades!$T$17="Moving Group",POWER(Upgrades!$U$17,I118),1)*IF(Upgrades!$T$18="Moving Group",POWER(Upgrades!$U$18,J118),1)*IF(Upgrades!$T$19="Moving Group",POWER(Upgrades!$U$19,K118),1)*IF(Upgrades!$T$20="Moving Group",POWER(Upgrades!$U$20,L118),1)))*POWER(Upgrades!$R$13,E118)*POWER(Upgrades!$R$14,F118)*POWER(Upgrades!$R$15,G118)*POWER(Upgrades!$R$16,H118)*POWER(Upgrades!$R$17,I118)*POWER(Upgrades!$R$18,J118)*POWER(Upgrades!$R$19,K118)*POWER(Upgrades!$R$20,L118)*POWER(Upgrades!$R$21,M118)*$H$6+$E$6</f>
        <v/>
      </c>
      <c r="R118" s="27">
        <f>IF(N118=1,0,O118*Parameters!$B$10/60*Parameters!$B$11*10)</f>
        <v/>
      </c>
      <c r="S118" s="27">
        <f>IF(N118=1,0,Q118*O118*10)</f>
        <v/>
      </c>
      <c r="T118" s="27">
        <f>IF(N118=1,0,R118+S118+P118*10)</f>
        <v/>
      </c>
      <c r="U118" s="33">
        <f>BE118</f>
        <v/>
      </c>
      <c r="V118" s="22">
        <f>IF(U118="",0,IF(U118="transition",0,IF(U118="SK",AK118,IF(U118="LB",AL118,IF(U118="ML",AM118,IF(U118="RLO",AN118,IF(U118="BD",AO118,IF(U118="BiP",AP118,IF(U118="PV",AQ118,IF(U118="OC",AR118,IF(U118="MG",AS118,0))))))))))</f>
        <v/>
      </c>
      <c r="W118" s="27">
        <f>IF(U118="BiP",Upgrades!$F$18,IF(U118="PV",Upgrades!$F$19,IF(U118="OC",Upgrades!$F$20,IF(U118="MG",Upgrades!$F$21,IF(U118="transition",-Parameters!$B$18*Parameters!$B$19,0)))))</f>
        <v/>
      </c>
      <c r="X118" s="22">
        <f>C118+T118-V118</f>
        <v/>
      </c>
      <c r="Y118" s="30">
        <f>O118*Parameters!$B$10/60*Parameters!$B$11+Q118*O118+P118</f>
        <v/>
      </c>
      <c r="Z118" s="34">
        <f>IF(U118="transition","→ Tier 3 (Galactic Arm)",IF(U118="MG","Moving Group — pocket drifts together",IF(U118="OC","Open Cluster acquired",IF(U118="PV","Peculiar Velocity — passive multiplier active",IF(U118="BiP","Binary Partner — pair bond formed",IF(AND(AU118=1,N118=0,AT118&lt;&gt;1),"Cohesion ready (waiting on completionists)","")))))) </f>
        <v/>
      </c>
      <c r="AA118" s="27">
        <f>(IF(E118=0,0,(Upgrades!$G$13+E118*Upgrades!$H$13)*POWER(Upgrades!$I$13,E118)))*(IF(Upgrades!$T$14="Stellar Kinematics",POWER(Upgrades!$U$14,F118),1)*IF(Upgrades!$T$15="Stellar Kinematics",POWER(Upgrades!$U$15,G118),1)*IF(Upgrades!$T$16="Stellar Kinematics",POWER(Upgrades!$U$16,H118),1)*IF(Upgrades!$T$17="Stellar Kinematics",POWER(Upgrades!$U$17,I118),1)*IF(Upgrades!$T$18="Stellar Kinematics",POWER(Upgrades!$U$18,J118),1)*IF(Upgrades!$T$19="Stellar Kinematics",POWER(Upgrades!$U$19,K118),1)*IF(Upgrades!$T$20="Stellar Kinematics",POWER(Upgrades!$U$20,L118),1)*IF(Upgrades!$T$21="Stellar Kinematics",POWER(Upgrades!$U$21,M118),1))*POWER(Upgrades!$P$13,E118)*POWER(Upgrades!$P$14,F118)*POWER(Upgrades!$P$15,G118)*POWER(Upgrades!$P$16,H118)*POWER(Upgrades!$P$17,I118)*POWER(Upgrades!$P$18,J118)*POWER(Upgrades!$P$19,K118)*POWER(Upgrades!$P$20,L118)*POWER(Upgrades!$P$21,M118)*$F$6*60</f>
        <v/>
      </c>
      <c r="AB118" s="27">
        <f>(IF(F118=0,0,(Upgrades!$G$14+F118*Upgrades!$H$14)*POWER(Upgrades!$I$14,F118)))*(IF(Upgrades!$T$13="Local Bubble",POWER(Upgrades!$U$13,E118),1)*IF(Upgrades!$T$15="Local Bubble",POWER(Upgrades!$U$15,G118),1)*IF(Upgrades!$T$16="Local Bubble",POWER(Upgrades!$U$16,H118),1)*IF(Upgrades!$T$17="Local Bubble",POWER(Upgrades!$U$17,I118),1)*IF(Upgrades!$T$18="Local Bubble",POWER(Upgrades!$U$18,J118),1)*IF(Upgrades!$T$19="Local Bubble",POWER(Upgrades!$U$19,K118),1)*IF(Upgrades!$T$20="Local Bubble",POWER(Upgrades!$U$20,L118),1)*IF(Upgrades!$T$21="Local Bubble",POWER(Upgrades!$U$21,M118),1))*POWER(Upgrades!$P$13,E118)*POWER(Upgrades!$P$14,F118)*POWER(Upgrades!$P$15,G118)*POWER(Upgrades!$P$16,H118)*POWER(Upgrades!$P$17,I118)*POWER(Upgrades!$P$18,J118)*POWER(Upgrades!$P$19,K118)*POWER(Upgrades!$P$20,L118)*POWER(Upgrades!$P$21,M118)*$F$6*60</f>
        <v/>
      </c>
      <c r="AC118" s="27">
        <f>(IF(G118=0,0,(Upgrades!$J$15+G118*Upgrades!$K$15)*POWER(Upgrades!$L$15,G118)))*(IF(Upgrades!$T$13="Microlensing",POWER(Upgrades!$U$13,E118),1)*IF(Upgrades!$T$14="Microlensing",POWER(Upgrades!$U$14,F118),1)*IF(Upgrades!$T$16="Microlensing",POWER(Upgrades!$U$16,H118),1)*IF(Upgrades!$T$17="Microlensing",POWER(Upgrades!$U$17,I118),1)*IF(Upgrades!$T$18="Microlensing",POWER(Upgrades!$U$18,J118),1)*IF(Upgrades!$T$19="Microlensing",POWER(Upgrades!$U$19,K118),1)*IF(Upgrades!$T$20="Microlensing",POWER(Upgrades!$U$20,L118),1)*IF(Upgrades!$T$21="Microlensing",POWER(Upgrades!$U$21,M118),1))*POWER(Upgrades!$Q$13,E118)*POWER(Upgrades!$Q$14,F118)*POWER(Upgrades!$Q$15,G118)*POWER(Upgrades!$Q$16,H118)*POWER(Upgrades!$Q$17,I118)*POWER(Upgrades!$Q$18,J118)*POWER(Upgrades!$Q$19,K118)*POWER(Upgrades!$Q$20,L118)*POWER(Upgrades!$Q$21,M118)*$G$6*(Parameters!$B$10*Parameters!$B$11+Q118*60)</f>
        <v/>
      </c>
      <c r="AD118" s="27">
        <f>(IF(H118=0,0,(Upgrades!$M$16+H118*Upgrades!$N$16)*POWER(Upgrades!$O$16,H118)))*(IF(Upgrades!$T$13="Roche Lobe Overflow",POWER(Upgrades!$U$13,E118),1)*IF(Upgrades!$T$14="Roche Lobe Overflow",POWER(Upgrades!$U$14,F118),1)*IF(Upgrades!$T$15="Roche Lobe Overflow",POWER(Upgrades!$U$15,G118),1)*IF(Upgrades!$T$17="Roche Lobe Overflow",POWER(Upgrades!$U$17,I118),1)*IF(Upgrades!$T$18="Roche Lobe Overflow",POWER(Upgrades!$U$18,J118),1)*IF(Upgrades!$T$19="Roche Lobe Overflow",POWER(Upgrades!$U$19,K118),1)*IF(Upgrades!$T$20="Roche Lobe Overflow",POWER(Upgrades!$U$20,L118),1)*IF(Upgrades!$T$21="Roche Lobe Overflow",POWER(Upgrades!$U$21,M118),1))*POWER(Upgrades!$R$13,E118)*POWER(Upgrades!$R$14,F118)*POWER(Upgrades!$R$15,G118)*POWER(Upgrades!$R$16,H118)*POWER(Upgrades!$R$17,I118)*POWER(Upgrades!$R$18,J118)*POWER(Upgrades!$R$19,K118)*POWER(Upgrades!$R$20,L118)*POWER(Upgrades!$R$21,M118)*$H$6*O118*60</f>
        <v/>
      </c>
      <c r="AE118" s="27">
        <f>(IF(I118=0,0,(Upgrades!$G$17+I118*Upgrades!$H$17)*POWER(Upgrades!$I$17,I118)))*(IF(Upgrades!$T$13="Brown Dwarf",POWER(Upgrades!$U$13,E118),1)*IF(Upgrades!$T$14="Brown Dwarf",POWER(Upgrades!$U$14,F118),1)*IF(Upgrades!$T$15="Brown Dwarf",POWER(Upgrades!$U$15,G118),1)*IF(Upgrades!$T$16="Brown Dwarf",POWER(Upgrades!$U$16,H118),1)*IF(Upgrades!$T$18="Brown Dwarf",POWER(Upgrades!$U$18,J118),1)*IF(Upgrades!$T$19="Brown Dwarf",POWER(Upgrades!$U$19,K118),1)*IF(Upgrades!$T$20="Brown Dwarf",POWER(Upgrades!$U$20,L118),1)*IF(Upgrades!$T$21="Brown Dwarf",POWER(Upgrades!$U$21,M118),1))*POWER(Upgrades!$P$13,E118)*POWER(Upgrades!$P$14,F118)*POWER(Upgrades!$P$15,G118)*POWER(Upgrades!$P$16,H118)*POWER(Upgrades!$P$17,I118)*POWER(Upgrades!$P$18,J118)*POWER(Upgrades!$P$19,K118)*POWER(Upgrades!$P$20,L118)*POWER(Upgrades!$P$21,M118)*$F$6*60</f>
        <v/>
      </c>
      <c r="AF118" s="27" t="n">
        <v>0</v>
      </c>
      <c r="AG118" s="27" t="n">
        <v>0</v>
      </c>
      <c r="AH118" s="27" t="n">
        <v>0</v>
      </c>
      <c r="AI118" s="27">
        <f>(IF(M118=0,0,(Upgrades!$G$21+M118*Upgrades!$H$21)*POWER(Upgrades!$I$21,M118)))*(IF(Upgrades!$T$13="Moving Group",POWER(Upgrades!$U$13,E118),1)*IF(Upgrades!$T$14="Moving Group",POWER(Upgrades!$U$14,F118),1)*IF(Upgrades!$T$15="Moving Group",POWER(Upgrades!$U$15,G118),1)*IF(Upgrades!$T$16="Moving Group",POWER(Upgrades!$U$16,H118),1)*IF(Upgrades!$T$17="Moving Group",POWER(Upgrades!$U$17,I118),1)*IF(Upgrades!$T$18="Moving Group",POWER(Upgrades!$U$18,J118),1)*IF(Upgrades!$T$19="Moving Group",POWER(Upgrades!$U$19,K118),1)*IF(Upgrades!$T$20="Moving Group",POWER(Upgrades!$U$20,L118),1))*POWER(Upgrades!$P$13,E118)*POWER(Upgrades!$P$14,F118)*POWER(Upgrades!$P$15,G118)*POWER(Upgrades!$P$16,H118)*POWER(Upgrades!$P$17,I118)*POWER(Upgrades!$P$18,J118)*POWER(Upgrades!$P$19,K118)*POWER(Upgrades!$P$20,L118)*POWER(Upgrades!$P$21,M118)*$F$6*60</f>
        <v/>
      </c>
      <c r="AJ118" s="27">
        <f>$C$6*60</f>
        <v/>
      </c>
      <c r="AK118" s="22">
        <f>IF(E118&gt;=Upgrades!$E$13,"",Upgrades!$C$13*POWER(Upgrades!$D$13,E118))</f>
        <v/>
      </c>
      <c r="AL118" s="22">
        <f>IF(F118&gt;=Upgrades!$E$14,"",Upgrades!$C$14*POWER(Upgrades!$D$14,F118))</f>
        <v/>
      </c>
      <c r="AM118" s="22">
        <f>IF(G118&gt;=Upgrades!$E$15,"",Upgrades!$C$15*POWER(Upgrades!$D$15,G118))</f>
        <v/>
      </c>
      <c r="AN118" s="22">
        <f>IF(H118&gt;=Upgrades!$E$16,"",Upgrades!$C$16*POWER(Upgrades!$D$16,H118))</f>
        <v/>
      </c>
      <c r="AO118" s="22">
        <f>IF(I118&gt;=Upgrades!$E$17,"",Upgrades!$C$17*POWER(Upgrades!$D$17,I118))</f>
        <v/>
      </c>
      <c r="AP118" s="22">
        <f>IF(J118&gt;=Upgrades!$E$18,"",Upgrades!$C$18*POWER(Upgrades!$D$18,J118))</f>
        <v/>
      </c>
      <c r="AQ118" s="22">
        <f>IF(K118&gt;=Upgrades!$E$19,"",Upgrades!$C$19*POWER(Upgrades!$D$19,K118))</f>
        <v/>
      </c>
      <c r="AR118" s="22">
        <f>IF(L118&gt;=Upgrades!$E$20,"",Upgrades!$C$20*POWER(Upgrades!$D$20,L118))</f>
        <v/>
      </c>
      <c r="AS118" s="22">
        <f>IF(M118&gt;=Upgrades!$E$21,"",Upgrades!$C$21*POWER(Upgrades!$D$21,M118))</f>
        <v/>
      </c>
      <c r="AT118" s="26">
        <f>IF(AND(D118&gt;=Parameters!$B$18*Parameters!$B$19,(I118&gt;=Upgrades!$E$17)*(M118&gt;=Upgrades!$E$21)=1,N118=0),1,"")</f>
        <v/>
      </c>
      <c r="AU118" s="26">
        <f>IF(AND(D118&gt;=Parameters!$B$18*Parameters!$B$19,N118=0),1,"")</f>
        <v/>
      </c>
      <c r="AV118" s="22">
        <f>MIN(IF(ISNUMBER(AP118),AP118,9E15),IF(ISNUMBER(AQ118),AQ118,9E15),IF(ISNUMBER(AR118),AR118,9E15),IF(ISNUMBER(AS118),AS118,9E15))</f>
        <v/>
      </c>
      <c r="AW118" s="22">
        <f>MIN(IF(ISNUMBER(AK118),AK118,9E15),IF(ISNUMBER(AL118),AL118,9E15),IF(ISNUMBER(AM118),AM118,9E15),IF(ISNUMBER(AN118),AN118,9E15),IF(ISNUMBER(AO118),AO118,9E15))</f>
        <v/>
      </c>
      <c r="AX118" s="29">
        <f>IF(BD118&gt;Parameters!$B$21*(MAX(IF(AND(NOT(AND(AU118=1,AT118&lt;&gt;1)),ISNUMBER(AK118),AK118&lt;=(C118+T118)),AY118,0),IF(AND(NOT(AND(AU118=1,AT118&lt;&gt;1)),ISNUMBER(AL118),AL118&lt;=(C118+T118)),AZ118,0),IF(AND(NOT(AND(AU118=1,AT118&lt;&gt;1)),ISNUMBER(AM118),AM118&lt;=(C118+T118)),BA118,0),IF(AND(NOT(AND(AU118=1,AT118&lt;&gt;1)),ISNUMBER(AN118),AN118&lt;=(C118+T118)),BB118,0),IF(AND(ISNUMBER(AO118),AO118&lt;=(C118+T118)),BC118,0))),TRUE,FALSE)</f>
        <v/>
      </c>
      <c r="AY118" s="32">
        <f>IFERROR(Upgrades!$H$13*(POWER(Upgrades!$P$13,E118)*POWER(Upgrades!$P$14,F118)*POWER(Upgrades!$P$15,G118)*POWER(Upgrades!$P$16,H118)*POWER(Upgrades!$P$17,I118)*POWER(Upgrades!$P$18,J118)*POWER(Upgrades!$P$19,K118)*POWER(Upgrades!$P$20,L118)*POWER(Upgrades!$P$21,M118))*(IF(Upgrades!$T$14="Stellar Kinematics",POWER(Upgrades!$U$14,F118),1)*IF(Upgrades!$T$15="Stellar Kinematics",POWER(Upgrades!$U$15,G118),1)*IF(Upgrades!$T$16="Stellar Kinematics",POWER(Upgrades!$U$16,H118),1)*IF(Upgrades!$T$17="Stellar Kinematics",POWER(Upgrades!$U$17,I118),1)*IF(Upgrades!$T$18="Stellar Kinematics",POWER(Upgrades!$U$18,J118),1)*IF(Upgrades!$T$19="Stellar Kinematics",POWER(Upgrades!$U$19,K118),1)*IF(Upgrades!$T$20="Stellar Kinematics",POWER(Upgrades!$U$20,L118),1)*IF(Upgrades!$T$21="Stellar Kinematics",POWER(Upgrades!$U$21,M118),1))*$F$6/AK118,0)</f>
        <v/>
      </c>
      <c r="AZ118" s="32">
        <f>IFERROR(Upgrades!$H$14*(POWER(Upgrades!$P$13,E118)*POWER(Upgrades!$P$14,F118)*POWER(Upgrades!$P$15,G118)*POWER(Upgrades!$P$16,H118)*POWER(Upgrades!$P$17,I118)*POWER(Upgrades!$P$18,J118)*POWER(Upgrades!$P$19,K118)*POWER(Upgrades!$P$20,L118)*POWER(Upgrades!$P$21,M118))*(IF(Upgrades!$T$13="Local Bubble",POWER(Upgrades!$U$13,E118),1)*IF(Upgrades!$T$15="Local Bubble",POWER(Upgrades!$U$15,G118),1)*IF(Upgrades!$T$16="Local Bubble",POWER(Upgrades!$U$16,H118),1)*IF(Upgrades!$T$17="Local Bubble",POWER(Upgrades!$U$17,I118),1)*IF(Upgrades!$T$18="Local Bubble",POWER(Upgrades!$U$18,J118),1)*IF(Upgrades!$T$19="Local Bubble",POWER(Upgrades!$U$19,K118),1)*IF(Upgrades!$T$20="Local Bubble",POWER(Upgrades!$U$20,L118),1)*IF(Upgrades!$T$21="Local Bubble",POWER(Upgrades!$U$21,M118),1))*$F$6/AL118,0)</f>
        <v/>
      </c>
      <c r="BA118" s="32">
        <f>IFERROR(Upgrades!$K$15*(POWER(Upgrades!$Q$13,E118)*POWER(Upgrades!$Q$14,F118)*POWER(Upgrades!$Q$15,G118)*POWER(Upgrades!$Q$16,H118)*POWER(Upgrades!$Q$17,I118)*POWER(Upgrades!$Q$18,J118)*POWER(Upgrades!$Q$19,K118)*POWER(Upgrades!$Q$20,L118)*POWER(Upgrades!$Q$21,M118))*(IF(Upgrades!$T$13="Microlensing",POWER(Upgrades!$U$13,E118),1)*IF(Upgrades!$T$14="Microlensing",POWER(Upgrades!$U$14,F118),1)*IF(Upgrades!$T$16="Microlensing",POWER(Upgrades!$U$16,H118),1)*IF(Upgrades!$T$17="Microlensing",POWER(Upgrades!$U$17,I118),1)*IF(Upgrades!$T$18="Microlensing",POWER(Upgrades!$U$18,J118),1)*IF(Upgrades!$T$19="Microlensing",POWER(Upgrades!$U$19,K118),1)*IF(Upgrades!$T$20="Microlensing",POWER(Upgrades!$U$20,L118),1)*IF(Upgrades!$T$21="Microlensing",POWER(Upgrades!$U$21,M118),1))*$G$6*(Parameters!$B$10/60*Parameters!$B$11+Q118)/AM118,0)</f>
        <v/>
      </c>
      <c r="BB118" s="32">
        <f>IFERROR((Upgrades!$N$16*(POWER(Upgrades!$R$13,E118)*POWER(Upgrades!$R$14,F118)*POWER(Upgrades!$R$15,G118)*POWER(Upgrades!$R$16,H118)*POWER(Upgrades!$R$17,I118)*POWER(Upgrades!$R$18,J118)*POWER(Upgrades!$R$19,K118)*POWER(Upgrades!$R$20,L118)*POWER(Upgrades!$R$21,M118))*(IF(Upgrades!$T$13="Roche Lobe Overflow",POWER(Upgrades!$U$13,E118),1)*IF(Upgrades!$T$14="Roche Lobe Overflow",POWER(Upgrades!$U$14,F118),1)*IF(Upgrades!$T$15="Roche Lobe Overflow",POWER(Upgrades!$U$15,G118),1)*IF(Upgrades!$T$17="Roche Lobe Overflow",POWER(Upgrades!$U$17,I118),1)*IF(Upgrades!$T$18="Roche Lobe Overflow",POWER(Upgrades!$U$18,J118),1)*IF(Upgrades!$T$19="Roche Lobe Overflow",POWER(Upgrades!$U$19,K118),1)*IF(Upgrades!$T$20="Roche Lobe Overflow",POWER(Upgrades!$U$20,L118),1)*IF(Upgrades!$T$21="Roche Lobe Overflow",POWER(Upgrades!$U$21,M118),1))*$H$6*O118+((IF(F118=0,0,(Upgrades!$G$14+F118*Upgrades!$H$14)*POWER(Upgrades!$I$14,F118)))*(IF(Upgrades!$T$13="Local Bubble",POWER(Upgrades!$U$13,E118),1)*IF(Upgrades!$T$15="Local Bubble",POWER(Upgrades!$U$15,G118),1)*IF(Upgrades!$T$16="Local Bubble",POWER(Upgrades!$U$16,H118),1)*IF(Upgrades!$T$17="Local Bubble",POWER(Upgrades!$U$17,I118),1)*IF(Upgrades!$T$18="Local Bubble",POWER(Upgrades!$U$18,J118),1)*IF(Upgrades!$T$19="Local Bubble",POWER(Upgrades!$U$19,K118),1)*IF(Upgrades!$T$20="Local Bubble",POWER(Upgrades!$U$20,L118),1)*IF(Upgrades!$T$21="Local Bubble",POWER(Upgrades!$U$21,M118),1))*POWER(Upgrades!$P$13,E118)*POWER(Upgrades!$P$14,F118)*POWER(Upgrades!$P$15,G118)*POWER(Upgrades!$P$16,H118)*POWER(Upgrades!$P$17,I118)*POWER(Upgrades!$P$18,J118)*POWER(Upgrades!$P$19,K118)*POWER(Upgrades!$P$20,L118)*POWER(Upgrades!$P$21,M118)*$F$6)*0.05)/AN118,0)</f>
        <v/>
      </c>
      <c r="BC118" s="32">
        <f>IFERROR((Upgrades!$H$17*(POWER(Upgrades!$P$13,E118)*POWER(Upgrades!$P$14,F118)*POWER(Upgrades!$P$15,G118)*POWER(Upgrades!$P$16,H118)*POWER(Upgrades!$P$17,I118)*POWER(Upgrades!$P$18,J118)*POWER(Upgrades!$P$19,K118)*POWER(Upgrades!$P$20,L118)*POWER(Upgrades!$P$21,M118))*(IF(Upgrades!$T$13="Brown Dwarf",POWER(Upgrades!$U$13,E118),1)*IF(Upgrades!$T$14="Brown Dwarf",POWER(Upgrades!$U$14,F118),1)*IF(Upgrades!$T$15="Brown Dwarf",POWER(Upgrades!$U$15,G118),1)*IF(Upgrades!$T$16="Brown Dwarf",POWER(Upgrades!$U$16,H118),1)*IF(Upgrades!$T$18="Brown Dwarf",POWER(Upgrades!$U$18,J118),1)*IF(Upgrades!$T$19="Brown Dwarf",POWER(Upgrades!$U$19,K118),1)*IF(Upgrades!$T$20="Brown Dwarf",POWER(Upgrades!$U$20,L118),1)*IF(Upgrades!$T$21="Brown Dwarf",POWER(Upgrades!$U$21,M118),1))*$F$6+(((IF(H118=0,0,(Upgrades!$M$16+H118*Upgrades!$N$16)*POWER(Upgrades!$O$16,H118)))*(IF(Upgrades!$T$13="Roche Lobe Overflow",POWER(Upgrades!$U$13,E118),1)*IF(Upgrades!$T$14="Roche Lobe Overflow",POWER(Upgrades!$U$14,F118),1)*IF(Upgrades!$T$15="Roche Lobe Overflow",POWER(Upgrades!$U$15,G118),1)*IF(Upgrades!$T$17="Roche Lobe Overflow",POWER(Upgrades!$U$17,I118),1)*IF(Upgrades!$T$18="Roche Lobe Overflow",POWER(Upgrades!$U$18,J118),1)*IF(Upgrades!$T$19="Roche Lobe Overflow",POWER(Upgrades!$U$19,K118),1)*IF(Upgrades!$T$20="Roche Lobe Overflow",POWER(Upgrades!$U$20,L118),1)*IF(Upgrades!$T$21="Roche Lobe Overflow",POWER(Upgrades!$U$21,M118),1))*POWER(Upgrades!$R$13,E118)*POWER(Upgrades!$R$14,F118)*POWER(Upgrades!$R$15,G118)*POWER(Upgrades!$R$16,H118)*POWER(Upgrades!$R$17,I118)*POWER(Upgrades!$R$18,J118)*POWER(Upgrades!$R$19,K118)*POWER(Upgrades!$R$20,L118)*POWER(Upgrades!$R$21,M118)*$H$6)*O118)*0.10)/AO118,0)</f>
        <v/>
      </c>
      <c r="BD118" s="32">
        <f>MAX(IF(J118&gt;0,0,IFERROR(0.5*((IF(G118=0,0,(Upgrades!$J$15+G118*Upgrades!$K$15)*POWER(Upgrades!$L$15,G118)))*(IF(Upgrades!$T$13="Microlensing",POWER(Upgrades!$U$13,E118),1)*IF(Upgrades!$T$14="Microlensing",POWER(Upgrades!$U$14,F118),1)*IF(Upgrades!$T$16="Microlensing",POWER(Upgrades!$U$16,H118),1)*IF(Upgrades!$T$17="Microlensing",POWER(Upgrades!$U$17,I118),1)*IF(Upgrades!$T$18="Microlensing",POWER(Upgrades!$U$18,J118),1)*IF(Upgrades!$T$19="Microlensing",POWER(Upgrades!$U$19,K118),1)*IF(Upgrades!$T$20="Microlensing",POWER(Upgrades!$U$20,L118),1)*IF(Upgrades!$T$21="Microlensing",POWER(Upgrades!$U$21,M118),1))*(POWER(Upgrades!$Q$13,E118)*POWER(Upgrades!$Q$14,F118)*POWER(Upgrades!$Q$15,G118)*POWER(Upgrades!$Q$16,H118)*POWER(Upgrades!$Q$17,I118)*POWER(Upgrades!$Q$18,J118)*POWER(Upgrades!$Q$19,K118)*POWER(Upgrades!$Q$20,L118)*POWER(Upgrades!$Q$21,M118))*$G$6*(Parameters!$B$10/60*Parameters!$B$11+Q118))/Upgrades!$C$18,0)),IF(K118&gt;0,0,IFERROR(0.30*P118/Upgrades!$C$19,0)),IF(L118&gt;0,0,IFERROR(0.0001/Upgrades!$C$20,0)),IF(M118&gt;0,0,IFERROR((6.0*(POWER(Upgrades!$P$13,E118)*POWER(Upgrades!$P$14,F118)*POWER(Upgrades!$P$15,G118)*POWER(Upgrades!$P$16,H118)*POWER(Upgrades!$P$17,I118)*POWER(Upgrades!$P$18,J118)*POWER(Upgrades!$P$19,K118)*POWER(Upgrades!$P$20,L118)*POWER(Upgrades!$P$21,M118))*$F$6+0.20*O118*(Parameters!$B$10/60*Parameters!$B$11+Q118))/Upgrades!$C$21,0)),IF(AND(ISNUMBER(AK118),AK118&gt;(C118+T118)),AY118,0),IF(AND(ISNUMBER(AL118),AL118&gt;(C118+T118)),AZ118,0),IF(AND(ISNUMBER(AM118),AM118&gt;(C118+T118)),BA118,0),IF(AND(ISNUMBER(AN118),AN118&gt;(C118+T118)),BB118,0),IF(AND(ISNUMBER(AO118),AO118&gt;(C118+T118)),BC118,0))</f>
        <v/>
      </c>
      <c r="BE118" s="29">
        <f>IF(AT118=1,"transition",IF(MIN(IF(AND(J118=0,ISNUMBER(AP118),AP118&lt;=(C118+T118)),AP118,9E15),IF(AND(K118=0,ISNUMBER(AQ118),AQ118&lt;=(C118+T118)),AQ118,9E15),IF(AND(L118=0,ISNUMBER(AR118),AR118&lt;=(C118+T118)),AR118,9E15),IF(AND(M118=0,ISNUMBER(AS118),AS118&lt;=(C118+T118)),AS118,9E15))&lt;9E15,IF(AND(AND(J118=0,ISNUMBER(AP118),AP118&lt;=(C118+T118)),AP118=MIN(IF(AND(J118=0,ISNUMBER(AP118),AP118&lt;=(C118+T118)),AP118,9E15),IF(AND(K118=0,ISNUMBER(AQ118),AQ118&lt;=(C118+T118)),AQ118,9E15),IF(AND(L118=0,ISNUMBER(AR118),AR118&lt;=(C118+T118)),AR118,9E15),IF(AND(M118=0,ISNUMBER(AS118),AS118&lt;=(C118+T118)),AS118,9E15))),"BiP",IF(AND(AND(K118=0,ISNUMBER(AQ118),AQ118&lt;=(C118+T118)),AQ118=MIN(IF(AND(J118=0,ISNUMBER(AP118),AP118&lt;=(C118+T118)),AP118,9E15),IF(AND(K118=0,ISNUMBER(AQ118),AQ118&lt;=(C118+T118)),AQ118,9E15),IF(AND(L118=0,ISNUMBER(AR118),AR118&lt;=(C118+T118)),AR118,9E15),IF(AND(M118=0,ISNUMBER(AS118),AS118&lt;=(C118+T118)),AS118,9E15))),"PV",IF(AND(AND(L118=0,ISNUMBER(AR118),AR118&lt;=(C118+T118)),AR118=MIN(IF(AND(J118=0,ISNUMBER(AP118),AP118&lt;=(C118+T118)),AP118,9E15),IF(AND(K118=0,ISNUMBER(AQ118),AQ118&lt;=(C118+T118)),AQ118,9E15),IF(AND(L118=0,ISNUMBER(AR118),AR118&lt;=(C118+T118)),AR118,9E15),IF(AND(M118=0,ISNUMBER(AS118),AS118&lt;=(C118+T118)),AS118,9E15))),"OC","MG"))),IF(AX118=TRUE,"",IF(MAX(IF(AND(NOT(AND(AU118=1,AT118&lt;&gt;1)),ISNUMBER(AK118),AK118&lt;=(C118+T118)),AY118,0),IF(AND(NOT(AND(AU118=1,AT118&lt;&gt;1)),ISNUMBER(AL118),AL118&lt;=(C118+T118)),AZ118,0),IF(AND(NOT(AND(AU118=1,AT118&lt;&gt;1)),ISNUMBER(AM118),AM118&lt;=(C118+T118)),BA118,0),IF(AND(NOT(AND(AU118=1,AT118&lt;&gt;1)),ISNUMBER(AN118),AN118&lt;=(C118+T118)),BB118,0),IF(AND(ISNUMBER(AO118),AO118&lt;=(C118+T118)),BC118,0))&lt;=0,"",IF(AND(IF(AND(NOT(AND(AU118=1,AT118&lt;&gt;1)),ISNUMBER(AK118),AK118&lt;=(C118+T118)),AY118,0)&gt;0,IF(AND(NOT(AND(AU118=1,AT118&lt;&gt;1)),ISNUMBER(AK118),AK118&lt;=(C118+T118)),AY118,0)=MAX(IF(AND(NOT(AND(AU118=1,AT118&lt;&gt;1)),ISNUMBER(AK118),AK118&lt;=(C118+T118)),AY118,0),IF(AND(NOT(AND(AU118=1,AT118&lt;&gt;1)),ISNUMBER(AL118),AL118&lt;=(C118+T118)),AZ118,0),IF(AND(NOT(AND(AU118=1,AT118&lt;&gt;1)),ISNUMBER(AM118),AM118&lt;=(C118+T118)),BA118,0),IF(AND(NOT(AND(AU118=1,AT118&lt;&gt;1)),ISNUMBER(AN118),AN118&lt;=(C118+T118)),BB118,0),IF(AND(ISNUMBER(AO118),AO118&lt;=(C118+T118)),BC118,0))),"SK",IF(AND(IF(AND(NOT(AND(AU118=1,AT118&lt;&gt;1)),ISNUMBER(AL118),AL118&lt;=(C118+T118)),AZ118,0)&gt;0,IF(AND(NOT(AND(AU118=1,AT118&lt;&gt;1)),ISNUMBER(AL118),AL118&lt;=(C118+T118)),AZ118,0)=MAX(IF(AND(NOT(AND(AU118=1,AT118&lt;&gt;1)),ISNUMBER(AK118),AK118&lt;=(C118+T118)),AY118,0),IF(AND(NOT(AND(AU118=1,AT118&lt;&gt;1)),ISNUMBER(AL118),AL118&lt;=(C118+T118)),AZ118,0),IF(AND(NOT(AND(AU118=1,AT118&lt;&gt;1)),ISNUMBER(AM118),AM118&lt;=(C118+T118)),BA118,0),IF(AND(NOT(AND(AU118=1,AT118&lt;&gt;1)),ISNUMBER(AN118),AN118&lt;=(C118+T118)),BB118,0),IF(AND(ISNUMBER(AO118),AO118&lt;=(C118+T118)),BC118,0))),"LB",IF(AND(IF(AND(NOT(AND(AU118=1,AT118&lt;&gt;1)),ISNUMBER(AM118),AM118&lt;=(C118+T118)),BA118,0)&gt;0,IF(AND(NOT(AND(AU118=1,AT118&lt;&gt;1)),ISNUMBER(AM118),AM118&lt;=(C118+T118)),BA118,0)=MAX(IF(AND(NOT(AND(AU118=1,AT118&lt;&gt;1)),ISNUMBER(AK118),AK118&lt;=(C118+T118)),AY118,0),IF(AND(NOT(AND(AU118=1,AT118&lt;&gt;1)),ISNUMBER(AL118),AL118&lt;=(C118+T118)),AZ118,0),IF(AND(NOT(AND(AU118=1,AT118&lt;&gt;1)),ISNUMBER(AM118),AM118&lt;=(C118+T118)),BA118,0),IF(AND(NOT(AND(AU118=1,AT118&lt;&gt;1)),ISNUMBER(AN118),AN118&lt;=(C118+T118)),BB118,0),IF(AND(ISNUMBER(AO118),AO118&lt;=(C118+T118)),BC118,0))),"ML",IF(AND(IF(AND(NOT(AND(AU118=1,AT118&lt;&gt;1)),ISNUMBER(AN118),AN118&lt;=(C118+T118)),BB118,0)&gt;0,IF(AND(NOT(AND(AU118=1,AT118&lt;&gt;1)),ISNUMBER(AN118),AN118&lt;=(C118+T118)),BB118,0)=MAX(IF(AND(NOT(AND(AU118=1,AT118&lt;&gt;1)),ISNUMBER(AK118),AK118&lt;=(C118+T118)),AY118,0),IF(AND(NOT(AND(AU118=1,AT118&lt;&gt;1)),ISNUMBER(AL118),AL118&lt;=(C118+T118)),AZ118,0),IF(AND(NOT(AND(AU118=1,AT118&lt;&gt;1)),ISNUMBER(AM118),AM118&lt;=(C118+T118)),BA118,0),IF(AND(NOT(AND(AU118=1,AT118&lt;&gt;1)),ISNUMBER(AN118),AN118&lt;=(C118+T118)),BB118,0),IF(AND(ISNUMBER(AO118),AO118&lt;=(C118+T118)),BC118,0))),"RLO","BD"))))))))</f>
        <v/>
      </c>
    </row>
    <row r="119">
      <c r="A119" s="26" t="n">
        <v>108</v>
      </c>
      <c r="B119" s="27">
        <f>A119*10/60</f>
        <v/>
      </c>
      <c r="C119" s="22">
        <f>X118</f>
        <v/>
      </c>
      <c r="D119" s="27">
        <f>D118+W118</f>
        <v/>
      </c>
      <c r="E119" s="26">
        <f>E118+IF(U118="SK",1,0)</f>
        <v/>
      </c>
      <c r="F119" s="26">
        <f>F118+IF(U118="LB",1,0)</f>
        <v/>
      </c>
      <c r="G119" s="26">
        <f>G118+IF(U118="ML",1,0)</f>
        <v/>
      </c>
      <c r="H119" s="26">
        <f>H118+IF(U118="RLO",1,0)</f>
        <v/>
      </c>
      <c r="I119" s="26">
        <f>I118+IF(U118="BD",1,0)</f>
        <v/>
      </c>
      <c r="J119" s="26">
        <f>MAX(J118,IF(U118="BiP",1,0))</f>
        <v/>
      </c>
      <c r="K119" s="26">
        <f>MAX(K118,IF(U118="PV",1,0))</f>
        <v/>
      </c>
      <c r="L119" s="26">
        <f>MAX(L118,IF(U118="OC",1,0))</f>
        <v/>
      </c>
      <c r="M119" s="26">
        <f>MAX(M118,IF(U118="MG",1,0))</f>
        <v/>
      </c>
      <c r="N119" s="26">
        <f>MAX(N118,IF(U118="transition",1,0))</f>
        <v/>
      </c>
      <c r="O119" s="28">
        <f>(Parameters!$B$9+(IF(E119=0,0,(Upgrades!$J$13+E119*Upgrades!$K$13)*POWER(Upgrades!$L$13,E119)))*(IF(Upgrades!$T$14="Stellar Kinematics",POWER(Upgrades!$U$14,F119),1)*IF(Upgrades!$T$15="Stellar Kinematics",POWER(Upgrades!$U$15,G119),1)*IF(Upgrades!$T$16="Stellar Kinematics",POWER(Upgrades!$U$16,H119),1)*IF(Upgrades!$T$17="Stellar Kinematics",POWER(Upgrades!$U$17,I119),1)*IF(Upgrades!$T$18="Stellar Kinematics",POWER(Upgrades!$U$18,J119),1)*IF(Upgrades!$T$19="Stellar Kinematics",POWER(Upgrades!$U$19,K119),1)*IF(Upgrades!$T$20="Stellar Kinematics",POWER(Upgrades!$U$20,L119),1)*IF(Upgrades!$T$21="Stellar Kinematics",POWER(Upgrades!$U$21,M119),1))+(IF(F119=0,0,(Upgrades!$J$14+F119*Upgrades!$K$14)*POWER(Upgrades!$L$14,F119)))*(IF(Upgrades!$T$13="Local Bubble",POWER(Upgrades!$U$13,E119),1)*IF(Upgrades!$T$15="Local Bubble",POWER(Upgrades!$U$15,G119),1)*IF(Upgrades!$T$16="Local Bubble",POWER(Upgrades!$U$16,H119),1)*IF(Upgrades!$T$17="Local Bubble",POWER(Upgrades!$U$17,I119),1)*IF(Upgrades!$T$18="Local Bubble",POWER(Upgrades!$U$18,J119),1)*IF(Upgrades!$T$19="Local Bubble",POWER(Upgrades!$U$19,K119),1)*IF(Upgrades!$T$20="Local Bubble",POWER(Upgrades!$U$20,L119),1)*IF(Upgrades!$T$21="Local Bubble",POWER(Upgrades!$U$21,M119),1))+(IF(G119=0,0,(Upgrades!$J$15+G119*Upgrades!$K$15)*POWER(Upgrades!$L$15,G119)))*(IF(Upgrades!$T$13="Microlensing",POWER(Upgrades!$U$13,E119),1)*IF(Upgrades!$T$14="Microlensing",POWER(Upgrades!$U$14,F119),1)*IF(Upgrades!$T$16="Microlensing",POWER(Upgrades!$U$16,H119),1)*IF(Upgrades!$T$17="Microlensing",POWER(Upgrades!$U$17,I119),1)*IF(Upgrades!$T$18="Microlensing",POWER(Upgrades!$U$18,J119),1)*IF(Upgrades!$T$19="Microlensing",POWER(Upgrades!$U$19,K119),1)*IF(Upgrades!$T$20="Microlensing",POWER(Upgrades!$U$20,L119),1)*IF(Upgrades!$T$21="Microlensing",POWER(Upgrades!$U$21,M119),1))+(IF(H119=0,0,(Upgrades!$J$16+H119*Upgrades!$K$16)*POWER(Upgrades!$L$16,H119)))*(IF(Upgrades!$T$13="Roche Lobe Overflow",POWER(Upgrades!$U$13,E119),1)*IF(Upgrades!$T$14="Roche Lobe Overflow",POWER(Upgrades!$U$14,F119),1)*IF(Upgrades!$T$15="Roche Lobe Overflow",POWER(Upgrades!$U$15,G119),1)*IF(Upgrades!$T$17="Roche Lobe Overflow",POWER(Upgrades!$U$17,I119),1)*IF(Upgrades!$T$18="Roche Lobe Overflow",POWER(Upgrades!$U$18,J119),1)*IF(Upgrades!$T$19="Roche Lobe Overflow",POWER(Upgrades!$U$19,K119),1)*IF(Upgrades!$T$20="Roche Lobe Overflow",POWER(Upgrades!$U$20,L119),1)*IF(Upgrades!$T$21="Roche Lobe Overflow",POWER(Upgrades!$U$21,M119),1))+(IF(I119=0,0,(Upgrades!$J$17+I119*Upgrades!$K$17)*POWER(Upgrades!$L$17,I119)))*(IF(Upgrades!$T$13="Brown Dwarf",POWER(Upgrades!$U$13,E119),1)*IF(Upgrades!$T$14="Brown Dwarf",POWER(Upgrades!$U$14,F119),1)*IF(Upgrades!$T$15="Brown Dwarf",POWER(Upgrades!$U$15,G119),1)*IF(Upgrades!$T$16="Brown Dwarf",POWER(Upgrades!$U$16,H119),1)*IF(Upgrades!$T$18="Brown Dwarf",POWER(Upgrades!$U$18,J119),1)*IF(Upgrades!$T$19="Brown Dwarf",POWER(Upgrades!$U$19,K119),1)*IF(Upgrades!$T$20="Brown Dwarf",POWER(Upgrades!$U$20,L119),1)*IF(Upgrades!$T$21="Brown Dwarf",POWER(Upgrades!$U$21,M119),1))+(IF(J119=0,0,(Upgrades!$J$18+J119*Upgrades!$K$18)*POWER(Upgrades!$L$18,J119)))*(IF(Upgrades!$T$13="Binary Partner",POWER(Upgrades!$U$13,E119),1)*IF(Upgrades!$T$14="Binary Partner",POWER(Upgrades!$U$14,F119),1)*IF(Upgrades!$T$15="Binary Partner",POWER(Upgrades!$U$15,G119),1)*IF(Upgrades!$T$16="Binary Partner",POWER(Upgrades!$U$16,H119),1)*IF(Upgrades!$T$17="Binary Partner",POWER(Upgrades!$U$17,I119),1)*IF(Upgrades!$T$19="Binary Partner",POWER(Upgrades!$U$19,K119),1)*IF(Upgrades!$T$20="Binary Partner",POWER(Upgrades!$U$20,L119),1)*IF(Upgrades!$T$21="Binary Partner",POWER(Upgrades!$U$21,M119),1))+(IF(K119=0,0,(Upgrades!$J$19+K119*Upgrades!$K$19)*POWER(Upgrades!$L$19,K119)))*(IF(Upgrades!$T$13="Peculiar Velocity",POWER(Upgrades!$U$13,E119),1)*IF(Upgrades!$T$14="Peculiar Velocity",POWER(Upgrades!$U$14,F119),1)*IF(Upgrades!$T$15="Peculiar Velocity",POWER(Upgrades!$U$15,G119),1)*IF(Upgrades!$T$16="Peculiar Velocity",POWER(Upgrades!$U$16,H119),1)*IF(Upgrades!$T$17="Peculiar Velocity",POWER(Upgrades!$U$17,I119),1)*IF(Upgrades!$T$18="Peculiar Velocity",POWER(Upgrades!$U$18,J119),1)*IF(Upgrades!$T$20="Peculiar Velocity",POWER(Upgrades!$U$20,L119),1)*IF(Upgrades!$T$21="Peculiar Velocity",POWER(Upgrades!$U$21,M119),1))+(IF(L119=0,0,(Upgrades!$J$20+L119*Upgrades!$K$20)*POWER(Upgrades!$L$20,L119)))*(IF(Upgrades!$T$13="Open Cluster",POWER(Upgrades!$U$13,E119),1)*IF(Upgrades!$T$14="Open Cluster",POWER(Upgrades!$U$14,F119),1)*IF(Upgrades!$T$15="Open Cluster",POWER(Upgrades!$U$15,G119),1)*IF(Upgrades!$T$16="Open Cluster",POWER(Upgrades!$U$16,H119),1)*IF(Upgrades!$T$17="Open Cluster",POWER(Upgrades!$U$17,I119),1)*IF(Upgrades!$T$18="Open Cluster",POWER(Upgrades!$U$18,J119),1)*IF(Upgrades!$T$19="Open Cluster",POWER(Upgrades!$U$19,K119),1)*IF(Upgrades!$T$21="Open Cluster",POWER(Upgrades!$U$21,M119),1))+(IF(M119=0,0,(Upgrades!$J$21+M119*Upgrades!$K$21)*POWER(Upgrades!$L$21,M119)))*(IF(Upgrades!$T$13="Moving Group",POWER(Upgrades!$U$13,E119),1)*IF(Upgrades!$T$14="Moving Group",POWER(Upgrades!$U$14,F119),1)*IF(Upgrades!$T$15="Moving Group",POWER(Upgrades!$U$15,G119),1)*IF(Upgrades!$T$16="Moving Group",POWER(Upgrades!$U$16,H119),1)*IF(Upgrades!$T$17="Moving Group",POWER(Upgrades!$U$17,I119),1)*IF(Upgrades!$T$18="Moving Group",POWER(Upgrades!$U$18,J119),1)*IF(Upgrades!$T$19="Moving Group",POWER(Upgrades!$U$19,K119),1)*IF(Upgrades!$T$20="Moving Group",POWER(Upgrades!$U$20,L119),1)))*POWER(Upgrades!$Q$13,E119)*POWER(Upgrades!$Q$14,F119)*POWER(Upgrades!$Q$15,G119)*POWER(Upgrades!$Q$16,H119)*POWER(Upgrades!$Q$17,I119)*POWER(Upgrades!$Q$18,J119)*POWER(Upgrades!$Q$19,K119)*POWER(Upgrades!$Q$20,L119)*POWER(Upgrades!$Q$21,M119)*$G$6+$D$6</f>
        <v/>
      </c>
      <c r="P119" s="28">
        <f>((IF(E119=0,0,(Upgrades!$G$13+E119*Upgrades!$H$13)*POWER(Upgrades!$I$13,E119)))*(IF(Upgrades!$T$14="Stellar Kinematics",POWER(Upgrades!$U$14,F119),1)*IF(Upgrades!$T$15="Stellar Kinematics",POWER(Upgrades!$U$15,G119),1)*IF(Upgrades!$T$16="Stellar Kinematics",POWER(Upgrades!$U$16,H119),1)*IF(Upgrades!$T$17="Stellar Kinematics",POWER(Upgrades!$U$17,I119),1)*IF(Upgrades!$T$18="Stellar Kinematics",POWER(Upgrades!$U$18,J119),1)*IF(Upgrades!$T$19="Stellar Kinematics",POWER(Upgrades!$U$19,K119),1)*IF(Upgrades!$T$20="Stellar Kinematics",POWER(Upgrades!$U$20,L119),1)*IF(Upgrades!$T$21="Stellar Kinematics",POWER(Upgrades!$U$21,M119),1))+(IF(F119=0,0,(Upgrades!$G$14+F119*Upgrades!$H$14)*POWER(Upgrades!$I$14,F119)))*(IF(Upgrades!$T$13="Local Bubble",POWER(Upgrades!$U$13,E119),1)*IF(Upgrades!$T$15="Local Bubble",POWER(Upgrades!$U$15,G119),1)*IF(Upgrades!$T$16="Local Bubble",POWER(Upgrades!$U$16,H119),1)*IF(Upgrades!$T$17="Local Bubble",POWER(Upgrades!$U$17,I119),1)*IF(Upgrades!$T$18="Local Bubble",POWER(Upgrades!$U$18,J119),1)*IF(Upgrades!$T$19="Local Bubble",POWER(Upgrades!$U$19,K119),1)*IF(Upgrades!$T$20="Local Bubble",POWER(Upgrades!$U$20,L119),1)*IF(Upgrades!$T$21="Local Bubble",POWER(Upgrades!$U$21,M119),1))+(IF(G119=0,0,(Upgrades!$G$15+G119*Upgrades!$H$15)*POWER(Upgrades!$I$15,G119)))*(IF(Upgrades!$T$13="Microlensing",POWER(Upgrades!$U$13,E119),1)*IF(Upgrades!$T$14="Microlensing",POWER(Upgrades!$U$14,F119),1)*IF(Upgrades!$T$16="Microlensing",POWER(Upgrades!$U$16,H119),1)*IF(Upgrades!$T$17="Microlensing",POWER(Upgrades!$U$17,I119),1)*IF(Upgrades!$T$18="Microlensing",POWER(Upgrades!$U$18,J119),1)*IF(Upgrades!$T$19="Microlensing",POWER(Upgrades!$U$19,K119),1)*IF(Upgrades!$T$20="Microlensing",POWER(Upgrades!$U$20,L119),1)*IF(Upgrades!$T$21="Microlensing",POWER(Upgrades!$U$21,M119),1))+(IF(H119=0,0,(Upgrades!$G$16+H119*Upgrades!$H$16)*POWER(Upgrades!$I$16,H119)))*(IF(Upgrades!$T$13="Roche Lobe Overflow",POWER(Upgrades!$U$13,E119),1)*IF(Upgrades!$T$14="Roche Lobe Overflow",POWER(Upgrades!$U$14,F119),1)*IF(Upgrades!$T$15="Roche Lobe Overflow",POWER(Upgrades!$U$15,G119),1)*IF(Upgrades!$T$17="Roche Lobe Overflow",POWER(Upgrades!$U$17,I119),1)*IF(Upgrades!$T$18="Roche Lobe Overflow",POWER(Upgrades!$U$18,J119),1)*IF(Upgrades!$T$19="Roche Lobe Overflow",POWER(Upgrades!$U$19,K119),1)*IF(Upgrades!$T$20="Roche Lobe Overflow",POWER(Upgrades!$U$20,L119),1)*IF(Upgrades!$T$21="Roche Lobe Overflow",POWER(Upgrades!$U$21,M119),1))+(IF(I119=0,0,(Upgrades!$G$17+I119*Upgrades!$H$17)*POWER(Upgrades!$I$17,I119)))*(IF(Upgrades!$T$13="Brown Dwarf",POWER(Upgrades!$U$13,E119),1)*IF(Upgrades!$T$14="Brown Dwarf",POWER(Upgrades!$U$14,F119),1)*IF(Upgrades!$T$15="Brown Dwarf",POWER(Upgrades!$U$15,G119),1)*IF(Upgrades!$T$16="Brown Dwarf",POWER(Upgrades!$U$16,H119),1)*IF(Upgrades!$T$18="Brown Dwarf",POWER(Upgrades!$U$18,J119),1)*IF(Upgrades!$T$19="Brown Dwarf",POWER(Upgrades!$U$19,K119),1)*IF(Upgrades!$T$20="Brown Dwarf",POWER(Upgrades!$U$20,L119),1)*IF(Upgrades!$T$21="Brown Dwarf",POWER(Upgrades!$U$21,M119),1))+(IF(J119=0,0,(Upgrades!$G$18+J119*Upgrades!$H$18)*POWER(Upgrades!$I$18,J119)))*(IF(Upgrades!$T$13="Binary Partner",POWER(Upgrades!$U$13,E119),1)*IF(Upgrades!$T$14="Binary Partner",POWER(Upgrades!$U$14,F119),1)*IF(Upgrades!$T$15="Binary Partner",POWER(Upgrades!$U$15,G119),1)*IF(Upgrades!$T$16="Binary Partner",POWER(Upgrades!$U$16,H119),1)*IF(Upgrades!$T$17="Binary Partner",POWER(Upgrades!$U$17,I119),1)*IF(Upgrades!$T$19="Binary Partner",POWER(Upgrades!$U$19,K119),1)*IF(Upgrades!$T$20="Binary Partner",POWER(Upgrades!$U$20,L119),1)*IF(Upgrades!$T$21="Binary Partner",POWER(Upgrades!$U$21,M119),1))+(IF(K119=0,0,(Upgrades!$G$19+K119*Upgrades!$H$19)*POWER(Upgrades!$I$19,K119)))*(IF(Upgrades!$T$13="Peculiar Velocity",POWER(Upgrades!$U$13,E119),1)*IF(Upgrades!$T$14="Peculiar Velocity",POWER(Upgrades!$U$14,F119),1)*IF(Upgrades!$T$15="Peculiar Velocity",POWER(Upgrades!$U$15,G119),1)*IF(Upgrades!$T$16="Peculiar Velocity",POWER(Upgrades!$U$16,H119),1)*IF(Upgrades!$T$17="Peculiar Velocity",POWER(Upgrades!$U$17,I119),1)*IF(Upgrades!$T$18="Peculiar Velocity",POWER(Upgrades!$U$18,J119),1)*IF(Upgrades!$T$20="Peculiar Velocity",POWER(Upgrades!$U$20,L119),1)*IF(Upgrades!$T$21="Peculiar Velocity",POWER(Upgrades!$U$21,M119),1))+(IF(L119=0,0,(Upgrades!$G$20+L119*Upgrades!$H$20)*POWER(Upgrades!$I$20,L119)))*(IF(Upgrades!$T$13="Open Cluster",POWER(Upgrades!$U$13,E119),1)*IF(Upgrades!$T$14="Open Cluster",POWER(Upgrades!$U$14,F119),1)*IF(Upgrades!$T$15="Open Cluster",POWER(Upgrades!$U$15,G119),1)*IF(Upgrades!$T$16="Open Cluster",POWER(Upgrades!$U$16,H119),1)*IF(Upgrades!$T$17="Open Cluster",POWER(Upgrades!$U$17,I119),1)*IF(Upgrades!$T$18="Open Cluster",POWER(Upgrades!$U$18,J119),1)*IF(Upgrades!$T$19="Open Cluster",POWER(Upgrades!$U$19,K119),1)*IF(Upgrades!$T$21="Open Cluster",POWER(Upgrades!$U$21,M119),1))+(IF(M119=0,0,(Upgrades!$G$21+M119*Upgrades!$H$21)*POWER(Upgrades!$I$21,M119)))*(IF(Upgrades!$T$13="Moving Group",POWER(Upgrades!$U$13,E119),1)*IF(Upgrades!$T$14="Moving Group",POWER(Upgrades!$U$14,F119),1)*IF(Upgrades!$T$15="Moving Group",POWER(Upgrades!$U$15,G119),1)*IF(Upgrades!$T$16="Moving Group",POWER(Upgrades!$U$16,H119),1)*IF(Upgrades!$T$17="Moving Group",POWER(Upgrades!$U$17,I119),1)*IF(Upgrades!$T$18="Moving Group",POWER(Upgrades!$U$18,J119),1)*IF(Upgrades!$T$19="Moving Group",POWER(Upgrades!$U$19,K119),1)*IF(Upgrades!$T$20="Moving Group",POWER(Upgrades!$U$20,L119),1)))*POWER(Upgrades!$P$13,E119)*POWER(Upgrades!$P$14,F119)*POWER(Upgrades!$P$15,G119)*POWER(Upgrades!$P$16,H119)*POWER(Upgrades!$P$17,I119)*POWER(Upgrades!$P$18,J119)*POWER(Upgrades!$P$19,K119)*POWER(Upgrades!$P$20,L119)*POWER(Upgrades!$P$21,M119)*$F$6+$C$6</f>
        <v/>
      </c>
      <c r="Q119" s="28">
        <f>((IF(E119=0,0,(Upgrades!$M$13+E119*Upgrades!$N$13)*POWER(Upgrades!$O$13,E119)))*(IF(Upgrades!$T$14="Stellar Kinematics",POWER(Upgrades!$U$14,F119),1)*IF(Upgrades!$T$15="Stellar Kinematics",POWER(Upgrades!$U$15,G119),1)*IF(Upgrades!$T$16="Stellar Kinematics",POWER(Upgrades!$U$16,H119),1)*IF(Upgrades!$T$17="Stellar Kinematics",POWER(Upgrades!$U$17,I119),1)*IF(Upgrades!$T$18="Stellar Kinematics",POWER(Upgrades!$U$18,J119),1)*IF(Upgrades!$T$19="Stellar Kinematics",POWER(Upgrades!$U$19,K119),1)*IF(Upgrades!$T$20="Stellar Kinematics",POWER(Upgrades!$U$20,L119),1)*IF(Upgrades!$T$21="Stellar Kinematics",POWER(Upgrades!$U$21,M119),1))+(IF(F119=0,0,(Upgrades!$M$14+F119*Upgrades!$N$14)*POWER(Upgrades!$O$14,F119)))*(IF(Upgrades!$T$13="Local Bubble",POWER(Upgrades!$U$13,E119),1)*IF(Upgrades!$T$15="Local Bubble",POWER(Upgrades!$U$15,G119),1)*IF(Upgrades!$T$16="Local Bubble",POWER(Upgrades!$U$16,H119),1)*IF(Upgrades!$T$17="Local Bubble",POWER(Upgrades!$U$17,I119),1)*IF(Upgrades!$T$18="Local Bubble",POWER(Upgrades!$U$18,J119),1)*IF(Upgrades!$T$19="Local Bubble",POWER(Upgrades!$U$19,K119),1)*IF(Upgrades!$T$20="Local Bubble",POWER(Upgrades!$U$20,L119),1)*IF(Upgrades!$T$21="Local Bubble",POWER(Upgrades!$U$21,M119),1))+(IF(G119=0,0,(Upgrades!$M$15+G119*Upgrades!$N$15)*POWER(Upgrades!$O$15,G119)))*(IF(Upgrades!$T$13="Microlensing",POWER(Upgrades!$U$13,E119),1)*IF(Upgrades!$T$14="Microlensing",POWER(Upgrades!$U$14,F119),1)*IF(Upgrades!$T$16="Microlensing",POWER(Upgrades!$U$16,H119),1)*IF(Upgrades!$T$17="Microlensing",POWER(Upgrades!$U$17,I119),1)*IF(Upgrades!$T$18="Microlensing",POWER(Upgrades!$U$18,J119),1)*IF(Upgrades!$T$19="Microlensing",POWER(Upgrades!$U$19,K119),1)*IF(Upgrades!$T$20="Microlensing",POWER(Upgrades!$U$20,L119),1)*IF(Upgrades!$T$21="Microlensing",POWER(Upgrades!$U$21,M119),1))+(IF(H119=0,0,(Upgrades!$M$16+H119*Upgrades!$N$16)*POWER(Upgrades!$O$16,H119)))*(IF(Upgrades!$T$13="Roche Lobe Overflow",POWER(Upgrades!$U$13,E119),1)*IF(Upgrades!$T$14="Roche Lobe Overflow",POWER(Upgrades!$U$14,F119),1)*IF(Upgrades!$T$15="Roche Lobe Overflow",POWER(Upgrades!$U$15,G119),1)*IF(Upgrades!$T$17="Roche Lobe Overflow",POWER(Upgrades!$U$17,I119),1)*IF(Upgrades!$T$18="Roche Lobe Overflow",POWER(Upgrades!$U$18,J119),1)*IF(Upgrades!$T$19="Roche Lobe Overflow",POWER(Upgrades!$U$19,K119),1)*IF(Upgrades!$T$20="Roche Lobe Overflow",POWER(Upgrades!$U$20,L119),1)*IF(Upgrades!$T$21="Roche Lobe Overflow",POWER(Upgrades!$U$21,M119),1))+(IF(I119=0,0,(Upgrades!$M$17+I119*Upgrades!$N$17)*POWER(Upgrades!$O$17,I119)))*(IF(Upgrades!$T$13="Brown Dwarf",POWER(Upgrades!$U$13,E119),1)*IF(Upgrades!$T$14="Brown Dwarf",POWER(Upgrades!$U$14,F119),1)*IF(Upgrades!$T$15="Brown Dwarf",POWER(Upgrades!$U$15,G119),1)*IF(Upgrades!$T$16="Brown Dwarf",POWER(Upgrades!$U$16,H119),1)*IF(Upgrades!$T$18="Brown Dwarf",POWER(Upgrades!$U$18,J119),1)*IF(Upgrades!$T$19="Brown Dwarf",POWER(Upgrades!$U$19,K119),1)*IF(Upgrades!$T$20="Brown Dwarf",POWER(Upgrades!$U$20,L119),1)*IF(Upgrades!$T$21="Brown Dwarf",POWER(Upgrades!$U$21,M119),1))+(IF(J119=0,0,(Upgrades!$M$18+J119*Upgrades!$N$18)*POWER(Upgrades!$O$18,J119)))*(IF(Upgrades!$T$13="Binary Partner",POWER(Upgrades!$U$13,E119),1)*IF(Upgrades!$T$14="Binary Partner",POWER(Upgrades!$U$14,F119),1)*IF(Upgrades!$T$15="Binary Partner",POWER(Upgrades!$U$15,G119),1)*IF(Upgrades!$T$16="Binary Partner",POWER(Upgrades!$U$16,H119),1)*IF(Upgrades!$T$17="Binary Partner",POWER(Upgrades!$U$17,I119),1)*IF(Upgrades!$T$19="Binary Partner",POWER(Upgrades!$U$19,K119),1)*IF(Upgrades!$T$20="Binary Partner",POWER(Upgrades!$U$20,L119),1)*IF(Upgrades!$T$21="Binary Partner",POWER(Upgrades!$U$21,M119),1))+(IF(K119=0,0,(Upgrades!$M$19+K119*Upgrades!$N$19)*POWER(Upgrades!$O$19,K119)))*(IF(Upgrades!$T$13="Peculiar Velocity",POWER(Upgrades!$U$13,E119),1)*IF(Upgrades!$T$14="Peculiar Velocity",POWER(Upgrades!$U$14,F119),1)*IF(Upgrades!$T$15="Peculiar Velocity",POWER(Upgrades!$U$15,G119),1)*IF(Upgrades!$T$16="Peculiar Velocity",POWER(Upgrades!$U$16,H119),1)*IF(Upgrades!$T$17="Peculiar Velocity",POWER(Upgrades!$U$17,I119),1)*IF(Upgrades!$T$18="Peculiar Velocity",POWER(Upgrades!$U$18,J119),1)*IF(Upgrades!$T$20="Peculiar Velocity",POWER(Upgrades!$U$20,L119),1)*IF(Upgrades!$T$21="Peculiar Velocity",POWER(Upgrades!$U$21,M119),1))+(IF(L119=0,0,(Upgrades!$M$20+L119*Upgrades!$N$20)*POWER(Upgrades!$O$20,L119)))*(IF(Upgrades!$T$13="Open Cluster",POWER(Upgrades!$U$13,E119),1)*IF(Upgrades!$T$14="Open Cluster",POWER(Upgrades!$U$14,F119),1)*IF(Upgrades!$T$15="Open Cluster",POWER(Upgrades!$U$15,G119),1)*IF(Upgrades!$T$16="Open Cluster",POWER(Upgrades!$U$16,H119),1)*IF(Upgrades!$T$17="Open Cluster",POWER(Upgrades!$U$17,I119),1)*IF(Upgrades!$T$18="Open Cluster",POWER(Upgrades!$U$18,J119),1)*IF(Upgrades!$T$19="Open Cluster",POWER(Upgrades!$U$19,K119),1)*IF(Upgrades!$T$21="Open Cluster",POWER(Upgrades!$U$21,M119),1))+(IF(M119=0,0,(Upgrades!$M$21+M119*Upgrades!$N$21)*POWER(Upgrades!$O$21,M119)))*(IF(Upgrades!$T$13="Moving Group",POWER(Upgrades!$U$13,E119),1)*IF(Upgrades!$T$14="Moving Group",POWER(Upgrades!$U$14,F119),1)*IF(Upgrades!$T$15="Moving Group",POWER(Upgrades!$U$15,G119),1)*IF(Upgrades!$T$16="Moving Group",POWER(Upgrades!$U$16,H119),1)*IF(Upgrades!$T$17="Moving Group",POWER(Upgrades!$U$17,I119),1)*IF(Upgrades!$T$18="Moving Group",POWER(Upgrades!$U$18,J119),1)*IF(Upgrades!$T$19="Moving Group",POWER(Upgrades!$U$19,K119),1)*IF(Upgrades!$T$20="Moving Group",POWER(Upgrades!$U$20,L119),1)))*POWER(Upgrades!$R$13,E119)*POWER(Upgrades!$R$14,F119)*POWER(Upgrades!$R$15,G119)*POWER(Upgrades!$R$16,H119)*POWER(Upgrades!$R$17,I119)*POWER(Upgrades!$R$18,J119)*POWER(Upgrades!$R$19,K119)*POWER(Upgrades!$R$20,L119)*POWER(Upgrades!$R$21,M119)*$H$6+$E$6</f>
        <v/>
      </c>
      <c r="R119" s="27">
        <f>IF(N119=1,0,O119*Parameters!$B$10/60*Parameters!$B$11*10)</f>
        <v/>
      </c>
      <c r="S119" s="27">
        <f>IF(N119=1,0,Q119*O119*10)</f>
        <v/>
      </c>
      <c r="T119" s="27">
        <f>IF(N119=1,0,R119+S119+P119*10)</f>
        <v/>
      </c>
      <c r="U119" s="33">
        <f>BE119</f>
        <v/>
      </c>
      <c r="V119" s="22">
        <f>IF(U119="",0,IF(U119="transition",0,IF(U119="SK",AK119,IF(U119="LB",AL119,IF(U119="ML",AM119,IF(U119="RLO",AN119,IF(U119="BD",AO119,IF(U119="BiP",AP119,IF(U119="PV",AQ119,IF(U119="OC",AR119,IF(U119="MG",AS119,0))))))))))</f>
        <v/>
      </c>
      <c r="W119" s="27">
        <f>IF(U119="BiP",Upgrades!$F$18,IF(U119="PV",Upgrades!$F$19,IF(U119="OC",Upgrades!$F$20,IF(U119="MG",Upgrades!$F$21,IF(U119="transition",-Parameters!$B$18*Parameters!$B$19,0)))))</f>
        <v/>
      </c>
      <c r="X119" s="22">
        <f>C119+T119-V119</f>
        <v/>
      </c>
      <c r="Y119" s="30">
        <f>O119*Parameters!$B$10/60*Parameters!$B$11+Q119*O119+P119</f>
        <v/>
      </c>
      <c r="Z119" s="34">
        <f>IF(U119="transition","→ Tier 3 (Galactic Arm)",IF(U119="MG","Moving Group — pocket drifts together",IF(U119="OC","Open Cluster acquired",IF(U119="PV","Peculiar Velocity — passive multiplier active",IF(U119="BiP","Binary Partner — pair bond formed",IF(AND(AU119=1,N119=0,AT119&lt;&gt;1),"Cohesion ready (waiting on completionists)","")))))) </f>
        <v/>
      </c>
      <c r="AA119" s="27">
        <f>(IF(E119=0,0,(Upgrades!$G$13+E119*Upgrades!$H$13)*POWER(Upgrades!$I$13,E119)))*(IF(Upgrades!$T$14="Stellar Kinematics",POWER(Upgrades!$U$14,F119),1)*IF(Upgrades!$T$15="Stellar Kinematics",POWER(Upgrades!$U$15,G119),1)*IF(Upgrades!$T$16="Stellar Kinematics",POWER(Upgrades!$U$16,H119),1)*IF(Upgrades!$T$17="Stellar Kinematics",POWER(Upgrades!$U$17,I119),1)*IF(Upgrades!$T$18="Stellar Kinematics",POWER(Upgrades!$U$18,J119),1)*IF(Upgrades!$T$19="Stellar Kinematics",POWER(Upgrades!$U$19,K119),1)*IF(Upgrades!$T$20="Stellar Kinematics",POWER(Upgrades!$U$20,L119),1)*IF(Upgrades!$T$21="Stellar Kinematics",POWER(Upgrades!$U$21,M119),1))*POWER(Upgrades!$P$13,E119)*POWER(Upgrades!$P$14,F119)*POWER(Upgrades!$P$15,G119)*POWER(Upgrades!$P$16,H119)*POWER(Upgrades!$P$17,I119)*POWER(Upgrades!$P$18,J119)*POWER(Upgrades!$P$19,K119)*POWER(Upgrades!$P$20,L119)*POWER(Upgrades!$P$21,M119)*$F$6*60</f>
        <v/>
      </c>
      <c r="AB119" s="27">
        <f>(IF(F119=0,0,(Upgrades!$G$14+F119*Upgrades!$H$14)*POWER(Upgrades!$I$14,F119)))*(IF(Upgrades!$T$13="Local Bubble",POWER(Upgrades!$U$13,E119),1)*IF(Upgrades!$T$15="Local Bubble",POWER(Upgrades!$U$15,G119),1)*IF(Upgrades!$T$16="Local Bubble",POWER(Upgrades!$U$16,H119),1)*IF(Upgrades!$T$17="Local Bubble",POWER(Upgrades!$U$17,I119),1)*IF(Upgrades!$T$18="Local Bubble",POWER(Upgrades!$U$18,J119),1)*IF(Upgrades!$T$19="Local Bubble",POWER(Upgrades!$U$19,K119),1)*IF(Upgrades!$T$20="Local Bubble",POWER(Upgrades!$U$20,L119),1)*IF(Upgrades!$T$21="Local Bubble",POWER(Upgrades!$U$21,M119),1))*POWER(Upgrades!$P$13,E119)*POWER(Upgrades!$P$14,F119)*POWER(Upgrades!$P$15,G119)*POWER(Upgrades!$P$16,H119)*POWER(Upgrades!$P$17,I119)*POWER(Upgrades!$P$18,J119)*POWER(Upgrades!$P$19,K119)*POWER(Upgrades!$P$20,L119)*POWER(Upgrades!$P$21,M119)*$F$6*60</f>
        <v/>
      </c>
      <c r="AC119" s="27">
        <f>(IF(G119=0,0,(Upgrades!$J$15+G119*Upgrades!$K$15)*POWER(Upgrades!$L$15,G119)))*(IF(Upgrades!$T$13="Microlensing",POWER(Upgrades!$U$13,E119),1)*IF(Upgrades!$T$14="Microlensing",POWER(Upgrades!$U$14,F119),1)*IF(Upgrades!$T$16="Microlensing",POWER(Upgrades!$U$16,H119),1)*IF(Upgrades!$T$17="Microlensing",POWER(Upgrades!$U$17,I119),1)*IF(Upgrades!$T$18="Microlensing",POWER(Upgrades!$U$18,J119),1)*IF(Upgrades!$T$19="Microlensing",POWER(Upgrades!$U$19,K119),1)*IF(Upgrades!$T$20="Microlensing",POWER(Upgrades!$U$20,L119),1)*IF(Upgrades!$T$21="Microlensing",POWER(Upgrades!$U$21,M119),1))*POWER(Upgrades!$Q$13,E119)*POWER(Upgrades!$Q$14,F119)*POWER(Upgrades!$Q$15,G119)*POWER(Upgrades!$Q$16,H119)*POWER(Upgrades!$Q$17,I119)*POWER(Upgrades!$Q$18,J119)*POWER(Upgrades!$Q$19,K119)*POWER(Upgrades!$Q$20,L119)*POWER(Upgrades!$Q$21,M119)*$G$6*(Parameters!$B$10*Parameters!$B$11+Q119*60)</f>
        <v/>
      </c>
      <c r="AD119" s="27">
        <f>(IF(H119=0,0,(Upgrades!$M$16+H119*Upgrades!$N$16)*POWER(Upgrades!$O$16,H119)))*(IF(Upgrades!$T$13="Roche Lobe Overflow",POWER(Upgrades!$U$13,E119),1)*IF(Upgrades!$T$14="Roche Lobe Overflow",POWER(Upgrades!$U$14,F119),1)*IF(Upgrades!$T$15="Roche Lobe Overflow",POWER(Upgrades!$U$15,G119),1)*IF(Upgrades!$T$17="Roche Lobe Overflow",POWER(Upgrades!$U$17,I119),1)*IF(Upgrades!$T$18="Roche Lobe Overflow",POWER(Upgrades!$U$18,J119),1)*IF(Upgrades!$T$19="Roche Lobe Overflow",POWER(Upgrades!$U$19,K119),1)*IF(Upgrades!$T$20="Roche Lobe Overflow",POWER(Upgrades!$U$20,L119),1)*IF(Upgrades!$T$21="Roche Lobe Overflow",POWER(Upgrades!$U$21,M119),1))*POWER(Upgrades!$R$13,E119)*POWER(Upgrades!$R$14,F119)*POWER(Upgrades!$R$15,G119)*POWER(Upgrades!$R$16,H119)*POWER(Upgrades!$R$17,I119)*POWER(Upgrades!$R$18,J119)*POWER(Upgrades!$R$19,K119)*POWER(Upgrades!$R$20,L119)*POWER(Upgrades!$R$21,M119)*$H$6*O119*60</f>
        <v/>
      </c>
      <c r="AE119" s="27">
        <f>(IF(I119=0,0,(Upgrades!$G$17+I119*Upgrades!$H$17)*POWER(Upgrades!$I$17,I119)))*(IF(Upgrades!$T$13="Brown Dwarf",POWER(Upgrades!$U$13,E119),1)*IF(Upgrades!$T$14="Brown Dwarf",POWER(Upgrades!$U$14,F119),1)*IF(Upgrades!$T$15="Brown Dwarf",POWER(Upgrades!$U$15,G119),1)*IF(Upgrades!$T$16="Brown Dwarf",POWER(Upgrades!$U$16,H119),1)*IF(Upgrades!$T$18="Brown Dwarf",POWER(Upgrades!$U$18,J119),1)*IF(Upgrades!$T$19="Brown Dwarf",POWER(Upgrades!$U$19,K119),1)*IF(Upgrades!$T$20="Brown Dwarf",POWER(Upgrades!$U$20,L119),1)*IF(Upgrades!$T$21="Brown Dwarf",POWER(Upgrades!$U$21,M119),1))*POWER(Upgrades!$P$13,E119)*POWER(Upgrades!$P$14,F119)*POWER(Upgrades!$P$15,G119)*POWER(Upgrades!$P$16,H119)*POWER(Upgrades!$P$17,I119)*POWER(Upgrades!$P$18,J119)*POWER(Upgrades!$P$19,K119)*POWER(Upgrades!$P$20,L119)*POWER(Upgrades!$P$21,M119)*$F$6*60</f>
        <v/>
      </c>
      <c r="AF119" s="27" t="n">
        <v>0</v>
      </c>
      <c r="AG119" s="27" t="n">
        <v>0</v>
      </c>
      <c r="AH119" s="27" t="n">
        <v>0</v>
      </c>
      <c r="AI119" s="27">
        <f>(IF(M119=0,0,(Upgrades!$G$21+M119*Upgrades!$H$21)*POWER(Upgrades!$I$21,M119)))*(IF(Upgrades!$T$13="Moving Group",POWER(Upgrades!$U$13,E119),1)*IF(Upgrades!$T$14="Moving Group",POWER(Upgrades!$U$14,F119),1)*IF(Upgrades!$T$15="Moving Group",POWER(Upgrades!$U$15,G119),1)*IF(Upgrades!$T$16="Moving Group",POWER(Upgrades!$U$16,H119),1)*IF(Upgrades!$T$17="Moving Group",POWER(Upgrades!$U$17,I119),1)*IF(Upgrades!$T$18="Moving Group",POWER(Upgrades!$U$18,J119),1)*IF(Upgrades!$T$19="Moving Group",POWER(Upgrades!$U$19,K119),1)*IF(Upgrades!$T$20="Moving Group",POWER(Upgrades!$U$20,L119),1))*POWER(Upgrades!$P$13,E119)*POWER(Upgrades!$P$14,F119)*POWER(Upgrades!$P$15,G119)*POWER(Upgrades!$P$16,H119)*POWER(Upgrades!$P$17,I119)*POWER(Upgrades!$P$18,J119)*POWER(Upgrades!$P$19,K119)*POWER(Upgrades!$P$20,L119)*POWER(Upgrades!$P$21,M119)*$F$6*60</f>
        <v/>
      </c>
      <c r="AJ119" s="27">
        <f>$C$6*60</f>
        <v/>
      </c>
      <c r="AK119" s="22">
        <f>IF(E119&gt;=Upgrades!$E$13,"",Upgrades!$C$13*POWER(Upgrades!$D$13,E119))</f>
        <v/>
      </c>
      <c r="AL119" s="22">
        <f>IF(F119&gt;=Upgrades!$E$14,"",Upgrades!$C$14*POWER(Upgrades!$D$14,F119))</f>
        <v/>
      </c>
      <c r="AM119" s="22">
        <f>IF(G119&gt;=Upgrades!$E$15,"",Upgrades!$C$15*POWER(Upgrades!$D$15,G119))</f>
        <v/>
      </c>
      <c r="AN119" s="22">
        <f>IF(H119&gt;=Upgrades!$E$16,"",Upgrades!$C$16*POWER(Upgrades!$D$16,H119))</f>
        <v/>
      </c>
      <c r="AO119" s="22">
        <f>IF(I119&gt;=Upgrades!$E$17,"",Upgrades!$C$17*POWER(Upgrades!$D$17,I119))</f>
        <v/>
      </c>
      <c r="AP119" s="22">
        <f>IF(J119&gt;=Upgrades!$E$18,"",Upgrades!$C$18*POWER(Upgrades!$D$18,J119))</f>
        <v/>
      </c>
      <c r="AQ119" s="22">
        <f>IF(K119&gt;=Upgrades!$E$19,"",Upgrades!$C$19*POWER(Upgrades!$D$19,K119))</f>
        <v/>
      </c>
      <c r="AR119" s="22">
        <f>IF(L119&gt;=Upgrades!$E$20,"",Upgrades!$C$20*POWER(Upgrades!$D$20,L119))</f>
        <v/>
      </c>
      <c r="AS119" s="22">
        <f>IF(M119&gt;=Upgrades!$E$21,"",Upgrades!$C$21*POWER(Upgrades!$D$21,M119))</f>
        <v/>
      </c>
      <c r="AT119" s="26">
        <f>IF(AND(D119&gt;=Parameters!$B$18*Parameters!$B$19,(I119&gt;=Upgrades!$E$17)*(M119&gt;=Upgrades!$E$21)=1,N119=0),1,"")</f>
        <v/>
      </c>
      <c r="AU119" s="26">
        <f>IF(AND(D119&gt;=Parameters!$B$18*Parameters!$B$19,N119=0),1,"")</f>
        <v/>
      </c>
      <c r="AV119" s="22">
        <f>MIN(IF(ISNUMBER(AP119),AP119,9E15),IF(ISNUMBER(AQ119),AQ119,9E15),IF(ISNUMBER(AR119),AR119,9E15),IF(ISNUMBER(AS119),AS119,9E15))</f>
        <v/>
      </c>
      <c r="AW119" s="22">
        <f>MIN(IF(ISNUMBER(AK119),AK119,9E15),IF(ISNUMBER(AL119),AL119,9E15),IF(ISNUMBER(AM119),AM119,9E15),IF(ISNUMBER(AN119),AN119,9E15),IF(ISNUMBER(AO119),AO119,9E15))</f>
        <v/>
      </c>
      <c r="AX119" s="29">
        <f>IF(BD119&gt;Parameters!$B$21*(MAX(IF(AND(NOT(AND(AU119=1,AT119&lt;&gt;1)),ISNUMBER(AK119),AK119&lt;=(C119+T119)),AY119,0),IF(AND(NOT(AND(AU119=1,AT119&lt;&gt;1)),ISNUMBER(AL119),AL119&lt;=(C119+T119)),AZ119,0),IF(AND(NOT(AND(AU119=1,AT119&lt;&gt;1)),ISNUMBER(AM119),AM119&lt;=(C119+T119)),BA119,0),IF(AND(NOT(AND(AU119=1,AT119&lt;&gt;1)),ISNUMBER(AN119),AN119&lt;=(C119+T119)),BB119,0),IF(AND(ISNUMBER(AO119),AO119&lt;=(C119+T119)),BC119,0))),TRUE,FALSE)</f>
        <v/>
      </c>
      <c r="AY119" s="32">
        <f>IFERROR(Upgrades!$H$13*(POWER(Upgrades!$P$13,E119)*POWER(Upgrades!$P$14,F119)*POWER(Upgrades!$P$15,G119)*POWER(Upgrades!$P$16,H119)*POWER(Upgrades!$P$17,I119)*POWER(Upgrades!$P$18,J119)*POWER(Upgrades!$P$19,K119)*POWER(Upgrades!$P$20,L119)*POWER(Upgrades!$P$21,M119))*(IF(Upgrades!$T$14="Stellar Kinematics",POWER(Upgrades!$U$14,F119),1)*IF(Upgrades!$T$15="Stellar Kinematics",POWER(Upgrades!$U$15,G119),1)*IF(Upgrades!$T$16="Stellar Kinematics",POWER(Upgrades!$U$16,H119),1)*IF(Upgrades!$T$17="Stellar Kinematics",POWER(Upgrades!$U$17,I119),1)*IF(Upgrades!$T$18="Stellar Kinematics",POWER(Upgrades!$U$18,J119),1)*IF(Upgrades!$T$19="Stellar Kinematics",POWER(Upgrades!$U$19,K119),1)*IF(Upgrades!$T$20="Stellar Kinematics",POWER(Upgrades!$U$20,L119),1)*IF(Upgrades!$T$21="Stellar Kinematics",POWER(Upgrades!$U$21,M119),1))*$F$6/AK119,0)</f>
        <v/>
      </c>
      <c r="AZ119" s="32">
        <f>IFERROR(Upgrades!$H$14*(POWER(Upgrades!$P$13,E119)*POWER(Upgrades!$P$14,F119)*POWER(Upgrades!$P$15,G119)*POWER(Upgrades!$P$16,H119)*POWER(Upgrades!$P$17,I119)*POWER(Upgrades!$P$18,J119)*POWER(Upgrades!$P$19,K119)*POWER(Upgrades!$P$20,L119)*POWER(Upgrades!$P$21,M119))*(IF(Upgrades!$T$13="Local Bubble",POWER(Upgrades!$U$13,E119),1)*IF(Upgrades!$T$15="Local Bubble",POWER(Upgrades!$U$15,G119),1)*IF(Upgrades!$T$16="Local Bubble",POWER(Upgrades!$U$16,H119),1)*IF(Upgrades!$T$17="Local Bubble",POWER(Upgrades!$U$17,I119),1)*IF(Upgrades!$T$18="Local Bubble",POWER(Upgrades!$U$18,J119),1)*IF(Upgrades!$T$19="Local Bubble",POWER(Upgrades!$U$19,K119),1)*IF(Upgrades!$T$20="Local Bubble",POWER(Upgrades!$U$20,L119),1)*IF(Upgrades!$T$21="Local Bubble",POWER(Upgrades!$U$21,M119),1))*$F$6/AL119,0)</f>
        <v/>
      </c>
      <c r="BA119" s="32">
        <f>IFERROR(Upgrades!$K$15*(POWER(Upgrades!$Q$13,E119)*POWER(Upgrades!$Q$14,F119)*POWER(Upgrades!$Q$15,G119)*POWER(Upgrades!$Q$16,H119)*POWER(Upgrades!$Q$17,I119)*POWER(Upgrades!$Q$18,J119)*POWER(Upgrades!$Q$19,K119)*POWER(Upgrades!$Q$20,L119)*POWER(Upgrades!$Q$21,M119))*(IF(Upgrades!$T$13="Microlensing",POWER(Upgrades!$U$13,E119),1)*IF(Upgrades!$T$14="Microlensing",POWER(Upgrades!$U$14,F119),1)*IF(Upgrades!$T$16="Microlensing",POWER(Upgrades!$U$16,H119),1)*IF(Upgrades!$T$17="Microlensing",POWER(Upgrades!$U$17,I119),1)*IF(Upgrades!$T$18="Microlensing",POWER(Upgrades!$U$18,J119),1)*IF(Upgrades!$T$19="Microlensing",POWER(Upgrades!$U$19,K119),1)*IF(Upgrades!$T$20="Microlensing",POWER(Upgrades!$U$20,L119),1)*IF(Upgrades!$T$21="Microlensing",POWER(Upgrades!$U$21,M119),1))*$G$6*(Parameters!$B$10/60*Parameters!$B$11+Q119)/AM119,0)</f>
        <v/>
      </c>
      <c r="BB119" s="32">
        <f>IFERROR((Upgrades!$N$16*(POWER(Upgrades!$R$13,E119)*POWER(Upgrades!$R$14,F119)*POWER(Upgrades!$R$15,G119)*POWER(Upgrades!$R$16,H119)*POWER(Upgrades!$R$17,I119)*POWER(Upgrades!$R$18,J119)*POWER(Upgrades!$R$19,K119)*POWER(Upgrades!$R$20,L119)*POWER(Upgrades!$R$21,M119))*(IF(Upgrades!$T$13="Roche Lobe Overflow",POWER(Upgrades!$U$13,E119),1)*IF(Upgrades!$T$14="Roche Lobe Overflow",POWER(Upgrades!$U$14,F119),1)*IF(Upgrades!$T$15="Roche Lobe Overflow",POWER(Upgrades!$U$15,G119),1)*IF(Upgrades!$T$17="Roche Lobe Overflow",POWER(Upgrades!$U$17,I119),1)*IF(Upgrades!$T$18="Roche Lobe Overflow",POWER(Upgrades!$U$18,J119),1)*IF(Upgrades!$T$19="Roche Lobe Overflow",POWER(Upgrades!$U$19,K119),1)*IF(Upgrades!$T$20="Roche Lobe Overflow",POWER(Upgrades!$U$20,L119),1)*IF(Upgrades!$T$21="Roche Lobe Overflow",POWER(Upgrades!$U$21,M119),1))*$H$6*O119+((IF(F119=0,0,(Upgrades!$G$14+F119*Upgrades!$H$14)*POWER(Upgrades!$I$14,F119)))*(IF(Upgrades!$T$13="Local Bubble",POWER(Upgrades!$U$13,E119),1)*IF(Upgrades!$T$15="Local Bubble",POWER(Upgrades!$U$15,G119),1)*IF(Upgrades!$T$16="Local Bubble",POWER(Upgrades!$U$16,H119),1)*IF(Upgrades!$T$17="Local Bubble",POWER(Upgrades!$U$17,I119),1)*IF(Upgrades!$T$18="Local Bubble",POWER(Upgrades!$U$18,J119),1)*IF(Upgrades!$T$19="Local Bubble",POWER(Upgrades!$U$19,K119),1)*IF(Upgrades!$T$20="Local Bubble",POWER(Upgrades!$U$20,L119),1)*IF(Upgrades!$T$21="Local Bubble",POWER(Upgrades!$U$21,M119),1))*POWER(Upgrades!$P$13,E119)*POWER(Upgrades!$P$14,F119)*POWER(Upgrades!$P$15,G119)*POWER(Upgrades!$P$16,H119)*POWER(Upgrades!$P$17,I119)*POWER(Upgrades!$P$18,J119)*POWER(Upgrades!$P$19,K119)*POWER(Upgrades!$P$20,L119)*POWER(Upgrades!$P$21,M119)*$F$6)*0.05)/AN119,0)</f>
        <v/>
      </c>
      <c r="BC119" s="32">
        <f>IFERROR((Upgrades!$H$17*(POWER(Upgrades!$P$13,E119)*POWER(Upgrades!$P$14,F119)*POWER(Upgrades!$P$15,G119)*POWER(Upgrades!$P$16,H119)*POWER(Upgrades!$P$17,I119)*POWER(Upgrades!$P$18,J119)*POWER(Upgrades!$P$19,K119)*POWER(Upgrades!$P$20,L119)*POWER(Upgrades!$P$21,M119))*(IF(Upgrades!$T$13="Brown Dwarf",POWER(Upgrades!$U$13,E119),1)*IF(Upgrades!$T$14="Brown Dwarf",POWER(Upgrades!$U$14,F119),1)*IF(Upgrades!$T$15="Brown Dwarf",POWER(Upgrades!$U$15,G119),1)*IF(Upgrades!$T$16="Brown Dwarf",POWER(Upgrades!$U$16,H119),1)*IF(Upgrades!$T$18="Brown Dwarf",POWER(Upgrades!$U$18,J119),1)*IF(Upgrades!$T$19="Brown Dwarf",POWER(Upgrades!$U$19,K119),1)*IF(Upgrades!$T$20="Brown Dwarf",POWER(Upgrades!$U$20,L119),1)*IF(Upgrades!$T$21="Brown Dwarf",POWER(Upgrades!$U$21,M119),1))*$F$6+(((IF(H119=0,0,(Upgrades!$M$16+H119*Upgrades!$N$16)*POWER(Upgrades!$O$16,H119)))*(IF(Upgrades!$T$13="Roche Lobe Overflow",POWER(Upgrades!$U$13,E119),1)*IF(Upgrades!$T$14="Roche Lobe Overflow",POWER(Upgrades!$U$14,F119),1)*IF(Upgrades!$T$15="Roche Lobe Overflow",POWER(Upgrades!$U$15,G119),1)*IF(Upgrades!$T$17="Roche Lobe Overflow",POWER(Upgrades!$U$17,I119),1)*IF(Upgrades!$T$18="Roche Lobe Overflow",POWER(Upgrades!$U$18,J119),1)*IF(Upgrades!$T$19="Roche Lobe Overflow",POWER(Upgrades!$U$19,K119),1)*IF(Upgrades!$T$20="Roche Lobe Overflow",POWER(Upgrades!$U$20,L119),1)*IF(Upgrades!$T$21="Roche Lobe Overflow",POWER(Upgrades!$U$21,M119),1))*POWER(Upgrades!$R$13,E119)*POWER(Upgrades!$R$14,F119)*POWER(Upgrades!$R$15,G119)*POWER(Upgrades!$R$16,H119)*POWER(Upgrades!$R$17,I119)*POWER(Upgrades!$R$18,J119)*POWER(Upgrades!$R$19,K119)*POWER(Upgrades!$R$20,L119)*POWER(Upgrades!$R$21,M119)*$H$6)*O119)*0.10)/AO119,0)</f>
        <v/>
      </c>
      <c r="BD119" s="32">
        <f>MAX(IF(J119&gt;0,0,IFERROR(0.5*((IF(G119=0,0,(Upgrades!$J$15+G119*Upgrades!$K$15)*POWER(Upgrades!$L$15,G119)))*(IF(Upgrades!$T$13="Microlensing",POWER(Upgrades!$U$13,E119),1)*IF(Upgrades!$T$14="Microlensing",POWER(Upgrades!$U$14,F119),1)*IF(Upgrades!$T$16="Microlensing",POWER(Upgrades!$U$16,H119),1)*IF(Upgrades!$T$17="Microlensing",POWER(Upgrades!$U$17,I119),1)*IF(Upgrades!$T$18="Microlensing",POWER(Upgrades!$U$18,J119),1)*IF(Upgrades!$T$19="Microlensing",POWER(Upgrades!$U$19,K119),1)*IF(Upgrades!$T$20="Microlensing",POWER(Upgrades!$U$20,L119),1)*IF(Upgrades!$T$21="Microlensing",POWER(Upgrades!$U$21,M119),1))*(POWER(Upgrades!$Q$13,E119)*POWER(Upgrades!$Q$14,F119)*POWER(Upgrades!$Q$15,G119)*POWER(Upgrades!$Q$16,H119)*POWER(Upgrades!$Q$17,I119)*POWER(Upgrades!$Q$18,J119)*POWER(Upgrades!$Q$19,K119)*POWER(Upgrades!$Q$20,L119)*POWER(Upgrades!$Q$21,M119))*$G$6*(Parameters!$B$10/60*Parameters!$B$11+Q119))/Upgrades!$C$18,0)),IF(K119&gt;0,0,IFERROR(0.30*P119/Upgrades!$C$19,0)),IF(L119&gt;0,0,IFERROR(0.0001/Upgrades!$C$20,0)),IF(M119&gt;0,0,IFERROR((6.0*(POWER(Upgrades!$P$13,E119)*POWER(Upgrades!$P$14,F119)*POWER(Upgrades!$P$15,G119)*POWER(Upgrades!$P$16,H119)*POWER(Upgrades!$P$17,I119)*POWER(Upgrades!$P$18,J119)*POWER(Upgrades!$P$19,K119)*POWER(Upgrades!$P$20,L119)*POWER(Upgrades!$P$21,M119))*$F$6+0.20*O119*(Parameters!$B$10/60*Parameters!$B$11+Q119))/Upgrades!$C$21,0)),IF(AND(ISNUMBER(AK119),AK119&gt;(C119+T119)),AY119,0),IF(AND(ISNUMBER(AL119),AL119&gt;(C119+T119)),AZ119,0),IF(AND(ISNUMBER(AM119),AM119&gt;(C119+T119)),BA119,0),IF(AND(ISNUMBER(AN119),AN119&gt;(C119+T119)),BB119,0),IF(AND(ISNUMBER(AO119),AO119&gt;(C119+T119)),BC119,0))</f>
        <v/>
      </c>
      <c r="BE119" s="29">
        <f>IF(AT119=1,"transition",IF(MIN(IF(AND(J119=0,ISNUMBER(AP119),AP119&lt;=(C119+T119)),AP119,9E15),IF(AND(K119=0,ISNUMBER(AQ119),AQ119&lt;=(C119+T119)),AQ119,9E15),IF(AND(L119=0,ISNUMBER(AR119),AR119&lt;=(C119+T119)),AR119,9E15),IF(AND(M119=0,ISNUMBER(AS119),AS119&lt;=(C119+T119)),AS119,9E15))&lt;9E15,IF(AND(AND(J119=0,ISNUMBER(AP119),AP119&lt;=(C119+T119)),AP119=MIN(IF(AND(J119=0,ISNUMBER(AP119),AP119&lt;=(C119+T119)),AP119,9E15),IF(AND(K119=0,ISNUMBER(AQ119),AQ119&lt;=(C119+T119)),AQ119,9E15),IF(AND(L119=0,ISNUMBER(AR119),AR119&lt;=(C119+T119)),AR119,9E15),IF(AND(M119=0,ISNUMBER(AS119),AS119&lt;=(C119+T119)),AS119,9E15))),"BiP",IF(AND(AND(K119=0,ISNUMBER(AQ119),AQ119&lt;=(C119+T119)),AQ119=MIN(IF(AND(J119=0,ISNUMBER(AP119),AP119&lt;=(C119+T119)),AP119,9E15),IF(AND(K119=0,ISNUMBER(AQ119),AQ119&lt;=(C119+T119)),AQ119,9E15),IF(AND(L119=0,ISNUMBER(AR119),AR119&lt;=(C119+T119)),AR119,9E15),IF(AND(M119=0,ISNUMBER(AS119),AS119&lt;=(C119+T119)),AS119,9E15))),"PV",IF(AND(AND(L119=0,ISNUMBER(AR119),AR119&lt;=(C119+T119)),AR119=MIN(IF(AND(J119=0,ISNUMBER(AP119),AP119&lt;=(C119+T119)),AP119,9E15),IF(AND(K119=0,ISNUMBER(AQ119),AQ119&lt;=(C119+T119)),AQ119,9E15),IF(AND(L119=0,ISNUMBER(AR119),AR119&lt;=(C119+T119)),AR119,9E15),IF(AND(M119=0,ISNUMBER(AS119),AS119&lt;=(C119+T119)),AS119,9E15))),"OC","MG"))),IF(AX119=TRUE,"",IF(MAX(IF(AND(NOT(AND(AU119=1,AT119&lt;&gt;1)),ISNUMBER(AK119),AK119&lt;=(C119+T119)),AY119,0),IF(AND(NOT(AND(AU119=1,AT119&lt;&gt;1)),ISNUMBER(AL119),AL119&lt;=(C119+T119)),AZ119,0),IF(AND(NOT(AND(AU119=1,AT119&lt;&gt;1)),ISNUMBER(AM119),AM119&lt;=(C119+T119)),BA119,0),IF(AND(NOT(AND(AU119=1,AT119&lt;&gt;1)),ISNUMBER(AN119),AN119&lt;=(C119+T119)),BB119,0),IF(AND(ISNUMBER(AO119),AO119&lt;=(C119+T119)),BC119,0))&lt;=0,"",IF(AND(IF(AND(NOT(AND(AU119=1,AT119&lt;&gt;1)),ISNUMBER(AK119),AK119&lt;=(C119+T119)),AY119,0)&gt;0,IF(AND(NOT(AND(AU119=1,AT119&lt;&gt;1)),ISNUMBER(AK119),AK119&lt;=(C119+T119)),AY119,0)=MAX(IF(AND(NOT(AND(AU119=1,AT119&lt;&gt;1)),ISNUMBER(AK119),AK119&lt;=(C119+T119)),AY119,0),IF(AND(NOT(AND(AU119=1,AT119&lt;&gt;1)),ISNUMBER(AL119),AL119&lt;=(C119+T119)),AZ119,0),IF(AND(NOT(AND(AU119=1,AT119&lt;&gt;1)),ISNUMBER(AM119),AM119&lt;=(C119+T119)),BA119,0),IF(AND(NOT(AND(AU119=1,AT119&lt;&gt;1)),ISNUMBER(AN119),AN119&lt;=(C119+T119)),BB119,0),IF(AND(ISNUMBER(AO119),AO119&lt;=(C119+T119)),BC119,0))),"SK",IF(AND(IF(AND(NOT(AND(AU119=1,AT119&lt;&gt;1)),ISNUMBER(AL119),AL119&lt;=(C119+T119)),AZ119,0)&gt;0,IF(AND(NOT(AND(AU119=1,AT119&lt;&gt;1)),ISNUMBER(AL119),AL119&lt;=(C119+T119)),AZ119,0)=MAX(IF(AND(NOT(AND(AU119=1,AT119&lt;&gt;1)),ISNUMBER(AK119),AK119&lt;=(C119+T119)),AY119,0),IF(AND(NOT(AND(AU119=1,AT119&lt;&gt;1)),ISNUMBER(AL119),AL119&lt;=(C119+T119)),AZ119,0),IF(AND(NOT(AND(AU119=1,AT119&lt;&gt;1)),ISNUMBER(AM119),AM119&lt;=(C119+T119)),BA119,0),IF(AND(NOT(AND(AU119=1,AT119&lt;&gt;1)),ISNUMBER(AN119),AN119&lt;=(C119+T119)),BB119,0),IF(AND(ISNUMBER(AO119),AO119&lt;=(C119+T119)),BC119,0))),"LB",IF(AND(IF(AND(NOT(AND(AU119=1,AT119&lt;&gt;1)),ISNUMBER(AM119),AM119&lt;=(C119+T119)),BA119,0)&gt;0,IF(AND(NOT(AND(AU119=1,AT119&lt;&gt;1)),ISNUMBER(AM119),AM119&lt;=(C119+T119)),BA119,0)=MAX(IF(AND(NOT(AND(AU119=1,AT119&lt;&gt;1)),ISNUMBER(AK119),AK119&lt;=(C119+T119)),AY119,0),IF(AND(NOT(AND(AU119=1,AT119&lt;&gt;1)),ISNUMBER(AL119),AL119&lt;=(C119+T119)),AZ119,0),IF(AND(NOT(AND(AU119=1,AT119&lt;&gt;1)),ISNUMBER(AM119),AM119&lt;=(C119+T119)),BA119,0),IF(AND(NOT(AND(AU119=1,AT119&lt;&gt;1)),ISNUMBER(AN119),AN119&lt;=(C119+T119)),BB119,0),IF(AND(ISNUMBER(AO119),AO119&lt;=(C119+T119)),BC119,0))),"ML",IF(AND(IF(AND(NOT(AND(AU119=1,AT119&lt;&gt;1)),ISNUMBER(AN119),AN119&lt;=(C119+T119)),BB119,0)&gt;0,IF(AND(NOT(AND(AU119=1,AT119&lt;&gt;1)),ISNUMBER(AN119),AN119&lt;=(C119+T119)),BB119,0)=MAX(IF(AND(NOT(AND(AU119=1,AT119&lt;&gt;1)),ISNUMBER(AK119),AK119&lt;=(C119+T119)),AY119,0),IF(AND(NOT(AND(AU119=1,AT119&lt;&gt;1)),ISNUMBER(AL119),AL119&lt;=(C119+T119)),AZ119,0),IF(AND(NOT(AND(AU119=1,AT119&lt;&gt;1)),ISNUMBER(AM119),AM119&lt;=(C119+T119)),BA119,0),IF(AND(NOT(AND(AU119=1,AT119&lt;&gt;1)),ISNUMBER(AN119),AN119&lt;=(C119+T119)),BB119,0),IF(AND(ISNUMBER(AO119),AO119&lt;=(C119+T119)),BC119,0))),"RLO","BD"))))))))</f>
        <v/>
      </c>
    </row>
    <row r="120">
      <c r="A120" s="26" t="n">
        <v>109</v>
      </c>
      <c r="B120" s="27">
        <f>A120*10/60</f>
        <v/>
      </c>
      <c r="C120" s="22">
        <f>X119</f>
        <v/>
      </c>
      <c r="D120" s="27">
        <f>D119+W119</f>
        <v/>
      </c>
      <c r="E120" s="26">
        <f>E119+IF(U119="SK",1,0)</f>
        <v/>
      </c>
      <c r="F120" s="26">
        <f>F119+IF(U119="LB",1,0)</f>
        <v/>
      </c>
      <c r="G120" s="26">
        <f>G119+IF(U119="ML",1,0)</f>
        <v/>
      </c>
      <c r="H120" s="26">
        <f>H119+IF(U119="RLO",1,0)</f>
        <v/>
      </c>
      <c r="I120" s="26">
        <f>I119+IF(U119="BD",1,0)</f>
        <v/>
      </c>
      <c r="J120" s="26">
        <f>MAX(J119,IF(U119="BiP",1,0))</f>
        <v/>
      </c>
      <c r="K120" s="26">
        <f>MAX(K119,IF(U119="PV",1,0))</f>
        <v/>
      </c>
      <c r="L120" s="26">
        <f>MAX(L119,IF(U119="OC",1,0))</f>
        <v/>
      </c>
      <c r="M120" s="26">
        <f>MAX(M119,IF(U119="MG",1,0))</f>
        <v/>
      </c>
      <c r="N120" s="26">
        <f>MAX(N119,IF(U119="transition",1,0))</f>
        <v/>
      </c>
      <c r="O120" s="28">
        <f>(Parameters!$B$9+(IF(E120=0,0,(Upgrades!$J$13+E120*Upgrades!$K$13)*POWER(Upgrades!$L$13,E120)))*(IF(Upgrades!$T$14="Stellar Kinematics",POWER(Upgrades!$U$14,F120),1)*IF(Upgrades!$T$15="Stellar Kinematics",POWER(Upgrades!$U$15,G120),1)*IF(Upgrades!$T$16="Stellar Kinematics",POWER(Upgrades!$U$16,H120),1)*IF(Upgrades!$T$17="Stellar Kinematics",POWER(Upgrades!$U$17,I120),1)*IF(Upgrades!$T$18="Stellar Kinematics",POWER(Upgrades!$U$18,J120),1)*IF(Upgrades!$T$19="Stellar Kinematics",POWER(Upgrades!$U$19,K120),1)*IF(Upgrades!$T$20="Stellar Kinematics",POWER(Upgrades!$U$20,L120),1)*IF(Upgrades!$T$21="Stellar Kinematics",POWER(Upgrades!$U$21,M120),1))+(IF(F120=0,0,(Upgrades!$J$14+F120*Upgrades!$K$14)*POWER(Upgrades!$L$14,F120)))*(IF(Upgrades!$T$13="Local Bubble",POWER(Upgrades!$U$13,E120),1)*IF(Upgrades!$T$15="Local Bubble",POWER(Upgrades!$U$15,G120),1)*IF(Upgrades!$T$16="Local Bubble",POWER(Upgrades!$U$16,H120),1)*IF(Upgrades!$T$17="Local Bubble",POWER(Upgrades!$U$17,I120),1)*IF(Upgrades!$T$18="Local Bubble",POWER(Upgrades!$U$18,J120),1)*IF(Upgrades!$T$19="Local Bubble",POWER(Upgrades!$U$19,K120),1)*IF(Upgrades!$T$20="Local Bubble",POWER(Upgrades!$U$20,L120),1)*IF(Upgrades!$T$21="Local Bubble",POWER(Upgrades!$U$21,M120),1))+(IF(G120=0,0,(Upgrades!$J$15+G120*Upgrades!$K$15)*POWER(Upgrades!$L$15,G120)))*(IF(Upgrades!$T$13="Microlensing",POWER(Upgrades!$U$13,E120),1)*IF(Upgrades!$T$14="Microlensing",POWER(Upgrades!$U$14,F120),1)*IF(Upgrades!$T$16="Microlensing",POWER(Upgrades!$U$16,H120),1)*IF(Upgrades!$T$17="Microlensing",POWER(Upgrades!$U$17,I120),1)*IF(Upgrades!$T$18="Microlensing",POWER(Upgrades!$U$18,J120),1)*IF(Upgrades!$T$19="Microlensing",POWER(Upgrades!$U$19,K120),1)*IF(Upgrades!$T$20="Microlensing",POWER(Upgrades!$U$20,L120),1)*IF(Upgrades!$T$21="Microlensing",POWER(Upgrades!$U$21,M120),1))+(IF(H120=0,0,(Upgrades!$J$16+H120*Upgrades!$K$16)*POWER(Upgrades!$L$16,H120)))*(IF(Upgrades!$T$13="Roche Lobe Overflow",POWER(Upgrades!$U$13,E120),1)*IF(Upgrades!$T$14="Roche Lobe Overflow",POWER(Upgrades!$U$14,F120),1)*IF(Upgrades!$T$15="Roche Lobe Overflow",POWER(Upgrades!$U$15,G120),1)*IF(Upgrades!$T$17="Roche Lobe Overflow",POWER(Upgrades!$U$17,I120),1)*IF(Upgrades!$T$18="Roche Lobe Overflow",POWER(Upgrades!$U$18,J120),1)*IF(Upgrades!$T$19="Roche Lobe Overflow",POWER(Upgrades!$U$19,K120),1)*IF(Upgrades!$T$20="Roche Lobe Overflow",POWER(Upgrades!$U$20,L120),1)*IF(Upgrades!$T$21="Roche Lobe Overflow",POWER(Upgrades!$U$21,M120),1))+(IF(I120=0,0,(Upgrades!$J$17+I120*Upgrades!$K$17)*POWER(Upgrades!$L$17,I120)))*(IF(Upgrades!$T$13="Brown Dwarf",POWER(Upgrades!$U$13,E120),1)*IF(Upgrades!$T$14="Brown Dwarf",POWER(Upgrades!$U$14,F120),1)*IF(Upgrades!$T$15="Brown Dwarf",POWER(Upgrades!$U$15,G120),1)*IF(Upgrades!$T$16="Brown Dwarf",POWER(Upgrades!$U$16,H120),1)*IF(Upgrades!$T$18="Brown Dwarf",POWER(Upgrades!$U$18,J120),1)*IF(Upgrades!$T$19="Brown Dwarf",POWER(Upgrades!$U$19,K120),1)*IF(Upgrades!$T$20="Brown Dwarf",POWER(Upgrades!$U$20,L120),1)*IF(Upgrades!$T$21="Brown Dwarf",POWER(Upgrades!$U$21,M120),1))+(IF(J120=0,0,(Upgrades!$J$18+J120*Upgrades!$K$18)*POWER(Upgrades!$L$18,J120)))*(IF(Upgrades!$T$13="Binary Partner",POWER(Upgrades!$U$13,E120),1)*IF(Upgrades!$T$14="Binary Partner",POWER(Upgrades!$U$14,F120),1)*IF(Upgrades!$T$15="Binary Partner",POWER(Upgrades!$U$15,G120),1)*IF(Upgrades!$T$16="Binary Partner",POWER(Upgrades!$U$16,H120),1)*IF(Upgrades!$T$17="Binary Partner",POWER(Upgrades!$U$17,I120),1)*IF(Upgrades!$T$19="Binary Partner",POWER(Upgrades!$U$19,K120),1)*IF(Upgrades!$T$20="Binary Partner",POWER(Upgrades!$U$20,L120),1)*IF(Upgrades!$T$21="Binary Partner",POWER(Upgrades!$U$21,M120),1))+(IF(K120=0,0,(Upgrades!$J$19+K120*Upgrades!$K$19)*POWER(Upgrades!$L$19,K120)))*(IF(Upgrades!$T$13="Peculiar Velocity",POWER(Upgrades!$U$13,E120),1)*IF(Upgrades!$T$14="Peculiar Velocity",POWER(Upgrades!$U$14,F120),1)*IF(Upgrades!$T$15="Peculiar Velocity",POWER(Upgrades!$U$15,G120),1)*IF(Upgrades!$T$16="Peculiar Velocity",POWER(Upgrades!$U$16,H120),1)*IF(Upgrades!$T$17="Peculiar Velocity",POWER(Upgrades!$U$17,I120),1)*IF(Upgrades!$T$18="Peculiar Velocity",POWER(Upgrades!$U$18,J120),1)*IF(Upgrades!$T$20="Peculiar Velocity",POWER(Upgrades!$U$20,L120),1)*IF(Upgrades!$T$21="Peculiar Velocity",POWER(Upgrades!$U$21,M120),1))+(IF(L120=0,0,(Upgrades!$J$20+L120*Upgrades!$K$20)*POWER(Upgrades!$L$20,L120)))*(IF(Upgrades!$T$13="Open Cluster",POWER(Upgrades!$U$13,E120),1)*IF(Upgrades!$T$14="Open Cluster",POWER(Upgrades!$U$14,F120),1)*IF(Upgrades!$T$15="Open Cluster",POWER(Upgrades!$U$15,G120),1)*IF(Upgrades!$T$16="Open Cluster",POWER(Upgrades!$U$16,H120),1)*IF(Upgrades!$T$17="Open Cluster",POWER(Upgrades!$U$17,I120),1)*IF(Upgrades!$T$18="Open Cluster",POWER(Upgrades!$U$18,J120),1)*IF(Upgrades!$T$19="Open Cluster",POWER(Upgrades!$U$19,K120),1)*IF(Upgrades!$T$21="Open Cluster",POWER(Upgrades!$U$21,M120),1))+(IF(M120=0,0,(Upgrades!$J$21+M120*Upgrades!$K$21)*POWER(Upgrades!$L$21,M120)))*(IF(Upgrades!$T$13="Moving Group",POWER(Upgrades!$U$13,E120),1)*IF(Upgrades!$T$14="Moving Group",POWER(Upgrades!$U$14,F120),1)*IF(Upgrades!$T$15="Moving Group",POWER(Upgrades!$U$15,G120),1)*IF(Upgrades!$T$16="Moving Group",POWER(Upgrades!$U$16,H120),1)*IF(Upgrades!$T$17="Moving Group",POWER(Upgrades!$U$17,I120),1)*IF(Upgrades!$T$18="Moving Group",POWER(Upgrades!$U$18,J120),1)*IF(Upgrades!$T$19="Moving Group",POWER(Upgrades!$U$19,K120),1)*IF(Upgrades!$T$20="Moving Group",POWER(Upgrades!$U$20,L120),1)))*POWER(Upgrades!$Q$13,E120)*POWER(Upgrades!$Q$14,F120)*POWER(Upgrades!$Q$15,G120)*POWER(Upgrades!$Q$16,H120)*POWER(Upgrades!$Q$17,I120)*POWER(Upgrades!$Q$18,J120)*POWER(Upgrades!$Q$19,K120)*POWER(Upgrades!$Q$20,L120)*POWER(Upgrades!$Q$21,M120)*$G$6+$D$6</f>
        <v/>
      </c>
      <c r="P120" s="28">
        <f>((IF(E120=0,0,(Upgrades!$G$13+E120*Upgrades!$H$13)*POWER(Upgrades!$I$13,E120)))*(IF(Upgrades!$T$14="Stellar Kinematics",POWER(Upgrades!$U$14,F120),1)*IF(Upgrades!$T$15="Stellar Kinematics",POWER(Upgrades!$U$15,G120),1)*IF(Upgrades!$T$16="Stellar Kinematics",POWER(Upgrades!$U$16,H120),1)*IF(Upgrades!$T$17="Stellar Kinematics",POWER(Upgrades!$U$17,I120),1)*IF(Upgrades!$T$18="Stellar Kinematics",POWER(Upgrades!$U$18,J120),1)*IF(Upgrades!$T$19="Stellar Kinematics",POWER(Upgrades!$U$19,K120),1)*IF(Upgrades!$T$20="Stellar Kinematics",POWER(Upgrades!$U$20,L120),1)*IF(Upgrades!$T$21="Stellar Kinematics",POWER(Upgrades!$U$21,M120),1))+(IF(F120=0,0,(Upgrades!$G$14+F120*Upgrades!$H$14)*POWER(Upgrades!$I$14,F120)))*(IF(Upgrades!$T$13="Local Bubble",POWER(Upgrades!$U$13,E120),1)*IF(Upgrades!$T$15="Local Bubble",POWER(Upgrades!$U$15,G120),1)*IF(Upgrades!$T$16="Local Bubble",POWER(Upgrades!$U$16,H120),1)*IF(Upgrades!$T$17="Local Bubble",POWER(Upgrades!$U$17,I120),1)*IF(Upgrades!$T$18="Local Bubble",POWER(Upgrades!$U$18,J120),1)*IF(Upgrades!$T$19="Local Bubble",POWER(Upgrades!$U$19,K120),1)*IF(Upgrades!$T$20="Local Bubble",POWER(Upgrades!$U$20,L120),1)*IF(Upgrades!$T$21="Local Bubble",POWER(Upgrades!$U$21,M120),1))+(IF(G120=0,0,(Upgrades!$G$15+G120*Upgrades!$H$15)*POWER(Upgrades!$I$15,G120)))*(IF(Upgrades!$T$13="Microlensing",POWER(Upgrades!$U$13,E120),1)*IF(Upgrades!$T$14="Microlensing",POWER(Upgrades!$U$14,F120),1)*IF(Upgrades!$T$16="Microlensing",POWER(Upgrades!$U$16,H120),1)*IF(Upgrades!$T$17="Microlensing",POWER(Upgrades!$U$17,I120),1)*IF(Upgrades!$T$18="Microlensing",POWER(Upgrades!$U$18,J120),1)*IF(Upgrades!$T$19="Microlensing",POWER(Upgrades!$U$19,K120),1)*IF(Upgrades!$T$20="Microlensing",POWER(Upgrades!$U$20,L120),1)*IF(Upgrades!$T$21="Microlensing",POWER(Upgrades!$U$21,M120),1))+(IF(H120=0,0,(Upgrades!$G$16+H120*Upgrades!$H$16)*POWER(Upgrades!$I$16,H120)))*(IF(Upgrades!$T$13="Roche Lobe Overflow",POWER(Upgrades!$U$13,E120),1)*IF(Upgrades!$T$14="Roche Lobe Overflow",POWER(Upgrades!$U$14,F120),1)*IF(Upgrades!$T$15="Roche Lobe Overflow",POWER(Upgrades!$U$15,G120),1)*IF(Upgrades!$T$17="Roche Lobe Overflow",POWER(Upgrades!$U$17,I120),1)*IF(Upgrades!$T$18="Roche Lobe Overflow",POWER(Upgrades!$U$18,J120),1)*IF(Upgrades!$T$19="Roche Lobe Overflow",POWER(Upgrades!$U$19,K120),1)*IF(Upgrades!$T$20="Roche Lobe Overflow",POWER(Upgrades!$U$20,L120),1)*IF(Upgrades!$T$21="Roche Lobe Overflow",POWER(Upgrades!$U$21,M120),1))+(IF(I120=0,0,(Upgrades!$G$17+I120*Upgrades!$H$17)*POWER(Upgrades!$I$17,I120)))*(IF(Upgrades!$T$13="Brown Dwarf",POWER(Upgrades!$U$13,E120),1)*IF(Upgrades!$T$14="Brown Dwarf",POWER(Upgrades!$U$14,F120),1)*IF(Upgrades!$T$15="Brown Dwarf",POWER(Upgrades!$U$15,G120),1)*IF(Upgrades!$T$16="Brown Dwarf",POWER(Upgrades!$U$16,H120),1)*IF(Upgrades!$T$18="Brown Dwarf",POWER(Upgrades!$U$18,J120),1)*IF(Upgrades!$T$19="Brown Dwarf",POWER(Upgrades!$U$19,K120),1)*IF(Upgrades!$T$20="Brown Dwarf",POWER(Upgrades!$U$20,L120),1)*IF(Upgrades!$T$21="Brown Dwarf",POWER(Upgrades!$U$21,M120),1))+(IF(J120=0,0,(Upgrades!$G$18+J120*Upgrades!$H$18)*POWER(Upgrades!$I$18,J120)))*(IF(Upgrades!$T$13="Binary Partner",POWER(Upgrades!$U$13,E120),1)*IF(Upgrades!$T$14="Binary Partner",POWER(Upgrades!$U$14,F120),1)*IF(Upgrades!$T$15="Binary Partner",POWER(Upgrades!$U$15,G120),1)*IF(Upgrades!$T$16="Binary Partner",POWER(Upgrades!$U$16,H120),1)*IF(Upgrades!$T$17="Binary Partner",POWER(Upgrades!$U$17,I120),1)*IF(Upgrades!$T$19="Binary Partner",POWER(Upgrades!$U$19,K120),1)*IF(Upgrades!$T$20="Binary Partner",POWER(Upgrades!$U$20,L120),1)*IF(Upgrades!$T$21="Binary Partner",POWER(Upgrades!$U$21,M120),1))+(IF(K120=0,0,(Upgrades!$G$19+K120*Upgrades!$H$19)*POWER(Upgrades!$I$19,K120)))*(IF(Upgrades!$T$13="Peculiar Velocity",POWER(Upgrades!$U$13,E120),1)*IF(Upgrades!$T$14="Peculiar Velocity",POWER(Upgrades!$U$14,F120),1)*IF(Upgrades!$T$15="Peculiar Velocity",POWER(Upgrades!$U$15,G120),1)*IF(Upgrades!$T$16="Peculiar Velocity",POWER(Upgrades!$U$16,H120),1)*IF(Upgrades!$T$17="Peculiar Velocity",POWER(Upgrades!$U$17,I120),1)*IF(Upgrades!$T$18="Peculiar Velocity",POWER(Upgrades!$U$18,J120),1)*IF(Upgrades!$T$20="Peculiar Velocity",POWER(Upgrades!$U$20,L120),1)*IF(Upgrades!$T$21="Peculiar Velocity",POWER(Upgrades!$U$21,M120),1))+(IF(L120=0,0,(Upgrades!$G$20+L120*Upgrades!$H$20)*POWER(Upgrades!$I$20,L120)))*(IF(Upgrades!$T$13="Open Cluster",POWER(Upgrades!$U$13,E120),1)*IF(Upgrades!$T$14="Open Cluster",POWER(Upgrades!$U$14,F120),1)*IF(Upgrades!$T$15="Open Cluster",POWER(Upgrades!$U$15,G120),1)*IF(Upgrades!$T$16="Open Cluster",POWER(Upgrades!$U$16,H120),1)*IF(Upgrades!$T$17="Open Cluster",POWER(Upgrades!$U$17,I120),1)*IF(Upgrades!$T$18="Open Cluster",POWER(Upgrades!$U$18,J120),1)*IF(Upgrades!$T$19="Open Cluster",POWER(Upgrades!$U$19,K120),1)*IF(Upgrades!$T$21="Open Cluster",POWER(Upgrades!$U$21,M120),1))+(IF(M120=0,0,(Upgrades!$G$21+M120*Upgrades!$H$21)*POWER(Upgrades!$I$21,M120)))*(IF(Upgrades!$T$13="Moving Group",POWER(Upgrades!$U$13,E120),1)*IF(Upgrades!$T$14="Moving Group",POWER(Upgrades!$U$14,F120),1)*IF(Upgrades!$T$15="Moving Group",POWER(Upgrades!$U$15,G120),1)*IF(Upgrades!$T$16="Moving Group",POWER(Upgrades!$U$16,H120),1)*IF(Upgrades!$T$17="Moving Group",POWER(Upgrades!$U$17,I120),1)*IF(Upgrades!$T$18="Moving Group",POWER(Upgrades!$U$18,J120),1)*IF(Upgrades!$T$19="Moving Group",POWER(Upgrades!$U$19,K120),1)*IF(Upgrades!$T$20="Moving Group",POWER(Upgrades!$U$20,L120),1)))*POWER(Upgrades!$P$13,E120)*POWER(Upgrades!$P$14,F120)*POWER(Upgrades!$P$15,G120)*POWER(Upgrades!$P$16,H120)*POWER(Upgrades!$P$17,I120)*POWER(Upgrades!$P$18,J120)*POWER(Upgrades!$P$19,K120)*POWER(Upgrades!$P$20,L120)*POWER(Upgrades!$P$21,M120)*$F$6+$C$6</f>
        <v/>
      </c>
      <c r="Q120" s="28">
        <f>((IF(E120=0,0,(Upgrades!$M$13+E120*Upgrades!$N$13)*POWER(Upgrades!$O$13,E120)))*(IF(Upgrades!$T$14="Stellar Kinematics",POWER(Upgrades!$U$14,F120),1)*IF(Upgrades!$T$15="Stellar Kinematics",POWER(Upgrades!$U$15,G120),1)*IF(Upgrades!$T$16="Stellar Kinematics",POWER(Upgrades!$U$16,H120),1)*IF(Upgrades!$T$17="Stellar Kinematics",POWER(Upgrades!$U$17,I120),1)*IF(Upgrades!$T$18="Stellar Kinematics",POWER(Upgrades!$U$18,J120),1)*IF(Upgrades!$T$19="Stellar Kinematics",POWER(Upgrades!$U$19,K120),1)*IF(Upgrades!$T$20="Stellar Kinematics",POWER(Upgrades!$U$20,L120),1)*IF(Upgrades!$T$21="Stellar Kinematics",POWER(Upgrades!$U$21,M120),1))+(IF(F120=0,0,(Upgrades!$M$14+F120*Upgrades!$N$14)*POWER(Upgrades!$O$14,F120)))*(IF(Upgrades!$T$13="Local Bubble",POWER(Upgrades!$U$13,E120),1)*IF(Upgrades!$T$15="Local Bubble",POWER(Upgrades!$U$15,G120),1)*IF(Upgrades!$T$16="Local Bubble",POWER(Upgrades!$U$16,H120),1)*IF(Upgrades!$T$17="Local Bubble",POWER(Upgrades!$U$17,I120),1)*IF(Upgrades!$T$18="Local Bubble",POWER(Upgrades!$U$18,J120),1)*IF(Upgrades!$T$19="Local Bubble",POWER(Upgrades!$U$19,K120),1)*IF(Upgrades!$T$20="Local Bubble",POWER(Upgrades!$U$20,L120),1)*IF(Upgrades!$T$21="Local Bubble",POWER(Upgrades!$U$21,M120),1))+(IF(G120=0,0,(Upgrades!$M$15+G120*Upgrades!$N$15)*POWER(Upgrades!$O$15,G120)))*(IF(Upgrades!$T$13="Microlensing",POWER(Upgrades!$U$13,E120),1)*IF(Upgrades!$T$14="Microlensing",POWER(Upgrades!$U$14,F120),1)*IF(Upgrades!$T$16="Microlensing",POWER(Upgrades!$U$16,H120),1)*IF(Upgrades!$T$17="Microlensing",POWER(Upgrades!$U$17,I120),1)*IF(Upgrades!$T$18="Microlensing",POWER(Upgrades!$U$18,J120),1)*IF(Upgrades!$T$19="Microlensing",POWER(Upgrades!$U$19,K120),1)*IF(Upgrades!$T$20="Microlensing",POWER(Upgrades!$U$20,L120),1)*IF(Upgrades!$T$21="Microlensing",POWER(Upgrades!$U$21,M120),1))+(IF(H120=0,0,(Upgrades!$M$16+H120*Upgrades!$N$16)*POWER(Upgrades!$O$16,H120)))*(IF(Upgrades!$T$13="Roche Lobe Overflow",POWER(Upgrades!$U$13,E120),1)*IF(Upgrades!$T$14="Roche Lobe Overflow",POWER(Upgrades!$U$14,F120),1)*IF(Upgrades!$T$15="Roche Lobe Overflow",POWER(Upgrades!$U$15,G120),1)*IF(Upgrades!$T$17="Roche Lobe Overflow",POWER(Upgrades!$U$17,I120),1)*IF(Upgrades!$T$18="Roche Lobe Overflow",POWER(Upgrades!$U$18,J120),1)*IF(Upgrades!$T$19="Roche Lobe Overflow",POWER(Upgrades!$U$19,K120),1)*IF(Upgrades!$T$20="Roche Lobe Overflow",POWER(Upgrades!$U$20,L120),1)*IF(Upgrades!$T$21="Roche Lobe Overflow",POWER(Upgrades!$U$21,M120),1))+(IF(I120=0,0,(Upgrades!$M$17+I120*Upgrades!$N$17)*POWER(Upgrades!$O$17,I120)))*(IF(Upgrades!$T$13="Brown Dwarf",POWER(Upgrades!$U$13,E120),1)*IF(Upgrades!$T$14="Brown Dwarf",POWER(Upgrades!$U$14,F120),1)*IF(Upgrades!$T$15="Brown Dwarf",POWER(Upgrades!$U$15,G120),1)*IF(Upgrades!$T$16="Brown Dwarf",POWER(Upgrades!$U$16,H120),1)*IF(Upgrades!$T$18="Brown Dwarf",POWER(Upgrades!$U$18,J120),1)*IF(Upgrades!$T$19="Brown Dwarf",POWER(Upgrades!$U$19,K120),1)*IF(Upgrades!$T$20="Brown Dwarf",POWER(Upgrades!$U$20,L120),1)*IF(Upgrades!$T$21="Brown Dwarf",POWER(Upgrades!$U$21,M120),1))+(IF(J120=0,0,(Upgrades!$M$18+J120*Upgrades!$N$18)*POWER(Upgrades!$O$18,J120)))*(IF(Upgrades!$T$13="Binary Partner",POWER(Upgrades!$U$13,E120),1)*IF(Upgrades!$T$14="Binary Partner",POWER(Upgrades!$U$14,F120),1)*IF(Upgrades!$T$15="Binary Partner",POWER(Upgrades!$U$15,G120),1)*IF(Upgrades!$T$16="Binary Partner",POWER(Upgrades!$U$16,H120),1)*IF(Upgrades!$T$17="Binary Partner",POWER(Upgrades!$U$17,I120),1)*IF(Upgrades!$T$19="Binary Partner",POWER(Upgrades!$U$19,K120),1)*IF(Upgrades!$T$20="Binary Partner",POWER(Upgrades!$U$20,L120),1)*IF(Upgrades!$T$21="Binary Partner",POWER(Upgrades!$U$21,M120),1))+(IF(K120=0,0,(Upgrades!$M$19+K120*Upgrades!$N$19)*POWER(Upgrades!$O$19,K120)))*(IF(Upgrades!$T$13="Peculiar Velocity",POWER(Upgrades!$U$13,E120),1)*IF(Upgrades!$T$14="Peculiar Velocity",POWER(Upgrades!$U$14,F120),1)*IF(Upgrades!$T$15="Peculiar Velocity",POWER(Upgrades!$U$15,G120),1)*IF(Upgrades!$T$16="Peculiar Velocity",POWER(Upgrades!$U$16,H120),1)*IF(Upgrades!$T$17="Peculiar Velocity",POWER(Upgrades!$U$17,I120),1)*IF(Upgrades!$T$18="Peculiar Velocity",POWER(Upgrades!$U$18,J120),1)*IF(Upgrades!$T$20="Peculiar Velocity",POWER(Upgrades!$U$20,L120),1)*IF(Upgrades!$T$21="Peculiar Velocity",POWER(Upgrades!$U$21,M120),1))+(IF(L120=0,0,(Upgrades!$M$20+L120*Upgrades!$N$20)*POWER(Upgrades!$O$20,L120)))*(IF(Upgrades!$T$13="Open Cluster",POWER(Upgrades!$U$13,E120),1)*IF(Upgrades!$T$14="Open Cluster",POWER(Upgrades!$U$14,F120),1)*IF(Upgrades!$T$15="Open Cluster",POWER(Upgrades!$U$15,G120),1)*IF(Upgrades!$T$16="Open Cluster",POWER(Upgrades!$U$16,H120),1)*IF(Upgrades!$T$17="Open Cluster",POWER(Upgrades!$U$17,I120),1)*IF(Upgrades!$T$18="Open Cluster",POWER(Upgrades!$U$18,J120),1)*IF(Upgrades!$T$19="Open Cluster",POWER(Upgrades!$U$19,K120),1)*IF(Upgrades!$T$21="Open Cluster",POWER(Upgrades!$U$21,M120),1))+(IF(M120=0,0,(Upgrades!$M$21+M120*Upgrades!$N$21)*POWER(Upgrades!$O$21,M120)))*(IF(Upgrades!$T$13="Moving Group",POWER(Upgrades!$U$13,E120),1)*IF(Upgrades!$T$14="Moving Group",POWER(Upgrades!$U$14,F120),1)*IF(Upgrades!$T$15="Moving Group",POWER(Upgrades!$U$15,G120),1)*IF(Upgrades!$T$16="Moving Group",POWER(Upgrades!$U$16,H120),1)*IF(Upgrades!$T$17="Moving Group",POWER(Upgrades!$U$17,I120),1)*IF(Upgrades!$T$18="Moving Group",POWER(Upgrades!$U$18,J120),1)*IF(Upgrades!$T$19="Moving Group",POWER(Upgrades!$U$19,K120),1)*IF(Upgrades!$T$20="Moving Group",POWER(Upgrades!$U$20,L120),1)))*POWER(Upgrades!$R$13,E120)*POWER(Upgrades!$R$14,F120)*POWER(Upgrades!$R$15,G120)*POWER(Upgrades!$R$16,H120)*POWER(Upgrades!$R$17,I120)*POWER(Upgrades!$R$18,J120)*POWER(Upgrades!$R$19,K120)*POWER(Upgrades!$R$20,L120)*POWER(Upgrades!$R$21,M120)*$H$6+$E$6</f>
        <v/>
      </c>
      <c r="R120" s="27">
        <f>IF(N120=1,0,O120*Parameters!$B$10/60*Parameters!$B$11*10)</f>
        <v/>
      </c>
      <c r="S120" s="27">
        <f>IF(N120=1,0,Q120*O120*10)</f>
        <v/>
      </c>
      <c r="T120" s="27">
        <f>IF(N120=1,0,R120+S120+P120*10)</f>
        <v/>
      </c>
      <c r="U120" s="33">
        <f>BE120</f>
        <v/>
      </c>
      <c r="V120" s="22">
        <f>IF(U120="",0,IF(U120="transition",0,IF(U120="SK",AK120,IF(U120="LB",AL120,IF(U120="ML",AM120,IF(U120="RLO",AN120,IF(U120="BD",AO120,IF(U120="BiP",AP120,IF(U120="PV",AQ120,IF(U120="OC",AR120,IF(U120="MG",AS120,0))))))))))</f>
        <v/>
      </c>
      <c r="W120" s="27">
        <f>IF(U120="BiP",Upgrades!$F$18,IF(U120="PV",Upgrades!$F$19,IF(U120="OC",Upgrades!$F$20,IF(U120="MG",Upgrades!$F$21,IF(U120="transition",-Parameters!$B$18*Parameters!$B$19,0)))))</f>
        <v/>
      </c>
      <c r="X120" s="22">
        <f>C120+T120-V120</f>
        <v/>
      </c>
      <c r="Y120" s="30">
        <f>O120*Parameters!$B$10/60*Parameters!$B$11+Q120*O120+P120</f>
        <v/>
      </c>
      <c r="Z120" s="34">
        <f>IF(U120="transition","→ Tier 3 (Galactic Arm)",IF(U120="MG","Moving Group — pocket drifts together",IF(U120="OC","Open Cluster acquired",IF(U120="PV","Peculiar Velocity — passive multiplier active",IF(U120="BiP","Binary Partner — pair bond formed",IF(AND(AU120=1,N120=0,AT120&lt;&gt;1),"Cohesion ready (waiting on completionists)","")))))) </f>
        <v/>
      </c>
      <c r="AA120" s="27">
        <f>(IF(E120=0,0,(Upgrades!$G$13+E120*Upgrades!$H$13)*POWER(Upgrades!$I$13,E120)))*(IF(Upgrades!$T$14="Stellar Kinematics",POWER(Upgrades!$U$14,F120),1)*IF(Upgrades!$T$15="Stellar Kinematics",POWER(Upgrades!$U$15,G120),1)*IF(Upgrades!$T$16="Stellar Kinematics",POWER(Upgrades!$U$16,H120),1)*IF(Upgrades!$T$17="Stellar Kinematics",POWER(Upgrades!$U$17,I120),1)*IF(Upgrades!$T$18="Stellar Kinematics",POWER(Upgrades!$U$18,J120),1)*IF(Upgrades!$T$19="Stellar Kinematics",POWER(Upgrades!$U$19,K120),1)*IF(Upgrades!$T$20="Stellar Kinematics",POWER(Upgrades!$U$20,L120),1)*IF(Upgrades!$T$21="Stellar Kinematics",POWER(Upgrades!$U$21,M120),1))*POWER(Upgrades!$P$13,E120)*POWER(Upgrades!$P$14,F120)*POWER(Upgrades!$P$15,G120)*POWER(Upgrades!$P$16,H120)*POWER(Upgrades!$P$17,I120)*POWER(Upgrades!$P$18,J120)*POWER(Upgrades!$P$19,K120)*POWER(Upgrades!$P$20,L120)*POWER(Upgrades!$P$21,M120)*$F$6*60</f>
        <v/>
      </c>
      <c r="AB120" s="27">
        <f>(IF(F120=0,0,(Upgrades!$G$14+F120*Upgrades!$H$14)*POWER(Upgrades!$I$14,F120)))*(IF(Upgrades!$T$13="Local Bubble",POWER(Upgrades!$U$13,E120),1)*IF(Upgrades!$T$15="Local Bubble",POWER(Upgrades!$U$15,G120),1)*IF(Upgrades!$T$16="Local Bubble",POWER(Upgrades!$U$16,H120),1)*IF(Upgrades!$T$17="Local Bubble",POWER(Upgrades!$U$17,I120),1)*IF(Upgrades!$T$18="Local Bubble",POWER(Upgrades!$U$18,J120),1)*IF(Upgrades!$T$19="Local Bubble",POWER(Upgrades!$U$19,K120),1)*IF(Upgrades!$T$20="Local Bubble",POWER(Upgrades!$U$20,L120),1)*IF(Upgrades!$T$21="Local Bubble",POWER(Upgrades!$U$21,M120),1))*POWER(Upgrades!$P$13,E120)*POWER(Upgrades!$P$14,F120)*POWER(Upgrades!$P$15,G120)*POWER(Upgrades!$P$16,H120)*POWER(Upgrades!$P$17,I120)*POWER(Upgrades!$P$18,J120)*POWER(Upgrades!$P$19,K120)*POWER(Upgrades!$P$20,L120)*POWER(Upgrades!$P$21,M120)*$F$6*60</f>
        <v/>
      </c>
      <c r="AC120" s="27">
        <f>(IF(G120=0,0,(Upgrades!$J$15+G120*Upgrades!$K$15)*POWER(Upgrades!$L$15,G120)))*(IF(Upgrades!$T$13="Microlensing",POWER(Upgrades!$U$13,E120),1)*IF(Upgrades!$T$14="Microlensing",POWER(Upgrades!$U$14,F120),1)*IF(Upgrades!$T$16="Microlensing",POWER(Upgrades!$U$16,H120),1)*IF(Upgrades!$T$17="Microlensing",POWER(Upgrades!$U$17,I120),1)*IF(Upgrades!$T$18="Microlensing",POWER(Upgrades!$U$18,J120),1)*IF(Upgrades!$T$19="Microlensing",POWER(Upgrades!$U$19,K120),1)*IF(Upgrades!$T$20="Microlensing",POWER(Upgrades!$U$20,L120),1)*IF(Upgrades!$T$21="Microlensing",POWER(Upgrades!$U$21,M120),1))*POWER(Upgrades!$Q$13,E120)*POWER(Upgrades!$Q$14,F120)*POWER(Upgrades!$Q$15,G120)*POWER(Upgrades!$Q$16,H120)*POWER(Upgrades!$Q$17,I120)*POWER(Upgrades!$Q$18,J120)*POWER(Upgrades!$Q$19,K120)*POWER(Upgrades!$Q$20,L120)*POWER(Upgrades!$Q$21,M120)*$G$6*(Parameters!$B$10*Parameters!$B$11+Q120*60)</f>
        <v/>
      </c>
      <c r="AD120" s="27">
        <f>(IF(H120=0,0,(Upgrades!$M$16+H120*Upgrades!$N$16)*POWER(Upgrades!$O$16,H120)))*(IF(Upgrades!$T$13="Roche Lobe Overflow",POWER(Upgrades!$U$13,E120),1)*IF(Upgrades!$T$14="Roche Lobe Overflow",POWER(Upgrades!$U$14,F120),1)*IF(Upgrades!$T$15="Roche Lobe Overflow",POWER(Upgrades!$U$15,G120),1)*IF(Upgrades!$T$17="Roche Lobe Overflow",POWER(Upgrades!$U$17,I120),1)*IF(Upgrades!$T$18="Roche Lobe Overflow",POWER(Upgrades!$U$18,J120),1)*IF(Upgrades!$T$19="Roche Lobe Overflow",POWER(Upgrades!$U$19,K120),1)*IF(Upgrades!$T$20="Roche Lobe Overflow",POWER(Upgrades!$U$20,L120),1)*IF(Upgrades!$T$21="Roche Lobe Overflow",POWER(Upgrades!$U$21,M120),1))*POWER(Upgrades!$R$13,E120)*POWER(Upgrades!$R$14,F120)*POWER(Upgrades!$R$15,G120)*POWER(Upgrades!$R$16,H120)*POWER(Upgrades!$R$17,I120)*POWER(Upgrades!$R$18,J120)*POWER(Upgrades!$R$19,K120)*POWER(Upgrades!$R$20,L120)*POWER(Upgrades!$R$21,M120)*$H$6*O120*60</f>
        <v/>
      </c>
      <c r="AE120" s="27">
        <f>(IF(I120=0,0,(Upgrades!$G$17+I120*Upgrades!$H$17)*POWER(Upgrades!$I$17,I120)))*(IF(Upgrades!$T$13="Brown Dwarf",POWER(Upgrades!$U$13,E120),1)*IF(Upgrades!$T$14="Brown Dwarf",POWER(Upgrades!$U$14,F120),1)*IF(Upgrades!$T$15="Brown Dwarf",POWER(Upgrades!$U$15,G120),1)*IF(Upgrades!$T$16="Brown Dwarf",POWER(Upgrades!$U$16,H120),1)*IF(Upgrades!$T$18="Brown Dwarf",POWER(Upgrades!$U$18,J120),1)*IF(Upgrades!$T$19="Brown Dwarf",POWER(Upgrades!$U$19,K120),1)*IF(Upgrades!$T$20="Brown Dwarf",POWER(Upgrades!$U$20,L120),1)*IF(Upgrades!$T$21="Brown Dwarf",POWER(Upgrades!$U$21,M120),1))*POWER(Upgrades!$P$13,E120)*POWER(Upgrades!$P$14,F120)*POWER(Upgrades!$P$15,G120)*POWER(Upgrades!$P$16,H120)*POWER(Upgrades!$P$17,I120)*POWER(Upgrades!$P$18,J120)*POWER(Upgrades!$P$19,K120)*POWER(Upgrades!$P$20,L120)*POWER(Upgrades!$P$21,M120)*$F$6*60</f>
        <v/>
      </c>
      <c r="AF120" s="27" t="n">
        <v>0</v>
      </c>
      <c r="AG120" s="27" t="n">
        <v>0</v>
      </c>
      <c r="AH120" s="27" t="n">
        <v>0</v>
      </c>
      <c r="AI120" s="27">
        <f>(IF(M120=0,0,(Upgrades!$G$21+M120*Upgrades!$H$21)*POWER(Upgrades!$I$21,M120)))*(IF(Upgrades!$T$13="Moving Group",POWER(Upgrades!$U$13,E120),1)*IF(Upgrades!$T$14="Moving Group",POWER(Upgrades!$U$14,F120),1)*IF(Upgrades!$T$15="Moving Group",POWER(Upgrades!$U$15,G120),1)*IF(Upgrades!$T$16="Moving Group",POWER(Upgrades!$U$16,H120),1)*IF(Upgrades!$T$17="Moving Group",POWER(Upgrades!$U$17,I120),1)*IF(Upgrades!$T$18="Moving Group",POWER(Upgrades!$U$18,J120),1)*IF(Upgrades!$T$19="Moving Group",POWER(Upgrades!$U$19,K120),1)*IF(Upgrades!$T$20="Moving Group",POWER(Upgrades!$U$20,L120),1))*POWER(Upgrades!$P$13,E120)*POWER(Upgrades!$P$14,F120)*POWER(Upgrades!$P$15,G120)*POWER(Upgrades!$P$16,H120)*POWER(Upgrades!$P$17,I120)*POWER(Upgrades!$P$18,J120)*POWER(Upgrades!$P$19,K120)*POWER(Upgrades!$P$20,L120)*POWER(Upgrades!$P$21,M120)*$F$6*60</f>
        <v/>
      </c>
      <c r="AJ120" s="27">
        <f>$C$6*60</f>
        <v/>
      </c>
      <c r="AK120" s="22">
        <f>IF(E120&gt;=Upgrades!$E$13,"",Upgrades!$C$13*POWER(Upgrades!$D$13,E120))</f>
        <v/>
      </c>
      <c r="AL120" s="22">
        <f>IF(F120&gt;=Upgrades!$E$14,"",Upgrades!$C$14*POWER(Upgrades!$D$14,F120))</f>
        <v/>
      </c>
      <c r="AM120" s="22">
        <f>IF(G120&gt;=Upgrades!$E$15,"",Upgrades!$C$15*POWER(Upgrades!$D$15,G120))</f>
        <v/>
      </c>
      <c r="AN120" s="22">
        <f>IF(H120&gt;=Upgrades!$E$16,"",Upgrades!$C$16*POWER(Upgrades!$D$16,H120))</f>
        <v/>
      </c>
      <c r="AO120" s="22">
        <f>IF(I120&gt;=Upgrades!$E$17,"",Upgrades!$C$17*POWER(Upgrades!$D$17,I120))</f>
        <v/>
      </c>
      <c r="AP120" s="22">
        <f>IF(J120&gt;=Upgrades!$E$18,"",Upgrades!$C$18*POWER(Upgrades!$D$18,J120))</f>
        <v/>
      </c>
      <c r="AQ120" s="22">
        <f>IF(K120&gt;=Upgrades!$E$19,"",Upgrades!$C$19*POWER(Upgrades!$D$19,K120))</f>
        <v/>
      </c>
      <c r="AR120" s="22">
        <f>IF(L120&gt;=Upgrades!$E$20,"",Upgrades!$C$20*POWER(Upgrades!$D$20,L120))</f>
        <v/>
      </c>
      <c r="AS120" s="22">
        <f>IF(M120&gt;=Upgrades!$E$21,"",Upgrades!$C$21*POWER(Upgrades!$D$21,M120))</f>
        <v/>
      </c>
      <c r="AT120" s="26">
        <f>IF(AND(D120&gt;=Parameters!$B$18*Parameters!$B$19,(I120&gt;=Upgrades!$E$17)*(M120&gt;=Upgrades!$E$21)=1,N120=0),1,"")</f>
        <v/>
      </c>
      <c r="AU120" s="26">
        <f>IF(AND(D120&gt;=Parameters!$B$18*Parameters!$B$19,N120=0),1,"")</f>
        <v/>
      </c>
      <c r="AV120" s="22">
        <f>MIN(IF(ISNUMBER(AP120),AP120,9E15),IF(ISNUMBER(AQ120),AQ120,9E15),IF(ISNUMBER(AR120),AR120,9E15),IF(ISNUMBER(AS120),AS120,9E15))</f>
        <v/>
      </c>
      <c r="AW120" s="22">
        <f>MIN(IF(ISNUMBER(AK120),AK120,9E15),IF(ISNUMBER(AL120),AL120,9E15),IF(ISNUMBER(AM120),AM120,9E15),IF(ISNUMBER(AN120),AN120,9E15),IF(ISNUMBER(AO120),AO120,9E15))</f>
        <v/>
      </c>
      <c r="AX120" s="29">
        <f>IF(BD120&gt;Parameters!$B$21*(MAX(IF(AND(NOT(AND(AU120=1,AT120&lt;&gt;1)),ISNUMBER(AK120),AK120&lt;=(C120+T120)),AY120,0),IF(AND(NOT(AND(AU120=1,AT120&lt;&gt;1)),ISNUMBER(AL120),AL120&lt;=(C120+T120)),AZ120,0),IF(AND(NOT(AND(AU120=1,AT120&lt;&gt;1)),ISNUMBER(AM120),AM120&lt;=(C120+T120)),BA120,0),IF(AND(NOT(AND(AU120=1,AT120&lt;&gt;1)),ISNUMBER(AN120),AN120&lt;=(C120+T120)),BB120,0),IF(AND(ISNUMBER(AO120),AO120&lt;=(C120+T120)),BC120,0))),TRUE,FALSE)</f>
        <v/>
      </c>
      <c r="AY120" s="32">
        <f>IFERROR(Upgrades!$H$13*(POWER(Upgrades!$P$13,E120)*POWER(Upgrades!$P$14,F120)*POWER(Upgrades!$P$15,G120)*POWER(Upgrades!$P$16,H120)*POWER(Upgrades!$P$17,I120)*POWER(Upgrades!$P$18,J120)*POWER(Upgrades!$P$19,K120)*POWER(Upgrades!$P$20,L120)*POWER(Upgrades!$P$21,M120))*(IF(Upgrades!$T$14="Stellar Kinematics",POWER(Upgrades!$U$14,F120),1)*IF(Upgrades!$T$15="Stellar Kinematics",POWER(Upgrades!$U$15,G120),1)*IF(Upgrades!$T$16="Stellar Kinematics",POWER(Upgrades!$U$16,H120),1)*IF(Upgrades!$T$17="Stellar Kinematics",POWER(Upgrades!$U$17,I120),1)*IF(Upgrades!$T$18="Stellar Kinematics",POWER(Upgrades!$U$18,J120),1)*IF(Upgrades!$T$19="Stellar Kinematics",POWER(Upgrades!$U$19,K120),1)*IF(Upgrades!$T$20="Stellar Kinematics",POWER(Upgrades!$U$20,L120),1)*IF(Upgrades!$T$21="Stellar Kinematics",POWER(Upgrades!$U$21,M120),1))*$F$6/AK120,0)</f>
        <v/>
      </c>
      <c r="AZ120" s="32">
        <f>IFERROR(Upgrades!$H$14*(POWER(Upgrades!$P$13,E120)*POWER(Upgrades!$P$14,F120)*POWER(Upgrades!$P$15,G120)*POWER(Upgrades!$P$16,H120)*POWER(Upgrades!$P$17,I120)*POWER(Upgrades!$P$18,J120)*POWER(Upgrades!$P$19,K120)*POWER(Upgrades!$P$20,L120)*POWER(Upgrades!$P$21,M120))*(IF(Upgrades!$T$13="Local Bubble",POWER(Upgrades!$U$13,E120),1)*IF(Upgrades!$T$15="Local Bubble",POWER(Upgrades!$U$15,G120),1)*IF(Upgrades!$T$16="Local Bubble",POWER(Upgrades!$U$16,H120),1)*IF(Upgrades!$T$17="Local Bubble",POWER(Upgrades!$U$17,I120),1)*IF(Upgrades!$T$18="Local Bubble",POWER(Upgrades!$U$18,J120),1)*IF(Upgrades!$T$19="Local Bubble",POWER(Upgrades!$U$19,K120),1)*IF(Upgrades!$T$20="Local Bubble",POWER(Upgrades!$U$20,L120),1)*IF(Upgrades!$T$21="Local Bubble",POWER(Upgrades!$U$21,M120),1))*$F$6/AL120,0)</f>
        <v/>
      </c>
      <c r="BA120" s="32">
        <f>IFERROR(Upgrades!$K$15*(POWER(Upgrades!$Q$13,E120)*POWER(Upgrades!$Q$14,F120)*POWER(Upgrades!$Q$15,G120)*POWER(Upgrades!$Q$16,H120)*POWER(Upgrades!$Q$17,I120)*POWER(Upgrades!$Q$18,J120)*POWER(Upgrades!$Q$19,K120)*POWER(Upgrades!$Q$20,L120)*POWER(Upgrades!$Q$21,M120))*(IF(Upgrades!$T$13="Microlensing",POWER(Upgrades!$U$13,E120),1)*IF(Upgrades!$T$14="Microlensing",POWER(Upgrades!$U$14,F120),1)*IF(Upgrades!$T$16="Microlensing",POWER(Upgrades!$U$16,H120),1)*IF(Upgrades!$T$17="Microlensing",POWER(Upgrades!$U$17,I120),1)*IF(Upgrades!$T$18="Microlensing",POWER(Upgrades!$U$18,J120),1)*IF(Upgrades!$T$19="Microlensing",POWER(Upgrades!$U$19,K120),1)*IF(Upgrades!$T$20="Microlensing",POWER(Upgrades!$U$20,L120),1)*IF(Upgrades!$T$21="Microlensing",POWER(Upgrades!$U$21,M120),1))*$G$6*(Parameters!$B$10/60*Parameters!$B$11+Q120)/AM120,0)</f>
        <v/>
      </c>
      <c r="BB120" s="32">
        <f>IFERROR((Upgrades!$N$16*(POWER(Upgrades!$R$13,E120)*POWER(Upgrades!$R$14,F120)*POWER(Upgrades!$R$15,G120)*POWER(Upgrades!$R$16,H120)*POWER(Upgrades!$R$17,I120)*POWER(Upgrades!$R$18,J120)*POWER(Upgrades!$R$19,K120)*POWER(Upgrades!$R$20,L120)*POWER(Upgrades!$R$21,M120))*(IF(Upgrades!$T$13="Roche Lobe Overflow",POWER(Upgrades!$U$13,E120),1)*IF(Upgrades!$T$14="Roche Lobe Overflow",POWER(Upgrades!$U$14,F120),1)*IF(Upgrades!$T$15="Roche Lobe Overflow",POWER(Upgrades!$U$15,G120),1)*IF(Upgrades!$T$17="Roche Lobe Overflow",POWER(Upgrades!$U$17,I120),1)*IF(Upgrades!$T$18="Roche Lobe Overflow",POWER(Upgrades!$U$18,J120),1)*IF(Upgrades!$T$19="Roche Lobe Overflow",POWER(Upgrades!$U$19,K120),1)*IF(Upgrades!$T$20="Roche Lobe Overflow",POWER(Upgrades!$U$20,L120),1)*IF(Upgrades!$T$21="Roche Lobe Overflow",POWER(Upgrades!$U$21,M120),1))*$H$6*O120+((IF(F120=0,0,(Upgrades!$G$14+F120*Upgrades!$H$14)*POWER(Upgrades!$I$14,F120)))*(IF(Upgrades!$T$13="Local Bubble",POWER(Upgrades!$U$13,E120),1)*IF(Upgrades!$T$15="Local Bubble",POWER(Upgrades!$U$15,G120),1)*IF(Upgrades!$T$16="Local Bubble",POWER(Upgrades!$U$16,H120),1)*IF(Upgrades!$T$17="Local Bubble",POWER(Upgrades!$U$17,I120),1)*IF(Upgrades!$T$18="Local Bubble",POWER(Upgrades!$U$18,J120),1)*IF(Upgrades!$T$19="Local Bubble",POWER(Upgrades!$U$19,K120),1)*IF(Upgrades!$T$20="Local Bubble",POWER(Upgrades!$U$20,L120),1)*IF(Upgrades!$T$21="Local Bubble",POWER(Upgrades!$U$21,M120),1))*POWER(Upgrades!$P$13,E120)*POWER(Upgrades!$P$14,F120)*POWER(Upgrades!$P$15,G120)*POWER(Upgrades!$P$16,H120)*POWER(Upgrades!$P$17,I120)*POWER(Upgrades!$P$18,J120)*POWER(Upgrades!$P$19,K120)*POWER(Upgrades!$P$20,L120)*POWER(Upgrades!$P$21,M120)*$F$6)*0.05)/AN120,0)</f>
        <v/>
      </c>
      <c r="BC120" s="32">
        <f>IFERROR((Upgrades!$H$17*(POWER(Upgrades!$P$13,E120)*POWER(Upgrades!$P$14,F120)*POWER(Upgrades!$P$15,G120)*POWER(Upgrades!$P$16,H120)*POWER(Upgrades!$P$17,I120)*POWER(Upgrades!$P$18,J120)*POWER(Upgrades!$P$19,K120)*POWER(Upgrades!$P$20,L120)*POWER(Upgrades!$P$21,M120))*(IF(Upgrades!$T$13="Brown Dwarf",POWER(Upgrades!$U$13,E120),1)*IF(Upgrades!$T$14="Brown Dwarf",POWER(Upgrades!$U$14,F120),1)*IF(Upgrades!$T$15="Brown Dwarf",POWER(Upgrades!$U$15,G120),1)*IF(Upgrades!$T$16="Brown Dwarf",POWER(Upgrades!$U$16,H120),1)*IF(Upgrades!$T$18="Brown Dwarf",POWER(Upgrades!$U$18,J120),1)*IF(Upgrades!$T$19="Brown Dwarf",POWER(Upgrades!$U$19,K120),1)*IF(Upgrades!$T$20="Brown Dwarf",POWER(Upgrades!$U$20,L120),1)*IF(Upgrades!$T$21="Brown Dwarf",POWER(Upgrades!$U$21,M120),1))*$F$6+(((IF(H120=0,0,(Upgrades!$M$16+H120*Upgrades!$N$16)*POWER(Upgrades!$O$16,H120)))*(IF(Upgrades!$T$13="Roche Lobe Overflow",POWER(Upgrades!$U$13,E120),1)*IF(Upgrades!$T$14="Roche Lobe Overflow",POWER(Upgrades!$U$14,F120),1)*IF(Upgrades!$T$15="Roche Lobe Overflow",POWER(Upgrades!$U$15,G120),1)*IF(Upgrades!$T$17="Roche Lobe Overflow",POWER(Upgrades!$U$17,I120),1)*IF(Upgrades!$T$18="Roche Lobe Overflow",POWER(Upgrades!$U$18,J120),1)*IF(Upgrades!$T$19="Roche Lobe Overflow",POWER(Upgrades!$U$19,K120),1)*IF(Upgrades!$T$20="Roche Lobe Overflow",POWER(Upgrades!$U$20,L120),1)*IF(Upgrades!$T$21="Roche Lobe Overflow",POWER(Upgrades!$U$21,M120),1))*POWER(Upgrades!$R$13,E120)*POWER(Upgrades!$R$14,F120)*POWER(Upgrades!$R$15,G120)*POWER(Upgrades!$R$16,H120)*POWER(Upgrades!$R$17,I120)*POWER(Upgrades!$R$18,J120)*POWER(Upgrades!$R$19,K120)*POWER(Upgrades!$R$20,L120)*POWER(Upgrades!$R$21,M120)*$H$6)*O120)*0.10)/AO120,0)</f>
        <v/>
      </c>
      <c r="BD120" s="32">
        <f>MAX(IF(J120&gt;0,0,IFERROR(0.5*((IF(G120=0,0,(Upgrades!$J$15+G120*Upgrades!$K$15)*POWER(Upgrades!$L$15,G120)))*(IF(Upgrades!$T$13="Microlensing",POWER(Upgrades!$U$13,E120),1)*IF(Upgrades!$T$14="Microlensing",POWER(Upgrades!$U$14,F120),1)*IF(Upgrades!$T$16="Microlensing",POWER(Upgrades!$U$16,H120),1)*IF(Upgrades!$T$17="Microlensing",POWER(Upgrades!$U$17,I120),1)*IF(Upgrades!$T$18="Microlensing",POWER(Upgrades!$U$18,J120),1)*IF(Upgrades!$T$19="Microlensing",POWER(Upgrades!$U$19,K120),1)*IF(Upgrades!$T$20="Microlensing",POWER(Upgrades!$U$20,L120),1)*IF(Upgrades!$T$21="Microlensing",POWER(Upgrades!$U$21,M120),1))*(POWER(Upgrades!$Q$13,E120)*POWER(Upgrades!$Q$14,F120)*POWER(Upgrades!$Q$15,G120)*POWER(Upgrades!$Q$16,H120)*POWER(Upgrades!$Q$17,I120)*POWER(Upgrades!$Q$18,J120)*POWER(Upgrades!$Q$19,K120)*POWER(Upgrades!$Q$20,L120)*POWER(Upgrades!$Q$21,M120))*$G$6*(Parameters!$B$10/60*Parameters!$B$11+Q120))/Upgrades!$C$18,0)),IF(K120&gt;0,0,IFERROR(0.30*P120/Upgrades!$C$19,0)),IF(L120&gt;0,0,IFERROR(0.0001/Upgrades!$C$20,0)),IF(M120&gt;0,0,IFERROR((6.0*(POWER(Upgrades!$P$13,E120)*POWER(Upgrades!$P$14,F120)*POWER(Upgrades!$P$15,G120)*POWER(Upgrades!$P$16,H120)*POWER(Upgrades!$P$17,I120)*POWER(Upgrades!$P$18,J120)*POWER(Upgrades!$P$19,K120)*POWER(Upgrades!$P$20,L120)*POWER(Upgrades!$P$21,M120))*$F$6+0.20*O120*(Parameters!$B$10/60*Parameters!$B$11+Q120))/Upgrades!$C$21,0)),IF(AND(ISNUMBER(AK120),AK120&gt;(C120+T120)),AY120,0),IF(AND(ISNUMBER(AL120),AL120&gt;(C120+T120)),AZ120,0),IF(AND(ISNUMBER(AM120),AM120&gt;(C120+T120)),BA120,0),IF(AND(ISNUMBER(AN120),AN120&gt;(C120+T120)),BB120,0),IF(AND(ISNUMBER(AO120),AO120&gt;(C120+T120)),BC120,0))</f>
        <v/>
      </c>
      <c r="BE120" s="29">
        <f>IF(AT120=1,"transition",IF(MIN(IF(AND(J120=0,ISNUMBER(AP120),AP120&lt;=(C120+T120)),AP120,9E15),IF(AND(K120=0,ISNUMBER(AQ120),AQ120&lt;=(C120+T120)),AQ120,9E15),IF(AND(L120=0,ISNUMBER(AR120),AR120&lt;=(C120+T120)),AR120,9E15),IF(AND(M120=0,ISNUMBER(AS120),AS120&lt;=(C120+T120)),AS120,9E15))&lt;9E15,IF(AND(AND(J120=0,ISNUMBER(AP120),AP120&lt;=(C120+T120)),AP120=MIN(IF(AND(J120=0,ISNUMBER(AP120),AP120&lt;=(C120+T120)),AP120,9E15),IF(AND(K120=0,ISNUMBER(AQ120),AQ120&lt;=(C120+T120)),AQ120,9E15),IF(AND(L120=0,ISNUMBER(AR120),AR120&lt;=(C120+T120)),AR120,9E15),IF(AND(M120=0,ISNUMBER(AS120),AS120&lt;=(C120+T120)),AS120,9E15))),"BiP",IF(AND(AND(K120=0,ISNUMBER(AQ120),AQ120&lt;=(C120+T120)),AQ120=MIN(IF(AND(J120=0,ISNUMBER(AP120),AP120&lt;=(C120+T120)),AP120,9E15),IF(AND(K120=0,ISNUMBER(AQ120),AQ120&lt;=(C120+T120)),AQ120,9E15),IF(AND(L120=0,ISNUMBER(AR120),AR120&lt;=(C120+T120)),AR120,9E15),IF(AND(M120=0,ISNUMBER(AS120),AS120&lt;=(C120+T120)),AS120,9E15))),"PV",IF(AND(AND(L120=0,ISNUMBER(AR120),AR120&lt;=(C120+T120)),AR120=MIN(IF(AND(J120=0,ISNUMBER(AP120),AP120&lt;=(C120+T120)),AP120,9E15),IF(AND(K120=0,ISNUMBER(AQ120),AQ120&lt;=(C120+T120)),AQ120,9E15),IF(AND(L120=0,ISNUMBER(AR120),AR120&lt;=(C120+T120)),AR120,9E15),IF(AND(M120=0,ISNUMBER(AS120),AS120&lt;=(C120+T120)),AS120,9E15))),"OC","MG"))),IF(AX120=TRUE,"",IF(MAX(IF(AND(NOT(AND(AU120=1,AT120&lt;&gt;1)),ISNUMBER(AK120),AK120&lt;=(C120+T120)),AY120,0),IF(AND(NOT(AND(AU120=1,AT120&lt;&gt;1)),ISNUMBER(AL120),AL120&lt;=(C120+T120)),AZ120,0),IF(AND(NOT(AND(AU120=1,AT120&lt;&gt;1)),ISNUMBER(AM120),AM120&lt;=(C120+T120)),BA120,0),IF(AND(NOT(AND(AU120=1,AT120&lt;&gt;1)),ISNUMBER(AN120),AN120&lt;=(C120+T120)),BB120,0),IF(AND(ISNUMBER(AO120),AO120&lt;=(C120+T120)),BC120,0))&lt;=0,"",IF(AND(IF(AND(NOT(AND(AU120=1,AT120&lt;&gt;1)),ISNUMBER(AK120),AK120&lt;=(C120+T120)),AY120,0)&gt;0,IF(AND(NOT(AND(AU120=1,AT120&lt;&gt;1)),ISNUMBER(AK120),AK120&lt;=(C120+T120)),AY120,0)=MAX(IF(AND(NOT(AND(AU120=1,AT120&lt;&gt;1)),ISNUMBER(AK120),AK120&lt;=(C120+T120)),AY120,0),IF(AND(NOT(AND(AU120=1,AT120&lt;&gt;1)),ISNUMBER(AL120),AL120&lt;=(C120+T120)),AZ120,0),IF(AND(NOT(AND(AU120=1,AT120&lt;&gt;1)),ISNUMBER(AM120),AM120&lt;=(C120+T120)),BA120,0),IF(AND(NOT(AND(AU120=1,AT120&lt;&gt;1)),ISNUMBER(AN120),AN120&lt;=(C120+T120)),BB120,0),IF(AND(ISNUMBER(AO120),AO120&lt;=(C120+T120)),BC120,0))),"SK",IF(AND(IF(AND(NOT(AND(AU120=1,AT120&lt;&gt;1)),ISNUMBER(AL120),AL120&lt;=(C120+T120)),AZ120,0)&gt;0,IF(AND(NOT(AND(AU120=1,AT120&lt;&gt;1)),ISNUMBER(AL120),AL120&lt;=(C120+T120)),AZ120,0)=MAX(IF(AND(NOT(AND(AU120=1,AT120&lt;&gt;1)),ISNUMBER(AK120),AK120&lt;=(C120+T120)),AY120,0),IF(AND(NOT(AND(AU120=1,AT120&lt;&gt;1)),ISNUMBER(AL120),AL120&lt;=(C120+T120)),AZ120,0),IF(AND(NOT(AND(AU120=1,AT120&lt;&gt;1)),ISNUMBER(AM120),AM120&lt;=(C120+T120)),BA120,0),IF(AND(NOT(AND(AU120=1,AT120&lt;&gt;1)),ISNUMBER(AN120),AN120&lt;=(C120+T120)),BB120,0),IF(AND(ISNUMBER(AO120),AO120&lt;=(C120+T120)),BC120,0))),"LB",IF(AND(IF(AND(NOT(AND(AU120=1,AT120&lt;&gt;1)),ISNUMBER(AM120),AM120&lt;=(C120+T120)),BA120,0)&gt;0,IF(AND(NOT(AND(AU120=1,AT120&lt;&gt;1)),ISNUMBER(AM120),AM120&lt;=(C120+T120)),BA120,0)=MAX(IF(AND(NOT(AND(AU120=1,AT120&lt;&gt;1)),ISNUMBER(AK120),AK120&lt;=(C120+T120)),AY120,0),IF(AND(NOT(AND(AU120=1,AT120&lt;&gt;1)),ISNUMBER(AL120),AL120&lt;=(C120+T120)),AZ120,0),IF(AND(NOT(AND(AU120=1,AT120&lt;&gt;1)),ISNUMBER(AM120),AM120&lt;=(C120+T120)),BA120,0),IF(AND(NOT(AND(AU120=1,AT120&lt;&gt;1)),ISNUMBER(AN120),AN120&lt;=(C120+T120)),BB120,0),IF(AND(ISNUMBER(AO120),AO120&lt;=(C120+T120)),BC120,0))),"ML",IF(AND(IF(AND(NOT(AND(AU120=1,AT120&lt;&gt;1)),ISNUMBER(AN120),AN120&lt;=(C120+T120)),BB120,0)&gt;0,IF(AND(NOT(AND(AU120=1,AT120&lt;&gt;1)),ISNUMBER(AN120),AN120&lt;=(C120+T120)),BB120,0)=MAX(IF(AND(NOT(AND(AU120=1,AT120&lt;&gt;1)),ISNUMBER(AK120),AK120&lt;=(C120+T120)),AY120,0),IF(AND(NOT(AND(AU120=1,AT120&lt;&gt;1)),ISNUMBER(AL120),AL120&lt;=(C120+T120)),AZ120,0),IF(AND(NOT(AND(AU120=1,AT120&lt;&gt;1)),ISNUMBER(AM120),AM120&lt;=(C120+T120)),BA120,0),IF(AND(NOT(AND(AU120=1,AT120&lt;&gt;1)),ISNUMBER(AN120),AN120&lt;=(C120+T120)),BB120,0),IF(AND(ISNUMBER(AO120),AO120&lt;=(C120+T120)),BC120,0))),"RLO","BD"))))))))</f>
        <v/>
      </c>
    </row>
    <row r="121">
      <c r="A121" s="26" t="n">
        <v>110</v>
      </c>
      <c r="B121" s="27">
        <f>A121*10/60</f>
        <v/>
      </c>
      <c r="C121" s="22">
        <f>X120</f>
        <v/>
      </c>
      <c r="D121" s="27">
        <f>D120+W120</f>
        <v/>
      </c>
      <c r="E121" s="26">
        <f>E120+IF(U120="SK",1,0)</f>
        <v/>
      </c>
      <c r="F121" s="26">
        <f>F120+IF(U120="LB",1,0)</f>
        <v/>
      </c>
      <c r="G121" s="26">
        <f>G120+IF(U120="ML",1,0)</f>
        <v/>
      </c>
      <c r="H121" s="26">
        <f>H120+IF(U120="RLO",1,0)</f>
        <v/>
      </c>
      <c r="I121" s="26">
        <f>I120+IF(U120="BD",1,0)</f>
        <v/>
      </c>
      <c r="J121" s="26">
        <f>MAX(J120,IF(U120="BiP",1,0))</f>
        <v/>
      </c>
      <c r="K121" s="26">
        <f>MAX(K120,IF(U120="PV",1,0))</f>
        <v/>
      </c>
      <c r="L121" s="26">
        <f>MAX(L120,IF(U120="OC",1,0))</f>
        <v/>
      </c>
      <c r="M121" s="26">
        <f>MAX(M120,IF(U120="MG",1,0))</f>
        <v/>
      </c>
      <c r="N121" s="26">
        <f>MAX(N120,IF(U120="transition",1,0))</f>
        <v/>
      </c>
      <c r="O121" s="28">
        <f>(Parameters!$B$9+(IF(E121=0,0,(Upgrades!$J$13+E121*Upgrades!$K$13)*POWER(Upgrades!$L$13,E121)))*(IF(Upgrades!$T$14="Stellar Kinematics",POWER(Upgrades!$U$14,F121),1)*IF(Upgrades!$T$15="Stellar Kinematics",POWER(Upgrades!$U$15,G121),1)*IF(Upgrades!$T$16="Stellar Kinematics",POWER(Upgrades!$U$16,H121),1)*IF(Upgrades!$T$17="Stellar Kinematics",POWER(Upgrades!$U$17,I121),1)*IF(Upgrades!$T$18="Stellar Kinematics",POWER(Upgrades!$U$18,J121),1)*IF(Upgrades!$T$19="Stellar Kinematics",POWER(Upgrades!$U$19,K121),1)*IF(Upgrades!$T$20="Stellar Kinematics",POWER(Upgrades!$U$20,L121),1)*IF(Upgrades!$T$21="Stellar Kinematics",POWER(Upgrades!$U$21,M121),1))+(IF(F121=0,0,(Upgrades!$J$14+F121*Upgrades!$K$14)*POWER(Upgrades!$L$14,F121)))*(IF(Upgrades!$T$13="Local Bubble",POWER(Upgrades!$U$13,E121),1)*IF(Upgrades!$T$15="Local Bubble",POWER(Upgrades!$U$15,G121),1)*IF(Upgrades!$T$16="Local Bubble",POWER(Upgrades!$U$16,H121),1)*IF(Upgrades!$T$17="Local Bubble",POWER(Upgrades!$U$17,I121),1)*IF(Upgrades!$T$18="Local Bubble",POWER(Upgrades!$U$18,J121),1)*IF(Upgrades!$T$19="Local Bubble",POWER(Upgrades!$U$19,K121),1)*IF(Upgrades!$T$20="Local Bubble",POWER(Upgrades!$U$20,L121),1)*IF(Upgrades!$T$21="Local Bubble",POWER(Upgrades!$U$21,M121),1))+(IF(G121=0,0,(Upgrades!$J$15+G121*Upgrades!$K$15)*POWER(Upgrades!$L$15,G121)))*(IF(Upgrades!$T$13="Microlensing",POWER(Upgrades!$U$13,E121),1)*IF(Upgrades!$T$14="Microlensing",POWER(Upgrades!$U$14,F121),1)*IF(Upgrades!$T$16="Microlensing",POWER(Upgrades!$U$16,H121),1)*IF(Upgrades!$T$17="Microlensing",POWER(Upgrades!$U$17,I121),1)*IF(Upgrades!$T$18="Microlensing",POWER(Upgrades!$U$18,J121),1)*IF(Upgrades!$T$19="Microlensing",POWER(Upgrades!$U$19,K121),1)*IF(Upgrades!$T$20="Microlensing",POWER(Upgrades!$U$20,L121),1)*IF(Upgrades!$T$21="Microlensing",POWER(Upgrades!$U$21,M121),1))+(IF(H121=0,0,(Upgrades!$J$16+H121*Upgrades!$K$16)*POWER(Upgrades!$L$16,H121)))*(IF(Upgrades!$T$13="Roche Lobe Overflow",POWER(Upgrades!$U$13,E121),1)*IF(Upgrades!$T$14="Roche Lobe Overflow",POWER(Upgrades!$U$14,F121),1)*IF(Upgrades!$T$15="Roche Lobe Overflow",POWER(Upgrades!$U$15,G121),1)*IF(Upgrades!$T$17="Roche Lobe Overflow",POWER(Upgrades!$U$17,I121),1)*IF(Upgrades!$T$18="Roche Lobe Overflow",POWER(Upgrades!$U$18,J121),1)*IF(Upgrades!$T$19="Roche Lobe Overflow",POWER(Upgrades!$U$19,K121),1)*IF(Upgrades!$T$20="Roche Lobe Overflow",POWER(Upgrades!$U$20,L121),1)*IF(Upgrades!$T$21="Roche Lobe Overflow",POWER(Upgrades!$U$21,M121),1))+(IF(I121=0,0,(Upgrades!$J$17+I121*Upgrades!$K$17)*POWER(Upgrades!$L$17,I121)))*(IF(Upgrades!$T$13="Brown Dwarf",POWER(Upgrades!$U$13,E121),1)*IF(Upgrades!$T$14="Brown Dwarf",POWER(Upgrades!$U$14,F121),1)*IF(Upgrades!$T$15="Brown Dwarf",POWER(Upgrades!$U$15,G121),1)*IF(Upgrades!$T$16="Brown Dwarf",POWER(Upgrades!$U$16,H121),1)*IF(Upgrades!$T$18="Brown Dwarf",POWER(Upgrades!$U$18,J121),1)*IF(Upgrades!$T$19="Brown Dwarf",POWER(Upgrades!$U$19,K121),1)*IF(Upgrades!$T$20="Brown Dwarf",POWER(Upgrades!$U$20,L121),1)*IF(Upgrades!$T$21="Brown Dwarf",POWER(Upgrades!$U$21,M121),1))+(IF(J121=0,0,(Upgrades!$J$18+J121*Upgrades!$K$18)*POWER(Upgrades!$L$18,J121)))*(IF(Upgrades!$T$13="Binary Partner",POWER(Upgrades!$U$13,E121),1)*IF(Upgrades!$T$14="Binary Partner",POWER(Upgrades!$U$14,F121),1)*IF(Upgrades!$T$15="Binary Partner",POWER(Upgrades!$U$15,G121),1)*IF(Upgrades!$T$16="Binary Partner",POWER(Upgrades!$U$16,H121),1)*IF(Upgrades!$T$17="Binary Partner",POWER(Upgrades!$U$17,I121),1)*IF(Upgrades!$T$19="Binary Partner",POWER(Upgrades!$U$19,K121),1)*IF(Upgrades!$T$20="Binary Partner",POWER(Upgrades!$U$20,L121),1)*IF(Upgrades!$T$21="Binary Partner",POWER(Upgrades!$U$21,M121),1))+(IF(K121=0,0,(Upgrades!$J$19+K121*Upgrades!$K$19)*POWER(Upgrades!$L$19,K121)))*(IF(Upgrades!$T$13="Peculiar Velocity",POWER(Upgrades!$U$13,E121),1)*IF(Upgrades!$T$14="Peculiar Velocity",POWER(Upgrades!$U$14,F121),1)*IF(Upgrades!$T$15="Peculiar Velocity",POWER(Upgrades!$U$15,G121),1)*IF(Upgrades!$T$16="Peculiar Velocity",POWER(Upgrades!$U$16,H121),1)*IF(Upgrades!$T$17="Peculiar Velocity",POWER(Upgrades!$U$17,I121),1)*IF(Upgrades!$T$18="Peculiar Velocity",POWER(Upgrades!$U$18,J121),1)*IF(Upgrades!$T$20="Peculiar Velocity",POWER(Upgrades!$U$20,L121),1)*IF(Upgrades!$T$21="Peculiar Velocity",POWER(Upgrades!$U$21,M121),1))+(IF(L121=0,0,(Upgrades!$J$20+L121*Upgrades!$K$20)*POWER(Upgrades!$L$20,L121)))*(IF(Upgrades!$T$13="Open Cluster",POWER(Upgrades!$U$13,E121),1)*IF(Upgrades!$T$14="Open Cluster",POWER(Upgrades!$U$14,F121),1)*IF(Upgrades!$T$15="Open Cluster",POWER(Upgrades!$U$15,G121),1)*IF(Upgrades!$T$16="Open Cluster",POWER(Upgrades!$U$16,H121),1)*IF(Upgrades!$T$17="Open Cluster",POWER(Upgrades!$U$17,I121),1)*IF(Upgrades!$T$18="Open Cluster",POWER(Upgrades!$U$18,J121),1)*IF(Upgrades!$T$19="Open Cluster",POWER(Upgrades!$U$19,K121),1)*IF(Upgrades!$T$21="Open Cluster",POWER(Upgrades!$U$21,M121),1))+(IF(M121=0,0,(Upgrades!$J$21+M121*Upgrades!$K$21)*POWER(Upgrades!$L$21,M121)))*(IF(Upgrades!$T$13="Moving Group",POWER(Upgrades!$U$13,E121),1)*IF(Upgrades!$T$14="Moving Group",POWER(Upgrades!$U$14,F121),1)*IF(Upgrades!$T$15="Moving Group",POWER(Upgrades!$U$15,G121),1)*IF(Upgrades!$T$16="Moving Group",POWER(Upgrades!$U$16,H121),1)*IF(Upgrades!$T$17="Moving Group",POWER(Upgrades!$U$17,I121),1)*IF(Upgrades!$T$18="Moving Group",POWER(Upgrades!$U$18,J121),1)*IF(Upgrades!$T$19="Moving Group",POWER(Upgrades!$U$19,K121),1)*IF(Upgrades!$T$20="Moving Group",POWER(Upgrades!$U$20,L121),1)))*POWER(Upgrades!$Q$13,E121)*POWER(Upgrades!$Q$14,F121)*POWER(Upgrades!$Q$15,G121)*POWER(Upgrades!$Q$16,H121)*POWER(Upgrades!$Q$17,I121)*POWER(Upgrades!$Q$18,J121)*POWER(Upgrades!$Q$19,K121)*POWER(Upgrades!$Q$20,L121)*POWER(Upgrades!$Q$21,M121)*$G$6+$D$6</f>
        <v/>
      </c>
      <c r="P121" s="28">
        <f>((IF(E121=0,0,(Upgrades!$G$13+E121*Upgrades!$H$13)*POWER(Upgrades!$I$13,E121)))*(IF(Upgrades!$T$14="Stellar Kinematics",POWER(Upgrades!$U$14,F121),1)*IF(Upgrades!$T$15="Stellar Kinematics",POWER(Upgrades!$U$15,G121),1)*IF(Upgrades!$T$16="Stellar Kinematics",POWER(Upgrades!$U$16,H121),1)*IF(Upgrades!$T$17="Stellar Kinematics",POWER(Upgrades!$U$17,I121),1)*IF(Upgrades!$T$18="Stellar Kinematics",POWER(Upgrades!$U$18,J121),1)*IF(Upgrades!$T$19="Stellar Kinematics",POWER(Upgrades!$U$19,K121),1)*IF(Upgrades!$T$20="Stellar Kinematics",POWER(Upgrades!$U$20,L121),1)*IF(Upgrades!$T$21="Stellar Kinematics",POWER(Upgrades!$U$21,M121),1))+(IF(F121=0,0,(Upgrades!$G$14+F121*Upgrades!$H$14)*POWER(Upgrades!$I$14,F121)))*(IF(Upgrades!$T$13="Local Bubble",POWER(Upgrades!$U$13,E121),1)*IF(Upgrades!$T$15="Local Bubble",POWER(Upgrades!$U$15,G121),1)*IF(Upgrades!$T$16="Local Bubble",POWER(Upgrades!$U$16,H121),1)*IF(Upgrades!$T$17="Local Bubble",POWER(Upgrades!$U$17,I121),1)*IF(Upgrades!$T$18="Local Bubble",POWER(Upgrades!$U$18,J121),1)*IF(Upgrades!$T$19="Local Bubble",POWER(Upgrades!$U$19,K121),1)*IF(Upgrades!$T$20="Local Bubble",POWER(Upgrades!$U$20,L121),1)*IF(Upgrades!$T$21="Local Bubble",POWER(Upgrades!$U$21,M121),1))+(IF(G121=0,0,(Upgrades!$G$15+G121*Upgrades!$H$15)*POWER(Upgrades!$I$15,G121)))*(IF(Upgrades!$T$13="Microlensing",POWER(Upgrades!$U$13,E121),1)*IF(Upgrades!$T$14="Microlensing",POWER(Upgrades!$U$14,F121),1)*IF(Upgrades!$T$16="Microlensing",POWER(Upgrades!$U$16,H121),1)*IF(Upgrades!$T$17="Microlensing",POWER(Upgrades!$U$17,I121),1)*IF(Upgrades!$T$18="Microlensing",POWER(Upgrades!$U$18,J121),1)*IF(Upgrades!$T$19="Microlensing",POWER(Upgrades!$U$19,K121),1)*IF(Upgrades!$T$20="Microlensing",POWER(Upgrades!$U$20,L121),1)*IF(Upgrades!$T$21="Microlensing",POWER(Upgrades!$U$21,M121),1))+(IF(H121=0,0,(Upgrades!$G$16+H121*Upgrades!$H$16)*POWER(Upgrades!$I$16,H121)))*(IF(Upgrades!$T$13="Roche Lobe Overflow",POWER(Upgrades!$U$13,E121),1)*IF(Upgrades!$T$14="Roche Lobe Overflow",POWER(Upgrades!$U$14,F121),1)*IF(Upgrades!$T$15="Roche Lobe Overflow",POWER(Upgrades!$U$15,G121),1)*IF(Upgrades!$T$17="Roche Lobe Overflow",POWER(Upgrades!$U$17,I121),1)*IF(Upgrades!$T$18="Roche Lobe Overflow",POWER(Upgrades!$U$18,J121),1)*IF(Upgrades!$T$19="Roche Lobe Overflow",POWER(Upgrades!$U$19,K121),1)*IF(Upgrades!$T$20="Roche Lobe Overflow",POWER(Upgrades!$U$20,L121),1)*IF(Upgrades!$T$21="Roche Lobe Overflow",POWER(Upgrades!$U$21,M121),1))+(IF(I121=0,0,(Upgrades!$G$17+I121*Upgrades!$H$17)*POWER(Upgrades!$I$17,I121)))*(IF(Upgrades!$T$13="Brown Dwarf",POWER(Upgrades!$U$13,E121),1)*IF(Upgrades!$T$14="Brown Dwarf",POWER(Upgrades!$U$14,F121),1)*IF(Upgrades!$T$15="Brown Dwarf",POWER(Upgrades!$U$15,G121),1)*IF(Upgrades!$T$16="Brown Dwarf",POWER(Upgrades!$U$16,H121),1)*IF(Upgrades!$T$18="Brown Dwarf",POWER(Upgrades!$U$18,J121),1)*IF(Upgrades!$T$19="Brown Dwarf",POWER(Upgrades!$U$19,K121),1)*IF(Upgrades!$T$20="Brown Dwarf",POWER(Upgrades!$U$20,L121),1)*IF(Upgrades!$T$21="Brown Dwarf",POWER(Upgrades!$U$21,M121),1))+(IF(J121=0,0,(Upgrades!$G$18+J121*Upgrades!$H$18)*POWER(Upgrades!$I$18,J121)))*(IF(Upgrades!$T$13="Binary Partner",POWER(Upgrades!$U$13,E121),1)*IF(Upgrades!$T$14="Binary Partner",POWER(Upgrades!$U$14,F121),1)*IF(Upgrades!$T$15="Binary Partner",POWER(Upgrades!$U$15,G121),1)*IF(Upgrades!$T$16="Binary Partner",POWER(Upgrades!$U$16,H121),1)*IF(Upgrades!$T$17="Binary Partner",POWER(Upgrades!$U$17,I121),1)*IF(Upgrades!$T$19="Binary Partner",POWER(Upgrades!$U$19,K121),1)*IF(Upgrades!$T$20="Binary Partner",POWER(Upgrades!$U$20,L121),1)*IF(Upgrades!$T$21="Binary Partner",POWER(Upgrades!$U$21,M121),1))+(IF(K121=0,0,(Upgrades!$G$19+K121*Upgrades!$H$19)*POWER(Upgrades!$I$19,K121)))*(IF(Upgrades!$T$13="Peculiar Velocity",POWER(Upgrades!$U$13,E121),1)*IF(Upgrades!$T$14="Peculiar Velocity",POWER(Upgrades!$U$14,F121),1)*IF(Upgrades!$T$15="Peculiar Velocity",POWER(Upgrades!$U$15,G121),1)*IF(Upgrades!$T$16="Peculiar Velocity",POWER(Upgrades!$U$16,H121),1)*IF(Upgrades!$T$17="Peculiar Velocity",POWER(Upgrades!$U$17,I121),1)*IF(Upgrades!$T$18="Peculiar Velocity",POWER(Upgrades!$U$18,J121),1)*IF(Upgrades!$T$20="Peculiar Velocity",POWER(Upgrades!$U$20,L121),1)*IF(Upgrades!$T$21="Peculiar Velocity",POWER(Upgrades!$U$21,M121),1))+(IF(L121=0,0,(Upgrades!$G$20+L121*Upgrades!$H$20)*POWER(Upgrades!$I$20,L121)))*(IF(Upgrades!$T$13="Open Cluster",POWER(Upgrades!$U$13,E121),1)*IF(Upgrades!$T$14="Open Cluster",POWER(Upgrades!$U$14,F121),1)*IF(Upgrades!$T$15="Open Cluster",POWER(Upgrades!$U$15,G121),1)*IF(Upgrades!$T$16="Open Cluster",POWER(Upgrades!$U$16,H121),1)*IF(Upgrades!$T$17="Open Cluster",POWER(Upgrades!$U$17,I121),1)*IF(Upgrades!$T$18="Open Cluster",POWER(Upgrades!$U$18,J121),1)*IF(Upgrades!$T$19="Open Cluster",POWER(Upgrades!$U$19,K121),1)*IF(Upgrades!$T$21="Open Cluster",POWER(Upgrades!$U$21,M121),1))+(IF(M121=0,0,(Upgrades!$G$21+M121*Upgrades!$H$21)*POWER(Upgrades!$I$21,M121)))*(IF(Upgrades!$T$13="Moving Group",POWER(Upgrades!$U$13,E121),1)*IF(Upgrades!$T$14="Moving Group",POWER(Upgrades!$U$14,F121),1)*IF(Upgrades!$T$15="Moving Group",POWER(Upgrades!$U$15,G121),1)*IF(Upgrades!$T$16="Moving Group",POWER(Upgrades!$U$16,H121),1)*IF(Upgrades!$T$17="Moving Group",POWER(Upgrades!$U$17,I121),1)*IF(Upgrades!$T$18="Moving Group",POWER(Upgrades!$U$18,J121),1)*IF(Upgrades!$T$19="Moving Group",POWER(Upgrades!$U$19,K121),1)*IF(Upgrades!$T$20="Moving Group",POWER(Upgrades!$U$20,L121),1)))*POWER(Upgrades!$P$13,E121)*POWER(Upgrades!$P$14,F121)*POWER(Upgrades!$P$15,G121)*POWER(Upgrades!$P$16,H121)*POWER(Upgrades!$P$17,I121)*POWER(Upgrades!$P$18,J121)*POWER(Upgrades!$P$19,K121)*POWER(Upgrades!$P$20,L121)*POWER(Upgrades!$P$21,M121)*$F$6+$C$6</f>
        <v/>
      </c>
      <c r="Q121" s="28">
        <f>((IF(E121=0,0,(Upgrades!$M$13+E121*Upgrades!$N$13)*POWER(Upgrades!$O$13,E121)))*(IF(Upgrades!$T$14="Stellar Kinematics",POWER(Upgrades!$U$14,F121),1)*IF(Upgrades!$T$15="Stellar Kinematics",POWER(Upgrades!$U$15,G121),1)*IF(Upgrades!$T$16="Stellar Kinematics",POWER(Upgrades!$U$16,H121),1)*IF(Upgrades!$T$17="Stellar Kinematics",POWER(Upgrades!$U$17,I121),1)*IF(Upgrades!$T$18="Stellar Kinematics",POWER(Upgrades!$U$18,J121),1)*IF(Upgrades!$T$19="Stellar Kinematics",POWER(Upgrades!$U$19,K121),1)*IF(Upgrades!$T$20="Stellar Kinematics",POWER(Upgrades!$U$20,L121),1)*IF(Upgrades!$T$21="Stellar Kinematics",POWER(Upgrades!$U$21,M121),1))+(IF(F121=0,0,(Upgrades!$M$14+F121*Upgrades!$N$14)*POWER(Upgrades!$O$14,F121)))*(IF(Upgrades!$T$13="Local Bubble",POWER(Upgrades!$U$13,E121),1)*IF(Upgrades!$T$15="Local Bubble",POWER(Upgrades!$U$15,G121),1)*IF(Upgrades!$T$16="Local Bubble",POWER(Upgrades!$U$16,H121),1)*IF(Upgrades!$T$17="Local Bubble",POWER(Upgrades!$U$17,I121),1)*IF(Upgrades!$T$18="Local Bubble",POWER(Upgrades!$U$18,J121),1)*IF(Upgrades!$T$19="Local Bubble",POWER(Upgrades!$U$19,K121),1)*IF(Upgrades!$T$20="Local Bubble",POWER(Upgrades!$U$20,L121),1)*IF(Upgrades!$T$21="Local Bubble",POWER(Upgrades!$U$21,M121),1))+(IF(G121=0,0,(Upgrades!$M$15+G121*Upgrades!$N$15)*POWER(Upgrades!$O$15,G121)))*(IF(Upgrades!$T$13="Microlensing",POWER(Upgrades!$U$13,E121),1)*IF(Upgrades!$T$14="Microlensing",POWER(Upgrades!$U$14,F121),1)*IF(Upgrades!$T$16="Microlensing",POWER(Upgrades!$U$16,H121),1)*IF(Upgrades!$T$17="Microlensing",POWER(Upgrades!$U$17,I121),1)*IF(Upgrades!$T$18="Microlensing",POWER(Upgrades!$U$18,J121),1)*IF(Upgrades!$T$19="Microlensing",POWER(Upgrades!$U$19,K121),1)*IF(Upgrades!$T$20="Microlensing",POWER(Upgrades!$U$20,L121),1)*IF(Upgrades!$T$21="Microlensing",POWER(Upgrades!$U$21,M121),1))+(IF(H121=0,0,(Upgrades!$M$16+H121*Upgrades!$N$16)*POWER(Upgrades!$O$16,H121)))*(IF(Upgrades!$T$13="Roche Lobe Overflow",POWER(Upgrades!$U$13,E121),1)*IF(Upgrades!$T$14="Roche Lobe Overflow",POWER(Upgrades!$U$14,F121),1)*IF(Upgrades!$T$15="Roche Lobe Overflow",POWER(Upgrades!$U$15,G121),1)*IF(Upgrades!$T$17="Roche Lobe Overflow",POWER(Upgrades!$U$17,I121),1)*IF(Upgrades!$T$18="Roche Lobe Overflow",POWER(Upgrades!$U$18,J121),1)*IF(Upgrades!$T$19="Roche Lobe Overflow",POWER(Upgrades!$U$19,K121),1)*IF(Upgrades!$T$20="Roche Lobe Overflow",POWER(Upgrades!$U$20,L121),1)*IF(Upgrades!$T$21="Roche Lobe Overflow",POWER(Upgrades!$U$21,M121),1))+(IF(I121=0,0,(Upgrades!$M$17+I121*Upgrades!$N$17)*POWER(Upgrades!$O$17,I121)))*(IF(Upgrades!$T$13="Brown Dwarf",POWER(Upgrades!$U$13,E121),1)*IF(Upgrades!$T$14="Brown Dwarf",POWER(Upgrades!$U$14,F121),1)*IF(Upgrades!$T$15="Brown Dwarf",POWER(Upgrades!$U$15,G121),1)*IF(Upgrades!$T$16="Brown Dwarf",POWER(Upgrades!$U$16,H121),1)*IF(Upgrades!$T$18="Brown Dwarf",POWER(Upgrades!$U$18,J121),1)*IF(Upgrades!$T$19="Brown Dwarf",POWER(Upgrades!$U$19,K121),1)*IF(Upgrades!$T$20="Brown Dwarf",POWER(Upgrades!$U$20,L121),1)*IF(Upgrades!$T$21="Brown Dwarf",POWER(Upgrades!$U$21,M121),1))+(IF(J121=0,0,(Upgrades!$M$18+J121*Upgrades!$N$18)*POWER(Upgrades!$O$18,J121)))*(IF(Upgrades!$T$13="Binary Partner",POWER(Upgrades!$U$13,E121),1)*IF(Upgrades!$T$14="Binary Partner",POWER(Upgrades!$U$14,F121),1)*IF(Upgrades!$T$15="Binary Partner",POWER(Upgrades!$U$15,G121),1)*IF(Upgrades!$T$16="Binary Partner",POWER(Upgrades!$U$16,H121),1)*IF(Upgrades!$T$17="Binary Partner",POWER(Upgrades!$U$17,I121),1)*IF(Upgrades!$T$19="Binary Partner",POWER(Upgrades!$U$19,K121),1)*IF(Upgrades!$T$20="Binary Partner",POWER(Upgrades!$U$20,L121),1)*IF(Upgrades!$T$21="Binary Partner",POWER(Upgrades!$U$21,M121),1))+(IF(K121=0,0,(Upgrades!$M$19+K121*Upgrades!$N$19)*POWER(Upgrades!$O$19,K121)))*(IF(Upgrades!$T$13="Peculiar Velocity",POWER(Upgrades!$U$13,E121),1)*IF(Upgrades!$T$14="Peculiar Velocity",POWER(Upgrades!$U$14,F121),1)*IF(Upgrades!$T$15="Peculiar Velocity",POWER(Upgrades!$U$15,G121),1)*IF(Upgrades!$T$16="Peculiar Velocity",POWER(Upgrades!$U$16,H121),1)*IF(Upgrades!$T$17="Peculiar Velocity",POWER(Upgrades!$U$17,I121),1)*IF(Upgrades!$T$18="Peculiar Velocity",POWER(Upgrades!$U$18,J121),1)*IF(Upgrades!$T$20="Peculiar Velocity",POWER(Upgrades!$U$20,L121),1)*IF(Upgrades!$T$21="Peculiar Velocity",POWER(Upgrades!$U$21,M121),1))+(IF(L121=0,0,(Upgrades!$M$20+L121*Upgrades!$N$20)*POWER(Upgrades!$O$20,L121)))*(IF(Upgrades!$T$13="Open Cluster",POWER(Upgrades!$U$13,E121),1)*IF(Upgrades!$T$14="Open Cluster",POWER(Upgrades!$U$14,F121),1)*IF(Upgrades!$T$15="Open Cluster",POWER(Upgrades!$U$15,G121),1)*IF(Upgrades!$T$16="Open Cluster",POWER(Upgrades!$U$16,H121),1)*IF(Upgrades!$T$17="Open Cluster",POWER(Upgrades!$U$17,I121),1)*IF(Upgrades!$T$18="Open Cluster",POWER(Upgrades!$U$18,J121),1)*IF(Upgrades!$T$19="Open Cluster",POWER(Upgrades!$U$19,K121),1)*IF(Upgrades!$T$21="Open Cluster",POWER(Upgrades!$U$21,M121),1))+(IF(M121=0,0,(Upgrades!$M$21+M121*Upgrades!$N$21)*POWER(Upgrades!$O$21,M121)))*(IF(Upgrades!$T$13="Moving Group",POWER(Upgrades!$U$13,E121),1)*IF(Upgrades!$T$14="Moving Group",POWER(Upgrades!$U$14,F121),1)*IF(Upgrades!$T$15="Moving Group",POWER(Upgrades!$U$15,G121),1)*IF(Upgrades!$T$16="Moving Group",POWER(Upgrades!$U$16,H121),1)*IF(Upgrades!$T$17="Moving Group",POWER(Upgrades!$U$17,I121),1)*IF(Upgrades!$T$18="Moving Group",POWER(Upgrades!$U$18,J121),1)*IF(Upgrades!$T$19="Moving Group",POWER(Upgrades!$U$19,K121),1)*IF(Upgrades!$T$20="Moving Group",POWER(Upgrades!$U$20,L121),1)))*POWER(Upgrades!$R$13,E121)*POWER(Upgrades!$R$14,F121)*POWER(Upgrades!$R$15,G121)*POWER(Upgrades!$R$16,H121)*POWER(Upgrades!$R$17,I121)*POWER(Upgrades!$R$18,J121)*POWER(Upgrades!$R$19,K121)*POWER(Upgrades!$R$20,L121)*POWER(Upgrades!$R$21,M121)*$H$6+$E$6</f>
        <v/>
      </c>
      <c r="R121" s="27">
        <f>IF(N121=1,0,O121*Parameters!$B$10/60*Parameters!$B$11*10)</f>
        <v/>
      </c>
      <c r="S121" s="27">
        <f>IF(N121=1,0,Q121*O121*10)</f>
        <v/>
      </c>
      <c r="T121" s="27">
        <f>IF(N121=1,0,R121+S121+P121*10)</f>
        <v/>
      </c>
      <c r="U121" s="33">
        <f>BE121</f>
        <v/>
      </c>
      <c r="V121" s="22">
        <f>IF(U121="",0,IF(U121="transition",0,IF(U121="SK",AK121,IF(U121="LB",AL121,IF(U121="ML",AM121,IF(U121="RLO",AN121,IF(U121="BD",AO121,IF(U121="BiP",AP121,IF(U121="PV",AQ121,IF(U121="OC",AR121,IF(U121="MG",AS121,0))))))))))</f>
        <v/>
      </c>
      <c r="W121" s="27">
        <f>IF(U121="BiP",Upgrades!$F$18,IF(U121="PV",Upgrades!$F$19,IF(U121="OC",Upgrades!$F$20,IF(U121="MG",Upgrades!$F$21,IF(U121="transition",-Parameters!$B$18*Parameters!$B$19,0)))))</f>
        <v/>
      </c>
      <c r="X121" s="22">
        <f>C121+T121-V121</f>
        <v/>
      </c>
      <c r="Y121" s="30">
        <f>O121*Parameters!$B$10/60*Parameters!$B$11+Q121*O121+P121</f>
        <v/>
      </c>
      <c r="Z121" s="34">
        <f>IF(U121="transition","→ Tier 3 (Galactic Arm)",IF(U121="MG","Moving Group — pocket drifts together",IF(U121="OC","Open Cluster acquired",IF(U121="PV","Peculiar Velocity — passive multiplier active",IF(U121="BiP","Binary Partner — pair bond formed",IF(AND(AU121=1,N121=0,AT121&lt;&gt;1),"Cohesion ready (waiting on completionists)","")))))) </f>
        <v/>
      </c>
      <c r="AA121" s="27">
        <f>(IF(E121=0,0,(Upgrades!$G$13+E121*Upgrades!$H$13)*POWER(Upgrades!$I$13,E121)))*(IF(Upgrades!$T$14="Stellar Kinematics",POWER(Upgrades!$U$14,F121),1)*IF(Upgrades!$T$15="Stellar Kinematics",POWER(Upgrades!$U$15,G121),1)*IF(Upgrades!$T$16="Stellar Kinematics",POWER(Upgrades!$U$16,H121),1)*IF(Upgrades!$T$17="Stellar Kinematics",POWER(Upgrades!$U$17,I121),1)*IF(Upgrades!$T$18="Stellar Kinematics",POWER(Upgrades!$U$18,J121),1)*IF(Upgrades!$T$19="Stellar Kinematics",POWER(Upgrades!$U$19,K121),1)*IF(Upgrades!$T$20="Stellar Kinematics",POWER(Upgrades!$U$20,L121),1)*IF(Upgrades!$T$21="Stellar Kinematics",POWER(Upgrades!$U$21,M121),1))*POWER(Upgrades!$P$13,E121)*POWER(Upgrades!$P$14,F121)*POWER(Upgrades!$P$15,G121)*POWER(Upgrades!$P$16,H121)*POWER(Upgrades!$P$17,I121)*POWER(Upgrades!$P$18,J121)*POWER(Upgrades!$P$19,K121)*POWER(Upgrades!$P$20,L121)*POWER(Upgrades!$P$21,M121)*$F$6*60</f>
        <v/>
      </c>
      <c r="AB121" s="27">
        <f>(IF(F121=0,0,(Upgrades!$G$14+F121*Upgrades!$H$14)*POWER(Upgrades!$I$14,F121)))*(IF(Upgrades!$T$13="Local Bubble",POWER(Upgrades!$U$13,E121),1)*IF(Upgrades!$T$15="Local Bubble",POWER(Upgrades!$U$15,G121),1)*IF(Upgrades!$T$16="Local Bubble",POWER(Upgrades!$U$16,H121),1)*IF(Upgrades!$T$17="Local Bubble",POWER(Upgrades!$U$17,I121),1)*IF(Upgrades!$T$18="Local Bubble",POWER(Upgrades!$U$18,J121),1)*IF(Upgrades!$T$19="Local Bubble",POWER(Upgrades!$U$19,K121),1)*IF(Upgrades!$T$20="Local Bubble",POWER(Upgrades!$U$20,L121),1)*IF(Upgrades!$T$21="Local Bubble",POWER(Upgrades!$U$21,M121),1))*POWER(Upgrades!$P$13,E121)*POWER(Upgrades!$P$14,F121)*POWER(Upgrades!$P$15,G121)*POWER(Upgrades!$P$16,H121)*POWER(Upgrades!$P$17,I121)*POWER(Upgrades!$P$18,J121)*POWER(Upgrades!$P$19,K121)*POWER(Upgrades!$P$20,L121)*POWER(Upgrades!$P$21,M121)*$F$6*60</f>
        <v/>
      </c>
      <c r="AC121" s="27">
        <f>(IF(G121=0,0,(Upgrades!$J$15+G121*Upgrades!$K$15)*POWER(Upgrades!$L$15,G121)))*(IF(Upgrades!$T$13="Microlensing",POWER(Upgrades!$U$13,E121),1)*IF(Upgrades!$T$14="Microlensing",POWER(Upgrades!$U$14,F121),1)*IF(Upgrades!$T$16="Microlensing",POWER(Upgrades!$U$16,H121),1)*IF(Upgrades!$T$17="Microlensing",POWER(Upgrades!$U$17,I121),1)*IF(Upgrades!$T$18="Microlensing",POWER(Upgrades!$U$18,J121),1)*IF(Upgrades!$T$19="Microlensing",POWER(Upgrades!$U$19,K121),1)*IF(Upgrades!$T$20="Microlensing",POWER(Upgrades!$U$20,L121),1)*IF(Upgrades!$T$21="Microlensing",POWER(Upgrades!$U$21,M121),1))*POWER(Upgrades!$Q$13,E121)*POWER(Upgrades!$Q$14,F121)*POWER(Upgrades!$Q$15,G121)*POWER(Upgrades!$Q$16,H121)*POWER(Upgrades!$Q$17,I121)*POWER(Upgrades!$Q$18,J121)*POWER(Upgrades!$Q$19,K121)*POWER(Upgrades!$Q$20,L121)*POWER(Upgrades!$Q$21,M121)*$G$6*(Parameters!$B$10*Parameters!$B$11+Q121*60)</f>
        <v/>
      </c>
      <c r="AD121" s="27">
        <f>(IF(H121=0,0,(Upgrades!$M$16+H121*Upgrades!$N$16)*POWER(Upgrades!$O$16,H121)))*(IF(Upgrades!$T$13="Roche Lobe Overflow",POWER(Upgrades!$U$13,E121),1)*IF(Upgrades!$T$14="Roche Lobe Overflow",POWER(Upgrades!$U$14,F121),1)*IF(Upgrades!$T$15="Roche Lobe Overflow",POWER(Upgrades!$U$15,G121),1)*IF(Upgrades!$T$17="Roche Lobe Overflow",POWER(Upgrades!$U$17,I121),1)*IF(Upgrades!$T$18="Roche Lobe Overflow",POWER(Upgrades!$U$18,J121),1)*IF(Upgrades!$T$19="Roche Lobe Overflow",POWER(Upgrades!$U$19,K121),1)*IF(Upgrades!$T$20="Roche Lobe Overflow",POWER(Upgrades!$U$20,L121),1)*IF(Upgrades!$T$21="Roche Lobe Overflow",POWER(Upgrades!$U$21,M121),1))*POWER(Upgrades!$R$13,E121)*POWER(Upgrades!$R$14,F121)*POWER(Upgrades!$R$15,G121)*POWER(Upgrades!$R$16,H121)*POWER(Upgrades!$R$17,I121)*POWER(Upgrades!$R$18,J121)*POWER(Upgrades!$R$19,K121)*POWER(Upgrades!$R$20,L121)*POWER(Upgrades!$R$21,M121)*$H$6*O121*60</f>
        <v/>
      </c>
      <c r="AE121" s="27">
        <f>(IF(I121=0,0,(Upgrades!$G$17+I121*Upgrades!$H$17)*POWER(Upgrades!$I$17,I121)))*(IF(Upgrades!$T$13="Brown Dwarf",POWER(Upgrades!$U$13,E121),1)*IF(Upgrades!$T$14="Brown Dwarf",POWER(Upgrades!$U$14,F121),1)*IF(Upgrades!$T$15="Brown Dwarf",POWER(Upgrades!$U$15,G121),1)*IF(Upgrades!$T$16="Brown Dwarf",POWER(Upgrades!$U$16,H121),1)*IF(Upgrades!$T$18="Brown Dwarf",POWER(Upgrades!$U$18,J121),1)*IF(Upgrades!$T$19="Brown Dwarf",POWER(Upgrades!$U$19,K121),1)*IF(Upgrades!$T$20="Brown Dwarf",POWER(Upgrades!$U$20,L121),1)*IF(Upgrades!$T$21="Brown Dwarf",POWER(Upgrades!$U$21,M121),1))*POWER(Upgrades!$P$13,E121)*POWER(Upgrades!$P$14,F121)*POWER(Upgrades!$P$15,G121)*POWER(Upgrades!$P$16,H121)*POWER(Upgrades!$P$17,I121)*POWER(Upgrades!$P$18,J121)*POWER(Upgrades!$P$19,K121)*POWER(Upgrades!$P$20,L121)*POWER(Upgrades!$P$21,M121)*$F$6*60</f>
        <v/>
      </c>
      <c r="AF121" s="27" t="n">
        <v>0</v>
      </c>
      <c r="AG121" s="27" t="n">
        <v>0</v>
      </c>
      <c r="AH121" s="27" t="n">
        <v>0</v>
      </c>
      <c r="AI121" s="27">
        <f>(IF(M121=0,0,(Upgrades!$G$21+M121*Upgrades!$H$21)*POWER(Upgrades!$I$21,M121)))*(IF(Upgrades!$T$13="Moving Group",POWER(Upgrades!$U$13,E121),1)*IF(Upgrades!$T$14="Moving Group",POWER(Upgrades!$U$14,F121),1)*IF(Upgrades!$T$15="Moving Group",POWER(Upgrades!$U$15,G121),1)*IF(Upgrades!$T$16="Moving Group",POWER(Upgrades!$U$16,H121),1)*IF(Upgrades!$T$17="Moving Group",POWER(Upgrades!$U$17,I121),1)*IF(Upgrades!$T$18="Moving Group",POWER(Upgrades!$U$18,J121),1)*IF(Upgrades!$T$19="Moving Group",POWER(Upgrades!$U$19,K121),1)*IF(Upgrades!$T$20="Moving Group",POWER(Upgrades!$U$20,L121),1))*POWER(Upgrades!$P$13,E121)*POWER(Upgrades!$P$14,F121)*POWER(Upgrades!$P$15,G121)*POWER(Upgrades!$P$16,H121)*POWER(Upgrades!$P$17,I121)*POWER(Upgrades!$P$18,J121)*POWER(Upgrades!$P$19,K121)*POWER(Upgrades!$P$20,L121)*POWER(Upgrades!$P$21,M121)*$F$6*60</f>
        <v/>
      </c>
      <c r="AJ121" s="27">
        <f>$C$6*60</f>
        <v/>
      </c>
      <c r="AK121" s="22">
        <f>IF(E121&gt;=Upgrades!$E$13,"",Upgrades!$C$13*POWER(Upgrades!$D$13,E121))</f>
        <v/>
      </c>
      <c r="AL121" s="22">
        <f>IF(F121&gt;=Upgrades!$E$14,"",Upgrades!$C$14*POWER(Upgrades!$D$14,F121))</f>
        <v/>
      </c>
      <c r="AM121" s="22">
        <f>IF(G121&gt;=Upgrades!$E$15,"",Upgrades!$C$15*POWER(Upgrades!$D$15,G121))</f>
        <v/>
      </c>
      <c r="AN121" s="22">
        <f>IF(H121&gt;=Upgrades!$E$16,"",Upgrades!$C$16*POWER(Upgrades!$D$16,H121))</f>
        <v/>
      </c>
      <c r="AO121" s="22">
        <f>IF(I121&gt;=Upgrades!$E$17,"",Upgrades!$C$17*POWER(Upgrades!$D$17,I121))</f>
        <v/>
      </c>
      <c r="AP121" s="22">
        <f>IF(J121&gt;=Upgrades!$E$18,"",Upgrades!$C$18*POWER(Upgrades!$D$18,J121))</f>
        <v/>
      </c>
      <c r="AQ121" s="22">
        <f>IF(K121&gt;=Upgrades!$E$19,"",Upgrades!$C$19*POWER(Upgrades!$D$19,K121))</f>
        <v/>
      </c>
      <c r="AR121" s="22">
        <f>IF(L121&gt;=Upgrades!$E$20,"",Upgrades!$C$20*POWER(Upgrades!$D$20,L121))</f>
        <v/>
      </c>
      <c r="AS121" s="22">
        <f>IF(M121&gt;=Upgrades!$E$21,"",Upgrades!$C$21*POWER(Upgrades!$D$21,M121))</f>
        <v/>
      </c>
      <c r="AT121" s="26">
        <f>IF(AND(D121&gt;=Parameters!$B$18*Parameters!$B$19,(I121&gt;=Upgrades!$E$17)*(M121&gt;=Upgrades!$E$21)=1,N121=0),1,"")</f>
        <v/>
      </c>
      <c r="AU121" s="26">
        <f>IF(AND(D121&gt;=Parameters!$B$18*Parameters!$B$19,N121=0),1,"")</f>
        <v/>
      </c>
      <c r="AV121" s="22">
        <f>MIN(IF(ISNUMBER(AP121),AP121,9E15),IF(ISNUMBER(AQ121),AQ121,9E15),IF(ISNUMBER(AR121),AR121,9E15),IF(ISNUMBER(AS121),AS121,9E15))</f>
        <v/>
      </c>
      <c r="AW121" s="22">
        <f>MIN(IF(ISNUMBER(AK121),AK121,9E15),IF(ISNUMBER(AL121),AL121,9E15),IF(ISNUMBER(AM121),AM121,9E15),IF(ISNUMBER(AN121),AN121,9E15),IF(ISNUMBER(AO121),AO121,9E15))</f>
        <v/>
      </c>
      <c r="AX121" s="29">
        <f>IF(BD121&gt;Parameters!$B$21*(MAX(IF(AND(NOT(AND(AU121=1,AT121&lt;&gt;1)),ISNUMBER(AK121),AK121&lt;=(C121+T121)),AY121,0),IF(AND(NOT(AND(AU121=1,AT121&lt;&gt;1)),ISNUMBER(AL121),AL121&lt;=(C121+T121)),AZ121,0),IF(AND(NOT(AND(AU121=1,AT121&lt;&gt;1)),ISNUMBER(AM121),AM121&lt;=(C121+T121)),BA121,0),IF(AND(NOT(AND(AU121=1,AT121&lt;&gt;1)),ISNUMBER(AN121),AN121&lt;=(C121+T121)),BB121,0),IF(AND(ISNUMBER(AO121),AO121&lt;=(C121+T121)),BC121,0))),TRUE,FALSE)</f>
        <v/>
      </c>
      <c r="AY121" s="32">
        <f>IFERROR(Upgrades!$H$13*(POWER(Upgrades!$P$13,E121)*POWER(Upgrades!$P$14,F121)*POWER(Upgrades!$P$15,G121)*POWER(Upgrades!$P$16,H121)*POWER(Upgrades!$P$17,I121)*POWER(Upgrades!$P$18,J121)*POWER(Upgrades!$P$19,K121)*POWER(Upgrades!$P$20,L121)*POWER(Upgrades!$P$21,M121))*(IF(Upgrades!$T$14="Stellar Kinematics",POWER(Upgrades!$U$14,F121),1)*IF(Upgrades!$T$15="Stellar Kinematics",POWER(Upgrades!$U$15,G121),1)*IF(Upgrades!$T$16="Stellar Kinematics",POWER(Upgrades!$U$16,H121),1)*IF(Upgrades!$T$17="Stellar Kinematics",POWER(Upgrades!$U$17,I121),1)*IF(Upgrades!$T$18="Stellar Kinematics",POWER(Upgrades!$U$18,J121),1)*IF(Upgrades!$T$19="Stellar Kinematics",POWER(Upgrades!$U$19,K121),1)*IF(Upgrades!$T$20="Stellar Kinematics",POWER(Upgrades!$U$20,L121),1)*IF(Upgrades!$T$21="Stellar Kinematics",POWER(Upgrades!$U$21,M121),1))*$F$6/AK121,0)</f>
        <v/>
      </c>
      <c r="AZ121" s="32">
        <f>IFERROR(Upgrades!$H$14*(POWER(Upgrades!$P$13,E121)*POWER(Upgrades!$P$14,F121)*POWER(Upgrades!$P$15,G121)*POWER(Upgrades!$P$16,H121)*POWER(Upgrades!$P$17,I121)*POWER(Upgrades!$P$18,J121)*POWER(Upgrades!$P$19,K121)*POWER(Upgrades!$P$20,L121)*POWER(Upgrades!$P$21,M121))*(IF(Upgrades!$T$13="Local Bubble",POWER(Upgrades!$U$13,E121),1)*IF(Upgrades!$T$15="Local Bubble",POWER(Upgrades!$U$15,G121),1)*IF(Upgrades!$T$16="Local Bubble",POWER(Upgrades!$U$16,H121),1)*IF(Upgrades!$T$17="Local Bubble",POWER(Upgrades!$U$17,I121),1)*IF(Upgrades!$T$18="Local Bubble",POWER(Upgrades!$U$18,J121),1)*IF(Upgrades!$T$19="Local Bubble",POWER(Upgrades!$U$19,K121),1)*IF(Upgrades!$T$20="Local Bubble",POWER(Upgrades!$U$20,L121),1)*IF(Upgrades!$T$21="Local Bubble",POWER(Upgrades!$U$21,M121),1))*$F$6/AL121,0)</f>
        <v/>
      </c>
      <c r="BA121" s="32">
        <f>IFERROR(Upgrades!$K$15*(POWER(Upgrades!$Q$13,E121)*POWER(Upgrades!$Q$14,F121)*POWER(Upgrades!$Q$15,G121)*POWER(Upgrades!$Q$16,H121)*POWER(Upgrades!$Q$17,I121)*POWER(Upgrades!$Q$18,J121)*POWER(Upgrades!$Q$19,K121)*POWER(Upgrades!$Q$20,L121)*POWER(Upgrades!$Q$21,M121))*(IF(Upgrades!$T$13="Microlensing",POWER(Upgrades!$U$13,E121),1)*IF(Upgrades!$T$14="Microlensing",POWER(Upgrades!$U$14,F121),1)*IF(Upgrades!$T$16="Microlensing",POWER(Upgrades!$U$16,H121),1)*IF(Upgrades!$T$17="Microlensing",POWER(Upgrades!$U$17,I121),1)*IF(Upgrades!$T$18="Microlensing",POWER(Upgrades!$U$18,J121),1)*IF(Upgrades!$T$19="Microlensing",POWER(Upgrades!$U$19,K121),1)*IF(Upgrades!$T$20="Microlensing",POWER(Upgrades!$U$20,L121),1)*IF(Upgrades!$T$21="Microlensing",POWER(Upgrades!$U$21,M121),1))*$G$6*(Parameters!$B$10/60*Parameters!$B$11+Q121)/AM121,0)</f>
        <v/>
      </c>
      <c r="BB121" s="32">
        <f>IFERROR((Upgrades!$N$16*(POWER(Upgrades!$R$13,E121)*POWER(Upgrades!$R$14,F121)*POWER(Upgrades!$R$15,G121)*POWER(Upgrades!$R$16,H121)*POWER(Upgrades!$R$17,I121)*POWER(Upgrades!$R$18,J121)*POWER(Upgrades!$R$19,K121)*POWER(Upgrades!$R$20,L121)*POWER(Upgrades!$R$21,M121))*(IF(Upgrades!$T$13="Roche Lobe Overflow",POWER(Upgrades!$U$13,E121),1)*IF(Upgrades!$T$14="Roche Lobe Overflow",POWER(Upgrades!$U$14,F121),1)*IF(Upgrades!$T$15="Roche Lobe Overflow",POWER(Upgrades!$U$15,G121),1)*IF(Upgrades!$T$17="Roche Lobe Overflow",POWER(Upgrades!$U$17,I121),1)*IF(Upgrades!$T$18="Roche Lobe Overflow",POWER(Upgrades!$U$18,J121),1)*IF(Upgrades!$T$19="Roche Lobe Overflow",POWER(Upgrades!$U$19,K121),1)*IF(Upgrades!$T$20="Roche Lobe Overflow",POWER(Upgrades!$U$20,L121),1)*IF(Upgrades!$T$21="Roche Lobe Overflow",POWER(Upgrades!$U$21,M121),1))*$H$6*O121+((IF(F121=0,0,(Upgrades!$G$14+F121*Upgrades!$H$14)*POWER(Upgrades!$I$14,F121)))*(IF(Upgrades!$T$13="Local Bubble",POWER(Upgrades!$U$13,E121),1)*IF(Upgrades!$T$15="Local Bubble",POWER(Upgrades!$U$15,G121),1)*IF(Upgrades!$T$16="Local Bubble",POWER(Upgrades!$U$16,H121),1)*IF(Upgrades!$T$17="Local Bubble",POWER(Upgrades!$U$17,I121),1)*IF(Upgrades!$T$18="Local Bubble",POWER(Upgrades!$U$18,J121),1)*IF(Upgrades!$T$19="Local Bubble",POWER(Upgrades!$U$19,K121),1)*IF(Upgrades!$T$20="Local Bubble",POWER(Upgrades!$U$20,L121),1)*IF(Upgrades!$T$21="Local Bubble",POWER(Upgrades!$U$21,M121),1))*POWER(Upgrades!$P$13,E121)*POWER(Upgrades!$P$14,F121)*POWER(Upgrades!$P$15,G121)*POWER(Upgrades!$P$16,H121)*POWER(Upgrades!$P$17,I121)*POWER(Upgrades!$P$18,J121)*POWER(Upgrades!$P$19,K121)*POWER(Upgrades!$P$20,L121)*POWER(Upgrades!$P$21,M121)*$F$6)*0.05)/AN121,0)</f>
        <v/>
      </c>
      <c r="BC121" s="32">
        <f>IFERROR((Upgrades!$H$17*(POWER(Upgrades!$P$13,E121)*POWER(Upgrades!$P$14,F121)*POWER(Upgrades!$P$15,G121)*POWER(Upgrades!$P$16,H121)*POWER(Upgrades!$P$17,I121)*POWER(Upgrades!$P$18,J121)*POWER(Upgrades!$P$19,K121)*POWER(Upgrades!$P$20,L121)*POWER(Upgrades!$P$21,M121))*(IF(Upgrades!$T$13="Brown Dwarf",POWER(Upgrades!$U$13,E121),1)*IF(Upgrades!$T$14="Brown Dwarf",POWER(Upgrades!$U$14,F121),1)*IF(Upgrades!$T$15="Brown Dwarf",POWER(Upgrades!$U$15,G121),1)*IF(Upgrades!$T$16="Brown Dwarf",POWER(Upgrades!$U$16,H121),1)*IF(Upgrades!$T$18="Brown Dwarf",POWER(Upgrades!$U$18,J121),1)*IF(Upgrades!$T$19="Brown Dwarf",POWER(Upgrades!$U$19,K121),1)*IF(Upgrades!$T$20="Brown Dwarf",POWER(Upgrades!$U$20,L121),1)*IF(Upgrades!$T$21="Brown Dwarf",POWER(Upgrades!$U$21,M121),1))*$F$6+(((IF(H121=0,0,(Upgrades!$M$16+H121*Upgrades!$N$16)*POWER(Upgrades!$O$16,H121)))*(IF(Upgrades!$T$13="Roche Lobe Overflow",POWER(Upgrades!$U$13,E121),1)*IF(Upgrades!$T$14="Roche Lobe Overflow",POWER(Upgrades!$U$14,F121),1)*IF(Upgrades!$T$15="Roche Lobe Overflow",POWER(Upgrades!$U$15,G121),1)*IF(Upgrades!$T$17="Roche Lobe Overflow",POWER(Upgrades!$U$17,I121),1)*IF(Upgrades!$T$18="Roche Lobe Overflow",POWER(Upgrades!$U$18,J121),1)*IF(Upgrades!$T$19="Roche Lobe Overflow",POWER(Upgrades!$U$19,K121),1)*IF(Upgrades!$T$20="Roche Lobe Overflow",POWER(Upgrades!$U$20,L121),1)*IF(Upgrades!$T$21="Roche Lobe Overflow",POWER(Upgrades!$U$21,M121),1))*POWER(Upgrades!$R$13,E121)*POWER(Upgrades!$R$14,F121)*POWER(Upgrades!$R$15,G121)*POWER(Upgrades!$R$16,H121)*POWER(Upgrades!$R$17,I121)*POWER(Upgrades!$R$18,J121)*POWER(Upgrades!$R$19,K121)*POWER(Upgrades!$R$20,L121)*POWER(Upgrades!$R$21,M121)*$H$6)*O121)*0.10)/AO121,0)</f>
        <v/>
      </c>
      <c r="BD121" s="32">
        <f>MAX(IF(J121&gt;0,0,IFERROR(0.5*((IF(G121=0,0,(Upgrades!$J$15+G121*Upgrades!$K$15)*POWER(Upgrades!$L$15,G121)))*(IF(Upgrades!$T$13="Microlensing",POWER(Upgrades!$U$13,E121),1)*IF(Upgrades!$T$14="Microlensing",POWER(Upgrades!$U$14,F121),1)*IF(Upgrades!$T$16="Microlensing",POWER(Upgrades!$U$16,H121),1)*IF(Upgrades!$T$17="Microlensing",POWER(Upgrades!$U$17,I121),1)*IF(Upgrades!$T$18="Microlensing",POWER(Upgrades!$U$18,J121),1)*IF(Upgrades!$T$19="Microlensing",POWER(Upgrades!$U$19,K121),1)*IF(Upgrades!$T$20="Microlensing",POWER(Upgrades!$U$20,L121),1)*IF(Upgrades!$T$21="Microlensing",POWER(Upgrades!$U$21,M121),1))*(POWER(Upgrades!$Q$13,E121)*POWER(Upgrades!$Q$14,F121)*POWER(Upgrades!$Q$15,G121)*POWER(Upgrades!$Q$16,H121)*POWER(Upgrades!$Q$17,I121)*POWER(Upgrades!$Q$18,J121)*POWER(Upgrades!$Q$19,K121)*POWER(Upgrades!$Q$20,L121)*POWER(Upgrades!$Q$21,M121))*$G$6*(Parameters!$B$10/60*Parameters!$B$11+Q121))/Upgrades!$C$18,0)),IF(K121&gt;0,0,IFERROR(0.30*P121/Upgrades!$C$19,0)),IF(L121&gt;0,0,IFERROR(0.0001/Upgrades!$C$20,0)),IF(M121&gt;0,0,IFERROR((6.0*(POWER(Upgrades!$P$13,E121)*POWER(Upgrades!$P$14,F121)*POWER(Upgrades!$P$15,G121)*POWER(Upgrades!$P$16,H121)*POWER(Upgrades!$P$17,I121)*POWER(Upgrades!$P$18,J121)*POWER(Upgrades!$P$19,K121)*POWER(Upgrades!$P$20,L121)*POWER(Upgrades!$P$21,M121))*$F$6+0.20*O121*(Parameters!$B$10/60*Parameters!$B$11+Q121))/Upgrades!$C$21,0)),IF(AND(ISNUMBER(AK121),AK121&gt;(C121+T121)),AY121,0),IF(AND(ISNUMBER(AL121),AL121&gt;(C121+T121)),AZ121,0),IF(AND(ISNUMBER(AM121),AM121&gt;(C121+T121)),BA121,0),IF(AND(ISNUMBER(AN121),AN121&gt;(C121+T121)),BB121,0),IF(AND(ISNUMBER(AO121),AO121&gt;(C121+T121)),BC121,0))</f>
        <v/>
      </c>
      <c r="BE121" s="29">
        <f>IF(AT121=1,"transition",IF(MIN(IF(AND(J121=0,ISNUMBER(AP121),AP121&lt;=(C121+T121)),AP121,9E15),IF(AND(K121=0,ISNUMBER(AQ121),AQ121&lt;=(C121+T121)),AQ121,9E15),IF(AND(L121=0,ISNUMBER(AR121),AR121&lt;=(C121+T121)),AR121,9E15),IF(AND(M121=0,ISNUMBER(AS121),AS121&lt;=(C121+T121)),AS121,9E15))&lt;9E15,IF(AND(AND(J121=0,ISNUMBER(AP121),AP121&lt;=(C121+T121)),AP121=MIN(IF(AND(J121=0,ISNUMBER(AP121),AP121&lt;=(C121+T121)),AP121,9E15),IF(AND(K121=0,ISNUMBER(AQ121),AQ121&lt;=(C121+T121)),AQ121,9E15),IF(AND(L121=0,ISNUMBER(AR121),AR121&lt;=(C121+T121)),AR121,9E15),IF(AND(M121=0,ISNUMBER(AS121),AS121&lt;=(C121+T121)),AS121,9E15))),"BiP",IF(AND(AND(K121=0,ISNUMBER(AQ121),AQ121&lt;=(C121+T121)),AQ121=MIN(IF(AND(J121=0,ISNUMBER(AP121),AP121&lt;=(C121+T121)),AP121,9E15),IF(AND(K121=0,ISNUMBER(AQ121),AQ121&lt;=(C121+T121)),AQ121,9E15),IF(AND(L121=0,ISNUMBER(AR121),AR121&lt;=(C121+T121)),AR121,9E15),IF(AND(M121=0,ISNUMBER(AS121),AS121&lt;=(C121+T121)),AS121,9E15))),"PV",IF(AND(AND(L121=0,ISNUMBER(AR121),AR121&lt;=(C121+T121)),AR121=MIN(IF(AND(J121=0,ISNUMBER(AP121),AP121&lt;=(C121+T121)),AP121,9E15),IF(AND(K121=0,ISNUMBER(AQ121),AQ121&lt;=(C121+T121)),AQ121,9E15),IF(AND(L121=0,ISNUMBER(AR121),AR121&lt;=(C121+T121)),AR121,9E15),IF(AND(M121=0,ISNUMBER(AS121),AS121&lt;=(C121+T121)),AS121,9E15))),"OC","MG"))),IF(AX121=TRUE,"",IF(MAX(IF(AND(NOT(AND(AU121=1,AT121&lt;&gt;1)),ISNUMBER(AK121),AK121&lt;=(C121+T121)),AY121,0),IF(AND(NOT(AND(AU121=1,AT121&lt;&gt;1)),ISNUMBER(AL121),AL121&lt;=(C121+T121)),AZ121,0),IF(AND(NOT(AND(AU121=1,AT121&lt;&gt;1)),ISNUMBER(AM121),AM121&lt;=(C121+T121)),BA121,0),IF(AND(NOT(AND(AU121=1,AT121&lt;&gt;1)),ISNUMBER(AN121),AN121&lt;=(C121+T121)),BB121,0),IF(AND(ISNUMBER(AO121),AO121&lt;=(C121+T121)),BC121,0))&lt;=0,"",IF(AND(IF(AND(NOT(AND(AU121=1,AT121&lt;&gt;1)),ISNUMBER(AK121),AK121&lt;=(C121+T121)),AY121,0)&gt;0,IF(AND(NOT(AND(AU121=1,AT121&lt;&gt;1)),ISNUMBER(AK121),AK121&lt;=(C121+T121)),AY121,0)=MAX(IF(AND(NOT(AND(AU121=1,AT121&lt;&gt;1)),ISNUMBER(AK121),AK121&lt;=(C121+T121)),AY121,0),IF(AND(NOT(AND(AU121=1,AT121&lt;&gt;1)),ISNUMBER(AL121),AL121&lt;=(C121+T121)),AZ121,0),IF(AND(NOT(AND(AU121=1,AT121&lt;&gt;1)),ISNUMBER(AM121),AM121&lt;=(C121+T121)),BA121,0),IF(AND(NOT(AND(AU121=1,AT121&lt;&gt;1)),ISNUMBER(AN121),AN121&lt;=(C121+T121)),BB121,0),IF(AND(ISNUMBER(AO121),AO121&lt;=(C121+T121)),BC121,0))),"SK",IF(AND(IF(AND(NOT(AND(AU121=1,AT121&lt;&gt;1)),ISNUMBER(AL121),AL121&lt;=(C121+T121)),AZ121,0)&gt;0,IF(AND(NOT(AND(AU121=1,AT121&lt;&gt;1)),ISNUMBER(AL121),AL121&lt;=(C121+T121)),AZ121,0)=MAX(IF(AND(NOT(AND(AU121=1,AT121&lt;&gt;1)),ISNUMBER(AK121),AK121&lt;=(C121+T121)),AY121,0),IF(AND(NOT(AND(AU121=1,AT121&lt;&gt;1)),ISNUMBER(AL121),AL121&lt;=(C121+T121)),AZ121,0),IF(AND(NOT(AND(AU121=1,AT121&lt;&gt;1)),ISNUMBER(AM121),AM121&lt;=(C121+T121)),BA121,0),IF(AND(NOT(AND(AU121=1,AT121&lt;&gt;1)),ISNUMBER(AN121),AN121&lt;=(C121+T121)),BB121,0),IF(AND(ISNUMBER(AO121),AO121&lt;=(C121+T121)),BC121,0))),"LB",IF(AND(IF(AND(NOT(AND(AU121=1,AT121&lt;&gt;1)),ISNUMBER(AM121),AM121&lt;=(C121+T121)),BA121,0)&gt;0,IF(AND(NOT(AND(AU121=1,AT121&lt;&gt;1)),ISNUMBER(AM121),AM121&lt;=(C121+T121)),BA121,0)=MAX(IF(AND(NOT(AND(AU121=1,AT121&lt;&gt;1)),ISNUMBER(AK121),AK121&lt;=(C121+T121)),AY121,0),IF(AND(NOT(AND(AU121=1,AT121&lt;&gt;1)),ISNUMBER(AL121),AL121&lt;=(C121+T121)),AZ121,0),IF(AND(NOT(AND(AU121=1,AT121&lt;&gt;1)),ISNUMBER(AM121),AM121&lt;=(C121+T121)),BA121,0),IF(AND(NOT(AND(AU121=1,AT121&lt;&gt;1)),ISNUMBER(AN121),AN121&lt;=(C121+T121)),BB121,0),IF(AND(ISNUMBER(AO121),AO121&lt;=(C121+T121)),BC121,0))),"ML",IF(AND(IF(AND(NOT(AND(AU121=1,AT121&lt;&gt;1)),ISNUMBER(AN121),AN121&lt;=(C121+T121)),BB121,0)&gt;0,IF(AND(NOT(AND(AU121=1,AT121&lt;&gt;1)),ISNUMBER(AN121),AN121&lt;=(C121+T121)),BB121,0)=MAX(IF(AND(NOT(AND(AU121=1,AT121&lt;&gt;1)),ISNUMBER(AK121),AK121&lt;=(C121+T121)),AY121,0),IF(AND(NOT(AND(AU121=1,AT121&lt;&gt;1)),ISNUMBER(AL121),AL121&lt;=(C121+T121)),AZ121,0),IF(AND(NOT(AND(AU121=1,AT121&lt;&gt;1)),ISNUMBER(AM121),AM121&lt;=(C121+T121)),BA121,0),IF(AND(NOT(AND(AU121=1,AT121&lt;&gt;1)),ISNUMBER(AN121),AN121&lt;=(C121+T121)),BB121,0),IF(AND(ISNUMBER(AO121),AO121&lt;=(C121+T121)),BC121,0))),"RLO","BD"))))))))</f>
        <v/>
      </c>
    </row>
    <row r="122">
      <c r="A122" s="26" t="n">
        <v>111</v>
      </c>
      <c r="B122" s="27">
        <f>A122*10/60</f>
        <v/>
      </c>
      <c r="C122" s="22">
        <f>X121</f>
        <v/>
      </c>
      <c r="D122" s="27">
        <f>D121+W121</f>
        <v/>
      </c>
      <c r="E122" s="26">
        <f>E121+IF(U121="SK",1,0)</f>
        <v/>
      </c>
      <c r="F122" s="26">
        <f>F121+IF(U121="LB",1,0)</f>
        <v/>
      </c>
      <c r="G122" s="26">
        <f>G121+IF(U121="ML",1,0)</f>
        <v/>
      </c>
      <c r="H122" s="26">
        <f>H121+IF(U121="RLO",1,0)</f>
        <v/>
      </c>
      <c r="I122" s="26">
        <f>I121+IF(U121="BD",1,0)</f>
        <v/>
      </c>
      <c r="J122" s="26">
        <f>MAX(J121,IF(U121="BiP",1,0))</f>
        <v/>
      </c>
      <c r="K122" s="26">
        <f>MAX(K121,IF(U121="PV",1,0))</f>
        <v/>
      </c>
      <c r="L122" s="26">
        <f>MAX(L121,IF(U121="OC",1,0))</f>
        <v/>
      </c>
      <c r="M122" s="26">
        <f>MAX(M121,IF(U121="MG",1,0))</f>
        <v/>
      </c>
      <c r="N122" s="26">
        <f>MAX(N121,IF(U121="transition",1,0))</f>
        <v/>
      </c>
      <c r="O122" s="28">
        <f>(Parameters!$B$9+(IF(E122=0,0,(Upgrades!$J$13+E122*Upgrades!$K$13)*POWER(Upgrades!$L$13,E122)))*(IF(Upgrades!$T$14="Stellar Kinematics",POWER(Upgrades!$U$14,F122),1)*IF(Upgrades!$T$15="Stellar Kinematics",POWER(Upgrades!$U$15,G122),1)*IF(Upgrades!$T$16="Stellar Kinematics",POWER(Upgrades!$U$16,H122),1)*IF(Upgrades!$T$17="Stellar Kinematics",POWER(Upgrades!$U$17,I122),1)*IF(Upgrades!$T$18="Stellar Kinematics",POWER(Upgrades!$U$18,J122),1)*IF(Upgrades!$T$19="Stellar Kinematics",POWER(Upgrades!$U$19,K122),1)*IF(Upgrades!$T$20="Stellar Kinematics",POWER(Upgrades!$U$20,L122),1)*IF(Upgrades!$T$21="Stellar Kinematics",POWER(Upgrades!$U$21,M122),1))+(IF(F122=0,0,(Upgrades!$J$14+F122*Upgrades!$K$14)*POWER(Upgrades!$L$14,F122)))*(IF(Upgrades!$T$13="Local Bubble",POWER(Upgrades!$U$13,E122),1)*IF(Upgrades!$T$15="Local Bubble",POWER(Upgrades!$U$15,G122),1)*IF(Upgrades!$T$16="Local Bubble",POWER(Upgrades!$U$16,H122),1)*IF(Upgrades!$T$17="Local Bubble",POWER(Upgrades!$U$17,I122),1)*IF(Upgrades!$T$18="Local Bubble",POWER(Upgrades!$U$18,J122),1)*IF(Upgrades!$T$19="Local Bubble",POWER(Upgrades!$U$19,K122),1)*IF(Upgrades!$T$20="Local Bubble",POWER(Upgrades!$U$20,L122),1)*IF(Upgrades!$T$21="Local Bubble",POWER(Upgrades!$U$21,M122),1))+(IF(G122=0,0,(Upgrades!$J$15+G122*Upgrades!$K$15)*POWER(Upgrades!$L$15,G122)))*(IF(Upgrades!$T$13="Microlensing",POWER(Upgrades!$U$13,E122),1)*IF(Upgrades!$T$14="Microlensing",POWER(Upgrades!$U$14,F122),1)*IF(Upgrades!$T$16="Microlensing",POWER(Upgrades!$U$16,H122),1)*IF(Upgrades!$T$17="Microlensing",POWER(Upgrades!$U$17,I122),1)*IF(Upgrades!$T$18="Microlensing",POWER(Upgrades!$U$18,J122),1)*IF(Upgrades!$T$19="Microlensing",POWER(Upgrades!$U$19,K122),1)*IF(Upgrades!$T$20="Microlensing",POWER(Upgrades!$U$20,L122),1)*IF(Upgrades!$T$21="Microlensing",POWER(Upgrades!$U$21,M122),1))+(IF(H122=0,0,(Upgrades!$J$16+H122*Upgrades!$K$16)*POWER(Upgrades!$L$16,H122)))*(IF(Upgrades!$T$13="Roche Lobe Overflow",POWER(Upgrades!$U$13,E122),1)*IF(Upgrades!$T$14="Roche Lobe Overflow",POWER(Upgrades!$U$14,F122),1)*IF(Upgrades!$T$15="Roche Lobe Overflow",POWER(Upgrades!$U$15,G122),1)*IF(Upgrades!$T$17="Roche Lobe Overflow",POWER(Upgrades!$U$17,I122),1)*IF(Upgrades!$T$18="Roche Lobe Overflow",POWER(Upgrades!$U$18,J122),1)*IF(Upgrades!$T$19="Roche Lobe Overflow",POWER(Upgrades!$U$19,K122),1)*IF(Upgrades!$T$20="Roche Lobe Overflow",POWER(Upgrades!$U$20,L122),1)*IF(Upgrades!$T$21="Roche Lobe Overflow",POWER(Upgrades!$U$21,M122),1))+(IF(I122=0,0,(Upgrades!$J$17+I122*Upgrades!$K$17)*POWER(Upgrades!$L$17,I122)))*(IF(Upgrades!$T$13="Brown Dwarf",POWER(Upgrades!$U$13,E122),1)*IF(Upgrades!$T$14="Brown Dwarf",POWER(Upgrades!$U$14,F122),1)*IF(Upgrades!$T$15="Brown Dwarf",POWER(Upgrades!$U$15,G122),1)*IF(Upgrades!$T$16="Brown Dwarf",POWER(Upgrades!$U$16,H122),1)*IF(Upgrades!$T$18="Brown Dwarf",POWER(Upgrades!$U$18,J122),1)*IF(Upgrades!$T$19="Brown Dwarf",POWER(Upgrades!$U$19,K122),1)*IF(Upgrades!$T$20="Brown Dwarf",POWER(Upgrades!$U$20,L122),1)*IF(Upgrades!$T$21="Brown Dwarf",POWER(Upgrades!$U$21,M122),1))+(IF(J122=0,0,(Upgrades!$J$18+J122*Upgrades!$K$18)*POWER(Upgrades!$L$18,J122)))*(IF(Upgrades!$T$13="Binary Partner",POWER(Upgrades!$U$13,E122),1)*IF(Upgrades!$T$14="Binary Partner",POWER(Upgrades!$U$14,F122),1)*IF(Upgrades!$T$15="Binary Partner",POWER(Upgrades!$U$15,G122),1)*IF(Upgrades!$T$16="Binary Partner",POWER(Upgrades!$U$16,H122),1)*IF(Upgrades!$T$17="Binary Partner",POWER(Upgrades!$U$17,I122),1)*IF(Upgrades!$T$19="Binary Partner",POWER(Upgrades!$U$19,K122),1)*IF(Upgrades!$T$20="Binary Partner",POWER(Upgrades!$U$20,L122),1)*IF(Upgrades!$T$21="Binary Partner",POWER(Upgrades!$U$21,M122),1))+(IF(K122=0,0,(Upgrades!$J$19+K122*Upgrades!$K$19)*POWER(Upgrades!$L$19,K122)))*(IF(Upgrades!$T$13="Peculiar Velocity",POWER(Upgrades!$U$13,E122),1)*IF(Upgrades!$T$14="Peculiar Velocity",POWER(Upgrades!$U$14,F122),1)*IF(Upgrades!$T$15="Peculiar Velocity",POWER(Upgrades!$U$15,G122),1)*IF(Upgrades!$T$16="Peculiar Velocity",POWER(Upgrades!$U$16,H122),1)*IF(Upgrades!$T$17="Peculiar Velocity",POWER(Upgrades!$U$17,I122),1)*IF(Upgrades!$T$18="Peculiar Velocity",POWER(Upgrades!$U$18,J122),1)*IF(Upgrades!$T$20="Peculiar Velocity",POWER(Upgrades!$U$20,L122),1)*IF(Upgrades!$T$21="Peculiar Velocity",POWER(Upgrades!$U$21,M122),1))+(IF(L122=0,0,(Upgrades!$J$20+L122*Upgrades!$K$20)*POWER(Upgrades!$L$20,L122)))*(IF(Upgrades!$T$13="Open Cluster",POWER(Upgrades!$U$13,E122),1)*IF(Upgrades!$T$14="Open Cluster",POWER(Upgrades!$U$14,F122),1)*IF(Upgrades!$T$15="Open Cluster",POWER(Upgrades!$U$15,G122),1)*IF(Upgrades!$T$16="Open Cluster",POWER(Upgrades!$U$16,H122),1)*IF(Upgrades!$T$17="Open Cluster",POWER(Upgrades!$U$17,I122),1)*IF(Upgrades!$T$18="Open Cluster",POWER(Upgrades!$U$18,J122),1)*IF(Upgrades!$T$19="Open Cluster",POWER(Upgrades!$U$19,K122),1)*IF(Upgrades!$T$21="Open Cluster",POWER(Upgrades!$U$21,M122),1))+(IF(M122=0,0,(Upgrades!$J$21+M122*Upgrades!$K$21)*POWER(Upgrades!$L$21,M122)))*(IF(Upgrades!$T$13="Moving Group",POWER(Upgrades!$U$13,E122),1)*IF(Upgrades!$T$14="Moving Group",POWER(Upgrades!$U$14,F122),1)*IF(Upgrades!$T$15="Moving Group",POWER(Upgrades!$U$15,G122),1)*IF(Upgrades!$T$16="Moving Group",POWER(Upgrades!$U$16,H122),1)*IF(Upgrades!$T$17="Moving Group",POWER(Upgrades!$U$17,I122),1)*IF(Upgrades!$T$18="Moving Group",POWER(Upgrades!$U$18,J122),1)*IF(Upgrades!$T$19="Moving Group",POWER(Upgrades!$U$19,K122),1)*IF(Upgrades!$T$20="Moving Group",POWER(Upgrades!$U$20,L122),1)))*POWER(Upgrades!$Q$13,E122)*POWER(Upgrades!$Q$14,F122)*POWER(Upgrades!$Q$15,G122)*POWER(Upgrades!$Q$16,H122)*POWER(Upgrades!$Q$17,I122)*POWER(Upgrades!$Q$18,J122)*POWER(Upgrades!$Q$19,K122)*POWER(Upgrades!$Q$20,L122)*POWER(Upgrades!$Q$21,M122)*$G$6+$D$6</f>
        <v/>
      </c>
      <c r="P122" s="28">
        <f>((IF(E122=0,0,(Upgrades!$G$13+E122*Upgrades!$H$13)*POWER(Upgrades!$I$13,E122)))*(IF(Upgrades!$T$14="Stellar Kinematics",POWER(Upgrades!$U$14,F122),1)*IF(Upgrades!$T$15="Stellar Kinematics",POWER(Upgrades!$U$15,G122),1)*IF(Upgrades!$T$16="Stellar Kinematics",POWER(Upgrades!$U$16,H122),1)*IF(Upgrades!$T$17="Stellar Kinematics",POWER(Upgrades!$U$17,I122),1)*IF(Upgrades!$T$18="Stellar Kinematics",POWER(Upgrades!$U$18,J122),1)*IF(Upgrades!$T$19="Stellar Kinematics",POWER(Upgrades!$U$19,K122),1)*IF(Upgrades!$T$20="Stellar Kinematics",POWER(Upgrades!$U$20,L122),1)*IF(Upgrades!$T$21="Stellar Kinematics",POWER(Upgrades!$U$21,M122),1))+(IF(F122=0,0,(Upgrades!$G$14+F122*Upgrades!$H$14)*POWER(Upgrades!$I$14,F122)))*(IF(Upgrades!$T$13="Local Bubble",POWER(Upgrades!$U$13,E122),1)*IF(Upgrades!$T$15="Local Bubble",POWER(Upgrades!$U$15,G122),1)*IF(Upgrades!$T$16="Local Bubble",POWER(Upgrades!$U$16,H122),1)*IF(Upgrades!$T$17="Local Bubble",POWER(Upgrades!$U$17,I122),1)*IF(Upgrades!$T$18="Local Bubble",POWER(Upgrades!$U$18,J122),1)*IF(Upgrades!$T$19="Local Bubble",POWER(Upgrades!$U$19,K122),1)*IF(Upgrades!$T$20="Local Bubble",POWER(Upgrades!$U$20,L122),1)*IF(Upgrades!$T$21="Local Bubble",POWER(Upgrades!$U$21,M122),1))+(IF(G122=0,0,(Upgrades!$G$15+G122*Upgrades!$H$15)*POWER(Upgrades!$I$15,G122)))*(IF(Upgrades!$T$13="Microlensing",POWER(Upgrades!$U$13,E122),1)*IF(Upgrades!$T$14="Microlensing",POWER(Upgrades!$U$14,F122),1)*IF(Upgrades!$T$16="Microlensing",POWER(Upgrades!$U$16,H122),1)*IF(Upgrades!$T$17="Microlensing",POWER(Upgrades!$U$17,I122),1)*IF(Upgrades!$T$18="Microlensing",POWER(Upgrades!$U$18,J122),1)*IF(Upgrades!$T$19="Microlensing",POWER(Upgrades!$U$19,K122),1)*IF(Upgrades!$T$20="Microlensing",POWER(Upgrades!$U$20,L122),1)*IF(Upgrades!$T$21="Microlensing",POWER(Upgrades!$U$21,M122),1))+(IF(H122=0,0,(Upgrades!$G$16+H122*Upgrades!$H$16)*POWER(Upgrades!$I$16,H122)))*(IF(Upgrades!$T$13="Roche Lobe Overflow",POWER(Upgrades!$U$13,E122),1)*IF(Upgrades!$T$14="Roche Lobe Overflow",POWER(Upgrades!$U$14,F122),1)*IF(Upgrades!$T$15="Roche Lobe Overflow",POWER(Upgrades!$U$15,G122),1)*IF(Upgrades!$T$17="Roche Lobe Overflow",POWER(Upgrades!$U$17,I122),1)*IF(Upgrades!$T$18="Roche Lobe Overflow",POWER(Upgrades!$U$18,J122),1)*IF(Upgrades!$T$19="Roche Lobe Overflow",POWER(Upgrades!$U$19,K122),1)*IF(Upgrades!$T$20="Roche Lobe Overflow",POWER(Upgrades!$U$20,L122),1)*IF(Upgrades!$T$21="Roche Lobe Overflow",POWER(Upgrades!$U$21,M122),1))+(IF(I122=0,0,(Upgrades!$G$17+I122*Upgrades!$H$17)*POWER(Upgrades!$I$17,I122)))*(IF(Upgrades!$T$13="Brown Dwarf",POWER(Upgrades!$U$13,E122),1)*IF(Upgrades!$T$14="Brown Dwarf",POWER(Upgrades!$U$14,F122),1)*IF(Upgrades!$T$15="Brown Dwarf",POWER(Upgrades!$U$15,G122),1)*IF(Upgrades!$T$16="Brown Dwarf",POWER(Upgrades!$U$16,H122),1)*IF(Upgrades!$T$18="Brown Dwarf",POWER(Upgrades!$U$18,J122),1)*IF(Upgrades!$T$19="Brown Dwarf",POWER(Upgrades!$U$19,K122),1)*IF(Upgrades!$T$20="Brown Dwarf",POWER(Upgrades!$U$20,L122),1)*IF(Upgrades!$T$21="Brown Dwarf",POWER(Upgrades!$U$21,M122),1))+(IF(J122=0,0,(Upgrades!$G$18+J122*Upgrades!$H$18)*POWER(Upgrades!$I$18,J122)))*(IF(Upgrades!$T$13="Binary Partner",POWER(Upgrades!$U$13,E122),1)*IF(Upgrades!$T$14="Binary Partner",POWER(Upgrades!$U$14,F122),1)*IF(Upgrades!$T$15="Binary Partner",POWER(Upgrades!$U$15,G122),1)*IF(Upgrades!$T$16="Binary Partner",POWER(Upgrades!$U$16,H122),1)*IF(Upgrades!$T$17="Binary Partner",POWER(Upgrades!$U$17,I122),1)*IF(Upgrades!$T$19="Binary Partner",POWER(Upgrades!$U$19,K122),1)*IF(Upgrades!$T$20="Binary Partner",POWER(Upgrades!$U$20,L122),1)*IF(Upgrades!$T$21="Binary Partner",POWER(Upgrades!$U$21,M122),1))+(IF(K122=0,0,(Upgrades!$G$19+K122*Upgrades!$H$19)*POWER(Upgrades!$I$19,K122)))*(IF(Upgrades!$T$13="Peculiar Velocity",POWER(Upgrades!$U$13,E122),1)*IF(Upgrades!$T$14="Peculiar Velocity",POWER(Upgrades!$U$14,F122),1)*IF(Upgrades!$T$15="Peculiar Velocity",POWER(Upgrades!$U$15,G122),1)*IF(Upgrades!$T$16="Peculiar Velocity",POWER(Upgrades!$U$16,H122),1)*IF(Upgrades!$T$17="Peculiar Velocity",POWER(Upgrades!$U$17,I122),1)*IF(Upgrades!$T$18="Peculiar Velocity",POWER(Upgrades!$U$18,J122),1)*IF(Upgrades!$T$20="Peculiar Velocity",POWER(Upgrades!$U$20,L122),1)*IF(Upgrades!$T$21="Peculiar Velocity",POWER(Upgrades!$U$21,M122),1))+(IF(L122=0,0,(Upgrades!$G$20+L122*Upgrades!$H$20)*POWER(Upgrades!$I$20,L122)))*(IF(Upgrades!$T$13="Open Cluster",POWER(Upgrades!$U$13,E122),1)*IF(Upgrades!$T$14="Open Cluster",POWER(Upgrades!$U$14,F122),1)*IF(Upgrades!$T$15="Open Cluster",POWER(Upgrades!$U$15,G122),1)*IF(Upgrades!$T$16="Open Cluster",POWER(Upgrades!$U$16,H122),1)*IF(Upgrades!$T$17="Open Cluster",POWER(Upgrades!$U$17,I122),1)*IF(Upgrades!$T$18="Open Cluster",POWER(Upgrades!$U$18,J122),1)*IF(Upgrades!$T$19="Open Cluster",POWER(Upgrades!$U$19,K122),1)*IF(Upgrades!$T$21="Open Cluster",POWER(Upgrades!$U$21,M122),1))+(IF(M122=0,0,(Upgrades!$G$21+M122*Upgrades!$H$21)*POWER(Upgrades!$I$21,M122)))*(IF(Upgrades!$T$13="Moving Group",POWER(Upgrades!$U$13,E122),1)*IF(Upgrades!$T$14="Moving Group",POWER(Upgrades!$U$14,F122),1)*IF(Upgrades!$T$15="Moving Group",POWER(Upgrades!$U$15,G122),1)*IF(Upgrades!$T$16="Moving Group",POWER(Upgrades!$U$16,H122),1)*IF(Upgrades!$T$17="Moving Group",POWER(Upgrades!$U$17,I122),1)*IF(Upgrades!$T$18="Moving Group",POWER(Upgrades!$U$18,J122),1)*IF(Upgrades!$T$19="Moving Group",POWER(Upgrades!$U$19,K122),1)*IF(Upgrades!$T$20="Moving Group",POWER(Upgrades!$U$20,L122),1)))*POWER(Upgrades!$P$13,E122)*POWER(Upgrades!$P$14,F122)*POWER(Upgrades!$P$15,G122)*POWER(Upgrades!$P$16,H122)*POWER(Upgrades!$P$17,I122)*POWER(Upgrades!$P$18,J122)*POWER(Upgrades!$P$19,K122)*POWER(Upgrades!$P$20,L122)*POWER(Upgrades!$P$21,M122)*$F$6+$C$6</f>
        <v/>
      </c>
      <c r="Q122" s="28">
        <f>((IF(E122=0,0,(Upgrades!$M$13+E122*Upgrades!$N$13)*POWER(Upgrades!$O$13,E122)))*(IF(Upgrades!$T$14="Stellar Kinematics",POWER(Upgrades!$U$14,F122),1)*IF(Upgrades!$T$15="Stellar Kinematics",POWER(Upgrades!$U$15,G122),1)*IF(Upgrades!$T$16="Stellar Kinematics",POWER(Upgrades!$U$16,H122),1)*IF(Upgrades!$T$17="Stellar Kinematics",POWER(Upgrades!$U$17,I122),1)*IF(Upgrades!$T$18="Stellar Kinematics",POWER(Upgrades!$U$18,J122),1)*IF(Upgrades!$T$19="Stellar Kinematics",POWER(Upgrades!$U$19,K122),1)*IF(Upgrades!$T$20="Stellar Kinematics",POWER(Upgrades!$U$20,L122),1)*IF(Upgrades!$T$21="Stellar Kinematics",POWER(Upgrades!$U$21,M122),1))+(IF(F122=0,0,(Upgrades!$M$14+F122*Upgrades!$N$14)*POWER(Upgrades!$O$14,F122)))*(IF(Upgrades!$T$13="Local Bubble",POWER(Upgrades!$U$13,E122),1)*IF(Upgrades!$T$15="Local Bubble",POWER(Upgrades!$U$15,G122),1)*IF(Upgrades!$T$16="Local Bubble",POWER(Upgrades!$U$16,H122),1)*IF(Upgrades!$T$17="Local Bubble",POWER(Upgrades!$U$17,I122),1)*IF(Upgrades!$T$18="Local Bubble",POWER(Upgrades!$U$18,J122),1)*IF(Upgrades!$T$19="Local Bubble",POWER(Upgrades!$U$19,K122),1)*IF(Upgrades!$T$20="Local Bubble",POWER(Upgrades!$U$20,L122),1)*IF(Upgrades!$T$21="Local Bubble",POWER(Upgrades!$U$21,M122),1))+(IF(G122=0,0,(Upgrades!$M$15+G122*Upgrades!$N$15)*POWER(Upgrades!$O$15,G122)))*(IF(Upgrades!$T$13="Microlensing",POWER(Upgrades!$U$13,E122),1)*IF(Upgrades!$T$14="Microlensing",POWER(Upgrades!$U$14,F122),1)*IF(Upgrades!$T$16="Microlensing",POWER(Upgrades!$U$16,H122),1)*IF(Upgrades!$T$17="Microlensing",POWER(Upgrades!$U$17,I122),1)*IF(Upgrades!$T$18="Microlensing",POWER(Upgrades!$U$18,J122),1)*IF(Upgrades!$T$19="Microlensing",POWER(Upgrades!$U$19,K122),1)*IF(Upgrades!$T$20="Microlensing",POWER(Upgrades!$U$20,L122),1)*IF(Upgrades!$T$21="Microlensing",POWER(Upgrades!$U$21,M122),1))+(IF(H122=0,0,(Upgrades!$M$16+H122*Upgrades!$N$16)*POWER(Upgrades!$O$16,H122)))*(IF(Upgrades!$T$13="Roche Lobe Overflow",POWER(Upgrades!$U$13,E122),1)*IF(Upgrades!$T$14="Roche Lobe Overflow",POWER(Upgrades!$U$14,F122),1)*IF(Upgrades!$T$15="Roche Lobe Overflow",POWER(Upgrades!$U$15,G122),1)*IF(Upgrades!$T$17="Roche Lobe Overflow",POWER(Upgrades!$U$17,I122),1)*IF(Upgrades!$T$18="Roche Lobe Overflow",POWER(Upgrades!$U$18,J122),1)*IF(Upgrades!$T$19="Roche Lobe Overflow",POWER(Upgrades!$U$19,K122),1)*IF(Upgrades!$T$20="Roche Lobe Overflow",POWER(Upgrades!$U$20,L122),1)*IF(Upgrades!$T$21="Roche Lobe Overflow",POWER(Upgrades!$U$21,M122),1))+(IF(I122=0,0,(Upgrades!$M$17+I122*Upgrades!$N$17)*POWER(Upgrades!$O$17,I122)))*(IF(Upgrades!$T$13="Brown Dwarf",POWER(Upgrades!$U$13,E122),1)*IF(Upgrades!$T$14="Brown Dwarf",POWER(Upgrades!$U$14,F122),1)*IF(Upgrades!$T$15="Brown Dwarf",POWER(Upgrades!$U$15,G122),1)*IF(Upgrades!$T$16="Brown Dwarf",POWER(Upgrades!$U$16,H122),1)*IF(Upgrades!$T$18="Brown Dwarf",POWER(Upgrades!$U$18,J122),1)*IF(Upgrades!$T$19="Brown Dwarf",POWER(Upgrades!$U$19,K122),1)*IF(Upgrades!$T$20="Brown Dwarf",POWER(Upgrades!$U$20,L122),1)*IF(Upgrades!$T$21="Brown Dwarf",POWER(Upgrades!$U$21,M122),1))+(IF(J122=0,0,(Upgrades!$M$18+J122*Upgrades!$N$18)*POWER(Upgrades!$O$18,J122)))*(IF(Upgrades!$T$13="Binary Partner",POWER(Upgrades!$U$13,E122),1)*IF(Upgrades!$T$14="Binary Partner",POWER(Upgrades!$U$14,F122),1)*IF(Upgrades!$T$15="Binary Partner",POWER(Upgrades!$U$15,G122),1)*IF(Upgrades!$T$16="Binary Partner",POWER(Upgrades!$U$16,H122),1)*IF(Upgrades!$T$17="Binary Partner",POWER(Upgrades!$U$17,I122),1)*IF(Upgrades!$T$19="Binary Partner",POWER(Upgrades!$U$19,K122),1)*IF(Upgrades!$T$20="Binary Partner",POWER(Upgrades!$U$20,L122),1)*IF(Upgrades!$T$21="Binary Partner",POWER(Upgrades!$U$21,M122),1))+(IF(K122=0,0,(Upgrades!$M$19+K122*Upgrades!$N$19)*POWER(Upgrades!$O$19,K122)))*(IF(Upgrades!$T$13="Peculiar Velocity",POWER(Upgrades!$U$13,E122),1)*IF(Upgrades!$T$14="Peculiar Velocity",POWER(Upgrades!$U$14,F122),1)*IF(Upgrades!$T$15="Peculiar Velocity",POWER(Upgrades!$U$15,G122),1)*IF(Upgrades!$T$16="Peculiar Velocity",POWER(Upgrades!$U$16,H122),1)*IF(Upgrades!$T$17="Peculiar Velocity",POWER(Upgrades!$U$17,I122),1)*IF(Upgrades!$T$18="Peculiar Velocity",POWER(Upgrades!$U$18,J122),1)*IF(Upgrades!$T$20="Peculiar Velocity",POWER(Upgrades!$U$20,L122),1)*IF(Upgrades!$T$21="Peculiar Velocity",POWER(Upgrades!$U$21,M122),1))+(IF(L122=0,0,(Upgrades!$M$20+L122*Upgrades!$N$20)*POWER(Upgrades!$O$20,L122)))*(IF(Upgrades!$T$13="Open Cluster",POWER(Upgrades!$U$13,E122),1)*IF(Upgrades!$T$14="Open Cluster",POWER(Upgrades!$U$14,F122),1)*IF(Upgrades!$T$15="Open Cluster",POWER(Upgrades!$U$15,G122),1)*IF(Upgrades!$T$16="Open Cluster",POWER(Upgrades!$U$16,H122),1)*IF(Upgrades!$T$17="Open Cluster",POWER(Upgrades!$U$17,I122),1)*IF(Upgrades!$T$18="Open Cluster",POWER(Upgrades!$U$18,J122),1)*IF(Upgrades!$T$19="Open Cluster",POWER(Upgrades!$U$19,K122),1)*IF(Upgrades!$T$21="Open Cluster",POWER(Upgrades!$U$21,M122),1))+(IF(M122=0,0,(Upgrades!$M$21+M122*Upgrades!$N$21)*POWER(Upgrades!$O$21,M122)))*(IF(Upgrades!$T$13="Moving Group",POWER(Upgrades!$U$13,E122),1)*IF(Upgrades!$T$14="Moving Group",POWER(Upgrades!$U$14,F122),1)*IF(Upgrades!$T$15="Moving Group",POWER(Upgrades!$U$15,G122),1)*IF(Upgrades!$T$16="Moving Group",POWER(Upgrades!$U$16,H122),1)*IF(Upgrades!$T$17="Moving Group",POWER(Upgrades!$U$17,I122),1)*IF(Upgrades!$T$18="Moving Group",POWER(Upgrades!$U$18,J122),1)*IF(Upgrades!$T$19="Moving Group",POWER(Upgrades!$U$19,K122),1)*IF(Upgrades!$T$20="Moving Group",POWER(Upgrades!$U$20,L122),1)))*POWER(Upgrades!$R$13,E122)*POWER(Upgrades!$R$14,F122)*POWER(Upgrades!$R$15,G122)*POWER(Upgrades!$R$16,H122)*POWER(Upgrades!$R$17,I122)*POWER(Upgrades!$R$18,J122)*POWER(Upgrades!$R$19,K122)*POWER(Upgrades!$R$20,L122)*POWER(Upgrades!$R$21,M122)*$H$6+$E$6</f>
        <v/>
      </c>
      <c r="R122" s="27">
        <f>IF(N122=1,0,O122*Parameters!$B$10/60*Parameters!$B$11*10)</f>
        <v/>
      </c>
      <c r="S122" s="27">
        <f>IF(N122=1,0,Q122*O122*10)</f>
        <v/>
      </c>
      <c r="T122" s="27">
        <f>IF(N122=1,0,R122+S122+P122*10)</f>
        <v/>
      </c>
      <c r="U122" s="33">
        <f>BE122</f>
        <v/>
      </c>
      <c r="V122" s="22">
        <f>IF(U122="",0,IF(U122="transition",0,IF(U122="SK",AK122,IF(U122="LB",AL122,IF(U122="ML",AM122,IF(U122="RLO",AN122,IF(U122="BD",AO122,IF(U122="BiP",AP122,IF(U122="PV",AQ122,IF(U122="OC",AR122,IF(U122="MG",AS122,0))))))))))</f>
        <v/>
      </c>
      <c r="W122" s="27">
        <f>IF(U122="BiP",Upgrades!$F$18,IF(U122="PV",Upgrades!$F$19,IF(U122="OC",Upgrades!$F$20,IF(U122="MG",Upgrades!$F$21,IF(U122="transition",-Parameters!$B$18*Parameters!$B$19,0)))))</f>
        <v/>
      </c>
      <c r="X122" s="22">
        <f>C122+T122-V122</f>
        <v/>
      </c>
      <c r="Y122" s="30">
        <f>O122*Parameters!$B$10/60*Parameters!$B$11+Q122*O122+P122</f>
        <v/>
      </c>
      <c r="Z122" s="34">
        <f>IF(U122="transition","→ Tier 3 (Galactic Arm)",IF(U122="MG","Moving Group — pocket drifts together",IF(U122="OC","Open Cluster acquired",IF(U122="PV","Peculiar Velocity — passive multiplier active",IF(U122="BiP","Binary Partner — pair bond formed",IF(AND(AU122=1,N122=0,AT122&lt;&gt;1),"Cohesion ready (waiting on completionists)","")))))) </f>
        <v/>
      </c>
      <c r="AA122" s="27">
        <f>(IF(E122=0,0,(Upgrades!$G$13+E122*Upgrades!$H$13)*POWER(Upgrades!$I$13,E122)))*(IF(Upgrades!$T$14="Stellar Kinematics",POWER(Upgrades!$U$14,F122),1)*IF(Upgrades!$T$15="Stellar Kinematics",POWER(Upgrades!$U$15,G122),1)*IF(Upgrades!$T$16="Stellar Kinematics",POWER(Upgrades!$U$16,H122),1)*IF(Upgrades!$T$17="Stellar Kinematics",POWER(Upgrades!$U$17,I122),1)*IF(Upgrades!$T$18="Stellar Kinematics",POWER(Upgrades!$U$18,J122),1)*IF(Upgrades!$T$19="Stellar Kinematics",POWER(Upgrades!$U$19,K122),1)*IF(Upgrades!$T$20="Stellar Kinematics",POWER(Upgrades!$U$20,L122),1)*IF(Upgrades!$T$21="Stellar Kinematics",POWER(Upgrades!$U$21,M122),1))*POWER(Upgrades!$P$13,E122)*POWER(Upgrades!$P$14,F122)*POWER(Upgrades!$P$15,G122)*POWER(Upgrades!$P$16,H122)*POWER(Upgrades!$P$17,I122)*POWER(Upgrades!$P$18,J122)*POWER(Upgrades!$P$19,K122)*POWER(Upgrades!$P$20,L122)*POWER(Upgrades!$P$21,M122)*$F$6*60</f>
        <v/>
      </c>
      <c r="AB122" s="27">
        <f>(IF(F122=0,0,(Upgrades!$G$14+F122*Upgrades!$H$14)*POWER(Upgrades!$I$14,F122)))*(IF(Upgrades!$T$13="Local Bubble",POWER(Upgrades!$U$13,E122),1)*IF(Upgrades!$T$15="Local Bubble",POWER(Upgrades!$U$15,G122),1)*IF(Upgrades!$T$16="Local Bubble",POWER(Upgrades!$U$16,H122),1)*IF(Upgrades!$T$17="Local Bubble",POWER(Upgrades!$U$17,I122),1)*IF(Upgrades!$T$18="Local Bubble",POWER(Upgrades!$U$18,J122),1)*IF(Upgrades!$T$19="Local Bubble",POWER(Upgrades!$U$19,K122),1)*IF(Upgrades!$T$20="Local Bubble",POWER(Upgrades!$U$20,L122),1)*IF(Upgrades!$T$21="Local Bubble",POWER(Upgrades!$U$21,M122),1))*POWER(Upgrades!$P$13,E122)*POWER(Upgrades!$P$14,F122)*POWER(Upgrades!$P$15,G122)*POWER(Upgrades!$P$16,H122)*POWER(Upgrades!$P$17,I122)*POWER(Upgrades!$P$18,J122)*POWER(Upgrades!$P$19,K122)*POWER(Upgrades!$P$20,L122)*POWER(Upgrades!$P$21,M122)*$F$6*60</f>
        <v/>
      </c>
      <c r="AC122" s="27">
        <f>(IF(G122=0,0,(Upgrades!$J$15+G122*Upgrades!$K$15)*POWER(Upgrades!$L$15,G122)))*(IF(Upgrades!$T$13="Microlensing",POWER(Upgrades!$U$13,E122),1)*IF(Upgrades!$T$14="Microlensing",POWER(Upgrades!$U$14,F122),1)*IF(Upgrades!$T$16="Microlensing",POWER(Upgrades!$U$16,H122),1)*IF(Upgrades!$T$17="Microlensing",POWER(Upgrades!$U$17,I122),1)*IF(Upgrades!$T$18="Microlensing",POWER(Upgrades!$U$18,J122),1)*IF(Upgrades!$T$19="Microlensing",POWER(Upgrades!$U$19,K122),1)*IF(Upgrades!$T$20="Microlensing",POWER(Upgrades!$U$20,L122),1)*IF(Upgrades!$T$21="Microlensing",POWER(Upgrades!$U$21,M122),1))*POWER(Upgrades!$Q$13,E122)*POWER(Upgrades!$Q$14,F122)*POWER(Upgrades!$Q$15,G122)*POWER(Upgrades!$Q$16,H122)*POWER(Upgrades!$Q$17,I122)*POWER(Upgrades!$Q$18,J122)*POWER(Upgrades!$Q$19,K122)*POWER(Upgrades!$Q$20,L122)*POWER(Upgrades!$Q$21,M122)*$G$6*(Parameters!$B$10*Parameters!$B$11+Q122*60)</f>
        <v/>
      </c>
      <c r="AD122" s="27">
        <f>(IF(H122=0,0,(Upgrades!$M$16+H122*Upgrades!$N$16)*POWER(Upgrades!$O$16,H122)))*(IF(Upgrades!$T$13="Roche Lobe Overflow",POWER(Upgrades!$U$13,E122),1)*IF(Upgrades!$T$14="Roche Lobe Overflow",POWER(Upgrades!$U$14,F122),1)*IF(Upgrades!$T$15="Roche Lobe Overflow",POWER(Upgrades!$U$15,G122),1)*IF(Upgrades!$T$17="Roche Lobe Overflow",POWER(Upgrades!$U$17,I122),1)*IF(Upgrades!$T$18="Roche Lobe Overflow",POWER(Upgrades!$U$18,J122),1)*IF(Upgrades!$T$19="Roche Lobe Overflow",POWER(Upgrades!$U$19,K122),1)*IF(Upgrades!$T$20="Roche Lobe Overflow",POWER(Upgrades!$U$20,L122),1)*IF(Upgrades!$T$21="Roche Lobe Overflow",POWER(Upgrades!$U$21,M122),1))*POWER(Upgrades!$R$13,E122)*POWER(Upgrades!$R$14,F122)*POWER(Upgrades!$R$15,G122)*POWER(Upgrades!$R$16,H122)*POWER(Upgrades!$R$17,I122)*POWER(Upgrades!$R$18,J122)*POWER(Upgrades!$R$19,K122)*POWER(Upgrades!$R$20,L122)*POWER(Upgrades!$R$21,M122)*$H$6*O122*60</f>
        <v/>
      </c>
      <c r="AE122" s="27">
        <f>(IF(I122=0,0,(Upgrades!$G$17+I122*Upgrades!$H$17)*POWER(Upgrades!$I$17,I122)))*(IF(Upgrades!$T$13="Brown Dwarf",POWER(Upgrades!$U$13,E122),1)*IF(Upgrades!$T$14="Brown Dwarf",POWER(Upgrades!$U$14,F122),1)*IF(Upgrades!$T$15="Brown Dwarf",POWER(Upgrades!$U$15,G122),1)*IF(Upgrades!$T$16="Brown Dwarf",POWER(Upgrades!$U$16,H122),1)*IF(Upgrades!$T$18="Brown Dwarf",POWER(Upgrades!$U$18,J122),1)*IF(Upgrades!$T$19="Brown Dwarf",POWER(Upgrades!$U$19,K122),1)*IF(Upgrades!$T$20="Brown Dwarf",POWER(Upgrades!$U$20,L122),1)*IF(Upgrades!$T$21="Brown Dwarf",POWER(Upgrades!$U$21,M122),1))*POWER(Upgrades!$P$13,E122)*POWER(Upgrades!$P$14,F122)*POWER(Upgrades!$P$15,G122)*POWER(Upgrades!$P$16,H122)*POWER(Upgrades!$P$17,I122)*POWER(Upgrades!$P$18,J122)*POWER(Upgrades!$P$19,K122)*POWER(Upgrades!$P$20,L122)*POWER(Upgrades!$P$21,M122)*$F$6*60</f>
        <v/>
      </c>
      <c r="AF122" s="27" t="n">
        <v>0</v>
      </c>
      <c r="AG122" s="27" t="n">
        <v>0</v>
      </c>
      <c r="AH122" s="27" t="n">
        <v>0</v>
      </c>
      <c r="AI122" s="27">
        <f>(IF(M122=0,0,(Upgrades!$G$21+M122*Upgrades!$H$21)*POWER(Upgrades!$I$21,M122)))*(IF(Upgrades!$T$13="Moving Group",POWER(Upgrades!$U$13,E122),1)*IF(Upgrades!$T$14="Moving Group",POWER(Upgrades!$U$14,F122),1)*IF(Upgrades!$T$15="Moving Group",POWER(Upgrades!$U$15,G122),1)*IF(Upgrades!$T$16="Moving Group",POWER(Upgrades!$U$16,H122),1)*IF(Upgrades!$T$17="Moving Group",POWER(Upgrades!$U$17,I122),1)*IF(Upgrades!$T$18="Moving Group",POWER(Upgrades!$U$18,J122),1)*IF(Upgrades!$T$19="Moving Group",POWER(Upgrades!$U$19,K122),1)*IF(Upgrades!$T$20="Moving Group",POWER(Upgrades!$U$20,L122),1))*POWER(Upgrades!$P$13,E122)*POWER(Upgrades!$P$14,F122)*POWER(Upgrades!$P$15,G122)*POWER(Upgrades!$P$16,H122)*POWER(Upgrades!$P$17,I122)*POWER(Upgrades!$P$18,J122)*POWER(Upgrades!$P$19,K122)*POWER(Upgrades!$P$20,L122)*POWER(Upgrades!$P$21,M122)*$F$6*60</f>
        <v/>
      </c>
      <c r="AJ122" s="27">
        <f>$C$6*60</f>
        <v/>
      </c>
      <c r="AK122" s="22">
        <f>IF(E122&gt;=Upgrades!$E$13,"",Upgrades!$C$13*POWER(Upgrades!$D$13,E122))</f>
        <v/>
      </c>
      <c r="AL122" s="22">
        <f>IF(F122&gt;=Upgrades!$E$14,"",Upgrades!$C$14*POWER(Upgrades!$D$14,F122))</f>
        <v/>
      </c>
      <c r="AM122" s="22">
        <f>IF(G122&gt;=Upgrades!$E$15,"",Upgrades!$C$15*POWER(Upgrades!$D$15,G122))</f>
        <v/>
      </c>
      <c r="AN122" s="22">
        <f>IF(H122&gt;=Upgrades!$E$16,"",Upgrades!$C$16*POWER(Upgrades!$D$16,H122))</f>
        <v/>
      </c>
      <c r="AO122" s="22">
        <f>IF(I122&gt;=Upgrades!$E$17,"",Upgrades!$C$17*POWER(Upgrades!$D$17,I122))</f>
        <v/>
      </c>
      <c r="AP122" s="22">
        <f>IF(J122&gt;=Upgrades!$E$18,"",Upgrades!$C$18*POWER(Upgrades!$D$18,J122))</f>
        <v/>
      </c>
      <c r="AQ122" s="22">
        <f>IF(K122&gt;=Upgrades!$E$19,"",Upgrades!$C$19*POWER(Upgrades!$D$19,K122))</f>
        <v/>
      </c>
      <c r="AR122" s="22">
        <f>IF(L122&gt;=Upgrades!$E$20,"",Upgrades!$C$20*POWER(Upgrades!$D$20,L122))</f>
        <v/>
      </c>
      <c r="AS122" s="22">
        <f>IF(M122&gt;=Upgrades!$E$21,"",Upgrades!$C$21*POWER(Upgrades!$D$21,M122))</f>
        <v/>
      </c>
      <c r="AT122" s="26">
        <f>IF(AND(D122&gt;=Parameters!$B$18*Parameters!$B$19,(I122&gt;=Upgrades!$E$17)*(M122&gt;=Upgrades!$E$21)=1,N122=0),1,"")</f>
        <v/>
      </c>
      <c r="AU122" s="26">
        <f>IF(AND(D122&gt;=Parameters!$B$18*Parameters!$B$19,N122=0),1,"")</f>
        <v/>
      </c>
      <c r="AV122" s="22">
        <f>MIN(IF(ISNUMBER(AP122),AP122,9E15),IF(ISNUMBER(AQ122),AQ122,9E15),IF(ISNUMBER(AR122),AR122,9E15),IF(ISNUMBER(AS122),AS122,9E15))</f>
        <v/>
      </c>
      <c r="AW122" s="22">
        <f>MIN(IF(ISNUMBER(AK122),AK122,9E15),IF(ISNUMBER(AL122),AL122,9E15),IF(ISNUMBER(AM122),AM122,9E15),IF(ISNUMBER(AN122),AN122,9E15),IF(ISNUMBER(AO122),AO122,9E15))</f>
        <v/>
      </c>
      <c r="AX122" s="29">
        <f>IF(BD122&gt;Parameters!$B$21*(MAX(IF(AND(NOT(AND(AU122=1,AT122&lt;&gt;1)),ISNUMBER(AK122),AK122&lt;=(C122+T122)),AY122,0),IF(AND(NOT(AND(AU122=1,AT122&lt;&gt;1)),ISNUMBER(AL122),AL122&lt;=(C122+T122)),AZ122,0),IF(AND(NOT(AND(AU122=1,AT122&lt;&gt;1)),ISNUMBER(AM122),AM122&lt;=(C122+T122)),BA122,0),IF(AND(NOT(AND(AU122=1,AT122&lt;&gt;1)),ISNUMBER(AN122),AN122&lt;=(C122+T122)),BB122,0),IF(AND(ISNUMBER(AO122),AO122&lt;=(C122+T122)),BC122,0))),TRUE,FALSE)</f>
        <v/>
      </c>
      <c r="AY122" s="32">
        <f>IFERROR(Upgrades!$H$13*(POWER(Upgrades!$P$13,E122)*POWER(Upgrades!$P$14,F122)*POWER(Upgrades!$P$15,G122)*POWER(Upgrades!$P$16,H122)*POWER(Upgrades!$P$17,I122)*POWER(Upgrades!$P$18,J122)*POWER(Upgrades!$P$19,K122)*POWER(Upgrades!$P$20,L122)*POWER(Upgrades!$P$21,M122))*(IF(Upgrades!$T$14="Stellar Kinematics",POWER(Upgrades!$U$14,F122),1)*IF(Upgrades!$T$15="Stellar Kinematics",POWER(Upgrades!$U$15,G122),1)*IF(Upgrades!$T$16="Stellar Kinematics",POWER(Upgrades!$U$16,H122),1)*IF(Upgrades!$T$17="Stellar Kinematics",POWER(Upgrades!$U$17,I122),1)*IF(Upgrades!$T$18="Stellar Kinematics",POWER(Upgrades!$U$18,J122),1)*IF(Upgrades!$T$19="Stellar Kinematics",POWER(Upgrades!$U$19,K122),1)*IF(Upgrades!$T$20="Stellar Kinematics",POWER(Upgrades!$U$20,L122),1)*IF(Upgrades!$T$21="Stellar Kinematics",POWER(Upgrades!$U$21,M122),1))*$F$6/AK122,0)</f>
        <v/>
      </c>
      <c r="AZ122" s="32">
        <f>IFERROR(Upgrades!$H$14*(POWER(Upgrades!$P$13,E122)*POWER(Upgrades!$P$14,F122)*POWER(Upgrades!$P$15,G122)*POWER(Upgrades!$P$16,H122)*POWER(Upgrades!$P$17,I122)*POWER(Upgrades!$P$18,J122)*POWER(Upgrades!$P$19,K122)*POWER(Upgrades!$P$20,L122)*POWER(Upgrades!$P$21,M122))*(IF(Upgrades!$T$13="Local Bubble",POWER(Upgrades!$U$13,E122),1)*IF(Upgrades!$T$15="Local Bubble",POWER(Upgrades!$U$15,G122),1)*IF(Upgrades!$T$16="Local Bubble",POWER(Upgrades!$U$16,H122),1)*IF(Upgrades!$T$17="Local Bubble",POWER(Upgrades!$U$17,I122),1)*IF(Upgrades!$T$18="Local Bubble",POWER(Upgrades!$U$18,J122),1)*IF(Upgrades!$T$19="Local Bubble",POWER(Upgrades!$U$19,K122),1)*IF(Upgrades!$T$20="Local Bubble",POWER(Upgrades!$U$20,L122),1)*IF(Upgrades!$T$21="Local Bubble",POWER(Upgrades!$U$21,M122),1))*$F$6/AL122,0)</f>
        <v/>
      </c>
      <c r="BA122" s="32">
        <f>IFERROR(Upgrades!$K$15*(POWER(Upgrades!$Q$13,E122)*POWER(Upgrades!$Q$14,F122)*POWER(Upgrades!$Q$15,G122)*POWER(Upgrades!$Q$16,H122)*POWER(Upgrades!$Q$17,I122)*POWER(Upgrades!$Q$18,J122)*POWER(Upgrades!$Q$19,K122)*POWER(Upgrades!$Q$20,L122)*POWER(Upgrades!$Q$21,M122))*(IF(Upgrades!$T$13="Microlensing",POWER(Upgrades!$U$13,E122),1)*IF(Upgrades!$T$14="Microlensing",POWER(Upgrades!$U$14,F122),1)*IF(Upgrades!$T$16="Microlensing",POWER(Upgrades!$U$16,H122),1)*IF(Upgrades!$T$17="Microlensing",POWER(Upgrades!$U$17,I122),1)*IF(Upgrades!$T$18="Microlensing",POWER(Upgrades!$U$18,J122),1)*IF(Upgrades!$T$19="Microlensing",POWER(Upgrades!$U$19,K122),1)*IF(Upgrades!$T$20="Microlensing",POWER(Upgrades!$U$20,L122),1)*IF(Upgrades!$T$21="Microlensing",POWER(Upgrades!$U$21,M122),1))*$G$6*(Parameters!$B$10/60*Parameters!$B$11+Q122)/AM122,0)</f>
        <v/>
      </c>
      <c r="BB122" s="32">
        <f>IFERROR((Upgrades!$N$16*(POWER(Upgrades!$R$13,E122)*POWER(Upgrades!$R$14,F122)*POWER(Upgrades!$R$15,G122)*POWER(Upgrades!$R$16,H122)*POWER(Upgrades!$R$17,I122)*POWER(Upgrades!$R$18,J122)*POWER(Upgrades!$R$19,K122)*POWER(Upgrades!$R$20,L122)*POWER(Upgrades!$R$21,M122))*(IF(Upgrades!$T$13="Roche Lobe Overflow",POWER(Upgrades!$U$13,E122),1)*IF(Upgrades!$T$14="Roche Lobe Overflow",POWER(Upgrades!$U$14,F122),1)*IF(Upgrades!$T$15="Roche Lobe Overflow",POWER(Upgrades!$U$15,G122),1)*IF(Upgrades!$T$17="Roche Lobe Overflow",POWER(Upgrades!$U$17,I122),1)*IF(Upgrades!$T$18="Roche Lobe Overflow",POWER(Upgrades!$U$18,J122),1)*IF(Upgrades!$T$19="Roche Lobe Overflow",POWER(Upgrades!$U$19,K122),1)*IF(Upgrades!$T$20="Roche Lobe Overflow",POWER(Upgrades!$U$20,L122),1)*IF(Upgrades!$T$21="Roche Lobe Overflow",POWER(Upgrades!$U$21,M122),1))*$H$6*O122+((IF(F122=0,0,(Upgrades!$G$14+F122*Upgrades!$H$14)*POWER(Upgrades!$I$14,F122)))*(IF(Upgrades!$T$13="Local Bubble",POWER(Upgrades!$U$13,E122),1)*IF(Upgrades!$T$15="Local Bubble",POWER(Upgrades!$U$15,G122),1)*IF(Upgrades!$T$16="Local Bubble",POWER(Upgrades!$U$16,H122),1)*IF(Upgrades!$T$17="Local Bubble",POWER(Upgrades!$U$17,I122),1)*IF(Upgrades!$T$18="Local Bubble",POWER(Upgrades!$U$18,J122),1)*IF(Upgrades!$T$19="Local Bubble",POWER(Upgrades!$U$19,K122),1)*IF(Upgrades!$T$20="Local Bubble",POWER(Upgrades!$U$20,L122),1)*IF(Upgrades!$T$21="Local Bubble",POWER(Upgrades!$U$21,M122),1))*POWER(Upgrades!$P$13,E122)*POWER(Upgrades!$P$14,F122)*POWER(Upgrades!$P$15,G122)*POWER(Upgrades!$P$16,H122)*POWER(Upgrades!$P$17,I122)*POWER(Upgrades!$P$18,J122)*POWER(Upgrades!$P$19,K122)*POWER(Upgrades!$P$20,L122)*POWER(Upgrades!$P$21,M122)*$F$6)*0.05)/AN122,0)</f>
        <v/>
      </c>
      <c r="BC122" s="32">
        <f>IFERROR((Upgrades!$H$17*(POWER(Upgrades!$P$13,E122)*POWER(Upgrades!$P$14,F122)*POWER(Upgrades!$P$15,G122)*POWER(Upgrades!$P$16,H122)*POWER(Upgrades!$P$17,I122)*POWER(Upgrades!$P$18,J122)*POWER(Upgrades!$P$19,K122)*POWER(Upgrades!$P$20,L122)*POWER(Upgrades!$P$21,M122))*(IF(Upgrades!$T$13="Brown Dwarf",POWER(Upgrades!$U$13,E122),1)*IF(Upgrades!$T$14="Brown Dwarf",POWER(Upgrades!$U$14,F122),1)*IF(Upgrades!$T$15="Brown Dwarf",POWER(Upgrades!$U$15,G122),1)*IF(Upgrades!$T$16="Brown Dwarf",POWER(Upgrades!$U$16,H122),1)*IF(Upgrades!$T$18="Brown Dwarf",POWER(Upgrades!$U$18,J122),1)*IF(Upgrades!$T$19="Brown Dwarf",POWER(Upgrades!$U$19,K122),1)*IF(Upgrades!$T$20="Brown Dwarf",POWER(Upgrades!$U$20,L122),1)*IF(Upgrades!$T$21="Brown Dwarf",POWER(Upgrades!$U$21,M122),1))*$F$6+(((IF(H122=0,0,(Upgrades!$M$16+H122*Upgrades!$N$16)*POWER(Upgrades!$O$16,H122)))*(IF(Upgrades!$T$13="Roche Lobe Overflow",POWER(Upgrades!$U$13,E122),1)*IF(Upgrades!$T$14="Roche Lobe Overflow",POWER(Upgrades!$U$14,F122),1)*IF(Upgrades!$T$15="Roche Lobe Overflow",POWER(Upgrades!$U$15,G122),1)*IF(Upgrades!$T$17="Roche Lobe Overflow",POWER(Upgrades!$U$17,I122),1)*IF(Upgrades!$T$18="Roche Lobe Overflow",POWER(Upgrades!$U$18,J122),1)*IF(Upgrades!$T$19="Roche Lobe Overflow",POWER(Upgrades!$U$19,K122),1)*IF(Upgrades!$T$20="Roche Lobe Overflow",POWER(Upgrades!$U$20,L122),1)*IF(Upgrades!$T$21="Roche Lobe Overflow",POWER(Upgrades!$U$21,M122),1))*POWER(Upgrades!$R$13,E122)*POWER(Upgrades!$R$14,F122)*POWER(Upgrades!$R$15,G122)*POWER(Upgrades!$R$16,H122)*POWER(Upgrades!$R$17,I122)*POWER(Upgrades!$R$18,J122)*POWER(Upgrades!$R$19,K122)*POWER(Upgrades!$R$20,L122)*POWER(Upgrades!$R$21,M122)*$H$6)*O122)*0.10)/AO122,0)</f>
        <v/>
      </c>
      <c r="BD122" s="32">
        <f>MAX(IF(J122&gt;0,0,IFERROR(0.5*((IF(G122=0,0,(Upgrades!$J$15+G122*Upgrades!$K$15)*POWER(Upgrades!$L$15,G122)))*(IF(Upgrades!$T$13="Microlensing",POWER(Upgrades!$U$13,E122),1)*IF(Upgrades!$T$14="Microlensing",POWER(Upgrades!$U$14,F122),1)*IF(Upgrades!$T$16="Microlensing",POWER(Upgrades!$U$16,H122),1)*IF(Upgrades!$T$17="Microlensing",POWER(Upgrades!$U$17,I122),1)*IF(Upgrades!$T$18="Microlensing",POWER(Upgrades!$U$18,J122),1)*IF(Upgrades!$T$19="Microlensing",POWER(Upgrades!$U$19,K122),1)*IF(Upgrades!$T$20="Microlensing",POWER(Upgrades!$U$20,L122),1)*IF(Upgrades!$T$21="Microlensing",POWER(Upgrades!$U$21,M122),1))*(POWER(Upgrades!$Q$13,E122)*POWER(Upgrades!$Q$14,F122)*POWER(Upgrades!$Q$15,G122)*POWER(Upgrades!$Q$16,H122)*POWER(Upgrades!$Q$17,I122)*POWER(Upgrades!$Q$18,J122)*POWER(Upgrades!$Q$19,K122)*POWER(Upgrades!$Q$20,L122)*POWER(Upgrades!$Q$21,M122))*$G$6*(Parameters!$B$10/60*Parameters!$B$11+Q122))/Upgrades!$C$18,0)),IF(K122&gt;0,0,IFERROR(0.30*P122/Upgrades!$C$19,0)),IF(L122&gt;0,0,IFERROR(0.0001/Upgrades!$C$20,0)),IF(M122&gt;0,0,IFERROR((6.0*(POWER(Upgrades!$P$13,E122)*POWER(Upgrades!$P$14,F122)*POWER(Upgrades!$P$15,G122)*POWER(Upgrades!$P$16,H122)*POWER(Upgrades!$P$17,I122)*POWER(Upgrades!$P$18,J122)*POWER(Upgrades!$P$19,K122)*POWER(Upgrades!$P$20,L122)*POWER(Upgrades!$P$21,M122))*$F$6+0.20*O122*(Parameters!$B$10/60*Parameters!$B$11+Q122))/Upgrades!$C$21,0)),IF(AND(ISNUMBER(AK122),AK122&gt;(C122+T122)),AY122,0),IF(AND(ISNUMBER(AL122),AL122&gt;(C122+T122)),AZ122,0),IF(AND(ISNUMBER(AM122),AM122&gt;(C122+T122)),BA122,0),IF(AND(ISNUMBER(AN122),AN122&gt;(C122+T122)),BB122,0),IF(AND(ISNUMBER(AO122),AO122&gt;(C122+T122)),BC122,0))</f>
        <v/>
      </c>
      <c r="BE122" s="29">
        <f>IF(AT122=1,"transition",IF(MIN(IF(AND(J122=0,ISNUMBER(AP122),AP122&lt;=(C122+T122)),AP122,9E15),IF(AND(K122=0,ISNUMBER(AQ122),AQ122&lt;=(C122+T122)),AQ122,9E15),IF(AND(L122=0,ISNUMBER(AR122),AR122&lt;=(C122+T122)),AR122,9E15),IF(AND(M122=0,ISNUMBER(AS122),AS122&lt;=(C122+T122)),AS122,9E15))&lt;9E15,IF(AND(AND(J122=0,ISNUMBER(AP122),AP122&lt;=(C122+T122)),AP122=MIN(IF(AND(J122=0,ISNUMBER(AP122),AP122&lt;=(C122+T122)),AP122,9E15),IF(AND(K122=0,ISNUMBER(AQ122),AQ122&lt;=(C122+T122)),AQ122,9E15),IF(AND(L122=0,ISNUMBER(AR122),AR122&lt;=(C122+T122)),AR122,9E15),IF(AND(M122=0,ISNUMBER(AS122),AS122&lt;=(C122+T122)),AS122,9E15))),"BiP",IF(AND(AND(K122=0,ISNUMBER(AQ122),AQ122&lt;=(C122+T122)),AQ122=MIN(IF(AND(J122=0,ISNUMBER(AP122),AP122&lt;=(C122+T122)),AP122,9E15),IF(AND(K122=0,ISNUMBER(AQ122),AQ122&lt;=(C122+T122)),AQ122,9E15),IF(AND(L122=0,ISNUMBER(AR122),AR122&lt;=(C122+T122)),AR122,9E15),IF(AND(M122=0,ISNUMBER(AS122),AS122&lt;=(C122+T122)),AS122,9E15))),"PV",IF(AND(AND(L122=0,ISNUMBER(AR122),AR122&lt;=(C122+T122)),AR122=MIN(IF(AND(J122=0,ISNUMBER(AP122),AP122&lt;=(C122+T122)),AP122,9E15),IF(AND(K122=0,ISNUMBER(AQ122),AQ122&lt;=(C122+T122)),AQ122,9E15),IF(AND(L122=0,ISNUMBER(AR122),AR122&lt;=(C122+T122)),AR122,9E15),IF(AND(M122=0,ISNUMBER(AS122),AS122&lt;=(C122+T122)),AS122,9E15))),"OC","MG"))),IF(AX122=TRUE,"",IF(MAX(IF(AND(NOT(AND(AU122=1,AT122&lt;&gt;1)),ISNUMBER(AK122),AK122&lt;=(C122+T122)),AY122,0),IF(AND(NOT(AND(AU122=1,AT122&lt;&gt;1)),ISNUMBER(AL122),AL122&lt;=(C122+T122)),AZ122,0),IF(AND(NOT(AND(AU122=1,AT122&lt;&gt;1)),ISNUMBER(AM122),AM122&lt;=(C122+T122)),BA122,0),IF(AND(NOT(AND(AU122=1,AT122&lt;&gt;1)),ISNUMBER(AN122),AN122&lt;=(C122+T122)),BB122,0),IF(AND(ISNUMBER(AO122),AO122&lt;=(C122+T122)),BC122,0))&lt;=0,"",IF(AND(IF(AND(NOT(AND(AU122=1,AT122&lt;&gt;1)),ISNUMBER(AK122),AK122&lt;=(C122+T122)),AY122,0)&gt;0,IF(AND(NOT(AND(AU122=1,AT122&lt;&gt;1)),ISNUMBER(AK122),AK122&lt;=(C122+T122)),AY122,0)=MAX(IF(AND(NOT(AND(AU122=1,AT122&lt;&gt;1)),ISNUMBER(AK122),AK122&lt;=(C122+T122)),AY122,0),IF(AND(NOT(AND(AU122=1,AT122&lt;&gt;1)),ISNUMBER(AL122),AL122&lt;=(C122+T122)),AZ122,0),IF(AND(NOT(AND(AU122=1,AT122&lt;&gt;1)),ISNUMBER(AM122),AM122&lt;=(C122+T122)),BA122,0),IF(AND(NOT(AND(AU122=1,AT122&lt;&gt;1)),ISNUMBER(AN122),AN122&lt;=(C122+T122)),BB122,0),IF(AND(ISNUMBER(AO122),AO122&lt;=(C122+T122)),BC122,0))),"SK",IF(AND(IF(AND(NOT(AND(AU122=1,AT122&lt;&gt;1)),ISNUMBER(AL122),AL122&lt;=(C122+T122)),AZ122,0)&gt;0,IF(AND(NOT(AND(AU122=1,AT122&lt;&gt;1)),ISNUMBER(AL122),AL122&lt;=(C122+T122)),AZ122,0)=MAX(IF(AND(NOT(AND(AU122=1,AT122&lt;&gt;1)),ISNUMBER(AK122),AK122&lt;=(C122+T122)),AY122,0),IF(AND(NOT(AND(AU122=1,AT122&lt;&gt;1)),ISNUMBER(AL122),AL122&lt;=(C122+T122)),AZ122,0),IF(AND(NOT(AND(AU122=1,AT122&lt;&gt;1)),ISNUMBER(AM122),AM122&lt;=(C122+T122)),BA122,0),IF(AND(NOT(AND(AU122=1,AT122&lt;&gt;1)),ISNUMBER(AN122),AN122&lt;=(C122+T122)),BB122,0),IF(AND(ISNUMBER(AO122),AO122&lt;=(C122+T122)),BC122,0))),"LB",IF(AND(IF(AND(NOT(AND(AU122=1,AT122&lt;&gt;1)),ISNUMBER(AM122),AM122&lt;=(C122+T122)),BA122,0)&gt;0,IF(AND(NOT(AND(AU122=1,AT122&lt;&gt;1)),ISNUMBER(AM122),AM122&lt;=(C122+T122)),BA122,0)=MAX(IF(AND(NOT(AND(AU122=1,AT122&lt;&gt;1)),ISNUMBER(AK122),AK122&lt;=(C122+T122)),AY122,0),IF(AND(NOT(AND(AU122=1,AT122&lt;&gt;1)),ISNUMBER(AL122),AL122&lt;=(C122+T122)),AZ122,0),IF(AND(NOT(AND(AU122=1,AT122&lt;&gt;1)),ISNUMBER(AM122),AM122&lt;=(C122+T122)),BA122,0),IF(AND(NOT(AND(AU122=1,AT122&lt;&gt;1)),ISNUMBER(AN122),AN122&lt;=(C122+T122)),BB122,0),IF(AND(ISNUMBER(AO122),AO122&lt;=(C122+T122)),BC122,0))),"ML",IF(AND(IF(AND(NOT(AND(AU122=1,AT122&lt;&gt;1)),ISNUMBER(AN122),AN122&lt;=(C122+T122)),BB122,0)&gt;0,IF(AND(NOT(AND(AU122=1,AT122&lt;&gt;1)),ISNUMBER(AN122),AN122&lt;=(C122+T122)),BB122,0)=MAX(IF(AND(NOT(AND(AU122=1,AT122&lt;&gt;1)),ISNUMBER(AK122),AK122&lt;=(C122+T122)),AY122,0),IF(AND(NOT(AND(AU122=1,AT122&lt;&gt;1)),ISNUMBER(AL122),AL122&lt;=(C122+T122)),AZ122,0),IF(AND(NOT(AND(AU122=1,AT122&lt;&gt;1)),ISNUMBER(AM122),AM122&lt;=(C122+T122)),BA122,0),IF(AND(NOT(AND(AU122=1,AT122&lt;&gt;1)),ISNUMBER(AN122),AN122&lt;=(C122+T122)),BB122,0),IF(AND(ISNUMBER(AO122),AO122&lt;=(C122+T122)),BC122,0))),"RLO","BD"))))))))</f>
        <v/>
      </c>
    </row>
    <row r="123">
      <c r="A123" s="26" t="n">
        <v>112</v>
      </c>
      <c r="B123" s="27">
        <f>A123*10/60</f>
        <v/>
      </c>
      <c r="C123" s="22">
        <f>X122</f>
        <v/>
      </c>
      <c r="D123" s="27">
        <f>D122+W122</f>
        <v/>
      </c>
      <c r="E123" s="26">
        <f>E122+IF(U122="SK",1,0)</f>
        <v/>
      </c>
      <c r="F123" s="26">
        <f>F122+IF(U122="LB",1,0)</f>
        <v/>
      </c>
      <c r="G123" s="26">
        <f>G122+IF(U122="ML",1,0)</f>
        <v/>
      </c>
      <c r="H123" s="26">
        <f>H122+IF(U122="RLO",1,0)</f>
        <v/>
      </c>
      <c r="I123" s="26">
        <f>I122+IF(U122="BD",1,0)</f>
        <v/>
      </c>
      <c r="J123" s="26">
        <f>MAX(J122,IF(U122="BiP",1,0))</f>
        <v/>
      </c>
      <c r="K123" s="26">
        <f>MAX(K122,IF(U122="PV",1,0))</f>
        <v/>
      </c>
      <c r="L123" s="26">
        <f>MAX(L122,IF(U122="OC",1,0))</f>
        <v/>
      </c>
      <c r="M123" s="26">
        <f>MAX(M122,IF(U122="MG",1,0))</f>
        <v/>
      </c>
      <c r="N123" s="26">
        <f>MAX(N122,IF(U122="transition",1,0))</f>
        <v/>
      </c>
      <c r="O123" s="28">
        <f>(Parameters!$B$9+(IF(E123=0,0,(Upgrades!$J$13+E123*Upgrades!$K$13)*POWER(Upgrades!$L$13,E123)))*(IF(Upgrades!$T$14="Stellar Kinematics",POWER(Upgrades!$U$14,F123),1)*IF(Upgrades!$T$15="Stellar Kinematics",POWER(Upgrades!$U$15,G123),1)*IF(Upgrades!$T$16="Stellar Kinematics",POWER(Upgrades!$U$16,H123),1)*IF(Upgrades!$T$17="Stellar Kinematics",POWER(Upgrades!$U$17,I123),1)*IF(Upgrades!$T$18="Stellar Kinematics",POWER(Upgrades!$U$18,J123),1)*IF(Upgrades!$T$19="Stellar Kinematics",POWER(Upgrades!$U$19,K123),1)*IF(Upgrades!$T$20="Stellar Kinematics",POWER(Upgrades!$U$20,L123),1)*IF(Upgrades!$T$21="Stellar Kinematics",POWER(Upgrades!$U$21,M123),1))+(IF(F123=0,0,(Upgrades!$J$14+F123*Upgrades!$K$14)*POWER(Upgrades!$L$14,F123)))*(IF(Upgrades!$T$13="Local Bubble",POWER(Upgrades!$U$13,E123),1)*IF(Upgrades!$T$15="Local Bubble",POWER(Upgrades!$U$15,G123),1)*IF(Upgrades!$T$16="Local Bubble",POWER(Upgrades!$U$16,H123),1)*IF(Upgrades!$T$17="Local Bubble",POWER(Upgrades!$U$17,I123),1)*IF(Upgrades!$T$18="Local Bubble",POWER(Upgrades!$U$18,J123),1)*IF(Upgrades!$T$19="Local Bubble",POWER(Upgrades!$U$19,K123),1)*IF(Upgrades!$T$20="Local Bubble",POWER(Upgrades!$U$20,L123),1)*IF(Upgrades!$T$21="Local Bubble",POWER(Upgrades!$U$21,M123),1))+(IF(G123=0,0,(Upgrades!$J$15+G123*Upgrades!$K$15)*POWER(Upgrades!$L$15,G123)))*(IF(Upgrades!$T$13="Microlensing",POWER(Upgrades!$U$13,E123),1)*IF(Upgrades!$T$14="Microlensing",POWER(Upgrades!$U$14,F123),1)*IF(Upgrades!$T$16="Microlensing",POWER(Upgrades!$U$16,H123),1)*IF(Upgrades!$T$17="Microlensing",POWER(Upgrades!$U$17,I123),1)*IF(Upgrades!$T$18="Microlensing",POWER(Upgrades!$U$18,J123),1)*IF(Upgrades!$T$19="Microlensing",POWER(Upgrades!$U$19,K123),1)*IF(Upgrades!$T$20="Microlensing",POWER(Upgrades!$U$20,L123),1)*IF(Upgrades!$T$21="Microlensing",POWER(Upgrades!$U$21,M123),1))+(IF(H123=0,0,(Upgrades!$J$16+H123*Upgrades!$K$16)*POWER(Upgrades!$L$16,H123)))*(IF(Upgrades!$T$13="Roche Lobe Overflow",POWER(Upgrades!$U$13,E123),1)*IF(Upgrades!$T$14="Roche Lobe Overflow",POWER(Upgrades!$U$14,F123),1)*IF(Upgrades!$T$15="Roche Lobe Overflow",POWER(Upgrades!$U$15,G123),1)*IF(Upgrades!$T$17="Roche Lobe Overflow",POWER(Upgrades!$U$17,I123),1)*IF(Upgrades!$T$18="Roche Lobe Overflow",POWER(Upgrades!$U$18,J123),1)*IF(Upgrades!$T$19="Roche Lobe Overflow",POWER(Upgrades!$U$19,K123),1)*IF(Upgrades!$T$20="Roche Lobe Overflow",POWER(Upgrades!$U$20,L123),1)*IF(Upgrades!$T$21="Roche Lobe Overflow",POWER(Upgrades!$U$21,M123),1))+(IF(I123=0,0,(Upgrades!$J$17+I123*Upgrades!$K$17)*POWER(Upgrades!$L$17,I123)))*(IF(Upgrades!$T$13="Brown Dwarf",POWER(Upgrades!$U$13,E123),1)*IF(Upgrades!$T$14="Brown Dwarf",POWER(Upgrades!$U$14,F123),1)*IF(Upgrades!$T$15="Brown Dwarf",POWER(Upgrades!$U$15,G123),1)*IF(Upgrades!$T$16="Brown Dwarf",POWER(Upgrades!$U$16,H123),1)*IF(Upgrades!$T$18="Brown Dwarf",POWER(Upgrades!$U$18,J123),1)*IF(Upgrades!$T$19="Brown Dwarf",POWER(Upgrades!$U$19,K123),1)*IF(Upgrades!$T$20="Brown Dwarf",POWER(Upgrades!$U$20,L123),1)*IF(Upgrades!$T$21="Brown Dwarf",POWER(Upgrades!$U$21,M123),1))+(IF(J123=0,0,(Upgrades!$J$18+J123*Upgrades!$K$18)*POWER(Upgrades!$L$18,J123)))*(IF(Upgrades!$T$13="Binary Partner",POWER(Upgrades!$U$13,E123),1)*IF(Upgrades!$T$14="Binary Partner",POWER(Upgrades!$U$14,F123),1)*IF(Upgrades!$T$15="Binary Partner",POWER(Upgrades!$U$15,G123),1)*IF(Upgrades!$T$16="Binary Partner",POWER(Upgrades!$U$16,H123),1)*IF(Upgrades!$T$17="Binary Partner",POWER(Upgrades!$U$17,I123),1)*IF(Upgrades!$T$19="Binary Partner",POWER(Upgrades!$U$19,K123),1)*IF(Upgrades!$T$20="Binary Partner",POWER(Upgrades!$U$20,L123),1)*IF(Upgrades!$T$21="Binary Partner",POWER(Upgrades!$U$21,M123),1))+(IF(K123=0,0,(Upgrades!$J$19+K123*Upgrades!$K$19)*POWER(Upgrades!$L$19,K123)))*(IF(Upgrades!$T$13="Peculiar Velocity",POWER(Upgrades!$U$13,E123),1)*IF(Upgrades!$T$14="Peculiar Velocity",POWER(Upgrades!$U$14,F123),1)*IF(Upgrades!$T$15="Peculiar Velocity",POWER(Upgrades!$U$15,G123),1)*IF(Upgrades!$T$16="Peculiar Velocity",POWER(Upgrades!$U$16,H123),1)*IF(Upgrades!$T$17="Peculiar Velocity",POWER(Upgrades!$U$17,I123),1)*IF(Upgrades!$T$18="Peculiar Velocity",POWER(Upgrades!$U$18,J123),1)*IF(Upgrades!$T$20="Peculiar Velocity",POWER(Upgrades!$U$20,L123),1)*IF(Upgrades!$T$21="Peculiar Velocity",POWER(Upgrades!$U$21,M123),1))+(IF(L123=0,0,(Upgrades!$J$20+L123*Upgrades!$K$20)*POWER(Upgrades!$L$20,L123)))*(IF(Upgrades!$T$13="Open Cluster",POWER(Upgrades!$U$13,E123),1)*IF(Upgrades!$T$14="Open Cluster",POWER(Upgrades!$U$14,F123),1)*IF(Upgrades!$T$15="Open Cluster",POWER(Upgrades!$U$15,G123),1)*IF(Upgrades!$T$16="Open Cluster",POWER(Upgrades!$U$16,H123),1)*IF(Upgrades!$T$17="Open Cluster",POWER(Upgrades!$U$17,I123),1)*IF(Upgrades!$T$18="Open Cluster",POWER(Upgrades!$U$18,J123),1)*IF(Upgrades!$T$19="Open Cluster",POWER(Upgrades!$U$19,K123),1)*IF(Upgrades!$T$21="Open Cluster",POWER(Upgrades!$U$21,M123),1))+(IF(M123=0,0,(Upgrades!$J$21+M123*Upgrades!$K$21)*POWER(Upgrades!$L$21,M123)))*(IF(Upgrades!$T$13="Moving Group",POWER(Upgrades!$U$13,E123),1)*IF(Upgrades!$T$14="Moving Group",POWER(Upgrades!$U$14,F123),1)*IF(Upgrades!$T$15="Moving Group",POWER(Upgrades!$U$15,G123),1)*IF(Upgrades!$T$16="Moving Group",POWER(Upgrades!$U$16,H123),1)*IF(Upgrades!$T$17="Moving Group",POWER(Upgrades!$U$17,I123),1)*IF(Upgrades!$T$18="Moving Group",POWER(Upgrades!$U$18,J123),1)*IF(Upgrades!$T$19="Moving Group",POWER(Upgrades!$U$19,K123),1)*IF(Upgrades!$T$20="Moving Group",POWER(Upgrades!$U$20,L123),1)))*POWER(Upgrades!$Q$13,E123)*POWER(Upgrades!$Q$14,F123)*POWER(Upgrades!$Q$15,G123)*POWER(Upgrades!$Q$16,H123)*POWER(Upgrades!$Q$17,I123)*POWER(Upgrades!$Q$18,J123)*POWER(Upgrades!$Q$19,K123)*POWER(Upgrades!$Q$20,L123)*POWER(Upgrades!$Q$21,M123)*$G$6+$D$6</f>
        <v/>
      </c>
      <c r="P123" s="28">
        <f>((IF(E123=0,0,(Upgrades!$G$13+E123*Upgrades!$H$13)*POWER(Upgrades!$I$13,E123)))*(IF(Upgrades!$T$14="Stellar Kinematics",POWER(Upgrades!$U$14,F123),1)*IF(Upgrades!$T$15="Stellar Kinematics",POWER(Upgrades!$U$15,G123),1)*IF(Upgrades!$T$16="Stellar Kinematics",POWER(Upgrades!$U$16,H123),1)*IF(Upgrades!$T$17="Stellar Kinematics",POWER(Upgrades!$U$17,I123),1)*IF(Upgrades!$T$18="Stellar Kinematics",POWER(Upgrades!$U$18,J123),1)*IF(Upgrades!$T$19="Stellar Kinematics",POWER(Upgrades!$U$19,K123),1)*IF(Upgrades!$T$20="Stellar Kinematics",POWER(Upgrades!$U$20,L123),1)*IF(Upgrades!$T$21="Stellar Kinematics",POWER(Upgrades!$U$21,M123),1))+(IF(F123=0,0,(Upgrades!$G$14+F123*Upgrades!$H$14)*POWER(Upgrades!$I$14,F123)))*(IF(Upgrades!$T$13="Local Bubble",POWER(Upgrades!$U$13,E123),1)*IF(Upgrades!$T$15="Local Bubble",POWER(Upgrades!$U$15,G123),1)*IF(Upgrades!$T$16="Local Bubble",POWER(Upgrades!$U$16,H123),1)*IF(Upgrades!$T$17="Local Bubble",POWER(Upgrades!$U$17,I123),1)*IF(Upgrades!$T$18="Local Bubble",POWER(Upgrades!$U$18,J123),1)*IF(Upgrades!$T$19="Local Bubble",POWER(Upgrades!$U$19,K123),1)*IF(Upgrades!$T$20="Local Bubble",POWER(Upgrades!$U$20,L123),1)*IF(Upgrades!$T$21="Local Bubble",POWER(Upgrades!$U$21,M123),1))+(IF(G123=0,0,(Upgrades!$G$15+G123*Upgrades!$H$15)*POWER(Upgrades!$I$15,G123)))*(IF(Upgrades!$T$13="Microlensing",POWER(Upgrades!$U$13,E123),1)*IF(Upgrades!$T$14="Microlensing",POWER(Upgrades!$U$14,F123),1)*IF(Upgrades!$T$16="Microlensing",POWER(Upgrades!$U$16,H123),1)*IF(Upgrades!$T$17="Microlensing",POWER(Upgrades!$U$17,I123),1)*IF(Upgrades!$T$18="Microlensing",POWER(Upgrades!$U$18,J123),1)*IF(Upgrades!$T$19="Microlensing",POWER(Upgrades!$U$19,K123),1)*IF(Upgrades!$T$20="Microlensing",POWER(Upgrades!$U$20,L123),1)*IF(Upgrades!$T$21="Microlensing",POWER(Upgrades!$U$21,M123),1))+(IF(H123=0,0,(Upgrades!$G$16+H123*Upgrades!$H$16)*POWER(Upgrades!$I$16,H123)))*(IF(Upgrades!$T$13="Roche Lobe Overflow",POWER(Upgrades!$U$13,E123),1)*IF(Upgrades!$T$14="Roche Lobe Overflow",POWER(Upgrades!$U$14,F123),1)*IF(Upgrades!$T$15="Roche Lobe Overflow",POWER(Upgrades!$U$15,G123),1)*IF(Upgrades!$T$17="Roche Lobe Overflow",POWER(Upgrades!$U$17,I123),1)*IF(Upgrades!$T$18="Roche Lobe Overflow",POWER(Upgrades!$U$18,J123),1)*IF(Upgrades!$T$19="Roche Lobe Overflow",POWER(Upgrades!$U$19,K123),1)*IF(Upgrades!$T$20="Roche Lobe Overflow",POWER(Upgrades!$U$20,L123),1)*IF(Upgrades!$T$21="Roche Lobe Overflow",POWER(Upgrades!$U$21,M123),1))+(IF(I123=0,0,(Upgrades!$G$17+I123*Upgrades!$H$17)*POWER(Upgrades!$I$17,I123)))*(IF(Upgrades!$T$13="Brown Dwarf",POWER(Upgrades!$U$13,E123),1)*IF(Upgrades!$T$14="Brown Dwarf",POWER(Upgrades!$U$14,F123),1)*IF(Upgrades!$T$15="Brown Dwarf",POWER(Upgrades!$U$15,G123),1)*IF(Upgrades!$T$16="Brown Dwarf",POWER(Upgrades!$U$16,H123),1)*IF(Upgrades!$T$18="Brown Dwarf",POWER(Upgrades!$U$18,J123),1)*IF(Upgrades!$T$19="Brown Dwarf",POWER(Upgrades!$U$19,K123),1)*IF(Upgrades!$T$20="Brown Dwarf",POWER(Upgrades!$U$20,L123),1)*IF(Upgrades!$T$21="Brown Dwarf",POWER(Upgrades!$U$21,M123),1))+(IF(J123=0,0,(Upgrades!$G$18+J123*Upgrades!$H$18)*POWER(Upgrades!$I$18,J123)))*(IF(Upgrades!$T$13="Binary Partner",POWER(Upgrades!$U$13,E123),1)*IF(Upgrades!$T$14="Binary Partner",POWER(Upgrades!$U$14,F123),1)*IF(Upgrades!$T$15="Binary Partner",POWER(Upgrades!$U$15,G123),1)*IF(Upgrades!$T$16="Binary Partner",POWER(Upgrades!$U$16,H123),1)*IF(Upgrades!$T$17="Binary Partner",POWER(Upgrades!$U$17,I123),1)*IF(Upgrades!$T$19="Binary Partner",POWER(Upgrades!$U$19,K123),1)*IF(Upgrades!$T$20="Binary Partner",POWER(Upgrades!$U$20,L123),1)*IF(Upgrades!$T$21="Binary Partner",POWER(Upgrades!$U$21,M123),1))+(IF(K123=0,0,(Upgrades!$G$19+K123*Upgrades!$H$19)*POWER(Upgrades!$I$19,K123)))*(IF(Upgrades!$T$13="Peculiar Velocity",POWER(Upgrades!$U$13,E123),1)*IF(Upgrades!$T$14="Peculiar Velocity",POWER(Upgrades!$U$14,F123),1)*IF(Upgrades!$T$15="Peculiar Velocity",POWER(Upgrades!$U$15,G123),1)*IF(Upgrades!$T$16="Peculiar Velocity",POWER(Upgrades!$U$16,H123),1)*IF(Upgrades!$T$17="Peculiar Velocity",POWER(Upgrades!$U$17,I123),1)*IF(Upgrades!$T$18="Peculiar Velocity",POWER(Upgrades!$U$18,J123),1)*IF(Upgrades!$T$20="Peculiar Velocity",POWER(Upgrades!$U$20,L123),1)*IF(Upgrades!$T$21="Peculiar Velocity",POWER(Upgrades!$U$21,M123),1))+(IF(L123=0,0,(Upgrades!$G$20+L123*Upgrades!$H$20)*POWER(Upgrades!$I$20,L123)))*(IF(Upgrades!$T$13="Open Cluster",POWER(Upgrades!$U$13,E123),1)*IF(Upgrades!$T$14="Open Cluster",POWER(Upgrades!$U$14,F123),1)*IF(Upgrades!$T$15="Open Cluster",POWER(Upgrades!$U$15,G123),1)*IF(Upgrades!$T$16="Open Cluster",POWER(Upgrades!$U$16,H123),1)*IF(Upgrades!$T$17="Open Cluster",POWER(Upgrades!$U$17,I123),1)*IF(Upgrades!$T$18="Open Cluster",POWER(Upgrades!$U$18,J123),1)*IF(Upgrades!$T$19="Open Cluster",POWER(Upgrades!$U$19,K123),1)*IF(Upgrades!$T$21="Open Cluster",POWER(Upgrades!$U$21,M123),1))+(IF(M123=0,0,(Upgrades!$G$21+M123*Upgrades!$H$21)*POWER(Upgrades!$I$21,M123)))*(IF(Upgrades!$T$13="Moving Group",POWER(Upgrades!$U$13,E123),1)*IF(Upgrades!$T$14="Moving Group",POWER(Upgrades!$U$14,F123),1)*IF(Upgrades!$T$15="Moving Group",POWER(Upgrades!$U$15,G123),1)*IF(Upgrades!$T$16="Moving Group",POWER(Upgrades!$U$16,H123),1)*IF(Upgrades!$T$17="Moving Group",POWER(Upgrades!$U$17,I123),1)*IF(Upgrades!$T$18="Moving Group",POWER(Upgrades!$U$18,J123),1)*IF(Upgrades!$T$19="Moving Group",POWER(Upgrades!$U$19,K123),1)*IF(Upgrades!$T$20="Moving Group",POWER(Upgrades!$U$20,L123),1)))*POWER(Upgrades!$P$13,E123)*POWER(Upgrades!$P$14,F123)*POWER(Upgrades!$P$15,G123)*POWER(Upgrades!$P$16,H123)*POWER(Upgrades!$P$17,I123)*POWER(Upgrades!$P$18,J123)*POWER(Upgrades!$P$19,K123)*POWER(Upgrades!$P$20,L123)*POWER(Upgrades!$P$21,M123)*$F$6+$C$6</f>
        <v/>
      </c>
      <c r="Q123" s="28">
        <f>((IF(E123=0,0,(Upgrades!$M$13+E123*Upgrades!$N$13)*POWER(Upgrades!$O$13,E123)))*(IF(Upgrades!$T$14="Stellar Kinematics",POWER(Upgrades!$U$14,F123),1)*IF(Upgrades!$T$15="Stellar Kinematics",POWER(Upgrades!$U$15,G123),1)*IF(Upgrades!$T$16="Stellar Kinematics",POWER(Upgrades!$U$16,H123),1)*IF(Upgrades!$T$17="Stellar Kinematics",POWER(Upgrades!$U$17,I123),1)*IF(Upgrades!$T$18="Stellar Kinematics",POWER(Upgrades!$U$18,J123),1)*IF(Upgrades!$T$19="Stellar Kinematics",POWER(Upgrades!$U$19,K123),1)*IF(Upgrades!$T$20="Stellar Kinematics",POWER(Upgrades!$U$20,L123),1)*IF(Upgrades!$T$21="Stellar Kinematics",POWER(Upgrades!$U$21,M123),1))+(IF(F123=0,0,(Upgrades!$M$14+F123*Upgrades!$N$14)*POWER(Upgrades!$O$14,F123)))*(IF(Upgrades!$T$13="Local Bubble",POWER(Upgrades!$U$13,E123),1)*IF(Upgrades!$T$15="Local Bubble",POWER(Upgrades!$U$15,G123),1)*IF(Upgrades!$T$16="Local Bubble",POWER(Upgrades!$U$16,H123),1)*IF(Upgrades!$T$17="Local Bubble",POWER(Upgrades!$U$17,I123),1)*IF(Upgrades!$T$18="Local Bubble",POWER(Upgrades!$U$18,J123),1)*IF(Upgrades!$T$19="Local Bubble",POWER(Upgrades!$U$19,K123),1)*IF(Upgrades!$T$20="Local Bubble",POWER(Upgrades!$U$20,L123),1)*IF(Upgrades!$T$21="Local Bubble",POWER(Upgrades!$U$21,M123),1))+(IF(G123=0,0,(Upgrades!$M$15+G123*Upgrades!$N$15)*POWER(Upgrades!$O$15,G123)))*(IF(Upgrades!$T$13="Microlensing",POWER(Upgrades!$U$13,E123),1)*IF(Upgrades!$T$14="Microlensing",POWER(Upgrades!$U$14,F123),1)*IF(Upgrades!$T$16="Microlensing",POWER(Upgrades!$U$16,H123),1)*IF(Upgrades!$T$17="Microlensing",POWER(Upgrades!$U$17,I123),1)*IF(Upgrades!$T$18="Microlensing",POWER(Upgrades!$U$18,J123),1)*IF(Upgrades!$T$19="Microlensing",POWER(Upgrades!$U$19,K123),1)*IF(Upgrades!$T$20="Microlensing",POWER(Upgrades!$U$20,L123),1)*IF(Upgrades!$T$21="Microlensing",POWER(Upgrades!$U$21,M123),1))+(IF(H123=0,0,(Upgrades!$M$16+H123*Upgrades!$N$16)*POWER(Upgrades!$O$16,H123)))*(IF(Upgrades!$T$13="Roche Lobe Overflow",POWER(Upgrades!$U$13,E123),1)*IF(Upgrades!$T$14="Roche Lobe Overflow",POWER(Upgrades!$U$14,F123),1)*IF(Upgrades!$T$15="Roche Lobe Overflow",POWER(Upgrades!$U$15,G123),1)*IF(Upgrades!$T$17="Roche Lobe Overflow",POWER(Upgrades!$U$17,I123),1)*IF(Upgrades!$T$18="Roche Lobe Overflow",POWER(Upgrades!$U$18,J123),1)*IF(Upgrades!$T$19="Roche Lobe Overflow",POWER(Upgrades!$U$19,K123),1)*IF(Upgrades!$T$20="Roche Lobe Overflow",POWER(Upgrades!$U$20,L123),1)*IF(Upgrades!$T$21="Roche Lobe Overflow",POWER(Upgrades!$U$21,M123),1))+(IF(I123=0,0,(Upgrades!$M$17+I123*Upgrades!$N$17)*POWER(Upgrades!$O$17,I123)))*(IF(Upgrades!$T$13="Brown Dwarf",POWER(Upgrades!$U$13,E123),1)*IF(Upgrades!$T$14="Brown Dwarf",POWER(Upgrades!$U$14,F123),1)*IF(Upgrades!$T$15="Brown Dwarf",POWER(Upgrades!$U$15,G123),1)*IF(Upgrades!$T$16="Brown Dwarf",POWER(Upgrades!$U$16,H123),1)*IF(Upgrades!$T$18="Brown Dwarf",POWER(Upgrades!$U$18,J123),1)*IF(Upgrades!$T$19="Brown Dwarf",POWER(Upgrades!$U$19,K123),1)*IF(Upgrades!$T$20="Brown Dwarf",POWER(Upgrades!$U$20,L123),1)*IF(Upgrades!$T$21="Brown Dwarf",POWER(Upgrades!$U$21,M123),1))+(IF(J123=0,0,(Upgrades!$M$18+J123*Upgrades!$N$18)*POWER(Upgrades!$O$18,J123)))*(IF(Upgrades!$T$13="Binary Partner",POWER(Upgrades!$U$13,E123),1)*IF(Upgrades!$T$14="Binary Partner",POWER(Upgrades!$U$14,F123),1)*IF(Upgrades!$T$15="Binary Partner",POWER(Upgrades!$U$15,G123),1)*IF(Upgrades!$T$16="Binary Partner",POWER(Upgrades!$U$16,H123),1)*IF(Upgrades!$T$17="Binary Partner",POWER(Upgrades!$U$17,I123),1)*IF(Upgrades!$T$19="Binary Partner",POWER(Upgrades!$U$19,K123),1)*IF(Upgrades!$T$20="Binary Partner",POWER(Upgrades!$U$20,L123),1)*IF(Upgrades!$T$21="Binary Partner",POWER(Upgrades!$U$21,M123),1))+(IF(K123=0,0,(Upgrades!$M$19+K123*Upgrades!$N$19)*POWER(Upgrades!$O$19,K123)))*(IF(Upgrades!$T$13="Peculiar Velocity",POWER(Upgrades!$U$13,E123),1)*IF(Upgrades!$T$14="Peculiar Velocity",POWER(Upgrades!$U$14,F123),1)*IF(Upgrades!$T$15="Peculiar Velocity",POWER(Upgrades!$U$15,G123),1)*IF(Upgrades!$T$16="Peculiar Velocity",POWER(Upgrades!$U$16,H123),1)*IF(Upgrades!$T$17="Peculiar Velocity",POWER(Upgrades!$U$17,I123),1)*IF(Upgrades!$T$18="Peculiar Velocity",POWER(Upgrades!$U$18,J123),1)*IF(Upgrades!$T$20="Peculiar Velocity",POWER(Upgrades!$U$20,L123),1)*IF(Upgrades!$T$21="Peculiar Velocity",POWER(Upgrades!$U$21,M123),1))+(IF(L123=0,0,(Upgrades!$M$20+L123*Upgrades!$N$20)*POWER(Upgrades!$O$20,L123)))*(IF(Upgrades!$T$13="Open Cluster",POWER(Upgrades!$U$13,E123),1)*IF(Upgrades!$T$14="Open Cluster",POWER(Upgrades!$U$14,F123),1)*IF(Upgrades!$T$15="Open Cluster",POWER(Upgrades!$U$15,G123),1)*IF(Upgrades!$T$16="Open Cluster",POWER(Upgrades!$U$16,H123),1)*IF(Upgrades!$T$17="Open Cluster",POWER(Upgrades!$U$17,I123),1)*IF(Upgrades!$T$18="Open Cluster",POWER(Upgrades!$U$18,J123),1)*IF(Upgrades!$T$19="Open Cluster",POWER(Upgrades!$U$19,K123),1)*IF(Upgrades!$T$21="Open Cluster",POWER(Upgrades!$U$21,M123),1))+(IF(M123=0,0,(Upgrades!$M$21+M123*Upgrades!$N$21)*POWER(Upgrades!$O$21,M123)))*(IF(Upgrades!$T$13="Moving Group",POWER(Upgrades!$U$13,E123),1)*IF(Upgrades!$T$14="Moving Group",POWER(Upgrades!$U$14,F123),1)*IF(Upgrades!$T$15="Moving Group",POWER(Upgrades!$U$15,G123),1)*IF(Upgrades!$T$16="Moving Group",POWER(Upgrades!$U$16,H123),1)*IF(Upgrades!$T$17="Moving Group",POWER(Upgrades!$U$17,I123),1)*IF(Upgrades!$T$18="Moving Group",POWER(Upgrades!$U$18,J123),1)*IF(Upgrades!$T$19="Moving Group",POWER(Upgrades!$U$19,K123),1)*IF(Upgrades!$T$20="Moving Group",POWER(Upgrades!$U$20,L123),1)))*POWER(Upgrades!$R$13,E123)*POWER(Upgrades!$R$14,F123)*POWER(Upgrades!$R$15,G123)*POWER(Upgrades!$R$16,H123)*POWER(Upgrades!$R$17,I123)*POWER(Upgrades!$R$18,J123)*POWER(Upgrades!$R$19,K123)*POWER(Upgrades!$R$20,L123)*POWER(Upgrades!$R$21,M123)*$H$6+$E$6</f>
        <v/>
      </c>
      <c r="R123" s="27">
        <f>IF(N123=1,0,O123*Parameters!$B$10/60*Parameters!$B$11*10)</f>
        <v/>
      </c>
      <c r="S123" s="27">
        <f>IF(N123=1,0,Q123*O123*10)</f>
        <v/>
      </c>
      <c r="T123" s="27">
        <f>IF(N123=1,0,R123+S123+P123*10)</f>
        <v/>
      </c>
      <c r="U123" s="33">
        <f>BE123</f>
        <v/>
      </c>
      <c r="V123" s="22">
        <f>IF(U123="",0,IF(U123="transition",0,IF(U123="SK",AK123,IF(U123="LB",AL123,IF(U123="ML",AM123,IF(U123="RLO",AN123,IF(U123="BD",AO123,IF(U123="BiP",AP123,IF(U123="PV",AQ123,IF(U123="OC",AR123,IF(U123="MG",AS123,0))))))))))</f>
        <v/>
      </c>
      <c r="W123" s="27">
        <f>IF(U123="BiP",Upgrades!$F$18,IF(U123="PV",Upgrades!$F$19,IF(U123="OC",Upgrades!$F$20,IF(U123="MG",Upgrades!$F$21,IF(U123="transition",-Parameters!$B$18*Parameters!$B$19,0)))))</f>
        <v/>
      </c>
      <c r="X123" s="22">
        <f>C123+T123-V123</f>
        <v/>
      </c>
      <c r="Y123" s="30">
        <f>O123*Parameters!$B$10/60*Parameters!$B$11+Q123*O123+P123</f>
        <v/>
      </c>
      <c r="Z123" s="34">
        <f>IF(U123="transition","→ Tier 3 (Galactic Arm)",IF(U123="MG","Moving Group — pocket drifts together",IF(U123="OC","Open Cluster acquired",IF(U123="PV","Peculiar Velocity — passive multiplier active",IF(U123="BiP","Binary Partner — pair bond formed",IF(AND(AU123=1,N123=0,AT123&lt;&gt;1),"Cohesion ready (waiting on completionists)","")))))) </f>
        <v/>
      </c>
      <c r="AA123" s="27">
        <f>(IF(E123=0,0,(Upgrades!$G$13+E123*Upgrades!$H$13)*POWER(Upgrades!$I$13,E123)))*(IF(Upgrades!$T$14="Stellar Kinematics",POWER(Upgrades!$U$14,F123),1)*IF(Upgrades!$T$15="Stellar Kinematics",POWER(Upgrades!$U$15,G123),1)*IF(Upgrades!$T$16="Stellar Kinematics",POWER(Upgrades!$U$16,H123),1)*IF(Upgrades!$T$17="Stellar Kinematics",POWER(Upgrades!$U$17,I123),1)*IF(Upgrades!$T$18="Stellar Kinematics",POWER(Upgrades!$U$18,J123),1)*IF(Upgrades!$T$19="Stellar Kinematics",POWER(Upgrades!$U$19,K123),1)*IF(Upgrades!$T$20="Stellar Kinematics",POWER(Upgrades!$U$20,L123),1)*IF(Upgrades!$T$21="Stellar Kinematics",POWER(Upgrades!$U$21,M123),1))*POWER(Upgrades!$P$13,E123)*POWER(Upgrades!$P$14,F123)*POWER(Upgrades!$P$15,G123)*POWER(Upgrades!$P$16,H123)*POWER(Upgrades!$P$17,I123)*POWER(Upgrades!$P$18,J123)*POWER(Upgrades!$P$19,K123)*POWER(Upgrades!$P$20,L123)*POWER(Upgrades!$P$21,M123)*$F$6*60</f>
        <v/>
      </c>
      <c r="AB123" s="27">
        <f>(IF(F123=0,0,(Upgrades!$G$14+F123*Upgrades!$H$14)*POWER(Upgrades!$I$14,F123)))*(IF(Upgrades!$T$13="Local Bubble",POWER(Upgrades!$U$13,E123),1)*IF(Upgrades!$T$15="Local Bubble",POWER(Upgrades!$U$15,G123),1)*IF(Upgrades!$T$16="Local Bubble",POWER(Upgrades!$U$16,H123),1)*IF(Upgrades!$T$17="Local Bubble",POWER(Upgrades!$U$17,I123),1)*IF(Upgrades!$T$18="Local Bubble",POWER(Upgrades!$U$18,J123),1)*IF(Upgrades!$T$19="Local Bubble",POWER(Upgrades!$U$19,K123),1)*IF(Upgrades!$T$20="Local Bubble",POWER(Upgrades!$U$20,L123),1)*IF(Upgrades!$T$21="Local Bubble",POWER(Upgrades!$U$21,M123),1))*POWER(Upgrades!$P$13,E123)*POWER(Upgrades!$P$14,F123)*POWER(Upgrades!$P$15,G123)*POWER(Upgrades!$P$16,H123)*POWER(Upgrades!$P$17,I123)*POWER(Upgrades!$P$18,J123)*POWER(Upgrades!$P$19,K123)*POWER(Upgrades!$P$20,L123)*POWER(Upgrades!$P$21,M123)*$F$6*60</f>
        <v/>
      </c>
      <c r="AC123" s="27">
        <f>(IF(G123=0,0,(Upgrades!$J$15+G123*Upgrades!$K$15)*POWER(Upgrades!$L$15,G123)))*(IF(Upgrades!$T$13="Microlensing",POWER(Upgrades!$U$13,E123),1)*IF(Upgrades!$T$14="Microlensing",POWER(Upgrades!$U$14,F123),1)*IF(Upgrades!$T$16="Microlensing",POWER(Upgrades!$U$16,H123),1)*IF(Upgrades!$T$17="Microlensing",POWER(Upgrades!$U$17,I123),1)*IF(Upgrades!$T$18="Microlensing",POWER(Upgrades!$U$18,J123),1)*IF(Upgrades!$T$19="Microlensing",POWER(Upgrades!$U$19,K123),1)*IF(Upgrades!$T$20="Microlensing",POWER(Upgrades!$U$20,L123),1)*IF(Upgrades!$T$21="Microlensing",POWER(Upgrades!$U$21,M123),1))*POWER(Upgrades!$Q$13,E123)*POWER(Upgrades!$Q$14,F123)*POWER(Upgrades!$Q$15,G123)*POWER(Upgrades!$Q$16,H123)*POWER(Upgrades!$Q$17,I123)*POWER(Upgrades!$Q$18,J123)*POWER(Upgrades!$Q$19,K123)*POWER(Upgrades!$Q$20,L123)*POWER(Upgrades!$Q$21,M123)*$G$6*(Parameters!$B$10*Parameters!$B$11+Q123*60)</f>
        <v/>
      </c>
      <c r="AD123" s="27">
        <f>(IF(H123=0,0,(Upgrades!$M$16+H123*Upgrades!$N$16)*POWER(Upgrades!$O$16,H123)))*(IF(Upgrades!$T$13="Roche Lobe Overflow",POWER(Upgrades!$U$13,E123),1)*IF(Upgrades!$T$14="Roche Lobe Overflow",POWER(Upgrades!$U$14,F123),1)*IF(Upgrades!$T$15="Roche Lobe Overflow",POWER(Upgrades!$U$15,G123),1)*IF(Upgrades!$T$17="Roche Lobe Overflow",POWER(Upgrades!$U$17,I123),1)*IF(Upgrades!$T$18="Roche Lobe Overflow",POWER(Upgrades!$U$18,J123),1)*IF(Upgrades!$T$19="Roche Lobe Overflow",POWER(Upgrades!$U$19,K123),1)*IF(Upgrades!$T$20="Roche Lobe Overflow",POWER(Upgrades!$U$20,L123),1)*IF(Upgrades!$T$21="Roche Lobe Overflow",POWER(Upgrades!$U$21,M123),1))*POWER(Upgrades!$R$13,E123)*POWER(Upgrades!$R$14,F123)*POWER(Upgrades!$R$15,G123)*POWER(Upgrades!$R$16,H123)*POWER(Upgrades!$R$17,I123)*POWER(Upgrades!$R$18,J123)*POWER(Upgrades!$R$19,K123)*POWER(Upgrades!$R$20,L123)*POWER(Upgrades!$R$21,M123)*$H$6*O123*60</f>
        <v/>
      </c>
      <c r="AE123" s="27">
        <f>(IF(I123=0,0,(Upgrades!$G$17+I123*Upgrades!$H$17)*POWER(Upgrades!$I$17,I123)))*(IF(Upgrades!$T$13="Brown Dwarf",POWER(Upgrades!$U$13,E123),1)*IF(Upgrades!$T$14="Brown Dwarf",POWER(Upgrades!$U$14,F123),1)*IF(Upgrades!$T$15="Brown Dwarf",POWER(Upgrades!$U$15,G123),1)*IF(Upgrades!$T$16="Brown Dwarf",POWER(Upgrades!$U$16,H123),1)*IF(Upgrades!$T$18="Brown Dwarf",POWER(Upgrades!$U$18,J123),1)*IF(Upgrades!$T$19="Brown Dwarf",POWER(Upgrades!$U$19,K123),1)*IF(Upgrades!$T$20="Brown Dwarf",POWER(Upgrades!$U$20,L123),1)*IF(Upgrades!$T$21="Brown Dwarf",POWER(Upgrades!$U$21,M123),1))*POWER(Upgrades!$P$13,E123)*POWER(Upgrades!$P$14,F123)*POWER(Upgrades!$P$15,G123)*POWER(Upgrades!$P$16,H123)*POWER(Upgrades!$P$17,I123)*POWER(Upgrades!$P$18,J123)*POWER(Upgrades!$P$19,K123)*POWER(Upgrades!$P$20,L123)*POWER(Upgrades!$P$21,M123)*$F$6*60</f>
        <v/>
      </c>
      <c r="AF123" s="27" t="n">
        <v>0</v>
      </c>
      <c r="AG123" s="27" t="n">
        <v>0</v>
      </c>
      <c r="AH123" s="27" t="n">
        <v>0</v>
      </c>
      <c r="AI123" s="27">
        <f>(IF(M123=0,0,(Upgrades!$G$21+M123*Upgrades!$H$21)*POWER(Upgrades!$I$21,M123)))*(IF(Upgrades!$T$13="Moving Group",POWER(Upgrades!$U$13,E123),1)*IF(Upgrades!$T$14="Moving Group",POWER(Upgrades!$U$14,F123),1)*IF(Upgrades!$T$15="Moving Group",POWER(Upgrades!$U$15,G123),1)*IF(Upgrades!$T$16="Moving Group",POWER(Upgrades!$U$16,H123),1)*IF(Upgrades!$T$17="Moving Group",POWER(Upgrades!$U$17,I123),1)*IF(Upgrades!$T$18="Moving Group",POWER(Upgrades!$U$18,J123),1)*IF(Upgrades!$T$19="Moving Group",POWER(Upgrades!$U$19,K123),1)*IF(Upgrades!$T$20="Moving Group",POWER(Upgrades!$U$20,L123),1))*POWER(Upgrades!$P$13,E123)*POWER(Upgrades!$P$14,F123)*POWER(Upgrades!$P$15,G123)*POWER(Upgrades!$P$16,H123)*POWER(Upgrades!$P$17,I123)*POWER(Upgrades!$P$18,J123)*POWER(Upgrades!$P$19,K123)*POWER(Upgrades!$P$20,L123)*POWER(Upgrades!$P$21,M123)*$F$6*60</f>
        <v/>
      </c>
      <c r="AJ123" s="27">
        <f>$C$6*60</f>
        <v/>
      </c>
      <c r="AK123" s="22">
        <f>IF(E123&gt;=Upgrades!$E$13,"",Upgrades!$C$13*POWER(Upgrades!$D$13,E123))</f>
        <v/>
      </c>
      <c r="AL123" s="22">
        <f>IF(F123&gt;=Upgrades!$E$14,"",Upgrades!$C$14*POWER(Upgrades!$D$14,F123))</f>
        <v/>
      </c>
      <c r="AM123" s="22">
        <f>IF(G123&gt;=Upgrades!$E$15,"",Upgrades!$C$15*POWER(Upgrades!$D$15,G123))</f>
        <v/>
      </c>
      <c r="AN123" s="22">
        <f>IF(H123&gt;=Upgrades!$E$16,"",Upgrades!$C$16*POWER(Upgrades!$D$16,H123))</f>
        <v/>
      </c>
      <c r="AO123" s="22">
        <f>IF(I123&gt;=Upgrades!$E$17,"",Upgrades!$C$17*POWER(Upgrades!$D$17,I123))</f>
        <v/>
      </c>
      <c r="AP123" s="22">
        <f>IF(J123&gt;=Upgrades!$E$18,"",Upgrades!$C$18*POWER(Upgrades!$D$18,J123))</f>
        <v/>
      </c>
      <c r="AQ123" s="22">
        <f>IF(K123&gt;=Upgrades!$E$19,"",Upgrades!$C$19*POWER(Upgrades!$D$19,K123))</f>
        <v/>
      </c>
      <c r="AR123" s="22">
        <f>IF(L123&gt;=Upgrades!$E$20,"",Upgrades!$C$20*POWER(Upgrades!$D$20,L123))</f>
        <v/>
      </c>
      <c r="AS123" s="22">
        <f>IF(M123&gt;=Upgrades!$E$21,"",Upgrades!$C$21*POWER(Upgrades!$D$21,M123))</f>
        <v/>
      </c>
      <c r="AT123" s="26">
        <f>IF(AND(D123&gt;=Parameters!$B$18*Parameters!$B$19,(I123&gt;=Upgrades!$E$17)*(M123&gt;=Upgrades!$E$21)=1,N123=0),1,"")</f>
        <v/>
      </c>
      <c r="AU123" s="26">
        <f>IF(AND(D123&gt;=Parameters!$B$18*Parameters!$B$19,N123=0),1,"")</f>
        <v/>
      </c>
      <c r="AV123" s="22">
        <f>MIN(IF(ISNUMBER(AP123),AP123,9E15),IF(ISNUMBER(AQ123),AQ123,9E15),IF(ISNUMBER(AR123),AR123,9E15),IF(ISNUMBER(AS123),AS123,9E15))</f>
        <v/>
      </c>
      <c r="AW123" s="22">
        <f>MIN(IF(ISNUMBER(AK123),AK123,9E15),IF(ISNUMBER(AL123),AL123,9E15),IF(ISNUMBER(AM123),AM123,9E15),IF(ISNUMBER(AN123),AN123,9E15),IF(ISNUMBER(AO123),AO123,9E15))</f>
        <v/>
      </c>
      <c r="AX123" s="29">
        <f>IF(BD123&gt;Parameters!$B$21*(MAX(IF(AND(NOT(AND(AU123=1,AT123&lt;&gt;1)),ISNUMBER(AK123),AK123&lt;=(C123+T123)),AY123,0),IF(AND(NOT(AND(AU123=1,AT123&lt;&gt;1)),ISNUMBER(AL123),AL123&lt;=(C123+T123)),AZ123,0),IF(AND(NOT(AND(AU123=1,AT123&lt;&gt;1)),ISNUMBER(AM123),AM123&lt;=(C123+T123)),BA123,0),IF(AND(NOT(AND(AU123=1,AT123&lt;&gt;1)),ISNUMBER(AN123),AN123&lt;=(C123+T123)),BB123,0),IF(AND(ISNUMBER(AO123),AO123&lt;=(C123+T123)),BC123,0))),TRUE,FALSE)</f>
        <v/>
      </c>
      <c r="AY123" s="32">
        <f>IFERROR(Upgrades!$H$13*(POWER(Upgrades!$P$13,E123)*POWER(Upgrades!$P$14,F123)*POWER(Upgrades!$P$15,G123)*POWER(Upgrades!$P$16,H123)*POWER(Upgrades!$P$17,I123)*POWER(Upgrades!$P$18,J123)*POWER(Upgrades!$P$19,K123)*POWER(Upgrades!$P$20,L123)*POWER(Upgrades!$P$21,M123))*(IF(Upgrades!$T$14="Stellar Kinematics",POWER(Upgrades!$U$14,F123),1)*IF(Upgrades!$T$15="Stellar Kinematics",POWER(Upgrades!$U$15,G123),1)*IF(Upgrades!$T$16="Stellar Kinematics",POWER(Upgrades!$U$16,H123),1)*IF(Upgrades!$T$17="Stellar Kinematics",POWER(Upgrades!$U$17,I123),1)*IF(Upgrades!$T$18="Stellar Kinematics",POWER(Upgrades!$U$18,J123),1)*IF(Upgrades!$T$19="Stellar Kinematics",POWER(Upgrades!$U$19,K123),1)*IF(Upgrades!$T$20="Stellar Kinematics",POWER(Upgrades!$U$20,L123),1)*IF(Upgrades!$T$21="Stellar Kinematics",POWER(Upgrades!$U$21,M123),1))*$F$6/AK123,0)</f>
        <v/>
      </c>
      <c r="AZ123" s="32">
        <f>IFERROR(Upgrades!$H$14*(POWER(Upgrades!$P$13,E123)*POWER(Upgrades!$P$14,F123)*POWER(Upgrades!$P$15,G123)*POWER(Upgrades!$P$16,H123)*POWER(Upgrades!$P$17,I123)*POWER(Upgrades!$P$18,J123)*POWER(Upgrades!$P$19,K123)*POWER(Upgrades!$P$20,L123)*POWER(Upgrades!$P$21,M123))*(IF(Upgrades!$T$13="Local Bubble",POWER(Upgrades!$U$13,E123),1)*IF(Upgrades!$T$15="Local Bubble",POWER(Upgrades!$U$15,G123),1)*IF(Upgrades!$T$16="Local Bubble",POWER(Upgrades!$U$16,H123),1)*IF(Upgrades!$T$17="Local Bubble",POWER(Upgrades!$U$17,I123),1)*IF(Upgrades!$T$18="Local Bubble",POWER(Upgrades!$U$18,J123),1)*IF(Upgrades!$T$19="Local Bubble",POWER(Upgrades!$U$19,K123),1)*IF(Upgrades!$T$20="Local Bubble",POWER(Upgrades!$U$20,L123),1)*IF(Upgrades!$T$21="Local Bubble",POWER(Upgrades!$U$21,M123),1))*$F$6/AL123,0)</f>
        <v/>
      </c>
      <c r="BA123" s="32">
        <f>IFERROR(Upgrades!$K$15*(POWER(Upgrades!$Q$13,E123)*POWER(Upgrades!$Q$14,F123)*POWER(Upgrades!$Q$15,G123)*POWER(Upgrades!$Q$16,H123)*POWER(Upgrades!$Q$17,I123)*POWER(Upgrades!$Q$18,J123)*POWER(Upgrades!$Q$19,K123)*POWER(Upgrades!$Q$20,L123)*POWER(Upgrades!$Q$21,M123))*(IF(Upgrades!$T$13="Microlensing",POWER(Upgrades!$U$13,E123),1)*IF(Upgrades!$T$14="Microlensing",POWER(Upgrades!$U$14,F123),1)*IF(Upgrades!$T$16="Microlensing",POWER(Upgrades!$U$16,H123),1)*IF(Upgrades!$T$17="Microlensing",POWER(Upgrades!$U$17,I123),1)*IF(Upgrades!$T$18="Microlensing",POWER(Upgrades!$U$18,J123),1)*IF(Upgrades!$T$19="Microlensing",POWER(Upgrades!$U$19,K123),1)*IF(Upgrades!$T$20="Microlensing",POWER(Upgrades!$U$20,L123),1)*IF(Upgrades!$T$21="Microlensing",POWER(Upgrades!$U$21,M123),1))*$G$6*(Parameters!$B$10/60*Parameters!$B$11+Q123)/AM123,0)</f>
        <v/>
      </c>
      <c r="BB123" s="32">
        <f>IFERROR((Upgrades!$N$16*(POWER(Upgrades!$R$13,E123)*POWER(Upgrades!$R$14,F123)*POWER(Upgrades!$R$15,G123)*POWER(Upgrades!$R$16,H123)*POWER(Upgrades!$R$17,I123)*POWER(Upgrades!$R$18,J123)*POWER(Upgrades!$R$19,K123)*POWER(Upgrades!$R$20,L123)*POWER(Upgrades!$R$21,M123))*(IF(Upgrades!$T$13="Roche Lobe Overflow",POWER(Upgrades!$U$13,E123),1)*IF(Upgrades!$T$14="Roche Lobe Overflow",POWER(Upgrades!$U$14,F123),1)*IF(Upgrades!$T$15="Roche Lobe Overflow",POWER(Upgrades!$U$15,G123),1)*IF(Upgrades!$T$17="Roche Lobe Overflow",POWER(Upgrades!$U$17,I123),1)*IF(Upgrades!$T$18="Roche Lobe Overflow",POWER(Upgrades!$U$18,J123),1)*IF(Upgrades!$T$19="Roche Lobe Overflow",POWER(Upgrades!$U$19,K123),1)*IF(Upgrades!$T$20="Roche Lobe Overflow",POWER(Upgrades!$U$20,L123),1)*IF(Upgrades!$T$21="Roche Lobe Overflow",POWER(Upgrades!$U$21,M123),1))*$H$6*O123+((IF(F123=0,0,(Upgrades!$G$14+F123*Upgrades!$H$14)*POWER(Upgrades!$I$14,F123)))*(IF(Upgrades!$T$13="Local Bubble",POWER(Upgrades!$U$13,E123),1)*IF(Upgrades!$T$15="Local Bubble",POWER(Upgrades!$U$15,G123),1)*IF(Upgrades!$T$16="Local Bubble",POWER(Upgrades!$U$16,H123),1)*IF(Upgrades!$T$17="Local Bubble",POWER(Upgrades!$U$17,I123),1)*IF(Upgrades!$T$18="Local Bubble",POWER(Upgrades!$U$18,J123),1)*IF(Upgrades!$T$19="Local Bubble",POWER(Upgrades!$U$19,K123),1)*IF(Upgrades!$T$20="Local Bubble",POWER(Upgrades!$U$20,L123),1)*IF(Upgrades!$T$21="Local Bubble",POWER(Upgrades!$U$21,M123),1))*POWER(Upgrades!$P$13,E123)*POWER(Upgrades!$P$14,F123)*POWER(Upgrades!$P$15,G123)*POWER(Upgrades!$P$16,H123)*POWER(Upgrades!$P$17,I123)*POWER(Upgrades!$P$18,J123)*POWER(Upgrades!$P$19,K123)*POWER(Upgrades!$P$20,L123)*POWER(Upgrades!$P$21,M123)*$F$6)*0.05)/AN123,0)</f>
        <v/>
      </c>
      <c r="BC123" s="32">
        <f>IFERROR((Upgrades!$H$17*(POWER(Upgrades!$P$13,E123)*POWER(Upgrades!$P$14,F123)*POWER(Upgrades!$P$15,G123)*POWER(Upgrades!$P$16,H123)*POWER(Upgrades!$P$17,I123)*POWER(Upgrades!$P$18,J123)*POWER(Upgrades!$P$19,K123)*POWER(Upgrades!$P$20,L123)*POWER(Upgrades!$P$21,M123))*(IF(Upgrades!$T$13="Brown Dwarf",POWER(Upgrades!$U$13,E123),1)*IF(Upgrades!$T$14="Brown Dwarf",POWER(Upgrades!$U$14,F123),1)*IF(Upgrades!$T$15="Brown Dwarf",POWER(Upgrades!$U$15,G123),1)*IF(Upgrades!$T$16="Brown Dwarf",POWER(Upgrades!$U$16,H123),1)*IF(Upgrades!$T$18="Brown Dwarf",POWER(Upgrades!$U$18,J123),1)*IF(Upgrades!$T$19="Brown Dwarf",POWER(Upgrades!$U$19,K123),1)*IF(Upgrades!$T$20="Brown Dwarf",POWER(Upgrades!$U$20,L123),1)*IF(Upgrades!$T$21="Brown Dwarf",POWER(Upgrades!$U$21,M123),1))*$F$6+(((IF(H123=0,0,(Upgrades!$M$16+H123*Upgrades!$N$16)*POWER(Upgrades!$O$16,H123)))*(IF(Upgrades!$T$13="Roche Lobe Overflow",POWER(Upgrades!$U$13,E123),1)*IF(Upgrades!$T$14="Roche Lobe Overflow",POWER(Upgrades!$U$14,F123),1)*IF(Upgrades!$T$15="Roche Lobe Overflow",POWER(Upgrades!$U$15,G123),1)*IF(Upgrades!$T$17="Roche Lobe Overflow",POWER(Upgrades!$U$17,I123),1)*IF(Upgrades!$T$18="Roche Lobe Overflow",POWER(Upgrades!$U$18,J123),1)*IF(Upgrades!$T$19="Roche Lobe Overflow",POWER(Upgrades!$U$19,K123),1)*IF(Upgrades!$T$20="Roche Lobe Overflow",POWER(Upgrades!$U$20,L123),1)*IF(Upgrades!$T$21="Roche Lobe Overflow",POWER(Upgrades!$U$21,M123),1))*POWER(Upgrades!$R$13,E123)*POWER(Upgrades!$R$14,F123)*POWER(Upgrades!$R$15,G123)*POWER(Upgrades!$R$16,H123)*POWER(Upgrades!$R$17,I123)*POWER(Upgrades!$R$18,J123)*POWER(Upgrades!$R$19,K123)*POWER(Upgrades!$R$20,L123)*POWER(Upgrades!$R$21,M123)*$H$6)*O123)*0.10)/AO123,0)</f>
        <v/>
      </c>
      <c r="BD123" s="32">
        <f>MAX(IF(J123&gt;0,0,IFERROR(0.5*((IF(G123=0,0,(Upgrades!$J$15+G123*Upgrades!$K$15)*POWER(Upgrades!$L$15,G123)))*(IF(Upgrades!$T$13="Microlensing",POWER(Upgrades!$U$13,E123),1)*IF(Upgrades!$T$14="Microlensing",POWER(Upgrades!$U$14,F123),1)*IF(Upgrades!$T$16="Microlensing",POWER(Upgrades!$U$16,H123),1)*IF(Upgrades!$T$17="Microlensing",POWER(Upgrades!$U$17,I123),1)*IF(Upgrades!$T$18="Microlensing",POWER(Upgrades!$U$18,J123),1)*IF(Upgrades!$T$19="Microlensing",POWER(Upgrades!$U$19,K123),1)*IF(Upgrades!$T$20="Microlensing",POWER(Upgrades!$U$20,L123),1)*IF(Upgrades!$T$21="Microlensing",POWER(Upgrades!$U$21,M123),1))*(POWER(Upgrades!$Q$13,E123)*POWER(Upgrades!$Q$14,F123)*POWER(Upgrades!$Q$15,G123)*POWER(Upgrades!$Q$16,H123)*POWER(Upgrades!$Q$17,I123)*POWER(Upgrades!$Q$18,J123)*POWER(Upgrades!$Q$19,K123)*POWER(Upgrades!$Q$20,L123)*POWER(Upgrades!$Q$21,M123))*$G$6*(Parameters!$B$10/60*Parameters!$B$11+Q123))/Upgrades!$C$18,0)),IF(K123&gt;0,0,IFERROR(0.30*P123/Upgrades!$C$19,0)),IF(L123&gt;0,0,IFERROR(0.0001/Upgrades!$C$20,0)),IF(M123&gt;0,0,IFERROR((6.0*(POWER(Upgrades!$P$13,E123)*POWER(Upgrades!$P$14,F123)*POWER(Upgrades!$P$15,G123)*POWER(Upgrades!$P$16,H123)*POWER(Upgrades!$P$17,I123)*POWER(Upgrades!$P$18,J123)*POWER(Upgrades!$P$19,K123)*POWER(Upgrades!$P$20,L123)*POWER(Upgrades!$P$21,M123))*$F$6+0.20*O123*(Parameters!$B$10/60*Parameters!$B$11+Q123))/Upgrades!$C$21,0)),IF(AND(ISNUMBER(AK123),AK123&gt;(C123+T123)),AY123,0),IF(AND(ISNUMBER(AL123),AL123&gt;(C123+T123)),AZ123,0),IF(AND(ISNUMBER(AM123),AM123&gt;(C123+T123)),BA123,0),IF(AND(ISNUMBER(AN123),AN123&gt;(C123+T123)),BB123,0),IF(AND(ISNUMBER(AO123),AO123&gt;(C123+T123)),BC123,0))</f>
        <v/>
      </c>
      <c r="BE123" s="29">
        <f>IF(AT123=1,"transition",IF(MIN(IF(AND(J123=0,ISNUMBER(AP123),AP123&lt;=(C123+T123)),AP123,9E15),IF(AND(K123=0,ISNUMBER(AQ123),AQ123&lt;=(C123+T123)),AQ123,9E15),IF(AND(L123=0,ISNUMBER(AR123),AR123&lt;=(C123+T123)),AR123,9E15),IF(AND(M123=0,ISNUMBER(AS123),AS123&lt;=(C123+T123)),AS123,9E15))&lt;9E15,IF(AND(AND(J123=0,ISNUMBER(AP123),AP123&lt;=(C123+T123)),AP123=MIN(IF(AND(J123=0,ISNUMBER(AP123),AP123&lt;=(C123+T123)),AP123,9E15),IF(AND(K123=0,ISNUMBER(AQ123),AQ123&lt;=(C123+T123)),AQ123,9E15),IF(AND(L123=0,ISNUMBER(AR123),AR123&lt;=(C123+T123)),AR123,9E15),IF(AND(M123=0,ISNUMBER(AS123),AS123&lt;=(C123+T123)),AS123,9E15))),"BiP",IF(AND(AND(K123=0,ISNUMBER(AQ123),AQ123&lt;=(C123+T123)),AQ123=MIN(IF(AND(J123=0,ISNUMBER(AP123),AP123&lt;=(C123+T123)),AP123,9E15),IF(AND(K123=0,ISNUMBER(AQ123),AQ123&lt;=(C123+T123)),AQ123,9E15),IF(AND(L123=0,ISNUMBER(AR123),AR123&lt;=(C123+T123)),AR123,9E15),IF(AND(M123=0,ISNUMBER(AS123),AS123&lt;=(C123+T123)),AS123,9E15))),"PV",IF(AND(AND(L123=0,ISNUMBER(AR123),AR123&lt;=(C123+T123)),AR123=MIN(IF(AND(J123=0,ISNUMBER(AP123),AP123&lt;=(C123+T123)),AP123,9E15),IF(AND(K123=0,ISNUMBER(AQ123),AQ123&lt;=(C123+T123)),AQ123,9E15),IF(AND(L123=0,ISNUMBER(AR123),AR123&lt;=(C123+T123)),AR123,9E15),IF(AND(M123=0,ISNUMBER(AS123),AS123&lt;=(C123+T123)),AS123,9E15))),"OC","MG"))),IF(AX123=TRUE,"",IF(MAX(IF(AND(NOT(AND(AU123=1,AT123&lt;&gt;1)),ISNUMBER(AK123),AK123&lt;=(C123+T123)),AY123,0),IF(AND(NOT(AND(AU123=1,AT123&lt;&gt;1)),ISNUMBER(AL123),AL123&lt;=(C123+T123)),AZ123,0),IF(AND(NOT(AND(AU123=1,AT123&lt;&gt;1)),ISNUMBER(AM123),AM123&lt;=(C123+T123)),BA123,0),IF(AND(NOT(AND(AU123=1,AT123&lt;&gt;1)),ISNUMBER(AN123),AN123&lt;=(C123+T123)),BB123,0),IF(AND(ISNUMBER(AO123),AO123&lt;=(C123+T123)),BC123,0))&lt;=0,"",IF(AND(IF(AND(NOT(AND(AU123=1,AT123&lt;&gt;1)),ISNUMBER(AK123),AK123&lt;=(C123+T123)),AY123,0)&gt;0,IF(AND(NOT(AND(AU123=1,AT123&lt;&gt;1)),ISNUMBER(AK123),AK123&lt;=(C123+T123)),AY123,0)=MAX(IF(AND(NOT(AND(AU123=1,AT123&lt;&gt;1)),ISNUMBER(AK123),AK123&lt;=(C123+T123)),AY123,0),IF(AND(NOT(AND(AU123=1,AT123&lt;&gt;1)),ISNUMBER(AL123),AL123&lt;=(C123+T123)),AZ123,0),IF(AND(NOT(AND(AU123=1,AT123&lt;&gt;1)),ISNUMBER(AM123),AM123&lt;=(C123+T123)),BA123,0),IF(AND(NOT(AND(AU123=1,AT123&lt;&gt;1)),ISNUMBER(AN123),AN123&lt;=(C123+T123)),BB123,0),IF(AND(ISNUMBER(AO123),AO123&lt;=(C123+T123)),BC123,0))),"SK",IF(AND(IF(AND(NOT(AND(AU123=1,AT123&lt;&gt;1)),ISNUMBER(AL123),AL123&lt;=(C123+T123)),AZ123,0)&gt;0,IF(AND(NOT(AND(AU123=1,AT123&lt;&gt;1)),ISNUMBER(AL123),AL123&lt;=(C123+T123)),AZ123,0)=MAX(IF(AND(NOT(AND(AU123=1,AT123&lt;&gt;1)),ISNUMBER(AK123),AK123&lt;=(C123+T123)),AY123,0),IF(AND(NOT(AND(AU123=1,AT123&lt;&gt;1)),ISNUMBER(AL123),AL123&lt;=(C123+T123)),AZ123,0),IF(AND(NOT(AND(AU123=1,AT123&lt;&gt;1)),ISNUMBER(AM123),AM123&lt;=(C123+T123)),BA123,0),IF(AND(NOT(AND(AU123=1,AT123&lt;&gt;1)),ISNUMBER(AN123),AN123&lt;=(C123+T123)),BB123,0),IF(AND(ISNUMBER(AO123),AO123&lt;=(C123+T123)),BC123,0))),"LB",IF(AND(IF(AND(NOT(AND(AU123=1,AT123&lt;&gt;1)),ISNUMBER(AM123),AM123&lt;=(C123+T123)),BA123,0)&gt;0,IF(AND(NOT(AND(AU123=1,AT123&lt;&gt;1)),ISNUMBER(AM123),AM123&lt;=(C123+T123)),BA123,0)=MAX(IF(AND(NOT(AND(AU123=1,AT123&lt;&gt;1)),ISNUMBER(AK123),AK123&lt;=(C123+T123)),AY123,0),IF(AND(NOT(AND(AU123=1,AT123&lt;&gt;1)),ISNUMBER(AL123),AL123&lt;=(C123+T123)),AZ123,0),IF(AND(NOT(AND(AU123=1,AT123&lt;&gt;1)),ISNUMBER(AM123),AM123&lt;=(C123+T123)),BA123,0),IF(AND(NOT(AND(AU123=1,AT123&lt;&gt;1)),ISNUMBER(AN123),AN123&lt;=(C123+T123)),BB123,0),IF(AND(ISNUMBER(AO123),AO123&lt;=(C123+T123)),BC123,0))),"ML",IF(AND(IF(AND(NOT(AND(AU123=1,AT123&lt;&gt;1)),ISNUMBER(AN123),AN123&lt;=(C123+T123)),BB123,0)&gt;0,IF(AND(NOT(AND(AU123=1,AT123&lt;&gt;1)),ISNUMBER(AN123),AN123&lt;=(C123+T123)),BB123,0)=MAX(IF(AND(NOT(AND(AU123=1,AT123&lt;&gt;1)),ISNUMBER(AK123),AK123&lt;=(C123+T123)),AY123,0),IF(AND(NOT(AND(AU123=1,AT123&lt;&gt;1)),ISNUMBER(AL123),AL123&lt;=(C123+T123)),AZ123,0),IF(AND(NOT(AND(AU123=1,AT123&lt;&gt;1)),ISNUMBER(AM123),AM123&lt;=(C123+T123)),BA123,0),IF(AND(NOT(AND(AU123=1,AT123&lt;&gt;1)),ISNUMBER(AN123),AN123&lt;=(C123+T123)),BB123,0),IF(AND(ISNUMBER(AO123),AO123&lt;=(C123+T123)),BC123,0))),"RLO","BD"))))))))</f>
        <v/>
      </c>
    </row>
    <row r="124">
      <c r="A124" s="26" t="n">
        <v>113</v>
      </c>
      <c r="B124" s="27">
        <f>A124*10/60</f>
        <v/>
      </c>
      <c r="C124" s="22">
        <f>X123</f>
        <v/>
      </c>
      <c r="D124" s="27">
        <f>D123+W123</f>
        <v/>
      </c>
      <c r="E124" s="26">
        <f>E123+IF(U123="SK",1,0)</f>
        <v/>
      </c>
      <c r="F124" s="26">
        <f>F123+IF(U123="LB",1,0)</f>
        <v/>
      </c>
      <c r="G124" s="26">
        <f>G123+IF(U123="ML",1,0)</f>
        <v/>
      </c>
      <c r="H124" s="26">
        <f>H123+IF(U123="RLO",1,0)</f>
        <v/>
      </c>
      <c r="I124" s="26">
        <f>I123+IF(U123="BD",1,0)</f>
        <v/>
      </c>
      <c r="J124" s="26">
        <f>MAX(J123,IF(U123="BiP",1,0))</f>
        <v/>
      </c>
      <c r="K124" s="26">
        <f>MAX(K123,IF(U123="PV",1,0))</f>
        <v/>
      </c>
      <c r="L124" s="26">
        <f>MAX(L123,IF(U123="OC",1,0))</f>
        <v/>
      </c>
      <c r="M124" s="26">
        <f>MAX(M123,IF(U123="MG",1,0))</f>
        <v/>
      </c>
      <c r="N124" s="26">
        <f>MAX(N123,IF(U123="transition",1,0))</f>
        <v/>
      </c>
      <c r="O124" s="28">
        <f>(Parameters!$B$9+(IF(E124=0,0,(Upgrades!$J$13+E124*Upgrades!$K$13)*POWER(Upgrades!$L$13,E124)))*(IF(Upgrades!$T$14="Stellar Kinematics",POWER(Upgrades!$U$14,F124),1)*IF(Upgrades!$T$15="Stellar Kinematics",POWER(Upgrades!$U$15,G124),1)*IF(Upgrades!$T$16="Stellar Kinematics",POWER(Upgrades!$U$16,H124),1)*IF(Upgrades!$T$17="Stellar Kinematics",POWER(Upgrades!$U$17,I124),1)*IF(Upgrades!$T$18="Stellar Kinematics",POWER(Upgrades!$U$18,J124),1)*IF(Upgrades!$T$19="Stellar Kinematics",POWER(Upgrades!$U$19,K124),1)*IF(Upgrades!$T$20="Stellar Kinematics",POWER(Upgrades!$U$20,L124),1)*IF(Upgrades!$T$21="Stellar Kinematics",POWER(Upgrades!$U$21,M124),1))+(IF(F124=0,0,(Upgrades!$J$14+F124*Upgrades!$K$14)*POWER(Upgrades!$L$14,F124)))*(IF(Upgrades!$T$13="Local Bubble",POWER(Upgrades!$U$13,E124),1)*IF(Upgrades!$T$15="Local Bubble",POWER(Upgrades!$U$15,G124),1)*IF(Upgrades!$T$16="Local Bubble",POWER(Upgrades!$U$16,H124),1)*IF(Upgrades!$T$17="Local Bubble",POWER(Upgrades!$U$17,I124),1)*IF(Upgrades!$T$18="Local Bubble",POWER(Upgrades!$U$18,J124),1)*IF(Upgrades!$T$19="Local Bubble",POWER(Upgrades!$U$19,K124),1)*IF(Upgrades!$T$20="Local Bubble",POWER(Upgrades!$U$20,L124),1)*IF(Upgrades!$T$21="Local Bubble",POWER(Upgrades!$U$21,M124),1))+(IF(G124=0,0,(Upgrades!$J$15+G124*Upgrades!$K$15)*POWER(Upgrades!$L$15,G124)))*(IF(Upgrades!$T$13="Microlensing",POWER(Upgrades!$U$13,E124),1)*IF(Upgrades!$T$14="Microlensing",POWER(Upgrades!$U$14,F124),1)*IF(Upgrades!$T$16="Microlensing",POWER(Upgrades!$U$16,H124),1)*IF(Upgrades!$T$17="Microlensing",POWER(Upgrades!$U$17,I124),1)*IF(Upgrades!$T$18="Microlensing",POWER(Upgrades!$U$18,J124),1)*IF(Upgrades!$T$19="Microlensing",POWER(Upgrades!$U$19,K124),1)*IF(Upgrades!$T$20="Microlensing",POWER(Upgrades!$U$20,L124),1)*IF(Upgrades!$T$21="Microlensing",POWER(Upgrades!$U$21,M124),1))+(IF(H124=0,0,(Upgrades!$J$16+H124*Upgrades!$K$16)*POWER(Upgrades!$L$16,H124)))*(IF(Upgrades!$T$13="Roche Lobe Overflow",POWER(Upgrades!$U$13,E124),1)*IF(Upgrades!$T$14="Roche Lobe Overflow",POWER(Upgrades!$U$14,F124),1)*IF(Upgrades!$T$15="Roche Lobe Overflow",POWER(Upgrades!$U$15,G124),1)*IF(Upgrades!$T$17="Roche Lobe Overflow",POWER(Upgrades!$U$17,I124),1)*IF(Upgrades!$T$18="Roche Lobe Overflow",POWER(Upgrades!$U$18,J124),1)*IF(Upgrades!$T$19="Roche Lobe Overflow",POWER(Upgrades!$U$19,K124),1)*IF(Upgrades!$T$20="Roche Lobe Overflow",POWER(Upgrades!$U$20,L124),1)*IF(Upgrades!$T$21="Roche Lobe Overflow",POWER(Upgrades!$U$21,M124),1))+(IF(I124=0,0,(Upgrades!$J$17+I124*Upgrades!$K$17)*POWER(Upgrades!$L$17,I124)))*(IF(Upgrades!$T$13="Brown Dwarf",POWER(Upgrades!$U$13,E124),1)*IF(Upgrades!$T$14="Brown Dwarf",POWER(Upgrades!$U$14,F124),1)*IF(Upgrades!$T$15="Brown Dwarf",POWER(Upgrades!$U$15,G124),1)*IF(Upgrades!$T$16="Brown Dwarf",POWER(Upgrades!$U$16,H124),1)*IF(Upgrades!$T$18="Brown Dwarf",POWER(Upgrades!$U$18,J124),1)*IF(Upgrades!$T$19="Brown Dwarf",POWER(Upgrades!$U$19,K124),1)*IF(Upgrades!$T$20="Brown Dwarf",POWER(Upgrades!$U$20,L124),1)*IF(Upgrades!$T$21="Brown Dwarf",POWER(Upgrades!$U$21,M124),1))+(IF(J124=0,0,(Upgrades!$J$18+J124*Upgrades!$K$18)*POWER(Upgrades!$L$18,J124)))*(IF(Upgrades!$T$13="Binary Partner",POWER(Upgrades!$U$13,E124),1)*IF(Upgrades!$T$14="Binary Partner",POWER(Upgrades!$U$14,F124),1)*IF(Upgrades!$T$15="Binary Partner",POWER(Upgrades!$U$15,G124),1)*IF(Upgrades!$T$16="Binary Partner",POWER(Upgrades!$U$16,H124),1)*IF(Upgrades!$T$17="Binary Partner",POWER(Upgrades!$U$17,I124),1)*IF(Upgrades!$T$19="Binary Partner",POWER(Upgrades!$U$19,K124),1)*IF(Upgrades!$T$20="Binary Partner",POWER(Upgrades!$U$20,L124),1)*IF(Upgrades!$T$21="Binary Partner",POWER(Upgrades!$U$21,M124),1))+(IF(K124=0,0,(Upgrades!$J$19+K124*Upgrades!$K$19)*POWER(Upgrades!$L$19,K124)))*(IF(Upgrades!$T$13="Peculiar Velocity",POWER(Upgrades!$U$13,E124),1)*IF(Upgrades!$T$14="Peculiar Velocity",POWER(Upgrades!$U$14,F124),1)*IF(Upgrades!$T$15="Peculiar Velocity",POWER(Upgrades!$U$15,G124),1)*IF(Upgrades!$T$16="Peculiar Velocity",POWER(Upgrades!$U$16,H124),1)*IF(Upgrades!$T$17="Peculiar Velocity",POWER(Upgrades!$U$17,I124),1)*IF(Upgrades!$T$18="Peculiar Velocity",POWER(Upgrades!$U$18,J124),1)*IF(Upgrades!$T$20="Peculiar Velocity",POWER(Upgrades!$U$20,L124),1)*IF(Upgrades!$T$21="Peculiar Velocity",POWER(Upgrades!$U$21,M124),1))+(IF(L124=0,0,(Upgrades!$J$20+L124*Upgrades!$K$20)*POWER(Upgrades!$L$20,L124)))*(IF(Upgrades!$T$13="Open Cluster",POWER(Upgrades!$U$13,E124),1)*IF(Upgrades!$T$14="Open Cluster",POWER(Upgrades!$U$14,F124),1)*IF(Upgrades!$T$15="Open Cluster",POWER(Upgrades!$U$15,G124),1)*IF(Upgrades!$T$16="Open Cluster",POWER(Upgrades!$U$16,H124),1)*IF(Upgrades!$T$17="Open Cluster",POWER(Upgrades!$U$17,I124),1)*IF(Upgrades!$T$18="Open Cluster",POWER(Upgrades!$U$18,J124),1)*IF(Upgrades!$T$19="Open Cluster",POWER(Upgrades!$U$19,K124),1)*IF(Upgrades!$T$21="Open Cluster",POWER(Upgrades!$U$21,M124),1))+(IF(M124=0,0,(Upgrades!$J$21+M124*Upgrades!$K$21)*POWER(Upgrades!$L$21,M124)))*(IF(Upgrades!$T$13="Moving Group",POWER(Upgrades!$U$13,E124),1)*IF(Upgrades!$T$14="Moving Group",POWER(Upgrades!$U$14,F124),1)*IF(Upgrades!$T$15="Moving Group",POWER(Upgrades!$U$15,G124),1)*IF(Upgrades!$T$16="Moving Group",POWER(Upgrades!$U$16,H124),1)*IF(Upgrades!$T$17="Moving Group",POWER(Upgrades!$U$17,I124),1)*IF(Upgrades!$T$18="Moving Group",POWER(Upgrades!$U$18,J124),1)*IF(Upgrades!$T$19="Moving Group",POWER(Upgrades!$U$19,K124),1)*IF(Upgrades!$T$20="Moving Group",POWER(Upgrades!$U$20,L124),1)))*POWER(Upgrades!$Q$13,E124)*POWER(Upgrades!$Q$14,F124)*POWER(Upgrades!$Q$15,G124)*POWER(Upgrades!$Q$16,H124)*POWER(Upgrades!$Q$17,I124)*POWER(Upgrades!$Q$18,J124)*POWER(Upgrades!$Q$19,K124)*POWER(Upgrades!$Q$20,L124)*POWER(Upgrades!$Q$21,M124)*$G$6+$D$6</f>
        <v/>
      </c>
      <c r="P124" s="28">
        <f>((IF(E124=0,0,(Upgrades!$G$13+E124*Upgrades!$H$13)*POWER(Upgrades!$I$13,E124)))*(IF(Upgrades!$T$14="Stellar Kinematics",POWER(Upgrades!$U$14,F124),1)*IF(Upgrades!$T$15="Stellar Kinematics",POWER(Upgrades!$U$15,G124),1)*IF(Upgrades!$T$16="Stellar Kinematics",POWER(Upgrades!$U$16,H124),1)*IF(Upgrades!$T$17="Stellar Kinematics",POWER(Upgrades!$U$17,I124),1)*IF(Upgrades!$T$18="Stellar Kinematics",POWER(Upgrades!$U$18,J124),1)*IF(Upgrades!$T$19="Stellar Kinematics",POWER(Upgrades!$U$19,K124),1)*IF(Upgrades!$T$20="Stellar Kinematics",POWER(Upgrades!$U$20,L124),1)*IF(Upgrades!$T$21="Stellar Kinematics",POWER(Upgrades!$U$21,M124),1))+(IF(F124=0,0,(Upgrades!$G$14+F124*Upgrades!$H$14)*POWER(Upgrades!$I$14,F124)))*(IF(Upgrades!$T$13="Local Bubble",POWER(Upgrades!$U$13,E124),1)*IF(Upgrades!$T$15="Local Bubble",POWER(Upgrades!$U$15,G124),1)*IF(Upgrades!$T$16="Local Bubble",POWER(Upgrades!$U$16,H124),1)*IF(Upgrades!$T$17="Local Bubble",POWER(Upgrades!$U$17,I124),1)*IF(Upgrades!$T$18="Local Bubble",POWER(Upgrades!$U$18,J124),1)*IF(Upgrades!$T$19="Local Bubble",POWER(Upgrades!$U$19,K124),1)*IF(Upgrades!$T$20="Local Bubble",POWER(Upgrades!$U$20,L124),1)*IF(Upgrades!$T$21="Local Bubble",POWER(Upgrades!$U$21,M124),1))+(IF(G124=0,0,(Upgrades!$G$15+G124*Upgrades!$H$15)*POWER(Upgrades!$I$15,G124)))*(IF(Upgrades!$T$13="Microlensing",POWER(Upgrades!$U$13,E124),1)*IF(Upgrades!$T$14="Microlensing",POWER(Upgrades!$U$14,F124),1)*IF(Upgrades!$T$16="Microlensing",POWER(Upgrades!$U$16,H124),1)*IF(Upgrades!$T$17="Microlensing",POWER(Upgrades!$U$17,I124),1)*IF(Upgrades!$T$18="Microlensing",POWER(Upgrades!$U$18,J124),1)*IF(Upgrades!$T$19="Microlensing",POWER(Upgrades!$U$19,K124),1)*IF(Upgrades!$T$20="Microlensing",POWER(Upgrades!$U$20,L124),1)*IF(Upgrades!$T$21="Microlensing",POWER(Upgrades!$U$21,M124),1))+(IF(H124=0,0,(Upgrades!$G$16+H124*Upgrades!$H$16)*POWER(Upgrades!$I$16,H124)))*(IF(Upgrades!$T$13="Roche Lobe Overflow",POWER(Upgrades!$U$13,E124),1)*IF(Upgrades!$T$14="Roche Lobe Overflow",POWER(Upgrades!$U$14,F124),1)*IF(Upgrades!$T$15="Roche Lobe Overflow",POWER(Upgrades!$U$15,G124),1)*IF(Upgrades!$T$17="Roche Lobe Overflow",POWER(Upgrades!$U$17,I124),1)*IF(Upgrades!$T$18="Roche Lobe Overflow",POWER(Upgrades!$U$18,J124),1)*IF(Upgrades!$T$19="Roche Lobe Overflow",POWER(Upgrades!$U$19,K124),1)*IF(Upgrades!$T$20="Roche Lobe Overflow",POWER(Upgrades!$U$20,L124),1)*IF(Upgrades!$T$21="Roche Lobe Overflow",POWER(Upgrades!$U$21,M124),1))+(IF(I124=0,0,(Upgrades!$G$17+I124*Upgrades!$H$17)*POWER(Upgrades!$I$17,I124)))*(IF(Upgrades!$T$13="Brown Dwarf",POWER(Upgrades!$U$13,E124),1)*IF(Upgrades!$T$14="Brown Dwarf",POWER(Upgrades!$U$14,F124),1)*IF(Upgrades!$T$15="Brown Dwarf",POWER(Upgrades!$U$15,G124),1)*IF(Upgrades!$T$16="Brown Dwarf",POWER(Upgrades!$U$16,H124),1)*IF(Upgrades!$T$18="Brown Dwarf",POWER(Upgrades!$U$18,J124),1)*IF(Upgrades!$T$19="Brown Dwarf",POWER(Upgrades!$U$19,K124),1)*IF(Upgrades!$T$20="Brown Dwarf",POWER(Upgrades!$U$20,L124),1)*IF(Upgrades!$T$21="Brown Dwarf",POWER(Upgrades!$U$21,M124),1))+(IF(J124=0,0,(Upgrades!$G$18+J124*Upgrades!$H$18)*POWER(Upgrades!$I$18,J124)))*(IF(Upgrades!$T$13="Binary Partner",POWER(Upgrades!$U$13,E124),1)*IF(Upgrades!$T$14="Binary Partner",POWER(Upgrades!$U$14,F124),1)*IF(Upgrades!$T$15="Binary Partner",POWER(Upgrades!$U$15,G124),1)*IF(Upgrades!$T$16="Binary Partner",POWER(Upgrades!$U$16,H124),1)*IF(Upgrades!$T$17="Binary Partner",POWER(Upgrades!$U$17,I124),1)*IF(Upgrades!$T$19="Binary Partner",POWER(Upgrades!$U$19,K124),1)*IF(Upgrades!$T$20="Binary Partner",POWER(Upgrades!$U$20,L124),1)*IF(Upgrades!$T$21="Binary Partner",POWER(Upgrades!$U$21,M124),1))+(IF(K124=0,0,(Upgrades!$G$19+K124*Upgrades!$H$19)*POWER(Upgrades!$I$19,K124)))*(IF(Upgrades!$T$13="Peculiar Velocity",POWER(Upgrades!$U$13,E124),1)*IF(Upgrades!$T$14="Peculiar Velocity",POWER(Upgrades!$U$14,F124),1)*IF(Upgrades!$T$15="Peculiar Velocity",POWER(Upgrades!$U$15,G124),1)*IF(Upgrades!$T$16="Peculiar Velocity",POWER(Upgrades!$U$16,H124),1)*IF(Upgrades!$T$17="Peculiar Velocity",POWER(Upgrades!$U$17,I124),1)*IF(Upgrades!$T$18="Peculiar Velocity",POWER(Upgrades!$U$18,J124),1)*IF(Upgrades!$T$20="Peculiar Velocity",POWER(Upgrades!$U$20,L124),1)*IF(Upgrades!$T$21="Peculiar Velocity",POWER(Upgrades!$U$21,M124),1))+(IF(L124=0,0,(Upgrades!$G$20+L124*Upgrades!$H$20)*POWER(Upgrades!$I$20,L124)))*(IF(Upgrades!$T$13="Open Cluster",POWER(Upgrades!$U$13,E124),1)*IF(Upgrades!$T$14="Open Cluster",POWER(Upgrades!$U$14,F124),1)*IF(Upgrades!$T$15="Open Cluster",POWER(Upgrades!$U$15,G124),1)*IF(Upgrades!$T$16="Open Cluster",POWER(Upgrades!$U$16,H124),1)*IF(Upgrades!$T$17="Open Cluster",POWER(Upgrades!$U$17,I124),1)*IF(Upgrades!$T$18="Open Cluster",POWER(Upgrades!$U$18,J124),1)*IF(Upgrades!$T$19="Open Cluster",POWER(Upgrades!$U$19,K124),1)*IF(Upgrades!$T$21="Open Cluster",POWER(Upgrades!$U$21,M124),1))+(IF(M124=0,0,(Upgrades!$G$21+M124*Upgrades!$H$21)*POWER(Upgrades!$I$21,M124)))*(IF(Upgrades!$T$13="Moving Group",POWER(Upgrades!$U$13,E124),1)*IF(Upgrades!$T$14="Moving Group",POWER(Upgrades!$U$14,F124),1)*IF(Upgrades!$T$15="Moving Group",POWER(Upgrades!$U$15,G124),1)*IF(Upgrades!$T$16="Moving Group",POWER(Upgrades!$U$16,H124),1)*IF(Upgrades!$T$17="Moving Group",POWER(Upgrades!$U$17,I124),1)*IF(Upgrades!$T$18="Moving Group",POWER(Upgrades!$U$18,J124),1)*IF(Upgrades!$T$19="Moving Group",POWER(Upgrades!$U$19,K124),1)*IF(Upgrades!$T$20="Moving Group",POWER(Upgrades!$U$20,L124),1)))*POWER(Upgrades!$P$13,E124)*POWER(Upgrades!$P$14,F124)*POWER(Upgrades!$P$15,G124)*POWER(Upgrades!$P$16,H124)*POWER(Upgrades!$P$17,I124)*POWER(Upgrades!$P$18,J124)*POWER(Upgrades!$P$19,K124)*POWER(Upgrades!$P$20,L124)*POWER(Upgrades!$P$21,M124)*$F$6+$C$6</f>
        <v/>
      </c>
      <c r="Q124" s="28">
        <f>((IF(E124=0,0,(Upgrades!$M$13+E124*Upgrades!$N$13)*POWER(Upgrades!$O$13,E124)))*(IF(Upgrades!$T$14="Stellar Kinematics",POWER(Upgrades!$U$14,F124),1)*IF(Upgrades!$T$15="Stellar Kinematics",POWER(Upgrades!$U$15,G124),1)*IF(Upgrades!$T$16="Stellar Kinematics",POWER(Upgrades!$U$16,H124),1)*IF(Upgrades!$T$17="Stellar Kinematics",POWER(Upgrades!$U$17,I124),1)*IF(Upgrades!$T$18="Stellar Kinematics",POWER(Upgrades!$U$18,J124),1)*IF(Upgrades!$T$19="Stellar Kinematics",POWER(Upgrades!$U$19,K124),1)*IF(Upgrades!$T$20="Stellar Kinematics",POWER(Upgrades!$U$20,L124),1)*IF(Upgrades!$T$21="Stellar Kinematics",POWER(Upgrades!$U$21,M124),1))+(IF(F124=0,0,(Upgrades!$M$14+F124*Upgrades!$N$14)*POWER(Upgrades!$O$14,F124)))*(IF(Upgrades!$T$13="Local Bubble",POWER(Upgrades!$U$13,E124),1)*IF(Upgrades!$T$15="Local Bubble",POWER(Upgrades!$U$15,G124),1)*IF(Upgrades!$T$16="Local Bubble",POWER(Upgrades!$U$16,H124),1)*IF(Upgrades!$T$17="Local Bubble",POWER(Upgrades!$U$17,I124),1)*IF(Upgrades!$T$18="Local Bubble",POWER(Upgrades!$U$18,J124),1)*IF(Upgrades!$T$19="Local Bubble",POWER(Upgrades!$U$19,K124),1)*IF(Upgrades!$T$20="Local Bubble",POWER(Upgrades!$U$20,L124),1)*IF(Upgrades!$T$21="Local Bubble",POWER(Upgrades!$U$21,M124),1))+(IF(G124=0,0,(Upgrades!$M$15+G124*Upgrades!$N$15)*POWER(Upgrades!$O$15,G124)))*(IF(Upgrades!$T$13="Microlensing",POWER(Upgrades!$U$13,E124),1)*IF(Upgrades!$T$14="Microlensing",POWER(Upgrades!$U$14,F124),1)*IF(Upgrades!$T$16="Microlensing",POWER(Upgrades!$U$16,H124),1)*IF(Upgrades!$T$17="Microlensing",POWER(Upgrades!$U$17,I124),1)*IF(Upgrades!$T$18="Microlensing",POWER(Upgrades!$U$18,J124),1)*IF(Upgrades!$T$19="Microlensing",POWER(Upgrades!$U$19,K124),1)*IF(Upgrades!$T$20="Microlensing",POWER(Upgrades!$U$20,L124),1)*IF(Upgrades!$T$21="Microlensing",POWER(Upgrades!$U$21,M124),1))+(IF(H124=0,0,(Upgrades!$M$16+H124*Upgrades!$N$16)*POWER(Upgrades!$O$16,H124)))*(IF(Upgrades!$T$13="Roche Lobe Overflow",POWER(Upgrades!$U$13,E124),1)*IF(Upgrades!$T$14="Roche Lobe Overflow",POWER(Upgrades!$U$14,F124),1)*IF(Upgrades!$T$15="Roche Lobe Overflow",POWER(Upgrades!$U$15,G124),1)*IF(Upgrades!$T$17="Roche Lobe Overflow",POWER(Upgrades!$U$17,I124),1)*IF(Upgrades!$T$18="Roche Lobe Overflow",POWER(Upgrades!$U$18,J124),1)*IF(Upgrades!$T$19="Roche Lobe Overflow",POWER(Upgrades!$U$19,K124),1)*IF(Upgrades!$T$20="Roche Lobe Overflow",POWER(Upgrades!$U$20,L124),1)*IF(Upgrades!$T$21="Roche Lobe Overflow",POWER(Upgrades!$U$21,M124),1))+(IF(I124=0,0,(Upgrades!$M$17+I124*Upgrades!$N$17)*POWER(Upgrades!$O$17,I124)))*(IF(Upgrades!$T$13="Brown Dwarf",POWER(Upgrades!$U$13,E124),1)*IF(Upgrades!$T$14="Brown Dwarf",POWER(Upgrades!$U$14,F124),1)*IF(Upgrades!$T$15="Brown Dwarf",POWER(Upgrades!$U$15,G124),1)*IF(Upgrades!$T$16="Brown Dwarf",POWER(Upgrades!$U$16,H124),1)*IF(Upgrades!$T$18="Brown Dwarf",POWER(Upgrades!$U$18,J124),1)*IF(Upgrades!$T$19="Brown Dwarf",POWER(Upgrades!$U$19,K124),1)*IF(Upgrades!$T$20="Brown Dwarf",POWER(Upgrades!$U$20,L124),1)*IF(Upgrades!$T$21="Brown Dwarf",POWER(Upgrades!$U$21,M124),1))+(IF(J124=0,0,(Upgrades!$M$18+J124*Upgrades!$N$18)*POWER(Upgrades!$O$18,J124)))*(IF(Upgrades!$T$13="Binary Partner",POWER(Upgrades!$U$13,E124),1)*IF(Upgrades!$T$14="Binary Partner",POWER(Upgrades!$U$14,F124),1)*IF(Upgrades!$T$15="Binary Partner",POWER(Upgrades!$U$15,G124),1)*IF(Upgrades!$T$16="Binary Partner",POWER(Upgrades!$U$16,H124),1)*IF(Upgrades!$T$17="Binary Partner",POWER(Upgrades!$U$17,I124),1)*IF(Upgrades!$T$19="Binary Partner",POWER(Upgrades!$U$19,K124),1)*IF(Upgrades!$T$20="Binary Partner",POWER(Upgrades!$U$20,L124),1)*IF(Upgrades!$T$21="Binary Partner",POWER(Upgrades!$U$21,M124),1))+(IF(K124=0,0,(Upgrades!$M$19+K124*Upgrades!$N$19)*POWER(Upgrades!$O$19,K124)))*(IF(Upgrades!$T$13="Peculiar Velocity",POWER(Upgrades!$U$13,E124),1)*IF(Upgrades!$T$14="Peculiar Velocity",POWER(Upgrades!$U$14,F124),1)*IF(Upgrades!$T$15="Peculiar Velocity",POWER(Upgrades!$U$15,G124),1)*IF(Upgrades!$T$16="Peculiar Velocity",POWER(Upgrades!$U$16,H124),1)*IF(Upgrades!$T$17="Peculiar Velocity",POWER(Upgrades!$U$17,I124),1)*IF(Upgrades!$T$18="Peculiar Velocity",POWER(Upgrades!$U$18,J124),1)*IF(Upgrades!$T$20="Peculiar Velocity",POWER(Upgrades!$U$20,L124),1)*IF(Upgrades!$T$21="Peculiar Velocity",POWER(Upgrades!$U$21,M124),1))+(IF(L124=0,0,(Upgrades!$M$20+L124*Upgrades!$N$20)*POWER(Upgrades!$O$20,L124)))*(IF(Upgrades!$T$13="Open Cluster",POWER(Upgrades!$U$13,E124),1)*IF(Upgrades!$T$14="Open Cluster",POWER(Upgrades!$U$14,F124),1)*IF(Upgrades!$T$15="Open Cluster",POWER(Upgrades!$U$15,G124),1)*IF(Upgrades!$T$16="Open Cluster",POWER(Upgrades!$U$16,H124),1)*IF(Upgrades!$T$17="Open Cluster",POWER(Upgrades!$U$17,I124),1)*IF(Upgrades!$T$18="Open Cluster",POWER(Upgrades!$U$18,J124),1)*IF(Upgrades!$T$19="Open Cluster",POWER(Upgrades!$U$19,K124),1)*IF(Upgrades!$T$21="Open Cluster",POWER(Upgrades!$U$21,M124),1))+(IF(M124=0,0,(Upgrades!$M$21+M124*Upgrades!$N$21)*POWER(Upgrades!$O$21,M124)))*(IF(Upgrades!$T$13="Moving Group",POWER(Upgrades!$U$13,E124),1)*IF(Upgrades!$T$14="Moving Group",POWER(Upgrades!$U$14,F124),1)*IF(Upgrades!$T$15="Moving Group",POWER(Upgrades!$U$15,G124),1)*IF(Upgrades!$T$16="Moving Group",POWER(Upgrades!$U$16,H124),1)*IF(Upgrades!$T$17="Moving Group",POWER(Upgrades!$U$17,I124),1)*IF(Upgrades!$T$18="Moving Group",POWER(Upgrades!$U$18,J124),1)*IF(Upgrades!$T$19="Moving Group",POWER(Upgrades!$U$19,K124),1)*IF(Upgrades!$T$20="Moving Group",POWER(Upgrades!$U$20,L124),1)))*POWER(Upgrades!$R$13,E124)*POWER(Upgrades!$R$14,F124)*POWER(Upgrades!$R$15,G124)*POWER(Upgrades!$R$16,H124)*POWER(Upgrades!$R$17,I124)*POWER(Upgrades!$R$18,J124)*POWER(Upgrades!$R$19,K124)*POWER(Upgrades!$R$20,L124)*POWER(Upgrades!$R$21,M124)*$H$6+$E$6</f>
        <v/>
      </c>
      <c r="R124" s="27">
        <f>IF(N124=1,0,O124*Parameters!$B$10/60*Parameters!$B$11*10)</f>
        <v/>
      </c>
      <c r="S124" s="27">
        <f>IF(N124=1,0,Q124*O124*10)</f>
        <v/>
      </c>
      <c r="T124" s="27">
        <f>IF(N124=1,0,R124+S124+P124*10)</f>
        <v/>
      </c>
      <c r="U124" s="33">
        <f>BE124</f>
        <v/>
      </c>
      <c r="V124" s="22">
        <f>IF(U124="",0,IF(U124="transition",0,IF(U124="SK",AK124,IF(U124="LB",AL124,IF(U124="ML",AM124,IF(U124="RLO",AN124,IF(U124="BD",AO124,IF(U124="BiP",AP124,IF(U124="PV",AQ124,IF(U124="OC",AR124,IF(U124="MG",AS124,0))))))))))</f>
        <v/>
      </c>
      <c r="W124" s="27">
        <f>IF(U124="BiP",Upgrades!$F$18,IF(U124="PV",Upgrades!$F$19,IF(U124="OC",Upgrades!$F$20,IF(U124="MG",Upgrades!$F$21,IF(U124="transition",-Parameters!$B$18*Parameters!$B$19,0)))))</f>
        <v/>
      </c>
      <c r="X124" s="22">
        <f>C124+T124-V124</f>
        <v/>
      </c>
      <c r="Y124" s="30">
        <f>O124*Parameters!$B$10/60*Parameters!$B$11+Q124*O124+P124</f>
        <v/>
      </c>
      <c r="Z124" s="34">
        <f>IF(U124="transition","→ Tier 3 (Galactic Arm)",IF(U124="MG","Moving Group — pocket drifts together",IF(U124="OC","Open Cluster acquired",IF(U124="PV","Peculiar Velocity — passive multiplier active",IF(U124="BiP","Binary Partner — pair bond formed",IF(AND(AU124=1,N124=0,AT124&lt;&gt;1),"Cohesion ready (waiting on completionists)","")))))) </f>
        <v/>
      </c>
      <c r="AA124" s="27">
        <f>(IF(E124=0,0,(Upgrades!$G$13+E124*Upgrades!$H$13)*POWER(Upgrades!$I$13,E124)))*(IF(Upgrades!$T$14="Stellar Kinematics",POWER(Upgrades!$U$14,F124),1)*IF(Upgrades!$T$15="Stellar Kinematics",POWER(Upgrades!$U$15,G124),1)*IF(Upgrades!$T$16="Stellar Kinematics",POWER(Upgrades!$U$16,H124),1)*IF(Upgrades!$T$17="Stellar Kinematics",POWER(Upgrades!$U$17,I124),1)*IF(Upgrades!$T$18="Stellar Kinematics",POWER(Upgrades!$U$18,J124),1)*IF(Upgrades!$T$19="Stellar Kinematics",POWER(Upgrades!$U$19,K124),1)*IF(Upgrades!$T$20="Stellar Kinematics",POWER(Upgrades!$U$20,L124),1)*IF(Upgrades!$T$21="Stellar Kinematics",POWER(Upgrades!$U$21,M124),1))*POWER(Upgrades!$P$13,E124)*POWER(Upgrades!$P$14,F124)*POWER(Upgrades!$P$15,G124)*POWER(Upgrades!$P$16,H124)*POWER(Upgrades!$P$17,I124)*POWER(Upgrades!$P$18,J124)*POWER(Upgrades!$P$19,K124)*POWER(Upgrades!$P$20,L124)*POWER(Upgrades!$P$21,M124)*$F$6*60</f>
        <v/>
      </c>
      <c r="AB124" s="27">
        <f>(IF(F124=0,0,(Upgrades!$G$14+F124*Upgrades!$H$14)*POWER(Upgrades!$I$14,F124)))*(IF(Upgrades!$T$13="Local Bubble",POWER(Upgrades!$U$13,E124),1)*IF(Upgrades!$T$15="Local Bubble",POWER(Upgrades!$U$15,G124),1)*IF(Upgrades!$T$16="Local Bubble",POWER(Upgrades!$U$16,H124),1)*IF(Upgrades!$T$17="Local Bubble",POWER(Upgrades!$U$17,I124),1)*IF(Upgrades!$T$18="Local Bubble",POWER(Upgrades!$U$18,J124),1)*IF(Upgrades!$T$19="Local Bubble",POWER(Upgrades!$U$19,K124),1)*IF(Upgrades!$T$20="Local Bubble",POWER(Upgrades!$U$20,L124),1)*IF(Upgrades!$T$21="Local Bubble",POWER(Upgrades!$U$21,M124),1))*POWER(Upgrades!$P$13,E124)*POWER(Upgrades!$P$14,F124)*POWER(Upgrades!$P$15,G124)*POWER(Upgrades!$P$16,H124)*POWER(Upgrades!$P$17,I124)*POWER(Upgrades!$P$18,J124)*POWER(Upgrades!$P$19,K124)*POWER(Upgrades!$P$20,L124)*POWER(Upgrades!$P$21,M124)*$F$6*60</f>
        <v/>
      </c>
      <c r="AC124" s="27">
        <f>(IF(G124=0,0,(Upgrades!$J$15+G124*Upgrades!$K$15)*POWER(Upgrades!$L$15,G124)))*(IF(Upgrades!$T$13="Microlensing",POWER(Upgrades!$U$13,E124),1)*IF(Upgrades!$T$14="Microlensing",POWER(Upgrades!$U$14,F124),1)*IF(Upgrades!$T$16="Microlensing",POWER(Upgrades!$U$16,H124),1)*IF(Upgrades!$T$17="Microlensing",POWER(Upgrades!$U$17,I124),1)*IF(Upgrades!$T$18="Microlensing",POWER(Upgrades!$U$18,J124),1)*IF(Upgrades!$T$19="Microlensing",POWER(Upgrades!$U$19,K124),1)*IF(Upgrades!$T$20="Microlensing",POWER(Upgrades!$U$20,L124),1)*IF(Upgrades!$T$21="Microlensing",POWER(Upgrades!$U$21,M124),1))*POWER(Upgrades!$Q$13,E124)*POWER(Upgrades!$Q$14,F124)*POWER(Upgrades!$Q$15,G124)*POWER(Upgrades!$Q$16,H124)*POWER(Upgrades!$Q$17,I124)*POWER(Upgrades!$Q$18,J124)*POWER(Upgrades!$Q$19,K124)*POWER(Upgrades!$Q$20,L124)*POWER(Upgrades!$Q$21,M124)*$G$6*(Parameters!$B$10*Parameters!$B$11+Q124*60)</f>
        <v/>
      </c>
      <c r="AD124" s="27">
        <f>(IF(H124=0,0,(Upgrades!$M$16+H124*Upgrades!$N$16)*POWER(Upgrades!$O$16,H124)))*(IF(Upgrades!$T$13="Roche Lobe Overflow",POWER(Upgrades!$U$13,E124),1)*IF(Upgrades!$T$14="Roche Lobe Overflow",POWER(Upgrades!$U$14,F124),1)*IF(Upgrades!$T$15="Roche Lobe Overflow",POWER(Upgrades!$U$15,G124),1)*IF(Upgrades!$T$17="Roche Lobe Overflow",POWER(Upgrades!$U$17,I124),1)*IF(Upgrades!$T$18="Roche Lobe Overflow",POWER(Upgrades!$U$18,J124),1)*IF(Upgrades!$T$19="Roche Lobe Overflow",POWER(Upgrades!$U$19,K124),1)*IF(Upgrades!$T$20="Roche Lobe Overflow",POWER(Upgrades!$U$20,L124),1)*IF(Upgrades!$T$21="Roche Lobe Overflow",POWER(Upgrades!$U$21,M124),1))*POWER(Upgrades!$R$13,E124)*POWER(Upgrades!$R$14,F124)*POWER(Upgrades!$R$15,G124)*POWER(Upgrades!$R$16,H124)*POWER(Upgrades!$R$17,I124)*POWER(Upgrades!$R$18,J124)*POWER(Upgrades!$R$19,K124)*POWER(Upgrades!$R$20,L124)*POWER(Upgrades!$R$21,M124)*$H$6*O124*60</f>
        <v/>
      </c>
      <c r="AE124" s="27">
        <f>(IF(I124=0,0,(Upgrades!$G$17+I124*Upgrades!$H$17)*POWER(Upgrades!$I$17,I124)))*(IF(Upgrades!$T$13="Brown Dwarf",POWER(Upgrades!$U$13,E124),1)*IF(Upgrades!$T$14="Brown Dwarf",POWER(Upgrades!$U$14,F124),1)*IF(Upgrades!$T$15="Brown Dwarf",POWER(Upgrades!$U$15,G124),1)*IF(Upgrades!$T$16="Brown Dwarf",POWER(Upgrades!$U$16,H124),1)*IF(Upgrades!$T$18="Brown Dwarf",POWER(Upgrades!$U$18,J124),1)*IF(Upgrades!$T$19="Brown Dwarf",POWER(Upgrades!$U$19,K124),1)*IF(Upgrades!$T$20="Brown Dwarf",POWER(Upgrades!$U$20,L124),1)*IF(Upgrades!$T$21="Brown Dwarf",POWER(Upgrades!$U$21,M124),1))*POWER(Upgrades!$P$13,E124)*POWER(Upgrades!$P$14,F124)*POWER(Upgrades!$P$15,G124)*POWER(Upgrades!$P$16,H124)*POWER(Upgrades!$P$17,I124)*POWER(Upgrades!$P$18,J124)*POWER(Upgrades!$P$19,K124)*POWER(Upgrades!$P$20,L124)*POWER(Upgrades!$P$21,M124)*$F$6*60</f>
        <v/>
      </c>
      <c r="AF124" s="27" t="n">
        <v>0</v>
      </c>
      <c r="AG124" s="27" t="n">
        <v>0</v>
      </c>
      <c r="AH124" s="27" t="n">
        <v>0</v>
      </c>
      <c r="AI124" s="27">
        <f>(IF(M124=0,0,(Upgrades!$G$21+M124*Upgrades!$H$21)*POWER(Upgrades!$I$21,M124)))*(IF(Upgrades!$T$13="Moving Group",POWER(Upgrades!$U$13,E124),1)*IF(Upgrades!$T$14="Moving Group",POWER(Upgrades!$U$14,F124),1)*IF(Upgrades!$T$15="Moving Group",POWER(Upgrades!$U$15,G124),1)*IF(Upgrades!$T$16="Moving Group",POWER(Upgrades!$U$16,H124),1)*IF(Upgrades!$T$17="Moving Group",POWER(Upgrades!$U$17,I124),1)*IF(Upgrades!$T$18="Moving Group",POWER(Upgrades!$U$18,J124),1)*IF(Upgrades!$T$19="Moving Group",POWER(Upgrades!$U$19,K124),1)*IF(Upgrades!$T$20="Moving Group",POWER(Upgrades!$U$20,L124),1))*POWER(Upgrades!$P$13,E124)*POWER(Upgrades!$P$14,F124)*POWER(Upgrades!$P$15,G124)*POWER(Upgrades!$P$16,H124)*POWER(Upgrades!$P$17,I124)*POWER(Upgrades!$P$18,J124)*POWER(Upgrades!$P$19,K124)*POWER(Upgrades!$P$20,L124)*POWER(Upgrades!$P$21,M124)*$F$6*60</f>
        <v/>
      </c>
      <c r="AJ124" s="27">
        <f>$C$6*60</f>
        <v/>
      </c>
      <c r="AK124" s="22">
        <f>IF(E124&gt;=Upgrades!$E$13,"",Upgrades!$C$13*POWER(Upgrades!$D$13,E124))</f>
        <v/>
      </c>
      <c r="AL124" s="22">
        <f>IF(F124&gt;=Upgrades!$E$14,"",Upgrades!$C$14*POWER(Upgrades!$D$14,F124))</f>
        <v/>
      </c>
      <c r="AM124" s="22">
        <f>IF(G124&gt;=Upgrades!$E$15,"",Upgrades!$C$15*POWER(Upgrades!$D$15,G124))</f>
        <v/>
      </c>
      <c r="AN124" s="22">
        <f>IF(H124&gt;=Upgrades!$E$16,"",Upgrades!$C$16*POWER(Upgrades!$D$16,H124))</f>
        <v/>
      </c>
      <c r="AO124" s="22">
        <f>IF(I124&gt;=Upgrades!$E$17,"",Upgrades!$C$17*POWER(Upgrades!$D$17,I124))</f>
        <v/>
      </c>
      <c r="AP124" s="22">
        <f>IF(J124&gt;=Upgrades!$E$18,"",Upgrades!$C$18*POWER(Upgrades!$D$18,J124))</f>
        <v/>
      </c>
      <c r="AQ124" s="22">
        <f>IF(K124&gt;=Upgrades!$E$19,"",Upgrades!$C$19*POWER(Upgrades!$D$19,K124))</f>
        <v/>
      </c>
      <c r="AR124" s="22">
        <f>IF(L124&gt;=Upgrades!$E$20,"",Upgrades!$C$20*POWER(Upgrades!$D$20,L124))</f>
        <v/>
      </c>
      <c r="AS124" s="22">
        <f>IF(M124&gt;=Upgrades!$E$21,"",Upgrades!$C$21*POWER(Upgrades!$D$21,M124))</f>
        <v/>
      </c>
      <c r="AT124" s="26">
        <f>IF(AND(D124&gt;=Parameters!$B$18*Parameters!$B$19,(I124&gt;=Upgrades!$E$17)*(M124&gt;=Upgrades!$E$21)=1,N124=0),1,"")</f>
        <v/>
      </c>
      <c r="AU124" s="26">
        <f>IF(AND(D124&gt;=Parameters!$B$18*Parameters!$B$19,N124=0),1,"")</f>
        <v/>
      </c>
      <c r="AV124" s="22">
        <f>MIN(IF(ISNUMBER(AP124),AP124,9E15),IF(ISNUMBER(AQ124),AQ124,9E15),IF(ISNUMBER(AR124),AR124,9E15),IF(ISNUMBER(AS124),AS124,9E15))</f>
        <v/>
      </c>
      <c r="AW124" s="22">
        <f>MIN(IF(ISNUMBER(AK124),AK124,9E15),IF(ISNUMBER(AL124),AL124,9E15),IF(ISNUMBER(AM124),AM124,9E15),IF(ISNUMBER(AN124),AN124,9E15),IF(ISNUMBER(AO124),AO124,9E15))</f>
        <v/>
      </c>
      <c r="AX124" s="29">
        <f>IF(BD124&gt;Parameters!$B$21*(MAX(IF(AND(NOT(AND(AU124=1,AT124&lt;&gt;1)),ISNUMBER(AK124),AK124&lt;=(C124+T124)),AY124,0),IF(AND(NOT(AND(AU124=1,AT124&lt;&gt;1)),ISNUMBER(AL124),AL124&lt;=(C124+T124)),AZ124,0),IF(AND(NOT(AND(AU124=1,AT124&lt;&gt;1)),ISNUMBER(AM124),AM124&lt;=(C124+T124)),BA124,0),IF(AND(NOT(AND(AU124=1,AT124&lt;&gt;1)),ISNUMBER(AN124),AN124&lt;=(C124+T124)),BB124,0),IF(AND(ISNUMBER(AO124),AO124&lt;=(C124+T124)),BC124,0))),TRUE,FALSE)</f>
        <v/>
      </c>
      <c r="AY124" s="32">
        <f>IFERROR(Upgrades!$H$13*(POWER(Upgrades!$P$13,E124)*POWER(Upgrades!$P$14,F124)*POWER(Upgrades!$P$15,G124)*POWER(Upgrades!$P$16,H124)*POWER(Upgrades!$P$17,I124)*POWER(Upgrades!$P$18,J124)*POWER(Upgrades!$P$19,K124)*POWER(Upgrades!$P$20,L124)*POWER(Upgrades!$P$21,M124))*(IF(Upgrades!$T$14="Stellar Kinematics",POWER(Upgrades!$U$14,F124),1)*IF(Upgrades!$T$15="Stellar Kinematics",POWER(Upgrades!$U$15,G124),1)*IF(Upgrades!$T$16="Stellar Kinematics",POWER(Upgrades!$U$16,H124),1)*IF(Upgrades!$T$17="Stellar Kinematics",POWER(Upgrades!$U$17,I124),1)*IF(Upgrades!$T$18="Stellar Kinematics",POWER(Upgrades!$U$18,J124),1)*IF(Upgrades!$T$19="Stellar Kinematics",POWER(Upgrades!$U$19,K124),1)*IF(Upgrades!$T$20="Stellar Kinematics",POWER(Upgrades!$U$20,L124),1)*IF(Upgrades!$T$21="Stellar Kinematics",POWER(Upgrades!$U$21,M124),1))*$F$6/AK124,0)</f>
        <v/>
      </c>
      <c r="AZ124" s="32">
        <f>IFERROR(Upgrades!$H$14*(POWER(Upgrades!$P$13,E124)*POWER(Upgrades!$P$14,F124)*POWER(Upgrades!$P$15,G124)*POWER(Upgrades!$P$16,H124)*POWER(Upgrades!$P$17,I124)*POWER(Upgrades!$P$18,J124)*POWER(Upgrades!$P$19,K124)*POWER(Upgrades!$P$20,L124)*POWER(Upgrades!$P$21,M124))*(IF(Upgrades!$T$13="Local Bubble",POWER(Upgrades!$U$13,E124),1)*IF(Upgrades!$T$15="Local Bubble",POWER(Upgrades!$U$15,G124),1)*IF(Upgrades!$T$16="Local Bubble",POWER(Upgrades!$U$16,H124),1)*IF(Upgrades!$T$17="Local Bubble",POWER(Upgrades!$U$17,I124),1)*IF(Upgrades!$T$18="Local Bubble",POWER(Upgrades!$U$18,J124),1)*IF(Upgrades!$T$19="Local Bubble",POWER(Upgrades!$U$19,K124),1)*IF(Upgrades!$T$20="Local Bubble",POWER(Upgrades!$U$20,L124),1)*IF(Upgrades!$T$21="Local Bubble",POWER(Upgrades!$U$21,M124),1))*$F$6/AL124,0)</f>
        <v/>
      </c>
      <c r="BA124" s="32">
        <f>IFERROR(Upgrades!$K$15*(POWER(Upgrades!$Q$13,E124)*POWER(Upgrades!$Q$14,F124)*POWER(Upgrades!$Q$15,G124)*POWER(Upgrades!$Q$16,H124)*POWER(Upgrades!$Q$17,I124)*POWER(Upgrades!$Q$18,J124)*POWER(Upgrades!$Q$19,K124)*POWER(Upgrades!$Q$20,L124)*POWER(Upgrades!$Q$21,M124))*(IF(Upgrades!$T$13="Microlensing",POWER(Upgrades!$U$13,E124),1)*IF(Upgrades!$T$14="Microlensing",POWER(Upgrades!$U$14,F124),1)*IF(Upgrades!$T$16="Microlensing",POWER(Upgrades!$U$16,H124),1)*IF(Upgrades!$T$17="Microlensing",POWER(Upgrades!$U$17,I124),1)*IF(Upgrades!$T$18="Microlensing",POWER(Upgrades!$U$18,J124),1)*IF(Upgrades!$T$19="Microlensing",POWER(Upgrades!$U$19,K124),1)*IF(Upgrades!$T$20="Microlensing",POWER(Upgrades!$U$20,L124),1)*IF(Upgrades!$T$21="Microlensing",POWER(Upgrades!$U$21,M124),1))*$G$6*(Parameters!$B$10/60*Parameters!$B$11+Q124)/AM124,0)</f>
        <v/>
      </c>
      <c r="BB124" s="32">
        <f>IFERROR((Upgrades!$N$16*(POWER(Upgrades!$R$13,E124)*POWER(Upgrades!$R$14,F124)*POWER(Upgrades!$R$15,G124)*POWER(Upgrades!$R$16,H124)*POWER(Upgrades!$R$17,I124)*POWER(Upgrades!$R$18,J124)*POWER(Upgrades!$R$19,K124)*POWER(Upgrades!$R$20,L124)*POWER(Upgrades!$R$21,M124))*(IF(Upgrades!$T$13="Roche Lobe Overflow",POWER(Upgrades!$U$13,E124),1)*IF(Upgrades!$T$14="Roche Lobe Overflow",POWER(Upgrades!$U$14,F124),1)*IF(Upgrades!$T$15="Roche Lobe Overflow",POWER(Upgrades!$U$15,G124),1)*IF(Upgrades!$T$17="Roche Lobe Overflow",POWER(Upgrades!$U$17,I124),1)*IF(Upgrades!$T$18="Roche Lobe Overflow",POWER(Upgrades!$U$18,J124),1)*IF(Upgrades!$T$19="Roche Lobe Overflow",POWER(Upgrades!$U$19,K124),1)*IF(Upgrades!$T$20="Roche Lobe Overflow",POWER(Upgrades!$U$20,L124),1)*IF(Upgrades!$T$21="Roche Lobe Overflow",POWER(Upgrades!$U$21,M124),1))*$H$6*O124+((IF(F124=0,0,(Upgrades!$G$14+F124*Upgrades!$H$14)*POWER(Upgrades!$I$14,F124)))*(IF(Upgrades!$T$13="Local Bubble",POWER(Upgrades!$U$13,E124),1)*IF(Upgrades!$T$15="Local Bubble",POWER(Upgrades!$U$15,G124),1)*IF(Upgrades!$T$16="Local Bubble",POWER(Upgrades!$U$16,H124),1)*IF(Upgrades!$T$17="Local Bubble",POWER(Upgrades!$U$17,I124),1)*IF(Upgrades!$T$18="Local Bubble",POWER(Upgrades!$U$18,J124),1)*IF(Upgrades!$T$19="Local Bubble",POWER(Upgrades!$U$19,K124),1)*IF(Upgrades!$T$20="Local Bubble",POWER(Upgrades!$U$20,L124),1)*IF(Upgrades!$T$21="Local Bubble",POWER(Upgrades!$U$21,M124),1))*POWER(Upgrades!$P$13,E124)*POWER(Upgrades!$P$14,F124)*POWER(Upgrades!$P$15,G124)*POWER(Upgrades!$P$16,H124)*POWER(Upgrades!$P$17,I124)*POWER(Upgrades!$P$18,J124)*POWER(Upgrades!$P$19,K124)*POWER(Upgrades!$P$20,L124)*POWER(Upgrades!$P$21,M124)*$F$6)*0.05)/AN124,0)</f>
        <v/>
      </c>
      <c r="BC124" s="32">
        <f>IFERROR((Upgrades!$H$17*(POWER(Upgrades!$P$13,E124)*POWER(Upgrades!$P$14,F124)*POWER(Upgrades!$P$15,G124)*POWER(Upgrades!$P$16,H124)*POWER(Upgrades!$P$17,I124)*POWER(Upgrades!$P$18,J124)*POWER(Upgrades!$P$19,K124)*POWER(Upgrades!$P$20,L124)*POWER(Upgrades!$P$21,M124))*(IF(Upgrades!$T$13="Brown Dwarf",POWER(Upgrades!$U$13,E124),1)*IF(Upgrades!$T$14="Brown Dwarf",POWER(Upgrades!$U$14,F124),1)*IF(Upgrades!$T$15="Brown Dwarf",POWER(Upgrades!$U$15,G124),1)*IF(Upgrades!$T$16="Brown Dwarf",POWER(Upgrades!$U$16,H124),1)*IF(Upgrades!$T$18="Brown Dwarf",POWER(Upgrades!$U$18,J124),1)*IF(Upgrades!$T$19="Brown Dwarf",POWER(Upgrades!$U$19,K124),1)*IF(Upgrades!$T$20="Brown Dwarf",POWER(Upgrades!$U$20,L124),1)*IF(Upgrades!$T$21="Brown Dwarf",POWER(Upgrades!$U$21,M124),1))*$F$6+(((IF(H124=0,0,(Upgrades!$M$16+H124*Upgrades!$N$16)*POWER(Upgrades!$O$16,H124)))*(IF(Upgrades!$T$13="Roche Lobe Overflow",POWER(Upgrades!$U$13,E124),1)*IF(Upgrades!$T$14="Roche Lobe Overflow",POWER(Upgrades!$U$14,F124),1)*IF(Upgrades!$T$15="Roche Lobe Overflow",POWER(Upgrades!$U$15,G124),1)*IF(Upgrades!$T$17="Roche Lobe Overflow",POWER(Upgrades!$U$17,I124),1)*IF(Upgrades!$T$18="Roche Lobe Overflow",POWER(Upgrades!$U$18,J124),1)*IF(Upgrades!$T$19="Roche Lobe Overflow",POWER(Upgrades!$U$19,K124),1)*IF(Upgrades!$T$20="Roche Lobe Overflow",POWER(Upgrades!$U$20,L124),1)*IF(Upgrades!$T$21="Roche Lobe Overflow",POWER(Upgrades!$U$21,M124),1))*POWER(Upgrades!$R$13,E124)*POWER(Upgrades!$R$14,F124)*POWER(Upgrades!$R$15,G124)*POWER(Upgrades!$R$16,H124)*POWER(Upgrades!$R$17,I124)*POWER(Upgrades!$R$18,J124)*POWER(Upgrades!$R$19,K124)*POWER(Upgrades!$R$20,L124)*POWER(Upgrades!$R$21,M124)*$H$6)*O124)*0.10)/AO124,0)</f>
        <v/>
      </c>
      <c r="BD124" s="32">
        <f>MAX(IF(J124&gt;0,0,IFERROR(0.5*((IF(G124=0,0,(Upgrades!$J$15+G124*Upgrades!$K$15)*POWER(Upgrades!$L$15,G124)))*(IF(Upgrades!$T$13="Microlensing",POWER(Upgrades!$U$13,E124),1)*IF(Upgrades!$T$14="Microlensing",POWER(Upgrades!$U$14,F124),1)*IF(Upgrades!$T$16="Microlensing",POWER(Upgrades!$U$16,H124),1)*IF(Upgrades!$T$17="Microlensing",POWER(Upgrades!$U$17,I124),1)*IF(Upgrades!$T$18="Microlensing",POWER(Upgrades!$U$18,J124),1)*IF(Upgrades!$T$19="Microlensing",POWER(Upgrades!$U$19,K124),1)*IF(Upgrades!$T$20="Microlensing",POWER(Upgrades!$U$20,L124),1)*IF(Upgrades!$T$21="Microlensing",POWER(Upgrades!$U$21,M124),1))*(POWER(Upgrades!$Q$13,E124)*POWER(Upgrades!$Q$14,F124)*POWER(Upgrades!$Q$15,G124)*POWER(Upgrades!$Q$16,H124)*POWER(Upgrades!$Q$17,I124)*POWER(Upgrades!$Q$18,J124)*POWER(Upgrades!$Q$19,K124)*POWER(Upgrades!$Q$20,L124)*POWER(Upgrades!$Q$21,M124))*$G$6*(Parameters!$B$10/60*Parameters!$B$11+Q124))/Upgrades!$C$18,0)),IF(K124&gt;0,0,IFERROR(0.30*P124/Upgrades!$C$19,0)),IF(L124&gt;0,0,IFERROR(0.0001/Upgrades!$C$20,0)),IF(M124&gt;0,0,IFERROR((6.0*(POWER(Upgrades!$P$13,E124)*POWER(Upgrades!$P$14,F124)*POWER(Upgrades!$P$15,G124)*POWER(Upgrades!$P$16,H124)*POWER(Upgrades!$P$17,I124)*POWER(Upgrades!$P$18,J124)*POWER(Upgrades!$P$19,K124)*POWER(Upgrades!$P$20,L124)*POWER(Upgrades!$P$21,M124))*$F$6+0.20*O124*(Parameters!$B$10/60*Parameters!$B$11+Q124))/Upgrades!$C$21,0)),IF(AND(ISNUMBER(AK124),AK124&gt;(C124+T124)),AY124,0),IF(AND(ISNUMBER(AL124),AL124&gt;(C124+T124)),AZ124,0),IF(AND(ISNUMBER(AM124),AM124&gt;(C124+T124)),BA124,0),IF(AND(ISNUMBER(AN124),AN124&gt;(C124+T124)),BB124,0),IF(AND(ISNUMBER(AO124),AO124&gt;(C124+T124)),BC124,0))</f>
        <v/>
      </c>
      <c r="BE124" s="29">
        <f>IF(AT124=1,"transition",IF(MIN(IF(AND(J124=0,ISNUMBER(AP124),AP124&lt;=(C124+T124)),AP124,9E15),IF(AND(K124=0,ISNUMBER(AQ124),AQ124&lt;=(C124+T124)),AQ124,9E15),IF(AND(L124=0,ISNUMBER(AR124),AR124&lt;=(C124+T124)),AR124,9E15),IF(AND(M124=0,ISNUMBER(AS124),AS124&lt;=(C124+T124)),AS124,9E15))&lt;9E15,IF(AND(AND(J124=0,ISNUMBER(AP124),AP124&lt;=(C124+T124)),AP124=MIN(IF(AND(J124=0,ISNUMBER(AP124),AP124&lt;=(C124+T124)),AP124,9E15),IF(AND(K124=0,ISNUMBER(AQ124),AQ124&lt;=(C124+T124)),AQ124,9E15),IF(AND(L124=0,ISNUMBER(AR124),AR124&lt;=(C124+T124)),AR124,9E15),IF(AND(M124=0,ISNUMBER(AS124),AS124&lt;=(C124+T124)),AS124,9E15))),"BiP",IF(AND(AND(K124=0,ISNUMBER(AQ124),AQ124&lt;=(C124+T124)),AQ124=MIN(IF(AND(J124=0,ISNUMBER(AP124),AP124&lt;=(C124+T124)),AP124,9E15),IF(AND(K124=0,ISNUMBER(AQ124),AQ124&lt;=(C124+T124)),AQ124,9E15),IF(AND(L124=0,ISNUMBER(AR124),AR124&lt;=(C124+T124)),AR124,9E15),IF(AND(M124=0,ISNUMBER(AS124),AS124&lt;=(C124+T124)),AS124,9E15))),"PV",IF(AND(AND(L124=0,ISNUMBER(AR124),AR124&lt;=(C124+T124)),AR124=MIN(IF(AND(J124=0,ISNUMBER(AP124),AP124&lt;=(C124+T124)),AP124,9E15),IF(AND(K124=0,ISNUMBER(AQ124),AQ124&lt;=(C124+T124)),AQ124,9E15),IF(AND(L124=0,ISNUMBER(AR124),AR124&lt;=(C124+T124)),AR124,9E15),IF(AND(M124=0,ISNUMBER(AS124),AS124&lt;=(C124+T124)),AS124,9E15))),"OC","MG"))),IF(AX124=TRUE,"",IF(MAX(IF(AND(NOT(AND(AU124=1,AT124&lt;&gt;1)),ISNUMBER(AK124),AK124&lt;=(C124+T124)),AY124,0),IF(AND(NOT(AND(AU124=1,AT124&lt;&gt;1)),ISNUMBER(AL124),AL124&lt;=(C124+T124)),AZ124,0),IF(AND(NOT(AND(AU124=1,AT124&lt;&gt;1)),ISNUMBER(AM124),AM124&lt;=(C124+T124)),BA124,0),IF(AND(NOT(AND(AU124=1,AT124&lt;&gt;1)),ISNUMBER(AN124),AN124&lt;=(C124+T124)),BB124,0),IF(AND(ISNUMBER(AO124),AO124&lt;=(C124+T124)),BC124,0))&lt;=0,"",IF(AND(IF(AND(NOT(AND(AU124=1,AT124&lt;&gt;1)),ISNUMBER(AK124),AK124&lt;=(C124+T124)),AY124,0)&gt;0,IF(AND(NOT(AND(AU124=1,AT124&lt;&gt;1)),ISNUMBER(AK124),AK124&lt;=(C124+T124)),AY124,0)=MAX(IF(AND(NOT(AND(AU124=1,AT124&lt;&gt;1)),ISNUMBER(AK124),AK124&lt;=(C124+T124)),AY124,0),IF(AND(NOT(AND(AU124=1,AT124&lt;&gt;1)),ISNUMBER(AL124),AL124&lt;=(C124+T124)),AZ124,0),IF(AND(NOT(AND(AU124=1,AT124&lt;&gt;1)),ISNUMBER(AM124),AM124&lt;=(C124+T124)),BA124,0),IF(AND(NOT(AND(AU124=1,AT124&lt;&gt;1)),ISNUMBER(AN124),AN124&lt;=(C124+T124)),BB124,0),IF(AND(ISNUMBER(AO124),AO124&lt;=(C124+T124)),BC124,0))),"SK",IF(AND(IF(AND(NOT(AND(AU124=1,AT124&lt;&gt;1)),ISNUMBER(AL124),AL124&lt;=(C124+T124)),AZ124,0)&gt;0,IF(AND(NOT(AND(AU124=1,AT124&lt;&gt;1)),ISNUMBER(AL124),AL124&lt;=(C124+T124)),AZ124,0)=MAX(IF(AND(NOT(AND(AU124=1,AT124&lt;&gt;1)),ISNUMBER(AK124),AK124&lt;=(C124+T124)),AY124,0),IF(AND(NOT(AND(AU124=1,AT124&lt;&gt;1)),ISNUMBER(AL124),AL124&lt;=(C124+T124)),AZ124,0),IF(AND(NOT(AND(AU124=1,AT124&lt;&gt;1)),ISNUMBER(AM124),AM124&lt;=(C124+T124)),BA124,0),IF(AND(NOT(AND(AU124=1,AT124&lt;&gt;1)),ISNUMBER(AN124),AN124&lt;=(C124+T124)),BB124,0),IF(AND(ISNUMBER(AO124),AO124&lt;=(C124+T124)),BC124,0))),"LB",IF(AND(IF(AND(NOT(AND(AU124=1,AT124&lt;&gt;1)),ISNUMBER(AM124),AM124&lt;=(C124+T124)),BA124,0)&gt;0,IF(AND(NOT(AND(AU124=1,AT124&lt;&gt;1)),ISNUMBER(AM124),AM124&lt;=(C124+T124)),BA124,0)=MAX(IF(AND(NOT(AND(AU124=1,AT124&lt;&gt;1)),ISNUMBER(AK124),AK124&lt;=(C124+T124)),AY124,0),IF(AND(NOT(AND(AU124=1,AT124&lt;&gt;1)),ISNUMBER(AL124),AL124&lt;=(C124+T124)),AZ124,0),IF(AND(NOT(AND(AU124=1,AT124&lt;&gt;1)),ISNUMBER(AM124),AM124&lt;=(C124+T124)),BA124,0),IF(AND(NOT(AND(AU124=1,AT124&lt;&gt;1)),ISNUMBER(AN124),AN124&lt;=(C124+T124)),BB124,0),IF(AND(ISNUMBER(AO124),AO124&lt;=(C124+T124)),BC124,0))),"ML",IF(AND(IF(AND(NOT(AND(AU124=1,AT124&lt;&gt;1)),ISNUMBER(AN124),AN124&lt;=(C124+T124)),BB124,0)&gt;0,IF(AND(NOT(AND(AU124=1,AT124&lt;&gt;1)),ISNUMBER(AN124),AN124&lt;=(C124+T124)),BB124,0)=MAX(IF(AND(NOT(AND(AU124=1,AT124&lt;&gt;1)),ISNUMBER(AK124),AK124&lt;=(C124+T124)),AY124,0),IF(AND(NOT(AND(AU124=1,AT124&lt;&gt;1)),ISNUMBER(AL124),AL124&lt;=(C124+T124)),AZ124,0),IF(AND(NOT(AND(AU124=1,AT124&lt;&gt;1)),ISNUMBER(AM124),AM124&lt;=(C124+T124)),BA124,0),IF(AND(NOT(AND(AU124=1,AT124&lt;&gt;1)),ISNUMBER(AN124),AN124&lt;=(C124+T124)),BB124,0),IF(AND(ISNUMBER(AO124),AO124&lt;=(C124+T124)),BC124,0))),"RLO","BD"))))))))</f>
        <v/>
      </c>
    </row>
    <row r="125">
      <c r="A125" s="26" t="n">
        <v>114</v>
      </c>
      <c r="B125" s="27">
        <f>A125*10/60</f>
        <v/>
      </c>
      <c r="C125" s="22">
        <f>X124</f>
        <v/>
      </c>
      <c r="D125" s="27">
        <f>D124+W124</f>
        <v/>
      </c>
      <c r="E125" s="26">
        <f>E124+IF(U124="SK",1,0)</f>
        <v/>
      </c>
      <c r="F125" s="26">
        <f>F124+IF(U124="LB",1,0)</f>
        <v/>
      </c>
      <c r="G125" s="26">
        <f>G124+IF(U124="ML",1,0)</f>
        <v/>
      </c>
      <c r="H125" s="26">
        <f>H124+IF(U124="RLO",1,0)</f>
        <v/>
      </c>
      <c r="I125" s="26">
        <f>I124+IF(U124="BD",1,0)</f>
        <v/>
      </c>
      <c r="J125" s="26">
        <f>MAX(J124,IF(U124="BiP",1,0))</f>
        <v/>
      </c>
      <c r="K125" s="26">
        <f>MAX(K124,IF(U124="PV",1,0))</f>
        <v/>
      </c>
      <c r="L125" s="26">
        <f>MAX(L124,IF(U124="OC",1,0))</f>
        <v/>
      </c>
      <c r="M125" s="26">
        <f>MAX(M124,IF(U124="MG",1,0))</f>
        <v/>
      </c>
      <c r="N125" s="26">
        <f>MAX(N124,IF(U124="transition",1,0))</f>
        <v/>
      </c>
      <c r="O125" s="28">
        <f>(Parameters!$B$9+(IF(E125=0,0,(Upgrades!$J$13+E125*Upgrades!$K$13)*POWER(Upgrades!$L$13,E125)))*(IF(Upgrades!$T$14="Stellar Kinematics",POWER(Upgrades!$U$14,F125),1)*IF(Upgrades!$T$15="Stellar Kinematics",POWER(Upgrades!$U$15,G125),1)*IF(Upgrades!$T$16="Stellar Kinematics",POWER(Upgrades!$U$16,H125),1)*IF(Upgrades!$T$17="Stellar Kinematics",POWER(Upgrades!$U$17,I125),1)*IF(Upgrades!$T$18="Stellar Kinematics",POWER(Upgrades!$U$18,J125),1)*IF(Upgrades!$T$19="Stellar Kinematics",POWER(Upgrades!$U$19,K125),1)*IF(Upgrades!$T$20="Stellar Kinematics",POWER(Upgrades!$U$20,L125),1)*IF(Upgrades!$T$21="Stellar Kinematics",POWER(Upgrades!$U$21,M125),1))+(IF(F125=0,0,(Upgrades!$J$14+F125*Upgrades!$K$14)*POWER(Upgrades!$L$14,F125)))*(IF(Upgrades!$T$13="Local Bubble",POWER(Upgrades!$U$13,E125),1)*IF(Upgrades!$T$15="Local Bubble",POWER(Upgrades!$U$15,G125),1)*IF(Upgrades!$T$16="Local Bubble",POWER(Upgrades!$U$16,H125),1)*IF(Upgrades!$T$17="Local Bubble",POWER(Upgrades!$U$17,I125),1)*IF(Upgrades!$T$18="Local Bubble",POWER(Upgrades!$U$18,J125),1)*IF(Upgrades!$T$19="Local Bubble",POWER(Upgrades!$U$19,K125),1)*IF(Upgrades!$T$20="Local Bubble",POWER(Upgrades!$U$20,L125),1)*IF(Upgrades!$T$21="Local Bubble",POWER(Upgrades!$U$21,M125),1))+(IF(G125=0,0,(Upgrades!$J$15+G125*Upgrades!$K$15)*POWER(Upgrades!$L$15,G125)))*(IF(Upgrades!$T$13="Microlensing",POWER(Upgrades!$U$13,E125),1)*IF(Upgrades!$T$14="Microlensing",POWER(Upgrades!$U$14,F125),1)*IF(Upgrades!$T$16="Microlensing",POWER(Upgrades!$U$16,H125),1)*IF(Upgrades!$T$17="Microlensing",POWER(Upgrades!$U$17,I125),1)*IF(Upgrades!$T$18="Microlensing",POWER(Upgrades!$U$18,J125),1)*IF(Upgrades!$T$19="Microlensing",POWER(Upgrades!$U$19,K125),1)*IF(Upgrades!$T$20="Microlensing",POWER(Upgrades!$U$20,L125),1)*IF(Upgrades!$T$21="Microlensing",POWER(Upgrades!$U$21,M125),1))+(IF(H125=0,0,(Upgrades!$J$16+H125*Upgrades!$K$16)*POWER(Upgrades!$L$16,H125)))*(IF(Upgrades!$T$13="Roche Lobe Overflow",POWER(Upgrades!$U$13,E125),1)*IF(Upgrades!$T$14="Roche Lobe Overflow",POWER(Upgrades!$U$14,F125),1)*IF(Upgrades!$T$15="Roche Lobe Overflow",POWER(Upgrades!$U$15,G125),1)*IF(Upgrades!$T$17="Roche Lobe Overflow",POWER(Upgrades!$U$17,I125),1)*IF(Upgrades!$T$18="Roche Lobe Overflow",POWER(Upgrades!$U$18,J125),1)*IF(Upgrades!$T$19="Roche Lobe Overflow",POWER(Upgrades!$U$19,K125),1)*IF(Upgrades!$T$20="Roche Lobe Overflow",POWER(Upgrades!$U$20,L125),1)*IF(Upgrades!$T$21="Roche Lobe Overflow",POWER(Upgrades!$U$21,M125),1))+(IF(I125=0,0,(Upgrades!$J$17+I125*Upgrades!$K$17)*POWER(Upgrades!$L$17,I125)))*(IF(Upgrades!$T$13="Brown Dwarf",POWER(Upgrades!$U$13,E125),1)*IF(Upgrades!$T$14="Brown Dwarf",POWER(Upgrades!$U$14,F125),1)*IF(Upgrades!$T$15="Brown Dwarf",POWER(Upgrades!$U$15,G125),1)*IF(Upgrades!$T$16="Brown Dwarf",POWER(Upgrades!$U$16,H125),1)*IF(Upgrades!$T$18="Brown Dwarf",POWER(Upgrades!$U$18,J125),1)*IF(Upgrades!$T$19="Brown Dwarf",POWER(Upgrades!$U$19,K125),1)*IF(Upgrades!$T$20="Brown Dwarf",POWER(Upgrades!$U$20,L125),1)*IF(Upgrades!$T$21="Brown Dwarf",POWER(Upgrades!$U$21,M125),1))+(IF(J125=0,0,(Upgrades!$J$18+J125*Upgrades!$K$18)*POWER(Upgrades!$L$18,J125)))*(IF(Upgrades!$T$13="Binary Partner",POWER(Upgrades!$U$13,E125),1)*IF(Upgrades!$T$14="Binary Partner",POWER(Upgrades!$U$14,F125),1)*IF(Upgrades!$T$15="Binary Partner",POWER(Upgrades!$U$15,G125),1)*IF(Upgrades!$T$16="Binary Partner",POWER(Upgrades!$U$16,H125),1)*IF(Upgrades!$T$17="Binary Partner",POWER(Upgrades!$U$17,I125),1)*IF(Upgrades!$T$19="Binary Partner",POWER(Upgrades!$U$19,K125),1)*IF(Upgrades!$T$20="Binary Partner",POWER(Upgrades!$U$20,L125),1)*IF(Upgrades!$T$21="Binary Partner",POWER(Upgrades!$U$21,M125),1))+(IF(K125=0,0,(Upgrades!$J$19+K125*Upgrades!$K$19)*POWER(Upgrades!$L$19,K125)))*(IF(Upgrades!$T$13="Peculiar Velocity",POWER(Upgrades!$U$13,E125),1)*IF(Upgrades!$T$14="Peculiar Velocity",POWER(Upgrades!$U$14,F125),1)*IF(Upgrades!$T$15="Peculiar Velocity",POWER(Upgrades!$U$15,G125),1)*IF(Upgrades!$T$16="Peculiar Velocity",POWER(Upgrades!$U$16,H125),1)*IF(Upgrades!$T$17="Peculiar Velocity",POWER(Upgrades!$U$17,I125),1)*IF(Upgrades!$T$18="Peculiar Velocity",POWER(Upgrades!$U$18,J125),1)*IF(Upgrades!$T$20="Peculiar Velocity",POWER(Upgrades!$U$20,L125),1)*IF(Upgrades!$T$21="Peculiar Velocity",POWER(Upgrades!$U$21,M125),1))+(IF(L125=0,0,(Upgrades!$J$20+L125*Upgrades!$K$20)*POWER(Upgrades!$L$20,L125)))*(IF(Upgrades!$T$13="Open Cluster",POWER(Upgrades!$U$13,E125),1)*IF(Upgrades!$T$14="Open Cluster",POWER(Upgrades!$U$14,F125),1)*IF(Upgrades!$T$15="Open Cluster",POWER(Upgrades!$U$15,G125),1)*IF(Upgrades!$T$16="Open Cluster",POWER(Upgrades!$U$16,H125),1)*IF(Upgrades!$T$17="Open Cluster",POWER(Upgrades!$U$17,I125),1)*IF(Upgrades!$T$18="Open Cluster",POWER(Upgrades!$U$18,J125),1)*IF(Upgrades!$T$19="Open Cluster",POWER(Upgrades!$U$19,K125),1)*IF(Upgrades!$T$21="Open Cluster",POWER(Upgrades!$U$21,M125),1))+(IF(M125=0,0,(Upgrades!$J$21+M125*Upgrades!$K$21)*POWER(Upgrades!$L$21,M125)))*(IF(Upgrades!$T$13="Moving Group",POWER(Upgrades!$U$13,E125),1)*IF(Upgrades!$T$14="Moving Group",POWER(Upgrades!$U$14,F125),1)*IF(Upgrades!$T$15="Moving Group",POWER(Upgrades!$U$15,G125),1)*IF(Upgrades!$T$16="Moving Group",POWER(Upgrades!$U$16,H125),1)*IF(Upgrades!$T$17="Moving Group",POWER(Upgrades!$U$17,I125),1)*IF(Upgrades!$T$18="Moving Group",POWER(Upgrades!$U$18,J125),1)*IF(Upgrades!$T$19="Moving Group",POWER(Upgrades!$U$19,K125),1)*IF(Upgrades!$T$20="Moving Group",POWER(Upgrades!$U$20,L125),1)))*POWER(Upgrades!$Q$13,E125)*POWER(Upgrades!$Q$14,F125)*POWER(Upgrades!$Q$15,G125)*POWER(Upgrades!$Q$16,H125)*POWER(Upgrades!$Q$17,I125)*POWER(Upgrades!$Q$18,J125)*POWER(Upgrades!$Q$19,K125)*POWER(Upgrades!$Q$20,L125)*POWER(Upgrades!$Q$21,M125)*$G$6+$D$6</f>
        <v/>
      </c>
      <c r="P125" s="28">
        <f>((IF(E125=0,0,(Upgrades!$G$13+E125*Upgrades!$H$13)*POWER(Upgrades!$I$13,E125)))*(IF(Upgrades!$T$14="Stellar Kinematics",POWER(Upgrades!$U$14,F125),1)*IF(Upgrades!$T$15="Stellar Kinematics",POWER(Upgrades!$U$15,G125),1)*IF(Upgrades!$T$16="Stellar Kinematics",POWER(Upgrades!$U$16,H125),1)*IF(Upgrades!$T$17="Stellar Kinematics",POWER(Upgrades!$U$17,I125),1)*IF(Upgrades!$T$18="Stellar Kinematics",POWER(Upgrades!$U$18,J125),1)*IF(Upgrades!$T$19="Stellar Kinematics",POWER(Upgrades!$U$19,K125),1)*IF(Upgrades!$T$20="Stellar Kinematics",POWER(Upgrades!$U$20,L125),1)*IF(Upgrades!$T$21="Stellar Kinematics",POWER(Upgrades!$U$21,M125),1))+(IF(F125=0,0,(Upgrades!$G$14+F125*Upgrades!$H$14)*POWER(Upgrades!$I$14,F125)))*(IF(Upgrades!$T$13="Local Bubble",POWER(Upgrades!$U$13,E125),1)*IF(Upgrades!$T$15="Local Bubble",POWER(Upgrades!$U$15,G125),1)*IF(Upgrades!$T$16="Local Bubble",POWER(Upgrades!$U$16,H125),1)*IF(Upgrades!$T$17="Local Bubble",POWER(Upgrades!$U$17,I125),1)*IF(Upgrades!$T$18="Local Bubble",POWER(Upgrades!$U$18,J125),1)*IF(Upgrades!$T$19="Local Bubble",POWER(Upgrades!$U$19,K125),1)*IF(Upgrades!$T$20="Local Bubble",POWER(Upgrades!$U$20,L125),1)*IF(Upgrades!$T$21="Local Bubble",POWER(Upgrades!$U$21,M125),1))+(IF(G125=0,0,(Upgrades!$G$15+G125*Upgrades!$H$15)*POWER(Upgrades!$I$15,G125)))*(IF(Upgrades!$T$13="Microlensing",POWER(Upgrades!$U$13,E125),1)*IF(Upgrades!$T$14="Microlensing",POWER(Upgrades!$U$14,F125),1)*IF(Upgrades!$T$16="Microlensing",POWER(Upgrades!$U$16,H125),1)*IF(Upgrades!$T$17="Microlensing",POWER(Upgrades!$U$17,I125),1)*IF(Upgrades!$T$18="Microlensing",POWER(Upgrades!$U$18,J125),1)*IF(Upgrades!$T$19="Microlensing",POWER(Upgrades!$U$19,K125),1)*IF(Upgrades!$T$20="Microlensing",POWER(Upgrades!$U$20,L125),1)*IF(Upgrades!$T$21="Microlensing",POWER(Upgrades!$U$21,M125),1))+(IF(H125=0,0,(Upgrades!$G$16+H125*Upgrades!$H$16)*POWER(Upgrades!$I$16,H125)))*(IF(Upgrades!$T$13="Roche Lobe Overflow",POWER(Upgrades!$U$13,E125),1)*IF(Upgrades!$T$14="Roche Lobe Overflow",POWER(Upgrades!$U$14,F125),1)*IF(Upgrades!$T$15="Roche Lobe Overflow",POWER(Upgrades!$U$15,G125),1)*IF(Upgrades!$T$17="Roche Lobe Overflow",POWER(Upgrades!$U$17,I125),1)*IF(Upgrades!$T$18="Roche Lobe Overflow",POWER(Upgrades!$U$18,J125),1)*IF(Upgrades!$T$19="Roche Lobe Overflow",POWER(Upgrades!$U$19,K125),1)*IF(Upgrades!$T$20="Roche Lobe Overflow",POWER(Upgrades!$U$20,L125),1)*IF(Upgrades!$T$21="Roche Lobe Overflow",POWER(Upgrades!$U$21,M125),1))+(IF(I125=0,0,(Upgrades!$G$17+I125*Upgrades!$H$17)*POWER(Upgrades!$I$17,I125)))*(IF(Upgrades!$T$13="Brown Dwarf",POWER(Upgrades!$U$13,E125),1)*IF(Upgrades!$T$14="Brown Dwarf",POWER(Upgrades!$U$14,F125),1)*IF(Upgrades!$T$15="Brown Dwarf",POWER(Upgrades!$U$15,G125),1)*IF(Upgrades!$T$16="Brown Dwarf",POWER(Upgrades!$U$16,H125),1)*IF(Upgrades!$T$18="Brown Dwarf",POWER(Upgrades!$U$18,J125),1)*IF(Upgrades!$T$19="Brown Dwarf",POWER(Upgrades!$U$19,K125),1)*IF(Upgrades!$T$20="Brown Dwarf",POWER(Upgrades!$U$20,L125),1)*IF(Upgrades!$T$21="Brown Dwarf",POWER(Upgrades!$U$21,M125),1))+(IF(J125=0,0,(Upgrades!$G$18+J125*Upgrades!$H$18)*POWER(Upgrades!$I$18,J125)))*(IF(Upgrades!$T$13="Binary Partner",POWER(Upgrades!$U$13,E125),1)*IF(Upgrades!$T$14="Binary Partner",POWER(Upgrades!$U$14,F125),1)*IF(Upgrades!$T$15="Binary Partner",POWER(Upgrades!$U$15,G125),1)*IF(Upgrades!$T$16="Binary Partner",POWER(Upgrades!$U$16,H125),1)*IF(Upgrades!$T$17="Binary Partner",POWER(Upgrades!$U$17,I125),1)*IF(Upgrades!$T$19="Binary Partner",POWER(Upgrades!$U$19,K125),1)*IF(Upgrades!$T$20="Binary Partner",POWER(Upgrades!$U$20,L125),1)*IF(Upgrades!$T$21="Binary Partner",POWER(Upgrades!$U$21,M125),1))+(IF(K125=0,0,(Upgrades!$G$19+K125*Upgrades!$H$19)*POWER(Upgrades!$I$19,K125)))*(IF(Upgrades!$T$13="Peculiar Velocity",POWER(Upgrades!$U$13,E125),1)*IF(Upgrades!$T$14="Peculiar Velocity",POWER(Upgrades!$U$14,F125),1)*IF(Upgrades!$T$15="Peculiar Velocity",POWER(Upgrades!$U$15,G125),1)*IF(Upgrades!$T$16="Peculiar Velocity",POWER(Upgrades!$U$16,H125),1)*IF(Upgrades!$T$17="Peculiar Velocity",POWER(Upgrades!$U$17,I125),1)*IF(Upgrades!$T$18="Peculiar Velocity",POWER(Upgrades!$U$18,J125),1)*IF(Upgrades!$T$20="Peculiar Velocity",POWER(Upgrades!$U$20,L125),1)*IF(Upgrades!$T$21="Peculiar Velocity",POWER(Upgrades!$U$21,M125),1))+(IF(L125=0,0,(Upgrades!$G$20+L125*Upgrades!$H$20)*POWER(Upgrades!$I$20,L125)))*(IF(Upgrades!$T$13="Open Cluster",POWER(Upgrades!$U$13,E125),1)*IF(Upgrades!$T$14="Open Cluster",POWER(Upgrades!$U$14,F125),1)*IF(Upgrades!$T$15="Open Cluster",POWER(Upgrades!$U$15,G125),1)*IF(Upgrades!$T$16="Open Cluster",POWER(Upgrades!$U$16,H125),1)*IF(Upgrades!$T$17="Open Cluster",POWER(Upgrades!$U$17,I125),1)*IF(Upgrades!$T$18="Open Cluster",POWER(Upgrades!$U$18,J125),1)*IF(Upgrades!$T$19="Open Cluster",POWER(Upgrades!$U$19,K125),1)*IF(Upgrades!$T$21="Open Cluster",POWER(Upgrades!$U$21,M125),1))+(IF(M125=0,0,(Upgrades!$G$21+M125*Upgrades!$H$21)*POWER(Upgrades!$I$21,M125)))*(IF(Upgrades!$T$13="Moving Group",POWER(Upgrades!$U$13,E125),1)*IF(Upgrades!$T$14="Moving Group",POWER(Upgrades!$U$14,F125),1)*IF(Upgrades!$T$15="Moving Group",POWER(Upgrades!$U$15,G125),1)*IF(Upgrades!$T$16="Moving Group",POWER(Upgrades!$U$16,H125),1)*IF(Upgrades!$T$17="Moving Group",POWER(Upgrades!$U$17,I125),1)*IF(Upgrades!$T$18="Moving Group",POWER(Upgrades!$U$18,J125),1)*IF(Upgrades!$T$19="Moving Group",POWER(Upgrades!$U$19,K125),1)*IF(Upgrades!$T$20="Moving Group",POWER(Upgrades!$U$20,L125),1)))*POWER(Upgrades!$P$13,E125)*POWER(Upgrades!$P$14,F125)*POWER(Upgrades!$P$15,G125)*POWER(Upgrades!$P$16,H125)*POWER(Upgrades!$P$17,I125)*POWER(Upgrades!$P$18,J125)*POWER(Upgrades!$P$19,K125)*POWER(Upgrades!$P$20,L125)*POWER(Upgrades!$P$21,M125)*$F$6+$C$6</f>
        <v/>
      </c>
      <c r="Q125" s="28">
        <f>((IF(E125=0,0,(Upgrades!$M$13+E125*Upgrades!$N$13)*POWER(Upgrades!$O$13,E125)))*(IF(Upgrades!$T$14="Stellar Kinematics",POWER(Upgrades!$U$14,F125),1)*IF(Upgrades!$T$15="Stellar Kinematics",POWER(Upgrades!$U$15,G125),1)*IF(Upgrades!$T$16="Stellar Kinematics",POWER(Upgrades!$U$16,H125),1)*IF(Upgrades!$T$17="Stellar Kinematics",POWER(Upgrades!$U$17,I125),1)*IF(Upgrades!$T$18="Stellar Kinematics",POWER(Upgrades!$U$18,J125),1)*IF(Upgrades!$T$19="Stellar Kinematics",POWER(Upgrades!$U$19,K125),1)*IF(Upgrades!$T$20="Stellar Kinematics",POWER(Upgrades!$U$20,L125),1)*IF(Upgrades!$T$21="Stellar Kinematics",POWER(Upgrades!$U$21,M125),1))+(IF(F125=0,0,(Upgrades!$M$14+F125*Upgrades!$N$14)*POWER(Upgrades!$O$14,F125)))*(IF(Upgrades!$T$13="Local Bubble",POWER(Upgrades!$U$13,E125),1)*IF(Upgrades!$T$15="Local Bubble",POWER(Upgrades!$U$15,G125),1)*IF(Upgrades!$T$16="Local Bubble",POWER(Upgrades!$U$16,H125),1)*IF(Upgrades!$T$17="Local Bubble",POWER(Upgrades!$U$17,I125),1)*IF(Upgrades!$T$18="Local Bubble",POWER(Upgrades!$U$18,J125),1)*IF(Upgrades!$T$19="Local Bubble",POWER(Upgrades!$U$19,K125),1)*IF(Upgrades!$T$20="Local Bubble",POWER(Upgrades!$U$20,L125),1)*IF(Upgrades!$T$21="Local Bubble",POWER(Upgrades!$U$21,M125),1))+(IF(G125=0,0,(Upgrades!$M$15+G125*Upgrades!$N$15)*POWER(Upgrades!$O$15,G125)))*(IF(Upgrades!$T$13="Microlensing",POWER(Upgrades!$U$13,E125),1)*IF(Upgrades!$T$14="Microlensing",POWER(Upgrades!$U$14,F125),1)*IF(Upgrades!$T$16="Microlensing",POWER(Upgrades!$U$16,H125),1)*IF(Upgrades!$T$17="Microlensing",POWER(Upgrades!$U$17,I125),1)*IF(Upgrades!$T$18="Microlensing",POWER(Upgrades!$U$18,J125),1)*IF(Upgrades!$T$19="Microlensing",POWER(Upgrades!$U$19,K125),1)*IF(Upgrades!$T$20="Microlensing",POWER(Upgrades!$U$20,L125),1)*IF(Upgrades!$T$21="Microlensing",POWER(Upgrades!$U$21,M125),1))+(IF(H125=0,0,(Upgrades!$M$16+H125*Upgrades!$N$16)*POWER(Upgrades!$O$16,H125)))*(IF(Upgrades!$T$13="Roche Lobe Overflow",POWER(Upgrades!$U$13,E125),1)*IF(Upgrades!$T$14="Roche Lobe Overflow",POWER(Upgrades!$U$14,F125),1)*IF(Upgrades!$T$15="Roche Lobe Overflow",POWER(Upgrades!$U$15,G125),1)*IF(Upgrades!$T$17="Roche Lobe Overflow",POWER(Upgrades!$U$17,I125),1)*IF(Upgrades!$T$18="Roche Lobe Overflow",POWER(Upgrades!$U$18,J125),1)*IF(Upgrades!$T$19="Roche Lobe Overflow",POWER(Upgrades!$U$19,K125),1)*IF(Upgrades!$T$20="Roche Lobe Overflow",POWER(Upgrades!$U$20,L125),1)*IF(Upgrades!$T$21="Roche Lobe Overflow",POWER(Upgrades!$U$21,M125),1))+(IF(I125=0,0,(Upgrades!$M$17+I125*Upgrades!$N$17)*POWER(Upgrades!$O$17,I125)))*(IF(Upgrades!$T$13="Brown Dwarf",POWER(Upgrades!$U$13,E125),1)*IF(Upgrades!$T$14="Brown Dwarf",POWER(Upgrades!$U$14,F125),1)*IF(Upgrades!$T$15="Brown Dwarf",POWER(Upgrades!$U$15,G125),1)*IF(Upgrades!$T$16="Brown Dwarf",POWER(Upgrades!$U$16,H125),1)*IF(Upgrades!$T$18="Brown Dwarf",POWER(Upgrades!$U$18,J125),1)*IF(Upgrades!$T$19="Brown Dwarf",POWER(Upgrades!$U$19,K125),1)*IF(Upgrades!$T$20="Brown Dwarf",POWER(Upgrades!$U$20,L125),1)*IF(Upgrades!$T$21="Brown Dwarf",POWER(Upgrades!$U$21,M125),1))+(IF(J125=0,0,(Upgrades!$M$18+J125*Upgrades!$N$18)*POWER(Upgrades!$O$18,J125)))*(IF(Upgrades!$T$13="Binary Partner",POWER(Upgrades!$U$13,E125),1)*IF(Upgrades!$T$14="Binary Partner",POWER(Upgrades!$U$14,F125),1)*IF(Upgrades!$T$15="Binary Partner",POWER(Upgrades!$U$15,G125),1)*IF(Upgrades!$T$16="Binary Partner",POWER(Upgrades!$U$16,H125),1)*IF(Upgrades!$T$17="Binary Partner",POWER(Upgrades!$U$17,I125),1)*IF(Upgrades!$T$19="Binary Partner",POWER(Upgrades!$U$19,K125),1)*IF(Upgrades!$T$20="Binary Partner",POWER(Upgrades!$U$20,L125),1)*IF(Upgrades!$T$21="Binary Partner",POWER(Upgrades!$U$21,M125),1))+(IF(K125=0,0,(Upgrades!$M$19+K125*Upgrades!$N$19)*POWER(Upgrades!$O$19,K125)))*(IF(Upgrades!$T$13="Peculiar Velocity",POWER(Upgrades!$U$13,E125),1)*IF(Upgrades!$T$14="Peculiar Velocity",POWER(Upgrades!$U$14,F125),1)*IF(Upgrades!$T$15="Peculiar Velocity",POWER(Upgrades!$U$15,G125),1)*IF(Upgrades!$T$16="Peculiar Velocity",POWER(Upgrades!$U$16,H125),1)*IF(Upgrades!$T$17="Peculiar Velocity",POWER(Upgrades!$U$17,I125),1)*IF(Upgrades!$T$18="Peculiar Velocity",POWER(Upgrades!$U$18,J125),1)*IF(Upgrades!$T$20="Peculiar Velocity",POWER(Upgrades!$U$20,L125),1)*IF(Upgrades!$T$21="Peculiar Velocity",POWER(Upgrades!$U$21,M125),1))+(IF(L125=0,0,(Upgrades!$M$20+L125*Upgrades!$N$20)*POWER(Upgrades!$O$20,L125)))*(IF(Upgrades!$T$13="Open Cluster",POWER(Upgrades!$U$13,E125),1)*IF(Upgrades!$T$14="Open Cluster",POWER(Upgrades!$U$14,F125),1)*IF(Upgrades!$T$15="Open Cluster",POWER(Upgrades!$U$15,G125),1)*IF(Upgrades!$T$16="Open Cluster",POWER(Upgrades!$U$16,H125),1)*IF(Upgrades!$T$17="Open Cluster",POWER(Upgrades!$U$17,I125),1)*IF(Upgrades!$T$18="Open Cluster",POWER(Upgrades!$U$18,J125),1)*IF(Upgrades!$T$19="Open Cluster",POWER(Upgrades!$U$19,K125),1)*IF(Upgrades!$T$21="Open Cluster",POWER(Upgrades!$U$21,M125),1))+(IF(M125=0,0,(Upgrades!$M$21+M125*Upgrades!$N$21)*POWER(Upgrades!$O$21,M125)))*(IF(Upgrades!$T$13="Moving Group",POWER(Upgrades!$U$13,E125),1)*IF(Upgrades!$T$14="Moving Group",POWER(Upgrades!$U$14,F125),1)*IF(Upgrades!$T$15="Moving Group",POWER(Upgrades!$U$15,G125),1)*IF(Upgrades!$T$16="Moving Group",POWER(Upgrades!$U$16,H125),1)*IF(Upgrades!$T$17="Moving Group",POWER(Upgrades!$U$17,I125),1)*IF(Upgrades!$T$18="Moving Group",POWER(Upgrades!$U$18,J125),1)*IF(Upgrades!$T$19="Moving Group",POWER(Upgrades!$U$19,K125),1)*IF(Upgrades!$T$20="Moving Group",POWER(Upgrades!$U$20,L125),1)))*POWER(Upgrades!$R$13,E125)*POWER(Upgrades!$R$14,F125)*POWER(Upgrades!$R$15,G125)*POWER(Upgrades!$R$16,H125)*POWER(Upgrades!$R$17,I125)*POWER(Upgrades!$R$18,J125)*POWER(Upgrades!$R$19,K125)*POWER(Upgrades!$R$20,L125)*POWER(Upgrades!$R$21,M125)*$H$6+$E$6</f>
        <v/>
      </c>
      <c r="R125" s="27">
        <f>IF(N125=1,0,O125*Parameters!$B$10/60*Parameters!$B$11*10)</f>
        <v/>
      </c>
      <c r="S125" s="27">
        <f>IF(N125=1,0,Q125*O125*10)</f>
        <v/>
      </c>
      <c r="T125" s="27">
        <f>IF(N125=1,0,R125+S125+P125*10)</f>
        <v/>
      </c>
      <c r="U125" s="33">
        <f>BE125</f>
        <v/>
      </c>
      <c r="V125" s="22">
        <f>IF(U125="",0,IF(U125="transition",0,IF(U125="SK",AK125,IF(U125="LB",AL125,IF(U125="ML",AM125,IF(U125="RLO",AN125,IF(U125="BD",AO125,IF(U125="BiP",AP125,IF(U125="PV",AQ125,IF(U125="OC",AR125,IF(U125="MG",AS125,0))))))))))</f>
        <v/>
      </c>
      <c r="W125" s="27">
        <f>IF(U125="BiP",Upgrades!$F$18,IF(U125="PV",Upgrades!$F$19,IF(U125="OC",Upgrades!$F$20,IF(U125="MG",Upgrades!$F$21,IF(U125="transition",-Parameters!$B$18*Parameters!$B$19,0)))))</f>
        <v/>
      </c>
      <c r="X125" s="22">
        <f>C125+T125-V125</f>
        <v/>
      </c>
      <c r="Y125" s="30">
        <f>O125*Parameters!$B$10/60*Parameters!$B$11+Q125*O125+P125</f>
        <v/>
      </c>
      <c r="Z125" s="34">
        <f>IF(U125="transition","→ Tier 3 (Galactic Arm)",IF(U125="MG","Moving Group — pocket drifts together",IF(U125="OC","Open Cluster acquired",IF(U125="PV","Peculiar Velocity — passive multiplier active",IF(U125="BiP","Binary Partner — pair bond formed",IF(AND(AU125=1,N125=0,AT125&lt;&gt;1),"Cohesion ready (waiting on completionists)","")))))) </f>
        <v/>
      </c>
      <c r="AA125" s="27">
        <f>(IF(E125=0,0,(Upgrades!$G$13+E125*Upgrades!$H$13)*POWER(Upgrades!$I$13,E125)))*(IF(Upgrades!$T$14="Stellar Kinematics",POWER(Upgrades!$U$14,F125),1)*IF(Upgrades!$T$15="Stellar Kinematics",POWER(Upgrades!$U$15,G125),1)*IF(Upgrades!$T$16="Stellar Kinematics",POWER(Upgrades!$U$16,H125),1)*IF(Upgrades!$T$17="Stellar Kinematics",POWER(Upgrades!$U$17,I125),1)*IF(Upgrades!$T$18="Stellar Kinematics",POWER(Upgrades!$U$18,J125),1)*IF(Upgrades!$T$19="Stellar Kinematics",POWER(Upgrades!$U$19,K125),1)*IF(Upgrades!$T$20="Stellar Kinematics",POWER(Upgrades!$U$20,L125),1)*IF(Upgrades!$T$21="Stellar Kinematics",POWER(Upgrades!$U$21,M125),1))*POWER(Upgrades!$P$13,E125)*POWER(Upgrades!$P$14,F125)*POWER(Upgrades!$P$15,G125)*POWER(Upgrades!$P$16,H125)*POWER(Upgrades!$P$17,I125)*POWER(Upgrades!$P$18,J125)*POWER(Upgrades!$P$19,K125)*POWER(Upgrades!$P$20,L125)*POWER(Upgrades!$P$21,M125)*$F$6*60</f>
        <v/>
      </c>
      <c r="AB125" s="27">
        <f>(IF(F125=0,0,(Upgrades!$G$14+F125*Upgrades!$H$14)*POWER(Upgrades!$I$14,F125)))*(IF(Upgrades!$T$13="Local Bubble",POWER(Upgrades!$U$13,E125),1)*IF(Upgrades!$T$15="Local Bubble",POWER(Upgrades!$U$15,G125),1)*IF(Upgrades!$T$16="Local Bubble",POWER(Upgrades!$U$16,H125),1)*IF(Upgrades!$T$17="Local Bubble",POWER(Upgrades!$U$17,I125),1)*IF(Upgrades!$T$18="Local Bubble",POWER(Upgrades!$U$18,J125),1)*IF(Upgrades!$T$19="Local Bubble",POWER(Upgrades!$U$19,K125),1)*IF(Upgrades!$T$20="Local Bubble",POWER(Upgrades!$U$20,L125),1)*IF(Upgrades!$T$21="Local Bubble",POWER(Upgrades!$U$21,M125),1))*POWER(Upgrades!$P$13,E125)*POWER(Upgrades!$P$14,F125)*POWER(Upgrades!$P$15,G125)*POWER(Upgrades!$P$16,H125)*POWER(Upgrades!$P$17,I125)*POWER(Upgrades!$P$18,J125)*POWER(Upgrades!$P$19,K125)*POWER(Upgrades!$P$20,L125)*POWER(Upgrades!$P$21,M125)*$F$6*60</f>
        <v/>
      </c>
      <c r="AC125" s="27">
        <f>(IF(G125=0,0,(Upgrades!$J$15+G125*Upgrades!$K$15)*POWER(Upgrades!$L$15,G125)))*(IF(Upgrades!$T$13="Microlensing",POWER(Upgrades!$U$13,E125),1)*IF(Upgrades!$T$14="Microlensing",POWER(Upgrades!$U$14,F125),1)*IF(Upgrades!$T$16="Microlensing",POWER(Upgrades!$U$16,H125),1)*IF(Upgrades!$T$17="Microlensing",POWER(Upgrades!$U$17,I125),1)*IF(Upgrades!$T$18="Microlensing",POWER(Upgrades!$U$18,J125),1)*IF(Upgrades!$T$19="Microlensing",POWER(Upgrades!$U$19,K125),1)*IF(Upgrades!$T$20="Microlensing",POWER(Upgrades!$U$20,L125),1)*IF(Upgrades!$T$21="Microlensing",POWER(Upgrades!$U$21,M125),1))*POWER(Upgrades!$Q$13,E125)*POWER(Upgrades!$Q$14,F125)*POWER(Upgrades!$Q$15,G125)*POWER(Upgrades!$Q$16,H125)*POWER(Upgrades!$Q$17,I125)*POWER(Upgrades!$Q$18,J125)*POWER(Upgrades!$Q$19,K125)*POWER(Upgrades!$Q$20,L125)*POWER(Upgrades!$Q$21,M125)*$G$6*(Parameters!$B$10*Parameters!$B$11+Q125*60)</f>
        <v/>
      </c>
      <c r="AD125" s="27">
        <f>(IF(H125=0,0,(Upgrades!$M$16+H125*Upgrades!$N$16)*POWER(Upgrades!$O$16,H125)))*(IF(Upgrades!$T$13="Roche Lobe Overflow",POWER(Upgrades!$U$13,E125),1)*IF(Upgrades!$T$14="Roche Lobe Overflow",POWER(Upgrades!$U$14,F125),1)*IF(Upgrades!$T$15="Roche Lobe Overflow",POWER(Upgrades!$U$15,G125),1)*IF(Upgrades!$T$17="Roche Lobe Overflow",POWER(Upgrades!$U$17,I125),1)*IF(Upgrades!$T$18="Roche Lobe Overflow",POWER(Upgrades!$U$18,J125),1)*IF(Upgrades!$T$19="Roche Lobe Overflow",POWER(Upgrades!$U$19,K125),1)*IF(Upgrades!$T$20="Roche Lobe Overflow",POWER(Upgrades!$U$20,L125),1)*IF(Upgrades!$T$21="Roche Lobe Overflow",POWER(Upgrades!$U$21,M125),1))*POWER(Upgrades!$R$13,E125)*POWER(Upgrades!$R$14,F125)*POWER(Upgrades!$R$15,G125)*POWER(Upgrades!$R$16,H125)*POWER(Upgrades!$R$17,I125)*POWER(Upgrades!$R$18,J125)*POWER(Upgrades!$R$19,K125)*POWER(Upgrades!$R$20,L125)*POWER(Upgrades!$R$21,M125)*$H$6*O125*60</f>
        <v/>
      </c>
      <c r="AE125" s="27">
        <f>(IF(I125=0,0,(Upgrades!$G$17+I125*Upgrades!$H$17)*POWER(Upgrades!$I$17,I125)))*(IF(Upgrades!$T$13="Brown Dwarf",POWER(Upgrades!$U$13,E125),1)*IF(Upgrades!$T$14="Brown Dwarf",POWER(Upgrades!$U$14,F125),1)*IF(Upgrades!$T$15="Brown Dwarf",POWER(Upgrades!$U$15,G125),1)*IF(Upgrades!$T$16="Brown Dwarf",POWER(Upgrades!$U$16,H125),1)*IF(Upgrades!$T$18="Brown Dwarf",POWER(Upgrades!$U$18,J125),1)*IF(Upgrades!$T$19="Brown Dwarf",POWER(Upgrades!$U$19,K125),1)*IF(Upgrades!$T$20="Brown Dwarf",POWER(Upgrades!$U$20,L125),1)*IF(Upgrades!$T$21="Brown Dwarf",POWER(Upgrades!$U$21,M125),1))*POWER(Upgrades!$P$13,E125)*POWER(Upgrades!$P$14,F125)*POWER(Upgrades!$P$15,G125)*POWER(Upgrades!$P$16,H125)*POWER(Upgrades!$P$17,I125)*POWER(Upgrades!$P$18,J125)*POWER(Upgrades!$P$19,K125)*POWER(Upgrades!$P$20,L125)*POWER(Upgrades!$P$21,M125)*$F$6*60</f>
        <v/>
      </c>
      <c r="AF125" s="27" t="n">
        <v>0</v>
      </c>
      <c r="AG125" s="27" t="n">
        <v>0</v>
      </c>
      <c r="AH125" s="27" t="n">
        <v>0</v>
      </c>
      <c r="AI125" s="27">
        <f>(IF(M125=0,0,(Upgrades!$G$21+M125*Upgrades!$H$21)*POWER(Upgrades!$I$21,M125)))*(IF(Upgrades!$T$13="Moving Group",POWER(Upgrades!$U$13,E125),1)*IF(Upgrades!$T$14="Moving Group",POWER(Upgrades!$U$14,F125),1)*IF(Upgrades!$T$15="Moving Group",POWER(Upgrades!$U$15,G125),1)*IF(Upgrades!$T$16="Moving Group",POWER(Upgrades!$U$16,H125),1)*IF(Upgrades!$T$17="Moving Group",POWER(Upgrades!$U$17,I125),1)*IF(Upgrades!$T$18="Moving Group",POWER(Upgrades!$U$18,J125),1)*IF(Upgrades!$T$19="Moving Group",POWER(Upgrades!$U$19,K125),1)*IF(Upgrades!$T$20="Moving Group",POWER(Upgrades!$U$20,L125),1))*POWER(Upgrades!$P$13,E125)*POWER(Upgrades!$P$14,F125)*POWER(Upgrades!$P$15,G125)*POWER(Upgrades!$P$16,H125)*POWER(Upgrades!$P$17,I125)*POWER(Upgrades!$P$18,J125)*POWER(Upgrades!$P$19,K125)*POWER(Upgrades!$P$20,L125)*POWER(Upgrades!$P$21,M125)*$F$6*60</f>
        <v/>
      </c>
      <c r="AJ125" s="27">
        <f>$C$6*60</f>
        <v/>
      </c>
      <c r="AK125" s="22">
        <f>IF(E125&gt;=Upgrades!$E$13,"",Upgrades!$C$13*POWER(Upgrades!$D$13,E125))</f>
        <v/>
      </c>
      <c r="AL125" s="22">
        <f>IF(F125&gt;=Upgrades!$E$14,"",Upgrades!$C$14*POWER(Upgrades!$D$14,F125))</f>
        <v/>
      </c>
      <c r="AM125" s="22">
        <f>IF(G125&gt;=Upgrades!$E$15,"",Upgrades!$C$15*POWER(Upgrades!$D$15,G125))</f>
        <v/>
      </c>
      <c r="AN125" s="22">
        <f>IF(H125&gt;=Upgrades!$E$16,"",Upgrades!$C$16*POWER(Upgrades!$D$16,H125))</f>
        <v/>
      </c>
      <c r="AO125" s="22">
        <f>IF(I125&gt;=Upgrades!$E$17,"",Upgrades!$C$17*POWER(Upgrades!$D$17,I125))</f>
        <v/>
      </c>
      <c r="AP125" s="22">
        <f>IF(J125&gt;=Upgrades!$E$18,"",Upgrades!$C$18*POWER(Upgrades!$D$18,J125))</f>
        <v/>
      </c>
      <c r="AQ125" s="22">
        <f>IF(K125&gt;=Upgrades!$E$19,"",Upgrades!$C$19*POWER(Upgrades!$D$19,K125))</f>
        <v/>
      </c>
      <c r="AR125" s="22">
        <f>IF(L125&gt;=Upgrades!$E$20,"",Upgrades!$C$20*POWER(Upgrades!$D$20,L125))</f>
        <v/>
      </c>
      <c r="AS125" s="22">
        <f>IF(M125&gt;=Upgrades!$E$21,"",Upgrades!$C$21*POWER(Upgrades!$D$21,M125))</f>
        <v/>
      </c>
      <c r="AT125" s="26">
        <f>IF(AND(D125&gt;=Parameters!$B$18*Parameters!$B$19,(I125&gt;=Upgrades!$E$17)*(M125&gt;=Upgrades!$E$21)=1,N125=0),1,"")</f>
        <v/>
      </c>
      <c r="AU125" s="26">
        <f>IF(AND(D125&gt;=Parameters!$B$18*Parameters!$B$19,N125=0),1,"")</f>
        <v/>
      </c>
      <c r="AV125" s="22">
        <f>MIN(IF(ISNUMBER(AP125),AP125,9E15),IF(ISNUMBER(AQ125),AQ125,9E15),IF(ISNUMBER(AR125),AR125,9E15),IF(ISNUMBER(AS125),AS125,9E15))</f>
        <v/>
      </c>
      <c r="AW125" s="22">
        <f>MIN(IF(ISNUMBER(AK125),AK125,9E15),IF(ISNUMBER(AL125),AL125,9E15),IF(ISNUMBER(AM125),AM125,9E15),IF(ISNUMBER(AN125),AN125,9E15),IF(ISNUMBER(AO125),AO125,9E15))</f>
        <v/>
      </c>
      <c r="AX125" s="29">
        <f>IF(BD125&gt;Parameters!$B$21*(MAX(IF(AND(NOT(AND(AU125=1,AT125&lt;&gt;1)),ISNUMBER(AK125),AK125&lt;=(C125+T125)),AY125,0),IF(AND(NOT(AND(AU125=1,AT125&lt;&gt;1)),ISNUMBER(AL125),AL125&lt;=(C125+T125)),AZ125,0),IF(AND(NOT(AND(AU125=1,AT125&lt;&gt;1)),ISNUMBER(AM125),AM125&lt;=(C125+T125)),BA125,0),IF(AND(NOT(AND(AU125=1,AT125&lt;&gt;1)),ISNUMBER(AN125),AN125&lt;=(C125+T125)),BB125,0),IF(AND(ISNUMBER(AO125),AO125&lt;=(C125+T125)),BC125,0))),TRUE,FALSE)</f>
        <v/>
      </c>
      <c r="AY125" s="32">
        <f>IFERROR(Upgrades!$H$13*(POWER(Upgrades!$P$13,E125)*POWER(Upgrades!$P$14,F125)*POWER(Upgrades!$P$15,G125)*POWER(Upgrades!$P$16,H125)*POWER(Upgrades!$P$17,I125)*POWER(Upgrades!$P$18,J125)*POWER(Upgrades!$P$19,K125)*POWER(Upgrades!$P$20,L125)*POWER(Upgrades!$P$21,M125))*(IF(Upgrades!$T$14="Stellar Kinematics",POWER(Upgrades!$U$14,F125),1)*IF(Upgrades!$T$15="Stellar Kinematics",POWER(Upgrades!$U$15,G125),1)*IF(Upgrades!$T$16="Stellar Kinematics",POWER(Upgrades!$U$16,H125),1)*IF(Upgrades!$T$17="Stellar Kinematics",POWER(Upgrades!$U$17,I125),1)*IF(Upgrades!$T$18="Stellar Kinematics",POWER(Upgrades!$U$18,J125),1)*IF(Upgrades!$T$19="Stellar Kinematics",POWER(Upgrades!$U$19,K125),1)*IF(Upgrades!$T$20="Stellar Kinematics",POWER(Upgrades!$U$20,L125),1)*IF(Upgrades!$T$21="Stellar Kinematics",POWER(Upgrades!$U$21,M125),1))*$F$6/AK125,0)</f>
        <v/>
      </c>
      <c r="AZ125" s="32">
        <f>IFERROR(Upgrades!$H$14*(POWER(Upgrades!$P$13,E125)*POWER(Upgrades!$P$14,F125)*POWER(Upgrades!$P$15,G125)*POWER(Upgrades!$P$16,H125)*POWER(Upgrades!$P$17,I125)*POWER(Upgrades!$P$18,J125)*POWER(Upgrades!$P$19,K125)*POWER(Upgrades!$P$20,L125)*POWER(Upgrades!$P$21,M125))*(IF(Upgrades!$T$13="Local Bubble",POWER(Upgrades!$U$13,E125),1)*IF(Upgrades!$T$15="Local Bubble",POWER(Upgrades!$U$15,G125),1)*IF(Upgrades!$T$16="Local Bubble",POWER(Upgrades!$U$16,H125),1)*IF(Upgrades!$T$17="Local Bubble",POWER(Upgrades!$U$17,I125),1)*IF(Upgrades!$T$18="Local Bubble",POWER(Upgrades!$U$18,J125),1)*IF(Upgrades!$T$19="Local Bubble",POWER(Upgrades!$U$19,K125),1)*IF(Upgrades!$T$20="Local Bubble",POWER(Upgrades!$U$20,L125),1)*IF(Upgrades!$T$21="Local Bubble",POWER(Upgrades!$U$21,M125),1))*$F$6/AL125,0)</f>
        <v/>
      </c>
      <c r="BA125" s="32">
        <f>IFERROR(Upgrades!$K$15*(POWER(Upgrades!$Q$13,E125)*POWER(Upgrades!$Q$14,F125)*POWER(Upgrades!$Q$15,G125)*POWER(Upgrades!$Q$16,H125)*POWER(Upgrades!$Q$17,I125)*POWER(Upgrades!$Q$18,J125)*POWER(Upgrades!$Q$19,K125)*POWER(Upgrades!$Q$20,L125)*POWER(Upgrades!$Q$21,M125))*(IF(Upgrades!$T$13="Microlensing",POWER(Upgrades!$U$13,E125),1)*IF(Upgrades!$T$14="Microlensing",POWER(Upgrades!$U$14,F125),1)*IF(Upgrades!$T$16="Microlensing",POWER(Upgrades!$U$16,H125),1)*IF(Upgrades!$T$17="Microlensing",POWER(Upgrades!$U$17,I125),1)*IF(Upgrades!$T$18="Microlensing",POWER(Upgrades!$U$18,J125),1)*IF(Upgrades!$T$19="Microlensing",POWER(Upgrades!$U$19,K125),1)*IF(Upgrades!$T$20="Microlensing",POWER(Upgrades!$U$20,L125),1)*IF(Upgrades!$T$21="Microlensing",POWER(Upgrades!$U$21,M125),1))*$G$6*(Parameters!$B$10/60*Parameters!$B$11+Q125)/AM125,0)</f>
        <v/>
      </c>
      <c r="BB125" s="32">
        <f>IFERROR((Upgrades!$N$16*(POWER(Upgrades!$R$13,E125)*POWER(Upgrades!$R$14,F125)*POWER(Upgrades!$R$15,G125)*POWER(Upgrades!$R$16,H125)*POWER(Upgrades!$R$17,I125)*POWER(Upgrades!$R$18,J125)*POWER(Upgrades!$R$19,K125)*POWER(Upgrades!$R$20,L125)*POWER(Upgrades!$R$21,M125))*(IF(Upgrades!$T$13="Roche Lobe Overflow",POWER(Upgrades!$U$13,E125),1)*IF(Upgrades!$T$14="Roche Lobe Overflow",POWER(Upgrades!$U$14,F125),1)*IF(Upgrades!$T$15="Roche Lobe Overflow",POWER(Upgrades!$U$15,G125),1)*IF(Upgrades!$T$17="Roche Lobe Overflow",POWER(Upgrades!$U$17,I125),1)*IF(Upgrades!$T$18="Roche Lobe Overflow",POWER(Upgrades!$U$18,J125),1)*IF(Upgrades!$T$19="Roche Lobe Overflow",POWER(Upgrades!$U$19,K125),1)*IF(Upgrades!$T$20="Roche Lobe Overflow",POWER(Upgrades!$U$20,L125),1)*IF(Upgrades!$T$21="Roche Lobe Overflow",POWER(Upgrades!$U$21,M125),1))*$H$6*O125+((IF(F125=0,0,(Upgrades!$G$14+F125*Upgrades!$H$14)*POWER(Upgrades!$I$14,F125)))*(IF(Upgrades!$T$13="Local Bubble",POWER(Upgrades!$U$13,E125),1)*IF(Upgrades!$T$15="Local Bubble",POWER(Upgrades!$U$15,G125),1)*IF(Upgrades!$T$16="Local Bubble",POWER(Upgrades!$U$16,H125),1)*IF(Upgrades!$T$17="Local Bubble",POWER(Upgrades!$U$17,I125),1)*IF(Upgrades!$T$18="Local Bubble",POWER(Upgrades!$U$18,J125),1)*IF(Upgrades!$T$19="Local Bubble",POWER(Upgrades!$U$19,K125),1)*IF(Upgrades!$T$20="Local Bubble",POWER(Upgrades!$U$20,L125),1)*IF(Upgrades!$T$21="Local Bubble",POWER(Upgrades!$U$21,M125),1))*POWER(Upgrades!$P$13,E125)*POWER(Upgrades!$P$14,F125)*POWER(Upgrades!$P$15,G125)*POWER(Upgrades!$P$16,H125)*POWER(Upgrades!$P$17,I125)*POWER(Upgrades!$P$18,J125)*POWER(Upgrades!$P$19,K125)*POWER(Upgrades!$P$20,L125)*POWER(Upgrades!$P$21,M125)*$F$6)*0.05)/AN125,0)</f>
        <v/>
      </c>
      <c r="BC125" s="32">
        <f>IFERROR((Upgrades!$H$17*(POWER(Upgrades!$P$13,E125)*POWER(Upgrades!$P$14,F125)*POWER(Upgrades!$P$15,G125)*POWER(Upgrades!$P$16,H125)*POWER(Upgrades!$P$17,I125)*POWER(Upgrades!$P$18,J125)*POWER(Upgrades!$P$19,K125)*POWER(Upgrades!$P$20,L125)*POWER(Upgrades!$P$21,M125))*(IF(Upgrades!$T$13="Brown Dwarf",POWER(Upgrades!$U$13,E125),1)*IF(Upgrades!$T$14="Brown Dwarf",POWER(Upgrades!$U$14,F125),1)*IF(Upgrades!$T$15="Brown Dwarf",POWER(Upgrades!$U$15,G125),1)*IF(Upgrades!$T$16="Brown Dwarf",POWER(Upgrades!$U$16,H125),1)*IF(Upgrades!$T$18="Brown Dwarf",POWER(Upgrades!$U$18,J125),1)*IF(Upgrades!$T$19="Brown Dwarf",POWER(Upgrades!$U$19,K125),1)*IF(Upgrades!$T$20="Brown Dwarf",POWER(Upgrades!$U$20,L125),1)*IF(Upgrades!$T$21="Brown Dwarf",POWER(Upgrades!$U$21,M125),1))*$F$6+(((IF(H125=0,0,(Upgrades!$M$16+H125*Upgrades!$N$16)*POWER(Upgrades!$O$16,H125)))*(IF(Upgrades!$T$13="Roche Lobe Overflow",POWER(Upgrades!$U$13,E125),1)*IF(Upgrades!$T$14="Roche Lobe Overflow",POWER(Upgrades!$U$14,F125),1)*IF(Upgrades!$T$15="Roche Lobe Overflow",POWER(Upgrades!$U$15,G125),1)*IF(Upgrades!$T$17="Roche Lobe Overflow",POWER(Upgrades!$U$17,I125),1)*IF(Upgrades!$T$18="Roche Lobe Overflow",POWER(Upgrades!$U$18,J125),1)*IF(Upgrades!$T$19="Roche Lobe Overflow",POWER(Upgrades!$U$19,K125),1)*IF(Upgrades!$T$20="Roche Lobe Overflow",POWER(Upgrades!$U$20,L125),1)*IF(Upgrades!$T$21="Roche Lobe Overflow",POWER(Upgrades!$U$21,M125),1))*POWER(Upgrades!$R$13,E125)*POWER(Upgrades!$R$14,F125)*POWER(Upgrades!$R$15,G125)*POWER(Upgrades!$R$16,H125)*POWER(Upgrades!$R$17,I125)*POWER(Upgrades!$R$18,J125)*POWER(Upgrades!$R$19,K125)*POWER(Upgrades!$R$20,L125)*POWER(Upgrades!$R$21,M125)*$H$6)*O125)*0.10)/AO125,0)</f>
        <v/>
      </c>
      <c r="BD125" s="32">
        <f>MAX(IF(J125&gt;0,0,IFERROR(0.5*((IF(G125=0,0,(Upgrades!$J$15+G125*Upgrades!$K$15)*POWER(Upgrades!$L$15,G125)))*(IF(Upgrades!$T$13="Microlensing",POWER(Upgrades!$U$13,E125),1)*IF(Upgrades!$T$14="Microlensing",POWER(Upgrades!$U$14,F125),1)*IF(Upgrades!$T$16="Microlensing",POWER(Upgrades!$U$16,H125),1)*IF(Upgrades!$T$17="Microlensing",POWER(Upgrades!$U$17,I125),1)*IF(Upgrades!$T$18="Microlensing",POWER(Upgrades!$U$18,J125),1)*IF(Upgrades!$T$19="Microlensing",POWER(Upgrades!$U$19,K125),1)*IF(Upgrades!$T$20="Microlensing",POWER(Upgrades!$U$20,L125),1)*IF(Upgrades!$T$21="Microlensing",POWER(Upgrades!$U$21,M125),1))*(POWER(Upgrades!$Q$13,E125)*POWER(Upgrades!$Q$14,F125)*POWER(Upgrades!$Q$15,G125)*POWER(Upgrades!$Q$16,H125)*POWER(Upgrades!$Q$17,I125)*POWER(Upgrades!$Q$18,J125)*POWER(Upgrades!$Q$19,K125)*POWER(Upgrades!$Q$20,L125)*POWER(Upgrades!$Q$21,M125))*$G$6*(Parameters!$B$10/60*Parameters!$B$11+Q125))/Upgrades!$C$18,0)),IF(K125&gt;0,0,IFERROR(0.30*P125/Upgrades!$C$19,0)),IF(L125&gt;0,0,IFERROR(0.0001/Upgrades!$C$20,0)),IF(M125&gt;0,0,IFERROR((6.0*(POWER(Upgrades!$P$13,E125)*POWER(Upgrades!$P$14,F125)*POWER(Upgrades!$P$15,G125)*POWER(Upgrades!$P$16,H125)*POWER(Upgrades!$P$17,I125)*POWER(Upgrades!$P$18,J125)*POWER(Upgrades!$P$19,K125)*POWER(Upgrades!$P$20,L125)*POWER(Upgrades!$P$21,M125))*$F$6+0.20*O125*(Parameters!$B$10/60*Parameters!$B$11+Q125))/Upgrades!$C$21,0)),IF(AND(ISNUMBER(AK125),AK125&gt;(C125+T125)),AY125,0),IF(AND(ISNUMBER(AL125),AL125&gt;(C125+T125)),AZ125,0),IF(AND(ISNUMBER(AM125),AM125&gt;(C125+T125)),BA125,0),IF(AND(ISNUMBER(AN125),AN125&gt;(C125+T125)),BB125,0),IF(AND(ISNUMBER(AO125),AO125&gt;(C125+T125)),BC125,0))</f>
        <v/>
      </c>
      <c r="BE125" s="29">
        <f>IF(AT125=1,"transition",IF(MIN(IF(AND(J125=0,ISNUMBER(AP125),AP125&lt;=(C125+T125)),AP125,9E15),IF(AND(K125=0,ISNUMBER(AQ125),AQ125&lt;=(C125+T125)),AQ125,9E15),IF(AND(L125=0,ISNUMBER(AR125),AR125&lt;=(C125+T125)),AR125,9E15),IF(AND(M125=0,ISNUMBER(AS125),AS125&lt;=(C125+T125)),AS125,9E15))&lt;9E15,IF(AND(AND(J125=0,ISNUMBER(AP125),AP125&lt;=(C125+T125)),AP125=MIN(IF(AND(J125=0,ISNUMBER(AP125),AP125&lt;=(C125+T125)),AP125,9E15),IF(AND(K125=0,ISNUMBER(AQ125),AQ125&lt;=(C125+T125)),AQ125,9E15),IF(AND(L125=0,ISNUMBER(AR125),AR125&lt;=(C125+T125)),AR125,9E15),IF(AND(M125=0,ISNUMBER(AS125),AS125&lt;=(C125+T125)),AS125,9E15))),"BiP",IF(AND(AND(K125=0,ISNUMBER(AQ125),AQ125&lt;=(C125+T125)),AQ125=MIN(IF(AND(J125=0,ISNUMBER(AP125),AP125&lt;=(C125+T125)),AP125,9E15),IF(AND(K125=0,ISNUMBER(AQ125),AQ125&lt;=(C125+T125)),AQ125,9E15),IF(AND(L125=0,ISNUMBER(AR125),AR125&lt;=(C125+T125)),AR125,9E15),IF(AND(M125=0,ISNUMBER(AS125),AS125&lt;=(C125+T125)),AS125,9E15))),"PV",IF(AND(AND(L125=0,ISNUMBER(AR125),AR125&lt;=(C125+T125)),AR125=MIN(IF(AND(J125=0,ISNUMBER(AP125),AP125&lt;=(C125+T125)),AP125,9E15),IF(AND(K125=0,ISNUMBER(AQ125),AQ125&lt;=(C125+T125)),AQ125,9E15),IF(AND(L125=0,ISNUMBER(AR125),AR125&lt;=(C125+T125)),AR125,9E15),IF(AND(M125=0,ISNUMBER(AS125),AS125&lt;=(C125+T125)),AS125,9E15))),"OC","MG"))),IF(AX125=TRUE,"",IF(MAX(IF(AND(NOT(AND(AU125=1,AT125&lt;&gt;1)),ISNUMBER(AK125),AK125&lt;=(C125+T125)),AY125,0),IF(AND(NOT(AND(AU125=1,AT125&lt;&gt;1)),ISNUMBER(AL125),AL125&lt;=(C125+T125)),AZ125,0),IF(AND(NOT(AND(AU125=1,AT125&lt;&gt;1)),ISNUMBER(AM125),AM125&lt;=(C125+T125)),BA125,0),IF(AND(NOT(AND(AU125=1,AT125&lt;&gt;1)),ISNUMBER(AN125),AN125&lt;=(C125+T125)),BB125,0),IF(AND(ISNUMBER(AO125),AO125&lt;=(C125+T125)),BC125,0))&lt;=0,"",IF(AND(IF(AND(NOT(AND(AU125=1,AT125&lt;&gt;1)),ISNUMBER(AK125),AK125&lt;=(C125+T125)),AY125,0)&gt;0,IF(AND(NOT(AND(AU125=1,AT125&lt;&gt;1)),ISNUMBER(AK125),AK125&lt;=(C125+T125)),AY125,0)=MAX(IF(AND(NOT(AND(AU125=1,AT125&lt;&gt;1)),ISNUMBER(AK125),AK125&lt;=(C125+T125)),AY125,0),IF(AND(NOT(AND(AU125=1,AT125&lt;&gt;1)),ISNUMBER(AL125),AL125&lt;=(C125+T125)),AZ125,0),IF(AND(NOT(AND(AU125=1,AT125&lt;&gt;1)),ISNUMBER(AM125),AM125&lt;=(C125+T125)),BA125,0),IF(AND(NOT(AND(AU125=1,AT125&lt;&gt;1)),ISNUMBER(AN125),AN125&lt;=(C125+T125)),BB125,0),IF(AND(ISNUMBER(AO125),AO125&lt;=(C125+T125)),BC125,0))),"SK",IF(AND(IF(AND(NOT(AND(AU125=1,AT125&lt;&gt;1)),ISNUMBER(AL125),AL125&lt;=(C125+T125)),AZ125,0)&gt;0,IF(AND(NOT(AND(AU125=1,AT125&lt;&gt;1)),ISNUMBER(AL125),AL125&lt;=(C125+T125)),AZ125,0)=MAX(IF(AND(NOT(AND(AU125=1,AT125&lt;&gt;1)),ISNUMBER(AK125),AK125&lt;=(C125+T125)),AY125,0),IF(AND(NOT(AND(AU125=1,AT125&lt;&gt;1)),ISNUMBER(AL125),AL125&lt;=(C125+T125)),AZ125,0),IF(AND(NOT(AND(AU125=1,AT125&lt;&gt;1)),ISNUMBER(AM125),AM125&lt;=(C125+T125)),BA125,0),IF(AND(NOT(AND(AU125=1,AT125&lt;&gt;1)),ISNUMBER(AN125),AN125&lt;=(C125+T125)),BB125,0),IF(AND(ISNUMBER(AO125),AO125&lt;=(C125+T125)),BC125,0))),"LB",IF(AND(IF(AND(NOT(AND(AU125=1,AT125&lt;&gt;1)),ISNUMBER(AM125),AM125&lt;=(C125+T125)),BA125,0)&gt;0,IF(AND(NOT(AND(AU125=1,AT125&lt;&gt;1)),ISNUMBER(AM125),AM125&lt;=(C125+T125)),BA125,0)=MAX(IF(AND(NOT(AND(AU125=1,AT125&lt;&gt;1)),ISNUMBER(AK125),AK125&lt;=(C125+T125)),AY125,0),IF(AND(NOT(AND(AU125=1,AT125&lt;&gt;1)),ISNUMBER(AL125),AL125&lt;=(C125+T125)),AZ125,0),IF(AND(NOT(AND(AU125=1,AT125&lt;&gt;1)),ISNUMBER(AM125),AM125&lt;=(C125+T125)),BA125,0),IF(AND(NOT(AND(AU125=1,AT125&lt;&gt;1)),ISNUMBER(AN125),AN125&lt;=(C125+T125)),BB125,0),IF(AND(ISNUMBER(AO125),AO125&lt;=(C125+T125)),BC125,0))),"ML",IF(AND(IF(AND(NOT(AND(AU125=1,AT125&lt;&gt;1)),ISNUMBER(AN125),AN125&lt;=(C125+T125)),BB125,0)&gt;0,IF(AND(NOT(AND(AU125=1,AT125&lt;&gt;1)),ISNUMBER(AN125),AN125&lt;=(C125+T125)),BB125,0)=MAX(IF(AND(NOT(AND(AU125=1,AT125&lt;&gt;1)),ISNUMBER(AK125),AK125&lt;=(C125+T125)),AY125,0),IF(AND(NOT(AND(AU125=1,AT125&lt;&gt;1)),ISNUMBER(AL125),AL125&lt;=(C125+T125)),AZ125,0),IF(AND(NOT(AND(AU125=1,AT125&lt;&gt;1)),ISNUMBER(AM125),AM125&lt;=(C125+T125)),BA125,0),IF(AND(NOT(AND(AU125=1,AT125&lt;&gt;1)),ISNUMBER(AN125),AN125&lt;=(C125+T125)),BB125,0),IF(AND(ISNUMBER(AO125),AO125&lt;=(C125+T125)),BC125,0))),"RLO","BD"))))))))</f>
        <v/>
      </c>
    </row>
    <row r="126">
      <c r="A126" s="26" t="n">
        <v>115</v>
      </c>
      <c r="B126" s="27">
        <f>A126*10/60</f>
        <v/>
      </c>
      <c r="C126" s="22">
        <f>X125</f>
        <v/>
      </c>
      <c r="D126" s="27">
        <f>D125+W125</f>
        <v/>
      </c>
      <c r="E126" s="26">
        <f>E125+IF(U125="SK",1,0)</f>
        <v/>
      </c>
      <c r="F126" s="26">
        <f>F125+IF(U125="LB",1,0)</f>
        <v/>
      </c>
      <c r="G126" s="26">
        <f>G125+IF(U125="ML",1,0)</f>
        <v/>
      </c>
      <c r="H126" s="26">
        <f>H125+IF(U125="RLO",1,0)</f>
        <v/>
      </c>
      <c r="I126" s="26">
        <f>I125+IF(U125="BD",1,0)</f>
        <v/>
      </c>
      <c r="J126" s="26">
        <f>MAX(J125,IF(U125="BiP",1,0))</f>
        <v/>
      </c>
      <c r="K126" s="26">
        <f>MAX(K125,IF(U125="PV",1,0))</f>
        <v/>
      </c>
      <c r="L126" s="26">
        <f>MAX(L125,IF(U125="OC",1,0))</f>
        <v/>
      </c>
      <c r="M126" s="26">
        <f>MAX(M125,IF(U125="MG",1,0))</f>
        <v/>
      </c>
      <c r="N126" s="26">
        <f>MAX(N125,IF(U125="transition",1,0))</f>
        <v/>
      </c>
      <c r="O126" s="28">
        <f>(Parameters!$B$9+(IF(E126=0,0,(Upgrades!$J$13+E126*Upgrades!$K$13)*POWER(Upgrades!$L$13,E126)))*(IF(Upgrades!$T$14="Stellar Kinematics",POWER(Upgrades!$U$14,F126),1)*IF(Upgrades!$T$15="Stellar Kinematics",POWER(Upgrades!$U$15,G126),1)*IF(Upgrades!$T$16="Stellar Kinematics",POWER(Upgrades!$U$16,H126),1)*IF(Upgrades!$T$17="Stellar Kinematics",POWER(Upgrades!$U$17,I126),1)*IF(Upgrades!$T$18="Stellar Kinematics",POWER(Upgrades!$U$18,J126),1)*IF(Upgrades!$T$19="Stellar Kinematics",POWER(Upgrades!$U$19,K126),1)*IF(Upgrades!$T$20="Stellar Kinematics",POWER(Upgrades!$U$20,L126),1)*IF(Upgrades!$T$21="Stellar Kinematics",POWER(Upgrades!$U$21,M126),1))+(IF(F126=0,0,(Upgrades!$J$14+F126*Upgrades!$K$14)*POWER(Upgrades!$L$14,F126)))*(IF(Upgrades!$T$13="Local Bubble",POWER(Upgrades!$U$13,E126),1)*IF(Upgrades!$T$15="Local Bubble",POWER(Upgrades!$U$15,G126),1)*IF(Upgrades!$T$16="Local Bubble",POWER(Upgrades!$U$16,H126),1)*IF(Upgrades!$T$17="Local Bubble",POWER(Upgrades!$U$17,I126),1)*IF(Upgrades!$T$18="Local Bubble",POWER(Upgrades!$U$18,J126),1)*IF(Upgrades!$T$19="Local Bubble",POWER(Upgrades!$U$19,K126),1)*IF(Upgrades!$T$20="Local Bubble",POWER(Upgrades!$U$20,L126),1)*IF(Upgrades!$T$21="Local Bubble",POWER(Upgrades!$U$21,M126),1))+(IF(G126=0,0,(Upgrades!$J$15+G126*Upgrades!$K$15)*POWER(Upgrades!$L$15,G126)))*(IF(Upgrades!$T$13="Microlensing",POWER(Upgrades!$U$13,E126),1)*IF(Upgrades!$T$14="Microlensing",POWER(Upgrades!$U$14,F126),1)*IF(Upgrades!$T$16="Microlensing",POWER(Upgrades!$U$16,H126),1)*IF(Upgrades!$T$17="Microlensing",POWER(Upgrades!$U$17,I126),1)*IF(Upgrades!$T$18="Microlensing",POWER(Upgrades!$U$18,J126),1)*IF(Upgrades!$T$19="Microlensing",POWER(Upgrades!$U$19,K126),1)*IF(Upgrades!$T$20="Microlensing",POWER(Upgrades!$U$20,L126),1)*IF(Upgrades!$T$21="Microlensing",POWER(Upgrades!$U$21,M126),1))+(IF(H126=0,0,(Upgrades!$J$16+H126*Upgrades!$K$16)*POWER(Upgrades!$L$16,H126)))*(IF(Upgrades!$T$13="Roche Lobe Overflow",POWER(Upgrades!$U$13,E126),1)*IF(Upgrades!$T$14="Roche Lobe Overflow",POWER(Upgrades!$U$14,F126),1)*IF(Upgrades!$T$15="Roche Lobe Overflow",POWER(Upgrades!$U$15,G126),1)*IF(Upgrades!$T$17="Roche Lobe Overflow",POWER(Upgrades!$U$17,I126),1)*IF(Upgrades!$T$18="Roche Lobe Overflow",POWER(Upgrades!$U$18,J126),1)*IF(Upgrades!$T$19="Roche Lobe Overflow",POWER(Upgrades!$U$19,K126),1)*IF(Upgrades!$T$20="Roche Lobe Overflow",POWER(Upgrades!$U$20,L126),1)*IF(Upgrades!$T$21="Roche Lobe Overflow",POWER(Upgrades!$U$21,M126),1))+(IF(I126=0,0,(Upgrades!$J$17+I126*Upgrades!$K$17)*POWER(Upgrades!$L$17,I126)))*(IF(Upgrades!$T$13="Brown Dwarf",POWER(Upgrades!$U$13,E126),1)*IF(Upgrades!$T$14="Brown Dwarf",POWER(Upgrades!$U$14,F126),1)*IF(Upgrades!$T$15="Brown Dwarf",POWER(Upgrades!$U$15,G126),1)*IF(Upgrades!$T$16="Brown Dwarf",POWER(Upgrades!$U$16,H126),1)*IF(Upgrades!$T$18="Brown Dwarf",POWER(Upgrades!$U$18,J126),1)*IF(Upgrades!$T$19="Brown Dwarf",POWER(Upgrades!$U$19,K126),1)*IF(Upgrades!$T$20="Brown Dwarf",POWER(Upgrades!$U$20,L126),1)*IF(Upgrades!$T$21="Brown Dwarf",POWER(Upgrades!$U$21,M126),1))+(IF(J126=0,0,(Upgrades!$J$18+J126*Upgrades!$K$18)*POWER(Upgrades!$L$18,J126)))*(IF(Upgrades!$T$13="Binary Partner",POWER(Upgrades!$U$13,E126),1)*IF(Upgrades!$T$14="Binary Partner",POWER(Upgrades!$U$14,F126),1)*IF(Upgrades!$T$15="Binary Partner",POWER(Upgrades!$U$15,G126),1)*IF(Upgrades!$T$16="Binary Partner",POWER(Upgrades!$U$16,H126),1)*IF(Upgrades!$T$17="Binary Partner",POWER(Upgrades!$U$17,I126),1)*IF(Upgrades!$T$19="Binary Partner",POWER(Upgrades!$U$19,K126),1)*IF(Upgrades!$T$20="Binary Partner",POWER(Upgrades!$U$20,L126),1)*IF(Upgrades!$T$21="Binary Partner",POWER(Upgrades!$U$21,M126),1))+(IF(K126=0,0,(Upgrades!$J$19+K126*Upgrades!$K$19)*POWER(Upgrades!$L$19,K126)))*(IF(Upgrades!$T$13="Peculiar Velocity",POWER(Upgrades!$U$13,E126),1)*IF(Upgrades!$T$14="Peculiar Velocity",POWER(Upgrades!$U$14,F126),1)*IF(Upgrades!$T$15="Peculiar Velocity",POWER(Upgrades!$U$15,G126),1)*IF(Upgrades!$T$16="Peculiar Velocity",POWER(Upgrades!$U$16,H126),1)*IF(Upgrades!$T$17="Peculiar Velocity",POWER(Upgrades!$U$17,I126),1)*IF(Upgrades!$T$18="Peculiar Velocity",POWER(Upgrades!$U$18,J126),1)*IF(Upgrades!$T$20="Peculiar Velocity",POWER(Upgrades!$U$20,L126),1)*IF(Upgrades!$T$21="Peculiar Velocity",POWER(Upgrades!$U$21,M126),1))+(IF(L126=0,0,(Upgrades!$J$20+L126*Upgrades!$K$20)*POWER(Upgrades!$L$20,L126)))*(IF(Upgrades!$T$13="Open Cluster",POWER(Upgrades!$U$13,E126),1)*IF(Upgrades!$T$14="Open Cluster",POWER(Upgrades!$U$14,F126),1)*IF(Upgrades!$T$15="Open Cluster",POWER(Upgrades!$U$15,G126),1)*IF(Upgrades!$T$16="Open Cluster",POWER(Upgrades!$U$16,H126),1)*IF(Upgrades!$T$17="Open Cluster",POWER(Upgrades!$U$17,I126),1)*IF(Upgrades!$T$18="Open Cluster",POWER(Upgrades!$U$18,J126),1)*IF(Upgrades!$T$19="Open Cluster",POWER(Upgrades!$U$19,K126),1)*IF(Upgrades!$T$21="Open Cluster",POWER(Upgrades!$U$21,M126),1))+(IF(M126=0,0,(Upgrades!$J$21+M126*Upgrades!$K$21)*POWER(Upgrades!$L$21,M126)))*(IF(Upgrades!$T$13="Moving Group",POWER(Upgrades!$U$13,E126),1)*IF(Upgrades!$T$14="Moving Group",POWER(Upgrades!$U$14,F126),1)*IF(Upgrades!$T$15="Moving Group",POWER(Upgrades!$U$15,G126),1)*IF(Upgrades!$T$16="Moving Group",POWER(Upgrades!$U$16,H126),1)*IF(Upgrades!$T$17="Moving Group",POWER(Upgrades!$U$17,I126),1)*IF(Upgrades!$T$18="Moving Group",POWER(Upgrades!$U$18,J126),1)*IF(Upgrades!$T$19="Moving Group",POWER(Upgrades!$U$19,K126),1)*IF(Upgrades!$T$20="Moving Group",POWER(Upgrades!$U$20,L126),1)))*POWER(Upgrades!$Q$13,E126)*POWER(Upgrades!$Q$14,F126)*POWER(Upgrades!$Q$15,G126)*POWER(Upgrades!$Q$16,H126)*POWER(Upgrades!$Q$17,I126)*POWER(Upgrades!$Q$18,J126)*POWER(Upgrades!$Q$19,K126)*POWER(Upgrades!$Q$20,L126)*POWER(Upgrades!$Q$21,M126)*$G$6+$D$6</f>
        <v/>
      </c>
      <c r="P126" s="28">
        <f>((IF(E126=0,0,(Upgrades!$G$13+E126*Upgrades!$H$13)*POWER(Upgrades!$I$13,E126)))*(IF(Upgrades!$T$14="Stellar Kinematics",POWER(Upgrades!$U$14,F126),1)*IF(Upgrades!$T$15="Stellar Kinematics",POWER(Upgrades!$U$15,G126),1)*IF(Upgrades!$T$16="Stellar Kinematics",POWER(Upgrades!$U$16,H126),1)*IF(Upgrades!$T$17="Stellar Kinematics",POWER(Upgrades!$U$17,I126),1)*IF(Upgrades!$T$18="Stellar Kinematics",POWER(Upgrades!$U$18,J126),1)*IF(Upgrades!$T$19="Stellar Kinematics",POWER(Upgrades!$U$19,K126),1)*IF(Upgrades!$T$20="Stellar Kinematics",POWER(Upgrades!$U$20,L126),1)*IF(Upgrades!$T$21="Stellar Kinematics",POWER(Upgrades!$U$21,M126),1))+(IF(F126=0,0,(Upgrades!$G$14+F126*Upgrades!$H$14)*POWER(Upgrades!$I$14,F126)))*(IF(Upgrades!$T$13="Local Bubble",POWER(Upgrades!$U$13,E126),1)*IF(Upgrades!$T$15="Local Bubble",POWER(Upgrades!$U$15,G126),1)*IF(Upgrades!$T$16="Local Bubble",POWER(Upgrades!$U$16,H126),1)*IF(Upgrades!$T$17="Local Bubble",POWER(Upgrades!$U$17,I126),1)*IF(Upgrades!$T$18="Local Bubble",POWER(Upgrades!$U$18,J126),1)*IF(Upgrades!$T$19="Local Bubble",POWER(Upgrades!$U$19,K126),1)*IF(Upgrades!$T$20="Local Bubble",POWER(Upgrades!$U$20,L126),1)*IF(Upgrades!$T$21="Local Bubble",POWER(Upgrades!$U$21,M126),1))+(IF(G126=0,0,(Upgrades!$G$15+G126*Upgrades!$H$15)*POWER(Upgrades!$I$15,G126)))*(IF(Upgrades!$T$13="Microlensing",POWER(Upgrades!$U$13,E126),1)*IF(Upgrades!$T$14="Microlensing",POWER(Upgrades!$U$14,F126),1)*IF(Upgrades!$T$16="Microlensing",POWER(Upgrades!$U$16,H126),1)*IF(Upgrades!$T$17="Microlensing",POWER(Upgrades!$U$17,I126),1)*IF(Upgrades!$T$18="Microlensing",POWER(Upgrades!$U$18,J126),1)*IF(Upgrades!$T$19="Microlensing",POWER(Upgrades!$U$19,K126),1)*IF(Upgrades!$T$20="Microlensing",POWER(Upgrades!$U$20,L126),1)*IF(Upgrades!$T$21="Microlensing",POWER(Upgrades!$U$21,M126),1))+(IF(H126=0,0,(Upgrades!$G$16+H126*Upgrades!$H$16)*POWER(Upgrades!$I$16,H126)))*(IF(Upgrades!$T$13="Roche Lobe Overflow",POWER(Upgrades!$U$13,E126),1)*IF(Upgrades!$T$14="Roche Lobe Overflow",POWER(Upgrades!$U$14,F126),1)*IF(Upgrades!$T$15="Roche Lobe Overflow",POWER(Upgrades!$U$15,G126),1)*IF(Upgrades!$T$17="Roche Lobe Overflow",POWER(Upgrades!$U$17,I126),1)*IF(Upgrades!$T$18="Roche Lobe Overflow",POWER(Upgrades!$U$18,J126),1)*IF(Upgrades!$T$19="Roche Lobe Overflow",POWER(Upgrades!$U$19,K126),1)*IF(Upgrades!$T$20="Roche Lobe Overflow",POWER(Upgrades!$U$20,L126),1)*IF(Upgrades!$T$21="Roche Lobe Overflow",POWER(Upgrades!$U$21,M126),1))+(IF(I126=0,0,(Upgrades!$G$17+I126*Upgrades!$H$17)*POWER(Upgrades!$I$17,I126)))*(IF(Upgrades!$T$13="Brown Dwarf",POWER(Upgrades!$U$13,E126),1)*IF(Upgrades!$T$14="Brown Dwarf",POWER(Upgrades!$U$14,F126),1)*IF(Upgrades!$T$15="Brown Dwarf",POWER(Upgrades!$U$15,G126),1)*IF(Upgrades!$T$16="Brown Dwarf",POWER(Upgrades!$U$16,H126),1)*IF(Upgrades!$T$18="Brown Dwarf",POWER(Upgrades!$U$18,J126),1)*IF(Upgrades!$T$19="Brown Dwarf",POWER(Upgrades!$U$19,K126),1)*IF(Upgrades!$T$20="Brown Dwarf",POWER(Upgrades!$U$20,L126),1)*IF(Upgrades!$T$21="Brown Dwarf",POWER(Upgrades!$U$21,M126),1))+(IF(J126=0,0,(Upgrades!$G$18+J126*Upgrades!$H$18)*POWER(Upgrades!$I$18,J126)))*(IF(Upgrades!$T$13="Binary Partner",POWER(Upgrades!$U$13,E126),1)*IF(Upgrades!$T$14="Binary Partner",POWER(Upgrades!$U$14,F126),1)*IF(Upgrades!$T$15="Binary Partner",POWER(Upgrades!$U$15,G126),1)*IF(Upgrades!$T$16="Binary Partner",POWER(Upgrades!$U$16,H126),1)*IF(Upgrades!$T$17="Binary Partner",POWER(Upgrades!$U$17,I126),1)*IF(Upgrades!$T$19="Binary Partner",POWER(Upgrades!$U$19,K126),1)*IF(Upgrades!$T$20="Binary Partner",POWER(Upgrades!$U$20,L126),1)*IF(Upgrades!$T$21="Binary Partner",POWER(Upgrades!$U$21,M126),1))+(IF(K126=0,0,(Upgrades!$G$19+K126*Upgrades!$H$19)*POWER(Upgrades!$I$19,K126)))*(IF(Upgrades!$T$13="Peculiar Velocity",POWER(Upgrades!$U$13,E126),1)*IF(Upgrades!$T$14="Peculiar Velocity",POWER(Upgrades!$U$14,F126),1)*IF(Upgrades!$T$15="Peculiar Velocity",POWER(Upgrades!$U$15,G126),1)*IF(Upgrades!$T$16="Peculiar Velocity",POWER(Upgrades!$U$16,H126),1)*IF(Upgrades!$T$17="Peculiar Velocity",POWER(Upgrades!$U$17,I126),1)*IF(Upgrades!$T$18="Peculiar Velocity",POWER(Upgrades!$U$18,J126),1)*IF(Upgrades!$T$20="Peculiar Velocity",POWER(Upgrades!$U$20,L126),1)*IF(Upgrades!$T$21="Peculiar Velocity",POWER(Upgrades!$U$21,M126),1))+(IF(L126=0,0,(Upgrades!$G$20+L126*Upgrades!$H$20)*POWER(Upgrades!$I$20,L126)))*(IF(Upgrades!$T$13="Open Cluster",POWER(Upgrades!$U$13,E126),1)*IF(Upgrades!$T$14="Open Cluster",POWER(Upgrades!$U$14,F126),1)*IF(Upgrades!$T$15="Open Cluster",POWER(Upgrades!$U$15,G126),1)*IF(Upgrades!$T$16="Open Cluster",POWER(Upgrades!$U$16,H126),1)*IF(Upgrades!$T$17="Open Cluster",POWER(Upgrades!$U$17,I126),1)*IF(Upgrades!$T$18="Open Cluster",POWER(Upgrades!$U$18,J126),1)*IF(Upgrades!$T$19="Open Cluster",POWER(Upgrades!$U$19,K126),1)*IF(Upgrades!$T$21="Open Cluster",POWER(Upgrades!$U$21,M126),1))+(IF(M126=0,0,(Upgrades!$G$21+M126*Upgrades!$H$21)*POWER(Upgrades!$I$21,M126)))*(IF(Upgrades!$T$13="Moving Group",POWER(Upgrades!$U$13,E126),1)*IF(Upgrades!$T$14="Moving Group",POWER(Upgrades!$U$14,F126),1)*IF(Upgrades!$T$15="Moving Group",POWER(Upgrades!$U$15,G126),1)*IF(Upgrades!$T$16="Moving Group",POWER(Upgrades!$U$16,H126),1)*IF(Upgrades!$T$17="Moving Group",POWER(Upgrades!$U$17,I126),1)*IF(Upgrades!$T$18="Moving Group",POWER(Upgrades!$U$18,J126),1)*IF(Upgrades!$T$19="Moving Group",POWER(Upgrades!$U$19,K126),1)*IF(Upgrades!$T$20="Moving Group",POWER(Upgrades!$U$20,L126),1)))*POWER(Upgrades!$P$13,E126)*POWER(Upgrades!$P$14,F126)*POWER(Upgrades!$P$15,G126)*POWER(Upgrades!$P$16,H126)*POWER(Upgrades!$P$17,I126)*POWER(Upgrades!$P$18,J126)*POWER(Upgrades!$P$19,K126)*POWER(Upgrades!$P$20,L126)*POWER(Upgrades!$P$21,M126)*$F$6+$C$6</f>
        <v/>
      </c>
      <c r="Q126" s="28">
        <f>((IF(E126=0,0,(Upgrades!$M$13+E126*Upgrades!$N$13)*POWER(Upgrades!$O$13,E126)))*(IF(Upgrades!$T$14="Stellar Kinematics",POWER(Upgrades!$U$14,F126),1)*IF(Upgrades!$T$15="Stellar Kinematics",POWER(Upgrades!$U$15,G126),1)*IF(Upgrades!$T$16="Stellar Kinematics",POWER(Upgrades!$U$16,H126),1)*IF(Upgrades!$T$17="Stellar Kinematics",POWER(Upgrades!$U$17,I126),1)*IF(Upgrades!$T$18="Stellar Kinematics",POWER(Upgrades!$U$18,J126),1)*IF(Upgrades!$T$19="Stellar Kinematics",POWER(Upgrades!$U$19,K126),1)*IF(Upgrades!$T$20="Stellar Kinematics",POWER(Upgrades!$U$20,L126),1)*IF(Upgrades!$T$21="Stellar Kinematics",POWER(Upgrades!$U$21,M126),1))+(IF(F126=0,0,(Upgrades!$M$14+F126*Upgrades!$N$14)*POWER(Upgrades!$O$14,F126)))*(IF(Upgrades!$T$13="Local Bubble",POWER(Upgrades!$U$13,E126),1)*IF(Upgrades!$T$15="Local Bubble",POWER(Upgrades!$U$15,G126),1)*IF(Upgrades!$T$16="Local Bubble",POWER(Upgrades!$U$16,H126),1)*IF(Upgrades!$T$17="Local Bubble",POWER(Upgrades!$U$17,I126),1)*IF(Upgrades!$T$18="Local Bubble",POWER(Upgrades!$U$18,J126),1)*IF(Upgrades!$T$19="Local Bubble",POWER(Upgrades!$U$19,K126),1)*IF(Upgrades!$T$20="Local Bubble",POWER(Upgrades!$U$20,L126),1)*IF(Upgrades!$T$21="Local Bubble",POWER(Upgrades!$U$21,M126),1))+(IF(G126=0,0,(Upgrades!$M$15+G126*Upgrades!$N$15)*POWER(Upgrades!$O$15,G126)))*(IF(Upgrades!$T$13="Microlensing",POWER(Upgrades!$U$13,E126),1)*IF(Upgrades!$T$14="Microlensing",POWER(Upgrades!$U$14,F126),1)*IF(Upgrades!$T$16="Microlensing",POWER(Upgrades!$U$16,H126),1)*IF(Upgrades!$T$17="Microlensing",POWER(Upgrades!$U$17,I126),1)*IF(Upgrades!$T$18="Microlensing",POWER(Upgrades!$U$18,J126),1)*IF(Upgrades!$T$19="Microlensing",POWER(Upgrades!$U$19,K126),1)*IF(Upgrades!$T$20="Microlensing",POWER(Upgrades!$U$20,L126),1)*IF(Upgrades!$T$21="Microlensing",POWER(Upgrades!$U$21,M126),1))+(IF(H126=0,0,(Upgrades!$M$16+H126*Upgrades!$N$16)*POWER(Upgrades!$O$16,H126)))*(IF(Upgrades!$T$13="Roche Lobe Overflow",POWER(Upgrades!$U$13,E126),1)*IF(Upgrades!$T$14="Roche Lobe Overflow",POWER(Upgrades!$U$14,F126),1)*IF(Upgrades!$T$15="Roche Lobe Overflow",POWER(Upgrades!$U$15,G126),1)*IF(Upgrades!$T$17="Roche Lobe Overflow",POWER(Upgrades!$U$17,I126),1)*IF(Upgrades!$T$18="Roche Lobe Overflow",POWER(Upgrades!$U$18,J126),1)*IF(Upgrades!$T$19="Roche Lobe Overflow",POWER(Upgrades!$U$19,K126),1)*IF(Upgrades!$T$20="Roche Lobe Overflow",POWER(Upgrades!$U$20,L126),1)*IF(Upgrades!$T$21="Roche Lobe Overflow",POWER(Upgrades!$U$21,M126),1))+(IF(I126=0,0,(Upgrades!$M$17+I126*Upgrades!$N$17)*POWER(Upgrades!$O$17,I126)))*(IF(Upgrades!$T$13="Brown Dwarf",POWER(Upgrades!$U$13,E126),1)*IF(Upgrades!$T$14="Brown Dwarf",POWER(Upgrades!$U$14,F126),1)*IF(Upgrades!$T$15="Brown Dwarf",POWER(Upgrades!$U$15,G126),1)*IF(Upgrades!$T$16="Brown Dwarf",POWER(Upgrades!$U$16,H126),1)*IF(Upgrades!$T$18="Brown Dwarf",POWER(Upgrades!$U$18,J126),1)*IF(Upgrades!$T$19="Brown Dwarf",POWER(Upgrades!$U$19,K126),1)*IF(Upgrades!$T$20="Brown Dwarf",POWER(Upgrades!$U$20,L126),1)*IF(Upgrades!$T$21="Brown Dwarf",POWER(Upgrades!$U$21,M126),1))+(IF(J126=0,0,(Upgrades!$M$18+J126*Upgrades!$N$18)*POWER(Upgrades!$O$18,J126)))*(IF(Upgrades!$T$13="Binary Partner",POWER(Upgrades!$U$13,E126),1)*IF(Upgrades!$T$14="Binary Partner",POWER(Upgrades!$U$14,F126),1)*IF(Upgrades!$T$15="Binary Partner",POWER(Upgrades!$U$15,G126),1)*IF(Upgrades!$T$16="Binary Partner",POWER(Upgrades!$U$16,H126),1)*IF(Upgrades!$T$17="Binary Partner",POWER(Upgrades!$U$17,I126),1)*IF(Upgrades!$T$19="Binary Partner",POWER(Upgrades!$U$19,K126),1)*IF(Upgrades!$T$20="Binary Partner",POWER(Upgrades!$U$20,L126),1)*IF(Upgrades!$T$21="Binary Partner",POWER(Upgrades!$U$21,M126),1))+(IF(K126=0,0,(Upgrades!$M$19+K126*Upgrades!$N$19)*POWER(Upgrades!$O$19,K126)))*(IF(Upgrades!$T$13="Peculiar Velocity",POWER(Upgrades!$U$13,E126),1)*IF(Upgrades!$T$14="Peculiar Velocity",POWER(Upgrades!$U$14,F126),1)*IF(Upgrades!$T$15="Peculiar Velocity",POWER(Upgrades!$U$15,G126),1)*IF(Upgrades!$T$16="Peculiar Velocity",POWER(Upgrades!$U$16,H126),1)*IF(Upgrades!$T$17="Peculiar Velocity",POWER(Upgrades!$U$17,I126),1)*IF(Upgrades!$T$18="Peculiar Velocity",POWER(Upgrades!$U$18,J126),1)*IF(Upgrades!$T$20="Peculiar Velocity",POWER(Upgrades!$U$20,L126),1)*IF(Upgrades!$T$21="Peculiar Velocity",POWER(Upgrades!$U$21,M126),1))+(IF(L126=0,0,(Upgrades!$M$20+L126*Upgrades!$N$20)*POWER(Upgrades!$O$20,L126)))*(IF(Upgrades!$T$13="Open Cluster",POWER(Upgrades!$U$13,E126),1)*IF(Upgrades!$T$14="Open Cluster",POWER(Upgrades!$U$14,F126),1)*IF(Upgrades!$T$15="Open Cluster",POWER(Upgrades!$U$15,G126),1)*IF(Upgrades!$T$16="Open Cluster",POWER(Upgrades!$U$16,H126),1)*IF(Upgrades!$T$17="Open Cluster",POWER(Upgrades!$U$17,I126),1)*IF(Upgrades!$T$18="Open Cluster",POWER(Upgrades!$U$18,J126),1)*IF(Upgrades!$T$19="Open Cluster",POWER(Upgrades!$U$19,K126),1)*IF(Upgrades!$T$21="Open Cluster",POWER(Upgrades!$U$21,M126),1))+(IF(M126=0,0,(Upgrades!$M$21+M126*Upgrades!$N$21)*POWER(Upgrades!$O$21,M126)))*(IF(Upgrades!$T$13="Moving Group",POWER(Upgrades!$U$13,E126),1)*IF(Upgrades!$T$14="Moving Group",POWER(Upgrades!$U$14,F126),1)*IF(Upgrades!$T$15="Moving Group",POWER(Upgrades!$U$15,G126),1)*IF(Upgrades!$T$16="Moving Group",POWER(Upgrades!$U$16,H126),1)*IF(Upgrades!$T$17="Moving Group",POWER(Upgrades!$U$17,I126),1)*IF(Upgrades!$T$18="Moving Group",POWER(Upgrades!$U$18,J126),1)*IF(Upgrades!$T$19="Moving Group",POWER(Upgrades!$U$19,K126),1)*IF(Upgrades!$T$20="Moving Group",POWER(Upgrades!$U$20,L126),1)))*POWER(Upgrades!$R$13,E126)*POWER(Upgrades!$R$14,F126)*POWER(Upgrades!$R$15,G126)*POWER(Upgrades!$R$16,H126)*POWER(Upgrades!$R$17,I126)*POWER(Upgrades!$R$18,J126)*POWER(Upgrades!$R$19,K126)*POWER(Upgrades!$R$20,L126)*POWER(Upgrades!$R$21,M126)*$H$6+$E$6</f>
        <v/>
      </c>
      <c r="R126" s="27">
        <f>IF(N126=1,0,O126*Parameters!$B$10/60*Parameters!$B$11*10)</f>
        <v/>
      </c>
      <c r="S126" s="27">
        <f>IF(N126=1,0,Q126*O126*10)</f>
        <v/>
      </c>
      <c r="T126" s="27">
        <f>IF(N126=1,0,R126+S126+P126*10)</f>
        <v/>
      </c>
      <c r="U126" s="33">
        <f>BE126</f>
        <v/>
      </c>
      <c r="V126" s="22">
        <f>IF(U126="",0,IF(U126="transition",0,IF(U126="SK",AK126,IF(U126="LB",AL126,IF(U126="ML",AM126,IF(U126="RLO",AN126,IF(U126="BD",AO126,IF(U126="BiP",AP126,IF(U126="PV",AQ126,IF(U126="OC",AR126,IF(U126="MG",AS126,0))))))))))</f>
        <v/>
      </c>
      <c r="W126" s="27">
        <f>IF(U126="BiP",Upgrades!$F$18,IF(U126="PV",Upgrades!$F$19,IF(U126="OC",Upgrades!$F$20,IF(U126="MG",Upgrades!$F$21,IF(U126="transition",-Parameters!$B$18*Parameters!$B$19,0)))))</f>
        <v/>
      </c>
      <c r="X126" s="22">
        <f>C126+T126-V126</f>
        <v/>
      </c>
      <c r="Y126" s="30">
        <f>O126*Parameters!$B$10/60*Parameters!$B$11+Q126*O126+P126</f>
        <v/>
      </c>
      <c r="Z126" s="34">
        <f>IF(U126="transition","→ Tier 3 (Galactic Arm)",IF(U126="MG","Moving Group — pocket drifts together",IF(U126="OC","Open Cluster acquired",IF(U126="PV","Peculiar Velocity — passive multiplier active",IF(U126="BiP","Binary Partner — pair bond formed",IF(AND(AU126=1,N126=0,AT126&lt;&gt;1),"Cohesion ready (waiting on completionists)","")))))) </f>
        <v/>
      </c>
      <c r="AA126" s="27">
        <f>(IF(E126=0,0,(Upgrades!$G$13+E126*Upgrades!$H$13)*POWER(Upgrades!$I$13,E126)))*(IF(Upgrades!$T$14="Stellar Kinematics",POWER(Upgrades!$U$14,F126),1)*IF(Upgrades!$T$15="Stellar Kinematics",POWER(Upgrades!$U$15,G126),1)*IF(Upgrades!$T$16="Stellar Kinematics",POWER(Upgrades!$U$16,H126),1)*IF(Upgrades!$T$17="Stellar Kinematics",POWER(Upgrades!$U$17,I126),1)*IF(Upgrades!$T$18="Stellar Kinematics",POWER(Upgrades!$U$18,J126),1)*IF(Upgrades!$T$19="Stellar Kinematics",POWER(Upgrades!$U$19,K126),1)*IF(Upgrades!$T$20="Stellar Kinematics",POWER(Upgrades!$U$20,L126),1)*IF(Upgrades!$T$21="Stellar Kinematics",POWER(Upgrades!$U$21,M126),1))*POWER(Upgrades!$P$13,E126)*POWER(Upgrades!$P$14,F126)*POWER(Upgrades!$P$15,G126)*POWER(Upgrades!$P$16,H126)*POWER(Upgrades!$P$17,I126)*POWER(Upgrades!$P$18,J126)*POWER(Upgrades!$P$19,K126)*POWER(Upgrades!$P$20,L126)*POWER(Upgrades!$P$21,M126)*$F$6*60</f>
        <v/>
      </c>
      <c r="AB126" s="27">
        <f>(IF(F126=0,0,(Upgrades!$G$14+F126*Upgrades!$H$14)*POWER(Upgrades!$I$14,F126)))*(IF(Upgrades!$T$13="Local Bubble",POWER(Upgrades!$U$13,E126),1)*IF(Upgrades!$T$15="Local Bubble",POWER(Upgrades!$U$15,G126),1)*IF(Upgrades!$T$16="Local Bubble",POWER(Upgrades!$U$16,H126),1)*IF(Upgrades!$T$17="Local Bubble",POWER(Upgrades!$U$17,I126),1)*IF(Upgrades!$T$18="Local Bubble",POWER(Upgrades!$U$18,J126),1)*IF(Upgrades!$T$19="Local Bubble",POWER(Upgrades!$U$19,K126),1)*IF(Upgrades!$T$20="Local Bubble",POWER(Upgrades!$U$20,L126),1)*IF(Upgrades!$T$21="Local Bubble",POWER(Upgrades!$U$21,M126),1))*POWER(Upgrades!$P$13,E126)*POWER(Upgrades!$P$14,F126)*POWER(Upgrades!$P$15,G126)*POWER(Upgrades!$P$16,H126)*POWER(Upgrades!$P$17,I126)*POWER(Upgrades!$P$18,J126)*POWER(Upgrades!$P$19,K126)*POWER(Upgrades!$P$20,L126)*POWER(Upgrades!$P$21,M126)*$F$6*60</f>
        <v/>
      </c>
      <c r="AC126" s="27">
        <f>(IF(G126=0,0,(Upgrades!$J$15+G126*Upgrades!$K$15)*POWER(Upgrades!$L$15,G126)))*(IF(Upgrades!$T$13="Microlensing",POWER(Upgrades!$U$13,E126),1)*IF(Upgrades!$T$14="Microlensing",POWER(Upgrades!$U$14,F126),1)*IF(Upgrades!$T$16="Microlensing",POWER(Upgrades!$U$16,H126),1)*IF(Upgrades!$T$17="Microlensing",POWER(Upgrades!$U$17,I126),1)*IF(Upgrades!$T$18="Microlensing",POWER(Upgrades!$U$18,J126),1)*IF(Upgrades!$T$19="Microlensing",POWER(Upgrades!$U$19,K126),1)*IF(Upgrades!$T$20="Microlensing",POWER(Upgrades!$U$20,L126),1)*IF(Upgrades!$T$21="Microlensing",POWER(Upgrades!$U$21,M126),1))*POWER(Upgrades!$Q$13,E126)*POWER(Upgrades!$Q$14,F126)*POWER(Upgrades!$Q$15,G126)*POWER(Upgrades!$Q$16,H126)*POWER(Upgrades!$Q$17,I126)*POWER(Upgrades!$Q$18,J126)*POWER(Upgrades!$Q$19,K126)*POWER(Upgrades!$Q$20,L126)*POWER(Upgrades!$Q$21,M126)*$G$6*(Parameters!$B$10*Parameters!$B$11+Q126*60)</f>
        <v/>
      </c>
      <c r="AD126" s="27">
        <f>(IF(H126=0,0,(Upgrades!$M$16+H126*Upgrades!$N$16)*POWER(Upgrades!$O$16,H126)))*(IF(Upgrades!$T$13="Roche Lobe Overflow",POWER(Upgrades!$U$13,E126),1)*IF(Upgrades!$T$14="Roche Lobe Overflow",POWER(Upgrades!$U$14,F126),1)*IF(Upgrades!$T$15="Roche Lobe Overflow",POWER(Upgrades!$U$15,G126),1)*IF(Upgrades!$T$17="Roche Lobe Overflow",POWER(Upgrades!$U$17,I126),1)*IF(Upgrades!$T$18="Roche Lobe Overflow",POWER(Upgrades!$U$18,J126),1)*IF(Upgrades!$T$19="Roche Lobe Overflow",POWER(Upgrades!$U$19,K126),1)*IF(Upgrades!$T$20="Roche Lobe Overflow",POWER(Upgrades!$U$20,L126),1)*IF(Upgrades!$T$21="Roche Lobe Overflow",POWER(Upgrades!$U$21,M126),1))*POWER(Upgrades!$R$13,E126)*POWER(Upgrades!$R$14,F126)*POWER(Upgrades!$R$15,G126)*POWER(Upgrades!$R$16,H126)*POWER(Upgrades!$R$17,I126)*POWER(Upgrades!$R$18,J126)*POWER(Upgrades!$R$19,K126)*POWER(Upgrades!$R$20,L126)*POWER(Upgrades!$R$21,M126)*$H$6*O126*60</f>
        <v/>
      </c>
      <c r="AE126" s="27">
        <f>(IF(I126=0,0,(Upgrades!$G$17+I126*Upgrades!$H$17)*POWER(Upgrades!$I$17,I126)))*(IF(Upgrades!$T$13="Brown Dwarf",POWER(Upgrades!$U$13,E126),1)*IF(Upgrades!$T$14="Brown Dwarf",POWER(Upgrades!$U$14,F126),1)*IF(Upgrades!$T$15="Brown Dwarf",POWER(Upgrades!$U$15,G126),1)*IF(Upgrades!$T$16="Brown Dwarf",POWER(Upgrades!$U$16,H126),1)*IF(Upgrades!$T$18="Brown Dwarf",POWER(Upgrades!$U$18,J126),1)*IF(Upgrades!$T$19="Brown Dwarf",POWER(Upgrades!$U$19,K126),1)*IF(Upgrades!$T$20="Brown Dwarf",POWER(Upgrades!$U$20,L126),1)*IF(Upgrades!$T$21="Brown Dwarf",POWER(Upgrades!$U$21,M126),1))*POWER(Upgrades!$P$13,E126)*POWER(Upgrades!$P$14,F126)*POWER(Upgrades!$P$15,G126)*POWER(Upgrades!$P$16,H126)*POWER(Upgrades!$P$17,I126)*POWER(Upgrades!$P$18,J126)*POWER(Upgrades!$P$19,K126)*POWER(Upgrades!$P$20,L126)*POWER(Upgrades!$P$21,M126)*$F$6*60</f>
        <v/>
      </c>
      <c r="AF126" s="27" t="n">
        <v>0</v>
      </c>
      <c r="AG126" s="27" t="n">
        <v>0</v>
      </c>
      <c r="AH126" s="27" t="n">
        <v>0</v>
      </c>
      <c r="AI126" s="27">
        <f>(IF(M126=0,0,(Upgrades!$G$21+M126*Upgrades!$H$21)*POWER(Upgrades!$I$21,M126)))*(IF(Upgrades!$T$13="Moving Group",POWER(Upgrades!$U$13,E126),1)*IF(Upgrades!$T$14="Moving Group",POWER(Upgrades!$U$14,F126),1)*IF(Upgrades!$T$15="Moving Group",POWER(Upgrades!$U$15,G126),1)*IF(Upgrades!$T$16="Moving Group",POWER(Upgrades!$U$16,H126),1)*IF(Upgrades!$T$17="Moving Group",POWER(Upgrades!$U$17,I126),1)*IF(Upgrades!$T$18="Moving Group",POWER(Upgrades!$U$18,J126),1)*IF(Upgrades!$T$19="Moving Group",POWER(Upgrades!$U$19,K126),1)*IF(Upgrades!$T$20="Moving Group",POWER(Upgrades!$U$20,L126),1))*POWER(Upgrades!$P$13,E126)*POWER(Upgrades!$P$14,F126)*POWER(Upgrades!$P$15,G126)*POWER(Upgrades!$P$16,H126)*POWER(Upgrades!$P$17,I126)*POWER(Upgrades!$P$18,J126)*POWER(Upgrades!$P$19,K126)*POWER(Upgrades!$P$20,L126)*POWER(Upgrades!$P$21,M126)*$F$6*60</f>
        <v/>
      </c>
      <c r="AJ126" s="27">
        <f>$C$6*60</f>
        <v/>
      </c>
      <c r="AK126" s="22">
        <f>IF(E126&gt;=Upgrades!$E$13,"",Upgrades!$C$13*POWER(Upgrades!$D$13,E126))</f>
        <v/>
      </c>
      <c r="AL126" s="22">
        <f>IF(F126&gt;=Upgrades!$E$14,"",Upgrades!$C$14*POWER(Upgrades!$D$14,F126))</f>
        <v/>
      </c>
      <c r="AM126" s="22">
        <f>IF(G126&gt;=Upgrades!$E$15,"",Upgrades!$C$15*POWER(Upgrades!$D$15,G126))</f>
        <v/>
      </c>
      <c r="AN126" s="22">
        <f>IF(H126&gt;=Upgrades!$E$16,"",Upgrades!$C$16*POWER(Upgrades!$D$16,H126))</f>
        <v/>
      </c>
      <c r="AO126" s="22">
        <f>IF(I126&gt;=Upgrades!$E$17,"",Upgrades!$C$17*POWER(Upgrades!$D$17,I126))</f>
        <v/>
      </c>
      <c r="AP126" s="22">
        <f>IF(J126&gt;=Upgrades!$E$18,"",Upgrades!$C$18*POWER(Upgrades!$D$18,J126))</f>
        <v/>
      </c>
      <c r="AQ126" s="22">
        <f>IF(K126&gt;=Upgrades!$E$19,"",Upgrades!$C$19*POWER(Upgrades!$D$19,K126))</f>
        <v/>
      </c>
      <c r="AR126" s="22">
        <f>IF(L126&gt;=Upgrades!$E$20,"",Upgrades!$C$20*POWER(Upgrades!$D$20,L126))</f>
        <v/>
      </c>
      <c r="AS126" s="22">
        <f>IF(M126&gt;=Upgrades!$E$21,"",Upgrades!$C$21*POWER(Upgrades!$D$21,M126))</f>
        <v/>
      </c>
      <c r="AT126" s="26">
        <f>IF(AND(D126&gt;=Parameters!$B$18*Parameters!$B$19,(I126&gt;=Upgrades!$E$17)*(M126&gt;=Upgrades!$E$21)=1,N126=0),1,"")</f>
        <v/>
      </c>
      <c r="AU126" s="26">
        <f>IF(AND(D126&gt;=Parameters!$B$18*Parameters!$B$19,N126=0),1,"")</f>
        <v/>
      </c>
      <c r="AV126" s="22">
        <f>MIN(IF(ISNUMBER(AP126),AP126,9E15),IF(ISNUMBER(AQ126),AQ126,9E15),IF(ISNUMBER(AR126),AR126,9E15),IF(ISNUMBER(AS126),AS126,9E15))</f>
        <v/>
      </c>
      <c r="AW126" s="22">
        <f>MIN(IF(ISNUMBER(AK126),AK126,9E15),IF(ISNUMBER(AL126),AL126,9E15),IF(ISNUMBER(AM126),AM126,9E15),IF(ISNUMBER(AN126),AN126,9E15),IF(ISNUMBER(AO126),AO126,9E15))</f>
        <v/>
      </c>
      <c r="AX126" s="29">
        <f>IF(BD126&gt;Parameters!$B$21*(MAX(IF(AND(NOT(AND(AU126=1,AT126&lt;&gt;1)),ISNUMBER(AK126),AK126&lt;=(C126+T126)),AY126,0),IF(AND(NOT(AND(AU126=1,AT126&lt;&gt;1)),ISNUMBER(AL126),AL126&lt;=(C126+T126)),AZ126,0),IF(AND(NOT(AND(AU126=1,AT126&lt;&gt;1)),ISNUMBER(AM126),AM126&lt;=(C126+T126)),BA126,0),IF(AND(NOT(AND(AU126=1,AT126&lt;&gt;1)),ISNUMBER(AN126),AN126&lt;=(C126+T126)),BB126,0),IF(AND(ISNUMBER(AO126),AO126&lt;=(C126+T126)),BC126,0))),TRUE,FALSE)</f>
        <v/>
      </c>
      <c r="AY126" s="32">
        <f>IFERROR(Upgrades!$H$13*(POWER(Upgrades!$P$13,E126)*POWER(Upgrades!$P$14,F126)*POWER(Upgrades!$P$15,G126)*POWER(Upgrades!$P$16,H126)*POWER(Upgrades!$P$17,I126)*POWER(Upgrades!$P$18,J126)*POWER(Upgrades!$P$19,K126)*POWER(Upgrades!$P$20,L126)*POWER(Upgrades!$P$21,M126))*(IF(Upgrades!$T$14="Stellar Kinematics",POWER(Upgrades!$U$14,F126),1)*IF(Upgrades!$T$15="Stellar Kinematics",POWER(Upgrades!$U$15,G126),1)*IF(Upgrades!$T$16="Stellar Kinematics",POWER(Upgrades!$U$16,H126),1)*IF(Upgrades!$T$17="Stellar Kinematics",POWER(Upgrades!$U$17,I126),1)*IF(Upgrades!$T$18="Stellar Kinematics",POWER(Upgrades!$U$18,J126),1)*IF(Upgrades!$T$19="Stellar Kinematics",POWER(Upgrades!$U$19,K126),1)*IF(Upgrades!$T$20="Stellar Kinematics",POWER(Upgrades!$U$20,L126),1)*IF(Upgrades!$T$21="Stellar Kinematics",POWER(Upgrades!$U$21,M126),1))*$F$6/AK126,0)</f>
        <v/>
      </c>
      <c r="AZ126" s="32">
        <f>IFERROR(Upgrades!$H$14*(POWER(Upgrades!$P$13,E126)*POWER(Upgrades!$P$14,F126)*POWER(Upgrades!$P$15,G126)*POWER(Upgrades!$P$16,H126)*POWER(Upgrades!$P$17,I126)*POWER(Upgrades!$P$18,J126)*POWER(Upgrades!$P$19,K126)*POWER(Upgrades!$P$20,L126)*POWER(Upgrades!$P$21,M126))*(IF(Upgrades!$T$13="Local Bubble",POWER(Upgrades!$U$13,E126),1)*IF(Upgrades!$T$15="Local Bubble",POWER(Upgrades!$U$15,G126),1)*IF(Upgrades!$T$16="Local Bubble",POWER(Upgrades!$U$16,H126),1)*IF(Upgrades!$T$17="Local Bubble",POWER(Upgrades!$U$17,I126),1)*IF(Upgrades!$T$18="Local Bubble",POWER(Upgrades!$U$18,J126),1)*IF(Upgrades!$T$19="Local Bubble",POWER(Upgrades!$U$19,K126),1)*IF(Upgrades!$T$20="Local Bubble",POWER(Upgrades!$U$20,L126),1)*IF(Upgrades!$T$21="Local Bubble",POWER(Upgrades!$U$21,M126),1))*$F$6/AL126,0)</f>
        <v/>
      </c>
      <c r="BA126" s="32">
        <f>IFERROR(Upgrades!$K$15*(POWER(Upgrades!$Q$13,E126)*POWER(Upgrades!$Q$14,F126)*POWER(Upgrades!$Q$15,G126)*POWER(Upgrades!$Q$16,H126)*POWER(Upgrades!$Q$17,I126)*POWER(Upgrades!$Q$18,J126)*POWER(Upgrades!$Q$19,K126)*POWER(Upgrades!$Q$20,L126)*POWER(Upgrades!$Q$21,M126))*(IF(Upgrades!$T$13="Microlensing",POWER(Upgrades!$U$13,E126),1)*IF(Upgrades!$T$14="Microlensing",POWER(Upgrades!$U$14,F126),1)*IF(Upgrades!$T$16="Microlensing",POWER(Upgrades!$U$16,H126),1)*IF(Upgrades!$T$17="Microlensing",POWER(Upgrades!$U$17,I126),1)*IF(Upgrades!$T$18="Microlensing",POWER(Upgrades!$U$18,J126),1)*IF(Upgrades!$T$19="Microlensing",POWER(Upgrades!$U$19,K126),1)*IF(Upgrades!$T$20="Microlensing",POWER(Upgrades!$U$20,L126),1)*IF(Upgrades!$T$21="Microlensing",POWER(Upgrades!$U$21,M126),1))*$G$6*(Parameters!$B$10/60*Parameters!$B$11+Q126)/AM126,0)</f>
        <v/>
      </c>
      <c r="BB126" s="32">
        <f>IFERROR((Upgrades!$N$16*(POWER(Upgrades!$R$13,E126)*POWER(Upgrades!$R$14,F126)*POWER(Upgrades!$R$15,G126)*POWER(Upgrades!$R$16,H126)*POWER(Upgrades!$R$17,I126)*POWER(Upgrades!$R$18,J126)*POWER(Upgrades!$R$19,K126)*POWER(Upgrades!$R$20,L126)*POWER(Upgrades!$R$21,M126))*(IF(Upgrades!$T$13="Roche Lobe Overflow",POWER(Upgrades!$U$13,E126),1)*IF(Upgrades!$T$14="Roche Lobe Overflow",POWER(Upgrades!$U$14,F126),1)*IF(Upgrades!$T$15="Roche Lobe Overflow",POWER(Upgrades!$U$15,G126),1)*IF(Upgrades!$T$17="Roche Lobe Overflow",POWER(Upgrades!$U$17,I126),1)*IF(Upgrades!$T$18="Roche Lobe Overflow",POWER(Upgrades!$U$18,J126),1)*IF(Upgrades!$T$19="Roche Lobe Overflow",POWER(Upgrades!$U$19,K126),1)*IF(Upgrades!$T$20="Roche Lobe Overflow",POWER(Upgrades!$U$20,L126),1)*IF(Upgrades!$T$21="Roche Lobe Overflow",POWER(Upgrades!$U$21,M126),1))*$H$6*O126+((IF(F126=0,0,(Upgrades!$G$14+F126*Upgrades!$H$14)*POWER(Upgrades!$I$14,F126)))*(IF(Upgrades!$T$13="Local Bubble",POWER(Upgrades!$U$13,E126),1)*IF(Upgrades!$T$15="Local Bubble",POWER(Upgrades!$U$15,G126),1)*IF(Upgrades!$T$16="Local Bubble",POWER(Upgrades!$U$16,H126),1)*IF(Upgrades!$T$17="Local Bubble",POWER(Upgrades!$U$17,I126),1)*IF(Upgrades!$T$18="Local Bubble",POWER(Upgrades!$U$18,J126),1)*IF(Upgrades!$T$19="Local Bubble",POWER(Upgrades!$U$19,K126),1)*IF(Upgrades!$T$20="Local Bubble",POWER(Upgrades!$U$20,L126),1)*IF(Upgrades!$T$21="Local Bubble",POWER(Upgrades!$U$21,M126),1))*POWER(Upgrades!$P$13,E126)*POWER(Upgrades!$P$14,F126)*POWER(Upgrades!$P$15,G126)*POWER(Upgrades!$P$16,H126)*POWER(Upgrades!$P$17,I126)*POWER(Upgrades!$P$18,J126)*POWER(Upgrades!$P$19,K126)*POWER(Upgrades!$P$20,L126)*POWER(Upgrades!$P$21,M126)*$F$6)*0.05)/AN126,0)</f>
        <v/>
      </c>
      <c r="BC126" s="32">
        <f>IFERROR((Upgrades!$H$17*(POWER(Upgrades!$P$13,E126)*POWER(Upgrades!$P$14,F126)*POWER(Upgrades!$P$15,G126)*POWER(Upgrades!$P$16,H126)*POWER(Upgrades!$P$17,I126)*POWER(Upgrades!$P$18,J126)*POWER(Upgrades!$P$19,K126)*POWER(Upgrades!$P$20,L126)*POWER(Upgrades!$P$21,M126))*(IF(Upgrades!$T$13="Brown Dwarf",POWER(Upgrades!$U$13,E126),1)*IF(Upgrades!$T$14="Brown Dwarf",POWER(Upgrades!$U$14,F126),1)*IF(Upgrades!$T$15="Brown Dwarf",POWER(Upgrades!$U$15,G126),1)*IF(Upgrades!$T$16="Brown Dwarf",POWER(Upgrades!$U$16,H126),1)*IF(Upgrades!$T$18="Brown Dwarf",POWER(Upgrades!$U$18,J126),1)*IF(Upgrades!$T$19="Brown Dwarf",POWER(Upgrades!$U$19,K126),1)*IF(Upgrades!$T$20="Brown Dwarf",POWER(Upgrades!$U$20,L126),1)*IF(Upgrades!$T$21="Brown Dwarf",POWER(Upgrades!$U$21,M126),1))*$F$6+(((IF(H126=0,0,(Upgrades!$M$16+H126*Upgrades!$N$16)*POWER(Upgrades!$O$16,H126)))*(IF(Upgrades!$T$13="Roche Lobe Overflow",POWER(Upgrades!$U$13,E126),1)*IF(Upgrades!$T$14="Roche Lobe Overflow",POWER(Upgrades!$U$14,F126),1)*IF(Upgrades!$T$15="Roche Lobe Overflow",POWER(Upgrades!$U$15,G126),1)*IF(Upgrades!$T$17="Roche Lobe Overflow",POWER(Upgrades!$U$17,I126),1)*IF(Upgrades!$T$18="Roche Lobe Overflow",POWER(Upgrades!$U$18,J126),1)*IF(Upgrades!$T$19="Roche Lobe Overflow",POWER(Upgrades!$U$19,K126),1)*IF(Upgrades!$T$20="Roche Lobe Overflow",POWER(Upgrades!$U$20,L126),1)*IF(Upgrades!$T$21="Roche Lobe Overflow",POWER(Upgrades!$U$21,M126),1))*POWER(Upgrades!$R$13,E126)*POWER(Upgrades!$R$14,F126)*POWER(Upgrades!$R$15,G126)*POWER(Upgrades!$R$16,H126)*POWER(Upgrades!$R$17,I126)*POWER(Upgrades!$R$18,J126)*POWER(Upgrades!$R$19,K126)*POWER(Upgrades!$R$20,L126)*POWER(Upgrades!$R$21,M126)*$H$6)*O126)*0.10)/AO126,0)</f>
        <v/>
      </c>
      <c r="BD126" s="32">
        <f>MAX(IF(J126&gt;0,0,IFERROR(0.5*((IF(G126=0,0,(Upgrades!$J$15+G126*Upgrades!$K$15)*POWER(Upgrades!$L$15,G126)))*(IF(Upgrades!$T$13="Microlensing",POWER(Upgrades!$U$13,E126),1)*IF(Upgrades!$T$14="Microlensing",POWER(Upgrades!$U$14,F126),1)*IF(Upgrades!$T$16="Microlensing",POWER(Upgrades!$U$16,H126),1)*IF(Upgrades!$T$17="Microlensing",POWER(Upgrades!$U$17,I126),1)*IF(Upgrades!$T$18="Microlensing",POWER(Upgrades!$U$18,J126),1)*IF(Upgrades!$T$19="Microlensing",POWER(Upgrades!$U$19,K126),1)*IF(Upgrades!$T$20="Microlensing",POWER(Upgrades!$U$20,L126),1)*IF(Upgrades!$T$21="Microlensing",POWER(Upgrades!$U$21,M126),1))*(POWER(Upgrades!$Q$13,E126)*POWER(Upgrades!$Q$14,F126)*POWER(Upgrades!$Q$15,G126)*POWER(Upgrades!$Q$16,H126)*POWER(Upgrades!$Q$17,I126)*POWER(Upgrades!$Q$18,J126)*POWER(Upgrades!$Q$19,K126)*POWER(Upgrades!$Q$20,L126)*POWER(Upgrades!$Q$21,M126))*$G$6*(Parameters!$B$10/60*Parameters!$B$11+Q126))/Upgrades!$C$18,0)),IF(K126&gt;0,0,IFERROR(0.30*P126/Upgrades!$C$19,0)),IF(L126&gt;0,0,IFERROR(0.0001/Upgrades!$C$20,0)),IF(M126&gt;0,0,IFERROR((6.0*(POWER(Upgrades!$P$13,E126)*POWER(Upgrades!$P$14,F126)*POWER(Upgrades!$P$15,G126)*POWER(Upgrades!$P$16,H126)*POWER(Upgrades!$P$17,I126)*POWER(Upgrades!$P$18,J126)*POWER(Upgrades!$P$19,K126)*POWER(Upgrades!$P$20,L126)*POWER(Upgrades!$P$21,M126))*$F$6+0.20*O126*(Parameters!$B$10/60*Parameters!$B$11+Q126))/Upgrades!$C$21,0)),IF(AND(ISNUMBER(AK126),AK126&gt;(C126+T126)),AY126,0),IF(AND(ISNUMBER(AL126),AL126&gt;(C126+T126)),AZ126,0),IF(AND(ISNUMBER(AM126),AM126&gt;(C126+T126)),BA126,0),IF(AND(ISNUMBER(AN126),AN126&gt;(C126+T126)),BB126,0),IF(AND(ISNUMBER(AO126),AO126&gt;(C126+T126)),BC126,0))</f>
        <v/>
      </c>
      <c r="BE126" s="29">
        <f>IF(AT126=1,"transition",IF(MIN(IF(AND(J126=0,ISNUMBER(AP126),AP126&lt;=(C126+T126)),AP126,9E15),IF(AND(K126=0,ISNUMBER(AQ126),AQ126&lt;=(C126+T126)),AQ126,9E15),IF(AND(L126=0,ISNUMBER(AR126),AR126&lt;=(C126+T126)),AR126,9E15),IF(AND(M126=0,ISNUMBER(AS126),AS126&lt;=(C126+T126)),AS126,9E15))&lt;9E15,IF(AND(AND(J126=0,ISNUMBER(AP126),AP126&lt;=(C126+T126)),AP126=MIN(IF(AND(J126=0,ISNUMBER(AP126),AP126&lt;=(C126+T126)),AP126,9E15),IF(AND(K126=0,ISNUMBER(AQ126),AQ126&lt;=(C126+T126)),AQ126,9E15),IF(AND(L126=0,ISNUMBER(AR126),AR126&lt;=(C126+T126)),AR126,9E15),IF(AND(M126=0,ISNUMBER(AS126),AS126&lt;=(C126+T126)),AS126,9E15))),"BiP",IF(AND(AND(K126=0,ISNUMBER(AQ126),AQ126&lt;=(C126+T126)),AQ126=MIN(IF(AND(J126=0,ISNUMBER(AP126),AP126&lt;=(C126+T126)),AP126,9E15),IF(AND(K126=0,ISNUMBER(AQ126),AQ126&lt;=(C126+T126)),AQ126,9E15),IF(AND(L126=0,ISNUMBER(AR126),AR126&lt;=(C126+T126)),AR126,9E15),IF(AND(M126=0,ISNUMBER(AS126),AS126&lt;=(C126+T126)),AS126,9E15))),"PV",IF(AND(AND(L126=0,ISNUMBER(AR126),AR126&lt;=(C126+T126)),AR126=MIN(IF(AND(J126=0,ISNUMBER(AP126),AP126&lt;=(C126+T126)),AP126,9E15),IF(AND(K126=0,ISNUMBER(AQ126),AQ126&lt;=(C126+T126)),AQ126,9E15),IF(AND(L126=0,ISNUMBER(AR126),AR126&lt;=(C126+T126)),AR126,9E15),IF(AND(M126=0,ISNUMBER(AS126),AS126&lt;=(C126+T126)),AS126,9E15))),"OC","MG"))),IF(AX126=TRUE,"",IF(MAX(IF(AND(NOT(AND(AU126=1,AT126&lt;&gt;1)),ISNUMBER(AK126),AK126&lt;=(C126+T126)),AY126,0),IF(AND(NOT(AND(AU126=1,AT126&lt;&gt;1)),ISNUMBER(AL126),AL126&lt;=(C126+T126)),AZ126,0),IF(AND(NOT(AND(AU126=1,AT126&lt;&gt;1)),ISNUMBER(AM126),AM126&lt;=(C126+T126)),BA126,0),IF(AND(NOT(AND(AU126=1,AT126&lt;&gt;1)),ISNUMBER(AN126),AN126&lt;=(C126+T126)),BB126,0),IF(AND(ISNUMBER(AO126),AO126&lt;=(C126+T126)),BC126,0))&lt;=0,"",IF(AND(IF(AND(NOT(AND(AU126=1,AT126&lt;&gt;1)),ISNUMBER(AK126),AK126&lt;=(C126+T126)),AY126,0)&gt;0,IF(AND(NOT(AND(AU126=1,AT126&lt;&gt;1)),ISNUMBER(AK126),AK126&lt;=(C126+T126)),AY126,0)=MAX(IF(AND(NOT(AND(AU126=1,AT126&lt;&gt;1)),ISNUMBER(AK126),AK126&lt;=(C126+T126)),AY126,0),IF(AND(NOT(AND(AU126=1,AT126&lt;&gt;1)),ISNUMBER(AL126),AL126&lt;=(C126+T126)),AZ126,0),IF(AND(NOT(AND(AU126=1,AT126&lt;&gt;1)),ISNUMBER(AM126),AM126&lt;=(C126+T126)),BA126,0),IF(AND(NOT(AND(AU126=1,AT126&lt;&gt;1)),ISNUMBER(AN126),AN126&lt;=(C126+T126)),BB126,0),IF(AND(ISNUMBER(AO126),AO126&lt;=(C126+T126)),BC126,0))),"SK",IF(AND(IF(AND(NOT(AND(AU126=1,AT126&lt;&gt;1)),ISNUMBER(AL126),AL126&lt;=(C126+T126)),AZ126,0)&gt;0,IF(AND(NOT(AND(AU126=1,AT126&lt;&gt;1)),ISNUMBER(AL126),AL126&lt;=(C126+T126)),AZ126,0)=MAX(IF(AND(NOT(AND(AU126=1,AT126&lt;&gt;1)),ISNUMBER(AK126),AK126&lt;=(C126+T126)),AY126,0),IF(AND(NOT(AND(AU126=1,AT126&lt;&gt;1)),ISNUMBER(AL126),AL126&lt;=(C126+T126)),AZ126,0),IF(AND(NOT(AND(AU126=1,AT126&lt;&gt;1)),ISNUMBER(AM126),AM126&lt;=(C126+T126)),BA126,0),IF(AND(NOT(AND(AU126=1,AT126&lt;&gt;1)),ISNUMBER(AN126),AN126&lt;=(C126+T126)),BB126,0),IF(AND(ISNUMBER(AO126),AO126&lt;=(C126+T126)),BC126,0))),"LB",IF(AND(IF(AND(NOT(AND(AU126=1,AT126&lt;&gt;1)),ISNUMBER(AM126),AM126&lt;=(C126+T126)),BA126,0)&gt;0,IF(AND(NOT(AND(AU126=1,AT126&lt;&gt;1)),ISNUMBER(AM126),AM126&lt;=(C126+T126)),BA126,0)=MAX(IF(AND(NOT(AND(AU126=1,AT126&lt;&gt;1)),ISNUMBER(AK126),AK126&lt;=(C126+T126)),AY126,0),IF(AND(NOT(AND(AU126=1,AT126&lt;&gt;1)),ISNUMBER(AL126),AL126&lt;=(C126+T126)),AZ126,0),IF(AND(NOT(AND(AU126=1,AT126&lt;&gt;1)),ISNUMBER(AM126),AM126&lt;=(C126+T126)),BA126,0),IF(AND(NOT(AND(AU126=1,AT126&lt;&gt;1)),ISNUMBER(AN126),AN126&lt;=(C126+T126)),BB126,0),IF(AND(ISNUMBER(AO126),AO126&lt;=(C126+T126)),BC126,0))),"ML",IF(AND(IF(AND(NOT(AND(AU126=1,AT126&lt;&gt;1)),ISNUMBER(AN126),AN126&lt;=(C126+T126)),BB126,0)&gt;0,IF(AND(NOT(AND(AU126=1,AT126&lt;&gt;1)),ISNUMBER(AN126),AN126&lt;=(C126+T126)),BB126,0)=MAX(IF(AND(NOT(AND(AU126=1,AT126&lt;&gt;1)),ISNUMBER(AK126),AK126&lt;=(C126+T126)),AY126,0),IF(AND(NOT(AND(AU126=1,AT126&lt;&gt;1)),ISNUMBER(AL126),AL126&lt;=(C126+T126)),AZ126,0),IF(AND(NOT(AND(AU126=1,AT126&lt;&gt;1)),ISNUMBER(AM126),AM126&lt;=(C126+T126)),BA126,0),IF(AND(NOT(AND(AU126=1,AT126&lt;&gt;1)),ISNUMBER(AN126),AN126&lt;=(C126+T126)),BB126,0),IF(AND(ISNUMBER(AO126),AO126&lt;=(C126+T126)),BC126,0))),"RLO","BD"))))))))</f>
        <v/>
      </c>
    </row>
    <row r="127">
      <c r="A127" s="26" t="n">
        <v>116</v>
      </c>
      <c r="B127" s="27">
        <f>A127*10/60</f>
        <v/>
      </c>
      <c r="C127" s="22">
        <f>X126</f>
        <v/>
      </c>
      <c r="D127" s="27">
        <f>D126+W126</f>
        <v/>
      </c>
      <c r="E127" s="26">
        <f>E126+IF(U126="SK",1,0)</f>
        <v/>
      </c>
      <c r="F127" s="26">
        <f>F126+IF(U126="LB",1,0)</f>
        <v/>
      </c>
      <c r="G127" s="26">
        <f>G126+IF(U126="ML",1,0)</f>
        <v/>
      </c>
      <c r="H127" s="26">
        <f>H126+IF(U126="RLO",1,0)</f>
        <v/>
      </c>
      <c r="I127" s="26">
        <f>I126+IF(U126="BD",1,0)</f>
        <v/>
      </c>
      <c r="J127" s="26">
        <f>MAX(J126,IF(U126="BiP",1,0))</f>
        <v/>
      </c>
      <c r="K127" s="26">
        <f>MAX(K126,IF(U126="PV",1,0))</f>
        <v/>
      </c>
      <c r="L127" s="26">
        <f>MAX(L126,IF(U126="OC",1,0))</f>
        <v/>
      </c>
      <c r="M127" s="26">
        <f>MAX(M126,IF(U126="MG",1,0))</f>
        <v/>
      </c>
      <c r="N127" s="26">
        <f>MAX(N126,IF(U126="transition",1,0))</f>
        <v/>
      </c>
      <c r="O127" s="28">
        <f>(Parameters!$B$9+(IF(E127=0,0,(Upgrades!$J$13+E127*Upgrades!$K$13)*POWER(Upgrades!$L$13,E127)))*(IF(Upgrades!$T$14="Stellar Kinematics",POWER(Upgrades!$U$14,F127),1)*IF(Upgrades!$T$15="Stellar Kinematics",POWER(Upgrades!$U$15,G127),1)*IF(Upgrades!$T$16="Stellar Kinematics",POWER(Upgrades!$U$16,H127),1)*IF(Upgrades!$T$17="Stellar Kinematics",POWER(Upgrades!$U$17,I127),1)*IF(Upgrades!$T$18="Stellar Kinematics",POWER(Upgrades!$U$18,J127),1)*IF(Upgrades!$T$19="Stellar Kinematics",POWER(Upgrades!$U$19,K127),1)*IF(Upgrades!$T$20="Stellar Kinematics",POWER(Upgrades!$U$20,L127),1)*IF(Upgrades!$T$21="Stellar Kinematics",POWER(Upgrades!$U$21,M127),1))+(IF(F127=0,0,(Upgrades!$J$14+F127*Upgrades!$K$14)*POWER(Upgrades!$L$14,F127)))*(IF(Upgrades!$T$13="Local Bubble",POWER(Upgrades!$U$13,E127),1)*IF(Upgrades!$T$15="Local Bubble",POWER(Upgrades!$U$15,G127),1)*IF(Upgrades!$T$16="Local Bubble",POWER(Upgrades!$U$16,H127),1)*IF(Upgrades!$T$17="Local Bubble",POWER(Upgrades!$U$17,I127),1)*IF(Upgrades!$T$18="Local Bubble",POWER(Upgrades!$U$18,J127),1)*IF(Upgrades!$T$19="Local Bubble",POWER(Upgrades!$U$19,K127),1)*IF(Upgrades!$T$20="Local Bubble",POWER(Upgrades!$U$20,L127),1)*IF(Upgrades!$T$21="Local Bubble",POWER(Upgrades!$U$21,M127),1))+(IF(G127=0,0,(Upgrades!$J$15+G127*Upgrades!$K$15)*POWER(Upgrades!$L$15,G127)))*(IF(Upgrades!$T$13="Microlensing",POWER(Upgrades!$U$13,E127),1)*IF(Upgrades!$T$14="Microlensing",POWER(Upgrades!$U$14,F127),1)*IF(Upgrades!$T$16="Microlensing",POWER(Upgrades!$U$16,H127),1)*IF(Upgrades!$T$17="Microlensing",POWER(Upgrades!$U$17,I127),1)*IF(Upgrades!$T$18="Microlensing",POWER(Upgrades!$U$18,J127),1)*IF(Upgrades!$T$19="Microlensing",POWER(Upgrades!$U$19,K127),1)*IF(Upgrades!$T$20="Microlensing",POWER(Upgrades!$U$20,L127),1)*IF(Upgrades!$T$21="Microlensing",POWER(Upgrades!$U$21,M127),1))+(IF(H127=0,0,(Upgrades!$J$16+H127*Upgrades!$K$16)*POWER(Upgrades!$L$16,H127)))*(IF(Upgrades!$T$13="Roche Lobe Overflow",POWER(Upgrades!$U$13,E127),1)*IF(Upgrades!$T$14="Roche Lobe Overflow",POWER(Upgrades!$U$14,F127),1)*IF(Upgrades!$T$15="Roche Lobe Overflow",POWER(Upgrades!$U$15,G127),1)*IF(Upgrades!$T$17="Roche Lobe Overflow",POWER(Upgrades!$U$17,I127),1)*IF(Upgrades!$T$18="Roche Lobe Overflow",POWER(Upgrades!$U$18,J127),1)*IF(Upgrades!$T$19="Roche Lobe Overflow",POWER(Upgrades!$U$19,K127),1)*IF(Upgrades!$T$20="Roche Lobe Overflow",POWER(Upgrades!$U$20,L127),1)*IF(Upgrades!$T$21="Roche Lobe Overflow",POWER(Upgrades!$U$21,M127),1))+(IF(I127=0,0,(Upgrades!$J$17+I127*Upgrades!$K$17)*POWER(Upgrades!$L$17,I127)))*(IF(Upgrades!$T$13="Brown Dwarf",POWER(Upgrades!$U$13,E127),1)*IF(Upgrades!$T$14="Brown Dwarf",POWER(Upgrades!$U$14,F127),1)*IF(Upgrades!$T$15="Brown Dwarf",POWER(Upgrades!$U$15,G127),1)*IF(Upgrades!$T$16="Brown Dwarf",POWER(Upgrades!$U$16,H127),1)*IF(Upgrades!$T$18="Brown Dwarf",POWER(Upgrades!$U$18,J127),1)*IF(Upgrades!$T$19="Brown Dwarf",POWER(Upgrades!$U$19,K127),1)*IF(Upgrades!$T$20="Brown Dwarf",POWER(Upgrades!$U$20,L127),1)*IF(Upgrades!$T$21="Brown Dwarf",POWER(Upgrades!$U$21,M127),1))+(IF(J127=0,0,(Upgrades!$J$18+J127*Upgrades!$K$18)*POWER(Upgrades!$L$18,J127)))*(IF(Upgrades!$T$13="Binary Partner",POWER(Upgrades!$U$13,E127),1)*IF(Upgrades!$T$14="Binary Partner",POWER(Upgrades!$U$14,F127),1)*IF(Upgrades!$T$15="Binary Partner",POWER(Upgrades!$U$15,G127),1)*IF(Upgrades!$T$16="Binary Partner",POWER(Upgrades!$U$16,H127),1)*IF(Upgrades!$T$17="Binary Partner",POWER(Upgrades!$U$17,I127),1)*IF(Upgrades!$T$19="Binary Partner",POWER(Upgrades!$U$19,K127),1)*IF(Upgrades!$T$20="Binary Partner",POWER(Upgrades!$U$20,L127),1)*IF(Upgrades!$T$21="Binary Partner",POWER(Upgrades!$U$21,M127),1))+(IF(K127=0,0,(Upgrades!$J$19+K127*Upgrades!$K$19)*POWER(Upgrades!$L$19,K127)))*(IF(Upgrades!$T$13="Peculiar Velocity",POWER(Upgrades!$U$13,E127),1)*IF(Upgrades!$T$14="Peculiar Velocity",POWER(Upgrades!$U$14,F127),1)*IF(Upgrades!$T$15="Peculiar Velocity",POWER(Upgrades!$U$15,G127),1)*IF(Upgrades!$T$16="Peculiar Velocity",POWER(Upgrades!$U$16,H127),1)*IF(Upgrades!$T$17="Peculiar Velocity",POWER(Upgrades!$U$17,I127),1)*IF(Upgrades!$T$18="Peculiar Velocity",POWER(Upgrades!$U$18,J127),1)*IF(Upgrades!$T$20="Peculiar Velocity",POWER(Upgrades!$U$20,L127),1)*IF(Upgrades!$T$21="Peculiar Velocity",POWER(Upgrades!$U$21,M127),1))+(IF(L127=0,0,(Upgrades!$J$20+L127*Upgrades!$K$20)*POWER(Upgrades!$L$20,L127)))*(IF(Upgrades!$T$13="Open Cluster",POWER(Upgrades!$U$13,E127),1)*IF(Upgrades!$T$14="Open Cluster",POWER(Upgrades!$U$14,F127),1)*IF(Upgrades!$T$15="Open Cluster",POWER(Upgrades!$U$15,G127),1)*IF(Upgrades!$T$16="Open Cluster",POWER(Upgrades!$U$16,H127),1)*IF(Upgrades!$T$17="Open Cluster",POWER(Upgrades!$U$17,I127),1)*IF(Upgrades!$T$18="Open Cluster",POWER(Upgrades!$U$18,J127),1)*IF(Upgrades!$T$19="Open Cluster",POWER(Upgrades!$U$19,K127),1)*IF(Upgrades!$T$21="Open Cluster",POWER(Upgrades!$U$21,M127),1))+(IF(M127=0,0,(Upgrades!$J$21+M127*Upgrades!$K$21)*POWER(Upgrades!$L$21,M127)))*(IF(Upgrades!$T$13="Moving Group",POWER(Upgrades!$U$13,E127),1)*IF(Upgrades!$T$14="Moving Group",POWER(Upgrades!$U$14,F127),1)*IF(Upgrades!$T$15="Moving Group",POWER(Upgrades!$U$15,G127),1)*IF(Upgrades!$T$16="Moving Group",POWER(Upgrades!$U$16,H127),1)*IF(Upgrades!$T$17="Moving Group",POWER(Upgrades!$U$17,I127),1)*IF(Upgrades!$T$18="Moving Group",POWER(Upgrades!$U$18,J127),1)*IF(Upgrades!$T$19="Moving Group",POWER(Upgrades!$U$19,K127),1)*IF(Upgrades!$T$20="Moving Group",POWER(Upgrades!$U$20,L127),1)))*POWER(Upgrades!$Q$13,E127)*POWER(Upgrades!$Q$14,F127)*POWER(Upgrades!$Q$15,G127)*POWER(Upgrades!$Q$16,H127)*POWER(Upgrades!$Q$17,I127)*POWER(Upgrades!$Q$18,J127)*POWER(Upgrades!$Q$19,K127)*POWER(Upgrades!$Q$20,L127)*POWER(Upgrades!$Q$21,M127)*$G$6+$D$6</f>
        <v/>
      </c>
      <c r="P127" s="28">
        <f>((IF(E127=0,0,(Upgrades!$G$13+E127*Upgrades!$H$13)*POWER(Upgrades!$I$13,E127)))*(IF(Upgrades!$T$14="Stellar Kinematics",POWER(Upgrades!$U$14,F127),1)*IF(Upgrades!$T$15="Stellar Kinematics",POWER(Upgrades!$U$15,G127),1)*IF(Upgrades!$T$16="Stellar Kinematics",POWER(Upgrades!$U$16,H127),1)*IF(Upgrades!$T$17="Stellar Kinematics",POWER(Upgrades!$U$17,I127),1)*IF(Upgrades!$T$18="Stellar Kinematics",POWER(Upgrades!$U$18,J127),1)*IF(Upgrades!$T$19="Stellar Kinematics",POWER(Upgrades!$U$19,K127),1)*IF(Upgrades!$T$20="Stellar Kinematics",POWER(Upgrades!$U$20,L127),1)*IF(Upgrades!$T$21="Stellar Kinematics",POWER(Upgrades!$U$21,M127),1))+(IF(F127=0,0,(Upgrades!$G$14+F127*Upgrades!$H$14)*POWER(Upgrades!$I$14,F127)))*(IF(Upgrades!$T$13="Local Bubble",POWER(Upgrades!$U$13,E127),1)*IF(Upgrades!$T$15="Local Bubble",POWER(Upgrades!$U$15,G127),1)*IF(Upgrades!$T$16="Local Bubble",POWER(Upgrades!$U$16,H127),1)*IF(Upgrades!$T$17="Local Bubble",POWER(Upgrades!$U$17,I127),1)*IF(Upgrades!$T$18="Local Bubble",POWER(Upgrades!$U$18,J127),1)*IF(Upgrades!$T$19="Local Bubble",POWER(Upgrades!$U$19,K127),1)*IF(Upgrades!$T$20="Local Bubble",POWER(Upgrades!$U$20,L127),1)*IF(Upgrades!$T$21="Local Bubble",POWER(Upgrades!$U$21,M127),1))+(IF(G127=0,0,(Upgrades!$G$15+G127*Upgrades!$H$15)*POWER(Upgrades!$I$15,G127)))*(IF(Upgrades!$T$13="Microlensing",POWER(Upgrades!$U$13,E127),1)*IF(Upgrades!$T$14="Microlensing",POWER(Upgrades!$U$14,F127),1)*IF(Upgrades!$T$16="Microlensing",POWER(Upgrades!$U$16,H127),1)*IF(Upgrades!$T$17="Microlensing",POWER(Upgrades!$U$17,I127),1)*IF(Upgrades!$T$18="Microlensing",POWER(Upgrades!$U$18,J127),1)*IF(Upgrades!$T$19="Microlensing",POWER(Upgrades!$U$19,K127),1)*IF(Upgrades!$T$20="Microlensing",POWER(Upgrades!$U$20,L127),1)*IF(Upgrades!$T$21="Microlensing",POWER(Upgrades!$U$21,M127),1))+(IF(H127=0,0,(Upgrades!$G$16+H127*Upgrades!$H$16)*POWER(Upgrades!$I$16,H127)))*(IF(Upgrades!$T$13="Roche Lobe Overflow",POWER(Upgrades!$U$13,E127),1)*IF(Upgrades!$T$14="Roche Lobe Overflow",POWER(Upgrades!$U$14,F127),1)*IF(Upgrades!$T$15="Roche Lobe Overflow",POWER(Upgrades!$U$15,G127),1)*IF(Upgrades!$T$17="Roche Lobe Overflow",POWER(Upgrades!$U$17,I127),1)*IF(Upgrades!$T$18="Roche Lobe Overflow",POWER(Upgrades!$U$18,J127),1)*IF(Upgrades!$T$19="Roche Lobe Overflow",POWER(Upgrades!$U$19,K127),1)*IF(Upgrades!$T$20="Roche Lobe Overflow",POWER(Upgrades!$U$20,L127),1)*IF(Upgrades!$T$21="Roche Lobe Overflow",POWER(Upgrades!$U$21,M127),1))+(IF(I127=0,0,(Upgrades!$G$17+I127*Upgrades!$H$17)*POWER(Upgrades!$I$17,I127)))*(IF(Upgrades!$T$13="Brown Dwarf",POWER(Upgrades!$U$13,E127),1)*IF(Upgrades!$T$14="Brown Dwarf",POWER(Upgrades!$U$14,F127),1)*IF(Upgrades!$T$15="Brown Dwarf",POWER(Upgrades!$U$15,G127),1)*IF(Upgrades!$T$16="Brown Dwarf",POWER(Upgrades!$U$16,H127),1)*IF(Upgrades!$T$18="Brown Dwarf",POWER(Upgrades!$U$18,J127),1)*IF(Upgrades!$T$19="Brown Dwarf",POWER(Upgrades!$U$19,K127),1)*IF(Upgrades!$T$20="Brown Dwarf",POWER(Upgrades!$U$20,L127),1)*IF(Upgrades!$T$21="Brown Dwarf",POWER(Upgrades!$U$21,M127),1))+(IF(J127=0,0,(Upgrades!$G$18+J127*Upgrades!$H$18)*POWER(Upgrades!$I$18,J127)))*(IF(Upgrades!$T$13="Binary Partner",POWER(Upgrades!$U$13,E127),1)*IF(Upgrades!$T$14="Binary Partner",POWER(Upgrades!$U$14,F127),1)*IF(Upgrades!$T$15="Binary Partner",POWER(Upgrades!$U$15,G127),1)*IF(Upgrades!$T$16="Binary Partner",POWER(Upgrades!$U$16,H127),1)*IF(Upgrades!$T$17="Binary Partner",POWER(Upgrades!$U$17,I127),1)*IF(Upgrades!$T$19="Binary Partner",POWER(Upgrades!$U$19,K127),1)*IF(Upgrades!$T$20="Binary Partner",POWER(Upgrades!$U$20,L127),1)*IF(Upgrades!$T$21="Binary Partner",POWER(Upgrades!$U$21,M127),1))+(IF(K127=0,0,(Upgrades!$G$19+K127*Upgrades!$H$19)*POWER(Upgrades!$I$19,K127)))*(IF(Upgrades!$T$13="Peculiar Velocity",POWER(Upgrades!$U$13,E127),1)*IF(Upgrades!$T$14="Peculiar Velocity",POWER(Upgrades!$U$14,F127),1)*IF(Upgrades!$T$15="Peculiar Velocity",POWER(Upgrades!$U$15,G127),1)*IF(Upgrades!$T$16="Peculiar Velocity",POWER(Upgrades!$U$16,H127),1)*IF(Upgrades!$T$17="Peculiar Velocity",POWER(Upgrades!$U$17,I127),1)*IF(Upgrades!$T$18="Peculiar Velocity",POWER(Upgrades!$U$18,J127),1)*IF(Upgrades!$T$20="Peculiar Velocity",POWER(Upgrades!$U$20,L127),1)*IF(Upgrades!$T$21="Peculiar Velocity",POWER(Upgrades!$U$21,M127),1))+(IF(L127=0,0,(Upgrades!$G$20+L127*Upgrades!$H$20)*POWER(Upgrades!$I$20,L127)))*(IF(Upgrades!$T$13="Open Cluster",POWER(Upgrades!$U$13,E127),1)*IF(Upgrades!$T$14="Open Cluster",POWER(Upgrades!$U$14,F127),1)*IF(Upgrades!$T$15="Open Cluster",POWER(Upgrades!$U$15,G127),1)*IF(Upgrades!$T$16="Open Cluster",POWER(Upgrades!$U$16,H127),1)*IF(Upgrades!$T$17="Open Cluster",POWER(Upgrades!$U$17,I127),1)*IF(Upgrades!$T$18="Open Cluster",POWER(Upgrades!$U$18,J127),1)*IF(Upgrades!$T$19="Open Cluster",POWER(Upgrades!$U$19,K127),1)*IF(Upgrades!$T$21="Open Cluster",POWER(Upgrades!$U$21,M127),1))+(IF(M127=0,0,(Upgrades!$G$21+M127*Upgrades!$H$21)*POWER(Upgrades!$I$21,M127)))*(IF(Upgrades!$T$13="Moving Group",POWER(Upgrades!$U$13,E127),1)*IF(Upgrades!$T$14="Moving Group",POWER(Upgrades!$U$14,F127),1)*IF(Upgrades!$T$15="Moving Group",POWER(Upgrades!$U$15,G127),1)*IF(Upgrades!$T$16="Moving Group",POWER(Upgrades!$U$16,H127),1)*IF(Upgrades!$T$17="Moving Group",POWER(Upgrades!$U$17,I127),1)*IF(Upgrades!$T$18="Moving Group",POWER(Upgrades!$U$18,J127),1)*IF(Upgrades!$T$19="Moving Group",POWER(Upgrades!$U$19,K127),1)*IF(Upgrades!$T$20="Moving Group",POWER(Upgrades!$U$20,L127),1)))*POWER(Upgrades!$P$13,E127)*POWER(Upgrades!$P$14,F127)*POWER(Upgrades!$P$15,G127)*POWER(Upgrades!$P$16,H127)*POWER(Upgrades!$P$17,I127)*POWER(Upgrades!$P$18,J127)*POWER(Upgrades!$P$19,K127)*POWER(Upgrades!$P$20,L127)*POWER(Upgrades!$P$21,M127)*$F$6+$C$6</f>
        <v/>
      </c>
      <c r="Q127" s="28">
        <f>((IF(E127=0,0,(Upgrades!$M$13+E127*Upgrades!$N$13)*POWER(Upgrades!$O$13,E127)))*(IF(Upgrades!$T$14="Stellar Kinematics",POWER(Upgrades!$U$14,F127),1)*IF(Upgrades!$T$15="Stellar Kinematics",POWER(Upgrades!$U$15,G127),1)*IF(Upgrades!$T$16="Stellar Kinematics",POWER(Upgrades!$U$16,H127),1)*IF(Upgrades!$T$17="Stellar Kinematics",POWER(Upgrades!$U$17,I127),1)*IF(Upgrades!$T$18="Stellar Kinematics",POWER(Upgrades!$U$18,J127),1)*IF(Upgrades!$T$19="Stellar Kinematics",POWER(Upgrades!$U$19,K127),1)*IF(Upgrades!$T$20="Stellar Kinematics",POWER(Upgrades!$U$20,L127),1)*IF(Upgrades!$T$21="Stellar Kinematics",POWER(Upgrades!$U$21,M127),1))+(IF(F127=0,0,(Upgrades!$M$14+F127*Upgrades!$N$14)*POWER(Upgrades!$O$14,F127)))*(IF(Upgrades!$T$13="Local Bubble",POWER(Upgrades!$U$13,E127),1)*IF(Upgrades!$T$15="Local Bubble",POWER(Upgrades!$U$15,G127),1)*IF(Upgrades!$T$16="Local Bubble",POWER(Upgrades!$U$16,H127),1)*IF(Upgrades!$T$17="Local Bubble",POWER(Upgrades!$U$17,I127),1)*IF(Upgrades!$T$18="Local Bubble",POWER(Upgrades!$U$18,J127),1)*IF(Upgrades!$T$19="Local Bubble",POWER(Upgrades!$U$19,K127),1)*IF(Upgrades!$T$20="Local Bubble",POWER(Upgrades!$U$20,L127),1)*IF(Upgrades!$T$21="Local Bubble",POWER(Upgrades!$U$21,M127),1))+(IF(G127=0,0,(Upgrades!$M$15+G127*Upgrades!$N$15)*POWER(Upgrades!$O$15,G127)))*(IF(Upgrades!$T$13="Microlensing",POWER(Upgrades!$U$13,E127),1)*IF(Upgrades!$T$14="Microlensing",POWER(Upgrades!$U$14,F127),1)*IF(Upgrades!$T$16="Microlensing",POWER(Upgrades!$U$16,H127),1)*IF(Upgrades!$T$17="Microlensing",POWER(Upgrades!$U$17,I127),1)*IF(Upgrades!$T$18="Microlensing",POWER(Upgrades!$U$18,J127),1)*IF(Upgrades!$T$19="Microlensing",POWER(Upgrades!$U$19,K127),1)*IF(Upgrades!$T$20="Microlensing",POWER(Upgrades!$U$20,L127),1)*IF(Upgrades!$T$21="Microlensing",POWER(Upgrades!$U$21,M127),1))+(IF(H127=0,0,(Upgrades!$M$16+H127*Upgrades!$N$16)*POWER(Upgrades!$O$16,H127)))*(IF(Upgrades!$T$13="Roche Lobe Overflow",POWER(Upgrades!$U$13,E127),1)*IF(Upgrades!$T$14="Roche Lobe Overflow",POWER(Upgrades!$U$14,F127),1)*IF(Upgrades!$T$15="Roche Lobe Overflow",POWER(Upgrades!$U$15,G127),1)*IF(Upgrades!$T$17="Roche Lobe Overflow",POWER(Upgrades!$U$17,I127),1)*IF(Upgrades!$T$18="Roche Lobe Overflow",POWER(Upgrades!$U$18,J127),1)*IF(Upgrades!$T$19="Roche Lobe Overflow",POWER(Upgrades!$U$19,K127),1)*IF(Upgrades!$T$20="Roche Lobe Overflow",POWER(Upgrades!$U$20,L127),1)*IF(Upgrades!$T$21="Roche Lobe Overflow",POWER(Upgrades!$U$21,M127),1))+(IF(I127=0,0,(Upgrades!$M$17+I127*Upgrades!$N$17)*POWER(Upgrades!$O$17,I127)))*(IF(Upgrades!$T$13="Brown Dwarf",POWER(Upgrades!$U$13,E127),1)*IF(Upgrades!$T$14="Brown Dwarf",POWER(Upgrades!$U$14,F127),1)*IF(Upgrades!$T$15="Brown Dwarf",POWER(Upgrades!$U$15,G127),1)*IF(Upgrades!$T$16="Brown Dwarf",POWER(Upgrades!$U$16,H127),1)*IF(Upgrades!$T$18="Brown Dwarf",POWER(Upgrades!$U$18,J127),1)*IF(Upgrades!$T$19="Brown Dwarf",POWER(Upgrades!$U$19,K127),1)*IF(Upgrades!$T$20="Brown Dwarf",POWER(Upgrades!$U$20,L127),1)*IF(Upgrades!$T$21="Brown Dwarf",POWER(Upgrades!$U$21,M127),1))+(IF(J127=0,0,(Upgrades!$M$18+J127*Upgrades!$N$18)*POWER(Upgrades!$O$18,J127)))*(IF(Upgrades!$T$13="Binary Partner",POWER(Upgrades!$U$13,E127),1)*IF(Upgrades!$T$14="Binary Partner",POWER(Upgrades!$U$14,F127),1)*IF(Upgrades!$T$15="Binary Partner",POWER(Upgrades!$U$15,G127),1)*IF(Upgrades!$T$16="Binary Partner",POWER(Upgrades!$U$16,H127),1)*IF(Upgrades!$T$17="Binary Partner",POWER(Upgrades!$U$17,I127),1)*IF(Upgrades!$T$19="Binary Partner",POWER(Upgrades!$U$19,K127),1)*IF(Upgrades!$T$20="Binary Partner",POWER(Upgrades!$U$20,L127),1)*IF(Upgrades!$T$21="Binary Partner",POWER(Upgrades!$U$21,M127),1))+(IF(K127=0,0,(Upgrades!$M$19+K127*Upgrades!$N$19)*POWER(Upgrades!$O$19,K127)))*(IF(Upgrades!$T$13="Peculiar Velocity",POWER(Upgrades!$U$13,E127),1)*IF(Upgrades!$T$14="Peculiar Velocity",POWER(Upgrades!$U$14,F127),1)*IF(Upgrades!$T$15="Peculiar Velocity",POWER(Upgrades!$U$15,G127),1)*IF(Upgrades!$T$16="Peculiar Velocity",POWER(Upgrades!$U$16,H127),1)*IF(Upgrades!$T$17="Peculiar Velocity",POWER(Upgrades!$U$17,I127),1)*IF(Upgrades!$T$18="Peculiar Velocity",POWER(Upgrades!$U$18,J127),1)*IF(Upgrades!$T$20="Peculiar Velocity",POWER(Upgrades!$U$20,L127),1)*IF(Upgrades!$T$21="Peculiar Velocity",POWER(Upgrades!$U$21,M127),1))+(IF(L127=0,0,(Upgrades!$M$20+L127*Upgrades!$N$20)*POWER(Upgrades!$O$20,L127)))*(IF(Upgrades!$T$13="Open Cluster",POWER(Upgrades!$U$13,E127),1)*IF(Upgrades!$T$14="Open Cluster",POWER(Upgrades!$U$14,F127),1)*IF(Upgrades!$T$15="Open Cluster",POWER(Upgrades!$U$15,G127),1)*IF(Upgrades!$T$16="Open Cluster",POWER(Upgrades!$U$16,H127),1)*IF(Upgrades!$T$17="Open Cluster",POWER(Upgrades!$U$17,I127),1)*IF(Upgrades!$T$18="Open Cluster",POWER(Upgrades!$U$18,J127),1)*IF(Upgrades!$T$19="Open Cluster",POWER(Upgrades!$U$19,K127),1)*IF(Upgrades!$T$21="Open Cluster",POWER(Upgrades!$U$21,M127),1))+(IF(M127=0,0,(Upgrades!$M$21+M127*Upgrades!$N$21)*POWER(Upgrades!$O$21,M127)))*(IF(Upgrades!$T$13="Moving Group",POWER(Upgrades!$U$13,E127),1)*IF(Upgrades!$T$14="Moving Group",POWER(Upgrades!$U$14,F127),1)*IF(Upgrades!$T$15="Moving Group",POWER(Upgrades!$U$15,G127),1)*IF(Upgrades!$T$16="Moving Group",POWER(Upgrades!$U$16,H127),1)*IF(Upgrades!$T$17="Moving Group",POWER(Upgrades!$U$17,I127),1)*IF(Upgrades!$T$18="Moving Group",POWER(Upgrades!$U$18,J127),1)*IF(Upgrades!$T$19="Moving Group",POWER(Upgrades!$U$19,K127),1)*IF(Upgrades!$T$20="Moving Group",POWER(Upgrades!$U$20,L127),1)))*POWER(Upgrades!$R$13,E127)*POWER(Upgrades!$R$14,F127)*POWER(Upgrades!$R$15,G127)*POWER(Upgrades!$R$16,H127)*POWER(Upgrades!$R$17,I127)*POWER(Upgrades!$R$18,J127)*POWER(Upgrades!$R$19,K127)*POWER(Upgrades!$R$20,L127)*POWER(Upgrades!$R$21,M127)*$H$6+$E$6</f>
        <v/>
      </c>
      <c r="R127" s="27">
        <f>IF(N127=1,0,O127*Parameters!$B$10/60*Parameters!$B$11*10)</f>
        <v/>
      </c>
      <c r="S127" s="27">
        <f>IF(N127=1,0,Q127*O127*10)</f>
        <v/>
      </c>
      <c r="T127" s="27">
        <f>IF(N127=1,0,R127+S127+P127*10)</f>
        <v/>
      </c>
      <c r="U127" s="33">
        <f>BE127</f>
        <v/>
      </c>
      <c r="V127" s="22">
        <f>IF(U127="",0,IF(U127="transition",0,IF(U127="SK",AK127,IF(U127="LB",AL127,IF(U127="ML",AM127,IF(U127="RLO",AN127,IF(U127="BD",AO127,IF(U127="BiP",AP127,IF(U127="PV",AQ127,IF(U127="OC",AR127,IF(U127="MG",AS127,0))))))))))</f>
        <v/>
      </c>
      <c r="W127" s="27">
        <f>IF(U127="BiP",Upgrades!$F$18,IF(U127="PV",Upgrades!$F$19,IF(U127="OC",Upgrades!$F$20,IF(U127="MG",Upgrades!$F$21,IF(U127="transition",-Parameters!$B$18*Parameters!$B$19,0)))))</f>
        <v/>
      </c>
      <c r="X127" s="22">
        <f>C127+T127-V127</f>
        <v/>
      </c>
      <c r="Y127" s="30">
        <f>O127*Parameters!$B$10/60*Parameters!$B$11+Q127*O127+P127</f>
        <v/>
      </c>
      <c r="Z127" s="34">
        <f>IF(U127="transition","→ Tier 3 (Galactic Arm)",IF(U127="MG","Moving Group — pocket drifts together",IF(U127="OC","Open Cluster acquired",IF(U127="PV","Peculiar Velocity — passive multiplier active",IF(U127="BiP","Binary Partner — pair bond formed",IF(AND(AU127=1,N127=0,AT127&lt;&gt;1),"Cohesion ready (waiting on completionists)","")))))) </f>
        <v/>
      </c>
      <c r="AA127" s="27">
        <f>(IF(E127=0,0,(Upgrades!$G$13+E127*Upgrades!$H$13)*POWER(Upgrades!$I$13,E127)))*(IF(Upgrades!$T$14="Stellar Kinematics",POWER(Upgrades!$U$14,F127),1)*IF(Upgrades!$T$15="Stellar Kinematics",POWER(Upgrades!$U$15,G127),1)*IF(Upgrades!$T$16="Stellar Kinematics",POWER(Upgrades!$U$16,H127),1)*IF(Upgrades!$T$17="Stellar Kinematics",POWER(Upgrades!$U$17,I127),1)*IF(Upgrades!$T$18="Stellar Kinematics",POWER(Upgrades!$U$18,J127),1)*IF(Upgrades!$T$19="Stellar Kinematics",POWER(Upgrades!$U$19,K127),1)*IF(Upgrades!$T$20="Stellar Kinematics",POWER(Upgrades!$U$20,L127),1)*IF(Upgrades!$T$21="Stellar Kinematics",POWER(Upgrades!$U$21,M127),1))*POWER(Upgrades!$P$13,E127)*POWER(Upgrades!$P$14,F127)*POWER(Upgrades!$P$15,G127)*POWER(Upgrades!$P$16,H127)*POWER(Upgrades!$P$17,I127)*POWER(Upgrades!$P$18,J127)*POWER(Upgrades!$P$19,K127)*POWER(Upgrades!$P$20,L127)*POWER(Upgrades!$P$21,M127)*$F$6*60</f>
        <v/>
      </c>
      <c r="AB127" s="27">
        <f>(IF(F127=0,0,(Upgrades!$G$14+F127*Upgrades!$H$14)*POWER(Upgrades!$I$14,F127)))*(IF(Upgrades!$T$13="Local Bubble",POWER(Upgrades!$U$13,E127),1)*IF(Upgrades!$T$15="Local Bubble",POWER(Upgrades!$U$15,G127),1)*IF(Upgrades!$T$16="Local Bubble",POWER(Upgrades!$U$16,H127),1)*IF(Upgrades!$T$17="Local Bubble",POWER(Upgrades!$U$17,I127),1)*IF(Upgrades!$T$18="Local Bubble",POWER(Upgrades!$U$18,J127),1)*IF(Upgrades!$T$19="Local Bubble",POWER(Upgrades!$U$19,K127),1)*IF(Upgrades!$T$20="Local Bubble",POWER(Upgrades!$U$20,L127),1)*IF(Upgrades!$T$21="Local Bubble",POWER(Upgrades!$U$21,M127),1))*POWER(Upgrades!$P$13,E127)*POWER(Upgrades!$P$14,F127)*POWER(Upgrades!$P$15,G127)*POWER(Upgrades!$P$16,H127)*POWER(Upgrades!$P$17,I127)*POWER(Upgrades!$P$18,J127)*POWER(Upgrades!$P$19,K127)*POWER(Upgrades!$P$20,L127)*POWER(Upgrades!$P$21,M127)*$F$6*60</f>
        <v/>
      </c>
      <c r="AC127" s="27">
        <f>(IF(G127=0,0,(Upgrades!$J$15+G127*Upgrades!$K$15)*POWER(Upgrades!$L$15,G127)))*(IF(Upgrades!$T$13="Microlensing",POWER(Upgrades!$U$13,E127),1)*IF(Upgrades!$T$14="Microlensing",POWER(Upgrades!$U$14,F127),1)*IF(Upgrades!$T$16="Microlensing",POWER(Upgrades!$U$16,H127),1)*IF(Upgrades!$T$17="Microlensing",POWER(Upgrades!$U$17,I127),1)*IF(Upgrades!$T$18="Microlensing",POWER(Upgrades!$U$18,J127),1)*IF(Upgrades!$T$19="Microlensing",POWER(Upgrades!$U$19,K127),1)*IF(Upgrades!$T$20="Microlensing",POWER(Upgrades!$U$20,L127),1)*IF(Upgrades!$T$21="Microlensing",POWER(Upgrades!$U$21,M127),1))*POWER(Upgrades!$Q$13,E127)*POWER(Upgrades!$Q$14,F127)*POWER(Upgrades!$Q$15,G127)*POWER(Upgrades!$Q$16,H127)*POWER(Upgrades!$Q$17,I127)*POWER(Upgrades!$Q$18,J127)*POWER(Upgrades!$Q$19,K127)*POWER(Upgrades!$Q$20,L127)*POWER(Upgrades!$Q$21,M127)*$G$6*(Parameters!$B$10*Parameters!$B$11+Q127*60)</f>
        <v/>
      </c>
      <c r="AD127" s="27">
        <f>(IF(H127=0,0,(Upgrades!$M$16+H127*Upgrades!$N$16)*POWER(Upgrades!$O$16,H127)))*(IF(Upgrades!$T$13="Roche Lobe Overflow",POWER(Upgrades!$U$13,E127),1)*IF(Upgrades!$T$14="Roche Lobe Overflow",POWER(Upgrades!$U$14,F127),1)*IF(Upgrades!$T$15="Roche Lobe Overflow",POWER(Upgrades!$U$15,G127),1)*IF(Upgrades!$T$17="Roche Lobe Overflow",POWER(Upgrades!$U$17,I127),1)*IF(Upgrades!$T$18="Roche Lobe Overflow",POWER(Upgrades!$U$18,J127),1)*IF(Upgrades!$T$19="Roche Lobe Overflow",POWER(Upgrades!$U$19,K127),1)*IF(Upgrades!$T$20="Roche Lobe Overflow",POWER(Upgrades!$U$20,L127),1)*IF(Upgrades!$T$21="Roche Lobe Overflow",POWER(Upgrades!$U$21,M127),1))*POWER(Upgrades!$R$13,E127)*POWER(Upgrades!$R$14,F127)*POWER(Upgrades!$R$15,G127)*POWER(Upgrades!$R$16,H127)*POWER(Upgrades!$R$17,I127)*POWER(Upgrades!$R$18,J127)*POWER(Upgrades!$R$19,K127)*POWER(Upgrades!$R$20,L127)*POWER(Upgrades!$R$21,M127)*$H$6*O127*60</f>
        <v/>
      </c>
      <c r="AE127" s="27">
        <f>(IF(I127=0,0,(Upgrades!$G$17+I127*Upgrades!$H$17)*POWER(Upgrades!$I$17,I127)))*(IF(Upgrades!$T$13="Brown Dwarf",POWER(Upgrades!$U$13,E127),1)*IF(Upgrades!$T$14="Brown Dwarf",POWER(Upgrades!$U$14,F127),1)*IF(Upgrades!$T$15="Brown Dwarf",POWER(Upgrades!$U$15,G127),1)*IF(Upgrades!$T$16="Brown Dwarf",POWER(Upgrades!$U$16,H127),1)*IF(Upgrades!$T$18="Brown Dwarf",POWER(Upgrades!$U$18,J127),1)*IF(Upgrades!$T$19="Brown Dwarf",POWER(Upgrades!$U$19,K127),1)*IF(Upgrades!$T$20="Brown Dwarf",POWER(Upgrades!$U$20,L127),1)*IF(Upgrades!$T$21="Brown Dwarf",POWER(Upgrades!$U$21,M127),1))*POWER(Upgrades!$P$13,E127)*POWER(Upgrades!$P$14,F127)*POWER(Upgrades!$P$15,G127)*POWER(Upgrades!$P$16,H127)*POWER(Upgrades!$P$17,I127)*POWER(Upgrades!$P$18,J127)*POWER(Upgrades!$P$19,K127)*POWER(Upgrades!$P$20,L127)*POWER(Upgrades!$P$21,M127)*$F$6*60</f>
        <v/>
      </c>
      <c r="AF127" s="27" t="n">
        <v>0</v>
      </c>
      <c r="AG127" s="27" t="n">
        <v>0</v>
      </c>
      <c r="AH127" s="27" t="n">
        <v>0</v>
      </c>
      <c r="AI127" s="27">
        <f>(IF(M127=0,0,(Upgrades!$G$21+M127*Upgrades!$H$21)*POWER(Upgrades!$I$21,M127)))*(IF(Upgrades!$T$13="Moving Group",POWER(Upgrades!$U$13,E127),1)*IF(Upgrades!$T$14="Moving Group",POWER(Upgrades!$U$14,F127),1)*IF(Upgrades!$T$15="Moving Group",POWER(Upgrades!$U$15,G127),1)*IF(Upgrades!$T$16="Moving Group",POWER(Upgrades!$U$16,H127),1)*IF(Upgrades!$T$17="Moving Group",POWER(Upgrades!$U$17,I127),1)*IF(Upgrades!$T$18="Moving Group",POWER(Upgrades!$U$18,J127),1)*IF(Upgrades!$T$19="Moving Group",POWER(Upgrades!$U$19,K127),1)*IF(Upgrades!$T$20="Moving Group",POWER(Upgrades!$U$20,L127),1))*POWER(Upgrades!$P$13,E127)*POWER(Upgrades!$P$14,F127)*POWER(Upgrades!$P$15,G127)*POWER(Upgrades!$P$16,H127)*POWER(Upgrades!$P$17,I127)*POWER(Upgrades!$P$18,J127)*POWER(Upgrades!$P$19,K127)*POWER(Upgrades!$P$20,L127)*POWER(Upgrades!$P$21,M127)*$F$6*60</f>
        <v/>
      </c>
      <c r="AJ127" s="27">
        <f>$C$6*60</f>
        <v/>
      </c>
      <c r="AK127" s="22">
        <f>IF(E127&gt;=Upgrades!$E$13,"",Upgrades!$C$13*POWER(Upgrades!$D$13,E127))</f>
        <v/>
      </c>
      <c r="AL127" s="22">
        <f>IF(F127&gt;=Upgrades!$E$14,"",Upgrades!$C$14*POWER(Upgrades!$D$14,F127))</f>
        <v/>
      </c>
      <c r="AM127" s="22">
        <f>IF(G127&gt;=Upgrades!$E$15,"",Upgrades!$C$15*POWER(Upgrades!$D$15,G127))</f>
        <v/>
      </c>
      <c r="AN127" s="22">
        <f>IF(H127&gt;=Upgrades!$E$16,"",Upgrades!$C$16*POWER(Upgrades!$D$16,H127))</f>
        <v/>
      </c>
      <c r="AO127" s="22">
        <f>IF(I127&gt;=Upgrades!$E$17,"",Upgrades!$C$17*POWER(Upgrades!$D$17,I127))</f>
        <v/>
      </c>
      <c r="AP127" s="22">
        <f>IF(J127&gt;=Upgrades!$E$18,"",Upgrades!$C$18*POWER(Upgrades!$D$18,J127))</f>
        <v/>
      </c>
      <c r="AQ127" s="22">
        <f>IF(K127&gt;=Upgrades!$E$19,"",Upgrades!$C$19*POWER(Upgrades!$D$19,K127))</f>
        <v/>
      </c>
      <c r="AR127" s="22">
        <f>IF(L127&gt;=Upgrades!$E$20,"",Upgrades!$C$20*POWER(Upgrades!$D$20,L127))</f>
        <v/>
      </c>
      <c r="AS127" s="22">
        <f>IF(M127&gt;=Upgrades!$E$21,"",Upgrades!$C$21*POWER(Upgrades!$D$21,M127))</f>
        <v/>
      </c>
      <c r="AT127" s="26">
        <f>IF(AND(D127&gt;=Parameters!$B$18*Parameters!$B$19,(I127&gt;=Upgrades!$E$17)*(M127&gt;=Upgrades!$E$21)=1,N127=0),1,"")</f>
        <v/>
      </c>
      <c r="AU127" s="26">
        <f>IF(AND(D127&gt;=Parameters!$B$18*Parameters!$B$19,N127=0),1,"")</f>
        <v/>
      </c>
      <c r="AV127" s="22">
        <f>MIN(IF(ISNUMBER(AP127),AP127,9E15),IF(ISNUMBER(AQ127),AQ127,9E15),IF(ISNUMBER(AR127),AR127,9E15),IF(ISNUMBER(AS127),AS127,9E15))</f>
        <v/>
      </c>
      <c r="AW127" s="22">
        <f>MIN(IF(ISNUMBER(AK127),AK127,9E15),IF(ISNUMBER(AL127),AL127,9E15),IF(ISNUMBER(AM127),AM127,9E15),IF(ISNUMBER(AN127),AN127,9E15),IF(ISNUMBER(AO127),AO127,9E15))</f>
        <v/>
      </c>
      <c r="AX127" s="29">
        <f>IF(BD127&gt;Parameters!$B$21*(MAX(IF(AND(NOT(AND(AU127=1,AT127&lt;&gt;1)),ISNUMBER(AK127),AK127&lt;=(C127+T127)),AY127,0),IF(AND(NOT(AND(AU127=1,AT127&lt;&gt;1)),ISNUMBER(AL127),AL127&lt;=(C127+T127)),AZ127,0),IF(AND(NOT(AND(AU127=1,AT127&lt;&gt;1)),ISNUMBER(AM127),AM127&lt;=(C127+T127)),BA127,0),IF(AND(NOT(AND(AU127=1,AT127&lt;&gt;1)),ISNUMBER(AN127),AN127&lt;=(C127+T127)),BB127,0),IF(AND(ISNUMBER(AO127),AO127&lt;=(C127+T127)),BC127,0))),TRUE,FALSE)</f>
        <v/>
      </c>
      <c r="AY127" s="32">
        <f>IFERROR(Upgrades!$H$13*(POWER(Upgrades!$P$13,E127)*POWER(Upgrades!$P$14,F127)*POWER(Upgrades!$P$15,G127)*POWER(Upgrades!$P$16,H127)*POWER(Upgrades!$P$17,I127)*POWER(Upgrades!$P$18,J127)*POWER(Upgrades!$P$19,K127)*POWER(Upgrades!$P$20,L127)*POWER(Upgrades!$P$21,M127))*(IF(Upgrades!$T$14="Stellar Kinematics",POWER(Upgrades!$U$14,F127),1)*IF(Upgrades!$T$15="Stellar Kinematics",POWER(Upgrades!$U$15,G127),1)*IF(Upgrades!$T$16="Stellar Kinematics",POWER(Upgrades!$U$16,H127),1)*IF(Upgrades!$T$17="Stellar Kinematics",POWER(Upgrades!$U$17,I127),1)*IF(Upgrades!$T$18="Stellar Kinematics",POWER(Upgrades!$U$18,J127),1)*IF(Upgrades!$T$19="Stellar Kinematics",POWER(Upgrades!$U$19,K127),1)*IF(Upgrades!$T$20="Stellar Kinematics",POWER(Upgrades!$U$20,L127),1)*IF(Upgrades!$T$21="Stellar Kinematics",POWER(Upgrades!$U$21,M127),1))*$F$6/AK127,0)</f>
        <v/>
      </c>
      <c r="AZ127" s="32">
        <f>IFERROR(Upgrades!$H$14*(POWER(Upgrades!$P$13,E127)*POWER(Upgrades!$P$14,F127)*POWER(Upgrades!$P$15,G127)*POWER(Upgrades!$P$16,H127)*POWER(Upgrades!$P$17,I127)*POWER(Upgrades!$P$18,J127)*POWER(Upgrades!$P$19,K127)*POWER(Upgrades!$P$20,L127)*POWER(Upgrades!$P$21,M127))*(IF(Upgrades!$T$13="Local Bubble",POWER(Upgrades!$U$13,E127),1)*IF(Upgrades!$T$15="Local Bubble",POWER(Upgrades!$U$15,G127),1)*IF(Upgrades!$T$16="Local Bubble",POWER(Upgrades!$U$16,H127),1)*IF(Upgrades!$T$17="Local Bubble",POWER(Upgrades!$U$17,I127),1)*IF(Upgrades!$T$18="Local Bubble",POWER(Upgrades!$U$18,J127),1)*IF(Upgrades!$T$19="Local Bubble",POWER(Upgrades!$U$19,K127),1)*IF(Upgrades!$T$20="Local Bubble",POWER(Upgrades!$U$20,L127),1)*IF(Upgrades!$T$21="Local Bubble",POWER(Upgrades!$U$21,M127),1))*$F$6/AL127,0)</f>
        <v/>
      </c>
      <c r="BA127" s="32">
        <f>IFERROR(Upgrades!$K$15*(POWER(Upgrades!$Q$13,E127)*POWER(Upgrades!$Q$14,F127)*POWER(Upgrades!$Q$15,G127)*POWER(Upgrades!$Q$16,H127)*POWER(Upgrades!$Q$17,I127)*POWER(Upgrades!$Q$18,J127)*POWER(Upgrades!$Q$19,K127)*POWER(Upgrades!$Q$20,L127)*POWER(Upgrades!$Q$21,M127))*(IF(Upgrades!$T$13="Microlensing",POWER(Upgrades!$U$13,E127),1)*IF(Upgrades!$T$14="Microlensing",POWER(Upgrades!$U$14,F127),1)*IF(Upgrades!$T$16="Microlensing",POWER(Upgrades!$U$16,H127),1)*IF(Upgrades!$T$17="Microlensing",POWER(Upgrades!$U$17,I127),1)*IF(Upgrades!$T$18="Microlensing",POWER(Upgrades!$U$18,J127),1)*IF(Upgrades!$T$19="Microlensing",POWER(Upgrades!$U$19,K127),1)*IF(Upgrades!$T$20="Microlensing",POWER(Upgrades!$U$20,L127),1)*IF(Upgrades!$T$21="Microlensing",POWER(Upgrades!$U$21,M127),1))*$G$6*(Parameters!$B$10/60*Parameters!$B$11+Q127)/AM127,0)</f>
        <v/>
      </c>
      <c r="BB127" s="32">
        <f>IFERROR((Upgrades!$N$16*(POWER(Upgrades!$R$13,E127)*POWER(Upgrades!$R$14,F127)*POWER(Upgrades!$R$15,G127)*POWER(Upgrades!$R$16,H127)*POWER(Upgrades!$R$17,I127)*POWER(Upgrades!$R$18,J127)*POWER(Upgrades!$R$19,K127)*POWER(Upgrades!$R$20,L127)*POWER(Upgrades!$R$21,M127))*(IF(Upgrades!$T$13="Roche Lobe Overflow",POWER(Upgrades!$U$13,E127),1)*IF(Upgrades!$T$14="Roche Lobe Overflow",POWER(Upgrades!$U$14,F127),1)*IF(Upgrades!$T$15="Roche Lobe Overflow",POWER(Upgrades!$U$15,G127),1)*IF(Upgrades!$T$17="Roche Lobe Overflow",POWER(Upgrades!$U$17,I127),1)*IF(Upgrades!$T$18="Roche Lobe Overflow",POWER(Upgrades!$U$18,J127),1)*IF(Upgrades!$T$19="Roche Lobe Overflow",POWER(Upgrades!$U$19,K127),1)*IF(Upgrades!$T$20="Roche Lobe Overflow",POWER(Upgrades!$U$20,L127),1)*IF(Upgrades!$T$21="Roche Lobe Overflow",POWER(Upgrades!$U$21,M127),1))*$H$6*O127+((IF(F127=0,0,(Upgrades!$G$14+F127*Upgrades!$H$14)*POWER(Upgrades!$I$14,F127)))*(IF(Upgrades!$T$13="Local Bubble",POWER(Upgrades!$U$13,E127),1)*IF(Upgrades!$T$15="Local Bubble",POWER(Upgrades!$U$15,G127),1)*IF(Upgrades!$T$16="Local Bubble",POWER(Upgrades!$U$16,H127),1)*IF(Upgrades!$T$17="Local Bubble",POWER(Upgrades!$U$17,I127),1)*IF(Upgrades!$T$18="Local Bubble",POWER(Upgrades!$U$18,J127),1)*IF(Upgrades!$T$19="Local Bubble",POWER(Upgrades!$U$19,K127),1)*IF(Upgrades!$T$20="Local Bubble",POWER(Upgrades!$U$20,L127),1)*IF(Upgrades!$T$21="Local Bubble",POWER(Upgrades!$U$21,M127),1))*POWER(Upgrades!$P$13,E127)*POWER(Upgrades!$P$14,F127)*POWER(Upgrades!$P$15,G127)*POWER(Upgrades!$P$16,H127)*POWER(Upgrades!$P$17,I127)*POWER(Upgrades!$P$18,J127)*POWER(Upgrades!$P$19,K127)*POWER(Upgrades!$P$20,L127)*POWER(Upgrades!$P$21,M127)*$F$6)*0.05)/AN127,0)</f>
        <v/>
      </c>
      <c r="BC127" s="32">
        <f>IFERROR((Upgrades!$H$17*(POWER(Upgrades!$P$13,E127)*POWER(Upgrades!$P$14,F127)*POWER(Upgrades!$P$15,G127)*POWER(Upgrades!$P$16,H127)*POWER(Upgrades!$P$17,I127)*POWER(Upgrades!$P$18,J127)*POWER(Upgrades!$P$19,K127)*POWER(Upgrades!$P$20,L127)*POWER(Upgrades!$P$21,M127))*(IF(Upgrades!$T$13="Brown Dwarf",POWER(Upgrades!$U$13,E127),1)*IF(Upgrades!$T$14="Brown Dwarf",POWER(Upgrades!$U$14,F127),1)*IF(Upgrades!$T$15="Brown Dwarf",POWER(Upgrades!$U$15,G127),1)*IF(Upgrades!$T$16="Brown Dwarf",POWER(Upgrades!$U$16,H127),1)*IF(Upgrades!$T$18="Brown Dwarf",POWER(Upgrades!$U$18,J127),1)*IF(Upgrades!$T$19="Brown Dwarf",POWER(Upgrades!$U$19,K127),1)*IF(Upgrades!$T$20="Brown Dwarf",POWER(Upgrades!$U$20,L127),1)*IF(Upgrades!$T$21="Brown Dwarf",POWER(Upgrades!$U$21,M127),1))*$F$6+(((IF(H127=0,0,(Upgrades!$M$16+H127*Upgrades!$N$16)*POWER(Upgrades!$O$16,H127)))*(IF(Upgrades!$T$13="Roche Lobe Overflow",POWER(Upgrades!$U$13,E127),1)*IF(Upgrades!$T$14="Roche Lobe Overflow",POWER(Upgrades!$U$14,F127),1)*IF(Upgrades!$T$15="Roche Lobe Overflow",POWER(Upgrades!$U$15,G127),1)*IF(Upgrades!$T$17="Roche Lobe Overflow",POWER(Upgrades!$U$17,I127),1)*IF(Upgrades!$T$18="Roche Lobe Overflow",POWER(Upgrades!$U$18,J127),1)*IF(Upgrades!$T$19="Roche Lobe Overflow",POWER(Upgrades!$U$19,K127),1)*IF(Upgrades!$T$20="Roche Lobe Overflow",POWER(Upgrades!$U$20,L127),1)*IF(Upgrades!$T$21="Roche Lobe Overflow",POWER(Upgrades!$U$21,M127),1))*POWER(Upgrades!$R$13,E127)*POWER(Upgrades!$R$14,F127)*POWER(Upgrades!$R$15,G127)*POWER(Upgrades!$R$16,H127)*POWER(Upgrades!$R$17,I127)*POWER(Upgrades!$R$18,J127)*POWER(Upgrades!$R$19,K127)*POWER(Upgrades!$R$20,L127)*POWER(Upgrades!$R$21,M127)*$H$6)*O127)*0.10)/AO127,0)</f>
        <v/>
      </c>
      <c r="BD127" s="32">
        <f>MAX(IF(J127&gt;0,0,IFERROR(0.5*((IF(G127=0,0,(Upgrades!$J$15+G127*Upgrades!$K$15)*POWER(Upgrades!$L$15,G127)))*(IF(Upgrades!$T$13="Microlensing",POWER(Upgrades!$U$13,E127),1)*IF(Upgrades!$T$14="Microlensing",POWER(Upgrades!$U$14,F127),1)*IF(Upgrades!$T$16="Microlensing",POWER(Upgrades!$U$16,H127),1)*IF(Upgrades!$T$17="Microlensing",POWER(Upgrades!$U$17,I127),1)*IF(Upgrades!$T$18="Microlensing",POWER(Upgrades!$U$18,J127),1)*IF(Upgrades!$T$19="Microlensing",POWER(Upgrades!$U$19,K127),1)*IF(Upgrades!$T$20="Microlensing",POWER(Upgrades!$U$20,L127),1)*IF(Upgrades!$T$21="Microlensing",POWER(Upgrades!$U$21,M127),1))*(POWER(Upgrades!$Q$13,E127)*POWER(Upgrades!$Q$14,F127)*POWER(Upgrades!$Q$15,G127)*POWER(Upgrades!$Q$16,H127)*POWER(Upgrades!$Q$17,I127)*POWER(Upgrades!$Q$18,J127)*POWER(Upgrades!$Q$19,K127)*POWER(Upgrades!$Q$20,L127)*POWER(Upgrades!$Q$21,M127))*$G$6*(Parameters!$B$10/60*Parameters!$B$11+Q127))/Upgrades!$C$18,0)),IF(K127&gt;0,0,IFERROR(0.30*P127/Upgrades!$C$19,0)),IF(L127&gt;0,0,IFERROR(0.0001/Upgrades!$C$20,0)),IF(M127&gt;0,0,IFERROR((6.0*(POWER(Upgrades!$P$13,E127)*POWER(Upgrades!$P$14,F127)*POWER(Upgrades!$P$15,G127)*POWER(Upgrades!$P$16,H127)*POWER(Upgrades!$P$17,I127)*POWER(Upgrades!$P$18,J127)*POWER(Upgrades!$P$19,K127)*POWER(Upgrades!$P$20,L127)*POWER(Upgrades!$P$21,M127))*$F$6+0.20*O127*(Parameters!$B$10/60*Parameters!$B$11+Q127))/Upgrades!$C$21,0)),IF(AND(ISNUMBER(AK127),AK127&gt;(C127+T127)),AY127,0),IF(AND(ISNUMBER(AL127),AL127&gt;(C127+T127)),AZ127,0),IF(AND(ISNUMBER(AM127),AM127&gt;(C127+T127)),BA127,0),IF(AND(ISNUMBER(AN127),AN127&gt;(C127+T127)),BB127,0),IF(AND(ISNUMBER(AO127),AO127&gt;(C127+T127)),BC127,0))</f>
        <v/>
      </c>
      <c r="BE127" s="29">
        <f>IF(AT127=1,"transition",IF(MIN(IF(AND(J127=0,ISNUMBER(AP127),AP127&lt;=(C127+T127)),AP127,9E15),IF(AND(K127=0,ISNUMBER(AQ127),AQ127&lt;=(C127+T127)),AQ127,9E15),IF(AND(L127=0,ISNUMBER(AR127),AR127&lt;=(C127+T127)),AR127,9E15),IF(AND(M127=0,ISNUMBER(AS127),AS127&lt;=(C127+T127)),AS127,9E15))&lt;9E15,IF(AND(AND(J127=0,ISNUMBER(AP127),AP127&lt;=(C127+T127)),AP127=MIN(IF(AND(J127=0,ISNUMBER(AP127),AP127&lt;=(C127+T127)),AP127,9E15),IF(AND(K127=0,ISNUMBER(AQ127),AQ127&lt;=(C127+T127)),AQ127,9E15),IF(AND(L127=0,ISNUMBER(AR127),AR127&lt;=(C127+T127)),AR127,9E15),IF(AND(M127=0,ISNUMBER(AS127),AS127&lt;=(C127+T127)),AS127,9E15))),"BiP",IF(AND(AND(K127=0,ISNUMBER(AQ127),AQ127&lt;=(C127+T127)),AQ127=MIN(IF(AND(J127=0,ISNUMBER(AP127),AP127&lt;=(C127+T127)),AP127,9E15),IF(AND(K127=0,ISNUMBER(AQ127),AQ127&lt;=(C127+T127)),AQ127,9E15),IF(AND(L127=0,ISNUMBER(AR127),AR127&lt;=(C127+T127)),AR127,9E15),IF(AND(M127=0,ISNUMBER(AS127),AS127&lt;=(C127+T127)),AS127,9E15))),"PV",IF(AND(AND(L127=0,ISNUMBER(AR127),AR127&lt;=(C127+T127)),AR127=MIN(IF(AND(J127=0,ISNUMBER(AP127),AP127&lt;=(C127+T127)),AP127,9E15),IF(AND(K127=0,ISNUMBER(AQ127),AQ127&lt;=(C127+T127)),AQ127,9E15),IF(AND(L127=0,ISNUMBER(AR127),AR127&lt;=(C127+T127)),AR127,9E15),IF(AND(M127=0,ISNUMBER(AS127),AS127&lt;=(C127+T127)),AS127,9E15))),"OC","MG"))),IF(AX127=TRUE,"",IF(MAX(IF(AND(NOT(AND(AU127=1,AT127&lt;&gt;1)),ISNUMBER(AK127),AK127&lt;=(C127+T127)),AY127,0),IF(AND(NOT(AND(AU127=1,AT127&lt;&gt;1)),ISNUMBER(AL127),AL127&lt;=(C127+T127)),AZ127,0),IF(AND(NOT(AND(AU127=1,AT127&lt;&gt;1)),ISNUMBER(AM127),AM127&lt;=(C127+T127)),BA127,0),IF(AND(NOT(AND(AU127=1,AT127&lt;&gt;1)),ISNUMBER(AN127),AN127&lt;=(C127+T127)),BB127,0),IF(AND(ISNUMBER(AO127),AO127&lt;=(C127+T127)),BC127,0))&lt;=0,"",IF(AND(IF(AND(NOT(AND(AU127=1,AT127&lt;&gt;1)),ISNUMBER(AK127),AK127&lt;=(C127+T127)),AY127,0)&gt;0,IF(AND(NOT(AND(AU127=1,AT127&lt;&gt;1)),ISNUMBER(AK127),AK127&lt;=(C127+T127)),AY127,0)=MAX(IF(AND(NOT(AND(AU127=1,AT127&lt;&gt;1)),ISNUMBER(AK127),AK127&lt;=(C127+T127)),AY127,0),IF(AND(NOT(AND(AU127=1,AT127&lt;&gt;1)),ISNUMBER(AL127),AL127&lt;=(C127+T127)),AZ127,0),IF(AND(NOT(AND(AU127=1,AT127&lt;&gt;1)),ISNUMBER(AM127),AM127&lt;=(C127+T127)),BA127,0),IF(AND(NOT(AND(AU127=1,AT127&lt;&gt;1)),ISNUMBER(AN127),AN127&lt;=(C127+T127)),BB127,0),IF(AND(ISNUMBER(AO127),AO127&lt;=(C127+T127)),BC127,0))),"SK",IF(AND(IF(AND(NOT(AND(AU127=1,AT127&lt;&gt;1)),ISNUMBER(AL127),AL127&lt;=(C127+T127)),AZ127,0)&gt;0,IF(AND(NOT(AND(AU127=1,AT127&lt;&gt;1)),ISNUMBER(AL127),AL127&lt;=(C127+T127)),AZ127,0)=MAX(IF(AND(NOT(AND(AU127=1,AT127&lt;&gt;1)),ISNUMBER(AK127),AK127&lt;=(C127+T127)),AY127,0),IF(AND(NOT(AND(AU127=1,AT127&lt;&gt;1)),ISNUMBER(AL127),AL127&lt;=(C127+T127)),AZ127,0),IF(AND(NOT(AND(AU127=1,AT127&lt;&gt;1)),ISNUMBER(AM127),AM127&lt;=(C127+T127)),BA127,0),IF(AND(NOT(AND(AU127=1,AT127&lt;&gt;1)),ISNUMBER(AN127),AN127&lt;=(C127+T127)),BB127,0),IF(AND(ISNUMBER(AO127),AO127&lt;=(C127+T127)),BC127,0))),"LB",IF(AND(IF(AND(NOT(AND(AU127=1,AT127&lt;&gt;1)),ISNUMBER(AM127),AM127&lt;=(C127+T127)),BA127,0)&gt;0,IF(AND(NOT(AND(AU127=1,AT127&lt;&gt;1)),ISNUMBER(AM127),AM127&lt;=(C127+T127)),BA127,0)=MAX(IF(AND(NOT(AND(AU127=1,AT127&lt;&gt;1)),ISNUMBER(AK127),AK127&lt;=(C127+T127)),AY127,0),IF(AND(NOT(AND(AU127=1,AT127&lt;&gt;1)),ISNUMBER(AL127),AL127&lt;=(C127+T127)),AZ127,0),IF(AND(NOT(AND(AU127=1,AT127&lt;&gt;1)),ISNUMBER(AM127),AM127&lt;=(C127+T127)),BA127,0),IF(AND(NOT(AND(AU127=1,AT127&lt;&gt;1)),ISNUMBER(AN127),AN127&lt;=(C127+T127)),BB127,0),IF(AND(ISNUMBER(AO127),AO127&lt;=(C127+T127)),BC127,0))),"ML",IF(AND(IF(AND(NOT(AND(AU127=1,AT127&lt;&gt;1)),ISNUMBER(AN127),AN127&lt;=(C127+T127)),BB127,0)&gt;0,IF(AND(NOT(AND(AU127=1,AT127&lt;&gt;1)),ISNUMBER(AN127),AN127&lt;=(C127+T127)),BB127,0)=MAX(IF(AND(NOT(AND(AU127=1,AT127&lt;&gt;1)),ISNUMBER(AK127),AK127&lt;=(C127+T127)),AY127,0),IF(AND(NOT(AND(AU127=1,AT127&lt;&gt;1)),ISNUMBER(AL127),AL127&lt;=(C127+T127)),AZ127,0),IF(AND(NOT(AND(AU127=1,AT127&lt;&gt;1)),ISNUMBER(AM127),AM127&lt;=(C127+T127)),BA127,0),IF(AND(NOT(AND(AU127=1,AT127&lt;&gt;1)),ISNUMBER(AN127),AN127&lt;=(C127+T127)),BB127,0),IF(AND(ISNUMBER(AO127),AO127&lt;=(C127+T127)),BC127,0))),"RLO","BD"))))))))</f>
        <v/>
      </c>
    </row>
    <row r="128">
      <c r="A128" s="26" t="n">
        <v>117</v>
      </c>
      <c r="B128" s="27">
        <f>A128*10/60</f>
        <v/>
      </c>
      <c r="C128" s="22">
        <f>X127</f>
        <v/>
      </c>
      <c r="D128" s="27">
        <f>D127+W127</f>
        <v/>
      </c>
      <c r="E128" s="26">
        <f>E127+IF(U127="SK",1,0)</f>
        <v/>
      </c>
      <c r="F128" s="26">
        <f>F127+IF(U127="LB",1,0)</f>
        <v/>
      </c>
      <c r="G128" s="26">
        <f>G127+IF(U127="ML",1,0)</f>
        <v/>
      </c>
      <c r="H128" s="26">
        <f>H127+IF(U127="RLO",1,0)</f>
        <v/>
      </c>
      <c r="I128" s="26">
        <f>I127+IF(U127="BD",1,0)</f>
        <v/>
      </c>
      <c r="J128" s="26">
        <f>MAX(J127,IF(U127="BiP",1,0))</f>
        <v/>
      </c>
      <c r="K128" s="26">
        <f>MAX(K127,IF(U127="PV",1,0))</f>
        <v/>
      </c>
      <c r="L128" s="26">
        <f>MAX(L127,IF(U127="OC",1,0))</f>
        <v/>
      </c>
      <c r="M128" s="26">
        <f>MAX(M127,IF(U127="MG",1,0))</f>
        <v/>
      </c>
      <c r="N128" s="26">
        <f>MAX(N127,IF(U127="transition",1,0))</f>
        <v/>
      </c>
      <c r="O128" s="28">
        <f>(Parameters!$B$9+(IF(E128=0,0,(Upgrades!$J$13+E128*Upgrades!$K$13)*POWER(Upgrades!$L$13,E128)))*(IF(Upgrades!$T$14="Stellar Kinematics",POWER(Upgrades!$U$14,F128),1)*IF(Upgrades!$T$15="Stellar Kinematics",POWER(Upgrades!$U$15,G128),1)*IF(Upgrades!$T$16="Stellar Kinematics",POWER(Upgrades!$U$16,H128),1)*IF(Upgrades!$T$17="Stellar Kinematics",POWER(Upgrades!$U$17,I128),1)*IF(Upgrades!$T$18="Stellar Kinematics",POWER(Upgrades!$U$18,J128),1)*IF(Upgrades!$T$19="Stellar Kinematics",POWER(Upgrades!$U$19,K128),1)*IF(Upgrades!$T$20="Stellar Kinematics",POWER(Upgrades!$U$20,L128),1)*IF(Upgrades!$T$21="Stellar Kinematics",POWER(Upgrades!$U$21,M128),1))+(IF(F128=0,0,(Upgrades!$J$14+F128*Upgrades!$K$14)*POWER(Upgrades!$L$14,F128)))*(IF(Upgrades!$T$13="Local Bubble",POWER(Upgrades!$U$13,E128),1)*IF(Upgrades!$T$15="Local Bubble",POWER(Upgrades!$U$15,G128),1)*IF(Upgrades!$T$16="Local Bubble",POWER(Upgrades!$U$16,H128),1)*IF(Upgrades!$T$17="Local Bubble",POWER(Upgrades!$U$17,I128),1)*IF(Upgrades!$T$18="Local Bubble",POWER(Upgrades!$U$18,J128),1)*IF(Upgrades!$T$19="Local Bubble",POWER(Upgrades!$U$19,K128),1)*IF(Upgrades!$T$20="Local Bubble",POWER(Upgrades!$U$20,L128),1)*IF(Upgrades!$T$21="Local Bubble",POWER(Upgrades!$U$21,M128),1))+(IF(G128=0,0,(Upgrades!$J$15+G128*Upgrades!$K$15)*POWER(Upgrades!$L$15,G128)))*(IF(Upgrades!$T$13="Microlensing",POWER(Upgrades!$U$13,E128),1)*IF(Upgrades!$T$14="Microlensing",POWER(Upgrades!$U$14,F128),1)*IF(Upgrades!$T$16="Microlensing",POWER(Upgrades!$U$16,H128),1)*IF(Upgrades!$T$17="Microlensing",POWER(Upgrades!$U$17,I128),1)*IF(Upgrades!$T$18="Microlensing",POWER(Upgrades!$U$18,J128),1)*IF(Upgrades!$T$19="Microlensing",POWER(Upgrades!$U$19,K128),1)*IF(Upgrades!$T$20="Microlensing",POWER(Upgrades!$U$20,L128),1)*IF(Upgrades!$T$21="Microlensing",POWER(Upgrades!$U$21,M128),1))+(IF(H128=0,0,(Upgrades!$J$16+H128*Upgrades!$K$16)*POWER(Upgrades!$L$16,H128)))*(IF(Upgrades!$T$13="Roche Lobe Overflow",POWER(Upgrades!$U$13,E128),1)*IF(Upgrades!$T$14="Roche Lobe Overflow",POWER(Upgrades!$U$14,F128),1)*IF(Upgrades!$T$15="Roche Lobe Overflow",POWER(Upgrades!$U$15,G128),1)*IF(Upgrades!$T$17="Roche Lobe Overflow",POWER(Upgrades!$U$17,I128),1)*IF(Upgrades!$T$18="Roche Lobe Overflow",POWER(Upgrades!$U$18,J128),1)*IF(Upgrades!$T$19="Roche Lobe Overflow",POWER(Upgrades!$U$19,K128),1)*IF(Upgrades!$T$20="Roche Lobe Overflow",POWER(Upgrades!$U$20,L128),1)*IF(Upgrades!$T$21="Roche Lobe Overflow",POWER(Upgrades!$U$21,M128),1))+(IF(I128=0,0,(Upgrades!$J$17+I128*Upgrades!$K$17)*POWER(Upgrades!$L$17,I128)))*(IF(Upgrades!$T$13="Brown Dwarf",POWER(Upgrades!$U$13,E128),1)*IF(Upgrades!$T$14="Brown Dwarf",POWER(Upgrades!$U$14,F128),1)*IF(Upgrades!$T$15="Brown Dwarf",POWER(Upgrades!$U$15,G128),1)*IF(Upgrades!$T$16="Brown Dwarf",POWER(Upgrades!$U$16,H128),1)*IF(Upgrades!$T$18="Brown Dwarf",POWER(Upgrades!$U$18,J128),1)*IF(Upgrades!$T$19="Brown Dwarf",POWER(Upgrades!$U$19,K128),1)*IF(Upgrades!$T$20="Brown Dwarf",POWER(Upgrades!$U$20,L128),1)*IF(Upgrades!$T$21="Brown Dwarf",POWER(Upgrades!$U$21,M128),1))+(IF(J128=0,0,(Upgrades!$J$18+J128*Upgrades!$K$18)*POWER(Upgrades!$L$18,J128)))*(IF(Upgrades!$T$13="Binary Partner",POWER(Upgrades!$U$13,E128),1)*IF(Upgrades!$T$14="Binary Partner",POWER(Upgrades!$U$14,F128),1)*IF(Upgrades!$T$15="Binary Partner",POWER(Upgrades!$U$15,G128),1)*IF(Upgrades!$T$16="Binary Partner",POWER(Upgrades!$U$16,H128),1)*IF(Upgrades!$T$17="Binary Partner",POWER(Upgrades!$U$17,I128),1)*IF(Upgrades!$T$19="Binary Partner",POWER(Upgrades!$U$19,K128),1)*IF(Upgrades!$T$20="Binary Partner",POWER(Upgrades!$U$20,L128),1)*IF(Upgrades!$T$21="Binary Partner",POWER(Upgrades!$U$21,M128),1))+(IF(K128=0,0,(Upgrades!$J$19+K128*Upgrades!$K$19)*POWER(Upgrades!$L$19,K128)))*(IF(Upgrades!$T$13="Peculiar Velocity",POWER(Upgrades!$U$13,E128),1)*IF(Upgrades!$T$14="Peculiar Velocity",POWER(Upgrades!$U$14,F128),1)*IF(Upgrades!$T$15="Peculiar Velocity",POWER(Upgrades!$U$15,G128),1)*IF(Upgrades!$T$16="Peculiar Velocity",POWER(Upgrades!$U$16,H128),1)*IF(Upgrades!$T$17="Peculiar Velocity",POWER(Upgrades!$U$17,I128),1)*IF(Upgrades!$T$18="Peculiar Velocity",POWER(Upgrades!$U$18,J128),1)*IF(Upgrades!$T$20="Peculiar Velocity",POWER(Upgrades!$U$20,L128),1)*IF(Upgrades!$T$21="Peculiar Velocity",POWER(Upgrades!$U$21,M128),1))+(IF(L128=0,0,(Upgrades!$J$20+L128*Upgrades!$K$20)*POWER(Upgrades!$L$20,L128)))*(IF(Upgrades!$T$13="Open Cluster",POWER(Upgrades!$U$13,E128),1)*IF(Upgrades!$T$14="Open Cluster",POWER(Upgrades!$U$14,F128),1)*IF(Upgrades!$T$15="Open Cluster",POWER(Upgrades!$U$15,G128),1)*IF(Upgrades!$T$16="Open Cluster",POWER(Upgrades!$U$16,H128),1)*IF(Upgrades!$T$17="Open Cluster",POWER(Upgrades!$U$17,I128),1)*IF(Upgrades!$T$18="Open Cluster",POWER(Upgrades!$U$18,J128),1)*IF(Upgrades!$T$19="Open Cluster",POWER(Upgrades!$U$19,K128),1)*IF(Upgrades!$T$21="Open Cluster",POWER(Upgrades!$U$21,M128),1))+(IF(M128=0,0,(Upgrades!$J$21+M128*Upgrades!$K$21)*POWER(Upgrades!$L$21,M128)))*(IF(Upgrades!$T$13="Moving Group",POWER(Upgrades!$U$13,E128),1)*IF(Upgrades!$T$14="Moving Group",POWER(Upgrades!$U$14,F128),1)*IF(Upgrades!$T$15="Moving Group",POWER(Upgrades!$U$15,G128),1)*IF(Upgrades!$T$16="Moving Group",POWER(Upgrades!$U$16,H128),1)*IF(Upgrades!$T$17="Moving Group",POWER(Upgrades!$U$17,I128),1)*IF(Upgrades!$T$18="Moving Group",POWER(Upgrades!$U$18,J128),1)*IF(Upgrades!$T$19="Moving Group",POWER(Upgrades!$U$19,K128),1)*IF(Upgrades!$T$20="Moving Group",POWER(Upgrades!$U$20,L128),1)))*POWER(Upgrades!$Q$13,E128)*POWER(Upgrades!$Q$14,F128)*POWER(Upgrades!$Q$15,G128)*POWER(Upgrades!$Q$16,H128)*POWER(Upgrades!$Q$17,I128)*POWER(Upgrades!$Q$18,J128)*POWER(Upgrades!$Q$19,K128)*POWER(Upgrades!$Q$20,L128)*POWER(Upgrades!$Q$21,M128)*$G$6+$D$6</f>
        <v/>
      </c>
      <c r="P128" s="28">
        <f>((IF(E128=0,0,(Upgrades!$G$13+E128*Upgrades!$H$13)*POWER(Upgrades!$I$13,E128)))*(IF(Upgrades!$T$14="Stellar Kinematics",POWER(Upgrades!$U$14,F128),1)*IF(Upgrades!$T$15="Stellar Kinematics",POWER(Upgrades!$U$15,G128),1)*IF(Upgrades!$T$16="Stellar Kinematics",POWER(Upgrades!$U$16,H128),1)*IF(Upgrades!$T$17="Stellar Kinematics",POWER(Upgrades!$U$17,I128),1)*IF(Upgrades!$T$18="Stellar Kinematics",POWER(Upgrades!$U$18,J128),1)*IF(Upgrades!$T$19="Stellar Kinematics",POWER(Upgrades!$U$19,K128),1)*IF(Upgrades!$T$20="Stellar Kinematics",POWER(Upgrades!$U$20,L128),1)*IF(Upgrades!$T$21="Stellar Kinematics",POWER(Upgrades!$U$21,M128),1))+(IF(F128=0,0,(Upgrades!$G$14+F128*Upgrades!$H$14)*POWER(Upgrades!$I$14,F128)))*(IF(Upgrades!$T$13="Local Bubble",POWER(Upgrades!$U$13,E128),1)*IF(Upgrades!$T$15="Local Bubble",POWER(Upgrades!$U$15,G128),1)*IF(Upgrades!$T$16="Local Bubble",POWER(Upgrades!$U$16,H128),1)*IF(Upgrades!$T$17="Local Bubble",POWER(Upgrades!$U$17,I128),1)*IF(Upgrades!$T$18="Local Bubble",POWER(Upgrades!$U$18,J128),1)*IF(Upgrades!$T$19="Local Bubble",POWER(Upgrades!$U$19,K128),1)*IF(Upgrades!$T$20="Local Bubble",POWER(Upgrades!$U$20,L128),1)*IF(Upgrades!$T$21="Local Bubble",POWER(Upgrades!$U$21,M128),1))+(IF(G128=0,0,(Upgrades!$G$15+G128*Upgrades!$H$15)*POWER(Upgrades!$I$15,G128)))*(IF(Upgrades!$T$13="Microlensing",POWER(Upgrades!$U$13,E128),1)*IF(Upgrades!$T$14="Microlensing",POWER(Upgrades!$U$14,F128),1)*IF(Upgrades!$T$16="Microlensing",POWER(Upgrades!$U$16,H128),1)*IF(Upgrades!$T$17="Microlensing",POWER(Upgrades!$U$17,I128),1)*IF(Upgrades!$T$18="Microlensing",POWER(Upgrades!$U$18,J128),1)*IF(Upgrades!$T$19="Microlensing",POWER(Upgrades!$U$19,K128),1)*IF(Upgrades!$T$20="Microlensing",POWER(Upgrades!$U$20,L128),1)*IF(Upgrades!$T$21="Microlensing",POWER(Upgrades!$U$21,M128),1))+(IF(H128=0,0,(Upgrades!$G$16+H128*Upgrades!$H$16)*POWER(Upgrades!$I$16,H128)))*(IF(Upgrades!$T$13="Roche Lobe Overflow",POWER(Upgrades!$U$13,E128),1)*IF(Upgrades!$T$14="Roche Lobe Overflow",POWER(Upgrades!$U$14,F128),1)*IF(Upgrades!$T$15="Roche Lobe Overflow",POWER(Upgrades!$U$15,G128),1)*IF(Upgrades!$T$17="Roche Lobe Overflow",POWER(Upgrades!$U$17,I128),1)*IF(Upgrades!$T$18="Roche Lobe Overflow",POWER(Upgrades!$U$18,J128),1)*IF(Upgrades!$T$19="Roche Lobe Overflow",POWER(Upgrades!$U$19,K128),1)*IF(Upgrades!$T$20="Roche Lobe Overflow",POWER(Upgrades!$U$20,L128),1)*IF(Upgrades!$T$21="Roche Lobe Overflow",POWER(Upgrades!$U$21,M128),1))+(IF(I128=0,0,(Upgrades!$G$17+I128*Upgrades!$H$17)*POWER(Upgrades!$I$17,I128)))*(IF(Upgrades!$T$13="Brown Dwarf",POWER(Upgrades!$U$13,E128),1)*IF(Upgrades!$T$14="Brown Dwarf",POWER(Upgrades!$U$14,F128),1)*IF(Upgrades!$T$15="Brown Dwarf",POWER(Upgrades!$U$15,G128),1)*IF(Upgrades!$T$16="Brown Dwarf",POWER(Upgrades!$U$16,H128),1)*IF(Upgrades!$T$18="Brown Dwarf",POWER(Upgrades!$U$18,J128),1)*IF(Upgrades!$T$19="Brown Dwarf",POWER(Upgrades!$U$19,K128),1)*IF(Upgrades!$T$20="Brown Dwarf",POWER(Upgrades!$U$20,L128),1)*IF(Upgrades!$T$21="Brown Dwarf",POWER(Upgrades!$U$21,M128),1))+(IF(J128=0,0,(Upgrades!$G$18+J128*Upgrades!$H$18)*POWER(Upgrades!$I$18,J128)))*(IF(Upgrades!$T$13="Binary Partner",POWER(Upgrades!$U$13,E128),1)*IF(Upgrades!$T$14="Binary Partner",POWER(Upgrades!$U$14,F128),1)*IF(Upgrades!$T$15="Binary Partner",POWER(Upgrades!$U$15,G128),1)*IF(Upgrades!$T$16="Binary Partner",POWER(Upgrades!$U$16,H128),1)*IF(Upgrades!$T$17="Binary Partner",POWER(Upgrades!$U$17,I128),1)*IF(Upgrades!$T$19="Binary Partner",POWER(Upgrades!$U$19,K128),1)*IF(Upgrades!$T$20="Binary Partner",POWER(Upgrades!$U$20,L128),1)*IF(Upgrades!$T$21="Binary Partner",POWER(Upgrades!$U$21,M128),1))+(IF(K128=0,0,(Upgrades!$G$19+K128*Upgrades!$H$19)*POWER(Upgrades!$I$19,K128)))*(IF(Upgrades!$T$13="Peculiar Velocity",POWER(Upgrades!$U$13,E128),1)*IF(Upgrades!$T$14="Peculiar Velocity",POWER(Upgrades!$U$14,F128),1)*IF(Upgrades!$T$15="Peculiar Velocity",POWER(Upgrades!$U$15,G128),1)*IF(Upgrades!$T$16="Peculiar Velocity",POWER(Upgrades!$U$16,H128),1)*IF(Upgrades!$T$17="Peculiar Velocity",POWER(Upgrades!$U$17,I128),1)*IF(Upgrades!$T$18="Peculiar Velocity",POWER(Upgrades!$U$18,J128),1)*IF(Upgrades!$T$20="Peculiar Velocity",POWER(Upgrades!$U$20,L128),1)*IF(Upgrades!$T$21="Peculiar Velocity",POWER(Upgrades!$U$21,M128),1))+(IF(L128=0,0,(Upgrades!$G$20+L128*Upgrades!$H$20)*POWER(Upgrades!$I$20,L128)))*(IF(Upgrades!$T$13="Open Cluster",POWER(Upgrades!$U$13,E128),1)*IF(Upgrades!$T$14="Open Cluster",POWER(Upgrades!$U$14,F128),1)*IF(Upgrades!$T$15="Open Cluster",POWER(Upgrades!$U$15,G128),1)*IF(Upgrades!$T$16="Open Cluster",POWER(Upgrades!$U$16,H128),1)*IF(Upgrades!$T$17="Open Cluster",POWER(Upgrades!$U$17,I128),1)*IF(Upgrades!$T$18="Open Cluster",POWER(Upgrades!$U$18,J128),1)*IF(Upgrades!$T$19="Open Cluster",POWER(Upgrades!$U$19,K128),1)*IF(Upgrades!$T$21="Open Cluster",POWER(Upgrades!$U$21,M128),1))+(IF(M128=0,0,(Upgrades!$G$21+M128*Upgrades!$H$21)*POWER(Upgrades!$I$21,M128)))*(IF(Upgrades!$T$13="Moving Group",POWER(Upgrades!$U$13,E128),1)*IF(Upgrades!$T$14="Moving Group",POWER(Upgrades!$U$14,F128),1)*IF(Upgrades!$T$15="Moving Group",POWER(Upgrades!$U$15,G128),1)*IF(Upgrades!$T$16="Moving Group",POWER(Upgrades!$U$16,H128),1)*IF(Upgrades!$T$17="Moving Group",POWER(Upgrades!$U$17,I128),1)*IF(Upgrades!$T$18="Moving Group",POWER(Upgrades!$U$18,J128),1)*IF(Upgrades!$T$19="Moving Group",POWER(Upgrades!$U$19,K128),1)*IF(Upgrades!$T$20="Moving Group",POWER(Upgrades!$U$20,L128),1)))*POWER(Upgrades!$P$13,E128)*POWER(Upgrades!$P$14,F128)*POWER(Upgrades!$P$15,G128)*POWER(Upgrades!$P$16,H128)*POWER(Upgrades!$P$17,I128)*POWER(Upgrades!$P$18,J128)*POWER(Upgrades!$P$19,K128)*POWER(Upgrades!$P$20,L128)*POWER(Upgrades!$P$21,M128)*$F$6+$C$6</f>
        <v/>
      </c>
      <c r="Q128" s="28">
        <f>((IF(E128=0,0,(Upgrades!$M$13+E128*Upgrades!$N$13)*POWER(Upgrades!$O$13,E128)))*(IF(Upgrades!$T$14="Stellar Kinematics",POWER(Upgrades!$U$14,F128),1)*IF(Upgrades!$T$15="Stellar Kinematics",POWER(Upgrades!$U$15,G128),1)*IF(Upgrades!$T$16="Stellar Kinematics",POWER(Upgrades!$U$16,H128),1)*IF(Upgrades!$T$17="Stellar Kinematics",POWER(Upgrades!$U$17,I128),1)*IF(Upgrades!$T$18="Stellar Kinematics",POWER(Upgrades!$U$18,J128),1)*IF(Upgrades!$T$19="Stellar Kinematics",POWER(Upgrades!$U$19,K128),1)*IF(Upgrades!$T$20="Stellar Kinematics",POWER(Upgrades!$U$20,L128),1)*IF(Upgrades!$T$21="Stellar Kinematics",POWER(Upgrades!$U$21,M128),1))+(IF(F128=0,0,(Upgrades!$M$14+F128*Upgrades!$N$14)*POWER(Upgrades!$O$14,F128)))*(IF(Upgrades!$T$13="Local Bubble",POWER(Upgrades!$U$13,E128),1)*IF(Upgrades!$T$15="Local Bubble",POWER(Upgrades!$U$15,G128),1)*IF(Upgrades!$T$16="Local Bubble",POWER(Upgrades!$U$16,H128),1)*IF(Upgrades!$T$17="Local Bubble",POWER(Upgrades!$U$17,I128),1)*IF(Upgrades!$T$18="Local Bubble",POWER(Upgrades!$U$18,J128),1)*IF(Upgrades!$T$19="Local Bubble",POWER(Upgrades!$U$19,K128),1)*IF(Upgrades!$T$20="Local Bubble",POWER(Upgrades!$U$20,L128),1)*IF(Upgrades!$T$21="Local Bubble",POWER(Upgrades!$U$21,M128),1))+(IF(G128=0,0,(Upgrades!$M$15+G128*Upgrades!$N$15)*POWER(Upgrades!$O$15,G128)))*(IF(Upgrades!$T$13="Microlensing",POWER(Upgrades!$U$13,E128),1)*IF(Upgrades!$T$14="Microlensing",POWER(Upgrades!$U$14,F128),1)*IF(Upgrades!$T$16="Microlensing",POWER(Upgrades!$U$16,H128),1)*IF(Upgrades!$T$17="Microlensing",POWER(Upgrades!$U$17,I128),1)*IF(Upgrades!$T$18="Microlensing",POWER(Upgrades!$U$18,J128),1)*IF(Upgrades!$T$19="Microlensing",POWER(Upgrades!$U$19,K128),1)*IF(Upgrades!$T$20="Microlensing",POWER(Upgrades!$U$20,L128),1)*IF(Upgrades!$T$21="Microlensing",POWER(Upgrades!$U$21,M128),1))+(IF(H128=0,0,(Upgrades!$M$16+H128*Upgrades!$N$16)*POWER(Upgrades!$O$16,H128)))*(IF(Upgrades!$T$13="Roche Lobe Overflow",POWER(Upgrades!$U$13,E128),1)*IF(Upgrades!$T$14="Roche Lobe Overflow",POWER(Upgrades!$U$14,F128),1)*IF(Upgrades!$T$15="Roche Lobe Overflow",POWER(Upgrades!$U$15,G128),1)*IF(Upgrades!$T$17="Roche Lobe Overflow",POWER(Upgrades!$U$17,I128),1)*IF(Upgrades!$T$18="Roche Lobe Overflow",POWER(Upgrades!$U$18,J128),1)*IF(Upgrades!$T$19="Roche Lobe Overflow",POWER(Upgrades!$U$19,K128),1)*IF(Upgrades!$T$20="Roche Lobe Overflow",POWER(Upgrades!$U$20,L128),1)*IF(Upgrades!$T$21="Roche Lobe Overflow",POWER(Upgrades!$U$21,M128),1))+(IF(I128=0,0,(Upgrades!$M$17+I128*Upgrades!$N$17)*POWER(Upgrades!$O$17,I128)))*(IF(Upgrades!$T$13="Brown Dwarf",POWER(Upgrades!$U$13,E128),1)*IF(Upgrades!$T$14="Brown Dwarf",POWER(Upgrades!$U$14,F128),1)*IF(Upgrades!$T$15="Brown Dwarf",POWER(Upgrades!$U$15,G128),1)*IF(Upgrades!$T$16="Brown Dwarf",POWER(Upgrades!$U$16,H128),1)*IF(Upgrades!$T$18="Brown Dwarf",POWER(Upgrades!$U$18,J128),1)*IF(Upgrades!$T$19="Brown Dwarf",POWER(Upgrades!$U$19,K128),1)*IF(Upgrades!$T$20="Brown Dwarf",POWER(Upgrades!$U$20,L128),1)*IF(Upgrades!$T$21="Brown Dwarf",POWER(Upgrades!$U$21,M128),1))+(IF(J128=0,0,(Upgrades!$M$18+J128*Upgrades!$N$18)*POWER(Upgrades!$O$18,J128)))*(IF(Upgrades!$T$13="Binary Partner",POWER(Upgrades!$U$13,E128),1)*IF(Upgrades!$T$14="Binary Partner",POWER(Upgrades!$U$14,F128),1)*IF(Upgrades!$T$15="Binary Partner",POWER(Upgrades!$U$15,G128),1)*IF(Upgrades!$T$16="Binary Partner",POWER(Upgrades!$U$16,H128),1)*IF(Upgrades!$T$17="Binary Partner",POWER(Upgrades!$U$17,I128),1)*IF(Upgrades!$T$19="Binary Partner",POWER(Upgrades!$U$19,K128),1)*IF(Upgrades!$T$20="Binary Partner",POWER(Upgrades!$U$20,L128),1)*IF(Upgrades!$T$21="Binary Partner",POWER(Upgrades!$U$21,M128),1))+(IF(K128=0,0,(Upgrades!$M$19+K128*Upgrades!$N$19)*POWER(Upgrades!$O$19,K128)))*(IF(Upgrades!$T$13="Peculiar Velocity",POWER(Upgrades!$U$13,E128),1)*IF(Upgrades!$T$14="Peculiar Velocity",POWER(Upgrades!$U$14,F128),1)*IF(Upgrades!$T$15="Peculiar Velocity",POWER(Upgrades!$U$15,G128),1)*IF(Upgrades!$T$16="Peculiar Velocity",POWER(Upgrades!$U$16,H128),1)*IF(Upgrades!$T$17="Peculiar Velocity",POWER(Upgrades!$U$17,I128),1)*IF(Upgrades!$T$18="Peculiar Velocity",POWER(Upgrades!$U$18,J128),1)*IF(Upgrades!$T$20="Peculiar Velocity",POWER(Upgrades!$U$20,L128),1)*IF(Upgrades!$T$21="Peculiar Velocity",POWER(Upgrades!$U$21,M128),1))+(IF(L128=0,0,(Upgrades!$M$20+L128*Upgrades!$N$20)*POWER(Upgrades!$O$20,L128)))*(IF(Upgrades!$T$13="Open Cluster",POWER(Upgrades!$U$13,E128),1)*IF(Upgrades!$T$14="Open Cluster",POWER(Upgrades!$U$14,F128),1)*IF(Upgrades!$T$15="Open Cluster",POWER(Upgrades!$U$15,G128),1)*IF(Upgrades!$T$16="Open Cluster",POWER(Upgrades!$U$16,H128),1)*IF(Upgrades!$T$17="Open Cluster",POWER(Upgrades!$U$17,I128),1)*IF(Upgrades!$T$18="Open Cluster",POWER(Upgrades!$U$18,J128),1)*IF(Upgrades!$T$19="Open Cluster",POWER(Upgrades!$U$19,K128),1)*IF(Upgrades!$T$21="Open Cluster",POWER(Upgrades!$U$21,M128),1))+(IF(M128=0,0,(Upgrades!$M$21+M128*Upgrades!$N$21)*POWER(Upgrades!$O$21,M128)))*(IF(Upgrades!$T$13="Moving Group",POWER(Upgrades!$U$13,E128),1)*IF(Upgrades!$T$14="Moving Group",POWER(Upgrades!$U$14,F128),1)*IF(Upgrades!$T$15="Moving Group",POWER(Upgrades!$U$15,G128),1)*IF(Upgrades!$T$16="Moving Group",POWER(Upgrades!$U$16,H128),1)*IF(Upgrades!$T$17="Moving Group",POWER(Upgrades!$U$17,I128),1)*IF(Upgrades!$T$18="Moving Group",POWER(Upgrades!$U$18,J128),1)*IF(Upgrades!$T$19="Moving Group",POWER(Upgrades!$U$19,K128),1)*IF(Upgrades!$T$20="Moving Group",POWER(Upgrades!$U$20,L128),1)))*POWER(Upgrades!$R$13,E128)*POWER(Upgrades!$R$14,F128)*POWER(Upgrades!$R$15,G128)*POWER(Upgrades!$R$16,H128)*POWER(Upgrades!$R$17,I128)*POWER(Upgrades!$R$18,J128)*POWER(Upgrades!$R$19,K128)*POWER(Upgrades!$R$20,L128)*POWER(Upgrades!$R$21,M128)*$H$6+$E$6</f>
        <v/>
      </c>
      <c r="R128" s="27">
        <f>IF(N128=1,0,O128*Parameters!$B$10/60*Parameters!$B$11*10)</f>
        <v/>
      </c>
      <c r="S128" s="27">
        <f>IF(N128=1,0,Q128*O128*10)</f>
        <v/>
      </c>
      <c r="T128" s="27">
        <f>IF(N128=1,0,R128+S128+P128*10)</f>
        <v/>
      </c>
      <c r="U128" s="33">
        <f>BE128</f>
        <v/>
      </c>
      <c r="V128" s="22">
        <f>IF(U128="",0,IF(U128="transition",0,IF(U128="SK",AK128,IF(U128="LB",AL128,IF(U128="ML",AM128,IF(U128="RLO",AN128,IF(U128="BD",AO128,IF(U128="BiP",AP128,IF(U128="PV",AQ128,IF(U128="OC",AR128,IF(U128="MG",AS128,0))))))))))</f>
        <v/>
      </c>
      <c r="W128" s="27">
        <f>IF(U128="BiP",Upgrades!$F$18,IF(U128="PV",Upgrades!$F$19,IF(U128="OC",Upgrades!$F$20,IF(U128="MG",Upgrades!$F$21,IF(U128="transition",-Parameters!$B$18*Parameters!$B$19,0)))))</f>
        <v/>
      </c>
      <c r="X128" s="22">
        <f>C128+T128-V128</f>
        <v/>
      </c>
      <c r="Y128" s="30">
        <f>O128*Parameters!$B$10/60*Parameters!$B$11+Q128*O128+P128</f>
        <v/>
      </c>
      <c r="Z128" s="34">
        <f>IF(U128="transition","→ Tier 3 (Galactic Arm)",IF(U128="MG","Moving Group — pocket drifts together",IF(U128="OC","Open Cluster acquired",IF(U128="PV","Peculiar Velocity — passive multiplier active",IF(U128="BiP","Binary Partner — pair bond formed",IF(AND(AU128=1,N128=0,AT128&lt;&gt;1),"Cohesion ready (waiting on completionists)","")))))) </f>
        <v/>
      </c>
      <c r="AA128" s="27">
        <f>(IF(E128=0,0,(Upgrades!$G$13+E128*Upgrades!$H$13)*POWER(Upgrades!$I$13,E128)))*(IF(Upgrades!$T$14="Stellar Kinematics",POWER(Upgrades!$U$14,F128),1)*IF(Upgrades!$T$15="Stellar Kinematics",POWER(Upgrades!$U$15,G128),1)*IF(Upgrades!$T$16="Stellar Kinematics",POWER(Upgrades!$U$16,H128),1)*IF(Upgrades!$T$17="Stellar Kinematics",POWER(Upgrades!$U$17,I128),1)*IF(Upgrades!$T$18="Stellar Kinematics",POWER(Upgrades!$U$18,J128),1)*IF(Upgrades!$T$19="Stellar Kinematics",POWER(Upgrades!$U$19,K128),1)*IF(Upgrades!$T$20="Stellar Kinematics",POWER(Upgrades!$U$20,L128),1)*IF(Upgrades!$T$21="Stellar Kinematics",POWER(Upgrades!$U$21,M128),1))*POWER(Upgrades!$P$13,E128)*POWER(Upgrades!$P$14,F128)*POWER(Upgrades!$P$15,G128)*POWER(Upgrades!$P$16,H128)*POWER(Upgrades!$P$17,I128)*POWER(Upgrades!$P$18,J128)*POWER(Upgrades!$P$19,K128)*POWER(Upgrades!$P$20,L128)*POWER(Upgrades!$P$21,M128)*$F$6*60</f>
        <v/>
      </c>
      <c r="AB128" s="27">
        <f>(IF(F128=0,0,(Upgrades!$G$14+F128*Upgrades!$H$14)*POWER(Upgrades!$I$14,F128)))*(IF(Upgrades!$T$13="Local Bubble",POWER(Upgrades!$U$13,E128),1)*IF(Upgrades!$T$15="Local Bubble",POWER(Upgrades!$U$15,G128),1)*IF(Upgrades!$T$16="Local Bubble",POWER(Upgrades!$U$16,H128),1)*IF(Upgrades!$T$17="Local Bubble",POWER(Upgrades!$U$17,I128),1)*IF(Upgrades!$T$18="Local Bubble",POWER(Upgrades!$U$18,J128),1)*IF(Upgrades!$T$19="Local Bubble",POWER(Upgrades!$U$19,K128),1)*IF(Upgrades!$T$20="Local Bubble",POWER(Upgrades!$U$20,L128),1)*IF(Upgrades!$T$21="Local Bubble",POWER(Upgrades!$U$21,M128),1))*POWER(Upgrades!$P$13,E128)*POWER(Upgrades!$P$14,F128)*POWER(Upgrades!$P$15,G128)*POWER(Upgrades!$P$16,H128)*POWER(Upgrades!$P$17,I128)*POWER(Upgrades!$P$18,J128)*POWER(Upgrades!$P$19,K128)*POWER(Upgrades!$P$20,L128)*POWER(Upgrades!$P$21,M128)*$F$6*60</f>
        <v/>
      </c>
      <c r="AC128" s="27">
        <f>(IF(G128=0,0,(Upgrades!$J$15+G128*Upgrades!$K$15)*POWER(Upgrades!$L$15,G128)))*(IF(Upgrades!$T$13="Microlensing",POWER(Upgrades!$U$13,E128),1)*IF(Upgrades!$T$14="Microlensing",POWER(Upgrades!$U$14,F128),1)*IF(Upgrades!$T$16="Microlensing",POWER(Upgrades!$U$16,H128),1)*IF(Upgrades!$T$17="Microlensing",POWER(Upgrades!$U$17,I128),1)*IF(Upgrades!$T$18="Microlensing",POWER(Upgrades!$U$18,J128),1)*IF(Upgrades!$T$19="Microlensing",POWER(Upgrades!$U$19,K128),1)*IF(Upgrades!$T$20="Microlensing",POWER(Upgrades!$U$20,L128),1)*IF(Upgrades!$T$21="Microlensing",POWER(Upgrades!$U$21,M128),1))*POWER(Upgrades!$Q$13,E128)*POWER(Upgrades!$Q$14,F128)*POWER(Upgrades!$Q$15,G128)*POWER(Upgrades!$Q$16,H128)*POWER(Upgrades!$Q$17,I128)*POWER(Upgrades!$Q$18,J128)*POWER(Upgrades!$Q$19,K128)*POWER(Upgrades!$Q$20,L128)*POWER(Upgrades!$Q$21,M128)*$G$6*(Parameters!$B$10*Parameters!$B$11+Q128*60)</f>
        <v/>
      </c>
      <c r="AD128" s="27">
        <f>(IF(H128=0,0,(Upgrades!$M$16+H128*Upgrades!$N$16)*POWER(Upgrades!$O$16,H128)))*(IF(Upgrades!$T$13="Roche Lobe Overflow",POWER(Upgrades!$U$13,E128),1)*IF(Upgrades!$T$14="Roche Lobe Overflow",POWER(Upgrades!$U$14,F128),1)*IF(Upgrades!$T$15="Roche Lobe Overflow",POWER(Upgrades!$U$15,G128),1)*IF(Upgrades!$T$17="Roche Lobe Overflow",POWER(Upgrades!$U$17,I128),1)*IF(Upgrades!$T$18="Roche Lobe Overflow",POWER(Upgrades!$U$18,J128),1)*IF(Upgrades!$T$19="Roche Lobe Overflow",POWER(Upgrades!$U$19,K128),1)*IF(Upgrades!$T$20="Roche Lobe Overflow",POWER(Upgrades!$U$20,L128),1)*IF(Upgrades!$T$21="Roche Lobe Overflow",POWER(Upgrades!$U$21,M128),1))*POWER(Upgrades!$R$13,E128)*POWER(Upgrades!$R$14,F128)*POWER(Upgrades!$R$15,G128)*POWER(Upgrades!$R$16,H128)*POWER(Upgrades!$R$17,I128)*POWER(Upgrades!$R$18,J128)*POWER(Upgrades!$R$19,K128)*POWER(Upgrades!$R$20,L128)*POWER(Upgrades!$R$21,M128)*$H$6*O128*60</f>
        <v/>
      </c>
      <c r="AE128" s="27">
        <f>(IF(I128=0,0,(Upgrades!$G$17+I128*Upgrades!$H$17)*POWER(Upgrades!$I$17,I128)))*(IF(Upgrades!$T$13="Brown Dwarf",POWER(Upgrades!$U$13,E128),1)*IF(Upgrades!$T$14="Brown Dwarf",POWER(Upgrades!$U$14,F128),1)*IF(Upgrades!$T$15="Brown Dwarf",POWER(Upgrades!$U$15,G128),1)*IF(Upgrades!$T$16="Brown Dwarf",POWER(Upgrades!$U$16,H128),1)*IF(Upgrades!$T$18="Brown Dwarf",POWER(Upgrades!$U$18,J128),1)*IF(Upgrades!$T$19="Brown Dwarf",POWER(Upgrades!$U$19,K128),1)*IF(Upgrades!$T$20="Brown Dwarf",POWER(Upgrades!$U$20,L128),1)*IF(Upgrades!$T$21="Brown Dwarf",POWER(Upgrades!$U$21,M128),1))*POWER(Upgrades!$P$13,E128)*POWER(Upgrades!$P$14,F128)*POWER(Upgrades!$P$15,G128)*POWER(Upgrades!$P$16,H128)*POWER(Upgrades!$P$17,I128)*POWER(Upgrades!$P$18,J128)*POWER(Upgrades!$P$19,K128)*POWER(Upgrades!$P$20,L128)*POWER(Upgrades!$P$21,M128)*$F$6*60</f>
        <v/>
      </c>
      <c r="AF128" s="27" t="n">
        <v>0</v>
      </c>
      <c r="AG128" s="27" t="n">
        <v>0</v>
      </c>
      <c r="AH128" s="27" t="n">
        <v>0</v>
      </c>
      <c r="AI128" s="27">
        <f>(IF(M128=0,0,(Upgrades!$G$21+M128*Upgrades!$H$21)*POWER(Upgrades!$I$21,M128)))*(IF(Upgrades!$T$13="Moving Group",POWER(Upgrades!$U$13,E128),1)*IF(Upgrades!$T$14="Moving Group",POWER(Upgrades!$U$14,F128),1)*IF(Upgrades!$T$15="Moving Group",POWER(Upgrades!$U$15,G128),1)*IF(Upgrades!$T$16="Moving Group",POWER(Upgrades!$U$16,H128),1)*IF(Upgrades!$T$17="Moving Group",POWER(Upgrades!$U$17,I128),1)*IF(Upgrades!$T$18="Moving Group",POWER(Upgrades!$U$18,J128),1)*IF(Upgrades!$T$19="Moving Group",POWER(Upgrades!$U$19,K128),1)*IF(Upgrades!$T$20="Moving Group",POWER(Upgrades!$U$20,L128),1))*POWER(Upgrades!$P$13,E128)*POWER(Upgrades!$P$14,F128)*POWER(Upgrades!$P$15,G128)*POWER(Upgrades!$P$16,H128)*POWER(Upgrades!$P$17,I128)*POWER(Upgrades!$P$18,J128)*POWER(Upgrades!$P$19,K128)*POWER(Upgrades!$P$20,L128)*POWER(Upgrades!$P$21,M128)*$F$6*60</f>
        <v/>
      </c>
      <c r="AJ128" s="27">
        <f>$C$6*60</f>
        <v/>
      </c>
      <c r="AK128" s="22">
        <f>IF(E128&gt;=Upgrades!$E$13,"",Upgrades!$C$13*POWER(Upgrades!$D$13,E128))</f>
        <v/>
      </c>
      <c r="AL128" s="22">
        <f>IF(F128&gt;=Upgrades!$E$14,"",Upgrades!$C$14*POWER(Upgrades!$D$14,F128))</f>
        <v/>
      </c>
      <c r="AM128" s="22">
        <f>IF(G128&gt;=Upgrades!$E$15,"",Upgrades!$C$15*POWER(Upgrades!$D$15,G128))</f>
        <v/>
      </c>
      <c r="AN128" s="22">
        <f>IF(H128&gt;=Upgrades!$E$16,"",Upgrades!$C$16*POWER(Upgrades!$D$16,H128))</f>
        <v/>
      </c>
      <c r="AO128" s="22">
        <f>IF(I128&gt;=Upgrades!$E$17,"",Upgrades!$C$17*POWER(Upgrades!$D$17,I128))</f>
        <v/>
      </c>
      <c r="AP128" s="22">
        <f>IF(J128&gt;=Upgrades!$E$18,"",Upgrades!$C$18*POWER(Upgrades!$D$18,J128))</f>
        <v/>
      </c>
      <c r="AQ128" s="22">
        <f>IF(K128&gt;=Upgrades!$E$19,"",Upgrades!$C$19*POWER(Upgrades!$D$19,K128))</f>
        <v/>
      </c>
      <c r="AR128" s="22">
        <f>IF(L128&gt;=Upgrades!$E$20,"",Upgrades!$C$20*POWER(Upgrades!$D$20,L128))</f>
        <v/>
      </c>
      <c r="AS128" s="22">
        <f>IF(M128&gt;=Upgrades!$E$21,"",Upgrades!$C$21*POWER(Upgrades!$D$21,M128))</f>
        <v/>
      </c>
      <c r="AT128" s="26">
        <f>IF(AND(D128&gt;=Parameters!$B$18*Parameters!$B$19,(I128&gt;=Upgrades!$E$17)*(M128&gt;=Upgrades!$E$21)=1,N128=0),1,"")</f>
        <v/>
      </c>
      <c r="AU128" s="26">
        <f>IF(AND(D128&gt;=Parameters!$B$18*Parameters!$B$19,N128=0),1,"")</f>
        <v/>
      </c>
      <c r="AV128" s="22">
        <f>MIN(IF(ISNUMBER(AP128),AP128,9E15),IF(ISNUMBER(AQ128),AQ128,9E15),IF(ISNUMBER(AR128),AR128,9E15),IF(ISNUMBER(AS128),AS128,9E15))</f>
        <v/>
      </c>
      <c r="AW128" s="22">
        <f>MIN(IF(ISNUMBER(AK128),AK128,9E15),IF(ISNUMBER(AL128),AL128,9E15),IF(ISNUMBER(AM128),AM128,9E15),IF(ISNUMBER(AN128),AN128,9E15),IF(ISNUMBER(AO128),AO128,9E15))</f>
        <v/>
      </c>
      <c r="AX128" s="29">
        <f>IF(BD128&gt;Parameters!$B$21*(MAX(IF(AND(NOT(AND(AU128=1,AT128&lt;&gt;1)),ISNUMBER(AK128),AK128&lt;=(C128+T128)),AY128,0),IF(AND(NOT(AND(AU128=1,AT128&lt;&gt;1)),ISNUMBER(AL128),AL128&lt;=(C128+T128)),AZ128,0),IF(AND(NOT(AND(AU128=1,AT128&lt;&gt;1)),ISNUMBER(AM128),AM128&lt;=(C128+T128)),BA128,0),IF(AND(NOT(AND(AU128=1,AT128&lt;&gt;1)),ISNUMBER(AN128),AN128&lt;=(C128+T128)),BB128,0),IF(AND(ISNUMBER(AO128),AO128&lt;=(C128+T128)),BC128,0))),TRUE,FALSE)</f>
        <v/>
      </c>
      <c r="AY128" s="32">
        <f>IFERROR(Upgrades!$H$13*(POWER(Upgrades!$P$13,E128)*POWER(Upgrades!$P$14,F128)*POWER(Upgrades!$P$15,G128)*POWER(Upgrades!$P$16,H128)*POWER(Upgrades!$P$17,I128)*POWER(Upgrades!$P$18,J128)*POWER(Upgrades!$P$19,K128)*POWER(Upgrades!$P$20,L128)*POWER(Upgrades!$P$21,M128))*(IF(Upgrades!$T$14="Stellar Kinematics",POWER(Upgrades!$U$14,F128),1)*IF(Upgrades!$T$15="Stellar Kinematics",POWER(Upgrades!$U$15,G128),1)*IF(Upgrades!$T$16="Stellar Kinematics",POWER(Upgrades!$U$16,H128),1)*IF(Upgrades!$T$17="Stellar Kinematics",POWER(Upgrades!$U$17,I128),1)*IF(Upgrades!$T$18="Stellar Kinematics",POWER(Upgrades!$U$18,J128),1)*IF(Upgrades!$T$19="Stellar Kinematics",POWER(Upgrades!$U$19,K128),1)*IF(Upgrades!$T$20="Stellar Kinematics",POWER(Upgrades!$U$20,L128),1)*IF(Upgrades!$T$21="Stellar Kinematics",POWER(Upgrades!$U$21,M128),1))*$F$6/AK128,0)</f>
        <v/>
      </c>
      <c r="AZ128" s="32">
        <f>IFERROR(Upgrades!$H$14*(POWER(Upgrades!$P$13,E128)*POWER(Upgrades!$P$14,F128)*POWER(Upgrades!$P$15,G128)*POWER(Upgrades!$P$16,H128)*POWER(Upgrades!$P$17,I128)*POWER(Upgrades!$P$18,J128)*POWER(Upgrades!$P$19,K128)*POWER(Upgrades!$P$20,L128)*POWER(Upgrades!$P$21,M128))*(IF(Upgrades!$T$13="Local Bubble",POWER(Upgrades!$U$13,E128),1)*IF(Upgrades!$T$15="Local Bubble",POWER(Upgrades!$U$15,G128),1)*IF(Upgrades!$T$16="Local Bubble",POWER(Upgrades!$U$16,H128),1)*IF(Upgrades!$T$17="Local Bubble",POWER(Upgrades!$U$17,I128),1)*IF(Upgrades!$T$18="Local Bubble",POWER(Upgrades!$U$18,J128),1)*IF(Upgrades!$T$19="Local Bubble",POWER(Upgrades!$U$19,K128),1)*IF(Upgrades!$T$20="Local Bubble",POWER(Upgrades!$U$20,L128),1)*IF(Upgrades!$T$21="Local Bubble",POWER(Upgrades!$U$21,M128),1))*$F$6/AL128,0)</f>
        <v/>
      </c>
      <c r="BA128" s="32">
        <f>IFERROR(Upgrades!$K$15*(POWER(Upgrades!$Q$13,E128)*POWER(Upgrades!$Q$14,F128)*POWER(Upgrades!$Q$15,G128)*POWER(Upgrades!$Q$16,H128)*POWER(Upgrades!$Q$17,I128)*POWER(Upgrades!$Q$18,J128)*POWER(Upgrades!$Q$19,K128)*POWER(Upgrades!$Q$20,L128)*POWER(Upgrades!$Q$21,M128))*(IF(Upgrades!$T$13="Microlensing",POWER(Upgrades!$U$13,E128),1)*IF(Upgrades!$T$14="Microlensing",POWER(Upgrades!$U$14,F128),1)*IF(Upgrades!$T$16="Microlensing",POWER(Upgrades!$U$16,H128),1)*IF(Upgrades!$T$17="Microlensing",POWER(Upgrades!$U$17,I128),1)*IF(Upgrades!$T$18="Microlensing",POWER(Upgrades!$U$18,J128),1)*IF(Upgrades!$T$19="Microlensing",POWER(Upgrades!$U$19,K128),1)*IF(Upgrades!$T$20="Microlensing",POWER(Upgrades!$U$20,L128),1)*IF(Upgrades!$T$21="Microlensing",POWER(Upgrades!$U$21,M128),1))*$G$6*(Parameters!$B$10/60*Parameters!$B$11+Q128)/AM128,0)</f>
        <v/>
      </c>
      <c r="BB128" s="32">
        <f>IFERROR((Upgrades!$N$16*(POWER(Upgrades!$R$13,E128)*POWER(Upgrades!$R$14,F128)*POWER(Upgrades!$R$15,G128)*POWER(Upgrades!$R$16,H128)*POWER(Upgrades!$R$17,I128)*POWER(Upgrades!$R$18,J128)*POWER(Upgrades!$R$19,K128)*POWER(Upgrades!$R$20,L128)*POWER(Upgrades!$R$21,M128))*(IF(Upgrades!$T$13="Roche Lobe Overflow",POWER(Upgrades!$U$13,E128),1)*IF(Upgrades!$T$14="Roche Lobe Overflow",POWER(Upgrades!$U$14,F128),1)*IF(Upgrades!$T$15="Roche Lobe Overflow",POWER(Upgrades!$U$15,G128),1)*IF(Upgrades!$T$17="Roche Lobe Overflow",POWER(Upgrades!$U$17,I128),1)*IF(Upgrades!$T$18="Roche Lobe Overflow",POWER(Upgrades!$U$18,J128),1)*IF(Upgrades!$T$19="Roche Lobe Overflow",POWER(Upgrades!$U$19,K128),1)*IF(Upgrades!$T$20="Roche Lobe Overflow",POWER(Upgrades!$U$20,L128),1)*IF(Upgrades!$T$21="Roche Lobe Overflow",POWER(Upgrades!$U$21,M128),1))*$H$6*O128+((IF(F128=0,0,(Upgrades!$G$14+F128*Upgrades!$H$14)*POWER(Upgrades!$I$14,F128)))*(IF(Upgrades!$T$13="Local Bubble",POWER(Upgrades!$U$13,E128),1)*IF(Upgrades!$T$15="Local Bubble",POWER(Upgrades!$U$15,G128),1)*IF(Upgrades!$T$16="Local Bubble",POWER(Upgrades!$U$16,H128),1)*IF(Upgrades!$T$17="Local Bubble",POWER(Upgrades!$U$17,I128),1)*IF(Upgrades!$T$18="Local Bubble",POWER(Upgrades!$U$18,J128),1)*IF(Upgrades!$T$19="Local Bubble",POWER(Upgrades!$U$19,K128),1)*IF(Upgrades!$T$20="Local Bubble",POWER(Upgrades!$U$20,L128),1)*IF(Upgrades!$T$21="Local Bubble",POWER(Upgrades!$U$21,M128),1))*POWER(Upgrades!$P$13,E128)*POWER(Upgrades!$P$14,F128)*POWER(Upgrades!$P$15,G128)*POWER(Upgrades!$P$16,H128)*POWER(Upgrades!$P$17,I128)*POWER(Upgrades!$P$18,J128)*POWER(Upgrades!$P$19,K128)*POWER(Upgrades!$P$20,L128)*POWER(Upgrades!$P$21,M128)*$F$6)*0.05)/AN128,0)</f>
        <v/>
      </c>
      <c r="BC128" s="32">
        <f>IFERROR((Upgrades!$H$17*(POWER(Upgrades!$P$13,E128)*POWER(Upgrades!$P$14,F128)*POWER(Upgrades!$P$15,G128)*POWER(Upgrades!$P$16,H128)*POWER(Upgrades!$P$17,I128)*POWER(Upgrades!$P$18,J128)*POWER(Upgrades!$P$19,K128)*POWER(Upgrades!$P$20,L128)*POWER(Upgrades!$P$21,M128))*(IF(Upgrades!$T$13="Brown Dwarf",POWER(Upgrades!$U$13,E128),1)*IF(Upgrades!$T$14="Brown Dwarf",POWER(Upgrades!$U$14,F128),1)*IF(Upgrades!$T$15="Brown Dwarf",POWER(Upgrades!$U$15,G128),1)*IF(Upgrades!$T$16="Brown Dwarf",POWER(Upgrades!$U$16,H128),1)*IF(Upgrades!$T$18="Brown Dwarf",POWER(Upgrades!$U$18,J128),1)*IF(Upgrades!$T$19="Brown Dwarf",POWER(Upgrades!$U$19,K128),1)*IF(Upgrades!$T$20="Brown Dwarf",POWER(Upgrades!$U$20,L128),1)*IF(Upgrades!$T$21="Brown Dwarf",POWER(Upgrades!$U$21,M128),1))*$F$6+(((IF(H128=0,0,(Upgrades!$M$16+H128*Upgrades!$N$16)*POWER(Upgrades!$O$16,H128)))*(IF(Upgrades!$T$13="Roche Lobe Overflow",POWER(Upgrades!$U$13,E128),1)*IF(Upgrades!$T$14="Roche Lobe Overflow",POWER(Upgrades!$U$14,F128),1)*IF(Upgrades!$T$15="Roche Lobe Overflow",POWER(Upgrades!$U$15,G128),1)*IF(Upgrades!$T$17="Roche Lobe Overflow",POWER(Upgrades!$U$17,I128),1)*IF(Upgrades!$T$18="Roche Lobe Overflow",POWER(Upgrades!$U$18,J128),1)*IF(Upgrades!$T$19="Roche Lobe Overflow",POWER(Upgrades!$U$19,K128),1)*IF(Upgrades!$T$20="Roche Lobe Overflow",POWER(Upgrades!$U$20,L128),1)*IF(Upgrades!$T$21="Roche Lobe Overflow",POWER(Upgrades!$U$21,M128),1))*POWER(Upgrades!$R$13,E128)*POWER(Upgrades!$R$14,F128)*POWER(Upgrades!$R$15,G128)*POWER(Upgrades!$R$16,H128)*POWER(Upgrades!$R$17,I128)*POWER(Upgrades!$R$18,J128)*POWER(Upgrades!$R$19,K128)*POWER(Upgrades!$R$20,L128)*POWER(Upgrades!$R$21,M128)*$H$6)*O128)*0.10)/AO128,0)</f>
        <v/>
      </c>
      <c r="BD128" s="32">
        <f>MAX(IF(J128&gt;0,0,IFERROR(0.5*((IF(G128=0,0,(Upgrades!$J$15+G128*Upgrades!$K$15)*POWER(Upgrades!$L$15,G128)))*(IF(Upgrades!$T$13="Microlensing",POWER(Upgrades!$U$13,E128),1)*IF(Upgrades!$T$14="Microlensing",POWER(Upgrades!$U$14,F128),1)*IF(Upgrades!$T$16="Microlensing",POWER(Upgrades!$U$16,H128),1)*IF(Upgrades!$T$17="Microlensing",POWER(Upgrades!$U$17,I128),1)*IF(Upgrades!$T$18="Microlensing",POWER(Upgrades!$U$18,J128),1)*IF(Upgrades!$T$19="Microlensing",POWER(Upgrades!$U$19,K128),1)*IF(Upgrades!$T$20="Microlensing",POWER(Upgrades!$U$20,L128),1)*IF(Upgrades!$T$21="Microlensing",POWER(Upgrades!$U$21,M128),1))*(POWER(Upgrades!$Q$13,E128)*POWER(Upgrades!$Q$14,F128)*POWER(Upgrades!$Q$15,G128)*POWER(Upgrades!$Q$16,H128)*POWER(Upgrades!$Q$17,I128)*POWER(Upgrades!$Q$18,J128)*POWER(Upgrades!$Q$19,K128)*POWER(Upgrades!$Q$20,L128)*POWER(Upgrades!$Q$21,M128))*$G$6*(Parameters!$B$10/60*Parameters!$B$11+Q128))/Upgrades!$C$18,0)),IF(K128&gt;0,0,IFERROR(0.30*P128/Upgrades!$C$19,0)),IF(L128&gt;0,0,IFERROR(0.0001/Upgrades!$C$20,0)),IF(M128&gt;0,0,IFERROR((6.0*(POWER(Upgrades!$P$13,E128)*POWER(Upgrades!$P$14,F128)*POWER(Upgrades!$P$15,G128)*POWER(Upgrades!$P$16,H128)*POWER(Upgrades!$P$17,I128)*POWER(Upgrades!$P$18,J128)*POWER(Upgrades!$P$19,K128)*POWER(Upgrades!$P$20,L128)*POWER(Upgrades!$P$21,M128))*$F$6+0.20*O128*(Parameters!$B$10/60*Parameters!$B$11+Q128))/Upgrades!$C$21,0)),IF(AND(ISNUMBER(AK128),AK128&gt;(C128+T128)),AY128,0),IF(AND(ISNUMBER(AL128),AL128&gt;(C128+T128)),AZ128,0),IF(AND(ISNUMBER(AM128),AM128&gt;(C128+T128)),BA128,0),IF(AND(ISNUMBER(AN128),AN128&gt;(C128+T128)),BB128,0),IF(AND(ISNUMBER(AO128),AO128&gt;(C128+T128)),BC128,0))</f>
        <v/>
      </c>
      <c r="BE128" s="29">
        <f>IF(AT128=1,"transition",IF(MIN(IF(AND(J128=0,ISNUMBER(AP128),AP128&lt;=(C128+T128)),AP128,9E15),IF(AND(K128=0,ISNUMBER(AQ128),AQ128&lt;=(C128+T128)),AQ128,9E15),IF(AND(L128=0,ISNUMBER(AR128),AR128&lt;=(C128+T128)),AR128,9E15),IF(AND(M128=0,ISNUMBER(AS128),AS128&lt;=(C128+T128)),AS128,9E15))&lt;9E15,IF(AND(AND(J128=0,ISNUMBER(AP128),AP128&lt;=(C128+T128)),AP128=MIN(IF(AND(J128=0,ISNUMBER(AP128),AP128&lt;=(C128+T128)),AP128,9E15),IF(AND(K128=0,ISNUMBER(AQ128),AQ128&lt;=(C128+T128)),AQ128,9E15),IF(AND(L128=0,ISNUMBER(AR128),AR128&lt;=(C128+T128)),AR128,9E15),IF(AND(M128=0,ISNUMBER(AS128),AS128&lt;=(C128+T128)),AS128,9E15))),"BiP",IF(AND(AND(K128=0,ISNUMBER(AQ128),AQ128&lt;=(C128+T128)),AQ128=MIN(IF(AND(J128=0,ISNUMBER(AP128),AP128&lt;=(C128+T128)),AP128,9E15),IF(AND(K128=0,ISNUMBER(AQ128),AQ128&lt;=(C128+T128)),AQ128,9E15),IF(AND(L128=0,ISNUMBER(AR128),AR128&lt;=(C128+T128)),AR128,9E15),IF(AND(M128=0,ISNUMBER(AS128),AS128&lt;=(C128+T128)),AS128,9E15))),"PV",IF(AND(AND(L128=0,ISNUMBER(AR128),AR128&lt;=(C128+T128)),AR128=MIN(IF(AND(J128=0,ISNUMBER(AP128),AP128&lt;=(C128+T128)),AP128,9E15),IF(AND(K128=0,ISNUMBER(AQ128),AQ128&lt;=(C128+T128)),AQ128,9E15),IF(AND(L128=0,ISNUMBER(AR128),AR128&lt;=(C128+T128)),AR128,9E15),IF(AND(M128=0,ISNUMBER(AS128),AS128&lt;=(C128+T128)),AS128,9E15))),"OC","MG"))),IF(AX128=TRUE,"",IF(MAX(IF(AND(NOT(AND(AU128=1,AT128&lt;&gt;1)),ISNUMBER(AK128),AK128&lt;=(C128+T128)),AY128,0),IF(AND(NOT(AND(AU128=1,AT128&lt;&gt;1)),ISNUMBER(AL128),AL128&lt;=(C128+T128)),AZ128,0),IF(AND(NOT(AND(AU128=1,AT128&lt;&gt;1)),ISNUMBER(AM128),AM128&lt;=(C128+T128)),BA128,0),IF(AND(NOT(AND(AU128=1,AT128&lt;&gt;1)),ISNUMBER(AN128),AN128&lt;=(C128+T128)),BB128,0),IF(AND(ISNUMBER(AO128),AO128&lt;=(C128+T128)),BC128,0))&lt;=0,"",IF(AND(IF(AND(NOT(AND(AU128=1,AT128&lt;&gt;1)),ISNUMBER(AK128),AK128&lt;=(C128+T128)),AY128,0)&gt;0,IF(AND(NOT(AND(AU128=1,AT128&lt;&gt;1)),ISNUMBER(AK128),AK128&lt;=(C128+T128)),AY128,0)=MAX(IF(AND(NOT(AND(AU128=1,AT128&lt;&gt;1)),ISNUMBER(AK128),AK128&lt;=(C128+T128)),AY128,0),IF(AND(NOT(AND(AU128=1,AT128&lt;&gt;1)),ISNUMBER(AL128),AL128&lt;=(C128+T128)),AZ128,0),IF(AND(NOT(AND(AU128=1,AT128&lt;&gt;1)),ISNUMBER(AM128),AM128&lt;=(C128+T128)),BA128,0),IF(AND(NOT(AND(AU128=1,AT128&lt;&gt;1)),ISNUMBER(AN128),AN128&lt;=(C128+T128)),BB128,0),IF(AND(ISNUMBER(AO128),AO128&lt;=(C128+T128)),BC128,0))),"SK",IF(AND(IF(AND(NOT(AND(AU128=1,AT128&lt;&gt;1)),ISNUMBER(AL128),AL128&lt;=(C128+T128)),AZ128,0)&gt;0,IF(AND(NOT(AND(AU128=1,AT128&lt;&gt;1)),ISNUMBER(AL128),AL128&lt;=(C128+T128)),AZ128,0)=MAX(IF(AND(NOT(AND(AU128=1,AT128&lt;&gt;1)),ISNUMBER(AK128),AK128&lt;=(C128+T128)),AY128,0),IF(AND(NOT(AND(AU128=1,AT128&lt;&gt;1)),ISNUMBER(AL128),AL128&lt;=(C128+T128)),AZ128,0),IF(AND(NOT(AND(AU128=1,AT128&lt;&gt;1)),ISNUMBER(AM128),AM128&lt;=(C128+T128)),BA128,0),IF(AND(NOT(AND(AU128=1,AT128&lt;&gt;1)),ISNUMBER(AN128),AN128&lt;=(C128+T128)),BB128,0),IF(AND(ISNUMBER(AO128),AO128&lt;=(C128+T128)),BC128,0))),"LB",IF(AND(IF(AND(NOT(AND(AU128=1,AT128&lt;&gt;1)),ISNUMBER(AM128),AM128&lt;=(C128+T128)),BA128,0)&gt;0,IF(AND(NOT(AND(AU128=1,AT128&lt;&gt;1)),ISNUMBER(AM128),AM128&lt;=(C128+T128)),BA128,0)=MAX(IF(AND(NOT(AND(AU128=1,AT128&lt;&gt;1)),ISNUMBER(AK128),AK128&lt;=(C128+T128)),AY128,0),IF(AND(NOT(AND(AU128=1,AT128&lt;&gt;1)),ISNUMBER(AL128),AL128&lt;=(C128+T128)),AZ128,0),IF(AND(NOT(AND(AU128=1,AT128&lt;&gt;1)),ISNUMBER(AM128),AM128&lt;=(C128+T128)),BA128,0),IF(AND(NOT(AND(AU128=1,AT128&lt;&gt;1)),ISNUMBER(AN128),AN128&lt;=(C128+T128)),BB128,0),IF(AND(ISNUMBER(AO128),AO128&lt;=(C128+T128)),BC128,0))),"ML",IF(AND(IF(AND(NOT(AND(AU128=1,AT128&lt;&gt;1)),ISNUMBER(AN128),AN128&lt;=(C128+T128)),BB128,0)&gt;0,IF(AND(NOT(AND(AU128=1,AT128&lt;&gt;1)),ISNUMBER(AN128),AN128&lt;=(C128+T128)),BB128,0)=MAX(IF(AND(NOT(AND(AU128=1,AT128&lt;&gt;1)),ISNUMBER(AK128),AK128&lt;=(C128+T128)),AY128,0),IF(AND(NOT(AND(AU128=1,AT128&lt;&gt;1)),ISNUMBER(AL128),AL128&lt;=(C128+T128)),AZ128,0),IF(AND(NOT(AND(AU128=1,AT128&lt;&gt;1)),ISNUMBER(AM128),AM128&lt;=(C128+T128)),BA128,0),IF(AND(NOT(AND(AU128=1,AT128&lt;&gt;1)),ISNUMBER(AN128),AN128&lt;=(C128+T128)),BB128,0),IF(AND(ISNUMBER(AO128),AO128&lt;=(C128+T128)),BC128,0))),"RLO","BD"))))))))</f>
        <v/>
      </c>
    </row>
    <row r="129">
      <c r="A129" s="26" t="n">
        <v>118</v>
      </c>
      <c r="B129" s="27">
        <f>A129*10/60</f>
        <v/>
      </c>
      <c r="C129" s="22">
        <f>X128</f>
        <v/>
      </c>
      <c r="D129" s="27">
        <f>D128+W128</f>
        <v/>
      </c>
      <c r="E129" s="26">
        <f>E128+IF(U128="SK",1,0)</f>
        <v/>
      </c>
      <c r="F129" s="26">
        <f>F128+IF(U128="LB",1,0)</f>
        <v/>
      </c>
      <c r="G129" s="26">
        <f>G128+IF(U128="ML",1,0)</f>
        <v/>
      </c>
      <c r="H129" s="26">
        <f>H128+IF(U128="RLO",1,0)</f>
        <v/>
      </c>
      <c r="I129" s="26">
        <f>I128+IF(U128="BD",1,0)</f>
        <v/>
      </c>
      <c r="J129" s="26">
        <f>MAX(J128,IF(U128="BiP",1,0))</f>
        <v/>
      </c>
      <c r="K129" s="26">
        <f>MAX(K128,IF(U128="PV",1,0))</f>
        <v/>
      </c>
      <c r="L129" s="26">
        <f>MAX(L128,IF(U128="OC",1,0))</f>
        <v/>
      </c>
      <c r="M129" s="26">
        <f>MAX(M128,IF(U128="MG",1,0))</f>
        <v/>
      </c>
      <c r="N129" s="26">
        <f>MAX(N128,IF(U128="transition",1,0))</f>
        <v/>
      </c>
      <c r="O129" s="28">
        <f>(Parameters!$B$9+(IF(E129=0,0,(Upgrades!$J$13+E129*Upgrades!$K$13)*POWER(Upgrades!$L$13,E129)))*(IF(Upgrades!$T$14="Stellar Kinematics",POWER(Upgrades!$U$14,F129),1)*IF(Upgrades!$T$15="Stellar Kinematics",POWER(Upgrades!$U$15,G129),1)*IF(Upgrades!$T$16="Stellar Kinematics",POWER(Upgrades!$U$16,H129),1)*IF(Upgrades!$T$17="Stellar Kinematics",POWER(Upgrades!$U$17,I129),1)*IF(Upgrades!$T$18="Stellar Kinematics",POWER(Upgrades!$U$18,J129),1)*IF(Upgrades!$T$19="Stellar Kinematics",POWER(Upgrades!$U$19,K129),1)*IF(Upgrades!$T$20="Stellar Kinematics",POWER(Upgrades!$U$20,L129),1)*IF(Upgrades!$T$21="Stellar Kinematics",POWER(Upgrades!$U$21,M129),1))+(IF(F129=0,0,(Upgrades!$J$14+F129*Upgrades!$K$14)*POWER(Upgrades!$L$14,F129)))*(IF(Upgrades!$T$13="Local Bubble",POWER(Upgrades!$U$13,E129),1)*IF(Upgrades!$T$15="Local Bubble",POWER(Upgrades!$U$15,G129),1)*IF(Upgrades!$T$16="Local Bubble",POWER(Upgrades!$U$16,H129),1)*IF(Upgrades!$T$17="Local Bubble",POWER(Upgrades!$U$17,I129),1)*IF(Upgrades!$T$18="Local Bubble",POWER(Upgrades!$U$18,J129),1)*IF(Upgrades!$T$19="Local Bubble",POWER(Upgrades!$U$19,K129),1)*IF(Upgrades!$T$20="Local Bubble",POWER(Upgrades!$U$20,L129),1)*IF(Upgrades!$T$21="Local Bubble",POWER(Upgrades!$U$21,M129),1))+(IF(G129=0,0,(Upgrades!$J$15+G129*Upgrades!$K$15)*POWER(Upgrades!$L$15,G129)))*(IF(Upgrades!$T$13="Microlensing",POWER(Upgrades!$U$13,E129),1)*IF(Upgrades!$T$14="Microlensing",POWER(Upgrades!$U$14,F129),1)*IF(Upgrades!$T$16="Microlensing",POWER(Upgrades!$U$16,H129),1)*IF(Upgrades!$T$17="Microlensing",POWER(Upgrades!$U$17,I129),1)*IF(Upgrades!$T$18="Microlensing",POWER(Upgrades!$U$18,J129),1)*IF(Upgrades!$T$19="Microlensing",POWER(Upgrades!$U$19,K129),1)*IF(Upgrades!$T$20="Microlensing",POWER(Upgrades!$U$20,L129),1)*IF(Upgrades!$T$21="Microlensing",POWER(Upgrades!$U$21,M129),1))+(IF(H129=0,0,(Upgrades!$J$16+H129*Upgrades!$K$16)*POWER(Upgrades!$L$16,H129)))*(IF(Upgrades!$T$13="Roche Lobe Overflow",POWER(Upgrades!$U$13,E129),1)*IF(Upgrades!$T$14="Roche Lobe Overflow",POWER(Upgrades!$U$14,F129),1)*IF(Upgrades!$T$15="Roche Lobe Overflow",POWER(Upgrades!$U$15,G129),1)*IF(Upgrades!$T$17="Roche Lobe Overflow",POWER(Upgrades!$U$17,I129),1)*IF(Upgrades!$T$18="Roche Lobe Overflow",POWER(Upgrades!$U$18,J129),1)*IF(Upgrades!$T$19="Roche Lobe Overflow",POWER(Upgrades!$U$19,K129),1)*IF(Upgrades!$T$20="Roche Lobe Overflow",POWER(Upgrades!$U$20,L129),1)*IF(Upgrades!$T$21="Roche Lobe Overflow",POWER(Upgrades!$U$21,M129),1))+(IF(I129=0,0,(Upgrades!$J$17+I129*Upgrades!$K$17)*POWER(Upgrades!$L$17,I129)))*(IF(Upgrades!$T$13="Brown Dwarf",POWER(Upgrades!$U$13,E129),1)*IF(Upgrades!$T$14="Brown Dwarf",POWER(Upgrades!$U$14,F129),1)*IF(Upgrades!$T$15="Brown Dwarf",POWER(Upgrades!$U$15,G129),1)*IF(Upgrades!$T$16="Brown Dwarf",POWER(Upgrades!$U$16,H129),1)*IF(Upgrades!$T$18="Brown Dwarf",POWER(Upgrades!$U$18,J129),1)*IF(Upgrades!$T$19="Brown Dwarf",POWER(Upgrades!$U$19,K129),1)*IF(Upgrades!$T$20="Brown Dwarf",POWER(Upgrades!$U$20,L129),1)*IF(Upgrades!$T$21="Brown Dwarf",POWER(Upgrades!$U$21,M129),1))+(IF(J129=0,0,(Upgrades!$J$18+J129*Upgrades!$K$18)*POWER(Upgrades!$L$18,J129)))*(IF(Upgrades!$T$13="Binary Partner",POWER(Upgrades!$U$13,E129),1)*IF(Upgrades!$T$14="Binary Partner",POWER(Upgrades!$U$14,F129),1)*IF(Upgrades!$T$15="Binary Partner",POWER(Upgrades!$U$15,G129),1)*IF(Upgrades!$T$16="Binary Partner",POWER(Upgrades!$U$16,H129),1)*IF(Upgrades!$T$17="Binary Partner",POWER(Upgrades!$U$17,I129),1)*IF(Upgrades!$T$19="Binary Partner",POWER(Upgrades!$U$19,K129),1)*IF(Upgrades!$T$20="Binary Partner",POWER(Upgrades!$U$20,L129),1)*IF(Upgrades!$T$21="Binary Partner",POWER(Upgrades!$U$21,M129),1))+(IF(K129=0,0,(Upgrades!$J$19+K129*Upgrades!$K$19)*POWER(Upgrades!$L$19,K129)))*(IF(Upgrades!$T$13="Peculiar Velocity",POWER(Upgrades!$U$13,E129),1)*IF(Upgrades!$T$14="Peculiar Velocity",POWER(Upgrades!$U$14,F129),1)*IF(Upgrades!$T$15="Peculiar Velocity",POWER(Upgrades!$U$15,G129),1)*IF(Upgrades!$T$16="Peculiar Velocity",POWER(Upgrades!$U$16,H129),1)*IF(Upgrades!$T$17="Peculiar Velocity",POWER(Upgrades!$U$17,I129),1)*IF(Upgrades!$T$18="Peculiar Velocity",POWER(Upgrades!$U$18,J129),1)*IF(Upgrades!$T$20="Peculiar Velocity",POWER(Upgrades!$U$20,L129),1)*IF(Upgrades!$T$21="Peculiar Velocity",POWER(Upgrades!$U$21,M129),1))+(IF(L129=0,0,(Upgrades!$J$20+L129*Upgrades!$K$20)*POWER(Upgrades!$L$20,L129)))*(IF(Upgrades!$T$13="Open Cluster",POWER(Upgrades!$U$13,E129),1)*IF(Upgrades!$T$14="Open Cluster",POWER(Upgrades!$U$14,F129),1)*IF(Upgrades!$T$15="Open Cluster",POWER(Upgrades!$U$15,G129),1)*IF(Upgrades!$T$16="Open Cluster",POWER(Upgrades!$U$16,H129),1)*IF(Upgrades!$T$17="Open Cluster",POWER(Upgrades!$U$17,I129),1)*IF(Upgrades!$T$18="Open Cluster",POWER(Upgrades!$U$18,J129),1)*IF(Upgrades!$T$19="Open Cluster",POWER(Upgrades!$U$19,K129),1)*IF(Upgrades!$T$21="Open Cluster",POWER(Upgrades!$U$21,M129),1))+(IF(M129=0,0,(Upgrades!$J$21+M129*Upgrades!$K$21)*POWER(Upgrades!$L$21,M129)))*(IF(Upgrades!$T$13="Moving Group",POWER(Upgrades!$U$13,E129),1)*IF(Upgrades!$T$14="Moving Group",POWER(Upgrades!$U$14,F129),1)*IF(Upgrades!$T$15="Moving Group",POWER(Upgrades!$U$15,G129),1)*IF(Upgrades!$T$16="Moving Group",POWER(Upgrades!$U$16,H129),1)*IF(Upgrades!$T$17="Moving Group",POWER(Upgrades!$U$17,I129),1)*IF(Upgrades!$T$18="Moving Group",POWER(Upgrades!$U$18,J129),1)*IF(Upgrades!$T$19="Moving Group",POWER(Upgrades!$U$19,K129),1)*IF(Upgrades!$T$20="Moving Group",POWER(Upgrades!$U$20,L129),1)))*POWER(Upgrades!$Q$13,E129)*POWER(Upgrades!$Q$14,F129)*POWER(Upgrades!$Q$15,G129)*POWER(Upgrades!$Q$16,H129)*POWER(Upgrades!$Q$17,I129)*POWER(Upgrades!$Q$18,J129)*POWER(Upgrades!$Q$19,K129)*POWER(Upgrades!$Q$20,L129)*POWER(Upgrades!$Q$21,M129)*$G$6+$D$6</f>
        <v/>
      </c>
      <c r="P129" s="28">
        <f>((IF(E129=0,0,(Upgrades!$G$13+E129*Upgrades!$H$13)*POWER(Upgrades!$I$13,E129)))*(IF(Upgrades!$T$14="Stellar Kinematics",POWER(Upgrades!$U$14,F129),1)*IF(Upgrades!$T$15="Stellar Kinematics",POWER(Upgrades!$U$15,G129),1)*IF(Upgrades!$T$16="Stellar Kinematics",POWER(Upgrades!$U$16,H129),1)*IF(Upgrades!$T$17="Stellar Kinematics",POWER(Upgrades!$U$17,I129),1)*IF(Upgrades!$T$18="Stellar Kinematics",POWER(Upgrades!$U$18,J129),1)*IF(Upgrades!$T$19="Stellar Kinematics",POWER(Upgrades!$U$19,K129),1)*IF(Upgrades!$T$20="Stellar Kinematics",POWER(Upgrades!$U$20,L129),1)*IF(Upgrades!$T$21="Stellar Kinematics",POWER(Upgrades!$U$21,M129),1))+(IF(F129=0,0,(Upgrades!$G$14+F129*Upgrades!$H$14)*POWER(Upgrades!$I$14,F129)))*(IF(Upgrades!$T$13="Local Bubble",POWER(Upgrades!$U$13,E129),1)*IF(Upgrades!$T$15="Local Bubble",POWER(Upgrades!$U$15,G129),1)*IF(Upgrades!$T$16="Local Bubble",POWER(Upgrades!$U$16,H129),1)*IF(Upgrades!$T$17="Local Bubble",POWER(Upgrades!$U$17,I129),1)*IF(Upgrades!$T$18="Local Bubble",POWER(Upgrades!$U$18,J129),1)*IF(Upgrades!$T$19="Local Bubble",POWER(Upgrades!$U$19,K129),1)*IF(Upgrades!$T$20="Local Bubble",POWER(Upgrades!$U$20,L129),1)*IF(Upgrades!$T$21="Local Bubble",POWER(Upgrades!$U$21,M129),1))+(IF(G129=0,0,(Upgrades!$G$15+G129*Upgrades!$H$15)*POWER(Upgrades!$I$15,G129)))*(IF(Upgrades!$T$13="Microlensing",POWER(Upgrades!$U$13,E129),1)*IF(Upgrades!$T$14="Microlensing",POWER(Upgrades!$U$14,F129),1)*IF(Upgrades!$T$16="Microlensing",POWER(Upgrades!$U$16,H129),1)*IF(Upgrades!$T$17="Microlensing",POWER(Upgrades!$U$17,I129),1)*IF(Upgrades!$T$18="Microlensing",POWER(Upgrades!$U$18,J129),1)*IF(Upgrades!$T$19="Microlensing",POWER(Upgrades!$U$19,K129),1)*IF(Upgrades!$T$20="Microlensing",POWER(Upgrades!$U$20,L129),1)*IF(Upgrades!$T$21="Microlensing",POWER(Upgrades!$U$21,M129),1))+(IF(H129=0,0,(Upgrades!$G$16+H129*Upgrades!$H$16)*POWER(Upgrades!$I$16,H129)))*(IF(Upgrades!$T$13="Roche Lobe Overflow",POWER(Upgrades!$U$13,E129),1)*IF(Upgrades!$T$14="Roche Lobe Overflow",POWER(Upgrades!$U$14,F129),1)*IF(Upgrades!$T$15="Roche Lobe Overflow",POWER(Upgrades!$U$15,G129),1)*IF(Upgrades!$T$17="Roche Lobe Overflow",POWER(Upgrades!$U$17,I129),1)*IF(Upgrades!$T$18="Roche Lobe Overflow",POWER(Upgrades!$U$18,J129),1)*IF(Upgrades!$T$19="Roche Lobe Overflow",POWER(Upgrades!$U$19,K129),1)*IF(Upgrades!$T$20="Roche Lobe Overflow",POWER(Upgrades!$U$20,L129),1)*IF(Upgrades!$T$21="Roche Lobe Overflow",POWER(Upgrades!$U$21,M129),1))+(IF(I129=0,0,(Upgrades!$G$17+I129*Upgrades!$H$17)*POWER(Upgrades!$I$17,I129)))*(IF(Upgrades!$T$13="Brown Dwarf",POWER(Upgrades!$U$13,E129),1)*IF(Upgrades!$T$14="Brown Dwarf",POWER(Upgrades!$U$14,F129),1)*IF(Upgrades!$T$15="Brown Dwarf",POWER(Upgrades!$U$15,G129),1)*IF(Upgrades!$T$16="Brown Dwarf",POWER(Upgrades!$U$16,H129),1)*IF(Upgrades!$T$18="Brown Dwarf",POWER(Upgrades!$U$18,J129),1)*IF(Upgrades!$T$19="Brown Dwarf",POWER(Upgrades!$U$19,K129),1)*IF(Upgrades!$T$20="Brown Dwarf",POWER(Upgrades!$U$20,L129),1)*IF(Upgrades!$T$21="Brown Dwarf",POWER(Upgrades!$U$21,M129),1))+(IF(J129=0,0,(Upgrades!$G$18+J129*Upgrades!$H$18)*POWER(Upgrades!$I$18,J129)))*(IF(Upgrades!$T$13="Binary Partner",POWER(Upgrades!$U$13,E129),1)*IF(Upgrades!$T$14="Binary Partner",POWER(Upgrades!$U$14,F129),1)*IF(Upgrades!$T$15="Binary Partner",POWER(Upgrades!$U$15,G129),1)*IF(Upgrades!$T$16="Binary Partner",POWER(Upgrades!$U$16,H129),1)*IF(Upgrades!$T$17="Binary Partner",POWER(Upgrades!$U$17,I129),1)*IF(Upgrades!$T$19="Binary Partner",POWER(Upgrades!$U$19,K129),1)*IF(Upgrades!$T$20="Binary Partner",POWER(Upgrades!$U$20,L129),1)*IF(Upgrades!$T$21="Binary Partner",POWER(Upgrades!$U$21,M129),1))+(IF(K129=0,0,(Upgrades!$G$19+K129*Upgrades!$H$19)*POWER(Upgrades!$I$19,K129)))*(IF(Upgrades!$T$13="Peculiar Velocity",POWER(Upgrades!$U$13,E129),1)*IF(Upgrades!$T$14="Peculiar Velocity",POWER(Upgrades!$U$14,F129),1)*IF(Upgrades!$T$15="Peculiar Velocity",POWER(Upgrades!$U$15,G129),1)*IF(Upgrades!$T$16="Peculiar Velocity",POWER(Upgrades!$U$16,H129),1)*IF(Upgrades!$T$17="Peculiar Velocity",POWER(Upgrades!$U$17,I129),1)*IF(Upgrades!$T$18="Peculiar Velocity",POWER(Upgrades!$U$18,J129),1)*IF(Upgrades!$T$20="Peculiar Velocity",POWER(Upgrades!$U$20,L129),1)*IF(Upgrades!$T$21="Peculiar Velocity",POWER(Upgrades!$U$21,M129),1))+(IF(L129=0,0,(Upgrades!$G$20+L129*Upgrades!$H$20)*POWER(Upgrades!$I$20,L129)))*(IF(Upgrades!$T$13="Open Cluster",POWER(Upgrades!$U$13,E129),1)*IF(Upgrades!$T$14="Open Cluster",POWER(Upgrades!$U$14,F129),1)*IF(Upgrades!$T$15="Open Cluster",POWER(Upgrades!$U$15,G129),1)*IF(Upgrades!$T$16="Open Cluster",POWER(Upgrades!$U$16,H129),1)*IF(Upgrades!$T$17="Open Cluster",POWER(Upgrades!$U$17,I129),1)*IF(Upgrades!$T$18="Open Cluster",POWER(Upgrades!$U$18,J129),1)*IF(Upgrades!$T$19="Open Cluster",POWER(Upgrades!$U$19,K129),1)*IF(Upgrades!$T$21="Open Cluster",POWER(Upgrades!$U$21,M129),1))+(IF(M129=0,0,(Upgrades!$G$21+M129*Upgrades!$H$21)*POWER(Upgrades!$I$21,M129)))*(IF(Upgrades!$T$13="Moving Group",POWER(Upgrades!$U$13,E129),1)*IF(Upgrades!$T$14="Moving Group",POWER(Upgrades!$U$14,F129),1)*IF(Upgrades!$T$15="Moving Group",POWER(Upgrades!$U$15,G129),1)*IF(Upgrades!$T$16="Moving Group",POWER(Upgrades!$U$16,H129),1)*IF(Upgrades!$T$17="Moving Group",POWER(Upgrades!$U$17,I129),1)*IF(Upgrades!$T$18="Moving Group",POWER(Upgrades!$U$18,J129),1)*IF(Upgrades!$T$19="Moving Group",POWER(Upgrades!$U$19,K129),1)*IF(Upgrades!$T$20="Moving Group",POWER(Upgrades!$U$20,L129),1)))*POWER(Upgrades!$P$13,E129)*POWER(Upgrades!$P$14,F129)*POWER(Upgrades!$P$15,G129)*POWER(Upgrades!$P$16,H129)*POWER(Upgrades!$P$17,I129)*POWER(Upgrades!$P$18,J129)*POWER(Upgrades!$P$19,K129)*POWER(Upgrades!$P$20,L129)*POWER(Upgrades!$P$21,M129)*$F$6+$C$6</f>
        <v/>
      </c>
      <c r="Q129" s="28">
        <f>((IF(E129=0,0,(Upgrades!$M$13+E129*Upgrades!$N$13)*POWER(Upgrades!$O$13,E129)))*(IF(Upgrades!$T$14="Stellar Kinematics",POWER(Upgrades!$U$14,F129),1)*IF(Upgrades!$T$15="Stellar Kinematics",POWER(Upgrades!$U$15,G129),1)*IF(Upgrades!$T$16="Stellar Kinematics",POWER(Upgrades!$U$16,H129),1)*IF(Upgrades!$T$17="Stellar Kinematics",POWER(Upgrades!$U$17,I129),1)*IF(Upgrades!$T$18="Stellar Kinematics",POWER(Upgrades!$U$18,J129),1)*IF(Upgrades!$T$19="Stellar Kinematics",POWER(Upgrades!$U$19,K129),1)*IF(Upgrades!$T$20="Stellar Kinematics",POWER(Upgrades!$U$20,L129),1)*IF(Upgrades!$T$21="Stellar Kinematics",POWER(Upgrades!$U$21,M129),1))+(IF(F129=0,0,(Upgrades!$M$14+F129*Upgrades!$N$14)*POWER(Upgrades!$O$14,F129)))*(IF(Upgrades!$T$13="Local Bubble",POWER(Upgrades!$U$13,E129),1)*IF(Upgrades!$T$15="Local Bubble",POWER(Upgrades!$U$15,G129),1)*IF(Upgrades!$T$16="Local Bubble",POWER(Upgrades!$U$16,H129),1)*IF(Upgrades!$T$17="Local Bubble",POWER(Upgrades!$U$17,I129),1)*IF(Upgrades!$T$18="Local Bubble",POWER(Upgrades!$U$18,J129),1)*IF(Upgrades!$T$19="Local Bubble",POWER(Upgrades!$U$19,K129),1)*IF(Upgrades!$T$20="Local Bubble",POWER(Upgrades!$U$20,L129),1)*IF(Upgrades!$T$21="Local Bubble",POWER(Upgrades!$U$21,M129),1))+(IF(G129=0,0,(Upgrades!$M$15+G129*Upgrades!$N$15)*POWER(Upgrades!$O$15,G129)))*(IF(Upgrades!$T$13="Microlensing",POWER(Upgrades!$U$13,E129),1)*IF(Upgrades!$T$14="Microlensing",POWER(Upgrades!$U$14,F129),1)*IF(Upgrades!$T$16="Microlensing",POWER(Upgrades!$U$16,H129),1)*IF(Upgrades!$T$17="Microlensing",POWER(Upgrades!$U$17,I129),1)*IF(Upgrades!$T$18="Microlensing",POWER(Upgrades!$U$18,J129),1)*IF(Upgrades!$T$19="Microlensing",POWER(Upgrades!$U$19,K129),1)*IF(Upgrades!$T$20="Microlensing",POWER(Upgrades!$U$20,L129),1)*IF(Upgrades!$T$21="Microlensing",POWER(Upgrades!$U$21,M129),1))+(IF(H129=0,0,(Upgrades!$M$16+H129*Upgrades!$N$16)*POWER(Upgrades!$O$16,H129)))*(IF(Upgrades!$T$13="Roche Lobe Overflow",POWER(Upgrades!$U$13,E129),1)*IF(Upgrades!$T$14="Roche Lobe Overflow",POWER(Upgrades!$U$14,F129),1)*IF(Upgrades!$T$15="Roche Lobe Overflow",POWER(Upgrades!$U$15,G129),1)*IF(Upgrades!$T$17="Roche Lobe Overflow",POWER(Upgrades!$U$17,I129),1)*IF(Upgrades!$T$18="Roche Lobe Overflow",POWER(Upgrades!$U$18,J129),1)*IF(Upgrades!$T$19="Roche Lobe Overflow",POWER(Upgrades!$U$19,K129),1)*IF(Upgrades!$T$20="Roche Lobe Overflow",POWER(Upgrades!$U$20,L129),1)*IF(Upgrades!$T$21="Roche Lobe Overflow",POWER(Upgrades!$U$21,M129),1))+(IF(I129=0,0,(Upgrades!$M$17+I129*Upgrades!$N$17)*POWER(Upgrades!$O$17,I129)))*(IF(Upgrades!$T$13="Brown Dwarf",POWER(Upgrades!$U$13,E129),1)*IF(Upgrades!$T$14="Brown Dwarf",POWER(Upgrades!$U$14,F129),1)*IF(Upgrades!$T$15="Brown Dwarf",POWER(Upgrades!$U$15,G129),1)*IF(Upgrades!$T$16="Brown Dwarf",POWER(Upgrades!$U$16,H129),1)*IF(Upgrades!$T$18="Brown Dwarf",POWER(Upgrades!$U$18,J129),1)*IF(Upgrades!$T$19="Brown Dwarf",POWER(Upgrades!$U$19,K129),1)*IF(Upgrades!$T$20="Brown Dwarf",POWER(Upgrades!$U$20,L129),1)*IF(Upgrades!$T$21="Brown Dwarf",POWER(Upgrades!$U$21,M129),1))+(IF(J129=0,0,(Upgrades!$M$18+J129*Upgrades!$N$18)*POWER(Upgrades!$O$18,J129)))*(IF(Upgrades!$T$13="Binary Partner",POWER(Upgrades!$U$13,E129),1)*IF(Upgrades!$T$14="Binary Partner",POWER(Upgrades!$U$14,F129),1)*IF(Upgrades!$T$15="Binary Partner",POWER(Upgrades!$U$15,G129),1)*IF(Upgrades!$T$16="Binary Partner",POWER(Upgrades!$U$16,H129),1)*IF(Upgrades!$T$17="Binary Partner",POWER(Upgrades!$U$17,I129),1)*IF(Upgrades!$T$19="Binary Partner",POWER(Upgrades!$U$19,K129),1)*IF(Upgrades!$T$20="Binary Partner",POWER(Upgrades!$U$20,L129),1)*IF(Upgrades!$T$21="Binary Partner",POWER(Upgrades!$U$21,M129),1))+(IF(K129=0,0,(Upgrades!$M$19+K129*Upgrades!$N$19)*POWER(Upgrades!$O$19,K129)))*(IF(Upgrades!$T$13="Peculiar Velocity",POWER(Upgrades!$U$13,E129),1)*IF(Upgrades!$T$14="Peculiar Velocity",POWER(Upgrades!$U$14,F129),1)*IF(Upgrades!$T$15="Peculiar Velocity",POWER(Upgrades!$U$15,G129),1)*IF(Upgrades!$T$16="Peculiar Velocity",POWER(Upgrades!$U$16,H129),1)*IF(Upgrades!$T$17="Peculiar Velocity",POWER(Upgrades!$U$17,I129),1)*IF(Upgrades!$T$18="Peculiar Velocity",POWER(Upgrades!$U$18,J129),1)*IF(Upgrades!$T$20="Peculiar Velocity",POWER(Upgrades!$U$20,L129),1)*IF(Upgrades!$T$21="Peculiar Velocity",POWER(Upgrades!$U$21,M129),1))+(IF(L129=0,0,(Upgrades!$M$20+L129*Upgrades!$N$20)*POWER(Upgrades!$O$20,L129)))*(IF(Upgrades!$T$13="Open Cluster",POWER(Upgrades!$U$13,E129),1)*IF(Upgrades!$T$14="Open Cluster",POWER(Upgrades!$U$14,F129),1)*IF(Upgrades!$T$15="Open Cluster",POWER(Upgrades!$U$15,G129),1)*IF(Upgrades!$T$16="Open Cluster",POWER(Upgrades!$U$16,H129),1)*IF(Upgrades!$T$17="Open Cluster",POWER(Upgrades!$U$17,I129),1)*IF(Upgrades!$T$18="Open Cluster",POWER(Upgrades!$U$18,J129),1)*IF(Upgrades!$T$19="Open Cluster",POWER(Upgrades!$U$19,K129),1)*IF(Upgrades!$T$21="Open Cluster",POWER(Upgrades!$U$21,M129),1))+(IF(M129=0,0,(Upgrades!$M$21+M129*Upgrades!$N$21)*POWER(Upgrades!$O$21,M129)))*(IF(Upgrades!$T$13="Moving Group",POWER(Upgrades!$U$13,E129),1)*IF(Upgrades!$T$14="Moving Group",POWER(Upgrades!$U$14,F129),1)*IF(Upgrades!$T$15="Moving Group",POWER(Upgrades!$U$15,G129),1)*IF(Upgrades!$T$16="Moving Group",POWER(Upgrades!$U$16,H129),1)*IF(Upgrades!$T$17="Moving Group",POWER(Upgrades!$U$17,I129),1)*IF(Upgrades!$T$18="Moving Group",POWER(Upgrades!$U$18,J129),1)*IF(Upgrades!$T$19="Moving Group",POWER(Upgrades!$U$19,K129),1)*IF(Upgrades!$T$20="Moving Group",POWER(Upgrades!$U$20,L129),1)))*POWER(Upgrades!$R$13,E129)*POWER(Upgrades!$R$14,F129)*POWER(Upgrades!$R$15,G129)*POWER(Upgrades!$R$16,H129)*POWER(Upgrades!$R$17,I129)*POWER(Upgrades!$R$18,J129)*POWER(Upgrades!$R$19,K129)*POWER(Upgrades!$R$20,L129)*POWER(Upgrades!$R$21,M129)*$H$6+$E$6</f>
        <v/>
      </c>
      <c r="R129" s="27">
        <f>IF(N129=1,0,O129*Parameters!$B$10/60*Parameters!$B$11*10)</f>
        <v/>
      </c>
      <c r="S129" s="27">
        <f>IF(N129=1,0,Q129*O129*10)</f>
        <v/>
      </c>
      <c r="T129" s="27">
        <f>IF(N129=1,0,R129+S129+P129*10)</f>
        <v/>
      </c>
      <c r="U129" s="33">
        <f>BE129</f>
        <v/>
      </c>
      <c r="V129" s="22">
        <f>IF(U129="",0,IF(U129="transition",0,IF(U129="SK",AK129,IF(U129="LB",AL129,IF(U129="ML",AM129,IF(U129="RLO",AN129,IF(U129="BD",AO129,IF(U129="BiP",AP129,IF(U129="PV",AQ129,IF(U129="OC",AR129,IF(U129="MG",AS129,0))))))))))</f>
        <v/>
      </c>
      <c r="W129" s="27">
        <f>IF(U129="BiP",Upgrades!$F$18,IF(U129="PV",Upgrades!$F$19,IF(U129="OC",Upgrades!$F$20,IF(U129="MG",Upgrades!$F$21,IF(U129="transition",-Parameters!$B$18*Parameters!$B$19,0)))))</f>
        <v/>
      </c>
      <c r="X129" s="22">
        <f>C129+T129-V129</f>
        <v/>
      </c>
      <c r="Y129" s="30">
        <f>O129*Parameters!$B$10/60*Parameters!$B$11+Q129*O129+P129</f>
        <v/>
      </c>
      <c r="Z129" s="34">
        <f>IF(U129="transition","→ Tier 3 (Galactic Arm)",IF(U129="MG","Moving Group — pocket drifts together",IF(U129="OC","Open Cluster acquired",IF(U129="PV","Peculiar Velocity — passive multiplier active",IF(U129="BiP","Binary Partner — pair bond formed",IF(AND(AU129=1,N129=0,AT129&lt;&gt;1),"Cohesion ready (waiting on completionists)","")))))) </f>
        <v/>
      </c>
      <c r="AA129" s="27">
        <f>(IF(E129=0,0,(Upgrades!$G$13+E129*Upgrades!$H$13)*POWER(Upgrades!$I$13,E129)))*(IF(Upgrades!$T$14="Stellar Kinematics",POWER(Upgrades!$U$14,F129),1)*IF(Upgrades!$T$15="Stellar Kinematics",POWER(Upgrades!$U$15,G129),1)*IF(Upgrades!$T$16="Stellar Kinematics",POWER(Upgrades!$U$16,H129),1)*IF(Upgrades!$T$17="Stellar Kinematics",POWER(Upgrades!$U$17,I129),1)*IF(Upgrades!$T$18="Stellar Kinematics",POWER(Upgrades!$U$18,J129),1)*IF(Upgrades!$T$19="Stellar Kinematics",POWER(Upgrades!$U$19,K129),1)*IF(Upgrades!$T$20="Stellar Kinematics",POWER(Upgrades!$U$20,L129),1)*IF(Upgrades!$T$21="Stellar Kinematics",POWER(Upgrades!$U$21,M129),1))*POWER(Upgrades!$P$13,E129)*POWER(Upgrades!$P$14,F129)*POWER(Upgrades!$P$15,G129)*POWER(Upgrades!$P$16,H129)*POWER(Upgrades!$P$17,I129)*POWER(Upgrades!$P$18,J129)*POWER(Upgrades!$P$19,K129)*POWER(Upgrades!$P$20,L129)*POWER(Upgrades!$P$21,M129)*$F$6*60</f>
        <v/>
      </c>
      <c r="AB129" s="27">
        <f>(IF(F129=0,0,(Upgrades!$G$14+F129*Upgrades!$H$14)*POWER(Upgrades!$I$14,F129)))*(IF(Upgrades!$T$13="Local Bubble",POWER(Upgrades!$U$13,E129),1)*IF(Upgrades!$T$15="Local Bubble",POWER(Upgrades!$U$15,G129),1)*IF(Upgrades!$T$16="Local Bubble",POWER(Upgrades!$U$16,H129),1)*IF(Upgrades!$T$17="Local Bubble",POWER(Upgrades!$U$17,I129),1)*IF(Upgrades!$T$18="Local Bubble",POWER(Upgrades!$U$18,J129),1)*IF(Upgrades!$T$19="Local Bubble",POWER(Upgrades!$U$19,K129),1)*IF(Upgrades!$T$20="Local Bubble",POWER(Upgrades!$U$20,L129),1)*IF(Upgrades!$T$21="Local Bubble",POWER(Upgrades!$U$21,M129),1))*POWER(Upgrades!$P$13,E129)*POWER(Upgrades!$P$14,F129)*POWER(Upgrades!$P$15,G129)*POWER(Upgrades!$P$16,H129)*POWER(Upgrades!$P$17,I129)*POWER(Upgrades!$P$18,J129)*POWER(Upgrades!$P$19,K129)*POWER(Upgrades!$P$20,L129)*POWER(Upgrades!$P$21,M129)*$F$6*60</f>
        <v/>
      </c>
      <c r="AC129" s="27">
        <f>(IF(G129=0,0,(Upgrades!$J$15+G129*Upgrades!$K$15)*POWER(Upgrades!$L$15,G129)))*(IF(Upgrades!$T$13="Microlensing",POWER(Upgrades!$U$13,E129),1)*IF(Upgrades!$T$14="Microlensing",POWER(Upgrades!$U$14,F129),1)*IF(Upgrades!$T$16="Microlensing",POWER(Upgrades!$U$16,H129),1)*IF(Upgrades!$T$17="Microlensing",POWER(Upgrades!$U$17,I129),1)*IF(Upgrades!$T$18="Microlensing",POWER(Upgrades!$U$18,J129),1)*IF(Upgrades!$T$19="Microlensing",POWER(Upgrades!$U$19,K129),1)*IF(Upgrades!$T$20="Microlensing",POWER(Upgrades!$U$20,L129),1)*IF(Upgrades!$T$21="Microlensing",POWER(Upgrades!$U$21,M129),1))*POWER(Upgrades!$Q$13,E129)*POWER(Upgrades!$Q$14,F129)*POWER(Upgrades!$Q$15,G129)*POWER(Upgrades!$Q$16,H129)*POWER(Upgrades!$Q$17,I129)*POWER(Upgrades!$Q$18,J129)*POWER(Upgrades!$Q$19,K129)*POWER(Upgrades!$Q$20,L129)*POWER(Upgrades!$Q$21,M129)*$G$6*(Parameters!$B$10*Parameters!$B$11+Q129*60)</f>
        <v/>
      </c>
      <c r="AD129" s="27">
        <f>(IF(H129=0,0,(Upgrades!$M$16+H129*Upgrades!$N$16)*POWER(Upgrades!$O$16,H129)))*(IF(Upgrades!$T$13="Roche Lobe Overflow",POWER(Upgrades!$U$13,E129),1)*IF(Upgrades!$T$14="Roche Lobe Overflow",POWER(Upgrades!$U$14,F129),1)*IF(Upgrades!$T$15="Roche Lobe Overflow",POWER(Upgrades!$U$15,G129),1)*IF(Upgrades!$T$17="Roche Lobe Overflow",POWER(Upgrades!$U$17,I129),1)*IF(Upgrades!$T$18="Roche Lobe Overflow",POWER(Upgrades!$U$18,J129),1)*IF(Upgrades!$T$19="Roche Lobe Overflow",POWER(Upgrades!$U$19,K129),1)*IF(Upgrades!$T$20="Roche Lobe Overflow",POWER(Upgrades!$U$20,L129),1)*IF(Upgrades!$T$21="Roche Lobe Overflow",POWER(Upgrades!$U$21,M129),1))*POWER(Upgrades!$R$13,E129)*POWER(Upgrades!$R$14,F129)*POWER(Upgrades!$R$15,G129)*POWER(Upgrades!$R$16,H129)*POWER(Upgrades!$R$17,I129)*POWER(Upgrades!$R$18,J129)*POWER(Upgrades!$R$19,K129)*POWER(Upgrades!$R$20,L129)*POWER(Upgrades!$R$21,M129)*$H$6*O129*60</f>
        <v/>
      </c>
      <c r="AE129" s="27">
        <f>(IF(I129=0,0,(Upgrades!$G$17+I129*Upgrades!$H$17)*POWER(Upgrades!$I$17,I129)))*(IF(Upgrades!$T$13="Brown Dwarf",POWER(Upgrades!$U$13,E129),1)*IF(Upgrades!$T$14="Brown Dwarf",POWER(Upgrades!$U$14,F129),1)*IF(Upgrades!$T$15="Brown Dwarf",POWER(Upgrades!$U$15,G129),1)*IF(Upgrades!$T$16="Brown Dwarf",POWER(Upgrades!$U$16,H129),1)*IF(Upgrades!$T$18="Brown Dwarf",POWER(Upgrades!$U$18,J129),1)*IF(Upgrades!$T$19="Brown Dwarf",POWER(Upgrades!$U$19,K129),1)*IF(Upgrades!$T$20="Brown Dwarf",POWER(Upgrades!$U$20,L129),1)*IF(Upgrades!$T$21="Brown Dwarf",POWER(Upgrades!$U$21,M129),1))*POWER(Upgrades!$P$13,E129)*POWER(Upgrades!$P$14,F129)*POWER(Upgrades!$P$15,G129)*POWER(Upgrades!$P$16,H129)*POWER(Upgrades!$P$17,I129)*POWER(Upgrades!$P$18,J129)*POWER(Upgrades!$P$19,K129)*POWER(Upgrades!$P$20,L129)*POWER(Upgrades!$P$21,M129)*$F$6*60</f>
        <v/>
      </c>
      <c r="AF129" s="27" t="n">
        <v>0</v>
      </c>
      <c r="AG129" s="27" t="n">
        <v>0</v>
      </c>
      <c r="AH129" s="27" t="n">
        <v>0</v>
      </c>
      <c r="AI129" s="27">
        <f>(IF(M129=0,0,(Upgrades!$G$21+M129*Upgrades!$H$21)*POWER(Upgrades!$I$21,M129)))*(IF(Upgrades!$T$13="Moving Group",POWER(Upgrades!$U$13,E129),1)*IF(Upgrades!$T$14="Moving Group",POWER(Upgrades!$U$14,F129),1)*IF(Upgrades!$T$15="Moving Group",POWER(Upgrades!$U$15,G129),1)*IF(Upgrades!$T$16="Moving Group",POWER(Upgrades!$U$16,H129),1)*IF(Upgrades!$T$17="Moving Group",POWER(Upgrades!$U$17,I129),1)*IF(Upgrades!$T$18="Moving Group",POWER(Upgrades!$U$18,J129),1)*IF(Upgrades!$T$19="Moving Group",POWER(Upgrades!$U$19,K129),1)*IF(Upgrades!$T$20="Moving Group",POWER(Upgrades!$U$20,L129),1))*POWER(Upgrades!$P$13,E129)*POWER(Upgrades!$P$14,F129)*POWER(Upgrades!$P$15,G129)*POWER(Upgrades!$P$16,H129)*POWER(Upgrades!$P$17,I129)*POWER(Upgrades!$P$18,J129)*POWER(Upgrades!$P$19,K129)*POWER(Upgrades!$P$20,L129)*POWER(Upgrades!$P$21,M129)*$F$6*60</f>
        <v/>
      </c>
      <c r="AJ129" s="27">
        <f>$C$6*60</f>
        <v/>
      </c>
      <c r="AK129" s="22">
        <f>IF(E129&gt;=Upgrades!$E$13,"",Upgrades!$C$13*POWER(Upgrades!$D$13,E129))</f>
        <v/>
      </c>
      <c r="AL129" s="22">
        <f>IF(F129&gt;=Upgrades!$E$14,"",Upgrades!$C$14*POWER(Upgrades!$D$14,F129))</f>
        <v/>
      </c>
      <c r="AM129" s="22">
        <f>IF(G129&gt;=Upgrades!$E$15,"",Upgrades!$C$15*POWER(Upgrades!$D$15,G129))</f>
        <v/>
      </c>
      <c r="AN129" s="22">
        <f>IF(H129&gt;=Upgrades!$E$16,"",Upgrades!$C$16*POWER(Upgrades!$D$16,H129))</f>
        <v/>
      </c>
      <c r="AO129" s="22">
        <f>IF(I129&gt;=Upgrades!$E$17,"",Upgrades!$C$17*POWER(Upgrades!$D$17,I129))</f>
        <v/>
      </c>
      <c r="AP129" s="22">
        <f>IF(J129&gt;=Upgrades!$E$18,"",Upgrades!$C$18*POWER(Upgrades!$D$18,J129))</f>
        <v/>
      </c>
      <c r="AQ129" s="22">
        <f>IF(K129&gt;=Upgrades!$E$19,"",Upgrades!$C$19*POWER(Upgrades!$D$19,K129))</f>
        <v/>
      </c>
      <c r="AR129" s="22">
        <f>IF(L129&gt;=Upgrades!$E$20,"",Upgrades!$C$20*POWER(Upgrades!$D$20,L129))</f>
        <v/>
      </c>
      <c r="AS129" s="22">
        <f>IF(M129&gt;=Upgrades!$E$21,"",Upgrades!$C$21*POWER(Upgrades!$D$21,M129))</f>
        <v/>
      </c>
      <c r="AT129" s="26">
        <f>IF(AND(D129&gt;=Parameters!$B$18*Parameters!$B$19,(I129&gt;=Upgrades!$E$17)*(M129&gt;=Upgrades!$E$21)=1,N129=0),1,"")</f>
        <v/>
      </c>
      <c r="AU129" s="26">
        <f>IF(AND(D129&gt;=Parameters!$B$18*Parameters!$B$19,N129=0),1,"")</f>
        <v/>
      </c>
      <c r="AV129" s="22">
        <f>MIN(IF(ISNUMBER(AP129),AP129,9E15),IF(ISNUMBER(AQ129),AQ129,9E15),IF(ISNUMBER(AR129),AR129,9E15),IF(ISNUMBER(AS129),AS129,9E15))</f>
        <v/>
      </c>
      <c r="AW129" s="22">
        <f>MIN(IF(ISNUMBER(AK129),AK129,9E15),IF(ISNUMBER(AL129),AL129,9E15),IF(ISNUMBER(AM129),AM129,9E15),IF(ISNUMBER(AN129),AN129,9E15),IF(ISNUMBER(AO129),AO129,9E15))</f>
        <v/>
      </c>
      <c r="AX129" s="29">
        <f>IF(BD129&gt;Parameters!$B$21*(MAX(IF(AND(NOT(AND(AU129=1,AT129&lt;&gt;1)),ISNUMBER(AK129),AK129&lt;=(C129+T129)),AY129,0),IF(AND(NOT(AND(AU129=1,AT129&lt;&gt;1)),ISNUMBER(AL129),AL129&lt;=(C129+T129)),AZ129,0),IF(AND(NOT(AND(AU129=1,AT129&lt;&gt;1)),ISNUMBER(AM129),AM129&lt;=(C129+T129)),BA129,0),IF(AND(NOT(AND(AU129=1,AT129&lt;&gt;1)),ISNUMBER(AN129),AN129&lt;=(C129+T129)),BB129,0),IF(AND(ISNUMBER(AO129),AO129&lt;=(C129+T129)),BC129,0))),TRUE,FALSE)</f>
        <v/>
      </c>
      <c r="AY129" s="32">
        <f>IFERROR(Upgrades!$H$13*(POWER(Upgrades!$P$13,E129)*POWER(Upgrades!$P$14,F129)*POWER(Upgrades!$P$15,G129)*POWER(Upgrades!$P$16,H129)*POWER(Upgrades!$P$17,I129)*POWER(Upgrades!$P$18,J129)*POWER(Upgrades!$P$19,K129)*POWER(Upgrades!$P$20,L129)*POWER(Upgrades!$P$21,M129))*(IF(Upgrades!$T$14="Stellar Kinematics",POWER(Upgrades!$U$14,F129),1)*IF(Upgrades!$T$15="Stellar Kinematics",POWER(Upgrades!$U$15,G129),1)*IF(Upgrades!$T$16="Stellar Kinematics",POWER(Upgrades!$U$16,H129),1)*IF(Upgrades!$T$17="Stellar Kinematics",POWER(Upgrades!$U$17,I129),1)*IF(Upgrades!$T$18="Stellar Kinematics",POWER(Upgrades!$U$18,J129),1)*IF(Upgrades!$T$19="Stellar Kinematics",POWER(Upgrades!$U$19,K129),1)*IF(Upgrades!$T$20="Stellar Kinematics",POWER(Upgrades!$U$20,L129),1)*IF(Upgrades!$T$21="Stellar Kinematics",POWER(Upgrades!$U$21,M129),1))*$F$6/AK129,0)</f>
        <v/>
      </c>
      <c r="AZ129" s="32">
        <f>IFERROR(Upgrades!$H$14*(POWER(Upgrades!$P$13,E129)*POWER(Upgrades!$P$14,F129)*POWER(Upgrades!$P$15,G129)*POWER(Upgrades!$P$16,H129)*POWER(Upgrades!$P$17,I129)*POWER(Upgrades!$P$18,J129)*POWER(Upgrades!$P$19,K129)*POWER(Upgrades!$P$20,L129)*POWER(Upgrades!$P$21,M129))*(IF(Upgrades!$T$13="Local Bubble",POWER(Upgrades!$U$13,E129),1)*IF(Upgrades!$T$15="Local Bubble",POWER(Upgrades!$U$15,G129),1)*IF(Upgrades!$T$16="Local Bubble",POWER(Upgrades!$U$16,H129),1)*IF(Upgrades!$T$17="Local Bubble",POWER(Upgrades!$U$17,I129),1)*IF(Upgrades!$T$18="Local Bubble",POWER(Upgrades!$U$18,J129),1)*IF(Upgrades!$T$19="Local Bubble",POWER(Upgrades!$U$19,K129),1)*IF(Upgrades!$T$20="Local Bubble",POWER(Upgrades!$U$20,L129),1)*IF(Upgrades!$T$21="Local Bubble",POWER(Upgrades!$U$21,M129),1))*$F$6/AL129,0)</f>
        <v/>
      </c>
      <c r="BA129" s="32">
        <f>IFERROR(Upgrades!$K$15*(POWER(Upgrades!$Q$13,E129)*POWER(Upgrades!$Q$14,F129)*POWER(Upgrades!$Q$15,G129)*POWER(Upgrades!$Q$16,H129)*POWER(Upgrades!$Q$17,I129)*POWER(Upgrades!$Q$18,J129)*POWER(Upgrades!$Q$19,K129)*POWER(Upgrades!$Q$20,L129)*POWER(Upgrades!$Q$21,M129))*(IF(Upgrades!$T$13="Microlensing",POWER(Upgrades!$U$13,E129),1)*IF(Upgrades!$T$14="Microlensing",POWER(Upgrades!$U$14,F129),1)*IF(Upgrades!$T$16="Microlensing",POWER(Upgrades!$U$16,H129),1)*IF(Upgrades!$T$17="Microlensing",POWER(Upgrades!$U$17,I129),1)*IF(Upgrades!$T$18="Microlensing",POWER(Upgrades!$U$18,J129),1)*IF(Upgrades!$T$19="Microlensing",POWER(Upgrades!$U$19,K129),1)*IF(Upgrades!$T$20="Microlensing",POWER(Upgrades!$U$20,L129),1)*IF(Upgrades!$T$21="Microlensing",POWER(Upgrades!$U$21,M129),1))*$G$6*(Parameters!$B$10/60*Parameters!$B$11+Q129)/AM129,0)</f>
        <v/>
      </c>
      <c r="BB129" s="32">
        <f>IFERROR((Upgrades!$N$16*(POWER(Upgrades!$R$13,E129)*POWER(Upgrades!$R$14,F129)*POWER(Upgrades!$R$15,G129)*POWER(Upgrades!$R$16,H129)*POWER(Upgrades!$R$17,I129)*POWER(Upgrades!$R$18,J129)*POWER(Upgrades!$R$19,K129)*POWER(Upgrades!$R$20,L129)*POWER(Upgrades!$R$21,M129))*(IF(Upgrades!$T$13="Roche Lobe Overflow",POWER(Upgrades!$U$13,E129),1)*IF(Upgrades!$T$14="Roche Lobe Overflow",POWER(Upgrades!$U$14,F129),1)*IF(Upgrades!$T$15="Roche Lobe Overflow",POWER(Upgrades!$U$15,G129),1)*IF(Upgrades!$T$17="Roche Lobe Overflow",POWER(Upgrades!$U$17,I129),1)*IF(Upgrades!$T$18="Roche Lobe Overflow",POWER(Upgrades!$U$18,J129),1)*IF(Upgrades!$T$19="Roche Lobe Overflow",POWER(Upgrades!$U$19,K129),1)*IF(Upgrades!$T$20="Roche Lobe Overflow",POWER(Upgrades!$U$20,L129),1)*IF(Upgrades!$T$21="Roche Lobe Overflow",POWER(Upgrades!$U$21,M129),1))*$H$6*O129+((IF(F129=0,0,(Upgrades!$G$14+F129*Upgrades!$H$14)*POWER(Upgrades!$I$14,F129)))*(IF(Upgrades!$T$13="Local Bubble",POWER(Upgrades!$U$13,E129),1)*IF(Upgrades!$T$15="Local Bubble",POWER(Upgrades!$U$15,G129),1)*IF(Upgrades!$T$16="Local Bubble",POWER(Upgrades!$U$16,H129),1)*IF(Upgrades!$T$17="Local Bubble",POWER(Upgrades!$U$17,I129),1)*IF(Upgrades!$T$18="Local Bubble",POWER(Upgrades!$U$18,J129),1)*IF(Upgrades!$T$19="Local Bubble",POWER(Upgrades!$U$19,K129),1)*IF(Upgrades!$T$20="Local Bubble",POWER(Upgrades!$U$20,L129),1)*IF(Upgrades!$T$21="Local Bubble",POWER(Upgrades!$U$21,M129),1))*POWER(Upgrades!$P$13,E129)*POWER(Upgrades!$P$14,F129)*POWER(Upgrades!$P$15,G129)*POWER(Upgrades!$P$16,H129)*POWER(Upgrades!$P$17,I129)*POWER(Upgrades!$P$18,J129)*POWER(Upgrades!$P$19,K129)*POWER(Upgrades!$P$20,L129)*POWER(Upgrades!$P$21,M129)*$F$6)*0.05)/AN129,0)</f>
        <v/>
      </c>
      <c r="BC129" s="32">
        <f>IFERROR((Upgrades!$H$17*(POWER(Upgrades!$P$13,E129)*POWER(Upgrades!$P$14,F129)*POWER(Upgrades!$P$15,G129)*POWER(Upgrades!$P$16,H129)*POWER(Upgrades!$P$17,I129)*POWER(Upgrades!$P$18,J129)*POWER(Upgrades!$P$19,K129)*POWER(Upgrades!$P$20,L129)*POWER(Upgrades!$P$21,M129))*(IF(Upgrades!$T$13="Brown Dwarf",POWER(Upgrades!$U$13,E129),1)*IF(Upgrades!$T$14="Brown Dwarf",POWER(Upgrades!$U$14,F129),1)*IF(Upgrades!$T$15="Brown Dwarf",POWER(Upgrades!$U$15,G129),1)*IF(Upgrades!$T$16="Brown Dwarf",POWER(Upgrades!$U$16,H129),1)*IF(Upgrades!$T$18="Brown Dwarf",POWER(Upgrades!$U$18,J129),1)*IF(Upgrades!$T$19="Brown Dwarf",POWER(Upgrades!$U$19,K129),1)*IF(Upgrades!$T$20="Brown Dwarf",POWER(Upgrades!$U$20,L129),1)*IF(Upgrades!$T$21="Brown Dwarf",POWER(Upgrades!$U$21,M129),1))*$F$6+(((IF(H129=0,0,(Upgrades!$M$16+H129*Upgrades!$N$16)*POWER(Upgrades!$O$16,H129)))*(IF(Upgrades!$T$13="Roche Lobe Overflow",POWER(Upgrades!$U$13,E129),1)*IF(Upgrades!$T$14="Roche Lobe Overflow",POWER(Upgrades!$U$14,F129),1)*IF(Upgrades!$T$15="Roche Lobe Overflow",POWER(Upgrades!$U$15,G129),1)*IF(Upgrades!$T$17="Roche Lobe Overflow",POWER(Upgrades!$U$17,I129),1)*IF(Upgrades!$T$18="Roche Lobe Overflow",POWER(Upgrades!$U$18,J129),1)*IF(Upgrades!$T$19="Roche Lobe Overflow",POWER(Upgrades!$U$19,K129),1)*IF(Upgrades!$T$20="Roche Lobe Overflow",POWER(Upgrades!$U$20,L129),1)*IF(Upgrades!$T$21="Roche Lobe Overflow",POWER(Upgrades!$U$21,M129),1))*POWER(Upgrades!$R$13,E129)*POWER(Upgrades!$R$14,F129)*POWER(Upgrades!$R$15,G129)*POWER(Upgrades!$R$16,H129)*POWER(Upgrades!$R$17,I129)*POWER(Upgrades!$R$18,J129)*POWER(Upgrades!$R$19,K129)*POWER(Upgrades!$R$20,L129)*POWER(Upgrades!$R$21,M129)*$H$6)*O129)*0.10)/AO129,0)</f>
        <v/>
      </c>
      <c r="BD129" s="32">
        <f>MAX(IF(J129&gt;0,0,IFERROR(0.5*((IF(G129=0,0,(Upgrades!$J$15+G129*Upgrades!$K$15)*POWER(Upgrades!$L$15,G129)))*(IF(Upgrades!$T$13="Microlensing",POWER(Upgrades!$U$13,E129),1)*IF(Upgrades!$T$14="Microlensing",POWER(Upgrades!$U$14,F129),1)*IF(Upgrades!$T$16="Microlensing",POWER(Upgrades!$U$16,H129),1)*IF(Upgrades!$T$17="Microlensing",POWER(Upgrades!$U$17,I129),1)*IF(Upgrades!$T$18="Microlensing",POWER(Upgrades!$U$18,J129),1)*IF(Upgrades!$T$19="Microlensing",POWER(Upgrades!$U$19,K129),1)*IF(Upgrades!$T$20="Microlensing",POWER(Upgrades!$U$20,L129),1)*IF(Upgrades!$T$21="Microlensing",POWER(Upgrades!$U$21,M129),1))*(POWER(Upgrades!$Q$13,E129)*POWER(Upgrades!$Q$14,F129)*POWER(Upgrades!$Q$15,G129)*POWER(Upgrades!$Q$16,H129)*POWER(Upgrades!$Q$17,I129)*POWER(Upgrades!$Q$18,J129)*POWER(Upgrades!$Q$19,K129)*POWER(Upgrades!$Q$20,L129)*POWER(Upgrades!$Q$21,M129))*$G$6*(Parameters!$B$10/60*Parameters!$B$11+Q129))/Upgrades!$C$18,0)),IF(K129&gt;0,0,IFERROR(0.30*P129/Upgrades!$C$19,0)),IF(L129&gt;0,0,IFERROR(0.0001/Upgrades!$C$20,0)),IF(M129&gt;0,0,IFERROR((6.0*(POWER(Upgrades!$P$13,E129)*POWER(Upgrades!$P$14,F129)*POWER(Upgrades!$P$15,G129)*POWER(Upgrades!$P$16,H129)*POWER(Upgrades!$P$17,I129)*POWER(Upgrades!$P$18,J129)*POWER(Upgrades!$P$19,K129)*POWER(Upgrades!$P$20,L129)*POWER(Upgrades!$P$21,M129))*$F$6+0.20*O129*(Parameters!$B$10/60*Parameters!$B$11+Q129))/Upgrades!$C$21,0)),IF(AND(ISNUMBER(AK129),AK129&gt;(C129+T129)),AY129,0),IF(AND(ISNUMBER(AL129),AL129&gt;(C129+T129)),AZ129,0),IF(AND(ISNUMBER(AM129),AM129&gt;(C129+T129)),BA129,0),IF(AND(ISNUMBER(AN129),AN129&gt;(C129+T129)),BB129,0),IF(AND(ISNUMBER(AO129),AO129&gt;(C129+T129)),BC129,0))</f>
        <v/>
      </c>
      <c r="BE129" s="29">
        <f>IF(AT129=1,"transition",IF(MIN(IF(AND(J129=0,ISNUMBER(AP129),AP129&lt;=(C129+T129)),AP129,9E15),IF(AND(K129=0,ISNUMBER(AQ129),AQ129&lt;=(C129+T129)),AQ129,9E15),IF(AND(L129=0,ISNUMBER(AR129),AR129&lt;=(C129+T129)),AR129,9E15),IF(AND(M129=0,ISNUMBER(AS129),AS129&lt;=(C129+T129)),AS129,9E15))&lt;9E15,IF(AND(AND(J129=0,ISNUMBER(AP129),AP129&lt;=(C129+T129)),AP129=MIN(IF(AND(J129=0,ISNUMBER(AP129),AP129&lt;=(C129+T129)),AP129,9E15),IF(AND(K129=0,ISNUMBER(AQ129),AQ129&lt;=(C129+T129)),AQ129,9E15),IF(AND(L129=0,ISNUMBER(AR129),AR129&lt;=(C129+T129)),AR129,9E15),IF(AND(M129=0,ISNUMBER(AS129),AS129&lt;=(C129+T129)),AS129,9E15))),"BiP",IF(AND(AND(K129=0,ISNUMBER(AQ129),AQ129&lt;=(C129+T129)),AQ129=MIN(IF(AND(J129=0,ISNUMBER(AP129),AP129&lt;=(C129+T129)),AP129,9E15),IF(AND(K129=0,ISNUMBER(AQ129),AQ129&lt;=(C129+T129)),AQ129,9E15),IF(AND(L129=0,ISNUMBER(AR129),AR129&lt;=(C129+T129)),AR129,9E15),IF(AND(M129=0,ISNUMBER(AS129),AS129&lt;=(C129+T129)),AS129,9E15))),"PV",IF(AND(AND(L129=0,ISNUMBER(AR129),AR129&lt;=(C129+T129)),AR129=MIN(IF(AND(J129=0,ISNUMBER(AP129),AP129&lt;=(C129+T129)),AP129,9E15),IF(AND(K129=0,ISNUMBER(AQ129),AQ129&lt;=(C129+T129)),AQ129,9E15),IF(AND(L129=0,ISNUMBER(AR129),AR129&lt;=(C129+T129)),AR129,9E15),IF(AND(M129=0,ISNUMBER(AS129),AS129&lt;=(C129+T129)),AS129,9E15))),"OC","MG"))),IF(AX129=TRUE,"",IF(MAX(IF(AND(NOT(AND(AU129=1,AT129&lt;&gt;1)),ISNUMBER(AK129),AK129&lt;=(C129+T129)),AY129,0),IF(AND(NOT(AND(AU129=1,AT129&lt;&gt;1)),ISNUMBER(AL129),AL129&lt;=(C129+T129)),AZ129,0),IF(AND(NOT(AND(AU129=1,AT129&lt;&gt;1)),ISNUMBER(AM129),AM129&lt;=(C129+T129)),BA129,0),IF(AND(NOT(AND(AU129=1,AT129&lt;&gt;1)),ISNUMBER(AN129),AN129&lt;=(C129+T129)),BB129,0),IF(AND(ISNUMBER(AO129),AO129&lt;=(C129+T129)),BC129,0))&lt;=0,"",IF(AND(IF(AND(NOT(AND(AU129=1,AT129&lt;&gt;1)),ISNUMBER(AK129),AK129&lt;=(C129+T129)),AY129,0)&gt;0,IF(AND(NOT(AND(AU129=1,AT129&lt;&gt;1)),ISNUMBER(AK129),AK129&lt;=(C129+T129)),AY129,0)=MAX(IF(AND(NOT(AND(AU129=1,AT129&lt;&gt;1)),ISNUMBER(AK129),AK129&lt;=(C129+T129)),AY129,0),IF(AND(NOT(AND(AU129=1,AT129&lt;&gt;1)),ISNUMBER(AL129),AL129&lt;=(C129+T129)),AZ129,0),IF(AND(NOT(AND(AU129=1,AT129&lt;&gt;1)),ISNUMBER(AM129),AM129&lt;=(C129+T129)),BA129,0),IF(AND(NOT(AND(AU129=1,AT129&lt;&gt;1)),ISNUMBER(AN129),AN129&lt;=(C129+T129)),BB129,0),IF(AND(ISNUMBER(AO129),AO129&lt;=(C129+T129)),BC129,0))),"SK",IF(AND(IF(AND(NOT(AND(AU129=1,AT129&lt;&gt;1)),ISNUMBER(AL129),AL129&lt;=(C129+T129)),AZ129,0)&gt;0,IF(AND(NOT(AND(AU129=1,AT129&lt;&gt;1)),ISNUMBER(AL129),AL129&lt;=(C129+T129)),AZ129,0)=MAX(IF(AND(NOT(AND(AU129=1,AT129&lt;&gt;1)),ISNUMBER(AK129),AK129&lt;=(C129+T129)),AY129,0),IF(AND(NOT(AND(AU129=1,AT129&lt;&gt;1)),ISNUMBER(AL129),AL129&lt;=(C129+T129)),AZ129,0),IF(AND(NOT(AND(AU129=1,AT129&lt;&gt;1)),ISNUMBER(AM129),AM129&lt;=(C129+T129)),BA129,0),IF(AND(NOT(AND(AU129=1,AT129&lt;&gt;1)),ISNUMBER(AN129),AN129&lt;=(C129+T129)),BB129,0),IF(AND(ISNUMBER(AO129),AO129&lt;=(C129+T129)),BC129,0))),"LB",IF(AND(IF(AND(NOT(AND(AU129=1,AT129&lt;&gt;1)),ISNUMBER(AM129),AM129&lt;=(C129+T129)),BA129,0)&gt;0,IF(AND(NOT(AND(AU129=1,AT129&lt;&gt;1)),ISNUMBER(AM129),AM129&lt;=(C129+T129)),BA129,0)=MAX(IF(AND(NOT(AND(AU129=1,AT129&lt;&gt;1)),ISNUMBER(AK129),AK129&lt;=(C129+T129)),AY129,0),IF(AND(NOT(AND(AU129=1,AT129&lt;&gt;1)),ISNUMBER(AL129),AL129&lt;=(C129+T129)),AZ129,0),IF(AND(NOT(AND(AU129=1,AT129&lt;&gt;1)),ISNUMBER(AM129),AM129&lt;=(C129+T129)),BA129,0),IF(AND(NOT(AND(AU129=1,AT129&lt;&gt;1)),ISNUMBER(AN129),AN129&lt;=(C129+T129)),BB129,0),IF(AND(ISNUMBER(AO129),AO129&lt;=(C129+T129)),BC129,0))),"ML",IF(AND(IF(AND(NOT(AND(AU129=1,AT129&lt;&gt;1)),ISNUMBER(AN129),AN129&lt;=(C129+T129)),BB129,0)&gt;0,IF(AND(NOT(AND(AU129=1,AT129&lt;&gt;1)),ISNUMBER(AN129),AN129&lt;=(C129+T129)),BB129,0)=MAX(IF(AND(NOT(AND(AU129=1,AT129&lt;&gt;1)),ISNUMBER(AK129),AK129&lt;=(C129+T129)),AY129,0),IF(AND(NOT(AND(AU129=1,AT129&lt;&gt;1)),ISNUMBER(AL129),AL129&lt;=(C129+T129)),AZ129,0),IF(AND(NOT(AND(AU129=1,AT129&lt;&gt;1)),ISNUMBER(AM129),AM129&lt;=(C129+T129)),BA129,0),IF(AND(NOT(AND(AU129=1,AT129&lt;&gt;1)),ISNUMBER(AN129),AN129&lt;=(C129+T129)),BB129,0),IF(AND(ISNUMBER(AO129),AO129&lt;=(C129+T129)),BC129,0))),"RLO","BD"))))))))</f>
        <v/>
      </c>
    </row>
    <row r="130">
      <c r="A130" s="26" t="n">
        <v>119</v>
      </c>
      <c r="B130" s="27">
        <f>A130*10/60</f>
        <v/>
      </c>
      <c r="C130" s="22">
        <f>X129</f>
        <v/>
      </c>
      <c r="D130" s="27">
        <f>D129+W129</f>
        <v/>
      </c>
      <c r="E130" s="26">
        <f>E129+IF(U129="SK",1,0)</f>
        <v/>
      </c>
      <c r="F130" s="26">
        <f>F129+IF(U129="LB",1,0)</f>
        <v/>
      </c>
      <c r="G130" s="26">
        <f>G129+IF(U129="ML",1,0)</f>
        <v/>
      </c>
      <c r="H130" s="26">
        <f>H129+IF(U129="RLO",1,0)</f>
        <v/>
      </c>
      <c r="I130" s="26">
        <f>I129+IF(U129="BD",1,0)</f>
        <v/>
      </c>
      <c r="J130" s="26">
        <f>MAX(J129,IF(U129="BiP",1,0))</f>
        <v/>
      </c>
      <c r="K130" s="26">
        <f>MAX(K129,IF(U129="PV",1,0))</f>
        <v/>
      </c>
      <c r="L130" s="26">
        <f>MAX(L129,IF(U129="OC",1,0))</f>
        <v/>
      </c>
      <c r="M130" s="26">
        <f>MAX(M129,IF(U129="MG",1,0))</f>
        <v/>
      </c>
      <c r="N130" s="26">
        <f>MAX(N129,IF(U129="transition",1,0))</f>
        <v/>
      </c>
      <c r="O130" s="28">
        <f>(Parameters!$B$9+(IF(E130=0,0,(Upgrades!$J$13+E130*Upgrades!$K$13)*POWER(Upgrades!$L$13,E130)))*(IF(Upgrades!$T$14="Stellar Kinematics",POWER(Upgrades!$U$14,F130),1)*IF(Upgrades!$T$15="Stellar Kinematics",POWER(Upgrades!$U$15,G130),1)*IF(Upgrades!$T$16="Stellar Kinematics",POWER(Upgrades!$U$16,H130),1)*IF(Upgrades!$T$17="Stellar Kinematics",POWER(Upgrades!$U$17,I130),1)*IF(Upgrades!$T$18="Stellar Kinematics",POWER(Upgrades!$U$18,J130),1)*IF(Upgrades!$T$19="Stellar Kinematics",POWER(Upgrades!$U$19,K130),1)*IF(Upgrades!$T$20="Stellar Kinematics",POWER(Upgrades!$U$20,L130),1)*IF(Upgrades!$T$21="Stellar Kinematics",POWER(Upgrades!$U$21,M130),1))+(IF(F130=0,0,(Upgrades!$J$14+F130*Upgrades!$K$14)*POWER(Upgrades!$L$14,F130)))*(IF(Upgrades!$T$13="Local Bubble",POWER(Upgrades!$U$13,E130),1)*IF(Upgrades!$T$15="Local Bubble",POWER(Upgrades!$U$15,G130),1)*IF(Upgrades!$T$16="Local Bubble",POWER(Upgrades!$U$16,H130),1)*IF(Upgrades!$T$17="Local Bubble",POWER(Upgrades!$U$17,I130),1)*IF(Upgrades!$T$18="Local Bubble",POWER(Upgrades!$U$18,J130),1)*IF(Upgrades!$T$19="Local Bubble",POWER(Upgrades!$U$19,K130),1)*IF(Upgrades!$T$20="Local Bubble",POWER(Upgrades!$U$20,L130),1)*IF(Upgrades!$T$21="Local Bubble",POWER(Upgrades!$U$21,M130),1))+(IF(G130=0,0,(Upgrades!$J$15+G130*Upgrades!$K$15)*POWER(Upgrades!$L$15,G130)))*(IF(Upgrades!$T$13="Microlensing",POWER(Upgrades!$U$13,E130),1)*IF(Upgrades!$T$14="Microlensing",POWER(Upgrades!$U$14,F130),1)*IF(Upgrades!$T$16="Microlensing",POWER(Upgrades!$U$16,H130),1)*IF(Upgrades!$T$17="Microlensing",POWER(Upgrades!$U$17,I130),1)*IF(Upgrades!$T$18="Microlensing",POWER(Upgrades!$U$18,J130),1)*IF(Upgrades!$T$19="Microlensing",POWER(Upgrades!$U$19,K130),1)*IF(Upgrades!$T$20="Microlensing",POWER(Upgrades!$U$20,L130),1)*IF(Upgrades!$T$21="Microlensing",POWER(Upgrades!$U$21,M130),1))+(IF(H130=0,0,(Upgrades!$J$16+H130*Upgrades!$K$16)*POWER(Upgrades!$L$16,H130)))*(IF(Upgrades!$T$13="Roche Lobe Overflow",POWER(Upgrades!$U$13,E130),1)*IF(Upgrades!$T$14="Roche Lobe Overflow",POWER(Upgrades!$U$14,F130),1)*IF(Upgrades!$T$15="Roche Lobe Overflow",POWER(Upgrades!$U$15,G130),1)*IF(Upgrades!$T$17="Roche Lobe Overflow",POWER(Upgrades!$U$17,I130),1)*IF(Upgrades!$T$18="Roche Lobe Overflow",POWER(Upgrades!$U$18,J130),1)*IF(Upgrades!$T$19="Roche Lobe Overflow",POWER(Upgrades!$U$19,K130),1)*IF(Upgrades!$T$20="Roche Lobe Overflow",POWER(Upgrades!$U$20,L130),1)*IF(Upgrades!$T$21="Roche Lobe Overflow",POWER(Upgrades!$U$21,M130),1))+(IF(I130=0,0,(Upgrades!$J$17+I130*Upgrades!$K$17)*POWER(Upgrades!$L$17,I130)))*(IF(Upgrades!$T$13="Brown Dwarf",POWER(Upgrades!$U$13,E130),1)*IF(Upgrades!$T$14="Brown Dwarf",POWER(Upgrades!$U$14,F130),1)*IF(Upgrades!$T$15="Brown Dwarf",POWER(Upgrades!$U$15,G130),1)*IF(Upgrades!$T$16="Brown Dwarf",POWER(Upgrades!$U$16,H130),1)*IF(Upgrades!$T$18="Brown Dwarf",POWER(Upgrades!$U$18,J130),1)*IF(Upgrades!$T$19="Brown Dwarf",POWER(Upgrades!$U$19,K130),1)*IF(Upgrades!$T$20="Brown Dwarf",POWER(Upgrades!$U$20,L130),1)*IF(Upgrades!$T$21="Brown Dwarf",POWER(Upgrades!$U$21,M130),1))+(IF(J130=0,0,(Upgrades!$J$18+J130*Upgrades!$K$18)*POWER(Upgrades!$L$18,J130)))*(IF(Upgrades!$T$13="Binary Partner",POWER(Upgrades!$U$13,E130),1)*IF(Upgrades!$T$14="Binary Partner",POWER(Upgrades!$U$14,F130),1)*IF(Upgrades!$T$15="Binary Partner",POWER(Upgrades!$U$15,G130),1)*IF(Upgrades!$T$16="Binary Partner",POWER(Upgrades!$U$16,H130),1)*IF(Upgrades!$T$17="Binary Partner",POWER(Upgrades!$U$17,I130),1)*IF(Upgrades!$T$19="Binary Partner",POWER(Upgrades!$U$19,K130),1)*IF(Upgrades!$T$20="Binary Partner",POWER(Upgrades!$U$20,L130),1)*IF(Upgrades!$T$21="Binary Partner",POWER(Upgrades!$U$21,M130),1))+(IF(K130=0,0,(Upgrades!$J$19+K130*Upgrades!$K$19)*POWER(Upgrades!$L$19,K130)))*(IF(Upgrades!$T$13="Peculiar Velocity",POWER(Upgrades!$U$13,E130),1)*IF(Upgrades!$T$14="Peculiar Velocity",POWER(Upgrades!$U$14,F130),1)*IF(Upgrades!$T$15="Peculiar Velocity",POWER(Upgrades!$U$15,G130),1)*IF(Upgrades!$T$16="Peculiar Velocity",POWER(Upgrades!$U$16,H130),1)*IF(Upgrades!$T$17="Peculiar Velocity",POWER(Upgrades!$U$17,I130),1)*IF(Upgrades!$T$18="Peculiar Velocity",POWER(Upgrades!$U$18,J130),1)*IF(Upgrades!$T$20="Peculiar Velocity",POWER(Upgrades!$U$20,L130),1)*IF(Upgrades!$T$21="Peculiar Velocity",POWER(Upgrades!$U$21,M130),1))+(IF(L130=0,0,(Upgrades!$J$20+L130*Upgrades!$K$20)*POWER(Upgrades!$L$20,L130)))*(IF(Upgrades!$T$13="Open Cluster",POWER(Upgrades!$U$13,E130),1)*IF(Upgrades!$T$14="Open Cluster",POWER(Upgrades!$U$14,F130),1)*IF(Upgrades!$T$15="Open Cluster",POWER(Upgrades!$U$15,G130),1)*IF(Upgrades!$T$16="Open Cluster",POWER(Upgrades!$U$16,H130),1)*IF(Upgrades!$T$17="Open Cluster",POWER(Upgrades!$U$17,I130),1)*IF(Upgrades!$T$18="Open Cluster",POWER(Upgrades!$U$18,J130),1)*IF(Upgrades!$T$19="Open Cluster",POWER(Upgrades!$U$19,K130),1)*IF(Upgrades!$T$21="Open Cluster",POWER(Upgrades!$U$21,M130),1))+(IF(M130=0,0,(Upgrades!$J$21+M130*Upgrades!$K$21)*POWER(Upgrades!$L$21,M130)))*(IF(Upgrades!$T$13="Moving Group",POWER(Upgrades!$U$13,E130),1)*IF(Upgrades!$T$14="Moving Group",POWER(Upgrades!$U$14,F130),1)*IF(Upgrades!$T$15="Moving Group",POWER(Upgrades!$U$15,G130),1)*IF(Upgrades!$T$16="Moving Group",POWER(Upgrades!$U$16,H130),1)*IF(Upgrades!$T$17="Moving Group",POWER(Upgrades!$U$17,I130),1)*IF(Upgrades!$T$18="Moving Group",POWER(Upgrades!$U$18,J130),1)*IF(Upgrades!$T$19="Moving Group",POWER(Upgrades!$U$19,K130),1)*IF(Upgrades!$T$20="Moving Group",POWER(Upgrades!$U$20,L130),1)))*POWER(Upgrades!$Q$13,E130)*POWER(Upgrades!$Q$14,F130)*POWER(Upgrades!$Q$15,G130)*POWER(Upgrades!$Q$16,H130)*POWER(Upgrades!$Q$17,I130)*POWER(Upgrades!$Q$18,J130)*POWER(Upgrades!$Q$19,K130)*POWER(Upgrades!$Q$20,L130)*POWER(Upgrades!$Q$21,M130)*$G$6+$D$6</f>
        <v/>
      </c>
      <c r="P130" s="28">
        <f>((IF(E130=0,0,(Upgrades!$G$13+E130*Upgrades!$H$13)*POWER(Upgrades!$I$13,E130)))*(IF(Upgrades!$T$14="Stellar Kinematics",POWER(Upgrades!$U$14,F130),1)*IF(Upgrades!$T$15="Stellar Kinematics",POWER(Upgrades!$U$15,G130),1)*IF(Upgrades!$T$16="Stellar Kinematics",POWER(Upgrades!$U$16,H130),1)*IF(Upgrades!$T$17="Stellar Kinematics",POWER(Upgrades!$U$17,I130),1)*IF(Upgrades!$T$18="Stellar Kinematics",POWER(Upgrades!$U$18,J130),1)*IF(Upgrades!$T$19="Stellar Kinematics",POWER(Upgrades!$U$19,K130),1)*IF(Upgrades!$T$20="Stellar Kinematics",POWER(Upgrades!$U$20,L130),1)*IF(Upgrades!$T$21="Stellar Kinematics",POWER(Upgrades!$U$21,M130),1))+(IF(F130=0,0,(Upgrades!$G$14+F130*Upgrades!$H$14)*POWER(Upgrades!$I$14,F130)))*(IF(Upgrades!$T$13="Local Bubble",POWER(Upgrades!$U$13,E130),1)*IF(Upgrades!$T$15="Local Bubble",POWER(Upgrades!$U$15,G130),1)*IF(Upgrades!$T$16="Local Bubble",POWER(Upgrades!$U$16,H130),1)*IF(Upgrades!$T$17="Local Bubble",POWER(Upgrades!$U$17,I130),1)*IF(Upgrades!$T$18="Local Bubble",POWER(Upgrades!$U$18,J130),1)*IF(Upgrades!$T$19="Local Bubble",POWER(Upgrades!$U$19,K130),1)*IF(Upgrades!$T$20="Local Bubble",POWER(Upgrades!$U$20,L130),1)*IF(Upgrades!$T$21="Local Bubble",POWER(Upgrades!$U$21,M130),1))+(IF(G130=0,0,(Upgrades!$G$15+G130*Upgrades!$H$15)*POWER(Upgrades!$I$15,G130)))*(IF(Upgrades!$T$13="Microlensing",POWER(Upgrades!$U$13,E130),1)*IF(Upgrades!$T$14="Microlensing",POWER(Upgrades!$U$14,F130),1)*IF(Upgrades!$T$16="Microlensing",POWER(Upgrades!$U$16,H130),1)*IF(Upgrades!$T$17="Microlensing",POWER(Upgrades!$U$17,I130),1)*IF(Upgrades!$T$18="Microlensing",POWER(Upgrades!$U$18,J130),1)*IF(Upgrades!$T$19="Microlensing",POWER(Upgrades!$U$19,K130),1)*IF(Upgrades!$T$20="Microlensing",POWER(Upgrades!$U$20,L130),1)*IF(Upgrades!$T$21="Microlensing",POWER(Upgrades!$U$21,M130),1))+(IF(H130=0,0,(Upgrades!$G$16+H130*Upgrades!$H$16)*POWER(Upgrades!$I$16,H130)))*(IF(Upgrades!$T$13="Roche Lobe Overflow",POWER(Upgrades!$U$13,E130),1)*IF(Upgrades!$T$14="Roche Lobe Overflow",POWER(Upgrades!$U$14,F130),1)*IF(Upgrades!$T$15="Roche Lobe Overflow",POWER(Upgrades!$U$15,G130),1)*IF(Upgrades!$T$17="Roche Lobe Overflow",POWER(Upgrades!$U$17,I130),1)*IF(Upgrades!$T$18="Roche Lobe Overflow",POWER(Upgrades!$U$18,J130),1)*IF(Upgrades!$T$19="Roche Lobe Overflow",POWER(Upgrades!$U$19,K130),1)*IF(Upgrades!$T$20="Roche Lobe Overflow",POWER(Upgrades!$U$20,L130),1)*IF(Upgrades!$T$21="Roche Lobe Overflow",POWER(Upgrades!$U$21,M130),1))+(IF(I130=0,0,(Upgrades!$G$17+I130*Upgrades!$H$17)*POWER(Upgrades!$I$17,I130)))*(IF(Upgrades!$T$13="Brown Dwarf",POWER(Upgrades!$U$13,E130),1)*IF(Upgrades!$T$14="Brown Dwarf",POWER(Upgrades!$U$14,F130),1)*IF(Upgrades!$T$15="Brown Dwarf",POWER(Upgrades!$U$15,G130),1)*IF(Upgrades!$T$16="Brown Dwarf",POWER(Upgrades!$U$16,H130),1)*IF(Upgrades!$T$18="Brown Dwarf",POWER(Upgrades!$U$18,J130),1)*IF(Upgrades!$T$19="Brown Dwarf",POWER(Upgrades!$U$19,K130),1)*IF(Upgrades!$T$20="Brown Dwarf",POWER(Upgrades!$U$20,L130),1)*IF(Upgrades!$T$21="Brown Dwarf",POWER(Upgrades!$U$21,M130),1))+(IF(J130=0,0,(Upgrades!$G$18+J130*Upgrades!$H$18)*POWER(Upgrades!$I$18,J130)))*(IF(Upgrades!$T$13="Binary Partner",POWER(Upgrades!$U$13,E130),1)*IF(Upgrades!$T$14="Binary Partner",POWER(Upgrades!$U$14,F130),1)*IF(Upgrades!$T$15="Binary Partner",POWER(Upgrades!$U$15,G130),1)*IF(Upgrades!$T$16="Binary Partner",POWER(Upgrades!$U$16,H130),1)*IF(Upgrades!$T$17="Binary Partner",POWER(Upgrades!$U$17,I130),1)*IF(Upgrades!$T$19="Binary Partner",POWER(Upgrades!$U$19,K130),1)*IF(Upgrades!$T$20="Binary Partner",POWER(Upgrades!$U$20,L130),1)*IF(Upgrades!$T$21="Binary Partner",POWER(Upgrades!$U$21,M130),1))+(IF(K130=0,0,(Upgrades!$G$19+K130*Upgrades!$H$19)*POWER(Upgrades!$I$19,K130)))*(IF(Upgrades!$T$13="Peculiar Velocity",POWER(Upgrades!$U$13,E130),1)*IF(Upgrades!$T$14="Peculiar Velocity",POWER(Upgrades!$U$14,F130),1)*IF(Upgrades!$T$15="Peculiar Velocity",POWER(Upgrades!$U$15,G130),1)*IF(Upgrades!$T$16="Peculiar Velocity",POWER(Upgrades!$U$16,H130),1)*IF(Upgrades!$T$17="Peculiar Velocity",POWER(Upgrades!$U$17,I130),1)*IF(Upgrades!$T$18="Peculiar Velocity",POWER(Upgrades!$U$18,J130),1)*IF(Upgrades!$T$20="Peculiar Velocity",POWER(Upgrades!$U$20,L130),1)*IF(Upgrades!$T$21="Peculiar Velocity",POWER(Upgrades!$U$21,M130),1))+(IF(L130=0,0,(Upgrades!$G$20+L130*Upgrades!$H$20)*POWER(Upgrades!$I$20,L130)))*(IF(Upgrades!$T$13="Open Cluster",POWER(Upgrades!$U$13,E130),1)*IF(Upgrades!$T$14="Open Cluster",POWER(Upgrades!$U$14,F130),1)*IF(Upgrades!$T$15="Open Cluster",POWER(Upgrades!$U$15,G130),1)*IF(Upgrades!$T$16="Open Cluster",POWER(Upgrades!$U$16,H130),1)*IF(Upgrades!$T$17="Open Cluster",POWER(Upgrades!$U$17,I130),1)*IF(Upgrades!$T$18="Open Cluster",POWER(Upgrades!$U$18,J130),1)*IF(Upgrades!$T$19="Open Cluster",POWER(Upgrades!$U$19,K130),1)*IF(Upgrades!$T$21="Open Cluster",POWER(Upgrades!$U$21,M130),1))+(IF(M130=0,0,(Upgrades!$G$21+M130*Upgrades!$H$21)*POWER(Upgrades!$I$21,M130)))*(IF(Upgrades!$T$13="Moving Group",POWER(Upgrades!$U$13,E130),1)*IF(Upgrades!$T$14="Moving Group",POWER(Upgrades!$U$14,F130),1)*IF(Upgrades!$T$15="Moving Group",POWER(Upgrades!$U$15,G130),1)*IF(Upgrades!$T$16="Moving Group",POWER(Upgrades!$U$16,H130),1)*IF(Upgrades!$T$17="Moving Group",POWER(Upgrades!$U$17,I130),1)*IF(Upgrades!$T$18="Moving Group",POWER(Upgrades!$U$18,J130),1)*IF(Upgrades!$T$19="Moving Group",POWER(Upgrades!$U$19,K130),1)*IF(Upgrades!$T$20="Moving Group",POWER(Upgrades!$U$20,L130),1)))*POWER(Upgrades!$P$13,E130)*POWER(Upgrades!$P$14,F130)*POWER(Upgrades!$P$15,G130)*POWER(Upgrades!$P$16,H130)*POWER(Upgrades!$P$17,I130)*POWER(Upgrades!$P$18,J130)*POWER(Upgrades!$P$19,K130)*POWER(Upgrades!$P$20,L130)*POWER(Upgrades!$P$21,M130)*$F$6+$C$6</f>
        <v/>
      </c>
      <c r="Q130" s="28">
        <f>((IF(E130=0,0,(Upgrades!$M$13+E130*Upgrades!$N$13)*POWER(Upgrades!$O$13,E130)))*(IF(Upgrades!$T$14="Stellar Kinematics",POWER(Upgrades!$U$14,F130),1)*IF(Upgrades!$T$15="Stellar Kinematics",POWER(Upgrades!$U$15,G130),1)*IF(Upgrades!$T$16="Stellar Kinematics",POWER(Upgrades!$U$16,H130),1)*IF(Upgrades!$T$17="Stellar Kinematics",POWER(Upgrades!$U$17,I130),1)*IF(Upgrades!$T$18="Stellar Kinematics",POWER(Upgrades!$U$18,J130),1)*IF(Upgrades!$T$19="Stellar Kinematics",POWER(Upgrades!$U$19,K130),1)*IF(Upgrades!$T$20="Stellar Kinematics",POWER(Upgrades!$U$20,L130),1)*IF(Upgrades!$T$21="Stellar Kinematics",POWER(Upgrades!$U$21,M130),1))+(IF(F130=0,0,(Upgrades!$M$14+F130*Upgrades!$N$14)*POWER(Upgrades!$O$14,F130)))*(IF(Upgrades!$T$13="Local Bubble",POWER(Upgrades!$U$13,E130),1)*IF(Upgrades!$T$15="Local Bubble",POWER(Upgrades!$U$15,G130),1)*IF(Upgrades!$T$16="Local Bubble",POWER(Upgrades!$U$16,H130),1)*IF(Upgrades!$T$17="Local Bubble",POWER(Upgrades!$U$17,I130),1)*IF(Upgrades!$T$18="Local Bubble",POWER(Upgrades!$U$18,J130),1)*IF(Upgrades!$T$19="Local Bubble",POWER(Upgrades!$U$19,K130),1)*IF(Upgrades!$T$20="Local Bubble",POWER(Upgrades!$U$20,L130),1)*IF(Upgrades!$T$21="Local Bubble",POWER(Upgrades!$U$21,M130),1))+(IF(G130=0,0,(Upgrades!$M$15+G130*Upgrades!$N$15)*POWER(Upgrades!$O$15,G130)))*(IF(Upgrades!$T$13="Microlensing",POWER(Upgrades!$U$13,E130),1)*IF(Upgrades!$T$14="Microlensing",POWER(Upgrades!$U$14,F130),1)*IF(Upgrades!$T$16="Microlensing",POWER(Upgrades!$U$16,H130),1)*IF(Upgrades!$T$17="Microlensing",POWER(Upgrades!$U$17,I130),1)*IF(Upgrades!$T$18="Microlensing",POWER(Upgrades!$U$18,J130),1)*IF(Upgrades!$T$19="Microlensing",POWER(Upgrades!$U$19,K130),1)*IF(Upgrades!$T$20="Microlensing",POWER(Upgrades!$U$20,L130),1)*IF(Upgrades!$T$21="Microlensing",POWER(Upgrades!$U$21,M130),1))+(IF(H130=0,0,(Upgrades!$M$16+H130*Upgrades!$N$16)*POWER(Upgrades!$O$16,H130)))*(IF(Upgrades!$T$13="Roche Lobe Overflow",POWER(Upgrades!$U$13,E130),1)*IF(Upgrades!$T$14="Roche Lobe Overflow",POWER(Upgrades!$U$14,F130),1)*IF(Upgrades!$T$15="Roche Lobe Overflow",POWER(Upgrades!$U$15,G130),1)*IF(Upgrades!$T$17="Roche Lobe Overflow",POWER(Upgrades!$U$17,I130),1)*IF(Upgrades!$T$18="Roche Lobe Overflow",POWER(Upgrades!$U$18,J130),1)*IF(Upgrades!$T$19="Roche Lobe Overflow",POWER(Upgrades!$U$19,K130),1)*IF(Upgrades!$T$20="Roche Lobe Overflow",POWER(Upgrades!$U$20,L130),1)*IF(Upgrades!$T$21="Roche Lobe Overflow",POWER(Upgrades!$U$21,M130),1))+(IF(I130=0,0,(Upgrades!$M$17+I130*Upgrades!$N$17)*POWER(Upgrades!$O$17,I130)))*(IF(Upgrades!$T$13="Brown Dwarf",POWER(Upgrades!$U$13,E130),1)*IF(Upgrades!$T$14="Brown Dwarf",POWER(Upgrades!$U$14,F130),1)*IF(Upgrades!$T$15="Brown Dwarf",POWER(Upgrades!$U$15,G130),1)*IF(Upgrades!$T$16="Brown Dwarf",POWER(Upgrades!$U$16,H130),1)*IF(Upgrades!$T$18="Brown Dwarf",POWER(Upgrades!$U$18,J130),1)*IF(Upgrades!$T$19="Brown Dwarf",POWER(Upgrades!$U$19,K130),1)*IF(Upgrades!$T$20="Brown Dwarf",POWER(Upgrades!$U$20,L130),1)*IF(Upgrades!$T$21="Brown Dwarf",POWER(Upgrades!$U$21,M130),1))+(IF(J130=0,0,(Upgrades!$M$18+J130*Upgrades!$N$18)*POWER(Upgrades!$O$18,J130)))*(IF(Upgrades!$T$13="Binary Partner",POWER(Upgrades!$U$13,E130),1)*IF(Upgrades!$T$14="Binary Partner",POWER(Upgrades!$U$14,F130),1)*IF(Upgrades!$T$15="Binary Partner",POWER(Upgrades!$U$15,G130),1)*IF(Upgrades!$T$16="Binary Partner",POWER(Upgrades!$U$16,H130),1)*IF(Upgrades!$T$17="Binary Partner",POWER(Upgrades!$U$17,I130),1)*IF(Upgrades!$T$19="Binary Partner",POWER(Upgrades!$U$19,K130),1)*IF(Upgrades!$T$20="Binary Partner",POWER(Upgrades!$U$20,L130),1)*IF(Upgrades!$T$21="Binary Partner",POWER(Upgrades!$U$21,M130),1))+(IF(K130=0,0,(Upgrades!$M$19+K130*Upgrades!$N$19)*POWER(Upgrades!$O$19,K130)))*(IF(Upgrades!$T$13="Peculiar Velocity",POWER(Upgrades!$U$13,E130),1)*IF(Upgrades!$T$14="Peculiar Velocity",POWER(Upgrades!$U$14,F130),1)*IF(Upgrades!$T$15="Peculiar Velocity",POWER(Upgrades!$U$15,G130),1)*IF(Upgrades!$T$16="Peculiar Velocity",POWER(Upgrades!$U$16,H130),1)*IF(Upgrades!$T$17="Peculiar Velocity",POWER(Upgrades!$U$17,I130),1)*IF(Upgrades!$T$18="Peculiar Velocity",POWER(Upgrades!$U$18,J130),1)*IF(Upgrades!$T$20="Peculiar Velocity",POWER(Upgrades!$U$20,L130),1)*IF(Upgrades!$T$21="Peculiar Velocity",POWER(Upgrades!$U$21,M130),1))+(IF(L130=0,0,(Upgrades!$M$20+L130*Upgrades!$N$20)*POWER(Upgrades!$O$20,L130)))*(IF(Upgrades!$T$13="Open Cluster",POWER(Upgrades!$U$13,E130),1)*IF(Upgrades!$T$14="Open Cluster",POWER(Upgrades!$U$14,F130),1)*IF(Upgrades!$T$15="Open Cluster",POWER(Upgrades!$U$15,G130),1)*IF(Upgrades!$T$16="Open Cluster",POWER(Upgrades!$U$16,H130),1)*IF(Upgrades!$T$17="Open Cluster",POWER(Upgrades!$U$17,I130),1)*IF(Upgrades!$T$18="Open Cluster",POWER(Upgrades!$U$18,J130),1)*IF(Upgrades!$T$19="Open Cluster",POWER(Upgrades!$U$19,K130),1)*IF(Upgrades!$T$21="Open Cluster",POWER(Upgrades!$U$21,M130),1))+(IF(M130=0,0,(Upgrades!$M$21+M130*Upgrades!$N$21)*POWER(Upgrades!$O$21,M130)))*(IF(Upgrades!$T$13="Moving Group",POWER(Upgrades!$U$13,E130),1)*IF(Upgrades!$T$14="Moving Group",POWER(Upgrades!$U$14,F130),1)*IF(Upgrades!$T$15="Moving Group",POWER(Upgrades!$U$15,G130),1)*IF(Upgrades!$T$16="Moving Group",POWER(Upgrades!$U$16,H130),1)*IF(Upgrades!$T$17="Moving Group",POWER(Upgrades!$U$17,I130),1)*IF(Upgrades!$T$18="Moving Group",POWER(Upgrades!$U$18,J130),1)*IF(Upgrades!$T$19="Moving Group",POWER(Upgrades!$U$19,K130),1)*IF(Upgrades!$T$20="Moving Group",POWER(Upgrades!$U$20,L130),1)))*POWER(Upgrades!$R$13,E130)*POWER(Upgrades!$R$14,F130)*POWER(Upgrades!$R$15,G130)*POWER(Upgrades!$R$16,H130)*POWER(Upgrades!$R$17,I130)*POWER(Upgrades!$R$18,J130)*POWER(Upgrades!$R$19,K130)*POWER(Upgrades!$R$20,L130)*POWER(Upgrades!$R$21,M130)*$H$6+$E$6</f>
        <v/>
      </c>
      <c r="R130" s="27">
        <f>IF(N130=1,0,O130*Parameters!$B$10/60*Parameters!$B$11*10)</f>
        <v/>
      </c>
      <c r="S130" s="27">
        <f>IF(N130=1,0,Q130*O130*10)</f>
        <v/>
      </c>
      <c r="T130" s="27">
        <f>IF(N130=1,0,R130+S130+P130*10)</f>
        <v/>
      </c>
      <c r="U130" s="33">
        <f>BE130</f>
        <v/>
      </c>
      <c r="V130" s="22">
        <f>IF(U130="",0,IF(U130="transition",0,IF(U130="SK",AK130,IF(U130="LB",AL130,IF(U130="ML",AM130,IF(U130="RLO",AN130,IF(U130="BD",AO130,IF(U130="BiP",AP130,IF(U130="PV",AQ130,IF(U130="OC",AR130,IF(U130="MG",AS130,0))))))))))</f>
        <v/>
      </c>
      <c r="W130" s="27">
        <f>IF(U130="BiP",Upgrades!$F$18,IF(U130="PV",Upgrades!$F$19,IF(U130="OC",Upgrades!$F$20,IF(U130="MG",Upgrades!$F$21,IF(U130="transition",-Parameters!$B$18*Parameters!$B$19,0)))))</f>
        <v/>
      </c>
      <c r="X130" s="22">
        <f>C130+T130-V130</f>
        <v/>
      </c>
      <c r="Y130" s="30">
        <f>O130*Parameters!$B$10/60*Parameters!$B$11+Q130*O130+P130</f>
        <v/>
      </c>
      <c r="Z130" s="34">
        <f>IF(U130="transition","→ Tier 3 (Galactic Arm)",IF(U130="MG","Moving Group — pocket drifts together",IF(U130="OC","Open Cluster acquired",IF(U130="PV","Peculiar Velocity — passive multiplier active",IF(U130="BiP","Binary Partner — pair bond formed",IF(AND(AU130=1,N130=0,AT130&lt;&gt;1),"Cohesion ready (waiting on completionists)","")))))) </f>
        <v/>
      </c>
      <c r="AA130" s="27">
        <f>(IF(E130=0,0,(Upgrades!$G$13+E130*Upgrades!$H$13)*POWER(Upgrades!$I$13,E130)))*(IF(Upgrades!$T$14="Stellar Kinematics",POWER(Upgrades!$U$14,F130),1)*IF(Upgrades!$T$15="Stellar Kinematics",POWER(Upgrades!$U$15,G130),1)*IF(Upgrades!$T$16="Stellar Kinematics",POWER(Upgrades!$U$16,H130),1)*IF(Upgrades!$T$17="Stellar Kinematics",POWER(Upgrades!$U$17,I130),1)*IF(Upgrades!$T$18="Stellar Kinematics",POWER(Upgrades!$U$18,J130),1)*IF(Upgrades!$T$19="Stellar Kinematics",POWER(Upgrades!$U$19,K130),1)*IF(Upgrades!$T$20="Stellar Kinematics",POWER(Upgrades!$U$20,L130),1)*IF(Upgrades!$T$21="Stellar Kinematics",POWER(Upgrades!$U$21,M130),1))*POWER(Upgrades!$P$13,E130)*POWER(Upgrades!$P$14,F130)*POWER(Upgrades!$P$15,G130)*POWER(Upgrades!$P$16,H130)*POWER(Upgrades!$P$17,I130)*POWER(Upgrades!$P$18,J130)*POWER(Upgrades!$P$19,K130)*POWER(Upgrades!$P$20,L130)*POWER(Upgrades!$P$21,M130)*$F$6*60</f>
        <v/>
      </c>
      <c r="AB130" s="27">
        <f>(IF(F130=0,0,(Upgrades!$G$14+F130*Upgrades!$H$14)*POWER(Upgrades!$I$14,F130)))*(IF(Upgrades!$T$13="Local Bubble",POWER(Upgrades!$U$13,E130),1)*IF(Upgrades!$T$15="Local Bubble",POWER(Upgrades!$U$15,G130),1)*IF(Upgrades!$T$16="Local Bubble",POWER(Upgrades!$U$16,H130),1)*IF(Upgrades!$T$17="Local Bubble",POWER(Upgrades!$U$17,I130),1)*IF(Upgrades!$T$18="Local Bubble",POWER(Upgrades!$U$18,J130),1)*IF(Upgrades!$T$19="Local Bubble",POWER(Upgrades!$U$19,K130),1)*IF(Upgrades!$T$20="Local Bubble",POWER(Upgrades!$U$20,L130),1)*IF(Upgrades!$T$21="Local Bubble",POWER(Upgrades!$U$21,M130),1))*POWER(Upgrades!$P$13,E130)*POWER(Upgrades!$P$14,F130)*POWER(Upgrades!$P$15,G130)*POWER(Upgrades!$P$16,H130)*POWER(Upgrades!$P$17,I130)*POWER(Upgrades!$P$18,J130)*POWER(Upgrades!$P$19,K130)*POWER(Upgrades!$P$20,L130)*POWER(Upgrades!$P$21,M130)*$F$6*60</f>
        <v/>
      </c>
      <c r="AC130" s="27">
        <f>(IF(G130=0,0,(Upgrades!$J$15+G130*Upgrades!$K$15)*POWER(Upgrades!$L$15,G130)))*(IF(Upgrades!$T$13="Microlensing",POWER(Upgrades!$U$13,E130),1)*IF(Upgrades!$T$14="Microlensing",POWER(Upgrades!$U$14,F130),1)*IF(Upgrades!$T$16="Microlensing",POWER(Upgrades!$U$16,H130),1)*IF(Upgrades!$T$17="Microlensing",POWER(Upgrades!$U$17,I130),1)*IF(Upgrades!$T$18="Microlensing",POWER(Upgrades!$U$18,J130),1)*IF(Upgrades!$T$19="Microlensing",POWER(Upgrades!$U$19,K130),1)*IF(Upgrades!$T$20="Microlensing",POWER(Upgrades!$U$20,L130),1)*IF(Upgrades!$T$21="Microlensing",POWER(Upgrades!$U$21,M130),1))*POWER(Upgrades!$Q$13,E130)*POWER(Upgrades!$Q$14,F130)*POWER(Upgrades!$Q$15,G130)*POWER(Upgrades!$Q$16,H130)*POWER(Upgrades!$Q$17,I130)*POWER(Upgrades!$Q$18,J130)*POWER(Upgrades!$Q$19,K130)*POWER(Upgrades!$Q$20,L130)*POWER(Upgrades!$Q$21,M130)*$G$6*(Parameters!$B$10*Parameters!$B$11+Q130*60)</f>
        <v/>
      </c>
      <c r="AD130" s="27">
        <f>(IF(H130=0,0,(Upgrades!$M$16+H130*Upgrades!$N$16)*POWER(Upgrades!$O$16,H130)))*(IF(Upgrades!$T$13="Roche Lobe Overflow",POWER(Upgrades!$U$13,E130),1)*IF(Upgrades!$T$14="Roche Lobe Overflow",POWER(Upgrades!$U$14,F130),1)*IF(Upgrades!$T$15="Roche Lobe Overflow",POWER(Upgrades!$U$15,G130),1)*IF(Upgrades!$T$17="Roche Lobe Overflow",POWER(Upgrades!$U$17,I130),1)*IF(Upgrades!$T$18="Roche Lobe Overflow",POWER(Upgrades!$U$18,J130),1)*IF(Upgrades!$T$19="Roche Lobe Overflow",POWER(Upgrades!$U$19,K130),1)*IF(Upgrades!$T$20="Roche Lobe Overflow",POWER(Upgrades!$U$20,L130),1)*IF(Upgrades!$T$21="Roche Lobe Overflow",POWER(Upgrades!$U$21,M130),1))*POWER(Upgrades!$R$13,E130)*POWER(Upgrades!$R$14,F130)*POWER(Upgrades!$R$15,G130)*POWER(Upgrades!$R$16,H130)*POWER(Upgrades!$R$17,I130)*POWER(Upgrades!$R$18,J130)*POWER(Upgrades!$R$19,K130)*POWER(Upgrades!$R$20,L130)*POWER(Upgrades!$R$21,M130)*$H$6*O130*60</f>
        <v/>
      </c>
      <c r="AE130" s="27">
        <f>(IF(I130=0,0,(Upgrades!$G$17+I130*Upgrades!$H$17)*POWER(Upgrades!$I$17,I130)))*(IF(Upgrades!$T$13="Brown Dwarf",POWER(Upgrades!$U$13,E130),1)*IF(Upgrades!$T$14="Brown Dwarf",POWER(Upgrades!$U$14,F130),1)*IF(Upgrades!$T$15="Brown Dwarf",POWER(Upgrades!$U$15,G130),1)*IF(Upgrades!$T$16="Brown Dwarf",POWER(Upgrades!$U$16,H130),1)*IF(Upgrades!$T$18="Brown Dwarf",POWER(Upgrades!$U$18,J130),1)*IF(Upgrades!$T$19="Brown Dwarf",POWER(Upgrades!$U$19,K130),1)*IF(Upgrades!$T$20="Brown Dwarf",POWER(Upgrades!$U$20,L130),1)*IF(Upgrades!$T$21="Brown Dwarf",POWER(Upgrades!$U$21,M130),1))*POWER(Upgrades!$P$13,E130)*POWER(Upgrades!$P$14,F130)*POWER(Upgrades!$P$15,G130)*POWER(Upgrades!$P$16,H130)*POWER(Upgrades!$P$17,I130)*POWER(Upgrades!$P$18,J130)*POWER(Upgrades!$P$19,K130)*POWER(Upgrades!$P$20,L130)*POWER(Upgrades!$P$21,M130)*$F$6*60</f>
        <v/>
      </c>
      <c r="AF130" s="27" t="n">
        <v>0</v>
      </c>
      <c r="AG130" s="27" t="n">
        <v>0</v>
      </c>
      <c r="AH130" s="27" t="n">
        <v>0</v>
      </c>
      <c r="AI130" s="27">
        <f>(IF(M130=0,0,(Upgrades!$G$21+M130*Upgrades!$H$21)*POWER(Upgrades!$I$21,M130)))*(IF(Upgrades!$T$13="Moving Group",POWER(Upgrades!$U$13,E130),1)*IF(Upgrades!$T$14="Moving Group",POWER(Upgrades!$U$14,F130),1)*IF(Upgrades!$T$15="Moving Group",POWER(Upgrades!$U$15,G130),1)*IF(Upgrades!$T$16="Moving Group",POWER(Upgrades!$U$16,H130),1)*IF(Upgrades!$T$17="Moving Group",POWER(Upgrades!$U$17,I130),1)*IF(Upgrades!$T$18="Moving Group",POWER(Upgrades!$U$18,J130),1)*IF(Upgrades!$T$19="Moving Group",POWER(Upgrades!$U$19,K130),1)*IF(Upgrades!$T$20="Moving Group",POWER(Upgrades!$U$20,L130),1))*POWER(Upgrades!$P$13,E130)*POWER(Upgrades!$P$14,F130)*POWER(Upgrades!$P$15,G130)*POWER(Upgrades!$P$16,H130)*POWER(Upgrades!$P$17,I130)*POWER(Upgrades!$P$18,J130)*POWER(Upgrades!$P$19,K130)*POWER(Upgrades!$P$20,L130)*POWER(Upgrades!$P$21,M130)*$F$6*60</f>
        <v/>
      </c>
      <c r="AJ130" s="27">
        <f>$C$6*60</f>
        <v/>
      </c>
      <c r="AK130" s="22">
        <f>IF(E130&gt;=Upgrades!$E$13,"",Upgrades!$C$13*POWER(Upgrades!$D$13,E130))</f>
        <v/>
      </c>
      <c r="AL130" s="22">
        <f>IF(F130&gt;=Upgrades!$E$14,"",Upgrades!$C$14*POWER(Upgrades!$D$14,F130))</f>
        <v/>
      </c>
      <c r="AM130" s="22">
        <f>IF(G130&gt;=Upgrades!$E$15,"",Upgrades!$C$15*POWER(Upgrades!$D$15,G130))</f>
        <v/>
      </c>
      <c r="AN130" s="22">
        <f>IF(H130&gt;=Upgrades!$E$16,"",Upgrades!$C$16*POWER(Upgrades!$D$16,H130))</f>
        <v/>
      </c>
      <c r="AO130" s="22">
        <f>IF(I130&gt;=Upgrades!$E$17,"",Upgrades!$C$17*POWER(Upgrades!$D$17,I130))</f>
        <v/>
      </c>
      <c r="AP130" s="22">
        <f>IF(J130&gt;=Upgrades!$E$18,"",Upgrades!$C$18*POWER(Upgrades!$D$18,J130))</f>
        <v/>
      </c>
      <c r="AQ130" s="22">
        <f>IF(K130&gt;=Upgrades!$E$19,"",Upgrades!$C$19*POWER(Upgrades!$D$19,K130))</f>
        <v/>
      </c>
      <c r="AR130" s="22">
        <f>IF(L130&gt;=Upgrades!$E$20,"",Upgrades!$C$20*POWER(Upgrades!$D$20,L130))</f>
        <v/>
      </c>
      <c r="AS130" s="22">
        <f>IF(M130&gt;=Upgrades!$E$21,"",Upgrades!$C$21*POWER(Upgrades!$D$21,M130))</f>
        <v/>
      </c>
      <c r="AT130" s="26">
        <f>IF(AND(D130&gt;=Parameters!$B$18*Parameters!$B$19,(I130&gt;=Upgrades!$E$17)*(M130&gt;=Upgrades!$E$21)=1,N130=0),1,"")</f>
        <v/>
      </c>
      <c r="AU130" s="26">
        <f>IF(AND(D130&gt;=Parameters!$B$18*Parameters!$B$19,N130=0),1,"")</f>
        <v/>
      </c>
      <c r="AV130" s="22">
        <f>MIN(IF(ISNUMBER(AP130),AP130,9E15),IF(ISNUMBER(AQ130),AQ130,9E15),IF(ISNUMBER(AR130),AR130,9E15),IF(ISNUMBER(AS130),AS130,9E15))</f>
        <v/>
      </c>
      <c r="AW130" s="22">
        <f>MIN(IF(ISNUMBER(AK130),AK130,9E15),IF(ISNUMBER(AL130),AL130,9E15),IF(ISNUMBER(AM130),AM130,9E15),IF(ISNUMBER(AN130),AN130,9E15),IF(ISNUMBER(AO130),AO130,9E15))</f>
        <v/>
      </c>
      <c r="AX130" s="29">
        <f>IF(BD130&gt;Parameters!$B$21*(MAX(IF(AND(NOT(AND(AU130=1,AT130&lt;&gt;1)),ISNUMBER(AK130),AK130&lt;=(C130+T130)),AY130,0),IF(AND(NOT(AND(AU130=1,AT130&lt;&gt;1)),ISNUMBER(AL130),AL130&lt;=(C130+T130)),AZ130,0),IF(AND(NOT(AND(AU130=1,AT130&lt;&gt;1)),ISNUMBER(AM130),AM130&lt;=(C130+T130)),BA130,0),IF(AND(NOT(AND(AU130=1,AT130&lt;&gt;1)),ISNUMBER(AN130),AN130&lt;=(C130+T130)),BB130,0),IF(AND(ISNUMBER(AO130),AO130&lt;=(C130+T130)),BC130,0))),TRUE,FALSE)</f>
        <v/>
      </c>
      <c r="AY130" s="32">
        <f>IFERROR(Upgrades!$H$13*(POWER(Upgrades!$P$13,E130)*POWER(Upgrades!$P$14,F130)*POWER(Upgrades!$P$15,G130)*POWER(Upgrades!$P$16,H130)*POWER(Upgrades!$P$17,I130)*POWER(Upgrades!$P$18,J130)*POWER(Upgrades!$P$19,K130)*POWER(Upgrades!$P$20,L130)*POWER(Upgrades!$P$21,M130))*(IF(Upgrades!$T$14="Stellar Kinematics",POWER(Upgrades!$U$14,F130),1)*IF(Upgrades!$T$15="Stellar Kinematics",POWER(Upgrades!$U$15,G130),1)*IF(Upgrades!$T$16="Stellar Kinematics",POWER(Upgrades!$U$16,H130),1)*IF(Upgrades!$T$17="Stellar Kinematics",POWER(Upgrades!$U$17,I130),1)*IF(Upgrades!$T$18="Stellar Kinematics",POWER(Upgrades!$U$18,J130),1)*IF(Upgrades!$T$19="Stellar Kinematics",POWER(Upgrades!$U$19,K130),1)*IF(Upgrades!$T$20="Stellar Kinematics",POWER(Upgrades!$U$20,L130),1)*IF(Upgrades!$T$21="Stellar Kinematics",POWER(Upgrades!$U$21,M130),1))*$F$6/AK130,0)</f>
        <v/>
      </c>
      <c r="AZ130" s="32">
        <f>IFERROR(Upgrades!$H$14*(POWER(Upgrades!$P$13,E130)*POWER(Upgrades!$P$14,F130)*POWER(Upgrades!$P$15,G130)*POWER(Upgrades!$P$16,H130)*POWER(Upgrades!$P$17,I130)*POWER(Upgrades!$P$18,J130)*POWER(Upgrades!$P$19,K130)*POWER(Upgrades!$P$20,L130)*POWER(Upgrades!$P$21,M130))*(IF(Upgrades!$T$13="Local Bubble",POWER(Upgrades!$U$13,E130),1)*IF(Upgrades!$T$15="Local Bubble",POWER(Upgrades!$U$15,G130),1)*IF(Upgrades!$T$16="Local Bubble",POWER(Upgrades!$U$16,H130),1)*IF(Upgrades!$T$17="Local Bubble",POWER(Upgrades!$U$17,I130),1)*IF(Upgrades!$T$18="Local Bubble",POWER(Upgrades!$U$18,J130),1)*IF(Upgrades!$T$19="Local Bubble",POWER(Upgrades!$U$19,K130),1)*IF(Upgrades!$T$20="Local Bubble",POWER(Upgrades!$U$20,L130),1)*IF(Upgrades!$T$21="Local Bubble",POWER(Upgrades!$U$21,M130),1))*$F$6/AL130,0)</f>
        <v/>
      </c>
      <c r="BA130" s="32">
        <f>IFERROR(Upgrades!$K$15*(POWER(Upgrades!$Q$13,E130)*POWER(Upgrades!$Q$14,F130)*POWER(Upgrades!$Q$15,G130)*POWER(Upgrades!$Q$16,H130)*POWER(Upgrades!$Q$17,I130)*POWER(Upgrades!$Q$18,J130)*POWER(Upgrades!$Q$19,K130)*POWER(Upgrades!$Q$20,L130)*POWER(Upgrades!$Q$21,M130))*(IF(Upgrades!$T$13="Microlensing",POWER(Upgrades!$U$13,E130),1)*IF(Upgrades!$T$14="Microlensing",POWER(Upgrades!$U$14,F130),1)*IF(Upgrades!$T$16="Microlensing",POWER(Upgrades!$U$16,H130),1)*IF(Upgrades!$T$17="Microlensing",POWER(Upgrades!$U$17,I130),1)*IF(Upgrades!$T$18="Microlensing",POWER(Upgrades!$U$18,J130),1)*IF(Upgrades!$T$19="Microlensing",POWER(Upgrades!$U$19,K130),1)*IF(Upgrades!$T$20="Microlensing",POWER(Upgrades!$U$20,L130),1)*IF(Upgrades!$T$21="Microlensing",POWER(Upgrades!$U$21,M130),1))*$G$6*(Parameters!$B$10/60*Parameters!$B$11+Q130)/AM130,0)</f>
        <v/>
      </c>
      <c r="BB130" s="32">
        <f>IFERROR((Upgrades!$N$16*(POWER(Upgrades!$R$13,E130)*POWER(Upgrades!$R$14,F130)*POWER(Upgrades!$R$15,G130)*POWER(Upgrades!$R$16,H130)*POWER(Upgrades!$R$17,I130)*POWER(Upgrades!$R$18,J130)*POWER(Upgrades!$R$19,K130)*POWER(Upgrades!$R$20,L130)*POWER(Upgrades!$R$21,M130))*(IF(Upgrades!$T$13="Roche Lobe Overflow",POWER(Upgrades!$U$13,E130),1)*IF(Upgrades!$T$14="Roche Lobe Overflow",POWER(Upgrades!$U$14,F130),1)*IF(Upgrades!$T$15="Roche Lobe Overflow",POWER(Upgrades!$U$15,G130),1)*IF(Upgrades!$T$17="Roche Lobe Overflow",POWER(Upgrades!$U$17,I130),1)*IF(Upgrades!$T$18="Roche Lobe Overflow",POWER(Upgrades!$U$18,J130),1)*IF(Upgrades!$T$19="Roche Lobe Overflow",POWER(Upgrades!$U$19,K130),1)*IF(Upgrades!$T$20="Roche Lobe Overflow",POWER(Upgrades!$U$20,L130),1)*IF(Upgrades!$T$21="Roche Lobe Overflow",POWER(Upgrades!$U$21,M130),1))*$H$6*O130+((IF(F130=0,0,(Upgrades!$G$14+F130*Upgrades!$H$14)*POWER(Upgrades!$I$14,F130)))*(IF(Upgrades!$T$13="Local Bubble",POWER(Upgrades!$U$13,E130),1)*IF(Upgrades!$T$15="Local Bubble",POWER(Upgrades!$U$15,G130),1)*IF(Upgrades!$T$16="Local Bubble",POWER(Upgrades!$U$16,H130),1)*IF(Upgrades!$T$17="Local Bubble",POWER(Upgrades!$U$17,I130),1)*IF(Upgrades!$T$18="Local Bubble",POWER(Upgrades!$U$18,J130),1)*IF(Upgrades!$T$19="Local Bubble",POWER(Upgrades!$U$19,K130),1)*IF(Upgrades!$T$20="Local Bubble",POWER(Upgrades!$U$20,L130),1)*IF(Upgrades!$T$21="Local Bubble",POWER(Upgrades!$U$21,M130),1))*POWER(Upgrades!$P$13,E130)*POWER(Upgrades!$P$14,F130)*POWER(Upgrades!$P$15,G130)*POWER(Upgrades!$P$16,H130)*POWER(Upgrades!$P$17,I130)*POWER(Upgrades!$P$18,J130)*POWER(Upgrades!$P$19,K130)*POWER(Upgrades!$P$20,L130)*POWER(Upgrades!$P$21,M130)*$F$6)*0.05)/AN130,0)</f>
        <v/>
      </c>
      <c r="BC130" s="32">
        <f>IFERROR((Upgrades!$H$17*(POWER(Upgrades!$P$13,E130)*POWER(Upgrades!$P$14,F130)*POWER(Upgrades!$P$15,G130)*POWER(Upgrades!$P$16,H130)*POWER(Upgrades!$P$17,I130)*POWER(Upgrades!$P$18,J130)*POWER(Upgrades!$P$19,K130)*POWER(Upgrades!$P$20,L130)*POWER(Upgrades!$P$21,M130))*(IF(Upgrades!$T$13="Brown Dwarf",POWER(Upgrades!$U$13,E130),1)*IF(Upgrades!$T$14="Brown Dwarf",POWER(Upgrades!$U$14,F130),1)*IF(Upgrades!$T$15="Brown Dwarf",POWER(Upgrades!$U$15,G130),1)*IF(Upgrades!$T$16="Brown Dwarf",POWER(Upgrades!$U$16,H130),1)*IF(Upgrades!$T$18="Brown Dwarf",POWER(Upgrades!$U$18,J130),1)*IF(Upgrades!$T$19="Brown Dwarf",POWER(Upgrades!$U$19,K130),1)*IF(Upgrades!$T$20="Brown Dwarf",POWER(Upgrades!$U$20,L130),1)*IF(Upgrades!$T$21="Brown Dwarf",POWER(Upgrades!$U$21,M130),1))*$F$6+(((IF(H130=0,0,(Upgrades!$M$16+H130*Upgrades!$N$16)*POWER(Upgrades!$O$16,H130)))*(IF(Upgrades!$T$13="Roche Lobe Overflow",POWER(Upgrades!$U$13,E130),1)*IF(Upgrades!$T$14="Roche Lobe Overflow",POWER(Upgrades!$U$14,F130),1)*IF(Upgrades!$T$15="Roche Lobe Overflow",POWER(Upgrades!$U$15,G130),1)*IF(Upgrades!$T$17="Roche Lobe Overflow",POWER(Upgrades!$U$17,I130),1)*IF(Upgrades!$T$18="Roche Lobe Overflow",POWER(Upgrades!$U$18,J130),1)*IF(Upgrades!$T$19="Roche Lobe Overflow",POWER(Upgrades!$U$19,K130),1)*IF(Upgrades!$T$20="Roche Lobe Overflow",POWER(Upgrades!$U$20,L130),1)*IF(Upgrades!$T$21="Roche Lobe Overflow",POWER(Upgrades!$U$21,M130),1))*POWER(Upgrades!$R$13,E130)*POWER(Upgrades!$R$14,F130)*POWER(Upgrades!$R$15,G130)*POWER(Upgrades!$R$16,H130)*POWER(Upgrades!$R$17,I130)*POWER(Upgrades!$R$18,J130)*POWER(Upgrades!$R$19,K130)*POWER(Upgrades!$R$20,L130)*POWER(Upgrades!$R$21,M130)*$H$6)*O130)*0.10)/AO130,0)</f>
        <v/>
      </c>
      <c r="BD130" s="32">
        <f>MAX(IF(J130&gt;0,0,IFERROR(0.5*((IF(G130=0,0,(Upgrades!$J$15+G130*Upgrades!$K$15)*POWER(Upgrades!$L$15,G130)))*(IF(Upgrades!$T$13="Microlensing",POWER(Upgrades!$U$13,E130),1)*IF(Upgrades!$T$14="Microlensing",POWER(Upgrades!$U$14,F130),1)*IF(Upgrades!$T$16="Microlensing",POWER(Upgrades!$U$16,H130),1)*IF(Upgrades!$T$17="Microlensing",POWER(Upgrades!$U$17,I130),1)*IF(Upgrades!$T$18="Microlensing",POWER(Upgrades!$U$18,J130),1)*IF(Upgrades!$T$19="Microlensing",POWER(Upgrades!$U$19,K130),1)*IF(Upgrades!$T$20="Microlensing",POWER(Upgrades!$U$20,L130),1)*IF(Upgrades!$T$21="Microlensing",POWER(Upgrades!$U$21,M130),1))*(POWER(Upgrades!$Q$13,E130)*POWER(Upgrades!$Q$14,F130)*POWER(Upgrades!$Q$15,G130)*POWER(Upgrades!$Q$16,H130)*POWER(Upgrades!$Q$17,I130)*POWER(Upgrades!$Q$18,J130)*POWER(Upgrades!$Q$19,K130)*POWER(Upgrades!$Q$20,L130)*POWER(Upgrades!$Q$21,M130))*$G$6*(Parameters!$B$10/60*Parameters!$B$11+Q130))/Upgrades!$C$18,0)),IF(K130&gt;0,0,IFERROR(0.30*P130/Upgrades!$C$19,0)),IF(L130&gt;0,0,IFERROR(0.0001/Upgrades!$C$20,0)),IF(M130&gt;0,0,IFERROR((6.0*(POWER(Upgrades!$P$13,E130)*POWER(Upgrades!$P$14,F130)*POWER(Upgrades!$P$15,G130)*POWER(Upgrades!$P$16,H130)*POWER(Upgrades!$P$17,I130)*POWER(Upgrades!$P$18,J130)*POWER(Upgrades!$P$19,K130)*POWER(Upgrades!$P$20,L130)*POWER(Upgrades!$P$21,M130))*$F$6+0.20*O130*(Parameters!$B$10/60*Parameters!$B$11+Q130))/Upgrades!$C$21,0)),IF(AND(ISNUMBER(AK130),AK130&gt;(C130+T130)),AY130,0),IF(AND(ISNUMBER(AL130),AL130&gt;(C130+T130)),AZ130,0),IF(AND(ISNUMBER(AM130),AM130&gt;(C130+T130)),BA130,0),IF(AND(ISNUMBER(AN130),AN130&gt;(C130+T130)),BB130,0),IF(AND(ISNUMBER(AO130),AO130&gt;(C130+T130)),BC130,0))</f>
        <v/>
      </c>
      <c r="BE130" s="29">
        <f>IF(AT130=1,"transition",IF(MIN(IF(AND(J130=0,ISNUMBER(AP130),AP130&lt;=(C130+T130)),AP130,9E15),IF(AND(K130=0,ISNUMBER(AQ130),AQ130&lt;=(C130+T130)),AQ130,9E15),IF(AND(L130=0,ISNUMBER(AR130),AR130&lt;=(C130+T130)),AR130,9E15),IF(AND(M130=0,ISNUMBER(AS130),AS130&lt;=(C130+T130)),AS130,9E15))&lt;9E15,IF(AND(AND(J130=0,ISNUMBER(AP130),AP130&lt;=(C130+T130)),AP130=MIN(IF(AND(J130=0,ISNUMBER(AP130),AP130&lt;=(C130+T130)),AP130,9E15),IF(AND(K130=0,ISNUMBER(AQ130),AQ130&lt;=(C130+T130)),AQ130,9E15),IF(AND(L130=0,ISNUMBER(AR130),AR130&lt;=(C130+T130)),AR130,9E15),IF(AND(M130=0,ISNUMBER(AS130),AS130&lt;=(C130+T130)),AS130,9E15))),"BiP",IF(AND(AND(K130=0,ISNUMBER(AQ130),AQ130&lt;=(C130+T130)),AQ130=MIN(IF(AND(J130=0,ISNUMBER(AP130),AP130&lt;=(C130+T130)),AP130,9E15),IF(AND(K130=0,ISNUMBER(AQ130),AQ130&lt;=(C130+T130)),AQ130,9E15),IF(AND(L130=0,ISNUMBER(AR130),AR130&lt;=(C130+T130)),AR130,9E15),IF(AND(M130=0,ISNUMBER(AS130),AS130&lt;=(C130+T130)),AS130,9E15))),"PV",IF(AND(AND(L130=0,ISNUMBER(AR130),AR130&lt;=(C130+T130)),AR130=MIN(IF(AND(J130=0,ISNUMBER(AP130),AP130&lt;=(C130+T130)),AP130,9E15),IF(AND(K130=0,ISNUMBER(AQ130),AQ130&lt;=(C130+T130)),AQ130,9E15),IF(AND(L130=0,ISNUMBER(AR130),AR130&lt;=(C130+T130)),AR130,9E15),IF(AND(M130=0,ISNUMBER(AS130),AS130&lt;=(C130+T130)),AS130,9E15))),"OC","MG"))),IF(AX130=TRUE,"",IF(MAX(IF(AND(NOT(AND(AU130=1,AT130&lt;&gt;1)),ISNUMBER(AK130),AK130&lt;=(C130+T130)),AY130,0),IF(AND(NOT(AND(AU130=1,AT130&lt;&gt;1)),ISNUMBER(AL130),AL130&lt;=(C130+T130)),AZ130,0),IF(AND(NOT(AND(AU130=1,AT130&lt;&gt;1)),ISNUMBER(AM130),AM130&lt;=(C130+T130)),BA130,0),IF(AND(NOT(AND(AU130=1,AT130&lt;&gt;1)),ISNUMBER(AN130),AN130&lt;=(C130+T130)),BB130,0),IF(AND(ISNUMBER(AO130),AO130&lt;=(C130+T130)),BC130,0))&lt;=0,"",IF(AND(IF(AND(NOT(AND(AU130=1,AT130&lt;&gt;1)),ISNUMBER(AK130),AK130&lt;=(C130+T130)),AY130,0)&gt;0,IF(AND(NOT(AND(AU130=1,AT130&lt;&gt;1)),ISNUMBER(AK130),AK130&lt;=(C130+T130)),AY130,0)=MAX(IF(AND(NOT(AND(AU130=1,AT130&lt;&gt;1)),ISNUMBER(AK130),AK130&lt;=(C130+T130)),AY130,0),IF(AND(NOT(AND(AU130=1,AT130&lt;&gt;1)),ISNUMBER(AL130),AL130&lt;=(C130+T130)),AZ130,0),IF(AND(NOT(AND(AU130=1,AT130&lt;&gt;1)),ISNUMBER(AM130),AM130&lt;=(C130+T130)),BA130,0),IF(AND(NOT(AND(AU130=1,AT130&lt;&gt;1)),ISNUMBER(AN130),AN130&lt;=(C130+T130)),BB130,0),IF(AND(ISNUMBER(AO130),AO130&lt;=(C130+T130)),BC130,0))),"SK",IF(AND(IF(AND(NOT(AND(AU130=1,AT130&lt;&gt;1)),ISNUMBER(AL130),AL130&lt;=(C130+T130)),AZ130,0)&gt;0,IF(AND(NOT(AND(AU130=1,AT130&lt;&gt;1)),ISNUMBER(AL130),AL130&lt;=(C130+T130)),AZ130,0)=MAX(IF(AND(NOT(AND(AU130=1,AT130&lt;&gt;1)),ISNUMBER(AK130),AK130&lt;=(C130+T130)),AY130,0),IF(AND(NOT(AND(AU130=1,AT130&lt;&gt;1)),ISNUMBER(AL130),AL130&lt;=(C130+T130)),AZ130,0),IF(AND(NOT(AND(AU130=1,AT130&lt;&gt;1)),ISNUMBER(AM130),AM130&lt;=(C130+T130)),BA130,0),IF(AND(NOT(AND(AU130=1,AT130&lt;&gt;1)),ISNUMBER(AN130),AN130&lt;=(C130+T130)),BB130,0),IF(AND(ISNUMBER(AO130),AO130&lt;=(C130+T130)),BC130,0))),"LB",IF(AND(IF(AND(NOT(AND(AU130=1,AT130&lt;&gt;1)),ISNUMBER(AM130),AM130&lt;=(C130+T130)),BA130,0)&gt;0,IF(AND(NOT(AND(AU130=1,AT130&lt;&gt;1)),ISNUMBER(AM130),AM130&lt;=(C130+T130)),BA130,0)=MAX(IF(AND(NOT(AND(AU130=1,AT130&lt;&gt;1)),ISNUMBER(AK130),AK130&lt;=(C130+T130)),AY130,0),IF(AND(NOT(AND(AU130=1,AT130&lt;&gt;1)),ISNUMBER(AL130),AL130&lt;=(C130+T130)),AZ130,0),IF(AND(NOT(AND(AU130=1,AT130&lt;&gt;1)),ISNUMBER(AM130),AM130&lt;=(C130+T130)),BA130,0),IF(AND(NOT(AND(AU130=1,AT130&lt;&gt;1)),ISNUMBER(AN130),AN130&lt;=(C130+T130)),BB130,0),IF(AND(ISNUMBER(AO130),AO130&lt;=(C130+T130)),BC130,0))),"ML",IF(AND(IF(AND(NOT(AND(AU130=1,AT130&lt;&gt;1)),ISNUMBER(AN130),AN130&lt;=(C130+T130)),BB130,0)&gt;0,IF(AND(NOT(AND(AU130=1,AT130&lt;&gt;1)),ISNUMBER(AN130),AN130&lt;=(C130+T130)),BB130,0)=MAX(IF(AND(NOT(AND(AU130=1,AT130&lt;&gt;1)),ISNUMBER(AK130),AK130&lt;=(C130+T130)),AY130,0),IF(AND(NOT(AND(AU130=1,AT130&lt;&gt;1)),ISNUMBER(AL130),AL130&lt;=(C130+T130)),AZ130,0),IF(AND(NOT(AND(AU130=1,AT130&lt;&gt;1)),ISNUMBER(AM130),AM130&lt;=(C130+T130)),BA130,0),IF(AND(NOT(AND(AU130=1,AT130&lt;&gt;1)),ISNUMBER(AN130),AN130&lt;=(C130+T130)),BB130,0),IF(AND(ISNUMBER(AO130),AO130&lt;=(C130+T130)),BC130,0))),"RLO","BD"))))))))</f>
        <v/>
      </c>
    </row>
    <row r="131">
      <c r="A131" s="26" t="n">
        <v>120</v>
      </c>
      <c r="B131" s="27">
        <f>A131*10/60</f>
        <v/>
      </c>
      <c r="C131" s="22">
        <f>X130</f>
        <v/>
      </c>
      <c r="D131" s="27">
        <f>D130+W130</f>
        <v/>
      </c>
      <c r="E131" s="26">
        <f>E130+IF(U130="SK",1,0)</f>
        <v/>
      </c>
      <c r="F131" s="26">
        <f>F130+IF(U130="LB",1,0)</f>
        <v/>
      </c>
      <c r="G131" s="26">
        <f>G130+IF(U130="ML",1,0)</f>
        <v/>
      </c>
      <c r="H131" s="26">
        <f>H130+IF(U130="RLO",1,0)</f>
        <v/>
      </c>
      <c r="I131" s="26">
        <f>I130+IF(U130="BD",1,0)</f>
        <v/>
      </c>
      <c r="J131" s="26">
        <f>MAX(J130,IF(U130="BiP",1,0))</f>
        <v/>
      </c>
      <c r="K131" s="26">
        <f>MAX(K130,IF(U130="PV",1,0))</f>
        <v/>
      </c>
      <c r="L131" s="26">
        <f>MAX(L130,IF(U130="OC",1,0))</f>
        <v/>
      </c>
      <c r="M131" s="26">
        <f>MAX(M130,IF(U130="MG",1,0))</f>
        <v/>
      </c>
      <c r="N131" s="26">
        <f>MAX(N130,IF(U130="transition",1,0))</f>
        <v/>
      </c>
      <c r="O131" s="28">
        <f>(Parameters!$B$9+(IF(E131=0,0,(Upgrades!$J$13+E131*Upgrades!$K$13)*POWER(Upgrades!$L$13,E131)))*(IF(Upgrades!$T$14="Stellar Kinematics",POWER(Upgrades!$U$14,F131),1)*IF(Upgrades!$T$15="Stellar Kinematics",POWER(Upgrades!$U$15,G131),1)*IF(Upgrades!$T$16="Stellar Kinematics",POWER(Upgrades!$U$16,H131),1)*IF(Upgrades!$T$17="Stellar Kinematics",POWER(Upgrades!$U$17,I131),1)*IF(Upgrades!$T$18="Stellar Kinematics",POWER(Upgrades!$U$18,J131),1)*IF(Upgrades!$T$19="Stellar Kinematics",POWER(Upgrades!$U$19,K131),1)*IF(Upgrades!$T$20="Stellar Kinematics",POWER(Upgrades!$U$20,L131),1)*IF(Upgrades!$T$21="Stellar Kinematics",POWER(Upgrades!$U$21,M131),1))+(IF(F131=0,0,(Upgrades!$J$14+F131*Upgrades!$K$14)*POWER(Upgrades!$L$14,F131)))*(IF(Upgrades!$T$13="Local Bubble",POWER(Upgrades!$U$13,E131),1)*IF(Upgrades!$T$15="Local Bubble",POWER(Upgrades!$U$15,G131),1)*IF(Upgrades!$T$16="Local Bubble",POWER(Upgrades!$U$16,H131),1)*IF(Upgrades!$T$17="Local Bubble",POWER(Upgrades!$U$17,I131),1)*IF(Upgrades!$T$18="Local Bubble",POWER(Upgrades!$U$18,J131),1)*IF(Upgrades!$T$19="Local Bubble",POWER(Upgrades!$U$19,K131),1)*IF(Upgrades!$T$20="Local Bubble",POWER(Upgrades!$U$20,L131),1)*IF(Upgrades!$T$21="Local Bubble",POWER(Upgrades!$U$21,M131),1))+(IF(G131=0,0,(Upgrades!$J$15+G131*Upgrades!$K$15)*POWER(Upgrades!$L$15,G131)))*(IF(Upgrades!$T$13="Microlensing",POWER(Upgrades!$U$13,E131),1)*IF(Upgrades!$T$14="Microlensing",POWER(Upgrades!$U$14,F131),1)*IF(Upgrades!$T$16="Microlensing",POWER(Upgrades!$U$16,H131),1)*IF(Upgrades!$T$17="Microlensing",POWER(Upgrades!$U$17,I131),1)*IF(Upgrades!$T$18="Microlensing",POWER(Upgrades!$U$18,J131),1)*IF(Upgrades!$T$19="Microlensing",POWER(Upgrades!$U$19,K131),1)*IF(Upgrades!$T$20="Microlensing",POWER(Upgrades!$U$20,L131),1)*IF(Upgrades!$T$21="Microlensing",POWER(Upgrades!$U$21,M131),1))+(IF(H131=0,0,(Upgrades!$J$16+H131*Upgrades!$K$16)*POWER(Upgrades!$L$16,H131)))*(IF(Upgrades!$T$13="Roche Lobe Overflow",POWER(Upgrades!$U$13,E131),1)*IF(Upgrades!$T$14="Roche Lobe Overflow",POWER(Upgrades!$U$14,F131),1)*IF(Upgrades!$T$15="Roche Lobe Overflow",POWER(Upgrades!$U$15,G131),1)*IF(Upgrades!$T$17="Roche Lobe Overflow",POWER(Upgrades!$U$17,I131),1)*IF(Upgrades!$T$18="Roche Lobe Overflow",POWER(Upgrades!$U$18,J131),1)*IF(Upgrades!$T$19="Roche Lobe Overflow",POWER(Upgrades!$U$19,K131),1)*IF(Upgrades!$T$20="Roche Lobe Overflow",POWER(Upgrades!$U$20,L131),1)*IF(Upgrades!$T$21="Roche Lobe Overflow",POWER(Upgrades!$U$21,M131),1))+(IF(I131=0,0,(Upgrades!$J$17+I131*Upgrades!$K$17)*POWER(Upgrades!$L$17,I131)))*(IF(Upgrades!$T$13="Brown Dwarf",POWER(Upgrades!$U$13,E131),1)*IF(Upgrades!$T$14="Brown Dwarf",POWER(Upgrades!$U$14,F131),1)*IF(Upgrades!$T$15="Brown Dwarf",POWER(Upgrades!$U$15,G131),1)*IF(Upgrades!$T$16="Brown Dwarf",POWER(Upgrades!$U$16,H131),1)*IF(Upgrades!$T$18="Brown Dwarf",POWER(Upgrades!$U$18,J131),1)*IF(Upgrades!$T$19="Brown Dwarf",POWER(Upgrades!$U$19,K131),1)*IF(Upgrades!$T$20="Brown Dwarf",POWER(Upgrades!$U$20,L131),1)*IF(Upgrades!$T$21="Brown Dwarf",POWER(Upgrades!$U$21,M131),1))+(IF(J131=0,0,(Upgrades!$J$18+J131*Upgrades!$K$18)*POWER(Upgrades!$L$18,J131)))*(IF(Upgrades!$T$13="Binary Partner",POWER(Upgrades!$U$13,E131),1)*IF(Upgrades!$T$14="Binary Partner",POWER(Upgrades!$U$14,F131),1)*IF(Upgrades!$T$15="Binary Partner",POWER(Upgrades!$U$15,G131),1)*IF(Upgrades!$T$16="Binary Partner",POWER(Upgrades!$U$16,H131),1)*IF(Upgrades!$T$17="Binary Partner",POWER(Upgrades!$U$17,I131),1)*IF(Upgrades!$T$19="Binary Partner",POWER(Upgrades!$U$19,K131),1)*IF(Upgrades!$T$20="Binary Partner",POWER(Upgrades!$U$20,L131),1)*IF(Upgrades!$T$21="Binary Partner",POWER(Upgrades!$U$21,M131),1))+(IF(K131=0,0,(Upgrades!$J$19+K131*Upgrades!$K$19)*POWER(Upgrades!$L$19,K131)))*(IF(Upgrades!$T$13="Peculiar Velocity",POWER(Upgrades!$U$13,E131),1)*IF(Upgrades!$T$14="Peculiar Velocity",POWER(Upgrades!$U$14,F131),1)*IF(Upgrades!$T$15="Peculiar Velocity",POWER(Upgrades!$U$15,G131),1)*IF(Upgrades!$T$16="Peculiar Velocity",POWER(Upgrades!$U$16,H131),1)*IF(Upgrades!$T$17="Peculiar Velocity",POWER(Upgrades!$U$17,I131),1)*IF(Upgrades!$T$18="Peculiar Velocity",POWER(Upgrades!$U$18,J131),1)*IF(Upgrades!$T$20="Peculiar Velocity",POWER(Upgrades!$U$20,L131),1)*IF(Upgrades!$T$21="Peculiar Velocity",POWER(Upgrades!$U$21,M131),1))+(IF(L131=0,0,(Upgrades!$J$20+L131*Upgrades!$K$20)*POWER(Upgrades!$L$20,L131)))*(IF(Upgrades!$T$13="Open Cluster",POWER(Upgrades!$U$13,E131),1)*IF(Upgrades!$T$14="Open Cluster",POWER(Upgrades!$U$14,F131),1)*IF(Upgrades!$T$15="Open Cluster",POWER(Upgrades!$U$15,G131),1)*IF(Upgrades!$T$16="Open Cluster",POWER(Upgrades!$U$16,H131),1)*IF(Upgrades!$T$17="Open Cluster",POWER(Upgrades!$U$17,I131),1)*IF(Upgrades!$T$18="Open Cluster",POWER(Upgrades!$U$18,J131),1)*IF(Upgrades!$T$19="Open Cluster",POWER(Upgrades!$U$19,K131),1)*IF(Upgrades!$T$21="Open Cluster",POWER(Upgrades!$U$21,M131),1))+(IF(M131=0,0,(Upgrades!$J$21+M131*Upgrades!$K$21)*POWER(Upgrades!$L$21,M131)))*(IF(Upgrades!$T$13="Moving Group",POWER(Upgrades!$U$13,E131),1)*IF(Upgrades!$T$14="Moving Group",POWER(Upgrades!$U$14,F131),1)*IF(Upgrades!$T$15="Moving Group",POWER(Upgrades!$U$15,G131),1)*IF(Upgrades!$T$16="Moving Group",POWER(Upgrades!$U$16,H131),1)*IF(Upgrades!$T$17="Moving Group",POWER(Upgrades!$U$17,I131),1)*IF(Upgrades!$T$18="Moving Group",POWER(Upgrades!$U$18,J131),1)*IF(Upgrades!$T$19="Moving Group",POWER(Upgrades!$U$19,K131),1)*IF(Upgrades!$T$20="Moving Group",POWER(Upgrades!$U$20,L131),1)))*POWER(Upgrades!$Q$13,E131)*POWER(Upgrades!$Q$14,F131)*POWER(Upgrades!$Q$15,G131)*POWER(Upgrades!$Q$16,H131)*POWER(Upgrades!$Q$17,I131)*POWER(Upgrades!$Q$18,J131)*POWER(Upgrades!$Q$19,K131)*POWER(Upgrades!$Q$20,L131)*POWER(Upgrades!$Q$21,M131)*$G$6+$D$6</f>
        <v/>
      </c>
      <c r="P131" s="28">
        <f>((IF(E131=0,0,(Upgrades!$G$13+E131*Upgrades!$H$13)*POWER(Upgrades!$I$13,E131)))*(IF(Upgrades!$T$14="Stellar Kinematics",POWER(Upgrades!$U$14,F131),1)*IF(Upgrades!$T$15="Stellar Kinematics",POWER(Upgrades!$U$15,G131),1)*IF(Upgrades!$T$16="Stellar Kinematics",POWER(Upgrades!$U$16,H131),1)*IF(Upgrades!$T$17="Stellar Kinematics",POWER(Upgrades!$U$17,I131),1)*IF(Upgrades!$T$18="Stellar Kinematics",POWER(Upgrades!$U$18,J131),1)*IF(Upgrades!$T$19="Stellar Kinematics",POWER(Upgrades!$U$19,K131),1)*IF(Upgrades!$T$20="Stellar Kinematics",POWER(Upgrades!$U$20,L131),1)*IF(Upgrades!$T$21="Stellar Kinematics",POWER(Upgrades!$U$21,M131),1))+(IF(F131=0,0,(Upgrades!$G$14+F131*Upgrades!$H$14)*POWER(Upgrades!$I$14,F131)))*(IF(Upgrades!$T$13="Local Bubble",POWER(Upgrades!$U$13,E131),1)*IF(Upgrades!$T$15="Local Bubble",POWER(Upgrades!$U$15,G131),1)*IF(Upgrades!$T$16="Local Bubble",POWER(Upgrades!$U$16,H131),1)*IF(Upgrades!$T$17="Local Bubble",POWER(Upgrades!$U$17,I131),1)*IF(Upgrades!$T$18="Local Bubble",POWER(Upgrades!$U$18,J131),1)*IF(Upgrades!$T$19="Local Bubble",POWER(Upgrades!$U$19,K131),1)*IF(Upgrades!$T$20="Local Bubble",POWER(Upgrades!$U$20,L131),1)*IF(Upgrades!$T$21="Local Bubble",POWER(Upgrades!$U$21,M131),1))+(IF(G131=0,0,(Upgrades!$G$15+G131*Upgrades!$H$15)*POWER(Upgrades!$I$15,G131)))*(IF(Upgrades!$T$13="Microlensing",POWER(Upgrades!$U$13,E131),1)*IF(Upgrades!$T$14="Microlensing",POWER(Upgrades!$U$14,F131),1)*IF(Upgrades!$T$16="Microlensing",POWER(Upgrades!$U$16,H131),1)*IF(Upgrades!$T$17="Microlensing",POWER(Upgrades!$U$17,I131),1)*IF(Upgrades!$T$18="Microlensing",POWER(Upgrades!$U$18,J131),1)*IF(Upgrades!$T$19="Microlensing",POWER(Upgrades!$U$19,K131),1)*IF(Upgrades!$T$20="Microlensing",POWER(Upgrades!$U$20,L131),1)*IF(Upgrades!$T$21="Microlensing",POWER(Upgrades!$U$21,M131),1))+(IF(H131=0,0,(Upgrades!$G$16+H131*Upgrades!$H$16)*POWER(Upgrades!$I$16,H131)))*(IF(Upgrades!$T$13="Roche Lobe Overflow",POWER(Upgrades!$U$13,E131),1)*IF(Upgrades!$T$14="Roche Lobe Overflow",POWER(Upgrades!$U$14,F131),1)*IF(Upgrades!$T$15="Roche Lobe Overflow",POWER(Upgrades!$U$15,G131),1)*IF(Upgrades!$T$17="Roche Lobe Overflow",POWER(Upgrades!$U$17,I131),1)*IF(Upgrades!$T$18="Roche Lobe Overflow",POWER(Upgrades!$U$18,J131),1)*IF(Upgrades!$T$19="Roche Lobe Overflow",POWER(Upgrades!$U$19,K131),1)*IF(Upgrades!$T$20="Roche Lobe Overflow",POWER(Upgrades!$U$20,L131),1)*IF(Upgrades!$T$21="Roche Lobe Overflow",POWER(Upgrades!$U$21,M131),1))+(IF(I131=0,0,(Upgrades!$G$17+I131*Upgrades!$H$17)*POWER(Upgrades!$I$17,I131)))*(IF(Upgrades!$T$13="Brown Dwarf",POWER(Upgrades!$U$13,E131),1)*IF(Upgrades!$T$14="Brown Dwarf",POWER(Upgrades!$U$14,F131),1)*IF(Upgrades!$T$15="Brown Dwarf",POWER(Upgrades!$U$15,G131),1)*IF(Upgrades!$T$16="Brown Dwarf",POWER(Upgrades!$U$16,H131),1)*IF(Upgrades!$T$18="Brown Dwarf",POWER(Upgrades!$U$18,J131),1)*IF(Upgrades!$T$19="Brown Dwarf",POWER(Upgrades!$U$19,K131),1)*IF(Upgrades!$T$20="Brown Dwarf",POWER(Upgrades!$U$20,L131),1)*IF(Upgrades!$T$21="Brown Dwarf",POWER(Upgrades!$U$21,M131),1))+(IF(J131=0,0,(Upgrades!$G$18+J131*Upgrades!$H$18)*POWER(Upgrades!$I$18,J131)))*(IF(Upgrades!$T$13="Binary Partner",POWER(Upgrades!$U$13,E131),1)*IF(Upgrades!$T$14="Binary Partner",POWER(Upgrades!$U$14,F131),1)*IF(Upgrades!$T$15="Binary Partner",POWER(Upgrades!$U$15,G131),1)*IF(Upgrades!$T$16="Binary Partner",POWER(Upgrades!$U$16,H131),1)*IF(Upgrades!$T$17="Binary Partner",POWER(Upgrades!$U$17,I131),1)*IF(Upgrades!$T$19="Binary Partner",POWER(Upgrades!$U$19,K131),1)*IF(Upgrades!$T$20="Binary Partner",POWER(Upgrades!$U$20,L131),1)*IF(Upgrades!$T$21="Binary Partner",POWER(Upgrades!$U$21,M131),1))+(IF(K131=0,0,(Upgrades!$G$19+K131*Upgrades!$H$19)*POWER(Upgrades!$I$19,K131)))*(IF(Upgrades!$T$13="Peculiar Velocity",POWER(Upgrades!$U$13,E131),1)*IF(Upgrades!$T$14="Peculiar Velocity",POWER(Upgrades!$U$14,F131),1)*IF(Upgrades!$T$15="Peculiar Velocity",POWER(Upgrades!$U$15,G131),1)*IF(Upgrades!$T$16="Peculiar Velocity",POWER(Upgrades!$U$16,H131),1)*IF(Upgrades!$T$17="Peculiar Velocity",POWER(Upgrades!$U$17,I131),1)*IF(Upgrades!$T$18="Peculiar Velocity",POWER(Upgrades!$U$18,J131),1)*IF(Upgrades!$T$20="Peculiar Velocity",POWER(Upgrades!$U$20,L131),1)*IF(Upgrades!$T$21="Peculiar Velocity",POWER(Upgrades!$U$21,M131),1))+(IF(L131=0,0,(Upgrades!$G$20+L131*Upgrades!$H$20)*POWER(Upgrades!$I$20,L131)))*(IF(Upgrades!$T$13="Open Cluster",POWER(Upgrades!$U$13,E131),1)*IF(Upgrades!$T$14="Open Cluster",POWER(Upgrades!$U$14,F131),1)*IF(Upgrades!$T$15="Open Cluster",POWER(Upgrades!$U$15,G131),1)*IF(Upgrades!$T$16="Open Cluster",POWER(Upgrades!$U$16,H131),1)*IF(Upgrades!$T$17="Open Cluster",POWER(Upgrades!$U$17,I131),1)*IF(Upgrades!$T$18="Open Cluster",POWER(Upgrades!$U$18,J131),1)*IF(Upgrades!$T$19="Open Cluster",POWER(Upgrades!$U$19,K131),1)*IF(Upgrades!$T$21="Open Cluster",POWER(Upgrades!$U$21,M131),1))+(IF(M131=0,0,(Upgrades!$G$21+M131*Upgrades!$H$21)*POWER(Upgrades!$I$21,M131)))*(IF(Upgrades!$T$13="Moving Group",POWER(Upgrades!$U$13,E131),1)*IF(Upgrades!$T$14="Moving Group",POWER(Upgrades!$U$14,F131),1)*IF(Upgrades!$T$15="Moving Group",POWER(Upgrades!$U$15,G131),1)*IF(Upgrades!$T$16="Moving Group",POWER(Upgrades!$U$16,H131),1)*IF(Upgrades!$T$17="Moving Group",POWER(Upgrades!$U$17,I131),1)*IF(Upgrades!$T$18="Moving Group",POWER(Upgrades!$U$18,J131),1)*IF(Upgrades!$T$19="Moving Group",POWER(Upgrades!$U$19,K131),1)*IF(Upgrades!$T$20="Moving Group",POWER(Upgrades!$U$20,L131),1)))*POWER(Upgrades!$P$13,E131)*POWER(Upgrades!$P$14,F131)*POWER(Upgrades!$P$15,G131)*POWER(Upgrades!$P$16,H131)*POWER(Upgrades!$P$17,I131)*POWER(Upgrades!$P$18,J131)*POWER(Upgrades!$P$19,K131)*POWER(Upgrades!$P$20,L131)*POWER(Upgrades!$P$21,M131)*$F$6+$C$6</f>
        <v/>
      </c>
      <c r="Q131" s="28">
        <f>((IF(E131=0,0,(Upgrades!$M$13+E131*Upgrades!$N$13)*POWER(Upgrades!$O$13,E131)))*(IF(Upgrades!$T$14="Stellar Kinematics",POWER(Upgrades!$U$14,F131),1)*IF(Upgrades!$T$15="Stellar Kinematics",POWER(Upgrades!$U$15,G131),1)*IF(Upgrades!$T$16="Stellar Kinematics",POWER(Upgrades!$U$16,H131),1)*IF(Upgrades!$T$17="Stellar Kinematics",POWER(Upgrades!$U$17,I131),1)*IF(Upgrades!$T$18="Stellar Kinematics",POWER(Upgrades!$U$18,J131),1)*IF(Upgrades!$T$19="Stellar Kinematics",POWER(Upgrades!$U$19,K131),1)*IF(Upgrades!$T$20="Stellar Kinematics",POWER(Upgrades!$U$20,L131),1)*IF(Upgrades!$T$21="Stellar Kinematics",POWER(Upgrades!$U$21,M131),1))+(IF(F131=0,0,(Upgrades!$M$14+F131*Upgrades!$N$14)*POWER(Upgrades!$O$14,F131)))*(IF(Upgrades!$T$13="Local Bubble",POWER(Upgrades!$U$13,E131),1)*IF(Upgrades!$T$15="Local Bubble",POWER(Upgrades!$U$15,G131),1)*IF(Upgrades!$T$16="Local Bubble",POWER(Upgrades!$U$16,H131),1)*IF(Upgrades!$T$17="Local Bubble",POWER(Upgrades!$U$17,I131),1)*IF(Upgrades!$T$18="Local Bubble",POWER(Upgrades!$U$18,J131),1)*IF(Upgrades!$T$19="Local Bubble",POWER(Upgrades!$U$19,K131),1)*IF(Upgrades!$T$20="Local Bubble",POWER(Upgrades!$U$20,L131),1)*IF(Upgrades!$T$21="Local Bubble",POWER(Upgrades!$U$21,M131),1))+(IF(G131=0,0,(Upgrades!$M$15+G131*Upgrades!$N$15)*POWER(Upgrades!$O$15,G131)))*(IF(Upgrades!$T$13="Microlensing",POWER(Upgrades!$U$13,E131),1)*IF(Upgrades!$T$14="Microlensing",POWER(Upgrades!$U$14,F131),1)*IF(Upgrades!$T$16="Microlensing",POWER(Upgrades!$U$16,H131),1)*IF(Upgrades!$T$17="Microlensing",POWER(Upgrades!$U$17,I131),1)*IF(Upgrades!$T$18="Microlensing",POWER(Upgrades!$U$18,J131),1)*IF(Upgrades!$T$19="Microlensing",POWER(Upgrades!$U$19,K131),1)*IF(Upgrades!$T$20="Microlensing",POWER(Upgrades!$U$20,L131),1)*IF(Upgrades!$T$21="Microlensing",POWER(Upgrades!$U$21,M131),1))+(IF(H131=0,0,(Upgrades!$M$16+H131*Upgrades!$N$16)*POWER(Upgrades!$O$16,H131)))*(IF(Upgrades!$T$13="Roche Lobe Overflow",POWER(Upgrades!$U$13,E131),1)*IF(Upgrades!$T$14="Roche Lobe Overflow",POWER(Upgrades!$U$14,F131),1)*IF(Upgrades!$T$15="Roche Lobe Overflow",POWER(Upgrades!$U$15,G131),1)*IF(Upgrades!$T$17="Roche Lobe Overflow",POWER(Upgrades!$U$17,I131),1)*IF(Upgrades!$T$18="Roche Lobe Overflow",POWER(Upgrades!$U$18,J131),1)*IF(Upgrades!$T$19="Roche Lobe Overflow",POWER(Upgrades!$U$19,K131),1)*IF(Upgrades!$T$20="Roche Lobe Overflow",POWER(Upgrades!$U$20,L131),1)*IF(Upgrades!$T$21="Roche Lobe Overflow",POWER(Upgrades!$U$21,M131),1))+(IF(I131=0,0,(Upgrades!$M$17+I131*Upgrades!$N$17)*POWER(Upgrades!$O$17,I131)))*(IF(Upgrades!$T$13="Brown Dwarf",POWER(Upgrades!$U$13,E131),1)*IF(Upgrades!$T$14="Brown Dwarf",POWER(Upgrades!$U$14,F131),1)*IF(Upgrades!$T$15="Brown Dwarf",POWER(Upgrades!$U$15,G131),1)*IF(Upgrades!$T$16="Brown Dwarf",POWER(Upgrades!$U$16,H131),1)*IF(Upgrades!$T$18="Brown Dwarf",POWER(Upgrades!$U$18,J131),1)*IF(Upgrades!$T$19="Brown Dwarf",POWER(Upgrades!$U$19,K131),1)*IF(Upgrades!$T$20="Brown Dwarf",POWER(Upgrades!$U$20,L131),1)*IF(Upgrades!$T$21="Brown Dwarf",POWER(Upgrades!$U$21,M131),1))+(IF(J131=0,0,(Upgrades!$M$18+J131*Upgrades!$N$18)*POWER(Upgrades!$O$18,J131)))*(IF(Upgrades!$T$13="Binary Partner",POWER(Upgrades!$U$13,E131),1)*IF(Upgrades!$T$14="Binary Partner",POWER(Upgrades!$U$14,F131),1)*IF(Upgrades!$T$15="Binary Partner",POWER(Upgrades!$U$15,G131),1)*IF(Upgrades!$T$16="Binary Partner",POWER(Upgrades!$U$16,H131),1)*IF(Upgrades!$T$17="Binary Partner",POWER(Upgrades!$U$17,I131),1)*IF(Upgrades!$T$19="Binary Partner",POWER(Upgrades!$U$19,K131),1)*IF(Upgrades!$T$20="Binary Partner",POWER(Upgrades!$U$20,L131),1)*IF(Upgrades!$T$21="Binary Partner",POWER(Upgrades!$U$21,M131),1))+(IF(K131=0,0,(Upgrades!$M$19+K131*Upgrades!$N$19)*POWER(Upgrades!$O$19,K131)))*(IF(Upgrades!$T$13="Peculiar Velocity",POWER(Upgrades!$U$13,E131),1)*IF(Upgrades!$T$14="Peculiar Velocity",POWER(Upgrades!$U$14,F131),1)*IF(Upgrades!$T$15="Peculiar Velocity",POWER(Upgrades!$U$15,G131),1)*IF(Upgrades!$T$16="Peculiar Velocity",POWER(Upgrades!$U$16,H131),1)*IF(Upgrades!$T$17="Peculiar Velocity",POWER(Upgrades!$U$17,I131),1)*IF(Upgrades!$T$18="Peculiar Velocity",POWER(Upgrades!$U$18,J131),1)*IF(Upgrades!$T$20="Peculiar Velocity",POWER(Upgrades!$U$20,L131),1)*IF(Upgrades!$T$21="Peculiar Velocity",POWER(Upgrades!$U$21,M131),1))+(IF(L131=0,0,(Upgrades!$M$20+L131*Upgrades!$N$20)*POWER(Upgrades!$O$20,L131)))*(IF(Upgrades!$T$13="Open Cluster",POWER(Upgrades!$U$13,E131),1)*IF(Upgrades!$T$14="Open Cluster",POWER(Upgrades!$U$14,F131),1)*IF(Upgrades!$T$15="Open Cluster",POWER(Upgrades!$U$15,G131),1)*IF(Upgrades!$T$16="Open Cluster",POWER(Upgrades!$U$16,H131),1)*IF(Upgrades!$T$17="Open Cluster",POWER(Upgrades!$U$17,I131),1)*IF(Upgrades!$T$18="Open Cluster",POWER(Upgrades!$U$18,J131),1)*IF(Upgrades!$T$19="Open Cluster",POWER(Upgrades!$U$19,K131),1)*IF(Upgrades!$T$21="Open Cluster",POWER(Upgrades!$U$21,M131),1))+(IF(M131=0,0,(Upgrades!$M$21+M131*Upgrades!$N$21)*POWER(Upgrades!$O$21,M131)))*(IF(Upgrades!$T$13="Moving Group",POWER(Upgrades!$U$13,E131),1)*IF(Upgrades!$T$14="Moving Group",POWER(Upgrades!$U$14,F131),1)*IF(Upgrades!$T$15="Moving Group",POWER(Upgrades!$U$15,G131),1)*IF(Upgrades!$T$16="Moving Group",POWER(Upgrades!$U$16,H131),1)*IF(Upgrades!$T$17="Moving Group",POWER(Upgrades!$U$17,I131),1)*IF(Upgrades!$T$18="Moving Group",POWER(Upgrades!$U$18,J131),1)*IF(Upgrades!$T$19="Moving Group",POWER(Upgrades!$U$19,K131),1)*IF(Upgrades!$T$20="Moving Group",POWER(Upgrades!$U$20,L131),1)))*POWER(Upgrades!$R$13,E131)*POWER(Upgrades!$R$14,F131)*POWER(Upgrades!$R$15,G131)*POWER(Upgrades!$R$16,H131)*POWER(Upgrades!$R$17,I131)*POWER(Upgrades!$R$18,J131)*POWER(Upgrades!$R$19,K131)*POWER(Upgrades!$R$20,L131)*POWER(Upgrades!$R$21,M131)*$H$6+$E$6</f>
        <v/>
      </c>
      <c r="R131" s="27">
        <f>IF(N131=1,0,O131*Parameters!$B$10/60*Parameters!$B$11*10)</f>
        <v/>
      </c>
      <c r="S131" s="27">
        <f>IF(N131=1,0,Q131*O131*10)</f>
        <v/>
      </c>
      <c r="T131" s="27">
        <f>IF(N131=1,0,R131+S131+P131*10)</f>
        <v/>
      </c>
      <c r="U131" s="33">
        <f>BE131</f>
        <v/>
      </c>
      <c r="V131" s="22">
        <f>IF(U131="",0,IF(U131="transition",0,IF(U131="SK",AK131,IF(U131="LB",AL131,IF(U131="ML",AM131,IF(U131="RLO",AN131,IF(U131="BD",AO131,IF(U131="BiP",AP131,IF(U131="PV",AQ131,IF(U131="OC",AR131,IF(U131="MG",AS131,0))))))))))</f>
        <v/>
      </c>
      <c r="W131" s="27">
        <f>IF(U131="BiP",Upgrades!$F$18,IF(U131="PV",Upgrades!$F$19,IF(U131="OC",Upgrades!$F$20,IF(U131="MG",Upgrades!$F$21,IF(U131="transition",-Parameters!$B$18*Parameters!$B$19,0)))))</f>
        <v/>
      </c>
      <c r="X131" s="22">
        <f>C131+T131-V131</f>
        <v/>
      </c>
      <c r="Y131" s="30">
        <f>O131*Parameters!$B$10/60*Parameters!$B$11+Q131*O131+P131</f>
        <v/>
      </c>
      <c r="Z131" s="34">
        <f>IF(U131="transition","→ Tier 3 (Galactic Arm)",IF(U131="MG","Moving Group — pocket drifts together",IF(U131="OC","Open Cluster acquired",IF(U131="PV","Peculiar Velocity — passive multiplier active",IF(U131="BiP","Binary Partner — pair bond formed",IF(AND(AU131=1,N131=0,AT131&lt;&gt;1),"Cohesion ready (waiting on completionists)","")))))) </f>
        <v/>
      </c>
      <c r="AA131" s="27">
        <f>(IF(E131=0,0,(Upgrades!$G$13+E131*Upgrades!$H$13)*POWER(Upgrades!$I$13,E131)))*(IF(Upgrades!$T$14="Stellar Kinematics",POWER(Upgrades!$U$14,F131),1)*IF(Upgrades!$T$15="Stellar Kinematics",POWER(Upgrades!$U$15,G131),1)*IF(Upgrades!$T$16="Stellar Kinematics",POWER(Upgrades!$U$16,H131),1)*IF(Upgrades!$T$17="Stellar Kinematics",POWER(Upgrades!$U$17,I131),1)*IF(Upgrades!$T$18="Stellar Kinematics",POWER(Upgrades!$U$18,J131),1)*IF(Upgrades!$T$19="Stellar Kinematics",POWER(Upgrades!$U$19,K131),1)*IF(Upgrades!$T$20="Stellar Kinematics",POWER(Upgrades!$U$20,L131),1)*IF(Upgrades!$T$21="Stellar Kinematics",POWER(Upgrades!$U$21,M131),1))*POWER(Upgrades!$P$13,E131)*POWER(Upgrades!$P$14,F131)*POWER(Upgrades!$P$15,G131)*POWER(Upgrades!$P$16,H131)*POWER(Upgrades!$P$17,I131)*POWER(Upgrades!$P$18,J131)*POWER(Upgrades!$P$19,K131)*POWER(Upgrades!$P$20,L131)*POWER(Upgrades!$P$21,M131)*$F$6*60</f>
        <v/>
      </c>
      <c r="AB131" s="27">
        <f>(IF(F131=0,0,(Upgrades!$G$14+F131*Upgrades!$H$14)*POWER(Upgrades!$I$14,F131)))*(IF(Upgrades!$T$13="Local Bubble",POWER(Upgrades!$U$13,E131),1)*IF(Upgrades!$T$15="Local Bubble",POWER(Upgrades!$U$15,G131),1)*IF(Upgrades!$T$16="Local Bubble",POWER(Upgrades!$U$16,H131),1)*IF(Upgrades!$T$17="Local Bubble",POWER(Upgrades!$U$17,I131),1)*IF(Upgrades!$T$18="Local Bubble",POWER(Upgrades!$U$18,J131),1)*IF(Upgrades!$T$19="Local Bubble",POWER(Upgrades!$U$19,K131),1)*IF(Upgrades!$T$20="Local Bubble",POWER(Upgrades!$U$20,L131),1)*IF(Upgrades!$T$21="Local Bubble",POWER(Upgrades!$U$21,M131),1))*POWER(Upgrades!$P$13,E131)*POWER(Upgrades!$P$14,F131)*POWER(Upgrades!$P$15,G131)*POWER(Upgrades!$P$16,H131)*POWER(Upgrades!$P$17,I131)*POWER(Upgrades!$P$18,J131)*POWER(Upgrades!$P$19,K131)*POWER(Upgrades!$P$20,L131)*POWER(Upgrades!$P$21,M131)*$F$6*60</f>
        <v/>
      </c>
      <c r="AC131" s="27">
        <f>(IF(G131=0,0,(Upgrades!$J$15+G131*Upgrades!$K$15)*POWER(Upgrades!$L$15,G131)))*(IF(Upgrades!$T$13="Microlensing",POWER(Upgrades!$U$13,E131),1)*IF(Upgrades!$T$14="Microlensing",POWER(Upgrades!$U$14,F131),1)*IF(Upgrades!$T$16="Microlensing",POWER(Upgrades!$U$16,H131),1)*IF(Upgrades!$T$17="Microlensing",POWER(Upgrades!$U$17,I131),1)*IF(Upgrades!$T$18="Microlensing",POWER(Upgrades!$U$18,J131),1)*IF(Upgrades!$T$19="Microlensing",POWER(Upgrades!$U$19,K131),1)*IF(Upgrades!$T$20="Microlensing",POWER(Upgrades!$U$20,L131),1)*IF(Upgrades!$T$21="Microlensing",POWER(Upgrades!$U$21,M131),1))*POWER(Upgrades!$Q$13,E131)*POWER(Upgrades!$Q$14,F131)*POWER(Upgrades!$Q$15,G131)*POWER(Upgrades!$Q$16,H131)*POWER(Upgrades!$Q$17,I131)*POWER(Upgrades!$Q$18,J131)*POWER(Upgrades!$Q$19,K131)*POWER(Upgrades!$Q$20,L131)*POWER(Upgrades!$Q$21,M131)*$G$6*(Parameters!$B$10*Parameters!$B$11+Q131*60)</f>
        <v/>
      </c>
      <c r="AD131" s="27">
        <f>(IF(H131=0,0,(Upgrades!$M$16+H131*Upgrades!$N$16)*POWER(Upgrades!$O$16,H131)))*(IF(Upgrades!$T$13="Roche Lobe Overflow",POWER(Upgrades!$U$13,E131),1)*IF(Upgrades!$T$14="Roche Lobe Overflow",POWER(Upgrades!$U$14,F131),1)*IF(Upgrades!$T$15="Roche Lobe Overflow",POWER(Upgrades!$U$15,G131),1)*IF(Upgrades!$T$17="Roche Lobe Overflow",POWER(Upgrades!$U$17,I131),1)*IF(Upgrades!$T$18="Roche Lobe Overflow",POWER(Upgrades!$U$18,J131),1)*IF(Upgrades!$T$19="Roche Lobe Overflow",POWER(Upgrades!$U$19,K131),1)*IF(Upgrades!$T$20="Roche Lobe Overflow",POWER(Upgrades!$U$20,L131),1)*IF(Upgrades!$T$21="Roche Lobe Overflow",POWER(Upgrades!$U$21,M131),1))*POWER(Upgrades!$R$13,E131)*POWER(Upgrades!$R$14,F131)*POWER(Upgrades!$R$15,G131)*POWER(Upgrades!$R$16,H131)*POWER(Upgrades!$R$17,I131)*POWER(Upgrades!$R$18,J131)*POWER(Upgrades!$R$19,K131)*POWER(Upgrades!$R$20,L131)*POWER(Upgrades!$R$21,M131)*$H$6*O131*60</f>
        <v/>
      </c>
      <c r="AE131" s="27">
        <f>(IF(I131=0,0,(Upgrades!$G$17+I131*Upgrades!$H$17)*POWER(Upgrades!$I$17,I131)))*(IF(Upgrades!$T$13="Brown Dwarf",POWER(Upgrades!$U$13,E131),1)*IF(Upgrades!$T$14="Brown Dwarf",POWER(Upgrades!$U$14,F131),1)*IF(Upgrades!$T$15="Brown Dwarf",POWER(Upgrades!$U$15,G131),1)*IF(Upgrades!$T$16="Brown Dwarf",POWER(Upgrades!$U$16,H131),1)*IF(Upgrades!$T$18="Brown Dwarf",POWER(Upgrades!$U$18,J131),1)*IF(Upgrades!$T$19="Brown Dwarf",POWER(Upgrades!$U$19,K131),1)*IF(Upgrades!$T$20="Brown Dwarf",POWER(Upgrades!$U$20,L131),1)*IF(Upgrades!$T$21="Brown Dwarf",POWER(Upgrades!$U$21,M131),1))*POWER(Upgrades!$P$13,E131)*POWER(Upgrades!$P$14,F131)*POWER(Upgrades!$P$15,G131)*POWER(Upgrades!$P$16,H131)*POWER(Upgrades!$P$17,I131)*POWER(Upgrades!$P$18,J131)*POWER(Upgrades!$P$19,K131)*POWER(Upgrades!$P$20,L131)*POWER(Upgrades!$P$21,M131)*$F$6*60</f>
        <v/>
      </c>
      <c r="AF131" s="27" t="n">
        <v>0</v>
      </c>
      <c r="AG131" s="27" t="n">
        <v>0</v>
      </c>
      <c r="AH131" s="27" t="n">
        <v>0</v>
      </c>
      <c r="AI131" s="27">
        <f>(IF(M131=0,0,(Upgrades!$G$21+M131*Upgrades!$H$21)*POWER(Upgrades!$I$21,M131)))*(IF(Upgrades!$T$13="Moving Group",POWER(Upgrades!$U$13,E131),1)*IF(Upgrades!$T$14="Moving Group",POWER(Upgrades!$U$14,F131),1)*IF(Upgrades!$T$15="Moving Group",POWER(Upgrades!$U$15,G131),1)*IF(Upgrades!$T$16="Moving Group",POWER(Upgrades!$U$16,H131),1)*IF(Upgrades!$T$17="Moving Group",POWER(Upgrades!$U$17,I131),1)*IF(Upgrades!$T$18="Moving Group",POWER(Upgrades!$U$18,J131),1)*IF(Upgrades!$T$19="Moving Group",POWER(Upgrades!$U$19,K131),1)*IF(Upgrades!$T$20="Moving Group",POWER(Upgrades!$U$20,L131),1))*POWER(Upgrades!$P$13,E131)*POWER(Upgrades!$P$14,F131)*POWER(Upgrades!$P$15,G131)*POWER(Upgrades!$P$16,H131)*POWER(Upgrades!$P$17,I131)*POWER(Upgrades!$P$18,J131)*POWER(Upgrades!$P$19,K131)*POWER(Upgrades!$P$20,L131)*POWER(Upgrades!$P$21,M131)*$F$6*60</f>
        <v/>
      </c>
      <c r="AJ131" s="27">
        <f>$C$6*60</f>
        <v/>
      </c>
      <c r="AK131" s="22">
        <f>IF(E131&gt;=Upgrades!$E$13,"",Upgrades!$C$13*POWER(Upgrades!$D$13,E131))</f>
        <v/>
      </c>
      <c r="AL131" s="22">
        <f>IF(F131&gt;=Upgrades!$E$14,"",Upgrades!$C$14*POWER(Upgrades!$D$14,F131))</f>
        <v/>
      </c>
      <c r="AM131" s="22">
        <f>IF(G131&gt;=Upgrades!$E$15,"",Upgrades!$C$15*POWER(Upgrades!$D$15,G131))</f>
        <v/>
      </c>
      <c r="AN131" s="22">
        <f>IF(H131&gt;=Upgrades!$E$16,"",Upgrades!$C$16*POWER(Upgrades!$D$16,H131))</f>
        <v/>
      </c>
      <c r="AO131" s="22">
        <f>IF(I131&gt;=Upgrades!$E$17,"",Upgrades!$C$17*POWER(Upgrades!$D$17,I131))</f>
        <v/>
      </c>
      <c r="AP131" s="22">
        <f>IF(J131&gt;=Upgrades!$E$18,"",Upgrades!$C$18*POWER(Upgrades!$D$18,J131))</f>
        <v/>
      </c>
      <c r="AQ131" s="22">
        <f>IF(K131&gt;=Upgrades!$E$19,"",Upgrades!$C$19*POWER(Upgrades!$D$19,K131))</f>
        <v/>
      </c>
      <c r="AR131" s="22">
        <f>IF(L131&gt;=Upgrades!$E$20,"",Upgrades!$C$20*POWER(Upgrades!$D$20,L131))</f>
        <v/>
      </c>
      <c r="AS131" s="22">
        <f>IF(M131&gt;=Upgrades!$E$21,"",Upgrades!$C$21*POWER(Upgrades!$D$21,M131))</f>
        <v/>
      </c>
      <c r="AT131" s="26">
        <f>IF(AND(D131&gt;=Parameters!$B$18*Parameters!$B$19,(I131&gt;=Upgrades!$E$17)*(M131&gt;=Upgrades!$E$21)=1,N131=0),1,"")</f>
        <v/>
      </c>
      <c r="AU131" s="26">
        <f>IF(AND(D131&gt;=Parameters!$B$18*Parameters!$B$19,N131=0),1,"")</f>
        <v/>
      </c>
      <c r="AV131" s="22">
        <f>MIN(IF(ISNUMBER(AP131),AP131,9E15),IF(ISNUMBER(AQ131),AQ131,9E15),IF(ISNUMBER(AR131),AR131,9E15),IF(ISNUMBER(AS131),AS131,9E15))</f>
        <v/>
      </c>
      <c r="AW131" s="22">
        <f>MIN(IF(ISNUMBER(AK131),AK131,9E15),IF(ISNUMBER(AL131),AL131,9E15),IF(ISNUMBER(AM131),AM131,9E15),IF(ISNUMBER(AN131),AN131,9E15),IF(ISNUMBER(AO131),AO131,9E15))</f>
        <v/>
      </c>
      <c r="AX131" s="29">
        <f>IF(BD131&gt;Parameters!$B$21*(MAX(IF(AND(NOT(AND(AU131=1,AT131&lt;&gt;1)),ISNUMBER(AK131),AK131&lt;=(C131+T131)),AY131,0),IF(AND(NOT(AND(AU131=1,AT131&lt;&gt;1)),ISNUMBER(AL131),AL131&lt;=(C131+T131)),AZ131,0),IF(AND(NOT(AND(AU131=1,AT131&lt;&gt;1)),ISNUMBER(AM131),AM131&lt;=(C131+T131)),BA131,0),IF(AND(NOT(AND(AU131=1,AT131&lt;&gt;1)),ISNUMBER(AN131),AN131&lt;=(C131+T131)),BB131,0),IF(AND(ISNUMBER(AO131),AO131&lt;=(C131+T131)),BC131,0))),TRUE,FALSE)</f>
        <v/>
      </c>
      <c r="AY131" s="32">
        <f>IFERROR(Upgrades!$H$13*(POWER(Upgrades!$P$13,E131)*POWER(Upgrades!$P$14,F131)*POWER(Upgrades!$P$15,G131)*POWER(Upgrades!$P$16,H131)*POWER(Upgrades!$P$17,I131)*POWER(Upgrades!$P$18,J131)*POWER(Upgrades!$P$19,K131)*POWER(Upgrades!$P$20,L131)*POWER(Upgrades!$P$21,M131))*(IF(Upgrades!$T$14="Stellar Kinematics",POWER(Upgrades!$U$14,F131),1)*IF(Upgrades!$T$15="Stellar Kinematics",POWER(Upgrades!$U$15,G131),1)*IF(Upgrades!$T$16="Stellar Kinematics",POWER(Upgrades!$U$16,H131),1)*IF(Upgrades!$T$17="Stellar Kinematics",POWER(Upgrades!$U$17,I131),1)*IF(Upgrades!$T$18="Stellar Kinematics",POWER(Upgrades!$U$18,J131),1)*IF(Upgrades!$T$19="Stellar Kinematics",POWER(Upgrades!$U$19,K131),1)*IF(Upgrades!$T$20="Stellar Kinematics",POWER(Upgrades!$U$20,L131),1)*IF(Upgrades!$T$21="Stellar Kinematics",POWER(Upgrades!$U$21,M131),1))*$F$6/AK131,0)</f>
        <v/>
      </c>
      <c r="AZ131" s="32">
        <f>IFERROR(Upgrades!$H$14*(POWER(Upgrades!$P$13,E131)*POWER(Upgrades!$P$14,F131)*POWER(Upgrades!$P$15,G131)*POWER(Upgrades!$P$16,H131)*POWER(Upgrades!$P$17,I131)*POWER(Upgrades!$P$18,J131)*POWER(Upgrades!$P$19,K131)*POWER(Upgrades!$P$20,L131)*POWER(Upgrades!$P$21,M131))*(IF(Upgrades!$T$13="Local Bubble",POWER(Upgrades!$U$13,E131),1)*IF(Upgrades!$T$15="Local Bubble",POWER(Upgrades!$U$15,G131),1)*IF(Upgrades!$T$16="Local Bubble",POWER(Upgrades!$U$16,H131),1)*IF(Upgrades!$T$17="Local Bubble",POWER(Upgrades!$U$17,I131),1)*IF(Upgrades!$T$18="Local Bubble",POWER(Upgrades!$U$18,J131),1)*IF(Upgrades!$T$19="Local Bubble",POWER(Upgrades!$U$19,K131),1)*IF(Upgrades!$T$20="Local Bubble",POWER(Upgrades!$U$20,L131),1)*IF(Upgrades!$T$21="Local Bubble",POWER(Upgrades!$U$21,M131),1))*$F$6/AL131,0)</f>
        <v/>
      </c>
      <c r="BA131" s="32">
        <f>IFERROR(Upgrades!$K$15*(POWER(Upgrades!$Q$13,E131)*POWER(Upgrades!$Q$14,F131)*POWER(Upgrades!$Q$15,G131)*POWER(Upgrades!$Q$16,H131)*POWER(Upgrades!$Q$17,I131)*POWER(Upgrades!$Q$18,J131)*POWER(Upgrades!$Q$19,K131)*POWER(Upgrades!$Q$20,L131)*POWER(Upgrades!$Q$21,M131))*(IF(Upgrades!$T$13="Microlensing",POWER(Upgrades!$U$13,E131),1)*IF(Upgrades!$T$14="Microlensing",POWER(Upgrades!$U$14,F131),1)*IF(Upgrades!$T$16="Microlensing",POWER(Upgrades!$U$16,H131),1)*IF(Upgrades!$T$17="Microlensing",POWER(Upgrades!$U$17,I131),1)*IF(Upgrades!$T$18="Microlensing",POWER(Upgrades!$U$18,J131),1)*IF(Upgrades!$T$19="Microlensing",POWER(Upgrades!$U$19,K131),1)*IF(Upgrades!$T$20="Microlensing",POWER(Upgrades!$U$20,L131),1)*IF(Upgrades!$T$21="Microlensing",POWER(Upgrades!$U$21,M131),1))*$G$6*(Parameters!$B$10/60*Parameters!$B$11+Q131)/AM131,0)</f>
        <v/>
      </c>
      <c r="BB131" s="32">
        <f>IFERROR((Upgrades!$N$16*(POWER(Upgrades!$R$13,E131)*POWER(Upgrades!$R$14,F131)*POWER(Upgrades!$R$15,G131)*POWER(Upgrades!$R$16,H131)*POWER(Upgrades!$R$17,I131)*POWER(Upgrades!$R$18,J131)*POWER(Upgrades!$R$19,K131)*POWER(Upgrades!$R$20,L131)*POWER(Upgrades!$R$21,M131))*(IF(Upgrades!$T$13="Roche Lobe Overflow",POWER(Upgrades!$U$13,E131),1)*IF(Upgrades!$T$14="Roche Lobe Overflow",POWER(Upgrades!$U$14,F131),1)*IF(Upgrades!$T$15="Roche Lobe Overflow",POWER(Upgrades!$U$15,G131),1)*IF(Upgrades!$T$17="Roche Lobe Overflow",POWER(Upgrades!$U$17,I131),1)*IF(Upgrades!$T$18="Roche Lobe Overflow",POWER(Upgrades!$U$18,J131),1)*IF(Upgrades!$T$19="Roche Lobe Overflow",POWER(Upgrades!$U$19,K131),1)*IF(Upgrades!$T$20="Roche Lobe Overflow",POWER(Upgrades!$U$20,L131),1)*IF(Upgrades!$T$21="Roche Lobe Overflow",POWER(Upgrades!$U$21,M131),1))*$H$6*O131+((IF(F131=0,0,(Upgrades!$G$14+F131*Upgrades!$H$14)*POWER(Upgrades!$I$14,F131)))*(IF(Upgrades!$T$13="Local Bubble",POWER(Upgrades!$U$13,E131),1)*IF(Upgrades!$T$15="Local Bubble",POWER(Upgrades!$U$15,G131),1)*IF(Upgrades!$T$16="Local Bubble",POWER(Upgrades!$U$16,H131),1)*IF(Upgrades!$T$17="Local Bubble",POWER(Upgrades!$U$17,I131),1)*IF(Upgrades!$T$18="Local Bubble",POWER(Upgrades!$U$18,J131),1)*IF(Upgrades!$T$19="Local Bubble",POWER(Upgrades!$U$19,K131),1)*IF(Upgrades!$T$20="Local Bubble",POWER(Upgrades!$U$20,L131),1)*IF(Upgrades!$T$21="Local Bubble",POWER(Upgrades!$U$21,M131),1))*POWER(Upgrades!$P$13,E131)*POWER(Upgrades!$P$14,F131)*POWER(Upgrades!$P$15,G131)*POWER(Upgrades!$P$16,H131)*POWER(Upgrades!$P$17,I131)*POWER(Upgrades!$P$18,J131)*POWER(Upgrades!$P$19,K131)*POWER(Upgrades!$P$20,L131)*POWER(Upgrades!$P$21,M131)*$F$6)*0.05)/AN131,0)</f>
        <v/>
      </c>
      <c r="BC131" s="32">
        <f>IFERROR((Upgrades!$H$17*(POWER(Upgrades!$P$13,E131)*POWER(Upgrades!$P$14,F131)*POWER(Upgrades!$P$15,G131)*POWER(Upgrades!$P$16,H131)*POWER(Upgrades!$P$17,I131)*POWER(Upgrades!$P$18,J131)*POWER(Upgrades!$P$19,K131)*POWER(Upgrades!$P$20,L131)*POWER(Upgrades!$P$21,M131))*(IF(Upgrades!$T$13="Brown Dwarf",POWER(Upgrades!$U$13,E131),1)*IF(Upgrades!$T$14="Brown Dwarf",POWER(Upgrades!$U$14,F131),1)*IF(Upgrades!$T$15="Brown Dwarf",POWER(Upgrades!$U$15,G131),1)*IF(Upgrades!$T$16="Brown Dwarf",POWER(Upgrades!$U$16,H131),1)*IF(Upgrades!$T$18="Brown Dwarf",POWER(Upgrades!$U$18,J131),1)*IF(Upgrades!$T$19="Brown Dwarf",POWER(Upgrades!$U$19,K131),1)*IF(Upgrades!$T$20="Brown Dwarf",POWER(Upgrades!$U$20,L131),1)*IF(Upgrades!$T$21="Brown Dwarf",POWER(Upgrades!$U$21,M131),1))*$F$6+(((IF(H131=0,0,(Upgrades!$M$16+H131*Upgrades!$N$16)*POWER(Upgrades!$O$16,H131)))*(IF(Upgrades!$T$13="Roche Lobe Overflow",POWER(Upgrades!$U$13,E131),1)*IF(Upgrades!$T$14="Roche Lobe Overflow",POWER(Upgrades!$U$14,F131),1)*IF(Upgrades!$T$15="Roche Lobe Overflow",POWER(Upgrades!$U$15,G131),1)*IF(Upgrades!$T$17="Roche Lobe Overflow",POWER(Upgrades!$U$17,I131),1)*IF(Upgrades!$T$18="Roche Lobe Overflow",POWER(Upgrades!$U$18,J131),1)*IF(Upgrades!$T$19="Roche Lobe Overflow",POWER(Upgrades!$U$19,K131),1)*IF(Upgrades!$T$20="Roche Lobe Overflow",POWER(Upgrades!$U$20,L131),1)*IF(Upgrades!$T$21="Roche Lobe Overflow",POWER(Upgrades!$U$21,M131),1))*POWER(Upgrades!$R$13,E131)*POWER(Upgrades!$R$14,F131)*POWER(Upgrades!$R$15,G131)*POWER(Upgrades!$R$16,H131)*POWER(Upgrades!$R$17,I131)*POWER(Upgrades!$R$18,J131)*POWER(Upgrades!$R$19,K131)*POWER(Upgrades!$R$20,L131)*POWER(Upgrades!$R$21,M131)*$H$6)*O131)*0.10)/AO131,0)</f>
        <v/>
      </c>
      <c r="BD131" s="32">
        <f>MAX(IF(J131&gt;0,0,IFERROR(0.5*((IF(G131=0,0,(Upgrades!$J$15+G131*Upgrades!$K$15)*POWER(Upgrades!$L$15,G131)))*(IF(Upgrades!$T$13="Microlensing",POWER(Upgrades!$U$13,E131),1)*IF(Upgrades!$T$14="Microlensing",POWER(Upgrades!$U$14,F131),1)*IF(Upgrades!$T$16="Microlensing",POWER(Upgrades!$U$16,H131),1)*IF(Upgrades!$T$17="Microlensing",POWER(Upgrades!$U$17,I131),1)*IF(Upgrades!$T$18="Microlensing",POWER(Upgrades!$U$18,J131),1)*IF(Upgrades!$T$19="Microlensing",POWER(Upgrades!$U$19,K131),1)*IF(Upgrades!$T$20="Microlensing",POWER(Upgrades!$U$20,L131),1)*IF(Upgrades!$T$21="Microlensing",POWER(Upgrades!$U$21,M131),1))*(POWER(Upgrades!$Q$13,E131)*POWER(Upgrades!$Q$14,F131)*POWER(Upgrades!$Q$15,G131)*POWER(Upgrades!$Q$16,H131)*POWER(Upgrades!$Q$17,I131)*POWER(Upgrades!$Q$18,J131)*POWER(Upgrades!$Q$19,K131)*POWER(Upgrades!$Q$20,L131)*POWER(Upgrades!$Q$21,M131))*$G$6*(Parameters!$B$10/60*Parameters!$B$11+Q131))/Upgrades!$C$18,0)),IF(K131&gt;0,0,IFERROR(0.30*P131/Upgrades!$C$19,0)),IF(L131&gt;0,0,IFERROR(0.0001/Upgrades!$C$20,0)),IF(M131&gt;0,0,IFERROR((6.0*(POWER(Upgrades!$P$13,E131)*POWER(Upgrades!$P$14,F131)*POWER(Upgrades!$P$15,G131)*POWER(Upgrades!$P$16,H131)*POWER(Upgrades!$P$17,I131)*POWER(Upgrades!$P$18,J131)*POWER(Upgrades!$P$19,K131)*POWER(Upgrades!$P$20,L131)*POWER(Upgrades!$P$21,M131))*$F$6+0.20*O131*(Parameters!$B$10/60*Parameters!$B$11+Q131))/Upgrades!$C$21,0)),IF(AND(ISNUMBER(AK131),AK131&gt;(C131+T131)),AY131,0),IF(AND(ISNUMBER(AL131),AL131&gt;(C131+T131)),AZ131,0),IF(AND(ISNUMBER(AM131),AM131&gt;(C131+T131)),BA131,0),IF(AND(ISNUMBER(AN131),AN131&gt;(C131+T131)),BB131,0),IF(AND(ISNUMBER(AO131),AO131&gt;(C131+T131)),BC131,0))</f>
        <v/>
      </c>
      <c r="BE131" s="29">
        <f>IF(AT131=1,"transition",IF(MIN(IF(AND(J131=0,ISNUMBER(AP131),AP131&lt;=(C131+T131)),AP131,9E15),IF(AND(K131=0,ISNUMBER(AQ131),AQ131&lt;=(C131+T131)),AQ131,9E15),IF(AND(L131=0,ISNUMBER(AR131),AR131&lt;=(C131+T131)),AR131,9E15),IF(AND(M131=0,ISNUMBER(AS131),AS131&lt;=(C131+T131)),AS131,9E15))&lt;9E15,IF(AND(AND(J131=0,ISNUMBER(AP131),AP131&lt;=(C131+T131)),AP131=MIN(IF(AND(J131=0,ISNUMBER(AP131),AP131&lt;=(C131+T131)),AP131,9E15),IF(AND(K131=0,ISNUMBER(AQ131),AQ131&lt;=(C131+T131)),AQ131,9E15),IF(AND(L131=0,ISNUMBER(AR131),AR131&lt;=(C131+T131)),AR131,9E15),IF(AND(M131=0,ISNUMBER(AS131),AS131&lt;=(C131+T131)),AS131,9E15))),"BiP",IF(AND(AND(K131=0,ISNUMBER(AQ131),AQ131&lt;=(C131+T131)),AQ131=MIN(IF(AND(J131=0,ISNUMBER(AP131),AP131&lt;=(C131+T131)),AP131,9E15),IF(AND(K131=0,ISNUMBER(AQ131),AQ131&lt;=(C131+T131)),AQ131,9E15),IF(AND(L131=0,ISNUMBER(AR131),AR131&lt;=(C131+T131)),AR131,9E15),IF(AND(M131=0,ISNUMBER(AS131),AS131&lt;=(C131+T131)),AS131,9E15))),"PV",IF(AND(AND(L131=0,ISNUMBER(AR131),AR131&lt;=(C131+T131)),AR131=MIN(IF(AND(J131=0,ISNUMBER(AP131),AP131&lt;=(C131+T131)),AP131,9E15),IF(AND(K131=0,ISNUMBER(AQ131),AQ131&lt;=(C131+T131)),AQ131,9E15),IF(AND(L131=0,ISNUMBER(AR131),AR131&lt;=(C131+T131)),AR131,9E15),IF(AND(M131=0,ISNUMBER(AS131),AS131&lt;=(C131+T131)),AS131,9E15))),"OC","MG"))),IF(AX131=TRUE,"",IF(MAX(IF(AND(NOT(AND(AU131=1,AT131&lt;&gt;1)),ISNUMBER(AK131),AK131&lt;=(C131+T131)),AY131,0),IF(AND(NOT(AND(AU131=1,AT131&lt;&gt;1)),ISNUMBER(AL131),AL131&lt;=(C131+T131)),AZ131,0),IF(AND(NOT(AND(AU131=1,AT131&lt;&gt;1)),ISNUMBER(AM131),AM131&lt;=(C131+T131)),BA131,0),IF(AND(NOT(AND(AU131=1,AT131&lt;&gt;1)),ISNUMBER(AN131),AN131&lt;=(C131+T131)),BB131,0),IF(AND(ISNUMBER(AO131),AO131&lt;=(C131+T131)),BC131,0))&lt;=0,"",IF(AND(IF(AND(NOT(AND(AU131=1,AT131&lt;&gt;1)),ISNUMBER(AK131),AK131&lt;=(C131+T131)),AY131,0)&gt;0,IF(AND(NOT(AND(AU131=1,AT131&lt;&gt;1)),ISNUMBER(AK131),AK131&lt;=(C131+T131)),AY131,0)=MAX(IF(AND(NOT(AND(AU131=1,AT131&lt;&gt;1)),ISNUMBER(AK131),AK131&lt;=(C131+T131)),AY131,0),IF(AND(NOT(AND(AU131=1,AT131&lt;&gt;1)),ISNUMBER(AL131),AL131&lt;=(C131+T131)),AZ131,0),IF(AND(NOT(AND(AU131=1,AT131&lt;&gt;1)),ISNUMBER(AM131),AM131&lt;=(C131+T131)),BA131,0),IF(AND(NOT(AND(AU131=1,AT131&lt;&gt;1)),ISNUMBER(AN131),AN131&lt;=(C131+T131)),BB131,0),IF(AND(ISNUMBER(AO131),AO131&lt;=(C131+T131)),BC131,0))),"SK",IF(AND(IF(AND(NOT(AND(AU131=1,AT131&lt;&gt;1)),ISNUMBER(AL131),AL131&lt;=(C131+T131)),AZ131,0)&gt;0,IF(AND(NOT(AND(AU131=1,AT131&lt;&gt;1)),ISNUMBER(AL131),AL131&lt;=(C131+T131)),AZ131,0)=MAX(IF(AND(NOT(AND(AU131=1,AT131&lt;&gt;1)),ISNUMBER(AK131),AK131&lt;=(C131+T131)),AY131,0),IF(AND(NOT(AND(AU131=1,AT131&lt;&gt;1)),ISNUMBER(AL131),AL131&lt;=(C131+T131)),AZ131,0),IF(AND(NOT(AND(AU131=1,AT131&lt;&gt;1)),ISNUMBER(AM131),AM131&lt;=(C131+T131)),BA131,0),IF(AND(NOT(AND(AU131=1,AT131&lt;&gt;1)),ISNUMBER(AN131),AN131&lt;=(C131+T131)),BB131,0),IF(AND(ISNUMBER(AO131),AO131&lt;=(C131+T131)),BC131,0))),"LB",IF(AND(IF(AND(NOT(AND(AU131=1,AT131&lt;&gt;1)),ISNUMBER(AM131),AM131&lt;=(C131+T131)),BA131,0)&gt;0,IF(AND(NOT(AND(AU131=1,AT131&lt;&gt;1)),ISNUMBER(AM131),AM131&lt;=(C131+T131)),BA131,0)=MAX(IF(AND(NOT(AND(AU131=1,AT131&lt;&gt;1)),ISNUMBER(AK131),AK131&lt;=(C131+T131)),AY131,0),IF(AND(NOT(AND(AU131=1,AT131&lt;&gt;1)),ISNUMBER(AL131),AL131&lt;=(C131+T131)),AZ131,0),IF(AND(NOT(AND(AU131=1,AT131&lt;&gt;1)),ISNUMBER(AM131),AM131&lt;=(C131+T131)),BA131,0),IF(AND(NOT(AND(AU131=1,AT131&lt;&gt;1)),ISNUMBER(AN131),AN131&lt;=(C131+T131)),BB131,0),IF(AND(ISNUMBER(AO131),AO131&lt;=(C131+T131)),BC131,0))),"ML",IF(AND(IF(AND(NOT(AND(AU131=1,AT131&lt;&gt;1)),ISNUMBER(AN131),AN131&lt;=(C131+T131)),BB131,0)&gt;0,IF(AND(NOT(AND(AU131=1,AT131&lt;&gt;1)),ISNUMBER(AN131),AN131&lt;=(C131+T131)),BB131,0)=MAX(IF(AND(NOT(AND(AU131=1,AT131&lt;&gt;1)),ISNUMBER(AK131),AK131&lt;=(C131+T131)),AY131,0),IF(AND(NOT(AND(AU131=1,AT131&lt;&gt;1)),ISNUMBER(AL131),AL131&lt;=(C131+T131)),AZ131,0),IF(AND(NOT(AND(AU131=1,AT131&lt;&gt;1)),ISNUMBER(AM131),AM131&lt;=(C131+T131)),BA131,0),IF(AND(NOT(AND(AU131=1,AT131&lt;&gt;1)),ISNUMBER(AN131),AN131&lt;=(C131+T131)),BB131,0),IF(AND(ISNUMBER(AO131),AO131&lt;=(C131+T131)),BC131,0))),"RLO","BD"))))))))</f>
        <v/>
      </c>
    </row>
    <row r="132">
      <c r="A132" s="26" t="n">
        <v>121</v>
      </c>
      <c r="B132" s="27">
        <f>A132*10/60</f>
        <v/>
      </c>
      <c r="C132" s="22">
        <f>X131</f>
        <v/>
      </c>
      <c r="D132" s="27">
        <f>D131+W131</f>
        <v/>
      </c>
      <c r="E132" s="26">
        <f>E131+IF(U131="SK",1,0)</f>
        <v/>
      </c>
      <c r="F132" s="26">
        <f>F131+IF(U131="LB",1,0)</f>
        <v/>
      </c>
      <c r="G132" s="26">
        <f>G131+IF(U131="ML",1,0)</f>
        <v/>
      </c>
      <c r="H132" s="26">
        <f>H131+IF(U131="RLO",1,0)</f>
        <v/>
      </c>
      <c r="I132" s="26">
        <f>I131+IF(U131="BD",1,0)</f>
        <v/>
      </c>
      <c r="J132" s="26">
        <f>MAX(J131,IF(U131="BiP",1,0))</f>
        <v/>
      </c>
      <c r="K132" s="26">
        <f>MAX(K131,IF(U131="PV",1,0))</f>
        <v/>
      </c>
      <c r="L132" s="26">
        <f>MAX(L131,IF(U131="OC",1,0))</f>
        <v/>
      </c>
      <c r="M132" s="26">
        <f>MAX(M131,IF(U131="MG",1,0))</f>
        <v/>
      </c>
      <c r="N132" s="26">
        <f>MAX(N131,IF(U131="transition",1,0))</f>
        <v/>
      </c>
      <c r="O132" s="28">
        <f>(Parameters!$B$9+(IF(E132=0,0,(Upgrades!$J$13+E132*Upgrades!$K$13)*POWER(Upgrades!$L$13,E132)))*(IF(Upgrades!$T$14="Stellar Kinematics",POWER(Upgrades!$U$14,F132),1)*IF(Upgrades!$T$15="Stellar Kinematics",POWER(Upgrades!$U$15,G132),1)*IF(Upgrades!$T$16="Stellar Kinematics",POWER(Upgrades!$U$16,H132),1)*IF(Upgrades!$T$17="Stellar Kinematics",POWER(Upgrades!$U$17,I132),1)*IF(Upgrades!$T$18="Stellar Kinematics",POWER(Upgrades!$U$18,J132),1)*IF(Upgrades!$T$19="Stellar Kinematics",POWER(Upgrades!$U$19,K132),1)*IF(Upgrades!$T$20="Stellar Kinematics",POWER(Upgrades!$U$20,L132),1)*IF(Upgrades!$T$21="Stellar Kinematics",POWER(Upgrades!$U$21,M132),1))+(IF(F132=0,0,(Upgrades!$J$14+F132*Upgrades!$K$14)*POWER(Upgrades!$L$14,F132)))*(IF(Upgrades!$T$13="Local Bubble",POWER(Upgrades!$U$13,E132),1)*IF(Upgrades!$T$15="Local Bubble",POWER(Upgrades!$U$15,G132),1)*IF(Upgrades!$T$16="Local Bubble",POWER(Upgrades!$U$16,H132),1)*IF(Upgrades!$T$17="Local Bubble",POWER(Upgrades!$U$17,I132),1)*IF(Upgrades!$T$18="Local Bubble",POWER(Upgrades!$U$18,J132),1)*IF(Upgrades!$T$19="Local Bubble",POWER(Upgrades!$U$19,K132),1)*IF(Upgrades!$T$20="Local Bubble",POWER(Upgrades!$U$20,L132),1)*IF(Upgrades!$T$21="Local Bubble",POWER(Upgrades!$U$21,M132),1))+(IF(G132=0,0,(Upgrades!$J$15+G132*Upgrades!$K$15)*POWER(Upgrades!$L$15,G132)))*(IF(Upgrades!$T$13="Microlensing",POWER(Upgrades!$U$13,E132),1)*IF(Upgrades!$T$14="Microlensing",POWER(Upgrades!$U$14,F132),1)*IF(Upgrades!$T$16="Microlensing",POWER(Upgrades!$U$16,H132),1)*IF(Upgrades!$T$17="Microlensing",POWER(Upgrades!$U$17,I132),1)*IF(Upgrades!$T$18="Microlensing",POWER(Upgrades!$U$18,J132),1)*IF(Upgrades!$T$19="Microlensing",POWER(Upgrades!$U$19,K132),1)*IF(Upgrades!$T$20="Microlensing",POWER(Upgrades!$U$20,L132),1)*IF(Upgrades!$T$21="Microlensing",POWER(Upgrades!$U$21,M132),1))+(IF(H132=0,0,(Upgrades!$J$16+H132*Upgrades!$K$16)*POWER(Upgrades!$L$16,H132)))*(IF(Upgrades!$T$13="Roche Lobe Overflow",POWER(Upgrades!$U$13,E132),1)*IF(Upgrades!$T$14="Roche Lobe Overflow",POWER(Upgrades!$U$14,F132),1)*IF(Upgrades!$T$15="Roche Lobe Overflow",POWER(Upgrades!$U$15,G132),1)*IF(Upgrades!$T$17="Roche Lobe Overflow",POWER(Upgrades!$U$17,I132),1)*IF(Upgrades!$T$18="Roche Lobe Overflow",POWER(Upgrades!$U$18,J132),1)*IF(Upgrades!$T$19="Roche Lobe Overflow",POWER(Upgrades!$U$19,K132),1)*IF(Upgrades!$T$20="Roche Lobe Overflow",POWER(Upgrades!$U$20,L132),1)*IF(Upgrades!$T$21="Roche Lobe Overflow",POWER(Upgrades!$U$21,M132),1))+(IF(I132=0,0,(Upgrades!$J$17+I132*Upgrades!$K$17)*POWER(Upgrades!$L$17,I132)))*(IF(Upgrades!$T$13="Brown Dwarf",POWER(Upgrades!$U$13,E132),1)*IF(Upgrades!$T$14="Brown Dwarf",POWER(Upgrades!$U$14,F132),1)*IF(Upgrades!$T$15="Brown Dwarf",POWER(Upgrades!$U$15,G132),1)*IF(Upgrades!$T$16="Brown Dwarf",POWER(Upgrades!$U$16,H132),1)*IF(Upgrades!$T$18="Brown Dwarf",POWER(Upgrades!$U$18,J132),1)*IF(Upgrades!$T$19="Brown Dwarf",POWER(Upgrades!$U$19,K132),1)*IF(Upgrades!$T$20="Brown Dwarf",POWER(Upgrades!$U$20,L132),1)*IF(Upgrades!$T$21="Brown Dwarf",POWER(Upgrades!$U$21,M132),1))+(IF(J132=0,0,(Upgrades!$J$18+J132*Upgrades!$K$18)*POWER(Upgrades!$L$18,J132)))*(IF(Upgrades!$T$13="Binary Partner",POWER(Upgrades!$U$13,E132),1)*IF(Upgrades!$T$14="Binary Partner",POWER(Upgrades!$U$14,F132),1)*IF(Upgrades!$T$15="Binary Partner",POWER(Upgrades!$U$15,G132),1)*IF(Upgrades!$T$16="Binary Partner",POWER(Upgrades!$U$16,H132),1)*IF(Upgrades!$T$17="Binary Partner",POWER(Upgrades!$U$17,I132),1)*IF(Upgrades!$T$19="Binary Partner",POWER(Upgrades!$U$19,K132),1)*IF(Upgrades!$T$20="Binary Partner",POWER(Upgrades!$U$20,L132),1)*IF(Upgrades!$T$21="Binary Partner",POWER(Upgrades!$U$21,M132),1))+(IF(K132=0,0,(Upgrades!$J$19+K132*Upgrades!$K$19)*POWER(Upgrades!$L$19,K132)))*(IF(Upgrades!$T$13="Peculiar Velocity",POWER(Upgrades!$U$13,E132),1)*IF(Upgrades!$T$14="Peculiar Velocity",POWER(Upgrades!$U$14,F132),1)*IF(Upgrades!$T$15="Peculiar Velocity",POWER(Upgrades!$U$15,G132),1)*IF(Upgrades!$T$16="Peculiar Velocity",POWER(Upgrades!$U$16,H132),1)*IF(Upgrades!$T$17="Peculiar Velocity",POWER(Upgrades!$U$17,I132),1)*IF(Upgrades!$T$18="Peculiar Velocity",POWER(Upgrades!$U$18,J132),1)*IF(Upgrades!$T$20="Peculiar Velocity",POWER(Upgrades!$U$20,L132),1)*IF(Upgrades!$T$21="Peculiar Velocity",POWER(Upgrades!$U$21,M132),1))+(IF(L132=0,0,(Upgrades!$J$20+L132*Upgrades!$K$20)*POWER(Upgrades!$L$20,L132)))*(IF(Upgrades!$T$13="Open Cluster",POWER(Upgrades!$U$13,E132),1)*IF(Upgrades!$T$14="Open Cluster",POWER(Upgrades!$U$14,F132),1)*IF(Upgrades!$T$15="Open Cluster",POWER(Upgrades!$U$15,G132),1)*IF(Upgrades!$T$16="Open Cluster",POWER(Upgrades!$U$16,H132),1)*IF(Upgrades!$T$17="Open Cluster",POWER(Upgrades!$U$17,I132),1)*IF(Upgrades!$T$18="Open Cluster",POWER(Upgrades!$U$18,J132),1)*IF(Upgrades!$T$19="Open Cluster",POWER(Upgrades!$U$19,K132),1)*IF(Upgrades!$T$21="Open Cluster",POWER(Upgrades!$U$21,M132),1))+(IF(M132=0,0,(Upgrades!$J$21+M132*Upgrades!$K$21)*POWER(Upgrades!$L$21,M132)))*(IF(Upgrades!$T$13="Moving Group",POWER(Upgrades!$U$13,E132),1)*IF(Upgrades!$T$14="Moving Group",POWER(Upgrades!$U$14,F132),1)*IF(Upgrades!$T$15="Moving Group",POWER(Upgrades!$U$15,G132),1)*IF(Upgrades!$T$16="Moving Group",POWER(Upgrades!$U$16,H132),1)*IF(Upgrades!$T$17="Moving Group",POWER(Upgrades!$U$17,I132),1)*IF(Upgrades!$T$18="Moving Group",POWER(Upgrades!$U$18,J132),1)*IF(Upgrades!$T$19="Moving Group",POWER(Upgrades!$U$19,K132),1)*IF(Upgrades!$T$20="Moving Group",POWER(Upgrades!$U$20,L132),1)))*POWER(Upgrades!$Q$13,E132)*POWER(Upgrades!$Q$14,F132)*POWER(Upgrades!$Q$15,G132)*POWER(Upgrades!$Q$16,H132)*POWER(Upgrades!$Q$17,I132)*POWER(Upgrades!$Q$18,J132)*POWER(Upgrades!$Q$19,K132)*POWER(Upgrades!$Q$20,L132)*POWER(Upgrades!$Q$21,M132)*$G$6+$D$6</f>
        <v/>
      </c>
      <c r="P132" s="28">
        <f>((IF(E132=0,0,(Upgrades!$G$13+E132*Upgrades!$H$13)*POWER(Upgrades!$I$13,E132)))*(IF(Upgrades!$T$14="Stellar Kinematics",POWER(Upgrades!$U$14,F132),1)*IF(Upgrades!$T$15="Stellar Kinematics",POWER(Upgrades!$U$15,G132),1)*IF(Upgrades!$T$16="Stellar Kinematics",POWER(Upgrades!$U$16,H132),1)*IF(Upgrades!$T$17="Stellar Kinematics",POWER(Upgrades!$U$17,I132),1)*IF(Upgrades!$T$18="Stellar Kinematics",POWER(Upgrades!$U$18,J132),1)*IF(Upgrades!$T$19="Stellar Kinematics",POWER(Upgrades!$U$19,K132),1)*IF(Upgrades!$T$20="Stellar Kinematics",POWER(Upgrades!$U$20,L132),1)*IF(Upgrades!$T$21="Stellar Kinematics",POWER(Upgrades!$U$21,M132),1))+(IF(F132=0,0,(Upgrades!$G$14+F132*Upgrades!$H$14)*POWER(Upgrades!$I$14,F132)))*(IF(Upgrades!$T$13="Local Bubble",POWER(Upgrades!$U$13,E132),1)*IF(Upgrades!$T$15="Local Bubble",POWER(Upgrades!$U$15,G132),1)*IF(Upgrades!$T$16="Local Bubble",POWER(Upgrades!$U$16,H132),1)*IF(Upgrades!$T$17="Local Bubble",POWER(Upgrades!$U$17,I132),1)*IF(Upgrades!$T$18="Local Bubble",POWER(Upgrades!$U$18,J132),1)*IF(Upgrades!$T$19="Local Bubble",POWER(Upgrades!$U$19,K132),1)*IF(Upgrades!$T$20="Local Bubble",POWER(Upgrades!$U$20,L132),1)*IF(Upgrades!$T$21="Local Bubble",POWER(Upgrades!$U$21,M132),1))+(IF(G132=0,0,(Upgrades!$G$15+G132*Upgrades!$H$15)*POWER(Upgrades!$I$15,G132)))*(IF(Upgrades!$T$13="Microlensing",POWER(Upgrades!$U$13,E132),1)*IF(Upgrades!$T$14="Microlensing",POWER(Upgrades!$U$14,F132),1)*IF(Upgrades!$T$16="Microlensing",POWER(Upgrades!$U$16,H132),1)*IF(Upgrades!$T$17="Microlensing",POWER(Upgrades!$U$17,I132),1)*IF(Upgrades!$T$18="Microlensing",POWER(Upgrades!$U$18,J132),1)*IF(Upgrades!$T$19="Microlensing",POWER(Upgrades!$U$19,K132),1)*IF(Upgrades!$T$20="Microlensing",POWER(Upgrades!$U$20,L132),1)*IF(Upgrades!$T$21="Microlensing",POWER(Upgrades!$U$21,M132),1))+(IF(H132=0,0,(Upgrades!$G$16+H132*Upgrades!$H$16)*POWER(Upgrades!$I$16,H132)))*(IF(Upgrades!$T$13="Roche Lobe Overflow",POWER(Upgrades!$U$13,E132),1)*IF(Upgrades!$T$14="Roche Lobe Overflow",POWER(Upgrades!$U$14,F132),1)*IF(Upgrades!$T$15="Roche Lobe Overflow",POWER(Upgrades!$U$15,G132),1)*IF(Upgrades!$T$17="Roche Lobe Overflow",POWER(Upgrades!$U$17,I132),1)*IF(Upgrades!$T$18="Roche Lobe Overflow",POWER(Upgrades!$U$18,J132),1)*IF(Upgrades!$T$19="Roche Lobe Overflow",POWER(Upgrades!$U$19,K132),1)*IF(Upgrades!$T$20="Roche Lobe Overflow",POWER(Upgrades!$U$20,L132),1)*IF(Upgrades!$T$21="Roche Lobe Overflow",POWER(Upgrades!$U$21,M132),1))+(IF(I132=0,0,(Upgrades!$G$17+I132*Upgrades!$H$17)*POWER(Upgrades!$I$17,I132)))*(IF(Upgrades!$T$13="Brown Dwarf",POWER(Upgrades!$U$13,E132),1)*IF(Upgrades!$T$14="Brown Dwarf",POWER(Upgrades!$U$14,F132),1)*IF(Upgrades!$T$15="Brown Dwarf",POWER(Upgrades!$U$15,G132),1)*IF(Upgrades!$T$16="Brown Dwarf",POWER(Upgrades!$U$16,H132),1)*IF(Upgrades!$T$18="Brown Dwarf",POWER(Upgrades!$U$18,J132),1)*IF(Upgrades!$T$19="Brown Dwarf",POWER(Upgrades!$U$19,K132),1)*IF(Upgrades!$T$20="Brown Dwarf",POWER(Upgrades!$U$20,L132),1)*IF(Upgrades!$T$21="Brown Dwarf",POWER(Upgrades!$U$21,M132),1))+(IF(J132=0,0,(Upgrades!$G$18+J132*Upgrades!$H$18)*POWER(Upgrades!$I$18,J132)))*(IF(Upgrades!$T$13="Binary Partner",POWER(Upgrades!$U$13,E132),1)*IF(Upgrades!$T$14="Binary Partner",POWER(Upgrades!$U$14,F132),1)*IF(Upgrades!$T$15="Binary Partner",POWER(Upgrades!$U$15,G132),1)*IF(Upgrades!$T$16="Binary Partner",POWER(Upgrades!$U$16,H132),1)*IF(Upgrades!$T$17="Binary Partner",POWER(Upgrades!$U$17,I132),1)*IF(Upgrades!$T$19="Binary Partner",POWER(Upgrades!$U$19,K132),1)*IF(Upgrades!$T$20="Binary Partner",POWER(Upgrades!$U$20,L132),1)*IF(Upgrades!$T$21="Binary Partner",POWER(Upgrades!$U$21,M132),1))+(IF(K132=0,0,(Upgrades!$G$19+K132*Upgrades!$H$19)*POWER(Upgrades!$I$19,K132)))*(IF(Upgrades!$T$13="Peculiar Velocity",POWER(Upgrades!$U$13,E132),1)*IF(Upgrades!$T$14="Peculiar Velocity",POWER(Upgrades!$U$14,F132),1)*IF(Upgrades!$T$15="Peculiar Velocity",POWER(Upgrades!$U$15,G132),1)*IF(Upgrades!$T$16="Peculiar Velocity",POWER(Upgrades!$U$16,H132),1)*IF(Upgrades!$T$17="Peculiar Velocity",POWER(Upgrades!$U$17,I132),1)*IF(Upgrades!$T$18="Peculiar Velocity",POWER(Upgrades!$U$18,J132),1)*IF(Upgrades!$T$20="Peculiar Velocity",POWER(Upgrades!$U$20,L132),1)*IF(Upgrades!$T$21="Peculiar Velocity",POWER(Upgrades!$U$21,M132),1))+(IF(L132=0,0,(Upgrades!$G$20+L132*Upgrades!$H$20)*POWER(Upgrades!$I$20,L132)))*(IF(Upgrades!$T$13="Open Cluster",POWER(Upgrades!$U$13,E132),1)*IF(Upgrades!$T$14="Open Cluster",POWER(Upgrades!$U$14,F132),1)*IF(Upgrades!$T$15="Open Cluster",POWER(Upgrades!$U$15,G132),1)*IF(Upgrades!$T$16="Open Cluster",POWER(Upgrades!$U$16,H132),1)*IF(Upgrades!$T$17="Open Cluster",POWER(Upgrades!$U$17,I132),1)*IF(Upgrades!$T$18="Open Cluster",POWER(Upgrades!$U$18,J132),1)*IF(Upgrades!$T$19="Open Cluster",POWER(Upgrades!$U$19,K132),1)*IF(Upgrades!$T$21="Open Cluster",POWER(Upgrades!$U$21,M132),1))+(IF(M132=0,0,(Upgrades!$G$21+M132*Upgrades!$H$21)*POWER(Upgrades!$I$21,M132)))*(IF(Upgrades!$T$13="Moving Group",POWER(Upgrades!$U$13,E132),1)*IF(Upgrades!$T$14="Moving Group",POWER(Upgrades!$U$14,F132),1)*IF(Upgrades!$T$15="Moving Group",POWER(Upgrades!$U$15,G132),1)*IF(Upgrades!$T$16="Moving Group",POWER(Upgrades!$U$16,H132),1)*IF(Upgrades!$T$17="Moving Group",POWER(Upgrades!$U$17,I132),1)*IF(Upgrades!$T$18="Moving Group",POWER(Upgrades!$U$18,J132),1)*IF(Upgrades!$T$19="Moving Group",POWER(Upgrades!$U$19,K132),1)*IF(Upgrades!$T$20="Moving Group",POWER(Upgrades!$U$20,L132),1)))*POWER(Upgrades!$P$13,E132)*POWER(Upgrades!$P$14,F132)*POWER(Upgrades!$P$15,G132)*POWER(Upgrades!$P$16,H132)*POWER(Upgrades!$P$17,I132)*POWER(Upgrades!$P$18,J132)*POWER(Upgrades!$P$19,K132)*POWER(Upgrades!$P$20,L132)*POWER(Upgrades!$P$21,M132)*$F$6+$C$6</f>
        <v/>
      </c>
      <c r="Q132" s="28">
        <f>((IF(E132=0,0,(Upgrades!$M$13+E132*Upgrades!$N$13)*POWER(Upgrades!$O$13,E132)))*(IF(Upgrades!$T$14="Stellar Kinematics",POWER(Upgrades!$U$14,F132),1)*IF(Upgrades!$T$15="Stellar Kinematics",POWER(Upgrades!$U$15,G132),1)*IF(Upgrades!$T$16="Stellar Kinematics",POWER(Upgrades!$U$16,H132),1)*IF(Upgrades!$T$17="Stellar Kinematics",POWER(Upgrades!$U$17,I132),1)*IF(Upgrades!$T$18="Stellar Kinematics",POWER(Upgrades!$U$18,J132),1)*IF(Upgrades!$T$19="Stellar Kinematics",POWER(Upgrades!$U$19,K132),1)*IF(Upgrades!$T$20="Stellar Kinematics",POWER(Upgrades!$U$20,L132),1)*IF(Upgrades!$T$21="Stellar Kinematics",POWER(Upgrades!$U$21,M132),1))+(IF(F132=0,0,(Upgrades!$M$14+F132*Upgrades!$N$14)*POWER(Upgrades!$O$14,F132)))*(IF(Upgrades!$T$13="Local Bubble",POWER(Upgrades!$U$13,E132),1)*IF(Upgrades!$T$15="Local Bubble",POWER(Upgrades!$U$15,G132),1)*IF(Upgrades!$T$16="Local Bubble",POWER(Upgrades!$U$16,H132),1)*IF(Upgrades!$T$17="Local Bubble",POWER(Upgrades!$U$17,I132),1)*IF(Upgrades!$T$18="Local Bubble",POWER(Upgrades!$U$18,J132),1)*IF(Upgrades!$T$19="Local Bubble",POWER(Upgrades!$U$19,K132),1)*IF(Upgrades!$T$20="Local Bubble",POWER(Upgrades!$U$20,L132),1)*IF(Upgrades!$T$21="Local Bubble",POWER(Upgrades!$U$21,M132),1))+(IF(G132=0,0,(Upgrades!$M$15+G132*Upgrades!$N$15)*POWER(Upgrades!$O$15,G132)))*(IF(Upgrades!$T$13="Microlensing",POWER(Upgrades!$U$13,E132),1)*IF(Upgrades!$T$14="Microlensing",POWER(Upgrades!$U$14,F132),1)*IF(Upgrades!$T$16="Microlensing",POWER(Upgrades!$U$16,H132),1)*IF(Upgrades!$T$17="Microlensing",POWER(Upgrades!$U$17,I132),1)*IF(Upgrades!$T$18="Microlensing",POWER(Upgrades!$U$18,J132),1)*IF(Upgrades!$T$19="Microlensing",POWER(Upgrades!$U$19,K132),1)*IF(Upgrades!$T$20="Microlensing",POWER(Upgrades!$U$20,L132),1)*IF(Upgrades!$T$21="Microlensing",POWER(Upgrades!$U$21,M132),1))+(IF(H132=0,0,(Upgrades!$M$16+H132*Upgrades!$N$16)*POWER(Upgrades!$O$16,H132)))*(IF(Upgrades!$T$13="Roche Lobe Overflow",POWER(Upgrades!$U$13,E132),1)*IF(Upgrades!$T$14="Roche Lobe Overflow",POWER(Upgrades!$U$14,F132),1)*IF(Upgrades!$T$15="Roche Lobe Overflow",POWER(Upgrades!$U$15,G132),1)*IF(Upgrades!$T$17="Roche Lobe Overflow",POWER(Upgrades!$U$17,I132),1)*IF(Upgrades!$T$18="Roche Lobe Overflow",POWER(Upgrades!$U$18,J132),1)*IF(Upgrades!$T$19="Roche Lobe Overflow",POWER(Upgrades!$U$19,K132),1)*IF(Upgrades!$T$20="Roche Lobe Overflow",POWER(Upgrades!$U$20,L132),1)*IF(Upgrades!$T$21="Roche Lobe Overflow",POWER(Upgrades!$U$21,M132),1))+(IF(I132=0,0,(Upgrades!$M$17+I132*Upgrades!$N$17)*POWER(Upgrades!$O$17,I132)))*(IF(Upgrades!$T$13="Brown Dwarf",POWER(Upgrades!$U$13,E132),1)*IF(Upgrades!$T$14="Brown Dwarf",POWER(Upgrades!$U$14,F132),1)*IF(Upgrades!$T$15="Brown Dwarf",POWER(Upgrades!$U$15,G132),1)*IF(Upgrades!$T$16="Brown Dwarf",POWER(Upgrades!$U$16,H132),1)*IF(Upgrades!$T$18="Brown Dwarf",POWER(Upgrades!$U$18,J132),1)*IF(Upgrades!$T$19="Brown Dwarf",POWER(Upgrades!$U$19,K132),1)*IF(Upgrades!$T$20="Brown Dwarf",POWER(Upgrades!$U$20,L132),1)*IF(Upgrades!$T$21="Brown Dwarf",POWER(Upgrades!$U$21,M132),1))+(IF(J132=0,0,(Upgrades!$M$18+J132*Upgrades!$N$18)*POWER(Upgrades!$O$18,J132)))*(IF(Upgrades!$T$13="Binary Partner",POWER(Upgrades!$U$13,E132),1)*IF(Upgrades!$T$14="Binary Partner",POWER(Upgrades!$U$14,F132),1)*IF(Upgrades!$T$15="Binary Partner",POWER(Upgrades!$U$15,G132),1)*IF(Upgrades!$T$16="Binary Partner",POWER(Upgrades!$U$16,H132),1)*IF(Upgrades!$T$17="Binary Partner",POWER(Upgrades!$U$17,I132),1)*IF(Upgrades!$T$19="Binary Partner",POWER(Upgrades!$U$19,K132),1)*IF(Upgrades!$T$20="Binary Partner",POWER(Upgrades!$U$20,L132),1)*IF(Upgrades!$T$21="Binary Partner",POWER(Upgrades!$U$21,M132),1))+(IF(K132=0,0,(Upgrades!$M$19+K132*Upgrades!$N$19)*POWER(Upgrades!$O$19,K132)))*(IF(Upgrades!$T$13="Peculiar Velocity",POWER(Upgrades!$U$13,E132),1)*IF(Upgrades!$T$14="Peculiar Velocity",POWER(Upgrades!$U$14,F132),1)*IF(Upgrades!$T$15="Peculiar Velocity",POWER(Upgrades!$U$15,G132),1)*IF(Upgrades!$T$16="Peculiar Velocity",POWER(Upgrades!$U$16,H132),1)*IF(Upgrades!$T$17="Peculiar Velocity",POWER(Upgrades!$U$17,I132),1)*IF(Upgrades!$T$18="Peculiar Velocity",POWER(Upgrades!$U$18,J132),1)*IF(Upgrades!$T$20="Peculiar Velocity",POWER(Upgrades!$U$20,L132),1)*IF(Upgrades!$T$21="Peculiar Velocity",POWER(Upgrades!$U$21,M132),1))+(IF(L132=0,0,(Upgrades!$M$20+L132*Upgrades!$N$20)*POWER(Upgrades!$O$20,L132)))*(IF(Upgrades!$T$13="Open Cluster",POWER(Upgrades!$U$13,E132),1)*IF(Upgrades!$T$14="Open Cluster",POWER(Upgrades!$U$14,F132),1)*IF(Upgrades!$T$15="Open Cluster",POWER(Upgrades!$U$15,G132),1)*IF(Upgrades!$T$16="Open Cluster",POWER(Upgrades!$U$16,H132),1)*IF(Upgrades!$T$17="Open Cluster",POWER(Upgrades!$U$17,I132),1)*IF(Upgrades!$T$18="Open Cluster",POWER(Upgrades!$U$18,J132),1)*IF(Upgrades!$T$19="Open Cluster",POWER(Upgrades!$U$19,K132),1)*IF(Upgrades!$T$21="Open Cluster",POWER(Upgrades!$U$21,M132),1))+(IF(M132=0,0,(Upgrades!$M$21+M132*Upgrades!$N$21)*POWER(Upgrades!$O$21,M132)))*(IF(Upgrades!$T$13="Moving Group",POWER(Upgrades!$U$13,E132),1)*IF(Upgrades!$T$14="Moving Group",POWER(Upgrades!$U$14,F132),1)*IF(Upgrades!$T$15="Moving Group",POWER(Upgrades!$U$15,G132),1)*IF(Upgrades!$T$16="Moving Group",POWER(Upgrades!$U$16,H132),1)*IF(Upgrades!$T$17="Moving Group",POWER(Upgrades!$U$17,I132),1)*IF(Upgrades!$T$18="Moving Group",POWER(Upgrades!$U$18,J132),1)*IF(Upgrades!$T$19="Moving Group",POWER(Upgrades!$U$19,K132),1)*IF(Upgrades!$T$20="Moving Group",POWER(Upgrades!$U$20,L132),1)))*POWER(Upgrades!$R$13,E132)*POWER(Upgrades!$R$14,F132)*POWER(Upgrades!$R$15,G132)*POWER(Upgrades!$R$16,H132)*POWER(Upgrades!$R$17,I132)*POWER(Upgrades!$R$18,J132)*POWER(Upgrades!$R$19,K132)*POWER(Upgrades!$R$20,L132)*POWER(Upgrades!$R$21,M132)*$H$6+$E$6</f>
        <v/>
      </c>
      <c r="R132" s="27">
        <f>IF(N132=1,0,O132*Parameters!$B$10/60*Parameters!$B$11*10)</f>
        <v/>
      </c>
      <c r="S132" s="27">
        <f>IF(N132=1,0,Q132*O132*10)</f>
        <v/>
      </c>
      <c r="T132" s="27">
        <f>IF(N132=1,0,R132+S132+P132*10)</f>
        <v/>
      </c>
      <c r="U132" s="33">
        <f>BE132</f>
        <v/>
      </c>
      <c r="V132" s="22">
        <f>IF(U132="",0,IF(U132="transition",0,IF(U132="SK",AK132,IF(U132="LB",AL132,IF(U132="ML",AM132,IF(U132="RLO",AN132,IF(U132="BD",AO132,IF(U132="BiP",AP132,IF(U132="PV",AQ132,IF(U132="OC",AR132,IF(U132="MG",AS132,0))))))))))</f>
        <v/>
      </c>
      <c r="W132" s="27">
        <f>IF(U132="BiP",Upgrades!$F$18,IF(U132="PV",Upgrades!$F$19,IF(U132="OC",Upgrades!$F$20,IF(U132="MG",Upgrades!$F$21,IF(U132="transition",-Parameters!$B$18*Parameters!$B$19,0)))))</f>
        <v/>
      </c>
      <c r="X132" s="22">
        <f>C132+T132-V132</f>
        <v/>
      </c>
      <c r="Y132" s="30">
        <f>O132*Parameters!$B$10/60*Parameters!$B$11+Q132*O132+P132</f>
        <v/>
      </c>
      <c r="Z132" s="34">
        <f>IF(U132="transition","→ Tier 3 (Galactic Arm)",IF(U132="MG","Moving Group — pocket drifts together",IF(U132="OC","Open Cluster acquired",IF(U132="PV","Peculiar Velocity — passive multiplier active",IF(U132="BiP","Binary Partner — pair bond formed",IF(AND(AU132=1,N132=0,AT132&lt;&gt;1),"Cohesion ready (waiting on completionists)","")))))) </f>
        <v/>
      </c>
      <c r="AA132" s="27">
        <f>(IF(E132=0,0,(Upgrades!$G$13+E132*Upgrades!$H$13)*POWER(Upgrades!$I$13,E132)))*(IF(Upgrades!$T$14="Stellar Kinematics",POWER(Upgrades!$U$14,F132),1)*IF(Upgrades!$T$15="Stellar Kinematics",POWER(Upgrades!$U$15,G132),1)*IF(Upgrades!$T$16="Stellar Kinematics",POWER(Upgrades!$U$16,H132),1)*IF(Upgrades!$T$17="Stellar Kinematics",POWER(Upgrades!$U$17,I132),1)*IF(Upgrades!$T$18="Stellar Kinematics",POWER(Upgrades!$U$18,J132),1)*IF(Upgrades!$T$19="Stellar Kinematics",POWER(Upgrades!$U$19,K132),1)*IF(Upgrades!$T$20="Stellar Kinematics",POWER(Upgrades!$U$20,L132),1)*IF(Upgrades!$T$21="Stellar Kinematics",POWER(Upgrades!$U$21,M132),1))*POWER(Upgrades!$P$13,E132)*POWER(Upgrades!$P$14,F132)*POWER(Upgrades!$P$15,G132)*POWER(Upgrades!$P$16,H132)*POWER(Upgrades!$P$17,I132)*POWER(Upgrades!$P$18,J132)*POWER(Upgrades!$P$19,K132)*POWER(Upgrades!$P$20,L132)*POWER(Upgrades!$P$21,M132)*$F$6*60</f>
        <v/>
      </c>
      <c r="AB132" s="27">
        <f>(IF(F132=0,0,(Upgrades!$G$14+F132*Upgrades!$H$14)*POWER(Upgrades!$I$14,F132)))*(IF(Upgrades!$T$13="Local Bubble",POWER(Upgrades!$U$13,E132),1)*IF(Upgrades!$T$15="Local Bubble",POWER(Upgrades!$U$15,G132),1)*IF(Upgrades!$T$16="Local Bubble",POWER(Upgrades!$U$16,H132),1)*IF(Upgrades!$T$17="Local Bubble",POWER(Upgrades!$U$17,I132),1)*IF(Upgrades!$T$18="Local Bubble",POWER(Upgrades!$U$18,J132),1)*IF(Upgrades!$T$19="Local Bubble",POWER(Upgrades!$U$19,K132),1)*IF(Upgrades!$T$20="Local Bubble",POWER(Upgrades!$U$20,L132),1)*IF(Upgrades!$T$21="Local Bubble",POWER(Upgrades!$U$21,M132),1))*POWER(Upgrades!$P$13,E132)*POWER(Upgrades!$P$14,F132)*POWER(Upgrades!$P$15,G132)*POWER(Upgrades!$P$16,H132)*POWER(Upgrades!$P$17,I132)*POWER(Upgrades!$P$18,J132)*POWER(Upgrades!$P$19,K132)*POWER(Upgrades!$P$20,L132)*POWER(Upgrades!$P$21,M132)*$F$6*60</f>
        <v/>
      </c>
      <c r="AC132" s="27">
        <f>(IF(G132=0,0,(Upgrades!$J$15+G132*Upgrades!$K$15)*POWER(Upgrades!$L$15,G132)))*(IF(Upgrades!$T$13="Microlensing",POWER(Upgrades!$U$13,E132),1)*IF(Upgrades!$T$14="Microlensing",POWER(Upgrades!$U$14,F132),1)*IF(Upgrades!$T$16="Microlensing",POWER(Upgrades!$U$16,H132),1)*IF(Upgrades!$T$17="Microlensing",POWER(Upgrades!$U$17,I132),1)*IF(Upgrades!$T$18="Microlensing",POWER(Upgrades!$U$18,J132),1)*IF(Upgrades!$T$19="Microlensing",POWER(Upgrades!$U$19,K132),1)*IF(Upgrades!$T$20="Microlensing",POWER(Upgrades!$U$20,L132),1)*IF(Upgrades!$T$21="Microlensing",POWER(Upgrades!$U$21,M132),1))*POWER(Upgrades!$Q$13,E132)*POWER(Upgrades!$Q$14,F132)*POWER(Upgrades!$Q$15,G132)*POWER(Upgrades!$Q$16,H132)*POWER(Upgrades!$Q$17,I132)*POWER(Upgrades!$Q$18,J132)*POWER(Upgrades!$Q$19,K132)*POWER(Upgrades!$Q$20,L132)*POWER(Upgrades!$Q$21,M132)*$G$6*(Parameters!$B$10*Parameters!$B$11+Q132*60)</f>
        <v/>
      </c>
      <c r="AD132" s="27">
        <f>(IF(H132=0,0,(Upgrades!$M$16+H132*Upgrades!$N$16)*POWER(Upgrades!$O$16,H132)))*(IF(Upgrades!$T$13="Roche Lobe Overflow",POWER(Upgrades!$U$13,E132),1)*IF(Upgrades!$T$14="Roche Lobe Overflow",POWER(Upgrades!$U$14,F132),1)*IF(Upgrades!$T$15="Roche Lobe Overflow",POWER(Upgrades!$U$15,G132),1)*IF(Upgrades!$T$17="Roche Lobe Overflow",POWER(Upgrades!$U$17,I132),1)*IF(Upgrades!$T$18="Roche Lobe Overflow",POWER(Upgrades!$U$18,J132),1)*IF(Upgrades!$T$19="Roche Lobe Overflow",POWER(Upgrades!$U$19,K132),1)*IF(Upgrades!$T$20="Roche Lobe Overflow",POWER(Upgrades!$U$20,L132),1)*IF(Upgrades!$T$21="Roche Lobe Overflow",POWER(Upgrades!$U$21,M132),1))*POWER(Upgrades!$R$13,E132)*POWER(Upgrades!$R$14,F132)*POWER(Upgrades!$R$15,G132)*POWER(Upgrades!$R$16,H132)*POWER(Upgrades!$R$17,I132)*POWER(Upgrades!$R$18,J132)*POWER(Upgrades!$R$19,K132)*POWER(Upgrades!$R$20,L132)*POWER(Upgrades!$R$21,M132)*$H$6*O132*60</f>
        <v/>
      </c>
      <c r="AE132" s="27">
        <f>(IF(I132=0,0,(Upgrades!$G$17+I132*Upgrades!$H$17)*POWER(Upgrades!$I$17,I132)))*(IF(Upgrades!$T$13="Brown Dwarf",POWER(Upgrades!$U$13,E132),1)*IF(Upgrades!$T$14="Brown Dwarf",POWER(Upgrades!$U$14,F132),1)*IF(Upgrades!$T$15="Brown Dwarf",POWER(Upgrades!$U$15,G132),1)*IF(Upgrades!$T$16="Brown Dwarf",POWER(Upgrades!$U$16,H132),1)*IF(Upgrades!$T$18="Brown Dwarf",POWER(Upgrades!$U$18,J132),1)*IF(Upgrades!$T$19="Brown Dwarf",POWER(Upgrades!$U$19,K132),1)*IF(Upgrades!$T$20="Brown Dwarf",POWER(Upgrades!$U$20,L132),1)*IF(Upgrades!$T$21="Brown Dwarf",POWER(Upgrades!$U$21,M132),1))*POWER(Upgrades!$P$13,E132)*POWER(Upgrades!$P$14,F132)*POWER(Upgrades!$P$15,G132)*POWER(Upgrades!$P$16,H132)*POWER(Upgrades!$P$17,I132)*POWER(Upgrades!$P$18,J132)*POWER(Upgrades!$P$19,K132)*POWER(Upgrades!$P$20,L132)*POWER(Upgrades!$P$21,M132)*$F$6*60</f>
        <v/>
      </c>
      <c r="AF132" s="27" t="n">
        <v>0</v>
      </c>
      <c r="AG132" s="27" t="n">
        <v>0</v>
      </c>
      <c r="AH132" s="27" t="n">
        <v>0</v>
      </c>
      <c r="AI132" s="27">
        <f>(IF(M132=0,0,(Upgrades!$G$21+M132*Upgrades!$H$21)*POWER(Upgrades!$I$21,M132)))*(IF(Upgrades!$T$13="Moving Group",POWER(Upgrades!$U$13,E132),1)*IF(Upgrades!$T$14="Moving Group",POWER(Upgrades!$U$14,F132),1)*IF(Upgrades!$T$15="Moving Group",POWER(Upgrades!$U$15,G132),1)*IF(Upgrades!$T$16="Moving Group",POWER(Upgrades!$U$16,H132),1)*IF(Upgrades!$T$17="Moving Group",POWER(Upgrades!$U$17,I132),1)*IF(Upgrades!$T$18="Moving Group",POWER(Upgrades!$U$18,J132),1)*IF(Upgrades!$T$19="Moving Group",POWER(Upgrades!$U$19,K132),1)*IF(Upgrades!$T$20="Moving Group",POWER(Upgrades!$U$20,L132),1))*POWER(Upgrades!$P$13,E132)*POWER(Upgrades!$P$14,F132)*POWER(Upgrades!$P$15,G132)*POWER(Upgrades!$P$16,H132)*POWER(Upgrades!$P$17,I132)*POWER(Upgrades!$P$18,J132)*POWER(Upgrades!$P$19,K132)*POWER(Upgrades!$P$20,L132)*POWER(Upgrades!$P$21,M132)*$F$6*60</f>
        <v/>
      </c>
      <c r="AJ132" s="27">
        <f>$C$6*60</f>
        <v/>
      </c>
      <c r="AK132" s="22">
        <f>IF(E132&gt;=Upgrades!$E$13,"",Upgrades!$C$13*POWER(Upgrades!$D$13,E132))</f>
        <v/>
      </c>
      <c r="AL132" s="22">
        <f>IF(F132&gt;=Upgrades!$E$14,"",Upgrades!$C$14*POWER(Upgrades!$D$14,F132))</f>
        <v/>
      </c>
      <c r="AM132" s="22">
        <f>IF(G132&gt;=Upgrades!$E$15,"",Upgrades!$C$15*POWER(Upgrades!$D$15,G132))</f>
        <v/>
      </c>
      <c r="AN132" s="22">
        <f>IF(H132&gt;=Upgrades!$E$16,"",Upgrades!$C$16*POWER(Upgrades!$D$16,H132))</f>
        <v/>
      </c>
      <c r="AO132" s="22">
        <f>IF(I132&gt;=Upgrades!$E$17,"",Upgrades!$C$17*POWER(Upgrades!$D$17,I132))</f>
        <v/>
      </c>
      <c r="AP132" s="22">
        <f>IF(J132&gt;=Upgrades!$E$18,"",Upgrades!$C$18*POWER(Upgrades!$D$18,J132))</f>
        <v/>
      </c>
      <c r="AQ132" s="22">
        <f>IF(K132&gt;=Upgrades!$E$19,"",Upgrades!$C$19*POWER(Upgrades!$D$19,K132))</f>
        <v/>
      </c>
      <c r="AR132" s="22">
        <f>IF(L132&gt;=Upgrades!$E$20,"",Upgrades!$C$20*POWER(Upgrades!$D$20,L132))</f>
        <v/>
      </c>
      <c r="AS132" s="22">
        <f>IF(M132&gt;=Upgrades!$E$21,"",Upgrades!$C$21*POWER(Upgrades!$D$21,M132))</f>
        <v/>
      </c>
      <c r="AT132" s="26">
        <f>IF(AND(D132&gt;=Parameters!$B$18*Parameters!$B$19,(I132&gt;=Upgrades!$E$17)*(M132&gt;=Upgrades!$E$21)=1,N132=0),1,"")</f>
        <v/>
      </c>
      <c r="AU132" s="26">
        <f>IF(AND(D132&gt;=Parameters!$B$18*Parameters!$B$19,N132=0),1,"")</f>
        <v/>
      </c>
      <c r="AV132" s="22">
        <f>MIN(IF(ISNUMBER(AP132),AP132,9E15),IF(ISNUMBER(AQ132),AQ132,9E15),IF(ISNUMBER(AR132),AR132,9E15),IF(ISNUMBER(AS132),AS132,9E15))</f>
        <v/>
      </c>
      <c r="AW132" s="22">
        <f>MIN(IF(ISNUMBER(AK132),AK132,9E15),IF(ISNUMBER(AL132),AL132,9E15),IF(ISNUMBER(AM132),AM132,9E15),IF(ISNUMBER(AN132),AN132,9E15),IF(ISNUMBER(AO132),AO132,9E15))</f>
        <v/>
      </c>
      <c r="AX132" s="29">
        <f>IF(BD132&gt;Parameters!$B$21*(MAX(IF(AND(NOT(AND(AU132=1,AT132&lt;&gt;1)),ISNUMBER(AK132),AK132&lt;=(C132+T132)),AY132,0),IF(AND(NOT(AND(AU132=1,AT132&lt;&gt;1)),ISNUMBER(AL132),AL132&lt;=(C132+T132)),AZ132,0),IF(AND(NOT(AND(AU132=1,AT132&lt;&gt;1)),ISNUMBER(AM132),AM132&lt;=(C132+T132)),BA132,0),IF(AND(NOT(AND(AU132=1,AT132&lt;&gt;1)),ISNUMBER(AN132),AN132&lt;=(C132+T132)),BB132,0),IF(AND(ISNUMBER(AO132),AO132&lt;=(C132+T132)),BC132,0))),TRUE,FALSE)</f>
        <v/>
      </c>
      <c r="AY132" s="32">
        <f>IFERROR(Upgrades!$H$13*(POWER(Upgrades!$P$13,E132)*POWER(Upgrades!$P$14,F132)*POWER(Upgrades!$P$15,G132)*POWER(Upgrades!$P$16,H132)*POWER(Upgrades!$P$17,I132)*POWER(Upgrades!$P$18,J132)*POWER(Upgrades!$P$19,K132)*POWER(Upgrades!$P$20,L132)*POWER(Upgrades!$P$21,M132))*(IF(Upgrades!$T$14="Stellar Kinematics",POWER(Upgrades!$U$14,F132),1)*IF(Upgrades!$T$15="Stellar Kinematics",POWER(Upgrades!$U$15,G132),1)*IF(Upgrades!$T$16="Stellar Kinematics",POWER(Upgrades!$U$16,H132),1)*IF(Upgrades!$T$17="Stellar Kinematics",POWER(Upgrades!$U$17,I132),1)*IF(Upgrades!$T$18="Stellar Kinematics",POWER(Upgrades!$U$18,J132),1)*IF(Upgrades!$T$19="Stellar Kinematics",POWER(Upgrades!$U$19,K132),1)*IF(Upgrades!$T$20="Stellar Kinematics",POWER(Upgrades!$U$20,L132),1)*IF(Upgrades!$T$21="Stellar Kinematics",POWER(Upgrades!$U$21,M132),1))*$F$6/AK132,0)</f>
        <v/>
      </c>
      <c r="AZ132" s="32">
        <f>IFERROR(Upgrades!$H$14*(POWER(Upgrades!$P$13,E132)*POWER(Upgrades!$P$14,F132)*POWER(Upgrades!$P$15,G132)*POWER(Upgrades!$P$16,H132)*POWER(Upgrades!$P$17,I132)*POWER(Upgrades!$P$18,J132)*POWER(Upgrades!$P$19,K132)*POWER(Upgrades!$P$20,L132)*POWER(Upgrades!$P$21,M132))*(IF(Upgrades!$T$13="Local Bubble",POWER(Upgrades!$U$13,E132),1)*IF(Upgrades!$T$15="Local Bubble",POWER(Upgrades!$U$15,G132),1)*IF(Upgrades!$T$16="Local Bubble",POWER(Upgrades!$U$16,H132),1)*IF(Upgrades!$T$17="Local Bubble",POWER(Upgrades!$U$17,I132),1)*IF(Upgrades!$T$18="Local Bubble",POWER(Upgrades!$U$18,J132),1)*IF(Upgrades!$T$19="Local Bubble",POWER(Upgrades!$U$19,K132),1)*IF(Upgrades!$T$20="Local Bubble",POWER(Upgrades!$U$20,L132),1)*IF(Upgrades!$T$21="Local Bubble",POWER(Upgrades!$U$21,M132),1))*$F$6/AL132,0)</f>
        <v/>
      </c>
      <c r="BA132" s="32">
        <f>IFERROR(Upgrades!$K$15*(POWER(Upgrades!$Q$13,E132)*POWER(Upgrades!$Q$14,F132)*POWER(Upgrades!$Q$15,G132)*POWER(Upgrades!$Q$16,H132)*POWER(Upgrades!$Q$17,I132)*POWER(Upgrades!$Q$18,J132)*POWER(Upgrades!$Q$19,K132)*POWER(Upgrades!$Q$20,L132)*POWER(Upgrades!$Q$21,M132))*(IF(Upgrades!$T$13="Microlensing",POWER(Upgrades!$U$13,E132),1)*IF(Upgrades!$T$14="Microlensing",POWER(Upgrades!$U$14,F132),1)*IF(Upgrades!$T$16="Microlensing",POWER(Upgrades!$U$16,H132),1)*IF(Upgrades!$T$17="Microlensing",POWER(Upgrades!$U$17,I132),1)*IF(Upgrades!$T$18="Microlensing",POWER(Upgrades!$U$18,J132),1)*IF(Upgrades!$T$19="Microlensing",POWER(Upgrades!$U$19,K132),1)*IF(Upgrades!$T$20="Microlensing",POWER(Upgrades!$U$20,L132),1)*IF(Upgrades!$T$21="Microlensing",POWER(Upgrades!$U$21,M132),1))*$G$6*(Parameters!$B$10/60*Parameters!$B$11+Q132)/AM132,0)</f>
        <v/>
      </c>
      <c r="BB132" s="32">
        <f>IFERROR((Upgrades!$N$16*(POWER(Upgrades!$R$13,E132)*POWER(Upgrades!$R$14,F132)*POWER(Upgrades!$R$15,G132)*POWER(Upgrades!$R$16,H132)*POWER(Upgrades!$R$17,I132)*POWER(Upgrades!$R$18,J132)*POWER(Upgrades!$R$19,K132)*POWER(Upgrades!$R$20,L132)*POWER(Upgrades!$R$21,M132))*(IF(Upgrades!$T$13="Roche Lobe Overflow",POWER(Upgrades!$U$13,E132),1)*IF(Upgrades!$T$14="Roche Lobe Overflow",POWER(Upgrades!$U$14,F132),1)*IF(Upgrades!$T$15="Roche Lobe Overflow",POWER(Upgrades!$U$15,G132),1)*IF(Upgrades!$T$17="Roche Lobe Overflow",POWER(Upgrades!$U$17,I132),1)*IF(Upgrades!$T$18="Roche Lobe Overflow",POWER(Upgrades!$U$18,J132),1)*IF(Upgrades!$T$19="Roche Lobe Overflow",POWER(Upgrades!$U$19,K132),1)*IF(Upgrades!$T$20="Roche Lobe Overflow",POWER(Upgrades!$U$20,L132),1)*IF(Upgrades!$T$21="Roche Lobe Overflow",POWER(Upgrades!$U$21,M132),1))*$H$6*O132+((IF(F132=0,0,(Upgrades!$G$14+F132*Upgrades!$H$14)*POWER(Upgrades!$I$14,F132)))*(IF(Upgrades!$T$13="Local Bubble",POWER(Upgrades!$U$13,E132),1)*IF(Upgrades!$T$15="Local Bubble",POWER(Upgrades!$U$15,G132),1)*IF(Upgrades!$T$16="Local Bubble",POWER(Upgrades!$U$16,H132),1)*IF(Upgrades!$T$17="Local Bubble",POWER(Upgrades!$U$17,I132),1)*IF(Upgrades!$T$18="Local Bubble",POWER(Upgrades!$U$18,J132),1)*IF(Upgrades!$T$19="Local Bubble",POWER(Upgrades!$U$19,K132),1)*IF(Upgrades!$T$20="Local Bubble",POWER(Upgrades!$U$20,L132),1)*IF(Upgrades!$T$21="Local Bubble",POWER(Upgrades!$U$21,M132),1))*POWER(Upgrades!$P$13,E132)*POWER(Upgrades!$P$14,F132)*POWER(Upgrades!$P$15,G132)*POWER(Upgrades!$P$16,H132)*POWER(Upgrades!$P$17,I132)*POWER(Upgrades!$P$18,J132)*POWER(Upgrades!$P$19,K132)*POWER(Upgrades!$P$20,L132)*POWER(Upgrades!$P$21,M132)*$F$6)*0.05)/AN132,0)</f>
        <v/>
      </c>
      <c r="BC132" s="32">
        <f>IFERROR((Upgrades!$H$17*(POWER(Upgrades!$P$13,E132)*POWER(Upgrades!$P$14,F132)*POWER(Upgrades!$P$15,G132)*POWER(Upgrades!$P$16,H132)*POWER(Upgrades!$P$17,I132)*POWER(Upgrades!$P$18,J132)*POWER(Upgrades!$P$19,K132)*POWER(Upgrades!$P$20,L132)*POWER(Upgrades!$P$21,M132))*(IF(Upgrades!$T$13="Brown Dwarf",POWER(Upgrades!$U$13,E132),1)*IF(Upgrades!$T$14="Brown Dwarf",POWER(Upgrades!$U$14,F132),1)*IF(Upgrades!$T$15="Brown Dwarf",POWER(Upgrades!$U$15,G132),1)*IF(Upgrades!$T$16="Brown Dwarf",POWER(Upgrades!$U$16,H132),1)*IF(Upgrades!$T$18="Brown Dwarf",POWER(Upgrades!$U$18,J132),1)*IF(Upgrades!$T$19="Brown Dwarf",POWER(Upgrades!$U$19,K132),1)*IF(Upgrades!$T$20="Brown Dwarf",POWER(Upgrades!$U$20,L132),1)*IF(Upgrades!$T$21="Brown Dwarf",POWER(Upgrades!$U$21,M132),1))*$F$6+(((IF(H132=0,0,(Upgrades!$M$16+H132*Upgrades!$N$16)*POWER(Upgrades!$O$16,H132)))*(IF(Upgrades!$T$13="Roche Lobe Overflow",POWER(Upgrades!$U$13,E132),1)*IF(Upgrades!$T$14="Roche Lobe Overflow",POWER(Upgrades!$U$14,F132),1)*IF(Upgrades!$T$15="Roche Lobe Overflow",POWER(Upgrades!$U$15,G132),1)*IF(Upgrades!$T$17="Roche Lobe Overflow",POWER(Upgrades!$U$17,I132),1)*IF(Upgrades!$T$18="Roche Lobe Overflow",POWER(Upgrades!$U$18,J132),1)*IF(Upgrades!$T$19="Roche Lobe Overflow",POWER(Upgrades!$U$19,K132),1)*IF(Upgrades!$T$20="Roche Lobe Overflow",POWER(Upgrades!$U$20,L132),1)*IF(Upgrades!$T$21="Roche Lobe Overflow",POWER(Upgrades!$U$21,M132),1))*POWER(Upgrades!$R$13,E132)*POWER(Upgrades!$R$14,F132)*POWER(Upgrades!$R$15,G132)*POWER(Upgrades!$R$16,H132)*POWER(Upgrades!$R$17,I132)*POWER(Upgrades!$R$18,J132)*POWER(Upgrades!$R$19,K132)*POWER(Upgrades!$R$20,L132)*POWER(Upgrades!$R$21,M132)*$H$6)*O132)*0.10)/AO132,0)</f>
        <v/>
      </c>
      <c r="BD132" s="32">
        <f>MAX(IF(J132&gt;0,0,IFERROR(0.5*((IF(G132=0,0,(Upgrades!$J$15+G132*Upgrades!$K$15)*POWER(Upgrades!$L$15,G132)))*(IF(Upgrades!$T$13="Microlensing",POWER(Upgrades!$U$13,E132),1)*IF(Upgrades!$T$14="Microlensing",POWER(Upgrades!$U$14,F132),1)*IF(Upgrades!$T$16="Microlensing",POWER(Upgrades!$U$16,H132),1)*IF(Upgrades!$T$17="Microlensing",POWER(Upgrades!$U$17,I132),1)*IF(Upgrades!$T$18="Microlensing",POWER(Upgrades!$U$18,J132),1)*IF(Upgrades!$T$19="Microlensing",POWER(Upgrades!$U$19,K132),1)*IF(Upgrades!$T$20="Microlensing",POWER(Upgrades!$U$20,L132),1)*IF(Upgrades!$T$21="Microlensing",POWER(Upgrades!$U$21,M132),1))*(POWER(Upgrades!$Q$13,E132)*POWER(Upgrades!$Q$14,F132)*POWER(Upgrades!$Q$15,G132)*POWER(Upgrades!$Q$16,H132)*POWER(Upgrades!$Q$17,I132)*POWER(Upgrades!$Q$18,J132)*POWER(Upgrades!$Q$19,K132)*POWER(Upgrades!$Q$20,L132)*POWER(Upgrades!$Q$21,M132))*$G$6*(Parameters!$B$10/60*Parameters!$B$11+Q132))/Upgrades!$C$18,0)),IF(K132&gt;0,0,IFERROR(0.30*P132/Upgrades!$C$19,0)),IF(L132&gt;0,0,IFERROR(0.0001/Upgrades!$C$20,0)),IF(M132&gt;0,0,IFERROR((6.0*(POWER(Upgrades!$P$13,E132)*POWER(Upgrades!$P$14,F132)*POWER(Upgrades!$P$15,G132)*POWER(Upgrades!$P$16,H132)*POWER(Upgrades!$P$17,I132)*POWER(Upgrades!$P$18,J132)*POWER(Upgrades!$P$19,K132)*POWER(Upgrades!$P$20,L132)*POWER(Upgrades!$P$21,M132))*$F$6+0.20*O132*(Parameters!$B$10/60*Parameters!$B$11+Q132))/Upgrades!$C$21,0)),IF(AND(ISNUMBER(AK132),AK132&gt;(C132+T132)),AY132,0),IF(AND(ISNUMBER(AL132),AL132&gt;(C132+T132)),AZ132,0),IF(AND(ISNUMBER(AM132),AM132&gt;(C132+T132)),BA132,0),IF(AND(ISNUMBER(AN132),AN132&gt;(C132+T132)),BB132,0),IF(AND(ISNUMBER(AO132),AO132&gt;(C132+T132)),BC132,0))</f>
        <v/>
      </c>
      <c r="BE132" s="29">
        <f>IF(AT132=1,"transition",IF(MIN(IF(AND(J132=0,ISNUMBER(AP132),AP132&lt;=(C132+T132)),AP132,9E15),IF(AND(K132=0,ISNUMBER(AQ132),AQ132&lt;=(C132+T132)),AQ132,9E15),IF(AND(L132=0,ISNUMBER(AR132),AR132&lt;=(C132+T132)),AR132,9E15),IF(AND(M132=0,ISNUMBER(AS132),AS132&lt;=(C132+T132)),AS132,9E15))&lt;9E15,IF(AND(AND(J132=0,ISNUMBER(AP132),AP132&lt;=(C132+T132)),AP132=MIN(IF(AND(J132=0,ISNUMBER(AP132),AP132&lt;=(C132+T132)),AP132,9E15),IF(AND(K132=0,ISNUMBER(AQ132),AQ132&lt;=(C132+T132)),AQ132,9E15),IF(AND(L132=0,ISNUMBER(AR132),AR132&lt;=(C132+T132)),AR132,9E15),IF(AND(M132=0,ISNUMBER(AS132),AS132&lt;=(C132+T132)),AS132,9E15))),"BiP",IF(AND(AND(K132=0,ISNUMBER(AQ132),AQ132&lt;=(C132+T132)),AQ132=MIN(IF(AND(J132=0,ISNUMBER(AP132),AP132&lt;=(C132+T132)),AP132,9E15),IF(AND(K132=0,ISNUMBER(AQ132),AQ132&lt;=(C132+T132)),AQ132,9E15),IF(AND(L132=0,ISNUMBER(AR132),AR132&lt;=(C132+T132)),AR132,9E15),IF(AND(M132=0,ISNUMBER(AS132),AS132&lt;=(C132+T132)),AS132,9E15))),"PV",IF(AND(AND(L132=0,ISNUMBER(AR132),AR132&lt;=(C132+T132)),AR132=MIN(IF(AND(J132=0,ISNUMBER(AP132),AP132&lt;=(C132+T132)),AP132,9E15),IF(AND(K132=0,ISNUMBER(AQ132),AQ132&lt;=(C132+T132)),AQ132,9E15),IF(AND(L132=0,ISNUMBER(AR132),AR132&lt;=(C132+T132)),AR132,9E15),IF(AND(M132=0,ISNUMBER(AS132),AS132&lt;=(C132+T132)),AS132,9E15))),"OC","MG"))),IF(AX132=TRUE,"",IF(MAX(IF(AND(NOT(AND(AU132=1,AT132&lt;&gt;1)),ISNUMBER(AK132),AK132&lt;=(C132+T132)),AY132,0),IF(AND(NOT(AND(AU132=1,AT132&lt;&gt;1)),ISNUMBER(AL132),AL132&lt;=(C132+T132)),AZ132,0),IF(AND(NOT(AND(AU132=1,AT132&lt;&gt;1)),ISNUMBER(AM132),AM132&lt;=(C132+T132)),BA132,0),IF(AND(NOT(AND(AU132=1,AT132&lt;&gt;1)),ISNUMBER(AN132),AN132&lt;=(C132+T132)),BB132,0),IF(AND(ISNUMBER(AO132),AO132&lt;=(C132+T132)),BC132,0))&lt;=0,"",IF(AND(IF(AND(NOT(AND(AU132=1,AT132&lt;&gt;1)),ISNUMBER(AK132),AK132&lt;=(C132+T132)),AY132,0)&gt;0,IF(AND(NOT(AND(AU132=1,AT132&lt;&gt;1)),ISNUMBER(AK132),AK132&lt;=(C132+T132)),AY132,0)=MAX(IF(AND(NOT(AND(AU132=1,AT132&lt;&gt;1)),ISNUMBER(AK132),AK132&lt;=(C132+T132)),AY132,0),IF(AND(NOT(AND(AU132=1,AT132&lt;&gt;1)),ISNUMBER(AL132),AL132&lt;=(C132+T132)),AZ132,0),IF(AND(NOT(AND(AU132=1,AT132&lt;&gt;1)),ISNUMBER(AM132),AM132&lt;=(C132+T132)),BA132,0),IF(AND(NOT(AND(AU132=1,AT132&lt;&gt;1)),ISNUMBER(AN132),AN132&lt;=(C132+T132)),BB132,0),IF(AND(ISNUMBER(AO132),AO132&lt;=(C132+T132)),BC132,0))),"SK",IF(AND(IF(AND(NOT(AND(AU132=1,AT132&lt;&gt;1)),ISNUMBER(AL132),AL132&lt;=(C132+T132)),AZ132,0)&gt;0,IF(AND(NOT(AND(AU132=1,AT132&lt;&gt;1)),ISNUMBER(AL132),AL132&lt;=(C132+T132)),AZ132,0)=MAX(IF(AND(NOT(AND(AU132=1,AT132&lt;&gt;1)),ISNUMBER(AK132),AK132&lt;=(C132+T132)),AY132,0),IF(AND(NOT(AND(AU132=1,AT132&lt;&gt;1)),ISNUMBER(AL132),AL132&lt;=(C132+T132)),AZ132,0),IF(AND(NOT(AND(AU132=1,AT132&lt;&gt;1)),ISNUMBER(AM132),AM132&lt;=(C132+T132)),BA132,0),IF(AND(NOT(AND(AU132=1,AT132&lt;&gt;1)),ISNUMBER(AN132),AN132&lt;=(C132+T132)),BB132,0),IF(AND(ISNUMBER(AO132),AO132&lt;=(C132+T132)),BC132,0))),"LB",IF(AND(IF(AND(NOT(AND(AU132=1,AT132&lt;&gt;1)),ISNUMBER(AM132),AM132&lt;=(C132+T132)),BA132,0)&gt;0,IF(AND(NOT(AND(AU132=1,AT132&lt;&gt;1)),ISNUMBER(AM132),AM132&lt;=(C132+T132)),BA132,0)=MAX(IF(AND(NOT(AND(AU132=1,AT132&lt;&gt;1)),ISNUMBER(AK132),AK132&lt;=(C132+T132)),AY132,0),IF(AND(NOT(AND(AU132=1,AT132&lt;&gt;1)),ISNUMBER(AL132),AL132&lt;=(C132+T132)),AZ132,0),IF(AND(NOT(AND(AU132=1,AT132&lt;&gt;1)),ISNUMBER(AM132),AM132&lt;=(C132+T132)),BA132,0),IF(AND(NOT(AND(AU132=1,AT132&lt;&gt;1)),ISNUMBER(AN132),AN132&lt;=(C132+T132)),BB132,0),IF(AND(ISNUMBER(AO132),AO132&lt;=(C132+T132)),BC132,0))),"ML",IF(AND(IF(AND(NOT(AND(AU132=1,AT132&lt;&gt;1)),ISNUMBER(AN132),AN132&lt;=(C132+T132)),BB132,0)&gt;0,IF(AND(NOT(AND(AU132=1,AT132&lt;&gt;1)),ISNUMBER(AN132),AN132&lt;=(C132+T132)),BB132,0)=MAX(IF(AND(NOT(AND(AU132=1,AT132&lt;&gt;1)),ISNUMBER(AK132),AK132&lt;=(C132+T132)),AY132,0),IF(AND(NOT(AND(AU132=1,AT132&lt;&gt;1)),ISNUMBER(AL132),AL132&lt;=(C132+T132)),AZ132,0),IF(AND(NOT(AND(AU132=1,AT132&lt;&gt;1)),ISNUMBER(AM132),AM132&lt;=(C132+T132)),BA132,0),IF(AND(NOT(AND(AU132=1,AT132&lt;&gt;1)),ISNUMBER(AN132),AN132&lt;=(C132+T132)),BB132,0),IF(AND(ISNUMBER(AO132),AO132&lt;=(C132+T132)),BC132,0))),"RLO","BD"))))))))</f>
        <v/>
      </c>
    </row>
    <row r="133">
      <c r="A133" s="26" t="n">
        <v>122</v>
      </c>
      <c r="B133" s="27">
        <f>A133*10/60</f>
        <v/>
      </c>
      <c r="C133" s="22">
        <f>X132</f>
        <v/>
      </c>
      <c r="D133" s="27">
        <f>D132+W132</f>
        <v/>
      </c>
      <c r="E133" s="26">
        <f>E132+IF(U132="SK",1,0)</f>
        <v/>
      </c>
      <c r="F133" s="26">
        <f>F132+IF(U132="LB",1,0)</f>
        <v/>
      </c>
      <c r="G133" s="26">
        <f>G132+IF(U132="ML",1,0)</f>
        <v/>
      </c>
      <c r="H133" s="26">
        <f>H132+IF(U132="RLO",1,0)</f>
        <v/>
      </c>
      <c r="I133" s="26">
        <f>I132+IF(U132="BD",1,0)</f>
        <v/>
      </c>
      <c r="J133" s="26">
        <f>MAX(J132,IF(U132="BiP",1,0))</f>
        <v/>
      </c>
      <c r="K133" s="26">
        <f>MAX(K132,IF(U132="PV",1,0))</f>
        <v/>
      </c>
      <c r="L133" s="26">
        <f>MAX(L132,IF(U132="OC",1,0))</f>
        <v/>
      </c>
      <c r="M133" s="26">
        <f>MAX(M132,IF(U132="MG",1,0))</f>
        <v/>
      </c>
      <c r="N133" s="26">
        <f>MAX(N132,IF(U132="transition",1,0))</f>
        <v/>
      </c>
      <c r="O133" s="28">
        <f>(Parameters!$B$9+(IF(E133=0,0,(Upgrades!$J$13+E133*Upgrades!$K$13)*POWER(Upgrades!$L$13,E133)))*(IF(Upgrades!$T$14="Stellar Kinematics",POWER(Upgrades!$U$14,F133),1)*IF(Upgrades!$T$15="Stellar Kinematics",POWER(Upgrades!$U$15,G133),1)*IF(Upgrades!$T$16="Stellar Kinematics",POWER(Upgrades!$U$16,H133),1)*IF(Upgrades!$T$17="Stellar Kinematics",POWER(Upgrades!$U$17,I133),1)*IF(Upgrades!$T$18="Stellar Kinematics",POWER(Upgrades!$U$18,J133),1)*IF(Upgrades!$T$19="Stellar Kinematics",POWER(Upgrades!$U$19,K133),1)*IF(Upgrades!$T$20="Stellar Kinematics",POWER(Upgrades!$U$20,L133),1)*IF(Upgrades!$T$21="Stellar Kinematics",POWER(Upgrades!$U$21,M133),1))+(IF(F133=0,0,(Upgrades!$J$14+F133*Upgrades!$K$14)*POWER(Upgrades!$L$14,F133)))*(IF(Upgrades!$T$13="Local Bubble",POWER(Upgrades!$U$13,E133),1)*IF(Upgrades!$T$15="Local Bubble",POWER(Upgrades!$U$15,G133),1)*IF(Upgrades!$T$16="Local Bubble",POWER(Upgrades!$U$16,H133),1)*IF(Upgrades!$T$17="Local Bubble",POWER(Upgrades!$U$17,I133),1)*IF(Upgrades!$T$18="Local Bubble",POWER(Upgrades!$U$18,J133),1)*IF(Upgrades!$T$19="Local Bubble",POWER(Upgrades!$U$19,K133),1)*IF(Upgrades!$T$20="Local Bubble",POWER(Upgrades!$U$20,L133),1)*IF(Upgrades!$T$21="Local Bubble",POWER(Upgrades!$U$21,M133),1))+(IF(G133=0,0,(Upgrades!$J$15+G133*Upgrades!$K$15)*POWER(Upgrades!$L$15,G133)))*(IF(Upgrades!$T$13="Microlensing",POWER(Upgrades!$U$13,E133),1)*IF(Upgrades!$T$14="Microlensing",POWER(Upgrades!$U$14,F133),1)*IF(Upgrades!$T$16="Microlensing",POWER(Upgrades!$U$16,H133),1)*IF(Upgrades!$T$17="Microlensing",POWER(Upgrades!$U$17,I133),1)*IF(Upgrades!$T$18="Microlensing",POWER(Upgrades!$U$18,J133),1)*IF(Upgrades!$T$19="Microlensing",POWER(Upgrades!$U$19,K133),1)*IF(Upgrades!$T$20="Microlensing",POWER(Upgrades!$U$20,L133),1)*IF(Upgrades!$T$21="Microlensing",POWER(Upgrades!$U$21,M133),1))+(IF(H133=0,0,(Upgrades!$J$16+H133*Upgrades!$K$16)*POWER(Upgrades!$L$16,H133)))*(IF(Upgrades!$T$13="Roche Lobe Overflow",POWER(Upgrades!$U$13,E133),1)*IF(Upgrades!$T$14="Roche Lobe Overflow",POWER(Upgrades!$U$14,F133),1)*IF(Upgrades!$T$15="Roche Lobe Overflow",POWER(Upgrades!$U$15,G133),1)*IF(Upgrades!$T$17="Roche Lobe Overflow",POWER(Upgrades!$U$17,I133),1)*IF(Upgrades!$T$18="Roche Lobe Overflow",POWER(Upgrades!$U$18,J133),1)*IF(Upgrades!$T$19="Roche Lobe Overflow",POWER(Upgrades!$U$19,K133),1)*IF(Upgrades!$T$20="Roche Lobe Overflow",POWER(Upgrades!$U$20,L133),1)*IF(Upgrades!$T$21="Roche Lobe Overflow",POWER(Upgrades!$U$21,M133),1))+(IF(I133=0,0,(Upgrades!$J$17+I133*Upgrades!$K$17)*POWER(Upgrades!$L$17,I133)))*(IF(Upgrades!$T$13="Brown Dwarf",POWER(Upgrades!$U$13,E133),1)*IF(Upgrades!$T$14="Brown Dwarf",POWER(Upgrades!$U$14,F133),1)*IF(Upgrades!$T$15="Brown Dwarf",POWER(Upgrades!$U$15,G133),1)*IF(Upgrades!$T$16="Brown Dwarf",POWER(Upgrades!$U$16,H133),1)*IF(Upgrades!$T$18="Brown Dwarf",POWER(Upgrades!$U$18,J133),1)*IF(Upgrades!$T$19="Brown Dwarf",POWER(Upgrades!$U$19,K133),1)*IF(Upgrades!$T$20="Brown Dwarf",POWER(Upgrades!$U$20,L133),1)*IF(Upgrades!$T$21="Brown Dwarf",POWER(Upgrades!$U$21,M133),1))+(IF(J133=0,0,(Upgrades!$J$18+J133*Upgrades!$K$18)*POWER(Upgrades!$L$18,J133)))*(IF(Upgrades!$T$13="Binary Partner",POWER(Upgrades!$U$13,E133),1)*IF(Upgrades!$T$14="Binary Partner",POWER(Upgrades!$U$14,F133),1)*IF(Upgrades!$T$15="Binary Partner",POWER(Upgrades!$U$15,G133),1)*IF(Upgrades!$T$16="Binary Partner",POWER(Upgrades!$U$16,H133),1)*IF(Upgrades!$T$17="Binary Partner",POWER(Upgrades!$U$17,I133),1)*IF(Upgrades!$T$19="Binary Partner",POWER(Upgrades!$U$19,K133),1)*IF(Upgrades!$T$20="Binary Partner",POWER(Upgrades!$U$20,L133),1)*IF(Upgrades!$T$21="Binary Partner",POWER(Upgrades!$U$21,M133),1))+(IF(K133=0,0,(Upgrades!$J$19+K133*Upgrades!$K$19)*POWER(Upgrades!$L$19,K133)))*(IF(Upgrades!$T$13="Peculiar Velocity",POWER(Upgrades!$U$13,E133),1)*IF(Upgrades!$T$14="Peculiar Velocity",POWER(Upgrades!$U$14,F133),1)*IF(Upgrades!$T$15="Peculiar Velocity",POWER(Upgrades!$U$15,G133),1)*IF(Upgrades!$T$16="Peculiar Velocity",POWER(Upgrades!$U$16,H133),1)*IF(Upgrades!$T$17="Peculiar Velocity",POWER(Upgrades!$U$17,I133),1)*IF(Upgrades!$T$18="Peculiar Velocity",POWER(Upgrades!$U$18,J133),1)*IF(Upgrades!$T$20="Peculiar Velocity",POWER(Upgrades!$U$20,L133),1)*IF(Upgrades!$T$21="Peculiar Velocity",POWER(Upgrades!$U$21,M133),1))+(IF(L133=0,0,(Upgrades!$J$20+L133*Upgrades!$K$20)*POWER(Upgrades!$L$20,L133)))*(IF(Upgrades!$T$13="Open Cluster",POWER(Upgrades!$U$13,E133),1)*IF(Upgrades!$T$14="Open Cluster",POWER(Upgrades!$U$14,F133),1)*IF(Upgrades!$T$15="Open Cluster",POWER(Upgrades!$U$15,G133),1)*IF(Upgrades!$T$16="Open Cluster",POWER(Upgrades!$U$16,H133),1)*IF(Upgrades!$T$17="Open Cluster",POWER(Upgrades!$U$17,I133),1)*IF(Upgrades!$T$18="Open Cluster",POWER(Upgrades!$U$18,J133),1)*IF(Upgrades!$T$19="Open Cluster",POWER(Upgrades!$U$19,K133),1)*IF(Upgrades!$T$21="Open Cluster",POWER(Upgrades!$U$21,M133),1))+(IF(M133=0,0,(Upgrades!$J$21+M133*Upgrades!$K$21)*POWER(Upgrades!$L$21,M133)))*(IF(Upgrades!$T$13="Moving Group",POWER(Upgrades!$U$13,E133),1)*IF(Upgrades!$T$14="Moving Group",POWER(Upgrades!$U$14,F133),1)*IF(Upgrades!$T$15="Moving Group",POWER(Upgrades!$U$15,G133),1)*IF(Upgrades!$T$16="Moving Group",POWER(Upgrades!$U$16,H133),1)*IF(Upgrades!$T$17="Moving Group",POWER(Upgrades!$U$17,I133),1)*IF(Upgrades!$T$18="Moving Group",POWER(Upgrades!$U$18,J133),1)*IF(Upgrades!$T$19="Moving Group",POWER(Upgrades!$U$19,K133),1)*IF(Upgrades!$T$20="Moving Group",POWER(Upgrades!$U$20,L133),1)))*POWER(Upgrades!$Q$13,E133)*POWER(Upgrades!$Q$14,F133)*POWER(Upgrades!$Q$15,G133)*POWER(Upgrades!$Q$16,H133)*POWER(Upgrades!$Q$17,I133)*POWER(Upgrades!$Q$18,J133)*POWER(Upgrades!$Q$19,K133)*POWER(Upgrades!$Q$20,L133)*POWER(Upgrades!$Q$21,M133)*$G$6+$D$6</f>
        <v/>
      </c>
      <c r="P133" s="28">
        <f>((IF(E133=0,0,(Upgrades!$G$13+E133*Upgrades!$H$13)*POWER(Upgrades!$I$13,E133)))*(IF(Upgrades!$T$14="Stellar Kinematics",POWER(Upgrades!$U$14,F133),1)*IF(Upgrades!$T$15="Stellar Kinematics",POWER(Upgrades!$U$15,G133),1)*IF(Upgrades!$T$16="Stellar Kinematics",POWER(Upgrades!$U$16,H133),1)*IF(Upgrades!$T$17="Stellar Kinematics",POWER(Upgrades!$U$17,I133),1)*IF(Upgrades!$T$18="Stellar Kinematics",POWER(Upgrades!$U$18,J133),1)*IF(Upgrades!$T$19="Stellar Kinematics",POWER(Upgrades!$U$19,K133),1)*IF(Upgrades!$T$20="Stellar Kinematics",POWER(Upgrades!$U$20,L133),1)*IF(Upgrades!$T$21="Stellar Kinematics",POWER(Upgrades!$U$21,M133),1))+(IF(F133=0,0,(Upgrades!$G$14+F133*Upgrades!$H$14)*POWER(Upgrades!$I$14,F133)))*(IF(Upgrades!$T$13="Local Bubble",POWER(Upgrades!$U$13,E133),1)*IF(Upgrades!$T$15="Local Bubble",POWER(Upgrades!$U$15,G133),1)*IF(Upgrades!$T$16="Local Bubble",POWER(Upgrades!$U$16,H133),1)*IF(Upgrades!$T$17="Local Bubble",POWER(Upgrades!$U$17,I133),1)*IF(Upgrades!$T$18="Local Bubble",POWER(Upgrades!$U$18,J133),1)*IF(Upgrades!$T$19="Local Bubble",POWER(Upgrades!$U$19,K133),1)*IF(Upgrades!$T$20="Local Bubble",POWER(Upgrades!$U$20,L133),1)*IF(Upgrades!$T$21="Local Bubble",POWER(Upgrades!$U$21,M133),1))+(IF(G133=0,0,(Upgrades!$G$15+G133*Upgrades!$H$15)*POWER(Upgrades!$I$15,G133)))*(IF(Upgrades!$T$13="Microlensing",POWER(Upgrades!$U$13,E133),1)*IF(Upgrades!$T$14="Microlensing",POWER(Upgrades!$U$14,F133),1)*IF(Upgrades!$T$16="Microlensing",POWER(Upgrades!$U$16,H133),1)*IF(Upgrades!$T$17="Microlensing",POWER(Upgrades!$U$17,I133),1)*IF(Upgrades!$T$18="Microlensing",POWER(Upgrades!$U$18,J133),1)*IF(Upgrades!$T$19="Microlensing",POWER(Upgrades!$U$19,K133),1)*IF(Upgrades!$T$20="Microlensing",POWER(Upgrades!$U$20,L133),1)*IF(Upgrades!$T$21="Microlensing",POWER(Upgrades!$U$21,M133),1))+(IF(H133=0,0,(Upgrades!$G$16+H133*Upgrades!$H$16)*POWER(Upgrades!$I$16,H133)))*(IF(Upgrades!$T$13="Roche Lobe Overflow",POWER(Upgrades!$U$13,E133),1)*IF(Upgrades!$T$14="Roche Lobe Overflow",POWER(Upgrades!$U$14,F133),1)*IF(Upgrades!$T$15="Roche Lobe Overflow",POWER(Upgrades!$U$15,G133),1)*IF(Upgrades!$T$17="Roche Lobe Overflow",POWER(Upgrades!$U$17,I133),1)*IF(Upgrades!$T$18="Roche Lobe Overflow",POWER(Upgrades!$U$18,J133),1)*IF(Upgrades!$T$19="Roche Lobe Overflow",POWER(Upgrades!$U$19,K133),1)*IF(Upgrades!$T$20="Roche Lobe Overflow",POWER(Upgrades!$U$20,L133),1)*IF(Upgrades!$T$21="Roche Lobe Overflow",POWER(Upgrades!$U$21,M133),1))+(IF(I133=0,0,(Upgrades!$G$17+I133*Upgrades!$H$17)*POWER(Upgrades!$I$17,I133)))*(IF(Upgrades!$T$13="Brown Dwarf",POWER(Upgrades!$U$13,E133),1)*IF(Upgrades!$T$14="Brown Dwarf",POWER(Upgrades!$U$14,F133),1)*IF(Upgrades!$T$15="Brown Dwarf",POWER(Upgrades!$U$15,G133),1)*IF(Upgrades!$T$16="Brown Dwarf",POWER(Upgrades!$U$16,H133),1)*IF(Upgrades!$T$18="Brown Dwarf",POWER(Upgrades!$U$18,J133),1)*IF(Upgrades!$T$19="Brown Dwarf",POWER(Upgrades!$U$19,K133),1)*IF(Upgrades!$T$20="Brown Dwarf",POWER(Upgrades!$U$20,L133),1)*IF(Upgrades!$T$21="Brown Dwarf",POWER(Upgrades!$U$21,M133),1))+(IF(J133=0,0,(Upgrades!$G$18+J133*Upgrades!$H$18)*POWER(Upgrades!$I$18,J133)))*(IF(Upgrades!$T$13="Binary Partner",POWER(Upgrades!$U$13,E133),1)*IF(Upgrades!$T$14="Binary Partner",POWER(Upgrades!$U$14,F133),1)*IF(Upgrades!$T$15="Binary Partner",POWER(Upgrades!$U$15,G133),1)*IF(Upgrades!$T$16="Binary Partner",POWER(Upgrades!$U$16,H133),1)*IF(Upgrades!$T$17="Binary Partner",POWER(Upgrades!$U$17,I133),1)*IF(Upgrades!$T$19="Binary Partner",POWER(Upgrades!$U$19,K133),1)*IF(Upgrades!$T$20="Binary Partner",POWER(Upgrades!$U$20,L133),1)*IF(Upgrades!$T$21="Binary Partner",POWER(Upgrades!$U$21,M133),1))+(IF(K133=0,0,(Upgrades!$G$19+K133*Upgrades!$H$19)*POWER(Upgrades!$I$19,K133)))*(IF(Upgrades!$T$13="Peculiar Velocity",POWER(Upgrades!$U$13,E133),1)*IF(Upgrades!$T$14="Peculiar Velocity",POWER(Upgrades!$U$14,F133),1)*IF(Upgrades!$T$15="Peculiar Velocity",POWER(Upgrades!$U$15,G133),1)*IF(Upgrades!$T$16="Peculiar Velocity",POWER(Upgrades!$U$16,H133),1)*IF(Upgrades!$T$17="Peculiar Velocity",POWER(Upgrades!$U$17,I133),1)*IF(Upgrades!$T$18="Peculiar Velocity",POWER(Upgrades!$U$18,J133),1)*IF(Upgrades!$T$20="Peculiar Velocity",POWER(Upgrades!$U$20,L133),1)*IF(Upgrades!$T$21="Peculiar Velocity",POWER(Upgrades!$U$21,M133),1))+(IF(L133=0,0,(Upgrades!$G$20+L133*Upgrades!$H$20)*POWER(Upgrades!$I$20,L133)))*(IF(Upgrades!$T$13="Open Cluster",POWER(Upgrades!$U$13,E133),1)*IF(Upgrades!$T$14="Open Cluster",POWER(Upgrades!$U$14,F133),1)*IF(Upgrades!$T$15="Open Cluster",POWER(Upgrades!$U$15,G133),1)*IF(Upgrades!$T$16="Open Cluster",POWER(Upgrades!$U$16,H133),1)*IF(Upgrades!$T$17="Open Cluster",POWER(Upgrades!$U$17,I133),1)*IF(Upgrades!$T$18="Open Cluster",POWER(Upgrades!$U$18,J133),1)*IF(Upgrades!$T$19="Open Cluster",POWER(Upgrades!$U$19,K133),1)*IF(Upgrades!$T$21="Open Cluster",POWER(Upgrades!$U$21,M133),1))+(IF(M133=0,0,(Upgrades!$G$21+M133*Upgrades!$H$21)*POWER(Upgrades!$I$21,M133)))*(IF(Upgrades!$T$13="Moving Group",POWER(Upgrades!$U$13,E133),1)*IF(Upgrades!$T$14="Moving Group",POWER(Upgrades!$U$14,F133),1)*IF(Upgrades!$T$15="Moving Group",POWER(Upgrades!$U$15,G133),1)*IF(Upgrades!$T$16="Moving Group",POWER(Upgrades!$U$16,H133),1)*IF(Upgrades!$T$17="Moving Group",POWER(Upgrades!$U$17,I133),1)*IF(Upgrades!$T$18="Moving Group",POWER(Upgrades!$U$18,J133),1)*IF(Upgrades!$T$19="Moving Group",POWER(Upgrades!$U$19,K133),1)*IF(Upgrades!$T$20="Moving Group",POWER(Upgrades!$U$20,L133),1)))*POWER(Upgrades!$P$13,E133)*POWER(Upgrades!$P$14,F133)*POWER(Upgrades!$P$15,G133)*POWER(Upgrades!$P$16,H133)*POWER(Upgrades!$P$17,I133)*POWER(Upgrades!$P$18,J133)*POWER(Upgrades!$P$19,K133)*POWER(Upgrades!$P$20,L133)*POWER(Upgrades!$P$21,M133)*$F$6+$C$6</f>
        <v/>
      </c>
      <c r="Q133" s="28">
        <f>((IF(E133=0,0,(Upgrades!$M$13+E133*Upgrades!$N$13)*POWER(Upgrades!$O$13,E133)))*(IF(Upgrades!$T$14="Stellar Kinematics",POWER(Upgrades!$U$14,F133),1)*IF(Upgrades!$T$15="Stellar Kinematics",POWER(Upgrades!$U$15,G133),1)*IF(Upgrades!$T$16="Stellar Kinematics",POWER(Upgrades!$U$16,H133),1)*IF(Upgrades!$T$17="Stellar Kinematics",POWER(Upgrades!$U$17,I133),1)*IF(Upgrades!$T$18="Stellar Kinematics",POWER(Upgrades!$U$18,J133),1)*IF(Upgrades!$T$19="Stellar Kinematics",POWER(Upgrades!$U$19,K133),1)*IF(Upgrades!$T$20="Stellar Kinematics",POWER(Upgrades!$U$20,L133),1)*IF(Upgrades!$T$21="Stellar Kinematics",POWER(Upgrades!$U$21,M133),1))+(IF(F133=0,0,(Upgrades!$M$14+F133*Upgrades!$N$14)*POWER(Upgrades!$O$14,F133)))*(IF(Upgrades!$T$13="Local Bubble",POWER(Upgrades!$U$13,E133),1)*IF(Upgrades!$T$15="Local Bubble",POWER(Upgrades!$U$15,G133),1)*IF(Upgrades!$T$16="Local Bubble",POWER(Upgrades!$U$16,H133),1)*IF(Upgrades!$T$17="Local Bubble",POWER(Upgrades!$U$17,I133),1)*IF(Upgrades!$T$18="Local Bubble",POWER(Upgrades!$U$18,J133),1)*IF(Upgrades!$T$19="Local Bubble",POWER(Upgrades!$U$19,K133),1)*IF(Upgrades!$T$20="Local Bubble",POWER(Upgrades!$U$20,L133),1)*IF(Upgrades!$T$21="Local Bubble",POWER(Upgrades!$U$21,M133),1))+(IF(G133=0,0,(Upgrades!$M$15+G133*Upgrades!$N$15)*POWER(Upgrades!$O$15,G133)))*(IF(Upgrades!$T$13="Microlensing",POWER(Upgrades!$U$13,E133),1)*IF(Upgrades!$T$14="Microlensing",POWER(Upgrades!$U$14,F133),1)*IF(Upgrades!$T$16="Microlensing",POWER(Upgrades!$U$16,H133),1)*IF(Upgrades!$T$17="Microlensing",POWER(Upgrades!$U$17,I133),1)*IF(Upgrades!$T$18="Microlensing",POWER(Upgrades!$U$18,J133),1)*IF(Upgrades!$T$19="Microlensing",POWER(Upgrades!$U$19,K133),1)*IF(Upgrades!$T$20="Microlensing",POWER(Upgrades!$U$20,L133),1)*IF(Upgrades!$T$21="Microlensing",POWER(Upgrades!$U$21,M133),1))+(IF(H133=0,0,(Upgrades!$M$16+H133*Upgrades!$N$16)*POWER(Upgrades!$O$16,H133)))*(IF(Upgrades!$T$13="Roche Lobe Overflow",POWER(Upgrades!$U$13,E133),1)*IF(Upgrades!$T$14="Roche Lobe Overflow",POWER(Upgrades!$U$14,F133),1)*IF(Upgrades!$T$15="Roche Lobe Overflow",POWER(Upgrades!$U$15,G133),1)*IF(Upgrades!$T$17="Roche Lobe Overflow",POWER(Upgrades!$U$17,I133),1)*IF(Upgrades!$T$18="Roche Lobe Overflow",POWER(Upgrades!$U$18,J133),1)*IF(Upgrades!$T$19="Roche Lobe Overflow",POWER(Upgrades!$U$19,K133),1)*IF(Upgrades!$T$20="Roche Lobe Overflow",POWER(Upgrades!$U$20,L133),1)*IF(Upgrades!$T$21="Roche Lobe Overflow",POWER(Upgrades!$U$21,M133),1))+(IF(I133=0,0,(Upgrades!$M$17+I133*Upgrades!$N$17)*POWER(Upgrades!$O$17,I133)))*(IF(Upgrades!$T$13="Brown Dwarf",POWER(Upgrades!$U$13,E133),1)*IF(Upgrades!$T$14="Brown Dwarf",POWER(Upgrades!$U$14,F133),1)*IF(Upgrades!$T$15="Brown Dwarf",POWER(Upgrades!$U$15,G133),1)*IF(Upgrades!$T$16="Brown Dwarf",POWER(Upgrades!$U$16,H133),1)*IF(Upgrades!$T$18="Brown Dwarf",POWER(Upgrades!$U$18,J133),1)*IF(Upgrades!$T$19="Brown Dwarf",POWER(Upgrades!$U$19,K133),1)*IF(Upgrades!$T$20="Brown Dwarf",POWER(Upgrades!$U$20,L133),1)*IF(Upgrades!$T$21="Brown Dwarf",POWER(Upgrades!$U$21,M133),1))+(IF(J133=0,0,(Upgrades!$M$18+J133*Upgrades!$N$18)*POWER(Upgrades!$O$18,J133)))*(IF(Upgrades!$T$13="Binary Partner",POWER(Upgrades!$U$13,E133),1)*IF(Upgrades!$T$14="Binary Partner",POWER(Upgrades!$U$14,F133),1)*IF(Upgrades!$T$15="Binary Partner",POWER(Upgrades!$U$15,G133),1)*IF(Upgrades!$T$16="Binary Partner",POWER(Upgrades!$U$16,H133),1)*IF(Upgrades!$T$17="Binary Partner",POWER(Upgrades!$U$17,I133),1)*IF(Upgrades!$T$19="Binary Partner",POWER(Upgrades!$U$19,K133),1)*IF(Upgrades!$T$20="Binary Partner",POWER(Upgrades!$U$20,L133),1)*IF(Upgrades!$T$21="Binary Partner",POWER(Upgrades!$U$21,M133),1))+(IF(K133=0,0,(Upgrades!$M$19+K133*Upgrades!$N$19)*POWER(Upgrades!$O$19,K133)))*(IF(Upgrades!$T$13="Peculiar Velocity",POWER(Upgrades!$U$13,E133),1)*IF(Upgrades!$T$14="Peculiar Velocity",POWER(Upgrades!$U$14,F133),1)*IF(Upgrades!$T$15="Peculiar Velocity",POWER(Upgrades!$U$15,G133),1)*IF(Upgrades!$T$16="Peculiar Velocity",POWER(Upgrades!$U$16,H133),1)*IF(Upgrades!$T$17="Peculiar Velocity",POWER(Upgrades!$U$17,I133),1)*IF(Upgrades!$T$18="Peculiar Velocity",POWER(Upgrades!$U$18,J133),1)*IF(Upgrades!$T$20="Peculiar Velocity",POWER(Upgrades!$U$20,L133),1)*IF(Upgrades!$T$21="Peculiar Velocity",POWER(Upgrades!$U$21,M133),1))+(IF(L133=0,0,(Upgrades!$M$20+L133*Upgrades!$N$20)*POWER(Upgrades!$O$20,L133)))*(IF(Upgrades!$T$13="Open Cluster",POWER(Upgrades!$U$13,E133),1)*IF(Upgrades!$T$14="Open Cluster",POWER(Upgrades!$U$14,F133),1)*IF(Upgrades!$T$15="Open Cluster",POWER(Upgrades!$U$15,G133),1)*IF(Upgrades!$T$16="Open Cluster",POWER(Upgrades!$U$16,H133),1)*IF(Upgrades!$T$17="Open Cluster",POWER(Upgrades!$U$17,I133),1)*IF(Upgrades!$T$18="Open Cluster",POWER(Upgrades!$U$18,J133),1)*IF(Upgrades!$T$19="Open Cluster",POWER(Upgrades!$U$19,K133),1)*IF(Upgrades!$T$21="Open Cluster",POWER(Upgrades!$U$21,M133),1))+(IF(M133=0,0,(Upgrades!$M$21+M133*Upgrades!$N$21)*POWER(Upgrades!$O$21,M133)))*(IF(Upgrades!$T$13="Moving Group",POWER(Upgrades!$U$13,E133),1)*IF(Upgrades!$T$14="Moving Group",POWER(Upgrades!$U$14,F133),1)*IF(Upgrades!$T$15="Moving Group",POWER(Upgrades!$U$15,G133),1)*IF(Upgrades!$T$16="Moving Group",POWER(Upgrades!$U$16,H133),1)*IF(Upgrades!$T$17="Moving Group",POWER(Upgrades!$U$17,I133),1)*IF(Upgrades!$T$18="Moving Group",POWER(Upgrades!$U$18,J133),1)*IF(Upgrades!$T$19="Moving Group",POWER(Upgrades!$U$19,K133),1)*IF(Upgrades!$T$20="Moving Group",POWER(Upgrades!$U$20,L133),1)))*POWER(Upgrades!$R$13,E133)*POWER(Upgrades!$R$14,F133)*POWER(Upgrades!$R$15,G133)*POWER(Upgrades!$R$16,H133)*POWER(Upgrades!$R$17,I133)*POWER(Upgrades!$R$18,J133)*POWER(Upgrades!$R$19,K133)*POWER(Upgrades!$R$20,L133)*POWER(Upgrades!$R$21,M133)*$H$6+$E$6</f>
        <v/>
      </c>
      <c r="R133" s="27">
        <f>IF(N133=1,0,O133*Parameters!$B$10/60*Parameters!$B$11*10)</f>
        <v/>
      </c>
      <c r="S133" s="27">
        <f>IF(N133=1,0,Q133*O133*10)</f>
        <v/>
      </c>
      <c r="T133" s="27">
        <f>IF(N133=1,0,R133+S133+P133*10)</f>
        <v/>
      </c>
      <c r="U133" s="33">
        <f>BE133</f>
        <v/>
      </c>
      <c r="V133" s="22">
        <f>IF(U133="",0,IF(U133="transition",0,IF(U133="SK",AK133,IF(U133="LB",AL133,IF(U133="ML",AM133,IF(U133="RLO",AN133,IF(U133="BD",AO133,IF(U133="BiP",AP133,IF(U133="PV",AQ133,IF(U133="OC",AR133,IF(U133="MG",AS133,0))))))))))</f>
        <v/>
      </c>
      <c r="W133" s="27">
        <f>IF(U133="BiP",Upgrades!$F$18,IF(U133="PV",Upgrades!$F$19,IF(U133="OC",Upgrades!$F$20,IF(U133="MG",Upgrades!$F$21,IF(U133="transition",-Parameters!$B$18*Parameters!$B$19,0)))))</f>
        <v/>
      </c>
      <c r="X133" s="22">
        <f>C133+T133-V133</f>
        <v/>
      </c>
      <c r="Y133" s="30">
        <f>O133*Parameters!$B$10/60*Parameters!$B$11+Q133*O133+P133</f>
        <v/>
      </c>
      <c r="Z133" s="34">
        <f>IF(U133="transition","→ Tier 3 (Galactic Arm)",IF(U133="MG","Moving Group — pocket drifts together",IF(U133="OC","Open Cluster acquired",IF(U133="PV","Peculiar Velocity — passive multiplier active",IF(U133="BiP","Binary Partner — pair bond formed",IF(AND(AU133=1,N133=0,AT133&lt;&gt;1),"Cohesion ready (waiting on completionists)","")))))) </f>
        <v/>
      </c>
      <c r="AA133" s="27">
        <f>(IF(E133=0,0,(Upgrades!$G$13+E133*Upgrades!$H$13)*POWER(Upgrades!$I$13,E133)))*(IF(Upgrades!$T$14="Stellar Kinematics",POWER(Upgrades!$U$14,F133),1)*IF(Upgrades!$T$15="Stellar Kinematics",POWER(Upgrades!$U$15,G133),1)*IF(Upgrades!$T$16="Stellar Kinematics",POWER(Upgrades!$U$16,H133),1)*IF(Upgrades!$T$17="Stellar Kinematics",POWER(Upgrades!$U$17,I133),1)*IF(Upgrades!$T$18="Stellar Kinematics",POWER(Upgrades!$U$18,J133),1)*IF(Upgrades!$T$19="Stellar Kinematics",POWER(Upgrades!$U$19,K133),1)*IF(Upgrades!$T$20="Stellar Kinematics",POWER(Upgrades!$U$20,L133),1)*IF(Upgrades!$T$21="Stellar Kinematics",POWER(Upgrades!$U$21,M133),1))*POWER(Upgrades!$P$13,E133)*POWER(Upgrades!$P$14,F133)*POWER(Upgrades!$P$15,G133)*POWER(Upgrades!$P$16,H133)*POWER(Upgrades!$P$17,I133)*POWER(Upgrades!$P$18,J133)*POWER(Upgrades!$P$19,K133)*POWER(Upgrades!$P$20,L133)*POWER(Upgrades!$P$21,M133)*$F$6*60</f>
        <v/>
      </c>
      <c r="AB133" s="27">
        <f>(IF(F133=0,0,(Upgrades!$G$14+F133*Upgrades!$H$14)*POWER(Upgrades!$I$14,F133)))*(IF(Upgrades!$T$13="Local Bubble",POWER(Upgrades!$U$13,E133),1)*IF(Upgrades!$T$15="Local Bubble",POWER(Upgrades!$U$15,G133),1)*IF(Upgrades!$T$16="Local Bubble",POWER(Upgrades!$U$16,H133),1)*IF(Upgrades!$T$17="Local Bubble",POWER(Upgrades!$U$17,I133),1)*IF(Upgrades!$T$18="Local Bubble",POWER(Upgrades!$U$18,J133),1)*IF(Upgrades!$T$19="Local Bubble",POWER(Upgrades!$U$19,K133),1)*IF(Upgrades!$T$20="Local Bubble",POWER(Upgrades!$U$20,L133),1)*IF(Upgrades!$T$21="Local Bubble",POWER(Upgrades!$U$21,M133),1))*POWER(Upgrades!$P$13,E133)*POWER(Upgrades!$P$14,F133)*POWER(Upgrades!$P$15,G133)*POWER(Upgrades!$P$16,H133)*POWER(Upgrades!$P$17,I133)*POWER(Upgrades!$P$18,J133)*POWER(Upgrades!$P$19,K133)*POWER(Upgrades!$P$20,L133)*POWER(Upgrades!$P$21,M133)*$F$6*60</f>
        <v/>
      </c>
      <c r="AC133" s="27">
        <f>(IF(G133=0,0,(Upgrades!$J$15+G133*Upgrades!$K$15)*POWER(Upgrades!$L$15,G133)))*(IF(Upgrades!$T$13="Microlensing",POWER(Upgrades!$U$13,E133),1)*IF(Upgrades!$T$14="Microlensing",POWER(Upgrades!$U$14,F133),1)*IF(Upgrades!$T$16="Microlensing",POWER(Upgrades!$U$16,H133),1)*IF(Upgrades!$T$17="Microlensing",POWER(Upgrades!$U$17,I133),1)*IF(Upgrades!$T$18="Microlensing",POWER(Upgrades!$U$18,J133),1)*IF(Upgrades!$T$19="Microlensing",POWER(Upgrades!$U$19,K133),1)*IF(Upgrades!$T$20="Microlensing",POWER(Upgrades!$U$20,L133),1)*IF(Upgrades!$T$21="Microlensing",POWER(Upgrades!$U$21,M133),1))*POWER(Upgrades!$Q$13,E133)*POWER(Upgrades!$Q$14,F133)*POWER(Upgrades!$Q$15,G133)*POWER(Upgrades!$Q$16,H133)*POWER(Upgrades!$Q$17,I133)*POWER(Upgrades!$Q$18,J133)*POWER(Upgrades!$Q$19,K133)*POWER(Upgrades!$Q$20,L133)*POWER(Upgrades!$Q$21,M133)*$G$6*(Parameters!$B$10*Parameters!$B$11+Q133*60)</f>
        <v/>
      </c>
      <c r="AD133" s="27">
        <f>(IF(H133=0,0,(Upgrades!$M$16+H133*Upgrades!$N$16)*POWER(Upgrades!$O$16,H133)))*(IF(Upgrades!$T$13="Roche Lobe Overflow",POWER(Upgrades!$U$13,E133),1)*IF(Upgrades!$T$14="Roche Lobe Overflow",POWER(Upgrades!$U$14,F133),1)*IF(Upgrades!$T$15="Roche Lobe Overflow",POWER(Upgrades!$U$15,G133),1)*IF(Upgrades!$T$17="Roche Lobe Overflow",POWER(Upgrades!$U$17,I133),1)*IF(Upgrades!$T$18="Roche Lobe Overflow",POWER(Upgrades!$U$18,J133),1)*IF(Upgrades!$T$19="Roche Lobe Overflow",POWER(Upgrades!$U$19,K133),1)*IF(Upgrades!$T$20="Roche Lobe Overflow",POWER(Upgrades!$U$20,L133),1)*IF(Upgrades!$T$21="Roche Lobe Overflow",POWER(Upgrades!$U$21,M133),1))*POWER(Upgrades!$R$13,E133)*POWER(Upgrades!$R$14,F133)*POWER(Upgrades!$R$15,G133)*POWER(Upgrades!$R$16,H133)*POWER(Upgrades!$R$17,I133)*POWER(Upgrades!$R$18,J133)*POWER(Upgrades!$R$19,K133)*POWER(Upgrades!$R$20,L133)*POWER(Upgrades!$R$21,M133)*$H$6*O133*60</f>
        <v/>
      </c>
      <c r="AE133" s="27">
        <f>(IF(I133=0,0,(Upgrades!$G$17+I133*Upgrades!$H$17)*POWER(Upgrades!$I$17,I133)))*(IF(Upgrades!$T$13="Brown Dwarf",POWER(Upgrades!$U$13,E133),1)*IF(Upgrades!$T$14="Brown Dwarf",POWER(Upgrades!$U$14,F133),1)*IF(Upgrades!$T$15="Brown Dwarf",POWER(Upgrades!$U$15,G133),1)*IF(Upgrades!$T$16="Brown Dwarf",POWER(Upgrades!$U$16,H133),1)*IF(Upgrades!$T$18="Brown Dwarf",POWER(Upgrades!$U$18,J133),1)*IF(Upgrades!$T$19="Brown Dwarf",POWER(Upgrades!$U$19,K133),1)*IF(Upgrades!$T$20="Brown Dwarf",POWER(Upgrades!$U$20,L133),1)*IF(Upgrades!$T$21="Brown Dwarf",POWER(Upgrades!$U$21,M133),1))*POWER(Upgrades!$P$13,E133)*POWER(Upgrades!$P$14,F133)*POWER(Upgrades!$P$15,G133)*POWER(Upgrades!$P$16,H133)*POWER(Upgrades!$P$17,I133)*POWER(Upgrades!$P$18,J133)*POWER(Upgrades!$P$19,K133)*POWER(Upgrades!$P$20,L133)*POWER(Upgrades!$P$21,M133)*$F$6*60</f>
        <v/>
      </c>
      <c r="AF133" s="27" t="n">
        <v>0</v>
      </c>
      <c r="AG133" s="27" t="n">
        <v>0</v>
      </c>
      <c r="AH133" s="27" t="n">
        <v>0</v>
      </c>
      <c r="AI133" s="27">
        <f>(IF(M133=0,0,(Upgrades!$G$21+M133*Upgrades!$H$21)*POWER(Upgrades!$I$21,M133)))*(IF(Upgrades!$T$13="Moving Group",POWER(Upgrades!$U$13,E133),1)*IF(Upgrades!$T$14="Moving Group",POWER(Upgrades!$U$14,F133),1)*IF(Upgrades!$T$15="Moving Group",POWER(Upgrades!$U$15,G133),1)*IF(Upgrades!$T$16="Moving Group",POWER(Upgrades!$U$16,H133),1)*IF(Upgrades!$T$17="Moving Group",POWER(Upgrades!$U$17,I133),1)*IF(Upgrades!$T$18="Moving Group",POWER(Upgrades!$U$18,J133),1)*IF(Upgrades!$T$19="Moving Group",POWER(Upgrades!$U$19,K133),1)*IF(Upgrades!$T$20="Moving Group",POWER(Upgrades!$U$20,L133),1))*POWER(Upgrades!$P$13,E133)*POWER(Upgrades!$P$14,F133)*POWER(Upgrades!$P$15,G133)*POWER(Upgrades!$P$16,H133)*POWER(Upgrades!$P$17,I133)*POWER(Upgrades!$P$18,J133)*POWER(Upgrades!$P$19,K133)*POWER(Upgrades!$P$20,L133)*POWER(Upgrades!$P$21,M133)*$F$6*60</f>
        <v/>
      </c>
      <c r="AJ133" s="27">
        <f>$C$6*60</f>
        <v/>
      </c>
      <c r="AK133" s="22">
        <f>IF(E133&gt;=Upgrades!$E$13,"",Upgrades!$C$13*POWER(Upgrades!$D$13,E133))</f>
        <v/>
      </c>
      <c r="AL133" s="22">
        <f>IF(F133&gt;=Upgrades!$E$14,"",Upgrades!$C$14*POWER(Upgrades!$D$14,F133))</f>
        <v/>
      </c>
      <c r="AM133" s="22">
        <f>IF(G133&gt;=Upgrades!$E$15,"",Upgrades!$C$15*POWER(Upgrades!$D$15,G133))</f>
        <v/>
      </c>
      <c r="AN133" s="22">
        <f>IF(H133&gt;=Upgrades!$E$16,"",Upgrades!$C$16*POWER(Upgrades!$D$16,H133))</f>
        <v/>
      </c>
      <c r="AO133" s="22">
        <f>IF(I133&gt;=Upgrades!$E$17,"",Upgrades!$C$17*POWER(Upgrades!$D$17,I133))</f>
        <v/>
      </c>
      <c r="AP133" s="22">
        <f>IF(J133&gt;=Upgrades!$E$18,"",Upgrades!$C$18*POWER(Upgrades!$D$18,J133))</f>
        <v/>
      </c>
      <c r="AQ133" s="22">
        <f>IF(K133&gt;=Upgrades!$E$19,"",Upgrades!$C$19*POWER(Upgrades!$D$19,K133))</f>
        <v/>
      </c>
      <c r="AR133" s="22">
        <f>IF(L133&gt;=Upgrades!$E$20,"",Upgrades!$C$20*POWER(Upgrades!$D$20,L133))</f>
        <v/>
      </c>
      <c r="AS133" s="22">
        <f>IF(M133&gt;=Upgrades!$E$21,"",Upgrades!$C$21*POWER(Upgrades!$D$21,M133))</f>
        <v/>
      </c>
      <c r="AT133" s="26">
        <f>IF(AND(D133&gt;=Parameters!$B$18*Parameters!$B$19,(I133&gt;=Upgrades!$E$17)*(M133&gt;=Upgrades!$E$21)=1,N133=0),1,"")</f>
        <v/>
      </c>
      <c r="AU133" s="26">
        <f>IF(AND(D133&gt;=Parameters!$B$18*Parameters!$B$19,N133=0),1,"")</f>
        <v/>
      </c>
      <c r="AV133" s="22">
        <f>MIN(IF(ISNUMBER(AP133),AP133,9E15),IF(ISNUMBER(AQ133),AQ133,9E15),IF(ISNUMBER(AR133),AR133,9E15),IF(ISNUMBER(AS133),AS133,9E15))</f>
        <v/>
      </c>
      <c r="AW133" s="22">
        <f>MIN(IF(ISNUMBER(AK133),AK133,9E15),IF(ISNUMBER(AL133),AL133,9E15),IF(ISNUMBER(AM133),AM133,9E15),IF(ISNUMBER(AN133),AN133,9E15),IF(ISNUMBER(AO133),AO133,9E15))</f>
        <v/>
      </c>
      <c r="AX133" s="29">
        <f>IF(BD133&gt;Parameters!$B$21*(MAX(IF(AND(NOT(AND(AU133=1,AT133&lt;&gt;1)),ISNUMBER(AK133),AK133&lt;=(C133+T133)),AY133,0),IF(AND(NOT(AND(AU133=1,AT133&lt;&gt;1)),ISNUMBER(AL133),AL133&lt;=(C133+T133)),AZ133,0),IF(AND(NOT(AND(AU133=1,AT133&lt;&gt;1)),ISNUMBER(AM133),AM133&lt;=(C133+T133)),BA133,0),IF(AND(NOT(AND(AU133=1,AT133&lt;&gt;1)),ISNUMBER(AN133),AN133&lt;=(C133+T133)),BB133,0),IF(AND(ISNUMBER(AO133),AO133&lt;=(C133+T133)),BC133,0))),TRUE,FALSE)</f>
        <v/>
      </c>
      <c r="AY133" s="32">
        <f>IFERROR(Upgrades!$H$13*(POWER(Upgrades!$P$13,E133)*POWER(Upgrades!$P$14,F133)*POWER(Upgrades!$P$15,G133)*POWER(Upgrades!$P$16,H133)*POWER(Upgrades!$P$17,I133)*POWER(Upgrades!$P$18,J133)*POWER(Upgrades!$P$19,K133)*POWER(Upgrades!$P$20,L133)*POWER(Upgrades!$P$21,M133))*(IF(Upgrades!$T$14="Stellar Kinematics",POWER(Upgrades!$U$14,F133),1)*IF(Upgrades!$T$15="Stellar Kinematics",POWER(Upgrades!$U$15,G133),1)*IF(Upgrades!$T$16="Stellar Kinematics",POWER(Upgrades!$U$16,H133),1)*IF(Upgrades!$T$17="Stellar Kinematics",POWER(Upgrades!$U$17,I133),1)*IF(Upgrades!$T$18="Stellar Kinematics",POWER(Upgrades!$U$18,J133),1)*IF(Upgrades!$T$19="Stellar Kinematics",POWER(Upgrades!$U$19,K133),1)*IF(Upgrades!$T$20="Stellar Kinematics",POWER(Upgrades!$U$20,L133),1)*IF(Upgrades!$T$21="Stellar Kinematics",POWER(Upgrades!$U$21,M133),1))*$F$6/AK133,0)</f>
        <v/>
      </c>
      <c r="AZ133" s="32">
        <f>IFERROR(Upgrades!$H$14*(POWER(Upgrades!$P$13,E133)*POWER(Upgrades!$P$14,F133)*POWER(Upgrades!$P$15,G133)*POWER(Upgrades!$P$16,H133)*POWER(Upgrades!$P$17,I133)*POWER(Upgrades!$P$18,J133)*POWER(Upgrades!$P$19,K133)*POWER(Upgrades!$P$20,L133)*POWER(Upgrades!$P$21,M133))*(IF(Upgrades!$T$13="Local Bubble",POWER(Upgrades!$U$13,E133),1)*IF(Upgrades!$T$15="Local Bubble",POWER(Upgrades!$U$15,G133),1)*IF(Upgrades!$T$16="Local Bubble",POWER(Upgrades!$U$16,H133),1)*IF(Upgrades!$T$17="Local Bubble",POWER(Upgrades!$U$17,I133),1)*IF(Upgrades!$T$18="Local Bubble",POWER(Upgrades!$U$18,J133),1)*IF(Upgrades!$T$19="Local Bubble",POWER(Upgrades!$U$19,K133),1)*IF(Upgrades!$T$20="Local Bubble",POWER(Upgrades!$U$20,L133),1)*IF(Upgrades!$T$21="Local Bubble",POWER(Upgrades!$U$21,M133),1))*$F$6/AL133,0)</f>
        <v/>
      </c>
      <c r="BA133" s="32">
        <f>IFERROR(Upgrades!$K$15*(POWER(Upgrades!$Q$13,E133)*POWER(Upgrades!$Q$14,F133)*POWER(Upgrades!$Q$15,G133)*POWER(Upgrades!$Q$16,H133)*POWER(Upgrades!$Q$17,I133)*POWER(Upgrades!$Q$18,J133)*POWER(Upgrades!$Q$19,K133)*POWER(Upgrades!$Q$20,L133)*POWER(Upgrades!$Q$21,M133))*(IF(Upgrades!$T$13="Microlensing",POWER(Upgrades!$U$13,E133),1)*IF(Upgrades!$T$14="Microlensing",POWER(Upgrades!$U$14,F133),1)*IF(Upgrades!$T$16="Microlensing",POWER(Upgrades!$U$16,H133),1)*IF(Upgrades!$T$17="Microlensing",POWER(Upgrades!$U$17,I133),1)*IF(Upgrades!$T$18="Microlensing",POWER(Upgrades!$U$18,J133),1)*IF(Upgrades!$T$19="Microlensing",POWER(Upgrades!$U$19,K133),1)*IF(Upgrades!$T$20="Microlensing",POWER(Upgrades!$U$20,L133),1)*IF(Upgrades!$T$21="Microlensing",POWER(Upgrades!$U$21,M133),1))*$G$6*(Parameters!$B$10/60*Parameters!$B$11+Q133)/AM133,0)</f>
        <v/>
      </c>
      <c r="BB133" s="32">
        <f>IFERROR((Upgrades!$N$16*(POWER(Upgrades!$R$13,E133)*POWER(Upgrades!$R$14,F133)*POWER(Upgrades!$R$15,G133)*POWER(Upgrades!$R$16,H133)*POWER(Upgrades!$R$17,I133)*POWER(Upgrades!$R$18,J133)*POWER(Upgrades!$R$19,K133)*POWER(Upgrades!$R$20,L133)*POWER(Upgrades!$R$21,M133))*(IF(Upgrades!$T$13="Roche Lobe Overflow",POWER(Upgrades!$U$13,E133),1)*IF(Upgrades!$T$14="Roche Lobe Overflow",POWER(Upgrades!$U$14,F133),1)*IF(Upgrades!$T$15="Roche Lobe Overflow",POWER(Upgrades!$U$15,G133),1)*IF(Upgrades!$T$17="Roche Lobe Overflow",POWER(Upgrades!$U$17,I133),1)*IF(Upgrades!$T$18="Roche Lobe Overflow",POWER(Upgrades!$U$18,J133),1)*IF(Upgrades!$T$19="Roche Lobe Overflow",POWER(Upgrades!$U$19,K133),1)*IF(Upgrades!$T$20="Roche Lobe Overflow",POWER(Upgrades!$U$20,L133),1)*IF(Upgrades!$T$21="Roche Lobe Overflow",POWER(Upgrades!$U$21,M133),1))*$H$6*O133+((IF(F133=0,0,(Upgrades!$G$14+F133*Upgrades!$H$14)*POWER(Upgrades!$I$14,F133)))*(IF(Upgrades!$T$13="Local Bubble",POWER(Upgrades!$U$13,E133),1)*IF(Upgrades!$T$15="Local Bubble",POWER(Upgrades!$U$15,G133),1)*IF(Upgrades!$T$16="Local Bubble",POWER(Upgrades!$U$16,H133),1)*IF(Upgrades!$T$17="Local Bubble",POWER(Upgrades!$U$17,I133),1)*IF(Upgrades!$T$18="Local Bubble",POWER(Upgrades!$U$18,J133),1)*IF(Upgrades!$T$19="Local Bubble",POWER(Upgrades!$U$19,K133),1)*IF(Upgrades!$T$20="Local Bubble",POWER(Upgrades!$U$20,L133),1)*IF(Upgrades!$T$21="Local Bubble",POWER(Upgrades!$U$21,M133),1))*POWER(Upgrades!$P$13,E133)*POWER(Upgrades!$P$14,F133)*POWER(Upgrades!$P$15,G133)*POWER(Upgrades!$P$16,H133)*POWER(Upgrades!$P$17,I133)*POWER(Upgrades!$P$18,J133)*POWER(Upgrades!$P$19,K133)*POWER(Upgrades!$P$20,L133)*POWER(Upgrades!$P$21,M133)*$F$6)*0.05)/AN133,0)</f>
        <v/>
      </c>
      <c r="BC133" s="32">
        <f>IFERROR((Upgrades!$H$17*(POWER(Upgrades!$P$13,E133)*POWER(Upgrades!$P$14,F133)*POWER(Upgrades!$P$15,G133)*POWER(Upgrades!$P$16,H133)*POWER(Upgrades!$P$17,I133)*POWER(Upgrades!$P$18,J133)*POWER(Upgrades!$P$19,K133)*POWER(Upgrades!$P$20,L133)*POWER(Upgrades!$P$21,M133))*(IF(Upgrades!$T$13="Brown Dwarf",POWER(Upgrades!$U$13,E133),1)*IF(Upgrades!$T$14="Brown Dwarf",POWER(Upgrades!$U$14,F133),1)*IF(Upgrades!$T$15="Brown Dwarf",POWER(Upgrades!$U$15,G133),1)*IF(Upgrades!$T$16="Brown Dwarf",POWER(Upgrades!$U$16,H133),1)*IF(Upgrades!$T$18="Brown Dwarf",POWER(Upgrades!$U$18,J133),1)*IF(Upgrades!$T$19="Brown Dwarf",POWER(Upgrades!$U$19,K133),1)*IF(Upgrades!$T$20="Brown Dwarf",POWER(Upgrades!$U$20,L133),1)*IF(Upgrades!$T$21="Brown Dwarf",POWER(Upgrades!$U$21,M133),1))*$F$6+(((IF(H133=0,0,(Upgrades!$M$16+H133*Upgrades!$N$16)*POWER(Upgrades!$O$16,H133)))*(IF(Upgrades!$T$13="Roche Lobe Overflow",POWER(Upgrades!$U$13,E133),1)*IF(Upgrades!$T$14="Roche Lobe Overflow",POWER(Upgrades!$U$14,F133),1)*IF(Upgrades!$T$15="Roche Lobe Overflow",POWER(Upgrades!$U$15,G133),1)*IF(Upgrades!$T$17="Roche Lobe Overflow",POWER(Upgrades!$U$17,I133),1)*IF(Upgrades!$T$18="Roche Lobe Overflow",POWER(Upgrades!$U$18,J133),1)*IF(Upgrades!$T$19="Roche Lobe Overflow",POWER(Upgrades!$U$19,K133),1)*IF(Upgrades!$T$20="Roche Lobe Overflow",POWER(Upgrades!$U$20,L133),1)*IF(Upgrades!$T$21="Roche Lobe Overflow",POWER(Upgrades!$U$21,M133),1))*POWER(Upgrades!$R$13,E133)*POWER(Upgrades!$R$14,F133)*POWER(Upgrades!$R$15,G133)*POWER(Upgrades!$R$16,H133)*POWER(Upgrades!$R$17,I133)*POWER(Upgrades!$R$18,J133)*POWER(Upgrades!$R$19,K133)*POWER(Upgrades!$R$20,L133)*POWER(Upgrades!$R$21,M133)*$H$6)*O133)*0.10)/AO133,0)</f>
        <v/>
      </c>
      <c r="BD133" s="32">
        <f>MAX(IF(J133&gt;0,0,IFERROR(0.5*((IF(G133=0,0,(Upgrades!$J$15+G133*Upgrades!$K$15)*POWER(Upgrades!$L$15,G133)))*(IF(Upgrades!$T$13="Microlensing",POWER(Upgrades!$U$13,E133),1)*IF(Upgrades!$T$14="Microlensing",POWER(Upgrades!$U$14,F133),1)*IF(Upgrades!$T$16="Microlensing",POWER(Upgrades!$U$16,H133),1)*IF(Upgrades!$T$17="Microlensing",POWER(Upgrades!$U$17,I133),1)*IF(Upgrades!$T$18="Microlensing",POWER(Upgrades!$U$18,J133),1)*IF(Upgrades!$T$19="Microlensing",POWER(Upgrades!$U$19,K133),1)*IF(Upgrades!$T$20="Microlensing",POWER(Upgrades!$U$20,L133),1)*IF(Upgrades!$T$21="Microlensing",POWER(Upgrades!$U$21,M133),1))*(POWER(Upgrades!$Q$13,E133)*POWER(Upgrades!$Q$14,F133)*POWER(Upgrades!$Q$15,G133)*POWER(Upgrades!$Q$16,H133)*POWER(Upgrades!$Q$17,I133)*POWER(Upgrades!$Q$18,J133)*POWER(Upgrades!$Q$19,K133)*POWER(Upgrades!$Q$20,L133)*POWER(Upgrades!$Q$21,M133))*$G$6*(Parameters!$B$10/60*Parameters!$B$11+Q133))/Upgrades!$C$18,0)),IF(K133&gt;0,0,IFERROR(0.30*P133/Upgrades!$C$19,0)),IF(L133&gt;0,0,IFERROR(0.0001/Upgrades!$C$20,0)),IF(M133&gt;0,0,IFERROR((6.0*(POWER(Upgrades!$P$13,E133)*POWER(Upgrades!$P$14,F133)*POWER(Upgrades!$P$15,G133)*POWER(Upgrades!$P$16,H133)*POWER(Upgrades!$P$17,I133)*POWER(Upgrades!$P$18,J133)*POWER(Upgrades!$P$19,K133)*POWER(Upgrades!$P$20,L133)*POWER(Upgrades!$P$21,M133))*$F$6+0.20*O133*(Parameters!$B$10/60*Parameters!$B$11+Q133))/Upgrades!$C$21,0)),IF(AND(ISNUMBER(AK133),AK133&gt;(C133+T133)),AY133,0),IF(AND(ISNUMBER(AL133),AL133&gt;(C133+T133)),AZ133,0),IF(AND(ISNUMBER(AM133),AM133&gt;(C133+T133)),BA133,0),IF(AND(ISNUMBER(AN133),AN133&gt;(C133+T133)),BB133,0),IF(AND(ISNUMBER(AO133),AO133&gt;(C133+T133)),BC133,0))</f>
        <v/>
      </c>
      <c r="BE133" s="29">
        <f>IF(AT133=1,"transition",IF(MIN(IF(AND(J133=0,ISNUMBER(AP133),AP133&lt;=(C133+T133)),AP133,9E15),IF(AND(K133=0,ISNUMBER(AQ133),AQ133&lt;=(C133+T133)),AQ133,9E15),IF(AND(L133=0,ISNUMBER(AR133),AR133&lt;=(C133+T133)),AR133,9E15),IF(AND(M133=0,ISNUMBER(AS133),AS133&lt;=(C133+T133)),AS133,9E15))&lt;9E15,IF(AND(AND(J133=0,ISNUMBER(AP133),AP133&lt;=(C133+T133)),AP133=MIN(IF(AND(J133=0,ISNUMBER(AP133),AP133&lt;=(C133+T133)),AP133,9E15),IF(AND(K133=0,ISNUMBER(AQ133),AQ133&lt;=(C133+T133)),AQ133,9E15),IF(AND(L133=0,ISNUMBER(AR133),AR133&lt;=(C133+T133)),AR133,9E15),IF(AND(M133=0,ISNUMBER(AS133),AS133&lt;=(C133+T133)),AS133,9E15))),"BiP",IF(AND(AND(K133=0,ISNUMBER(AQ133),AQ133&lt;=(C133+T133)),AQ133=MIN(IF(AND(J133=0,ISNUMBER(AP133),AP133&lt;=(C133+T133)),AP133,9E15),IF(AND(K133=0,ISNUMBER(AQ133),AQ133&lt;=(C133+T133)),AQ133,9E15),IF(AND(L133=0,ISNUMBER(AR133),AR133&lt;=(C133+T133)),AR133,9E15),IF(AND(M133=0,ISNUMBER(AS133),AS133&lt;=(C133+T133)),AS133,9E15))),"PV",IF(AND(AND(L133=0,ISNUMBER(AR133),AR133&lt;=(C133+T133)),AR133=MIN(IF(AND(J133=0,ISNUMBER(AP133),AP133&lt;=(C133+T133)),AP133,9E15),IF(AND(K133=0,ISNUMBER(AQ133),AQ133&lt;=(C133+T133)),AQ133,9E15),IF(AND(L133=0,ISNUMBER(AR133),AR133&lt;=(C133+T133)),AR133,9E15),IF(AND(M133=0,ISNUMBER(AS133),AS133&lt;=(C133+T133)),AS133,9E15))),"OC","MG"))),IF(AX133=TRUE,"",IF(MAX(IF(AND(NOT(AND(AU133=1,AT133&lt;&gt;1)),ISNUMBER(AK133),AK133&lt;=(C133+T133)),AY133,0),IF(AND(NOT(AND(AU133=1,AT133&lt;&gt;1)),ISNUMBER(AL133),AL133&lt;=(C133+T133)),AZ133,0),IF(AND(NOT(AND(AU133=1,AT133&lt;&gt;1)),ISNUMBER(AM133),AM133&lt;=(C133+T133)),BA133,0),IF(AND(NOT(AND(AU133=1,AT133&lt;&gt;1)),ISNUMBER(AN133),AN133&lt;=(C133+T133)),BB133,0),IF(AND(ISNUMBER(AO133),AO133&lt;=(C133+T133)),BC133,0))&lt;=0,"",IF(AND(IF(AND(NOT(AND(AU133=1,AT133&lt;&gt;1)),ISNUMBER(AK133),AK133&lt;=(C133+T133)),AY133,0)&gt;0,IF(AND(NOT(AND(AU133=1,AT133&lt;&gt;1)),ISNUMBER(AK133),AK133&lt;=(C133+T133)),AY133,0)=MAX(IF(AND(NOT(AND(AU133=1,AT133&lt;&gt;1)),ISNUMBER(AK133),AK133&lt;=(C133+T133)),AY133,0),IF(AND(NOT(AND(AU133=1,AT133&lt;&gt;1)),ISNUMBER(AL133),AL133&lt;=(C133+T133)),AZ133,0),IF(AND(NOT(AND(AU133=1,AT133&lt;&gt;1)),ISNUMBER(AM133),AM133&lt;=(C133+T133)),BA133,0),IF(AND(NOT(AND(AU133=1,AT133&lt;&gt;1)),ISNUMBER(AN133),AN133&lt;=(C133+T133)),BB133,0),IF(AND(ISNUMBER(AO133),AO133&lt;=(C133+T133)),BC133,0))),"SK",IF(AND(IF(AND(NOT(AND(AU133=1,AT133&lt;&gt;1)),ISNUMBER(AL133),AL133&lt;=(C133+T133)),AZ133,0)&gt;0,IF(AND(NOT(AND(AU133=1,AT133&lt;&gt;1)),ISNUMBER(AL133),AL133&lt;=(C133+T133)),AZ133,0)=MAX(IF(AND(NOT(AND(AU133=1,AT133&lt;&gt;1)),ISNUMBER(AK133),AK133&lt;=(C133+T133)),AY133,0),IF(AND(NOT(AND(AU133=1,AT133&lt;&gt;1)),ISNUMBER(AL133),AL133&lt;=(C133+T133)),AZ133,0),IF(AND(NOT(AND(AU133=1,AT133&lt;&gt;1)),ISNUMBER(AM133),AM133&lt;=(C133+T133)),BA133,0),IF(AND(NOT(AND(AU133=1,AT133&lt;&gt;1)),ISNUMBER(AN133),AN133&lt;=(C133+T133)),BB133,0),IF(AND(ISNUMBER(AO133),AO133&lt;=(C133+T133)),BC133,0))),"LB",IF(AND(IF(AND(NOT(AND(AU133=1,AT133&lt;&gt;1)),ISNUMBER(AM133),AM133&lt;=(C133+T133)),BA133,0)&gt;0,IF(AND(NOT(AND(AU133=1,AT133&lt;&gt;1)),ISNUMBER(AM133),AM133&lt;=(C133+T133)),BA133,0)=MAX(IF(AND(NOT(AND(AU133=1,AT133&lt;&gt;1)),ISNUMBER(AK133),AK133&lt;=(C133+T133)),AY133,0),IF(AND(NOT(AND(AU133=1,AT133&lt;&gt;1)),ISNUMBER(AL133),AL133&lt;=(C133+T133)),AZ133,0),IF(AND(NOT(AND(AU133=1,AT133&lt;&gt;1)),ISNUMBER(AM133),AM133&lt;=(C133+T133)),BA133,0),IF(AND(NOT(AND(AU133=1,AT133&lt;&gt;1)),ISNUMBER(AN133),AN133&lt;=(C133+T133)),BB133,0),IF(AND(ISNUMBER(AO133),AO133&lt;=(C133+T133)),BC133,0))),"ML",IF(AND(IF(AND(NOT(AND(AU133=1,AT133&lt;&gt;1)),ISNUMBER(AN133),AN133&lt;=(C133+T133)),BB133,0)&gt;0,IF(AND(NOT(AND(AU133=1,AT133&lt;&gt;1)),ISNUMBER(AN133),AN133&lt;=(C133+T133)),BB133,0)=MAX(IF(AND(NOT(AND(AU133=1,AT133&lt;&gt;1)),ISNUMBER(AK133),AK133&lt;=(C133+T133)),AY133,0),IF(AND(NOT(AND(AU133=1,AT133&lt;&gt;1)),ISNUMBER(AL133),AL133&lt;=(C133+T133)),AZ133,0),IF(AND(NOT(AND(AU133=1,AT133&lt;&gt;1)),ISNUMBER(AM133),AM133&lt;=(C133+T133)),BA133,0),IF(AND(NOT(AND(AU133=1,AT133&lt;&gt;1)),ISNUMBER(AN133),AN133&lt;=(C133+T133)),BB133,0),IF(AND(ISNUMBER(AO133),AO133&lt;=(C133+T133)),BC133,0))),"RLO","BD"))))))))</f>
        <v/>
      </c>
    </row>
    <row r="134">
      <c r="A134" s="26" t="n">
        <v>123</v>
      </c>
      <c r="B134" s="27">
        <f>A134*10/60</f>
        <v/>
      </c>
      <c r="C134" s="22">
        <f>X133</f>
        <v/>
      </c>
      <c r="D134" s="27">
        <f>D133+W133</f>
        <v/>
      </c>
      <c r="E134" s="26">
        <f>E133+IF(U133="SK",1,0)</f>
        <v/>
      </c>
      <c r="F134" s="26">
        <f>F133+IF(U133="LB",1,0)</f>
        <v/>
      </c>
      <c r="G134" s="26">
        <f>G133+IF(U133="ML",1,0)</f>
        <v/>
      </c>
      <c r="H134" s="26">
        <f>H133+IF(U133="RLO",1,0)</f>
        <v/>
      </c>
      <c r="I134" s="26">
        <f>I133+IF(U133="BD",1,0)</f>
        <v/>
      </c>
      <c r="J134" s="26">
        <f>MAX(J133,IF(U133="BiP",1,0))</f>
        <v/>
      </c>
      <c r="K134" s="26">
        <f>MAX(K133,IF(U133="PV",1,0))</f>
        <v/>
      </c>
      <c r="L134" s="26">
        <f>MAX(L133,IF(U133="OC",1,0))</f>
        <v/>
      </c>
      <c r="M134" s="26">
        <f>MAX(M133,IF(U133="MG",1,0))</f>
        <v/>
      </c>
      <c r="N134" s="26">
        <f>MAX(N133,IF(U133="transition",1,0))</f>
        <v/>
      </c>
      <c r="O134" s="28">
        <f>(Parameters!$B$9+(IF(E134=0,0,(Upgrades!$J$13+E134*Upgrades!$K$13)*POWER(Upgrades!$L$13,E134)))*(IF(Upgrades!$T$14="Stellar Kinematics",POWER(Upgrades!$U$14,F134),1)*IF(Upgrades!$T$15="Stellar Kinematics",POWER(Upgrades!$U$15,G134),1)*IF(Upgrades!$T$16="Stellar Kinematics",POWER(Upgrades!$U$16,H134),1)*IF(Upgrades!$T$17="Stellar Kinematics",POWER(Upgrades!$U$17,I134),1)*IF(Upgrades!$T$18="Stellar Kinematics",POWER(Upgrades!$U$18,J134),1)*IF(Upgrades!$T$19="Stellar Kinematics",POWER(Upgrades!$U$19,K134),1)*IF(Upgrades!$T$20="Stellar Kinematics",POWER(Upgrades!$U$20,L134),1)*IF(Upgrades!$T$21="Stellar Kinematics",POWER(Upgrades!$U$21,M134),1))+(IF(F134=0,0,(Upgrades!$J$14+F134*Upgrades!$K$14)*POWER(Upgrades!$L$14,F134)))*(IF(Upgrades!$T$13="Local Bubble",POWER(Upgrades!$U$13,E134),1)*IF(Upgrades!$T$15="Local Bubble",POWER(Upgrades!$U$15,G134),1)*IF(Upgrades!$T$16="Local Bubble",POWER(Upgrades!$U$16,H134),1)*IF(Upgrades!$T$17="Local Bubble",POWER(Upgrades!$U$17,I134),1)*IF(Upgrades!$T$18="Local Bubble",POWER(Upgrades!$U$18,J134),1)*IF(Upgrades!$T$19="Local Bubble",POWER(Upgrades!$U$19,K134),1)*IF(Upgrades!$T$20="Local Bubble",POWER(Upgrades!$U$20,L134),1)*IF(Upgrades!$T$21="Local Bubble",POWER(Upgrades!$U$21,M134),1))+(IF(G134=0,0,(Upgrades!$J$15+G134*Upgrades!$K$15)*POWER(Upgrades!$L$15,G134)))*(IF(Upgrades!$T$13="Microlensing",POWER(Upgrades!$U$13,E134),1)*IF(Upgrades!$T$14="Microlensing",POWER(Upgrades!$U$14,F134),1)*IF(Upgrades!$T$16="Microlensing",POWER(Upgrades!$U$16,H134),1)*IF(Upgrades!$T$17="Microlensing",POWER(Upgrades!$U$17,I134),1)*IF(Upgrades!$T$18="Microlensing",POWER(Upgrades!$U$18,J134),1)*IF(Upgrades!$T$19="Microlensing",POWER(Upgrades!$U$19,K134),1)*IF(Upgrades!$T$20="Microlensing",POWER(Upgrades!$U$20,L134),1)*IF(Upgrades!$T$21="Microlensing",POWER(Upgrades!$U$21,M134),1))+(IF(H134=0,0,(Upgrades!$J$16+H134*Upgrades!$K$16)*POWER(Upgrades!$L$16,H134)))*(IF(Upgrades!$T$13="Roche Lobe Overflow",POWER(Upgrades!$U$13,E134),1)*IF(Upgrades!$T$14="Roche Lobe Overflow",POWER(Upgrades!$U$14,F134),1)*IF(Upgrades!$T$15="Roche Lobe Overflow",POWER(Upgrades!$U$15,G134),1)*IF(Upgrades!$T$17="Roche Lobe Overflow",POWER(Upgrades!$U$17,I134),1)*IF(Upgrades!$T$18="Roche Lobe Overflow",POWER(Upgrades!$U$18,J134),1)*IF(Upgrades!$T$19="Roche Lobe Overflow",POWER(Upgrades!$U$19,K134),1)*IF(Upgrades!$T$20="Roche Lobe Overflow",POWER(Upgrades!$U$20,L134),1)*IF(Upgrades!$T$21="Roche Lobe Overflow",POWER(Upgrades!$U$21,M134),1))+(IF(I134=0,0,(Upgrades!$J$17+I134*Upgrades!$K$17)*POWER(Upgrades!$L$17,I134)))*(IF(Upgrades!$T$13="Brown Dwarf",POWER(Upgrades!$U$13,E134),1)*IF(Upgrades!$T$14="Brown Dwarf",POWER(Upgrades!$U$14,F134),1)*IF(Upgrades!$T$15="Brown Dwarf",POWER(Upgrades!$U$15,G134),1)*IF(Upgrades!$T$16="Brown Dwarf",POWER(Upgrades!$U$16,H134),1)*IF(Upgrades!$T$18="Brown Dwarf",POWER(Upgrades!$U$18,J134),1)*IF(Upgrades!$T$19="Brown Dwarf",POWER(Upgrades!$U$19,K134),1)*IF(Upgrades!$T$20="Brown Dwarf",POWER(Upgrades!$U$20,L134),1)*IF(Upgrades!$T$21="Brown Dwarf",POWER(Upgrades!$U$21,M134),1))+(IF(J134=0,0,(Upgrades!$J$18+J134*Upgrades!$K$18)*POWER(Upgrades!$L$18,J134)))*(IF(Upgrades!$T$13="Binary Partner",POWER(Upgrades!$U$13,E134),1)*IF(Upgrades!$T$14="Binary Partner",POWER(Upgrades!$U$14,F134),1)*IF(Upgrades!$T$15="Binary Partner",POWER(Upgrades!$U$15,G134),1)*IF(Upgrades!$T$16="Binary Partner",POWER(Upgrades!$U$16,H134),1)*IF(Upgrades!$T$17="Binary Partner",POWER(Upgrades!$U$17,I134),1)*IF(Upgrades!$T$19="Binary Partner",POWER(Upgrades!$U$19,K134),1)*IF(Upgrades!$T$20="Binary Partner",POWER(Upgrades!$U$20,L134),1)*IF(Upgrades!$T$21="Binary Partner",POWER(Upgrades!$U$21,M134),1))+(IF(K134=0,0,(Upgrades!$J$19+K134*Upgrades!$K$19)*POWER(Upgrades!$L$19,K134)))*(IF(Upgrades!$T$13="Peculiar Velocity",POWER(Upgrades!$U$13,E134),1)*IF(Upgrades!$T$14="Peculiar Velocity",POWER(Upgrades!$U$14,F134),1)*IF(Upgrades!$T$15="Peculiar Velocity",POWER(Upgrades!$U$15,G134),1)*IF(Upgrades!$T$16="Peculiar Velocity",POWER(Upgrades!$U$16,H134),1)*IF(Upgrades!$T$17="Peculiar Velocity",POWER(Upgrades!$U$17,I134),1)*IF(Upgrades!$T$18="Peculiar Velocity",POWER(Upgrades!$U$18,J134),1)*IF(Upgrades!$T$20="Peculiar Velocity",POWER(Upgrades!$U$20,L134),1)*IF(Upgrades!$T$21="Peculiar Velocity",POWER(Upgrades!$U$21,M134),1))+(IF(L134=0,0,(Upgrades!$J$20+L134*Upgrades!$K$20)*POWER(Upgrades!$L$20,L134)))*(IF(Upgrades!$T$13="Open Cluster",POWER(Upgrades!$U$13,E134),1)*IF(Upgrades!$T$14="Open Cluster",POWER(Upgrades!$U$14,F134),1)*IF(Upgrades!$T$15="Open Cluster",POWER(Upgrades!$U$15,G134),1)*IF(Upgrades!$T$16="Open Cluster",POWER(Upgrades!$U$16,H134),1)*IF(Upgrades!$T$17="Open Cluster",POWER(Upgrades!$U$17,I134),1)*IF(Upgrades!$T$18="Open Cluster",POWER(Upgrades!$U$18,J134),1)*IF(Upgrades!$T$19="Open Cluster",POWER(Upgrades!$U$19,K134),1)*IF(Upgrades!$T$21="Open Cluster",POWER(Upgrades!$U$21,M134),1))+(IF(M134=0,0,(Upgrades!$J$21+M134*Upgrades!$K$21)*POWER(Upgrades!$L$21,M134)))*(IF(Upgrades!$T$13="Moving Group",POWER(Upgrades!$U$13,E134),1)*IF(Upgrades!$T$14="Moving Group",POWER(Upgrades!$U$14,F134),1)*IF(Upgrades!$T$15="Moving Group",POWER(Upgrades!$U$15,G134),1)*IF(Upgrades!$T$16="Moving Group",POWER(Upgrades!$U$16,H134),1)*IF(Upgrades!$T$17="Moving Group",POWER(Upgrades!$U$17,I134),1)*IF(Upgrades!$T$18="Moving Group",POWER(Upgrades!$U$18,J134),1)*IF(Upgrades!$T$19="Moving Group",POWER(Upgrades!$U$19,K134),1)*IF(Upgrades!$T$20="Moving Group",POWER(Upgrades!$U$20,L134),1)))*POWER(Upgrades!$Q$13,E134)*POWER(Upgrades!$Q$14,F134)*POWER(Upgrades!$Q$15,G134)*POWER(Upgrades!$Q$16,H134)*POWER(Upgrades!$Q$17,I134)*POWER(Upgrades!$Q$18,J134)*POWER(Upgrades!$Q$19,K134)*POWER(Upgrades!$Q$20,L134)*POWER(Upgrades!$Q$21,M134)*$G$6+$D$6</f>
        <v/>
      </c>
      <c r="P134" s="28">
        <f>((IF(E134=0,0,(Upgrades!$G$13+E134*Upgrades!$H$13)*POWER(Upgrades!$I$13,E134)))*(IF(Upgrades!$T$14="Stellar Kinematics",POWER(Upgrades!$U$14,F134),1)*IF(Upgrades!$T$15="Stellar Kinematics",POWER(Upgrades!$U$15,G134),1)*IF(Upgrades!$T$16="Stellar Kinematics",POWER(Upgrades!$U$16,H134),1)*IF(Upgrades!$T$17="Stellar Kinematics",POWER(Upgrades!$U$17,I134),1)*IF(Upgrades!$T$18="Stellar Kinematics",POWER(Upgrades!$U$18,J134),1)*IF(Upgrades!$T$19="Stellar Kinematics",POWER(Upgrades!$U$19,K134),1)*IF(Upgrades!$T$20="Stellar Kinematics",POWER(Upgrades!$U$20,L134),1)*IF(Upgrades!$T$21="Stellar Kinematics",POWER(Upgrades!$U$21,M134),1))+(IF(F134=0,0,(Upgrades!$G$14+F134*Upgrades!$H$14)*POWER(Upgrades!$I$14,F134)))*(IF(Upgrades!$T$13="Local Bubble",POWER(Upgrades!$U$13,E134),1)*IF(Upgrades!$T$15="Local Bubble",POWER(Upgrades!$U$15,G134),1)*IF(Upgrades!$T$16="Local Bubble",POWER(Upgrades!$U$16,H134),1)*IF(Upgrades!$T$17="Local Bubble",POWER(Upgrades!$U$17,I134),1)*IF(Upgrades!$T$18="Local Bubble",POWER(Upgrades!$U$18,J134),1)*IF(Upgrades!$T$19="Local Bubble",POWER(Upgrades!$U$19,K134),1)*IF(Upgrades!$T$20="Local Bubble",POWER(Upgrades!$U$20,L134),1)*IF(Upgrades!$T$21="Local Bubble",POWER(Upgrades!$U$21,M134),1))+(IF(G134=0,0,(Upgrades!$G$15+G134*Upgrades!$H$15)*POWER(Upgrades!$I$15,G134)))*(IF(Upgrades!$T$13="Microlensing",POWER(Upgrades!$U$13,E134),1)*IF(Upgrades!$T$14="Microlensing",POWER(Upgrades!$U$14,F134),1)*IF(Upgrades!$T$16="Microlensing",POWER(Upgrades!$U$16,H134),1)*IF(Upgrades!$T$17="Microlensing",POWER(Upgrades!$U$17,I134),1)*IF(Upgrades!$T$18="Microlensing",POWER(Upgrades!$U$18,J134),1)*IF(Upgrades!$T$19="Microlensing",POWER(Upgrades!$U$19,K134),1)*IF(Upgrades!$T$20="Microlensing",POWER(Upgrades!$U$20,L134),1)*IF(Upgrades!$T$21="Microlensing",POWER(Upgrades!$U$21,M134),1))+(IF(H134=0,0,(Upgrades!$G$16+H134*Upgrades!$H$16)*POWER(Upgrades!$I$16,H134)))*(IF(Upgrades!$T$13="Roche Lobe Overflow",POWER(Upgrades!$U$13,E134),1)*IF(Upgrades!$T$14="Roche Lobe Overflow",POWER(Upgrades!$U$14,F134),1)*IF(Upgrades!$T$15="Roche Lobe Overflow",POWER(Upgrades!$U$15,G134),1)*IF(Upgrades!$T$17="Roche Lobe Overflow",POWER(Upgrades!$U$17,I134),1)*IF(Upgrades!$T$18="Roche Lobe Overflow",POWER(Upgrades!$U$18,J134),1)*IF(Upgrades!$T$19="Roche Lobe Overflow",POWER(Upgrades!$U$19,K134),1)*IF(Upgrades!$T$20="Roche Lobe Overflow",POWER(Upgrades!$U$20,L134),1)*IF(Upgrades!$T$21="Roche Lobe Overflow",POWER(Upgrades!$U$21,M134),1))+(IF(I134=0,0,(Upgrades!$G$17+I134*Upgrades!$H$17)*POWER(Upgrades!$I$17,I134)))*(IF(Upgrades!$T$13="Brown Dwarf",POWER(Upgrades!$U$13,E134),1)*IF(Upgrades!$T$14="Brown Dwarf",POWER(Upgrades!$U$14,F134),1)*IF(Upgrades!$T$15="Brown Dwarf",POWER(Upgrades!$U$15,G134),1)*IF(Upgrades!$T$16="Brown Dwarf",POWER(Upgrades!$U$16,H134),1)*IF(Upgrades!$T$18="Brown Dwarf",POWER(Upgrades!$U$18,J134),1)*IF(Upgrades!$T$19="Brown Dwarf",POWER(Upgrades!$U$19,K134),1)*IF(Upgrades!$T$20="Brown Dwarf",POWER(Upgrades!$U$20,L134),1)*IF(Upgrades!$T$21="Brown Dwarf",POWER(Upgrades!$U$21,M134),1))+(IF(J134=0,0,(Upgrades!$G$18+J134*Upgrades!$H$18)*POWER(Upgrades!$I$18,J134)))*(IF(Upgrades!$T$13="Binary Partner",POWER(Upgrades!$U$13,E134),1)*IF(Upgrades!$T$14="Binary Partner",POWER(Upgrades!$U$14,F134),1)*IF(Upgrades!$T$15="Binary Partner",POWER(Upgrades!$U$15,G134),1)*IF(Upgrades!$T$16="Binary Partner",POWER(Upgrades!$U$16,H134),1)*IF(Upgrades!$T$17="Binary Partner",POWER(Upgrades!$U$17,I134),1)*IF(Upgrades!$T$19="Binary Partner",POWER(Upgrades!$U$19,K134),1)*IF(Upgrades!$T$20="Binary Partner",POWER(Upgrades!$U$20,L134),1)*IF(Upgrades!$T$21="Binary Partner",POWER(Upgrades!$U$21,M134),1))+(IF(K134=0,0,(Upgrades!$G$19+K134*Upgrades!$H$19)*POWER(Upgrades!$I$19,K134)))*(IF(Upgrades!$T$13="Peculiar Velocity",POWER(Upgrades!$U$13,E134),1)*IF(Upgrades!$T$14="Peculiar Velocity",POWER(Upgrades!$U$14,F134),1)*IF(Upgrades!$T$15="Peculiar Velocity",POWER(Upgrades!$U$15,G134),1)*IF(Upgrades!$T$16="Peculiar Velocity",POWER(Upgrades!$U$16,H134),1)*IF(Upgrades!$T$17="Peculiar Velocity",POWER(Upgrades!$U$17,I134),1)*IF(Upgrades!$T$18="Peculiar Velocity",POWER(Upgrades!$U$18,J134),1)*IF(Upgrades!$T$20="Peculiar Velocity",POWER(Upgrades!$U$20,L134),1)*IF(Upgrades!$T$21="Peculiar Velocity",POWER(Upgrades!$U$21,M134),1))+(IF(L134=0,0,(Upgrades!$G$20+L134*Upgrades!$H$20)*POWER(Upgrades!$I$20,L134)))*(IF(Upgrades!$T$13="Open Cluster",POWER(Upgrades!$U$13,E134),1)*IF(Upgrades!$T$14="Open Cluster",POWER(Upgrades!$U$14,F134),1)*IF(Upgrades!$T$15="Open Cluster",POWER(Upgrades!$U$15,G134),1)*IF(Upgrades!$T$16="Open Cluster",POWER(Upgrades!$U$16,H134),1)*IF(Upgrades!$T$17="Open Cluster",POWER(Upgrades!$U$17,I134),1)*IF(Upgrades!$T$18="Open Cluster",POWER(Upgrades!$U$18,J134),1)*IF(Upgrades!$T$19="Open Cluster",POWER(Upgrades!$U$19,K134),1)*IF(Upgrades!$T$21="Open Cluster",POWER(Upgrades!$U$21,M134),1))+(IF(M134=0,0,(Upgrades!$G$21+M134*Upgrades!$H$21)*POWER(Upgrades!$I$21,M134)))*(IF(Upgrades!$T$13="Moving Group",POWER(Upgrades!$U$13,E134),1)*IF(Upgrades!$T$14="Moving Group",POWER(Upgrades!$U$14,F134),1)*IF(Upgrades!$T$15="Moving Group",POWER(Upgrades!$U$15,G134),1)*IF(Upgrades!$T$16="Moving Group",POWER(Upgrades!$U$16,H134),1)*IF(Upgrades!$T$17="Moving Group",POWER(Upgrades!$U$17,I134),1)*IF(Upgrades!$T$18="Moving Group",POWER(Upgrades!$U$18,J134),1)*IF(Upgrades!$T$19="Moving Group",POWER(Upgrades!$U$19,K134),1)*IF(Upgrades!$T$20="Moving Group",POWER(Upgrades!$U$20,L134),1)))*POWER(Upgrades!$P$13,E134)*POWER(Upgrades!$P$14,F134)*POWER(Upgrades!$P$15,G134)*POWER(Upgrades!$P$16,H134)*POWER(Upgrades!$P$17,I134)*POWER(Upgrades!$P$18,J134)*POWER(Upgrades!$P$19,K134)*POWER(Upgrades!$P$20,L134)*POWER(Upgrades!$P$21,M134)*$F$6+$C$6</f>
        <v/>
      </c>
      <c r="Q134" s="28">
        <f>((IF(E134=0,0,(Upgrades!$M$13+E134*Upgrades!$N$13)*POWER(Upgrades!$O$13,E134)))*(IF(Upgrades!$T$14="Stellar Kinematics",POWER(Upgrades!$U$14,F134),1)*IF(Upgrades!$T$15="Stellar Kinematics",POWER(Upgrades!$U$15,G134),1)*IF(Upgrades!$T$16="Stellar Kinematics",POWER(Upgrades!$U$16,H134),1)*IF(Upgrades!$T$17="Stellar Kinematics",POWER(Upgrades!$U$17,I134),1)*IF(Upgrades!$T$18="Stellar Kinematics",POWER(Upgrades!$U$18,J134),1)*IF(Upgrades!$T$19="Stellar Kinematics",POWER(Upgrades!$U$19,K134),1)*IF(Upgrades!$T$20="Stellar Kinematics",POWER(Upgrades!$U$20,L134),1)*IF(Upgrades!$T$21="Stellar Kinematics",POWER(Upgrades!$U$21,M134),1))+(IF(F134=0,0,(Upgrades!$M$14+F134*Upgrades!$N$14)*POWER(Upgrades!$O$14,F134)))*(IF(Upgrades!$T$13="Local Bubble",POWER(Upgrades!$U$13,E134),1)*IF(Upgrades!$T$15="Local Bubble",POWER(Upgrades!$U$15,G134),1)*IF(Upgrades!$T$16="Local Bubble",POWER(Upgrades!$U$16,H134),1)*IF(Upgrades!$T$17="Local Bubble",POWER(Upgrades!$U$17,I134),1)*IF(Upgrades!$T$18="Local Bubble",POWER(Upgrades!$U$18,J134),1)*IF(Upgrades!$T$19="Local Bubble",POWER(Upgrades!$U$19,K134),1)*IF(Upgrades!$T$20="Local Bubble",POWER(Upgrades!$U$20,L134),1)*IF(Upgrades!$T$21="Local Bubble",POWER(Upgrades!$U$21,M134),1))+(IF(G134=0,0,(Upgrades!$M$15+G134*Upgrades!$N$15)*POWER(Upgrades!$O$15,G134)))*(IF(Upgrades!$T$13="Microlensing",POWER(Upgrades!$U$13,E134),1)*IF(Upgrades!$T$14="Microlensing",POWER(Upgrades!$U$14,F134),1)*IF(Upgrades!$T$16="Microlensing",POWER(Upgrades!$U$16,H134),1)*IF(Upgrades!$T$17="Microlensing",POWER(Upgrades!$U$17,I134),1)*IF(Upgrades!$T$18="Microlensing",POWER(Upgrades!$U$18,J134),1)*IF(Upgrades!$T$19="Microlensing",POWER(Upgrades!$U$19,K134),1)*IF(Upgrades!$T$20="Microlensing",POWER(Upgrades!$U$20,L134),1)*IF(Upgrades!$T$21="Microlensing",POWER(Upgrades!$U$21,M134),1))+(IF(H134=0,0,(Upgrades!$M$16+H134*Upgrades!$N$16)*POWER(Upgrades!$O$16,H134)))*(IF(Upgrades!$T$13="Roche Lobe Overflow",POWER(Upgrades!$U$13,E134),1)*IF(Upgrades!$T$14="Roche Lobe Overflow",POWER(Upgrades!$U$14,F134),1)*IF(Upgrades!$T$15="Roche Lobe Overflow",POWER(Upgrades!$U$15,G134),1)*IF(Upgrades!$T$17="Roche Lobe Overflow",POWER(Upgrades!$U$17,I134),1)*IF(Upgrades!$T$18="Roche Lobe Overflow",POWER(Upgrades!$U$18,J134),1)*IF(Upgrades!$T$19="Roche Lobe Overflow",POWER(Upgrades!$U$19,K134),1)*IF(Upgrades!$T$20="Roche Lobe Overflow",POWER(Upgrades!$U$20,L134),1)*IF(Upgrades!$T$21="Roche Lobe Overflow",POWER(Upgrades!$U$21,M134),1))+(IF(I134=0,0,(Upgrades!$M$17+I134*Upgrades!$N$17)*POWER(Upgrades!$O$17,I134)))*(IF(Upgrades!$T$13="Brown Dwarf",POWER(Upgrades!$U$13,E134),1)*IF(Upgrades!$T$14="Brown Dwarf",POWER(Upgrades!$U$14,F134),1)*IF(Upgrades!$T$15="Brown Dwarf",POWER(Upgrades!$U$15,G134),1)*IF(Upgrades!$T$16="Brown Dwarf",POWER(Upgrades!$U$16,H134),1)*IF(Upgrades!$T$18="Brown Dwarf",POWER(Upgrades!$U$18,J134),1)*IF(Upgrades!$T$19="Brown Dwarf",POWER(Upgrades!$U$19,K134),1)*IF(Upgrades!$T$20="Brown Dwarf",POWER(Upgrades!$U$20,L134),1)*IF(Upgrades!$T$21="Brown Dwarf",POWER(Upgrades!$U$21,M134),1))+(IF(J134=0,0,(Upgrades!$M$18+J134*Upgrades!$N$18)*POWER(Upgrades!$O$18,J134)))*(IF(Upgrades!$T$13="Binary Partner",POWER(Upgrades!$U$13,E134),1)*IF(Upgrades!$T$14="Binary Partner",POWER(Upgrades!$U$14,F134),1)*IF(Upgrades!$T$15="Binary Partner",POWER(Upgrades!$U$15,G134),1)*IF(Upgrades!$T$16="Binary Partner",POWER(Upgrades!$U$16,H134),1)*IF(Upgrades!$T$17="Binary Partner",POWER(Upgrades!$U$17,I134),1)*IF(Upgrades!$T$19="Binary Partner",POWER(Upgrades!$U$19,K134),1)*IF(Upgrades!$T$20="Binary Partner",POWER(Upgrades!$U$20,L134),1)*IF(Upgrades!$T$21="Binary Partner",POWER(Upgrades!$U$21,M134),1))+(IF(K134=0,0,(Upgrades!$M$19+K134*Upgrades!$N$19)*POWER(Upgrades!$O$19,K134)))*(IF(Upgrades!$T$13="Peculiar Velocity",POWER(Upgrades!$U$13,E134),1)*IF(Upgrades!$T$14="Peculiar Velocity",POWER(Upgrades!$U$14,F134),1)*IF(Upgrades!$T$15="Peculiar Velocity",POWER(Upgrades!$U$15,G134),1)*IF(Upgrades!$T$16="Peculiar Velocity",POWER(Upgrades!$U$16,H134),1)*IF(Upgrades!$T$17="Peculiar Velocity",POWER(Upgrades!$U$17,I134),1)*IF(Upgrades!$T$18="Peculiar Velocity",POWER(Upgrades!$U$18,J134),1)*IF(Upgrades!$T$20="Peculiar Velocity",POWER(Upgrades!$U$20,L134),1)*IF(Upgrades!$T$21="Peculiar Velocity",POWER(Upgrades!$U$21,M134),1))+(IF(L134=0,0,(Upgrades!$M$20+L134*Upgrades!$N$20)*POWER(Upgrades!$O$20,L134)))*(IF(Upgrades!$T$13="Open Cluster",POWER(Upgrades!$U$13,E134),1)*IF(Upgrades!$T$14="Open Cluster",POWER(Upgrades!$U$14,F134),1)*IF(Upgrades!$T$15="Open Cluster",POWER(Upgrades!$U$15,G134),1)*IF(Upgrades!$T$16="Open Cluster",POWER(Upgrades!$U$16,H134),1)*IF(Upgrades!$T$17="Open Cluster",POWER(Upgrades!$U$17,I134),1)*IF(Upgrades!$T$18="Open Cluster",POWER(Upgrades!$U$18,J134),1)*IF(Upgrades!$T$19="Open Cluster",POWER(Upgrades!$U$19,K134),1)*IF(Upgrades!$T$21="Open Cluster",POWER(Upgrades!$U$21,M134),1))+(IF(M134=0,0,(Upgrades!$M$21+M134*Upgrades!$N$21)*POWER(Upgrades!$O$21,M134)))*(IF(Upgrades!$T$13="Moving Group",POWER(Upgrades!$U$13,E134),1)*IF(Upgrades!$T$14="Moving Group",POWER(Upgrades!$U$14,F134),1)*IF(Upgrades!$T$15="Moving Group",POWER(Upgrades!$U$15,G134),1)*IF(Upgrades!$T$16="Moving Group",POWER(Upgrades!$U$16,H134),1)*IF(Upgrades!$T$17="Moving Group",POWER(Upgrades!$U$17,I134),1)*IF(Upgrades!$T$18="Moving Group",POWER(Upgrades!$U$18,J134),1)*IF(Upgrades!$T$19="Moving Group",POWER(Upgrades!$U$19,K134),1)*IF(Upgrades!$T$20="Moving Group",POWER(Upgrades!$U$20,L134),1)))*POWER(Upgrades!$R$13,E134)*POWER(Upgrades!$R$14,F134)*POWER(Upgrades!$R$15,G134)*POWER(Upgrades!$R$16,H134)*POWER(Upgrades!$R$17,I134)*POWER(Upgrades!$R$18,J134)*POWER(Upgrades!$R$19,K134)*POWER(Upgrades!$R$20,L134)*POWER(Upgrades!$R$21,M134)*$H$6+$E$6</f>
        <v/>
      </c>
      <c r="R134" s="27">
        <f>IF(N134=1,0,O134*Parameters!$B$10/60*Parameters!$B$11*10)</f>
        <v/>
      </c>
      <c r="S134" s="27">
        <f>IF(N134=1,0,Q134*O134*10)</f>
        <v/>
      </c>
      <c r="T134" s="27">
        <f>IF(N134=1,0,R134+S134+P134*10)</f>
        <v/>
      </c>
      <c r="U134" s="33">
        <f>BE134</f>
        <v/>
      </c>
      <c r="V134" s="22">
        <f>IF(U134="",0,IF(U134="transition",0,IF(U134="SK",AK134,IF(U134="LB",AL134,IF(U134="ML",AM134,IF(U134="RLO",AN134,IF(U134="BD",AO134,IF(U134="BiP",AP134,IF(U134="PV",AQ134,IF(U134="OC",AR134,IF(U134="MG",AS134,0))))))))))</f>
        <v/>
      </c>
      <c r="W134" s="27">
        <f>IF(U134="BiP",Upgrades!$F$18,IF(U134="PV",Upgrades!$F$19,IF(U134="OC",Upgrades!$F$20,IF(U134="MG",Upgrades!$F$21,IF(U134="transition",-Parameters!$B$18*Parameters!$B$19,0)))))</f>
        <v/>
      </c>
      <c r="X134" s="22">
        <f>C134+T134-V134</f>
        <v/>
      </c>
      <c r="Y134" s="30">
        <f>O134*Parameters!$B$10/60*Parameters!$B$11+Q134*O134+P134</f>
        <v/>
      </c>
      <c r="Z134" s="34">
        <f>IF(U134="transition","→ Tier 3 (Galactic Arm)",IF(U134="MG","Moving Group — pocket drifts together",IF(U134="OC","Open Cluster acquired",IF(U134="PV","Peculiar Velocity — passive multiplier active",IF(U134="BiP","Binary Partner — pair bond formed",IF(AND(AU134=1,N134=0,AT134&lt;&gt;1),"Cohesion ready (waiting on completionists)","")))))) </f>
        <v/>
      </c>
      <c r="AA134" s="27">
        <f>(IF(E134=0,0,(Upgrades!$G$13+E134*Upgrades!$H$13)*POWER(Upgrades!$I$13,E134)))*(IF(Upgrades!$T$14="Stellar Kinematics",POWER(Upgrades!$U$14,F134),1)*IF(Upgrades!$T$15="Stellar Kinematics",POWER(Upgrades!$U$15,G134),1)*IF(Upgrades!$T$16="Stellar Kinematics",POWER(Upgrades!$U$16,H134),1)*IF(Upgrades!$T$17="Stellar Kinematics",POWER(Upgrades!$U$17,I134),1)*IF(Upgrades!$T$18="Stellar Kinematics",POWER(Upgrades!$U$18,J134),1)*IF(Upgrades!$T$19="Stellar Kinematics",POWER(Upgrades!$U$19,K134),1)*IF(Upgrades!$T$20="Stellar Kinematics",POWER(Upgrades!$U$20,L134),1)*IF(Upgrades!$T$21="Stellar Kinematics",POWER(Upgrades!$U$21,M134),1))*POWER(Upgrades!$P$13,E134)*POWER(Upgrades!$P$14,F134)*POWER(Upgrades!$P$15,G134)*POWER(Upgrades!$P$16,H134)*POWER(Upgrades!$P$17,I134)*POWER(Upgrades!$P$18,J134)*POWER(Upgrades!$P$19,K134)*POWER(Upgrades!$P$20,L134)*POWER(Upgrades!$P$21,M134)*$F$6*60</f>
        <v/>
      </c>
      <c r="AB134" s="27">
        <f>(IF(F134=0,0,(Upgrades!$G$14+F134*Upgrades!$H$14)*POWER(Upgrades!$I$14,F134)))*(IF(Upgrades!$T$13="Local Bubble",POWER(Upgrades!$U$13,E134),1)*IF(Upgrades!$T$15="Local Bubble",POWER(Upgrades!$U$15,G134),1)*IF(Upgrades!$T$16="Local Bubble",POWER(Upgrades!$U$16,H134),1)*IF(Upgrades!$T$17="Local Bubble",POWER(Upgrades!$U$17,I134),1)*IF(Upgrades!$T$18="Local Bubble",POWER(Upgrades!$U$18,J134),1)*IF(Upgrades!$T$19="Local Bubble",POWER(Upgrades!$U$19,K134),1)*IF(Upgrades!$T$20="Local Bubble",POWER(Upgrades!$U$20,L134),1)*IF(Upgrades!$T$21="Local Bubble",POWER(Upgrades!$U$21,M134),1))*POWER(Upgrades!$P$13,E134)*POWER(Upgrades!$P$14,F134)*POWER(Upgrades!$P$15,G134)*POWER(Upgrades!$P$16,H134)*POWER(Upgrades!$P$17,I134)*POWER(Upgrades!$P$18,J134)*POWER(Upgrades!$P$19,K134)*POWER(Upgrades!$P$20,L134)*POWER(Upgrades!$P$21,M134)*$F$6*60</f>
        <v/>
      </c>
      <c r="AC134" s="27">
        <f>(IF(G134=0,0,(Upgrades!$J$15+G134*Upgrades!$K$15)*POWER(Upgrades!$L$15,G134)))*(IF(Upgrades!$T$13="Microlensing",POWER(Upgrades!$U$13,E134),1)*IF(Upgrades!$T$14="Microlensing",POWER(Upgrades!$U$14,F134),1)*IF(Upgrades!$T$16="Microlensing",POWER(Upgrades!$U$16,H134),1)*IF(Upgrades!$T$17="Microlensing",POWER(Upgrades!$U$17,I134),1)*IF(Upgrades!$T$18="Microlensing",POWER(Upgrades!$U$18,J134),1)*IF(Upgrades!$T$19="Microlensing",POWER(Upgrades!$U$19,K134),1)*IF(Upgrades!$T$20="Microlensing",POWER(Upgrades!$U$20,L134),1)*IF(Upgrades!$T$21="Microlensing",POWER(Upgrades!$U$21,M134),1))*POWER(Upgrades!$Q$13,E134)*POWER(Upgrades!$Q$14,F134)*POWER(Upgrades!$Q$15,G134)*POWER(Upgrades!$Q$16,H134)*POWER(Upgrades!$Q$17,I134)*POWER(Upgrades!$Q$18,J134)*POWER(Upgrades!$Q$19,K134)*POWER(Upgrades!$Q$20,L134)*POWER(Upgrades!$Q$21,M134)*$G$6*(Parameters!$B$10*Parameters!$B$11+Q134*60)</f>
        <v/>
      </c>
      <c r="AD134" s="27">
        <f>(IF(H134=0,0,(Upgrades!$M$16+H134*Upgrades!$N$16)*POWER(Upgrades!$O$16,H134)))*(IF(Upgrades!$T$13="Roche Lobe Overflow",POWER(Upgrades!$U$13,E134),1)*IF(Upgrades!$T$14="Roche Lobe Overflow",POWER(Upgrades!$U$14,F134),1)*IF(Upgrades!$T$15="Roche Lobe Overflow",POWER(Upgrades!$U$15,G134),1)*IF(Upgrades!$T$17="Roche Lobe Overflow",POWER(Upgrades!$U$17,I134),1)*IF(Upgrades!$T$18="Roche Lobe Overflow",POWER(Upgrades!$U$18,J134),1)*IF(Upgrades!$T$19="Roche Lobe Overflow",POWER(Upgrades!$U$19,K134),1)*IF(Upgrades!$T$20="Roche Lobe Overflow",POWER(Upgrades!$U$20,L134),1)*IF(Upgrades!$T$21="Roche Lobe Overflow",POWER(Upgrades!$U$21,M134),1))*POWER(Upgrades!$R$13,E134)*POWER(Upgrades!$R$14,F134)*POWER(Upgrades!$R$15,G134)*POWER(Upgrades!$R$16,H134)*POWER(Upgrades!$R$17,I134)*POWER(Upgrades!$R$18,J134)*POWER(Upgrades!$R$19,K134)*POWER(Upgrades!$R$20,L134)*POWER(Upgrades!$R$21,M134)*$H$6*O134*60</f>
        <v/>
      </c>
      <c r="AE134" s="27">
        <f>(IF(I134=0,0,(Upgrades!$G$17+I134*Upgrades!$H$17)*POWER(Upgrades!$I$17,I134)))*(IF(Upgrades!$T$13="Brown Dwarf",POWER(Upgrades!$U$13,E134),1)*IF(Upgrades!$T$14="Brown Dwarf",POWER(Upgrades!$U$14,F134),1)*IF(Upgrades!$T$15="Brown Dwarf",POWER(Upgrades!$U$15,G134),1)*IF(Upgrades!$T$16="Brown Dwarf",POWER(Upgrades!$U$16,H134),1)*IF(Upgrades!$T$18="Brown Dwarf",POWER(Upgrades!$U$18,J134),1)*IF(Upgrades!$T$19="Brown Dwarf",POWER(Upgrades!$U$19,K134),1)*IF(Upgrades!$T$20="Brown Dwarf",POWER(Upgrades!$U$20,L134),1)*IF(Upgrades!$T$21="Brown Dwarf",POWER(Upgrades!$U$21,M134),1))*POWER(Upgrades!$P$13,E134)*POWER(Upgrades!$P$14,F134)*POWER(Upgrades!$P$15,G134)*POWER(Upgrades!$P$16,H134)*POWER(Upgrades!$P$17,I134)*POWER(Upgrades!$P$18,J134)*POWER(Upgrades!$P$19,K134)*POWER(Upgrades!$P$20,L134)*POWER(Upgrades!$P$21,M134)*$F$6*60</f>
        <v/>
      </c>
      <c r="AF134" s="27" t="n">
        <v>0</v>
      </c>
      <c r="AG134" s="27" t="n">
        <v>0</v>
      </c>
      <c r="AH134" s="27" t="n">
        <v>0</v>
      </c>
      <c r="AI134" s="27">
        <f>(IF(M134=0,0,(Upgrades!$G$21+M134*Upgrades!$H$21)*POWER(Upgrades!$I$21,M134)))*(IF(Upgrades!$T$13="Moving Group",POWER(Upgrades!$U$13,E134),1)*IF(Upgrades!$T$14="Moving Group",POWER(Upgrades!$U$14,F134),1)*IF(Upgrades!$T$15="Moving Group",POWER(Upgrades!$U$15,G134),1)*IF(Upgrades!$T$16="Moving Group",POWER(Upgrades!$U$16,H134),1)*IF(Upgrades!$T$17="Moving Group",POWER(Upgrades!$U$17,I134),1)*IF(Upgrades!$T$18="Moving Group",POWER(Upgrades!$U$18,J134),1)*IF(Upgrades!$T$19="Moving Group",POWER(Upgrades!$U$19,K134),1)*IF(Upgrades!$T$20="Moving Group",POWER(Upgrades!$U$20,L134),1))*POWER(Upgrades!$P$13,E134)*POWER(Upgrades!$P$14,F134)*POWER(Upgrades!$P$15,G134)*POWER(Upgrades!$P$16,H134)*POWER(Upgrades!$P$17,I134)*POWER(Upgrades!$P$18,J134)*POWER(Upgrades!$P$19,K134)*POWER(Upgrades!$P$20,L134)*POWER(Upgrades!$P$21,M134)*$F$6*60</f>
        <v/>
      </c>
      <c r="AJ134" s="27">
        <f>$C$6*60</f>
        <v/>
      </c>
      <c r="AK134" s="22">
        <f>IF(E134&gt;=Upgrades!$E$13,"",Upgrades!$C$13*POWER(Upgrades!$D$13,E134))</f>
        <v/>
      </c>
      <c r="AL134" s="22">
        <f>IF(F134&gt;=Upgrades!$E$14,"",Upgrades!$C$14*POWER(Upgrades!$D$14,F134))</f>
        <v/>
      </c>
      <c r="AM134" s="22">
        <f>IF(G134&gt;=Upgrades!$E$15,"",Upgrades!$C$15*POWER(Upgrades!$D$15,G134))</f>
        <v/>
      </c>
      <c r="AN134" s="22">
        <f>IF(H134&gt;=Upgrades!$E$16,"",Upgrades!$C$16*POWER(Upgrades!$D$16,H134))</f>
        <v/>
      </c>
      <c r="AO134" s="22">
        <f>IF(I134&gt;=Upgrades!$E$17,"",Upgrades!$C$17*POWER(Upgrades!$D$17,I134))</f>
        <v/>
      </c>
      <c r="AP134" s="22">
        <f>IF(J134&gt;=Upgrades!$E$18,"",Upgrades!$C$18*POWER(Upgrades!$D$18,J134))</f>
        <v/>
      </c>
      <c r="AQ134" s="22">
        <f>IF(K134&gt;=Upgrades!$E$19,"",Upgrades!$C$19*POWER(Upgrades!$D$19,K134))</f>
        <v/>
      </c>
      <c r="AR134" s="22">
        <f>IF(L134&gt;=Upgrades!$E$20,"",Upgrades!$C$20*POWER(Upgrades!$D$20,L134))</f>
        <v/>
      </c>
      <c r="AS134" s="22">
        <f>IF(M134&gt;=Upgrades!$E$21,"",Upgrades!$C$21*POWER(Upgrades!$D$21,M134))</f>
        <v/>
      </c>
      <c r="AT134" s="26">
        <f>IF(AND(D134&gt;=Parameters!$B$18*Parameters!$B$19,(I134&gt;=Upgrades!$E$17)*(M134&gt;=Upgrades!$E$21)=1,N134=0),1,"")</f>
        <v/>
      </c>
      <c r="AU134" s="26">
        <f>IF(AND(D134&gt;=Parameters!$B$18*Parameters!$B$19,N134=0),1,"")</f>
        <v/>
      </c>
      <c r="AV134" s="22">
        <f>MIN(IF(ISNUMBER(AP134),AP134,9E15),IF(ISNUMBER(AQ134),AQ134,9E15),IF(ISNUMBER(AR134),AR134,9E15),IF(ISNUMBER(AS134),AS134,9E15))</f>
        <v/>
      </c>
      <c r="AW134" s="22">
        <f>MIN(IF(ISNUMBER(AK134),AK134,9E15),IF(ISNUMBER(AL134),AL134,9E15),IF(ISNUMBER(AM134),AM134,9E15),IF(ISNUMBER(AN134),AN134,9E15),IF(ISNUMBER(AO134),AO134,9E15))</f>
        <v/>
      </c>
      <c r="AX134" s="29">
        <f>IF(BD134&gt;Parameters!$B$21*(MAX(IF(AND(NOT(AND(AU134=1,AT134&lt;&gt;1)),ISNUMBER(AK134),AK134&lt;=(C134+T134)),AY134,0),IF(AND(NOT(AND(AU134=1,AT134&lt;&gt;1)),ISNUMBER(AL134),AL134&lt;=(C134+T134)),AZ134,0),IF(AND(NOT(AND(AU134=1,AT134&lt;&gt;1)),ISNUMBER(AM134),AM134&lt;=(C134+T134)),BA134,0),IF(AND(NOT(AND(AU134=1,AT134&lt;&gt;1)),ISNUMBER(AN134),AN134&lt;=(C134+T134)),BB134,0),IF(AND(ISNUMBER(AO134),AO134&lt;=(C134+T134)),BC134,0))),TRUE,FALSE)</f>
        <v/>
      </c>
      <c r="AY134" s="32">
        <f>IFERROR(Upgrades!$H$13*(POWER(Upgrades!$P$13,E134)*POWER(Upgrades!$P$14,F134)*POWER(Upgrades!$P$15,G134)*POWER(Upgrades!$P$16,H134)*POWER(Upgrades!$P$17,I134)*POWER(Upgrades!$P$18,J134)*POWER(Upgrades!$P$19,K134)*POWER(Upgrades!$P$20,L134)*POWER(Upgrades!$P$21,M134))*(IF(Upgrades!$T$14="Stellar Kinematics",POWER(Upgrades!$U$14,F134),1)*IF(Upgrades!$T$15="Stellar Kinematics",POWER(Upgrades!$U$15,G134),1)*IF(Upgrades!$T$16="Stellar Kinematics",POWER(Upgrades!$U$16,H134),1)*IF(Upgrades!$T$17="Stellar Kinematics",POWER(Upgrades!$U$17,I134),1)*IF(Upgrades!$T$18="Stellar Kinematics",POWER(Upgrades!$U$18,J134),1)*IF(Upgrades!$T$19="Stellar Kinematics",POWER(Upgrades!$U$19,K134),1)*IF(Upgrades!$T$20="Stellar Kinematics",POWER(Upgrades!$U$20,L134),1)*IF(Upgrades!$T$21="Stellar Kinematics",POWER(Upgrades!$U$21,M134),1))*$F$6/AK134,0)</f>
        <v/>
      </c>
      <c r="AZ134" s="32">
        <f>IFERROR(Upgrades!$H$14*(POWER(Upgrades!$P$13,E134)*POWER(Upgrades!$P$14,F134)*POWER(Upgrades!$P$15,G134)*POWER(Upgrades!$P$16,H134)*POWER(Upgrades!$P$17,I134)*POWER(Upgrades!$P$18,J134)*POWER(Upgrades!$P$19,K134)*POWER(Upgrades!$P$20,L134)*POWER(Upgrades!$P$21,M134))*(IF(Upgrades!$T$13="Local Bubble",POWER(Upgrades!$U$13,E134),1)*IF(Upgrades!$T$15="Local Bubble",POWER(Upgrades!$U$15,G134),1)*IF(Upgrades!$T$16="Local Bubble",POWER(Upgrades!$U$16,H134),1)*IF(Upgrades!$T$17="Local Bubble",POWER(Upgrades!$U$17,I134),1)*IF(Upgrades!$T$18="Local Bubble",POWER(Upgrades!$U$18,J134),1)*IF(Upgrades!$T$19="Local Bubble",POWER(Upgrades!$U$19,K134),1)*IF(Upgrades!$T$20="Local Bubble",POWER(Upgrades!$U$20,L134),1)*IF(Upgrades!$T$21="Local Bubble",POWER(Upgrades!$U$21,M134),1))*$F$6/AL134,0)</f>
        <v/>
      </c>
      <c r="BA134" s="32">
        <f>IFERROR(Upgrades!$K$15*(POWER(Upgrades!$Q$13,E134)*POWER(Upgrades!$Q$14,F134)*POWER(Upgrades!$Q$15,G134)*POWER(Upgrades!$Q$16,H134)*POWER(Upgrades!$Q$17,I134)*POWER(Upgrades!$Q$18,J134)*POWER(Upgrades!$Q$19,K134)*POWER(Upgrades!$Q$20,L134)*POWER(Upgrades!$Q$21,M134))*(IF(Upgrades!$T$13="Microlensing",POWER(Upgrades!$U$13,E134),1)*IF(Upgrades!$T$14="Microlensing",POWER(Upgrades!$U$14,F134),1)*IF(Upgrades!$T$16="Microlensing",POWER(Upgrades!$U$16,H134),1)*IF(Upgrades!$T$17="Microlensing",POWER(Upgrades!$U$17,I134),1)*IF(Upgrades!$T$18="Microlensing",POWER(Upgrades!$U$18,J134),1)*IF(Upgrades!$T$19="Microlensing",POWER(Upgrades!$U$19,K134),1)*IF(Upgrades!$T$20="Microlensing",POWER(Upgrades!$U$20,L134),1)*IF(Upgrades!$T$21="Microlensing",POWER(Upgrades!$U$21,M134),1))*$G$6*(Parameters!$B$10/60*Parameters!$B$11+Q134)/AM134,0)</f>
        <v/>
      </c>
      <c r="BB134" s="32">
        <f>IFERROR((Upgrades!$N$16*(POWER(Upgrades!$R$13,E134)*POWER(Upgrades!$R$14,F134)*POWER(Upgrades!$R$15,G134)*POWER(Upgrades!$R$16,H134)*POWER(Upgrades!$R$17,I134)*POWER(Upgrades!$R$18,J134)*POWER(Upgrades!$R$19,K134)*POWER(Upgrades!$R$20,L134)*POWER(Upgrades!$R$21,M134))*(IF(Upgrades!$T$13="Roche Lobe Overflow",POWER(Upgrades!$U$13,E134),1)*IF(Upgrades!$T$14="Roche Lobe Overflow",POWER(Upgrades!$U$14,F134),1)*IF(Upgrades!$T$15="Roche Lobe Overflow",POWER(Upgrades!$U$15,G134),1)*IF(Upgrades!$T$17="Roche Lobe Overflow",POWER(Upgrades!$U$17,I134),1)*IF(Upgrades!$T$18="Roche Lobe Overflow",POWER(Upgrades!$U$18,J134),1)*IF(Upgrades!$T$19="Roche Lobe Overflow",POWER(Upgrades!$U$19,K134),1)*IF(Upgrades!$T$20="Roche Lobe Overflow",POWER(Upgrades!$U$20,L134),1)*IF(Upgrades!$T$21="Roche Lobe Overflow",POWER(Upgrades!$U$21,M134),1))*$H$6*O134+((IF(F134=0,0,(Upgrades!$G$14+F134*Upgrades!$H$14)*POWER(Upgrades!$I$14,F134)))*(IF(Upgrades!$T$13="Local Bubble",POWER(Upgrades!$U$13,E134),1)*IF(Upgrades!$T$15="Local Bubble",POWER(Upgrades!$U$15,G134),1)*IF(Upgrades!$T$16="Local Bubble",POWER(Upgrades!$U$16,H134),1)*IF(Upgrades!$T$17="Local Bubble",POWER(Upgrades!$U$17,I134),1)*IF(Upgrades!$T$18="Local Bubble",POWER(Upgrades!$U$18,J134),1)*IF(Upgrades!$T$19="Local Bubble",POWER(Upgrades!$U$19,K134),1)*IF(Upgrades!$T$20="Local Bubble",POWER(Upgrades!$U$20,L134),1)*IF(Upgrades!$T$21="Local Bubble",POWER(Upgrades!$U$21,M134),1))*POWER(Upgrades!$P$13,E134)*POWER(Upgrades!$P$14,F134)*POWER(Upgrades!$P$15,G134)*POWER(Upgrades!$P$16,H134)*POWER(Upgrades!$P$17,I134)*POWER(Upgrades!$P$18,J134)*POWER(Upgrades!$P$19,K134)*POWER(Upgrades!$P$20,L134)*POWER(Upgrades!$P$21,M134)*$F$6)*0.05)/AN134,0)</f>
        <v/>
      </c>
      <c r="BC134" s="32">
        <f>IFERROR((Upgrades!$H$17*(POWER(Upgrades!$P$13,E134)*POWER(Upgrades!$P$14,F134)*POWER(Upgrades!$P$15,G134)*POWER(Upgrades!$P$16,H134)*POWER(Upgrades!$P$17,I134)*POWER(Upgrades!$P$18,J134)*POWER(Upgrades!$P$19,K134)*POWER(Upgrades!$P$20,L134)*POWER(Upgrades!$P$21,M134))*(IF(Upgrades!$T$13="Brown Dwarf",POWER(Upgrades!$U$13,E134),1)*IF(Upgrades!$T$14="Brown Dwarf",POWER(Upgrades!$U$14,F134),1)*IF(Upgrades!$T$15="Brown Dwarf",POWER(Upgrades!$U$15,G134),1)*IF(Upgrades!$T$16="Brown Dwarf",POWER(Upgrades!$U$16,H134),1)*IF(Upgrades!$T$18="Brown Dwarf",POWER(Upgrades!$U$18,J134),1)*IF(Upgrades!$T$19="Brown Dwarf",POWER(Upgrades!$U$19,K134),1)*IF(Upgrades!$T$20="Brown Dwarf",POWER(Upgrades!$U$20,L134),1)*IF(Upgrades!$T$21="Brown Dwarf",POWER(Upgrades!$U$21,M134),1))*$F$6+(((IF(H134=0,0,(Upgrades!$M$16+H134*Upgrades!$N$16)*POWER(Upgrades!$O$16,H134)))*(IF(Upgrades!$T$13="Roche Lobe Overflow",POWER(Upgrades!$U$13,E134),1)*IF(Upgrades!$T$14="Roche Lobe Overflow",POWER(Upgrades!$U$14,F134),1)*IF(Upgrades!$T$15="Roche Lobe Overflow",POWER(Upgrades!$U$15,G134),1)*IF(Upgrades!$T$17="Roche Lobe Overflow",POWER(Upgrades!$U$17,I134),1)*IF(Upgrades!$T$18="Roche Lobe Overflow",POWER(Upgrades!$U$18,J134),1)*IF(Upgrades!$T$19="Roche Lobe Overflow",POWER(Upgrades!$U$19,K134),1)*IF(Upgrades!$T$20="Roche Lobe Overflow",POWER(Upgrades!$U$20,L134),1)*IF(Upgrades!$T$21="Roche Lobe Overflow",POWER(Upgrades!$U$21,M134),1))*POWER(Upgrades!$R$13,E134)*POWER(Upgrades!$R$14,F134)*POWER(Upgrades!$R$15,G134)*POWER(Upgrades!$R$16,H134)*POWER(Upgrades!$R$17,I134)*POWER(Upgrades!$R$18,J134)*POWER(Upgrades!$R$19,K134)*POWER(Upgrades!$R$20,L134)*POWER(Upgrades!$R$21,M134)*$H$6)*O134)*0.10)/AO134,0)</f>
        <v/>
      </c>
      <c r="BD134" s="32">
        <f>MAX(IF(J134&gt;0,0,IFERROR(0.5*((IF(G134=0,0,(Upgrades!$J$15+G134*Upgrades!$K$15)*POWER(Upgrades!$L$15,G134)))*(IF(Upgrades!$T$13="Microlensing",POWER(Upgrades!$U$13,E134),1)*IF(Upgrades!$T$14="Microlensing",POWER(Upgrades!$U$14,F134),1)*IF(Upgrades!$T$16="Microlensing",POWER(Upgrades!$U$16,H134),1)*IF(Upgrades!$T$17="Microlensing",POWER(Upgrades!$U$17,I134),1)*IF(Upgrades!$T$18="Microlensing",POWER(Upgrades!$U$18,J134),1)*IF(Upgrades!$T$19="Microlensing",POWER(Upgrades!$U$19,K134),1)*IF(Upgrades!$T$20="Microlensing",POWER(Upgrades!$U$20,L134),1)*IF(Upgrades!$T$21="Microlensing",POWER(Upgrades!$U$21,M134),1))*(POWER(Upgrades!$Q$13,E134)*POWER(Upgrades!$Q$14,F134)*POWER(Upgrades!$Q$15,G134)*POWER(Upgrades!$Q$16,H134)*POWER(Upgrades!$Q$17,I134)*POWER(Upgrades!$Q$18,J134)*POWER(Upgrades!$Q$19,K134)*POWER(Upgrades!$Q$20,L134)*POWER(Upgrades!$Q$21,M134))*$G$6*(Parameters!$B$10/60*Parameters!$B$11+Q134))/Upgrades!$C$18,0)),IF(K134&gt;0,0,IFERROR(0.30*P134/Upgrades!$C$19,0)),IF(L134&gt;0,0,IFERROR(0.0001/Upgrades!$C$20,0)),IF(M134&gt;0,0,IFERROR((6.0*(POWER(Upgrades!$P$13,E134)*POWER(Upgrades!$P$14,F134)*POWER(Upgrades!$P$15,G134)*POWER(Upgrades!$P$16,H134)*POWER(Upgrades!$P$17,I134)*POWER(Upgrades!$P$18,J134)*POWER(Upgrades!$P$19,K134)*POWER(Upgrades!$P$20,L134)*POWER(Upgrades!$P$21,M134))*$F$6+0.20*O134*(Parameters!$B$10/60*Parameters!$B$11+Q134))/Upgrades!$C$21,0)),IF(AND(ISNUMBER(AK134),AK134&gt;(C134+T134)),AY134,0),IF(AND(ISNUMBER(AL134),AL134&gt;(C134+T134)),AZ134,0),IF(AND(ISNUMBER(AM134),AM134&gt;(C134+T134)),BA134,0),IF(AND(ISNUMBER(AN134),AN134&gt;(C134+T134)),BB134,0),IF(AND(ISNUMBER(AO134),AO134&gt;(C134+T134)),BC134,0))</f>
        <v/>
      </c>
      <c r="BE134" s="29">
        <f>IF(AT134=1,"transition",IF(MIN(IF(AND(J134=0,ISNUMBER(AP134),AP134&lt;=(C134+T134)),AP134,9E15),IF(AND(K134=0,ISNUMBER(AQ134),AQ134&lt;=(C134+T134)),AQ134,9E15),IF(AND(L134=0,ISNUMBER(AR134),AR134&lt;=(C134+T134)),AR134,9E15),IF(AND(M134=0,ISNUMBER(AS134),AS134&lt;=(C134+T134)),AS134,9E15))&lt;9E15,IF(AND(AND(J134=0,ISNUMBER(AP134),AP134&lt;=(C134+T134)),AP134=MIN(IF(AND(J134=0,ISNUMBER(AP134),AP134&lt;=(C134+T134)),AP134,9E15),IF(AND(K134=0,ISNUMBER(AQ134),AQ134&lt;=(C134+T134)),AQ134,9E15),IF(AND(L134=0,ISNUMBER(AR134),AR134&lt;=(C134+T134)),AR134,9E15),IF(AND(M134=0,ISNUMBER(AS134),AS134&lt;=(C134+T134)),AS134,9E15))),"BiP",IF(AND(AND(K134=0,ISNUMBER(AQ134),AQ134&lt;=(C134+T134)),AQ134=MIN(IF(AND(J134=0,ISNUMBER(AP134),AP134&lt;=(C134+T134)),AP134,9E15),IF(AND(K134=0,ISNUMBER(AQ134),AQ134&lt;=(C134+T134)),AQ134,9E15),IF(AND(L134=0,ISNUMBER(AR134),AR134&lt;=(C134+T134)),AR134,9E15),IF(AND(M134=0,ISNUMBER(AS134),AS134&lt;=(C134+T134)),AS134,9E15))),"PV",IF(AND(AND(L134=0,ISNUMBER(AR134),AR134&lt;=(C134+T134)),AR134=MIN(IF(AND(J134=0,ISNUMBER(AP134),AP134&lt;=(C134+T134)),AP134,9E15),IF(AND(K134=0,ISNUMBER(AQ134),AQ134&lt;=(C134+T134)),AQ134,9E15),IF(AND(L134=0,ISNUMBER(AR134),AR134&lt;=(C134+T134)),AR134,9E15),IF(AND(M134=0,ISNUMBER(AS134),AS134&lt;=(C134+T134)),AS134,9E15))),"OC","MG"))),IF(AX134=TRUE,"",IF(MAX(IF(AND(NOT(AND(AU134=1,AT134&lt;&gt;1)),ISNUMBER(AK134),AK134&lt;=(C134+T134)),AY134,0),IF(AND(NOT(AND(AU134=1,AT134&lt;&gt;1)),ISNUMBER(AL134),AL134&lt;=(C134+T134)),AZ134,0),IF(AND(NOT(AND(AU134=1,AT134&lt;&gt;1)),ISNUMBER(AM134),AM134&lt;=(C134+T134)),BA134,0),IF(AND(NOT(AND(AU134=1,AT134&lt;&gt;1)),ISNUMBER(AN134),AN134&lt;=(C134+T134)),BB134,0),IF(AND(ISNUMBER(AO134),AO134&lt;=(C134+T134)),BC134,0))&lt;=0,"",IF(AND(IF(AND(NOT(AND(AU134=1,AT134&lt;&gt;1)),ISNUMBER(AK134),AK134&lt;=(C134+T134)),AY134,0)&gt;0,IF(AND(NOT(AND(AU134=1,AT134&lt;&gt;1)),ISNUMBER(AK134),AK134&lt;=(C134+T134)),AY134,0)=MAX(IF(AND(NOT(AND(AU134=1,AT134&lt;&gt;1)),ISNUMBER(AK134),AK134&lt;=(C134+T134)),AY134,0),IF(AND(NOT(AND(AU134=1,AT134&lt;&gt;1)),ISNUMBER(AL134),AL134&lt;=(C134+T134)),AZ134,0),IF(AND(NOT(AND(AU134=1,AT134&lt;&gt;1)),ISNUMBER(AM134),AM134&lt;=(C134+T134)),BA134,0),IF(AND(NOT(AND(AU134=1,AT134&lt;&gt;1)),ISNUMBER(AN134),AN134&lt;=(C134+T134)),BB134,0),IF(AND(ISNUMBER(AO134),AO134&lt;=(C134+T134)),BC134,0))),"SK",IF(AND(IF(AND(NOT(AND(AU134=1,AT134&lt;&gt;1)),ISNUMBER(AL134),AL134&lt;=(C134+T134)),AZ134,0)&gt;0,IF(AND(NOT(AND(AU134=1,AT134&lt;&gt;1)),ISNUMBER(AL134),AL134&lt;=(C134+T134)),AZ134,0)=MAX(IF(AND(NOT(AND(AU134=1,AT134&lt;&gt;1)),ISNUMBER(AK134),AK134&lt;=(C134+T134)),AY134,0),IF(AND(NOT(AND(AU134=1,AT134&lt;&gt;1)),ISNUMBER(AL134),AL134&lt;=(C134+T134)),AZ134,0),IF(AND(NOT(AND(AU134=1,AT134&lt;&gt;1)),ISNUMBER(AM134),AM134&lt;=(C134+T134)),BA134,0),IF(AND(NOT(AND(AU134=1,AT134&lt;&gt;1)),ISNUMBER(AN134),AN134&lt;=(C134+T134)),BB134,0),IF(AND(ISNUMBER(AO134),AO134&lt;=(C134+T134)),BC134,0))),"LB",IF(AND(IF(AND(NOT(AND(AU134=1,AT134&lt;&gt;1)),ISNUMBER(AM134),AM134&lt;=(C134+T134)),BA134,0)&gt;0,IF(AND(NOT(AND(AU134=1,AT134&lt;&gt;1)),ISNUMBER(AM134),AM134&lt;=(C134+T134)),BA134,0)=MAX(IF(AND(NOT(AND(AU134=1,AT134&lt;&gt;1)),ISNUMBER(AK134),AK134&lt;=(C134+T134)),AY134,0),IF(AND(NOT(AND(AU134=1,AT134&lt;&gt;1)),ISNUMBER(AL134),AL134&lt;=(C134+T134)),AZ134,0),IF(AND(NOT(AND(AU134=1,AT134&lt;&gt;1)),ISNUMBER(AM134),AM134&lt;=(C134+T134)),BA134,0),IF(AND(NOT(AND(AU134=1,AT134&lt;&gt;1)),ISNUMBER(AN134),AN134&lt;=(C134+T134)),BB134,0),IF(AND(ISNUMBER(AO134),AO134&lt;=(C134+T134)),BC134,0))),"ML",IF(AND(IF(AND(NOT(AND(AU134=1,AT134&lt;&gt;1)),ISNUMBER(AN134),AN134&lt;=(C134+T134)),BB134,0)&gt;0,IF(AND(NOT(AND(AU134=1,AT134&lt;&gt;1)),ISNUMBER(AN134),AN134&lt;=(C134+T134)),BB134,0)=MAX(IF(AND(NOT(AND(AU134=1,AT134&lt;&gt;1)),ISNUMBER(AK134),AK134&lt;=(C134+T134)),AY134,0),IF(AND(NOT(AND(AU134=1,AT134&lt;&gt;1)),ISNUMBER(AL134),AL134&lt;=(C134+T134)),AZ134,0),IF(AND(NOT(AND(AU134=1,AT134&lt;&gt;1)),ISNUMBER(AM134),AM134&lt;=(C134+T134)),BA134,0),IF(AND(NOT(AND(AU134=1,AT134&lt;&gt;1)),ISNUMBER(AN134),AN134&lt;=(C134+T134)),BB134,0),IF(AND(ISNUMBER(AO134),AO134&lt;=(C134+T134)),BC134,0))),"RLO","BD"))))))))</f>
        <v/>
      </c>
    </row>
    <row r="135">
      <c r="A135" s="26" t="n">
        <v>124</v>
      </c>
      <c r="B135" s="27">
        <f>A135*10/60</f>
        <v/>
      </c>
      <c r="C135" s="22">
        <f>X134</f>
        <v/>
      </c>
      <c r="D135" s="27">
        <f>D134+W134</f>
        <v/>
      </c>
      <c r="E135" s="26">
        <f>E134+IF(U134="SK",1,0)</f>
        <v/>
      </c>
      <c r="F135" s="26">
        <f>F134+IF(U134="LB",1,0)</f>
        <v/>
      </c>
      <c r="G135" s="26">
        <f>G134+IF(U134="ML",1,0)</f>
        <v/>
      </c>
      <c r="H135" s="26">
        <f>H134+IF(U134="RLO",1,0)</f>
        <v/>
      </c>
      <c r="I135" s="26">
        <f>I134+IF(U134="BD",1,0)</f>
        <v/>
      </c>
      <c r="J135" s="26">
        <f>MAX(J134,IF(U134="BiP",1,0))</f>
        <v/>
      </c>
      <c r="K135" s="26">
        <f>MAX(K134,IF(U134="PV",1,0))</f>
        <v/>
      </c>
      <c r="L135" s="26">
        <f>MAX(L134,IF(U134="OC",1,0))</f>
        <v/>
      </c>
      <c r="M135" s="26">
        <f>MAX(M134,IF(U134="MG",1,0))</f>
        <v/>
      </c>
      <c r="N135" s="26">
        <f>MAX(N134,IF(U134="transition",1,0))</f>
        <v/>
      </c>
      <c r="O135" s="28">
        <f>(Parameters!$B$9+(IF(E135=0,0,(Upgrades!$J$13+E135*Upgrades!$K$13)*POWER(Upgrades!$L$13,E135)))*(IF(Upgrades!$T$14="Stellar Kinematics",POWER(Upgrades!$U$14,F135),1)*IF(Upgrades!$T$15="Stellar Kinematics",POWER(Upgrades!$U$15,G135),1)*IF(Upgrades!$T$16="Stellar Kinematics",POWER(Upgrades!$U$16,H135),1)*IF(Upgrades!$T$17="Stellar Kinematics",POWER(Upgrades!$U$17,I135),1)*IF(Upgrades!$T$18="Stellar Kinematics",POWER(Upgrades!$U$18,J135),1)*IF(Upgrades!$T$19="Stellar Kinematics",POWER(Upgrades!$U$19,K135),1)*IF(Upgrades!$T$20="Stellar Kinematics",POWER(Upgrades!$U$20,L135),1)*IF(Upgrades!$T$21="Stellar Kinematics",POWER(Upgrades!$U$21,M135),1))+(IF(F135=0,0,(Upgrades!$J$14+F135*Upgrades!$K$14)*POWER(Upgrades!$L$14,F135)))*(IF(Upgrades!$T$13="Local Bubble",POWER(Upgrades!$U$13,E135),1)*IF(Upgrades!$T$15="Local Bubble",POWER(Upgrades!$U$15,G135),1)*IF(Upgrades!$T$16="Local Bubble",POWER(Upgrades!$U$16,H135),1)*IF(Upgrades!$T$17="Local Bubble",POWER(Upgrades!$U$17,I135),1)*IF(Upgrades!$T$18="Local Bubble",POWER(Upgrades!$U$18,J135),1)*IF(Upgrades!$T$19="Local Bubble",POWER(Upgrades!$U$19,K135),1)*IF(Upgrades!$T$20="Local Bubble",POWER(Upgrades!$U$20,L135),1)*IF(Upgrades!$T$21="Local Bubble",POWER(Upgrades!$U$21,M135),1))+(IF(G135=0,0,(Upgrades!$J$15+G135*Upgrades!$K$15)*POWER(Upgrades!$L$15,G135)))*(IF(Upgrades!$T$13="Microlensing",POWER(Upgrades!$U$13,E135),1)*IF(Upgrades!$T$14="Microlensing",POWER(Upgrades!$U$14,F135),1)*IF(Upgrades!$T$16="Microlensing",POWER(Upgrades!$U$16,H135),1)*IF(Upgrades!$T$17="Microlensing",POWER(Upgrades!$U$17,I135),1)*IF(Upgrades!$T$18="Microlensing",POWER(Upgrades!$U$18,J135),1)*IF(Upgrades!$T$19="Microlensing",POWER(Upgrades!$U$19,K135),1)*IF(Upgrades!$T$20="Microlensing",POWER(Upgrades!$U$20,L135),1)*IF(Upgrades!$T$21="Microlensing",POWER(Upgrades!$U$21,M135),1))+(IF(H135=0,0,(Upgrades!$J$16+H135*Upgrades!$K$16)*POWER(Upgrades!$L$16,H135)))*(IF(Upgrades!$T$13="Roche Lobe Overflow",POWER(Upgrades!$U$13,E135),1)*IF(Upgrades!$T$14="Roche Lobe Overflow",POWER(Upgrades!$U$14,F135),1)*IF(Upgrades!$T$15="Roche Lobe Overflow",POWER(Upgrades!$U$15,G135),1)*IF(Upgrades!$T$17="Roche Lobe Overflow",POWER(Upgrades!$U$17,I135),1)*IF(Upgrades!$T$18="Roche Lobe Overflow",POWER(Upgrades!$U$18,J135),1)*IF(Upgrades!$T$19="Roche Lobe Overflow",POWER(Upgrades!$U$19,K135),1)*IF(Upgrades!$T$20="Roche Lobe Overflow",POWER(Upgrades!$U$20,L135),1)*IF(Upgrades!$T$21="Roche Lobe Overflow",POWER(Upgrades!$U$21,M135),1))+(IF(I135=0,0,(Upgrades!$J$17+I135*Upgrades!$K$17)*POWER(Upgrades!$L$17,I135)))*(IF(Upgrades!$T$13="Brown Dwarf",POWER(Upgrades!$U$13,E135),1)*IF(Upgrades!$T$14="Brown Dwarf",POWER(Upgrades!$U$14,F135),1)*IF(Upgrades!$T$15="Brown Dwarf",POWER(Upgrades!$U$15,G135),1)*IF(Upgrades!$T$16="Brown Dwarf",POWER(Upgrades!$U$16,H135),1)*IF(Upgrades!$T$18="Brown Dwarf",POWER(Upgrades!$U$18,J135),1)*IF(Upgrades!$T$19="Brown Dwarf",POWER(Upgrades!$U$19,K135),1)*IF(Upgrades!$T$20="Brown Dwarf",POWER(Upgrades!$U$20,L135),1)*IF(Upgrades!$T$21="Brown Dwarf",POWER(Upgrades!$U$21,M135),1))+(IF(J135=0,0,(Upgrades!$J$18+J135*Upgrades!$K$18)*POWER(Upgrades!$L$18,J135)))*(IF(Upgrades!$T$13="Binary Partner",POWER(Upgrades!$U$13,E135),1)*IF(Upgrades!$T$14="Binary Partner",POWER(Upgrades!$U$14,F135),1)*IF(Upgrades!$T$15="Binary Partner",POWER(Upgrades!$U$15,G135),1)*IF(Upgrades!$T$16="Binary Partner",POWER(Upgrades!$U$16,H135),1)*IF(Upgrades!$T$17="Binary Partner",POWER(Upgrades!$U$17,I135),1)*IF(Upgrades!$T$19="Binary Partner",POWER(Upgrades!$U$19,K135),1)*IF(Upgrades!$T$20="Binary Partner",POWER(Upgrades!$U$20,L135),1)*IF(Upgrades!$T$21="Binary Partner",POWER(Upgrades!$U$21,M135),1))+(IF(K135=0,0,(Upgrades!$J$19+K135*Upgrades!$K$19)*POWER(Upgrades!$L$19,K135)))*(IF(Upgrades!$T$13="Peculiar Velocity",POWER(Upgrades!$U$13,E135),1)*IF(Upgrades!$T$14="Peculiar Velocity",POWER(Upgrades!$U$14,F135),1)*IF(Upgrades!$T$15="Peculiar Velocity",POWER(Upgrades!$U$15,G135),1)*IF(Upgrades!$T$16="Peculiar Velocity",POWER(Upgrades!$U$16,H135),1)*IF(Upgrades!$T$17="Peculiar Velocity",POWER(Upgrades!$U$17,I135),1)*IF(Upgrades!$T$18="Peculiar Velocity",POWER(Upgrades!$U$18,J135),1)*IF(Upgrades!$T$20="Peculiar Velocity",POWER(Upgrades!$U$20,L135),1)*IF(Upgrades!$T$21="Peculiar Velocity",POWER(Upgrades!$U$21,M135),1))+(IF(L135=0,0,(Upgrades!$J$20+L135*Upgrades!$K$20)*POWER(Upgrades!$L$20,L135)))*(IF(Upgrades!$T$13="Open Cluster",POWER(Upgrades!$U$13,E135),1)*IF(Upgrades!$T$14="Open Cluster",POWER(Upgrades!$U$14,F135),1)*IF(Upgrades!$T$15="Open Cluster",POWER(Upgrades!$U$15,G135),1)*IF(Upgrades!$T$16="Open Cluster",POWER(Upgrades!$U$16,H135),1)*IF(Upgrades!$T$17="Open Cluster",POWER(Upgrades!$U$17,I135),1)*IF(Upgrades!$T$18="Open Cluster",POWER(Upgrades!$U$18,J135),1)*IF(Upgrades!$T$19="Open Cluster",POWER(Upgrades!$U$19,K135),1)*IF(Upgrades!$T$21="Open Cluster",POWER(Upgrades!$U$21,M135),1))+(IF(M135=0,0,(Upgrades!$J$21+M135*Upgrades!$K$21)*POWER(Upgrades!$L$21,M135)))*(IF(Upgrades!$T$13="Moving Group",POWER(Upgrades!$U$13,E135),1)*IF(Upgrades!$T$14="Moving Group",POWER(Upgrades!$U$14,F135),1)*IF(Upgrades!$T$15="Moving Group",POWER(Upgrades!$U$15,G135),1)*IF(Upgrades!$T$16="Moving Group",POWER(Upgrades!$U$16,H135),1)*IF(Upgrades!$T$17="Moving Group",POWER(Upgrades!$U$17,I135),1)*IF(Upgrades!$T$18="Moving Group",POWER(Upgrades!$U$18,J135),1)*IF(Upgrades!$T$19="Moving Group",POWER(Upgrades!$U$19,K135),1)*IF(Upgrades!$T$20="Moving Group",POWER(Upgrades!$U$20,L135),1)))*POWER(Upgrades!$Q$13,E135)*POWER(Upgrades!$Q$14,F135)*POWER(Upgrades!$Q$15,G135)*POWER(Upgrades!$Q$16,H135)*POWER(Upgrades!$Q$17,I135)*POWER(Upgrades!$Q$18,J135)*POWER(Upgrades!$Q$19,K135)*POWER(Upgrades!$Q$20,L135)*POWER(Upgrades!$Q$21,M135)*$G$6+$D$6</f>
        <v/>
      </c>
      <c r="P135" s="28">
        <f>((IF(E135=0,0,(Upgrades!$G$13+E135*Upgrades!$H$13)*POWER(Upgrades!$I$13,E135)))*(IF(Upgrades!$T$14="Stellar Kinematics",POWER(Upgrades!$U$14,F135),1)*IF(Upgrades!$T$15="Stellar Kinematics",POWER(Upgrades!$U$15,G135),1)*IF(Upgrades!$T$16="Stellar Kinematics",POWER(Upgrades!$U$16,H135),1)*IF(Upgrades!$T$17="Stellar Kinematics",POWER(Upgrades!$U$17,I135),1)*IF(Upgrades!$T$18="Stellar Kinematics",POWER(Upgrades!$U$18,J135),1)*IF(Upgrades!$T$19="Stellar Kinematics",POWER(Upgrades!$U$19,K135),1)*IF(Upgrades!$T$20="Stellar Kinematics",POWER(Upgrades!$U$20,L135),1)*IF(Upgrades!$T$21="Stellar Kinematics",POWER(Upgrades!$U$21,M135),1))+(IF(F135=0,0,(Upgrades!$G$14+F135*Upgrades!$H$14)*POWER(Upgrades!$I$14,F135)))*(IF(Upgrades!$T$13="Local Bubble",POWER(Upgrades!$U$13,E135),1)*IF(Upgrades!$T$15="Local Bubble",POWER(Upgrades!$U$15,G135),1)*IF(Upgrades!$T$16="Local Bubble",POWER(Upgrades!$U$16,H135),1)*IF(Upgrades!$T$17="Local Bubble",POWER(Upgrades!$U$17,I135),1)*IF(Upgrades!$T$18="Local Bubble",POWER(Upgrades!$U$18,J135),1)*IF(Upgrades!$T$19="Local Bubble",POWER(Upgrades!$U$19,K135),1)*IF(Upgrades!$T$20="Local Bubble",POWER(Upgrades!$U$20,L135),1)*IF(Upgrades!$T$21="Local Bubble",POWER(Upgrades!$U$21,M135),1))+(IF(G135=0,0,(Upgrades!$G$15+G135*Upgrades!$H$15)*POWER(Upgrades!$I$15,G135)))*(IF(Upgrades!$T$13="Microlensing",POWER(Upgrades!$U$13,E135),1)*IF(Upgrades!$T$14="Microlensing",POWER(Upgrades!$U$14,F135),1)*IF(Upgrades!$T$16="Microlensing",POWER(Upgrades!$U$16,H135),1)*IF(Upgrades!$T$17="Microlensing",POWER(Upgrades!$U$17,I135),1)*IF(Upgrades!$T$18="Microlensing",POWER(Upgrades!$U$18,J135),1)*IF(Upgrades!$T$19="Microlensing",POWER(Upgrades!$U$19,K135),1)*IF(Upgrades!$T$20="Microlensing",POWER(Upgrades!$U$20,L135),1)*IF(Upgrades!$T$21="Microlensing",POWER(Upgrades!$U$21,M135),1))+(IF(H135=0,0,(Upgrades!$G$16+H135*Upgrades!$H$16)*POWER(Upgrades!$I$16,H135)))*(IF(Upgrades!$T$13="Roche Lobe Overflow",POWER(Upgrades!$U$13,E135),1)*IF(Upgrades!$T$14="Roche Lobe Overflow",POWER(Upgrades!$U$14,F135),1)*IF(Upgrades!$T$15="Roche Lobe Overflow",POWER(Upgrades!$U$15,G135),1)*IF(Upgrades!$T$17="Roche Lobe Overflow",POWER(Upgrades!$U$17,I135),1)*IF(Upgrades!$T$18="Roche Lobe Overflow",POWER(Upgrades!$U$18,J135),1)*IF(Upgrades!$T$19="Roche Lobe Overflow",POWER(Upgrades!$U$19,K135),1)*IF(Upgrades!$T$20="Roche Lobe Overflow",POWER(Upgrades!$U$20,L135),1)*IF(Upgrades!$T$21="Roche Lobe Overflow",POWER(Upgrades!$U$21,M135),1))+(IF(I135=0,0,(Upgrades!$G$17+I135*Upgrades!$H$17)*POWER(Upgrades!$I$17,I135)))*(IF(Upgrades!$T$13="Brown Dwarf",POWER(Upgrades!$U$13,E135),1)*IF(Upgrades!$T$14="Brown Dwarf",POWER(Upgrades!$U$14,F135),1)*IF(Upgrades!$T$15="Brown Dwarf",POWER(Upgrades!$U$15,G135),1)*IF(Upgrades!$T$16="Brown Dwarf",POWER(Upgrades!$U$16,H135),1)*IF(Upgrades!$T$18="Brown Dwarf",POWER(Upgrades!$U$18,J135),1)*IF(Upgrades!$T$19="Brown Dwarf",POWER(Upgrades!$U$19,K135),1)*IF(Upgrades!$T$20="Brown Dwarf",POWER(Upgrades!$U$20,L135),1)*IF(Upgrades!$T$21="Brown Dwarf",POWER(Upgrades!$U$21,M135),1))+(IF(J135=0,0,(Upgrades!$G$18+J135*Upgrades!$H$18)*POWER(Upgrades!$I$18,J135)))*(IF(Upgrades!$T$13="Binary Partner",POWER(Upgrades!$U$13,E135),1)*IF(Upgrades!$T$14="Binary Partner",POWER(Upgrades!$U$14,F135),1)*IF(Upgrades!$T$15="Binary Partner",POWER(Upgrades!$U$15,G135),1)*IF(Upgrades!$T$16="Binary Partner",POWER(Upgrades!$U$16,H135),1)*IF(Upgrades!$T$17="Binary Partner",POWER(Upgrades!$U$17,I135),1)*IF(Upgrades!$T$19="Binary Partner",POWER(Upgrades!$U$19,K135),1)*IF(Upgrades!$T$20="Binary Partner",POWER(Upgrades!$U$20,L135),1)*IF(Upgrades!$T$21="Binary Partner",POWER(Upgrades!$U$21,M135),1))+(IF(K135=0,0,(Upgrades!$G$19+K135*Upgrades!$H$19)*POWER(Upgrades!$I$19,K135)))*(IF(Upgrades!$T$13="Peculiar Velocity",POWER(Upgrades!$U$13,E135),1)*IF(Upgrades!$T$14="Peculiar Velocity",POWER(Upgrades!$U$14,F135),1)*IF(Upgrades!$T$15="Peculiar Velocity",POWER(Upgrades!$U$15,G135),1)*IF(Upgrades!$T$16="Peculiar Velocity",POWER(Upgrades!$U$16,H135),1)*IF(Upgrades!$T$17="Peculiar Velocity",POWER(Upgrades!$U$17,I135),1)*IF(Upgrades!$T$18="Peculiar Velocity",POWER(Upgrades!$U$18,J135),1)*IF(Upgrades!$T$20="Peculiar Velocity",POWER(Upgrades!$U$20,L135),1)*IF(Upgrades!$T$21="Peculiar Velocity",POWER(Upgrades!$U$21,M135),1))+(IF(L135=0,0,(Upgrades!$G$20+L135*Upgrades!$H$20)*POWER(Upgrades!$I$20,L135)))*(IF(Upgrades!$T$13="Open Cluster",POWER(Upgrades!$U$13,E135),1)*IF(Upgrades!$T$14="Open Cluster",POWER(Upgrades!$U$14,F135),1)*IF(Upgrades!$T$15="Open Cluster",POWER(Upgrades!$U$15,G135),1)*IF(Upgrades!$T$16="Open Cluster",POWER(Upgrades!$U$16,H135),1)*IF(Upgrades!$T$17="Open Cluster",POWER(Upgrades!$U$17,I135),1)*IF(Upgrades!$T$18="Open Cluster",POWER(Upgrades!$U$18,J135),1)*IF(Upgrades!$T$19="Open Cluster",POWER(Upgrades!$U$19,K135),1)*IF(Upgrades!$T$21="Open Cluster",POWER(Upgrades!$U$21,M135),1))+(IF(M135=0,0,(Upgrades!$G$21+M135*Upgrades!$H$21)*POWER(Upgrades!$I$21,M135)))*(IF(Upgrades!$T$13="Moving Group",POWER(Upgrades!$U$13,E135),1)*IF(Upgrades!$T$14="Moving Group",POWER(Upgrades!$U$14,F135),1)*IF(Upgrades!$T$15="Moving Group",POWER(Upgrades!$U$15,G135),1)*IF(Upgrades!$T$16="Moving Group",POWER(Upgrades!$U$16,H135),1)*IF(Upgrades!$T$17="Moving Group",POWER(Upgrades!$U$17,I135),1)*IF(Upgrades!$T$18="Moving Group",POWER(Upgrades!$U$18,J135),1)*IF(Upgrades!$T$19="Moving Group",POWER(Upgrades!$U$19,K135),1)*IF(Upgrades!$T$20="Moving Group",POWER(Upgrades!$U$20,L135),1)))*POWER(Upgrades!$P$13,E135)*POWER(Upgrades!$P$14,F135)*POWER(Upgrades!$P$15,G135)*POWER(Upgrades!$P$16,H135)*POWER(Upgrades!$P$17,I135)*POWER(Upgrades!$P$18,J135)*POWER(Upgrades!$P$19,K135)*POWER(Upgrades!$P$20,L135)*POWER(Upgrades!$P$21,M135)*$F$6+$C$6</f>
        <v/>
      </c>
      <c r="Q135" s="28">
        <f>((IF(E135=0,0,(Upgrades!$M$13+E135*Upgrades!$N$13)*POWER(Upgrades!$O$13,E135)))*(IF(Upgrades!$T$14="Stellar Kinematics",POWER(Upgrades!$U$14,F135),1)*IF(Upgrades!$T$15="Stellar Kinematics",POWER(Upgrades!$U$15,G135),1)*IF(Upgrades!$T$16="Stellar Kinematics",POWER(Upgrades!$U$16,H135),1)*IF(Upgrades!$T$17="Stellar Kinematics",POWER(Upgrades!$U$17,I135),1)*IF(Upgrades!$T$18="Stellar Kinematics",POWER(Upgrades!$U$18,J135),1)*IF(Upgrades!$T$19="Stellar Kinematics",POWER(Upgrades!$U$19,K135),1)*IF(Upgrades!$T$20="Stellar Kinematics",POWER(Upgrades!$U$20,L135),1)*IF(Upgrades!$T$21="Stellar Kinematics",POWER(Upgrades!$U$21,M135),1))+(IF(F135=0,0,(Upgrades!$M$14+F135*Upgrades!$N$14)*POWER(Upgrades!$O$14,F135)))*(IF(Upgrades!$T$13="Local Bubble",POWER(Upgrades!$U$13,E135),1)*IF(Upgrades!$T$15="Local Bubble",POWER(Upgrades!$U$15,G135),1)*IF(Upgrades!$T$16="Local Bubble",POWER(Upgrades!$U$16,H135),1)*IF(Upgrades!$T$17="Local Bubble",POWER(Upgrades!$U$17,I135),1)*IF(Upgrades!$T$18="Local Bubble",POWER(Upgrades!$U$18,J135),1)*IF(Upgrades!$T$19="Local Bubble",POWER(Upgrades!$U$19,K135),1)*IF(Upgrades!$T$20="Local Bubble",POWER(Upgrades!$U$20,L135),1)*IF(Upgrades!$T$21="Local Bubble",POWER(Upgrades!$U$21,M135),1))+(IF(G135=0,0,(Upgrades!$M$15+G135*Upgrades!$N$15)*POWER(Upgrades!$O$15,G135)))*(IF(Upgrades!$T$13="Microlensing",POWER(Upgrades!$U$13,E135),1)*IF(Upgrades!$T$14="Microlensing",POWER(Upgrades!$U$14,F135),1)*IF(Upgrades!$T$16="Microlensing",POWER(Upgrades!$U$16,H135),1)*IF(Upgrades!$T$17="Microlensing",POWER(Upgrades!$U$17,I135),1)*IF(Upgrades!$T$18="Microlensing",POWER(Upgrades!$U$18,J135),1)*IF(Upgrades!$T$19="Microlensing",POWER(Upgrades!$U$19,K135),1)*IF(Upgrades!$T$20="Microlensing",POWER(Upgrades!$U$20,L135),1)*IF(Upgrades!$T$21="Microlensing",POWER(Upgrades!$U$21,M135),1))+(IF(H135=0,0,(Upgrades!$M$16+H135*Upgrades!$N$16)*POWER(Upgrades!$O$16,H135)))*(IF(Upgrades!$T$13="Roche Lobe Overflow",POWER(Upgrades!$U$13,E135),1)*IF(Upgrades!$T$14="Roche Lobe Overflow",POWER(Upgrades!$U$14,F135),1)*IF(Upgrades!$T$15="Roche Lobe Overflow",POWER(Upgrades!$U$15,G135),1)*IF(Upgrades!$T$17="Roche Lobe Overflow",POWER(Upgrades!$U$17,I135),1)*IF(Upgrades!$T$18="Roche Lobe Overflow",POWER(Upgrades!$U$18,J135),1)*IF(Upgrades!$T$19="Roche Lobe Overflow",POWER(Upgrades!$U$19,K135),1)*IF(Upgrades!$T$20="Roche Lobe Overflow",POWER(Upgrades!$U$20,L135),1)*IF(Upgrades!$T$21="Roche Lobe Overflow",POWER(Upgrades!$U$21,M135),1))+(IF(I135=0,0,(Upgrades!$M$17+I135*Upgrades!$N$17)*POWER(Upgrades!$O$17,I135)))*(IF(Upgrades!$T$13="Brown Dwarf",POWER(Upgrades!$U$13,E135),1)*IF(Upgrades!$T$14="Brown Dwarf",POWER(Upgrades!$U$14,F135),1)*IF(Upgrades!$T$15="Brown Dwarf",POWER(Upgrades!$U$15,G135),1)*IF(Upgrades!$T$16="Brown Dwarf",POWER(Upgrades!$U$16,H135),1)*IF(Upgrades!$T$18="Brown Dwarf",POWER(Upgrades!$U$18,J135),1)*IF(Upgrades!$T$19="Brown Dwarf",POWER(Upgrades!$U$19,K135),1)*IF(Upgrades!$T$20="Brown Dwarf",POWER(Upgrades!$U$20,L135),1)*IF(Upgrades!$T$21="Brown Dwarf",POWER(Upgrades!$U$21,M135),1))+(IF(J135=0,0,(Upgrades!$M$18+J135*Upgrades!$N$18)*POWER(Upgrades!$O$18,J135)))*(IF(Upgrades!$T$13="Binary Partner",POWER(Upgrades!$U$13,E135),1)*IF(Upgrades!$T$14="Binary Partner",POWER(Upgrades!$U$14,F135),1)*IF(Upgrades!$T$15="Binary Partner",POWER(Upgrades!$U$15,G135),1)*IF(Upgrades!$T$16="Binary Partner",POWER(Upgrades!$U$16,H135),1)*IF(Upgrades!$T$17="Binary Partner",POWER(Upgrades!$U$17,I135),1)*IF(Upgrades!$T$19="Binary Partner",POWER(Upgrades!$U$19,K135),1)*IF(Upgrades!$T$20="Binary Partner",POWER(Upgrades!$U$20,L135),1)*IF(Upgrades!$T$21="Binary Partner",POWER(Upgrades!$U$21,M135),1))+(IF(K135=0,0,(Upgrades!$M$19+K135*Upgrades!$N$19)*POWER(Upgrades!$O$19,K135)))*(IF(Upgrades!$T$13="Peculiar Velocity",POWER(Upgrades!$U$13,E135),1)*IF(Upgrades!$T$14="Peculiar Velocity",POWER(Upgrades!$U$14,F135),1)*IF(Upgrades!$T$15="Peculiar Velocity",POWER(Upgrades!$U$15,G135),1)*IF(Upgrades!$T$16="Peculiar Velocity",POWER(Upgrades!$U$16,H135),1)*IF(Upgrades!$T$17="Peculiar Velocity",POWER(Upgrades!$U$17,I135),1)*IF(Upgrades!$T$18="Peculiar Velocity",POWER(Upgrades!$U$18,J135),1)*IF(Upgrades!$T$20="Peculiar Velocity",POWER(Upgrades!$U$20,L135),1)*IF(Upgrades!$T$21="Peculiar Velocity",POWER(Upgrades!$U$21,M135),1))+(IF(L135=0,0,(Upgrades!$M$20+L135*Upgrades!$N$20)*POWER(Upgrades!$O$20,L135)))*(IF(Upgrades!$T$13="Open Cluster",POWER(Upgrades!$U$13,E135),1)*IF(Upgrades!$T$14="Open Cluster",POWER(Upgrades!$U$14,F135),1)*IF(Upgrades!$T$15="Open Cluster",POWER(Upgrades!$U$15,G135),1)*IF(Upgrades!$T$16="Open Cluster",POWER(Upgrades!$U$16,H135),1)*IF(Upgrades!$T$17="Open Cluster",POWER(Upgrades!$U$17,I135),1)*IF(Upgrades!$T$18="Open Cluster",POWER(Upgrades!$U$18,J135),1)*IF(Upgrades!$T$19="Open Cluster",POWER(Upgrades!$U$19,K135),1)*IF(Upgrades!$T$21="Open Cluster",POWER(Upgrades!$U$21,M135),1))+(IF(M135=0,0,(Upgrades!$M$21+M135*Upgrades!$N$21)*POWER(Upgrades!$O$21,M135)))*(IF(Upgrades!$T$13="Moving Group",POWER(Upgrades!$U$13,E135),1)*IF(Upgrades!$T$14="Moving Group",POWER(Upgrades!$U$14,F135),1)*IF(Upgrades!$T$15="Moving Group",POWER(Upgrades!$U$15,G135),1)*IF(Upgrades!$T$16="Moving Group",POWER(Upgrades!$U$16,H135),1)*IF(Upgrades!$T$17="Moving Group",POWER(Upgrades!$U$17,I135),1)*IF(Upgrades!$T$18="Moving Group",POWER(Upgrades!$U$18,J135),1)*IF(Upgrades!$T$19="Moving Group",POWER(Upgrades!$U$19,K135),1)*IF(Upgrades!$T$20="Moving Group",POWER(Upgrades!$U$20,L135),1)))*POWER(Upgrades!$R$13,E135)*POWER(Upgrades!$R$14,F135)*POWER(Upgrades!$R$15,G135)*POWER(Upgrades!$R$16,H135)*POWER(Upgrades!$R$17,I135)*POWER(Upgrades!$R$18,J135)*POWER(Upgrades!$R$19,K135)*POWER(Upgrades!$R$20,L135)*POWER(Upgrades!$R$21,M135)*$H$6+$E$6</f>
        <v/>
      </c>
      <c r="R135" s="27">
        <f>IF(N135=1,0,O135*Parameters!$B$10/60*Parameters!$B$11*10)</f>
        <v/>
      </c>
      <c r="S135" s="27">
        <f>IF(N135=1,0,Q135*O135*10)</f>
        <v/>
      </c>
      <c r="T135" s="27">
        <f>IF(N135=1,0,R135+S135+P135*10)</f>
        <v/>
      </c>
      <c r="U135" s="33">
        <f>BE135</f>
        <v/>
      </c>
      <c r="V135" s="22">
        <f>IF(U135="",0,IF(U135="transition",0,IF(U135="SK",AK135,IF(U135="LB",AL135,IF(U135="ML",AM135,IF(U135="RLO",AN135,IF(U135="BD",AO135,IF(U135="BiP",AP135,IF(U135="PV",AQ135,IF(U135="OC",AR135,IF(U135="MG",AS135,0))))))))))</f>
        <v/>
      </c>
      <c r="W135" s="27">
        <f>IF(U135="BiP",Upgrades!$F$18,IF(U135="PV",Upgrades!$F$19,IF(U135="OC",Upgrades!$F$20,IF(U135="MG",Upgrades!$F$21,IF(U135="transition",-Parameters!$B$18*Parameters!$B$19,0)))))</f>
        <v/>
      </c>
      <c r="X135" s="22">
        <f>C135+T135-V135</f>
        <v/>
      </c>
      <c r="Y135" s="30">
        <f>O135*Parameters!$B$10/60*Parameters!$B$11+Q135*O135+P135</f>
        <v/>
      </c>
      <c r="Z135" s="34">
        <f>IF(U135="transition","→ Tier 3 (Galactic Arm)",IF(U135="MG","Moving Group — pocket drifts together",IF(U135="OC","Open Cluster acquired",IF(U135="PV","Peculiar Velocity — passive multiplier active",IF(U135="BiP","Binary Partner — pair bond formed",IF(AND(AU135=1,N135=0,AT135&lt;&gt;1),"Cohesion ready (waiting on completionists)","")))))) </f>
        <v/>
      </c>
      <c r="AA135" s="27">
        <f>(IF(E135=0,0,(Upgrades!$G$13+E135*Upgrades!$H$13)*POWER(Upgrades!$I$13,E135)))*(IF(Upgrades!$T$14="Stellar Kinematics",POWER(Upgrades!$U$14,F135),1)*IF(Upgrades!$T$15="Stellar Kinematics",POWER(Upgrades!$U$15,G135),1)*IF(Upgrades!$T$16="Stellar Kinematics",POWER(Upgrades!$U$16,H135),1)*IF(Upgrades!$T$17="Stellar Kinematics",POWER(Upgrades!$U$17,I135),1)*IF(Upgrades!$T$18="Stellar Kinematics",POWER(Upgrades!$U$18,J135),1)*IF(Upgrades!$T$19="Stellar Kinematics",POWER(Upgrades!$U$19,K135),1)*IF(Upgrades!$T$20="Stellar Kinematics",POWER(Upgrades!$U$20,L135),1)*IF(Upgrades!$T$21="Stellar Kinematics",POWER(Upgrades!$U$21,M135),1))*POWER(Upgrades!$P$13,E135)*POWER(Upgrades!$P$14,F135)*POWER(Upgrades!$P$15,G135)*POWER(Upgrades!$P$16,H135)*POWER(Upgrades!$P$17,I135)*POWER(Upgrades!$P$18,J135)*POWER(Upgrades!$P$19,K135)*POWER(Upgrades!$P$20,L135)*POWER(Upgrades!$P$21,M135)*$F$6*60</f>
        <v/>
      </c>
      <c r="AB135" s="27">
        <f>(IF(F135=0,0,(Upgrades!$G$14+F135*Upgrades!$H$14)*POWER(Upgrades!$I$14,F135)))*(IF(Upgrades!$T$13="Local Bubble",POWER(Upgrades!$U$13,E135),1)*IF(Upgrades!$T$15="Local Bubble",POWER(Upgrades!$U$15,G135),1)*IF(Upgrades!$T$16="Local Bubble",POWER(Upgrades!$U$16,H135),1)*IF(Upgrades!$T$17="Local Bubble",POWER(Upgrades!$U$17,I135),1)*IF(Upgrades!$T$18="Local Bubble",POWER(Upgrades!$U$18,J135),1)*IF(Upgrades!$T$19="Local Bubble",POWER(Upgrades!$U$19,K135),1)*IF(Upgrades!$T$20="Local Bubble",POWER(Upgrades!$U$20,L135),1)*IF(Upgrades!$T$21="Local Bubble",POWER(Upgrades!$U$21,M135),1))*POWER(Upgrades!$P$13,E135)*POWER(Upgrades!$P$14,F135)*POWER(Upgrades!$P$15,G135)*POWER(Upgrades!$P$16,H135)*POWER(Upgrades!$P$17,I135)*POWER(Upgrades!$P$18,J135)*POWER(Upgrades!$P$19,K135)*POWER(Upgrades!$P$20,L135)*POWER(Upgrades!$P$21,M135)*$F$6*60</f>
        <v/>
      </c>
      <c r="AC135" s="27">
        <f>(IF(G135=0,0,(Upgrades!$J$15+G135*Upgrades!$K$15)*POWER(Upgrades!$L$15,G135)))*(IF(Upgrades!$T$13="Microlensing",POWER(Upgrades!$U$13,E135),1)*IF(Upgrades!$T$14="Microlensing",POWER(Upgrades!$U$14,F135),1)*IF(Upgrades!$T$16="Microlensing",POWER(Upgrades!$U$16,H135),1)*IF(Upgrades!$T$17="Microlensing",POWER(Upgrades!$U$17,I135),1)*IF(Upgrades!$T$18="Microlensing",POWER(Upgrades!$U$18,J135),1)*IF(Upgrades!$T$19="Microlensing",POWER(Upgrades!$U$19,K135),1)*IF(Upgrades!$T$20="Microlensing",POWER(Upgrades!$U$20,L135),1)*IF(Upgrades!$T$21="Microlensing",POWER(Upgrades!$U$21,M135),1))*POWER(Upgrades!$Q$13,E135)*POWER(Upgrades!$Q$14,F135)*POWER(Upgrades!$Q$15,G135)*POWER(Upgrades!$Q$16,H135)*POWER(Upgrades!$Q$17,I135)*POWER(Upgrades!$Q$18,J135)*POWER(Upgrades!$Q$19,K135)*POWER(Upgrades!$Q$20,L135)*POWER(Upgrades!$Q$21,M135)*$G$6*(Parameters!$B$10*Parameters!$B$11+Q135*60)</f>
        <v/>
      </c>
      <c r="AD135" s="27">
        <f>(IF(H135=0,0,(Upgrades!$M$16+H135*Upgrades!$N$16)*POWER(Upgrades!$O$16,H135)))*(IF(Upgrades!$T$13="Roche Lobe Overflow",POWER(Upgrades!$U$13,E135),1)*IF(Upgrades!$T$14="Roche Lobe Overflow",POWER(Upgrades!$U$14,F135),1)*IF(Upgrades!$T$15="Roche Lobe Overflow",POWER(Upgrades!$U$15,G135),1)*IF(Upgrades!$T$17="Roche Lobe Overflow",POWER(Upgrades!$U$17,I135),1)*IF(Upgrades!$T$18="Roche Lobe Overflow",POWER(Upgrades!$U$18,J135),1)*IF(Upgrades!$T$19="Roche Lobe Overflow",POWER(Upgrades!$U$19,K135),1)*IF(Upgrades!$T$20="Roche Lobe Overflow",POWER(Upgrades!$U$20,L135),1)*IF(Upgrades!$T$21="Roche Lobe Overflow",POWER(Upgrades!$U$21,M135),1))*POWER(Upgrades!$R$13,E135)*POWER(Upgrades!$R$14,F135)*POWER(Upgrades!$R$15,G135)*POWER(Upgrades!$R$16,H135)*POWER(Upgrades!$R$17,I135)*POWER(Upgrades!$R$18,J135)*POWER(Upgrades!$R$19,K135)*POWER(Upgrades!$R$20,L135)*POWER(Upgrades!$R$21,M135)*$H$6*O135*60</f>
        <v/>
      </c>
      <c r="AE135" s="27">
        <f>(IF(I135=0,0,(Upgrades!$G$17+I135*Upgrades!$H$17)*POWER(Upgrades!$I$17,I135)))*(IF(Upgrades!$T$13="Brown Dwarf",POWER(Upgrades!$U$13,E135),1)*IF(Upgrades!$T$14="Brown Dwarf",POWER(Upgrades!$U$14,F135),1)*IF(Upgrades!$T$15="Brown Dwarf",POWER(Upgrades!$U$15,G135),1)*IF(Upgrades!$T$16="Brown Dwarf",POWER(Upgrades!$U$16,H135),1)*IF(Upgrades!$T$18="Brown Dwarf",POWER(Upgrades!$U$18,J135),1)*IF(Upgrades!$T$19="Brown Dwarf",POWER(Upgrades!$U$19,K135),1)*IF(Upgrades!$T$20="Brown Dwarf",POWER(Upgrades!$U$20,L135),1)*IF(Upgrades!$T$21="Brown Dwarf",POWER(Upgrades!$U$21,M135),1))*POWER(Upgrades!$P$13,E135)*POWER(Upgrades!$P$14,F135)*POWER(Upgrades!$P$15,G135)*POWER(Upgrades!$P$16,H135)*POWER(Upgrades!$P$17,I135)*POWER(Upgrades!$P$18,J135)*POWER(Upgrades!$P$19,K135)*POWER(Upgrades!$P$20,L135)*POWER(Upgrades!$P$21,M135)*$F$6*60</f>
        <v/>
      </c>
      <c r="AF135" s="27" t="n">
        <v>0</v>
      </c>
      <c r="AG135" s="27" t="n">
        <v>0</v>
      </c>
      <c r="AH135" s="27" t="n">
        <v>0</v>
      </c>
      <c r="AI135" s="27">
        <f>(IF(M135=0,0,(Upgrades!$G$21+M135*Upgrades!$H$21)*POWER(Upgrades!$I$21,M135)))*(IF(Upgrades!$T$13="Moving Group",POWER(Upgrades!$U$13,E135),1)*IF(Upgrades!$T$14="Moving Group",POWER(Upgrades!$U$14,F135),1)*IF(Upgrades!$T$15="Moving Group",POWER(Upgrades!$U$15,G135),1)*IF(Upgrades!$T$16="Moving Group",POWER(Upgrades!$U$16,H135),1)*IF(Upgrades!$T$17="Moving Group",POWER(Upgrades!$U$17,I135),1)*IF(Upgrades!$T$18="Moving Group",POWER(Upgrades!$U$18,J135),1)*IF(Upgrades!$T$19="Moving Group",POWER(Upgrades!$U$19,K135),1)*IF(Upgrades!$T$20="Moving Group",POWER(Upgrades!$U$20,L135),1))*POWER(Upgrades!$P$13,E135)*POWER(Upgrades!$P$14,F135)*POWER(Upgrades!$P$15,G135)*POWER(Upgrades!$P$16,H135)*POWER(Upgrades!$P$17,I135)*POWER(Upgrades!$P$18,J135)*POWER(Upgrades!$P$19,K135)*POWER(Upgrades!$P$20,L135)*POWER(Upgrades!$P$21,M135)*$F$6*60</f>
        <v/>
      </c>
      <c r="AJ135" s="27">
        <f>$C$6*60</f>
        <v/>
      </c>
      <c r="AK135" s="22">
        <f>IF(E135&gt;=Upgrades!$E$13,"",Upgrades!$C$13*POWER(Upgrades!$D$13,E135))</f>
        <v/>
      </c>
      <c r="AL135" s="22">
        <f>IF(F135&gt;=Upgrades!$E$14,"",Upgrades!$C$14*POWER(Upgrades!$D$14,F135))</f>
        <v/>
      </c>
      <c r="AM135" s="22">
        <f>IF(G135&gt;=Upgrades!$E$15,"",Upgrades!$C$15*POWER(Upgrades!$D$15,G135))</f>
        <v/>
      </c>
      <c r="AN135" s="22">
        <f>IF(H135&gt;=Upgrades!$E$16,"",Upgrades!$C$16*POWER(Upgrades!$D$16,H135))</f>
        <v/>
      </c>
      <c r="AO135" s="22">
        <f>IF(I135&gt;=Upgrades!$E$17,"",Upgrades!$C$17*POWER(Upgrades!$D$17,I135))</f>
        <v/>
      </c>
      <c r="AP135" s="22">
        <f>IF(J135&gt;=Upgrades!$E$18,"",Upgrades!$C$18*POWER(Upgrades!$D$18,J135))</f>
        <v/>
      </c>
      <c r="AQ135" s="22">
        <f>IF(K135&gt;=Upgrades!$E$19,"",Upgrades!$C$19*POWER(Upgrades!$D$19,K135))</f>
        <v/>
      </c>
      <c r="AR135" s="22">
        <f>IF(L135&gt;=Upgrades!$E$20,"",Upgrades!$C$20*POWER(Upgrades!$D$20,L135))</f>
        <v/>
      </c>
      <c r="AS135" s="22">
        <f>IF(M135&gt;=Upgrades!$E$21,"",Upgrades!$C$21*POWER(Upgrades!$D$21,M135))</f>
        <v/>
      </c>
      <c r="AT135" s="26">
        <f>IF(AND(D135&gt;=Parameters!$B$18*Parameters!$B$19,(I135&gt;=Upgrades!$E$17)*(M135&gt;=Upgrades!$E$21)=1,N135=0),1,"")</f>
        <v/>
      </c>
      <c r="AU135" s="26">
        <f>IF(AND(D135&gt;=Parameters!$B$18*Parameters!$B$19,N135=0),1,"")</f>
        <v/>
      </c>
      <c r="AV135" s="22">
        <f>MIN(IF(ISNUMBER(AP135),AP135,9E15),IF(ISNUMBER(AQ135),AQ135,9E15),IF(ISNUMBER(AR135),AR135,9E15),IF(ISNUMBER(AS135),AS135,9E15))</f>
        <v/>
      </c>
      <c r="AW135" s="22">
        <f>MIN(IF(ISNUMBER(AK135),AK135,9E15),IF(ISNUMBER(AL135),AL135,9E15),IF(ISNUMBER(AM135),AM135,9E15),IF(ISNUMBER(AN135),AN135,9E15),IF(ISNUMBER(AO135),AO135,9E15))</f>
        <v/>
      </c>
      <c r="AX135" s="29">
        <f>IF(BD135&gt;Parameters!$B$21*(MAX(IF(AND(NOT(AND(AU135=1,AT135&lt;&gt;1)),ISNUMBER(AK135),AK135&lt;=(C135+T135)),AY135,0),IF(AND(NOT(AND(AU135=1,AT135&lt;&gt;1)),ISNUMBER(AL135),AL135&lt;=(C135+T135)),AZ135,0),IF(AND(NOT(AND(AU135=1,AT135&lt;&gt;1)),ISNUMBER(AM135),AM135&lt;=(C135+T135)),BA135,0),IF(AND(NOT(AND(AU135=1,AT135&lt;&gt;1)),ISNUMBER(AN135),AN135&lt;=(C135+T135)),BB135,0),IF(AND(ISNUMBER(AO135),AO135&lt;=(C135+T135)),BC135,0))),TRUE,FALSE)</f>
        <v/>
      </c>
      <c r="AY135" s="32">
        <f>IFERROR(Upgrades!$H$13*(POWER(Upgrades!$P$13,E135)*POWER(Upgrades!$P$14,F135)*POWER(Upgrades!$P$15,G135)*POWER(Upgrades!$P$16,H135)*POWER(Upgrades!$P$17,I135)*POWER(Upgrades!$P$18,J135)*POWER(Upgrades!$P$19,K135)*POWER(Upgrades!$P$20,L135)*POWER(Upgrades!$P$21,M135))*(IF(Upgrades!$T$14="Stellar Kinematics",POWER(Upgrades!$U$14,F135),1)*IF(Upgrades!$T$15="Stellar Kinematics",POWER(Upgrades!$U$15,G135),1)*IF(Upgrades!$T$16="Stellar Kinematics",POWER(Upgrades!$U$16,H135),1)*IF(Upgrades!$T$17="Stellar Kinematics",POWER(Upgrades!$U$17,I135),1)*IF(Upgrades!$T$18="Stellar Kinematics",POWER(Upgrades!$U$18,J135),1)*IF(Upgrades!$T$19="Stellar Kinematics",POWER(Upgrades!$U$19,K135),1)*IF(Upgrades!$T$20="Stellar Kinematics",POWER(Upgrades!$U$20,L135),1)*IF(Upgrades!$T$21="Stellar Kinematics",POWER(Upgrades!$U$21,M135),1))*$F$6/AK135,0)</f>
        <v/>
      </c>
      <c r="AZ135" s="32">
        <f>IFERROR(Upgrades!$H$14*(POWER(Upgrades!$P$13,E135)*POWER(Upgrades!$P$14,F135)*POWER(Upgrades!$P$15,G135)*POWER(Upgrades!$P$16,H135)*POWER(Upgrades!$P$17,I135)*POWER(Upgrades!$P$18,J135)*POWER(Upgrades!$P$19,K135)*POWER(Upgrades!$P$20,L135)*POWER(Upgrades!$P$21,M135))*(IF(Upgrades!$T$13="Local Bubble",POWER(Upgrades!$U$13,E135),1)*IF(Upgrades!$T$15="Local Bubble",POWER(Upgrades!$U$15,G135),1)*IF(Upgrades!$T$16="Local Bubble",POWER(Upgrades!$U$16,H135),1)*IF(Upgrades!$T$17="Local Bubble",POWER(Upgrades!$U$17,I135),1)*IF(Upgrades!$T$18="Local Bubble",POWER(Upgrades!$U$18,J135),1)*IF(Upgrades!$T$19="Local Bubble",POWER(Upgrades!$U$19,K135),1)*IF(Upgrades!$T$20="Local Bubble",POWER(Upgrades!$U$20,L135),1)*IF(Upgrades!$T$21="Local Bubble",POWER(Upgrades!$U$21,M135),1))*$F$6/AL135,0)</f>
        <v/>
      </c>
      <c r="BA135" s="32">
        <f>IFERROR(Upgrades!$K$15*(POWER(Upgrades!$Q$13,E135)*POWER(Upgrades!$Q$14,F135)*POWER(Upgrades!$Q$15,G135)*POWER(Upgrades!$Q$16,H135)*POWER(Upgrades!$Q$17,I135)*POWER(Upgrades!$Q$18,J135)*POWER(Upgrades!$Q$19,K135)*POWER(Upgrades!$Q$20,L135)*POWER(Upgrades!$Q$21,M135))*(IF(Upgrades!$T$13="Microlensing",POWER(Upgrades!$U$13,E135),1)*IF(Upgrades!$T$14="Microlensing",POWER(Upgrades!$U$14,F135),1)*IF(Upgrades!$T$16="Microlensing",POWER(Upgrades!$U$16,H135),1)*IF(Upgrades!$T$17="Microlensing",POWER(Upgrades!$U$17,I135),1)*IF(Upgrades!$T$18="Microlensing",POWER(Upgrades!$U$18,J135),1)*IF(Upgrades!$T$19="Microlensing",POWER(Upgrades!$U$19,K135),1)*IF(Upgrades!$T$20="Microlensing",POWER(Upgrades!$U$20,L135),1)*IF(Upgrades!$T$21="Microlensing",POWER(Upgrades!$U$21,M135),1))*$G$6*(Parameters!$B$10/60*Parameters!$B$11+Q135)/AM135,0)</f>
        <v/>
      </c>
      <c r="BB135" s="32">
        <f>IFERROR((Upgrades!$N$16*(POWER(Upgrades!$R$13,E135)*POWER(Upgrades!$R$14,F135)*POWER(Upgrades!$R$15,G135)*POWER(Upgrades!$R$16,H135)*POWER(Upgrades!$R$17,I135)*POWER(Upgrades!$R$18,J135)*POWER(Upgrades!$R$19,K135)*POWER(Upgrades!$R$20,L135)*POWER(Upgrades!$R$21,M135))*(IF(Upgrades!$T$13="Roche Lobe Overflow",POWER(Upgrades!$U$13,E135),1)*IF(Upgrades!$T$14="Roche Lobe Overflow",POWER(Upgrades!$U$14,F135),1)*IF(Upgrades!$T$15="Roche Lobe Overflow",POWER(Upgrades!$U$15,G135),1)*IF(Upgrades!$T$17="Roche Lobe Overflow",POWER(Upgrades!$U$17,I135),1)*IF(Upgrades!$T$18="Roche Lobe Overflow",POWER(Upgrades!$U$18,J135),1)*IF(Upgrades!$T$19="Roche Lobe Overflow",POWER(Upgrades!$U$19,K135),1)*IF(Upgrades!$T$20="Roche Lobe Overflow",POWER(Upgrades!$U$20,L135),1)*IF(Upgrades!$T$21="Roche Lobe Overflow",POWER(Upgrades!$U$21,M135),1))*$H$6*O135+((IF(F135=0,0,(Upgrades!$G$14+F135*Upgrades!$H$14)*POWER(Upgrades!$I$14,F135)))*(IF(Upgrades!$T$13="Local Bubble",POWER(Upgrades!$U$13,E135),1)*IF(Upgrades!$T$15="Local Bubble",POWER(Upgrades!$U$15,G135),1)*IF(Upgrades!$T$16="Local Bubble",POWER(Upgrades!$U$16,H135),1)*IF(Upgrades!$T$17="Local Bubble",POWER(Upgrades!$U$17,I135),1)*IF(Upgrades!$T$18="Local Bubble",POWER(Upgrades!$U$18,J135),1)*IF(Upgrades!$T$19="Local Bubble",POWER(Upgrades!$U$19,K135),1)*IF(Upgrades!$T$20="Local Bubble",POWER(Upgrades!$U$20,L135),1)*IF(Upgrades!$T$21="Local Bubble",POWER(Upgrades!$U$21,M135),1))*POWER(Upgrades!$P$13,E135)*POWER(Upgrades!$P$14,F135)*POWER(Upgrades!$P$15,G135)*POWER(Upgrades!$P$16,H135)*POWER(Upgrades!$P$17,I135)*POWER(Upgrades!$P$18,J135)*POWER(Upgrades!$P$19,K135)*POWER(Upgrades!$P$20,L135)*POWER(Upgrades!$P$21,M135)*$F$6)*0.05)/AN135,0)</f>
        <v/>
      </c>
      <c r="BC135" s="32">
        <f>IFERROR((Upgrades!$H$17*(POWER(Upgrades!$P$13,E135)*POWER(Upgrades!$P$14,F135)*POWER(Upgrades!$P$15,G135)*POWER(Upgrades!$P$16,H135)*POWER(Upgrades!$P$17,I135)*POWER(Upgrades!$P$18,J135)*POWER(Upgrades!$P$19,K135)*POWER(Upgrades!$P$20,L135)*POWER(Upgrades!$P$21,M135))*(IF(Upgrades!$T$13="Brown Dwarf",POWER(Upgrades!$U$13,E135),1)*IF(Upgrades!$T$14="Brown Dwarf",POWER(Upgrades!$U$14,F135),1)*IF(Upgrades!$T$15="Brown Dwarf",POWER(Upgrades!$U$15,G135),1)*IF(Upgrades!$T$16="Brown Dwarf",POWER(Upgrades!$U$16,H135),1)*IF(Upgrades!$T$18="Brown Dwarf",POWER(Upgrades!$U$18,J135),1)*IF(Upgrades!$T$19="Brown Dwarf",POWER(Upgrades!$U$19,K135),1)*IF(Upgrades!$T$20="Brown Dwarf",POWER(Upgrades!$U$20,L135),1)*IF(Upgrades!$T$21="Brown Dwarf",POWER(Upgrades!$U$21,M135),1))*$F$6+(((IF(H135=0,0,(Upgrades!$M$16+H135*Upgrades!$N$16)*POWER(Upgrades!$O$16,H135)))*(IF(Upgrades!$T$13="Roche Lobe Overflow",POWER(Upgrades!$U$13,E135),1)*IF(Upgrades!$T$14="Roche Lobe Overflow",POWER(Upgrades!$U$14,F135),1)*IF(Upgrades!$T$15="Roche Lobe Overflow",POWER(Upgrades!$U$15,G135),1)*IF(Upgrades!$T$17="Roche Lobe Overflow",POWER(Upgrades!$U$17,I135),1)*IF(Upgrades!$T$18="Roche Lobe Overflow",POWER(Upgrades!$U$18,J135),1)*IF(Upgrades!$T$19="Roche Lobe Overflow",POWER(Upgrades!$U$19,K135),1)*IF(Upgrades!$T$20="Roche Lobe Overflow",POWER(Upgrades!$U$20,L135),1)*IF(Upgrades!$T$21="Roche Lobe Overflow",POWER(Upgrades!$U$21,M135),1))*POWER(Upgrades!$R$13,E135)*POWER(Upgrades!$R$14,F135)*POWER(Upgrades!$R$15,G135)*POWER(Upgrades!$R$16,H135)*POWER(Upgrades!$R$17,I135)*POWER(Upgrades!$R$18,J135)*POWER(Upgrades!$R$19,K135)*POWER(Upgrades!$R$20,L135)*POWER(Upgrades!$R$21,M135)*$H$6)*O135)*0.10)/AO135,0)</f>
        <v/>
      </c>
      <c r="BD135" s="32">
        <f>MAX(IF(J135&gt;0,0,IFERROR(0.5*((IF(G135=0,0,(Upgrades!$J$15+G135*Upgrades!$K$15)*POWER(Upgrades!$L$15,G135)))*(IF(Upgrades!$T$13="Microlensing",POWER(Upgrades!$U$13,E135),1)*IF(Upgrades!$T$14="Microlensing",POWER(Upgrades!$U$14,F135),1)*IF(Upgrades!$T$16="Microlensing",POWER(Upgrades!$U$16,H135),1)*IF(Upgrades!$T$17="Microlensing",POWER(Upgrades!$U$17,I135),1)*IF(Upgrades!$T$18="Microlensing",POWER(Upgrades!$U$18,J135),1)*IF(Upgrades!$T$19="Microlensing",POWER(Upgrades!$U$19,K135),1)*IF(Upgrades!$T$20="Microlensing",POWER(Upgrades!$U$20,L135),1)*IF(Upgrades!$T$21="Microlensing",POWER(Upgrades!$U$21,M135),1))*(POWER(Upgrades!$Q$13,E135)*POWER(Upgrades!$Q$14,F135)*POWER(Upgrades!$Q$15,G135)*POWER(Upgrades!$Q$16,H135)*POWER(Upgrades!$Q$17,I135)*POWER(Upgrades!$Q$18,J135)*POWER(Upgrades!$Q$19,K135)*POWER(Upgrades!$Q$20,L135)*POWER(Upgrades!$Q$21,M135))*$G$6*(Parameters!$B$10/60*Parameters!$B$11+Q135))/Upgrades!$C$18,0)),IF(K135&gt;0,0,IFERROR(0.30*P135/Upgrades!$C$19,0)),IF(L135&gt;0,0,IFERROR(0.0001/Upgrades!$C$20,0)),IF(M135&gt;0,0,IFERROR((6.0*(POWER(Upgrades!$P$13,E135)*POWER(Upgrades!$P$14,F135)*POWER(Upgrades!$P$15,G135)*POWER(Upgrades!$P$16,H135)*POWER(Upgrades!$P$17,I135)*POWER(Upgrades!$P$18,J135)*POWER(Upgrades!$P$19,K135)*POWER(Upgrades!$P$20,L135)*POWER(Upgrades!$P$21,M135))*$F$6+0.20*O135*(Parameters!$B$10/60*Parameters!$B$11+Q135))/Upgrades!$C$21,0)),IF(AND(ISNUMBER(AK135),AK135&gt;(C135+T135)),AY135,0),IF(AND(ISNUMBER(AL135),AL135&gt;(C135+T135)),AZ135,0),IF(AND(ISNUMBER(AM135),AM135&gt;(C135+T135)),BA135,0),IF(AND(ISNUMBER(AN135),AN135&gt;(C135+T135)),BB135,0),IF(AND(ISNUMBER(AO135),AO135&gt;(C135+T135)),BC135,0))</f>
        <v/>
      </c>
      <c r="BE135" s="29">
        <f>IF(AT135=1,"transition",IF(MIN(IF(AND(J135=0,ISNUMBER(AP135),AP135&lt;=(C135+T135)),AP135,9E15),IF(AND(K135=0,ISNUMBER(AQ135),AQ135&lt;=(C135+T135)),AQ135,9E15),IF(AND(L135=0,ISNUMBER(AR135),AR135&lt;=(C135+T135)),AR135,9E15),IF(AND(M135=0,ISNUMBER(AS135),AS135&lt;=(C135+T135)),AS135,9E15))&lt;9E15,IF(AND(AND(J135=0,ISNUMBER(AP135),AP135&lt;=(C135+T135)),AP135=MIN(IF(AND(J135=0,ISNUMBER(AP135),AP135&lt;=(C135+T135)),AP135,9E15),IF(AND(K135=0,ISNUMBER(AQ135),AQ135&lt;=(C135+T135)),AQ135,9E15),IF(AND(L135=0,ISNUMBER(AR135),AR135&lt;=(C135+T135)),AR135,9E15),IF(AND(M135=0,ISNUMBER(AS135),AS135&lt;=(C135+T135)),AS135,9E15))),"BiP",IF(AND(AND(K135=0,ISNUMBER(AQ135),AQ135&lt;=(C135+T135)),AQ135=MIN(IF(AND(J135=0,ISNUMBER(AP135),AP135&lt;=(C135+T135)),AP135,9E15),IF(AND(K135=0,ISNUMBER(AQ135),AQ135&lt;=(C135+T135)),AQ135,9E15),IF(AND(L135=0,ISNUMBER(AR135),AR135&lt;=(C135+T135)),AR135,9E15),IF(AND(M135=0,ISNUMBER(AS135),AS135&lt;=(C135+T135)),AS135,9E15))),"PV",IF(AND(AND(L135=0,ISNUMBER(AR135),AR135&lt;=(C135+T135)),AR135=MIN(IF(AND(J135=0,ISNUMBER(AP135),AP135&lt;=(C135+T135)),AP135,9E15),IF(AND(K135=0,ISNUMBER(AQ135),AQ135&lt;=(C135+T135)),AQ135,9E15),IF(AND(L135=0,ISNUMBER(AR135),AR135&lt;=(C135+T135)),AR135,9E15),IF(AND(M135=0,ISNUMBER(AS135),AS135&lt;=(C135+T135)),AS135,9E15))),"OC","MG"))),IF(AX135=TRUE,"",IF(MAX(IF(AND(NOT(AND(AU135=1,AT135&lt;&gt;1)),ISNUMBER(AK135),AK135&lt;=(C135+T135)),AY135,0),IF(AND(NOT(AND(AU135=1,AT135&lt;&gt;1)),ISNUMBER(AL135),AL135&lt;=(C135+T135)),AZ135,0),IF(AND(NOT(AND(AU135=1,AT135&lt;&gt;1)),ISNUMBER(AM135),AM135&lt;=(C135+T135)),BA135,0),IF(AND(NOT(AND(AU135=1,AT135&lt;&gt;1)),ISNUMBER(AN135),AN135&lt;=(C135+T135)),BB135,0),IF(AND(ISNUMBER(AO135),AO135&lt;=(C135+T135)),BC135,0))&lt;=0,"",IF(AND(IF(AND(NOT(AND(AU135=1,AT135&lt;&gt;1)),ISNUMBER(AK135),AK135&lt;=(C135+T135)),AY135,0)&gt;0,IF(AND(NOT(AND(AU135=1,AT135&lt;&gt;1)),ISNUMBER(AK135),AK135&lt;=(C135+T135)),AY135,0)=MAX(IF(AND(NOT(AND(AU135=1,AT135&lt;&gt;1)),ISNUMBER(AK135),AK135&lt;=(C135+T135)),AY135,0),IF(AND(NOT(AND(AU135=1,AT135&lt;&gt;1)),ISNUMBER(AL135),AL135&lt;=(C135+T135)),AZ135,0),IF(AND(NOT(AND(AU135=1,AT135&lt;&gt;1)),ISNUMBER(AM135),AM135&lt;=(C135+T135)),BA135,0),IF(AND(NOT(AND(AU135=1,AT135&lt;&gt;1)),ISNUMBER(AN135),AN135&lt;=(C135+T135)),BB135,0),IF(AND(ISNUMBER(AO135),AO135&lt;=(C135+T135)),BC135,0))),"SK",IF(AND(IF(AND(NOT(AND(AU135=1,AT135&lt;&gt;1)),ISNUMBER(AL135),AL135&lt;=(C135+T135)),AZ135,0)&gt;0,IF(AND(NOT(AND(AU135=1,AT135&lt;&gt;1)),ISNUMBER(AL135),AL135&lt;=(C135+T135)),AZ135,0)=MAX(IF(AND(NOT(AND(AU135=1,AT135&lt;&gt;1)),ISNUMBER(AK135),AK135&lt;=(C135+T135)),AY135,0),IF(AND(NOT(AND(AU135=1,AT135&lt;&gt;1)),ISNUMBER(AL135),AL135&lt;=(C135+T135)),AZ135,0),IF(AND(NOT(AND(AU135=1,AT135&lt;&gt;1)),ISNUMBER(AM135),AM135&lt;=(C135+T135)),BA135,0),IF(AND(NOT(AND(AU135=1,AT135&lt;&gt;1)),ISNUMBER(AN135),AN135&lt;=(C135+T135)),BB135,0),IF(AND(ISNUMBER(AO135),AO135&lt;=(C135+T135)),BC135,0))),"LB",IF(AND(IF(AND(NOT(AND(AU135=1,AT135&lt;&gt;1)),ISNUMBER(AM135),AM135&lt;=(C135+T135)),BA135,0)&gt;0,IF(AND(NOT(AND(AU135=1,AT135&lt;&gt;1)),ISNUMBER(AM135),AM135&lt;=(C135+T135)),BA135,0)=MAX(IF(AND(NOT(AND(AU135=1,AT135&lt;&gt;1)),ISNUMBER(AK135),AK135&lt;=(C135+T135)),AY135,0),IF(AND(NOT(AND(AU135=1,AT135&lt;&gt;1)),ISNUMBER(AL135),AL135&lt;=(C135+T135)),AZ135,0),IF(AND(NOT(AND(AU135=1,AT135&lt;&gt;1)),ISNUMBER(AM135),AM135&lt;=(C135+T135)),BA135,0),IF(AND(NOT(AND(AU135=1,AT135&lt;&gt;1)),ISNUMBER(AN135),AN135&lt;=(C135+T135)),BB135,0),IF(AND(ISNUMBER(AO135),AO135&lt;=(C135+T135)),BC135,0))),"ML",IF(AND(IF(AND(NOT(AND(AU135=1,AT135&lt;&gt;1)),ISNUMBER(AN135),AN135&lt;=(C135+T135)),BB135,0)&gt;0,IF(AND(NOT(AND(AU135=1,AT135&lt;&gt;1)),ISNUMBER(AN135),AN135&lt;=(C135+T135)),BB135,0)=MAX(IF(AND(NOT(AND(AU135=1,AT135&lt;&gt;1)),ISNUMBER(AK135),AK135&lt;=(C135+T135)),AY135,0),IF(AND(NOT(AND(AU135=1,AT135&lt;&gt;1)),ISNUMBER(AL135),AL135&lt;=(C135+T135)),AZ135,0),IF(AND(NOT(AND(AU135=1,AT135&lt;&gt;1)),ISNUMBER(AM135),AM135&lt;=(C135+T135)),BA135,0),IF(AND(NOT(AND(AU135=1,AT135&lt;&gt;1)),ISNUMBER(AN135),AN135&lt;=(C135+T135)),BB135,0),IF(AND(ISNUMBER(AO135),AO135&lt;=(C135+T135)),BC135,0))),"RLO","BD"))))))))</f>
        <v/>
      </c>
    </row>
    <row r="136">
      <c r="A136" s="26" t="n">
        <v>125</v>
      </c>
      <c r="B136" s="27">
        <f>A136*10/60</f>
        <v/>
      </c>
      <c r="C136" s="22">
        <f>X135</f>
        <v/>
      </c>
      <c r="D136" s="27">
        <f>D135+W135</f>
        <v/>
      </c>
      <c r="E136" s="26">
        <f>E135+IF(U135="SK",1,0)</f>
        <v/>
      </c>
      <c r="F136" s="26">
        <f>F135+IF(U135="LB",1,0)</f>
        <v/>
      </c>
      <c r="G136" s="26">
        <f>G135+IF(U135="ML",1,0)</f>
        <v/>
      </c>
      <c r="H136" s="26">
        <f>H135+IF(U135="RLO",1,0)</f>
        <v/>
      </c>
      <c r="I136" s="26">
        <f>I135+IF(U135="BD",1,0)</f>
        <v/>
      </c>
      <c r="J136" s="26">
        <f>MAX(J135,IF(U135="BiP",1,0))</f>
        <v/>
      </c>
      <c r="K136" s="26">
        <f>MAX(K135,IF(U135="PV",1,0))</f>
        <v/>
      </c>
      <c r="L136" s="26">
        <f>MAX(L135,IF(U135="OC",1,0))</f>
        <v/>
      </c>
      <c r="M136" s="26">
        <f>MAX(M135,IF(U135="MG",1,0))</f>
        <v/>
      </c>
      <c r="N136" s="26">
        <f>MAX(N135,IF(U135="transition",1,0))</f>
        <v/>
      </c>
      <c r="O136" s="28">
        <f>(Parameters!$B$9+(IF(E136=0,0,(Upgrades!$J$13+E136*Upgrades!$K$13)*POWER(Upgrades!$L$13,E136)))*(IF(Upgrades!$T$14="Stellar Kinematics",POWER(Upgrades!$U$14,F136),1)*IF(Upgrades!$T$15="Stellar Kinematics",POWER(Upgrades!$U$15,G136),1)*IF(Upgrades!$T$16="Stellar Kinematics",POWER(Upgrades!$U$16,H136),1)*IF(Upgrades!$T$17="Stellar Kinematics",POWER(Upgrades!$U$17,I136),1)*IF(Upgrades!$T$18="Stellar Kinematics",POWER(Upgrades!$U$18,J136),1)*IF(Upgrades!$T$19="Stellar Kinematics",POWER(Upgrades!$U$19,K136),1)*IF(Upgrades!$T$20="Stellar Kinematics",POWER(Upgrades!$U$20,L136),1)*IF(Upgrades!$T$21="Stellar Kinematics",POWER(Upgrades!$U$21,M136),1))+(IF(F136=0,0,(Upgrades!$J$14+F136*Upgrades!$K$14)*POWER(Upgrades!$L$14,F136)))*(IF(Upgrades!$T$13="Local Bubble",POWER(Upgrades!$U$13,E136),1)*IF(Upgrades!$T$15="Local Bubble",POWER(Upgrades!$U$15,G136),1)*IF(Upgrades!$T$16="Local Bubble",POWER(Upgrades!$U$16,H136),1)*IF(Upgrades!$T$17="Local Bubble",POWER(Upgrades!$U$17,I136),1)*IF(Upgrades!$T$18="Local Bubble",POWER(Upgrades!$U$18,J136),1)*IF(Upgrades!$T$19="Local Bubble",POWER(Upgrades!$U$19,K136),1)*IF(Upgrades!$T$20="Local Bubble",POWER(Upgrades!$U$20,L136),1)*IF(Upgrades!$T$21="Local Bubble",POWER(Upgrades!$U$21,M136),1))+(IF(G136=0,0,(Upgrades!$J$15+G136*Upgrades!$K$15)*POWER(Upgrades!$L$15,G136)))*(IF(Upgrades!$T$13="Microlensing",POWER(Upgrades!$U$13,E136),1)*IF(Upgrades!$T$14="Microlensing",POWER(Upgrades!$U$14,F136),1)*IF(Upgrades!$T$16="Microlensing",POWER(Upgrades!$U$16,H136),1)*IF(Upgrades!$T$17="Microlensing",POWER(Upgrades!$U$17,I136),1)*IF(Upgrades!$T$18="Microlensing",POWER(Upgrades!$U$18,J136),1)*IF(Upgrades!$T$19="Microlensing",POWER(Upgrades!$U$19,K136),1)*IF(Upgrades!$T$20="Microlensing",POWER(Upgrades!$U$20,L136),1)*IF(Upgrades!$T$21="Microlensing",POWER(Upgrades!$U$21,M136),1))+(IF(H136=0,0,(Upgrades!$J$16+H136*Upgrades!$K$16)*POWER(Upgrades!$L$16,H136)))*(IF(Upgrades!$T$13="Roche Lobe Overflow",POWER(Upgrades!$U$13,E136),1)*IF(Upgrades!$T$14="Roche Lobe Overflow",POWER(Upgrades!$U$14,F136),1)*IF(Upgrades!$T$15="Roche Lobe Overflow",POWER(Upgrades!$U$15,G136),1)*IF(Upgrades!$T$17="Roche Lobe Overflow",POWER(Upgrades!$U$17,I136),1)*IF(Upgrades!$T$18="Roche Lobe Overflow",POWER(Upgrades!$U$18,J136),1)*IF(Upgrades!$T$19="Roche Lobe Overflow",POWER(Upgrades!$U$19,K136),1)*IF(Upgrades!$T$20="Roche Lobe Overflow",POWER(Upgrades!$U$20,L136),1)*IF(Upgrades!$T$21="Roche Lobe Overflow",POWER(Upgrades!$U$21,M136),1))+(IF(I136=0,0,(Upgrades!$J$17+I136*Upgrades!$K$17)*POWER(Upgrades!$L$17,I136)))*(IF(Upgrades!$T$13="Brown Dwarf",POWER(Upgrades!$U$13,E136),1)*IF(Upgrades!$T$14="Brown Dwarf",POWER(Upgrades!$U$14,F136),1)*IF(Upgrades!$T$15="Brown Dwarf",POWER(Upgrades!$U$15,G136),1)*IF(Upgrades!$T$16="Brown Dwarf",POWER(Upgrades!$U$16,H136),1)*IF(Upgrades!$T$18="Brown Dwarf",POWER(Upgrades!$U$18,J136),1)*IF(Upgrades!$T$19="Brown Dwarf",POWER(Upgrades!$U$19,K136),1)*IF(Upgrades!$T$20="Brown Dwarf",POWER(Upgrades!$U$20,L136),1)*IF(Upgrades!$T$21="Brown Dwarf",POWER(Upgrades!$U$21,M136),1))+(IF(J136=0,0,(Upgrades!$J$18+J136*Upgrades!$K$18)*POWER(Upgrades!$L$18,J136)))*(IF(Upgrades!$T$13="Binary Partner",POWER(Upgrades!$U$13,E136),1)*IF(Upgrades!$T$14="Binary Partner",POWER(Upgrades!$U$14,F136),1)*IF(Upgrades!$T$15="Binary Partner",POWER(Upgrades!$U$15,G136),1)*IF(Upgrades!$T$16="Binary Partner",POWER(Upgrades!$U$16,H136),1)*IF(Upgrades!$T$17="Binary Partner",POWER(Upgrades!$U$17,I136),1)*IF(Upgrades!$T$19="Binary Partner",POWER(Upgrades!$U$19,K136),1)*IF(Upgrades!$T$20="Binary Partner",POWER(Upgrades!$U$20,L136),1)*IF(Upgrades!$T$21="Binary Partner",POWER(Upgrades!$U$21,M136),1))+(IF(K136=0,0,(Upgrades!$J$19+K136*Upgrades!$K$19)*POWER(Upgrades!$L$19,K136)))*(IF(Upgrades!$T$13="Peculiar Velocity",POWER(Upgrades!$U$13,E136),1)*IF(Upgrades!$T$14="Peculiar Velocity",POWER(Upgrades!$U$14,F136),1)*IF(Upgrades!$T$15="Peculiar Velocity",POWER(Upgrades!$U$15,G136),1)*IF(Upgrades!$T$16="Peculiar Velocity",POWER(Upgrades!$U$16,H136),1)*IF(Upgrades!$T$17="Peculiar Velocity",POWER(Upgrades!$U$17,I136),1)*IF(Upgrades!$T$18="Peculiar Velocity",POWER(Upgrades!$U$18,J136),1)*IF(Upgrades!$T$20="Peculiar Velocity",POWER(Upgrades!$U$20,L136),1)*IF(Upgrades!$T$21="Peculiar Velocity",POWER(Upgrades!$U$21,M136),1))+(IF(L136=0,0,(Upgrades!$J$20+L136*Upgrades!$K$20)*POWER(Upgrades!$L$20,L136)))*(IF(Upgrades!$T$13="Open Cluster",POWER(Upgrades!$U$13,E136),1)*IF(Upgrades!$T$14="Open Cluster",POWER(Upgrades!$U$14,F136),1)*IF(Upgrades!$T$15="Open Cluster",POWER(Upgrades!$U$15,G136),1)*IF(Upgrades!$T$16="Open Cluster",POWER(Upgrades!$U$16,H136),1)*IF(Upgrades!$T$17="Open Cluster",POWER(Upgrades!$U$17,I136),1)*IF(Upgrades!$T$18="Open Cluster",POWER(Upgrades!$U$18,J136),1)*IF(Upgrades!$T$19="Open Cluster",POWER(Upgrades!$U$19,K136),1)*IF(Upgrades!$T$21="Open Cluster",POWER(Upgrades!$U$21,M136),1))+(IF(M136=0,0,(Upgrades!$J$21+M136*Upgrades!$K$21)*POWER(Upgrades!$L$21,M136)))*(IF(Upgrades!$T$13="Moving Group",POWER(Upgrades!$U$13,E136),1)*IF(Upgrades!$T$14="Moving Group",POWER(Upgrades!$U$14,F136),1)*IF(Upgrades!$T$15="Moving Group",POWER(Upgrades!$U$15,G136),1)*IF(Upgrades!$T$16="Moving Group",POWER(Upgrades!$U$16,H136),1)*IF(Upgrades!$T$17="Moving Group",POWER(Upgrades!$U$17,I136),1)*IF(Upgrades!$T$18="Moving Group",POWER(Upgrades!$U$18,J136),1)*IF(Upgrades!$T$19="Moving Group",POWER(Upgrades!$U$19,K136),1)*IF(Upgrades!$T$20="Moving Group",POWER(Upgrades!$U$20,L136),1)))*POWER(Upgrades!$Q$13,E136)*POWER(Upgrades!$Q$14,F136)*POWER(Upgrades!$Q$15,G136)*POWER(Upgrades!$Q$16,H136)*POWER(Upgrades!$Q$17,I136)*POWER(Upgrades!$Q$18,J136)*POWER(Upgrades!$Q$19,K136)*POWER(Upgrades!$Q$20,L136)*POWER(Upgrades!$Q$21,M136)*$G$6+$D$6</f>
        <v/>
      </c>
      <c r="P136" s="28">
        <f>((IF(E136=0,0,(Upgrades!$G$13+E136*Upgrades!$H$13)*POWER(Upgrades!$I$13,E136)))*(IF(Upgrades!$T$14="Stellar Kinematics",POWER(Upgrades!$U$14,F136),1)*IF(Upgrades!$T$15="Stellar Kinematics",POWER(Upgrades!$U$15,G136),1)*IF(Upgrades!$T$16="Stellar Kinematics",POWER(Upgrades!$U$16,H136),1)*IF(Upgrades!$T$17="Stellar Kinematics",POWER(Upgrades!$U$17,I136),1)*IF(Upgrades!$T$18="Stellar Kinematics",POWER(Upgrades!$U$18,J136),1)*IF(Upgrades!$T$19="Stellar Kinematics",POWER(Upgrades!$U$19,K136),1)*IF(Upgrades!$T$20="Stellar Kinematics",POWER(Upgrades!$U$20,L136),1)*IF(Upgrades!$T$21="Stellar Kinematics",POWER(Upgrades!$U$21,M136),1))+(IF(F136=0,0,(Upgrades!$G$14+F136*Upgrades!$H$14)*POWER(Upgrades!$I$14,F136)))*(IF(Upgrades!$T$13="Local Bubble",POWER(Upgrades!$U$13,E136),1)*IF(Upgrades!$T$15="Local Bubble",POWER(Upgrades!$U$15,G136),1)*IF(Upgrades!$T$16="Local Bubble",POWER(Upgrades!$U$16,H136),1)*IF(Upgrades!$T$17="Local Bubble",POWER(Upgrades!$U$17,I136),1)*IF(Upgrades!$T$18="Local Bubble",POWER(Upgrades!$U$18,J136),1)*IF(Upgrades!$T$19="Local Bubble",POWER(Upgrades!$U$19,K136),1)*IF(Upgrades!$T$20="Local Bubble",POWER(Upgrades!$U$20,L136),1)*IF(Upgrades!$T$21="Local Bubble",POWER(Upgrades!$U$21,M136),1))+(IF(G136=0,0,(Upgrades!$G$15+G136*Upgrades!$H$15)*POWER(Upgrades!$I$15,G136)))*(IF(Upgrades!$T$13="Microlensing",POWER(Upgrades!$U$13,E136),1)*IF(Upgrades!$T$14="Microlensing",POWER(Upgrades!$U$14,F136),1)*IF(Upgrades!$T$16="Microlensing",POWER(Upgrades!$U$16,H136),1)*IF(Upgrades!$T$17="Microlensing",POWER(Upgrades!$U$17,I136),1)*IF(Upgrades!$T$18="Microlensing",POWER(Upgrades!$U$18,J136),1)*IF(Upgrades!$T$19="Microlensing",POWER(Upgrades!$U$19,K136),1)*IF(Upgrades!$T$20="Microlensing",POWER(Upgrades!$U$20,L136),1)*IF(Upgrades!$T$21="Microlensing",POWER(Upgrades!$U$21,M136),1))+(IF(H136=0,0,(Upgrades!$G$16+H136*Upgrades!$H$16)*POWER(Upgrades!$I$16,H136)))*(IF(Upgrades!$T$13="Roche Lobe Overflow",POWER(Upgrades!$U$13,E136),1)*IF(Upgrades!$T$14="Roche Lobe Overflow",POWER(Upgrades!$U$14,F136),1)*IF(Upgrades!$T$15="Roche Lobe Overflow",POWER(Upgrades!$U$15,G136),1)*IF(Upgrades!$T$17="Roche Lobe Overflow",POWER(Upgrades!$U$17,I136),1)*IF(Upgrades!$T$18="Roche Lobe Overflow",POWER(Upgrades!$U$18,J136),1)*IF(Upgrades!$T$19="Roche Lobe Overflow",POWER(Upgrades!$U$19,K136),1)*IF(Upgrades!$T$20="Roche Lobe Overflow",POWER(Upgrades!$U$20,L136),1)*IF(Upgrades!$T$21="Roche Lobe Overflow",POWER(Upgrades!$U$21,M136),1))+(IF(I136=0,0,(Upgrades!$G$17+I136*Upgrades!$H$17)*POWER(Upgrades!$I$17,I136)))*(IF(Upgrades!$T$13="Brown Dwarf",POWER(Upgrades!$U$13,E136),1)*IF(Upgrades!$T$14="Brown Dwarf",POWER(Upgrades!$U$14,F136),1)*IF(Upgrades!$T$15="Brown Dwarf",POWER(Upgrades!$U$15,G136),1)*IF(Upgrades!$T$16="Brown Dwarf",POWER(Upgrades!$U$16,H136),1)*IF(Upgrades!$T$18="Brown Dwarf",POWER(Upgrades!$U$18,J136),1)*IF(Upgrades!$T$19="Brown Dwarf",POWER(Upgrades!$U$19,K136),1)*IF(Upgrades!$T$20="Brown Dwarf",POWER(Upgrades!$U$20,L136),1)*IF(Upgrades!$T$21="Brown Dwarf",POWER(Upgrades!$U$21,M136),1))+(IF(J136=0,0,(Upgrades!$G$18+J136*Upgrades!$H$18)*POWER(Upgrades!$I$18,J136)))*(IF(Upgrades!$T$13="Binary Partner",POWER(Upgrades!$U$13,E136),1)*IF(Upgrades!$T$14="Binary Partner",POWER(Upgrades!$U$14,F136),1)*IF(Upgrades!$T$15="Binary Partner",POWER(Upgrades!$U$15,G136),1)*IF(Upgrades!$T$16="Binary Partner",POWER(Upgrades!$U$16,H136),1)*IF(Upgrades!$T$17="Binary Partner",POWER(Upgrades!$U$17,I136),1)*IF(Upgrades!$T$19="Binary Partner",POWER(Upgrades!$U$19,K136),1)*IF(Upgrades!$T$20="Binary Partner",POWER(Upgrades!$U$20,L136),1)*IF(Upgrades!$T$21="Binary Partner",POWER(Upgrades!$U$21,M136),1))+(IF(K136=0,0,(Upgrades!$G$19+K136*Upgrades!$H$19)*POWER(Upgrades!$I$19,K136)))*(IF(Upgrades!$T$13="Peculiar Velocity",POWER(Upgrades!$U$13,E136),1)*IF(Upgrades!$T$14="Peculiar Velocity",POWER(Upgrades!$U$14,F136),1)*IF(Upgrades!$T$15="Peculiar Velocity",POWER(Upgrades!$U$15,G136),1)*IF(Upgrades!$T$16="Peculiar Velocity",POWER(Upgrades!$U$16,H136),1)*IF(Upgrades!$T$17="Peculiar Velocity",POWER(Upgrades!$U$17,I136),1)*IF(Upgrades!$T$18="Peculiar Velocity",POWER(Upgrades!$U$18,J136),1)*IF(Upgrades!$T$20="Peculiar Velocity",POWER(Upgrades!$U$20,L136),1)*IF(Upgrades!$T$21="Peculiar Velocity",POWER(Upgrades!$U$21,M136),1))+(IF(L136=0,0,(Upgrades!$G$20+L136*Upgrades!$H$20)*POWER(Upgrades!$I$20,L136)))*(IF(Upgrades!$T$13="Open Cluster",POWER(Upgrades!$U$13,E136),1)*IF(Upgrades!$T$14="Open Cluster",POWER(Upgrades!$U$14,F136),1)*IF(Upgrades!$T$15="Open Cluster",POWER(Upgrades!$U$15,G136),1)*IF(Upgrades!$T$16="Open Cluster",POWER(Upgrades!$U$16,H136),1)*IF(Upgrades!$T$17="Open Cluster",POWER(Upgrades!$U$17,I136),1)*IF(Upgrades!$T$18="Open Cluster",POWER(Upgrades!$U$18,J136),1)*IF(Upgrades!$T$19="Open Cluster",POWER(Upgrades!$U$19,K136),1)*IF(Upgrades!$T$21="Open Cluster",POWER(Upgrades!$U$21,M136),1))+(IF(M136=0,0,(Upgrades!$G$21+M136*Upgrades!$H$21)*POWER(Upgrades!$I$21,M136)))*(IF(Upgrades!$T$13="Moving Group",POWER(Upgrades!$U$13,E136),1)*IF(Upgrades!$T$14="Moving Group",POWER(Upgrades!$U$14,F136),1)*IF(Upgrades!$T$15="Moving Group",POWER(Upgrades!$U$15,G136),1)*IF(Upgrades!$T$16="Moving Group",POWER(Upgrades!$U$16,H136),1)*IF(Upgrades!$T$17="Moving Group",POWER(Upgrades!$U$17,I136),1)*IF(Upgrades!$T$18="Moving Group",POWER(Upgrades!$U$18,J136),1)*IF(Upgrades!$T$19="Moving Group",POWER(Upgrades!$U$19,K136),1)*IF(Upgrades!$T$20="Moving Group",POWER(Upgrades!$U$20,L136),1)))*POWER(Upgrades!$P$13,E136)*POWER(Upgrades!$P$14,F136)*POWER(Upgrades!$P$15,G136)*POWER(Upgrades!$P$16,H136)*POWER(Upgrades!$P$17,I136)*POWER(Upgrades!$P$18,J136)*POWER(Upgrades!$P$19,K136)*POWER(Upgrades!$P$20,L136)*POWER(Upgrades!$P$21,M136)*$F$6+$C$6</f>
        <v/>
      </c>
      <c r="Q136" s="28">
        <f>((IF(E136=0,0,(Upgrades!$M$13+E136*Upgrades!$N$13)*POWER(Upgrades!$O$13,E136)))*(IF(Upgrades!$T$14="Stellar Kinematics",POWER(Upgrades!$U$14,F136),1)*IF(Upgrades!$T$15="Stellar Kinematics",POWER(Upgrades!$U$15,G136),1)*IF(Upgrades!$T$16="Stellar Kinematics",POWER(Upgrades!$U$16,H136),1)*IF(Upgrades!$T$17="Stellar Kinematics",POWER(Upgrades!$U$17,I136),1)*IF(Upgrades!$T$18="Stellar Kinematics",POWER(Upgrades!$U$18,J136),1)*IF(Upgrades!$T$19="Stellar Kinematics",POWER(Upgrades!$U$19,K136),1)*IF(Upgrades!$T$20="Stellar Kinematics",POWER(Upgrades!$U$20,L136),1)*IF(Upgrades!$T$21="Stellar Kinematics",POWER(Upgrades!$U$21,M136),1))+(IF(F136=0,0,(Upgrades!$M$14+F136*Upgrades!$N$14)*POWER(Upgrades!$O$14,F136)))*(IF(Upgrades!$T$13="Local Bubble",POWER(Upgrades!$U$13,E136),1)*IF(Upgrades!$T$15="Local Bubble",POWER(Upgrades!$U$15,G136),1)*IF(Upgrades!$T$16="Local Bubble",POWER(Upgrades!$U$16,H136),1)*IF(Upgrades!$T$17="Local Bubble",POWER(Upgrades!$U$17,I136),1)*IF(Upgrades!$T$18="Local Bubble",POWER(Upgrades!$U$18,J136),1)*IF(Upgrades!$T$19="Local Bubble",POWER(Upgrades!$U$19,K136),1)*IF(Upgrades!$T$20="Local Bubble",POWER(Upgrades!$U$20,L136),1)*IF(Upgrades!$T$21="Local Bubble",POWER(Upgrades!$U$21,M136),1))+(IF(G136=0,0,(Upgrades!$M$15+G136*Upgrades!$N$15)*POWER(Upgrades!$O$15,G136)))*(IF(Upgrades!$T$13="Microlensing",POWER(Upgrades!$U$13,E136),1)*IF(Upgrades!$T$14="Microlensing",POWER(Upgrades!$U$14,F136),1)*IF(Upgrades!$T$16="Microlensing",POWER(Upgrades!$U$16,H136),1)*IF(Upgrades!$T$17="Microlensing",POWER(Upgrades!$U$17,I136),1)*IF(Upgrades!$T$18="Microlensing",POWER(Upgrades!$U$18,J136),1)*IF(Upgrades!$T$19="Microlensing",POWER(Upgrades!$U$19,K136),1)*IF(Upgrades!$T$20="Microlensing",POWER(Upgrades!$U$20,L136),1)*IF(Upgrades!$T$21="Microlensing",POWER(Upgrades!$U$21,M136),1))+(IF(H136=0,0,(Upgrades!$M$16+H136*Upgrades!$N$16)*POWER(Upgrades!$O$16,H136)))*(IF(Upgrades!$T$13="Roche Lobe Overflow",POWER(Upgrades!$U$13,E136),1)*IF(Upgrades!$T$14="Roche Lobe Overflow",POWER(Upgrades!$U$14,F136),1)*IF(Upgrades!$T$15="Roche Lobe Overflow",POWER(Upgrades!$U$15,G136),1)*IF(Upgrades!$T$17="Roche Lobe Overflow",POWER(Upgrades!$U$17,I136),1)*IF(Upgrades!$T$18="Roche Lobe Overflow",POWER(Upgrades!$U$18,J136),1)*IF(Upgrades!$T$19="Roche Lobe Overflow",POWER(Upgrades!$U$19,K136),1)*IF(Upgrades!$T$20="Roche Lobe Overflow",POWER(Upgrades!$U$20,L136),1)*IF(Upgrades!$T$21="Roche Lobe Overflow",POWER(Upgrades!$U$21,M136),1))+(IF(I136=0,0,(Upgrades!$M$17+I136*Upgrades!$N$17)*POWER(Upgrades!$O$17,I136)))*(IF(Upgrades!$T$13="Brown Dwarf",POWER(Upgrades!$U$13,E136),1)*IF(Upgrades!$T$14="Brown Dwarf",POWER(Upgrades!$U$14,F136),1)*IF(Upgrades!$T$15="Brown Dwarf",POWER(Upgrades!$U$15,G136),1)*IF(Upgrades!$T$16="Brown Dwarf",POWER(Upgrades!$U$16,H136),1)*IF(Upgrades!$T$18="Brown Dwarf",POWER(Upgrades!$U$18,J136),1)*IF(Upgrades!$T$19="Brown Dwarf",POWER(Upgrades!$U$19,K136),1)*IF(Upgrades!$T$20="Brown Dwarf",POWER(Upgrades!$U$20,L136),1)*IF(Upgrades!$T$21="Brown Dwarf",POWER(Upgrades!$U$21,M136),1))+(IF(J136=0,0,(Upgrades!$M$18+J136*Upgrades!$N$18)*POWER(Upgrades!$O$18,J136)))*(IF(Upgrades!$T$13="Binary Partner",POWER(Upgrades!$U$13,E136),1)*IF(Upgrades!$T$14="Binary Partner",POWER(Upgrades!$U$14,F136),1)*IF(Upgrades!$T$15="Binary Partner",POWER(Upgrades!$U$15,G136),1)*IF(Upgrades!$T$16="Binary Partner",POWER(Upgrades!$U$16,H136),1)*IF(Upgrades!$T$17="Binary Partner",POWER(Upgrades!$U$17,I136),1)*IF(Upgrades!$T$19="Binary Partner",POWER(Upgrades!$U$19,K136),1)*IF(Upgrades!$T$20="Binary Partner",POWER(Upgrades!$U$20,L136),1)*IF(Upgrades!$T$21="Binary Partner",POWER(Upgrades!$U$21,M136),1))+(IF(K136=0,0,(Upgrades!$M$19+K136*Upgrades!$N$19)*POWER(Upgrades!$O$19,K136)))*(IF(Upgrades!$T$13="Peculiar Velocity",POWER(Upgrades!$U$13,E136),1)*IF(Upgrades!$T$14="Peculiar Velocity",POWER(Upgrades!$U$14,F136),1)*IF(Upgrades!$T$15="Peculiar Velocity",POWER(Upgrades!$U$15,G136),1)*IF(Upgrades!$T$16="Peculiar Velocity",POWER(Upgrades!$U$16,H136),1)*IF(Upgrades!$T$17="Peculiar Velocity",POWER(Upgrades!$U$17,I136),1)*IF(Upgrades!$T$18="Peculiar Velocity",POWER(Upgrades!$U$18,J136),1)*IF(Upgrades!$T$20="Peculiar Velocity",POWER(Upgrades!$U$20,L136),1)*IF(Upgrades!$T$21="Peculiar Velocity",POWER(Upgrades!$U$21,M136),1))+(IF(L136=0,0,(Upgrades!$M$20+L136*Upgrades!$N$20)*POWER(Upgrades!$O$20,L136)))*(IF(Upgrades!$T$13="Open Cluster",POWER(Upgrades!$U$13,E136),1)*IF(Upgrades!$T$14="Open Cluster",POWER(Upgrades!$U$14,F136),1)*IF(Upgrades!$T$15="Open Cluster",POWER(Upgrades!$U$15,G136),1)*IF(Upgrades!$T$16="Open Cluster",POWER(Upgrades!$U$16,H136),1)*IF(Upgrades!$T$17="Open Cluster",POWER(Upgrades!$U$17,I136),1)*IF(Upgrades!$T$18="Open Cluster",POWER(Upgrades!$U$18,J136),1)*IF(Upgrades!$T$19="Open Cluster",POWER(Upgrades!$U$19,K136),1)*IF(Upgrades!$T$21="Open Cluster",POWER(Upgrades!$U$21,M136),1))+(IF(M136=0,0,(Upgrades!$M$21+M136*Upgrades!$N$21)*POWER(Upgrades!$O$21,M136)))*(IF(Upgrades!$T$13="Moving Group",POWER(Upgrades!$U$13,E136),1)*IF(Upgrades!$T$14="Moving Group",POWER(Upgrades!$U$14,F136),1)*IF(Upgrades!$T$15="Moving Group",POWER(Upgrades!$U$15,G136),1)*IF(Upgrades!$T$16="Moving Group",POWER(Upgrades!$U$16,H136),1)*IF(Upgrades!$T$17="Moving Group",POWER(Upgrades!$U$17,I136),1)*IF(Upgrades!$T$18="Moving Group",POWER(Upgrades!$U$18,J136),1)*IF(Upgrades!$T$19="Moving Group",POWER(Upgrades!$U$19,K136),1)*IF(Upgrades!$T$20="Moving Group",POWER(Upgrades!$U$20,L136),1)))*POWER(Upgrades!$R$13,E136)*POWER(Upgrades!$R$14,F136)*POWER(Upgrades!$R$15,G136)*POWER(Upgrades!$R$16,H136)*POWER(Upgrades!$R$17,I136)*POWER(Upgrades!$R$18,J136)*POWER(Upgrades!$R$19,K136)*POWER(Upgrades!$R$20,L136)*POWER(Upgrades!$R$21,M136)*$H$6+$E$6</f>
        <v/>
      </c>
      <c r="R136" s="27">
        <f>IF(N136=1,0,O136*Parameters!$B$10/60*Parameters!$B$11*10)</f>
        <v/>
      </c>
      <c r="S136" s="27">
        <f>IF(N136=1,0,Q136*O136*10)</f>
        <v/>
      </c>
      <c r="T136" s="27">
        <f>IF(N136=1,0,R136+S136+P136*10)</f>
        <v/>
      </c>
      <c r="U136" s="33">
        <f>BE136</f>
        <v/>
      </c>
      <c r="V136" s="22">
        <f>IF(U136="",0,IF(U136="transition",0,IF(U136="SK",AK136,IF(U136="LB",AL136,IF(U136="ML",AM136,IF(U136="RLO",AN136,IF(U136="BD",AO136,IF(U136="BiP",AP136,IF(U136="PV",AQ136,IF(U136="OC",AR136,IF(U136="MG",AS136,0))))))))))</f>
        <v/>
      </c>
      <c r="W136" s="27">
        <f>IF(U136="BiP",Upgrades!$F$18,IF(U136="PV",Upgrades!$F$19,IF(U136="OC",Upgrades!$F$20,IF(U136="MG",Upgrades!$F$21,IF(U136="transition",-Parameters!$B$18*Parameters!$B$19,0)))))</f>
        <v/>
      </c>
      <c r="X136" s="22">
        <f>C136+T136-V136</f>
        <v/>
      </c>
      <c r="Y136" s="30">
        <f>O136*Parameters!$B$10/60*Parameters!$B$11+Q136*O136+P136</f>
        <v/>
      </c>
      <c r="Z136" s="34">
        <f>IF(U136="transition","→ Tier 3 (Galactic Arm)",IF(U136="MG","Moving Group — pocket drifts together",IF(U136="OC","Open Cluster acquired",IF(U136="PV","Peculiar Velocity — passive multiplier active",IF(U136="BiP","Binary Partner — pair bond formed",IF(AND(AU136=1,N136=0,AT136&lt;&gt;1),"Cohesion ready (waiting on completionists)","")))))) </f>
        <v/>
      </c>
      <c r="AA136" s="27">
        <f>(IF(E136=0,0,(Upgrades!$G$13+E136*Upgrades!$H$13)*POWER(Upgrades!$I$13,E136)))*(IF(Upgrades!$T$14="Stellar Kinematics",POWER(Upgrades!$U$14,F136),1)*IF(Upgrades!$T$15="Stellar Kinematics",POWER(Upgrades!$U$15,G136),1)*IF(Upgrades!$T$16="Stellar Kinematics",POWER(Upgrades!$U$16,H136),1)*IF(Upgrades!$T$17="Stellar Kinematics",POWER(Upgrades!$U$17,I136),1)*IF(Upgrades!$T$18="Stellar Kinematics",POWER(Upgrades!$U$18,J136),1)*IF(Upgrades!$T$19="Stellar Kinematics",POWER(Upgrades!$U$19,K136),1)*IF(Upgrades!$T$20="Stellar Kinematics",POWER(Upgrades!$U$20,L136),1)*IF(Upgrades!$T$21="Stellar Kinematics",POWER(Upgrades!$U$21,M136),1))*POWER(Upgrades!$P$13,E136)*POWER(Upgrades!$P$14,F136)*POWER(Upgrades!$P$15,G136)*POWER(Upgrades!$P$16,H136)*POWER(Upgrades!$P$17,I136)*POWER(Upgrades!$P$18,J136)*POWER(Upgrades!$P$19,K136)*POWER(Upgrades!$P$20,L136)*POWER(Upgrades!$P$21,M136)*$F$6*60</f>
        <v/>
      </c>
      <c r="AB136" s="27">
        <f>(IF(F136=0,0,(Upgrades!$G$14+F136*Upgrades!$H$14)*POWER(Upgrades!$I$14,F136)))*(IF(Upgrades!$T$13="Local Bubble",POWER(Upgrades!$U$13,E136),1)*IF(Upgrades!$T$15="Local Bubble",POWER(Upgrades!$U$15,G136),1)*IF(Upgrades!$T$16="Local Bubble",POWER(Upgrades!$U$16,H136),1)*IF(Upgrades!$T$17="Local Bubble",POWER(Upgrades!$U$17,I136),1)*IF(Upgrades!$T$18="Local Bubble",POWER(Upgrades!$U$18,J136),1)*IF(Upgrades!$T$19="Local Bubble",POWER(Upgrades!$U$19,K136),1)*IF(Upgrades!$T$20="Local Bubble",POWER(Upgrades!$U$20,L136),1)*IF(Upgrades!$T$21="Local Bubble",POWER(Upgrades!$U$21,M136),1))*POWER(Upgrades!$P$13,E136)*POWER(Upgrades!$P$14,F136)*POWER(Upgrades!$P$15,G136)*POWER(Upgrades!$P$16,H136)*POWER(Upgrades!$P$17,I136)*POWER(Upgrades!$P$18,J136)*POWER(Upgrades!$P$19,K136)*POWER(Upgrades!$P$20,L136)*POWER(Upgrades!$P$21,M136)*$F$6*60</f>
        <v/>
      </c>
      <c r="AC136" s="27">
        <f>(IF(G136=0,0,(Upgrades!$J$15+G136*Upgrades!$K$15)*POWER(Upgrades!$L$15,G136)))*(IF(Upgrades!$T$13="Microlensing",POWER(Upgrades!$U$13,E136),1)*IF(Upgrades!$T$14="Microlensing",POWER(Upgrades!$U$14,F136),1)*IF(Upgrades!$T$16="Microlensing",POWER(Upgrades!$U$16,H136),1)*IF(Upgrades!$T$17="Microlensing",POWER(Upgrades!$U$17,I136),1)*IF(Upgrades!$T$18="Microlensing",POWER(Upgrades!$U$18,J136),1)*IF(Upgrades!$T$19="Microlensing",POWER(Upgrades!$U$19,K136),1)*IF(Upgrades!$T$20="Microlensing",POWER(Upgrades!$U$20,L136),1)*IF(Upgrades!$T$21="Microlensing",POWER(Upgrades!$U$21,M136),1))*POWER(Upgrades!$Q$13,E136)*POWER(Upgrades!$Q$14,F136)*POWER(Upgrades!$Q$15,G136)*POWER(Upgrades!$Q$16,H136)*POWER(Upgrades!$Q$17,I136)*POWER(Upgrades!$Q$18,J136)*POWER(Upgrades!$Q$19,K136)*POWER(Upgrades!$Q$20,L136)*POWER(Upgrades!$Q$21,M136)*$G$6*(Parameters!$B$10*Parameters!$B$11+Q136*60)</f>
        <v/>
      </c>
      <c r="AD136" s="27">
        <f>(IF(H136=0,0,(Upgrades!$M$16+H136*Upgrades!$N$16)*POWER(Upgrades!$O$16,H136)))*(IF(Upgrades!$T$13="Roche Lobe Overflow",POWER(Upgrades!$U$13,E136),1)*IF(Upgrades!$T$14="Roche Lobe Overflow",POWER(Upgrades!$U$14,F136),1)*IF(Upgrades!$T$15="Roche Lobe Overflow",POWER(Upgrades!$U$15,G136),1)*IF(Upgrades!$T$17="Roche Lobe Overflow",POWER(Upgrades!$U$17,I136),1)*IF(Upgrades!$T$18="Roche Lobe Overflow",POWER(Upgrades!$U$18,J136),1)*IF(Upgrades!$T$19="Roche Lobe Overflow",POWER(Upgrades!$U$19,K136),1)*IF(Upgrades!$T$20="Roche Lobe Overflow",POWER(Upgrades!$U$20,L136),1)*IF(Upgrades!$T$21="Roche Lobe Overflow",POWER(Upgrades!$U$21,M136),1))*POWER(Upgrades!$R$13,E136)*POWER(Upgrades!$R$14,F136)*POWER(Upgrades!$R$15,G136)*POWER(Upgrades!$R$16,H136)*POWER(Upgrades!$R$17,I136)*POWER(Upgrades!$R$18,J136)*POWER(Upgrades!$R$19,K136)*POWER(Upgrades!$R$20,L136)*POWER(Upgrades!$R$21,M136)*$H$6*O136*60</f>
        <v/>
      </c>
      <c r="AE136" s="27">
        <f>(IF(I136=0,0,(Upgrades!$G$17+I136*Upgrades!$H$17)*POWER(Upgrades!$I$17,I136)))*(IF(Upgrades!$T$13="Brown Dwarf",POWER(Upgrades!$U$13,E136),1)*IF(Upgrades!$T$14="Brown Dwarf",POWER(Upgrades!$U$14,F136),1)*IF(Upgrades!$T$15="Brown Dwarf",POWER(Upgrades!$U$15,G136),1)*IF(Upgrades!$T$16="Brown Dwarf",POWER(Upgrades!$U$16,H136),1)*IF(Upgrades!$T$18="Brown Dwarf",POWER(Upgrades!$U$18,J136),1)*IF(Upgrades!$T$19="Brown Dwarf",POWER(Upgrades!$U$19,K136),1)*IF(Upgrades!$T$20="Brown Dwarf",POWER(Upgrades!$U$20,L136),1)*IF(Upgrades!$T$21="Brown Dwarf",POWER(Upgrades!$U$21,M136),1))*POWER(Upgrades!$P$13,E136)*POWER(Upgrades!$P$14,F136)*POWER(Upgrades!$P$15,G136)*POWER(Upgrades!$P$16,H136)*POWER(Upgrades!$P$17,I136)*POWER(Upgrades!$P$18,J136)*POWER(Upgrades!$P$19,K136)*POWER(Upgrades!$P$20,L136)*POWER(Upgrades!$P$21,M136)*$F$6*60</f>
        <v/>
      </c>
      <c r="AF136" s="27" t="n">
        <v>0</v>
      </c>
      <c r="AG136" s="27" t="n">
        <v>0</v>
      </c>
      <c r="AH136" s="27" t="n">
        <v>0</v>
      </c>
      <c r="AI136" s="27">
        <f>(IF(M136=0,0,(Upgrades!$G$21+M136*Upgrades!$H$21)*POWER(Upgrades!$I$21,M136)))*(IF(Upgrades!$T$13="Moving Group",POWER(Upgrades!$U$13,E136),1)*IF(Upgrades!$T$14="Moving Group",POWER(Upgrades!$U$14,F136),1)*IF(Upgrades!$T$15="Moving Group",POWER(Upgrades!$U$15,G136),1)*IF(Upgrades!$T$16="Moving Group",POWER(Upgrades!$U$16,H136),1)*IF(Upgrades!$T$17="Moving Group",POWER(Upgrades!$U$17,I136),1)*IF(Upgrades!$T$18="Moving Group",POWER(Upgrades!$U$18,J136),1)*IF(Upgrades!$T$19="Moving Group",POWER(Upgrades!$U$19,K136),1)*IF(Upgrades!$T$20="Moving Group",POWER(Upgrades!$U$20,L136),1))*POWER(Upgrades!$P$13,E136)*POWER(Upgrades!$P$14,F136)*POWER(Upgrades!$P$15,G136)*POWER(Upgrades!$P$16,H136)*POWER(Upgrades!$P$17,I136)*POWER(Upgrades!$P$18,J136)*POWER(Upgrades!$P$19,K136)*POWER(Upgrades!$P$20,L136)*POWER(Upgrades!$P$21,M136)*$F$6*60</f>
        <v/>
      </c>
      <c r="AJ136" s="27">
        <f>$C$6*60</f>
        <v/>
      </c>
      <c r="AK136" s="22">
        <f>IF(E136&gt;=Upgrades!$E$13,"",Upgrades!$C$13*POWER(Upgrades!$D$13,E136))</f>
        <v/>
      </c>
      <c r="AL136" s="22">
        <f>IF(F136&gt;=Upgrades!$E$14,"",Upgrades!$C$14*POWER(Upgrades!$D$14,F136))</f>
        <v/>
      </c>
      <c r="AM136" s="22">
        <f>IF(G136&gt;=Upgrades!$E$15,"",Upgrades!$C$15*POWER(Upgrades!$D$15,G136))</f>
        <v/>
      </c>
      <c r="AN136" s="22">
        <f>IF(H136&gt;=Upgrades!$E$16,"",Upgrades!$C$16*POWER(Upgrades!$D$16,H136))</f>
        <v/>
      </c>
      <c r="AO136" s="22">
        <f>IF(I136&gt;=Upgrades!$E$17,"",Upgrades!$C$17*POWER(Upgrades!$D$17,I136))</f>
        <v/>
      </c>
      <c r="AP136" s="22">
        <f>IF(J136&gt;=Upgrades!$E$18,"",Upgrades!$C$18*POWER(Upgrades!$D$18,J136))</f>
        <v/>
      </c>
      <c r="AQ136" s="22">
        <f>IF(K136&gt;=Upgrades!$E$19,"",Upgrades!$C$19*POWER(Upgrades!$D$19,K136))</f>
        <v/>
      </c>
      <c r="AR136" s="22">
        <f>IF(L136&gt;=Upgrades!$E$20,"",Upgrades!$C$20*POWER(Upgrades!$D$20,L136))</f>
        <v/>
      </c>
      <c r="AS136" s="22">
        <f>IF(M136&gt;=Upgrades!$E$21,"",Upgrades!$C$21*POWER(Upgrades!$D$21,M136))</f>
        <v/>
      </c>
      <c r="AT136" s="26">
        <f>IF(AND(D136&gt;=Parameters!$B$18*Parameters!$B$19,(I136&gt;=Upgrades!$E$17)*(M136&gt;=Upgrades!$E$21)=1,N136=0),1,"")</f>
        <v/>
      </c>
      <c r="AU136" s="26">
        <f>IF(AND(D136&gt;=Parameters!$B$18*Parameters!$B$19,N136=0),1,"")</f>
        <v/>
      </c>
      <c r="AV136" s="22">
        <f>MIN(IF(ISNUMBER(AP136),AP136,9E15),IF(ISNUMBER(AQ136),AQ136,9E15),IF(ISNUMBER(AR136),AR136,9E15),IF(ISNUMBER(AS136),AS136,9E15))</f>
        <v/>
      </c>
      <c r="AW136" s="22">
        <f>MIN(IF(ISNUMBER(AK136),AK136,9E15),IF(ISNUMBER(AL136),AL136,9E15),IF(ISNUMBER(AM136),AM136,9E15),IF(ISNUMBER(AN136),AN136,9E15),IF(ISNUMBER(AO136),AO136,9E15))</f>
        <v/>
      </c>
      <c r="AX136" s="29">
        <f>IF(BD136&gt;Parameters!$B$21*(MAX(IF(AND(NOT(AND(AU136=1,AT136&lt;&gt;1)),ISNUMBER(AK136),AK136&lt;=(C136+T136)),AY136,0),IF(AND(NOT(AND(AU136=1,AT136&lt;&gt;1)),ISNUMBER(AL136),AL136&lt;=(C136+T136)),AZ136,0),IF(AND(NOT(AND(AU136=1,AT136&lt;&gt;1)),ISNUMBER(AM136),AM136&lt;=(C136+T136)),BA136,0),IF(AND(NOT(AND(AU136=1,AT136&lt;&gt;1)),ISNUMBER(AN136),AN136&lt;=(C136+T136)),BB136,0),IF(AND(ISNUMBER(AO136),AO136&lt;=(C136+T136)),BC136,0))),TRUE,FALSE)</f>
        <v/>
      </c>
      <c r="AY136" s="32">
        <f>IFERROR(Upgrades!$H$13*(POWER(Upgrades!$P$13,E136)*POWER(Upgrades!$P$14,F136)*POWER(Upgrades!$P$15,G136)*POWER(Upgrades!$P$16,H136)*POWER(Upgrades!$P$17,I136)*POWER(Upgrades!$P$18,J136)*POWER(Upgrades!$P$19,K136)*POWER(Upgrades!$P$20,L136)*POWER(Upgrades!$P$21,M136))*(IF(Upgrades!$T$14="Stellar Kinematics",POWER(Upgrades!$U$14,F136),1)*IF(Upgrades!$T$15="Stellar Kinematics",POWER(Upgrades!$U$15,G136),1)*IF(Upgrades!$T$16="Stellar Kinematics",POWER(Upgrades!$U$16,H136),1)*IF(Upgrades!$T$17="Stellar Kinematics",POWER(Upgrades!$U$17,I136),1)*IF(Upgrades!$T$18="Stellar Kinematics",POWER(Upgrades!$U$18,J136),1)*IF(Upgrades!$T$19="Stellar Kinematics",POWER(Upgrades!$U$19,K136),1)*IF(Upgrades!$T$20="Stellar Kinematics",POWER(Upgrades!$U$20,L136),1)*IF(Upgrades!$T$21="Stellar Kinematics",POWER(Upgrades!$U$21,M136),1))*$F$6/AK136,0)</f>
        <v/>
      </c>
      <c r="AZ136" s="32">
        <f>IFERROR(Upgrades!$H$14*(POWER(Upgrades!$P$13,E136)*POWER(Upgrades!$P$14,F136)*POWER(Upgrades!$P$15,G136)*POWER(Upgrades!$P$16,H136)*POWER(Upgrades!$P$17,I136)*POWER(Upgrades!$P$18,J136)*POWER(Upgrades!$P$19,K136)*POWER(Upgrades!$P$20,L136)*POWER(Upgrades!$P$21,M136))*(IF(Upgrades!$T$13="Local Bubble",POWER(Upgrades!$U$13,E136),1)*IF(Upgrades!$T$15="Local Bubble",POWER(Upgrades!$U$15,G136),1)*IF(Upgrades!$T$16="Local Bubble",POWER(Upgrades!$U$16,H136),1)*IF(Upgrades!$T$17="Local Bubble",POWER(Upgrades!$U$17,I136),1)*IF(Upgrades!$T$18="Local Bubble",POWER(Upgrades!$U$18,J136),1)*IF(Upgrades!$T$19="Local Bubble",POWER(Upgrades!$U$19,K136),1)*IF(Upgrades!$T$20="Local Bubble",POWER(Upgrades!$U$20,L136),1)*IF(Upgrades!$T$21="Local Bubble",POWER(Upgrades!$U$21,M136),1))*$F$6/AL136,0)</f>
        <v/>
      </c>
      <c r="BA136" s="32">
        <f>IFERROR(Upgrades!$K$15*(POWER(Upgrades!$Q$13,E136)*POWER(Upgrades!$Q$14,F136)*POWER(Upgrades!$Q$15,G136)*POWER(Upgrades!$Q$16,H136)*POWER(Upgrades!$Q$17,I136)*POWER(Upgrades!$Q$18,J136)*POWER(Upgrades!$Q$19,K136)*POWER(Upgrades!$Q$20,L136)*POWER(Upgrades!$Q$21,M136))*(IF(Upgrades!$T$13="Microlensing",POWER(Upgrades!$U$13,E136),1)*IF(Upgrades!$T$14="Microlensing",POWER(Upgrades!$U$14,F136),1)*IF(Upgrades!$T$16="Microlensing",POWER(Upgrades!$U$16,H136),1)*IF(Upgrades!$T$17="Microlensing",POWER(Upgrades!$U$17,I136),1)*IF(Upgrades!$T$18="Microlensing",POWER(Upgrades!$U$18,J136),1)*IF(Upgrades!$T$19="Microlensing",POWER(Upgrades!$U$19,K136),1)*IF(Upgrades!$T$20="Microlensing",POWER(Upgrades!$U$20,L136),1)*IF(Upgrades!$T$21="Microlensing",POWER(Upgrades!$U$21,M136),1))*$G$6*(Parameters!$B$10/60*Parameters!$B$11+Q136)/AM136,0)</f>
        <v/>
      </c>
      <c r="BB136" s="32">
        <f>IFERROR((Upgrades!$N$16*(POWER(Upgrades!$R$13,E136)*POWER(Upgrades!$R$14,F136)*POWER(Upgrades!$R$15,G136)*POWER(Upgrades!$R$16,H136)*POWER(Upgrades!$R$17,I136)*POWER(Upgrades!$R$18,J136)*POWER(Upgrades!$R$19,K136)*POWER(Upgrades!$R$20,L136)*POWER(Upgrades!$R$21,M136))*(IF(Upgrades!$T$13="Roche Lobe Overflow",POWER(Upgrades!$U$13,E136),1)*IF(Upgrades!$T$14="Roche Lobe Overflow",POWER(Upgrades!$U$14,F136),1)*IF(Upgrades!$T$15="Roche Lobe Overflow",POWER(Upgrades!$U$15,G136),1)*IF(Upgrades!$T$17="Roche Lobe Overflow",POWER(Upgrades!$U$17,I136),1)*IF(Upgrades!$T$18="Roche Lobe Overflow",POWER(Upgrades!$U$18,J136),1)*IF(Upgrades!$T$19="Roche Lobe Overflow",POWER(Upgrades!$U$19,K136),1)*IF(Upgrades!$T$20="Roche Lobe Overflow",POWER(Upgrades!$U$20,L136),1)*IF(Upgrades!$T$21="Roche Lobe Overflow",POWER(Upgrades!$U$21,M136),1))*$H$6*O136+((IF(F136=0,0,(Upgrades!$G$14+F136*Upgrades!$H$14)*POWER(Upgrades!$I$14,F136)))*(IF(Upgrades!$T$13="Local Bubble",POWER(Upgrades!$U$13,E136),1)*IF(Upgrades!$T$15="Local Bubble",POWER(Upgrades!$U$15,G136),1)*IF(Upgrades!$T$16="Local Bubble",POWER(Upgrades!$U$16,H136),1)*IF(Upgrades!$T$17="Local Bubble",POWER(Upgrades!$U$17,I136),1)*IF(Upgrades!$T$18="Local Bubble",POWER(Upgrades!$U$18,J136),1)*IF(Upgrades!$T$19="Local Bubble",POWER(Upgrades!$U$19,K136),1)*IF(Upgrades!$T$20="Local Bubble",POWER(Upgrades!$U$20,L136),1)*IF(Upgrades!$T$21="Local Bubble",POWER(Upgrades!$U$21,M136),1))*POWER(Upgrades!$P$13,E136)*POWER(Upgrades!$P$14,F136)*POWER(Upgrades!$P$15,G136)*POWER(Upgrades!$P$16,H136)*POWER(Upgrades!$P$17,I136)*POWER(Upgrades!$P$18,J136)*POWER(Upgrades!$P$19,K136)*POWER(Upgrades!$P$20,L136)*POWER(Upgrades!$P$21,M136)*$F$6)*0.05)/AN136,0)</f>
        <v/>
      </c>
      <c r="BC136" s="32">
        <f>IFERROR((Upgrades!$H$17*(POWER(Upgrades!$P$13,E136)*POWER(Upgrades!$P$14,F136)*POWER(Upgrades!$P$15,G136)*POWER(Upgrades!$P$16,H136)*POWER(Upgrades!$P$17,I136)*POWER(Upgrades!$P$18,J136)*POWER(Upgrades!$P$19,K136)*POWER(Upgrades!$P$20,L136)*POWER(Upgrades!$P$21,M136))*(IF(Upgrades!$T$13="Brown Dwarf",POWER(Upgrades!$U$13,E136),1)*IF(Upgrades!$T$14="Brown Dwarf",POWER(Upgrades!$U$14,F136),1)*IF(Upgrades!$T$15="Brown Dwarf",POWER(Upgrades!$U$15,G136),1)*IF(Upgrades!$T$16="Brown Dwarf",POWER(Upgrades!$U$16,H136),1)*IF(Upgrades!$T$18="Brown Dwarf",POWER(Upgrades!$U$18,J136),1)*IF(Upgrades!$T$19="Brown Dwarf",POWER(Upgrades!$U$19,K136),1)*IF(Upgrades!$T$20="Brown Dwarf",POWER(Upgrades!$U$20,L136),1)*IF(Upgrades!$T$21="Brown Dwarf",POWER(Upgrades!$U$21,M136),1))*$F$6+(((IF(H136=0,0,(Upgrades!$M$16+H136*Upgrades!$N$16)*POWER(Upgrades!$O$16,H136)))*(IF(Upgrades!$T$13="Roche Lobe Overflow",POWER(Upgrades!$U$13,E136),1)*IF(Upgrades!$T$14="Roche Lobe Overflow",POWER(Upgrades!$U$14,F136),1)*IF(Upgrades!$T$15="Roche Lobe Overflow",POWER(Upgrades!$U$15,G136),1)*IF(Upgrades!$T$17="Roche Lobe Overflow",POWER(Upgrades!$U$17,I136),1)*IF(Upgrades!$T$18="Roche Lobe Overflow",POWER(Upgrades!$U$18,J136),1)*IF(Upgrades!$T$19="Roche Lobe Overflow",POWER(Upgrades!$U$19,K136),1)*IF(Upgrades!$T$20="Roche Lobe Overflow",POWER(Upgrades!$U$20,L136),1)*IF(Upgrades!$T$21="Roche Lobe Overflow",POWER(Upgrades!$U$21,M136),1))*POWER(Upgrades!$R$13,E136)*POWER(Upgrades!$R$14,F136)*POWER(Upgrades!$R$15,G136)*POWER(Upgrades!$R$16,H136)*POWER(Upgrades!$R$17,I136)*POWER(Upgrades!$R$18,J136)*POWER(Upgrades!$R$19,K136)*POWER(Upgrades!$R$20,L136)*POWER(Upgrades!$R$21,M136)*$H$6)*O136)*0.10)/AO136,0)</f>
        <v/>
      </c>
      <c r="BD136" s="32">
        <f>MAX(IF(J136&gt;0,0,IFERROR(0.5*((IF(G136=0,0,(Upgrades!$J$15+G136*Upgrades!$K$15)*POWER(Upgrades!$L$15,G136)))*(IF(Upgrades!$T$13="Microlensing",POWER(Upgrades!$U$13,E136),1)*IF(Upgrades!$T$14="Microlensing",POWER(Upgrades!$U$14,F136),1)*IF(Upgrades!$T$16="Microlensing",POWER(Upgrades!$U$16,H136),1)*IF(Upgrades!$T$17="Microlensing",POWER(Upgrades!$U$17,I136),1)*IF(Upgrades!$T$18="Microlensing",POWER(Upgrades!$U$18,J136),1)*IF(Upgrades!$T$19="Microlensing",POWER(Upgrades!$U$19,K136),1)*IF(Upgrades!$T$20="Microlensing",POWER(Upgrades!$U$20,L136),1)*IF(Upgrades!$T$21="Microlensing",POWER(Upgrades!$U$21,M136),1))*(POWER(Upgrades!$Q$13,E136)*POWER(Upgrades!$Q$14,F136)*POWER(Upgrades!$Q$15,G136)*POWER(Upgrades!$Q$16,H136)*POWER(Upgrades!$Q$17,I136)*POWER(Upgrades!$Q$18,J136)*POWER(Upgrades!$Q$19,K136)*POWER(Upgrades!$Q$20,L136)*POWER(Upgrades!$Q$21,M136))*$G$6*(Parameters!$B$10/60*Parameters!$B$11+Q136))/Upgrades!$C$18,0)),IF(K136&gt;0,0,IFERROR(0.30*P136/Upgrades!$C$19,0)),IF(L136&gt;0,0,IFERROR(0.0001/Upgrades!$C$20,0)),IF(M136&gt;0,0,IFERROR((6.0*(POWER(Upgrades!$P$13,E136)*POWER(Upgrades!$P$14,F136)*POWER(Upgrades!$P$15,G136)*POWER(Upgrades!$P$16,H136)*POWER(Upgrades!$P$17,I136)*POWER(Upgrades!$P$18,J136)*POWER(Upgrades!$P$19,K136)*POWER(Upgrades!$P$20,L136)*POWER(Upgrades!$P$21,M136))*$F$6+0.20*O136*(Parameters!$B$10/60*Parameters!$B$11+Q136))/Upgrades!$C$21,0)),IF(AND(ISNUMBER(AK136),AK136&gt;(C136+T136)),AY136,0),IF(AND(ISNUMBER(AL136),AL136&gt;(C136+T136)),AZ136,0),IF(AND(ISNUMBER(AM136),AM136&gt;(C136+T136)),BA136,0),IF(AND(ISNUMBER(AN136),AN136&gt;(C136+T136)),BB136,0),IF(AND(ISNUMBER(AO136),AO136&gt;(C136+T136)),BC136,0))</f>
        <v/>
      </c>
      <c r="BE136" s="29">
        <f>IF(AT136=1,"transition",IF(MIN(IF(AND(J136=0,ISNUMBER(AP136),AP136&lt;=(C136+T136)),AP136,9E15),IF(AND(K136=0,ISNUMBER(AQ136),AQ136&lt;=(C136+T136)),AQ136,9E15),IF(AND(L136=0,ISNUMBER(AR136),AR136&lt;=(C136+T136)),AR136,9E15),IF(AND(M136=0,ISNUMBER(AS136),AS136&lt;=(C136+T136)),AS136,9E15))&lt;9E15,IF(AND(AND(J136=0,ISNUMBER(AP136),AP136&lt;=(C136+T136)),AP136=MIN(IF(AND(J136=0,ISNUMBER(AP136),AP136&lt;=(C136+T136)),AP136,9E15),IF(AND(K136=0,ISNUMBER(AQ136),AQ136&lt;=(C136+T136)),AQ136,9E15),IF(AND(L136=0,ISNUMBER(AR136),AR136&lt;=(C136+T136)),AR136,9E15),IF(AND(M136=0,ISNUMBER(AS136),AS136&lt;=(C136+T136)),AS136,9E15))),"BiP",IF(AND(AND(K136=0,ISNUMBER(AQ136),AQ136&lt;=(C136+T136)),AQ136=MIN(IF(AND(J136=0,ISNUMBER(AP136),AP136&lt;=(C136+T136)),AP136,9E15),IF(AND(K136=0,ISNUMBER(AQ136),AQ136&lt;=(C136+T136)),AQ136,9E15),IF(AND(L136=0,ISNUMBER(AR136),AR136&lt;=(C136+T136)),AR136,9E15),IF(AND(M136=0,ISNUMBER(AS136),AS136&lt;=(C136+T136)),AS136,9E15))),"PV",IF(AND(AND(L136=0,ISNUMBER(AR136),AR136&lt;=(C136+T136)),AR136=MIN(IF(AND(J136=0,ISNUMBER(AP136),AP136&lt;=(C136+T136)),AP136,9E15),IF(AND(K136=0,ISNUMBER(AQ136),AQ136&lt;=(C136+T136)),AQ136,9E15),IF(AND(L136=0,ISNUMBER(AR136),AR136&lt;=(C136+T136)),AR136,9E15),IF(AND(M136=0,ISNUMBER(AS136),AS136&lt;=(C136+T136)),AS136,9E15))),"OC","MG"))),IF(AX136=TRUE,"",IF(MAX(IF(AND(NOT(AND(AU136=1,AT136&lt;&gt;1)),ISNUMBER(AK136),AK136&lt;=(C136+T136)),AY136,0),IF(AND(NOT(AND(AU136=1,AT136&lt;&gt;1)),ISNUMBER(AL136),AL136&lt;=(C136+T136)),AZ136,0),IF(AND(NOT(AND(AU136=1,AT136&lt;&gt;1)),ISNUMBER(AM136),AM136&lt;=(C136+T136)),BA136,0),IF(AND(NOT(AND(AU136=1,AT136&lt;&gt;1)),ISNUMBER(AN136),AN136&lt;=(C136+T136)),BB136,0),IF(AND(ISNUMBER(AO136),AO136&lt;=(C136+T136)),BC136,0))&lt;=0,"",IF(AND(IF(AND(NOT(AND(AU136=1,AT136&lt;&gt;1)),ISNUMBER(AK136),AK136&lt;=(C136+T136)),AY136,0)&gt;0,IF(AND(NOT(AND(AU136=1,AT136&lt;&gt;1)),ISNUMBER(AK136),AK136&lt;=(C136+T136)),AY136,0)=MAX(IF(AND(NOT(AND(AU136=1,AT136&lt;&gt;1)),ISNUMBER(AK136),AK136&lt;=(C136+T136)),AY136,0),IF(AND(NOT(AND(AU136=1,AT136&lt;&gt;1)),ISNUMBER(AL136),AL136&lt;=(C136+T136)),AZ136,0),IF(AND(NOT(AND(AU136=1,AT136&lt;&gt;1)),ISNUMBER(AM136),AM136&lt;=(C136+T136)),BA136,0),IF(AND(NOT(AND(AU136=1,AT136&lt;&gt;1)),ISNUMBER(AN136),AN136&lt;=(C136+T136)),BB136,0),IF(AND(ISNUMBER(AO136),AO136&lt;=(C136+T136)),BC136,0))),"SK",IF(AND(IF(AND(NOT(AND(AU136=1,AT136&lt;&gt;1)),ISNUMBER(AL136),AL136&lt;=(C136+T136)),AZ136,0)&gt;0,IF(AND(NOT(AND(AU136=1,AT136&lt;&gt;1)),ISNUMBER(AL136),AL136&lt;=(C136+T136)),AZ136,0)=MAX(IF(AND(NOT(AND(AU136=1,AT136&lt;&gt;1)),ISNUMBER(AK136),AK136&lt;=(C136+T136)),AY136,0),IF(AND(NOT(AND(AU136=1,AT136&lt;&gt;1)),ISNUMBER(AL136),AL136&lt;=(C136+T136)),AZ136,0),IF(AND(NOT(AND(AU136=1,AT136&lt;&gt;1)),ISNUMBER(AM136),AM136&lt;=(C136+T136)),BA136,0),IF(AND(NOT(AND(AU136=1,AT136&lt;&gt;1)),ISNUMBER(AN136),AN136&lt;=(C136+T136)),BB136,0),IF(AND(ISNUMBER(AO136),AO136&lt;=(C136+T136)),BC136,0))),"LB",IF(AND(IF(AND(NOT(AND(AU136=1,AT136&lt;&gt;1)),ISNUMBER(AM136),AM136&lt;=(C136+T136)),BA136,0)&gt;0,IF(AND(NOT(AND(AU136=1,AT136&lt;&gt;1)),ISNUMBER(AM136),AM136&lt;=(C136+T136)),BA136,0)=MAX(IF(AND(NOT(AND(AU136=1,AT136&lt;&gt;1)),ISNUMBER(AK136),AK136&lt;=(C136+T136)),AY136,0),IF(AND(NOT(AND(AU136=1,AT136&lt;&gt;1)),ISNUMBER(AL136),AL136&lt;=(C136+T136)),AZ136,0),IF(AND(NOT(AND(AU136=1,AT136&lt;&gt;1)),ISNUMBER(AM136),AM136&lt;=(C136+T136)),BA136,0),IF(AND(NOT(AND(AU136=1,AT136&lt;&gt;1)),ISNUMBER(AN136),AN136&lt;=(C136+T136)),BB136,0),IF(AND(ISNUMBER(AO136),AO136&lt;=(C136+T136)),BC136,0))),"ML",IF(AND(IF(AND(NOT(AND(AU136=1,AT136&lt;&gt;1)),ISNUMBER(AN136),AN136&lt;=(C136+T136)),BB136,0)&gt;0,IF(AND(NOT(AND(AU136=1,AT136&lt;&gt;1)),ISNUMBER(AN136),AN136&lt;=(C136+T136)),BB136,0)=MAX(IF(AND(NOT(AND(AU136=1,AT136&lt;&gt;1)),ISNUMBER(AK136),AK136&lt;=(C136+T136)),AY136,0),IF(AND(NOT(AND(AU136=1,AT136&lt;&gt;1)),ISNUMBER(AL136),AL136&lt;=(C136+T136)),AZ136,0),IF(AND(NOT(AND(AU136=1,AT136&lt;&gt;1)),ISNUMBER(AM136),AM136&lt;=(C136+T136)),BA136,0),IF(AND(NOT(AND(AU136=1,AT136&lt;&gt;1)),ISNUMBER(AN136),AN136&lt;=(C136+T136)),BB136,0),IF(AND(ISNUMBER(AO136),AO136&lt;=(C136+T136)),BC136,0))),"RLO","BD"))))))))</f>
        <v/>
      </c>
    </row>
    <row r="137">
      <c r="A137" s="26" t="n">
        <v>126</v>
      </c>
      <c r="B137" s="27">
        <f>A137*10/60</f>
        <v/>
      </c>
      <c r="C137" s="22">
        <f>X136</f>
        <v/>
      </c>
      <c r="D137" s="27">
        <f>D136+W136</f>
        <v/>
      </c>
      <c r="E137" s="26">
        <f>E136+IF(U136="SK",1,0)</f>
        <v/>
      </c>
      <c r="F137" s="26">
        <f>F136+IF(U136="LB",1,0)</f>
        <v/>
      </c>
      <c r="G137" s="26">
        <f>G136+IF(U136="ML",1,0)</f>
        <v/>
      </c>
      <c r="H137" s="26">
        <f>H136+IF(U136="RLO",1,0)</f>
        <v/>
      </c>
      <c r="I137" s="26">
        <f>I136+IF(U136="BD",1,0)</f>
        <v/>
      </c>
      <c r="J137" s="26">
        <f>MAX(J136,IF(U136="BiP",1,0))</f>
        <v/>
      </c>
      <c r="K137" s="26">
        <f>MAX(K136,IF(U136="PV",1,0))</f>
        <v/>
      </c>
      <c r="L137" s="26">
        <f>MAX(L136,IF(U136="OC",1,0))</f>
        <v/>
      </c>
      <c r="M137" s="26">
        <f>MAX(M136,IF(U136="MG",1,0))</f>
        <v/>
      </c>
      <c r="N137" s="26">
        <f>MAX(N136,IF(U136="transition",1,0))</f>
        <v/>
      </c>
      <c r="O137" s="28">
        <f>(Parameters!$B$9+(IF(E137=0,0,(Upgrades!$J$13+E137*Upgrades!$K$13)*POWER(Upgrades!$L$13,E137)))*(IF(Upgrades!$T$14="Stellar Kinematics",POWER(Upgrades!$U$14,F137),1)*IF(Upgrades!$T$15="Stellar Kinematics",POWER(Upgrades!$U$15,G137),1)*IF(Upgrades!$T$16="Stellar Kinematics",POWER(Upgrades!$U$16,H137),1)*IF(Upgrades!$T$17="Stellar Kinematics",POWER(Upgrades!$U$17,I137),1)*IF(Upgrades!$T$18="Stellar Kinematics",POWER(Upgrades!$U$18,J137),1)*IF(Upgrades!$T$19="Stellar Kinematics",POWER(Upgrades!$U$19,K137),1)*IF(Upgrades!$T$20="Stellar Kinematics",POWER(Upgrades!$U$20,L137),1)*IF(Upgrades!$T$21="Stellar Kinematics",POWER(Upgrades!$U$21,M137),1))+(IF(F137=0,0,(Upgrades!$J$14+F137*Upgrades!$K$14)*POWER(Upgrades!$L$14,F137)))*(IF(Upgrades!$T$13="Local Bubble",POWER(Upgrades!$U$13,E137),1)*IF(Upgrades!$T$15="Local Bubble",POWER(Upgrades!$U$15,G137),1)*IF(Upgrades!$T$16="Local Bubble",POWER(Upgrades!$U$16,H137),1)*IF(Upgrades!$T$17="Local Bubble",POWER(Upgrades!$U$17,I137),1)*IF(Upgrades!$T$18="Local Bubble",POWER(Upgrades!$U$18,J137),1)*IF(Upgrades!$T$19="Local Bubble",POWER(Upgrades!$U$19,K137),1)*IF(Upgrades!$T$20="Local Bubble",POWER(Upgrades!$U$20,L137),1)*IF(Upgrades!$T$21="Local Bubble",POWER(Upgrades!$U$21,M137),1))+(IF(G137=0,0,(Upgrades!$J$15+G137*Upgrades!$K$15)*POWER(Upgrades!$L$15,G137)))*(IF(Upgrades!$T$13="Microlensing",POWER(Upgrades!$U$13,E137),1)*IF(Upgrades!$T$14="Microlensing",POWER(Upgrades!$U$14,F137),1)*IF(Upgrades!$T$16="Microlensing",POWER(Upgrades!$U$16,H137),1)*IF(Upgrades!$T$17="Microlensing",POWER(Upgrades!$U$17,I137),1)*IF(Upgrades!$T$18="Microlensing",POWER(Upgrades!$U$18,J137),1)*IF(Upgrades!$T$19="Microlensing",POWER(Upgrades!$U$19,K137),1)*IF(Upgrades!$T$20="Microlensing",POWER(Upgrades!$U$20,L137),1)*IF(Upgrades!$T$21="Microlensing",POWER(Upgrades!$U$21,M137),1))+(IF(H137=0,0,(Upgrades!$J$16+H137*Upgrades!$K$16)*POWER(Upgrades!$L$16,H137)))*(IF(Upgrades!$T$13="Roche Lobe Overflow",POWER(Upgrades!$U$13,E137),1)*IF(Upgrades!$T$14="Roche Lobe Overflow",POWER(Upgrades!$U$14,F137),1)*IF(Upgrades!$T$15="Roche Lobe Overflow",POWER(Upgrades!$U$15,G137),1)*IF(Upgrades!$T$17="Roche Lobe Overflow",POWER(Upgrades!$U$17,I137),1)*IF(Upgrades!$T$18="Roche Lobe Overflow",POWER(Upgrades!$U$18,J137),1)*IF(Upgrades!$T$19="Roche Lobe Overflow",POWER(Upgrades!$U$19,K137),1)*IF(Upgrades!$T$20="Roche Lobe Overflow",POWER(Upgrades!$U$20,L137),1)*IF(Upgrades!$T$21="Roche Lobe Overflow",POWER(Upgrades!$U$21,M137),1))+(IF(I137=0,0,(Upgrades!$J$17+I137*Upgrades!$K$17)*POWER(Upgrades!$L$17,I137)))*(IF(Upgrades!$T$13="Brown Dwarf",POWER(Upgrades!$U$13,E137),1)*IF(Upgrades!$T$14="Brown Dwarf",POWER(Upgrades!$U$14,F137),1)*IF(Upgrades!$T$15="Brown Dwarf",POWER(Upgrades!$U$15,G137),1)*IF(Upgrades!$T$16="Brown Dwarf",POWER(Upgrades!$U$16,H137),1)*IF(Upgrades!$T$18="Brown Dwarf",POWER(Upgrades!$U$18,J137),1)*IF(Upgrades!$T$19="Brown Dwarf",POWER(Upgrades!$U$19,K137),1)*IF(Upgrades!$T$20="Brown Dwarf",POWER(Upgrades!$U$20,L137),1)*IF(Upgrades!$T$21="Brown Dwarf",POWER(Upgrades!$U$21,M137),1))+(IF(J137=0,0,(Upgrades!$J$18+J137*Upgrades!$K$18)*POWER(Upgrades!$L$18,J137)))*(IF(Upgrades!$T$13="Binary Partner",POWER(Upgrades!$U$13,E137),1)*IF(Upgrades!$T$14="Binary Partner",POWER(Upgrades!$U$14,F137),1)*IF(Upgrades!$T$15="Binary Partner",POWER(Upgrades!$U$15,G137),1)*IF(Upgrades!$T$16="Binary Partner",POWER(Upgrades!$U$16,H137),1)*IF(Upgrades!$T$17="Binary Partner",POWER(Upgrades!$U$17,I137),1)*IF(Upgrades!$T$19="Binary Partner",POWER(Upgrades!$U$19,K137),1)*IF(Upgrades!$T$20="Binary Partner",POWER(Upgrades!$U$20,L137),1)*IF(Upgrades!$T$21="Binary Partner",POWER(Upgrades!$U$21,M137),1))+(IF(K137=0,0,(Upgrades!$J$19+K137*Upgrades!$K$19)*POWER(Upgrades!$L$19,K137)))*(IF(Upgrades!$T$13="Peculiar Velocity",POWER(Upgrades!$U$13,E137),1)*IF(Upgrades!$T$14="Peculiar Velocity",POWER(Upgrades!$U$14,F137),1)*IF(Upgrades!$T$15="Peculiar Velocity",POWER(Upgrades!$U$15,G137),1)*IF(Upgrades!$T$16="Peculiar Velocity",POWER(Upgrades!$U$16,H137),1)*IF(Upgrades!$T$17="Peculiar Velocity",POWER(Upgrades!$U$17,I137),1)*IF(Upgrades!$T$18="Peculiar Velocity",POWER(Upgrades!$U$18,J137),1)*IF(Upgrades!$T$20="Peculiar Velocity",POWER(Upgrades!$U$20,L137),1)*IF(Upgrades!$T$21="Peculiar Velocity",POWER(Upgrades!$U$21,M137),1))+(IF(L137=0,0,(Upgrades!$J$20+L137*Upgrades!$K$20)*POWER(Upgrades!$L$20,L137)))*(IF(Upgrades!$T$13="Open Cluster",POWER(Upgrades!$U$13,E137),1)*IF(Upgrades!$T$14="Open Cluster",POWER(Upgrades!$U$14,F137),1)*IF(Upgrades!$T$15="Open Cluster",POWER(Upgrades!$U$15,G137),1)*IF(Upgrades!$T$16="Open Cluster",POWER(Upgrades!$U$16,H137),1)*IF(Upgrades!$T$17="Open Cluster",POWER(Upgrades!$U$17,I137),1)*IF(Upgrades!$T$18="Open Cluster",POWER(Upgrades!$U$18,J137),1)*IF(Upgrades!$T$19="Open Cluster",POWER(Upgrades!$U$19,K137),1)*IF(Upgrades!$T$21="Open Cluster",POWER(Upgrades!$U$21,M137),1))+(IF(M137=0,0,(Upgrades!$J$21+M137*Upgrades!$K$21)*POWER(Upgrades!$L$21,M137)))*(IF(Upgrades!$T$13="Moving Group",POWER(Upgrades!$U$13,E137),1)*IF(Upgrades!$T$14="Moving Group",POWER(Upgrades!$U$14,F137),1)*IF(Upgrades!$T$15="Moving Group",POWER(Upgrades!$U$15,G137),1)*IF(Upgrades!$T$16="Moving Group",POWER(Upgrades!$U$16,H137),1)*IF(Upgrades!$T$17="Moving Group",POWER(Upgrades!$U$17,I137),1)*IF(Upgrades!$T$18="Moving Group",POWER(Upgrades!$U$18,J137),1)*IF(Upgrades!$T$19="Moving Group",POWER(Upgrades!$U$19,K137),1)*IF(Upgrades!$T$20="Moving Group",POWER(Upgrades!$U$20,L137),1)))*POWER(Upgrades!$Q$13,E137)*POWER(Upgrades!$Q$14,F137)*POWER(Upgrades!$Q$15,G137)*POWER(Upgrades!$Q$16,H137)*POWER(Upgrades!$Q$17,I137)*POWER(Upgrades!$Q$18,J137)*POWER(Upgrades!$Q$19,K137)*POWER(Upgrades!$Q$20,L137)*POWER(Upgrades!$Q$21,M137)*$G$6+$D$6</f>
        <v/>
      </c>
      <c r="P137" s="28">
        <f>((IF(E137=0,0,(Upgrades!$G$13+E137*Upgrades!$H$13)*POWER(Upgrades!$I$13,E137)))*(IF(Upgrades!$T$14="Stellar Kinematics",POWER(Upgrades!$U$14,F137),1)*IF(Upgrades!$T$15="Stellar Kinematics",POWER(Upgrades!$U$15,G137),1)*IF(Upgrades!$T$16="Stellar Kinematics",POWER(Upgrades!$U$16,H137),1)*IF(Upgrades!$T$17="Stellar Kinematics",POWER(Upgrades!$U$17,I137),1)*IF(Upgrades!$T$18="Stellar Kinematics",POWER(Upgrades!$U$18,J137),1)*IF(Upgrades!$T$19="Stellar Kinematics",POWER(Upgrades!$U$19,K137),1)*IF(Upgrades!$T$20="Stellar Kinematics",POWER(Upgrades!$U$20,L137),1)*IF(Upgrades!$T$21="Stellar Kinematics",POWER(Upgrades!$U$21,M137),1))+(IF(F137=0,0,(Upgrades!$G$14+F137*Upgrades!$H$14)*POWER(Upgrades!$I$14,F137)))*(IF(Upgrades!$T$13="Local Bubble",POWER(Upgrades!$U$13,E137),1)*IF(Upgrades!$T$15="Local Bubble",POWER(Upgrades!$U$15,G137),1)*IF(Upgrades!$T$16="Local Bubble",POWER(Upgrades!$U$16,H137),1)*IF(Upgrades!$T$17="Local Bubble",POWER(Upgrades!$U$17,I137),1)*IF(Upgrades!$T$18="Local Bubble",POWER(Upgrades!$U$18,J137),1)*IF(Upgrades!$T$19="Local Bubble",POWER(Upgrades!$U$19,K137),1)*IF(Upgrades!$T$20="Local Bubble",POWER(Upgrades!$U$20,L137),1)*IF(Upgrades!$T$21="Local Bubble",POWER(Upgrades!$U$21,M137),1))+(IF(G137=0,0,(Upgrades!$G$15+G137*Upgrades!$H$15)*POWER(Upgrades!$I$15,G137)))*(IF(Upgrades!$T$13="Microlensing",POWER(Upgrades!$U$13,E137),1)*IF(Upgrades!$T$14="Microlensing",POWER(Upgrades!$U$14,F137),1)*IF(Upgrades!$T$16="Microlensing",POWER(Upgrades!$U$16,H137),1)*IF(Upgrades!$T$17="Microlensing",POWER(Upgrades!$U$17,I137),1)*IF(Upgrades!$T$18="Microlensing",POWER(Upgrades!$U$18,J137),1)*IF(Upgrades!$T$19="Microlensing",POWER(Upgrades!$U$19,K137),1)*IF(Upgrades!$T$20="Microlensing",POWER(Upgrades!$U$20,L137),1)*IF(Upgrades!$T$21="Microlensing",POWER(Upgrades!$U$21,M137),1))+(IF(H137=0,0,(Upgrades!$G$16+H137*Upgrades!$H$16)*POWER(Upgrades!$I$16,H137)))*(IF(Upgrades!$T$13="Roche Lobe Overflow",POWER(Upgrades!$U$13,E137),1)*IF(Upgrades!$T$14="Roche Lobe Overflow",POWER(Upgrades!$U$14,F137),1)*IF(Upgrades!$T$15="Roche Lobe Overflow",POWER(Upgrades!$U$15,G137),1)*IF(Upgrades!$T$17="Roche Lobe Overflow",POWER(Upgrades!$U$17,I137),1)*IF(Upgrades!$T$18="Roche Lobe Overflow",POWER(Upgrades!$U$18,J137),1)*IF(Upgrades!$T$19="Roche Lobe Overflow",POWER(Upgrades!$U$19,K137),1)*IF(Upgrades!$T$20="Roche Lobe Overflow",POWER(Upgrades!$U$20,L137),1)*IF(Upgrades!$T$21="Roche Lobe Overflow",POWER(Upgrades!$U$21,M137),1))+(IF(I137=0,0,(Upgrades!$G$17+I137*Upgrades!$H$17)*POWER(Upgrades!$I$17,I137)))*(IF(Upgrades!$T$13="Brown Dwarf",POWER(Upgrades!$U$13,E137),1)*IF(Upgrades!$T$14="Brown Dwarf",POWER(Upgrades!$U$14,F137),1)*IF(Upgrades!$T$15="Brown Dwarf",POWER(Upgrades!$U$15,G137),1)*IF(Upgrades!$T$16="Brown Dwarf",POWER(Upgrades!$U$16,H137),1)*IF(Upgrades!$T$18="Brown Dwarf",POWER(Upgrades!$U$18,J137),1)*IF(Upgrades!$T$19="Brown Dwarf",POWER(Upgrades!$U$19,K137),1)*IF(Upgrades!$T$20="Brown Dwarf",POWER(Upgrades!$U$20,L137),1)*IF(Upgrades!$T$21="Brown Dwarf",POWER(Upgrades!$U$21,M137),1))+(IF(J137=0,0,(Upgrades!$G$18+J137*Upgrades!$H$18)*POWER(Upgrades!$I$18,J137)))*(IF(Upgrades!$T$13="Binary Partner",POWER(Upgrades!$U$13,E137),1)*IF(Upgrades!$T$14="Binary Partner",POWER(Upgrades!$U$14,F137),1)*IF(Upgrades!$T$15="Binary Partner",POWER(Upgrades!$U$15,G137),1)*IF(Upgrades!$T$16="Binary Partner",POWER(Upgrades!$U$16,H137),1)*IF(Upgrades!$T$17="Binary Partner",POWER(Upgrades!$U$17,I137),1)*IF(Upgrades!$T$19="Binary Partner",POWER(Upgrades!$U$19,K137),1)*IF(Upgrades!$T$20="Binary Partner",POWER(Upgrades!$U$20,L137),1)*IF(Upgrades!$T$21="Binary Partner",POWER(Upgrades!$U$21,M137),1))+(IF(K137=0,0,(Upgrades!$G$19+K137*Upgrades!$H$19)*POWER(Upgrades!$I$19,K137)))*(IF(Upgrades!$T$13="Peculiar Velocity",POWER(Upgrades!$U$13,E137),1)*IF(Upgrades!$T$14="Peculiar Velocity",POWER(Upgrades!$U$14,F137),1)*IF(Upgrades!$T$15="Peculiar Velocity",POWER(Upgrades!$U$15,G137),1)*IF(Upgrades!$T$16="Peculiar Velocity",POWER(Upgrades!$U$16,H137),1)*IF(Upgrades!$T$17="Peculiar Velocity",POWER(Upgrades!$U$17,I137),1)*IF(Upgrades!$T$18="Peculiar Velocity",POWER(Upgrades!$U$18,J137),1)*IF(Upgrades!$T$20="Peculiar Velocity",POWER(Upgrades!$U$20,L137),1)*IF(Upgrades!$T$21="Peculiar Velocity",POWER(Upgrades!$U$21,M137),1))+(IF(L137=0,0,(Upgrades!$G$20+L137*Upgrades!$H$20)*POWER(Upgrades!$I$20,L137)))*(IF(Upgrades!$T$13="Open Cluster",POWER(Upgrades!$U$13,E137),1)*IF(Upgrades!$T$14="Open Cluster",POWER(Upgrades!$U$14,F137),1)*IF(Upgrades!$T$15="Open Cluster",POWER(Upgrades!$U$15,G137),1)*IF(Upgrades!$T$16="Open Cluster",POWER(Upgrades!$U$16,H137),1)*IF(Upgrades!$T$17="Open Cluster",POWER(Upgrades!$U$17,I137),1)*IF(Upgrades!$T$18="Open Cluster",POWER(Upgrades!$U$18,J137),1)*IF(Upgrades!$T$19="Open Cluster",POWER(Upgrades!$U$19,K137),1)*IF(Upgrades!$T$21="Open Cluster",POWER(Upgrades!$U$21,M137),1))+(IF(M137=0,0,(Upgrades!$G$21+M137*Upgrades!$H$21)*POWER(Upgrades!$I$21,M137)))*(IF(Upgrades!$T$13="Moving Group",POWER(Upgrades!$U$13,E137),1)*IF(Upgrades!$T$14="Moving Group",POWER(Upgrades!$U$14,F137),1)*IF(Upgrades!$T$15="Moving Group",POWER(Upgrades!$U$15,G137),1)*IF(Upgrades!$T$16="Moving Group",POWER(Upgrades!$U$16,H137),1)*IF(Upgrades!$T$17="Moving Group",POWER(Upgrades!$U$17,I137),1)*IF(Upgrades!$T$18="Moving Group",POWER(Upgrades!$U$18,J137),1)*IF(Upgrades!$T$19="Moving Group",POWER(Upgrades!$U$19,K137),1)*IF(Upgrades!$T$20="Moving Group",POWER(Upgrades!$U$20,L137),1)))*POWER(Upgrades!$P$13,E137)*POWER(Upgrades!$P$14,F137)*POWER(Upgrades!$P$15,G137)*POWER(Upgrades!$P$16,H137)*POWER(Upgrades!$P$17,I137)*POWER(Upgrades!$P$18,J137)*POWER(Upgrades!$P$19,K137)*POWER(Upgrades!$P$20,L137)*POWER(Upgrades!$P$21,M137)*$F$6+$C$6</f>
        <v/>
      </c>
      <c r="Q137" s="28">
        <f>((IF(E137=0,0,(Upgrades!$M$13+E137*Upgrades!$N$13)*POWER(Upgrades!$O$13,E137)))*(IF(Upgrades!$T$14="Stellar Kinematics",POWER(Upgrades!$U$14,F137),1)*IF(Upgrades!$T$15="Stellar Kinematics",POWER(Upgrades!$U$15,G137),1)*IF(Upgrades!$T$16="Stellar Kinematics",POWER(Upgrades!$U$16,H137),1)*IF(Upgrades!$T$17="Stellar Kinematics",POWER(Upgrades!$U$17,I137),1)*IF(Upgrades!$T$18="Stellar Kinematics",POWER(Upgrades!$U$18,J137),1)*IF(Upgrades!$T$19="Stellar Kinematics",POWER(Upgrades!$U$19,K137),1)*IF(Upgrades!$T$20="Stellar Kinematics",POWER(Upgrades!$U$20,L137),1)*IF(Upgrades!$T$21="Stellar Kinematics",POWER(Upgrades!$U$21,M137),1))+(IF(F137=0,0,(Upgrades!$M$14+F137*Upgrades!$N$14)*POWER(Upgrades!$O$14,F137)))*(IF(Upgrades!$T$13="Local Bubble",POWER(Upgrades!$U$13,E137),1)*IF(Upgrades!$T$15="Local Bubble",POWER(Upgrades!$U$15,G137),1)*IF(Upgrades!$T$16="Local Bubble",POWER(Upgrades!$U$16,H137),1)*IF(Upgrades!$T$17="Local Bubble",POWER(Upgrades!$U$17,I137),1)*IF(Upgrades!$T$18="Local Bubble",POWER(Upgrades!$U$18,J137),1)*IF(Upgrades!$T$19="Local Bubble",POWER(Upgrades!$U$19,K137),1)*IF(Upgrades!$T$20="Local Bubble",POWER(Upgrades!$U$20,L137),1)*IF(Upgrades!$T$21="Local Bubble",POWER(Upgrades!$U$21,M137),1))+(IF(G137=0,0,(Upgrades!$M$15+G137*Upgrades!$N$15)*POWER(Upgrades!$O$15,G137)))*(IF(Upgrades!$T$13="Microlensing",POWER(Upgrades!$U$13,E137),1)*IF(Upgrades!$T$14="Microlensing",POWER(Upgrades!$U$14,F137),1)*IF(Upgrades!$T$16="Microlensing",POWER(Upgrades!$U$16,H137),1)*IF(Upgrades!$T$17="Microlensing",POWER(Upgrades!$U$17,I137),1)*IF(Upgrades!$T$18="Microlensing",POWER(Upgrades!$U$18,J137),1)*IF(Upgrades!$T$19="Microlensing",POWER(Upgrades!$U$19,K137),1)*IF(Upgrades!$T$20="Microlensing",POWER(Upgrades!$U$20,L137),1)*IF(Upgrades!$T$21="Microlensing",POWER(Upgrades!$U$21,M137),1))+(IF(H137=0,0,(Upgrades!$M$16+H137*Upgrades!$N$16)*POWER(Upgrades!$O$16,H137)))*(IF(Upgrades!$T$13="Roche Lobe Overflow",POWER(Upgrades!$U$13,E137),1)*IF(Upgrades!$T$14="Roche Lobe Overflow",POWER(Upgrades!$U$14,F137),1)*IF(Upgrades!$T$15="Roche Lobe Overflow",POWER(Upgrades!$U$15,G137),1)*IF(Upgrades!$T$17="Roche Lobe Overflow",POWER(Upgrades!$U$17,I137),1)*IF(Upgrades!$T$18="Roche Lobe Overflow",POWER(Upgrades!$U$18,J137),1)*IF(Upgrades!$T$19="Roche Lobe Overflow",POWER(Upgrades!$U$19,K137),1)*IF(Upgrades!$T$20="Roche Lobe Overflow",POWER(Upgrades!$U$20,L137),1)*IF(Upgrades!$T$21="Roche Lobe Overflow",POWER(Upgrades!$U$21,M137),1))+(IF(I137=0,0,(Upgrades!$M$17+I137*Upgrades!$N$17)*POWER(Upgrades!$O$17,I137)))*(IF(Upgrades!$T$13="Brown Dwarf",POWER(Upgrades!$U$13,E137),1)*IF(Upgrades!$T$14="Brown Dwarf",POWER(Upgrades!$U$14,F137),1)*IF(Upgrades!$T$15="Brown Dwarf",POWER(Upgrades!$U$15,G137),1)*IF(Upgrades!$T$16="Brown Dwarf",POWER(Upgrades!$U$16,H137),1)*IF(Upgrades!$T$18="Brown Dwarf",POWER(Upgrades!$U$18,J137),1)*IF(Upgrades!$T$19="Brown Dwarf",POWER(Upgrades!$U$19,K137),1)*IF(Upgrades!$T$20="Brown Dwarf",POWER(Upgrades!$U$20,L137),1)*IF(Upgrades!$T$21="Brown Dwarf",POWER(Upgrades!$U$21,M137),1))+(IF(J137=0,0,(Upgrades!$M$18+J137*Upgrades!$N$18)*POWER(Upgrades!$O$18,J137)))*(IF(Upgrades!$T$13="Binary Partner",POWER(Upgrades!$U$13,E137),1)*IF(Upgrades!$T$14="Binary Partner",POWER(Upgrades!$U$14,F137),1)*IF(Upgrades!$T$15="Binary Partner",POWER(Upgrades!$U$15,G137),1)*IF(Upgrades!$T$16="Binary Partner",POWER(Upgrades!$U$16,H137),1)*IF(Upgrades!$T$17="Binary Partner",POWER(Upgrades!$U$17,I137),1)*IF(Upgrades!$T$19="Binary Partner",POWER(Upgrades!$U$19,K137),1)*IF(Upgrades!$T$20="Binary Partner",POWER(Upgrades!$U$20,L137),1)*IF(Upgrades!$T$21="Binary Partner",POWER(Upgrades!$U$21,M137),1))+(IF(K137=0,0,(Upgrades!$M$19+K137*Upgrades!$N$19)*POWER(Upgrades!$O$19,K137)))*(IF(Upgrades!$T$13="Peculiar Velocity",POWER(Upgrades!$U$13,E137),1)*IF(Upgrades!$T$14="Peculiar Velocity",POWER(Upgrades!$U$14,F137),1)*IF(Upgrades!$T$15="Peculiar Velocity",POWER(Upgrades!$U$15,G137),1)*IF(Upgrades!$T$16="Peculiar Velocity",POWER(Upgrades!$U$16,H137),1)*IF(Upgrades!$T$17="Peculiar Velocity",POWER(Upgrades!$U$17,I137),1)*IF(Upgrades!$T$18="Peculiar Velocity",POWER(Upgrades!$U$18,J137),1)*IF(Upgrades!$T$20="Peculiar Velocity",POWER(Upgrades!$U$20,L137),1)*IF(Upgrades!$T$21="Peculiar Velocity",POWER(Upgrades!$U$21,M137),1))+(IF(L137=0,0,(Upgrades!$M$20+L137*Upgrades!$N$20)*POWER(Upgrades!$O$20,L137)))*(IF(Upgrades!$T$13="Open Cluster",POWER(Upgrades!$U$13,E137),1)*IF(Upgrades!$T$14="Open Cluster",POWER(Upgrades!$U$14,F137),1)*IF(Upgrades!$T$15="Open Cluster",POWER(Upgrades!$U$15,G137),1)*IF(Upgrades!$T$16="Open Cluster",POWER(Upgrades!$U$16,H137),1)*IF(Upgrades!$T$17="Open Cluster",POWER(Upgrades!$U$17,I137),1)*IF(Upgrades!$T$18="Open Cluster",POWER(Upgrades!$U$18,J137),1)*IF(Upgrades!$T$19="Open Cluster",POWER(Upgrades!$U$19,K137),1)*IF(Upgrades!$T$21="Open Cluster",POWER(Upgrades!$U$21,M137),1))+(IF(M137=0,0,(Upgrades!$M$21+M137*Upgrades!$N$21)*POWER(Upgrades!$O$21,M137)))*(IF(Upgrades!$T$13="Moving Group",POWER(Upgrades!$U$13,E137),1)*IF(Upgrades!$T$14="Moving Group",POWER(Upgrades!$U$14,F137),1)*IF(Upgrades!$T$15="Moving Group",POWER(Upgrades!$U$15,G137),1)*IF(Upgrades!$T$16="Moving Group",POWER(Upgrades!$U$16,H137),1)*IF(Upgrades!$T$17="Moving Group",POWER(Upgrades!$U$17,I137),1)*IF(Upgrades!$T$18="Moving Group",POWER(Upgrades!$U$18,J137),1)*IF(Upgrades!$T$19="Moving Group",POWER(Upgrades!$U$19,K137),1)*IF(Upgrades!$T$20="Moving Group",POWER(Upgrades!$U$20,L137),1)))*POWER(Upgrades!$R$13,E137)*POWER(Upgrades!$R$14,F137)*POWER(Upgrades!$R$15,G137)*POWER(Upgrades!$R$16,H137)*POWER(Upgrades!$R$17,I137)*POWER(Upgrades!$R$18,J137)*POWER(Upgrades!$R$19,K137)*POWER(Upgrades!$R$20,L137)*POWER(Upgrades!$R$21,M137)*$H$6+$E$6</f>
        <v/>
      </c>
      <c r="R137" s="27">
        <f>IF(N137=1,0,O137*Parameters!$B$10/60*Parameters!$B$11*10)</f>
        <v/>
      </c>
      <c r="S137" s="27">
        <f>IF(N137=1,0,Q137*O137*10)</f>
        <v/>
      </c>
      <c r="T137" s="27">
        <f>IF(N137=1,0,R137+S137+P137*10)</f>
        <v/>
      </c>
      <c r="U137" s="33">
        <f>BE137</f>
        <v/>
      </c>
      <c r="V137" s="22">
        <f>IF(U137="",0,IF(U137="transition",0,IF(U137="SK",AK137,IF(U137="LB",AL137,IF(U137="ML",AM137,IF(U137="RLO",AN137,IF(U137="BD",AO137,IF(U137="BiP",AP137,IF(U137="PV",AQ137,IF(U137="OC",AR137,IF(U137="MG",AS137,0))))))))))</f>
        <v/>
      </c>
      <c r="W137" s="27">
        <f>IF(U137="BiP",Upgrades!$F$18,IF(U137="PV",Upgrades!$F$19,IF(U137="OC",Upgrades!$F$20,IF(U137="MG",Upgrades!$F$21,IF(U137="transition",-Parameters!$B$18*Parameters!$B$19,0)))))</f>
        <v/>
      </c>
      <c r="X137" s="22">
        <f>C137+T137-V137</f>
        <v/>
      </c>
      <c r="Y137" s="30">
        <f>O137*Parameters!$B$10/60*Parameters!$B$11+Q137*O137+P137</f>
        <v/>
      </c>
      <c r="Z137" s="34">
        <f>IF(U137="transition","→ Tier 3 (Galactic Arm)",IF(U137="MG","Moving Group — pocket drifts together",IF(U137="OC","Open Cluster acquired",IF(U137="PV","Peculiar Velocity — passive multiplier active",IF(U137="BiP","Binary Partner — pair bond formed",IF(AND(AU137=1,N137=0,AT137&lt;&gt;1),"Cohesion ready (waiting on completionists)","")))))) </f>
        <v/>
      </c>
      <c r="AA137" s="27">
        <f>(IF(E137=0,0,(Upgrades!$G$13+E137*Upgrades!$H$13)*POWER(Upgrades!$I$13,E137)))*(IF(Upgrades!$T$14="Stellar Kinematics",POWER(Upgrades!$U$14,F137),1)*IF(Upgrades!$T$15="Stellar Kinematics",POWER(Upgrades!$U$15,G137),1)*IF(Upgrades!$T$16="Stellar Kinematics",POWER(Upgrades!$U$16,H137),1)*IF(Upgrades!$T$17="Stellar Kinematics",POWER(Upgrades!$U$17,I137),1)*IF(Upgrades!$T$18="Stellar Kinematics",POWER(Upgrades!$U$18,J137),1)*IF(Upgrades!$T$19="Stellar Kinematics",POWER(Upgrades!$U$19,K137),1)*IF(Upgrades!$T$20="Stellar Kinematics",POWER(Upgrades!$U$20,L137),1)*IF(Upgrades!$T$21="Stellar Kinematics",POWER(Upgrades!$U$21,M137),1))*POWER(Upgrades!$P$13,E137)*POWER(Upgrades!$P$14,F137)*POWER(Upgrades!$P$15,G137)*POWER(Upgrades!$P$16,H137)*POWER(Upgrades!$P$17,I137)*POWER(Upgrades!$P$18,J137)*POWER(Upgrades!$P$19,K137)*POWER(Upgrades!$P$20,L137)*POWER(Upgrades!$P$21,M137)*$F$6*60</f>
        <v/>
      </c>
      <c r="AB137" s="27">
        <f>(IF(F137=0,0,(Upgrades!$G$14+F137*Upgrades!$H$14)*POWER(Upgrades!$I$14,F137)))*(IF(Upgrades!$T$13="Local Bubble",POWER(Upgrades!$U$13,E137),1)*IF(Upgrades!$T$15="Local Bubble",POWER(Upgrades!$U$15,G137),1)*IF(Upgrades!$T$16="Local Bubble",POWER(Upgrades!$U$16,H137),1)*IF(Upgrades!$T$17="Local Bubble",POWER(Upgrades!$U$17,I137),1)*IF(Upgrades!$T$18="Local Bubble",POWER(Upgrades!$U$18,J137),1)*IF(Upgrades!$T$19="Local Bubble",POWER(Upgrades!$U$19,K137),1)*IF(Upgrades!$T$20="Local Bubble",POWER(Upgrades!$U$20,L137),1)*IF(Upgrades!$T$21="Local Bubble",POWER(Upgrades!$U$21,M137),1))*POWER(Upgrades!$P$13,E137)*POWER(Upgrades!$P$14,F137)*POWER(Upgrades!$P$15,G137)*POWER(Upgrades!$P$16,H137)*POWER(Upgrades!$P$17,I137)*POWER(Upgrades!$P$18,J137)*POWER(Upgrades!$P$19,K137)*POWER(Upgrades!$P$20,L137)*POWER(Upgrades!$P$21,M137)*$F$6*60</f>
        <v/>
      </c>
      <c r="AC137" s="27">
        <f>(IF(G137=0,0,(Upgrades!$J$15+G137*Upgrades!$K$15)*POWER(Upgrades!$L$15,G137)))*(IF(Upgrades!$T$13="Microlensing",POWER(Upgrades!$U$13,E137),1)*IF(Upgrades!$T$14="Microlensing",POWER(Upgrades!$U$14,F137),1)*IF(Upgrades!$T$16="Microlensing",POWER(Upgrades!$U$16,H137),1)*IF(Upgrades!$T$17="Microlensing",POWER(Upgrades!$U$17,I137),1)*IF(Upgrades!$T$18="Microlensing",POWER(Upgrades!$U$18,J137),1)*IF(Upgrades!$T$19="Microlensing",POWER(Upgrades!$U$19,K137),1)*IF(Upgrades!$T$20="Microlensing",POWER(Upgrades!$U$20,L137),1)*IF(Upgrades!$T$21="Microlensing",POWER(Upgrades!$U$21,M137),1))*POWER(Upgrades!$Q$13,E137)*POWER(Upgrades!$Q$14,F137)*POWER(Upgrades!$Q$15,G137)*POWER(Upgrades!$Q$16,H137)*POWER(Upgrades!$Q$17,I137)*POWER(Upgrades!$Q$18,J137)*POWER(Upgrades!$Q$19,K137)*POWER(Upgrades!$Q$20,L137)*POWER(Upgrades!$Q$21,M137)*$G$6*(Parameters!$B$10*Parameters!$B$11+Q137*60)</f>
        <v/>
      </c>
      <c r="AD137" s="27">
        <f>(IF(H137=0,0,(Upgrades!$M$16+H137*Upgrades!$N$16)*POWER(Upgrades!$O$16,H137)))*(IF(Upgrades!$T$13="Roche Lobe Overflow",POWER(Upgrades!$U$13,E137),1)*IF(Upgrades!$T$14="Roche Lobe Overflow",POWER(Upgrades!$U$14,F137),1)*IF(Upgrades!$T$15="Roche Lobe Overflow",POWER(Upgrades!$U$15,G137),1)*IF(Upgrades!$T$17="Roche Lobe Overflow",POWER(Upgrades!$U$17,I137),1)*IF(Upgrades!$T$18="Roche Lobe Overflow",POWER(Upgrades!$U$18,J137),1)*IF(Upgrades!$T$19="Roche Lobe Overflow",POWER(Upgrades!$U$19,K137),1)*IF(Upgrades!$T$20="Roche Lobe Overflow",POWER(Upgrades!$U$20,L137),1)*IF(Upgrades!$T$21="Roche Lobe Overflow",POWER(Upgrades!$U$21,M137),1))*POWER(Upgrades!$R$13,E137)*POWER(Upgrades!$R$14,F137)*POWER(Upgrades!$R$15,G137)*POWER(Upgrades!$R$16,H137)*POWER(Upgrades!$R$17,I137)*POWER(Upgrades!$R$18,J137)*POWER(Upgrades!$R$19,K137)*POWER(Upgrades!$R$20,L137)*POWER(Upgrades!$R$21,M137)*$H$6*O137*60</f>
        <v/>
      </c>
      <c r="AE137" s="27">
        <f>(IF(I137=0,0,(Upgrades!$G$17+I137*Upgrades!$H$17)*POWER(Upgrades!$I$17,I137)))*(IF(Upgrades!$T$13="Brown Dwarf",POWER(Upgrades!$U$13,E137),1)*IF(Upgrades!$T$14="Brown Dwarf",POWER(Upgrades!$U$14,F137),1)*IF(Upgrades!$T$15="Brown Dwarf",POWER(Upgrades!$U$15,G137),1)*IF(Upgrades!$T$16="Brown Dwarf",POWER(Upgrades!$U$16,H137),1)*IF(Upgrades!$T$18="Brown Dwarf",POWER(Upgrades!$U$18,J137),1)*IF(Upgrades!$T$19="Brown Dwarf",POWER(Upgrades!$U$19,K137),1)*IF(Upgrades!$T$20="Brown Dwarf",POWER(Upgrades!$U$20,L137),1)*IF(Upgrades!$T$21="Brown Dwarf",POWER(Upgrades!$U$21,M137),1))*POWER(Upgrades!$P$13,E137)*POWER(Upgrades!$P$14,F137)*POWER(Upgrades!$P$15,G137)*POWER(Upgrades!$P$16,H137)*POWER(Upgrades!$P$17,I137)*POWER(Upgrades!$P$18,J137)*POWER(Upgrades!$P$19,K137)*POWER(Upgrades!$P$20,L137)*POWER(Upgrades!$P$21,M137)*$F$6*60</f>
        <v/>
      </c>
      <c r="AF137" s="27" t="n">
        <v>0</v>
      </c>
      <c r="AG137" s="27" t="n">
        <v>0</v>
      </c>
      <c r="AH137" s="27" t="n">
        <v>0</v>
      </c>
      <c r="AI137" s="27">
        <f>(IF(M137=0,0,(Upgrades!$G$21+M137*Upgrades!$H$21)*POWER(Upgrades!$I$21,M137)))*(IF(Upgrades!$T$13="Moving Group",POWER(Upgrades!$U$13,E137),1)*IF(Upgrades!$T$14="Moving Group",POWER(Upgrades!$U$14,F137),1)*IF(Upgrades!$T$15="Moving Group",POWER(Upgrades!$U$15,G137),1)*IF(Upgrades!$T$16="Moving Group",POWER(Upgrades!$U$16,H137),1)*IF(Upgrades!$T$17="Moving Group",POWER(Upgrades!$U$17,I137),1)*IF(Upgrades!$T$18="Moving Group",POWER(Upgrades!$U$18,J137),1)*IF(Upgrades!$T$19="Moving Group",POWER(Upgrades!$U$19,K137),1)*IF(Upgrades!$T$20="Moving Group",POWER(Upgrades!$U$20,L137),1))*POWER(Upgrades!$P$13,E137)*POWER(Upgrades!$P$14,F137)*POWER(Upgrades!$P$15,G137)*POWER(Upgrades!$P$16,H137)*POWER(Upgrades!$P$17,I137)*POWER(Upgrades!$P$18,J137)*POWER(Upgrades!$P$19,K137)*POWER(Upgrades!$P$20,L137)*POWER(Upgrades!$P$21,M137)*$F$6*60</f>
        <v/>
      </c>
      <c r="AJ137" s="27">
        <f>$C$6*60</f>
        <v/>
      </c>
      <c r="AK137" s="22">
        <f>IF(E137&gt;=Upgrades!$E$13,"",Upgrades!$C$13*POWER(Upgrades!$D$13,E137))</f>
        <v/>
      </c>
      <c r="AL137" s="22">
        <f>IF(F137&gt;=Upgrades!$E$14,"",Upgrades!$C$14*POWER(Upgrades!$D$14,F137))</f>
        <v/>
      </c>
      <c r="AM137" s="22">
        <f>IF(G137&gt;=Upgrades!$E$15,"",Upgrades!$C$15*POWER(Upgrades!$D$15,G137))</f>
        <v/>
      </c>
      <c r="AN137" s="22">
        <f>IF(H137&gt;=Upgrades!$E$16,"",Upgrades!$C$16*POWER(Upgrades!$D$16,H137))</f>
        <v/>
      </c>
      <c r="AO137" s="22">
        <f>IF(I137&gt;=Upgrades!$E$17,"",Upgrades!$C$17*POWER(Upgrades!$D$17,I137))</f>
        <v/>
      </c>
      <c r="AP137" s="22">
        <f>IF(J137&gt;=Upgrades!$E$18,"",Upgrades!$C$18*POWER(Upgrades!$D$18,J137))</f>
        <v/>
      </c>
      <c r="AQ137" s="22">
        <f>IF(K137&gt;=Upgrades!$E$19,"",Upgrades!$C$19*POWER(Upgrades!$D$19,K137))</f>
        <v/>
      </c>
      <c r="AR137" s="22">
        <f>IF(L137&gt;=Upgrades!$E$20,"",Upgrades!$C$20*POWER(Upgrades!$D$20,L137))</f>
        <v/>
      </c>
      <c r="AS137" s="22">
        <f>IF(M137&gt;=Upgrades!$E$21,"",Upgrades!$C$21*POWER(Upgrades!$D$21,M137))</f>
        <v/>
      </c>
      <c r="AT137" s="26">
        <f>IF(AND(D137&gt;=Parameters!$B$18*Parameters!$B$19,(I137&gt;=Upgrades!$E$17)*(M137&gt;=Upgrades!$E$21)=1,N137=0),1,"")</f>
        <v/>
      </c>
      <c r="AU137" s="26">
        <f>IF(AND(D137&gt;=Parameters!$B$18*Parameters!$B$19,N137=0),1,"")</f>
        <v/>
      </c>
      <c r="AV137" s="22">
        <f>MIN(IF(ISNUMBER(AP137),AP137,9E15),IF(ISNUMBER(AQ137),AQ137,9E15),IF(ISNUMBER(AR137),AR137,9E15),IF(ISNUMBER(AS137),AS137,9E15))</f>
        <v/>
      </c>
      <c r="AW137" s="22">
        <f>MIN(IF(ISNUMBER(AK137),AK137,9E15),IF(ISNUMBER(AL137),AL137,9E15),IF(ISNUMBER(AM137),AM137,9E15),IF(ISNUMBER(AN137),AN137,9E15),IF(ISNUMBER(AO137),AO137,9E15))</f>
        <v/>
      </c>
      <c r="AX137" s="29">
        <f>IF(BD137&gt;Parameters!$B$21*(MAX(IF(AND(NOT(AND(AU137=1,AT137&lt;&gt;1)),ISNUMBER(AK137),AK137&lt;=(C137+T137)),AY137,0),IF(AND(NOT(AND(AU137=1,AT137&lt;&gt;1)),ISNUMBER(AL137),AL137&lt;=(C137+T137)),AZ137,0),IF(AND(NOT(AND(AU137=1,AT137&lt;&gt;1)),ISNUMBER(AM137),AM137&lt;=(C137+T137)),BA137,0),IF(AND(NOT(AND(AU137=1,AT137&lt;&gt;1)),ISNUMBER(AN137),AN137&lt;=(C137+T137)),BB137,0),IF(AND(ISNUMBER(AO137),AO137&lt;=(C137+T137)),BC137,0))),TRUE,FALSE)</f>
        <v/>
      </c>
      <c r="AY137" s="32">
        <f>IFERROR(Upgrades!$H$13*(POWER(Upgrades!$P$13,E137)*POWER(Upgrades!$P$14,F137)*POWER(Upgrades!$P$15,G137)*POWER(Upgrades!$P$16,H137)*POWER(Upgrades!$P$17,I137)*POWER(Upgrades!$P$18,J137)*POWER(Upgrades!$P$19,K137)*POWER(Upgrades!$P$20,L137)*POWER(Upgrades!$P$21,M137))*(IF(Upgrades!$T$14="Stellar Kinematics",POWER(Upgrades!$U$14,F137),1)*IF(Upgrades!$T$15="Stellar Kinematics",POWER(Upgrades!$U$15,G137),1)*IF(Upgrades!$T$16="Stellar Kinematics",POWER(Upgrades!$U$16,H137),1)*IF(Upgrades!$T$17="Stellar Kinematics",POWER(Upgrades!$U$17,I137),1)*IF(Upgrades!$T$18="Stellar Kinematics",POWER(Upgrades!$U$18,J137),1)*IF(Upgrades!$T$19="Stellar Kinematics",POWER(Upgrades!$U$19,K137),1)*IF(Upgrades!$T$20="Stellar Kinematics",POWER(Upgrades!$U$20,L137),1)*IF(Upgrades!$T$21="Stellar Kinematics",POWER(Upgrades!$U$21,M137),1))*$F$6/AK137,0)</f>
        <v/>
      </c>
      <c r="AZ137" s="32">
        <f>IFERROR(Upgrades!$H$14*(POWER(Upgrades!$P$13,E137)*POWER(Upgrades!$P$14,F137)*POWER(Upgrades!$P$15,G137)*POWER(Upgrades!$P$16,H137)*POWER(Upgrades!$P$17,I137)*POWER(Upgrades!$P$18,J137)*POWER(Upgrades!$P$19,K137)*POWER(Upgrades!$P$20,L137)*POWER(Upgrades!$P$21,M137))*(IF(Upgrades!$T$13="Local Bubble",POWER(Upgrades!$U$13,E137),1)*IF(Upgrades!$T$15="Local Bubble",POWER(Upgrades!$U$15,G137),1)*IF(Upgrades!$T$16="Local Bubble",POWER(Upgrades!$U$16,H137),1)*IF(Upgrades!$T$17="Local Bubble",POWER(Upgrades!$U$17,I137),1)*IF(Upgrades!$T$18="Local Bubble",POWER(Upgrades!$U$18,J137),1)*IF(Upgrades!$T$19="Local Bubble",POWER(Upgrades!$U$19,K137),1)*IF(Upgrades!$T$20="Local Bubble",POWER(Upgrades!$U$20,L137),1)*IF(Upgrades!$T$21="Local Bubble",POWER(Upgrades!$U$21,M137),1))*$F$6/AL137,0)</f>
        <v/>
      </c>
      <c r="BA137" s="32">
        <f>IFERROR(Upgrades!$K$15*(POWER(Upgrades!$Q$13,E137)*POWER(Upgrades!$Q$14,F137)*POWER(Upgrades!$Q$15,G137)*POWER(Upgrades!$Q$16,H137)*POWER(Upgrades!$Q$17,I137)*POWER(Upgrades!$Q$18,J137)*POWER(Upgrades!$Q$19,K137)*POWER(Upgrades!$Q$20,L137)*POWER(Upgrades!$Q$21,M137))*(IF(Upgrades!$T$13="Microlensing",POWER(Upgrades!$U$13,E137),1)*IF(Upgrades!$T$14="Microlensing",POWER(Upgrades!$U$14,F137),1)*IF(Upgrades!$T$16="Microlensing",POWER(Upgrades!$U$16,H137),1)*IF(Upgrades!$T$17="Microlensing",POWER(Upgrades!$U$17,I137),1)*IF(Upgrades!$T$18="Microlensing",POWER(Upgrades!$U$18,J137),1)*IF(Upgrades!$T$19="Microlensing",POWER(Upgrades!$U$19,K137),1)*IF(Upgrades!$T$20="Microlensing",POWER(Upgrades!$U$20,L137),1)*IF(Upgrades!$T$21="Microlensing",POWER(Upgrades!$U$21,M137),1))*$G$6*(Parameters!$B$10/60*Parameters!$B$11+Q137)/AM137,0)</f>
        <v/>
      </c>
      <c r="BB137" s="32">
        <f>IFERROR((Upgrades!$N$16*(POWER(Upgrades!$R$13,E137)*POWER(Upgrades!$R$14,F137)*POWER(Upgrades!$R$15,G137)*POWER(Upgrades!$R$16,H137)*POWER(Upgrades!$R$17,I137)*POWER(Upgrades!$R$18,J137)*POWER(Upgrades!$R$19,K137)*POWER(Upgrades!$R$20,L137)*POWER(Upgrades!$R$21,M137))*(IF(Upgrades!$T$13="Roche Lobe Overflow",POWER(Upgrades!$U$13,E137),1)*IF(Upgrades!$T$14="Roche Lobe Overflow",POWER(Upgrades!$U$14,F137),1)*IF(Upgrades!$T$15="Roche Lobe Overflow",POWER(Upgrades!$U$15,G137),1)*IF(Upgrades!$T$17="Roche Lobe Overflow",POWER(Upgrades!$U$17,I137),1)*IF(Upgrades!$T$18="Roche Lobe Overflow",POWER(Upgrades!$U$18,J137),1)*IF(Upgrades!$T$19="Roche Lobe Overflow",POWER(Upgrades!$U$19,K137),1)*IF(Upgrades!$T$20="Roche Lobe Overflow",POWER(Upgrades!$U$20,L137),1)*IF(Upgrades!$T$21="Roche Lobe Overflow",POWER(Upgrades!$U$21,M137),1))*$H$6*O137+((IF(F137=0,0,(Upgrades!$G$14+F137*Upgrades!$H$14)*POWER(Upgrades!$I$14,F137)))*(IF(Upgrades!$T$13="Local Bubble",POWER(Upgrades!$U$13,E137),1)*IF(Upgrades!$T$15="Local Bubble",POWER(Upgrades!$U$15,G137),1)*IF(Upgrades!$T$16="Local Bubble",POWER(Upgrades!$U$16,H137),1)*IF(Upgrades!$T$17="Local Bubble",POWER(Upgrades!$U$17,I137),1)*IF(Upgrades!$T$18="Local Bubble",POWER(Upgrades!$U$18,J137),1)*IF(Upgrades!$T$19="Local Bubble",POWER(Upgrades!$U$19,K137),1)*IF(Upgrades!$T$20="Local Bubble",POWER(Upgrades!$U$20,L137),1)*IF(Upgrades!$T$21="Local Bubble",POWER(Upgrades!$U$21,M137),1))*POWER(Upgrades!$P$13,E137)*POWER(Upgrades!$P$14,F137)*POWER(Upgrades!$P$15,G137)*POWER(Upgrades!$P$16,H137)*POWER(Upgrades!$P$17,I137)*POWER(Upgrades!$P$18,J137)*POWER(Upgrades!$P$19,K137)*POWER(Upgrades!$P$20,L137)*POWER(Upgrades!$P$21,M137)*$F$6)*0.05)/AN137,0)</f>
        <v/>
      </c>
      <c r="BC137" s="32">
        <f>IFERROR((Upgrades!$H$17*(POWER(Upgrades!$P$13,E137)*POWER(Upgrades!$P$14,F137)*POWER(Upgrades!$P$15,G137)*POWER(Upgrades!$P$16,H137)*POWER(Upgrades!$P$17,I137)*POWER(Upgrades!$P$18,J137)*POWER(Upgrades!$P$19,K137)*POWER(Upgrades!$P$20,L137)*POWER(Upgrades!$P$21,M137))*(IF(Upgrades!$T$13="Brown Dwarf",POWER(Upgrades!$U$13,E137),1)*IF(Upgrades!$T$14="Brown Dwarf",POWER(Upgrades!$U$14,F137),1)*IF(Upgrades!$T$15="Brown Dwarf",POWER(Upgrades!$U$15,G137),1)*IF(Upgrades!$T$16="Brown Dwarf",POWER(Upgrades!$U$16,H137),1)*IF(Upgrades!$T$18="Brown Dwarf",POWER(Upgrades!$U$18,J137),1)*IF(Upgrades!$T$19="Brown Dwarf",POWER(Upgrades!$U$19,K137),1)*IF(Upgrades!$T$20="Brown Dwarf",POWER(Upgrades!$U$20,L137),1)*IF(Upgrades!$T$21="Brown Dwarf",POWER(Upgrades!$U$21,M137),1))*$F$6+(((IF(H137=0,0,(Upgrades!$M$16+H137*Upgrades!$N$16)*POWER(Upgrades!$O$16,H137)))*(IF(Upgrades!$T$13="Roche Lobe Overflow",POWER(Upgrades!$U$13,E137),1)*IF(Upgrades!$T$14="Roche Lobe Overflow",POWER(Upgrades!$U$14,F137),1)*IF(Upgrades!$T$15="Roche Lobe Overflow",POWER(Upgrades!$U$15,G137),1)*IF(Upgrades!$T$17="Roche Lobe Overflow",POWER(Upgrades!$U$17,I137),1)*IF(Upgrades!$T$18="Roche Lobe Overflow",POWER(Upgrades!$U$18,J137),1)*IF(Upgrades!$T$19="Roche Lobe Overflow",POWER(Upgrades!$U$19,K137),1)*IF(Upgrades!$T$20="Roche Lobe Overflow",POWER(Upgrades!$U$20,L137),1)*IF(Upgrades!$T$21="Roche Lobe Overflow",POWER(Upgrades!$U$21,M137),1))*POWER(Upgrades!$R$13,E137)*POWER(Upgrades!$R$14,F137)*POWER(Upgrades!$R$15,G137)*POWER(Upgrades!$R$16,H137)*POWER(Upgrades!$R$17,I137)*POWER(Upgrades!$R$18,J137)*POWER(Upgrades!$R$19,K137)*POWER(Upgrades!$R$20,L137)*POWER(Upgrades!$R$21,M137)*$H$6)*O137)*0.10)/AO137,0)</f>
        <v/>
      </c>
      <c r="BD137" s="32">
        <f>MAX(IF(J137&gt;0,0,IFERROR(0.5*((IF(G137=0,0,(Upgrades!$J$15+G137*Upgrades!$K$15)*POWER(Upgrades!$L$15,G137)))*(IF(Upgrades!$T$13="Microlensing",POWER(Upgrades!$U$13,E137),1)*IF(Upgrades!$T$14="Microlensing",POWER(Upgrades!$U$14,F137),1)*IF(Upgrades!$T$16="Microlensing",POWER(Upgrades!$U$16,H137),1)*IF(Upgrades!$T$17="Microlensing",POWER(Upgrades!$U$17,I137),1)*IF(Upgrades!$T$18="Microlensing",POWER(Upgrades!$U$18,J137),1)*IF(Upgrades!$T$19="Microlensing",POWER(Upgrades!$U$19,K137),1)*IF(Upgrades!$T$20="Microlensing",POWER(Upgrades!$U$20,L137),1)*IF(Upgrades!$T$21="Microlensing",POWER(Upgrades!$U$21,M137),1))*(POWER(Upgrades!$Q$13,E137)*POWER(Upgrades!$Q$14,F137)*POWER(Upgrades!$Q$15,G137)*POWER(Upgrades!$Q$16,H137)*POWER(Upgrades!$Q$17,I137)*POWER(Upgrades!$Q$18,J137)*POWER(Upgrades!$Q$19,K137)*POWER(Upgrades!$Q$20,L137)*POWER(Upgrades!$Q$21,M137))*$G$6*(Parameters!$B$10/60*Parameters!$B$11+Q137))/Upgrades!$C$18,0)),IF(K137&gt;0,0,IFERROR(0.30*P137/Upgrades!$C$19,0)),IF(L137&gt;0,0,IFERROR(0.0001/Upgrades!$C$20,0)),IF(M137&gt;0,0,IFERROR((6.0*(POWER(Upgrades!$P$13,E137)*POWER(Upgrades!$P$14,F137)*POWER(Upgrades!$P$15,G137)*POWER(Upgrades!$P$16,H137)*POWER(Upgrades!$P$17,I137)*POWER(Upgrades!$P$18,J137)*POWER(Upgrades!$P$19,K137)*POWER(Upgrades!$P$20,L137)*POWER(Upgrades!$P$21,M137))*$F$6+0.20*O137*(Parameters!$B$10/60*Parameters!$B$11+Q137))/Upgrades!$C$21,0)),IF(AND(ISNUMBER(AK137),AK137&gt;(C137+T137)),AY137,0),IF(AND(ISNUMBER(AL137),AL137&gt;(C137+T137)),AZ137,0),IF(AND(ISNUMBER(AM137),AM137&gt;(C137+T137)),BA137,0),IF(AND(ISNUMBER(AN137),AN137&gt;(C137+T137)),BB137,0),IF(AND(ISNUMBER(AO137),AO137&gt;(C137+T137)),BC137,0))</f>
        <v/>
      </c>
      <c r="BE137" s="29">
        <f>IF(AT137=1,"transition",IF(MIN(IF(AND(J137=0,ISNUMBER(AP137),AP137&lt;=(C137+T137)),AP137,9E15),IF(AND(K137=0,ISNUMBER(AQ137),AQ137&lt;=(C137+T137)),AQ137,9E15),IF(AND(L137=0,ISNUMBER(AR137),AR137&lt;=(C137+T137)),AR137,9E15),IF(AND(M137=0,ISNUMBER(AS137),AS137&lt;=(C137+T137)),AS137,9E15))&lt;9E15,IF(AND(AND(J137=0,ISNUMBER(AP137),AP137&lt;=(C137+T137)),AP137=MIN(IF(AND(J137=0,ISNUMBER(AP137),AP137&lt;=(C137+T137)),AP137,9E15),IF(AND(K137=0,ISNUMBER(AQ137),AQ137&lt;=(C137+T137)),AQ137,9E15),IF(AND(L137=0,ISNUMBER(AR137),AR137&lt;=(C137+T137)),AR137,9E15),IF(AND(M137=0,ISNUMBER(AS137),AS137&lt;=(C137+T137)),AS137,9E15))),"BiP",IF(AND(AND(K137=0,ISNUMBER(AQ137),AQ137&lt;=(C137+T137)),AQ137=MIN(IF(AND(J137=0,ISNUMBER(AP137),AP137&lt;=(C137+T137)),AP137,9E15),IF(AND(K137=0,ISNUMBER(AQ137),AQ137&lt;=(C137+T137)),AQ137,9E15),IF(AND(L137=0,ISNUMBER(AR137),AR137&lt;=(C137+T137)),AR137,9E15),IF(AND(M137=0,ISNUMBER(AS137),AS137&lt;=(C137+T137)),AS137,9E15))),"PV",IF(AND(AND(L137=0,ISNUMBER(AR137),AR137&lt;=(C137+T137)),AR137=MIN(IF(AND(J137=0,ISNUMBER(AP137),AP137&lt;=(C137+T137)),AP137,9E15),IF(AND(K137=0,ISNUMBER(AQ137),AQ137&lt;=(C137+T137)),AQ137,9E15),IF(AND(L137=0,ISNUMBER(AR137),AR137&lt;=(C137+T137)),AR137,9E15),IF(AND(M137=0,ISNUMBER(AS137),AS137&lt;=(C137+T137)),AS137,9E15))),"OC","MG"))),IF(AX137=TRUE,"",IF(MAX(IF(AND(NOT(AND(AU137=1,AT137&lt;&gt;1)),ISNUMBER(AK137),AK137&lt;=(C137+T137)),AY137,0),IF(AND(NOT(AND(AU137=1,AT137&lt;&gt;1)),ISNUMBER(AL137),AL137&lt;=(C137+T137)),AZ137,0),IF(AND(NOT(AND(AU137=1,AT137&lt;&gt;1)),ISNUMBER(AM137),AM137&lt;=(C137+T137)),BA137,0),IF(AND(NOT(AND(AU137=1,AT137&lt;&gt;1)),ISNUMBER(AN137),AN137&lt;=(C137+T137)),BB137,0),IF(AND(ISNUMBER(AO137),AO137&lt;=(C137+T137)),BC137,0))&lt;=0,"",IF(AND(IF(AND(NOT(AND(AU137=1,AT137&lt;&gt;1)),ISNUMBER(AK137),AK137&lt;=(C137+T137)),AY137,0)&gt;0,IF(AND(NOT(AND(AU137=1,AT137&lt;&gt;1)),ISNUMBER(AK137),AK137&lt;=(C137+T137)),AY137,0)=MAX(IF(AND(NOT(AND(AU137=1,AT137&lt;&gt;1)),ISNUMBER(AK137),AK137&lt;=(C137+T137)),AY137,0),IF(AND(NOT(AND(AU137=1,AT137&lt;&gt;1)),ISNUMBER(AL137),AL137&lt;=(C137+T137)),AZ137,0),IF(AND(NOT(AND(AU137=1,AT137&lt;&gt;1)),ISNUMBER(AM137),AM137&lt;=(C137+T137)),BA137,0),IF(AND(NOT(AND(AU137=1,AT137&lt;&gt;1)),ISNUMBER(AN137),AN137&lt;=(C137+T137)),BB137,0),IF(AND(ISNUMBER(AO137),AO137&lt;=(C137+T137)),BC137,0))),"SK",IF(AND(IF(AND(NOT(AND(AU137=1,AT137&lt;&gt;1)),ISNUMBER(AL137),AL137&lt;=(C137+T137)),AZ137,0)&gt;0,IF(AND(NOT(AND(AU137=1,AT137&lt;&gt;1)),ISNUMBER(AL137),AL137&lt;=(C137+T137)),AZ137,0)=MAX(IF(AND(NOT(AND(AU137=1,AT137&lt;&gt;1)),ISNUMBER(AK137),AK137&lt;=(C137+T137)),AY137,0),IF(AND(NOT(AND(AU137=1,AT137&lt;&gt;1)),ISNUMBER(AL137),AL137&lt;=(C137+T137)),AZ137,0),IF(AND(NOT(AND(AU137=1,AT137&lt;&gt;1)),ISNUMBER(AM137),AM137&lt;=(C137+T137)),BA137,0),IF(AND(NOT(AND(AU137=1,AT137&lt;&gt;1)),ISNUMBER(AN137),AN137&lt;=(C137+T137)),BB137,0),IF(AND(ISNUMBER(AO137),AO137&lt;=(C137+T137)),BC137,0))),"LB",IF(AND(IF(AND(NOT(AND(AU137=1,AT137&lt;&gt;1)),ISNUMBER(AM137),AM137&lt;=(C137+T137)),BA137,0)&gt;0,IF(AND(NOT(AND(AU137=1,AT137&lt;&gt;1)),ISNUMBER(AM137),AM137&lt;=(C137+T137)),BA137,0)=MAX(IF(AND(NOT(AND(AU137=1,AT137&lt;&gt;1)),ISNUMBER(AK137),AK137&lt;=(C137+T137)),AY137,0),IF(AND(NOT(AND(AU137=1,AT137&lt;&gt;1)),ISNUMBER(AL137),AL137&lt;=(C137+T137)),AZ137,0),IF(AND(NOT(AND(AU137=1,AT137&lt;&gt;1)),ISNUMBER(AM137),AM137&lt;=(C137+T137)),BA137,0),IF(AND(NOT(AND(AU137=1,AT137&lt;&gt;1)),ISNUMBER(AN137),AN137&lt;=(C137+T137)),BB137,0),IF(AND(ISNUMBER(AO137),AO137&lt;=(C137+T137)),BC137,0))),"ML",IF(AND(IF(AND(NOT(AND(AU137=1,AT137&lt;&gt;1)),ISNUMBER(AN137),AN137&lt;=(C137+T137)),BB137,0)&gt;0,IF(AND(NOT(AND(AU137=1,AT137&lt;&gt;1)),ISNUMBER(AN137),AN137&lt;=(C137+T137)),BB137,0)=MAX(IF(AND(NOT(AND(AU137=1,AT137&lt;&gt;1)),ISNUMBER(AK137),AK137&lt;=(C137+T137)),AY137,0),IF(AND(NOT(AND(AU137=1,AT137&lt;&gt;1)),ISNUMBER(AL137),AL137&lt;=(C137+T137)),AZ137,0),IF(AND(NOT(AND(AU137=1,AT137&lt;&gt;1)),ISNUMBER(AM137),AM137&lt;=(C137+T137)),BA137,0),IF(AND(NOT(AND(AU137=1,AT137&lt;&gt;1)),ISNUMBER(AN137),AN137&lt;=(C137+T137)),BB137,0),IF(AND(ISNUMBER(AO137),AO137&lt;=(C137+T137)),BC137,0))),"RLO","BD"))))))))</f>
        <v/>
      </c>
    </row>
    <row r="138">
      <c r="A138" s="26" t="n">
        <v>127</v>
      </c>
      <c r="B138" s="27">
        <f>A138*10/60</f>
        <v/>
      </c>
      <c r="C138" s="22">
        <f>X137</f>
        <v/>
      </c>
      <c r="D138" s="27">
        <f>D137+W137</f>
        <v/>
      </c>
      <c r="E138" s="26">
        <f>E137+IF(U137="SK",1,0)</f>
        <v/>
      </c>
      <c r="F138" s="26">
        <f>F137+IF(U137="LB",1,0)</f>
        <v/>
      </c>
      <c r="G138" s="26">
        <f>G137+IF(U137="ML",1,0)</f>
        <v/>
      </c>
      <c r="H138" s="26">
        <f>H137+IF(U137="RLO",1,0)</f>
        <v/>
      </c>
      <c r="I138" s="26">
        <f>I137+IF(U137="BD",1,0)</f>
        <v/>
      </c>
      <c r="J138" s="26">
        <f>MAX(J137,IF(U137="BiP",1,0))</f>
        <v/>
      </c>
      <c r="K138" s="26">
        <f>MAX(K137,IF(U137="PV",1,0))</f>
        <v/>
      </c>
      <c r="L138" s="26">
        <f>MAX(L137,IF(U137="OC",1,0))</f>
        <v/>
      </c>
      <c r="M138" s="26">
        <f>MAX(M137,IF(U137="MG",1,0))</f>
        <v/>
      </c>
      <c r="N138" s="26">
        <f>MAX(N137,IF(U137="transition",1,0))</f>
        <v/>
      </c>
      <c r="O138" s="28">
        <f>(Parameters!$B$9+(IF(E138=0,0,(Upgrades!$J$13+E138*Upgrades!$K$13)*POWER(Upgrades!$L$13,E138)))*(IF(Upgrades!$T$14="Stellar Kinematics",POWER(Upgrades!$U$14,F138),1)*IF(Upgrades!$T$15="Stellar Kinematics",POWER(Upgrades!$U$15,G138),1)*IF(Upgrades!$T$16="Stellar Kinematics",POWER(Upgrades!$U$16,H138),1)*IF(Upgrades!$T$17="Stellar Kinematics",POWER(Upgrades!$U$17,I138),1)*IF(Upgrades!$T$18="Stellar Kinematics",POWER(Upgrades!$U$18,J138),1)*IF(Upgrades!$T$19="Stellar Kinematics",POWER(Upgrades!$U$19,K138),1)*IF(Upgrades!$T$20="Stellar Kinematics",POWER(Upgrades!$U$20,L138),1)*IF(Upgrades!$T$21="Stellar Kinematics",POWER(Upgrades!$U$21,M138),1))+(IF(F138=0,0,(Upgrades!$J$14+F138*Upgrades!$K$14)*POWER(Upgrades!$L$14,F138)))*(IF(Upgrades!$T$13="Local Bubble",POWER(Upgrades!$U$13,E138),1)*IF(Upgrades!$T$15="Local Bubble",POWER(Upgrades!$U$15,G138),1)*IF(Upgrades!$T$16="Local Bubble",POWER(Upgrades!$U$16,H138),1)*IF(Upgrades!$T$17="Local Bubble",POWER(Upgrades!$U$17,I138),1)*IF(Upgrades!$T$18="Local Bubble",POWER(Upgrades!$U$18,J138),1)*IF(Upgrades!$T$19="Local Bubble",POWER(Upgrades!$U$19,K138),1)*IF(Upgrades!$T$20="Local Bubble",POWER(Upgrades!$U$20,L138),1)*IF(Upgrades!$T$21="Local Bubble",POWER(Upgrades!$U$21,M138),1))+(IF(G138=0,0,(Upgrades!$J$15+G138*Upgrades!$K$15)*POWER(Upgrades!$L$15,G138)))*(IF(Upgrades!$T$13="Microlensing",POWER(Upgrades!$U$13,E138),1)*IF(Upgrades!$T$14="Microlensing",POWER(Upgrades!$U$14,F138),1)*IF(Upgrades!$T$16="Microlensing",POWER(Upgrades!$U$16,H138),1)*IF(Upgrades!$T$17="Microlensing",POWER(Upgrades!$U$17,I138),1)*IF(Upgrades!$T$18="Microlensing",POWER(Upgrades!$U$18,J138),1)*IF(Upgrades!$T$19="Microlensing",POWER(Upgrades!$U$19,K138),1)*IF(Upgrades!$T$20="Microlensing",POWER(Upgrades!$U$20,L138),1)*IF(Upgrades!$T$21="Microlensing",POWER(Upgrades!$U$21,M138),1))+(IF(H138=0,0,(Upgrades!$J$16+H138*Upgrades!$K$16)*POWER(Upgrades!$L$16,H138)))*(IF(Upgrades!$T$13="Roche Lobe Overflow",POWER(Upgrades!$U$13,E138),1)*IF(Upgrades!$T$14="Roche Lobe Overflow",POWER(Upgrades!$U$14,F138),1)*IF(Upgrades!$T$15="Roche Lobe Overflow",POWER(Upgrades!$U$15,G138),1)*IF(Upgrades!$T$17="Roche Lobe Overflow",POWER(Upgrades!$U$17,I138),1)*IF(Upgrades!$T$18="Roche Lobe Overflow",POWER(Upgrades!$U$18,J138),1)*IF(Upgrades!$T$19="Roche Lobe Overflow",POWER(Upgrades!$U$19,K138),1)*IF(Upgrades!$T$20="Roche Lobe Overflow",POWER(Upgrades!$U$20,L138),1)*IF(Upgrades!$T$21="Roche Lobe Overflow",POWER(Upgrades!$U$21,M138),1))+(IF(I138=0,0,(Upgrades!$J$17+I138*Upgrades!$K$17)*POWER(Upgrades!$L$17,I138)))*(IF(Upgrades!$T$13="Brown Dwarf",POWER(Upgrades!$U$13,E138),1)*IF(Upgrades!$T$14="Brown Dwarf",POWER(Upgrades!$U$14,F138),1)*IF(Upgrades!$T$15="Brown Dwarf",POWER(Upgrades!$U$15,G138),1)*IF(Upgrades!$T$16="Brown Dwarf",POWER(Upgrades!$U$16,H138),1)*IF(Upgrades!$T$18="Brown Dwarf",POWER(Upgrades!$U$18,J138),1)*IF(Upgrades!$T$19="Brown Dwarf",POWER(Upgrades!$U$19,K138),1)*IF(Upgrades!$T$20="Brown Dwarf",POWER(Upgrades!$U$20,L138),1)*IF(Upgrades!$T$21="Brown Dwarf",POWER(Upgrades!$U$21,M138),1))+(IF(J138=0,0,(Upgrades!$J$18+J138*Upgrades!$K$18)*POWER(Upgrades!$L$18,J138)))*(IF(Upgrades!$T$13="Binary Partner",POWER(Upgrades!$U$13,E138),1)*IF(Upgrades!$T$14="Binary Partner",POWER(Upgrades!$U$14,F138),1)*IF(Upgrades!$T$15="Binary Partner",POWER(Upgrades!$U$15,G138),1)*IF(Upgrades!$T$16="Binary Partner",POWER(Upgrades!$U$16,H138),1)*IF(Upgrades!$T$17="Binary Partner",POWER(Upgrades!$U$17,I138),1)*IF(Upgrades!$T$19="Binary Partner",POWER(Upgrades!$U$19,K138),1)*IF(Upgrades!$T$20="Binary Partner",POWER(Upgrades!$U$20,L138),1)*IF(Upgrades!$T$21="Binary Partner",POWER(Upgrades!$U$21,M138),1))+(IF(K138=0,0,(Upgrades!$J$19+K138*Upgrades!$K$19)*POWER(Upgrades!$L$19,K138)))*(IF(Upgrades!$T$13="Peculiar Velocity",POWER(Upgrades!$U$13,E138),1)*IF(Upgrades!$T$14="Peculiar Velocity",POWER(Upgrades!$U$14,F138),1)*IF(Upgrades!$T$15="Peculiar Velocity",POWER(Upgrades!$U$15,G138),1)*IF(Upgrades!$T$16="Peculiar Velocity",POWER(Upgrades!$U$16,H138),1)*IF(Upgrades!$T$17="Peculiar Velocity",POWER(Upgrades!$U$17,I138),1)*IF(Upgrades!$T$18="Peculiar Velocity",POWER(Upgrades!$U$18,J138),1)*IF(Upgrades!$T$20="Peculiar Velocity",POWER(Upgrades!$U$20,L138),1)*IF(Upgrades!$T$21="Peculiar Velocity",POWER(Upgrades!$U$21,M138),1))+(IF(L138=0,0,(Upgrades!$J$20+L138*Upgrades!$K$20)*POWER(Upgrades!$L$20,L138)))*(IF(Upgrades!$T$13="Open Cluster",POWER(Upgrades!$U$13,E138),1)*IF(Upgrades!$T$14="Open Cluster",POWER(Upgrades!$U$14,F138),1)*IF(Upgrades!$T$15="Open Cluster",POWER(Upgrades!$U$15,G138),1)*IF(Upgrades!$T$16="Open Cluster",POWER(Upgrades!$U$16,H138),1)*IF(Upgrades!$T$17="Open Cluster",POWER(Upgrades!$U$17,I138),1)*IF(Upgrades!$T$18="Open Cluster",POWER(Upgrades!$U$18,J138),1)*IF(Upgrades!$T$19="Open Cluster",POWER(Upgrades!$U$19,K138),1)*IF(Upgrades!$T$21="Open Cluster",POWER(Upgrades!$U$21,M138),1))+(IF(M138=0,0,(Upgrades!$J$21+M138*Upgrades!$K$21)*POWER(Upgrades!$L$21,M138)))*(IF(Upgrades!$T$13="Moving Group",POWER(Upgrades!$U$13,E138),1)*IF(Upgrades!$T$14="Moving Group",POWER(Upgrades!$U$14,F138),1)*IF(Upgrades!$T$15="Moving Group",POWER(Upgrades!$U$15,G138),1)*IF(Upgrades!$T$16="Moving Group",POWER(Upgrades!$U$16,H138),1)*IF(Upgrades!$T$17="Moving Group",POWER(Upgrades!$U$17,I138),1)*IF(Upgrades!$T$18="Moving Group",POWER(Upgrades!$U$18,J138),1)*IF(Upgrades!$T$19="Moving Group",POWER(Upgrades!$U$19,K138),1)*IF(Upgrades!$T$20="Moving Group",POWER(Upgrades!$U$20,L138),1)))*POWER(Upgrades!$Q$13,E138)*POWER(Upgrades!$Q$14,F138)*POWER(Upgrades!$Q$15,G138)*POWER(Upgrades!$Q$16,H138)*POWER(Upgrades!$Q$17,I138)*POWER(Upgrades!$Q$18,J138)*POWER(Upgrades!$Q$19,K138)*POWER(Upgrades!$Q$20,L138)*POWER(Upgrades!$Q$21,M138)*$G$6+$D$6</f>
        <v/>
      </c>
      <c r="P138" s="28">
        <f>((IF(E138=0,0,(Upgrades!$G$13+E138*Upgrades!$H$13)*POWER(Upgrades!$I$13,E138)))*(IF(Upgrades!$T$14="Stellar Kinematics",POWER(Upgrades!$U$14,F138),1)*IF(Upgrades!$T$15="Stellar Kinematics",POWER(Upgrades!$U$15,G138),1)*IF(Upgrades!$T$16="Stellar Kinematics",POWER(Upgrades!$U$16,H138),1)*IF(Upgrades!$T$17="Stellar Kinematics",POWER(Upgrades!$U$17,I138),1)*IF(Upgrades!$T$18="Stellar Kinematics",POWER(Upgrades!$U$18,J138),1)*IF(Upgrades!$T$19="Stellar Kinematics",POWER(Upgrades!$U$19,K138),1)*IF(Upgrades!$T$20="Stellar Kinematics",POWER(Upgrades!$U$20,L138),1)*IF(Upgrades!$T$21="Stellar Kinematics",POWER(Upgrades!$U$21,M138),1))+(IF(F138=0,0,(Upgrades!$G$14+F138*Upgrades!$H$14)*POWER(Upgrades!$I$14,F138)))*(IF(Upgrades!$T$13="Local Bubble",POWER(Upgrades!$U$13,E138),1)*IF(Upgrades!$T$15="Local Bubble",POWER(Upgrades!$U$15,G138),1)*IF(Upgrades!$T$16="Local Bubble",POWER(Upgrades!$U$16,H138),1)*IF(Upgrades!$T$17="Local Bubble",POWER(Upgrades!$U$17,I138),1)*IF(Upgrades!$T$18="Local Bubble",POWER(Upgrades!$U$18,J138),1)*IF(Upgrades!$T$19="Local Bubble",POWER(Upgrades!$U$19,K138),1)*IF(Upgrades!$T$20="Local Bubble",POWER(Upgrades!$U$20,L138),1)*IF(Upgrades!$T$21="Local Bubble",POWER(Upgrades!$U$21,M138),1))+(IF(G138=0,0,(Upgrades!$G$15+G138*Upgrades!$H$15)*POWER(Upgrades!$I$15,G138)))*(IF(Upgrades!$T$13="Microlensing",POWER(Upgrades!$U$13,E138),1)*IF(Upgrades!$T$14="Microlensing",POWER(Upgrades!$U$14,F138),1)*IF(Upgrades!$T$16="Microlensing",POWER(Upgrades!$U$16,H138),1)*IF(Upgrades!$T$17="Microlensing",POWER(Upgrades!$U$17,I138),1)*IF(Upgrades!$T$18="Microlensing",POWER(Upgrades!$U$18,J138),1)*IF(Upgrades!$T$19="Microlensing",POWER(Upgrades!$U$19,K138),1)*IF(Upgrades!$T$20="Microlensing",POWER(Upgrades!$U$20,L138),1)*IF(Upgrades!$T$21="Microlensing",POWER(Upgrades!$U$21,M138),1))+(IF(H138=0,0,(Upgrades!$G$16+H138*Upgrades!$H$16)*POWER(Upgrades!$I$16,H138)))*(IF(Upgrades!$T$13="Roche Lobe Overflow",POWER(Upgrades!$U$13,E138),1)*IF(Upgrades!$T$14="Roche Lobe Overflow",POWER(Upgrades!$U$14,F138),1)*IF(Upgrades!$T$15="Roche Lobe Overflow",POWER(Upgrades!$U$15,G138),1)*IF(Upgrades!$T$17="Roche Lobe Overflow",POWER(Upgrades!$U$17,I138),1)*IF(Upgrades!$T$18="Roche Lobe Overflow",POWER(Upgrades!$U$18,J138),1)*IF(Upgrades!$T$19="Roche Lobe Overflow",POWER(Upgrades!$U$19,K138),1)*IF(Upgrades!$T$20="Roche Lobe Overflow",POWER(Upgrades!$U$20,L138),1)*IF(Upgrades!$T$21="Roche Lobe Overflow",POWER(Upgrades!$U$21,M138),1))+(IF(I138=0,0,(Upgrades!$G$17+I138*Upgrades!$H$17)*POWER(Upgrades!$I$17,I138)))*(IF(Upgrades!$T$13="Brown Dwarf",POWER(Upgrades!$U$13,E138),1)*IF(Upgrades!$T$14="Brown Dwarf",POWER(Upgrades!$U$14,F138),1)*IF(Upgrades!$T$15="Brown Dwarf",POWER(Upgrades!$U$15,G138),1)*IF(Upgrades!$T$16="Brown Dwarf",POWER(Upgrades!$U$16,H138),1)*IF(Upgrades!$T$18="Brown Dwarf",POWER(Upgrades!$U$18,J138),1)*IF(Upgrades!$T$19="Brown Dwarf",POWER(Upgrades!$U$19,K138),1)*IF(Upgrades!$T$20="Brown Dwarf",POWER(Upgrades!$U$20,L138),1)*IF(Upgrades!$T$21="Brown Dwarf",POWER(Upgrades!$U$21,M138),1))+(IF(J138=0,0,(Upgrades!$G$18+J138*Upgrades!$H$18)*POWER(Upgrades!$I$18,J138)))*(IF(Upgrades!$T$13="Binary Partner",POWER(Upgrades!$U$13,E138),1)*IF(Upgrades!$T$14="Binary Partner",POWER(Upgrades!$U$14,F138),1)*IF(Upgrades!$T$15="Binary Partner",POWER(Upgrades!$U$15,G138),1)*IF(Upgrades!$T$16="Binary Partner",POWER(Upgrades!$U$16,H138),1)*IF(Upgrades!$T$17="Binary Partner",POWER(Upgrades!$U$17,I138),1)*IF(Upgrades!$T$19="Binary Partner",POWER(Upgrades!$U$19,K138),1)*IF(Upgrades!$T$20="Binary Partner",POWER(Upgrades!$U$20,L138),1)*IF(Upgrades!$T$21="Binary Partner",POWER(Upgrades!$U$21,M138),1))+(IF(K138=0,0,(Upgrades!$G$19+K138*Upgrades!$H$19)*POWER(Upgrades!$I$19,K138)))*(IF(Upgrades!$T$13="Peculiar Velocity",POWER(Upgrades!$U$13,E138),1)*IF(Upgrades!$T$14="Peculiar Velocity",POWER(Upgrades!$U$14,F138),1)*IF(Upgrades!$T$15="Peculiar Velocity",POWER(Upgrades!$U$15,G138),1)*IF(Upgrades!$T$16="Peculiar Velocity",POWER(Upgrades!$U$16,H138),1)*IF(Upgrades!$T$17="Peculiar Velocity",POWER(Upgrades!$U$17,I138),1)*IF(Upgrades!$T$18="Peculiar Velocity",POWER(Upgrades!$U$18,J138),1)*IF(Upgrades!$T$20="Peculiar Velocity",POWER(Upgrades!$U$20,L138),1)*IF(Upgrades!$T$21="Peculiar Velocity",POWER(Upgrades!$U$21,M138),1))+(IF(L138=0,0,(Upgrades!$G$20+L138*Upgrades!$H$20)*POWER(Upgrades!$I$20,L138)))*(IF(Upgrades!$T$13="Open Cluster",POWER(Upgrades!$U$13,E138),1)*IF(Upgrades!$T$14="Open Cluster",POWER(Upgrades!$U$14,F138),1)*IF(Upgrades!$T$15="Open Cluster",POWER(Upgrades!$U$15,G138),1)*IF(Upgrades!$T$16="Open Cluster",POWER(Upgrades!$U$16,H138),1)*IF(Upgrades!$T$17="Open Cluster",POWER(Upgrades!$U$17,I138),1)*IF(Upgrades!$T$18="Open Cluster",POWER(Upgrades!$U$18,J138),1)*IF(Upgrades!$T$19="Open Cluster",POWER(Upgrades!$U$19,K138),1)*IF(Upgrades!$T$21="Open Cluster",POWER(Upgrades!$U$21,M138),1))+(IF(M138=0,0,(Upgrades!$G$21+M138*Upgrades!$H$21)*POWER(Upgrades!$I$21,M138)))*(IF(Upgrades!$T$13="Moving Group",POWER(Upgrades!$U$13,E138),1)*IF(Upgrades!$T$14="Moving Group",POWER(Upgrades!$U$14,F138),1)*IF(Upgrades!$T$15="Moving Group",POWER(Upgrades!$U$15,G138),1)*IF(Upgrades!$T$16="Moving Group",POWER(Upgrades!$U$16,H138),1)*IF(Upgrades!$T$17="Moving Group",POWER(Upgrades!$U$17,I138),1)*IF(Upgrades!$T$18="Moving Group",POWER(Upgrades!$U$18,J138),1)*IF(Upgrades!$T$19="Moving Group",POWER(Upgrades!$U$19,K138),1)*IF(Upgrades!$T$20="Moving Group",POWER(Upgrades!$U$20,L138),1)))*POWER(Upgrades!$P$13,E138)*POWER(Upgrades!$P$14,F138)*POWER(Upgrades!$P$15,G138)*POWER(Upgrades!$P$16,H138)*POWER(Upgrades!$P$17,I138)*POWER(Upgrades!$P$18,J138)*POWER(Upgrades!$P$19,K138)*POWER(Upgrades!$P$20,L138)*POWER(Upgrades!$P$21,M138)*$F$6+$C$6</f>
        <v/>
      </c>
      <c r="Q138" s="28">
        <f>((IF(E138=0,0,(Upgrades!$M$13+E138*Upgrades!$N$13)*POWER(Upgrades!$O$13,E138)))*(IF(Upgrades!$T$14="Stellar Kinematics",POWER(Upgrades!$U$14,F138),1)*IF(Upgrades!$T$15="Stellar Kinematics",POWER(Upgrades!$U$15,G138),1)*IF(Upgrades!$T$16="Stellar Kinematics",POWER(Upgrades!$U$16,H138),1)*IF(Upgrades!$T$17="Stellar Kinematics",POWER(Upgrades!$U$17,I138),1)*IF(Upgrades!$T$18="Stellar Kinematics",POWER(Upgrades!$U$18,J138),1)*IF(Upgrades!$T$19="Stellar Kinematics",POWER(Upgrades!$U$19,K138),1)*IF(Upgrades!$T$20="Stellar Kinematics",POWER(Upgrades!$U$20,L138),1)*IF(Upgrades!$T$21="Stellar Kinematics",POWER(Upgrades!$U$21,M138),1))+(IF(F138=0,0,(Upgrades!$M$14+F138*Upgrades!$N$14)*POWER(Upgrades!$O$14,F138)))*(IF(Upgrades!$T$13="Local Bubble",POWER(Upgrades!$U$13,E138),1)*IF(Upgrades!$T$15="Local Bubble",POWER(Upgrades!$U$15,G138),1)*IF(Upgrades!$T$16="Local Bubble",POWER(Upgrades!$U$16,H138),1)*IF(Upgrades!$T$17="Local Bubble",POWER(Upgrades!$U$17,I138),1)*IF(Upgrades!$T$18="Local Bubble",POWER(Upgrades!$U$18,J138),1)*IF(Upgrades!$T$19="Local Bubble",POWER(Upgrades!$U$19,K138),1)*IF(Upgrades!$T$20="Local Bubble",POWER(Upgrades!$U$20,L138),1)*IF(Upgrades!$T$21="Local Bubble",POWER(Upgrades!$U$21,M138),1))+(IF(G138=0,0,(Upgrades!$M$15+G138*Upgrades!$N$15)*POWER(Upgrades!$O$15,G138)))*(IF(Upgrades!$T$13="Microlensing",POWER(Upgrades!$U$13,E138),1)*IF(Upgrades!$T$14="Microlensing",POWER(Upgrades!$U$14,F138),1)*IF(Upgrades!$T$16="Microlensing",POWER(Upgrades!$U$16,H138),1)*IF(Upgrades!$T$17="Microlensing",POWER(Upgrades!$U$17,I138),1)*IF(Upgrades!$T$18="Microlensing",POWER(Upgrades!$U$18,J138),1)*IF(Upgrades!$T$19="Microlensing",POWER(Upgrades!$U$19,K138),1)*IF(Upgrades!$T$20="Microlensing",POWER(Upgrades!$U$20,L138),1)*IF(Upgrades!$T$21="Microlensing",POWER(Upgrades!$U$21,M138),1))+(IF(H138=0,0,(Upgrades!$M$16+H138*Upgrades!$N$16)*POWER(Upgrades!$O$16,H138)))*(IF(Upgrades!$T$13="Roche Lobe Overflow",POWER(Upgrades!$U$13,E138),1)*IF(Upgrades!$T$14="Roche Lobe Overflow",POWER(Upgrades!$U$14,F138),1)*IF(Upgrades!$T$15="Roche Lobe Overflow",POWER(Upgrades!$U$15,G138),1)*IF(Upgrades!$T$17="Roche Lobe Overflow",POWER(Upgrades!$U$17,I138),1)*IF(Upgrades!$T$18="Roche Lobe Overflow",POWER(Upgrades!$U$18,J138),1)*IF(Upgrades!$T$19="Roche Lobe Overflow",POWER(Upgrades!$U$19,K138),1)*IF(Upgrades!$T$20="Roche Lobe Overflow",POWER(Upgrades!$U$20,L138),1)*IF(Upgrades!$T$21="Roche Lobe Overflow",POWER(Upgrades!$U$21,M138),1))+(IF(I138=0,0,(Upgrades!$M$17+I138*Upgrades!$N$17)*POWER(Upgrades!$O$17,I138)))*(IF(Upgrades!$T$13="Brown Dwarf",POWER(Upgrades!$U$13,E138),1)*IF(Upgrades!$T$14="Brown Dwarf",POWER(Upgrades!$U$14,F138),1)*IF(Upgrades!$T$15="Brown Dwarf",POWER(Upgrades!$U$15,G138),1)*IF(Upgrades!$T$16="Brown Dwarf",POWER(Upgrades!$U$16,H138),1)*IF(Upgrades!$T$18="Brown Dwarf",POWER(Upgrades!$U$18,J138),1)*IF(Upgrades!$T$19="Brown Dwarf",POWER(Upgrades!$U$19,K138),1)*IF(Upgrades!$T$20="Brown Dwarf",POWER(Upgrades!$U$20,L138),1)*IF(Upgrades!$T$21="Brown Dwarf",POWER(Upgrades!$U$21,M138),1))+(IF(J138=0,0,(Upgrades!$M$18+J138*Upgrades!$N$18)*POWER(Upgrades!$O$18,J138)))*(IF(Upgrades!$T$13="Binary Partner",POWER(Upgrades!$U$13,E138),1)*IF(Upgrades!$T$14="Binary Partner",POWER(Upgrades!$U$14,F138),1)*IF(Upgrades!$T$15="Binary Partner",POWER(Upgrades!$U$15,G138),1)*IF(Upgrades!$T$16="Binary Partner",POWER(Upgrades!$U$16,H138),1)*IF(Upgrades!$T$17="Binary Partner",POWER(Upgrades!$U$17,I138),1)*IF(Upgrades!$T$19="Binary Partner",POWER(Upgrades!$U$19,K138),1)*IF(Upgrades!$T$20="Binary Partner",POWER(Upgrades!$U$20,L138),1)*IF(Upgrades!$T$21="Binary Partner",POWER(Upgrades!$U$21,M138),1))+(IF(K138=0,0,(Upgrades!$M$19+K138*Upgrades!$N$19)*POWER(Upgrades!$O$19,K138)))*(IF(Upgrades!$T$13="Peculiar Velocity",POWER(Upgrades!$U$13,E138),1)*IF(Upgrades!$T$14="Peculiar Velocity",POWER(Upgrades!$U$14,F138),1)*IF(Upgrades!$T$15="Peculiar Velocity",POWER(Upgrades!$U$15,G138),1)*IF(Upgrades!$T$16="Peculiar Velocity",POWER(Upgrades!$U$16,H138),1)*IF(Upgrades!$T$17="Peculiar Velocity",POWER(Upgrades!$U$17,I138),1)*IF(Upgrades!$T$18="Peculiar Velocity",POWER(Upgrades!$U$18,J138),1)*IF(Upgrades!$T$20="Peculiar Velocity",POWER(Upgrades!$U$20,L138),1)*IF(Upgrades!$T$21="Peculiar Velocity",POWER(Upgrades!$U$21,M138),1))+(IF(L138=0,0,(Upgrades!$M$20+L138*Upgrades!$N$20)*POWER(Upgrades!$O$20,L138)))*(IF(Upgrades!$T$13="Open Cluster",POWER(Upgrades!$U$13,E138),1)*IF(Upgrades!$T$14="Open Cluster",POWER(Upgrades!$U$14,F138),1)*IF(Upgrades!$T$15="Open Cluster",POWER(Upgrades!$U$15,G138),1)*IF(Upgrades!$T$16="Open Cluster",POWER(Upgrades!$U$16,H138),1)*IF(Upgrades!$T$17="Open Cluster",POWER(Upgrades!$U$17,I138),1)*IF(Upgrades!$T$18="Open Cluster",POWER(Upgrades!$U$18,J138),1)*IF(Upgrades!$T$19="Open Cluster",POWER(Upgrades!$U$19,K138),1)*IF(Upgrades!$T$21="Open Cluster",POWER(Upgrades!$U$21,M138),1))+(IF(M138=0,0,(Upgrades!$M$21+M138*Upgrades!$N$21)*POWER(Upgrades!$O$21,M138)))*(IF(Upgrades!$T$13="Moving Group",POWER(Upgrades!$U$13,E138),1)*IF(Upgrades!$T$14="Moving Group",POWER(Upgrades!$U$14,F138),1)*IF(Upgrades!$T$15="Moving Group",POWER(Upgrades!$U$15,G138),1)*IF(Upgrades!$T$16="Moving Group",POWER(Upgrades!$U$16,H138),1)*IF(Upgrades!$T$17="Moving Group",POWER(Upgrades!$U$17,I138),1)*IF(Upgrades!$T$18="Moving Group",POWER(Upgrades!$U$18,J138),1)*IF(Upgrades!$T$19="Moving Group",POWER(Upgrades!$U$19,K138),1)*IF(Upgrades!$T$20="Moving Group",POWER(Upgrades!$U$20,L138),1)))*POWER(Upgrades!$R$13,E138)*POWER(Upgrades!$R$14,F138)*POWER(Upgrades!$R$15,G138)*POWER(Upgrades!$R$16,H138)*POWER(Upgrades!$R$17,I138)*POWER(Upgrades!$R$18,J138)*POWER(Upgrades!$R$19,K138)*POWER(Upgrades!$R$20,L138)*POWER(Upgrades!$R$21,M138)*$H$6+$E$6</f>
        <v/>
      </c>
      <c r="R138" s="27">
        <f>IF(N138=1,0,O138*Parameters!$B$10/60*Parameters!$B$11*10)</f>
        <v/>
      </c>
      <c r="S138" s="27">
        <f>IF(N138=1,0,Q138*O138*10)</f>
        <v/>
      </c>
      <c r="T138" s="27">
        <f>IF(N138=1,0,R138+S138+P138*10)</f>
        <v/>
      </c>
      <c r="U138" s="33">
        <f>BE138</f>
        <v/>
      </c>
      <c r="V138" s="22">
        <f>IF(U138="",0,IF(U138="transition",0,IF(U138="SK",AK138,IF(U138="LB",AL138,IF(U138="ML",AM138,IF(U138="RLO",AN138,IF(U138="BD",AO138,IF(U138="BiP",AP138,IF(U138="PV",AQ138,IF(U138="OC",AR138,IF(U138="MG",AS138,0))))))))))</f>
        <v/>
      </c>
      <c r="W138" s="27">
        <f>IF(U138="BiP",Upgrades!$F$18,IF(U138="PV",Upgrades!$F$19,IF(U138="OC",Upgrades!$F$20,IF(U138="MG",Upgrades!$F$21,IF(U138="transition",-Parameters!$B$18*Parameters!$B$19,0)))))</f>
        <v/>
      </c>
      <c r="X138" s="22">
        <f>C138+T138-V138</f>
        <v/>
      </c>
      <c r="Y138" s="30">
        <f>O138*Parameters!$B$10/60*Parameters!$B$11+Q138*O138+P138</f>
        <v/>
      </c>
      <c r="Z138" s="34">
        <f>IF(U138="transition","→ Tier 3 (Galactic Arm)",IF(U138="MG","Moving Group — pocket drifts together",IF(U138="OC","Open Cluster acquired",IF(U138="PV","Peculiar Velocity — passive multiplier active",IF(U138="BiP","Binary Partner — pair bond formed",IF(AND(AU138=1,N138=0,AT138&lt;&gt;1),"Cohesion ready (waiting on completionists)","")))))) </f>
        <v/>
      </c>
      <c r="AA138" s="27">
        <f>(IF(E138=0,0,(Upgrades!$G$13+E138*Upgrades!$H$13)*POWER(Upgrades!$I$13,E138)))*(IF(Upgrades!$T$14="Stellar Kinematics",POWER(Upgrades!$U$14,F138),1)*IF(Upgrades!$T$15="Stellar Kinematics",POWER(Upgrades!$U$15,G138),1)*IF(Upgrades!$T$16="Stellar Kinematics",POWER(Upgrades!$U$16,H138),1)*IF(Upgrades!$T$17="Stellar Kinematics",POWER(Upgrades!$U$17,I138),1)*IF(Upgrades!$T$18="Stellar Kinematics",POWER(Upgrades!$U$18,J138),1)*IF(Upgrades!$T$19="Stellar Kinematics",POWER(Upgrades!$U$19,K138),1)*IF(Upgrades!$T$20="Stellar Kinematics",POWER(Upgrades!$U$20,L138),1)*IF(Upgrades!$T$21="Stellar Kinematics",POWER(Upgrades!$U$21,M138),1))*POWER(Upgrades!$P$13,E138)*POWER(Upgrades!$P$14,F138)*POWER(Upgrades!$P$15,G138)*POWER(Upgrades!$P$16,H138)*POWER(Upgrades!$P$17,I138)*POWER(Upgrades!$P$18,J138)*POWER(Upgrades!$P$19,K138)*POWER(Upgrades!$P$20,L138)*POWER(Upgrades!$P$21,M138)*$F$6*60</f>
        <v/>
      </c>
      <c r="AB138" s="27">
        <f>(IF(F138=0,0,(Upgrades!$G$14+F138*Upgrades!$H$14)*POWER(Upgrades!$I$14,F138)))*(IF(Upgrades!$T$13="Local Bubble",POWER(Upgrades!$U$13,E138),1)*IF(Upgrades!$T$15="Local Bubble",POWER(Upgrades!$U$15,G138),1)*IF(Upgrades!$T$16="Local Bubble",POWER(Upgrades!$U$16,H138),1)*IF(Upgrades!$T$17="Local Bubble",POWER(Upgrades!$U$17,I138),1)*IF(Upgrades!$T$18="Local Bubble",POWER(Upgrades!$U$18,J138),1)*IF(Upgrades!$T$19="Local Bubble",POWER(Upgrades!$U$19,K138),1)*IF(Upgrades!$T$20="Local Bubble",POWER(Upgrades!$U$20,L138),1)*IF(Upgrades!$T$21="Local Bubble",POWER(Upgrades!$U$21,M138),1))*POWER(Upgrades!$P$13,E138)*POWER(Upgrades!$P$14,F138)*POWER(Upgrades!$P$15,G138)*POWER(Upgrades!$P$16,H138)*POWER(Upgrades!$P$17,I138)*POWER(Upgrades!$P$18,J138)*POWER(Upgrades!$P$19,K138)*POWER(Upgrades!$P$20,L138)*POWER(Upgrades!$P$21,M138)*$F$6*60</f>
        <v/>
      </c>
      <c r="AC138" s="27">
        <f>(IF(G138=0,0,(Upgrades!$J$15+G138*Upgrades!$K$15)*POWER(Upgrades!$L$15,G138)))*(IF(Upgrades!$T$13="Microlensing",POWER(Upgrades!$U$13,E138),1)*IF(Upgrades!$T$14="Microlensing",POWER(Upgrades!$U$14,F138),1)*IF(Upgrades!$T$16="Microlensing",POWER(Upgrades!$U$16,H138),1)*IF(Upgrades!$T$17="Microlensing",POWER(Upgrades!$U$17,I138),1)*IF(Upgrades!$T$18="Microlensing",POWER(Upgrades!$U$18,J138),1)*IF(Upgrades!$T$19="Microlensing",POWER(Upgrades!$U$19,K138),1)*IF(Upgrades!$T$20="Microlensing",POWER(Upgrades!$U$20,L138),1)*IF(Upgrades!$T$21="Microlensing",POWER(Upgrades!$U$21,M138),1))*POWER(Upgrades!$Q$13,E138)*POWER(Upgrades!$Q$14,F138)*POWER(Upgrades!$Q$15,G138)*POWER(Upgrades!$Q$16,H138)*POWER(Upgrades!$Q$17,I138)*POWER(Upgrades!$Q$18,J138)*POWER(Upgrades!$Q$19,K138)*POWER(Upgrades!$Q$20,L138)*POWER(Upgrades!$Q$21,M138)*$G$6*(Parameters!$B$10*Parameters!$B$11+Q138*60)</f>
        <v/>
      </c>
      <c r="AD138" s="27">
        <f>(IF(H138=0,0,(Upgrades!$M$16+H138*Upgrades!$N$16)*POWER(Upgrades!$O$16,H138)))*(IF(Upgrades!$T$13="Roche Lobe Overflow",POWER(Upgrades!$U$13,E138),1)*IF(Upgrades!$T$14="Roche Lobe Overflow",POWER(Upgrades!$U$14,F138),1)*IF(Upgrades!$T$15="Roche Lobe Overflow",POWER(Upgrades!$U$15,G138),1)*IF(Upgrades!$T$17="Roche Lobe Overflow",POWER(Upgrades!$U$17,I138),1)*IF(Upgrades!$T$18="Roche Lobe Overflow",POWER(Upgrades!$U$18,J138),1)*IF(Upgrades!$T$19="Roche Lobe Overflow",POWER(Upgrades!$U$19,K138),1)*IF(Upgrades!$T$20="Roche Lobe Overflow",POWER(Upgrades!$U$20,L138),1)*IF(Upgrades!$T$21="Roche Lobe Overflow",POWER(Upgrades!$U$21,M138),1))*POWER(Upgrades!$R$13,E138)*POWER(Upgrades!$R$14,F138)*POWER(Upgrades!$R$15,G138)*POWER(Upgrades!$R$16,H138)*POWER(Upgrades!$R$17,I138)*POWER(Upgrades!$R$18,J138)*POWER(Upgrades!$R$19,K138)*POWER(Upgrades!$R$20,L138)*POWER(Upgrades!$R$21,M138)*$H$6*O138*60</f>
        <v/>
      </c>
      <c r="AE138" s="27">
        <f>(IF(I138=0,0,(Upgrades!$G$17+I138*Upgrades!$H$17)*POWER(Upgrades!$I$17,I138)))*(IF(Upgrades!$T$13="Brown Dwarf",POWER(Upgrades!$U$13,E138),1)*IF(Upgrades!$T$14="Brown Dwarf",POWER(Upgrades!$U$14,F138),1)*IF(Upgrades!$T$15="Brown Dwarf",POWER(Upgrades!$U$15,G138),1)*IF(Upgrades!$T$16="Brown Dwarf",POWER(Upgrades!$U$16,H138),1)*IF(Upgrades!$T$18="Brown Dwarf",POWER(Upgrades!$U$18,J138),1)*IF(Upgrades!$T$19="Brown Dwarf",POWER(Upgrades!$U$19,K138),1)*IF(Upgrades!$T$20="Brown Dwarf",POWER(Upgrades!$U$20,L138),1)*IF(Upgrades!$T$21="Brown Dwarf",POWER(Upgrades!$U$21,M138),1))*POWER(Upgrades!$P$13,E138)*POWER(Upgrades!$P$14,F138)*POWER(Upgrades!$P$15,G138)*POWER(Upgrades!$P$16,H138)*POWER(Upgrades!$P$17,I138)*POWER(Upgrades!$P$18,J138)*POWER(Upgrades!$P$19,K138)*POWER(Upgrades!$P$20,L138)*POWER(Upgrades!$P$21,M138)*$F$6*60</f>
        <v/>
      </c>
      <c r="AF138" s="27" t="n">
        <v>0</v>
      </c>
      <c r="AG138" s="27" t="n">
        <v>0</v>
      </c>
      <c r="AH138" s="27" t="n">
        <v>0</v>
      </c>
      <c r="AI138" s="27">
        <f>(IF(M138=0,0,(Upgrades!$G$21+M138*Upgrades!$H$21)*POWER(Upgrades!$I$21,M138)))*(IF(Upgrades!$T$13="Moving Group",POWER(Upgrades!$U$13,E138),1)*IF(Upgrades!$T$14="Moving Group",POWER(Upgrades!$U$14,F138),1)*IF(Upgrades!$T$15="Moving Group",POWER(Upgrades!$U$15,G138),1)*IF(Upgrades!$T$16="Moving Group",POWER(Upgrades!$U$16,H138),1)*IF(Upgrades!$T$17="Moving Group",POWER(Upgrades!$U$17,I138),1)*IF(Upgrades!$T$18="Moving Group",POWER(Upgrades!$U$18,J138),1)*IF(Upgrades!$T$19="Moving Group",POWER(Upgrades!$U$19,K138),1)*IF(Upgrades!$T$20="Moving Group",POWER(Upgrades!$U$20,L138),1))*POWER(Upgrades!$P$13,E138)*POWER(Upgrades!$P$14,F138)*POWER(Upgrades!$P$15,G138)*POWER(Upgrades!$P$16,H138)*POWER(Upgrades!$P$17,I138)*POWER(Upgrades!$P$18,J138)*POWER(Upgrades!$P$19,K138)*POWER(Upgrades!$P$20,L138)*POWER(Upgrades!$P$21,M138)*$F$6*60</f>
        <v/>
      </c>
      <c r="AJ138" s="27">
        <f>$C$6*60</f>
        <v/>
      </c>
      <c r="AK138" s="22">
        <f>IF(E138&gt;=Upgrades!$E$13,"",Upgrades!$C$13*POWER(Upgrades!$D$13,E138))</f>
        <v/>
      </c>
      <c r="AL138" s="22">
        <f>IF(F138&gt;=Upgrades!$E$14,"",Upgrades!$C$14*POWER(Upgrades!$D$14,F138))</f>
        <v/>
      </c>
      <c r="AM138" s="22">
        <f>IF(G138&gt;=Upgrades!$E$15,"",Upgrades!$C$15*POWER(Upgrades!$D$15,G138))</f>
        <v/>
      </c>
      <c r="AN138" s="22">
        <f>IF(H138&gt;=Upgrades!$E$16,"",Upgrades!$C$16*POWER(Upgrades!$D$16,H138))</f>
        <v/>
      </c>
      <c r="AO138" s="22">
        <f>IF(I138&gt;=Upgrades!$E$17,"",Upgrades!$C$17*POWER(Upgrades!$D$17,I138))</f>
        <v/>
      </c>
      <c r="AP138" s="22">
        <f>IF(J138&gt;=Upgrades!$E$18,"",Upgrades!$C$18*POWER(Upgrades!$D$18,J138))</f>
        <v/>
      </c>
      <c r="AQ138" s="22">
        <f>IF(K138&gt;=Upgrades!$E$19,"",Upgrades!$C$19*POWER(Upgrades!$D$19,K138))</f>
        <v/>
      </c>
      <c r="AR138" s="22">
        <f>IF(L138&gt;=Upgrades!$E$20,"",Upgrades!$C$20*POWER(Upgrades!$D$20,L138))</f>
        <v/>
      </c>
      <c r="AS138" s="22">
        <f>IF(M138&gt;=Upgrades!$E$21,"",Upgrades!$C$21*POWER(Upgrades!$D$21,M138))</f>
        <v/>
      </c>
      <c r="AT138" s="26">
        <f>IF(AND(D138&gt;=Parameters!$B$18*Parameters!$B$19,(I138&gt;=Upgrades!$E$17)*(M138&gt;=Upgrades!$E$21)=1,N138=0),1,"")</f>
        <v/>
      </c>
      <c r="AU138" s="26">
        <f>IF(AND(D138&gt;=Parameters!$B$18*Parameters!$B$19,N138=0),1,"")</f>
        <v/>
      </c>
      <c r="AV138" s="22">
        <f>MIN(IF(ISNUMBER(AP138),AP138,9E15),IF(ISNUMBER(AQ138),AQ138,9E15),IF(ISNUMBER(AR138),AR138,9E15),IF(ISNUMBER(AS138),AS138,9E15))</f>
        <v/>
      </c>
      <c r="AW138" s="22">
        <f>MIN(IF(ISNUMBER(AK138),AK138,9E15),IF(ISNUMBER(AL138),AL138,9E15),IF(ISNUMBER(AM138),AM138,9E15),IF(ISNUMBER(AN138),AN138,9E15),IF(ISNUMBER(AO138),AO138,9E15))</f>
        <v/>
      </c>
      <c r="AX138" s="29">
        <f>IF(BD138&gt;Parameters!$B$21*(MAX(IF(AND(NOT(AND(AU138=1,AT138&lt;&gt;1)),ISNUMBER(AK138),AK138&lt;=(C138+T138)),AY138,0),IF(AND(NOT(AND(AU138=1,AT138&lt;&gt;1)),ISNUMBER(AL138),AL138&lt;=(C138+T138)),AZ138,0),IF(AND(NOT(AND(AU138=1,AT138&lt;&gt;1)),ISNUMBER(AM138),AM138&lt;=(C138+T138)),BA138,0),IF(AND(NOT(AND(AU138=1,AT138&lt;&gt;1)),ISNUMBER(AN138),AN138&lt;=(C138+T138)),BB138,0),IF(AND(ISNUMBER(AO138),AO138&lt;=(C138+T138)),BC138,0))),TRUE,FALSE)</f>
        <v/>
      </c>
      <c r="AY138" s="32">
        <f>IFERROR(Upgrades!$H$13*(POWER(Upgrades!$P$13,E138)*POWER(Upgrades!$P$14,F138)*POWER(Upgrades!$P$15,G138)*POWER(Upgrades!$P$16,H138)*POWER(Upgrades!$P$17,I138)*POWER(Upgrades!$P$18,J138)*POWER(Upgrades!$P$19,K138)*POWER(Upgrades!$P$20,L138)*POWER(Upgrades!$P$21,M138))*(IF(Upgrades!$T$14="Stellar Kinematics",POWER(Upgrades!$U$14,F138),1)*IF(Upgrades!$T$15="Stellar Kinematics",POWER(Upgrades!$U$15,G138),1)*IF(Upgrades!$T$16="Stellar Kinematics",POWER(Upgrades!$U$16,H138),1)*IF(Upgrades!$T$17="Stellar Kinematics",POWER(Upgrades!$U$17,I138),1)*IF(Upgrades!$T$18="Stellar Kinematics",POWER(Upgrades!$U$18,J138),1)*IF(Upgrades!$T$19="Stellar Kinematics",POWER(Upgrades!$U$19,K138),1)*IF(Upgrades!$T$20="Stellar Kinematics",POWER(Upgrades!$U$20,L138),1)*IF(Upgrades!$T$21="Stellar Kinematics",POWER(Upgrades!$U$21,M138),1))*$F$6/AK138,0)</f>
        <v/>
      </c>
      <c r="AZ138" s="32">
        <f>IFERROR(Upgrades!$H$14*(POWER(Upgrades!$P$13,E138)*POWER(Upgrades!$P$14,F138)*POWER(Upgrades!$P$15,G138)*POWER(Upgrades!$P$16,H138)*POWER(Upgrades!$P$17,I138)*POWER(Upgrades!$P$18,J138)*POWER(Upgrades!$P$19,K138)*POWER(Upgrades!$P$20,L138)*POWER(Upgrades!$P$21,M138))*(IF(Upgrades!$T$13="Local Bubble",POWER(Upgrades!$U$13,E138),1)*IF(Upgrades!$T$15="Local Bubble",POWER(Upgrades!$U$15,G138),1)*IF(Upgrades!$T$16="Local Bubble",POWER(Upgrades!$U$16,H138),1)*IF(Upgrades!$T$17="Local Bubble",POWER(Upgrades!$U$17,I138),1)*IF(Upgrades!$T$18="Local Bubble",POWER(Upgrades!$U$18,J138),1)*IF(Upgrades!$T$19="Local Bubble",POWER(Upgrades!$U$19,K138),1)*IF(Upgrades!$T$20="Local Bubble",POWER(Upgrades!$U$20,L138),1)*IF(Upgrades!$T$21="Local Bubble",POWER(Upgrades!$U$21,M138),1))*$F$6/AL138,0)</f>
        <v/>
      </c>
      <c r="BA138" s="32">
        <f>IFERROR(Upgrades!$K$15*(POWER(Upgrades!$Q$13,E138)*POWER(Upgrades!$Q$14,F138)*POWER(Upgrades!$Q$15,G138)*POWER(Upgrades!$Q$16,H138)*POWER(Upgrades!$Q$17,I138)*POWER(Upgrades!$Q$18,J138)*POWER(Upgrades!$Q$19,K138)*POWER(Upgrades!$Q$20,L138)*POWER(Upgrades!$Q$21,M138))*(IF(Upgrades!$T$13="Microlensing",POWER(Upgrades!$U$13,E138),1)*IF(Upgrades!$T$14="Microlensing",POWER(Upgrades!$U$14,F138),1)*IF(Upgrades!$T$16="Microlensing",POWER(Upgrades!$U$16,H138),1)*IF(Upgrades!$T$17="Microlensing",POWER(Upgrades!$U$17,I138),1)*IF(Upgrades!$T$18="Microlensing",POWER(Upgrades!$U$18,J138),1)*IF(Upgrades!$T$19="Microlensing",POWER(Upgrades!$U$19,K138),1)*IF(Upgrades!$T$20="Microlensing",POWER(Upgrades!$U$20,L138),1)*IF(Upgrades!$T$21="Microlensing",POWER(Upgrades!$U$21,M138),1))*$G$6*(Parameters!$B$10/60*Parameters!$B$11+Q138)/AM138,0)</f>
        <v/>
      </c>
      <c r="BB138" s="32">
        <f>IFERROR((Upgrades!$N$16*(POWER(Upgrades!$R$13,E138)*POWER(Upgrades!$R$14,F138)*POWER(Upgrades!$R$15,G138)*POWER(Upgrades!$R$16,H138)*POWER(Upgrades!$R$17,I138)*POWER(Upgrades!$R$18,J138)*POWER(Upgrades!$R$19,K138)*POWER(Upgrades!$R$20,L138)*POWER(Upgrades!$R$21,M138))*(IF(Upgrades!$T$13="Roche Lobe Overflow",POWER(Upgrades!$U$13,E138),1)*IF(Upgrades!$T$14="Roche Lobe Overflow",POWER(Upgrades!$U$14,F138),1)*IF(Upgrades!$T$15="Roche Lobe Overflow",POWER(Upgrades!$U$15,G138),1)*IF(Upgrades!$T$17="Roche Lobe Overflow",POWER(Upgrades!$U$17,I138),1)*IF(Upgrades!$T$18="Roche Lobe Overflow",POWER(Upgrades!$U$18,J138),1)*IF(Upgrades!$T$19="Roche Lobe Overflow",POWER(Upgrades!$U$19,K138),1)*IF(Upgrades!$T$20="Roche Lobe Overflow",POWER(Upgrades!$U$20,L138),1)*IF(Upgrades!$T$21="Roche Lobe Overflow",POWER(Upgrades!$U$21,M138),1))*$H$6*O138+((IF(F138=0,0,(Upgrades!$G$14+F138*Upgrades!$H$14)*POWER(Upgrades!$I$14,F138)))*(IF(Upgrades!$T$13="Local Bubble",POWER(Upgrades!$U$13,E138),1)*IF(Upgrades!$T$15="Local Bubble",POWER(Upgrades!$U$15,G138),1)*IF(Upgrades!$T$16="Local Bubble",POWER(Upgrades!$U$16,H138),1)*IF(Upgrades!$T$17="Local Bubble",POWER(Upgrades!$U$17,I138),1)*IF(Upgrades!$T$18="Local Bubble",POWER(Upgrades!$U$18,J138),1)*IF(Upgrades!$T$19="Local Bubble",POWER(Upgrades!$U$19,K138),1)*IF(Upgrades!$T$20="Local Bubble",POWER(Upgrades!$U$20,L138),1)*IF(Upgrades!$T$21="Local Bubble",POWER(Upgrades!$U$21,M138),1))*POWER(Upgrades!$P$13,E138)*POWER(Upgrades!$P$14,F138)*POWER(Upgrades!$P$15,G138)*POWER(Upgrades!$P$16,H138)*POWER(Upgrades!$P$17,I138)*POWER(Upgrades!$P$18,J138)*POWER(Upgrades!$P$19,K138)*POWER(Upgrades!$P$20,L138)*POWER(Upgrades!$P$21,M138)*$F$6)*0.05)/AN138,0)</f>
        <v/>
      </c>
      <c r="BC138" s="32">
        <f>IFERROR((Upgrades!$H$17*(POWER(Upgrades!$P$13,E138)*POWER(Upgrades!$P$14,F138)*POWER(Upgrades!$P$15,G138)*POWER(Upgrades!$P$16,H138)*POWER(Upgrades!$P$17,I138)*POWER(Upgrades!$P$18,J138)*POWER(Upgrades!$P$19,K138)*POWER(Upgrades!$P$20,L138)*POWER(Upgrades!$P$21,M138))*(IF(Upgrades!$T$13="Brown Dwarf",POWER(Upgrades!$U$13,E138),1)*IF(Upgrades!$T$14="Brown Dwarf",POWER(Upgrades!$U$14,F138),1)*IF(Upgrades!$T$15="Brown Dwarf",POWER(Upgrades!$U$15,G138),1)*IF(Upgrades!$T$16="Brown Dwarf",POWER(Upgrades!$U$16,H138),1)*IF(Upgrades!$T$18="Brown Dwarf",POWER(Upgrades!$U$18,J138),1)*IF(Upgrades!$T$19="Brown Dwarf",POWER(Upgrades!$U$19,K138),1)*IF(Upgrades!$T$20="Brown Dwarf",POWER(Upgrades!$U$20,L138),1)*IF(Upgrades!$T$21="Brown Dwarf",POWER(Upgrades!$U$21,M138),1))*$F$6+(((IF(H138=0,0,(Upgrades!$M$16+H138*Upgrades!$N$16)*POWER(Upgrades!$O$16,H138)))*(IF(Upgrades!$T$13="Roche Lobe Overflow",POWER(Upgrades!$U$13,E138),1)*IF(Upgrades!$T$14="Roche Lobe Overflow",POWER(Upgrades!$U$14,F138),1)*IF(Upgrades!$T$15="Roche Lobe Overflow",POWER(Upgrades!$U$15,G138),1)*IF(Upgrades!$T$17="Roche Lobe Overflow",POWER(Upgrades!$U$17,I138),1)*IF(Upgrades!$T$18="Roche Lobe Overflow",POWER(Upgrades!$U$18,J138),1)*IF(Upgrades!$T$19="Roche Lobe Overflow",POWER(Upgrades!$U$19,K138),1)*IF(Upgrades!$T$20="Roche Lobe Overflow",POWER(Upgrades!$U$20,L138),1)*IF(Upgrades!$T$21="Roche Lobe Overflow",POWER(Upgrades!$U$21,M138),1))*POWER(Upgrades!$R$13,E138)*POWER(Upgrades!$R$14,F138)*POWER(Upgrades!$R$15,G138)*POWER(Upgrades!$R$16,H138)*POWER(Upgrades!$R$17,I138)*POWER(Upgrades!$R$18,J138)*POWER(Upgrades!$R$19,K138)*POWER(Upgrades!$R$20,L138)*POWER(Upgrades!$R$21,M138)*$H$6)*O138)*0.10)/AO138,0)</f>
        <v/>
      </c>
      <c r="BD138" s="32">
        <f>MAX(IF(J138&gt;0,0,IFERROR(0.5*((IF(G138=0,0,(Upgrades!$J$15+G138*Upgrades!$K$15)*POWER(Upgrades!$L$15,G138)))*(IF(Upgrades!$T$13="Microlensing",POWER(Upgrades!$U$13,E138),1)*IF(Upgrades!$T$14="Microlensing",POWER(Upgrades!$U$14,F138),1)*IF(Upgrades!$T$16="Microlensing",POWER(Upgrades!$U$16,H138),1)*IF(Upgrades!$T$17="Microlensing",POWER(Upgrades!$U$17,I138),1)*IF(Upgrades!$T$18="Microlensing",POWER(Upgrades!$U$18,J138),1)*IF(Upgrades!$T$19="Microlensing",POWER(Upgrades!$U$19,K138),1)*IF(Upgrades!$T$20="Microlensing",POWER(Upgrades!$U$20,L138),1)*IF(Upgrades!$T$21="Microlensing",POWER(Upgrades!$U$21,M138),1))*(POWER(Upgrades!$Q$13,E138)*POWER(Upgrades!$Q$14,F138)*POWER(Upgrades!$Q$15,G138)*POWER(Upgrades!$Q$16,H138)*POWER(Upgrades!$Q$17,I138)*POWER(Upgrades!$Q$18,J138)*POWER(Upgrades!$Q$19,K138)*POWER(Upgrades!$Q$20,L138)*POWER(Upgrades!$Q$21,M138))*$G$6*(Parameters!$B$10/60*Parameters!$B$11+Q138))/Upgrades!$C$18,0)),IF(K138&gt;0,0,IFERROR(0.30*P138/Upgrades!$C$19,0)),IF(L138&gt;0,0,IFERROR(0.0001/Upgrades!$C$20,0)),IF(M138&gt;0,0,IFERROR((6.0*(POWER(Upgrades!$P$13,E138)*POWER(Upgrades!$P$14,F138)*POWER(Upgrades!$P$15,G138)*POWER(Upgrades!$P$16,H138)*POWER(Upgrades!$P$17,I138)*POWER(Upgrades!$P$18,J138)*POWER(Upgrades!$P$19,K138)*POWER(Upgrades!$P$20,L138)*POWER(Upgrades!$P$21,M138))*$F$6+0.20*O138*(Parameters!$B$10/60*Parameters!$B$11+Q138))/Upgrades!$C$21,0)),IF(AND(ISNUMBER(AK138),AK138&gt;(C138+T138)),AY138,0),IF(AND(ISNUMBER(AL138),AL138&gt;(C138+T138)),AZ138,0),IF(AND(ISNUMBER(AM138),AM138&gt;(C138+T138)),BA138,0),IF(AND(ISNUMBER(AN138),AN138&gt;(C138+T138)),BB138,0),IF(AND(ISNUMBER(AO138),AO138&gt;(C138+T138)),BC138,0))</f>
        <v/>
      </c>
      <c r="BE138" s="29">
        <f>IF(AT138=1,"transition",IF(MIN(IF(AND(J138=0,ISNUMBER(AP138),AP138&lt;=(C138+T138)),AP138,9E15),IF(AND(K138=0,ISNUMBER(AQ138),AQ138&lt;=(C138+T138)),AQ138,9E15),IF(AND(L138=0,ISNUMBER(AR138),AR138&lt;=(C138+T138)),AR138,9E15),IF(AND(M138=0,ISNUMBER(AS138),AS138&lt;=(C138+T138)),AS138,9E15))&lt;9E15,IF(AND(AND(J138=0,ISNUMBER(AP138),AP138&lt;=(C138+T138)),AP138=MIN(IF(AND(J138=0,ISNUMBER(AP138),AP138&lt;=(C138+T138)),AP138,9E15),IF(AND(K138=0,ISNUMBER(AQ138),AQ138&lt;=(C138+T138)),AQ138,9E15),IF(AND(L138=0,ISNUMBER(AR138),AR138&lt;=(C138+T138)),AR138,9E15),IF(AND(M138=0,ISNUMBER(AS138),AS138&lt;=(C138+T138)),AS138,9E15))),"BiP",IF(AND(AND(K138=0,ISNUMBER(AQ138),AQ138&lt;=(C138+T138)),AQ138=MIN(IF(AND(J138=0,ISNUMBER(AP138),AP138&lt;=(C138+T138)),AP138,9E15),IF(AND(K138=0,ISNUMBER(AQ138),AQ138&lt;=(C138+T138)),AQ138,9E15),IF(AND(L138=0,ISNUMBER(AR138),AR138&lt;=(C138+T138)),AR138,9E15),IF(AND(M138=0,ISNUMBER(AS138),AS138&lt;=(C138+T138)),AS138,9E15))),"PV",IF(AND(AND(L138=0,ISNUMBER(AR138),AR138&lt;=(C138+T138)),AR138=MIN(IF(AND(J138=0,ISNUMBER(AP138),AP138&lt;=(C138+T138)),AP138,9E15),IF(AND(K138=0,ISNUMBER(AQ138),AQ138&lt;=(C138+T138)),AQ138,9E15),IF(AND(L138=0,ISNUMBER(AR138),AR138&lt;=(C138+T138)),AR138,9E15),IF(AND(M138=0,ISNUMBER(AS138),AS138&lt;=(C138+T138)),AS138,9E15))),"OC","MG"))),IF(AX138=TRUE,"",IF(MAX(IF(AND(NOT(AND(AU138=1,AT138&lt;&gt;1)),ISNUMBER(AK138),AK138&lt;=(C138+T138)),AY138,0),IF(AND(NOT(AND(AU138=1,AT138&lt;&gt;1)),ISNUMBER(AL138),AL138&lt;=(C138+T138)),AZ138,0),IF(AND(NOT(AND(AU138=1,AT138&lt;&gt;1)),ISNUMBER(AM138),AM138&lt;=(C138+T138)),BA138,0),IF(AND(NOT(AND(AU138=1,AT138&lt;&gt;1)),ISNUMBER(AN138),AN138&lt;=(C138+T138)),BB138,0),IF(AND(ISNUMBER(AO138),AO138&lt;=(C138+T138)),BC138,0))&lt;=0,"",IF(AND(IF(AND(NOT(AND(AU138=1,AT138&lt;&gt;1)),ISNUMBER(AK138),AK138&lt;=(C138+T138)),AY138,0)&gt;0,IF(AND(NOT(AND(AU138=1,AT138&lt;&gt;1)),ISNUMBER(AK138),AK138&lt;=(C138+T138)),AY138,0)=MAX(IF(AND(NOT(AND(AU138=1,AT138&lt;&gt;1)),ISNUMBER(AK138),AK138&lt;=(C138+T138)),AY138,0),IF(AND(NOT(AND(AU138=1,AT138&lt;&gt;1)),ISNUMBER(AL138),AL138&lt;=(C138+T138)),AZ138,0),IF(AND(NOT(AND(AU138=1,AT138&lt;&gt;1)),ISNUMBER(AM138),AM138&lt;=(C138+T138)),BA138,0),IF(AND(NOT(AND(AU138=1,AT138&lt;&gt;1)),ISNUMBER(AN138),AN138&lt;=(C138+T138)),BB138,0),IF(AND(ISNUMBER(AO138),AO138&lt;=(C138+T138)),BC138,0))),"SK",IF(AND(IF(AND(NOT(AND(AU138=1,AT138&lt;&gt;1)),ISNUMBER(AL138),AL138&lt;=(C138+T138)),AZ138,0)&gt;0,IF(AND(NOT(AND(AU138=1,AT138&lt;&gt;1)),ISNUMBER(AL138),AL138&lt;=(C138+T138)),AZ138,0)=MAX(IF(AND(NOT(AND(AU138=1,AT138&lt;&gt;1)),ISNUMBER(AK138),AK138&lt;=(C138+T138)),AY138,0),IF(AND(NOT(AND(AU138=1,AT138&lt;&gt;1)),ISNUMBER(AL138),AL138&lt;=(C138+T138)),AZ138,0),IF(AND(NOT(AND(AU138=1,AT138&lt;&gt;1)),ISNUMBER(AM138),AM138&lt;=(C138+T138)),BA138,0),IF(AND(NOT(AND(AU138=1,AT138&lt;&gt;1)),ISNUMBER(AN138),AN138&lt;=(C138+T138)),BB138,0),IF(AND(ISNUMBER(AO138),AO138&lt;=(C138+T138)),BC138,0))),"LB",IF(AND(IF(AND(NOT(AND(AU138=1,AT138&lt;&gt;1)),ISNUMBER(AM138),AM138&lt;=(C138+T138)),BA138,0)&gt;0,IF(AND(NOT(AND(AU138=1,AT138&lt;&gt;1)),ISNUMBER(AM138),AM138&lt;=(C138+T138)),BA138,0)=MAX(IF(AND(NOT(AND(AU138=1,AT138&lt;&gt;1)),ISNUMBER(AK138),AK138&lt;=(C138+T138)),AY138,0),IF(AND(NOT(AND(AU138=1,AT138&lt;&gt;1)),ISNUMBER(AL138),AL138&lt;=(C138+T138)),AZ138,0),IF(AND(NOT(AND(AU138=1,AT138&lt;&gt;1)),ISNUMBER(AM138),AM138&lt;=(C138+T138)),BA138,0),IF(AND(NOT(AND(AU138=1,AT138&lt;&gt;1)),ISNUMBER(AN138),AN138&lt;=(C138+T138)),BB138,0),IF(AND(ISNUMBER(AO138),AO138&lt;=(C138+T138)),BC138,0))),"ML",IF(AND(IF(AND(NOT(AND(AU138=1,AT138&lt;&gt;1)),ISNUMBER(AN138),AN138&lt;=(C138+T138)),BB138,0)&gt;0,IF(AND(NOT(AND(AU138=1,AT138&lt;&gt;1)),ISNUMBER(AN138),AN138&lt;=(C138+T138)),BB138,0)=MAX(IF(AND(NOT(AND(AU138=1,AT138&lt;&gt;1)),ISNUMBER(AK138),AK138&lt;=(C138+T138)),AY138,0),IF(AND(NOT(AND(AU138=1,AT138&lt;&gt;1)),ISNUMBER(AL138),AL138&lt;=(C138+T138)),AZ138,0),IF(AND(NOT(AND(AU138=1,AT138&lt;&gt;1)),ISNUMBER(AM138),AM138&lt;=(C138+T138)),BA138,0),IF(AND(NOT(AND(AU138=1,AT138&lt;&gt;1)),ISNUMBER(AN138),AN138&lt;=(C138+T138)),BB138,0),IF(AND(ISNUMBER(AO138),AO138&lt;=(C138+T138)),BC138,0))),"RLO","BD"))))))))</f>
        <v/>
      </c>
    </row>
    <row r="139">
      <c r="A139" s="26" t="n">
        <v>128</v>
      </c>
      <c r="B139" s="27">
        <f>A139*10/60</f>
        <v/>
      </c>
      <c r="C139" s="22">
        <f>X138</f>
        <v/>
      </c>
      <c r="D139" s="27">
        <f>D138+W138</f>
        <v/>
      </c>
      <c r="E139" s="26">
        <f>E138+IF(U138="SK",1,0)</f>
        <v/>
      </c>
      <c r="F139" s="26">
        <f>F138+IF(U138="LB",1,0)</f>
        <v/>
      </c>
      <c r="G139" s="26">
        <f>G138+IF(U138="ML",1,0)</f>
        <v/>
      </c>
      <c r="H139" s="26">
        <f>H138+IF(U138="RLO",1,0)</f>
        <v/>
      </c>
      <c r="I139" s="26">
        <f>I138+IF(U138="BD",1,0)</f>
        <v/>
      </c>
      <c r="J139" s="26">
        <f>MAX(J138,IF(U138="BiP",1,0))</f>
        <v/>
      </c>
      <c r="K139" s="26">
        <f>MAX(K138,IF(U138="PV",1,0))</f>
        <v/>
      </c>
      <c r="L139" s="26">
        <f>MAX(L138,IF(U138="OC",1,0))</f>
        <v/>
      </c>
      <c r="M139" s="26">
        <f>MAX(M138,IF(U138="MG",1,0))</f>
        <v/>
      </c>
      <c r="N139" s="26">
        <f>MAX(N138,IF(U138="transition",1,0))</f>
        <v/>
      </c>
      <c r="O139" s="28">
        <f>(Parameters!$B$9+(IF(E139=0,0,(Upgrades!$J$13+E139*Upgrades!$K$13)*POWER(Upgrades!$L$13,E139)))*(IF(Upgrades!$T$14="Stellar Kinematics",POWER(Upgrades!$U$14,F139),1)*IF(Upgrades!$T$15="Stellar Kinematics",POWER(Upgrades!$U$15,G139),1)*IF(Upgrades!$T$16="Stellar Kinematics",POWER(Upgrades!$U$16,H139),1)*IF(Upgrades!$T$17="Stellar Kinematics",POWER(Upgrades!$U$17,I139),1)*IF(Upgrades!$T$18="Stellar Kinematics",POWER(Upgrades!$U$18,J139),1)*IF(Upgrades!$T$19="Stellar Kinematics",POWER(Upgrades!$U$19,K139),1)*IF(Upgrades!$T$20="Stellar Kinematics",POWER(Upgrades!$U$20,L139),1)*IF(Upgrades!$T$21="Stellar Kinematics",POWER(Upgrades!$U$21,M139),1))+(IF(F139=0,0,(Upgrades!$J$14+F139*Upgrades!$K$14)*POWER(Upgrades!$L$14,F139)))*(IF(Upgrades!$T$13="Local Bubble",POWER(Upgrades!$U$13,E139),1)*IF(Upgrades!$T$15="Local Bubble",POWER(Upgrades!$U$15,G139),1)*IF(Upgrades!$T$16="Local Bubble",POWER(Upgrades!$U$16,H139),1)*IF(Upgrades!$T$17="Local Bubble",POWER(Upgrades!$U$17,I139),1)*IF(Upgrades!$T$18="Local Bubble",POWER(Upgrades!$U$18,J139),1)*IF(Upgrades!$T$19="Local Bubble",POWER(Upgrades!$U$19,K139),1)*IF(Upgrades!$T$20="Local Bubble",POWER(Upgrades!$U$20,L139),1)*IF(Upgrades!$T$21="Local Bubble",POWER(Upgrades!$U$21,M139),1))+(IF(G139=0,0,(Upgrades!$J$15+G139*Upgrades!$K$15)*POWER(Upgrades!$L$15,G139)))*(IF(Upgrades!$T$13="Microlensing",POWER(Upgrades!$U$13,E139),1)*IF(Upgrades!$T$14="Microlensing",POWER(Upgrades!$U$14,F139),1)*IF(Upgrades!$T$16="Microlensing",POWER(Upgrades!$U$16,H139),1)*IF(Upgrades!$T$17="Microlensing",POWER(Upgrades!$U$17,I139),1)*IF(Upgrades!$T$18="Microlensing",POWER(Upgrades!$U$18,J139),1)*IF(Upgrades!$T$19="Microlensing",POWER(Upgrades!$U$19,K139),1)*IF(Upgrades!$T$20="Microlensing",POWER(Upgrades!$U$20,L139),1)*IF(Upgrades!$T$21="Microlensing",POWER(Upgrades!$U$21,M139),1))+(IF(H139=0,0,(Upgrades!$J$16+H139*Upgrades!$K$16)*POWER(Upgrades!$L$16,H139)))*(IF(Upgrades!$T$13="Roche Lobe Overflow",POWER(Upgrades!$U$13,E139),1)*IF(Upgrades!$T$14="Roche Lobe Overflow",POWER(Upgrades!$U$14,F139),1)*IF(Upgrades!$T$15="Roche Lobe Overflow",POWER(Upgrades!$U$15,G139),1)*IF(Upgrades!$T$17="Roche Lobe Overflow",POWER(Upgrades!$U$17,I139),1)*IF(Upgrades!$T$18="Roche Lobe Overflow",POWER(Upgrades!$U$18,J139),1)*IF(Upgrades!$T$19="Roche Lobe Overflow",POWER(Upgrades!$U$19,K139),1)*IF(Upgrades!$T$20="Roche Lobe Overflow",POWER(Upgrades!$U$20,L139),1)*IF(Upgrades!$T$21="Roche Lobe Overflow",POWER(Upgrades!$U$21,M139),1))+(IF(I139=0,0,(Upgrades!$J$17+I139*Upgrades!$K$17)*POWER(Upgrades!$L$17,I139)))*(IF(Upgrades!$T$13="Brown Dwarf",POWER(Upgrades!$U$13,E139),1)*IF(Upgrades!$T$14="Brown Dwarf",POWER(Upgrades!$U$14,F139),1)*IF(Upgrades!$T$15="Brown Dwarf",POWER(Upgrades!$U$15,G139),1)*IF(Upgrades!$T$16="Brown Dwarf",POWER(Upgrades!$U$16,H139),1)*IF(Upgrades!$T$18="Brown Dwarf",POWER(Upgrades!$U$18,J139),1)*IF(Upgrades!$T$19="Brown Dwarf",POWER(Upgrades!$U$19,K139),1)*IF(Upgrades!$T$20="Brown Dwarf",POWER(Upgrades!$U$20,L139),1)*IF(Upgrades!$T$21="Brown Dwarf",POWER(Upgrades!$U$21,M139),1))+(IF(J139=0,0,(Upgrades!$J$18+J139*Upgrades!$K$18)*POWER(Upgrades!$L$18,J139)))*(IF(Upgrades!$T$13="Binary Partner",POWER(Upgrades!$U$13,E139),1)*IF(Upgrades!$T$14="Binary Partner",POWER(Upgrades!$U$14,F139),1)*IF(Upgrades!$T$15="Binary Partner",POWER(Upgrades!$U$15,G139),1)*IF(Upgrades!$T$16="Binary Partner",POWER(Upgrades!$U$16,H139),1)*IF(Upgrades!$T$17="Binary Partner",POWER(Upgrades!$U$17,I139),1)*IF(Upgrades!$T$19="Binary Partner",POWER(Upgrades!$U$19,K139),1)*IF(Upgrades!$T$20="Binary Partner",POWER(Upgrades!$U$20,L139),1)*IF(Upgrades!$T$21="Binary Partner",POWER(Upgrades!$U$21,M139),1))+(IF(K139=0,0,(Upgrades!$J$19+K139*Upgrades!$K$19)*POWER(Upgrades!$L$19,K139)))*(IF(Upgrades!$T$13="Peculiar Velocity",POWER(Upgrades!$U$13,E139),1)*IF(Upgrades!$T$14="Peculiar Velocity",POWER(Upgrades!$U$14,F139),1)*IF(Upgrades!$T$15="Peculiar Velocity",POWER(Upgrades!$U$15,G139),1)*IF(Upgrades!$T$16="Peculiar Velocity",POWER(Upgrades!$U$16,H139),1)*IF(Upgrades!$T$17="Peculiar Velocity",POWER(Upgrades!$U$17,I139),1)*IF(Upgrades!$T$18="Peculiar Velocity",POWER(Upgrades!$U$18,J139),1)*IF(Upgrades!$T$20="Peculiar Velocity",POWER(Upgrades!$U$20,L139),1)*IF(Upgrades!$T$21="Peculiar Velocity",POWER(Upgrades!$U$21,M139),1))+(IF(L139=0,0,(Upgrades!$J$20+L139*Upgrades!$K$20)*POWER(Upgrades!$L$20,L139)))*(IF(Upgrades!$T$13="Open Cluster",POWER(Upgrades!$U$13,E139),1)*IF(Upgrades!$T$14="Open Cluster",POWER(Upgrades!$U$14,F139),1)*IF(Upgrades!$T$15="Open Cluster",POWER(Upgrades!$U$15,G139),1)*IF(Upgrades!$T$16="Open Cluster",POWER(Upgrades!$U$16,H139),1)*IF(Upgrades!$T$17="Open Cluster",POWER(Upgrades!$U$17,I139),1)*IF(Upgrades!$T$18="Open Cluster",POWER(Upgrades!$U$18,J139),1)*IF(Upgrades!$T$19="Open Cluster",POWER(Upgrades!$U$19,K139),1)*IF(Upgrades!$T$21="Open Cluster",POWER(Upgrades!$U$21,M139),1))+(IF(M139=0,0,(Upgrades!$J$21+M139*Upgrades!$K$21)*POWER(Upgrades!$L$21,M139)))*(IF(Upgrades!$T$13="Moving Group",POWER(Upgrades!$U$13,E139),1)*IF(Upgrades!$T$14="Moving Group",POWER(Upgrades!$U$14,F139),1)*IF(Upgrades!$T$15="Moving Group",POWER(Upgrades!$U$15,G139),1)*IF(Upgrades!$T$16="Moving Group",POWER(Upgrades!$U$16,H139),1)*IF(Upgrades!$T$17="Moving Group",POWER(Upgrades!$U$17,I139),1)*IF(Upgrades!$T$18="Moving Group",POWER(Upgrades!$U$18,J139),1)*IF(Upgrades!$T$19="Moving Group",POWER(Upgrades!$U$19,K139),1)*IF(Upgrades!$T$20="Moving Group",POWER(Upgrades!$U$20,L139),1)))*POWER(Upgrades!$Q$13,E139)*POWER(Upgrades!$Q$14,F139)*POWER(Upgrades!$Q$15,G139)*POWER(Upgrades!$Q$16,H139)*POWER(Upgrades!$Q$17,I139)*POWER(Upgrades!$Q$18,J139)*POWER(Upgrades!$Q$19,K139)*POWER(Upgrades!$Q$20,L139)*POWER(Upgrades!$Q$21,M139)*$G$6+$D$6</f>
        <v/>
      </c>
      <c r="P139" s="28">
        <f>((IF(E139=0,0,(Upgrades!$G$13+E139*Upgrades!$H$13)*POWER(Upgrades!$I$13,E139)))*(IF(Upgrades!$T$14="Stellar Kinematics",POWER(Upgrades!$U$14,F139),1)*IF(Upgrades!$T$15="Stellar Kinematics",POWER(Upgrades!$U$15,G139),1)*IF(Upgrades!$T$16="Stellar Kinematics",POWER(Upgrades!$U$16,H139),1)*IF(Upgrades!$T$17="Stellar Kinematics",POWER(Upgrades!$U$17,I139),1)*IF(Upgrades!$T$18="Stellar Kinematics",POWER(Upgrades!$U$18,J139),1)*IF(Upgrades!$T$19="Stellar Kinematics",POWER(Upgrades!$U$19,K139),1)*IF(Upgrades!$T$20="Stellar Kinematics",POWER(Upgrades!$U$20,L139),1)*IF(Upgrades!$T$21="Stellar Kinematics",POWER(Upgrades!$U$21,M139),1))+(IF(F139=0,0,(Upgrades!$G$14+F139*Upgrades!$H$14)*POWER(Upgrades!$I$14,F139)))*(IF(Upgrades!$T$13="Local Bubble",POWER(Upgrades!$U$13,E139),1)*IF(Upgrades!$T$15="Local Bubble",POWER(Upgrades!$U$15,G139),1)*IF(Upgrades!$T$16="Local Bubble",POWER(Upgrades!$U$16,H139),1)*IF(Upgrades!$T$17="Local Bubble",POWER(Upgrades!$U$17,I139),1)*IF(Upgrades!$T$18="Local Bubble",POWER(Upgrades!$U$18,J139),1)*IF(Upgrades!$T$19="Local Bubble",POWER(Upgrades!$U$19,K139),1)*IF(Upgrades!$T$20="Local Bubble",POWER(Upgrades!$U$20,L139),1)*IF(Upgrades!$T$21="Local Bubble",POWER(Upgrades!$U$21,M139),1))+(IF(G139=0,0,(Upgrades!$G$15+G139*Upgrades!$H$15)*POWER(Upgrades!$I$15,G139)))*(IF(Upgrades!$T$13="Microlensing",POWER(Upgrades!$U$13,E139),1)*IF(Upgrades!$T$14="Microlensing",POWER(Upgrades!$U$14,F139),1)*IF(Upgrades!$T$16="Microlensing",POWER(Upgrades!$U$16,H139),1)*IF(Upgrades!$T$17="Microlensing",POWER(Upgrades!$U$17,I139),1)*IF(Upgrades!$T$18="Microlensing",POWER(Upgrades!$U$18,J139),1)*IF(Upgrades!$T$19="Microlensing",POWER(Upgrades!$U$19,K139),1)*IF(Upgrades!$T$20="Microlensing",POWER(Upgrades!$U$20,L139),1)*IF(Upgrades!$T$21="Microlensing",POWER(Upgrades!$U$21,M139),1))+(IF(H139=0,0,(Upgrades!$G$16+H139*Upgrades!$H$16)*POWER(Upgrades!$I$16,H139)))*(IF(Upgrades!$T$13="Roche Lobe Overflow",POWER(Upgrades!$U$13,E139),1)*IF(Upgrades!$T$14="Roche Lobe Overflow",POWER(Upgrades!$U$14,F139),1)*IF(Upgrades!$T$15="Roche Lobe Overflow",POWER(Upgrades!$U$15,G139),1)*IF(Upgrades!$T$17="Roche Lobe Overflow",POWER(Upgrades!$U$17,I139),1)*IF(Upgrades!$T$18="Roche Lobe Overflow",POWER(Upgrades!$U$18,J139),1)*IF(Upgrades!$T$19="Roche Lobe Overflow",POWER(Upgrades!$U$19,K139),1)*IF(Upgrades!$T$20="Roche Lobe Overflow",POWER(Upgrades!$U$20,L139),1)*IF(Upgrades!$T$21="Roche Lobe Overflow",POWER(Upgrades!$U$21,M139),1))+(IF(I139=0,0,(Upgrades!$G$17+I139*Upgrades!$H$17)*POWER(Upgrades!$I$17,I139)))*(IF(Upgrades!$T$13="Brown Dwarf",POWER(Upgrades!$U$13,E139),1)*IF(Upgrades!$T$14="Brown Dwarf",POWER(Upgrades!$U$14,F139),1)*IF(Upgrades!$T$15="Brown Dwarf",POWER(Upgrades!$U$15,G139),1)*IF(Upgrades!$T$16="Brown Dwarf",POWER(Upgrades!$U$16,H139),1)*IF(Upgrades!$T$18="Brown Dwarf",POWER(Upgrades!$U$18,J139),1)*IF(Upgrades!$T$19="Brown Dwarf",POWER(Upgrades!$U$19,K139),1)*IF(Upgrades!$T$20="Brown Dwarf",POWER(Upgrades!$U$20,L139),1)*IF(Upgrades!$T$21="Brown Dwarf",POWER(Upgrades!$U$21,M139),1))+(IF(J139=0,0,(Upgrades!$G$18+J139*Upgrades!$H$18)*POWER(Upgrades!$I$18,J139)))*(IF(Upgrades!$T$13="Binary Partner",POWER(Upgrades!$U$13,E139),1)*IF(Upgrades!$T$14="Binary Partner",POWER(Upgrades!$U$14,F139),1)*IF(Upgrades!$T$15="Binary Partner",POWER(Upgrades!$U$15,G139),1)*IF(Upgrades!$T$16="Binary Partner",POWER(Upgrades!$U$16,H139),1)*IF(Upgrades!$T$17="Binary Partner",POWER(Upgrades!$U$17,I139),1)*IF(Upgrades!$T$19="Binary Partner",POWER(Upgrades!$U$19,K139),1)*IF(Upgrades!$T$20="Binary Partner",POWER(Upgrades!$U$20,L139),1)*IF(Upgrades!$T$21="Binary Partner",POWER(Upgrades!$U$21,M139),1))+(IF(K139=0,0,(Upgrades!$G$19+K139*Upgrades!$H$19)*POWER(Upgrades!$I$19,K139)))*(IF(Upgrades!$T$13="Peculiar Velocity",POWER(Upgrades!$U$13,E139),1)*IF(Upgrades!$T$14="Peculiar Velocity",POWER(Upgrades!$U$14,F139),1)*IF(Upgrades!$T$15="Peculiar Velocity",POWER(Upgrades!$U$15,G139),1)*IF(Upgrades!$T$16="Peculiar Velocity",POWER(Upgrades!$U$16,H139),1)*IF(Upgrades!$T$17="Peculiar Velocity",POWER(Upgrades!$U$17,I139),1)*IF(Upgrades!$T$18="Peculiar Velocity",POWER(Upgrades!$U$18,J139),1)*IF(Upgrades!$T$20="Peculiar Velocity",POWER(Upgrades!$U$20,L139),1)*IF(Upgrades!$T$21="Peculiar Velocity",POWER(Upgrades!$U$21,M139),1))+(IF(L139=0,0,(Upgrades!$G$20+L139*Upgrades!$H$20)*POWER(Upgrades!$I$20,L139)))*(IF(Upgrades!$T$13="Open Cluster",POWER(Upgrades!$U$13,E139),1)*IF(Upgrades!$T$14="Open Cluster",POWER(Upgrades!$U$14,F139),1)*IF(Upgrades!$T$15="Open Cluster",POWER(Upgrades!$U$15,G139),1)*IF(Upgrades!$T$16="Open Cluster",POWER(Upgrades!$U$16,H139),1)*IF(Upgrades!$T$17="Open Cluster",POWER(Upgrades!$U$17,I139),1)*IF(Upgrades!$T$18="Open Cluster",POWER(Upgrades!$U$18,J139),1)*IF(Upgrades!$T$19="Open Cluster",POWER(Upgrades!$U$19,K139),1)*IF(Upgrades!$T$21="Open Cluster",POWER(Upgrades!$U$21,M139),1))+(IF(M139=0,0,(Upgrades!$G$21+M139*Upgrades!$H$21)*POWER(Upgrades!$I$21,M139)))*(IF(Upgrades!$T$13="Moving Group",POWER(Upgrades!$U$13,E139),1)*IF(Upgrades!$T$14="Moving Group",POWER(Upgrades!$U$14,F139),1)*IF(Upgrades!$T$15="Moving Group",POWER(Upgrades!$U$15,G139),1)*IF(Upgrades!$T$16="Moving Group",POWER(Upgrades!$U$16,H139),1)*IF(Upgrades!$T$17="Moving Group",POWER(Upgrades!$U$17,I139),1)*IF(Upgrades!$T$18="Moving Group",POWER(Upgrades!$U$18,J139),1)*IF(Upgrades!$T$19="Moving Group",POWER(Upgrades!$U$19,K139),1)*IF(Upgrades!$T$20="Moving Group",POWER(Upgrades!$U$20,L139),1)))*POWER(Upgrades!$P$13,E139)*POWER(Upgrades!$P$14,F139)*POWER(Upgrades!$P$15,G139)*POWER(Upgrades!$P$16,H139)*POWER(Upgrades!$P$17,I139)*POWER(Upgrades!$P$18,J139)*POWER(Upgrades!$P$19,K139)*POWER(Upgrades!$P$20,L139)*POWER(Upgrades!$P$21,M139)*$F$6+$C$6</f>
        <v/>
      </c>
      <c r="Q139" s="28">
        <f>((IF(E139=0,0,(Upgrades!$M$13+E139*Upgrades!$N$13)*POWER(Upgrades!$O$13,E139)))*(IF(Upgrades!$T$14="Stellar Kinematics",POWER(Upgrades!$U$14,F139),1)*IF(Upgrades!$T$15="Stellar Kinematics",POWER(Upgrades!$U$15,G139),1)*IF(Upgrades!$T$16="Stellar Kinematics",POWER(Upgrades!$U$16,H139),1)*IF(Upgrades!$T$17="Stellar Kinematics",POWER(Upgrades!$U$17,I139),1)*IF(Upgrades!$T$18="Stellar Kinematics",POWER(Upgrades!$U$18,J139),1)*IF(Upgrades!$T$19="Stellar Kinematics",POWER(Upgrades!$U$19,K139),1)*IF(Upgrades!$T$20="Stellar Kinematics",POWER(Upgrades!$U$20,L139),1)*IF(Upgrades!$T$21="Stellar Kinematics",POWER(Upgrades!$U$21,M139),1))+(IF(F139=0,0,(Upgrades!$M$14+F139*Upgrades!$N$14)*POWER(Upgrades!$O$14,F139)))*(IF(Upgrades!$T$13="Local Bubble",POWER(Upgrades!$U$13,E139),1)*IF(Upgrades!$T$15="Local Bubble",POWER(Upgrades!$U$15,G139),1)*IF(Upgrades!$T$16="Local Bubble",POWER(Upgrades!$U$16,H139),1)*IF(Upgrades!$T$17="Local Bubble",POWER(Upgrades!$U$17,I139),1)*IF(Upgrades!$T$18="Local Bubble",POWER(Upgrades!$U$18,J139),1)*IF(Upgrades!$T$19="Local Bubble",POWER(Upgrades!$U$19,K139),1)*IF(Upgrades!$T$20="Local Bubble",POWER(Upgrades!$U$20,L139),1)*IF(Upgrades!$T$21="Local Bubble",POWER(Upgrades!$U$21,M139),1))+(IF(G139=0,0,(Upgrades!$M$15+G139*Upgrades!$N$15)*POWER(Upgrades!$O$15,G139)))*(IF(Upgrades!$T$13="Microlensing",POWER(Upgrades!$U$13,E139),1)*IF(Upgrades!$T$14="Microlensing",POWER(Upgrades!$U$14,F139),1)*IF(Upgrades!$T$16="Microlensing",POWER(Upgrades!$U$16,H139),1)*IF(Upgrades!$T$17="Microlensing",POWER(Upgrades!$U$17,I139),1)*IF(Upgrades!$T$18="Microlensing",POWER(Upgrades!$U$18,J139),1)*IF(Upgrades!$T$19="Microlensing",POWER(Upgrades!$U$19,K139),1)*IF(Upgrades!$T$20="Microlensing",POWER(Upgrades!$U$20,L139),1)*IF(Upgrades!$T$21="Microlensing",POWER(Upgrades!$U$21,M139),1))+(IF(H139=0,0,(Upgrades!$M$16+H139*Upgrades!$N$16)*POWER(Upgrades!$O$16,H139)))*(IF(Upgrades!$T$13="Roche Lobe Overflow",POWER(Upgrades!$U$13,E139),1)*IF(Upgrades!$T$14="Roche Lobe Overflow",POWER(Upgrades!$U$14,F139),1)*IF(Upgrades!$T$15="Roche Lobe Overflow",POWER(Upgrades!$U$15,G139),1)*IF(Upgrades!$T$17="Roche Lobe Overflow",POWER(Upgrades!$U$17,I139),1)*IF(Upgrades!$T$18="Roche Lobe Overflow",POWER(Upgrades!$U$18,J139),1)*IF(Upgrades!$T$19="Roche Lobe Overflow",POWER(Upgrades!$U$19,K139),1)*IF(Upgrades!$T$20="Roche Lobe Overflow",POWER(Upgrades!$U$20,L139),1)*IF(Upgrades!$T$21="Roche Lobe Overflow",POWER(Upgrades!$U$21,M139),1))+(IF(I139=0,0,(Upgrades!$M$17+I139*Upgrades!$N$17)*POWER(Upgrades!$O$17,I139)))*(IF(Upgrades!$T$13="Brown Dwarf",POWER(Upgrades!$U$13,E139),1)*IF(Upgrades!$T$14="Brown Dwarf",POWER(Upgrades!$U$14,F139),1)*IF(Upgrades!$T$15="Brown Dwarf",POWER(Upgrades!$U$15,G139),1)*IF(Upgrades!$T$16="Brown Dwarf",POWER(Upgrades!$U$16,H139),1)*IF(Upgrades!$T$18="Brown Dwarf",POWER(Upgrades!$U$18,J139),1)*IF(Upgrades!$T$19="Brown Dwarf",POWER(Upgrades!$U$19,K139),1)*IF(Upgrades!$T$20="Brown Dwarf",POWER(Upgrades!$U$20,L139),1)*IF(Upgrades!$T$21="Brown Dwarf",POWER(Upgrades!$U$21,M139),1))+(IF(J139=0,0,(Upgrades!$M$18+J139*Upgrades!$N$18)*POWER(Upgrades!$O$18,J139)))*(IF(Upgrades!$T$13="Binary Partner",POWER(Upgrades!$U$13,E139),1)*IF(Upgrades!$T$14="Binary Partner",POWER(Upgrades!$U$14,F139),1)*IF(Upgrades!$T$15="Binary Partner",POWER(Upgrades!$U$15,G139),1)*IF(Upgrades!$T$16="Binary Partner",POWER(Upgrades!$U$16,H139),1)*IF(Upgrades!$T$17="Binary Partner",POWER(Upgrades!$U$17,I139),1)*IF(Upgrades!$T$19="Binary Partner",POWER(Upgrades!$U$19,K139),1)*IF(Upgrades!$T$20="Binary Partner",POWER(Upgrades!$U$20,L139),1)*IF(Upgrades!$T$21="Binary Partner",POWER(Upgrades!$U$21,M139),1))+(IF(K139=0,0,(Upgrades!$M$19+K139*Upgrades!$N$19)*POWER(Upgrades!$O$19,K139)))*(IF(Upgrades!$T$13="Peculiar Velocity",POWER(Upgrades!$U$13,E139),1)*IF(Upgrades!$T$14="Peculiar Velocity",POWER(Upgrades!$U$14,F139),1)*IF(Upgrades!$T$15="Peculiar Velocity",POWER(Upgrades!$U$15,G139),1)*IF(Upgrades!$T$16="Peculiar Velocity",POWER(Upgrades!$U$16,H139),1)*IF(Upgrades!$T$17="Peculiar Velocity",POWER(Upgrades!$U$17,I139),1)*IF(Upgrades!$T$18="Peculiar Velocity",POWER(Upgrades!$U$18,J139),1)*IF(Upgrades!$T$20="Peculiar Velocity",POWER(Upgrades!$U$20,L139),1)*IF(Upgrades!$T$21="Peculiar Velocity",POWER(Upgrades!$U$21,M139),1))+(IF(L139=0,0,(Upgrades!$M$20+L139*Upgrades!$N$20)*POWER(Upgrades!$O$20,L139)))*(IF(Upgrades!$T$13="Open Cluster",POWER(Upgrades!$U$13,E139),1)*IF(Upgrades!$T$14="Open Cluster",POWER(Upgrades!$U$14,F139),1)*IF(Upgrades!$T$15="Open Cluster",POWER(Upgrades!$U$15,G139),1)*IF(Upgrades!$T$16="Open Cluster",POWER(Upgrades!$U$16,H139),1)*IF(Upgrades!$T$17="Open Cluster",POWER(Upgrades!$U$17,I139),1)*IF(Upgrades!$T$18="Open Cluster",POWER(Upgrades!$U$18,J139),1)*IF(Upgrades!$T$19="Open Cluster",POWER(Upgrades!$U$19,K139),1)*IF(Upgrades!$T$21="Open Cluster",POWER(Upgrades!$U$21,M139),1))+(IF(M139=0,0,(Upgrades!$M$21+M139*Upgrades!$N$21)*POWER(Upgrades!$O$21,M139)))*(IF(Upgrades!$T$13="Moving Group",POWER(Upgrades!$U$13,E139),1)*IF(Upgrades!$T$14="Moving Group",POWER(Upgrades!$U$14,F139),1)*IF(Upgrades!$T$15="Moving Group",POWER(Upgrades!$U$15,G139),1)*IF(Upgrades!$T$16="Moving Group",POWER(Upgrades!$U$16,H139),1)*IF(Upgrades!$T$17="Moving Group",POWER(Upgrades!$U$17,I139),1)*IF(Upgrades!$T$18="Moving Group",POWER(Upgrades!$U$18,J139),1)*IF(Upgrades!$T$19="Moving Group",POWER(Upgrades!$U$19,K139),1)*IF(Upgrades!$T$20="Moving Group",POWER(Upgrades!$U$20,L139),1)))*POWER(Upgrades!$R$13,E139)*POWER(Upgrades!$R$14,F139)*POWER(Upgrades!$R$15,G139)*POWER(Upgrades!$R$16,H139)*POWER(Upgrades!$R$17,I139)*POWER(Upgrades!$R$18,J139)*POWER(Upgrades!$R$19,K139)*POWER(Upgrades!$R$20,L139)*POWER(Upgrades!$R$21,M139)*$H$6+$E$6</f>
        <v/>
      </c>
      <c r="R139" s="27">
        <f>IF(N139=1,0,O139*Parameters!$B$10/60*Parameters!$B$11*10)</f>
        <v/>
      </c>
      <c r="S139" s="27">
        <f>IF(N139=1,0,Q139*O139*10)</f>
        <v/>
      </c>
      <c r="T139" s="27">
        <f>IF(N139=1,0,R139+S139+P139*10)</f>
        <v/>
      </c>
      <c r="U139" s="33">
        <f>BE139</f>
        <v/>
      </c>
      <c r="V139" s="22">
        <f>IF(U139="",0,IF(U139="transition",0,IF(U139="SK",AK139,IF(U139="LB",AL139,IF(U139="ML",AM139,IF(U139="RLO",AN139,IF(U139="BD",AO139,IF(U139="BiP",AP139,IF(U139="PV",AQ139,IF(U139="OC",AR139,IF(U139="MG",AS139,0))))))))))</f>
        <v/>
      </c>
      <c r="W139" s="27">
        <f>IF(U139="BiP",Upgrades!$F$18,IF(U139="PV",Upgrades!$F$19,IF(U139="OC",Upgrades!$F$20,IF(U139="MG",Upgrades!$F$21,IF(U139="transition",-Parameters!$B$18*Parameters!$B$19,0)))))</f>
        <v/>
      </c>
      <c r="X139" s="22">
        <f>C139+T139-V139</f>
        <v/>
      </c>
      <c r="Y139" s="30">
        <f>O139*Parameters!$B$10/60*Parameters!$B$11+Q139*O139+P139</f>
        <v/>
      </c>
      <c r="Z139" s="34">
        <f>IF(U139="transition","→ Tier 3 (Galactic Arm)",IF(U139="MG","Moving Group — pocket drifts together",IF(U139="OC","Open Cluster acquired",IF(U139="PV","Peculiar Velocity — passive multiplier active",IF(U139="BiP","Binary Partner — pair bond formed",IF(AND(AU139=1,N139=0,AT139&lt;&gt;1),"Cohesion ready (waiting on completionists)","")))))) </f>
        <v/>
      </c>
      <c r="AA139" s="27">
        <f>(IF(E139=0,0,(Upgrades!$G$13+E139*Upgrades!$H$13)*POWER(Upgrades!$I$13,E139)))*(IF(Upgrades!$T$14="Stellar Kinematics",POWER(Upgrades!$U$14,F139),1)*IF(Upgrades!$T$15="Stellar Kinematics",POWER(Upgrades!$U$15,G139),1)*IF(Upgrades!$T$16="Stellar Kinematics",POWER(Upgrades!$U$16,H139),1)*IF(Upgrades!$T$17="Stellar Kinematics",POWER(Upgrades!$U$17,I139),1)*IF(Upgrades!$T$18="Stellar Kinematics",POWER(Upgrades!$U$18,J139),1)*IF(Upgrades!$T$19="Stellar Kinematics",POWER(Upgrades!$U$19,K139),1)*IF(Upgrades!$T$20="Stellar Kinematics",POWER(Upgrades!$U$20,L139),1)*IF(Upgrades!$T$21="Stellar Kinematics",POWER(Upgrades!$U$21,M139),1))*POWER(Upgrades!$P$13,E139)*POWER(Upgrades!$P$14,F139)*POWER(Upgrades!$P$15,G139)*POWER(Upgrades!$P$16,H139)*POWER(Upgrades!$P$17,I139)*POWER(Upgrades!$P$18,J139)*POWER(Upgrades!$P$19,K139)*POWER(Upgrades!$P$20,L139)*POWER(Upgrades!$P$21,M139)*$F$6*60</f>
        <v/>
      </c>
      <c r="AB139" s="27">
        <f>(IF(F139=0,0,(Upgrades!$G$14+F139*Upgrades!$H$14)*POWER(Upgrades!$I$14,F139)))*(IF(Upgrades!$T$13="Local Bubble",POWER(Upgrades!$U$13,E139),1)*IF(Upgrades!$T$15="Local Bubble",POWER(Upgrades!$U$15,G139),1)*IF(Upgrades!$T$16="Local Bubble",POWER(Upgrades!$U$16,H139),1)*IF(Upgrades!$T$17="Local Bubble",POWER(Upgrades!$U$17,I139),1)*IF(Upgrades!$T$18="Local Bubble",POWER(Upgrades!$U$18,J139),1)*IF(Upgrades!$T$19="Local Bubble",POWER(Upgrades!$U$19,K139),1)*IF(Upgrades!$T$20="Local Bubble",POWER(Upgrades!$U$20,L139),1)*IF(Upgrades!$T$21="Local Bubble",POWER(Upgrades!$U$21,M139),1))*POWER(Upgrades!$P$13,E139)*POWER(Upgrades!$P$14,F139)*POWER(Upgrades!$P$15,G139)*POWER(Upgrades!$P$16,H139)*POWER(Upgrades!$P$17,I139)*POWER(Upgrades!$P$18,J139)*POWER(Upgrades!$P$19,K139)*POWER(Upgrades!$P$20,L139)*POWER(Upgrades!$P$21,M139)*$F$6*60</f>
        <v/>
      </c>
      <c r="AC139" s="27">
        <f>(IF(G139=0,0,(Upgrades!$J$15+G139*Upgrades!$K$15)*POWER(Upgrades!$L$15,G139)))*(IF(Upgrades!$T$13="Microlensing",POWER(Upgrades!$U$13,E139),1)*IF(Upgrades!$T$14="Microlensing",POWER(Upgrades!$U$14,F139),1)*IF(Upgrades!$T$16="Microlensing",POWER(Upgrades!$U$16,H139),1)*IF(Upgrades!$T$17="Microlensing",POWER(Upgrades!$U$17,I139),1)*IF(Upgrades!$T$18="Microlensing",POWER(Upgrades!$U$18,J139),1)*IF(Upgrades!$T$19="Microlensing",POWER(Upgrades!$U$19,K139),1)*IF(Upgrades!$T$20="Microlensing",POWER(Upgrades!$U$20,L139),1)*IF(Upgrades!$T$21="Microlensing",POWER(Upgrades!$U$21,M139),1))*POWER(Upgrades!$Q$13,E139)*POWER(Upgrades!$Q$14,F139)*POWER(Upgrades!$Q$15,G139)*POWER(Upgrades!$Q$16,H139)*POWER(Upgrades!$Q$17,I139)*POWER(Upgrades!$Q$18,J139)*POWER(Upgrades!$Q$19,K139)*POWER(Upgrades!$Q$20,L139)*POWER(Upgrades!$Q$21,M139)*$G$6*(Parameters!$B$10*Parameters!$B$11+Q139*60)</f>
        <v/>
      </c>
      <c r="AD139" s="27">
        <f>(IF(H139=0,0,(Upgrades!$M$16+H139*Upgrades!$N$16)*POWER(Upgrades!$O$16,H139)))*(IF(Upgrades!$T$13="Roche Lobe Overflow",POWER(Upgrades!$U$13,E139),1)*IF(Upgrades!$T$14="Roche Lobe Overflow",POWER(Upgrades!$U$14,F139),1)*IF(Upgrades!$T$15="Roche Lobe Overflow",POWER(Upgrades!$U$15,G139),1)*IF(Upgrades!$T$17="Roche Lobe Overflow",POWER(Upgrades!$U$17,I139),1)*IF(Upgrades!$T$18="Roche Lobe Overflow",POWER(Upgrades!$U$18,J139),1)*IF(Upgrades!$T$19="Roche Lobe Overflow",POWER(Upgrades!$U$19,K139),1)*IF(Upgrades!$T$20="Roche Lobe Overflow",POWER(Upgrades!$U$20,L139),1)*IF(Upgrades!$T$21="Roche Lobe Overflow",POWER(Upgrades!$U$21,M139),1))*POWER(Upgrades!$R$13,E139)*POWER(Upgrades!$R$14,F139)*POWER(Upgrades!$R$15,G139)*POWER(Upgrades!$R$16,H139)*POWER(Upgrades!$R$17,I139)*POWER(Upgrades!$R$18,J139)*POWER(Upgrades!$R$19,K139)*POWER(Upgrades!$R$20,L139)*POWER(Upgrades!$R$21,M139)*$H$6*O139*60</f>
        <v/>
      </c>
      <c r="AE139" s="27">
        <f>(IF(I139=0,0,(Upgrades!$G$17+I139*Upgrades!$H$17)*POWER(Upgrades!$I$17,I139)))*(IF(Upgrades!$T$13="Brown Dwarf",POWER(Upgrades!$U$13,E139),1)*IF(Upgrades!$T$14="Brown Dwarf",POWER(Upgrades!$U$14,F139),1)*IF(Upgrades!$T$15="Brown Dwarf",POWER(Upgrades!$U$15,G139),1)*IF(Upgrades!$T$16="Brown Dwarf",POWER(Upgrades!$U$16,H139),1)*IF(Upgrades!$T$18="Brown Dwarf",POWER(Upgrades!$U$18,J139),1)*IF(Upgrades!$T$19="Brown Dwarf",POWER(Upgrades!$U$19,K139),1)*IF(Upgrades!$T$20="Brown Dwarf",POWER(Upgrades!$U$20,L139),1)*IF(Upgrades!$T$21="Brown Dwarf",POWER(Upgrades!$U$21,M139),1))*POWER(Upgrades!$P$13,E139)*POWER(Upgrades!$P$14,F139)*POWER(Upgrades!$P$15,G139)*POWER(Upgrades!$P$16,H139)*POWER(Upgrades!$P$17,I139)*POWER(Upgrades!$P$18,J139)*POWER(Upgrades!$P$19,K139)*POWER(Upgrades!$P$20,L139)*POWER(Upgrades!$P$21,M139)*$F$6*60</f>
        <v/>
      </c>
      <c r="AF139" s="27" t="n">
        <v>0</v>
      </c>
      <c r="AG139" s="27" t="n">
        <v>0</v>
      </c>
      <c r="AH139" s="27" t="n">
        <v>0</v>
      </c>
      <c r="AI139" s="27">
        <f>(IF(M139=0,0,(Upgrades!$G$21+M139*Upgrades!$H$21)*POWER(Upgrades!$I$21,M139)))*(IF(Upgrades!$T$13="Moving Group",POWER(Upgrades!$U$13,E139),1)*IF(Upgrades!$T$14="Moving Group",POWER(Upgrades!$U$14,F139),1)*IF(Upgrades!$T$15="Moving Group",POWER(Upgrades!$U$15,G139),1)*IF(Upgrades!$T$16="Moving Group",POWER(Upgrades!$U$16,H139),1)*IF(Upgrades!$T$17="Moving Group",POWER(Upgrades!$U$17,I139),1)*IF(Upgrades!$T$18="Moving Group",POWER(Upgrades!$U$18,J139),1)*IF(Upgrades!$T$19="Moving Group",POWER(Upgrades!$U$19,K139),1)*IF(Upgrades!$T$20="Moving Group",POWER(Upgrades!$U$20,L139),1))*POWER(Upgrades!$P$13,E139)*POWER(Upgrades!$P$14,F139)*POWER(Upgrades!$P$15,G139)*POWER(Upgrades!$P$16,H139)*POWER(Upgrades!$P$17,I139)*POWER(Upgrades!$P$18,J139)*POWER(Upgrades!$P$19,K139)*POWER(Upgrades!$P$20,L139)*POWER(Upgrades!$P$21,M139)*$F$6*60</f>
        <v/>
      </c>
      <c r="AJ139" s="27">
        <f>$C$6*60</f>
        <v/>
      </c>
      <c r="AK139" s="22">
        <f>IF(E139&gt;=Upgrades!$E$13,"",Upgrades!$C$13*POWER(Upgrades!$D$13,E139))</f>
        <v/>
      </c>
      <c r="AL139" s="22">
        <f>IF(F139&gt;=Upgrades!$E$14,"",Upgrades!$C$14*POWER(Upgrades!$D$14,F139))</f>
        <v/>
      </c>
      <c r="AM139" s="22">
        <f>IF(G139&gt;=Upgrades!$E$15,"",Upgrades!$C$15*POWER(Upgrades!$D$15,G139))</f>
        <v/>
      </c>
      <c r="AN139" s="22">
        <f>IF(H139&gt;=Upgrades!$E$16,"",Upgrades!$C$16*POWER(Upgrades!$D$16,H139))</f>
        <v/>
      </c>
      <c r="AO139" s="22">
        <f>IF(I139&gt;=Upgrades!$E$17,"",Upgrades!$C$17*POWER(Upgrades!$D$17,I139))</f>
        <v/>
      </c>
      <c r="AP139" s="22">
        <f>IF(J139&gt;=Upgrades!$E$18,"",Upgrades!$C$18*POWER(Upgrades!$D$18,J139))</f>
        <v/>
      </c>
      <c r="AQ139" s="22">
        <f>IF(K139&gt;=Upgrades!$E$19,"",Upgrades!$C$19*POWER(Upgrades!$D$19,K139))</f>
        <v/>
      </c>
      <c r="AR139" s="22">
        <f>IF(L139&gt;=Upgrades!$E$20,"",Upgrades!$C$20*POWER(Upgrades!$D$20,L139))</f>
        <v/>
      </c>
      <c r="AS139" s="22">
        <f>IF(M139&gt;=Upgrades!$E$21,"",Upgrades!$C$21*POWER(Upgrades!$D$21,M139))</f>
        <v/>
      </c>
      <c r="AT139" s="26">
        <f>IF(AND(D139&gt;=Parameters!$B$18*Parameters!$B$19,(I139&gt;=Upgrades!$E$17)*(M139&gt;=Upgrades!$E$21)=1,N139=0),1,"")</f>
        <v/>
      </c>
      <c r="AU139" s="26">
        <f>IF(AND(D139&gt;=Parameters!$B$18*Parameters!$B$19,N139=0),1,"")</f>
        <v/>
      </c>
      <c r="AV139" s="22">
        <f>MIN(IF(ISNUMBER(AP139),AP139,9E15),IF(ISNUMBER(AQ139),AQ139,9E15),IF(ISNUMBER(AR139),AR139,9E15),IF(ISNUMBER(AS139),AS139,9E15))</f>
        <v/>
      </c>
      <c r="AW139" s="22">
        <f>MIN(IF(ISNUMBER(AK139),AK139,9E15),IF(ISNUMBER(AL139),AL139,9E15),IF(ISNUMBER(AM139),AM139,9E15),IF(ISNUMBER(AN139),AN139,9E15),IF(ISNUMBER(AO139),AO139,9E15))</f>
        <v/>
      </c>
      <c r="AX139" s="29">
        <f>IF(BD139&gt;Parameters!$B$21*(MAX(IF(AND(NOT(AND(AU139=1,AT139&lt;&gt;1)),ISNUMBER(AK139),AK139&lt;=(C139+T139)),AY139,0),IF(AND(NOT(AND(AU139=1,AT139&lt;&gt;1)),ISNUMBER(AL139),AL139&lt;=(C139+T139)),AZ139,0),IF(AND(NOT(AND(AU139=1,AT139&lt;&gt;1)),ISNUMBER(AM139),AM139&lt;=(C139+T139)),BA139,0),IF(AND(NOT(AND(AU139=1,AT139&lt;&gt;1)),ISNUMBER(AN139),AN139&lt;=(C139+T139)),BB139,0),IF(AND(ISNUMBER(AO139),AO139&lt;=(C139+T139)),BC139,0))),TRUE,FALSE)</f>
        <v/>
      </c>
      <c r="AY139" s="32">
        <f>IFERROR(Upgrades!$H$13*(POWER(Upgrades!$P$13,E139)*POWER(Upgrades!$P$14,F139)*POWER(Upgrades!$P$15,G139)*POWER(Upgrades!$P$16,H139)*POWER(Upgrades!$P$17,I139)*POWER(Upgrades!$P$18,J139)*POWER(Upgrades!$P$19,K139)*POWER(Upgrades!$P$20,L139)*POWER(Upgrades!$P$21,M139))*(IF(Upgrades!$T$14="Stellar Kinematics",POWER(Upgrades!$U$14,F139),1)*IF(Upgrades!$T$15="Stellar Kinematics",POWER(Upgrades!$U$15,G139),1)*IF(Upgrades!$T$16="Stellar Kinematics",POWER(Upgrades!$U$16,H139),1)*IF(Upgrades!$T$17="Stellar Kinematics",POWER(Upgrades!$U$17,I139),1)*IF(Upgrades!$T$18="Stellar Kinematics",POWER(Upgrades!$U$18,J139),1)*IF(Upgrades!$T$19="Stellar Kinematics",POWER(Upgrades!$U$19,K139),1)*IF(Upgrades!$T$20="Stellar Kinematics",POWER(Upgrades!$U$20,L139),1)*IF(Upgrades!$T$21="Stellar Kinematics",POWER(Upgrades!$U$21,M139),1))*$F$6/AK139,0)</f>
        <v/>
      </c>
      <c r="AZ139" s="32">
        <f>IFERROR(Upgrades!$H$14*(POWER(Upgrades!$P$13,E139)*POWER(Upgrades!$P$14,F139)*POWER(Upgrades!$P$15,G139)*POWER(Upgrades!$P$16,H139)*POWER(Upgrades!$P$17,I139)*POWER(Upgrades!$P$18,J139)*POWER(Upgrades!$P$19,K139)*POWER(Upgrades!$P$20,L139)*POWER(Upgrades!$P$21,M139))*(IF(Upgrades!$T$13="Local Bubble",POWER(Upgrades!$U$13,E139),1)*IF(Upgrades!$T$15="Local Bubble",POWER(Upgrades!$U$15,G139),1)*IF(Upgrades!$T$16="Local Bubble",POWER(Upgrades!$U$16,H139),1)*IF(Upgrades!$T$17="Local Bubble",POWER(Upgrades!$U$17,I139),1)*IF(Upgrades!$T$18="Local Bubble",POWER(Upgrades!$U$18,J139),1)*IF(Upgrades!$T$19="Local Bubble",POWER(Upgrades!$U$19,K139),1)*IF(Upgrades!$T$20="Local Bubble",POWER(Upgrades!$U$20,L139),1)*IF(Upgrades!$T$21="Local Bubble",POWER(Upgrades!$U$21,M139),1))*$F$6/AL139,0)</f>
        <v/>
      </c>
      <c r="BA139" s="32">
        <f>IFERROR(Upgrades!$K$15*(POWER(Upgrades!$Q$13,E139)*POWER(Upgrades!$Q$14,F139)*POWER(Upgrades!$Q$15,G139)*POWER(Upgrades!$Q$16,H139)*POWER(Upgrades!$Q$17,I139)*POWER(Upgrades!$Q$18,J139)*POWER(Upgrades!$Q$19,K139)*POWER(Upgrades!$Q$20,L139)*POWER(Upgrades!$Q$21,M139))*(IF(Upgrades!$T$13="Microlensing",POWER(Upgrades!$U$13,E139),1)*IF(Upgrades!$T$14="Microlensing",POWER(Upgrades!$U$14,F139),1)*IF(Upgrades!$T$16="Microlensing",POWER(Upgrades!$U$16,H139),1)*IF(Upgrades!$T$17="Microlensing",POWER(Upgrades!$U$17,I139),1)*IF(Upgrades!$T$18="Microlensing",POWER(Upgrades!$U$18,J139),1)*IF(Upgrades!$T$19="Microlensing",POWER(Upgrades!$U$19,K139),1)*IF(Upgrades!$T$20="Microlensing",POWER(Upgrades!$U$20,L139),1)*IF(Upgrades!$T$21="Microlensing",POWER(Upgrades!$U$21,M139),1))*$G$6*(Parameters!$B$10/60*Parameters!$B$11+Q139)/AM139,0)</f>
        <v/>
      </c>
      <c r="BB139" s="32">
        <f>IFERROR((Upgrades!$N$16*(POWER(Upgrades!$R$13,E139)*POWER(Upgrades!$R$14,F139)*POWER(Upgrades!$R$15,G139)*POWER(Upgrades!$R$16,H139)*POWER(Upgrades!$R$17,I139)*POWER(Upgrades!$R$18,J139)*POWER(Upgrades!$R$19,K139)*POWER(Upgrades!$R$20,L139)*POWER(Upgrades!$R$21,M139))*(IF(Upgrades!$T$13="Roche Lobe Overflow",POWER(Upgrades!$U$13,E139),1)*IF(Upgrades!$T$14="Roche Lobe Overflow",POWER(Upgrades!$U$14,F139),1)*IF(Upgrades!$T$15="Roche Lobe Overflow",POWER(Upgrades!$U$15,G139),1)*IF(Upgrades!$T$17="Roche Lobe Overflow",POWER(Upgrades!$U$17,I139),1)*IF(Upgrades!$T$18="Roche Lobe Overflow",POWER(Upgrades!$U$18,J139),1)*IF(Upgrades!$T$19="Roche Lobe Overflow",POWER(Upgrades!$U$19,K139),1)*IF(Upgrades!$T$20="Roche Lobe Overflow",POWER(Upgrades!$U$20,L139),1)*IF(Upgrades!$T$21="Roche Lobe Overflow",POWER(Upgrades!$U$21,M139),1))*$H$6*O139+((IF(F139=0,0,(Upgrades!$G$14+F139*Upgrades!$H$14)*POWER(Upgrades!$I$14,F139)))*(IF(Upgrades!$T$13="Local Bubble",POWER(Upgrades!$U$13,E139),1)*IF(Upgrades!$T$15="Local Bubble",POWER(Upgrades!$U$15,G139),1)*IF(Upgrades!$T$16="Local Bubble",POWER(Upgrades!$U$16,H139),1)*IF(Upgrades!$T$17="Local Bubble",POWER(Upgrades!$U$17,I139),1)*IF(Upgrades!$T$18="Local Bubble",POWER(Upgrades!$U$18,J139),1)*IF(Upgrades!$T$19="Local Bubble",POWER(Upgrades!$U$19,K139),1)*IF(Upgrades!$T$20="Local Bubble",POWER(Upgrades!$U$20,L139),1)*IF(Upgrades!$T$21="Local Bubble",POWER(Upgrades!$U$21,M139),1))*POWER(Upgrades!$P$13,E139)*POWER(Upgrades!$P$14,F139)*POWER(Upgrades!$P$15,G139)*POWER(Upgrades!$P$16,H139)*POWER(Upgrades!$P$17,I139)*POWER(Upgrades!$P$18,J139)*POWER(Upgrades!$P$19,K139)*POWER(Upgrades!$P$20,L139)*POWER(Upgrades!$P$21,M139)*$F$6)*0.05)/AN139,0)</f>
        <v/>
      </c>
      <c r="BC139" s="32">
        <f>IFERROR((Upgrades!$H$17*(POWER(Upgrades!$P$13,E139)*POWER(Upgrades!$P$14,F139)*POWER(Upgrades!$P$15,G139)*POWER(Upgrades!$P$16,H139)*POWER(Upgrades!$P$17,I139)*POWER(Upgrades!$P$18,J139)*POWER(Upgrades!$P$19,K139)*POWER(Upgrades!$P$20,L139)*POWER(Upgrades!$P$21,M139))*(IF(Upgrades!$T$13="Brown Dwarf",POWER(Upgrades!$U$13,E139),1)*IF(Upgrades!$T$14="Brown Dwarf",POWER(Upgrades!$U$14,F139),1)*IF(Upgrades!$T$15="Brown Dwarf",POWER(Upgrades!$U$15,G139),1)*IF(Upgrades!$T$16="Brown Dwarf",POWER(Upgrades!$U$16,H139),1)*IF(Upgrades!$T$18="Brown Dwarf",POWER(Upgrades!$U$18,J139),1)*IF(Upgrades!$T$19="Brown Dwarf",POWER(Upgrades!$U$19,K139),1)*IF(Upgrades!$T$20="Brown Dwarf",POWER(Upgrades!$U$20,L139),1)*IF(Upgrades!$T$21="Brown Dwarf",POWER(Upgrades!$U$21,M139),1))*$F$6+(((IF(H139=0,0,(Upgrades!$M$16+H139*Upgrades!$N$16)*POWER(Upgrades!$O$16,H139)))*(IF(Upgrades!$T$13="Roche Lobe Overflow",POWER(Upgrades!$U$13,E139),1)*IF(Upgrades!$T$14="Roche Lobe Overflow",POWER(Upgrades!$U$14,F139),1)*IF(Upgrades!$T$15="Roche Lobe Overflow",POWER(Upgrades!$U$15,G139),1)*IF(Upgrades!$T$17="Roche Lobe Overflow",POWER(Upgrades!$U$17,I139),1)*IF(Upgrades!$T$18="Roche Lobe Overflow",POWER(Upgrades!$U$18,J139),1)*IF(Upgrades!$T$19="Roche Lobe Overflow",POWER(Upgrades!$U$19,K139),1)*IF(Upgrades!$T$20="Roche Lobe Overflow",POWER(Upgrades!$U$20,L139),1)*IF(Upgrades!$T$21="Roche Lobe Overflow",POWER(Upgrades!$U$21,M139),1))*POWER(Upgrades!$R$13,E139)*POWER(Upgrades!$R$14,F139)*POWER(Upgrades!$R$15,G139)*POWER(Upgrades!$R$16,H139)*POWER(Upgrades!$R$17,I139)*POWER(Upgrades!$R$18,J139)*POWER(Upgrades!$R$19,K139)*POWER(Upgrades!$R$20,L139)*POWER(Upgrades!$R$21,M139)*$H$6)*O139)*0.10)/AO139,0)</f>
        <v/>
      </c>
      <c r="BD139" s="32">
        <f>MAX(IF(J139&gt;0,0,IFERROR(0.5*((IF(G139=0,0,(Upgrades!$J$15+G139*Upgrades!$K$15)*POWER(Upgrades!$L$15,G139)))*(IF(Upgrades!$T$13="Microlensing",POWER(Upgrades!$U$13,E139),1)*IF(Upgrades!$T$14="Microlensing",POWER(Upgrades!$U$14,F139),1)*IF(Upgrades!$T$16="Microlensing",POWER(Upgrades!$U$16,H139),1)*IF(Upgrades!$T$17="Microlensing",POWER(Upgrades!$U$17,I139),1)*IF(Upgrades!$T$18="Microlensing",POWER(Upgrades!$U$18,J139),1)*IF(Upgrades!$T$19="Microlensing",POWER(Upgrades!$U$19,K139),1)*IF(Upgrades!$T$20="Microlensing",POWER(Upgrades!$U$20,L139),1)*IF(Upgrades!$T$21="Microlensing",POWER(Upgrades!$U$21,M139),1))*(POWER(Upgrades!$Q$13,E139)*POWER(Upgrades!$Q$14,F139)*POWER(Upgrades!$Q$15,G139)*POWER(Upgrades!$Q$16,H139)*POWER(Upgrades!$Q$17,I139)*POWER(Upgrades!$Q$18,J139)*POWER(Upgrades!$Q$19,K139)*POWER(Upgrades!$Q$20,L139)*POWER(Upgrades!$Q$21,M139))*$G$6*(Parameters!$B$10/60*Parameters!$B$11+Q139))/Upgrades!$C$18,0)),IF(K139&gt;0,0,IFERROR(0.30*P139/Upgrades!$C$19,0)),IF(L139&gt;0,0,IFERROR(0.0001/Upgrades!$C$20,0)),IF(M139&gt;0,0,IFERROR((6.0*(POWER(Upgrades!$P$13,E139)*POWER(Upgrades!$P$14,F139)*POWER(Upgrades!$P$15,G139)*POWER(Upgrades!$P$16,H139)*POWER(Upgrades!$P$17,I139)*POWER(Upgrades!$P$18,J139)*POWER(Upgrades!$P$19,K139)*POWER(Upgrades!$P$20,L139)*POWER(Upgrades!$P$21,M139))*$F$6+0.20*O139*(Parameters!$B$10/60*Parameters!$B$11+Q139))/Upgrades!$C$21,0)),IF(AND(ISNUMBER(AK139),AK139&gt;(C139+T139)),AY139,0),IF(AND(ISNUMBER(AL139),AL139&gt;(C139+T139)),AZ139,0),IF(AND(ISNUMBER(AM139),AM139&gt;(C139+T139)),BA139,0),IF(AND(ISNUMBER(AN139),AN139&gt;(C139+T139)),BB139,0),IF(AND(ISNUMBER(AO139),AO139&gt;(C139+T139)),BC139,0))</f>
        <v/>
      </c>
      <c r="BE139" s="29">
        <f>IF(AT139=1,"transition",IF(MIN(IF(AND(J139=0,ISNUMBER(AP139),AP139&lt;=(C139+T139)),AP139,9E15),IF(AND(K139=0,ISNUMBER(AQ139),AQ139&lt;=(C139+T139)),AQ139,9E15),IF(AND(L139=0,ISNUMBER(AR139),AR139&lt;=(C139+T139)),AR139,9E15),IF(AND(M139=0,ISNUMBER(AS139),AS139&lt;=(C139+T139)),AS139,9E15))&lt;9E15,IF(AND(AND(J139=0,ISNUMBER(AP139),AP139&lt;=(C139+T139)),AP139=MIN(IF(AND(J139=0,ISNUMBER(AP139),AP139&lt;=(C139+T139)),AP139,9E15),IF(AND(K139=0,ISNUMBER(AQ139),AQ139&lt;=(C139+T139)),AQ139,9E15),IF(AND(L139=0,ISNUMBER(AR139),AR139&lt;=(C139+T139)),AR139,9E15),IF(AND(M139=0,ISNUMBER(AS139),AS139&lt;=(C139+T139)),AS139,9E15))),"BiP",IF(AND(AND(K139=0,ISNUMBER(AQ139),AQ139&lt;=(C139+T139)),AQ139=MIN(IF(AND(J139=0,ISNUMBER(AP139),AP139&lt;=(C139+T139)),AP139,9E15),IF(AND(K139=0,ISNUMBER(AQ139),AQ139&lt;=(C139+T139)),AQ139,9E15),IF(AND(L139=0,ISNUMBER(AR139),AR139&lt;=(C139+T139)),AR139,9E15),IF(AND(M139=0,ISNUMBER(AS139),AS139&lt;=(C139+T139)),AS139,9E15))),"PV",IF(AND(AND(L139=0,ISNUMBER(AR139),AR139&lt;=(C139+T139)),AR139=MIN(IF(AND(J139=0,ISNUMBER(AP139),AP139&lt;=(C139+T139)),AP139,9E15),IF(AND(K139=0,ISNUMBER(AQ139),AQ139&lt;=(C139+T139)),AQ139,9E15),IF(AND(L139=0,ISNUMBER(AR139),AR139&lt;=(C139+T139)),AR139,9E15),IF(AND(M139=0,ISNUMBER(AS139),AS139&lt;=(C139+T139)),AS139,9E15))),"OC","MG"))),IF(AX139=TRUE,"",IF(MAX(IF(AND(NOT(AND(AU139=1,AT139&lt;&gt;1)),ISNUMBER(AK139),AK139&lt;=(C139+T139)),AY139,0),IF(AND(NOT(AND(AU139=1,AT139&lt;&gt;1)),ISNUMBER(AL139),AL139&lt;=(C139+T139)),AZ139,0),IF(AND(NOT(AND(AU139=1,AT139&lt;&gt;1)),ISNUMBER(AM139),AM139&lt;=(C139+T139)),BA139,0),IF(AND(NOT(AND(AU139=1,AT139&lt;&gt;1)),ISNUMBER(AN139),AN139&lt;=(C139+T139)),BB139,0),IF(AND(ISNUMBER(AO139),AO139&lt;=(C139+T139)),BC139,0))&lt;=0,"",IF(AND(IF(AND(NOT(AND(AU139=1,AT139&lt;&gt;1)),ISNUMBER(AK139),AK139&lt;=(C139+T139)),AY139,0)&gt;0,IF(AND(NOT(AND(AU139=1,AT139&lt;&gt;1)),ISNUMBER(AK139),AK139&lt;=(C139+T139)),AY139,0)=MAX(IF(AND(NOT(AND(AU139=1,AT139&lt;&gt;1)),ISNUMBER(AK139),AK139&lt;=(C139+T139)),AY139,0),IF(AND(NOT(AND(AU139=1,AT139&lt;&gt;1)),ISNUMBER(AL139),AL139&lt;=(C139+T139)),AZ139,0),IF(AND(NOT(AND(AU139=1,AT139&lt;&gt;1)),ISNUMBER(AM139),AM139&lt;=(C139+T139)),BA139,0),IF(AND(NOT(AND(AU139=1,AT139&lt;&gt;1)),ISNUMBER(AN139),AN139&lt;=(C139+T139)),BB139,0),IF(AND(ISNUMBER(AO139),AO139&lt;=(C139+T139)),BC139,0))),"SK",IF(AND(IF(AND(NOT(AND(AU139=1,AT139&lt;&gt;1)),ISNUMBER(AL139),AL139&lt;=(C139+T139)),AZ139,0)&gt;0,IF(AND(NOT(AND(AU139=1,AT139&lt;&gt;1)),ISNUMBER(AL139),AL139&lt;=(C139+T139)),AZ139,0)=MAX(IF(AND(NOT(AND(AU139=1,AT139&lt;&gt;1)),ISNUMBER(AK139),AK139&lt;=(C139+T139)),AY139,0),IF(AND(NOT(AND(AU139=1,AT139&lt;&gt;1)),ISNUMBER(AL139),AL139&lt;=(C139+T139)),AZ139,0),IF(AND(NOT(AND(AU139=1,AT139&lt;&gt;1)),ISNUMBER(AM139),AM139&lt;=(C139+T139)),BA139,0),IF(AND(NOT(AND(AU139=1,AT139&lt;&gt;1)),ISNUMBER(AN139),AN139&lt;=(C139+T139)),BB139,0),IF(AND(ISNUMBER(AO139),AO139&lt;=(C139+T139)),BC139,0))),"LB",IF(AND(IF(AND(NOT(AND(AU139=1,AT139&lt;&gt;1)),ISNUMBER(AM139),AM139&lt;=(C139+T139)),BA139,0)&gt;0,IF(AND(NOT(AND(AU139=1,AT139&lt;&gt;1)),ISNUMBER(AM139),AM139&lt;=(C139+T139)),BA139,0)=MAX(IF(AND(NOT(AND(AU139=1,AT139&lt;&gt;1)),ISNUMBER(AK139),AK139&lt;=(C139+T139)),AY139,0),IF(AND(NOT(AND(AU139=1,AT139&lt;&gt;1)),ISNUMBER(AL139),AL139&lt;=(C139+T139)),AZ139,0),IF(AND(NOT(AND(AU139=1,AT139&lt;&gt;1)),ISNUMBER(AM139),AM139&lt;=(C139+T139)),BA139,0),IF(AND(NOT(AND(AU139=1,AT139&lt;&gt;1)),ISNUMBER(AN139),AN139&lt;=(C139+T139)),BB139,0),IF(AND(ISNUMBER(AO139),AO139&lt;=(C139+T139)),BC139,0))),"ML",IF(AND(IF(AND(NOT(AND(AU139=1,AT139&lt;&gt;1)),ISNUMBER(AN139),AN139&lt;=(C139+T139)),BB139,0)&gt;0,IF(AND(NOT(AND(AU139=1,AT139&lt;&gt;1)),ISNUMBER(AN139),AN139&lt;=(C139+T139)),BB139,0)=MAX(IF(AND(NOT(AND(AU139=1,AT139&lt;&gt;1)),ISNUMBER(AK139),AK139&lt;=(C139+T139)),AY139,0),IF(AND(NOT(AND(AU139=1,AT139&lt;&gt;1)),ISNUMBER(AL139),AL139&lt;=(C139+T139)),AZ139,0),IF(AND(NOT(AND(AU139=1,AT139&lt;&gt;1)),ISNUMBER(AM139),AM139&lt;=(C139+T139)),BA139,0),IF(AND(NOT(AND(AU139=1,AT139&lt;&gt;1)),ISNUMBER(AN139),AN139&lt;=(C139+T139)),BB139,0),IF(AND(ISNUMBER(AO139),AO139&lt;=(C139+T139)),BC139,0))),"RLO","BD"))))))))</f>
        <v/>
      </c>
    </row>
    <row r="140">
      <c r="A140" s="26" t="n">
        <v>129</v>
      </c>
      <c r="B140" s="27">
        <f>A140*10/60</f>
        <v/>
      </c>
      <c r="C140" s="22">
        <f>X139</f>
        <v/>
      </c>
      <c r="D140" s="27">
        <f>D139+W139</f>
        <v/>
      </c>
      <c r="E140" s="26">
        <f>E139+IF(U139="SK",1,0)</f>
        <v/>
      </c>
      <c r="F140" s="26">
        <f>F139+IF(U139="LB",1,0)</f>
        <v/>
      </c>
      <c r="G140" s="26">
        <f>G139+IF(U139="ML",1,0)</f>
        <v/>
      </c>
      <c r="H140" s="26">
        <f>H139+IF(U139="RLO",1,0)</f>
        <v/>
      </c>
      <c r="I140" s="26">
        <f>I139+IF(U139="BD",1,0)</f>
        <v/>
      </c>
      <c r="J140" s="26">
        <f>MAX(J139,IF(U139="BiP",1,0))</f>
        <v/>
      </c>
      <c r="K140" s="26">
        <f>MAX(K139,IF(U139="PV",1,0))</f>
        <v/>
      </c>
      <c r="L140" s="26">
        <f>MAX(L139,IF(U139="OC",1,0))</f>
        <v/>
      </c>
      <c r="M140" s="26">
        <f>MAX(M139,IF(U139="MG",1,0))</f>
        <v/>
      </c>
      <c r="N140" s="26">
        <f>MAX(N139,IF(U139="transition",1,0))</f>
        <v/>
      </c>
      <c r="O140" s="28">
        <f>(Parameters!$B$9+(IF(E140=0,0,(Upgrades!$J$13+E140*Upgrades!$K$13)*POWER(Upgrades!$L$13,E140)))*(IF(Upgrades!$T$14="Stellar Kinematics",POWER(Upgrades!$U$14,F140),1)*IF(Upgrades!$T$15="Stellar Kinematics",POWER(Upgrades!$U$15,G140),1)*IF(Upgrades!$T$16="Stellar Kinematics",POWER(Upgrades!$U$16,H140),1)*IF(Upgrades!$T$17="Stellar Kinematics",POWER(Upgrades!$U$17,I140),1)*IF(Upgrades!$T$18="Stellar Kinematics",POWER(Upgrades!$U$18,J140),1)*IF(Upgrades!$T$19="Stellar Kinematics",POWER(Upgrades!$U$19,K140),1)*IF(Upgrades!$T$20="Stellar Kinematics",POWER(Upgrades!$U$20,L140),1)*IF(Upgrades!$T$21="Stellar Kinematics",POWER(Upgrades!$U$21,M140),1))+(IF(F140=0,0,(Upgrades!$J$14+F140*Upgrades!$K$14)*POWER(Upgrades!$L$14,F140)))*(IF(Upgrades!$T$13="Local Bubble",POWER(Upgrades!$U$13,E140),1)*IF(Upgrades!$T$15="Local Bubble",POWER(Upgrades!$U$15,G140),1)*IF(Upgrades!$T$16="Local Bubble",POWER(Upgrades!$U$16,H140),1)*IF(Upgrades!$T$17="Local Bubble",POWER(Upgrades!$U$17,I140),1)*IF(Upgrades!$T$18="Local Bubble",POWER(Upgrades!$U$18,J140),1)*IF(Upgrades!$T$19="Local Bubble",POWER(Upgrades!$U$19,K140),1)*IF(Upgrades!$T$20="Local Bubble",POWER(Upgrades!$U$20,L140),1)*IF(Upgrades!$T$21="Local Bubble",POWER(Upgrades!$U$21,M140),1))+(IF(G140=0,0,(Upgrades!$J$15+G140*Upgrades!$K$15)*POWER(Upgrades!$L$15,G140)))*(IF(Upgrades!$T$13="Microlensing",POWER(Upgrades!$U$13,E140),1)*IF(Upgrades!$T$14="Microlensing",POWER(Upgrades!$U$14,F140),1)*IF(Upgrades!$T$16="Microlensing",POWER(Upgrades!$U$16,H140),1)*IF(Upgrades!$T$17="Microlensing",POWER(Upgrades!$U$17,I140),1)*IF(Upgrades!$T$18="Microlensing",POWER(Upgrades!$U$18,J140),1)*IF(Upgrades!$T$19="Microlensing",POWER(Upgrades!$U$19,K140),1)*IF(Upgrades!$T$20="Microlensing",POWER(Upgrades!$U$20,L140),1)*IF(Upgrades!$T$21="Microlensing",POWER(Upgrades!$U$21,M140),1))+(IF(H140=0,0,(Upgrades!$J$16+H140*Upgrades!$K$16)*POWER(Upgrades!$L$16,H140)))*(IF(Upgrades!$T$13="Roche Lobe Overflow",POWER(Upgrades!$U$13,E140),1)*IF(Upgrades!$T$14="Roche Lobe Overflow",POWER(Upgrades!$U$14,F140),1)*IF(Upgrades!$T$15="Roche Lobe Overflow",POWER(Upgrades!$U$15,G140),1)*IF(Upgrades!$T$17="Roche Lobe Overflow",POWER(Upgrades!$U$17,I140),1)*IF(Upgrades!$T$18="Roche Lobe Overflow",POWER(Upgrades!$U$18,J140),1)*IF(Upgrades!$T$19="Roche Lobe Overflow",POWER(Upgrades!$U$19,K140),1)*IF(Upgrades!$T$20="Roche Lobe Overflow",POWER(Upgrades!$U$20,L140),1)*IF(Upgrades!$T$21="Roche Lobe Overflow",POWER(Upgrades!$U$21,M140),1))+(IF(I140=0,0,(Upgrades!$J$17+I140*Upgrades!$K$17)*POWER(Upgrades!$L$17,I140)))*(IF(Upgrades!$T$13="Brown Dwarf",POWER(Upgrades!$U$13,E140),1)*IF(Upgrades!$T$14="Brown Dwarf",POWER(Upgrades!$U$14,F140),1)*IF(Upgrades!$T$15="Brown Dwarf",POWER(Upgrades!$U$15,G140),1)*IF(Upgrades!$T$16="Brown Dwarf",POWER(Upgrades!$U$16,H140),1)*IF(Upgrades!$T$18="Brown Dwarf",POWER(Upgrades!$U$18,J140),1)*IF(Upgrades!$T$19="Brown Dwarf",POWER(Upgrades!$U$19,K140),1)*IF(Upgrades!$T$20="Brown Dwarf",POWER(Upgrades!$U$20,L140),1)*IF(Upgrades!$T$21="Brown Dwarf",POWER(Upgrades!$U$21,M140),1))+(IF(J140=0,0,(Upgrades!$J$18+J140*Upgrades!$K$18)*POWER(Upgrades!$L$18,J140)))*(IF(Upgrades!$T$13="Binary Partner",POWER(Upgrades!$U$13,E140),1)*IF(Upgrades!$T$14="Binary Partner",POWER(Upgrades!$U$14,F140),1)*IF(Upgrades!$T$15="Binary Partner",POWER(Upgrades!$U$15,G140),1)*IF(Upgrades!$T$16="Binary Partner",POWER(Upgrades!$U$16,H140),1)*IF(Upgrades!$T$17="Binary Partner",POWER(Upgrades!$U$17,I140),1)*IF(Upgrades!$T$19="Binary Partner",POWER(Upgrades!$U$19,K140),1)*IF(Upgrades!$T$20="Binary Partner",POWER(Upgrades!$U$20,L140),1)*IF(Upgrades!$T$21="Binary Partner",POWER(Upgrades!$U$21,M140),1))+(IF(K140=0,0,(Upgrades!$J$19+K140*Upgrades!$K$19)*POWER(Upgrades!$L$19,K140)))*(IF(Upgrades!$T$13="Peculiar Velocity",POWER(Upgrades!$U$13,E140),1)*IF(Upgrades!$T$14="Peculiar Velocity",POWER(Upgrades!$U$14,F140),1)*IF(Upgrades!$T$15="Peculiar Velocity",POWER(Upgrades!$U$15,G140),1)*IF(Upgrades!$T$16="Peculiar Velocity",POWER(Upgrades!$U$16,H140),1)*IF(Upgrades!$T$17="Peculiar Velocity",POWER(Upgrades!$U$17,I140),1)*IF(Upgrades!$T$18="Peculiar Velocity",POWER(Upgrades!$U$18,J140),1)*IF(Upgrades!$T$20="Peculiar Velocity",POWER(Upgrades!$U$20,L140),1)*IF(Upgrades!$T$21="Peculiar Velocity",POWER(Upgrades!$U$21,M140),1))+(IF(L140=0,0,(Upgrades!$J$20+L140*Upgrades!$K$20)*POWER(Upgrades!$L$20,L140)))*(IF(Upgrades!$T$13="Open Cluster",POWER(Upgrades!$U$13,E140),1)*IF(Upgrades!$T$14="Open Cluster",POWER(Upgrades!$U$14,F140),1)*IF(Upgrades!$T$15="Open Cluster",POWER(Upgrades!$U$15,G140),1)*IF(Upgrades!$T$16="Open Cluster",POWER(Upgrades!$U$16,H140),1)*IF(Upgrades!$T$17="Open Cluster",POWER(Upgrades!$U$17,I140),1)*IF(Upgrades!$T$18="Open Cluster",POWER(Upgrades!$U$18,J140),1)*IF(Upgrades!$T$19="Open Cluster",POWER(Upgrades!$U$19,K140),1)*IF(Upgrades!$T$21="Open Cluster",POWER(Upgrades!$U$21,M140),1))+(IF(M140=0,0,(Upgrades!$J$21+M140*Upgrades!$K$21)*POWER(Upgrades!$L$21,M140)))*(IF(Upgrades!$T$13="Moving Group",POWER(Upgrades!$U$13,E140),1)*IF(Upgrades!$T$14="Moving Group",POWER(Upgrades!$U$14,F140),1)*IF(Upgrades!$T$15="Moving Group",POWER(Upgrades!$U$15,G140),1)*IF(Upgrades!$T$16="Moving Group",POWER(Upgrades!$U$16,H140),1)*IF(Upgrades!$T$17="Moving Group",POWER(Upgrades!$U$17,I140),1)*IF(Upgrades!$T$18="Moving Group",POWER(Upgrades!$U$18,J140),1)*IF(Upgrades!$T$19="Moving Group",POWER(Upgrades!$U$19,K140),1)*IF(Upgrades!$T$20="Moving Group",POWER(Upgrades!$U$20,L140),1)))*POWER(Upgrades!$Q$13,E140)*POWER(Upgrades!$Q$14,F140)*POWER(Upgrades!$Q$15,G140)*POWER(Upgrades!$Q$16,H140)*POWER(Upgrades!$Q$17,I140)*POWER(Upgrades!$Q$18,J140)*POWER(Upgrades!$Q$19,K140)*POWER(Upgrades!$Q$20,L140)*POWER(Upgrades!$Q$21,M140)*$G$6+$D$6</f>
        <v/>
      </c>
      <c r="P140" s="28">
        <f>((IF(E140=0,0,(Upgrades!$G$13+E140*Upgrades!$H$13)*POWER(Upgrades!$I$13,E140)))*(IF(Upgrades!$T$14="Stellar Kinematics",POWER(Upgrades!$U$14,F140),1)*IF(Upgrades!$T$15="Stellar Kinematics",POWER(Upgrades!$U$15,G140),1)*IF(Upgrades!$T$16="Stellar Kinematics",POWER(Upgrades!$U$16,H140),1)*IF(Upgrades!$T$17="Stellar Kinematics",POWER(Upgrades!$U$17,I140),1)*IF(Upgrades!$T$18="Stellar Kinematics",POWER(Upgrades!$U$18,J140),1)*IF(Upgrades!$T$19="Stellar Kinematics",POWER(Upgrades!$U$19,K140),1)*IF(Upgrades!$T$20="Stellar Kinematics",POWER(Upgrades!$U$20,L140),1)*IF(Upgrades!$T$21="Stellar Kinematics",POWER(Upgrades!$U$21,M140),1))+(IF(F140=0,0,(Upgrades!$G$14+F140*Upgrades!$H$14)*POWER(Upgrades!$I$14,F140)))*(IF(Upgrades!$T$13="Local Bubble",POWER(Upgrades!$U$13,E140),1)*IF(Upgrades!$T$15="Local Bubble",POWER(Upgrades!$U$15,G140),1)*IF(Upgrades!$T$16="Local Bubble",POWER(Upgrades!$U$16,H140),1)*IF(Upgrades!$T$17="Local Bubble",POWER(Upgrades!$U$17,I140),1)*IF(Upgrades!$T$18="Local Bubble",POWER(Upgrades!$U$18,J140),1)*IF(Upgrades!$T$19="Local Bubble",POWER(Upgrades!$U$19,K140),1)*IF(Upgrades!$T$20="Local Bubble",POWER(Upgrades!$U$20,L140),1)*IF(Upgrades!$T$21="Local Bubble",POWER(Upgrades!$U$21,M140),1))+(IF(G140=0,0,(Upgrades!$G$15+G140*Upgrades!$H$15)*POWER(Upgrades!$I$15,G140)))*(IF(Upgrades!$T$13="Microlensing",POWER(Upgrades!$U$13,E140),1)*IF(Upgrades!$T$14="Microlensing",POWER(Upgrades!$U$14,F140),1)*IF(Upgrades!$T$16="Microlensing",POWER(Upgrades!$U$16,H140),1)*IF(Upgrades!$T$17="Microlensing",POWER(Upgrades!$U$17,I140),1)*IF(Upgrades!$T$18="Microlensing",POWER(Upgrades!$U$18,J140),1)*IF(Upgrades!$T$19="Microlensing",POWER(Upgrades!$U$19,K140),1)*IF(Upgrades!$T$20="Microlensing",POWER(Upgrades!$U$20,L140),1)*IF(Upgrades!$T$21="Microlensing",POWER(Upgrades!$U$21,M140),1))+(IF(H140=0,0,(Upgrades!$G$16+H140*Upgrades!$H$16)*POWER(Upgrades!$I$16,H140)))*(IF(Upgrades!$T$13="Roche Lobe Overflow",POWER(Upgrades!$U$13,E140),1)*IF(Upgrades!$T$14="Roche Lobe Overflow",POWER(Upgrades!$U$14,F140),1)*IF(Upgrades!$T$15="Roche Lobe Overflow",POWER(Upgrades!$U$15,G140),1)*IF(Upgrades!$T$17="Roche Lobe Overflow",POWER(Upgrades!$U$17,I140),1)*IF(Upgrades!$T$18="Roche Lobe Overflow",POWER(Upgrades!$U$18,J140),1)*IF(Upgrades!$T$19="Roche Lobe Overflow",POWER(Upgrades!$U$19,K140),1)*IF(Upgrades!$T$20="Roche Lobe Overflow",POWER(Upgrades!$U$20,L140),1)*IF(Upgrades!$T$21="Roche Lobe Overflow",POWER(Upgrades!$U$21,M140),1))+(IF(I140=0,0,(Upgrades!$G$17+I140*Upgrades!$H$17)*POWER(Upgrades!$I$17,I140)))*(IF(Upgrades!$T$13="Brown Dwarf",POWER(Upgrades!$U$13,E140),1)*IF(Upgrades!$T$14="Brown Dwarf",POWER(Upgrades!$U$14,F140),1)*IF(Upgrades!$T$15="Brown Dwarf",POWER(Upgrades!$U$15,G140),1)*IF(Upgrades!$T$16="Brown Dwarf",POWER(Upgrades!$U$16,H140),1)*IF(Upgrades!$T$18="Brown Dwarf",POWER(Upgrades!$U$18,J140),1)*IF(Upgrades!$T$19="Brown Dwarf",POWER(Upgrades!$U$19,K140),1)*IF(Upgrades!$T$20="Brown Dwarf",POWER(Upgrades!$U$20,L140),1)*IF(Upgrades!$T$21="Brown Dwarf",POWER(Upgrades!$U$21,M140),1))+(IF(J140=0,0,(Upgrades!$G$18+J140*Upgrades!$H$18)*POWER(Upgrades!$I$18,J140)))*(IF(Upgrades!$T$13="Binary Partner",POWER(Upgrades!$U$13,E140),1)*IF(Upgrades!$T$14="Binary Partner",POWER(Upgrades!$U$14,F140),1)*IF(Upgrades!$T$15="Binary Partner",POWER(Upgrades!$U$15,G140),1)*IF(Upgrades!$T$16="Binary Partner",POWER(Upgrades!$U$16,H140),1)*IF(Upgrades!$T$17="Binary Partner",POWER(Upgrades!$U$17,I140),1)*IF(Upgrades!$T$19="Binary Partner",POWER(Upgrades!$U$19,K140),1)*IF(Upgrades!$T$20="Binary Partner",POWER(Upgrades!$U$20,L140),1)*IF(Upgrades!$T$21="Binary Partner",POWER(Upgrades!$U$21,M140),1))+(IF(K140=0,0,(Upgrades!$G$19+K140*Upgrades!$H$19)*POWER(Upgrades!$I$19,K140)))*(IF(Upgrades!$T$13="Peculiar Velocity",POWER(Upgrades!$U$13,E140),1)*IF(Upgrades!$T$14="Peculiar Velocity",POWER(Upgrades!$U$14,F140),1)*IF(Upgrades!$T$15="Peculiar Velocity",POWER(Upgrades!$U$15,G140),1)*IF(Upgrades!$T$16="Peculiar Velocity",POWER(Upgrades!$U$16,H140),1)*IF(Upgrades!$T$17="Peculiar Velocity",POWER(Upgrades!$U$17,I140),1)*IF(Upgrades!$T$18="Peculiar Velocity",POWER(Upgrades!$U$18,J140),1)*IF(Upgrades!$T$20="Peculiar Velocity",POWER(Upgrades!$U$20,L140),1)*IF(Upgrades!$T$21="Peculiar Velocity",POWER(Upgrades!$U$21,M140),1))+(IF(L140=0,0,(Upgrades!$G$20+L140*Upgrades!$H$20)*POWER(Upgrades!$I$20,L140)))*(IF(Upgrades!$T$13="Open Cluster",POWER(Upgrades!$U$13,E140),1)*IF(Upgrades!$T$14="Open Cluster",POWER(Upgrades!$U$14,F140),1)*IF(Upgrades!$T$15="Open Cluster",POWER(Upgrades!$U$15,G140),1)*IF(Upgrades!$T$16="Open Cluster",POWER(Upgrades!$U$16,H140),1)*IF(Upgrades!$T$17="Open Cluster",POWER(Upgrades!$U$17,I140),1)*IF(Upgrades!$T$18="Open Cluster",POWER(Upgrades!$U$18,J140),1)*IF(Upgrades!$T$19="Open Cluster",POWER(Upgrades!$U$19,K140),1)*IF(Upgrades!$T$21="Open Cluster",POWER(Upgrades!$U$21,M140),1))+(IF(M140=0,0,(Upgrades!$G$21+M140*Upgrades!$H$21)*POWER(Upgrades!$I$21,M140)))*(IF(Upgrades!$T$13="Moving Group",POWER(Upgrades!$U$13,E140),1)*IF(Upgrades!$T$14="Moving Group",POWER(Upgrades!$U$14,F140),1)*IF(Upgrades!$T$15="Moving Group",POWER(Upgrades!$U$15,G140),1)*IF(Upgrades!$T$16="Moving Group",POWER(Upgrades!$U$16,H140),1)*IF(Upgrades!$T$17="Moving Group",POWER(Upgrades!$U$17,I140),1)*IF(Upgrades!$T$18="Moving Group",POWER(Upgrades!$U$18,J140),1)*IF(Upgrades!$T$19="Moving Group",POWER(Upgrades!$U$19,K140),1)*IF(Upgrades!$T$20="Moving Group",POWER(Upgrades!$U$20,L140),1)))*POWER(Upgrades!$P$13,E140)*POWER(Upgrades!$P$14,F140)*POWER(Upgrades!$P$15,G140)*POWER(Upgrades!$P$16,H140)*POWER(Upgrades!$P$17,I140)*POWER(Upgrades!$P$18,J140)*POWER(Upgrades!$P$19,K140)*POWER(Upgrades!$P$20,L140)*POWER(Upgrades!$P$21,M140)*$F$6+$C$6</f>
        <v/>
      </c>
      <c r="Q140" s="28">
        <f>((IF(E140=0,0,(Upgrades!$M$13+E140*Upgrades!$N$13)*POWER(Upgrades!$O$13,E140)))*(IF(Upgrades!$T$14="Stellar Kinematics",POWER(Upgrades!$U$14,F140),1)*IF(Upgrades!$T$15="Stellar Kinematics",POWER(Upgrades!$U$15,G140),1)*IF(Upgrades!$T$16="Stellar Kinematics",POWER(Upgrades!$U$16,H140),1)*IF(Upgrades!$T$17="Stellar Kinematics",POWER(Upgrades!$U$17,I140),1)*IF(Upgrades!$T$18="Stellar Kinematics",POWER(Upgrades!$U$18,J140),1)*IF(Upgrades!$T$19="Stellar Kinematics",POWER(Upgrades!$U$19,K140),1)*IF(Upgrades!$T$20="Stellar Kinematics",POWER(Upgrades!$U$20,L140),1)*IF(Upgrades!$T$21="Stellar Kinematics",POWER(Upgrades!$U$21,M140),1))+(IF(F140=0,0,(Upgrades!$M$14+F140*Upgrades!$N$14)*POWER(Upgrades!$O$14,F140)))*(IF(Upgrades!$T$13="Local Bubble",POWER(Upgrades!$U$13,E140),1)*IF(Upgrades!$T$15="Local Bubble",POWER(Upgrades!$U$15,G140),1)*IF(Upgrades!$T$16="Local Bubble",POWER(Upgrades!$U$16,H140),1)*IF(Upgrades!$T$17="Local Bubble",POWER(Upgrades!$U$17,I140),1)*IF(Upgrades!$T$18="Local Bubble",POWER(Upgrades!$U$18,J140),1)*IF(Upgrades!$T$19="Local Bubble",POWER(Upgrades!$U$19,K140),1)*IF(Upgrades!$T$20="Local Bubble",POWER(Upgrades!$U$20,L140),1)*IF(Upgrades!$T$21="Local Bubble",POWER(Upgrades!$U$21,M140),1))+(IF(G140=0,0,(Upgrades!$M$15+G140*Upgrades!$N$15)*POWER(Upgrades!$O$15,G140)))*(IF(Upgrades!$T$13="Microlensing",POWER(Upgrades!$U$13,E140),1)*IF(Upgrades!$T$14="Microlensing",POWER(Upgrades!$U$14,F140),1)*IF(Upgrades!$T$16="Microlensing",POWER(Upgrades!$U$16,H140),1)*IF(Upgrades!$T$17="Microlensing",POWER(Upgrades!$U$17,I140),1)*IF(Upgrades!$T$18="Microlensing",POWER(Upgrades!$U$18,J140),1)*IF(Upgrades!$T$19="Microlensing",POWER(Upgrades!$U$19,K140),1)*IF(Upgrades!$T$20="Microlensing",POWER(Upgrades!$U$20,L140),1)*IF(Upgrades!$T$21="Microlensing",POWER(Upgrades!$U$21,M140),1))+(IF(H140=0,0,(Upgrades!$M$16+H140*Upgrades!$N$16)*POWER(Upgrades!$O$16,H140)))*(IF(Upgrades!$T$13="Roche Lobe Overflow",POWER(Upgrades!$U$13,E140),1)*IF(Upgrades!$T$14="Roche Lobe Overflow",POWER(Upgrades!$U$14,F140),1)*IF(Upgrades!$T$15="Roche Lobe Overflow",POWER(Upgrades!$U$15,G140),1)*IF(Upgrades!$T$17="Roche Lobe Overflow",POWER(Upgrades!$U$17,I140),1)*IF(Upgrades!$T$18="Roche Lobe Overflow",POWER(Upgrades!$U$18,J140),1)*IF(Upgrades!$T$19="Roche Lobe Overflow",POWER(Upgrades!$U$19,K140),1)*IF(Upgrades!$T$20="Roche Lobe Overflow",POWER(Upgrades!$U$20,L140),1)*IF(Upgrades!$T$21="Roche Lobe Overflow",POWER(Upgrades!$U$21,M140),1))+(IF(I140=0,0,(Upgrades!$M$17+I140*Upgrades!$N$17)*POWER(Upgrades!$O$17,I140)))*(IF(Upgrades!$T$13="Brown Dwarf",POWER(Upgrades!$U$13,E140),1)*IF(Upgrades!$T$14="Brown Dwarf",POWER(Upgrades!$U$14,F140),1)*IF(Upgrades!$T$15="Brown Dwarf",POWER(Upgrades!$U$15,G140),1)*IF(Upgrades!$T$16="Brown Dwarf",POWER(Upgrades!$U$16,H140),1)*IF(Upgrades!$T$18="Brown Dwarf",POWER(Upgrades!$U$18,J140),1)*IF(Upgrades!$T$19="Brown Dwarf",POWER(Upgrades!$U$19,K140),1)*IF(Upgrades!$T$20="Brown Dwarf",POWER(Upgrades!$U$20,L140),1)*IF(Upgrades!$T$21="Brown Dwarf",POWER(Upgrades!$U$21,M140),1))+(IF(J140=0,0,(Upgrades!$M$18+J140*Upgrades!$N$18)*POWER(Upgrades!$O$18,J140)))*(IF(Upgrades!$T$13="Binary Partner",POWER(Upgrades!$U$13,E140),1)*IF(Upgrades!$T$14="Binary Partner",POWER(Upgrades!$U$14,F140),1)*IF(Upgrades!$T$15="Binary Partner",POWER(Upgrades!$U$15,G140),1)*IF(Upgrades!$T$16="Binary Partner",POWER(Upgrades!$U$16,H140),1)*IF(Upgrades!$T$17="Binary Partner",POWER(Upgrades!$U$17,I140),1)*IF(Upgrades!$T$19="Binary Partner",POWER(Upgrades!$U$19,K140),1)*IF(Upgrades!$T$20="Binary Partner",POWER(Upgrades!$U$20,L140),1)*IF(Upgrades!$T$21="Binary Partner",POWER(Upgrades!$U$21,M140),1))+(IF(K140=0,0,(Upgrades!$M$19+K140*Upgrades!$N$19)*POWER(Upgrades!$O$19,K140)))*(IF(Upgrades!$T$13="Peculiar Velocity",POWER(Upgrades!$U$13,E140),1)*IF(Upgrades!$T$14="Peculiar Velocity",POWER(Upgrades!$U$14,F140),1)*IF(Upgrades!$T$15="Peculiar Velocity",POWER(Upgrades!$U$15,G140),1)*IF(Upgrades!$T$16="Peculiar Velocity",POWER(Upgrades!$U$16,H140),1)*IF(Upgrades!$T$17="Peculiar Velocity",POWER(Upgrades!$U$17,I140),1)*IF(Upgrades!$T$18="Peculiar Velocity",POWER(Upgrades!$U$18,J140),1)*IF(Upgrades!$T$20="Peculiar Velocity",POWER(Upgrades!$U$20,L140),1)*IF(Upgrades!$T$21="Peculiar Velocity",POWER(Upgrades!$U$21,M140),1))+(IF(L140=0,0,(Upgrades!$M$20+L140*Upgrades!$N$20)*POWER(Upgrades!$O$20,L140)))*(IF(Upgrades!$T$13="Open Cluster",POWER(Upgrades!$U$13,E140),1)*IF(Upgrades!$T$14="Open Cluster",POWER(Upgrades!$U$14,F140),1)*IF(Upgrades!$T$15="Open Cluster",POWER(Upgrades!$U$15,G140),1)*IF(Upgrades!$T$16="Open Cluster",POWER(Upgrades!$U$16,H140),1)*IF(Upgrades!$T$17="Open Cluster",POWER(Upgrades!$U$17,I140),1)*IF(Upgrades!$T$18="Open Cluster",POWER(Upgrades!$U$18,J140),1)*IF(Upgrades!$T$19="Open Cluster",POWER(Upgrades!$U$19,K140),1)*IF(Upgrades!$T$21="Open Cluster",POWER(Upgrades!$U$21,M140),1))+(IF(M140=0,0,(Upgrades!$M$21+M140*Upgrades!$N$21)*POWER(Upgrades!$O$21,M140)))*(IF(Upgrades!$T$13="Moving Group",POWER(Upgrades!$U$13,E140),1)*IF(Upgrades!$T$14="Moving Group",POWER(Upgrades!$U$14,F140),1)*IF(Upgrades!$T$15="Moving Group",POWER(Upgrades!$U$15,G140),1)*IF(Upgrades!$T$16="Moving Group",POWER(Upgrades!$U$16,H140),1)*IF(Upgrades!$T$17="Moving Group",POWER(Upgrades!$U$17,I140),1)*IF(Upgrades!$T$18="Moving Group",POWER(Upgrades!$U$18,J140),1)*IF(Upgrades!$T$19="Moving Group",POWER(Upgrades!$U$19,K140),1)*IF(Upgrades!$T$20="Moving Group",POWER(Upgrades!$U$20,L140),1)))*POWER(Upgrades!$R$13,E140)*POWER(Upgrades!$R$14,F140)*POWER(Upgrades!$R$15,G140)*POWER(Upgrades!$R$16,H140)*POWER(Upgrades!$R$17,I140)*POWER(Upgrades!$R$18,J140)*POWER(Upgrades!$R$19,K140)*POWER(Upgrades!$R$20,L140)*POWER(Upgrades!$R$21,M140)*$H$6+$E$6</f>
        <v/>
      </c>
      <c r="R140" s="27">
        <f>IF(N140=1,0,O140*Parameters!$B$10/60*Parameters!$B$11*10)</f>
        <v/>
      </c>
      <c r="S140" s="27">
        <f>IF(N140=1,0,Q140*O140*10)</f>
        <v/>
      </c>
      <c r="T140" s="27">
        <f>IF(N140=1,0,R140+S140+P140*10)</f>
        <v/>
      </c>
      <c r="U140" s="33">
        <f>BE140</f>
        <v/>
      </c>
      <c r="V140" s="22">
        <f>IF(U140="",0,IF(U140="transition",0,IF(U140="SK",AK140,IF(U140="LB",AL140,IF(U140="ML",AM140,IF(U140="RLO",AN140,IF(U140="BD",AO140,IF(U140="BiP",AP140,IF(U140="PV",AQ140,IF(U140="OC",AR140,IF(U140="MG",AS140,0))))))))))</f>
        <v/>
      </c>
      <c r="W140" s="27">
        <f>IF(U140="BiP",Upgrades!$F$18,IF(U140="PV",Upgrades!$F$19,IF(U140="OC",Upgrades!$F$20,IF(U140="MG",Upgrades!$F$21,IF(U140="transition",-Parameters!$B$18*Parameters!$B$19,0)))))</f>
        <v/>
      </c>
      <c r="X140" s="22">
        <f>C140+T140-V140</f>
        <v/>
      </c>
      <c r="Y140" s="30">
        <f>O140*Parameters!$B$10/60*Parameters!$B$11+Q140*O140+P140</f>
        <v/>
      </c>
      <c r="Z140" s="34">
        <f>IF(U140="transition","→ Tier 3 (Galactic Arm)",IF(U140="MG","Moving Group — pocket drifts together",IF(U140="OC","Open Cluster acquired",IF(U140="PV","Peculiar Velocity — passive multiplier active",IF(U140="BiP","Binary Partner — pair bond formed",IF(AND(AU140=1,N140=0,AT140&lt;&gt;1),"Cohesion ready (waiting on completionists)","")))))) </f>
        <v/>
      </c>
      <c r="AA140" s="27">
        <f>(IF(E140=0,0,(Upgrades!$G$13+E140*Upgrades!$H$13)*POWER(Upgrades!$I$13,E140)))*(IF(Upgrades!$T$14="Stellar Kinematics",POWER(Upgrades!$U$14,F140),1)*IF(Upgrades!$T$15="Stellar Kinematics",POWER(Upgrades!$U$15,G140),1)*IF(Upgrades!$T$16="Stellar Kinematics",POWER(Upgrades!$U$16,H140),1)*IF(Upgrades!$T$17="Stellar Kinematics",POWER(Upgrades!$U$17,I140),1)*IF(Upgrades!$T$18="Stellar Kinematics",POWER(Upgrades!$U$18,J140),1)*IF(Upgrades!$T$19="Stellar Kinematics",POWER(Upgrades!$U$19,K140),1)*IF(Upgrades!$T$20="Stellar Kinematics",POWER(Upgrades!$U$20,L140),1)*IF(Upgrades!$T$21="Stellar Kinematics",POWER(Upgrades!$U$21,M140),1))*POWER(Upgrades!$P$13,E140)*POWER(Upgrades!$P$14,F140)*POWER(Upgrades!$P$15,G140)*POWER(Upgrades!$P$16,H140)*POWER(Upgrades!$P$17,I140)*POWER(Upgrades!$P$18,J140)*POWER(Upgrades!$P$19,K140)*POWER(Upgrades!$P$20,L140)*POWER(Upgrades!$P$21,M140)*$F$6*60</f>
        <v/>
      </c>
      <c r="AB140" s="27">
        <f>(IF(F140=0,0,(Upgrades!$G$14+F140*Upgrades!$H$14)*POWER(Upgrades!$I$14,F140)))*(IF(Upgrades!$T$13="Local Bubble",POWER(Upgrades!$U$13,E140),1)*IF(Upgrades!$T$15="Local Bubble",POWER(Upgrades!$U$15,G140),1)*IF(Upgrades!$T$16="Local Bubble",POWER(Upgrades!$U$16,H140),1)*IF(Upgrades!$T$17="Local Bubble",POWER(Upgrades!$U$17,I140),1)*IF(Upgrades!$T$18="Local Bubble",POWER(Upgrades!$U$18,J140),1)*IF(Upgrades!$T$19="Local Bubble",POWER(Upgrades!$U$19,K140),1)*IF(Upgrades!$T$20="Local Bubble",POWER(Upgrades!$U$20,L140),1)*IF(Upgrades!$T$21="Local Bubble",POWER(Upgrades!$U$21,M140),1))*POWER(Upgrades!$P$13,E140)*POWER(Upgrades!$P$14,F140)*POWER(Upgrades!$P$15,G140)*POWER(Upgrades!$P$16,H140)*POWER(Upgrades!$P$17,I140)*POWER(Upgrades!$P$18,J140)*POWER(Upgrades!$P$19,K140)*POWER(Upgrades!$P$20,L140)*POWER(Upgrades!$P$21,M140)*$F$6*60</f>
        <v/>
      </c>
      <c r="AC140" s="27">
        <f>(IF(G140=0,0,(Upgrades!$J$15+G140*Upgrades!$K$15)*POWER(Upgrades!$L$15,G140)))*(IF(Upgrades!$T$13="Microlensing",POWER(Upgrades!$U$13,E140),1)*IF(Upgrades!$T$14="Microlensing",POWER(Upgrades!$U$14,F140),1)*IF(Upgrades!$T$16="Microlensing",POWER(Upgrades!$U$16,H140),1)*IF(Upgrades!$T$17="Microlensing",POWER(Upgrades!$U$17,I140),1)*IF(Upgrades!$T$18="Microlensing",POWER(Upgrades!$U$18,J140),1)*IF(Upgrades!$T$19="Microlensing",POWER(Upgrades!$U$19,K140),1)*IF(Upgrades!$T$20="Microlensing",POWER(Upgrades!$U$20,L140),1)*IF(Upgrades!$T$21="Microlensing",POWER(Upgrades!$U$21,M140),1))*POWER(Upgrades!$Q$13,E140)*POWER(Upgrades!$Q$14,F140)*POWER(Upgrades!$Q$15,G140)*POWER(Upgrades!$Q$16,H140)*POWER(Upgrades!$Q$17,I140)*POWER(Upgrades!$Q$18,J140)*POWER(Upgrades!$Q$19,K140)*POWER(Upgrades!$Q$20,L140)*POWER(Upgrades!$Q$21,M140)*$G$6*(Parameters!$B$10*Parameters!$B$11+Q140*60)</f>
        <v/>
      </c>
      <c r="AD140" s="27">
        <f>(IF(H140=0,0,(Upgrades!$M$16+H140*Upgrades!$N$16)*POWER(Upgrades!$O$16,H140)))*(IF(Upgrades!$T$13="Roche Lobe Overflow",POWER(Upgrades!$U$13,E140),1)*IF(Upgrades!$T$14="Roche Lobe Overflow",POWER(Upgrades!$U$14,F140),1)*IF(Upgrades!$T$15="Roche Lobe Overflow",POWER(Upgrades!$U$15,G140),1)*IF(Upgrades!$T$17="Roche Lobe Overflow",POWER(Upgrades!$U$17,I140),1)*IF(Upgrades!$T$18="Roche Lobe Overflow",POWER(Upgrades!$U$18,J140),1)*IF(Upgrades!$T$19="Roche Lobe Overflow",POWER(Upgrades!$U$19,K140),1)*IF(Upgrades!$T$20="Roche Lobe Overflow",POWER(Upgrades!$U$20,L140),1)*IF(Upgrades!$T$21="Roche Lobe Overflow",POWER(Upgrades!$U$21,M140),1))*POWER(Upgrades!$R$13,E140)*POWER(Upgrades!$R$14,F140)*POWER(Upgrades!$R$15,G140)*POWER(Upgrades!$R$16,H140)*POWER(Upgrades!$R$17,I140)*POWER(Upgrades!$R$18,J140)*POWER(Upgrades!$R$19,K140)*POWER(Upgrades!$R$20,L140)*POWER(Upgrades!$R$21,M140)*$H$6*O140*60</f>
        <v/>
      </c>
      <c r="AE140" s="27">
        <f>(IF(I140=0,0,(Upgrades!$G$17+I140*Upgrades!$H$17)*POWER(Upgrades!$I$17,I140)))*(IF(Upgrades!$T$13="Brown Dwarf",POWER(Upgrades!$U$13,E140),1)*IF(Upgrades!$T$14="Brown Dwarf",POWER(Upgrades!$U$14,F140),1)*IF(Upgrades!$T$15="Brown Dwarf",POWER(Upgrades!$U$15,G140),1)*IF(Upgrades!$T$16="Brown Dwarf",POWER(Upgrades!$U$16,H140),1)*IF(Upgrades!$T$18="Brown Dwarf",POWER(Upgrades!$U$18,J140),1)*IF(Upgrades!$T$19="Brown Dwarf",POWER(Upgrades!$U$19,K140),1)*IF(Upgrades!$T$20="Brown Dwarf",POWER(Upgrades!$U$20,L140),1)*IF(Upgrades!$T$21="Brown Dwarf",POWER(Upgrades!$U$21,M140),1))*POWER(Upgrades!$P$13,E140)*POWER(Upgrades!$P$14,F140)*POWER(Upgrades!$P$15,G140)*POWER(Upgrades!$P$16,H140)*POWER(Upgrades!$P$17,I140)*POWER(Upgrades!$P$18,J140)*POWER(Upgrades!$P$19,K140)*POWER(Upgrades!$P$20,L140)*POWER(Upgrades!$P$21,M140)*$F$6*60</f>
        <v/>
      </c>
      <c r="AF140" s="27" t="n">
        <v>0</v>
      </c>
      <c r="AG140" s="27" t="n">
        <v>0</v>
      </c>
      <c r="AH140" s="27" t="n">
        <v>0</v>
      </c>
      <c r="AI140" s="27">
        <f>(IF(M140=0,0,(Upgrades!$G$21+M140*Upgrades!$H$21)*POWER(Upgrades!$I$21,M140)))*(IF(Upgrades!$T$13="Moving Group",POWER(Upgrades!$U$13,E140),1)*IF(Upgrades!$T$14="Moving Group",POWER(Upgrades!$U$14,F140),1)*IF(Upgrades!$T$15="Moving Group",POWER(Upgrades!$U$15,G140),1)*IF(Upgrades!$T$16="Moving Group",POWER(Upgrades!$U$16,H140),1)*IF(Upgrades!$T$17="Moving Group",POWER(Upgrades!$U$17,I140),1)*IF(Upgrades!$T$18="Moving Group",POWER(Upgrades!$U$18,J140),1)*IF(Upgrades!$T$19="Moving Group",POWER(Upgrades!$U$19,K140),1)*IF(Upgrades!$T$20="Moving Group",POWER(Upgrades!$U$20,L140),1))*POWER(Upgrades!$P$13,E140)*POWER(Upgrades!$P$14,F140)*POWER(Upgrades!$P$15,G140)*POWER(Upgrades!$P$16,H140)*POWER(Upgrades!$P$17,I140)*POWER(Upgrades!$P$18,J140)*POWER(Upgrades!$P$19,K140)*POWER(Upgrades!$P$20,L140)*POWER(Upgrades!$P$21,M140)*$F$6*60</f>
        <v/>
      </c>
      <c r="AJ140" s="27">
        <f>$C$6*60</f>
        <v/>
      </c>
      <c r="AK140" s="22">
        <f>IF(E140&gt;=Upgrades!$E$13,"",Upgrades!$C$13*POWER(Upgrades!$D$13,E140))</f>
        <v/>
      </c>
      <c r="AL140" s="22">
        <f>IF(F140&gt;=Upgrades!$E$14,"",Upgrades!$C$14*POWER(Upgrades!$D$14,F140))</f>
        <v/>
      </c>
      <c r="AM140" s="22">
        <f>IF(G140&gt;=Upgrades!$E$15,"",Upgrades!$C$15*POWER(Upgrades!$D$15,G140))</f>
        <v/>
      </c>
      <c r="AN140" s="22">
        <f>IF(H140&gt;=Upgrades!$E$16,"",Upgrades!$C$16*POWER(Upgrades!$D$16,H140))</f>
        <v/>
      </c>
      <c r="AO140" s="22">
        <f>IF(I140&gt;=Upgrades!$E$17,"",Upgrades!$C$17*POWER(Upgrades!$D$17,I140))</f>
        <v/>
      </c>
      <c r="AP140" s="22">
        <f>IF(J140&gt;=Upgrades!$E$18,"",Upgrades!$C$18*POWER(Upgrades!$D$18,J140))</f>
        <v/>
      </c>
      <c r="AQ140" s="22">
        <f>IF(K140&gt;=Upgrades!$E$19,"",Upgrades!$C$19*POWER(Upgrades!$D$19,K140))</f>
        <v/>
      </c>
      <c r="AR140" s="22">
        <f>IF(L140&gt;=Upgrades!$E$20,"",Upgrades!$C$20*POWER(Upgrades!$D$20,L140))</f>
        <v/>
      </c>
      <c r="AS140" s="22">
        <f>IF(M140&gt;=Upgrades!$E$21,"",Upgrades!$C$21*POWER(Upgrades!$D$21,M140))</f>
        <v/>
      </c>
      <c r="AT140" s="26">
        <f>IF(AND(D140&gt;=Parameters!$B$18*Parameters!$B$19,(I140&gt;=Upgrades!$E$17)*(M140&gt;=Upgrades!$E$21)=1,N140=0),1,"")</f>
        <v/>
      </c>
      <c r="AU140" s="26">
        <f>IF(AND(D140&gt;=Parameters!$B$18*Parameters!$B$19,N140=0),1,"")</f>
        <v/>
      </c>
      <c r="AV140" s="22">
        <f>MIN(IF(ISNUMBER(AP140),AP140,9E15),IF(ISNUMBER(AQ140),AQ140,9E15),IF(ISNUMBER(AR140),AR140,9E15),IF(ISNUMBER(AS140),AS140,9E15))</f>
        <v/>
      </c>
      <c r="AW140" s="22">
        <f>MIN(IF(ISNUMBER(AK140),AK140,9E15),IF(ISNUMBER(AL140),AL140,9E15),IF(ISNUMBER(AM140),AM140,9E15),IF(ISNUMBER(AN140),AN140,9E15),IF(ISNUMBER(AO140),AO140,9E15))</f>
        <v/>
      </c>
      <c r="AX140" s="29">
        <f>IF(BD140&gt;Parameters!$B$21*(MAX(IF(AND(NOT(AND(AU140=1,AT140&lt;&gt;1)),ISNUMBER(AK140),AK140&lt;=(C140+T140)),AY140,0),IF(AND(NOT(AND(AU140=1,AT140&lt;&gt;1)),ISNUMBER(AL140),AL140&lt;=(C140+T140)),AZ140,0),IF(AND(NOT(AND(AU140=1,AT140&lt;&gt;1)),ISNUMBER(AM140),AM140&lt;=(C140+T140)),BA140,0),IF(AND(NOT(AND(AU140=1,AT140&lt;&gt;1)),ISNUMBER(AN140),AN140&lt;=(C140+T140)),BB140,0),IF(AND(ISNUMBER(AO140),AO140&lt;=(C140+T140)),BC140,0))),TRUE,FALSE)</f>
        <v/>
      </c>
      <c r="AY140" s="32">
        <f>IFERROR(Upgrades!$H$13*(POWER(Upgrades!$P$13,E140)*POWER(Upgrades!$P$14,F140)*POWER(Upgrades!$P$15,G140)*POWER(Upgrades!$P$16,H140)*POWER(Upgrades!$P$17,I140)*POWER(Upgrades!$P$18,J140)*POWER(Upgrades!$P$19,K140)*POWER(Upgrades!$P$20,L140)*POWER(Upgrades!$P$21,M140))*(IF(Upgrades!$T$14="Stellar Kinematics",POWER(Upgrades!$U$14,F140),1)*IF(Upgrades!$T$15="Stellar Kinematics",POWER(Upgrades!$U$15,G140),1)*IF(Upgrades!$T$16="Stellar Kinematics",POWER(Upgrades!$U$16,H140),1)*IF(Upgrades!$T$17="Stellar Kinematics",POWER(Upgrades!$U$17,I140),1)*IF(Upgrades!$T$18="Stellar Kinematics",POWER(Upgrades!$U$18,J140),1)*IF(Upgrades!$T$19="Stellar Kinematics",POWER(Upgrades!$U$19,K140),1)*IF(Upgrades!$T$20="Stellar Kinematics",POWER(Upgrades!$U$20,L140),1)*IF(Upgrades!$T$21="Stellar Kinematics",POWER(Upgrades!$U$21,M140),1))*$F$6/AK140,0)</f>
        <v/>
      </c>
      <c r="AZ140" s="32">
        <f>IFERROR(Upgrades!$H$14*(POWER(Upgrades!$P$13,E140)*POWER(Upgrades!$P$14,F140)*POWER(Upgrades!$P$15,G140)*POWER(Upgrades!$P$16,H140)*POWER(Upgrades!$P$17,I140)*POWER(Upgrades!$P$18,J140)*POWER(Upgrades!$P$19,K140)*POWER(Upgrades!$P$20,L140)*POWER(Upgrades!$P$21,M140))*(IF(Upgrades!$T$13="Local Bubble",POWER(Upgrades!$U$13,E140),1)*IF(Upgrades!$T$15="Local Bubble",POWER(Upgrades!$U$15,G140),1)*IF(Upgrades!$T$16="Local Bubble",POWER(Upgrades!$U$16,H140),1)*IF(Upgrades!$T$17="Local Bubble",POWER(Upgrades!$U$17,I140),1)*IF(Upgrades!$T$18="Local Bubble",POWER(Upgrades!$U$18,J140),1)*IF(Upgrades!$T$19="Local Bubble",POWER(Upgrades!$U$19,K140),1)*IF(Upgrades!$T$20="Local Bubble",POWER(Upgrades!$U$20,L140),1)*IF(Upgrades!$T$21="Local Bubble",POWER(Upgrades!$U$21,M140),1))*$F$6/AL140,0)</f>
        <v/>
      </c>
      <c r="BA140" s="32">
        <f>IFERROR(Upgrades!$K$15*(POWER(Upgrades!$Q$13,E140)*POWER(Upgrades!$Q$14,F140)*POWER(Upgrades!$Q$15,G140)*POWER(Upgrades!$Q$16,H140)*POWER(Upgrades!$Q$17,I140)*POWER(Upgrades!$Q$18,J140)*POWER(Upgrades!$Q$19,K140)*POWER(Upgrades!$Q$20,L140)*POWER(Upgrades!$Q$21,M140))*(IF(Upgrades!$T$13="Microlensing",POWER(Upgrades!$U$13,E140),1)*IF(Upgrades!$T$14="Microlensing",POWER(Upgrades!$U$14,F140),1)*IF(Upgrades!$T$16="Microlensing",POWER(Upgrades!$U$16,H140),1)*IF(Upgrades!$T$17="Microlensing",POWER(Upgrades!$U$17,I140),1)*IF(Upgrades!$T$18="Microlensing",POWER(Upgrades!$U$18,J140),1)*IF(Upgrades!$T$19="Microlensing",POWER(Upgrades!$U$19,K140),1)*IF(Upgrades!$T$20="Microlensing",POWER(Upgrades!$U$20,L140),1)*IF(Upgrades!$T$21="Microlensing",POWER(Upgrades!$U$21,M140),1))*$G$6*(Parameters!$B$10/60*Parameters!$B$11+Q140)/AM140,0)</f>
        <v/>
      </c>
      <c r="BB140" s="32">
        <f>IFERROR((Upgrades!$N$16*(POWER(Upgrades!$R$13,E140)*POWER(Upgrades!$R$14,F140)*POWER(Upgrades!$R$15,G140)*POWER(Upgrades!$R$16,H140)*POWER(Upgrades!$R$17,I140)*POWER(Upgrades!$R$18,J140)*POWER(Upgrades!$R$19,K140)*POWER(Upgrades!$R$20,L140)*POWER(Upgrades!$R$21,M140))*(IF(Upgrades!$T$13="Roche Lobe Overflow",POWER(Upgrades!$U$13,E140),1)*IF(Upgrades!$T$14="Roche Lobe Overflow",POWER(Upgrades!$U$14,F140),1)*IF(Upgrades!$T$15="Roche Lobe Overflow",POWER(Upgrades!$U$15,G140),1)*IF(Upgrades!$T$17="Roche Lobe Overflow",POWER(Upgrades!$U$17,I140),1)*IF(Upgrades!$T$18="Roche Lobe Overflow",POWER(Upgrades!$U$18,J140),1)*IF(Upgrades!$T$19="Roche Lobe Overflow",POWER(Upgrades!$U$19,K140),1)*IF(Upgrades!$T$20="Roche Lobe Overflow",POWER(Upgrades!$U$20,L140),1)*IF(Upgrades!$T$21="Roche Lobe Overflow",POWER(Upgrades!$U$21,M140),1))*$H$6*O140+((IF(F140=0,0,(Upgrades!$G$14+F140*Upgrades!$H$14)*POWER(Upgrades!$I$14,F140)))*(IF(Upgrades!$T$13="Local Bubble",POWER(Upgrades!$U$13,E140),1)*IF(Upgrades!$T$15="Local Bubble",POWER(Upgrades!$U$15,G140),1)*IF(Upgrades!$T$16="Local Bubble",POWER(Upgrades!$U$16,H140),1)*IF(Upgrades!$T$17="Local Bubble",POWER(Upgrades!$U$17,I140),1)*IF(Upgrades!$T$18="Local Bubble",POWER(Upgrades!$U$18,J140),1)*IF(Upgrades!$T$19="Local Bubble",POWER(Upgrades!$U$19,K140),1)*IF(Upgrades!$T$20="Local Bubble",POWER(Upgrades!$U$20,L140),1)*IF(Upgrades!$T$21="Local Bubble",POWER(Upgrades!$U$21,M140),1))*POWER(Upgrades!$P$13,E140)*POWER(Upgrades!$P$14,F140)*POWER(Upgrades!$P$15,G140)*POWER(Upgrades!$P$16,H140)*POWER(Upgrades!$P$17,I140)*POWER(Upgrades!$P$18,J140)*POWER(Upgrades!$P$19,K140)*POWER(Upgrades!$P$20,L140)*POWER(Upgrades!$P$21,M140)*$F$6)*0.05)/AN140,0)</f>
        <v/>
      </c>
      <c r="BC140" s="32">
        <f>IFERROR((Upgrades!$H$17*(POWER(Upgrades!$P$13,E140)*POWER(Upgrades!$P$14,F140)*POWER(Upgrades!$P$15,G140)*POWER(Upgrades!$P$16,H140)*POWER(Upgrades!$P$17,I140)*POWER(Upgrades!$P$18,J140)*POWER(Upgrades!$P$19,K140)*POWER(Upgrades!$P$20,L140)*POWER(Upgrades!$P$21,M140))*(IF(Upgrades!$T$13="Brown Dwarf",POWER(Upgrades!$U$13,E140),1)*IF(Upgrades!$T$14="Brown Dwarf",POWER(Upgrades!$U$14,F140),1)*IF(Upgrades!$T$15="Brown Dwarf",POWER(Upgrades!$U$15,G140),1)*IF(Upgrades!$T$16="Brown Dwarf",POWER(Upgrades!$U$16,H140),1)*IF(Upgrades!$T$18="Brown Dwarf",POWER(Upgrades!$U$18,J140),1)*IF(Upgrades!$T$19="Brown Dwarf",POWER(Upgrades!$U$19,K140),1)*IF(Upgrades!$T$20="Brown Dwarf",POWER(Upgrades!$U$20,L140),1)*IF(Upgrades!$T$21="Brown Dwarf",POWER(Upgrades!$U$21,M140),1))*$F$6+(((IF(H140=0,0,(Upgrades!$M$16+H140*Upgrades!$N$16)*POWER(Upgrades!$O$16,H140)))*(IF(Upgrades!$T$13="Roche Lobe Overflow",POWER(Upgrades!$U$13,E140),1)*IF(Upgrades!$T$14="Roche Lobe Overflow",POWER(Upgrades!$U$14,F140),1)*IF(Upgrades!$T$15="Roche Lobe Overflow",POWER(Upgrades!$U$15,G140),1)*IF(Upgrades!$T$17="Roche Lobe Overflow",POWER(Upgrades!$U$17,I140),1)*IF(Upgrades!$T$18="Roche Lobe Overflow",POWER(Upgrades!$U$18,J140),1)*IF(Upgrades!$T$19="Roche Lobe Overflow",POWER(Upgrades!$U$19,K140),1)*IF(Upgrades!$T$20="Roche Lobe Overflow",POWER(Upgrades!$U$20,L140),1)*IF(Upgrades!$T$21="Roche Lobe Overflow",POWER(Upgrades!$U$21,M140),1))*POWER(Upgrades!$R$13,E140)*POWER(Upgrades!$R$14,F140)*POWER(Upgrades!$R$15,G140)*POWER(Upgrades!$R$16,H140)*POWER(Upgrades!$R$17,I140)*POWER(Upgrades!$R$18,J140)*POWER(Upgrades!$R$19,K140)*POWER(Upgrades!$R$20,L140)*POWER(Upgrades!$R$21,M140)*$H$6)*O140)*0.10)/AO140,0)</f>
        <v/>
      </c>
      <c r="BD140" s="32">
        <f>MAX(IF(J140&gt;0,0,IFERROR(0.5*((IF(G140=0,0,(Upgrades!$J$15+G140*Upgrades!$K$15)*POWER(Upgrades!$L$15,G140)))*(IF(Upgrades!$T$13="Microlensing",POWER(Upgrades!$U$13,E140),1)*IF(Upgrades!$T$14="Microlensing",POWER(Upgrades!$U$14,F140),1)*IF(Upgrades!$T$16="Microlensing",POWER(Upgrades!$U$16,H140),1)*IF(Upgrades!$T$17="Microlensing",POWER(Upgrades!$U$17,I140),1)*IF(Upgrades!$T$18="Microlensing",POWER(Upgrades!$U$18,J140),1)*IF(Upgrades!$T$19="Microlensing",POWER(Upgrades!$U$19,K140),1)*IF(Upgrades!$T$20="Microlensing",POWER(Upgrades!$U$20,L140),1)*IF(Upgrades!$T$21="Microlensing",POWER(Upgrades!$U$21,M140),1))*(POWER(Upgrades!$Q$13,E140)*POWER(Upgrades!$Q$14,F140)*POWER(Upgrades!$Q$15,G140)*POWER(Upgrades!$Q$16,H140)*POWER(Upgrades!$Q$17,I140)*POWER(Upgrades!$Q$18,J140)*POWER(Upgrades!$Q$19,K140)*POWER(Upgrades!$Q$20,L140)*POWER(Upgrades!$Q$21,M140))*$G$6*(Parameters!$B$10/60*Parameters!$B$11+Q140))/Upgrades!$C$18,0)),IF(K140&gt;0,0,IFERROR(0.30*P140/Upgrades!$C$19,0)),IF(L140&gt;0,0,IFERROR(0.0001/Upgrades!$C$20,0)),IF(M140&gt;0,0,IFERROR((6.0*(POWER(Upgrades!$P$13,E140)*POWER(Upgrades!$P$14,F140)*POWER(Upgrades!$P$15,G140)*POWER(Upgrades!$P$16,H140)*POWER(Upgrades!$P$17,I140)*POWER(Upgrades!$P$18,J140)*POWER(Upgrades!$P$19,K140)*POWER(Upgrades!$P$20,L140)*POWER(Upgrades!$P$21,M140))*$F$6+0.20*O140*(Parameters!$B$10/60*Parameters!$B$11+Q140))/Upgrades!$C$21,0)),IF(AND(ISNUMBER(AK140),AK140&gt;(C140+T140)),AY140,0),IF(AND(ISNUMBER(AL140),AL140&gt;(C140+T140)),AZ140,0),IF(AND(ISNUMBER(AM140),AM140&gt;(C140+T140)),BA140,0),IF(AND(ISNUMBER(AN140),AN140&gt;(C140+T140)),BB140,0),IF(AND(ISNUMBER(AO140),AO140&gt;(C140+T140)),BC140,0))</f>
        <v/>
      </c>
      <c r="BE140" s="29">
        <f>IF(AT140=1,"transition",IF(MIN(IF(AND(J140=0,ISNUMBER(AP140),AP140&lt;=(C140+T140)),AP140,9E15),IF(AND(K140=0,ISNUMBER(AQ140),AQ140&lt;=(C140+T140)),AQ140,9E15),IF(AND(L140=0,ISNUMBER(AR140),AR140&lt;=(C140+T140)),AR140,9E15),IF(AND(M140=0,ISNUMBER(AS140),AS140&lt;=(C140+T140)),AS140,9E15))&lt;9E15,IF(AND(AND(J140=0,ISNUMBER(AP140),AP140&lt;=(C140+T140)),AP140=MIN(IF(AND(J140=0,ISNUMBER(AP140),AP140&lt;=(C140+T140)),AP140,9E15),IF(AND(K140=0,ISNUMBER(AQ140),AQ140&lt;=(C140+T140)),AQ140,9E15),IF(AND(L140=0,ISNUMBER(AR140),AR140&lt;=(C140+T140)),AR140,9E15),IF(AND(M140=0,ISNUMBER(AS140),AS140&lt;=(C140+T140)),AS140,9E15))),"BiP",IF(AND(AND(K140=0,ISNUMBER(AQ140),AQ140&lt;=(C140+T140)),AQ140=MIN(IF(AND(J140=0,ISNUMBER(AP140),AP140&lt;=(C140+T140)),AP140,9E15),IF(AND(K140=0,ISNUMBER(AQ140),AQ140&lt;=(C140+T140)),AQ140,9E15),IF(AND(L140=0,ISNUMBER(AR140),AR140&lt;=(C140+T140)),AR140,9E15),IF(AND(M140=0,ISNUMBER(AS140),AS140&lt;=(C140+T140)),AS140,9E15))),"PV",IF(AND(AND(L140=0,ISNUMBER(AR140),AR140&lt;=(C140+T140)),AR140=MIN(IF(AND(J140=0,ISNUMBER(AP140),AP140&lt;=(C140+T140)),AP140,9E15),IF(AND(K140=0,ISNUMBER(AQ140),AQ140&lt;=(C140+T140)),AQ140,9E15),IF(AND(L140=0,ISNUMBER(AR140),AR140&lt;=(C140+T140)),AR140,9E15),IF(AND(M140=0,ISNUMBER(AS140),AS140&lt;=(C140+T140)),AS140,9E15))),"OC","MG"))),IF(AX140=TRUE,"",IF(MAX(IF(AND(NOT(AND(AU140=1,AT140&lt;&gt;1)),ISNUMBER(AK140),AK140&lt;=(C140+T140)),AY140,0),IF(AND(NOT(AND(AU140=1,AT140&lt;&gt;1)),ISNUMBER(AL140),AL140&lt;=(C140+T140)),AZ140,0),IF(AND(NOT(AND(AU140=1,AT140&lt;&gt;1)),ISNUMBER(AM140),AM140&lt;=(C140+T140)),BA140,0),IF(AND(NOT(AND(AU140=1,AT140&lt;&gt;1)),ISNUMBER(AN140),AN140&lt;=(C140+T140)),BB140,0),IF(AND(ISNUMBER(AO140),AO140&lt;=(C140+T140)),BC140,0))&lt;=0,"",IF(AND(IF(AND(NOT(AND(AU140=1,AT140&lt;&gt;1)),ISNUMBER(AK140),AK140&lt;=(C140+T140)),AY140,0)&gt;0,IF(AND(NOT(AND(AU140=1,AT140&lt;&gt;1)),ISNUMBER(AK140),AK140&lt;=(C140+T140)),AY140,0)=MAX(IF(AND(NOT(AND(AU140=1,AT140&lt;&gt;1)),ISNUMBER(AK140),AK140&lt;=(C140+T140)),AY140,0),IF(AND(NOT(AND(AU140=1,AT140&lt;&gt;1)),ISNUMBER(AL140),AL140&lt;=(C140+T140)),AZ140,0),IF(AND(NOT(AND(AU140=1,AT140&lt;&gt;1)),ISNUMBER(AM140),AM140&lt;=(C140+T140)),BA140,0),IF(AND(NOT(AND(AU140=1,AT140&lt;&gt;1)),ISNUMBER(AN140),AN140&lt;=(C140+T140)),BB140,0),IF(AND(ISNUMBER(AO140),AO140&lt;=(C140+T140)),BC140,0))),"SK",IF(AND(IF(AND(NOT(AND(AU140=1,AT140&lt;&gt;1)),ISNUMBER(AL140),AL140&lt;=(C140+T140)),AZ140,0)&gt;0,IF(AND(NOT(AND(AU140=1,AT140&lt;&gt;1)),ISNUMBER(AL140),AL140&lt;=(C140+T140)),AZ140,0)=MAX(IF(AND(NOT(AND(AU140=1,AT140&lt;&gt;1)),ISNUMBER(AK140),AK140&lt;=(C140+T140)),AY140,0),IF(AND(NOT(AND(AU140=1,AT140&lt;&gt;1)),ISNUMBER(AL140),AL140&lt;=(C140+T140)),AZ140,0),IF(AND(NOT(AND(AU140=1,AT140&lt;&gt;1)),ISNUMBER(AM140),AM140&lt;=(C140+T140)),BA140,0),IF(AND(NOT(AND(AU140=1,AT140&lt;&gt;1)),ISNUMBER(AN140),AN140&lt;=(C140+T140)),BB140,0),IF(AND(ISNUMBER(AO140),AO140&lt;=(C140+T140)),BC140,0))),"LB",IF(AND(IF(AND(NOT(AND(AU140=1,AT140&lt;&gt;1)),ISNUMBER(AM140),AM140&lt;=(C140+T140)),BA140,0)&gt;0,IF(AND(NOT(AND(AU140=1,AT140&lt;&gt;1)),ISNUMBER(AM140),AM140&lt;=(C140+T140)),BA140,0)=MAX(IF(AND(NOT(AND(AU140=1,AT140&lt;&gt;1)),ISNUMBER(AK140),AK140&lt;=(C140+T140)),AY140,0),IF(AND(NOT(AND(AU140=1,AT140&lt;&gt;1)),ISNUMBER(AL140),AL140&lt;=(C140+T140)),AZ140,0),IF(AND(NOT(AND(AU140=1,AT140&lt;&gt;1)),ISNUMBER(AM140),AM140&lt;=(C140+T140)),BA140,0),IF(AND(NOT(AND(AU140=1,AT140&lt;&gt;1)),ISNUMBER(AN140),AN140&lt;=(C140+T140)),BB140,0),IF(AND(ISNUMBER(AO140),AO140&lt;=(C140+T140)),BC140,0))),"ML",IF(AND(IF(AND(NOT(AND(AU140=1,AT140&lt;&gt;1)),ISNUMBER(AN140),AN140&lt;=(C140+T140)),BB140,0)&gt;0,IF(AND(NOT(AND(AU140=1,AT140&lt;&gt;1)),ISNUMBER(AN140),AN140&lt;=(C140+T140)),BB140,0)=MAX(IF(AND(NOT(AND(AU140=1,AT140&lt;&gt;1)),ISNUMBER(AK140),AK140&lt;=(C140+T140)),AY140,0),IF(AND(NOT(AND(AU140=1,AT140&lt;&gt;1)),ISNUMBER(AL140),AL140&lt;=(C140+T140)),AZ140,0),IF(AND(NOT(AND(AU140=1,AT140&lt;&gt;1)),ISNUMBER(AM140),AM140&lt;=(C140+T140)),BA140,0),IF(AND(NOT(AND(AU140=1,AT140&lt;&gt;1)),ISNUMBER(AN140),AN140&lt;=(C140+T140)),BB140,0),IF(AND(ISNUMBER(AO140),AO140&lt;=(C140+T140)),BC140,0))),"RLO","BD"))))))))</f>
        <v/>
      </c>
    </row>
    <row r="141">
      <c r="A141" s="26" t="n">
        <v>130</v>
      </c>
      <c r="B141" s="27">
        <f>A141*10/60</f>
        <v/>
      </c>
      <c r="C141" s="22">
        <f>X140</f>
        <v/>
      </c>
      <c r="D141" s="27">
        <f>D140+W140</f>
        <v/>
      </c>
      <c r="E141" s="26">
        <f>E140+IF(U140="SK",1,0)</f>
        <v/>
      </c>
      <c r="F141" s="26">
        <f>F140+IF(U140="LB",1,0)</f>
        <v/>
      </c>
      <c r="G141" s="26">
        <f>G140+IF(U140="ML",1,0)</f>
        <v/>
      </c>
      <c r="H141" s="26">
        <f>H140+IF(U140="RLO",1,0)</f>
        <v/>
      </c>
      <c r="I141" s="26">
        <f>I140+IF(U140="BD",1,0)</f>
        <v/>
      </c>
      <c r="J141" s="26">
        <f>MAX(J140,IF(U140="BiP",1,0))</f>
        <v/>
      </c>
      <c r="K141" s="26">
        <f>MAX(K140,IF(U140="PV",1,0))</f>
        <v/>
      </c>
      <c r="L141" s="26">
        <f>MAX(L140,IF(U140="OC",1,0))</f>
        <v/>
      </c>
      <c r="M141" s="26">
        <f>MAX(M140,IF(U140="MG",1,0))</f>
        <v/>
      </c>
      <c r="N141" s="26">
        <f>MAX(N140,IF(U140="transition",1,0))</f>
        <v/>
      </c>
      <c r="O141" s="28">
        <f>(Parameters!$B$9+(IF(E141=0,0,(Upgrades!$J$13+E141*Upgrades!$K$13)*POWER(Upgrades!$L$13,E141)))*(IF(Upgrades!$T$14="Stellar Kinematics",POWER(Upgrades!$U$14,F141),1)*IF(Upgrades!$T$15="Stellar Kinematics",POWER(Upgrades!$U$15,G141),1)*IF(Upgrades!$T$16="Stellar Kinematics",POWER(Upgrades!$U$16,H141),1)*IF(Upgrades!$T$17="Stellar Kinematics",POWER(Upgrades!$U$17,I141),1)*IF(Upgrades!$T$18="Stellar Kinematics",POWER(Upgrades!$U$18,J141),1)*IF(Upgrades!$T$19="Stellar Kinematics",POWER(Upgrades!$U$19,K141),1)*IF(Upgrades!$T$20="Stellar Kinematics",POWER(Upgrades!$U$20,L141),1)*IF(Upgrades!$T$21="Stellar Kinematics",POWER(Upgrades!$U$21,M141),1))+(IF(F141=0,0,(Upgrades!$J$14+F141*Upgrades!$K$14)*POWER(Upgrades!$L$14,F141)))*(IF(Upgrades!$T$13="Local Bubble",POWER(Upgrades!$U$13,E141),1)*IF(Upgrades!$T$15="Local Bubble",POWER(Upgrades!$U$15,G141),1)*IF(Upgrades!$T$16="Local Bubble",POWER(Upgrades!$U$16,H141),1)*IF(Upgrades!$T$17="Local Bubble",POWER(Upgrades!$U$17,I141),1)*IF(Upgrades!$T$18="Local Bubble",POWER(Upgrades!$U$18,J141),1)*IF(Upgrades!$T$19="Local Bubble",POWER(Upgrades!$U$19,K141),1)*IF(Upgrades!$T$20="Local Bubble",POWER(Upgrades!$U$20,L141),1)*IF(Upgrades!$T$21="Local Bubble",POWER(Upgrades!$U$21,M141),1))+(IF(G141=0,0,(Upgrades!$J$15+G141*Upgrades!$K$15)*POWER(Upgrades!$L$15,G141)))*(IF(Upgrades!$T$13="Microlensing",POWER(Upgrades!$U$13,E141),1)*IF(Upgrades!$T$14="Microlensing",POWER(Upgrades!$U$14,F141),1)*IF(Upgrades!$T$16="Microlensing",POWER(Upgrades!$U$16,H141),1)*IF(Upgrades!$T$17="Microlensing",POWER(Upgrades!$U$17,I141),1)*IF(Upgrades!$T$18="Microlensing",POWER(Upgrades!$U$18,J141),1)*IF(Upgrades!$T$19="Microlensing",POWER(Upgrades!$U$19,K141),1)*IF(Upgrades!$T$20="Microlensing",POWER(Upgrades!$U$20,L141),1)*IF(Upgrades!$T$21="Microlensing",POWER(Upgrades!$U$21,M141),1))+(IF(H141=0,0,(Upgrades!$J$16+H141*Upgrades!$K$16)*POWER(Upgrades!$L$16,H141)))*(IF(Upgrades!$T$13="Roche Lobe Overflow",POWER(Upgrades!$U$13,E141),1)*IF(Upgrades!$T$14="Roche Lobe Overflow",POWER(Upgrades!$U$14,F141),1)*IF(Upgrades!$T$15="Roche Lobe Overflow",POWER(Upgrades!$U$15,G141),1)*IF(Upgrades!$T$17="Roche Lobe Overflow",POWER(Upgrades!$U$17,I141),1)*IF(Upgrades!$T$18="Roche Lobe Overflow",POWER(Upgrades!$U$18,J141),1)*IF(Upgrades!$T$19="Roche Lobe Overflow",POWER(Upgrades!$U$19,K141),1)*IF(Upgrades!$T$20="Roche Lobe Overflow",POWER(Upgrades!$U$20,L141),1)*IF(Upgrades!$T$21="Roche Lobe Overflow",POWER(Upgrades!$U$21,M141),1))+(IF(I141=0,0,(Upgrades!$J$17+I141*Upgrades!$K$17)*POWER(Upgrades!$L$17,I141)))*(IF(Upgrades!$T$13="Brown Dwarf",POWER(Upgrades!$U$13,E141),1)*IF(Upgrades!$T$14="Brown Dwarf",POWER(Upgrades!$U$14,F141),1)*IF(Upgrades!$T$15="Brown Dwarf",POWER(Upgrades!$U$15,G141),1)*IF(Upgrades!$T$16="Brown Dwarf",POWER(Upgrades!$U$16,H141),1)*IF(Upgrades!$T$18="Brown Dwarf",POWER(Upgrades!$U$18,J141),1)*IF(Upgrades!$T$19="Brown Dwarf",POWER(Upgrades!$U$19,K141),1)*IF(Upgrades!$T$20="Brown Dwarf",POWER(Upgrades!$U$20,L141),1)*IF(Upgrades!$T$21="Brown Dwarf",POWER(Upgrades!$U$21,M141),1))+(IF(J141=0,0,(Upgrades!$J$18+J141*Upgrades!$K$18)*POWER(Upgrades!$L$18,J141)))*(IF(Upgrades!$T$13="Binary Partner",POWER(Upgrades!$U$13,E141),1)*IF(Upgrades!$T$14="Binary Partner",POWER(Upgrades!$U$14,F141),1)*IF(Upgrades!$T$15="Binary Partner",POWER(Upgrades!$U$15,G141),1)*IF(Upgrades!$T$16="Binary Partner",POWER(Upgrades!$U$16,H141),1)*IF(Upgrades!$T$17="Binary Partner",POWER(Upgrades!$U$17,I141),1)*IF(Upgrades!$T$19="Binary Partner",POWER(Upgrades!$U$19,K141),1)*IF(Upgrades!$T$20="Binary Partner",POWER(Upgrades!$U$20,L141),1)*IF(Upgrades!$T$21="Binary Partner",POWER(Upgrades!$U$21,M141),1))+(IF(K141=0,0,(Upgrades!$J$19+K141*Upgrades!$K$19)*POWER(Upgrades!$L$19,K141)))*(IF(Upgrades!$T$13="Peculiar Velocity",POWER(Upgrades!$U$13,E141),1)*IF(Upgrades!$T$14="Peculiar Velocity",POWER(Upgrades!$U$14,F141),1)*IF(Upgrades!$T$15="Peculiar Velocity",POWER(Upgrades!$U$15,G141),1)*IF(Upgrades!$T$16="Peculiar Velocity",POWER(Upgrades!$U$16,H141),1)*IF(Upgrades!$T$17="Peculiar Velocity",POWER(Upgrades!$U$17,I141),1)*IF(Upgrades!$T$18="Peculiar Velocity",POWER(Upgrades!$U$18,J141),1)*IF(Upgrades!$T$20="Peculiar Velocity",POWER(Upgrades!$U$20,L141),1)*IF(Upgrades!$T$21="Peculiar Velocity",POWER(Upgrades!$U$21,M141),1))+(IF(L141=0,0,(Upgrades!$J$20+L141*Upgrades!$K$20)*POWER(Upgrades!$L$20,L141)))*(IF(Upgrades!$T$13="Open Cluster",POWER(Upgrades!$U$13,E141),1)*IF(Upgrades!$T$14="Open Cluster",POWER(Upgrades!$U$14,F141),1)*IF(Upgrades!$T$15="Open Cluster",POWER(Upgrades!$U$15,G141),1)*IF(Upgrades!$T$16="Open Cluster",POWER(Upgrades!$U$16,H141),1)*IF(Upgrades!$T$17="Open Cluster",POWER(Upgrades!$U$17,I141),1)*IF(Upgrades!$T$18="Open Cluster",POWER(Upgrades!$U$18,J141),1)*IF(Upgrades!$T$19="Open Cluster",POWER(Upgrades!$U$19,K141),1)*IF(Upgrades!$T$21="Open Cluster",POWER(Upgrades!$U$21,M141),1))+(IF(M141=0,0,(Upgrades!$J$21+M141*Upgrades!$K$21)*POWER(Upgrades!$L$21,M141)))*(IF(Upgrades!$T$13="Moving Group",POWER(Upgrades!$U$13,E141),1)*IF(Upgrades!$T$14="Moving Group",POWER(Upgrades!$U$14,F141),1)*IF(Upgrades!$T$15="Moving Group",POWER(Upgrades!$U$15,G141),1)*IF(Upgrades!$T$16="Moving Group",POWER(Upgrades!$U$16,H141),1)*IF(Upgrades!$T$17="Moving Group",POWER(Upgrades!$U$17,I141),1)*IF(Upgrades!$T$18="Moving Group",POWER(Upgrades!$U$18,J141),1)*IF(Upgrades!$T$19="Moving Group",POWER(Upgrades!$U$19,K141),1)*IF(Upgrades!$T$20="Moving Group",POWER(Upgrades!$U$20,L141),1)))*POWER(Upgrades!$Q$13,E141)*POWER(Upgrades!$Q$14,F141)*POWER(Upgrades!$Q$15,G141)*POWER(Upgrades!$Q$16,H141)*POWER(Upgrades!$Q$17,I141)*POWER(Upgrades!$Q$18,J141)*POWER(Upgrades!$Q$19,K141)*POWER(Upgrades!$Q$20,L141)*POWER(Upgrades!$Q$21,M141)*$G$6+$D$6</f>
        <v/>
      </c>
      <c r="P141" s="28">
        <f>((IF(E141=0,0,(Upgrades!$G$13+E141*Upgrades!$H$13)*POWER(Upgrades!$I$13,E141)))*(IF(Upgrades!$T$14="Stellar Kinematics",POWER(Upgrades!$U$14,F141),1)*IF(Upgrades!$T$15="Stellar Kinematics",POWER(Upgrades!$U$15,G141),1)*IF(Upgrades!$T$16="Stellar Kinematics",POWER(Upgrades!$U$16,H141),1)*IF(Upgrades!$T$17="Stellar Kinematics",POWER(Upgrades!$U$17,I141),1)*IF(Upgrades!$T$18="Stellar Kinematics",POWER(Upgrades!$U$18,J141),1)*IF(Upgrades!$T$19="Stellar Kinematics",POWER(Upgrades!$U$19,K141),1)*IF(Upgrades!$T$20="Stellar Kinematics",POWER(Upgrades!$U$20,L141),1)*IF(Upgrades!$T$21="Stellar Kinematics",POWER(Upgrades!$U$21,M141),1))+(IF(F141=0,0,(Upgrades!$G$14+F141*Upgrades!$H$14)*POWER(Upgrades!$I$14,F141)))*(IF(Upgrades!$T$13="Local Bubble",POWER(Upgrades!$U$13,E141),1)*IF(Upgrades!$T$15="Local Bubble",POWER(Upgrades!$U$15,G141),1)*IF(Upgrades!$T$16="Local Bubble",POWER(Upgrades!$U$16,H141),1)*IF(Upgrades!$T$17="Local Bubble",POWER(Upgrades!$U$17,I141),1)*IF(Upgrades!$T$18="Local Bubble",POWER(Upgrades!$U$18,J141),1)*IF(Upgrades!$T$19="Local Bubble",POWER(Upgrades!$U$19,K141),1)*IF(Upgrades!$T$20="Local Bubble",POWER(Upgrades!$U$20,L141),1)*IF(Upgrades!$T$21="Local Bubble",POWER(Upgrades!$U$21,M141),1))+(IF(G141=0,0,(Upgrades!$G$15+G141*Upgrades!$H$15)*POWER(Upgrades!$I$15,G141)))*(IF(Upgrades!$T$13="Microlensing",POWER(Upgrades!$U$13,E141),1)*IF(Upgrades!$T$14="Microlensing",POWER(Upgrades!$U$14,F141),1)*IF(Upgrades!$T$16="Microlensing",POWER(Upgrades!$U$16,H141),1)*IF(Upgrades!$T$17="Microlensing",POWER(Upgrades!$U$17,I141),1)*IF(Upgrades!$T$18="Microlensing",POWER(Upgrades!$U$18,J141),1)*IF(Upgrades!$T$19="Microlensing",POWER(Upgrades!$U$19,K141),1)*IF(Upgrades!$T$20="Microlensing",POWER(Upgrades!$U$20,L141),1)*IF(Upgrades!$T$21="Microlensing",POWER(Upgrades!$U$21,M141),1))+(IF(H141=0,0,(Upgrades!$G$16+H141*Upgrades!$H$16)*POWER(Upgrades!$I$16,H141)))*(IF(Upgrades!$T$13="Roche Lobe Overflow",POWER(Upgrades!$U$13,E141),1)*IF(Upgrades!$T$14="Roche Lobe Overflow",POWER(Upgrades!$U$14,F141),1)*IF(Upgrades!$T$15="Roche Lobe Overflow",POWER(Upgrades!$U$15,G141),1)*IF(Upgrades!$T$17="Roche Lobe Overflow",POWER(Upgrades!$U$17,I141),1)*IF(Upgrades!$T$18="Roche Lobe Overflow",POWER(Upgrades!$U$18,J141),1)*IF(Upgrades!$T$19="Roche Lobe Overflow",POWER(Upgrades!$U$19,K141),1)*IF(Upgrades!$T$20="Roche Lobe Overflow",POWER(Upgrades!$U$20,L141),1)*IF(Upgrades!$T$21="Roche Lobe Overflow",POWER(Upgrades!$U$21,M141),1))+(IF(I141=0,0,(Upgrades!$G$17+I141*Upgrades!$H$17)*POWER(Upgrades!$I$17,I141)))*(IF(Upgrades!$T$13="Brown Dwarf",POWER(Upgrades!$U$13,E141),1)*IF(Upgrades!$T$14="Brown Dwarf",POWER(Upgrades!$U$14,F141),1)*IF(Upgrades!$T$15="Brown Dwarf",POWER(Upgrades!$U$15,G141),1)*IF(Upgrades!$T$16="Brown Dwarf",POWER(Upgrades!$U$16,H141),1)*IF(Upgrades!$T$18="Brown Dwarf",POWER(Upgrades!$U$18,J141),1)*IF(Upgrades!$T$19="Brown Dwarf",POWER(Upgrades!$U$19,K141),1)*IF(Upgrades!$T$20="Brown Dwarf",POWER(Upgrades!$U$20,L141),1)*IF(Upgrades!$T$21="Brown Dwarf",POWER(Upgrades!$U$21,M141),1))+(IF(J141=0,0,(Upgrades!$G$18+J141*Upgrades!$H$18)*POWER(Upgrades!$I$18,J141)))*(IF(Upgrades!$T$13="Binary Partner",POWER(Upgrades!$U$13,E141),1)*IF(Upgrades!$T$14="Binary Partner",POWER(Upgrades!$U$14,F141),1)*IF(Upgrades!$T$15="Binary Partner",POWER(Upgrades!$U$15,G141),1)*IF(Upgrades!$T$16="Binary Partner",POWER(Upgrades!$U$16,H141),1)*IF(Upgrades!$T$17="Binary Partner",POWER(Upgrades!$U$17,I141),1)*IF(Upgrades!$T$19="Binary Partner",POWER(Upgrades!$U$19,K141),1)*IF(Upgrades!$T$20="Binary Partner",POWER(Upgrades!$U$20,L141),1)*IF(Upgrades!$T$21="Binary Partner",POWER(Upgrades!$U$21,M141),1))+(IF(K141=0,0,(Upgrades!$G$19+K141*Upgrades!$H$19)*POWER(Upgrades!$I$19,K141)))*(IF(Upgrades!$T$13="Peculiar Velocity",POWER(Upgrades!$U$13,E141),1)*IF(Upgrades!$T$14="Peculiar Velocity",POWER(Upgrades!$U$14,F141),1)*IF(Upgrades!$T$15="Peculiar Velocity",POWER(Upgrades!$U$15,G141),1)*IF(Upgrades!$T$16="Peculiar Velocity",POWER(Upgrades!$U$16,H141),1)*IF(Upgrades!$T$17="Peculiar Velocity",POWER(Upgrades!$U$17,I141),1)*IF(Upgrades!$T$18="Peculiar Velocity",POWER(Upgrades!$U$18,J141),1)*IF(Upgrades!$T$20="Peculiar Velocity",POWER(Upgrades!$U$20,L141),1)*IF(Upgrades!$T$21="Peculiar Velocity",POWER(Upgrades!$U$21,M141),1))+(IF(L141=0,0,(Upgrades!$G$20+L141*Upgrades!$H$20)*POWER(Upgrades!$I$20,L141)))*(IF(Upgrades!$T$13="Open Cluster",POWER(Upgrades!$U$13,E141),1)*IF(Upgrades!$T$14="Open Cluster",POWER(Upgrades!$U$14,F141),1)*IF(Upgrades!$T$15="Open Cluster",POWER(Upgrades!$U$15,G141),1)*IF(Upgrades!$T$16="Open Cluster",POWER(Upgrades!$U$16,H141),1)*IF(Upgrades!$T$17="Open Cluster",POWER(Upgrades!$U$17,I141),1)*IF(Upgrades!$T$18="Open Cluster",POWER(Upgrades!$U$18,J141),1)*IF(Upgrades!$T$19="Open Cluster",POWER(Upgrades!$U$19,K141),1)*IF(Upgrades!$T$21="Open Cluster",POWER(Upgrades!$U$21,M141),1))+(IF(M141=0,0,(Upgrades!$G$21+M141*Upgrades!$H$21)*POWER(Upgrades!$I$21,M141)))*(IF(Upgrades!$T$13="Moving Group",POWER(Upgrades!$U$13,E141),1)*IF(Upgrades!$T$14="Moving Group",POWER(Upgrades!$U$14,F141),1)*IF(Upgrades!$T$15="Moving Group",POWER(Upgrades!$U$15,G141),1)*IF(Upgrades!$T$16="Moving Group",POWER(Upgrades!$U$16,H141),1)*IF(Upgrades!$T$17="Moving Group",POWER(Upgrades!$U$17,I141),1)*IF(Upgrades!$T$18="Moving Group",POWER(Upgrades!$U$18,J141),1)*IF(Upgrades!$T$19="Moving Group",POWER(Upgrades!$U$19,K141),1)*IF(Upgrades!$T$20="Moving Group",POWER(Upgrades!$U$20,L141),1)))*POWER(Upgrades!$P$13,E141)*POWER(Upgrades!$P$14,F141)*POWER(Upgrades!$P$15,G141)*POWER(Upgrades!$P$16,H141)*POWER(Upgrades!$P$17,I141)*POWER(Upgrades!$P$18,J141)*POWER(Upgrades!$P$19,K141)*POWER(Upgrades!$P$20,L141)*POWER(Upgrades!$P$21,M141)*$F$6+$C$6</f>
        <v/>
      </c>
      <c r="Q141" s="28">
        <f>((IF(E141=0,0,(Upgrades!$M$13+E141*Upgrades!$N$13)*POWER(Upgrades!$O$13,E141)))*(IF(Upgrades!$T$14="Stellar Kinematics",POWER(Upgrades!$U$14,F141),1)*IF(Upgrades!$T$15="Stellar Kinematics",POWER(Upgrades!$U$15,G141),1)*IF(Upgrades!$T$16="Stellar Kinematics",POWER(Upgrades!$U$16,H141),1)*IF(Upgrades!$T$17="Stellar Kinematics",POWER(Upgrades!$U$17,I141),1)*IF(Upgrades!$T$18="Stellar Kinematics",POWER(Upgrades!$U$18,J141),1)*IF(Upgrades!$T$19="Stellar Kinematics",POWER(Upgrades!$U$19,K141),1)*IF(Upgrades!$T$20="Stellar Kinematics",POWER(Upgrades!$U$20,L141),1)*IF(Upgrades!$T$21="Stellar Kinematics",POWER(Upgrades!$U$21,M141),1))+(IF(F141=0,0,(Upgrades!$M$14+F141*Upgrades!$N$14)*POWER(Upgrades!$O$14,F141)))*(IF(Upgrades!$T$13="Local Bubble",POWER(Upgrades!$U$13,E141),1)*IF(Upgrades!$T$15="Local Bubble",POWER(Upgrades!$U$15,G141),1)*IF(Upgrades!$T$16="Local Bubble",POWER(Upgrades!$U$16,H141),1)*IF(Upgrades!$T$17="Local Bubble",POWER(Upgrades!$U$17,I141),1)*IF(Upgrades!$T$18="Local Bubble",POWER(Upgrades!$U$18,J141),1)*IF(Upgrades!$T$19="Local Bubble",POWER(Upgrades!$U$19,K141),1)*IF(Upgrades!$T$20="Local Bubble",POWER(Upgrades!$U$20,L141),1)*IF(Upgrades!$T$21="Local Bubble",POWER(Upgrades!$U$21,M141),1))+(IF(G141=0,0,(Upgrades!$M$15+G141*Upgrades!$N$15)*POWER(Upgrades!$O$15,G141)))*(IF(Upgrades!$T$13="Microlensing",POWER(Upgrades!$U$13,E141),1)*IF(Upgrades!$T$14="Microlensing",POWER(Upgrades!$U$14,F141),1)*IF(Upgrades!$T$16="Microlensing",POWER(Upgrades!$U$16,H141),1)*IF(Upgrades!$T$17="Microlensing",POWER(Upgrades!$U$17,I141),1)*IF(Upgrades!$T$18="Microlensing",POWER(Upgrades!$U$18,J141),1)*IF(Upgrades!$T$19="Microlensing",POWER(Upgrades!$U$19,K141),1)*IF(Upgrades!$T$20="Microlensing",POWER(Upgrades!$U$20,L141),1)*IF(Upgrades!$T$21="Microlensing",POWER(Upgrades!$U$21,M141),1))+(IF(H141=0,0,(Upgrades!$M$16+H141*Upgrades!$N$16)*POWER(Upgrades!$O$16,H141)))*(IF(Upgrades!$T$13="Roche Lobe Overflow",POWER(Upgrades!$U$13,E141),1)*IF(Upgrades!$T$14="Roche Lobe Overflow",POWER(Upgrades!$U$14,F141),1)*IF(Upgrades!$T$15="Roche Lobe Overflow",POWER(Upgrades!$U$15,G141),1)*IF(Upgrades!$T$17="Roche Lobe Overflow",POWER(Upgrades!$U$17,I141),1)*IF(Upgrades!$T$18="Roche Lobe Overflow",POWER(Upgrades!$U$18,J141),1)*IF(Upgrades!$T$19="Roche Lobe Overflow",POWER(Upgrades!$U$19,K141),1)*IF(Upgrades!$T$20="Roche Lobe Overflow",POWER(Upgrades!$U$20,L141),1)*IF(Upgrades!$T$21="Roche Lobe Overflow",POWER(Upgrades!$U$21,M141),1))+(IF(I141=0,0,(Upgrades!$M$17+I141*Upgrades!$N$17)*POWER(Upgrades!$O$17,I141)))*(IF(Upgrades!$T$13="Brown Dwarf",POWER(Upgrades!$U$13,E141),1)*IF(Upgrades!$T$14="Brown Dwarf",POWER(Upgrades!$U$14,F141),1)*IF(Upgrades!$T$15="Brown Dwarf",POWER(Upgrades!$U$15,G141),1)*IF(Upgrades!$T$16="Brown Dwarf",POWER(Upgrades!$U$16,H141),1)*IF(Upgrades!$T$18="Brown Dwarf",POWER(Upgrades!$U$18,J141),1)*IF(Upgrades!$T$19="Brown Dwarf",POWER(Upgrades!$U$19,K141),1)*IF(Upgrades!$T$20="Brown Dwarf",POWER(Upgrades!$U$20,L141),1)*IF(Upgrades!$T$21="Brown Dwarf",POWER(Upgrades!$U$21,M141),1))+(IF(J141=0,0,(Upgrades!$M$18+J141*Upgrades!$N$18)*POWER(Upgrades!$O$18,J141)))*(IF(Upgrades!$T$13="Binary Partner",POWER(Upgrades!$U$13,E141),1)*IF(Upgrades!$T$14="Binary Partner",POWER(Upgrades!$U$14,F141),1)*IF(Upgrades!$T$15="Binary Partner",POWER(Upgrades!$U$15,G141),1)*IF(Upgrades!$T$16="Binary Partner",POWER(Upgrades!$U$16,H141),1)*IF(Upgrades!$T$17="Binary Partner",POWER(Upgrades!$U$17,I141),1)*IF(Upgrades!$T$19="Binary Partner",POWER(Upgrades!$U$19,K141),1)*IF(Upgrades!$T$20="Binary Partner",POWER(Upgrades!$U$20,L141),1)*IF(Upgrades!$T$21="Binary Partner",POWER(Upgrades!$U$21,M141),1))+(IF(K141=0,0,(Upgrades!$M$19+K141*Upgrades!$N$19)*POWER(Upgrades!$O$19,K141)))*(IF(Upgrades!$T$13="Peculiar Velocity",POWER(Upgrades!$U$13,E141),1)*IF(Upgrades!$T$14="Peculiar Velocity",POWER(Upgrades!$U$14,F141),1)*IF(Upgrades!$T$15="Peculiar Velocity",POWER(Upgrades!$U$15,G141),1)*IF(Upgrades!$T$16="Peculiar Velocity",POWER(Upgrades!$U$16,H141),1)*IF(Upgrades!$T$17="Peculiar Velocity",POWER(Upgrades!$U$17,I141),1)*IF(Upgrades!$T$18="Peculiar Velocity",POWER(Upgrades!$U$18,J141),1)*IF(Upgrades!$T$20="Peculiar Velocity",POWER(Upgrades!$U$20,L141),1)*IF(Upgrades!$T$21="Peculiar Velocity",POWER(Upgrades!$U$21,M141),1))+(IF(L141=0,0,(Upgrades!$M$20+L141*Upgrades!$N$20)*POWER(Upgrades!$O$20,L141)))*(IF(Upgrades!$T$13="Open Cluster",POWER(Upgrades!$U$13,E141),1)*IF(Upgrades!$T$14="Open Cluster",POWER(Upgrades!$U$14,F141),1)*IF(Upgrades!$T$15="Open Cluster",POWER(Upgrades!$U$15,G141),1)*IF(Upgrades!$T$16="Open Cluster",POWER(Upgrades!$U$16,H141),1)*IF(Upgrades!$T$17="Open Cluster",POWER(Upgrades!$U$17,I141),1)*IF(Upgrades!$T$18="Open Cluster",POWER(Upgrades!$U$18,J141),1)*IF(Upgrades!$T$19="Open Cluster",POWER(Upgrades!$U$19,K141),1)*IF(Upgrades!$T$21="Open Cluster",POWER(Upgrades!$U$21,M141),1))+(IF(M141=0,0,(Upgrades!$M$21+M141*Upgrades!$N$21)*POWER(Upgrades!$O$21,M141)))*(IF(Upgrades!$T$13="Moving Group",POWER(Upgrades!$U$13,E141),1)*IF(Upgrades!$T$14="Moving Group",POWER(Upgrades!$U$14,F141),1)*IF(Upgrades!$T$15="Moving Group",POWER(Upgrades!$U$15,G141),1)*IF(Upgrades!$T$16="Moving Group",POWER(Upgrades!$U$16,H141),1)*IF(Upgrades!$T$17="Moving Group",POWER(Upgrades!$U$17,I141),1)*IF(Upgrades!$T$18="Moving Group",POWER(Upgrades!$U$18,J141),1)*IF(Upgrades!$T$19="Moving Group",POWER(Upgrades!$U$19,K141),1)*IF(Upgrades!$T$20="Moving Group",POWER(Upgrades!$U$20,L141),1)))*POWER(Upgrades!$R$13,E141)*POWER(Upgrades!$R$14,F141)*POWER(Upgrades!$R$15,G141)*POWER(Upgrades!$R$16,H141)*POWER(Upgrades!$R$17,I141)*POWER(Upgrades!$R$18,J141)*POWER(Upgrades!$R$19,K141)*POWER(Upgrades!$R$20,L141)*POWER(Upgrades!$R$21,M141)*$H$6+$E$6</f>
        <v/>
      </c>
      <c r="R141" s="27">
        <f>IF(N141=1,0,O141*Parameters!$B$10/60*Parameters!$B$11*10)</f>
        <v/>
      </c>
      <c r="S141" s="27">
        <f>IF(N141=1,0,Q141*O141*10)</f>
        <v/>
      </c>
      <c r="T141" s="27">
        <f>IF(N141=1,0,R141+S141+P141*10)</f>
        <v/>
      </c>
      <c r="U141" s="33">
        <f>BE141</f>
        <v/>
      </c>
      <c r="V141" s="22">
        <f>IF(U141="",0,IF(U141="transition",0,IF(U141="SK",AK141,IF(U141="LB",AL141,IF(U141="ML",AM141,IF(U141="RLO",AN141,IF(U141="BD",AO141,IF(U141="BiP",AP141,IF(U141="PV",AQ141,IF(U141="OC",AR141,IF(U141="MG",AS141,0))))))))))</f>
        <v/>
      </c>
      <c r="W141" s="27">
        <f>IF(U141="BiP",Upgrades!$F$18,IF(U141="PV",Upgrades!$F$19,IF(U141="OC",Upgrades!$F$20,IF(U141="MG",Upgrades!$F$21,IF(U141="transition",-Parameters!$B$18*Parameters!$B$19,0)))))</f>
        <v/>
      </c>
      <c r="X141" s="22">
        <f>C141+T141-V141</f>
        <v/>
      </c>
      <c r="Y141" s="30">
        <f>O141*Parameters!$B$10/60*Parameters!$B$11+Q141*O141+P141</f>
        <v/>
      </c>
      <c r="Z141" s="34">
        <f>IF(U141="transition","→ Tier 3 (Galactic Arm)",IF(U141="MG","Moving Group — pocket drifts together",IF(U141="OC","Open Cluster acquired",IF(U141="PV","Peculiar Velocity — passive multiplier active",IF(U141="BiP","Binary Partner — pair bond formed",IF(AND(AU141=1,N141=0,AT141&lt;&gt;1),"Cohesion ready (waiting on completionists)","")))))) </f>
        <v/>
      </c>
      <c r="AA141" s="27">
        <f>(IF(E141=0,0,(Upgrades!$G$13+E141*Upgrades!$H$13)*POWER(Upgrades!$I$13,E141)))*(IF(Upgrades!$T$14="Stellar Kinematics",POWER(Upgrades!$U$14,F141),1)*IF(Upgrades!$T$15="Stellar Kinematics",POWER(Upgrades!$U$15,G141),1)*IF(Upgrades!$T$16="Stellar Kinematics",POWER(Upgrades!$U$16,H141),1)*IF(Upgrades!$T$17="Stellar Kinematics",POWER(Upgrades!$U$17,I141),1)*IF(Upgrades!$T$18="Stellar Kinematics",POWER(Upgrades!$U$18,J141),1)*IF(Upgrades!$T$19="Stellar Kinematics",POWER(Upgrades!$U$19,K141),1)*IF(Upgrades!$T$20="Stellar Kinematics",POWER(Upgrades!$U$20,L141),1)*IF(Upgrades!$T$21="Stellar Kinematics",POWER(Upgrades!$U$21,M141),1))*POWER(Upgrades!$P$13,E141)*POWER(Upgrades!$P$14,F141)*POWER(Upgrades!$P$15,G141)*POWER(Upgrades!$P$16,H141)*POWER(Upgrades!$P$17,I141)*POWER(Upgrades!$P$18,J141)*POWER(Upgrades!$P$19,K141)*POWER(Upgrades!$P$20,L141)*POWER(Upgrades!$P$21,M141)*$F$6*60</f>
        <v/>
      </c>
      <c r="AB141" s="27">
        <f>(IF(F141=0,0,(Upgrades!$G$14+F141*Upgrades!$H$14)*POWER(Upgrades!$I$14,F141)))*(IF(Upgrades!$T$13="Local Bubble",POWER(Upgrades!$U$13,E141),1)*IF(Upgrades!$T$15="Local Bubble",POWER(Upgrades!$U$15,G141),1)*IF(Upgrades!$T$16="Local Bubble",POWER(Upgrades!$U$16,H141),1)*IF(Upgrades!$T$17="Local Bubble",POWER(Upgrades!$U$17,I141),1)*IF(Upgrades!$T$18="Local Bubble",POWER(Upgrades!$U$18,J141),1)*IF(Upgrades!$T$19="Local Bubble",POWER(Upgrades!$U$19,K141),1)*IF(Upgrades!$T$20="Local Bubble",POWER(Upgrades!$U$20,L141),1)*IF(Upgrades!$T$21="Local Bubble",POWER(Upgrades!$U$21,M141),1))*POWER(Upgrades!$P$13,E141)*POWER(Upgrades!$P$14,F141)*POWER(Upgrades!$P$15,G141)*POWER(Upgrades!$P$16,H141)*POWER(Upgrades!$P$17,I141)*POWER(Upgrades!$P$18,J141)*POWER(Upgrades!$P$19,K141)*POWER(Upgrades!$P$20,L141)*POWER(Upgrades!$P$21,M141)*$F$6*60</f>
        <v/>
      </c>
      <c r="AC141" s="27">
        <f>(IF(G141=0,0,(Upgrades!$J$15+G141*Upgrades!$K$15)*POWER(Upgrades!$L$15,G141)))*(IF(Upgrades!$T$13="Microlensing",POWER(Upgrades!$U$13,E141),1)*IF(Upgrades!$T$14="Microlensing",POWER(Upgrades!$U$14,F141),1)*IF(Upgrades!$T$16="Microlensing",POWER(Upgrades!$U$16,H141),1)*IF(Upgrades!$T$17="Microlensing",POWER(Upgrades!$U$17,I141),1)*IF(Upgrades!$T$18="Microlensing",POWER(Upgrades!$U$18,J141),1)*IF(Upgrades!$T$19="Microlensing",POWER(Upgrades!$U$19,K141),1)*IF(Upgrades!$T$20="Microlensing",POWER(Upgrades!$U$20,L141),1)*IF(Upgrades!$T$21="Microlensing",POWER(Upgrades!$U$21,M141),1))*POWER(Upgrades!$Q$13,E141)*POWER(Upgrades!$Q$14,F141)*POWER(Upgrades!$Q$15,G141)*POWER(Upgrades!$Q$16,H141)*POWER(Upgrades!$Q$17,I141)*POWER(Upgrades!$Q$18,J141)*POWER(Upgrades!$Q$19,K141)*POWER(Upgrades!$Q$20,L141)*POWER(Upgrades!$Q$21,M141)*$G$6*(Parameters!$B$10*Parameters!$B$11+Q141*60)</f>
        <v/>
      </c>
      <c r="AD141" s="27">
        <f>(IF(H141=0,0,(Upgrades!$M$16+H141*Upgrades!$N$16)*POWER(Upgrades!$O$16,H141)))*(IF(Upgrades!$T$13="Roche Lobe Overflow",POWER(Upgrades!$U$13,E141),1)*IF(Upgrades!$T$14="Roche Lobe Overflow",POWER(Upgrades!$U$14,F141),1)*IF(Upgrades!$T$15="Roche Lobe Overflow",POWER(Upgrades!$U$15,G141),1)*IF(Upgrades!$T$17="Roche Lobe Overflow",POWER(Upgrades!$U$17,I141),1)*IF(Upgrades!$T$18="Roche Lobe Overflow",POWER(Upgrades!$U$18,J141),1)*IF(Upgrades!$T$19="Roche Lobe Overflow",POWER(Upgrades!$U$19,K141),1)*IF(Upgrades!$T$20="Roche Lobe Overflow",POWER(Upgrades!$U$20,L141),1)*IF(Upgrades!$T$21="Roche Lobe Overflow",POWER(Upgrades!$U$21,M141),1))*POWER(Upgrades!$R$13,E141)*POWER(Upgrades!$R$14,F141)*POWER(Upgrades!$R$15,G141)*POWER(Upgrades!$R$16,H141)*POWER(Upgrades!$R$17,I141)*POWER(Upgrades!$R$18,J141)*POWER(Upgrades!$R$19,K141)*POWER(Upgrades!$R$20,L141)*POWER(Upgrades!$R$21,M141)*$H$6*O141*60</f>
        <v/>
      </c>
      <c r="AE141" s="27">
        <f>(IF(I141=0,0,(Upgrades!$G$17+I141*Upgrades!$H$17)*POWER(Upgrades!$I$17,I141)))*(IF(Upgrades!$T$13="Brown Dwarf",POWER(Upgrades!$U$13,E141),1)*IF(Upgrades!$T$14="Brown Dwarf",POWER(Upgrades!$U$14,F141),1)*IF(Upgrades!$T$15="Brown Dwarf",POWER(Upgrades!$U$15,G141),1)*IF(Upgrades!$T$16="Brown Dwarf",POWER(Upgrades!$U$16,H141),1)*IF(Upgrades!$T$18="Brown Dwarf",POWER(Upgrades!$U$18,J141),1)*IF(Upgrades!$T$19="Brown Dwarf",POWER(Upgrades!$U$19,K141),1)*IF(Upgrades!$T$20="Brown Dwarf",POWER(Upgrades!$U$20,L141),1)*IF(Upgrades!$T$21="Brown Dwarf",POWER(Upgrades!$U$21,M141),1))*POWER(Upgrades!$P$13,E141)*POWER(Upgrades!$P$14,F141)*POWER(Upgrades!$P$15,G141)*POWER(Upgrades!$P$16,H141)*POWER(Upgrades!$P$17,I141)*POWER(Upgrades!$P$18,J141)*POWER(Upgrades!$P$19,K141)*POWER(Upgrades!$P$20,L141)*POWER(Upgrades!$P$21,M141)*$F$6*60</f>
        <v/>
      </c>
      <c r="AF141" s="27" t="n">
        <v>0</v>
      </c>
      <c r="AG141" s="27" t="n">
        <v>0</v>
      </c>
      <c r="AH141" s="27" t="n">
        <v>0</v>
      </c>
      <c r="AI141" s="27">
        <f>(IF(M141=0,0,(Upgrades!$G$21+M141*Upgrades!$H$21)*POWER(Upgrades!$I$21,M141)))*(IF(Upgrades!$T$13="Moving Group",POWER(Upgrades!$U$13,E141),1)*IF(Upgrades!$T$14="Moving Group",POWER(Upgrades!$U$14,F141),1)*IF(Upgrades!$T$15="Moving Group",POWER(Upgrades!$U$15,G141),1)*IF(Upgrades!$T$16="Moving Group",POWER(Upgrades!$U$16,H141),1)*IF(Upgrades!$T$17="Moving Group",POWER(Upgrades!$U$17,I141),1)*IF(Upgrades!$T$18="Moving Group",POWER(Upgrades!$U$18,J141),1)*IF(Upgrades!$T$19="Moving Group",POWER(Upgrades!$U$19,K141),1)*IF(Upgrades!$T$20="Moving Group",POWER(Upgrades!$U$20,L141),1))*POWER(Upgrades!$P$13,E141)*POWER(Upgrades!$P$14,F141)*POWER(Upgrades!$P$15,G141)*POWER(Upgrades!$P$16,H141)*POWER(Upgrades!$P$17,I141)*POWER(Upgrades!$P$18,J141)*POWER(Upgrades!$P$19,K141)*POWER(Upgrades!$P$20,L141)*POWER(Upgrades!$P$21,M141)*$F$6*60</f>
        <v/>
      </c>
      <c r="AJ141" s="27">
        <f>$C$6*60</f>
        <v/>
      </c>
      <c r="AK141" s="22">
        <f>IF(E141&gt;=Upgrades!$E$13,"",Upgrades!$C$13*POWER(Upgrades!$D$13,E141))</f>
        <v/>
      </c>
      <c r="AL141" s="22">
        <f>IF(F141&gt;=Upgrades!$E$14,"",Upgrades!$C$14*POWER(Upgrades!$D$14,F141))</f>
        <v/>
      </c>
      <c r="AM141" s="22">
        <f>IF(G141&gt;=Upgrades!$E$15,"",Upgrades!$C$15*POWER(Upgrades!$D$15,G141))</f>
        <v/>
      </c>
      <c r="AN141" s="22">
        <f>IF(H141&gt;=Upgrades!$E$16,"",Upgrades!$C$16*POWER(Upgrades!$D$16,H141))</f>
        <v/>
      </c>
      <c r="AO141" s="22">
        <f>IF(I141&gt;=Upgrades!$E$17,"",Upgrades!$C$17*POWER(Upgrades!$D$17,I141))</f>
        <v/>
      </c>
      <c r="AP141" s="22">
        <f>IF(J141&gt;=Upgrades!$E$18,"",Upgrades!$C$18*POWER(Upgrades!$D$18,J141))</f>
        <v/>
      </c>
      <c r="AQ141" s="22">
        <f>IF(K141&gt;=Upgrades!$E$19,"",Upgrades!$C$19*POWER(Upgrades!$D$19,K141))</f>
        <v/>
      </c>
      <c r="AR141" s="22">
        <f>IF(L141&gt;=Upgrades!$E$20,"",Upgrades!$C$20*POWER(Upgrades!$D$20,L141))</f>
        <v/>
      </c>
      <c r="AS141" s="22">
        <f>IF(M141&gt;=Upgrades!$E$21,"",Upgrades!$C$21*POWER(Upgrades!$D$21,M141))</f>
        <v/>
      </c>
      <c r="AT141" s="26">
        <f>IF(AND(D141&gt;=Parameters!$B$18*Parameters!$B$19,(I141&gt;=Upgrades!$E$17)*(M141&gt;=Upgrades!$E$21)=1,N141=0),1,"")</f>
        <v/>
      </c>
      <c r="AU141" s="26">
        <f>IF(AND(D141&gt;=Parameters!$B$18*Parameters!$B$19,N141=0),1,"")</f>
        <v/>
      </c>
      <c r="AV141" s="22">
        <f>MIN(IF(ISNUMBER(AP141),AP141,9E15),IF(ISNUMBER(AQ141),AQ141,9E15),IF(ISNUMBER(AR141),AR141,9E15),IF(ISNUMBER(AS141),AS141,9E15))</f>
        <v/>
      </c>
      <c r="AW141" s="22">
        <f>MIN(IF(ISNUMBER(AK141),AK141,9E15),IF(ISNUMBER(AL141),AL141,9E15),IF(ISNUMBER(AM141),AM141,9E15),IF(ISNUMBER(AN141),AN141,9E15),IF(ISNUMBER(AO141),AO141,9E15))</f>
        <v/>
      </c>
      <c r="AX141" s="29">
        <f>IF(BD141&gt;Parameters!$B$21*(MAX(IF(AND(NOT(AND(AU141=1,AT141&lt;&gt;1)),ISNUMBER(AK141),AK141&lt;=(C141+T141)),AY141,0),IF(AND(NOT(AND(AU141=1,AT141&lt;&gt;1)),ISNUMBER(AL141),AL141&lt;=(C141+T141)),AZ141,0),IF(AND(NOT(AND(AU141=1,AT141&lt;&gt;1)),ISNUMBER(AM141),AM141&lt;=(C141+T141)),BA141,0),IF(AND(NOT(AND(AU141=1,AT141&lt;&gt;1)),ISNUMBER(AN141),AN141&lt;=(C141+T141)),BB141,0),IF(AND(ISNUMBER(AO141),AO141&lt;=(C141+T141)),BC141,0))),TRUE,FALSE)</f>
        <v/>
      </c>
      <c r="AY141" s="32">
        <f>IFERROR(Upgrades!$H$13*(POWER(Upgrades!$P$13,E141)*POWER(Upgrades!$P$14,F141)*POWER(Upgrades!$P$15,G141)*POWER(Upgrades!$P$16,H141)*POWER(Upgrades!$P$17,I141)*POWER(Upgrades!$P$18,J141)*POWER(Upgrades!$P$19,K141)*POWER(Upgrades!$P$20,L141)*POWER(Upgrades!$P$21,M141))*(IF(Upgrades!$T$14="Stellar Kinematics",POWER(Upgrades!$U$14,F141),1)*IF(Upgrades!$T$15="Stellar Kinematics",POWER(Upgrades!$U$15,G141),1)*IF(Upgrades!$T$16="Stellar Kinematics",POWER(Upgrades!$U$16,H141),1)*IF(Upgrades!$T$17="Stellar Kinematics",POWER(Upgrades!$U$17,I141),1)*IF(Upgrades!$T$18="Stellar Kinematics",POWER(Upgrades!$U$18,J141),1)*IF(Upgrades!$T$19="Stellar Kinematics",POWER(Upgrades!$U$19,K141),1)*IF(Upgrades!$T$20="Stellar Kinematics",POWER(Upgrades!$U$20,L141),1)*IF(Upgrades!$T$21="Stellar Kinematics",POWER(Upgrades!$U$21,M141),1))*$F$6/AK141,0)</f>
        <v/>
      </c>
      <c r="AZ141" s="32">
        <f>IFERROR(Upgrades!$H$14*(POWER(Upgrades!$P$13,E141)*POWER(Upgrades!$P$14,F141)*POWER(Upgrades!$P$15,G141)*POWER(Upgrades!$P$16,H141)*POWER(Upgrades!$P$17,I141)*POWER(Upgrades!$P$18,J141)*POWER(Upgrades!$P$19,K141)*POWER(Upgrades!$P$20,L141)*POWER(Upgrades!$P$21,M141))*(IF(Upgrades!$T$13="Local Bubble",POWER(Upgrades!$U$13,E141),1)*IF(Upgrades!$T$15="Local Bubble",POWER(Upgrades!$U$15,G141),1)*IF(Upgrades!$T$16="Local Bubble",POWER(Upgrades!$U$16,H141),1)*IF(Upgrades!$T$17="Local Bubble",POWER(Upgrades!$U$17,I141),1)*IF(Upgrades!$T$18="Local Bubble",POWER(Upgrades!$U$18,J141),1)*IF(Upgrades!$T$19="Local Bubble",POWER(Upgrades!$U$19,K141),1)*IF(Upgrades!$T$20="Local Bubble",POWER(Upgrades!$U$20,L141),1)*IF(Upgrades!$T$21="Local Bubble",POWER(Upgrades!$U$21,M141),1))*$F$6/AL141,0)</f>
        <v/>
      </c>
      <c r="BA141" s="32">
        <f>IFERROR(Upgrades!$K$15*(POWER(Upgrades!$Q$13,E141)*POWER(Upgrades!$Q$14,F141)*POWER(Upgrades!$Q$15,G141)*POWER(Upgrades!$Q$16,H141)*POWER(Upgrades!$Q$17,I141)*POWER(Upgrades!$Q$18,J141)*POWER(Upgrades!$Q$19,K141)*POWER(Upgrades!$Q$20,L141)*POWER(Upgrades!$Q$21,M141))*(IF(Upgrades!$T$13="Microlensing",POWER(Upgrades!$U$13,E141),1)*IF(Upgrades!$T$14="Microlensing",POWER(Upgrades!$U$14,F141),1)*IF(Upgrades!$T$16="Microlensing",POWER(Upgrades!$U$16,H141),1)*IF(Upgrades!$T$17="Microlensing",POWER(Upgrades!$U$17,I141),1)*IF(Upgrades!$T$18="Microlensing",POWER(Upgrades!$U$18,J141),1)*IF(Upgrades!$T$19="Microlensing",POWER(Upgrades!$U$19,K141),1)*IF(Upgrades!$T$20="Microlensing",POWER(Upgrades!$U$20,L141),1)*IF(Upgrades!$T$21="Microlensing",POWER(Upgrades!$U$21,M141),1))*$G$6*(Parameters!$B$10/60*Parameters!$B$11+Q141)/AM141,0)</f>
        <v/>
      </c>
      <c r="BB141" s="32">
        <f>IFERROR((Upgrades!$N$16*(POWER(Upgrades!$R$13,E141)*POWER(Upgrades!$R$14,F141)*POWER(Upgrades!$R$15,G141)*POWER(Upgrades!$R$16,H141)*POWER(Upgrades!$R$17,I141)*POWER(Upgrades!$R$18,J141)*POWER(Upgrades!$R$19,K141)*POWER(Upgrades!$R$20,L141)*POWER(Upgrades!$R$21,M141))*(IF(Upgrades!$T$13="Roche Lobe Overflow",POWER(Upgrades!$U$13,E141),1)*IF(Upgrades!$T$14="Roche Lobe Overflow",POWER(Upgrades!$U$14,F141),1)*IF(Upgrades!$T$15="Roche Lobe Overflow",POWER(Upgrades!$U$15,G141),1)*IF(Upgrades!$T$17="Roche Lobe Overflow",POWER(Upgrades!$U$17,I141),1)*IF(Upgrades!$T$18="Roche Lobe Overflow",POWER(Upgrades!$U$18,J141),1)*IF(Upgrades!$T$19="Roche Lobe Overflow",POWER(Upgrades!$U$19,K141),1)*IF(Upgrades!$T$20="Roche Lobe Overflow",POWER(Upgrades!$U$20,L141),1)*IF(Upgrades!$T$21="Roche Lobe Overflow",POWER(Upgrades!$U$21,M141),1))*$H$6*O141+((IF(F141=0,0,(Upgrades!$G$14+F141*Upgrades!$H$14)*POWER(Upgrades!$I$14,F141)))*(IF(Upgrades!$T$13="Local Bubble",POWER(Upgrades!$U$13,E141),1)*IF(Upgrades!$T$15="Local Bubble",POWER(Upgrades!$U$15,G141),1)*IF(Upgrades!$T$16="Local Bubble",POWER(Upgrades!$U$16,H141),1)*IF(Upgrades!$T$17="Local Bubble",POWER(Upgrades!$U$17,I141),1)*IF(Upgrades!$T$18="Local Bubble",POWER(Upgrades!$U$18,J141),1)*IF(Upgrades!$T$19="Local Bubble",POWER(Upgrades!$U$19,K141),1)*IF(Upgrades!$T$20="Local Bubble",POWER(Upgrades!$U$20,L141),1)*IF(Upgrades!$T$21="Local Bubble",POWER(Upgrades!$U$21,M141),1))*POWER(Upgrades!$P$13,E141)*POWER(Upgrades!$P$14,F141)*POWER(Upgrades!$P$15,G141)*POWER(Upgrades!$P$16,H141)*POWER(Upgrades!$P$17,I141)*POWER(Upgrades!$P$18,J141)*POWER(Upgrades!$P$19,K141)*POWER(Upgrades!$P$20,L141)*POWER(Upgrades!$P$21,M141)*$F$6)*0.05)/AN141,0)</f>
        <v/>
      </c>
      <c r="BC141" s="32">
        <f>IFERROR((Upgrades!$H$17*(POWER(Upgrades!$P$13,E141)*POWER(Upgrades!$P$14,F141)*POWER(Upgrades!$P$15,G141)*POWER(Upgrades!$P$16,H141)*POWER(Upgrades!$P$17,I141)*POWER(Upgrades!$P$18,J141)*POWER(Upgrades!$P$19,K141)*POWER(Upgrades!$P$20,L141)*POWER(Upgrades!$P$21,M141))*(IF(Upgrades!$T$13="Brown Dwarf",POWER(Upgrades!$U$13,E141),1)*IF(Upgrades!$T$14="Brown Dwarf",POWER(Upgrades!$U$14,F141),1)*IF(Upgrades!$T$15="Brown Dwarf",POWER(Upgrades!$U$15,G141),1)*IF(Upgrades!$T$16="Brown Dwarf",POWER(Upgrades!$U$16,H141),1)*IF(Upgrades!$T$18="Brown Dwarf",POWER(Upgrades!$U$18,J141),1)*IF(Upgrades!$T$19="Brown Dwarf",POWER(Upgrades!$U$19,K141),1)*IF(Upgrades!$T$20="Brown Dwarf",POWER(Upgrades!$U$20,L141),1)*IF(Upgrades!$T$21="Brown Dwarf",POWER(Upgrades!$U$21,M141),1))*$F$6+(((IF(H141=0,0,(Upgrades!$M$16+H141*Upgrades!$N$16)*POWER(Upgrades!$O$16,H141)))*(IF(Upgrades!$T$13="Roche Lobe Overflow",POWER(Upgrades!$U$13,E141),1)*IF(Upgrades!$T$14="Roche Lobe Overflow",POWER(Upgrades!$U$14,F141),1)*IF(Upgrades!$T$15="Roche Lobe Overflow",POWER(Upgrades!$U$15,G141),1)*IF(Upgrades!$T$17="Roche Lobe Overflow",POWER(Upgrades!$U$17,I141),1)*IF(Upgrades!$T$18="Roche Lobe Overflow",POWER(Upgrades!$U$18,J141),1)*IF(Upgrades!$T$19="Roche Lobe Overflow",POWER(Upgrades!$U$19,K141),1)*IF(Upgrades!$T$20="Roche Lobe Overflow",POWER(Upgrades!$U$20,L141),1)*IF(Upgrades!$T$21="Roche Lobe Overflow",POWER(Upgrades!$U$21,M141),1))*POWER(Upgrades!$R$13,E141)*POWER(Upgrades!$R$14,F141)*POWER(Upgrades!$R$15,G141)*POWER(Upgrades!$R$16,H141)*POWER(Upgrades!$R$17,I141)*POWER(Upgrades!$R$18,J141)*POWER(Upgrades!$R$19,K141)*POWER(Upgrades!$R$20,L141)*POWER(Upgrades!$R$21,M141)*$H$6)*O141)*0.10)/AO141,0)</f>
        <v/>
      </c>
      <c r="BD141" s="32">
        <f>MAX(IF(J141&gt;0,0,IFERROR(0.5*((IF(G141=0,0,(Upgrades!$J$15+G141*Upgrades!$K$15)*POWER(Upgrades!$L$15,G141)))*(IF(Upgrades!$T$13="Microlensing",POWER(Upgrades!$U$13,E141),1)*IF(Upgrades!$T$14="Microlensing",POWER(Upgrades!$U$14,F141),1)*IF(Upgrades!$T$16="Microlensing",POWER(Upgrades!$U$16,H141),1)*IF(Upgrades!$T$17="Microlensing",POWER(Upgrades!$U$17,I141),1)*IF(Upgrades!$T$18="Microlensing",POWER(Upgrades!$U$18,J141),1)*IF(Upgrades!$T$19="Microlensing",POWER(Upgrades!$U$19,K141),1)*IF(Upgrades!$T$20="Microlensing",POWER(Upgrades!$U$20,L141),1)*IF(Upgrades!$T$21="Microlensing",POWER(Upgrades!$U$21,M141),1))*(POWER(Upgrades!$Q$13,E141)*POWER(Upgrades!$Q$14,F141)*POWER(Upgrades!$Q$15,G141)*POWER(Upgrades!$Q$16,H141)*POWER(Upgrades!$Q$17,I141)*POWER(Upgrades!$Q$18,J141)*POWER(Upgrades!$Q$19,K141)*POWER(Upgrades!$Q$20,L141)*POWER(Upgrades!$Q$21,M141))*$G$6*(Parameters!$B$10/60*Parameters!$B$11+Q141))/Upgrades!$C$18,0)),IF(K141&gt;0,0,IFERROR(0.30*P141/Upgrades!$C$19,0)),IF(L141&gt;0,0,IFERROR(0.0001/Upgrades!$C$20,0)),IF(M141&gt;0,0,IFERROR((6.0*(POWER(Upgrades!$P$13,E141)*POWER(Upgrades!$P$14,F141)*POWER(Upgrades!$P$15,G141)*POWER(Upgrades!$P$16,H141)*POWER(Upgrades!$P$17,I141)*POWER(Upgrades!$P$18,J141)*POWER(Upgrades!$P$19,K141)*POWER(Upgrades!$P$20,L141)*POWER(Upgrades!$P$21,M141))*$F$6+0.20*O141*(Parameters!$B$10/60*Parameters!$B$11+Q141))/Upgrades!$C$21,0)),IF(AND(ISNUMBER(AK141),AK141&gt;(C141+T141)),AY141,0),IF(AND(ISNUMBER(AL141),AL141&gt;(C141+T141)),AZ141,0),IF(AND(ISNUMBER(AM141),AM141&gt;(C141+T141)),BA141,0),IF(AND(ISNUMBER(AN141),AN141&gt;(C141+T141)),BB141,0),IF(AND(ISNUMBER(AO141),AO141&gt;(C141+T141)),BC141,0))</f>
        <v/>
      </c>
      <c r="BE141" s="29">
        <f>IF(AT141=1,"transition",IF(MIN(IF(AND(J141=0,ISNUMBER(AP141),AP141&lt;=(C141+T141)),AP141,9E15),IF(AND(K141=0,ISNUMBER(AQ141),AQ141&lt;=(C141+T141)),AQ141,9E15),IF(AND(L141=0,ISNUMBER(AR141),AR141&lt;=(C141+T141)),AR141,9E15),IF(AND(M141=0,ISNUMBER(AS141),AS141&lt;=(C141+T141)),AS141,9E15))&lt;9E15,IF(AND(AND(J141=0,ISNUMBER(AP141),AP141&lt;=(C141+T141)),AP141=MIN(IF(AND(J141=0,ISNUMBER(AP141),AP141&lt;=(C141+T141)),AP141,9E15),IF(AND(K141=0,ISNUMBER(AQ141),AQ141&lt;=(C141+T141)),AQ141,9E15),IF(AND(L141=0,ISNUMBER(AR141),AR141&lt;=(C141+T141)),AR141,9E15),IF(AND(M141=0,ISNUMBER(AS141),AS141&lt;=(C141+T141)),AS141,9E15))),"BiP",IF(AND(AND(K141=0,ISNUMBER(AQ141),AQ141&lt;=(C141+T141)),AQ141=MIN(IF(AND(J141=0,ISNUMBER(AP141),AP141&lt;=(C141+T141)),AP141,9E15),IF(AND(K141=0,ISNUMBER(AQ141),AQ141&lt;=(C141+T141)),AQ141,9E15),IF(AND(L141=0,ISNUMBER(AR141),AR141&lt;=(C141+T141)),AR141,9E15),IF(AND(M141=0,ISNUMBER(AS141),AS141&lt;=(C141+T141)),AS141,9E15))),"PV",IF(AND(AND(L141=0,ISNUMBER(AR141),AR141&lt;=(C141+T141)),AR141=MIN(IF(AND(J141=0,ISNUMBER(AP141),AP141&lt;=(C141+T141)),AP141,9E15),IF(AND(K141=0,ISNUMBER(AQ141),AQ141&lt;=(C141+T141)),AQ141,9E15),IF(AND(L141=0,ISNUMBER(AR141),AR141&lt;=(C141+T141)),AR141,9E15),IF(AND(M141=0,ISNUMBER(AS141),AS141&lt;=(C141+T141)),AS141,9E15))),"OC","MG"))),IF(AX141=TRUE,"",IF(MAX(IF(AND(NOT(AND(AU141=1,AT141&lt;&gt;1)),ISNUMBER(AK141),AK141&lt;=(C141+T141)),AY141,0),IF(AND(NOT(AND(AU141=1,AT141&lt;&gt;1)),ISNUMBER(AL141),AL141&lt;=(C141+T141)),AZ141,0),IF(AND(NOT(AND(AU141=1,AT141&lt;&gt;1)),ISNUMBER(AM141),AM141&lt;=(C141+T141)),BA141,0),IF(AND(NOT(AND(AU141=1,AT141&lt;&gt;1)),ISNUMBER(AN141),AN141&lt;=(C141+T141)),BB141,0),IF(AND(ISNUMBER(AO141),AO141&lt;=(C141+T141)),BC141,0))&lt;=0,"",IF(AND(IF(AND(NOT(AND(AU141=1,AT141&lt;&gt;1)),ISNUMBER(AK141),AK141&lt;=(C141+T141)),AY141,0)&gt;0,IF(AND(NOT(AND(AU141=1,AT141&lt;&gt;1)),ISNUMBER(AK141),AK141&lt;=(C141+T141)),AY141,0)=MAX(IF(AND(NOT(AND(AU141=1,AT141&lt;&gt;1)),ISNUMBER(AK141),AK141&lt;=(C141+T141)),AY141,0),IF(AND(NOT(AND(AU141=1,AT141&lt;&gt;1)),ISNUMBER(AL141),AL141&lt;=(C141+T141)),AZ141,0),IF(AND(NOT(AND(AU141=1,AT141&lt;&gt;1)),ISNUMBER(AM141),AM141&lt;=(C141+T141)),BA141,0),IF(AND(NOT(AND(AU141=1,AT141&lt;&gt;1)),ISNUMBER(AN141),AN141&lt;=(C141+T141)),BB141,0),IF(AND(ISNUMBER(AO141),AO141&lt;=(C141+T141)),BC141,0))),"SK",IF(AND(IF(AND(NOT(AND(AU141=1,AT141&lt;&gt;1)),ISNUMBER(AL141),AL141&lt;=(C141+T141)),AZ141,0)&gt;0,IF(AND(NOT(AND(AU141=1,AT141&lt;&gt;1)),ISNUMBER(AL141),AL141&lt;=(C141+T141)),AZ141,0)=MAX(IF(AND(NOT(AND(AU141=1,AT141&lt;&gt;1)),ISNUMBER(AK141),AK141&lt;=(C141+T141)),AY141,0),IF(AND(NOT(AND(AU141=1,AT141&lt;&gt;1)),ISNUMBER(AL141),AL141&lt;=(C141+T141)),AZ141,0),IF(AND(NOT(AND(AU141=1,AT141&lt;&gt;1)),ISNUMBER(AM141),AM141&lt;=(C141+T141)),BA141,0),IF(AND(NOT(AND(AU141=1,AT141&lt;&gt;1)),ISNUMBER(AN141),AN141&lt;=(C141+T141)),BB141,0),IF(AND(ISNUMBER(AO141),AO141&lt;=(C141+T141)),BC141,0))),"LB",IF(AND(IF(AND(NOT(AND(AU141=1,AT141&lt;&gt;1)),ISNUMBER(AM141),AM141&lt;=(C141+T141)),BA141,0)&gt;0,IF(AND(NOT(AND(AU141=1,AT141&lt;&gt;1)),ISNUMBER(AM141),AM141&lt;=(C141+T141)),BA141,0)=MAX(IF(AND(NOT(AND(AU141=1,AT141&lt;&gt;1)),ISNUMBER(AK141),AK141&lt;=(C141+T141)),AY141,0),IF(AND(NOT(AND(AU141=1,AT141&lt;&gt;1)),ISNUMBER(AL141),AL141&lt;=(C141+T141)),AZ141,0),IF(AND(NOT(AND(AU141=1,AT141&lt;&gt;1)),ISNUMBER(AM141),AM141&lt;=(C141+T141)),BA141,0),IF(AND(NOT(AND(AU141=1,AT141&lt;&gt;1)),ISNUMBER(AN141),AN141&lt;=(C141+T141)),BB141,0),IF(AND(ISNUMBER(AO141),AO141&lt;=(C141+T141)),BC141,0))),"ML",IF(AND(IF(AND(NOT(AND(AU141=1,AT141&lt;&gt;1)),ISNUMBER(AN141),AN141&lt;=(C141+T141)),BB141,0)&gt;0,IF(AND(NOT(AND(AU141=1,AT141&lt;&gt;1)),ISNUMBER(AN141),AN141&lt;=(C141+T141)),BB141,0)=MAX(IF(AND(NOT(AND(AU141=1,AT141&lt;&gt;1)),ISNUMBER(AK141),AK141&lt;=(C141+T141)),AY141,0),IF(AND(NOT(AND(AU141=1,AT141&lt;&gt;1)),ISNUMBER(AL141),AL141&lt;=(C141+T141)),AZ141,0),IF(AND(NOT(AND(AU141=1,AT141&lt;&gt;1)),ISNUMBER(AM141),AM141&lt;=(C141+T141)),BA141,0),IF(AND(NOT(AND(AU141=1,AT141&lt;&gt;1)),ISNUMBER(AN141),AN141&lt;=(C141+T141)),BB141,0),IF(AND(ISNUMBER(AO141),AO141&lt;=(C141+T141)),BC141,0))),"RLO","BD"))))))))</f>
        <v/>
      </c>
    </row>
    <row r="142">
      <c r="A142" s="26" t="n">
        <v>131</v>
      </c>
      <c r="B142" s="27">
        <f>A142*10/60</f>
        <v/>
      </c>
      <c r="C142" s="22">
        <f>X141</f>
        <v/>
      </c>
      <c r="D142" s="27">
        <f>D141+W141</f>
        <v/>
      </c>
      <c r="E142" s="26">
        <f>E141+IF(U141="SK",1,0)</f>
        <v/>
      </c>
      <c r="F142" s="26">
        <f>F141+IF(U141="LB",1,0)</f>
        <v/>
      </c>
      <c r="G142" s="26">
        <f>G141+IF(U141="ML",1,0)</f>
        <v/>
      </c>
      <c r="H142" s="26">
        <f>H141+IF(U141="RLO",1,0)</f>
        <v/>
      </c>
      <c r="I142" s="26">
        <f>I141+IF(U141="BD",1,0)</f>
        <v/>
      </c>
      <c r="J142" s="26">
        <f>MAX(J141,IF(U141="BiP",1,0))</f>
        <v/>
      </c>
      <c r="K142" s="26">
        <f>MAX(K141,IF(U141="PV",1,0))</f>
        <v/>
      </c>
      <c r="L142" s="26">
        <f>MAX(L141,IF(U141="OC",1,0))</f>
        <v/>
      </c>
      <c r="M142" s="26">
        <f>MAX(M141,IF(U141="MG",1,0))</f>
        <v/>
      </c>
      <c r="N142" s="26">
        <f>MAX(N141,IF(U141="transition",1,0))</f>
        <v/>
      </c>
      <c r="O142" s="28">
        <f>(Parameters!$B$9+(IF(E142=0,0,(Upgrades!$J$13+E142*Upgrades!$K$13)*POWER(Upgrades!$L$13,E142)))*(IF(Upgrades!$T$14="Stellar Kinematics",POWER(Upgrades!$U$14,F142),1)*IF(Upgrades!$T$15="Stellar Kinematics",POWER(Upgrades!$U$15,G142),1)*IF(Upgrades!$T$16="Stellar Kinematics",POWER(Upgrades!$U$16,H142),1)*IF(Upgrades!$T$17="Stellar Kinematics",POWER(Upgrades!$U$17,I142),1)*IF(Upgrades!$T$18="Stellar Kinematics",POWER(Upgrades!$U$18,J142),1)*IF(Upgrades!$T$19="Stellar Kinematics",POWER(Upgrades!$U$19,K142),1)*IF(Upgrades!$T$20="Stellar Kinematics",POWER(Upgrades!$U$20,L142),1)*IF(Upgrades!$T$21="Stellar Kinematics",POWER(Upgrades!$U$21,M142),1))+(IF(F142=0,0,(Upgrades!$J$14+F142*Upgrades!$K$14)*POWER(Upgrades!$L$14,F142)))*(IF(Upgrades!$T$13="Local Bubble",POWER(Upgrades!$U$13,E142),1)*IF(Upgrades!$T$15="Local Bubble",POWER(Upgrades!$U$15,G142),1)*IF(Upgrades!$T$16="Local Bubble",POWER(Upgrades!$U$16,H142),1)*IF(Upgrades!$T$17="Local Bubble",POWER(Upgrades!$U$17,I142),1)*IF(Upgrades!$T$18="Local Bubble",POWER(Upgrades!$U$18,J142),1)*IF(Upgrades!$T$19="Local Bubble",POWER(Upgrades!$U$19,K142),1)*IF(Upgrades!$T$20="Local Bubble",POWER(Upgrades!$U$20,L142),1)*IF(Upgrades!$T$21="Local Bubble",POWER(Upgrades!$U$21,M142),1))+(IF(G142=0,0,(Upgrades!$J$15+G142*Upgrades!$K$15)*POWER(Upgrades!$L$15,G142)))*(IF(Upgrades!$T$13="Microlensing",POWER(Upgrades!$U$13,E142),1)*IF(Upgrades!$T$14="Microlensing",POWER(Upgrades!$U$14,F142),1)*IF(Upgrades!$T$16="Microlensing",POWER(Upgrades!$U$16,H142),1)*IF(Upgrades!$T$17="Microlensing",POWER(Upgrades!$U$17,I142),1)*IF(Upgrades!$T$18="Microlensing",POWER(Upgrades!$U$18,J142),1)*IF(Upgrades!$T$19="Microlensing",POWER(Upgrades!$U$19,K142),1)*IF(Upgrades!$T$20="Microlensing",POWER(Upgrades!$U$20,L142),1)*IF(Upgrades!$T$21="Microlensing",POWER(Upgrades!$U$21,M142),1))+(IF(H142=0,0,(Upgrades!$J$16+H142*Upgrades!$K$16)*POWER(Upgrades!$L$16,H142)))*(IF(Upgrades!$T$13="Roche Lobe Overflow",POWER(Upgrades!$U$13,E142),1)*IF(Upgrades!$T$14="Roche Lobe Overflow",POWER(Upgrades!$U$14,F142),1)*IF(Upgrades!$T$15="Roche Lobe Overflow",POWER(Upgrades!$U$15,G142),1)*IF(Upgrades!$T$17="Roche Lobe Overflow",POWER(Upgrades!$U$17,I142),1)*IF(Upgrades!$T$18="Roche Lobe Overflow",POWER(Upgrades!$U$18,J142),1)*IF(Upgrades!$T$19="Roche Lobe Overflow",POWER(Upgrades!$U$19,K142),1)*IF(Upgrades!$T$20="Roche Lobe Overflow",POWER(Upgrades!$U$20,L142),1)*IF(Upgrades!$T$21="Roche Lobe Overflow",POWER(Upgrades!$U$21,M142),1))+(IF(I142=0,0,(Upgrades!$J$17+I142*Upgrades!$K$17)*POWER(Upgrades!$L$17,I142)))*(IF(Upgrades!$T$13="Brown Dwarf",POWER(Upgrades!$U$13,E142),1)*IF(Upgrades!$T$14="Brown Dwarf",POWER(Upgrades!$U$14,F142),1)*IF(Upgrades!$T$15="Brown Dwarf",POWER(Upgrades!$U$15,G142),1)*IF(Upgrades!$T$16="Brown Dwarf",POWER(Upgrades!$U$16,H142),1)*IF(Upgrades!$T$18="Brown Dwarf",POWER(Upgrades!$U$18,J142),1)*IF(Upgrades!$T$19="Brown Dwarf",POWER(Upgrades!$U$19,K142),1)*IF(Upgrades!$T$20="Brown Dwarf",POWER(Upgrades!$U$20,L142),1)*IF(Upgrades!$T$21="Brown Dwarf",POWER(Upgrades!$U$21,M142),1))+(IF(J142=0,0,(Upgrades!$J$18+J142*Upgrades!$K$18)*POWER(Upgrades!$L$18,J142)))*(IF(Upgrades!$T$13="Binary Partner",POWER(Upgrades!$U$13,E142),1)*IF(Upgrades!$T$14="Binary Partner",POWER(Upgrades!$U$14,F142),1)*IF(Upgrades!$T$15="Binary Partner",POWER(Upgrades!$U$15,G142),1)*IF(Upgrades!$T$16="Binary Partner",POWER(Upgrades!$U$16,H142),1)*IF(Upgrades!$T$17="Binary Partner",POWER(Upgrades!$U$17,I142),1)*IF(Upgrades!$T$19="Binary Partner",POWER(Upgrades!$U$19,K142),1)*IF(Upgrades!$T$20="Binary Partner",POWER(Upgrades!$U$20,L142),1)*IF(Upgrades!$T$21="Binary Partner",POWER(Upgrades!$U$21,M142),1))+(IF(K142=0,0,(Upgrades!$J$19+K142*Upgrades!$K$19)*POWER(Upgrades!$L$19,K142)))*(IF(Upgrades!$T$13="Peculiar Velocity",POWER(Upgrades!$U$13,E142),1)*IF(Upgrades!$T$14="Peculiar Velocity",POWER(Upgrades!$U$14,F142),1)*IF(Upgrades!$T$15="Peculiar Velocity",POWER(Upgrades!$U$15,G142),1)*IF(Upgrades!$T$16="Peculiar Velocity",POWER(Upgrades!$U$16,H142),1)*IF(Upgrades!$T$17="Peculiar Velocity",POWER(Upgrades!$U$17,I142),1)*IF(Upgrades!$T$18="Peculiar Velocity",POWER(Upgrades!$U$18,J142),1)*IF(Upgrades!$T$20="Peculiar Velocity",POWER(Upgrades!$U$20,L142),1)*IF(Upgrades!$T$21="Peculiar Velocity",POWER(Upgrades!$U$21,M142),1))+(IF(L142=0,0,(Upgrades!$J$20+L142*Upgrades!$K$20)*POWER(Upgrades!$L$20,L142)))*(IF(Upgrades!$T$13="Open Cluster",POWER(Upgrades!$U$13,E142),1)*IF(Upgrades!$T$14="Open Cluster",POWER(Upgrades!$U$14,F142),1)*IF(Upgrades!$T$15="Open Cluster",POWER(Upgrades!$U$15,G142),1)*IF(Upgrades!$T$16="Open Cluster",POWER(Upgrades!$U$16,H142),1)*IF(Upgrades!$T$17="Open Cluster",POWER(Upgrades!$U$17,I142),1)*IF(Upgrades!$T$18="Open Cluster",POWER(Upgrades!$U$18,J142),1)*IF(Upgrades!$T$19="Open Cluster",POWER(Upgrades!$U$19,K142),1)*IF(Upgrades!$T$21="Open Cluster",POWER(Upgrades!$U$21,M142),1))+(IF(M142=0,0,(Upgrades!$J$21+M142*Upgrades!$K$21)*POWER(Upgrades!$L$21,M142)))*(IF(Upgrades!$T$13="Moving Group",POWER(Upgrades!$U$13,E142),1)*IF(Upgrades!$T$14="Moving Group",POWER(Upgrades!$U$14,F142),1)*IF(Upgrades!$T$15="Moving Group",POWER(Upgrades!$U$15,G142),1)*IF(Upgrades!$T$16="Moving Group",POWER(Upgrades!$U$16,H142),1)*IF(Upgrades!$T$17="Moving Group",POWER(Upgrades!$U$17,I142),1)*IF(Upgrades!$T$18="Moving Group",POWER(Upgrades!$U$18,J142),1)*IF(Upgrades!$T$19="Moving Group",POWER(Upgrades!$U$19,K142),1)*IF(Upgrades!$T$20="Moving Group",POWER(Upgrades!$U$20,L142),1)))*POWER(Upgrades!$Q$13,E142)*POWER(Upgrades!$Q$14,F142)*POWER(Upgrades!$Q$15,G142)*POWER(Upgrades!$Q$16,H142)*POWER(Upgrades!$Q$17,I142)*POWER(Upgrades!$Q$18,J142)*POWER(Upgrades!$Q$19,K142)*POWER(Upgrades!$Q$20,L142)*POWER(Upgrades!$Q$21,M142)*$G$6+$D$6</f>
        <v/>
      </c>
      <c r="P142" s="28">
        <f>((IF(E142=0,0,(Upgrades!$G$13+E142*Upgrades!$H$13)*POWER(Upgrades!$I$13,E142)))*(IF(Upgrades!$T$14="Stellar Kinematics",POWER(Upgrades!$U$14,F142),1)*IF(Upgrades!$T$15="Stellar Kinematics",POWER(Upgrades!$U$15,G142),1)*IF(Upgrades!$T$16="Stellar Kinematics",POWER(Upgrades!$U$16,H142),1)*IF(Upgrades!$T$17="Stellar Kinematics",POWER(Upgrades!$U$17,I142),1)*IF(Upgrades!$T$18="Stellar Kinematics",POWER(Upgrades!$U$18,J142),1)*IF(Upgrades!$T$19="Stellar Kinematics",POWER(Upgrades!$U$19,K142),1)*IF(Upgrades!$T$20="Stellar Kinematics",POWER(Upgrades!$U$20,L142),1)*IF(Upgrades!$T$21="Stellar Kinematics",POWER(Upgrades!$U$21,M142),1))+(IF(F142=0,0,(Upgrades!$G$14+F142*Upgrades!$H$14)*POWER(Upgrades!$I$14,F142)))*(IF(Upgrades!$T$13="Local Bubble",POWER(Upgrades!$U$13,E142),1)*IF(Upgrades!$T$15="Local Bubble",POWER(Upgrades!$U$15,G142),1)*IF(Upgrades!$T$16="Local Bubble",POWER(Upgrades!$U$16,H142),1)*IF(Upgrades!$T$17="Local Bubble",POWER(Upgrades!$U$17,I142),1)*IF(Upgrades!$T$18="Local Bubble",POWER(Upgrades!$U$18,J142),1)*IF(Upgrades!$T$19="Local Bubble",POWER(Upgrades!$U$19,K142),1)*IF(Upgrades!$T$20="Local Bubble",POWER(Upgrades!$U$20,L142),1)*IF(Upgrades!$T$21="Local Bubble",POWER(Upgrades!$U$21,M142),1))+(IF(G142=0,0,(Upgrades!$G$15+G142*Upgrades!$H$15)*POWER(Upgrades!$I$15,G142)))*(IF(Upgrades!$T$13="Microlensing",POWER(Upgrades!$U$13,E142),1)*IF(Upgrades!$T$14="Microlensing",POWER(Upgrades!$U$14,F142),1)*IF(Upgrades!$T$16="Microlensing",POWER(Upgrades!$U$16,H142),1)*IF(Upgrades!$T$17="Microlensing",POWER(Upgrades!$U$17,I142),1)*IF(Upgrades!$T$18="Microlensing",POWER(Upgrades!$U$18,J142),1)*IF(Upgrades!$T$19="Microlensing",POWER(Upgrades!$U$19,K142),1)*IF(Upgrades!$T$20="Microlensing",POWER(Upgrades!$U$20,L142),1)*IF(Upgrades!$T$21="Microlensing",POWER(Upgrades!$U$21,M142),1))+(IF(H142=0,0,(Upgrades!$G$16+H142*Upgrades!$H$16)*POWER(Upgrades!$I$16,H142)))*(IF(Upgrades!$T$13="Roche Lobe Overflow",POWER(Upgrades!$U$13,E142),1)*IF(Upgrades!$T$14="Roche Lobe Overflow",POWER(Upgrades!$U$14,F142),1)*IF(Upgrades!$T$15="Roche Lobe Overflow",POWER(Upgrades!$U$15,G142),1)*IF(Upgrades!$T$17="Roche Lobe Overflow",POWER(Upgrades!$U$17,I142),1)*IF(Upgrades!$T$18="Roche Lobe Overflow",POWER(Upgrades!$U$18,J142),1)*IF(Upgrades!$T$19="Roche Lobe Overflow",POWER(Upgrades!$U$19,K142),1)*IF(Upgrades!$T$20="Roche Lobe Overflow",POWER(Upgrades!$U$20,L142),1)*IF(Upgrades!$T$21="Roche Lobe Overflow",POWER(Upgrades!$U$21,M142),1))+(IF(I142=0,0,(Upgrades!$G$17+I142*Upgrades!$H$17)*POWER(Upgrades!$I$17,I142)))*(IF(Upgrades!$T$13="Brown Dwarf",POWER(Upgrades!$U$13,E142),1)*IF(Upgrades!$T$14="Brown Dwarf",POWER(Upgrades!$U$14,F142),1)*IF(Upgrades!$T$15="Brown Dwarf",POWER(Upgrades!$U$15,G142),1)*IF(Upgrades!$T$16="Brown Dwarf",POWER(Upgrades!$U$16,H142),1)*IF(Upgrades!$T$18="Brown Dwarf",POWER(Upgrades!$U$18,J142),1)*IF(Upgrades!$T$19="Brown Dwarf",POWER(Upgrades!$U$19,K142),1)*IF(Upgrades!$T$20="Brown Dwarf",POWER(Upgrades!$U$20,L142),1)*IF(Upgrades!$T$21="Brown Dwarf",POWER(Upgrades!$U$21,M142),1))+(IF(J142=0,0,(Upgrades!$G$18+J142*Upgrades!$H$18)*POWER(Upgrades!$I$18,J142)))*(IF(Upgrades!$T$13="Binary Partner",POWER(Upgrades!$U$13,E142),1)*IF(Upgrades!$T$14="Binary Partner",POWER(Upgrades!$U$14,F142),1)*IF(Upgrades!$T$15="Binary Partner",POWER(Upgrades!$U$15,G142),1)*IF(Upgrades!$T$16="Binary Partner",POWER(Upgrades!$U$16,H142),1)*IF(Upgrades!$T$17="Binary Partner",POWER(Upgrades!$U$17,I142),1)*IF(Upgrades!$T$19="Binary Partner",POWER(Upgrades!$U$19,K142),1)*IF(Upgrades!$T$20="Binary Partner",POWER(Upgrades!$U$20,L142),1)*IF(Upgrades!$T$21="Binary Partner",POWER(Upgrades!$U$21,M142),1))+(IF(K142=0,0,(Upgrades!$G$19+K142*Upgrades!$H$19)*POWER(Upgrades!$I$19,K142)))*(IF(Upgrades!$T$13="Peculiar Velocity",POWER(Upgrades!$U$13,E142),1)*IF(Upgrades!$T$14="Peculiar Velocity",POWER(Upgrades!$U$14,F142),1)*IF(Upgrades!$T$15="Peculiar Velocity",POWER(Upgrades!$U$15,G142),1)*IF(Upgrades!$T$16="Peculiar Velocity",POWER(Upgrades!$U$16,H142),1)*IF(Upgrades!$T$17="Peculiar Velocity",POWER(Upgrades!$U$17,I142),1)*IF(Upgrades!$T$18="Peculiar Velocity",POWER(Upgrades!$U$18,J142),1)*IF(Upgrades!$T$20="Peculiar Velocity",POWER(Upgrades!$U$20,L142),1)*IF(Upgrades!$T$21="Peculiar Velocity",POWER(Upgrades!$U$21,M142),1))+(IF(L142=0,0,(Upgrades!$G$20+L142*Upgrades!$H$20)*POWER(Upgrades!$I$20,L142)))*(IF(Upgrades!$T$13="Open Cluster",POWER(Upgrades!$U$13,E142),1)*IF(Upgrades!$T$14="Open Cluster",POWER(Upgrades!$U$14,F142),1)*IF(Upgrades!$T$15="Open Cluster",POWER(Upgrades!$U$15,G142),1)*IF(Upgrades!$T$16="Open Cluster",POWER(Upgrades!$U$16,H142),1)*IF(Upgrades!$T$17="Open Cluster",POWER(Upgrades!$U$17,I142),1)*IF(Upgrades!$T$18="Open Cluster",POWER(Upgrades!$U$18,J142),1)*IF(Upgrades!$T$19="Open Cluster",POWER(Upgrades!$U$19,K142),1)*IF(Upgrades!$T$21="Open Cluster",POWER(Upgrades!$U$21,M142),1))+(IF(M142=0,0,(Upgrades!$G$21+M142*Upgrades!$H$21)*POWER(Upgrades!$I$21,M142)))*(IF(Upgrades!$T$13="Moving Group",POWER(Upgrades!$U$13,E142),1)*IF(Upgrades!$T$14="Moving Group",POWER(Upgrades!$U$14,F142),1)*IF(Upgrades!$T$15="Moving Group",POWER(Upgrades!$U$15,G142),1)*IF(Upgrades!$T$16="Moving Group",POWER(Upgrades!$U$16,H142),1)*IF(Upgrades!$T$17="Moving Group",POWER(Upgrades!$U$17,I142),1)*IF(Upgrades!$T$18="Moving Group",POWER(Upgrades!$U$18,J142),1)*IF(Upgrades!$T$19="Moving Group",POWER(Upgrades!$U$19,K142),1)*IF(Upgrades!$T$20="Moving Group",POWER(Upgrades!$U$20,L142),1)))*POWER(Upgrades!$P$13,E142)*POWER(Upgrades!$P$14,F142)*POWER(Upgrades!$P$15,G142)*POWER(Upgrades!$P$16,H142)*POWER(Upgrades!$P$17,I142)*POWER(Upgrades!$P$18,J142)*POWER(Upgrades!$P$19,K142)*POWER(Upgrades!$P$20,L142)*POWER(Upgrades!$P$21,M142)*$F$6+$C$6</f>
        <v/>
      </c>
      <c r="Q142" s="28">
        <f>((IF(E142=0,0,(Upgrades!$M$13+E142*Upgrades!$N$13)*POWER(Upgrades!$O$13,E142)))*(IF(Upgrades!$T$14="Stellar Kinematics",POWER(Upgrades!$U$14,F142),1)*IF(Upgrades!$T$15="Stellar Kinematics",POWER(Upgrades!$U$15,G142),1)*IF(Upgrades!$T$16="Stellar Kinematics",POWER(Upgrades!$U$16,H142),1)*IF(Upgrades!$T$17="Stellar Kinematics",POWER(Upgrades!$U$17,I142),1)*IF(Upgrades!$T$18="Stellar Kinematics",POWER(Upgrades!$U$18,J142),1)*IF(Upgrades!$T$19="Stellar Kinematics",POWER(Upgrades!$U$19,K142),1)*IF(Upgrades!$T$20="Stellar Kinematics",POWER(Upgrades!$U$20,L142),1)*IF(Upgrades!$T$21="Stellar Kinematics",POWER(Upgrades!$U$21,M142),1))+(IF(F142=0,0,(Upgrades!$M$14+F142*Upgrades!$N$14)*POWER(Upgrades!$O$14,F142)))*(IF(Upgrades!$T$13="Local Bubble",POWER(Upgrades!$U$13,E142),1)*IF(Upgrades!$T$15="Local Bubble",POWER(Upgrades!$U$15,G142),1)*IF(Upgrades!$T$16="Local Bubble",POWER(Upgrades!$U$16,H142),1)*IF(Upgrades!$T$17="Local Bubble",POWER(Upgrades!$U$17,I142),1)*IF(Upgrades!$T$18="Local Bubble",POWER(Upgrades!$U$18,J142),1)*IF(Upgrades!$T$19="Local Bubble",POWER(Upgrades!$U$19,K142),1)*IF(Upgrades!$T$20="Local Bubble",POWER(Upgrades!$U$20,L142),1)*IF(Upgrades!$T$21="Local Bubble",POWER(Upgrades!$U$21,M142),1))+(IF(G142=0,0,(Upgrades!$M$15+G142*Upgrades!$N$15)*POWER(Upgrades!$O$15,G142)))*(IF(Upgrades!$T$13="Microlensing",POWER(Upgrades!$U$13,E142),1)*IF(Upgrades!$T$14="Microlensing",POWER(Upgrades!$U$14,F142),1)*IF(Upgrades!$T$16="Microlensing",POWER(Upgrades!$U$16,H142),1)*IF(Upgrades!$T$17="Microlensing",POWER(Upgrades!$U$17,I142),1)*IF(Upgrades!$T$18="Microlensing",POWER(Upgrades!$U$18,J142),1)*IF(Upgrades!$T$19="Microlensing",POWER(Upgrades!$U$19,K142),1)*IF(Upgrades!$T$20="Microlensing",POWER(Upgrades!$U$20,L142),1)*IF(Upgrades!$T$21="Microlensing",POWER(Upgrades!$U$21,M142),1))+(IF(H142=0,0,(Upgrades!$M$16+H142*Upgrades!$N$16)*POWER(Upgrades!$O$16,H142)))*(IF(Upgrades!$T$13="Roche Lobe Overflow",POWER(Upgrades!$U$13,E142),1)*IF(Upgrades!$T$14="Roche Lobe Overflow",POWER(Upgrades!$U$14,F142),1)*IF(Upgrades!$T$15="Roche Lobe Overflow",POWER(Upgrades!$U$15,G142),1)*IF(Upgrades!$T$17="Roche Lobe Overflow",POWER(Upgrades!$U$17,I142),1)*IF(Upgrades!$T$18="Roche Lobe Overflow",POWER(Upgrades!$U$18,J142),1)*IF(Upgrades!$T$19="Roche Lobe Overflow",POWER(Upgrades!$U$19,K142),1)*IF(Upgrades!$T$20="Roche Lobe Overflow",POWER(Upgrades!$U$20,L142),1)*IF(Upgrades!$T$21="Roche Lobe Overflow",POWER(Upgrades!$U$21,M142),1))+(IF(I142=0,0,(Upgrades!$M$17+I142*Upgrades!$N$17)*POWER(Upgrades!$O$17,I142)))*(IF(Upgrades!$T$13="Brown Dwarf",POWER(Upgrades!$U$13,E142),1)*IF(Upgrades!$T$14="Brown Dwarf",POWER(Upgrades!$U$14,F142),1)*IF(Upgrades!$T$15="Brown Dwarf",POWER(Upgrades!$U$15,G142),1)*IF(Upgrades!$T$16="Brown Dwarf",POWER(Upgrades!$U$16,H142),1)*IF(Upgrades!$T$18="Brown Dwarf",POWER(Upgrades!$U$18,J142),1)*IF(Upgrades!$T$19="Brown Dwarf",POWER(Upgrades!$U$19,K142),1)*IF(Upgrades!$T$20="Brown Dwarf",POWER(Upgrades!$U$20,L142),1)*IF(Upgrades!$T$21="Brown Dwarf",POWER(Upgrades!$U$21,M142),1))+(IF(J142=0,0,(Upgrades!$M$18+J142*Upgrades!$N$18)*POWER(Upgrades!$O$18,J142)))*(IF(Upgrades!$T$13="Binary Partner",POWER(Upgrades!$U$13,E142),1)*IF(Upgrades!$T$14="Binary Partner",POWER(Upgrades!$U$14,F142),1)*IF(Upgrades!$T$15="Binary Partner",POWER(Upgrades!$U$15,G142),1)*IF(Upgrades!$T$16="Binary Partner",POWER(Upgrades!$U$16,H142),1)*IF(Upgrades!$T$17="Binary Partner",POWER(Upgrades!$U$17,I142),1)*IF(Upgrades!$T$19="Binary Partner",POWER(Upgrades!$U$19,K142),1)*IF(Upgrades!$T$20="Binary Partner",POWER(Upgrades!$U$20,L142),1)*IF(Upgrades!$T$21="Binary Partner",POWER(Upgrades!$U$21,M142),1))+(IF(K142=0,0,(Upgrades!$M$19+K142*Upgrades!$N$19)*POWER(Upgrades!$O$19,K142)))*(IF(Upgrades!$T$13="Peculiar Velocity",POWER(Upgrades!$U$13,E142),1)*IF(Upgrades!$T$14="Peculiar Velocity",POWER(Upgrades!$U$14,F142),1)*IF(Upgrades!$T$15="Peculiar Velocity",POWER(Upgrades!$U$15,G142),1)*IF(Upgrades!$T$16="Peculiar Velocity",POWER(Upgrades!$U$16,H142),1)*IF(Upgrades!$T$17="Peculiar Velocity",POWER(Upgrades!$U$17,I142),1)*IF(Upgrades!$T$18="Peculiar Velocity",POWER(Upgrades!$U$18,J142),1)*IF(Upgrades!$T$20="Peculiar Velocity",POWER(Upgrades!$U$20,L142),1)*IF(Upgrades!$T$21="Peculiar Velocity",POWER(Upgrades!$U$21,M142),1))+(IF(L142=0,0,(Upgrades!$M$20+L142*Upgrades!$N$20)*POWER(Upgrades!$O$20,L142)))*(IF(Upgrades!$T$13="Open Cluster",POWER(Upgrades!$U$13,E142),1)*IF(Upgrades!$T$14="Open Cluster",POWER(Upgrades!$U$14,F142),1)*IF(Upgrades!$T$15="Open Cluster",POWER(Upgrades!$U$15,G142),1)*IF(Upgrades!$T$16="Open Cluster",POWER(Upgrades!$U$16,H142),1)*IF(Upgrades!$T$17="Open Cluster",POWER(Upgrades!$U$17,I142),1)*IF(Upgrades!$T$18="Open Cluster",POWER(Upgrades!$U$18,J142),1)*IF(Upgrades!$T$19="Open Cluster",POWER(Upgrades!$U$19,K142),1)*IF(Upgrades!$T$21="Open Cluster",POWER(Upgrades!$U$21,M142),1))+(IF(M142=0,0,(Upgrades!$M$21+M142*Upgrades!$N$21)*POWER(Upgrades!$O$21,M142)))*(IF(Upgrades!$T$13="Moving Group",POWER(Upgrades!$U$13,E142),1)*IF(Upgrades!$T$14="Moving Group",POWER(Upgrades!$U$14,F142),1)*IF(Upgrades!$T$15="Moving Group",POWER(Upgrades!$U$15,G142),1)*IF(Upgrades!$T$16="Moving Group",POWER(Upgrades!$U$16,H142),1)*IF(Upgrades!$T$17="Moving Group",POWER(Upgrades!$U$17,I142),1)*IF(Upgrades!$T$18="Moving Group",POWER(Upgrades!$U$18,J142),1)*IF(Upgrades!$T$19="Moving Group",POWER(Upgrades!$U$19,K142),1)*IF(Upgrades!$T$20="Moving Group",POWER(Upgrades!$U$20,L142),1)))*POWER(Upgrades!$R$13,E142)*POWER(Upgrades!$R$14,F142)*POWER(Upgrades!$R$15,G142)*POWER(Upgrades!$R$16,H142)*POWER(Upgrades!$R$17,I142)*POWER(Upgrades!$R$18,J142)*POWER(Upgrades!$R$19,K142)*POWER(Upgrades!$R$20,L142)*POWER(Upgrades!$R$21,M142)*$H$6+$E$6</f>
        <v/>
      </c>
      <c r="R142" s="27">
        <f>IF(N142=1,0,O142*Parameters!$B$10/60*Parameters!$B$11*10)</f>
        <v/>
      </c>
      <c r="S142" s="27">
        <f>IF(N142=1,0,Q142*O142*10)</f>
        <v/>
      </c>
      <c r="T142" s="27">
        <f>IF(N142=1,0,R142+S142+P142*10)</f>
        <v/>
      </c>
      <c r="U142" s="33">
        <f>BE142</f>
        <v/>
      </c>
      <c r="V142" s="22">
        <f>IF(U142="",0,IF(U142="transition",0,IF(U142="SK",AK142,IF(U142="LB",AL142,IF(U142="ML",AM142,IF(U142="RLO",AN142,IF(U142="BD",AO142,IF(U142="BiP",AP142,IF(U142="PV",AQ142,IF(U142="OC",AR142,IF(U142="MG",AS142,0))))))))))</f>
        <v/>
      </c>
      <c r="W142" s="27">
        <f>IF(U142="BiP",Upgrades!$F$18,IF(U142="PV",Upgrades!$F$19,IF(U142="OC",Upgrades!$F$20,IF(U142="MG",Upgrades!$F$21,IF(U142="transition",-Parameters!$B$18*Parameters!$B$19,0)))))</f>
        <v/>
      </c>
      <c r="X142" s="22">
        <f>C142+T142-V142</f>
        <v/>
      </c>
      <c r="Y142" s="30">
        <f>O142*Parameters!$B$10/60*Parameters!$B$11+Q142*O142+P142</f>
        <v/>
      </c>
      <c r="Z142" s="34">
        <f>IF(U142="transition","→ Tier 3 (Galactic Arm)",IF(U142="MG","Moving Group — pocket drifts together",IF(U142="OC","Open Cluster acquired",IF(U142="PV","Peculiar Velocity — passive multiplier active",IF(U142="BiP","Binary Partner — pair bond formed",IF(AND(AU142=1,N142=0,AT142&lt;&gt;1),"Cohesion ready (waiting on completionists)","")))))) </f>
        <v/>
      </c>
      <c r="AA142" s="27">
        <f>(IF(E142=0,0,(Upgrades!$G$13+E142*Upgrades!$H$13)*POWER(Upgrades!$I$13,E142)))*(IF(Upgrades!$T$14="Stellar Kinematics",POWER(Upgrades!$U$14,F142),1)*IF(Upgrades!$T$15="Stellar Kinematics",POWER(Upgrades!$U$15,G142),1)*IF(Upgrades!$T$16="Stellar Kinematics",POWER(Upgrades!$U$16,H142),1)*IF(Upgrades!$T$17="Stellar Kinematics",POWER(Upgrades!$U$17,I142),1)*IF(Upgrades!$T$18="Stellar Kinematics",POWER(Upgrades!$U$18,J142),1)*IF(Upgrades!$T$19="Stellar Kinematics",POWER(Upgrades!$U$19,K142),1)*IF(Upgrades!$T$20="Stellar Kinematics",POWER(Upgrades!$U$20,L142),1)*IF(Upgrades!$T$21="Stellar Kinematics",POWER(Upgrades!$U$21,M142),1))*POWER(Upgrades!$P$13,E142)*POWER(Upgrades!$P$14,F142)*POWER(Upgrades!$P$15,G142)*POWER(Upgrades!$P$16,H142)*POWER(Upgrades!$P$17,I142)*POWER(Upgrades!$P$18,J142)*POWER(Upgrades!$P$19,K142)*POWER(Upgrades!$P$20,L142)*POWER(Upgrades!$P$21,M142)*$F$6*60</f>
        <v/>
      </c>
      <c r="AB142" s="27">
        <f>(IF(F142=0,0,(Upgrades!$G$14+F142*Upgrades!$H$14)*POWER(Upgrades!$I$14,F142)))*(IF(Upgrades!$T$13="Local Bubble",POWER(Upgrades!$U$13,E142),1)*IF(Upgrades!$T$15="Local Bubble",POWER(Upgrades!$U$15,G142),1)*IF(Upgrades!$T$16="Local Bubble",POWER(Upgrades!$U$16,H142),1)*IF(Upgrades!$T$17="Local Bubble",POWER(Upgrades!$U$17,I142),1)*IF(Upgrades!$T$18="Local Bubble",POWER(Upgrades!$U$18,J142),1)*IF(Upgrades!$T$19="Local Bubble",POWER(Upgrades!$U$19,K142),1)*IF(Upgrades!$T$20="Local Bubble",POWER(Upgrades!$U$20,L142),1)*IF(Upgrades!$T$21="Local Bubble",POWER(Upgrades!$U$21,M142),1))*POWER(Upgrades!$P$13,E142)*POWER(Upgrades!$P$14,F142)*POWER(Upgrades!$P$15,G142)*POWER(Upgrades!$P$16,H142)*POWER(Upgrades!$P$17,I142)*POWER(Upgrades!$P$18,J142)*POWER(Upgrades!$P$19,K142)*POWER(Upgrades!$P$20,L142)*POWER(Upgrades!$P$21,M142)*$F$6*60</f>
        <v/>
      </c>
      <c r="AC142" s="27">
        <f>(IF(G142=0,0,(Upgrades!$J$15+G142*Upgrades!$K$15)*POWER(Upgrades!$L$15,G142)))*(IF(Upgrades!$T$13="Microlensing",POWER(Upgrades!$U$13,E142),1)*IF(Upgrades!$T$14="Microlensing",POWER(Upgrades!$U$14,F142),1)*IF(Upgrades!$T$16="Microlensing",POWER(Upgrades!$U$16,H142),1)*IF(Upgrades!$T$17="Microlensing",POWER(Upgrades!$U$17,I142),1)*IF(Upgrades!$T$18="Microlensing",POWER(Upgrades!$U$18,J142),1)*IF(Upgrades!$T$19="Microlensing",POWER(Upgrades!$U$19,K142),1)*IF(Upgrades!$T$20="Microlensing",POWER(Upgrades!$U$20,L142),1)*IF(Upgrades!$T$21="Microlensing",POWER(Upgrades!$U$21,M142),1))*POWER(Upgrades!$Q$13,E142)*POWER(Upgrades!$Q$14,F142)*POWER(Upgrades!$Q$15,G142)*POWER(Upgrades!$Q$16,H142)*POWER(Upgrades!$Q$17,I142)*POWER(Upgrades!$Q$18,J142)*POWER(Upgrades!$Q$19,K142)*POWER(Upgrades!$Q$20,L142)*POWER(Upgrades!$Q$21,M142)*$G$6*(Parameters!$B$10*Parameters!$B$11+Q142*60)</f>
        <v/>
      </c>
      <c r="AD142" s="27">
        <f>(IF(H142=0,0,(Upgrades!$M$16+H142*Upgrades!$N$16)*POWER(Upgrades!$O$16,H142)))*(IF(Upgrades!$T$13="Roche Lobe Overflow",POWER(Upgrades!$U$13,E142),1)*IF(Upgrades!$T$14="Roche Lobe Overflow",POWER(Upgrades!$U$14,F142),1)*IF(Upgrades!$T$15="Roche Lobe Overflow",POWER(Upgrades!$U$15,G142),1)*IF(Upgrades!$T$17="Roche Lobe Overflow",POWER(Upgrades!$U$17,I142),1)*IF(Upgrades!$T$18="Roche Lobe Overflow",POWER(Upgrades!$U$18,J142),1)*IF(Upgrades!$T$19="Roche Lobe Overflow",POWER(Upgrades!$U$19,K142),1)*IF(Upgrades!$T$20="Roche Lobe Overflow",POWER(Upgrades!$U$20,L142),1)*IF(Upgrades!$T$21="Roche Lobe Overflow",POWER(Upgrades!$U$21,M142),1))*POWER(Upgrades!$R$13,E142)*POWER(Upgrades!$R$14,F142)*POWER(Upgrades!$R$15,G142)*POWER(Upgrades!$R$16,H142)*POWER(Upgrades!$R$17,I142)*POWER(Upgrades!$R$18,J142)*POWER(Upgrades!$R$19,K142)*POWER(Upgrades!$R$20,L142)*POWER(Upgrades!$R$21,M142)*$H$6*O142*60</f>
        <v/>
      </c>
      <c r="AE142" s="27">
        <f>(IF(I142=0,0,(Upgrades!$G$17+I142*Upgrades!$H$17)*POWER(Upgrades!$I$17,I142)))*(IF(Upgrades!$T$13="Brown Dwarf",POWER(Upgrades!$U$13,E142),1)*IF(Upgrades!$T$14="Brown Dwarf",POWER(Upgrades!$U$14,F142),1)*IF(Upgrades!$T$15="Brown Dwarf",POWER(Upgrades!$U$15,G142),1)*IF(Upgrades!$T$16="Brown Dwarf",POWER(Upgrades!$U$16,H142),1)*IF(Upgrades!$T$18="Brown Dwarf",POWER(Upgrades!$U$18,J142),1)*IF(Upgrades!$T$19="Brown Dwarf",POWER(Upgrades!$U$19,K142),1)*IF(Upgrades!$T$20="Brown Dwarf",POWER(Upgrades!$U$20,L142),1)*IF(Upgrades!$T$21="Brown Dwarf",POWER(Upgrades!$U$21,M142),1))*POWER(Upgrades!$P$13,E142)*POWER(Upgrades!$P$14,F142)*POWER(Upgrades!$P$15,G142)*POWER(Upgrades!$P$16,H142)*POWER(Upgrades!$P$17,I142)*POWER(Upgrades!$P$18,J142)*POWER(Upgrades!$P$19,K142)*POWER(Upgrades!$P$20,L142)*POWER(Upgrades!$P$21,M142)*$F$6*60</f>
        <v/>
      </c>
      <c r="AF142" s="27" t="n">
        <v>0</v>
      </c>
      <c r="AG142" s="27" t="n">
        <v>0</v>
      </c>
      <c r="AH142" s="27" t="n">
        <v>0</v>
      </c>
      <c r="AI142" s="27">
        <f>(IF(M142=0,0,(Upgrades!$G$21+M142*Upgrades!$H$21)*POWER(Upgrades!$I$21,M142)))*(IF(Upgrades!$T$13="Moving Group",POWER(Upgrades!$U$13,E142),1)*IF(Upgrades!$T$14="Moving Group",POWER(Upgrades!$U$14,F142),1)*IF(Upgrades!$T$15="Moving Group",POWER(Upgrades!$U$15,G142),1)*IF(Upgrades!$T$16="Moving Group",POWER(Upgrades!$U$16,H142),1)*IF(Upgrades!$T$17="Moving Group",POWER(Upgrades!$U$17,I142),1)*IF(Upgrades!$T$18="Moving Group",POWER(Upgrades!$U$18,J142),1)*IF(Upgrades!$T$19="Moving Group",POWER(Upgrades!$U$19,K142),1)*IF(Upgrades!$T$20="Moving Group",POWER(Upgrades!$U$20,L142),1))*POWER(Upgrades!$P$13,E142)*POWER(Upgrades!$P$14,F142)*POWER(Upgrades!$P$15,G142)*POWER(Upgrades!$P$16,H142)*POWER(Upgrades!$P$17,I142)*POWER(Upgrades!$P$18,J142)*POWER(Upgrades!$P$19,K142)*POWER(Upgrades!$P$20,L142)*POWER(Upgrades!$P$21,M142)*$F$6*60</f>
        <v/>
      </c>
      <c r="AJ142" s="27">
        <f>$C$6*60</f>
        <v/>
      </c>
      <c r="AK142" s="22">
        <f>IF(E142&gt;=Upgrades!$E$13,"",Upgrades!$C$13*POWER(Upgrades!$D$13,E142))</f>
        <v/>
      </c>
      <c r="AL142" s="22">
        <f>IF(F142&gt;=Upgrades!$E$14,"",Upgrades!$C$14*POWER(Upgrades!$D$14,F142))</f>
        <v/>
      </c>
      <c r="AM142" s="22">
        <f>IF(G142&gt;=Upgrades!$E$15,"",Upgrades!$C$15*POWER(Upgrades!$D$15,G142))</f>
        <v/>
      </c>
      <c r="AN142" s="22">
        <f>IF(H142&gt;=Upgrades!$E$16,"",Upgrades!$C$16*POWER(Upgrades!$D$16,H142))</f>
        <v/>
      </c>
      <c r="AO142" s="22">
        <f>IF(I142&gt;=Upgrades!$E$17,"",Upgrades!$C$17*POWER(Upgrades!$D$17,I142))</f>
        <v/>
      </c>
      <c r="AP142" s="22">
        <f>IF(J142&gt;=Upgrades!$E$18,"",Upgrades!$C$18*POWER(Upgrades!$D$18,J142))</f>
        <v/>
      </c>
      <c r="AQ142" s="22">
        <f>IF(K142&gt;=Upgrades!$E$19,"",Upgrades!$C$19*POWER(Upgrades!$D$19,K142))</f>
        <v/>
      </c>
      <c r="AR142" s="22">
        <f>IF(L142&gt;=Upgrades!$E$20,"",Upgrades!$C$20*POWER(Upgrades!$D$20,L142))</f>
        <v/>
      </c>
      <c r="AS142" s="22">
        <f>IF(M142&gt;=Upgrades!$E$21,"",Upgrades!$C$21*POWER(Upgrades!$D$21,M142))</f>
        <v/>
      </c>
      <c r="AT142" s="26">
        <f>IF(AND(D142&gt;=Parameters!$B$18*Parameters!$B$19,(I142&gt;=Upgrades!$E$17)*(M142&gt;=Upgrades!$E$21)=1,N142=0),1,"")</f>
        <v/>
      </c>
      <c r="AU142" s="26">
        <f>IF(AND(D142&gt;=Parameters!$B$18*Parameters!$B$19,N142=0),1,"")</f>
        <v/>
      </c>
      <c r="AV142" s="22">
        <f>MIN(IF(ISNUMBER(AP142),AP142,9E15),IF(ISNUMBER(AQ142),AQ142,9E15),IF(ISNUMBER(AR142),AR142,9E15),IF(ISNUMBER(AS142),AS142,9E15))</f>
        <v/>
      </c>
      <c r="AW142" s="22">
        <f>MIN(IF(ISNUMBER(AK142),AK142,9E15),IF(ISNUMBER(AL142),AL142,9E15),IF(ISNUMBER(AM142),AM142,9E15),IF(ISNUMBER(AN142),AN142,9E15),IF(ISNUMBER(AO142),AO142,9E15))</f>
        <v/>
      </c>
      <c r="AX142" s="29">
        <f>IF(BD142&gt;Parameters!$B$21*(MAX(IF(AND(NOT(AND(AU142=1,AT142&lt;&gt;1)),ISNUMBER(AK142),AK142&lt;=(C142+T142)),AY142,0),IF(AND(NOT(AND(AU142=1,AT142&lt;&gt;1)),ISNUMBER(AL142),AL142&lt;=(C142+T142)),AZ142,0),IF(AND(NOT(AND(AU142=1,AT142&lt;&gt;1)),ISNUMBER(AM142),AM142&lt;=(C142+T142)),BA142,0),IF(AND(NOT(AND(AU142=1,AT142&lt;&gt;1)),ISNUMBER(AN142),AN142&lt;=(C142+T142)),BB142,0),IF(AND(ISNUMBER(AO142),AO142&lt;=(C142+T142)),BC142,0))),TRUE,FALSE)</f>
        <v/>
      </c>
      <c r="AY142" s="32">
        <f>IFERROR(Upgrades!$H$13*(POWER(Upgrades!$P$13,E142)*POWER(Upgrades!$P$14,F142)*POWER(Upgrades!$P$15,G142)*POWER(Upgrades!$P$16,H142)*POWER(Upgrades!$P$17,I142)*POWER(Upgrades!$P$18,J142)*POWER(Upgrades!$P$19,K142)*POWER(Upgrades!$P$20,L142)*POWER(Upgrades!$P$21,M142))*(IF(Upgrades!$T$14="Stellar Kinematics",POWER(Upgrades!$U$14,F142),1)*IF(Upgrades!$T$15="Stellar Kinematics",POWER(Upgrades!$U$15,G142),1)*IF(Upgrades!$T$16="Stellar Kinematics",POWER(Upgrades!$U$16,H142),1)*IF(Upgrades!$T$17="Stellar Kinematics",POWER(Upgrades!$U$17,I142),1)*IF(Upgrades!$T$18="Stellar Kinematics",POWER(Upgrades!$U$18,J142),1)*IF(Upgrades!$T$19="Stellar Kinematics",POWER(Upgrades!$U$19,K142),1)*IF(Upgrades!$T$20="Stellar Kinematics",POWER(Upgrades!$U$20,L142),1)*IF(Upgrades!$T$21="Stellar Kinematics",POWER(Upgrades!$U$21,M142),1))*$F$6/AK142,0)</f>
        <v/>
      </c>
      <c r="AZ142" s="32">
        <f>IFERROR(Upgrades!$H$14*(POWER(Upgrades!$P$13,E142)*POWER(Upgrades!$P$14,F142)*POWER(Upgrades!$P$15,G142)*POWER(Upgrades!$P$16,H142)*POWER(Upgrades!$P$17,I142)*POWER(Upgrades!$P$18,J142)*POWER(Upgrades!$P$19,K142)*POWER(Upgrades!$P$20,L142)*POWER(Upgrades!$P$21,M142))*(IF(Upgrades!$T$13="Local Bubble",POWER(Upgrades!$U$13,E142),1)*IF(Upgrades!$T$15="Local Bubble",POWER(Upgrades!$U$15,G142),1)*IF(Upgrades!$T$16="Local Bubble",POWER(Upgrades!$U$16,H142),1)*IF(Upgrades!$T$17="Local Bubble",POWER(Upgrades!$U$17,I142),1)*IF(Upgrades!$T$18="Local Bubble",POWER(Upgrades!$U$18,J142),1)*IF(Upgrades!$T$19="Local Bubble",POWER(Upgrades!$U$19,K142),1)*IF(Upgrades!$T$20="Local Bubble",POWER(Upgrades!$U$20,L142),1)*IF(Upgrades!$T$21="Local Bubble",POWER(Upgrades!$U$21,M142),1))*$F$6/AL142,0)</f>
        <v/>
      </c>
      <c r="BA142" s="32">
        <f>IFERROR(Upgrades!$K$15*(POWER(Upgrades!$Q$13,E142)*POWER(Upgrades!$Q$14,F142)*POWER(Upgrades!$Q$15,G142)*POWER(Upgrades!$Q$16,H142)*POWER(Upgrades!$Q$17,I142)*POWER(Upgrades!$Q$18,J142)*POWER(Upgrades!$Q$19,K142)*POWER(Upgrades!$Q$20,L142)*POWER(Upgrades!$Q$21,M142))*(IF(Upgrades!$T$13="Microlensing",POWER(Upgrades!$U$13,E142),1)*IF(Upgrades!$T$14="Microlensing",POWER(Upgrades!$U$14,F142),1)*IF(Upgrades!$T$16="Microlensing",POWER(Upgrades!$U$16,H142),1)*IF(Upgrades!$T$17="Microlensing",POWER(Upgrades!$U$17,I142),1)*IF(Upgrades!$T$18="Microlensing",POWER(Upgrades!$U$18,J142),1)*IF(Upgrades!$T$19="Microlensing",POWER(Upgrades!$U$19,K142),1)*IF(Upgrades!$T$20="Microlensing",POWER(Upgrades!$U$20,L142),1)*IF(Upgrades!$T$21="Microlensing",POWER(Upgrades!$U$21,M142),1))*$G$6*(Parameters!$B$10/60*Parameters!$B$11+Q142)/AM142,0)</f>
        <v/>
      </c>
      <c r="BB142" s="32">
        <f>IFERROR((Upgrades!$N$16*(POWER(Upgrades!$R$13,E142)*POWER(Upgrades!$R$14,F142)*POWER(Upgrades!$R$15,G142)*POWER(Upgrades!$R$16,H142)*POWER(Upgrades!$R$17,I142)*POWER(Upgrades!$R$18,J142)*POWER(Upgrades!$R$19,K142)*POWER(Upgrades!$R$20,L142)*POWER(Upgrades!$R$21,M142))*(IF(Upgrades!$T$13="Roche Lobe Overflow",POWER(Upgrades!$U$13,E142),1)*IF(Upgrades!$T$14="Roche Lobe Overflow",POWER(Upgrades!$U$14,F142),1)*IF(Upgrades!$T$15="Roche Lobe Overflow",POWER(Upgrades!$U$15,G142),1)*IF(Upgrades!$T$17="Roche Lobe Overflow",POWER(Upgrades!$U$17,I142),1)*IF(Upgrades!$T$18="Roche Lobe Overflow",POWER(Upgrades!$U$18,J142),1)*IF(Upgrades!$T$19="Roche Lobe Overflow",POWER(Upgrades!$U$19,K142),1)*IF(Upgrades!$T$20="Roche Lobe Overflow",POWER(Upgrades!$U$20,L142),1)*IF(Upgrades!$T$21="Roche Lobe Overflow",POWER(Upgrades!$U$21,M142),1))*$H$6*O142+((IF(F142=0,0,(Upgrades!$G$14+F142*Upgrades!$H$14)*POWER(Upgrades!$I$14,F142)))*(IF(Upgrades!$T$13="Local Bubble",POWER(Upgrades!$U$13,E142),1)*IF(Upgrades!$T$15="Local Bubble",POWER(Upgrades!$U$15,G142),1)*IF(Upgrades!$T$16="Local Bubble",POWER(Upgrades!$U$16,H142),1)*IF(Upgrades!$T$17="Local Bubble",POWER(Upgrades!$U$17,I142),1)*IF(Upgrades!$T$18="Local Bubble",POWER(Upgrades!$U$18,J142),1)*IF(Upgrades!$T$19="Local Bubble",POWER(Upgrades!$U$19,K142),1)*IF(Upgrades!$T$20="Local Bubble",POWER(Upgrades!$U$20,L142),1)*IF(Upgrades!$T$21="Local Bubble",POWER(Upgrades!$U$21,M142),1))*POWER(Upgrades!$P$13,E142)*POWER(Upgrades!$P$14,F142)*POWER(Upgrades!$P$15,G142)*POWER(Upgrades!$P$16,H142)*POWER(Upgrades!$P$17,I142)*POWER(Upgrades!$P$18,J142)*POWER(Upgrades!$P$19,K142)*POWER(Upgrades!$P$20,L142)*POWER(Upgrades!$P$21,M142)*$F$6)*0.05)/AN142,0)</f>
        <v/>
      </c>
      <c r="BC142" s="32">
        <f>IFERROR((Upgrades!$H$17*(POWER(Upgrades!$P$13,E142)*POWER(Upgrades!$P$14,F142)*POWER(Upgrades!$P$15,G142)*POWER(Upgrades!$P$16,H142)*POWER(Upgrades!$P$17,I142)*POWER(Upgrades!$P$18,J142)*POWER(Upgrades!$P$19,K142)*POWER(Upgrades!$P$20,L142)*POWER(Upgrades!$P$21,M142))*(IF(Upgrades!$T$13="Brown Dwarf",POWER(Upgrades!$U$13,E142),1)*IF(Upgrades!$T$14="Brown Dwarf",POWER(Upgrades!$U$14,F142),1)*IF(Upgrades!$T$15="Brown Dwarf",POWER(Upgrades!$U$15,G142),1)*IF(Upgrades!$T$16="Brown Dwarf",POWER(Upgrades!$U$16,H142),1)*IF(Upgrades!$T$18="Brown Dwarf",POWER(Upgrades!$U$18,J142),1)*IF(Upgrades!$T$19="Brown Dwarf",POWER(Upgrades!$U$19,K142),1)*IF(Upgrades!$T$20="Brown Dwarf",POWER(Upgrades!$U$20,L142),1)*IF(Upgrades!$T$21="Brown Dwarf",POWER(Upgrades!$U$21,M142),1))*$F$6+(((IF(H142=0,0,(Upgrades!$M$16+H142*Upgrades!$N$16)*POWER(Upgrades!$O$16,H142)))*(IF(Upgrades!$T$13="Roche Lobe Overflow",POWER(Upgrades!$U$13,E142),1)*IF(Upgrades!$T$14="Roche Lobe Overflow",POWER(Upgrades!$U$14,F142),1)*IF(Upgrades!$T$15="Roche Lobe Overflow",POWER(Upgrades!$U$15,G142),1)*IF(Upgrades!$T$17="Roche Lobe Overflow",POWER(Upgrades!$U$17,I142),1)*IF(Upgrades!$T$18="Roche Lobe Overflow",POWER(Upgrades!$U$18,J142),1)*IF(Upgrades!$T$19="Roche Lobe Overflow",POWER(Upgrades!$U$19,K142),1)*IF(Upgrades!$T$20="Roche Lobe Overflow",POWER(Upgrades!$U$20,L142),1)*IF(Upgrades!$T$21="Roche Lobe Overflow",POWER(Upgrades!$U$21,M142),1))*POWER(Upgrades!$R$13,E142)*POWER(Upgrades!$R$14,F142)*POWER(Upgrades!$R$15,G142)*POWER(Upgrades!$R$16,H142)*POWER(Upgrades!$R$17,I142)*POWER(Upgrades!$R$18,J142)*POWER(Upgrades!$R$19,K142)*POWER(Upgrades!$R$20,L142)*POWER(Upgrades!$R$21,M142)*$H$6)*O142)*0.10)/AO142,0)</f>
        <v/>
      </c>
      <c r="BD142" s="32">
        <f>MAX(IF(J142&gt;0,0,IFERROR(0.5*((IF(G142=0,0,(Upgrades!$J$15+G142*Upgrades!$K$15)*POWER(Upgrades!$L$15,G142)))*(IF(Upgrades!$T$13="Microlensing",POWER(Upgrades!$U$13,E142),1)*IF(Upgrades!$T$14="Microlensing",POWER(Upgrades!$U$14,F142),1)*IF(Upgrades!$T$16="Microlensing",POWER(Upgrades!$U$16,H142),1)*IF(Upgrades!$T$17="Microlensing",POWER(Upgrades!$U$17,I142),1)*IF(Upgrades!$T$18="Microlensing",POWER(Upgrades!$U$18,J142),1)*IF(Upgrades!$T$19="Microlensing",POWER(Upgrades!$U$19,K142),1)*IF(Upgrades!$T$20="Microlensing",POWER(Upgrades!$U$20,L142),1)*IF(Upgrades!$T$21="Microlensing",POWER(Upgrades!$U$21,M142),1))*(POWER(Upgrades!$Q$13,E142)*POWER(Upgrades!$Q$14,F142)*POWER(Upgrades!$Q$15,G142)*POWER(Upgrades!$Q$16,H142)*POWER(Upgrades!$Q$17,I142)*POWER(Upgrades!$Q$18,J142)*POWER(Upgrades!$Q$19,K142)*POWER(Upgrades!$Q$20,L142)*POWER(Upgrades!$Q$21,M142))*$G$6*(Parameters!$B$10/60*Parameters!$B$11+Q142))/Upgrades!$C$18,0)),IF(K142&gt;0,0,IFERROR(0.30*P142/Upgrades!$C$19,0)),IF(L142&gt;0,0,IFERROR(0.0001/Upgrades!$C$20,0)),IF(M142&gt;0,0,IFERROR((6.0*(POWER(Upgrades!$P$13,E142)*POWER(Upgrades!$P$14,F142)*POWER(Upgrades!$P$15,G142)*POWER(Upgrades!$P$16,H142)*POWER(Upgrades!$P$17,I142)*POWER(Upgrades!$P$18,J142)*POWER(Upgrades!$P$19,K142)*POWER(Upgrades!$P$20,L142)*POWER(Upgrades!$P$21,M142))*$F$6+0.20*O142*(Parameters!$B$10/60*Parameters!$B$11+Q142))/Upgrades!$C$21,0)),IF(AND(ISNUMBER(AK142),AK142&gt;(C142+T142)),AY142,0),IF(AND(ISNUMBER(AL142),AL142&gt;(C142+T142)),AZ142,0),IF(AND(ISNUMBER(AM142),AM142&gt;(C142+T142)),BA142,0),IF(AND(ISNUMBER(AN142),AN142&gt;(C142+T142)),BB142,0),IF(AND(ISNUMBER(AO142),AO142&gt;(C142+T142)),BC142,0))</f>
        <v/>
      </c>
      <c r="BE142" s="29">
        <f>IF(AT142=1,"transition",IF(MIN(IF(AND(J142=0,ISNUMBER(AP142),AP142&lt;=(C142+T142)),AP142,9E15),IF(AND(K142=0,ISNUMBER(AQ142),AQ142&lt;=(C142+T142)),AQ142,9E15),IF(AND(L142=0,ISNUMBER(AR142),AR142&lt;=(C142+T142)),AR142,9E15),IF(AND(M142=0,ISNUMBER(AS142),AS142&lt;=(C142+T142)),AS142,9E15))&lt;9E15,IF(AND(AND(J142=0,ISNUMBER(AP142),AP142&lt;=(C142+T142)),AP142=MIN(IF(AND(J142=0,ISNUMBER(AP142),AP142&lt;=(C142+T142)),AP142,9E15),IF(AND(K142=0,ISNUMBER(AQ142),AQ142&lt;=(C142+T142)),AQ142,9E15),IF(AND(L142=0,ISNUMBER(AR142),AR142&lt;=(C142+T142)),AR142,9E15),IF(AND(M142=0,ISNUMBER(AS142),AS142&lt;=(C142+T142)),AS142,9E15))),"BiP",IF(AND(AND(K142=0,ISNUMBER(AQ142),AQ142&lt;=(C142+T142)),AQ142=MIN(IF(AND(J142=0,ISNUMBER(AP142),AP142&lt;=(C142+T142)),AP142,9E15),IF(AND(K142=0,ISNUMBER(AQ142),AQ142&lt;=(C142+T142)),AQ142,9E15),IF(AND(L142=0,ISNUMBER(AR142),AR142&lt;=(C142+T142)),AR142,9E15),IF(AND(M142=0,ISNUMBER(AS142),AS142&lt;=(C142+T142)),AS142,9E15))),"PV",IF(AND(AND(L142=0,ISNUMBER(AR142),AR142&lt;=(C142+T142)),AR142=MIN(IF(AND(J142=0,ISNUMBER(AP142),AP142&lt;=(C142+T142)),AP142,9E15),IF(AND(K142=0,ISNUMBER(AQ142),AQ142&lt;=(C142+T142)),AQ142,9E15),IF(AND(L142=0,ISNUMBER(AR142),AR142&lt;=(C142+T142)),AR142,9E15),IF(AND(M142=0,ISNUMBER(AS142),AS142&lt;=(C142+T142)),AS142,9E15))),"OC","MG"))),IF(AX142=TRUE,"",IF(MAX(IF(AND(NOT(AND(AU142=1,AT142&lt;&gt;1)),ISNUMBER(AK142),AK142&lt;=(C142+T142)),AY142,0),IF(AND(NOT(AND(AU142=1,AT142&lt;&gt;1)),ISNUMBER(AL142),AL142&lt;=(C142+T142)),AZ142,0),IF(AND(NOT(AND(AU142=1,AT142&lt;&gt;1)),ISNUMBER(AM142),AM142&lt;=(C142+T142)),BA142,0),IF(AND(NOT(AND(AU142=1,AT142&lt;&gt;1)),ISNUMBER(AN142),AN142&lt;=(C142+T142)),BB142,0),IF(AND(ISNUMBER(AO142),AO142&lt;=(C142+T142)),BC142,0))&lt;=0,"",IF(AND(IF(AND(NOT(AND(AU142=1,AT142&lt;&gt;1)),ISNUMBER(AK142),AK142&lt;=(C142+T142)),AY142,0)&gt;0,IF(AND(NOT(AND(AU142=1,AT142&lt;&gt;1)),ISNUMBER(AK142),AK142&lt;=(C142+T142)),AY142,0)=MAX(IF(AND(NOT(AND(AU142=1,AT142&lt;&gt;1)),ISNUMBER(AK142),AK142&lt;=(C142+T142)),AY142,0),IF(AND(NOT(AND(AU142=1,AT142&lt;&gt;1)),ISNUMBER(AL142),AL142&lt;=(C142+T142)),AZ142,0),IF(AND(NOT(AND(AU142=1,AT142&lt;&gt;1)),ISNUMBER(AM142),AM142&lt;=(C142+T142)),BA142,0),IF(AND(NOT(AND(AU142=1,AT142&lt;&gt;1)),ISNUMBER(AN142),AN142&lt;=(C142+T142)),BB142,0),IF(AND(ISNUMBER(AO142),AO142&lt;=(C142+T142)),BC142,0))),"SK",IF(AND(IF(AND(NOT(AND(AU142=1,AT142&lt;&gt;1)),ISNUMBER(AL142),AL142&lt;=(C142+T142)),AZ142,0)&gt;0,IF(AND(NOT(AND(AU142=1,AT142&lt;&gt;1)),ISNUMBER(AL142),AL142&lt;=(C142+T142)),AZ142,0)=MAX(IF(AND(NOT(AND(AU142=1,AT142&lt;&gt;1)),ISNUMBER(AK142),AK142&lt;=(C142+T142)),AY142,0),IF(AND(NOT(AND(AU142=1,AT142&lt;&gt;1)),ISNUMBER(AL142),AL142&lt;=(C142+T142)),AZ142,0),IF(AND(NOT(AND(AU142=1,AT142&lt;&gt;1)),ISNUMBER(AM142),AM142&lt;=(C142+T142)),BA142,0),IF(AND(NOT(AND(AU142=1,AT142&lt;&gt;1)),ISNUMBER(AN142),AN142&lt;=(C142+T142)),BB142,0),IF(AND(ISNUMBER(AO142),AO142&lt;=(C142+T142)),BC142,0))),"LB",IF(AND(IF(AND(NOT(AND(AU142=1,AT142&lt;&gt;1)),ISNUMBER(AM142),AM142&lt;=(C142+T142)),BA142,0)&gt;0,IF(AND(NOT(AND(AU142=1,AT142&lt;&gt;1)),ISNUMBER(AM142),AM142&lt;=(C142+T142)),BA142,0)=MAX(IF(AND(NOT(AND(AU142=1,AT142&lt;&gt;1)),ISNUMBER(AK142),AK142&lt;=(C142+T142)),AY142,0),IF(AND(NOT(AND(AU142=1,AT142&lt;&gt;1)),ISNUMBER(AL142),AL142&lt;=(C142+T142)),AZ142,0),IF(AND(NOT(AND(AU142=1,AT142&lt;&gt;1)),ISNUMBER(AM142),AM142&lt;=(C142+T142)),BA142,0),IF(AND(NOT(AND(AU142=1,AT142&lt;&gt;1)),ISNUMBER(AN142),AN142&lt;=(C142+T142)),BB142,0),IF(AND(ISNUMBER(AO142),AO142&lt;=(C142+T142)),BC142,0))),"ML",IF(AND(IF(AND(NOT(AND(AU142=1,AT142&lt;&gt;1)),ISNUMBER(AN142),AN142&lt;=(C142+T142)),BB142,0)&gt;0,IF(AND(NOT(AND(AU142=1,AT142&lt;&gt;1)),ISNUMBER(AN142),AN142&lt;=(C142+T142)),BB142,0)=MAX(IF(AND(NOT(AND(AU142=1,AT142&lt;&gt;1)),ISNUMBER(AK142),AK142&lt;=(C142+T142)),AY142,0),IF(AND(NOT(AND(AU142=1,AT142&lt;&gt;1)),ISNUMBER(AL142),AL142&lt;=(C142+T142)),AZ142,0),IF(AND(NOT(AND(AU142=1,AT142&lt;&gt;1)),ISNUMBER(AM142),AM142&lt;=(C142+T142)),BA142,0),IF(AND(NOT(AND(AU142=1,AT142&lt;&gt;1)),ISNUMBER(AN142),AN142&lt;=(C142+T142)),BB142,0),IF(AND(ISNUMBER(AO142),AO142&lt;=(C142+T142)),BC142,0))),"RLO","BD"))))))))</f>
        <v/>
      </c>
    </row>
    <row r="143">
      <c r="A143" s="26" t="n">
        <v>132</v>
      </c>
      <c r="B143" s="27">
        <f>A143*10/60</f>
        <v/>
      </c>
      <c r="C143" s="22">
        <f>X142</f>
        <v/>
      </c>
      <c r="D143" s="27">
        <f>D142+W142</f>
        <v/>
      </c>
      <c r="E143" s="26">
        <f>E142+IF(U142="SK",1,0)</f>
        <v/>
      </c>
      <c r="F143" s="26">
        <f>F142+IF(U142="LB",1,0)</f>
        <v/>
      </c>
      <c r="G143" s="26">
        <f>G142+IF(U142="ML",1,0)</f>
        <v/>
      </c>
      <c r="H143" s="26">
        <f>H142+IF(U142="RLO",1,0)</f>
        <v/>
      </c>
      <c r="I143" s="26">
        <f>I142+IF(U142="BD",1,0)</f>
        <v/>
      </c>
      <c r="J143" s="26">
        <f>MAX(J142,IF(U142="BiP",1,0))</f>
        <v/>
      </c>
      <c r="K143" s="26">
        <f>MAX(K142,IF(U142="PV",1,0))</f>
        <v/>
      </c>
      <c r="L143" s="26">
        <f>MAX(L142,IF(U142="OC",1,0))</f>
        <v/>
      </c>
      <c r="M143" s="26">
        <f>MAX(M142,IF(U142="MG",1,0))</f>
        <v/>
      </c>
      <c r="N143" s="26">
        <f>MAX(N142,IF(U142="transition",1,0))</f>
        <v/>
      </c>
      <c r="O143" s="28">
        <f>(Parameters!$B$9+(IF(E143=0,0,(Upgrades!$J$13+E143*Upgrades!$K$13)*POWER(Upgrades!$L$13,E143)))*(IF(Upgrades!$T$14="Stellar Kinematics",POWER(Upgrades!$U$14,F143),1)*IF(Upgrades!$T$15="Stellar Kinematics",POWER(Upgrades!$U$15,G143),1)*IF(Upgrades!$T$16="Stellar Kinematics",POWER(Upgrades!$U$16,H143),1)*IF(Upgrades!$T$17="Stellar Kinematics",POWER(Upgrades!$U$17,I143),1)*IF(Upgrades!$T$18="Stellar Kinematics",POWER(Upgrades!$U$18,J143),1)*IF(Upgrades!$T$19="Stellar Kinematics",POWER(Upgrades!$U$19,K143),1)*IF(Upgrades!$T$20="Stellar Kinematics",POWER(Upgrades!$U$20,L143),1)*IF(Upgrades!$T$21="Stellar Kinematics",POWER(Upgrades!$U$21,M143),1))+(IF(F143=0,0,(Upgrades!$J$14+F143*Upgrades!$K$14)*POWER(Upgrades!$L$14,F143)))*(IF(Upgrades!$T$13="Local Bubble",POWER(Upgrades!$U$13,E143),1)*IF(Upgrades!$T$15="Local Bubble",POWER(Upgrades!$U$15,G143),1)*IF(Upgrades!$T$16="Local Bubble",POWER(Upgrades!$U$16,H143),1)*IF(Upgrades!$T$17="Local Bubble",POWER(Upgrades!$U$17,I143),1)*IF(Upgrades!$T$18="Local Bubble",POWER(Upgrades!$U$18,J143),1)*IF(Upgrades!$T$19="Local Bubble",POWER(Upgrades!$U$19,K143),1)*IF(Upgrades!$T$20="Local Bubble",POWER(Upgrades!$U$20,L143),1)*IF(Upgrades!$T$21="Local Bubble",POWER(Upgrades!$U$21,M143),1))+(IF(G143=0,0,(Upgrades!$J$15+G143*Upgrades!$K$15)*POWER(Upgrades!$L$15,G143)))*(IF(Upgrades!$T$13="Microlensing",POWER(Upgrades!$U$13,E143),1)*IF(Upgrades!$T$14="Microlensing",POWER(Upgrades!$U$14,F143),1)*IF(Upgrades!$T$16="Microlensing",POWER(Upgrades!$U$16,H143),1)*IF(Upgrades!$T$17="Microlensing",POWER(Upgrades!$U$17,I143),1)*IF(Upgrades!$T$18="Microlensing",POWER(Upgrades!$U$18,J143),1)*IF(Upgrades!$T$19="Microlensing",POWER(Upgrades!$U$19,K143),1)*IF(Upgrades!$T$20="Microlensing",POWER(Upgrades!$U$20,L143),1)*IF(Upgrades!$T$21="Microlensing",POWER(Upgrades!$U$21,M143),1))+(IF(H143=0,0,(Upgrades!$J$16+H143*Upgrades!$K$16)*POWER(Upgrades!$L$16,H143)))*(IF(Upgrades!$T$13="Roche Lobe Overflow",POWER(Upgrades!$U$13,E143),1)*IF(Upgrades!$T$14="Roche Lobe Overflow",POWER(Upgrades!$U$14,F143),1)*IF(Upgrades!$T$15="Roche Lobe Overflow",POWER(Upgrades!$U$15,G143),1)*IF(Upgrades!$T$17="Roche Lobe Overflow",POWER(Upgrades!$U$17,I143),1)*IF(Upgrades!$T$18="Roche Lobe Overflow",POWER(Upgrades!$U$18,J143),1)*IF(Upgrades!$T$19="Roche Lobe Overflow",POWER(Upgrades!$U$19,K143),1)*IF(Upgrades!$T$20="Roche Lobe Overflow",POWER(Upgrades!$U$20,L143),1)*IF(Upgrades!$T$21="Roche Lobe Overflow",POWER(Upgrades!$U$21,M143),1))+(IF(I143=0,0,(Upgrades!$J$17+I143*Upgrades!$K$17)*POWER(Upgrades!$L$17,I143)))*(IF(Upgrades!$T$13="Brown Dwarf",POWER(Upgrades!$U$13,E143),1)*IF(Upgrades!$T$14="Brown Dwarf",POWER(Upgrades!$U$14,F143),1)*IF(Upgrades!$T$15="Brown Dwarf",POWER(Upgrades!$U$15,G143),1)*IF(Upgrades!$T$16="Brown Dwarf",POWER(Upgrades!$U$16,H143),1)*IF(Upgrades!$T$18="Brown Dwarf",POWER(Upgrades!$U$18,J143),1)*IF(Upgrades!$T$19="Brown Dwarf",POWER(Upgrades!$U$19,K143),1)*IF(Upgrades!$T$20="Brown Dwarf",POWER(Upgrades!$U$20,L143),1)*IF(Upgrades!$T$21="Brown Dwarf",POWER(Upgrades!$U$21,M143),1))+(IF(J143=0,0,(Upgrades!$J$18+J143*Upgrades!$K$18)*POWER(Upgrades!$L$18,J143)))*(IF(Upgrades!$T$13="Binary Partner",POWER(Upgrades!$U$13,E143),1)*IF(Upgrades!$T$14="Binary Partner",POWER(Upgrades!$U$14,F143),1)*IF(Upgrades!$T$15="Binary Partner",POWER(Upgrades!$U$15,G143),1)*IF(Upgrades!$T$16="Binary Partner",POWER(Upgrades!$U$16,H143),1)*IF(Upgrades!$T$17="Binary Partner",POWER(Upgrades!$U$17,I143),1)*IF(Upgrades!$T$19="Binary Partner",POWER(Upgrades!$U$19,K143),1)*IF(Upgrades!$T$20="Binary Partner",POWER(Upgrades!$U$20,L143),1)*IF(Upgrades!$T$21="Binary Partner",POWER(Upgrades!$U$21,M143),1))+(IF(K143=0,0,(Upgrades!$J$19+K143*Upgrades!$K$19)*POWER(Upgrades!$L$19,K143)))*(IF(Upgrades!$T$13="Peculiar Velocity",POWER(Upgrades!$U$13,E143),1)*IF(Upgrades!$T$14="Peculiar Velocity",POWER(Upgrades!$U$14,F143),1)*IF(Upgrades!$T$15="Peculiar Velocity",POWER(Upgrades!$U$15,G143),1)*IF(Upgrades!$T$16="Peculiar Velocity",POWER(Upgrades!$U$16,H143),1)*IF(Upgrades!$T$17="Peculiar Velocity",POWER(Upgrades!$U$17,I143),1)*IF(Upgrades!$T$18="Peculiar Velocity",POWER(Upgrades!$U$18,J143),1)*IF(Upgrades!$T$20="Peculiar Velocity",POWER(Upgrades!$U$20,L143),1)*IF(Upgrades!$T$21="Peculiar Velocity",POWER(Upgrades!$U$21,M143),1))+(IF(L143=0,0,(Upgrades!$J$20+L143*Upgrades!$K$20)*POWER(Upgrades!$L$20,L143)))*(IF(Upgrades!$T$13="Open Cluster",POWER(Upgrades!$U$13,E143),1)*IF(Upgrades!$T$14="Open Cluster",POWER(Upgrades!$U$14,F143),1)*IF(Upgrades!$T$15="Open Cluster",POWER(Upgrades!$U$15,G143),1)*IF(Upgrades!$T$16="Open Cluster",POWER(Upgrades!$U$16,H143),1)*IF(Upgrades!$T$17="Open Cluster",POWER(Upgrades!$U$17,I143),1)*IF(Upgrades!$T$18="Open Cluster",POWER(Upgrades!$U$18,J143),1)*IF(Upgrades!$T$19="Open Cluster",POWER(Upgrades!$U$19,K143),1)*IF(Upgrades!$T$21="Open Cluster",POWER(Upgrades!$U$21,M143),1))+(IF(M143=0,0,(Upgrades!$J$21+M143*Upgrades!$K$21)*POWER(Upgrades!$L$21,M143)))*(IF(Upgrades!$T$13="Moving Group",POWER(Upgrades!$U$13,E143),1)*IF(Upgrades!$T$14="Moving Group",POWER(Upgrades!$U$14,F143),1)*IF(Upgrades!$T$15="Moving Group",POWER(Upgrades!$U$15,G143),1)*IF(Upgrades!$T$16="Moving Group",POWER(Upgrades!$U$16,H143),1)*IF(Upgrades!$T$17="Moving Group",POWER(Upgrades!$U$17,I143),1)*IF(Upgrades!$T$18="Moving Group",POWER(Upgrades!$U$18,J143),1)*IF(Upgrades!$T$19="Moving Group",POWER(Upgrades!$U$19,K143),1)*IF(Upgrades!$T$20="Moving Group",POWER(Upgrades!$U$20,L143),1)))*POWER(Upgrades!$Q$13,E143)*POWER(Upgrades!$Q$14,F143)*POWER(Upgrades!$Q$15,G143)*POWER(Upgrades!$Q$16,H143)*POWER(Upgrades!$Q$17,I143)*POWER(Upgrades!$Q$18,J143)*POWER(Upgrades!$Q$19,K143)*POWER(Upgrades!$Q$20,L143)*POWER(Upgrades!$Q$21,M143)*$G$6+$D$6</f>
        <v/>
      </c>
      <c r="P143" s="28">
        <f>((IF(E143=0,0,(Upgrades!$G$13+E143*Upgrades!$H$13)*POWER(Upgrades!$I$13,E143)))*(IF(Upgrades!$T$14="Stellar Kinematics",POWER(Upgrades!$U$14,F143),1)*IF(Upgrades!$T$15="Stellar Kinematics",POWER(Upgrades!$U$15,G143),1)*IF(Upgrades!$T$16="Stellar Kinematics",POWER(Upgrades!$U$16,H143),1)*IF(Upgrades!$T$17="Stellar Kinematics",POWER(Upgrades!$U$17,I143),1)*IF(Upgrades!$T$18="Stellar Kinematics",POWER(Upgrades!$U$18,J143),1)*IF(Upgrades!$T$19="Stellar Kinematics",POWER(Upgrades!$U$19,K143),1)*IF(Upgrades!$T$20="Stellar Kinematics",POWER(Upgrades!$U$20,L143),1)*IF(Upgrades!$T$21="Stellar Kinematics",POWER(Upgrades!$U$21,M143),1))+(IF(F143=0,0,(Upgrades!$G$14+F143*Upgrades!$H$14)*POWER(Upgrades!$I$14,F143)))*(IF(Upgrades!$T$13="Local Bubble",POWER(Upgrades!$U$13,E143),1)*IF(Upgrades!$T$15="Local Bubble",POWER(Upgrades!$U$15,G143),1)*IF(Upgrades!$T$16="Local Bubble",POWER(Upgrades!$U$16,H143),1)*IF(Upgrades!$T$17="Local Bubble",POWER(Upgrades!$U$17,I143),1)*IF(Upgrades!$T$18="Local Bubble",POWER(Upgrades!$U$18,J143),1)*IF(Upgrades!$T$19="Local Bubble",POWER(Upgrades!$U$19,K143),1)*IF(Upgrades!$T$20="Local Bubble",POWER(Upgrades!$U$20,L143),1)*IF(Upgrades!$T$21="Local Bubble",POWER(Upgrades!$U$21,M143),1))+(IF(G143=0,0,(Upgrades!$G$15+G143*Upgrades!$H$15)*POWER(Upgrades!$I$15,G143)))*(IF(Upgrades!$T$13="Microlensing",POWER(Upgrades!$U$13,E143),1)*IF(Upgrades!$T$14="Microlensing",POWER(Upgrades!$U$14,F143),1)*IF(Upgrades!$T$16="Microlensing",POWER(Upgrades!$U$16,H143),1)*IF(Upgrades!$T$17="Microlensing",POWER(Upgrades!$U$17,I143),1)*IF(Upgrades!$T$18="Microlensing",POWER(Upgrades!$U$18,J143),1)*IF(Upgrades!$T$19="Microlensing",POWER(Upgrades!$U$19,K143),1)*IF(Upgrades!$T$20="Microlensing",POWER(Upgrades!$U$20,L143),1)*IF(Upgrades!$T$21="Microlensing",POWER(Upgrades!$U$21,M143),1))+(IF(H143=0,0,(Upgrades!$G$16+H143*Upgrades!$H$16)*POWER(Upgrades!$I$16,H143)))*(IF(Upgrades!$T$13="Roche Lobe Overflow",POWER(Upgrades!$U$13,E143),1)*IF(Upgrades!$T$14="Roche Lobe Overflow",POWER(Upgrades!$U$14,F143),1)*IF(Upgrades!$T$15="Roche Lobe Overflow",POWER(Upgrades!$U$15,G143),1)*IF(Upgrades!$T$17="Roche Lobe Overflow",POWER(Upgrades!$U$17,I143),1)*IF(Upgrades!$T$18="Roche Lobe Overflow",POWER(Upgrades!$U$18,J143),1)*IF(Upgrades!$T$19="Roche Lobe Overflow",POWER(Upgrades!$U$19,K143),1)*IF(Upgrades!$T$20="Roche Lobe Overflow",POWER(Upgrades!$U$20,L143),1)*IF(Upgrades!$T$21="Roche Lobe Overflow",POWER(Upgrades!$U$21,M143),1))+(IF(I143=0,0,(Upgrades!$G$17+I143*Upgrades!$H$17)*POWER(Upgrades!$I$17,I143)))*(IF(Upgrades!$T$13="Brown Dwarf",POWER(Upgrades!$U$13,E143),1)*IF(Upgrades!$T$14="Brown Dwarf",POWER(Upgrades!$U$14,F143),1)*IF(Upgrades!$T$15="Brown Dwarf",POWER(Upgrades!$U$15,G143),1)*IF(Upgrades!$T$16="Brown Dwarf",POWER(Upgrades!$U$16,H143),1)*IF(Upgrades!$T$18="Brown Dwarf",POWER(Upgrades!$U$18,J143),1)*IF(Upgrades!$T$19="Brown Dwarf",POWER(Upgrades!$U$19,K143),1)*IF(Upgrades!$T$20="Brown Dwarf",POWER(Upgrades!$U$20,L143),1)*IF(Upgrades!$T$21="Brown Dwarf",POWER(Upgrades!$U$21,M143),1))+(IF(J143=0,0,(Upgrades!$G$18+J143*Upgrades!$H$18)*POWER(Upgrades!$I$18,J143)))*(IF(Upgrades!$T$13="Binary Partner",POWER(Upgrades!$U$13,E143),1)*IF(Upgrades!$T$14="Binary Partner",POWER(Upgrades!$U$14,F143),1)*IF(Upgrades!$T$15="Binary Partner",POWER(Upgrades!$U$15,G143),1)*IF(Upgrades!$T$16="Binary Partner",POWER(Upgrades!$U$16,H143),1)*IF(Upgrades!$T$17="Binary Partner",POWER(Upgrades!$U$17,I143),1)*IF(Upgrades!$T$19="Binary Partner",POWER(Upgrades!$U$19,K143),1)*IF(Upgrades!$T$20="Binary Partner",POWER(Upgrades!$U$20,L143),1)*IF(Upgrades!$T$21="Binary Partner",POWER(Upgrades!$U$21,M143),1))+(IF(K143=0,0,(Upgrades!$G$19+K143*Upgrades!$H$19)*POWER(Upgrades!$I$19,K143)))*(IF(Upgrades!$T$13="Peculiar Velocity",POWER(Upgrades!$U$13,E143),1)*IF(Upgrades!$T$14="Peculiar Velocity",POWER(Upgrades!$U$14,F143),1)*IF(Upgrades!$T$15="Peculiar Velocity",POWER(Upgrades!$U$15,G143),1)*IF(Upgrades!$T$16="Peculiar Velocity",POWER(Upgrades!$U$16,H143),1)*IF(Upgrades!$T$17="Peculiar Velocity",POWER(Upgrades!$U$17,I143),1)*IF(Upgrades!$T$18="Peculiar Velocity",POWER(Upgrades!$U$18,J143),1)*IF(Upgrades!$T$20="Peculiar Velocity",POWER(Upgrades!$U$20,L143),1)*IF(Upgrades!$T$21="Peculiar Velocity",POWER(Upgrades!$U$21,M143),1))+(IF(L143=0,0,(Upgrades!$G$20+L143*Upgrades!$H$20)*POWER(Upgrades!$I$20,L143)))*(IF(Upgrades!$T$13="Open Cluster",POWER(Upgrades!$U$13,E143),1)*IF(Upgrades!$T$14="Open Cluster",POWER(Upgrades!$U$14,F143),1)*IF(Upgrades!$T$15="Open Cluster",POWER(Upgrades!$U$15,G143),1)*IF(Upgrades!$T$16="Open Cluster",POWER(Upgrades!$U$16,H143),1)*IF(Upgrades!$T$17="Open Cluster",POWER(Upgrades!$U$17,I143),1)*IF(Upgrades!$T$18="Open Cluster",POWER(Upgrades!$U$18,J143),1)*IF(Upgrades!$T$19="Open Cluster",POWER(Upgrades!$U$19,K143),1)*IF(Upgrades!$T$21="Open Cluster",POWER(Upgrades!$U$21,M143),1))+(IF(M143=0,0,(Upgrades!$G$21+M143*Upgrades!$H$21)*POWER(Upgrades!$I$21,M143)))*(IF(Upgrades!$T$13="Moving Group",POWER(Upgrades!$U$13,E143),1)*IF(Upgrades!$T$14="Moving Group",POWER(Upgrades!$U$14,F143),1)*IF(Upgrades!$T$15="Moving Group",POWER(Upgrades!$U$15,G143),1)*IF(Upgrades!$T$16="Moving Group",POWER(Upgrades!$U$16,H143),1)*IF(Upgrades!$T$17="Moving Group",POWER(Upgrades!$U$17,I143),1)*IF(Upgrades!$T$18="Moving Group",POWER(Upgrades!$U$18,J143),1)*IF(Upgrades!$T$19="Moving Group",POWER(Upgrades!$U$19,K143),1)*IF(Upgrades!$T$20="Moving Group",POWER(Upgrades!$U$20,L143),1)))*POWER(Upgrades!$P$13,E143)*POWER(Upgrades!$P$14,F143)*POWER(Upgrades!$P$15,G143)*POWER(Upgrades!$P$16,H143)*POWER(Upgrades!$P$17,I143)*POWER(Upgrades!$P$18,J143)*POWER(Upgrades!$P$19,K143)*POWER(Upgrades!$P$20,L143)*POWER(Upgrades!$P$21,M143)*$F$6+$C$6</f>
        <v/>
      </c>
      <c r="Q143" s="28">
        <f>((IF(E143=0,0,(Upgrades!$M$13+E143*Upgrades!$N$13)*POWER(Upgrades!$O$13,E143)))*(IF(Upgrades!$T$14="Stellar Kinematics",POWER(Upgrades!$U$14,F143),1)*IF(Upgrades!$T$15="Stellar Kinematics",POWER(Upgrades!$U$15,G143),1)*IF(Upgrades!$T$16="Stellar Kinematics",POWER(Upgrades!$U$16,H143),1)*IF(Upgrades!$T$17="Stellar Kinematics",POWER(Upgrades!$U$17,I143),1)*IF(Upgrades!$T$18="Stellar Kinematics",POWER(Upgrades!$U$18,J143),1)*IF(Upgrades!$T$19="Stellar Kinematics",POWER(Upgrades!$U$19,K143),1)*IF(Upgrades!$T$20="Stellar Kinematics",POWER(Upgrades!$U$20,L143),1)*IF(Upgrades!$T$21="Stellar Kinematics",POWER(Upgrades!$U$21,M143),1))+(IF(F143=0,0,(Upgrades!$M$14+F143*Upgrades!$N$14)*POWER(Upgrades!$O$14,F143)))*(IF(Upgrades!$T$13="Local Bubble",POWER(Upgrades!$U$13,E143),1)*IF(Upgrades!$T$15="Local Bubble",POWER(Upgrades!$U$15,G143),1)*IF(Upgrades!$T$16="Local Bubble",POWER(Upgrades!$U$16,H143),1)*IF(Upgrades!$T$17="Local Bubble",POWER(Upgrades!$U$17,I143),1)*IF(Upgrades!$T$18="Local Bubble",POWER(Upgrades!$U$18,J143),1)*IF(Upgrades!$T$19="Local Bubble",POWER(Upgrades!$U$19,K143),1)*IF(Upgrades!$T$20="Local Bubble",POWER(Upgrades!$U$20,L143),1)*IF(Upgrades!$T$21="Local Bubble",POWER(Upgrades!$U$21,M143),1))+(IF(G143=0,0,(Upgrades!$M$15+G143*Upgrades!$N$15)*POWER(Upgrades!$O$15,G143)))*(IF(Upgrades!$T$13="Microlensing",POWER(Upgrades!$U$13,E143),1)*IF(Upgrades!$T$14="Microlensing",POWER(Upgrades!$U$14,F143),1)*IF(Upgrades!$T$16="Microlensing",POWER(Upgrades!$U$16,H143),1)*IF(Upgrades!$T$17="Microlensing",POWER(Upgrades!$U$17,I143),1)*IF(Upgrades!$T$18="Microlensing",POWER(Upgrades!$U$18,J143),1)*IF(Upgrades!$T$19="Microlensing",POWER(Upgrades!$U$19,K143),1)*IF(Upgrades!$T$20="Microlensing",POWER(Upgrades!$U$20,L143),1)*IF(Upgrades!$T$21="Microlensing",POWER(Upgrades!$U$21,M143),1))+(IF(H143=0,0,(Upgrades!$M$16+H143*Upgrades!$N$16)*POWER(Upgrades!$O$16,H143)))*(IF(Upgrades!$T$13="Roche Lobe Overflow",POWER(Upgrades!$U$13,E143),1)*IF(Upgrades!$T$14="Roche Lobe Overflow",POWER(Upgrades!$U$14,F143),1)*IF(Upgrades!$T$15="Roche Lobe Overflow",POWER(Upgrades!$U$15,G143),1)*IF(Upgrades!$T$17="Roche Lobe Overflow",POWER(Upgrades!$U$17,I143),1)*IF(Upgrades!$T$18="Roche Lobe Overflow",POWER(Upgrades!$U$18,J143),1)*IF(Upgrades!$T$19="Roche Lobe Overflow",POWER(Upgrades!$U$19,K143),1)*IF(Upgrades!$T$20="Roche Lobe Overflow",POWER(Upgrades!$U$20,L143),1)*IF(Upgrades!$T$21="Roche Lobe Overflow",POWER(Upgrades!$U$21,M143),1))+(IF(I143=0,0,(Upgrades!$M$17+I143*Upgrades!$N$17)*POWER(Upgrades!$O$17,I143)))*(IF(Upgrades!$T$13="Brown Dwarf",POWER(Upgrades!$U$13,E143),1)*IF(Upgrades!$T$14="Brown Dwarf",POWER(Upgrades!$U$14,F143),1)*IF(Upgrades!$T$15="Brown Dwarf",POWER(Upgrades!$U$15,G143),1)*IF(Upgrades!$T$16="Brown Dwarf",POWER(Upgrades!$U$16,H143),1)*IF(Upgrades!$T$18="Brown Dwarf",POWER(Upgrades!$U$18,J143),1)*IF(Upgrades!$T$19="Brown Dwarf",POWER(Upgrades!$U$19,K143),1)*IF(Upgrades!$T$20="Brown Dwarf",POWER(Upgrades!$U$20,L143),1)*IF(Upgrades!$T$21="Brown Dwarf",POWER(Upgrades!$U$21,M143),1))+(IF(J143=0,0,(Upgrades!$M$18+J143*Upgrades!$N$18)*POWER(Upgrades!$O$18,J143)))*(IF(Upgrades!$T$13="Binary Partner",POWER(Upgrades!$U$13,E143),1)*IF(Upgrades!$T$14="Binary Partner",POWER(Upgrades!$U$14,F143),1)*IF(Upgrades!$T$15="Binary Partner",POWER(Upgrades!$U$15,G143),1)*IF(Upgrades!$T$16="Binary Partner",POWER(Upgrades!$U$16,H143),1)*IF(Upgrades!$T$17="Binary Partner",POWER(Upgrades!$U$17,I143),1)*IF(Upgrades!$T$19="Binary Partner",POWER(Upgrades!$U$19,K143),1)*IF(Upgrades!$T$20="Binary Partner",POWER(Upgrades!$U$20,L143),1)*IF(Upgrades!$T$21="Binary Partner",POWER(Upgrades!$U$21,M143),1))+(IF(K143=0,0,(Upgrades!$M$19+K143*Upgrades!$N$19)*POWER(Upgrades!$O$19,K143)))*(IF(Upgrades!$T$13="Peculiar Velocity",POWER(Upgrades!$U$13,E143),1)*IF(Upgrades!$T$14="Peculiar Velocity",POWER(Upgrades!$U$14,F143),1)*IF(Upgrades!$T$15="Peculiar Velocity",POWER(Upgrades!$U$15,G143),1)*IF(Upgrades!$T$16="Peculiar Velocity",POWER(Upgrades!$U$16,H143),1)*IF(Upgrades!$T$17="Peculiar Velocity",POWER(Upgrades!$U$17,I143),1)*IF(Upgrades!$T$18="Peculiar Velocity",POWER(Upgrades!$U$18,J143),1)*IF(Upgrades!$T$20="Peculiar Velocity",POWER(Upgrades!$U$20,L143),1)*IF(Upgrades!$T$21="Peculiar Velocity",POWER(Upgrades!$U$21,M143),1))+(IF(L143=0,0,(Upgrades!$M$20+L143*Upgrades!$N$20)*POWER(Upgrades!$O$20,L143)))*(IF(Upgrades!$T$13="Open Cluster",POWER(Upgrades!$U$13,E143),1)*IF(Upgrades!$T$14="Open Cluster",POWER(Upgrades!$U$14,F143),1)*IF(Upgrades!$T$15="Open Cluster",POWER(Upgrades!$U$15,G143),1)*IF(Upgrades!$T$16="Open Cluster",POWER(Upgrades!$U$16,H143),1)*IF(Upgrades!$T$17="Open Cluster",POWER(Upgrades!$U$17,I143),1)*IF(Upgrades!$T$18="Open Cluster",POWER(Upgrades!$U$18,J143),1)*IF(Upgrades!$T$19="Open Cluster",POWER(Upgrades!$U$19,K143),1)*IF(Upgrades!$T$21="Open Cluster",POWER(Upgrades!$U$21,M143),1))+(IF(M143=0,0,(Upgrades!$M$21+M143*Upgrades!$N$21)*POWER(Upgrades!$O$21,M143)))*(IF(Upgrades!$T$13="Moving Group",POWER(Upgrades!$U$13,E143),1)*IF(Upgrades!$T$14="Moving Group",POWER(Upgrades!$U$14,F143),1)*IF(Upgrades!$T$15="Moving Group",POWER(Upgrades!$U$15,G143),1)*IF(Upgrades!$T$16="Moving Group",POWER(Upgrades!$U$16,H143),1)*IF(Upgrades!$T$17="Moving Group",POWER(Upgrades!$U$17,I143),1)*IF(Upgrades!$T$18="Moving Group",POWER(Upgrades!$U$18,J143),1)*IF(Upgrades!$T$19="Moving Group",POWER(Upgrades!$U$19,K143),1)*IF(Upgrades!$T$20="Moving Group",POWER(Upgrades!$U$20,L143),1)))*POWER(Upgrades!$R$13,E143)*POWER(Upgrades!$R$14,F143)*POWER(Upgrades!$R$15,G143)*POWER(Upgrades!$R$16,H143)*POWER(Upgrades!$R$17,I143)*POWER(Upgrades!$R$18,J143)*POWER(Upgrades!$R$19,K143)*POWER(Upgrades!$R$20,L143)*POWER(Upgrades!$R$21,M143)*$H$6+$E$6</f>
        <v/>
      </c>
      <c r="R143" s="27">
        <f>IF(N143=1,0,O143*Parameters!$B$10/60*Parameters!$B$11*10)</f>
        <v/>
      </c>
      <c r="S143" s="27">
        <f>IF(N143=1,0,Q143*O143*10)</f>
        <v/>
      </c>
      <c r="T143" s="27">
        <f>IF(N143=1,0,R143+S143+P143*10)</f>
        <v/>
      </c>
      <c r="U143" s="33">
        <f>BE143</f>
        <v/>
      </c>
      <c r="V143" s="22">
        <f>IF(U143="",0,IF(U143="transition",0,IF(U143="SK",AK143,IF(U143="LB",AL143,IF(U143="ML",AM143,IF(U143="RLO",AN143,IF(U143="BD",AO143,IF(U143="BiP",AP143,IF(U143="PV",AQ143,IF(U143="OC",AR143,IF(U143="MG",AS143,0))))))))))</f>
        <v/>
      </c>
      <c r="W143" s="27">
        <f>IF(U143="BiP",Upgrades!$F$18,IF(U143="PV",Upgrades!$F$19,IF(U143="OC",Upgrades!$F$20,IF(U143="MG",Upgrades!$F$21,IF(U143="transition",-Parameters!$B$18*Parameters!$B$19,0)))))</f>
        <v/>
      </c>
      <c r="X143" s="22">
        <f>C143+T143-V143</f>
        <v/>
      </c>
      <c r="Y143" s="30">
        <f>O143*Parameters!$B$10/60*Parameters!$B$11+Q143*O143+P143</f>
        <v/>
      </c>
      <c r="Z143" s="34">
        <f>IF(U143="transition","→ Tier 3 (Galactic Arm)",IF(U143="MG","Moving Group — pocket drifts together",IF(U143="OC","Open Cluster acquired",IF(U143="PV","Peculiar Velocity — passive multiplier active",IF(U143="BiP","Binary Partner — pair bond formed",IF(AND(AU143=1,N143=0,AT143&lt;&gt;1),"Cohesion ready (waiting on completionists)","")))))) </f>
        <v/>
      </c>
      <c r="AA143" s="27">
        <f>(IF(E143=0,0,(Upgrades!$G$13+E143*Upgrades!$H$13)*POWER(Upgrades!$I$13,E143)))*(IF(Upgrades!$T$14="Stellar Kinematics",POWER(Upgrades!$U$14,F143),1)*IF(Upgrades!$T$15="Stellar Kinematics",POWER(Upgrades!$U$15,G143),1)*IF(Upgrades!$T$16="Stellar Kinematics",POWER(Upgrades!$U$16,H143),1)*IF(Upgrades!$T$17="Stellar Kinematics",POWER(Upgrades!$U$17,I143),1)*IF(Upgrades!$T$18="Stellar Kinematics",POWER(Upgrades!$U$18,J143),1)*IF(Upgrades!$T$19="Stellar Kinematics",POWER(Upgrades!$U$19,K143),1)*IF(Upgrades!$T$20="Stellar Kinematics",POWER(Upgrades!$U$20,L143),1)*IF(Upgrades!$T$21="Stellar Kinematics",POWER(Upgrades!$U$21,M143),1))*POWER(Upgrades!$P$13,E143)*POWER(Upgrades!$P$14,F143)*POWER(Upgrades!$P$15,G143)*POWER(Upgrades!$P$16,H143)*POWER(Upgrades!$P$17,I143)*POWER(Upgrades!$P$18,J143)*POWER(Upgrades!$P$19,K143)*POWER(Upgrades!$P$20,L143)*POWER(Upgrades!$P$21,M143)*$F$6*60</f>
        <v/>
      </c>
      <c r="AB143" s="27">
        <f>(IF(F143=0,0,(Upgrades!$G$14+F143*Upgrades!$H$14)*POWER(Upgrades!$I$14,F143)))*(IF(Upgrades!$T$13="Local Bubble",POWER(Upgrades!$U$13,E143),1)*IF(Upgrades!$T$15="Local Bubble",POWER(Upgrades!$U$15,G143),1)*IF(Upgrades!$T$16="Local Bubble",POWER(Upgrades!$U$16,H143),1)*IF(Upgrades!$T$17="Local Bubble",POWER(Upgrades!$U$17,I143),1)*IF(Upgrades!$T$18="Local Bubble",POWER(Upgrades!$U$18,J143),1)*IF(Upgrades!$T$19="Local Bubble",POWER(Upgrades!$U$19,K143),1)*IF(Upgrades!$T$20="Local Bubble",POWER(Upgrades!$U$20,L143),1)*IF(Upgrades!$T$21="Local Bubble",POWER(Upgrades!$U$21,M143),1))*POWER(Upgrades!$P$13,E143)*POWER(Upgrades!$P$14,F143)*POWER(Upgrades!$P$15,G143)*POWER(Upgrades!$P$16,H143)*POWER(Upgrades!$P$17,I143)*POWER(Upgrades!$P$18,J143)*POWER(Upgrades!$P$19,K143)*POWER(Upgrades!$P$20,L143)*POWER(Upgrades!$P$21,M143)*$F$6*60</f>
        <v/>
      </c>
      <c r="AC143" s="27">
        <f>(IF(G143=0,0,(Upgrades!$J$15+G143*Upgrades!$K$15)*POWER(Upgrades!$L$15,G143)))*(IF(Upgrades!$T$13="Microlensing",POWER(Upgrades!$U$13,E143),1)*IF(Upgrades!$T$14="Microlensing",POWER(Upgrades!$U$14,F143),1)*IF(Upgrades!$T$16="Microlensing",POWER(Upgrades!$U$16,H143),1)*IF(Upgrades!$T$17="Microlensing",POWER(Upgrades!$U$17,I143),1)*IF(Upgrades!$T$18="Microlensing",POWER(Upgrades!$U$18,J143),1)*IF(Upgrades!$T$19="Microlensing",POWER(Upgrades!$U$19,K143),1)*IF(Upgrades!$T$20="Microlensing",POWER(Upgrades!$U$20,L143),1)*IF(Upgrades!$T$21="Microlensing",POWER(Upgrades!$U$21,M143),1))*POWER(Upgrades!$Q$13,E143)*POWER(Upgrades!$Q$14,F143)*POWER(Upgrades!$Q$15,G143)*POWER(Upgrades!$Q$16,H143)*POWER(Upgrades!$Q$17,I143)*POWER(Upgrades!$Q$18,J143)*POWER(Upgrades!$Q$19,K143)*POWER(Upgrades!$Q$20,L143)*POWER(Upgrades!$Q$21,M143)*$G$6*(Parameters!$B$10*Parameters!$B$11+Q143*60)</f>
        <v/>
      </c>
      <c r="AD143" s="27">
        <f>(IF(H143=0,0,(Upgrades!$M$16+H143*Upgrades!$N$16)*POWER(Upgrades!$O$16,H143)))*(IF(Upgrades!$T$13="Roche Lobe Overflow",POWER(Upgrades!$U$13,E143),1)*IF(Upgrades!$T$14="Roche Lobe Overflow",POWER(Upgrades!$U$14,F143),1)*IF(Upgrades!$T$15="Roche Lobe Overflow",POWER(Upgrades!$U$15,G143),1)*IF(Upgrades!$T$17="Roche Lobe Overflow",POWER(Upgrades!$U$17,I143),1)*IF(Upgrades!$T$18="Roche Lobe Overflow",POWER(Upgrades!$U$18,J143),1)*IF(Upgrades!$T$19="Roche Lobe Overflow",POWER(Upgrades!$U$19,K143),1)*IF(Upgrades!$T$20="Roche Lobe Overflow",POWER(Upgrades!$U$20,L143),1)*IF(Upgrades!$T$21="Roche Lobe Overflow",POWER(Upgrades!$U$21,M143),1))*POWER(Upgrades!$R$13,E143)*POWER(Upgrades!$R$14,F143)*POWER(Upgrades!$R$15,G143)*POWER(Upgrades!$R$16,H143)*POWER(Upgrades!$R$17,I143)*POWER(Upgrades!$R$18,J143)*POWER(Upgrades!$R$19,K143)*POWER(Upgrades!$R$20,L143)*POWER(Upgrades!$R$21,M143)*$H$6*O143*60</f>
        <v/>
      </c>
      <c r="AE143" s="27">
        <f>(IF(I143=0,0,(Upgrades!$G$17+I143*Upgrades!$H$17)*POWER(Upgrades!$I$17,I143)))*(IF(Upgrades!$T$13="Brown Dwarf",POWER(Upgrades!$U$13,E143),1)*IF(Upgrades!$T$14="Brown Dwarf",POWER(Upgrades!$U$14,F143),1)*IF(Upgrades!$T$15="Brown Dwarf",POWER(Upgrades!$U$15,G143),1)*IF(Upgrades!$T$16="Brown Dwarf",POWER(Upgrades!$U$16,H143),1)*IF(Upgrades!$T$18="Brown Dwarf",POWER(Upgrades!$U$18,J143),1)*IF(Upgrades!$T$19="Brown Dwarf",POWER(Upgrades!$U$19,K143),1)*IF(Upgrades!$T$20="Brown Dwarf",POWER(Upgrades!$U$20,L143),1)*IF(Upgrades!$T$21="Brown Dwarf",POWER(Upgrades!$U$21,M143),1))*POWER(Upgrades!$P$13,E143)*POWER(Upgrades!$P$14,F143)*POWER(Upgrades!$P$15,G143)*POWER(Upgrades!$P$16,H143)*POWER(Upgrades!$P$17,I143)*POWER(Upgrades!$P$18,J143)*POWER(Upgrades!$P$19,K143)*POWER(Upgrades!$P$20,L143)*POWER(Upgrades!$P$21,M143)*$F$6*60</f>
        <v/>
      </c>
      <c r="AF143" s="27" t="n">
        <v>0</v>
      </c>
      <c r="AG143" s="27" t="n">
        <v>0</v>
      </c>
      <c r="AH143" s="27" t="n">
        <v>0</v>
      </c>
      <c r="AI143" s="27">
        <f>(IF(M143=0,0,(Upgrades!$G$21+M143*Upgrades!$H$21)*POWER(Upgrades!$I$21,M143)))*(IF(Upgrades!$T$13="Moving Group",POWER(Upgrades!$U$13,E143),1)*IF(Upgrades!$T$14="Moving Group",POWER(Upgrades!$U$14,F143),1)*IF(Upgrades!$T$15="Moving Group",POWER(Upgrades!$U$15,G143),1)*IF(Upgrades!$T$16="Moving Group",POWER(Upgrades!$U$16,H143),1)*IF(Upgrades!$T$17="Moving Group",POWER(Upgrades!$U$17,I143),1)*IF(Upgrades!$T$18="Moving Group",POWER(Upgrades!$U$18,J143),1)*IF(Upgrades!$T$19="Moving Group",POWER(Upgrades!$U$19,K143),1)*IF(Upgrades!$T$20="Moving Group",POWER(Upgrades!$U$20,L143),1))*POWER(Upgrades!$P$13,E143)*POWER(Upgrades!$P$14,F143)*POWER(Upgrades!$P$15,G143)*POWER(Upgrades!$P$16,H143)*POWER(Upgrades!$P$17,I143)*POWER(Upgrades!$P$18,J143)*POWER(Upgrades!$P$19,K143)*POWER(Upgrades!$P$20,L143)*POWER(Upgrades!$P$21,M143)*$F$6*60</f>
        <v/>
      </c>
      <c r="AJ143" s="27">
        <f>$C$6*60</f>
        <v/>
      </c>
      <c r="AK143" s="22">
        <f>IF(E143&gt;=Upgrades!$E$13,"",Upgrades!$C$13*POWER(Upgrades!$D$13,E143))</f>
        <v/>
      </c>
      <c r="AL143" s="22">
        <f>IF(F143&gt;=Upgrades!$E$14,"",Upgrades!$C$14*POWER(Upgrades!$D$14,F143))</f>
        <v/>
      </c>
      <c r="AM143" s="22">
        <f>IF(G143&gt;=Upgrades!$E$15,"",Upgrades!$C$15*POWER(Upgrades!$D$15,G143))</f>
        <v/>
      </c>
      <c r="AN143" s="22">
        <f>IF(H143&gt;=Upgrades!$E$16,"",Upgrades!$C$16*POWER(Upgrades!$D$16,H143))</f>
        <v/>
      </c>
      <c r="AO143" s="22">
        <f>IF(I143&gt;=Upgrades!$E$17,"",Upgrades!$C$17*POWER(Upgrades!$D$17,I143))</f>
        <v/>
      </c>
      <c r="AP143" s="22">
        <f>IF(J143&gt;=Upgrades!$E$18,"",Upgrades!$C$18*POWER(Upgrades!$D$18,J143))</f>
        <v/>
      </c>
      <c r="AQ143" s="22">
        <f>IF(K143&gt;=Upgrades!$E$19,"",Upgrades!$C$19*POWER(Upgrades!$D$19,K143))</f>
        <v/>
      </c>
      <c r="AR143" s="22">
        <f>IF(L143&gt;=Upgrades!$E$20,"",Upgrades!$C$20*POWER(Upgrades!$D$20,L143))</f>
        <v/>
      </c>
      <c r="AS143" s="22">
        <f>IF(M143&gt;=Upgrades!$E$21,"",Upgrades!$C$21*POWER(Upgrades!$D$21,M143))</f>
        <v/>
      </c>
      <c r="AT143" s="26">
        <f>IF(AND(D143&gt;=Parameters!$B$18*Parameters!$B$19,(I143&gt;=Upgrades!$E$17)*(M143&gt;=Upgrades!$E$21)=1,N143=0),1,"")</f>
        <v/>
      </c>
      <c r="AU143" s="26">
        <f>IF(AND(D143&gt;=Parameters!$B$18*Parameters!$B$19,N143=0),1,"")</f>
        <v/>
      </c>
      <c r="AV143" s="22">
        <f>MIN(IF(ISNUMBER(AP143),AP143,9E15),IF(ISNUMBER(AQ143),AQ143,9E15),IF(ISNUMBER(AR143),AR143,9E15),IF(ISNUMBER(AS143),AS143,9E15))</f>
        <v/>
      </c>
      <c r="AW143" s="22">
        <f>MIN(IF(ISNUMBER(AK143),AK143,9E15),IF(ISNUMBER(AL143),AL143,9E15),IF(ISNUMBER(AM143),AM143,9E15),IF(ISNUMBER(AN143),AN143,9E15),IF(ISNUMBER(AO143),AO143,9E15))</f>
        <v/>
      </c>
      <c r="AX143" s="29">
        <f>IF(BD143&gt;Parameters!$B$21*(MAX(IF(AND(NOT(AND(AU143=1,AT143&lt;&gt;1)),ISNUMBER(AK143),AK143&lt;=(C143+T143)),AY143,0),IF(AND(NOT(AND(AU143=1,AT143&lt;&gt;1)),ISNUMBER(AL143),AL143&lt;=(C143+T143)),AZ143,0),IF(AND(NOT(AND(AU143=1,AT143&lt;&gt;1)),ISNUMBER(AM143),AM143&lt;=(C143+T143)),BA143,0),IF(AND(NOT(AND(AU143=1,AT143&lt;&gt;1)),ISNUMBER(AN143),AN143&lt;=(C143+T143)),BB143,0),IF(AND(ISNUMBER(AO143),AO143&lt;=(C143+T143)),BC143,0))),TRUE,FALSE)</f>
        <v/>
      </c>
      <c r="AY143" s="32">
        <f>IFERROR(Upgrades!$H$13*(POWER(Upgrades!$P$13,E143)*POWER(Upgrades!$P$14,F143)*POWER(Upgrades!$P$15,G143)*POWER(Upgrades!$P$16,H143)*POWER(Upgrades!$P$17,I143)*POWER(Upgrades!$P$18,J143)*POWER(Upgrades!$P$19,K143)*POWER(Upgrades!$P$20,L143)*POWER(Upgrades!$P$21,M143))*(IF(Upgrades!$T$14="Stellar Kinematics",POWER(Upgrades!$U$14,F143),1)*IF(Upgrades!$T$15="Stellar Kinematics",POWER(Upgrades!$U$15,G143),1)*IF(Upgrades!$T$16="Stellar Kinematics",POWER(Upgrades!$U$16,H143),1)*IF(Upgrades!$T$17="Stellar Kinematics",POWER(Upgrades!$U$17,I143),1)*IF(Upgrades!$T$18="Stellar Kinematics",POWER(Upgrades!$U$18,J143),1)*IF(Upgrades!$T$19="Stellar Kinematics",POWER(Upgrades!$U$19,K143),1)*IF(Upgrades!$T$20="Stellar Kinematics",POWER(Upgrades!$U$20,L143),1)*IF(Upgrades!$T$21="Stellar Kinematics",POWER(Upgrades!$U$21,M143),1))*$F$6/AK143,0)</f>
        <v/>
      </c>
      <c r="AZ143" s="32">
        <f>IFERROR(Upgrades!$H$14*(POWER(Upgrades!$P$13,E143)*POWER(Upgrades!$P$14,F143)*POWER(Upgrades!$P$15,G143)*POWER(Upgrades!$P$16,H143)*POWER(Upgrades!$P$17,I143)*POWER(Upgrades!$P$18,J143)*POWER(Upgrades!$P$19,K143)*POWER(Upgrades!$P$20,L143)*POWER(Upgrades!$P$21,M143))*(IF(Upgrades!$T$13="Local Bubble",POWER(Upgrades!$U$13,E143),1)*IF(Upgrades!$T$15="Local Bubble",POWER(Upgrades!$U$15,G143),1)*IF(Upgrades!$T$16="Local Bubble",POWER(Upgrades!$U$16,H143),1)*IF(Upgrades!$T$17="Local Bubble",POWER(Upgrades!$U$17,I143),1)*IF(Upgrades!$T$18="Local Bubble",POWER(Upgrades!$U$18,J143),1)*IF(Upgrades!$T$19="Local Bubble",POWER(Upgrades!$U$19,K143),1)*IF(Upgrades!$T$20="Local Bubble",POWER(Upgrades!$U$20,L143),1)*IF(Upgrades!$T$21="Local Bubble",POWER(Upgrades!$U$21,M143),1))*$F$6/AL143,0)</f>
        <v/>
      </c>
      <c r="BA143" s="32">
        <f>IFERROR(Upgrades!$K$15*(POWER(Upgrades!$Q$13,E143)*POWER(Upgrades!$Q$14,F143)*POWER(Upgrades!$Q$15,G143)*POWER(Upgrades!$Q$16,H143)*POWER(Upgrades!$Q$17,I143)*POWER(Upgrades!$Q$18,J143)*POWER(Upgrades!$Q$19,K143)*POWER(Upgrades!$Q$20,L143)*POWER(Upgrades!$Q$21,M143))*(IF(Upgrades!$T$13="Microlensing",POWER(Upgrades!$U$13,E143),1)*IF(Upgrades!$T$14="Microlensing",POWER(Upgrades!$U$14,F143),1)*IF(Upgrades!$T$16="Microlensing",POWER(Upgrades!$U$16,H143),1)*IF(Upgrades!$T$17="Microlensing",POWER(Upgrades!$U$17,I143),1)*IF(Upgrades!$T$18="Microlensing",POWER(Upgrades!$U$18,J143),1)*IF(Upgrades!$T$19="Microlensing",POWER(Upgrades!$U$19,K143),1)*IF(Upgrades!$T$20="Microlensing",POWER(Upgrades!$U$20,L143),1)*IF(Upgrades!$T$21="Microlensing",POWER(Upgrades!$U$21,M143),1))*$G$6*(Parameters!$B$10/60*Parameters!$B$11+Q143)/AM143,0)</f>
        <v/>
      </c>
      <c r="BB143" s="32">
        <f>IFERROR((Upgrades!$N$16*(POWER(Upgrades!$R$13,E143)*POWER(Upgrades!$R$14,F143)*POWER(Upgrades!$R$15,G143)*POWER(Upgrades!$R$16,H143)*POWER(Upgrades!$R$17,I143)*POWER(Upgrades!$R$18,J143)*POWER(Upgrades!$R$19,K143)*POWER(Upgrades!$R$20,L143)*POWER(Upgrades!$R$21,M143))*(IF(Upgrades!$T$13="Roche Lobe Overflow",POWER(Upgrades!$U$13,E143),1)*IF(Upgrades!$T$14="Roche Lobe Overflow",POWER(Upgrades!$U$14,F143),1)*IF(Upgrades!$T$15="Roche Lobe Overflow",POWER(Upgrades!$U$15,G143),1)*IF(Upgrades!$T$17="Roche Lobe Overflow",POWER(Upgrades!$U$17,I143),1)*IF(Upgrades!$T$18="Roche Lobe Overflow",POWER(Upgrades!$U$18,J143),1)*IF(Upgrades!$T$19="Roche Lobe Overflow",POWER(Upgrades!$U$19,K143),1)*IF(Upgrades!$T$20="Roche Lobe Overflow",POWER(Upgrades!$U$20,L143),1)*IF(Upgrades!$T$21="Roche Lobe Overflow",POWER(Upgrades!$U$21,M143),1))*$H$6*O143+((IF(F143=0,0,(Upgrades!$G$14+F143*Upgrades!$H$14)*POWER(Upgrades!$I$14,F143)))*(IF(Upgrades!$T$13="Local Bubble",POWER(Upgrades!$U$13,E143),1)*IF(Upgrades!$T$15="Local Bubble",POWER(Upgrades!$U$15,G143),1)*IF(Upgrades!$T$16="Local Bubble",POWER(Upgrades!$U$16,H143),1)*IF(Upgrades!$T$17="Local Bubble",POWER(Upgrades!$U$17,I143),1)*IF(Upgrades!$T$18="Local Bubble",POWER(Upgrades!$U$18,J143),1)*IF(Upgrades!$T$19="Local Bubble",POWER(Upgrades!$U$19,K143),1)*IF(Upgrades!$T$20="Local Bubble",POWER(Upgrades!$U$20,L143),1)*IF(Upgrades!$T$21="Local Bubble",POWER(Upgrades!$U$21,M143),1))*POWER(Upgrades!$P$13,E143)*POWER(Upgrades!$P$14,F143)*POWER(Upgrades!$P$15,G143)*POWER(Upgrades!$P$16,H143)*POWER(Upgrades!$P$17,I143)*POWER(Upgrades!$P$18,J143)*POWER(Upgrades!$P$19,K143)*POWER(Upgrades!$P$20,L143)*POWER(Upgrades!$P$21,M143)*$F$6)*0.05)/AN143,0)</f>
        <v/>
      </c>
      <c r="BC143" s="32">
        <f>IFERROR((Upgrades!$H$17*(POWER(Upgrades!$P$13,E143)*POWER(Upgrades!$P$14,F143)*POWER(Upgrades!$P$15,G143)*POWER(Upgrades!$P$16,H143)*POWER(Upgrades!$P$17,I143)*POWER(Upgrades!$P$18,J143)*POWER(Upgrades!$P$19,K143)*POWER(Upgrades!$P$20,L143)*POWER(Upgrades!$P$21,M143))*(IF(Upgrades!$T$13="Brown Dwarf",POWER(Upgrades!$U$13,E143),1)*IF(Upgrades!$T$14="Brown Dwarf",POWER(Upgrades!$U$14,F143),1)*IF(Upgrades!$T$15="Brown Dwarf",POWER(Upgrades!$U$15,G143),1)*IF(Upgrades!$T$16="Brown Dwarf",POWER(Upgrades!$U$16,H143),1)*IF(Upgrades!$T$18="Brown Dwarf",POWER(Upgrades!$U$18,J143),1)*IF(Upgrades!$T$19="Brown Dwarf",POWER(Upgrades!$U$19,K143),1)*IF(Upgrades!$T$20="Brown Dwarf",POWER(Upgrades!$U$20,L143),1)*IF(Upgrades!$T$21="Brown Dwarf",POWER(Upgrades!$U$21,M143),1))*$F$6+(((IF(H143=0,0,(Upgrades!$M$16+H143*Upgrades!$N$16)*POWER(Upgrades!$O$16,H143)))*(IF(Upgrades!$T$13="Roche Lobe Overflow",POWER(Upgrades!$U$13,E143),1)*IF(Upgrades!$T$14="Roche Lobe Overflow",POWER(Upgrades!$U$14,F143),1)*IF(Upgrades!$T$15="Roche Lobe Overflow",POWER(Upgrades!$U$15,G143),1)*IF(Upgrades!$T$17="Roche Lobe Overflow",POWER(Upgrades!$U$17,I143),1)*IF(Upgrades!$T$18="Roche Lobe Overflow",POWER(Upgrades!$U$18,J143),1)*IF(Upgrades!$T$19="Roche Lobe Overflow",POWER(Upgrades!$U$19,K143),1)*IF(Upgrades!$T$20="Roche Lobe Overflow",POWER(Upgrades!$U$20,L143),1)*IF(Upgrades!$T$21="Roche Lobe Overflow",POWER(Upgrades!$U$21,M143),1))*POWER(Upgrades!$R$13,E143)*POWER(Upgrades!$R$14,F143)*POWER(Upgrades!$R$15,G143)*POWER(Upgrades!$R$16,H143)*POWER(Upgrades!$R$17,I143)*POWER(Upgrades!$R$18,J143)*POWER(Upgrades!$R$19,K143)*POWER(Upgrades!$R$20,L143)*POWER(Upgrades!$R$21,M143)*$H$6)*O143)*0.10)/AO143,0)</f>
        <v/>
      </c>
      <c r="BD143" s="32">
        <f>MAX(IF(J143&gt;0,0,IFERROR(0.5*((IF(G143=0,0,(Upgrades!$J$15+G143*Upgrades!$K$15)*POWER(Upgrades!$L$15,G143)))*(IF(Upgrades!$T$13="Microlensing",POWER(Upgrades!$U$13,E143),1)*IF(Upgrades!$T$14="Microlensing",POWER(Upgrades!$U$14,F143),1)*IF(Upgrades!$T$16="Microlensing",POWER(Upgrades!$U$16,H143),1)*IF(Upgrades!$T$17="Microlensing",POWER(Upgrades!$U$17,I143),1)*IF(Upgrades!$T$18="Microlensing",POWER(Upgrades!$U$18,J143),1)*IF(Upgrades!$T$19="Microlensing",POWER(Upgrades!$U$19,K143),1)*IF(Upgrades!$T$20="Microlensing",POWER(Upgrades!$U$20,L143),1)*IF(Upgrades!$T$21="Microlensing",POWER(Upgrades!$U$21,M143),1))*(POWER(Upgrades!$Q$13,E143)*POWER(Upgrades!$Q$14,F143)*POWER(Upgrades!$Q$15,G143)*POWER(Upgrades!$Q$16,H143)*POWER(Upgrades!$Q$17,I143)*POWER(Upgrades!$Q$18,J143)*POWER(Upgrades!$Q$19,K143)*POWER(Upgrades!$Q$20,L143)*POWER(Upgrades!$Q$21,M143))*$G$6*(Parameters!$B$10/60*Parameters!$B$11+Q143))/Upgrades!$C$18,0)),IF(K143&gt;0,0,IFERROR(0.30*P143/Upgrades!$C$19,0)),IF(L143&gt;0,0,IFERROR(0.0001/Upgrades!$C$20,0)),IF(M143&gt;0,0,IFERROR((6.0*(POWER(Upgrades!$P$13,E143)*POWER(Upgrades!$P$14,F143)*POWER(Upgrades!$P$15,G143)*POWER(Upgrades!$P$16,H143)*POWER(Upgrades!$P$17,I143)*POWER(Upgrades!$P$18,J143)*POWER(Upgrades!$P$19,K143)*POWER(Upgrades!$P$20,L143)*POWER(Upgrades!$P$21,M143))*$F$6+0.20*O143*(Parameters!$B$10/60*Parameters!$B$11+Q143))/Upgrades!$C$21,0)),IF(AND(ISNUMBER(AK143),AK143&gt;(C143+T143)),AY143,0),IF(AND(ISNUMBER(AL143),AL143&gt;(C143+T143)),AZ143,0),IF(AND(ISNUMBER(AM143),AM143&gt;(C143+T143)),BA143,0),IF(AND(ISNUMBER(AN143),AN143&gt;(C143+T143)),BB143,0),IF(AND(ISNUMBER(AO143),AO143&gt;(C143+T143)),BC143,0))</f>
        <v/>
      </c>
      <c r="BE143" s="29">
        <f>IF(AT143=1,"transition",IF(MIN(IF(AND(J143=0,ISNUMBER(AP143),AP143&lt;=(C143+T143)),AP143,9E15),IF(AND(K143=0,ISNUMBER(AQ143),AQ143&lt;=(C143+T143)),AQ143,9E15),IF(AND(L143=0,ISNUMBER(AR143),AR143&lt;=(C143+T143)),AR143,9E15),IF(AND(M143=0,ISNUMBER(AS143),AS143&lt;=(C143+T143)),AS143,9E15))&lt;9E15,IF(AND(AND(J143=0,ISNUMBER(AP143),AP143&lt;=(C143+T143)),AP143=MIN(IF(AND(J143=0,ISNUMBER(AP143),AP143&lt;=(C143+T143)),AP143,9E15),IF(AND(K143=0,ISNUMBER(AQ143),AQ143&lt;=(C143+T143)),AQ143,9E15),IF(AND(L143=0,ISNUMBER(AR143),AR143&lt;=(C143+T143)),AR143,9E15),IF(AND(M143=0,ISNUMBER(AS143),AS143&lt;=(C143+T143)),AS143,9E15))),"BiP",IF(AND(AND(K143=0,ISNUMBER(AQ143),AQ143&lt;=(C143+T143)),AQ143=MIN(IF(AND(J143=0,ISNUMBER(AP143),AP143&lt;=(C143+T143)),AP143,9E15),IF(AND(K143=0,ISNUMBER(AQ143),AQ143&lt;=(C143+T143)),AQ143,9E15),IF(AND(L143=0,ISNUMBER(AR143),AR143&lt;=(C143+T143)),AR143,9E15),IF(AND(M143=0,ISNUMBER(AS143),AS143&lt;=(C143+T143)),AS143,9E15))),"PV",IF(AND(AND(L143=0,ISNUMBER(AR143),AR143&lt;=(C143+T143)),AR143=MIN(IF(AND(J143=0,ISNUMBER(AP143),AP143&lt;=(C143+T143)),AP143,9E15),IF(AND(K143=0,ISNUMBER(AQ143),AQ143&lt;=(C143+T143)),AQ143,9E15),IF(AND(L143=0,ISNUMBER(AR143),AR143&lt;=(C143+T143)),AR143,9E15),IF(AND(M143=0,ISNUMBER(AS143),AS143&lt;=(C143+T143)),AS143,9E15))),"OC","MG"))),IF(AX143=TRUE,"",IF(MAX(IF(AND(NOT(AND(AU143=1,AT143&lt;&gt;1)),ISNUMBER(AK143),AK143&lt;=(C143+T143)),AY143,0),IF(AND(NOT(AND(AU143=1,AT143&lt;&gt;1)),ISNUMBER(AL143),AL143&lt;=(C143+T143)),AZ143,0),IF(AND(NOT(AND(AU143=1,AT143&lt;&gt;1)),ISNUMBER(AM143),AM143&lt;=(C143+T143)),BA143,0),IF(AND(NOT(AND(AU143=1,AT143&lt;&gt;1)),ISNUMBER(AN143),AN143&lt;=(C143+T143)),BB143,0),IF(AND(ISNUMBER(AO143),AO143&lt;=(C143+T143)),BC143,0))&lt;=0,"",IF(AND(IF(AND(NOT(AND(AU143=1,AT143&lt;&gt;1)),ISNUMBER(AK143),AK143&lt;=(C143+T143)),AY143,0)&gt;0,IF(AND(NOT(AND(AU143=1,AT143&lt;&gt;1)),ISNUMBER(AK143),AK143&lt;=(C143+T143)),AY143,0)=MAX(IF(AND(NOT(AND(AU143=1,AT143&lt;&gt;1)),ISNUMBER(AK143),AK143&lt;=(C143+T143)),AY143,0),IF(AND(NOT(AND(AU143=1,AT143&lt;&gt;1)),ISNUMBER(AL143),AL143&lt;=(C143+T143)),AZ143,0),IF(AND(NOT(AND(AU143=1,AT143&lt;&gt;1)),ISNUMBER(AM143),AM143&lt;=(C143+T143)),BA143,0),IF(AND(NOT(AND(AU143=1,AT143&lt;&gt;1)),ISNUMBER(AN143),AN143&lt;=(C143+T143)),BB143,0),IF(AND(ISNUMBER(AO143),AO143&lt;=(C143+T143)),BC143,0))),"SK",IF(AND(IF(AND(NOT(AND(AU143=1,AT143&lt;&gt;1)),ISNUMBER(AL143),AL143&lt;=(C143+T143)),AZ143,0)&gt;0,IF(AND(NOT(AND(AU143=1,AT143&lt;&gt;1)),ISNUMBER(AL143),AL143&lt;=(C143+T143)),AZ143,0)=MAX(IF(AND(NOT(AND(AU143=1,AT143&lt;&gt;1)),ISNUMBER(AK143),AK143&lt;=(C143+T143)),AY143,0),IF(AND(NOT(AND(AU143=1,AT143&lt;&gt;1)),ISNUMBER(AL143),AL143&lt;=(C143+T143)),AZ143,0),IF(AND(NOT(AND(AU143=1,AT143&lt;&gt;1)),ISNUMBER(AM143),AM143&lt;=(C143+T143)),BA143,0),IF(AND(NOT(AND(AU143=1,AT143&lt;&gt;1)),ISNUMBER(AN143),AN143&lt;=(C143+T143)),BB143,0),IF(AND(ISNUMBER(AO143),AO143&lt;=(C143+T143)),BC143,0))),"LB",IF(AND(IF(AND(NOT(AND(AU143=1,AT143&lt;&gt;1)),ISNUMBER(AM143),AM143&lt;=(C143+T143)),BA143,0)&gt;0,IF(AND(NOT(AND(AU143=1,AT143&lt;&gt;1)),ISNUMBER(AM143),AM143&lt;=(C143+T143)),BA143,0)=MAX(IF(AND(NOT(AND(AU143=1,AT143&lt;&gt;1)),ISNUMBER(AK143),AK143&lt;=(C143+T143)),AY143,0),IF(AND(NOT(AND(AU143=1,AT143&lt;&gt;1)),ISNUMBER(AL143),AL143&lt;=(C143+T143)),AZ143,0),IF(AND(NOT(AND(AU143=1,AT143&lt;&gt;1)),ISNUMBER(AM143),AM143&lt;=(C143+T143)),BA143,0),IF(AND(NOT(AND(AU143=1,AT143&lt;&gt;1)),ISNUMBER(AN143),AN143&lt;=(C143+T143)),BB143,0),IF(AND(ISNUMBER(AO143),AO143&lt;=(C143+T143)),BC143,0))),"ML",IF(AND(IF(AND(NOT(AND(AU143=1,AT143&lt;&gt;1)),ISNUMBER(AN143),AN143&lt;=(C143+T143)),BB143,0)&gt;0,IF(AND(NOT(AND(AU143=1,AT143&lt;&gt;1)),ISNUMBER(AN143),AN143&lt;=(C143+T143)),BB143,0)=MAX(IF(AND(NOT(AND(AU143=1,AT143&lt;&gt;1)),ISNUMBER(AK143),AK143&lt;=(C143+T143)),AY143,0),IF(AND(NOT(AND(AU143=1,AT143&lt;&gt;1)),ISNUMBER(AL143),AL143&lt;=(C143+T143)),AZ143,0),IF(AND(NOT(AND(AU143=1,AT143&lt;&gt;1)),ISNUMBER(AM143),AM143&lt;=(C143+T143)),BA143,0),IF(AND(NOT(AND(AU143=1,AT143&lt;&gt;1)),ISNUMBER(AN143),AN143&lt;=(C143+T143)),BB143,0),IF(AND(ISNUMBER(AO143),AO143&lt;=(C143+T143)),BC143,0))),"RLO","BD"))))))))</f>
        <v/>
      </c>
    </row>
    <row r="144">
      <c r="A144" s="26" t="n">
        <v>133</v>
      </c>
      <c r="B144" s="27">
        <f>A144*10/60</f>
        <v/>
      </c>
      <c r="C144" s="22">
        <f>X143</f>
        <v/>
      </c>
      <c r="D144" s="27">
        <f>D143+W143</f>
        <v/>
      </c>
      <c r="E144" s="26">
        <f>E143+IF(U143="SK",1,0)</f>
        <v/>
      </c>
      <c r="F144" s="26">
        <f>F143+IF(U143="LB",1,0)</f>
        <v/>
      </c>
      <c r="G144" s="26">
        <f>G143+IF(U143="ML",1,0)</f>
        <v/>
      </c>
      <c r="H144" s="26">
        <f>H143+IF(U143="RLO",1,0)</f>
        <v/>
      </c>
      <c r="I144" s="26">
        <f>I143+IF(U143="BD",1,0)</f>
        <v/>
      </c>
      <c r="J144" s="26">
        <f>MAX(J143,IF(U143="BiP",1,0))</f>
        <v/>
      </c>
      <c r="K144" s="26">
        <f>MAX(K143,IF(U143="PV",1,0))</f>
        <v/>
      </c>
      <c r="L144" s="26">
        <f>MAX(L143,IF(U143="OC",1,0))</f>
        <v/>
      </c>
      <c r="M144" s="26">
        <f>MAX(M143,IF(U143="MG",1,0))</f>
        <v/>
      </c>
      <c r="N144" s="26">
        <f>MAX(N143,IF(U143="transition",1,0))</f>
        <v/>
      </c>
      <c r="O144" s="28">
        <f>(Parameters!$B$9+(IF(E144=0,0,(Upgrades!$J$13+E144*Upgrades!$K$13)*POWER(Upgrades!$L$13,E144)))*(IF(Upgrades!$T$14="Stellar Kinematics",POWER(Upgrades!$U$14,F144),1)*IF(Upgrades!$T$15="Stellar Kinematics",POWER(Upgrades!$U$15,G144),1)*IF(Upgrades!$T$16="Stellar Kinematics",POWER(Upgrades!$U$16,H144),1)*IF(Upgrades!$T$17="Stellar Kinematics",POWER(Upgrades!$U$17,I144),1)*IF(Upgrades!$T$18="Stellar Kinematics",POWER(Upgrades!$U$18,J144),1)*IF(Upgrades!$T$19="Stellar Kinematics",POWER(Upgrades!$U$19,K144),1)*IF(Upgrades!$T$20="Stellar Kinematics",POWER(Upgrades!$U$20,L144),1)*IF(Upgrades!$T$21="Stellar Kinematics",POWER(Upgrades!$U$21,M144),1))+(IF(F144=0,0,(Upgrades!$J$14+F144*Upgrades!$K$14)*POWER(Upgrades!$L$14,F144)))*(IF(Upgrades!$T$13="Local Bubble",POWER(Upgrades!$U$13,E144),1)*IF(Upgrades!$T$15="Local Bubble",POWER(Upgrades!$U$15,G144),1)*IF(Upgrades!$T$16="Local Bubble",POWER(Upgrades!$U$16,H144),1)*IF(Upgrades!$T$17="Local Bubble",POWER(Upgrades!$U$17,I144),1)*IF(Upgrades!$T$18="Local Bubble",POWER(Upgrades!$U$18,J144),1)*IF(Upgrades!$T$19="Local Bubble",POWER(Upgrades!$U$19,K144),1)*IF(Upgrades!$T$20="Local Bubble",POWER(Upgrades!$U$20,L144),1)*IF(Upgrades!$T$21="Local Bubble",POWER(Upgrades!$U$21,M144),1))+(IF(G144=0,0,(Upgrades!$J$15+G144*Upgrades!$K$15)*POWER(Upgrades!$L$15,G144)))*(IF(Upgrades!$T$13="Microlensing",POWER(Upgrades!$U$13,E144),1)*IF(Upgrades!$T$14="Microlensing",POWER(Upgrades!$U$14,F144),1)*IF(Upgrades!$T$16="Microlensing",POWER(Upgrades!$U$16,H144),1)*IF(Upgrades!$T$17="Microlensing",POWER(Upgrades!$U$17,I144),1)*IF(Upgrades!$T$18="Microlensing",POWER(Upgrades!$U$18,J144),1)*IF(Upgrades!$T$19="Microlensing",POWER(Upgrades!$U$19,K144),1)*IF(Upgrades!$T$20="Microlensing",POWER(Upgrades!$U$20,L144),1)*IF(Upgrades!$T$21="Microlensing",POWER(Upgrades!$U$21,M144),1))+(IF(H144=0,0,(Upgrades!$J$16+H144*Upgrades!$K$16)*POWER(Upgrades!$L$16,H144)))*(IF(Upgrades!$T$13="Roche Lobe Overflow",POWER(Upgrades!$U$13,E144),1)*IF(Upgrades!$T$14="Roche Lobe Overflow",POWER(Upgrades!$U$14,F144),1)*IF(Upgrades!$T$15="Roche Lobe Overflow",POWER(Upgrades!$U$15,G144),1)*IF(Upgrades!$T$17="Roche Lobe Overflow",POWER(Upgrades!$U$17,I144),1)*IF(Upgrades!$T$18="Roche Lobe Overflow",POWER(Upgrades!$U$18,J144),1)*IF(Upgrades!$T$19="Roche Lobe Overflow",POWER(Upgrades!$U$19,K144),1)*IF(Upgrades!$T$20="Roche Lobe Overflow",POWER(Upgrades!$U$20,L144),1)*IF(Upgrades!$T$21="Roche Lobe Overflow",POWER(Upgrades!$U$21,M144),1))+(IF(I144=0,0,(Upgrades!$J$17+I144*Upgrades!$K$17)*POWER(Upgrades!$L$17,I144)))*(IF(Upgrades!$T$13="Brown Dwarf",POWER(Upgrades!$U$13,E144),1)*IF(Upgrades!$T$14="Brown Dwarf",POWER(Upgrades!$U$14,F144),1)*IF(Upgrades!$T$15="Brown Dwarf",POWER(Upgrades!$U$15,G144),1)*IF(Upgrades!$T$16="Brown Dwarf",POWER(Upgrades!$U$16,H144),1)*IF(Upgrades!$T$18="Brown Dwarf",POWER(Upgrades!$U$18,J144),1)*IF(Upgrades!$T$19="Brown Dwarf",POWER(Upgrades!$U$19,K144),1)*IF(Upgrades!$T$20="Brown Dwarf",POWER(Upgrades!$U$20,L144),1)*IF(Upgrades!$T$21="Brown Dwarf",POWER(Upgrades!$U$21,M144),1))+(IF(J144=0,0,(Upgrades!$J$18+J144*Upgrades!$K$18)*POWER(Upgrades!$L$18,J144)))*(IF(Upgrades!$T$13="Binary Partner",POWER(Upgrades!$U$13,E144),1)*IF(Upgrades!$T$14="Binary Partner",POWER(Upgrades!$U$14,F144),1)*IF(Upgrades!$T$15="Binary Partner",POWER(Upgrades!$U$15,G144),1)*IF(Upgrades!$T$16="Binary Partner",POWER(Upgrades!$U$16,H144),1)*IF(Upgrades!$T$17="Binary Partner",POWER(Upgrades!$U$17,I144),1)*IF(Upgrades!$T$19="Binary Partner",POWER(Upgrades!$U$19,K144),1)*IF(Upgrades!$T$20="Binary Partner",POWER(Upgrades!$U$20,L144),1)*IF(Upgrades!$T$21="Binary Partner",POWER(Upgrades!$U$21,M144),1))+(IF(K144=0,0,(Upgrades!$J$19+K144*Upgrades!$K$19)*POWER(Upgrades!$L$19,K144)))*(IF(Upgrades!$T$13="Peculiar Velocity",POWER(Upgrades!$U$13,E144),1)*IF(Upgrades!$T$14="Peculiar Velocity",POWER(Upgrades!$U$14,F144),1)*IF(Upgrades!$T$15="Peculiar Velocity",POWER(Upgrades!$U$15,G144),1)*IF(Upgrades!$T$16="Peculiar Velocity",POWER(Upgrades!$U$16,H144),1)*IF(Upgrades!$T$17="Peculiar Velocity",POWER(Upgrades!$U$17,I144),1)*IF(Upgrades!$T$18="Peculiar Velocity",POWER(Upgrades!$U$18,J144),1)*IF(Upgrades!$T$20="Peculiar Velocity",POWER(Upgrades!$U$20,L144),1)*IF(Upgrades!$T$21="Peculiar Velocity",POWER(Upgrades!$U$21,M144),1))+(IF(L144=0,0,(Upgrades!$J$20+L144*Upgrades!$K$20)*POWER(Upgrades!$L$20,L144)))*(IF(Upgrades!$T$13="Open Cluster",POWER(Upgrades!$U$13,E144),1)*IF(Upgrades!$T$14="Open Cluster",POWER(Upgrades!$U$14,F144),1)*IF(Upgrades!$T$15="Open Cluster",POWER(Upgrades!$U$15,G144),1)*IF(Upgrades!$T$16="Open Cluster",POWER(Upgrades!$U$16,H144),1)*IF(Upgrades!$T$17="Open Cluster",POWER(Upgrades!$U$17,I144),1)*IF(Upgrades!$T$18="Open Cluster",POWER(Upgrades!$U$18,J144),1)*IF(Upgrades!$T$19="Open Cluster",POWER(Upgrades!$U$19,K144),1)*IF(Upgrades!$T$21="Open Cluster",POWER(Upgrades!$U$21,M144),1))+(IF(M144=0,0,(Upgrades!$J$21+M144*Upgrades!$K$21)*POWER(Upgrades!$L$21,M144)))*(IF(Upgrades!$T$13="Moving Group",POWER(Upgrades!$U$13,E144),1)*IF(Upgrades!$T$14="Moving Group",POWER(Upgrades!$U$14,F144),1)*IF(Upgrades!$T$15="Moving Group",POWER(Upgrades!$U$15,G144),1)*IF(Upgrades!$T$16="Moving Group",POWER(Upgrades!$U$16,H144),1)*IF(Upgrades!$T$17="Moving Group",POWER(Upgrades!$U$17,I144),1)*IF(Upgrades!$T$18="Moving Group",POWER(Upgrades!$U$18,J144),1)*IF(Upgrades!$T$19="Moving Group",POWER(Upgrades!$U$19,K144),1)*IF(Upgrades!$T$20="Moving Group",POWER(Upgrades!$U$20,L144),1)))*POWER(Upgrades!$Q$13,E144)*POWER(Upgrades!$Q$14,F144)*POWER(Upgrades!$Q$15,G144)*POWER(Upgrades!$Q$16,H144)*POWER(Upgrades!$Q$17,I144)*POWER(Upgrades!$Q$18,J144)*POWER(Upgrades!$Q$19,K144)*POWER(Upgrades!$Q$20,L144)*POWER(Upgrades!$Q$21,M144)*$G$6+$D$6</f>
        <v/>
      </c>
      <c r="P144" s="28">
        <f>((IF(E144=0,0,(Upgrades!$G$13+E144*Upgrades!$H$13)*POWER(Upgrades!$I$13,E144)))*(IF(Upgrades!$T$14="Stellar Kinematics",POWER(Upgrades!$U$14,F144),1)*IF(Upgrades!$T$15="Stellar Kinematics",POWER(Upgrades!$U$15,G144),1)*IF(Upgrades!$T$16="Stellar Kinematics",POWER(Upgrades!$U$16,H144),1)*IF(Upgrades!$T$17="Stellar Kinematics",POWER(Upgrades!$U$17,I144),1)*IF(Upgrades!$T$18="Stellar Kinematics",POWER(Upgrades!$U$18,J144),1)*IF(Upgrades!$T$19="Stellar Kinematics",POWER(Upgrades!$U$19,K144),1)*IF(Upgrades!$T$20="Stellar Kinematics",POWER(Upgrades!$U$20,L144),1)*IF(Upgrades!$T$21="Stellar Kinematics",POWER(Upgrades!$U$21,M144),1))+(IF(F144=0,0,(Upgrades!$G$14+F144*Upgrades!$H$14)*POWER(Upgrades!$I$14,F144)))*(IF(Upgrades!$T$13="Local Bubble",POWER(Upgrades!$U$13,E144),1)*IF(Upgrades!$T$15="Local Bubble",POWER(Upgrades!$U$15,G144),1)*IF(Upgrades!$T$16="Local Bubble",POWER(Upgrades!$U$16,H144),1)*IF(Upgrades!$T$17="Local Bubble",POWER(Upgrades!$U$17,I144),1)*IF(Upgrades!$T$18="Local Bubble",POWER(Upgrades!$U$18,J144),1)*IF(Upgrades!$T$19="Local Bubble",POWER(Upgrades!$U$19,K144),1)*IF(Upgrades!$T$20="Local Bubble",POWER(Upgrades!$U$20,L144),1)*IF(Upgrades!$T$21="Local Bubble",POWER(Upgrades!$U$21,M144),1))+(IF(G144=0,0,(Upgrades!$G$15+G144*Upgrades!$H$15)*POWER(Upgrades!$I$15,G144)))*(IF(Upgrades!$T$13="Microlensing",POWER(Upgrades!$U$13,E144),1)*IF(Upgrades!$T$14="Microlensing",POWER(Upgrades!$U$14,F144),1)*IF(Upgrades!$T$16="Microlensing",POWER(Upgrades!$U$16,H144),1)*IF(Upgrades!$T$17="Microlensing",POWER(Upgrades!$U$17,I144),1)*IF(Upgrades!$T$18="Microlensing",POWER(Upgrades!$U$18,J144),1)*IF(Upgrades!$T$19="Microlensing",POWER(Upgrades!$U$19,K144),1)*IF(Upgrades!$T$20="Microlensing",POWER(Upgrades!$U$20,L144),1)*IF(Upgrades!$T$21="Microlensing",POWER(Upgrades!$U$21,M144),1))+(IF(H144=0,0,(Upgrades!$G$16+H144*Upgrades!$H$16)*POWER(Upgrades!$I$16,H144)))*(IF(Upgrades!$T$13="Roche Lobe Overflow",POWER(Upgrades!$U$13,E144),1)*IF(Upgrades!$T$14="Roche Lobe Overflow",POWER(Upgrades!$U$14,F144),1)*IF(Upgrades!$T$15="Roche Lobe Overflow",POWER(Upgrades!$U$15,G144),1)*IF(Upgrades!$T$17="Roche Lobe Overflow",POWER(Upgrades!$U$17,I144),1)*IF(Upgrades!$T$18="Roche Lobe Overflow",POWER(Upgrades!$U$18,J144),1)*IF(Upgrades!$T$19="Roche Lobe Overflow",POWER(Upgrades!$U$19,K144),1)*IF(Upgrades!$T$20="Roche Lobe Overflow",POWER(Upgrades!$U$20,L144),1)*IF(Upgrades!$T$21="Roche Lobe Overflow",POWER(Upgrades!$U$21,M144),1))+(IF(I144=0,0,(Upgrades!$G$17+I144*Upgrades!$H$17)*POWER(Upgrades!$I$17,I144)))*(IF(Upgrades!$T$13="Brown Dwarf",POWER(Upgrades!$U$13,E144),1)*IF(Upgrades!$T$14="Brown Dwarf",POWER(Upgrades!$U$14,F144),1)*IF(Upgrades!$T$15="Brown Dwarf",POWER(Upgrades!$U$15,G144),1)*IF(Upgrades!$T$16="Brown Dwarf",POWER(Upgrades!$U$16,H144),1)*IF(Upgrades!$T$18="Brown Dwarf",POWER(Upgrades!$U$18,J144),1)*IF(Upgrades!$T$19="Brown Dwarf",POWER(Upgrades!$U$19,K144),1)*IF(Upgrades!$T$20="Brown Dwarf",POWER(Upgrades!$U$20,L144),1)*IF(Upgrades!$T$21="Brown Dwarf",POWER(Upgrades!$U$21,M144),1))+(IF(J144=0,0,(Upgrades!$G$18+J144*Upgrades!$H$18)*POWER(Upgrades!$I$18,J144)))*(IF(Upgrades!$T$13="Binary Partner",POWER(Upgrades!$U$13,E144),1)*IF(Upgrades!$T$14="Binary Partner",POWER(Upgrades!$U$14,F144),1)*IF(Upgrades!$T$15="Binary Partner",POWER(Upgrades!$U$15,G144),1)*IF(Upgrades!$T$16="Binary Partner",POWER(Upgrades!$U$16,H144),1)*IF(Upgrades!$T$17="Binary Partner",POWER(Upgrades!$U$17,I144),1)*IF(Upgrades!$T$19="Binary Partner",POWER(Upgrades!$U$19,K144),1)*IF(Upgrades!$T$20="Binary Partner",POWER(Upgrades!$U$20,L144),1)*IF(Upgrades!$T$21="Binary Partner",POWER(Upgrades!$U$21,M144),1))+(IF(K144=0,0,(Upgrades!$G$19+K144*Upgrades!$H$19)*POWER(Upgrades!$I$19,K144)))*(IF(Upgrades!$T$13="Peculiar Velocity",POWER(Upgrades!$U$13,E144),1)*IF(Upgrades!$T$14="Peculiar Velocity",POWER(Upgrades!$U$14,F144),1)*IF(Upgrades!$T$15="Peculiar Velocity",POWER(Upgrades!$U$15,G144),1)*IF(Upgrades!$T$16="Peculiar Velocity",POWER(Upgrades!$U$16,H144),1)*IF(Upgrades!$T$17="Peculiar Velocity",POWER(Upgrades!$U$17,I144),1)*IF(Upgrades!$T$18="Peculiar Velocity",POWER(Upgrades!$U$18,J144),1)*IF(Upgrades!$T$20="Peculiar Velocity",POWER(Upgrades!$U$20,L144),1)*IF(Upgrades!$T$21="Peculiar Velocity",POWER(Upgrades!$U$21,M144),1))+(IF(L144=0,0,(Upgrades!$G$20+L144*Upgrades!$H$20)*POWER(Upgrades!$I$20,L144)))*(IF(Upgrades!$T$13="Open Cluster",POWER(Upgrades!$U$13,E144),1)*IF(Upgrades!$T$14="Open Cluster",POWER(Upgrades!$U$14,F144),1)*IF(Upgrades!$T$15="Open Cluster",POWER(Upgrades!$U$15,G144),1)*IF(Upgrades!$T$16="Open Cluster",POWER(Upgrades!$U$16,H144),1)*IF(Upgrades!$T$17="Open Cluster",POWER(Upgrades!$U$17,I144),1)*IF(Upgrades!$T$18="Open Cluster",POWER(Upgrades!$U$18,J144),1)*IF(Upgrades!$T$19="Open Cluster",POWER(Upgrades!$U$19,K144),1)*IF(Upgrades!$T$21="Open Cluster",POWER(Upgrades!$U$21,M144),1))+(IF(M144=0,0,(Upgrades!$G$21+M144*Upgrades!$H$21)*POWER(Upgrades!$I$21,M144)))*(IF(Upgrades!$T$13="Moving Group",POWER(Upgrades!$U$13,E144),1)*IF(Upgrades!$T$14="Moving Group",POWER(Upgrades!$U$14,F144),1)*IF(Upgrades!$T$15="Moving Group",POWER(Upgrades!$U$15,G144),1)*IF(Upgrades!$T$16="Moving Group",POWER(Upgrades!$U$16,H144),1)*IF(Upgrades!$T$17="Moving Group",POWER(Upgrades!$U$17,I144),1)*IF(Upgrades!$T$18="Moving Group",POWER(Upgrades!$U$18,J144),1)*IF(Upgrades!$T$19="Moving Group",POWER(Upgrades!$U$19,K144),1)*IF(Upgrades!$T$20="Moving Group",POWER(Upgrades!$U$20,L144),1)))*POWER(Upgrades!$P$13,E144)*POWER(Upgrades!$P$14,F144)*POWER(Upgrades!$P$15,G144)*POWER(Upgrades!$P$16,H144)*POWER(Upgrades!$P$17,I144)*POWER(Upgrades!$P$18,J144)*POWER(Upgrades!$P$19,K144)*POWER(Upgrades!$P$20,L144)*POWER(Upgrades!$P$21,M144)*$F$6+$C$6</f>
        <v/>
      </c>
      <c r="Q144" s="28">
        <f>((IF(E144=0,0,(Upgrades!$M$13+E144*Upgrades!$N$13)*POWER(Upgrades!$O$13,E144)))*(IF(Upgrades!$T$14="Stellar Kinematics",POWER(Upgrades!$U$14,F144),1)*IF(Upgrades!$T$15="Stellar Kinematics",POWER(Upgrades!$U$15,G144),1)*IF(Upgrades!$T$16="Stellar Kinematics",POWER(Upgrades!$U$16,H144),1)*IF(Upgrades!$T$17="Stellar Kinematics",POWER(Upgrades!$U$17,I144),1)*IF(Upgrades!$T$18="Stellar Kinematics",POWER(Upgrades!$U$18,J144),1)*IF(Upgrades!$T$19="Stellar Kinematics",POWER(Upgrades!$U$19,K144),1)*IF(Upgrades!$T$20="Stellar Kinematics",POWER(Upgrades!$U$20,L144),1)*IF(Upgrades!$T$21="Stellar Kinematics",POWER(Upgrades!$U$21,M144),1))+(IF(F144=0,0,(Upgrades!$M$14+F144*Upgrades!$N$14)*POWER(Upgrades!$O$14,F144)))*(IF(Upgrades!$T$13="Local Bubble",POWER(Upgrades!$U$13,E144),1)*IF(Upgrades!$T$15="Local Bubble",POWER(Upgrades!$U$15,G144),1)*IF(Upgrades!$T$16="Local Bubble",POWER(Upgrades!$U$16,H144),1)*IF(Upgrades!$T$17="Local Bubble",POWER(Upgrades!$U$17,I144),1)*IF(Upgrades!$T$18="Local Bubble",POWER(Upgrades!$U$18,J144),1)*IF(Upgrades!$T$19="Local Bubble",POWER(Upgrades!$U$19,K144),1)*IF(Upgrades!$T$20="Local Bubble",POWER(Upgrades!$U$20,L144),1)*IF(Upgrades!$T$21="Local Bubble",POWER(Upgrades!$U$21,M144),1))+(IF(G144=0,0,(Upgrades!$M$15+G144*Upgrades!$N$15)*POWER(Upgrades!$O$15,G144)))*(IF(Upgrades!$T$13="Microlensing",POWER(Upgrades!$U$13,E144),1)*IF(Upgrades!$T$14="Microlensing",POWER(Upgrades!$U$14,F144),1)*IF(Upgrades!$T$16="Microlensing",POWER(Upgrades!$U$16,H144),1)*IF(Upgrades!$T$17="Microlensing",POWER(Upgrades!$U$17,I144),1)*IF(Upgrades!$T$18="Microlensing",POWER(Upgrades!$U$18,J144),1)*IF(Upgrades!$T$19="Microlensing",POWER(Upgrades!$U$19,K144),1)*IF(Upgrades!$T$20="Microlensing",POWER(Upgrades!$U$20,L144),1)*IF(Upgrades!$T$21="Microlensing",POWER(Upgrades!$U$21,M144),1))+(IF(H144=0,0,(Upgrades!$M$16+H144*Upgrades!$N$16)*POWER(Upgrades!$O$16,H144)))*(IF(Upgrades!$T$13="Roche Lobe Overflow",POWER(Upgrades!$U$13,E144),1)*IF(Upgrades!$T$14="Roche Lobe Overflow",POWER(Upgrades!$U$14,F144),1)*IF(Upgrades!$T$15="Roche Lobe Overflow",POWER(Upgrades!$U$15,G144),1)*IF(Upgrades!$T$17="Roche Lobe Overflow",POWER(Upgrades!$U$17,I144),1)*IF(Upgrades!$T$18="Roche Lobe Overflow",POWER(Upgrades!$U$18,J144),1)*IF(Upgrades!$T$19="Roche Lobe Overflow",POWER(Upgrades!$U$19,K144),1)*IF(Upgrades!$T$20="Roche Lobe Overflow",POWER(Upgrades!$U$20,L144),1)*IF(Upgrades!$T$21="Roche Lobe Overflow",POWER(Upgrades!$U$21,M144),1))+(IF(I144=0,0,(Upgrades!$M$17+I144*Upgrades!$N$17)*POWER(Upgrades!$O$17,I144)))*(IF(Upgrades!$T$13="Brown Dwarf",POWER(Upgrades!$U$13,E144),1)*IF(Upgrades!$T$14="Brown Dwarf",POWER(Upgrades!$U$14,F144),1)*IF(Upgrades!$T$15="Brown Dwarf",POWER(Upgrades!$U$15,G144),1)*IF(Upgrades!$T$16="Brown Dwarf",POWER(Upgrades!$U$16,H144),1)*IF(Upgrades!$T$18="Brown Dwarf",POWER(Upgrades!$U$18,J144),1)*IF(Upgrades!$T$19="Brown Dwarf",POWER(Upgrades!$U$19,K144),1)*IF(Upgrades!$T$20="Brown Dwarf",POWER(Upgrades!$U$20,L144),1)*IF(Upgrades!$T$21="Brown Dwarf",POWER(Upgrades!$U$21,M144),1))+(IF(J144=0,0,(Upgrades!$M$18+J144*Upgrades!$N$18)*POWER(Upgrades!$O$18,J144)))*(IF(Upgrades!$T$13="Binary Partner",POWER(Upgrades!$U$13,E144),1)*IF(Upgrades!$T$14="Binary Partner",POWER(Upgrades!$U$14,F144),1)*IF(Upgrades!$T$15="Binary Partner",POWER(Upgrades!$U$15,G144),1)*IF(Upgrades!$T$16="Binary Partner",POWER(Upgrades!$U$16,H144),1)*IF(Upgrades!$T$17="Binary Partner",POWER(Upgrades!$U$17,I144),1)*IF(Upgrades!$T$19="Binary Partner",POWER(Upgrades!$U$19,K144),1)*IF(Upgrades!$T$20="Binary Partner",POWER(Upgrades!$U$20,L144),1)*IF(Upgrades!$T$21="Binary Partner",POWER(Upgrades!$U$21,M144),1))+(IF(K144=0,0,(Upgrades!$M$19+K144*Upgrades!$N$19)*POWER(Upgrades!$O$19,K144)))*(IF(Upgrades!$T$13="Peculiar Velocity",POWER(Upgrades!$U$13,E144),1)*IF(Upgrades!$T$14="Peculiar Velocity",POWER(Upgrades!$U$14,F144),1)*IF(Upgrades!$T$15="Peculiar Velocity",POWER(Upgrades!$U$15,G144),1)*IF(Upgrades!$T$16="Peculiar Velocity",POWER(Upgrades!$U$16,H144),1)*IF(Upgrades!$T$17="Peculiar Velocity",POWER(Upgrades!$U$17,I144),1)*IF(Upgrades!$T$18="Peculiar Velocity",POWER(Upgrades!$U$18,J144),1)*IF(Upgrades!$T$20="Peculiar Velocity",POWER(Upgrades!$U$20,L144),1)*IF(Upgrades!$T$21="Peculiar Velocity",POWER(Upgrades!$U$21,M144),1))+(IF(L144=0,0,(Upgrades!$M$20+L144*Upgrades!$N$20)*POWER(Upgrades!$O$20,L144)))*(IF(Upgrades!$T$13="Open Cluster",POWER(Upgrades!$U$13,E144),1)*IF(Upgrades!$T$14="Open Cluster",POWER(Upgrades!$U$14,F144),1)*IF(Upgrades!$T$15="Open Cluster",POWER(Upgrades!$U$15,G144),1)*IF(Upgrades!$T$16="Open Cluster",POWER(Upgrades!$U$16,H144),1)*IF(Upgrades!$T$17="Open Cluster",POWER(Upgrades!$U$17,I144),1)*IF(Upgrades!$T$18="Open Cluster",POWER(Upgrades!$U$18,J144),1)*IF(Upgrades!$T$19="Open Cluster",POWER(Upgrades!$U$19,K144),1)*IF(Upgrades!$T$21="Open Cluster",POWER(Upgrades!$U$21,M144),1))+(IF(M144=0,0,(Upgrades!$M$21+M144*Upgrades!$N$21)*POWER(Upgrades!$O$21,M144)))*(IF(Upgrades!$T$13="Moving Group",POWER(Upgrades!$U$13,E144),1)*IF(Upgrades!$T$14="Moving Group",POWER(Upgrades!$U$14,F144),1)*IF(Upgrades!$T$15="Moving Group",POWER(Upgrades!$U$15,G144),1)*IF(Upgrades!$T$16="Moving Group",POWER(Upgrades!$U$16,H144),1)*IF(Upgrades!$T$17="Moving Group",POWER(Upgrades!$U$17,I144),1)*IF(Upgrades!$T$18="Moving Group",POWER(Upgrades!$U$18,J144),1)*IF(Upgrades!$T$19="Moving Group",POWER(Upgrades!$U$19,K144),1)*IF(Upgrades!$T$20="Moving Group",POWER(Upgrades!$U$20,L144),1)))*POWER(Upgrades!$R$13,E144)*POWER(Upgrades!$R$14,F144)*POWER(Upgrades!$R$15,G144)*POWER(Upgrades!$R$16,H144)*POWER(Upgrades!$R$17,I144)*POWER(Upgrades!$R$18,J144)*POWER(Upgrades!$R$19,K144)*POWER(Upgrades!$R$20,L144)*POWER(Upgrades!$R$21,M144)*$H$6+$E$6</f>
        <v/>
      </c>
      <c r="R144" s="27">
        <f>IF(N144=1,0,O144*Parameters!$B$10/60*Parameters!$B$11*10)</f>
        <v/>
      </c>
      <c r="S144" s="27">
        <f>IF(N144=1,0,Q144*O144*10)</f>
        <v/>
      </c>
      <c r="T144" s="27">
        <f>IF(N144=1,0,R144+S144+P144*10)</f>
        <v/>
      </c>
      <c r="U144" s="33">
        <f>BE144</f>
        <v/>
      </c>
      <c r="V144" s="22">
        <f>IF(U144="",0,IF(U144="transition",0,IF(U144="SK",AK144,IF(U144="LB",AL144,IF(U144="ML",AM144,IF(U144="RLO",AN144,IF(U144="BD",AO144,IF(U144="BiP",AP144,IF(U144="PV",AQ144,IF(U144="OC",AR144,IF(U144="MG",AS144,0))))))))))</f>
        <v/>
      </c>
      <c r="W144" s="27">
        <f>IF(U144="BiP",Upgrades!$F$18,IF(U144="PV",Upgrades!$F$19,IF(U144="OC",Upgrades!$F$20,IF(U144="MG",Upgrades!$F$21,IF(U144="transition",-Parameters!$B$18*Parameters!$B$19,0)))))</f>
        <v/>
      </c>
      <c r="X144" s="22">
        <f>C144+T144-V144</f>
        <v/>
      </c>
      <c r="Y144" s="30">
        <f>O144*Parameters!$B$10/60*Parameters!$B$11+Q144*O144+P144</f>
        <v/>
      </c>
      <c r="Z144" s="34">
        <f>IF(U144="transition","→ Tier 3 (Galactic Arm)",IF(U144="MG","Moving Group — pocket drifts together",IF(U144="OC","Open Cluster acquired",IF(U144="PV","Peculiar Velocity — passive multiplier active",IF(U144="BiP","Binary Partner — pair bond formed",IF(AND(AU144=1,N144=0,AT144&lt;&gt;1),"Cohesion ready (waiting on completionists)","")))))) </f>
        <v/>
      </c>
      <c r="AA144" s="27">
        <f>(IF(E144=0,0,(Upgrades!$G$13+E144*Upgrades!$H$13)*POWER(Upgrades!$I$13,E144)))*(IF(Upgrades!$T$14="Stellar Kinematics",POWER(Upgrades!$U$14,F144),1)*IF(Upgrades!$T$15="Stellar Kinematics",POWER(Upgrades!$U$15,G144),1)*IF(Upgrades!$T$16="Stellar Kinematics",POWER(Upgrades!$U$16,H144),1)*IF(Upgrades!$T$17="Stellar Kinematics",POWER(Upgrades!$U$17,I144),1)*IF(Upgrades!$T$18="Stellar Kinematics",POWER(Upgrades!$U$18,J144),1)*IF(Upgrades!$T$19="Stellar Kinematics",POWER(Upgrades!$U$19,K144),1)*IF(Upgrades!$T$20="Stellar Kinematics",POWER(Upgrades!$U$20,L144),1)*IF(Upgrades!$T$21="Stellar Kinematics",POWER(Upgrades!$U$21,M144),1))*POWER(Upgrades!$P$13,E144)*POWER(Upgrades!$P$14,F144)*POWER(Upgrades!$P$15,G144)*POWER(Upgrades!$P$16,H144)*POWER(Upgrades!$P$17,I144)*POWER(Upgrades!$P$18,J144)*POWER(Upgrades!$P$19,K144)*POWER(Upgrades!$P$20,L144)*POWER(Upgrades!$P$21,M144)*$F$6*60</f>
        <v/>
      </c>
      <c r="AB144" s="27">
        <f>(IF(F144=0,0,(Upgrades!$G$14+F144*Upgrades!$H$14)*POWER(Upgrades!$I$14,F144)))*(IF(Upgrades!$T$13="Local Bubble",POWER(Upgrades!$U$13,E144),1)*IF(Upgrades!$T$15="Local Bubble",POWER(Upgrades!$U$15,G144),1)*IF(Upgrades!$T$16="Local Bubble",POWER(Upgrades!$U$16,H144),1)*IF(Upgrades!$T$17="Local Bubble",POWER(Upgrades!$U$17,I144),1)*IF(Upgrades!$T$18="Local Bubble",POWER(Upgrades!$U$18,J144),1)*IF(Upgrades!$T$19="Local Bubble",POWER(Upgrades!$U$19,K144),1)*IF(Upgrades!$T$20="Local Bubble",POWER(Upgrades!$U$20,L144),1)*IF(Upgrades!$T$21="Local Bubble",POWER(Upgrades!$U$21,M144),1))*POWER(Upgrades!$P$13,E144)*POWER(Upgrades!$P$14,F144)*POWER(Upgrades!$P$15,G144)*POWER(Upgrades!$P$16,H144)*POWER(Upgrades!$P$17,I144)*POWER(Upgrades!$P$18,J144)*POWER(Upgrades!$P$19,K144)*POWER(Upgrades!$P$20,L144)*POWER(Upgrades!$P$21,M144)*$F$6*60</f>
        <v/>
      </c>
      <c r="AC144" s="27">
        <f>(IF(G144=0,0,(Upgrades!$J$15+G144*Upgrades!$K$15)*POWER(Upgrades!$L$15,G144)))*(IF(Upgrades!$T$13="Microlensing",POWER(Upgrades!$U$13,E144),1)*IF(Upgrades!$T$14="Microlensing",POWER(Upgrades!$U$14,F144),1)*IF(Upgrades!$T$16="Microlensing",POWER(Upgrades!$U$16,H144),1)*IF(Upgrades!$T$17="Microlensing",POWER(Upgrades!$U$17,I144),1)*IF(Upgrades!$T$18="Microlensing",POWER(Upgrades!$U$18,J144),1)*IF(Upgrades!$T$19="Microlensing",POWER(Upgrades!$U$19,K144),1)*IF(Upgrades!$T$20="Microlensing",POWER(Upgrades!$U$20,L144),1)*IF(Upgrades!$T$21="Microlensing",POWER(Upgrades!$U$21,M144),1))*POWER(Upgrades!$Q$13,E144)*POWER(Upgrades!$Q$14,F144)*POWER(Upgrades!$Q$15,G144)*POWER(Upgrades!$Q$16,H144)*POWER(Upgrades!$Q$17,I144)*POWER(Upgrades!$Q$18,J144)*POWER(Upgrades!$Q$19,K144)*POWER(Upgrades!$Q$20,L144)*POWER(Upgrades!$Q$21,M144)*$G$6*(Parameters!$B$10*Parameters!$B$11+Q144*60)</f>
        <v/>
      </c>
      <c r="AD144" s="27">
        <f>(IF(H144=0,0,(Upgrades!$M$16+H144*Upgrades!$N$16)*POWER(Upgrades!$O$16,H144)))*(IF(Upgrades!$T$13="Roche Lobe Overflow",POWER(Upgrades!$U$13,E144),1)*IF(Upgrades!$T$14="Roche Lobe Overflow",POWER(Upgrades!$U$14,F144),1)*IF(Upgrades!$T$15="Roche Lobe Overflow",POWER(Upgrades!$U$15,G144),1)*IF(Upgrades!$T$17="Roche Lobe Overflow",POWER(Upgrades!$U$17,I144),1)*IF(Upgrades!$T$18="Roche Lobe Overflow",POWER(Upgrades!$U$18,J144),1)*IF(Upgrades!$T$19="Roche Lobe Overflow",POWER(Upgrades!$U$19,K144),1)*IF(Upgrades!$T$20="Roche Lobe Overflow",POWER(Upgrades!$U$20,L144),1)*IF(Upgrades!$T$21="Roche Lobe Overflow",POWER(Upgrades!$U$21,M144),1))*POWER(Upgrades!$R$13,E144)*POWER(Upgrades!$R$14,F144)*POWER(Upgrades!$R$15,G144)*POWER(Upgrades!$R$16,H144)*POWER(Upgrades!$R$17,I144)*POWER(Upgrades!$R$18,J144)*POWER(Upgrades!$R$19,K144)*POWER(Upgrades!$R$20,L144)*POWER(Upgrades!$R$21,M144)*$H$6*O144*60</f>
        <v/>
      </c>
      <c r="AE144" s="27">
        <f>(IF(I144=0,0,(Upgrades!$G$17+I144*Upgrades!$H$17)*POWER(Upgrades!$I$17,I144)))*(IF(Upgrades!$T$13="Brown Dwarf",POWER(Upgrades!$U$13,E144),1)*IF(Upgrades!$T$14="Brown Dwarf",POWER(Upgrades!$U$14,F144),1)*IF(Upgrades!$T$15="Brown Dwarf",POWER(Upgrades!$U$15,G144),1)*IF(Upgrades!$T$16="Brown Dwarf",POWER(Upgrades!$U$16,H144),1)*IF(Upgrades!$T$18="Brown Dwarf",POWER(Upgrades!$U$18,J144),1)*IF(Upgrades!$T$19="Brown Dwarf",POWER(Upgrades!$U$19,K144),1)*IF(Upgrades!$T$20="Brown Dwarf",POWER(Upgrades!$U$20,L144),1)*IF(Upgrades!$T$21="Brown Dwarf",POWER(Upgrades!$U$21,M144),1))*POWER(Upgrades!$P$13,E144)*POWER(Upgrades!$P$14,F144)*POWER(Upgrades!$P$15,G144)*POWER(Upgrades!$P$16,H144)*POWER(Upgrades!$P$17,I144)*POWER(Upgrades!$P$18,J144)*POWER(Upgrades!$P$19,K144)*POWER(Upgrades!$P$20,L144)*POWER(Upgrades!$P$21,M144)*$F$6*60</f>
        <v/>
      </c>
      <c r="AF144" s="27" t="n">
        <v>0</v>
      </c>
      <c r="AG144" s="27" t="n">
        <v>0</v>
      </c>
      <c r="AH144" s="27" t="n">
        <v>0</v>
      </c>
      <c r="AI144" s="27">
        <f>(IF(M144=0,0,(Upgrades!$G$21+M144*Upgrades!$H$21)*POWER(Upgrades!$I$21,M144)))*(IF(Upgrades!$T$13="Moving Group",POWER(Upgrades!$U$13,E144),1)*IF(Upgrades!$T$14="Moving Group",POWER(Upgrades!$U$14,F144),1)*IF(Upgrades!$T$15="Moving Group",POWER(Upgrades!$U$15,G144),1)*IF(Upgrades!$T$16="Moving Group",POWER(Upgrades!$U$16,H144),1)*IF(Upgrades!$T$17="Moving Group",POWER(Upgrades!$U$17,I144),1)*IF(Upgrades!$T$18="Moving Group",POWER(Upgrades!$U$18,J144),1)*IF(Upgrades!$T$19="Moving Group",POWER(Upgrades!$U$19,K144),1)*IF(Upgrades!$T$20="Moving Group",POWER(Upgrades!$U$20,L144),1))*POWER(Upgrades!$P$13,E144)*POWER(Upgrades!$P$14,F144)*POWER(Upgrades!$P$15,G144)*POWER(Upgrades!$P$16,H144)*POWER(Upgrades!$P$17,I144)*POWER(Upgrades!$P$18,J144)*POWER(Upgrades!$P$19,K144)*POWER(Upgrades!$P$20,L144)*POWER(Upgrades!$P$21,M144)*$F$6*60</f>
        <v/>
      </c>
      <c r="AJ144" s="27">
        <f>$C$6*60</f>
        <v/>
      </c>
      <c r="AK144" s="22">
        <f>IF(E144&gt;=Upgrades!$E$13,"",Upgrades!$C$13*POWER(Upgrades!$D$13,E144))</f>
        <v/>
      </c>
      <c r="AL144" s="22">
        <f>IF(F144&gt;=Upgrades!$E$14,"",Upgrades!$C$14*POWER(Upgrades!$D$14,F144))</f>
        <v/>
      </c>
      <c r="AM144" s="22">
        <f>IF(G144&gt;=Upgrades!$E$15,"",Upgrades!$C$15*POWER(Upgrades!$D$15,G144))</f>
        <v/>
      </c>
      <c r="AN144" s="22">
        <f>IF(H144&gt;=Upgrades!$E$16,"",Upgrades!$C$16*POWER(Upgrades!$D$16,H144))</f>
        <v/>
      </c>
      <c r="AO144" s="22">
        <f>IF(I144&gt;=Upgrades!$E$17,"",Upgrades!$C$17*POWER(Upgrades!$D$17,I144))</f>
        <v/>
      </c>
      <c r="AP144" s="22">
        <f>IF(J144&gt;=Upgrades!$E$18,"",Upgrades!$C$18*POWER(Upgrades!$D$18,J144))</f>
        <v/>
      </c>
      <c r="AQ144" s="22">
        <f>IF(K144&gt;=Upgrades!$E$19,"",Upgrades!$C$19*POWER(Upgrades!$D$19,K144))</f>
        <v/>
      </c>
      <c r="AR144" s="22">
        <f>IF(L144&gt;=Upgrades!$E$20,"",Upgrades!$C$20*POWER(Upgrades!$D$20,L144))</f>
        <v/>
      </c>
      <c r="AS144" s="22">
        <f>IF(M144&gt;=Upgrades!$E$21,"",Upgrades!$C$21*POWER(Upgrades!$D$21,M144))</f>
        <v/>
      </c>
      <c r="AT144" s="26">
        <f>IF(AND(D144&gt;=Parameters!$B$18*Parameters!$B$19,(I144&gt;=Upgrades!$E$17)*(M144&gt;=Upgrades!$E$21)=1,N144=0),1,"")</f>
        <v/>
      </c>
      <c r="AU144" s="26">
        <f>IF(AND(D144&gt;=Parameters!$B$18*Parameters!$B$19,N144=0),1,"")</f>
        <v/>
      </c>
      <c r="AV144" s="22">
        <f>MIN(IF(ISNUMBER(AP144),AP144,9E15),IF(ISNUMBER(AQ144),AQ144,9E15),IF(ISNUMBER(AR144),AR144,9E15),IF(ISNUMBER(AS144),AS144,9E15))</f>
        <v/>
      </c>
      <c r="AW144" s="22">
        <f>MIN(IF(ISNUMBER(AK144),AK144,9E15),IF(ISNUMBER(AL144),AL144,9E15),IF(ISNUMBER(AM144),AM144,9E15),IF(ISNUMBER(AN144),AN144,9E15),IF(ISNUMBER(AO144),AO144,9E15))</f>
        <v/>
      </c>
      <c r="AX144" s="29">
        <f>IF(BD144&gt;Parameters!$B$21*(MAX(IF(AND(NOT(AND(AU144=1,AT144&lt;&gt;1)),ISNUMBER(AK144),AK144&lt;=(C144+T144)),AY144,0),IF(AND(NOT(AND(AU144=1,AT144&lt;&gt;1)),ISNUMBER(AL144),AL144&lt;=(C144+T144)),AZ144,0),IF(AND(NOT(AND(AU144=1,AT144&lt;&gt;1)),ISNUMBER(AM144),AM144&lt;=(C144+T144)),BA144,0),IF(AND(NOT(AND(AU144=1,AT144&lt;&gt;1)),ISNUMBER(AN144),AN144&lt;=(C144+T144)),BB144,0),IF(AND(ISNUMBER(AO144),AO144&lt;=(C144+T144)),BC144,0))),TRUE,FALSE)</f>
        <v/>
      </c>
      <c r="AY144" s="32">
        <f>IFERROR(Upgrades!$H$13*(POWER(Upgrades!$P$13,E144)*POWER(Upgrades!$P$14,F144)*POWER(Upgrades!$P$15,G144)*POWER(Upgrades!$P$16,H144)*POWER(Upgrades!$P$17,I144)*POWER(Upgrades!$P$18,J144)*POWER(Upgrades!$P$19,K144)*POWER(Upgrades!$P$20,L144)*POWER(Upgrades!$P$21,M144))*(IF(Upgrades!$T$14="Stellar Kinematics",POWER(Upgrades!$U$14,F144),1)*IF(Upgrades!$T$15="Stellar Kinematics",POWER(Upgrades!$U$15,G144),1)*IF(Upgrades!$T$16="Stellar Kinematics",POWER(Upgrades!$U$16,H144),1)*IF(Upgrades!$T$17="Stellar Kinematics",POWER(Upgrades!$U$17,I144),1)*IF(Upgrades!$T$18="Stellar Kinematics",POWER(Upgrades!$U$18,J144),1)*IF(Upgrades!$T$19="Stellar Kinematics",POWER(Upgrades!$U$19,K144),1)*IF(Upgrades!$T$20="Stellar Kinematics",POWER(Upgrades!$U$20,L144),1)*IF(Upgrades!$T$21="Stellar Kinematics",POWER(Upgrades!$U$21,M144),1))*$F$6/AK144,0)</f>
        <v/>
      </c>
      <c r="AZ144" s="32">
        <f>IFERROR(Upgrades!$H$14*(POWER(Upgrades!$P$13,E144)*POWER(Upgrades!$P$14,F144)*POWER(Upgrades!$P$15,G144)*POWER(Upgrades!$P$16,H144)*POWER(Upgrades!$P$17,I144)*POWER(Upgrades!$P$18,J144)*POWER(Upgrades!$P$19,K144)*POWER(Upgrades!$P$20,L144)*POWER(Upgrades!$P$21,M144))*(IF(Upgrades!$T$13="Local Bubble",POWER(Upgrades!$U$13,E144),1)*IF(Upgrades!$T$15="Local Bubble",POWER(Upgrades!$U$15,G144),1)*IF(Upgrades!$T$16="Local Bubble",POWER(Upgrades!$U$16,H144),1)*IF(Upgrades!$T$17="Local Bubble",POWER(Upgrades!$U$17,I144),1)*IF(Upgrades!$T$18="Local Bubble",POWER(Upgrades!$U$18,J144),1)*IF(Upgrades!$T$19="Local Bubble",POWER(Upgrades!$U$19,K144),1)*IF(Upgrades!$T$20="Local Bubble",POWER(Upgrades!$U$20,L144),1)*IF(Upgrades!$T$21="Local Bubble",POWER(Upgrades!$U$21,M144),1))*$F$6/AL144,0)</f>
        <v/>
      </c>
      <c r="BA144" s="32">
        <f>IFERROR(Upgrades!$K$15*(POWER(Upgrades!$Q$13,E144)*POWER(Upgrades!$Q$14,F144)*POWER(Upgrades!$Q$15,G144)*POWER(Upgrades!$Q$16,H144)*POWER(Upgrades!$Q$17,I144)*POWER(Upgrades!$Q$18,J144)*POWER(Upgrades!$Q$19,K144)*POWER(Upgrades!$Q$20,L144)*POWER(Upgrades!$Q$21,M144))*(IF(Upgrades!$T$13="Microlensing",POWER(Upgrades!$U$13,E144),1)*IF(Upgrades!$T$14="Microlensing",POWER(Upgrades!$U$14,F144),1)*IF(Upgrades!$T$16="Microlensing",POWER(Upgrades!$U$16,H144),1)*IF(Upgrades!$T$17="Microlensing",POWER(Upgrades!$U$17,I144),1)*IF(Upgrades!$T$18="Microlensing",POWER(Upgrades!$U$18,J144),1)*IF(Upgrades!$T$19="Microlensing",POWER(Upgrades!$U$19,K144),1)*IF(Upgrades!$T$20="Microlensing",POWER(Upgrades!$U$20,L144),1)*IF(Upgrades!$T$21="Microlensing",POWER(Upgrades!$U$21,M144),1))*$G$6*(Parameters!$B$10/60*Parameters!$B$11+Q144)/AM144,0)</f>
        <v/>
      </c>
      <c r="BB144" s="32">
        <f>IFERROR((Upgrades!$N$16*(POWER(Upgrades!$R$13,E144)*POWER(Upgrades!$R$14,F144)*POWER(Upgrades!$R$15,G144)*POWER(Upgrades!$R$16,H144)*POWER(Upgrades!$R$17,I144)*POWER(Upgrades!$R$18,J144)*POWER(Upgrades!$R$19,K144)*POWER(Upgrades!$R$20,L144)*POWER(Upgrades!$R$21,M144))*(IF(Upgrades!$T$13="Roche Lobe Overflow",POWER(Upgrades!$U$13,E144),1)*IF(Upgrades!$T$14="Roche Lobe Overflow",POWER(Upgrades!$U$14,F144),1)*IF(Upgrades!$T$15="Roche Lobe Overflow",POWER(Upgrades!$U$15,G144),1)*IF(Upgrades!$T$17="Roche Lobe Overflow",POWER(Upgrades!$U$17,I144),1)*IF(Upgrades!$T$18="Roche Lobe Overflow",POWER(Upgrades!$U$18,J144),1)*IF(Upgrades!$T$19="Roche Lobe Overflow",POWER(Upgrades!$U$19,K144),1)*IF(Upgrades!$T$20="Roche Lobe Overflow",POWER(Upgrades!$U$20,L144),1)*IF(Upgrades!$T$21="Roche Lobe Overflow",POWER(Upgrades!$U$21,M144),1))*$H$6*O144+((IF(F144=0,0,(Upgrades!$G$14+F144*Upgrades!$H$14)*POWER(Upgrades!$I$14,F144)))*(IF(Upgrades!$T$13="Local Bubble",POWER(Upgrades!$U$13,E144),1)*IF(Upgrades!$T$15="Local Bubble",POWER(Upgrades!$U$15,G144),1)*IF(Upgrades!$T$16="Local Bubble",POWER(Upgrades!$U$16,H144),1)*IF(Upgrades!$T$17="Local Bubble",POWER(Upgrades!$U$17,I144),1)*IF(Upgrades!$T$18="Local Bubble",POWER(Upgrades!$U$18,J144),1)*IF(Upgrades!$T$19="Local Bubble",POWER(Upgrades!$U$19,K144),1)*IF(Upgrades!$T$20="Local Bubble",POWER(Upgrades!$U$20,L144),1)*IF(Upgrades!$T$21="Local Bubble",POWER(Upgrades!$U$21,M144),1))*POWER(Upgrades!$P$13,E144)*POWER(Upgrades!$P$14,F144)*POWER(Upgrades!$P$15,G144)*POWER(Upgrades!$P$16,H144)*POWER(Upgrades!$P$17,I144)*POWER(Upgrades!$P$18,J144)*POWER(Upgrades!$P$19,K144)*POWER(Upgrades!$P$20,L144)*POWER(Upgrades!$P$21,M144)*$F$6)*0.05)/AN144,0)</f>
        <v/>
      </c>
      <c r="BC144" s="32">
        <f>IFERROR((Upgrades!$H$17*(POWER(Upgrades!$P$13,E144)*POWER(Upgrades!$P$14,F144)*POWER(Upgrades!$P$15,G144)*POWER(Upgrades!$P$16,H144)*POWER(Upgrades!$P$17,I144)*POWER(Upgrades!$P$18,J144)*POWER(Upgrades!$P$19,K144)*POWER(Upgrades!$P$20,L144)*POWER(Upgrades!$P$21,M144))*(IF(Upgrades!$T$13="Brown Dwarf",POWER(Upgrades!$U$13,E144),1)*IF(Upgrades!$T$14="Brown Dwarf",POWER(Upgrades!$U$14,F144),1)*IF(Upgrades!$T$15="Brown Dwarf",POWER(Upgrades!$U$15,G144),1)*IF(Upgrades!$T$16="Brown Dwarf",POWER(Upgrades!$U$16,H144),1)*IF(Upgrades!$T$18="Brown Dwarf",POWER(Upgrades!$U$18,J144),1)*IF(Upgrades!$T$19="Brown Dwarf",POWER(Upgrades!$U$19,K144),1)*IF(Upgrades!$T$20="Brown Dwarf",POWER(Upgrades!$U$20,L144),1)*IF(Upgrades!$T$21="Brown Dwarf",POWER(Upgrades!$U$21,M144),1))*$F$6+(((IF(H144=0,0,(Upgrades!$M$16+H144*Upgrades!$N$16)*POWER(Upgrades!$O$16,H144)))*(IF(Upgrades!$T$13="Roche Lobe Overflow",POWER(Upgrades!$U$13,E144),1)*IF(Upgrades!$T$14="Roche Lobe Overflow",POWER(Upgrades!$U$14,F144),1)*IF(Upgrades!$T$15="Roche Lobe Overflow",POWER(Upgrades!$U$15,G144),1)*IF(Upgrades!$T$17="Roche Lobe Overflow",POWER(Upgrades!$U$17,I144),1)*IF(Upgrades!$T$18="Roche Lobe Overflow",POWER(Upgrades!$U$18,J144),1)*IF(Upgrades!$T$19="Roche Lobe Overflow",POWER(Upgrades!$U$19,K144),1)*IF(Upgrades!$T$20="Roche Lobe Overflow",POWER(Upgrades!$U$20,L144),1)*IF(Upgrades!$T$21="Roche Lobe Overflow",POWER(Upgrades!$U$21,M144),1))*POWER(Upgrades!$R$13,E144)*POWER(Upgrades!$R$14,F144)*POWER(Upgrades!$R$15,G144)*POWER(Upgrades!$R$16,H144)*POWER(Upgrades!$R$17,I144)*POWER(Upgrades!$R$18,J144)*POWER(Upgrades!$R$19,K144)*POWER(Upgrades!$R$20,L144)*POWER(Upgrades!$R$21,M144)*$H$6)*O144)*0.10)/AO144,0)</f>
        <v/>
      </c>
      <c r="BD144" s="32">
        <f>MAX(IF(J144&gt;0,0,IFERROR(0.5*((IF(G144=0,0,(Upgrades!$J$15+G144*Upgrades!$K$15)*POWER(Upgrades!$L$15,G144)))*(IF(Upgrades!$T$13="Microlensing",POWER(Upgrades!$U$13,E144),1)*IF(Upgrades!$T$14="Microlensing",POWER(Upgrades!$U$14,F144),1)*IF(Upgrades!$T$16="Microlensing",POWER(Upgrades!$U$16,H144),1)*IF(Upgrades!$T$17="Microlensing",POWER(Upgrades!$U$17,I144),1)*IF(Upgrades!$T$18="Microlensing",POWER(Upgrades!$U$18,J144),1)*IF(Upgrades!$T$19="Microlensing",POWER(Upgrades!$U$19,K144),1)*IF(Upgrades!$T$20="Microlensing",POWER(Upgrades!$U$20,L144),1)*IF(Upgrades!$T$21="Microlensing",POWER(Upgrades!$U$21,M144),1))*(POWER(Upgrades!$Q$13,E144)*POWER(Upgrades!$Q$14,F144)*POWER(Upgrades!$Q$15,G144)*POWER(Upgrades!$Q$16,H144)*POWER(Upgrades!$Q$17,I144)*POWER(Upgrades!$Q$18,J144)*POWER(Upgrades!$Q$19,K144)*POWER(Upgrades!$Q$20,L144)*POWER(Upgrades!$Q$21,M144))*$G$6*(Parameters!$B$10/60*Parameters!$B$11+Q144))/Upgrades!$C$18,0)),IF(K144&gt;0,0,IFERROR(0.30*P144/Upgrades!$C$19,0)),IF(L144&gt;0,0,IFERROR(0.0001/Upgrades!$C$20,0)),IF(M144&gt;0,0,IFERROR((6.0*(POWER(Upgrades!$P$13,E144)*POWER(Upgrades!$P$14,F144)*POWER(Upgrades!$P$15,G144)*POWER(Upgrades!$P$16,H144)*POWER(Upgrades!$P$17,I144)*POWER(Upgrades!$P$18,J144)*POWER(Upgrades!$P$19,K144)*POWER(Upgrades!$P$20,L144)*POWER(Upgrades!$P$21,M144))*$F$6+0.20*O144*(Parameters!$B$10/60*Parameters!$B$11+Q144))/Upgrades!$C$21,0)),IF(AND(ISNUMBER(AK144),AK144&gt;(C144+T144)),AY144,0),IF(AND(ISNUMBER(AL144),AL144&gt;(C144+T144)),AZ144,0),IF(AND(ISNUMBER(AM144),AM144&gt;(C144+T144)),BA144,0),IF(AND(ISNUMBER(AN144),AN144&gt;(C144+T144)),BB144,0),IF(AND(ISNUMBER(AO144),AO144&gt;(C144+T144)),BC144,0))</f>
        <v/>
      </c>
      <c r="BE144" s="29">
        <f>IF(AT144=1,"transition",IF(MIN(IF(AND(J144=0,ISNUMBER(AP144),AP144&lt;=(C144+T144)),AP144,9E15),IF(AND(K144=0,ISNUMBER(AQ144),AQ144&lt;=(C144+T144)),AQ144,9E15),IF(AND(L144=0,ISNUMBER(AR144),AR144&lt;=(C144+T144)),AR144,9E15),IF(AND(M144=0,ISNUMBER(AS144),AS144&lt;=(C144+T144)),AS144,9E15))&lt;9E15,IF(AND(AND(J144=0,ISNUMBER(AP144),AP144&lt;=(C144+T144)),AP144=MIN(IF(AND(J144=0,ISNUMBER(AP144),AP144&lt;=(C144+T144)),AP144,9E15),IF(AND(K144=0,ISNUMBER(AQ144),AQ144&lt;=(C144+T144)),AQ144,9E15),IF(AND(L144=0,ISNUMBER(AR144),AR144&lt;=(C144+T144)),AR144,9E15),IF(AND(M144=0,ISNUMBER(AS144),AS144&lt;=(C144+T144)),AS144,9E15))),"BiP",IF(AND(AND(K144=0,ISNUMBER(AQ144),AQ144&lt;=(C144+T144)),AQ144=MIN(IF(AND(J144=0,ISNUMBER(AP144),AP144&lt;=(C144+T144)),AP144,9E15),IF(AND(K144=0,ISNUMBER(AQ144),AQ144&lt;=(C144+T144)),AQ144,9E15),IF(AND(L144=0,ISNUMBER(AR144),AR144&lt;=(C144+T144)),AR144,9E15),IF(AND(M144=0,ISNUMBER(AS144),AS144&lt;=(C144+T144)),AS144,9E15))),"PV",IF(AND(AND(L144=0,ISNUMBER(AR144),AR144&lt;=(C144+T144)),AR144=MIN(IF(AND(J144=0,ISNUMBER(AP144),AP144&lt;=(C144+T144)),AP144,9E15),IF(AND(K144=0,ISNUMBER(AQ144),AQ144&lt;=(C144+T144)),AQ144,9E15),IF(AND(L144=0,ISNUMBER(AR144),AR144&lt;=(C144+T144)),AR144,9E15),IF(AND(M144=0,ISNUMBER(AS144),AS144&lt;=(C144+T144)),AS144,9E15))),"OC","MG"))),IF(AX144=TRUE,"",IF(MAX(IF(AND(NOT(AND(AU144=1,AT144&lt;&gt;1)),ISNUMBER(AK144),AK144&lt;=(C144+T144)),AY144,0),IF(AND(NOT(AND(AU144=1,AT144&lt;&gt;1)),ISNUMBER(AL144),AL144&lt;=(C144+T144)),AZ144,0),IF(AND(NOT(AND(AU144=1,AT144&lt;&gt;1)),ISNUMBER(AM144),AM144&lt;=(C144+T144)),BA144,0),IF(AND(NOT(AND(AU144=1,AT144&lt;&gt;1)),ISNUMBER(AN144),AN144&lt;=(C144+T144)),BB144,0),IF(AND(ISNUMBER(AO144),AO144&lt;=(C144+T144)),BC144,0))&lt;=0,"",IF(AND(IF(AND(NOT(AND(AU144=1,AT144&lt;&gt;1)),ISNUMBER(AK144),AK144&lt;=(C144+T144)),AY144,0)&gt;0,IF(AND(NOT(AND(AU144=1,AT144&lt;&gt;1)),ISNUMBER(AK144),AK144&lt;=(C144+T144)),AY144,0)=MAX(IF(AND(NOT(AND(AU144=1,AT144&lt;&gt;1)),ISNUMBER(AK144),AK144&lt;=(C144+T144)),AY144,0),IF(AND(NOT(AND(AU144=1,AT144&lt;&gt;1)),ISNUMBER(AL144),AL144&lt;=(C144+T144)),AZ144,0),IF(AND(NOT(AND(AU144=1,AT144&lt;&gt;1)),ISNUMBER(AM144),AM144&lt;=(C144+T144)),BA144,0),IF(AND(NOT(AND(AU144=1,AT144&lt;&gt;1)),ISNUMBER(AN144),AN144&lt;=(C144+T144)),BB144,0),IF(AND(ISNUMBER(AO144),AO144&lt;=(C144+T144)),BC144,0))),"SK",IF(AND(IF(AND(NOT(AND(AU144=1,AT144&lt;&gt;1)),ISNUMBER(AL144),AL144&lt;=(C144+T144)),AZ144,0)&gt;0,IF(AND(NOT(AND(AU144=1,AT144&lt;&gt;1)),ISNUMBER(AL144),AL144&lt;=(C144+T144)),AZ144,0)=MAX(IF(AND(NOT(AND(AU144=1,AT144&lt;&gt;1)),ISNUMBER(AK144),AK144&lt;=(C144+T144)),AY144,0),IF(AND(NOT(AND(AU144=1,AT144&lt;&gt;1)),ISNUMBER(AL144),AL144&lt;=(C144+T144)),AZ144,0),IF(AND(NOT(AND(AU144=1,AT144&lt;&gt;1)),ISNUMBER(AM144),AM144&lt;=(C144+T144)),BA144,0),IF(AND(NOT(AND(AU144=1,AT144&lt;&gt;1)),ISNUMBER(AN144),AN144&lt;=(C144+T144)),BB144,0),IF(AND(ISNUMBER(AO144),AO144&lt;=(C144+T144)),BC144,0))),"LB",IF(AND(IF(AND(NOT(AND(AU144=1,AT144&lt;&gt;1)),ISNUMBER(AM144),AM144&lt;=(C144+T144)),BA144,0)&gt;0,IF(AND(NOT(AND(AU144=1,AT144&lt;&gt;1)),ISNUMBER(AM144),AM144&lt;=(C144+T144)),BA144,0)=MAX(IF(AND(NOT(AND(AU144=1,AT144&lt;&gt;1)),ISNUMBER(AK144),AK144&lt;=(C144+T144)),AY144,0),IF(AND(NOT(AND(AU144=1,AT144&lt;&gt;1)),ISNUMBER(AL144),AL144&lt;=(C144+T144)),AZ144,0),IF(AND(NOT(AND(AU144=1,AT144&lt;&gt;1)),ISNUMBER(AM144),AM144&lt;=(C144+T144)),BA144,0),IF(AND(NOT(AND(AU144=1,AT144&lt;&gt;1)),ISNUMBER(AN144),AN144&lt;=(C144+T144)),BB144,0),IF(AND(ISNUMBER(AO144),AO144&lt;=(C144+T144)),BC144,0))),"ML",IF(AND(IF(AND(NOT(AND(AU144=1,AT144&lt;&gt;1)),ISNUMBER(AN144),AN144&lt;=(C144+T144)),BB144,0)&gt;0,IF(AND(NOT(AND(AU144=1,AT144&lt;&gt;1)),ISNUMBER(AN144),AN144&lt;=(C144+T144)),BB144,0)=MAX(IF(AND(NOT(AND(AU144=1,AT144&lt;&gt;1)),ISNUMBER(AK144),AK144&lt;=(C144+T144)),AY144,0),IF(AND(NOT(AND(AU144=1,AT144&lt;&gt;1)),ISNUMBER(AL144),AL144&lt;=(C144+T144)),AZ144,0),IF(AND(NOT(AND(AU144=1,AT144&lt;&gt;1)),ISNUMBER(AM144),AM144&lt;=(C144+T144)),BA144,0),IF(AND(NOT(AND(AU144=1,AT144&lt;&gt;1)),ISNUMBER(AN144),AN144&lt;=(C144+T144)),BB144,0),IF(AND(ISNUMBER(AO144),AO144&lt;=(C144+T144)),BC144,0))),"RLO","BD"))))))))</f>
        <v/>
      </c>
    </row>
    <row r="145">
      <c r="A145" s="26" t="n">
        <v>134</v>
      </c>
      <c r="B145" s="27">
        <f>A145*10/60</f>
        <v/>
      </c>
      <c r="C145" s="22">
        <f>X144</f>
        <v/>
      </c>
      <c r="D145" s="27">
        <f>D144+W144</f>
        <v/>
      </c>
      <c r="E145" s="26">
        <f>E144+IF(U144="SK",1,0)</f>
        <v/>
      </c>
      <c r="F145" s="26">
        <f>F144+IF(U144="LB",1,0)</f>
        <v/>
      </c>
      <c r="G145" s="26">
        <f>G144+IF(U144="ML",1,0)</f>
        <v/>
      </c>
      <c r="H145" s="26">
        <f>H144+IF(U144="RLO",1,0)</f>
        <v/>
      </c>
      <c r="I145" s="26">
        <f>I144+IF(U144="BD",1,0)</f>
        <v/>
      </c>
      <c r="J145" s="26">
        <f>MAX(J144,IF(U144="BiP",1,0))</f>
        <v/>
      </c>
      <c r="K145" s="26">
        <f>MAX(K144,IF(U144="PV",1,0))</f>
        <v/>
      </c>
      <c r="L145" s="26">
        <f>MAX(L144,IF(U144="OC",1,0))</f>
        <v/>
      </c>
      <c r="M145" s="26">
        <f>MAX(M144,IF(U144="MG",1,0))</f>
        <v/>
      </c>
      <c r="N145" s="26">
        <f>MAX(N144,IF(U144="transition",1,0))</f>
        <v/>
      </c>
      <c r="O145" s="28">
        <f>(Parameters!$B$9+(IF(E145=0,0,(Upgrades!$J$13+E145*Upgrades!$K$13)*POWER(Upgrades!$L$13,E145)))*(IF(Upgrades!$T$14="Stellar Kinematics",POWER(Upgrades!$U$14,F145),1)*IF(Upgrades!$T$15="Stellar Kinematics",POWER(Upgrades!$U$15,G145),1)*IF(Upgrades!$T$16="Stellar Kinematics",POWER(Upgrades!$U$16,H145),1)*IF(Upgrades!$T$17="Stellar Kinematics",POWER(Upgrades!$U$17,I145),1)*IF(Upgrades!$T$18="Stellar Kinematics",POWER(Upgrades!$U$18,J145),1)*IF(Upgrades!$T$19="Stellar Kinematics",POWER(Upgrades!$U$19,K145),1)*IF(Upgrades!$T$20="Stellar Kinematics",POWER(Upgrades!$U$20,L145),1)*IF(Upgrades!$T$21="Stellar Kinematics",POWER(Upgrades!$U$21,M145),1))+(IF(F145=0,0,(Upgrades!$J$14+F145*Upgrades!$K$14)*POWER(Upgrades!$L$14,F145)))*(IF(Upgrades!$T$13="Local Bubble",POWER(Upgrades!$U$13,E145),1)*IF(Upgrades!$T$15="Local Bubble",POWER(Upgrades!$U$15,G145),1)*IF(Upgrades!$T$16="Local Bubble",POWER(Upgrades!$U$16,H145),1)*IF(Upgrades!$T$17="Local Bubble",POWER(Upgrades!$U$17,I145),1)*IF(Upgrades!$T$18="Local Bubble",POWER(Upgrades!$U$18,J145),1)*IF(Upgrades!$T$19="Local Bubble",POWER(Upgrades!$U$19,K145),1)*IF(Upgrades!$T$20="Local Bubble",POWER(Upgrades!$U$20,L145),1)*IF(Upgrades!$T$21="Local Bubble",POWER(Upgrades!$U$21,M145),1))+(IF(G145=0,0,(Upgrades!$J$15+G145*Upgrades!$K$15)*POWER(Upgrades!$L$15,G145)))*(IF(Upgrades!$T$13="Microlensing",POWER(Upgrades!$U$13,E145),1)*IF(Upgrades!$T$14="Microlensing",POWER(Upgrades!$U$14,F145),1)*IF(Upgrades!$T$16="Microlensing",POWER(Upgrades!$U$16,H145),1)*IF(Upgrades!$T$17="Microlensing",POWER(Upgrades!$U$17,I145),1)*IF(Upgrades!$T$18="Microlensing",POWER(Upgrades!$U$18,J145),1)*IF(Upgrades!$T$19="Microlensing",POWER(Upgrades!$U$19,K145),1)*IF(Upgrades!$T$20="Microlensing",POWER(Upgrades!$U$20,L145),1)*IF(Upgrades!$T$21="Microlensing",POWER(Upgrades!$U$21,M145),1))+(IF(H145=0,0,(Upgrades!$J$16+H145*Upgrades!$K$16)*POWER(Upgrades!$L$16,H145)))*(IF(Upgrades!$T$13="Roche Lobe Overflow",POWER(Upgrades!$U$13,E145),1)*IF(Upgrades!$T$14="Roche Lobe Overflow",POWER(Upgrades!$U$14,F145),1)*IF(Upgrades!$T$15="Roche Lobe Overflow",POWER(Upgrades!$U$15,G145),1)*IF(Upgrades!$T$17="Roche Lobe Overflow",POWER(Upgrades!$U$17,I145),1)*IF(Upgrades!$T$18="Roche Lobe Overflow",POWER(Upgrades!$U$18,J145),1)*IF(Upgrades!$T$19="Roche Lobe Overflow",POWER(Upgrades!$U$19,K145),1)*IF(Upgrades!$T$20="Roche Lobe Overflow",POWER(Upgrades!$U$20,L145),1)*IF(Upgrades!$T$21="Roche Lobe Overflow",POWER(Upgrades!$U$21,M145),1))+(IF(I145=0,0,(Upgrades!$J$17+I145*Upgrades!$K$17)*POWER(Upgrades!$L$17,I145)))*(IF(Upgrades!$T$13="Brown Dwarf",POWER(Upgrades!$U$13,E145),1)*IF(Upgrades!$T$14="Brown Dwarf",POWER(Upgrades!$U$14,F145),1)*IF(Upgrades!$T$15="Brown Dwarf",POWER(Upgrades!$U$15,G145),1)*IF(Upgrades!$T$16="Brown Dwarf",POWER(Upgrades!$U$16,H145),1)*IF(Upgrades!$T$18="Brown Dwarf",POWER(Upgrades!$U$18,J145),1)*IF(Upgrades!$T$19="Brown Dwarf",POWER(Upgrades!$U$19,K145),1)*IF(Upgrades!$T$20="Brown Dwarf",POWER(Upgrades!$U$20,L145),1)*IF(Upgrades!$T$21="Brown Dwarf",POWER(Upgrades!$U$21,M145),1))+(IF(J145=0,0,(Upgrades!$J$18+J145*Upgrades!$K$18)*POWER(Upgrades!$L$18,J145)))*(IF(Upgrades!$T$13="Binary Partner",POWER(Upgrades!$U$13,E145),1)*IF(Upgrades!$T$14="Binary Partner",POWER(Upgrades!$U$14,F145),1)*IF(Upgrades!$T$15="Binary Partner",POWER(Upgrades!$U$15,G145),1)*IF(Upgrades!$T$16="Binary Partner",POWER(Upgrades!$U$16,H145),1)*IF(Upgrades!$T$17="Binary Partner",POWER(Upgrades!$U$17,I145),1)*IF(Upgrades!$T$19="Binary Partner",POWER(Upgrades!$U$19,K145),1)*IF(Upgrades!$T$20="Binary Partner",POWER(Upgrades!$U$20,L145),1)*IF(Upgrades!$T$21="Binary Partner",POWER(Upgrades!$U$21,M145),1))+(IF(K145=0,0,(Upgrades!$J$19+K145*Upgrades!$K$19)*POWER(Upgrades!$L$19,K145)))*(IF(Upgrades!$T$13="Peculiar Velocity",POWER(Upgrades!$U$13,E145),1)*IF(Upgrades!$T$14="Peculiar Velocity",POWER(Upgrades!$U$14,F145),1)*IF(Upgrades!$T$15="Peculiar Velocity",POWER(Upgrades!$U$15,G145),1)*IF(Upgrades!$T$16="Peculiar Velocity",POWER(Upgrades!$U$16,H145),1)*IF(Upgrades!$T$17="Peculiar Velocity",POWER(Upgrades!$U$17,I145),1)*IF(Upgrades!$T$18="Peculiar Velocity",POWER(Upgrades!$U$18,J145),1)*IF(Upgrades!$T$20="Peculiar Velocity",POWER(Upgrades!$U$20,L145),1)*IF(Upgrades!$T$21="Peculiar Velocity",POWER(Upgrades!$U$21,M145),1))+(IF(L145=0,0,(Upgrades!$J$20+L145*Upgrades!$K$20)*POWER(Upgrades!$L$20,L145)))*(IF(Upgrades!$T$13="Open Cluster",POWER(Upgrades!$U$13,E145),1)*IF(Upgrades!$T$14="Open Cluster",POWER(Upgrades!$U$14,F145),1)*IF(Upgrades!$T$15="Open Cluster",POWER(Upgrades!$U$15,G145),1)*IF(Upgrades!$T$16="Open Cluster",POWER(Upgrades!$U$16,H145),1)*IF(Upgrades!$T$17="Open Cluster",POWER(Upgrades!$U$17,I145),1)*IF(Upgrades!$T$18="Open Cluster",POWER(Upgrades!$U$18,J145),1)*IF(Upgrades!$T$19="Open Cluster",POWER(Upgrades!$U$19,K145),1)*IF(Upgrades!$T$21="Open Cluster",POWER(Upgrades!$U$21,M145),1))+(IF(M145=0,0,(Upgrades!$J$21+M145*Upgrades!$K$21)*POWER(Upgrades!$L$21,M145)))*(IF(Upgrades!$T$13="Moving Group",POWER(Upgrades!$U$13,E145),1)*IF(Upgrades!$T$14="Moving Group",POWER(Upgrades!$U$14,F145),1)*IF(Upgrades!$T$15="Moving Group",POWER(Upgrades!$U$15,G145),1)*IF(Upgrades!$T$16="Moving Group",POWER(Upgrades!$U$16,H145),1)*IF(Upgrades!$T$17="Moving Group",POWER(Upgrades!$U$17,I145),1)*IF(Upgrades!$T$18="Moving Group",POWER(Upgrades!$U$18,J145),1)*IF(Upgrades!$T$19="Moving Group",POWER(Upgrades!$U$19,K145),1)*IF(Upgrades!$T$20="Moving Group",POWER(Upgrades!$U$20,L145),1)))*POWER(Upgrades!$Q$13,E145)*POWER(Upgrades!$Q$14,F145)*POWER(Upgrades!$Q$15,G145)*POWER(Upgrades!$Q$16,H145)*POWER(Upgrades!$Q$17,I145)*POWER(Upgrades!$Q$18,J145)*POWER(Upgrades!$Q$19,K145)*POWER(Upgrades!$Q$20,L145)*POWER(Upgrades!$Q$21,M145)*$G$6+$D$6</f>
        <v/>
      </c>
      <c r="P145" s="28">
        <f>((IF(E145=0,0,(Upgrades!$G$13+E145*Upgrades!$H$13)*POWER(Upgrades!$I$13,E145)))*(IF(Upgrades!$T$14="Stellar Kinematics",POWER(Upgrades!$U$14,F145),1)*IF(Upgrades!$T$15="Stellar Kinematics",POWER(Upgrades!$U$15,G145),1)*IF(Upgrades!$T$16="Stellar Kinematics",POWER(Upgrades!$U$16,H145),1)*IF(Upgrades!$T$17="Stellar Kinematics",POWER(Upgrades!$U$17,I145),1)*IF(Upgrades!$T$18="Stellar Kinematics",POWER(Upgrades!$U$18,J145),1)*IF(Upgrades!$T$19="Stellar Kinematics",POWER(Upgrades!$U$19,K145),1)*IF(Upgrades!$T$20="Stellar Kinematics",POWER(Upgrades!$U$20,L145),1)*IF(Upgrades!$T$21="Stellar Kinematics",POWER(Upgrades!$U$21,M145),1))+(IF(F145=0,0,(Upgrades!$G$14+F145*Upgrades!$H$14)*POWER(Upgrades!$I$14,F145)))*(IF(Upgrades!$T$13="Local Bubble",POWER(Upgrades!$U$13,E145),1)*IF(Upgrades!$T$15="Local Bubble",POWER(Upgrades!$U$15,G145),1)*IF(Upgrades!$T$16="Local Bubble",POWER(Upgrades!$U$16,H145),1)*IF(Upgrades!$T$17="Local Bubble",POWER(Upgrades!$U$17,I145),1)*IF(Upgrades!$T$18="Local Bubble",POWER(Upgrades!$U$18,J145),1)*IF(Upgrades!$T$19="Local Bubble",POWER(Upgrades!$U$19,K145),1)*IF(Upgrades!$T$20="Local Bubble",POWER(Upgrades!$U$20,L145),1)*IF(Upgrades!$T$21="Local Bubble",POWER(Upgrades!$U$21,M145),1))+(IF(G145=0,0,(Upgrades!$G$15+G145*Upgrades!$H$15)*POWER(Upgrades!$I$15,G145)))*(IF(Upgrades!$T$13="Microlensing",POWER(Upgrades!$U$13,E145),1)*IF(Upgrades!$T$14="Microlensing",POWER(Upgrades!$U$14,F145),1)*IF(Upgrades!$T$16="Microlensing",POWER(Upgrades!$U$16,H145),1)*IF(Upgrades!$T$17="Microlensing",POWER(Upgrades!$U$17,I145),1)*IF(Upgrades!$T$18="Microlensing",POWER(Upgrades!$U$18,J145),1)*IF(Upgrades!$T$19="Microlensing",POWER(Upgrades!$U$19,K145),1)*IF(Upgrades!$T$20="Microlensing",POWER(Upgrades!$U$20,L145),1)*IF(Upgrades!$T$21="Microlensing",POWER(Upgrades!$U$21,M145),1))+(IF(H145=0,0,(Upgrades!$G$16+H145*Upgrades!$H$16)*POWER(Upgrades!$I$16,H145)))*(IF(Upgrades!$T$13="Roche Lobe Overflow",POWER(Upgrades!$U$13,E145),1)*IF(Upgrades!$T$14="Roche Lobe Overflow",POWER(Upgrades!$U$14,F145),1)*IF(Upgrades!$T$15="Roche Lobe Overflow",POWER(Upgrades!$U$15,G145),1)*IF(Upgrades!$T$17="Roche Lobe Overflow",POWER(Upgrades!$U$17,I145),1)*IF(Upgrades!$T$18="Roche Lobe Overflow",POWER(Upgrades!$U$18,J145),1)*IF(Upgrades!$T$19="Roche Lobe Overflow",POWER(Upgrades!$U$19,K145),1)*IF(Upgrades!$T$20="Roche Lobe Overflow",POWER(Upgrades!$U$20,L145),1)*IF(Upgrades!$T$21="Roche Lobe Overflow",POWER(Upgrades!$U$21,M145),1))+(IF(I145=0,0,(Upgrades!$G$17+I145*Upgrades!$H$17)*POWER(Upgrades!$I$17,I145)))*(IF(Upgrades!$T$13="Brown Dwarf",POWER(Upgrades!$U$13,E145),1)*IF(Upgrades!$T$14="Brown Dwarf",POWER(Upgrades!$U$14,F145),1)*IF(Upgrades!$T$15="Brown Dwarf",POWER(Upgrades!$U$15,G145),1)*IF(Upgrades!$T$16="Brown Dwarf",POWER(Upgrades!$U$16,H145),1)*IF(Upgrades!$T$18="Brown Dwarf",POWER(Upgrades!$U$18,J145),1)*IF(Upgrades!$T$19="Brown Dwarf",POWER(Upgrades!$U$19,K145),1)*IF(Upgrades!$T$20="Brown Dwarf",POWER(Upgrades!$U$20,L145),1)*IF(Upgrades!$T$21="Brown Dwarf",POWER(Upgrades!$U$21,M145),1))+(IF(J145=0,0,(Upgrades!$G$18+J145*Upgrades!$H$18)*POWER(Upgrades!$I$18,J145)))*(IF(Upgrades!$T$13="Binary Partner",POWER(Upgrades!$U$13,E145),1)*IF(Upgrades!$T$14="Binary Partner",POWER(Upgrades!$U$14,F145),1)*IF(Upgrades!$T$15="Binary Partner",POWER(Upgrades!$U$15,G145),1)*IF(Upgrades!$T$16="Binary Partner",POWER(Upgrades!$U$16,H145),1)*IF(Upgrades!$T$17="Binary Partner",POWER(Upgrades!$U$17,I145),1)*IF(Upgrades!$T$19="Binary Partner",POWER(Upgrades!$U$19,K145),1)*IF(Upgrades!$T$20="Binary Partner",POWER(Upgrades!$U$20,L145),1)*IF(Upgrades!$T$21="Binary Partner",POWER(Upgrades!$U$21,M145),1))+(IF(K145=0,0,(Upgrades!$G$19+K145*Upgrades!$H$19)*POWER(Upgrades!$I$19,K145)))*(IF(Upgrades!$T$13="Peculiar Velocity",POWER(Upgrades!$U$13,E145),1)*IF(Upgrades!$T$14="Peculiar Velocity",POWER(Upgrades!$U$14,F145),1)*IF(Upgrades!$T$15="Peculiar Velocity",POWER(Upgrades!$U$15,G145),1)*IF(Upgrades!$T$16="Peculiar Velocity",POWER(Upgrades!$U$16,H145),1)*IF(Upgrades!$T$17="Peculiar Velocity",POWER(Upgrades!$U$17,I145),1)*IF(Upgrades!$T$18="Peculiar Velocity",POWER(Upgrades!$U$18,J145),1)*IF(Upgrades!$T$20="Peculiar Velocity",POWER(Upgrades!$U$20,L145),1)*IF(Upgrades!$T$21="Peculiar Velocity",POWER(Upgrades!$U$21,M145),1))+(IF(L145=0,0,(Upgrades!$G$20+L145*Upgrades!$H$20)*POWER(Upgrades!$I$20,L145)))*(IF(Upgrades!$T$13="Open Cluster",POWER(Upgrades!$U$13,E145),1)*IF(Upgrades!$T$14="Open Cluster",POWER(Upgrades!$U$14,F145),1)*IF(Upgrades!$T$15="Open Cluster",POWER(Upgrades!$U$15,G145),1)*IF(Upgrades!$T$16="Open Cluster",POWER(Upgrades!$U$16,H145),1)*IF(Upgrades!$T$17="Open Cluster",POWER(Upgrades!$U$17,I145),1)*IF(Upgrades!$T$18="Open Cluster",POWER(Upgrades!$U$18,J145),1)*IF(Upgrades!$T$19="Open Cluster",POWER(Upgrades!$U$19,K145),1)*IF(Upgrades!$T$21="Open Cluster",POWER(Upgrades!$U$21,M145),1))+(IF(M145=0,0,(Upgrades!$G$21+M145*Upgrades!$H$21)*POWER(Upgrades!$I$21,M145)))*(IF(Upgrades!$T$13="Moving Group",POWER(Upgrades!$U$13,E145),1)*IF(Upgrades!$T$14="Moving Group",POWER(Upgrades!$U$14,F145),1)*IF(Upgrades!$T$15="Moving Group",POWER(Upgrades!$U$15,G145),1)*IF(Upgrades!$T$16="Moving Group",POWER(Upgrades!$U$16,H145),1)*IF(Upgrades!$T$17="Moving Group",POWER(Upgrades!$U$17,I145),1)*IF(Upgrades!$T$18="Moving Group",POWER(Upgrades!$U$18,J145),1)*IF(Upgrades!$T$19="Moving Group",POWER(Upgrades!$U$19,K145),1)*IF(Upgrades!$T$20="Moving Group",POWER(Upgrades!$U$20,L145),1)))*POWER(Upgrades!$P$13,E145)*POWER(Upgrades!$P$14,F145)*POWER(Upgrades!$P$15,G145)*POWER(Upgrades!$P$16,H145)*POWER(Upgrades!$P$17,I145)*POWER(Upgrades!$P$18,J145)*POWER(Upgrades!$P$19,K145)*POWER(Upgrades!$P$20,L145)*POWER(Upgrades!$P$21,M145)*$F$6+$C$6</f>
        <v/>
      </c>
      <c r="Q145" s="28">
        <f>((IF(E145=0,0,(Upgrades!$M$13+E145*Upgrades!$N$13)*POWER(Upgrades!$O$13,E145)))*(IF(Upgrades!$T$14="Stellar Kinematics",POWER(Upgrades!$U$14,F145),1)*IF(Upgrades!$T$15="Stellar Kinematics",POWER(Upgrades!$U$15,G145),1)*IF(Upgrades!$T$16="Stellar Kinematics",POWER(Upgrades!$U$16,H145),1)*IF(Upgrades!$T$17="Stellar Kinematics",POWER(Upgrades!$U$17,I145),1)*IF(Upgrades!$T$18="Stellar Kinematics",POWER(Upgrades!$U$18,J145),1)*IF(Upgrades!$T$19="Stellar Kinematics",POWER(Upgrades!$U$19,K145),1)*IF(Upgrades!$T$20="Stellar Kinematics",POWER(Upgrades!$U$20,L145),1)*IF(Upgrades!$T$21="Stellar Kinematics",POWER(Upgrades!$U$21,M145),1))+(IF(F145=0,0,(Upgrades!$M$14+F145*Upgrades!$N$14)*POWER(Upgrades!$O$14,F145)))*(IF(Upgrades!$T$13="Local Bubble",POWER(Upgrades!$U$13,E145),1)*IF(Upgrades!$T$15="Local Bubble",POWER(Upgrades!$U$15,G145),1)*IF(Upgrades!$T$16="Local Bubble",POWER(Upgrades!$U$16,H145),1)*IF(Upgrades!$T$17="Local Bubble",POWER(Upgrades!$U$17,I145),1)*IF(Upgrades!$T$18="Local Bubble",POWER(Upgrades!$U$18,J145),1)*IF(Upgrades!$T$19="Local Bubble",POWER(Upgrades!$U$19,K145),1)*IF(Upgrades!$T$20="Local Bubble",POWER(Upgrades!$U$20,L145),1)*IF(Upgrades!$T$21="Local Bubble",POWER(Upgrades!$U$21,M145),1))+(IF(G145=0,0,(Upgrades!$M$15+G145*Upgrades!$N$15)*POWER(Upgrades!$O$15,G145)))*(IF(Upgrades!$T$13="Microlensing",POWER(Upgrades!$U$13,E145),1)*IF(Upgrades!$T$14="Microlensing",POWER(Upgrades!$U$14,F145),1)*IF(Upgrades!$T$16="Microlensing",POWER(Upgrades!$U$16,H145),1)*IF(Upgrades!$T$17="Microlensing",POWER(Upgrades!$U$17,I145),1)*IF(Upgrades!$T$18="Microlensing",POWER(Upgrades!$U$18,J145),1)*IF(Upgrades!$T$19="Microlensing",POWER(Upgrades!$U$19,K145),1)*IF(Upgrades!$T$20="Microlensing",POWER(Upgrades!$U$20,L145),1)*IF(Upgrades!$T$21="Microlensing",POWER(Upgrades!$U$21,M145),1))+(IF(H145=0,0,(Upgrades!$M$16+H145*Upgrades!$N$16)*POWER(Upgrades!$O$16,H145)))*(IF(Upgrades!$T$13="Roche Lobe Overflow",POWER(Upgrades!$U$13,E145),1)*IF(Upgrades!$T$14="Roche Lobe Overflow",POWER(Upgrades!$U$14,F145),1)*IF(Upgrades!$T$15="Roche Lobe Overflow",POWER(Upgrades!$U$15,G145),1)*IF(Upgrades!$T$17="Roche Lobe Overflow",POWER(Upgrades!$U$17,I145),1)*IF(Upgrades!$T$18="Roche Lobe Overflow",POWER(Upgrades!$U$18,J145),1)*IF(Upgrades!$T$19="Roche Lobe Overflow",POWER(Upgrades!$U$19,K145),1)*IF(Upgrades!$T$20="Roche Lobe Overflow",POWER(Upgrades!$U$20,L145),1)*IF(Upgrades!$T$21="Roche Lobe Overflow",POWER(Upgrades!$U$21,M145),1))+(IF(I145=0,0,(Upgrades!$M$17+I145*Upgrades!$N$17)*POWER(Upgrades!$O$17,I145)))*(IF(Upgrades!$T$13="Brown Dwarf",POWER(Upgrades!$U$13,E145),1)*IF(Upgrades!$T$14="Brown Dwarf",POWER(Upgrades!$U$14,F145),1)*IF(Upgrades!$T$15="Brown Dwarf",POWER(Upgrades!$U$15,G145),1)*IF(Upgrades!$T$16="Brown Dwarf",POWER(Upgrades!$U$16,H145),1)*IF(Upgrades!$T$18="Brown Dwarf",POWER(Upgrades!$U$18,J145),1)*IF(Upgrades!$T$19="Brown Dwarf",POWER(Upgrades!$U$19,K145),1)*IF(Upgrades!$T$20="Brown Dwarf",POWER(Upgrades!$U$20,L145),1)*IF(Upgrades!$T$21="Brown Dwarf",POWER(Upgrades!$U$21,M145),1))+(IF(J145=0,0,(Upgrades!$M$18+J145*Upgrades!$N$18)*POWER(Upgrades!$O$18,J145)))*(IF(Upgrades!$T$13="Binary Partner",POWER(Upgrades!$U$13,E145),1)*IF(Upgrades!$T$14="Binary Partner",POWER(Upgrades!$U$14,F145),1)*IF(Upgrades!$T$15="Binary Partner",POWER(Upgrades!$U$15,G145),1)*IF(Upgrades!$T$16="Binary Partner",POWER(Upgrades!$U$16,H145),1)*IF(Upgrades!$T$17="Binary Partner",POWER(Upgrades!$U$17,I145),1)*IF(Upgrades!$T$19="Binary Partner",POWER(Upgrades!$U$19,K145),1)*IF(Upgrades!$T$20="Binary Partner",POWER(Upgrades!$U$20,L145),1)*IF(Upgrades!$T$21="Binary Partner",POWER(Upgrades!$U$21,M145),1))+(IF(K145=0,0,(Upgrades!$M$19+K145*Upgrades!$N$19)*POWER(Upgrades!$O$19,K145)))*(IF(Upgrades!$T$13="Peculiar Velocity",POWER(Upgrades!$U$13,E145),1)*IF(Upgrades!$T$14="Peculiar Velocity",POWER(Upgrades!$U$14,F145),1)*IF(Upgrades!$T$15="Peculiar Velocity",POWER(Upgrades!$U$15,G145),1)*IF(Upgrades!$T$16="Peculiar Velocity",POWER(Upgrades!$U$16,H145),1)*IF(Upgrades!$T$17="Peculiar Velocity",POWER(Upgrades!$U$17,I145),1)*IF(Upgrades!$T$18="Peculiar Velocity",POWER(Upgrades!$U$18,J145),1)*IF(Upgrades!$T$20="Peculiar Velocity",POWER(Upgrades!$U$20,L145),1)*IF(Upgrades!$T$21="Peculiar Velocity",POWER(Upgrades!$U$21,M145),1))+(IF(L145=0,0,(Upgrades!$M$20+L145*Upgrades!$N$20)*POWER(Upgrades!$O$20,L145)))*(IF(Upgrades!$T$13="Open Cluster",POWER(Upgrades!$U$13,E145),1)*IF(Upgrades!$T$14="Open Cluster",POWER(Upgrades!$U$14,F145),1)*IF(Upgrades!$T$15="Open Cluster",POWER(Upgrades!$U$15,G145),1)*IF(Upgrades!$T$16="Open Cluster",POWER(Upgrades!$U$16,H145),1)*IF(Upgrades!$T$17="Open Cluster",POWER(Upgrades!$U$17,I145),1)*IF(Upgrades!$T$18="Open Cluster",POWER(Upgrades!$U$18,J145),1)*IF(Upgrades!$T$19="Open Cluster",POWER(Upgrades!$U$19,K145),1)*IF(Upgrades!$T$21="Open Cluster",POWER(Upgrades!$U$21,M145),1))+(IF(M145=0,0,(Upgrades!$M$21+M145*Upgrades!$N$21)*POWER(Upgrades!$O$21,M145)))*(IF(Upgrades!$T$13="Moving Group",POWER(Upgrades!$U$13,E145),1)*IF(Upgrades!$T$14="Moving Group",POWER(Upgrades!$U$14,F145),1)*IF(Upgrades!$T$15="Moving Group",POWER(Upgrades!$U$15,G145),1)*IF(Upgrades!$T$16="Moving Group",POWER(Upgrades!$U$16,H145),1)*IF(Upgrades!$T$17="Moving Group",POWER(Upgrades!$U$17,I145),1)*IF(Upgrades!$T$18="Moving Group",POWER(Upgrades!$U$18,J145),1)*IF(Upgrades!$T$19="Moving Group",POWER(Upgrades!$U$19,K145),1)*IF(Upgrades!$T$20="Moving Group",POWER(Upgrades!$U$20,L145),1)))*POWER(Upgrades!$R$13,E145)*POWER(Upgrades!$R$14,F145)*POWER(Upgrades!$R$15,G145)*POWER(Upgrades!$R$16,H145)*POWER(Upgrades!$R$17,I145)*POWER(Upgrades!$R$18,J145)*POWER(Upgrades!$R$19,K145)*POWER(Upgrades!$R$20,L145)*POWER(Upgrades!$R$21,M145)*$H$6+$E$6</f>
        <v/>
      </c>
      <c r="R145" s="27">
        <f>IF(N145=1,0,O145*Parameters!$B$10/60*Parameters!$B$11*10)</f>
        <v/>
      </c>
      <c r="S145" s="27">
        <f>IF(N145=1,0,Q145*O145*10)</f>
        <v/>
      </c>
      <c r="T145" s="27">
        <f>IF(N145=1,0,R145+S145+P145*10)</f>
        <v/>
      </c>
      <c r="U145" s="33">
        <f>BE145</f>
        <v/>
      </c>
      <c r="V145" s="22">
        <f>IF(U145="",0,IF(U145="transition",0,IF(U145="SK",AK145,IF(U145="LB",AL145,IF(U145="ML",AM145,IF(U145="RLO",AN145,IF(U145="BD",AO145,IF(U145="BiP",AP145,IF(U145="PV",AQ145,IF(U145="OC",AR145,IF(U145="MG",AS145,0))))))))))</f>
        <v/>
      </c>
      <c r="W145" s="27">
        <f>IF(U145="BiP",Upgrades!$F$18,IF(U145="PV",Upgrades!$F$19,IF(U145="OC",Upgrades!$F$20,IF(U145="MG",Upgrades!$F$21,IF(U145="transition",-Parameters!$B$18*Parameters!$B$19,0)))))</f>
        <v/>
      </c>
      <c r="X145" s="22">
        <f>C145+T145-V145</f>
        <v/>
      </c>
      <c r="Y145" s="30">
        <f>O145*Parameters!$B$10/60*Parameters!$B$11+Q145*O145+P145</f>
        <v/>
      </c>
      <c r="Z145" s="34">
        <f>IF(U145="transition","→ Tier 3 (Galactic Arm)",IF(U145="MG","Moving Group — pocket drifts together",IF(U145="OC","Open Cluster acquired",IF(U145="PV","Peculiar Velocity — passive multiplier active",IF(U145="BiP","Binary Partner — pair bond formed",IF(AND(AU145=1,N145=0,AT145&lt;&gt;1),"Cohesion ready (waiting on completionists)","")))))) </f>
        <v/>
      </c>
      <c r="AA145" s="27">
        <f>(IF(E145=0,0,(Upgrades!$G$13+E145*Upgrades!$H$13)*POWER(Upgrades!$I$13,E145)))*(IF(Upgrades!$T$14="Stellar Kinematics",POWER(Upgrades!$U$14,F145),1)*IF(Upgrades!$T$15="Stellar Kinematics",POWER(Upgrades!$U$15,G145),1)*IF(Upgrades!$T$16="Stellar Kinematics",POWER(Upgrades!$U$16,H145),1)*IF(Upgrades!$T$17="Stellar Kinematics",POWER(Upgrades!$U$17,I145),1)*IF(Upgrades!$T$18="Stellar Kinematics",POWER(Upgrades!$U$18,J145),1)*IF(Upgrades!$T$19="Stellar Kinematics",POWER(Upgrades!$U$19,K145),1)*IF(Upgrades!$T$20="Stellar Kinematics",POWER(Upgrades!$U$20,L145),1)*IF(Upgrades!$T$21="Stellar Kinematics",POWER(Upgrades!$U$21,M145),1))*POWER(Upgrades!$P$13,E145)*POWER(Upgrades!$P$14,F145)*POWER(Upgrades!$P$15,G145)*POWER(Upgrades!$P$16,H145)*POWER(Upgrades!$P$17,I145)*POWER(Upgrades!$P$18,J145)*POWER(Upgrades!$P$19,K145)*POWER(Upgrades!$P$20,L145)*POWER(Upgrades!$P$21,M145)*$F$6*60</f>
        <v/>
      </c>
      <c r="AB145" s="27">
        <f>(IF(F145=0,0,(Upgrades!$G$14+F145*Upgrades!$H$14)*POWER(Upgrades!$I$14,F145)))*(IF(Upgrades!$T$13="Local Bubble",POWER(Upgrades!$U$13,E145),1)*IF(Upgrades!$T$15="Local Bubble",POWER(Upgrades!$U$15,G145),1)*IF(Upgrades!$T$16="Local Bubble",POWER(Upgrades!$U$16,H145),1)*IF(Upgrades!$T$17="Local Bubble",POWER(Upgrades!$U$17,I145),1)*IF(Upgrades!$T$18="Local Bubble",POWER(Upgrades!$U$18,J145),1)*IF(Upgrades!$T$19="Local Bubble",POWER(Upgrades!$U$19,K145),1)*IF(Upgrades!$T$20="Local Bubble",POWER(Upgrades!$U$20,L145),1)*IF(Upgrades!$T$21="Local Bubble",POWER(Upgrades!$U$21,M145),1))*POWER(Upgrades!$P$13,E145)*POWER(Upgrades!$P$14,F145)*POWER(Upgrades!$P$15,G145)*POWER(Upgrades!$P$16,H145)*POWER(Upgrades!$P$17,I145)*POWER(Upgrades!$P$18,J145)*POWER(Upgrades!$P$19,K145)*POWER(Upgrades!$P$20,L145)*POWER(Upgrades!$P$21,M145)*$F$6*60</f>
        <v/>
      </c>
      <c r="AC145" s="27">
        <f>(IF(G145=0,0,(Upgrades!$J$15+G145*Upgrades!$K$15)*POWER(Upgrades!$L$15,G145)))*(IF(Upgrades!$T$13="Microlensing",POWER(Upgrades!$U$13,E145),1)*IF(Upgrades!$T$14="Microlensing",POWER(Upgrades!$U$14,F145),1)*IF(Upgrades!$T$16="Microlensing",POWER(Upgrades!$U$16,H145),1)*IF(Upgrades!$T$17="Microlensing",POWER(Upgrades!$U$17,I145),1)*IF(Upgrades!$T$18="Microlensing",POWER(Upgrades!$U$18,J145),1)*IF(Upgrades!$T$19="Microlensing",POWER(Upgrades!$U$19,K145),1)*IF(Upgrades!$T$20="Microlensing",POWER(Upgrades!$U$20,L145),1)*IF(Upgrades!$T$21="Microlensing",POWER(Upgrades!$U$21,M145),1))*POWER(Upgrades!$Q$13,E145)*POWER(Upgrades!$Q$14,F145)*POWER(Upgrades!$Q$15,G145)*POWER(Upgrades!$Q$16,H145)*POWER(Upgrades!$Q$17,I145)*POWER(Upgrades!$Q$18,J145)*POWER(Upgrades!$Q$19,K145)*POWER(Upgrades!$Q$20,L145)*POWER(Upgrades!$Q$21,M145)*$G$6*(Parameters!$B$10*Parameters!$B$11+Q145*60)</f>
        <v/>
      </c>
      <c r="AD145" s="27">
        <f>(IF(H145=0,0,(Upgrades!$M$16+H145*Upgrades!$N$16)*POWER(Upgrades!$O$16,H145)))*(IF(Upgrades!$T$13="Roche Lobe Overflow",POWER(Upgrades!$U$13,E145),1)*IF(Upgrades!$T$14="Roche Lobe Overflow",POWER(Upgrades!$U$14,F145),1)*IF(Upgrades!$T$15="Roche Lobe Overflow",POWER(Upgrades!$U$15,G145),1)*IF(Upgrades!$T$17="Roche Lobe Overflow",POWER(Upgrades!$U$17,I145),1)*IF(Upgrades!$T$18="Roche Lobe Overflow",POWER(Upgrades!$U$18,J145),1)*IF(Upgrades!$T$19="Roche Lobe Overflow",POWER(Upgrades!$U$19,K145),1)*IF(Upgrades!$T$20="Roche Lobe Overflow",POWER(Upgrades!$U$20,L145),1)*IF(Upgrades!$T$21="Roche Lobe Overflow",POWER(Upgrades!$U$21,M145),1))*POWER(Upgrades!$R$13,E145)*POWER(Upgrades!$R$14,F145)*POWER(Upgrades!$R$15,G145)*POWER(Upgrades!$R$16,H145)*POWER(Upgrades!$R$17,I145)*POWER(Upgrades!$R$18,J145)*POWER(Upgrades!$R$19,K145)*POWER(Upgrades!$R$20,L145)*POWER(Upgrades!$R$21,M145)*$H$6*O145*60</f>
        <v/>
      </c>
      <c r="AE145" s="27">
        <f>(IF(I145=0,0,(Upgrades!$G$17+I145*Upgrades!$H$17)*POWER(Upgrades!$I$17,I145)))*(IF(Upgrades!$T$13="Brown Dwarf",POWER(Upgrades!$U$13,E145),1)*IF(Upgrades!$T$14="Brown Dwarf",POWER(Upgrades!$U$14,F145),1)*IF(Upgrades!$T$15="Brown Dwarf",POWER(Upgrades!$U$15,G145),1)*IF(Upgrades!$T$16="Brown Dwarf",POWER(Upgrades!$U$16,H145),1)*IF(Upgrades!$T$18="Brown Dwarf",POWER(Upgrades!$U$18,J145),1)*IF(Upgrades!$T$19="Brown Dwarf",POWER(Upgrades!$U$19,K145),1)*IF(Upgrades!$T$20="Brown Dwarf",POWER(Upgrades!$U$20,L145),1)*IF(Upgrades!$T$21="Brown Dwarf",POWER(Upgrades!$U$21,M145),1))*POWER(Upgrades!$P$13,E145)*POWER(Upgrades!$P$14,F145)*POWER(Upgrades!$P$15,G145)*POWER(Upgrades!$P$16,H145)*POWER(Upgrades!$P$17,I145)*POWER(Upgrades!$P$18,J145)*POWER(Upgrades!$P$19,K145)*POWER(Upgrades!$P$20,L145)*POWER(Upgrades!$P$21,M145)*$F$6*60</f>
        <v/>
      </c>
      <c r="AF145" s="27" t="n">
        <v>0</v>
      </c>
      <c r="AG145" s="27" t="n">
        <v>0</v>
      </c>
      <c r="AH145" s="27" t="n">
        <v>0</v>
      </c>
      <c r="AI145" s="27">
        <f>(IF(M145=0,0,(Upgrades!$G$21+M145*Upgrades!$H$21)*POWER(Upgrades!$I$21,M145)))*(IF(Upgrades!$T$13="Moving Group",POWER(Upgrades!$U$13,E145),1)*IF(Upgrades!$T$14="Moving Group",POWER(Upgrades!$U$14,F145),1)*IF(Upgrades!$T$15="Moving Group",POWER(Upgrades!$U$15,G145),1)*IF(Upgrades!$T$16="Moving Group",POWER(Upgrades!$U$16,H145),1)*IF(Upgrades!$T$17="Moving Group",POWER(Upgrades!$U$17,I145),1)*IF(Upgrades!$T$18="Moving Group",POWER(Upgrades!$U$18,J145),1)*IF(Upgrades!$T$19="Moving Group",POWER(Upgrades!$U$19,K145),1)*IF(Upgrades!$T$20="Moving Group",POWER(Upgrades!$U$20,L145),1))*POWER(Upgrades!$P$13,E145)*POWER(Upgrades!$P$14,F145)*POWER(Upgrades!$P$15,G145)*POWER(Upgrades!$P$16,H145)*POWER(Upgrades!$P$17,I145)*POWER(Upgrades!$P$18,J145)*POWER(Upgrades!$P$19,K145)*POWER(Upgrades!$P$20,L145)*POWER(Upgrades!$P$21,M145)*$F$6*60</f>
        <v/>
      </c>
      <c r="AJ145" s="27">
        <f>$C$6*60</f>
        <v/>
      </c>
      <c r="AK145" s="22">
        <f>IF(E145&gt;=Upgrades!$E$13,"",Upgrades!$C$13*POWER(Upgrades!$D$13,E145))</f>
        <v/>
      </c>
      <c r="AL145" s="22">
        <f>IF(F145&gt;=Upgrades!$E$14,"",Upgrades!$C$14*POWER(Upgrades!$D$14,F145))</f>
        <v/>
      </c>
      <c r="AM145" s="22">
        <f>IF(G145&gt;=Upgrades!$E$15,"",Upgrades!$C$15*POWER(Upgrades!$D$15,G145))</f>
        <v/>
      </c>
      <c r="AN145" s="22">
        <f>IF(H145&gt;=Upgrades!$E$16,"",Upgrades!$C$16*POWER(Upgrades!$D$16,H145))</f>
        <v/>
      </c>
      <c r="AO145" s="22">
        <f>IF(I145&gt;=Upgrades!$E$17,"",Upgrades!$C$17*POWER(Upgrades!$D$17,I145))</f>
        <v/>
      </c>
      <c r="AP145" s="22">
        <f>IF(J145&gt;=Upgrades!$E$18,"",Upgrades!$C$18*POWER(Upgrades!$D$18,J145))</f>
        <v/>
      </c>
      <c r="AQ145" s="22">
        <f>IF(K145&gt;=Upgrades!$E$19,"",Upgrades!$C$19*POWER(Upgrades!$D$19,K145))</f>
        <v/>
      </c>
      <c r="AR145" s="22">
        <f>IF(L145&gt;=Upgrades!$E$20,"",Upgrades!$C$20*POWER(Upgrades!$D$20,L145))</f>
        <v/>
      </c>
      <c r="AS145" s="22">
        <f>IF(M145&gt;=Upgrades!$E$21,"",Upgrades!$C$21*POWER(Upgrades!$D$21,M145))</f>
        <v/>
      </c>
      <c r="AT145" s="26">
        <f>IF(AND(D145&gt;=Parameters!$B$18*Parameters!$B$19,(I145&gt;=Upgrades!$E$17)*(M145&gt;=Upgrades!$E$21)=1,N145=0),1,"")</f>
        <v/>
      </c>
      <c r="AU145" s="26">
        <f>IF(AND(D145&gt;=Parameters!$B$18*Parameters!$B$19,N145=0),1,"")</f>
        <v/>
      </c>
      <c r="AV145" s="22">
        <f>MIN(IF(ISNUMBER(AP145),AP145,9E15),IF(ISNUMBER(AQ145),AQ145,9E15),IF(ISNUMBER(AR145),AR145,9E15),IF(ISNUMBER(AS145),AS145,9E15))</f>
        <v/>
      </c>
      <c r="AW145" s="22">
        <f>MIN(IF(ISNUMBER(AK145),AK145,9E15),IF(ISNUMBER(AL145),AL145,9E15),IF(ISNUMBER(AM145),AM145,9E15),IF(ISNUMBER(AN145),AN145,9E15),IF(ISNUMBER(AO145),AO145,9E15))</f>
        <v/>
      </c>
      <c r="AX145" s="29">
        <f>IF(BD145&gt;Parameters!$B$21*(MAX(IF(AND(NOT(AND(AU145=1,AT145&lt;&gt;1)),ISNUMBER(AK145),AK145&lt;=(C145+T145)),AY145,0),IF(AND(NOT(AND(AU145=1,AT145&lt;&gt;1)),ISNUMBER(AL145),AL145&lt;=(C145+T145)),AZ145,0),IF(AND(NOT(AND(AU145=1,AT145&lt;&gt;1)),ISNUMBER(AM145),AM145&lt;=(C145+T145)),BA145,0),IF(AND(NOT(AND(AU145=1,AT145&lt;&gt;1)),ISNUMBER(AN145),AN145&lt;=(C145+T145)),BB145,0),IF(AND(ISNUMBER(AO145),AO145&lt;=(C145+T145)),BC145,0))),TRUE,FALSE)</f>
        <v/>
      </c>
      <c r="AY145" s="32">
        <f>IFERROR(Upgrades!$H$13*(POWER(Upgrades!$P$13,E145)*POWER(Upgrades!$P$14,F145)*POWER(Upgrades!$P$15,G145)*POWER(Upgrades!$P$16,H145)*POWER(Upgrades!$P$17,I145)*POWER(Upgrades!$P$18,J145)*POWER(Upgrades!$P$19,K145)*POWER(Upgrades!$P$20,L145)*POWER(Upgrades!$P$21,M145))*(IF(Upgrades!$T$14="Stellar Kinematics",POWER(Upgrades!$U$14,F145),1)*IF(Upgrades!$T$15="Stellar Kinematics",POWER(Upgrades!$U$15,G145),1)*IF(Upgrades!$T$16="Stellar Kinematics",POWER(Upgrades!$U$16,H145),1)*IF(Upgrades!$T$17="Stellar Kinematics",POWER(Upgrades!$U$17,I145),1)*IF(Upgrades!$T$18="Stellar Kinematics",POWER(Upgrades!$U$18,J145),1)*IF(Upgrades!$T$19="Stellar Kinematics",POWER(Upgrades!$U$19,K145),1)*IF(Upgrades!$T$20="Stellar Kinematics",POWER(Upgrades!$U$20,L145),1)*IF(Upgrades!$T$21="Stellar Kinematics",POWER(Upgrades!$U$21,M145),1))*$F$6/AK145,0)</f>
        <v/>
      </c>
      <c r="AZ145" s="32">
        <f>IFERROR(Upgrades!$H$14*(POWER(Upgrades!$P$13,E145)*POWER(Upgrades!$P$14,F145)*POWER(Upgrades!$P$15,G145)*POWER(Upgrades!$P$16,H145)*POWER(Upgrades!$P$17,I145)*POWER(Upgrades!$P$18,J145)*POWER(Upgrades!$P$19,K145)*POWER(Upgrades!$P$20,L145)*POWER(Upgrades!$P$21,M145))*(IF(Upgrades!$T$13="Local Bubble",POWER(Upgrades!$U$13,E145),1)*IF(Upgrades!$T$15="Local Bubble",POWER(Upgrades!$U$15,G145),1)*IF(Upgrades!$T$16="Local Bubble",POWER(Upgrades!$U$16,H145),1)*IF(Upgrades!$T$17="Local Bubble",POWER(Upgrades!$U$17,I145),1)*IF(Upgrades!$T$18="Local Bubble",POWER(Upgrades!$U$18,J145),1)*IF(Upgrades!$T$19="Local Bubble",POWER(Upgrades!$U$19,K145),1)*IF(Upgrades!$T$20="Local Bubble",POWER(Upgrades!$U$20,L145),1)*IF(Upgrades!$T$21="Local Bubble",POWER(Upgrades!$U$21,M145),1))*$F$6/AL145,0)</f>
        <v/>
      </c>
      <c r="BA145" s="32">
        <f>IFERROR(Upgrades!$K$15*(POWER(Upgrades!$Q$13,E145)*POWER(Upgrades!$Q$14,F145)*POWER(Upgrades!$Q$15,G145)*POWER(Upgrades!$Q$16,H145)*POWER(Upgrades!$Q$17,I145)*POWER(Upgrades!$Q$18,J145)*POWER(Upgrades!$Q$19,K145)*POWER(Upgrades!$Q$20,L145)*POWER(Upgrades!$Q$21,M145))*(IF(Upgrades!$T$13="Microlensing",POWER(Upgrades!$U$13,E145),1)*IF(Upgrades!$T$14="Microlensing",POWER(Upgrades!$U$14,F145),1)*IF(Upgrades!$T$16="Microlensing",POWER(Upgrades!$U$16,H145),1)*IF(Upgrades!$T$17="Microlensing",POWER(Upgrades!$U$17,I145),1)*IF(Upgrades!$T$18="Microlensing",POWER(Upgrades!$U$18,J145),1)*IF(Upgrades!$T$19="Microlensing",POWER(Upgrades!$U$19,K145),1)*IF(Upgrades!$T$20="Microlensing",POWER(Upgrades!$U$20,L145),1)*IF(Upgrades!$T$21="Microlensing",POWER(Upgrades!$U$21,M145),1))*$G$6*(Parameters!$B$10/60*Parameters!$B$11+Q145)/AM145,0)</f>
        <v/>
      </c>
      <c r="BB145" s="32">
        <f>IFERROR((Upgrades!$N$16*(POWER(Upgrades!$R$13,E145)*POWER(Upgrades!$R$14,F145)*POWER(Upgrades!$R$15,G145)*POWER(Upgrades!$R$16,H145)*POWER(Upgrades!$R$17,I145)*POWER(Upgrades!$R$18,J145)*POWER(Upgrades!$R$19,K145)*POWER(Upgrades!$R$20,L145)*POWER(Upgrades!$R$21,M145))*(IF(Upgrades!$T$13="Roche Lobe Overflow",POWER(Upgrades!$U$13,E145),1)*IF(Upgrades!$T$14="Roche Lobe Overflow",POWER(Upgrades!$U$14,F145),1)*IF(Upgrades!$T$15="Roche Lobe Overflow",POWER(Upgrades!$U$15,G145),1)*IF(Upgrades!$T$17="Roche Lobe Overflow",POWER(Upgrades!$U$17,I145),1)*IF(Upgrades!$T$18="Roche Lobe Overflow",POWER(Upgrades!$U$18,J145),1)*IF(Upgrades!$T$19="Roche Lobe Overflow",POWER(Upgrades!$U$19,K145),1)*IF(Upgrades!$T$20="Roche Lobe Overflow",POWER(Upgrades!$U$20,L145),1)*IF(Upgrades!$T$21="Roche Lobe Overflow",POWER(Upgrades!$U$21,M145),1))*$H$6*O145+((IF(F145=0,0,(Upgrades!$G$14+F145*Upgrades!$H$14)*POWER(Upgrades!$I$14,F145)))*(IF(Upgrades!$T$13="Local Bubble",POWER(Upgrades!$U$13,E145),1)*IF(Upgrades!$T$15="Local Bubble",POWER(Upgrades!$U$15,G145),1)*IF(Upgrades!$T$16="Local Bubble",POWER(Upgrades!$U$16,H145),1)*IF(Upgrades!$T$17="Local Bubble",POWER(Upgrades!$U$17,I145),1)*IF(Upgrades!$T$18="Local Bubble",POWER(Upgrades!$U$18,J145),1)*IF(Upgrades!$T$19="Local Bubble",POWER(Upgrades!$U$19,K145),1)*IF(Upgrades!$T$20="Local Bubble",POWER(Upgrades!$U$20,L145),1)*IF(Upgrades!$T$21="Local Bubble",POWER(Upgrades!$U$21,M145),1))*POWER(Upgrades!$P$13,E145)*POWER(Upgrades!$P$14,F145)*POWER(Upgrades!$P$15,G145)*POWER(Upgrades!$P$16,H145)*POWER(Upgrades!$P$17,I145)*POWER(Upgrades!$P$18,J145)*POWER(Upgrades!$P$19,K145)*POWER(Upgrades!$P$20,L145)*POWER(Upgrades!$P$21,M145)*$F$6)*0.05)/AN145,0)</f>
        <v/>
      </c>
      <c r="BC145" s="32">
        <f>IFERROR((Upgrades!$H$17*(POWER(Upgrades!$P$13,E145)*POWER(Upgrades!$P$14,F145)*POWER(Upgrades!$P$15,G145)*POWER(Upgrades!$P$16,H145)*POWER(Upgrades!$P$17,I145)*POWER(Upgrades!$P$18,J145)*POWER(Upgrades!$P$19,K145)*POWER(Upgrades!$P$20,L145)*POWER(Upgrades!$P$21,M145))*(IF(Upgrades!$T$13="Brown Dwarf",POWER(Upgrades!$U$13,E145),1)*IF(Upgrades!$T$14="Brown Dwarf",POWER(Upgrades!$U$14,F145),1)*IF(Upgrades!$T$15="Brown Dwarf",POWER(Upgrades!$U$15,G145),1)*IF(Upgrades!$T$16="Brown Dwarf",POWER(Upgrades!$U$16,H145),1)*IF(Upgrades!$T$18="Brown Dwarf",POWER(Upgrades!$U$18,J145),1)*IF(Upgrades!$T$19="Brown Dwarf",POWER(Upgrades!$U$19,K145),1)*IF(Upgrades!$T$20="Brown Dwarf",POWER(Upgrades!$U$20,L145),1)*IF(Upgrades!$T$21="Brown Dwarf",POWER(Upgrades!$U$21,M145),1))*$F$6+(((IF(H145=0,0,(Upgrades!$M$16+H145*Upgrades!$N$16)*POWER(Upgrades!$O$16,H145)))*(IF(Upgrades!$T$13="Roche Lobe Overflow",POWER(Upgrades!$U$13,E145),1)*IF(Upgrades!$T$14="Roche Lobe Overflow",POWER(Upgrades!$U$14,F145),1)*IF(Upgrades!$T$15="Roche Lobe Overflow",POWER(Upgrades!$U$15,G145),1)*IF(Upgrades!$T$17="Roche Lobe Overflow",POWER(Upgrades!$U$17,I145),1)*IF(Upgrades!$T$18="Roche Lobe Overflow",POWER(Upgrades!$U$18,J145),1)*IF(Upgrades!$T$19="Roche Lobe Overflow",POWER(Upgrades!$U$19,K145),1)*IF(Upgrades!$T$20="Roche Lobe Overflow",POWER(Upgrades!$U$20,L145),1)*IF(Upgrades!$T$21="Roche Lobe Overflow",POWER(Upgrades!$U$21,M145),1))*POWER(Upgrades!$R$13,E145)*POWER(Upgrades!$R$14,F145)*POWER(Upgrades!$R$15,G145)*POWER(Upgrades!$R$16,H145)*POWER(Upgrades!$R$17,I145)*POWER(Upgrades!$R$18,J145)*POWER(Upgrades!$R$19,K145)*POWER(Upgrades!$R$20,L145)*POWER(Upgrades!$R$21,M145)*$H$6)*O145)*0.10)/AO145,0)</f>
        <v/>
      </c>
      <c r="BD145" s="32">
        <f>MAX(IF(J145&gt;0,0,IFERROR(0.5*((IF(G145=0,0,(Upgrades!$J$15+G145*Upgrades!$K$15)*POWER(Upgrades!$L$15,G145)))*(IF(Upgrades!$T$13="Microlensing",POWER(Upgrades!$U$13,E145),1)*IF(Upgrades!$T$14="Microlensing",POWER(Upgrades!$U$14,F145),1)*IF(Upgrades!$T$16="Microlensing",POWER(Upgrades!$U$16,H145),1)*IF(Upgrades!$T$17="Microlensing",POWER(Upgrades!$U$17,I145),1)*IF(Upgrades!$T$18="Microlensing",POWER(Upgrades!$U$18,J145),1)*IF(Upgrades!$T$19="Microlensing",POWER(Upgrades!$U$19,K145),1)*IF(Upgrades!$T$20="Microlensing",POWER(Upgrades!$U$20,L145),1)*IF(Upgrades!$T$21="Microlensing",POWER(Upgrades!$U$21,M145),1))*(POWER(Upgrades!$Q$13,E145)*POWER(Upgrades!$Q$14,F145)*POWER(Upgrades!$Q$15,G145)*POWER(Upgrades!$Q$16,H145)*POWER(Upgrades!$Q$17,I145)*POWER(Upgrades!$Q$18,J145)*POWER(Upgrades!$Q$19,K145)*POWER(Upgrades!$Q$20,L145)*POWER(Upgrades!$Q$21,M145))*$G$6*(Parameters!$B$10/60*Parameters!$B$11+Q145))/Upgrades!$C$18,0)),IF(K145&gt;0,0,IFERROR(0.30*P145/Upgrades!$C$19,0)),IF(L145&gt;0,0,IFERROR(0.0001/Upgrades!$C$20,0)),IF(M145&gt;0,0,IFERROR((6.0*(POWER(Upgrades!$P$13,E145)*POWER(Upgrades!$P$14,F145)*POWER(Upgrades!$P$15,G145)*POWER(Upgrades!$P$16,H145)*POWER(Upgrades!$P$17,I145)*POWER(Upgrades!$P$18,J145)*POWER(Upgrades!$P$19,K145)*POWER(Upgrades!$P$20,L145)*POWER(Upgrades!$P$21,M145))*$F$6+0.20*O145*(Parameters!$B$10/60*Parameters!$B$11+Q145))/Upgrades!$C$21,0)),IF(AND(ISNUMBER(AK145),AK145&gt;(C145+T145)),AY145,0),IF(AND(ISNUMBER(AL145),AL145&gt;(C145+T145)),AZ145,0),IF(AND(ISNUMBER(AM145),AM145&gt;(C145+T145)),BA145,0),IF(AND(ISNUMBER(AN145),AN145&gt;(C145+T145)),BB145,0),IF(AND(ISNUMBER(AO145),AO145&gt;(C145+T145)),BC145,0))</f>
        <v/>
      </c>
      <c r="BE145" s="29">
        <f>IF(AT145=1,"transition",IF(MIN(IF(AND(J145=0,ISNUMBER(AP145),AP145&lt;=(C145+T145)),AP145,9E15),IF(AND(K145=0,ISNUMBER(AQ145),AQ145&lt;=(C145+T145)),AQ145,9E15),IF(AND(L145=0,ISNUMBER(AR145),AR145&lt;=(C145+T145)),AR145,9E15),IF(AND(M145=0,ISNUMBER(AS145),AS145&lt;=(C145+T145)),AS145,9E15))&lt;9E15,IF(AND(AND(J145=0,ISNUMBER(AP145),AP145&lt;=(C145+T145)),AP145=MIN(IF(AND(J145=0,ISNUMBER(AP145),AP145&lt;=(C145+T145)),AP145,9E15),IF(AND(K145=0,ISNUMBER(AQ145),AQ145&lt;=(C145+T145)),AQ145,9E15),IF(AND(L145=0,ISNUMBER(AR145),AR145&lt;=(C145+T145)),AR145,9E15),IF(AND(M145=0,ISNUMBER(AS145),AS145&lt;=(C145+T145)),AS145,9E15))),"BiP",IF(AND(AND(K145=0,ISNUMBER(AQ145),AQ145&lt;=(C145+T145)),AQ145=MIN(IF(AND(J145=0,ISNUMBER(AP145),AP145&lt;=(C145+T145)),AP145,9E15),IF(AND(K145=0,ISNUMBER(AQ145),AQ145&lt;=(C145+T145)),AQ145,9E15),IF(AND(L145=0,ISNUMBER(AR145),AR145&lt;=(C145+T145)),AR145,9E15),IF(AND(M145=0,ISNUMBER(AS145),AS145&lt;=(C145+T145)),AS145,9E15))),"PV",IF(AND(AND(L145=0,ISNUMBER(AR145),AR145&lt;=(C145+T145)),AR145=MIN(IF(AND(J145=0,ISNUMBER(AP145),AP145&lt;=(C145+T145)),AP145,9E15),IF(AND(K145=0,ISNUMBER(AQ145),AQ145&lt;=(C145+T145)),AQ145,9E15),IF(AND(L145=0,ISNUMBER(AR145),AR145&lt;=(C145+T145)),AR145,9E15),IF(AND(M145=0,ISNUMBER(AS145),AS145&lt;=(C145+T145)),AS145,9E15))),"OC","MG"))),IF(AX145=TRUE,"",IF(MAX(IF(AND(NOT(AND(AU145=1,AT145&lt;&gt;1)),ISNUMBER(AK145),AK145&lt;=(C145+T145)),AY145,0),IF(AND(NOT(AND(AU145=1,AT145&lt;&gt;1)),ISNUMBER(AL145),AL145&lt;=(C145+T145)),AZ145,0),IF(AND(NOT(AND(AU145=1,AT145&lt;&gt;1)),ISNUMBER(AM145),AM145&lt;=(C145+T145)),BA145,0),IF(AND(NOT(AND(AU145=1,AT145&lt;&gt;1)),ISNUMBER(AN145),AN145&lt;=(C145+T145)),BB145,0),IF(AND(ISNUMBER(AO145),AO145&lt;=(C145+T145)),BC145,0))&lt;=0,"",IF(AND(IF(AND(NOT(AND(AU145=1,AT145&lt;&gt;1)),ISNUMBER(AK145),AK145&lt;=(C145+T145)),AY145,0)&gt;0,IF(AND(NOT(AND(AU145=1,AT145&lt;&gt;1)),ISNUMBER(AK145),AK145&lt;=(C145+T145)),AY145,0)=MAX(IF(AND(NOT(AND(AU145=1,AT145&lt;&gt;1)),ISNUMBER(AK145),AK145&lt;=(C145+T145)),AY145,0),IF(AND(NOT(AND(AU145=1,AT145&lt;&gt;1)),ISNUMBER(AL145),AL145&lt;=(C145+T145)),AZ145,0),IF(AND(NOT(AND(AU145=1,AT145&lt;&gt;1)),ISNUMBER(AM145),AM145&lt;=(C145+T145)),BA145,0),IF(AND(NOT(AND(AU145=1,AT145&lt;&gt;1)),ISNUMBER(AN145),AN145&lt;=(C145+T145)),BB145,0),IF(AND(ISNUMBER(AO145),AO145&lt;=(C145+T145)),BC145,0))),"SK",IF(AND(IF(AND(NOT(AND(AU145=1,AT145&lt;&gt;1)),ISNUMBER(AL145),AL145&lt;=(C145+T145)),AZ145,0)&gt;0,IF(AND(NOT(AND(AU145=1,AT145&lt;&gt;1)),ISNUMBER(AL145),AL145&lt;=(C145+T145)),AZ145,0)=MAX(IF(AND(NOT(AND(AU145=1,AT145&lt;&gt;1)),ISNUMBER(AK145),AK145&lt;=(C145+T145)),AY145,0),IF(AND(NOT(AND(AU145=1,AT145&lt;&gt;1)),ISNUMBER(AL145),AL145&lt;=(C145+T145)),AZ145,0),IF(AND(NOT(AND(AU145=1,AT145&lt;&gt;1)),ISNUMBER(AM145),AM145&lt;=(C145+T145)),BA145,0),IF(AND(NOT(AND(AU145=1,AT145&lt;&gt;1)),ISNUMBER(AN145),AN145&lt;=(C145+T145)),BB145,0),IF(AND(ISNUMBER(AO145),AO145&lt;=(C145+T145)),BC145,0))),"LB",IF(AND(IF(AND(NOT(AND(AU145=1,AT145&lt;&gt;1)),ISNUMBER(AM145),AM145&lt;=(C145+T145)),BA145,0)&gt;0,IF(AND(NOT(AND(AU145=1,AT145&lt;&gt;1)),ISNUMBER(AM145),AM145&lt;=(C145+T145)),BA145,0)=MAX(IF(AND(NOT(AND(AU145=1,AT145&lt;&gt;1)),ISNUMBER(AK145),AK145&lt;=(C145+T145)),AY145,0),IF(AND(NOT(AND(AU145=1,AT145&lt;&gt;1)),ISNUMBER(AL145),AL145&lt;=(C145+T145)),AZ145,0),IF(AND(NOT(AND(AU145=1,AT145&lt;&gt;1)),ISNUMBER(AM145),AM145&lt;=(C145+T145)),BA145,0),IF(AND(NOT(AND(AU145=1,AT145&lt;&gt;1)),ISNUMBER(AN145),AN145&lt;=(C145+T145)),BB145,0),IF(AND(ISNUMBER(AO145),AO145&lt;=(C145+T145)),BC145,0))),"ML",IF(AND(IF(AND(NOT(AND(AU145=1,AT145&lt;&gt;1)),ISNUMBER(AN145),AN145&lt;=(C145+T145)),BB145,0)&gt;0,IF(AND(NOT(AND(AU145=1,AT145&lt;&gt;1)),ISNUMBER(AN145),AN145&lt;=(C145+T145)),BB145,0)=MAX(IF(AND(NOT(AND(AU145=1,AT145&lt;&gt;1)),ISNUMBER(AK145),AK145&lt;=(C145+T145)),AY145,0),IF(AND(NOT(AND(AU145=1,AT145&lt;&gt;1)),ISNUMBER(AL145),AL145&lt;=(C145+T145)),AZ145,0),IF(AND(NOT(AND(AU145=1,AT145&lt;&gt;1)),ISNUMBER(AM145),AM145&lt;=(C145+T145)),BA145,0),IF(AND(NOT(AND(AU145=1,AT145&lt;&gt;1)),ISNUMBER(AN145),AN145&lt;=(C145+T145)),BB145,0),IF(AND(ISNUMBER(AO145),AO145&lt;=(C145+T145)),BC145,0))),"RLO","BD"))))))))</f>
        <v/>
      </c>
    </row>
    <row r="146">
      <c r="A146" s="26" t="n">
        <v>135</v>
      </c>
      <c r="B146" s="27">
        <f>A146*10/60</f>
        <v/>
      </c>
      <c r="C146" s="22">
        <f>X145</f>
        <v/>
      </c>
      <c r="D146" s="27">
        <f>D145+W145</f>
        <v/>
      </c>
      <c r="E146" s="26">
        <f>E145+IF(U145="SK",1,0)</f>
        <v/>
      </c>
      <c r="F146" s="26">
        <f>F145+IF(U145="LB",1,0)</f>
        <v/>
      </c>
      <c r="G146" s="26">
        <f>G145+IF(U145="ML",1,0)</f>
        <v/>
      </c>
      <c r="H146" s="26">
        <f>H145+IF(U145="RLO",1,0)</f>
        <v/>
      </c>
      <c r="I146" s="26">
        <f>I145+IF(U145="BD",1,0)</f>
        <v/>
      </c>
      <c r="J146" s="26">
        <f>MAX(J145,IF(U145="BiP",1,0))</f>
        <v/>
      </c>
      <c r="K146" s="26">
        <f>MAX(K145,IF(U145="PV",1,0))</f>
        <v/>
      </c>
      <c r="L146" s="26">
        <f>MAX(L145,IF(U145="OC",1,0))</f>
        <v/>
      </c>
      <c r="M146" s="26">
        <f>MAX(M145,IF(U145="MG",1,0))</f>
        <v/>
      </c>
      <c r="N146" s="26">
        <f>MAX(N145,IF(U145="transition",1,0))</f>
        <v/>
      </c>
      <c r="O146" s="28">
        <f>(Parameters!$B$9+(IF(E146=0,0,(Upgrades!$J$13+E146*Upgrades!$K$13)*POWER(Upgrades!$L$13,E146)))*(IF(Upgrades!$T$14="Stellar Kinematics",POWER(Upgrades!$U$14,F146),1)*IF(Upgrades!$T$15="Stellar Kinematics",POWER(Upgrades!$U$15,G146),1)*IF(Upgrades!$T$16="Stellar Kinematics",POWER(Upgrades!$U$16,H146),1)*IF(Upgrades!$T$17="Stellar Kinematics",POWER(Upgrades!$U$17,I146),1)*IF(Upgrades!$T$18="Stellar Kinematics",POWER(Upgrades!$U$18,J146),1)*IF(Upgrades!$T$19="Stellar Kinematics",POWER(Upgrades!$U$19,K146),1)*IF(Upgrades!$T$20="Stellar Kinematics",POWER(Upgrades!$U$20,L146),1)*IF(Upgrades!$T$21="Stellar Kinematics",POWER(Upgrades!$U$21,M146),1))+(IF(F146=0,0,(Upgrades!$J$14+F146*Upgrades!$K$14)*POWER(Upgrades!$L$14,F146)))*(IF(Upgrades!$T$13="Local Bubble",POWER(Upgrades!$U$13,E146),1)*IF(Upgrades!$T$15="Local Bubble",POWER(Upgrades!$U$15,G146),1)*IF(Upgrades!$T$16="Local Bubble",POWER(Upgrades!$U$16,H146),1)*IF(Upgrades!$T$17="Local Bubble",POWER(Upgrades!$U$17,I146),1)*IF(Upgrades!$T$18="Local Bubble",POWER(Upgrades!$U$18,J146),1)*IF(Upgrades!$T$19="Local Bubble",POWER(Upgrades!$U$19,K146),1)*IF(Upgrades!$T$20="Local Bubble",POWER(Upgrades!$U$20,L146),1)*IF(Upgrades!$T$21="Local Bubble",POWER(Upgrades!$U$21,M146),1))+(IF(G146=0,0,(Upgrades!$J$15+G146*Upgrades!$K$15)*POWER(Upgrades!$L$15,G146)))*(IF(Upgrades!$T$13="Microlensing",POWER(Upgrades!$U$13,E146),1)*IF(Upgrades!$T$14="Microlensing",POWER(Upgrades!$U$14,F146),1)*IF(Upgrades!$T$16="Microlensing",POWER(Upgrades!$U$16,H146),1)*IF(Upgrades!$T$17="Microlensing",POWER(Upgrades!$U$17,I146),1)*IF(Upgrades!$T$18="Microlensing",POWER(Upgrades!$U$18,J146),1)*IF(Upgrades!$T$19="Microlensing",POWER(Upgrades!$U$19,K146),1)*IF(Upgrades!$T$20="Microlensing",POWER(Upgrades!$U$20,L146),1)*IF(Upgrades!$T$21="Microlensing",POWER(Upgrades!$U$21,M146),1))+(IF(H146=0,0,(Upgrades!$J$16+H146*Upgrades!$K$16)*POWER(Upgrades!$L$16,H146)))*(IF(Upgrades!$T$13="Roche Lobe Overflow",POWER(Upgrades!$U$13,E146),1)*IF(Upgrades!$T$14="Roche Lobe Overflow",POWER(Upgrades!$U$14,F146),1)*IF(Upgrades!$T$15="Roche Lobe Overflow",POWER(Upgrades!$U$15,G146),1)*IF(Upgrades!$T$17="Roche Lobe Overflow",POWER(Upgrades!$U$17,I146),1)*IF(Upgrades!$T$18="Roche Lobe Overflow",POWER(Upgrades!$U$18,J146),1)*IF(Upgrades!$T$19="Roche Lobe Overflow",POWER(Upgrades!$U$19,K146),1)*IF(Upgrades!$T$20="Roche Lobe Overflow",POWER(Upgrades!$U$20,L146),1)*IF(Upgrades!$T$21="Roche Lobe Overflow",POWER(Upgrades!$U$21,M146),1))+(IF(I146=0,0,(Upgrades!$J$17+I146*Upgrades!$K$17)*POWER(Upgrades!$L$17,I146)))*(IF(Upgrades!$T$13="Brown Dwarf",POWER(Upgrades!$U$13,E146),1)*IF(Upgrades!$T$14="Brown Dwarf",POWER(Upgrades!$U$14,F146),1)*IF(Upgrades!$T$15="Brown Dwarf",POWER(Upgrades!$U$15,G146),1)*IF(Upgrades!$T$16="Brown Dwarf",POWER(Upgrades!$U$16,H146),1)*IF(Upgrades!$T$18="Brown Dwarf",POWER(Upgrades!$U$18,J146),1)*IF(Upgrades!$T$19="Brown Dwarf",POWER(Upgrades!$U$19,K146),1)*IF(Upgrades!$T$20="Brown Dwarf",POWER(Upgrades!$U$20,L146),1)*IF(Upgrades!$T$21="Brown Dwarf",POWER(Upgrades!$U$21,M146),1))+(IF(J146=0,0,(Upgrades!$J$18+J146*Upgrades!$K$18)*POWER(Upgrades!$L$18,J146)))*(IF(Upgrades!$T$13="Binary Partner",POWER(Upgrades!$U$13,E146),1)*IF(Upgrades!$T$14="Binary Partner",POWER(Upgrades!$U$14,F146),1)*IF(Upgrades!$T$15="Binary Partner",POWER(Upgrades!$U$15,G146),1)*IF(Upgrades!$T$16="Binary Partner",POWER(Upgrades!$U$16,H146),1)*IF(Upgrades!$T$17="Binary Partner",POWER(Upgrades!$U$17,I146),1)*IF(Upgrades!$T$19="Binary Partner",POWER(Upgrades!$U$19,K146),1)*IF(Upgrades!$T$20="Binary Partner",POWER(Upgrades!$U$20,L146),1)*IF(Upgrades!$T$21="Binary Partner",POWER(Upgrades!$U$21,M146),1))+(IF(K146=0,0,(Upgrades!$J$19+K146*Upgrades!$K$19)*POWER(Upgrades!$L$19,K146)))*(IF(Upgrades!$T$13="Peculiar Velocity",POWER(Upgrades!$U$13,E146),1)*IF(Upgrades!$T$14="Peculiar Velocity",POWER(Upgrades!$U$14,F146),1)*IF(Upgrades!$T$15="Peculiar Velocity",POWER(Upgrades!$U$15,G146),1)*IF(Upgrades!$T$16="Peculiar Velocity",POWER(Upgrades!$U$16,H146),1)*IF(Upgrades!$T$17="Peculiar Velocity",POWER(Upgrades!$U$17,I146),1)*IF(Upgrades!$T$18="Peculiar Velocity",POWER(Upgrades!$U$18,J146),1)*IF(Upgrades!$T$20="Peculiar Velocity",POWER(Upgrades!$U$20,L146),1)*IF(Upgrades!$T$21="Peculiar Velocity",POWER(Upgrades!$U$21,M146),1))+(IF(L146=0,0,(Upgrades!$J$20+L146*Upgrades!$K$20)*POWER(Upgrades!$L$20,L146)))*(IF(Upgrades!$T$13="Open Cluster",POWER(Upgrades!$U$13,E146),1)*IF(Upgrades!$T$14="Open Cluster",POWER(Upgrades!$U$14,F146),1)*IF(Upgrades!$T$15="Open Cluster",POWER(Upgrades!$U$15,G146),1)*IF(Upgrades!$T$16="Open Cluster",POWER(Upgrades!$U$16,H146),1)*IF(Upgrades!$T$17="Open Cluster",POWER(Upgrades!$U$17,I146),1)*IF(Upgrades!$T$18="Open Cluster",POWER(Upgrades!$U$18,J146),1)*IF(Upgrades!$T$19="Open Cluster",POWER(Upgrades!$U$19,K146),1)*IF(Upgrades!$T$21="Open Cluster",POWER(Upgrades!$U$21,M146),1))+(IF(M146=0,0,(Upgrades!$J$21+M146*Upgrades!$K$21)*POWER(Upgrades!$L$21,M146)))*(IF(Upgrades!$T$13="Moving Group",POWER(Upgrades!$U$13,E146),1)*IF(Upgrades!$T$14="Moving Group",POWER(Upgrades!$U$14,F146),1)*IF(Upgrades!$T$15="Moving Group",POWER(Upgrades!$U$15,G146),1)*IF(Upgrades!$T$16="Moving Group",POWER(Upgrades!$U$16,H146),1)*IF(Upgrades!$T$17="Moving Group",POWER(Upgrades!$U$17,I146),1)*IF(Upgrades!$T$18="Moving Group",POWER(Upgrades!$U$18,J146),1)*IF(Upgrades!$T$19="Moving Group",POWER(Upgrades!$U$19,K146),1)*IF(Upgrades!$T$20="Moving Group",POWER(Upgrades!$U$20,L146),1)))*POWER(Upgrades!$Q$13,E146)*POWER(Upgrades!$Q$14,F146)*POWER(Upgrades!$Q$15,G146)*POWER(Upgrades!$Q$16,H146)*POWER(Upgrades!$Q$17,I146)*POWER(Upgrades!$Q$18,J146)*POWER(Upgrades!$Q$19,K146)*POWER(Upgrades!$Q$20,L146)*POWER(Upgrades!$Q$21,M146)*$G$6+$D$6</f>
        <v/>
      </c>
      <c r="P146" s="28">
        <f>((IF(E146=0,0,(Upgrades!$G$13+E146*Upgrades!$H$13)*POWER(Upgrades!$I$13,E146)))*(IF(Upgrades!$T$14="Stellar Kinematics",POWER(Upgrades!$U$14,F146),1)*IF(Upgrades!$T$15="Stellar Kinematics",POWER(Upgrades!$U$15,G146),1)*IF(Upgrades!$T$16="Stellar Kinematics",POWER(Upgrades!$U$16,H146),1)*IF(Upgrades!$T$17="Stellar Kinematics",POWER(Upgrades!$U$17,I146),1)*IF(Upgrades!$T$18="Stellar Kinematics",POWER(Upgrades!$U$18,J146),1)*IF(Upgrades!$T$19="Stellar Kinematics",POWER(Upgrades!$U$19,K146),1)*IF(Upgrades!$T$20="Stellar Kinematics",POWER(Upgrades!$U$20,L146),1)*IF(Upgrades!$T$21="Stellar Kinematics",POWER(Upgrades!$U$21,M146),1))+(IF(F146=0,0,(Upgrades!$G$14+F146*Upgrades!$H$14)*POWER(Upgrades!$I$14,F146)))*(IF(Upgrades!$T$13="Local Bubble",POWER(Upgrades!$U$13,E146),1)*IF(Upgrades!$T$15="Local Bubble",POWER(Upgrades!$U$15,G146),1)*IF(Upgrades!$T$16="Local Bubble",POWER(Upgrades!$U$16,H146),1)*IF(Upgrades!$T$17="Local Bubble",POWER(Upgrades!$U$17,I146),1)*IF(Upgrades!$T$18="Local Bubble",POWER(Upgrades!$U$18,J146),1)*IF(Upgrades!$T$19="Local Bubble",POWER(Upgrades!$U$19,K146),1)*IF(Upgrades!$T$20="Local Bubble",POWER(Upgrades!$U$20,L146),1)*IF(Upgrades!$T$21="Local Bubble",POWER(Upgrades!$U$21,M146),1))+(IF(G146=0,0,(Upgrades!$G$15+G146*Upgrades!$H$15)*POWER(Upgrades!$I$15,G146)))*(IF(Upgrades!$T$13="Microlensing",POWER(Upgrades!$U$13,E146),1)*IF(Upgrades!$T$14="Microlensing",POWER(Upgrades!$U$14,F146),1)*IF(Upgrades!$T$16="Microlensing",POWER(Upgrades!$U$16,H146),1)*IF(Upgrades!$T$17="Microlensing",POWER(Upgrades!$U$17,I146),1)*IF(Upgrades!$T$18="Microlensing",POWER(Upgrades!$U$18,J146),1)*IF(Upgrades!$T$19="Microlensing",POWER(Upgrades!$U$19,K146),1)*IF(Upgrades!$T$20="Microlensing",POWER(Upgrades!$U$20,L146),1)*IF(Upgrades!$T$21="Microlensing",POWER(Upgrades!$U$21,M146),1))+(IF(H146=0,0,(Upgrades!$G$16+H146*Upgrades!$H$16)*POWER(Upgrades!$I$16,H146)))*(IF(Upgrades!$T$13="Roche Lobe Overflow",POWER(Upgrades!$U$13,E146),1)*IF(Upgrades!$T$14="Roche Lobe Overflow",POWER(Upgrades!$U$14,F146),1)*IF(Upgrades!$T$15="Roche Lobe Overflow",POWER(Upgrades!$U$15,G146),1)*IF(Upgrades!$T$17="Roche Lobe Overflow",POWER(Upgrades!$U$17,I146),1)*IF(Upgrades!$T$18="Roche Lobe Overflow",POWER(Upgrades!$U$18,J146),1)*IF(Upgrades!$T$19="Roche Lobe Overflow",POWER(Upgrades!$U$19,K146),1)*IF(Upgrades!$T$20="Roche Lobe Overflow",POWER(Upgrades!$U$20,L146),1)*IF(Upgrades!$T$21="Roche Lobe Overflow",POWER(Upgrades!$U$21,M146),1))+(IF(I146=0,0,(Upgrades!$G$17+I146*Upgrades!$H$17)*POWER(Upgrades!$I$17,I146)))*(IF(Upgrades!$T$13="Brown Dwarf",POWER(Upgrades!$U$13,E146),1)*IF(Upgrades!$T$14="Brown Dwarf",POWER(Upgrades!$U$14,F146),1)*IF(Upgrades!$T$15="Brown Dwarf",POWER(Upgrades!$U$15,G146),1)*IF(Upgrades!$T$16="Brown Dwarf",POWER(Upgrades!$U$16,H146),1)*IF(Upgrades!$T$18="Brown Dwarf",POWER(Upgrades!$U$18,J146),1)*IF(Upgrades!$T$19="Brown Dwarf",POWER(Upgrades!$U$19,K146),1)*IF(Upgrades!$T$20="Brown Dwarf",POWER(Upgrades!$U$20,L146),1)*IF(Upgrades!$T$21="Brown Dwarf",POWER(Upgrades!$U$21,M146),1))+(IF(J146=0,0,(Upgrades!$G$18+J146*Upgrades!$H$18)*POWER(Upgrades!$I$18,J146)))*(IF(Upgrades!$T$13="Binary Partner",POWER(Upgrades!$U$13,E146),1)*IF(Upgrades!$T$14="Binary Partner",POWER(Upgrades!$U$14,F146),1)*IF(Upgrades!$T$15="Binary Partner",POWER(Upgrades!$U$15,G146),1)*IF(Upgrades!$T$16="Binary Partner",POWER(Upgrades!$U$16,H146),1)*IF(Upgrades!$T$17="Binary Partner",POWER(Upgrades!$U$17,I146),1)*IF(Upgrades!$T$19="Binary Partner",POWER(Upgrades!$U$19,K146),1)*IF(Upgrades!$T$20="Binary Partner",POWER(Upgrades!$U$20,L146),1)*IF(Upgrades!$T$21="Binary Partner",POWER(Upgrades!$U$21,M146),1))+(IF(K146=0,0,(Upgrades!$G$19+K146*Upgrades!$H$19)*POWER(Upgrades!$I$19,K146)))*(IF(Upgrades!$T$13="Peculiar Velocity",POWER(Upgrades!$U$13,E146),1)*IF(Upgrades!$T$14="Peculiar Velocity",POWER(Upgrades!$U$14,F146),1)*IF(Upgrades!$T$15="Peculiar Velocity",POWER(Upgrades!$U$15,G146),1)*IF(Upgrades!$T$16="Peculiar Velocity",POWER(Upgrades!$U$16,H146),1)*IF(Upgrades!$T$17="Peculiar Velocity",POWER(Upgrades!$U$17,I146),1)*IF(Upgrades!$T$18="Peculiar Velocity",POWER(Upgrades!$U$18,J146),1)*IF(Upgrades!$T$20="Peculiar Velocity",POWER(Upgrades!$U$20,L146),1)*IF(Upgrades!$T$21="Peculiar Velocity",POWER(Upgrades!$U$21,M146),1))+(IF(L146=0,0,(Upgrades!$G$20+L146*Upgrades!$H$20)*POWER(Upgrades!$I$20,L146)))*(IF(Upgrades!$T$13="Open Cluster",POWER(Upgrades!$U$13,E146),1)*IF(Upgrades!$T$14="Open Cluster",POWER(Upgrades!$U$14,F146),1)*IF(Upgrades!$T$15="Open Cluster",POWER(Upgrades!$U$15,G146),1)*IF(Upgrades!$T$16="Open Cluster",POWER(Upgrades!$U$16,H146),1)*IF(Upgrades!$T$17="Open Cluster",POWER(Upgrades!$U$17,I146),1)*IF(Upgrades!$T$18="Open Cluster",POWER(Upgrades!$U$18,J146),1)*IF(Upgrades!$T$19="Open Cluster",POWER(Upgrades!$U$19,K146),1)*IF(Upgrades!$T$21="Open Cluster",POWER(Upgrades!$U$21,M146),1))+(IF(M146=0,0,(Upgrades!$G$21+M146*Upgrades!$H$21)*POWER(Upgrades!$I$21,M146)))*(IF(Upgrades!$T$13="Moving Group",POWER(Upgrades!$U$13,E146),1)*IF(Upgrades!$T$14="Moving Group",POWER(Upgrades!$U$14,F146),1)*IF(Upgrades!$T$15="Moving Group",POWER(Upgrades!$U$15,G146),1)*IF(Upgrades!$T$16="Moving Group",POWER(Upgrades!$U$16,H146),1)*IF(Upgrades!$T$17="Moving Group",POWER(Upgrades!$U$17,I146),1)*IF(Upgrades!$T$18="Moving Group",POWER(Upgrades!$U$18,J146),1)*IF(Upgrades!$T$19="Moving Group",POWER(Upgrades!$U$19,K146),1)*IF(Upgrades!$T$20="Moving Group",POWER(Upgrades!$U$20,L146),1)))*POWER(Upgrades!$P$13,E146)*POWER(Upgrades!$P$14,F146)*POWER(Upgrades!$P$15,G146)*POWER(Upgrades!$P$16,H146)*POWER(Upgrades!$P$17,I146)*POWER(Upgrades!$P$18,J146)*POWER(Upgrades!$P$19,K146)*POWER(Upgrades!$P$20,L146)*POWER(Upgrades!$P$21,M146)*$F$6+$C$6</f>
        <v/>
      </c>
      <c r="Q146" s="28">
        <f>((IF(E146=0,0,(Upgrades!$M$13+E146*Upgrades!$N$13)*POWER(Upgrades!$O$13,E146)))*(IF(Upgrades!$T$14="Stellar Kinematics",POWER(Upgrades!$U$14,F146),1)*IF(Upgrades!$T$15="Stellar Kinematics",POWER(Upgrades!$U$15,G146),1)*IF(Upgrades!$T$16="Stellar Kinematics",POWER(Upgrades!$U$16,H146),1)*IF(Upgrades!$T$17="Stellar Kinematics",POWER(Upgrades!$U$17,I146),1)*IF(Upgrades!$T$18="Stellar Kinematics",POWER(Upgrades!$U$18,J146),1)*IF(Upgrades!$T$19="Stellar Kinematics",POWER(Upgrades!$U$19,K146),1)*IF(Upgrades!$T$20="Stellar Kinematics",POWER(Upgrades!$U$20,L146),1)*IF(Upgrades!$T$21="Stellar Kinematics",POWER(Upgrades!$U$21,M146),1))+(IF(F146=0,0,(Upgrades!$M$14+F146*Upgrades!$N$14)*POWER(Upgrades!$O$14,F146)))*(IF(Upgrades!$T$13="Local Bubble",POWER(Upgrades!$U$13,E146),1)*IF(Upgrades!$T$15="Local Bubble",POWER(Upgrades!$U$15,G146),1)*IF(Upgrades!$T$16="Local Bubble",POWER(Upgrades!$U$16,H146),1)*IF(Upgrades!$T$17="Local Bubble",POWER(Upgrades!$U$17,I146),1)*IF(Upgrades!$T$18="Local Bubble",POWER(Upgrades!$U$18,J146),1)*IF(Upgrades!$T$19="Local Bubble",POWER(Upgrades!$U$19,K146),1)*IF(Upgrades!$T$20="Local Bubble",POWER(Upgrades!$U$20,L146),1)*IF(Upgrades!$T$21="Local Bubble",POWER(Upgrades!$U$21,M146),1))+(IF(G146=0,0,(Upgrades!$M$15+G146*Upgrades!$N$15)*POWER(Upgrades!$O$15,G146)))*(IF(Upgrades!$T$13="Microlensing",POWER(Upgrades!$U$13,E146),1)*IF(Upgrades!$T$14="Microlensing",POWER(Upgrades!$U$14,F146),1)*IF(Upgrades!$T$16="Microlensing",POWER(Upgrades!$U$16,H146),1)*IF(Upgrades!$T$17="Microlensing",POWER(Upgrades!$U$17,I146),1)*IF(Upgrades!$T$18="Microlensing",POWER(Upgrades!$U$18,J146),1)*IF(Upgrades!$T$19="Microlensing",POWER(Upgrades!$U$19,K146),1)*IF(Upgrades!$T$20="Microlensing",POWER(Upgrades!$U$20,L146),1)*IF(Upgrades!$T$21="Microlensing",POWER(Upgrades!$U$21,M146),1))+(IF(H146=0,0,(Upgrades!$M$16+H146*Upgrades!$N$16)*POWER(Upgrades!$O$16,H146)))*(IF(Upgrades!$T$13="Roche Lobe Overflow",POWER(Upgrades!$U$13,E146),1)*IF(Upgrades!$T$14="Roche Lobe Overflow",POWER(Upgrades!$U$14,F146),1)*IF(Upgrades!$T$15="Roche Lobe Overflow",POWER(Upgrades!$U$15,G146),1)*IF(Upgrades!$T$17="Roche Lobe Overflow",POWER(Upgrades!$U$17,I146),1)*IF(Upgrades!$T$18="Roche Lobe Overflow",POWER(Upgrades!$U$18,J146),1)*IF(Upgrades!$T$19="Roche Lobe Overflow",POWER(Upgrades!$U$19,K146),1)*IF(Upgrades!$T$20="Roche Lobe Overflow",POWER(Upgrades!$U$20,L146),1)*IF(Upgrades!$T$21="Roche Lobe Overflow",POWER(Upgrades!$U$21,M146),1))+(IF(I146=0,0,(Upgrades!$M$17+I146*Upgrades!$N$17)*POWER(Upgrades!$O$17,I146)))*(IF(Upgrades!$T$13="Brown Dwarf",POWER(Upgrades!$U$13,E146),1)*IF(Upgrades!$T$14="Brown Dwarf",POWER(Upgrades!$U$14,F146),1)*IF(Upgrades!$T$15="Brown Dwarf",POWER(Upgrades!$U$15,G146),1)*IF(Upgrades!$T$16="Brown Dwarf",POWER(Upgrades!$U$16,H146),1)*IF(Upgrades!$T$18="Brown Dwarf",POWER(Upgrades!$U$18,J146),1)*IF(Upgrades!$T$19="Brown Dwarf",POWER(Upgrades!$U$19,K146),1)*IF(Upgrades!$T$20="Brown Dwarf",POWER(Upgrades!$U$20,L146),1)*IF(Upgrades!$T$21="Brown Dwarf",POWER(Upgrades!$U$21,M146),1))+(IF(J146=0,0,(Upgrades!$M$18+J146*Upgrades!$N$18)*POWER(Upgrades!$O$18,J146)))*(IF(Upgrades!$T$13="Binary Partner",POWER(Upgrades!$U$13,E146),1)*IF(Upgrades!$T$14="Binary Partner",POWER(Upgrades!$U$14,F146),1)*IF(Upgrades!$T$15="Binary Partner",POWER(Upgrades!$U$15,G146),1)*IF(Upgrades!$T$16="Binary Partner",POWER(Upgrades!$U$16,H146),1)*IF(Upgrades!$T$17="Binary Partner",POWER(Upgrades!$U$17,I146),1)*IF(Upgrades!$T$19="Binary Partner",POWER(Upgrades!$U$19,K146),1)*IF(Upgrades!$T$20="Binary Partner",POWER(Upgrades!$U$20,L146),1)*IF(Upgrades!$T$21="Binary Partner",POWER(Upgrades!$U$21,M146),1))+(IF(K146=0,0,(Upgrades!$M$19+K146*Upgrades!$N$19)*POWER(Upgrades!$O$19,K146)))*(IF(Upgrades!$T$13="Peculiar Velocity",POWER(Upgrades!$U$13,E146),1)*IF(Upgrades!$T$14="Peculiar Velocity",POWER(Upgrades!$U$14,F146),1)*IF(Upgrades!$T$15="Peculiar Velocity",POWER(Upgrades!$U$15,G146),1)*IF(Upgrades!$T$16="Peculiar Velocity",POWER(Upgrades!$U$16,H146),1)*IF(Upgrades!$T$17="Peculiar Velocity",POWER(Upgrades!$U$17,I146),1)*IF(Upgrades!$T$18="Peculiar Velocity",POWER(Upgrades!$U$18,J146),1)*IF(Upgrades!$T$20="Peculiar Velocity",POWER(Upgrades!$U$20,L146),1)*IF(Upgrades!$T$21="Peculiar Velocity",POWER(Upgrades!$U$21,M146),1))+(IF(L146=0,0,(Upgrades!$M$20+L146*Upgrades!$N$20)*POWER(Upgrades!$O$20,L146)))*(IF(Upgrades!$T$13="Open Cluster",POWER(Upgrades!$U$13,E146),1)*IF(Upgrades!$T$14="Open Cluster",POWER(Upgrades!$U$14,F146),1)*IF(Upgrades!$T$15="Open Cluster",POWER(Upgrades!$U$15,G146),1)*IF(Upgrades!$T$16="Open Cluster",POWER(Upgrades!$U$16,H146),1)*IF(Upgrades!$T$17="Open Cluster",POWER(Upgrades!$U$17,I146),1)*IF(Upgrades!$T$18="Open Cluster",POWER(Upgrades!$U$18,J146),1)*IF(Upgrades!$T$19="Open Cluster",POWER(Upgrades!$U$19,K146),1)*IF(Upgrades!$T$21="Open Cluster",POWER(Upgrades!$U$21,M146),1))+(IF(M146=0,0,(Upgrades!$M$21+M146*Upgrades!$N$21)*POWER(Upgrades!$O$21,M146)))*(IF(Upgrades!$T$13="Moving Group",POWER(Upgrades!$U$13,E146),1)*IF(Upgrades!$T$14="Moving Group",POWER(Upgrades!$U$14,F146),1)*IF(Upgrades!$T$15="Moving Group",POWER(Upgrades!$U$15,G146),1)*IF(Upgrades!$T$16="Moving Group",POWER(Upgrades!$U$16,H146),1)*IF(Upgrades!$T$17="Moving Group",POWER(Upgrades!$U$17,I146),1)*IF(Upgrades!$T$18="Moving Group",POWER(Upgrades!$U$18,J146),1)*IF(Upgrades!$T$19="Moving Group",POWER(Upgrades!$U$19,K146),1)*IF(Upgrades!$T$20="Moving Group",POWER(Upgrades!$U$20,L146),1)))*POWER(Upgrades!$R$13,E146)*POWER(Upgrades!$R$14,F146)*POWER(Upgrades!$R$15,G146)*POWER(Upgrades!$R$16,H146)*POWER(Upgrades!$R$17,I146)*POWER(Upgrades!$R$18,J146)*POWER(Upgrades!$R$19,K146)*POWER(Upgrades!$R$20,L146)*POWER(Upgrades!$R$21,M146)*$H$6+$E$6</f>
        <v/>
      </c>
      <c r="R146" s="27">
        <f>IF(N146=1,0,O146*Parameters!$B$10/60*Parameters!$B$11*10)</f>
        <v/>
      </c>
      <c r="S146" s="27">
        <f>IF(N146=1,0,Q146*O146*10)</f>
        <v/>
      </c>
      <c r="T146" s="27">
        <f>IF(N146=1,0,R146+S146+P146*10)</f>
        <v/>
      </c>
      <c r="U146" s="33">
        <f>BE146</f>
        <v/>
      </c>
      <c r="V146" s="22">
        <f>IF(U146="",0,IF(U146="transition",0,IF(U146="SK",AK146,IF(U146="LB",AL146,IF(U146="ML",AM146,IF(U146="RLO",AN146,IF(U146="BD",AO146,IF(U146="BiP",AP146,IF(U146="PV",AQ146,IF(U146="OC",AR146,IF(U146="MG",AS146,0))))))))))</f>
        <v/>
      </c>
      <c r="W146" s="27">
        <f>IF(U146="BiP",Upgrades!$F$18,IF(U146="PV",Upgrades!$F$19,IF(U146="OC",Upgrades!$F$20,IF(U146="MG",Upgrades!$F$21,IF(U146="transition",-Parameters!$B$18*Parameters!$B$19,0)))))</f>
        <v/>
      </c>
      <c r="X146" s="22">
        <f>C146+T146-V146</f>
        <v/>
      </c>
      <c r="Y146" s="30">
        <f>O146*Parameters!$B$10/60*Parameters!$B$11+Q146*O146+P146</f>
        <v/>
      </c>
      <c r="Z146" s="34">
        <f>IF(U146="transition","→ Tier 3 (Galactic Arm)",IF(U146="MG","Moving Group — pocket drifts together",IF(U146="OC","Open Cluster acquired",IF(U146="PV","Peculiar Velocity — passive multiplier active",IF(U146="BiP","Binary Partner — pair bond formed",IF(AND(AU146=1,N146=0,AT146&lt;&gt;1),"Cohesion ready (waiting on completionists)","")))))) </f>
        <v/>
      </c>
      <c r="AA146" s="27">
        <f>(IF(E146=0,0,(Upgrades!$G$13+E146*Upgrades!$H$13)*POWER(Upgrades!$I$13,E146)))*(IF(Upgrades!$T$14="Stellar Kinematics",POWER(Upgrades!$U$14,F146),1)*IF(Upgrades!$T$15="Stellar Kinematics",POWER(Upgrades!$U$15,G146),1)*IF(Upgrades!$T$16="Stellar Kinematics",POWER(Upgrades!$U$16,H146),1)*IF(Upgrades!$T$17="Stellar Kinematics",POWER(Upgrades!$U$17,I146),1)*IF(Upgrades!$T$18="Stellar Kinematics",POWER(Upgrades!$U$18,J146),1)*IF(Upgrades!$T$19="Stellar Kinematics",POWER(Upgrades!$U$19,K146),1)*IF(Upgrades!$T$20="Stellar Kinematics",POWER(Upgrades!$U$20,L146),1)*IF(Upgrades!$T$21="Stellar Kinematics",POWER(Upgrades!$U$21,M146),1))*POWER(Upgrades!$P$13,E146)*POWER(Upgrades!$P$14,F146)*POWER(Upgrades!$P$15,G146)*POWER(Upgrades!$P$16,H146)*POWER(Upgrades!$P$17,I146)*POWER(Upgrades!$P$18,J146)*POWER(Upgrades!$P$19,K146)*POWER(Upgrades!$P$20,L146)*POWER(Upgrades!$P$21,M146)*$F$6*60</f>
        <v/>
      </c>
      <c r="AB146" s="27">
        <f>(IF(F146=0,0,(Upgrades!$G$14+F146*Upgrades!$H$14)*POWER(Upgrades!$I$14,F146)))*(IF(Upgrades!$T$13="Local Bubble",POWER(Upgrades!$U$13,E146),1)*IF(Upgrades!$T$15="Local Bubble",POWER(Upgrades!$U$15,G146),1)*IF(Upgrades!$T$16="Local Bubble",POWER(Upgrades!$U$16,H146),1)*IF(Upgrades!$T$17="Local Bubble",POWER(Upgrades!$U$17,I146),1)*IF(Upgrades!$T$18="Local Bubble",POWER(Upgrades!$U$18,J146),1)*IF(Upgrades!$T$19="Local Bubble",POWER(Upgrades!$U$19,K146),1)*IF(Upgrades!$T$20="Local Bubble",POWER(Upgrades!$U$20,L146),1)*IF(Upgrades!$T$21="Local Bubble",POWER(Upgrades!$U$21,M146),1))*POWER(Upgrades!$P$13,E146)*POWER(Upgrades!$P$14,F146)*POWER(Upgrades!$P$15,G146)*POWER(Upgrades!$P$16,H146)*POWER(Upgrades!$P$17,I146)*POWER(Upgrades!$P$18,J146)*POWER(Upgrades!$P$19,K146)*POWER(Upgrades!$P$20,L146)*POWER(Upgrades!$P$21,M146)*$F$6*60</f>
        <v/>
      </c>
      <c r="AC146" s="27">
        <f>(IF(G146=0,0,(Upgrades!$J$15+G146*Upgrades!$K$15)*POWER(Upgrades!$L$15,G146)))*(IF(Upgrades!$T$13="Microlensing",POWER(Upgrades!$U$13,E146),1)*IF(Upgrades!$T$14="Microlensing",POWER(Upgrades!$U$14,F146),1)*IF(Upgrades!$T$16="Microlensing",POWER(Upgrades!$U$16,H146),1)*IF(Upgrades!$T$17="Microlensing",POWER(Upgrades!$U$17,I146),1)*IF(Upgrades!$T$18="Microlensing",POWER(Upgrades!$U$18,J146),1)*IF(Upgrades!$T$19="Microlensing",POWER(Upgrades!$U$19,K146),1)*IF(Upgrades!$T$20="Microlensing",POWER(Upgrades!$U$20,L146),1)*IF(Upgrades!$T$21="Microlensing",POWER(Upgrades!$U$21,M146),1))*POWER(Upgrades!$Q$13,E146)*POWER(Upgrades!$Q$14,F146)*POWER(Upgrades!$Q$15,G146)*POWER(Upgrades!$Q$16,H146)*POWER(Upgrades!$Q$17,I146)*POWER(Upgrades!$Q$18,J146)*POWER(Upgrades!$Q$19,K146)*POWER(Upgrades!$Q$20,L146)*POWER(Upgrades!$Q$21,M146)*$G$6*(Parameters!$B$10*Parameters!$B$11+Q146*60)</f>
        <v/>
      </c>
      <c r="AD146" s="27">
        <f>(IF(H146=0,0,(Upgrades!$M$16+H146*Upgrades!$N$16)*POWER(Upgrades!$O$16,H146)))*(IF(Upgrades!$T$13="Roche Lobe Overflow",POWER(Upgrades!$U$13,E146),1)*IF(Upgrades!$T$14="Roche Lobe Overflow",POWER(Upgrades!$U$14,F146),1)*IF(Upgrades!$T$15="Roche Lobe Overflow",POWER(Upgrades!$U$15,G146),1)*IF(Upgrades!$T$17="Roche Lobe Overflow",POWER(Upgrades!$U$17,I146),1)*IF(Upgrades!$T$18="Roche Lobe Overflow",POWER(Upgrades!$U$18,J146),1)*IF(Upgrades!$T$19="Roche Lobe Overflow",POWER(Upgrades!$U$19,K146),1)*IF(Upgrades!$T$20="Roche Lobe Overflow",POWER(Upgrades!$U$20,L146),1)*IF(Upgrades!$T$21="Roche Lobe Overflow",POWER(Upgrades!$U$21,M146),1))*POWER(Upgrades!$R$13,E146)*POWER(Upgrades!$R$14,F146)*POWER(Upgrades!$R$15,G146)*POWER(Upgrades!$R$16,H146)*POWER(Upgrades!$R$17,I146)*POWER(Upgrades!$R$18,J146)*POWER(Upgrades!$R$19,K146)*POWER(Upgrades!$R$20,L146)*POWER(Upgrades!$R$21,M146)*$H$6*O146*60</f>
        <v/>
      </c>
      <c r="AE146" s="27">
        <f>(IF(I146=0,0,(Upgrades!$G$17+I146*Upgrades!$H$17)*POWER(Upgrades!$I$17,I146)))*(IF(Upgrades!$T$13="Brown Dwarf",POWER(Upgrades!$U$13,E146),1)*IF(Upgrades!$T$14="Brown Dwarf",POWER(Upgrades!$U$14,F146),1)*IF(Upgrades!$T$15="Brown Dwarf",POWER(Upgrades!$U$15,G146),1)*IF(Upgrades!$T$16="Brown Dwarf",POWER(Upgrades!$U$16,H146),1)*IF(Upgrades!$T$18="Brown Dwarf",POWER(Upgrades!$U$18,J146),1)*IF(Upgrades!$T$19="Brown Dwarf",POWER(Upgrades!$U$19,K146),1)*IF(Upgrades!$T$20="Brown Dwarf",POWER(Upgrades!$U$20,L146),1)*IF(Upgrades!$T$21="Brown Dwarf",POWER(Upgrades!$U$21,M146),1))*POWER(Upgrades!$P$13,E146)*POWER(Upgrades!$P$14,F146)*POWER(Upgrades!$P$15,G146)*POWER(Upgrades!$P$16,H146)*POWER(Upgrades!$P$17,I146)*POWER(Upgrades!$P$18,J146)*POWER(Upgrades!$P$19,K146)*POWER(Upgrades!$P$20,L146)*POWER(Upgrades!$P$21,M146)*$F$6*60</f>
        <v/>
      </c>
      <c r="AF146" s="27" t="n">
        <v>0</v>
      </c>
      <c r="AG146" s="27" t="n">
        <v>0</v>
      </c>
      <c r="AH146" s="27" t="n">
        <v>0</v>
      </c>
      <c r="AI146" s="27">
        <f>(IF(M146=0,0,(Upgrades!$G$21+M146*Upgrades!$H$21)*POWER(Upgrades!$I$21,M146)))*(IF(Upgrades!$T$13="Moving Group",POWER(Upgrades!$U$13,E146),1)*IF(Upgrades!$T$14="Moving Group",POWER(Upgrades!$U$14,F146),1)*IF(Upgrades!$T$15="Moving Group",POWER(Upgrades!$U$15,G146),1)*IF(Upgrades!$T$16="Moving Group",POWER(Upgrades!$U$16,H146),1)*IF(Upgrades!$T$17="Moving Group",POWER(Upgrades!$U$17,I146),1)*IF(Upgrades!$T$18="Moving Group",POWER(Upgrades!$U$18,J146),1)*IF(Upgrades!$T$19="Moving Group",POWER(Upgrades!$U$19,K146),1)*IF(Upgrades!$T$20="Moving Group",POWER(Upgrades!$U$20,L146),1))*POWER(Upgrades!$P$13,E146)*POWER(Upgrades!$P$14,F146)*POWER(Upgrades!$P$15,G146)*POWER(Upgrades!$P$16,H146)*POWER(Upgrades!$P$17,I146)*POWER(Upgrades!$P$18,J146)*POWER(Upgrades!$P$19,K146)*POWER(Upgrades!$P$20,L146)*POWER(Upgrades!$P$21,M146)*$F$6*60</f>
        <v/>
      </c>
      <c r="AJ146" s="27">
        <f>$C$6*60</f>
        <v/>
      </c>
      <c r="AK146" s="22">
        <f>IF(E146&gt;=Upgrades!$E$13,"",Upgrades!$C$13*POWER(Upgrades!$D$13,E146))</f>
        <v/>
      </c>
      <c r="AL146" s="22">
        <f>IF(F146&gt;=Upgrades!$E$14,"",Upgrades!$C$14*POWER(Upgrades!$D$14,F146))</f>
        <v/>
      </c>
      <c r="AM146" s="22">
        <f>IF(G146&gt;=Upgrades!$E$15,"",Upgrades!$C$15*POWER(Upgrades!$D$15,G146))</f>
        <v/>
      </c>
      <c r="AN146" s="22">
        <f>IF(H146&gt;=Upgrades!$E$16,"",Upgrades!$C$16*POWER(Upgrades!$D$16,H146))</f>
        <v/>
      </c>
      <c r="AO146" s="22">
        <f>IF(I146&gt;=Upgrades!$E$17,"",Upgrades!$C$17*POWER(Upgrades!$D$17,I146))</f>
        <v/>
      </c>
      <c r="AP146" s="22">
        <f>IF(J146&gt;=Upgrades!$E$18,"",Upgrades!$C$18*POWER(Upgrades!$D$18,J146))</f>
        <v/>
      </c>
      <c r="AQ146" s="22">
        <f>IF(K146&gt;=Upgrades!$E$19,"",Upgrades!$C$19*POWER(Upgrades!$D$19,K146))</f>
        <v/>
      </c>
      <c r="AR146" s="22">
        <f>IF(L146&gt;=Upgrades!$E$20,"",Upgrades!$C$20*POWER(Upgrades!$D$20,L146))</f>
        <v/>
      </c>
      <c r="AS146" s="22">
        <f>IF(M146&gt;=Upgrades!$E$21,"",Upgrades!$C$21*POWER(Upgrades!$D$21,M146))</f>
        <v/>
      </c>
      <c r="AT146" s="26">
        <f>IF(AND(D146&gt;=Parameters!$B$18*Parameters!$B$19,(I146&gt;=Upgrades!$E$17)*(M146&gt;=Upgrades!$E$21)=1,N146=0),1,"")</f>
        <v/>
      </c>
      <c r="AU146" s="26">
        <f>IF(AND(D146&gt;=Parameters!$B$18*Parameters!$B$19,N146=0),1,"")</f>
        <v/>
      </c>
      <c r="AV146" s="22">
        <f>MIN(IF(ISNUMBER(AP146),AP146,9E15),IF(ISNUMBER(AQ146),AQ146,9E15),IF(ISNUMBER(AR146),AR146,9E15),IF(ISNUMBER(AS146),AS146,9E15))</f>
        <v/>
      </c>
      <c r="AW146" s="22">
        <f>MIN(IF(ISNUMBER(AK146),AK146,9E15),IF(ISNUMBER(AL146),AL146,9E15),IF(ISNUMBER(AM146),AM146,9E15),IF(ISNUMBER(AN146),AN146,9E15),IF(ISNUMBER(AO146),AO146,9E15))</f>
        <v/>
      </c>
      <c r="AX146" s="29">
        <f>IF(BD146&gt;Parameters!$B$21*(MAX(IF(AND(NOT(AND(AU146=1,AT146&lt;&gt;1)),ISNUMBER(AK146),AK146&lt;=(C146+T146)),AY146,0),IF(AND(NOT(AND(AU146=1,AT146&lt;&gt;1)),ISNUMBER(AL146),AL146&lt;=(C146+T146)),AZ146,0),IF(AND(NOT(AND(AU146=1,AT146&lt;&gt;1)),ISNUMBER(AM146),AM146&lt;=(C146+T146)),BA146,0),IF(AND(NOT(AND(AU146=1,AT146&lt;&gt;1)),ISNUMBER(AN146),AN146&lt;=(C146+T146)),BB146,0),IF(AND(ISNUMBER(AO146),AO146&lt;=(C146+T146)),BC146,0))),TRUE,FALSE)</f>
        <v/>
      </c>
      <c r="AY146" s="32">
        <f>IFERROR(Upgrades!$H$13*(POWER(Upgrades!$P$13,E146)*POWER(Upgrades!$P$14,F146)*POWER(Upgrades!$P$15,G146)*POWER(Upgrades!$P$16,H146)*POWER(Upgrades!$P$17,I146)*POWER(Upgrades!$P$18,J146)*POWER(Upgrades!$P$19,K146)*POWER(Upgrades!$P$20,L146)*POWER(Upgrades!$P$21,M146))*(IF(Upgrades!$T$14="Stellar Kinematics",POWER(Upgrades!$U$14,F146),1)*IF(Upgrades!$T$15="Stellar Kinematics",POWER(Upgrades!$U$15,G146),1)*IF(Upgrades!$T$16="Stellar Kinematics",POWER(Upgrades!$U$16,H146),1)*IF(Upgrades!$T$17="Stellar Kinematics",POWER(Upgrades!$U$17,I146),1)*IF(Upgrades!$T$18="Stellar Kinematics",POWER(Upgrades!$U$18,J146),1)*IF(Upgrades!$T$19="Stellar Kinematics",POWER(Upgrades!$U$19,K146),1)*IF(Upgrades!$T$20="Stellar Kinematics",POWER(Upgrades!$U$20,L146),1)*IF(Upgrades!$T$21="Stellar Kinematics",POWER(Upgrades!$U$21,M146),1))*$F$6/AK146,0)</f>
        <v/>
      </c>
      <c r="AZ146" s="32">
        <f>IFERROR(Upgrades!$H$14*(POWER(Upgrades!$P$13,E146)*POWER(Upgrades!$P$14,F146)*POWER(Upgrades!$P$15,G146)*POWER(Upgrades!$P$16,H146)*POWER(Upgrades!$P$17,I146)*POWER(Upgrades!$P$18,J146)*POWER(Upgrades!$P$19,K146)*POWER(Upgrades!$P$20,L146)*POWER(Upgrades!$P$21,M146))*(IF(Upgrades!$T$13="Local Bubble",POWER(Upgrades!$U$13,E146),1)*IF(Upgrades!$T$15="Local Bubble",POWER(Upgrades!$U$15,G146),1)*IF(Upgrades!$T$16="Local Bubble",POWER(Upgrades!$U$16,H146),1)*IF(Upgrades!$T$17="Local Bubble",POWER(Upgrades!$U$17,I146),1)*IF(Upgrades!$T$18="Local Bubble",POWER(Upgrades!$U$18,J146),1)*IF(Upgrades!$T$19="Local Bubble",POWER(Upgrades!$U$19,K146),1)*IF(Upgrades!$T$20="Local Bubble",POWER(Upgrades!$U$20,L146),1)*IF(Upgrades!$T$21="Local Bubble",POWER(Upgrades!$U$21,M146),1))*$F$6/AL146,0)</f>
        <v/>
      </c>
      <c r="BA146" s="32">
        <f>IFERROR(Upgrades!$K$15*(POWER(Upgrades!$Q$13,E146)*POWER(Upgrades!$Q$14,F146)*POWER(Upgrades!$Q$15,G146)*POWER(Upgrades!$Q$16,H146)*POWER(Upgrades!$Q$17,I146)*POWER(Upgrades!$Q$18,J146)*POWER(Upgrades!$Q$19,K146)*POWER(Upgrades!$Q$20,L146)*POWER(Upgrades!$Q$21,M146))*(IF(Upgrades!$T$13="Microlensing",POWER(Upgrades!$U$13,E146),1)*IF(Upgrades!$T$14="Microlensing",POWER(Upgrades!$U$14,F146),1)*IF(Upgrades!$T$16="Microlensing",POWER(Upgrades!$U$16,H146),1)*IF(Upgrades!$T$17="Microlensing",POWER(Upgrades!$U$17,I146),1)*IF(Upgrades!$T$18="Microlensing",POWER(Upgrades!$U$18,J146),1)*IF(Upgrades!$T$19="Microlensing",POWER(Upgrades!$U$19,K146),1)*IF(Upgrades!$T$20="Microlensing",POWER(Upgrades!$U$20,L146),1)*IF(Upgrades!$T$21="Microlensing",POWER(Upgrades!$U$21,M146),1))*$G$6*(Parameters!$B$10/60*Parameters!$B$11+Q146)/AM146,0)</f>
        <v/>
      </c>
      <c r="BB146" s="32">
        <f>IFERROR((Upgrades!$N$16*(POWER(Upgrades!$R$13,E146)*POWER(Upgrades!$R$14,F146)*POWER(Upgrades!$R$15,G146)*POWER(Upgrades!$R$16,H146)*POWER(Upgrades!$R$17,I146)*POWER(Upgrades!$R$18,J146)*POWER(Upgrades!$R$19,K146)*POWER(Upgrades!$R$20,L146)*POWER(Upgrades!$R$21,M146))*(IF(Upgrades!$T$13="Roche Lobe Overflow",POWER(Upgrades!$U$13,E146),1)*IF(Upgrades!$T$14="Roche Lobe Overflow",POWER(Upgrades!$U$14,F146),1)*IF(Upgrades!$T$15="Roche Lobe Overflow",POWER(Upgrades!$U$15,G146),1)*IF(Upgrades!$T$17="Roche Lobe Overflow",POWER(Upgrades!$U$17,I146),1)*IF(Upgrades!$T$18="Roche Lobe Overflow",POWER(Upgrades!$U$18,J146),1)*IF(Upgrades!$T$19="Roche Lobe Overflow",POWER(Upgrades!$U$19,K146),1)*IF(Upgrades!$T$20="Roche Lobe Overflow",POWER(Upgrades!$U$20,L146),1)*IF(Upgrades!$T$21="Roche Lobe Overflow",POWER(Upgrades!$U$21,M146),1))*$H$6*O146+((IF(F146=0,0,(Upgrades!$G$14+F146*Upgrades!$H$14)*POWER(Upgrades!$I$14,F146)))*(IF(Upgrades!$T$13="Local Bubble",POWER(Upgrades!$U$13,E146),1)*IF(Upgrades!$T$15="Local Bubble",POWER(Upgrades!$U$15,G146),1)*IF(Upgrades!$T$16="Local Bubble",POWER(Upgrades!$U$16,H146),1)*IF(Upgrades!$T$17="Local Bubble",POWER(Upgrades!$U$17,I146),1)*IF(Upgrades!$T$18="Local Bubble",POWER(Upgrades!$U$18,J146),1)*IF(Upgrades!$T$19="Local Bubble",POWER(Upgrades!$U$19,K146),1)*IF(Upgrades!$T$20="Local Bubble",POWER(Upgrades!$U$20,L146),1)*IF(Upgrades!$T$21="Local Bubble",POWER(Upgrades!$U$21,M146),1))*POWER(Upgrades!$P$13,E146)*POWER(Upgrades!$P$14,F146)*POWER(Upgrades!$P$15,G146)*POWER(Upgrades!$P$16,H146)*POWER(Upgrades!$P$17,I146)*POWER(Upgrades!$P$18,J146)*POWER(Upgrades!$P$19,K146)*POWER(Upgrades!$P$20,L146)*POWER(Upgrades!$P$21,M146)*$F$6)*0.05)/AN146,0)</f>
        <v/>
      </c>
      <c r="BC146" s="32">
        <f>IFERROR((Upgrades!$H$17*(POWER(Upgrades!$P$13,E146)*POWER(Upgrades!$P$14,F146)*POWER(Upgrades!$P$15,G146)*POWER(Upgrades!$P$16,H146)*POWER(Upgrades!$P$17,I146)*POWER(Upgrades!$P$18,J146)*POWER(Upgrades!$P$19,K146)*POWER(Upgrades!$P$20,L146)*POWER(Upgrades!$P$21,M146))*(IF(Upgrades!$T$13="Brown Dwarf",POWER(Upgrades!$U$13,E146),1)*IF(Upgrades!$T$14="Brown Dwarf",POWER(Upgrades!$U$14,F146),1)*IF(Upgrades!$T$15="Brown Dwarf",POWER(Upgrades!$U$15,G146),1)*IF(Upgrades!$T$16="Brown Dwarf",POWER(Upgrades!$U$16,H146),1)*IF(Upgrades!$T$18="Brown Dwarf",POWER(Upgrades!$U$18,J146),1)*IF(Upgrades!$T$19="Brown Dwarf",POWER(Upgrades!$U$19,K146),1)*IF(Upgrades!$T$20="Brown Dwarf",POWER(Upgrades!$U$20,L146),1)*IF(Upgrades!$T$21="Brown Dwarf",POWER(Upgrades!$U$21,M146),1))*$F$6+(((IF(H146=0,0,(Upgrades!$M$16+H146*Upgrades!$N$16)*POWER(Upgrades!$O$16,H146)))*(IF(Upgrades!$T$13="Roche Lobe Overflow",POWER(Upgrades!$U$13,E146),1)*IF(Upgrades!$T$14="Roche Lobe Overflow",POWER(Upgrades!$U$14,F146),1)*IF(Upgrades!$T$15="Roche Lobe Overflow",POWER(Upgrades!$U$15,G146),1)*IF(Upgrades!$T$17="Roche Lobe Overflow",POWER(Upgrades!$U$17,I146),1)*IF(Upgrades!$T$18="Roche Lobe Overflow",POWER(Upgrades!$U$18,J146),1)*IF(Upgrades!$T$19="Roche Lobe Overflow",POWER(Upgrades!$U$19,K146),1)*IF(Upgrades!$T$20="Roche Lobe Overflow",POWER(Upgrades!$U$20,L146),1)*IF(Upgrades!$T$21="Roche Lobe Overflow",POWER(Upgrades!$U$21,M146),1))*POWER(Upgrades!$R$13,E146)*POWER(Upgrades!$R$14,F146)*POWER(Upgrades!$R$15,G146)*POWER(Upgrades!$R$16,H146)*POWER(Upgrades!$R$17,I146)*POWER(Upgrades!$R$18,J146)*POWER(Upgrades!$R$19,K146)*POWER(Upgrades!$R$20,L146)*POWER(Upgrades!$R$21,M146)*$H$6)*O146)*0.10)/AO146,0)</f>
        <v/>
      </c>
      <c r="BD146" s="32">
        <f>MAX(IF(J146&gt;0,0,IFERROR(0.5*((IF(G146=0,0,(Upgrades!$J$15+G146*Upgrades!$K$15)*POWER(Upgrades!$L$15,G146)))*(IF(Upgrades!$T$13="Microlensing",POWER(Upgrades!$U$13,E146),1)*IF(Upgrades!$T$14="Microlensing",POWER(Upgrades!$U$14,F146),1)*IF(Upgrades!$T$16="Microlensing",POWER(Upgrades!$U$16,H146),1)*IF(Upgrades!$T$17="Microlensing",POWER(Upgrades!$U$17,I146),1)*IF(Upgrades!$T$18="Microlensing",POWER(Upgrades!$U$18,J146),1)*IF(Upgrades!$T$19="Microlensing",POWER(Upgrades!$U$19,K146),1)*IF(Upgrades!$T$20="Microlensing",POWER(Upgrades!$U$20,L146),1)*IF(Upgrades!$T$21="Microlensing",POWER(Upgrades!$U$21,M146),1))*(POWER(Upgrades!$Q$13,E146)*POWER(Upgrades!$Q$14,F146)*POWER(Upgrades!$Q$15,G146)*POWER(Upgrades!$Q$16,H146)*POWER(Upgrades!$Q$17,I146)*POWER(Upgrades!$Q$18,J146)*POWER(Upgrades!$Q$19,K146)*POWER(Upgrades!$Q$20,L146)*POWER(Upgrades!$Q$21,M146))*$G$6*(Parameters!$B$10/60*Parameters!$B$11+Q146))/Upgrades!$C$18,0)),IF(K146&gt;0,0,IFERROR(0.30*P146/Upgrades!$C$19,0)),IF(L146&gt;0,0,IFERROR(0.0001/Upgrades!$C$20,0)),IF(M146&gt;0,0,IFERROR((6.0*(POWER(Upgrades!$P$13,E146)*POWER(Upgrades!$P$14,F146)*POWER(Upgrades!$P$15,G146)*POWER(Upgrades!$P$16,H146)*POWER(Upgrades!$P$17,I146)*POWER(Upgrades!$P$18,J146)*POWER(Upgrades!$P$19,K146)*POWER(Upgrades!$P$20,L146)*POWER(Upgrades!$P$21,M146))*$F$6+0.20*O146*(Parameters!$B$10/60*Parameters!$B$11+Q146))/Upgrades!$C$21,0)),IF(AND(ISNUMBER(AK146),AK146&gt;(C146+T146)),AY146,0),IF(AND(ISNUMBER(AL146),AL146&gt;(C146+T146)),AZ146,0),IF(AND(ISNUMBER(AM146),AM146&gt;(C146+T146)),BA146,0),IF(AND(ISNUMBER(AN146),AN146&gt;(C146+T146)),BB146,0),IF(AND(ISNUMBER(AO146),AO146&gt;(C146+T146)),BC146,0))</f>
        <v/>
      </c>
      <c r="BE146" s="29">
        <f>IF(AT146=1,"transition",IF(MIN(IF(AND(J146=0,ISNUMBER(AP146),AP146&lt;=(C146+T146)),AP146,9E15),IF(AND(K146=0,ISNUMBER(AQ146),AQ146&lt;=(C146+T146)),AQ146,9E15),IF(AND(L146=0,ISNUMBER(AR146),AR146&lt;=(C146+T146)),AR146,9E15),IF(AND(M146=0,ISNUMBER(AS146),AS146&lt;=(C146+T146)),AS146,9E15))&lt;9E15,IF(AND(AND(J146=0,ISNUMBER(AP146),AP146&lt;=(C146+T146)),AP146=MIN(IF(AND(J146=0,ISNUMBER(AP146),AP146&lt;=(C146+T146)),AP146,9E15),IF(AND(K146=0,ISNUMBER(AQ146),AQ146&lt;=(C146+T146)),AQ146,9E15),IF(AND(L146=0,ISNUMBER(AR146),AR146&lt;=(C146+T146)),AR146,9E15),IF(AND(M146=0,ISNUMBER(AS146),AS146&lt;=(C146+T146)),AS146,9E15))),"BiP",IF(AND(AND(K146=0,ISNUMBER(AQ146),AQ146&lt;=(C146+T146)),AQ146=MIN(IF(AND(J146=0,ISNUMBER(AP146),AP146&lt;=(C146+T146)),AP146,9E15),IF(AND(K146=0,ISNUMBER(AQ146),AQ146&lt;=(C146+T146)),AQ146,9E15),IF(AND(L146=0,ISNUMBER(AR146),AR146&lt;=(C146+T146)),AR146,9E15),IF(AND(M146=0,ISNUMBER(AS146),AS146&lt;=(C146+T146)),AS146,9E15))),"PV",IF(AND(AND(L146=0,ISNUMBER(AR146),AR146&lt;=(C146+T146)),AR146=MIN(IF(AND(J146=0,ISNUMBER(AP146),AP146&lt;=(C146+T146)),AP146,9E15),IF(AND(K146=0,ISNUMBER(AQ146),AQ146&lt;=(C146+T146)),AQ146,9E15),IF(AND(L146=0,ISNUMBER(AR146),AR146&lt;=(C146+T146)),AR146,9E15),IF(AND(M146=0,ISNUMBER(AS146),AS146&lt;=(C146+T146)),AS146,9E15))),"OC","MG"))),IF(AX146=TRUE,"",IF(MAX(IF(AND(NOT(AND(AU146=1,AT146&lt;&gt;1)),ISNUMBER(AK146),AK146&lt;=(C146+T146)),AY146,0),IF(AND(NOT(AND(AU146=1,AT146&lt;&gt;1)),ISNUMBER(AL146),AL146&lt;=(C146+T146)),AZ146,0),IF(AND(NOT(AND(AU146=1,AT146&lt;&gt;1)),ISNUMBER(AM146),AM146&lt;=(C146+T146)),BA146,0),IF(AND(NOT(AND(AU146=1,AT146&lt;&gt;1)),ISNUMBER(AN146),AN146&lt;=(C146+T146)),BB146,0),IF(AND(ISNUMBER(AO146),AO146&lt;=(C146+T146)),BC146,0))&lt;=0,"",IF(AND(IF(AND(NOT(AND(AU146=1,AT146&lt;&gt;1)),ISNUMBER(AK146),AK146&lt;=(C146+T146)),AY146,0)&gt;0,IF(AND(NOT(AND(AU146=1,AT146&lt;&gt;1)),ISNUMBER(AK146),AK146&lt;=(C146+T146)),AY146,0)=MAX(IF(AND(NOT(AND(AU146=1,AT146&lt;&gt;1)),ISNUMBER(AK146),AK146&lt;=(C146+T146)),AY146,0),IF(AND(NOT(AND(AU146=1,AT146&lt;&gt;1)),ISNUMBER(AL146),AL146&lt;=(C146+T146)),AZ146,0),IF(AND(NOT(AND(AU146=1,AT146&lt;&gt;1)),ISNUMBER(AM146),AM146&lt;=(C146+T146)),BA146,0),IF(AND(NOT(AND(AU146=1,AT146&lt;&gt;1)),ISNUMBER(AN146),AN146&lt;=(C146+T146)),BB146,0),IF(AND(ISNUMBER(AO146),AO146&lt;=(C146+T146)),BC146,0))),"SK",IF(AND(IF(AND(NOT(AND(AU146=1,AT146&lt;&gt;1)),ISNUMBER(AL146),AL146&lt;=(C146+T146)),AZ146,0)&gt;0,IF(AND(NOT(AND(AU146=1,AT146&lt;&gt;1)),ISNUMBER(AL146),AL146&lt;=(C146+T146)),AZ146,0)=MAX(IF(AND(NOT(AND(AU146=1,AT146&lt;&gt;1)),ISNUMBER(AK146),AK146&lt;=(C146+T146)),AY146,0),IF(AND(NOT(AND(AU146=1,AT146&lt;&gt;1)),ISNUMBER(AL146),AL146&lt;=(C146+T146)),AZ146,0),IF(AND(NOT(AND(AU146=1,AT146&lt;&gt;1)),ISNUMBER(AM146),AM146&lt;=(C146+T146)),BA146,0),IF(AND(NOT(AND(AU146=1,AT146&lt;&gt;1)),ISNUMBER(AN146),AN146&lt;=(C146+T146)),BB146,0),IF(AND(ISNUMBER(AO146),AO146&lt;=(C146+T146)),BC146,0))),"LB",IF(AND(IF(AND(NOT(AND(AU146=1,AT146&lt;&gt;1)),ISNUMBER(AM146),AM146&lt;=(C146+T146)),BA146,0)&gt;0,IF(AND(NOT(AND(AU146=1,AT146&lt;&gt;1)),ISNUMBER(AM146),AM146&lt;=(C146+T146)),BA146,0)=MAX(IF(AND(NOT(AND(AU146=1,AT146&lt;&gt;1)),ISNUMBER(AK146),AK146&lt;=(C146+T146)),AY146,0),IF(AND(NOT(AND(AU146=1,AT146&lt;&gt;1)),ISNUMBER(AL146),AL146&lt;=(C146+T146)),AZ146,0),IF(AND(NOT(AND(AU146=1,AT146&lt;&gt;1)),ISNUMBER(AM146),AM146&lt;=(C146+T146)),BA146,0),IF(AND(NOT(AND(AU146=1,AT146&lt;&gt;1)),ISNUMBER(AN146),AN146&lt;=(C146+T146)),BB146,0),IF(AND(ISNUMBER(AO146),AO146&lt;=(C146+T146)),BC146,0))),"ML",IF(AND(IF(AND(NOT(AND(AU146=1,AT146&lt;&gt;1)),ISNUMBER(AN146),AN146&lt;=(C146+T146)),BB146,0)&gt;0,IF(AND(NOT(AND(AU146=1,AT146&lt;&gt;1)),ISNUMBER(AN146),AN146&lt;=(C146+T146)),BB146,0)=MAX(IF(AND(NOT(AND(AU146=1,AT146&lt;&gt;1)),ISNUMBER(AK146),AK146&lt;=(C146+T146)),AY146,0),IF(AND(NOT(AND(AU146=1,AT146&lt;&gt;1)),ISNUMBER(AL146),AL146&lt;=(C146+T146)),AZ146,0),IF(AND(NOT(AND(AU146=1,AT146&lt;&gt;1)),ISNUMBER(AM146),AM146&lt;=(C146+T146)),BA146,0),IF(AND(NOT(AND(AU146=1,AT146&lt;&gt;1)),ISNUMBER(AN146),AN146&lt;=(C146+T146)),BB146,0),IF(AND(ISNUMBER(AO146),AO146&lt;=(C146+T146)),BC146,0))),"RLO","BD"))))))))</f>
        <v/>
      </c>
    </row>
    <row r="147">
      <c r="A147" s="26" t="n">
        <v>136</v>
      </c>
      <c r="B147" s="27">
        <f>A147*10/60</f>
        <v/>
      </c>
      <c r="C147" s="22">
        <f>X146</f>
        <v/>
      </c>
      <c r="D147" s="27">
        <f>D146+W146</f>
        <v/>
      </c>
      <c r="E147" s="26">
        <f>E146+IF(U146="SK",1,0)</f>
        <v/>
      </c>
      <c r="F147" s="26">
        <f>F146+IF(U146="LB",1,0)</f>
        <v/>
      </c>
      <c r="G147" s="26">
        <f>G146+IF(U146="ML",1,0)</f>
        <v/>
      </c>
      <c r="H147" s="26">
        <f>H146+IF(U146="RLO",1,0)</f>
        <v/>
      </c>
      <c r="I147" s="26">
        <f>I146+IF(U146="BD",1,0)</f>
        <v/>
      </c>
      <c r="J147" s="26">
        <f>MAX(J146,IF(U146="BiP",1,0))</f>
        <v/>
      </c>
      <c r="K147" s="26">
        <f>MAX(K146,IF(U146="PV",1,0))</f>
        <v/>
      </c>
      <c r="L147" s="26">
        <f>MAX(L146,IF(U146="OC",1,0))</f>
        <v/>
      </c>
      <c r="M147" s="26">
        <f>MAX(M146,IF(U146="MG",1,0))</f>
        <v/>
      </c>
      <c r="N147" s="26">
        <f>MAX(N146,IF(U146="transition",1,0))</f>
        <v/>
      </c>
      <c r="O147" s="28">
        <f>(Parameters!$B$9+(IF(E147=0,0,(Upgrades!$J$13+E147*Upgrades!$K$13)*POWER(Upgrades!$L$13,E147)))*(IF(Upgrades!$T$14="Stellar Kinematics",POWER(Upgrades!$U$14,F147),1)*IF(Upgrades!$T$15="Stellar Kinematics",POWER(Upgrades!$U$15,G147),1)*IF(Upgrades!$T$16="Stellar Kinematics",POWER(Upgrades!$U$16,H147),1)*IF(Upgrades!$T$17="Stellar Kinematics",POWER(Upgrades!$U$17,I147),1)*IF(Upgrades!$T$18="Stellar Kinematics",POWER(Upgrades!$U$18,J147),1)*IF(Upgrades!$T$19="Stellar Kinematics",POWER(Upgrades!$U$19,K147),1)*IF(Upgrades!$T$20="Stellar Kinematics",POWER(Upgrades!$U$20,L147),1)*IF(Upgrades!$T$21="Stellar Kinematics",POWER(Upgrades!$U$21,M147),1))+(IF(F147=0,0,(Upgrades!$J$14+F147*Upgrades!$K$14)*POWER(Upgrades!$L$14,F147)))*(IF(Upgrades!$T$13="Local Bubble",POWER(Upgrades!$U$13,E147),1)*IF(Upgrades!$T$15="Local Bubble",POWER(Upgrades!$U$15,G147),1)*IF(Upgrades!$T$16="Local Bubble",POWER(Upgrades!$U$16,H147),1)*IF(Upgrades!$T$17="Local Bubble",POWER(Upgrades!$U$17,I147),1)*IF(Upgrades!$T$18="Local Bubble",POWER(Upgrades!$U$18,J147),1)*IF(Upgrades!$T$19="Local Bubble",POWER(Upgrades!$U$19,K147),1)*IF(Upgrades!$T$20="Local Bubble",POWER(Upgrades!$U$20,L147),1)*IF(Upgrades!$T$21="Local Bubble",POWER(Upgrades!$U$21,M147),1))+(IF(G147=0,0,(Upgrades!$J$15+G147*Upgrades!$K$15)*POWER(Upgrades!$L$15,G147)))*(IF(Upgrades!$T$13="Microlensing",POWER(Upgrades!$U$13,E147),1)*IF(Upgrades!$T$14="Microlensing",POWER(Upgrades!$U$14,F147),1)*IF(Upgrades!$T$16="Microlensing",POWER(Upgrades!$U$16,H147),1)*IF(Upgrades!$T$17="Microlensing",POWER(Upgrades!$U$17,I147),1)*IF(Upgrades!$T$18="Microlensing",POWER(Upgrades!$U$18,J147),1)*IF(Upgrades!$T$19="Microlensing",POWER(Upgrades!$U$19,K147),1)*IF(Upgrades!$T$20="Microlensing",POWER(Upgrades!$U$20,L147),1)*IF(Upgrades!$T$21="Microlensing",POWER(Upgrades!$U$21,M147),1))+(IF(H147=0,0,(Upgrades!$J$16+H147*Upgrades!$K$16)*POWER(Upgrades!$L$16,H147)))*(IF(Upgrades!$T$13="Roche Lobe Overflow",POWER(Upgrades!$U$13,E147),1)*IF(Upgrades!$T$14="Roche Lobe Overflow",POWER(Upgrades!$U$14,F147),1)*IF(Upgrades!$T$15="Roche Lobe Overflow",POWER(Upgrades!$U$15,G147),1)*IF(Upgrades!$T$17="Roche Lobe Overflow",POWER(Upgrades!$U$17,I147),1)*IF(Upgrades!$T$18="Roche Lobe Overflow",POWER(Upgrades!$U$18,J147),1)*IF(Upgrades!$T$19="Roche Lobe Overflow",POWER(Upgrades!$U$19,K147),1)*IF(Upgrades!$T$20="Roche Lobe Overflow",POWER(Upgrades!$U$20,L147),1)*IF(Upgrades!$T$21="Roche Lobe Overflow",POWER(Upgrades!$U$21,M147),1))+(IF(I147=0,0,(Upgrades!$J$17+I147*Upgrades!$K$17)*POWER(Upgrades!$L$17,I147)))*(IF(Upgrades!$T$13="Brown Dwarf",POWER(Upgrades!$U$13,E147),1)*IF(Upgrades!$T$14="Brown Dwarf",POWER(Upgrades!$U$14,F147),1)*IF(Upgrades!$T$15="Brown Dwarf",POWER(Upgrades!$U$15,G147),1)*IF(Upgrades!$T$16="Brown Dwarf",POWER(Upgrades!$U$16,H147),1)*IF(Upgrades!$T$18="Brown Dwarf",POWER(Upgrades!$U$18,J147),1)*IF(Upgrades!$T$19="Brown Dwarf",POWER(Upgrades!$U$19,K147),1)*IF(Upgrades!$T$20="Brown Dwarf",POWER(Upgrades!$U$20,L147),1)*IF(Upgrades!$T$21="Brown Dwarf",POWER(Upgrades!$U$21,M147),1))+(IF(J147=0,0,(Upgrades!$J$18+J147*Upgrades!$K$18)*POWER(Upgrades!$L$18,J147)))*(IF(Upgrades!$T$13="Binary Partner",POWER(Upgrades!$U$13,E147),1)*IF(Upgrades!$T$14="Binary Partner",POWER(Upgrades!$U$14,F147),1)*IF(Upgrades!$T$15="Binary Partner",POWER(Upgrades!$U$15,G147),1)*IF(Upgrades!$T$16="Binary Partner",POWER(Upgrades!$U$16,H147),1)*IF(Upgrades!$T$17="Binary Partner",POWER(Upgrades!$U$17,I147),1)*IF(Upgrades!$T$19="Binary Partner",POWER(Upgrades!$U$19,K147),1)*IF(Upgrades!$T$20="Binary Partner",POWER(Upgrades!$U$20,L147),1)*IF(Upgrades!$T$21="Binary Partner",POWER(Upgrades!$U$21,M147),1))+(IF(K147=0,0,(Upgrades!$J$19+K147*Upgrades!$K$19)*POWER(Upgrades!$L$19,K147)))*(IF(Upgrades!$T$13="Peculiar Velocity",POWER(Upgrades!$U$13,E147),1)*IF(Upgrades!$T$14="Peculiar Velocity",POWER(Upgrades!$U$14,F147),1)*IF(Upgrades!$T$15="Peculiar Velocity",POWER(Upgrades!$U$15,G147),1)*IF(Upgrades!$T$16="Peculiar Velocity",POWER(Upgrades!$U$16,H147),1)*IF(Upgrades!$T$17="Peculiar Velocity",POWER(Upgrades!$U$17,I147),1)*IF(Upgrades!$T$18="Peculiar Velocity",POWER(Upgrades!$U$18,J147),1)*IF(Upgrades!$T$20="Peculiar Velocity",POWER(Upgrades!$U$20,L147),1)*IF(Upgrades!$T$21="Peculiar Velocity",POWER(Upgrades!$U$21,M147),1))+(IF(L147=0,0,(Upgrades!$J$20+L147*Upgrades!$K$20)*POWER(Upgrades!$L$20,L147)))*(IF(Upgrades!$T$13="Open Cluster",POWER(Upgrades!$U$13,E147),1)*IF(Upgrades!$T$14="Open Cluster",POWER(Upgrades!$U$14,F147),1)*IF(Upgrades!$T$15="Open Cluster",POWER(Upgrades!$U$15,G147),1)*IF(Upgrades!$T$16="Open Cluster",POWER(Upgrades!$U$16,H147),1)*IF(Upgrades!$T$17="Open Cluster",POWER(Upgrades!$U$17,I147),1)*IF(Upgrades!$T$18="Open Cluster",POWER(Upgrades!$U$18,J147),1)*IF(Upgrades!$T$19="Open Cluster",POWER(Upgrades!$U$19,K147),1)*IF(Upgrades!$T$21="Open Cluster",POWER(Upgrades!$U$21,M147),1))+(IF(M147=0,0,(Upgrades!$J$21+M147*Upgrades!$K$21)*POWER(Upgrades!$L$21,M147)))*(IF(Upgrades!$T$13="Moving Group",POWER(Upgrades!$U$13,E147),1)*IF(Upgrades!$T$14="Moving Group",POWER(Upgrades!$U$14,F147),1)*IF(Upgrades!$T$15="Moving Group",POWER(Upgrades!$U$15,G147),1)*IF(Upgrades!$T$16="Moving Group",POWER(Upgrades!$U$16,H147),1)*IF(Upgrades!$T$17="Moving Group",POWER(Upgrades!$U$17,I147),1)*IF(Upgrades!$T$18="Moving Group",POWER(Upgrades!$U$18,J147),1)*IF(Upgrades!$T$19="Moving Group",POWER(Upgrades!$U$19,K147),1)*IF(Upgrades!$T$20="Moving Group",POWER(Upgrades!$U$20,L147),1)))*POWER(Upgrades!$Q$13,E147)*POWER(Upgrades!$Q$14,F147)*POWER(Upgrades!$Q$15,G147)*POWER(Upgrades!$Q$16,H147)*POWER(Upgrades!$Q$17,I147)*POWER(Upgrades!$Q$18,J147)*POWER(Upgrades!$Q$19,K147)*POWER(Upgrades!$Q$20,L147)*POWER(Upgrades!$Q$21,M147)*$G$6+$D$6</f>
        <v/>
      </c>
      <c r="P147" s="28">
        <f>((IF(E147=0,0,(Upgrades!$G$13+E147*Upgrades!$H$13)*POWER(Upgrades!$I$13,E147)))*(IF(Upgrades!$T$14="Stellar Kinematics",POWER(Upgrades!$U$14,F147),1)*IF(Upgrades!$T$15="Stellar Kinematics",POWER(Upgrades!$U$15,G147),1)*IF(Upgrades!$T$16="Stellar Kinematics",POWER(Upgrades!$U$16,H147),1)*IF(Upgrades!$T$17="Stellar Kinematics",POWER(Upgrades!$U$17,I147),1)*IF(Upgrades!$T$18="Stellar Kinematics",POWER(Upgrades!$U$18,J147),1)*IF(Upgrades!$T$19="Stellar Kinematics",POWER(Upgrades!$U$19,K147),1)*IF(Upgrades!$T$20="Stellar Kinematics",POWER(Upgrades!$U$20,L147),1)*IF(Upgrades!$T$21="Stellar Kinematics",POWER(Upgrades!$U$21,M147),1))+(IF(F147=0,0,(Upgrades!$G$14+F147*Upgrades!$H$14)*POWER(Upgrades!$I$14,F147)))*(IF(Upgrades!$T$13="Local Bubble",POWER(Upgrades!$U$13,E147),1)*IF(Upgrades!$T$15="Local Bubble",POWER(Upgrades!$U$15,G147),1)*IF(Upgrades!$T$16="Local Bubble",POWER(Upgrades!$U$16,H147),1)*IF(Upgrades!$T$17="Local Bubble",POWER(Upgrades!$U$17,I147),1)*IF(Upgrades!$T$18="Local Bubble",POWER(Upgrades!$U$18,J147),1)*IF(Upgrades!$T$19="Local Bubble",POWER(Upgrades!$U$19,K147),1)*IF(Upgrades!$T$20="Local Bubble",POWER(Upgrades!$U$20,L147),1)*IF(Upgrades!$T$21="Local Bubble",POWER(Upgrades!$U$21,M147),1))+(IF(G147=0,0,(Upgrades!$G$15+G147*Upgrades!$H$15)*POWER(Upgrades!$I$15,G147)))*(IF(Upgrades!$T$13="Microlensing",POWER(Upgrades!$U$13,E147),1)*IF(Upgrades!$T$14="Microlensing",POWER(Upgrades!$U$14,F147),1)*IF(Upgrades!$T$16="Microlensing",POWER(Upgrades!$U$16,H147),1)*IF(Upgrades!$T$17="Microlensing",POWER(Upgrades!$U$17,I147),1)*IF(Upgrades!$T$18="Microlensing",POWER(Upgrades!$U$18,J147),1)*IF(Upgrades!$T$19="Microlensing",POWER(Upgrades!$U$19,K147),1)*IF(Upgrades!$T$20="Microlensing",POWER(Upgrades!$U$20,L147),1)*IF(Upgrades!$T$21="Microlensing",POWER(Upgrades!$U$21,M147),1))+(IF(H147=0,0,(Upgrades!$G$16+H147*Upgrades!$H$16)*POWER(Upgrades!$I$16,H147)))*(IF(Upgrades!$T$13="Roche Lobe Overflow",POWER(Upgrades!$U$13,E147),1)*IF(Upgrades!$T$14="Roche Lobe Overflow",POWER(Upgrades!$U$14,F147),1)*IF(Upgrades!$T$15="Roche Lobe Overflow",POWER(Upgrades!$U$15,G147),1)*IF(Upgrades!$T$17="Roche Lobe Overflow",POWER(Upgrades!$U$17,I147),1)*IF(Upgrades!$T$18="Roche Lobe Overflow",POWER(Upgrades!$U$18,J147),1)*IF(Upgrades!$T$19="Roche Lobe Overflow",POWER(Upgrades!$U$19,K147),1)*IF(Upgrades!$T$20="Roche Lobe Overflow",POWER(Upgrades!$U$20,L147),1)*IF(Upgrades!$T$21="Roche Lobe Overflow",POWER(Upgrades!$U$21,M147),1))+(IF(I147=0,0,(Upgrades!$G$17+I147*Upgrades!$H$17)*POWER(Upgrades!$I$17,I147)))*(IF(Upgrades!$T$13="Brown Dwarf",POWER(Upgrades!$U$13,E147),1)*IF(Upgrades!$T$14="Brown Dwarf",POWER(Upgrades!$U$14,F147),1)*IF(Upgrades!$T$15="Brown Dwarf",POWER(Upgrades!$U$15,G147),1)*IF(Upgrades!$T$16="Brown Dwarf",POWER(Upgrades!$U$16,H147),1)*IF(Upgrades!$T$18="Brown Dwarf",POWER(Upgrades!$U$18,J147),1)*IF(Upgrades!$T$19="Brown Dwarf",POWER(Upgrades!$U$19,K147),1)*IF(Upgrades!$T$20="Brown Dwarf",POWER(Upgrades!$U$20,L147),1)*IF(Upgrades!$T$21="Brown Dwarf",POWER(Upgrades!$U$21,M147),1))+(IF(J147=0,0,(Upgrades!$G$18+J147*Upgrades!$H$18)*POWER(Upgrades!$I$18,J147)))*(IF(Upgrades!$T$13="Binary Partner",POWER(Upgrades!$U$13,E147),1)*IF(Upgrades!$T$14="Binary Partner",POWER(Upgrades!$U$14,F147),1)*IF(Upgrades!$T$15="Binary Partner",POWER(Upgrades!$U$15,G147),1)*IF(Upgrades!$T$16="Binary Partner",POWER(Upgrades!$U$16,H147),1)*IF(Upgrades!$T$17="Binary Partner",POWER(Upgrades!$U$17,I147),1)*IF(Upgrades!$T$19="Binary Partner",POWER(Upgrades!$U$19,K147),1)*IF(Upgrades!$T$20="Binary Partner",POWER(Upgrades!$U$20,L147),1)*IF(Upgrades!$T$21="Binary Partner",POWER(Upgrades!$U$21,M147),1))+(IF(K147=0,0,(Upgrades!$G$19+K147*Upgrades!$H$19)*POWER(Upgrades!$I$19,K147)))*(IF(Upgrades!$T$13="Peculiar Velocity",POWER(Upgrades!$U$13,E147),1)*IF(Upgrades!$T$14="Peculiar Velocity",POWER(Upgrades!$U$14,F147),1)*IF(Upgrades!$T$15="Peculiar Velocity",POWER(Upgrades!$U$15,G147),1)*IF(Upgrades!$T$16="Peculiar Velocity",POWER(Upgrades!$U$16,H147),1)*IF(Upgrades!$T$17="Peculiar Velocity",POWER(Upgrades!$U$17,I147),1)*IF(Upgrades!$T$18="Peculiar Velocity",POWER(Upgrades!$U$18,J147),1)*IF(Upgrades!$T$20="Peculiar Velocity",POWER(Upgrades!$U$20,L147),1)*IF(Upgrades!$T$21="Peculiar Velocity",POWER(Upgrades!$U$21,M147),1))+(IF(L147=0,0,(Upgrades!$G$20+L147*Upgrades!$H$20)*POWER(Upgrades!$I$20,L147)))*(IF(Upgrades!$T$13="Open Cluster",POWER(Upgrades!$U$13,E147),1)*IF(Upgrades!$T$14="Open Cluster",POWER(Upgrades!$U$14,F147),1)*IF(Upgrades!$T$15="Open Cluster",POWER(Upgrades!$U$15,G147),1)*IF(Upgrades!$T$16="Open Cluster",POWER(Upgrades!$U$16,H147),1)*IF(Upgrades!$T$17="Open Cluster",POWER(Upgrades!$U$17,I147),1)*IF(Upgrades!$T$18="Open Cluster",POWER(Upgrades!$U$18,J147),1)*IF(Upgrades!$T$19="Open Cluster",POWER(Upgrades!$U$19,K147),1)*IF(Upgrades!$T$21="Open Cluster",POWER(Upgrades!$U$21,M147),1))+(IF(M147=0,0,(Upgrades!$G$21+M147*Upgrades!$H$21)*POWER(Upgrades!$I$21,M147)))*(IF(Upgrades!$T$13="Moving Group",POWER(Upgrades!$U$13,E147),1)*IF(Upgrades!$T$14="Moving Group",POWER(Upgrades!$U$14,F147),1)*IF(Upgrades!$T$15="Moving Group",POWER(Upgrades!$U$15,G147),1)*IF(Upgrades!$T$16="Moving Group",POWER(Upgrades!$U$16,H147),1)*IF(Upgrades!$T$17="Moving Group",POWER(Upgrades!$U$17,I147),1)*IF(Upgrades!$T$18="Moving Group",POWER(Upgrades!$U$18,J147),1)*IF(Upgrades!$T$19="Moving Group",POWER(Upgrades!$U$19,K147),1)*IF(Upgrades!$T$20="Moving Group",POWER(Upgrades!$U$20,L147),1)))*POWER(Upgrades!$P$13,E147)*POWER(Upgrades!$P$14,F147)*POWER(Upgrades!$P$15,G147)*POWER(Upgrades!$P$16,H147)*POWER(Upgrades!$P$17,I147)*POWER(Upgrades!$P$18,J147)*POWER(Upgrades!$P$19,K147)*POWER(Upgrades!$P$20,L147)*POWER(Upgrades!$P$21,M147)*$F$6+$C$6</f>
        <v/>
      </c>
      <c r="Q147" s="28">
        <f>((IF(E147=0,0,(Upgrades!$M$13+E147*Upgrades!$N$13)*POWER(Upgrades!$O$13,E147)))*(IF(Upgrades!$T$14="Stellar Kinematics",POWER(Upgrades!$U$14,F147),1)*IF(Upgrades!$T$15="Stellar Kinematics",POWER(Upgrades!$U$15,G147),1)*IF(Upgrades!$T$16="Stellar Kinematics",POWER(Upgrades!$U$16,H147),1)*IF(Upgrades!$T$17="Stellar Kinematics",POWER(Upgrades!$U$17,I147),1)*IF(Upgrades!$T$18="Stellar Kinematics",POWER(Upgrades!$U$18,J147),1)*IF(Upgrades!$T$19="Stellar Kinematics",POWER(Upgrades!$U$19,K147),1)*IF(Upgrades!$T$20="Stellar Kinematics",POWER(Upgrades!$U$20,L147),1)*IF(Upgrades!$T$21="Stellar Kinematics",POWER(Upgrades!$U$21,M147),1))+(IF(F147=0,0,(Upgrades!$M$14+F147*Upgrades!$N$14)*POWER(Upgrades!$O$14,F147)))*(IF(Upgrades!$T$13="Local Bubble",POWER(Upgrades!$U$13,E147),1)*IF(Upgrades!$T$15="Local Bubble",POWER(Upgrades!$U$15,G147),1)*IF(Upgrades!$T$16="Local Bubble",POWER(Upgrades!$U$16,H147),1)*IF(Upgrades!$T$17="Local Bubble",POWER(Upgrades!$U$17,I147),1)*IF(Upgrades!$T$18="Local Bubble",POWER(Upgrades!$U$18,J147),1)*IF(Upgrades!$T$19="Local Bubble",POWER(Upgrades!$U$19,K147),1)*IF(Upgrades!$T$20="Local Bubble",POWER(Upgrades!$U$20,L147),1)*IF(Upgrades!$T$21="Local Bubble",POWER(Upgrades!$U$21,M147),1))+(IF(G147=0,0,(Upgrades!$M$15+G147*Upgrades!$N$15)*POWER(Upgrades!$O$15,G147)))*(IF(Upgrades!$T$13="Microlensing",POWER(Upgrades!$U$13,E147),1)*IF(Upgrades!$T$14="Microlensing",POWER(Upgrades!$U$14,F147),1)*IF(Upgrades!$T$16="Microlensing",POWER(Upgrades!$U$16,H147),1)*IF(Upgrades!$T$17="Microlensing",POWER(Upgrades!$U$17,I147),1)*IF(Upgrades!$T$18="Microlensing",POWER(Upgrades!$U$18,J147),1)*IF(Upgrades!$T$19="Microlensing",POWER(Upgrades!$U$19,K147),1)*IF(Upgrades!$T$20="Microlensing",POWER(Upgrades!$U$20,L147),1)*IF(Upgrades!$T$21="Microlensing",POWER(Upgrades!$U$21,M147),1))+(IF(H147=0,0,(Upgrades!$M$16+H147*Upgrades!$N$16)*POWER(Upgrades!$O$16,H147)))*(IF(Upgrades!$T$13="Roche Lobe Overflow",POWER(Upgrades!$U$13,E147),1)*IF(Upgrades!$T$14="Roche Lobe Overflow",POWER(Upgrades!$U$14,F147),1)*IF(Upgrades!$T$15="Roche Lobe Overflow",POWER(Upgrades!$U$15,G147),1)*IF(Upgrades!$T$17="Roche Lobe Overflow",POWER(Upgrades!$U$17,I147),1)*IF(Upgrades!$T$18="Roche Lobe Overflow",POWER(Upgrades!$U$18,J147),1)*IF(Upgrades!$T$19="Roche Lobe Overflow",POWER(Upgrades!$U$19,K147),1)*IF(Upgrades!$T$20="Roche Lobe Overflow",POWER(Upgrades!$U$20,L147),1)*IF(Upgrades!$T$21="Roche Lobe Overflow",POWER(Upgrades!$U$21,M147),1))+(IF(I147=0,0,(Upgrades!$M$17+I147*Upgrades!$N$17)*POWER(Upgrades!$O$17,I147)))*(IF(Upgrades!$T$13="Brown Dwarf",POWER(Upgrades!$U$13,E147),1)*IF(Upgrades!$T$14="Brown Dwarf",POWER(Upgrades!$U$14,F147),1)*IF(Upgrades!$T$15="Brown Dwarf",POWER(Upgrades!$U$15,G147),1)*IF(Upgrades!$T$16="Brown Dwarf",POWER(Upgrades!$U$16,H147),1)*IF(Upgrades!$T$18="Brown Dwarf",POWER(Upgrades!$U$18,J147),1)*IF(Upgrades!$T$19="Brown Dwarf",POWER(Upgrades!$U$19,K147),1)*IF(Upgrades!$T$20="Brown Dwarf",POWER(Upgrades!$U$20,L147),1)*IF(Upgrades!$T$21="Brown Dwarf",POWER(Upgrades!$U$21,M147),1))+(IF(J147=0,0,(Upgrades!$M$18+J147*Upgrades!$N$18)*POWER(Upgrades!$O$18,J147)))*(IF(Upgrades!$T$13="Binary Partner",POWER(Upgrades!$U$13,E147),1)*IF(Upgrades!$T$14="Binary Partner",POWER(Upgrades!$U$14,F147),1)*IF(Upgrades!$T$15="Binary Partner",POWER(Upgrades!$U$15,G147),1)*IF(Upgrades!$T$16="Binary Partner",POWER(Upgrades!$U$16,H147),1)*IF(Upgrades!$T$17="Binary Partner",POWER(Upgrades!$U$17,I147),1)*IF(Upgrades!$T$19="Binary Partner",POWER(Upgrades!$U$19,K147),1)*IF(Upgrades!$T$20="Binary Partner",POWER(Upgrades!$U$20,L147),1)*IF(Upgrades!$T$21="Binary Partner",POWER(Upgrades!$U$21,M147),1))+(IF(K147=0,0,(Upgrades!$M$19+K147*Upgrades!$N$19)*POWER(Upgrades!$O$19,K147)))*(IF(Upgrades!$T$13="Peculiar Velocity",POWER(Upgrades!$U$13,E147),1)*IF(Upgrades!$T$14="Peculiar Velocity",POWER(Upgrades!$U$14,F147),1)*IF(Upgrades!$T$15="Peculiar Velocity",POWER(Upgrades!$U$15,G147),1)*IF(Upgrades!$T$16="Peculiar Velocity",POWER(Upgrades!$U$16,H147),1)*IF(Upgrades!$T$17="Peculiar Velocity",POWER(Upgrades!$U$17,I147),1)*IF(Upgrades!$T$18="Peculiar Velocity",POWER(Upgrades!$U$18,J147),1)*IF(Upgrades!$T$20="Peculiar Velocity",POWER(Upgrades!$U$20,L147),1)*IF(Upgrades!$T$21="Peculiar Velocity",POWER(Upgrades!$U$21,M147),1))+(IF(L147=0,0,(Upgrades!$M$20+L147*Upgrades!$N$20)*POWER(Upgrades!$O$20,L147)))*(IF(Upgrades!$T$13="Open Cluster",POWER(Upgrades!$U$13,E147),1)*IF(Upgrades!$T$14="Open Cluster",POWER(Upgrades!$U$14,F147),1)*IF(Upgrades!$T$15="Open Cluster",POWER(Upgrades!$U$15,G147),1)*IF(Upgrades!$T$16="Open Cluster",POWER(Upgrades!$U$16,H147),1)*IF(Upgrades!$T$17="Open Cluster",POWER(Upgrades!$U$17,I147),1)*IF(Upgrades!$T$18="Open Cluster",POWER(Upgrades!$U$18,J147),1)*IF(Upgrades!$T$19="Open Cluster",POWER(Upgrades!$U$19,K147),1)*IF(Upgrades!$T$21="Open Cluster",POWER(Upgrades!$U$21,M147),1))+(IF(M147=0,0,(Upgrades!$M$21+M147*Upgrades!$N$21)*POWER(Upgrades!$O$21,M147)))*(IF(Upgrades!$T$13="Moving Group",POWER(Upgrades!$U$13,E147),1)*IF(Upgrades!$T$14="Moving Group",POWER(Upgrades!$U$14,F147),1)*IF(Upgrades!$T$15="Moving Group",POWER(Upgrades!$U$15,G147),1)*IF(Upgrades!$T$16="Moving Group",POWER(Upgrades!$U$16,H147),1)*IF(Upgrades!$T$17="Moving Group",POWER(Upgrades!$U$17,I147),1)*IF(Upgrades!$T$18="Moving Group",POWER(Upgrades!$U$18,J147),1)*IF(Upgrades!$T$19="Moving Group",POWER(Upgrades!$U$19,K147),1)*IF(Upgrades!$T$20="Moving Group",POWER(Upgrades!$U$20,L147),1)))*POWER(Upgrades!$R$13,E147)*POWER(Upgrades!$R$14,F147)*POWER(Upgrades!$R$15,G147)*POWER(Upgrades!$R$16,H147)*POWER(Upgrades!$R$17,I147)*POWER(Upgrades!$R$18,J147)*POWER(Upgrades!$R$19,K147)*POWER(Upgrades!$R$20,L147)*POWER(Upgrades!$R$21,M147)*$H$6+$E$6</f>
        <v/>
      </c>
      <c r="R147" s="27">
        <f>IF(N147=1,0,O147*Parameters!$B$10/60*Parameters!$B$11*10)</f>
        <v/>
      </c>
      <c r="S147" s="27">
        <f>IF(N147=1,0,Q147*O147*10)</f>
        <v/>
      </c>
      <c r="T147" s="27">
        <f>IF(N147=1,0,R147+S147+P147*10)</f>
        <v/>
      </c>
      <c r="U147" s="33">
        <f>BE147</f>
        <v/>
      </c>
      <c r="V147" s="22">
        <f>IF(U147="",0,IF(U147="transition",0,IF(U147="SK",AK147,IF(U147="LB",AL147,IF(U147="ML",AM147,IF(U147="RLO",AN147,IF(U147="BD",AO147,IF(U147="BiP",AP147,IF(U147="PV",AQ147,IF(U147="OC",AR147,IF(U147="MG",AS147,0))))))))))</f>
        <v/>
      </c>
      <c r="W147" s="27">
        <f>IF(U147="BiP",Upgrades!$F$18,IF(U147="PV",Upgrades!$F$19,IF(U147="OC",Upgrades!$F$20,IF(U147="MG",Upgrades!$F$21,IF(U147="transition",-Parameters!$B$18*Parameters!$B$19,0)))))</f>
        <v/>
      </c>
      <c r="X147" s="22">
        <f>C147+T147-V147</f>
        <v/>
      </c>
      <c r="Y147" s="30">
        <f>O147*Parameters!$B$10/60*Parameters!$B$11+Q147*O147+P147</f>
        <v/>
      </c>
      <c r="Z147" s="34">
        <f>IF(U147="transition","→ Tier 3 (Galactic Arm)",IF(U147="MG","Moving Group — pocket drifts together",IF(U147="OC","Open Cluster acquired",IF(U147="PV","Peculiar Velocity — passive multiplier active",IF(U147="BiP","Binary Partner — pair bond formed",IF(AND(AU147=1,N147=0,AT147&lt;&gt;1),"Cohesion ready (waiting on completionists)","")))))) </f>
        <v/>
      </c>
      <c r="AA147" s="27">
        <f>(IF(E147=0,0,(Upgrades!$G$13+E147*Upgrades!$H$13)*POWER(Upgrades!$I$13,E147)))*(IF(Upgrades!$T$14="Stellar Kinematics",POWER(Upgrades!$U$14,F147),1)*IF(Upgrades!$T$15="Stellar Kinematics",POWER(Upgrades!$U$15,G147),1)*IF(Upgrades!$T$16="Stellar Kinematics",POWER(Upgrades!$U$16,H147),1)*IF(Upgrades!$T$17="Stellar Kinematics",POWER(Upgrades!$U$17,I147),1)*IF(Upgrades!$T$18="Stellar Kinematics",POWER(Upgrades!$U$18,J147),1)*IF(Upgrades!$T$19="Stellar Kinematics",POWER(Upgrades!$U$19,K147),1)*IF(Upgrades!$T$20="Stellar Kinematics",POWER(Upgrades!$U$20,L147),1)*IF(Upgrades!$T$21="Stellar Kinematics",POWER(Upgrades!$U$21,M147),1))*POWER(Upgrades!$P$13,E147)*POWER(Upgrades!$P$14,F147)*POWER(Upgrades!$P$15,G147)*POWER(Upgrades!$P$16,H147)*POWER(Upgrades!$P$17,I147)*POWER(Upgrades!$P$18,J147)*POWER(Upgrades!$P$19,K147)*POWER(Upgrades!$P$20,L147)*POWER(Upgrades!$P$21,M147)*$F$6*60</f>
        <v/>
      </c>
      <c r="AB147" s="27">
        <f>(IF(F147=0,0,(Upgrades!$G$14+F147*Upgrades!$H$14)*POWER(Upgrades!$I$14,F147)))*(IF(Upgrades!$T$13="Local Bubble",POWER(Upgrades!$U$13,E147),1)*IF(Upgrades!$T$15="Local Bubble",POWER(Upgrades!$U$15,G147),1)*IF(Upgrades!$T$16="Local Bubble",POWER(Upgrades!$U$16,H147),1)*IF(Upgrades!$T$17="Local Bubble",POWER(Upgrades!$U$17,I147),1)*IF(Upgrades!$T$18="Local Bubble",POWER(Upgrades!$U$18,J147),1)*IF(Upgrades!$T$19="Local Bubble",POWER(Upgrades!$U$19,K147),1)*IF(Upgrades!$T$20="Local Bubble",POWER(Upgrades!$U$20,L147),1)*IF(Upgrades!$T$21="Local Bubble",POWER(Upgrades!$U$21,M147),1))*POWER(Upgrades!$P$13,E147)*POWER(Upgrades!$P$14,F147)*POWER(Upgrades!$P$15,G147)*POWER(Upgrades!$P$16,H147)*POWER(Upgrades!$P$17,I147)*POWER(Upgrades!$P$18,J147)*POWER(Upgrades!$P$19,K147)*POWER(Upgrades!$P$20,L147)*POWER(Upgrades!$P$21,M147)*$F$6*60</f>
        <v/>
      </c>
      <c r="AC147" s="27">
        <f>(IF(G147=0,0,(Upgrades!$J$15+G147*Upgrades!$K$15)*POWER(Upgrades!$L$15,G147)))*(IF(Upgrades!$T$13="Microlensing",POWER(Upgrades!$U$13,E147),1)*IF(Upgrades!$T$14="Microlensing",POWER(Upgrades!$U$14,F147),1)*IF(Upgrades!$T$16="Microlensing",POWER(Upgrades!$U$16,H147),1)*IF(Upgrades!$T$17="Microlensing",POWER(Upgrades!$U$17,I147),1)*IF(Upgrades!$T$18="Microlensing",POWER(Upgrades!$U$18,J147),1)*IF(Upgrades!$T$19="Microlensing",POWER(Upgrades!$U$19,K147),1)*IF(Upgrades!$T$20="Microlensing",POWER(Upgrades!$U$20,L147),1)*IF(Upgrades!$T$21="Microlensing",POWER(Upgrades!$U$21,M147),1))*POWER(Upgrades!$Q$13,E147)*POWER(Upgrades!$Q$14,F147)*POWER(Upgrades!$Q$15,G147)*POWER(Upgrades!$Q$16,H147)*POWER(Upgrades!$Q$17,I147)*POWER(Upgrades!$Q$18,J147)*POWER(Upgrades!$Q$19,K147)*POWER(Upgrades!$Q$20,L147)*POWER(Upgrades!$Q$21,M147)*$G$6*(Parameters!$B$10*Parameters!$B$11+Q147*60)</f>
        <v/>
      </c>
      <c r="AD147" s="27">
        <f>(IF(H147=0,0,(Upgrades!$M$16+H147*Upgrades!$N$16)*POWER(Upgrades!$O$16,H147)))*(IF(Upgrades!$T$13="Roche Lobe Overflow",POWER(Upgrades!$U$13,E147),1)*IF(Upgrades!$T$14="Roche Lobe Overflow",POWER(Upgrades!$U$14,F147),1)*IF(Upgrades!$T$15="Roche Lobe Overflow",POWER(Upgrades!$U$15,G147),1)*IF(Upgrades!$T$17="Roche Lobe Overflow",POWER(Upgrades!$U$17,I147),1)*IF(Upgrades!$T$18="Roche Lobe Overflow",POWER(Upgrades!$U$18,J147),1)*IF(Upgrades!$T$19="Roche Lobe Overflow",POWER(Upgrades!$U$19,K147),1)*IF(Upgrades!$T$20="Roche Lobe Overflow",POWER(Upgrades!$U$20,L147),1)*IF(Upgrades!$T$21="Roche Lobe Overflow",POWER(Upgrades!$U$21,M147),1))*POWER(Upgrades!$R$13,E147)*POWER(Upgrades!$R$14,F147)*POWER(Upgrades!$R$15,G147)*POWER(Upgrades!$R$16,H147)*POWER(Upgrades!$R$17,I147)*POWER(Upgrades!$R$18,J147)*POWER(Upgrades!$R$19,K147)*POWER(Upgrades!$R$20,L147)*POWER(Upgrades!$R$21,M147)*$H$6*O147*60</f>
        <v/>
      </c>
      <c r="AE147" s="27">
        <f>(IF(I147=0,0,(Upgrades!$G$17+I147*Upgrades!$H$17)*POWER(Upgrades!$I$17,I147)))*(IF(Upgrades!$T$13="Brown Dwarf",POWER(Upgrades!$U$13,E147),1)*IF(Upgrades!$T$14="Brown Dwarf",POWER(Upgrades!$U$14,F147),1)*IF(Upgrades!$T$15="Brown Dwarf",POWER(Upgrades!$U$15,G147),1)*IF(Upgrades!$T$16="Brown Dwarf",POWER(Upgrades!$U$16,H147),1)*IF(Upgrades!$T$18="Brown Dwarf",POWER(Upgrades!$U$18,J147),1)*IF(Upgrades!$T$19="Brown Dwarf",POWER(Upgrades!$U$19,K147),1)*IF(Upgrades!$T$20="Brown Dwarf",POWER(Upgrades!$U$20,L147),1)*IF(Upgrades!$T$21="Brown Dwarf",POWER(Upgrades!$U$21,M147),1))*POWER(Upgrades!$P$13,E147)*POWER(Upgrades!$P$14,F147)*POWER(Upgrades!$P$15,G147)*POWER(Upgrades!$P$16,H147)*POWER(Upgrades!$P$17,I147)*POWER(Upgrades!$P$18,J147)*POWER(Upgrades!$P$19,K147)*POWER(Upgrades!$P$20,L147)*POWER(Upgrades!$P$21,M147)*$F$6*60</f>
        <v/>
      </c>
      <c r="AF147" s="27" t="n">
        <v>0</v>
      </c>
      <c r="AG147" s="27" t="n">
        <v>0</v>
      </c>
      <c r="AH147" s="27" t="n">
        <v>0</v>
      </c>
      <c r="AI147" s="27">
        <f>(IF(M147=0,0,(Upgrades!$G$21+M147*Upgrades!$H$21)*POWER(Upgrades!$I$21,M147)))*(IF(Upgrades!$T$13="Moving Group",POWER(Upgrades!$U$13,E147),1)*IF(Upgrades!$T$14="Moving Group",POWER(Upgrades!$U$14,F147),1)*IF(Upgrades!$T$15="Moving Group",POWER(Upgrades!$U$15,G147),1)*IF(Upgrades!$T$16="Moving Group",POWER(Upgrades!$U$16,H147),1)*IF(Upgrades!$T$17="Moving Group",POWER(Upgrades!$U$17,I147),1)*IF(Upgrades!$T$18="Moving Group",POWER(Upgrades!$U$18,J147),1)*IF(Upgrades!$T$19="Moving Group",POWER(Upgrades!$U$19,K147),1)*IF(Upgrades!$T$20="Moving Group",POWER(Upgrades!$U$20,L147),1))*POWER(Upgrades!$P$13,E147)*POWER(Upgrades!$P$14,F147)*POWER(Upgrades!$P$15,G147)*POWER(Upgrades!$P$16,H147)*POWER(Upgrades!$P$17,I147)*POWER(Upgrades!$P$18,J147)*POWER(Upgrades!$P$19,K147)*POWER(Upgrades!$P$20,L147)*POWER(Upgrades!$P$21,M147)*$F$6*60</f>
        <v/>
      </c>
      <c r="AJ147" s="27">
        <f>$C$6*60</f>
        <v/>
      </c>
      <c r="AK147" s="22">
        <f>IF(E147&gt;=Upgrades!$E$13,"",Upgrades!$C$13*POWER(Upgrades!$D$13,E147))</f>
        <v/>
      </c>
      <c r="AL147" s="22">
        <f>IF(F147&gt;=Upgrades!$E$14,"",Upgrades!$C$14*POWER(Upgrades!$D$14,F147))</f>
        <v/>
      </c>
      <c r="AM147" s="22">
        <f>IF(G147&gt;=Upgrades!$E$15,"",Upgrades!$C$15*POWER(Upgrades!$D$15,G147))</f>
        <v/>
      </c>
      <c r="AN147" s="22">
        <f>IF(H147&gt;=Upgrades!$E$16,"",Upgrades!$C$16*POWER(Upgrades!$D$16,H147))</f>
        <v/>
      </c>
      <c r="AO147" s="22">
        <f>IF(I147&gt;=Upgrades!$E$17,"",Upgrades!$C$17*POWER(Upgrades!$D$17,I147))</f>
        <v/>
      </c>
      <c r="AP147" s="22">
        <f>IF(J147&gt;=Upgrades!$E$18,"",Upgrades!$C$18*POWER(Upgrades!$D$18,J147))</f>
        <v/>
      </c>
      <c r="AQ147" s="22">
        <f>IF(K147&gt;=Upgrades!$E$19,"",Upgrades!$C$19*POWER(Upgrades!$D$19,K147))</f>
        <v/>
      </c>
      <c r="AR147" s="22">
        <f>IF(L147&gt;=Upgrades!$E$20,"",Upgrades!$C$20*POWER(Upgrades!$D$20,L147))</f>
        <v/>
      </c>
      <c r="AS147" s="22">
        <f>IF(M147&gt;=Upgrades!$E$21,"",Upgrades!$C$21*POWER(Upgrades!$D$21,M147))</f>
        <v/>
      </c>
      <c r="AT147" s="26">
        <f>IF(AND(D147&gt;=Parameters!$B$18*Parameters!$B$19,(I147&gt;=Upgrades!$E$17)*(M147&gt;=Upgrades!$E$21)=1,N147=0),1,"")</f>
        <v/>
      </c>
      <c r="AU147" s="26">
        <f>IF(AND(D147&gt;=Parameters!$B$18*Parameters!$B$19,N147=0),1,"")</f>
        <v/>
      </c>
      <c r="AV147" s="22">
        <f>MIN(IF(ISNUMBER(AP147),AP147,9E15),IF(ISNUMBER(AQ147),AQ147,9E15),IF(ISNUMBER(AR147),AR147,9E15),IF(ISNUMBER(AS147),AS147,9E15))</f>
        <v/>
      </c>
      <c r="AW147" s="22">
        <f>MIN(IF(ISNUMBER(AK147),AK147,9E15),IF(ISNUMBER(AL147),AL147,9E15),IF(ISNUMBER(AM147),AM147,9E15),IF(ISNUMBER(AN147),AN147,9E15),IF(ISNUMBER(AO147),AO147,9E15))</f>
        <v/>
      </c>
      <c r="AX147" s="29">
        <f>IF(BD147&gt;Parameters!$B$21*(MAX(IF(AND(NOT(AND(AU147=1,AT147&lt;&gt;1)),ISNUMBER(AK147),AK147&lt;=(C147+T147)),AY147,0),IF(AND(NOT(AND(AU147=1,AT147&lt;&gt;1)),ISNUMBER(AL147),AL147&lt;=(C147+T147)),AZ147,0),IF(AND(NOT(AND(AU147=1,AT147&lt;&gt;1)),ISNUMBER(AM147),AM147&lt;=(C147+T147)),BA147,0),IF(AND(NOT(AND(AU147=1,AT147&lt;&gt;1)),ISNUMBER(AN147),AN147&lt;=(C147+T147)),BB147,0),IF(AND(ISNUMBER(AO147),AO147&lt;=(C147+T147)),BC147,0))),TRUE,FALSE)</f>
        <v/>
      </c>
      <c r="AY147" s="32">
        <f>IFERROR(Upgrades!$H$13*(POWER(Upgrades!$P$13,E147)*POWER(Upgrades!$P$14,F147)*POWER(Upgrades!$P$15,G147)*POWER(Upgrades!$P$16,H147)*POWER(Upgrades!$P$17,I147)*POWER(Upgrades!$P$18,J147)*POWER(Upgrades!$P$19,K147)*POWER(Upgrades!$P$20,L147)*POWER(Upgrades!$P$21,M147))*(IF(Upgrades!$T$14="Stellar Kinematics",POWER(Upgrades!$U$14,F147),1)*IF(Upgrades!$T$15="Stellar Kinematics",POWER(Upgrades!$U$15,G147),1)*IF(Upgrades!$T$16="Stellar Kinematics",POWER(Upgrades!$U$16,H147),1)*IF(Upgrades!$T$17="Stellar Kinematics",POWER(Upgrades!$U$17,I147),1)*IF(Upgrades!$T$18="Stellar Kinematics",POWER(Upgrades!$U$18,J147),1)*IF(Upgrades!$T$19="Stellar Kinematics",POWER(Upgrades!$U$19,K147),1)*IF(Upgrades!$T$20="Stellar Kinematics",POWER(Upgrades!$U$20,L147),1)*IF(Upgrades!$T$21="Stellar Kinematics",POWER(Upgrades!$U$21,M147),1))*$F$6/AK147,0)</f>
        <v/>
      </c>
      <c r="AZ147" s="32">
        <f>IFERROR(Upgrades!$H$14*(POWER(Upgrades!$P$13,E147)*POWER(Upgrades!$P$14,F147)*POWER(Upgrades!$P$15,G147)*POWER(Upgrades!$P$16,H147)*POWER(Upgrades!$P$17,I147)*POWER(Upgrades!$P$18,J147)*POWER(Upgrades!$P$19,K147)*POWER(Upgrades!$P$20,L147)*POWER(Upgrades!$P$21,M147))*(IF(Upgrades!$T$13="Local Bubble",POWER(Upgrades!$U$13,E147),1)*IF(Upgrades!$T$15="Local Bubble",POWER(Upgrades!$U$15,G147),1)*IF(Upgrades!$T$16="Local Bubble",POWER(Upgrades!$U$16,H147),1)*IF(Upgrades!$T$17="Local Bubble",POWER(Upgrades!$U$17,I147),1)*IF(Upgrades!$T$18="Local Bubble",POWER(Upgrades!$U$18,J147),1)*IF(Upgrades!$T$19="Local Bubble",POWER(Upgrades!$U$19,K147),1)*IF(Upgrades!$T$20="Local Bubble",POWER(Upgrades!$U$20,L147),1)*IF(Upgrades!$T$21="Local Bubble",POWER(Upgrades!$U$21,M147),1))*$F$6/AL147,0)</f>
        <v/>
      </c>
      <c r="BA147" s="32">
        <f>IFERROR(Upgrades!$K$15*(POWER(Upgrades!$Q$13,E147)*POWER(Upgrades!$Q$14,F147)*POWER(Upgrades!$Q$15,G147)*POWER(Upgrades!$Q$16,H147)*POWER(Upgrades!$Q$17,I147)*POWER(Upgrades!$Q$18,J147)*POWER(Upgrades!$Q$19,K147)*POWER(Upgrades!$Q$20,L147)*POWER(Upgrades!$Q$21,M147))*(IF(Upgrades!$T$13="Microlensing",POWER(Upgrades!$U$13,E147),1)*IF(Upgrades!$T$14="Microlensing",POWER(Upgrades!$U$14,F147),1)*IF(Upgrades!$T$16="Microlensing",POWER(Upgrades!$U$16,H147),1)*IF(Upgrades!$T$17="Microlensing",POWER(Upgrades!$U$17,I147),1)*IF(Upgrades!$T$18="Microlensing",POWER(Upgrades!$U$18,J147),1)*IF(Upgrades!$T$19="Microlensing",POWER(Upgrades!$U$19,K147),1)*IF(Upgrades!$T$20="Microlensing",POWER(Upgrades!$U$20,L147),1)*IF(Upgrades!$T$21="Microlensing",POWER(Upgrades!$U$21,M147),1))*$G$6*(Parameters!$B$10/60*Parameters!$B$11+Q147)/AM147,0)</f>
        <v/>
      </c>
      <c r="BB147" s="32">
        <f>IFERROR((Upgrades!$N$16*(POWER(Upgrades!$R$13,E147)*POWER(Upgrades!$R$14,F147)*POWER(Upgrades!$R$15,G147)*POWER(Upgrades!$R$16,H147)*POWER(Upgrades!$R$17,I147)*POWER(Upgrades!$R$18,J147)*POWER(Upgrades!$R$19,K147)*POWER(Upgrades!$R$20,L147)*POWER(Upgrades!$R$21,M147))*(IF(Upgrades!$T$13="Roche Lobe Overflow",POWER(Upgrades!$U$13,E147),1)*IF(Upgrades!$T$14="Roche Lobe Overflow",POWER(Upgrades!$U$14,F147),1)*IF(Upgrades!$T$15="Roche Lobe Overflow",POWER(Upgrades!$U$15,G147),1)*IF(Upgrades!$T$17="Roche Lobe Overflow",POWER(Upgrades!$U$17,I147),1)*IF(Upgrades!$T$18="Roche Lobe Overflow",POWER(Upgrades!$U$18,J147),1)*IF(Upgrades!$T$19="Roche Lobe Overflow",POWER(Upgrades!$U$19,K147),1)*IF(Upgrades!$T$20="Roche Lobe Overflow",POWER(Upgrades!$U$20,L147),1)*IF(Upgrades!$T$21="Roche Lobe Overflow",POWER(Upgrades!$U$21,M147),1))*$H$6*O147+((IF(F147=0,0,(Upgrades!$G$14+F147*Upgrades!$H$14)*POWER(Upgrades!$I$14,F147)))*(IF(Upgrades!$T$13="Local Bubble",POWER(Upgrades!$U$13,E147),1)*IF(Upgrades!$T$15="Local Bubble",POWER(Upgrades!$U$15,G147),1)*IF(Upgrades!$T$16="Local Bubble",POWER(Upgrades!$U$16,H147),1)*IF(Upgrades!$T$17="Local Bubble",POWER(Upgrades!$U$17,I147),1)*IF(Upgrades!$T$18="Local Bubble",POWER(Upgrades!$U$18,J147),1)*IF(Upgrades!$T$19="Local Bubble",POWER(Upgrades!$U$19,K147),1)*IF(Upgrades!$T$20="Local Bubble",POWER(Upgrades!$U$20,L147),1)*IF(Upgrades!$T$21="Local Bubble",POWER(Upgrades!$U$21,M147),1))*POWER(Upgrades!$P$13,E147)*POWER(Upgrades!$P$14,F147)*POWER(Upgrades!$P$15,G147)*POWER(Upgrades!$P$16,H147)*POWER(Upgrades!$P$17,I147)*POWER(Upgrades!$P$18,J147)*POWER(Upgrades!$P$19,K147)*POWER(Upgrades!$P$20,L147)*POWER(Upgrades!$P$21,M147)*$F$6)*0.05)/AN147,0)</f>
        <v/>
      </c>
      <c r="BC147" s="32">
        <f>IFERROR((Upgrades!$H$17*(POWER(Upgrades!$P$13,E147)*POWER(Upgrades!$P$14,F147)*POWER(Upgrades!$P$15,G147)*POWER(Upgrades!$P$16,H147)*POWER(Upgrades!$P$17,I147)*POWER(Upgrades!$P$18,J147)*POWER(Upgrades!$P$19,K147)*POWER(Upgrades!$P$20,L147)*POWER(Upgrades!$P$21,M147))*(IF(Upgrades!$T$13="Brown Dwarf",POWER(Upgrades!$U$13,E147),1)*IF(Upgrades!$T$14="Brown Dwarf",POWER(Upgrades!$U$14,F147),1)*IF(Upgrades!$T$15="Brown Dwarf",POWER(Upgrades!$U$15,G147),1)*IF(Upgrades!$T$16="Brown Dwarf",POWER(Upgrades!$U$16,H147),1)*IF(Upgrades!$T$18="Brown Dwarf",POWER(Upgrades!$U$18,J147),1)*IF(Upgrades!$T$19="Brown Dwarf",POWER(Upgrades!$U$19,K147),1)*IF(Upgrades!$T$20="Brown Dwarf",POWER(Upgrades!$U$20,L147),1)*IF(Upgrades!$T$21="Brown Dwarf",POWER(Upgrades!$U$21,M147),1))*$F$6+(((IF(H147=0,0,(Upgrades!$M$16+H147*Upgrades!$N$16)*POWER(Upgrades!$O$16,H147)))*(IF(Upgrades!$T$13="Roche Lobe Overflow",POWER(Upgrades!$U$13,E147),1)*IF(Upgrades!$T$14="Roche Lobe Overflow",POWER(Upgrades!$U$14,F147),1)*IF(Upgrades!$T$15="Roche Lobe Overflow",POWER(Upgrades!$U$15,G147),1)*IF(Upgrades!$T$17="Roche Lobe Overflow",POWER(Upgrades!$U$17,I147),1)*IF(Upgrades!$T$18="Roche Lobe Overflow",POWER(Upgrades!$U$18,J147),1)*IF(Upgrades!$T$19="Roche Lobe Overflow",POWER(Upgrades!$U$19,K147),1)*IF(Upgrades!$T$20="Roche Lobe Overflow",POWER(Upgrades!$U$20,L147),1)*IF(Upgrades!$T$21="Roche Lobe Overflow",POWER(Upgrades!$U$21,M147),1))*POWER(Upgrades!$R$13,E147)*POWER(Upgrades!$R$14,F147)*POWER(Upgrades!$R$15,G147)*POWER(Upgrades!$R$16,H147)*POWER(Upgrades!$R$17,I147)*POWER(Upgrades!$R$18,J147)*POWER(Upgrades!$R$19,K147)*POWER(Upgrades!$R$20,L147)*POWER(Upgrades!$R$21,M147)*$H$6)*O147)*0.10)/AO147,0)</f>
        <v/>
      </c>
      <c r="BD147" s="32">
        <f>MAX(IF(J147&gt;0,0,IFERROR(0.5*((IF(G147=0,0,(Upgrades!$J$15+G147*Upgrades!$K$15)*POWER(Upgrades!$L$15,G147)))*(IF(Upgrades!$T$13="Microlensing",POWER(Upgrades!$U$13,E147),1)*IF(Upgrades!$T$14="Microlensing",POWER(Upgrades!$U$14,F147),1)*IF(Upgrades!$T$16="Microlensing",POWER(Upgrades!$U$16,H147),1)*IF(Upgrades!$T$17="Microlensing",POWER(Upgrades!$U$17,I147),1)*IF(Upgrades!$T$18="Microlensing",POWER(Upgrades!$U$18,J147),1)*IF(Upgrades!$T$19="Microlensing",POWER(Upgrades!$U$19,K147),1)*IF(Upgrades!$T$20="Microlensing",POWER(Upgrades!$U$20,L147),1)*IF(Upgrades!$T$21="Microlensing",POWER(Upgrades!$U$21,M147),1))*(POWER(Upgrades!$Q$13,E147)*POWER(Upgrades!$Q$14,F147)*POWER(Upgrades!$Q$15,G147)*POWER(Upgrades!$Q$16,H147)*POWER(Upgrades!$Q$17,I147)*POWER(Upgrades!$Q$18,J147)*POWER(Upgrades!$Q$19,K147)*POWER(Upgrades!$Q$20,L147)*POWER(Upgrades!$Q$21,M147))*$G$6*(Parameters!$B$10/60*Parameters!$B$11+Q147))/Upgrades!$C$18,0)),IF(K147&gt;0,0,IFERROR(0.30*P147/Upgrades!$C$19,0)),IF(L147&gt;0,0,IFERROR(0.0001/Upgrades!$C$20,0)),IF(M147&gt;0,0,IFERROR((6.0*(POWER(Upgrades!$P$13,E147)*POWER(Upgrades!$P$14,F147)*POWER(Upgrades!$P$15,G147)*POWER(Upgrades!$P$16,H147)*POWER(Upgrades!$P$17,I147)*POWER(Upgrades!$P$18,J147)*POWER(Upgrades!$P$19,K147)*POWER(Upgrades!$P$20,L147)*POWER(Upgrades!$P$21,M147))*$F$6+0.20*O147*(Parameters!$B$10/60*Parameters!$B$11+Q147))/Upgrades!$C$21,0)),IF(AND(ISNUMBER(AK147),AK147&gt;(C147+T147)),AY147,0),IF(AND(ISNUMBER(AL147),AL147&gt;(C147+T147)),AZ147,0),IF(AND(ISNUMBER(AM147),AM147&gt;(C147+T147)),BA147,0),IF(AND(ISNUMBER(AN147),AN147&gt;(C147+T147)),BB147,0),IF(AND(ISNUMBER(AO147),AO147&gt;(C147+T147)),BC147,0))</f>
        <v/>
      </c>
      <c r="BE147" s="29">
        <f>IF(AT147=1,"transition",IF(MIN(IF(AND(J147=0,ISNUMBER(AP147),AP147&lt;=(C147+T147)),AP147,9E15),IF(AND(K147=0,ISNUMBER(AQ147),AQ147&lt;=(C147+T147)),AQ147,9E15),IF(AND(L147=0,ISNUMBER(AR147),AR147&lt;=(C147+T147)),AR147,9E15),IF(AND(M147=0,ISNUMBER(AS147),AS147&lt;=(C147+T147)),AS147,9E15))&lt;9E15,IF(AND(AND(J147=0,ISNUMBER(AP147),AP147&lt;=(C147+T147)),AP147=MIN(IF(AND(J147=0,ISNUMBER(AP147),AP147&lt;=(C147+T147)),AP147,9E15),IF(AND(K147=0,ISNUMBER(AQ147),AQ147&lt;=(C147+T147)),AQ147,9E15),IF(AND(L147=0,ISNUMBER(AR147),AR147&lt;=(C147+T147)),AR147,9E15),IF(AND(M147=0,ISNUMBER(AS147),AS147&lt;=(C147+T147)),AS147,9E15))),"BiP",IF(AND(AND(K147=0,ISNUMBER(AQ147),AQ147&lt;=(C147+T147)),AQ147=MIN(IF(AND(J147=0,ISNUMBER(AP147),AP147&lt;=(C147+T147)),AP147,9E15),IF(AND(K147=0,ISNUMBER(AQ147),AQ147&lt;=(C147+T147)),AQ147,9E15),IF(AND(L147=0,ISNUMBER(AR147),AR147&lt;=(C147+T147)),AR147,9E15),IF(AND(M147=0,ISNUMBER(AS147),AS147&lt;=(C147+T147)),AS147,9E15))),"PV",IF(AND(AND(L147=0,ISNUMBER(AR147),AR147&lt;=(C147+T147)),AR147=MIN(IF(AND(J147=0,ISNUMBER(AP147),AP147&lt;=(C147+T147)),AP147,9E15),IF(AND(K147=0,ISNUMBER(AQ147),AQ147&lt;=(C147+T147)),AQ147,9E15),IF(AND(L147=0,ISNUMBER(AR147),AR147&lt;=(C147+T147)),AR147,9E15),IF(AND(M147=0,ISNUMBER(AS147),AS147&lt;=(C147+T147)),AS147,9E15))),"OC","MG"))),IF(AX147=TRUE,"",IF(MAX(IF(AND(NOT(AND(AU147=1,AT147&lt;&gt;1)),ISNUMBER(AK147),AK147&lt;=(C147+T147)),AY147,0),IF(AND(NOT(AND(AU147=1,AT147&lt;&gt;1)),ISNUMBER(AL147),AL147&lt;=(C147+T147)),AZ147,0),IF(AND(NOT(AND(AU147=1,AT147&lt;&gt;1)),ISNUMBER(AM147),AM147&lt;=(C147+T147)),BA147,0),IF(AND(NOT(AND(AU147=1,AT147&lt;&gt;1)),ISNUMBER(AN147),AN147&lt;=(C147+T147)),BB147,0),IF(AND(ISNUMBER(AO147),AO147&lt;=(C147+T147)),BC147,0))&lt;=0,"",IF(AND(IF(AND(NOT(AND(AU147=1,AT147&lt;&gt;1)),ISNUMBER(AK147),AK147&lt;=(C147+T147)),AY147,0)&gt;0,IF(AND(NOT(AND(AU147=1,AT147&lt;&gt;1)),ISNUMBER(AK147),AK147&lt;=(C147+T147)),AY147,0)=MAX(IF(AND(NOT(AND(AU147=1,AT147&lt;&gt;1)),ISNUMBER(AK147),AK147&lt;=(C147+T147)),AY147,0),IF(AND(NOT(AND(AU147=1,AT147&lt;&gt;1)),ISNUMBER(AL147),AL147&lt;=(C147+T147)),AZ147,0),IF(AND(NOT(AND(AU147=1,AT147&lt;&gt;1)),ISNUMBER(AM147),AM147&lt;=(C147+T147)),BA147,0),IF(AND(NOT(AND(AU147=1,AT147&lt;&gt;1)),ISNUMBER(AN147),AN147&lt;=(C147+T147)),BB147,0),IF(AND(ISNUMBER(AO147),AO147&lt;=(C147+T147)),BC147,0))),"SK",IF(AND(IF(AND(NOT(AND(AU147=1,AT147&lt;&gt;1)),ISNUMBER(AL147),AL147&lt;=(C147+T147)),AZ147,0)&gt;0,IF(AND(NOT(AND(AU147=1,AT147&lt;&gt;1)),ISNUMBER(AL147),AL147&lt;=(C147+T147)),AZ147,0)=MAX(IF(AND(NOT(AND(AU147=1,AT147&lt;&gt;1)),ISNUMBER(AK147),AK147&lt;=(C147+T147)),AY147,0),IF(AND(NOT(AND(AU147=1,AT147&lt;&gt;1)),ISNUMBER(AL147),AL147&lt;=(C147+T147)),AZ147,0),IF(AND(NOT(AND(AU147=1,AT147&lt;&gt;1)),ISNUMBER(AM147),AM147&lt;=(C147+T147)),BA147,0),IF(AND(NOT(AND(AU147=1,AT147&lt;&gt;1)),ISNUMBER(AN147),AN147&lt;=(C147+T147)),BB147,0),IF(AND(ISNUMBER(AO147),AO147&lt;=(C147+T147)),BC147,0))),"LB",IF(AND(IF(AND(NOT(AND(AU147=1,AT147&lt;&gt;1)),ISNUMBER(AM147),AM147&lt;=(C147+T147)),BA147,0)&gt;0,IF(AND(NOT(AND(AU147=1,AT147&lt;&gt;1)),ISNUMBER(AM147),AM147&lt;=(C147+T147)),BA147,0)=MAX(IF(AND(NOT(AND(AU147=1,AT147&lt;&gt;1)),ISNUMBER(AK147),AK147&lt;=(C147+T147)),AY147,0),IF(AND(NOT(AND(AU147=1,AT147&lt;&gt;1)),ISNUMBER(AL147),AL147&lt;=(C147+T147)),AZ147,0),IF(AND(NOT(AND(AU147=1,AT147&lt;&gt;1)),ISNUMBER(AM147),AM147&lt;=(C147+T147)),BA147,0),IF(AND(NOT(AND(AU147=1,AT147&lt;&gt;1)),ISNUMBER(AN147),AN147&lt;=(C147+T147)),BB147,0),IF(AND(ISNUMBER(AO147),AO147&lt;=(C147+T147)),BC147,0))),"ML",IF(AND(IF(AND(NOT(AND(AU147=1,AT147&lt;&gt;1)),ISNUMBER(AN147),AN147&lt;=(C147+T147)),BB147,0)&gt;0,IF(AND(NOT(AND(AU147=1,AT147&lt;&gt;1)),ISNUMBER(AN147),AN147&lt;=(C147+T147)),BB147,0)=MAX(IF(AND(NOT(AND(AU147=1,AT147&lt;&gt;1)),ISNUMBER(AK147),AK147&lt;=(C147+T147)),AY147,0),IF(AND(NOT(AND(AU147=1,AT147&lt;&gt;1)),ISNUMBER(AL147),AL147&lt;=(C147+T147)),AZ147,0),IF(AND(NOT(AND(AU147=1,AT147&lt;&gt;1)),ISNUMBER(AM147),AM147&lt;=(C147+T147)),BA147,0),IF(AND(NOT(AND(AU147=1,AT147&lt;&gt;1)),ISNUMBER(AN147),AN147&lt;=(C147+T147)),BB147,0),IF(AND(ISNUMBER(AO147),AO147&lt;=(C147+T147)),BC147,0))),"RLO","BD"))))))))</f>
        <v/>
      </c>
    </row>
    <row r="148">
      <c r="A148" s="26" t="n">
        <v>137</v>
      </c>
      <c r="B148" s="27">
        <f>A148*10/60</f>
        <v/>
      </c>
      <c r="C148" s="22">
        <f>X147</f>
        <v/>
      </c>
      <c r="D148" s="27">
        <f>D147+W147</f>
        <v/>
      </c>
      <c r="E148" s="26">
        <f>E147+IF(U147="SK",1,0)</f>
        <v/>
      </c>
      <c r="F148" s="26">
        <f>F147+IF(U147="LB",1,0)</f>
        <v/>
      </c>
      <c r="G148" s="26">
        <f>G147+IF(U147="ML",1,0)</f>
        <v/>
      </c>
      <c r="H148" s="26">
        <f>H147+IF(U147="RLO",1,0)</f>
        <v/>
      </c>
      <c r="I148" s="26">
        <f>I147+IF(U147="BD",1,0)</f>
        <v/>
      </c>
      <c r="J148" s="26">
        <f>MAX(J147,IF(U147="BiP",1,0))</f>
        <v/>
      </c>
      <c r="K148" s="26">
        <f>MAX(K147,IF(U147="PV",1,0))</f>
        <v/>
      </c>
      <c r="L148" s="26">
        <f>MAX(L147,IF(U147="OC",1,0))</f>
        <v/>
      </c>
      <c r="M148" s="26">
        <f>MAX(M147,IF(U147="MG",1,0))</f>
        <v/>
      </c>
      <c r="N148" s="26">
        <f>MAX(N147,IF(U147="transition",1,0))</f>
        <v/>
      </c>
      <c r="O148" s="28">
        <f>(Parameters!$B$9+(IF(E148=0,0,(Upgrades!$J$13+E148*Upgrades!$K$13)*POWER(Upgrades!$L$13,E148)))*(IF(Upgrades!$T$14="Stellar Kinematics",POWER(Upgrades!$U$14,F148),1)*IF(Upgrades!$T$15="Stellar Kinematics",POWER(Upgrades!$U$15,G148),1)*IF(Upgrades!$T$16="Stellar Kinematics",POWER(Upgrades!$U$16,H148),1)*IF(Upgrades!$T$17="Stellar Kinematics",POWER(Upgrades!$U$17,I148),1)*IF(Upgrades!$T$18="Stellar Kinematics",POWER(Upgrades!$U$18,J148),1)*IF(Upgrades!$T$19="Stellar Kinematics",POWER(Upgrades!$U$19,K148),1)*IF(Upgrades!$T$20="Stellar Kinematics",POWER(Upgrades!$U$20,L148),1)*IF(Upgrades!$T$21="Stellar Kinematics",POWER(Upgrades!$U$21,M148),1))+(IF(F148=0,0,(Upgrades!$J$14+F148*Upgrades!$K$14)*POWER(Upgrades!$L$14,F148)))*(IF(Upgrades!$T$13="Local Bubble",POWER(Upgrades!$U$13,E148),1)*IF(Upgrades!$T$15="Local Bubble",POWER(Upgrades!$U$15,G148),1)*IF(Upgrades!$T$16="Local Bubble",POWER(Upgrades!$U$16,H148),1)*IF(Upgrades!$T$17="Local Bubble",POWER(Upgrades!$U$17,I148),1)*IF(Upgrades!$T$18="Local Bubble",POWER(Upgrades!$U$18,J148),1)*IF(Upgrades!$T$19="Local Bubble",POWER(Upgrades!$U$19,K148),1)*IF(Upgrades!$T$20="Local Bubble",POWER(Upgrades!$U$20,L148),1)*IF(Upgrades!$T$21="Local Bubble",POWER(Upgrades!$U$21,M148),1))+(IF(G148=0,0,(Upgrades!$J$15+G148*Upgrades!$K$15)*POWER(Upgrades!$L$15,G148)))*(IF(Upgrades!$T$13="Microlensing",POWER(Upgrades!$U$13,E148),1)*IF(Upgrades!$T$14="Microlensing",POWER(Upgrades!$U$14,F148),1)*IF(Upgrades!$T$16="Microlensing",POWER(Upgrades!$U$16,H148),1)*IF(Upgrades!$T$17="Microlensing",POWER(Upgrades!$U$17,I148),1)*IF(Upgrades!$T$18="Microlensing",POWER(Upgrades!$U$18,J148),1)*IF(Upgrades!$T$19="Microlensing",POWER(Upgrades!$U$19,K148),1)*IF(Upgrades!$T$20="Microlensing",POWER(Upgrades!$U$20,L148),1)*IF(Upgrades!$T$21="Microlensing",POWER(Upgrades!$U$21,M148),1))+(IF(H148=0,0,(Upgrades!$J$16+H148*Upgrades!$K$16)*POWER(Upgrades!$L$16,H148)))*(IF(Upgrades!$T$13="Roche Lobe Overflow",POWER(Upgrades!$U$13,E148),1)*IF(Upgrades!$T$14="Roche Lobe Overflow",POWER(Upgrades!$U$14,F148),1)*IF(Upgrades!$T$15="Roche Lobe Overflow",POWER(Upgrades!$U$15,G148),1)*IF(Upgrades!$T$17="Roche Lobe Overflow",POWER(Upgrades!$U$17,I148),1)*IF(Upgrades!$T$18="Roche Lobe Overflow",POWER(Upgrades!$U$18,J148),1)*IF(Upgrades!$T$19="Roche Lobe Overflow",POWER(Upgrades!$U$19,K148),1)*IF(Upgrades!$T$20="Roche Lobe Overflow",POWER(Upgrades!$U$20,L148),1)*IF(Upgrades!$T$21="Roche Lobe Overflow",POWER(Upgrades!$U$21,M148),1))+(IF(I148=0,0,(Upgrades!$J$17+I148*Upgrades!$K$17)*POWER(Upgrades!$L$17,I148)))*(IF(Upgrades!$T$13="Brown Dwarf",POWER(Upgrades!$U$13,E148),1)*IF(Upgrades!$T$14="Brown Dwarf",POWER(Upgrades!$U$14,F148),1)*IF(Upgrades!$T$15="Brown Dwarf",POWER(Upgrades!$U$15,G148),1)*IF(Upgrades!$T$16="Brown Dwarf",POWER(Upgrades!$U$16,H148),1)*IF(Upgrades!$T$18="Brown Dwarf",POWER(Upgrades!$U$18,J148),1)*IF(Upgrades!$T$19="Brown Dwarf",POWER(Upgrades!$U$19,K148),1)*IF(Upgrades!$T$20="Brown Dwarf",POWER(Upgrades!$U$20,L148),1)*IF(Upgrades!$T$21="Brown Dwarf",POWER(Upgrades!$U$21,M148),1))+(IF(J148=0,0,(Upgrades!$J$18+J148*Upgrades!$K$18)*POWER(Upgrades!$L$18,J148)))*(IF(Upgrades!$T$13="Binary Partner",POWER(Upgrades!$U$13,E148),1)*IF(Upgrades!$T$14="Binary Partner",POWER(Upgrades!$U$14,F148),1)*IF(Upgrades!$T$15="Binary Partner",POWER(Upgrades!$U$15,G148),1)*IF(Upgrades!$T$16="Binary Partner",POWER(Upgrades!$U$16,H148),1)*IF(Upgrades!$T$17="Binary Partner",POWER(Upgrades!$U$17,I148),1)*IF(Upgrades!$T$19="Binary Partner",POWER(Upgrades!$U$19,K148),1)*IF(Upgrades!$T$20="Binary Partner",POWER(Upgrades!$U$20,L148),1)*IF(Upgrades!$T$21="Binary Partner",POWER(Upgrades!$U$21,M148),1))+(IF(K148=0,0,(Upgrades!$J$19+K148*Upgrades!$K$19)*POWER(Upgrades!$L$19,K148)))*(IF(Upgrades!$T$13="Peculiar Velocity",POWER(Upgrades!$U$13,E148),1)*IF(Upgrades!$T$14="Peculiar Velocity",POWER(Upgrades!$U$14,F148),1)*IF(Upgrades!$T$15="Peculiar Velocity",POWER(Upgrades!$U$15,G148),1)*IF(Upgrades!$T$16="Peculiar Velocity",POWER(Upgrades!$U$16,H148),1)*IF(Upgrades!$T$17="Peculiar Velocity",POWER(Upgrades!$U$17,I148),1)*IF(Upgrades!$T$18="Peculiar Velocity",POWER(Upgrades!$U$18,J148),1)*IF(Upgrades!$T$20="Peculiar Velocity",POWER(Upgrades!$U$20,L148),1)*IF(Upgrades!$T$21="Peculiar Velocity",POWER(Upgrades!$U$21,M148),1))+(IF(L148=0,0,(Upgrades!$J$20+L148*Upgrades!$K$20)*POWER(Upgrades!$L$20,L148)))*(IF(Upgrades!$T$13="Open Cluster",POWER(Upgrades!$U$13,E148),1)*IF(Upgrades!$T$14="Open Cluster",POWER(Upgrades!$U$14,F148),1)*IF(Upgrades!$T$15="Open Cluster",POWER(Upgrades!$U$15,G148),1)*IF(Upgrades!$T$16="Open Cluster",POWER(Upgrades!$U$16,H148),1)*IF(Upgrades!$T$17="Open Cluster",POWER(Upgrades!$U$17,I148),1)*IF(Upgrades!$T$18="Open Cluster",POWER(Upgrades!$U$18,J148),1)*IF(Upgrades!$T$19="Open Cluster",POWER(Upgrades!$U$19,K148),1)*IF(Upgrades!$T$21="Open Cluster",POWER(Upgrades!$U$21,M148),1))+(IF(M148=0,0,(Upgrades!$J$21+M148*Upgrades!$K$21)*POWER(Upgrades!$L$21,M148)))*(IF(Upgrades!$T$13="Moving Group",POWER(Upgrades!$U$13,E148),1)*IF(Upgrades!$T$14="Moving Group",POWER(Upgrades!$U$14,F148),1)*IF(Upgrades!$T$15="Moving Group",POWER(Upgrades!$U$15,G148),1)*IF(Upgrades!$T$16="Moving Group",POWER(Upgrades!$U$16,H148),1)*IF(Upgrades!$T$17="Moving Group",POWER(Upgrades!$U$17,I148),1)*IF(Upgrades!$T$18="Moving Group",POWER(Upgrades!$U$18,J148),1)*IF(Upgrades!$T$19="Moving Group",POWER(Upgrades!$U$19,K148),1)*IF(Upgrades!$T$20="Moving Group",POWER(Upgrades!$U$20,L148),1)))*POWER(Upgrades!$Q$13,E148)*POWER(Upgrades!$Q$14,F148)*POWER(Upgrades!$Q$15,G148)*POWER(Upgrades!$Q$16,H148)*POWER(Upgrades!$Q$17,I148)*POWER(Upgrades!$Q$18,J148)*POWER(Upgrades!$Q$19,K148)*POWER(Upgrades!$Q$20,L148)*POWER(Upgrades!$Q$21,M148)*$G$6+$D$6</f>
        <v/>
      </c>
      <c r="P148" s="28">
        <f>((IF(E148=0,0,(Upgrades!$G$13+E148*Upgrades!$H$13)*POWER(Upgrades!$I$13,E148)))*(IF(Upgrades!$T$14="Stellar Kinematics",POWER(Upgrades!$U$14,F148),1)*IF(Upgrades!$T$15="Stellar Kinematics",POWER(Upgrades!$U$15,G148),1)*IF(Upgrades!$T$16="Stellar Kinematics",POWER(Upgrades!$U$16,H148),1)*IF(Upgrades!$T$17="Stellar Kinematics",POWER(Upgrades!$U$17,I148),1)*IF(Upgrades!$T$18="Stellar Kinematics",POWER(Upgrades!$U$18,J148),1)*IF(Upgrades!$T$19="Stellar Kinematics",POWER(Upgrades!$U$19,K148),1)*IF(Upgrades!$T$20="Stellar Kinematics",POWER(Upgrades!$U$20,L148),1)*IF(Upgrades!$T$21="Stellar Kinematics",POWER(Upgrades!$U$21,M148),1))+(IF(F148=0,0,(Upgrades!$G$14+F148*Upgrades!$H$14)*POWER(Upgrades!$I$14,F148)))*(IF(Upgrades!$T$13="Local Bubble",POWER(Upgrades!$U$13,E148),1)*IF(Upgrades!$T$15="Local Bubble",POWER(Upgrades!$U$15,G148),1)*IF(Upgrades!$T$16="Local Bubble",POWER(Upgrades!$U$16,H148),1)*IF(Upgrades!$T$17="Local Bubble",POWER(Upgrades!$U$17,I148),1)*IF(Upgrades!$T$18="Local Bubble",POWER(Upgrades!$U$18,J148),1)*IF(Upgrades!$T$19="Local Bubble",POWER(Upgrades!$U$19,K148),1)*IF(Upgrades!$T$20="Local Bubble",POWER(Upgrades!$U$20,L148),1)*IF(Upgrades!$T$21="Local Bubble",POWER(Upgrades!$U$21,M148),1))+(IF(G148=0,0,(Upgrades!$G$15+G148*Upgrades!$H$15)*POWER(Upgrades!$I$15,G148)))*(IF(Upgrades!$T$13="Microlensing",POWER(Upgrades!$U$13,E148),1)*IF(Upgrades!$T$14="Microlensing",POWER(Upgrades!$U$14,F148),1)*IF(Upgrades!$T$16="Microlensing",POWER(Upgrades!$U$16,H148),1)*IF(Upgrades!$T$17="Microlensing",POWER(Upgrades!$U$17,I148),1)*IF(Upgrades!$T$18="Microlensing",POWER(Upgrades!$U$18,J148),1)*IF(Upgrades!$T$19="Microlensing",POWER(Upgrades!$U$19,K148),1)*IF(Upgrades!$T$20="Microlensing",POWER(Upgrades!$U$20,L148),1)*IF(Upgrades!$T$21="Microlensing",POWER(Upgrades!$U$21,M148),1))+(IF(H148=0,0,(Upgrades!$G$16+H148*Upgrades!$H$16)*POWER(Upgrades!$I$16,H148)))*(IF(Upgrades!$T$13="Roche Lobe Overflow",POWER(Upgrades!$U$13,E148),1)*IF(Upgrades!$T$14="Roche Lobe Overflow",POWER(Upgrades!$U$14,F148),1)*IF(Upgrades!$T$15="Roche Lobe Overflow",POWER(Upgrades!$U$15,G148),1)*IF(Upgrades!$T$17="Roche Lobe Overflow",POWER(Upgrades!$U$17,I148),1)*IF(Upgrades!$T$18="Roche Lobe Overflow",POWER(Upgrades!$U$18,J148),1)*IF(Upgrades!$T$19="Roche Lobe Overflow",POWER(Upgrades!$U$19,K148),1)*IF(Upgrades!$T$20="Roche Lobe Overflow",POWER(Upgrades!$U$20,L148),1)*IF(Upgrades!$T$21="Roche Lobe Overflow",POWER(Upgrades!$U$21,M148),1))+(IF(I148=0,0,(Upgrades!$G$17+I148*Upgrades!$H$17)*POWER(Upgrades!$I$17,I148)))*(IF(Upgrades!$T$13="Brown Dwarf",POWER(Upgrades!$U$13,E148),1)*IF(Upgrades!$T$14="Brown Dwarf",POWER(Upgrades!$U$14,F148),1)*IF(Upgrades!$T$15="Brown Dwarf",POWER(Upgrades!$U$15,G148),1)*IF(Upgrades!$T$16="Brown Dwarf",POWER(Upgrades!$U$16,H148),1)*IF(Upgrades!$T$18="Brown Dwarf",POWER(Upgrades!$U$18,J148),1)*IF(Upgrades!$T$19="Brown Dwarf",POWER(Upgrades!$U$19,K148),1)*IF(Upgrades!$T$20="Brown Dwarf",POWER(Upgrades!$U$20,L148),1)*IF(Upgrades!$T$21="Brown Dwarf",POWER(Upgrades!$U$21,M148),1))+(IF(J148=0,0,(Upgrades!$G$18+J148*Upgrades!$H$18)*POWER(Upgrades!$I$18,J148)))*(IF(Upgrades!$T$13="Binary Partner",POWER(Upgrades!$U$13,E148),1)*IF(Upgrades!$T$14="Binary Partner",POWER(Upgrades!$U$14,F148),1)*IF(Upgrades!$T$15="Binary Partner",POWER(Upgrades!$U$15,G148),1)*IF(Upgrades!$T$16="Binary Partner",POWER(Upgrades!$U$16,H148),1)*IF(Upgrades!$T$17="Binary Partner",POWER(Upgrades!$U$17,I148),1)*IF(Upgrades!$T$19="Binary Partner",POWER(Upgrades!$U$19,K148),1)*IF(Upgrades!$T$20="Binary Partner",POWER(Upgrades!$U$20,L148),1)*IF(Upgrades!$T$21="Binary Partner",POWER(Upgrades!$U$21,M148),1))+(IF(K148=0,0,(Upgrades!$G$19+K148*Upgrades!$H$19)*POWER(Upgrades!$I$19,K148)))*(IF(Upgrades!$T$13="Peculiar Velocity",POWER(Upgrades!$U$13,E148),1)*IF(Upgrades!$T$14="Peculiar Velocity",POWER(Upgrades!$U$14,F148),1)*IF(Upgrades!$T$15="Peculiar Velocity",POWER(Upgrades!$U$15,G148),1)*IF(Upgrades!$T$16="Peculiar Velocity",POWER(Upgrades!$U$16,H148),1)*IF(Upgrades!$T$17="Peculiar Velocity",POWER(Upgrades!$U$17,I148),1)*IF(Upgrades!$T$18="Peculiar Velocity",POWER(Upgrades!$U$18,J148),1)*IF(Upgrades!$T$20="Peculiar Velocity",POWER(Upgrades!$U$20,L148),1)*IF(Upgrades!$T$21="Peculiar Velocity",POWER(Upgrades!$U$21,M148),1))+(IF(L148=0,0,(Upgrades!$G$20+L148*Upgrades!$H$20)*POWER(Upgrades!$I$20,L148)))*(IF(Upgrades!$T$13="Open Cluster",POWER(Upgrades!$U$13,E148),1)*IF(Upgrades!$T$14="Open Cluster",POWER(Upgrades!$U$14,F148),1)*IF(Upgrades!$T$15="Open Cluster",POWER(Upgrades!$U$15,G148),1)*IF(Upgrades!$T$16="Open Cluster",POWER(Upgrades!$U$16,H148),1)*IF(Upgrades!$T$17="Open Cluster",POWER(Upgrades!$U$17,I148),1)*IF(Upgrades!$T$18="Open Cluster",POWER(Upgrades!$U$18,J148),1)*IF(Upgrades!$T$19="Open Cluster",POWER(Upgrades!$U$19,K148),1)*IF(Upgrades!$T$21="Open Cluster",POWER(Upgrades!$U$21,M148),1))+(IF(M148=0,0,(Upgrades!$G$21+M148*Upgrades!$H$21)*POWER(Upgrades!$I$21,M148)))*(IF(Upgrades!$T$13="Moving Group",POWER(Upgrades!$U$13,E148),1)*IF(Upgrades!$T$14="Moving Group",POWER(Upgrades!$U$14,F148),1)*IF(Upgrades!$T$15="Moving Group",POWER(Upgrades!$U$15,G148),1)*IF(Upgrades!$T$16="Moving Group",POWER(Upgrades!$U$16,H148),1)*IF(Upgrades!$T$17="Moving Group",POWER(Upgrades!$U$17,I148),1)*IF(Upgrades!$T$18="Moving Group",POWER(Upgrades!$U$18,J148),1)*IF(Upgrades!$T$19="Moving Group",POWER(Upgrades!$U$19,K148),1)*IF(Upgrades!$T$20="Moving Group",POWER(Upgrades!$U$20,L148),1)))*POWER(Upgrades!$P$13,E148)*POWER(Upgrades!$P$14,F148)*POWER(Upgrades!$P$15,G148)*POWER(Upgrades!$P$16,H148)*POWER(Upgrades!$P$17,I148)*POWER(Upgrades!$P$18,J148)*POWER(Upgrades!$P$19,K148)*POWER(Upgrades!$P$20,L148)*POWER(Upgrades!$P$21,M148)*$F$6+$C$6</f>
        <v/>
      </c>
      <c r="Q148" s="28">
        <f>((IF(E148=0,0,(Upgrades!$M$13+E148*Upgrades!$N$13)*POWER(Upgrades!$O$13,E148)))*(IF(Upgrades!$T$14="Stellar Kinematics",POWER(Upgrades!$U$14,F148),1)*IF(Upgrades!$T$15="Stellar Kinematics",POWER(Upgrades!$U$15,G148),1)*IF(Upgrades!$T$16="Stellar Kinematics",POWER(Upgrades!$U$16,H148),1)*IF(Upgrades!$T$17="Stellar Kinematics",POWER(Upgrades!$U$17,I148),1)*IF(Upgrades!$T$18="Stellar Kinematics",POWER(Upgrades!$U$18,J148),1)*IF(Upgrades!$T$19="Stellar Kinematics",POWER(Upgrades!$U$19,K148),1)*IF(Upgrades!$T$20="Stellar Kinematics",POWER(Upgrades!$U$20,L148),1)*IF(Upgrades!$T$21="Stellar Kinematics",POWER(Upgrades!$U$21,M148),1))+(IF(F148=0,0,(Upgrades!$M$14+F148*Upgrades!$N$14)*POWER(Upgrades!$O$14,F148)))*(IF(Upgrades!$T$13="Local Bubble",POWER(Upgrades!$U$13,E148),1)*IF(Upgrades!$T$15="Local Bubble",POWER(Upgrades!$U$15,G148),1)*IF(Upgrades!$T$16="Local Bubble",POWER(Upgrades!$U$16,H148),1)*IF(Upgrades!$T$17="Local Bubble",POWER(Upgrades!$U$17,I148),1)*IF(Upgrades!$T$18="Local Bubble",POWER(Upgrades!$U$18,J148),1)*IF(Upgrades!$T$19="Local Bubble",POWER(Upgrades!$U$19,K148),1)*IF(Upgrades!$T$20="Local Bubble",POWER(Upgrades!$U$20,L148),1)*IF(Upgrades!$T$21="Local Bubble",POWER(Upgrades!$U$21,M148),1))+(IF(G148=0,0,(Upgrades!$M$15+G148*Upgrades!$N$15)*POWER(Upgrades!$O$15,G148)))*(IF(Upgrades!$T$13="Microlensing",POWER(Upgrades!$U$13,E148),1)*IF(Upgrades!$T$14="Microlensing",POWER(Upgrades!$U$14,F148),1)*IF(Upgrades!$T$16="Microlensing",POWER(Upgrades!$U$16,H148),1)*IF(Upgrades!$T$17="Microlensing",POWER(Upgrades!$U$17,I148),1)*IF(Upgrades!$T$18="Microlensing",POWER(Upgrades!$U$18,J148),1)*IF(Upgrades!$T$19="Microlensing",POWER(Upgrades!$U$19,K148),1)*IF(Upgrades!$T$20="Microlensing",POWER(Upgrades!$U$20,L148),1)*IF(Upgrades!$T$21="Microlensing",POWER(Upgrades!$U$21,M148),1))+(IF(H148=0,0,(Upgrades!$M$16+H148*Upgrades!$N$16)*POWER(Upgrades!$O$16,H148)))*(IF(Upgrades!$T$13="Roche Lobe Overflow",POWER(Upgrades!$U$13,E148),1)*IF(Upgrades!$T$14="Roche Lobe Overflow",POWER(Upgrades!$U$14,F148),1)*IF(Upgrades!$T$15="Roche Lobe Overflow",POWER(Upgrades!$U$15,G148),1)*IF(Upgrades!$T$17="Roche Lobe Overflow",POWER(Upgrades!$U$17,I148),1)*IF(Upgrades!$T$18="Roche Lobe Overflow",POWER(Upgrades!$U$18,J148),1)*IF(Upgrades!$T$19="Roche Lobe Overflow",POWER(Upgrades!$U$19,K148),1)*IF(Upgrades!$T$20="Roche Lobe Overflow",POWER(Upgrades!$U$20,L148),1)*IF(Upgrades!$T$21="Roche Lobe Overflow",POWER(Upgrades!$U$21,M148),1))+(IF(I148=0,0,(Upgrades!$M$17+I148*Upgrades!$N$17)*POWER(Upgrades!$O$17,I148)))*(IF(Upgrades!$T$13="Brown Dwarf",POWER(Upgrades!$U$13,E148),1)*IF(Upgrades!$T$14="Brown Dwarf",POWER(Upgrades!$U$14,F148),1)*IF(Upgrades!$T$15="Brown Dwarf",POWER(Upgrades!$U$15,G148),1)*IF(Upgrades!$T$16="Brown Dwarf",POWER(Upgrades!$U$16,H148),1)*IF(Upgrades!$T$18="Brown Dwarf",POWER(Upgrades!$U$18,J148),1)*IF(Upgrades!$T$19="Brown Dwarf",POWER(Upgrades!$U$19,K148),1)*IF(Upgrades!$T$20="Brown Dwarf",POWER(Upgrades!$U$20,L148),1)*IF(Upgrades!$T$21="Brown Dwarf",POWER(Upgrades!$U$21,M148),1))+(IF(J148=0,0,(Upgrades!$M$18+J148*Upgrades!$N$18)*POWER(Upgrades!$O$18,J148)))*(IF(Upgrades!$T$13="Binary Partner",POWER(Upgrades!$U$13,E148),1)*IF(Upgrades!$T$14="Binary Partner",POWER(Upgrades!$U$14,F148),1)*IF(Upgrades!$T$15="Binary Partner",POWER(Upgrades!$U$15,G148),1)*IF(Upgrades!$T$16="Binary Partner",POWER(Upgrades!$U$16,H148),1)*IF(Upgrades!$T$17="Binary Partner",POWER(Upgrades!$U$17,I148),1)*IF(Upgrades!$T$19="Binary Partner",POWER(Upgrades!$U$19,K148),1)*IF(Upgrades!$T$20="Binary Partner",POWER(Upgrades!$U$20,L148),1)*IF(Upgrades!$T$21="Binary Partner",POWER(Upgrades!$U$21,M148),1))+(IF(K148=0,0,(Upgrades!$M$19+K148*Upgrades!$N$19)*POWER(Upgrades!$O$19,K148)))*(IF(Upgrades!$T$13="Peculiar Velocity",POWER(Upgrades!$U$13,E148),1)*IF(Upgrades!$T$14="Peculiar Velocity",POWER(Upgrades!$U$14,F148),1)*IF(Upgrades!$T$15="Peculiar Velocity",POWER(Upgrades!$U$15,G148),1)*IF(Upgrades!$T$16="Peculiar Velocity",POWER(Upgrades!$U$16,H148),1)*IF(Upgrades!$T$17="Peculiar Velocity",POWER(Upgrades!$U$17,I148),1)*IF(Upgrades!$T$18="Peculiar Velocity",POWER(Upgrades!$U$18,J148),1)*IF(Upgrades!$T$20="Peculiar Velocity",POWER(Upgrades!$U$20,L148),1)*IF(Upgrades!$T$21="Peculiar Velocity",POWER(Upgrades!$U$21,M148),1))+(IF(L148=0,0,(Upgrades!$M$20+L148*Upgrades!$N$20)*POWER(Upgrades!$O$20,L148)))*(IF(Upgrades!$T$13="Open Cluster",POWER(Upgrades!$U$13,E148),1)*IF(Upgrades!$T$14="Open Cluster",POWER(Upgrades!$U$14,F148),1)*IF(Upgrades!$T$15="Open Cluster",POWER(Upgrades!$U$15,G148),1)*IF(Upgrades!$T$16="Open Cluster",POWER(Upgrades!$U$16,H148),1)*IF(Upgrades!$T$17="Open Cluster",POWER(Upgrades!$U$17,I148),1)*IF(Upgrades!$T$18="Open Cluster",POWER(Upgrades!$U$18,J148),1)*IF(Upgrades!$T$19="Open Cluster",POWER(Upgrades!$U$19,K148),1)*IF(Upgrades!$T$21="Open Cluster",POWER(Upgrades!$U$21,M148),1))+(IF(M148=0,0,(Upgrades!$M$21+M148*Upgrades!$N$21)*POWER(Upgrades!$O$21,M148)))*(IF(Upgrades!$T$13="Moving Group",POWER(Upgrades!$U$13,E148),1)*IF(Upgrades!$T$14="Moving Group",POWER(Upgrades!$U$14,F148),1)*IF(Upgrades!$T$15="Moving Group",POWER(Upgrades!$U$15,G148),1)*IF(Upgrades!$T$16="Moving Group",POWER(Upgrades!$U$16,H148),1)*IF(Upgrades!$T$17="Moving Group",POWER(Upgrades!$U$17,I148),1)*IF(Upgrades!$T$18="Moving Group",POWER(Upgrades!$U$18,J148),1)*IF(Upgrades!$T$19="Moving Group",POWER(Upgrades!$U$19,K148),1)*IF(Upgrades!$T$20="Moving Group",POWER(Upgrades!$U$20,L148),1)))*POWER(Upgrades!$R$13,E148)*POWER(Upgrades!$R$14,F148)*POWER(Upgrades!$R$15,G148)*POWER(Upgrades!$R$16,H148)*POWER(Upgrades!$R$17,I148)*POWER(Upgrades!$R$18,J148)*POWER(Upgrades!$R$19,K148)*POWER(Upgrades!$R$20,L148)*POWER(Upgrades!$R$21,M148)*$H$6+$E$6</f>
        <v/>
      </c>
      <c r="R148" s="27">
        <f>IF(N148=1,0,O148*Parameters!$B$10/60*Parameters!$B$11*10)</f>
        <v/>
      </c>
      <c r="S148" s="27">
        <f>IF(N148=1,0,Q148*O148*10)</f>
        <v/>
      </c>
      <c r="T148" s="27">
        <f>IF(N148=1,0,R148+S148+P148*10)</f>
        <v/>
      </c>
      <c r="U148" s="33">
        <f>BE148</f>
        <v/>
      </c>
      <c r="V148" s="22">
        <f>IF(U148="",0,IF(U148="transition",0,IF(U148="SK",AK148,IF(U148="LB",AL148,IF(U148="ML",AM148,IF(U148="RLO",AN148,IF(U148="BD",AO148,IF(U148="BiP",AP148,IF(U148="PV",AQ148,IF(U148="OC",AR148,IF(U148="MG",AS148,0))))))))))</f>
        <v/>
      </c>
      <c r="W148" s="27">
        <f>IF(U148="BiP",Upgrades!$F$18,IF(U148="PV",Upgrades!$F$19,IF(U148="OC",Upgrades!$F$20,IF(U148="MG",Upgrades!$F$21,IF(U148="transition",-Parameters!$B$18*Parameters!$B$19,0)))))</f>
        <v/>
      </c>
      <c r="X148" s="22">
        <f>C148+T148-V148</f>
        <v/>
      </c>
      <c r="Y148" s="30">
        <f>O148*Parameters!$B$10/60*Parameters!$B$11+Q148*O148+P148</f>
        <v/>
      </c>
      <c r="Z148" s="34">
        <f>IF(U148="transition","→ Tier 3 (Galactic Arm)",IF(U148="MG","Moving Group — pocket drifts together",IF(U148="OC","Open Cluster acquired",IF(U148="PV","Peculiar Velocity — passive multiplier active",IF(U148="BiP","Binary Partner — pair bond formed",IF(AND(AU148=1,N148=0,AT148&lt;&gt;1),"Cohesion ready (waiting on completionists)","")))))) </f>
        <v/>
      </c>
      <c r="AA148" s="27">
        <f>(IF(E148=0,0,(Upgrades!$G$13+E148*Upgrades!$H$13)*POWER(Upgrades!$I$13,E148)))*(IF(Upgrades!$T$14="Stellar Kinematics",POWER(Upgrades!$U$14,F148),1)*IF(Upgrades!$T$15="Stellar Kinematics",POWER(Upgrades!$U$15,G148),1)*IF(Upgrades!$T$16="Stellar Kinematics",POWER(Upgrades!$U$16,H148),1)*IF(Upgrades!$T$17="Stellar Kinematics",POWER(Upgrades!$U$17,I148),1)*IF(Upgrades!$T$18="Stellar Kinematics",POWER(Upgrades!$U$18,J148),1)*IF(Upgrades!$T$19="Stellar Kinematics",POWER(Upgrades!$U$19,K148),1)*IF(Upgrades!$T$20="Stellar Kinematics",POWER(Upgrades!$U$20,L148),1)*IF(Upgrades!$T$21="Stellar Kinematics",POWER(Upgrades!$U$21,M148),1))*POWER(Upgrades!$P$13,E148)*POWER(Upgrades!$P$14,F148)*POWER(Upgrades!$P$15,G148)*POWER(Upgrades!$P$16,H148)*POWER(Upgrades!$P$17,I148)*POWER(Upgrades!$P$18,J148)*POWER(Upgrades!$P$19,K148)*POWER(Upgrades!$P$20,L148)*POWER(Upgrades!$P$21,M148)*$F$6*60</f>
        <v/>
      </c>
      <c r="AB148" s="27">
        <f>(IF(F148=0,0,(Upgrades!$G$14+F148*Upgrades!$H$14)*POWER(Upgrades!$I$14,F148)))*(IF(Upgrades!$T$13="Local Bubble",POWER(Upgrades!$U$13,E148),1)*IF(Upgrades!$T$15="Local Bubble",POWER(Upgrades!$U$15,G148),1)*IF(Upgrades!$T$16="Local Bubble",POWER(Upgrades!$U$16,H148),1)*IF(Upgrades!$T$17="Local Bubble",POWER(Upgrades!$U$17,I148),1)*IF(Upgrades!$T$18="Local Bubble",POWER(Upgrades!$U$18,J148),1)*IF(Upgrades!$T$19="Local Bubble",POWER(Upgrades!$U$19,K148),1)*IF(Upgrades!$T$20="Local Bubble",POWER(Upgrades!$U$20,L148),1)*IF(Upgrades!$T$21="Local Bubble",POWER(Upgrades!$U$21,M148),1))*POWER(Upgrades!$P$13,E148)*POWER(Upgrades!$P$14,F148)*POWER(Upgrades!$P$15,G148)*POWER(Upgrades!$P$16,H148)*POWER(Upgrades!$P$17,I148)*POWER(Upgrades!$P$18,J148)*POWER(Upgrades!$P$19,K148)*POWER(Upgrades!$P$20,L148)*POWER(Upgrades!$P$21,M148)*$F$6*60</f>
        <v/>
      </c>
      <c r="AC148" s="27">
        <f>(IF(G148=0,0,(Upgrades!$J$15+G148*Upgrades!$K$15)*POWER(Upgrades!$L$15,G148)))*(IF(Upgrades!$T$13="Microlensing",POWER(Upgrades!$U$13,E148),1)*IF(Upgrades!$T$14="Microlensing",POWER(Upgrades!$U$14,F148),1)*IF(Upgrades!$T$16="Microlensing",POWER(Upgrades!$U$16,H148),1)*IF(Upgrades!$T$17="Microlensing",POWER(Upgrades!$U$17,I148),1)*IF(Upgrades!$T$18="Microlensing",POWER(Upgrades!$U$18,J148),1)*IF(Upgrades!$T$19="Microlensing",POWER(Upgrades!$U$19,K148),1)*IF(Upgrades!$T$20="Microlensing",POWER(Upgrades!$U$20,L148),1)*IF(Upgrades!$T$21="Microlensing",POWER(Upgrades!$U$21,M148),1))*POWER(Upgrades!$Q$13,E148)*POWER(Upgrades!$Q$14,F148)*POWER(Upgrades!$Q$15,G148)*POWER(Upgrades!$Q$16,H148)*POWER(Upgrades!$Q$17,I148)*POWER(Upgrades!$Q$18,J148)*POWER(Upgrades!$Q$19,K148)*POWER(Upgrades!$Q$20,L148)*POWER(Upgrades!$Q$21,M148)*$G$6*(Parameters!$B$10*Parameters!$B$11+Q148*60)</f>
        <v/>
      </c>
      <c r="AD148" s="27">
        <f>(IF(H148=0,0,(Upgrades!$M$16+H148*Upgrades!$N$16)*POWER(Upgrades!$O$16,H148)))*(IF(Upgrades!$T$13="Roche Lobe Overflow",POWER(Upgrades!$U$13,E148),1)*IF(Upgrades!$T$14="Roche Lobe Overflow",POWER(Upgrades!$U$14,F148),1)*IF(Upgrades!$T$15="Roche Lobe Overflow",POWER(Upgrades!$U$15,G148),1)*IF(Upgrades!$T$17="Roche Lobe Overflow",POWER(Upgrades!$U$17,I148),1)*IF(Upgrades!$T$18="Roche Lobe Overflow",POWER(Upgrades!$U$18,J148),1)*IF(Upgrades!$T$19="Roche Lobe Overflow",POWER(Upgrades!$U$19,K148),1)*IF(Upgrades!$T$20="Roche Lobe Overflow",POWER(Upgrades!$U$20,L148),1)*IF(Upgrades!$T$21="Roche Lobe Overflow",POWER(Upgrades!$U$21,M148),1))*POWER(Upgrades!$R$13,E148)*POWER(Upgrades!$R$14,F148)*POWER(Upgrades!$R$15,G148)*POWER(Upgrades!$R$16,H148)*POWER(Upgrades!$R$17,I148)*POWER(Upgrades!$R$18,J148)*POWER(Upgrades!$R$19,K148)*POWER(Upgrades!$R$20,L148)*POWER(Upgrades!$R$21,M148)*$H$6*O148*60</f>
        <v/>
      </c>
      <c r="AE148" s="27">
        <f>(IF(I148=0,0,(Upgrades!$G$17+I148*Upgrades!$H$17)*POWER(Upgrades!$I$17,I148)))*(IF(Upgrades!$T$13="Brown Dwarf",POWER(Upgrades!$U$13,E148),1)*IF(Upgrades!$T$14="Brown Dwarf",POWER(Upgrades!$U$14,F148),1)*IF(Upgrades!$T$15="Brown Dwarf",POWER(Upgrades!$U$15,G148),1)*IF(Upgrades!$T$16="Brown Dwarf",POWER(Upgrades!$U$16,H148),1)*IF(Upgrades!$T$18="Brown Dwarf",POWER(Upgrades!$U$18,J148),1)*IF(Upgrades!$T$19="Brown Dwarf",POWER(Upgrades!$U$19,K148),1)*IF(Upgrades!$T$20="Brown Dwarf",POWER(Upgrades!$U$20,L148),1)*IF(Upgrades!$T$21="Brown Dwarf",POWER(Upgrades!$U$21,M148),1))*POWER(Upgrades!$P$13,E148)*POWER(Upgrades!$P$14,F148)*POWER(Upgrades!$P$15,G148)*POWER(Upgrades!$P$16,H148)*POWER(Upgrades!$P$17,I148)*POWER(Upgrades!$P$18,J148)*POWER(Upgrades!$P$19,K148)*POWER(Upgrades!$P$20,L148)*POWER(Upgrades!$P$21,M148)*$F$6*60</f>
        <v/>
      </c>
      <c r="AF148" s="27" t="n">
        <v>0</v>
      </c>
      <c r="AG148" s="27" t="n">
        <v>0</v>
      </c>
      <c r="AH148" s="27" t="n">
        <v>0</v>
      </c>
      <c r="AI148" s="27">
        <f>(IF(M148=0,0,(Upgrades!$G$21+M148*Upgrades!$H$21)*POWER(Upgrades!$I$21,M148)))*(IF(Upgrades!$T$13="Moving Group",POWER(Upgrades!$U$13,E148),1)*IF(Upgrades!$T$14="Moving Group",POWER(Upgrades!$U$14,F148),1)*IF(Upgrades!$T$15="Moving Group",POWER(Upgrades!$U$15,G148),1)*IF(Upgrades!$T$16="Moving Group",POWER(Upgrades!$U$16,H148),1)*IF(Upgrades!$T$17="Moving Group",POWER(Upgrades!$U$17,I148),1)*IF(Upgrades!$T$18="Moving Group",POWER(Upgrades!$U$18,J148),1)*IF(Upgrades!$T$19="Moving Group",POWER(Upgrades!$U$19,K148),1)*IF(Upgrades!$T$20="Moving Group",POWER(Upgrades!$U$20,L148),1))*POWER(Upgrades!$P$13,E148)*POWER(Upgrades!$P$14,F148)*POWER(Upgrades!$P$15,G148)*POWER(Upgrades!$P$16,H148)*POWER(Upgrades!$P$17,I148)*POWER(Upgrades!$P$18,J148)*POWER(Upgrades!$P$19,K148)*POWER(Upgrades!$P$20,L148)*POWER(Upgrades!$P$21,M148)*$F$6*60</f>
        <v/>
      </c>
      <c r="AJ148" s="27">
        <f>$C$6*60</f>
        <v/>
      </c>
      <c r="AK148" s="22">
        <f>IF(E148&gt;=Upgrades!$E$13,"",Upgrades!$C$13*POWER(Upgrades!$D$13,E148))</f>
        <v/>
      </c>
      <c r="AL148" s="22">
        <f>IF(F148&gt;=Upgrades!$E$14,"",Upgrades!$C$14*POWER(Upgrades!$D$14,F148))</f>
        <v/>
      </c>
      <c r="AM148" s="22">
        <f>IF(G148&gt;=Upgrades!$E$15,"",Upgrades!$C$15*POWER(Upgrades!$D$15,G148))</f>
        <v/>
      </c>
      <c r="AN148" s="22">
        <f>IF(H148&gt;=Upgrades!$E$16,"",Upgrades!$C$16*POWER(Upgrades!$D$16,H148))</f>
        <v/>
      </c>
      <c r="AO148" s="22">
        <f>IF(I148&gt;=Upgrades!$E$17,"",Upgrades!$C$17*POWER(Upgrades!$D$17,I148))</f>
        <v/>
      </c>
      <c r="AP148" s="22">
        <f>IF(J148&gt;=Upgrades!$E$18,"",Upgrades!$C$18*POWER(Upgrades!$D$18,J148))</f>
        <v/>
      </c>
      <c r="AQ148" s="22">
        <f>IF(K148&gt;=Upgrades!$E$19,"",Upgrades!$C$19*POWER(Upgrades!$D$19,K148))</f>
        <v/>
      </c>
      <c r="AR148" s="22">
        <f>IF(L148&gt;=Upgrades!$E$20,"",Upgrades!$C$20*POWER(Upgrades!$D$20,L148))</f>
        <v/>
      </c>
      <c r="AS148" s="22">
        <f>IF(M148&gt;=Upgrades!$E$21,"",Upgrades!$C$21*POWER(Upgrades!$D$21,M148))</f>
        <v/>
      </c>
      <c r="AT148" s="26">
        <f>IF(AND(D148&gt;=Parameters!$B$18*Parameters!$B$19,(I148&gt;=Upgrades!$E$17)*(M148&gt;=Upgrades!$E$21)=1,N148=0),1,"")</f>
        <v/>
      </c>
      <c r="AU148" s="26">
        <f>IF(AND(D148&gt;=Parameters!$B$18*Parameters!$B$19,N148=0),1,"")</f>
        <v/>
      </c>
      <c r="AV148" s="22">
        <f>MIN(IF(ISNUMBER(AP148),AP148,9E15),IF(ISNUMBER(AQ148),AQ148,9E15),IF(ISNUMBER(AR148),AR148,9E15),IF(ISNUMBER(AS148),AS148,9E15))</f>
        <v/>
      </c>
      <c r="AW148" s="22">
        <f>MIN(IF(ISNUMBER(AK148),AK148,9E15),IF(ISNUMBER(AL148),AL148,9E15),IF(ISNUMBER(AM148),AM148,9E15),IF(ISNUMBER(AN148),AN148,9E15),IF(ISNUMBER(AO148),AO148,9E15))</f>
        <v/>
      </c>
      <c r="AX148" s="29">
        <f>IF(BD148&gt;Parameters!$B$21*(MAX(IF(AND(NOT(AND(AU148=1,AT148&lt;&gt;1)),ISNUMBER(AK148),AK148&lt;=(C148+T148)),AY148,0),IF(AND(NOT(AND(AU148=1,AT148&lt;&gt;1)),ISNUMBER(AL148),AL148&lt;=(C148+T148)),AZ148,0),IF(AND(NOT(AND(AU148=1,AT148&lt;&gt;1)),ISNUMBER(AM148),AM148&lt;=(C148+T148)),BA148,0),IF(AND(NOT(AND(AU148=1,AT148&lt;&gt;1)),ISNUMBER(AN148),AN148&lt;=(C148+T148)),BB148,0),IF(AND(ISNUMBER(AO148),AO148&lt;=(C148+T148)),BC148,0))),TRUE,FALSE)</f>
        <v/>
      </c>
      <c r="AY148" s="32">
        <f>IFERROR(Upgrades!$H$13*(POWER(Upgrades!$P$13,E148)*POWER(Upgrades!$P$14,F148)*POWER(Upgrades!$P$15,G148)*POWER(Upgrades!$P$16,H148)*POWER(Upgrades!$P$17,I148)*POWER(Upgrades!$P$18,J148)*POWER(Upgrades!$P$19,K148)*POWER(Upgrades!$P$20,L148)*POWER(Upgrades!$P$21,M148))*(IF(Upgrades!$T$14="Stellar Kinematics",POWER(Upgrades!$U$14,F148),1)*IF(Upgrades!$T$15="Stellar Kinematics",POWER(Upgrades!$U$15,G148),1)*IF(Upgrades!$T$16="Stellar Kinematics",POWER(Upgrades!$U$16,H148),1)*IF(Upgrades!$T$17="Stellar Kinematics",POWER(Upgrades!$U$17,I148),1)*IF(Upgrades!$T$18="Stellar Kinematics",POWER(Upgrades!$U$18,J148),1)*IF(Upgrades!$T$19="Stellar Kinematics",POWER(Upgrades!$U$19,K148),1)*IF(Upgrades!$T$20="Stellar Kinematics",POWER(Upgrades!$U$20,L148),1)*IF(Upgrades!$T$21="Stellar Kinematics",POWER(Upgrades!$U$21,M148),1))*$F$6/AK148,0)</f>
        <v/>
      </c>
      <c r="AZ148" s="32">
        <f>IFERROR(Upgrades!$H$14*(POWER(Upgrades!$P$13,E148)*POWER(Upgrades!$P$14,F148)*POWER(Upgrades!$P$15,G148)*POWER(Upgrades!$P$16,H148)*POWER(Upgrades!$P$17,I148)*POWER(Upgrades!$P$18,J148)*POWER(Upgrades!$P$19,K148)*POWER(Upgrades!$P$20,L148)*POWER(Upgrades!$P$21,M148))*(IF(Upgrades!$T$13="Local Bubble",POWER(Upgrades!$U$13,E148),1)*IF(Upgrades!$T$15="Local Bubble",POWER(Upgrades!$U$15,G148),1)*IF(Upgrades!$T$16="Local Bubble",POWER(Upgrades!$U$16,H148),1)*IF(Upgrades!$T$17="Local Bubble",POWER(Upgrades!$U$17,I148),1)*IF(Upgrades!$T$18="Local Bubble",POWER(Upgrades!$U$18,J148),1)*IF(Upgrades!$T$19="Local Bubble",POWER(Upgrades!$U$19,K148),1)*IF(Upgrades!$T$20="Local Bubble",POWER(Upgrades!$U$20,L148),1)*IF(Upgrades!$T$21="Local Bubble",POWER(Upgrades!$U$21,M148),1))*$F$6/AL148,0)</f>
        <v/>
      </c>
      <c r="BA148" s="32">
        <f>IFERROR(Upgrades!$K$15*(POWER(Upgrades!$Q$13,E148)*POWER(Upgrades!$Q$14,F148)*POWER(Upgrades!$Q$15,G148)*POWER(Upgrades!$Q$16,H148)*POWER(Upgrades!$Q$17,I148)*POWER(Upgrades!$Q$18,J148)*POWER(Upgrades!$Q$19,K148)*POWER(Upgrades!$Q$20,L148)*POWER(Upgrades!$Q$21,M148))*(IF(Upgrades!$T$13="Microlensing",POWER(Upgrades!$U$13,E148),1)*IF(Upgrades!$T$14="Microlensing",POWER(Upgrades!$U$14,F148),1)*IF(Upgrades!$T$16="Microlensing",POWER(Upgrades!$U$16,H148),1)*IF(Upgrades!$T$17="Microlensing",POWER(Upgrades!$U$17,I148),1)*IF(Upgrades!$T$18="Microlensing",POWER(Upgrades!$U$18,J148),1)*IF(Upgrades!$T$19="Microlensing",POWER(Upgrades!$U$19,K148),1)*IF(Upgrades!$T$20="Microlensing",POWER(Upgrades!$U$20,L148),1)*IF(Upgrades!$T$21="Microlensing",POWER(Upgrades!$U$21,M148),1))*$G$6*(Parameters!$B$10/60*Parameters!$B$11+Q148)/AM148,0)</f>
        <v/>
      </c>
      <c r="BB148" s="32">
        <f>IFERROR((Upgrades!$N$16*(POWER(Upgrades!$R$13,E148)*POWER(Upgrades!$R$14,F148)*POWER(Upgrades!$R$15,G148)*POWER(Upgrades!$R$16,H148)*POWER(Upgrades!$R$17,I148)*POWER(Upgrades!$R$18,J148)*POWER(Upgrades!$R$19,K148)*POWER(Upgrades!$R$20,L148)*POWER(Upgrades!$R$21,M148))*(IF(Upgrades!$T$13="Roche Lobe Overflow",POWER(Upgrades!$U$13,E148),1)*IF(Upgrades!$T$14="Roche Lobe Overflow",POWER(Upgrades!$U$14,F148),1)*IF(Upgrades!$T$15="Roche Lobe Overflow",POWER(Upgrades!$U$15,G148),1)*IF(Upgrades!$T$17="Roche Lobe Overflow",POWER(Upgrades!$U$17,I148),1)*IF(Upgrades!$T$18="Roche Lobe Overflow",POWER(Upgrades!$U$18,J148),1)*IF(Upgrades!$T$19="Roche Lobe Overflow",POWER(Upgrades!$U$19,K148),1)*IF(Upgrades!$T$20="Roche Lobe Overflow",POWER(Upgrades!$U$20,L148),1)*IF(Upgrades!$T$21="Roche Lobe Overflow",POWER(Upgrades!$U$21,M148),1))*$H$6*O148+((IF(F148=0,0,(Upgrades!$G$14+F148*Upgrades!$H$14)*POWER(Upgrades!$I$14,F148)))*(IF(Upgrades!$T$13="Local Bubble",POWER(Upgrades!$U$13,E148),1)*IF(Upgrades!$T$15="Local Bubble",POWER(Upgrades!$U$15,G148),1)*IF(Upgrades!$T$16="Local Bubble",POWER(Upgrades!$U$16,H148),1)*IF(Upgrades!$T$17="Local Bubble",POWER(Upgrades!$U$17,I148),1)*IF(Upgrades!$T$18="Local Bubble",POWER(Upgrades!$U$18,J148),1)*IF(Upgrades!$T$19="Local Bubble",POWER(Upgrades!$U$19,K148),1)*IF(Upgrades!$T$20="Local Bubble",POWER(Upgrades!$U$20,L148),1)*IF(Upgrades!$T$21="Local Bubble",POWER(Upgrades!$U$21,M148),1))*POWER(Upgrades!$P$13,E148)*POWER(Upgrades!$P$14,F148)*POWER(Upgrades!$P$15,G148)*POWER(Upgrades!$P$16,H148)*POWER(Upgrades!$P$17,I148)*POWER(Upgrades!$P$18,J148)*POWER(Upgrades!$P$19,K148)*POWER(Upgrades!$P$20,L148)*POWER(Upgrades!$P$21,M148)*$F$6)*0.05)/AN148,0)</f>
        <v/>
      </c>
      <c r="BC148" s="32">
        <f>IFERROR((Upgrades!$H$17*(POWER(Upgrades!$P$13,E148)*POWER(Upgrades!$P$14,F148)*POWER(Upgrades!$P$15,G148)*POWER(Upgrades!$P$16,H148)*POWER(Upgrades!$P$17,I148)*POWER(Upgrades!$P$18,J148)*POWER(Upgrades!$P$19,K148)*POWER(Upgrades!$P$20,L148)*POWER(Upgrades!$P$21,M148))*(IF(Upgrades!$T$13="Brown Dwarf",POWER(Upgrades!$U$13,E148),1)*IF(Upgrades!$T$14="Brown Dwarf",POWER(Upgrades!$U$14,F148),1)*IF(Upgrades!$T$15="Brown Dwarf",POWER(Upgrades!$U$15,G148),1)*IF(Upgrades!$T$16="Brown Dwarf",POWER(Upgrades!$U$16,H148),1)*IF(Upgrades!$T$18="Brown Dwarf",POWER(Upgrades!$U$18,J148),1)*IF(Upgrades!$T$19="Brown Dwarf",POWER(Upgrades!$U$19,K148),1)*IF(Upgrades!$T$20="Brown Dwarf",POWER(Upgrades!$U$20,L148),1)*IF(Upgrades!$T$21="Brown Dwarf",POWER(Upgrades!$U$21,M148),1))*$F$6+(((IF(H148=0,0,(Upgrades!$M$16+H148*Upgrades!$N$16)*POWER(Upgrades!$O$16,H148)))*(IF(Upgrades!$T$13="Roche Lobe Overflow",POWER(Upgrades!$U$13,E148),1)*IF(Upgrades!$T$14="Roche Lobe Overflow",POWER(Upgrades!$U$14,F148),1)*IF(Upgrades!$T$15="Roche Lobe Overflow",POWER(Upgrades!$U$15,G148),1)*IF(Upgrades!$T$17="Roche Lobe Overflow",POWER(Upgrades!$U$17,I148),1)*IF(Upgrades!$T$18="Roche Lobe Overflow",POWER(Upgrades!$U$18,J148),1)*IF(Upgrades!$T$19="Roche Lobe Overflow",POWER(Upgrades!$U$19,K148),1)*IF(Upgrades!$T$20="Roche Lobe Overflow",POWER(Upgrades!$U$20,L148),1)*IF(Upgrades!$T$21="Roche Lobe Overflow",POWER(Upgrades!$U$21,M148),1))*POWER(Upgrades!$R$13,E148)*POWER(Upgrades!$R$14,F148)*POWER(Upgrades!$R$15,G148)*POWER(Upgrades!$R$16,H148)*POWER(Upgrades!$R$17,I148)*POWER(Upgrades!$R$18,J148)*POWER(Upgrades!$R$19,K148)*POWER(Upgrades!$R$20,L148)*POWER(Upgrades!$R$21,M148)*$H$6)*O148)*0.10)/AO148,0)</f>
        <v/>
      </c>
      <c r="BD148" s="32">
        <f>MAX(IF(J148&gt;0,0,IFERROR(0.5*((IF(G148=0,0,(Upgrades!$J$15+G148*Upgrades!$K$15)*POWER(Upgrades!$L$15,G148)))*(IF(Upgrades!$T$13="Microlensing",POWER(Upgrades!$U$13,E148),1)*IF(Upgrades!$T$14="Microlensing",POWER(Upgrades!$U$14,F148),1)*IF(Upgrades!$T$16="Microlensing",POWER(Upgrades!$U$16,H148),1)*IF(Upgrades!$T$17="Microlensing",POWER(Upgrades!$U$17,I148),1)*IF(Upgrades!$T$18="Microlensing",POWER(Upgrades!$U$18,J148),1)*IF(Upgrades!$T$19="Microlensing",POWER(Upgrades!$U$19,K148),1)*IF(Upgrades!$T$20="Microlensing",POWER(Upgrades!$U$20,L148),1)*IF(Upgrades!$T$21="Microlensing",POWER(Upgrades!$U$21,M148),1))*(POWER(Upgrades!$Q$13,E148)*POWER(Upgrades!$Q$14,F148)*POWER(Upgrades!$Q$15,G148)*POWER(Upgrades!$Q$16,H148)*POWER(Upgrades!$Q$17,I148)*POWER(Upgrades!$Q$18,J148)*POWER(Upgrades!$Q$19,K148)*POWER(Upgrades!$Q$20,L148)*POWER(Upgrades!$Q$21,M148))*$G$6*(Parameters!$B$10/60*Parameters!$B$11+Q148))/Upgrades!$C$18,0)),IF(K148&gt;0,0,IFERROR(0.30*P148/Upgrades!$C$19,0)),IF(L148&gt;0,0,IFERROR(0.0001/Upgrades!$C$20,0)),IF(M148&gt;0,0,IFERROR((6.0*(POWER(Upgrades!$P$13,E148)*POWER(Upgrades!$P$14,F148)*POWER(Upgrades!$P$15,G148)*POWER(Upgrades!$P$16,H148)*POWER(Upgrades!$P$17,I148)*POWER(Upgrades!$P$18,J148)*POWER(Upgrades!$P$19,K148)*POWER(Upgrades!$P$20,L148)*POWER(Upgrades!$P$21,M148))*$F$6+0.20*O148*(Parameters!$B$10/60*Parameters!$B$11+Q148))/Upgrades!$C$21,0)),IF(AND(ISNUMBER(AK148),AK148&gt;(C148+T148)),AY148,0),IF(AND(ISNUMBER(AL148),AL148&gt;(C148+T148)),AZ148,0),IF(AND(ISNUMBER(AM148),AM148&gt;(C148+T148)),BA148,0),IF(AND(ISNUMBER(AN148),AN148&gt;(C148+T148)),BB148,0),IF(AND(ISNUMBER(AO148),AO148&gt;(C148+T148)),BC148,0))</f>
        <v/>
      </c>
      <c r="BE148" s="29">
        <f>IF(AT148=1,"transition",IF(MIN(IF(AND(J148=0,ISNUMBER(AP148),AP148&lt;=(C148+T148)),AP148,9E15),IF(AND(K148=0,ISNUMBER(AQ148),AQ148&lt;=(C148+T148)),AQ148,9E15),IF(AND(L148=0,ISNUMBER(AR148),AR148&lt;=(C148+T148)),AR148,9E15),IF(AND(M148=0,ISNUMBER(AS148),AS148&lt;=(C148+T148)),AS148,9E15))&lt;9E15,IF(AND(AND(J148=0,ISNUMBER(AP148),AP148&lt;=(C148+T148)),AP148=MIN(IF(AND(J148=0,ISNUMBER(AP148),AP148&lt;=(C148+T148)),AP148,9E15),IF(AND(K148=0,ISNUMBER(AQ148),AQ148&lt;=(C148+T148)),AQ148,9E15),IF(AND(L148=0,ISNUMBER(AR148),AR148&lt;=(C148+T148)),AR148,9E15),IF(AND(M148=0,ISNUMBER(AS148),AS148&lt;=(C148+T148)),AS148,9E15))),"BiP",IF(AND(AND(K148=0,ISNUMBER(AQ148),AQ148&lt;=(C148+T148)),AQ148=MIN(IF(AND(J148=0,ISNUMBER(AP148),AP148&lt;=(C148+T148)),AP148,9E15),IF(AND(K148=0,ISNUMBER(AQ148),AQ148&lt;=(C148+T148)),AQ148,9E15),IF(AND(L148=0,ISNUMBER(AR148),AR148&lt;=(C148+T148)),AR148,9E15),IF(AND(M148=0,ISNUMBER(AS148),AS148&lt;=(C148+T148)),AS148,9E15))),"PV",IF(AND(AND(L148=0,ISNUMBER(AR148),AR148&lt;=(C148+T148)),AR148=MIN(IF(AND(J148=0,ISNUMBER(AP148),AP148&lt;=(C148+T148)),AP148,9E15),IF(AND(K148=0,ISNUMBER(AQ148),AQ148&lt;=(C148+T148)),AQ148,9E15),IF(AND(L148=0,ISNUMBER(AR148),AR148&lt;=(C148+T148)),AR148,9E15),IF(AND(M148=0,ISNUMBER(AS148),AS148&lt;=(C148+T148)),AS148,9E15))),"OC","MG"))),IF(AX148=TRUE,"",IF(MAX(IF(AND(NOT(AND(AU148=1,AT148&lt;&gt;1)),ISNUMBER(AK148),AK148&lt;=(C148+T148)),AY148,0),IF(AND(NOT(AND(AU148=1,AT148&lt;&gt;1)),ISNUMBER(AL148),AL148&lt;=(C148+T148)),AZ148,0),IF(AND(NOT(AND(AU148=1,AT148&lt;&gt;1)),ISNUMBER(AM148),AM148&lt;=(C148+T148)),BA148,0),IF(AND(NOT(AND(AU148=1,AT148&lt;&gt;1)),ISNUMBER(AN148),AN148&lt;=(C148+T148)),BB148,0),IF(AND(ISNUMBER(AO148),AO148&lt;=(C148+T148)),BC148,0))&lt;=0,"",IF(AND(IF(AND(NOT(AND(AU148=1,AT148&lt;&gt;1)),ISNUMBER(AK148),AK148&lt;=(C148+T148)),AY148,0)&gt;0,IF(AND(NOT(AND(AU148=1,AT148&lt;&gt;1)),ISNUMBER(AK148),AK148&lt;=(C148+T148)),AY148,0)=MAX(IF(AND(NOT(AND(AU148=1,AT148&lt;&gt;1)),ISNUMBER(AK148),AK148&lt;=(C148+T148)),AY148,0),IF(AND(NOT(AND(AU148=1,AT148&lt;&gt;1)),ISNUMBER(AL148),AL148&lt;=(C148+T148)),AZ148,0),IF(AND(NOT(AND(AU148=1,AT148&lt;&gt;1)),ISNUMBER(AM148),AM148&lt;=(C148+T148)),BA148,0),IF(AND(NOT(AND(AU148=1,AT148&lt;&gt;1)),ISNUMBER(AN148),AN148&lt;=(C148+T148)),BB148,0),IF(AND(ISNUMBER(AO148),AO148&lt;=(C148+T148)),BC148,0))),"SK",IF(AND(IF(AND(NOT(AND(AU148=1,AT148&lt;&gt;1)),ISNUMBER(AL148),AL148&lt;=(C148+T148)),AZ148,0)&gt;0,IF(AND(NOT(AND(AU148=1,AT148&lt;&gt;1)),ISNUMBER(AL148),AL148&lt;=(C148+T148)),AZ148,0)=MAX(IF(AND(NOT(AND(AU148=1,AT148&lt;&gt;1)),ISNUMBER(AK148),AK148&lt;=(C148+T148)),AY148,0),IF(AND(NOT(AND(AU148=1,AT148&lt;&gt;1)),ISNUMBER(AL148),AL148&lt;=(C148+T148)),AZ148,0),IF(AND(NOT(AND(AU148=1,AT148&lt;&gt;1)),ISNUMBER(AM148),AM148&lt;=(C148+T148)),BA148,0),IF(AND(NOT(AND(AU148=1,AT148&lt;&gt;1)),ISNUMBER(AN148),AN148&lt;=(C148+T148)),BB148,0),IF(AND(ISNUMBER(AO148),AO148&lt;=(C148+T148)),BC148,0))),"LB",IF(AND(IF(AND(NOT(AND(AU148=1,AT148&lt;&gt;1)),ISNUMBER(AM148),AM148&lt;=(C148+T148)),BA148,0)&gt;0,IF(AND(NOT(AND(AU148=1,AT148&lt;&gt;1)),ISNUMBER(AM148),AM148&lt;=(C148+T148)),BA148,0)=MAX(IF(AND(NOT(AND(AU148=1,AT148&lt;&gt;1)),ISNUMBER(AK148),AK148&lt;=(C148+T148)),AY148,0),IF(AND(NOT(AND(AU148=1,AT148&lt;&gt;1)),ISNUMBER(AL148),AL148&lt;=(C148+T148)),AZ148,0),IF(AND(NOT(AND(AU148=1,AT148&lt;&gt;1)),ISNUMBER(AM148),AM148&lt;=(C148+T148)),BA148,0),IF(AND(NOT(AND(AU148=1,AT148&lt;&gt;1)),ISNUMBER(AN148),AN148&lt;=(C148+T148)),BB148,0),IF(AND(ISNUMBER(AO148),AO148&lt;=(C148+T148)),BC148,0))),"ML",IF(AND(IF(AND(NOT(AND(AU148=1,AT148&lt;&gt;1)),ISNUMBER(AN148),AN148&lt;=(C148+T148)),BB148,0)&gt;0,IF(AND(NOT(AND(AU148=1,AT148&lt;&gt;1)),ISNUMBER(AN148),AN148&lt;=(C148+T148)),BB148,0)=MAX(IF(AND(NOT(AND(AU148=1,AT148&lt;&gt;1)),ISNUMBER(AK148),AK148&lt;=(C148+T148)),AY148,0),IF(AND(NOT(AND(AU148=1,AT148&lt;&gt;1)),ISNUMBER(AL148),AL148&lt;=(C148+T148)),AZ148,0),IF(AND(NOT(AND(AU148=1,AT148&lt;&gt;1)),ISNUMBER(AM148),AM148&lt;=(C148+T148)),BA148,0),IF(AND(NOT(AND(AU148=1,AT148&lt;&gt;1)),ISNUMBER(AN148),AN148&lt;=(C148+T148)),BB148,0),IF(AND(ISNUMBER(AO148),AO148&lt;=(C148+T148)),BC148,0))),"RLO","BD"))))))))</f>
        <v/>
      </c>
    </row>
    <row r="149">
      <c r="A149" s="26" t="n">
        <v>138</v>
      </c>
      <c r="B149" s="27">
        <f>A149*10/60</f>
        <v/>
      </c>
      <c r="C149" s="22">
        <f>X148</f>
        <v/>
      </c>
      <c r="D149" s="27">
        <f>D148+W148</f>
        <v/>
      </c>
      <c r="E149" s="26">
        <f>E148+IF(U148="SK",1,0)</f>
        <v/>
      </c>
      <c r="F149" s="26">
        <f>F148+IF(U148="LB",1,0)</f>
        <v/>
      </c>
      <c r="G149" s="26">
        <f>G148+IF(U148="ML",1,0)</f>
        <v/>
      </c>
      <c r="H149" s="26">
        <f>H148+IF(U148="RLO",1,0)</f>
        <v/>
      </c>
      <c r="I149" s="26">
        <f>I148+IF(U148="BD",1,0)</f>
        <v/>
      </c>
      <c r="J149" s="26">
        <f>MAX(J148,IF(U148="BiP",1,0))</f>
        <v/>
      </c>
      <c r="K149" s="26">
        <f>MAX(K148,IF(U148="PV",1,0))</f>
        <v/>
      </c>
      <c r="L149" s="26">
        <f>MAX(L148,IF(U148="OC",1,0))</f>
        <v/>
      </c>
      <c r="M149" s="26">
        <f>MAX(M148,IF(U148="MG",1,0))</f>
        <v/>
      </c>
      <c r="N149" s="26">
        <f>MAX(N148,IF(U148="transition",1,0))</f>
        <v/>
      </c>
      <c r="O149" s="28">
        <f>(Parameters!$B$9+(IF(E149=0,0,(Upgrades!$J$13+E149*Upgrades!$K$13)*POWER(Upgrades!$L$13,E149)))*(IF(Upgrades!$T$14="Stellar Kinematics",POWER(Upgrades!$U$14,F149),1)*IF(Upgrades!$T$15="Stellar Kinematics",POWER(Upgrades!$U$15,G149),1)*IF(Upgrades!$T$16="Stellar Kinematics",POWER(Upgrades!$U$16,H149),1)*IF(Upgrades!$T$17="Stellar Kinematics",POWER(Upgrades!$U$17,I149),1)*IF(Upgrades!$T$18="Stellar Kinematics",POWER(Upgrades!$U$18,J149),1)*IF(Upgrades!$T$19="Stellar Kinematics",POWER(Upgrades!$U$19,K149),1)*IF(Upgrades!$T$20="Stellar Kinematics",POWER(Upgrades!$U$20,L149),1)*IF(Upgrades!$T$21="Stellar Kinematics",POWER(Upgrades!$U$21,M149),1))+(IF(F149=0,0,(Upgrades!$J$14+F149*Upgrades!$K$14)*POWER(Upgrades!$L$14,F149)))*(IF(Upgrades!$T$13="Local Bubble",POWER(Upgrades!$U$13,E149),1)*IF(Upgrades!$T$15="Local Bubble",POWER(Upgrades!$U$15,G149),1)*IF(Upgrades!$T$16="Local Bubble",POWER(Upgrades!$U$16,H149),1)*IF(Upgrades!$T$17="Local Bubble",POWER(Upgrades!$U$17,I149),1)*IF(Upgrades!$T$18="Local Bubble",POWER(Upgrades!$U$18,J149),1)*IF(Upgrades!$T$19="Local Bubble",POWER(Upgrades!$U$19,K149),1)*IF(Upgrades!$T$20="Local Bubble",POWER(Upgrades!$U$20,L149),1)*IF(Upgrades!$T$21="Local Bubble",POWER(Upgrades!$U$21,M149),1))+(IF(G149=0,0,(Upgrades!$J$15+G149*Upgrades!$K$15)*POWER(Upgrades!$L$15,G149)))*(IF(Upgrades!$T$13="Microlensing",POWER(Upgrades!$U$13,E149),1)*IF(Upgrades!$T$14="Microlensing",POWER(Upgrades!$U$14,F149),1)*IF(Upgrades!$T$16="Microlensing",POWER(Upgrades!$U$16,H149),1)*IF(Upgrades!$T$17="Microlensing",POWER(Upgrades!$U$17,I149),1)*IF(Upgrades!$T$18="Microlensing",POWER(Upgrades!$U$18,J149),1)*IF(Upgrades!$T$19="Microlensing",POWER(Upgrades!$U$19,K149),1)*IF(Upgrades!$T$20="Microlensing",POWER(Upgrades!$U$20,L149),1)*IF(Upgrades!$T$21="Microlensing",POWER(Upgrades!$U$21,M149),1))+(IF(H149=0,0,(Upgrades!$J$16+H149*Upgrades!$K$16)*POWER(Upgrades!$L$16,H149)))*(IF(Upgrades!$T$13="Roche Lobe Overflow",POWER(Upgrades!$U$13,E149),1)*IF(Upgrades!$T$14="Roche Lobe Overflow",POWER(Upgrades!$U$14,F149),1)*IF(Upgrades!$T$15="Roche Lobe Overflow",POWER(Upgrades!$U$15,G149),1)*IF(Upgrades!$T$17="Roche Lobe Overflow",POWER(Upgrades!$U$17,I149),1)*IF(Upgrades!$T$18="Roche Lobe Overflow",POWER(Upgrades!$U$18,J149),1)*IF(Upgrades!$T$19="Roche Lobe Overflow",POWER(Upgrades!$U$19,K149),1)*IF(Upgrades!$T$20="Roche Lobe Overflow",POWER(Upgrades!$U$20,L149),1)*IF(Upgrades!$T$21="Roche Lobe Overflow",POWER(Upgrades!$U$21,M149),1))+(IF(I149=0,0,(Upgrades!$J$17+I149*Upgrades!$K$17)*POWER(Upgrades!$L$17,I149)))*(IF(Upgrades!$T$13="Brown Dwarf",POWER(Upgrades!$U$13,E149),1)*IF(Upgrades!$T$14="Brown Dwarf",POWER(Upgrades!$U$14,F149),1)*IF(Upgrades!$T$15="Brown Dwarf",POWER(Upgrades!$U$15,G149),1)*IF(Upgrades!$T$16="Brown Dwarf",POWER(Upgrades!$U$16,H149),1)*IF(Upgrades!$T$18="Brown Dwarf",POWER(Upgrades!$U$18,J149),1)*IF(Upgrades!$T$19="Brown Dwarf",POWER(Upgrades!$U$19,K149),1)*IF(Upgrades!$T$20="Brown Dwarf",POWER(Upgrades!$U$20,L149),1)*IF(Upgrades!$T$21="Brown Dwarf",POWER(Upgrades!$U$21,M149),1))+(IF(J149=0,0,(Upgrades!$J$18+J149*Upgrades!$K$18)*POWER(Upgrades!$L$18,J149)))*(IF(Upgrades!$T$13="Binary Partner",POWER(Upgrades!$U$13,E149),1)*IF(Upgrades!$T$14="Binary Partner",POWER(Upgrades!$U$14,F149),1)*IF(Upgrades!$T$15="Binary Partner",POWER(Upgrades!$U$15,G149),1)*IF(Upgrades!$T$16="Binary Partner",POWER(Upgrades!$U$16,H149),1)*IF(Upgrades!$T$17="Binary Partner",POWER(Upgrades!$U$17,I149),1)*IF(Upgrades!$T$19="Binary Partner",POWER(Upgrades!$U$19,K149),1)*IF(Upgrades!$T$20="Binary Partner",POWER(Upgrades!$U$20,L149),1)*IF(Upgrades!$T$21="Binary Partner",POWER(Upgrades!$U$21,M149),1))+(IF(K149=0,0,(Upgrades!$J$19+K149*Upgrades!$K$19)*POWER(Upgrades!$L$19,K149)))*(IF(Upgrades!$T$13="Peculiar Velocity",POWER(Upgrades!$U$13,E149),1)*IF(Upgrades!$T$14="Peculiar Velocity",POWER(Upgrades!$U$14,F149),1)*IF(Upgrades!$T$15="Peculiar Velocity",POWER(Upgrades!$U$15,G149),1)*IF(Upgrades!$T$16="Peculiar Velocity",POWER(Upgrades!$U$16,H149),1)*IF(Upgrades!$T$17="Peculiar Velocity",POWER(Upgrades!$U$17,I149),1)*IF(Upgrades!$T$18="Peculiar Velocity",POWER(Upgrades!$U$18,J149),1)*IF(Upgrades!$T$20="Peculiar Velocity",POWER(Upgrades!$U$20,L149),1)*IF(Upgrades!$T$21="Peculiar Velocity",POWER(Upgrades!$U$21,M149),1))+(IF(L149=0,0,(Upgrades!$J$20+L149*Upgrades!$K$20)*POWER(Upgrades!$L$20,L149)))*(IF(Upgrades!$T$13="Open Cluster",POWER(Upgrades!$U$13,E149),1)*IF(Upgrades!$T$14="Open Cluster",POWER(Upgrades!$U$14,F149),1)*IF(Upgrades!$T$15="Open Cluster",POWER(Upgrades!$U$15,G149),1)*IF(Upgrades!$T$16="Open Cluster",POWER(Upgrades!$U$16,H149),1)*IF(Upgrades!$T$17="Open Cluster",POWER(Upgrades!$U$17,I149),1)*IF(Upgrades!$T$18="Open Cluster",POWER(Upgrades!$U$18,J149),1)*IF(Upgrades!$T$19="Open Cluster",POWER(Upgrades!$U$19,K149),1)*IF(Upgrades!$T$21="Open Cluster",POWER(Upgrades!$U$21,M149),1))+(IF(M149=0,0,(Upgrades!$J$21+M149*Upgrades!$K$21)*POWER(Upgrades!$L$21,M149)))*(IF(Upgrades!$T$13="Moving Group",POWER(Upgrades!$U$13,E149),1)*IF(Upgrades!$T$14="Moving Group",POWER(Upgrades!$U$14,F149),1)*IF(Upgrades!$T$15="Moving Group",POWER(Upgrades!$U$15,G149),1)*IF(Upgrades!$T$16="Moving Group",POWER(Upgrades!$U$16,H149),1)*IF(Upgrades!$T$17="Moving Group",POWER(Upgrades!$U$17,I149),1)*IF(Upgrades!$T$18="Moving Group",POWER(Upgrades!$U$18,J149),1)*IF(Upgrades!$T$19="Moving Group",POWER(Upgrades!$U$19,K149),1)*IF(Upgrades!$T$20="Moving Group",POWER(Upgrades!$U$20,L149),1)))*POWER(Upgrades!$Q$13,E149)*POWER(Upgrades!$Q$14,F149)*POWER(Upgrades!$Q$15,G149)*POWER(Upgrades!$Q$16,H149)*POWER(Upgrades!$Q$17,I149)*POWER(Upgrades!$Q$18,J149)*POWER(Upgrades!$Q$19,K149)*POWER(Upgrades!$Q$20,L149)*POWER(Upgrades!$Q$21,M149)*$G$6+$D$6</f>
        <v/>
      </c>
      <c r="P149" s="28">
        <f>((IF(E149=0,0,(Upgrades!$G$13+E149*Upgrades!$H$13)*POWER(Upgrades!$I$13,E149)))*(IF(Upgrades!$T$14="Stellar Kinematics",POWER(Upgrades!$U$14,F149),1)*IF(Upgrades!$T$15="Stellar Kinematics",POWER(Upgrades!$U$15,G149),1)*IF(Upgrades!$T$16="Stellar Kinematics",POWER(Upgrades!$U$16,H149),1)*IF(Upgrades!$T$17="Stellar Kinematics",POWER(Upgrades!$U$17,I149),1)*IF(Upgrades!$T$18="Stellar Kinematics",POWER(Upgrades!$U$18,J149),1)*IF(Upgrades!$T$19="Stellar Kinematics",POWER(Upgrades!$U$19,K149),1)*IF(Upgrades!$T$20="Stellar Kinematics",POWER(Upgrades!$U$20,L149),1)*IF(Upgrades!$T$21="Stellar Kinematics",POWER(Upgrades!$U$21,M149),1))+(IF(F149=0,0,(Upgrades!$G$14+F149*Upgrades!$H$14)*POWER(Upgrades!$I$14,F149)))*(IF(Upgrades!$T$13="Local Bubble",POWER(Upgrades!$U$13,E149),1)*IF(Upgrades!$T$15="Local Bubble",POWER(Upgrades!$U$15,G149),1)*IF(Upgrades!$T$16="Local Bubble",POWER(Upgrades!$U$16,H149),1)*IF(Upgrades!$T$17="Local Bubble",POWER(Upgrades!$U$17,I149),1)*IF(Upgrades!$T$18="Local Bubble",POWER(Upgrades!$U$18,J149),1)*IF(Upgrades!$T$19="Local Bubble",POWER(Upgrades!$U$19,K149),1)*IF(Upgrades!$T$20="Local Bubble",POWER(Upgrades!$U$20,L149),1)*IF(Upgrades!$T$21="Local Bubble",POWER(Upgrades!$U$21,M149),1))+(IF(G149=0,0,(Upgrades!$G$15+G149*Upgrades!$H$15)*POWER(Upgrades!$I$15,G149)))*(IF(Upgrades!$T$13="Microlensing",POWER(Upgrades!$U$13,E149),1)*IF(Upgrades!$T$14="Microlensing",POWER(Upgrades!$U$14,F149),1)*IF(Upgrades!$T$16="Microlensing",POWER(Upgrades!$U$16,H149),1)*IF(Upgrades!$T$17="Microlensing",POWER(Upgrades!$U$17,I149),1)*IF(Upgrades!$T$18="Microlensing",POWER(Upgrades!$U$18,J149),1)*IF(Upgrades!$T$19="Microlensing",POWER(Upgrades!$U$19,K149),1)*IF(Upgrades!$T$20="Microlensing",POWER(Upgrades!$U$20,L149),1)*IF(Upgrades!$T$21="Microlensing",POWER(Upgrades!$U$21,M149),1))+(IF(H149=0,0,(Upgrades!$G$16+H149*Upgrades!$H$16)*POWER(Upgrades!$I$16,H149)))*(IF(Upgrades!$T$13="Roche Lobe Overflow",POWER(Upgrades!$U$13,E149),1)*IF(Upgrades!$T$14="Roche Lobe Overflow",POWER(Upgrades!$U$14,F149),1)*IF(Upgrades!$T$15="Roche Lobe Overflow",POWER(Upgrades!$U$15,G149),1)*IF(Upgrades!$T$17="Roche Lobe Overflow",POWER(Upgrades!$U$17,I149),1)*IF(Upgrades!$T$18="Roche Lobe Overflow",POWER(Upgrades!$U$18,J149),1)*IF(Upgrades!$T$19="Roche Lobe Overflow",POWER(Upgrades!$U$19,K149),1)*IF(Upgrades!$T$20="Roche Lobe Overflow",POWER(Upgrades!$U$20,L149),1)*IF(Upgrades!$T$21="Roche Lobe Overflow",POWER(Upgrades!$U$21,M149),1))+(IF(I149=0,0,(Upgrades!$G$17+I149*Upgrades!$H$17)*POWER(Upgrades!$I$17,I149)))*(IF(Upgrades!$T$13="Brown Dwarf",POWER(Upgrades!$U$13,E149),1)*IF(Upgrades!$T$14="Brown Dwarf",POWER(Upgrades!$U$14,F149),1)*IF(Upgrades!$T$15="Brown Dwarf",POWER(Upgrades!$U$15,G149),1)*IF(Upgrades!$T$16="Brown Dwarf",POWER(Upgrades!$U$16,H149),1)*IF(Upgrades!$T$18="Brown Dwarf",POWER(Upgrades!$U$18,J149),1)*IF(Upgrades!$T$19="Brown Dwarf",POWER(Upgrades!$U$19,K149),1)*IF(Upgrades!$T$20="Brown Dwarf",POWER(Upgrades!$U$20,L149),1)*IF(Upgrades!$T$21="Brown Dwarf",POWER(Upgrades!$U$21,M149),1))+(IF(J149=0,0,(Upgrades!$G$18+J149*Upgrades!$H$18)*POWER(Upgrades!$I$18,J149)))*(IF(Upgrades!$T$13="Binary Partner",POWER(Upgrades!$U$13,E149),1)*IF(Upgrades!$T$14="Binary Partner",POWER(Upgrades!$U$14,F149),1)*IF(Upgrades!$T$15="Binary Partner",POWER(Upgrades!$U$15,G149),1)*IF(Upgrades!$T$16="Binary Partner",POWER(Upgrades!$U$16,H149),1)*IF(Upgrades!$T$17="Binary Partner",POWER(Upgrades!$U$17,I149),1)*IF(Upgrades!$T$19="Binary Partner",POWER(Upgrades!$U$19,K149),1)*IF(Upgrades!$T$20="Binary Partner",POWER(Upgrades!$U$20,L149),1)*IF(Upgrades!$T$21="Binary Partner",POWER(Upgrades!$U$21,M149),1))+(IF(K149=0,0,(Upgrades!$G$19+K149*Upgrades!$H$19)*POWER(Upgrades!$I$19,K149)))*(IF(Upgrades!$T$13="Peculiar Velocity",POWER(Upgrades!$U$13,E149),1)*IF(Upgrades!$T$14="Peculiar Velocity",POWER(Upgrades!$U$14,F149),1)*IF(Upgrades!$T$15="Peculiar Velocity",POWER(Upgrades!$U$15,G149),1)*IF(Upgrades!$T$16="Peculiar Velocity",POWER(Upgrades!$U$16,H149),1)*IF(Upgrades!$T$17="Peculiar Velocity",POWER(Upgrades!$U$17,I149),1)*IF(Upgrades!$T$18="Peculiar Velocity",POWER(Upgrades!$U$18,J149),1)*IF(Upgrades!$T$20="Peculiar Velocity",POWER(Upgrades!$U$20,L149),1)*IF(Upgrades!$T$21="Peculiar Velocity",POWER(Upgrades!$U$21,M149),1))+(IF(L149=0,0,(Upgrades!$G$20+L149*Upgrades!$H$20)*POWER(Upgrades!$I$20,L149)))*(IF(Upgrades!$T$13="Open Cluster",POWER(Upgrades!$U$13,E149),1)*IF(Upgrades!$T$14="Open Cluster",POWER(Upgrades!$U$14,F149),1)*IF(Upgrades!$T$15="Open Cluster",POWER(Upgrades!$U$15,G149),1)*IF(Upgrades!$T$16="Open Cluster",POWER(Upgrades!$U$16,H149),1)*IF(Upgrades!$T$17="Open Cluster",POWER(Upgrades!$U$17,I149),1)*IF(Upgrades!$T$18="Open Cluster",POWER(Upgrades!$U$18,J149),1)*IF(Upgrades!$T$19="Open Cluster",POWER(Upgrades!$U$19,K149),1)*IF(Upgrades!$T$21="Open Cluster",POWER(Upgrades!$U$21,M149),1))+(IF(M149=0,0,(Upgrades!$G$21+M149*Upgrades!$H$21)*POWER(Upgrades!$I$21,M149)))*(IF(Upgrades!$T$13="Moving Group",POWER(Upgrades!$U$13,E149),1)*IF(Upgrades!$T$14="Moving Group",POWER(Upgrades!$U$14,F149),1)*IF(Upgrades!$T$15="Moving Group",POWER(Upgrades!$U$15,G149),1)*IF(Upgrades!$T$16="Moving Group",POWER(Upgrades!$U$16,H149),1)*IF(Upgrades!$T$17="Moving Group",POWER(Upgrades!$U$17,I149),1)*IF(Upgrades!$T$18="Moving Group",POWER(Upgrades!$U$18,J149),1)*IF(Upgrades!$T$19="Moving Group",POWER(Upgrades!$U$19,K149),1)*IF(Upgrades!$T$20="Moving Group",POWER(Upgrades!$U$20,L149),1)))*POWER(Upgrades!$P$13,E149)*POWER(Upgrades!$P$14,F149)*POWER(Upgrades!$P$15,G149)*POWER(Upgrades!$P$16,H149)*POWER(Upgrades!$P$17,I149)*POWER(Upgrades!$P$18,J149)*POWER(Upgrades!$P$19,K149)*POWER(Upgrades!$P$20,L149)*POWER(Upgrades!$P$21,M149)*$F$6+$C$6</f>
        <v/>
      </c>
      <c r="Q149" s="28">
        <f>((IF(E149=0,0,(Upgrades!$M$13+E149*Upgrades!$N$13)*POWER(Upgrades!$O$13,E149)))*(IF(Upgrades!$T$14="Stellar Kinematics",POWER(Upgrades!$U$14,F149),1)*IF(Upgrades!$T$15="Stellar Kinematics",POWER(Upgrades!$U$15,G149),1)*IF(Upgrades!$T$16="Stellar Kinematics",POWER(Upgrades!$U$16,H149),1)*IF(Upgrades!$T$17="Stellar Kinematics",POWER(Upgrades!$U$17,I149),1)*IF(Upgrades!$T$18="Stellar Kinematics",POWER(Upgrades!$U$18,J149),1)*IF(Upgrades!$T$19="Stellar Kinematics",POWER(Upgrades!$U$19,K149),1)*IF(Upgrades!$T$20="Stellar Kinematics",POWER(Upgrades!$U$20,L149),1)*IF(Upgrades!$T$21="Stellar Kinematics",POWER(Upgrades!$U$21,M149),1))+(IF(F149=0,0,(Upgrades!$M$14+F149*Upgrades!$N$14)*POWER(Upgrades!$O$14,F149)))*(IF(Upgrades!$T$13="Local Bubble",POWER(Upgrades!$U$13,E149),1)*IF(Upgrades!$T$15="Local Bubble",POWER(Upgrades!$U$15,G149),1)*IF(Upgrades!$T$16="Local Bubble",POWER(Upgrades!$U$16,H149),1)*IF(Upgrades!$T$17="Local Bubble",POWER(Upgrades!$U$17,I149),1)*IF(Upgrades!$T$18="Local Bubble",POWER(Upgrades!$U$18,J149),1)*IF(Upgrades!$T$19="Local Bubble",POWER(Upgrades!$U$19,K149),1)*IF(Upgrades!$T$20="Local Bubble",POWER(Upgrades!$U$20,L149),1)*IF(Upgrades!$T$21="Local Bubble",POWER(Upgrades!$U$21,M149),1))+(IF(G149=0,0,(Upgrades!$M$15+G149*Upgrades!$N$15)*POWER(Upgrades!$O$15,G149)))*(IF(Upgrades!$T$13="Microlensing",POWER(Upgrades!$U$13,E149),1)*IF(Upgrades!$T$14="Microlensing",POWER(Upgrades!$U$14,F149),1)*IF(Upgrades!$T$16="Microlensing",POWER(Upgrades!$U$16,H149),1)*IF(Upgrades!$T$17="Microlensing",POWER(Upgrades!$U$17,I149),1)*IF(Upgrades!$T$18="Microlensing",POWER(Upgrades!$U$18,J149),1)*IF(Upgrades!$T$19="Microlensing",POWER(Upgrades!$U$19,K149),1)*IF(Upgrades!$T$20="Microlensing",POWER(Upgrades!$U$20,L149),1)*IF(Upgrades!$T$21="Microlensing",POWER(Upgrades!$U$21,M149),1))+(IF(H149=0,0,(Upgrades!$M$16+H149*Upgrades!$N$16)*POWER(Upgrades!$O$16,H149)))*(IF(Upgrades!$T$13="Roche Lobe Overflow",POWER(Upgrades!$U$13,E149),1)*IF(Upgrades!$T$14="Roche Lobe Overflow",POWER(Upgrades!$U$14,F149),1)*IF(Upgrades!$T$15="Roche Lobe Overflow",POWER(Upgrades!$U$15,G149),1)*IF(Upgrades!$T$17="Roche Lobe Overflow",POWER(Upgrades!$U$17,I149),1)*IF(Upgrades!$T$18="Roche Lobe Overflow",POWER(Upgrades!$U$18,J149),1)*IF(Upgrades!$T$19="Roche Lobe Overflow",POWER(Upgrades!$U$19,K149),1)*IF(Upgrades!$T$20="Roche Lobe Overflow",POWER(Upgrades!$U$20,L149),1)*IF(Upgrades!$T$21="Roche Lobe Overflow",POWER(Upgrades!$U$21,M149),1))+(IF(I149=0,0,(Upgrades!$M$17+I149*Upgrades!$N$17)*POWER(Upgrades!$O$17,I149)))*(IF(Upgrades!$T$13="Brown Dwarf",POWER(Upgrades!$U$13,E149),1)*IF(Upgrades!$T$14="Brown Dwarf",POWER(Upgrades!$U$14,F149),1)*IF(Upgrades!$T$15="Brown Dwarf",POWER(Upgrades!$U$15,G149),1)*IF(Upgrades!$T$16="Brown Dwarf",POWER(Upgrades!$U$16,H149),1)*IF(Upgrades!$T$18="Brown Dwarf",POWER(Upgrades!$U$18,J149),1)*IF(Upgrades!$T$19="Brown Dwarf",POWER(Upgrades!$U$19,K149),1)*IF(Upgrades!$T$20="Brown Dwarf",POWER(Upgrades!$U$20,L149),1)*IF(Upgrades!$T$21="Brown Dwarf",POWER(Upgrades!$U$21,M149),1))+(IF(J149=0,0,(Upgrades!$M$18+J149*Upgrades!$N$18)*POWER(Upgrades!$O$18,J149)))*(IF(Upgrades!$T$13="Binary Partner",POWER(Upgrades!$U$13,E149),1)*IF(Upgrades!$T$14="Binary Partner",POWER(Upgrades!$U$14,F149),1)*IF(Upgrades!$T$15="Binary Partner",POWER(Upgrades!$U$15,G149),1)*IF(Upgrades!$T$16="Binary Partner",POWER(Upgrades!$U$16,H149),1)*IF(Upgrades!$T$17="Binary Partner",POWER(Upgrades!$U$17,I149),1)*IF(Upgrades!$T$19="Binary Partner",POWER(Upgrades!$U$19,K149),1)*IF(Upgrades!$T$20="Binary Partner",POWER(Upgrades!$U$20,L149),1)*IF(Upgrades!$T$21="Binary Partner",POWER(Upgrades!$U$21,M149),1))+(IF(K149=0,0,(Upgrades!$M$19+K149*Upgrades!$N$19)*POWER(Upgrades!$O$19,K149)))*(IF(Upgrades!$T$13="Peculiar Velocity",POWER(Upgrades!$U$13,E149),1)*IF(Upgrades!$T$14="Peculiar Velocity",POWER(Upgrades!$U$14,F149),1)*IF(Upgrades!$T$15="Peculiar Velocity",POWER(Upgrades!$U$15,G149),1)*IF(Upgrades!$T$16="Peculiar Velocity",POWER(Upgrades!$U$16,H149),1)*IF(Upgrades!$T$17="Peculiar Velocity",POWER(Upgrades!$U$17,I149),1)*IF(Upgrades!$T$18="Peculiar Velocity",POWER(Upgrades!$U$18,J149),1)*IF(Upgrades!$T$20="Peculiar Velocity",POWER(Upgrades!$U$20,L149),1)*IF(Upgrades!$T$21="Peculiar Velocity",POWER(Upgrades!$U$21,M149),1))+(IF(L149=0,0,(Upgrades!$M$20+L149*Upgrades!$N$20)*POWER(Upgrades!$O$20,L149)))*(IF(Upgrades!$T$13="Open Cluster",POWER(Upgrades!$U$13,E149),1)*IF(Upgrades!$T$14="Open Cluster",POWER(Upgrades!$U$14,F149),1)*IF(Upgrades!$T$15="Open Cluster",POWER(Upgrades!$U$15,G149),1)*IF(Upgrades!$T$16="Open Cluster",POWER(Upgrades!$U$16,H149),1)*IF(Upgrades!$T$17="Open Cluster",POWER(Upgrades!$U$17,I149),1)*IF(Upgrades!$T$18="Open Cluster",POWER(Upgrades!$U$18,J149),1)*IF(Upgrades!$T$19="Open Cluster",POWER(Upgrades!$U$19,K149),1)*IF(Upgrades!$T$21="Open Cluster",POWER(Upgrades!$U$21,M149),1))+(IF(M149=0,0,(Upgrades!$M$21+M149*Upgrades!$N$21)*POWER(Upgrades!$O$21,M149)))*(IF(Upgrades!$T$13="Moving Group",POWER(Upgrades!$U$13,E149),1)*IF(Upgrades!$T$14="Moving Group",POWER(Upgrades!$U$14,F149),1)*IF(Upgrades!$T$15="Moving Group",POWER(Upgrades!$U$15,G149),1)*IF(Upgrades!$T$16="Moving Group",POWER(Upgrades!$U$16,H149),1)*IF(Upgrades!$T$17="Moving Group",POWER(Upgrades!$U$17,I149),1)*IF(Upgrades!$T$18="Moving Group",POWER(Upgrades!$U$18,J149),1)*IF(Upgrades!$T$19="Moving Group",POWER(Upgrades!$U$19,K149),1)*IF(Upgrades!$T$20="Moving Group",POWER(Upgrades!$U$20,L149),1)))*POWER(Upgrades!$R$13,E149)*POWER(Upgrades!$R$14,F149)*POWER(Upgrades!$R$15,G149)*POWER(Upgrades!$R$16,H149)*POWER(Upgrades!$R$17,I149)*POWER(Upgrades!$R$18,J149)*POWER(Upgrades!$R$19,K149)*POWER(Upgrades!$R$20,L149)*POWER(Upgrades!$R$21,M149)*$H$6+$E$6</f>
        <v/>
      </c>
      <c r="R149" s="27">
        <f>IF(N149=1,0,O149*Parameters!$B$10/60*Parameters!$B$11*10)</f>
        <v/>
      </c>
      <c r="S149" s="27">
        <f>IF(N149=1,0,Q149*O149*10)</f>
        <v/>
      </c>
      <c r="T149" s="27">
        <f>IF(N149=1,0,R149+S149+P149*10)</f>
        <v/>
      </c>
      <c r="U149" s="33">
        <f>BE149</f>
        <v/>
      </c>
      <c r="V149" s="22">
        <f>IF(U149="",0,IF(U149="transition",0,IF(U149="SK",AK149,IF(U149="LB",AL149,IF(U149="ML",AM149,IF(U149="RLO",AN149,IF(U149="BD",AO149,IF(U149="BiP",AP149,IF(U149="PV",AQ149,IF(U149="OC",AR149,IF(U149="MG",AS149,0))))))))))</f>
        <v/>
      </c>
      <c r="W149" s="27">
        <f>IF(U149="BiP",Upgrades!$F$18,IF(U149="PV",Upgrades!$F$19,IF(U149="OC",Upgrades!$F$20,IF(U149="MG",Upgrades!$F$21,IF(U149="transition",-Parameters!$B$18*Parameters!$B$19,0)))))</f>
        <v/>
      </c>
      <c r="X149" s="22">
        <f>C149+T149-V149</f>
        <v/>
      </c>
      <c r="Y149" s="30">
        <f>O149*Parameters!$B$10/60*Parameters!$B$11+Q149*O149+P149</f>
        <v/>
      </c>
      <c r="Z149" s="34">
        <f>IF(U149="transition","→ Tier 3 (Galactic Arm)",IF(U149="MG","Moving Group — pocket drifts together",IF(U149="OC","Open Cluster acquired",IF(U149="PV","Peculiar Velocity — passive multiplier active",IF(U149="BiP","Binary Partner — pair bond formed",IF(AND(AU149=1,N149=0,AT149&lt;&gt;1),"Cohesion ready (waiting on completionists)","")))))) </f>
        <v/>
      </c>
      <c r="AA149" s="27">
        <f>(IF(E149=0,0,(Upgrades!$G$13+E149*Upgrades!$H$13)*POWER(Upgrades!$I$13,E149)))*(IF(Upgrades!$T$14="Stellar Kinematics",POWER(Upgrades!$U$14,F149),1)*IF(Upgrades!$T$15="Stellar Kinematics",POWER(Upgrades!$U$15,G149),1)*IF(Upgrades!$T$16="Stellar Kinematics",POWER(Upgrades!$U$16,H149),1)*IF(Upgrades!$T$17="Stellar Kinematics",POWER(Upgrades!$U$17,I149),1)*IF(Upgrades!$T$18="Stellar Kinematics",POWER(Upgrades!$U$18,J149),1)*IF(Upgrades!$T$19="Stellar Kinematics",POWER(Upgrades!$U$19,K149),1)*IF(Upgrades!$T$20="Stellar Kinematics",POWER(Upgrades!$U$20,L149),1)*IF(Upgrades!$T$21="Stellar Kinematics",POWER(Upgrades!$U$21,M149),1))*POWER(Upgrades!$P$13,E149)*POWER(Upgrades!$P$14,F149)*POWER(Upgrades!$P$15,G149)*POWER(Upgrades!$P$16,H149)*POWER(Upgrades!$P$17,I149)*POWER(Upgrades!$P$18,J149)*POWER(Upgrades!$P$19,K149)*POWER(Upgrades!$P$20,L149)*POWER(Upgrades!$P$21,M149)*$F$6*60</f>
        <v/>
      </c>
      <c r="AB149" s="27">
        <f>(IF(F149=0,0,(Upgrades!$G$14+F149*Upgrades!$H$14)*POWER(Upgrades!$I$14,F149)))*(IF(Upgrades!$T$13="Local Bubble",POWER(Upgrades!$U$13,E149),1)*IF(Upgrades!$T$15="Local Bubble",POWER(Upgrades!$U$15,G149),1)*IF(Upgrades!$T$16="Local Bubble",POWER(Upgrades!$U$16,H149),1)*IF(Upgrades!$T$17="Local Bubble",POWER(Upgrades!$U$17,I149),1)*IF(Upgrades!$T$18="Local Bubble",POWER(Upgrades!$U$18,J149),1)*IF(Upgrades!$T$19="Local Bubble",POWER(Upgrades!$U$19,K149),1)*IF(Upgrades!$T$20="Local Bubble",POWER(Upgrades!$U$20,L149),1)*IF(Upgrades!$T$21="Local Bubble",POWER(Upgrades!$U$21,M149),1))*POWER(Upgrades!$P$13,E149)*POWER(Upgrades!$P$14,F149)*POWER(Upgrades!$P$15,G149)*POWER(Upgrades!$P$16,H149)*POWER(Upgrades!$P$17,I149)*POWER(Upgrades!$P$18,J149)*POWER(Upgrades!$P$19,K149)*POWER(Upgrades!$P$20,L149)*POWER(Upgrades!$P$21,M149)*$F$6*60</f>
        <v/>
      </c>
      <c r="AC149" s="27">
        <f>(IF(G149=0,0,(Upgrades!$J$15+G149*Upgrades!$K$15)*POWER(Upgrades!$L$15,G149)))*(IF(Upgrades!$T$13="Microlensing",POWER(Upgrades!$U$13,E149),1)*IF(Upgrades!$T$14="Microlensing",POWER(Upgrades!$U$14,F149),1)*IF(Upgrades!$T$16="Microlensing",POWER(Upgrades!$U$16,H149),1)*IF(Upgrades!$T$17="Microlensing",POWER(Upgrades!$U$17,I149),1)*IF(Upgrades!$T$18="Microlensing",POWER(Upgrades!$U$18,J149),1)*IF(Upgrades!$T$19="Microlensing",POWER(Upgrades!$U$19,K149),1)*IF(Upgrades!$T$20="Microlensing",POWER(Upgrades!$U$20,L149),1)*IF(Upgrades!$T$21="Microlensing",POWER(Upgrades!$U$21,M149),1))*POWER(Upgrades!$Q$13,E149)*POWER(Upgrades!$Q$14,F149)*POWER(Upgrades!$Q$15,G149)*POWER(Upgrades!$Q$16,H149)*POWER(Upgrades!$Q$17,I149)*POWER(Upgrades!$Q$18,J149)*POWER(Upgrades!$Q$19,K149)*POWER(Upgrades!$Q$20,L149)*POWER(Upgrades!$Q$21,M149)*$G$6*(Parameters!$B$10*Parameters!$B$11+Q149*60)</f>
        <v/>
      </c>
      <c r="AD149" s="27">
        <f>(IF(H149=0,0,(Upgrades!$M$16+H149*Upgrades!$N$16)*POWER(Upgrades!$O$16,H149)))*(IF(Upgrades!$T$13="Roche Lobe Overflow",POWER(Upgrades!$U$13,E149),1)*IF(Upgrades!$T$14="Roche Lobe Overflow",POWER(Upgrades!$U$14,F149),1)*IF(Upgrades!$T$15="Roche Lobe Overflow",POWER(Upgrades!$U$15,G149),1)*IF(Upgrades!$T$17="Roche Lobe Overflow",POWER(Upgrades!$U$17,I149),1)*IF(Upgrades!$T$18="Roche Lobe Overflow",POWER(Upgrades!$U$18,J149),1)*IF(Upgrades!$T$19="Roche Lobe Overflow",POWER(Upgrades!$U$19,K149),1)*IF(Upgrades!$T$20="Roche Lobe Overflow",POWER(Upgrades!$U$20,L149),1)*IF(Upgrades!$T$21="Roche Lobe Overflow",POWER(Upgrades!$U$21,M149),1))*POWER(Upgrades!$R$13,E149)*POWER(Upgrades!$R$14,F149)*POWER(Upgrades!$R$15,G149)*POWER(Upgrades!$R$16,H149)*POWER(Upgrades!$R$17,I149)*POWER(Upgrades!$R$18,J149)*POWER(Upgrades!$R$19,K149)*POWER(Upgrades!$R$20,L149)*POWER(Upgrades!$R$21,M149)*$H$6*O149*60</f>
        <v/>
      </c>
      <c r="AE149" s="27">
        <f>(IF(I149=0,0,(Upgrades!$G$17+I149*Upgrades!$H$17)*POWER(Upgrades!$I$17,I149)))*(IF(Upgrades!$T$13="Brown Dwarf",POWER(Upgrades!$U$13,E149),1)*IF(Upgrades!$T$14="Brown Dwarf",POWER(Upgrades!$U$14,F149),1)*IF(Upgrades!$T$15="Brown Dwarf",POWER(Upgrades!$U$15,G149),1)*IF(Upgrades!$T$16="Brown Dwarf",POWER(Upgrades!$U$16,H149),1)*IF(Upgrades!$T$18="Brown Dwarf",POWER(Upgrades!$U$18,J149),1)*IF(Upgrades!$T$19="Brown Dwarf",POWER(Upgrades!$U$19,K149),1)*IF(Upgrades!$T$20="Brown Dwarf",POWER(Upgrades!$U$20,L149),1)*IF(Upgrades!$T$21="Brown Dwarf",POWER(Upgrades!$U$21,M149),1))*POWER(Upgrades!$P$13,E149)*POWER(Upgrades!$P$14,F149)*POWER(Upgrades!$P$15,G149)*POWER(Upgrades!$P$16,H149)*POWER(Upgrades!$P$17,I149)*POWER(Upgrades!$P$18,J149)*POWER(Upgrades!$P$19,K149)*POWER(Upgrades!$P$20,L149)*POWER(Upgrades!$P$21,M149)*$F$6*60</f>
        <v/>
      </c>
      <c r="AF149" s="27" t="n">
        <v>0</v>
      </c>
      <c r="AG149" s="27" t="n">
        <v>0</v>
      </c>
      <c r="AH149" s="27" t="n">
        <v>0</v>
      </c>
      <c r="AI149" s="27">
        <f>(IF(M149=0,0,(Upgrades!$G$21+M149*Upgrades!$H$21)*POWER(Upgrades!$I$21,M149)))*(IF(Upgrades!$T$13="Moving Group",POWER(Upgrades!$U$13,E149),1)*IF(Upgrades!$T$14="Moving Group",POWER(Upgrades!$U$14,F149),1)*IF(Upgrades!$T$15="Moving Group",POWER(Upgrades!$U$15,G149),1)*IF(Upgrades!$T$16="Moving Group",POWER(Upgrades!$U$16,H149),1)*IF(Upgrades!$T$17="Moving Group",POWER(Upgrades!$U$17,I149),1)*IF(Upgrades!$T$18="Moving Group",POWER(Upgrades!$U$18,J149),1)*IF(Upgrades!$T$19="Moving Group",POWER(Upgrades!$U$19,K149),1)*IF(Upgrades!$T$20="Moving Group",POWER(Upgrades!$U$20,L149),1))*POWER(Upgrades!$P$13,E149)*POWER(Upgrades!$P$14,F149)*POWER(Upgrades!$P$15,G149)*POWER(Upgrades!$P$16,H149)*POWER(Upgrades!$P$17,I149)*POWER(Upgrades!$P$18,J149)*POWER(Upgrades!$P$19,K149)*POWER(Upgrades!$P$20,L149)*POWER(Upgrades!$P$21,M149)*$F$6*60</f>
        <v/>
      </c>
      <c r="AJ149" s="27">
        <f>$C$6*60</f>
        <v/>
      </c>
      <c r="AK149" s="22">
        <f>IF(E149&gt;=Upgrades!$E$13,"",Upgrades!$C$13*POWER(Upgrades!$D$13,E149))</f>
        <v/>
      </c>
      <c r="AL149" s="22">
        <f>IF(F149&gt;=Upgrades!$E$14,"",Upgrades!$C$14*POWER(Upgrades!$D$14,F149))</f>
        <v/>
      </c>
      <c r="AM149" s="22">
        <f>IF(G149&gt;=Upgrades!$E$15,"",Upgrades!$C$15*POWER(Upgrades!$D$15,G149))</f>
        <v/>
      </c>
      <c r="AN149" s="22">
        <f>IF(H149&gt;=Upgrades!$E$16,"",Upgrades!$C$16*POWER(Upgrades!$D$16,H149))</f>
        <v/>
      </c>
      <c r="AO149" s="22">
        <f>IF(I149&gt;=Upgrades!$E$17,"",Upgrades!$C$17*POWER(Upgrades!$D$17,I149))</f>
        <v/>
      </c>
      <c r="AP149" s="22">
        <f>IF(J149&gt;=Upgrades!$E$18,"",Upgrades!$C$18*POWER(Upgrades!$D$18,J149))</f>
        <v/>
      </c>
      <c r="AQ149" s="22">
        <f>IF(K149&gt;=Upgrades!$E$19,"",Upgrades!$C$19*POWER(Upgrades!$D$19,K149))</f>
        <v/>
      </c>
      <c r="AR149" s="22">
        <f>IF(L149&gt;=Upgrades!$E$20,"",Upgrades!$C$20*POWER(Upgrades!$D$20,L149))</f>
        <v/>
      </c>
      <c r="AS149" s="22">
        <f>IF(M149&gt;=Upgrades!$E$21,"",Upgrades!$C$21*POWER(Upgrades!$D$21,M149))</f>
        <v/>
      </c>
      <c r="AT149" s="26">
        <f>IF(AND(D149&gt;=Parameters!$B$18*Parameters!$B$19,(I149&gt;=Upgrades!$E$17)*(M149&gt;=Upgrades!$E$21)=1,N149=0),1,"")</f>
        <v/>
      </c>
      <c r="AU149" s="26">
        <f>IF(AND(D149&gt;=Parameters!$B$18*Parameters!$B$19,N149=0),1,"")</f>
        <v/>
      </c>
      <c r="AV149" s="22">
        <f>MIN(IF(ISNUMBER(AP149),AP149,9E15),IF(ISNUMBER(AQ149),AQ149,9E15),IF(ISNUMBER(AR149),AR149,9E15),IF(ISNUMBER(AS149),AS149,9E15))</f>
        <v/>
      </c>
      <c r="AW149" s="22">
        <f>MIN(IF(ISNUMBER(AK149),AK149,9E15),IF(ISNUMBER(AL149),AL149,9E15),IF(ISNUMBER(AM149),AM149,9E15),IF(ISNUMBER(AN149),AN149,9E15),IF(ISNUMBER(AO149),AO149,9E15))</f>
        <v/>
      </c>
      <c r="AX149" s="29">
        <f>IF(BD149&gt;Parameters!$B$21*(MAX(IF(AND(NOT(AND(AU149=1,AT149&lt;&gt;1)),ISNUMBER(AK149),AK149&lt;=(C149+T149)),AY149,0),IF(AND(NOT(AND(AU149=1,AT149&lt;&gt;1)),ISNUMBER(AL149),AL149&lt;=(C149+T149)),AZ149,0),IF(AND(NOT(AND(AU149=1,AT149&lt;&gt;1)),ISNUMBER(AM149),AM149&lt;=(C149+T149)),BA149,0),IF(AND(NOT(AND(AU149=1,AT149&lt;&gt;1)),ISNUMBER(AN149),AN149&lt;=(C149+T149)),BB149,0),IF(AND(ISNUMBER(AO149),AO149&lt;=(C149+T149)),BC149,0))),TRUE,FALSE)</f>
        <v/>
      </c>
      <c r="AY149" s="32">
        <f>IFERROR(Upgrades!$H$13*(POWER(Upgrades!$P$13,E149)*POWER(Upgrades!$P$14,F149)*POWER(Upgrades!$P$15,G149)*POWER(Upgrades!$P$16,H149)*POWER(Upgrades!$P$17,I149)*POWER(Upgrades!$P$18,J149)*POWER(Upgrades!$P$19,K149)*POWER(Upgrades!$P$20,L149)*POWER(Upgrades!$P$21,M149))*(IF(Upgrades!$T$14="Stellar Kinematics",POWER(Upgrades!$U$14,F149),1)*IF(Upgrades!$T$15="Stellar Kinematics",POWER(Upgrades!$U$15,G149),1)*IF(Upgrades!$T$16="Stellar Kinematics",POWER(Upgrades!$U$16,H149),1)*IF(Upgrades!$T$17="Stellar Kinematics",POWER(Upgrades!$U$17,I149),1)*IF(Upgrades!$T$18="Stellar Kinematics",POWER(Upgrades!$U$18,J149),1)*IF(Upgrades!$T$19="Stellar Kinematics",POWER(Upgrades!$U$19,K149),1)*IF(Upgrades!$T$20="Stellar Kinematics",POWER(Upgrades!$U$20,L149),1)*IF(Upgrades!$T$21="Stellar Kinematics",POWER(Upgrades!$U$21,M149),1))*$F$6/AK149,0)</f>
        <v/>
      </c>
      <c r="AZ149" s="32">
        <f>IFERROR(Upgrades!$H$14*(POWER(Upgrades!$P$13,E149)*POWER(Upgrades!$P$14,F149)*POWER(Upgrades!$P$15,G149)*POWER(Upgrades!$P$16,H149)*POWER(Upgrades!$P$17,I149)*POWER(Upgrades!$P$18,J149)*POWER(Upgrades!$P$19,K149)*POWER(Upgrades!$P$20,L149)*POWER(Upgrades!$P$21,M149))*(IF(Upgrades!$T$13="Local Bubble",POWER(Upgrades!$U$13,E149),1)*IF(Upgrades!$T$15="Local Bubble",POWER(Upgrades!$U$15,G149),1)*IF(Upgrades!$T$16="Local Bubble",POWER(Upgrades!$U$16,H149),1)*IF(Upgrades!$T$17="Local Bubble",POWER(Upgrades!$U$17,I149),1)*IF(Upgrades!$T$18="Local Bubble",POWER(Upgrades!$U$18,J149),1)*IF(Upgrades!$T$19="Local Bubble",POWER(Upgrades!$U$19,K149),1)*IF(Upgrades!$T$20="Local Bubble",POWER(Upgrades!$U$20,L149),1)*IF(Upgrades!$T$21="Local Bubble",POWER(Upgrades!$U$21,M149),1))*$F$6/AL149,0)</f>
        <v/>
      </c>
      <c r="BA149" s="32">
        <f>IFERROR(Upgrades!$K$15*(POWER(Upgrades!$Q$13,E149)*POWER(Upgrades!$Q$14,F149)*POWER(Upgrades!$Q$15,G149)*POWER(Upgrades!$Q$16,H149)*POWER(Upgrades!$Q$17,I149)*POWER(Upgrades!$Q$18,J149)*POWER(Upgrades!$Q$19,K149)*POWER(Upgrades!$Q$20,L149)*POWER(Upgrades!$Q$21,M149))*(IF(Upgrades!$T$13="Microlensing",POWER(Upgrades!$U$13,E149),1)*IF(Upgrades!$T$14="Microlensing",POWER(Upgrades!$U$14,F149),1)*IF(Upgrades!$T$16="Microlensing",POWER(Upgrades!$U$16,H149),1)*IF(Upgrades!$T$17="Microlensing",POWER(Upgrades!$U$17,I149),1)*IF(Upgrades!$T$18="Microlensing",POWER(Upgrades!$U$18,J149),1)*IF(Upgrades!$T$19="Microlensing",POWER(Upgrades!$U$19,K149),1)*IF(Upgrades!$T$20="Microlensing",POWER(Upgrades!$U$20,L149),1)*IF(Upgrades!$T$21="Microlensing",POWER(Upgrades!$U$21,M149),1))*$G$6*(Parameters!$B$10/60*Parameters!$B$11+Q149)/AM149,0)</f>
        <v/>
      </c>
      <c r="BB149" s="32">
        <f>IFERROR((Upgrades!$N$16*(POWER(Upgrades!$R$13,E149)*POWER(Upgrades!$R$14,F149)*POWER(Upgrades!$R$15,G149)*POWER(Upgrades!$R$16,H149)*POWER(Upgrades!$R$17,I149)*POWER(Upgrades!$R$18,J149)*POWER(Upgrades!$R$19,K149)*POWER(Upgrades!$R$20,L149)*POWER(Upgrades!$R$21,M149))*(IF(Upgrades!$T$13="Roche Lobe Overflow",POWER(Upgrades!$U$13,E149),1)*IF(Upgrades!$T$14="Roche Lobe Overflow",POWER(Upgrades!$U$14,F149),1)*IF(Upgrades!$T$15="Roche Lobe Overflow",POWER(Upgrades!$U$15,G149),1)*IF(Upgrades!$T$17="Roche Lobe Overflow",POWER(Upgrades!$U$17,I149),1)*IF(Upgrades!$T$18="Roche Lobe Overflow",POWER(Upgrades!$U$18,J149),1)*IF(Upgrades!$T$19="Roche Lobe Overflow",POWER(Upgrades!$U$19,K149),1)*IF(Upgrades!$T$20="Roche Lobe Overflow",POWER(Upgrades!$U$20,L149),1)*IF(Upgrades!$T$21="Roche Lobe Overflow",POWER(Upgrades!$U$21,M149),1))*$H$6*O149+((IF(F149=0,0,(Upgrades!$G$14+F149*Upgrades!$H$14)*POWER(Upgrades!$I$14,F149)))*(IF(Upgrades!$T$13="Local Bubble",POWER(Upgrades!$U$13,E149),1)*IF(Upgrades!$T$15="Local Bubble",POWER(Upgrades!$U$15,G149),1)*IF(Upgrades!$T$16="Local Bubble",POWER(Upgrades!$U$16,H149),1)*IF(Upgrades!$T$17="Local Bubble",POWER(Upgrades!$U$17,I149),1)*IF(Upgrades!$T$18="Local Bubble",POWER(Upgrades!$U$18,J149),1)*IF(Upgrades!$T$19="Local Bubble",POWER(Upgrades!$U$19,K149),1)*IF(Upgrades!$T$20="Local Bubble",POWER(Upgrades!$U$20,L149),1)*IF(Upgrades!$T$21="Local Bubble",POWER(Upgrades!$U$21,M149),1))*POWER(Upgrades!$P$13,E149)*POWER(Upgrades!$P$14,F149)*POWER(Upgrades!$P$15,G149)*POWER(Upgrades!$P$16,H149)*POWER(Upgrades!$P$17,I149)*POWER(Upgrades!$P$18,J149)*POWER(Upgrades!$P$19,K149)*POWER(Upgrades!$P$20,L149)*POWER(Upgrades!$P$21,M149)*$F$6)*0.05)/AN149,0)</f>
        <v/>
      </c>
      <c r="BC149" s="32">
        <f>IFERROR((Upgrades!$H$17*(POWER(Upgrades!$P$13,E149)*POWER(Upgrades!$P$14,F149)*POWER(Upgrades!$P$15,G149)*POWER(Upgrades!$P$16,H149)*POWER(Upgrades!$P$17,I149)*POWER(Upgrades!$P$18,J149)*POWER(Upgrades!$P$19,K149)*POWER(Upgrades!$P$20,L149)*POWER(Upgrades!$P$21,M149))*(IF(Upgrades!$T$13="Brown Dwarf",POWER(Upgrades!$U$13,E149),1)*IF(Upgrades!$T$14="Brown Dwarf",POWER(Upgrades!$U$14,F149),1)*IF(Upgrades!$T$15="Brown Dwarf",POWER(Upgrades!$U$15,G149),1)*IF(Upgrades!$T$16="Brown Dwarf",POWER(Upgrades!$U$16,H149),1)*IF(Upgrades!$T$18="Brown Dwarf",POWER(Upgrades!$U$18,J149),1)*IF(Upgrades!$T$19="Brown Dwarf",POWER(Upgrades!$U$19,K149),1)*IF(Upgrades!$T$20="Brown Dwarf",POWER(Upgrades!$U$20,L149),1)*IF(Upgrades!$T$21="Brown Dwarf",POWER(Upgrades!$U$21,M149),1))*$F$6+(((IF(H149=0,0,(Upgrades!$M$16+H149*Upgrades!$N$16)*POWER(Upgrades!$O$16,H149)))*(IF(Upgrades!$T$13="Roche Lobe Overflow",POWER(Upgrades!$U$13,E149),1)*IF(Upgrades!$T$14="Roche Lobe Overflow",POWER(Upgrades!$U$14,F149),1)*IF(Upgrades!$T$15="Roche Lobe Overflow",POWER(Upgrades!$U$15,G149),1)*IF(Upgrades!$T$17="Roche Lobe Overflow",POWER(Upgrades!$U$17,I149),1)*IF(Upgrades!$T$18="Roche Lobe Overflow",POWER(Upgrades!$U$18,J149),1)*IF(Upgrades!$T$19="Roche Lobe Overflow",POWER(Upgrades!$U$19,K149),1)*IF(Upgrades!$T$20="Roche Lobe Overflow",POWER(Upgrades!$U$20,L149),1)*IF(Upgrades!$T$21="Roche Lobe Overflow",POWER(Upgrades!$U$21,M149),1))*POWER(Upgrades!$R$13,E149)*POWER(Upgrades!$R$14,F149)*POWER(Upgrades!$R$15,G149)*POWER(Upgrades!$R$16,H149)*POWER(Upgrades!$R$17,I149)*POWER(Upgrades!$R$18,J149)*POWER(Upgrades!$R$19,K149)*POWER(Upgrades!$R$20,L149)*POWER(Upgrades!$R$21,M149)*$H$6)*O149)*0.10)/AO149,0)</f>
        <v/>
      </c>
      <c r="BD149" s="32">
        <f>MAX(IF(J149&gt;0,0,IFERROR(0.5*((IF(G149=0,0,(Upgrades!$J$15+G149*Upgrades!$K$15)*POWER(Upgrades!$L$15,G149)))*(IF(Upgrades!$T$13="Microlensing",POWER(Upgrades!$U$13,E149),1)*IF(Upgrades!$T$14="Microlensing",POWER(Upgrades!$U$14,F149),1)*IF(Upgrades!$T$16="Microlensing",POWER(Upgrades!$U$16,H149),1)*IF(Upgrades!$T$17="Microlensing",POWER(Upgrades!$U$17,I149),1)*IF(Upgrades!$T$18="Microlensing",POWER(Upgrades!$U$18,J149),1)*IF(Upgrades!$T$19="Microlensing",POWER(Upgrades!$U$19,K149),1)*IF(Upgrades!$T$20="Microlensing",POWER(Upgrades!$U$20,L149),1)*IF(Upgrades!$T$21="Microlensing",POWER(Upgrades!$U$21,M149),1))*(POWER(Upgrades!$Q$13,E149)*POWER(Upgrades!$Q$14,F149)*POWER(Upgrades!$Q$15,G149)*POWER(Upgrades!$Q$16,H149)*POWER(Upgrades!$Q$17,I149)*POWER(Upgrades!$Q$18,J149)*POWER(Upgrades!$Q$19,K149)*POWER(Upgrades!$Q$20,L149)*POWER(Upgrades!$Q$21,M149))*$G$6*(Parameters!$B$10/60*Parameters!$B$11+Q149))/Upgrades!$C$18,0)),IF(K149&gt;0,0,IFERROR(0.30*P149/Upgrades!$C$19,0)),IF(L149&gt;0,0,IFERROR(0.0001/Upgrades!$C$20,0)),IF(M149&gt;0,0,IFERROR((6.0*(POWER(Upgrades!$P$13,E149)*POWER(Upgrades!$P$14,F149)*POWER(Upgrades!$P$15,G149)*POWER(Upgrades!$P$16,H149)*POWER(Upgrades!$P$17,I149)*POWER(Upgrades!$P$18,J149)*POWER(Upgrades!$P$19,K149)*POWER(Upgrades!$P$20,L149)*POWER(Upgrades!$P$21,M149))*$F$6+0.20*O149*(Parameters!$B$10/60*Parameters!$B$11+Q149))/Upgrades!$C$21,0)),IF(AND(ISNUMBER(AK149),AK149&gt;(C149+T149)),AY149,0),IF(AND(ISNUMBER(AL149),AL149&gt;(C149+T149)),AZ149,0),IF(AND(ISNUMBER(AM149),AM149&gt;(C149+T149)),BA149,0),IF(AND(ISNUMBER(AN149),AN149&gt;(C149+T149)),BB149,0),IF(AND(ISNUMBER(AO149),AO149&gt;(C149+T149)),BC149,0))</f>
        <v/>
      </c>
      <c r="BE149" s="29">
        <f>IF(AT149=1,"transition",IF(MIN(IF(AND(J149=0,ISNUMBER(AP149),AP149&lt;=(C149+T149)),AP149,9E15),IF(AND(K149=0,ISNUMBER(AQ149),AQ149&lt;=(C149+T149)),AQ149,9E15),IF(AND(L149=0,ISNUMBER(AR149),AR149&lt;=(C149+T149)),AR149,9E15),IF(AND(M149=0,ISNUMBER(AS149),AS149&lt;=(C149+T149)),AS149,9E15))&lt;9E15,IF(AND(AND(J149=0,ISNUMBER(AP149),AP149&lt;=(C149+T149)),AP149=MIN(IF(AND(J149=0,ISNUMBER(AP149),AP149&lt;=(C149+T149)),AP149,9E15),IF(AND(K149=0,ISNUMBER(AQ149),AQ149&lt;=(C149+T149)),AQ149,9E15),IF(AND(L149=0,ISNUMBER(AR149),AR149&lt;=(C149+T149)),AR149,9E15),IF(AND(M149=0,ISNUMBER(AS149),AS149&lt;=(C149+T149)),AS149,9E15))),"BiP",IF(AND(AND(K149=0,ISNUMBER(AQ149),AQ149&lt;=(C149+T149)),AQ149=MIN(IF(AND(J149=0,ISNUMBER(AP149),AP149&lt;=(C149+T149)),AP149,9E15),IF(AND(K149=0,ISNUMBER(AQ149),AQ149&lt;=(C149+T149)),AQ149,9E15),IF(AND(L149=0,ISNUMBER(AR149),AR149&lt;=(C149+T149)),AR149,9E15),IF(AND(M149=0,ISNUMBER(AS149),AS149&lt;=(C149+T149)),AS149,9E15))),"PV",IF(AND(AND(L149=0,ISNUMBER(AR149),AR149&lt;=(C149+T149)),AR149=MIN(IF(AND(J149=0,ISNUMBER(AP149),AP149&lt;=(C149+T149)),AP149,9E15),IF(AND(K149=0,ISNUMBER(AQ149),AQ149&lt;=(C149+T149)),AQ149,9E15),IF(AND(L149=0,ISNUMBER(AR149),AR149&lt;=(C149+T149)),AR149,9E15),IF(AND(M149=0,ISNUMBER(AS149),AS149&lt;=(C149+T149)),AS149,9E15))),"OC","MG"))),IF(AX149=TRUE,"",IF(MAX(IF(AND(NOT(AND(AU149=1,AT149&lt;&gt;1)),ISNUMBER(AK149),AK149&lt;=(C149+T149)),AY149,0),IF(AND(NOT(AND(AU149=1,AT149&lt;&gt;1)),ISNUMBER(AL149),AL149&lt;=(C149+T149)),AZ149,0),IF(AND(NOT(AND(AU149=1,AT149&lt;&gt;1)),ISNUMBER(AM149),AM149&lt;=(C149+T149)),BA149,0),IF(AND(NOT(AND(AU149=1,AT149&lt;&gt;1)),ISNUMBER(AN149),AN149&lt;=(C149+T149)),BB149,0),IF(AND(ISNUMBER(AO149),AO149&lt;=(C149+T149)),BC149,0))&lt;=0,"",IF(AND(IF(AND(NOT(AND(AU149=1,AT149&lt;&gt;1)),ISNUMBER(AK149),AK149&lt;=(C149+T149)),AY149,0)&gt;0,IF(AND(NOT(AND(AU149=1,AT149&lt;&gt;1)),ISNUMBER(AK149),AK149&lt;=(C149+T149)),AY149,0)=MAX(IF(AND(NOT(AND(AU149=1,AT149&lt;&gt;1)),ISNUMBER(AK149),AK149&lt;=(C149+T149)),AY149,0),IF(AND(NOT(AND(AU149=1,AT149&lt;&gt;1)),ISNUMBER(AL149),AL149&lt;=(C149+T149)),AZ149,0),IF(AND(NOT(AND(AU149=1,AT149&lt;&gt;1)),ISNUMBER(AM149),AM149&lt;=(C149+T149)),BA149,0),IF(AND(NOT(AND(AU149=1,AT149&lt;&gt;1)),ISNUMBER(AN149),AN149&lt;=(C149+T149)),BB149,0),IF(AND(ISNUMBER(AO149),AO149&lt;=(C149+T149)),BC149,0))),"SK",IF(AND(IF(AND(NOT(AND(AU149=1,AT149&lt;&gt;1)),ISNUMBER(AL149),AL149&lt;=(C149+T149)),AZ149,0)&gt;0,IF(AND(NOT(AND(AU149=1,AT149&lt;&gt;1)),ISNUMBER(AL149),AL149&lt;=(C149+T149)),AZ149,0)=MAX(IF(AND(NOT(AND(AU149=1,AT149&lt;&gt;1)),ISNUMBER(AK149),AK149&lt;=(C149+T149)),AY149,0),IF(AND(NOT(AND(AU149=1,AT149&lt;&gt;1)),ISNUMBER(AL149),AL149&lt;=(C149+T149)),AZ149,0),IF(AND(NOT(AND(AU149=1,AT149&lt;&gt;1)),ISNUMBER(AM149),AM149&lt;=(C149+T149)),BA149,0),IF(AND(NOT(AND(AU149=1,AT149&lt;&gt;1)),ISNUMBER(AN149),AN149&lt;=(C149+T149)),BB149,0),IF(AND(ISNUMBER(AO149),AO149&lt;=(C149+T149)),BC149,0))),"LB",IF(AND(IF(AND(NOT(AND(AU149=1,AT149&lt;&gt;1)),ISNUMBER(AM149),AM149&lt;=(C149+T149)),BA149,0)&gt;0,IF(AND(NOT(AND(AU149=1,AT149&lt;&gt;1)),ISNUMBER(AM149),AM149&lt;=(C149+T149)),BA149,0)=MAX(IF(AND(NOT(AND(AU149=1,AT149&lt;&gt;1)),ISNUMBER(AK149),AK149&lt;=(C149+T149)),AY149,0),IF(AND(NOT(AND(AU149=1,AT149&lt;&gt;1)),ISNUMBER(AL149),AL149&lt;=(C149+T149)),AZ149,0),IF(AND(NOT(AND(AU149=1,AT149&lt;&gt;1)),ISNUMBER(AM149),AM149&lt;=(C149+T149)),BA149,0),IF(AND(NOT(AND(AU149=1,AT149&lt;&gt;1)),ISNUMBER(AN149),AN149&lt;=(C149+T149)),BB149,0),IF(AND(ISNUMBER(AO149),AO149&lt;=(C149+T149)),BC149,0))),"ML",IF(AND(IF(AND(NOT(AND(AU149=1,AT149&lt;&gt;1)),ISNUMBER(AN149),AN149&lt;=(C149+T149)),BB149,0)&gt;0,IF(AND(NOT(AND(AU149=1,AT149&lt;&gt;1)),ISNUMBER(AN149),AN149&lt;=(C149+T149)),BB149,0)=MAX(IF(AND(NOT(AND(AU149=1,AT149&lt;&gt;1)),ISNUMBER(AK149),AK149&lt;=(C149+T149)),AY149,0),IF(AND(NOT(AND(AU149=1,AT149&lt;&gt;1)),ISNUMBER(AL149),AL149&lt;=(C149+T149)),AZ149,0),IF(AND(NOT(AND(AU149=1,AT149&lt;&gt;1)),ISNUMBER(AM149),AM149&lt;=(C149+T149)),BA149,0),IF(AND(NOT(AND(AU149=1,AT149&lt;&gt;1)),ISNUMBER(AN149),AN149&lt;=(C149+T149)),BB149,0),IF(AND(ISNUMBER(AO149),AO149&lt;=(C149+T149)),BC149,0))),"RLO","BD"))))))))</f>
        <v/>
      </c>
    </row>
    <row r="150">
      <c r="A150" s="26" t="n">
        <v>139</v>
      </c>
      <c r="B150" s="27">
        <f>A150*10/60</f>
        <v/>
      </c>
      <c r="C150" s="22">
        <f>X149</f>
        <v/>
      </c>
      <c r="D150" s="27">
        <f>D149+W149</f>
        <v/>
      </c>
      <c r="E150" s="26">
        <f>E149+IF(U149="SK",1,0)</f>
        <v/>
      </c>
      <c r="F150" s="26">
        <f>F149+IF(U149="LB",1,0)</f>
        <v/>
      </c>
      <c r="G150" s="26">
        <f>G149+IF(U149="ML",1,0)</f>
        <v/>
      </c>
      <c r="H150" s="26">
        <f>H149+IF(U149="RLO",1,0)</f>
        <v/>
      </c>
      <c r="I150" s="26">
        <f>I149+IF(U149="BD",1,0)</f>
        <v/>
      </c>
      <c r="J150" s="26">
        <f>MAX(J149,IF(U149="BiP",1,0))</f>
        <v/>
      </c>
      <c r="K150" s="26">
        <f>MAX(K149,IF(U149="PV",1,0))</f>
        <v/>
      </c>
      <c r="L150" s="26">
        <f>MAX(L149,IF(U149="OC",1,0))</f>
        <v/>
      </c>
      <c r="M150" s="26">
        <f>MAX(M149,IF(U149="MG",1,0))</f>
        <v/>
      </c>
      <c r="N150" s="26">
        <f>MAX(N149,IF(U149="transition",1,0))</f>
        <v/>
      </c>
      <c r="O150" s="28">
        <f>(Parameters!$B$9+(IF(E150=0,0,(Upgrades!$J$13+E150*Upgrades!$K$13)*POWER(Upgrades!$L$13,E150)))*(IF(Upgrades!$T$14="Stellar Kinematics",POWER(Upgrades!$U$14,F150),1)*IF(Upgrades!$T$15="Stellar Kinematics",POWER(Upgrades!$U$15,G150),1)*IF(Upgrades!$T$16="Stellar Kinematics",POWER(Upgrades!$U$16,H150),1)*IF(Upgrades!$T$17="Stellar Kinematics",POWER(Upgrades!$U$17,I150),1)*IF(Upgrades!$T$18="Stellar Kinematics",POWER(Upgrades!$U$18,J150),1)*IF(Upgrades!$T$19="Stellar Kinematics",POWER(Upgrades!$U$19,K150),1)*IF(Upgrades!$T$20="Stellar Kinematics",POWER(Upgrades!$U$20,L150),1)*IF(Upgrades!$T$21="Stellar Kinematics",POWER(Upgrades!$U$21,M150),1))+(IF(F150=0,0,(Upgrades!$J$14+F150*Upgrades!$K$14)*POWER(Upgrades!$L$14,F150)))*(IF(Upgrades!$T$13="Local Bubble",POWER(Upgrades!$U$13,E150),1)*IF(Upgrades!$T$15="Local Bubble",POWER(Upgrades!$U$15,G150),1)*IF(Upgrades!$T$16="Local Bubble",POWER(Upgrades!$U$16,H150),1)*IF(Upgrades!$T$17="Local Bubble",POWER(Upgrades!$U$17,I150),1)*IF(Upgrades!$T$18="Local Bubble",POWER(Upgrades!$U$18,J150),1)*IF(Upgrades!$T$19="Local Bubble",POWER(Upgrades!$U$19,K150),1)*IF(Upgrades!$T$20="Local Bubble",POWER(Upgrades!$U$20,L150),1)*IF(Upgrades!$T$21="Local Bubble",POWER(Upgrades!$U$21,M150),1))+(IF(G150=0,0,(Upgrades!$J$15+G150*Upgrades!$K$15)*POWER(Upgrades!$L$15,G150)))*(IF(Upgrades!$T$13="Microlensing",POWER(Upgrades!$U$13,E150),1)*IF(Upgrades!$T$14="Microlensing",POWER(Upgrades!$U$14,F150),1)*IF(Upgrades!$T$16="Microlensing",POWER(Upgrades!$U$16,H150),1)*IF(Upgrades!$T$17="Microlensing",POWER(Upgrades!$U$17,I150),1)*IF(Upgrades!$T$18="Microlensing",POWER(Upgrades!$U$18,J150),1)*IF(Upgrades!$T$19="Microlensing",POWER(Upgrades!$U$19,K150),1)*IF(Upgrades!$T$20="Microlensing",POWER(Upgrades!$U$20,L150),1)*IF(Upgrades!$T$21="Microlensing",POWER(Upgrades!$U$21,M150),1))+(IF(H150=0,0,(Upgrades!$J$16+H150*Upgrades!$K$16)*POWER(Upgrades!$L$16,H150)))*(IF(Upgrades!$T$13="Roche Lobe Overflow",POWER(Upgrades!$U$13,E150),1)*IF(Upgrades!$T$14="Roche Lobe Overflow",POWER(Upgrades!$U$14,F150),1)*IF(Upgrades!$T$15="Roche Lobe Overflow",POWER(Upgrades!$U$15,G150),1)*IF(Upgrades!$T$17="Roche Lobe Overflow",POWER(Upgrades!$U$17,I150),1)*IF(Upgrades!$T$18="Roche Lobe Overflow",POWER(Upgrades!$U$18,J150),1)*IF(Upgrades!$T$19="Roche Lobe Overflow",POWER(Upgrades!$U$19,K150),1)*IF(Upgrades!$T$20="Roche Lobe Overflow",POWER(Upgrades!$U$20,L150),1)*IF(Upgrades!$T$21="Roche Lobe Overflow",POWER(Upgrades!$U$21,M150),1))+(IF(I150=0,0,(Upgrades!$J$17+I150*Upgrades!$K$17)*POWER(Upgrades!$L$17,I150)))*(IF(Upgrades!$T$13="Brown Dwarf",POWER(Upgrades!$U$13,E150),1)*IF(Upgrades!$T$14="Brown Dwarf",POWER(Upgrades!$U$14,F150),1)*IF(Upgrades!$T$15="Brown Dwarf",POWER(Upgrades!$U$15,G150),1)*IF(Upgrades!$T$16="Brown Dwarf",POWER(Upgrades!$U$16,H150),1)*IF(Upgrades!$T$18="Brown Dwarf",POWER(Upgrades!$U$18,J150),1)*IF(Upgrades!$T$19="Brown Dwarf",POWER(Upgrades!$U$19,K150),1)*IF(Upgrades!$T$20="Brown Dwarf",POWER(Upgrades!$U$20,L150),1)*IF(Upgrades!$T$21="Brown Dwarf",POWER(Upgrades!$U$21,M150),1))+(IF(J150=0,0,(Upgrades!$J$18+J150*Upgrades!$K$18)*POWER(Upgrades!$L$18,J150)))*(IF(Upgrades!$T$13="Binary Partner",POWER(Upgrades!$U$13,E150),1)*IF(Upgrades!$T$14="Binary Partner",POWER(Upgrades!$U$14,F150),1)*IF(Upgrades!$T$15="Binary Partner",POWER(Upgrades!$U$15,G150),1)*IF(Upgrades!$T$16="Binary Partner",POWER(Upgrades!$U$16,H150),1)*IF(Upgrades!$T$17="Binary Partner",POWER(Upgrades!$U$17,I150),1)*IF(Upgrades!$T$19="Binary Partner",POWER(Upgrades!$U$19,K150),1)*IF(Upgrades!$T$20="Binary Partner",POWER(Upgrades!$U$20,L150),1)*IF(Upgrades!$T$21="Binary Partner",POWER(Upgrades!$U$21,M150),1))+(IF(K150=0,0,(Upgrades!$J$19+K150*Upgrades!$K$19)*POWER(Upgrades!$L$19,K150)))*(IF(Upgrades!$T$13="Peculiar Velocity",POWER(Upgrades!$U$13,E150),1)*IF(Upgrades!$T$14="Peculiar Velocity",POWER(Upgrades!$U$14,F150),1)*IF(Upgrades!$T$15="Peculiar Velocity",POWER(Upgrades!$U$15,G150),1)*IF(Upgrades!$T$16="Peculiar Velocity",POWER(Upgrades!$U$16,H150),1)*IF(Upgrades!$T$17="Peculiar Velocity",POWER(Upgrades!$U$17,I150),1)*IF(Upgrades!$T$18="Peculiar Velocity",POWER(Upgrades!$U$18,J150),1)*IF(Upgrades!$T$20="Peculiar Velocity",POWER(Upgrades!$U$20,L150),1)*IF(Upgrades!$T$21="Peculiar Velocity",POWER(Upgrades!$U$21,M150),1))+(IF(L150=0,0,(Upgrades!$J$20+L150*Upgrades!$K$20)*POWER(Upgrades!$L$20,L150)))*(IF(Upgrades!$T$13="Open Cluster",POWER(Upgrades!$U$13,E150),1)*IF(Upgrades!$T$14="Open Cluster",POWER(Upgrades!$U$14,F150),1)*IF(Upgrades!$T$15="Open Cluster",POWER(Upgrades!$U$15,G150),1)*IF(Upgrades!$T$16="Open Cluster",POWER(Upgrades!$U$16,H150),1)*IF(Upgrades!$T$17="Open Cluster",POWER(Upgrades!$U$17,I150),1)*IF(Upgrades!$T$18="Open Cluster",POWER(Upgrades!$U$18,J150),1)*IF(Upgrades!$T$19="Open Cluster",POWER(Upgrades!$U$19,K150),1)*IF(Upgrades!$T$21="Open Cluster",POWER(Upgrades!$U$21,M150),1))+(IF(M150=0,0,(Upgrades!$J$21+M150*Upgrades!$K$21)*POWER(Upgrades!$L$21,M150)))*(IF(Upgrades!$T$13="Moving Group",POWER(Upgrades!$U$13,E150),1)*IF(Upgrades!$T$14="Moving Group",POWER(Upgrades!$U$14,F150),1)*IF(Upgrades!$T$15="Moving Group",POWER(Upgrades!$U$15,G150),1)*IF(Upgrades!$T$16="Moving Group",POWER(Upgrades!$U$16,H150),1)*IF(Upgrades!$T$17="Moving Group",POWER(Upgrades!$U$17,I150),1)*IF(Upgrades!$T$18="Moving Group",POWER(Upgrades!$U$18,J150),1)*IF(Upgrades!$T$19="Moving Group",POWER(Upgrades!$U$19,K150),1)*IF(Upgrades!$T$20="Moving Group",POWER(Upgrades!$U$20,L150),1)))*POWER(Upgrades!$Q$13,E150)*POWER(Upgrades!$Q$14,F150)*POWER(Upgrades!$Q$15,G150)*POWER(Upgrades!$Q$16,H150)*POWER(Upgrades!$Q$17,I150)*POWER(Upgrades!$Q$18,J150)*POWER(Upgrades!$Q$19,K150)*POWER(Upgrades!$Q$20,L150)*POWER(Upgrades!$Q$21,M150)*$G$6+$D$6</f>
        <v/>
      </c>
      <c r="P150" s="28">
        <f>((IF(E150=0,0,(Upgrades!$G$13+E150*Upgrades!$H$13)*POWER(Upgrades!$I$13,E150)))*(IF(Upgrades!$T$14="Stellar Kinematics",POWER(Upgrades!$U$14,F150),1)*IF(Upgrades!$T$15="Stellar Kinematics",POWER(Upgrades!$U$15,G150),1)*IF(Upgrades!$T$16="Stellar Kinematics",POWER(Upgrades!$U$16,H150),1)*IF(Upgrades!$T$17="Stellar Kinematics",POWER(Upgrades!$U$17,I150),1)*IF(Upgrades!$T$18="Stellar Kinematics",POWER(Upgrades!$U$18,J150),1)*IF(Upgrades!$T$19="Stellar Kinematics",POWER(Upgrades!$U$19,K150),1)*IF(Upgrades!$T$20="Stellar Kinematics",POWER(Upgrades!$U$20,L150),1)*IF(Upgrades!$T$21="Stellar Kinematics",POWER(Upgrades!$U$21,M150),1))+(IF(F150=0,0,(Upgrades!$G$14+F150*Upgrades!$H$14)*POWER(Upgrades!$I$14,F150)))*(IF(Upgrades!$T$13="Local Bubble",POWER(Upgrades!$U$13,E150),1)*IF(Upgrades!$T$15="Local Bubble",POWER(Upgrades!$U$15,G150),1)*IF(Upgrades!$T$16="Local Bubble",POWER(Upgrades!$U$16,H150),1)*IF(Upgrades!$T$17="Local Bubble",POWER(Upgrades!$U$17,I150),1)*IF(Upgrades!$T$18="Local Bubble",POWER(Upgrades!$U$18,J150),1)*IF(Upgrades!$T$19="Local Bubble",POWER(Upgrades!$U$19,K150),1)*IF(Upgrades!$T$20="Local Bubble",POWER(Upgrades!$U$20,L150),1)*IF(Upgrades!$T$21="Local Bubble",POWER(Upgrades!$U$21,M150),1))+(IF(G150=0,0,(Upgrades!$G$15+G150*Upgrades!$H$15)*POWER(Upgrades!$I$15,G150)))*(IF(Upgrades!$T$13="Microlensing",POWER(Upgrades!$U$13,E150),1)*IF(Upgrades!$T$14="Microlensing",POWER(Upgrades!$U$14,F150),1)*IF(Upgrades!$T$16="Microlensing",POWER(Upgrades!$U$16,H150),1)*IF(Upgrades!$T$17="Microlensing",POWER(Upgrades!$U$17,I150),1)*IF(Upgrades!$T$18="Microlensing",POWER(Upgrades!$U$18,J150),1)*IF(Upgrades!$T$19="Microlensing",POWER(Upgrades!$U$19,K150),1)*IF(Upgrades!$T$20="Microlensing",POWER(Upgrades!$U$20,L150),1)*IF(Upgrades!$T$21="Microlensing",POWER(Upgrades!$U$21,M150),1))+(IF(H150=0,0,(Upgrades!$G$16+H150*Upgrades!$H$16)*POWER(Upgrades!$I$16,H150)))*(IF(Upgrades!$T$13="Roche Lobe Overflow",POWER(Upgrades!$U$13,E150),1)*IF(Upgrades!$T$14="Roche Lobe Overflow",POWER(Upgrades!$U$14,F150),1)*IF(Upgrades!$T$15="Roche Lobe Overflow",POWER(Upgrades!$U$15,G150),1)*IF(Upgrades!$T$17="Roche Lobe Overflow",POWER(Upgrades!$U$17,I150),1)*IF(Upgrades!$T$18="Roche Lobe Overflow",POWER(Upgrades!$U$18,J150),1)*IF(Upgrades!$T$19="Roche Lobe Overflow",POWER(Upgrades!$U$19,K150),1)*IF(Upgrades!$T$20="Roche Lobe Overflow",POWER(Upgrades!$U$20,L150),1)*IF(Upgrades!$T$21="Roche Lobe Overflow",POWER(Upgrades!$U$21,M150),1))+(IF(I150=0,0,(Upgrades!$G$17+I150*Upgrades!$H$17)*POWER(Upgrades!$I$17,I150)))*(IF(Upgrades!$T$13="Brown Dwarf",POWER(Upgrades!$U$13,E150),1)*IF(Upgrades!$T$14="Brown Dwarf",POWER(Upgrades!$U$14,F150),1)*IF(Upgrades!$T$15="Brown Dwarf",POWER(Upgrades!$U$15,G150),1)*IF(Upgrades!$T$16="Brown Dwarf",POWER(Upgrades!$U$16,H150),1)*IF(Upgrades!$T$18="Brown Dwarf",POWER(Upgrades!$U$18,J150),1)*IF(Upgrades!$T$19="Brown Dwarf",POWER(Upgrades!$U$19,K150),1)*IF(Upgrades!$T$20="Brown Dwarf",POWER(Upgrades!$U$20,L150),1)*IF(Upgrades!$T$21="Brown Dwarf",POWER(Upgrades!$U$21,M150),1))+(IF(J150=0,0,(Upgrades!$G$18+J150*Upgrades!$H$18)*POWER(Upgrades!$I$18,J150)))*(IF(Upgrades!$T$13="Binary Partner",POWER(Upgrades!$U$13,E150),1)*IF(Upgrades!$T$14="Binary Partner",POWER(Upgrades!$U$14,F150),1)*IF(Upgrades!$T$15="Binary Partner",POWER(Upgrades!$U$15,G150),1)*IF(Upgrades!$T$16="Binary Partner",POWER(Upgrades!$U$16,H150),1)*IF(Upgrades!$T$17="Binary Partner",POWER(Upgrades!$U$17,I150),1)*IF(Upgrades!$T$19="Binary Partner",POWER(Upgrades!$U$19,K150),1)*IF(Upgrades!$T$20="Binary Partner",POWER(Upgrades!$U$20,L150),1)*IF(Upgrades!$T$21="Binary Partner",POWER(Upgrades!$U$21,M150),1))+(IF(K150=0,0,(Upgrades!$G$19+K150*Upgrades!$H$19)*POWER(Upgrades!$I$19,K150)))*(IF(Upgrades!$T$13="Peculiar Velocity",POWER(Upgrades!$U$13,E150),1)*IF(Upgrades!$T$14="Peculiar Velocity",POWER(Upgrades!$U$14,F150),1)*IF(Upgrades!$T$15="Peculiar Velocity",POWER(Upgrades!$U$15,G150),1)*IF(Upgrades!$T$16="Peculiar Velocity",POWER(Upgrades!$U$16,H150),1)*IF(Upgrades!$T$17="Peculiar Velocity",POWER(Upgrades!$U$17,I150),1)*IF(Upgrades!$T$18="Peculiar Velocity",POWER(Upgrades!$U$18,J150),1)*IF(Upgrades!$T$20="Peculiar Velocity",POWER(Upgrades!$U$20,L150),1)*IF(Upgrades!$T$21="Peculiar Velocity",POWER(Upgrades!$U$21,M150),1))+(IF(L150=0,0,(Upgrades!$G$20+L150*Upgrades!$H$20)*POWER(Upgrades!$I$20,L150)))*(IF(Upgrades!$T$13="Open Cluster",POWER(Upgrades!$U$13,E150),1)*IF(Upgrades!$T$14="Open Cluster",POWER(Upgrades!$U$14,F150),1)*IF(Upgrades!$T$15="Open Cluster",POWER(Upgrades!$U$15,G150),1)*IF(Upgrades!$T$16="Open Cluster",POWER(Upgrades!$U$16,H150),1)*IF(Upgrades!$T$17="Open Cluster",POWER(Upgrades!$U$17,I150),1)*IF(Upgrades!$T$18="Open Cluster",POWER(Upgrades!$U$18,J150),1)*IF(Upgrades!$T$19="Open Cluster",POWER(Upgrades!$U$19,K150),1)*IF(Upgrades!$T$21="Open Cluster",POWER(Upgrades!$U$21,M150),1))+(IF(M150=0,0,(Upgrades!$G$21+M150*Upgrades!$H$21)*POWER(Upgrades!$I$21,M150)))*(IF(Upgrades!$T$13="Moving Group",POWER(Upgrades!$U$13,E150),1)*IF(Upgrades!$T$14="Moving Group",POWER(Upgrades!$U$14,F150),1)*IF(Upgrades!$T$15="Moving Group",POWER(Upgrades!$U$15,G150),1)*IF(Upgrades!$T$16="Moving Group",POWER(Upgrades!$U$16,H150),1)*IF(Upgrades!$T$17="Moving Group",POWER(Upgrades!$U$17,I150),1)*IF(Upgrades!$T$18="Moving Group",POWER(Upgrades!$U$18,J150),1)*IF(Upgrades!$T$19="Moving Group",POWER(Upgrades!$U$19,K150),1)*IF(Upgrades!$T$20="Moving Group",POWER(Upgrades!$U$20,L150),1)))*POWER(Upgrades!$P$13,E150)*POWER(Upgrades!$P$14,F150)*POWER(Upgrades!$P$15,G150)*POWER(Upgrades!$P$16,H150)*POWER(Upgrades!$P$17,I150)*POWER(Upgrades!$P$18,J150)*POWER(Upgrades!$P$19,K150)*POWER(Upgrades!$P$20,L150)*POWER(Upgrades!$P$21,M150)*$F$6+$C$6</f>
        <v/>
      </c>
      <c r="Q150" s="28">
        <f>((IF(E150=0,0,(Upgrades!$M$13+E150*Upgrades!$N$13)*POWER(Upgrades!$O$13,E150)))*(IF(Upgrades!$T$14="Stellar Kinematics",POWER(Upgrades!$U$14,F150),1)*IF(Upgrades!$T$15="Stellar Kinematics",POWER(Upgrades!$U$15,G150),1)*IF(Upgrades!$T$16="Stellar Kinematics",POWER(Upgrades!$U$16,H150),1)*IF(Upgrades!$T$17="Stellar Kinematics",POWER(Upgrades!$U$17,I150),1)*IF(Upgrades!$T$18="Stellar Kinematics",POWER(Upgrades!$U$18,J150),1)*IF(Upgrades!$T$19="Stellar Kinematics",POWER(Upgrades!$U$19,K150),1)*IF(Upgrades!$T$20="Stellar Kinematics",POWER(Upgrades!$U$20,L150),1)*IF(Upgrades!$T$21="Stellar Kinematics",POWER(Upgrades!$U$21,M150),1))+(IF(F150=0,0,(Upgrades!$M$14+F150*Upgrades!$N$14)*POWER(Upgrades!$O$14,F150)))*(IF(Upgrades!$T$13="Local Bubble",POWER(Upgrades!$U$13,E150),1)*IF(Upgrades!$T$15="Local Bubble",POWER(Upgrades!$U$15,G150),1)*IF(Upgrades!$T$16="Local Bubble",POWER(Upgrades!$U$16,H150),1)*IF(Upgrades!$T$17="Local Bubble",POWER(Upgrades!$U$17,I150),1)*IF(Upgrades!$T$18="Local Bubble",POWER(Upgrades!$U$18,J150),1)*IF(Upgrades!$T$19="Local Bubble",POWER(Upgrades!$U$19,K150),1)*IF(Upgrades!$T$20="Local Bubble",POWER(Upgrades!$U$20,L150),1)*IF(Upgrades!$T$21="Local Bubble",POWER(Upgrades!$U$21,M150),1))+(IF(G150=0,0,(Upgrades!$M$15+G150*Upgrades!$N$15)*POWER(Upgrades!$O$15,G150)))*(IF(Upgrades!$T$13="Microlensing",POWER(Upgrades!$U$13,E150),1)*IF(Upgrades!$T$14="Microlensing",POWER(Upgrades!$U$14,F150),1)*IF(Upgrades!$T$16="Microlensing",POWER(Upgrades!$U$16,H150),1)*IF(Upgrades!$T$17="Microlensing",POWER(Upgrades!$U$17,I150),1)*IF(Upgrades!$T$18="Microlensing",POWER(Upgrades!$U$18,J150),1)*IF(Upgrades!$T$19="Microlensing",POWER(Upgrades!$U$19,K150),1)*IF(Upgrades!$T$20="Microlensing",POWER(Upgrades!$U$20,L150),1)*IF(Upgrades!$T$21="Microlensing",POWER(Upgrades!$U$21,M150),1))+(IF(H150=0,0,(Upgrades!$M$16+H150*Upgrades!$N$16)*POWER(Upgrades!$O$16,H150)))*(IF(Upgrades!$T$13="Roche Lobe Overflow",POWER(Upgrades!$U$13,E150),1)*IF(Upgrades!$T$14="Roche Lobe Overflow",POWER(Upgrades!$U$14,F150),1)*IF(Upgrades!$T$15="Roche Lobe Overflow",POWER(Upgrades!$U$15,G150),1)*IF(Upgrades!$T$17="Roche Lobe Overflow",POWER(Upgrades!$U$17,I150),1)*IF(Upgrades!$T$18="Roche Lobe Overflow",POWER(Upgrades!$U$18,J150),1)*IF(Upgrades!$T$19="Roche Lobe Overflow",POWER(Upgrades!$U$19,K150),1)*IF(Upgrades!$T$20="Roche Lobe Overflow",POWER(Upgrades!$U$20,L150),1)*IF(Upgrades!$T$21="Roche Lobe Overflow",POWER(Upgrades!$U$21,M150),1))+(IF(I150=0,0,(Upgrades!$M$17+I150*Upgrades!$N$17)*POWER(Upgrades!$O$17,I150)))*(IF(Upgrades!$T$13="Brown Dwarf",POWER(Upgrades!$U$13,E150),1)*IF(Upgrades!$T$14="Brown Dwarf",POWER(Upgrades!$U$14,F150),1)*IF(Upgrades!$T$15="Brown Dwarf",POWER(Upgrades!$U$15,G150),1)*IF(Upgrades!$T$16="Brown Dwarf",POWER(Upgrades!$U$16,H150),1)*IF(Upgrades!$T$18="Brown Dwarf",POWER(Upgrades!$U$18,J150),1)*IF(Upgrades!$T$19="Brown Dwarf",POWER(Upgrades!$U$19,K150),1)*IF(Upgrades!$T$20="Brown Dwarf",POWER(Upgrades!$U$20,L150),1)*IF(Upgrades!$T$21="Brown Dwarf",POWER(Upgrades!$U$21,M150),1))+(IF(J150=0,0,(Upgrades!$M$18+J150*Upgrades!$N$18)*POWER(Upgrades!$O$18,J150)))*(IF(Upgrades!$T$13="Binary Partner",POWER(Upgrades!$U$13,E150),1)*IF(Upgrades!$T$14="Binary Partner",POWER(Upgrades!$U$14,F150),1)*IF(Upgrades!$T$15="Binary Partner",POWER(Upgrades!$U$15,G150),1)*IF(Upgrades!$T$16="Binary Partner",POWER(Upgrades!$U$16,H150),1)*IF(Upgrades!$T$17="Binary Partner",POWER(Upgrades!$U$17,I150),1)*IF(Upgrades!$T$19="Binary Partner",POWER(Upgrades!$U$19,K150),1)*IF(Upgrades!$T$20="Binary Partner",POWER(Upgrades!$U$20,L150),1)*IF(Upgrades!$T$21="Binary Partner",POWER(Upgrades!$U$21,M150),1))+(IF(K150=0,0,(Upgrades!$M$19+K150*Upgrades!$N$19)*POWER(Upgrades!$O$19,K150)))*(IF(Upgrades!$T$13="Peculiar Velocity",POWER(Upgrades!$U$13,E150),1)*IF(Upgrades!$T$14="Peculiar Velocity",POWER(Upgrades!$U$14,F150),1)*IF(Upgrades!$T$15="Peculiar Velocity",POWER(Upgrades!$U$15,G150),1)*IF(Upgrades!$T$16="Peculiar Velocity",POWER(Upgrades!$U$16,H150),1)*IF(Upgrades!$T$17="Peculiar Velocity",POWER(Upgrades!$U$17,I150),1)*IF(Upgrades!$T$18="Peculiar Velocity",POWER(Upgrades!$U$18,J150),1)*IF(Upgrades!$T$20="Peculiar Velocity",POWER(Upgrades!$U$20,L150),1)*IF(Upgrades!$T$21="Peculiar Velocity",POWER(Upgrades!$U$21,M150),1))+(IF(L150=0,0,(Upgrades!$M$20+L150*Upgrades!$N$20)*POWER(Upgrades!$O$20,L150)))*(IF(Upgrades!$T$13="Open Cluster",POWER(Upgrades!$U$13,E150),1)*IF(Upgrades!$T$14="Open Cluster",POWER(Upgrades!$U$14,F150),1)*IF(Upgrades!$T$15="Open Cluster",POWER(Upgrades!$U$15,G150),1)*IF(Upgrades!$T$16="Open Cluster",POWER(Upgrades!$U$16,H150),1)*IF(Upgrades!$T$17="Open Cluster",POWER(Upgrades!$U$17,I150),1)*IF(Upgrades!$T$18="Open Cluster",POWER(Upgrades!$U$18,J150),1)*IF(Upgrades!$T$19="Open Cluster",POWER(Upgrades!$U$19,K150),1)*IF(Upgrades!$T$21="Open Cluster",POWER(Upgrades!$U$21,M150),1))+(IF(M150=0,0,(Upgrades!$M$21+M150*Upgrades!$N$21)*POWER(Upgrades!$O$21,M150)))*(IF(Upgrades!$T$13="Moving Group",POWER(Upgrades!$U$13,E150),1)*IF(Upgrades!$T$14="Moving Group",POWER(Upgrades!$U$14,F150),1)*IF(Upgrades!$T$15="Moving Group",POWER(Upgrades!$U$15,G150),1)*IF(Upgrades!$T$16="Moving Group",POWER(Upgrades!$U$16,H150),1)*IF(Upgrades!$T$17="Moving Group",POWER(Upgrades!$U$17,I150),1)*IF(Upgrades!$T$18="Moving Group",POWER(Upgrades!$U$18,J150),1)*IF(Upgrades!$T$19="Moving Group",POWER(Upgrades!$U$19,K150),1)*IF(Upgrades!$T$20="Moving Group",POWER(Upgrades!$U$20,L150),1)))*POWER(Upgrades!$R$13,E150)*POWER(Upgrades!$R$14,F150)*POWER(Upgrades!$R$15,G150)*POWER(Upgrades!$R$16,H150)*POWER(Upgrades!$R$17,I150)*POWER(Upgrades!$R$18,J150)*POWER(Upgrades!$R$19,K150)*POWER(Upgrades!$R$20,L150)*POWER(Upgrades!$R$21,M150)*$H$6+$E$6</f>
        <v/>
      </c>
      <c r="R150" s="27">
        <f>IF(N150=1,0,O150*Parameters!$B$10/60*Parameters!$B$11*10)</f>
        <v/>
      </c>
      <c r="S150" s="27">
        <f>IF(N150=1,0,Q150*O150*10)</f>
        <v/>
      </c>
      <c r="T150" s="27">
        <f>IF(N150=1,0,R150+S150+P150*10)</f>
        <v/>
      </c>
      <c r="U150" s="33">
        <f>BE150</f>
        <v/>
      </c>
      <c r="V150" s="22">
        <f>IF(U150="",0,IF(U150="transition",0,IF(U150="SK",AK150,IF(U150="LB",AL150,IF(U150="ML",AM150,IF(U150="RLO",AN150,IF(U150="BD",AO150,IF(U150="BiP",AP150,IF(U150="PV",AQ150,IF(U150="OC",AR150,IF(U150="MG",AS150,0))))))))))</f>
        <v/>
      </c>
      <c r="W150" s="27">
        <f>IF(U150="BiP",Upgrades!$F$18,IF(U150="PV",Upgrades!$F$19,IF(U150="OC",Upgrades!$F$20,IF(U150="MG",Upgrades!$F$21,IF(U150="transition",-Parameters!$B$18*Parameters!$B$19,0)))))</f>
        <v/>
      </c>
      <c r="X150" s="22">
        <f>C150+T150-V150</f>
        <v/>
      </c>
      <c r="Y150" s="30">
        <f>O150*Parameters!$B$10/60*Parameters!$B$11+Q150*O150+P150</f>
        <v/>
      </c>
      <c r="Z150" s="34">
        <f>IF(U150="transition","→ Tier 3 (Galactic Arm)",IF(U150="MG","Moving Group — pocket drifts together",IF(U150="OC","Open Cluster acquired",IF(U150="PV","Peculiar Velocity — passive multiplier active",IF(U150="BiP","Binary Partner — pair bond formed",IF(AND(AU150=1,N150=0,AT150&lt;&gt;1),"Cohesion ready (waiting on completionists)","")))))) </f>
        <v/>
      </c>
      <c r="AA150" s="27">
        <f>(IF(E150=0,0,(Upgrades!$G$13+E150*Upgrades!$H$13)*POWER(Upgrades!$I$13,E150)))*(IF(Upgrades!$T$14="Stellar Kinematics",POWER(Upgrades!$U$14,F150),1)*IF(Upgrades!$T$15="Stellar Kinematics",POWER(Upgrades!$U$15,G150),1)*IF(Upgrades!$T$16="Stellar Kinematics",POWER(Upgrades!$U$16,H150),1)*IF(Upgrades!$T$17="Stellar Kinematics",POWER(Upgrades!$U$17,I150),1)*IF(Upgrades!$T$18="Stellar Kinematics",POWER(Upgrades!$U$18,J150),1)*IF(Upgrades!$T$19="Stellar Kinematics",POWER(Upgrades!$U$19,K150),1)*IF(Upgrades!$T$20="Stellar Kinematics",POWER(Upgrades!$U$20,L150),1)*IF(Upgrades!$T$21="Stellar Kinematics",POWER(Upgrades!$U$21,M150),1))*POWER(Upgrades!$P$13,E150)*POWER(Upgrades!$P$14,F150)*POWER(Upgrades!$P$15,G150)*POWER(Upgrades!$P$16,H150)*POWER(Upgrades!$P$17,I150)*POWER(Upgrades!$P$18,J150)*POWER(Upgrades!$P$19,K150)*POWER(Upgrades!$P$20,L150)*POWER(Upgrades!$P$21,M150)*$F$6*60</f>
        <v/>
      </c>
      <c r="AB150" s="27">
        <f>(IF(F150=0,0,(Upgrades!$G$14+F150*Upgrades!$H$14)*POWER(Upgrades!$I$14,F150)))*(IF(Upgrades!$T$13="Local Bubble",POWER(Upgrades!$U$13,E150),1)*IF(Upgrades!$T$15="Local Bubble",POWER(Upgrades!$U$15,G150),1)*IF(Upgrades!$T$16="Local Bubble",POWER(Upgrades!$U$16,H150),1)*IF(Upgrades!$T$17="Local Bubble",POWER(Upgrades!$U$17,I150),1)*IF(Upgrades!$T$18="Local Bubble",POWER(Upgrades!$U$18,J150),1)*IF(Upgrades!$T$19="Local Bubble",POWER(Upgrades!$U$19,K150),1)*IF(Upgrades!$T$20="Local Bubble",POWER(Upgrades!$U$20,L150),1)*IF(Upgrades!$T$21="Local Bubble",POWER(Upgrades!$U$21,M150),1))*POWER(Upgrades!$P$13,E150)*POWER(Upgrades!$P$14,F150)*POWER(Upgrades!$P$15,G150)*POWER(Upgrades!$P$16,H150)*POWER(Upgrades!$P$17,I150)*POWER(Upgrades!$P$18,J150)*POWER(Upgrades!$P$19,K150)*POWER(Upgrades!$P$20,L150)*POWER(Upgrades!$P$21,M150)*$F$6*60</f>
        <v/>
      </c>
      <c r="AC150" s="27">
        <f>(IF(G150=0,0,(Upgrades!$J$15+G150*Upgrades!$K$15)*POWER(Upgrades!$L$15,G150)))*(IF(Upgrades!$T$13="Microlensing",POWER(Upgrades!$U$13,E150),1)*IF(Upgrades!$T$14="Microlensing",POWER(Upgrades!$U$14,F150),1)*IF(Upgrades!$T$16="Microlensing",POWER(Upgrades!$U$16,H150),1)*IF(Upgrades!$T$17="Microlensing",POWER(Upgrades!$U$17,I150),1)*IF(Upgrades!$T$18="Microlensing",POWER(Upgrades!$U$18,J150),1)*IF(Upgrades!$T$19="Microlensing",POWER(Upgrades!$U$19,K150),1)*IF(Upgrades!$T$20="Microlensing",POWER(Upgrades!$U$20,L150),1)*IF(Upgrades!$T$21="Microlensing",POWER(Upgrades!$U$21,M150),1))*POWER(Upgrades!$Q$13,E150)*POWER(Upgrades!$Q$14,F150)*POWER(Upgrades!$Q$15,G150)*POWER(Upgrades!$Q$16,H150)*POWER(Upgrades!$Q$17,I150)*POWER(Upgrades!$Q$18,J150)*POWER(Upgrades!$Q$19,K150)*POWER(Upgrades!$Q$20,L150)*POWER(Upgrades!$Q$21,M150)*$G$6*(Parameters!$B$10*Parameters!$B$11+Q150*60)</f>
        <v/>
      </c>
      <c r="AD150" s="27">
        <f>(IF(H150=0,0,(Upgrades!$M$16+H150*Upgrades!$N$16)*POWER(Upgrades!$O$16,H150)))*(IF(Upgrades!$T$13="Roche Lobe Overflow",POWER(Upgrades!$U$13,E150),1)*IF(Upgrades!$T$14="Roche Lobe Overflow",POWER(Upgrades!$U$14,F150),1)*IF(Upgrades!$T$15="Roche Lobe Overflow",POWER(Upgrades!$U$15,G150),1)*IF(Upgrades!$T$17="Roche Lobe Overflow",POWER(Upgrades!$U$17,I150),1)*IF(Upgrades!$T$18="Roche Lobe Overflow",POWER(Upgrades!$U$18,J150),1)*IF(Upgrades!$T$19="Roche Lobe Overflow",POWER(Upgrades!$U$19,K150),1)*IF(Upgrades!$T$20="Roche Lobe Overflow",POWER(Upgrades!$U$20,L150),1)*IF(Upgrades!$T$21="Roche Lobe Overflow",POWER(Upgrades!$U$21,M150),1))*POWER(Upgrades!$R$13,E150)*POWER(Upgrades!$R$14,F150)*POWER(Upgrades!$R$15,G150)*POWER(Upgrades!$R$16,H150)*POWER(Upgrades!$R$17,I150)*POWER(Upgrades!$R$18,J150)*POWER(Upgrades!$R$19,K150)*POWER(Upgrades!$R$20,L150)*POWER(Upgrades!$R$21,M150)*$H$6*O150*60</f>
        <v/>
      </c>
      <c r="AE150" s="27">
        <f>(IF(I150=0,0,(Upgrades!$G$17+I150*Upgrades!$H$17)*POWER(Upgrades!$I$17,I150)))*(IF(Upgrades!$T$13="Brown Dwarf",POWER(Upgrades!$U$13,E150),1)*IF(Upgrades!$T$14="Brown Dwarf",POWER(Upgrades!$U$14,F150),1)*IF(Upgrades!$T$15="Brown Dwarf",POWER(Upgrades!$U$15,G150),1)*IF(Upgrades!$T$16="Brown Dwarf",POWER(Upgrades!$U$16,H150),1)*IF(Upgrades!$T$18="Brown Dwarf",POWER(Upgrades!$U$18,J150),1)*IF(Upgrades!$T$19="Brown Dwarf",POWER(Upgrades!$U$19,K150),1)*IF(Upgrades!$T$20="Brown Dwarf",POWER(Upgrades!$U$20,L150),1)*IF(Upgrades!$T$21="Brown Dwarf",POWER(Upgrades!$U$21,M150),1))*POWER(Upgrades!$P$13,E150)*POWER(Upgrades!$P$14,F150)*POWER(Upgrades!$P$15,G150)*POWER(Upgrades!$P$16,H150)*POWER(Upgrades!$P$17,I150)*POWER(Upgrades!$P$18,J150)*POWER(Upgrades!$P$19,K150)*POWER(Upgrades!$P$20,L150)*POWER(Upgrades!$P$21,M150)*$F$6*60</f>
        <v/>
      </c>
      <c r="AF150" s="27" t="n">
        <v>0</v>
      </c>
      <c r="AG150" s="27" t="n">
        <v>0</v>
      </c>
      <c r="AH150" s="27" t="n">
        <v>0</v>
      </c>
      <c r="AI150" s="27">
        <f>(IF(M150=0,0,(Upgrades!$G$21+M150*Upgrades!$H$21)*POWER(Upgrades!$I$21,M150)))*(IF(Upgrades!$T$13="Moving Group",POWER(Upgrades!$U$13,E150),1)*IF(Upgrades!$T$14="Moving Group",POWER(Upgrades!$U$14,F150),1)*IF(Upgrades!$T$15="Moving Group",POWER(Upgrades!$U$15,G150),1)*IF(Upgrades!$T$16="Moving Group",POWER(Upgrades!$U$16,H150),1)*IF(Upgrades!$T$17="Moving Group",POWER(Upgrades!$U$17,I150),1)*IF(Upgrades!$T$18="Moving Group",POWER(Upgrades!$U$18,J150),1)*IF(Upgrades!$T$19="Moving Group",POWER(Upgrades!$U$19,K150),1)*IF(Upgrades!$T$20="Moving Group",POWER(Upgrades!$U$20,L150),1))*POWER(Upgrades!$P$13,E150)*POWER(Upgrades!$P$14,F150)*POWER(Upgrades!$P$15,G150)*POWER(Upgrades!$P$16,H150)*POWER(Upgrades!$P$17,I150)*POWER(Upgrades!$P$18,J150)*POWER(Upgrades!$P$19,K150)*POWER(Upgrades!$P$20,L150)*POWER(Upgrades!$P$21,M150)*$F$6*60</f>
        <v/>
      </c>
      <c r="AJ150" s="27">
        <f>$C$6*60</f>
        <v/>
      </c>
      <c r="AK150" s="22">
        <f>IF(E150&gt;=Upgrades!$E$13,"",Upgrades!$C$13*POWER(Upgrades!$D$13,E150))</f>
        <v/>
      </c>
      <c r="AL150" s="22">
        <f>IF(F150&gt;=Upgrades!$E$14,"",Upgrades!$C$14*POWER(Upgrades!$D$14,F150))</f>
        <v/>
      </c>
      <c r="AM150" s="22">
        <f>IF(G150&gt;=Upgrades!$E$15,"",Upgrades!$C$15*POWER(Upgrades!$D$15,G150))</f>
        <v/>
      </c>
      <c r="AN150" s="22">
        <f>IF(H150&gt;=Upgrades!$E$16,"",Upgrades!$C$16*POWER(Upgrades!$D$16,H150))</f>
        <v/>
      </c>
      <c r="AO150" s="22">
        <f>IF(I150&gt;=Upgrades!$E$17,"",Upgrades!$C$17*POWER(Upgrades!$D$17,I150))</f>
        <v/>
      </c>
      <c r="AP150" s="22">
        <f>IF(J150&gt;=Upgrades!$E$18,"",Upgrades!$C$18*POWER(Upgrades!$D$18,J150))</f>
        <v/>
      </c>
      <c r="AQ150" s="22">
        <f>IF(K150&gt;=Upgrades!$E$19,"",Upgrades!$C$19*POWER(Upgrades!$D$19,K150))</f>
        <v/>
      </c>
      <c r="AR150" s="22">
        <f>IF(L150&gt;=Upgrades!$E$20,"",Upgrades!$C$20*POWER(Upgrades!$D$20,L150))</f>
        <v/>
      </c>
      <c r="AS150" s="22">
        <f>IF(M150&gt;=Upgrades!$E$21,"",Upgrades!$C$21*POWER(Upgrades!$D$21,M150))</f>
        <v/>
      </c>
      <c r="AT150" s="26">
        <f>IF(AND(D150&gt;=Parameters!$B$18*Parameters!$B$19,(I150&gt;=Upgrades!$E$17)*(M150&gt;=Upgrades!$E$21)=1,N150=0),1,"")</f>
        <v/>
      </c>
      <c r="AU150" s="26">
        <f>IF(AND(D150&gt;=Parameters!$B$18*Parameters!$B$19,N150=0),1,"")</f>
        <v/>
      </c>
      <c r="AV150" s="22">
        <f>MIN(IF(ISNUMBER(AP150),AP150,9E15),IF(ISNUMBER(AQ150),AQ150,9E15),IF(ISNUMBER(AR150),AR150,9E15),IF(ISNUMBER(AS150),AS150,9E15))</f>
        <v/>
      </c>
      <c r="AW150" s="22">
        <f>MIN(IF(ISNUMBER(AK150),AK150,9E15),IF(ISNUMBER(AL150),AL150,9E15),IF(ISNUMBER(AM150),AM150,9E15),IF(ISNUMBER(AN150),AN150,9E15),IF(ISNUMBER(AO150),AO150,9E15))</f>
        <v/>
      </c>
      <c r="AX150" s="29">
        <f>IF(BD150&gt;Parameters!$B$21*(MAX(IF(AND(NOT(AND(AU150=1,AT150&lt;&gt;1)),ISNUMBER(AK150),AK150&lt;=(C150+T150)),AY150,0),IF(AND(NOT(AND(AU150=1,AT150&lt;&gt;1)),ISNUMBER(AL150),AL150&lt;=(C150+T150)),AZ150,0),IF(AND(NOT(AND(AU150=1,AT150&lt;&gt;1)),ISNUMBER(AM150),AM150&lt;=(C150+T150)),BA150,0),IF(AND(NOT(AND(AU150=1,AT150&lt;&gt;1)),ISNUMBER(AN150),AN150&lt;=(C150+T150)),BB150,0),IF(AND(ISNUMBER(AO150),AO150&lt;=(C150+T150)),BC150,0))),TRUE,FALSE)</f>
        <v/>
      </c>
      <c r="AY150" s="32">
        <f>IFERROR(Upgrades!$H$13*(POWER(Upgrades!$P$13,E150)*POWER(Upgrades!$P$14,F150)*POWER(Upgrades!$P$15,G150)*POWER(Upgrades!$P$16,H150)*POWER(Upgrades!$P$17,I150)*POWER(Upgrades!$P$18,J150)*POWER(Upgrades!$P$19,K150)*POWER(Upgrades!$P$20,L150)*POWER(Upgrades!$P$21,M150))*(IF(Upgrades!$T$14="Stellar Kinematics",POWER(Upgrades!$U$14,F150),1)*IF(Upgrades!$T$15="Stellar Kinematics",POWER(Upgrades!$U$15,G150),1)*IF(Upgrades!$T$16="Stellar Kinematics",POWER(Upgrades!$U$16,H150),1)*IF(Upgrades!$T$17="Stellar Kinematics",POWER(Upgrades!$U$17,I150),1)*IF(Upgrades!$T$18="Stellar Kinematics",POWER(Upgrades!$U$18,J150),1)*IF(Upgrades!$T$19="Stellar Kinematics",POWER(Upgrades!$U$19,K150),1)*IF(Upgrades!$T$20="Stellar Kinematics",POWER(Upgrades!$U$20,L150),1)*IF(Upgrades!$T$21="Stellar Kinematics",POWER(Upgrades!$U$21,M150),1))*$F$6/AK150,0)</f>
        <v/>
      </c>
      <c r="AZ150" s="32">
        <f>IFERROR(Upgrades!$H$14*(POWER(Upgrades!$P$13,E150)*POWER(Upgrades!$P$14,F150)*POWER(Upgrades!$P$15,G150)*POWER(Upgrades!$P$16,H150)*POWER(Upgrades!$P$17,I150)*POWER(Upgrades!$P$18,J150)*POWER(Upgrades!$P$19,K150)*POWER(Upgrades!$P$20,L150)*POWER(Upgrades!$P$21,M150))*(IF(Upgrades!$T$13="Local Bubble",POWER(Upgrades!$U$13,E150),1)*IF(Upgrades!$T$15="Local Bubble",POWER(Upgrades!$U$15,G150),1)*IF(Upgrades!$T$16="Local Bubble",POWER(Upgrades!$U$16,H150),1)*IF(Upgrades!$T$17="Local Bubble",POWER(Upgrades!$U$17,I150),1)*IF(Upgrades!$T$18="Local Bubble",POWER(Upgrades!$U$18,J150),1)*IF(Upgrades!$T$19="Local Bubble",POWER(Upgrades!$U$19,K150),1)*IF(Upgrades!$T$20="Local Bubble",POWER(Upgrades!$U$20,L150),1)*IF(Upgrades!$T$21="Local Bubble",POWER(Upgrades!$U$21,M150),1))*$F$6/AL150,0)</f>
        <v/>
      </c>
      <c r="BA150" s="32">
        <f>IFERROR(Upgrades!$K$15*(POWER(Upgrades!$Q$13,E150)*POWER(Upgrades!$Q$14,F150)*POWER(Upgrades!$Q$15,G150)*POWER(Upgrades!$Q$16,H150)*POWER(Upgrades!$Q$17,I150)*POWER(Upgrades!$Q$18,J150)*POWER(Upgrades!$Q$19,K150)*POWER(Upgrades!$Q$20,L150)*POWER(Upgrades!$Q$21,M150))*(IF(Upgrades!$T$13="Microlensing",POWER(Upgrades!$U$13,E150),1)*IF(Upgrades!$T$14="Microlensing",POWER(Upgrades!$U$14,F150),1)*IF(Upgrades!$T$16="Microlensing",POWER(Upgrades!$U$16,H150),1)*IF(Upgrades!$T$17="Microlensing",POWER(Upgrades!$U$17,I150),1)*IF(Upgrades!$T$18="Microlensing",POWER(Upgrades!$U$18,J150),1)*IF(Upgrades!$T$19="Microlensing",POWER(Upgrades!$U$19,K150),1)*IF(Upgrades!$T$20="Microlensing",POWER(Upgrades!$U$20,L150),1)*IF(Upgrades!$T$21="Microlensing",POWER(Upgrades!$U$21,M150),1))*$G$6*(Parameters!$B$10/60*Parameters!$B$11+Q150)/AM150,0)</f>
        <v/>
      </c>
      <c r="BB150" s="32">
        <f>IFERROR((Upgrades!$N$16*(POWER(Upgrades!$R$13,E150)*POWER(Upgrades!$R$14,F150)*POWER(Upgrades!$R$15,G150)*POWER(Upgrades!$R$16,H150)*POWER(Upgrades!$R$17,I150)*POWER(Upgrades!$R$18,J150)*POWER(Upgrades!$R$19,K150)*POWER(Upgrades!$R$20,L150)*POWER(Upgrades!$R$21,M150))*(IF(Upgrades!$T$13="Roche Lobe Overflow",POWER(Upgrades!$U$13,E150),1)*IF(Upgrades!$T$14="Roche Lobe Overflow",POWER(Upgrades!$U$14,F150),1)*IF(Upgrades!$T$15="Roche Lobe Overflow",POWER(Upgrades!$U$15,G150),1)*IF(Upgrades!$T$17="Roche Lobe Overflow",POWER(Upgrades!$U$17,I150),1)*IF(Upgrades!$T$18="Roche Lobe Overflow",POWER(Upgrades!$U$18,J150),1)*IF(Upgrades!$T$19="Roche Lobe Overflow",POWER(Upgrades!$U$19,K150),1)*IF(Upgrades!$T$20="Roche Lobe Overflow",POWER(Upgrades!$U$20,L150),1)*IF(Upgrades!$T$21="Roche Lobe Overflow",POWER(Upgrades!$U$21,M150),1))*$H$6*O150+((IF(F150=0,0,(Upgrades!$G$14+F150*Upgrades!$H$14)*POWER(Upgrades!$I$14,F150)))*(IF(Upgrades!$T$13="Local Bubble",POWER(Upgrades!$U$13,E150),1)*IF(Upgrades!$T$15="Local Bubble",POWER(Upgrades!$U$15,G150),1)*IF(Upgrades!$T$16="Local Bubble",POWER(Upgrades!$U$16,H150),1)*IF(Upgrades!$T$17="Local Bubble",POWER(Upgrades!$U$17,I150),1)*IF(Upgrades!$T$18="Local Bubble",POWER(Upgrades!$U$18,J150),1)*IF(Upgrades!$T$19="Local Bubble",POWER(Upgrades!$U$19,K150),1)*IF(Upgrades!$T$20="Local Bubble",POWER(Upgrades!$U$20,L150),1)*IF(Upgrades!$T$21="Local Bubble",POWER(Upgrades!$U$21,M150),1))*POWER(Upgrades!$P$13,E150)*POWER(Upgrades!$P$14,F150)*POWER(Upgrades!$P$15,G150)*POWER(Upgrades!$P$16,H150)*POWER(Upgrades!$P$17,I150)*POWER(Upgrades!$P$18,J150)*POWER(Upgrades!$P$19,K150)*POWER(Upgrades!$P$20,L150)*POWER(Upgrades!$P$21,M150)*$F$6)*0.05)/AN150,0)</f>
        <v/>
      </c>
      <c r="BC150" s="32">
        <f>IFERROR((Upgrades!$H$17*(POWER(Upgrades!$P$13,E150)*POWER(Upgrades!$P$14,F150)*POWER(Upgrades!$P$15,G150)*POWER(Upgrades!$P$16,H150)*POWER(Upgrades!$P$17,I150)*POWER(Upgrades!$P$18,J150)*POWER(Upgrades!$P$19,K150)*POWER(Upgrades!$P$20,L150)*POWER(Upgrades!$P$21,M150))*(IF(Upgrades!$T$13="Brown Dwarf",POWER(Upgrades!$U$13,E150),1)*IF(Upgrades!$T$14="Brown Dwarf",POWER(Upgrades!$U$14,F150),1)*IF(Upgrades!$T$15="Brown Dwarf",POWER(Upgrades!$U$15,G150),1)*IF(Upgrades!$T$16="Brown Dwarf",POWER(Upgrades!$U$16,H150),1)*IF(Upgrades!$T$18="Brown Dwarf",POWER(Upgrades!$U$18,J150),1)*IF(Upgrades!$T$19="Brown Dwarf",POWER(Upgrades!$U$19,K150),1)*IF(Upgrades!$T$20="Brown Dwarf",POWER(Upgrades!$U$20,L150),1)*IF(Upgrades!$T$21="Brown Dwarf",POWER(Upgrades!$U$21,M150),1))*$F$6+(((IF(H150=0,0,(Upgrades!$M$16+H150*Upgrades!$N$16)*POWER(Upgrades!$O$16,H150)))*(IF(Upgrades!$T$13="Roche Lobe Overflow",POWER(Upgrades!$U$13,E150),1)*IF(Upgrades!$T$14="Roche Lobe Overflow",POWER(Upgrades!$U$14,F150),1)*IF(Upgrades!$T$15="Roche Lobe Overflow",POWER(Upgrades!$U$15,G150),1)*IF(Upgrades!$T$17="Roche Lobe Overflow",POWER(Upgrades!$U$17,I150),1)*IF(Upgrades!$T$18="Roche Lobe Overflow",POWER(Upgrades!$U$18,J150),1)*IF(Upgrades!$T$19="Roche Lobe Overflow",POWER(Upgrades!$U$19,K150),1)*IF(Upgrades!$T$20="Roche Lobe Overflow",POWER(Upgrades!$U$20,L150),1)*IF(Upgrades!$T$21="Roche Lobe Overflow",POWER(Upgrades!$U$21,M150),1))*POWER(Upgrades!$R$13,E150)*POWER(Upgrades!$R$14,F150)*POWER(Upgrades!$R$15,G150)*POWER(Upgrades!$R$16,H150)*POWER(Upgrades!$R$17,I150)*POWER(Upgrades!$R$18,J150)*POWER(Upgrades!$R$19,K150)*POWER(Upgrades!$R$20,L150)*POWER(Upgrades!$R$21,M150)*$H$6)*O150)*0.10)/AO150,0)</f>
        <v/>
      </c>
      <c r="BD150" s="32">
        <f>MAX(IF(J150&gt;0,0,IFERROR(0.5*((IF(G150=0,0,(Upgrades!$J$15+G150*Upgrades!$K$15)*POWER(Upgrades!$L$15,G150)))*(IF(Upgrades!$T$13="Microlensing",POWER(Upgrades!$U$13,E150),1)*IF(Upgrades!$T$14="Microlensing",POWER(Upgrades!$U$14,F150),1)*IF(Upgrades!$T$16="Microlensing",POWER(Upgrades!$U$16,H150),1)*IF(Upgrades!$T$17="Microlensing",POWER(Upgrades!$U$17,I150),1)*IF(Upgrades!$T$18="Microlensing",POWER(Upgrades!$U$18,J150),1)*IF(Upgrades!$T$19="Microlensing",POWER(Upgrades!$U$19,K150),1)*IF(Upgrades!$T$20="Microlensing",POWER(Upgrades!$U$20,L150),1)*IF(Upgrades!$T$21="Microlensing",POWER(Upgrades!$U$21,M150),1))*(POWER(Upgrades!$Q$13,E150)*POWER(Upgrades!$Q$14,F150)*POWER(Upgrades!$Q$15,G150)*POWER(Upgrades!$Q$16,H150)*POWER(Upgrades!$Q$17,I150)*POWER(Upgrades!$Q$18,J150)*POWER(Upgrades!$Q$19,K150)*POWER(Upgrades!$Q$20,L150)*POWER(Upgrades!$Q$21,M150))*$G$6*(Parameters!$B$10/60*Parameters!$B$11+Q150))/Upgrades!$C$18,0)),IF(K150&gt;0,0,IFERROR(0.30*P150/Upgrades!$C$19,0)),IF(L150&gt;0,0,IFERROR(0.0001/Upgrades!$C$20,0)),IF(M150&gt;0,0,IFERROR((6.0*(POWER(Upgrades!$P$13,E150)*POWER(Upgrades!$P$14,F150)*POWER(Upgrades!$P$15,G150)*POWER(Upgrades!$P$16,H150)*POWER(Upgrades!$P$17,I150)*POWER(Upgrades!$P$18,J150)*POWER(Upgrades!$P$19,K150)*POWER(Upgrades!$P$20,L150)*POWER(Upgrades!$P$21,M150))*$F$6+0.20*O150*(Parameters!$B$10/60*Parameters!$B$11+Q150))/Upgrades!$C$21,0)),IF(AND(ISNUMBER(AK150),AK150&gt;(C150+T150)),AY150,0),IF(AND(ISNUMBER(AL150),AL150&gt;(C150+T150)),AZ150,0),IF(AND(ISNUMBER(AM150),AM150&gt;(C150+T150)),BA150,0),IF(AND(ISNUMBER(AN150),AN150&gt;(C150+T150)),BB150,0),IF(AND(ISNUMBER(AO150),AO150&gt;(C150+T150)),BC150,0))</f>
        <v/>
      </c>
      <c r="BE150" s="29">
        <f>IF(AT150=1,"transition",IF(MIN(IF(AND(J150=0,ISNUMBER(AP150),AP150&lt;=(C150+T150)),AP150,9E15),IF(AND(K150=0,ISNUMBER(AQ150),AQ150&lt;=(C150+T150)),AQ150,9E15),IF(AND(L150=0,ISNUMBER(AR150),AR150&lt;=(C150+T150)),AR150,9E15),IF(AND(M150=0,ISNUMBER(AS150),AS150&lt;=(C150+T150)),AS150,9E15))&lt;9E15,IF(AND(AND(J150=0,ISNUMBER(AP150),AP150&lt;=(C150+T150)),AP150=MIN(IF(AND(J150=0,ISNUMBER(AP150),AP150&lt;=(C150+T150)),AP150,9E15),IF(AND(K150=0,ISNUMBER(AQ150),AQ150&lt;=(C150+T150)),AQ150,9E15),IF(AND(L150=0,ISNUMBER(AR150),AR150&lt;=(C150+T150)),AR150,9E15),IF(AND(M150=0,ISNUMBER(AS150),AS150&lt;=(C150+T150)),AS150,9E15))),"BiP",IF(AND(AND(K150=0,ISNUMBER(AQ150),AQ150&lt;=(C150+T150)),AQ150=MIN(IF(AND(J150=0,ISNUMBER(AP150),AP150&lt;=(C150+T150)),AP150,9E15),IF(AND(K150=0,ISNUMBER(AQ150),AQ150&lt;=(C150+T150)),AQ150,9E15),IF(AND(L150=0,ISNUMBER(AR150),AR150&lt;=(C150+T150)),AR150,9E15),IF(AND(M150=0,ISNUMBER(AS150),AS150&lt;=(C150+T150)),AS150,9E15))),"PV",IF(AND(AND(L150=0,ISNUMBER(AR150),AR150&lt;=(C150+T150)),AR150=MIN(IF(AND(J150=0,ISNUMBER(AP150),AP150&lt;=(C150+T150)),AP150,9E15),IF(AND(K150=0,ISNUMBER(AQ150),AQ150&lt;=(C150+T150)),AQ150,9E15),IF(AND(L150=0,ISNUMBER(AR150),AR150&lt;=(C150+T150)),AR150,9E15),IF(AND(M150=0,ISNUMBER(AS150),AS150&lt;=(C150+T150)),AS150,9E15))),"OC","MG"))),IF(AX150=TRUE,"",IF(MAX(IF(AND(NOT(AND(AU150=1,AT150&lt;&gt;1)),ISNUMBER(AK150),AK150&lt;=(C150+T150)),AY150,0),IF(AND(NOT(AND(AU150=1,AT150&lt;&gt;1)),ISNUMBER(AL150),AL150&lt;=(C150+T150)),AZ150,0),IF(AND(NOT(AND(AU150=1,AT150&lt;&gt;1)),ISNUMBER(AM150),AM150&lt;=(C150+T150)),BA150,0),IF(AND(NOT(AND(AU150=1,AT150&lt;&gt;1)),ISNUMBER(AN150),AN150&lt;=(C150+T150)),BB150,0),IF(AND(ISNUMBER(AO150),AO150&lt;=(C150+T150)),BC150,0))&lt;=0,"",IF(AND(IF(AND(NOT(AND(AU150=1,AT150&lt;&gt;1)),ISNUMBER(AK150),AK150&lt;=(C150+T150)),AY150,0)&gt;0,IF(AND(NOT(AND(AU150=1,AT150&lt;&gt;1)),ISNUMBER(AK150),AK150&lt;=(C150+T150)),AY150,0)=MAX(IF(AND(NOT(AND(AU150=1,AT150&lt;&gt;1)),ISNUMBER(AK150),AK150&lt;=(C150+T150)),AY150,0),IF(AND(NOT(AND(AU150=1,AT150&lt;&gt;1)),ISNUMBER(AL150),AL150&lt;=(C150+T150)),AZ150,0),IF(AND(NOT(AND(AU150=1,AT150&lt;&gt;1)),ISNUMBER(AM150),AM150&lt;=(C150+T150)),BA150,0),IF(AND(NOT(AND(AU150=1,AT150&lt;&gt;1)),ISNUMBER(AN150),AN150&lt;=(C150+T150)),BB150,0),IF(AND(ISNUMBER(AO150),AO150&lt;=(C150+T150)),BC150,0))),"SK",IF(AND(IF(AND(NOT(AND(AU150=1,AT150&lt;&gt;1)),ISNUMBER(AL150),AL150&lt;=(C150+T150)),AZ150,0)&gt;0,IF(AND(NOT(AND(AU150=1,AT150&lt;&gt;1)),ISNUMBER(AL150),AL150&lt;=(C150+T150)),AZ150,0)=MAX(IF(AND(NOT(AND(AU150=1,AT150&lt;&gt;1)),ISNUMBER(AK150),AK150&lt;=(C150+T150)),AY150,0),IF(AND(NOT(AND(AU150=1,AT150&lt;&gt;1)),ISNUMBER(AL150),AL150&lt;=(C150+T150)),AZ150,0),IF(AND(NOT(AND(AU150=1,AT150&lt;&gt;1)),ISNUMBER(AM150),AM150&lt;=(C150+T150)),BA150,0),IF(AND(NOT(AND(AU150=1,AT150&lt;&gt;1)),ISNUMBER(AN150),AN150&lt;=(C150+T150)),BB150,0),IF(AND(ISNUMBER(AO150),AO150&lt;=(C150+T150)),BC150,0))),"LB",IF(AND(IF(AND(NOT(AND(AU150=1,AT150&lt;&gt;1)),ISNUMBER(AM150),AM150&lt;=(C150+T150)),BA150,0)&gt;0,IF(AND(NOT(AND(AU150=1,AT150&lt;&gt;1)),ISNUMBER(AM150),AM150&lt;=(C150+T150)),BA150,0)=MAX(IF(AND(NOT(AND(AU150=1,AT150&lt;&gt;1)),ISNUMBER(AK150),AK150&lt;=(C150+T150)),AY150,0),IF(AND(NOT(AND(AU150=1,AT150&lt;&gt;1)),ISNUMBER(AL150),AL150&lt;=(C150+T150)),AZ150,0),IF(AND(NOT(AND(AU150=1,AT150&lt;&gt;1)),ISNUMBER(AM150),AM150&lt;=(C150+T150)),BA150,0),IF(AND(NOT(AND(AU150=1,AT150&lt;&gt;1)),ISNUMBER(AN150),AN150&lt;=(C150+T150)),BB150,0),IF(AND(ISNUMBER(AO150),AO150&lt;=(C150+T150)),BC150,0))),"ML",IF(AND(IF(AND(NOT(AND(AU150=1,AT150&lt;&gt;1)),ISNUMBER(AN150),AN150&lt;=(C150+T150)),BB150,0)&gt;0,IF(AND(NOT(AND(AU150=1,AT150&lt;&gt;1)),ISNUMBER(AN150),AN150&lt;=(C150+T150)),BB150,0)=MAX(IF(AND(NOT(AND(AU150=1,AT150&lt;&gt;1)),ISNUMBER(AK150),AK150&lt;=(C150+T150)),AY150,0),IF(AND(NOT(AND(AU150=1,AT150&lt;&gt;1)),ISNUMBER(AL150),AL150&lt;=(C150+T150)),AZ150,0),IF(AND(NOT(AND(AU150=1,AT150&lt;&gt;1)),ISNUMBER(AM150),AM150&lt;=(C150+T150)),BA150,0),IF(AND(NOT(AND(AU150=1,AT150&lt;&gt;1)),ISNUMBER(AN150),AN150&lt;=(C150+T150)),BB150,0),IF(AND(ISNUMBER(AO150),AO150&lt;=(C150+T150)),BC150,0))),"RLO","BD"))))))))</f>
        <v/>
      </c>
    </row>
    <row r="151">
      <c r="A151" s="26" t="n">
        <v>140</v>
      </c>
      <c r="B151" s="27">
        <f>A151*10/60</f>
        <v/>
      </c>
      <c r="C151" s="22">
        <f>X150</f>
        <v/>
      </c>
      <c r="D151" s="27">
        <f>D150+W150</f>
        <v/>
      </c>
      <c r="E151" s="26">
        <f>E150+IF(U150="SK",1,0)</f>
        <v/>
      </c>
      <c r="F151" s="26">
        <f>F150+IF(U150="LB",1,0)</f>
        <v/>
      </c>
      <c r="G151" s="26">
        <f>G150+IF(U150="ML",1,0)</f>
        <v/>
      </c>
      <c r="H151" s="26">
        <f>H150+IF(U150="RLO",1,0)</f>
        <v/>
      </c>
      <c r="I151" s="26">
        <f>I150+IF(U150="BD",1,0)</f>
        <v/>
      </c>
      <c r="J151" s="26">
        <f>MAX(J150,IF(U150="BiP",1,0))</f>
        <v/>
      </c>
      <c r="K151" s="26">
        <f>MAX(K150,IF(U150="PV",1,0))</f>
        <v/>
      </c>
      <c r="L151" s="26">
        <f>MAX(L150,IF(U150="OC",1,0))</f>
        <v/>
      </c>
      <c r="M151" s="26">
        <f>MAX(M150,IF(U150="MG",1,0))</f>
        <v/>
      </c>
      <c r="N151" s="26">
        <f>MAX(N150,IF(U150="transition",1,0))</f>
        <v/>
      </c>
      <c r="O151" s="28">
        <f>(Parameters!$B$9+(IF(E151=0,0,(Upgrades!$J$13+E151*Upgrades!$K$13)*POWER(Upgrades!$L$13,E151)))*(IF(Upgrades!$T$14="Stellar Kinematics",POWER(Upgrades!$U$14,F151),1)*IF(Upgrades!$T$15="Stellar Kinematics",POWER(Upgrades!$U$15,G151),1)*IF(Upgrades!$T$16="Stellar Kinematics",POWER(Upgrades!$U$16,H151),1)*IF(Upgrades!$T$17="Stellar Kinematics",POWER(Upgrades!$U$17,I151),1)*IF(Upgrades!$T$18="Stellar Kinematics",POWER(Upgrades!$U$18,J151),1)*IF(Upgrades!$T$19="Stellar Kinematics",POWER(Upgrades!$U$19,K151),1)*IF(Upgrades!$T$20="Stellar Kinematics",POWER(Upgrades!$U$20,L151),1)*IF(Upgrades!$T$21="Stellar Kinematics",POWER(Upgrades!$U$21,M151),1))+(IF(F151=0,0,(Upgrades!$J$14+F151*Upgrades!$K$14)*POWER(Upgrades!$L$14,F151)))*(IF(Upgrades!$T$13="Local Bubble",POWER(Upgrades!$U$13,E151),1)*IF(Upgrades!$T$15="Local Bubble",POWER(Upgrades!$U$15,G151),1)*IF(Upgrades!$T$16="Local Bubble",POWER(Upgrades!$U$16,H151),1)*IF(Upgrades!$T$17="Local Bubble",POWER(Upgrades!$U$17,I151),1)*IF(Upgrades!$T$18="Local Bubble",POWER(Upgrades!$U$18,J151),1)*IF(Upgrades!$T$19="Local Bubble",POWER(Upgrades!$U$19,K151),1)*IF(Upgrades!$T$20="Local Bubble",POWER(Upgrades!$U$20,L151),1)*IF(Upgrades!$T$21="Local Bubble",POWER(Upgrades!$U$21,M151),1))+(IF(G151=0,0,(Upgrades!$J$15+G151*Upgrades!$K$15)*POWER(Upgrades!$L$15,G151)))*(IF(Upgrades!$T$13="Microlensing",POWER(Upgrades!$U$13,E151),1)*IF(Upgrades!$T$14="Microlensing",POWER(Upgrades!$U$14,F151),1)*IF(Upgrades!$T$16="Microlensing",POWER(Upgrades!$U$16,H151),1)*IF(Upgrades!$T$17="Microlensing",POWER(Upgrades!$U$17,I151),1)*IF(Upgrades!$T$18="Microlensing",POWER(Upgrades!$U$18,J151),1)*IF(Upgrades!$T$19="Microlensing",POWER(Upgrades!$U$19,K151),1)*IF(Upgrades!$T$20="Microlensing",POWER(Upgrades!$U$20,L151),1)*IF(Upgrades!$T$21="Microlensing",POWER(Upgrades!$U$21,M151),1))+(IF(H151=0,0,(Upgrades!$J$16+H151*Upgrades!$K$16)*POWER(Upgrades!$L$16,H151)))*(IF(Upgrades!$T$13="Roche Lobe Overflow",POWER(Upgrades!$U$13,E151),1)*IF(Upgrades!$T$14="Roche Lobe Overflow",POWER(Upgrades!$U$14,F151),1)*IF(Upgrades!$T$15="Roche Lobe Overflow",POWER(Upgrades!$U$15,G151),1)*IF(Upgrades!$T$17="Roche Lobe Overflow",POWER(Upgrades!$U$17,I151),1)*IF(Upgrades!$T$18="Roche Lobe Overflow",POWER(Upgrades!$U$18,J151),1)*IF(Upgrades!$T$19="Roche Lobe Overflow",POWER(Upgrades!$U$19,K151),1)*IF(Upgrades!$T$20="Roche Lobe Overflow",POWER(Upgrades!$U$20,L151),1)*IF(Upgrades!$T$21="Roche Lobe Overflow",POWER(Upgrades!$U$21,M151),1))+(IF(I151=0,0,(Upgrades!$J$17+I151*Upgrades!$K$17)*POWER(Upgrades!$L$17,I151)))*(IF(Upgrades!$T$13="Brown Dwarf",POWER(Upgrades!$U$13,E151),1)*IF(Upgrades!$T$14="Brown Dwarf",POWER(Upgrades!$U$14,F151),1)*IF(Upgrades!$T$15="Brown Dwarf",POWER(Upgrades!$U$15,G151),1)*IF(Upgrades!$T$16="Brown Dwarf",POWER(Upgrades!$U$16,H151),1)*IF(Upgrades!$T$18="Brown Dwarf",POWER(Upgrades!$U$18,J151),1)*IF(Upgrades!$T$19="Brown Dwarf",POWER(Upgrades!$U$19,K151),1)*IF(Upgrades!$T$20="Brown Dwarf",POWER(Upgrades!$U$20,L151),1)*IF(Upgrades!$T$21="Brown Dwarf",POWER(Upgrades!$U$21,M151),1))+(IF(J151=0,0,(Upgrades!$J$18+J151*Upgrades!$K$18)*POWER(Upgrades!$L$18,J151)))*(IF(Upgrades!$T$13="Binary Partner",POWER(Upgrades!$U$13,E151),1)*IF(Upgrades!$T$14="Binary Partner",POWER(Upgrades!$U$14,F151),1)*IF(Upgrades!$T$15="Binary Partner",POWER(Upgrades!$U$15,G151),1)*IF(Upgrades!$T$16="Binary Partner",POWER(Upgrades!$U$16,H151),1)*IF(Upgrades!$T$17="Binary Partner",POWER(Upgrades!$U$17,I151),1)*IF(Upgrades!$T$19="Binary Partner",POWER(Upgrades!$U$19,K151),1)*IF(Upgrades!$T$20="Binary Partner",POWER(Upgrades!$U$20,L151),1)*IF(Upgrades!$T$21="Binary Partner",POWER(Upgrades!$U$21,M151),1))+(IF(K151=0,0,(Upgrades!$J$19+K151*Upgrades!$K$19)*POWER(Upgrades!$L$19,K151)))*(IF(Upgrades!$T$13="Peculiar Velocity",POWER(Upgrades!$U$13,E151),1)*IF(Upgrades!$T$14="Peculiar Velocity",POWER(Upgrades!$U$14,F151),1)*IF(Upgrades!$T$15="Peculiar Velocity",POWER(Upgrades!$U$15,G151),1)*IF(Upgrades!$T$16="Peculiar Velocity",POWER(Upgrades!$U$16,H151),1)*IF(Upgrades!$T$17="Peculiar Velocity",POWER(Upgrades!$U$17,I151),1)*IF(Upgrades!$T$18="Peculiar Velocity",POWER(Upgrades!$U$18,J151),1)*IF(Upgrades!$T$20="Peculiar Velocity",POWER(Upgrades!$U$20,L151),1)*IF(Upgrades!$T$21="Peculiar Velocity",POWER(Upgrades!$U$21,M151),1))+(IF(L151=0,0,(Upgrades!$J$20+L151*Upgrades!$K$20)*POWER(Upgrades!$L$20,L151)))*(IF(Upgrades!$T$13="Open Cluster",POWER(Upgrades!$U$13,E151),1)*IF(Upgrades!$T$14="Open Cluster",POWER(Upgrades!$U$14,F151),1)*IF(Upgrades!$T$15="Open Cluster",POWER(Upgrades!$U$15,G151),1)*IF(Upgrades!$T$16="Open Cluster",POWER(Upgrades!$U$16,H151),1)*IF(Upgrades!$T$17="Open Cluster",POWER(Upgrades!$U$17,I151),1)*IF(Upgrades!$T$18="Open Cluster",POWER(Upgrades!$U$18,J151),1)*IF(Upgrades!$T$19="Open Cluster",POWER(Upgrades!$U$19,K151),1)*IF(Upgrades!$T$21="Open Cluster",POWER(Upgrades!$U$21,M151),1))+(IF(M151=0,0,(Upgrades!$J$21+M151*Upgrades!$K$21)*POWER(Upgrades!$L$21,M151)))*(IF(Upgrades!$T$13="Moving Group",POWER(Upgrades!$U$13,E151),1)*IF(Upgrades!$T$14="Moving Group",POWER(Upgrades!$U$14,F151),1)*IF(Upgrades!$T$15="Moving Group",POWER(Upgrades!$U$15,G151),1)*IF(Upgrades!$T$16="Moving Group",POWER(Upgrades!$U$16,H151),1)*IF(Upgrades!$T$17="Moving Group",POWER(Upgrades!$U$17,I151),1)*IF(Upgrades!$T$18="Moving Group",POWER(Upgrades!$U$18,J151),1)*IF(Upgrades!$T$19="Moving Group",POWER(Upgrades!$U$19,K151),1)*IF(Upgrades!$T$20="Moving Group",POWER(Upgrades!$U$20,L151),1)))*POWER(Upgrades!$Q$13,E151)*POWER(Upgrades!$Q$14,F151)*POWER(Upgrades!$Q$15,G151)*POWER(Upgrades!$Q$16,H151)*POWER(Upgrades!$Q$17,I151)*POWER(Upgrades!$Q$18,J151)*POWER(Upgrades!$Q$19,K151)*POWER(Upgrades!$Q$20,L151)*POWER(Upgrades!$Q$21,M151)*$G$6+$D$6</f>
        <v/>
      </c>
      <c r="P151" s="28">
        <f>((IF(E151=0,0,(Upgrades!$G$13+E151*Upgrades!$H$13)*POWER(Upgrades!$I$13,E151)))*(IF(Upgrades!$T$14="Stellar Kinematics",POWER(Upgrades!$U$14,F151),1)*IF(Upgrades!$T$15="Stellar Kinematics",POWER(Upgrades!$U$15,G151),1)*IF(Upgrades!$T$16="Stellar Kinematics",POWER(Upgrades!$U$16,H151),1)*IF(Upgrades!$T$17="Stellar Kinematics",POWER(Upgrades!$U$17,I151),1)*IF(Upgrades!$T$18="Stellar Kinematics",POWER(Upgrades!$U$18,J151),1)*IF(Upgrades!$T$19="Stellar Kinematics",POWER(Upgrades!$U$19,K151),1)*IF(Upgrades!$T$20="Stellar Kinematics",POWER(Upgrades!$U$20,L151),1)*IF(Upgrades!$T$21="Stellar Kinematics",POWER(Upgrades!$U$21,M151),1))+(IF(F151=0,0,(Upgrades!$G$14+F151*Upgrades!$H$14)*POWER(Upgrades!$I$14,F151)))*(IF(Upgrades!$T$13="Local Bubble",POWER(Upgrades!$U$13,E151),1)*IF(Upgrades!$T$15="Local Bubble",POWER(Upgrades!$U$15,G151),1)*IF(Upgrades!$T$16="Local Bubble",POWER(Upgrades!$U$16,H151),1)*IF(Upgrades!$T$17="Local Bubble",POWER(Upgrades!$U$17,I151),1)*IF(Upgrades!$T$18="Local Bubble",POWER(Upgrades!$U$18,J151),1)*IF(Upgrades!$T$19="Local Bubble",POWER(Upgrades!$U$19,K151),1)*IF(Upgrades!$T$20="Local Bubble",POWER(Upgrades!$U$20,L151),1)*IF(Upgrades!$T$21="Local Bubble",POWER(Upgrades!$U$21,M151),1))+(IF(G151=0,0,(Upgrades!$G$15+G151*Upgrades!$H$15)*POWER(Upgrades!$I$15,G151)))*(IF(Upgrades!$T$13="Microlensing",POWER(Upgrades!$U$13,E151),1)*IF(Upgrades!$T$14="Microlensing",POWER(Upgrades!$U$14,F151),1)*IF(Upgrades!$T$16="Microlensing",POWER(Upgrades!$U$16,H151),1)*IF(Upgrades!$T$17="Microlensing",POWER(Upgrades!$U$17,I151),1)*IF(Upgrades!$T$18="Microlensing",POWER(Upgrades!$U$18,J151),1)*IF(Upgrades!$T$19="Microlensing",POWER(Upgrades!$U$19,K151),1)*IF(Upgrades!$T$20="Microlensing",POWER(Upgrades!$U$20,L151),1)*IF(Upgrades!$T$21="Microlensing",POWER(Upgrades!$U$21,M151),1))+(IF(H151=0,0,(Upgrades!$G$16+H151*Upgrades!$H$16)*POWER(Upgrades!$I$16,H151)))*(IF(Upgrades!$T$13="Roche Lobe Overflow",POWER(Upgrades!$U$13,E151),1)*IF(Upgrades!$T$14="Roche Lobe Overflow",POWER(Upgrades!$U$14,F151),1)*IF(Upgrades!$T$15="Roche Lobe Overflow",POWER(Upgrades!$U$15,G151),1)*IF(Upgrades!$T$17="Roche Lobe Overflow",POWER(Upgrades!$U$17,I151),1)*IF(Upgrades!$T$18="Roche Lobe Overflow",POWER(Upgrades!$U$18,J151),1)*IF(Upgrades!$T$19="Roche Lobe Overflow",POWER(Upgrades!$U$19,K151),1)*IF(Upgrades!$T$20="Roche Lobe Overflow",POWER(Upgrades!$U$20,L151),1)*IF(Upgrades!$T$21="Roche Lobe Overflow",POWER(Upgrades!$U$21,M151),1))+(IF(I151=0,0,(Upgrades!$G$17+I151*Upgrades!$H$17)*POWER(Upgrades!$I$17,I151)))*(IF(Upgrades!$T$13="Brown Dwarf",POWER(Upgrades!$U$13,E151),1)*IF(Upgrades!$T$14="Brown Dwarf",POWER(Upgrades!$U$14,F151),1)*IF(Upgrades!$T$15="Brown Dwarf",POWER(Upgrades!$U$15,G151),1)*IF(Upgrades!$T$16="Brown Dwarf",POWER(Upgrades!$U$16,H151),1)*IF(Upgrades!$T$18="Brown Dwarf",POWER(Upgrades!$U$18,J151),1)*IF(Upgrades!$T$19="Brown Dwarf",POWER(Upgrades!$U$19,K151),1)*IF(Upgrades!$T$20="Brown Dwarf",POWER(Upgrades!$U$20,L151),1)*IF(Upgrades!$T$21="Brown Dwarf",POWER(Upgrades!$U$21,M151),1))+(IF(J151=0,0,(Upgrades!$G$18+J151*Upgrades!$H$18)*POWER(Upgrades!$I$18,J151)))*(IF(Upgrades!$T$13="Binary Partner",POWER(Upgrades!$U$13,E151),1)*IF(Upgrades!$T$14="Binary Partner",POWER(Upgrades!$U$14,F151),1)*IF(Upgrades!$T$15="Binary Partner",POWER(Upgrades!$U$15,G151),1)*IF(Upgrades!$T$16="Binary Partner",POWER(Upgrades!$U$16,H151),1)*IF(Upgrades!$T$17="Binary Partner",POWER(Upgrades!$U$17,I151),1)*IF(Upgrades!$T$19="Binary Partner",POWER(Upgrades!$U$19,K151),1)*IF(Upgrades!$T$20="Binary Partner",POWER(Upgrades!$U$20,L151),1)*IF(Upgrades!$T$21="Binary Partner",POWER(Upgrades!$U$21,M151),1))+(IF(K151=0,0,(Upgrades!$G$19+K151*Upgrades!$H$19)*POWER(Upgrades!$I$19,K151)))*(IF(Upgrades!$T$13="Peculiar Velocity",POWER(Upgrades!$U$13,E151),1)*IF(Upgrades!$T$14="Peculiar Velocity",POWER(Upgrades!$U$14,F151),1)*IF(Upgrades!$T$15="Peculiar Velocity",POWER(Upgrades!$U$15,G151),1)*IF(Upgrades!$T$16="Peculiar Velocity",POWER(Upgrades!$U$16,H151),1)*IF(Upgrades!$T$17="Peculiar Velocity",POWER(Upgrades!$U$17,I151),1)*IF(Upgrades!$T$18="Peculiar Velocity",POWER(Upgrades!$U$18,J151),1)*IF(Upgrades!$T$20="Peculiar Velocity",POWER(Upgrades!$U$20,L151),1)*IF(Upgrades!$T$21="Peculiar Velocity",POWER(Upgrades!$U$21,M151),1))+(IF(L151=0,0,(Upgrades!$G$20+L151*Upgrades!$H$20)*POWER(Upgrades!$I$20,L151)))*(IF(Upgrades!$T$13="Open Cluster",POWER(Upgrades!$U$13,E151),1)*IF(Upgrades!$T$14="Open Cluster",POWER(Upgrades!$U$14,F151),1)*IF(Upgrades!$T$15="Open Cluster",POWER(Upgrades!$U$15,G151),1)*IF(Upgrades!$T$16="Open Cluster",POWER(Upgrades!$U$16,H151),1)*IF(Upgrades!$T$17="Open Cluster",POWER(Upgrades!$U$17,I151),1)*IF(Upgrades!$T$18="Open Cluster",POWER(Upgrades!$U$18,J151),1)*IF(Upgrades!$T$19="Open Cluster",POWER(Upgrades!$U$19,K151),1)*IF(Upgrades!$T$21="Open Cluster",POWER(Upgrades!$U$21,M151),1))+(IF(M151=0,0,(Upgrades!$G$21+M151*Upgrades!$H$21)*POWER(Upgrades!$I$21,M151)))*(IF(Upgrades!$T$13="Moving Group",POWER(Upgrades!$U$13,E151),1)*IF(Upgrades!$T$14="Moving Group",POWER(Upgrades!$U$14,F151),1)*IF(Upgrades!$T$15="Moving Group",POWER(Upgrades!$U$15,G151),1)*IF(Upgrades!$T$16="Moving Group",POWER(Upgrades!$U$16,H151),1)*IF(Upgrades!$T$17="Moving Group",POWER(Upgrades!$U$17,I151),1)*IF(Upgrades!$T$18="Moving Group",POWER(Upgrades!$U$18,J151),1)*IF(Upgrades!$T$19="Moving Group",POWER(Upgrades!$U$19,K151),1)*IF(Upgrades!$T$20="Moving Group",POWER(Upgrades!$U$20,L151),1)))*POWER(Upgrades!$P$13,E151)*POWER(Upgrades!$P$14,F151)*POWER(Upgrades!$P$15,G151)*POWER(Upgrades!$P$16,H151)*POWER(Upgrades!$P$17,I151)*POWER(Upgrades!$P$18,J151)*POWER(Upgrades!$P$19,K151)*POWER(Upgrades!$P$20,L151)*POWER(Upgrades!$P$21,M151)*$F$6+$C$6</f>
        <v/>
      </c>
      <c r="Q151" s="28">
        <f>((IF(E151=0,0,(Upgrades!$M$13+E151*Upgrades!$N$13)*POWER(Upgrades!$O$13,E151)))*(IF(Upgrades!$T$14="Stellar Kinematics",POWER(Upgrades!$U$14,F151),1)*IF(Upgrades!$T$15="Stellar Kinematics",POWER(Upgrades!$U$15,G151),1)*IF(Upgrades!$T$16="Stellar Kinematics",POWER(Upgrades!$U$16,H151),1)*IF(Upgrades!$T$17="Stellar Kinematics",POWER(Upgrades!$U$17,I151),1)*IF(Upgrades!$T$18="Stellar Kinematics",POWER(Upgrades!$U$18,J151),1)*IF(Upgrades!$T$19="Stellar Kinematics",POWER(Upgrades!$U$19,K151),1)*IF(Upgrades!$T$20="Stellar Kinematics",POWER(Upgrades!$U$20,L151),1)*IF(Upgrades!$T$21="Stellar Kinematics",POWER(Upgrades!$U$21,M151),1))+(IF(F151=0,0,(Upgrades!$M$14+F151*Upgrades!$N$14)*POWER(Upgrades!$O$14,F151)))*(IF(Upgrades!$T$13="Local Bubble",POWER(Upgrades!$U$13,E151),1)*IF(Upgrades!$T$15="Local Bubble",POWER(Upgrades!$U$15,G151),1)*IF(Upgrades!$T$16="Local Bubble",POWER(Upgrades!$U$16,H151),1)*IF(Upgrades!$T$17="Local Bubble",POWER(Upgrades!$U$17,I151),1)*IF(Upgrades!$T$18="Local Bubble",POWER(Upgrades!$U$18,J151),1)*IF(Upgrades!$T$19="Local Bubble",POWER(Upgrades!$U$19,K151),1)*IF(Upgrades!$T$20="Local Bubble",POWER(Upgrades!$U$20,L151),1)*IF(Upgrades!$T$21="Local Bubble",POWER(Upgrades!$U$21,M151),1))+(IF(G151=0,0,(Upgrades!$M$15+G151*Upgrades!$N$15)*POWER(Upgrades!$O$15,G151)))*(IF(Upgrades!$T$13="Microlensing",POWER(Upgrades!$U$13,E151),1)*IF(Upgrades!$T$14="Microlensing",POWER(Upgrades!$U$14,F151),1)*IF(Upgrades!$T$16="Microlensing",POWER(Upgrades!$U$16,H151),1)*IF(Upgrades!$T$17="Microlensing",POWER(Upgrades!$U$17,I151),1)*IF(Upgrades!$T$18="Microlensing",POWER(Upgrades!$U$18,J151),1)*IF(Upgrades!$T$19="Microlensing",POWER(Upgrades!$U$19,K151),1)*IF(Upgrades!$T$20="Microlensing",POWER(Upgrades!$U$20,L151),1)*IF(Upgrades!$T$21="Microlensing",POWER(Upgrades!$U$21,M151),1))+(IF(H151=0,0,(Upgrades!$M$16+H151*Upgrades!$N$16)*POWER(Upgrades!$O$16,H151)))*(IF(Upgrades!$T$13="Roche Lobe Overflow",POWER(Upgrades!$U$13,E151),1)*IF(Upgrades!$T$14="Roche Lobe Overflow",POWER(Upgrades!$U$14,F151),1)*IF(Upgrades!$T$15="Roche Lobe Overflow",POWER(Upgrades!$U$15,G151),1)*IF(Upgrades!$T$17="Roche Lobe Overflow",POWER(Upgrades!$U$17,I151),1)*IF(Upgrades!$T$18="Roche Lobe Overflow",POWER(Upgrades!$U$18,J151),1)*IF(Upgrades!$T$19="Roche Lobe Overflow",POWER(Upgrades!$U$19,K151),1)*IF(Upgrades!$T$20="Roche Lobe Overflow",POWER(Upgrades!$U$20,L151),1)*IF(Upgrades!$T$21="Roche Lobe Overflow",POWER(Upgrades!$U$21,M151),1))+(IF(I151=0,0,(Upgrades!$M$17+I151*Upgrades!$N$17)*POWER(Upgrades!$O$17,I151)))*(IF(Upgrades!$T$13="Brown Dwarf",POWER(Upgrades!$U$13,E151),1)*IF(Upgrades!$T$14="Brown Dwarf",POWER(Upgrades!$U$14,F151),1)*IF(Upgrades!$T$15="Brown Dwarf",POWER(Upgrades!$U$15,G151),1)*IF(Upgrades!$T$16="Brown Dwarf",POWER(Upgrades!$U$16,H151),1)*IF(Upgrades!$T$18="Brown Dwarf",POWER(Upgrades!$U$18,J151),1)*IF(Upgrades!$T$19="Brown Dwarf",POWER(Upgrades!$U$19,K151),1)*IF(Upgrades!$T$20="Brown Dwarf",POWER(Upgrades!$U$20,L151),1)*IF(Upgrades!$T$21="Brown Dwarf",POWER(Upgrades!$U$21,M151),1))+(IF(J151=0,0,(Upgrades!$M$18+J151*Upgrades!$N$18)*POWER(Upgrades!$O$18,J151)))*(IF(Upgrades!$T$13="Binary Partner",POWER(Upgrades!$U$13,E151),1)*IF(Upgrades!$T$14="Binary Partner",POWER(Upgrades!$U$14,F151),1)*IF(Upgrades!$T$15="Binary Partner",POWER(Upgrades!$U$15,G151),1)*IF(Upgrades!$T$16="Binary Partner",POWER(Upgrades!$U$16,H151),1)*IF(Upgrades!$T$17="Binary Partner",POWER(Upgrades!$U$17,I151),1)*IF(Upgrades!$T$19="Binary Partner",POWER(Upgrades!$U$19,K151),1)*IF(Upgrades!$T$20="Binary Partner",POWER(Upgrades!$U$20,L151),1)*IF(Upgrades!$T$21="Binary Partner",POWER(Upgrades!$U$21,M151),1))+(IF(K151=0,0,(Upgrades!$M$19+K151*Upgrades!$N$19)*POWER(Upgrades!$O$19,K151)))*(IF(Upgrades!$T$13="Peculiar Velocity",POWER(Upgrades!$U$13,E151),1)*IF(Upgrades!$T$14="Peculiar Velocity",POWER(Upgrades!$U$14,F151),1)*IF(Upgrades!$T$15="Peculiar Velocity",POWER(Upgrades!$U$15,G151),1)*IF(Upgrades!$T$16="Peculiar Velocity",POWER(Upgrades!$U$16,H151),1)*IF(Upgrades!$T$17="Peculiar Velocity",POWER(Upgrades!$U$17,I151),1)*IF(Upgrades!$T$18="Peculiar Velocity",POWER(Upgrades!$U$18,J151),1)*IF(Upgrades!$T$20="Peculiar Velocity",POWER(Upgrades!$U$20,L151),1)*IF(Upgrades!$T$21="Peculiar Velocity",POWER(Upgrades!$U$21,M151),1))+(IF(L151=0,0,(Upgrades!$M$20+L151*Upgrades!$N$20)*POWER(Upgrades!$O$20,L151)))*(IF(Upgrades!$T$13="Open Cluster",POWER(Upgrades!$U$13,E151),1)*IF(Upgrades!$T$14="Open Cluster",POWER(Upgrades!$U$14,F151),1)*IF(Upgrades!$T$15="Open Cluster",POWER(Upgrades!$U$15,G151),1)*IF(Upgrades!$T$16="Open Cluster",POWER(Upgrades!$U$16,H151),1)*IF(Upgrades!$T$17="Open Cluster",POWER(Upgrades!$U$17,I151),1)*IF(Upgrades!$T$18="Open Cluster",POWER(Upgrades!$U$18,J151),1)*IF(Upgrades!$T$19="Open Cluster",POWER(Upgrades!$U$19,K151),1)*IF(Upgrades!$T$21="Open Cluster",POWER(Upgrades!$U$21,M151),1))+(IF(M151=0,0,(Upgrades!$M$21+M151*Upgrades!$N$21)*POWER(Upgrades!$O$21,M151)))*(IF(Upgrades!$T$13="Moving Group",POWER(Upgrades!$U$13,E151),1)*IF(Upgrades!$T$14="Moving Group",POWER(Upgrades!$U$14,F151),1)*IF(Upgrades!$T$15="Moving Group",POWER(Upgrades!$U$15,G151),1)*IF(Upgrades!$T$16="Moving Group",POWER(Upgrades!$U$16,H151),1)*IF(Upgrades!$T$17="Moving Group",POWER(Upgrades!$U$17,I151),1)*IF(Upgrades!$T$18="Moving Group",POWER(Upgrades!$U$18,J151),1)*IF(Upgrades!$T$19="Moving Group",POWER(Upgrades!$U$19,K151),1)*IF(Upgrades!$T$20="Moving Group",POWER(Upgrades!$U$20,L151),1)))*POWER(Upgrades!$R$13,E151)*POWER(Upgrades!$R$14,F151)*POWER(Upgrades!$R$15,G151)*POWER(Upgrades!$R$16,H151)*POWER(Upgrades!$R$17,I151)*POWER(Upgrades!$R$18,J151)*POWER(Upgrades!$R$19,K151)*POWER(Upgrades!$R$20,L151)*POWER(Upgrades!$R$21,M151)*$H$6+$E$6</f>
        <v/>
      </c>
      <c r="R151" s="27">
        <f>IF(N151=1,0,O151*Parameters!$B$10/60*Parameters!$B$11*10)</f>
        <v/>
      </c>
      <c r="S151" s="27">
        <f>IF(N151=1,0,Q151*O151*10)</f>
        <v/>
      </c>
      <c r="T151" s="27">
        <f>IF(N151=1,0,R151+S151+P151*10)</f>
        <v/>
      </c>
      <c r="U151" s="33">
        <f>BE151</f>
        <v/>
      </c>
      <c r="V151" s="22">
        <f>IF(U151="",0,IF(U151="transition",0,IF(U151="SK",AK151,IF(U151="LB",AL151,IF(U151="ML",AM151,IF(U151="RLO",AN151,IF(U151="BD",AO151,IF(U151="BiP",AP151,IF(U151="PV",AQ151,IF(U151="OC",AR151,IF(U151="MG",AS151,0))))))))))</f>
        <v/>
      </c>
      <c r="W151" s="27">
        <f>IF(U151="BiP",Upgrades!$F$18,IF(U151="PV",Upgrades!$F$19,IF(U151="OC",Upgrades!$F$20,IF(U151="MG",Upgrades!$F$21,IF(U151="transition",-Parameters!$B$18*Parameters!$B$19,0)))))</f>
        <v/>
      </c>
      <c r="X151" s="22">
        <f>C151+T151-V151</f>
        <v/>
      </c>
      <c r="Y151" s="30">
        <f>O151*Parameters!$B$10/60*Parameters!$B$11+Q151*O151+P151</f>
        <v/>
      </c>
      <c r="Z151" s="34">
        <f>IF(U151="transition","→ Tier 3 (Galactic Arm)",IF(U151="MG","Moving Group — pocket drifts together",IF(U151="OC","Open Cluster acquired",IF(U151="PV","Peculiar Velocity — passive multiplier active",IF(U151="BiP","Binary Partner — pair bond formed",IF(AND(AU151=1,N151=0,AT151&lt;&gt;1),"Cohesion ready (waiting on completionists)","")))))) </f>
        <v/>
      </c>
      <c r="AA151" s="27">
        <f>(IF(E151=0,0,(Upgrades!$G$13+E151*Upgrades!$H$13)*POWER(Upgrades!$I$13,E151)))*(IF(Upgrades!$T$14="Stellar Kinematics",POWER(Upgrades!$U$14,F151),1)*IF(Upgrades!$T$15="Stellar Kinematics",POWER(Upgrades!$U$15,G151),1)*IF(Upgrades!$T$16="Stellar Kinematics",POWER(Upgrades!$U$16,H151),1)*IF(Upgrades!$T$17="Stellar Kinematics",POWER(Upgrades!$U$17,I151),1)*IF(Upgrades!$T$18="Stellar Kinematics",POWER(Upgrades!$U$18,J151),1)*IF(Upgrades!$T$19="Stellar Kinematics",POWER(Upgrades!$U$19,K151),1)*IF(Upgrades!$T$20="Stellar Kinematics",POWER(Upgrades!$U$20,L151),1)*IF(Upgrades!$T$21="Stellar Kinematics",POWER(Upgrades!$U$21,M151),1))*POWER(Upgrades!$P$13,E151)*POWER(Upgrades!$P$14,F151)*POWER(Upgrades!$P$15,G151)*POWER(Upgrades!$P$16,H151)*POWER(Upgrades!$P$17,I151)*POWER(Upgrades!$P$18,J151)*POWER(Upgrades!$P$19,K151)*POWER(Upgrades!$P$20,L151)*POWER(Upgrades!$P$21,M151)*$F$6*60</f>
        <v/>
      </c>
      <c r="AB151" s="27">
        <f>(IF(F151=0,0,(Upgrades!$G$14+F151*Upgrades!$H$14)*POWER(Upgrades!$I$14,F151)))*(IF(Upgrades!$T$13="Local Bubble",POWER(Upgrades!$U$13,E151),1)*IF(Upgrades!$T$15="Local Bubble",POWER(Upgrades!$U$15,G151),1)*IF(Upgrades!$T$16="Local Bubble",POWER(Upgrades!$U$16,H151),1)*IF(Upgrades!$T$17="Local Bubble",POWER(Upgrades!$U$17,I151),1)*IF(Upgrades!$T$18="Local Bubble",POWER(Upgrades!$U$18,J151),1)*IF(Upgrades!$T$19="Local Bubble",POWER(Upgrades!$U$19,K151),1)*IF(Upgrades!$T$20="Local Bubble",POWER(Upgrades!$U$20,L151),1)*IF(Upgrades!$T$21="Local Bubble",POWER(Upgrades!$U$21,M151),1))*POWER(Upgrades!$P$13,E151)*POWER(Upgrades!$P$14,F151)*POWER(Upgrades!$P$15,G151)*POWER(Upgrades!$P$16,H151)*POWER(Upgrades!$P$17,I151)*POWER(Upgrades!$P$18,J151)*POWER(Upgrades!$P$19,K151)*POWER(Upgrades!$P$20,L151)*POWER(Upgrades!$P$21,M151)*$F$6*60</f>
        <v/>
      </c>
      <c r="AC151" s="27">
        <f>(IF(G151=0,0,(Upgrades!$J$15+G151*Upgrades!$K$15)*POWER(Upgrades!$L$15,G151)))*(IF(Upgrades!$T$13="Microlensing",POWER(Upgrades!$U$13,E151),1)*IF(Upgrades!$T$14="Microlensing",POWER(Upgrades!$U$14,F151),1)*IF(Upgrades!$T$16="Microlensing",POWER(Upgrades!$U$16,H151),1)*IF(Upgrades!$T$17="Microlensing",POWER(Upgrades!$U$17,I151),1)*IF(Upgrades!$T$18="Microlensing",POWER(Upgrades!$U$18,J151),1)*IF(Upgrades!$T$19="Microlensing",POWER(Upgrades!$U$19,K151),1)*IF(Upgrades!$T$20="Microlensing",POWER(Upgrades!$U$20,L151),1)*IF(Upgrades!$T$21="Microlensing",POWER(Upgrades!$U$21,M151),1))*POWER(Upgrades!$Q$13,E151)*POWER(Upgrades!$Q$14,F151)*POWER(Upgrades!$Q$15,G151)*POWER(Upgrades!$Q$16,H151)*POWER(Upgrades!$Q$17,I151)*POWER(Upgrades!$Q$18,J151)*POWER(Upgrades!$Q$19,K151)*POWER(Upgrades!$Q$20,L151)*POWER(Upgrades!$Q$21,M151)*$G$6*(Parameters!$B$10*Parameters!$B$11+Q151*60)</f>
        <v/>
      </c>
      <c r="AD151" s="27">
        <f>(IF(H151=0,0,(Upgrades!$M$16+H151*Upgrades!$N$16)*POWER(Upgrades!$O$16,H151)))*(IF(Upgrades!$T$13="Roche Lobe Overflow",POWER(Upgrades!$U$13,E151),1)*IF(Upgrades!$T$14="Roche Lobe Overflow",POWER(Upgrades!$U$14,F151),1)*IF(Upgrades!$T$15="Roche Lobe Overflow",POWER(Upgrades!$U$15,G151),1)*IF(Upgrades!$T$17="Roche Lobe Overflow",POWER(Upgrades!$U$17,I151),1)*IF(Upgrades!$T$18="Roche Lobe Overflow",POWER(Upgrades!$U$18,J151),1)*IF(Upgrades!$T$19="Roche Lobe Overflow",POWER(Upgrades!$U$19,K151),1)*IF(Upgrades!$T$20="Roche Lobe Overflow",POWER(Upgrades!$U$20,L151),1)*IF(Upgrades!$T$21="Roche Lobe Overflow",POWER(Upgrades!$U$21,M151),1))*POWER(Upgrades!$R$13,E151)*POWER(Upgrades!$R$14,F151)*POWER(Upgrades!$R$15,G151)*POWER(Upgrades!$R$16,H151)*POWER(Upgrades!$R$17,I151)*POWER(Upgrades!$R$18,J151)*POWER(Upgrades!$R$19,K151)*POWER(Upgrades!$R$20,L151)*POWER(Upgrades!$R$21,M151)*$H$6*O151*60</f>
        <v/>
      </c>
      <c r="AE151" s="27">
        <f>(IF(I151=0,0,(Upgrades!$G$17+I151*Upgrades!$H$17)*POWER(Upgrades!$I$17,I151)))*(IF(Upgrades!$T$13="Brown Dwarf",POWER(Upgrades!$U$13,E151),1)*IF(Upgrades!$T$14="Brown Dwarf",POWER(Upgrades!$U$14,F151),1)*IF(Upgrades!$T$15="Brown Dwarf",POWER(Upgrades!$U$15,G151),1)*IF(Upgrades!$T$16="Brown Dwarf",POWER(Upgrades!$U$16,H151),1)*IF(Upgrades!$T$18="Brown Dwarf",POWER(Upgrades!$U$18,J151),1)*IF(Upgrades!$T$19="Brown Dwarf",POWER(Upgrades!$U$19,K151),1)*IF(Upgrades!$T$20="Brown Dwarf",POWER(Upgrades!$U$20,L151),1)*IF(Upgrades!$T$21="Brown Dwarf",POWER(Upgrades!$U$21,M151),1))*POWER(Upgrades!$P$13,E151)*POWER(Upgrades!$P$14,F151)*POWER(Upgrades!$P$15,G151)*POWER(Upgrades!$P$16,H151)*POWER(Upgrades!$P$17,I151)*POWER(Upgrades!$P$18,J151)*POWER(Upgrades!$P$19,K151)*POWER(Upgrades!$P$20,L151)*POWER(Upgrades!$P$21,M151)*$F$6*60</f>
        <v/>
      </c>
      <c r="AF151" s="27" t="n">
        <v>0</v>
      </c>
      <c r="AG151" s="27" t="n">
        <v>0</v>
      </c>
      <c r="AH151" s="27" t="n">
        <v>0</v>
      </c>
      <c r="AI151" s="27">
        <f>(IF(M151=0,0,(Upgrades!$G$21+M151*Upgrades!$H$21)*POWER(Upgrades!$I$21,M151)))*(IF(Upgrades!$T$13="Moving Group",POWER(Upgrades!$U$13,E151),1)*IF(Upgrades!$T$14="Moving Group",POWER(Upgrades!$U$14,F151),1)*IF(Upgrades!$T$15="Moving Group",POWER(Upgrades!$U$15,G151),1)*IF(Upgrades!$T$16="Moving Group",POWER(Upgrades!$U$16,H151),1)*IF(Upgrades!$T$17="Moving Group",POWER(Upgrades!$U$17,I151),1)*IF(Upgrades!$T$18="Moving Group",POWER(Upgrades!$U$18,J151),1)*IF(Upgrades!$T$19="Moving Group",POWER(Upgrades!$U$19,K151),1)*IF(Upgrades!$T$20="Moving Group",POWER(Upgrades!$U$20,L151),1))*POWER(Upgrades!$P$13,E151)*POWER(Upgrades!$P$14,F151)*POWER(Upgrades!$P$15,G151)*POWER(Upgrades!$P$16,H151)*POWER(Upgrades!$P$17,I151)*POWER(Upgrades!$P$18,J151)*POWER(Upgrades!$P$19,K151)*POWER(Upgrades!$P$20,L151)*POWER(Upgrades!$P$21,M151)*$F$6*60</f>
        <v/>
      </c>
      <c r="AJ151" s="27">
        <f>$C$6*60</f>
        <v/>
      </c>
      <c r="AK151" s="22">
        <f>IF(E151&gt;=Upgrades!$E$13,"",Upgrades!$C$13*POWER(Upgrades!$D$13,E151))</f>
        <v/>
      </c>
      <c r="AL151" s="22">
        <f>IF(F151&gt;=Upgrades!$E$14,"",Upgrades!$C$14*POWER(Upgrades!$D$14,F151))</f>
        <v/>
      </c>
      <c r="AM151" s="22">
        <f>IF(G151&gt;=Upgrades!$E$15,"",Upgrades!$C$15*POWER(Upgrades!$D$15,G151))</f>
        <v/>
      </c>
      <c r="AN151" s="22">
        <f>IF(H151&gt;=Upgrades!$E$16,"",Upgrades!$C$16*POWER(Upgrades!$D$16,H151))</f>
        <v/>
      </c>
      <c r="AO151" s="22">
        <f>IF(I151&gt;=Upgrades!$E$17,"",Upgrades!$C$17*POWER(Upgrades!$D$17,I151))</f>
        <v/>
      </c>
      <c r="AP151" s="22">
        <f>IF(J151&gt;=Upgrades!$E$18,"",Upgrades!$C$18*POWER(Upgrades!$D$18,J151))</f>
        <v/>
      </c>
      <c r="AQ151" s="22">
        <f>IF(K151&gt;=Upgrades!$E$19,"",Upgrades!$C$19*POWER(Upgrades!$D$19,K151))</f>
        <v/>
      </c>
      <c r="AR151" s="22">
        <f>IF(L151&gt;=Upgrades!$E$20,"",Upgrades!$C$20*POWER(Upgrades!$D$20,L151))</f>
        <v/>
      </c>
      <c r="AS151" s="22">
        <f>IF(M151&gt;=Upgrades!$E$21,"",Upgrades!$C$21*POWER(Upgrades!$D$21,M151))</f>
        <v/>
      </c>
      <c r="AT151" s="26">
        <f>IF(AND(D151&gt;=Parameters!$B$18*Parameters!$B$19,(I151&gt;=Upgrades!$E$17)*(M151&gt;=Upgrades!$E$21)=1,N151=0),1,"")</f>
        <v/>
      </c>
      <c r="AU151" s="26">
        <f>IF(AND(D151&gt;=Parameters!$B$18*Parameters!$B$19,N151=0),1,"")</f>
        <v/>
      </c>
      <c r="AV151" s="22">
        <f>MIN(IF(ISNUMBER(AP151),AP151,9E15),IF(ISNUMBER(AQ151),AQ151,9E15),IF(ISNUMBER(AR151),AR151,9E15),IF(ISNUMBER(AS151),AS151,9E15))</f>
        <v/>
      </c>
      <c r="AW151" s="22">
        <f>MIN(IF(ISNUMBER(AK151),AK151,9E15),IF(ISNUMBER(AL151),AL151,9E15),IF(ISNUMBER(AM151),AM151,9E15),IF(ISNUMBER(AN151),AN151,9E15),IF(ISNUMBER(AO151),AO151,9E15))</f>
        <v/>
      </c>
      <c r="AX151" s="29">
        <f>IF(BD151&gt;Parameters!$B$21*(MAX(IF(AND(NOT(AND(AU151=1,AT151&lt;&gt;1)),ISNUMBER(AK151),AK151&lt;=(C151+T151)),AY151,0),IF(AND(NOT(AND(AU151=1,AT151&lt;&gt;1)),ISNUMBER(AL151),AL151&lt;=(C151+T151)),AZ151,0),IF(AND(NOT(AND(AU151=1,AT151&lt;&gt;1)),ISNUMBER(AM151),AM151&lt;=(C151+T151)),BA151,0),IF(AND(NOT(AND(AU151=1,AT151&lt;&gt;1)),ISNUMBER(AN151),AN151&lt;=(C151+T151)),BB151,0),IF(AND(ISNUMBER(AO151),AO151&lt;=(C151+T151)),BC151,0))),TRUE,FALSE)</f>
        <v/>
      </c>
      <c r="AY151" s="32">
        <f>IFERROR(Upgrades!$H$13*(POWER(Upgrades!$P$13,E151)*POWER(Upgrades!$P$14,F151)*POWER(Upgrades!$P$15,G151)*POWER(Upgrades!$P$16,H151)*POWER(Upgrades!$P$17,I151)*POWER(Upgrades!$P$18,J151)*POWER(Upgrades!$P$19,K151)*POWER(Upgrades!$P$20,L151)*POWER(Upgrades!$P$21,M151))*(IF(Upgrades!$T$14="Stellar Kinematics",POWER(Upgrades!$U$14,F151),1)*IF(Upgrades!$T$15="Stellar Kinematics",POWER(Upgrades!$U$15,G151),1)*IF(Upgrades!$T$16="Stellar Kinematics",POWER(Upgrades!$U$16,H151),1)*IF(Upgrades!$T$17="Stellar Kinematics",POWER(Upgrades!$U$17,I151),1)*IF(Upgrades!$T$18="Stellar Kinematics",POWER(Upgrades!$U$18,J151),1)*IF(Upgrades!$T$19="Stellar Kinematics",POWER(Upgrades!$U$19,K151),1)*IF(Upgrades!$T$20="Stellar Kinematics",POWER(Upgrades!$U$20,L151),1)*IF(Upgrades!$T$21="Stellar Kinematics",POWER(Upgrades!$U$21,M151),1))*$F$6/AK151,0)</f>
        <v/>
      </c>
      <c r="AZ151" s="32">
        <f>IFERROR(Upgrades!$H$14*(POWER(Upgrades!$P$13,E151)*POWER(Upgrades!$P$14,F151)*POWER(Upgrades!$P$15,G151)*POWER(Upgrades!$P$16,H151)*POWER(Upgrades!$P$17,I151)*POWER(Upgrades!$P$18,J151)*POWER(Upgrades!$P$19,K151)*POWER(Upgrades!$P$20,L151)*POWER(Upgrades!$P$21,M151))*(IF(Upgrades!$T$13="Local Bubble",POWER(Upgrades!$U$13,E151),1)*IF(Upgrades!$T$15="Local Bubble",POWER(Upgrades!$U$15,G151),1)*IF(Upgrades!$T$16="Local Bubble",POWER(Upgrades!$U$16,H151),1)*IF(Upgrades!$T$17="Local Bubble",POWER(Upgrades!$U$17,I151),1)*IF(Upgrades!$T$18="Local Bubble",POWER(Upgrades!$U$18,J151),1)*IF(Upgrades!$T$19="Local Bubble",POWER(Upgrades!$U$19,K151),1)*IF(Upgrades!$T$20="Local Bubble",POWER(Upgrades!$U$20,L151),1)*IF(Upgrades!$T$21="Local Bubble",POWER(Upgrades!$U$21,M151),1))*$F$6/AL151,0)</f>
        <v/>
      </c>
      <c r="BA151" s="32">
        <f>IFERROR(Upgrades!$K$15*(POWER(Upgrades!$Q$13,E151)*POWER(Upgrades!$Q$14,F151)*POWER(Upgrades!$Q$15,G151)*POWER(Upgrades!$Q$16,H151)*POWER(Upgrades!$Q$17,I151)*POWER(Upgrades!$Q$18,J151)*POWER(Upgrades!$Q$19,K151)*POWER(Upgrades!$Q$20,L151)*POWER(Upgrades!$Q$21,M151))*(IF(Upgrades!$T$13="Microlensing",POWER(Upgrades!$U$13,E151),1)*IF(Upgrades!$T$14="Microlensing",POWER(Upgrades!$U$14,F151),1)*IF(Upgrades!$T$16="Microlensing",POWER(Upgrades!$U$16,H151),1)*IF(Upgrades!$T$17="Microlensing",POWER(Upgrades!$U$17,I151),1)*IF(Upgrades!$T$18="Microlensing",POWER(Upgrades!$U$18,J151),1)*IF(Upgrades!$T$19="Microlensing",POWER(Upgrades!$U$19,K151),1)*IF(Upgrades!$T$20="Microlensing",POWER(Upgrades!$U$20,L151),1)*IF(Upgrades!$T$21="Microlensing",POWER(Upgrades!$U$21,M151),1))*$G$6*(Parameters!$B$10/60*Parameters!$B$11+Q151)/AM151,0)</f>
        <v/>
      </c>
      <c r="BB151" s="32">
        <f>IFERROR((Upgrades!$N$16*(POWER(Upgrades!$R$13,E151)*POWER(Upgrades!$R$14,F151)*POWER(Upgrades!$R$15,G151)*POWER(Upgrades!$R$16,H151)*POWER(Upgrades!$R$17,I151)*POWER(Upgrades!$R$18,J151)*POWER(Upgrades!$R$19,K151)*POWER(Upgrades!$R$20,L151)*POWER(Upgrades!$R$21,M151))*(IF(Upgrades!$T$13="Roche Lobe Overflow",POWER(Upgrades!$U$13,E151),1)*IF(Upgrades!$T$14="Roche Lobe Overflow",POWER(Upgrades!$U$14,F151),1)*IF(Upgrades!$T$15="Roche Lobe Overflow",POWER(Upgrades!$U$15,G151),1)*IF(Upgrades!$T$17="Roche Lobe Overflow",POWER(Upgrades!$U$17,I151),1)*IF(Upgrades!$T$18="Roche Lobe Overflow",POWER(Upgrades!$U$18,J151),1)*IF(Upgrades!$T$19="Roche Lobe Overflow",POWER(Upgrades!$U$19,K151),1)*IF(Upgrades!$T$20="Roche Lobe Overflow",POWER(Upgrades!$U$20,L151),1)*IF(Upgrades!$T$21="Roche Lobe Overflow",POWER(Upgrades!$U$21,M151),1))*$H$6*O151+((IF(F151=0,0,(Upgrades!$G$14+F151*Upgrades!$H$14)*POWER(Upgrades!$I$14,F151)))*(IF(Upgrades!$T$13="Local Bubble",POWER(Upgrades!$U$13,E151),1)*IF(Upgrades!$T$15="Local Bubble",POWER(Upgrades!$U$15,G151),1)*IF(Upgrades!$T$16="Local Bubble",POWER(Upgrades!$U$16,H151),1)*IF(Upgrades!$T$17="Local Bubble",POWER(Upgrades!$U$17,I151),1)*IF(Upgrades!$T$18="Local Bubble",POWER(Upgrades!$U$18,J151),1)*IF(Upgrades!$T$19="Local Bubble",POWER(Upgrades!$U$19,K151),1)*IF(Upgrades!$T$20="Local Bubble",POWER(Upgrades!$U$20,L151),1)*IF(Upgrades!$T$21="Local Bubble",POWER(Upgrades!$U$21,M151),1))*POWER(Upgrades!$P$13,E151)*POWER(Upgrades!$P$14,F151)*POWER(Upgrades!$P$15,G151)*POWER(Upgrades!$P$16,H151)*POWER(Upgrades!$P$17,I151)*POWER(Upgrades!$P$18,J151)*POWER(Upgrades!$P$19,K151)*POWER(Upgrades!$P$20,L151)*POWER(Upgrades!$P$21,M151)*$F$6)*0.05)/AN151,0)</f>
        <v/>
      </c>
      <c r="BC151" s="32">
        <f>IFERROR((Upgrades!$H$17*(POWER(Upgrades!$P$13,E151)*POWER(Upgrades!$P$14,F151)*POWER(Upgrades!$P$15,G151)*POWER(Upgrades!$P$16,H151)*POWER(Upgrades!$P$17,I151)*POWER(Upgrades!$P$18,J151)*POWER(Upgrades!$P$19,K151)*POWER(Upgrades!$P$20,L151)*POWER(Upgrades!$P$21,M151))*(IF(Upgrades!$T$13="Brown Dwarf",POWER(Upgrades!$U$13,E151),1)*IF(Upgrades!$T$14="Brown Dwarf",POWER(Upgrades!$U$14,F151),1)*IF(Upgrades!$T$15="Brown Dwarf",POWER(Upgrades!$U$15,G151),1)*IF(Upgrades!$T$16="Brown Dwarf",POWER(Upgrades!$U$16,H151),1)*IF(Upgrades!$T$18="Brown Dwarf",POWER(Upgrades!$U$18,J151),1)*IF(Upgrades!$T$19="Brown Dwarf",POWER(Upgrades!$U$19,K151),1)*IF(Upgrades!$T$20="Brown Dwarf",POWER(Upgrades!$U$20,L151),1)*IF(Upgrades!$T$21="Brown Dwarf",POWER(Upgrades!$U$21,M151),1))*$F$6+(((IF(H151=0,0,(Upgrades!$M$16+H151*Upgrades!$N$16)*POWER(Upgrades!$O$16,H151)))*(IF(Upgrades!$T$13="Roche Lobe Overflow",POWER(Upgrades!$U$13,E151),1)*IF(Upgrades!$T$14="Roche Lobe Overflow",POWER(Upgrades!$U$14,F151),1)*IF(Upgrades!$T$15="Roche Lobe Overflow",POWER(Upgrades!$U$15,G151),1)*IF(Upgrades!$T$17="Roche Lobe Overflow",POWER(Upgrades!$U$17,I151),1)*IF(Upgrades!$T$18="Roche Lobe Overflow",POWER(Upgrades!$U$18,J151),1)*IF(Upgrades!$T$19="Roche Lobe Overflow",POWER(Upgrades!$U$19,K151),1)*IF(Upgrades!$T$20="Roche Lobe Overflow",POWER(Upgrades!$U$20,L151),1)*IF(Upgrades!$T$21="Roche Lobe Overflow",POWER(Upgrades!$U$21,M151),1))*POWER(Upgrades!$R$13,E151)*POWER(Upgrades!$R$14,F151)*POWER(Upgrades!$R$15,G151)*POWER(Upgrades!$R$16,H151)*POWER(Upgrades!$R$17,I151)*POWER(Upgrades!$R$18,J151)*POWER(Upgrades!$R$19,K151)*POWER(Upgrades!$R$20,L151)*POWER(Upgrades!$R$21,M151)*$H$6)*O151)*0.10)/AO151,0)</f>
        <v/>
      </c>
      <c r="BD151" s="32">
        <f>MAX(IF(J151&gt;0,0,IFERROR(0.5*((IF(G151=0,0,(Upgrades!$J$15+G151*Upgrades!$K$15)*POWER(Upgrades!$L$15,G151)))*(IF(Upgrades!$T$13="Microlensing",POWER(Upgrades!$U$13,E151),1)*IF(Upgrades!$T$14="Microlensing",POWER(Upgrades!$U$14,F151),1)*IF(Upgrades!$T$16="Microlensing",POWER(Upgrades!$U$16,H151),1)*IF(Upgrades!$T$17="Microlensing",POWER(Upgrades!$U$17,I151),1)*IF(Upgrades!$T$18="Microlensing",POWER(Upgrades!$U$18,J151),1)*IF(Upgrades!$T$19="Microlensing",POWER(Upgrades!$U$19,K151),1)*IF(Upgrades!$T$20="Microlensing",POWER(Upgrades!$U$20,L151),1)*IF(Upgrades!$T$21="Microlensing",POWER(Upgrades!$U$21,M151),1))*(POWER(Upgrades!$Q$13,E151)*POWER(Upgrades!$Q$14,F151)*POWER(Upgrades!$Q$15,G151)*POWER(Upgrades!$Q$16,H151)*POWER(Upgrades!$Q$17,I151)*POWER(Upgrades!$Q$18,J151)*POWER(Upgrades!$Q$19,K151)*POWER(Upgrades!$Q$20,L151)*POWER(Upgrades!$Q$21,M151))*$G$6*(Parameters!$B$10/60*Parameters!$B$11+Q151))/Upgrades!$C$18,0)),IF(K151&gt;0,0,IFERROR(0.30*P151/Upgrades!$C$19,0)),IF(L151&gt;0,0,IFERROR(0.0001/Upgrades!$C$20,0)),IF(M151&gt;0,0,IFERROR((6.0*(POWER(Upgrades!$P$13,E151)*POWER(Upgrades!$P$14,F151)*POWER(Upgrades!$P$15,G151)*POWER(Upgrades!$P$16,H151)*POWER(Upgrades!$P$17,I151)*POWER(Upgrades!$P$18,J151)*POWER(Upgrades!$P$19,K151)*POWER(Upgrades!$P$20,L151)*POWER(Upgrades!$P$21,M151))*$F$6+0.20*O151*(Parameters!$B$10/60*Parameters!$B$11+Q151))/Upgrades!$C$21,0)),IF(AND(ISNUMBER(AK151),AK151&gt;(C151+T151)),AY151,0),IF(AND(ISNUMBER(AL151),AL151&gt;(C151+T151)),AZ151,0),IF(AND(ISNUMBER(AM151),AM151&gt;(C151+T151)),BA151,0),IF(AND(ISNUMBER(AN151),AN151&gt;(C151+T151)),BB151,0),IF(AND(ISNUMBER(AO151),AO151&gt;(C151+T151)),BC151,0))</f>
        <v/>
      </c>
      <c r="BE151" s="29">
        <f>IF(AT151=1,"transition",IF(MIN(IF(AND(J151=0,ISNUMBER(AP151),AP151&lt;=(C151+T151)),AP151,9E15),IF(AND(K151=0,ISNUMBER(AQ151),AQ151&lt;=(C151+T151)),AQ151,9E15),IF(AND(L151=0,ISNUMBER(AR151),AR151&lt;=(C151+T151)),AR151,9E15),IF(AND(M151=0,ISNUMBER(AS151),AS151&lt;=(C151+T151)),AS151,9E15))&lt;9E15,IF(AND(AND(J151=0,ISNUMBER(AP151),AP151&lt;=(C151+T151)),AP151=MIN(IF(AND(J151=0,ISNUMBER(AP151),AP151&lt;=(C151+T151)),AP151,9E15),IF(AND(K151=0,ISNUMBER(AQ151),AQ151&lt;=(C151+T151)),AQ151,9E15),IF(AND(L151=0,ISNUMBER(AR151),AR151&lt;=(C151+T151)),AR151,9E15),IF(AND(M151=0,ISNUMBER(AS151),AS151&lt;=(C151+T151)),AS151,9E15))),"BiP",IF(AND(AND(K151=0,ISNUMBER(AQ151),AQ151&lt;=(C151+T151)),AQ151=MIN(IF(AND(J151=0,ISNUMBER(AP151),AP151&lt;=(C151+T151)),AP151,9E15),IF(AND(K151=0,ISNUMBER(AQ151),AQ151&lt;=(C151+T151)),AQ151,9E15),IF(AND(L151=0,ISNUMBER(AR151),AR151&lt;=(C151+T151)),AR151,9E15),IF(AND(M151=0,ISNUMBER(AS151),AS151&lt;=(C151+T151)),AS151,9E15))),"PV",IF(AND(AND(L151=0,ISNUMBER(AR151),AR151&lt;=(C151+T151)),AR151=MIN(IF(AND(J151=0,ISNUMBER(AP151),AP151&lt;=(C151+T151)),AP151,9E15),IF(AND(K151=0,ISNUMBER(AQ151),AQ151&lt;=(C151+T151)),AQ151,9E15),IF(AND(L151=0,ISNUMBER(AR151),AR151&lt;=(C151+T151)),AR151,9E15),IF(AND(M151=0,ISNUMBER(AS151),AS151&lt;=(C151+T151)),AS151,9E15))),"OC","MG"))),IF(AX151=TRUE,"",IF(MAX(IF(AND(NOT(AND(AU151=1,AT151&lt;&gt;1)),ISNUMBER(AK151),AK151&lt;=(C151+T151)),AY151,0),IF(AND(NOT(AND(AU151=1,AT151&lt;&gt;1)),ISNUMBER(AL151),AL151&lt;=(C151+T151)),AZ151,0),IF(AND(NOT(AND(AU151=1,AT151&lt;&gt;1)),ISNUMBER(AM151),AM151&lt;=(C151+T151)),BA151,0),IF(AND(NOT(AND(AU151=1,AT151&lt;&gt;1)),ISNUMBER(AN151),AN151&lt;=(C151+T151)),BB151,0),IF(AND(ISNUMBER(AO151),AO151&lt;=(C151+T151)),BC151,0))&lt;=0,"",IF(AND(IF(AND(NOT(AND(AU151=1,AT151&lt;&gt;1)),ISNUMBER(AK151),AK151&lt;=(C151+T151)),AY151,0)&gt;0,IF(AND(NOT(AND(AU151=1,AT151&lt;&gt;1)),ISNUMBER(AK151),AK151&lt;=(C151+T151)),AY151,0)=MAX(IF(AND(NOT(AND(AU151=1,AT151&lt;&gt;1)),ISNUMBER(AK151),AK151&lt;=(C151+T151)),AY151,0),IF(AND(NOT(AND(AU151=1,AT151&lt;&gt;1)),ISNUMBER(AL151),AL151&lt;=(C151+T151)),AZ151,0),IF(AND(NOT(AND(AU151=1,AT151&lt;&gt;1)),ISNUMBER(AM151),AM151&lt;=(C151+T151)),BA151,0),IF(AND(NOT(AND(AU151=1,AT151&lt;&gt;1)),ISNUMBER(AN151),AN151&lt;=(C151+T151)),BB151,0),IF(AND(ISNUMBER(AO151),AO151&lt;=(C151+T151)),BC151,0))),"SK",IF(AND(IF(AND(NOT(AND(AU151=1,AT151&lt;&gt;1)),ISNUMBER(AL151),AL151&lt;=(C151+T151)),AZ151,0)&gt;0,IF(AND(NOT(AND(AU151=1,AT151&lt;&gt;1)),ISNUMBER(AL151),AL151&lt;=(C151+T151)),AZ151,0)=MAX(IF(AND(NOT(AND(AU151=1,AT151&lt;&gt;1)),ISNUMBER(AK151),AK151&lt;=(C151+T151)),AY151,0),IF(AND(NOT(AND(AU151=1,AT151&lt;&gt;1)),ISNUMBER(AL151),AL151&lt;=(C151+T151)),AZ151,0),IF(AND(NOT(AND(AU151=1,AT151&lt;&gt;1)),ISNUMBER(AM151),AM151&lt;=(C151+T151)),BA151,0),IF(AND(NOT(AND(AU151=1,AT151&lt;&gt;1)),ISNUMBER(AN151),AN151&lt;=(C151+T151)),BB151,0),IF(AND(ISNUMBER(AO151),AO151&lt;=(C151+T151)),BC151,0))),"LB",IF(AND(IF(AND(NOT(AND(AU151=1,AT151&lt;&gt;1)),ISNUMBER(AM151),AM151&lt;=(C151+T151)),BA151,0)&gt;0,IF(AND(NOT(AND(AU151=1,AT151&lt;&gt;1)),ISNUMBER(AM151),AM151&lt;=(C151+T151)),BA151,0)=MAX(IF(AND(NOT(AND(AU151=1,AT151&lt;&gt;1)),ISNUMBER(AK151),AK151&lt;=(C151+T151)),AY151,0),IF(AND(NOT(AND(AU151=1,AT151&lt;&gt;1)),ISNUMBER(AL151),AL151&lt;=(C151+T151)),AZ151,0),IF(AND(NOT(AND(AU151=1,AT151&lt;&gt;1)),ISNUMBER(AM151),AM151&lt;=(C151+T151)),BA151,0),IF(AND(NOT(AND(AU151=1,AT151&lt;&gt;1)),ISNUMBER(AN151),AN151&lt;=(C151+T151)),BB151,0),IF(AND(ISNUMBER(AO151),AO151&lt;=(C151+T151)),BC151,0))),"ML",IF(AND(IF(AND(NOT(AND(AU151=1,AT151&lt;&gt;1)),ISNUMBER(AN151),AN151&lt;=(C151+T151)),BB151,0)&gt;0,IF(AND(NOT(AND(AU151=1,AT151&lt;&gt;1)),ISNUMBER(AN151),AN151&lt;=(C151+T151)),BB151,0)=MAX(IF(AND(NOT(AND(AU151=1,AT151&lt;&gt;1)),ISNUMBER(AK151),AK151&lt;=(C151+T151)),AY151,0),IF(AND(NOT(AND(AU151=1,AT151&lt;&gt;1)),ISNUMBER(AL151),AL151&lt;=(C151+T151)),AZ151,0),IF(AND(NOT(AND(AU151=1,AT151&lt;&gt;1)),ISNUMBER(AM151),AM151&lt;=(C151+T151)),BA151,0),IF(AND(NOT(AND(AU151=1,AT151&lt;&gt;1)),ISNUMBER(AN151),AN151&lt;=(C151+T151)),BB151,0),IF(AND(ISNUMBER(AO151),AO151&lt;=(C151+T151)),BC151,0))),"RLO","BD"))))))))</f>
        <v/>
      </c>
    </row>
    <row r="152">
      <c r="A152" s="26" t="n">
        <v>141</v>
      </c>
      <c r="B152" s="27">
        <f>A152*10/60</f>
        <v/>
      </c>
      <c r="C152" s="22">
        <f>X151</f>
        <v/>
      </c>
      <c r="D152" s="27">
        <f>D151+W151</f>
        <v/>
      </c>
      <c r="E152" s="26">
        <f>E151+IF(U151="SK",1,0)</f>
        <v/>
      </c>
      <c r="F152" s="26">
        <f>F151+IF(U151="LB",1,0)</f>
        <v/>
      </c>
      <c r="G152" s="26">
        <f>G151+IF(U151="ML",1,0)</f>
        <v/>
      </c>
      <c r="H152" s="26">
        <f>H151+IF(U151="RLO",1,0)</f>
        <v/>
      </c>
      <c r="I152" s="26">
        <f>I151+IF(U151="BD",1,0)</f>
        <v/>
      </c>
      <c r="J152" s="26">
        <f>MAX(J151,IF(U151="BiP",1,0))</f>
        <v/>
      </c>
      <c r="K152" s="26">
        <f>MAX(K151,IF(U151="PV",1,0))</f>
        <v/>
      </c>
      <c r="L152" s="26">
        <f>MAX(L151,IF(U151="OC",1,0))</f>
        <v/>
      </c>
      <c r="M152" s="26">
        <f>MAX(M151,IF(U151="MG",1,0))</f>
        <v/>
      </c>
      <c r="N152" s="26">
        <f>MAX(N151,IF(U151="transition",1,0))</f>
        <v/>
      </c>
      <c r="O152" s="28">
        <f>(Parameters!$B$9+(IF(E152=0,0,(Upgrades!$J$13+E152*Upgrades!$K$13)*POWER(Upgrades!$L$13,E152)))*(IF(Upgrades!$T$14="Stellar Kinematics",POWER(Upgrades!$U$14,F152),1)*IF(Upgrades!$T$15="Stellar Kinematics",POWER(Upgrades!$U$15,G152),1)*IF(Upgrades!$T$16="Stellar Kinematics",POWER(Upgrades!$U$16,H152),1)*IF(Upgrades!$T$17="Stellar Kinematics",POWER(Upgrades!$U$17,I152),1)*IF(Upgrades!$T$18="Stellar Kinematics",POWER(Upgrades!$U$18,J152),1)*IF(Upgrades!$T$19="Stellar Kinematics",POWER(Upgrades!$U$19,K152),1)*IF(Upgrades!$T$20="Stellar Kinematics",POWER(Upgrades!$U$20,L152),1)*IF(Upgrades!$T$21="Stellar Kinematics",POWER(Upgrades!$U$21,M152),1))+(IF(F152=0,0,(Upgrades!$J$14+F152*Upgrades!$K$14)*POWER(Upgrades!$L$14,F152)))*(IF(Upgrades!$T$13="Local Bubble",POWER(Upgrades!$U$13,E152),1)*IF(Upgrades!$T$15="Local Bubble",POWER(Upgrades!$U$15,G152),1)*IF(Upgrades!$T$16="Local Bubble",POWER(Upgrades!$U$16,H152),1)*IF(Upgrades!$T$17="Local Bubble",POWER(Upgrades!$U$17,I152),1)*IF(Upgrades!$T$18="Local Bubble",POWER(Upgrades!$U$18,J152),1)*IF(Upgrades!$T$19="Local Bubble",POWER(Upgrades!$U$19,K152),1)*IF(Upgrades!$T$20="Local Bubble",POWER(Upgrades!$U$20,L152),1)*IF(Upgrades!$T$21="Local Bubble",POWER(Upgrades!$U$21,M152),1))+(IF(G152=0,0,(Upgrades!$J$15+G152*Upgrades!$K$15)*POWER(Upgrades!$L$15,G152)))*(IF(Upgrades!$T$13="Microlensing",POWER(Upgrades!$U$13,E152),1)*IF(Upgrades!$T$14="Microlensing",POWER(Upgrades!$U$14,F152),1)*IF(Upgrades!$T$16="Microlensing",POWER(Upgrades!$U$16,H152),1)*IF(Upgrades!$T$17="Microlensing",POWER(Upgrades!$U$17,I152),1)*IF(Upgrades!$T$18="Microlensing",POWER(Upgrades!$U$18,J152),1)*IF(Upgrades!$T$19="Microlensing",POWER(Upgrades!$U$19,K152),1)*IF(Upgrades!$T$20="Microlensing",POWER(Upgrades!$U$20,L152),1)*IF(Upgrades!$T$21="Microlensing",POWER(Upgrades!$U$21,M152),1))+(IF(H152=0,0,(Upgrades!$J$16+H152*Upgrades!$K$16)*POWER(Upgrades!$L$16,H152)))*(IF(Upgrades!$T$13="Roche Lobe Overflow",POWER(Upgrades!$U$13,E152),1)*IF(Upgrades!$T$14="Roche Lobe Overflow",POWER(Upgrades!$U$14,F152),1)*IF(Upgrades!$T$15="Roche Lobe Overflow",POWER(Upgrades!$U$15,G152),1)*IF(Upgrades!$T$17="Roche Lobe Overflow",POWER(Upgrades!$U$17,I152),1)*IF(Upgrades!$T$18="Roche Lobe Overflow",POWER(Upgrades!$U$18,J152),1)*IF(Upgrades!$T$19="Roche Lobe Overflow",POWER(Upgrades!$U$19,K152),1)*IF(Upgrades!$T$20="Roche Lobe Overflow",POWER(Upgrades!$U$20,L152),1)*IF(Upgrades!$T$21="Roche Lobe Overflow",POWER(Upgrades!$U$21,M152),1))+(IF(I152=0,0,(Upgrades!$J$17+I152*Upgrades!$K$17)*POWER(Upgrades!$L$17,I152)))*(IF(Upgrades!$T$13="Brown Dwarf",POWER(Upgrades!$U$13,E152),1)*IF(Upgrades!$T$14="Brown Dwarf",POWER(Upgrades!$U$14,F152),1)*IF(Upgrades!$T$15="Brown Dwarf",POWER(Upgrades!$U$15,G152),1)*IF(Upgrades!$T$16="Brown Dwarf",POWER(Upgrades!$U$16,H152),1)*IF(Upgrades!$T$18="Brown Dwarf",POWER(Upgrades!$U$18,J152),1)*IF(Upgrades!$T$19="Brown Dwarf",POWER(Upgrades!$U$19,K152),1)*IF(Upgrades!$T$20="Brown Dwarf",POWER(Upgrades!$U$20,L152),1)*IF(Upgrades!$T$21="Brown Dwarf",POWER(Upgrades!$U$21,M152),1))+(IF(J152=0,0,(Upgrades!$J$18+J152*Upgrades!$K$18)*POWER(Upgrades!$L$18,J152)))*(IF(Upgrades!$T$13="Binary Partner",POWER(Upgrades!$U$13,E152),1)*IF(Upgrades!$T$14="Binary Partner",POWER(Upgrades!$U$14,F152),1)*IF(Upgrades!$T$15="Binary Partner",POWER(Upgrades!$U$15,G152),1)*IF(Upgrades!$T$16="Binary Partner",POWER(Upgrades!$U$16,H152),1)*IF(Upgrades!$T$17="Binary Partner",POWER(Upgrades!$U$17,I152),1)*IF(Upgrades!$T$19="Binary Partner",POWER(Upgrades!$U$19,K152),1)*IF(Upgrades!$T$20="Binary Partner",POWER(Upgrades!$U$20,L152),1)*IF(Upgrades!$T$21="Binary Partner",POWER(Upgrades!$U$21,M152),1))+(IF(K152=0,0,(Upgrades!$J$19+K152*Upgrades!$K$19)*POWER(Upgrades!$L$19,K152)))*(IF(Upgrades!$T$13="Peculiar Velocity",POWER(Upgrades!$U$13,E152),1)*IF(Upgrades!$T$14="Peculiar Velocity",POWER(Upgrades!$U$14,F152),1)*IF(Upgrades!$T$15="Peculiar Velocity",POWER(Upgrades!$U$15,G152),1)*IF(Upgrades!$T$16="Peculiar Velocity",POWER(Upgrades!$U$16,H152),1)*IF(Upgrades!$T$17="Peculiar Velocity",POWER(Upgrades!$U$17,I152),1)*IF(Upgrades!$T$18="Peculiar Velocity",POWER(Upgrades!$U$18,J152),1)*IF(Upgrades!$T$20="Peculiar Velocity",POWER(Upgrades!$U$20,L152),1)*IF(Upgrades!$T$21="Peculiar Velocity",POWER(Upgrades!$U$21,M152),1))+(IF(L152=0,0,(Upgrades!$J$20+L152*Upgrades!$K$20)*POWER(Upgrades!$L$20,L152)))*(IF(Upgrades!$T$13="Open Cluster",POWER(Upgrades!$U$13,E152),1)*IF(Upgrades!$T$14="Open Cluster",POWER(Upgrades!$U$14,F152),1)*IF(Upgrades!$T$15="Open Cluster",POWER(Upgrades!$U$15,G152),1)*IF(Upgrades!$T$16="Open Cluster",POWER(Upgrades!$U$16,H152),1)*IF(Upgrades!$T$17="Open Cluster",POWER(Upgrades!$U$17,I152),1)*IF(Upgrades!$T$18="Open Cluster",POWER(Upgrades!$U$18,J152),1)*IF(Upgrades!$T$19="Open Cluster",POWER(Upgrades!$U$19,K152),1)*IF(Upgrades!$T$21="Open Cluster",POWER(Upgrades!$U$21,M152),1))+(IF(M152=0,0,(Upgrades!$J$21+M152*Upgrades!$K$21)*POWER(Upgrades!$L$21,M152)))*(IF(Upgrades!$T$13="Moving Group",POWER(Upgrades!$U$13,E152),1)*IF(Upgrades!$T$14="Moving Group",POWER(Upgrades!$U$14,F152),1)*IF(Upgrades!$T$15="Moving Group",POWER(Upgrades!$U$15,G152),1)*IF(Upgrades!$T$16="Moving Group",POWER(Upgrades!$U$16,H152),1)*IF(Upgrades!$T$17="Moving Group",POWER(Upgrades!$U$17,I152),1)*IF(Upgrades!$T$18="Moving Group",POWER(Upgrades!$U$18,J152),1)*IF(Upgrades!$T$19="Moving Group",POWER(Upgrades!$U$19,K152),1)*IF(Upgrades!$T$20="Moving Group",POWER(Upgrades!$U$20,L152),1)))*POWER(Upgrades!$Q$13,E152)*POWER(Upgrades!$Q$14,F152)*POWER(Upgrades!$Q$15,G152)*POWER(Upgrades!$Q$16,H152)*POWER(Upgrades!$Q$17,I152)*POWER(Upgrades!$Q$18,J152)*POWER(Upgrades!$Q$19,K152)*POWER(Upgrades!$Q$20,L152)*POWER(Upgrades!$Q$21,M152)*$G$6+$D$6</f>
        <v/>
      </c>
      <c r="P152" s="28">
        <f>((IF(E152=0,0,(Upgrades!$G$13+E152*Upgrades!$H$13)*POWER(Upgrades!$I$13,E152)))*(IF(Upgrades!$T$14="Stellar Kinematics",POWER(Upgrades!$U$14,F152),1)*IF(Upgrades!$T$15="Stellar Kinematics",POWER(Upgrades!$U$15,G152),1)*IF(Upgrades!$T$16="Stellar Kinematics",POWER(Upgrades!$U$16,H152),1)*IF(Upgrades!$T$17="Stellar Kinematics",POWER(Upgrades!$U$17,I152),1)*IF(Upgrades!$T$18="Stellar Kinematics",POWER(Upgrades!$U$18,J152),1)*IF(Upgrades!$T$19="Stellar Kinematics",POWER(Upgrades!$U$19,K152),1)*IF(Upgrades!$T$20="Stellar Kinematics",POWER(Upgrades!$U$20,L152),1)*IF(Upgrades!$T$21="Stellar Kinematics",POWER(Upgrades!$U$21,M152),1))+(IF(F152=0,0,(Upgrades!$G$14+F152*Upgrades!$H$14)*POWER(Upgrades!$I$14,F152)))*(IF(Upgrades!$T$13="Local Bubble",POWER(Upgrades!$U$13,E152),1)*IF(Upgrades!$T$15="Local Bubble",POWER(Upgrades!$U$15,G152),1)*IF(Upgrades!$T$16="Local Bubble",POWER(Upgrades!$U$16,H152),1)*IF(Upgrades!$T$17="Local Bubble",POWER(Upgrades!$U$17,I152),1)*IF(Upgrades!$T$18="Local Bubble",POWER(Upgrades!$U$18,J152),1)*IF(Upgrades!$T$19="Local Bubble",POWER(Upgrades!$U$19,K152),1)*IF(Upgrades!$T$20="Local Bubble",POWER(Upgrades!$U$20,L152),1)*IF(Upgrades!$T$21="Local Bubble",POWER(Upgrades!$U$21,M152),1))+(IF(G152=0,0,(Upgrades!$G$15+G152*Upgrades!$H$15)*POWER(Upgrades!$I$15,G152)))*(IF(Upgrades!$T$13="Microlensing",POWER(Upgrades!$U$13,E152),1)*IF(Upgrades!$T$14="Microlensing",POWER(Upgrades!$U$14,F152),1)*IF(Upgrades!$T$16="Microlensing",POWER(Upgrades!$U$16,H152),1)*IF(Upgrades!$T$17="Microlensing",POWER(Upgrades!$U$17,I152),1)*IF(Upgrades!$T$18="Microlensing",POWER(Upgrades!$U$18,J152),1)*IF(Upgrades!$T$19="Microlensing",POWER(Upgrades!$U$19,K152),1)*IF(Upgrades!$T$20="Microlensing",POWER(Upgrades!$U$20,L152),1)*IF(Upgrades!$T$21="Microlensing",POWER(Upgrades!$U$21,M152),1))+(IF(H152=0,0,(Upgrades!$G$16+H152*Upgrades!$H$16)*POWER(Upgrades!$I$16,H152)))*(IF(Upgrades!$T$13="Roche Lobe Overflow",POWER(Upgrades!$U$13,E152),1)*IF(Upgrades!$T$14="Roche Lobe Overflow",POWER(Upgrades!$U$14,F152),1)*IF(Upgrades!$T$15="Roche Lobe Overflow",POWER(Upgrades!$U$15,G152),1)*IF(Upgrades!$T$17="Roche Lobe Overflow",POWER(Upgrades!$U$17,I152),1)*IF(Upgrades!$T$18="Roche Lobe Overflow",POWER(Upgrades!$U$18,J152),1)*IF(Upgrades!$T$19="Roche Lobe Overflow",POWER(Upgrades!$U$19,K152),1)*IF(Upgrades!$T$20="Roche Lobe Overflow",POWER(Upgrades!$U$20,L152),1)*IF(Upgrades!$T$21="Roche Lobe Overflow",POWER(Upgrades!$U$21,M152),1))+(IF(I152=0,0,(Upgrades!$G$17+I152*Upgrades!$H$17)*POWER(Upgrades!$I$17,I152)))*(IF(Upgrades!$T$13="Brown Dwarf",POWER(Upgrades!$U$13,E152),1)*IF(Upgrades!$T$14="Brown Dwarf",POWER(Upgrades!$U$14,F152),1)*IF(Upgrades!$T$15="Brown Dwarf",POWER(Upgrades!$U$15,G152),1)*IF(Upgrades!$T$16="Brown Dwarf",POWER(Upgrades!$U$16,H152),1)*IF(Upgrades!$T$18="Brown Dwarf",POWER(Upgrades!$U$18,J152),1)*IF(Upgrades!$T$19="Brown Dwarf",POWER(Upgrades!$U$19,K152),1)*IF(Upgrades!$T$20="Brown Dwarf",POWER(Upgrades!$U$20,L152),1)*IF(Upgrades!$T$21="Brown Dwarf",POWER(Upgrades!$U$21,M152),1))+(IF(J152=0,0,(Upgrades!$G$18+J152*Upgrades!$H$18)*POWER(Upgrades!$I$18,J152)))*(IF(Upgrades!$T$13="Binary Partner",POWER(Upgrades!$U$13,E152),1)*IF(Upgrades!$T$14="Binary Partner",POWER(Upgrades!$U$14,F152),1)*IF(Upgrades!$T$15="Binary Partner",POWER(Upgrades!$U$15,G152),1)*IF(Upgrades!$T$16="Binary Partner",POWER(Upgrades!$U$16,H152),1)*IF(Upgrades!$T$17="Binary Partner",POWER(Upgrades!$U$17,I152),1)*IF(Upgrades!$T$19="Binary Partner",POWER(Upgrades!$U$19,K152),1)*IF(Upgrades!$T$20="Binary Partner",POWER(Upgrades!$U$20,L152),1)*IF(Upgrades!$T$21="Binary Partner",POWER(Upgrades!$U$21,M152),1))+(IF(K152=0,0,(Upgrades!$G$19+K152*Upgrades!$H$19)*POWER(Upgrades!$I$19,K152)))*(IF(Upgrades!$T$13="Peculiar Velocity",POWER(Upgrades!$U$13,E152),1)*IF(Upgrades!$T$14="Peculiar Velocity",POWER(Upgrades!$U$14,F152),1)*IF(Upgrades!$T$15="Peculiar Velocity",POWER(Upgrades!$U$15,G152),1)*IF(Upgrades!$T$16="Peculiar Velocity",POWER(Upgrades!$U$16,H152),1)*IF(Upgrades!$T$17="Peculiar Velocity",POWER(Upgrades!$U$17,I152),1)*IF(Upgrades!$T$18="Peculiar Velocity",POWER(Upgrades!$U$18,J152),1)*IF(Upgrades!$T$20="Peculiar Velocity",POWER(Upgrades!$U$20,L152),1)*IF(Upgrades!$T$21="Peculiar Velocity",POWER(Upgrades!$U$21,M152),1))+(IF(L152=0,0,(Upgrades!$G$20+L152*Upgrades!$H$20)*POWER(Upgrades!$I$20,L152)))*(IF(Upgrades!$T$13="Open Cluster",POWER(Upgrades!$U$13,E152),1)*IF(Upgrades!$T$14="Open Cluster",POWER(Upgrades!$U$14,F152),1)*IF(Upgrades!$T$15="Open Cluster",POWER(Upgrades!$U$15,G152),1)*IF(Upgrades!$T$16="Open Cluster",POWER(Upgrades!$U$16,H152),1)*IF(Upgrades!$T$17="Open Cluster",POWER(Upgrades!$U$17,I152),1)*IF(Upgrades!$T$18="Open Cluster",POWER(Upgrades!$U$18,J152),1)*IF(Upgrades!$T$19="Open Cluster",POWER(Upgrades!$U$19,K152),1)*IF(Upgrades!$T$21="Open Cluster",POWER(Upgrades!$U$21,M152),1))+(IF(M152=0,0,(Upgrades!$G$21+M152*Upgrades!$H$21)*POWER(Upgrades!$I$21,M152)))*(IF(Upgrades!$T$13="Moving Group",POWER(Upgrades!$U$13,E152),1)*IF(Upgrades!$T$14="Moving Group",POWER(Upgrades!$U$14,F152),1)*IF(Upgrades!$T$15="Moving Group",POWER(Upgrades!$U$15,G152),1)*IF(Upgrades!$T$16="Moving Group",POWER(Upgrades!$U$16,H152),1)*IF(Upgrades!$T$17="Moving Group",POWER(Upgrades!$U$17,I152),1)*IF(Upgrades!$T$18="Moving Group",POWER(Upgrades!$U$18,J152),1)*IF(Upgrades!$T$19="Moving Group",POWER(Upgrades!$U$19,K152),1)*IF(Upgrades!$T$20="Moving Group",POWER(Upgrades!$U$20,L152),1)))*POWER(Upgrades!$P$13,E152)*POWER(Upgrades!$P$14,F152)*POWER(Upgrades!$P$15,G152)*POWER(Upgrades!$P$16,H152)*POWER(Upgrades!$P$17,I152)*POWER(Upgrades!$P$18,J152)*POWER(Upgrades!$P$19,K152)*POWER(Upgrades!$P$20,L152)*POWER(Upgrades!$P$21,M152)*$F$6+$C$6</f>
        <v/>
      </c>
      <c r="Q152" s="28">
        <f>((IF(E152=0,0,(Upgrades!$M$13+E152*Upgrades!$N$13)*POWER(Upgrades!$O$13,E152)))*(IF(Upgrades!$T$14="Stellar Kinematics",POWER(Upgrades!$U$14,F152),1)*IF(Upgrades!$T$15="Stellar Kinematics",POWER(Upgrades!$U$15,G152),1)*IF(Upgrades!$T$16="Stellar Kinematics",POWER(Upgrades!$U$16,H152),1)*IF(Upgrades!$T$17="Stellar Kinematics",POWER(Upgrades!$U$17,I152),1)*IF(Upgrades!$T$18="Stellar Kinematics",POWER(Upgrades!$U$18,J152),1)*IF(Upgrades!$T$19="Stellar Kinematics",POWER(Upgrades!$U$19,K152),1)*IF(Upgrades!$T$20="Stellar Kinematics",POWER(Upgrades!$U$20,L152),1)*IF(Upgrades!$T$21="Stellar Kinematics",POWER(Upgrades!$U$21,M152),1))+(IF(F152=0,0,(Upgrades!$M$14+F152*Upgrades!$N$14)*POWER(Upgrades!$O$14,F152)))*(IF(Upgrades!$T$13="Local Bubble",POWER(Upgrades!$U$13,E152),1)*IF(Upgrades!$T$15="Local Bubble",POWER(Upgrades!$U$15,G152),1)*IF(Upgrades!$T$16="Local Bubble",POWER(Upgrades!$U$16,H152),1)*IF(Upgrades!$T$17="Local Bubble",POWER(Upgrades!$U$17,I152),1)*IF(Upgrades!$T$18="Local Bubble",POWER(Upgrades!$U$18,J152),1)*IF(Upgrades!$T$19="Local Bubble",POWER(Upgrades!$U$19,K152),1)*IF(Upgrades!$T$20="Local Bubble",POWER(Upgrades!$U$20,L152),1)*IF(Upgrades!$T$21="Local Bubble",POWER(Upgrades!$U$21,M152),1))+(IF(G152=0,0,(Upgrades!$M$15+G152*Upgrades!$N$15)*POWER(Upgrades!$O$15,G152)))*(IF(Upgrades!$T$13="Microlensing",POWER(Upgrades!$U$13,E152),1)*IF(Upgrades!$T$14="Microlensing",POWER(Upgrades!$U$14,F152),1)*IF(Upgrades!$T$16="Microlensing",POWER(Upgrades!$U$16,H152),1)*IF(Upgrades!$T$17="Microlensing",POWER(Upgrades!$U$17,I152),1)*IF(Upgrades!$T$18="Microlensing",POWER(Upgrades!$U$18,J152),1)*IF(Upgrades!$T$19="Microlensing",POWER(Upgrades!$U$19,K152),1)*IF(Upgrades!$T$20="Microlensing",POWER(Upgrades!$U$20,L152),1)*IF(Upgrades!$T$21="Microlensing",POWER(Upgrades!$U$21,M152),1))+(IF(H152=0,0,(Upgrades!$M$16+H152*Upgrades!$N$16)*POWER(Upgrades!$O$16,H152)))*(IF(Upgrades!$T$13="Roche Lobe Overflow",POWER(Upgrades!$U$13,E152),1)*IF(Upgrades!$T$14="Roche Lobe Overflow",POWER(Upgrades!$U$14,F152),1)*IF(Upgrades!$T$15="Roche Lobe Overflow",POWER(Upgrades!$U$15,G152),1)*IF(Upgrades!$T$17="Roche Lobe Overflow",POWER(Upgrades!$U$17,I152),1)*IF(Upgrades!$T$18="Roche Lobe Overflow",POWER(Upgrades!$U$18,J152),1)*IF(Upgrades!$T$19="Roche Lobe Overflow",POWER(Upgrades!$U$19,K152),1)*IF(Upgrades!$T$20="Roche Lobe Overflow",POWER(Upgrades!$U$20,L152),1)*IF(Upgrades!$T$21="Roche Lobe Overflow",POWER(Upgrades!$U$21,M152),1))+(IF(I152=0,0,(Upgrades!$M$17+I152*Upgrades!$N$17)*POWER(Upgrades!$O$17,I152)))*(IF(Upgrades!$T$13="Brown Dwarf",POWER(Upgrades!$U$13,E152),1)*IF(Upgrades!$T$14="Brown Dwarf",POWER(Upgrades!$U$14,F152),1)*IF(Upgrades!$T$15="Brown Dwarf",POWER(Upgrades!$U$15,G152),1)*IF(Upgrades!$T$16="Brown Dwarf",POWER(Upgrades!$U$16,H152),1)*IF(Upgrades!$T$18="Brown Dwarf",POWER(Upgrades!$U$18,J152),1)*IF(Upgrades!$T$19="Brown Dwarf",POWER(Upgrades!$U$19,K152),1)*IF(Upgrades!$T$20="Brown Dwarf",POWER(Upgrades!$U$20,L152),1)*IF(Upgrades!$T$21="Brown Dwarf",POWER(Upgrades!$U$21,M152),1))+(IF(J152=0,0,(Upgrades!$M$18+J152*Upgrades!$N$18)*POWER(Upgrades!$O$18,J152)))*(IF(Upgrades!$T$13="Binary Partner",POWER(Upgrades!$U$13,E152),1)*IF(Upgrades!$T$14="Binary Partner",POWER(Upgrades!$U$14,F152),1)*IF(Upgrades!$T$15="Binary Partner",POWER(Upgrades!$U$15,G152),1)*IF(Upgrades!$T$16="Binary Partner",POWER(Upgrades!$U$16,H152),1)*IF(Upgrades!$T$17="Binary Partner",POWER(Upgrades!$U$17,I152),1)*IF(Upgrades!$T$19="Binary Partner",POWER(Upgrades!$U$19,K152),1)*IF(Upgrades!$T$20="Binary Partner",POWER(Upgrades!$U$20,L152),1)*IF(Upgrades!$T$21="Binary Partner",POWER(Upgrades!$U$21,M152),1))+(IF(K152=0,0,(Upgrades!$M$19+K152*Upgrades!$N$19)*POWER(Upgrades!$O$19,K152)))*(IF(Upgrades!$T$13="Peculiar Velocity",POWER(Upgrades!$U$13,E152),1)*IF(Upgrades!$T$14="Peculiar Velocity",POWER(Upgrades!$U$14,F152),1)*IF(Upgrades!$T$15="Peculiar Velocity",POWER(Upgrades!$U$15,G152),1)*IF(Upgrades!$T$16="Peculiar Velocity",POWER(Upgrades!$U$16,H152),1)*IF(Upgrades!$T$17="Peculiar Velocity",POWER(Upgrades!$U$17,I152),1)*IF(Upgrades!$T$18="Peculiar Velocity",POWER(Upgrades!$U$18,J152),1)*IF(Upgrades!$T$20="Peculiar Velocity",POWER(Upgrades!$U$20,L152),1)*IF(Upgrades!$T$21="Peculiar Velocity",POWER(Upgrades!$U$21,M152),1))+(IF(L152=0,0,(Upgrades!$M$20+L152*Upgrades!$N$20)*POWER(Upgrades!$O$20,L152)))*(IF(Upgrades!$T$13="Open Cluster",POWER(Upgrades!$U$13,E152),1)*IF(Upgrades!$T$14="Open Cluster",POWER(Upgrades!$U$14,F152),1)*IF(Upgrades!$T$15="Open Cluster",POWER(Upgrades!$U$15,G152),1)*IF(Upgrades!$T$16="Open Cluster",POWER(Upgrades!$U$16,H152),1)*IF(Upgrades!$T$17="Open Cluster",POWER(Upgrades!$U$17,I152),1)*IF(Upgrades!$T$18="Open Cluster",POWER(Upgrades!$U$18,J152),1)*IF(Upgrades!$T$19="Open Cluster",POWER(Upgrades!$U$19,K152),1)*IF(Upgrades!$T$21="Open Cluster",POWER(Upgrades!$U$21,M152),1))+(IF(M152=0,0,(Upgrades!$M$21+M152*Upgrades!$N$21)*POWER(Upgrades!$O$21,M152)))*(IF(Upgrades!$T$13="Moving Group",POWER(Upgrades!$U$13,E152),1)*IF(Upgrades!$T$14="Moving Group",POWER(Upgrades!$U$14,F152),1)*IF(Upgrades!$T$15="Moving Group",POWER(Upgrades!$U$15,G152),1)*IF(Upgrades!$T$16="Moving Group",POWER(Upgrades!$U$16,H152),1)*IF(Upgrades!$T$17="Moving Group",POWER(Upgrades!$U$17,I152),1)*IF(Upgrades!$T$18="Moving Group",POWER(Upgrades!$U$18,J152),1)*IF(Upgrades!$T$19="Moving Group",POWER(Upgrades!$U$19,K152),1)*IF(Upgrades!$T$20="Moving Group",POWER(Upgrades!$U$20,L152),1)))*POWER(Upgrades!$R$13,E152)*POWER(Upgrades!$R$14,F152)*POWER(Upgrades!$R$15,G152)*POWER(Upgrades!$R$16,H152)*POWER(Upgrades!$R$17,I152)*POWER(Upgrades!$R$18,J152)*POWER(Upgrades!$R$19,K152)*POWER(Upgrades!$R$20,L152)*POWER(Upgrades!$R$21,M152)*$H$6+$E$6</f>
        <v/>
      </c>
      <c r="R152" s="27">
        <f>IF(N152=1,0,O152*Parameters!$B$10/60*Parameters!$B$11*10)</f>
        <v/>
      </c>
      <c r="S152" s="27">
        <f>IF(N152=1,0,Q152*O152*10)</f>
        <v/>
      </c>
      <c r="T152" s="27">
        <f>IF(N152=1,0,R152+S152+P152*10)</f>
        <v/>
      </c>
      <c r="U152" s="33">
        <f>BE152</f>
        <v/>
      </c>
      <c r="V152" s="22">
        <f>IF(U152="",0,IF(U152="transition",0,IF(U152="SK",AK152,IF(U152="LB",AL152,IF(U152="ML",AM152,IF(U152="RLO",AN152,IF(U152="BD",AO152,IF(U152="BiP",AP152,IF(U152="PV",AQ152,IF(U152="OC",AR152,IF(U152="MG",AS152,0))))))))))</f>
        <v/>
      </c>
      <c r="W152" s="27">
        <f>IF(U152="BiP",Upgrades!$F$18,IF(U152="PV",Upgrades!$F$19,IF(U152="OC",Upgrades!$F$20,IF(U152="MG",Upgrades!$F$21,IF(U152="transition",-Parameters!$B$18*Parameters!$B$19,0)))))</f>
        <v/>
      </c>
      <c r="X152" s="22">
        <f>C152+T152-V152</f>
        <v/>
      </c>
      <c r="Y152" s="30">
        <f>O152*Parameters!$B$10/60*Parameters!$B$11+Q152*O152+P152</f>
        <v/>
      </c>
      <c r="Z152" s="34">
        <f>IF(U152="transition","→ Tier 3 (Galactic Arm)",IF(U152="MG","Moving Group — pocket drifts together",IF(U152="OC","Open Cluster acquired",IF(U152="PV","Peculiar Velocity — passive multiplier active",IF(U152="BiP","Binary Partner — pair bond formed",IF(AND(AU152=1,N152=0,AT152&lt;&gt;1),"Cohesion ready (waiting on completionists)","")))))) </f>
        <v/>
      </c>
      <c r="AA152" s="27">
        <f>(IF(E152=0,0,(Upgrades!$G$13+E152*Upgrades!$H$13)*POWER(Upgrades!$I$13,E152)))*(IF(Upgrades!$T$14="Stellar Kinematics",POWER(Upgrades!$U$14,F152),1)*IF(Upgrades!$T$15="Stellar Kinematics",POWER(Upgrades!$U$15,G152),1)*IF(Upgrades!$T$16="Stellar Kinematics",POWER(Upgrades!$U$16,H152),1)*IF(Upgrades!$T$17="Stellar Kinematics",POWER(Upgrades!$U$17,I152),1)*IF(Upgrades!$T$18="Stellar Kinematics",POWER(Upgrades!$U$18,J152),1)*IF(Upgrades!$T$19="Stellar Kinematics",POWER(Upgrades!$U$19,K152),1)*IF(Upgrades!$T$20="Stellar Kinematics",POWER(Upgrades!$U$20,L152),1)*IF(Upgrades!$T$21="Stellar Kinematics",POWER(Upgrades!$U$21,M152),1))*POWER(Upgrades!$P$13,E152)*POWER(Upgrades!$P$14,F152)*POWER(Upgrades!$P$15,G152)*POWER(Upgrades!$P$16,H152)*POWER(Upgrades!$P$17,I152)*POWER(Upgrades!$P$18,J152)*POWER(Upgrades!$P$19,K152)*POWER(Upgrades!$P$20,L152)*POWER(Upgrades!$P$21,M152)*$F$6*60</f>
        <v/>
      </c>
      <c r="AB152" s="27">
        <f>(IF(F152=0,0,(Upgrades!$G$14+F152*Upgrades!$H$14)*POWER(Upgrades!$I$14,F152)))*(IF(Upgrades!$T$13="Local Bubble",POWER(Upgrades!$U$13,E152),1)*IF(Upgrades!$T$15="Local Bubble",POWER(Upgrades!$U$15,G152),1)*IF(Upgrades!$T$16="Local Bubble",POWER(Upgrades!$U$16,H152),1)*IF(Upgrades!$T$17="Local Bubble",POWER(Upgrades!$U$17,I152),1)*IF(Upgrades!$T$18="Local Bubble",POWER(Upgrades!$U$18,J152),1)*IF(Upgrades!$T$19="Local Bubble",POWER(Upgrades!$U$19,K152),1)*IF(Upgrades!$T$20="Local Bubble",POWER(Upgrades!$U$20,L152),1)*IF(Upgrades!$T$21="Local Bubble",POWER(Upgrades!$U$21,M152),1))*POWER(Upgrades!$P$13,E152)*POWER(Upgrades!$P$14,F152)*POWER(Upgrades!$P$15,G152)*POWER(Upgrades!$P$16,H152)*POWER(Upgrades!$P$17,I152)*POWER(Upgrades!$P$18,J152)*POWER(Upgrades!$P$19,K152)*POWER(Upgrades!$P$20,L152)*POWER(Upgrades!$P$21,M152)*$F$6*60</f>
        <v/>
      </c>
      <c r="AC152" s="27">
        <f>(IF(G152=0,0,(Upgrades!$J$15+G152*Upgrades!$K$15)*POWER(Upgrades!$L$15,G152)))*(IF(Upgrades!$T$13="Microlensing",POWER(Upgrades!$U$13,E152),1)*IF(Upgrades!$T$14="Microlensing",POWER(Upgrades!$U$14,F152),1)*IF(Upgrades!$T$16="Microlensing",POWER(Upgrades!$U$16,H152),1)*IF(Upgrades!$T$17="Microlensing",POWER(Upgrades!$U$17,I152),1)*IF(Upgrades!$T$18="Microlensing",POWER(Upgrades!$U$18,J152),1)*IF(Upgrades!$T$19="Microlensing",POWER(Upgrades!$U$19,K152),1)*IF(Upgrades!$T$20="Microlensing",POWER(Upgrades!$U$20,L152),1)*IF(Upgrades!$T$21="Microlensing",POWER(Upgrades!$U$21,M152),1))*POWER(Upgrades!$Q$13,E152)*POWER(Upgrades!$Q$14,F152)*POWER(Upgrades!$Q$15,G152)*POWER(Upgrades!$Q$16,H152)*POWER(Upgrades!$Q$17,I152)*POWER(Upgrades!$Q$18,J152)*POWER(Upgrades!$Q$19,K152)*POWER(Upgrades!$Q$20,L152)*POWER(Upgrades!$Q$21,M152)*$G$6*(Parameters!$B$10*Parameters!$B$11+Q152*60)</f>
        <v/>
      </c>
      <c r="AD152" s="27">
        <f>(IF(H152=0,0,(Upgrades!$M$16+H152*Upgrades!$N$16)*POWER(Upgrades!$O$16,H152)))*(IF(Upgrades!$T$13="Roche Lobe Overflow",POWER(Upgrades!$U$13,E152),1)*IF(Upgrades!$T$14="Roche Lobe Overflow",POWER(Upgrades!$U$14,F152),1)*IF(Upgrades!$T$15="Roche Lobe Overflow",POWER(Upgrades!$U$15,G152),1)*IF(Upgrades!$T$17="Roche Lobe Overflow",POWER(Upgrades!$U$17,I152),1)*IF(Upgrades!$T$18="Roche Lobe Overflow",POWER(Upgrades!$U$18,J152),1)*IF(Upgrades!$T$19="Roche Lobe Overflow",POWER(Upgrades!$U$19,K152),1)*IF(Upgrades!$T$20="Roche Lobe Overflow",POWER(Upgrades!$U$20,L152),1)*IF(Upgrades!$T$21="Roche Lobe Overflow",POWER(Upgrades!$U$21,M152),1))*POWER(Upgrades!$R$13,E152)*POWER(Upgrades!$R$14,F152)*POWER(Upgrades!$R$15,G152)*POWER(Upgrades!$R$16,H152)*POWER(Upgrades!$R$17,I152)*POWER(Upgrades!$R$18,J152)*POWER(Upgrades!$R$19,K152)*POWER(Upgrades!$R$20,L152)*POWER(Upgrades!$R$21,M152)*$H$6*O152*60</f>
        <v/>
      </c>
      <c r="AE152" s="27">
        <f>(IF(I152=0,0,(Upgrades!$G$17+I152*Upgrades!$H$17)*POWER(Upgrades!$I$17,I152)))*(IF(Upgrades!$T$13="Brown Dwarf",POWER(Upgrades!$U$13,E152),1)*IF(Upgrades!$T$14="Brown Dwarf",POWER(Upgrades!$U$14,F152),1)*IF(Upgrades!$T$15="Brown Dwarf",POWER(Upgrades!$U$15,G152),1)*IF(Upgrades!$T$16="Brown Dwarf",POWER(Upgrades!$U$16,H152),1)*IF(Upgrades!$T$18="Brown Dwarf",POWER(Upgrades!$U$18,J152),1)*IF(Upgrades!$T$19="Brown Dwarf",POWER(Upgrades!$U$19,K152),1)*IF(Upgrades!$T$20="Brown Dwarf",POWER(Upgrades!$U$20,L152),1)*IF(Upgrades!$T$21="Brown Dwarf",POWER(Upgrades!$U$21,M152),1))*POWER(Upgrades!$P$13,E152)*POWER(Upgrades!$P$14,F152)*POWER(Upgrades!$P$15,G152)*POWER(Upgrades!$P$16,H152)*POWER(Upgrades!$P$17,I152)*POWER(Upgrades!$P$18,J152)*POWER(Upgrades!$P$19,K152)*POWER(Upgrades!$P$20,L152)*POWER(Upgrades!$P$21,M152)*$F$6*60</f>
        <v/>
      </c>
      <c r="AF152" s="27" t="n">
        <v>0</v>
      </c>
      <c r="AG152" s="27" t="n">
        <v>0</v>
      </c>
      <c r="AH152" s="27" t="n">
        <v>0</v>
      </c>
      <c r="AI152" s="27">
        <f>(IF(M152=0,0,(Upgrades!$G$21+M152*Upgrades!$H$21)*POWER(Upgrades!$I$21,M152)))*(IF(Upgrades!$T$13="Moving Group",POWER(Upgrades!$U$13,E152),1)*IF(Upgrades!$T$14="Moving Group",POWER(Upgrades!$U$14,F152),1)*IF(Upgrades!$T$15="Moving Group",POWER(Upgrades!$U$15,G152),1)*IF(Upgrades!$T$16="Moving Group",POWER(Upgrades!$U$16,H152),1)*IF(Upgrades!$T$17="Moving Group",POWER(Upgrades!$U$17,I152),1)*IF(Upgrades!$T$18="Moving Group",POWER(Upgrades!$U$18,J152),1)*IF(Upgrades!$T$19="Moving Group",POWER(Upgrades!$U$19,K152),1)*IF(Upgrades!$T$20="Moving Group",POWER(Upgrades!$U$20,L152),1))*POWER(Upgrades!$P$13,E152)*POWER(Upgrades!$P$14,F152)*POWER(Upgrades!$P$15,G152)*POWER(Upgrades!$P$16,H152)*POWER(Upgrades!$P$17,I152)*POWER(Upgrades!$P$18,J152)*POWER(Upgrades!$P$19,K152)*POWER(Upgrades!$P$20,L152)*POWER(Upgrades!$P$21,M152)*$F$6*60</f>
        <v/>
      </c>
      <c r="AJ152" s="27">
        <f>$C$6*60</f>
        <v/>
      </c>
      <c r="AK152" s="22">
        <f>IF(E152&gt;=Upgrades!$E$13,"",Upgrades!$C$13*POWER(Upgrades!$D$13,E152))</f>
        <v/>
      </c>
      <c r="AL152" s="22">
        <f>IF(F152&gt;=Upgrades!$E$14,"",Upgrades!$C$14*POWER(Upgrades!$D$14,F152))</f>
        <v/>
      </c>
      <c r="AM152" s="22">
        <f>IF(G152&gt;=Upgrades!$E$15,"",Upgrades!$C$15*POWER(Upgrades!$D$15,G152))</f>
        <v/>
      </c>
      <c r="AN152" s="22">
        <f>IF(H152&gt;=Upgrades!$E$16,"",Upgrades!$C$16*POWER(Upgrades!$D$16,H152))</f>
        <v/>
      </c>
      <c r="AO152" s="22">
        <f>IF(I152&gt;=Upgrades!$E$17,"",Upgrades!$C$17*POWER(Upgrades!$D$17,I152))</f>
        <v/>
      </c>
      <c r="AP152" s="22">
        <f>IF(J152&gt;=Upgrades!$E$18,"",Upgrades!$C$18*POWER(Upgrades!$D$18,J152))</f>
        <v/>
      </c>
      <c r="AQ152" s="22">
        <f>IF(K152&gt;=Upgrades!$E$19,"",Upgrades!$C$19*POWER(Upgrades!$D$19,K152))</f>
        <v/>
      </c>
      <c r="AR152" s="22">
        <f>IF(L152&gt;=Upgrades!$E$20,"",Upgrades!$C$20*POWER(Upgrades!$D$20,L152))</f>
        <v/>
      </c>
      <c r="AS152" s="22">
        <f>IF(M152&gt;=Upgrades!$E$21,"",Upgrades!$C$21*POWER(Upgrades!$D$21,M152))</f>
        <v/>
      </c>
      <c r="AT152" s="26">
        <f>IF(AND(D152&gt;=Parameters!$B$18*Parameters!$B$19,(I152&gt;=Upgrades!$E$17)*(M152&gt;=Upgrades!$E$21)=1,N152=0),1,"")</f>
        <v/>
      </c>
      <c r="AU152" s="26">
        <f>IF(AND(D152&gt;=Parameters!$B$18*Parameters!$B$19,N152=0),1,"")</f>
        <v/>
      </c>
      <c r="AV152" s="22">
        <f>MIN(IF(ISNUMBER(AP152),AP152,9E15),IF(ISNUMBER(AQ152),AQ152,9E15),IF(ISNUMBER(AR152),AR152,9E15),IF(ISNUMBER(AS152),AS152,9E15))</f>
        <v/>
      </c>
      <c r="AW152" s="22">
        <f>MIN(IF(ISNUMBER(AK152),AK152,9E15),IF(ISNUMBER(AL152),AL152,9E15),IF(ISNUMBER(AM152),AM152,9E15),IF(ISNUMBER(AN152),AN152,9E15),IF(ISNUMBER(AO152),AO152,9E15))</f>
        <v/>
      </c>
      <c r="AX152" s="29">
        <f>IF(BD152&gt;Parameters!$B$21*(MAX(IF(AND(NOT(AND(AU152=1,AT152&lt;&gt;1)),ISNUMBER(AK152),AK152&lt;=(C152+T152)),AY152,0),IF(AND(NOT(AND(AU152=1,AT152&lt;&gt;1)),ISNUMBER(AL152),AL152&lt;=(C152+T152)),AZ152,0),IF(AND(NOT(AND(AU152=1,AT152&lt;&gt;1)),ISNUMBER(AM152),AM152&lt;=(C152+T152)),BA152,0),IF(AND(NOT(AND(AU152=1,AT152&lt;&gt;1)),ISNUMBER(AN152),AN152&lt;=(C152+T152)),BB152,0),IF(AND(ISNUMBER(AO152),AO152&lt;=(C152+T152)),BC152,0))),TRUE,FALSE)</f>
        <v/>
      </c>
      <c r="AY152" s="32">
        <f>IFERROR(Upgrades!$H$13*(POWER(Upgrades!$P$13,E152)*POWER(Upgrades!$P$14,F152)*POWER(Upgrades!$P$15,G152)*POWER(Upgrades!$P$16,H152)*POWER(Upgrades!$P$17,I152)*POWER(Upgrades!$P$18,J152)*POWER(Upgrades!$P$19,K152)*POWER(Upgrades!$P$20,L152)*POWER(Upgrades!$P$21,M152))*(IF(Upgrades!$T$14="Stellar Kinematics",POWER(Upgrades!$U$14,F152),1)*IF(Upgrades!$T$15="Stellar Kinematics",POWER(Upgrades!$U$15,G152),1)*IF(Upgrades!$T$16="Stellar Kinematics",POWER(Upgrades!$U$16,H152),1)*IF(Upgrades!$T$17="Stellar Kinematics",POWER(Upgrades!$U$17,I152),1)*IF(Upgrades!$T$18="Stellar Kinematics",POWER(Upgrades!$U$18,J152),1)*IF(Upgrades!$T$19="Stellar Kinematics",POWER(Upgrades!$U$19,K152),1)*IF(Upgrades!$T$20="Stellar Kinematics",POWER(Upgrades!$U$20,L152),1)*IF(Upgrades!$T$21="Stellar Kinematics",POWER(Upgrades!$U$21,M152),1))*$F$6/AK152,0)</f>
        <v/>
      </c>
      <c r="AZ152" s="32">
        <f>IFERROR(Upgrades!$H$14*(POWER(Upgrades!$P$13,E152)*POWER(Upgrades!$P$14,F152)*POWER(Upgrades!$P$15,G152)*POWER(Upgrades!$P$16,H152)*POWER(Upgrades!$P$17,I152)*POWER(Upgrades!$P$18,J152)*POWER(Upgrades!$P$19,K152)*POWER(Upgrades!$P$20,L152)*POWER(Upgrades!$P$21,M152))*(IF(Upgrades!$T$13="Local Bubble",POWER(Upgrades!$U$13,E152),1)*IF(Upgrades!$T$15="Local Bubble",POWER(Upgrades!$U$15,G152),1)*IF(Upgrades!$T$16="Local Bubble",POWER(Upgrades!$U$16,H152),1)*IF(Upgrades!$T$17="Local Bubble",POWER(Upgrades!$U$17,I152),1)*IF(Upgrades!$T$18="Local Bubble",POWER(Upgrades!$U$18,J152),1)*IF(Upgrades!$T$19="Local Bubble",POWER(Upgrades!$U$19,K152),1)*IF(Upgrades!$T$20="Local Bubble",POWER(Upgrades!$U$20,L152),1)*IF(Upgrades!$T$21="Local Bubble",POWER(Upgrades!$U$21,M152),1))*$F$6/AL152,0)</f>
        <v/>
      </c>
      <c r="BA152" s="32">
        <f>IFERROR(Upgrades!$K$15*(POWER(Upgrades!$Q$13,E152)*POWER(Upgrades!$Q$14,F152)*POWER(Upgrades!$Q$15,G152)*POWER(Upgrades!$Q$16,H152)*POWER(Upgrades!$Q$17,I152)*POWER(Upgrades!$Q$18,J152)*POWER(Upgrades!$Q$19,K152)*POWER(Upgrades!$Q$20,L152)*POWER(Upgrades!$Q$21,M152))*(IF(Upgrades!$T$13="Microlensing",POWER(Upgrades!$U$13,E152),1)*IF(Upgrades!$T$14="Microlensing",POWER(Upgrades!$U$14,F152),1)*IF(Upgrades!$T$16="Microlensing",POWER(Upgrades!$U$16,H152),1)*IF(Upgrades!$T$17="Microlensing",POWER(Upgrades!$U$17,I152),1)*IF(Upgrades!$T$18="Microlensing",POWER(Upgrades!$U$18,J152),1)*IF(Upgrades!$T$19="Microlensing",POWER(Upgrades!$U$19,K152),1)*IF(Upgrades!$T$20="Microlensing",POWER(Upgrades!$U$20,L152),1)*IF(Upgrades!$T$21="Microlensing",POWER(Upgrades!$U$21,M152),1))*$G$6*(Parameters!$B$10/60*Parameters!$B$11+Q152)/AM152,0)</f>
        <v/>
      </c>
      <c r="BB152" s="32">
        <f>IFERROR((Upgrades!$N$16*(POWER(Upgrades!$R$13,E152)*POWER(Upgrades!$R$14,F152)*POWER(Upgrades!$R$15,G152)*POWER(Upgrades!$R$16,H152)*POWER(Upgrades!$R$17,I152)*POWER(Upgrades!$R$18,J152)*POWER(Upgrades!$R$19,K152)*POWER(Upgrades!$R$20,L152)*POWER(Upgrades!$R$21,M152))*(IF(Upgrades!$T$13="Roche Lobe Overflow",POWER(Upgrades!$U$13,E152),1)*IF(Upgrades!$T$14="Roche Lobe Overflow",POWER(Upgrades!$U$14,F152),1)*IF(Upgrades!$T$15="Roche Lobe Overflow",POWER(Upgrades!$U$15,G152),1)*IF(Upgrades!$T$17="Roche Lobe Overflow",POWER(Upgrades!$U$17,I152),1)*IF(Upgrades!$T$18="Roche Lobe Overflow",POWER(Upgrades!$U$18,J152),1)*IF(Upgrades!$T$19="Roche Lobe Overflow",POWER(Upgrades!$U$19,K152),1)*IF(Upgrades!$T$20="Roche Lobe Overflow",POWER(Upgrades!$U$20,L152),1)*IF(Upgrades!$T$21="Roche Lobe Overflow",POWER(Upgrades!$U$21,M152),1))*$H$6*O152+((IF(F152=0,0,(Upgrades!$G$14+F152*Upgrades!$H$14)*POWER(Upgrades!$I$14,F152)))*(IF(Upgrades!$T$13="Local Bubble",POWER(Upgrades!$U$13,E152),1)*IF(Upgrades!$T$15="Local Bubble",POWER(Upgrades!$U$15,G152),1)*IF(Upgrades!$T$16="Local Bubble",POWER(Upgrades!$U$16,H152),1)*IF(Upgrades!$T$17="Local Bubble",POWER(Upgrades!$U$17,I152),1)*IF(Upgrades!$T$18="Local Bubble",POWER(Upgrades!$U$18,J152),1)*IF(Upgrades!$T$19="Local Bubble",POWER(Upgrades!$U$19,K152),1)*IF(Upgrades!$T$20="Local Bubble",POWER(Upgrades!$U$20,L152),1)*IF(Upgrades!$T$21="Local Bubble",POWER(Upgrades!$U$21,M152),1))*POWER(Upgrades!$P$13,E152)*POWER(Upgrades!$P$14,F152)*POWER(Upgrades!$P$15,G152)*POWER(Upgrades!$P$16,H152)*POWER(Upgrades!$P$17,I152)*POWER(Upgrades!$P$18,J152)*POWER(Upgrades!$P$19,K152)*POWER(Upgrades!$P$20,L152)*POWER(Upgrades!$P$21,M152)*$F$6)*0.05)/AN152,0)</f>
        <v/>
      </c>
      <c r="BC152" s="32">
        <f>IFERROR((Upgrades!$H$17*(POWER(Upgrades!$P$13,E152)*POWER(Upgrades!$P$14,F152)*POWER(Upgrades!$P$15,G152)*POWER(Upgrades!$P$16,H152)*POWER(Upgrades!$P$17,I152)*POWER(Upgrades!$P$18,J152)*POWER(Upgrades!$P$19,K152)*POWER(Upgrades!$P$20,L152)*POWER(Upgrades!$P$21,M152))*(IF(Upgrades!$T$13="Brown Dwarf",POWER(Upgrades!$U$13,E152),1)*IF(Upgrades!$T$14="Brown Dwarf",POWER(Upgrades!$U$14,F152),1)*IF(Upgrades!$T$15="Brown Dwarf",POWER(Upgrades!$U$15,G152),1)*IF(Upgrades!$T$16="Brown Dwarf",POWER(Upgrades!$U$16,H152),1)*IF(Upgrades!$T$18="Brown Dwarf",POWER(Upgrades!$U$18,J152),1)*IF(Upgrades!$T$19="Brown Dwarf",POWER(Upgrades!$U$19,K152),1)*IF(Upgrades!$T$20="Brown Dwarf",POWER(Upgrades!$U$20,L152),1)*IF(Upgrades!$T$21="Brown Dwarf",POWER(Upgrades!$U$21,M152),1))*$F$6+(((IF(H152=0,0,(Upgrades!$M$16+H152*Upgrades!$N$16)*POWER(Upgrades!$O$16,H152)))*(IF(Upgrades!$T$13="Roche Lobe Overflow",POWER(Upgrades!$U$13,E152),1)*IF(Upgrades!$T$14="Roche Lobe Overflow",POWER(Upgrades!$U$14,F152),1)*IF(Upgrades!$T$15="Roche Lobe Overflow",POWER(Upgrades!$U$15,G152),1)*IF(Upgrades!$T$17="Roche Lobe Overflow",POWER(Upgrades!$U$17,I152),1)*IF(Upgrades!$T$18="Roche Lobe Overflow",POWER(Upgrades!$U$18,J152),1)*IF(Upgrades!$T$19="Roche Lobe Overflow",POWER(Upgrades!$U$19,K152),1)*IF(Upgrades!$T$20="Roche Lobe Overflow",POWER(Upgrades!$U$20,L152),1)*IF(Upgrades!$T$21="Roche Lobe Overflow",POWER(Upgrades!$U$21,M152),1))*POWER(Upgrades!$R$13,E152)*POWER(Upgrades!$R$14,F152)*POWER(Upgrades!$R$15,G152)*POWER(Upgrades!$R$16,H152)*POWER(Upgrades!$R$17,I152)*POWER(Upgrades!$R$18,J152)*POWER(Upgrades!$R$19,K152)*POWER(Upgrades!$R$20,L152)*POWER(Upgrades!$R$21,M152)*$H$6)*O152)*0.10)/AO152,0)</f>
        <v/>
      </c>
      <c r="BD152" s="32">
        <f>MAX(IF(J152&gt;0,0,IFERROR(0.5*((IF(G152=0,0,(Upgrades!$J$15+G152*Upgrades!$K$15)*POWER(Upgrades!$L$15,G152)))*(IF(Upgrades!$T$13="Microlensing",POWER(Upgrades!$U$13,E152),1)*IF(Upgrades!$T$14="Microlensing",POWER(Upgrades!$U$14,F152),1)*IF(Upgrades!$T$16="Microlensing",POWER(Upgrades!$U$16,H152),1)*IF(Upgrades!$T$17="Microlensing",POWER(Upgrades!$U$17,I152),1)*IF(Upgrades!$T$18="Microlensing",POWER(Upgrades!$U$18,J152),1)*IF(Upgrades!$T$19="Microlensing",POWER(Upgrades!$U$19,K152),1)*IF(Upgrades!$T$20="Microlensing",POWER(Upgrades!$U$20,L152),1)*IF(Upgrades!$T$21="Microlensing",POWER(Upgrades!$U$21,M152),1))*(POWER(Upgrades!$Q$13,E152)*POWER(Upgrades!$Q$14,F152)*POWER(Upgrades!$Q$15,G152)*POWER(Upgrades!$Q$16,H152)*POWER(Upgrades!$Q$17,I152)*POWER(Upgrades!$Q$18,J152)*POWER(Upgrades!$Q$19,K152)*POWER(Upgrades!$Q$20,L152)*POWER(Upgrades!$Q$21,M152))*$G$6*(Parameters!$B$10/60*Parameters!$B$11+Q152))/Upgrades!$C$18,0)),IF(K152&gt;0,0,IFERROR(0.30*P152/Upgrades!$C$19,0)),IF(L152&gt;0,0,IFERROR(0.0001/Upgrades!$C$20,0)),IF(M152&gt;0,0,IFERROR((6.0*(POWER(Upgrades!$P$13,E152)*POWER(Upgrades!$P$14,F152)*POWER(Upgrades!$P$15,G152)*POWER(Upgrades!$P$16,H152)*POWER(Upgrades!$P$17,I152)*POWER(Upgrades!$P$18,J152)*POWER(Upgrades!$P$19,K152)*POWER(Upgrades!$P$20,L152)*POWER(Upgrades!$P$21,M152))*$F$6+0.20*O152*(Parameters!$B$10/60*Parameters!$B$11+Q152))/Upgrades!$C$21,0)),IF(AND(ISNUMBER(AK152),AK152&gt;(C152+T152)),AY152,0),IF(AND(ISNUMBER(AL152),AL152&gt;(C152+T152)),AZ152,0),IF(AND(ISNUMBER(AM152),AM152&gt;(C152+T152)),BA152,0),IF(AND(ISNUMBER(AN152),AN152&gt;(C152+T152)),BB152,0),IF(AND(ISNUMBER(AO152),AO152&gt;(C152+T152)),BC152,0))</f>
        <v/>
      </c>
      <c r="BE152" s="29">
        <f>IF(AT152=1,"transition",IF(MIN(IF(AND(J152=0,ISNUMBER(AP152),AP152&lt;=(C152+T152)),AP152,9E15),IF(AND(K152=0,ISNUMBER(AQ152),AQ152&lt;=(C152+T152)),AQ152,9E15),IF(AND(L152=0,ISNUMBER(AR152),AR152&lt;=(C152+T152)),AR152,9E15),IF(AND(M152=0,ISNUMBER(AS152),AS152&lt;=(C152+T152)),AS152,9E15))&lt;9E15,IF(AND(AND(J152=0,ISNUMBER(AP152),AP152&lt;=(C152+T152)),AP152=MIN(IF(AND(J152=0,ISNUMBER(AP152),AP152&lt;=(C152+T152)),AP152,9E15),IF(AND(K152=0,ISNUMBER(AQ152),AQ152&lt;=(C152+T152)),AQ152,9E15),IF(AND(L152=0,ISNUMBER(AR152),AR152&lt;=(C152+T152)),AR152,9E15),IF(AND(M152=0,ISNUMBER(AS152),AS152&lt;=(C152+T152)),AS152,9E15))),"BiP",IF(AND(AND(K152=0,ISNUMBER(AQ152),AQ152&lt;=(C152+T152)),AQ152=MIN(IF(AND(J152=0,ISNUMBER(AP152),AP152&lt;=(C152+T152)),AP152,9E15),IF(AND(K152=0,ISNUMBER(AQ152),AQ152&lt;=(C152+T152)),AQ152,9E15),IF(AND(L152=0,ISNUMBER(AR152),AR152&lt;=(C152+T152)),AR152,9E15),IF(AND(M152=0,ISNUMBER(AS152),AS152&lt;=(C152+T152)),AS152,9E15))),"PV",IF(AND(AND(L152=0,ISNUMBER(AR152),AR152&lt;=(C152+T152)),AR152=MIN(IF(AND(J152=0,ISNUMBER(AP152),AP152&lt;=(C152+T152)),AP152,9E15),IF(AND(K152=0,ISNUMBER(AQ152),AQ152&lt;=(C152+T152)),AQ152,9E15),IF(AND(L152=0,ISNUMBER(AR152),AR152&lt;=(C152+T152)),AR152,9E15),IF(AND(M152=0,ISNUMBER(AS152),AS152&lt;=(C152+T152)),AS152,9E15))),"OC","MG"))),IF(AX152=TRUE,"",IF(MAX(IF(AND(NOT(AND(AU152=1,AT152&lt;&gt;1)),ISNUMBER(AK152),AK152&lt;=(C152+T152)),AY152,0),IF(AND(NOT(AND(AU152=1,AT152&lt;&gt;1)),ISNUMBER(AL152),AL152&lt;=(C152+T152)),AZ152,0),IF(AND(NOT(AND(AU152=1,AT152&lt;&gt;1)),ISNUMBER(AM152),AM152&lt;=(C152+T152)),BA152,0),IF(AND(NOT(AND(AU152=1,AT152&lt;&gt;1)),ISNUMBER(AN152),AN152&lt;=(C152+T152)),BB152,0),IF(AND(ISNUMBER(AO152),AO152&lt;=(C152+T152)),BC152,0))&lt;=0,"",IF(AND(IF(AND(NOT(AND(AU152=1,AT152&lt;&gt;1)),ISNUMBER(AK152),AK152&lt;=(C152+T152)),AY152,0)&gt;0,IF(AND(NOT(AND(AU152=1,AT152&lt;&gt;1)),ISNUMBER(AK152),AK152&lt;=(C152+T152)),AY152,0)=MAX(IF(AND(NOT(AND(AU152=1,AT152&lt;&gt;1)),ISNUMBER(AK152),AK152&lt;=(C152+T152)),AY152,0),IF(AND(NOT(AND(AU152=1,AT152&lt;&gt;1)),ISNUMBER(AL152),AL152&lt;=(C152+T152)),AZ152,0),IF(AND(NOT(AND(AU152=1,AT152&lt;&gt;1)),ISNUMBER(AM152),AM152&lt;=(C152+T152)),BA152,0),IF(AND(NOT(AND(AU152=1,AT152&lt;&gt;1)),ISNUMBER(AN152),AN152&lt;=(C152+T152)),BB152,0),IF(AND(ISNUMBER(AO152),AO152&lt;=(C152+T152)),BC152,0))),"SK",IF(AND(IF(AND(NOT(AND(AU152=1,AT152&lt;&gt;1)),ISNUMBER(AL152),AL152&lt;=(C152+T152)),AZ152,0)&gt;0,IF(AND(NOT(AND(AU152=1,AT152&lt;&gt;1)),ISNUMBER(AL152),AL152&lt;=(C152+T152)),AZ152,0)=MAX(IF(AND(NOT(AND(AU152=1,AT152&lt;&gt;1)),ISNUMBER(AK152),AK152&lt;=(C152+T152)),AY152,0),IF(AND(NOT(AND(AU152=1,AT152&lt;&gt;1)),ISNUMBER(AL152),AL152&lt;=(C152+T152)),AZ152,0),IF(AND(NOT(AND(AU152=1,AT152&lt;&gt;1)),ISNUMBER(AM152),AM152&lt;=(C152+T152)),BA152,0),IF(AND(NOT(AND(AU152=1,AT152&lt;&gt;1)),ISNUMBER(AN152),AN152&lt;=(C152+T152)),BB152,0),IF(AND(ISNUMBER(AO152),AO152&lt;=(C152+T152)),BC152,0))),"LB",IF(AND(IF(AND(NOT(AND(AU152=1,AT152&lt;&gt;1)),ISNUMBER(AM152),AM152&lt;=(C152+T152)),BA152,0)&gt;0,IF(AND(NOT(AND(AU152=1,AT152&lt;&gt;1)),ISNUMBER(AM152),AM152&lt;=(C152+T152)),BA152,0)=MAX(IF(AND(NOT(AND(AU152=1,AT152&lt;&gt;1)),ISNUMBER(AK152),AK152&lt;=(C152+T152)),AY152,0),IF(AND(NOT(AND(AU152=1,AT152&lt;&gt;1)),ISNUMBER(AL152),AL152&lt;=(C152+T152)),AZ152,0),IF(AND(NOT(AND(AU152=1,AT152&lt;&gt;1)),ISNUMBER(AM152),AM152&lt;=(C152+T152)),BA152,0),IF(AND(NOT(AND(AU152=1,AT152&lt;&gt;1)),ISNUMBER(AN152),AN152&lt;=(C152+T152)),BB152,0),IF(AND(ISNUMBER(AO152),AO152&lt;=(C152+T152)),BC152,0))),"ML",IF(AND(IF(AND(NOT(AND(AU152=1,AT152&lt;&gt;1)),ISNUMBER(AN152),AN152&lt;=(C152+T152)),BB152,0)&gt;0,IF(AND(NOT(AND(AU152=1,AT152&lt;&gt;1)),ISNUMBER(AN152),AN152&lt;=(C152+T152)),BB152,0)=MAX(IF(AND(NOT(AND(AU152=1,AT152&lt;&gt;1)),ISNUMBER(AK152),AK152&lt;=(C152+T152)),AY152,0),IF(AND(NOT(AND(AU152=1,AT152&lt;&gt;1)),ISNUMBER(AL152),AL152&lt;=(C152+T152)),AZ152,0),IF(AND(NOT(AND(AU152=1,AT152&lt;&gt;1)),ISNUMBER(AM152),AM152&lt;=(C152+T152)),BA152,0),IF(AND(NOT(AND(AU152=1,AT152&lt;&gt;1)),ISNUMBER(AN152),AN152&lt;=(C152+T152)),BB152,0),IF(AND(ISNUMBER(AO152),AO152&lt;=(C152+T152)),BC152,0))),"RLO","BD"))))))))</f>
        <v/>
      </c>
    </row>
    <row r="153">
      <c r="A153" s="26" t="n">
        <v>142</v>
      </c>
      <c r="B153" s="27">
        <f>A153*10/60</f>
        <v/>
      </c>
      <c r="C153" s="22">
        <f>X152</f>
        <v/>
      </c>
      <c r="D153" s="27">
        <f>D152+W152</f>
        <v/>
      </c>
      <c r="E153" s="26">
        <f>E152+IF(U152="SK",1,0)</f>
        <v/>
      </c>
      <c r="F153" s="26">
        <f>F152+IF(U152="LB",1,0)</f>
        <v/>
      </c>
      <c r="G153" s="26">
        <f>G152+IF(U152="ML",1,0)</f>
        <v/>
      </c>
      <c r="H153" s="26">
        <f>H152+IF(U152="RLO",1,0)</f>
        <v/>
      </c>
      <c r="I153" s="26">
        <f>I152+IF(U152="BD",1,0)</f>
        <v/>
      </c>
      <c r="J153" s="26">
        <f>MAX(J152,IF(U152="BiP",1,0))</f>
        <v/>
      </c>
      <c r="K153" s="26">
        <f>MAX(K152,IF(U152="PV",1,0))</f>
        <v/>
      </c>
      <c r="L153" s="26">
        <f>MAX(L152,IF(U152="OC",1,0))</f>
        <v/>
      </c>
      <c r="M153" s="26">
        <f>MAX(M152,IF(U152="MG",1,0))</f>
        <v/>
      </c>
      <c r="N153" s="26">
        <f>MAX(N152,IF(U152="transition",1,0))</f>
        <v/>
      </c>
      <c r="O153" s="28">
        <f>(Parameters!$B$9+(IF(E153=0,0,(Upgrades!$J$13+E153*Upgrades!$K$13)*POWER(Upgrades!$L$13,E153)))*(IF(Upgrades!$T$14="Stellar Kinematics",POWER(Upgrades!$U$14,F153),1)*IF(Upgrades!$T$15="Stellar Kinematics",POWER(Upgrades!$U$15,G153),1)*IF(Upgrades!$T$16="Stellar Kinematics",POWER(Upgrades!$U$16,H153),1)*IF(Upgrades!$T$17="Stellar Kinematics",POWER(Upgrades!$U$17,I153),1)*IF(Upgrades!$T$18="Stellar Kinematics",POWER(Upgrades!$U$18,J153),1)*IF(Upgrades!$T$19="Stellar Kinematics",POWER(Upgrades!$U$19,K153),1)*IF(Upgrades!$T$20="Stellar Kinematics",POWER(Upgrades!$U$20,L153),1)*IF(Upgrades!$T$21="Stellar Kinematics",POWER(Upgrades!$U$21,M153),1))+(IF(F153=0,0,(Upgrades!$J$14+F153*Upgrades!$K$14)*POWER(Upgrades!$L$14,F153)))*(IF(Upgrades!$T$13="Local Bubble",POWER(Upgrades!$U$13,E153),1)*IF(Upgrades!$T$15="Local Bubble",POWER(Upgrades!$U$15,G153),1)*IF(Upgrades!$T$16="Local Bubble",POWER(Upgrades!$U$16,H153),1)*IF(Upgrades!$T$17="Local Bubble",POWER(Upgrades!$U$17,I153),1)*IF(Upgrades!$T$18="Local Bubble",POWER(Upgrades!$U$18,J153),1)*IF(Upgrades!$T$19="Local Bubble",POWER(Upgrades!$U$19,K153),1)*IF(Upgrades!$T$20="Local Bubble",POWER(Upgrades!$U$20,L153),1)*IF(Upgrades!$T$21="Local Bubble",POWER(Upgrades!$U$21,M153),1))+(IF(G153=0,0,(Upgrades!$J$15+G153*Upgrades!$K$15)*POWER(Upgrades!$L$15,G153)))*(IF(Upgrades!$T$13="Microlensing",POWER(Upgrades!$U$13,E153),1)*IF(Upgrades!$T$14="Microlensing",POWER(Upgrades!$U$14,F153),1)*IF(Upgrades!$T$16="Microlensing",POWER(Upgrades!$U$16,H153),1)*IF(Upgrades!$T$17="Microlensing",POWER(Upgrades!$U$17,I153),1)*IF(Upgrades!$T$18="Microlensing",POWER(Upgrades!$U$18,J153),1)*IF(Upgrades!$T$19="Microlensing",POWER(Upgrades!$U$19,K153),1)*IF(Upgrades!$T$20="Microlensing",POWER(Upgrades!$U$20,L153),1)*IF(Upgrades!$T$21="Microlensing",POWER(Upgrades!$U$21,M153),1))+(IF(H153=0,0,(Upgrades!$J$16+H153*Upgrades!$K$16)*POWER(Upgrades!$L$16,H153)))*(IF(Upgrades!$T$13="Roche Lobe Overflow",POWER(Upgrades!$U$13,E153),1)*IF(Upgrades!$T$14="Roche Lobe Overflow",POWER(Upgrades!$U$14,F153),1)*IF(Upgrades!$T$15="Roche Lobe Overflow",POWER(Upgrades!$U$15,G153),1)*IF(Upgrades!$T$17="Roche Lobe Overflow",POWER(Upgrades!$U$17,I153),1)*IF(Upgrades!$T$18="Roche Lobe Overflow",POWER(Upgrades!$U$18,J153),1)*IF(Upgrades!$T$19="Roche Lobe Overflow",POWER(Upgrades!$U$19,K153),1)*IF(Upgrades!$T$20="Roche Lobe Overflow",POWER(Upgrades!$U$20,L153),1)*IF(Upgrades!$T$21="Roche Lobe Overflow",POWER(Upgrades!$U$21,M153),1))+(IF(I153=0,0,(Upgrades!$J$17+I153*Upgrades!$K$17)*POWER(Upgrades!$L$17,I153)))*(IF(Upgrades!$T$13="Brown Dwarf",POWER(Upgrades!$U$13,E153),1)*IF(Upgrades!$T$14="Brown Dwarf",POWER(Upgrades!$U$14,F153),1)*IF(Upgrades!$T$15="Brown Dwarf",POWER(Upgrades!$U$15,G153),1)*IF(Upgrades!$T$16="Brown Dwarf",POWER(Upgrades!$U$16,H153),1)*IF(Upgrades!$T$18="Brown Dwarf",POWER(Upgrades!$U$18,J153),1)*IF(Upgrades!$T$19="Brown Dwarf",POWER(Upgrades!$U$19,K153),1)*IF(Upgrades!$T$20="Brown Dwarf",POWER(Upgrades!$U$20,L153),1)*IF(Upgrades!$T$21="Brown Dwarf",POWER(Upgrades!$U$21,M153),1))+(IF(J153=0,0,(Upgrades!$J$18+J153*Upgrades!$K$18)*POWER(Upgrades!$L$18,J153)))*(IF(Upgrades!$T$13="Binary Partner",POWER(Upgrades!$U$13,E153),1)*IF(Upgrades!$T$14="Binary Partner",POWER(Upgrades!$U$14,F153),1)*IF(Upgrades!$T$15="Binary Partner",POWER(Upgrades!$U$15,G153),1)*IF(Upgrades!$T$16="Binary Partner",POWER(Upgrades!$U$16,H153),1)*IF(Upgrades!$T$17="Binary Partner",POWER(Upgrades!$U$17,I153),1)*IF(Upgrades!$T$19="Binary Partner",POWER(Upgrades!$U$19,K153),1)*IF(Upgrades!$T$20="Binary Partner",POWER(Upgrades!$U$20,L153),1)*IF(Upgrades!$T$21="Binary Partner",POWER(Upgrades!$U$21,M153),1))+(IF(K153=0,0,(Upgrades!$J$19+K153*Upgrades!$K$19)*POWER(Upgrades!$L$19,K153)))*(IF(Upgrades!$T$13="Peculiar Velocity",POWER(Upgrades!$U$13,E153),1)*IF(Upgrades!$T$14="Peculiar Velocity",POWER(Upgrades!$U$14,F153),1)*IF(Upgrades!$T$15="Peculiar Velocity",POWER(Upgrades!$U$15,G153),1)*IF(Upgrades!$T$16="Peculiar Velocity",POWER(Upgrades!$U$16,H153),1)*IF(Upgrades!$T$17="Peculiar Velocity",POWER(Upgrades!$U$17,I153),1)*IF(Upgrades!$T$18="Peculiar Velocity",POWER(Upgrades!$U$18,J153),1)*IF(Upgrades!$T$20="Peculiar Velocity",POWER(Upgrades!$U$20,L153),1)*IF(Upgrades!$T$21="Peculiar Velocity",POWER(Upgrades!$U$21,M153),1))+(IF(L153=0,0,(Upgrades!$J$20+L153*Upgrades!$K$20)*POWER(Upgrades!$L$20,L153)))*(IF(Upgrades!$T$13="Open Cluster",POWER(Upgrades!$U$13,E153),1)*IF(Upgrades!$T$14="Open Cluster",POWER(Upgrades!$U$14,F153),1)*IF(Upgrades!$T$15="Open Cluster",POWER(Upgrades!$U$15,G153),1)*IF(Upgrades!$T$16="Open Cluster",POWER(Upgrades!$U$16,H153),1)*IF(Upgrades!$T$17="Open Cluster",POWER(Upgrades!$U$17,I153),1)*IF(Upgrades!$T$18="Open Cluster",POWER(Upgrades!$U$18,J153),1)*IF(Upgrades!$T$19="Open Cluster",POWER(Upgrades!$U$19,K153),1)*IF(Upgrades!$T$21="Open Cluster",POWER(Upgrades!$U$21,M153),1))+(IF(M153=0,0,(Upgrades!$J$21+M153*Upgrades!$K$21)*POWER(Upgrades!$L$21,M153)))*(IF(Upgrades!$T$13="Moving Group",POWER(Upgrades!$U$13,E153),1)*IF(Upgrades!$T$14="Moving Group",POWER(Upgrades!$U$14,F153),1)*IF(Upgrades!$T$15="Moving Group",POWER(Upgrades!$U$15,G153),1)*IF(Upgrades!$T$16="Moving Group",POWER(Upgrades!$U$16,H153),1)*IF(Upgrades!$T$17="Moving Group",POWER(Upgrades!$U$17,I153),1)*IF(Upgrades!$T$18="Moving Group",POWER(Upgrades!$U$18,J153),1)*IF(Upgrades!$T$19="Moving Group",POWER(Upgrades!$U$19,K153),1)*IF(Upgrades!$T$20="Moving Group",POWER(Upgrades!$U$20,L153),1)))*POWER(Upgrades!$Q$13,E153)*POWER(Upgrades!$Q$14,F153)*POWER(Upgrades!$Q$15,G153)*POWER(Upgrades!$Q$16,H153)*POWER(Upgrades!$Q$17,I153)*POWER(Upgrades!$Q$18,J153)*POWER(Upgrades!$Q$19,K153)*POWER(Upgrades!$Q$20,L153)*POWER(Upgrades!$Q$21,M153)*$G$6+$D$6</f>
        <v/>
      </c>
      <c r="P153" s="28">
        <f>((IF(E153=0,0,(Upgrades!$G$13+E153*Upgrades!$H$13)*POWER(Upgrades!$I$13,E153)))*(IF(Upgrades!$T$14="Stellar Kinematics",POWER(Upgrades!$U$14,F153),1)*IF(Upgrades!$T$15="Stellar Kinematics",POWER(Upgrades!$U$15,G153),1)*IF(Upgrades!$T$16="Stellar Kinematics",POWER(Upgrades!$U$16,H153),1)*IF(Upgrades!$T$17="Stellar Kinematics",POWER(Upgrades!$U$17,I153),1)*IF(Upgrades!$T$18="Stellar Kinematics",POWER(Upgrades!$U$18,J153),1)*IF(Upgrades!$T$19="Stellar Kinematics",POWER(Upgrades!$U$19,K153),1)*IF(Upgrades!$T$20="Stellar Kinematics",POWER(Upgrades!$U$20,L153),1)*IF(Upgrades!$T$21="Stellar Kinematics",POWER(Upgrades!$U$21,M153),1))+(IF(F153=0,0,(Upgrades!$G$14+F153*Upgrades!$H$14)*POWER(Upgrades!$I$14,F153)))*(IF(Upgrades!$T$13="Local Bubble",POWER(Upgrades!$U$13,E153),1)*IF(Upgrades!$T$15="Local Bubble",POWER(Upgrades!$U$15,G153),1)*IF(Upgrades!$T$16="Local Bubble",POWER(Upgrades!$U$16,H153),1)*IF(Upgrades!$T$17="Local Bubble",POWER(Upgrades!$U$17,I153),1)*IF(Upgrades!$T$18="Local Bubble",POWER(Upgrades!$U$18,J153),1)*IF(Upgrades!$T$19="Local Bubble",POWER(Upgrades!$U$19,K153),1)*IF(Upgrades!$T$20="Local Bubble",POWER(Upgrades!$U$20,L153),1)*IF(Upgrades!$T$21="Local Bubble",POWER(Upgrades!$U$21,M153),1))+(IF(G153=0,0,(Upgrades!$G$15+G153*Upgrades!$H$15)*POWER(Upgrades!$I$15,G153)))*(IF(Upgrades!$T$13="Microlensing",POWER(Upgrades!$U$13,E153),1)*IF(Upgrades!$T$14="Microlensing",POWER(Upgrades!$U$14,F153),1)*IF(Upgrades!$T$16="Microlensing",POWER(Upgrades!$U$16,H153),1)*IF(Upgrades!$T$17="Microlensing",POWER(Upgrades!$U$17,I153),1)*IF(Upgrades!$T$18="Microlensing",POWER(Upgrades!$U$18,J153),1)*IF(Upgrades!$T$19="Microlensing",POWER(Upgrades!$U$19,K153),1)*IF(Upgrades!$T$20="Microlensing",POWER(Upgrades!$U$20,L153),1)*IF(Upgrades!$T$21="Microlensing",POWER(Upgrades!$U$21,M153),1))+(IF(H153=0,0,(Upgrades!$G$16+H153*Upgrades!$H$16)*POWER(Upgrades!$I$16,H153)))*(IF(Upgrades!$T$13="Roche Lobe Overflow",POWER(Upgrades!$U$13,E153),1)*IF(Upgrades!$T$14="Roche Lobe Overflow",POWER(Upgrades!$U$14,F153),1)*IF(Upgrades!$T$15="Roche Lobe Overflow",POWER(Upgrades!$U$15,G153),1)*IF(Upgrades!$T$17="Roche Lobe Overflow",POWER(Upgrades!$U$17,I153),1)*IF(Upgrades!$T$18="Roche Lobe Overflow",POWER(Upgrades!$U$18,J153),1)*IF(Upgrades!$T$19="Roche Lobe Overflow",POWER(Upgrades!$U$19,K153),1)*IF(Upgrades!$T$20="Roche Lobe Overflow",POWER(Upgrades!$U$20,L153),1)*IF(Upgrades!$T$21="Roche Lobe Overflow",POWER(Upgrades!$U$21,M153),1))+(IF(I153=0,0,(Upgrades!$G$17+I153*Upgrades!$H$17)*POWER(Upgrades!$I$17,I153)))*(IF(Upgrades!$T$13="Brown Dwarf",POWER(Upgrades!$U$13,E153),1)*IF(Upgrades!$T$14="Brown Dwarf",POWER(Upgrades!$U$14,F153),1)*IF(Upgrades!$T$15="Brown Dwarf",POWER(Upgrades!$U$15,G153),1)*IF(Upgrades!$T$16="Brown Dwarf",POWER(Upgrades!$U$16,H153),1)*IF(Upgrades!$T$18="Brown Dwarf",POWER(Upgrades!$U$18,J153),1)*IF(Upgrades!$T$19="Brown Dwarf",POWER(Upgrades!$U$19,K153),1)*IF(Upgrades!$T$20="Brown Dwarf",POWER(Upgrades!$U$20,L153),1)*IF(Upgrades!$T$21="Brown Dwarf",POWER(Upgrades!$U$21,M153),1))+(IF(J153=0,0,(Upgrades!$G$18+J153*Upgrades!$H$18)*POWER(Upgrades!$I$18,J153)))*(IF(Upgrades!$T$13="Binary Partner",POWER(Upgrades!$U$13,E153),1)*IF(Upgrades!$T$14="Binary Partner",POWER(Upgrades!$U$14,F153),1)*IF(Upgrades!$T$15="Binary Partner",POWER(Upgrades!$U$15,G153),1)*IF(Upgrades!$T$16="Binary Partner",POWER(Upgrades!$U$16,H153),1)*IF(Upgrades!$T$17="Binary Partner",POWER(Upgrades!$U$17,I153),1)*IF(Upgrades!$T$19="Binary Partner",POWER(Upgrades!$U$19,K153),1)*IF(Upgrades!$T$20="Binary Partner",POWER(Upgrades!$U$20,L153),1)*IF(Upgrades!$T$21="Binary Partner",POWER(Upgrades!$U$21,M153),1))+(IF(K153=0,0,(Upgrades!$G$19+K153*Upgrades!$H$19)*POWER(Upgrades!$I$19,K153)))*(IF(Upgrades!$T$13="Peculiar Velocity",POWER(Upgrades!$U$13,E153),1)*IF(Upgrades!$T$14="Peculiar Velocity",POWER(Upgrades!$U$14,F153),1)*IF(Upgrades!$T$15="Peculiar Velocity",POWER(Upgrades!$U$15,G153),1)*IF(Upgrades!$T$16="Peculiar Velocity",POWER(Upgrades!$U$16,H153),1)*IF(Upgrades!$T$17="Peculiar Velocity",POWER(Upgrades!$U$17,I153),1)*IF(Upgrades!$T$18="Peculiar Velocity",POWER(Upgrades!$U$18,J153),1)*IF(Upgrades!$T$20="Peculiar Velocity",POWER(Upgrades!$U$20,L153),1)*IF(Upgrades!$T$21="Peculiar Velocity",POWER(Upgrades!$U$21,M153),1))+(IF(L153=0,0,(Upgrades!$G$20+L153*Upgrades!$H$20)*POWER(Upgrades!$I$20,L153)))*(IF(Upgrades!$T$13="Open Cluster",POWER(Upgrades!$U$13,E153),1)*IF(Upgrades!$T$14="Open Cluster",POWER(Upgrades!$U$14,F153),1)*IF(Upgrades!$T$15="Open Cluster",POWER(Upgrades!$U$15,G153),1)*IF(Upgrades!$T$16="Open Cluster",POWER(Upgrades!$U$16,H153),1)*IF(Upgrades!$T$17="Open Cluster",POWER(Upgrades!$U$17,I153),1)*IF(Upgrades!$T$18="Open Cluster",POWER(Upgrades!$U$18,J153),1)*IF(Upgrades!$T$19="Open Cluster",POWER(Upgrades!$U$19,K153),1)*IF(Upgrades!$T$21="Open Cluster",POWER(Upgrades!$U$21,M153),1))+(IF(M153=0,0,(Upgrades!$G$21+M153*Upgrades!$H$21)*POWER(Upgrades!$I$21,M153)))*(IF(Upgrades!$T$13="Moving Group",POWER(Upgrades!$U$13,E153),1)*IF(Upgrades!$T$14="Moving Group",POWER(Upgrades!$U$14,F153),1)*IF(Upgrades!$T$15="Moving Group",POWER(Upgrades!$U$15,G153),1)*IF(Upgrades!$T$16="Moving Group",POWER(Upgrades!$U$16,H153),1)*IF(Upgrades!$T$17="Moving Group",POWER(Upgrades!$U$17,I153),1)*IF(Upgrades!$T$18="Moving Group",POWER(Upgrades!$U$18,J153),1)*IF(Upgrades!$T$19="Moving Group",POWER(Upgrades!$U$19,K153),1)*IF(Upgrades!$T$20="Moving Group",POWER(Upgrades!$U$20,L153),1)))*POWER(Upgrades!$P$13,E153)*POWER(Upgrades!$P$14,F153)*POWER(Upgrades!$P$15,G153)*POWER(Upgrades!$P$16,H153)*POWER(Upgrades!$P$17,I153)*POWER(Upgrades!$P$18,J153)*POWER(Upgrades!$P$19,K153)*POWER(Upgrades!$P$20,L153)*POWER(Upgrades!$P$21,M153)*$F$6+$C$6</f>
        <v/>
      </c>
      <c r="Q153" s="28">
        <f>((IF(E153=0,0,(Upgrades!$M$13+E153*Upgrades!$N$13)*POWER(Upgrades!$O$13,E153)))*(IF(Upgrades!$T$14="Stellar Kinematics",POWER(Upgrades!$U$14,F153),1)*IF(Upgrades!$T$15="Stellar Kinematics",POWER(Upgrades!$U$15,G153),1)*IF(Upgrades!$T$16="Stellar Kinematics",POWER(Upgrades!$U$16,H153),1)*IF(Upgrades!$T$17="Stellar Kinematics",POWER(Upgrades!$U$17,I153),1)*IF(Upgrades!$T$18="Stellar Kinematics",POWER(Upgrades!$U$18,J153),1)*IF(Upgrades!$T$19="Stellar Kinematics",POWER(Upgrades!$U$19,K153),1)*IF(Upgrades!$T$20="Stellar Kinematics",POWER(Upgrades!$U$20,L153),1)*IF(Upgrades!$T$21="Stellar Kinematics",POWER(Upgrades!$U$21,M153),1))+(IF(F153=0,0,(Upgrades!$M$14+F153*Upgrades!$N$14)*POWER(Upgrades!$O$14,F153)))*(IF(Upgrades!$T$13="Local Bubble",POWER(Upgrades!$U$13,E153),1)*IF(Upgrades!$T$15="Local Bubble",POWER(Upgrades!$U$15,G153),1)*IF(Upgrades!$T$16="Local Bubble",POWER(Upgrades!$U$16,H153),1)*IF(Upgrades!$T$17="Local Bubble",POWER(Upgrades!$U$17,I153),1)*IF(Upgrades!$T$18="Local Bubble",POWER(Upgrades!$U$18,J153),1)*IF(Upgrades!$T$19="Local Bubble",POWER(Upgrades!$U$19,K153),1)*IF(Upgrades!$T$20="Local Bubble",POWER(Upgrades!$U$20,L153),1)*IF(Upgrades!$T$21="Local Bubble",POWER(Upgrades!$U$21,M153),1))+(IF(G153=0,0,(Upgrades!$M$15+G153*Upgrades!$N$15)*POWER(Upgrades!$O$15,G153)))*(IF(Upgrades!$T$13="Microlensing",POWER(Upgrades!$U$13,E153),1)*IF(Upgrades!$T$14="Microlensing",POWER(Upgrades!$U$14,F153),1)*IF(Upgrades!$T$16="Microlensing",POWER(Upgrades!$U$16,H153),1)*IF(Upgrades!$T$17="Microlensing",POWER(Upgrades!$U$17,I153),1)*IF(Upgrades!$T$18="Microlensing",POWER(Upgrades!$U$18,J153),1)*IF(Upgrades!$T$19="Microlensing",POWER(Upgrades!$U$19,K153),1)*IF(Upgrades!$T$20="Microlensing",POWER(Upgrades!$U$20,L153),1)*IF(Upgrades!$T$21="Microlensing",POWER(Upgrades!$U$21,M153),1))+(IF(H153=0,0,(Upgrades!$M$16+H153*Upgrades!$N$16)*POWER(Upgrades!$O$16,H153)))*(IF(Upgrades!$T$13="Roche Lobe Overflow",POWER(Upgrades!$U$13,E153),1)*IF(Upgrades!$T$14="Roche Lobe Overflow",POWER(Upgrades!$U$14,F153),1)*IF(Upgrades!$T$15="Roche Lobe Overflow",POWER(Upgrades!$U$15,G153),1)*IF(Upgrades!$T$17="Roche Lobe Overflow",POWER(Upgrades!$U$17,I153),1)*IF(Upgrades!$T$18="Roche Lobe Overflow",POWER(Upgrades!$U$18,J153),1)*IF(Upgrades!$T$19="Roche Lobe Overflow",POWER(Upgrades!$U$19,K153),1)*IF(Upgrades!$T$20="Roche Lobe Overflow",POWER(Upgrades!$U$20,L153),1)*IF(Upgrades!$T$21="Roche Lobe Overflow",POWER(Upgrades!$U$21,M153),1))+(IF(I153=0,0,(Upgrades!$M$17+I153*Upgrades!$N$17)*POWER(Upgrades!$O$17,I153)))*(IF(Upgrades!$T$13="Brown Dwarf",POWER(Upgrades!$U$13,E153),1)*IF(Upgrades!$T$14="Brown Dwarf",POWER(Upgrades!$U$14,F153),1)*IF(Upgrades!$T$15="Brown Dwarf",POWER(Upgrades!$U$15,G153),1)*IF(Upgrades!$T$16="Brown Dwarf",POWER(Upgrades!$U$16,H153),1)*IF(Upgrades!$T$18="Brown Dwarf",POWER(Upgrades!$U$18,J153),1)*IF(Upgrades!$T$19="Brown Dwarf",POWER(Upgrades!$U$19,K153),1)*IF(Upgrades!$T$20="Brown Dwarf",POWER(Upgrades!$U$20,L153),1)*IF(Upgrades!$T$21="Brown Dwarf",POWER(Upgrades!$U$21,M153),1))+(IF(J153=0,0,(Upgrades!$M$18+J153*Upgrades!$N$18)*POWER(Upgrades!$O$18,J153)))*(IF(Upgrades!$T$13="Binary Partner",POWER(Upgrades!$U$13,E153),1)*IF(Upgrades!$T$14="Binary Partner",POWER(Upgrades!$U$14,F153),1)*IF(Upgrades!$T$15="Binary Partner",POWER(Upgrades!$U$15,G153),1)*IF(Upgrades!$T$16="Binary Partner",POWER(Upgrades!$U$16,H153),1)*IF(Upgrades!$T$17="Binary Partner",POWER(Upgrades!$U$17,I153),1)*IF(Upgrades!$T$19="Binary Partner",POWER(Upgrades!$U$19,K153),1)*IF(Upgrades!$T$20="Binary Partner",POWER(Upgrades!$U$20,L153),1)*IF(Upgrades!$T$21="Binary Partner",POWER(Upgrades!$U$21,M153),1))+(IF(K153=0,0,(Upgrades!$M$19+K153*Upgrades!$N$19)*POWER(Upgrades!$O$19,K153)))*(IF(Upgrades!$T$13="Peculiar Velocity",POWER(Upgrades!$U$13,E153),1)*IF(Upgrades!$T$14="Peculiar Velocity",POWER(Upgrades!$U$14,F153),1)*IF(Upgrades!$T$15="Peculiar Velocity",POWER(Upgrades!$U$15,G153),1)*IF(Upgrades!$T$16="Peculiar Velocity",POWER(Upgrades!$U$16,H153),1)*IF(Upgrades!$T$17="Peculiar Velocity",POWER(Upgrades!$U$17,I153),1)*IF(Upgrades!$T$18="Peculiar Velocity",POWER(Upgrades!$U$18,J153),1)*IF(Upgrades!$T$20="Peculiar Velocity",POWER(Upgrades!$U$20,L153),1)*IF(Upgrades!$T$21="Peculiar Velocity",POWER(Upgrades!$U$21,M153),1))+(IF(L153=0,0,(Upgrades!$M$20+L153*Upgrades!$N$20)*POWER(Upgrades!$O$20,L153)))*(IF(Upgrades!$T$13="Open Cluster",POWER(Upgrades!$U$13,E153),1)*IF(Upgrades!$T$14="Open Cluster",POWER(Upgrades!$U$14,F153),1)*IF(Upgrades!$T$15="Open Cluster",POWER(Upgrades!$U$15,G153),1)*IF(Upgrades!$T$16="Open Cluster",POWER(Upgrades!$U$16,H153),1)*IF(Upgrades!$T$17="Open Cluster",POWER(Upgrades!$U$17,I153),1)*IF(Upgrades!$T$18="Open Cluster",POWER(Upgrades!$U$18,J153),1)*IF(Upgrades!$T$19="Open Cluster",POWER(Upgrades!$U$19,K153),1)*IF(Upgrades!$T$21="Open Cluster",POWER(Upgrades!$U$21,M153),1))+(IF(M153=0,0,(Upgrades!$M$21+M153*Upgrades!$N$21)*POWER(Upgrades!$O$21,M153)))*(IF(Upgrades!$T$13="Moving Group",POWER(Upgrades!$U$13,E153),1)*IF(Upgrades!$T$14="Moving Group",POWER(Upgrades!$U$14,F153),1)*IF(Upgrades!$T$15="Moving Group",POWER(Upgrades!$U$15,G153),1)*IF(Upgrades!$T$16="Moving Group",POWER(Upgrades!$U$16,H153),1)*IF(Upgrades!$T$17="Moving Group",POWER(Upgrades!$U$17,I153),1)*IF(Upgrades!$T$18="Moving Group",POWER(Upgrades!$U$18,J153),1)*IF(Upgrades!$T$19="Moving Group",POWER(Upgrades!$U$19,K153),1)*IF(Upgrades!$T$20="Moving Group",POWER(Upgrades!$U$20,L153),1)))*POWER(Upgrades!$R$13,E153)*POWER(Upgrades!$R$14,F153)*POWER(Upgrades!$R$15,G153)*POWER(Upgrades!$R$16,H153)*POWER(Upgrades!$R$17,I153)*POWER(Upgrades!$R$18,J153)*POWER(Upgrades!$R$19,K153)*POWER(Upgrades!$R$20,L153)*POWER(Upgrades!$R$21,M153)*$H$6+$E$6</f>
        <v/>
      </c>
      <c r="R153" s="27">
        <f>IF(N153=1,0,O153*Parameters!$B$10/60*Parameters!$B$11*10)</f>
        <v/>
      </c>
      <c r="S153" s="27">
        <f>IF(N153=1,0,Q153*O153*10)</f>
        <v/>
      </c>
      <c r="T153" s="27">
        <f>IF(N153=1,0,R153+S153+P153*10)</f>
        <v/>
      </c>
      <c r="U153" s="33">
        <f>BE153</f>
        <v/>
      </c>
      <c r="V153" s="22">
        <f>IF(U153="",0,IF(U153="transition",0,IF(U153="SK",AK153,IF(U153="LB",AL153,IF(U153="ML",AM153,IF(U153="RLO",AN153,IF(U153="BD",AO153,IF(U153="BiP",AP153,IF(U153="PV",AQ153,IF(U153="OC",AR153,IF(U153="MG",AS153,0))))))))))</f>
        <v/>
      </c>
      <c r="W153" s="27">
        <f>IF(U153="BiP",Upgrades!$F$18,IF(U153="PV",Upgrades!$F$19,IF(U153="OC",Upgrades!$F$20,IF(U153="MG",Upgrades!$F$21,IF(U153="transition",-Parameters!$B$18*Parameters!$B$19,0)))))</f>
        <v/>
      </c>
      <c r="X153" s="22">
        <f>C153+T153-V153</f>
        <v/>
      </c>
      <c r="Y153" s="30">
        <f>O153*Parameters!$B$10/60*Parameters!$B$11+Q153*O153+P153</f>
        <v/>
      </c>
      <c r="Z153" s="34">
        <f>IF(U153="transition","→ Tier 3 (Galactic Arm)",IF(U153="MG","Moving Group — pocket drifts together",IF(U153="OC","Open Cluster acquired",IF(U153="PV","Peculiar Velocity — passive multiplier active",IF(U153="BiP","Binary Partner — pair bond formed",IF(AND(AU153=1,N153=0,AT153&lt;&gt;1),"Cohesion ready (waiting on completionists)","")))))) </f>
        <v/>
      </c>
      <c r="AA153" s="27">
        <f>(IF(E153=0,0,(Upgrades!$G$13+E153*Upgrades!$H$13)*POWER(Upgrades!$I$13,E153)))*(IF(Upgrades!$T$14="Stellar Kinematics",POWER(Upgrades!$U$14,F153),1)*IF(Upgrades!$T$15="Stellar Kinematics",POWER(Upgrades!$U$15,G153),1)*IF(Upgrades!$T$16="Stellar Kinematics",POWER(Upgrades!$U$16,H153),1)*IF(Upgrades!$T$17="Stellar Kinematics",POWER(Upgrades!$U$17,I153),1)*IF(Upgrades!$T$18="Stellar Kinematics",POWER(Upgrades!$U$18,J153),1)*IF(Upgrades!$T$19="Stellar Kinematics",POWER(Upgrades!$U$19,K153),1)*IF(Upgrades!$T$20="Stellar Kinematics",POWER(Upgrades!$U$20,L153),1)*IF(Upgrades!$T$21="Stellar Kinematics",POWER(Upgrades!$U$21,M153),1))*POWER(Upgrades!$P$13,E153)*POWER(Upgrades!$P$14,F153)*POWER(Upgrades!$P$15,G153)*POWER(Upgrades!$P$16,H153)*POWER(Upgrades!$P$17,I153)*POWER(Upgrades!$P$18,J153)*POWER(Upgrades!$P$19,K153)*POWER(Upgrades!$P$20,L153)*POWER(Upgrades!$P$21,M153)*$F$6*60</f>
        <v/>
      </c>
      <c r="AB153" s="27">
        <f>(IF(F153=0,0,(Upgrades!$G$14+F153*Upgrades!$H$14)*POWER(Upgrades!$I$14,F153)))*(IF(Upgrades!$T$13="Local Bubble",POWER(Upgrades!$U$13,E153),1)*IF(Upgrades!$T$15="Local Bubble",POWER(Upgrades!$U$15,G153),1)*IF(Upgrades!$T$16="Local Bubble",POWER(Upgrades!$U$16,H153),1)*IF(Upgrades!$T$17="Local Bubble",POWER(Upgrades!$U$17,I153),1)*IF(Upgrades!$T$18="Local Bubble",POWER(Upgrades!$U$18,J153),1)*IF(Upgrades!$T$19="Local Bubble",POWER(Upgrades!$U$19,K153),1)*IF(Upgrades!$T$20="Local Bubble",POWER(Upgrades!$U$20,L153),1)*IF(Upgrades!$T$21="Local Bubble",POWER(Upgrades!$U$21,M153),1))*POWER(Upgrades!$P$13,E153)*POWER(Upgrades!$P$14,F153)*POWER(Upgrades!$P$15,G153)*POWER(Upgrades!$P$16,H153)*POWER(Upgrades!$P$17,I153)*POWER(Upgrades!$P$18,J153)*POWER(Upgrades!$P$19,K153)*POWER(Upgrades!$P$20,L153)*POWER(Upgrades!$P$21,M153)*$F$6*60</f>
        <v/>
      </c>
      <c r="AC153" s="27">
        <f>(IF(G153=0,0,(Upgrades!$J$15+G153*Upgrades!$K$15)*POWER(Upgrades!$L$15,G153)))*(IF(Upgrades!$T$13="Microlensing",POWER(Upgrades!$U$13,E153),1)*IF(Upgrades!$T$14="Microlensing",POWER(Upgrades!$U$14,F153),1)*IF(Upgrades!$T$16="Microlensing",POWER(Upgrades!$U$16,H153),1)*IF(Upgrades!$T$17="Microlensing",POWER(Upgrades!$U$17,I153),1)*IF(Upgrades!$T$18="Microlensing",POWER(Upgrades!$U$18,J153),1)*IF(Upgrades!$T$19="Microlensing",POWER(Upgrades!$U$19,K153),1)*IF(Upgrades!$T$20="Microlensing",POWER(Upgrades!$U$20,L153),1)*IF(Upgrades!$T$21="Microlensing",POWER(Upgrades!$U$21,M153),1))*POWER(Upgrades!$Q$13,E153)*POWER(Upgrades!$Q$14,F153)*POWER(Upgrades!$Q$15,G153)*POWER(Upgrades!$Q$16,H153)*POWER(Upgrades!$Q$17,I153)*POWER(Upgrades!$Q$18,J153)*POWER(Upgrades!$Q$19,K153)*POWER(Upgrades!$Q$20,L153)*POWER(Upgrades!$Q$21,M153)*$G$6*(Parameters!$B$10*Parameters!$B$11+Q153*60)</f>
        <v/>
      </c>
      <c r="AD153" s="27">
        <f>(IF(H153=0,0,(Upgrades!$M$16+H153*Upgrades!$N$16)*POWER(Upgrades!$O$16,H153)))*(IF(Upgrades!$T$13="Roche Lobe Overflow",POWER(Upgrades!$U$13,E153),1)*IF(Upgrades!$T$14="Roche Lobe Overflow",POWER(Upgrades!$U$14,F153),1)*IF(Upgrades!$T$15="Roche Lobe Overflow",POWER(Upgrades!$U$15,G153),1)*IF(Upgrades!$T$17="Roche Lobe Overflow",POWER(Upgrades!$U$17,I153),1)*IF(Upgrades!$T$18="Roche Lobe Overflow",POWER(Upgrades!$U$18,J153),1)*IF(Upgrades!$T$19="Roche Lobe Overflow",POWER(Upgrades!$U$19,K153),1)*IF(Upgrades!$T$20="Roche Lobe Overflow",POWER(Upgrades!$U$20,L153),1)*IF(Upgrades!$T$21="Roche Lobe Overflow",POWER(Upgrades!$U$21,M153),1))*POWER(Upgrades!$R$13,E153)*POWER(Upgrades!$R$14,F153)*POWER(Upgrades!$R$15,G153)*POWER(Upgrades!$R$16,H153)*POWER(Upgrades!$R$17,I153)*POWER(Upgrades!$R$18,J153)*POWER(Upgrades!$R$19,K153)*POWER(Upgrades!$R$20,L153)*POWER(Upgrades!$R$21,M153)*$H$6*O153*60</f>
        <v/>
      </c>
      <c r="AE153" s="27">
        <f>(IF(I153=0,0,(Upgrades!$G$17+I153*Upgrades!$H$17)*POWER(Upgrades!$I$17,I153)))*(IF(Upgrades!$T$13="Brown Dwarf",POWER(Upgrades!$U$13,E153),1)*IF(Upgrades!$T$14="Brown Dwarf",POWER(Upgrades!$U$14,F153),1)*IF(Upgrades!$T$15="Brown Dwarf",POWER(Upgrades!$U$15,G153),1)*IF(Upgrades!$T$16="Brown Dwarf",POWER(Upgrades!$U$16,H153),1)*IF(Upgrades!$T$18="Brown Dwarf",POWER(Upgrades!$U$18,J153),1)*IF(Upgrades!$T$19="Brown Dwarf",POWER(Upgrades!$U$19,K153),1)*IF(Upgrades!$T$20="Brown Dwarf",POWER(Upgrades!$U$20,L153),1)*IF(Upgrades!$T$21="Brown Dwarf",POWER(Upgrades!$U$21,M153),1))*POWER(Upgrades!$P$13,E153)*POWER(Upgrades!$P$14,F153)*POWER(Upgrades!$P$15,G153)*POWER(Upgrades!$P$16,H153)*POWER(Upgrades!$P$17,I153)*POWER(Upgrades!$P$18,J153)*POWER(Upgrades!$P$19,K153)*POWER(Upgrades!$P$20,L153)*POWER(Upgrades!$P$21,M153)*$F$6*60</f>
        <v/>
      </c>
      <c r="AF153" s="27" t="n">
        <v>0</v>
      </c>
      <c r="AG153" s="27" t="n">
        <v>0</v>
      </c>
      <c r="AH153" s="27" t="n">
        <v>0</v>
      </c>
      <c r="AI153" s="27">
        <f>(IF(M153=0,0,(Upgrades!$G$21+M153*Upgrades!$H$21)*POWER(Upgrades!$I$21,M153)))*(IF(Upgrades!$T$13="Moving Group",POWER(Upgrades!$U$13,E153),1)*IF(Upgrades!$T$14="Moving Group",POWER(Upgrades!$U$14,F153),1)*IF(Upgrades!$T$15="Moving Group",POWER(Upgrades!$U$15,G153),1)*IF(Upgrades!$T$16="Moving Group",POWER(Upgrades!$U$16,H153),1)*IF(Upgrades!$T$17="Moving Group",POWER(Upgrades!$U$17,I153),1)*IF(Upgrades!$T$18="Moving Group",POWER(Upgrades!$U$18,J153),1)*IF(Upgrades!$T$19="Moving Group",POWER(Upgrades!$U$19,K153),1)*IF(Upgrades!$T$20="Moving Group",POWER(Upgrades!$U$20,L153),1))*POWER(Upgrades!$P$13,E153)*POWER(Upgrades!$P$14,F153)*POWER(Upgrades!$P$15,G153)*POWER(Upgrades!$P$16,H153)*POWER(Upgrades!$P$17,I153)*POWER(Upgrades!$P$18,J153)*POWER(Upgrades!$P$19,K153)*POWER(Upgrades!$P$20,L153)*POWER(Upgrades!$P$21,M153)*$F$6*60</f>
        <v/>
      </c>
      <c r="AJ153" s="27">
        <f>$C$6*60</f>
        <v/>
      </c>
      <c r="AK153" s="22">
        <f>IF(E153&gt;=Upgrades!$E$13,"",Upgrades!$C$13*POWER(Upgrades!$D$13,E153))</f>
        <v/>
      </c>
      <c r="AL153" s="22">
        <f>IF(F153&gt;=Upgrades!$E$14,"",Upgrades!$C$14*POWER(Upgrades!$D$14,F153))</f>
        <v/>
      </c>
      <c r="AM153" s="22">
        <f>IF(G153&gt;=Upgrades!$E$15,"",Upgrades!$C$15*POWER(Upgrades!$D$15,G153))</f>
        <v/>
      </c>
      <c r="AN153" s="22">
        <f>IF(H153&gt;=Upgrades!$E$16,"",Upgrades!$C$16*POWER(Upgrades!$D$16,H153))</f>
        <v/>
      </c>
      <c r="AO153" s="22">
        <f>IF(I153&gt;=Upgrades!$E$17,"",Upgrades!$C$17*POWER(Upgrades!$D$17,I153))</f>
        <v/>
      </c>
      <c r="AP153" s="22">
        <f>IF(J153&gt;=Upgrades!$E$18,"",Upgrades!$C$18*POWER(Upgrades!$D$18,J153))</f>
        <v/>
      </c>
      <c r="AQ153" s="22">
        <f>IF(K153&gt;=Upgrades!$E$19,"",Upgrades!$C$19*POWER(Upgrades!$D$19,K153))</f>
        <v/>
      </c>
      <c r="AR153" s="22">
        <f>IF(L153&gt;=Upgrades!$E$20,"",Upgrades!$C$20*POWER(Upgrades!$D$20,L153))</f>
        <v/>
      </c>
      <c r="AS153" s="22">
        <f>IF(M153&gt;=Upgrades!$E$21,"",Upgrades!$C$21*POWER(Upgrades!$D$21,M153))</f>
        <v/>
      </c>
      <c r="AT153" s="26">
        <f>IF(AND(D153&gt;=Parameters!$B$18*Parameters!$B$19,(I153&gt;=Upgrades!$E$17)*(M153&gt;=Upgrades!$E$21)=1,N153=0),1,"")</f>
        <v/>
      </c>
      <c r="AU153" s="26">
        <f>IF(AND(D153&gt;=Parameters!$B$18*Parameters!$B$19,N153=0),1,"")</f>
        <v/>
      </c>
      <c r="AV153" s="22">
        <f>MIN(IF(ISNUMBER(AP153),AP153,9E15),IF(ISNUMBER(AQ153),AQ153,9E15),IF(ISNUMBER(AR153),AR153,9E15),IF(ISNUMBER(AS153),AS153,9E15))</f>
        <v/>
      </c>
      <c r="AW153" s="22">
        <f>MIN(IF(ISNUMBER(AK153),AK153,9E15),IF(ISNUMBER(AL153),AL153,9E15),IF(ISNUMBER(AM153),AM153,9E15),IF(ISNUMBER(AN153),AN153,9E15),IF(ISNUMBER(AO153),AO153,9E15))</f>
        <v/>
      </c>
      <c r="AX153" s="29">
        <f>IF(BD153&gt;Parameters!$B$21*(MAX(IF(AND(NOT(AND(AU153=1,AT153&lt;&gt;1)),ISNUMBER(AK153),AK153&lt;=(C153+T153)),AY153,0),IF(AND(NOT(AND(AU153=1,AT153&lt;&gt;1)),ISNUMBER(AL153),AL153&lt;=(C153+T153)),AZ153,0),IF(AND(NOT(AND(AU153=1,AT153&lt;&gt;1)),ISNUMBER(AM153),AM153&lt;=(C153+T153)),BA153,0),IF(AND(NOT(AND(AU153=1,AT153&lt;&gt;1)),ISNUMBER(AN153),AN153&lt;=(C153+T153)),BB153,0),IF(AND(ISNUMBER(AO153),AO153&lt;=(C153+T153)),BC153,0))),TRUE,FALSE)</f>
        <v/>
      </c>
      <c r="AY153" s="32">
        <f>IFERROR(Upgrades!$H$13*(POWER(Upgrades!$P$13,E153)*POWER(Upgrades!$P$14,F153)*POWER(Upgrades!$P$15,G153)*POWER(Upgrades!$P$16,H153)*POWER(Upgrades!$P$17,I153)*POWER(Upgrades!$P$18,J153)*POWER(Upgrades!$P$19,K153)*POWER(Upgrades!$P$20,L153)*POWER(Upgrades!$P$21,M153))*(IF(Upgrades!$T$14="Stellar Kinematics",POWER(Upgrades!$U$14,F153),1)*IF(Upgrades!$T$15="Stellar Kinematics",POWER(Upgrades!$U$15,G153),1)*IF(Upgrades!$T$16="Stellar Kinematics",POWER(Upgrades!$U$16,H153),1)*IF(Upgrades!$T$17="Stellar Kinematics",POWER(Upgrades!$U$17,I153),1)*IF(Upgrades!$T$18="Stellar Kinematics",POWER(Upgrades!$U$18,J153),1)*IF(Upgrades!$T$19="Stellar Kinematics",POWER(Upgrades!$U$19,K153),1)*IF(Upgrades!$T$20="Stellar Kinematics",POWER(Upgrades!$U$20,L153),1)*IF(Upgrades!$T$21="Stellar Kinematics",POWER(Upgrades!$U$21,M153),1))*$F$6/AK153,0)</f>
        <v/>
      </c>
      <c r="AZ153" s="32">
        <f>IFERROR(Upgrades!$H$14*(POWER(Upgrades!$P$13,E153)*POWER(Upgrades!$P$14,F153)*POWER(Upgrades!$P$15,G153)*POWER(Upgrades!$P$16,H153)*POWER(Upgrades!$P$17,I153)*POWER(Upgrades!$P$18,J153)*POWER(Upgrades!$P$19,K153)*POWER(Upgrades!$P$20,L153)*POWER(Upgrades!$P$21,M153))*(IF(Upgrades!$T$13="Local Bubble",POWER(Upgrades!$U$13,E153),1)*IF(Upgrades!$T$15="Local Bubble",POWER(Upgrades!$U$15,G153),1)*IF(Upgrades!$T$16="Local Bubble",POWER(Upgrades!$U$16,H153),1)*IF(Upgrades!$T$17="Local Bubble",POWER(Upgrades!$U$17,I153),1)*IF(Upgrades!$T$18="Local Bubble",POWER(Upgrades!$U$18,J153),1)*IF(Upgrades!$T$19="Local Bubble",POWER(Upgrades!$U$19,K153),1)*IF(Upgrades!$T$20="Local Bubble",POWER(Upgrades!$U$20,L153),1)*IF(Upgrades!$T$21="Local Bubble",POWER(Upgrades!$U$21,M153),1))*$F$6/AL153,0)</f>
        <v/>
      </c>
      <c r="BA153" s="32">
        <f>IFERROR(Upgrades!$K$15*(POWER(Upgrades!$Q$13,E153)*POWER(Upgrades!$Q$14,F153)*POWER(Upgrades!$Q$15,G153)*POWER(Upgrades!$Q$16,H153)*POWER(Upgrades!$Q$17,I153)*POWER(Upgrades!$Q$18,J153)*POWER(Upgrades!$Q$19,K153)*POWER(Upgrades!$Q$20,L153)*POWER(Upgrades!$Q$21,M153))*(IF(Upgrades!$T$13="Microlensing",POWER(Upgrades!$U$13,E153),1)*IF(Upgrades!$T$14="Microlensing",POWER(Upgrades!$U$14,F153),1)*IF(Upgrades!$T$16="Microlensing",POWER(Upgrades!$U$16,H153),1)*IF(Upgrades!$T$17="Microlensing",POWER(Upgrades!$U$17,I153),1)*IF(Upgrades!$T$18="Microlensing",POWER(Upgrades!$U$18,J153),1)*IF(Upgrades!$T$19="Microlensing",POWER(Upgrades!$U$19,K153),1)*IF(Upgrades!$T$20="Microlensing",POWER(Upgrades!$U$20,L153),1)*IF(Upgrades!$T$21="Microlensing",POWER(Upgrades!$U$21,M153),1))*$G$6*(Parameters!$B$10/60*Parameters!$B$11+Q153)/AM153,0)</f>
        <v/>
      </c>
      <c r="BB153" s="32">
        <f>IFERROR((Upgrades!$N$16*(POWER(Upgrades!$R$13,E153)*POWER(Upgrades!$R$14,F153)*POWER(Upgrades!$R$15,G153)*POWER(Upgrades!$R$16,H153)*POWER(Upgrades!$R$17,I153)*POWER(Upgrades!$R$18,J153)*POWER(Upgrades!$R$19,K153)*POWER(Upgrades!$R$20,L153)*POWER(Upgrades!$R$21,M153))*(IF(Upgrades!$T$13="Roche Lobe Overflow",POWER(Upgrades!$U$13,E153),1)*IF(Upgrades!$T$14="Roche Lobe Overflow",POWER(Upgrades!$U$14,F153),1)*IF(Upgrades!$T$15="Roche Lobe Overflow",POWER(Upgrades!$U$15,G153),1)*IF(Upgrades!$T$17="Roche Lobe Overflow",POWER(Upgrades!$U$17,I153),1)*IF(Upgrades!$T$18="Roche Lobe Overflow",POWER(Upgrades!$U$18,J153),1)*IF(Upgrades!$T$19="Roche Lobe Overflow",POWER(Upgrades!$U$19,K153),1)*IF(Upgrades!$T$20="Roche Lobe Overflow",POWER(Upgrades!$U$20,L153),1)*IF(Upgrades!$T$21="Roche Lobe Overflow",POWER(Upgrades!$U$21,M153),1))*$H$6*O153+((IF(F153=0,0,(Upgrades!$G$14+F153*Upgrades!$H$14)*POWER(Upgrades!$I$14,F153)))*(IF(Upgrades!$T$13="Local Bubble",POWER(Upgrades!$U$13,E153),1)*IF(Upgrades!$T$15="Local Bubble",POWER(Upgrades!$U$15,G153),1)*IF(Upgrades!$T$16="Local Bubble",POWER(Upgrades!$U$16,H153),1)*IF(Upgrades!$T$17="Local Bubble",POWER(Upgrades!$U$17,I153),1)*IF(Upgrades!$T$18="Local Bubble",POWER(Upgrades!$U$18,J153),1)*IF(Upgrades!$T$19="Local Bubble",POWER(Upgrades!$U$19,K153),1)*IF(Upgrades!$T$20="Local Bubble",POWER(Upgrades!$U$20,L153),1)*IF(Upgrades!$T$21="Local Bubble",POWER(Upgrades!$U$21,M153),1))*POWER(Upgrades!$P$13,E153)*POWER(Upgrades!$P$14,F153)*POWER(Upgrades!$P$15,G153)*POWER(Upgrades!$P$16,H153)*POWER(Upgrades!$P$17,I153)*POWER(Upgrades!$P$18,J153)*POWER(Upgrades!$P$19,K153)*POWER(Upgrades!$P$20,L153)*POWER(Upgrades!$P$21,M153)*$F$6)*0.05)/AN153,0)</f>
        <v/>
      </c>
      <c r="BC153" s="32">
        <f>IFERROR((Upgrades!$H$17*(POWER(Upgrades!$P$13,E153)*POWER(Upgrades!$P$14,F153)*POWER(Upgrades!$P$15,G153)*POWER(Upgrades!$P$16,H153)*POWER(Upgrades!$P$17,I153)*POWER(Upgrades!$P$18,J153)*POWER(Upgrades!$P$19,K153)*POWER(Upgrades!$P$20,L153)*POWER(Upgrades!$P$21,M153))*(IF(Upgrades!$T$13="Brown Dwarf",POWER(Upgrades!$U$13,E153),1)*IF(Upgrades!$T$14="Brown Dwarf",POWER(Upgrades!$U$14,F153),1)*IF(Upgrades!$T$15="Brown Dwarf",POWER(Upgrades!$U$15,G153),1)*IF(Upgrades!$T$16="Brown Dwarf",POWER(Upgrades!$U$16,H153),1)*IF(Upgrades!$T$18="Brown Dwarf",POWER(Upgrades!$U$18,J153),1)*IF(Upgrades!$T$19="Brown Dwarf",POWER(Upgrades!$U$19,K153),1)*IF(Upgrades!$T$20="Brown Dwarf",POWER(Upgrades!$U$20,L153),1)*IF(Upgrades!$T$21="Brown Dwarf",POWER(Upgrades!$U$21,M153),1))*$F$6+(((IF(H153=0,0,(Upgrades!$M$16+H153*Upgrades!$N$16)*POWER(Upgrades!$O$16,H153)))*(IF(Upgrades!$T$13="Roche Lobe Overflow",POWER(Upgrades!$U$13,E153),1)*IF(Upgrades!$T$14="Roche Lobe Overflow",POWER(Upgrades!$U$14,F153),1)*IF(Upgrades!$T$15="Roche Lobe Overflow",POWER(Upgrades!$U$15,G153),1)*IF(Upgrades!$T$17="Roche Lobe Overflow",POWER(Upgrades!$U$17,I153),1)*IF(Upgrades!$T$18="Roche Lobe Overflow",POWER(Upgrades!$U$18,J153),1)*IF(Upgrades!$T$19="Roche Lobe Overflow",POWER(Upgrades!$U$19,K153),1)*IF(Upgrades!$T$20="Roche Lobe Overflow",POWER(Upgrades!$U$20,L153),1)*IF(Upgrades!$T$21="Roche Lobe Overflow",POWER(Upgrades!$U$21,M153),1))*POWER(Upgrades!$R$13,E153)*POWER(Upgrades!$R$14,F153)*POWER(Upgrades!$R$15,G153)*POWER(Upgrades!$R$16,H153)*POWER(Upgrades!$R$17,I153)*POWER(Upgrades!$R$18,J153)*POWER(Upgrades!$R$19,K153)*POWER(Upgrades!$R$20,L153)*POWER(Upgrades!$R$21,M153)*$H$6)*O153)*0.10)/AO153,0)</f>
        <v/>
      </c>
      <c r="BD153" s="32">
        <f>MAX(IF(J153&gt;0,0,IFERROR(0.5*((IF(G153=0,0,(Upgrades!$J$15+G153*Upgrades!$K$15)*POWER(Upgrades!$L$15,G153)))*(IF(Upgrades!$T$13="Microlensing",POWER(Upgrades!$U$13,E153),1)*IF(Upgrades!$T$14="Microlensing",POWER(Upgrades!$U$14,F153),1)*IF(Upgrades!$T$16="Microlensing",POWER(Upgrades!$U$16,H153),1)*IF(Upgrades!$T$17="Microlensing",POWER(Upgrades!$U$17,I153),1)*IF(Upgrades!$T$18="Microlensing",POWER(Upgrades!$U$18,J153),1)*IF(Upgrades!$T$19="Microlensing",POWER(Upgrades!$U$19,K153),1)*IF(Upgrades!$T$20="Microlensing",POWER(Upgrades!$U$20,L153),1)*IF(Upgrades!$T$21="Microlensing",POWER(Upgrades!$U$21,M153),1))*(POWER(Upgrades!$Q$13,E153)*POWER(Upgrades!$Q$14,F153)*POWER(Upgrades!$Q$15,G153)*POWER(Upgrades!$Q$16,H153)*POWER(Upgrades!$Q$17,I153)*POWER(Upgrades!$Q$18,J153)*POWER(Upgrades!$Q$19,K153)*POWER(Upgrades!$Q$20,L153)*POWER(Upgrades!$Q$21,M153))*$G$6*(Parameters!$B$10/60*Parameters!$B$11+Q153))/Upgrades!$C$18,0)),IF(K153&gt;0,0,IFERROR(0.30*P153/Upgrades!$C$19,0)),IF(L153&gt;0,0,IFERROR(0.0001/Upgrades!$C$20,0)),IF(M153&gt;0,0,IFERROR((6.0*(POWER(Upgrades!$P$13,E153)*POWER(Upgrades!$P$14,F153)*POWER(Upgrades!$P$15,G153)*POWER(Upgrades!$P$16,H153)*POWER(Upgrades!$P$17,I153)*POWER(Upgrades!$P$18,J153)*POWER(Upgrades!$P$19,K153)*POWER(Upgrades!$P$20,L153)*POWER(Upgrades!$P$21,M153))*$F$6+0.20*O153*(Parameters!$B$10/60*Parameters!$B$11+Q153))/Upgrades!$C$21,0)),IF(AND(ISNUMBER(AK153),AK153&gt;(C153+T153)),AY153,0),IF(AND(ISNUMBER(AL153),AL153&gt;(C153+T153)),AZ153,0),IF(AND(ISNUMBER(AM153),AM153&gt;(C153+T153)),BA153,0),IF(AND(ISNUMBER(AN153),AN153&gt;(C153+T153)),BB153,0),IF(AND(ISNUMBER(AO153),AO153&gt;(C153+T153)),BC153,0))</f>
        <v/>
      </c>
      <c r="BE153" s="29">
        <f>IF(AT153=1,"transition",IF(MIN(IF(AND(J153=0,ISNUMBER(AP153),AP153&lt;=(C153+T153)),AP153,9E15),IF(AND(K153=0,ISNUMBER(AQ153),AQ153&lt;=(C153+T153)),AQ153,9E15),IF(AND(L153=0,ISNUMBER(AR153),AR153&lt;=(C153+T153)),AR153,9E15),IF(AND(M153=0,ISNUMBER(AS153),AS153&lt;=(C153+T153)),AS153,9E15))&lt;9E15,IF(AND(AND(J153=0,ISNUMBER(AP153),AP153&lt;=(C153+T153)),AP153=MIN(IF(AND(J153=0,ISNUMBER(AP153),AP153&lt;=(C153+T153)),AP153,9E15),IF(AND(K153=0,ISNUMBER(AQ153),AQ153&lt;=(C153+T153)),AQ153,9E15),IF(AND(L153=0,ISNUMBER(AR153),AR153&lt;=(C153+T153)),AR153,9E15),IF(AND(M153=0,ISNUMBER(AS153),AS153&lt;=(C153+T153)),AS153,9E15))),"BiP",IF(AND(AND(K153=0,ISNUMBER(AQ153),AQ153&lt;=(C153+T153)),AQ153=MIN(IF(AND(J153=0,ISNUMBER(AP153),AP153&lt;=(C153+T153)),AP153,9E15),IF(AND(K153=0,ISNUMBER(AQ153),AQ153&lt;=(C153+T153)),AQ153,9E15),IF(AND(L153=0,ISNUMBER(AR153),AR153&lt;=(C153+T153)),AR153,9E15),IF(AND(M153=0,ISNUMBER(AS153),AS153&lt;=(C153+T153)),AS153,9E15))),"PV",IF(AND(AND(L153=0,ISNUMBER(AR153),AR153&lt;=(C153+T153)),AR153=MIN(IF(AND(J153=0,ISNUMBER(AP153),AP153&lt;=(C153+T153)),AP153,9E15),IF(AND(K153=0,ISNUMBER(AQ153),AQ153&lt;=(C153+T153)),AQ153,9E15),IF(AND(L153=0,ISNUMBER(AR153),AR153&lt;=(C153+T153)),AR153,9E15),IF(AND(M153=0,ISNUMBER(AS153),AS153&lt;=(C153+T153)),AS153,9E15))),"OC","MG"))),IF(AX153=TRUE,"",IF(MAX(IF(AND(NOT(AND(AU153=1,AT153&lt;&gt;1)),ISNUMBER(AK153),AK153&lt;=(C153+T153)),AY153,0),IF(AND(NOT(AND(AU153=1,AT153&lt;&gt;1)),ISNUMBER(AL153),AL153&lt;=(C153+T153)),AZ153,0),IF(AND(NOT(AND(AU153=1,AT153&lt;&gt;1)),ISNUMBER(AM153),AM153&lt;=(C153+T153)),BA153,0),IF(AND(NOT(AND(AU153=1,AT153&lt;&gt;1)),ISNUMBER(AN153),AN153&lt;=(C153+T153)),BB153,0),IF(AND(ISNUMBER(AO153),AO153&lt;=(C153+T153)),BC153,0))&lt;=0,"",IF(AND(IF(AND(NOT(AND(AU153=1,AT153&lt;&gt;1)),ISNUMBER(AK153),AK153&lt;=(C153+T153)),AY153,0)&gt;0,IF(AND(NOT(AND(AU153=1,AT153&lt;&gt;1)),ISNUMBER(AK153),AK153&lt;=(C153+T153)),AY153,0)=MAX(IF(AND(NOT(AND(AU153=1,AT153&lt;&gt;1)),ISNUMBER(AK153),AK153&lt;=(C153+T153)),AY153,0),IF(AND(NOT(AND(AU153=1,AT153&lt;&gt;1)),ISNUMBER(AL153),AL153&lt;=(C153+T153)),AZ153,0),IF(AND(NOT(AND(AU153=1,AT153&lt;&gt;1)),ISNUMBER(AM153),AM153&lt;=(C153+T153)),BA153,0),IF(AND(NOT(AND(AU153=1,AT153&lt;&gt;1)),ISNUMBER(AN153),AN153&lt;=(C153+T153)),BB153,0),IF(AND(ISNUMBER(AO153),AO153&lt;=(C153+T153)),BC153,0))),"SK",IF(AND(IF(AND(NOT(AND(AU153=1,AT153&lt;&gt;1)),ISNUMBER(AL153),AL153&lt;=(C153+T153)),AZ153,0)&gt;0,IF(AND(NOT(AND(AU153=1,AT153&lt;&gt;1)),ISNUMBER(AL153),AL153&lt;=(C153+T153)),AZ153,0)=MAX(IF(AND(NOT(AND(AU153=1,AT153&lt;&gt;1)),ISNUMBER(AK153),AK153&lt;=(C153+T153)),AY153,0),IF(AND(NOT(AND(AU153=1,AT153&lt;&gt;1)),ISNUMBER(AL153),AL153&lt;=(C153+T153)),AZ153,0),IF(AND(NOT(AND(AU153=1,AT153&lt;&gt;1)),ISNUMBER(AM153),AM153&lt;=(C153+T153)),BA153,0),IF(AND(NOT(AND(AU153=1,AT153&lt;&gt;1)),ISNUMBER(AN153),AN153&lt;=(C153+T153)),BB153,0),IF(AND(ISNUMBER(AO153),AO153&lt;=(C153+T153)),BC153,0))),"LB",IF(AND(IF(AND(NOT(AND(AU153=1,AT153&lt;&gt;1)),ISNUMBER(AM153),AM153&lt;=(C153+T153)),BA153,0)&gt;0,IF(AND(NOT(AND(AU153=1,AT153&lt;&gt;1)),ISNUMBER(AM153),AM153&lt;=(C153+T153)),BA153,0)=MAX(IF(AND(NOT(AND(AU153=1,AT153&lt;&gt;1)),ISNUMBER(AK153),AK153&lt;=(C153+T153)),AY153,0),IF(AND(NOT(AND(AU153=1,AT153&lt;&gt;1)),ISNUMBER(AL153),AL153&lt;=(C153+T153)),AZ153,0),IF(AND(NOT(AND(AU153=1,AT153&lt;&gt;1)),ISNUMBER(AM153),AM153&lt;=(C153+T153)),BA153,0),IF(AND(NOT(AND(AU153=1,AT153&lt;&gt;1)),ISNUMBER(AN153),AN153&lt;=(C153+T153)),BB153,0),IF(AND(ISNUMBER(AO153),AO153&lt;=(C153+T153)),BC153,0))),"ML",IF(AND(IF(AND(NOT(AND(AU153=1,AT153&lt;&gt;1)),ISNUMBER(AN153),AN153&lt;=(C153+T153)),BB153,0)&gt;0,IF(AND(NOT(AND(AU153=1,AT153&lt;&gt;1)),ISNUMBER(AN153),AN153&lt;=(C153+T153)),BB153,0)=MAX(IF(AND(NOT(AND(AU153=1,AT153&lt;&gt;1)),ISNUMBER(AK153),AK153&lt;=(C153+T153)),AY153,0),IF(AND(NOT(AND(AU153=1,AT153&lt;&gt;1)),ISNUMBER(AL153),AL153&lt;=(C153+T153)),AZ153,0),IF(AND(NOT(AND(AU153=1,AT153&lt;&gt;1)),ISNUMBER(AM153),AM153&lt;=(C153+T153)),BA153,0),IF(AND(NOT(AND(AU153=1,AT153&lt;&gt;1)),ISNUMBER(AN153),AN153&lt;=(C153+T153)),BB153,0),IF(AND(ISNUMBER(AO153),AO153&lt;=(C153+T153)),BC153,0))),"RLO","BD"))))))))</f>
        <v/>
      </c>
    </row>
    <row r="154">
      <c r="A154" s="26" t="n">
        <v>143</v>
      </c>
      <c r="B154" s="27">
        <f>A154*10/60</f>
        <v/>
      </c>
      <c r="C154" s="22">
        <f>X153</f>
        <v/>
      </c>
      <c r="D154" s="27">
        <f>D153+W153</f>
        <v/>
      </c>
      <c r="E154" s="26">
        <f>E153+IF(U153="SK",1,0)</f>
        <v/>
      </c>
      <c r="F154" s="26">
        <f>F153+IF(U153="LB",1,0)</f>
        <v/>
      </c>
      <c r="G154" s="26">
        <f>G153+IF(U153="ML",1,0)</f>
        <v/>
      </c>
      <c r="H154" s="26">
        <f>H153+IF(U153="RLO",1,0)</f>
        <v/>
      </c>
      <c r="I154" s="26">
        <f>I153+IF(U153="BD",1,0)</f>
        <v/>
      </c>
      <c r="J154" s="26">
        <f>MAX(J153,IF(U153="BiP",1,0))</f>
        <v/>
      </c>
      <c r="K154" s="26">
        <f>MAX(K153,IF(U153="PV",1,0))</f>
        <v/>
      </c>
      <c r="L154" s="26">
        <f>MAX(L153,IF(U153="OC",1,0))</f>
        <v/>
      </c>
      <c r="M154" s="26">
        <f>MAX(M153,IF(U153="MG",1,0))</f>
        <v/>
      </c>
      <c r="N154" s="26">
        <f>MAX(N153,IF(U153="transition",1,0))</f>
        <v/>
      </c>
      <c r="O154" s="28">
        <f>(Parameters!$B$9+(IF(E154=0,0,(Upgrades!$J$13+E154*Upgrades!$K$13)*POWER(Upgrades!$L$13,E154)))*(IF(Upgrades!$T$14="Stellar Kinematics",POWER(Upgrades!$U$14,F154),1)*IF(Upgrades!$T$15="Stellar Kinematics",POWER(Upgrades!$U$15,G154),1)*IF(Upgrades!$T$16="Stellar Kinematics",POWER(Upgrades!$U$16,H154),1)*IF(Upgrades!$T$17="Stellar Kinematics",POWER(Upgrades!$U$17,I154),1)*IF(Upgrades!$T$18="Stellar Kinematics",POWER(Upgrades!$U$18,J154),1)*IF(Upgrades!$T$19="Stellar Kinematics",POWER(Upgrades!$U$19,K154),1)*IF(Upgrades!$T$20="Stellar Kinematics",POWER(Upgrades!$U$20,L154),1)*IF(Upgrades!$T$21="Stellar Kinematics",POWER(Upgrades!$U$21,M154),1))+(IF(F154=0,0,(Upgrades!$J$14+F154*Upgrades!$K$14)*POWER(Upgrades!$L$14,F154)))*(IF(Upgrades!$T$13="Local Bubble",POWER(Upgrades!$U$13,E154),1)*IF(Upgrades!$T$15="Local Bubble",POWER(Upgrades!$U$15,G154),1)*IF(Upgrades!$T$16="Local Bubble",POWER(Upgrades!$U$16,H154),1)*IF(Upgrades!$T$17="Local Bubble",POWER(Upgrades!$U$17,I154),1)*IF(Upgrades!$T$18="Local Bubble",POWER(Upgrades!$U$18,J154),1)*IF(Upgrades!$T$19="Local Bubble",POWER(Upgrades!$U$19,K154),1)*IF(Upgrades!$T$20="Local Bubble",POWER(Upgrades!$U$20,L154),1)*IF(Upgrades!$T$21="Local Bubble",POWER(Upgrades!$U$21,M154),1))+(IF(G154=0,0,(Upgrades!$J$15+G154*Upgrades!$K$15)*POWER(Upgrades!$L$15,G154)))*(IF(Upgrades!$T$13="Microlensing",POWER(Upgrades!$U$13,E154),1)*IF(Upgrades!$T$14="Microlensing",POWER(Upgrades!$U$14,F154),1)*IF(Upgrades!$T$16="Microlensing",POWER(Upgrades!$U$16,H154),1)*IF(Upgrades!$T$17="Microlensing",POWER(Upgrades!$U$17,I154),1)*IF(Upgrades!$T$18="Microlensing",POWER(Upgrades!$U$18,J154),1)*IF(Upgrades!$T$19="Microlensing",POWER(Upgrades!$U$19,K154),1)*IF(Upgrades!$T$20="Microlensing",POWER(Upgrades!$U$20,L154),1)*IF(Upgrades!$T$21="Microlensing",POWER(Upgrades!$U$21,M154),1))+(IF(H154=0,0,(Upgrades!$J$16+H154*Upgrades!$K$16)*POWER(Upgrades!$L$16,H154)))*(IF(Upgrades!$T$13="Roche Lobe Overflow",POWER(Upgrades!$U$13,E154),1)*IF(Upgrades!$T$14="Roche Lobe Overflow",POWER(Upgrades!$U$14,F154),1)*IF(Upgrades!$T$15="Roche Lobe Overflow",POWER(Upgrades!$U$15,G154),1)*IF(Upgrades!$T$17="Roche Lobe Overflow",POWER(Upgrades!$U$17,I154),1)*IF(Upgrades!$T$18="Roche Lobe Overflow",POWER(Upgrades!$U$18,J154),1)*IF(Upgrades!$T$19="Roche Lobe Overflow",POWER(Upgrades!$U$19,K154),1)*IF(Upgrades!$T$20="Roche Lobe Overflow",POWER(Upgrades!$U$20,L154),1)*IF(Upgrades!$T$21="Roche Lobe Overflow",POWER(Upgrades!$U$21,M154),1))+(IF(I154=0,0,(Upgrades!$J$17+I154*Upgrades!$K$17)*POWER(Upgrades!$L$17,I154)))*(IF(Upgrades!$T$13="Brown Dwarf",POWER(Upgrades!$U$13,E154),1)*IF(Upgrades!$T$14="Brown Dwarf",POWER(Upgrades!$U$14,F154),1)*IF(Upgrades!$T$15="Brown Dwarf",POWER(Upgrades!$U$15,G154),1)*IF(Upgrades!$T$16="Brown Dwarf",POWER(Upgrades!$U$16,H154),1)*IF(Upgrades!$T$18="Brown Dwarf",POWER(Upgrades!$U$18,J154),1)*IF(Upgrades!$T$19="Brown Dwarf",POWER(Upgrades!$U$19,K154),1)*IF(Upgrades!$T$20="Brown Dwarf",POWER(Upgrades!$U$20,L154),1)*IF(Upgrades!$T$21="Brown Dwarf",POWER(Upgrades!$U$21,M154),1))+(IF(J154=0,0,(Upgrades!$J$18+J154*Upgrades!$K$18)*POWER(Upgrades!$L$18,J154)))*(IF(Upgrades!$T$13="Binary Partner",POWER(Upgrades!$U$13,E154),1)*IF(Upgrades!$T$14="Binary Partner",POWER(Upgrades!$U$14,F154),1)*IF(Upgrades!$T$15="Binary Partner",POWER(Upgrades!$U$15,G154),1)*IF(Upgrades!$T$16="Binary Partner",POWER(Upgrades!$U$16,H154),1)*IF(Upgrades!$T$17="Binary Partner",POWER(Upgrades!$U$17,I154),1)*IF(Upgrades!$T$19="Binary Partner",POWER(Upgrades!$U$19,K154),1)*IF(Upgrades!$T$20="Binary Partner",POWER(Upgrades!$U$20,L154),1)*IF(Upgrades!$T$21="Binary Partner",POWER(Upgrades!$U$21,M154),1))+(IF(K154=0,0,(Upgrades!$J$19+K154*Upgrades!$K$19)*POWER(Upgrades!$L$19,K154)))*(IF(Upgrades!$T$13="Peculiar Velocity",POWER(Upgrades!$U$13,E154),1)*IF(Upgrades!$T$14="Peculiar Velocity",POWER(Upgrades!$U$14,F154),1)*IF(Upgrades!$T$15="Peculiar Velocity",POWER(Upgrades!$U$15,G154),1)*IF(Upgrades!$T$16="Peculiar Velocity",POWER(Upgrades!$U$16,H154),1)*IF(Upgrades!$T$17="Peculiar Velocity",POWER(Upgrades!$U$17,I154),1)*IF(Upgrades!$T$18="Peculiar Velocity",POWER(Upgrades!$U$18,J154),1)*IF(Upgrades!$T$20="Peculiar Velocity",POWER(Upgrades!$U$20,L154),1)*IF(Upgrades!$T$21="Peculiar Velocity",POWER(Upgrades!$U$21,M154),1))+(IF(L154=0,0,(Upgrades!$J$20+L154*Upgrades!$K$20)*POWER(Upgrades!$L$20,L154)))*(IF(Upgrades!$T$13="Open Cluster",POWER(Upgrades!$U$13,E154),1)*IF(Upgrades!$T$14="Open Cluster",POWER(Upgrades!$U$14,F154),1)*IF(Upgrades!$T$15="Open Cluster",POWER(Upgrades!$U$15,G154),1)*IF(Upgrades!$T$16="Open Cluster",POWER(Upgrades!$U$16,H154),1)*IF(Upgrades!$T$17="Open Cluster",POWER(Upgrades!$U$17,I154),1)*IF(Upgrades!$T$18="Open Cluster",POWER(Upgrades!$U$18,J154),1)*IF(Upgrades!$T$19="Open Cluster",POWER(Upgrades!$U$19,K154),1)*IF(Upgrades!$T$21="Open Cluster",POWER(Upgrades!$U$21,M154),1))+(IF(M154=0,0,(Upgrades!$J$21+M154*Upgrades!$K$21)*POWER(Upgrades!$L$21,M154)))*(IF(Upgrades!$T$13="Moving Group",POWER(Upgrades!$U$13,E154),1)*IF(Upgrades!$T$14="Moving Group",POWER(Upgrades!$U$14,F154),1)*IF(Upgrades!$T$15="Moving Group",POWER(Upgrades!$U$15,G154),1)*IF(Upgrades!$T$16="Moving Group",POWER(Upgrades!$U$16,H154),1)*IF(Upgrades!$T$17="Moving Group",POWER(Upgrades!$U$17,I154),1)*IF(Upgrades!$T$18="Moving Group",POWER(Upgrades!$U$18,J154),1)*IF(Upgrades!$T$19="Moving Group",POWER(Upgrades!$U$19,K154),1)*IF(Upgrades!$T$20="Moving Group",POWER(Upgrades!$U$20,L154),1)))*POWER(Upgrades!$Q$13,E154)*POWER(Upgrades!$Q$14,F154)*POWER(Upgrades!$Q$15,G154)*POWER(Upgrades!$Q$16,H154)*POWER(Upgrades!$Q$17,I154)*POWER(Upgrades!$Q$18,J154)*POWER(Upgrades!$Q$19,K154)*POWER(Upgrades!$Q$20,L154)*POWER(Upgrades!$Q$21,M154)*$G$6+$D$6</f>
        <v/>
      </c>
      <c r="P154" s="28">
        <f>((IF(E154=0,0,(Upgrades!$G$13+E154*Upgrades!$H$13)*POWER(Upgrades!$I$13,E154)))*(IF(Upgrades!$T$14="Stellar Kinematics",POWER(Upgrades!$U$14,F154),1)*IF(Upgrades!$T$15="Stellar Kinematics",POWER(Upgrades!$U$15,G154),1)*IF(Upgrades!$T$16="Stellar Kinematics",POWER(Upgrades!$U$16,H154),1)*IF(Upgrades!$T$17="Stellar Kinematics",POWER(Upgrades!$U$17,I154),1)*IF(Upgrades!$T$18="Stellar Kinematics",POWER(Upgrades!$U$18,J154),1)*IF(Upgrades!$T$19="Stellar Kinematics",POWER(Upgrades!$U$19,K154),1)*IF(Upgrades!$T$20="Stellar Kinematics",POWER(Upgrades!$U$20,L154),1)*IF(Upgrades!$T$21="Stellar Kinematics",POWER(Upgrades!$U$21,M154),1))+(IF(F154=0,0,(Upgrades!$G$14+F154*Upgrades!$H$14)*POWER(Upgrades!$I$14,F154)))*(IF(Upgrades!$T$13="Local Bubble",POWER(Upgrades!$U$13,E154),1)*IF(Upgrades!$T$15="Local Bubble",POWER(Upgrades!$U$15,G154),1)*IF(Upgrades!$T$16="Local Bubble",POWER(Upgrades!$U$16,H154),1)*IF(Upgrades!$T$17="Local Bubble",POWER(Upgrades!$U$17,I154),1)*IF(Upgrades!$T$18="Local Bubble",POWER(Upgrades!$U$18,J154),1)*IF(Upgrades!$T$19="Local Bubble",POWER(Upgrades!$U$19,K154),1)*IF(Upgrades!$T$20="Local Bubble",POWER(Upgrades!$U$20,L154),1)*IF(Upgrades!$T$21="Local Bubble",POWER(Upgrades!$U$21,M154),1))+(IF(G154=0,0,(Upgrades!$G$15+G154*Upgrades!$H$15)*POWER(Upgrades!$I$15,G154)))*(IF(Upgrades!$T$13="Microlensing",POWER(Upgrades!$U$13,E154),1)*IF(Upgrades!$T$14="Microlensing",POWER(Upgrades!$U$14,F154),1)*IF(Upgrades!$T$16="Microlensing",POWER(Upgrades!$U$16,H154),1)*IF(Upgrades!$T$17="Microlensing",POWER(Upgrades!$U$17,I154),1)*IF(Upgrades!$T$18="Microlensing",POWER(Upgrades!$U$18,J154),1)*IF(Upgrades!$T$19="Microlensing",POWER(Upgrades!$U$19,K154),1)*IF(Upgrades!$T$20="Microlensing",POWER(Upgrades!$U$20,L154),1)*IF(Upgrades!$T$21="Microlensing",POWER(Upgrades!$U$21,M154),1))+(IF(H154=0,0,(Upgrades!$G$16+H154*Upgrades!$H$16)*POWER(Upgrades!$I$16,H154)))*(IF(Upgrades!$T$13="Roche Lobe Overflow",POWER(Upgrades!$U$13,E154),1)*IF(Upgrades!$T$14="Roche Lobe Overflow",POWER(Upgrades!$U$14,F154),1)*IF(Upgrades!$T$15="Roche Lobe Overflow",POWER(Upgrades!$U$15,G154),1)*IF(Upgrades!$T$17="Roche Lobe Overflow",POWER(Upgrades!$U$17,I154),1)*IF(Upgrades!$T$18="Roche Lobe Overflow",POWER(Upgrades!$U$18,J154),1)*IF(Upgrades!$T$19="Roche Lobe Overflow",POWER(Upgrades!$U$19,K154),1)*IF(Upgrades!$T$20="Roche Lobe Overflow",POWER(Upgrades!$U$20,L154),1)*IF(Upgrades!$T$21="Roche Lobe Overflow",POWER(Upgrades!$U$21,M154),1))+(IF(I154=0,0,(Upgrades!$G$17+I154*Upgrades!$H$17)*POWER(Upgrades!$I$17,I154)))*(IF(Upgrades!$T$13="Brown Dwarf",POWER(Upgrades!$U$13,E154),1)*IF(Upgrades!$T$14="Brown Dwarf",POWER(Upgrades!$U$14,F154),1)*IF(Upgrades!$T$15="Brown Dwarf",POWER(Upgrades!$U$15,G154),1)*IF(Upgrades!$T$16="Brown Dwarf",POWER(Upgrades!$U$16,H154),1)*IF(Upgrades!$T$18="Brown Dwarf",POWER(Upgrades!$U$18,J154),1)*IF(Upgrades!$T$19="Brown Dwarf",POWER(Upgrades!$U$19,K154),1)*IF(Upgrades!$T$20="Brown Dwarf",POWER(Upgrades!$U$20,L154),1)*IF(Upgrades!$T$21="Brown Dwarf",POWER(Upgrades!$U$21,M154),1))+(IF(J154=0,0,(Upgrades!$G$18+J154*Upgrades!$H$18)*POWER(Upgrades!$I$18,J154)))*(IF(Upgrades!$T$13="Binary Partner",POWER(Upgrades!$U$13,E154),1)*IF(Upgrades!$T$14="Binary Partner",POWER(Upgrades!$U$14,F154),1)*IF(Upgrades!$T$15="Binary Partner",POWER(Upgrades!$U$15,G154),1)*IF(Upgrades!$T$16="Binary Partner",POWER(Upgrades!$U$16,H154),1)*IF(Upgrades!$T$17="Binary Partner",POWER(Upgrades!$U$17,I154),1)*IF(Upgrades!$T$19="Binary Partner",POWER(Upgrades!$U$19,K154),1)*IF(Upgrades!$T$20="Binary Partner",POWER(Upgrades!$U$20,L154),1)*IF(Upgrades!$T$21="Binary Partner",POWER(Upgrades!$U$21,M154),1))+(IF(K154=0,0,(Upgrades!$G$19+K154*Upgrades!$H$19)*POWER(Upgrades!$I$19,K154)))*(IF(Upgrades!$T$13="Peculiar Velocity",POWER(Upgrades!$U$13,E154),1)*IF(Upgrades!$T$14="Peculiar Velocity",POWER(Upgrades!$U$14,F154),1)*IF(Upgrades!$T$15="Peculiar Velocity",POWER(Upgrades!$U$15,G154),1)*IF(Upgrades!$T$16="Peculiar Velocity",POWER(Upgrades!$U$16,H154),1)*IF(Upgrades!$T$17="Peculiar Velocity",POWER(Upgrades!$U$17,I154),1)*IF(Upgrades!$T$18="Peculiar Velocity",POWER(Upgrades!$U$18,J154),1)*IF(Upgrades!$T$20="Peculiar Velocity",POWER(Upgrades!$U$20,L154),1)*IF(Upgrades!$T$21="Peculiar Velocity",POWER(Upgrades!$U$21,M154),1))+(IF(L154=0,0,(Upgrades!$G$20+L154*Upgrades!$H$20)*POWER(Upgrades!$I$20,L154)))*(IF(Upgrades!$T$13="Open Cluster",POWER(Upgrades!$U$13,E154),1)*IF(Upgrades!$T$14="Open Cluster",POWER(Upgrades!$U$14,F154),1)*IF(Upgrades!$T$15="Open Cluster",POWER(Upgrades!$U$15,G154),1)*IF(Upgrades!$T$16="Open Cluster",POWER(Upgrades!$U$16,H154),1)*IF(Upgrades!$T$17="Open Cluster",POWER(Upgrades!$U$17,I154),1)*IF(Upgrades!$T$18="Open Cluster",POWER(Upgrades!$U$18,J154),1)*IF(Upgrades!$T$19="Open Cluster",POWER(Upgrades!$U$19,K154),1)*IF(Upgrades!$T$21="Open Cluster",POWER(Upgrades!$U$21,M154),1))+(IF(M154=0,0,(Upgrades!$G$21+M154*Upgrades!$H$21)*POWER(Upgrades!$I$21,M154)))*(IF(Upgrades!$T$13="Moving Group",POWER(Upgrades!$U$13,E154),1)*IF(Upgrades!$T$14="Moving Group",POWER(Upgrades!$U$14,F154),1)*IF(Upgrades!$T$15="Moving Group",POWER(Upgrades!$U$15,G154),1)*IF(Upgrades!$T$16="Moving Group",POWER(Upgrades!$U$16,H154),1)*IF(Upgrades!$T$17="Moving Group",POWER(Upgrades!$U$17,I154),1)*IF(Upgrades!$T$18="Moving Group",POWER(Upgrades!$U$18,J154),1)*IF(Upgrades!$T$19="Moving Group",POWER(Upgrades!$U$19,K154),1)*IF(Upgrades!$T$20="Moving Group",POWER(Upgrades!$U$20,L154),1)))*POWER(Upgrades!$P$13,E154)*POWER(Upgrades!$P$14,F154)*POWER(Upgrades!$P$15,G154)*POWER(Upgrades!$P$16,H154)*POWER(Upgrades!$P$17,I154)*POWER(Upgrades!$P$18,J154)*POWER(Upgrades!$P$19,K154)*POWER(Upgrades!$P$20,L154)*POWER(Upgrades!$P$21,M154)*$F$6+$C$6</f>
        <v/>
      </c>
      <c r="Q154" s="28">
        <f>((IF(E154=0,0,(Upgrades!$M$13+E154*Upgrades!$N$13)*POWER(Upgrades!$O$13,E154)))*(IF(Upgrades!$T$14="Stellar Kinematics",POWER(Upgrades!$U$14,F154),1)*IF(Upgrades!$T$15="Stellar Kinematics",POWER(Upgrades!$U$15,G154),1)*IF(Upgrades!$T$16="Stellar Kinematics",POWER(Upgrades!$U$16,H154),1)*IF(Upgrades!$T$17="Stellar Kinematics",POWER(Upgrades!$U$17,I154),1)*IF(Upgrades!$T$18="Stellar Kinematics",POWER(Upgrades!$U$18,J154),1)*IF(Upgrades!$T$19="Stellar Kinematics",POWER(Upgrades!$U$19,K154),1)*IF(Upgrades!$T$20="Stellar Kinematics",POWER(Upgrades!$U$20,L154),1)*IF(Upgrades!$T$21="Stellar Kinematics",POWER(Upgrades!$U$21,M154),1))+(IF(F154=0,0,(Upgrades!$M$14+F154*Upgrades!$N$14)*POWER(Upgrades!$O$14,F154)))*(IF(Upgrades!$T$13="Local Bubble",POWER(Upgrades!$U$13,E154),1)*IF(Upgrades!$T$15="Local Bubble",POWER(Upgrades!$U$15,G154),1)*IF(Upgrades!$T$16="Local Bubble",POWER(Upgrades!$U$16,H154),1)*IF(Upgrades!$T$17="Local Bubble",POWER(Upgrades!$U$17,I154),1)*IF(Upgrades!$T$18="Local Bubble",POWER(Upgrades!$U$18,J154),1)*IF(Upgrades!$T$19="Local Bubble",POWER(Upgrades!$U$19,K154),1)*IF(Upgrades!$T$20="Local Bubble",POWER(Upgrades!$U$20,L154),1)*IF(Upgrades!$T$21="Local Bubble",POWER(Upgrades!$U$21,M154),1))+(IF(G154=0,0,(Upgrades!$M$15+G154*Upgrades!$N$15)*POWER(Upgrades!$O$15,G154)))*(IF(Upgrades!$T$13="Microlensing",POWER(Upgrades!$U$13,E154),1)*IF(Upgrades!$T$14="Microlensing",POWER(Upgrades!$U$14,F154),1)*IF(Upgrades!$T$16="Microlensing",POWER(Upgrades!$U$16,H154),1)*IF(Upgrades!$T$17="Microlensing",POWER(Upgrades!$U$17,I154),1)*IF(Upgrades!$T$18="Microlensing",POWER(Upgrades!$U$18,J154),1)*IF(Upgrades!$T$19="Microlensing",POWER(Upgrades!$U$19,K154),1)*IF(Upgrades!$T$20="Microlensing",POWER(Upgrades!$U$20,L154),1)*IF(Upgrades!$T$21="Microlensing",POWER(Upgrades!$U$21,M154),1))+(IF(H154=0,0,(Upgrades!$M$16+H154*Upgrades!$N$16)*POWER(Upgrades!$O$16,H154)))*(IF(Upgrades!$T$13="Roche Lobe Overflow",POWER(Upgrades!$U$13,E154),1)*IF(Upgrades!$T$14="Roche Lobe Overflow",POWER(Upgrades!$U$14,F154),1)*IF(Upgrades!$T$15="Roche Lobe Overflow",POWER(Upgrades!$U$15,G154),1)*IF(Upgrades!$T$17="Roche Lobe Overflow",POWER(Upgrades!$U$17,I154),1)*IF(Upgrades!$T$18="Roche Lobe Overflow",POWER(Upgrades!$U$18,J154),1)*IF(Upgrades!$T$19="Roche Lobe Overflow",POWER(Upgrades!$U$19,K154),1)*IF(Upgrades!$T$20="Roche Lobe Overflow",POWER(Upgrades!$U$20,L154),1)*IF(Upgrades!$T$21="Roche Lobe Overflow",POWER(Upgrades!$U$21,M154),1))+(IF(I154=0,0,(Upgrades!$M$17+I154*Upgrades!$N$17)*POWER(Upgrades!$O$17,I154)))*(IF(Upgrades!$T$13="Brown Dwarf",POWER(Upgrades!$U$13,E154),1)*IF(Upgrades!$T$14="Brown Dwarf",POWER(Upgrades!$U$14,F154),1)*IF(Upgrades!$T$15="Brown Dwarf",POWER(Upgrades!$U$15,G154),1)*IF(Upgrades!$T$16="Brown Dwarf",POWER(Upgrades!$U$16,H154),1)*IF(Upgrades!$T$18="Brown Dwarf",POWER(Upgrades!$U$18,J154),1)*IF(Upgrades!$T$19="Brown Dwarf",POWER(Upgrades!$U$19,K154),1)*IF(Upgrades!$T$20="Brown Dwarf",POWER(Upgrades!$U$20,L154),1)*IF(Upgrades!$T$21="Brown Dwarf",POWER(Upgrades!$U$21,M154),1))+(IF(J154=0,0,(Upgrades!$M$18+J154*Upgrades!$N$18)*POWER(Upgrades!$O$18,J154)))*(IF(Upgrades!$T$13="Binary Partner",POWER(Upgrades!$U$13,E154),1)*IF(Upgrades!$T$14="Binary Partner",POWER(Upgrades!$U$14,F154),1)*IF(Upgrades!$T$15="Binary Partner",POWER(Upgrades!$U$15,G154),1)*IF(Upgrades!$T$16="Binary Partner",POWER(Upgrades!$U$16,H154),1)*IF(Upgrades!$T$17="Binary Partner",POWER(Upgrades!$U$17,I154),1)*IF(Upgrades!$T$19="Binary Partner",POWER(Upgrades!$U$19,K154),1)*IF(Upgrades!$T$20="Binary Partner",POWER(Upgrades!$U$20,L154),1)*IF(Upgrades!$T$21="Binary Partner",POWER(Upgrades!$U$21,M154),1))+(IF(K154=0,0,(Upgrades!$M$19+K154*Upgrades!$N$19)*POWER(Upgrades!$O$19,K154)))*(IF(Upgrades!$T$13="Peculiar Velocity",POWER(Upgrades!$U$13,E154),1)*IF(Upgrades!$T$14="Peculiar Velocity",POWER(Upgrades!$U$14,F154),1)*IF(Upgrades!$T$15="Peculiar Velocity",POWER(Upgrades!$U$15,G154),1)*IF(Upgrades!$T$16="Peculiar Velocity",POWER(Upgrades!$U$16,H154),1)*IF(Upgrades!$T$17="Peculiar Velocity",POWER(Upgrades!$U$17,I154),1)*IF(Upgrades!$T$18="Peculiar Velocity",POWER(Upgrades!$U$18,J154),1)*IF(Upgrades!$T$20="Peculiar Velocity",POWER(Upgrades!$U$20,L154),1)*IF(Upgrades!$T$21="Peculiar Velocity",POWER(Upgrades!$U$21,M154),1))+(IF(L154=0,0,(Upgrades!$M$20+L154*Upgrades!$N$20)*POWER(Upgrades!$O$20,L154)))*(IF(Upgrades!$T$13="Open Cluster",POWER(Upgrades!$U$13,E154),1)*IF(Upgrades!$T$14="Open Cluster",POWER(Upgrades!$U$14,F154),1)*IF(Upgrades!$T$15="Open Cluster",POWER(Upgrades!$U$15,G154),1)*IF(Upgrades!$T$16="Open Cluster",POWER(Upgrades!$U$16,H154),1)*IF(Upgrades!$T$17="Open Cluster",POWER(Upgrades!$U$17,I154),1)*IF(Upgrades!$T$18="Open Cluster",POWER(Upgrades!$U$18,J154),1)*IF(Upgrades!$T$19="Open Cluster",POWER(Upgrades!$U$19,K154),1)*IF(Upgrades!$T$21="Open Cluster",POWER(Upgrades!$U$21,M154),1))+(IF(M154=0,0,(Upgrades!$M$21+M154*Upgrades!$N$21)*POWER(Upgrades!$O$21,M154)))*(IF(Upgrades!$T$13="Moving Group",POWER(Upgrades!$U$13,E154),1)*IF(Upgrades!$T$14="Moving Group",POWER(Upgrades!$U$14,F154),1)*IF(Upgrades!$T$15="Moving Group",POWER(Upgrades!$U$15,G154),1)*IF(Upgrades!$T$16="Moving Group",POWER(Upgrades!$U$16,H154),1)*IF(Upgrades!$T$17="Moving Group",POWER(Upgrades!$U$17,I154),1)*IF(Upgrades!$T$18="Moving Group",POWER(Upgrades!$U$18,J154),1)*IF(Upgrades!$T$19="Moving Group",POWER(Upgrades!$U$19,K154),1)*IF(Upgrades!$T$20="Moving Group",POWER(Upgrades!$U$20,L154),1)))*POWER(Upgrades!$R$13,E154)*POWER(Upgrades!$R$14,F154)*POWER(Upgrades!$R$15,G154)*POWER(Upgrades!$R$16,H154)*POWER(Upgrades!$R$17,I154)*POWER(Upgrades!$R$18,J154)*POWER(Upgrades!$R$19,K154)*POWER(Upgrades!$R$20,L154)*POWER(Upgrades!$R$21,M154)*$H$6+$E$6</f>
        <v/>
      </c>
      <c r="R154" s="27">
        <f>IF(N154=1,0,O154*Parameters!$B$10/60*Parameters!$B$11*10)</f>
        <v/>
      </c>
      <c r="S154" s="27">
        <f>IF(N154=1,0,Q154*O154*10)</f>
        <v/>
      </c>
      <c r="T154" s="27">
        <f>IF(N154=1,0,R154+S154+P154*10)</f>
        <v/>
      </c>
      <c r="U154" s="33">
        <f>BE154</f>
        <v/>
      </c>
      <c r="V154" s="22">
        <f>IF(U154="",0,IF(U154="transition",0,IF(U154="SK",AK154,IF(U154="LB",AL154,IF(U154="ML",AM154,IF(U154="RLO",AN154,IF(U154="BD",AO154,IF(U154="BiP",AP154,IF(U154="PV",AQ154,IF(U154="OC",AR154,IF(U154="MG",AS154,0))))))))))</f>
        <v/>
      </c>
      <c r="W154" s="27">
        <f>IF(U154="BiP",Upgrades!$F$18,IF(U154="PV",Upgrades!$F$19,IF(U154="OC",Upgrades!$F$20,IF(U154="MG",Upgrades!$F$21,IF(U154="transition",-Parameters!$B$18*Parameters!$B$19,0)))))</f>
        <v/>
      </c>
      <c r="X154" s="22">
        <f>C154+T154-V154</f>
        <v/>
      </c>
      <c r="Y154" s="30">
        <f>O154*Parameters!$B$10/60*Parameters!$B$11+Q154*O154+P154</f>
        <v/>
      </c>
      <c r="Z154" s="34">
        <f>IF(U154="transition","→ Tier 3 (Galactic Arm)",IF(U154="MG","Moving Group — pocket drifts together",IF(U154="OC","Open Cluster acquired",IF(U154="PV","Peculiar Velocity — passive multiplier active",IF(U154="BiP","Binary Partner — pair bond formed",IF(AND(AU154=1,N154=0,AT154&lt;&gt;1),"Cohesion ready (waiting on completionists)","")))))) </f>
        <v/>
      </c>
      <c r="AA154" s="27">
        <f>(IF(E154=0,0,(Upgrades!$G$13+E154*Upgrades!$H$13)*POWER(Upgrades!$I$13,E154)))*(IF(Upgrades!$T$14="Stellar Kinematics",POWER(Upgrades!$U$14,F154),1)*IF(Upgrades!$T$15="Stellar Kinematics",POWER(Upgrades!$U$15,G154),1)*IF(Upgrades!$T$16="Stellar Kinematics",POWER(Upgrades!$U$16,H154),1)*IF(Upgrades!$T$17="Stellar Kinematics",POWER(Upgrades!$U$17,I154),1)*IF(Upgrades!$T$18="Stellar Kinematics",POWER(Upgrades!$U$18,J154),1)*IF(Upgrades!$T$19="Stellar Kinematics",POWER(Upgrades!$U$19,K154),1)*IF(Upgrades!$T$20="Stellar Kinematics",POWER(Upgrades!$U$20,L154),1)*IF(Upgrades!$T$21="Stellar Kinematics",POWER(Upgrades!$U$21,M154),1))*POWER(Upgrades!$P$13,E154)*POWER(Upgrades!$P$14,F154)*POWER(Upgrades!$P$15,G154)*POWER(Upgrades!$P$16,H154)*POWER(Upgrades!$P$17,I154)*POWER(Upgrades!$P$18,J154)*POWER(Upgrades!$P$19,K154)*POWER(Upgrades!$P$20,L154)*POWER(Upgrades!$P$21,M154)*$F$6*60</f>
        <v/>
      </c>
      <c r="AB154" s="27">
        <f>(IF(F154=0,0,(Upgrades!$G$14+F154*Upgrades!$H$14)*POWER(Upgrades!$I$14,F154)))*(IF(Upgrades!$T$13="Local Bubble",POWER(Upgrades!$U$13,E154),1)*IF(Upgrades!$T$15="Local Bubble",POWER(Upgrades!$U$15,G154),1)*IF(Upgrades!$T$16="Local Bubble",POWER(Upgrades!$U$16,H154),1)*IF(Upgrades!$T$17="Local Bubble",POWER(Upgrades!$U$17,I154),1)*IF(Upgrades!$T$18="Local Bubble",POWER(Upgrades!$U$18,J154),1)*IF(Upgrades!$T$19="Local Bubble",POWER(Upgrades!$U$19,K154),1)*IF(Upgrades!$T$20="Local Bubble",POWER(Upgrades!$U$20,L154),1)*IF(Upgrades!$T$21="Local Bubble",POWER(Upgrades!$U$21,M154),1))*POWER(Upgrades!$P$13,E154)*POWER(Upgrades!$P$14,F154)*POWER(Upgrades!$P$15,G154)*POWER(Upgrades!$P$16,H154)*POWER(Upgrades!$P$17,I154)*POWER(Upgrades!$P$18,J154)*POWER(Upgrades!$P$19,K154)*POWER(Upgrades!$P$20,L154)*POWER(Upgrades!$P$21,M154)*$F$6*60</f>
        <v/>
      </c>
      <c r="AC154" s="27">
        <f>(IF(G154=0,0,(Upgrades!$J$15+G154*Upgrades!$K$15)*POWER(Upgrades!$L$15,G154)))*(IF(Upgrades!$T$13="Microlensing",POWER(Upgrades!$U$13,E154),1)*IF(Upgrades!$T$14="Microlensing",POWER(Upgrades!$U$14,F154),1)*IF(Upgrades!$T$16="Microlensing",POWER(Upgrades!$U$16,H154),1)*IF(Upgrades!$T$17="Microlensing",POWER(Upgrades!$U$17,I154),1)*IF(Upgrades!$T$18="Microlensing",POWER(Upgrades!$U$18,J154),1)*IF(Upgrades!$T$19="Microlensing",POWER(Upgrades!$U$19,K154),1)*IF(Upgrades!$T$20="Microlensing",POWER(Upgrades!$U$20,L154),1)*IF(Upgrades!$T$21="Microlensing",POWER(Upgrades!$U$21,M154),1))*POWER(Upgrades!$Q$13,E154)*POWER(Upgrades!$Q$14,F154)*POWER(Upgrades!$Q$15,G154)*POWER(Upgrades!$Q$16,H154)*POWER(Upgrades!$Q$17,I154)*POWER(Upgrades!$Q$18,J154)*POWER(Upgrades!$Q$19,K154)*POWER(Upgrades!$Q$20,L154)*POWER(Upgrades!$Q$21,M154)*$G$6*(Parameters!$B$10*Parameters!$B$11+Q154*60)</f>
        <v/>
      </c>
      <c r="AD154" s="27">
        <f>(IF(H154=0,0,(Upgrades!$M$16+H154*Upgrades!$N$16)*POWER(Upgrades!$O$16,H154)))*(IF(Upgrades!$T$13="Roche Lobe Overflow",POWER(Upgrades!$U$13,E154),1)*IF(Upgrades!$T$14="Roche Lobe Overflow",POWER(Upgrades!$U$14,F154),1)*IF(Upgrades!$T$15="Roche Lobe Overflow",POWER(Upgrades!$U$15,G154),1)*IF(Upgrades!$T$17="Roche Lobe Overflow",POWER(Upgrades!$U$17,I154),1)*IF(Upgrades!$T$18="Roche Lobe Overflow",POWER(Upgrades!$U$18,J154),1)*IF(Upgrades!$T$19="Roche Lobe Overflow",POWER(Upgrades!$U$19,K154),1)*IF(Upgrades!$T$20="Roche Lobe Overflow",POWER(Upgrades!$U$20,L154),1)*IF(Upgrades!$T$21="Roche Lobe Overflow",POWER(Upgrades!$U$21,M154),1))*POWER(Upgrades!$R$13,E154)*POWER(Upgrades!$R$14,F154)*POWER(Upgrades!$R$15,G154)*POWER(Upgrades!$R$16,H154)*POWER(Upgrades!$R$17,I154)*POWER(Upgrades!$R$18,J154)*POWER(Upgrades!$R$19,K154)*POWER(Upgrades!$R$20,L154)*POWER(Upgrades!$R$21,M154)*$H$6*O154*60</f>
        <v/>
      </c>
      <c r="AE154" s="27">
        <f>(IF(I154=0,0,(Upgrades!$G$17+I154*Upgrades!$H$17)*POWER(Upgrades!$I$17,I154)))*(IF(Upgrades!$T$13="Brown Dwarf",POWER(Upgrades!$U$13,E154),1)*IF(Upgrades!$T$14="Brown Dwarf",POWER(Upgrades!$U$14,F154),1)*IF(Upgrades!$T$15="Brown Dwarf",POWER(Upgrades!$U$15,G154),1)*IF(Upgrades!$T$16="Brown Dwarf",POWER(Upgrades!$U$16,H154),1)*IF(Upgrades!$T$18="Brown Dwarf",POWER(Upgrades!$U$18,J154),1)*IF(Upgrades!$T$19="Brown Dwarf",POWER(Upgrades!$U$19,K154),1)*IF(Upgrades!$T$20="Brown Dwarf",POWER(Upgrades!$U$20,L154),1)*IF(Upgrades!$T$21="Brown Dwarf",POWER(Upgrades!$U$21,M154),1))*POWER(Upgrades!$P$13,E154)*POWER(Upgrades!$P$14,F154)*POWER(Upgrades!$P$15,G154)*POWER(Upgrades!$P$16,H154)*POWER(Upgrades!$P$17,I154)*POWER(Upgrades!$P$18,J154)*POWER(Upgrades!$P$19,K154)*POWER(Upgrades!$P$20,L154)*POWER(Upgrades!$P$21,M154)*$F$6*60</f>
        <v/>
      </c>
      <c r="AF154" s="27" t="n">
        <v>0</v>
      </c>
      <c r="AG154" s="27" t="n">
        <v>0</v>
      </c>
      <c r="AH154" s="27" t="n">
        <v>0</v>
      </c>
      <c r="AI154" s="27">
        <f>(IF(M154=0,0,(Upgrades!$G$21+M154*Upgrades!$H$21)*POWER(Upgrades!$I$21,M154)))*(IF(Upgrades!$T$13="Moving Group",POWER(Upgrades!$U$13,E154),1)*IF(Upgrades!$T$14="Moving Group",POWER(Upgrades!$U$14,F154),1)*IF(Upgrades!$T$15="Moving Group",POWER(Upgrades!$U$15,G154),1)*IF(Upgrades!$T$16="Moving Group",POWER(Upgrades!$U$16,H154),1)*IF(Upgrades!$T$17="Moving Group",POWER(Upgrades!$U$17,I154),1)*IF(Upgrades!$T$18="Moving Group",POWER(Upgrades!$U$18,J154),1)*IF(Upgrades!$T$19="Moving Group",POWER(Upgrades!$U$19,K154),1)*IF(Upgrades!$T$20="Moving Group",POWER(Upgrades!$U$20,L154),1))*POWER(Upgrades!$P$13,E154)*POWER(Upgrades!$P$14,F154)*POWER(Upgrades!$P$15,G154)*POWER(Upgrades!$P$16,H154)*POWER(Upgrades!$P$17,I154)*POWER(Upgrades!$P$18,J154)*POWER(Upgrades!$P$19,K154)*POWER(Upgrades!$P$20,L154)*POWER(Upgrades!$P$21,M154)*$F$6*60</f>
        <v/>
      </c>
      <c r="AJ154" s="27">
        <f>$C$6*60</f>
        <v/>
      </c>
      <c r="AK154" s="22">
        <f>IF(E154&gt;=Upgrades!$E$13,"",Upgrades!$C$13*POWER(Upgrades!$D$13,E154))</f>
        <v/>
      </c>
      <c r="AL154" s="22">
        <f>IF(F154&gt;=Upgrades!$E$14,"",Upgrades!$C$14*POWER(Upgrades!$D$14,F154))</f>
        <v/>
      </c>
      <c r="AM154" s="22">
        <f>IF(G154&gt;=Upgrades!$E$15,"",Upgrades!$C$15*POWER(Upgrades!$D$15,G154))</f>
        <v/>
      </c>
      <c r="AN154" s="22">
        <f>IF(H154&gt;=Upgrades!$E$16,"",Upgrades!$C$16*POWER(Upgrades!$D$16,H154))</f>
        <v/>
      </c>
      <c r="AO154" s="22">
        <f>IF(I154&gt;=Upgrades!$E$17,"",Upgrades!$C$17*POWER(Upgrades!$D$17,I154))</f>
        <v/>
      </c>
      <c r="AP154" s="22">
        <f>IF(J154&gt;=Upgrades!$E$18,"",Upgrades!$C$18*POWER(Upgrades!$D$18,J154))</f>
        <v/>
      </c>
      <c r="AQ154" s="22">
        <f>IF(K154&gt;=Upgrades!$E$19,"",Upgrades!$C$19*POWER(Upgrades!$D$19,K154))</f>
        <v/>
      </c>
      <c r="AR154" s="22">
        <f>IF(L154&gt;=Upgrades!$E$20,"",Upgrades!$C$20*POWER(Upgrades!$D$20,L154))</f>
        <v/>
      </c>
      <c r="AS154" s="22">
        <f>IF(M154&gt;=Upgrades!$E$21,"",Upgrades!$C$21*POWER(Upgrades!$D$21,M154))</f>
        <v/>
      </c>
      <c r="AT154" s="26">
        <f>IF(AND(D154&gt;=Parameters!$B$18*Parameters!$B$19,(I154&gt;=Upgrades!$E$17)*(M154&gt;=Upgrades!$E$21)=1,N154=0),1,"")</f>
        <v/>
      </c>
      <c r="AU154" s="26">
        <f>IF(AND(D154&gt;=Parameters!$B$18*Parameters!$B$19,N154=0),1,"")</f>
        <v/>
      </c>
      <c r="AV154" s="22">
        <f>MIN(IF(ISNUMBER(AP154),AP154,9E15),IF(ISNUMBER(AQ154),AQ154,9E15),IF(ISNUMBER(AR154),AR154,9E15),IF(ISNUMBER(AS154),AS154,9E15))</f>
        <v/>
      </c>
      <c r="AW154" s="22">
        <f>MIN(IF(ISNUMBER(AK154),AK154,9E15),IF(ISNUMBER(AL154),AL154,9E15),IF(ISNUMBER(AM154),AM154,9E15),IF(ISNUMBER(AN154),AN154,9E15),IF(ISNUMBER(AO154),AO154,9E15))</f>
        <v/>
      </c>
      <c r="AX154" s="29">
        <f>IF(BD154&gt;Parameters!$B$21*(MAX(IF(AND(NOT(AND(AU154=1,AT154&lt;&gt;1)),ISNUMBER(AK154),AK154&lt;=(C154+T154)),AY154,0),IF(AND(NOT(AND(AU154=1,AT154&lt;&gt;1)),ISNUMBER(AL154),AL154&lt;=(C154+T154)),AZ154,0),IF(AND(NOT(AND(AU154=1,AT154&lt;&gt;1)),ISNUMBER(AM154),AM154&lt;=(C154+T154)),BA154,0),IF(AND(NOT(AND(AU154=1,AT154&lt;&gt;1)),ISNUMBER(AN154),AN154&lt;=(C154+T154)),BB154,0),IF(AND(ISNUMBER(AO154),AO154&lt;=(C154+T154)),BC154,0))),TRUE,FALSE)</f>
        <v/>
      </c>
      <c r="AY154" s="32">
        <f>IFERROR(Upgrades!$H$13*(POWER(Upgrades!$P$13,E154)*POWER(Upgrades!$P$14,F154)*POWER(Upgrades!$P$15,G154)*POWER(Upgrades!$P$16,H154)*POWER(Upgrades!$P$17,I154)*POWER(Upgrades!$P$18,J154)*POWER(Upgrades!$P$19,K154)*POWER(Upgrades!$P$20,L154)*POWER(Upgrades!$P$21,M154))*(IF(Upgrades!$T$14="Stellar Kinematics",POWER(Upgrades!$U$14,F154),1)*IF(Upgrades!$T$15="Stellar Kinematics",POWER(Upgrades!$U$15,G154),1)*IF(Upgrades!$T$16="Stellar Kinematics",POWER(Upgrades!$U$16,H154),1)*IF(Upgrades!$T$17="Stellar Kinematics",POWER(Upgrades!$U$17,I154),1)*IF(Upgrades!$T$18="Stellar Kinematics",POWER(Upgrades!$U$18,J154),1)*IF(Upgrades!$T$19="Stellar Kinematics",POWER(Upgrades!$U$19,K154),1)*IF(Upgrades!$T$20="Stellar Kinematics",POWER(Upgrades!$U$20,L154),1)*IF(Upgrades!$T$21="Stellar Kinematics",POWER(Upgrades!$U$21,M154),1))*$F$6/AK154,0)</f>
        <v/>
      </c>
      <c r="AZ154" s="32">
        <f>IFERROR(Upgrades!$H$14*(POWER(Upgrades!$P$13,E154)*POWER(Upgrades!$P$14,F154)*POWER(Upgrades!$P$15,G154)*POWER(Upgrades!$P$16,H154)*POWER(Upgrades!$P$17,I154)*POWER(Upgrades!$P$18,J154)*POWER(Upgrades!$P$19,K154)*POWER(Upgrades!$P$20,L154)*POWER(Upgrades!$P$21,M154))*(IF(Upgrades!$T$13="Local Bubble",POWER(Upgrades!$U$13,E154),1)*IF(Upgrades!$T$15="Local Bubble",POWER(Upgrades!$U$15,G154),1)*IF(Upgrades!$T$16="Local Bubble",POWER(Upgrades!$U$16,H154),1)*IF(Upgrades!$T$17="Local Bubble",POWER(Upgrades!$U$17,I154),1)*IF(Upgrades!$T$18="Local Bubble",POWER(Upgrades!$U$18,J154),1)*IF(Upgrades!$T$19="Local Bubble",POWER(Upgrades!$U$19,K154),1)*IF(Upgrades!$T$20="Local Bubble",POWER(Upgrades!$U$20,L154),1)*IF(Upgrades!$T$21="Local Bubble",POWER(Upgrades!$U$21,M154),1))*$F$6/AL154,0)</f>
        <v/>
      </c>
      <c r="BA154" s="32">
        <f>IFERROR(Upgrades!$K$15*(POWER(Upgrades!$Q$13,E154)*POWER(Upgrades!$Q$14,F154)*POWER(Upgrades!$Q$15,G154)*POWER(Upgrades!$Q$16,H154)*POWER(Upgrades!$Q$17,I154)*POWER(Upgrades!$Q$18,J154)*POWER(Upgrades!$Q$19,K154)*POWER(Upgrades!$Q$20,L154)*POWER(Upgrades!$Q$21,M154))*(IF(Upgrades!$T$13="Microlensing",POWER(Upgrades!$U$13,E154),1)*IF(Upgrades!$T$14="Microlensing",POWER(Upgrades!$U$14,F154),1)*IF(Upgrades!$T$16="Microlensing",POWER(Upgrades!$U$16,H154),1)*IF(Upgrades!$T$17="Microlensing",POWER(Upgrades!$U$17,I154),1)*IF(Upgrades!$T$18="Microlensing",POWER(Upgrades!$U$18,J154),1)*IF(Upgrades!$T$19="Microlensing",POWER(Upgrades!$U$19,K154),1)*IF(Upgrades!$T$20="Microlensing",POWER(Upgrades!$U$20,L154),1)*IF(Upgrades!$T$21="Microlensing",POWER(Upgrades!$U$21,M154),1))*$G$6*(Parameters!$B$10/60*Parameters!$B$11+Q154)/AM154,0)</f>
        <v/>
      </c>
      <c r="BB154" s="32">
        <f>IFERROR((Upgrades!$N$16*(POWER(Upgrades!$R$13,E154)*POWER(Upgrades!$R$14,F154)*POWER(Upgrades!$R$15,G154)*POWER(Upgrades!$R$16,H154)*POWER(Upgrades!$R$17,I154)*POWER(Upgrades!$R$18,J154)*POWER(Upgrades!$R$19,K154)*POWER(Upgrades!$R$20,L154)*POWER(Upgrades!$R$21,M154))*(IF(Upgrades!$T$13="Roche Lobe Overflow",POWER(Upgrades!$U$13,E154),1)*IF(Upgrades!$T$14="Roche Lobe Overflow",POWER(Upgrades!$U$14,F154),1)*IF(Upgrades!$T$15="Roche Lobe Overflow",POWER(Upgrades!$U$15,G154),1)*IF(Upgrades!$T$17="Roche Lobe Overflow",POWER(Upgrades!$U$17,I154),1)*IF(Upgrades!$T$18="Roche Lobe Overflow",POWER(Upgrades!$U$18,J154),1)*IF(Upgrades!$T$19="Roche Lobe Overflow",POWER(Upgrades!$U$19,K154),1)*IF(Upgrades!$T$20="Roche Lobe Overflow",POWER(Upgrades!$U$20,L154),1)*IF(Upgrades!$T$21="Roche Lobe Overflow",POWER(Upgrades!$U$21,M154),1))*$H$6*O154+((IF(F154=0,0,(Upgrades!$G$14+F154*Upgrades!$H$14)*POWER(Upgrades!$I$14,F154)))*(IF(Upgrades!$T$13="Local Bubble",POWER(Upgrades!$U$13,E154),1)*IF(Upgrades!$T$15="Local Bubble",POWER(Upgrades!$U$15,G154),1)*IF(Upgrades!$T$16="Local Bubble",POWER(Upgrades!$U$16,H154),1)*IF(Upgrades!$T$17="Local Bubble",POWER(Upgrades!$U$17,I154),1)*IF(Upgrades!$T$18="Local Bubble",POWER(Upgrades!$U$18,J154),1)*IF(Upgrades!$T$19="Local Bubble",POWER(Upgrades!$U$19,K154),1)*IF(Upgrades!$T$20="Local Bubble",POWER(Upgrades!$U$20,L154),1)*IF(Upgrades!$T$21="Local Bubble",POWER(Upgrades!$U$21,M154),1))*POWER(Upgrades!$P$13,E154)*POWER(Upgrades!$P$14,F154)*POWER(Upgrades!$P$15,G154)*POWER(Upgrades!$P$16,H154)*POWER(Upgrades!$P$17,I154)*POWER(Upgrades!$P$18,J154)*POWER(Upgrades!$P$19,K154)*POWER(Upgrades!$P$20,L154)*POWER(Upgrades!$P$21,M154)*$F$6)*0.05)/AN154,0)</f>
        <v/>
      </c>
      <c r="BC154" s="32">
        <f>IFERROR((Upgrades!$H$17*(POWER(Upgrades!$P$13,E154)*POWER(Upgrades!$P$14,F154)*POWER(Upgrades!$P$15,G154)*POWER(Upgrades!$P$16,H154)*POWER(Upgrades!$P$17,I154)*POWER(Upgrades!$P$18,J154)*POWER(Upgrades!$P$19,K154)*POWER(Upgrades!$P$20,L154)*POWER(Upgrades!$P$21,M154))*(IF(Upgrades!$T$13="Brown Dwarf",POWER(Upgrades!$U$13,E154),1)*IF(Upgrades!$T$14="Brown Dwarf",POWER(Upgrades!$U$14,F154),1)*IF(Upgrades!$T$15="Brown Dwarf",POWER(Upgrades!$U$15,G154),1)*IF(Upgrades!$T$16="Brown Dwarf",POWER(Upgrades!$U$16,H154),1)*IF(Upgrades!$T$18="Brown Dwarf",POWER(Upgrades!$U$18,J154),1)*IF(Upgrades!$T$19="Brown Dwarf",POWER(Upgrades!$U$19,K154),1)*IF(Upgrades!$T$20="Brown Dwarf",POWER(Upgrades!$U$20,L154),1)*IF(Upgrades!$T$21="Brown Dwarf",POWER(Upgrades!$U$21,M154),1))*$F$6+(((IF(H154=0,0,(Upgrades!$M$16+H154*Upgrades!$N$16)*POWER(Upgrades!$O$16,H154)))*(IF(Upgrades!$T$13="Roche Lobe Overflow",POWER(Upgrades!$U$13,E154),1)*IF(Upgrades!$T$14="Roche Lobe Overflow",POWER(Upgrades!$U$14,F154),1)*IF(Upgrades!$T$15="Roche Lobe Overflow",POWER(Upgrades!$U$15,G154),1)*IF(Upgrades!$T$17="Roche Lobe Overflow",POWER(Upgrades!$U$17,I154),1)*IF(Upgrades!$T$18="Roche Lobe Overflow",POWER(Upgrades!$U$18,J154),1)*IF(Upgrades!$T$19="Roche Lobe Overflow",POWER(Upgrades!$U$19,K154),1)*IF(Upgrades!$T$20="Roche Lobe Overflow",POWER(Upgrades!$U$20,L154),1)*IF(Upgrades!$T$21="Roche Lobe Overflow",POWER(Upgrades!$U$21,M154),1))*POWER(Upgrades!$R$13,E154)*POWER(Upgrades!$R$14,F154)*POWER(Upgrades!$R$15,G154)*POWER(Upgrades!$R$16,H154)*POWER(Upgrades!$R$17,I154)*POWER(Upgrades!$R$18,J154)*POWER(Upgrades!$R$19,K154)*POWER(Upgrades!$R$20,L154)*POWER(Upgrades!$R$21,M154)*$H$6)*O154)*0.10)/AO154,0)</f>
        <v/>
      </c>
      <c r="BD154" s="32">
        <f>MAX(IF(J154&gt;0,0,IFERROR(0.5*((IF(G154=0,0,(Upgrades!$J$15+G154*Upgrades!$K$15)*POWER(Upgrades!$L$15,G154)))*(IF(Upgrades!$T$13="Microlensing",POWER(Upgrades!$U$13,E154),1)*IF(Upgrades!$T$14="Microlensing",POWER(Upgrades!$U$14,F154),1)*IF(Upgrades!$T$16="Microlensing",POWER(Upgrades!$U$16,H154),1)*IF(Upgrades!$T$17="Microlensing",POWER(Upgrades!$U$17,I154),1)*IF(Upgrades!$T$18="Microlensing",POWER(Upgrades!$U$18,J154),1)*IF(Upgrades!$T$19="Microlensing",POWER(Upgrades!$U$19,K154),1)*IF(Upgrades!$T$20="Microlensing",POWER(Upgrades!$U$20,L154),1)*IF(Upgrades!$T$21="Microlensing",POWER(Upgrades!$U$21,M154),1))*(POWER(Upgrades!$Q$13,E154)*POWER(Upgrades!$Q$14,F154)*POWER(Upgrades!$Q$15,G154)*POWER(Upgrades!$Q$16,H154)*POWER(Upgrades!$Q$17,I154)*POWER(Upgrades!$Q$18,J154)*POWER(Upgrades!$Q$19,K154)*POWER(Upgrades!$Q$20,L154)*POWER(Upgrades!$Q$21,M154))*$G$6*(Parameters!$B$10/60*Parameters!$B$11+Q154))/Upgrades!$C$18,0)),IF(K154&gt;0,0,IFERROR(0.30*P154/Upgrades!$C$19,0)),IF(L154&gt;0,0,IFERROR(0.0001/Upgrades!$C$20,0)),IF(M154&gt;0,0,IFERROR((6.0*(POWER(Upgrades!$P$13,E154)*POWER(Upgrades!$P$14,F154)*POWER(Upgrades!$P$15,G154)*POWER(Upgrades!$P$16,H154)*POWER(Upgrades!$P$17,I154)*POWER(Upgrades!$P$18,J154)*POWER(Upgrades!$P$19,K154)*POWER(Upgrades!$P$20,L154)*POWER(Upgrades!$P$21,M154))*$F$6+0.20*O154*(Parameters!$B$10/60*Parameters!$B$11+Q154))/Upgrades!$C$21,0)),IF(AND(ISNUMBER(AK154),AK154&gt;(C154+T154)),AY154,0),IF(AND(ISNUMBER(AL154),AL154&gt;(C154+T154)),AZ154,0),IF(AND(ISNUMBER(AM154),AM154&gt;(C154+T154)),BA154,0),IF(AND(ISNUMBER(AN154),AN154&gt;(C154+T154)),BB154,0),IF(AND(ISNUMBER(AO154),AO154&gt;(C154+T154)),BC154,0))</f>
        <v/>
      </c>
      <c r="BE154" s="29">
        <f>IF(AT154=1,"transition",IF(MIN(IF(AND(J154=0,ISNUMBER(AP154),AP154&lt;=(C154+T154)),AP154,9E15),IF(AND(K154=0,ISNUMBER(AQ154),AQ154&lt;=(C154+T154)),AQ154,9E15),IF(AND(L154=0,ISNUMBER(AR154),AR154&lt;=(C154+T154)),AR154,9E15),IF(AND(M154=0,ISNUMBER(AS154),AS154&lt;=(C154+T154)),AS154,9E15))&lt;9E15,IF(AND(AND(J154=0,ISNUMBER(AP154),AP154&lt;=(C154+T154)),AP154=MIN(IF(AND(J154=0,ISNUMBER(AP154),AP154&lt;=(C154+T154)),AP154,9E15),IF(AND(K154=0,ISNUMBER(AQ154),AQ154&lt;=(C154+T154)),AQ154,9E15),IF(AND(L154=0,ISNUMBER(AR154),AR154&lt;=(C154+T154)),AR154,9E15),IF(AND(M154=0,ISNUMBER(AS154),AS154&lt;=(C154+T154)),AS154,9E15))),"BiP",IF(AND(AND(K154=0,ISNUMBER(AQ154),AQ154&lt;=(C154+T154)),AQ154=MIN(IF(AND(J154=0,ISNUMBER(AP154),AP154&lt;=(C154+T154)),AP154,9E15),IF(AND(K154=0,ISNUMBER(AQ154),AQ154&lt;=(C154+T154)),AQ154,9E15),IF(AND(L154=0,ISNUMBER(AR154),AR154&lt;=(C154+T154)),AR154,9E15),IF(AND(M154=0,ISNUMBER(AS154),AS154&lt;=(C154+T154)),AS154,9E15))),"PV",IF(AND(AND(L154=0,ISNUMBER(AR154),AR154&lt;=(C154+T154)),AR154=MIN(IF(AND(J154=0,ISNUMBER(AP154),AP154&lt;=(C154+T154)),AP154,9E15),IF(AND(K154=0,ISNUMBER(AQ154),AQ154&lt;=(C154+T154)),AQ154,9E15),IF(AND(L154=0,ISNUMBER(AR154),AR154&lt;=(C154+T154)),AR154,9E15),IF(AND(M154=0,ISNUMBER(AS154),AS154&lt;=(C154+T154)),AS154,9E15))),"OC","MG"))),IF(AX154=TRUE,"",IF(MAX(IF(AND(NOT(AND(AU154=1,AT154&lt;&gt;1)),ISNUMBER(AK154),AK154&lt;=(C154+T154)),AY154,0),IF(AND(NOT(AND(AU154=1,AT154&lt;&gt;1)),ISNUMBER(AL154),AL154&lt;=(C154+T154)),AZ154,0),IF(AND(NOT(AND(AU154=1,AT154&lt;&gt;1)),ISNUMBER(AM154),AM154&lt;=(C154+T154)),BA154,0),IF(AND(NOT(AND(AU154=1,AT154&lt;&gt;1)),ISNUMBER(AN154),AN154&lt;=(C154+T154)),BB154,0),IF(AND(ISNUMBER(AO154),AO154&lt;=(C154+T154)),BC154,0))&lt;=0,"",IF(AND(IF(AND(NOT(AND(AU154=1,AT154&lt;&gt;1)),ISNUMBER(AK154),AK154&lt;=(C154+T154)),AY154,0)&gt;0,IF(AND(NOT(AND(AU154=1,AT154&lt;&gt;1)),ISNUMBER(AK154),AK154&lt;=(C154+T154)),AY154,0)=MAX(IF(AND(NOT(AND(AU154=1,AT154&lt;&gt;1)),ISNUMBER(AK154),AK154&lt;=(C154+T154)),AY154,0),IF(AND(NOT(AND(AU154=1,AT154&lt;&gt;1)),ISNUMBER(AL154),AL154&lt;=(C154+T154)),AZ154,0),IF(AND(NOT(AND(AU154=1,AT154&lt;&gt;1)),ISNUMBER(AM154),AM154&lt;=(C154+T154)),BA154,0),IF(AND(NOT(AND(AU154=1,AT154&lt;&gt;1)),ISNUMBER(AN154),AN154&lt;=(C154+T154)),BB154,0),IF(AND(ISNUMBER(AO154),AO154&lt;=(C154+T154)),BC154,0))),"SK",IF(AND(IF(AND(NOT(AND(AU154=1,AT154&lt;&gt;1)),ISNUMBER(AL154),AL154&lt;=(C154+T154)),AZ154,0)&gt;0,IF(AND(NOT(AND(AU154=1,AT154&lt;&gt;1)),ISNUMBER(AL154),AL154&lt;=(C154+T154)),AZ154,0)=MAX(IF(AND(NOT(AND(AU154=1,AT154&lt;&gt;1)),ISNUMBER(AK154),AK154&lt;=(C154+T154)),AY154,0),IF(AND(NOT(AND(AU154=1,AT154&lt;&gt;1)),ISNUMBER(AL154),AL154&lt;=(C154+T154)),AZ154,0),IF(AND(NOT(AND(AU154=1,AT154&lt;&gt;1)),ISNUMBER(AM154),AM154&lt;=(C154+T154)),BA154,0),IF(AND(NOT(AND(AU154=1,AT154&lt;&gt;1)),ISNUMBER(AN154),AN154&lt;=(C154+T154)),BB154,0),IF(AND(ISNUMBER(AO154),AO154&lt;=(C154+T154)),BC154,0))),"LB",IF(AND(IF(AND(NOT(AND(AU154=1,AT154&lt;&gt;1)),ISNUMBER(AM154),AM154&lt;=(C154+T154)),BA154,0)&gt;0,IF(AND(NOT(AND(AU154=1,AT154&lt;&gt;1)),ISNUMBER(AM154),AM154&lt;=(C154+T154)),BA154,0)=MAX(IF(AND(NOT(AND(AU154=1,AT154&lt;&gt;1)),ISNUMBER(AK154),AK154&lt;=(C154+T154)),AY154,0),IF(AND(NOT(AND(AU154=1,AT154&lt;&gt;1)),ISNUMBER(AL154),AL154&lt;=(C154+T154)),AZ154,0),IF(AND(NOT(AND(AU154=1,AT154&lt;&gt;1)),ISNUMBER(AM154),AM154&lt;=(C154+T154)),BA154,0),IF(AND(NOT(AND(AU154=1,AT154&lt;&gt;1)),ISNUMBER(AN154),AN154&lt;=(C154+T154)),BB154,0),IF(AND(ISNUMBER(AO154),AO154&lt;=(C154+T154)),BC154,0))),"ML",IF(AND(IF(AND(NOT(AND(AU154=1,AT154&lt;&gt;1)),ISNUMBER(AN154),AN154&lt;=(C154+T154)),BB154,0)&gt;0,IF(AND(NOT(AND(AU154=1,AT154&lt;&gt;1)),ISNUMBER(AN154),AN154&lt;=(C154+T154)),BB154,0)=MAX(IF(AND(NOT(AND(AU154=1,AT154&lt;&gt;1)),ISNUMBER(AK154),AK154&lt;=(C154+T154)),AY154,0),IF(AND(NOT(AND(AU154=1,AT154&lt;&gt;1)),ISNUMBER(AL154),AL154&lt;=(C154+T154)),AZ154,0),IF(AND(NOT(AND(AU154=1,AT154&lt;&gt;1)),ISNUMBER(AM154),AM154&lt;=(C154+T154)),BA154,0),IF(AND(NOT(AND(AU154=1,AT154&lt;&gt;1)),ISNUMBER(AN154),AN154&lt;=(C154+T154)),BB154,0),IF(AND(ISNUMBER(AO154),AO154&lt;=(C154+T154)),BC154,0))),"RLO","BD"))))))))</f>
        <v/>
      </c>
    </row>
    <row r="155">
      <c r="A155" s="26" t="n">
        <v>144</v>
      </c>
      <c r="B155" s="27">
        <f>A155*10/60</f>
        <v/>
      </c>
      <c r="C155" s="22">
        <f>X154</f>
        <v/>
      </c>
      <c r="D155" s="27">
        <f>D154+W154</f>
        <v/>
      </c>
      <c r="E155" s="26">
        <f>E154+IF(U154="SK",1,0)</f>
        <v/>
      </c>
      <c r="F155" s="26">
        <f>F154+IF(U154="LB",1,0)</f>
        <v/>
      </c>
      <c r="G155" s="26">
        <f>G154+IF(U154="ML",1,0)</f>
        <v/>
      </c>
      <c r="H155" s="26">
        <f>H154+IF(U154="RLO",1,0)</f>
        <v/>
      </c>
      <c r="I155" s="26">
        <f>I154+IF(U154="BD",1,0)</f>
        <v/>
      </c>
      <c r="J155" s="26">
        <f>MAX(J154,IF(U154="BiP",1,0))</f>
        <v/>
      </c>
      <c r="K155" s="26">
        <f>MAX(K154,IF(U154="PV",1,0))</f>
        <v/>
      </c>
      <c r="L155" s="26">
        <f>MAX(L154,IF(U154="OC",1,0))</f>
        <v/>
      </c>
      <c r="M155" s="26">
        <f>MAX(M154,IF(U154="MG",1,0))</f>
        <v/>
      </c>
      <c r="N155" s="26">
        <f>MAX(N154,IF(U154="transition",1,0))</f>
        <v/>
      </c>
      <c r="O155" s="28">
        <f>(Parameters!$B$9+(IF(E155=0,0,(Upgrades!$J$13+E155*Upgrades!$K$13)*POWER(Upgrades!$L$13,E155)))*(IF(Upgrades!$T$14="Stellar Kinematics",POWER(Upgrades!$U$14,F155),1)*IF(Upgrades!$T$15="Stellar Kinematics",POWER(Upgrades!$U$15,G155),1)*IF(Upgrades!$T$16="Stellar Kinematics",POWER(Upgrades!$U$16,H155),1)*IF(Upgrades!$T$17="Stellar Kinematics",POWER(Upgrades!$U$17,I155),1)*IF(Upgrades!$T$18="Stellar Kinematics",POWER(Upgrades!$U$18,J155),1)*IF(Upgrades!$T$19="Stellar Kinematics",POWER(Upgrades!$U$19,K155),1)*IF(Upgrades!$T$20="Stellar Kinematics",POWER(Upgrades!$U$20,L155),1)*IF(Upgrades!$T$21="Stellar Kinematics",POWER(Upgrades!$U$21,M155),1))+(IF(F155=0,0,(Upgrades!$J$14+F155*Upgrades!$K$14)*POWER(Upgrades!$L$14,F155)))*(IF(Upgrades!$T$13="Local Bubble",POWER(Upgrades!$U$13,E155),1)*IF(Upgrades!$T$15="Local Bubble",POWER(Upgrades!$U$15,G155),1)*IF(Upgrades!$T$16="Local Bubble",POWER(Upgrades!$U$16,H155),1)*IF(Upgrades!$T$17="Local Bubble",POWER(Upgrades!$U$17,I155),1)*IF(Upgrades!$T$18="Local Bubble",POWER(Upgrades!$U$18,J155),1)*IF(Upgrades!$T$19="Local Bubble",POWER(Upgrades!$U$19,K155),1)*IF(Upgrades!$T$20="Local Bubble",POWER(Upgrades!$U$20,L155),1)*IF(Upgrades!$T$21="Local Bubble",POWER(Upgrades!$U$21,M155),1))+(IF(G155=0,0,(Upgrades!$J$15+G155*Upgrades!$K$15)*POWER(Upgrades!$L$15,G155)))*(IF(Upgrades!$T$13="Microlensing",POWER(Upgrades!$U$13,E155),1)*IF(Upgrades!$T$14="Microlensing",POWER(Upgrades!$U$14,F155),1)*IF(Upgrades!$T$16="Microlensing",POWER(Upgrades!$U$16,H155),1)*IF(Upgrades!$T$17="Microlensing",POWER(Upgrades!$U$17,I155),1)*IF(Upgrades!$T$18="Microlensing",POWER(Upgrades!$U$18,J155),1)*IF(Upgrades!$T$19="Microlensing",POWER(Upgrades!$U$19,K155),1)*IF(Upgrades!$T$20="Microlensing",POWER(Upgrades!$U$20,L155),1)*IF(Upgrades!$T$21="Microlensing",POWER(Upgrades!$U$21,M155),1))+(IF(H155=0,0,(Upgrades!$J$16+H155*Upgrades!$K$16)*POWER(Upgrades!$L$16,H155)))*(IF(Upgrades!$T$13="Roche Lobe Overflow",POWER(Upgrades!$U$13,E155),1)*IF(Upgrades!$T$14="Roche Lobe Overflow",POWER(Upgrades!$U$14,F155),1)*IF(Upgrades!$T$15="Roche Lobe Overflow",POWER(Upgrades!$U$15,G155),1)*IF(Upgrades!$T$17="Roche Lobe Overflow",POWER(Upgrades!$U$17,I155),1)*IF(Upgrades!$T$18="Roche Lobe Overflow",POWER(Upgrades!$U$18,J155),1)*IF(Upgrades!$T$19="Roche Lobe Overflow",POWER(Upgrades!$U$19,K155),1)*IF(Upgrades!$T$20="Roche Lobe Overflow",POWER(Upgrades!$U$20,L155),1)*IF(Upgrades!$T$21="Roche Lobe Overflow",POWER(Upgrades!$U$21,M155),1))+(IF(I155=0,0,(Upgrades!$J$17+I155*Upgrades!$K$17)*POWER(Upgrades!$L$17,I155)))*(IF(Upgrades!$T$13="Brown Dwarf",POWER(Upgrades!$U$13,E155),1)*IF(Upgrades!$T$14="Brown Dwarf",POWER(Upgrades!$U$14,F155),1)*IF(Upgrades!$T$15="Brown Dwarf",POWER(Upgrades!$U$15,G155),1)*IF(Upgrades!$T$16="Brown Dwarf",POWER(Upgrades!$U$16,H155),1)*IF(Upgrades!$T$18="Brown Dwarf",POWER(Upgrades!$U$18,J155),1)*IF(Upgrades!$T$19="Brown Dwarf",POWER(Upgrades!$U$19,K155),1)*IF(Upgrades!$T$20="Brown Dwarf",POWER(Upgrades!$U$20,L155),1)*IF(Upgrades!$T$21="Brown Dwarf",POWER(Upgrades!$U$21,M155),1))+(IF(J155=0,0,(Upgrades!$J$18+J155*Upgrades!$K$18)*POWER(Upgrades!$L$18,J155)))*(IF(Upgrades!$T$13="Binary Partner",POWER(Upgrades!$U$13,E155),1)*IF(Upgrades!$T$14="Binary Partner",POWER(Upgrades!$U$14,F155),1)*IF(Upgrades!$T$15="Binary Partner",POWER(Upgrades!$U$15,G155),1)*IF(Upgrades!$T$16="Binary Partner",POWER(Upgrades!$U$16,H155),1)*IF(Upgrades!$T$17="Binary Partner",POWER(Upgrades!$U$17,I155),1)*IF(Upgrades!$T$19="Binary Partner",POWER(Upgrades!$U$19,K155),1)*IF(Upgrades!$T$20="Binary Partner",POWER(Upgrades!$U$20,L155),1)*IF(Upgrades!$T$21="Binary Partner",POWER(Upgrades!$U$21,M155),1))+(IF(K155=0,0,(Upgrades!$J$19+K155*Upgrades!$K$19)*POWER(Upgrades!$L$19,K155)))*(IF(Upgrades!$T$13="Peculiar Velocity",POWER(Upgrades!$U$13,E155),1)*IF(Upgrades!$T$14="Peculiar Velocity",POWER(Upgrades!$U$14,F155),1)*IF(Upgrades!$T$15="Peculiar Velocity",POWER(Upgrades!$U$15,G155),1)*IF(Upgrades!$T$16="Peculiar Velocity",POWER(Upgrades!$U$16,H155),1)*IF(Upgrades!$T$17="Peculiar Velocity",POWER(Upgrades!$U$17,I155),1)*IF(Upgrades!$T$18="Peculiar Velocity",POWER(Upgrades!$U$18,J155),1)*IF(Upgrades!$T$20="Peculiar Velocity",POWER(Upgrades!$U$20,L155),1)*IF(Upgrades!$T$21="Peculiar Velocity",POWER(Upgrades!$U$21,M155),1))+(IF(L155=0,0,(Upgrades!$J$20+L155*Upgrades!$K$20)*POWER(Upgrades!$L$20,L155)))*(IF(Upgrades!$T$13="Open Cluster",POWER(Upgrades!$U$13,E155),1)*IF(Upgrades!$T$14="Open Cluster",POWER(Upgrades!$U$14,F155),1)*IF(Upgrades!$T$15="Open Cluster",POWER(Upgrades!$U$15,G155),1)*IF(Upgrades!$T$16="Open Cluster",POWER(Upgrades!$U$16,H155),1)*IF(Upgrades!$T$17="Open Cluster",POWER(Upgrades!$U$17,I155),1)*IF(Upgrades!$T$18="Open Cluster",POWER(Upgrades!$U$18,J155),1)*IF(Upgrades!$T$19="Open Cluster",POWER(Upgrades!$U$19,K155),1)*IF(Upgrades!$T$21="Open Cluster",POWER(Upgrades!$U$21,M155),1))+(IF(M155=0,0,(Upgrades!$J$21+M155*Upgrades!$K$21)*POWER(Upgrades!$L$21,M155)))*(IF(Upgrades!$T$13="Moving Group",POWER(Upgrades!$U$13,E155),1)*IF(Upgrades!$T$14="Moving Group",POWER(Upgrades!$U$14,F155),1)*IF(Upgrades!$T$15="Moving Group",POWER(Upgrades!$U$15,G155),1)*IF(Upgrades!$T$16="Moving Group",POWER(Upgrades!$U$16,H155),1)*IF(Upgrades!$T$17="Moving Group",POWER(Upgrades!$U$17,I155),1)*IF(Upgrades!$T$18="Moving Group",POWER(Upgrades!$U$18,J155),1)*IF(Upgrades!$T$19="Moving Group",POWER(Upgrades!$U$19,K155),1)*IF(Upgrades!$T$20="Moving Group",POWER(Upgrades!$U$20,L155),1)))*POWER(Upgrades!$Q$13,E155)*POWER(Upgrades!$Q$14,F155)*POWER(Upgrades!$Q$15,G155)*POWER(Upgrades!$Q$16,H155)*POWER(Upgrades!$Q$17,I155)*POWER(Upgrades!$Q$18,J155)*POWER(Upgrades!$Q$19,K155)*POWER(Upgrades!$Q$20,L155)*POWER(Upgrades!$Q$21,M155)*$G$6+$D$6</f>
        <v/>
      </c>
      <c r="P155" s="28">
        <f>((IF(E155=0,0,(Upgrades!$G$13+E155*Upgrades!$H$13)*POWER(Upgrades!$I$13,E155)))*(IF(Upgrades!$T$14="Stellar Kinematics",POWER(Upgrades!$U$14,F155),1)*IF(Upgrades!$T$15="Stellar Kinematics",POWER(Upgrades!$U$15,G155),1)*IF(Upgrades!$T$16="Stellar Kinematics",POWER(Upgrades!$U$16,H155),1)*IF(Upgrades!$T$17="Stellar Kinematics",POWER(Upgrades!$U$17,I155),1)*IF(Upgrades!$T$18="Stellar Kinematics",POWER(Upgrades!$U$18,J155),1)*IF(Upgrades!$T$19="Stellar Kinematics",POWER(Upgrades!$U$19,K155),1)*IF(Upgrades!$T$20="Stellar Kinematics",POWER(Upgrades!$U$20,L155),1)*IF(Upgrades!$T$21="Stellar Kinematics",POWER(Upgrades!$U$21,M155),1))+(IF(F155=0,0,(Upgrades!$G$14+F155*Upgrades!$H$14)*POWER(Upgrades!$I$14,F155)))*(IF(Upgrades!$T$13="Local Bubble",POWER(Upgrades!$U$13,E155),1)*IF(Upgrades!$T$15="Local Bubble",POWER(Upgrades!$U$15,G155),1)*IF(Upgrades!$T$16="Local Bubble",POWER(Upgrades!$U$16,H155),1)*IF(Upgrades!$T$17="Local Bubble",POWER(Upgrades!$U$17,I155),1)*IF(Upgrades!$T$18="Local Bubble",POWER(Upgrades!$U$18,J155),1)*IF(Upgrades!$T$19="Local Bubble",POWER(Upgrades!$U$19,K155),1)*IF(Upgrades!$T$20="Local Bubble",POWER(Upgrades!$U$20,L155),1)*IF(Upgrades!$T$21="Local Bubble",POWER(Upgrades!$U$21,M155),1))+(IF(G155=0,0,(Upgrades!$G$15+G155*Upgrades!$H$15)*POWER(Upgrades!$I$15,G155)))*(IF(Upgrades!$T$13="Microlensing",POWER(Upgrades!$U$13,E155),1)*IF(Upgrades!$T$14="Microlensing",POWER(Upgrades!$U$14,F155),1)*IF(Upgrades!$T$16="Microlensing",POWER(Upgrades!$U$16,H155),1)*IF(Upgrades!$T$17="Microlensing",POWER(Upgrades!$U$17,I155),1)*IF(Upgrades!$T$18="Microlensing",POWER(Upgrades!$U$18,J155),1)*IF(Upgrades!$T$19="Microlensing",POWER(Upgrades!$U$19,K155),1)*IF(Upgrades!$T$20="Microlensing",POWER(Upgrades!$U$20,L155),1)*IF(Upgrades!$T$21="Microlensing",POWER(Upgrades!$U$21,M155),1))+(IF(H155=0,0,(Upgrades!$G$16+H155*Upgrades!$H$16)*POWER(Upgrades!$I$16,H155)))*(IF(Upgrades!$T$13="Roche Lobe Overflow",POWER(Upgrades!$U$13,E155),1)*IF(Upgrades!$T$14="Roche Lobe Overflow",POWER(Upgrades!$U$14,F155),1)*IF(Upgrades!$T$15="Roche Lobe Overflow",POWER(Upgrades!$U$15,G155),1)*IF(Upgrades!$T$17="Roche Lobe Overflow",POWER(Upgrades!$U$17,I155),1)*IF(Upgrades!$T$18="Roche Lobe Overflow",POWER(Upgrades!$U$18,J155),1)*IF(Upgrades!$T$19="Roche Lobe Overflow",POWER(Upgrades!$U$19,K155),1)*IF(Upgrades!$T$20="Roche Lobe Overflow",POWER(Upgrades!$U$20,L155),1)*IF(Upgrades!$T$21="Roche Lobe Overflow",POWER(Upgrades!$U$21,M155),1))+(IF(I155=0,0,(Upgrades!$G$17+I155*Upgrades!$H$17)*POWER(Upgrades!$I$17,I155)))*(IF(Upgrades!$T$13="Brown Dwarf",POWER(Upgrades!$U$13,E155),1)*IF(Upgrades!$T$14="Brown Dwarf",POWER(Upgrades!$U$14,F155),1)*IF(Upgrades!$T$15="Brown Dwarf",POWER(Upgrades!$U$15,G155),1)*IF(Upgrades!$T$16="Brown Dwarf",POWER(Upgrades!$U$16,H155),1)*IF(Upgrades!$T$18="Brown Dwarf",POWER(Upgrades!$U$18,J155),1)*IF(Upgrades!$T$19="Brown Dwarf",POWER(Upgrades!$U$19,K155),1)*IF(Upgrades!$T$20="Brown Dwarf",POWER(Upgrades!$U$20,L155),1)*IF(Upgrades!$T$21="Brown Dwarf",POWER(Upgrades!$U$21,M155),1))+(IF(J155=0,0,(Upgrades!$G$18+J155*Upgrades!$H$18)*POWER(Upgrades!$I$18,J155)))*(IF(Upgrades!$T$13="Binary Partner",POWER(Upgrades!$U$13,E155),1)*IF(Upgrades!$T$14="Binary Partner",POWER(Upgrades!$U$14,F155),1)*IF(Upgrades!$T$15="Binary Partner",POWER(Upgrades!$U$15,G155),1)*IF(Upgrades!$T$16="Binary Partner",POWER(Upgrades!$U$16,H155),1)*IF(Upgrades!$T$17="Binary Partner",POWER(Upgrades!$U$17,I155),1)*IF(Upgrades!$T$19="Binary Partner",POWER(Upgrades!$U$19,K155),1)*IF(Upgrades!$T$20="Binary Partner",POWER(Upgrades!$U$20,L155),1)*IF(Upgrades!$T$21="Binary Partner",POWER(Upgrades!$U$21,M155),1))+(IF(K155=0,0,(Upgrades!$G$19+K155*Upgrades!$H$19)*POWER(Upgrades!$I$19,K155)))*(IF(Upgrades!$T$13="Peculiar Velocity",POWER(Upgrades!$U$13,E155),1)*IF(Upgrades!$T$14="Peculiar Velocity",POWER(Upgrades!$U$14,F155),1)*IF(Upgrades!$T$15="Peculiar Velocity",POWER(Upgrades!$U$15,G155),1)*IF(Upgrades!$T$16="Peculiar Velocity",POWER(Upgrades!$U$16,H155),1)*IF(Upgrades!$T$17="Peculiar Velocity",POWER(Upgrades!$U$17,I155),1)*IF(Upgrades!$T$18="Peculiar Velocity",POWER(Upgrades!$U$18,J155),1)*IF(Upgrades!$T$20="Peculiar Velocity",POWER(Upgrades!$U$20,L155),1)*IF(Upgrades!$T$21="Peculiar Velocity",POWER(Upgrades!$U$21,M155),1))+(IF(L155=0,0,(Upgrades!$G$20+L155*Upgrades!$H$20)*POWER(Upgrades!$I$20,L155)))*(IF(Upgrades!$T$13="Open Cluster",POWER(Upgrades!$U$13,E155),1)*IF(Upgrades!$T$14="Open Cluster",POWER(Upgrades!$U$14,F155),1)*IF(Upgrades!$T$15="Open Cluster",POWER(Upgrades!$U$15,G155),1)*IF(Upgrades!$T$16="Open Cluster",POWER(Upgrades!$U$16,H155),1)*IF(Upgrades!$T$17="Open Cluster",POWER(Upgrades!$U$17,I155),1)*IF(Upgrades!$T$18="Open Cluster",POWER(Upgrades!$U$18,J155),1)*IF(Upgrades!$T$19="Open Cluster",POWER(Upgrades!$U$19,K155),1)*IF(Upgrades!$T$21="Open Cluster",POWER(Upgrades!$U$21,M155),1))+(IF(M155=0,0,(Upgrades!$G$21+M155*Upgrades!$H$21)*POWER(Upgrades!$I$21,M155)))*(IF(Upgrades!$T$13="Moving Group",POWER(Upgrades!$U$13,E155),1)*IF(Upgrades!$T$14="Moving Group",POWER(Upgrades!$U$14,F155),1)*IF(Upgrades!$T$15="Moving Group",POWER(Upgrades!$U$15,G155),1)*IF(Upgrades!$T$16="Moving Group",POWER(Upgrades!$U$16,H155),1)*IF(Upgrades!$T$17="Moving Group",POWER(Upgrades!$U$17,I155),1)*IF(Upgrades!$T$18="Moving Group",POWER(Upgrades!$U$18,J155),1)*IF(Upgrades!$T$19="Moving Group",POWER(Upgrades!$U$19,K155),1)*IF(Upgrades!$T$20="Moving Group",POWER(Upgrades!$U$20,L155),1)))*POWER(Upgrades!$P$13,E155)*POWER(Upgrades!$P$14,F155)*POWER(Upgrades!$P$15,G155)*POWER(Upgrades!$P$16,H155)*POWER(Upgrades!$P$17,I155)*POWER(Upgrades!$P$18,J155)*POWER(Upgrades!$P$19,K155)*POWER(Upgrades!$P$20,L155)*POWER(Upgrades!$P$21,M155)*$F$6+$C$6</f>
        <v/>
      </c>
      <c r="Q155" s="28">
        <f>((IF(E155=0,0,(Upgrades!$M$13+E155*Upgrades!$N$13)*POWER(Upgrades!$O$13,E155)))*(IF(Upgrades!$T$14="Stellar Kinematics",POWER(Upgrades!$U$14,F155),1)*IF(Upgrades!$T$15="Stellar Kinematics",POWER(Upgrades!$U$15,G155),1)*IF(Upgrades!$T$16="Stellar Kinematics",POWER(Upgrades!$U$16,H155),1)*IF(Upgrades!$T$17="Stellar Kinematics",POWER(Upgrades!$U$17,I155),1)*IF(Upgrades!$T$18="Stellar Kinematics",POWER(Upgrades!$U$18,J155),1)*IF(Upgrades!$T$19="Stellar Kinematics",POWER(Upgrades!$U$19,K155),1)*IF(Upgrades!$T$20="Stellar Kinematics",POWER(Upgrades!$U$20,L155),1)*IF(Upgrades!$T$21="Stellar Kinematics",POWER(Upgrades!$U$21,M155),1))+(IF(F155=0,0,(Upgrades!$M$14+F155*Upgrades!$N$14)*POWER(Upgrades!$O$14,F155)))*(IF(Upgrades!$T$13="Local Bubble",POWER(Upgrades!$U$13,E155),1)*IF(Upgrades!$T$15="Local Bubble",POWER(Upgrades!$U$15,G155),1)*IF(Upgrades!$T$16="Local Bubble",POWER(Upgrades!$U$16,H155),1)*IF(Upgrades!$T$17="Local Bubble",POWER(Upgrades!$U$17,I155),1)*IF(Upgrades!$T$18="Local Bubble",POWER(Upgrades!$U$18,J155),1)*IF(Upgrades!$T$19="Local Bubble",POWER(Upgrades!$U$19,K155),1)*IF(Upgrades!$T$20="Local Bubble",POWER(Upgrades!$U$20,L155),1)*IF(Upgrades!$T$21="Local Bubble",POWER(Upgrades!$U$21,M155),1))+(IF(G155=0,0,(Upgrades!$M$15+G155*Upgrades!$N$15)*POWER(Upgrades!$O$15,G155)))*(IF(Upgrades!$T$13="Microlensing",POWER(Upgrades!$U$13,E155),1)*IF(Upgrades!$T$14="Microlensing",POWER(Upgrades!$U$14,F155),1)*IF(Upgrades!$T$16="Microlensing",POWER(Upgrades!$U$16,H155),1)*IF(Upgrades!$T$17="Microlensing",POWER(Upgrades!$U$17,I155),1)*IF(Upgrades!$T$18="Microlensing",POWER(Upgrades!$U$18,J155),1)*IF(Upgrades!$T$19="Microlensing",POWER(Upgrades!$U$19,K155),1)*IF(Upgrades!$T$20="Microlensing",POWER(Upgrades!$U$20,L155),1)*IF(Upgrades!$T$21="Microlensing",POWER(Upgrades!$U$21,M155),1))+(IF(H155=0,0,(Upgrades!$M$16+H155*Upgrades!$N$16)*POWER(Upgrades!$O$16,H155)))*(IF(Upgrades!$T$13="Roche Lobe Overflow",POWER(Upgrades!$U$13,E155),1)*IF(Upgrades!$T$14="Roche Lobe Overflow",POWER(Upgrades!$U$14,F155),1)*IF(Upgrades!$T$15="Roche Lobe Overflow",POWER(Upgrades!$U$15,G155),1)*IF(Upgrades!$T$17="Roche Lobe Overflow",POWER(Upgrades!$U$17,I155),1)*IF(Upgrades!$T$18="Roche Lobe Overflow",POWER(Upgrades!$U$18,J155),1)*IF(Upgrades!$T$19="Roche Lobe Overflow",POWER(Upgrades!$U$19,K155),1)*IF(Upgrades!$T$20="Roche Lobe Overflow",POWER(Upgrades!$U$20,L155),1)*IF(Upgrades!$T$21="Roche Lobe Overflow",POWER(Upgrades!$U$21,M155),1))+(IF(I155=0,0,(Upgrades!$M$17+I155*Upgrades!$N$17)*POWER(Upgrades!$O$17,I155)))*(IF(Upgrades!$T$13="Brown Dwarf",POWER(Upgrades!$U$13,E155),1)*IF(Upgrades!$T$14="Brown Dwarf",POWER(Upgrades!$U$14,F155),1)*IF(Upgrades!$T$15="Brown Dwarf",POWER(Upgrades!$U$15,G155),1)*IF(Upgrades!$T$16="Brown Dwarf",POWER(Upgrades!$U$16,H155),1)*IF(Upgrades!$T$18="Brown Dwarf",POWER(Upgrades!$U$18,J155),1)*IF(Upgrades!$T$19="Brown Dwarf",POWER(Upgrades!$U$19,K155),1)*IF(Upgrades!$T$20="Brown Dwarf",POWER(Upgrades!$U$20,L155),1)*IF(Upgrades!$T$21="Brown Dwarf",POWER(Upgrades!$U$21,M155),1))+(IF(J155=0,0,(Upgrades!$M$18+J155*Upgrades!$N$18)*POWER(Upgrades!$O$18,J155)))*(IF(Upgrades!$T$13="Binary Partner",POWER(Upgrades!$U$13,E155),1)*IF(Upgrades!$T$14="Binary Partner",POWER(Upgrades!$U$14,F155),1)*IF(Upgrades!$T$15="Binary Partner",POWER(Upgrades!$U$15,G155),1)*IF(Upgrades!$T$16="Binary Partner",POWER(Upgrades!$U$16,H155),1)*IF(Upgrades!$T$17="Binary Partner",POWER(Upgrades!$U$17,I155),1)*IF(Upgrades!$T$19="Binary Partner",POWER(Upgrades!$U$19,K155),1)*IF(Upgrades!$T$20="Binary Partner",POWER(Upgrades!$U$20,L155),1)*IF(Upgrades!$T$21="Binary Partner",POWER(Upgrades!$U$21,M155),1))+(IF(K155=0,0,(Upgrades!$M$19+K155*Upgrades!$N$19)*POWER(Upgrades!$O$19,K155)))*(IF(Upgrades!$T$13="Peculiar Velocity",POWER(Upgrades!$U$13,E155),1)*IF(Upgrades!$T$14="Peculiar Velocity",POWER(Upgrades!$U$14,F155),1)*IF(Upgrades!$T$15="Peculiar Velocity",POWER(Upgrades!$U$15,G155),1)*IF(Upgrades!$T$16="Peculiar Velocity",POWER(Upgrades!$U$16,H155),1)*IF(Upgrades!$T$17="Peculiar Velocity",POWER(Upgrades!$U$17,I155),1)*IF(Upgrades!$T$18="Peculiar Velocity",POWER(Upgrades!$U$18,J155),1)*IF(Upgrades!$T$20="Peculiar Velocity",POWER(Upgrades!$U$20,L155),1)*IF(Upgrades!$T$21="Peculiar Velocity",POWER(Upgrades!$U$21,M155),1))+(IF(L155=0,0,(Upgrades!$M$20+L155*Upgrades!$N$20)*POWER(Upgrades!$O$20,L155)))*(IF(Upgrades!$T$13="Open Cluster",POWER(Upgrades!$U$13,E155),1)*IF(Upgrades!$T$14="Open Cluster",POWER(Upgrades!$U$14,F155),1)*IF(Upgrades!$T$15="Open Cluster",POWER(Upgrades!$U$15,G155),1)*IF(Upgrades!$T$16="Open Cluster",POWER(Upgrades!$U$16,H155),1)*IF(Upgrades!$T$17="Open Cluster",POWER(Upgrades!$U$17,I155),1)*IF(Upgrades!$T$18="Open Cluster",POWER(Upgrades!$U$18,J155),1)*IF(Upgrades!$T$19="Open Cluster",POWER(Upgrades!$U$19,K155),1)*IF(Upgrades!$T$21="Open Cluster",POWER(Upgrades!$U$21,M155),1))+(IF(M155=0,0,(Upgrades!$M$21+M155*Upgrades!$N$21)*POWER(Upgrades!$O$21,M155)))*(IF(Upgrades!$T$13="Moving Group",POWER(Upgrades!$U$13,E155),1)*IF(Upgrades!$T$14="Moving Group",POWER(Upgrades!$U$14,F155),1)*IF(Upgrades!$T$15="Moving Group",POWER(Upgrades!$U$15,G155),1)*IF(Upgrades!$T$16="Moving Group",POWER(Upgrades!$U$16,H155),1)*IF(Upgrades!$T$17="Moving Group",POWER(Upgrades!$U$17,I155),1)*IF(Upgrades!$T$18="Moving Group",POWER(Upgrades!$U$18,J155),1)*IF(Upgrades!$T$19="Moving Group",POWER(Upgrades!$U$19,K155),1)*IF(Upgrades!$T$20="Moving Group",POWER(Upgrades!$U$20,L155),1)))*POWER(Upgrades!$R$13,E155)*POWER(Upgrades!$R$14,F155)*POWER(Upgrades!$R$15,G155)*POWER(Upgrades!$R$16,H155)*POWER(Upgrades!$R$17,I155)*POWER(Upgrades!$R$18,J155)*POWER(Upgrades!$R$19,K155)*POWER(Upgrades!$R$20,L155)*POWER(Upgrades!$R$21,M155)*$H$6+$E$6</f>
        <v/>
      </c>
      <c r="R155" s="27">
        <f>IF(N155=1,0,O155*Parameters!$B$10/60*Parameters!$B$11*10)</f>
        <v/>
      </c>
      <c r="S155" s="27">
        <f>IF(N155=1,0,Q155*O155*10)</f>
        <v/>
      </c>
      <c r="T155" s="27">
        <f>IF(N155=1,0,R155+S155+P155*10)</f>
        <v/>
      </c>
      <c r="U155" s="33">
        <f>BE155</f>
        <v/>
      </c>
      <c r="V155" s="22">
        <f>IF(U155="",0,IF(U155="transition",0,IF(U155="SK",AK155,IF(U155="LB",AL155,IF(U155="ML",AM155,IF(U155="RLO",AN155,IF(U155="BD",AO155,IF(U155="BiP",AP155,IF(U155="PV",AQ155,IF(U155="OC",AR155,IF(U155="MG",AS155,0))))))))))</f>
        <v/>
      </c>
      <c r="W155" s="27">
        <f>IF(U155="BiP",Upgrades!$F$18,IF(U155="PV",Upgrades!$F$19,IF(U155="OC",Upgrades!$F$20,IF(U155="MG",Upgrades!$F$21,IF(U155="transition",-Parameters!$B$18*Parameters!$B$19,0)))))</f>
        <v/>
      </c>
      <c r="X155" s="22">
        <f>C155+T155-V155</f>
        <v/>
      </c>
      <c r="Y155" s="30">
        <f>O155*Parameters!$B$10/60*Parameters!$B$11+Q155*O155+P155</f>
        <v/>
      </c>
      <c r="Z155" s="34">
        <f>IF(U155="transition","→ Tier 3 (Galactic Arm)",IF(U155="MG","Moving Group — pocket drifts together",IF(U155="OC","Open Cluster acquired",IF(U155="PV","Peculiar Velocity — passive multiplier active",IF(U155="BiP","Binary Partner — pair bond formed",IF(AND(AU155=1,N155=0,AT155&lt;&gt;1),"Cohesion ready (waiting on completionists)","")))))) </f>
        <v/>
      </c>
      <c r="AA155" s="27">
        <f>(IF(E155=0,0,(Upgrades!$G$13+E155*Upgrades!$H$13)*POWER(Upgrades!$I$13,E155)))*(IF(Upgrades!$T$14="Stellar Kinematics",POWER(Upgrades!$U$14,F155),1)*IF(Upgrades!$T$15="Stellar Kinematics",POWER(Upgrades!$U$15,G155),1)*IF(Upgrades!$T$16="Stellar Kinematics",POWER(Upgrades!$U$16,H155),1)*IF(Upgrades!$T$17="Stellar Kinematics",POWER(Upgrades!$U$17,I155),1)*IF(Upgrades!$T$18="Stellar Kinematics",POWER(Upgrades!$U$18,J155),1)*IF(Upgrades!$T$19="Stellar Kinematics",POWER(Upgrades!$U$19,K155),1)*IF(Upgrades!$T$20="Stellar Kinematics",POWER(Upgrades!$U$20,L155),1)*IF(Upgrades!$T$21="Stellar Kinematics",POWER(Upgrades!$U$21,M155),1))*POWER(Upgrades!$P$13,E155)*POWER(Upgrades!$P$14,F155)*POWER(Upgrades!$P$15,G155)*POWER(Upgrades!$P$16,H155)*POWER(Upgrades!$P$17,I155)*POWER(Upgrades!$P$18,J155)*POWER(Upgrades!$P$19,K155)*POWER(Upgrades!$P$20,L155)*POWER(Upgrades!$P$21,M155)*$F$6*60</f>
        <v/>
      </c>
      <c r="AB155" s="27">
        <f>(IF(F155=0,0,(Upgrades!$G$14+F155*Upgrades!$H$14)*POWER(Upgrades!$I$14,F155)))*(IF(Upgrades!$T$13="Local Bubble",POWER(Upgrades!$U$13,E155),1)*IF(Upgrades!$T$15="Local Bubble",POWER(Upgrades!$U$15,G155),1)*IF(Upgrades!$T$16="Local Bubble",POWER(Upgrades!$U$16,H155),1)*IF(Upgrades!$T$17="Local Bubble",POWER(Upgrades!$U$17,I155),1)*IF(Upgrades!$T$18="Local Bubble",POWER(Upgrades!$U$18,J155),1)*IF(Upgrades!$T$19="Local Bubble",POWER(Upgrades!$U$19,K155),1)*IF(Upgrades!$T$20="Local Bubble",POWER(Upgrades!$U$20,L155),1)*IF(Upgrades!$T$21="Local Bubble",POWER(Upgrades!$U$21,M155),1))*POWER(Upgrades!$P$13,E155)*POWER(Upgrades!$P$14,F155)*POWER(Upgrades!$P$15,G155)*POWER(Upgrades!$P$16,H155)*POWER(Upgrades!$P$17,I155)*POWER(Upgrades!$P$18,J155)*POWER(Upgrades!$P$19,K155)*POWER(Upgrades!$P$20,L155)*POWER(Upgrades!$P$21,M155)*$F$6*60</f>
        <v/>
      </c>
      <c r="AC155" s="27">
        <f>(IF(G155=0,0,(Upgrades!$J$15+G155*Upgrades!$K$15)*POWER(Upgrades!$L$15,G155)))*(IF(Upgrades!$T$13="Microlensing",POWER(Upgrades!$U$13,E155),1)*IF(Upgrades!$T$14="Microlensing",POWER(Upgrades!$U$14,F155),1)*IF(Upgrades!$T$16="Microlensing",POWER(Upgrades!$U$16,H155),1)*IF(Upgrades!$T$17="Microlensing",POWER(Upgrades!$U$17,I155),1)*IF(Upgrades!$T$18="Microlensing",POWER(Upgrades!$U$18,J155),1)*IF(Upgrades!$T$19="Microlensing",POWER(Upgrades!$U$19,K155),1)*IF(Upgrades!$T$20="Microlensing",POWER(Upgrades!$U$20,L155),1)*IF(Upgrades!$T$21="Microlensing",POWER(Upgrades!$U$21,M155),1))*POWER(Upgrades!$Q$13,E155)*POWER(Upgrades!$Q$14,F155)*POWER(Upgrades!$Q$15,G155)*POWER(Upgrades!$Q$16,H155)*POWER(Upgrades!$Q$17,I155)*POWER(Upgrades!$Q$18,J155)*POWER(Upgrades!$Q$19,K155)*POWER(Upgrades!$Q$20,L155)*POWER(Upgrades!$Q$21,M155)*$G$6*(Parameters!$B$10*Parameters!$B$11+Q155*60)</f>
        <v/>
      </c>
      <c r="AD155" s="27">
        <f>(IF(H155=0,0,(Upgrades!$M$16+H155*Upgrades!$N$16)*POWER(Upgrades!$O$16,H155)))*(IF(Upgrades!$T$13="Roche Lobe Overflow",POWER(Upgrades!$U$13,E155),1)*IF(Upgrades!$T$14="Roche Lobe Overflow",POWER(Upgrades!$U$14,F155),1)*IF(Upgrades!$T$15="Roche Lobe Overflow",POWER(Upgrades!$U$15,G155),1)*IF(Upgrades!$T$17="Roche Lobe Overflow",POWER(Upgrades!$U$17,I155),1)*IF(Upgrades!$T$18="Roche Lobe Overflow",POWER(Upgrades!$U$18,J155),1)*IF(Upgrades!$T$19="Roche Lobe Overflow",POWER(Upgrades!$U$19,K155),1)*IF(Upgrades!$T$20="Roche Lobe Overflow",POWER(Upgrades!$U$20,L155),1)*IF(Upgrades!$T$21="Roche Lobe Overflow",POWER(Upgrades!$U$21,M155),1))*POWER(Upgrades!$R$13,E155)*POWER(Upgrades!$R$14,F155)*POWER(Upgrades!$R$15,G155)*POWER(Upgrades!$R$16,H155)*POWER(Upgrades!$R$17,I155)*POWER(Upgrades!$R$18,J155)*POWER(Upgrades!$R$19,K155)*POWER(Upgrades!$R$20,L155)*POWER(Upgrades!$R$21,M155)*$H$6*O155*60</f>
        <v/>
      </c>
      <c r="AE155" s="27">
        <f>(IF(I155=0,0,(Upgrades!$G$17+I155*Upgrades!$H$17)*POWER(Upgrades!$I$17,I155)))*(IF(Upgrades!$T$13="Brown Dwarf",POWER(Upgrades!$U$13,E155),1)*IF(Upgrades!$T$14="Brown Dwarf",POWER(Upgrades!$U$14,F155),1)*IF(Upgrades!$T$15="Brown Dwarf",POWER(Upgrades!$U$15,G155),1)*IF(Upgrades!$T$16="Brown Dwarf",POWER(Upgrades!$U$16,H155),1)*IF(Upgrades!$T$18="Brown Dwarf",POWER(Upgrades!$U$18,J155),1)*IF(Upgrades!$T$19="Brown Dwarf",POWER(Upgrades!$U$19,K155),1)*IF(Upgrades!$T$20="Brown Dwarf",POWER(Upgrades!$U$20,L155),1)*IF(Upgrades!$T$21="Brown Dwarf",POWER(Upgrades!$U$21,M155),1))*POWER(Upgrades!$P$13,E155)*POWER(Upgrades!$P$14,F155)*POWER(Upgrades!$P$15,G155)*POWER(Upgrades!$P$16,H155)*POWER(Upgrades!$P$17,I155)*POWER(Upgrades!$P$18,J155)*POWER(Upgrades!$P$19,K155)*POWER(Upgrades!$P$20,L155)*POWER(Upgrades!$P$21,M155)*$F$6*60</f>
        <v/>
      </c>
      <c r="AF155" s="27" t="n">
        <v>0</v>
      </c>
      <c r="AG155" s="27" t="n">
        <v>0</v>
      </c>
      <c r="AH155" s="27" t="n">
        <v>0</v>
      </c>
      <c r="AI155" s="27">
        <f>(IF(M155=0,0,(Upgrades!$G$21+M155*Upgrades!$H$21)*POWER(Upgrades!$I$21,M155)))*(IF(Upgrades!$T$13="Moving Group",POWER(Upgrades!$U$13,E155),1)*IF(Upgrades!$T$14="Moving Group",POWER(Upgrades!$U$14,F155),1)*IF(Upgrades!$T$15="Moving Group",POWER(Upgrades!$U$15,G155),1)*IF(Upgrades!$T$16="Moving Group",POWER(Upgrades!$U$16,H155),1)*IF(Upgrades!$T$17="Moving Group",POWER(Upgrades!$U$17,I155),1)*IF(Upgrades!$T$18="Moving Group",POWER(Upgrades!$U$18,J155),1)*IF(Upgrades!$T$19="Moving Group",POWER(Upgrades!$U$19,K155),1)*IF(Upgrades!$T$20="Moving Group",POWER(Upgrades!$U$20,L155),1))*POWER(Upgrades!$P$13,E155)*POWER(Upgrades!$P$14,F155)*POWER(Upgrades!$P$15,G155)*POWER(Upgrades!$P$16,H155)*POWER(Upgrades!$P$17,I155)*POWER(Upgrades!$P$18,J155)*POWER(Upgrades!$P$19,K155)*POWER(Upgrades!$P$20,L155)*POWER(Upgrades!$P$21,M155)*$F$6*60</f>
        <v/>
      </c>
      <c r="AJ155" s="27">
        <f>$C$6*60</f>
        <v/>
      </c>
      <c r="AK155" s="22">
        <f>IF(E155&gt;=Upgrades!$E$13,"",Upgrades!$C$13*POWER(Upgrades!$D$13,E155))</f>
        <v/>
      </c>
      <c r="AL155" s="22">
        <f>IF(F155&gt;=Upgrades!$E$14,"",Upgrades!$C$14*POWER(Upgrades!$D$14,F155))</f>
        <v/>
      </c>
      <c r="AM155" s="22">
        <f>IF(G155&gt;=Upgrades!$E$15,"",Upgrades!$C$15*POWER(Upgrades!$D$15,G155))</f>
        <v/>
      </c>
      <c r="AN155" s="22">
        <f>IF(H155&gt;=Upgrades!$E$16,"",Upgrades!$C$16*POWER(Upgrades!$D$16,H155))</f>
        <v/>
      </c>
      <c r="AO155" s="22">
        <f>IF(I155&gt;=Upgrades!$E$17,"",Upgrades!$C$17*POWER(Upgrades!$D$17,I155))</f>
        <v/>
      </c>
      <c r="AP155" s="22">
        <f>IF(J155&gt;=Upgrades!$E$18,"",Upgrades!$C$18*POWER(Upgrades!$D$18,J155))</f>
        <v/>
      </c>
      <c r="AQ155" s="22">
        <f>IF(K155&gt;=Upgrades!$E$19,"",Upgrades!$C$19*POWER(Upgrades!$D$19,K155))</f>
        <v/>
      </c>
      <c r="AR155" s="22">
        <f>IF(L155&gt;=Upgrades!$E$20,"",Upgrades!$C$20*POWER(Upgrades!$D$20,L155))</f>
        <v/>
      </c>
      <c r="AS155" s="22">
        <f>IF(M155&gt;=Upgrades!$E$21,"",Upgrades!$C$21*POWER(Upgrades!$D$21,M155))</f>
        <v/>
      </c>
      <c r="AT155" s="26">
        <f>IF(AND(D155&gt;=Parameters!$B$18*Parameters!$B$19,(I155&gt;=Upgrades!$E$17)*(M155&gt;=Upgrades!$E$21)=1,N155=0),1,"")</f>
        <v/>
      </c>
      <c r="AU155" s="26">
        <f>IF(AND(D155&gt;=Parameters!$B$18*Parameters!$B$19,N155=0),1,"")</f>
        <v/>
      </c>
      <c r="AV155" s="22">
        <f>MIN(IF(ISNUMBER(AP155),AP155,9E15),IF(ISNUMBER(AQ155),AQ155,9E15),IF(ISNUMBER(AR155),AR155,9E15),IF(ISNUMBER(AS155),AS155,9E15))</f>
        <v/>
      </c>
      <c r="AW155" s="22">
        <f>MIN(IF(ISNUMBER(AK155),AK155,9E15),IF(ISNUMBER(AL155),AL155,9E15),IF(ISNUMBER(AM155),AM155,9E15),IF(ISNUMBER(AN155),AN155,9E15),IF(ISNUMBER(AO155),AO155,9E15))</f>
        <v/>
      </c>
      <c r="AX155" s="29">
        <f>IF(BD155&gt;Parameters!$B$21*(MAX(IF(AND(NOT(AND(AU155=1,AT155&lt;&gt;1)),ISNUMBER(AK155),AK155&lt;=(C155+T155)),AY155,0),IF(AND(NOT(AND(AU155=1,AT155&lt;&gt;1)),ISNUMBER(AL155),AL155&lt;=(C155+T155)),AZ155,0),IF(AND(NOT(AND(AU155=1,AT155&lt;&gt;1)),ISNUMBER(AM155),AM155&lt;=(C155+T155)),BA155,0),IF(AND(NOT(AND(AU155=1,AT155&lt;&gt;1)),ISNUMBER(AN155),AN155&lt;=(C155+T155)),BB155,0),IF(AND(ISNUMBER(AO155),AO155&lt;=(C155+T155)),BC155,0))),TRUE,FALSE)</f>
        <v/>
      </c>
      <c r="AY155" s="32">
        <f>IFERROR(Upgrades!$H$13*(POWER(Upgrades!$P$13,E155)*POWER(Upgrades!$P$14,F155)*POWER(Upgrades!$P$15,G155)*POWER(Upgrades!$P$16,H155)*POWER(Upgrades!$P$17,I155)*POWER(Upgrades!$P$18,J155)*POWER(Upgrades!$P$19,K155)*POWER(Upgrades!$P$20,L155)*POWER(Upgrades!$P$21,M155))*(IF(Upgrades!$T$14="Stellar Kinematics",POWER(Upgrades!$U$14,F155),1)*IF(Upgrades!$T$15="Stellar Kinematics",POWER(Upgrades!$U$15,G155),1)*IF(Upgrades!$T$16="Stellar Kinematics",POWER(Upgrades!$U$16,H155),1)*IF(Upgrades!$T$17="Stellar Kinematics",POWER(Upgrades!$U$17,I155),1)*IF(Upgrades!$T$18="Stellar Kinematics",POWER(Upgrades!$U$18,J155),1)*IF(Upgrades!$T$19="Stellar Kinematics",POWER(Upgrades!$U$19,K155),1)*IF(Upgrades!$T$20="Stellar Kinematics",POWER(Upgrades!$U$20,L155),1)*IF(Upgrades!$T$21="Stellar Kinematics",POWER(Upgrades!$U$21,M155),1))*$F$6/AK155,0)</f>
        <v/>
      </c>
      <c r="AZ155" s="32">
        <f>IFERROR(Upgrades!$H$14*(POWER(Upgrades!$P$13,E155)*POWER(Upgrades!$P$14,F155)*POWER(Upgrades!$P$15,G155)*POWER(Upgrades!$P$16,H155)*POWER(Upgrades!$P$17,I155)*POWER(Upgrades!$P$18,J155)*POWER(Upgrades!$P$19,K155)*POWER(Upgrades!$P$20,L155)*POWER(Upgrades!$P$21,M155))*(IF(Upgrades!$T$13="Local Bubble",POWER(Upgrades!$U$13,E155),1)*IF(Upgrades!$T$15="Local Bubble",POWER(Upgrades!$U$15,G155),1)*IF(Upgrades!$T$16="Local Bubble",POWER(Upgrades!$U$16,H155),1)*IF(Upgrades!$T$17="Local Bubble",POWER(Upgrades!$U$17,I155),1)*IF(Upgrades!$T$18="Local Bubble",POWER(Upgrades!$U$18,J155),1)*IF(Upgrades!$T$19="Local Bubble",POWER(Upgrades!$U$19,K155),1)*IF(Upgrades!$T$20="Local Bubble",POWER(Upgrades!$U$20,L155),1)*IF(Upgrades!$T$21="Local Bubble",POWER(Upgrades!$U$21,M155),1))*$F$6/AL155,0)</f>
        <v/>
      </c>
      <c r="BA155" s="32">
        <f>IFERROR(Upgrades!$K$15*(POWER(Upgrades!$Q$13,E155)*POWER(Upgrades!$Q$14,F155)*POWER(Upgrades!$Q$15,G155)*POWER(Upgrades!$Q$16,H155)*POWER(Upgrades!$Q$17,I155)*POWER(Upgrades!$Q$18,J155)*POWER(Upgrades!$Q$19,K155)*POWER(Upgrades!$Q$20,L155)*POWER(Upgrades!$Q$21,M155))*(IF(Upgrades!$T$13="Microlensing",POWER(Upgrades!$U$13,E155),1)*IF(Upgrades!$T$14="Microlensing",POWER(Upgrades!$U$14,F155),1)*IF(Upgrades!$T$16="Microlensing",POWER(Upgrades!$U$16,H155),1)*IF(Upgrades!$T$17="Microlensing",POWER(Upgrades!$U$17,I155),1)*IF(Upgrades!$T$18="Microlensing",POWER(Upgrades!$U$18,J155),1)*IF(Upgrades!$T$19="Microlensing",POWER(Upgrades!$U$19,K155),1)*IF(Upgrades!$T$20="Microlensing",POWER(Upgrades!$U$20,L155),1)*IF(Upgrades!$T$21="Microlensing",POWER(Upgrades!$U$21,M155),1))*$G$6*(Parameters!$B$10/60*Parameters!$B$11+Q155)/AM155,0)</f>
        <v/>
      </c>
      <c r="BB155" s="32">
        <f>IFERROR((Upgrades!$N$16*(POWER(Upgrades!$R$13,E155)*POWER(Upgrades!$R$14,F155)*POWER(Upgrades!$R$15,G155)*POWER(Upgrades!$R$16,H155)*POWER(Upgrades!$R$17,I155)*POWER(Upgrades!$R$18,J155)*POWER(Upgrades!$R$19,K155)*POWER(Upgrades!$R$20,L155)*POWER(Upgrades!$R$21,M155))*(IF(Upgrades!$T$13="Roche Lobe Overflow",POWER(Upgrades!$U$13,E155),1)*IF(Upgrades!$T$14="Roche Lobe Overflow",POWER(Upgrades!$U$14,F155),1)*IF(Upgrades!$T$15="Roche Lobe Overflow",POWER(Upgrades!$U$15,G155),1)*IF(Upgrades!$T$17="Roche Lobe Overflow",POWER(Upgrades!$U$17,I155),1)*IF(Upgrades!$T$18="Roche Lobe Overflow",POWER(Upgrades!$U$18,J155),1)*IF(Upgrades!$T$19="Roche Lobe Overflow",POWER(Upgrades!$U$19,K155),1)*IF(Upgrades!$T$20="Roche Lobe Overflow",POWER(Upgrades!$U$20,L155),1)*IF(Upgrades!$T$21="Roche Lobe Overflow",POWER(Upgrades!$U$21,M155),1))*$H$6*O155+((IF(F155=0,0,(Upgrades!$G$14+F155*Upgrades!$H$14)*POWER(Upgrades!$I$14,F155)))*(IF(Upgrades!$T$13="Local Bubble",POWER(Upgrades!$U$13,E155),1)*IF(Upgrades!$T$15="Local Bubble",POWER(Upgrades!$U$15,G155),1)*IF(Upgrades!$T$16="Local Bubble",POWER(Upgrades!$U$16,H155),1)*IF(Upgrades!$T$17="Local Bubble",POWER(Upgrades!$U$17,I155),1)*IF(Upgrades!$T$18="Local Bubble",POWER(Upgrades!$U$18,J155),1)*IF(Upgrades!$T$19="Local Bubble",POWER(Upgrades!$U$19,K155),1)*IF(Upgrades!$T$20="Local Bubble",POWER(Upgrades!$U$20,L155),1)*IF(Upgrades!$T$21="Local Bubble",POWER(Upgrades!$U$21,M155),1))*POWER(Upgrades!$P$13,E155)*POWER(Upgrades!$P$14,F155)*POWER(Upgrades!$P$15,G155)*POWER(Upgrades!$P$16,H155)*POWER(Upgrades!$P$17,I155)*POWER(Upgrades!$P$18,J155)*POWER(Upgrades!$P$19,K155)*POWER(Upgrades!$P$20,L155)*POWER(Upgrades!$P$21,M155)*$F$6)*0.05)/AN155,0)</f>
        <v/>
      </c>
      <c r="BC155" s="32">
        <f>IFERROR((Upgrades!$H$17*(POWER(Upgrades!$P$13,E155)*POWER(Upgrades!$P$14,F155)*POWER(Upgrades!$P$15,G155)*POWER(Upgrades!$P$16,H155)*POWER(Upgrades!$P$17,I155)*POWER(Upgrades!$P$18,J155)*POWER(Upgrades!$P$19,K155)*POWER(Upgrades!$P$20,L155)*POWER(Upgrades!$P$21,M155))*(IF(Upgrades!$T$13="Brown Dwarf",POWER(Upgrades!$U$13,E155),1)*IF(Upgrades!$T$14="Brown Dwarf",POWER(Upgrades!$U$14,F155),1)*IF(Upgrades!$T$15="Brown Dwarf",POWER(Upgrades!$U$15,G155),1)*IF(Upgrades!$T$16="Brown Dwarf",POWER(Upgrades!$U$16,H155),1)*IF(Upgrades!$T$18="Brown Dwarf",POWER(Upgrades!$U$18,J155),1)*IF(Upgrades!$T$19="Brown Dwarf",POWER(Upgrades!$U$19,K155),1)*IF(Upgrades!$T$20="Brown Dwarf",POWER(Upgrades!$U$20,L155),1)*IF(Upgrades!$T$21="Brown Dwarf",POWER(Upgrades!$U$21,M155),1))*$F$6+(((IF(H155=0,0,(Upgrades!$M$16+H155*Upgrades!$N$16)*POWER(Upgrades!$O$16,H155)))*(IF(Upgrades!$T$13="Roche Lobe Overflow",POWER(Upgrades!$U$13,E155),1)*IF(Upgrades!$T$14="Roche Lobe Overflow",POWER(Upgrades!$U$14,F155),1)*IF(Upgrades!$T$15="Roche Lobe Overflow",POWER(Upgrades!$U$15,G155),1)*IF(Upgrades!$T$17="Roche Lobe Overflow",POWER(Upgrades!$U$17,I155),1)*IF(Upgrades!$T$18="Roche Lobe Overflow",POWER(Upgrades!$U$18,J155),1)*IF(Upgrades!$T$19="Roche Lobe Overflow",POWER(Upgrades!$U$19,K155),1)*IF(Upgrades!$T$20="Roche Lobe Overflow",POWER(Upgrades!$U$20,L155),1)*IF(Upgrades!$T$21="Roche Lobe Overflow",POWER(Upgrades!$U$21,M155),1))*POWER(Upgrades!$R$13,E155)*POWER(Upgrades!$R$14,F155)*POWER(Upgrades!$R$15,G155)*POWER(Upgrades!$R$16,H155)*POWER(Upgrades!$R$17,I155)*POWER(Upgrades!$R$18,J155)*POWER(Upgrades!$R$19,K155)*POWER(Upgrades!$R$20,L155)*POWER(Upgrades!$R$21,M155)*$H$6)*O155)*0.10)/AO155,0)</f>
        <v/>
      </c>
      <c r="BD155" s="32">
        <f>MAX(IF(J155&gt;0,0,IFERROR(0.5*((IF(G155=0,0,(Upgrades!$J$15+G155*Upgrades!$K$15)*POWER(Upgrades!$L$15,G155)))*(IF(Upgrades!$T$13="Microlensing",POWER(Upgrades!$U$13,E155),1)*IF(Upgrades!$T$14="Microlensing",POWER(Upgrades!$U$14,F155),1)*IF(Upgrades!$T$16="Microlensing",POWER(Upgrades!$U$16,H155),1)*IF(Upgrades!$T$17="Microlensing",POWER(Upgrades!$U$17,I155),1)*IF(Upgrades!$T$18="Microlensing",POWER(Upgrades!$U$18,J155),1)*IF(Upgrades!$T$19="Microlensing",POWER(Upgrades!$U$19,K155),1)*IF(Upgrades!$T$20="Microlensing",POWER(Upgrades!$U$20,L155),1)*IF(Upgrades!$T$21="Microlensing",POWER(Upgrades!$U$21,M155),1))*(POWER(Upgrades!$Q$13,E155)*POWER(Upgrades!$Q$14,F155)*POWER(Upgrades!$Q$15,G155)*POWER(Upgrades!$Q$16,H155)*POWER(Upgrades!$Q$17,I155)*POWER(Upgrades!$Q$18,J155)*POWER(Upgrades!$Q$19,K155)*POWER(Upgrades!$Q$20,L155)*POWER(Upgrades!$Q$21,M155))*$G$6*(Parameters!$B$10/60*Parameters!$B$11+Q155))/Upgrades!$C$18,0)),IF(K155&gt;0,0,IFERROR(0.30*P155/Upgrades!$C$19,0)),IF(L155&gt;0,0,IFERROR(0.0001/Upgrades!$C$20,0)),IF(M155&gt;0,0,IFERROR((6.0*(POWER(Upgrades!$P$13,E155)*POWER(Upgrades!$P$14,F155)*POWER(Upgrades!$P$15,G155)*POWER(Upgrades!$P$16,H155)*POWER(Upgrades!$P$17,I155)*POWER(Upgrades!$P$18,J155)*POWER(Upgrades!$P$19,K155)*POWER(Upgrades!$P$20,L155)*POWER(Upgrades!$P$21,M155))*$F$6+0.20*O155*(Parameters!$B$10/60*Parameters!$B$11+Q155))/Upgrades!$C$21,0)),IF(AND(ISNUMBER(AK155),AK155&gt;(C155+T155)),AY155,0),IF(AND(ISNUMBER(AL155),AL155&gt;(C155+T155)),AZ155,0),IF(AND(ISNUMBER(AM155),AM155&gt;(C155+T155)),BA155,0),IF(AND(ISNUMBER(AN155),AN155&gt;(C155+T155)),BB155,0),IF(AND(ISNUMBER(AO155),AO155&gt;(C155+T155)),BC155,0))</f>
        <v/>
      </c>
      <c r="BE155" s="29">
        <f>IF(AT155=1,"transition",IF(MIN(IF(AND(J155=0,ISNUMBER(AP155),AP155&lt;=(C155+T155)),AP155,9E15),IF(AND(K155=0,ISNUMBER(AQ155),AQ155&lt;=(C155+T155)),AQ155,9E15),IF(AND(L155=0,ISNUMBER(AR155),AR155&lt;=(C155+T155)),AR155,9E15),IF(AND(M155=0,ISNUMBER(AS155),AS155&lt;=(C155+T155)),AS155,9E15))&lt;9E15,IF(AND(AND(J155=0,ISNUMBER(AP155),AP155&lt;=(C155+T155)),AP155=MIN(IF(AND(J155=0,ISNUMBER(AP155),AP155&lt;=(C155+T155)),AP155,9E15),IF(AND(K155=0,ISNUMBER(AQ155),AQ155&lt;=(C155+T155)),AQ155,9E15),IF(AND(L155=0,ISNUMBER(AR155),AR155&lt;=(C155+T155)),AR155,9E15),IF(AND(M155=0,ISNUMBER(AS155),AS155&lt;=(C155+T155)),AS155,9E15))),"BiP",IF(AND(AND(K155=0,ISNUMBER(AQ155),AQ155&lt;=(C155+T155)),AQ155=MIN(IF(AND(J155=0,ISNUMBER(AP155),AP155&lt;=(C155+T155)),AP155,9E15),IF(AND(K155=0,ISNUMBER(AQ155),AQ155&lt;=(C155+T155)),AQ155,9E15),IF(AND(L155=0,ISNUMBER(AR155),AR155&lt;=(C155+T155)),AR155,9E15),IF(AND(M155=0,ISNUMBER(AS155),AS155&lt;=(C155+T155)),AS155,9E15))),"PV",IF(AND(AND(L155=0,ISNUMBER(AR155),AR155&lt;=(C155+T155)),AR155=MIN(IF(AND(J155=0,ISNUMBER(AP155),AP155&lt;=(C155+T155)),AP155,9E15),IF(AND(K155=0,ISNUMBER(AQ155),AQ155&lt;=(C155+T155)),AQ155,9E15),IF(AND(L155=0,ISNUMBER(AR155),AR155&lt;=(C155+T155)),AR155,9E15),IF(AND(M155=0,ISNUMBER(AS155),AS155&lt;=(C155+T155)),AS155,9E15))),"OC","MG"))),IF(AX155=TRUE,"",IF(MAX(IF(AND(NOT(AND(AU155=1,AT155&lt;&gt;1)),ISNUMBER(AK155),AK155&lt;=(C155+T155)),AY155,0),IF(AND(NOT(AND(AU155=1,AT155&lt;&gt;1)),ISNUMBER(AL155),AL155&lt;=(C155+T155)),AZ155,0),IF(AND(NOT(AND(AU155=1,AT155&lt;&gt;1)),ISNUMBER(AM155),AM155&lt;=(C155+T155)),BA155,0),IF(AND(NOT(AND(AU155=1,AT155&lt;&gt;1)),ISNUMBER(AN155),AN155&lt;=(C155+T155)),BB155,0),IF(AND(ISNUMBER(AO155),AO155&lt;=(C155+T155)),BC155,0))&lt;=0,"",IF(AND(IF(AND(NOT(AND(AU155=1,AT155&lt;&gt;1)),ISNUMBER(AK155),AK155&lt;=(C155+T155)),AY155,0)&gt;0,IF(AND(NOT(AND(AU155=1,AT155&lt;&gt;1)),ISNUMBER(AK155),AK155&lt;=(C155+T155)),AY155,0)=MAX(IF(AND(NOT(AND(AU155=1,AT155&lt;&gt;1)),ISNUMBER(AK155),AK155&lt;=(C155+T155)),AY155,0),IF(AND(NOT(AND(AU155=1,AT155&lt;&gt;1)),ISNUMBER(AL155),AL155&lt;=(C155+T155)),AZ155,0),IF(AND(NOT(AND(AU155=1,AT155&lt;&gt;1)),ISNUMBER(AM155),AM155&lt;=(C155+T155)),BA155,0),IF(AND(NOT(AND(AU155=1,AT155&lt;&gt;1)),ISNUMBER(AN155),AN155&lt;=(C155+T155)),BB155,0),IF(AND(ISNUMBER(AO155),AO155&lt;=(C155+T155)),BC155,0))),"SK",IF(AND(IF(AND(NOT(AND(AU155=1,AT155&lt;&gt;1)),ISNUMBER(AL155),AL155&lt;=(C155+T155)),AZ155,0)&gt;0,IF(AND(NOT(AND(AU155=1,AT155&lt;&gt;1)),ISNUMBER(AL155),AL155&lt;=(C155+T155)),AZ155,0)=MAX(IF(AND(NOT(AND(AU155=1,AT155&lt;&gt;1)),ISNUMBER(AK155),AK155&lt;=(C155+T155)),AY155,0),IF(AND(NOT(AND(AU155=1,AT155&lt;&gt;1)),ISNUMBER(AL155),AL155&lt;=(C155+T155)),AZ155,0),IF(AND(NOT(AND(AU155=1,AT155&lt;&gt;1)),ISNUMBER(AM155),AM155&lt;=(C155+T155)),BA155,0),IF(AND(NOT(AND(AU155=1,AT155&lt;&gt;1)),ISNUMBER(AN155),AN155&lt;=(C155+T155)),BB155,0),IF(AND(ISNUMBER(AO155),AO155&lt;=(C155+T155)),BC155,0))),"LB",IF(AND(IF(AND(NOT(AND(AU155=1,AT155&lt;&gt;1)),ISNUMBER(AM155),AM155&lt;=(C155+T155)),BA155,0)&gt;0,IF(AND(NOT(AND(AU155=1,AT155&lt;&gt;1)),ISNUMBER(AM155),AM155&lt;=(C155+T155)),BA155,0)=MAX(IF(AND(NOT(AND(AU155=1,AT155&lt;&gt;1)),ISNUMBER(AK155),AK155&lt;=(C155+T155)),AY155,0),IF(AND(NOT(AND(AU155=1,AT155&lt;&gt;1)),ISNUMBER(AL155),AL155&lt;=(C155+T155)),AZ155,0),IF(AND(NOT(AND(AU155=1,AT155&lt;&gt;1)),ISNUMBER(AM155),AM155&lt;=(C155+T155)),BA155,0),IF(AND(NOT(AND(AU155=1,AT155&lt;&gt;1)),ISNUMBER(AN155),AN155&lt;=(C155+T155)),BB155,0),IF(AND(ISNUMBER(AO155),AO155&lt;=(C155+T155)),BC155,0))),"ML",IF(AND(IF(AND(NOT(AND(AU155=1,AT155&lt;&gt;1)),ISNUMBER(AN155),AN155&lt;=(C155+T155)),BB155,0)&gt;0,IF(AND(NOT(AND(AU155=1,AT155&lt;&gt;1)),ISNUMBER(AN155),AN155&lt;=(C155+T155)),BB155,0)=MAX(IF(AND(NOT(AND(AU155=1,AT155&lt;&gt;1)),ISNUMBER(AK155),AK155&lt;=(C155+T155)),AY155,0),IF(AND(NOT(AND(AU155=1,AT155&lt;&gt;1)),ISNUMBER(AL155),AL155&lt;=(C155+T155)),AZ155,0),IF(AND(NOT(AND(AU155=1,AT155&lt;&gt;1)),ISNUMBER(AM155),AM155&lt;=(C155+T155)),BA155,0),IF(AND(NOT(AND(AU155=1,AT155&lt;&gt;1)),ISNUMBER(AN155),AN155&lt;=(C155+T155)),BB155,0),IF(AND(ISNUMBER(AO155),AO155&lt;=(C155+T155)),BC155,0))),"RLO","BD"))))))))</f>
        <v/>
      </c>
    </row>
    <row r="156">
      <c r="A156" s="26" t="n">
        <v>145</v>
      </c>
      <c r="B156" s="27">
        <f>A156*10/60</f>
        <v/>
      </c>
      <c r="C156" s="22">
        <f>X155</f>
        <v/>
      </c>
      <c r="D156" s="27">
        <f>D155+W155</f>
        <v/>
      </c>
      <c r="E156" s="26">
        <f>E155+IF(U155="SK",1,0)</f>
        <v/>
      </c>
      <c r="F156" s="26">
        <f>F155+IF(U155="LB",1,0)</f>
        <v/>
      </c>
      <c r="G156" s="26">
        <f>G155+IF(U155="ML",1,0)</f>
        <v/>
      </c>
      <c r="H156" s="26">
        <f>H155+IF(U155="RLO",1,0)</f>
        <v/>
      </c>
      <c r="I156" s="26">
        <f>I155+IF(U155="BD",1,0)</f>
        <v/>
      </c>
      <c r="J156" s="26">
        <f>MAX(J155,IF(U155="BiP",1,0))</f>
        <v/>
      </c>
      <c r="K156" s="26">
        <f>MAX(K155,IF(U155="PV",1,0))</f>
        <v/>
      </c>
      <c r="L156" s="26">
        <f>MAX(L155,IF(U155="OC",1,0))</f>
        <v/>
      </c>
      <c r="M156" s="26">
        <f>MAX(M155,IF(U155="MG",1,0))</f>
        <v/>
      </c>
      <c r="N156" s="26">
        <f>MAX(N155,IF(U155="transition",1,0))</f>
        <v/>
      </c>
      <c r="O156" s="28">
        <f>(Parameters!$B$9+(IF(E156=0,0,(Upgrades!$J$13+E156*Upgrades!$K$13)*POWER(Upgrades!$L$13,E156)))*(IF(Upgrades!$T$14="Stellar Kinematics",POWER(Upgrades!$U$14,F156),1)*IF(Upgrades!$T$15="Stellar Kinematics",POWER(Upgrades!$U$15,G156),1)*IF(Upgrades!$T$16="Stellar Kinematics",POWER(Upgrades!$U$16,H156),1)*IF(Upgrades!$T$17="Stellar Kinematics",POWER(Upgrades!$U$17,I156),1)*IF(Upgrades!$T$18="Stellar Kinematics",POWER(Upgrades!$U$18,J156),1)*IF(Upgrades!$T$19="Stellar Kinematics",POWER(Upgrades!$U$19,K156),1)*IF(Upgrades!$T$20="Stellar Kinematics",POWER(Upgrades!$U$20,L156),1)*IF(Upgrades!$T$21="Stellar Kinematics",POWER(Upgrades!$U$21,M156),1))+(IF(F156=0,0,(Upgrades!$J$14+F156*Upgrades!$K$14)*POWER(Upgrades!$L$14,F156)))*(IF(Upgrades!$T$13="Local Bubble",POWER(Upgrades!$U$13,E156),1)*IF(Upgrades!$T$15="Local Bubble",POWER(Upgrades!$U$15,G156),1)*IF(Upgrades!$T$16="Local Bubble",POWER(Upgrades!$U$16,H156),1)*IF(Upgrades!$T$17="Local Bubble",POWER(Upgrades!$U$17,I156),1)*IF(Upgrades!$T$18="Local Bubble",POWER(Upgrades!$U$18,J156),1)*IF(Upgrades!$T$19="Local Bubble",POWER(Upgrades!$U$19,K156),1)*IF(Upgrades!$T$20="Local Bubble",POWER(Upgrades!$U$20,L156),1)*IF(Upgrades!$T$21="Local Bubble",POWER(Upgrades!$U$21,M156),1))+(IF(G156=0,0,(Upgrades!$J$15+G156*Upgrades!$K$15)*POWER(Upgrades!$L$15,G156)))*(IF(Upgrades!$T$13="Microlensing",POWER(Upgrades!$U$13,E156),1)*IF(Upgrades!$T$14="Microlensing",POWER(Upgrades!$U$14,F156),1)*IF(Upgrades!$T$16="Microlensing",POWER(Upgrades!$U$16,H156),1)*IF(Upgrades!$T$17="Microlensing",POWER(Upgrades!$U$17,I156),1)*IF(Upgrades!$T$18="Microlensing",POWER(Upgrades!$U$18,J156),1)*IF(Upgrades!$T$19="Microlensing",POWER(Upgrades!$U$19,K156),1)*IF(Upgrades!$T$20="Microlensing",POWER(Upgrades!$U$20,L156),1)*IF(Upgrades!$T$21="Microlensing",POWER(Upgrades!$U$21,M156),1))+(IF(H156=0,0,(Upgrades!$J$16+H156*Upgrades!$K$16)*POWER(Upgrades!$L$16,H156)))*(IF(Upgrades!$T$13="Roche Lobe Overflow",POWER(Upgrades!$U$13,E156),1)*IF(Upgrades!$T$14="Roche Lobe Overflow",POWER(Upgrades!$U$14,F156),1)*IF(Upgrades!$T$15="Roche Lobe Overflow",POWER(Upgrades!$U$15,G156),1)*IF(Upgrades!$T$17="Roche Lobe Overflow",POWER(Upgrades!$U$17,I156),1)*IF(Upgrades!$T$18="Roche Lobe Overflow",POWER(Upgrades!$U$18,J156),1)*IF(Upgrades!$T$19="Roche Lobe Overflow",POWER(Upgrades!$U$19,K156),1)*IF(Upgrades!$T$20="Roche Lobe Overflow",POWER(Upgrades!$U$20,L156),1)*IF(Upgrades!$T$21="Roche Lobe Overflow",POWER(Upgrades!$U$21,M156),1))+(IF(I156=0,0,(Upgrades!$J$17+I156*Upgrades!$K$17)*POWER(Upgrades!$L$17,I156)))*(IF(Upgrades!$T$13="Brown Dwarf",POWER(Upgrades!$U$13,E156),1)*IF(Upgrades!$T$14="Brown Dwarf",POWER(Upgrades!$U$14,F156),1)*IF(Upgrades!$T$15="Brown Dwarf",POWER(Upgrades!$U$15,G156),1)*IF(Upgrades!$T$16="Brown Dwarf",POWER(Upgrades!$U$16,H156),1)*IF(Upgrades!$T$18="Brown Dwarf",POWER(Upgrades!$U$18,J156),1)*IF(Upgrades!$T$19="Brown Dwarf",POWER(Upgrades!$U$19,K156),1)*IF(Upgrades!$T$20="Brown Dwarf",POWER(Upgrades!$U$20,L156),1)*IF(Upgrades!$T$21="Brown Dwarf",POWER(Upgrades!$U$21,M156),1))+(IF(J156=0,0,(Upgrades!$J$18+J156*Upgrades!$K$18)*POWER(Upgrades!$L$18,J156)))*(IF(Upgrades!$T$13="Binary Partner",POWER(Upgrades!$U$13,E156),1)*IF(Upgrades!$T$14="Binary Partner",POWER(Upgrades!$U$14,F156),1)*IF(Upgrades!$T$15="Binary Partner",POWER(Upgrades!$U$15,G156),1)*IF(Upgrades!$T$16="Binary Partner",POWER(Upgrades!$U$16,H156),1)*IF(Upgrades!$T$17="Binary Partner",POWER(Upgrades!$U$17,I156),1)*IF(Upgrades!$T$19="Binary Partner",POWER(Upgrades!$U$19,K156),1)*IF(Upgrades!$T$20="Binary Partner",POWER(Upgrades!$U$20,L156),1)*IF(Upgrades!$T$21="Binary Partner",POWER(Upgrades!$U$21,M156),1))+(IF(K156=0,0,(Upgrades!$J$19+K156*Upgrades!$K$19)*POWER(Upgrades!$L$19,K156)))*(IF(Upgrades!$T$13="Peculiar Velocity",POWER(Upgrades!$U$13,E156),1)*IF(Upgrades!$T$14="Peculiar Velocity",POWER(Upgrades!$U$14,F156),1)*IF(Upgrades!$T$15="Peculiar Velocity",POWER(Upgrades!$U$15,G156),1)*IF(Upgrades!$T$16="Peculiar Velocity",POWER(Upgrades!$U$16,H156),1)*IF(Upgrades!$T$17="Peculiar Velocity",POWER(Upgrades!$U$17,I156),1)*IF(Upgrades!$T$18="Peculiar Velocity",POWER(Upgrades!$U$18,J156),1)*IF(Upgrades!$T$20="Peculiar Velocity",POWER(Upgrades!$U$20,L156),1)*IF(Upgrades!$T$21="Peculiar Velocity",POWER(Upgrades!$U$21,M156),1))+(IF(L156=0,0,(Upgrades!$J$20+L156*Upgrades!$K$20)*POWER(Upgrades!$L$20,L156)))*(IF(Upgrades!$T$13="Open Cluster",POWER(Upgrades!$U$13,E156),1)*IF(Upgrades!$T$14="Open Cluster",POWER(Upgrades!$U$14,F156),1)*IF(Upgrades!$T$15="Open Cluster",POWER(Upgrades!$U$15,G156),1)*IF(Upgrades!$T$16="Open Cluster",POWER(Upgrades!$U$16,H156),1)*IF(Upgrades!$T$17="Open Cluster",POWER(Upgrades!$U$17,I156),1)*IF(Upgrades!$T$18="Open Cluster",POWER(Upgrades!$U$18,J156),1)*IF(Upgrades!$T$19="Open Cluster",POWER(Upgrades!$U$19,K156),1)*IF(Upgrades!$T$21="Open Cluster",POWER(Upgrades!$U$21,M156),1))+(IF(M156=0,0,(Upgrades!$J$21+M156*Upgrades!$K$21)*POWER(Upgrades!$L$21,M156)))*(IF(Upgrades!$T$13="Moving Group",POWER(Upgrades!$U$13,E156),1)*IF(Upgrades!$T$14="Moving Group",POWER(Upgrades!$U$14,F156),1)*IF(Upgrades!$T$15="Moving Group",POWER(Upgrades!$U$15,G156),1)*IF(Upgrades!$T$16="Moving Group",POWER(Upgrades!$U$16,H156),1)*IF(Upgrades!$T$17="Moving Group",POWER(Upgrades!$U$17,I156),1)*IF(Upgrades!$T$18="Moving Group",POWER(Upgrades!$U$18,J156),1)*IF(Upgrades!$T$19="Moving Group",POWER(Upgrades!$U$19,K156),1)*IF(Upgrades!$T$20="Moving Group",POWER(Upgrades!$U$20,L156),1)))*POWER(Upgrades!$Q$13,E156)*POWER(Upgrades!$Q$14,F156)*POWER(Upgrades!$Q$15,G156)*POWER(Upgrades!$Q$16,H156)*POWER(Upgrades!$Q$17,I156)*POWER(Upgrades!$Q$18,J156)*POWER(Upgrades!$Q$19,K156)*POWER(Upgrades!$Q$20,L156)*POWER(Upgrades!$Q$21,M156)*$G$6+$D$6</f>
        <v/>
      </c>
      <c r="P156" s="28">
        <f>((IF(E156=0,0,(Upgrades!$G$13+E156*Upgrades!$H$13)*POWER(Upgrades!$I$13,E156)))*(IF(Upgrades!$T$14="Stellar Kinematics",POWER(Upgrades!$U$14,F156),1)*IF(Upgrades!$T$15="Stellar Kinematics",POWER(Upgrades!$U$15,G156),1)*IF(Upgrades!$T$16="Stellar Kinematics",POWER(Upgrades!$U$16,H156),1)*IF(Upgrades!$T$17="Stellar Kinematics",POWER(Upgrades!$U$17,I156),1)*IF(Upgrades!$T$18="Stellar Kinematics",POWER(Upgrades!$U$18,J156),1)*IF(Upgrades!$T$19="Stellar Kinematics",POWER(Upgrades!$U$19,K156),1)*IF(Upgrades!$T$20="Stellar Kinematics",POWER(Upgrades!$U$20,L156),1)*IF(Upgrades!$T$21="Stellar Kinematics",POWER(Upgrades!$U$21,M156),1))+(IF(F156=0,0,(Upgrades!$G$14+F156*Upgrades!$H$14)*POWER(Upgrades!$I$14,F156)))*(IF(Upgrades!$T$13="Local Bubble",POWER(Upgrades!$U$13,E156),1)*IF(Upgrades!$T$15="Local Bubble",POWER(Upgrades!$U$15,G156),1)*IF(Upgrades!$T$16="Local Bubble",POWER(Upgrades!$U$16,H156),1)*IF(Upgrades!$T$17="Local Bubble",POWER(Upgrades!$U$17,I156),1)*IF(Upgrades!$T$18="Local Bubble",POWER(Upgrades!$U$18,J156),1)*IF(Upgrades!$T$19="Local Bubble",POWER(Upgrades!$U$19,K156),1)*IF(Upgrades!$T$20="Local Bubble",POWER(Upgrades!$U$20,L156),1)*IF(Upgrades!$T$21="Local Bubble",POWER(Upgrades!$U$21,M156),1))+(IF(G156=0,0,(Upgrades!$G$15+G156*Upgrades!$H$15)*POWER(Upgrades!$I$15,G156)))*(IF(Upgrades!$T$13="Microlensing",POWER(Upgrades!$U$13,E156),1)*IF(Upgrades!$T$14="Microlensing",POWER(Upgrades!$U$14,F156),1)*IF(Upgrades!$T$16="Microlensing",POWER(Upgrades!$U$16,H156),1)*IF(Upgrades!$T$17="Microlensing",POWER(Upgrades!$U$17,I156),1)*IF(Upgrades!$T$18="Microlensing",POWER(Upgrades!$U$18,J156),1)*IF(Upgrades!$T$19="Microlensing",POWER(Upgrades!$U$19,K156),1)*IF(Upgrades!$T$20="Microlensing",POWER(Upgrades!$U$20,L156),1)*IF(Upgrades!$T$21="Microlensing",POWER(Upgrades!$U$21,M156),1))+(IF(H156=0,0,(Upgrades!$G$16+H156*Upgrades!$H$16)*POWER(Upgrades!$I$16,H156)))*(IF(Upgrades!$T$13="Roche Lobe Overflow",POWER(Upgrades!$U$13,E156),1)*IF(Upgrades!$T$14="Roche Lobe Overflow",POWER(Upgrades!$U$14,F156),1)*IF(Upgrades!$T$15="Roche Lobe Overflow",POWER(Upgrades!$U$15,G156),1)*IF(Upgrades!$T$17="Roche Lobe Overflow",POWER(Upgrades!$U$17,I156),1)*IF(Upgrades!$T$18="Roche Lobe Overflow",POWER(Upgrades!$U$18,J156),1)*IF(Upgrades!$T$19="Roche Lobe Overflow",POWER(Upgrades!$U$19,K156),1)*IF(Upgrades!$T$20="Roche Lobe Overflow",POWER(Upgrades!$U$20,L156),1)*IF(Upgrades!$T$21="Roche Lobe Overflow",POWER(Upgrades!$U$21,M156),1))+(IF(I156=0,0,(Upgrades!$G$17+I156*Upgrades!$H$17)*POWER(Upgrades!$I$17,I156)))*(IF(Upgrades!$T$13="Brown Dwarf",POWER(Upgrades!$U$13,E156),1)*IF(Upgrades!$T$14="Brown Dwarf",POWER(Upgrades!$U$14,F156),1)*IF(Upgrades!$T$15="Brown Dwarf",POWER(Upgrades!$U$15,G156),1)*IF(Upgrades!$T$16="Brown Dwarf",POWER(Upgrades!$U$16,H156),1)*IF(Upgrades!$T$18="Brown Dwarf",POWER(Upgrades!$U$18,J156),1)*IF(Upgrades!$T$19="Brown Dwarf",POWER(Upgrades!$U$19,K156),1)*IF(Upgrades!$T$20="Brown Dwarf",POWER(Upgrades!$U$20,L156),1)*IF(Upgrades!$T$21="Brown Dwarf",POWER(Upgrades!$U$21,M156),1))+(IF(J156=0,0,(Upgrades!$G$18+J156*Upgrades!$H$18)*POWER(Upgrades!$I$18,J156)))*(IF(Upgrades!$T$13="Binary Partner",POWER(Upgrades!$U$13,E156),1)*IF(Upgrades!$T$14="Binary Partner",POWER(Upgrades!$U$14,F156),1)*IF(Upgrades!$T$15="Binary Partner",POWER(Upgrades!$U$15,G156),1)*IF(Upgrades!$T$16="Binary Partner",POWER(Upgrades!$U$16,H156),1)*IF(Upgrades!$T$17="Binary Partner",POWER(Upgrades!$U$17,I156),1)*IF(Upgrades!$T$19="Binary Partner",POWER(Upgrades!$U$19,K156),1)*IF(Upgrades!$T$20="Binary Partner",POWER(Upgrades!$U$20,L156),1)*IF(Upgrades!$T$21="Binary Partner",POWER(Upgrades!$U$21,M156),1))+(IF(K156=0,0,(Upgrades!$G$19+K156*Upgrades!$H$19)*POWER(Upgrades!$I$19,K156)))*(IF(Upgrades!$T$13="Peculiar Velocity",POWER(Upgrades!$U$13,E156),1)*IF(Upgrades!$T$14="Peculiar Velocity",POWER(Upgrades!$U$14,F156),1)*IF(Upgrades!$T$15="Peculiar Velocity",POWER(Upgrades!$U$15,G156),1)*IF(Upgrades!$T$16="Peculiar Velocity",POWER(Upgrades!$U$16,H156),1)*IF(Upgrades!$T$17="Peculiar Velocity",POWER(Upgrades!$U$17,I156),1)*IF(Upgrades!$T$18="Peculiar Velocity",POWER(Upgrades!$U$18,J156),1)*IF(Upgrades!$T$20="Peculiar Velocity",POWER(Upgrades!$U$20,L156),1)*IF(Upgrades!$T$21="Peculiar Velocity",POWER(Upgrades!$U$21,M156),1))+(IF(L156=0,0,(Upgrades!$G$20+L156*Upgrades!$H$20)*POWER(Upgrades!$I$20,L156)))*(IF(Upgrades!$T$13="Open Cluster",POWER(Upgrades!$U$13,E156),1)*IF(Upgrades!$T$14="Open Cluster",POWER(Upgrades!$U$14,F156),1)*IF(Upgrades!$T$15="Open Cluster",POWER(Upgrades!$U$15,G156),1)*IF(Upgrades!$T$16="Open Cluster",POWER(Upgrades!$U$16,H156),1)*IF(Upgrades!$T$17="Open Cluster",POWER(Upgrades!$U$17,I156),1)*IF(Upgrades!$T$18="Open Cluster",POWER(Upgrades!$U$18,J156),1)*IF(Upgrades!$T$19="Open Cluster",POWER(Upgrades!$U$19,K156),1)*IF(Upgrades!$T$21="Open Cluster",POWER(Upgrades!$U$21,M156),1))+(IF(M156=0,0,(Upgrades!$G$21+M156*Upgrades!$H$21)*POWER(Upgrades!$I$21,M156)))*(IF(Upgrades!$T$13="Moving Group",POWER(Upgrades!$U$13,E156),1)*IF(Upgrades!$T$14="Moving Group",POWER(Upgrades!$U$14,F156),1)*IF(Upgrades!$T$15="Moving Group",POWER(Upgrades!$U$15,G156),1)*IF(Upgrades!$T$16="Moving Group",POWER(Upgrades!$U$16,H156),1)*IF(Upgrades!$T$17="Moving Group",POWER(Upgrades!$U$17,I156),1)*IF(Upgrades!$T$18="Moving Group",POWER(Upgrades!$U$18,J156),1)*IF(Upgrades!$T$19="Moving Group",POWER(Upgrades!$U$19,K156),1)*IF(Upgrades!$T$20="Moving Group",POWER(Upgrades!$U$20,L156),1)))*POWER(Upgrades!$P$13,E156)*POWER(Upgrades!$P$14,F156)*POWER(Upgrades!$P$15,G156)*POWER(Upgrades!$P$16,H156)*POWER(Upgrades!$P$17,I156)*POWER(Upgrades!$P$18,J156)*POWER(Upgrades!$P$19,K156)*POWER(Upgrades!$P$20,L156)*POWER(Upgrades!$P$21,M156)*$F$6+$C$6</f>
        <v/>
      </c>
      <c r="Q156" s="28">
        <f>((IF(E156=0,0,(Upgrades!$M$13+E156*Upgrades!$N$13)*POWER(Upgrades!$O$13,E156)))*(IF(Upgrades!$T$14="Stellar Kinematics",POWER(Upgrades!$U$14,F156),1)*IF(Upgrades!$T$15="Stellar Kinematics",POWER(Upgrades!$U$15,G156),1)*IF(Upgrades!$T$16="Stellar Kinematics",POWER(Upgrades!$U$16,H156),1)*IF(Upgrades!$T$17="Stellar Kinematics",POWER(Upgrades!$U$17,I156),1)*IF(Upgrades!$T$18="Stellar Kinematics",POWER(Upgrades!$U$18,J156),1)*IF(Upgrades!$T$19="Stellar Kinematics",POWER(Upgrades!$U$19,K156),1)*IF(Upgrades!$T$20="Stellar Kinematics",POWER(Upgrades!$U$20,L156),1)*IF(Upgrades!$T$21="Stellar Kinematics",POWER(Upgrades!$U$21,M156),1))+(IF(F156=0,0,(Upgrades!$M$14+F156*Upgrades!$N$14)*POWER(Upgrades!$O$14,F156)))*(IF(Upgrades!$T$13="Local Bubble",POWER(Upgrades!$U$13,E156),1)*IF(Upgrades!$T$15="Local Bubble",POWER(Upgrades!$U$15,G156),1)*IF(Upgrades!$T$16="Local Bubble",POWER(Upgrades!$U$16,H156),1)*IF(Upgrades!$T$17="Local Bubble",POWER(Upgrades!$U$17,I156),1)*IF(Upgrades!$T$18="Local Bubble",POWER(Upgrades!$U$18,J156),1)*IF(Upgrades!$T$19="Local Bubble",POWER(Upgrades!$U$19,K156),1)*IF(Upgrades!$T$20="Local Bubble",POWER(Upgrades!$U$20,L156),1)*IF(Upgrades!$T$21="Local Bubble",POWER(Upgrades!$U$21,M156),1))+(IF(G156=0,0,(Upgrades!$M$15+G156*Upgrades!$N$15)*POWER(Upgrades!$O$15,G156)))*(IF(Upgrades!$T$13="Microlensing",POWER(Upgrades!$U$13,E156),1)*IF(Upgrades!$T$14="Microlensing",POWER(Upgrades!$U$14,F156),1)*IF(Upgrades!$T$16="Microlensing",POWER(Upgrades!$U$16,H156),1)*IF(Upgrades!$T$17="Microlensing",POWER(Upgrades!$U$17,I156),1)*IF(Upgrades!$T$18="Microlensing",POWER(Upgrades!$U$18,J156),1)*IF(Upgrades!$T$19="Microlensing",POWER(Upgrades!$U$19,K156),1)*IF(Upgrades!$T$20="Microlensing",POWER(Upgrades!$U$20,L156),1)*IF(Upgrades!$T$21="Microlensing",POWER(Upgrades!$U$21,M156),1))+(IF(H156=0,0,(Upgrades!$M$16+H156*Upgrades!$N$16)*POWER(Upgrades!$O$16,H156)))*(IF(Upgrades!$T$13="Roche Lobe Overflow",POWER(Upgrades!$U$13,E156),1)*IF(Upgrades!$T$14="Roche Lobe Overflow",POWER(Upgrades!$U$14,F156),1)*IF(Upgrades!$T$15="Roche Lobe Overflow",POWER(Upgrades!$U$15,G156),1)*IF(Upgrades!$T$17="Roche Lobe Overflow",POWER(Upgrades!$U$17,I156),1)*IF(Upgrades!$T$18="Roche Lobe Overflow",POWER(Upgrades!$U$18,J156),1)*IF(Upgrades!$T$19="Roche Lobe Overflow",POWER(Upgrades!$U$19,K156),1)*IF(Upgrades!$T$20="Roche Lobe Overflow",POWER(Upgrades!$U$20,L156),1)*IF(Upgrades!$T$21="Roche Lobe Overflow",POWER(Upgrades!$U$21,M156),1))+(IF(I156=0,0,(Upgrades!$M$17+I156*Upgrades!$N$17)*POWER(Upgrades!$O$17,I156)))*(IF(Upgrades!$T$13="Brown Dwarf",POWER(Upgrades!$U$13,E156),1)*IF(Upgrades!$T$14="Brown Dwarf",POWER(Upgrades!$U$14,F156),1)*IF(Upgrades!$T$15="Brown Dwarf",POWER(Upgrades!$U$15,G156),1)*IF(Upgrades!$T$16="Brown Dwarf",POWER(Upgrades!$U$16,H156),1)*IF(Upgrades!$T$18="Brown Dwarf",POWER(Upgrades!$U$18,J156),1)*IF(Upgrades!$T$19="Brown Dwarf",POWER(Upgrades!$U$19,K156),1)*IF(Upgrades!$T$20="Brown Dwarf",POWER(Upgrades!$U$20,L156),1)*IF(Upgrades!$T$21="Brown Dwarf",POWER(Upgrades!$U$21,M156),1))+(IF(J156=0,0,(Upgrades!$M$18+J156*Upgrades!$N$18)*POWER(Upgrades!$O$18,J156)))*(IF(Upgrades!$T$13="Binary Partner",POWER(Upgrades!$U$13,E156),1)*IF(Upgrades!$T$14="Binary Partner",POWER(Upgrades!$U$14,F156),1)*IF(Upgrades!$T$15="Binary Partner",POWER(Upgrades!$U$15,G156),1)*IF(Upgrades!$T$16="Binary Partner",POWER(Upgrades!$U$16,H156),1)*IF(Upgrades!$T$17="Binary Partner",POWER(Upgrades!$U$17,I156),1)*IF(Upgrades!$T$19="Binary Partner",POWER(Upgrades!$U$19,K156),1)*IF(Upgrades!$T$20="Binary Partner",POWER(Upgrades!$U$20,L156),1)*IF(Upgrades!$T$21="Binary Partner",POWER(Upgrades!$U$21,M156),1))+(IF(K156=0,0,(Upgrades!$M$19+K156*Upgrades!$N$19)*POWER(Upgrades!$O$19,K156)))*(IF(Upgrades!$T$13="Peculiar Velocity",POWER(Upgrades!$U$13,E156),1)*IF(Upgrades!$T$14="Peculiar Velocity",POWER(Upgrades!$U$14,F156),1)*IF(Upgrades!$T$15="Peculiar Velocity",POWER(Upgrades!$U$15,G156),1)*IF(Upgrades!$T$16="Peculiar Velocity",POWER(Upgrades!$U$16,H156),1)*IF(Upgrades!$T$17="Peculiar Velocity",POWER(Upgrades!$U$17,I156),1)*IF(Upgrades!$T$18="Peculiar Velocity",POWER(Upgrades!$U$18,J156),1)*IF(Upgrades!$T$20="Peculiar Velocity",POWER(Upgrades!$U$20,L156),1)*IF(Upgrades!$T$21="Peculiar Velocity",POWER(Upgrades!$U$21,M156),1))+(IF(L156=0,0,(Upgrades!$M$20+L156*Upgrades!$N$20)*POWER(Upgrades!$O$20,L156)))*(IF(Upgrades!$T$13="Open Cluster",POWER(Upgrades!$U$13,E156),1)*IF(Upgrades!$T$14="Open Cluster",POWER(Upgrades!$U$14,F156),1)*IF(Upgrades!$T$15="Open Cluster",POWER(Upgrades!$U$15,G156),1)*IF(Upgrades!$T$16="Open Cluster",POWER(Upgrades!$U$16,H156),1)*IF(Upgrades!$T$17="Open Cluster",POWER(Upgrades!$U$17,I156),1)*IF(Upgrades!$T$18="Open Cluster",POWER(Upgrades!$U$18,J156),1)*IF(Upgrades!$T$19="Open Cluster",POWER(Upgrades!$U$19,K156),1)*IF(Upgrades!$T$21="Open Cluster",POWER(Upgrades!$U$21,M156),1))+(IF(M156=0,0,(Upgrades!$M$21+M156*Upgrades!$N$21)*POWER(Upgrades!$O$21,M156)))*(IF(Upgrades!$T$13="Moving Group",POWER(Upgrades!$U$13,E156),1)*IF(Upgrades!$T$14="Moving Group",POWER(Upgrades!$U$14,F156),1)*IF(Upgrades!$T$15="Moving Group",POWER(Upgrades!$U$15,G156),1)*IF(Upgrades!$T$16="Moving Group",POWER(Upgrades!$U$16,H156),1)*IF(Upgrades!$T$17="Moving Group",POWER(Upgrades!$U$17,I156),1)*IF(Upgrades!$T$18="Moving Group",POWER(Upgrades!$U$18,J156),1)*IF(Upgrades!$T$19="Moving Group",POWER(Upgrades!$U$19,K156),1)*IF(Upgrades!$T$20="Moving Group",POWER(Upgrades!$U$20,L156),1)))*POWER(Upgrades!$R$13,E156)*POWER(Upgrades!$R$14,F156)*POWER(Upgrades!$R$15,G156)*POWER(Upgrades!$R$16,H156)*POWER(Upgrades!$R$17,I156)*POWER(Upgrades!$R$18,J156)*POWER(Upgrades!$R$19,K156)*POWER(Upgrades!$R$20,L156)*POWER(Upgrades!$R$21,M156)*$H$6+$E$6</f>
        <v/>
      </c>
      <c r="R156" s="27">
        <f>IF(N156=1,0,O156*Parameters!$B$10/60*Parameters!$B$11*10)</f>
        <v/>
      </c>
      <c r="S156" s="27">
        <f>IF(N156=1,0,Q156*O156*10)</f>
        <v/>
      </c>
      <c r="T156" s="27">
        <f>IF(N156=1,0,R156+S156+P156*10)</f>
        <v/>
      </c>
      <c r="U156" s="33">
        <f>BE156</f>
        <v/>
      </c>
      <c r="V156" s="22">
        <f>IF(U156="",0,IF(U156="transition",0,IF(U156="SK",AK156,IF(U156="LB",AL156,IF(U156="ML",AM156,IF(U156="RLO",AN156,IF(U156="BD",AO156,IF(U156="BiP",AP156,IF(U156="PV",AQ156,IF(U156="OC",AR156,IF(U156="MG",AS156,0))))))))))</f>
        <v/>
      </c>
      <c r="W156" s="27">
        <f>IF(U156="BiP",Upgrades!$F$18,IF(U156="PV",Upgrades!$F$19,IF(U156="OC",Upgrades!$F$20,IF(U156="MG",Upgrades!$F$21,IF(U156="transition",-Parameters!$B$18*Parameters!$B$19,0)))))</f>
        <v/>
      </c>
      <c r="X156" s="22">
        <f>C156+T156-V156</f>
        <v/>
      </c>
      <c r="Y156" s="30">
        <f>O156*Parameters!$B$10/60*Parameters!$B$11+Q156*O156+P156</f>
        <v/>
      </c>
      <c r="Z156" s="34">
        <f>IF(U156="transition","→ Tier 3 (Galactic Arm)",IF(U156="MG","Moving Group — pocket drifts together",IF(U156="OC","Open Cluster acquired",IF(U156="PV","Peculiar Velocity — passive multiplier active",IF(U156="BiP","Binary Partner — pair bond formed",IF(AND(AU156=1,N156=0,AT156&lt;&gt;1),"Cohesion ready (waiting on completionists)","")))))) </f>
        <v/>
      </c>
      <c r="AA156" s="27">
        <f>(IF(E156=0,0,(Upgrades!$G$13+E156*Upgrades!$H$13)*POWER(Upgrades!$I$13,E156)))*(IF(Upgrades!$T$14="Stellar Kinematics",POWER(Upgrades!$U$14,F156),1)*IF(Upgrades!$T$15="Stellar Kinematics",POWER(Upgrades!$U$15,G156),1)*IF(Upgrades!$T$16="Stellar Kinematics",POWER(Upgrades!$U$16,H156),1)*IF(Upgrades!$T$17="Stellar Kinematics",POWER(Upgrades!$U$17,I156),1)*IF(Upgrades!$T$18="Stellar Kinematics",POWER(Upgrades!$U$18,J156),1)*IF(Upgrades!$T$19="Stellar Kinematics",POWER(Upgrades!$U$19,K156),1)*IF(Upgrades!$T$20="Stellar Kinematics",POWER(Upgrades!$U$20,L156),1)*IF(Upgrades!$T$21="Stellar Kinematics",POWER(Upgrades!$U$21,M156),1))*POWER(Upgrades!$P$13,E156)*POWER(Upgrades!$P$14,F156)*POWER(Upgrades!$P$15,G156)*POWER(Upgrades!$P$16,H156)*POWER(Upgrades!$P$17,I156)*POWER(Upgrades!$P$18,J156)*POWER(Upgrades!$P$19,K156)*POWER(Upgrades!$P$20,L156)*POWER(Upgrades!$P$21,M156)*$F$6*60</f>
        <v/>
      </c>
      <c r="AB156" s="27">
        <f>(IF(F156=0,0,(Upgrades!$G$14+F156*Upgrades!$H$14)*POWER(Upgrades!$I$14,F156)))*(IF(Upgrades!$T$13="Local Bubble",POWER(Upgrades!$U$13,E156),1)*IF(Upgrades!$T$15="Local Bubble",POWER(Upgrades!$U$15,G156),1)*IF(Upgrades!$T$16="Local Bubble",POWER(Upgrades!$U$16,H156),1)*IF(Upgrades!$T$17="Local Bubble",POWER(Upgrades!$U$17,I156),1)*IF(Upgrades!$T$18="Local Bubble",POWER(Upgrades!$U$18,J156),1)*IF(Upgrades!$T$19="Local Bubble",POWER(Upgrades!$U$19,K156),1)*IF(Upgrades!$T$20="Local Bubble",POWER(Upgrades!$U$20,L156),1)*IF(Upgrades!$T$21="Local Bubble",POWER(Upgrades!$U$21,M156),1))*POWER(Upgrades!$P$13,E156)*POWER(Upgrades!$P$14,F156)*POWER(Upgrades!$P$15,G156)*POWER(Upgrades!$P$16,H156)*POWER(Upgrades!$P$17,I156)*POWER(Upgrades!$P$18,J156)*POWER(Upgrades!$P$19,K156)*POWER(Upgrades!$P$20,L156)*POWER(Upgrades!$P$21,M156)*$F$6*60</f>
        <v/>
      </c>
      <c r="AC156" s="27">
        <f>(IF(G156=0,0,(Upgrades!$J$15+G156*Upgrades!$K$15)*POWER(Upgrades!$L$15,G156)))*(IF(Upgrades!$T$13="Microlensing",POWER(Upgrades!$U$13,E156),1)*IF(Upgrades!$T$14="Microlensing",POWER(Upgrades!$U$14,F156),1)*IF(Upgrades!$T$16="Microlensing",POWER(Upgrades!$U$16,H156),1)*IF(Upgrades!$T$17="Microlensing",POWER(Upgrades!$U$17,I156),1)*IF(Upgrades!$T$18="Microlensing",POWER(Upgrades!$U$18,J156),1)*IF(Upgrades!$T$19="Microlensing",POWER(Upgrades!$U$19,K156),1)*IF(Upgrades!$T$20="Microlensing",POWER(Upgrades!$U$20,L156),1)*IF(Upgrades!$T$21="Microlensing",POWER(Upgrades!$U$21,M156),1))*POWER(Upgrades!$Q$13,E156)*POWER(Upgrades!$Q$14,F156)*POWER(Upgrades!$Q$15,G156)*POWER(Upgrades!$Q$16,H156)*POWER(Upgrades!$Q$17,I156)*POWER(Upgrades!$Q$18,J156)*POWER(Upgrades!$Q$19,K156)*POWER(Upgrades!$Q$20,L156)*POWER(Upgrades!$Q$21,M156)*$G$6*(Parameters!$B$10*Parameters!$B$11+Q156*60)</f>
        <v/>
      </c>
      <c r="AD156" s="27">
        <f>(IF(H156=0,0,(Upgrades!$M$16+H156*Upgrades!$N$16)*POWER(Upgrades!$O$16,H156)))*(IF(Upgrades!$T$13="Roche Lobe Overflow",POWER(Upgrades!$U$13,E156),1)*IF(Upgrades!$T$14="Roche Lobe Overflow",POWER(Upgrades!$U$14,F156),1)*IF(Upgrades!$T$15="Roche Lobe Overflow",POWER(Upgrades!$U$15,G156),1)*IF(Upgrades!$T$17="Roche Lobe Overflow",POWER(Upgrades!$U$17,I156),1)*IF(Upgrades!$T$18="Roche Lobe Overflow",POWER(Upgrades!$U$18,J156),1)*IF(Upgrades!$T$19="Roche Lobe Overflow",POWER(Upgrades!$U$19,K156),1)*IF(Upgrades!$T$20="Roche Lobe Overflow",POWER(Upgrades!$U$20,L156),1)*IF(Upgrades!$T$21="Roche Lobe Overflow",POWER(Upgrades!$U$21,M156),1))*POWER(Upgrades!$R$13,E156)*POWER(Upgrades!$R$14,F156)*POWER(Upgrades!$R$15,G156)*POWER(Upgrades!$R$16,H156)*POWER(Upgrades!$R$17,I156)*POWER(Upgrades!$R$18,J156)*POWER(Upgrades!$R$19,K156)*POWER(Upgrades!$R$20,L156)*POWER(Upgrades!$R$21,M156)*$H$6*O156*60</f>
        <v/>
      </c>
      <c r="AE156" s="27">
        <f>(IF(I156=0,0,(Upgrades!$G$17+I156*Upgrades!$H$17)*POWER(Upgrades!$I$17,I156)))*(IF(Upgrades!$T$13="Brown Dwarf",POWER(Upgrades!$U$13,E156),1)*IF(Upgrades!$T$14="Brown Dwarf",POWER(Upgrades!$U$14,F156),1)*IF(Upgrades!$T$15="Brown Dwarf",POWER(Upgrades!$U$15,G156),1)*IF(Upgrades!$T$16="Brown Dwarf",POWER(Upgrades!$U$16,H156),1)*IF(Upgrades!$T$18="Brown Dwarf",POWER(Upgrades!$U$18,J156),1)*IF(Upgrades!$T$19="Brown Dwarf",POWER(Upgrades!$U$19,K156),1)*IF(Upgrades!$T$20="Brown Dwarf",POWER(Upgrades!$U$20,L156),1)*IF(Upgrades!$T$21="Brown Dwarf",POWER(Upgrades!$U$21,M156),1))*POWER(Upgrades!$P$13,E156)*POWER(Upgrades!$P$14,F156)*POWER(Upgrades!$P$15,G156)*POWER(Upgrades!$P$16,H156)*POWER(Upgrades!$P$17,I156)*POWER(Upgrades!$P$18,J156)*POWER(Upgrades!$P$19,K156)*POWER(Upgrades!$P$20,L156)*POWER(Upgrades!$P$21,M156)*$F$6*60</f>
        <v/>
      </c>
      <c r="AF156" s="27" t="n">
        <v>0</v>
      </c>
      <c r="AG156" s="27" t="n">
        <v>0</v>
      </c>
      <c r="AH156" s="27" t="n">
        <v>0</v>
      </c>
      <c r="AI156" s="27">
        <f>(IF(M156=0,0,(Upgrades!$G$21+M156*Upgrades!$H$21)*POWER(Upgrades!$I$21,M156)))*(IF(Upgrades!$T$13="Moving Group",POWER(Upgrades!$U$13,E156),1)*IF(Upgrades!$T$14="Moving Group",POWER(Upgrades!$U$14,F156),1)*IF(Upgrades!$T$15="Moving Group",POWER(Upgrades!$U$15,G156),1)*IF(Upgrades!$T$16="Moving Group",POWER(Upgrades!$U$16,H156),1)*IF(Upgrades!$T$17="Moving Group",POWER(Upgrades!$U$17,I156),1)*IF(Upgrades!$T$18="Moving Group",POWER(Upgrades!$U$18,J156),1)*IF(Upgrades!$T$19="Moving Group",POWER(Upgrades!$U$19,K156),1)*IF(Upgrades!$T$20="Moving Group",POWER(Upgrades!$U$20,L156),1))*POWER(Upgrades!$P$13,E156)*POWER(Upgrades!$P$14,F156)*POWER(Upgrades!$P$15,G156)*POWER(Upgrades!$P$16,H156)*POWER(Upgrades!$P$17,I156)*POWER(Upgrades!$P$18,J156)*POWER(Upgrades!$P$19,K156)*POWER(Upgrades!$P$20,L156)*POWER(Upgrades!$P$21,M156)*$F$6*60</f>
        <v/>
      </c>
      <c r="AJ156" s="27">
        <f>$C$6*60</f>
        <v/>
      </c>
      <c r="AK156" s="22">
        <f>IF(E156&gt;=Upgrades!$E$13,"",Upgrades!$C$13*POWER(Upgrades!$D$13,E156))</f>
        <v/>
      </c>
      <c r="AL156" s="22">
        <f>IF(F156&gt;=Upgrades!$E$14,"",Upgrades!$C$14*POWER(Upgrades!$D$14,F156))</f>
        <v/>
      </c>
      <c r="AM156" s="22">
        <f>IF(G156&gt;=Upgrades!$E$15,"",Upgrades!$C$15*POWER(Upgrades!$D$15,G156))</f>
        <v/>
      </c>
      <c r="AN156" s="22">
        <f>IF(H156&gt;=Upgrades!$E$16,"",Upgrades!$C$16*POWER(Upgrades!$D$16,H156))</f>
        <v/>
      </c>
      <c r="AO156" s="22">
        <f>IF(I156&gt;=Upgrades!$E$17,"",Upgrades!$C$17*POWER(Upgrades!$D$17,I156))</f>
        <v/>
      </c>
      <c r="AP156" s="22">
        <f>IF(J156&gt;=Upgrades!$E$18,"",Upgrades!$C$18*POWER(Upgrades!$D$18,J156))</f>
        <v/>
      </c>
      <c r="AQ156" s="22">
        <f>IF(K156&gt;=Upgrades!$E$19,"",Upgrades!$C$19*POWER(Upgrades!$D$19,K156))</f>
        <v/>
      </c>
      <c r="AR156" s="22">
        <f>IF(L156&gt;=Upgrades!$E$20,"",Upgrades!$C$20*POWER(Upgrades!$D$20,L156))</f>
        <v/>
      </c>
      <c r="AS156" s="22">
        <f>IF(M156&gt;=Upgrades!$E$21,"",Upgrades!$C$21*POWER(Upgrades!$D$21,M156))</f>
        <v/>
      </c>
      <c r="AT156" s="26">
        <f>IF(AND(D156&gt;=Parameters!$B$18*Parameters!$B$19,(I156&gt;=Upgrades!$E$17)*(M156&gt;=Upgrades!$E$21)=1,N156=0),1,"")</f>
        <v/>
      </c>
      <c r="AU156" s="26">
        <f>IF(AND(D156&gt;=Parameters!$B$18*Parameters!$B$19,N156=0),1,"")</f>
        <v/>
      </c>
      <c r="AV156" s="22">
        <f>MIN(IF(ISNUMBER(AP156),AP156,9E15),IF(ISNUMBER(AQ156),AQ156,9E15),IF(ISNUMBER(AR156),AR156,9E15),IF(ISNUMBER(AS156),AS156,9E15))</f>
        <v/>
      </c>
      <c r="AW156" s="22">
        <f>MIN(IF(ISNUMBER(AK156),AK156,9E15),IF(ISNUMBER(AL156),AL156,9E15),IF(ISNUMBER(AM156),AM156,9E15),IF(ISNUMBER(AN156),AN156,9E15),IF(ISNUMBER(AO156),AO156,9E15))</f>
        <v/>
      </c>
      <c r="AX156" s="29">
        <f>IF(BD156&gt;Parameters!$B$21*(MAX(IF(AND(NOT(AND(AU156=1,AT156&lt;&gt;1)),ISNUMBER(AK156),AK156&lt;=(C156+T156)),AY156,0),IF(AND(NOT(AND(AU156=1,AT156&lt;&gt;1)),ISNUMBER(AL156),AL156&lt;=(C156+T156)),AZ156,0),IF(AND(NOT(AND(AU156=1,AT156&lt;&gt;1)),ISNUMBER(AM156),AM156&lt;=(C156+T156)),BA156,0),IF(AND(NOT(AND(AU156=1,AT156&lt;&gt;1)),ISNUMBER(AN156),AN156&lt;=(C156+T156)),BB156,0),IF(AND(ISNUMBER(AO156),AO156&lt;=(C156+T156)),BC156,0))),TRUE,FALSE)</f>
        <v/>
      </c>
      <c r="AY156" s="32">
        <f>IFERROR(Upgrades!$H$13*(POWER(Upgrades!$P$13,E156)*POWER(Upgrades!$P$14,F156)*POWER(Upgrades!$P$15,G156)*POWER(Upgrades!$P$16,H156)*POWER(Upgrades!$P$17,I156)*POWER(Upgrades!$P$18,J156)*POWER(Upgrades!$P$19,K156)*POWER(Upgrades!$P$20,L156)*POWER(Upgrades!$P$21,M156))*(IF(Upgrades!$T$14="Stellar Kinematics",POWER(Upgrades!$U$14,F156),1)*IF(Upgrades!$T$15="Stellar Kinematics",POWER(Upgrades!$U$15,G156),1)*IF(Upgrades!$T$16="Stellar Kinematics",POWER(Upgrades!$U$16,H156),1)*IF(Upgrades!$T$17="Stellar Kinematics",POWER(Upgrades!$U$17,I156),1)*IF(Upgrades!$T$18="Stellar Kinematics",POWER(Upgrades!$U$18,J156),1)*IF(Upgrades!$T$19="Stellar Kinematics",POWER(Upgrades!$U$19,K156),1)*IF(Upgrades!$T$20="Stellar Kinematics",POWER(Upgrades!$U$20,L156),1)*IF(Upgrades!$T$21="Stellar Kinematics",POWER(Upgrades!$U$21,M156),1))*$F$6/AK156,0)</f>
        <v/>
      </c>
      <c r="AZ156" s="32">
        <f>IFERROR(Upgrades!$H$14*(POWER(Upgrades!$P$13,E156)*POWER(Upgrades!$P$14,F156)*POWER(Upgrades!$P$15,G156)*POWER(Upgrades!$P$16,H156)*POWER(Upgrades!$P$17,I156)*POWER(Upgrades!$P$18,J156)*POWER(Upgrades!$P$19,K156)*POWER(Upgrades!$P$20,L156)*POWER(Upgrades!$P$21,M156))*(IF(Upgrades!$T$13="Local Bubble",POWER(Upgrades!$U$13,E156),1)*IF(Upgrades!$T$15="Local Bubble",POWER(Upgrades!$U$15,G156),1)*IF(Upgrades!$T$16="Local Bubble",POWER(Upgrades!$U$16,H156),1)*IF(Upgrades!$T$17="Local Bubble",POWER(Upgrades!$U$17,I156),1)*IF(Upgrades!$T$18="Local Bubble",POWER(Upgrades!$U$18,J156),1)*IF(Upgrades!$T$19="Local Bubble",POWER(Upgrades!$U$19,K156),1)*IF(Upgrades!$T$20="Local Bubble",POWER(Upgrades!$U$20,L156),1)*IF(Upgrades!$T$21="Local Bubble",POWER(Upgrades!$U$21,M156),1))*$F$6/AL156,0)</f>
        <v/>
      </c>
      <c r="BA156" s="32">
        <f>IFERROR(Upgrades!$K$15*(POWER(Upgrades!$Q$13,E156)*POWER(Upgrades!$Q$14,F156)*POWER(Upgrades!$Q$15,G156)*POWER(Upgrades!$Q$16,H156)*POWER(Upgrades!$Q$17,I156)*POWER(Upgrades!$Q$18,J156)*POWER(Upgrades!$Q$19,K156)*POWER(Upgrades!$Q$20,L156)*POWER(Upgrades!$Q$21,M156))*(IF(Upgrades!$T$13="Microlensing",POWER(Upgrades!$U$13,E156),1)*IF(Upgrades!$T$14="Microlensing",POWER(Upgrades!$U$14,F156),1)*IF(Upgrades!$T$16="Microlensing",POWER(Upgrades!$U$16,H156),1)*IF(Upgrades!$T$17="Microlensing",POWER(Upgrades!$U$17,I156),1)*IF(Upgrades!$T$18="Microlensing",POWER(Upgrades!$U$18,J156),1)*IF(Upgrades!$T$19="Microlensing",POWER(Upgrades!$U$19,K156),1)*IF(Upgrades!$T$20="Microlensing",POWER(Upgrades!$U$20,L156),1)*IF(Upgrades!$T$21="Microlensing",POWER(Upgrades!$U$21,M156),1))*$G$6*(Parameters!$B$10/60*Parameters!$B$11+Q156)/AM156,0)</f>
        <v/>
      </c>
      <c r="BB156" s="32">
        <f>IFERROR((Upgrades!$N$16*(POWER(Upgrades!$R$13,E156)*POWER(Upgrades!$R$14,F156)*POWER(Upgrades!$R$15,G156)*POWER(Upgrades!$R$16,H156)*POWER(Upgrades!$R$17,I156)*POWER(Upgrades!$R$18,J156)*POWER(Upgrades!$R$19,K156)*POWER(Upgrades!$R$20,L156)*POWER(Upgrades!$R$21,M156))*(IF(Upgrades!$T$13="Roche Lobe Overflow",POWER(Upgrades!$U$13,E156),1)*IF(Upgrades!$T$14="Roche Lobe Overflow",POWER(Upgrades!$U$14,F156),1)*IF(Upgrades!$T$15="Roche Lobe Overflow",POWER(Upgrades!$U$15,G156),1)*IF(Upgrades!$T$17="Roche Lobe Overflow",POWER(Upgrades!$U$17,I156),1)*IF(Upgrades!$T$18="Roche Lobe Overflow",POWER(Upgrades!$U$18,J156),1)*IF(Upgrades!$T$19="Roche Lobe Overflow",POWER(Upgrades!$U$19,K156),1)*IF(Upgrades!$T$20="Roche Lobe Overflow",POWER(Upgrades!$U$20,L156),1)*IF(Upgrades!$T$21="Roche Lobe Overflow",POWER(Upgrades!$U$21,M156),1))*$H$6*O156+((IF(F156=0,0,(Upgrades!$G$14+F156*Upgrades!$H$14)*POWER(Upgrades!$I$14,F156)))*(IF(Upgrades!$T$13="Local Bubble",POWER(Upgrades!$U$13,E156),1)*IF(Upgrades!$T$15="Local Bubble",POWER(Upgrades!$U$15,G156),1)*IF(Upgrades!$T$16="Local Bubble",POWER(Upgrades!$U$16,H156),1)*IF(Upgrades!$T$17="Local Bubble",POWER(Upgrades!$U$17,I156),1)*IF(Upgrades!$T$18="Local Bubble",POWER(Upgrades!$U$18,J156),1)*IF(Upgrades!$T$19="Local Bubble",POWER(Upgrades!$U$19,K156),1)*IF(Upgrades!$T$20="Local Bubble",POWER(Upgrades!$U$20,L156),1)*IF(Upgrades!$T$21="Local Bubble",POWER(Upgrades!$U$21,M156),1))*POWER(Upgrades!$P$13,E156)*POWER(Upgrades!$P$14,F156)*POWER(Upgrades!$P$15,G156)*POWER(Upgrades!$P$16,H156)*POWER(Upgrades!$P$17,I156)*POWER(Upgrades!$P$18,J156)*POWER(Upgrades!$P$19,K156)*POWER(Upgrades!$P$20,L156)*POWER(Upgrades!$P$21,M156)*$F$6)*0.05)/AN156,0)</f>
        <v/>
      </c>
      <c r="BC156" s="32">
        <f>IFERROR((Upgrades!$H$17*(POWER(Upgrades!$P$13,E156)*POWER(Upgrades!$P$14,F156)*POWER(Upgrades!$P$15,G156)*POWER(Upgrades!$P$16,H156)*POWER(Upgrades!$P$17,I156)*POWER(Upgrades!$P$18,J156)*POWER(Upgrades!$P$19,K156)*POWER(Upgrades!$P$20,L156)*POWER(Upgrades!$P$21,M156))*(IF(Upgrades!$T$13="Brown Dwarf",POWER(Upgrades!$U$13,E156),1)*IF(Upgrades!$T$14="Brown Dwarf",POWER(Upgrades!$U$14,F156),1)*IF(Upgrades!$T$15="Brown Dwarf",POWER(Upgrades!$U$15,G156),1)*IF(Upgrades!$T$16="Brown Dwarf",POWER(Upgrades!$U$16,H156),1)*IF(Upgrades!$T$18="Brown Dwarf",POWER(Upgrades!$U$18,J156),1)*IF(Upgrades!$T$19="Brown Dwarf",POWER(Upgrades!$U$19,K156),1)*IF(Upgrades!$T$20="Brown Dwarf",POWER(Upgrades!$U$20,L156),1)*IF(Upgrades!$T$21="Brown Dwarf",POWER(Upgrades!$U$21,M156),1))*$F$6+(((IF(H156=0,0,(Upgrades!$M$16+H156*Upgrades!$N$16)*POWER(Upgrades!$O$16,H156)))*(IF(Upgrades!$T$13="Roche Lobe Overflow",POWER(Upgrades!$U$13,E156),1)*IF(Upgrades!$T$14="Roche Lobe Overflow",POWER(Upgrades!$U$14,F156),1)*IF(Upgrades!$T$15="Roche Lobe Overflow",POWER(Upgrades!$U$15,G156),1)*IF(Upgrades!$T$17="Roche Lobe Overflow",POWER(Upgrades!$U$17,I156),1)*IF(Upgrades!$T$18="Roche Lobe Overflow",POWER(Upgrades!$U$18,J156),1)*IF(Upgrades!$T$19="Roche Lobe Overflow",POWER(Upgrades!$U$19,K156),1)*IF(Upgrades!$T$20="Roche Lobe Overflow",POWER(Upgrades!$U$20,L156),1)*IF(Upgrades!$T$21="Roche Lobe Overflow",POWER(Upgrades!$U$21,M156),1))*POWER(Upgrades!$R$13,E156)*POWER(Upgrades!$R$14,F156)*POWER(Upgrades!$R$15,G156)*POWER(Upgrades!$R$16,H156)*POWER(Upgrades!$R$17,I156)*POWER(Upgrades!$R$18,J156)*POWER(Upgrades!$R$19,K156)*POWER(Upgrades!$R$20,L156)*POWER(Upgrades!$R$21,M156)*$H$6)*O156)*0.10)/AO156,0)</f>
        <v/>
      </c>
      <c r="BD156" s="32">
        <f>MAX(IF(J156&gt;0,0,IFERROR(0.5*((IF(G156=0,0,(Upgrades!$J$15+G156*Upgrades!$K$15)*POWER(Upgrades!$L$15,G156)))*(IF(Upgrades!$T$13="Microlensing",POWER(Upgrades!$U$13,E156),1)*IF(Upgrades!$T$14="Microlensing",POWER(Upgrades!$U$14,F156),1)*IF(Upgrades!$T$16="Microlensing",POWER(Upgrades!$U$16,H156),1)*IF(Upgrades!$T$17="Microlensing",POWER(Upgrades!$U$17,I156),1)*IF(Upgrades!$T$18="Microlensing",POWER(Upgrades!$U$18,J156),1)*IF(Upgrades!$T$19="Microlensing",POWER(Upgrades!$U$19,K156),1)*IF(Upgrades!$T$20="Microlensing",POWER(Upgrades!$U$20,L156),1)*IF(Upgrades!$T$21="Microlensing",POWER(Upgrades!$U$21,M156),1))*(POWER(Upgrades!$Q$13,E156)*POWER(Upgrades!$Q$14,F156)*POWER(Upgrades!$Q$15,G156)*POWER(Upgrades!$Q$16,H156)*POWER(Upgrades!$Q$17,I156)*POWER(Upgrades!$Q$18,J156)*POWER(Upgrades!$Q$19,K156)*POWER(Upgrades!$Q$20,L156)*POWER(Upgrades!$Q$21,M156))*$G$6*(Parameters!$B$10/60*Parameters!$B$11+Q156))/Upgrades!$C$18,0)),IF(K156&gt;0,0,IFERROR(0.30*P156/Upgrades!$C$19,0)),IF(L156&gt;0,0,IFERROR(0.0001/Upgrades!$C$20,0)),IF(M156&gt;0,0,IFERROR((6.0*(POWER(Upgrades!$P$13,E156)*POWER(Upgrades!$P$14,F156)*POWER(Upgrades!$P$15,G156)*POWER(Upgrades!$P$16,H156)*POWER(Upgrades!$P$17,I156)*POWER(Upgrades!$P$18,J156)*POWER(Upgrades!$P$19,K156)*POWER(Upgrades!$P$20,L156)*POWER(Upgrades!$P$21,M156))*$F$6+0.20*O156*(Parameters!$B$10/60*Parameters!$B$11+Q156))/Upgrades!$C$21,0)),IF(AND(ISNUMBER(AK156),AK156&gt;(C156+T156)),AY156,0),IF(AND(ISNUMBER(AL156),AL156&gt;(C156+T156)),AZ156,0),IF(AND(ISNUMBER(AM156),AM156&gt;(C156+T156)),BA156,0),IF(AND(ISNUMBER(AN156),AN156&gt;(C156+T156)),BB156,0),IF(AND(ISNUMBER(AO156),AO156&gt;(C156+T156)),BC156,0))</f>
        <v/>
      </c>
      <c r="BE156" s="29">
        <f>IF(AT156=1,"transition",IF(MIN(IF(AND(J156=0,ISNUMBER(AP156),AP156&lt;=(C156+T156)),AP156,9E15),IF(AND(K156=0,ISNUMBER(AQ156),AQ156&lt;=(C156+T156)),AQ156,9E15),IF(AND(L156=0,ISNUMBER(AR156),AR156&lt;=(C156+T156)),AR156,9E15),IF(AND(M156=0,ISNUMBER(AS156),AS156&lt;=(C156+T156)),AS156,9E15))&lt;9E15,IF(AND(AND(J156=0,ISNUMBER(AP156),AP156&lt;=(C156+T156)),AP156=MIN(IF(AND(J156=0,ISNUMBER(AP156),AP156&lt;=(C156+T156)),AP156,9E15),IF(AND(K156=0,ISNUMBER(AQ156),AQ156&lt;=(C156+T156)),AQ156,9E15),IF(AND(L156=0,ISNUMBER(AR156),AR156&lt;=(C156+T156)),AR156,9E15),IF(AND(M156=0,ISNUMBER(AS156),AS156&lt;=(C156+T156)),AS156,9E15))),"BiP",IF(AND(AND(K156=0,ISNUMBER(AQ156),AQ156&lt;=(C156+T156)),AQ156=MIN(IF(AND(J156=0,ISNUMBER(AP156),AP156&lt;=(C156+T156)),AP156,9E15),IF(AND(K156=0,ISNUMBER(AQ156),AQ156&lt;=(C156+T156)),AQ156,9E15),IF(AND(L156=0,ISNUMBER(AR156),AR156&lt;=(C156+T156)),AR156,9E15),IF(AND(M156=0,ISNUMBER(AS156),AS156&lt;=(C156+T156)),AS156,9E15))),"PV",IF(AND(AND(L156=0,ISNUMBER(AR156),AR156&lt;=(C156+T156)),AR156=MIN(IF(AND(J156=0,ISNUMBER(AP156),AP156&lt;=(C156+T156)),AP156,9E15),IF(AND(K156=0,ISNUMBER(AQ156),AQ156&lt;=(C156+T156)),AQ156,9E15),IF(AND(L156=0,ISNUMBER(AR156),AR156&lt;=(C156+T156)),AR156,9E15),IF(AND(M156=0,ISNUMBER(AS156),AS156&lt;=(C156+T156)),AS156,9E15))),"OC","MG"))),IF(AX156=TRUE,"",IF(MAX(IF(AND(NOT(AND(AU156=1,AT156&lt;&gt;1)),ISNUMBER(AK156),AK156&lt;=(C156+T156)),AY156,0),IF(AND(NOT(AND(AU156=1,AT156&lt;&gt;1)),ISNUMBER(AL156),AL156&lt;=(C156+T156)),AZ156,0),IF(AND(NOT(AND(AU156=1,AT156&lt;&gt;1)),ISNUMBER(AM156),AM156&lt;=(C156+T156)),BA156,0),IF(AND(NOT(AND(AU156=1,AT156&lt;&gt;1)),ISNUMBER(AN156),AN156&lt;=(C156+T156)),BB156,0),IF(AND(ISNUMBER(AO156),AO156&lt;=(C156+T156)),BC156,0))&lt;=0,"",IF(AND(IF(AND(NOT(AND(AU156=1,AT156&lt;&gt;1)),ISNUMBER(AK156),AK156&lt;=(C156+T156)),AY156,0)&gt;0,IF(AND(NOT(AND(AU156=1,AT156&lt;&gt;1)),ISNUMBER(AK156),AK156&lt;=(C156+T156)),AY156,0)=MAX(IF(AND(NOT(AND(AU156=1,AT156&lt;&gt;1)),ISNUMBER(AK156),AK156&lt;=(C156+T156)),AY156,0),IF(AND(NOT(AND(AU156=1,AT156&lt;&gt;1)),ISNUMBER(AL156),AL156&lt;=(C156+T156)),AZ156,0),IF(AND(NOT(AND(AU156=1,AT156&lt;&gt;1)),ISNUMBER(AM156),AM156&lt;=(C156+T156)),BA156,0),IF(AND(NOT(AND(AU156=1,AT156&lt;&gt;1)),ISNUMBER(AN156),AN156&lt;=(C156+T156)),BB156,0),IF(AND(ISNUMBER(AO156),AO156&lt;=(C156+T156)),BC156,0))),"SK",IF(AND(IF(AND(NOT(AND(AU156=1,AT156&lt;&gt;1)),ISNUMBER(AL156),AL156&lt;=(C156+T156)),AZ156,0)&gt;0,IF(AND(NOT(AND(AU156=1,AT156&lt;&gt;1)),ISNUMBER(AL156),AL156&lt;=(C156+T156)),AZ156,0)=MAX(IF(AND(NOT(AND(AU156=1,AT156&lt;&gt;1)),ISNUMBER(AK156),AK156&lt;=(C156+T156)),AY156,0),IF(AND(NOT(AND(AU156=1,AT156&lt;&gt;1)),ISNUMBER(AL156),AL156&lt;=(C156+T156)),AZ156,0),IF(AND(NOT(AND(AU156=1,AT156&lt;&gt;1)),ISNUMBER(AM156),AM156&lt;=(C156+T156)),BA156,0),IF(AND(NOT(AND(AU156=1,AT156&lt;&gt;1)),ISNUMBER(AN156),AN156&lt;=(C156+T156)),BB156,0),IF(AND(ISNUMBER(AO156),AO156&lt;=(C156+T156)),BC156,0))),"LB",IF(AND(IF(AND(NOT(AND(AU156=1,AT156&lt;&gt;1)),ISNUMBER(AM156),AM156&lt;=(C156+T156)),BA156,0)&gt;0,IF(AND(NOT(AND(AU156=1,AT156&lt;&gt;1)),ISNUMBER(AM156),AM156&lt;=(C156+T156)),BA156,0)=MAX(IF(AND(NOT(AND(AU156=1,AT156&lt;&gt;1)),ISNUMBER(AK156),AK156&lt;=(C156+T156)),AY156,0),IF(AND(NOT(AND(AU156=1,AT156&lt;&gt;1)),ISNUMBER(AL156),AL156&lt;=(C156+T156)),AZ156,0),IF(AND(NOT(AND(AU156=1,AT156&lt;&gt;1)),ISNUMBER(AM156),AM156&lt;=(C156+T156)),BA156,0),IF(AND(NOT(AND(AU156=1,AT156&lt;&gt;1)),ISNUMBER(AN156),AN156&lt;=(C156+T156)),BB156,0),IF(AND(ISNUMBER(AO156),AO156&lt;=(C156+T156)),BC156,0))),"ML",IF(AND(IF(AND(NOT(AND(AU156=1,AT156&lt;&gt;1)),ISNUMBER(AN156),AN156&lt;=(C156+T156)),BB156,0)&gt;0,IF(AND(NOT(AND(AU156=1,AT156&lt;&gt;1)),ISNUMBER(AN156),AN156&lt;=(C156+T156)),BB156,0)=MAX(IF(AND(NOT(AND(AU156=1,AT156&lt;&gt;1)),ISNUMBER(AK156),AK156&lt;=(C156+T156)),AY156,0),IF(AND(NOT(AND(AU156=1,AT156&lt;&gt;1)),ISNUMBER(AL156),AL156&lt;=(C156+T156)),AZ156,0),IF(AND(NOT(AND(AU156=1,AT156&lt;&gt;1)),ISNUMBER(AM156),AM156&lt;=(C156+T156)),BA156,0),IF(AND(NOT(AND(AU156=1,AT156&lt;&gt;1)),ISNUMBER(AN156),AN156&lt;=(C156+T156)),BB156,0),IF(AND(ISNUMBER(AO156),AO156&lt;=(C156+T156)),BC156,0))),"RLO","BD"))))))))</f>
        <v/>
      </c>
    </row>
    <row r="157">
      <c r="A157" s="26" t="n">
        <v>146</v>
      </c>
      <c r="B157" s="27">
        <f>A157*10/60</f>
        <v/>
      </c>
      <c r="C157" s="22">
        <f>X156</f>
        <v/>
      </c>
      <c r="D157" s="27">
        <f>D156+W156</f>
        <v/>
      </c>
      <c r="E157" s="26">
        <f>E156+IF(U156="SK",1,0)</f>
        <v/>
      </c>
      <c r="F157" s="26">
        <f>F156+IF(U156="LB",1,0)</f>
        <v/>
      </c>
      <c r="G157" s="26">
        <f>G156+IF(U156="ML",1,0)</f>
        <v/>
      </c>
      <c r="H157" s="26">
        <f>H156+IF(U156="RLO",1,0)</f>
        <v/>
      </c>
      <c r="I157" s="26">
        <f>I156+IF(U156="BD",1,0)</f>
        <v/>
      </c>
      <c r="J157" s="26">
        <f>MAX(J156,IF(U156="BiP",1,0))</f>
        <v/>
      </c>
      <c r="K157" s="26">
        <f>MAX(K156,IF(U156="PV",1,0))</f>
        <v/>
      </c>
      <c r="L157" s="26">
        <f>MAX(L156,IF(U156="OC",1,0))</f>
        <v/>
      </c>
      <c r="M157" s="26">
        <f>MAX(M156,IF(U156="MG",1,0))</f>
        <v/>
      </c>
      <c r="N157" s="26">
        <f>MAX(N156,IF(U156="transition",1,0))</f>
        <v/>
      </c>
      <c r="O157" s="28">
        <f>(Parameters!$B$9+(IF(E157=0,0,(Upgrades!$J$13+E157*Upgrades!$K$13)*POWER(Upgrades!$L$13,E157)))*(IF(Upgrades!$T$14="Stellar Kinematics",POWER(Upgrades!$U$14,F157),1)*IF(Upgrades!$T$15="Stellar Kinematics",POWER(Upgrades!$U$15,G157),1)*IF(Upgrades!$T$16="Stellar Kinematics",POWER(Upgrades!$U$16,H157),1)*IF(Upgrades!$T$17="Stellar Kinematics",POWER(Upgrades!$U$17,I157),1)*IF(Upgrades!$T$18="Stellar Kinematics",POWER(Upgrades!$U$18,J157),1)*IF(Upgrades!$T$19="Stellar Kinematics",POWER(Upgrades!$U$19,K157),1)*IF(Upgrades!$T$20="Stellar Kinematics",POWER(Upgrades!$U$20,L157),1)*IF(Upgrades!$T$21="Stellar Kinematics",POWER(Upgrades!$U$21,M157),1))+(IF(F157=0,0,(Upgrades!$J$14+F157*Upgrades!$K$14)*POWER(Upgrades!$L$14,F157)))*(IF(Upgrades!$T$13="Local Bubble",POWER(Upgrades!$U$13,E157),1)*IF(Upgrades!$T$15="Local Bubble",POWER(Upgrades!$U$15,G157),1)*IF(Upgrades!$T$16="Local Bubble",POWER(Upgrades!$U$16,H157),1)*IF(Upgrades!$T$17="Local Bubble",POWER(Upgrades!$U$17,I157),1)*IF(Upgrades!$T$18="Local Bubble",POWER(Upgrades!$U$18,J157),1)*IF(Upgrades!$T$19="Local Bubble",POWER(Upgrades!$U$19,K157),1)*IF(Upgrades!$T$20="Local Bubble",POWER(Upgrades!$U$20,L157),1)*IF(Upgrades!$T$21="Local Bubble",POWER(Upgrades!$U$21,M157),1))+(IF(G157=0,0,(Upgrades!$J$15+G157*Upgrades!$K$15)*POWER(Upgrades!$L$15,G157)))*(IF(Upgrades!$T$13="Microlensing",POWER(Upgrades!$U$13,E157),1)*IF(Upgrades!$T$14="Microlensing",POWER(Upgrades!$U$14,F157),1)*IF(Upgrades!$T$16="Microlensing",POWER(Upgrades!$U$16,H157),1)*IF(Upgrades!$T$17="Microlensing",POWER(Upgrades!$U$17,I157),1)*IF(Upgrades!$T$18="Microlensing",POWER(Upgrades!$U$18,J157),1)*IF(Upgrades!$T$19="Microlensing",POWER(Upgrades!$U$19,K157),1)*IF(Upgrades!$T$20="Microlensing",POWER(Upgrades!$U$20,L157),1)*IF(Upgrades!$T$21="Microlensing",POWER(Upgrades!$U$21,M157),1))+(IF(H157=0,0,(Upgrades!$J$16+H157*Upgrades!$K$16)*POWER(Upgrades!$L$16,H157)))*(IF(Upgrades!$T$13="Roche Lobe Overflow",POWER(Upgrades!$U$13,E157),1)*IF(Upgrades!$T$14="Roche Lobe Overflow",POWER(Upgrades!$U$14,F157),1)*IF(Upgrades!$T$15="Roche Lobe Overflow",POWER(Upgrades!$U$15,G157),1)*IF(Upgrades!$T$17="Roche Lobe Overflow",POWER(Upgrades!$U$17,I157),1)*IF(Upgrades!$T$18="Roche Lobe Overflow",POWER(Upgrades!$U$18,J157),1)*IF(Upgrades!$T$19="Roche Lobe Overflow",POWER(Upgrades!$U$19,K157),1)*IF(Upgrades!$T$20="Roche Lobe Overflow",POWER(Upgrades!$U$20,L157),1)*IF(Upgrades!$T$21="Roche Lobe Overflow",POWER(Upgrades!$U$21,M157),1))+(IF(I157=0,0,(Upgrades!$J$17+I157*Upgrades!$K$17)*POWER(Upgrades!$L$17,I157)))*(IF(Upgrades!$T$13="Brown Dwarf",POWER(Upgrades!$U$13,E157),1)*IF(Upgrades!$T$14="Brown Dwarf",POWER(Upgrades!$U$14,F157),1)*IF(Upgrades!$T$15="Brown Dwarf",POWER(Upgrades!$U$15,G157),1)*IF(Upgrades!$T$16="Brown Dwarf",POWER(Upgrades!$U$16,H157),1)*IF(Upgrades!$T$18="Brown Dwarf",POWER(Upgrades!$U$18,J157),1)*IF(Upgrades!$T$19="Brown Dwarf",POWER(Upgrades!$U$19,K157),1)*IF(Upgrades!$T$20="Brown Dwarf",POWER(Upgrades!$U$20,L157),1)*IF(Upgrades!$T$21="Brown Dwarf",POWER(Upgrades!$U$21,M157),1))+(IF(J157=0,0,(Upgrades!$J$18+J157*Upgrades!$K$18)*POWER(Upgrades!$L$18,J157)))*(IF(Upgrades!$T$13="Binary Partner",POWER(Upgrades!$U$13,E157),1)*IF(Upgrades!$T$14="Binary Partner",POWER(Upgrades!$U$14,F157),1)*IF(Upgrades!$T$15="Binary Partner",POWER(Upgrades!$U$15,G157),1)*IF(Upgrades!$T$16="Binary Partner",POWER(Upgrades!$U$16,H157),1)*IF(Upgrades!$T$17="Binary Partner",POWER(Upgrades!$U$17,I157),1)*IF(Upgrades!$T$19="Binary Partner",POWER(Upgrades!$U$19,K157),1)*IF(Upgrades!$T$20="Binary Partner",POWER(Upgrades!$U$20,L157),1)*IF(Upgrades!$T$21="Binary Partner",POWER(Upgrades!$U$21,M157),1))+(IF(K157=0,0,(Upgrades!$J$19+K157*Upgrades!$K$19)*POWER(Upgrades!$L$19,K157)))*(IF(Upgrades!$T$13="Peculiar Velocity",POWER(Upgrades!$U$13,E157),1)*IF(Upgrades!$T$14="Peculiar Velocity",POWER(Upgrades!$U$14,F157),1)*IF(Upgrades!$T$15="Peculiar Velocity",POWER(Upgrades!$U$15,G157),1)*IF(Upgrades!$T$16="Peculiar Velocity",POWER(Upgrades!$U$16,H157),1)*IF(Upgrades!$T$17="Peculiar Velocity",POWER(Upgrades!$U$17,I157),1)*IF(Upgrades!$T$18="Peculiar Velocity",POWER(Upgrades!$U$18,J157),1)*IF(Upgrades!$T$20="Peculiar Velocity",POWER(Upgrades!$U$20,L157),1)*IF(Upgrades!$T$21="Peculiar Velocity",POWER(Upgrades!$U$21,M157),1))+(IF(L157=0,0,(Upgrades!$J$20+L157*Upgrades!$K$20)*POWER(Upgrades!$L$20,L157)))*(IF(Upgrades!$T$13="Open Cluster",POWER(Upgrades!$U$13,E157),1)*IF(Upgrades!$T$14="Open Cluster",POWER(Upgrades!$U$14,F157),1)*IF(Upgrades!$T$15="Open Cluster",POWER(Upgrades!$U$15,G157),1)*IF(Upgrades!$T$16="Open Cluster",POWER(Upgrades!$U$16,H157),1)*IF(Upgrades!$T$17="Open Cluster",POWER(Upgrades!$U$17,I157),1)*IF(Upgrades!$T$18="Open Cluster",POWER(Upgrades!$U$18,J157),1)*IF(Upgrades!$T$19="Open Cluster",POWER(Upgrades!$U$19,K157),1)*IF(Upgrades!$T$21="Open Cluster",POWER(Upgrades!$U$21,M157),1))+(IF(M157=0,0,(Upgrades!$J$21+M157*Upgrades!$K$21)*POWER(Upgrades!$L$21,M157)))*(IF(Upgrades!$T$13="Moving Group",POWER(Upgrades!$U$13,E157),1)*IF(Upgrades!$T$14="Moving Group",POWER(Upgrades!$U$14,F157),1)*IF(Upgrades!$T$15="Moving Group",POWER(Upgrades!$U$15,G157),1)*IF(Upgrades!$T$16="Moving Group",POWER(Upgrades!$U$16,H157),1)*IF(Upgrades!$T$17="Moving Group",POWER(Upgrades!$U$17,I157),1)*IF(Upgrades!$T$18="Moving Group",POWER(Upgrades!$U$18,J157),1)*IF(Upgrades!$T$19="Moving Group",POWER(Upgrades!$U$19,K157),1)*IF(Upgrades!$T$20="Moving Group",POWER(Upgrades!$U$20,L157),1)))*POWER(Upgrades!$Q$13,E157)*POWER(Upgrades!$Q$14,F157)*POWER(Upgrades!$Q$15,G157)*POWER(Upgrades!$Q$16,H157)*POWER(Upgrades!$Q$17,I157)*POWER(Upgrades!$Q$18,J157)*POWER(Upgrades!$Q$19,K157)*POWER(Upgrades!$Q$20,L157)*POWER(Upgrades!$Q$21,M157)*$G$6+$D$6</f>
        <v/>
      </c>
      <c r="P157" s="28">
        <f>((IF(E157=0,0,(Upgrades!$G$13+E157*Upgrades!$H$13)*POWER(Upgrades!$I$13,E157)))*(IF(Upgrades!$T$14="Stellar Kinematics",POWER(Upgrades!$U$14,F157),1)*IF(Upgrades!$T$15="Stellar Kinematics",POWER(Upgrades!$U$15,G157),1)*IF(Upgrades!$T$16="Stellar Kinematics",POWER(Upgrades!$U$16,H157),1)*IF(Upgrades!$T$17="Stellar Kinematics",POWER(Upgrades!$U$17,I157),1)*IF(Upgrades!$T$18="Stellar Kinematics",POWER(Upgrades!$U$18,J157),1)*IF(Upgrades!$T$19="Stellar Kinematics",POWER(Upgrades!$U$19,K157),1)*IF(Upgrades!$T$20="Stellar Kinematics",POWER(Upgrades!$U$20,L157),1)*IF(Upgrades!$T$21="Stellar Kinematics",POWER(Upgrades!$U$21,M157),1))+(IF(F157=0,0,(Upgrades!$G$14+F157*Upgrades!$H$14)*POWER(Upgrades!$I$14,F157)))*(IF(Upgrades!$T$13="Local Bubble",POWER(Upgrades!$U$13,E157),1)*IF(Upgrades!$T$15="Local Bubble",POWER(Upgrades!$U$15,G157),1)*IF(Upgrades!$T$16="Local Bubble",POWER(Upgrades!$U$16,H157),1)*IF(Upgrades!$T$17="Local Bubble",POWER(Upgrades!$U$17,I157),1)*IF(Upgrades!$T$18="Local Bubble",POWER(Upgrades!$U$18,J157),1)*IF(Upgrades!$T$19="Local Bubble",POWER(Upgrades!$U$19,K157),1)*IF(Upgrades!$T$20="Local Bubble",POWER(Upgrades!$U$20,L157),1)*IF(Upgrades!$T$21="Local Bubble",POWER(Upgrades!$U$21,M157),1))+(IF(G157=0,0,(Upgrades!$G$15+G157*Upgrades!$H$15)*POWER(Upgrades!$I$15,G157)))*(IF(Upgrades!$T$13="Microlensing",POWER(Upgrades!$U$13,E157),1)*IF(Upgrades!$T$14="Microlensing",POWER(Upgrades!$U$14,F157),1)*IF(Upgrades!$T$16="Microlensing",POWER(Upgrades!$U$16,H157),1)*IF(Upgrades!$T$17="Microlensing",POWER(Upgrades!$U$17,I157),1)*IF(Upgrades!$T$18="Microlensing",POWER(Upgrades!$U$18,J157),1)*IF(Upgrades!$T$19="Microlensing",POWER(Upgrades!$U$19,K157),1)*IF(Upgrades!$T$20="Microlensing",POWER(Upgrades!$U$20,L157),1)*IF(Upgrades!$T$21="Microlensing",POWER(Upgrades!$U$21,M157),1))+(IF(H157=0,0,(Upgrades!$G$16+H157*Upgrades!$H$16)*POWER(Upgrades!$I$16,H157)))*(IF(Upgrades!$T$13="Roche Lobe Overflow",POWER(Upgrades!$U$13,E157),1)*IF(Upgrades!$T$14="Roche Lobe Overflow",POWER(Upgrades!$U$14,F157),1)*IF(Upgrades!$T$15="Roche Lobe Overflow",POWER(Upgrades!$U$15,G157),1)*IF(Upgrades!$T$17="Roche Lobe Overflow",POWER(Upgrades!$U$17,I157),1)*IF(Upgrades!$T$18="Roche Lobe Overflow",POWER(Upgrades!$U$18,J157),1)*IF(Upgrades!$T$19="Roche Lobe Overflow",POWER(Upgrades!$U$19,K157),1)*IF(Upgrades!$T$20="Roche Lobe Overflow",POWER(Upgrades!$U$20,L157),1)*IF(Upgrades!$T$21="Roche Lobe Overflow",POWER(Upgrades!$U$21,M157),1))+(IF(I157=0,0,(Upgrades!$G$17+I157*Upgrades!$H$17)*POWER(Upgrades!$I$17,I157)))*(IF(Upgrades!$T$13="Brown Dwarf",POWER(Upgrades!$U$13,E157),1)*IF(Upgrades!$T$14="Brown Dwarf",POWER(Upgrades!$U$14,F157),1)*IF(Upgrades!$T$15="Brown Dwarf",POWER(Upgrades!$U$15,G157),1)*IF(Upgrades!$T$16="Brown Dwarf",POWER(Upgrades!$U$16,H157),1)*IF(Upgrades!$T$18="Brown Dwarf",POWER(Upgrades!$U$18,J157),1)*IF(Upgrades!$T$19="Brown Dwarf",POWER(Upgrades!$U$19,K157),1)*IF(Upgrades!$T$20="Brown Dwarf",POWER(Upgrades!$U$20,L157),1)*IF(Upgrades!$T$21="Brown Dwarf",POWER(Upgrades!$U$21,M157),1))+(IF(J157=0,0,(Upgrades!$G$18+J157*Upgrades!$H$18)*POWER(Upgrades!$I$18,J157)))*(IF(Upgrades!$T$13="Binary Partner",POWER(Upgrades!$U$13,E157),1)*IF(Upgrades!$T$14="Binary Partner",POWER(Upgrades!$U$14,F157),1)*IF(Upgrades!$T$15="Binary Partner",POWER(Upgrades!$U$15,G157),1)*IF(Upgrades!$T$16="Binary Partner",POWER(Upgrades!$U$16,H157),1)*IF(Upgrades!$T$17="Binary Partner",POWER(Upgrades!$U$17,I157),1)*IF(Upgrades!$T$19="Binary Partner",POWER(Upgrades!$U$19,K157),1)*IF(Upgrades!$T$20="Binary Partner",POWER(Upgrades!$U$20,L157),1)*IF(Upgrades!$T$21="Binary Partner",POWER(Upgrades!$U$21,M157),1))+(IF(K157=0,0,(Upgrades!$G$19+K157*Upgrades!$H$19)*POWER(Upgrades!$I$19,K157)))*(IF(Upgrades!$T$13="Peculiar Velocity",POWER(Upgrades!$U$13,E157),1)*IF(Upgrades!$T$14="Peculiar Velocity",POWER(Upgrades!$U$14,F157),1)*IF(Upgrades!$T$15="Peculiar Velocity",POWER(Upgrades!$U$15,G157),1)*IF(Upgrades!$T$16="Peculiar Velocity",POWER(Upgrades!$U$16,H157),1)*IF(Upgrades!$T$17="Peculiar Velocity",POWER(Upgrades!$U$17,I157),1)*IF(Upgrades!$T$18="Peculiar Velocity",POWER(Upgrades!$U$18,J157),1)*IF(Upgrades!$T$20="Peculiar Velocity",POWER(Upgrades!$U$20,L157),1)*IF(Upgrades!$T$21="Peculiar Velocity",POWER(Upgrades!$U$21,M157),1))+(IF(L157=0,0,(Upgrades!$G$20+L157*Upgrades!$H$20)*POWER(Upgrades!$I$20,L157)))*(IF(Upgrades!$T$13="Open Cluster",POWER(Upgrades!$U$13,E157),1)*IF(Upgrades!$T$14="Open Cluster",POWER(Upgrades!$U$14,F157),1)*IF(Upgrades!$T$15="Open Cluster",POWER(Upgrades!$U$15,G157),1)*IF(Upgrades!$T$16="Open Cluster",POWER(Upgrades!$U$16,H157),1)*IF(Upgrades!$T$17="Open Cluster",POWER(Upgrades!$U$17,I157),1)*IF(Upgrades!$T$18="Open Cluster",POWER(Upgrades!$U$18,J157),1)*IF(Upgrades!$T$19="Open Cluster",POWER(Upgrades!$U$19,K157),1)*IF(Upgrades!$T$21="Open Cluster",POWER(Upgrades!$U$21,M157),1))+(IF(M157=0,0,(Upgrades!$G$21+M157*Upgrades!$H$21)*POWER(Upgrades!$I$21,M157)))*(IF(Upgrades!$T$13="Moving Group",POWER(Upgrades!$U$13,E157),1)*IF(Upgrades!$T$14="Moving Group",POWER(Upgrades!$U$14,F157),1)*IF(Upgrades!$T$15="Moving Group",POWER(Upgrades!$U$15,G157),1)*IF(Upgrades!$T$16="Moving Group",POWER(Upgrades!$U$16,H157),1)*IF(Upgrades!$T$17="Moving Group",POWER(Upgrades!$U$17,I157),1)*IF(Upgrades!$T$18="Moving Group",POWER(Upgrades!$U$18,J157),1)*IF(Upgrades!$T$19="Moving Group",POWER(Upgrades!$U$19,K157),1)*IF(Upgrades!$T$20="Moving Group",POWER(Upgrades!$U$20,L157),1)))*POWER(Upgrades!$P$13,E157)*POWER(Upgrades!$P$14,F157)*POWER(Upgrades!$P$15,G157)*POWER(Upgrades!$P$16,H157)*POWER(Upgrades!$P$17,I157)*POWER(Upgrades!$P$18,J157)*POWER(Upgrades!$P$19,K157)*POWER(Upgrades!$P$20,L157)*POWER(Upgrades!$P$21,M157)*$F$6+$C$6</f>
        <v/>
      </c>
      <c r="Q157" s="28">
        <f>((IF(E157=0,0,(Upgrades!$M$13+E157*Upgrades!$N$13)*POWER(Upgrades!$O$13,E157)))*(IF(Upgrades!$T$14="Stellar Kinematics",POWER(Upgrades!$U$14,F157),1)*IF(Upgrades!$T$15="Stellar Kinematics",POWER(Upgrades!$U$15,G157),1)*IF(Upgrades!$T$16="Stellar Kinematics",POWER(Upgrades!$U$16,H157),1)*IF(Upgrades!$T$17="Stellar Kinematics",POWER(Upgrades!$U$17,I157),1)*IF(Upgrades!$T$18="Stellar Kinematics",POWER(Upgrades!$U$18,J157),1)*IF(Upgrades!$T$19="Stellar Kinematics",POWER(Upgrades!$U$19,K157),1)*IF(Upgrades!$T$20="Stellar Kinematics",POWER(Upgrades!$U$20,L157),1)*IF(Upgrades!$T$21="Stellar Kinematics",POWER(Upgrades!$U$21,M157),1))+(IF(F157=0,0,(Upgrades!$M$14+F157*Upgrades!$N$14)*POWER(Upgrades!$O$14,F157)))*(IF(Upgrades!$T$13="Local Bubble",POWER(Upgrades!$U$13,E157),1)*IF(Upgrades!$T$15="Local Bubble",POWER(Upgrades!$U$15,G157),1)*IF(Upgrades!$T$16="Local Bubble",POWER(Upgrades!$U$16,H157),1)*IF(Upgrades!$T$17="Local Bubble",POWER(Upgrades!$U$17,I157),1)*IF(Upgrades!$T$18="Local Bubble",POWER(Upgrades!$U$18,J157),1)*IF(Upgrades!$T$19="Local Bubble",POWER(Upgrades!$U$19,K157),1)*IF(Upgrades!$T$20="Local Bubble",POWER(Upgrades!$U$20,L157),1)*IF(Upgrades!$T$21="Local Bubble",POWER(Upgrades!$U$21,M157),1))+(IF(G157=0,0,(Upgrades!$M$15+G157*Upgrades!$N$15)*POWER(Upgrades!$O$15,G157)))*(IF(Upgrades!$T$13="Microlensing",POWER(Upgrades!$U$13,E157),1)*IF(Upgrades!$T$14="Microlensing",POWER(Upgrades!$U$14,F157),1)*IF(Upgrades!$T$16="Microlensing",POWER(Upgrades!$U$16,H157),1)*IF(Upgrades!$T$17="Microlensing",POWER(Upgrades!$U$17,I157),1)*IF(Upgrades!$T$18="Microlensing",POWER(Upgrades!$U$18,J157),1)*IF(Upgrades!$T$19="Microlensing",POWER(Upgrades!$U$19,K157),1)*IF(Upgrades!$T$20="Microlensing",POWER(Upgrades!$U$20,L157),1)*IF(Upgrades!$T$21="Microlensing",POWER(Upgrades!$U$21,M157),1))+(IF(H157=0,0,(Upgrades!$M$16+H157*Upgrades!$N$16)*POWER(Upgrades!$O$16,H157)))*(IF(Upgrades!$T$13="Roche Lobe Overflow",POWER(Upgrades!$U$13,E157),1)*IF(Upgrades!$T$14="Roche Lobe Overflow",POWER(Upgrades!$U$14,F157),1)*IF(Upgrades!$T$15="Roche Lobe Overflow",POWER(Upgrades!$U$15,G157),1)*IF(Upgrades!$T$17="Roche Lobe Overflow",POWER(Upgrades!$U$17,I157),1)*IF(Upgrades!$T$18="Roche Lobe Overflow",POWER(Upgrades!$U$18,J157),1)*IF(Upgrades!$T$19="Roche Lobe Overflow",POWER(Upgrades!$U$19,K157),1)*IF(Upgrades!$T$20="Roche Lobe Overflow",POWER(Upgrades!$U$20,L157),1)*IF(Upgrades!$T$21="Roche Lobe Overflow",POWER(Upgrades!$U$21,M157),1))+(IF(I157=0,0,(Upgrades!$M$17+I157*Upgrades!$N$17)*POWER(Upgrades!$O$17,I157)))*(IF(Upgrades!$T$13="Brown Dwarf",POWER(Upgrades!$U$13,E157),1)*IF(Upgrades!$T$14="Brown Dwarf",POWER(Upgrades!$U$14,F157),1)*IF(Upgrades!$T$15="Brown Dwarf",POWER(Upgrades!$U$15,G157),1)*IF(Upgrades!$T$16="Brown Dwarf",POWER(Upgrades!$U$16,H157),1)*IF(Upgrades!$T$18="Brown Dwarf",POWER(Upgrades!$U$18,J157),1)*IF(Upgrades!$T$19="Brown Dwarf",POWER(Upgrades!$U$19,K157),1)*IF(Upgrades!$T$20="Brown Dwarf",POWER(Upgrades!$U$20,L157),1)*IF(Upgrades!$T$21="Brown Dwarf",POWER(Upgrades!$U$21,M157),1))+(IF(J157=0,0,(Upgrades!$M$18+J157*Upgrades!$N$18)*POWER(Upgrades!$O$18,J157)))*(IF(Upgrades!$T$13="Binary Partner",POWER(Upgrades!$U$13,E157),1)*IF(Upgrades!$T$14="Binary Partner",POWER(Upgrades!$U$14,F157),1)*IF(Upgrades!$T$15="Binary Partner",POWER(Upgrades!$U$15,G157),1)*IF(Upgrades!$T$16="Binary Partner",POWER(Upgrades!$U$16,H157),1)*IF(Upgrades!$T$17="Binary Partner",POWER(Upgrades!$U$17,I157),1)*IF(Upgrades!$T$19="Binary Partner",POWER(Upgrades!$U$19,K157),1)*IF(Upgrades!$T$20="Binary Partner",POWER(Upgrades!$U$20,L157),1)*IF(Upgrades!$T$21="Binary Partner",POWER(Upgrades!$U$21,M157),1))+(IF(K157=0,0,(Upgrades!$M$19+K157*Upgrades!$N$19)*POWER(Upgrades!$O$19,K157)))*(IF(Upgrades!$T$13="Peculiar Velocity",POWER(Upgrades!$U$13,E157),1)*IF(Upgrades!$T$14="Peculiar Velocity",POWER(Upgrades!$U$14,F157),1)*IF(Upgrades!$T$15="Peculiar Velocity",POWER(Upgrades!$U$15,G157),1)*IF(Upgrades!$T$16="Peculiar Velocity",POWER(Upgrades!$U$16,H157),1)*IF(Upgrades!$T$17="Peculiar Velocity",POWER(Upgrades!$U$17,I157),1)*IF(Upgrades!$T$18="Peculiar Velocity",POWER(Upgrades!$U$18,J157),1)*IF(Upgrades!$T$20="Peculiar Velocity",POWER(Upgrades!$U$20,L157),1)*IF(Upgrades!$T$21="Peculiar Velocity",POWER(Upgrades!$U$21,M157),1))+(IF(L157=0,0,(Upgrades!$M$20+L157*Upgrades!$N$20)*POWER(Upgrades!$O$20,L157)))*(IF(Upgrades!$T$13="Open Cluster",POWER(Upgrades!$U$13,E157),1)*IF(Upgrades!$T$14="Open Cluster",POWER(Upgrades!$U$14,F157),1)*IF(Upgrades!$T$15="Open Cluster",POWER(Upgrades!$U$15,G157),1)*IF(Upgrades!$T$16="Open Cluster",POWER(Upgrades!$U$16,H157),1)*IF(Upgrades!$T$17="Open Cluster",POWER(Upgrades!$U$17,I157),1)*IF(Upgrades!$T$18="Open Cluster",POWER(Upgrades!$U$18,J157),1)*IF(Upgrades!$T$19="Open Cluster",POWER(Upgrades!$U$19,K157),1)*IF(Upgrades!$T$21="Open Cluster",POWER(Upgrades!$U$21,M157),1))+(IF(M157=0,0,(Upgrades!$M$21+M157*Upgrades!$N$21)*POWER(Upgrades!$O$21,M157)))*(IF(Upgrades!$T$13="Moving Group",POWER(Upgrades!$U$13,E157),1)*IF(Upgrades!$T$14="Moving Group",POWER(Upgrades!$U$14,F157),1)*IF(Upgrades!$T$15="Moving Group",POWER(Upgrades!$U$15,G157),1)*IF(Upgrades!$T$16="Moving Group",POWER(Upgrades!$U$16,H157),1)*IF(Upgrades!$T$17="Moving Group",POWER(Upgrades!$U$17,I157),1)*IF(Upgrades!$T$18="Moving Group",POWER(Upgrades!$U$18,J157),1)*IF(Upgrades!$T$19="Moving Group",POWER(Upgrades!$U$19,K157),1)*IF(Upgrades!$T$20="Moving Group",POWER(Upgrades!$U$20,L157),1)))*POWER(Upgrades!$R$13,E157)*POWER(Upgrades!$R$14,F157)*POWER(Upgrades!$R$15,G157)*POWER(Upgrades!$R$16,H157)*POWER(Upgrades!$R$17,I157)*POWER(Upgrades!$R$18,J157)*POWER(Upgrades!$R$19,K157)*POWER(Upgrades!$R$20,L157)*POWER(Upgrades!$R$21,M157)*$H$6+$E$6</f>
        <v/>
      </c>
      <c r="R157" s="27">
        <f>IF(N157=1,0,O157*Parameters!$B$10/60*Parameters!$B$11*10)</f>
        <v/>
      </c>
      <c r="S157" s="27">
        <f>IF(N157=1,0,Q157*O157*10)</f>
        <v/>
      </c>
      <c r="T157" s="27">
        <f>IF(N157=1,0,R157+S157+P157*10)</f>
        <v/>
      </c>
      <c r="U157" s="33">
        <f>BE157</f>
        <v/>
      </c>
      <c r="V157" s="22">
        <f>IF(U157="",0,IF(U157="transition",0,IF(U157="SK",AK157,IF(U157="LB",AL157,IF(U157="ML",AM157,IF(U157="RLO",AN157,IF(U157="BD",AO157,IF(U157="BiP",AP157,IF(U157="PV",AQ157,IF(U157="OC",AR157,IF(U157="MG",AS157,0))))))))))</f>
        <v/>
      </c>
      <c r="W157" s="27">
        <f>IF(U157="BiP",Upgrades!$F$18,IF(U157="PV",Upgrades!$F$19,IF(U157="OC",Upgrades!$F$20,IF(U157="MG",Upgrades!$F$21,IF(U157="transition",-Parameters!$B$18*Parameters!$B$19,0)))))</f>
        <v/>
      </c>
      <c r="X157" s="22">
        <f>C157+T157-V157</f>
        <v/>
      </c>
      <c r="Y157" s="30">
        <f>O157*Parameters!$B$10/60*Parameters!$B$11+Q157*O157+P157</f>
        <v/>
      </c>
      <c r="Z157" s="34">
        <f>IF(U157="transition","→ Tier 3 (Galactic Arm)",IF(U157="MG","Moving Group — pocket drifts together",IF(U157="OC","Open Cluster acquired",IF(U157="PV","Peculiar Velocity — passive multiplier active",IF(U157="BiP","Binary Partner — pair bond formed",IF(AND(AU157=1,N157=0,AT157&lt;&gt;1),"Cohesion ready (waiting on completionists)","")))))) </f>
        <v/>
      </c>
      <c r="AA157" s="27">
        <f>(IF(E157=0,0,(Upgrades!$G$13+E157*Upgrades!$H$13)*POWER(Upgrades!$I$13,E157)))*(IF(Upgrades!$T$14="Stellar Kinematics",POWER(Upgrades!$U$14,F157),1)*IF(Upgrades!$T$15="Stellar Kinematics",POWER(Upgrades!$U$15,G157),1)*IF(Upgrades!$T$16="Stellar Kinematics",POWER(Upgrades!$U$16,H157),1)*IF(Upgrades!$T$17="Stellar Kinematics",POWER(Upgrades!$U$17,I157),1)*IF(Upgrades!$T$18="Stellar Kinematics",POWER(Upgrades!$U$18,J157),1)*IF(Upgrades!$T$19="Stellar Kinematics",POWER(Upgrades!$U$19,K157),1)*IF(Upgrades!$T$20="Stellar Kinematics",POWER(Upgrades!$U$20,L157),1)*IF(Upgrades!$T$21="Stellar Kinematics",POWER(Upgrades!$U$21,M157),1))*POWER(Upgrades!$P$13,E157)*POWER(Upgrades!$P$14,F157)*POWER(Upgrades!$P$15,G157)*POWER(Upgrades!$P$16,H157)*POWER(Upgrades!$P$17,I157)*POWER(Upgrades!$P$18,J157)*POWER(Upgrades!$P$19,K157)*POWER(Upgrades!$P$20,L157)*POWER(Upgrades!$P$21,M157)*$F$6*60</f>
        <v/>
      </c>
      <c r="AB157" s="27">
        <f>(IF(F157=0,0,(Upgrades!$G$14+F157*Upgrades!$H$14)*POWER(Upgrades!$I$14,F157)))*(IF(Upgrades!$T$13="Local Bubble",POWER(Upgrades!$U$13,E157),1)*IF(Upgrades!$T$15="Local Bubble",POWER(Upgrades!$U$15,G157),1)*IF(Upgrades!$T$16="Local Bubble",POWER(Upgrades!$U$16,H157),1)*IF(Upgrades!$T$17="Local Bubble",POWER(Upgrades!$U$17,I157),1)*IF(Upgrades!$T$18="Local Bubble",POWER(Upgrades!$U$18,J157),1)*IF(Upgrades!$T$19="Local Bubble",POWER(Upgrades!$U$19,K157),1)*IF(Upgrades!$T$20="Local Bubble",POWER(Upgrades!$U$20,L157),1)*IF(Upgrades!$T$21="Local Bubble",POWER(Upgrades!$U$21,M157),1))*POWER(Upgrades!$P$13,E157)*POWER(Upgrades!$P$14,F157)*POWER(Upgrades!$P$15,G157)*POWER(Upgrades!$P$16,H157)*POWER(Upgrades!$P$17,I157)*POWER(Upgrades!$P$18,J157)*POWER(Upgrades!$P$19,K157)*POWER(Upgrades!$P$20,L157)*POWER(Upgrades!$P$21,M157)*$F$6*60</f>
        <v/>
      </c>
      <c r="AC157" s="27">
        <f>(IF(G157=0,0,(Upgrades!$J$15+G157*Upgrades!$K$15)*POWER(Upgrades!$L$15,G157)))*(IF(Upgrades!$T$13="Microlensing",POWER(Upgrades!$U$13,E157),1)*IF(Upgrades!$T$14="Microlensing",POWER(Upgrades!$U$14,F157),1)*IF(Upgrades!$T$16="Microlensing",POWER(Upgrades!$U$16,H157),1)*IF(Upgrades!$T$17="Microlensing",POWER(Upgrades!$U$17,I157),1)*IF(Upgrades!$T$18="Microlensing",POWER(Upgrades!$U$18,J157),1)*IF(Upgrades!$T$19="Microlensing",POWER(Upgrades!$U$19,K157),1)*IF(Upgrades!$T$20="Microlensing",POWER(Upgrades!$U$20,L157),1)*IF(Upgrades!$T$21="Microlensing",POWER(Upgrades!$U$21,M157),1))*POWER(Upgrades!$Q$13,E157)*POWER(Upgrades!$Q$14,F157)*POWER(Upgrades!$Q$15,G157)*POWER(Upgrades!$Q$16,H157)*POWER(Upgrades!$Q$17,I157)*POWER(Upgrades!$Q$18,J157)*POWER(Upgrades!$Q$19,K157)*POWER(Upgrades!$Q$20,L157)*POWER(Upgrades!$Q$21,M157)*$G$6*(Parameters!$B$10*Parameters!$B$11+Q157*60)</f>
        <v/>
      </c>
      <c r="AD157" s="27">
        <f>(IF(H157=0,0,(Upgrades!$M$16+H157*Upgrades!$N$16)*POWER(Upgrades!$O$16,H157)))*(IF(Upgrades!$T$13="Roche Lobe Overflow",POWER(Upgrades!$U$13,E157),1)*IF(Upgrades!$T$14="Roche Lobe Overflow",POWER(Upgrades!$U$14,F157),1)*IF(Upgrades!$T$15="Roche Lobe Overflow",POWER(Upgrades!$U$15,G157),1)*IF(Upgrades!$T$17="Roche Lobe Overflow",POWER(Upgrades!$U$17,I157),1)*IF(Upgrades!$T$18="Roche Lobe Overflow",POWER(Upgrades!$U$18,J157),1)*IF(Upgrades!$T$19="Roche Lobe Overflow",POWER(Upgrades!$U$19,K157),1)*IF(Upgrades!$T$20="Roche Lobe Overflow",POWER(Upgrades!$U$20,L157),1)*IF(Upgrades!$T$21="Roche Lobe Overflow",POWER(Upgrades!$U$21,M157),1))*POWER(Upgrades!$R$13,E157)*POWER(Upgrades!$R$14,F157)*POWER(Upgrades!$R$15,G157)*POWER(Upgrades!$R$16,H157)*POWER(Upgrades!$R$17,I157)*POWER(Upgrades!$R$18,J157)*POWER(Upgrades!$R$19,K157)*POWER(Upgrades!$R$20,L157)*POWER(Upgrades!$R$21,M157)*$H$6*O157*60</f>
        <v/>
      </c>
      <c r="AE157" s="27">
        <f>(IF(I157=0,0,(Upgrades!$G$17+I157*Upgrades!$H$17)*POWER(Upgrades!$I$17,I157)))*(IF(Upgrades!$T$13="Brown Dwarf",POWER(Upgrades!$U$13,E157),1)*IF(Upgrades!$T$14="Brown Dwarf",POWER(Upgrades!$U$14,F157),1)*IF(Upgrades!$T$15="Brown Dwarf",POWER(Upgrades!$U$15,G157),1)*IF(Upgrades!$T$16="Brown Dwarf",POWER(Upgrades!$U$16,H157),1)*IF(Upgrades!$T$18="Brown Dwarf",POWER(Upgrades!$U$18,J157),1)*IF(Upgrades!$T$19="Brown Dwarf",POWER(Upgrades!$U$19,K157),1)*IF(Upgrades!$T$20="Brown Dwarf",POWER(Upgrades!$U$20,L157),1)*IF(Upgrades!$T$21="Brown Dwarf",POWER(Upgrades!$U$21,M157),1))*POWER(Upgrades!$P$13,E157)*POWER(Upgrades!$P$14,F157)*POWER(Upgrades!$P$15,G157)*POWER(Upgrades!$P$16,H157)*POWER(Upgrades!$P$17,I157)*POWER(Upgrades!$P$18,J157)*POWER(Upgrades!$P$19,K157)*POWER(Upgrades!$P$20,L157)*POWER(Upgrades!$P$21,M157)*$F$6*60</f>
        <v/>
      </c>
      <c r="AF157" s="27" t="n">
        <v>0</v>
      </c>
      <c r="AG157" s="27" t="n">
        <v>0</v>
      </c>
      <c r="AH157" s="27" t="n">
        <v>0</v>
      </c>
      <c r="AI157" s="27">
        <f>(IF(M157=0,0,(Upgrades!$G$21+M157*Upgrades!$H$21)*POWER(Upgrades!$I$21,M157)))*(IF(Upgrades!$T$13="Moving Group",POWER(Upgrades!$U$13,E157),1)*IF(Upgrades!$T$14="Moving Group",POWER(Upgrades!$U$14,F157),1)*IF(Upgrades!$T$15="Moving Group",POWER(Upgrades!$U$15,G157),1)*IF(Upgrades!$T$16="Moving Group",POWER(Upgrades!$U$16,H157),1)*IF(Upgrades!$T$17="Moving Group",POWER(Upgrades!$U$17,I157),1)*IF(Upgrades!$T$18="Moving Group",POWER(Upgrades!$U$18,J157),1)*IF(Upgrades!$T$19="Moving Group",POWER(Upgrades!$U$19,K157),1)*IF(Upgrades!$T$20="Moving Group",POWER(Upgrades!$U$20,L157),1))*POWER(Upgrades!$P$13,E157)*POWER(Upgrades!$P$14,F157)*POWER(Upgrades!$P$15,G157)*POWER(Upgrades!$P$16,H157)*POWER(Upgrades!$P$17,I157)*POWER(Upgrades!$P$18,J157)*POWER(Upgrades!$P$19,K157)*POWER(Upgrades!$P$20,L157)*POWER(Upgrades!$P$21,M157)*$F$6*60</f>
        <v/>
      </c>
      <c r="AJ157" s="27">
        <f>$C$6*60</f>
        <v/>
      </c>
      <c r="AK157" s="22">
        <f>IF(E157&gt;=Upgrades!$E$13,"",Upgrades!$C$13*POWER(Upgrades!$D$13,E157))</f>
        <v/>
      </c>
      <c r="AL157" s="22">
        <f>IF(F157&gt;=Upgrades!$E$14,"",Upgrades!$C$14*POWER(Upgrades!$D$14,F157))</f>
        <v/>
      </c>
      <c r="AM157" s="22">
        <f>IF(G157&gt;=Upgrades!$E$15,"",Upgrades!$C$15*POWER(Upgrades!$D$15,G157))</f>
        <v/>
      </c>
      <c r="AN157" s="22">
        <f>IF(H157&gt;=Upgrades!$E$16,"",Upgrades!$C$16*POWER(Upgrades!$D$16,H157))</f>
        <v/>
      </c>
      <c r="AO157" s="22">
        <f>IF(I157&gt;=Upgrades!$E$17,"",Upgrades!$C$17*POWER(Upgrades!$D$17,I157))</f>
        <v/>
      </c>
      <c r="AP157" s="22">
        <f>IF(J157&gt;=Upgrades!$E$18,"",Upgrades!$C$18*POWER(Upgrades!$D$18,J157))</f>
        <v/>
      </c>
      <c r="AQ157" s="22">
        <f>IF(K157&gt;=Upgrades!$E$19,"",Upgrades!$C$19*POWER(Upgrades!$D$19,K157))</f>
        <v/>
      </c>
      <c r="AR157" s="22">
        <f>IF(L157&gt;=Upgrades!$E$20,"",Upgrades!$C$20*POWER(Upgrades!$D$20,L157))</f>
        <v/>
      </c>
      <c r="AS157" s="22">
        <f>IF(M157&gt;=Upgrades!$E$21,"",Upgrades!$C$21*POWER(Upgrades!$D$21,M157))</f>
        <v/>
      </c>
      <c r="AT157" s="26">
        <f>IF(AND(D157&gt;=Parameters!$B$18*Parameters!$B$19,(I157&gt;=Upgrades!$E$17)*(M157&gt;=Upgrades!$E$21)=1,N157=0),1,"")</f>
        <v/>
      </c>
      <c r="AU157" s="26">
        <f>IF(AND(D157&gt;=Parameters!$B$18*Parameters!$B$19,N157=0),1,"")</f>
        <v/>
      </c>
      <c r="AV157" s="22">
        <f>MIN(IF(ISNUMBER(AP157),AP157,9E15),IF(ISNUMBER(AQ157),AQ157,9E15),IF(ISNUMBER(AR157),AR157,9E15),IF(ISNUMBER(AS157),AS157,9E15))</f>
        <v/>
      </c>
      <c r="AW157" s="22">
        <f>MIN(IF(ISNUMBER(AK157),AK157,9E15),IF(ISNUMBER(AL157),AL157,9E15),IF(ISNUMBER(AM157),AM157,9E15),IF(ISNUMBER(AN157),AN157,9E15),IF(ISNUMBER(AO157),AO157,9E15))</f>
        <v/>
      </c>
      <c r="AX157" s="29">
        <f>IF(BD157&gt;Parameters!$B$21*(MAX(IF(AND(NOT(AND(AU157=1,AT157&lt;&gt;1)),ISNUMBER(AK157),AK157&lt;=(C157+T157)),AY157,0),IF(AND(NOT(AND(AU157=1,AT157&lt;&gt;1)),ISNUMBER(AL157),AL157&lt;=(C157+T157)),AZ157,0),IF(AND(NOT(AND(AU157=1,AT157&lt;&gt;1)),ISNUMBER(AM157),AM157&lt;=(C157+T157)),BA157,0),IF(AND(NOT(AND(AU157=1,AT157&lt;&gt;1)),ISNUMBER(AN157),AN157&lt;=(C157+T157)),BB157,0),IF(AND(ISNUMBER(AO157),AO157&lt;=(C157+T157)),BC157,0))),TRUE,FALSE)</f>
        <v/>
      </c>
      <c r="AY157" s="32">
        <f>IFERROR(Upgrades!$H$13*(POWER(Upgrades!$P$13,E157)*POWER(Upgrades!$P$14,F157)*POWER(Upgrades!$P$15,G157)*POWER(Upgrades!$P$16,H157)*POWER(Upgrades!$P$17,I157)*POWER(Upgrades!$P$18,J157)*POWER(Upgrades!$P$19,K157)*POWER(Upgrades!$P$20,L157)*POWER(Upgrades!$P$21,M157))*(IF(Upgrades!$T$14="Stellar Kinematics",POWER(Upgrades!$U$14,F157),1)*IF(Upgrades!$T$15="Stellar Kinematics",POWER(Upgrades!$U$15,G157),1)*IF(Upgrades!$T$16="Stellar Kinematics",POWER(Upgrades!$U$16,H157),1)*IF(Upgrades!$T$17="Stellar Kinematics",POWER(Upgrades!$U$17,I157),1)*IF(Upgrades!$T$18="Stellar Kinematics",POWER(Upgrades!$U$18,J157),1)*IF(Upgrades!$T$19="Stellar Kinematics",POWER(Upgrades!$U$19,K157),1)*IF(Upgrades!$T$20="Stellar Kinematics",POWER(Upgrades!$U$20,L157),1)*IF(Upgrades!$T$21="Stellar Kinematics",POWER(Upgrades!$U$21,M157),1))*$F$6/AK157,0)</f>
        <v/>
      </c>
      <c r="AZ157" s="32">
        <f>IFERROR(Upgrades!$H$14*(POWER(Upgrades!$P$13,E157)*POWER(Upgrades!$P$14,F157)*POWER(Upgrades!$P$15,G157)*POWER(Upgrades!$P$16,H157)*POWER(Upgrades!$P$17,I157)*POWER(Upgrades!$P$18,J157)*POWER(Upgrades!$P$19,K157)*POWER(Upgrades!$P$20,L157)*POWER(Upgrades!$P$21,M157))*(IF(Upgrades!$T$13="Local Bubble",POWER(Upgrades!$U$13,E157),1)*IF(Upgrades!$T$15="Local Bubble",POWER(Upgrades!$U$15,G157),1)*IF(Upgrades!$T$16="Local Bubble",POWER(Upgrades!$U$16,H157),1)*IF(Upgrades!$T$17="Local Bubble",POWER(Upgrades!$U$17,I157),1)*IF(Upgrades!$T$18="Local Bubble",POWER(Upgrades!$U$18,J157),1)*IF(Upgrades!$T$19="Local Bubble",POWER(Upgrades!$U$19,K157),1)*IF(Upgrades!$T$20="Local Bubble",POWER(Upgrades!$U$20,L157),1)*IF(Upgrades!$T$21="Local Bubble",POWER(Upgrades!$U$21,M157),1))*$F$6/AL157,0)</f>
        <v/>
      </c>
      <c r="BA157" s="32">
        <f>IFERROR(Upgrades!$K$15*(POWER(Upgrades!$Q$13,E157)*POWER(Upgrades!$Q$14,F157)*POWER(Upgrades!$Q$15,G157)*POWER(Upgrades!$Q$16,H157)*POWER(Upgrades!$Q$17,I157)*POWER(Upgrades!$Q$18,J157)*POWER(Upgrades!$Q$19,K157)*POWER(Upgrades!$Q$20,L157)*POWER(Upgrades!$Q$21,M157))*(IF(Upgrades!$T$13="Microlensing",POWER(Upgrades!$U$13,E157),1)*IF(Upgrades!$T$14="Microlensing",POWER(Upgrades!$U$14,F157),1)*IF(Upgrades!$T$16="Microlensing",POWER(Upgrades!$U$16,H157),1)*IF(Upgrades!$T$17="Microlensing",POWER(Upgrades!$U$17,I157),1)*IF(Upgrades!$T$18="Microlensing",POWER(Upgrades!$U$18,J157),1)*IF(Upgrades!$T$19="Microlensing",POWER(Upgrades!$U$19,K157),1)*IF(Upgrades!$T$20="Microlensing",POWER(Upgrades!$U$20,L157),1)*IF(Upgrades!$T$21="Microlensing",POWER(Upgrades!$U$21,M157),1))*$G$6*(Parameters!$B$10/60*Parameters!$B$11+Q157)/AM157,0)</f>
        <v/>
      </c>
      <c r="BB157" s="32">
        <f>IFERROR((Upgrades!$N$16*(POWER(Upgrades!$R$13,E157)*POWER(Upgrades!$R$14,F157)*POWER(Upgrades!$R$15,G157)*POWER(Upgrades!$R$16,H157)*POWER(Upgrades!$R$17,I157)*POWER(Upgrades!$R$18,J157)*POWER(Upgrades!$R$19,K157)*POWER(Upgrades!$R$20,L157)*POWER(Upgrades!$R$21,M157))*(IF(Upgrades!$T$13="Roche Lobe Overflow",POWER(Upgrades!$U$13,E157),1)*IF(Upgrades!$T$14="Roche Lobe Overflow",POWER(Upgrades!$U$14,F157),1)*IF(Upgrades!$T$15="Roche Lobe Overflow",POWER(Upgrades!$U$15,G157),1)*IF(Upgrades!$T$17="Roche Lobe Overflow",POWER(Upgrades!$U$17,I157),1)*IF(Upgrades!$T$18="Roche Lobe Overflow",POWER(Upgrades!$U$18,J157),1)*IF(Upgrades!$T$19="Roche Lobe Overflow",POWER(Upgrades!$U$19,K157),1)*IF(Upgrades!$T$20="Roche Lobe Overflow",POWER(Upgrades!$U$20,L157),1)*IF(Upgrades!$T$21="Roche Lobe Overflow",POWER(Upgrades!$U$21,M157),1))*$H$6*O157+((IF(F157=0,0,(Upgrades!$G$14+F157*Upgrades!$H$14)*POWER(Upgrades!$I$14,F157)))*(IF(Upgrades!$T$13="Local Bubble",POWER(Upgrades!$U$13,E157),1)*IF(Upgrades!$T$15="Local Bubble",POWER(Upgrades!$U$15,G157),1)*IF(Upgrades!$T$16="Local Bubble",POWER(Upgrades!$U$16,H157),1)*IF(Upgrades!$T$17="Local Bubble",POWER(Upgrades!$U$17,I157),1)*IF(Upgrades!$T$18="Local Bubble",POWER(Upgrades!$U$18,J157),1)*IF(Upgrades!$T$19="Local Bubble",POWER(Upgrades!$U$19,K157),1)*IF(Upgrades!$T$20="Local Bubble",POWER(Upgrades!$U$20,L157),1)*IF(Upgrades!$T$21="Local Bubble",POWER(Upgrades!$U$21,M157),1))*POWER(Upgrades!$P$13,E157)*POWER(Upgrades!$P$14,F157)*POWER(Upgrades!$P$15,G157)*POWER(Upgrades!$P$16,H157)*POWER(Upgrades!$P$17,I157)*POWER(Upgrades!$P$18,J157)*POWER(Upgrades!$P$19,K157)*POWER(Upgrades!$P$20,L157)*POWER(Upgrades!$P$21,M157)*$F$6)*0.05)/AN157,0)</f>
        <v/>
      </c>
      <c r="BC157" s="32">
        <f>IFERROR((Upgrades!$H$17*(POWER(Upgrades!$P$13,E157)*POWER(Upgrades!$P$14,F157)*POWER(Upgrades!$P$15,G157)*POWER(Upgrades!$P$16,H157)*POWER(Upgrades!$P$17,I157)*POWER(Upgrades!$P$18,J157)*POWER(Upgrades!$P$19,K157)*POWER(Upgrades!$P$20,L157)*POWER(Upgrades!$P$21,M157))*(IF(Upgrades!$T$13="Brown Dwarf",POWER(Upgrades!$U$13,E157),1)*IF(Upgrades!$T$14="Brown Dwarf",POWER(Upgrades!$U$14,F157),1)*IF(Upgrades!$T$15="Brown Dwarf",POWER(Upgrades!$U$15,G157),1)*IF(Upgrades!$T$16="Brown Dwarf",POWER(Upgrades!$U$16,H157),1)*IF(Upgrades!$T$18="Brown Dwarf",POWER(Upgrades!$U$18,J157),1)*IF(Upgrades!$T$19="Brown Dwarf",POWER(Upgrades!$U$19,K157),1)*IF(Upgrades!$T$20="Brown Dwarf",POWER(Upgrades!$U$20,L157),1)*IF(Upgrades!$T$21="Brown Dwarf",POWER(Upgrades!$U$21,M157),1))*$F$6+(((IF(H157=0,0,(Upgrades!$M$16+H157*Upgrades!$N$16)*POWER(Upgrades!$O$16,H157)))*(IF(Upgrades!$T$13="Roche Lobe Overflow",POWER(Upgrades!$U$13,E157),1)*IF(Upgrades!$T$14="Roche Lobe Overflow",POWER(Upgrades!$U$14,F157),1)*IF(Upgrades!$T$15="Roche Lobe Overflow",POWER(Upgrades!$U$15,G157),1)*IF(Upgrades!$T$17="Roche Lobe Overflow",POWER(Upgrades!$U$17,I157),1)*IF(Upgrades!$T$18="Roche Lobe Overflow",POWER(Upgrades!$U$18,J157),1)*IF(Upgrades!$T$19="Roche Lobe Overflow",POWER(Upgrades!$U$19,K157),1)*IF(Upgrades!$T$20="Roche Lobe Overflow",POWER(Upgrades!$U$20,L157),1)*IF(Upgrades!$T$21="Roche Lobe Overflow",POWER(Upgrades!$U$21,M157),1))*POWER(Upgrades!$R$13,E157)*POWER(Upgrades!$R$14,F157)*POWER(Upgrades!$R$15,G157)*POWER(Upgrades!$R$16,H157)*POWER(Upgrades!$R$17,I157)*POWER(Upgrades!$R$18,J157)*POWER(Upgrades!$R$19,K157)*POWER(Upgrades!$R$20,L157)*POWER(Upgrades!$R$21,M157)*$H$6)*O157)*0.10)/AO157,0)</f>
        <v/>
      </c>
      <c r="BD157" s="32">
        <f>MAX(IF(J157&gt;0,0,IFERROR(0.5*((IF(G157=0,0,(Upgrades!$J$15+G157*Upgrades!$K$15)*POWER(Upgrades!$L$15,G157)))*(IF(Upgrades!$T$13="Microlensing",POWER(Upgrades!$U$13,E157),1)*IF(Upgrades!$T$14="Microlensing",POWER(Upgrades!$U$14,F157),1)*IF(Upgrades!$T$16="Microlensing",POWER(Upgrades!$U$16,H157),1)*IF(Upgrades!$T$17="Microlensing",POWER(Upgrades!$U$17,I157),1)*IF(Upgrades!$T$18="Microlensing",POWER(Upgrades!$U$18,J157),1)*IF(Upgrades!$T$19="Microlensing",POWER(Upgrades!$U$19,K157),1)*IF(Upgrades!$T$20="Microlensing",POWER(Upgrades!$U$20,L157),1)*IF(Upgrades!$T$21="Microlensing",POWER(Upgrades!$U$21,M157),1))*(POWER(Upgrades!$Q$13,E157)*POWER(Upgrades!$Q$14,F157)*POWER(Upgrades!$Q$15,G157)*POWER(Upgrades!$Q$16,H157)*POWER(Upgrades!$Q$17,I157)*POWER(Upgrades!$Q$18,J157)*POWER(Upgrades!$Q$19,K157)*POWER(Upgrades!$Q$20,L157)*POWER(Upgrades!$Q$21,M157))*$G$6*(Parameters!$B$10/60*Parameters!$B$11+Q157))/Upgrades!$C$18,0)),IF(K157&gt;0,0,IFERROR(0.30*P157/Upgrades!$C$19,0)),IF(L157&gt;0,0,IFERROR(0.0001/Upgrades!$C$20,0)),IF(M157&gt;0,0,IFERROR((6.0*(POWER(Upgrades!$P$13,E157)*POWER(Upgrades!$P$14,F157)*POWER(Upgrades!$P$15,G157)*POWER(Upgrades!$P$16,H157)*POWER(Upgrades!$P$17,I157)*POWER(Upgrades!$P$18,J157)*POWER(Upgrades!$P$19,K157)*POWER(Upgrades!$P$20,L157)*POWER(Upgrades!$P$21,M157))*$F$6+0.20*O157*(Parameters!$B$10/60*Parameters!$B$11+Q157))/Upgrades!$C$21,0)),IF(AND(ISNUMBER(AK157),AK157&gt;(C157+T157)),AY157,0),IF(AND(ISNUMBER(AL157),AL157&gt;(C157+T157)),AZ157,0),IF(AND(ISNUMBER(AM157),AM157&gt;(C157+T157)),BA157,0),IF(AND(ISNUMBER(AN157),AN157&gt;(C157+T157)),BB157,0),IF(AND(ISNUMBER(AO157),AO157&gt;(C157+T157)),BC157,0))</f>
        <v/>
      </c>
      <c r="BE157" s="29">
        <f>IF(AT157=1,"transition",IF(MIN(IF(AND(J157=0,ISNUMBER(AP157),AP157&lt;=(C157+T157)),AP157,9E15),IF(AND(K157=0,ISNUMBER(AQ157),AQ157&lt;=(C157+T157)),AQ157,9E15),IF(AND(L157=0,ISNUMBER(AR157),AR157&lt;=(C157+T157)),AR157,9E15),IF(AND(M157=0,ISNUMBER(AS157),AS157&lt;=(C157+T157)),AS157,9E15))&lt;9E15,IF(AND(AND(J157=0,ISNUMBER(AP157),AP157&lt;=(C157+T157)),AP157=MIN(IF(AND(J157=0,ISNUMBER(AP157),AP157&lt;=(C157+T157)),AP157,9E15),IF(AND(K157=0,ISNUMBER(AQ157),AQ157&lt;=(C157+T157)),AQ157,9E15),IF(AND(L157=0,ISNUMBER(AR157),AR157&lt;=(C157+T157)),AR157,9E15),IF(AND(M157=0,ISNUMBER(AS157),AS157&lt;=(C157+T157)),AS157,9E15))),"BiP",IF(AND(AND(K157=0,ISNUMBER(AQ157),AQ157&lt;=(C157+T157)),AQ157=MIN(IF(AND(J157=0,ISNUMBER(AP157),AP157&lt;=(C157+T157)),AP157,9E15),IF(AND(K157=0,ISNUMBER(AQ157),AQ157&lt;=(C157+T157)),AQ157,9E15),IF(AND(L157=0,ISNUMBER(AR157),AR157&lt;=(C157+T157)),AR157,9E15),IF(AND(M157=0,ISNUMBER(AS157),AS157&lt;=(C157+T157)),AS157,9E15))),"PV",IF(AND(AND(L157=0,ISNUMBER(AR157),AR157&lt;=(C157+T157)),AR157=MIN(IF(AND(J157=0,ISNUMBER(AP157),AP157&lt;=(C157+T157)),AP157,9E15),IF(AND(K157=0,ISNUMBER(AQ157),AQ157&lt;=(C157+T157)),AQ157,9E15),IF(AND(L157=0,ISNUMBER(AR157),AR157&lt;=(C157+T157)),AR157,9E15),IF(AND(M157=0,ISNUMBER(AS157),AS157&lt;=(C157+T157)),AS157,9E15))),"OC","MG"))),IF(AX157=TRUE,"",IF(MAX(IF(AND(NOT(AND(AU157=1,AT157&lt;&gt;1)),ISNUMBER(AK157),AK157&lt;=(C157+T157)),AY157,0),IF(AND(NOT(AND(AU157=1,AT157&lt;&gt;1)),ISNUMBER(AL157),AL157&lt;=(C157+T157)),AZ157,0),IF(AND(NOT(AND(AU157=1,AT157&lt;&gt;1)),ISNUMBER(AM157),AM157&lt;=(C157+T157)),BA157,0),IF(AND(NOT(AND(AU157=1,AT157&lt;&gt;1)),ISNUMBER(AN157),AN157&lt;=(C157+T157)),BB157,0),IF(AND(ISNUMBER(AO157),AO157&lt;=(C157+T157)),BC157,0))&lt;=0,"",IF(AND(IF(AND(NOT(AND(AU157=1,AT157&lt;&gt;1)),ISNUMBER(AK157),AK157&lt;=(C157+T157)),AY157,0)&gt;0,IF(AND(NOT(AND(AU157=1,AT157&lt;&gt;1)),ISNUMBER(AK157),AK157&lt;=(C157+T157)),AY157,0)=MAX(IF(AND(NOT(AND(AU157=1,AT157&lt;&gt;1)),ISNUMBER(AK157),AK157&lt;=(C157+T157)),AY157,0),IF(AND(NOT(AND(AU157=1,AT157&lt;&gt;1)),ISNUMBER(AL157),AL157&lt;=(C157+T157)),AZ157,0),IF(AND(NOT(AND(AU157=1,AT157&lt;&gt;1)),ISNUMBER(AM157),AM157&lt;=(C157+T157)),BA157,0),IF(AND(NOT(AND(AU157=1,AT157&lt;&gt;1)),ISNUMBER(AN157),AN157&lt;=(C157+T157)),BB157,0),IF(AND(ISNUMBER(AO157),AO157&lt;=(C157+T157)),BC157,0))),"SK",IF(AND(IF(AND(NOT(AND(AU157=1,AT157&lt;&gt;1)),ISNUMBER(AL157),AL157&lt;=(C157+T157)),AZ157,0)&gt;0,IF(AND(NOT(AND(AU157=1,AT157&lt;&gt;1)),ISNUMBER(AL157),AL157&lt;=(C157+T157)),AZ157,0)=MAX(IF(AND(NOT(AND(AU157=1,AT157&lt;&gt;1)),ISNUMBER(AK157),AK157&lt;=(C157+T157)),AY157,0),IF(AND(NOT(AND(AU157=1,AT157&lt;&gt;1)),ISNUMBER(AL157),AL157&lt;=(C157+T157)),AZ157,0),IF(AND(NOT(AND(AU157=1,AT157&lt;&gt;1)),ISNUMBER(AM157),AM157&lt;=(C157+T157)),BA157,0),IF(AND(NOT(AND(AU157=1,AT157&lt;&gt;1)),ISNUMBER(AN157),AN157&lt;=(C157+T157)),BB157,0),IF(AND(ISNUMBER(AO157),AO157&lt;=(C157+T157)),BC157,0))),"LB",IF(AND(IF(AND(NOT(AND(AU157=1,AT157&lt;&gt;1)),ISNUMBER(AM157),AM157&lt;=(C157+T157)),BA157,0)&gt;0,IF(AND(NOT(AND(AU157=1,AT157&lt;&gt;1)),ISNUMBER(AM157),AM157&lt;=(C157+T157)),BA157,0)=MAX(IF(AND(NOT(AND(AU157=1,AT157&lt;&gt;1)),ISNUMBER(AK157),AK157&lt;=(C157+T157)),AY157,0),IF(AND(NOT(AND(AU157=1,AT157&lt;&gt;1)),ISNUMBER(AL157),AL157&lt;=(C157+T157)),AZ157,0),IF(AND(NOT(AND(AU157=1,AT157&lt;&gt;1)),ISNUMBER(AM157),AM157&lt;=(C157+T157)),BA157,0),IF(AND(NOT(AND(AU157=1,AT157&lt;&gt;1)),ISNUMBER(AN157),AN157&lt;=(C157+T157)),BB157,0),IF(AND(ISNUMBER(AO157),AO157&lt;=(C157+T157)),BC157,0))),"ML",IF(AND(IF(AND(NOT(AND(AU157=1,AT157&lt;&gt;1)),ISNUMBER(AN157),AN157&lt;=(C157+T157)),BB157,0)&gt;0,IF(AND(NOT(AND(AU157=1,AT157&lt;&gt;1)),ISNUMBER(AN157),AN157&lt;=(C157+T157)),BB157,0)=MAX(IF(AND(NOT(AND(AU157=1,AT157&lt;&gt;1)),ISNUMBER(AK157),AK157&lt;=(C157+T157)),AY157,0),IF(AND(NOT(AND(AU157=1,AT157&lt;&gt;1)),ISNUMBER(AL157),AL157&lt;=(C157+T157)),AZ157,0),IF(AND(NOT(AND(AU157=1,AT157&lt;&gt;1)),ISNUMBER(AM157),AM157&lt;=(C157+T157)),BA157,0),IF(AND(NOT(AND(AU157=1,AT157&lt;&gt;1)),ISNUMBER(AN157),AN157&lt;=(C157+T157)),BB157,0),IF(AND(ISNUMBER(AO157),AO157&lt;=(C157+T157)),BC157,0))),"RLO","BD"))))))))</f>
        <v/>
      </c>
    </row>
    <row r="158">
      <c r="A158" s="26" t="n">
        <v>147</v>
      </c>
      <c r="B158" s="27">
        <f>A158*10/60</f>
        <v/>
      </c>
      <c r="C158" s="22">
        <f>X157</f>
        <v/>
      </c>
      <c r="D158" s="27">
        <f>D157+W157</f>
        <v/>
      </c>
      <c r="E158" s="26">
        <f>E157+IF(U157="SK",1,0)</f>
        <v/>
      </c>
      <c r="F158" s="26">
        <f>F157+IF(U157="LB",1,0)</f>
        <v/>
      </c>
      <c r="G158" s="26">
        <f>G157+IF(U157="ML",1,0)</f>
        <v/>
      </c>
      <c r="H158" s="26">
        <f>H157+IF(U157="RLO",1,0)</f>
        <v/>
      </c>
      <c r="I158" s="26">
        <f>I157+IF(U157="BD",1,0)</f>
        <v/>
      </c>
      <c r="J158" s="26">
        <f>MAX(J157,IF(U157="BiP",1,0))</f>
        <v/>
      </c>
      <c r="K158" s="26">
        <f>MAX(K157,IF(U157="PV",1,0))</f>
        <v/>
      </c>
      <c r="L158" s="26">
        <f>MAX(L157,IF(U157="OC",1,0))</f>
        <v/>
      </c>
      <c r="M158" s="26">
        <f>MAX(M157,IF(U157="MG",1,0))</f>
        <v/>
      </c>
      <c r="N158" s="26">
        <f>MAX(N157,IF(U157="transition",1,0))</f>
        <v/>
      </c>
      <c r="O158" s="28">
        <f>(Parameters!$B$9+(IF(E158=0,0,(Upgrades!$J$13+E158*Upgrades!$K$13)*POWER(Upgrades!$L$13,E158)))*(IF(Upgrades!$T$14="Stellar Kinematics",POWER(Upgrades!$U$14,F158),1)*IF(Upgrades!$T$15="Stellar Kinematics",POWER(Upgrades!$U$15,G158),1)*IF(Upgrades!$T$16="Stellar Kinematics",POWER(Upgrades!$U$16,H158),1)*IF(Upgrades!$T$17="Stellar Kinematics",POWER(Upgrades!$U$17,I158),1)*IF(Upgrades!$T$18="Stellar Kinematics",POWER(Upgrades!$U$18,J158),1)*IF(Upgrades!$T$19="Stellar Kinematics",POWER(Upgrades!$U$19,K158),1)*IF(Upgrades!$T$20="Stellar Kinematics",POWER(Upgrades!$U$20,L158),1)*IF(Upgrades!$T$21="Stellar Kinematics",POWER(Upgrades!$U$21,M158),1))+(IF(F158=0,0,(Upgrades!$J$14+F158*Upgrades!$K$14)*POWER(Upgrades!$L$14,F158)))*(IF(Upgrades!$T$13="Local Bubble",POWER(Upgrades!$U$13,E158),1)*IF(Upgrades!$T$15="Local Bubble",POWER(Upgrades!$U$15,G158),1)*IF(Upgrades!$T$16="Local Bubble",POWER(Upgrades!$U$16,H158),1)*IF(Upgrades!$T$17="Local Bubble",POWER(Upgrades!$U$17,I158),1)*IF(Upgrades!$T$18="Local Bubble",POWER(Upgrades!$U$18,J158),1)*IF(Upgrades!$T$19="Local Bubble",POWER(Upgrades!$U$19,K158),1)*IF(Upgrades!$T$20="Local Bubble",POWER(Upgrades!$U$20,L158),1)*IF(Upgrades!$T$21="Local Bubble",POWER(Upgrades!$U$21,M158),1))+(IF(G158=0,0,(Upgrades!$J$15+G158*Upgrades!$K$15)*POWER(Upgrades!$L$15,G158)))*(IF(Upgrades!$T$13="Microlensing",POWER(Upgrades!$U$13,E158),1)*IF(Upgrades!$T$14="Microlensing",POWER(Upgrades!$U$14,F158),1)*IF(Upgrades!$T$16="Microlensing",POWER(Upgrades!$U$16,H158),1)*IF(Upgrades!$T$17="Microlensing",POWER(Upgrades!$U$17,I158),1)*IF(Upgrades!$T$18="Microlensing",POWER(Upgrades!$U$18,J158),1)*IF(Upgrades!$T$19="Microlensing",POWER(Upgrades!$U$19,K158),1)*IF(Upgrades!$T$20="Microlensing",POWER(Upgrades!$U$20,L158),1)*IF(Upgrades!$T$21="Microlensing",POWER(Upgrades!$U$21,M158),1))+(IF(H158=0,0,(Upgrades!$J$16+H158*Upgrades!$K$16)*POWER(Upgrades!$L$16,H158)))*(IF(Upgrades!$T$13="Roche Lobe Overflow",POWER(Upgrades!$U$13,E158),1)*IF(Upgrades!$T$14="Roche Lobe Overflow",POWER(Upgrades!$U$14,F158),1)*IF(Upgrades!$T$15="Roche Lobe Overflow",POWER(Upgrades!$U$15,G158),1)*IF(Upgrades!$T$17="Roche Lobe Overflow",POWER(Upgrades!$U$17,I158),1)*IF(Upgrades!$T$18="Roche Lobe Overflow",POWER(Upgrades!$U$18,J158),1)*IF(Upgrades!$T$19="Roche Lobe Overflow",POWER(Upgrades!$U$19,K158),1)*IF(Upgrades!$T$20="Roche Lobe Overflow",POWER(Upgrades!$U$20,L158),1)*IF(Upgrades!$T$21="Roche Lobe Overflow",POWER(Upgrades!$U$21,M158),1))+(IF(I158=0,0,(Upgrades!$J$17+I158*Upgrades!$K$17)*POWER(Upgrades!$L$17,I158)))*(IF(Upgrades!$T$13="Brown Dwarf",POWER(Upgrades!$U$13,E158),1)*IF(Upgrades!$T$14="Brown Dwarf",POWER(Upgrades!$U$14,F158),1)*IF(Upgrades!$T$15="Brown Dwarf",POWER(Upgrades!$U$15,G158),1)*IF(Upgrades!$T$16="Brown Dwarf",POWER(Upgrades!$U$16,H158),1)*IF(Upgrades!$T$18="Brown Dwarf",POWER(Upgrades!$U$18,J158),1)*IF(Upgrades!$T$19="Brown Dwarf",POWER(Upgrades!$U$19,K158),1)*IF(Upgrades!$T$20="Brown Dwarf",POWER(Upgrades!$U$20,L158),1)*IF(Upgrades!$T$21="Brown Dwarf",POWER(Upgrades!$U$21,M158),1))+(IF(J158=0,0,(Upgrades!$J$18+J158*Upgrades!$K$18)*POWER(Upgrades!$L$18,J158)))*(IF(Upgrades!$T$13="Binary Partner",POWER(Upgrades!$U$13,E158),1)*IF(Upgrades!$T$14="Binary Partner",POWER(Upgrades!$U$14,F158),1)*IF(Upgrades!$T$15="Binary Partner",POWER(Upgrades!$U$15,G158),1)*IF(Upgrades!$T$16="Binary Partner",POWER(Upgrades!$U$16,H158),1)*IF(Upgrades!$T$17="Binary Partner",POWER(Upgrades!$U$17,I158),1)*IF(Upgrades!$T$19="Binary Partner",POWER(Upgrades!$U$19,K158),1)*IF(Upgrades!$T$20="Binary Partner",POWER(Upgrades!$U$20,L158),1)*IF(Upgrades!$T$21="Binary Partner",POWER(Upgrades!$U$21,M158),1))+(IF(K158=0,0,(Upgrades!$J$19+K158*Upgrades!$K$19)*POWER(Upgrades!$L$19,K158)))*(IF(Upgrades!$T$13="Peculiar Velocity",POWER(Upgrades!$U$13,E158),1)*IF(Upgrades!$T$14="Peculiar Velocity",POWER(Upgrades!$U$14,F158),1)*IF(Upgrades!$T$15="Peculiar Velocity",POWER(Upgrades!$U$15,G158),1)*IF(Upgrades!$T$16="Peculiar Velocity",POWER(Upgrades!$U$16,H158),1)*IF(Upgrades!$T$17="Peculiar Velocity",POWER(Upgrades!$U$17,I158),1)*IF(Upgrades!$T$18="Peculiar Velocity",POWER(Upgrades!$U$18,J158),1)*IF(Upgrades!$T$20="Peculiar Velocity",POWER(Upgrades!$U$20,L158),1)*IF(Upgrades!$T$21="Peculiar Velocity",POWER(Upgrades!$U$21,M158),1))+(IF(L158=0,0,(Upgrades!$J$20+L158*Upgrades!$K$20)*POWER(Upgrades!$L$20,L158)))*(IF(Upgrades!$T$13="Open Cluster",POWER(Upgrades!$U$13,E158),1)*IF(Upgrades!$T$14="Open Cluster",POWER(Upgrades!$U$14,F158),1)*IF(Upgrades!$T$15="Open Cluster",POWER(Upgrades!$U$15,G158),1)*IF(Upgrades!$T$16="Open Cluster",POWER(Upgrades!$U$16,H158),1)*IF(Upgrades!$T$17="Open Cluster",POWER(Upgrades!$U$17,I158),1)*IF(Upgrades!$T$18="Open Cluster",POWER(Upgrades!$U$18,J158),1)*IF(Upgrades!$T$19="Open Cluster",POWER(Upgrades!$U$19,K158),1)*IF(Upgrades!$T$21="Open Cluster",POWER(Upgrades!$U$21,M158),1))+(IF(M158=0,0,(Upgrades!$J$21+M158*Upgrades!$K$21)*POWER(Upgrades!$L$21,M158)))*(IF(Upgrades!$T$13="Moving Group",POWER(Upgrades!$U$13,E158),1)*IF(Upgrades!$T$14="Moving Group",POWER(Upgrades!$U$14,F158),1)*IF(Upgrades!$T$15="Moving Group",POWER(Upgrades!$U$15,G158),1)*IF(Upgrades!$T$16="Moving Group",POWER(Upgrades!$U$16,H158),1)*IF(Upgrades!$T$17="Moving Group",POWER(Upgrades!$U$17,I158),1)*IF(Upgrades!$T$18="Moving Group",POWER(Upgrades!$U$18,J158),1)*IF(Upgrades!$T$19="Moving Group",POWER(Upgrades!$U$19,K158),1)*IF(Upgrades!$T$20="Moving Group",POWER(Upgrades!$U$20,L158),1)))*POWER(Upgrades!$Q$13,E158)*POWER(Upgrades!$Q$14,F158)*POWER(Upgrades!$Q$15,G158)*POWER(Upgrades!$Q$16,H158)*POWER(Upgrades!$Q$17,I158)*POWER(Upgrades!$Q$18,J158)*POWER(Upgrades!$Q$19,K158)*POWER(Upgrades!$Q$20,L158)*POWER(Upgrades!$Q$21,M158)*$G$6+$D$6</f>
        <v/>
      </c>
      <c r="P158" s="28">
        <f>((IF(E158=0,0,(Upgrades!$G$13+E158*Upgrades!$H$13)*POWER(Upgrades!$I$13,E158)))*(IF(Upgrades!$T$14="Stellar Kinematics",POWER(Upgrades!$U$14,F158),1)*IF(Upgrades!$T$15="Stellar Kinematics",POWER(Upgrades!$U$15,G158),1)*IF(Upgrades!$T$16="Stellar Kinematics",POWER(Upgrades!$U$16,H158),1)*IF(Upgrades!$T$17="Stellar Kinematics",POWER(Upgrades!$U$17,I158),1)*IF(Upgrades!$T$18="Stellar Kinematics",POWER(Upgrades!$U$18,J158),1)*IF(Upgrades!$T$19="Stellar Kinematics",POWER(Upgrades!$U$19,K158),1)*IF(Upgrades!$T$20="Stellar Kinematics",POWER(Upgrades!$U$20,L158),1)*IF(Upgrades!$T$21="Stellar Kinematics",POWER(Upgrades!$U$21,M158),1))+(IF(F158=0,0,(Upgrades!$G$14+F158*Upgrades!$H$14)*POWER(Upgrades!$I$14,F158)))*(IF(Upgrades!$T$13="Local Bubble",POWER(Upgrades!$U$13,E158),1)*IF(Upgrades!$T$15="Local Bubble",POWER(Upgrades!$U$15,G158),1)*IF(Upgrades!$T$16="Local Bubble",POWER(Upgrades!$U$16,H158),1)*IF(Upgrades!$T$17="Local Bubble",POWER(Upgrades!$U$17,I158),1)*IF(Upgrades!$T$18="Local Bubble",POWER(Upgrades!$U$18,J158),1)*IF(Upgrades!$T$19="Local Bubble",POWER(Upgrades!$U$19,K158),1)*IF(Upgrades!$T$20="Local Bubble",POWER(Upgrades!$U$20,L158),1)*IF(Upgrades!$T$21="Local Bubble",POWER(Upgrades!$U$21,M158),1))+(IF(G158=0,0,(Upgrades!$G$15+G158*Upgrades!$H$15)*POWER(Upgrades!$I$15,G158)))*(IF(Upgrades!$T$13="Microlensing",POWER(Upgrades!$U$13,E158),1)*IF(Upgrades!$T$14="Microlensing",POWER(Upgrades!$U$14,F158),1)*IF(Upgrades!$T$16="Microlensing",POWER(Upgrades!$U$16,H158),1)*IF(Upgrades!$T$17="Microlensing",POWER(Upgrades!$U$17,I158),1)*IF(Upgrades!$T$18="Microlensing",POWER(Upgrades!$U$18,J158),1)*IF(Upgrades!$T$19="Microlensing",POWER(Upgrades!$U$19,K158),1)*IF(Upgrades!$T$20="Microlensing",POWER(Upgrades!$U$20,L158),1)*IF(Upgrades!$T$21="Microlensing",POWER(Upgrades!$U$21,M158),1))+(IF(H158=0,0,(Upgrades!$G$16+H158*Upgrades!$H$16)*POWER(Upgrades!$I$16,H158)))*(IF(Upgrades!$T$13="Roche Lobe Overflow",POWER(Upgrades!$U$13,E158),1)*IF(Upgrades!$T$14="Roche Lobe Overflow",POWER(Upgrades!$U$14,F158),1)*IF(Upgrades!$T$15="Roche Lobe Overflow",POWER(Upgrades!$U$15,G158),1)*IF(Upgrades!$T$17="Roche Lobe Overflow",POWER(Upgrades!$U$17,I158),1)*IF(Upgrades!$T$18="Roche Lobe Overflow",POWER(Upgrades!$U$18,J158),1)*IF(Upgrades!$T$19="Roche Lobe Overflow",POWER(Upgrades!$U$19,K158),1)*IF(Upgrades!$T$20="Roche Lobe Overflow",POWER(Upgrades!$U$20,L158),1)*IF(Upgrades!$T$21="Roche Lobe Overflow",POWER(Upgrades!$U$21,M158),1))+(IF(I158=0,0,(Upgrades!$G$17+I158*Upgrades!$H$17)*POWER(Upgrades!$I$17,I158)))*(IF(Upgrades!$T$13="Brown Dwarf",POWER(Upgrades!$U$13,E158),1)*IF(Upgrades!$T$14="Brown Dwarf",POWER(Upgrades!$U$14,F158),1)*IF(Upgrades!$T$15="Brown Dwarf",POWER(Upgrades!$U$15,G158),1)*IF(Upgrades!$T$16="Brown Dwarf",POWER(Upgrades!$U$16,H158),1)*IF(Upgrades!$T$18="Brown Dwarf",POWER(Upgrades!$U$18,J158),1)*IF(Upgrades!$T$19="Brown Dwarf",POWER(Upgrades!$U$19,K158),1)*IF(Upgrades!$T$20="Brown Dwarf",POWER(Upgrades!$U$20,L158),1)*IF(Upgrades!$T$21="Brown Dwarf",POWER(Upgrades!$U$21,M158),1))+(IF(J158=0,0,(Upgrades!$G$18+J158*Upgrades!$H$18)*POWER(Upgrades!$I$18,J158)))*(IF(Upgrades!$T$13="Binary Partner",POWER(Upgrades!$U$13,E158),1)*IF(Upgrades!$T$14="Binary Partner",POWER(Upgrades!$U$14,F158),1)*IF(Upgrades!$T$15="Binary Partner",POWER(Upgrades!$U$15,G158),1)*IF(Upgrades!$T$16="Binary Partner",POWER(Upgrades!$U$16,H158),1)*IF(Upgrades!$T$17="Binary Partner",POWER(Upgrades!$U$17,I158),1)*IF(Upgrades!$T$19="Binary Partner",POWER(Upgrades!$U$19,K158),1)*IF(Upgrades!$T$20="Binary Partner",POWER(Upgrades!$U$20,L158),1)*IF(Upgrades!$T$21="Binary Partner",POWER(Upgrades!$U$21,M158),1))+(IF(K158=0,0,(Upgrades!$G$19+K158*Upgrades!$H$19)*POWER(Upgrades!$I$19,K158)))*(IF(Upgrades!$T$13="Peculiar Velocity",POWER(Upgrades!$U$13,E158),1)*IF(Upgrades!$T$14="Peculiar Velocity",POWER(Upgrades!$U$14,F158),1)*IF(Upgrades!$T$15="Peculiar Velocity",POWER(Upgrades!$U$15,G158),1)*IF(Upgrades!$T$16="Peculiar Velocity",POWER(Upgrades!$U$16,H158),1)*IF(Upgrades!$T$17="Peculiar Velocity",POWER(Upgrades!$U$17,I158),1)*IF(Upgrades!$T$18="Peculiar Velocity",POWER(Upgrades!$U$18,J158),1)*IF(Upgrades!$T$20="Peculiar Velocity",POWER(Upgrades!$U$20,L158),1)*IF(Upgrades!$T$21="Peculiar Velocity",POWER(Upgrades!$U$21,M158),1))+(IF(L158=0,0,(Upgrades!$G$20+L158*Upgrades!$H$20)*POWER(Upgrades!$I$20,L158)))*(IF(Upgrades!$T$13="Open Cluster",POWER(Upgrades!$U$13,E158),1)*IF(Upgrades!$T$14="Open Cluster",POWER(Upgrades!$U$14,F158),1)*IF(Upgrades!$T$15="Open Cluster",POWER(Upgrades!$U$15,G158),1)*IF(Upgrades!$T$16="Open Cluster",POWER(Upgrades!$U$16,H158),1)*IF(Upgrades!$T$17="Open Cluster",POWER(Upgrades!$U$17,I158),1)*IF(Upgrades!$T$18="Open Cluster",POWER(Upgrades!$U$18,J158),1)*IF(Upgrades!$T$19="Open Cluster",POWER(Upgrades!$U$19,K158),1)*IF(Upgrades!$T$21="Open Cluster",POWER(Upgrades!$U$21,M158),1))+(IF(M158=0,0,(Upgrades!$G$21+M158*Upgrades!$H$21)*POWER(Upgrades!$I$21,M158)))*(IF(Upgrades!$T$13="Moving Group",POWER(Upgrades!$U$13,E158),1)*IF(Upgrades!$T$14="Moving Group",POWER(Upgrades!$U$14,F158),1)*IF(Upgrades!$T$15="Moving Group",POWER(Upgrades!$U$15,G158),1)*IF(Upgrades!$T$16="Moving Group",POWER(Upgrades!$U$16,H158),1)*IF(Upgrades!$T$17="Moving Group",POWER(Upgrades!$U$17,I158),1)*IF(Upgrades!$T$18="Moving Group",POWER(Upgrades!$U$18,J158),1)*IF(Upgrades!$T$19="Moving Group",POWER(Upgrades!$U$19,K158),1)*IF(Upgrades!$T$20="Moving Group",POWER(Upgrades!$U$20,L158),1)))*POWER(Upgrades!$P$13,E158)*POWER(Upgrades!$P$14,F158)*POWER(Upgrades!$P$15,G158)*POWER(Upgrades!$P$16,H158)*POWER(Upgrades!$P$17,I158)*POWER(Upgrades!$P$18,J158)*POWER(Upgrades!$P$19,K158)*POWER(Upgrades!$P$20,L158)*POWER(Upgrades!$P$21,M158)*$F$6+$C$6</f>
        <v/>
      </c>
      <c r="Q158" s="28">
        <f>((IF(E158=0,0,(Upgrades!$M$13+E158*Upgrades!$N$13)*POWER(Upgrades!$O$13,E158)))*(IF(Upgrades!$T$14="Stellar Kinematics",POWER(Upgrades!$U$14,F158),1)*IF(Upgrades!$T$15="Stellar Kinematics",POWER(Upgrades!$U$15,G158),1)*IF(Upgrades!$T$16="Stellar Kinematics",POWER(Upgrades!$U$16,H158),1)*IF(Upgrades!$T$17="Stellar Kinematics",POWER(Upgrades!$U$17,I158),1)*IF(Upgrades!$T$18="Stellar Kinematics",POWER(Upgrades!$U$18,J158),1)*IF(Upgrades!$T$19="Stellar Kinematics",POWER(Upgrades!$U$19,K158),1)*IF(Upgrades!$T$20="Stellar Kinematics",POWER(Upgrades!$U$20,L158),1)*IF(Upgrades!$T$21="Stellar Kinematics",POWER(Upgrades!$U$21,M158),1))+(IF(F158=0,0,(Upgrades!$M$14+F158*Upgrades!$N$14)*POWER(Upgrades!$O$14,F158)))*(IF(Upgrades!$T$13="Local Bubble",POWER(Upgrades!$U$13,E158),1)*IF(Upgrades!$T$15="Local Bubble",POWER(Upgrades!$U$15,G158),1)*IF(Upgrades!$T$16="Local Bubble",POWER(Upgrades!$U$16,H158),1)*IF(Upgrades!$T$17="Local Bubble",POWER(Upgrades!$U$17,I158),1)*IF(Upgrades!$T$18="Local Bubble",POWER(Upgrades!$U$18,J158),1)*IF(Upgrades!$T$19="Local Bubble",POWER(Upgrades!$U$19,K158),1)*IF(Upgrades!$T$20="Local Bubble",POWER(Upgrades!$U$20,L158),1)*IF(Upgrades!$T$21="Local Bubble",POWER(Upgrades!$U$21,M158),1))+(IF(G158=0,0,(Upgrades!$M$15+G158*Upgrades!$N$15)*POWER(Upgrades!$O$15,G158)))*(IF(Upgrades!$T$13="Microlensing",POWER(Upgrades!$U$13,E158),1)*IF(Upgrades!$T$14="Microlensing",POWER(Upgrades!$U$14,F158),1)*IF(Upgrades!$T$16="Microlensing",POWER(Upgrades!$U$16,H158),1)*IF(Upgrades!$T$17="Microlensing",POWER(Upgrades!$U$17,I158),1)*IF(Upgrades!$T$18="Microlensing",POWER(Upgrades!$U$18,J158),1)*IF(Upgrades!$T$19="Microlensing",POWER(Upgrades!$U$19,K158),1)*IF(Upgrades!$T$20="Microlensing",POWER(Upgrades!$U$20,L158),1)*IF(Upgrades!$T$21="Microlensing",POWER(Upgrades!$U$21,M158),1))+(IF(H158=0,0,(Upgrades!$M$16+H158*Upgrades!$N$16)*POWER(Upgrades!$O$16,H158)))*(IF(Upgrades!$T$13="Roche Lobe Overflow",POWER(Upgrades!$U$13,E158),1)*IF(Upgrades!$T$14="Roche Lobe Overflow",POWER(Upgrades!$U$14,F158),1)*IF(Upgrades!$T$15="Roche Lobe Overflow",POWER(Upgrades!$U$15,G158),1)*IF(Upgrades!$T$17="Roche Lobe Overflow",POWER(Upgrades!$U$17,I158),1)*IF(Upgrades!$T$18="Roche Lobe Overflow",POWER(Upgrades!$U$18,J158),1)*IF(Upgrades!$T$19="Roche Lobe Overflow",POWER(Upgrades!$U$19,K158),1)*IF(Upgrades!$T$20="Roche Lobe Overflow",POWER(Upgrades!$U$20,L158),1)*IF(Upgrades!$T$21="Roche Lobe Overflow",POWER(Upgrades!$U$21,M158),1))+(IF(I158=0,0,(Upgrades!$M$17+I158*Upgrades!$N$17)*POWER(Upgrades!$O$17,I158)))*(IF(Upgrades!$T$13="Brown Dwarf",POWER(Upgrades!$U$13,E158),1)*IF(Upgrades!$T$14="Brown Dwarf",POWER(Upgrades!$U$14,F158),1)*IF(Upgrades!$T$15="Brown Dwarf",POWER(Upgrades!$U$15,G158),1)*IF(Upgrades!$T$16="Brown Dwarf",POWER(Upgrades!$U$16,H158),1)*IF(Upgrades!$T$18="Brown Dwarf",POWER(Upgrades!$U$18,J158),1)*IF(Upgrades!$T$19="Brown Dwarf",POWER(Upgrades!$U$19,K158),1)*IF(Upgrades!$T$20="Brown Dwarf",POWER(Upgrades!$U$20,L158),1)*IF(Upgrades!$T$21="Brown Dwarf",POWER(Upgrades!$U$21,M158),1))+(IF(J158=0,0,(Upgrades!$M$18+J158*Upgrades!$N$18)*POWER(Upgrades!$O$18,J158)))*(IF(Upgrades!$T$13="Binary Partner",POWER(Upgrades!$U$13,E158),1)*IF(Upgrades!$T$14="Binary Partner",POWER(Upgrades!$U$14,F158),1)*IF(Upgrades!$T$15="Binary Partner",POWER(Upgrades!$U$15,G158),1)*IF(Upgrades!$T$16="Binary Partner",POWER(Upgrades!$U$16,H158),1)*IF(Upgrades!$T$17="Binary Partner",POWER(Upgrades!$U$17,I158),1)*IF(Upgrades!$T$19="Binary Partner",POWER(Upgrades!$U$19,K158),1)*IF(Upgrades!$T$20="Binary Partner",POWER(Upgrades!$U$20,L158),1)*IF(Upgrades!$T$21="Binary Partner",POWER(Upgrades!$U$21,M158),1))+(IF(K158=0,0,(Upgrades!$M$19+K158*Upgrades!$N$19)*POWER(Upgrades!$O$19,K158)))*(IF(Upgrades!$T$13="Peculiar Velocity",POWER(Upgrades!$U$13,E158),1)*IF(Upgrades!$T$14="Peculiar Velocity",POWER(Upgrades!$U$14,F158),1)*IF(Upgrades!$T$15="Peculiar Velocity",POWER(Upgrades!$U$15,G158),1)*IF(Upgrades!$T$16="Peculiar Velocity",POWER(Upgrades!$U$16,H158),1)*IF(Upgrades!$T$17="Peculiar Velocity",POWER(Upgrades!$U$17,I158),1)*IF(Upgrades!$T$18="Peculiar Velocity",POWER(Upgrades!$U$18,J158),1)*IF(Upgrades!$T$20="Peculiar Velocity",POWER(Upgrades!$U$20,L158),1)*IF(Upgrades!$T$21="Peculiar Velocity",POWER(Upgrades!$U$21,M158),1))+(IF(L158=0,0,(Upgrades!$M$20+L158*Upgrades!$N$20)*POWER(Upgrades!$O$20,L158)))*(IF(Upgrades!$T$13="Open Cluster",POWER(Upgrades!$U$13,E158),1)*IF(Upgrades!$T$14="Open Cluster",POWER(Upgrades!$U$14,F158),1)*IF(Upgrades!$T$15="Open Cluster",POWER(Upgrades!$U$15,G158),1)*IF(Upgrades!$T$16="Open Cluster",POWER(Upgrades!$U$16,H158),1)*IF(Upgrades!$T$17="Open Cluster",POWER(Upgrades!$U$17,I158),1)*IF(Upgrades!$T$18="Open Cluster",POWER(Upgrades!$U$18,J158),1)*IF(Upgrades!$T$19="Open Cluster",POWER(Upgrades!$U$19,K158),1)*IF(Upgrades!$T$21="Open Cluster",POWER(Upgrades!$U$21,M158),1))+(IF(M158=0,0,(Upgrades!$M$21+M158*Upgrades!$N$21)*POWER(Upgrades!$O$21,M158)))*(IF(Upgrades!$T$13="Moving Group",POWER(Upgrades!$U$13,E158),1)*IF(Upgrades!$T$14="Moving Group",POWER(Upgrades!$U$14,F158),1)*IF(Upgrades!$T$15="Moving Group",POWER(Upgrades!$U$15,G158),1)*IF(Upgrades!$T$16="Moving Group",POWER(Upgrades!$U$16,H158),1)*IF(Upgrades!$T$17="Moving Group",POWER(Upgrades!$U$17,I158),1)*IF(Upgrades!$T$18="Moving Group",POWER(Upgrades!$U$18,J158),1)*IF(Upgrades!$T$19="Moving Group",POWER(Upgrades!$U$19,K158),1)*IF(Upgrades!$T$20="Moving Group",POWER(Upgrades!$U$20,L158),1)))*POWER(Upgrades!$R$13,E158)*POWER(Upgrades!$R$14,F158)*POWER(Upgrades!$R$15,G158)*POWER(Upgrades!$R$16,H158)*POWER(Upgrades!$R$17,I158)*POWER(Upgrades!$R$18,J158)*POWER(Upgrades!$R$19,K158)*POWER(Upgrades!$R$20,L158)*POWER(Upgrades!$R$21,M158)*$H$6+$E$6</f>
        <v/>
      </c>
      <c r="R158" s="27">
        <f>IF(N158=1,0,O158*Parameters!$B$10/60*Parameters!$B$11*10)</f>
        <v/>
      </c>
      <c r="S158" s="27">
        <f>IF(N158=1,0,Q158*O158*10)</f>
        <v/>
      </c>
      <c r="T158" s="27">
        <f>IF(N158=1,0,R158+S158+P158*10)</f>
        <v/>
      </c>
      <c r="U158" s="33">
        <f>BE158</f>
        <v/>
      </c>
      <c r="V158" s="22">
        <f>IF(U158="",0,IF(U158="transition",0,IF(U158="SK",AK158,IF(U158="LB",AL158,IF(U158="ML",AM158,IF(U158="RLO",AN158,IF(U158="BD",AO158,IF(U158="BiP",AP158,IF(U158="PV",AQ158,IF(U158="OC",AR158,IF(U158="MG",AS158,0))))))))))</f>
        <v/>
      </c>
      <c r="W158" s="27">
        <f>IF(U158="BiP",Upgrades!$F$18,IF(U158="PV",Upgrades!$F$19,IF(U158="OC",Upgrades!$F$20,IF(U158="MG",Upgrades!$F$21,IF(U158="transition",-Parameters!$B$18*Parameters!$B$19,0)))))</f>
        <v/>
      </c>
      <c r="X158" s="22">
        <f>C158+T158-V158</f>
        <v/>
      </c>
      <c r="Y158" s="30">
        <f>O158*Parameters!$B$10/60*Parameters!$B$11+Q158*O158+P158</f>
        <v/>
      </c>
      <c r="Z158" s="34">
        <f>IF(U158="transition","→ Tier 3 (Galactic Arm)",IF(U158="MG","Moving Group — pocket drifts together",IF(U158="OC","Open Cluster acquired",IF(U158="PV","Peculiar Velocity — passive multiplier active",IF(U158="BiP","Binary Partner — pair bond formed",IF(AND(AU158=1,N158=0,AT158&lt;&gt;1),"Cohesion ready (waiting on completionists)","")))))) </f>
        <v/>
      </c>
      <c r="AA158" s="27">
        <f>(IF(E158=0,0,(Upgrades!$G$13+E158*Upgrades!$H$13)*POWER(Upgrades!$I$13,E158)))*(IF(Upgrades!$T$14="Stellar Kinematics",POWER(Upgrades!$U$14,F158),1)*IF(Upgrades!$T$15="Stellar Kinematics",POWER(Upgrades!$U$15,G158),1)*IF(Upgrades!$T$16="Stellar Kinematics",POWER(Upgrades!$U$16,H158),1)*IF(Upgrades!$T$17="Stellar Kinematics",POWER(Upgrades!$U$17,I158),1)*IF(Upgrades!$T$18="Stellar Kinematics",POWER(Upgrades!$U$18,J158),1)*IF(Upgrades!$T$19="Stellar Kinematics",POWER(Upgrades!$U$19,K158),1)*IF(Upgrades!$T$20="Stellar Kinematics",POWER(Upgrades!$U$20,L158),1)*IF(Upgrades!$T$21="Stellar Kinematics",POWER(Upgrades!$U$21,M158),1))*POWER(Upgrades!$P$13,E158)*POWER(Upgrades!$P$14,F158)*POWER(Upgrades!$P$15,G158)*POWER(Upgrades!$P$16,H158)*POWER(Upgrades!$P$17,I158)*POWER(Upgrades!$P$18,J158)*POWER(Upgrades!$P$19,K158)*POWER(Upgrades!$P$20,L158)*POWER(Upgrades!$P$21,M158)*$F$6*60</f>
        <v/>
      </c>
      <c r="AB158" s="27">
        <f>(IF(F158=0,0,(Upgrades!$G$14+F158*Upgrades!$H$14)*POWER(Upgrades!$I$14,F158)))*(IF(Upgrades!$T$13="Local Bubble",POWER(Upgrades!$U$13,E158),1)*IF(Upgrades!$T$15="Local Bubble",POWER(Upgrades!$U$15,G158),1)*IF(Upgrades!$T$16="Local Bubble",POWER(Upgrades!$U$16,H158),1)*IF(Upgrades!$T$17="Local Bubble",POWER(Upgrades!$U$17,I158),1)*IF(Upgrades!$T$18="Local Bubble",POWER(Upgrades!$U$18,J158),1)*IF(Upgrades!$T$19="Local Bubble",POWER(Upgrades!$U$19,K158),1)*IF(Upgrades!$T$20="Local Bubble",POWER(Upgrades!$U$20,L158),1)*IF(Upgrades!$T$21="Local Bubble",POWER(Upgrades!$U$21,M158),1))*POWER(Upgrades!$P$13,E158)*POWER(Upgrades!$P$14,F158)*POWER(Upgrades!$P$15,G158)*POWER(Upgrades!$P$16,H158)*POWER(Upgrades!$P$17,I158)*POWER(Upgrades!$P$18,J158)*POWER(Upgrades!$P$19,K158)*POWER(Upgrades!$P$20,L158)*POWER(Upgrades!$P$21,M158)*$F$6*60</f>
        <v/>
      </c>
      <c r="AC158" s="27">
        <f>(IF(G158=0,0,(Upgrades!$J$15+G158*Upgrades!$K$15)*POWER(Upgrades!$L$15,G158)))*(IF(Upgrades!$T$13="Microlensing",POWER(Upgrades!$U$13,E158),1)*IF(Upgrades!$T$14="Microlensing",POWER(Upgrades!$U$14,F158),1)*IF(Upgrades!$T$16="Microlensing",POWER(Upgrades!$U$16,H158),1)*IF(Upgrades!$T$17="Microlensing",POWER(Upgrades!$U$17,I158),1)*IF(Upgrades!$T$18="Microlensing",POWER(Upgrades!$U$18,J158),1)*IF(Upgrades!$T$19="Microlensing",POWER(Upgrades!$U$19,K158),1)*IF(Upgrades!$T$20="Microlensing",POWER(Upgrades!$U$20,L158),1)*IF(Upgrades!$T$21="Microlensing",POWER(Upgrades!$U$21,M158),1))*POWER(Upgrades!$Q$13,E158)*POWER(Upgrades!$Q$14,F158)*POWER(Upgrades!$Q$15,G158)*POWER(Upgrades!$Q$16,H158)*POWER(Upgrades!$Q$17,I158)*POWER(Upgrades!$Q$18,J158)*POWER(Upgrades!$Q$19,K158)*POWER(Upgrades!$Q$20,L158)*POWER(Upgrades!$Q$21,M158)*$G$6*(Parameters!$B$10*Parameters!$B$11+Q158*60)</f>
        <v/>
      </c>
      <c r="AD158" s="27">
        <f>(IF(H158=0,0,(Upgrades!$M$16+H158*Upgrades!$N$16)*POWER(Upgrades!$O$16,H158)))*(IF(Upgrades!$T$13="Roche Lobe Overflow",POWER(Upgrades!$U$13,E158),1)*IF(Upgrades!$T$14="Roche Lobe Overflow",POWER(Upgrades!$U$14,F158),1)*IF(Upgrades!$T$15="Roche Lobe Overflow",POWER(Upgrades!$U$15,G158),1)*IF(Upgrades!$T$17="Roche Lobe Overflow",POWER(Upgrades!$U$17,I158),1)*IF(Upgrades!$T$18="Roche Lobe Overflow",POWER(Upgrades!$U$18,J158),1)*IF(Upgrades!$T$19="Roche Lobe Overflow",POWER(Upgrades!$U$19,K158),1)*IF(Upgrades!$T$20="Roche Lobe Overflow",POWER(Upgrades!$U$20,L158),1)*IF(Upgrades!$T$21="Roche Lobe Overflow",POWER(Upgrades!$U$21,M158),1))*POWER(Upgrades!$R$13,E158)*POWER(Upgrades!$R$14,F158)*POWER(Upgrades!$R$15,G158)*POWER(Upgrades!$R$16,H158)*POWER(Upgrades!$R$17,I158)*POWER(Upgrades!$R$18,J158)*POWER(Upgrades!$R$19,K158)*POWER(Upgrades!$R$20,L158)*POWER(Upgrades!$R$21,M158)*$H$6*O158*60</f>
        <v/>
      </c>
      <c r="AE158" s="27">
        <f>(IF(I158=0,0,(Upgrades!$G$17+I158*Upgrades!$H$17)*POWER(Upgrades!$I$17,I158)))*(IF(Upgrades!$T$13="Brown Dwarf",POWER(Upgrades!$U$13,E158),1)*IF(Upgrades!$T$14="Brown Dwarf",POWER(Upgrades!$U$14,F158),1)*IF(Upgrades!$T$15="Brown Dwarf",POWER(Upgrades!$U$15,G158),1)*IF(Upgrades!$T$16="Brown Dwarf",POWER(Upgrades!$U$16,H158),1)*IF(Upgrades!$T$18="Brown Dwarf",POWER(Upgrades!$U$18,J158),1)*IF(Upgrades!$T$19="Brown Dwarf",POWER(Upgrades!$U$19,K158),1)*IF(Upgrades!$T$20="Brown Dwarf",POWER(Upgrades!$U$20,L158),1)*IF(Upgrades!$T$21="Brown Dwarf",POWER(Upgrades!$U$21,M158),1))*POWER(Upgrades!$P$13,E158)*POWER(Upgrades!$P$14,F158)*POWER(Upgrades!$P$15,G158)*POWER(Upgrades!$P$16,H158)*POWER(Upgrades!$P$17,I158)*POWER(Upgrades!$P$18,J158)*POWER(Upgrades!$P$19,K158)*POWER(Upgrades!$P$20,L158)*POWER(Upgrades!$P$21,M158)*$F$6*60</f>
        <v/>
      </c>
      <c r="AF158" s="27" t="n">
        <v>0</v>
      </c>
      <c r="AG158" s="27" t="n">
        <v>0</v>
      </c>
      <c r="AH158" s="27" t="n">
        <v>0</v>
      </c>
      <c r="AI158" s="27">
        <f>(IF(M158=0,0,(Upgrades!$G$21+M158*Upgrades!$H$21)*POWER(Upgrades!$I$21,M158)))*(IF(Upgrades!$T$13="Moving Group",POWER(Upgrades!$U$13,E158),1)*IF(Upgrades!$T$14="Moving Group",POWER(Upgrades!$U$14,F158),1)*IF(Upgrades!$T$15="Moving Group",POWER(Upgrades!$U$15,G158),1)*IF(Upgrades!$T$16="Moving Group",POWER(Upgrades!$U$16,H158),1)*IF(Upgrades!$T$17="Moving Group",POWER(Upgrades!$U$17,I158),1)*IF(Upgrades!$T$18="Moving Group",POWER(Upgrades!$U$18,J158),1)*IF(Upgrades!$T$19="Moving Group",POWER(Upgrades!$U$19,K158),1)*IF(Upgrades!$T$20="Moving Group",POWER(Upgrades!$U$20,L158),1))*POWER(Upgrades!$P$13,E158)*POWER(Upgrades!$P$14,F158)*POWER(Upgrades!$P$15,G158)*POWER(Upgrades!$P$16,H158)*POWER(Upgrades!$P$17,I158)*POWER(Upgrades!$P$18,J158)*POWER(Upgrades!$P$19,K158)*POWER(Upgrades!$P$20,L158)*POWER(Upgrades!$P$21,M158)*$F$6*60</f>
        <v/>
      </c>
      <c r="AJ158" s="27">
        <f>$C$6*60</f>
        <v/>
      </c>
      <c r="AK158" s="22">
        <f>IF(E158&gt;=Upgrades!$E$13,"",Upgrades!$C$13*POWER(Upgrades!$D$13,E158))</f>
        <v/>
      </c>
      <c r="AL158" s="22">
        <f>IF(F158&gt;=Upgrades!$E$14,"",Upgrades!$C$14*POWER(Upgrades!$D$14,F158))</f>
        <v/>
      </c>
      <c r="AM158" s="22">
        <f>IF(G158&gt;=Upgrades!$E$15,"",Upgrades!$C$15*POWER(Upgrades!$D$15,G158))</f>
        <v/>
      </c>
      <c r="AN158" s="22">
        <f>IF(H158&gt;=Upgrades!$E$16,"",Upgrades!$C$16*POWER(Upgrades!$D$16,H158))</f>
        <v/>
      </c>
      <c r="AO158" s="22">
        <f>IF(I158&gt;=Upgrades!$E$17,"",Upgrades!$C$17*POWER(Upgrades!$D$17,I158))</f>
        <v/>
      </c>
      <c r="AP158" s="22">
        <f>IF(J158&gt;=Upgrades!$E$18,"",Upgrades!$C$18*POWER(Upgrades!$D$18,J158))</f>
        <v/>
      </c>
      <c r="AQ158" s="22">
        <f>IF(K158&gt;=Upgrades!$E$19,"",Upgrades!$C$19*POWER(Upgrades!$D$19,K158))</f>
        <v/>
      </c>
      <c r="AR158" s="22">
        <f>IF(L158&gt;=Upgrades!$E$20,"",Upgrades!$C$20*POWER(Upgrades!$D$20,L158))</f>
        <v/>
      </c>
      <c r="AS158" s="22">
        <f>IF(M158&gt;=Upgrades!$E$21,"",Upgrades!$C$21*POWER(Upgrades!$D$21,M158))</f>
        <v/>
      </c>
      <c r="AT158" s="26">
        <f>IF(AND(D158&gt;=Parameters!$B$18*Parameters!$B$19,(I158&gt;=Upgrades!$E$17)*(M158&gt;=Upgrades!$E$21)=1,N158=0),1,"")</f>
        <v/>
      </c>
      <c r="AU158" s="26">
        <f>IF(AND(D158&gt;=Parameters!$B$18*Parameters!$B$19,N158=0),1,"")</f>
        <v/>
      </c>
      <c r="AV158" s="22">
        <f>MIN(IF(ISNUMBER(AP158),AP158,9E15),IF(ISNUMBER(AQ158),AQ158,9E15),IF(ISNUMBER(AR158),AR158,9E15),IF(ISNUMBER(AS158),AS158,9E15))</f>
        <v/>
      </c>
      <c r="AW158" s="22">
        <f>MIN(IF(ISNUMBER(AK158),AK158,9E15),IF(ISNUMBER(AL158),AL158,9E15),IF(ISNUMBER(AM158),AM158,9E15),IF(ISNUMBER(AN158),AN158,9E15),IF(ISNUMBER(AO158),AO158,9E15))</f>
        <v/>
      </c>
      <c r="AX158" s="29">
        <f>IF(BD158&gt;Parameters!$B$21*(MAX(IF(AND(NOT(AND(AU158=1,AT158&lt;&gt;1)),ISNUMBER(AK158),AK158&lt;=(C158+T158)),AY158,0),IF(AND(NOT(AND(AU158=1,AT158&lt;&gt;1)),ISNUMBER(AL158),AL158&lt;=(C158+T158)),AZ158,0),IF(AND(NOT(AND(AU158=1,AT158&lt;&gt;1)),ISNUMBER(AM158),AM158&lt;=(C158+T158)),BA158,0),IF(AND(NOT(AND(AU158=1,AT158&lt;&gt;1)),ISNUMBER(AN158),AN158&lt;=(C158+T158)),BB158,0),IF(AND(ISNUMBER(AO158),AO158&lt;=(C158+T158)),BC158,0))),TRUE,FALSE)</f>
        <v/>
      </c>
      <c r="AY158" s="32">
        <f>IFERROR(Upgrades!$H$13*(POWER(Upgrades!$P$13,E158)*POWER(Upgrades!$P$14,F158)*POWER(Upgrades!$P$15,G158)*POWER(Upgrades!$P$16,H158)*POWER(Upgrades!$P$17,I158)*POWER(Upgrades!$P$18,J158)*POWER(Upgrades!$P$19,K158)*POWER(Upgrades!$P$20,L158)*POWER(Upgrades!$P$21,M158))*(IF(Upgrades!$T$14="Stellar Kinematics",POWER(Upgrades!$U$14,F158),1)*IF(Upgrades!$T$15="Stellar Kinematics",POWER(Upgrades!$U$15,G158),1)*IF(Upgrades!$T$16="Stellar Kinematics",POWER(Upgrades!$U$16,H158),1)*IF(Upgrades!$T$17="Stellar Kinematics",POWER(Upgrades!$U$17,I158),1)*IF(Upgrades!$T$18="Stellar Kinematics",POWER(Upgrades!$U$18,J158),1)*IF(Upgrades!$T$19="Stellar Kinematics",POWER(Upgrades!$U$19,K158),1)*IF(Upgrades!$T$20="Stellar Kinematics",POWER(Upgrades!$U$20,L158),1)*IF(Upgrades!$T$21="Stellar Kinematics",POWER(Upgrades!$U$21,M158),1))*$F$6/AK158,0)</f>
        <v/>
      </c>
      <c r="AZ158" s="32">
        <f>IFERROR(Upgrades!$H$14*(POWER(Upgrades!$P$13,E158)*POWER(Upgrades!$P$14,F158)*POWER(Upgrades!$P$15,G158)*POWER(Upgrades!$P$16,H158)*POWER(Upgrades!$P$17,I158)*POWER(Upgrades!$P$18,J158)*POWER(Upgrades!$P$19,K158)*POWER(Upgrades!$P$20,L158)*POWER(Upgrades!$P$21,M158))*(IF(Upgrades!$T$13="Local Bubble",POWER(Upgrades!$U$13,E158),1)*IF(Upgrades!$T$15="Local Bubble",POWER(Upgrades!$U$15,G158),1)*IF(Upgrades!$T$16="Local Bubble",POWER(Upgrades!$U$16,H158),1)*IF(Upgrades!$T$17="Local Bubble",POWER(Upgrades!$U$17,I158),1)*IF(Upgrades!$T$18="Local Bubble",POWER(Upgrades!$U$18,J158),1)*IF(Upgrades!$T$19="Local Bubble",POWER(Upgrades!$U$19,K158),1)*IF(Upgrades!$T$20="Local Bubble",POWER(Upgrades!$U$20,L158),1)*IF(Upgrades!$T$21="Local Bubble",POWER(Upgrades!$U$21,M158),1))*$F$6/AL158,0)</f>
        <v/>
      </c>
      <c r="BA158" s="32">
        <f>IFERROR(Upgrades!$K$15*(POWER(Upgrades!$Q$13,E158)*POWER(Upgrades!$Q$14,F158)*POWER(Upgrades!$Q$15,G158)*POWER(Upgrades!$Q$16,H158)*POWER(Upgrades!$Q$17,I158)*POWER(Upgrades!$Q$18,J158)*POWER(Upgrades!$Q$19,K158)*POWER(Upgrades!$Q$20,L158)*POWER(Upgrades!$Q$21,M158))*(IF(Upgrades!$T$13="Microlensing",POWER(Upgrades!$U$13,E158),1)*IF(Upgrades!$T$14="Microlensing",POWER(Upgrades!$U$14,F158),1)*IF(Upgrades!$T$16="Microlensing",POWER(Upgrades!$U$16,H158),1)*IF(Upgrades!$T$17="Microlensing",POWER(Upgrades!$U$17,I158),1)*IF(Upgrades!$T$18="Microlensing",POWER(Upgrades!$U$18,J158),1)*IF(Upgrades!$T$19="Microlensing",POWER(Upgrades!$U$19,K158),1)*IF(Upgrades!$T$20="Microlensing",POWER(Upgrades!$U$20,L158),1)*IF(Upgrades!$T$21="Microlensing",POWER(Upgrades!$U$21,M158),1))*$G$6*(Parameters!$B$10/60*Parameters!$B$11+Q158)/AM158,0)</f>
        <v/>
      </c>
      <c r="BB158" s="32">
        <f>IFERROR((Upgrades!$N$16*(POWER(Upgrades!$R$13,E158)*POWER(Upgrades!$R$14,F158)*POWER(Upgrades!$R$15,G158)*POWER(Upgrades!$R$16,H158)*POWER(Upgrades!$R$17,I158)*POWER(Upgrades!$R$18,J158)*POWER(Upgrades!$R$19,K158)*POWER(Upgrades!$R$20,L158)*POWER(Upgrades!$R$21,M158))*(IF(Upgrades!$T$13="Roche Lobe Overflow",POWER(Upgrades!$U$13,E158),1)*IF(Upgrades!$T$14="Roche Lobe Overflow",POWER(Upgrades!$U$14,F158),1)*IF(Upgrades!$T$15="Roche Lobe Overflow",POWER(Upgrades!$U$15,G158),1)*IF(Upgrades!$T$17="Roche Lobe Overflow",POWER(Upgrades!$U$17,I158),1)*IF(Upgrades!$T$18="Roche Lobe Overflow",POWER(Upgrades!$U$18,J158),1)*IF(Upgrades!$T$19="Roche Lobe Overflow",POWER(Upgrades!$U$19,K158),1)*IF(Upgrades!$T$20="Roche Lobe Overflow",POWER(Upgrades!$U$20,L158),1)*IF(Upgrades!$T$21="Roche Lobe Overflow",POWER(Upgrades!$U$21,M158),1))*$H$6*O158+((IF(F158=0,0,(Upgrades!$G$14+F158*Upgrades!$H$14)*POWER(Upgrades!$I$14,F158)))*(IF(Upgrades!$T$13="Local Bubble",POWER(Upgrades!$U$13,E158),1)*IF(Upgrades!$T$15="Local Bubble",POWER(Upgrades!$U$15,G158),1)*IF(Upgrades!$T$16="Local Bubble",POWER(Upgrades!$U$16,H158),1)*IF(Upgrades!$T$17="Local Bubble",POWER(Upgrades!$U$17,I158),1)*IF(Upgrades!$T$18="Local Bubble",POWER(Upgrades!$U$18,J158),1)*IF(Upgrades!$T$19="Local Bubble",POWER(Upgrades!$U$19,K158),1)*IF(Upgrades!$T$20="Local Bubble",POWER(Upgrades!$U$20,L158),1)*IF(Upgrades!$T$21="Local Bubble",POWER(Upgrades!$U$21,M158),1))*POWER(Upgrades!$P$13,E158)*POWER(Upgrades!$P$14,F158)*POWER(Upgrades!$P$15,G158)*POWER(Upgrades!$P$16,H158)*POWER(Upgrades!$P$17,I158)*POWER(Upgrades!$P$18,J158)*POWER(Upgrades!$P$19,K158)*POWER(Upgrades!$P$20,L158)*POWER(Upgrades!$P$21,M158)*$F$6)*0.05)/AN158,0)</f>
        <v/>
      </c>
      <c r="BC158" s="32">
        <f>IFERROR((Upgrades!$H$17*(POWER(Upgrades!$P$13,E158)*POWER(Upgrades!$P$14,F158)*POWER(Upgrades!$P$15,G158)*POWER(Upgrades!$P$16,H158)*POWER(Upgrades!$P$17,I158)*POWER(Upgrades!$P$18,J158)*POWER(Upgrades!$P$19,K158)*POWER(Upgrades!$P$20,L158)*POWER(Upgrades!$P$21,M158))*(IF(Upgrades!$T$13="Brown Dwarf",POWER(Upgrades!$U$13,E158),1)*IF(Upgrades!$T$14="Brown Dwarf",POWER(Upgrades!$U$14,F158),1)*IF(Upgrades!$T$15="Brown Dwarf",POWER(Upgrades!$U$15,G158),1)*IF(Upgrades!$T$16="Brown Dwarf",POWER(Upgrades!$U$16,H158),1)*IF(Upgrades!$T$18="Brown Dwarf",POWER(Upgrades!$U$18,J158),1)*IF(Upgrades!$T$19="Brown Dwarf",POWER(Upgrades!$U$19,K158),1)*IF(Upgrades!$T$20="Brown Dwarf",POWER(Upgrades!$U$20,L158),1)*IF(Upgrades!$T$21="Brown Dwarf",POWER(Upgrades!$U$21,M158),1))*$F$6+(((IF(H158=0,0,(Upgrades!$M$16+H158*Upgrades!$N$16)*POWER(Upgrades!$O$16,H158)))*(IF(Upgrades!$T$13="Roche Lobe Overflow",POWER(Upgrades!$U$13,E158),1)*IF(Upgrades!$T$14="Roche Lobe Overflow",POWER(Upgrades!$U$14,F158),1)*IF(Upgrades!$T$15="Roche Lobe Overflow",POWER(Upgrades!$U$15,G158),1)*IF(Upgrades!$T$17="Roche Lobe Overflow",POWER(Upgrades!$U$17,I158),1)*IF(Upgrades!$T$18="Roche Lobe Overflow",POWER(Upgrades!$U$18,J158),1)*IF(Upgrades!$T$19="Roche Lobe Overflow",POWER(Upgrades!$U$19,K158),1)*IF(Upgrades!$T$20="Roche Lobe Overflow",POWER(Upgrades!$U$20,L158),1)*IF(Upgrades!$T$21="Roche Lobe Overflow",POWER(Upgrades!$U$21,M158),1))*POWER(Upgrades!$R$13,E158)*POWER(Upgrades!$R$14,F158)*POWER(Upgrades!$R$15,G158)*POWER(Upgrades!$R$16,H158)*POWER(Upgrades!$R$17,I158)*POWER(Upgrades!$R$18,J158)*POWER(Upgrades!$R$19,K158)*POWER(Upgrades!$R$20,L158)*POWER(Upgrades!$R$21,M158)*$H$6)*O158)*0.10)/AO158,0)</f>
        <v/>
      </c>
      <c r="BD158" s="32">
        <f>MAX(IF(J158&gt;0,0,IFERROR(0.5*((IF(G158=0,0,(Upgrades!$J$15+G158*Upgrades!$K$15)*POWER(Upgrades!$L$15,G158)))*(IF(Upgrades!$T$13="Microlensing",POWER(Upgrades!$U$13,E158),1)*IF(Upgrades!$T$14="Microlensing",POWER(Upgrades!$U$14,F158),1)*IF(Upgrades!$T$16="Microlensing",POWER(Upgrades!$U$16,H158),1)*IF(Upgrades!$T$17="Microlensing",POWER(Upgrades!$U$17,I158),1)*IF(Upgrades!$T$18="Microlensing",POWER(Upgrades!$U$18,J158),1)*IF(Upgrades!$T$19="Microlensing",POWER(Upgrades!$U$19,K158),1)*IF(Upgrades!$T$20="Microlensing",POWER(Upgrades!$U$20,L158),1)*IF(Upgrades!$T$21="Microlensing",POWER(Upgrades!$U$21,M158),1))*(POWER(Upgrades!$Q$13,E158)*POWER(Upgrades!$Q$14,F158)*POWER(Upgrades!$Q$15,G158)*POWER(Upgrades!$Q$16,H158)*POWER(Upgrades!$Q$17,I158)*POWER(Upgrades!$Q$18,J158)*POWER(Upgrades!$Q$19,K158)*POWER(Upgrades!$Q$20,L158)*POWER(Upgrades!$Q$21,M158))*$G$6*(Parameters!$B$10/60*Parameters!$B$11+Q158))/Upgrades!$C$18,0)),IF(K158&gt;0,0,IFERROR(0.30*P158/Upgrades!$C$19,0)),IF(L158&gt;0,0,IFERROR(0.0001/Upgrades!$C$20,0)),IF(M158&gt;0,0,IFERROR((6.0*(POWER(Upgrades!$P$13,E158)*POWER(Upgrades!$P$14,F158)*POWER(Upgrades!$P$15,G158)*POWER(Upgrades!$P$16,H158)*POWER(Upgrades!$P$17,I158)*POWER(Upgrades!$P$18,J158)*POWER(Upgrades!$P$19,K158)*POWER(Upgrades!$P$20,L158)*POWER(Upgrades!$P$21,M158))*$F$6+0.20*O158*(Parameters!$B$10/60*Parameters!$B$11+Q158))/Upgrades!$C$21,0)),IF(AND(ISNUMBER(AK158),AK158&gt;(C158+T158)),AY158,0),IF(AND(ISNUMBER(AL158),AL158&gt;(C158+T158)),AZ158,0),IF(AND(ISNUMBER(AM158),AM158&gt;(C158+T158)),BA158,0),IF(AND(ISNUMBER(AN158),AN158&gt;(C158+T158)),BB158,0),IF(AND(ISNUMBER(AO158),AO158&gt;(C158+T158)),BC158,0))</f>
        <v/>
      </c>
      <c r="BE158" s="29">
        <f>IF(AT158=1,"transition",IF(MIN(IF(AND(J158=0,ISNUMBER(AP158),AP158&lt;=(C158+T158)),AP158,9E15),IF(AND(K158=0,ISNUMBER(AQ158),AQ158&lt;=(C158+T158)),AQ158,9E15),IF(AND(L158=0,ISNUMBER(AR158),AR158&lt;=(C158+T158)),AR158,9E15),IF(AND(M158=0,ISNUMBER(AS158),AS158&lt;=(C158+T158)),AS158,9E15))&lt;9E15,IF(AND(AND(J158=0,ISNUMBER(AP158),AP158&lt;=(C158+T158)),AP158=MIN(IF(AND(J158=0,ISNUMBER(AP158),AP158&lt;=(C158+T158)),AP158,9E15),IF(AND(K158=0,ISNUMBER(AQ158),AQ158&lt;=(C158+T158)),AQ158,9E15),IF(AND(L158=0,ISNUMBER(AR158),AR158&lt;=(C158+T158)),AR158,9E15),IF(AND(M158=0,ISNUMBER(AS158),AS158&lt;=(C158+T158)),AS158,9E15))),"BiP",IF(AND(AND(K158=0,ISNUMBER(AQ158),AQ158&lt;=(C158+T158)),AQ158=MIN(IF(AND(J158=0,ISNUMBER(AP158),AP158&lt;=(C158+T158)),AP158,9E15),IF(AND(K158=0,ISNUMBER(AQ158),AQ158&lt;=(C158+T158)),AQ158,9E15),IF(AND(L158=0,ISNUMBER(AR158),AR158&lt;=(C158+T158)),AR158,9E15),IF(AND(M158=0,ISNUMBER(AS158),AS158&lt;=(C158+T158)),AS158,9E15))),"PV",IF(AND(AND(L158=0,ISNUMBER(AR158),AR158&lt;=(C158+T158)),AR158=MIN(IF(AND(J158=0,ISNUMBER(AP158),AP158&lt;=(C158+T158)),AP158,9E15),IF(AND(K158=0,ISNUMBER(AQ158),AQ158&lt;=(C158+T158)),AQ158,9E15),IF(AND(L158=0,ISNUMBER(AR158),AR158&lt;=(C158+T158)),AR158,9E15),IF(AND(M158=0,ISNUMBER(AS158),AS158&lt;=(C158+T158)),AS158,9E15))),"OC","MG"))),IF(AX158=TRUE,"",IF(MAX(IF(AND(NOT(AND(AU158=1,AT158&lt;&gt;1)),ISNUMBER(AK158),AK158&lt;=(C158+T158)),AY158,0),IF(AND(NOT(AND(AU158=1,AT158&lt;&gt;1)),ISNUMBER(AL158),AL158&lt;=(C158+T158)),AZ158,0),IF(AND(NOT(AND(AU158=1,AT158&lt;&gt;1)),ISNUMBER(AM158),AM158&lt;=(C158+T158)),BA158,0),IF(AND(NOT(AND(AU158=1,AT158&lt;&gt;1)),ISNUMBER(AN158),AN158&lt;=(C158+T158)),BB158,0),IF(AND(ISNUMBER(AO158),AO158&lt;=(C158+T158)),BC158,0))&lt;=0,"",IF(AND(IF(AND(NOT(AND(AU158=1,AT158&lt;&gt;1)),ISNUMBER(AK158),AK158&lt;=(C158+T158)),AY158,0)&gt;0,IF(AND(NOT(AND(AU158=1,AT158&lt;&gt;1)),ISNUMBER(AK158),AK158&lt;=(C158+T158)),AY158,0)=MAX(IF(AND(NOT(AND(AU158=1,AT158&lt;&gt;1)),ISNUMBER(AK158),AK158&lt;=(C158+T158)),AY158,0),IF(AND(NOT(AND(AU158=1,AT158&lt;&gt;1)),ISNUMBER(AL158),AL158&lt;=(C158+T158)),AZ158,0),IF(AND(NOT(AND(AU158=1,AT158&lt;&gt;1)),ISNUMBER(AM158),AM158&lt;=(C158+T158)),BA158,0),IF(AND(NOT(AND(AU158=1,AT158&lt;&gt;1)),ISNUMBER(AN158),AN158&lt;=(C158+T158)),BB158,0),IF(AND(ISNUMBER(AO158),AO158&lt;=(C158+T158)),BC158,0))),"SK",IF(AND(IF(AND(NOT(AND(AU158=1,AT158&lt;&gt;1)),ISNUMBER(AL158),AL158&lt;=(C158+T158)),AZ158,0)&gt;0,IF(AND(NOT(AND(AU158=1,AT158&lt;&gt;1)),ISNUMBER(AL158),AL158&lt;=(C158+T158)),AZ158,0)=MAX(IF(AND(NOT(AND(AU158=1,AT158&lt;&gt;1)),ISNUMBER(AK158),AK158&lt;=(C158+T158)),AY158,0),IF(AND(NOT(AND(AU158=1,AT158&lt;&gt;1)),ISNUMBER(AL158),AL158&lt;=(C158+T158)),AZ158,0),IF(AND(NOT(AND(AU158=1,AT158&lt;&gt;1)),ISNUMBER(AM158),AM158&lt;=(C158+T158)),BA158,0),IF(AND(NOT(AND(AU158=1,AT158&lt;&gt;1)),ISNUMBER(AN158),AN158&lt;=(C158+T158)),BB158,0),IF(AND(ISNUMBER(AO158),AO158&lt;=(C158+T158)),BC158,0))),"LB",IF(AND(IF(AND(NOT(AND(AU158=1,AT158&lt;&gt;1)),ISNUMBER(AM158),AM158&lt;=(C158+T158)),BA158,0)&gt;0,IF(AND(NOT(AND(AU158=1,AT158&lt;&gt;1)),ISNUMBER(AM158),AM158&lt;=(C158+T158)),BA158,0)=MAX(IF(AND(NOT(AND(AU158=1,AT158&lt;&gt;1)),ISNUMBER(AK158),AK158&lt;=(C158+T158)),AY158,0),IF(AND(NOT(AND(AU158=1,AT158&lt;&gt;1)),ISNUMBER(AL158),AL158&lt;=(C158+T158)),AZ158,0),IF(AND(NOT(AND(AU158=1,AT158&lt;&gt;1)),ISNUMBER(AM158),AM158&lt;=(C158+T158)),BA158,0),IF(AND(NOT(AND(AU158=1,AT158&lt;&gt;1)),ISNUMBER(AN158),AN158&lt;=(C158+T158)),BB158,0),IF(AND(ISNUMBER(AO158),AO158&lt;=(C158+T158)),BC158,0))),"ML",IF(AND(IF(AND(NOT(AND(AU158=1,AT158&lt;&gt;1)),ISNUMBER(AN158),AN158&lt;=(C158+T158)),BB158,0)&gt;0,IF(AND(NOT(AND(AU158=1,AT158&lt;&gt;1)),ISNUMBER(AN158),AN158&lt;=(C158+T158)),BB158,0)=MAX(IF(AND(NOT(AND(AU158=1,AT158&lt;&gt;1)),ISNUMBER(AK158),AK158&lt;=(C158+T158)),AY158,0),IF(AND(NOT(AND(AU158=1,AT158&lt;&gt;1)),ISNUMBER(AL158),AL158&lt;=(C158+T158)),AZ158,0),IF(AND(NOT(AND(AU158=1,AT158&lt;&gt;1)),ISNUMBER(AM158),AM158&lt;=(C158+T158)),BA158,0),IF(AND(NOT(AND(AU158=1,AT158&lt;&gt;1)),ISNUMBER(AN158),AN158&lt;=(C158+T158)),BB158,0),IF(AND(ISNUMBER(AO158),AO158&lt;=(C158+T158)),BC158,0))),"RLO","BD"))))))))</f>
        <v/>
      </c>
    </row>
    <row r="159">
      <c r="A159" s="26" t="n">
        <v>148</v>
      </c>
      <c r="B159" s="27">
        <f>A159*10/60</f>
        <v/>
      </c>
      <c r="C159" s="22">
        <f>X158</f>
        <v/>
      </c>
      <c r="D159" s="27">
        <f>D158+W158</f>
        <v/>
      </c>
      <c r="E159" s="26">
        <f>E158+IF(U158="SK",1,0)</f>
        <v/>
      </c>
      <c r="F159" s="26">
        <f>F158+IF(U158="LB",1,0)</f>
        <v/>
      </c>
      <c r="G159" s="26">
        <f>G158+IF(U158="ML",1,0)</f>
        <v/>
      </c>
      <c r="H159" s="26">
        <f>H158+IF(U158="RLO",1,0)</f>
        <v/>
      </c>
      <c r="I159" s="26">
        <f>I158+IF(U158="BD",1,0)</f>
        <v/>
      </c>
      <c r="J159" s="26">
        <f>MAX(J158,IF(U158="BiP",1,0))</f>
        <v/>
      </c>
      <c r="K159" s="26">
        <f>MAX(K158,IF(U158="PV",1,0))</f>
        <v/>
      </c>
      <c r="L159" s="26">
        <f>MAX(L158,IF(U158="OC",1,0))</f>
        <v/>
      </c>
      <c r="M159" s="26">
        <f>MAX(M158,IF(U158="MG",1,0))</f>
        <v/>
      </c>
      <c r="N159" s="26">
        <f>MAX(N158,IF(U158="transition",1,0))</f>
        <v/>
      </c>
      <c r="O159" s="28">
        <f>(Parameters!$B$9+(IF(E159=0,0,(Upgrades!$J$13+E159*Upgrades!$K$13)*POWER(Upgrades!$L$13,E159)))*(IF(Upgrades!$T$14="Stellar Kinematics",POWER(Upgrades!$U$14,F159),1)*IF(Upgrades!$T$15="Stellar Kinematics",POWER(Upgrades!$U$15,G159),1)*IF(Upgrades!$T$16="Stellar Kinematics",POWER(Upgrades!$U$16,H159),1)*IF(Upgrades!$T$17="Stellar Kinematics",POWER(Upgrades!$U$17,I159),1)*IF(Upgrades!$T$18="Stellar Kinematics",POWER(Upgrades!$U$18,J159),1)*IF(Upgrades!$T$19="Stellar Kinematics",POWER(Upgrades!$U$19,K159),1)*IF(Upgrades!$T$20="Stellar Kinematics",POWER(Upgrades!$U$20,L159),1)*IF(Upgrades!$T$21="Stellar Kinematics",POWER(Upgrades!$U$21,M159),1))+(IF(F159=0,0,(Upgrades!$J$14+F159*Upgrades!$K$14)*POWER(Upgrades!$L$14,F159)))*(IF(Upgrades!$T$13="Local Bubble",POWER(Upgrades!$U$13,E159),1)*IF(Upgrades!$T$15="Local Bubble",POWER(Upgrades!$U$15,G159),1)*IF(Upgrades!$T$16="Local Bubble",POWER(Upgrades!$U$16,H159),1)*IF(Upgrades!$T$17="Local Bubble",POWER(Upgrades!$U$17,I159),1)*IF(Upgrades!$T$18="Local Bubble",POWER(Upgrades!$U$18,J159),1)*IF(Upgrades!$T$19="Local Bubble",POWER(Upgrades!$U$19,K159),1)*IF(Upgrades!$T$20="Local Bubble",POWER(Upgrades!$U$20,L159),1)*IF(Upgrades!$T$21="Local Bubble",POWER(Upgrades!$U$21,M159),1))+(IF(G159=0,0,(Upgrades!$J$15+G159*Upgrades!$K$15)*POWER(Upgrades!$L$15,G159)))*(IF(Upgrades!$T$13="Microlensing",POWER(Upgrades!$U$13,E159),1)*IF(Upgrades!$T$14="Microlensing",POWER(Upgrades!$U$14,F159),1)*IF(Upgrades!$T$16="Microlensing",POWER(Upgrades!$U$16,H159),1)*IF(Upgrades!$T$17="Microlensing",POWER(Upgrades!$U$17,I159),1)*IF(Upgrades!$T$18="Microlensing",POWER(Upgrades!$U$18,J159),1)*IF(Upgrades!$T$19="Microlensing",POWER(Upgrades!$U$19,K159),1)*IF(Upgrades!$T$20="Microlensing",POWER(Upgrades!$U$20,L159),1)*IF(Upgrades!$T$21="Microlensing",POWER(Upgrades!$U$21,M159),1))+(IF(H159=0,0,(Upgrades!$J$16+H159*Upgrades!$K$16)*POWER(Upgrades!$L$16,H159)))*(IF(Upgrades!$T$13="Roche Lobe Overflow",POWER(Upgrades!$U$13,E159),1)*IF(Upgrades!$T$14="Roche Lobe Overflow",POWER(Upgrades!$U$14,F159),1)*IF(Upgrades!$T$15="Roche Lobe Overflow",POWER(Upgrades!$U$15,G159),1)*IF(Upgrades!$T$17="Roche Lobe Overflow",POWER(Upgrades!$U$17,I159),1)*IF(Upgrades!$T$18="Roche Lobe Overflow",POWER(Upgrades!$U$18,J159),1)*IF(Upgrades!$T$19="Roche Lobe Overflow",POWER(Upgrades!$U$19,K159),1)*IF(Upgrades!$T$20="Roche Lobe Overflow",POWER(Upgrades!$U$20,L159),1)*IF(Upgrades!$T$21="Roche Lobe Overflow",POWER(Upgrades!$U$21,M159),1))+(IF(I159=0,0,(Upgrades!$J$17+I159*Upgrades!$K$17)*POWER(Upgrades!$L$17,I159)))*(IF(Upgrades!$T$13="Brown Dwarf",POWER(Upgrades!$U$13,E159),1)*IF(Upgrades!$T$14="Brown Dwarf",POWER(Upgrades!$U$14,F159),1)*IF(Upgrades!$T$15="Brown Dwarf",POWER(Upgrades!$U$15,G159),1)*IF(Upgrades!$T$16="Brown Dwarf",POWER(Upgrades!$U$16,H159),1)*IF(Upgrades!$T$18="Brown Dwarf",POWER(Upgrades!$U$18,J159),1)*IF(Upgrades!$T$19="Brown Dwarf",POWER(Upgrades!$U$19,K159),1)*IF(Upgrades!$T$20="Brown Dwarf",POWER(Upgrades!$U$20,L159),1)*IF(Upgrades!$T$21="Brown Dwarf",POWER(Upgrades!$U$21,M159),1))+(IF(J159=0,0,(Upgrades!$J$18+J159*Upgrades!$K$18)*POWER(Upgrades!$L$18,J159)))*(IF(Upgrades!$T$13="Binary Partner",POWER(Upgrades!$U$13,E159),1)*IF(Upgrades!$T$14="Binary Partner",POWER(Upgrades!$U$14,F159),1)*IF(Upgrades!$T$15="Binary Partner",POWER(Upgrades!$U$15,G159),1)*IF(Upgrades!$T$16="Binary Partner",POWER(Upgrades!$U$16,H159),1)*IF(Upgrades!$T$17="Binary Partner",POWER(Upgrades!$U$17,I159),1)*IF(Upgrades!$T$19="Binary Partner",POWER(Upgrades!$U$19,K159),1)*IF(Upgrades!$T$20="Binary Partner",POWER(Upgrades!$U$20,L159),1)*IF(Upgrades!$T$21="Binary Partner",POWER(Upgrades!$U$21,M159),1))+(IF(K159=0,0,(Upgrades!$J$19+K159*Upgrades!$K$19)*POWER(Upgrades!$L$19,K159)))*(IF(Upgrades!$T$13="Peculiar Velocity",POWER(Upgrades!$U$13,E159),1)*IF(Upgrades!$T$14="Peculiar Velocity",POWER(Upgrades!$U$14,F159),1)*IF(Upgrades!$T$15="Peculiar Velocity",POWER(Upgrades!$U$15,G159),1)*IF(Upgrades!$T$16="Peculiar Velocity",POWER(Upgrades!$U$16,H159),1)*IF(Upgrades!$T$17="Peculiar Velocity",POWER(Upgrades!$U$17,I159),1)*IF(Upgrades!$T$18="Peculiar Velocity",POWER(Upgrades!$U$18,J159),1)*IF(Upgrades!$T$20="Peculiar Velocity",POWER(Upgrades!$U$20,L159),1)*IF(Upgrades!$T$21="Peculiar Velocity",POWER(Upgrades!$U$21,M159),1))+(IF(L159=0,0,(Upgrades!$J$20+L159*Upgrades!$K$20)*POWER(Upgrades!$L$20,L159)))*(IF(Upgrades!$T$13="Open Cluster",POWER(Upgrades!$U$13,E159),1)*IF(Upgrades!$T$14="Open Cluster",POWER(Upgrades!$U$14,F159),1)*IF(Upgrades!$T$15="Open Cluster",POWER(Upgrades!$U$15,G159),1)*IF(Upgrades!$T$16="Open Cluster",POWER(Upgrades!$U$16,H159),1)*IF(Upgrades!$T$17="Open Cluster",POWER(Upgrades!$U$17,I159),1)*IF(Upgrades!$T$18="Open Cluster",POWER(Upgrades!$U$18,J159),1)*IF(Upgrades!$T$19="Open Cluster",POWER(Upgrades!$U$19,K159),1)*IF(Upgrades!$T$21="Open Cluster",POWER(Upgrades!$U$21,M159),1))+(IF(M159=0,0,(Upgrades!$J$21+M159*Upgrades!$K$21)*POWER(Upgrades!$L$21,M159)))*(IF(Upgrades!$T$13="Moving Group",POWER(Upgrades!$U$13,E159),1)*IF(Upgrades!$T$14="Moving Group",POWER(Upgrades!$U$14,F159),1)*IF(Upgrades!$T$15="Moving Group",POWER(Upgrades!$U$15,G159),1)*IF(Upgrades!$T$16="Moving Group",POWER(Upgrades!$U$16,H159),1)*IF(Upgrades!$T$17="Moving Group",POWER(Upgrades!$U$17,I159),1)*IF(Upgrades!$T$18="Moving Group",POWER(Upgrades!$U$18,J159),1)*IF(Upgrades!$T$19="Moving Group",POWER(Upgrades!$U$19,K159),1)*IF(Upgrades!$T$20="Moving Group",POWER(Upgrades!$U$20,L159),1)))*POWER(Upgrades!$Q$13,E159)*POWER(Upgrades!$Q$14,F159)*POWER(Upgrades!$Q$15,G159)*POWER(Upgrades!$Q$16,H159)*POWER(Upgrades!$Q$17,I159)*POWER(Upgrades!$Q$18,J159)*POWER(Upgrades!$Q$19,K159)*POWER(Upgrades!$Q$20,L159)*POWER(Upgrades!$Q$21,M159)*$G$6+$D$6</f>
        <v/>
      </c>
      <c r="P159" s="28">
        <f>((IF(E159=0,0,(Upgrades!$G$13+E159*Upgrades!$H$13)*POWER(Upgrades!$I$13,E159)))*(IF(Upgrades!$T$14="Stellar Kinematics",POWER(Upgrades!$U$14,F159),1)*IF(Upgrades!$T$15="Stellar Kinematics",POWER(Upgrades!$U$15,G159),1)*IF(Upgrades!$T$16="Stellar Kinematics",POWER(Upgrades!$U$16,H159),1)*IF(Upgrades!$T$17="Stellar Kinematics",POWER(Upgrades!$U$17,I159),1)*IF(Upgrades!$T$18="Stellar Kinematics",POWER(Upgrades!$U$18,J159),1)*IF(Upgrades!$T$19="Stellar Kinematics",POWER(Upgrades!$U$19,K159),1)*IF(Upgrades!$T$20="Stellar Kinematics",POWER(Upgrades!$U$20,L159),1)*IF(Upgrades!$T$21="Stellar Kinematics",POWER(Upgrades!$U$21,M159),1))+(IF(F159=0,0,(Upgrades!$G$14+F159*Upgrades!$H$14)*POWER(Upgrades!$I$14,F159)))*(IF(Upgrades!$T$13="Local Bubble",POWER(Upgrades!$U$13,E159),1)*IF(Upgrades!$T$15="Local Bubble",POWER(Upgrades!$U$15,G159),1)*IF(Upgrades!$T$16="Local Bubble",POWER(Upgrades!$U$16,H159),1)*IF(Upgrades!$T$17="Local Bubble",POWER(Upgrades!$U$17,I159),1)*IF(Upgrades!$T$18="Local Bubble",POWER(Upgrades!$U$18,J159),1)*IF(Upgrades!$T$19="Local Bubble",POWER(Upgrades!$U$19,K159),1)*IF(Upgrades!$T$20="Local Bubble",POWER(Upgrades!$U$20,L159),1)*IF(Upgrades!$T$21="Local Bubble",POWER(Upgrades!$U$21,M159),1))+(IF(G159=0,0,(Upgrades!$G$15+G159*Upgrades!$H$15)*POWER(Upgrades!$I$15,G159)))*(IF(Upgrades!$T$13="Microlensing",POWER(Upgrades!$U$13,E159),1)*IF(Upgrades!$T$14="Microlensing",POWER(Upgrades!$U$14,F159),1)*IF(Upgrades!$T$16="Microlensing",POWER(Upgrades!$U$16,H159),1)*IF(Upgrades!$T$17="Microlensing",POWER(Upgrades!$U$17,I159),1)*IF(Upgrades!$T$18="Microlensing",POWER(Upgrades!$U$18,J159),1)*IF(Upgrades!$T$19="Microlensing",POWER(Upgrades!$U$19,K159),1)*IF(Upgrades!$T$20="Microlensing",POWER(Upgrades!$U$20,L159),1)*IF(Upgrades!$T$21="Microlensing",POWER(Upgrades!$U$21,M159),1))+(IF(H159=0,0,(Upgrades!$G$16+H159*Upgrades!$H$16)*POWER(Upgrades!$I$16,H159)))*(IF(Upgrades!$T$13="Roche Lobe Overflow",POWER(Upgrades!$U$13,E159),1)*IF(Upgrades!$T$14="Roche Lobe Overflow",POWER(Upgrades!$U$14,F159),1)*IF(Upgrades!$T$15="Roche Lobe Overflow",POWER(Upgrades!$U$15,G159),1)*IF(Upgrades!$T$17="Roche Lobe Overflow",POWER(Upgrades!$U$17,I159),1)*IF(Upgrades!$T$18="Roche Lobe Overflow",POWER(Upgrades!$U$18,J159),1)*IF(Upgrades!$T$19="Roche Lobe Overflow",POWER(Upgrades!$U$19,K159),1)*IF(Upgrades!$T$20="Roche Lobe Overflow",POWER(Upgrades!$U$20,L159),1)*IF(Upgrades!$T$21="Roche Lobe Overflow",POWER(Upgrades!$U$21,M159),1))+(IF(I159=0,0,(Upgrades!$G$17+I159*Upgrades!$H$17)*POWER(Upgrades!$I$17,I159)))*(IF(Upgrades!$T$13="Brown Dwarf",POWER(Upgrades!$U$13,E159),1)*IF(Upgrades!$T$14="Brown Dwarf",POWER(Upgrades!$U$14,F159),1)*IF(Upgrades!$T$15="Brown Dwarf",POWER(Upgrades!$U$15,G159),1)*IF(Upgrades!$T$16="Brown Dwarf",POWER(Upgrades!$U$16,H159),1)*IF(Upgrades!$T$18="Brown Dwarf",POWER(Upgrades!$U$18,J159),1)*IF(Upgrades!$T$19="Brown Dwarf",POWER(Upgrades!$U$19,K159),1)*IF(Upgrades!$T$20="Brown Dwarf",POWER(Upgrades!$U$20,L159),1)*IF(Upgrades!$T$21="Brown Dwarf",POWER(Upgrades!$U$21,M159),1))+(IF(J159=0,0,(Upgrades!$G$18+J159*Upgrades!$H$18)*POWER(Upgrades!$I$18,J159)))*(IF(Upgrades!$T$13="Binary Partner",POWER(Upgrades!$U$13,E159),1)*IF(Upgrades!$T$14="Binary Partner",POWER(Upgrades!$U$14,F159),1)*IF(Upgrades!$T$15="Binary Partner",POWER(Upgrades!$U$15,G159),1)*IF(Upgrades!$T$16="Binary Partner",POWER(Upgrades!$U$16,H159),1)*IF(Upgrades!$T$17="Binary Partner",POWER(Upgrades!$U$17,I159),1)*IF(Upgrades!$T$19="Binary Partner",POWER(Upgrades!$U$19,K159),1)*IF(Upgrades!$T$20="Binary Partner",POWER(Upgrades!$U$20,L159),1)*IF(Upgrades!$T$21="Binary Partner",POWER(Upgrades!$U$21,M159),1))+(IF(K159=0,0,(Upgrades!$G$19+K159*Upgrades!$H$19)*POWER(Upgrades!$I$19,K159)))*(IF(Upgrades!$T$13="Peculiar Velocity",POWER(Upgrades!$U$13,E159),1)*IF(Upgrades!$T$14="Peculiar Velocity",POWER(Upgrades!$U$14,F159),1)*IF(Upgrades!$T$15="Peculiar Velocity",POWER(Upgrades!$U$15,G159),1)*IF(Upgrades!$T$16="Peculiar Velocity",POWER(Upgrades!$U$16,H159),1)*IF(Upgrades!$T$17="Peculiar Velocity",POWER(Upgrades!$U$17,I159),1)*IF(Upgrades!$T$18="Peculiar Velocity",POWER(Upgrades!$U$18,J159),1)*IF(Upgrades!$T$20="Peculiar Velocity",POWER(Upgrades!$U$20,L159),1)*IF(Upgrades!$T$21="Peculiar Velocity",POWER(Upgrades!$U$21,M159),1))+(IF(L159=0,0,(Upgrades!$G$20+L159*Upgrades!$H$20)*POWER(Upgrades!$I$20,L159)))*(IF(Upgrades!$T$13="Open Cluster",POWER(Upgrades!$U$13,E159),1)*IF(Upgrades!$T$14="Open Cluster",POWER(Upgrades!$U$14,F159),1)*IF(Upgrades!$T$15="Open Cluster",POWER(Upgrades!$U$15,G159),1)*IF(Upgrades!$T$16="Open Cluster",POWER(Upgrades!$U$16,H159),1)*IF(Upgrades!$T$17="Open Cluster",POWER(Upgrades!$U$17,I159),1)*IF(Upgrades!$T$18="Open Cluster",POWER(Upgrades!$U$18,J159),1)*IF(Upgrades!$T$19="Open Cluster",POWER(Upgrades!$U$19,K159),1)*IF(Upgrades!$T$21="Open Cluster",POWER(Upgrades!$U$21,M159),1))+(IF(M159=0,0,(Upgrades!$G$21+M159*Upgrades!$H$21)*POWER(Upgrades!$I$21,M159)))*(IF(Upgrades!$T$13="Moving Group",POWER(Upgrades!$U$13,E159),1)*IF(Upgrades!$T$14="Moving Group",POWER(Upgrades!$U$14,F159),1)*IF(Upgrades!$T$15="Moving Group",POWER(Upgrades!$U$15,G159),1)*IF(Upgrades!$T$16="Moving Group",POWER(Upgrades!$U$16,H159),1)*IF(Upgrades!$T$17="Moving Group",POWER(Upgrades!$U$17,I159),1)*IF(Upgrades!$T$18="Moving Group",POWER(Upgrades!$U$18,J159),1)*IF(Upgrades!$T$19="Moving Group",POWER(Upgrades!$U$19,K159),1)*IF(Upgrades!$T$20="Moving Group",POWER(Upgrades!$U$20,L159),1)))*POWER(Upgrades!$P$13,E159)*POWER(Upgrades!$P$14,F159)*POWER(Upgrades!$P$15,G159)*POWER(Upgrades!$P$16,H159)*POWER(Upgrades!$P$17,I159)*POWER(Upgrades!$P$18,J159)*POWER(Upgrades!$P$19,K159)*POWER(Upgrades!$P$20,L159)*POWER(Upgrades!$P$21,M159)*$F$6+$C$6</f>
        <v/>
      </c>
      <c r="Q159" s="28">
        <f>((IF(E159=0,0,(Upgrades!$M$13+E159*Upgrades!$N$13)*POWER(Upgrades!$O$13,E159)))*(IF(Upgrades!$T$14="Stellar Kinematics",POWER(Upgrades!$U$14,F159),1)*IF(Upgrades!$T$15="Stellar Kinematics",POWER(Upgrades!$U$15,G159),1)*IF(Upgrades!$T$16="Stellar Kinematics",POWER(Upgrades!$U$16,H159),1)*IF(Upgrades!$T$17="Stellar Kinematics",POWER(Upgrades!$U$17,I159),1)*IF(Upgrades!$T$18="Stellar Kinematics",POWER(Upgrades!$U$18,J159),1)*IF(Upgrades!$T$19="Stellar Kinematics",POWER(Upgrades!$U$19,K159),1)*IF(Upgrades!$T$20="Stellar Kinematics",POWER(Upgrades!$U$20,L159),1)*IF(Upgrades!$T$21="Stellar Kinematics",POWER(Upgrades!$U$21,M159),1))+(IF(F159=0,0,(Upgrades!$M$14+F159*Upgrades!$N$14)*POWER(Upgrades!$O$14,F159)))*(IF(Upgrades!$T$13="Local Bubble",POWER(Upgrades!$U$13,E159),1)*IF(Upgrades!$T$15="Local Bubble",POWER(Upgrades!$U$15,G159),1)*IF(Upgrades!$T$16="Local Bubble",POWER(Upgrades!$U$16,H159),1)*IF(Upgrades!$T$17="Local Bubble",POWER(Upgrades!$U$17,I159),1)*IF(Upgrades!$T$18="Local Bubble",POWER(Upgrades!$U$18,J159),1)*IF(Upgrades!$T$19="Local Bubble",POWER(Upgrades!$U$19,K159),1)*IF(Upgrades!$T$20="Local Bubble",POWER(Upgrades!$U$20,L159),1)*IF(Upgrades!$T$21="Local Bubble",POWER(Upgrades!$U$21,M159),1))+(IF(G159=0,0,(Upgrades!$M$15+G159*Upgrades!$N$15)*POWER(Upgrades!$O$15,G159)))*(IF(Upgrades!$T$13="Microlensing",POWER(Upgrades!$U$13,E159),1)*IF(Upgrades!$T$14="Microlensing",POWER(Upgrades!$U$14,F159),1)*IF(Upgrades!$T$16="Microlensing",POWER(Upgrades!$U$16,H159),1)*IF(Upgrades!$T$17="Microlensing",POWER(Upgrades!$U$17,I159),1)*IF(Upgrades!$T$18="Microlensing",POWER(Upgrades!$U$18,J159),1)*IF(Upgrades!$T$19="Microlensing",POWER(Upgrades!$U$19,K159),1)*IF(Upgrades!$T$20="Microlensing",POWER(Upgrades!$U$20,L159),1)*IF(Upgrades!$T$21="Microlensing",POWER(Upgrades!$U$21,M159),1))+(IF(H159=0,0,(Upgrades!$M$16+H159*Upgrades!$N$16)*POWER(Upgrades!$O$16,H159)))*(IF(Upgrades!$T$13="Roche Lobe Overflow",POWER(Upgrades!$U$13,E159),1)*IF(Upgrades!$T$14="Roche Lobe Overflow",POWER(Upgrades!$U$14,F159),1)*IF(Upgrades!$T$15="Roche Lobe Overflow",POWER(Upgrades!$U$15,G159),1)*IF(Upgrades!$T$17="Roche Lobe Overflow",POWER(Upgrades!$U$17,I159),1)*IF(Upgrades!$T$18="Roche Lobe Overflow",POWER(Upgrades!$U$18,J159),1)*IF(Upgrades!$T$19="Roche Lobe Overflow",POWER(Upgrades!$U$19,K159),1)*IF(Upgrades!$T$20="Roche Lobe Overflow",POWER(Upgrades!$U$20,L159),1)*IF(Upgrades!$T$21="Roche Lobe Overflow",POWER(Upgrades!$U$21,M159),1))+(IF(I159=0,0,(Upgrades!$M$17+I159*Upgrades!$N$17)*POWER(Upgrades!$O$17,I159)))*(IF(Upgrades!$T$13="Brown Dwarf",POWER(Upgrades!$U$13,E159),1)*IF(Upgrades!$T$14="Brown Dwarf",POWER(Upgrades!$U$14,F159),1)*IF(Upgrades!$T$15="Brown Dwarf",POWER(Upgrades!$U$15,G159),1)*IF(Upgrades!$T$16="Brown Dwarf",POWER(Upgrades!$U$16,H159),1)*IF(Upgrades!$T$18="Brown Dwarf",POWER(Upgrades!$U$18,J159),1)*IF(Upgrades!$T$19="Brown Dwarf",POWER(Upgrades!$U$19,K159),1)*IF(Upgrades!$T$20="Brown Dwarf",POWER(Upgrades!$U$20,L159),1)*IF(Upgrades!$T$21="Brown Dwarf",POWER(Upgrades!$U$21,M159),1))+(IF(J159=0,0,(Upgrades!$M$18+J159*Upgrades!$N$18)*POWER(Upgrades!$O$18,J159)))*(IF(Upgrades!$T$13="Binary Partner",POWER(Upgrades!$U$13,E159),1)*IF(Upgrades!$T$14="Binary Partner",POWER(Upgrades!$U$14,F159),1)*IF(Upgrades!$T$15="Binary Partner",POWER(Upgrades!$U$15,G159),1)*IF(Upgrades!$T$16="Binary Partner",POWER(Upgrades!$U$16,H159),1)*IF(Upgrades!$T$17="Binary Partner",POWER(Upgrades!$U$17,I159),1)*IF(Upgrades!$T$19="Binary Partner",POWER(Upgrades!$U$19,K159),1)*IF(Upgrades!$T$20="Binary Partner",POWER(Upgrades!$U$20,L159),1)*IF(Upgrades!$T$21="Binary Partner",POWER(Upgrades!$U$21,M159),1))+(IF(K159=0,0,(Upgrades!$M$19+K159*Upgrades!$N$19)*POWER(Upgrades!$O$19,K159)))*(IF(Upgrades!$T$13="Peculiar Velocity",POWER(Upgrades!$U$13,E159),1)*IF(Upgrades!$T$14="Peculiar Velocity",POWER(Upgrades!$U$14,F159),1)*IF(Upgrades!$T$15="Peculiar Velocity",POWER(Upgrades!$U$15,G159),1)*IF(Upgrades!$T$16="Peculiar Velocity",POWER(Upgrades!$U$16,H159),1)*IF(Upgrades!$T$17="Peculiar Velocity",POWER(Upgrades!$U$17,I159),1)*IF(Upgrades!$T$18="Peculiar Velocity",POWER(Upgrades!$U$18,J159),1)*IF(Upgrades!$T$20="Peculiar Velocity",POWER(Upgrades!$U$20,L159),1)*IF(Upgrades!$T$21="Peculiar Velocity",POWER(Upgrades!$U$21,M159),1))+(IF(L159=0,0,(Upgrades!$M$20+L159*Upgrades!$N$20)*POWER(Upgrades!$O$20,L159)))*(IF(Upgrades!$T$13="Open Cluster",POWER(Upgrades!$U$13,E159),1)*IF(Upgrades!$T$14="Open Cluster",POWER(Upgrades!$U$14,F159),1)*IF(Upgrades!$T$15="Open Cluster",POWER(Upgrades!$U$15,G159),1)*IF(Upgrades!$T$16="Open Cluster",POWER(Upgrades!$U$16,H159),1)*IF(Upgrades!$T$17="Open Cluster",POWER(Upgrades!$U$17,I159),1)*IF(Upgrades!$T$18="Open Cluster",POWER(Upgrades!$U$18,J159),1)*IF(Upgrades!$T$19="Open Cluster",POWER(Upgrades!$U$19,K159),1)*IF(Upgrades!$T$21="Open Cluster",POWER(Upgrades!$U$21,M159),1))+(IF(M159=0,0,(Upgrades!$M$21+M159*Upgrades!$N$21)*POWER(Upgrades!$O$21,M159)))*(IF(Upgrades!$T$13="Moving Group",POWER(Upgrades!$U$13,E159),1)*IF(Upgrades!$T$14="Moving Group",POWER(Upgrades!$U$14,F159),1)*IF(Upgrades!$T$15="Moving Group",POWER(Upgrades!$U$15,G159),1)*IF(Upgrades!$T$16="Moving Group",POWER(Upgrades!$U$16,H159),1)*IF(Upgrades!$T$17="Moving Group",POWER(Upgrades!$U$17,I159),1)*IF(Upgrades!$T$18="Moving Group",POWER(Upgrades!$U$18,J159),1)*IF(Upgrades!$T$19="Moving Group",POWER(Upgrades!$U$19,K159),1)*IF(Upgrades!$T$20="Moving Group",POWER(Upgrades!$U$20,L159),1)))*POWER(Upgrades!$R$13,E159)*POWER(Upgrades!$R$14,F159)*POWER(Upgrades!$R$15,G159)*POWER(Upgrades!$R$16,H159)*POWER(Upgrades!$R$17,I159)*POWER(Upgrades!$R$18,J159)*POWER(Upgrades!$R$19,K159)*POWER(Upgrades!$R$20,L159)*POWER(Upgrades!$R$21,M159)*$H$6+$E$6</f>
        <v/>
      </c>
      <c r="R159" s="27">
        <f>IF(N159=1,0,O159*Parameters!$B$10/60*Parameters!$B$11*10)</f>
        <v/>
      </c>
      <c r="S159" s="27">
        <f>IF(N159=1,0,Q159*O159*10)</f>
        <v/>
      </c>
      <c r="T159" s="27">
        <f>IF(N159=1,0,R159+S159+P159*10)</f>
        <v/>
      </c>
      <c r="U159" s="33">
        <f>BE159</f>
        <v/>
      </c>
      <c r="V159" s="22">
        <f>IF(U159="",0,IF(U159="transition",0,IF(U159="SK",AK159,IF(U159="LB",AL159,IF(U159="ML",AM159,IF(U159="RLO",AN159,IF(U159="BD",AO159,IF(U159="BiP",AP159,IF(U159="PV",AQ159,IF(U159="OC",AR159,IF(U159="MG",AS159,0))))))))))</f>
        <v/>
      </c>
      <c r="W159" s="27">
        <f>IF(U159="BiP",Upgrades!$F$18,IF(U159="PV",Upgrades!$F$19,IF(U159="OC",Upgrades!$F$20,IF(U159="MG",Upgrades!$F$21,IF(U159="transition",-Parameters!$B$18*Parameters!$B$19,0)))))</f>
        <v/>
      </c>
      <c r="X159" s="22">
        <f>C159+T159-V159</f>
        <v/>
      </c>
      <c r="Y159" s="30">
        <f>O159*Parameters!$B$10/60*Parameters!$B$11+Q159*O159+P159</f>
        <v/>
      </c>
      <c r="Z159" s="34">
        <f>IF(U159="transition","→ Tier 3 (Galactic Arm)",IF(U159="MG","Moving Group — pocket drifts together",IF(U159="OC","Open Cluster acquired",IF(U159="PV","Peculiar Velocity — passive multiplier active",IF(U159="BiP","Binary Partner — pair bond formed",IF(AND(AU159=1,N159=0,AT159&lt;&gt;1),"Cohesion ready (waiting on completionists)","")))))) </f>
        <v/>
      </c>
      <c r="AA159" s="27">
        <f>(IF(E159=0,0,(Upgrades!$G$13+E159*Upgrades!$H$13)*POWER(Upgrades!$I$13,E159)))*(IF(Upgrades!$T$14="Stellar Kinematics",POWER(Upgrades!$U$14,F159),1)*IF(Upgrades!$T$15="Stellar Kinematics",POWER(Upgrades!$U$15,G159),1)*IF(Upgrades!$T$16="Stellar Kinematics",POWER(Upgrades!$U$16,H159),1)*IF(Upgrades!$T$17="Stellar Kinematics",POWER(Upgrades!$U$17,I159),1)*IF(Upgrades!$T$18="Stellar Kinematics",POWER(Upgrades!$U$18,J159),1)*IF(Upgrades!$T$19="Stellar Kinematics",POWER(Upgrades!$U$19,K159),1)*IF(Upgrades!$T$20="Stellar Kinematics",POWER(Upgrades!$U$20,L159),1)*IF(Upgrades!$T$21="Stellar Kinematics",POWER(Upgrades!$U$21,M159),1))*POWER(Upgrades!$P$13,E159)*POWER(Upgrades!$P$14,F159)*POWER(Upgrades!$P$15,G159)*POWER(Upgrades!$P$16,H159)*POWER(Upgrades!$P$17,I159)*POWER(Upgrades!$P$18,J159)*POWER(Upgrades!$P$19,K159)*POWER(Upgrades!$P$20,L159)*POWER(Upgrades!$P$21,M159)*$F$6*60</f>
        <v/>
      </c>
      <c r="AB159" s="27">
        <f>(IF(F159=0,0,(Upgrades!$G$14+F159*Upgrades!$H$14)*POWER(Upgrades!$I$14,F159)))*(IF(Upgrades!$T$13="Local Bubble",POWER(Upgrades!$U$13,E159),1)*IF(Upgrades!$T$15="Local Bubble",POWER(Upgrades!$U$15,G159),1)*IF(Upgrades!$T$16="Local Bubble",POWER(Upgrades!$U$16,H159),1)*IF(Upgrades!$T$17="Local Bubble",POWER(Upgrades!$U$17,I159),1)*IF(Upgrades!$T$18="Local Bubble",POWER(Upgrades!$U$18,J159),1)*IF(Upgrades!$T$19="Local Bubble",POWER(Upgrades!$U$19,K159),1)*IF(Upgrades!$T$20="Local Bubble",POWER(Upgrades!$U$20,L159),1)*IF(Upgrades!$T$21="Local Bubble",POWER(Upgrades!$U$21,M159),1))*POWER(Upgrades!$P$13,E159)*POWER(Upgrades!$P$14,F159)*POWER(Upgrades!$P$15,G159)*POWER(Upgrades!$P$16,H159)*POWER(Upgrades!$P$17,I159)*POWER(Upgrades!$P$18,J159)*POWER(Upgrades!$P$19,K159)*POWER(Upgrades!$P$20,L159)*POWER(Upgrades!$P$21,M159)*$F$6*60</f>
        <v/>
      </c>
      <c r="AC159" s="27">
        <f>(IF(G159=0,0,(Upgrades!$J$15+G159*Upgrades!$K$15)*POWER(Upgrades!$L$15,G159)))*(IF(Upgrades!$T$13="Microlensing",POWER(Upgrades!$U$13,E159),1)*IF(Upgrades!$T$14="Microlensing",POWER(Upgrades!$U$14,F159),1)*IF(Upgrades!$T$16="Microlensing",POWER(Upgrades!$U$16,H159),1)*IF(Upgrades!$T$17="Microlensing",POWER(Upgrades!$U$17,I159),1)*IF(Upgrades!$T$18="Microlensing",POWER(Upgrades!$U$18,J159),1)*IF(Upgrades!$T$19="Microlensing",POWER(Upgrades!$U$19,K159),1)*IF(Upgrades!$T$20="Microlensing",POWER(Upgrades!$U$20,L159),1)*IF(Upgrades!$T$21="Microlensing",POWER(Upgrades!$U$21,M159),1))*POWER(Upgrades!$Q$13,E159)*POWER(Upgrades!$Q$14,F159)*POWER(Upgrades!$Q$15,G159)*POWER(Upgrades!$Q$16,H159)*POWER(Upgrades!$Q$17,I159)*POWER(Upgrades!$Q$18,J159)*POWER(Upgrades!$Q$19,K159)*POWER(Upgrades!$Q$20,L159)*POWER(Upgrades!$Q$21,M159)*$G$6*(Parameters!$B$10*Parameters!$B$11+Q159*60)</f>
        <v/>
      </c>
      <c r="AD159" s="27">
        <f>(IF(H159=0,0,(Upgrades!$M$16+H159*Upgrades!$N$16)*POWER(Upgrades!$O$16,H159)))*(IF(Upgrades!$T$13="Roche Lobe Overflow",POWER(Upgrades!$U$13,E159),1)*IF(Upgrades!$T$14="Roche Lobe Overflow",POWER(Upgrades!$U$14,F159),1)*IF(Upgrades!$T$15="Roche Lobe Overflow",POWER(Upgrades!$U$15,G159),1)*IF(Upgrades!$T$17="Roche Lobe Overflow",POWER(Upgrades!$U$17,I159),1)*IF(Upgrades!$T$18="Roche Lobe Overflow",POWER(Upgrades!$U$18,J159),1)*IF(Upgrades!$T$19="Roche Lobe Overflow",POWER(Upgrades!$U$19,K159),1)*IF(Upgrades!$T$20="Roche Lobe Overflow",POWER(Upgrades!$U$20,L159),1)*IF(Upgrades!$T$21="Roche Lobe Overflow",POWER(Upgrades!$U$21,M159),1))*POWER(Upgrades!$R$13,E159)*POWER(Upgrades!$R$14,F159)*POWER(Upgrades!$R$15,G159)*POWER(Upgrades!$R$16,H159)*POWER(Upgrades!$R$17,I159)*POWER(Upgrades!$R$18,J159)*POWER(Upgrades!$R$19,K159)*POWER(Upgrades!$R$20,L159)*POWER(Upgrades!$R$21,M159)*$H$6*O159*60</f>
        <v/>
      </c>
      <c r="AE159" s="27">
        <f>(IF(I159=0,0,(Upgrades!$G$17+I159*Upgrades!$H$17)*POWER(Upgrades!$I$17,I159)))*(IF(Upgrades!$T$13="Brown Dwarf",POWER(Upgrades!$U$13,E159),1)*IF(Upgrades!$T$14="Brown Dwarf",POWER(Upgrades!$U$14,F159),1)*IF(Upgrades!$T$15="Brown Dwarf",POWER(Upgrades!$U$15,G159),1)*IF(Upgrades!$T$16="Brown Dwarf",POWER(Upgrades!$U$16,H159),1)*IF(Upgrades!$T$18="Brown Dwarf",POWER(Upgrades!$U$18,J159),1)*IF(Upgrades!$T$19="Brown Dwarf",POWER(Upgrades!$U$19,K159),1)*IF(Upgrades!$T$20="Brown Dwarf",POWER(Upgrades!$U$20,L159),1)*IF(Upgrades!$T$21="Brown Dwarf",POWER(Upgrades!$U$21,M159),1))*POWER(Upgrades!$P$13,E159)*POWER(Upgrades!$P$14,F159)*POWER(Upgrades!$P$15,G159)*POWER(Upgrades!$P$16,H159)*POWER(Upgrades!$P$17,I159)*POWER(Upgrades!$P$18,J159)*POWER(Upgrades!$P$19,K159)*POWER(Upgrades!$P$20,L159)*POWER(Upgrades!$P$21,M159)*$F$6*60</f>
        <v/>
      </c>
      <c r="AF159" s="27" t="n">
        <v>0</v>
      </c>
      <c r="AG159" s="27" t="n">
        <v>0</v>
      </c>
      <c r="AH159" s="27" t="n">
        <v>0</v>
      </c>
      <c r="AI159" s="27">
        <f>(IF(M159=0,0,(Upgrades!$G$21+M159*Upgrades!$H$21)*POWER(Upgrades!$I$21,M159)))*(IF(Upgrades!$T$13="Moving Group",POWER(Upgrades!$U$13,E159),1)*IF(Upgrades!$T$14="Moving Group",POWER(Upgrades!$U$14,F159),1)*IF(Upgrades!$T$15="Moving Group",POWER(Upgrades!$U$15,G159),1)*IF(Upgrades!$T$16="Moving Group",POWER(Upgrades!$U$16,H159),1)*IF(Upgrades!$T$17="Moving Group",POWER(Upgrades!$U$17,I159),1)*IF(Upgrades!$T$18="Moving Group",POWER(Upgrades!$U$18,J159),1)*IF(Upgrades!$T$19="Moving Group",POWER(Upgrades!$U$19,K159),1)*IF(Upgrades!$T$20="Moving Group",POWER(Upgrades!$U$20,L159),1))*POWER(Upgrades!$P$13,E159)*POWER(Upgrades!$P$14,F159)*POWER(Upgrades!$P$15,G159)*POWER(Upgrades!$P$16,H159)*POWER(Upgrades!$P$17,I159)*POWER(Upgrades!$P$18,J159)*POWER(Upgrades!$P$19,K159)*POWER(Upgrades!$P$20,L159)*POWER(Upgrades!$P$21,M159)*$F$6*60</f>
        <v/>
      </c>
      <c r="AJ159" s="27">
        <f>$C$6*60</f>
        <v/>
      </c>
      <c r="AK159" s="22">
        <f>IF(E159&gt;=Upgrades!$E$13,"",Upgrades!$C$13*POWER(Upgrades!$D$13,E159))</f>
        <v/>
      </c>
      <c r="AL159" s="22">
        <f>IF(F159&gt;=Upgrades!$E$14,"",Upgrades!$C$14*POWER(Upgrades!$D$14,F159))</f>
        <v/>
      </c>
      <c r="AM159" s="22">
        <f>IF(G159&gt;=Upgrades!$E$15,"",Upgrades!$C$15*POWER(Upgrades!$D$15,G159))</f>
        <v/>
      </c>
      <c r="AN159" s="22">
        <f>IF(H159&gt;=Upgrades!$E$16,"",Upgrades!$C$16*POWER(Upgrades!$D$16,H159))</f>
        <v/>
      </c>
      <c r="AO159" s="22">
        <f>IF(I159&gt;=Upgrades!$E$17,"",Upgrades!$C$17*POWER(Upgrades!$D$17,I159))</f>
        <v/>
      </c>
      <c r="AP159" s="22">
        <f>IF(J159&gt;=Upgrades!$E$18,"",Upgrades!$C$18*POWER(Upgrades!$D$18,J159))</f>
        <v/>
      </c>
      <c r="AQ159" s="22">
        <f>IF(K159&gt;=Upgrades!$E$19,"",Upgrades!$C$19*POWER(Upgrades!$D$19,K159))</f>
        <v/>
      </c>
      <c r="AR159" s="22">
        <f>IF(L159&gt;=Upgrades!$E$20,"",Upgrades!$C$20*POWER(Upgrades!$D$20,L159))</f>
        <v/>
      </c>
      <c r="AS159" s="22">
        <f>IF(M159&gt;=Upgrades!$E$21,"",Upgrades!$C$21*POWER(Upgrades!$D$21,M159))</f>
        <v/>
      </c>
      <c r="AT159" s="26">
        <f>IF(AND(D159&gt;=Parameters!$B$18*Parameters!$B$19,(I159&gt;=Upgrades!$E$17)*(M159&gt;=Upgrades!$E$21)=1,N159=0),1,"")</f>
        <v/>
      </c>
      <c r="AU159" s="26">
        <f>IF(AND(D159&gt;=Parameters!$B$18*Parameters!$B$19,N159=0),1,"")</f>
        <v/>
      </c>
      <c r="AV159" s="22">
        <f>MIN(IF(ISNUMBER(AP159),AP159,9E15),IF(ISNUMBER(AQ159),AQ159,9E15),IF(ISNUMBER(AR159),AR159,9E15),IF(ISNUMBER(AS159),AS159,9E15))</f>
        <v/>
      </c>
      <c r="AW159" s="22">
        <f>MIN(IF(ISNUMBER(AK159),AK159,9E15),IF(ISNUMBER(AL159),AL159,9E15),IF(ISNUMBER(AM159),AM159,9E15),IF(ISNUMBER(AN159),AN159,9E15),IF(ISNUMBER(AO159),AO159,9E15))</f>
        <v/>
      </c>
      <c r="AX159" s="29">
        <f>IF(BD159&gt;Parameters!$B$21*(MAX(IF(AND(NOT(AND(AU159=1,AT159&lt;&gt;1)),ISNUMBER(AK159),AK159&lt;=(C159+T159)),AY159,0),IF(AND(NOT(AND(AU159=1,AT159&lt;&gt;1)),ISNUMBER(AL159),AL159&lt;=(C159+T159)),AZ159,0),IF(AND(NOT(AND(AU159=1,AT159&lt;&gt;1)),ISNUMBER(AM159),AM159&lt;=(C159+T159)),BA159,0),IF(AND(NOT(AND(AU159=1,AT159&lt;&gt;1)),ISNUMBER(AN159),AN159&lt;=(C159+T159)),BB159,0),IF(AND(ISNUMBER(AO159),AO159&lt;=(C159+T159)),BC159,0))),TRUE,FALSE)</f>
        <v/>
      </c>
      <c r="AY159" s="32">
        <f>IFERROR(Upgrades!$H$13*(POWER(Upgrades!$P$13,E159)*POWER(Upgrades!$P$14,F159)*POWER(Upgrades!$P$15,G159)*POWER(Upgrades!$P$16,H159)*POWER(Upgrades!$P$17,I159)*POWER(Upgrades!$P$18,J159)*POWER(Upgrades!$P$19,K159)*POWER(Upgrades!$P$20,L159)*POWER(Upgrades!$P$21,M159))*(IF(Upgrades!$T$14="Stellar Kinematics",POWER(Upgrades!$U$14,F159),1)*IF(Upgrades!$T$15="Stellar Kinematics",POWER(Upgrades!$U$15,G159),1)*IF(Upgrades!$T$16="Stellar Kinematics",POWER(Upgrades!$U$16,H159),1)*IF(Upgrades!$T$17="Stellar Kinematics",POWER(Upgrades!$U$17,I159),1)*IF(Upgrades!$T$18="Stellar Kinematics",POWER(Upgrades!$U$18,J159),1)*IF(Upgrades!$T$19="Stellar Kinematics",POWER(Upgrades!$U$19,K159),1)*IF(Upgrades!$T$20="Stellar Kinematics",POWER(Upgrades!$U$20,L159),1)*IF(Upgrades!$T$21="Stellar Kinematics",POWER(Upgrades!$U$21,M159),1))*$F$6/AK159,0)</f>
        <v/>
      </c>
      <c r="AZ159" s="32">
        <f>IFERROR(Upgrades!$H$14*(POWER(Upgrades!$P$13,E159)*POWER(Upgrades!$P$14,F159)*POWER(Upgrades!$P$15,G159)*POWER(Upgrades!$P$16,H159)*POWER(Upgrades!$P$17,I159)*POWER(Upgrades!$P$18,J159)*POWER(Upgrades!$P$19,K159)*POWER(Upgrades!$P$20,L159)*POWER(Upgrades!$P$21,M159))*(IF(Upgrades!$T$13="Local Bubble",POWER(Upgrades!$U$13,E159),1)*IF(Upgrades!$T$15="Local Bubble",POWER(Upgrades!$U$15,G159),1)*IF(Upgrades!$T$16="Local Bubble",POWER(Upgrades!$U$16,H159),1)*IF(Upgrades!$T$17="Local Bubble",POWER(Upgrades!$U$17,I159),1)*IF(Upgrades!$T$18="Local Bubble",POWER(Upgrades!$U$18,J159),1)*IF(Upgrades!$T$19="Local Bubble",POWER(Upgrades!$U$19,K159),1)*IF(Upgrades!$T$20="Local Bubble",POWER(Upgrades!$U$20,L159),1)*IF(Upgrades!$T$21="Local Bubble",POWER(Upgrades!$U$21,M159),1))*$F$6/AL159,0)</f>
        <v/>
      </c>
      <c r="BA159" s="32">
        <f>IFERROR(Upgrades!$K$15*(POWER(Upgrades!$Q$13,E159)*POWER(Upgrades!$Q$14,F159)*POWER(Upgrades!$Q$15,G159)*POWER(Upgrades!$Q$16,H159)*POWER(Upgrades!$Q$17,I159)*POWER(Upgrades!$Q$18,J159)*POWER(Upgrades!$Q$19,K159)*POWER(Upgrades!$Q$20,L159)*POWER(Upgrades!$Q$21,M159))*(IF(Upgrades!$T$13="Microlensing",POWER(Upgrades!$U$13,E159),1)*IF(Upgrades!$T$14="Microlensing",POWER(Upgrades!$U$14,F159),1)*IF(Upgrades!$T$16="Microlensing",POWER(Upgrades!$U$16,H159),1)*IF(Upgrades!$T$17="Microlensing",POWER(Upgrades!$U$17,I159),1)*IF(Upgrades!$T$18="Microlensing",POWER(Upgrades!$U$18,J159),1)*IF(Upgrades!$T$19="Microlensing",POWER(Upgrades!$U$19,K159),1)*IF(Upgrades!$T$20="Microlensing",POWER(Upgrades!$U$20,L159),1)*IF(Upgrades!$T$21="Microlensing",POWER(Upgrades!$U$21,M159),1))*$G$6*(Parameters!$B$10/60*Parameters!$B$11+Q159)/AM159,0)</f>
        <v/>
      </c>
      <c r="BB159" s="32">
        <f>IFERROR((Upgrades!$N$16*(POWER(Upgrades!$R$13,E159)*POWER(Upgrades!$R$14,F159)*POWER(Upgrades!$R$15,G159)*POWER(Upgrades!$R$16,H159)*POWER(Upgrades!$R$17,I159)*POWER(Upgrades!$R$18,J159)*POWER(Upgrades!$R$19,K159)*POWER(Upgrades!$R$20,L159)*POWER(Upgrades!$R$21,M159))*(IF(Upgrades!$T$13="Roche Lobe Overflow",POWER(Upgrades!$U$13,E159),1)*IF(Upgrades!$T$14="Roche Lobe Overflow",POWER(Upgrades!$U$14,F159),1)*IF(Upgrades!$T$15="Roche Lobe Overflow",POWER(Upgrades!$U$15,G159),1)*IF(Upgrades!$T$17="Roche Lobe Overflow",POWER(Upgrades!$U$17,I159),1)*IF(Upgrades!$T$18="Roche Lobe Overflow",POWER(Upgrades!$U$18,J159),1)*IF(Upgrades!$T$19="Roche Lobe Overflow",POWER(Upgrades!$U$19,K159),1)*IF(Upgrades!$T$20="Roche Lobe Overflow",POWER(Upgrades!$U$20,L159),1)*IF(Upgrades!$T$21="Roche Lobe Overflow",POWER(Upgrades!$U$21,M159),1))*$H$6*O159+((IF(F159=0,0,(Upgrades!$G$14+F159*Upgrades!$H$14)*POWER(Upgrades!$I$14,F159)))*(IF(Upgrades!$T$13="Local Bubble",POWER(Upgrades!$U$13,E159),1)*IF(Upgrades!$T$15="Local Bubble",POWER(Upgrades!$U$15,G159),1)*IF(Upgrades!$T$16="Local Bubble",POWER(Upgrades!$U$16,H159),1)*IF(Upgrades!$T$17="Local Bubble",POWER(Upgrades!$U$17,I159),1)*IF(Upgrades!$T$18="Local Bubble",POWER(Upgrades!$U$18,J159),1)*IF(Upgrades!$T$19="Local Bubble",POWER(Upgrades!$U$19,K159),1)*IF(Upgrades!$T$20="Local Bubble",POWER(Upgrades!$U$20,L159),1)*IF(Upgrades!$T$21="Local Bubble",POWER(Upgrades!$U$21,M159),1))*POWER(Upgrades!$P$13,E159)*POWER(Upgrades!$P$14,F159)*POWER(Upgrades!$P$15,G159)*POWER(Upgrades!$P$16,H159)*POWER(Upgrades!$P$17,I159)*POWER(Upgrades!$P$18,J159)*POWER(Upgrades!$P$19,K159)*POWER(Upgrades!$P$20,L159)*POWER(Upgrades!$P$21,M159)*$F$6)*0.05)/AN159,0)</f>
        <v/>
      </c>
      <c r="BC159" s="32">
        <f>IFERROR((Upgrades!$H$17*(POWER(Upgrades!$P$13,E159)*POWER(Upgrades!$P$14,F159)*POWER(Upgrades!$P$15,G159)*POWER(Upgrades!$P$16,H159)*POWER(Upgrades!$P$17,I159)*POWER(Upgrades!$P$18,J159)*POWER(Upgrades!$P$19,K159)*POWER(Upgrades!$P$20,L159)*POWER(Upgrades!$P$21,M159))*(IF(Upgrades!$T$13="Brown Dwarf",POWER(Upgrades!$U$13,E159),1)*IF(Upgrades!$T$14="Brown Dwarf",POWER(Upgrades!$U$14,F159),1)*IF(Upgrades!$T$15="Brown Dwarf",POWER(Upgrades!$U$15,G159),1)*IF(Upgrades!$T$16="Brown Dwarf",POWER(Upgrades!$U$16,H159),1)*IF(Upgrades!$T$18="Brown Dwarf",POWER(Upgrades!$U$18,J159),1)*IF(Upgrades!$T$19="Brown Dwarf",POWER(Upgrades!$U$19,K159),1)*IF(Upgrades!$T$20="Brown Dwarf",POWER(Upgrades!$U$20,L159),1)*IF(Upgrades!$T$21="Brown Dwarf",POWER(Upgrades!$U$21,M159),1))*$F$6+(((IF(H159=0,0,(Upgrades!$M$16+H159*Upgrades!$N$16)*POWER(Upgrades!$O$16,H159)))*(IF(Upgrades!$T$13="Roche Lobe Overflow",POWER(Upgrades!$U$13,E159),1)*IF(Upgrades!$T$14="Roche Lobe Overflow",POWER(Upgrades!$U$14,F159),1)*IF(Upgrades!$T$15="Roche Lobe Overflow",POWER(Upgrades!$U$15,G159),1)*IF(Upgrades!$T$17="Roche Lobe Overflow",POWER(Upgrades!$U$17,I159),1)*IF(Upgrades!$T$18="Roche Lobe Overflow",POWER(Upgrades!$U$18,J159),1)*IF(Upgrades!$T$19="Roche Lobe Overflow",POWER(Upgrades!$U$19,K159),1)*IF(Upgrades!$T$20="Roche Lobe Overflow",POWER(Upgrades!$U$20,L159),1)*IF(Upgrades!$T$21="Roche Lobe Overflow",POWER(Upgrades!$U$21,M159),1))*POWER(Upgrades!$R$13,E159)*POWER(Upgrades!$R$14,F159)*POWER(Upgrades!$R$15,G159)*POWER(Upgrades!$R$16,H159)*POWER(Upgrades!$R$17,I159)*POWER(Upgrades!$R$18,J159)*POWER(Upgrades!$R$19,K159)*POWER(Upgrades!$R$20,L159)*POWER(Upgrades!$R$21,M159)*$H$6)*O159)*0.10)/AO159,0)</f>
        <v/>
      </c>
      <c r="BD159" s="32">
        <f>MAX(IF(J159&gt;0,0,IFERROR(0.5*((IF(G159=0,0,(Upgrades!$J$15+G159*Upgrades!$K$15)*POWER(Upgrades!$L$15,G159)))*(IF(Upgrades!$T$13="Microlensing",POWER(Upgrades!$U$13,E159),1)*IF(Upgrades!$T$14="Microlensing",POWER(Upgrades!$U$14,F159),1)*IF(Upgrades!$T$16="Microlensing",POWER(Upgrades!$U$16,H159),1)*IF(Upgrades!$T$17="Microlensing",POWER(Upgrades!$U$17,I159),1)*IF(Upgrades!$T$18="Microlensing",POWER(Upgrades!$U$18,J159),1)*IF(Upgrades!$T$19="Microlensing",POWER(Upgrades!$U$19,K159),1)*IF(Upgrades!$T$20="Microlensing",POWER(Upgrades!$U$20,L159),1)*IF(Upgrades!$T$21="Microlensing",POWER(Upgrades!$U$21,M159),1))*(POWER(Upgrades!$Q$13,E159)*POWER(Upgrades!$Q$14,F159)*POWER(Upgrades!$Q$15,G159)*POWER(Upgrades!$Q$16,H159)*POWER(Upgrades!$Q$17,I159)*POWER(Upgrades!$Q$18,J159)*POWER(Upgrades!$Q$19,K159)*POWER(Upgrades!$Q$20,L159)*POWER(Upgrades!$Q$21,M159))*$G$6*(Parameters!$B$10/60*Parameters!$B$11+Q159))/Upgrades!$C$18,0)),IF(K159&gt;0,0,IFERROR(0.30*P159/Upgrades!$C$19,0)),IF(L159&gt;0,0,IFERROR(0.0001/Upgrades!$C$20,0)),IF(M159&gt;0,0,IFERROR((6.0*(POWER(Upgrades!$P$13,E159)*POWER(Upgrades!$P$14,F159)*POWER(Upgrades!$P$15,G159)*POWER(Upgrades!$P$16,H159)*POWER(Upgrades!$P$17,I159)*POWER(Upgrades!$P$18,J159)*POWER(Upgrades!$P$19,K159)*POWER(Upgrades!$P$20,L159)*POWER(Upgrades!$P$21,M159))*$F$6+0.20*O159*(Parameters!$B$10/60*Parameters!$B$11+Q159))/Upgrades!$C$21,0)),IF(AND(ISNUMBER(AK159),AK159&gt;(C159+T159)),AY159,0),IF(AND(ISNUMBER(AL159),AL159&gt;(C159+T159)),AZ159,0),IF(AND(ISNUMBER(AM159),AM159&gt;(C159+T159)),BA159,0),IF(AND(ISNUMBER(AN159),AN159&gt;(C159+T159)),BB159,0),IF(AND(ISNUMBER(AO159),AO159&gt;(C159+T159)),BC159,0))</f>
        <v/>
      </c>
      <c r="BE159" s="29">
        <f>IF(AT159=1,"transition",IF(MIN(IF(AND(J159=0,ISNUMBER(AP159),AP159&lt;=(C159+T159)),AP159,9E15),IF(AND(K159=0,ISNUMBER(AQ159),AQ159&lt;=(C159+T159)),AQ159,9E15),IF(AND(L159=0,ISNUMBER(AR159),AR159&lt;=(C159+T159)),AR159,9E15),IF(AND(M159=0,ISNUMBER(AS159),AS159&lt;=(C159+T159)),AS159,9E15))&lt;9E15,IF(AND(AND(J159=0,ISNUMBER(AP159),AP159&lt;=(C159+T159)),AP159=MIN(IF(AND(J159=0,ISNUMBER(AP159),AP159&lt;=(C159+T159)),AP159,9E15),IF(AND(K159=0,ISNUMBER(AQ159),AQ159&lt;=(C159+T159)),AQ159,9E15),IF(AND(L159=0,ISNUMBER(AR159),AR159&lt;=(C159+T159)),AR159,9E15),IF(AND(M159=0,ISNUMBER(AS159),AS159&lt;=(C159+T159)),AS159,9E15))),"BiP",IF(AND(AND(K159=0,ISNUMBER(AQ159),AQ159&lt;=(C159+T159)),AQ159=MIN(IF(AND(J159=0,ISNUMBER(AP159),AP159&lt;=(C159+T159)),AP159,9E15),IF(AND(K159=0,ISNUMBER(AQ159),AQ159&lt;=(C159+T159)),AQ159,9E15),IF(AND(L159=0,ISNUMBER(AR159),AR159&lt;=(C159+T159)),AR159,9E15),IF(AND(M159=0,ISNUMBER(AS159),AS159&lt;=(C159+T159)),AS159,9E15))),"PV",IF(AND(AND(L159=0,ISNUMBER(AR159),AR159&lt;=(C159+T159)),AR159=MIN(IF(AND(J159=0,ISNUMBER(AP159),AP159&lt;=(C159+T159)),AP159,9E15),IF(AND(K159=0,ISNUMBER(AQ159),AQ159&lt;=(C159+T159)),AQ159,9E15),IF(AND(L159=0,ISNUMBER(AR159),AR159&lt;=(C159+T159)),AR159,9E15),IF(AND(M159=0,ISNUMBER(AS159),AS159&lt;=(C159+T159)),AS159,9E15))),"OC","MG"))),IF(AX159=TRUE,"",IF(MAX(IF(AND(NOT(AND(AU159=1,AT159&lt;&gt;1)),ISNUMBER(AK159),AK159&lt;=(C159+T159)),AY159,0),IF(AND(NOT(AND(AU159=1,AT159&lt;&gt;1)),ISNUMBER(AL159),AL159&lt;=(C159+T159)),AZ159,0),IF(AND(NOT(AND(AU159=1,AT159&lt;&gt;1)),ISNUMBER(AM159),AM159&lt;=(C159+T159)),BA159,0),IF(AND(NOT(AND(AU159=1,AT159&lt;&gt;1)),ISNUMBER(AN159),AN159&lt;=(C159+T159)),BB159,0),IF(AND(ISNUMBER(AO159),AO159&lt;=(C159+T159)),BC159,0))&lt;=0,"",IF(AND(IF(AND(NOT(AND(AU159=1,AT159&lt;&gt;1)),ISNUMBER(AK159),AK159&lt;=(C159+T159)),AY159,0)&gt;0,IF(AND(NOT(AND(AU159=1,AT159&lt;&gt;1)),ISNUMBER(AK159),AK159&lt;=(C159+T159)),AY159,0)=MAX(IF(AND(NOT(AND(AU159=1,AT159&lt;&gt;1)),ISNUMBER(AK159),AK159&lt;=(C159+T159)),AY159,0),IF(AND(NOT(AND(AU159=1,AT159&lt;&gt;1)),ISNUMBER(AL159),AL159&lt;=(C159+T159)),AZ159,0),IF(AND(NOT(AND(AU159=1,AT159&lt;&gt;1)),ISNUMBER(AM159),AM159&lt;=(C159+T159)),BA159,0),IF(AND(NOT(AND(AU159=1,AT159&lt;&gt;1)),ISNUMBER(AN159),AN159&lt;=(C159+T159)),BB159,0),IF(AND(ISNUMBER(AO159),AO159&lt;=(C159+T159)),BC159,0))),"SK",IF(AND(IF(AND(NOT(AND(AU159=1,AT159&lt;&gt;1)),ISNUMBER(AL159),AL159&lt;=(C159+T159)),AZ159,0)&gt;0,IF(AND(NOT(AND(AU159=1,AT159&lt;&gt;1)),ISNUMBER(AL159),AL159&lt;=(C159+T159)),AZ159,0)=MAX(IF(AND(NOT(AND(AU159=1,AT159&lt;&gt;1)),ISNUMBER(AK159),AK159&lt;=(C159+T159)),AY159,0),IF(AND(NOT(AND(AU159=1,AT159&lt;&gt;1)),ISNUMBER(AL159),AL159&lt;=(C159+T159)),AZ159,0),IF(AND(NOT(AND(AU159=1,AT159&lt;&gt;1)),ISNUMBER(AM159),AM159&lt;=(C159+T159)),BA159,0),IF(AND(NOT(AND(AU159=1,AT159&lt;&gt;1)),ISNUMBER(AN159),AN159&lt;=(C159+T159)),BB159,0),IF(AND(ISNUMBER(AO159),AO159&lt;=(C159+T159)),BC159,0))),"LB",IF(AND(IF(AND(NOT(AND(AU159=1,AT159&lt;&gt;1)),ISNUMBER(AM159),AM159&lt;=(C159+T159)),BA159,0)&gt;0,IF(AND(NOT(AND(AU159=1,AT159&lt;&gt;1)),ISNUMBER(AM159),AM159&lt;=(C159+T159)),BA159,0)=MAX(IF(AND(NOT(AND(AU159=1,AT159&lt;&gt;1)),ISNUMBER(AK159),AK159&lt;=(C159+T159)),AY159,0),IF(AND(NOT(AND(AU159=1,AT159&lt;&gt;1)),ISNUMBER(AL159),AL159&lt;=(C159+T159)),AZ159,0),IF(AND(NOT(AND(AU159=1,AT159&lt;&gt;1)),ISNUMBER(AM159),AM159&lt;=(C159+T159)),BA159,0),IF(AND(NOT(AND(AU159=1,AT159&lt;&gt;1)),ISNUMBER(AN159),AN159&lt;=(C159+T159)),BB159,0),IF(AND(ISNUMBER(AO159),AO159&lt;=(C159+T159)),BC159,0))),"ML",IF(AND(IF(AND(NOT(AND(AU159=1,AT159&lt;&gt;1)),ISNUMBER(AN159),AN159&lt;=(C159+T159)),BB159,0)&gt;0,IF(AND(NOT(AND(AU159=1,AT159&lt;&gt;1)),ISNUMBER(AN159),AN159&lt;=(C159+T159)),BB159,0)=MAX(IF(AND(NOT(AND(AU159=1,AT159&lt;&gt;1)),ISNUMBER(AK159),AK159&lt;=(C159+T159)),AY159,0),IF(AND(NOT(AND(AU159=1,AT159&lt;&gt;1)),ISNUMBER(AL159),AL159&lt;=(C159+T159)),AZ159,0),IF(AND(NOT(AND(AU159=1,AT159&lt;&gt;1)),ISNUMBER(AM159),AM159&lt;=(C159+T159)),BA159,0),IF(AND(NOT(AND(AU159=1,AT159&lt;&gt;1)),ISNUMBER(AN159),AN159&lt;=(C159+T159)),BB159,0),IF(AND(ISNUMBER(AO159),AO159&lt;=(C159+T159)),BC159,0))),"RLO","BD"))))))))</f>
        <v/>
      </c>
    </row>
    <row r="160">
      <c r="A160" s="26" t="n">
        <v>149</v>
      </c>
      <c r="B160" s="27">
        <f>A160*10/60</f>
        <v/>
      </c>
      <c r="C160" s="22">
        <f>X159</f>
        <v/>
      </c>
      <c r="D160" s="27">
        <f>D159+W159</f>
        <v/>
      </c>
      <c r="E160" s="26">
        <f>E159+IF(U159="SK",1,0)</f>
        <v/>
      </c>
      <c r="F160" s="26">
        <f>F159+IF(U159="LB",1,0)</f>
        <v/>
      </c>
      <c r="G160" s="26">
        <f>G159+IF(U159="ML",1,0)</f>
        <v/>
      </c>
      <c r="H160" s="26">
        <f>H159+IF(U159="RLO",1,0)</f>
        <v/>
      </c>
      <c r="I160" s="26">
        <f>I159+IF(U159="BD",1,0)</f>
        <v/>
      </c>
      <c r="J160" s="26">
        <f>MAX(J159,IF(U159="BiP",1,0))</f>
        <v/>
      </c>
      <c r="K160" s="26">
        <f>MAX(K159,IF(U159="PV",1,0))</f>
        <v/>
      </c>
      <c r="L160" s="26">
        <f>MAX(L159,IF(U159="OC",1,0))</f>
        <v/>
      </c>
      <c r="M160" s="26">
        <f>MAX(M159,IF(U159="MG",1,0))</f>
        <v/>
      </c>
      <c r="N160" s="26">
        <f>MAX(N159,IF(U159="transition",1,0))</f>
        <v/>
      </c>
      <c r="O160" s="28">
        <f>(Parameters!$B$9+(IF(E160=0,0,(Upgrades!$J$13+E160*Upgrades!$K$13)*POWER(Upgrades!$L$13,E160)))*(IF(Upgrades!$T$14="Stellar Kinematics",POWER(Upgrades!$U$14,F160),1)*IF(Upgrades!$T$15="Stellar Kinematics",POWER(Upgrades!$U$15,G160),1)*IF(Upgrades!$T$16="Stellar Kinematics",POWER(Upgrades!$U$16,H160),1)*IF(Upgrades!$T$17="Stellar Kinematics",POWER(Upgrades!$U$17,I160),1)*IF(Upgrades!$T$18="Stellar Kinematics",POWER(Upgrades!$U$18,J160),1)*IF(Upgrades!$T$19="Stellar Kinematics",POWER(Upgrades!$U$19,K160),1)*IF(Upgrades!$T$20="Stellar Kinematics",POWER(Upgrades!$U$20,L160),1)*IF(Upgrades!$T$21="Stellar Kinematics",POWER(Upgrades!$U$21,M160),1))+(IF(F160=0,0,(Upgrades!$J$14+F160*Upgrades!$K$14)*POWER(Upgrades!$L$14,F160)))*(IF(Upgrades!$T$13="Local Bubble",POWER(Upgrades!$U$13,E160),1)*IF(Upgrades!$T$15="Local Bubble",POWER(Upgrades!$U$15,G160),1)*IF(Upgrades!$T$16="Local Bubble",POWER(Upgrades!$U$16,H160),1)*IF(Upgrades!$T$17="Local Bubble",POWER(Upgrades!$U$17,I160),1)*IF(Upgrades!$T$18="Local Bubble",POWER(Upgrades!$U$18,J160),1)*IF(Upgrades!$T$19="Local Bubble",POWER(Upgrades!$U$19,K160),1)*IF(Upgrades!$T$20="Local Bubble",POWER(Upgrades!$U$20,L160),1)*IF(Upgrades!$T$21="Local Bubble",POWER(Upgrades!$U$21,M160),1))+(IF(G160=0,0,(Upgrades!$J$15+G160*Upgrades!$K$15)*POWER(Upgrades!$L$15,G160)))*(IF(Upgrades!$T$13="Microlensing",POWER(Upgrades!$U$13,E160),1)*IF(Upgrades!$T$14="Microlensing",POWER(Upgrades!$U$14,F160),1)*IF(Upgrades!$T$16="Microlensing",POWER(Upgrades!$U$16,H160),1)*IF(Upgrades!$T$17="Microlensing",POWER(Upgrades!$U$17,I160),1)*IF(Upgrades!$T$18="Microlensing",POWER(Upgrades!$U$18,J160),1)*IF(Upgrades!$T$19="Microlensing",POWER(Upgrades!$U$19,K160),1)*IF(Upgrades!$T$20="Microlensing",POWER(Upgrades!$U$20,L160),1)*IF(Upgrades!$T$21="Microlensing",POWER(Upgrades!$U$21,M160),1))+(IF(H160=0,0,(Upgrades!$J$16+H160*Upgrades!$K$16)*POWER(Upgrades!$L$16,H160)))*(IF(Upgrades!$T$13="Roche Lobe Overflow",POWER(Upgrades!$U$13,E160),1)*IF(Upgrades!$T$14="Roche Lobe Overflow",POWER(Upgrades!$U$14,F160),1)*IF(Upgrades!$T$15="Roche Lobe Overflow",POWER(Upgrades!$U$15,G160),1)*IF(Upgrades!$T$17="Roche Lobe Overflow",POWER(Upgrades!$U$17,I160),1)*IF(Upgrades!$T$18="Roche Lobe Overflow",POWER(Upgrades!$U$18,J160),1)*IF(Upgrades!$T$19="Roche Lobe Overflow",POWER(Upgrades!$U$19,K160),1)*IF(Upgrades!$T$20="Roche Lobe Overflow",POWER(Upgrades!$U$20,L160),1)*IF(Upgrades!$T$21="Roche Lobe Overflow",POWER(Upgrades!$U$21,M160),1))+(IF(I160=0,0,(Upgrades!$J$17+I160*Upgrades!$K$17)*POWER(Upgrades!$L$17,I160)))*(IF(Upgrades!$T$13="Brown Dwarf",POWER(Upgrades!$U$13,E160),1)*IF(Upgrades!$T$14="Brown Dwarf",POWER(Upgrades!$U$14,F160),1)*IF(Upgrades!$T$15="Brown Dwarf",POWER(Upgrades!$U$15,G160),1)*IF(Upgrades!$T$16="Brown Dwarf",POWER(Upgrades!$U$16,H160),1)*IF(Upgrades!$T$18="Brown Dwarf",POWER(Upgrades!$U$18,J160),1)*IF(Upgrades!$T$19="Brown Dwarf",POWER(Upgrades!$U$19,K160),1)*IF(Upgrades!$T$20="Brown Dwarf",POWER(Upgrades!$U$20,L160),1)*IF(Upgrades!$T$21="Brown Dwarf",POWER(Upgrades!$U$21,M160),1))+(IF(J160=0,0,(Upgrades!$J$18+J160*Upgrades!$K$18)*POWER(Upgrades!$L$18,J160)))*(IF(Upgrades!$T$13="Binary Partner",POWER(Upgrades!$U$13,E160),1)*IF(Upgrades!$T$14="Binary Partner",POWER(Upgrades!$U$14,F160),1)*IF(Upgrades!$T$15="Binary Partner",POWER(Upgrades!$U$15,G160),1)*IF(Upgrades!$T$16="Binary Partner",POWER(Upgrades!$U$16,H160),1)*IF(Upgrades!$T$17="Binary Partner",POWER(Upgrades!$U$17,I160),1)*IF(Upgrades!$T$19="Binary Partner",POWER(Upgrades!$U$19,K160),1)*IF(Upgrades!$T$20="Binary Partner",POWER(Upgrades!$U$20,L160),1)*IF(Upgrades!$T$21="Binary Partner",POWER(Upgrades!$U$21,M160),1))+(IF(K160=0,0,(Upgrades!$J$19+K160*Upgrades!$K$19)*POWER(Upgrades!$L$19,K160)))*(IF(Upgrades!$T$13="Peculiar Velocity",POWER(Upgrades!$U$13,E160),1)*IF(Upgrades!$T$14="Peculiar Velocity",POWER(Upgrades!$U$14,F160),1)*IF(Upgrades!$T$15="Peculiar Velocity",POWER(Upgrades!$U$15,G160),1)*IF(Upgrades!$T$16="Peculiar Velocity",POWER(Upgrades!$U$16,H160),1)*IF(Upgrades!$T$17="Peculiar Velocity",POWER(Upgrades!$U$17,I160),1)*IF(Upgrades!$T$18="Peculiar Velocity",POWER(Upgrades!$U$18,J160),1)*IF(Upgrades!$T$20="Peculiar Velocity",POWER(Upgrades!$U$20,L160),1)*IF(Upgrades!$T$21="Peculiar Velocity",POWER(Upgrades!$U$21,M160),1))+(IF(L160=0,0,(Upgrades!$J$20+L160*Upgrades!$K$20)*POWER(Upgrades!$L$20,L160)))*(IF(Upgrades!$T$13="Open Cluster",POWER(Upgrades!$U$13,E160),1)*IF(Upgrades!$T$14="Open Cluster",POWER(Upgrades!$U$14,F160),1)*IF(Upgrades!$T$15="Open Cluster",POWER(Upgrades!$U$15,G160),1)*IF(Upgrades!$T$16="Open Cluster",POWER(Upgrades!$U$16,H160),1)*IF(Upgrades!$T$17="Open Cluster",POWER(Upgrades!$U$17,I160),1)*IF(Upgrades!$T$18="Open Cluster",POWER(Upgrades!$U$18,J160),1)*IF(Upgrades!$T$19="Open Cluster",POWER(Upgrades!$U$19,K160),1)*IF(Upgrades!$T$21="Open Cluster",POWER(Upgrades!$U$21,M160),1))+(IF(M160=0,0,(Upgrades!$J$21+M160*Upgrades!$K$21)*POWER(Upgrades!$L$21,M160)))*(IF(Upgrades!$T$13="Moving Group",POWER(Upgrades!$U$13,E160),1)*IF(Upgrades!$T$14="Moving Group",POWER(Upgrades!$U$14,F160),1)*IF(Upgrades!$T$15="Moving Group",POWER(Upgrades!$U$15,G160),1)*IF(Upgrades!$T$16="Moving Group",POWER(Upgrades!$U$16,H160),1)*IF(Upgrades!$T$17="Moving Group",POWER(Upgrades!$U$17,I160),1)*IF(Upgrades!$T$18="Moving Group",POWER(Upgrades!$U$18,J160),1)*IF(Upgrades!$T$19="Moving Group",POWER(Upgrades!$U$19,K160),1)*IF(Upgrades!$T$20="Moving Group",POWER(Upgrades!$U$20,L160),1)))*POWER(Upgrades!$Q$13,E160)*POWER(Upgrades!$Q$14,F160)*POWER(Upgrades!$Q$15,G160)*POWER(Upgrades!$Q$16,H160)*POWER(Upgrades!$Q$17,I160)*POWER(Upgrades!$Q$18,J160)*POWER(Upgrades!$Q$19,K160)*POWER(Upgrades!$Q$20,L160)*POWER(Upgrades!$Q$21,M160)*$G$6+$D$6</f>
        <v/>
      </c>
      <c r="P160" s="28">
        <f>((IF(E160=0,0,(Upgrades!$G$13+E160*Upgrades!$H$13)*POWER(Upgrades!$I$13,E160)))*(IF(Upgrades!$T$14="Stellar Kinematics",POWER(Upgrades!$U$14,F160),1)*IF(Upgrades!$T$15="Stellar Kinematics",POWER(Upgrades!$U$15,G160),1)*IF(Upgrades!$T$16="Stellar Kinematics",POWER(Upgrades!$U$16,H160),1)*IF(Upgrades!$T$17="Stellar Kinematics",POWER(Upgrades!$U$17,I160),1)*IF(Upgrades!$T$18="Stellar Kinematics",POWER(Upgrades!$U$18,J160),1)*IF(Upgrades!$T$19="Stellar Kinematics",POWER(Upgrades!$U$19,K160),1)*IF(Upgrades!$T$20="Stellar Kinematics",POWER(Upgrades!$U$20,L160),1)*IF(Upgrades!$T$21="Stellar Kinematics",POWER(Upgrades!$U$21,M160),1))+(IF(F160=0,0,(Upgrades!$G$14+F160*Upgrades!$H$14)*POWER(Upgrades!$I$14,F160)))*(IF(Upgrades!$T$13="Local Bubble",POWER(Upgrades!$U$13,E160),1)*IF(Upgrades!$T$15="Local Bubble",POWER(Upgrades!$U$15,G160),1)*IF(Upgrades!$T$16="Local Bubble",POWER(Upgrades!$U$16,H160),1)*IF(Upgrades!$T$17="Local Bubble",POWER(Upgrades!$U$17,I160),1)*IF(Upgrades!$T$18="Local Bubble",POWER(Upgrades!$U$18,J160),1)*IF(Upgrades!$T$19="Local Bubble",POWER(Upgrades!$U$19,K160),1)*IF(Upgrades!$T$20="Local Bubble",POWER(Upgrades!$U$20,L160),1)*IF(Upgrades!$T$21="Local Bubble",POWER(Upgrades!$U$21,M160),1))+(IF(G160=0,0,(Upgrades!$G$15+G160*Upgrades!$H$15)*POWER(Upgrades!$I$15,G160)))*(IF(Upgrades!$T$13="Microlensing",POWER(Upgrades!$U$13,E160),1)*IF(Upgrades!$T$14="Microlensing",POWER(Upgrades!$U$14,F160),1)*IF(Upgrades!$T$16="Microlensing",POWER(Upgrades!$U$16,H160),1)*IF(Upgrades!$T$17="Microlensing",POWER(Upgrades!$U$17,I160),1)*IF(Upgrades!$T$18="Microlensing",POWER(Upgrades!$U$18,J160),1)*IF(Upgrades!$T$19="Microlensing",POWER(Upgrades!$U$19,K160),1)*IF(Upgrades!$T$20="Microlensing",POWER(Upgrades!$U$20,L160),1)*IF(Upgrades!$T$21="Microlensing",POWER(Upgrades!$U$21,M160),1))+(IF(H160=0,0,(Upgrades!$G$16+H160*Upgrades!$H$16)*POWER(Upgrades!$I$16,H160)))*(IF(Upgrades!$T$13="Roche Lobe Overflow",POWER(Upgrades!$U$13,E160),1)*IF(Upgrades!$T$14="Roche Lobe Overflow",POWER(Upgrades!$U$14,F160),1)*IF(Upgrades!$T$15="Roche Lobe Overflow",POWER(Upgrades!$U$15,G160),1)*IF(Upgrades!$T$17="Roche Lobe Overflow",POWER(Upgrades!$U$17,I160),1)*IF(Upgrades!$T$18="Roche Lobe Overflow",POWER(Upgrades!$U$18,J160),1)*IF(Upgrades!$T$19="Roche Lobe Overflow",POWER(Upgrades!$U$19,K160),1)*IF(Upgrades!$T$20="Roche Lobe Overflow",POWER(Upgrades!$U$20,L160),1)*IF(Upgrades!$T$21="Roche Lobe Overflow",POWER(Upgrades!$U$21,M160),1))+(IF(I160=0,0,(Upgrades!$G$17+I160*Upgrades!$H$17)*POWER(Upgrades!$I$17,I160)))*(IF(Upgrades!$T$13="Brown Dwarf",POWER(Upgrades!$U$13,E160),1)*IF(Upgrades!$T$14="Brown Dwarf",POWER(Upgrades!$U$14,F160),1)*IF(Upgrades!$T$15="Brown Dwarf",POWER(Upgrades!$U$15,G160),1)*IF(Upgrades!$T$16="Brown Dwarf",POWER(Upgrades!$U$16,H160),1)*IF(Upgrades!$T$18="Brown Dwarf",POWER(Upgrades!$U$18,J160),1)*IF(Upgrades!$T$19="Brown Dwarf",POWER(Upgrades!$U$19,K160),1)*IF(Upgrades!$T$20="Brown Dwarf",POWER(Upgrades!$U$20,L160),1)*IF(Upgrades!$T$21="Brown Dwarf",POWER(Upgrades!$U$21,M160),1))+(IF(J160=0,0,(Upgrades!$G$18+J160*Upgrades!$H$18)*POWER(Upgrades!$I$18,J160)))*(IF(Upgrades!$T$13="Binary Partner",POWER(Upgrades!$U$13,E160),1)*IF(Upgrades!$T$14="Binary Partner",POWER(Upgrades!$U$14,F160),1)*IF(Upgrades!$T$15="Binary Partner",POWER(Upgrades!$U$15,G160),1)*IF(Upgrades!$T$16="Binary Partner",POWER(Upgrades!$U$16,H160),1)*IF(Upgrades!$T$17="Binary Partner",POWER(Upgrades!$U$17,I160),1)*IF(Upgrades!$T$19="Binary Partner",POWER(Upgrades!$U$19,K160),1)*IF(Upgrades!$T$20="Binary Partner",POWER(Upgrades!$U$20,L160),1)*IF(Upgrades!$T$21="Binary Partner",POWER(Upgrades!$U$21,M160),1))+(IF(K160=0,0,(Upgrades!$G$19+K160*Upgrades!$H$19)*POWER(Upgrades!$I$19,K160)))*(IF(Upgrades!$T$13="Peculiar Velocity",POWER(Upgrades!$U$13,E160),1)*IF(Upgrades!$T$14="Peculiar Velocity",POWER(Upgrades!$U$14,F160),1)*IF(Upgrades!$T$15="Peculiar Velocity",POWER(Upgrades!$U$15,G160),1)*IF(Upgrades!$T$16="Peculiar Velocity",POWER(Upgrades!$U$16,H160),1)*IF(Upgrades!$T$17="Peculiar Velocity",POWER(Upgrades!$U$17,I160),1)*IF(Upgrades!$T$18="Peculiar Velocity",POWER(Upgrades!$U$18,J160),1)*IF(Upgrades!$T$20="Peculiar Velocity",POWER(Upgrades!$U$20,L160),1)*IF(Upgrades!$T$21="Peculiar Velocity",POWER(Upgrades!$U$21,M160),1))+(IF(L160=0,0,(Upgrades!$G$20+L160*Upgrades!$H$20)*POWER(Upgrades!$I$20,L160)))*(IF(Upgrades!$T$13="Open Cluster",POWER(Upgrades!$U$13,E160),1)*IF(Upgrades!$T$14="Open Cluster",POWER(Upgrades!$U$14,F160),1)*IF(Upgrades!$T$15="Open Cluster",POWER(Upgrades!$U$15,G160),1)*IF(Upgrades!$T$16="Open Cluster",POWER(Upgrades!$U$16,H160),1)*IF(Upgrades!$T$17="Open Cluster",POWER(Upgrades!$U$17,I160),1)*IF(Upgrades!$T$18="Open Cluster",POWER(Upgrades!$U$18,J160),1)*IF(Upgrades!$T$19="Open Cluster",POWER(Upgrades!$U$19,K160),1)*IF(Upgrades!$T$21="Open Cluster",POWER(Upgrades!$U$21,M160),1))+(IF(M160=0,0,(Upgrades!$G$21+M160*Upgrades!$H$21)*POWER(Upgrades!$I$21,M160)))*(IF(Upgrades!$T$13="Moving Group",POWER(Upgrades!$U$13,E160),1)*IF(Upgrades!$T$14="Moving Group",POWER(Upgrades!$U$14,F160),1)*IF(Upgrades!$T$15="Moving Group",POWER(Upgrades!$U$15,G160),1)*IF(Upgrades!$T$16="Moving Group",POWER(Upgrades!$U$16,H160),1)*IF(Upgrades!$T$17="Moving Group",POWER(Upgrades!$U$17,I160),1)*IF(Upgrades!$T$18="Moving Group",POWER(Upgrades!$U$18,J160),1)*IF(Upgrades!$T$19="Moving Group",POWER(Upgrades!$U$19,K160),1)*IF(Upgrades!$T$20="Moving Group",POWER(Upgrades!$U$20,L160),1)))*POWER(Upgrades!$P$13,E160)*POWER(Upgrades!$P$14,F160)*POWER(Upgrades!$P$15,G160)*POWER(Upgrades!$P$16,H160)*POWER(Upgrades!$P$17,I160)*POWER(Upgrades!$P$18,J160)*POWER(Upgrades!$P$19,K160)*POWER(Upgrades!$P$20,L160)*POWER(Upgrades!$P$21,M160)*$F$6+$C$6</f>
        <v/>
      </c>
      <c r="Q160" s="28">
        <f>((IF(E160=0,0,(Upgrades!$M$13+E160*Upgrades!$N$13)*POWER(Upgrades!$O$13,E160)))*(IF(Upgrades!$T$14="Stellar Kinematics",POWER(Upgrades!$U$14,F160),1)*IF(Upgrades!$T$15="Stellar Kinematics",POWER(Upgrades!$U$15,G160),1)*IF(Upgrades!$T$16="Stellar Kinematics",POWER(Upgrades!$U$16,H160),1)*IF(Upgrades!$T$17="Stellar Kinematics",POWER(Upgrades!$U$17,I160),1)*IF(Upgrades!$T$18="Stellar Kinematics",POWER(Upgrades!$U$18,J160),1)*IF(Upgrades!$T$19="Stellar Kinematics",POWER(Upgrades!$U$19,K160),1)*IF(Upgrades!$T$20="Stellar Kinematics",POWER(Upgrades!$U$20,L160),1)*IF(Upgrades!$T$21="Stellar Kinematics",POWER(Upgrades!$U$21,M160),1))+(IF(F160=0,0,(Upgrades!$M$14+F160*Upgrades!$N$14)*POWER(Upgrades!$O$14,F160)))*(IF(Upgrades!$T$13="Local Bubble",POWER(Upgrades!$U$13,E160),1)*IF(Upgrades!$T$15="Local Bubble",POWER(Upgrades!$U$15,G160),1)*IF(Upgrades!$T$16="Local Bubble",POWER(Upgrades!$U$16,H160),1)*IF(Upgrades!$T$17="Local Bubble",POWER(Upgrades!$U$17,I160),1)*IF(Upgrades!$T$18="Local Bubble",POWER(Upgrades!$U$18,J160),1)*IF(Upgrades!$T$19="Local Bubble",POWER(Upgrades!$U$19,K160),1)*IF(Upgrades!$T$20="Local Bubble",POWER(Upgrades!$U$20,L160),1)*IF(Upgrades!$T$21="Local Bubble",POWER(Upgrades!$U$21,M160),1))+(IF(G160=0,0,(Upgrades!$M$15+G160*Upgrades!$N$15)*POWER(Upgrades!$O$15,G160)))*(IF(Upgrades!$T$13="Microlensing",POWER(Upgrades!$U$13,E160),1)*IF(Upgrades!$T$14="Microlensing",POWER(Upgrades!$U$14,F160),1)*IF(Upgrades!$T$16="Microlensing",POWER(Upgrades!$U$16,H160),1)*IF(Upgrades!$T$17="Microlensing",POWER(Upgrades!$U$17,I160),1)*IF(Upgrades!$T$18="Microlensing",POWER(Upgrades!$U$18,J160),1)*IF(Upgrades!$T$19="Microlensing",POWER(Upgrades!$U$19,K160),1)*IF(Upgrades!$T$20="Microlensing",POWER(Upgrades!$U$20,L160),1)*IF(Upgrades!$T$21="Microlensing",POWER(Upgrades!$U$21,M160),1))+(IF(H160=0,0,(Upgrades!$M$16+H160*Upgrades!$N$16)*POWER(Upgrades!$O$16,H160)))*(IF(Upgrades!$T$13="Roche Lobe Overflow",POWER(Upgrades!$U$13,E160),1)*IF(Upgrades!$T$14="Roche Lobe Overflow",POWER(Upgrades!$U$14,F160),1)*IF(Upgrades!$T$15="Roche Lobe Overflow",POWER(Upgrades!$U$15,G160),1)*IF(Upgrades!$T$17="Roche Lobe Overflow",POWER(Upgrades!$U$17,I160),1)*IF(Upgrades!$T$18="Roche Lobe Overflow",POWER(Upgrades!$U$18,J160),1)*IF(Upgrades!$T$19="Roche Lobe Overflow",POWER(Upgrades!$U$19,K160),1)*IF(Upgrades!$T$20="Roche Lobe Overflow",POWER(Upgrades!$U$20,L160),1)*IF(Upgrades!$T$21="Roche Lobe Overflow",POWER(Upgrades!$U$21,M160),1))+(IF(I160=0,0,(Upgrades!$M$17+I160*Upgrades!$N$17)*POWER(Upgrades!$O$17,I160)))*(IF(Upgrades!$T$13="Brown Dwarf",POWER(Upgrades!$U$13,E160),1)*IF(Upgrades!$T$14="Brown Dwarf",POWER(Upgrades!$U$14,F160),1)*IF(Upgrades!$T$15="Brown Dwarf",POWER(Upgrades!$U$15,G160),1)*IF(Upgrades!$T$16="Brown Dwarf",POWER(Upgrades!$U$16,H160),1)*IF(Upgrades!$T$18="Brown Dwarf",POWER(Upgrades!$U$18,J160),1)*IF(Upgrades!$T$19="Brown Dwarf",POWER(Upgrades!$U$19,K160),1)*IF(Upgrades!$T$20="Brown Dwarf",POWER(Upgrades!$U$20,L160),1)*IF(Upgrades!$T$21="Brown Dwarf",POWER(Upgrades!$U$21,M160),1))+(IF(J160=0,0,(Upgrades!$M$18+J160*Upgrades!$N$18)*POWER(Upgrades!$O$18,J160)))*(IF(Upgrades!$T$13="Binary Partner",POWER(Upgrades!$U$13,E160),1)*IF(Upgrades!$T$14="Binary Partner",POWER(Upgrades!$U$14,F160),1)*IF(Upgrades!$T$15="Binary Partner",POWER(Upgrades!$U$15,G160),1)*IF(Upgrades!$T$16="Binary Partner",POWER(Upgrades!$U$16,H160),1)*IF(Upgrades!$T$17="Binary Partner",POWER(Upgrades!$U$17,I160),1)*IF(Upgrades!$T$19="Binary Partner",POWER(Upgrades!$U$19,K160),1)*IF(Upgrades!$T$20="Binary Partner",POWER(Upgrades!$U$20,L160),1)*IF(Upgrades!$T$21="Binary Partner",POWER(Upgrades!$U$21,M160),1))+(IF(K160=0,0,(Upgrades!$M$19+K160*Upgrades!$N$19)*POWER(Upgrades!$O$19,K160)))*(IF(Upgrades!$T$13="Peculiar Velocity",POWER(Upgrades!$U$13,E160),1)*IF(Upgrades!$T$14="Peculiar Velocity",POWER(Upgrades!$U$14,F160),1)*IF(Upgrades!$T$15="Peculiar Velocity",POWER(Upgrades!$U$15,G160),1)*IF(Upgrades!$T$16="Peculiar Velocity",POWER(Upgrades!$U$16,H160),1)*IF(Upgrades!$T$17="Peculiar Velocity",POWER(Upgrades!$U$17,I160),1)*IF(Upgrades!$T$18="Peculiar Velocity",POWER(Upgrades!$U$18,J160),1)*IF(Upgrades!$T$20="Peculiar Velocity",POWER(Upgrades!$U$20,L160),1)*IF(Upgrades!$T$21="Peculiar Velocity",POWER(Upgrades!$U$21,M160),1))+(IF(L160=0,0,(Upgrades!$M$20+L160*Upgrades!$N$20)*POWER(Upgrades!$O$20,L160)))*(IF(Upgrades!$T$13="Open Cluster",POWER(Upgrades!$U$13,E160),1)*IF(Upgrades!$T$14="Open Cluster",POWER(Upgrades!$U$14,F160),1)*IF(Upgrades!$T$15="Open Cluster",POWER(Upgrades!$U$15,G160),1)*IF(Upgrades!$T$16="Open Cluster",POWER(Upgrades!$U$16,H160),1)*IF(Upgrades!$T$17="Open Cluster",POWER(Upgrades!$U$17,I160),1)*IF(Upgrades!$T$18="Open Cluster",POWER(Upgrades!$U$18,J160),1)*IF(Upgrades!$T$19="Open Cluster",POWER(Upgrades!$U$19,K160),1)*IF(Upgrades!$T$21="Open Cluster",POWER(Upgrades!$U$21,M160),1))+(IF(M160=0,0,(Upgrades!$M$21+M160*Upgrades!$N$21)*POWER(Upgrades!$O$21,M160)))*(IF(Upgrades!$T$13="Moving Group",POWER(Upgrades!$U$13,E160),1)*IF(Upgrades!$T$14="Moving Group",POWER(Upgrades!$U$14,F160),1)*IF(Upgrades!$T$15="Moving Group",POWER(Upgrades!$U$15,G160),1)*IF(Upgrades!$T$16="Moving Group",POWER(Upgrades!$U$16,H160),1)*IF(Upgrades!$T$17="Moving Group",POWER(Upgrades!$U$17,I160),1)*IF(Upgrades!$T$18="Moving Group",POWER(Upgrades!$U$18,J160),1)*IF(Upgrades!$T$19="Moving Group",POWER(Upgrades!$U$19,K160),1)*IF(Upgrades!$T$20="Moving Group",POWER(Upgrades!$U$20,L160),1)))*POWER(Upgrades!$R$13,E160)*POWER(Upgrades!$R$14,F160)*POWER(Upgrades!$R$15,G160)*POWER(Upgrades!$R$16,H160)*POWER(Upgrades!$R$17,I160)*POWER(Upgrades!$R$18,J160)*POWER(Upgrades!$R$19,K160)*POWER(Upgrades!$R$20,L160)*POWER(Upgrades!$R$21,M160)*$H$6+$E$6</f>
        <v/>
      </c>
      <c r="R160" s="27">
        <f>IF(N160=1,0,O160*Parameters!$B$10/60*Parameters!$B$11*10)</f>
        <v/>
      </c>
      <c r="S160" s="27">
        <f>IF(N160=1,0,Q160*O160*10)</f>
        <v/>
      </c>
      <c r="T160" s="27">
        <f>IF(N160=1,0,R160+S160+P160*10)</f>
        <v/>
      </c>
      <c r="U160" s="33">
        <f>BE160</f>
        <v/>
      </c>
      <c r="V160" s="22">
        <f>IF(U160="",0,IF(U160="transition",0,IF(U160="SK",AK160,IF(U160="LB",AL160,IF(U160="ML",AM160,IF(U160="RLO",AN160,IF(U160="BD",AO160,IF(U160="BiP",AP160,IF(U160="PV",AQ160,IF(U160="OC",AR160,IF(U160="MG",AS160,0))))))))))</f>
        <v/>
      </c>
      <c r="W160" s="27">
        <f>IF(U160="BiP",Upgrades!$F$18,IF(U160="PV",Upgrades!$F$19,IF(U160="OC",Upgrades!$F$20,IF(U160="MG",Upgrades!$F$21,IF(U160="transition",-Parameters!$B$18*Parameters!$B$19,0)))))</f>
        <v/>
      </c>
      <c r="X160" s="22">
        <f>C160+T160-V160</f>
        <v/>
      </c>
      <c r="Y160" s="30">
        <f>O160*Parameters!$B$10/60*Parameters!$B$11+Q160*O160+P160</f>
        <v/>
      </c>
      <c r="Z160" s="34">
        <f>IF(U160="transition","→ Tier 3 (Galactic Arm)",IF(U160="MG","Moving Group — pocket drifts together",IF(U160="OC","Open Cluster acquired",IF(U160="PV","Peculiar Velocity — passive multiplier active",IF(U160="BiP","Binary Partner — pair bond formed",IF(AND(AU160=1,N160=0,AT160&lt;&gt;1),"Cohesion ready (waiting on completionists)","")))))) </f>
        <v/>
      </c>
      <c r="AA160" s="27">
        <f>(IF(E160=0,0,(Upgrades!$G$13+E160*Upgrades!$H$13)*POWER(Upgrades!$I$13,E160)))*(IF(Upgrades!$T$14="Stellar Kinematics",POWER(Upgrades!$U$14,F160),1)*IF(Upgrades!$T$15="Stellar Kinematics",POWER(Upgrades!$U$15,G160),1)*IF(Upgrades!$T$16="Stellar Kinematics",POWER(Upgrades!$U$16,H160),1)*IF(Upgrades!$T$17="Stellar Kinematics",POWER(Upgrades!$U$17,I160),1)*IF(Upgrades!$T$18="Stellar Kinematics",POWER(Upgrades!$U$18,J160),1)*IF(Upgrades!$T$19="Stellar Kinematics",POWER(Upgrades!$U$19,K160),1)*IF(Upgrades!$T$20="Stellar Kinematics",POWER(Upgrades!$U$20,L160),1)*IF(Upgrades!$T$21="Stellar Kinematics",POWER(Upgrades!$U$21,M160),1))*POWER(Upgrades!$P$13,E160)*POWER(Upgrades!$P$14,F160)*POWER(Upgrades!$P$15,G160)*POWER(Upgrades!$P$16,H160)*POWER(Upgrades!$P$17,I160)*POWER(Upgrades!$P$18,J160)*POWER(Upgrades!$P$19,K160)*POWER(Upgrades!$P$20,L160)*POWER(Upgrades!$P$21,M160)*$F$6*60</f>
        <v/>
      </c>
      <c r="AB160" s="27">
        <f>(IF(F160=0,0,(Upgrades!$G$14+F160*Upgrades!$H$14)*POWER(Upgrades!$I$14,F160)))*(IF(Upgrades!$T$13="Local Bubble",POWER(Upgrades!$U$13,E160),1)*IF(Upgrades!$T$15="Local Bubble",POWER(Upgrades!$U$15,G160),1)*IF(Upgrades!$T$16="Local Bubble",POWER(Upgrades!$U$16,H160),1)*IF(Upgrades!$T$17="Local Bubble",POWER(Upgrades!$U$17,I160),1)*IF(Upgrades!$T$18="Local Bubble",POWER(Upgrades!$U$18,J160),1)*IF(Upgrades!$T$19="Local Bubble",POWER(Upgrades!$U$19,K160),1)*IF(Upgrades!$T$20="Local Bubble",POWER(Upgrades!$U$20,L160),1)*IF(Upgrades!$T$21="Local Bubble",POWER(Upgrades!$U$21,M160),1))*POWER(Upgrades!$P$13,E160)*POWER(Upgrades!$P$14,F160)*POWER(Upgrades!$P$15,G160)*POWER(Upgrades!$P$16,H160)*POWER(Upgrades!$P$17,I160)*POWER(Upgrades!$P$18,J160)*POWER(Upgrades!$P$19,K160)*POWER(Upgrades!$P$20,L160)*POWER(Upgrades!$P$21,M160)*$F$6*60</f>
        <v/>
      </c>
      <c r="AC160" s="27">
        <f>(IF(G160=0,0,(Upgrades!$J$15+G160*Upgrades!$K$15)*POWER(Upgrades!$L$15,G160)))*(IF(Upgrades!$T$13="Microlensing",POWER(Upgrades!$U$13,E160),1)*IF(Upgrades!$T$14="Microlensing",POWER(Upgrades!$U$14,F160),1)*IF(Upgrades!$T$16="Microlensing",POWER(Upgrades!$U$16,H160),1)*IF(Upgrades!$T$17="Microlensing",POWER(Upgrades!$U$17,I160),1)*IF(Upgrades!$T$18="Microlensing",POWER(Upgrades!$U$18,J160),1)*IF(Upgrades!$T$19="Microlensing",POWER(Upgrades!$U$19,K160),1)*IF(Upgrades!$T$20="Microlensing",POWER(Upgrades!$U$20,L160),1)*IF(Upgrades!$T$21="Microlensing",POWER(Upgrades!$U$21,M160),1))*POWER(Upgrades!$Q$13,E160)*POWER(Upgrades!$Q$14,F160)*POWER(Upgrades!$Q$15,G160)*POWER(Upgrades!$Q$16,H160)*POWER(Upgrades!$Q$17,I160)*POWER(Upgrades!$Q$18,J160)*POWER(Upgrades!$Q$19,K160)*POWER(Upgrades!$Q$20,L160)*POWER(Upgrades!$Q$21,M160)*$G$6*(Parameters!$B$10*Parameters!$B$11+Q160*60)</f>
        <v/>
      </c>
      <c r="AD160" s="27">
        <f>(IF(H160=0,0,(Upgrades!$M$16+H160*Upgrades!$N$16)*POWER(Upgrades!$O$16,H160)))*(IF(Upgrades!$T$13="Roche Lobe Overflow",POWER(Upgrades!$U$13,E160),1)*IF(Upgrades!$T$14="Roche Lobe Overflow",POWER(Upgrades!$U$14,F160),1)*IF(Upgrades!$T$15="Roche Lobe Overflow",POWER(Upgrades!$U$15,G160),1)*IF(Upgrades!$T$17="Roche Lobe Overflow",POWER(Upgrades!$U$17,I160),1)*IF(Upgrades!$T$18="Roche Lobe Overflow",POWER(Upgrades!$U$18,J160),1)*IF(Upgrades!$T$19="Roche Lobe Overflow",POWER(Upgrades!$U$19,K160),1)*IF(Upgrades!$T$20="Roche Lobe Overflow",POWER(Upgrades!$U$20,L160),1)*IF(Upgrades!$T$21="Roche Lobe Overflow",POWER(Upgrades!$U$21,M160),1))*POWER(Upgrades!$R$13,E160)*POWER(Upgrades!$R$14,F160)*POWER(Upgrades!$R$15,G160)*POWER(Upgrades!$R$16,H160)*POWER(Upgrades!$R$17,I160)*POWER(Upgrades!$R$18,J160)*POWER(Upgrades!$R$19,K160)*POWER(Upgrades!$R$20,L160)*POWER(Upgrades!$R$21,M160)*$H$6*O160*60</f>
        <v/>
      </c>
      <c r="AE160" s="27">
        <f>(IF(I160=0,0,(Upgrades!$G$17+I160*Upgrades!$H$17)*POWER(Upgrades!$I$17,I160)))*(IF(Upgrades!$T$13="Brown Dwarf",POWER(Upgrades!$U$13,E160),1)*IF(Upgrades!$T$14="Brown Dwarf",POWER(Upgrades!$U$14,F160),1)*IF(Upgrades!$T$15="Brown Dwarf",POWER(Upgrades!$U$15,G160),1)*IF(Upgrades!$T$16="Brown Dwarf",POWER(Upgrades!$U$16,H160),1)*IF(Upgrades!$T$18="Brown Dwarf",POWER(Upgrades!$U$18,J160),1)*IF(Upgrades!$T$19="Brown Dwarf",POWER(Upgrades!$U$19,K160),1)*IF(Upgrades!$T$20="Brown Dwarf",POWER(Upgrades!$U$20,L160),1)*IF(Upgrades!$T$21="Brown Dwarf",POWER(Upgrades!$U$21,M160),1))*POWER(Upgrades!$P$13,E160)*POWER(Upgrades!$P$14,F160)*POWER(Upgrades!$P$15,G160)*POWER(Upgrades!$P$16,H160)*POWER(Upgrades!$P$17,I160)*POWER(Upgrades!$P$18,J160)*POWER(Upgrades!$P$19,K160)*POWER(Upgrades!$P$20,L160)*POWER(Upgrades!$P$21,M160)*$F$6*60</f>
        <v/>
      </c>
      <c r="AF160" s="27" t="n">
        <v>0</v>
      </c>
      <c r="AG160" s="27" t="n">
        <v>0</v>
      </c>
      <c r="AH160" s="27" t="n">
        <v>0</v>
      </c>
      <c r="AI160" s="27">
        <f>(IF(M160=0,0,(Upgrades!$G$21+M160*Upgrades!$H$21)*POWER(Upgrades!$I$21,M160)))*(IF(Upgrades!$T$13="Moving Group",POWER(Upgrades!$U$13,E160),1)*IF(Upgrades!$T$14="Moving Group",POWER(Upgrades!$U$14,F160),1)*IF(Upgrades!$T$15="Moving Group",POWER(Upgrades!$U$15,G160),1)*IF(Upgrades!$T$16="Moving Group",POWER(Upgrades!$U$16,H160),1)*IF(Upgrades!$T$17="Moving Group",POWER(Upgrades!$U$17,I160),1)*IF(Upgrades!$T$18="Moving Group",POWER(Upgrades!$U$18,J160),1)*IF(Upgrades!$T$19="Moving Group",POWER(Upgrades!$U$19,K160),1)*IF(Upgrades!$T$20="Moving Group",POWER(Upgrades!$U$20,L160),1))*POWER(Upgrades!$P$13,E160)*POWER(Upgrades!$P$14,F160)*POWER(Upgrades!$P$15,G160)*POWER(Upgrades!$P$16,H160)*POWER(Upgrades!$P$17,I160)*POWER(Upgrades!$P$18,J160)*POWER(Upgrades!$P$19,K160)*POWER(Upgrades!$P$20,L160)*POWER(Upgrades!$P$21,M160)*$F$6*60</f>
        <v/>
      </c>
      <c r="AJ160" s="27">
        <f>$C$6*60</f>
        <v/>
      </c>
      <c r="AK160" s="22">
        <f>IF(E160&gt;=Upgrades!$E$13,"",Upgrades!$C$13*POWER(Upgrades!$D$13,E160))</f>
        <v/>
      </c>
      <c r="AL160" s="22">
        <f>IF(F160&gt;=Upgrades!$E$14,"",Upgrades!$C$14*POWER(Upgrades!$D$14,F160))</f>
        <v/>
      </c>
      <c r="AM160" s="22">
        <f>IF(G160&gt;=Upgrades!$E$15,"",Upgrades!$C$15*POWER(Upgrades!$D$15,G160))</f>
        <v/>
      </c>
      <c r="AN160" s="22">
        <f>IF(H160&gt;=Upgrades!$E$16,"",Upgrades!$C$16*POWER(Upgrades!$D$16,H160))</f>
        <v/>
      </c>
      <c r="AO160" s="22">
        <f>IF(I160&gt;=Upgrades!$E$17,"",Upgrades!$C$17*POWER(Upgrades!$D$17,I160))</f>
        <v/>
      </c>
      <c r="AP160" s="22">
        <f>IF(J160&gt;=Upgrades!$E$18,"",Upgrades!$C$18*POWER(Upgrades!$D$18,J160))</f>
        <v/>
      </c>
      <c r="AQ160" s="22">
        <f>IF(K160&gt;=Upgrades!$E$19,"",Upgrades!$C$19*POWER(Upgrades!$D$19,K160))</f>
        <v/>
      </c>
      <c r="AR160" s="22">
        <f>IF(L160&gt;=Upgrades!$E$20,"",Upgrades!$C$20*POWER(Upgrades!$D$20,L160))</f>
        <v/>
      </c>
      <c r="AS160" s="22">
        <f>IF(M160&gt;=Upgrades!$E$21,"",Upgrades!$C$21*POWER(Upgrades!$D$21,M160))</f>
        <v/>
      </c>
      <c r="AT160" s="26">
        <f>IF(AND(D160&gt;=Parameters!$B$18*Parameters!$B$19,(I160&gt;=Upgrades!$E$17)*(M160&gt;=Upgrades!$E$21)=1,N160=0),1,"")</f>
        <v/>
      </c>
      <c r="AU160" s="26">
        <f>IF(AND(D160&gt;=Parameters!$B$18*Parameters!$B$19,N160=0),1,"")</f>
        <v/>
      </c>
      <c r="AV160" s="22">
        <f>MIN(IF(ISNUMBER(AP160),AP160,9E15),IF(ISNUMBER(AQ160),AQ160,9E15),IF(ISNUMBER(AR160),AR160,9E15),IF(ISNUMBER(AS160),AS160,9E15))</f>
        <v/>
      </c>
      <c r="AW160" s="22">
        <f>MIN(IF(ISNUMBER(AK160),AK160,9E15),IF(ISNUMBER(AL160),AL160,9E15),IF(ISNUMBER(AM160),AM160,9E15),IF(ISNUMBER(AN160),AN160,9E15),IF(ISNUMBER(AO160),AO160,9E15))</f>
        <v/>
      </c>
      <c r="AX160" s="29">
        <f>IF(BD160&gt;Parameters!$B$21*(MAX(IF(AND(NOT(AND(AU160=1,AT160&lt;&gt;1)),ISNUMBER(AK160),AK160&lt;=(C160+T160)),AY160,0),IF(AND(NOT(AND(AU160=1,AT160&lt;&gt;1)),ISNUMBER(AL160),AL160&lt;=(C160+T160)),AZ160,0),IF(AND(NOT(AND(AU160=1,AT160&lt;&gt;1)),ISNUMBER(AM160),AM160&lt;=(C160+T160)),BA160,0),IF(AND(NOT(AND(AU160=1,AT160&lt;&gt;1)),ISNUMBER(AN160),AN160&lt;=(C160+T160)),BB160,0),IF(AND(ISNUMBER(AO160),AO160&lt;=(C160+T160)),BC160,0))),TRUE,FALSE)</f>
        <v/>
      </c>
      <c r="AY160" s="32">
        <f>IFERROR(Upgrades!$H$13*(POWER(Upgrades!$P$13,E160)*POWER(Upgrades!$P$14,F160)*POWER(Upgrades!$P$15,G160)*POWER(Upgrades!$P$16,H160)*POWER(Upgrades!$P$17,I160)*POWER(Upgrades!$P$18,J160)*POWER(Upgrades!$P$19,K160)*POWER(Upgrades!$P$20,L160)*POWER(Upgrades!$P$21,M160))*(IF(Upgrades!$T$14="Stellar Kinematics",POWER(Upgrades!$U$14,F160),1)*IF(Upgrades!$T$15="Stellar Kinematics",POWER(Upgrades!$U$15,G160),1)*IF(Upgrades!$T$16="Stellar Kinematics",POWER(Upgrades!$U$16,H160),1)*IF(Upgrades!$T$17="Stellar Kinematics",POWER(Upgrades!$U$17,I160),1)*IF(Upgrades!$T$18="Stellar Kinematics",POWER(Upgrades!$U$18,J160),1)*IF(Upgrades!$T$19="Stellar Kinematics",POWER(Upgrades!$U$19,K160),1)*IF(Upgrades!$T$20="Stellar Kinematics",POWER(Upgrades!$U$20,L160),1)*IF(Upgrades!$T$21="Stellar Kinematics",POWER(Upgrades!$U$21,M160),1))*$F$6/AK160,0)</f>
        <v/>
      </c>
      <c r="AZ160" s="32">
        <f>IFERROR(Upgrades!$H$14*(POWER(Upgrades!$P$13,E160)*POWER(Upgrades!$P$14,F160)*POWER(Upgrades!$P$15,G160)*POWER(Upgrades!$P$16,H160)*POWER(Upgrades!$P$17,I160)*POWER(Upgrades!$P$18,J160)*POWER(Upgrades!$P$19,K160)*POWER(Upgrades!$P$20,L160)*POWER(Upgrades!$P$21,M160))*(IF(Upgrades!$T$13="Local Bubble",POWER(Upgrades!$U$13,E160),1)*IF(Upgrades!$T$15="Local Bubble",POWER(Upgrades!$U$15,G160),1)*IF(Upgrades!$T$16="Local Bubble",POWER(Upgrades!$U$16,H160),1)*IF(Upgrades!$T$17="Local Bubble",POWER(Upgrades!$U$17,I160),1)*IF(Upgrades!$T$18="Local Bubble",POWER(Upgrades!$U$18,J160),1)*IF(Upgrades!$T$19="Local Bubble",POWER(Upgrades!$U$19,K160),1)*IF(Upgrades!$T$20="Local Bubble",POWER(Upgrades!$U$20,L160),1)*IF(Upgrades!$T$21="Local Bubble",POWER(Upgrades!$U$21,M160),1))*$F$6/AL160,0)</f>
        <v/>
      </c>
      <c r="BA160" s="32">
        <f>IFERROR(Upgrades!$K$15*(POWER(Upgrades!$Q$13,E160)*POWER(Upgrades!$Q$14,F160)*POWER(Upgrades!$Q$15,G160)*POWER(Upgrades!$Q$16,H160)*POWER(Upgrades!$Q$17,I160)*POWER(Upgrades!$Q$18,J160)*POWER(Upgrades!$Q$19,K160)*POWER(Upgrades!$Q$20,L160)*POWER(Upgrades!$Q$21,M160))*(IF(Upgrades!$T$13="Microlensing",POWER(Upgrades!$U$13,E160),1)*IF(Upgrades!$T$14="Microlensing",POWER(Upgrades!$U$14,F160),1)*IF(Upgrades!$T$16="Microlensing",POWER(Upgrades!$U$16,H160),1)*IF(Upgrades!$T$17="Microlensing",POWER(Upgrades!$U$17,I160),1)*IF(Upgrades!$T$18="Microlensing",POWER(Upgrades!$U$18,J160),1)*IF(Upgrades!$T$19="Microlensing",POWER(Upgrades!$U$19,K160),1)*IF(Upgrades!$T$20="Microlensing",POWER(Upgrades!$U$20,L160),1)*IF(Upgrades!$T$21="Microlensing",POWER(Upgrades!$U$21,M160),1))*$G$6*(Parameters!$B$10/60*Parameters!$B$11+Q160)/AM160,0)</f>
        <v/>
      </c>
      <c r="BB160" s="32">
        <f>IFERROR((Upgrades!$N$16*(POWER(Upgrades!$R$13,E160)*POWER(Upgrades!$R$14,F160)*POWER(Upgrades!$R$15,G160)*POWER(Upgrades!$R$16,H160)*POWER(Upgrades!$R$17,I160)*POWER(Upgrades!$R$18,J160)*POWER(Upgrades!$R$19,K160)*POWER(Upgrades!$R$20,L160)*POWER(Upgrades!$R$21,M160))*(IF(Upgrades!$T$13="Roche Lobe Overflow",POWER(Upgrades!$U$13,E160),1)*IF(Upgrades!$T$14="Roche Lobe Overflow",POWER(Upgrades!$U$14,F160),1)*IF(Upgrades!$T$15="Roche Lobe Overflow",POWER(Upgrades!$U$15,G160),1)*IF(Upgrades!$T$17="Roche Lobe Overflow",POWER(Upgrades!$U$17,I160),1)*IF(Upgrades!$T$18="Roche Lobe Overflow",POWER(Upgrades!$U$18,J160),1)*IF(Upgrades!$T$19="Roche Lobe Overflow",POWER(Upgrades!$U$19,K160),1)*IF(Upgrades!$T$20="Roche Lobe Overflow",POWER(Upgrades!$U$20,L160),1)*IF(Upgrades!$T$21="Roche Lobe Overflow",POWER(Upgrades!$U$21,M160),1))*$H$6*O160+((IF(F160=0,0,(Upgrades!$G$14+F160*Upgrades!$H$14)*POWER(Upgrades!$I$14,F160)))*(IF(Upgrades!$T$13="Local Bubble",POWER(Upgrades!$U$13,E160),1)*IF(Upgrades!$T$15="Local Bubble",POWER(Upgrades!$U$15,G160),1)*IF(Upgrades!$T$16="Local Bubble",POWER(Upgrades!$U$16,H160),1)*IF(Upgrades!$T$17="Local Bubble",POWER(Upgrades!$U$17,I160),1)*IF(Upgrades!$T$18="Local Bubble",POWER(Upgrades!$U$18,J160),1)*IF(Upgrades!$T$19="Local Bubble",POWER(Upgrades!$U$19,K160),1)*IF(Upgrades!$T$20="Local Bubble",POWER(Upgrades!$U$20,L160),1)*IF(Upgrades!$T$21="Local Bubble",POWER(Upgrades!$U$21,M160),1))*POWER(Upgrades!$P$13,E160)*POWER(Upgrades!$P$14,F160)*POWER(Upgrades!$P$15,G160)*POWER(Upgrades!$P$16,H160)*POWER(Upgrades!$P$17,I160)*POWER(Upgrades!$P$18,J160)*POWER(Upgrades!$P$19,K160)*POWER(Upgrades!$P$20,L160)*POWER(Upgrades!$P$21,M160)*$F$6)*0.05)/AN160,0)</f>
        <v/>
      </c>
      <c r="BC160" s="32">
        <f>IFERROR((Upgrades!$H$17*(POWER(Upgrades!$P$13,E160)*POWER(Upgrades!$P$14,F160)*POWER(Upgrades!$P$15,G160)*POWER(Upgrades!$P$16,H160)*POWER(Upgrades!$P$17,I160)*POWER(Upgrades!$P$18,J160)*POWER(Upgrades!$P$19,K160)*POWER(Upgrades!$P$20,L160)*POWER(Upgrades!$P$21,M160))*(IF(Upgrades!$T$13="Brown Dwarf",POWER(Upgrades!$U$13,E160),1)*IF(Upgrades!$T$14="Brown Dwarf",POWER(Upgrades!$U$14,F160),1)*IF(Upgrades!$T$15="Brown Dwarf",POWER(Upgrades!$U$15,G160),1)*IF(Upgrades!$T$16="Brown Dwarf",POWER(Upgrades!$U$16,H160),1)*IF(Upgrades!$T$18="Brown Dwarf",POWER(Upgrades!$U$18,J160),1)*IF(Upgrades!$T$19="Brown Dwarf",POWER(Upgrades!$U$19,K160),1)*IF(Upgrades!$T$20="Brown Dwarf",POWER(Upgrades!$U$20,L160),1)*IF(Upgrades!$T$21="Brown Dwarf",POWER(Upgrades!$U$21,M160),1))*$F$6+(((IF(H160=0,0,(Upgrades!$M$16+H160*Upgrades!$N$16)*POWER(Upgrades!$O$16,H160)))*(IF(Upgrades!$T$13="Roche Lobe Overflow",POWER(Upgrades!$U$13,E160),1)*IF(Upgrades!$T$14="Roche Lobe Overflow",POWER(Upgrades!$U$14,F160),1)*IF(Upgrades!$T$15="Roche Lobe Overflow",POWER(Upgrades!$U$15,G160),1)*IF(Upgrades!$T$17="Roche Lobe Overflow",POWER(Upgrades!$U$17,I160),1)*IF(Upgrades!$T$18="Roche Lobe Overflow",POWER(Upgrades!$U$18,J160),1)*IF(Upgrades!$T$19="Roche Lobe Overflow",POWER(Upgrades!$U$19,K160),1)*IF(Upgrades!$T$20="Roche Lobe Overflow",POWER(Upgrades!$U$20,L160),1)*IF(Upgrades!$T$21="Roche Lobe Overflow",POWER(Upgrades!$U$21,M160),1))*POWER(Upgrades!$R$13,E160)*POWER(Upgrades!$R$14,F160)*POWER(Upgrades!$R$15,G160)*POWER(Upgrades!$R$16,H160)*POWER(Upgrades!$R$17,I160)*POWER(Upgrades!$R$18,J160)*POWER(Upgrades!$R$19,K160)*POWER(Upgrades!$R$20,L160)*POWER(Upgrades!$R$21,M160)*$H$6)*O160)*0.10)/AO160,0)</f>
        <v/>
      </c>
      <c r="BD160" s="32">
        <f>MAX(IF(J160&gt;0,0,IFERROR(0.5*((IF(G160=0,0,(Upgrades!$J$15+G160*Upgrades!$K$15)*POWER(Upgrades!$L$15,G160)))*(IF(Upgrades!$T$13="Microlensing",POWER(Upgrades!$U$13,E160),1)*IF(Upgrades!$T$14="Microlensing",POWER(Upgrades!$U$14,F160),1)*IF(Upgrades!$T$16="Microlensing",POWER(Upgrades!$U$16,H160),1)*IF(Upgrades!$T$17="Microlensing",POWER(Upgrades!$U$17,I160),1)*IF(Upgrades!$T$18="Microlensing",POWER(Upgrades!$U$18,J160),1)*IF(Upgrades!$T$19="Microlensing",POWER(Upgrades!$U$19,K160),1)*IF(Upgrades!$T$20="Microlensing",POWER(Upgrades!$U$20,L160),1)*IF(Upgrades!$T$21="Microlensing",POWER(Upgrades!$U$21,M160),1))*(POWER(Upgrades!$Q$13,E160)*POWER(Upgrades!$Q$14,F160)*POWER(Upgrades!$Q$15,G160)*POWER(Upgrades!$Q$16,H160)*POWER(Upgrades!$Q$17,I160)*POWER(Upgrades!$Q$18,J160)*POWER(Upgrades!$Q$19,K160)*POWER(Upgrades!$Q$20,L160)*POWER(Upgrades!$Q$21,M160))*$G$6*(Parameters!$B$10/60*Parameters!$B$11+Q160))/Upgrades!$C$18,0)),IF(K160&gt;0,0,IFERROR(0.30*P160/Upgrades!$C$19,0)),IF(L160&gt;0,0,IFERROR(0.0001/Upgrades!$C$20,0)),IF(M160&gt;0,0,IFERROR((6.0*(POWER(Upgrades!$P$13,E160)*POWER(Upgrades!$P$14,F160)*POWER(Upgrades!$P$15,G160)*POWER(Upgrades!$P$16,H160)*POWER(Upgrades!$P$17,I160)*POWER(Upgrades!$P$18,J160)*POWER(Upgrades!$P$19,K160)*POWER(Upgrades!$P$20,L160)*POWER(Upgrades!$P$21,M160))*$F$6+0.20*O160*(Parameters!$B$10/60*Parameters!$B$11+Q160))/Upgrades!$C$21,0)),IF(AND(ISNUMBER(AK160),AK160&gt;(C160+T160)),AY160,0),IF(AND(ISNUMBER(AL160),AL160&gt;(C160+T160)),AZ160,0),IF(AND(ISNUMBER(AM160),AM160&gt;(C160+T160)),BA160,0),IF(AND(ISNUMBER(AN160),AN160&gt;(C160+T160)),BB160,0),IF(AND(ISNUMBER(AO160),AO160&gt;(C160+T160)),BC160,0))</f>
        <v/>
      </c>
      <c r="BE160" s="29">
        <f>IF(AT160=1,"transition",IF(MIN(IF(AND(J160=0,ISNUMBER(AP160),AP160&lt;=(C160+T160)),AP160,9E15),IF(AND(K160=0,ISNUMBER(AQ160),AQ160&lt;=(C160+T160)),AQ160,9E15),IF(AND(L160=0,ISNUMBER(AR160),AR160&lt;=(C160+T160)),AR160,9E15),IF(AND(M160=0,ISNUMBER(AS160),AS160&lt;=(C160+T160)),AS160,9E15))&lt;9E15,IF(AND(AND(J160=0,ISNUMBER(AP160),AP160&lt;=(C160+T160)),AP160=MIN(IF(AND(J160=0,ISNUMBER(AP160),AP160&lt;=(C160+T160)),AP160,9E15),IF(AND(K160=0,ISNUMBER(AQ160),AQ160&lt;=(C160+T160)),AQ160,9E15),IF(AND(L160=0,ISNUMBER(AR160),AR160&lt;=(C160+T160)),AR160,9E15),IF(AND(M160=0,ISNUMBER(AS160),AS160&lt;=(C160+T160)),AS160,9E15))),"BiP",IF(AND(AND(K160=0,ISNUMBER(AQ160),AQ160&lt;=(C160+T160)),AQ160=MIN(IF(AND(J160=0,ISNUMBER(AP160),AP160&lt;=(C160+T160)),AP160,9E15),IF(AND(K160=0,ISNUMBER(AQ160),AQ160&lt;=(C160+T160)),AQ160,9E15),IF(AND(L160=0,ISNUMBER(AR160),AR160&lt;=(C160+T160)),AR160,9E15),IF(AND(M160=0,ISNUMBER(AS160),AS160&lt;=(C160+T160)),AS160,9E15))),"PV",IF(AND(AND(L160=0,ISNUMBER(AR160),AR160&lt;=(C160+T160)),AR160=MIN(IF(AND(J160=0,ISNUMBER(AP160),AP160&lt;=(C160+T160)),AP160,9E15),IF(AND(K160=0,ISNUMBER(AQ160),AQ160&lt;=(C160+T160)),AQ160,9E15),IF(AND(L160=0,ISNUMBER(AR160),AR160&lt;=(C160+T160)),AR160,9E15),IF(AND(M160=0,ISNUMBER(AS160),AS160&lt;=(C160+T160)),AS160,9E15))),"OC","MG"))),IF(AX160=TRUE,"",IF(MAX(IF(AND(NOT(AND(AU160=1,AT160&lt;&gt;1)),ISNUMBER(AK160),AK160&lt;=(C160+T160)),AY160,0),IF(AND(NOT(AND(AU160=1,AT160&lt;&gt;1)),ISNUMBER(AL160),AL160&lt;=(C160+T160)),AZ160,0),IF(AND(NOT(AND(AU160=1,AT160&lt;&gt;1)),ISNUMBER(AM160),AM160&lt;=(C160+T160)),BA160,0),IF(AND(NOT(AND(AU160=1,AT160&lt;&gt;1)),ISNUMBER(AN160),AN160&lt;=(C160+T160)),BB160,0),IF(AND(ISNUMBER(AO160),AO160&lt;=(C160+T160)),BC160,0))&lt;=0,"",IF(AND(IF(AND(NOT(AND(AU160=1,AT160&lt;&gt;1)),ISNUMBER(AK160),AK160&lt;=(C160+T160)),AY160,0)&gt;0,IF(AND(NOT(AND(AU160=1,AT160&lt;&gt;1)),ISNUMBER(AK160),AK160&lt;=(C160+T160)),AY160,0)=MAX(IF(AND(NOT(AND(AU160=1,AT160&lt;&gt;1)),ISNUMBER(AK160),AK160&lt;=(C160+T160)),AY160,0),IF(AND(NOT(AND(AU160=1,AT160&lt;&gt;1)),ISNUMBER(AL160),AL160&lt;=(C160+T160)),AZ160,0),IF(AND(NOT(AND(AU160=1,AT160&lt;&gt;1)),ISNUMBER(AM160),AM160&lt;=(C160+T160)),BA160,0),IF(AND(NOT(AND(AU160=1,AT160&lt;&gt;1)),ISNUMBER(AN160),AN160&lt;=(C160+T160)),BB160,0),IF(AND(ISNUMBER(AO160),AO160&lt;=(C160+T160)),BC160,0))),"SK",IF(AND(IF(AND(NOT(AND(AU160=1,AT160&lt;&gt;1)),ISNUMBER(AL160),AL160&lt;=(C160+T160)),AZ160,0)&gt;0,IF(AND(NOT(AND(AU160=1,AT160&lt;&gt;1)),ISNUMBER(AL160),AL160&lt;=(C160+T160)),AZ160,0)=MAX(IF(AND(NOT(AND(AU160=1,AT160&lt;&gt;1)),ISNUMBER(AK160),AK160&lt;=(C160+T160)),AY160,0),IF(AND(NOT(AND(AU160=1,AT160&lt;&gt;1)),ISNUMBER(AL160),AL160&lt;=(C160+T160)),AZ160,0),IF(AND(NOT(AND(AU160=1,AT160&lt;&gt;1)),ISNUMBER(AM160),AM160&lt;=(C160+T160)),BA160,0),IF(AND(NOT(AND(AU160=1,AT160&lt;&gt;1)),ISNUMBER(AN160),AN160&lt;=(C160+T160)),BB160,0),IF(AND(ISNUMBER(AO160),AO160&lt;=(C160+T160)),BC160,0))),"LB",IF(AND(IF(AND(NOT(AND(AU160=1,AT160&lt;&gt;1)),ISNUMBER(AM160),AM160&lt;=(C160+T160)),BA160,0)&gt;0,IF(AND(NOT(AND(AU160=1,AT160&lt;&gt;1)),ISNUMBER(AM160),AM160&lt;=(C160+T160)),BA160,0)=MAX(IF(AND(NOT(AND(AU160=1,AT160&lt;&gt;1)),ISNUMBER(AK160),AK160&lt;=(C160+T160)),AY160,0),IF(AND(NOT(AND(AU160=1,AT160&lt;&gt;1)),ISNUMBER(AL160),AL160&lt;=(C160+T160)),AZ160,0),IF(AND(NOT(AND(AU160=1,AT160&lt;&gt;1)),ISNUMBER(AM160),AM160&lt;=(C160+T160)),BA160,0),IF(AND(NOT(AND(AU160=1,AT160&lt;&gt;1)),ISNUMBER(AN160),AN160&lt;=(C160+T160)),BB160,0),IF(AND(ISNUMBER(AO160),AO160&lt;=(C160+T160)),BC160,0))),"ML",IF(AND(IF(AND(NOT(AND(AU160=1,AT160&lt;&gt;1)),ISNUMBER(AN160),AN160&lt;=(C160+T160)),BB160,0)&gt;0,IF(AND(NOT(AND(AU160=1,AT160&lt;&gt;1)),ISNUMBER(AN160),AN160&lt;=(C160+T160)),BB160,0)=MAX(IF(AND(NOT(AND(AU160=1,AT160&lt;&gt;1)),ISNUMBER(AK160),AK160&lt;=(C160+T160)),AY160,0),IF(AND(NOT(AND(AU160=1,AT160&lt;&gt;1)),ISNUMBER(AL160),AL160&lt;=(C160+T160)),AZ160,0),IF(AND(NOT(AND(AU160=1,AT160&lt;&gt;1)),ISNUMBER(AM160),AM160&lt;=(C160+T160)),BA160,0),IF(AND(NOT(AND(AU160=1,AT160&lt;&gt;1)),ISNUMBER(AN160),AN160&lt;=(C160+T160)),BB160,0),IF(AND(ISNUMBER(AO160),AO160&lt;=(C160+T160)),BC160,0))),"RLO","BD"))))))))</f>
        <v/>
      </c>
    </row>
    <row r="161">
      <c r="A161" s="26" t="n">
        <v>150</v>
      </c>
      <c r="B161" s="27">
        <f>A161*10/60</f>
        <v/>
      </c>
      <c r="C161" s="22">
        <f>X160</f>
        <v/>
      </c>
      <c r="D161" s="27">
        <f>D160+W160</f>
        <v/>
      </c>
      <c r="E161" s="26">
        <f>E160+IF(U160="SK",1,0)</f>
        <v/>
      </c>
      <c r="F161" s="26">
        <f>F160+IF(U160="LB",1,0)</f>
        <v/>
      </c>
      <c r="G161" s="26">
        <f>G160+IF(U160="ML",1,0)</f>
        <v/>
      </c>
      <c r="H161" s="26">
        <f>H160+IF(U160="RLO",1,0)</f>
        <v/>
      </c>
      <c r="I161" s="26">
        <f>I160+IF(U160="BD",1,0)</f>
        <v/>
      </c>
      <c r="J161" s="26">
        <f>MAX(J160,IF(U160="BiP",1,0))</f>
        <v/>
      </c>
      <c r="K161" s="26">
        <f>MAX(K160,IF(U160="PV",1,0))</f>
        <v/>
      </c>
      <c r="L161" s="26">
        <f>MAX(L160,IF(U160="OC",1,0))</f>
        <v/>
      </c>
      <c r="M161" s="26">
        <f>MAX(M160,IF(U160="MG",1,0))</f>
        <v/>
      </c>
      <c r="N161" s="26">
        <f>MAX(N160,IF(U160="transition",1,0))</f>
        <v/>
      </c>
      <c r="O161" s="28">
        <f>(Parameters!$B$9+(IF(E161=0,0,(Upgrades!$J$13+E161*Upgrades!$K$13)*POWER(Upgrades!$L$13,E161)))*(IF(Upgrades!$T$14="Stellar Kinematics",POWER(Upgrades!$U$14,F161),1)*IF(Upgrades!$T$15="Stellar Kinematics",POWER(Upgrades!$U$15,G161),1)*IF(Upgrades!$T$16="Stellar Kinematics",POWER(Upgrades!$U$16,H161),1)*IF(Upgrades!$T$17="Stellar Kinematics",POWER(Upgrades!$U$17,I161),1)*IF(Upgrades!$T$18="Stellar Kinematics",POWER(Upgrades!$U$18,J161),1)*IF(Upgrades!$T$19="Stellar Kinematics",POWER(Upgrades!$U$19,K161),1)*IF(Upgrades!$T$20="Stellar Kinematics",POWER(Upgrades!$U$20,L161),1)*IF(Upgrades!$T$21="Stellar Kinematics",POWER(Upgrades!$U$21,M161),1))+(IF(F161=0,0,(Upgrades!$J$14+F161*Upgrades!$K$14)*POWER(Upgrades!$L$14,F161)))*(IF(Upgrades!$T$13="Local Bubble",POWER(Upgrades!$U$13,E161),1)*IF(Upgrades!$T$15="Local Bubble",POWER(Upgrades!$U$15,G161),1)*IF(Upgrades!$T$16="Local Bubble",POWER(Upgrades!$U$16,H161),1)*IF(Upgrades!$T$17="Local Bubble",POWER(Upgrades!$U$17,I161),1)*IF(Upgrades!$T$18="Local Bubble",POWER(Upgrades!$U$18,J161),1)*IF(Upgrades!$T$19="Local Bubble",POWER(Upgrades!$U$19,K161),1)*IF(Upgrades!$T$20="Local Bubble",POWER(Upgrades!$U$20,L161),1)*IF(Upgrades!$T$21="Local Bubble",POWER(Upgrades!$U$21,M161),1))+(IF(G161=0,0,(Upgrades!$J$15+G161*Upgrades!$K$15)*POWER(Upgrades!$L$15,G161)))*(IF(Upgrades!$T$13="Microlensing",POWER(Upgrades!$U$13,E161),1)*IF(Upgrades!$T$14="Microlensing",POWER(Upgrades!$U$14,F161),1)*IF(Upgrades!$T$16="Microlensing",POWER(Upgrades!$U$16,H161),1)*IF(Upgrades!$T$17="Microlensing",POWER(Upgrades!$U$17,I161),1)*IF(Upgrades!$T$18="Microlensing",POWER(Upgrades!$U$18,J161),1)*IF(Upgrades!$T$19="Microlensing",POWER(Upgrades!$U$19,K161),1)*IF(Upgrades!$T$20="Microlensing",POWER(Upgrades!$U$20,L161),1)*IF(Upgrades!$T$21="Microlensing",POWER(Upgrades!$U$21,M161),1))+(IF(H161=0,0,(Upgrades!$J$16+H161*Upgrades!$K$16)*POWER(Upgrades!$L$16,H161)))*(IF(Upgrades!$T$13="Roche Lobe Overflow",POWER(Upgrades!$U$13,E161),1)*IF(Upgrades!$T$14="Roche Lobe Overflow",POWER(Upgrades!$U$14,F161),1)*IF(Upgrades!$T$15="Roche Lobe Overflow",POWER(Upgrades!$U$15,G161),1)*IF(Upgrades!$T$17="Roche Lobe Overflow",POWER(Upgrades!$U$17,I161),1)*IF(Upgrades!$T$18="Roche Lobe Overflow",POWER(Upgrades!$U$18,J161),1)*IF(Upgrades!$T$19="Roche Lobe Overflow",POWER(Upgrades!$U$19,K161),1)*IF(Upgrades!$T$20="Roche Lobe Overflow",POWER(Upgrades!$U$20,L161),1)*IF(Upgrades!$T$21="Roche Lobe Overflow",POWER(Upgrades!$U$21,M161),1))+(IF(I161=0,0,(Upgrades!$J$17+I161*Upgrades!$K$17)*POWER(Upgrades!$L$17,I161)))*(IF(Upgrades!$T$13="Brown Dwarf",POWER(Upgrades!$U$13,E161),1)*IF(Upgrades!$T$14="Brown Dwarf",POWER(Upgrades!$U$14,F161),1)*IF(Upgrades!$T$15="Brown Dwarf",POWER(Upgrades!$U$15,G161),1)*IF(Upgrades!$T$16="Brown Dwarf",POWER(Upgrades!$U$16,H161),1)*IF(Upgrades!$T$18="Brown Dwarf",POWER(Upgrades!$U$18,J161),1)*IF(Upgrades!$T$19="Brown Dwarf",POWER(Upgrades!$U$19,K161),1)*IF(Upgrades!$T$20="Brown Dwarf",POWER(Upgrades!$U$20,L161),1)*IF(Upgrades!$T$21="Brown Dwarf",POWER(Upgrades!$U$21,M161),1))+(IF(J161=0,0,(Upgrades!$J$18+J161*Upgrades!$K$18)*POWER(Upgrades!$L$18,J161)))*(IF(Upgrades!$T$13="Binary Partner",POWER(Upgrades!$U$13,E161),1)*IF(Upgrades!$T$14="Binary Partner",POWER(Upgrades!$U$14,F161),1)*IF(Upgrades!$T$15="Binary Partner",POWER(Upgrades!$U$15,G161),1)*IF(Upgrades!$T$16="Binary Partner",POWER(Upgrades!$U$16,H161),1)*IF(Upgrades!$T$17="Binary Partner",POWER(Upgrades!$U$17,I161),1)*IF(Upgrades!$T$19="Binary Partner",POWER(Upgrades!$U$19,K161),1)*IF(Upgrades!$T$20="Binary Partner",POWER(Upgrades!$U$20,L161),1)*IF(Upgrades!$T$21="Binary Partner",POWER(Upgrades!$U$21,M161),1))+(IF(K161=0,0,(Upgrades!$J$19+K161*Upgrades!$K$19)*POWER(Upgrades!$L$19,K161)))*(IF(Upgrades!$T$13="Peculiar Velocity",POWER(Upgrades!$U$13,E161),1)*IF(Upgrades!$T$14="Peculiar Velocity",POWER(Upgrades!$U$14,F161),1)*IF(Upgrades!$T$15="Peculiar Velocity",POWER(Upgrades!$U$15,G161),1)*IF(Upgrades!$T$16="Peculiar Velocity",POWER(Upgrades!$U$16,H161),1)*IF(Upgrades!$T$17="Peculiar Velocity",POWER(Upgrades!$U$17,I161),1)*IF(Upgrades!$T$18="Peculiar Velocity",POWER(Upgrades!$U$18,J161),1)*IF(Upgrades!$T$20="Peculiar Velocity",POWER(Upgrades!$U$20,L161),1)*IF(Upgrades!$T$21="Peculiar Velocity",POWER(Upgrades!$U$21,M161),1))+(IF(L161=0,0,(Upgrades!$J$20+L161*Upgrades!$K$20)*POWER(Upgrades!$L$20,L161)))*(IF(Upgrades!$T$13="Open Cluster",POWER(Upgrades!$U$13,E161),1)*IF(Upgrades!$T$14="Open Cluster",POWER(Upgrades!$U$14,F161),1)*IF(Upgrades!$T$15="Open Cluster",POWER(Upgrades!$U$15,G161),1)*IF(Upgrades!$T$16="Open Cluster",POWER(Upgrades!$U$16,H161),1)*IF(Upgrades!$T$17="Open Cluster",POWER(Upgrades!$U$17,I161),1)*IF(Upgrades!$T$18="Open Cluster",POWER(Upgrades!$U$18,J161),1)*IF(Upgrades!$T$19="Open Cluster",POWER(Upgrades!$U$19,K161),1)*IF(Upgrades!$T$21="Open Cluster",POWER(Upgrades!$U$21,M161),1))+(IF(M161=0,0,(Upgrades!$J$21+M161*Upgrades!$K$21)*POWER(Upgrades!$L$21,M161)))*(IF(Upgrades!$T$13="Moving Group",POWER(Upgrades!$U$13,E161),1)*IF(Upgrades!$T$14="Moving Group",POWER(Upgrades!$U$14,F161),1)*IF(Upgrades!$T$15="Moving Group",POWER(Upgrades!$U$15,G161),1)*IF(Upgrades!$T$16="Moving Group",POWER(Upgrades!$U$16,H161),1)*IF(Upgrades!$T$17="Moving Group",POWER(Upgrades!$U$17,I161),1)*IF(Upgrades!$T$18="Moving Group",POWER(Upgrades!$U$18,J161),1)*IF(Upgrades!$T$19="Moving Group",POWER(Upgrades!$U$19,K161),1)*IF(Upgrades!$T$20="Moving Group",POWER(Upgrades!$U$20,L161),1)))*POWER(Upgrades!$Q$13,E161)*POWER(Upgrades!$Q$14,F161)*POWER(Upgrades!$Q$15,G161)*POWER(Upgrades!$Q$16,H161)*POWER(Upgrades!$Q$17,I161)*POWER(Upgrades!$Q$18,J161)*POWER(Upgrades!$Q$19,K161)*POWER(Upgrades!$Q$20,L161)*POWER(Upgrades!$Q$21,M161)*$G$6+$D$6</f>
        <v/>
      </c>
      <c r="P161" s="28">
        <f>((IF(E161=0,0,(Upgrades!$G$13+E161*Upgrades!$H$13)*POWER(Upgrades!$I$13,E161)))*(IF(Upgrades!$T$14="Stellar Kinematics",POWER(Upgrades!$U$14,F161),1)*IF(Upgrades!$T$15="Stellar Kinematics",POWER(Upgrades!$U$15,G161),1)*IF(Upgrades!$T$16="Stellar Kinematics",POWER(Upgrades!$U$16,H161),1)*IF(Upgrades!$T$17="Stellar Kinematics",POWER(Upgrades!$U$17,I161),1)*IF(Upgrades!$T$18="Stellar Kinematics",POWER(Upgrades!$U$18,J161),1)*IF(Upgrades!$T$19="Stellar Kinematics",POWER(Upgrades!$U$19,K161),1)*IF(Upgrades!$T$20="Stellar Kinematics",POWER(Upgrades!$U$20,L161),1)*IF(Upgrades!$T$21="Stellar Kinematics",POWER(Upgrades!$U$21,M161),1))+(IF(F161=0,0,(Upgrades!$G$14+F161*Upgrades!$H$14)*POWER(Upgrades!$I$14,F161)))*(IF(Upgrades!$T$13="Local Bubble",POWER(Upgrades!$U$13,E161),1)*IF(Upgrades!$T$15="Local Bubble",POWER(Upgrades!$U$15,G161),1)*IF(Upgrades!$T$16="Local Bubble",POWER(Upgrades!$U$16,H161),1)*IF(Upgrades!$T$17="Local Bubble",POWER(Upgrades!$U$17,I161),1)*IF(Upgrades!$T$18="Local Bubble",POWER(Upgrades!$U$18,J161),1)*IF(Upgrades!$T$19="Local Bubble",POWER(Upgrades!$U$19,K161),1)*IF(Upgrades!$T$20="Local Bubble",POWER(Upgrades!$U$20,L161),1)*IF(Upgrades!$T$21="Local Bubble",POWER(Upgrades!$U$21,M161),1))+(IF(G161=0,0,(Upgrades!$G$15+G161*Upgrades!$H$15)*POWER(Upgrades!$I$15,G161)))*(IF(Upgrades!$T$13="Microlensing",POWER(Upgrades!$U$13,E161),1)*IF(Upgrades!$T$14="Microlensing",POWER(Upgrades!$U$14,F161),1)*IF(Upgrades!$T$16="Microlensing",POWER(Upgrades!$U$16,H161),1)*IF(Upgrades!$T$17="Microlensing",POWER(Upgrades!$U$17,I161),1)*IF(Upgrades!$T$18="Microlensing",POWER(Upgrades!$U$18,J161),1)*IF(Upgrades!$T$19="Microlensing",POWER(Upgrades!$U$19,K161),1)*IF(Upgrades!$T$20="Microlensing",POWER(Upgrades!$U$20,L161),1)*IF(Upgrades!$T$21="Microlensing",POWER(Upgrades!$U$21,M161),1))+(IF(H161=0,0,(Upgrades!$G$16+H161*Upgrades!$H$16)*POWER(Upgrades!$I$16,H161)))*(IF(Upgrades!$T$13="Roche Lobe Overflow",POWER(Upgrades!$U$13,E161),1)*IF(Upgrades!$T$14="Roche Lobe Overflow",POWER(Upgrades!$U$14,F161),1)*IF(Upgrades!$T$15="Roche Lobe Overflow",POWER(Upgrades!$U$15,G161),1)*IF(Upgrades!$T$17="Roche Lobe Overflow",POWER(Upgrades!$U$17,I161),1)*IF(Upgrades!$T$18="Roche Lobe Overflow",POWER(Upgrades!$U$18,J161),1)*IF(Upgrades!$T$19="Roche Lobe Overflow",POWER(Upgrades!$U$19,K161),1)*IF(Upgrades!$T$20="Roche Lobe Overflow",POWER(Upgrades!$U$20,L161),1)*IF(Upgrades!$T$21="Roche Lobe Overflow",POWER(Upgrades!$U$21,M161),1))+(IF(I161=0,0,(Upgrades!$G$17+I161*Upgrades!$H$17)*POWER(Upgrades!$I$17,I161)))*(IF(Upgrades!$T$13="Brown Dwarf",POWER(Upgrades!$U$13,E161),1)*IF(Upgrades!$T$14="Brown Dwarf",POWER(Upgrades!$U$14,F161),1)*IF(Upgrades!$T$15="Brown Dwarf",POWER(Upgrades!$U$15,G161),1)*IF(Upgrades!$T$16="Brown Dwarf",POWER(Upgrades!$U$16,H161),1)*IF(Upgrades!$T$18="Brown Dwarf",POWER(Upgrades!$U$18,J161),1)*IF(Upgrades!$T$19="Brown Dwarf",POWER(Upgrades!$U$19,K161),1)*IF(Upgrades!$T$20="Brown Dwarf",POWER(Upgrades!$U$20,L161),1)*IF(Upgrades!$T$21="Brown Dwarf",POWER(Upgrades!$U$21,M161),1))+(IF(J161=0,0,(Upgrades!$G$18+J161*Upgrades!$H$18)*POWER(Upgrades!$I$18,J161)))*(IF(Upgrades!$T$13="Binary Partner",POWER(Upgrades!$U$13,E161),1)*IF(Upgrades!$T$14="Binary Partner",POWER(Upgrades!$U$14,F161),1)*IF(Upgrades!$T$15="Binary Partner",POWER(Upgrades!$U$15,G161),1)*IF(Upgrades!$T$16="Binary Partner",POWER(Upgrades!$U$16,H161),1)*IF(Upgrades!$T$17="Binary Partner",POWER(Upgrades!$U$17,I161),1)*IF(Upgrades!$T$19="Binary Partner",POWER(Upgrades!$U$19,K161),1)*IF(Upgrades!$T$20="Binary Partner",POWER(Upgrades!$U$20,L161),1)*IF(Upgrades!$T$21="Binary Partner",POWER(Upgrades!$U$21,M161),1))+(IF(K161=0,0,(Upgrades!$G$19+K161*Upgrades!$H$19)*POWER(Upgrades!$I$19,K161)))*(IF(Upgrades!$T$13="Peculiar Velocity",POWER(Upgrades!$U$13,E161),1)*IF(Upgrades!$T$14="Peculiar Velocity",POWER(Upgrades!$U$14,F161),1)*IF(Upgrades!$T$15="Peculiar Velocity",POWER(Upgrades!$U$15,G161),1)*IF(Upgrades!$T$16="Peculiar Velocity",POWER(Upgrades!$U$16,H161),1)*IF(Upgrades!$T$17="Peculiar Velocity",POWER(Upgrades!$U$17,I161),1)*IF(Upgrades!$T$18="Peculiar Velocity",POWER(Upgrades!$U$18,J161),1)*IF(Upgrades!$T$20="Peculiar Velocity",POWER(Upgrades!$U$20,L161),1)*IF(Upgrades!$T$21="Peculiar Velocity",POWER(Upgrades!$U$21,M161),1))+(IF(L161=0,0,(Upgrades!$G$20+L161*Upgrades!$H$20)*POWER(Upgrades!$I$20,L161)))*(IF(Upgrades!$T$13="Open Cluster",POWER(Upgrades!$U$13,E161),1)*IF(Upgrades!$T$14="Open Cluster",POWER(Upgrades!$U$14,F161),1)*IF(Upgrades!$T$15="Open Cluster",POWER(Upgrades!$U$15,G161),1)*IF(Upgrades!$T$16="Open Cluster",POWER(Upgrades!$U$16,H161),1)*IF(Upgrades!$T$17="Open Cluster",POWER(Upgrades!$U$17,I161),1)*IF(Upgrades!$T$18="Open Cluster",POWER(Upgrades!$U$18,J161),1)*IF(Upgrades!$T$19="Open Cluster",POWER(Upgrades!$U$19,K161),1)*IF(Upgrades!$T$21="Open Cluster",POWER(Upgrades!$U$21,M161),1))+(IF(M161=0,0,(Upgrades!$G$21+M161*Upgrades!$H$21)*POWER(Upgrades!$I$21,M161)))*(IF(Upgrades!$T$13="Moving Group",POWER(Upgrades!$U$13,E161),1)*IF(Upgrades!$T$14="Moving Group",POWER(Upgrades!$U$14,F161),1)*IF(Upgrades!$T$15="Moving Group",POWER(Upgrades!$U$15,G161),1)*IF(Upgrades!$T$16="Moving Group",POWER(Upgrades!$U$16,H161),1)*IF(Upgrades!$T$17="Moving Group",POWER(Upgrades!$U$17,I161),1)*IF(Upgrades!$T$18="Moving Group",POWER(Upgrades!$U$18,J161),1)*IF(Upgrades!$T$19="Moving Group",POWER(Upgrades!$U$19,K161),1)*IF(Upgrades!$T$20="Moving Group",POWER(Upgrades!$U$20,L161),1)))*POWER(Upgrades!$P$13,E161)*POWER(Upgrades!$P$14,F161)*POWER(Upgrades!$P$15,G161)*POWER(Upgrades!$P$16,H161)*POWER(Upgrades!$P$17,I161)*POWER(Upgrades!$P$18,J161)*POWER(Upgrades!$P$19,K161)*POWER(Upgrades!$P$20,L161)*POWER(Upgrades!$P$21,M161)*$F$6+$C$6</f>
        <v/>
      </c>
      <c r="Q161" s="28">
        <f>((IF(E161=0,0,(Upgrades!$M$13+E161*Upgrades!$N$13)*POWER(Upgrades!$O$13,E161)))*(IF(Upgrades!$T$14="Stellar Kinematics",POWER(Upgrades!$U$14,F161),1)*IF(Upgrades!$T$15="Stellar Kinematics",POWER(Upgrades!$U$15,G161),1)*IF(Upgrades!$T$16="Stellar Kinematics",POWER(Upgrades!$U$16,H161),1)*IF(Upgrades!$T$17="Stellar Kinematics",POWER(Upgrades!$U$17,I161),1)*IF(Upgrades!$T$18="Stellar Kinematics",POWER(Upgrades!$U$18,J161),1)*IF(Upgrades!$T$19="Stellar Kinematics",POWER(Upgrades!$U$19,K161),1)*IF(Upgrades!$T$20="Stellar Kinematics",POWER(Upgrades!$U$20,L161),1)*IF(Upgrades!$T$21="Stellar Kinematics",POWER(Upgrades!$U$21,M161),1))+(IF(F161=0,0,(Upgrades!$M$14+F161*Upgrades!$N$14)*POWER(Upgrades!$O$14,F161)))*(IF(Upgrades!$T$13="Local Bubble",POWER(Upgrades!$U$13,E161),1)*IF(Upgrades!$T$15="Local Bubble",POWER(Upgrades!$U$15,G161),1)*IF(Upgrades!$T$16="Local Bubble",POWER(Upgrades!$U$16,H161),1)*IF(Upgrades!$T$17="Local Bubble",POWER(Upgrades!$U$17,I161),1)*IF(Upgrades!$T$18="Local Bubble",POWER(Upgrades!$U$18,J161),1)*IF(Upgrades!$T$19="Local Bubble",POWER(Upgrades!$U$19,K161),1)*IF(Upgrades!$T$20="Local Bubble",POWER(Upgrades!$U$20,L161),1)*IF(Upgrades!$T$21="Local Bubble",POWER(Upgrades!$U$21,M161),1))+(IF(G161=0,0,(Upgrades!$M$15+G161*Upgrades!$N$15)*POWER(Upgrades!$O$15,G161)))*(IF(Upgrades!$T$13="Microlensing",POWER(Upgrades!$U$13,E161),1)*IF(Upgrades!$T$14="Microlensing",POWER(Upgrades!$U$14,F161),1)*IF(Upgrades!$T$16="Microlensing",POWER(Upgrades!$U$16,H161),1)*IF(Upgrades!$T$17="Microlensing",POWER(Upgrades!$U$17,I161),1)*IF(Upgrades!$T$18="Microlensing",POWER(Upgrades!$U$18,J161),1)*IF(Upgrades!$T$19="Microlensing",POWER(Upgrades!$U$19,K161),1)*IF(Upgrades!$T$20="Microlensing",POWER(Upgrades!$U$20,L161),1)*IF(Upgrades!$T$21="Microlensing",POWER(Upgrades!$U$21,M161),1))+(IF(H161=0,0,(Upgrades!$M$16+H161*Upgrades!$N$16)*POWER(Upgrades!$O$16,H161)))*(IF(Upgrades!$T$13="Roche Lobe Overflow",POWER(Upgrades!$U$13,E161),1)*IF(Upgrades!$T$14="Roche Lobe Overflow",POWER(Upgrades!$U$14,F161),1)*IF(Upgrades!$T$15="Roche Lobe Overflow",POWER(Upgrades!$U$15,G161),1)*IF(Upgrades!$T$17="Roche Lobe Overflow",POWER(Upgrades!$U$17,I161),1)*IF(Upgrades!$T$18="Roche Lobe Overflow",POWER(Upgrades!$U$18,J161),1)*IF(Upgrades!$T$19="Roche Lobe Overflow",POWER(Upgrades!$U$19,K161),1)*IF(Upgrades!$T$20="Roche Lobe Overflow",POWER(Upgrades!$U$20,L161),1)*IF(Upgrades!$T$21="Roche Lobe Overflow",POWER(Upgrades!$U$21,M161),1))+(IF(I161=0,0,(Upgrades!$M$17+I161*Upgrades!$N$17)*POWER(Upgrades!$O$17,I161)))*(IF(Upgrades!$T$13="Brown Dwarf",POWER(Upgrades!$U$13,E161),1)*IF(Upgrades!$T$14="Brown Dwarf",POWER(Upgrades!$U$14,F161),1)*IF(Upgrades!$T$15="Brown Dwarf",POWER(Upgrades!$U$15,G161),1)*IF(Upgrades!$T$16="Brown Dwarf",POWER(Upgrades!$U$16,H161),1)*IF(Upgrades!$T$18="Brown Dwarf",POWER(Upgrades!$U$18,J161),1)*IF(Upgrades!$T$19="Brown Dwarf",POWER(Upgrades!$U$19,K161),1)*IF(Upgrades!$T$20="Brown Dwarf",POWER(Upgrades!$U$20,L161),1)*IF(Upgrades!$T$21="Brown Dwarf",POWER(Upgrades!$U$21,M161),1))+(IF(J161=0,0,(Upgrades!$M$18+J161*Upgrades!$N$18)*POWER(Upgrades!$O$18,J161)))*(IF(Upgrades!$T$13="Binary Partner",POWER(Upgrades!$U$13,E161),1)*IF(Upgrades!$T$14="Binary Partner",POWER(Upgrades!$U$14,F161),1)*IF(Upgrades!$T$15="Binary Partner",POWER(Upgrades!$U$15,G161),1)*IF(Upgrades!$T$16="Binary Partner",POWER(Upgrades!$U$16,H161),1)*IF(Upgrades!$T$17="Binary Partner",POWER(Upgrades!$U$17,I161),1)*IF(Upgrades!$T$19="Binary Partner",POWER(Upgrades!$U$19,K161),1)*IF(Upgrades!$T$20="Binary Partner",POWER(Upgrades!$U$20,L161),1)*IF(Upgrades!$T$21="Binary Partner",POWER(Upgrades!$U$21,M161),1))+(IF(K161=0,0,(Upgrades!$M$19+K161*Upgrades!$N$19)*POWER(Upgrades!$O$19,K161)))*(IF(Upgrades!$T$13="Peculiar Velocity",POWER(Upgrades!$U$13,E161),1)*IF(Upgrades!$T$14="Peculiar Velocity",POWER(Upgrades!$U$14,F161),1)*IF(Upgrades!$T$15="Peculiar Velocity",POWER(Upgrades!$U$15,G161),1)*IF(Upgrades!$T$16="Peculiar Velocity",POWER(Upgrades!$U$16,H161),1)*IF(Upgrades!$T$17="Peculiar Velocity",POWER(Upgrades!$U$17,I161),1)*IF(Upgrades!$T$18="Peculiar Velocity",POWER(Upgrades!$U$18,J161),1)*IF(Upgrades!$T$20="Peculiar Velocity",POWER(Upgrades!$U$20,L161),1)*IF(Upgrades!$T$21="Peculiar Velocity",POWER(Upgrades!$U$21,M161),1))+(IF(L161=0,0,(Upgrades!$M$20+L161*Upgrades!$N$20)*POWER(Upgrades!$O$20,L161)))*(IF(Upgrades!$T$13="Open Cluster",POWER(Upgrades!$U$13,E161),1)*IF(Upgrades!$T$14="Open Cluster",POWER(Upgrades!$U$14,F161),1)*IF(Upgrades!$T$15="Open Cluster",POWER(Upgrades!$U$15,G161),1)*IF(Upgrades!$T$16="Open Cluster",POWER(Upgrades!$U$16,H161),1)*IF(Upgrades!$T$17="Open Cluster",POWER(Upgrades!$U$17,I161),1)*IF(Upgrades!$T$18="Open Cluster",POWER(Upgrades!$U$18,J161),1)*IF(Upgrades!$T$19="Open Cluster",POWER(Upgrades!$U$19,K161),1)*IF(Upgrades!$T$21="Open Cluster",POWER(Upgrades!$U$21,M161),1))+(IF(M161=0,0,(Upgrades!$M$21+M161*Upgrades!$N$21)*POWER(Upgrades!$O$21,M161)))*(IF(Upgrades!$T$13="Moving Group",POWER(Upgrades!$U$13,E161),1)*IF(Upgrades!$T$14="Moving Group",POWER(Upgrades!$U$14,F161),1)*IF(Upgrades!$T$15="Moving Group",POWER(Upgrades!$U$15,G161),1)*IF(Upgrades!$T$16="Moving Group",POWER(Upgrades!$U$16,H161),1)*IF(Upgrades!$T$17="Moving Group",POWER(Upgrades!$U$17,I161),1)*IF(Upgrades!$T$18="Moving Group",POWER(Upgrades!$U$18,J161),1)*IF(Upgrades!$T$19="Moving Group",POWER(Upgrades!$U$19,K161),1)*IF(Upgrades!$T$20="Moving Group",POWER(Upgrades!$U$20,L161),1)))*POWER(Upgrades!$R$13,E161)*POWER(Upgrades!$R$14,F161)*POWER(Upgrades!$R$15,G161)*POWER(Upgrades!$R$16,H161)*POWER(Upgrades!$R$17,I161)*POWER(Upgrades!$R$18,J161)*POWER(Upgrades!$R$19,K161)*POWER(Upgrades!$R$20,L161)*POWER(Upgrades!$R$21,M161)*$H$6+$E$6</f>
        <v/>
      </c>
      <c r="R161" s="27">
        <f>IF(N161=1,0,O161*Parameters!$B$10/60*Parameters!$B$11*10)</f>
        <v/>
      </c>
      <c r="S161" s="27">
        <f>IF(N161=1,0,Q161*O161*10)</f>
        <v/>
      </c>
      <c r="T161" s="27">
        <f>IF(N161=1,0,R161+S161+P161*10)</f>
        <v/>
      </c>
      <c r="U161" s="33">
        <f>BE161</f>
        <v/>
      </c>
      <c r="V161" s="22">
        <f>IF(U161="",0,IF(U161="transition",0,IF(U161="SK",AK161,IF(U161="LB",AL161,IF(U161="ML",AM161,IF(U161="RLO",AN161,IF(U161="BD",AO161,IF(U161="BiP",AP161,IF(U161="PV",AQ161,IF(U161="OC",AR161,IF(U161="MG",AS161,0))))))))))</f>
        <v/>
      </c>
      <c r="W161" s="27">
        <f>IF(U161="BiP",Upgrades!$F$18,IF(U161="PV",Upgrades!$F$19,IF(U161="OC",Upgrades!$F$20,IF(U161="MG",Upgrades!$F$21,IF(U161="transition",-Parameters!$B$18*Parameters!$B$19,0)))))</f>
        <v/>
      </c>
      <c r="X161" s="22">
        <f>C161+T161-V161</f>
        <v/>
      </c>
      <c r="Y161" s="30">
        <f>O161*Parameters!$B$10/60*Parameters!$B$11+Q161*O161+P161</f>
        <v/>
      </c>
      <c r="Z161" s="34">
        <f>IF(U161="transition","→ Tier 3 (Galactic Arm)",IF(U161="MG","Moving Group — pocket drifts together",IF(U161="OC","Open Cluster acquired",IF(U161="PV","Peculiar Velocity — passive multiplier active",IF(U161="BiP","Binary Partner — pair bond formed",IF(AND(AU161=1,N161=0,AT161&lt;&gt;1),"Cohesion ready (waiting on completionists)","")))))) </f>
        <v/>
      </c>
      <c r="AA161" s="27">
        <f>(IF(E161=0,0,(Upgrades!$G$13+E161*Upgrades!$H$13)*POWER(Upgrades!$I$13,E161)))*(IF(Upgrades!$T$14="Stellar Kinematics",POWER(Upgrades!$U$14,F161),1)*IF(Upgrades!$T$15="Stellar Kinematics",POWER(Upgrades!$U$15,G161),1)*IF(Upgrades!$T$16="Stellar Kinematics",POWER(Upgrades!$U$16,H161),1)*IF(Upgrades!$T$17="Stellar Kinematics",POWER(Upgrades!$U$17,I161),1)*IF(Upgrades!$T$18="Stellar Kinematics",POWER(Upgrades!$U$18,J161),1)*IF(Upgrades!$T$19="Stellar Kinematics",POWER(Upgrades!$U$19,K161),1)*IF(Upgrades!$T$20="Stellar Kinematics",POWER(Upgrades!$U$20,L161),1)*IF(Upgrades!$T$21="Stellar Kinematics",POWER(Upgrades!$U$21,M161),1))*POWER(Upgrades!$P$13,E161)*POWER(Upgrades!$P$14,F161)*POWER(Upgrades!$P$15,G161)*POWER(Upgrades!$P$16,H161)*POWER(Upgrades!$P$17,I161)*POWER(Upgrades!$P$18,J161)*POWER(Upgrades!$P$19,K161)*POWER(Upgrades!$P$20,L161)*POWER(Upgrades!$P$21,M161)*$F$6*60</f>
        <v/>
      </c>
      <c r="AB161" s="27">
        <f>(IF(F161=0,0,(Upgrades!$G$14+F161*Upgrades!$H$14)*POWER(Upgrades!$I$14,F161)))*(IF(Upgrades!$T$13="Local Bubble",POWER(Upgrades!$U$13,E161),1)*IF(Upgrades!$T$15="Local Bubble",POWER(Upgrades!$U$15,G161),1)*IF(Upgrades!$T$16="Local Bubble",POWER(Upgrades!$U$16,H161),1)*IF(Upgrades!$T$17="Local Bubble",POWER(Upgrades!$U$17,I161),1)*IF(Upgrades!$T$18="Local Bubble",POWER(Upgrades!$U$18,J161),1)*IF(Upgrades!$T$19="Local Bubble",POWER(Upgrades!$U$19,K161),1)*IF(Upgrades!$T$20="Local Bubble",POWER(Upgrades!$U$20,L161),1)*IF(Upgrades!$T$21="Local Bubble",POWER(Upgrades!$U$21,M161),1))*POWER(Upgrades!$P$13,E161)*POWER(Upgrades!$P$14,F161)*POWER(Upgrades!$P$15,G161)*POWER(Upgrades!$P$16,H161)*POWER(Upgrades!$P$17,I161)*POWER(Upgrades!$P$18,J161)*POWER(Upgrades!$P$19,K161)*POWER(Upgrades!$P$20,L161)*POWER(Upgrades!$P$21,M161)*$F$6*60</f>
        <v/>
      </c>
      <c r="AC161" s="27">
        <f>(IF(G161=0,0,(Upgrades!$J$15+G161*Upgrades!$K$15)*POWER(Upgrades!$L$15,G161)))*(IF(Upgrades!$T$13="Microlensing",POWER(Upgrades!$U$13,E161),1)*IF(Upgrades!$T$14="Microlensing",POWER(Upgrades!$U$14,F161),1)*IF(Upgrades!$T$16="Microlensing",POWER(Upgrades!$U$16,H161),1)*IF(Upgrades!$T$17="Microlensing",POWER(Upgrades!$U$17,I161),1)*IF(Upgrades!$T$18="Microlensing",POWER(Upgrades!$U$18,J161),1)*IF(Upgrades!$T$19="Microlensing",POWER(Upgrades!$U$19,K161),1)*IF(Upgrades!$T$20="Microlensing",POWER(Upgrades!$U$20,L161),1)*IF(Upgrades!$T$21="Microlensing",POWER(Upgrades!$U$21,M161),1))*POWER(Upgrades!$Q$13,E161)*POWER(Upgrades!$Q$14,F161)*POWER(Upgrades!$Q$15,G161)*POWER(Upgrades!$Q$16,H161)*POWER(Upgrades!$Q$17,I161)*POWER(Upgrades!$Q$18,J161)*POWER(Upgrades!$Q$19,K161)*POWER(Upgrades!$Q$20,L161)*POWER(Upgrades!$Q$21,M161)*$G$6*(Parameters!$B$10*Parameters!$B$11+Q161*60)</f>
        <v/>
      </c>
      <c r="AD161" s="27">
        <f>(IF(H161=0,0,(Upgrades!$M$16+H161*Upgrades!$N$16)*POWER(Upgrades!$O$16,H161)))*(IF(Upgrades!$T$13="Roche Lobe Overflow",POWER(Upgrades!$U$13,E161),1)*IF(Upgrades!$T$14="Roche Lobe Overflow",POWER(Upgrades!$U$14,F161),1)*IF(Upgrades!$T$15="Roche Lobe Overflow",POWER(Upgrades!$U$15,G161),1)*IF(Upgrades!$T$17="Roche Lobe Overflow",POWER(Upgrades!$U$17,I161),1)*IF(Upgrades!$T$18="Roche Lobe Overflow",POWER(Upgrades!$U$18,J161),1)*IF(Upgrades!$T$19="Roche Lobe Overflow",POWER(Upgrades!$U$19,K161),1)*IF(Upgrades!$T$20="Roche Lobe Overflow",POWER(Upgrades!$U$20,L161),1)*IF(Upgrades!$T$21="Roche Lobe Overflow",POWER(Upgrades!$U$21,M161),1))*POWER(Upgrades!$R$13,E161)*POWER(Upgrades!$R$14,F161)*POWER(Upgrades!$R$15,G161)*POWER(Upgrades!$R$16,H161)*POWER(Upgrades!$R$17,I161)*POWER(Upgrades!$R$18,J161)*POWER(Upgrades!$R$19,K161)*POWER(Upgrades!$R$20,L161)*POWER(Upgrades!$R$21,M161)*$H$6*O161*60</f>
        <v/>
      </c>
      <c r="AE161" s="27">
        <f>(IF(I161=0,0,(Upgrades!$G$17+I161*Upgrades!$H$17)*POWER(Upgrades!$I$17,I161)))*(IF(Upgrades!$T$13="Brown Dwarf",POWER(Upgrades!$U$13,E161),1)*IF(Upgrades!$T$14="Brown Dwarf",POWER(Upgrades!$U$14,F161),1)*IF(Upgrades!$T$15="Brown Dwarf",POWER(Upgrades!$U$15,G161),1)*IF(Upgrades!$T$16="Brown Dwarf",POWER(Upgrades!$U$16,H161),1)*IF(Upgrades!$T$18="Brown Dwarf",POWER(Upgrades!$U$18,J161),1)*IF(Upgrades!$T$19="Brown Dwarf",POWER(Upgrades!$U$19,K161),1)*IF(Upgrades!$T$20="Brown Dwarf",POWER(Upgrades!$U$20,L161),1)*IF(Upgrades!$T$21="Brown Dwarf",POWER(Upgrades!$U$21,M161),1))*POWER(Upgrades!$P$13,E161)*POWER(Upgrades!$P$14,F161)*POWER(Upgrades!$P$15,G161)*POWER(Upgrades!$P$16,H161)*POWER(Upgrades!$P$17,I161)*POWER(Upgrades!$P$18,J161)*POWER(Upgrades!$P$19,K161)*POWER(Upgrades!$P$20,L161)*POWER(Upgrades!$P$21,M161)*$F$6*60</f>
        <v/>
      </c>
      <c r="AF161" s="27" t="n">
        <v>0</v>
      </c>
      <c r="AG161" s="27" t="n">
        <v>0</v>
      </c>
      <c r="AH161" s="27" t="n">
        <v>0</v>
      </c>
      <c r="AI161" s="27">
        <f>(IF(M161=0,0,(Upgrades!$G$21+M161*Upgrades!$H$21)*POWER(Upgrades!$I$21,M161)))*(IF(Upgrades!$T$13="Moving Group",POWER(Upgrades!$U$13,E161),1)*IF(Upgrades!$T$14="Moving Group",POWER(Upgrades!$U$14,F161),1)*IF(Upgrades!$T$15="Moving Group",POWER(Upgrades!$U$15,G161),1)*IF(Upgrades!$T$16="Moving Group",POWER(Upgrades!$U$16,H161),1)*IF(Upgrades!$T$17="Moving Group",POWER(Upgrades!$U$17,I161),1)*IF(Upgrades!$T$18="Moving Group",POWER(Upgrades!$U$18,J161),1)*IF(Upgrades!$T$19="Moving Group",POWER(Upgrades!$U$19,K161),1)*IF(Upgrades!$T$20="Moving Group",POWER(Upgrades!$U$20,L161),1))*POWER(Upgrades!$P$13,E161)*POWER(Upgrades!$P$14,F161)*POWER(Upgrades!$P$15,G161)*POWER(Upgrades!$P$16,H161)*POWER(Upgrades!$P$17,I161)*POWER(Upgrades!$P$18,J161)*POWER(Upgrades!$P$19,K161)*POWER(Upgrades!$P$20,L161)*POWER(Upgrades!$P$21,M161)*$F$6*60</f>
        <v/>
      </c>
      <c r="AJ161" s="27">
        <f>$C$6*60</f>
        <v/>
      </c>
      <c r="AK161" s="22">
        <f>IF(E161&gt;=Upgrades!$E$13,"",Upgrades!$C$13*POWER(Upgrades!$D$13,E161))</f>
        <v/>
      </c>
      <c r="AL161" s="22">
        <f>IF(F161&gt;=Upgrades!$E$14,"",Upgrades!$C$14*POWER(Upgrades!$D$14,F161))</f>
        <v/>
      </c>
      <c r="AM161" s="22">
        <f>IF(G161&gt;=Upgrades!$E$15,"",Upgrades!$C$15*POWER(Upgrades!$D$15,G161))</f>
        <v/>
      </c>
      <c r="AN161" s="22">
        <f>IF(H161&gt;=Upgrades!$E$16,"",Upgrades!$C$16*POWER(Upgrades!$D$16,H161))</f>
        <v/>
      </c>
      <c r="AO161" s="22">
        <f>IF(I161&gt;=Upgrades!$E$17,"",Upgrades!$C$17*POWER(Upgrades!$D$17,I161))</f>
        <v/>
      </c>
      <c r="AP161" s="22">
        <f>IF(J161&gt;=Upgrades!$E$18,"",Upgrades!$C$18*POWER(Upgrades!$D$18,J161))</f>
        <v/>
      </c>
      <c r="AQ161" s="22">
        <f>IF(K161&gt;=Upgrades!$E$19,"",Upgrades!$C$19*POWER(Upgrades!$D$19,K161))</f>
        <v/>
      </c>
      <c r="AR161" s="22">
        <f>IF(L161&gt;=Upgrades!$E$20,"",Upgrades!$C$20*POWER(Upgrades!$D$20,L161))</f>
        <v/>
      </c>
      <c r="AS161" s="22">
        <f>IF(M161&gt;=Upgrades!$E$21,"",Upgrades!$C$21*POWER(Upgrades!$D$21,M161))</f>
        <v/>
      </c>
      <c r="AT161" s="26">
        <f>IF(AND(D161&gt;=Parameters!$B$18*Parameters!$B$19,(I161&gt;=Upgrades!$E$17)*(M161&gt;=Upgrades!$E$21)=1,N161=0),1,"")</f>
        <v/>
      </c>
      <c r="AU161" s="26">
        <f>IF(AND(D161&gt;=Parameters!$B$18*Parameters!$B$19,N161=0),1,"")</f>
        <v/>
      </c>
      <c r="AV161" s="22">
        <f>MIN(IF(ISNUMBER(AP161),AP161,9E15),IF(ISNUMBER(AQ161),AQ161,9E15),IF(ISNUMBER(AR161),AR161,9E15),IF(ISNUMBER(AS161),AS161,9E15))</f>
        <v/>
      </c>
      <c r="AW161" s="22">
        <f>MIN(IF(ISNUMBER(AK161),AK161,9E15),IF(ISNUMBER(AL161),AL161,9E15),IF(ISNUMBER(AM161),AM161,9E15),IF(ISNUMBER(AN161),AN161,9E15),IF(ISNUMBER(AO161),AO161,9E15))</f>
        <v/>
      </c>
      <c r="AX161" s="29">
        <f>IF(BD161&gt;Parameters!$B$21*(MAX(IF(AND(NOT(AND(AU161=1,AT161&lt;&gt;1)),ISNUMBER(AK161),AK161&lt;=(C161+T161)),AY161,0),IF(AND(NOT(AND(AU161=1,AT161&lt;&gt;1)),ISNUMBER(AL161),AL161&lt;=(C161+T161)),AZ161,0),IF(AND(NOT(AND(AU161=1,AT161&lt;&gt;1)),ISNUMBER(AM161),AM161&lt;=(C161+T161)),BA161,0),IF(AND(NOT(AND(AU161=1,AT161&lt;&gt;1)),ISNUMBER(AN161),AN161&lt;=(C161+T161)),BB161,0),IF(AND(ISNUMBER(AO161),AO161&lt;=(C161+T161)),BC161,0))),TRUE,FALSE)</f>
        <v/>
      </c>
      <c r="AY161" s="32">
        <f>IFERROR(Upgrades!$H$13*(POWER(Upgrades!$P$13,E161)*POWER(Upgrades!$P$14,F161)*POWER(Upgrades!$P$15,G161)*POWER(Upgrades!$P$16,H161)*POWER(Upgrades!$P$17,I161)*POWER(Upgrades!$P$18,J161)*POWER(Upgrades!$P$19,K161)*POWER(Upgrades!$P$20,L161)*POWER(Upgrades!$P$21,M161))*(IF(Upgrades!$T$14="Stellar Kinematics",POWER(Upgrades!$U$14,F161),1)*IF(Upgrades!$T$15="Stellar Kinematics",POWER(Upgrades!$U$15,G161),1)*IF(Upgrades!$T$16="Stellar Kinematics",POWER(Upgrades!$U$16,H161),1)*IF(Upgrades!$T$17="Stellar Kinematics",POWER(Upgrades!$U$17,I161),1)*IF(Upgrades!$T$18="Stellar Kinematics",POWER(Upgrades!$U$18,J161),1)*IF(Upgrades!$T$19="Stellar Kinematics",POWER(Upgrades!$U$19,K161),1)*IF(Upgrades!$T$20="Stellar Kinematics",POWER(Upgrades!$U$20,L161),1)*IF(Upgrades!$T$21="Stellar Kinematics",POWER(Upgrades!$U$21,M161),1))*$F$6/AK161,0)</f>
        <v/>
      </c>
      <c r="AZ161" s="32">
        <f>IFERROR(Upgrades!$H$14*(POWER(Upgrades!$P$13,E161)*POWER(Upgrades!$P$14,F161)*POWER(Upgrades!$P$15,G161)*POWER(Upgrades!$P$16,H161)*POWER(Upgrades!$P$17,I161)*POWER(Upgrades!$P$18,J161)*POWER(Upgrades!$P$19,K161)*POWER(Upgrades!$P$20,L161)*POWER(Upgrades!$P$21,M161))*(IF(Upgrades!$T$13="Local Bubble",POWER(Upgrades!$U$13,E161),1)*IF(Upgrades!$T$15="Local Bubble",POWER(Upgrades!$U$15,G161),1)*IF(Upgrades!$T$16="Local Bubble",POWER(Upgrades!$U$16,H161),1)*IF(Upgrades!$T$17="Local Bubble",POWER(Upgrades!$U$17,I161),1)*IF(Upgrades!$T$18="Local Bubble",POWER(Upgrades!$U$18,J161),1)*IF(Upgrades!$T$19="Local Bubble",POWER(Upgrades!$U$19,K161),1)*IF(Upgrades!$T$20="Local Bubble",POWER(Upgrades!$U$20,L161),1)*IF(Upgrades!$T$21="Local Bubble",POWER(Upgrades!$U$21,M161),1))*$F$6/AL161,0)</f>
        <v/>
      </c>
      <c r="BA161" s="32">
        <f>IFERROR(Upgrades!$K$15*(POWER(Upgrades!$Q$13,E161)*POWER(Upgrades!$Q$14,F161)*POWER(Upgrades!$Q$15,G161)*POWER(Upgrades!$Q$16,H161)*POWER(Upgrades!$Q$17,I161)*POWER(Upgrades!$Q$18,J161)*POWER(Upgrades!$Q$19,K161)*POWER(Upgrades!$Q$20,L161)*POWER(Upgrades!$Q$21,M161))*(IF(Upgrades!$T$13="Microlensing",POWER(Upgrades!$U$13,E161),1)*IF(Upgrades!$T$14="Microlensing",POWER(Upgrades!$U$14,F161),1)*IF(Upgrades!$T$16="Microlensing",POWER(Upgrades!$U$16,H161),1)*IF(Upgrades!$T$17="Microlensing",POWER(Upgrades!$U$17,I161),1)*IF(Upgrades!$T$18="Microlensing",POWER(Upgrades!$U$18,J161),1)*IF(Upgrades!$T$19="Microlensing",POWER(Upgrades!$U$19,K161),1)*IF(Upgrades!$T$20="Microlensing",POWER(Upgrades!$U$20,L161),1)*IF(Upgrades!$T$21="Microlensing",POWER(Upgrades!$U$21,M161),1))*$G$6*(Parameters!$B$10/60*Parameters!$B$11+Q161)/AM161,0)</f>
        <v/>
      </c>
      <c r="BB161" s="32">
        <f>IFERROR((Upgrades!$N$16*(POWER(Upgrades!$R$13,E161)*POWER(Upgrades!$R$14,F161)*POWER(Upgrades!$R$15,G161)*POWER(Upgrades!$R$16,H161)*POWER(Upgrades!$R$17,I161)*POWER(Upgrades!$R$18,J161)*POWER(Upgrades!$R$19,K161)*POWER(Upgrades!$R$20,L161)*POWER(Upgrades!$R$21,M161))*(IF(Upgrades!$T$13="Roche Lobe Overflow",POWER(Upgrades!$U$13,E161),1)*IF(Upgrades!$T$14="Roche Lobe Overflow",POWER(Upgrades!$U$14,F161),1)*IF(Upgrades!$T$15="Roche Lobe Overflow",POWER(Upgrades!$U$15,G161),1)*IF(Upgrades!$T$17="Roche Lobe Overflow",POWER(Upgrades!$U$17,I161),1)*IF(Upgrades!$T$18="Roche Lobe Overflow",POWER(Upgrades!$U$18,J161),1)*IF(Upgrades!$T$19="Roche Lobe Overflow",POWER(Upgrades!$U$19,K161),1)*IF(Upgrades!$T$20="Roche Lobe Overflow",POWER(Upgrades!$U$20,L161),1)*IF(Upgrades!$T$21="Roche Lobe Overflow",POWER(Upgrades!$U$21,M161),1))*$H$6*O161+((IF(F161=0,0,(Upgrades!$G$14+F161*Upgrades!$H$14)*POWER(Upgrades!$I$14,F161)))*(IF(Upgrades!$T$13="Local Bubble",POWER(Upgrades!$U$13,E161),1)*IF(Upgrades!$T$15="Local Bubble",POWER(Upgrades!$U$15,G161),1)*IF(Upgrades!$T$16="Local Bubble",POWER(Upgrades!$U$16,H161),1)*IF(Upgrades!$T$17="Local Bubble",POWER(Upgrades!$U$17,I161),1)*IF(Upgrades!$T$18="Local Bubble",POWER(Upgrades!$U$18,J161),1)*IF(Upgrades!$T$19="Local Bubble",POWER(Upgrades!$U$19,K161),1)*IF(Upgrades!$T$20="Local Bubble",POWER(Upgrades!$U$20,L161),1)*IF(Upgrades!$T$21="Local Bubble",POWER(Upgrades!$U$21,M161),1))*POWER(Upgrades!$P$13,E161)*POWER(Upgrades!$P$14,F161)*POWER(Upgrades!$P$15,G161)*POWER(Upgrades!$P$16,H161)*POWER(Upgrades!$P$17,I161)*POWER(Upgrades!$P$18,J161)*POWER(Upgrades!$P$19,K161)*POWER(Upgrades!$P$20,L161)*POWER(Upgrades!$P$21,M161)*$F$6)*0.05)/AN161,0)</f>
        <v/>
      </c>
      <c r="BC161" s="32">
        <f>IFERROR((Upgrades!$H$17*(POWER(Upgrades!$P$13,E161)*POWER(Upgrades!$P$14,F161)*POWER(Upgrades!$P$15,G161)*POWER(Upgrades!$P$16,H161)*POWER(Upgrades!$P$17,I161)*POWER(Upgrades!$P$18,J161)*POWER(Upgrades!$P$19,K161)*POWER(Upgrades!$P$20,L161)*POWER(Upgrades!$P$21,M161))*(IF(Upgrades!$T$13="Brown Dwarf",POWER(Upgrades!$U$13,E161),1)*IF(Upgrades!$T$14="Brown Dwarf",POWER(Upgrades!$U$14,F161),1)*IF(Upgrades!$T$15="Brown Dwarf",POWER(Upgrades!$U$15,G161),1)*IF(Upgrades!$T$16="Brown Dwarf",POWER(Upgrades!$U$16,H161),1)*IF(Upgrades!$T$18="Brown Dwarf",POWER(Upgrades!$U$18,J161),1)*IF(Upgrades!$T$19="Brown Dwarf",POWER(Upgrades!$U$19,K161),1)*IF(Upgrades!$T$20="Brown Dwarf",POWER(Upgrades!$U$20,L161),1)*IF(Upgrades!$T$21="Brown Dwarf",POWER(Upgrades!$U$21,M161),1))*$F$6+(((IF(H161=0,0,(Upgrades!$M$16+H161*Upgrades!$N$16)*POWER(Upgrades!$O$16,H161)))*(IF(Upgrades!$T$13="Roche Lobe Overflow",POWER(Upgrades!$U$13,E161),1)*IF(Upgrades!$T$14="Roche Lobe Overflow",POWER(Upgrades!$U$14,F161),1)*IF(Upgrades!$T$15="Roche Lobe Overflow",POWER(Upgrades!$U$15,G161),1)*IF(Upgrades!$T$17="Roche Lobe Overflow",POWER(Upgrades!$U$17,I161),1)*IF(Upgrades!$T$18="Roche Lobe Overflow",POWER(Upgrades!$U$18,J161),1)*IF(Upgrades!$T$19="Roche Lobe Overflow",POWER(Upgrades!$U$19,K161),1)*IF(Upgrades!$T$20="Roche Lobe Overflow",POWER(Upgrades!$U$20,L161),1)*IF(Upgrades!$T$21="Roche Lobe Overflow",POWER(Upgrades!$U$21,M161),1))*POWER(Upgrades!$R$13,E161)*POWER(Upgrades!$R$14,F161)*POWER(Upgrades!$R$15,G161)*POWER(Upgrades!$R$16,H161)*POWER(Upgrades!$R$17,I161)*POWER(Upgrades!$R$18,J161)*POWER(Upgrades!$R$19,K161)*POWER(Upgrades!$R$20,L161)*POWER(Upgrades!$R$21,M161)*$H$6)*O161)*0.10)/AO161,0)</f>
        <v/>
      </c>
      <c r="BD161" s="32">
        <f>MAX(IF(J161&gt;0,0,IFERROR(0.5*((IF(G161=0,0,(Upgrades!$J$15+G161*Upgrades!$K$15)*POWER(Upgrades!$L$15,G161)))*(IF(Upgrades!$T$13="Microlensing",POWER(Upgrades!$U$13,E161),1)*IF(Upgrades!$T$14="Microlensing",POWER(Upgrades!$U$14,F161),1)*IF(Upgrades!$T$16="Microlensing",POWER(Upgrades!$U$16,H161),1)*IF(Upgrades!$T$17="Microlensing",POWER(Upgrades!$U$17,I161),1)*IF(Upgrades!$T$18="Microlensing",POWER(Upgrades!$U$18,J161),1)*IF(Upgrades!$T$19="Microlensing",POWER(Upgrades!$U$19,K161),1)*IF(Upgrades!$T$20="Microlensing",POWER(Upgrades!$U$20,L161),1)*IF(Upgrades!$T$21="Microlensing",POWER(Upgrades!$U$21,M161),1))*(POWER(Upgrades!$Q$13,E161)*POWER(Upgrades!$Q$14,F161)*POWER(Upgrades!$Q$15,G161)*POWER(Upgrades!$Q$16,H161)*POWER(Upgrades!$Q$17,I161)*POWER(Upgrades!$Q$18,J161)*POWER(Upgrades!$Q$19,K161)*POWER(Upgrades!$Q$20,L161)*POWER(Upgrades!$Q$21,M161))*$G$6*(Parameters!$B$10/60*Parameters!$B$11+Q161))/Upgrades!$C$18,0)),IF(K161&gt;0,0,IFERROR(0.30*P161/Upgrades!$C$19,0)),IF(L161&gt;0,0,IFERROR(0.0001/Upgrades!$C$20,0)),IF(M161&gt;0,0,IFERROR((6.0*(POWER(Upgrades!$P$13,E161)*POWER(Upgrades!$P$14,F161)*POWER(Upgrades!$P$15,G161)*POWER(Upgrades!$P$16,H161)*POWER(Upgrades!$P$17,I161)*POWER(Upgrades!$P$18,J161)*POWER(Upgrades!$P$19,K161)*POWER(Upgrades!$P$20,L161)*POWER(Upgrades!$P$21,M161))*$F$6+0.20*O161*(Parameters!$B$10/60*Parameters!$B$11+Q161))/Upgrades!$C$21,0)),IF(AND(ISNUMBER(AK161),AK161&gt;(C161+T161)),AY161,0),IF(AND(ISNUMBER(AL161),AL161&gt;(C161+T161)),AZ161,0),IF(AND(ISNUMBER(AM161),AM161&gt;(C161+T161)),BA161,0),IF(AND(ISNUMBER(AN161),AN161&gt;(C161+T161)),BB161,0),IF(AND(ISNUMBER(AO161),AO161&gt;(C161+T161)),BC161,0))</f>
        <v/>
      </c>
      <c r="BE161" s="29">
        <f>IF(AT161=1,"transition",IF(MIN(IF(AND(J161=0,ISNUMBER(AP161),AP161&lt;=(C161+T161)),AP161,9E15),IF(AND(K161=0,ISNUMBER(AQ161),AQ161&lt;=(C161+T161)),AQ161,9E15),IF(AND(L161=0,ISNUMBER(AR161),AR161&lt;=(C161+T161)),AR161,9E15),IF(AND(M161=0,ISNUMBER(AS161),AS161&lt;=(C161+T161)),AS161,9E15))&lt;9E15,IF(AND(AND(J161=0,ISNUMBER(AP161),AP161&lt;=(C161+T161)),AP161=MIN(IF(AND(J161=0,ISNUMBER(AP161),AP161&lt;=(C161+T161)),AP161,9E15),IF(AND(K161=0,ISNUMBER(AQ161),AQ161&lt;=(C161+T161)),AQ161,9E15),IF(AND(L161=0,ISNUMBER(AR161),AR161&lt;=(C161+T161)),AR161,9E15),IF(AND(M161=0,ISNUMBER(AS161),AS161&lt;=(C161+T161)),AS161,9E15))),"BiP",IF(AND(AND(K161=0,ISNUMBER(AQ161),AQ161&lt;=(C161+T161)),AQ161=MIN(IF(AND(J161=0,ISNUMBER(AP161),AP161&lt;=(C161+T161)),AP161,9E15),IF(AND(K161=0,ISNUMBER(AQ161),AQ161&lt;=(C161+T161)),AQ161,9E15),IF(AND(L161=0,ISNUMBER(AR161),AR161&lt;=(C161+T161)),AR161,9E15),IF(AND(M161=0,ISNUMBER(AS161),AS161&lt;=(C161+T161)),AS161,9E15))),"PV",IF(AND(AND(L161=0,ISNUMBER(AR161),AR161&lt;=(C161+T161)),AR161=MIN(IF(AND(J161=0,ISNUMBER(AP161),AP161&lt;=(C161+T161)),AP161,9E15),IF(AND(K161=0,ISNUMBER(AQ161),AQ161&lt;=(C161+T161)),AQ161,9E15),IF(AND(L161=0,ISNUMBER(AR161),AR161&lt;=(C161+T161)),AR161,9E15),IF(AND(M161=0,ISNUMBER(AS161),AS161&lt;=(C161+T161)),AS161,9E15))),"OC","MG"))),IF(AX161=TRUE,"",IF(MAX(IF(AND(NOT(AND(AU161=1,AT161&lt;&gt;1)),ISNUMBER(AK161),AK161&lt;=(C161+T161)),AY161,0),IF(AND(NOT(AND(AU161=1,AT161&lt;&gt;1)),ISNUMBER(AL161),AL161&lt;=(C161+T161)),AZ161,0),IF(AND(NOT(AND(AU161=1,AT161&lt;&gt;1)),ISNUMBER(AM161),AM161&lt;=(C161+T161)),BA161,0),IF(AND(NOT(AND(AU161=1,AT161&lt;&gt;1)),ISNUMBER(AN161),AN161&lt;=(C161+T161)),BB161,0),IF(AND(ISNUMBER(AO161),AO161&lt;=(C161+T161)),BC161,0))&lt;=0,"",IF(AND(IF(AND(NOT(AND(AU161=1,AT161&lt;&gt;1)),ISNUMBER(AK161),AK161&lt;=(C161+T161)),AY161,0)&gt;0,IF(AND(NOT(AND(AU161=1,AT161&lt;&gt;1)),ISNUMBER(AK161),AK161&lt;=(C161+T161)),AY161,0)=MAX(IF(AND(NOT(AND(AU161=1,AT161&lt;&gt;1)),ISNUMBER(AK161),AK161&lt;=(C161+T161)),AY161,0),IF(AND(NOT(AND(AU161=1,AT161&lt;&gt;1)),ISNUMBER(AL161),AL161&lt;=(C161+T161)),AZ161,0),IF(AND(NOT(AND(AU161=1,AT161&lt;&gt;1)),ISNUMBER(AM161),AM161&lt;=(C161+T161)),BA161,0),IF(AND(NOT(AND(AU161=1,AT161&lt;&gt;1)),ISNUMBER(AN161),AN161&lt;=(C161+T161)),BB161,0),IF(AND(ISNUMBER(AO161),AO161&lt;=(C161+T161)),BC161,0))),"SK",IF(AND(IF(AND(NOT(AND(AU161=1,AT161&lt;&gt;1)),ISNUMBER(AL161),AL161&lt;=(C161+T161)),AZ161,0)&gt;0,IF(AND(NOT(AND(AU161=1,AT161&lt;&gt;1)),ISNUMBER(AL161),AL161&lt;=(C161+T161)),AZ161,0)=MAX(IF(AND(NOT(AND(AU161=1,AT161&lt;&gt;1)),ISNUMBER(AK161),AK161&lt;=(C161+T161)),AY161,0),IF(AND(NOT(AND(AU161=1,AT161&lt;&gt;1)),ISNUMBER(AL161),AL161&lt;=(C161+T161)),AZ161,0),IF(AND(NOT(AND(AU161=1,AT161&lt;&gt;1)),ISNUMBER(AM161),AM161&lt;=(C161+T161)),BA161,0),IF(AND(NOT(AND(AU161=1,AT161&lt;&gt;1)),ISNUMBER(AN161),AN161&lt;=(C161+T161)),BB161,0),IF(AND(ISNUMBER(AO161),AO161&lt;=(C161+T161)),BC161,0))),"LB",IF(AND(IF(AND(NOT(AND(AU161=1,AT161&lt;&gt;1)),ISNUMBER(AM161),AM161&lt;=(C161+T161)),BA161,0)&gt;0,IF(AND(NOT(AND(AU161=1,AT161&lt;&gt;1)),ISNUMBER(AM161),AM161&lt;=(C161+T161)),BA161,0)=MAX(IF(AND(NOT(AND(AU161=1,AT161&lt;&gt;1)),ISNUMBER(AK161),AK161&lt;=(C161+T161)),AY161,0),IF(AND(NOT(AND(AU161=1,AT161&lt;&gt;1)),ISNUMBER(AL161),AL161&lt;=(C161+T161)),AZ161,0),IF(AND(NOT(AND(AU161=1,AT161&lt;&gt;1)),ISNUMBER(AM161),AM161&lt;=(C161+T161)),BA161,0),IF(AND(NOT(AND(AU161=1,AT161&lt;&gt;1)),ISNUMBER(AN161),AN161&lt;=(C161+T161)),BB161,0),IF(AND(ISNUMBER(AO161),AO161&lt;=(C161+T161)),BC161,0))),"ML",IF(AND(IF(AND(NOT(AND(AU161=1,AT161&lt;&gt;1)),ISNUMBER(AN161),AN161&lt;=(C161+T161)),BB161,0)&gt;0,IF(AND(NOT(AND(AU161=1,AT161&lt;&gt;1)),ISNUMBER(AN161),AN161&lt;=(C161+T161)),BB161,0)=MAX(IF(AND(NOT(AND(AU161=1,AT161&lt;&gt;1)),ISNUMBER(AK161),AK161&lt;=(C161+T161)),AY161,0),IF(AND(NOT(AND(AU161=1,AT161&lt;&gt;1)),ISNUMBER(AL161),AL161&lt;=(C161+T161)),AZ161,0),IF(AND(NOT(AND(AU161=1,AT161&lt;&gt;1)),ISNUMBER(AM161),AM161&lt;=(C161+T161)),BA161,0),IF(AND(NOT(AND(AU161=1,AT161&lt;&gt;1)),ISNUMBER(AN161),AN161&lt;=(C161+T161)),BB161,0),IF(AND(ISNUMBER(AO161),AO161&lt;=(C161+T161)),BC161,0))),"RLO","BD"))))))))</f>
        <v/>
      </c>
    </row>
    <row r="162">
      <c r="A162" s="26" t="n">
        <v>151</v>
      </c>
      <c r="B162" s="27">
        <f>A162*10/60</f>
        <v/>
      </c>
      <c r="C162" s="22">
        <f>X161</f>
        <v/>
      </c>
      <c r="D162" s="27">
        <f>D161+W161</f>
        <v/>
      </c>
      <c r="E162" s="26">
        <f>E161+IF(U161="SK",1,0)</f>
        <v/>
      </c>
      <c r="F162" s="26">
        <f>F161+IF(U161="LB",1,0)</f>
        <v/>
      </c>
      <c r="G162" s="26">
        <f>G161+IF(U161="ML",1,0)</f>
        <v/>
      </c>
      <c r="H162" s="26">
        <f>H161+IF(U161="RLO",1,0)</f>
        <v/>
      </c>
      <c r="I162" s="26">
        <f>I161+IF(U161="BD",1,0)</f>
        <v/>
      </c>
      <c r="J162" s="26">
        <f>MAX(J161,IF(U161="BiP",1,0))</f>
        <v/>
      </c>
      <c r="K162" s="26">
        <f>MAX(K161,IF(U161="PV",1,0))</f>
        <v/>
      </c>
      <c r="L162" s="26">
        <f>MAX(L161,IF(U161="OC",1,0))</f>
        <v/>
      </c>
      <c r="M162" s="26">
        <f>MAX(M161,IF(U161="MG",1,0))</f>
        <v/>
      </c>
      <c r="N162" s="26">
        <f>MAX(N161,IF(U161="transition",1,0))</f>
        <v/>
      </c>
      <c r="O162" s="28">
        <f>(Parameters!$B$9+(IF(E162=0,0,(Upgrades!$J$13+E162*Upgrades!$K$13)*POWER(Upgrades!$L$13,E162)))*(IF(Upgrades!$T$14="Stellar Kinematics",POWER(Upgrades!$U$14,F162),1)*IF(Upgrades!$T$15="Stellar Kinematics",POWER(Upgrades!$U$15,G162),1)*IF(Upgrades!$T$16="Stellar Kinematics",POWER(Upgrades!$U$16,H162),1)*IF(Upgrades!$T$17="Stellar Kinematics",POWER(Upgrades!$U$17,I162),1)*IF(Upgrades!$T$18="Stellar Kinematics",POWER(Upgrades!$U$18,J162),1)*IF(Upgrades!$T$19="Stellar Kinematics",POWER(Upgrades!$U$19,K162),1)*IF(Upgrades!$T$20="Stellar Kinematics",POWER(Upgrades!$U$20,L162),1)*IF(Upgrades!$T$21="Stellar Kinematics",POWER(Upgrades!$U$21,M162),1))+(IF(F162=0,0,(Upgrades!$J$14+F162*Upgrades!$K$14)*POWER(Upgrades!$L$14,F162)))*(IF(Upgrades!$T$13="Local Bubble",POWER(Upgrades!$U$13,E162),1)*IF(Upgrades!$T$15="Local Bubble",POWER(Upgrades!$U$15,G162),1)*IF(Upgrades!$T$16="Local Bubble",POWER(Upgrades!$U$16,H162),1)*IF(Upgrades!$T$17="Local Bubble",POWER(Upgrades!$U$17,I162),1)*IF(Upgrades!$T$18="Local Bubble",POWER(Upgrades!$U$18,J162),1)*IF(Upgrades!$T$19="Local Bubble",POWER(Upgrades!$U$19,K162),1)*IF(Upgrades!$T$20="Local Bubble",POWER(Upgrades!$U$20,L162),1)*IF(Upgrades!$T$21="Local Bubble",POWER(Upgrades!$U$21,M162),1))+(IF(G162=0,0,(Upgrades!$J$15+G162*Upgrades!$K$15)*POWER(Upgrades!$L$15,G162)))*(IF(Upgrades!$T$13="Microlensing",POWER(Upgrades!$U$13,E162),1)*IF(Upgrades!$T$14="Microlensing",POWER(Upgrades!$U$14,F162),1)*IF(Upgrades!$T$16="Microlensing",POWER(Upgrades!$U$16,H162),1)*IF(Upgrades!$T$17="Microlensing",POWER(Upgrades!$U$17,I162),1)*IF(Upgrades!$T$18="Microlensing",POWER(Upgrades!$U$18,J162),1)*IF(Upgrades!$T$19="Microlensing",POWER(Upgrades!$U$19,K162),1)*IF(Upgrades!$T$20="Microlensing",POWER(Upgrades!$U$20,L162),1)*IF(Upgrades!$T$21="Microlensing",POWER(Upgrades!$U$21,M162),1))+(IF(H162=0,0,(Upgrades!$J$16+H162*Upgrades!$K$16)*POWER(Upgrades!$L$16,H162)))*(IF(Upgrades!$T$13="Roche Lobe Overflow",POWER(Upgrades!$U$13,E162),1)*IF(Upgrades!$T$14="Roche Lobe Overflow",POWER(Upgrades!$U$14,F162),1)*IF(Upgrades!$T$15="Roche Lobe Overflow",POWER(Upgrades!$U$15,G162),1)*IF(Upgrades!$T$17="Roche Lobe Overflow",POWER(Upgrades!$U$17,I162),1)*IF(Upgrades!$T$18="Roche Lobe Overflow",POWER(Upgrades!$U$18,J162),1)*IF(Upgrades!$T$19="Roche Lobe Overflow",POWER(Upgrades!$U$19,K162),1)*IF(Upgrades!$T$20="Roche Lobe Overflow",POWER(Upgrades!$U$20,L162),1)*IF(Upgrades!$T$21="Roche Lobe Overflow",POWER(Upgrades!$U$21,M162),1))+(IF(I162=0,0,(Upgrades!$J$17+I162*Upgrades!$K$17)*POWER(Upgrades!$L$17,I162)))*(IF(Upgrades!$T$13="Brown Dwarf",POWER(Upgrades!$U$13,E162),1)*IF(Upgrades!$T$14="Brown Dwarf",POWER(Upgrades!$U$14,F162),1)*IF(Upgrades!$T$15="Brown Dwarf",POWER(Upgrades!$U$15,G162),1)*IF(Upgrades!$T$16="Brown Dwarf",POWER(Upgrades!$U$16,H162),1)*IF(Upgrades!$T$18="Brown Dwarf",POWER(Upgrades!$U$18,J162),1)*IF(Upgrades!$T$19="Brown Dwarf",POWER(Upgrades!$U$19,K162),1)*IF(Upgrades!$T$20="Brown Dwarf",POWER(Upgrades!$U$20,L162),1)*IF(Upgrades!$T$21="Brown Dwarf",POWER(Upgrades!$U$21,M162),1))+(IF(J162=0,0,(Upgrades!$J$18+J162*Upgrades!$K$18)*POWER(Upgrades!$L$18,J162)))*(IF(Upgrades!$T$13="Binary Partner",POWER(Upgrades!$U$13,E162),1)*IF(Upgrades!$T$14="Binary Partner",POWER(Upgrades!$U$14,F162),1)*IF(Upgrades!$T$15="Binary Partner",POWER(Upgrades!$U$15,G162),1)*IF(Upgrades!$T$16="Binary Partner",POWER(Upgrades!$U$16,H162),1)*IF(Upgrades!$T$17="Binary Partner",POWER(Upgrades!$U$17,I162),1)*IF(Upgrades!$T$19="Binary Partner",POWER(Upgrades!$U$19,K162),1)*IF(Upgrades!$T$20="Binary Partner",POWER(Upgrades!$U$20,L162),1)*IF(Upgrades!$T$21="Binary Partner",POWER(Upgrades!$U$21,M162),1))+(IF(K162=0,0,(Upgrades!$J$19+K162*Upgrades!$K$19)*POWER(Upgrades!$L$19,K162)))*(IF(Upgrades!$T$13="Peculiar Velocity",POWER(Upgrades!$U$13,E162),1)*IF(Upgrades!$T$14="Peculiar Velocity",POWER(Upgrades!$U$14,F162),1)*IF(Upgrades!$T$15="Peculiar Velocity",POWER(Upgrades!$U$15,G162),1)*IF(Upgrades!$T$16="Peculiar Velocity",POWER(Upgrades!$U$16,H162),1)*IF(Upgrades!$T$17="Peculiar Velocity",POWER(Upgrades!$U$17,I162),1)*IF(Upgrades!$T$18="Peculiar Velocity",POWER(Upgrades!$U$18,J162),1)*IF(Upgrades!$T$20="Peculiar Velocity",POWER(Upgrades!$U$20,L162),1)*IF(Upgrades!$T$21="Peculiar Velocity",POWER(Upgrades!$U$21,M162),1))+(IF(L162=0,0,(Upgrades!$J$20+L162*Upgrades!$K$20)*POWER(Upgrades!$L$20,L162)))*(IF(Upgrades!$T$13="Open Cluster",POWER(Upgrades!$U$13,E162),1)*IF(Upgrades!$T$14="Open Cluster",POWER(Upgrades!$U$14,F162),1)*IF(Upgrades!$T$15="Open Cluster",POWER(Upgrades!$U$15,G162),1)*IF(Upgrades!$T$16="Open Cluster",POWER(Upgrades!$U$16,H162),1)*IF(Upgrades!$T$17="Open Cluster",POWER(Upgrades!$U$17,I162),1)*IF(Upgrades!$T$18="Open Cluster",POWER(Upgrades!$U$18,J162),1)*IF(Upgrades!$T$19="Open Cluster",POWER(Upgrades!$U$19,K162),1)*IF(Upgrades!$T$21="Open Cluster",POWER(Upgrades!$U$21,M162),1))+(IF(M162=0,0,(Upgrades!$J$21+M162*Upgrades!$K$21)*POWER(Upgrades!$L$21,M162)))*(IF(Upgrades!$T$13="Moving Group",POWER(Upgrades!$U$13,E162),1)*IF(Upgrades!$T$14="Moving Group",POWER(Upgrades!$U$14,F162),1)*IF(Upgrades!$T$15="Moving Group",POWER(Upgrades!$U$15,G162),1)*IF(Upgrades!$T$16="Moving Group",POWER(Upgrades!$U$16,H162),1)*IF(Upgrades!$T$17="Moving Group",POWER(Upgrades!$U$17,I162),1)*IF(Upgrades!$T$18="Moving Group",POWER(Upgrades!$U$18,J162),1)*IF(Upgrades!$T$19="Moving Group",POWER(Upgrades!$U$19,K162),1)*IF(Upgrades!$T$20="Moving Group",POWER(Upgrades!$U$20,L162),1)))*POWER(Upgrades!$Q$13,E162)*POWER(Upgrades!$Q$14,F162)*POWER(Upgrades!$Q$15,G162)*POWER(Upgrades!$Q$16,H162)*POWER(Upgrades!$Q$17,I162)*POWER(Upgrades!$Q$18,J162)*POWER(Upgrades!$Q$19,K162)*POWER(Upgrades!$Q$20,L162)*POWER(Upgrades!$Q$21,M162)*$G$6+$D$6</f>
        <v/>
      </c>
      <c r="P162" s="28">
        <f>((IF(E162=0,0,(Upgrades!$G$13+E162*Upgrades!$H$13)*POWER(Upgrades!$I$13,E162)))*(IF(Upgrades!$T$14="Stellar Kinematics",POWER(Upgrades!$U$14,F162),1)*IF(Upgrades!$T$15="Stellar Kinematics",POWER(Upgrades!$U$15,G162),1)*IF(Upgrades!$T$16="Stellar Kinematics",POWER(Upgrades!$U$16,H162),1)*IF(Upgrades!$T$17="Stellar Kinematics",POWER(Upgrades!$U$17,I162),1)*IF(Upgrades!$T$18="Stellar Kinematics",POWER(Upgrades!$U$18,J162),1)*IF(Upgrades!$T$19="Stellar Kinematics",POWER(Upgrades!$U$19,K162),1)*IF(Upgrades!$T$20="Stellar Kinematics",POWER(Upgrades!$U$20,L162),1)*IF(Upgrades!$T$21="Stellar Kinematics",POWER(Upgrades!$U$21,M162),1))+(IF(F162=0,0,(Upgrades!$G$14+F162*Upgrades!$H$14)*POWER(Upgrades!$I$14,F162)))*(IF(Upgrades!$T$13="Local Bubble",POWER(Upgrades!$U$13,E162),1)*IF(Upgrades!$T$15="Local Bubble",POWER(Upgrades!$U$15,G162),1)*IF(Upgrades!$T$16="Local Bubble",POWER(Upgrades!$U$16,H162),1)*IF(Upgrades!$T$17="Local Bubble",POWER(Upgrades!$U$17,I162),1)*IF(Upgrades!$T$18="Local Bubble",POWER(Upgrades!$U$18,J162),1)*IF(Upgrades!$T$19="Local Bubble",POWER(Upgrades!$U$19,K162),1)*IF(Upgrades!$T$20="Local Bubble",POWER(Upgrades!$U$20,L162),1)*IF(Upgrades!$T$21="Local Bubble",POWER(Upgrades!$U$21,M162),1))+(IF(G162=0,0,(Upgrades!$G$15+G162*Upgrades!$H$15)*POWER(Upgrades!$I$15,G162)))*(IF(Upgrades!$T$13="Microlensing",POWER(Upgrades!$U$13,E162),1)*IF(Upgrades!$T$14="Microlensing",POWER(Upgrades!$U$14,F162),1)*IF(Upgrades!$T$16="Microlensing",POWER(Upgrades!$U$16,H162),1)*IF(Upgrades!$T$17="Microlensing",POWER(Upgrades!$U$17,I162),1)*IF(Upgrades!$T$18="Microlensing",POWER(Upgrades!$U$18,J162),1)*IF(Upgrades!$T$19="Microlensing",POWER(Upgrades!$U$19,K162),1)*IF(Upgrades!$T$20="Microlensing",POWER(Upgrades!$U$20,L162),1)*IF(Upgrades!$T$21="Microlensing",POWER(Upgrades!$U$21,M162),1))+(IF(H162=0,0,(Upgrades!$G$16+H162*Upgrades!$H$16)*POWER(Upgrades!$I$16,H162)))*(IF(Upgrades!$T$13="Roche Lobe Overflow",POWER(Upgrades!$U$13,E162),1)*IF(Upgrades!$T$14="Roche Lobe Overflow",POWER(Upgrades!$U$14,F162),1)*IF(Upgrades!$T$15="Roche Lobe Overflow",POWER(Upgrades!$U$15,G162),1)*IF(Upgrades!$T$17="Roche Lobe Overflow",POWER(Upgrades!$U$17,I162),1)*IF(Upgrades!$T$18="Roche Lobe Overflow",POWER(Upgrades!$U$18,J162),1)*IF(Upgrades!$T$19="Roche Lobe Overflow",POWER(Upgrades!$U$19,K162),1)*IF(Upgrades!$T$20="Roche Lobe Overflow",POWER(Upgrades!$U$20,L162),1)*IF(Upgrades!$T$21="Roche Lobe Overflow",POWER(Upgrades!$U$21,M162),1))+(IF(I162=0,0,(Upgrades!$G$17+I162*Upgrades!$H$17)*POWER(Upgrades!$I$17,I162)))*(IF(Upgrades!$T$13="Brown Dwarf",POWER(Upgrades!$U$13,E162),1)*IF(Upgrades!$T$14="Brown Dwarf",POWER(Upgrades!$U$14,F162),1)*IF(Upgrades!$T$15="Brown Dwarf",POWER(Upgrades!$U$15,G162),1)*IF(Upgrades!$T$16="Brown Dwarf",POWER(Upgrades!$U$16,H162),1)*IF(Upgrades!$T$18="Brown Dwarf",POWER(Upgrades!$U$18,J162),1)*IF(Upgrades!$T$19="Brown Dwarf",POWER(Upgrades!$U$19,K162),1)*IF(Upgrades!$T$20="Brown Dwarf",POWER(Upgrades!$U$20,L162),1)*IF(Upgrades!$T$21="Brown Dwarf",POWER(Upgrades!$U$21,M162),1))+(IF(J162=0,0,(Upgrades!$G$18+J162*Upgrades!$H$18)*POWER(Upgrades!$I$18,J162)))*(IF(Upgrades!$T$13="Binary Partner",POWER(Upgrades!$U$13,E162),1)*IF(Upgrades!$T$14="Binary Partner",POWER(Upgrades!$U$14,F162),1)*IF(Upgrades!$T$15="Binary Partner",POWER(Upgrades!$U$15,G162),1)*IF(Upgrades!$T$16="Binary Partner",POWER(Upgrades!$U$16,H162),1)*IF(Upgrades!$T$17="Binary Partner",POWER(Upgrades!$U$17,I162),1)*IF(Upgrades!$T$19="Binary Partner",POWER(Upgrades!$U$19,K162),1)*IF(Upgrades!$T$20="Binary Partner",POWER(Upgrades!$U$20,L162),1)*IF(Upgrades!$T$21="Binary Partner",POWER(Upgrades!$U$21,M162),1))+(IF(K162=0,0,(Upgrades!$G$19+K162*Upgrades!$H$19)*POWER(Upgrades!$I$19,K162)))*(IF(Upgrades!$T$13="Peculiar Velocity",POWER(Upgrades!$U$13,E162),1)*IF(Upgrades!$T$14="Peculiar Velocity",POWER(Upgrades!$U$14,F162),1)*IF(Upgrades!$T$15="Peculiar Velocity",POWER(Upgrades!$U$15,G162),1)*IF(Upgrades!$T$16="Peculiar Velocity",POWER(Upgrades!$U$16,H162),1)*IF(Upgrades!$T$17="Peculiar Velocity",POWER(Upgrades!$U$17,I162),1)*IF(Upgrades!$T$18="Peculiar Velocity",POWER(Upgrades!$U$18,J162),1)*IF(Upgrades!$T$20="Peculiar Velocity",POWER(Upgrades!$U$20,L162),1)*IF(Upgrades!$T$21="Peculiar Velocity",POWER(Upgrades!$U$21,M162),1))+(IF(L162=0,0,(Upgrades!$G$20+L162*Upgrades!$H$20)*POWER(Upgrades!$I$20,L162)))*(IF(Upgrades!$T$13="Open Cluster",POWER(Upgrades!$U$13,E162),1)*IF(Upgrades!$T$14="Open Cluster",POWER(Upgrades!$U$14,F162),1)*IF(Upgrades!$T$15="Open Cluster",POWER(Upgrades!$U$15,G162),1)*IF(Upgrades!$T$16="Open Cluster",POWER(Upgrades!$U$16,H162),1)*IF(Upgrades!$T$17="Open Cluster",POWER(Upgrades!$U$17,I162),1)*IF(Upgrades!$T$18="Open Cluster",POWER(Upgrades!$U$18,J162),1)*IF(Upgrades!$T$19="Open Cluster",POWER(Upgrades!$U$19,K162),1)*IF(Upgrades!$T$21="Open Cluster",POWER(Upgrades!$U$21,M162),1))+(IF(M162=0,0,(Upgrades!$G$21+M162*Upgrades!$H$21)*POWER(Upgrades!$I$21,M162)))*(IF(Upgrades!$T$13="Moving Group",POWER(Upgrades!$U$13,E162),1)*IF(Upgrades!$T$14="Moving Group",POWER(Upgrades!$U$14,F162),1)*IF(Upgrades!$T$15="Moving Group",POWER(Upgrades!$U$15,G162),1)*IF(Upgrades!$T$16="Moving Group",POWER(Upgrades!$U$16,H162),1)*IF(Upgrades!$T$17="Moving Group",POWER(Upgrades!$U$17,I162),1)*IF(Upgrades!$T$18="Moving Group",POWER(Upgrades!$U$18,J162),1)*IF(Upgrades!$T$19="Moving Group",POWER(Upgrades!$U$19,K162),1)*IF(Upgrades!$T$20="Moving Group",POWER(Upgrades!$U$20,L162),1)))*POWER(Upgrades!$P$13,E162)*POWER(Upgrades!$P$14,F162)*POWER(Upgrades!$P$15,G162)*POWER(Upgrades!$P$16,H162)*POWER(Upgrades!$P$17,I162)*POWER(Upgrades!$P$18,J162)*POWER(Upgrades!$P$19,K162)*POWER(Upgrades!$P$20,L162)*POWER(Upgrades!$P$21,M162)*$F$6+$C$6</f>
        <v/>
      </c>
      <c r="Q162" s="28">
        <f>((IF(E162=0,0,(Upgrades!$M$13+E162*Upgrades!$N$13)*POWER(Upgrades!$O$13,E162)))*(IF(Upgrades!$T$14="Stellar Kinematics",POWER(Upgrades!$U$14,F162),1)*IF(Upgrades!$T$15="Stellar Kinematics",POWER(Upgrades!$U$15,G162),1)*IF(Upgrades!$T$16="Stellar Kinematics",POWER(Upgrades!$U$16,H162),1)*IF(Upgrades!$T$17="Stellar Kinematics",POWER(Upgrades!$U$17,I162),1)*IF(Upgrades!$T$18="Stellar Kinematics",POWER(Upgrades!$U$18,J162),1)*IF(Upgrades!$T$19="Stellar Kinematics",POWER(Upgrades!$U$19,K162),1)*IF(Upgrades!$T$20="Stellar Kinematics",POWER(Upgrades!$U$20,L162),1)*IF(Upgrades!$T$21="Stellar Kinematics",POWER(Upgrades!$U$21,M162),1))+(IF(F162=0,0,(Upgrades!$M$14+F162*Upgrades!$N$14)*POWER(Upgrades!$O$14,F162)))*(IF(Upgrades!$T$13="Local Bubble",POWER(Upgrades!$U$13,E162),1)*IF(Upgrades!$T$15="Local Bubble",POWER(Upgrades!$U$15,G162),1)*IF(Upgrades!$T$16="Local Bubble",POWER(Upgrades!$U$16,H162),1)*IF(Upgrades!$T$17="Local Bubble",POWER(Upgrades!$U$17,I162),1)*IF(Upgrades!$T$18="Local Bubble",POWER(Upgrades!$U$18,J162),1)*IF(Upgrades!$T$19="Local Bubble",POWER(Upgrades!$U$19,K162),1)*IF(Upgrades!$T$20="Local Bubble",POWER(Upgrades!$U$20,L162),1)*IF(Upgrades!$T$21="Local Bubble",POWER(Upgrades!$U$21,M162),1))+(IF(G162=0,0,(Upgrades!$M$15+G162*Upgrades!$N$15)*POWER(Upgrades!$O$15,G162)))*(IF(Upgrades!$T$13="Microlensing",POWER(Upgrades!$U$13,E162),1)*IF(Upgrades!$T$14="Microlensing",POWER(Upgrades!$U$14,F162),1)*IF(Upgrades!$T$16="Microlensing",POWER(Upgrades!$U$16,H162),1)*IF(Upgrades!$T$17="Microlensing",POWER(Upgrades!$U$17,I162),1)*IF(Upgrades!$T$18="Microlensing",POWER(Upgrades!$U$18,J162),1)*IF(Upgrades!$T$19="Microlensing",POWER(Upgrades!$U$19,K162),1)*IF(Upgrades!$T$20="Microlensing",POWER(Upgrades!$U$20,L162),1)*IF(Upgrades!$T$21="Microlensing",POWER(Upgrades!$U$21,M162),1))+(IF(H162=0,0,(Upgrades!$M$16+H162*Upgrades!$N$16)*POWER(Upgrades!$O$16,H162)))*(IF(Upgrades!$T$13="Roche Lobe Overflow",POWER(Upgrades!$U$13,E162),1)*IF(Upgrades!$T$14="Roche Lobe Overflow",POWER(Upgrades!$U$14,F162),1)*IF(Upgrades!$T$15="Roche Lobe Overflow",POWER(Upgrades!$U$15,G162),1)*IF(Upgrades!$T$17="Roche Lobe Overflow",POWER(Upgrades!$U$17,I162),1)*IF(Upgrades!$T$18="Roche Lobe Overflow",POWER(Upgrades!$U$18,J162),1)*IF(Upgrades!$T$19="Roche Lobe Overflow",POWER(Upgrades!$U$19,K162),1)*IF(Upgrades!$T$20="Roche Lobe Overflow",POWER(Upgrades!$U$20,L162),1)*IF(Upgrades!$T$21="Roche Lobe Overflow",POWER(Upgrades!$U$21,M162),1))+(IF(I162=0,0,(Upgrades!$M$17+I162*Upgrades!$N$17)*POWER(Upgrades!$O$17,I162)))*(IF(Upgrades!$T$13="Brown Dwarf",POWER(Upgrades!$U$13,E162),1)*IF(Upgrades!$T$14="Brown Dwarf",POWER(Upgrades!$U$14,F162),1)*IF(Upgrades!$T$15="Brown Dwarf",POWER(Upgrades!$U$15,G162),1)*IF(Upgrades!$T$16="Brown Dwarf",POWER(Upgrades!$U$16,H162),1)*IF(Upgrades!$T$18="Brown Dwarf",POWER(Upgrades!$U$18,J162),1)*IF(Upgrades!$T$19="Brown Dwarf",POWER(Upgrades!$U$19,K162),1)*IF(Upgrades!$T$20="Brown Dwarf",POWER(Upgrades!$U$20,L162),1)*IF(Upgrades!$T$21="Brown Dwarf",POWER(Upgrades!$U$21,M162),1))+(IF(J162=0,0,(Upgrades!$M$18+J162*Upgrades!$N$18)*POWER(Upgrades!$O$18,J162)))*(IF(Upgrades!$T$13="Binary Partner",POWER(Upgrades!$U$13,E162),1)*IF(Upgrades!$T$14="Binary Partner",POWER(Upgrades!$U$14,F162),1)*IF(Upgrades!$T$15="Binary Partner",POWER(Upgrades!$U$15,G162),1)*IF(Upgrades!$T$16="Binary Partner",POWER(Upgrades!$U$16,H162),1)*IF(Upgrades!$T$17="Binary Partner",POWER(Upgrades!$U$17,I162),1)*IF(Upgrades!$T$19="Binary Partner",POWER(Upgrades!$U$19,K162),1)*IF(Upgrades!$T$20="Binary Partner",POWER(Upgrades!$U$20,L162),1)*IF(Upgrades!$T$21="Binary Partner",POWER(Upgrades!$U$21,M162),1))+(IF(K162=0,0,(Upgrades!$M$19+K162*Upgrades!$N$19)*POWER(Upgrades!$O$19,K162)))*(IF(Upgrades!$T$13="Peculiar Velocity",POWER(Upgrades!$U$13,E162),1)*IF(Upgrades!$T$14="Peculiar Velocity",POWER(Upgrades!$U$14,F162),1)*IF(Upgrades!$T$15="Peculiar Velocity",POWER(Upgrades!$U$15,G162),1)*IF(Upgrades!$T$16="Peculiar Velocity",POWER(Upgrades!$U$16,H162),1)*IF(Upgrades!$T$17="Peculiar Velocity",POWER(Upgrades!$U$17,I162),1)*IF(Upgrades!$T$18="Peculiar Velocity",POWER(Upgrades!$U$18,J162),1)*IF(Upgrades!$T$20="Peculiar Velocity",POWER(Upgrades!$U$20,L162),1)*IF(Upgrades!$T$21="Peculiar Velocity",POWER(Upgrades!$U$21,M162),1))+(IF(L162=0,0,(Upgrades!$M$20+L162*Upgrades!$N$20)*POWER(Upgrades!$O$20,L162)))*(IF(Upgrades!$T$13="Open Cluster",POWER(Upgrades!$U$13,E162),1)*IF(Upgrades!$T$14="Open Cluster",POWER(Upgrades!$U$14,F162),1)*IF(Upgrades!$T$15="Open Cluster",POWER(Upgrades!$U$15,G162),1)*IF(Upgrades!$T$16="Open Cluster",POWER(Upgrades!$U$16,H162),1)*IF(Upgrades!$T$17="Open Cluster",POWER(Upgrades!$U$17,I162),1)*IF(Upgrades!$T$18="Open Cluster",POWER(Upgrades!$U$18,J162),1)*IF(Upgrades!$T$19="Open Cluster",POWER(Upgrades!$U$19,K162),1)*IF(Upgrades!$T$21="Open Cluster",POWER(Upgrades!$U$21,M162),1))+(IF(M162=0,0,(Upgrades!$M$21+M162*Upgrades!$N$21)*POWER(Upgrades!$O$21,M162)))*(IF(Upgrades!$T$13="Moving Group",POWER(Upgrades!$U$13,E162),1)*IF(Upgrades!$T$14="Moving Group",POWER(Upgrades!$U$14,F162),1)*IF(Upgrades!$T$15="Moving Group",POWER(Upgrades!$U$15,G162),1)*IF(Upgrades!$T$16="Moving Group",POWER(Upgrades!$U$16,H162),1)*IF(Upgrades!$T$17="Moving Group",POWER(Upgrades!$U$17,I162),1)*IF(Upgrades!$T$18="Moving Group",POWER(Upgrades!$U$18,J162),1)*IF(Upgrades!$T$19="Moving Group",POWER(Upgrades!$U$19,K162),1)*IF(Upgrades!$T$20="Moving Group",POWER(Upgrades!$U$20,L162),1)))*POWER(Upgrades!$R$13,E162)*POWER(Upgrades!$R$14,F162)*POWER(Upgrades!$R$15,G162)*POWER(Upgrades!$R$16,H162)*POWER(Upgrades!$R$17,I162)*POWER(Upgrades!$R$18,J162)*POWER(Upgrades!$R$19,K162)*POWER(Upgrades!$R$20,L162)*POWER(Upgrades!$R$21,M162)*$H$6+$E$6</f>
        <v/>
      </c>
      <c r="R162" s="27">
        <f>IF(N162=1,0,O162*Parameters!$B$10/60*Parameters!$B$11*10)</f>
        <v/>
      </c>
      <c r="S162" s="27">
        <f>IF(N162=1,0,Q162*O162*10)</f>
        <v/>
      </c>
      <c r="T162" s="27">
        <f>IF(N162=1,0,R162+S162+P162*10)</f>
        <v/>
      </c>
      <c r="U162" s="33">
        <f>BE162</f>
        <v/>
      </c>
      <c r="V162" s="22">
        <f>IF(U162="",0,IF(U162="transition",0,IF(U162="SK",AK162,IF(U162="LB",AL162,IF(U162="ML",AM162,IF(U162="RLO",AN162,IF(U162="BD",AO162,IF(U162="BiP",AP162,IF(U162="PV",AQ162,IF(U162="OC",AR162,IF(U162="MG",AS162,0))))))))))</f>
        <v/>
      </c>
      <c r="W162" s="27">
        <f>IF(U162="BiP",Upgrades!$F$18,IF(U162="PV",Upgrades!$F$19,IF(U162="OC",Upgrades!$F$20,IF(U162="MG",Upgrades!$F$21,IF(U162="transition",-Parameters!$B$18*Parameters!$B$19,0)))))</f>
        <v/>
      </c>
      <c r="X162" s="22">
        <f>C162+T162-V162</f>
        <v/>
      </c>
      <c r="Y162" s="30">
        <f>O162*Parameters!$B$10/60*Parameters!$B$11+Q162*O162+P162</f>
        <v/>
      </c>
      <c r="Z162" s="34">
        <f>IF(U162="transition","→ Tier 3 (Galactic Arm)",IF(U162="MG","Moving Group — pocket drifts together",IF(U162="OC","Open Cluster acquired",IF(U162="PV","Peculiar Velocity — passive multiplier active",IF(U162="BiP","Binary Partner — pair bond formed",IF(AND(AU162=1,N162=0,AT162&lt;&gt;1),"Cohesion ready (waiting on completionists)","")))))) </f>
        <v/>
      </c>
      <c r="AA162" s="27">
        <f>(IF(E162=0,0,(Upgrades!$G$13+E162*Upgrades!$H$13)*POWER(Upgrades!$I$13,E162)))*(IF(Upgrades!$T$14="Stellar Kinematics",POWER(Upgrades!$U$14,F162),1)*IF(Upgrades!$T$15="Stellar Kinematics",POWER(Upgrades!$U$15,G162),1)*IF(Upgrades!$T$16="Stellar Kinematics",POWER(Upgrades!$U$16,H162),1)*IF(Upgrades!$T$17="Stellar Kinematics",POWER(Upgrades!$U$17,I162),1)*IF(Upgrades!$T$18="Stellar Kinematics",POWER(Upgrades!$U$18,J162),1)*IF(Upgrades!$T$19="Stellar Kinematics",POWER(Upgrades!$U$19,K162),1)*IF(Upgrades!$T$20="Stellar Kinematics",POWER(Upgrades!$U$20,L162),1)*IF(Upgrades!$T$21="Stellar Kinematics",POWER(Upgrades!$U$21,M162),1))*POWER(Upgrades!$P$13,E162)*POWER(Upgrades!$P$14,F162)*POWER(Upgrades!$P$15,G162)*POWER(Upgrades!$P$16,H162)*POWER(Upgrades!$P$17,I162)*POWER(Upgrades!$P$18,J162)*POWER(Upgrades!$P$19,K162)*POWER(Upgrades!$P$20,L162)*POWER(Upgrades!$P$21,M162)*$F$6*60</f>
        <v/>
      </c>
      <c r="AB162" s="27">
        <f>(IF(F162=0,0,(Upgrades!$G$14+F162*Upgrades!$H$14)*POWER(Upgrades!$I$14,F162)))*(IF(Upgrades!$T$13="Local Bubble",POWER(Upgrades!$U$13,E162),1)*IF(Upgrades!$T$15="Local Bubble",POWER(Upgrades!$U$15,G162),1)*IF(Upgrades!$T$16="Local Bubble",POWER(Upgrades!$U$16,H162),1)*IF(Upgrades!$T$17="Local Bubble",POWER(Upgrades!$U$17,I162),1)*IF(Upgrades!$T$18="Local Bubble",POWER(Upgrades!$U$18,J162),1)*IF(Upgrades!$T$19="Local Bubble",POWER(Upgrades!$U$19,K162),1)*IF(Upgrades!$T$20="Local Bubble",POWER(Upgrades!$U$20,L162),1)*IF(Upgrades!$T$21="Local Bubble",POWER(Upgrades!$U$21,M162),1))*POWER(Upgrades!$P$13,E162)*POWER(Upgrades!$P$14,F162)*POWER(Upgrades!$P$15,G162)*POWER(Upgrades!$P$16,H162)*POWER(Upgrades!$P$17,I162)*POWER(Upgrades!$P$18,J162)*POWER(Upgrades!$P$19,K162)*POWER(Upgrades!$P$20,L162)*POWER(Upgrades!$P$21,M162)*$F$6*60</f>
        <v/>
      </c>
      <c r="AC162" s="27">
        <f>(IF(G162=0,0,(Upgrades!$J$15+G162*Upgrades!$K$15)*POWER(Upgrades!$L$15,G162)))*(IF(Upgrades!$T$13="Microlensing",POWER(Upgrades!$U$13,E162),1)*IF(Upgrades!$T$14="Microlensing",POWER(Upgrades!$U$14,F162),1)*IF(Upgrades!$T$16="Microlensing",POWER(Upgrades!$U$16,H162),1)*IF(Upgrades!$T$17="Microlensing",POWER(Upgrades!$U$17,I162),1)*IF(Upgrades!$T$18="Microlensing",POWER(Upgrades!$U$18,J162),1)*IF(Upgrades!$T$19="Microlensing",POWER(Upgrades!$U$19,K162),1)*IF(Upgrades!$T$20="Microlensing",POWER(Upgrades!$U$20,L162),1)*IF(Upgrades!$T$21="Microlensing",POWER(Upgrades!$U$21,M162),1))*POWER(Upgrades!$Q$13,E162)*POWER(Upgrades!$Q$14,F162)*POWER(Upgrades!$Q$15,G162)*POWER(Upgrades!$Q$16,H162)*POWER(Upgrades!$Q$17,I162)*POWER(Upgrades!$Q$18,J162)*POWER(Upgrades!$Q$19,K162)*POWER(Upgrades!$Q$20,L162)*POWER(Upgrades!$Q$21,M162)*$G$6*(Parameters!$B$10*Parameters!$B$11+Q162*60)</f>
        <v/>
      </c>
      <c r="AD162" s="27">
        <f>(IF(H162=0,0,(Upgrades!$M$16+H162*Upgrades!$N$16)*POWER(Upgrades!$O$16,H162)))*(IF(Upgrades!$T$13="Roche Lobe Overflow",POWER(Upgrades!$U$13,E162),1)*IF(Upgrades!$T$14="Roche Lobe Overflow",POWER(Upgrades!$U$14,F162),1)*IF(Upgrades!$T$15="Roche Lobe Overflow",POWER(Upgrades!$U$15,G162),1)*IF(Upgrades!$T$17="Roche Lobe Overflow",POWER(Upgrades!$U$17,I162),1)*IF(Upgrades!$T$18="Roche Lobe Overflow",POWER(Upgrades!$U$18,J162),1)*IF(Upgrades!$T$19="Roche Lobe Overflow",POWER(Upgrades!$U$19,K162),1)*IF(Upgrades!$T$20="Roche Lobe Overflow",POWER(Upgrades!$U$20,L162),1)*IF(Upgrades!$T$21="Roche Lobe Overflow",POWER(Upgrades!$U$21,M162),1))*POWER(Upgrades!$R$13,E162)*POWER(Upgrades!$R$14,F162)*POWER(Upgrades!$R$15,G162)*POWER(Upgrades!$R$16,H162)*POWER(Upgrades!$R$17,I162)*POWER(Upgrades!$R$18,J162)*POWER(Upgrades!$R$19,K162)*POWER(Upgrades!$R$20,L162)*POWER(Upgrades!$R$21,M162)*$H$6*O162*60</f>
        <v/>
      </c>
      <c r="AE162" s="27">
        <f>(IF(I162=0,0,(Upgrades!$G$17+I162*Upgrades!$H$17)*POWER(Upgrades!$I$17,I162)))*(IF(Upgrades!$T$13="Brown Dwarf",POWER(Upgrades!$U$13,E162),1)*IF(Upgrades!$T$14="Brown Dwarf",POWER(Upgrades!$U$14,F162),1)*IF(Upgrades!$T$15="Brown Dwarf",POWER(Upgrades!$U$15,G162),1)*IF(Upgrades!$T$16="Brown Dwarf",POWER(Upgrades!$U$16,H162),1)*IF(Upgrades!$T$18="Brown Dwarf",POWER(Upgrades!$U$18,J162),1)*IF(Upgrades!$T$19="Brown Dwarf",POWER(Upgrades!$U$19,K162),1)*IF(Upgrades!$T$20="Brown Dwarf",POWER(Upgrades!$U$20,L162),1)*IF(Upgrades!$T$21="Brown Dwarf",POWER(Upgrades!$U$21,M162),1))*POWER(Upgrades!$P$13,E162)*POWER(Upgrades!$P$14,F162)*POWER(Upgrades!$P$15,G162)*POWER(Upgrades!$P$16,H162)*POWER(Upgrades!$P$17,I162)*POWER(Upgrades!$P$18,J162)*POWER(Upgrades!$P$19,K162)*POWER(Upgrades!$P$20,L162)*POWER(Upgrades!$P$21,M162)*$F$6*60</f>
        <v/>
      </c>
      <c r="AF162" s="27" t="n">
        <v>0</v>
      </c>
      <c r="AG162" s="27" t="n">
        <v>0</v>
      </c>
      <c r="AH162" s="27" t="n">
        <v>0</v>
      </c>
      <c r="AI162" s="27">
        <f>(IF(M162=0,0,(Upgrades!$G$21+M162*Upgrades!$H$21)*POWER(Upgrades!$I$21,M162)))*(IF(Upgrades!$T$13="Moving Group",POWER(Upgrades!$U$13,E162),1)*IF(Upgrades!$T$14="Moving Group",POWER(Upgrades!$U$14,F162),1)*IF(Upgrades!$T$15="Moving Group",POWER(Upgrades!$U$15,G162),1)*IF(Upgrades!$T$16="Moving Group",POWER(Upgrades!$U$16,H162),1)*IF(Upgrades!$T$17="Moving Group",POWER(Upgrades!$U$17,I162),1)*IF(Upgrades!$T$18="Moving Group",POWER(Upgrades!$U$18,J162),1)*IF(Upgrades!$T$19="Moving Group",POWER(Upgrades!$U$19,K162),1)*IF(Upgrades!$T$20="Moving Group",POWER(Upgrades!$U$20,L162),1))*POWER(Upgrades!$P$13,E162)*POWER(Upgrades!$P$14,F162)*POWER(Upgrades!$P$15,G162)*POWER(Upgrades!$P$16,H162)*POWER(Upgrades!$P$17,I162)*POWER(Upgrades!$P$18,J162)*POWER(Upgrades!$P$19,K162)*POWER(Upgrades!$P$20,L162)*POWER(Upgrades!$P$21,M162)*$F$6*60</f>
        <v/>
      </c>
      <c r="AJ162" s="27">
        <f>$C$6*60</f>
        <v/>
      </c>
      <c r="AK162" s="22">
        <f>IF(E162&gt;=Upgrades!$E$13,"",Upgrades!$C$13*POWER(Upgrades!$D$13,E162))</f>
        <v/>
      </c>
      <c r="AL162" s="22">
        <f>IF(F162&gt;=Upgrades!$E$14,"",Upgrades!$C$14*POWER(Upgrades!$D$14,F162))</f>
        <v/>
      </c>
      <c r="AM162" s="22">
        <f>IF(G162&gt;=Upgrades!$E$15,"",Upgrades!$C$15*POWER(Upgrades!$D$15,G162))</f>
        <v/>
      </c>
      <c r="AN162" s="22">
        <f>IF(H162&gt;=Upgrades!$E$16,"",Upgrades!$C$16*POWER(Upgrades!$D$16,H162))</f>
        <v/>
      </c>
      <c r="AO162" s="22">
        <f>IF(I162&gt;=Upgrades!$E$17,"",Upgrades!$C$17*POWER(Upgrades!$D$17,I162))</f>
        <v/>
      </c>
      <c r="AP162" s="22">
        <f>IF(J162&gt;=Upgrades!$E$18,"",Upgrades!$C$18*POWER(Upgrades!$D$18,J162))</f>
        <v/>
      </c>
      <c r="AQ162" s="22">
        <f>IF(K162&gt;=Upgrades!$E$19,"",Upgrades!$C$19*POWER(Upgrades!$D$19,K162))</f>
        <v/>
      </c>
      <c r="AR162" s="22">
        <f>IF(L162&gt;=Upgrades!$E$20,"",Upgrades!$C$20*POWER(Upgrades!$D$20,L162))</f>
        <v/>
      </c>
      <c r="AS162" s="22">
        <f>IF(M162&gt;=Upgrades!$E$21,"",Upgrades!$C$21*POWER(Upgrades!$D$21,M162))</f>
        <v/>
      </c>
      <c r="AT162" s="26">
        <f>IF(AND(D162&gt;=Parameters!$B$18*Parameters!$B$19,(I162&gt;=Upgrades!$E$17)*(M162&gt;=Upgrades!$E$21)=1,N162=0),1,"")</f>
        <v/>
      </c>
      <c r="AU162" s="26">
        <f>IF(AND(D162&gt;=Parameters!$B$18*Parameters!$B$19,N162=0),1,"")</f>
        <v/>
      </c>
      <c r="AV162" s="22">
        <f>MIN(IF(ISNUMBER(AP162),AP162,9E15),IF(ISNUMBER(AQ162),AQ162,9E15),IF(ISNUMBER(AR162),AR162,9E15),IF(ISNUMBER(AS162),AS162,9E15))</f>
        <v/>
      </c>
      <c r="AW162" s="22">
        <f>MIN(IF(ISNUMBER(AK162),AK162,9E15),IF(ISNUMBER(AL162),AL162,9E15),IF(ISNUMBER(AM162),AM162,9E15),IF(ISNUMBER(AN162),AN162,9E15),IF(ISNUMBER(AO162),AO162,9E15))</f>
        <v/>
      </c>
      <c r="AX162" s="29">
        <f>IF(BD162&gt;Parameters!$B$21*(MAX(IF(AND(NOT(AND(AU162=1,AT162&lt;&gt;1)),ISNUMBER(AK162),AK162&lt;=(C162+T162)),AY162,0),IF(AND(NOT(AND(AU162=1,AT162&lt;&gt;1)),ISNUMBER(AL162),AL162&lt;=(C162+T162)),AZ162,0),IF(AND(NOT(AND(AU162=1,AT162&lt;&gt;1)),ISNUMBER(AM162),AM162&lt;=(C162+T162)),BA162,0),IF(AND(NOT(AND(AU162=1,AT162&lt;&gt;1)),ISNUMBER(AN162),AN162&lt;=(C162+T162)),BB162,0),IF(AND(ISNUMBER(AO162),AO162&lt;=(C162+T162)),BC162,0))),TRUE,FALSE)</f>
        <v/>
      </c>
      <c r="AY162" s="32">
        <f>IFERROR(Upgrades!$H$13*(POWER(Upgrades!$P$13,E162)*POWER(Upgrades!$P$14,F162)*POWER(Upgrades!$P$15,G162)*POWER(Upgrades!$P$16,H162)*POWER(Upgrades!$P$17,I162)*POWER(Upgrades!$P$18,J162)*POWER(Upgrades!$P$19,K162)*POWER(Upgrades!$P$20,L162)*POWER(Upgrades!$P$21,M162))*(IF(Upgrades!$T$14="Stellar Kinematics",POWER(Upgrades!$U$14,F162),1)*IF(Upgrades!$T$15="Stellar Kinematics",POWER(Upgrades!$U$15,G162),1)*IF(Upgrades!$T$16="Stellar Kinematics",POWER(Upgrades!$U$16,H162),1)*IF(Upgrades!$T$17="Stellar Kinematics",POWER(Upgrades!$U$17,I162),1)*IF(Upgrades!$T$18="Stellar Kinematics",POWER(Upgrades!$U$18,J162),1)*IF(Upgrades!$T$19="Stellar Kinematics",POWER(Upgrades!$U$19,K162),1)*IF(Upgrades!$T$20="Stellar Kinematics",POWER(Upgrades!$U$20,L162),1)*IF(Upgrades!$T$21="Stellar Kinematics",POWER(Upgrades!$U$21,M162),1))*$F$6/AK162,0)</f>
        <v/>
      </c>
      <c r="AZ162" s="32">
        <f>IFERROR(Upgrades!$H$14*(POWER(Upgrades!$P$13,E162)*POWER(Upgrades!$P$14,F162)*POWER(Upgrades!$P$15,G162)*POWER(Upgrades!$P$16,H162)*POWER(Upgrades!$P$17,I162)*POWER(Upgrades!$P$18,J162)*POWER(Upgrades!$P$19,K162)*POWER(Upgrades!$P$20,L162)*POWER(Upgrades!$P$21,M162))*(IF(Upgrades!$T$13="Local Bubble",POWER(Upgrades!$U$13,E162),1)*IF(Upgrades!$T$15="Local Bubble",POWER(Upgrades!$U$15,G162),1)*IF(Upgrades!$T$16="Local Bubble",POWER(Upgrades!$U$16,H162),1)*IF(Upgrades!$T$17="Local Bubble",POWER(Upgrades!$U$17,I162),1)*IF(Upgrades!$T$18="Local Bubble",POWER(Upgrades!$U$18,J162),1)*IF(Upgrades!$T$19="Local Bubble",POWER(Upgrades!$U$19,K162),1)*IF(Upgrades!$T$20="Local Bubble",POWER(Upgrades!$U$20,L162),1)*IF(Upgrades!$T$21="Local Bubble",POWER(Upgrades!$U$21,M162),1))*$F$6/AL162,0)</f>
        <v/>
      </c>
      <c r="BA162" s="32">
        <f>IFERROR(Upgrades!$K$15*(POWER(Upgrades!$Q$13,E162)*POWER(Upgrades!$Q$14,F162)*POWER(Upgrades!$Q$15,G162)*POWER(Upgrades!$Q$16,H162)*POWER(Upgrades!$Q$17,I162)*POWER(Upgrades!$Q$18,J162)*POWER(Upgrades!$Q$19,K162)*POWER(Upgrades!$Q$20,L162)*POWER(Upgrades!$Q$21,M162))*(IF(Upgrades!$T$13="Microlensing",POWER(Upgrades!$U$13,E162),1)*IF(Upgrades!$T$14="Microlensing",POWER(Upgrades!$U$14,F162),1)*IF(Upgrades!$T$16="Microlensing",POWER(Upgrades!$U$16,H162),1)*IF(Upgrades!$T$17="Microlensing",POWER(Upgrades!$U$17,I162),1)*IF(Upgrades!$T$18="Microlensing",POWER(Upgrades!$U$18,J162),1)*IF(Upgrades!$T$19="Microlensing",POWER(Upgrades!$U$19,K162),1)*IF(Upgrades!$T$20="Microlensing",POWER(Upgrades!$U$20,L162),1)*IF(Upgrades!$T$21="Microlensing",POWER(Upgrades!$U$21,M162),1))*$G$6*(Parameters!$B$10/60*Parameters!$B$11+Q162)/AM162,0)</f>
        <v/>
      </c>
      <c r="BB162" s="32">
        <f>IFERROR((Upgrades!$N$16*(POWER(Upgrades!$R$13,E162)*POWER(Upgrades!$R$14,F162)*POWER(Upgrades!$R$15,G162)*POWER(Upgrades!$R$16,H162)*POWER(Upgrades!$R$17,I162)*POWER(Upgrades!$R$18,J162)*POWER(Upgrades!$R$19,K162)*POWER(Upgrades!$R$20,L162)*POWER(Upgrades!$R$21,M162))*(IF(Upgrades!$T$13="Roche Lobe Overflow",POWER(Upgrades!$U$13,E162),1)*IF(Upgrades!$T$14="Roche Lobe Overflow",POWER(Upgrades!$U$14,F162),1)*IF(Upgrades!$T$15="Roche Lobe Overflow",POWER(Upgrades!$U$15,G162),1)*IF(Upgrades!$T$17="Roche Lobe Overflow",POWER(Upgrades!$U$17,I162),1)*IF(Upgrades!$T$18="Roche Lobe Overflow",POWER(Upgrades!$U$18,J162),1)*IF(Upgrades!$T$19="Roche Lobe Overflow",POWER(Upgrades!$U$19,K162),1)*IF(Upgrades!$T$20="Roche Lobe Overflow",POWER(Upgrades!$U$20,L162),1)*IF(Upgrades!$T$21="Roche Lobe Overflow",POWER(Upgrades!$U$21,M162),1))*$H$6*O162+((IF(F162=0,0,(Upgrades!$G$14+F162*Upgrades!$H$14)*POWER(Upgrades!$I$14,F162)))*(IF(Upgrades!$T$13="Local Bubble",POWER(Upgrades!$U$13,E162),1)*IF(Upgrades!$T$15="Local Bubble",POWER(Upgrades!$U$15,G162),1)*IF(Upgrades!$T$16="Local Bubble",POWER(Upgrades!$U$16,H162),1)*IF(Upgrades!$T$17="Local Bubble",POWER(Upgrades!$U$17,I162),1)*IF(Upgrades!$T$18="Local Bubble",POWER(Upgrades!$U$18,J162),1)*IF(Upgrades!$T$19="Local Bubble",POWER(Upgrades!$U$19,K162),1)*IF(Upgrades!$T$20="Local Bubble",POWER(Upgrades!$U$20,L162),1)*IF(Upgrades!$T$21="Local Bubble",POWER(Upgrades!$U$21,M162),1))*POWER(Upgrades!$P$13,E162)*POWER(Upgrades!$P$14,F162)*POWER(Upgrades!$P$15,G162)*POWER(Upgrades!$P$16,H162)*POWER(Upgrades!$P$17,I162)*POWER(Upgrades!$P$18,J162)*POWER(Upgrades!$P$19,K162)*POWER(Upgrades!$P$20,L162)*POWER(Upgrades!$P$21,M162)*$F$6)*0.05)/AN162,0)</f>
        <v/>
      </c>
      <c r="BC162" s="32">
        <f>IFERROR((Upgrades!$H$17*(POWER(Upgrades!$P$13,E162)*POWER(Upgrades!$P$14,F162)*POWER(Upgrades!$P$15,G162)*POWER(Upgrades!$P$16,H162)*POWER(Upgrades!$P$17,I162)*POWER(Upgrades!$P$18,J162)*POWER(Upgrades!$P$19,K162)*POWER(Upgrades!$P$20,L162)*POWER(Upgrades!$P$21,M162))*(IF(Upgrades!$T$13="Brown Dwarf",POWER(Upgrades!$U$13,E162),1)*IF(Upgrades!$T$14="Brown Dwarf",POWER(Upgrades!$U$14,F162),1)*IF(Upgrades!$T$15="Brown Dwarf",POWER(Upgrades!$U$15,G162),1)*IF(Upgrades!$T$16="Brown Dwarf",POWER(Upgrades!$U$16,H162),1)*IF(Upgrades!$T$18="Brown Dwarf",POWER(Upgrades!$U$18,J162),1)*IF(Upgrades!$T$19="Brown Dwarf",POWER(Upgrades!$U$19,K162),1)*IF(Upgrades!$T$20="Brown Dwarf",POWER(Upgrades!$U$20,L162),1)*IF(Upgrades!$T$21="Brown Dwarf",POWER(Upgrades!$U$21,M162),1))*$F$6+(((IF(H162=0,0,(Upgrades!$M$16+H162*Upgrades!$N$16)*POWER(Upgrades!$O$16,H162)))*(IF(Upgrades!$T$13="Roche Lobe Overflow",POWER(Upgrades!$U$13,E162),1)*IF(Upgrades!$T$14="Roche Lobe Overflow",POWER(Upgrades!$U$14,F162),1)*IF(Upgrades!$T$15="Roche Lobe Overflow",POWER(Upgrades!$U$15,G162),1)*IF(Upgrades!$T$17="Roche Lobe Overflow",POWER(Upgrades!$U$17,I162),1)*IF(Upgrades!$T$18="Roche Lobe Overflow",POWER(Upgrades!$U$18,J162),1)*IF(Upgrades!$T$19="Roche Lobe Overflow",POWER(Upgrades!$U$19,K162),1)*IF(Upgrades!$T$20="Roche Lobe Overflow",POWER(Upgrades!$U$20,L162),1)*IF(Upgrades!$T$21="Roche Lobe Overflow",POWER(Upgrades!$U$21,M162),1))*POWER(Upgrades!$R$13,E162)*POWER(Upgrades!$R$14,F162)*POWER(Upgrades!$R$15,G162)*POWER(Upgrades!$R$16,H162)*POWER(Upgrades!$R$17,I162)*POWER(Upgrades!$R$18,J162)*POWER(Upgrades!$R$19,K162)*POWER(Upgrades!$R$20,L162)*POWER(Upgrades!$R$21,M162)*$H$6)*O162)*0.10)/AO162,0)</f>
        <v/>
      </c>
      <c r="BD162" s="32">
        <f>MAX(IF(J162&gt;0,0,IFERROR(0.5*((IF(G162=0,0,(Upgrades!$J$15+G162*Upgrades!$K$15)*POWER(Upgrades!$L$15,G162)))*(IF(Upgrades!$T$13="Microlensing",POWER(Upgrades!$U$13,E162),1)*IF(Upgrades!$T$14="Microlensing",POWER(Upgrades!$U$14,F162),1)*IF(Upgrades!$T$16="Microlensing",POWER(Upgrades!$U$16,H162),1)*IF(Upgrades!$T$17="Microlensing",POWER(Upgrades!$U$17,I162),1)*IF(Upgrades!$T$18="Microlensing",POWER(Upgrades!$U$18,J162),1)*IF(Upgrades!$T$19="Microlensing",POWER(Upgrades!$U$19,K162),1)*IF(Upgrades!$T$20="Microlensing",POWER(Upgrades!$U$20,L162),1)*IF(Upgrades!$T$21="Microlensing",POWER(Upgrades!$U$21,M162),1))*(POWER(Upgrades!$Q$13,E162)*POWER(Upgrades!$Q$14,F162)*POWER(Upgrades!$Q$15,G162)*POWER(Upgrades!$Q$16,H162)*POWER(Upgrades!$Q$17,I162)*POWER(Upgrades!$Q$18,J162)*POWER(Upgrades!$Q$19,K162)*POWER(Upgrades!$Q$20,L162)*POWER(Upgrades!$Q$21,M162))*$G$6*(Parameters!$B$10/60*Parameters!$B$11+Q162))/Upgrades!$C$18,0)),IF(K162&gt;0,0,IFERROR(0.30*P162/Upgrades!$C$19,0)),IF(L162&gt;0,0,IFERROR(0.0001/Upgrades!$C$20,0)),IF(M162&gt;0,0,IFERROR((6.0*(POWER(Upgrades!$P$13,E162)*POWER(Upgrades!$P$14,F162)*POWER(Upgrades!$P$15,G162)*POWER(Upgrades!$P$16,H162)*POWER(Upgrades!$P$17,I162)*POWER(Upgrades!$P$18,J162)*POWER(Upgrades!$P$19,K162)*POWER(Upgrades!$P$20,L162)*POWER(Upgrades!$P$21,M162))*$F$6+0.20*O162*(Parameters!$B$10/60*Parameters!$B$11+Q162))/Upgrades!$C$21,0)),IF(AND(ISNUMBER(AK162),AK162&gt;(C162+T162)),AY162,0),IF(AND(ISNUMBER(AL162),AL162&gt;(C162+T162)),AZ162,0),IF(AND(ISNUMBER(AM162),AM162&gt;(C162+T162)),BA162,0),IF(AND(ISNUMBER(AN162),AN162&gt;(C162+T162)),BB162,0),IF(AND(ISNUMBER(AO162),AO162&gt;(C162+T162)),BC162,0))</f>
        <v/>
      </c>
      <c r="BE162" s="29">
        <f>IF(AT162=1,"transition",IF(MIN(IF(AND(J162=0,ISNUMBER(AP162),AP162&lt;=(C162+T162)),AP162,9E15),IF(AND(K162=0,ISNUMBER(AQ162),AQ162&lt;=(C162+T162)),AQ162,9E15),IF(AND(L162=0,ISNUMBER(AR162),AR162&lt;=(C162+T162)),AR162,9E15),IF(AND(M162=0,ISNUMBER(AS162),AS162&lt;=(C162+T162)),AS162,9E15))&lt;9E15,IF(AND(AND(J162=0,ISNUMBER(AP162),AP162&lt;=(C162+T162)),AP162=MIN(IF(AND(J162=0,ISNUMBER(AP162),AP162&lt;=(C162+T162)),AP162,9E15),IF(AND(K162=0,ISNUMBER(AQ162),AQ162&lt;=(C162+T162)),AQ162,9E15),IF(AND(L162=0,ISNUMBER(AR162),AR162&lt;=(C162+T162)),AR162,9E15),IF(AND(M162=0,ISNUMBER(AS162),AS162&lt;=(C162+T162)),AS162,9E15))),"BiP",IF(AND(AND(K162=0,ISNUMBER(AQ162),AQ162&lt;=(C162+T162)),AQ162=MIN(IF(AND(J162=0,ISNUMBER(AP162),AP162&lt;=(C162+T162)),AP162,9E15),IF(AND(K162=0,ISNUMBER(AQ162),AQ162&lt;=(C162+T162)),AQ162,9E15),IF(AND(L162=0,ISNUMBER(AR162),AR162&lt;=(C162+T162)),AR162,9E15),IF(AND(M162=0,ISNUMBER(AS162),AS162&lt;=(C162+T162)),AS162,9E15))),"PV",IF(AND(AND(L162=0,ISNUMBER(AR162),AR162&lt;=(C162+T162)),AR162=MIN(IF(AND(J162=0,ISNUMBER(AP162),AP162&lt;=(C162+T162)),AP162,9E15),IF(AND(K162=0,ISNUMBER(AQ162),AQ162&lt;=(C162+T162)),AQ162,9E15),IF(AND(L162=0,ISNUMBER(AR162),AR162&lt;=(C162+T162)),AR162,9E15),IF(AND(M162=0,ISNUMBER(AS162),AS162&lt;=(C162+T162)),AS162,9E15))),"OC","MG"))),IF(AX162=TRUE,"",IF(MAX(IF(AND(NOT(AND(AU162=1,AT162&lt;&gt;1)),ISNUMBER(AK162),AK162&lt;=(C162+T162)),AY162,0),IF(AND(NOT(AND(AU162=1,AT162&lt;&gt;1)),ISNUMBER(AL162),AL162&lt;=(C162+T162)),AZ162,0),IF(AND(NOT(AND(AU162=1,AT162&lt;&gt;1)),ISNUMBER(AM162),AM162&lt;=(C162+T162)),BA162,0),IF(AND(NOT(AND(AU162=1,AT162&lt;&gt;1)),ISNUMBER(AN162),AN162&lt;=(C162+T162)),BB162,0),IF(AND(ISNUMBER(AO162),AO162&lt;=(C162+T162)),BC162,0))&lt;=0,"",IF(AND(IF(AND(NOT(AND(AU162=1,AT162&lt;&gt;1)),ISNUMBER(AK162),AK162&lt;=(C162+T162)),AY162,0)&gt;0,IF(AND(NOT(AND(AU162=1,AT162&lt;&gt;1)),ISNUMBER(AK162),AK162&lt;=(C162+T162)),AY162,0)=MAX(IF(AND(NOT(AND(AU162=1,AT162&lt;&gt;1)),ISNUMBER(AK162),AK162&lt;=(C162+T162)),AY162,0),IF(AND(NOT(AND(AU162=1,AT162&lt;&gt;1)),ISNUMBER(AL162),AL162&lt;=(C162+T162)),AZ162,0),IF(AND(NOT(AND(AU162=1,AT162&lt;&gt;1)),ISNUMBER(AM162),AM162&lt;=(C162+T162)),BA162,0),IF(AND(NOT(AND(AU162=1,AT162&lt;&gt;1)),ISNUMBER(AN162),AN162&lt;=(C162+T162)),BB162,0),IF(AND(ISNUMBER(AO162),AO162&lt;=(C162+T162)),BC162,0))),"SK",IF(AND(IF(AND(NOT(AND(AU162=1,AT162&lt;&gt;1)),ISNUMBER(AL162),AL162&lt;=(C162+T162)),AZ162,0)&gt;0,IF(AND(NOT(AND(AU162=1,AT162&lt;&gt;1)),ISNUMBER(AL162),AL162&lt;=(C162+T162)),AZ162,0)=MAX(IF(AND(NOT(AND(AU162=1,AT162&lt;&gt;1)),ISNUMBER(AK162),AK162&lt;=(C162+T162)),AY162,0),IF(AND(NOT(AND(AU162=1,AT162&lt;&gt;1)),ISNUMBER(AL162),AL162&lt;=(C162+T162)),AZ162,0),IF(AND(NOT(AND(AU162=1,AT162&lt;&gt;1)),ISNUMBER(AM162),AM162&lt;=(C162+T162)),BA162,0),IF(AND(NOT(AND(AU162=1,AT162&lt;&gt;1)),ISNUMBER(AN162),AN162&lt;=(C162+T162)),BB162,0),IF(AND(ISNUMBER(AO162),AO162&lt;=(C162+T162)),BC162,0))),"LB",IF(AND(IF(AND(NOT(AND(AU162=1,AT162&lt;&gt;1)),ISNUMBER(AM162),AM162&lt;=(C162+T162)),BA162,0)&gt;0,IF(AND(NOT(AND(AU162=1,AT162&lt;&gt;1)),ISNUMBER(AM162),AM162&lt;=(C162+T162)),BA162,0)=MAX(IF(AND(NOT(AND(AU162=1,AT162&lt;&gt;1)),ISNUMBER(AK162),AK162&lt;=(C162+T162)),AY162,0),IF(AND(NOT(AND(AU162=1,AT162&lt;&gt;1)),ISNUMBER(AL162),AL162&lt;=(C162+T162)),AZ162,0),IF(AND(NOT(AND(AU162=1,AT162&lt;&gt;1)),ISNUMBER(AM162),AM162&lt;=(C162+T162)),BA162,0),IF(AND(NOT(AND(AU162=1,AT162&lt;&gt;1)),ISNUMBER(AN162),AN162&lt;=(C162+T162)),BB162,0),IF(AND(ISNUMBER(AO162),AO162&lt;=(C162+T162)),BC162,0))),"ML",IF(AND(IF(AND(NOT(AND(AU162=1,AT162&lt;&gt;1)),ISNUMBER(AN162),AN162&lt;=(C162+T162)),BB162,0)&gt;0,IF(AND(NOT(AND(AU162=1,AT162&lt;&gt;1)),ISNUMBER(AN162),AN162&lt;=(C162+T162)),BB162,0)=MAX(IF(AND(NOT(AND(AU162=1,AT162&lt;&gt;1)),ISNUMBER(AK162),AK162&lt;=(C162+T162)),AY162,0),IF(AND(NOT(AND(AU162=1,AT162&lt;&gt;1)),ISNUMBER(AL162),AL162&lt;=(C162+T162)),AZ162,0),IF(AND(NOT(AND(AU162=1,AT162&lt;&gt;1)),ISNUMBER(AM162),AM162&lt;=(C162+T162)),BA162,0),IF(AND(NOT(AND(AU162=1,AT162&lt;&gt;1)),ISNUMBER(AN162),AN162&lt;=(C162+T162)),BB162,0),IF(AND(ISNUMBER(AO162),AO162&lt;=(C162+T162)),BC162,0))),"RLO","BD"))))))))</f>
        <v/>
      </c>
    </row>
    <row r="163">
      <c r="A163" s="26" t="n">
        <v>152</v>
      </c>
      <c r="B163" s="27">
        <f>A163*10/60</f>
        <v/>
      </c>
      <c r="C163" s="22">
        <f>X162</f>
        <v/>
      </c>
      <c r="D163" s="27">
        <f>D162+W162</f>
        <v/>
      </c>
      <c r="E163" s="26">
        <f>E162+IF(U162="SK",1,0)</f>
        <v/>
      </c>
      <c r="F163" s="26">
        <f>F162+IF(U162="LB",1,0)</f>
        <v/>
      </c>
      <c r="G163" s="26">
        <f>G162+IF(U162="ML",1,0)</f>
        <v/>
      </c>
      <c r="H163" s="26">
        <f>H162+IF(U162="RLO",1,0)</f>
        <v/>
      </c>
      <c r="I163" s="26">
        <f>I162+IF(U162="BD",1,0)</f>
        <v/>
      </c>
      <c r="J163" s="26">
        <f>MAX(J162,IF(U162="BiP",1,0))</f>
        <v/>
      </c>
      <c r="K163" s="26">
        <f>MAX(K162,IF(U162="PV",1,0))</f>
        <v/>
      </c>
      <c r="L163" s="26">
        <f>MAX(L162,IF(U162="OC",1,0))</f>
        <v/>
      </c>
      <c r="M163" s="26">
        <f>MAX(M162,IF(U162="MG",1,0))</f>
        <v/>
      </c>
      <c r="N163" s="26">
        <f>MAX(N162,IF(U162="transition",1,0))</f>
        <v/>
      </c>
      <c r="O163" s="28">
        <f>(Parameters!$B$9+(IF(E163=0,0,(Upgrades!$J$13+E163*Upgrades!$K$13)*POWER(Upgrades!$L$13,E163)))*(IF(Upgrades!$T$14="Stellar Kinematics",POWER(Upgrades!$U$14,F163),1)*IF(Upgrades!$T$15="Stellar Kinematics",POWER(Upgrades!$U$15,G163),1)*IF(Upgrades!$T$16="Stellar Kinematics",POWER(Upgrades!$U$16,H163),1)*IF(Upgrades!$T$17="Stellar Kinematics",POWER(Upgrades!$U$17,I163),1)*IF(Upgrades!$T$18="Stellar Kinematics",POWER(Upgrades!$U$18,J163),1)*IF(Upgrades!$T$19="Stellar Kinematics",POWER(Upgrades!$U$19,K163),1)*IF(Upgrades!$T$20="Stellar Kinematics",POWER(Upgrades!$U$20,L163),1)*IF(Upgrades!$T$21="Stellar Kinematics",POWER(Upgrades!$U$21,M163),1))+(IF(F163=0,0,(Upgrades!$J$14+F163*Upgrades!$K$14)*POWER(Upgrades!$L$14,F163)))*(IF(Upgrades!$T$13="Local Bubble",POWER(Upgrades!$U$13,E163),1)*IF(Upgrades!$T$15="Local Bubble",POWER(Upgrades!$U$15,G163),1)*IF(Upgrades!$T$16="Local Bubble",POWER(Upgrades!$U$16,H163),1)*IF(Upgrades!$T$17="Local Bubble",POWER(Upgrades!$U$17,I163),1)*IF(Upgrades!$T$18="Local Bubble",POWER(Upgrades!$U$18,J163),1)*IF(Upgrades!$T$19="Local Bubble",POWER(Upgrades!$U$19,K163),1)*IF(Upgrades!$T$20="Local Bubble",POWER(Upgrades!$U$20,L163),1)*IF(Upgrades!$T$21="Local Bubble",POWER(Upgrades!$U$21,M163),1))+(IF(G163=0,0,(Upgrades!$J$15+G163*Upgrades!$K$15)*POWER(Upgrades!$L$15,G163)))*(IF(Upgrades!$T$13="Microlensing",POWER(Upgrades!$U$13,E163),1)*IF(Upgrades!$T$14="Microlensing",POWER(Upgrades!$U$14,F163),1)*IF(Upgrades!$T$16="Microlensing",POWER(Upgrades!$U$16,H163),1)*IF(Upgrades!$T$17="Microlensing",POWER(Upgrades!$U$17,I163),1)*IF(Upgrades!$T$18="Microlensing",POWER(Upgrades!$U$18,J163),1)*IF(Upgrades!$T$19="Microlensing",POWER(Upgrades!$U$19,K163),1)*IF(Upgrades!$T$20="Microlensing",POWER(Upgrades!$U$20,L163),1)*IF(Upgrades!$T$21="Microlensing",POWER(Upgrades!$U$21,M163),1))+(IF(H163=0,0,(Upgrades!$J$16+H163*Upgrades!$K$16)*POWER(Upgrades!$L$16,H163)))*(IF(Upgrades!$T$13="Roche Lobe Overflow",POWER(Upgrades!$U$13,E163),1)*IF(Upgrades!$T$14="Roche Lobe Overflow",POWER(Upgrades!$U$14,F163),1)*IF(Upgrades!$T$15="Roche Lobe Overflow",POWER(Upgrades!$U$15,G163),1)*IF(Upgrades!$T$17="Roche Lobe Overflow",POWER(Upgrades!$U$17,I163),1)*IF(Upgrades!$T$18="Roche Lobe Overflow",POWER(Upgrades!$U$18,J163),1)*IF(Upgrades!$T$19="Roche Lobe Overflow",POWER(Upgrades!$U$19,K163),1)*IF(Upgrades!$T$20="Roche Lobe Overflow",POWER(Upgrades!$U$20,L163),1)*IF(Upgrades!$T$21="Roche Lobe Overflow",POWER(Upgrades!$U$21,M163),1))+(IF(I163=0,0,(Upgrades!$J$17+I163*Upgrades!$K$17)*POWER(Upgrades!$L$17,I163)))*(IF(Upgrades!$T$13="Brown Dwarf",POWER(Upgrades!$U$13,E163),1)*IF(Upgrades!$T$14="Brown Dwarf",POWER(Upgrades!$U$14,F163),1)*IF(Upgrades!$T$15="Brown Dwarf",POWER(Upgrades!$U$15,G163),1)*IF(Upgrades!$T$16="Brown Dwarf",POWER(Upgrades!$U$16,H163),1)*IF(Upgrades!$T$18="Brown Dwarf",POWER(Upgrades!$U$18,J163),1)*IF(Upgrades!$T$19="Brown Dwarf",POWER(Upgrades!$U$19,K163),1)*IF(Upgrades!$T$20="Brown Dwarf",POWER(Upgrades!$U$20,L163),1)*IF(Upgrades!$T$21="Brown Dwarf",POWER(Upgrades!$U$21,M163),1))+(IF(J163=0,0,(Upgrades!$J$18+J163*Upgrades!$K$18)*POWER(Upgrades!$L$18,J163)))*(IF(Upgrades!$T$13="Binary Partner",POWER(Upgrades!$U$13,E163),1)*IF(Upgrades!$T$14="Binary Partner",POWER(Upgrades!$U$14,F163),1)*IF(Upgrades!$T$15="Binary Partner",POWER(Upgrades!$U$15,G163),1)*IF(Upgrades!$T$16="Binary Partner",POWER(Upgrades!$U$16,H163),1)*IF(Upgrades!$T$17="Binary Partner",POWER(Upgrades!$U$17,I163),1)*IF(Upgrades!$T$19="Binary Partner",POWER(Upgrades!$U$19,K163),1)*IF(Upgrades!$T$20="Binary Partner",POWER(Upgrades!$U$20,L163),1)*IF(Upgrades!$T$21="Binary Partner",POWER(Upgrades!$U$21,M163),1))+(IF(K163=0,0,(Upgrades!$J$19+K163*Upgrades!$K$19)*POWER(Upgrades!$L$19,K163)))*(IF(Upgrades!$T$13="Peculiar Velocity",POWER(Upgrades!$U$13,E163),1)*IF(Upgrades!$T$14="Peculiar Velocity",POWER(Upgrades!$U$14,F163),1)*IF(Upgrades!$T$15="Peculiar Velocity",POWER(Upgrades!$U$15,G163),1)*IF(Upgrades!$T$16="Peculiar Velocity",POWER(Upgrades!$U$16,H163),1)*IF(Upgrades!$T$17="Peculiar Velocity",POWER(Upgrades!$U$17,I163),1)*IF(Upgrades!$T$18="Peculiar Velocity",POWER(Upgrades!$U$18,J163),1)*IF(Upgrades!$T$20="Peculiar Velocity",POWER(Upgrades!$U$20,L163),1)*IF(Upgrades!$T$21="Peculiar Velocity",POWER(Upgrades!$U$21,M163),1))+(IF(L163=0,0,(Upgrades!$J$20+L163*Upgrades!$K$20)*POWER(Upgrades!$L$20,L163)))*(IF(Upgrades!$T$13="Open Cluster",POWER(Upgrades!$U$13,E163),1)*IF(Upgrades!$T$14="Open Cluster",POWER(Upgrades!$U$14,F163),1)*IF(Upgrades!$T$15="Open Cluster",POWER(Upgrades!$U$15,G163),1)*IF(Upgrades!$T$16="Open Cluster",POWER(Upgrades!$U$16,H163),1)*IF(Upgrades!$T$17="Open Cluster",POWER(Upgrades!$U$17,I163),1)*IF(Upgrades!$T$18="Open Cluster",POWER(Upgrades!$U$18,J163),1)*IF(Upgrades!$T$19="Open Cluster",POWER(Upgrades!$U$19,K163),1)*IF(Upgrades!$T$21="Open Cluster",POWER(Upgrades!$U$21,M163),1))+(IF(M163=0,0,(Upgrades!$J$21+M163*Upgrades!$K$21)*POWER(Upgrades!$L$21,M163)))*(IF(Upgrades!$T$13="Moving Group",POWER(Upgrades!$U$13,E163),1)*IF(Upgrades!$T$14="Moving Group",POWER(Upgrades!$U$14,F163),1)*IF(Upgrades!$T$15="Moving Group",POWER(Upgrades!$U$15,G163),1)*IF(Upgrades!$T$16="Moving Group",POWER(Upgrades!$U$16,H163),1)*IF(Upgrades!$T$17="Moving Group",POWER(Upgrades!$U$17,I163),1)*IF(Upgrades!$T$18="Moving Group",POWER(Upgrades!$U$18,J163),1)*IF(Upgrades!$T$19="Moving Group",POWER(Upgrades!$U$19,K163),1)*IF(Upgrades!$T$20="Moving Group",POWER(Upgrades!$U$20,L163),1)))*POWER(Upgrades!$Q$13,E163)*POWER(Upgrades!$Q$14,F163)*POWER(Upgrades!$Q$15,G163)*POWER(Upgrades!$Q$16,H163)*POWER(Upgrades!$Q$17,I163)*POWER(Upgrades!$Q$18,J163)*POWER(Upgrades!$Q$19,K163)*POWER(Upgrades!$Q$20,L163)*POWER(Upgrades!$Q$21,M163)*$G$6+$D$6</f>
        <v/>
      </c>
      <c r="P163" s="28">
        <f>((IF(E163=0,0,(Upgrades!$G$13+E163*Upgrades!$H$13)*POWER(Upgrades!$I$13,E163)))*(IF(Upgrades!$T$14="Stellar Kinematics",POWER(Upgrades!$U$14,F163),1)*IF(Upgrades!$T$15="Stellar Kinematics",POWER(Upgrades!$U$15,G163),1)*IF(Upgrades!$T$16="Stellar Kinematics",POWER(Upgrades!$U$16,H163),1)*IF(Upgrades!$T$17="Stellar Kinematics",POWER(Upgrades!$U$17,I163),1)*IF(Upgrades!$T$18="Stellar Kinematics",POWER(Upgrades!$U$18,J163),1)*IF(Upgrades!$T$19="Stellar Kinematics",POWER(Upgrades!$U$19,K163),1)*IF(Upgrades!$T$20="Stellar Kinematics",POWER(Upgrades!$U$20,L163),1)*IF(Upgrades!$T$21="Stellar Kinematics",POWER(Upgrades!$U$21,M163),1))+(IF(F163=0,0,(Upgrades!$G$14+F163*Upgrades!$H$14)*POWER(Upgrades!$I$14,F163)))*(IF(Upgrades!$T$13="Local Bubble",POWER(Upgrades!$U$13,E163),1)*IF(Upgrades!$T$15="Local Bubble",POWER(Upgrades!$U$15,G163),1)*IF(Upgrades!$T$16="Local Bubble",POWER(Upgrades!$U$16,H163),1)*IF(Upgrades!$T$17="Local Bubble",POWER(Upgrades!$U$17,I163),1)*IF(Upgrades!$T$18="Local Bubble",POWER(Upgrades!$U$18,J163),1)*IF(Upgrades!$T$19="Local Bubble",POWER(Upgrades!$U$19,K163),1)*IF(Upgrades!$T$20="Local Bubble",POWER(Upgrades!$U$20,L163),1)*IF(Upgrades!$T$21="Local Bubble",POWER(Upgrades!$U$21,M163),1))+(IF(G163=0,0,(Upgrades!$G$15+G163*Upgrades!$H$15)*POWER(Upgrades!$I$15,G163)))*(IF(Upgrades!$T$13="Microlensing",POWER(Upgrades!$U$13,E163),1)*IF(Upgrades!$T$14="Microlensing",POWER(Upgrades!$U$14,F163),1)*IF(Upgrades!$T$16="Microlensing",POWER(Upgrades!$U$16,H163),1)*IF(Upgrades!$T$17="Microlensing",POWER(Upgrades!$U$17,I163),1)*IF(Upgrades!$T$18="Microlensing",POWER(Upgrades!$U$18,J163),1)*IF(Upgrades!$T$19="Microlensing",POWER(Upgrades!$U$19,K163),1)*IF(Upgrades!$T$20="Microlensing",POWER(Upgrades!$U$20,L163),1)*IF(Upgrades!$T$21="Microlensing",POWER(Upgrades!$U$21,M163),1))+(IF(H163=0,0,(Upgrades!$G$16+H163*Upgrades!$H$16)*POWER(Upgrades!$I$16,H163)))*(IF(Upgrades!$T$13="Roche Lobe Overflow",POWER(Upgrades!$U$13,E163),1)*IF(Upgrades!$T$14="Roche Lobe Overflow",POWER(Upgrades!$U$14,F163),1)*IF(Upgrades!$T$15="Roche Lobe Overflow",POWER(Upgrades!$U$15,G163),1)*IF(Upgrades!$T$17="Roche Lobe Overflow",POWER(Upgrades!$U$17,I163),1)*IF(Upgrades!$T$18="Roche Lobe Overflow",POWER(Upgrades!$U$18,J163),1)*IF(Upgrades!$T$19="Roche Lobe Overflow",POWER(Upgrades!$U$19,K163),1)*IF(Upgrades!$T$20="Roche Lobe Overflow",POWER(Upgrades!$U$20,L163),1)*IF(Upgrades!$T$21="Roche Lobe Overflow",POWER(Upgrades!$U$21,M163),1))+(IF(I163=0,0,(Upgrades!$G$17+I163*Upgrades!$H$17)*POWER(Upgrades!$I$17,I163)))*(IF(Upgrades!$T$13="Brown Dwarf",POWER(Upgrades!$U$13,E163),1)*IF(Upgrades!$T$14="Brown Dwarf",POWER(Upgrades!$U$14,F163),1)*IF(Upgrades!$T$15="Brown Dwarf",POWER(Upgrades!$U$15,G163),1)*IF(Upgrades!$T$16="Brown Dwarf",POWER(Upgrades!$U$16,H163),1)*IF(Upgrades!$T$18="Brown Dwarf",POWER(Upgrades!$U$18,J163),1)*IF(Upgrades!$T$19="Brown Dwarf",POWER(Upgrades!$U$19,K163),1)*IF(Upgrades!$T$20="Brown Dwarf",POWER(Upgrades!$U$20,L163),1)*IF(Upgrades!$T$21="Brown Dwarf",POWER(Upgrades!$U$21,M163),1))+(IF(J163=0,0,(Upgrades!$G$18+J163*Upgrades!$H$18)*POWER(Upgrades!$I$18,J163)))*(IF(Upgrades!$T$13="Binary Partner",POWER(Upgrades!$U$13,E163),1)*IF(Upgrades!$T$14="Binary Partner",POWER(Upgrades!$U$14,F163),1)*IF(Upgrades!$T$15="Binary Partner",POWER(Upgrades!$U$15,G163),1)*IF(Upgrades!$T$16="Binary Partner",POWER(Upgrades!$U$16,H163),1)*IF(Upgrades!$T$17="Binary Partner",POWER(Upgrades!$U$17,I163),1)*IF(Upgrades!$T$19="Binary Partner",POWER(Upgrades!$U$19,K163),1)*IF(Upgrades!$T$20="Binary Partner",POWER(Upgrades!$U$20,L163),1)*IF(Upgrades!$T$21="Binary Partner",POWER(Upgrades!$U$21,M163),1))+(IF(K163=0,0,(Upgrades!$G$19+K163*Upgrades!$H$19)*POWER(Upgrades!$I$19,K163)))*(IF(Upgrades!$T$13="Peculiar Velocity",POWER(Upgrades!$U$13,E163),1)*IF(Upgrades!$T$14="Peculiar Velocity",POWER(Upgrades!$U$14,F163),1)*IF(Upgrades!$T$15="Peculiar Velocity",POWER(Upgrades!$U$15,G163),1)*IF(Upgrades!$T$16="Peculiar Velocity",POWER(Upgrades!$U$16,H163),1)*IF(Upgrades!$T$17="Peculiar Velocity",POWER(Upgrades!$U$17,I163),1)*IF(Upgrades!$T$18="Peculiar Velocity",POWER(Upgrades!$U$18,J163),1)*IF(Upgrades!$T$20="Peculiar Velocity",POWER(Upgrades!$U$20,L163),1)*IF(Upgrades!$T$21="Peculiar Velocity",POWER(Upgrades!$U$21,M163),1))+(IF(L163=0,0,(Upgrades!$G$20+L163*Upgrades!$H$20)*POWER(Upgrades!$I$20,L163)))*(IF(Upgrades!$T$13="Open Cluster",POWER(Upgrades!$U$13,E163),1)*IF(Upgrades!$T$14="Open Cluster",POWER(Upgrades!$U$14,F163),1)*IF(Upgrades!$T$15="Open Cluster",POWER(Upgrades!$U$15,G163),1)*IF(Upgrades!$T$16="Open Cluster",POWER(Upgrades!$U$16,H163),1)*IF(Upgrades!$T$17="Open Cluster",POWER(Upgrades!$U$17,I163),1)*IF(Upgrades!$T$18="Open Cluster",POWER(Upgrades!$U$18,J163),1)*IF(Upgrades!$T$19="Open Cluster",POWER(Upgrades!$U$19,K163),1)*IF(Upgrades!$T$21="Open Cluster",POWER(Upgrades!$U$21,M163),1))+(IF(M163=0,0,(Upgrades!$G$21+M163*Upgrades!$H$21)*POWER(Upgrades!$I$21,M163)))*(IF(Upgrades!$T$13="Moving Group",POWER(Upgrades!$U$13,E163),1)*IF(Upgrades!$T$14="Moving Group",POWER(Upgrades!$U$14,F163),1)*IF(Upgrades!$T$15="Moving Group",POWER(Upgrades!$U$15,G163),1)*IF(Upgrades!$T$16="Moving Group",POWER(Upgrades!$U$16,H163),1)*IF(Upgrades!$T$17="Moving Group",POWER(Upgrades!$U$17,I163),1)*IF(Upgrades!$T$18="Moving Group",POWER(Upgrades!$U$18,J163),1)*IF(Upgrades!$T$19="Moving Group",POWER(Upgrades!$U$19,K163),1)*IF(Upgrades!$T$20="Moving Group",POWER(Upgrades!$U$20,L163),1)))*POWER(Upgrades!$P$13,E163)*POWER(Upgrades!$P$14,F163)*POWER(Upgrades!$P$15,G163)*POWER(Upgrades!$P$16,H163)*POWER(Upgrades!$P$17,I163)*POWER(Upgrades!$P$18,J163)*POWER(Upgrades!$P$19,K163)*POWER(Upgrades!$P$20,L163)*POWER(Upgrades!$P$21,M163)*$F$6+$C$6</f>
        <v/>
      </c>
      <c r="Q163" s="28">
        <f>((IF(E163=0,0,(Upgrades!$M$13+E163*Upgrades!$N$13)*POWER(Upgrades!$O$13,E163)))*(IF(Upgrades!$T$14="Stellar Kinematics",POWER(Upgrades!$U$14,F163),1)*IF(Upgrades!$T$15="Stellar Kinematics",POWER(Upgrades!$U$15,G163),1)*IF(Upgrades!$T$16="Stellar Kinematics",POWER(Upgrades!$U$16,H163),1)*IF(Upgrades!$T$17="Stellar Kinematics",POWER(Upgrades!$U$17,I163),1)*IF(Upgrades!$T$18="Stellar Kinematics",POWER(Upgrades!$U$18,J163),1)*IF(Upgrades!$T$19="Stellar Kinematics",POWER(Upgrades!$U$19,K163),1)*IF(Upgrades!$T$20="Stellar Kinematics",POWER(Upgrades!$U$20,L163),1)*IF(Upgrades!$T$21="Stellar Kinematics",POWER(Upgrades!$U$21,M163),1))+(IF(F163=0,0,(Upgrades!$M$14+F163*Upgrades!$N$14)*POWER(Upgrades!$O$14,F163)))*(IF(Upgrades!$T$13="Local Bubble",POWER(Upgrades!$U$13,E163),1)*IF(Upgrades!$T$15="Local Bubble",POWER(Upgrades!$U$15,G163),1)*IF(Upgrades!$T$16="Local Bubble",POWER(Upgrades!$U$16,H163),1)*IF(Upgrades!$T$17="Local Bubble",POWER(Upgrades!$U$17,I163),1)*IF(Upgrades!$T$18="Local Bubble",POWER(Upgrades!$U$18,J163),1)*IF(Upgrades!$T$19="Local Bubble",POWER(Upgrades!$U$19,K163),1)*IF(Upgrades!$T$20="Local Bubble",POWER(Upgrades!$U$20,L163),1)*IF(Upgrades!$T$21="Local Bubble",POWER(Upgrades!$U$21,M163),1))+(IF(G163=0,0,(Upgrades!$M$15+G163*Upgrades!$N$15)*POWER(Upgrades!$O$15,G163)))*(IF(Upgrades!$T$13="Microlensing",POWER(Upgrades!$U$13,E163),1)*IF(Upgrades!$T$14="Microlensing",POWER(Upgrades!$U$14,F163),1)*IF(Upgrades!$T$16="Microlensing",POWER(Upgrades!$U$16,H163),1)*IF(Upgrades!$T$17="Microlensing",POWER(Upgrades!$U$17,I163),1)*IF(Upgrades!$T$18="Microlensing",POWER(Upgrades!$U$18,J163),1)*IF(Upgrades!$T$19="Microlensing",POWER(Upgrades!$U$19,K163),1)*IF(Upgrades!$T$20="Microlensing",POWER(Upgrades!$U$20,L163),1)*IF(Upgrades!$T$21="Microlensing",POWER(Upgrades!$U$21,M163),1))+(IF(H163=0,0,(Upgrades!$M$16+H163*Upgrades!$N$16)*POWER(Upgrades!$O$16,H163)))*(IF(Upgrades!$T$13="Roche Lobe Overflow",POWER(Upgrades!$U$13,E163),1)*IF(Upgrades!$T$14="Roche Lobe Overflow",POWER(Upgrades!$U$14,F163),1)*IF(Upgrades!$T$15="Roche Lobe Overflow",POWER(Upgrades!$U$15,G163),1)*IF(Upgrades!$T$17="Roche Lobe Overflow",POWER(Upgrades!$U$17,I163),1)*IF(Upgrades!$T$18="Roche Lobe Overflow",POWER(Upgrades!$U$18,J163),1)*IF(Upgrades!$T$19="Roche Lobe Overflow",POWER(Upgrades!$U$19,K163),1)*IF(Upgrades!$T$20="Roche Lobe Overflow",POWER(Upgrades!$U$20,L163),1)*IF(Upgrades!$T$21="Roche Lobe Overflow",POWER(Upgrades!$U$21,M163),1))+(IF(I163=0,0,(Upgrades!$M$17+I163*Upgrades!$N$17)*POWER(Upgrades!$O$17,I163)))*(IF(Upgrades!$T$13="Brown Dwarf",POWER(Upgrades!$U$13,E163),1)*IF(Upgrades!$T$14="Brown Dwarf",POWER(Upgrades!$U$14,F163),1)*IF(Upgrades!$T$15="Brown Dwarf",POWER(Upgrades!$U$15,G163),1)*IF(Upgrades!$T$16="Brown Dwarf",POWER(Upgrades!$U$16,H163),1)*IF(Upgrades!$T$18="Brown Dwarf",POWER(Upgrades!$U$18,J163),1)*IF(Upgrades!$T$19="Brown Dwarf",POWER(Upgrades!$U$19,K163),1)*IF(Upgrades!$T$20="Brown Dwarf",POWER(Upgrades!$U$20,L163),1)*IF(Upgrades!$T$21="Brown Dwarf",POWER(Upgrades!$U$21,M163),1))+(IF(J163=0,0,(Upgrades!$M$18+J163*Upgrades!$N$18)*POWER(Upgrades!$O$18,J163)))*(IF(Upgrades!$T$13="Binary Partner",POWER(Upgrades!$U$13,E163),1)*IF(Upgrades!$T$14="Binary Partner",POWER(Upgrades!$U$14,F163),1)*IF(Upgrades!$T$15="Binary Partner",POWER(Upgrades!$U$15,G163),1)*IF(Upgrades!$T$16="Binary Partner",POWER(Upgrades!$U$16,H163),1)*IF(Upgrades!$T$17="Binary Partner",POWER(Upgrades!$U$17,I163),1)*IF(Upgrades!$T$19="Binary Partner",POWER(Upgrades!$U$19,K163),1)*IF(Upgrades!$T$20="Binary Partner",POWER(Upgrades!$U$20,L163),1)*IF(Upgrades!$T$21="Binary Partner",POWER(Upgrades!$U$21,M163),1))+(IF(K163=0,0,(Upgrades!$M$19+K163*Upgrades!$N$19)*POWER(Upgrades!$O$19,K163)))*(IF(Upgrades!$T$13="Peculiar Velocity",POWER(Upgrades!$U$13,E163),1)*IF(Upgrades!$T$14="Peculiar Velocity",POWER(Upgrades!$U$14,F163),1)*IF(Upgrades!$T$15="Peculiar Velocity",POWER(Upgrades!$U$15,G163),1)*IF(Upgrades!$T$16="Peculiar Velocity",POWER(Upgrades!$U$16,H163),1)*IF(Upgrades!$T$17="Peculiar Velocity",POWER(Upgrades!$U$17,I163),1)*IF(Upgrades!$T$18="Peculiar Velocity",POWER(Upgrades!$U$18,J163),1)*IF(Upgrades!$T$20="Peculiar Velocity",POWER(Upgrades!$U$20,L163),1)*IF(Upgrades!$T$21="Peculiar Velocity",POWER(Upgrades!$U$21,M163),1))+(IF(L163=0,0,(Upgrades!$M$20+L163*Upgrades!$N$20)*POWER(Upgrades!$O$20,L163)))*(IF(Upgrades!$T$13="Open Cluster",POWER(Upgrades!$U$13,E163),1)*IF(Upgrades!$T$14="Open Cluster",POWER(Upgrades!$U$14,F163),1)*IF(Upgrades!$T$15="Open Cluster",POWER(Upgrades!$U$15,G163),1)*IF(Upgrades!$T$16="Open Cluster",POWER(Upgrades!$U$16,H163),1)*IF(Upgrades!$T$17="Open Cluster",POWER(Upgrades!$U$17,I163),1)*IF(Upgrades!$T$18="Open Cluster",POWER(Upgrades!$U$18,J163),1)*IF(Upgrades!$T$19="Open Cluster",POWER(Upgrades!$U$19,K163),1)*IF(Upgrades!$T$21="Open Cluster",POWER(Upgrades!$U$21,M163),1))+(IF(M163=0,0,(Upgrades!$M$21+M163*Upgrades!$N$21)*POWER(Upgrades!$O$21,M163)))*(IF(Upgrades!$T$13="Moving Group",POWER(Upgrades!$U$13,E163),1)*IF(Upgrades!$T$14="Moving Group",POWER(Upgrades!$U$14,F163),1)*IF(Upgrades!$T$15="Moving Group",POWER(Upgrades!$U$15,G163),1)*IF(Upgrades!$T$16="Moving Group",POWER(Upgrades!$U$16,H163),1)*IF(Upgrades!$T$17="Moving Group",POWER(Upgrades!$U$17,I163),1)*IF(Upgrades!$T$18="Moving Group",POWER(Upgrades!$U$18,J163),1)*IF(Upgrades!$T$19="Moving Group",POWER(Upgrades!$U$19,K163),1)*IF(Upgrades!$T$20="Moving Group",POWER(Upgrades!$U$20,L163),1)))*POWER(Upgrades!$R$13,E163)*POWER(Upgrades!$R$14,F163)*POWER(Upgrades!$R$15,G163)*POWER(Upgrades!$R$16,H163)*POWER(Upgrades!$R$17,I163)*POWER(Upgrades!$R$18,J163)*POWER(Upgrades!$R$19,K163)*POWER(Upgrades!$R$20,L163)*POWER(Upgrades!$R$21,M163)*$H$6+$E$6</f>
        <v/>
      </c>
      <c r="R163" s="27">
        <f>IF(N163=1,0,O163*Parameters!$B$10/60*Parameters!$B$11*10)</f>
        <v/>
      </c>
      <c r="S163" s="27">
        <f>IF(N163=1,0,Q163*O163*10)</f>
        <v/>
      </c>
      <c r="T163" s="27">
        <f>IF(N163=1,0,R163+S163+P163*10)</f>
        <v/>
      </c>
      <c r="U163" s="33">
        <f>BE163</f>
        <v/>
      </c>
      <c r="V163" s="22">
        <f>IF(U163="",0,IF(U163="transition",0,IF(U163="SK",AK163,IF(U163="LB",AL163,IF(U163="ML",AM163,IF(U163="RLO",AN163,IF(U163="BD",AO163,IF(U163="BiP",AP163,IF(U163="PV",AQ163,IF(U163="OC",AR163,IF(U163="MG",AS163,0))))))))))</f>
        <v/>
      </c>
      <c r="W163" s="27">
        <f>IF(U163="BiP",Upgrades!$F$18,IF(U163="PV",Upgrades!$F$19,IF(U163="OC",Upgrades!$F$20,IF(U163="MG",Upgrades!$F$21,IF(U163="transition",-Parameters!$B$18*Parameters!$B$19,0)))))</f>
        <v/>
      </c>
      <c r="X163" s="22">
        <f>C163+T163-V163</f>
        <v/>
      </c>
      <c r="Y163" s="30">
        <f>O163*Parameters!$B$10/60*Parameters!$B$11+Q163*O163+P163</f>
        <v/>
      </c>
      <c r="Z163" s="34">
        <f>IF(U163="transition","→ Tier 3 (Galactic Arm)",IF(U163="MG","Moving Group — pocket drifts together",IF(U163="OC","Open Cluster acquired",IF(U163="PV","Peculiar Velocity — passive multiplier active",IF(U163="BiP","Binary Partner — pair bond formed",IF(AND(AU163=1,N163=0,AT163&lt;&gt;1),"Cohesion ready (waiting on completionists)","")))))) </f>
        <v/>
      </c>
      <c r="AA163" s="27">
        <f>(IF(E163=0,0,(Upgrades!$G$13+E163*Upgrades!$H$13)*POWER(Upgrades!$I$13,E163)))*(IF(Upgrades!$T$14="Stellar Kinematics",POWER(Upgrades!$U$14,F163),1)*IF(Upgrades!$T$15="Stellar Kinematics",POWER(Upgrades!$U$15,G163),1)*IF(Upgrades!$T$16="Stellar Kinematics",POWER(Upgrades!$U$16,H163),1)*IF(Upgrades!$T$17="Stellar Kinematics",POWER(Upgrades!$U$17,I163),1)*IF(Upgrades!$T$18="Stellar Kinematics",POWER(Upgrades!$U$18,J163),1)*IF(Upgrades!$T$19="Stellar Kinematics",POWER(Upgrades!$U$19,K163),1)*IF(Upgrades!$T$20="Stellar Kinematics",POWER(Upgrades!$U$20,L163),1)*IF(Upgrades!$T$21="Stellar Kinematics",POWER(Upgrades!$U$21,M163),1))*POWER(Upgrades!$P$13,E163)*POWER(Upgrades!$P$14,F163)*POWER(Upgrades!$P$15,G163)*POWER(Upgrades!$P$16,H163)*POWER(Upgrades!$P$17,I163)*POWER(Upgrades!$P$18,J163)*POWER(Upgrades!$P$19,K163)*POWER(Upgrades!$P$20,L163)*POWER(Upgrades!$P$21,M163)*$F$6*60</f>
        <v/>
      </c>
      <c r="AB163" s="27">
        <f>(IF(F163=0,0,(Upgrades!$G$14+F163*Upgrades!$H$14)*POWER(Upgrades!$I$14,F163)))*(IF(Upgrades!$T$13="Local Bubble",POWER(Upgrades!$U$13,E163),1)*IF(Upgrades!$T$15="Local Bubble",POWER(Upgrades!$U$15,G163),1)*IF(Upgrades!$T$16="Local Bubble",POWER(Upgrades!$U$16,H163),1)*IF(Upgrades!$T$17="Local Bubble",POWER(Upgrades!$U$17,I163),1)*IF(Upgrades!$T$18="Local Bubble",POWER(Upgrades!$U$18,J163),1)*IF(Upgrades!$T$19="Local Bubble",POWER(Upgrades!$U$19,K163),1)*IF(Upgrades!$T$20="Local Bubble",POWER(Upgrades!$U$20,L163),1)*IF(Upgrades!$T$21="Local Bubble",POWER(Upgrades!$U$21,M163),1))*POWER(Upgrades!$P$13,E163)*POWER(Upgrades!$P$14,F163)*POWER(Upgrades!$P$15,G163)*POWER(Upgrades!$P$16,H163)*POWER(Upgrades!$P$17,I163)*POWER(Upgrades!$P$18,J163)*POWER(Upgrades!$P$19,K163)*POWER(Upgrades!$P$20,L163)*POWER(Upgrades!$P$21,M163)*$F$6*60</f>
        <v/>
      </c>
      <c r="AC163" s="27">
        <f>(IF(G163=0,0,(Upgrades!$J$15+G163*Upgrades!$K$15)*POWER(Upgrades!$L$15,G163)))*(IF(Upgrades!$T$13="Microlensing",POWER(Upgrades!$U$13,E163),1)*IF(Upgrades!$T$14="Microlensing",POWER(Upgrades!$U$14,F163),1)*IF(Upgrades!$T$16="Microlensing",POWER(Upgrades!$U$16,H163),1)*IF(Upgrades!$T$17="Microlensing",POWER(Upgrades!$U$17,I163),1)*IF(Upgrades!$T$18="Microlensing",POWER(Upgrades!$U$18,J163),1)*IF(Upgrades!$T$19="Microlensing",POWER(Upgrades!$U$19,K163),1)*IF(Upgrades!$T$20="Microlensing",POWER(Upgrades!$U$20,L163),1)*IF(Upgrades!$T$21="Microlensing",POWER(Upgrades!$U$21,M163),1))*POWER(Upgrades!$Q$13,E163)*POWER(Upgrades!$Q$14,F163)*POWER(Upgrades!$Q$15,G163)*POWER(Upgrades!$Q$16,H163)*POWER(Upgrades!$Q$17,I163)*POWER(Upgrades!$Q$18,J163)*POWER(Upgrades!$Q$19,K163)*POWER(Upgrades!$Q$20,L163)*POWER(Upgrades!$Q$21,M163)*$G$6*(Parameters!$B$10*Parameters!$B$11+Q163*60)</f>
        <v/>
      </c>
      <c r="AD163" s="27">
        <f>(IF(H163=0,0,(Upgrades!$M$16+H163*Upgrades!$N$16)*POWER(Upgrades!$O$16,H163)))*(IF(Upgrades!$T$13="Roche Lobe Overflow",POWER(Upgrades!$U$13,E163),1)*IF(Upgrades!$T$14="Roche Lobe Overflow",POWER(Upgrades!$U$14,F163),1)*IF(Upgrades!$T$15="Roche Lobe Overflow",POWER(Upgrades!$U$15,G163),1)*IF(Upgrades!$T$17="Roche Lobe Overflow",POWER(Upgrades!$U$17,I163),1)*IF(Upgrades!$T$18="Roche Lobe Overflow",POWER(Upgrades!$U$18,J163),1)*IF(Upgrades!$T$19="Roche Lobe Overflow",POWER(Upgrades!$U$19,K163),1)*IF(Upgrades!$T$20="Roche Lobe Overflow",POWER(Upgrades!$U$20,L163),1)*IF(Upgrades!$T$21="Roche Lobe Overflow",POWER(Upgrades!$U$21,M163),1))*POWER(Upgrades!$R$13,E163)*POWER(Upgrades!$R$14,F163)*POWER(Upgrades!$R$15,G163)*POWER(Upgrades!$R$16,H163)*POWER(Upgrades!$R$17,I163)*POWER(Upgrades!$R$18,J163)*POWER(Upgrades!$R$19,K163)*POWER(Upgrades!$R$20,L163)*POWER(Upgrades!$R$21,M163)*$H$6*O163*60</f>
        <v/>
      </c>
      <c r="AE163" s="27">
        <f>(IF(I163=0,0,(Upgrades!$G$17+I163*Upgrades!$H$17)*POWER(Upgrades!$I$17,I163)))*(IF(Upgrades!$T$13="Brown Dwarf",POWER(Upgrades!$U$13,E163),1)*IF(Upgrades!$T$14="Brown Dwarf",POWER(Upgrades!$U$14,F163),1)*IF(Upgrades!$T$15="Brown Dwarf",POWER(Upgrades!$U$15,G163),1)*IF(Upgrades!$T$16="Brown Dwarf",POWER(Upgrades!$U$16,H163),1)*IF(Upgrades!$T$18="Brown Dwarf",POWER(Upgrades!$U$18,J163),1)*IF(Upgrades!$T$19="Brown Dwarf",POWER(Upgrades!$U$19,K163),1)*IF(Upgrades!$T$20="Brown Dwarf",POWER(Upgrades!$U$20,L163),1)*IF(Upgrades!$T$21="Brown Dwarf",POWER(Upgrades!$U$21,M163),1))*POWER(Upgrades!$P$13,E163)*POWER(Upgrades!$P$14,F163)*POWER(Upgrades!$P$15,G163)*POWER(Upgrades!$P$16,H163)*POWER(Upgrades!$P$17,I163)*POWER(Upgrades!$P$18,J163)*POWER(Upgrades!$P$19,K163)*POWER(Upgrades!$P$20,L163)*POWER(Upgrades!$P$21,M163)*$F$6*60</f>
        <v/>
      </c>
      <c r="AF163" s="27" t="n">
        <v>0</v>
      </c>
      <c r="AG163" s="27" t="n">
        <v>0</v>
      </c>
      <c r="AH163" s="27" t="n">
        <v>0</v>
      </c>
      <c r="AI163" s="27">
        <f>(IF(M163=0,0,(Upgrades!$G$21+M163*Upgrades!$H$21)*POWER(Upgrades!$I$21,M163)))*(IF(Upgrades!$T$13="Moving Group",POWER(Upgrades!$U$13,E163),1)*IF(Upgrades!$T$14="Moving Group",POWER(Upgrades!$U$14,F163),1)*IF(Upgrades!$T$15="Moving Group",POWER(Upgrades!$U$15,G163),1)*IF(Upgrades!$T$16="Moving Group",POWER(Upgrades!$U$16,H163),1)*IF(Upgrades!$T$17="Moving Group",POWER(Upgrades!$U$17,I163),1)*IF(Upgrades!$T$18="Moving Group",POWER(Upgrades!$U$18,J163),1)*IF(Upgrades!$T$19="Moving Group",POWER(Upgrades!$U$19,K163),1)*IF(Upgrades!$T$20="Moving Group",POWER(Upgrades!$U$20,L163),1))*POWER(Upgrades!$P$13,E163)*POWER(Upgrades!$P$14,F163)*POWER(Upgrades!$P$15,G163)*POWER(Upgrades!$P$16,H163)*POWER(Upgrades!$P$17,I163)*POWER(Upgrades!$P$18,J163)*POWER(Upgrades!$P$19,K163)*POWER(Upgrades!$P$20,L163)*POWER(Upgrades!$P$21,M163)*$F$6*60</f>
        <v/>
      </c>
      <c r="AJ163" s="27">
        <f>$C$6*60</f>
        <v/>
      </c>
      <c r="AK163" s="22">
        <f>IF(E163&gt;=Upgrades!$E$13,"",Upgrades!$C$13*POWER(Upgrades!$D$13,E163))</f>
        <v/>
      </c>
      <c r="AL163" s="22">
        <f>IF(F163&gt;=Upgrades!$E$14,"",Upgrades!$C$14*POWER(Upgrades!$D$14,F163))</f>
        <v/>
      </c>
      <c r="AM163" s="22">
        <f>IF(G163&gt;=Upgrades!$E$15,"",Upgrades!$C$15*POWER(Upgrades!$D$15,G163))</f>
        <v/>
      </c>
      <c r="AN163" s="22">
        <f>IF(H163&gt;=Upgrades!$E$16,"",Upgrades!$C$16*POWER(Upgrades!$D$16,H163))</f>
        <v/>
      </c>
      <c r="AO163" s="22">
        <f>IF(I163&gt;=Upgrades!$E$17,"",Upgrades!$C$17*POWER(Upgrades!$D$17,I163))</f>
        <v/>
      </c>
      <c r="AP163" s="22">
        <f>IF(J163&gt;=Upgrades!$E$18,"",Upgrades!$C$18*POWER(Upgrades!$D$18,J163))</f>
        <v/>
      </c>
      <c r="AQ163" s="22">
        <f>IF(K163&gt;=Upgrades!$E$19,"",Upgrades!$C$19*POWER(Upgrades!$D$19,K163))</f>
        <v/>
      </c>
      <c r="AR163" s="22">
        <f>IF(L163&gt;=Upgrades!$E$20,"",Upgrades!$C$20*POWER(Upgrades!$D$20,L163))</f>
        <v/>
      </c>
      <c r="AS163" s="22">
        <f>IF(M163&gt;=Upgrades!$E$21,"",Upgrades!$C$21*POWER(Upgrades!$D$21,M163))</f>
        <v/>
      </c>
      <c r="AT163" s="26">
        <f>IF(AND(D163&gt;=Parameters!$B$18*Parameters!$B$19,(I163&gt;=Upgrades!$E$17)*(M163&gt;=Upgrades!$E$21)=1,N163=0),1,"")</f>
        <v/>
      </c>
      <c r="AU163" s="26">
        <f>IF(AND(D163&gt;=Parameters!$B$18*Parameters!$B$19,N163=0),1,"")</f>
        <v/>
      </c>
      <c r="AV163" s="22">
        <f>MIN(IF(ISNUMBER(AP163),AP163,9E15),IF(ISNUMBER(AQ163),AQ163,9E15),IF(ISNUMBER(AR163),AR163,9E15),IF(ISNUMBER(AS163),AS163,9E15))</f>
        <v/>
      </c>
      <c r="AW163" s="22">
        <f>MIN(IF(ISNUMBER(AK163),AK163,9E15),IF(ISNUMBER(AL163),AL163,9E15),IF(ISNUMBER(AM163),AM163,9E15),IF(ISNUMBER(AN163),AN163,9E15),IF(ISNUMBER(AO163),AO163,9E15))</f>
        <v/>
      </c>
      <c r="AX163" s="29">
        <f>IF(BD163&gt;Parameters!$B$21*(MAX(IF(AND(NOT(AND(AU163=1,AT163&lt;&gt;1)),ISNUMBER(AK163),AK163&lt;=(C163+T163)),AY163,0),IF(AND(NOT(AND(AU163=1,AT163&lt;&gt;1)),ISNUMBER(AL163),AL163&lt;=(C163+T163)),AZ163,0),IF(AND(NOT(AND(AU163=1,AT163&lt;&gt;1)),ISNUMBER(AM163),AM163&lt;=(C163+T163)),BA163,0),IF(AND(NOT(AND(AU163=1,AT163&lt;&gt;1)),ISNUMBER(AN163),AN163&lt;=(C163+T163)),BB163,0),IF(AND(ISNUMBER(AO163),AO163&lt;=(C163+T163)),BC163,0))),TRUE,FALSE)</f>
        <v/>
      </c>
      <c r="AY163" s="32">
        <f>IFERROR(Upgrades!$H$13*(POWER(Upgrades!$P$13,E163)*POWER(Upgrades!$P$14,F163)*POWER(Upgrades!$P$15,G163)*POWER(Upgrades!$P$16,H163)*POWER(Upgrades!$P$17,I163)*POWER(Upgrades!$P$18,J163)*POWER(Upgrades!$P$19,K163)*POWER(Upgrades!$P$20,L163)*POWER(Upgrades!$P$21,M163))*(IF(Upgrades!$T$14="Stellar Kinematics",POWER(Upgrades!$U$14,F163),1)*IF(Upgrades!$T$15="Stellar Kinematics",POWER(Upgrades!$U$15,G163),1)*IF(Upgrades!$T$16="Stellar Kinematics",POWER(Upgrades!$U$16,H163),1)*IF(Upgrades!$T$17="Stellar Kinematics",POWER(Upgrades!$U$17,I163),1)*IF(Upgrades!$T$18="Stellar Kinematics",POWER(Upgrades!$U$18,J163),1)*IF(Upgrades!$T$19="Stellar Kinematics",POWER(Upgrades!$U$19,K163),1)*IF(Upgrades!$T$20="Stellar Kinematics",POWER(Upgrades!$U$20,L163),1)*IF(Upgrades!$T$21="Stellar Kinematics",POWER(Upgrades!$U$21,M163),1))*$F$6/AK163,0)</f>
        <v/>
      </c>
      <c r="AZ163" s="32">
        <f>IFERROR(Upgrades!$H$14*(POWER(Upgrades!$P$13,E163)*POWER(Upgrades!$P$14,F163)*POWER(Upgrades!$P$15,G163)*POWER(Upgrades!$P$16,H163)*POWER(Upgrades!$P$17,I163)*POWER(Upgrades!$P$18,J163)*POWER(Upgrades!$P$19,K163)*POWER(Upgrades!$P$20,L163)*POWER(Upgrades!$P$21,M163))*(IF(Upgrades!$T$13="Local Bubble",POWER(Upgrades!$U$13,E163),1)*IF(Upgrades!$T$15="Local Bubble",POWER(Upgrades!$U$15,G163),1)*IF(Upgrades!$T$16="Local Bubble",POWER(Upgrades!$U$16,H163),1)*IF(Upgrades!$T$17="Local Bubble",POWER(Upgrades!$U$17,I163),1)*IF(Upgrades!$T$18="Local Bubble",POWER(Upgrades!$U$18,J163),1)*IF(Upgrades!$T$19="Local Bubble",POWER(Upgrades!$U$19,K163),1)*IF(Upgrades!$T$20="Local Bubble",POWER(Upgrades!$U$20,L163),1)*IF(Upgrades!$T$21="Local Bubble",POWER(Upgrades!$U$21,M163),1))*$F$6/AL163,0)</f>
        <v/>
      </c>
      <c r="BA163" s="32">
        <f>IFERROR(Upgrades!$K$15*(POWER(Upgrades!$Q$13,E163)*POWER(Upgrades!$Q$14,F163)*POWER(Upgrades!$Q$15,G163)*POWER(Upgrades!$Q$16,H163)*POWER(Upgrades!$Q$17,I163)*POWER(Upgrades!$Q$18,J163)*POWER(Upgrades!$Q$19,K163)*POWER(Upgrades!$Q$20,L163)*POWER(Upgrades!$Q$21,M163))*(IF(Upgrades!$T$13="Microlensing",POWER(Upgrades!$U$13,E163),1)*IF(Upgrades!$T$14="Microlensing",POWER(Upgrades!$U$14,F163),1)*IF(Upgrades!$T$16="Microlensing",POWER(Upgrades!$U$16,H163),1)*IF(Upgrades!$T$17="Microlensing",POWER(Upgrades!$U$17,I163),1)*IF(Upgrades!$T$18="Microlensing",POWER(Upgrades!$U$18,J163),1)*IF(Upgrades!$T$19="Microlensing",POWER(Upgrades!$U$19,K163),1)*IF(Upgrades!$T$20="Microlensing",POWER(Upgrades!$U$20,L163),1)*IF(Upgrades!$T$21="Microlensing",POWER(Upgrades!$U$21,M163),1))*$G$6*(Parameters!$B$10/60*Parameters!$B$11+Q163)/AM163,0)</f>
        <v/>
      </c>
      <c r="BB163" s="32">
        <f>IFERROR((Upgrades!$N$16*(POWER(Upgrades!$R$13,E163)*POWER(Upgrades!$R$14,F163)*POWER(Upgrades!$R$15,G163)*POWER(Upgrades!$R$16,H163)*POWER(Upgrades!$R$17,I163)*POWER(Upgrades!$R$18,J163)*POWER(Upgrades!$R$19,K163)*POWER(Upgrades!$R$20,L163)*POWER(Upgrades!$R$21,M163))*(IF(Upgrades!$T$13="Roche Lobe Overflow",POWER(Upgrades!$U$13,E163),1)*IF(Upgrades!$T$14="Roche Lobe Overflow",POWER(Upgrades!$U$14,F163),1)*IF(Upgrades!$T$15="Roche Lobe Overflow",POWER(Upgrades!$U$15,G163),1)*IF(Upgrades!$T$17="Roche Lobe Overflow",POWER(Upgrades!$U$17,I163),1)*IF(Upgrades!$T$18="Roche Lobe Overflow",POWER(Upgrades!$U$18,J163),1)*IF(Upgrades!$T$19="Roche Lobe Overflow",POWER(Upgrades!$U$19,K163),1)*IF(Upgrades!$T$20="Roche Lobe Overflow",POWER(Upgrades!$U$20,L163),1)*IF(Upgrades!$T$21="Roche Lobe Overflow",POWER(Upgrades!$U$21,M163),1))*$H$6*O163+((IF(F163=0,0,(Upgrades!$G$14+F163*Upgrades!$H$14)*POWER(Upgrades!$I$14,F163)))*(IF(Upgrades!$T$13="Local Bubble",POWER(Upgrades!$U$13,E163),1)*IF(Upgrades!$T$15="Local Bubble",POWER(Upgrades!$U$15,G163),1)*IF(Upgrades!$T$16="Local Bubble",POWER(Upgrades!$U$16,H163),1)*IF(Upgrades!$T$17="Local Bubble",POWER(Upgrades!$U$17,I163),1)*IF(Upgrades!$T$18="Local Bubble",POWER(Upgrades!$U$18,J163),1)*IF(Upgrades!$T$19="Local Bubble",POWER(Upgrades!$U$19,K163),1)*IF(Upgrades!$T$20="Local Bubble",POWER(Upgrades!$U$20,L163),1)*IF(Upgrades!$T$21="Local Bubble",POWER(Upgrades!$U$21,M163),1))*POWER(Upgrades!$P$13,E163)*POWER(Upgrades!$P$14,F163)*POWER(Upgrades!$P$15,G163)*POWER(Upgrades!$P$16,H163)*POWER(Upgrades!$P$17,I163)*POWER(Upgrades!$P$18,J163)*POWER(Upgrades!$P$19,K163)*POWER(Upgrades!$P$20,L163)*POWER(Upgrades!$P$21,M163)*$F$6)*0.05)/AN163,0)</f>
        <v/>
      </c>
      <c r="BC163" s="32">
        <f>IFERROR((Upgrades!$H$17*(POWER(Upgrades!$P$13,E163)*POWER(Upgrades!$P$14,F163)*POWER(Upgrades!$P$15,G163)*POWER(Upgrades!$P$16,H163)*POWER(Upgrades!$P$17,I163)*POWER(Upgrades!$P$18,J163)*POWER(Upgrades!$P$19,K163)*POWER(Upgrades!$P$20,L163)*POWER(Upgrades!$P$21,M163))*(IF(Upgrades!$T$13="Brown Dwarf",POWER(Upgrades!$U$13,E163),1)*IF(Upgrades!$T$14="Brown Dwarf",POWER(Upgrades!$U$14,F163),1)*IF(Upgrades!$T$15="Brown Dwarf",POWER(Upgrades!$U$15,G163),1)*IF(Upgrades!$T$16="Brown Dwarf",POWER(Upgrades!$U$16,H163),1)*IF(Upgrades!$T$18="Brown Dwarf",POWER(Upgrades!$U$18,J163),1)*IF(Upgrades!$T$19="Brown Dwarf",POWER(Upgrades!$U$19,K163),1)*IF(Upgrades!$T$20="Brown Dwarf",POWER(Upgrades!$U$20,L163),1)*IF(Upgrades!$T$21="Brown Dwarf",POWER(Upgrades!$U$21,M163),1))*$F$6+(((IF(H163=0,0,(Upgrades!$M$16+H163*Upgrades!$N$16)*POWER(Upgrades!$O$16,H163)))*(IF(Upgrades!$T$13="Roche Lobe Overflow",POWER(Upgrades!$U$13,E163),1)*IF(Upgrades!$T$14="Roche Lobe Overflow",POWER(Upgrades!$U$14,F163),1)*IF(Upgrades!$T$15="Roche Lobe Overflow",POWER(Upgrades!$U$15,G163),1)*IF(Upgrades!$T$17="Roche Lobe Overflow",POWER(Upgrades!$U$17,I163),1)*IF(Upgrades!$T$18="Roche Lobe Overflow",POWER(Upgrades!$U$18,J163),1)*IF(Upgrades!$T$19="Roche Lobe Overflow",POWER(Upgrades!$U$19,K163),1)*IF(Upgrades!$T$20="Roche Lobe Overflow",POWER(Upgrades!$U$20,L163),1)*IF(Upgrades!$T$21="Roche Lobe Overflow",POWER(Upgrades!$U$21,M163),1))*POWER(Upgrades!$R$13,E163)*POWER(Upgrades!$R$14,F163)*POWER(Upgrades!$R$15,G163)*POWER(Upgrades!$R$16,H163)*POWER(Upgrades!$R$17,I163)*POWER(Upgrades!$R$18,J163)*POWER(Upgrades!$R$19,K163)*POWER(Upgrades!$R$20,L163)*POWER(Upgrades!$R$21,M163)*$H$6)*O163)*0.10)/AO163,0)</f>
        <v/>
      </c>
      <c r="BD163" s="32">
        <f>MAX(IF(J163&gt;0,0,IFERROR(0.5*((IF(G163=0,0,(Upgrades!$J$15+G163*Upgrades!$K$15)*POWER(Upgrades!$L$15,G163)))*(IF(Upgrades!$T$13="Microlensing",POWER(Upgrades!$U$13,E163),1)*IF(Upgrades!$T$14="Microlensing",POWER(Upgrades!$U$14,F163),1)*IF(Upgrades!$T$16="Microlensing",POWER(Upgrades!$U$16,H163),1)*IF(Upgrades!$T$17="Microlensing",POWER(Upgrades!$U$17,I163),1)*IF(Upgrades!$T$18="Microlensing",POWER(Upgrades!$U$18,J163),1)*IF(Upgrades!$T$19="Microlensing",POWER(Upgrades!$U$19,K163),1)*IF(Upgrades!$T$20="Microlensing",POWER(Upgrades!$U$20,L163),1)*IF(Upgrades!$T$21="Microlensing",POWER(Upgrades!$U$21,M163),1))*(POWER(Upgrades!$Q$13,E163)*POWER(Upgrades!$Q$14,F163)*POWER(Upgrades!$Q$15,G163)*POWER(Upgrades!$Q$16,H163)*POWER(Upgrades!$Q$17,I163)*POWER(Upgrades!$Q$18,J163)*POWER(Upgrades!$Q$19,K163)*POWER(Upgrades!$Q$20,L163)*POWER(Upgrades!$Q$21,M163))*$G$6*(Parameters!$B$10/60*Parameters!$B$11+Q163))/Upgrades!$C$18,0)),IF(K163&gt;0,0,IFERROR(0.30*P163/Upgrades!$C$19,0)),IF(L163&gt;0,0,IFERROR(0.0001/Upgrades!$C$20,0)),IF(M163&gt;0,0,IFERROR((6.0*(POWER(Upgrades!$P$13,E163)*POWER(Upgrades!$P$14,F163)*POWER(Upgrades!$P$15,G163)*POWER(Upgrades!$P$16,H163)*POWER(Upgrades!$P$17,I163)*POWER(Upgrades!$P$18,J163)*POWER(Upgrades!$P$19,K163)*POWER(Upgrades!$P$20,L163)*POWER(Upgrades!$P$21,M163))*$F$6+0.20*O163*(Parameters!$B$10/60*Parameters!$B$11+Q163))/Upgrades!$C$21,0)),IF(AND(ISNUMBER(AK163),AK163&gt;(C163+T163)),AY163,0),IF(AND(ISNUMBER(AL163),AL163&gt;(C163+T163)),AZ163,0),IF(AND(ISNUMBER(AM163),AM163&gt;(C163+T163)),BA163,0),IF(AND(ISNUMBER(AN163),AN163&gt;(C163+T163)),BB163,0),IF(AND(ISNUMBER(AO163),AO163&gt;(C163+T163)),BC163,0))</f>
        <v/>
      </c>
      <c r="BE163" s="29">
        <f>IF(AT163=1,"transition",IF(MIN(IF(AND(J163=0,ISNUMBER(AP163),AP163&lt;=(C163+T163)),AP163,9E15),IF(AND(K163=0,ISNUMBER(AQ163),AQ163&lt;=(C163+T163)),AQ163,9E15),IF(AND(L163=0,ISNUMBER(AR163),AR163&lt;=(C163+T163)),AR163,9E15),IF(AND(M163=0,ISNUMBER(AS163),AS163&lt;=(C163+T163)),AS163,9E15))&lt;9E15,IF(AND(AND(J163=0,ISNUMBER(AP163),AP163&lt;=(C163+T163)),AP163=MIN(IF(AND(J163=0,ISNUMBER(AP163),AP163&lt;=(C163+T163)),AP163,9E15),IF(AND(K163=0,ISNUMBER(AQ163),AQ163&lt;=(C163+T163)),AQ163,9E15),IF(AND(L163=0,ISNUMBER(AR163),AR163&lt;=(C163+T163)),AR163,9E15),IF(AND(M163=0,ISNUMBER(AS163),AS163&lt;=(C163+T163)),AS163,9E15))),"BiP",IF(AND(AND(K163=0,ISNUMBER(AQ163),AQ163&lt;=(C163+T163)),AQ163=MIN(IF(AND(J163=0,ISNUMBER(AP163),AP163&lt;=(C163+T163)),AP163,9E15),IF(AND(K163=0,ISNUMBER(AQ163),AQ163&lt;=(C163+T163)),AQ163,9E15),IF(AND(L163=0,ISNUMBER(AR163),AR163&lt;=(C163+T163)),AR163,9E15),IF(AND(M163=0,ISNUMBER(AS163),AS163&lt;=(C163+T163)),AS163,9E15))),"PV",IF(AND(AND(L163=0,ISNUMBER(AR163),AR163&lt;=(C163+T163)),AR163=MIN(IF(AND(J163=0,ISNUMBER(AP163),AP163&lt;=(C163+T163)),AP163,9E15),IF(AND(K163=0,ISNUMBER(AQ163),AQ163&lt;=(C163+T163)),AQ163,9E15),IF(AND(L163=0,ISNUMBER(AR163),AR163&lt;=(C163+T163)),AR163,9E15),IF(AND(M163=0,ISNUMBER(AS163),AS163&lt;=(C163+T163)),AS163,9E15))),"OC","MG"))),IF(AX163=TRUE,"",IF(MAX(IF(AND(NOT(AND(AU163=1,AT163&lt;&gt;1)),ISNUMBER(AK163),AK163&lt;=(C163+T163)),AY163,0),IF(AND(NOT(AND(AU163=1,AT163&lt;&gt;1)),ISNUMBER(AL163),AL163&lt;=(C163+T163)),AZ163,0),IF(AND(NOT(AND(AU163=1,AT163&lt;&gt;1)),ISNUMBER(AM163),AM163&lt;=(C163+T163)),BA163,0),IF(AND(NOT(AND(AU163=1,AT163&lt;&gt;1)),ISNUMBER(AN163),AN163&lt;=(C163+T163)),BB163,0),IF(AND(ISNUMBER(AO163),AO163&lt;=(C163+T163)),BC163,0))&lt;=0,"",IF(AND(IF(AND(NOT(AND(AU163=1,AT163&lt;&gt;1)),ISNUMBER(AK163),AK163&lt;=(C163+T163)),AY163,0)&gt;0,IF(AND(NOT(AND(AU163=1,AT163&lt;&gt;1)),ISNUMBER(AK163),AK163&lt;=(C163+T163)),AY163,0)=MAX(IF(AND(NOT(AND(AU163=1,AT163&lt;&gt;1)),ISNUMBER(AK163),AK163&lt;=(C163+T163)),AY163,0),IF(AND(NOT(AND(AU163=1,AT163&lt;&gt;1)),ISNUMBER(AL163),AL163&lt;=(C163+T163)),AZ163,0),IF(AND(NOT(AND(AU163=1,AT163&lt;&gt;1)),ISNUMBER(AM163),AM163&lt;=(C163+T163)),BA163,0),IF(AND(NOT(AND(AU163=1,AT163&lt;&gt;1)),ISNUMBER(AN163),AN163&lt;=(C163+T163)),BB163,0),IF(AND(ISNUMBER(AO163),AO163&lt;=(C163+T163)),BC163,0))),"SK",IF(AND(IF(AND(NOT(AND(AU163=1,AT163&lt;&gt;1)),ISNUMBER(AL163),AL163&lt;=(C163+T163)),AZ163,0)&gt;0,IF(AND(NOT(AND(AU163=1,AT163&lt;&gt;1)),ISNUMBER(AL163),AL163&lt;=(C163+T163)),AZ163,0)=MAX(IF(AND(NOT(AND(AU163=1,AT163&lt;&gt;1)),ISNUMBER(AK163),AK163&lt;=(C163+T163)),AY163,0),IF(AND(NOT(AND(AU163=1,AT163&lt;&gt;1)),ISNUMBER(AL163),AL163&lt;=(C163+T163)),AZ163,0),IF(AND(NOT(AND(AU163=1,AT163&lt;&gt;1)),ISNUMBER(AM163),AM163&lt;=(C163+T163)),BA163,0),IF(AND(NOT(AND(AU163=1,AT163&lt;&gt;1)),ISNUMBER(AN163),AN163&lt;=(C163+T163)),BB163,0),IF(AND(ISNUMBER(AO163),AO163&lt;=(C163+T163)),BC163,0))),"LB",IF(AND(IF(AND(NOT(AND(AU163=1,AT163&lt;&gt;1)),ISNUMBER(AM163),AM163&lt;=(C163+T163)),BA163,0)&gt;0,IF(AND(NOT(AND(AU163=1,AT163&lt;&gt;1)),ISNUMBER(AM163),AM163&lt;=(C163+T163)),BA163,0)=MAX(IF(AND(NOT(AND(AU163=1,AT163&lt;&gt;1)),ISNUMBER(AK163),AK163&lt;=(C163+T163)),AY163,0),IF(AND(NOT(AND(AU163=1,AT163&lt;&gt;1)),ISNUMBER(AL163),AL163&lt;=(C163+T163)),AZ163,0),IF(AND(NOT(AND(AU163=1,AT163&lt;&gt;1)),ISNUMBER(AM163),AM163&lt;=(C163+T163)),BA163,0),IF(AND(NOT(AND(AU163=1,AT163&lt;&gt;1)),ISNUMBER(AN163),AN163&lt;=(C163+T163)),BB163,0),IF(AND(ISNUMBER(AO163),AO163&lt;=(C163+T163)),BC163,0))),"ML",IF(AND(IF(AND(NOT(AND(AU163=1,AT163&lt;&gt;1)),ISNUMBER(AN163),AN163&lt;=(C163+T163)),BB163,0)&gt;0,IF(AND(NOT(AND(AU163=1,AT163&lt;&gt;1)),ISNUMBER(AN163),AN163&lt;=(C163+T163)),BB163,0)=MAX(IF(AND(NOT(AND(AU163=1,AT163&lt;&gt;1)),ISNUMBER(AK163),AK163&lt;=(C163+T163)),AY163,0),IF(AND(NOT(AND(AU163=1,AT163&lt;&gt;1)),ISNUMBER(AL163),AL163&lt;=(C163+T163)),AZ163,0),IF(AND(NOT(AND(AU163=1,AT163&lt;&gt;1)),ISNUMBER(AM163),AM163&lt;=(C163+T163)),BA163,0),IF(AND(NOT(AND(AU163=1,AT163&lt;&gt;1)),ISNUMBER(AN163),AN163&lt;=(C163+T163)),BB163,0),IF(AND(ISNUMBER(AO163),AO163&lt;=(C163+T163)),BC163,0))),"RLO","BD"))))))))</f>
        <v/>
      </c>
    </row>
    <row r="164">
      <c r="A164" s="26" t="n">
        <v>153</v>
      </c>
      <c r="B164" s="27">
        <f>A164*10/60</f>
        <v/>
      </c>
      <c r="C164" s="22">
        <f>X163</f>
        <v/>
      </c>
      <c r="D164" s="27">
        <f>D163+W163</f>
        <v/>
      </c>
      <c r="E164" s="26">
        <f>E163+IF(U163="SK",1,0)</f>
        <v/>
      </c>
      <c r="F164" s="26">
        <f>F163+IF(U163="LB",1,0)</f>
        <v/>
      </c>
      <c r="G164" s="26">
        <f>G163+IF(U163="ML",1,0)</f>
        <v/>
      </c>
      <c r="H164" s="26">
        <f>H163+IF(U163="RLO",1,0)</f>
        <v/>
      </c>
      <c r="I164" s="26">
        <f>I163+IF(U163="BD",1,0)</f>
        <v/>
      </c>
      <c r="J164" s="26">
        <f>MAX(J163,IF(U163="BiP",1,0))</f>
        <v/>
      </c>
      <c r="K164" s="26">
        <f>MAX(K163,IF(U163="PV",1,0))</f>
        <v/>
      </c>
      <c r="L164" s="26">
        <f>MAX(L163,IF(U163="OC",1,0))</f>
        <v/>
      </c>
      <c r="M164" s="26">
        <f>MAX(M163,IF(U163="MG",1,0))</f>
        <v/>
      </c>
      <c r="N164" s="26">
        <f>MAX(N163,IF(U163="transition",1,0))</f>
        <v/>
      </c>
      <c r="O164" s="28">
        <f>(Parameters!$B$9+(IF(E164=0,0,(Upgrades!$J$13+E164*Upgrades!$K$13)*POWER(Upgrades!$L$13,E164)))*(IF(Upgrades!$T$14="Stellar Kinematics",POWER(Upgrades!$U$14,F164),1)*IF(Upgrades!$T$15="Stellar Kinematics",POWER(Upgrades!$U$15,G164),1)*IF(Upgrades!$T$16="Stellar Kinematics",POWER(Upgrades!$U$16,H164),1)*IF(Upgrades!$T$17="Stellar Kinematics",POWER(Upgrades!$U$17,I164),1)*IF(Upgrades!$T$18="Stellar Kinematics",POWER(Upgrades!$U$18,J164),1)*IF(Upgrades!$T$19="Stellar Kinematics",POWER(Upgrades!$U$19,K164),1)*IF(Upgrades!$T$20="Stellar Kinematics",POWER(Upgrades!$U$20,L164),1)*IF(Upgrades!$T$21="Stellar Kinematics",POWER(Upgrades!$U$21,M164),1))+(IF(F164=0,0,(Upgrades!$J$14+F164*Upgrades!$K$14)*POWER(Upgrades!$L$14,F164)))*(IF(Upgrades!$T$13="Local Bubble",POWER(Upgrades!$U$13,E164),1)*IF(Upgrades!$T$15="Local Bubble",POWER(Upgrades!$U$15,G164),1)*IF(Upgrades!$T$16="Local Bubble",POWER(Upgrades!$U$16,H164),1)*IF(Upgrades!$T$17="Local Bubble",POWER(Upgrades!$U$17,I164),1)*IF(Upgrades!$T$18="Local Bubble",POWER(Upgrades!$U$18,J164),1)*IF(Upgrades!$T$19="Local Bubble",POWER(Upgrades!$U$19,K164),1)*IF(Upgrades!$T$20="Local Bubble",POWER(Upgrades!$U$20,L164),1)*IF(Upgrades!$T$21="Local Bubble",POWER(Upgrades!$U$21,M164),1))+(IF(G164=0,0,(Upgrades!$J$15+G164*Upgrades!$K$15)*POWER(Upgrades!$L$15,G164)))*(IF(Upgrades!$T$13="Microlensing",POWER(Upgrades!$U$13,E164),1)*IF(Upgrades!$T$14="Microlensing",POWER(Upgrades!$U$14,F164),1)*IF(Upgrades!$T$16="Microlensing",POWER(Upgrades!$U$16,H164),1)*IF(Upgrades!$T$17="Microlensing",POWER(Upgrades!$U$17,I164),1)*IF(Upgrades!$T$18="Microlensing",POWER(Upgrades!$U$18,J164),1)*IF(Upgrades!$T$19="Microlensing",POWER(Upgrades!$U$19,K164),1)*IF(Upgrades!$T$20="Microlensing",POWER(Upgrades!$U$20,L164),1)*IF(Upgrades!$T$21="Microlensing",POWER(Upgrades!$U$21,M164),1))+(IF(H164=0,0,(Upgrades!$J$16+H164*Upgrades!$K$16)*POWER(Upgrades!$L$16,H164)))*(IF(Upgrades!$T$13="Roche Lobe Overflow",POWER(Upgrades!$U$13,E164),1)*IF(Upgrades!$T$14="Roche Lobe Overflow",POWER(Upgrades!$U$14,F164),1)*IF(Upgrades!$T$15="Roche Lobe Overflow",POWER(Upgrades!$U$15,G164),1)*IF(Upgrades!$T$17="Roche Lobe Overflow",POWER(Upgrades!$U$17,I164),1)*IF(Upgrades!$T$18="Roche Lobe Overflow",POWER(Upgrades!$U$18,J164),1)*IF(Upgrades!$T$19="Roche Lobe Overflow",POWER(Upgrades!$U$19,K164),1)*IF(Upgrades!$T$20="Roche Lobe Overflow",POWER(Upgrades!$U$20,L164),1)*IF(Upgrades!$T$21="Roche Lobe Overflow",POWER(Upgrades!$U$21,M164),1))+(IF(I164=0,0,(Upgrades!$J$17+I164*Upgrades!$K$17)*POWER(Upgrades!$L$17,I164)))*(IF(Upgrades!$T$13="Brown Dwarf",POWER(Upgrades!$U$13,E164),1)*IF(Upgrades!$T$14="Brown Dwarf",POWER(Upgrades!$U$14,F164),1)*IF(Upgrades!$T$15="Brown Dwarf",POWER(Upgrades!$U$15,G164),1)*IF(Upgrades!$T$16="Brown Dwarf",POWER(Upgrades!$U$16,H164),1)*IF(Upgrades!$T$18="Brown Dwarf",POWER(Upgrades!$U$18,J164),1)*IF(Upgrades!$T$19="Brown Dwarf",POWER(Upgrades!$U$19,K164),1)*IF(Upgrades!$T$20="Brown Dwarf",POWER(Upgrades!$U$20,L164),1)*IF(Upgrades!$T$21="Brown Dwarf",POWER(Upgrades!$U$21,M164),1))+(IF(J164=0,0,(Upgrades!$J$18+J164*Upgrades!$K$18)*POWER(Upgrades!$L$18,J164)))*(IF(Upgrades!$T$13="Binary Partner",POWER(Upgrades!$U$13,E164),1)*IF(Upgrades!$T$14="Binary Partner",POWER(Upgrades!$U$14,F164),1)*IF(Upgrades!$T$15="Binary Partner",POWER(Upgrades!$U$15,G164),1)*IF(Upgrades!$T$16="Binary Partner",POWER(Upgrades!$U$16,H164),1)*IF(Upgrades!$T$17="Binary Partner",POWER(Upgrades!$U$17,I164),1)*IF(Upgrades!$T$19="Binary Partner",POWER(Upgrades!$U$19,K164),1)*IF(Upgrades!$T$20="Binary Partner",POWER(Upgrades!$U$20,L164),1)*IF(Upgrades!$T$21="Binary Partner",POWER(Upgrades!$U$21,M164),1))+(IF(K164=0,0,(Upgrades!$J$19+K164*Upgrades!$K$19)*POWER(Upgrades!$L$19,K164)))*(IF(Upgrades!$T$13="Peculiar Velocity",POWER(Upgrades!$U$13,E164),1)*IF(Upgrades!$T$14="Peculiar Velocity",POWER(Upgrades!$U$14,F164),1)*IF(Upgrades!$T$15="Peculiar Velocity",POWER(Upgrades!$U$15,G164),1)*IF(Upgrades!$T$16="Peculiar Velocity",POWER(Upgrades!$U$16,H164),1)*IF(Upgrades!$T$17="Peculiar Velocity",POWER(Upgrades!$U$17,I164),1)*IF(Upgrades!$T$18="Peculiar Velocity",POWER(Upgrades!$U$18,J164),1)*IF(Upgrades!$T$20="Peculiar Velocity",POWER(Upgrades!$U$20,L164),1)*IF(Upgrades!$T$21="Peculiar Velocity",POWER(Upgrades!$U$21,M164),1))+(IF(L164=0,0,(Upgrades!$J$20+L164*Upgrades!$K$20)*POWER(Upgrades!$L$20,L164)))*(IF(Upgrades!$T$13="Open Cluster",POWER(Upgrades!$U$13,E164),1)*IF(Upgrades!$T$14="Open Cluster",POWER(Upgrades!$U$14,F164),1)*IF(Upgrades!$T$15="Open Cluster",POWER(Upgrades!$U$15,G164),1)*IF(Upgrades!$T$16="Open Cluster",POWER(Upgrades!$U$16,H164),1)*IF(Upgrades!$T$17="Open Cluster",POWER(Upgrades!$U$17,I164),1)*IF(Upgrades!$T$18="Open Cluster",POWER(Upgrades!$U$18,J164),1)*IF(Upgrades!$T$19="Open Cluster",POWER(Upgrades!$U$19,K164),1)*IF(Upgrades!$T$21="Open Cluster",POWER(Upgrades!$U$21,M164),1))+(IF(M164=0,0,(Upgrades!$J$21+M164*Upgrades!$K$21)*POWER(Upgrades!$L$21,M164)))*(IF(Upgrades!$T$13="Moving Group",POWER(Upgrades!$U$13,E164),1)*IF(Upgrades!$T$14="Moving Group",POWER(Upgrades!$U$14,F164),1)*IF(Upgrades!$T$15="Moving Group",POWER(Upgrades!$U$15,G164),1)*IF(Upgrades!$T$16="Moving Group",POWER(Upgrades!$U$16,H164),1)*IF(Upgrades!$T$17="Moving Group",POWER(Upgrades!$U$17,I164),1)*IF(Upgrades!$T$18="Moving Group",POWER(Upgrades!$U$18,J164),1)*IF(Upgrades!$T$19="Moving Group",POWER(Upgrades!$U$19,K164),1)*IF(Upgrades!$T$20="Moving Group",POWER(Upgrades!$U$20,L164),1)))*POWER(Upgrades!$Q$13,E164)*POWER(Upgrades!$Q$14,F164)*POWER(Upgrades!$Q$15,G164)*POWER(Upgrades!$Q$16,H164)*POWER(Upgrades!$Q$17,I164)*POWER(Upgrades!$Q$18,J164)*POWER(Upgrades!$Q$19,K164)*POWER(Upgrades!$Q$20,L164)*POWER(Upgrades!$Q$21,M164)*$G$6+$D$6</f>
        <v/>
      </c>
      <c r="P164" s="28">
        <f>((IF(E164=0,0,(Upgrades!$G$13+E164*Upgrades!$H$13)*POWER(Upgrades!$I$13,E164)))*(IF(Upgrades!$T$14="Stellar Kinematics",POWER(Upgrades!$U$14,F164),1)*IF(Upgrades!$T$15="Stellar Kinematics",POWER(Upgrades!$U$15,G164),1)*IF(Upgrades!$T$16="Stellar Kinematics",POWER(Upgrades!$U$16,H164),1)*IF(Upgrades!$T$17="Stellar Kinematics",POWER(Upgrades!$U$17,I164),1)*IF(Upgrades!$T$18="Stellar Kinematics",POWER(Upgrades!$U$18,J164),1)*IF(Upgrades!$T$19="Stellar Kinematics",POWER(Upgrades!$U$19,K164),1)*IF(Upgrades!$T$20="Stellar Kinematics",POWER(Upgrades!$U$20,L164),1)*IF(Upgrades!$T$21="Stellar Kinematics",POWER(Upgrades!$U$21,M164),1))+(IF(F164=0,0,(Upgrades!$G$14+F164*Upgrades!$H$14)*POWER(Upgrades!$I$14,F164)))*(IF(Upgrades!$T$13="Local Bubble",POWER(Upgrades!$U$13,E164),1)*IF(Upgrades!$T$15="Local Bubble",POWER(Upgrades!$U$15,G164),1)*IF(Upgrades!$T$16="Local Bubble",POWER(Upgrades!$U$16,H164),1)*IF(Upgrades!$T$17="Local Bubble",POWER(Upgrades!$U$17,I164),1)*IF(Upgrades!$T$18="Local Bubble",POWER(Upgrades!$U$18,J164),1)*IF(Upgrades!$T$19="Local Bubble",POWER(Upgrades!$U$19,K164),1)*IF(Upgrades!$T$20="Local Bubble",POWER(Upgrades!$U$20,L164),1)*IF(Upgrades!$T$21="Local Bubble",POWER(Upgrades!$U$21,M164),1))+(IF(G164=0,0,(Upgrades!$G$15+G164*Upgrades!$H$15)*POWER(Upgrades!$I$15,G164)))*(IF(Upgrades!$T$13="Microlensing",POWER(Upgrades!$U$13,E164),1)*IF(Upgrades!$T$14="Microlensing",POWER(Upgrades!$U$14,F164),1)*IF(Upgrades!$T$16="Microlensing",POWER(Upgrades!$U$16,H164),1)*IF(Upgrades!$T$17="Microlensing",POWER(Upgrades!$U$17,I164),1)*IF(Upgrades!$T$18="Microlensing",POWER(Upgrades!$U$18,J164),1)*IF(Upgrades!$T$19="Microlensing",POWER(Upgrades!$U$19,K164),1)*IF(Upgrades!$T$20="Microlensing",POWER(Upgrades!$U$20,L164),1)*IF(Upgrades!$T$21="Microlensing",POWER(Upgrades!$U$21,M164),1))+(IF(H164=0,0,(Upgrades!$G$16+H164*Upgrades!$H$16)*POWER(Upgrades!$I$16,H164)))*(IF(Upgrades!$T$13="Roche Lobe Overflow",POWER(Upgrades!$U$13,E164),1)*IF(Upgrades!$T$14="Roche Lobe Overflow",POWER(Upgrades!$U$14,F164),1)*IF(Upgrades!$T$15="Roche Lobe Overflow",POWER(Upgrades!$U$15,G164),1)*IF(Upgrades!$T$17="Roche Lobe Overflow",POWER(Upgrades!$U$17,I164),1)*IF(Upgrades!$T$18="Roche Lobe Overflow",POWER(Upgrades!$U$18,J164),1)*IF(Upgrades!$T$19="Roche Lobe Overflow",POWER(Upgrades!$U$19,K164),1)*IF(Upgrades!$T$20="Roche Lobe Overflow",POWER(Upgrades!$U$20,L164),1)*IF(Upgrades!$T$21="Roche Lobe Overflow",POWER(Upgrades!$U$21,M164),1))+(IF(I164=0,0,(Upgrades!$G$17+I164*Upgrades!$H$17)*POWER(Upgrades!$I$17,I164)))*(IF(Upgrades!$T$13="Brown Dwarf",POWER(Upgrades!$U$13,E164),1)*IF(Upgrades!$T$14="Brown Dwarf",POWER(Upgrades!$U$14,F164),1)*IF(Upgrades!$T$15="Brown Dwarf",POWER(Upgrades!$U$15,G164),1)*IF(Upgrades!$T$16="Brown Dwarf",POWER(Upgrades!$U$16,H164),1)*IF(Upgrades!$T$18="Brown Dwarf",POWER(Upgrades!$U$18,J164),1)*IF(Upgrades!$T$19="Brown Dwarf",POWER(Upgrades!$U$19,K164),1)*IF(Upgrades!$T$20="Brown Dwarf",POWER(Upgrades!$U$20,L164),1)*IF(Upgrades!$T$21="Brown Dwarf",POWER(Upgrades!$U$21,M164),1))+(IF(J164=0,0,(Upgrades!$G$18+J164*Upgrades!$H$18)*POWER(Upgrades!$I$18,J164)))*(IF(Upgrades!$T$13="Binary Partner",POWER(Upgrades!$U$13,E164),1)*IF(Upgrades!$T$14="Binary Partner",POWER(Upgrades!$U$14,F164),1)*IF(Upgrades!$T$15="Binary Partner",POWER(Upgrades!$U$15,G164),1)*IF(Upgrades!$T$16="Binary Partner",POWER(Upgrades!$U$16,H164),1)*IF(Upgrades!$T$17="Binary Partner",POWER(Upgrades!$U$17,I164),1)*IF(Upgrades!$T$19="Binary Partner",POWER(Upgrades!$U$19,K164),1)*IF(Upgrades!$T$20="Binary Partner",POWER(Upgrades!$U$20,L164),1)*IF(Upgrades!$T$21="Binary Partner",POWER(Upgrades!$U$21,M164),1))+(IF(K164=0,0,(Upgrades!$G$19+K164*Upgrades!$H$19)*POWER(Upgrades!$I$19,K164)))*(IF(Upgrades!$T$13="Peculiar Velocity",POWER(Upgrades!$U$13,E164),1)*IF(Upgrades!$T$14="Peculiar Velocity",POWER(Upgrades!$U$14,F164),1)*IF(Upgrades!$T$15="Peculiar Velocity",POWER(Upgrades!$U$15,G164),1)*IF(Upgrades!$T$16="Peculiar Velocity",POWER(Upgrades!$U$16,H164),1)*IF(Upgrades!$T$17="Peculiar Velocity",POWER(Upgrades!$U$17,I164),1)*IF(Upgrades!$T$18="Peculiar Velocity",POWER(Upgrades!$U$18,J164),1)*IF(Upgrades!$T$20="Peculiar Velocity",POWER(Upgrades!$U$20,L164),1)*IF(Upgrades!$T$21="Peculiar Velocity",POWER(Upgrades!$U$21,M164),1))+(IF(L164=0,0,(Upgrades!$G$20+L164*Upgrades!$H$20)*POWER(Upgrades!$I$20,L164)))*(IF(Upgrades!$T$13="Open Cluster",POWER(Upgrades!$U$13,E164),1)*IF(Upgrades!$T$14="Open Cluster",POWER(Upgrades!$U$14,F164),1)*IF(Upgrades!$T$15="Open Cluster",POWER(Upgrades!$U$15,G164),1)*IF(Upgrades!$T$16="Open Cluster",POWER(Upgrades!$U$16,H164),1)*IF(Upgrades!$T$17="Open Cluster",POWER(Upgrades!$U$17,I164),1)*IF(Upgrades!$T$18="Open Cluster",POWER(Upgrades!$U$18,J164),1)*IF(Upgrades!$T$19="Open Cluster",POWER(Upgrades!$U$19,K164),1)*IF(Upgrades!$T$21="Open Cluster",POWER(Upgrades!$U$21,M164),1))+(IF(M164=0,0,(Upgrades!$G$21+M164*Upgrades!$H$21)*POWER(Upgrades!$I$21,M164)))*(IF(Upgrades!$T$13="Moving Group",POWER(Upgrades!$U$13,E164),1)*IF(Upgrades!$T$14="Moving Group",POWER(Upgrades!$U$14,F164),1)*IF(Upgrades!$T$15="Moving Group",POWER(Upgrades!$U$15,G164),1)*IF(Upgrades!$T$16="Moving Group",POWER(Upgrades!$U$16,H164),1)*IF(Upgrades!$T$17="Moving Group",POWER(Upgrades!$U$17,I164),1)*IF(Upgrades!$T$18="Moving Group",POWER(Upgrades!$U$18,J164),1)*IF(Upgrades!$T$19="Moving Group",POWER(Upgrades!$U$19,K164),1)*IF(Upgrades!$T$20="Moving Group",POWER(Upgrades!$U$20,L164),1)))*POWER(Upgrades!$P$13,E164)*POWER(Upgrades!$P$14,F164)*POWER(Upgrades!$P$15,G164)*POWER(Upgrades!$P$16,H164)*POWER(Upgrades!$P$17,I164)*POWER(Upgrades!$P$18,J164)*POWER(Upgrades!$P$19,K164)*POWER(Upgrades!$P$20,L164)*POWER(Upgrades!$P$21,M164)*$F$6+$C$6</f>
        <v/>
      </c>
      <c r="Q164" s="28">
        <f>((IF(E164=0,0,(Upgrades!$M$13+E164*Upgrades!$N$13)*POWER(Upgrades!$O$13,E164)))*(IF(Upgrades!$T$14="Stellar Kinematics",POWER(Upgrades!$U$14,F164),1)*IF(Upgrades!$T$15="Stellar Kinematics",POWER(Upgrades!$U$15,G164),1)*IF(Upgrades!$T$16="Stellar Kinematics",POWER(Upgrades!$U$16,H164),1)*IF(Upgrades!$T$17="Stellar Kinematics",POWER(Upgrades!$U$17,I164),1)*IF(Upgrades!$T$18="Stellar Kinematics",POWER(Upgrades!$U$18,J164),1)*IF(Upgrades!$T$19="Stellar Kinematics",POWER(Upgrades!$U$19,K164),1)*IF(Upgrades!$T$20="Stellar Kinematics",POWER(Upgrades!$U$20,L164),1)*IF(Upgrades!$T$21="Stellar Kinematics",POWER(Upgrades!$U$21,M164),1))+(IF(F164=0,0,(Upgrades!$M$14+F164*Upgrades!$N$14)*POWER(Upgrades!$O$14,F164)))*(IF(Upgrades!$T$13="Local Bubble",POWER(Upgrades!$U$13,E164),1)*IF(Upgrades!$T$15="Local Bubble",POWER(Upgrades!$U$15,G164),1)*IF(Upgrades!$T$16="Local Bubble",POWER(Upgrades!$U$16,H164),1)*IF(Upgrades!$T$17="Local Bubble",POWER(Upgrades!$U$17,I164),1)*IF(Upgrades!$T$18="Local Bubble",POWER(Upgrades!$U$18,J164),1)*IF(Upgrades!$T$19="Local Bubble",POWER(Upgrades!$U$19,K164),1)*IF(Upgrades!$T$20="Local Bubble",POWER(Upgrades!$U$20,L164),1)*IF(Upgrades!$T$21="Local Bubble",POWER(Upgrades!$U$21,M164),1))+(IF(G164=0,0,(Upgrades!$M$15+G164*Upgrades!$N$15)*POWER(Upgrades!$O$15,G164)))*(IF(Upgrades!$T$13="Microlensing",POWER(Upgrades!$U$13,E164),1)*IF(Upgrades!$T$14="Microlensing",POWER(Upgrades!$U$14,F164),1)*IF(Upgrades!$T$16="Microlensing",POWER(Upgrades!$U$16,H164),1)*IF(Upgrades!$T$17="Microlensing",POWER(Upgrades!$U$17,I164),1)*IF(Upgrades!$T$18="Microlensing",POWER(Upgrades!$U$18,J164),1)*IF(Upgrades!$T$19="Microlensing",POWER(Upgrades!$U$19,K164),1)*IF(Upgrades!$T$20="Microlensing",POWER(Upgrades!$U$20,L164),1)*IF(Upgrades!$T$21="Microlensing",POWER(Upgrades!$U$21,M164),1))+(IF(H164=0,0,(Upgrades!$M$16+H164*Upgrades!$N$16)*POWER(Upgrades!$O$16,H164)))*(IF(Upgrades!$T$13="Roche Lobe Overflow",POWER(Upgrades!$U$13,E164),1)*IF(Upgrades!$T$14="Roche Lobe Overflow",POWER(Upgrades!$U$14,F164),1)*IF(Upgrades!$T$15="Roche Lobe Overflow",POWER(Upgrades!$U$15,G164),1)*IF(Upgrades!$T$17="Roche Lobe Overflow",POWER(Upgrades!$U$17,I164),1)*IF(Upgrades!$T$18="Roche Lobe Overflow",POWER(Upgrades!$U$18,J164),1)*IF(Upgrades!$T$19="Roche Lobe Overflow",POWER(Upgrades!$U$19,K164),1)*IF(Upgrades!$T$20="Roche Lobe Overflow",POWER(Upgrades!$U$20,L164),1)*IF(Upgrades!$T$21="Roche Lobe Overflow",POWER(Upgrades!$U$21,M164),1))+(IF(I164=0,0,(Upgrades!$M$17+I164*Upgrades!$N$17)*POWER(Upgrades!$O$17,I164)))*(IF(Upgrades!$T$13="Brown Dwarf",POWER(Upgrades!$U$13,E164),1)*IF(Upgrades!$T$14="Brown Dwarf",POWER(Upgrades!$U$14,F164),1)*IF(Upgrades!$T$15="Brown Dwarf",POWER(Upgrades!$U$15,G164),1)*IF(Upgrades!$T$16="Brown Dwarf",POWER(Upgrades!$U$16,H164),1)*IF(Upgrades!$T$18="Brown Dwarf",POWER(Upgrades!$U$18,J164),1)*IF(Upgrades!$T$19="Brown Dwarf",POWER(Upgrades!$U$19,K164),1)*IF(Upgrades!$T$20="Brown Dwarf",POWER(Upgrades!$U$20,L164),1)*IF(Upgrades!$T$21="Brown Dwarf",POWER(Upgrades!$U$21,M164),1))+(IF(J164=0,0,(Upgrades!$M$18+J164*Upgrades!$N$18)*POWER(Upgrades!$O$18,J164)))*(IF(Upgrades!$T$13="Binary Partner",POWER(Upgrades!$U$13,E164),1)*IF(Upgrades!$T$14="Binary Partner",POWER(Upgrades!$U$14,F164),1)*IF(Upgrades!$T$15="Binary Partner",POWER(Upgrades!$U$15,G164),1)*IF(Upgrades!$T$16="Binary Partner",POWER(Upgrades!$U$16,H164),1)*IF(Upgrades!$T$17="Binary Partner",POWER(Upgrades!$U$17,I164),1)*IF(Upgrades!$T$19="Binary Partner",POWER(Upgrades!$U$19,K164),1)*IF(Upgrades!$T$20="Binary Partner",POWER(Upgrades!$U$20,L164),1)*IF(Upgrades!$T$21="Binary Partner",POWER(Upgrades!$U$21,M164),1))+(IF(K164=0,0,(Upgrades!$M$19+K164*Upgrades!$N$19)*POWER(Upgrades!$O$19,K164)))*(IF(Upgrades!$T$13="Peculiar Velocity",POWER(Upgrades!$U$13,E164),1)*IF(Upgrades!$T$14="Peculiar Velocity",POWER(Upgrades!$U$14,F164),1)*IF(Upgrades!$T$15="Peculiar Velocity",POWER(Upgrades!$U$15,G164),1)*IF(Upgrades!$T$16="Peculiar Velocity",POWER(Upgrades!$U$16,H164),1)*IF(Upgrades!$T$17="Peculiar Velocity",POWER(Upgrades!$U$17,I164),1)*IF(Upgrades!$T$18="Peculiar Velocity",POWER(Upgrades!$U$18,J164),1)*IF(Upgrades!$T$20="Peculiar Velocity",POWER(Upgrades!$U$20,L164),1)*IF(Upgrades!$T$21="Peculiar Velocity",POWER(Upgrades!$U$21,M164),1))+(IF(L164=0,0,(Upgrades!$M$20+L164*Upgrades!$N$20)*POWER(Upgrades!$O$20,L164)))*(IF(Upgrades!$T$13="Open Cluster",POWER(Upgrades!$U$13,E164),1)*IF(Upgrades!$T$14="Open Cluster",POWER(Upgrades!$U$14,F164),1)*IF(Upgrades!$T$15="Open Cluster",POWER(Upgrades!$U$15,G164),1)*IF(Upgrades!$T$16="Open Cluster",POWER(Upgrades!$U$16,H164),1)*IF(Upgrades!$T$17="Open Cluster",POWER(Upgrades!$U$17,I164),1)*IF(Upgrades!$T$18="Open Cluster",POWER(Upgrades!$U$18,J164),1)*IF(Upgrades!$T$19="Open Cluster",POWER(Upgrades!$U$19,K164),1)*IF(Upgrades!$T$21="Open Cluster",POWER(Upgrades!$U$21,M164),1))+(IF(M164=0,0,(Upgrades!$M$21+M164*Upgrades!$N$21)*POWER(Upgrades!$O$21,M164)))*(IF(Upgrades!$T$13="Moving Group",POWER(Upgrades!$U$13,E164),1)*IF(Upgrades!$T$14="Moving Group",POWER(Upgrades!$U$14,F164),1)*IF(Upgrades!$T$15="Moving Group",POWER(Upgrades!$U$15,G164),1)*IF(Upgrades!$T$16="Moving Group",POWER(Upgrades!$U$16,H164),1)*IF(Upgrades!$T$17="Moving Group",POWER(Upgrades!$U$17,I164),1)*IF(Upgrades!$T$18="Moving Group",POWER(Upgrades!$U$18,J164),1)*IF(Upgrades!$T$19="Moving Group",POWER(Upgrades!$U$19,K164),1)*IF(Upgrades!$T$20="Moving Group",POWER(Upgrades!$U$20,L164),1)))*POWER(Upgrades!$R$13,E164)*POWER(Upgrades!$R$14,F164)*POWER(Upgrades!$R$15,G164)*POWER(Upgrades!$R$16,H164)*POWER(Upgrades!$R$17,I164)*POWER(Upgrades!$R$18,J164)*POWER(Upgrades!$R$19,K164)*POWER(Upgrades!$R$20,L164)*POWER(Upgrades!$R$21,M164)*$H$6+$E$6</f>
        <v/>
      </c>
      <c r="R164" s="27">
        <f>IF(N164=1,0,O164*Parameters!$B$10/60*Parameters!$B$11*10)</f>
        <v/>
      </c>
      <c r="S164" s="27">
        <f>IF(N164=1,0,Q164*O164*10)</f>
        <v/>
      </c>
      <c r="T164" s="27">
        <f>IF(N164=1,0,R164+S164+P164*10)</f>
        <v/>
      </c>
      <c r="U164" s="33">
        <f>BE164</f>
        <v/>
      </c>
      <c r="V164" s="22">
        <f>IF(U164="",0,IF(U164="transition",0,IF(U164="SK",AK164,IF(U164="LB",AL164,IF(U164="ML",AM164,IF(U164="RLO",AN164,IF(U164="BD",AO164,IF(U164="BiP",AP164,IF(U164="PV",AQ164,IF(U164="OC",AR164,IF(U164="MG",AS164,0))))))))))</f>
        <v/>
      </c>
      <c r="W164" s="27">
        <f>IF(U164="BiP",Upgrades!$F$18,IF(U164="PV",Upgrades!$F$19,IF(U164="OC",Upgrades!$F$20,IF(U164="MG",Upgrades!$F$21,IF(U164="transition",-Parameters!$B$18*Parameters!$B$19,0)))))</f>
        <v/>
      </c>
      <c r="X164" s="22">
        <f>C164+T164-V164</f>
        <v/>
      </c>
      <c r="Y164" s="30">
        <f>O164*Parameters!$B$10/60*Parameters!$B$11+Q164*O164+P164</f>
        <v/>
      </c>
      <c r="Z164" s="34">
        <f>IF(U164="transition","→ Tier 3 (Galactic Arm)",IF(U164="MG","Moving Group — pocket drifts together",IF(U164="OC","Open Cluster acquired",IF(U164="PV","Peculiar Velocity — passive multiplier active",IF(U164="BiP","Binary Partner — pair bond formed",IF(AND(AU164=1,N164=0,AT164&lt;&gt;1),"Cohesion ready (waiting on completionists)","")))))) </f>
        <v/>
      </c>
      <c r="AA164" s="27">
        <f>(IF(E164=0,0,(Upgrades!$G$13+E164*Upgrades!$H$13)*POWER(Upgrades!$I$13,E164)))*(IF(Upgrades!$T$14="Stellar Kinematics",POWER(Upgrades!$U$14,F164),1)*IF(Upgrades!$T$15="Stellar Kinematics",POWER(Upgrades!$U$15,G164),1)*IF(Upgrades!$T$16="Stellar Kinematics",POWER(Upgrades!$U$16,H164),1)*IF(Upgrades!$T$17="Stellar Kinematics",POWER(Upgrades!$U$17,I164),1)*IF(Upgrades!$T$18="Stellar Kinematics",POWER(Upgrades!$U$18,J164),1)*IF(Upgrades!$T$19="Stellar Kinematics",POWER(Upgrades!$U$19,K164),1)*IF(Upgrades!$T$20="Stellar Kinematics",POWER(Upgrades!$U$20,L164),1)*IF(Upgrades!$T$21="Stellar Kinematics",POWER(Upgrades!$U$21,M164),1))*POWER(Upgrades!$P$13,E164)*POWER(Upgrades!$P$14,F164)*POWER(Upgrades!$P$15,G164)*POWER(Upgrades!$P$16,H164)*POWER(Upgrades!$P$17,I164)*POWER(Upgrades!$P$18,J164)*POWER(Upgrades!$P$19,K164)*POWER(Upgrades!$P$20,L164)*POWER(Upgrades!$P$21,M164)*$F$6*60</f>
        <v/>
      </c>
      <c r="AB164" s="27">
        <f>(IF(F164=0,0,(Upgrades!$G$14+F164*Upgrades!$H$14)*POWER(Upgrades!$I$14,F164)))*(IF(Upgrades!$T$13="Local Bubble",POWER(Upgrades!$U$13,E164),1)*IF(Upgrades!$T$15="Local Bubble",POWER(Upgrades!$U$15,G164),1)*IF(Upgrades!$T$16="Local Bubble",POWER(Upgrades!$U$16,H164),1)*IF(Upgrades!$T$17="Local Bubble",POWER(Upgrades!$U$17,I164),1)*IF(Upgrades!$T$18="Local Bubble",POWER(Upgrades!$U$18,J164),1)*IF(Upgrades!$T$19="Local Bubble",POWER(Upgrades!$U$19,K164),1)*IF(Upgrades!$T$20="Local Bubble",POWER(Upgrades!$U$20,L164),1)*IF(Upgrades!$T$21="Local Bubble",POWER(Upgrades!$U$21,M164),1))*POWER(Upgrades!$P$13,E164)*POWER(Upgrades!$P$14,F164)*POWER(Upgrades!$P$15,G164)*POWER(Upgrades!$P$16,H164)*POWER(Upgrades!$P$17,I164)*POWER(Upgrades!$P$18,J164)*POWER(Upgrades!$P$19,K164)*POWER(Upgrades!$P$20,L164)*POWER(Upgrades!$P$21,M164)*$F$6*60</f>
        <v/>
      </c>
      <c r="AC164" s="27">
        <f>(IF(G164=0,0,(Upgrades!$J$15+G164*Upgrades!$K$15)*POWER(Upgrades!$L$15,G164)))*(IF(Upgrades!$T$13="Microlensing",POWER(Upgrades!$U$13,E164),1)*IF(Upgrades!$T$14="Microlensing",POWER(Upgrades!$U$14,F164),1)*IF(Upgrades!$T$16="Microlensing",POWER(Upgrades!$U$16,H164),1)*IF(Upgrades!$T$17="Microlensing",POWER(Upgrades!$U$17,I164),1)*IF(Upgrades!$T$18="Microlensing",POWER(Upgrades!$U$18,J164),1)*IF(Upgrades!$T$19="Microlensing",POWER(Upgrades!$U$19,K164),1)*IF(Upgrades!$T$20="Microlensing",POWER(Upgrades!$U$20,L164),1)*IF(Upgrades!$T$21="Microlensing",POWER(Upgrades!$U$21,M164),1))*POWER(Upgrades!$Q$13,E164)*POWER(Upgrades!$Q$14,F164)*POWER(Upgrades!$Q$15,G164)*POWER(Upgrades!$Q$16,H164)*POWER(Upgrades!$Q$17,I164)*POWER(Upgrades!$Q$18,J164)*POWER(Upgrades!$Q$19,K164)*POWER(Upgrades!$Q$20,L164)*POWER(Upgrades!$Q$21,M164)*$G$6*(Parameters!$B$10*Parameters!$B$11+Q164*60)</f>
        <v/>
      </c>
      <c r="AD164" s="27">
        <f>(IF(H164=0,0,(Upgrades!$M$16+H164*Upgrades!$N$16)*POWER(Upgrades!$O$16,H164)))*(IF(Upgrades!$T$13="Roche Lobe Overflow",POWER(Upgrades!$U$13,E164),1)*IF(Upgrades!$T$14="Roche Lobe Overflow",POWER(Upgrades!$U$14,F164),1)*IF(Upgrades!$T$15="Roche Lobe Overflow",POWER(Upgrades!$U$15,G164),1)*IF(Upgrades!$T$17="Roche Lobe Overflow",POWER(Upgrades!$U$17,I164),1)*IF(Upgrades!$T$18="Roche Lobe Overflow",POWER(Upgrades!$U$18,J164),1)*IF(Upgrades!$T$19="Roche Lobe Overflow",POWER(Upgrades!$U$19,K164),1)*IF(Upgrades!$T$20="Roche Lobe Overflow",POWER(Upgrades!$U$20,L164),1)*IF(Upgrades!$T$21="Roche Lobe Overflow",POWER(Upgrades!$U$21,M164),1))*POWER(Upgrades!$R$13,E164)*POWER(Upgrades!$R$14,F164)*POWER(Upgrades!$R$15,G164)*POWER(Upgrades!$R$16,H164)*POWER(Upgrades!$R$17,I164)*POWER(Upgrades!$R$18,J164)*POWER(Upgrades!$R$19,K164)*POWER(Upgrades!$R$20,L164)*POWER(Upgrades!$R$21,M164)*$H$6*O164*60</f>
        <v/>
      </c>
      <c r="AE164" s="27">
        <f>(IF(I164=0,0,(Upgrades!$G$17+I164*Upgrades!$H$17)*POWER(Upgrades!$I$17,I164)))*(IF(Upgrades!$T$13="Brown Dwarf",POWER(Upgrades!$U$13,E164),1)*IF(Upgrades!$T$14="Brown Dwarf",POWER(Upgrades!$U$14,F164),1)*IF(Upgrades!$T$15="Brown Dwarf",POWER(Upgrades!$U$15,G164),1)*IF(Upgrades!$T$16="Brown Dwarf",POWER(Upgrades!$U$16,H164),1)*IF(Upgrades!$T$18="Brown Dwarf",POWER(Upgrades!$U$18,J164),1)*IF(Upgrades!$T$19="Brown Dwarf",POWER(Upgrades!$U$19,K164),1)*IF(Upgrades!$T$20="Brown Dwarf",POWER(Upgrades!$U$20,L164),1)*IF(Upgrades!$T$21="Brown Dwarf",POWER(Upgrades!$U$21,M164),1))*POWER(Upgrades!$P$13,E164)*POWER(Upgrades!$P$14,F164)*POWER(Upgrades!$P$15,G164)*POWER(Upgrades!$P$16,H164)*POWER(Upgrades!$P$17,I164)*POWER(Upgrades!$P$18,J164)*POWER(Upgrades!$P$19,K164)*POWER(Upgrades!$P$20,L164)*POWER(Upgrades!$P$21,M164)*$F$6*60</f>
        <v/>
      </c>
      <c r="AF164" s="27" t="n">
        <v>0</v>
      </c>
      <c r="AG164" s="27" t="n">
        <v>0</v>
      </c>
      <c r="AH164" s="27" t="n">
        <v>0</v>
      </c>
      <c r="AI164" s="27">
        <f>(IF(M164=0,0,(Upgrades!$G$21+M164*Upgrades!$H$21)*POWER(Upgrades!$I$21,M164)))*(IF(Upgrades!$T$13="Moving Group",POWER(Upgrades!$U$13,E164),1)*IF(Upgrades!$T$14="Moving Group",POWER(Upgrades!$U$14,F164),1)*IF(Upgrades!$T$15="Moving Group",POWER(Upgrades!$U$15,G164),1)*IF(Upgrades!$T$16="Moving Group",POWER(Upgrades!$U$16,H164),1)*IF(Upgrades!$T$17="Moving Group",POWER(Upgrades!$U$17,I164),1)*IF(Upgrades!$T$18="Moving Group",POWER(Upgrades!$U$18,J164),1)*IF(Upgrades!$T$19="Moving Group",POWER(Upgrades!$U$19,K164),1)*IF(Upgrades!$T$20="Moving Group",POWER(Upgrades!$U$20,L164),1))*POWER(Upgrades!$P$13,E164)*POWER(Upgrades!$P$14,F164)*POWER(Upgrades!$P$15,G164)*POWER(Upgrades!$P$16,H164)*POWER(Upgrades!$P$17,I164)*POWER(Upgrades!$P$18,J164)*POWER(Upgrades!$P$19,K164)*POWER(Upgrades!$P$20,L164)*POWER(Upgrades!$P$21,M164)*$F$6*60</f>
        <v/>
      </c>
      <c r="AJ164" s="27">
        <f>$C$6*60</f>
        <v/>
      </c>
      <c r="AK164" s="22">
        <f>IF(E164&gt;=Upgrades!$E$13,"",Upgrades!$C$13*POWER(Upgrades!$D$13,E164))</f>
        <v/>
      </c>
      <c r="AL164" s="22">
        <f>IF(F164&gt;=Upgrades!$E$14,"",Upgrades!$C$14*POWER(Upgrades!$D$14,F164))</f>
        <v/>
      </c>
      <c r="AM164" s="22">
        <f>IF(G164&gt;=Upgrades!$E$15,"",Upgrades!$C$15*POWER(Upgrades!$D$15,G164))</f>
        <v/>
      </c>
      <c r="AN164" s="22">
        <f>IF(H164&gt;=Upgrades!$E$16,"",Upgrades!$C$16*POWER(Upgrades!$D$16,H164))</f>
        <v/>
      </c>
      <c r="AO164" s="22">
        <f>IF(I164&gt;=Upgrades!$E$17,"",Upgrades!$C$17*POWER(Upgrades!$D$17,I164))</f>
        <v/>
      </c>
      <c r="AP164" s="22">
        <f>IF(J164&gt;=Upgrades!$E$18,"",Upgrades!$C$18*POWER(Upgrades!$D$18,J164))</f>
        <v/>
      </c>
      <c r="AQ164" s="22">
        <f>IF(K164&gt;=Upgrades!$E$19,"",Upgrades!$C$19*POWER(Upgrades!$D$19,K164))</f>
        <v/>
      </c>
      <c r="AR164" s="22">
        <f>IF(L164&gt;=Upgrades!$E$20,"",Upgrades!$C$20*POWER(Upgrades!$D$20,L164))</f>
        <v/>
      </c>
      <c r="AS164" s="22">
        <f>IF(M164&gt;=Upgrades!$E$21,"",Upgrades!$C$21*POWER(Upgrades!$D$21,M164))</f>
        <v/>
      </c>
      <c r="AT164" s="26">
        <f>IF(AND(D164&gt;=Parameters!$B$18*Parameters!$B$19,(I164&gt;=Upgrades!$E$17)*(M164&gt;=Upgrades!$E$21)=1,N164=0),1,"")</f>
        <v/>
      </c>
      <c r="AU164" s="26">
        <f>IF(AND(D164&gt;=Parameters!$B$18*Parameters!$B$19,N164=0),1,"")</f>
        <v/>
      </c>
      <c r="AV164" s="22">
        <f>MIN(IF(ISNUMBER(AP164),AP164,9E15),IF(ISNUMBER(AQ164),AQ164,9E15),IF(ISNUMBER(AR164),AR164,9E15),IF(ISNUMBER(AS164),AS164,9E15))</f>
        <v/>
      </c>
      <c r="AW164" s="22">
        <f>MIN(IF(ISNUMBER(AK164),AK164,9E15),IF(ISNUMBER(AL164),AL164,9E15),IF(ISNUMBER(AM164),AM164,9E15),IF(ISNUMBER(AN164),AN164,9E15),IF(ISNUMBER(AO164),AO164,9E15))</f>
        <v/>
      </c>
      <c r="AX164" s="29">
        <f>IF(BD164&gt;Parameters!$B$21*(MAX(IF(AND(NOT(AND(AU164=1,AT164&lt;&gt;1)),ISNUMBER(AK164),AK164&lt;=(C164+T164)),AY164,0),IF(AND(NOT(AND(AU164=1,AT164&lt;&gt;1)),ISNUMBER(AL164),AL164&lt;=(C164+T164)),AZ164,0),IF(AND(NOT(AND(AU164=1,AT164&lt;&gt;1)),ISNUMBER(AM164),AM164&lt;=(C164+T164)),BA164,0),IF(AND(NOT(AND(AU164=1,AT164&lt;&gt;1)),ISNUMBER(AN164),AN164&lt;=(C164+T164)),BB164,0),IF(AND(ISNUMBER(AO164),AO164&lt;=(C164+T164)),BC164,0))),TRUE,FALSE)</f>
        <v/>
      </c>
      <c r="AY164" s="32">
        <f>IFERROR(Upgrades!$H$13*(POWER(Upgrades!$P$13,E164)*POWER(Upgrades!$P$14,F164)*POWER(Upgrades!$P$15,G164)*POWER(Upgrades!$P$16,H164)*POWER(Upgrades!$P$17,I164)*POWER(Upgrades!$P$18,J164)*POWER(Upgrades!$P$19,K164)*POWER(Upgrades!$P$20,L164)*POWER(Upgrades!$P$21,M164))*(IF(Upgrades!$T$14="Stellar Kinematics",POWER(Upgrades!$U$14,F164),1)*IF(Upgrades!$T$15="Stellar Kinematics",POWER(Upgrades!$U$15,G164),1)*IF(Upgrades!$T$16="Stellar Kinematics",POWER(Upgrades!$U$16,H164),1)*IF(Upgrades!$T$17="Stellar Kinematics",POWER(Upgrades!$U$17,I164),1)*IF(Upgrades!$T$18="Stellar Kinematics",POWER(Upgrades!$U$18,J164),1)*IF(Upgrades!$T$19="Stellar Kinematics",POWER(Upgrades!$U$19,K164),1)*IF(Upgrades!$T$20="Stellar Kinematics",POWER(Upgrades!$U$20,L164),1)*IF(Upgrades!$T$21="Stellar Kinematics",POWER(Upgrades!$U$21,M164),1))*$F$6/AK164,0)</f>
        <v/>
      </c>
      <c r="AZ164" s="32">
        <f>IFERROR(Upgrades!$H$14*(POWER(Upgrades!$P$13,E164)*POWER(Upgrades!$P$14,F164)*POWER(Upgrades!$P$15,G164)*POWER(Upgrades!$P$16,H164)*POWER(Upgrades!$P$17,I164)*POWER(Upgrades!$P$18,J164)*POWER(Upgrades!$P$19,K164)*POWER(Upgrades!$P$20,L164)*POWER(Upgrades!$P$21,M164))*(IF(Upgrades!$T$13="Local Bubble",POWER(Upgrades!$U$13,E164),1)*IF(Upgrades!$T$15="Local Bubble",POWER(Upgrades!$U$15,G164),1)*IF(Upgrades!$T$16="Local Bubble",POWER(Upgrades!$U$16,H164),1)*IF(Upgrades!$T$17="Local Bubble",POWER(Upgrades!$U$17,I164),1)*IF(Upgrades!$T$18="Local Bubble",POWER(Upgrades!$U$18,J164),1)*IF(Upgrades!$T$19="Local Bubble",POWER(Upgrades!$U$19,K164),1)*IF(Upgrades!$T$20="Local Bubble",POWER(Upgrades!$U$20,L164),1)*IF(Upgrades!$T$21="Local Bubble",POWER(Upgrades!$U$21,M164),1))*$F$6/AL164,0)</f>
        <v/>
      </c>
      <c r="BA164" s="32">
        <f>IFERROR(Upgrades!$K$15*(POWER(Upgrades!$Q$13,E164)*POWER(Upgrades!$Q$14,F164)*POWER(Upgrades!$Q$15,G164)*POWER(Upgrades!$Q$16,H164)*POWER(Upgrades!$Q$17,I164)*POWER(Upgrades!$Q$18,J164)*POWER(Upgrades!$Q$19,K164)*POWER(Upgrades!$Q$20,L164)*POWER(Upgrades!$Q$21,M164))*(IF(Upgrades!$T$13="Microlensing",POWER(Upgrades!$U$13,E164),1)*IF(Upgrades!$T$14="Microlensing",POWER(Upgrades!$U$14,F164),1)*IF(Upgrades!$T$16="Microlensing",POWER(Upgrades!$U$16,H164),1)*IF(Upgrades!$T$17="Microlensing",POWER(Upgrades!$U$17,I164),1)*IF(Upgrades!$T$18="Microlensing",POWER(Upgrades!$U$18,J164),1)*IF(Upgrades!$T$19="Microlensing",POWER(Upgrades!$U$19,K164),1)*IF(Upgrades!$T$20="Microlensing",POWER(Upgrades!$U$20,L164),1)*IF(Upgrades!$T$21="Microlensing",POWER(Upgrades!$U$21,M164),1))*$G$6*(Parameters!$B$10/60*Parameters!$B$11+Q164)/AM164,0)</f>
        <v/>
      </c>
      <c r="BB164" s="32">
        <f>IFERROR((Upgrades!$N$16*(POWER(Upgrades!$R$13,E164)*POWER(Upgrades!$R$14,F164)*POWER(Upgrades!$R$15,G164)*POWER(Upgrades!$R$16,H164)*POWER(Upgrades!$R$17,I164)*POWER(Upgrades!$R$18,J164)*POWER(Upgrades!$R$19,K164)*POWER(Upgrades!$R$20,L164)*POWER(Upgrades!$R$21,M164))*(IF(Upgrades!$T$13="Roche Lobe Overflow",POWER(Upgrades!$U$13,E164),1)*IF(Upgrades!$T$14="Roche Lobe Overflow",POWER(Upgrades!$U$14,F164),1)*IF(Upgrades!$T$15="Roche Lobe Overflow",POWER(Upgrades!$U$15,G164),1)*IF(Upgrades!$T$17="Roche Lobe Overflow",POWER(Upgrades!$U$17,I164),1)*IF(Upgrades!$T$18="Roche Lobe Overflow",POWER(Upgrades!$U$18,J164),1)*IF(Upgrades!$T$19="Roche Lobe Overflow",POWER(Upgrades!$U$19,K164),1)*IF(Upgrades!$T$20="Roche Lobe Overflow",POWER(Upgrades!$U$20,L164),1)*IF(Upgrades!$T$21="Roche Lobe Overflow",POWER(Upgrades!$U$21,M164),1))*$H$6*O164+((IF(F164=0,0,(Upgrades!$G$14+F164*Upgrades!$H$14)*POWER(Upgrades!$I$14,F164)))*(IF(Upgrades!$T$13="Local Bubble",POWER(Upgrades!$U$13,E164),1)*IF(Upgrades!$T$15="Local Bubble",POWER(Upgrades!$U$15,G164),1)*IF(Upgrades!$T$16="Local Bubble",POWER(Upgrades!$U$16,H164),1)*IF(Upgrades!$T$17="Local Bubble",POWER(Upgrades!$U$17,I164),1)*IF(Upgrades!$T$18="Local Bubble",POWER(Upgrades!$U$18,J164),1)*IF(Upgrades!$T$19="Local Bubble",POWER(Upgrades!$U$19,K164),1)*IF(Upgrades!$T$20="Local Bubble",POWER(Upgrades!$U$20,L164),1)*IF(Upgrades!$T$21="Local Bubble",POWER(Upgrades!$U$21,M164),1))*POWER(Upgrades!$P$13,E164)*POWER(Upgrades!$P$14,F164)*POWER(Upgrades!$P$15,G164)*POWER(Upgrades!$P$16,H164)*POWER(Upgrades!$P$17,I164)*POWER(Upgrades!$P$18,J164)*POWER(Upgrades!$P$19,K164)*POWER(Upgrades!$P$20,L164)*POWER(Upgrades!$P$21,M164)*$F$6)*0.05)/AN164,0)</f>
        <v/>
      </c>
      <c r="BC164" s="32">
        <f>IFERROR((Upgrades!$H$17*(POWER(Upgrades!$P$13,E164)*POWER(Upgrades!$P$14,F164)*POWER(Upgrades!$P$15,G164)*POWER(Upgrades!$P$16,H164)*POWER(Upgrades!$P$17,I164)*POWER(Upgrades!$P$18,J164)*POWER(Upgrades!$P$19,K164)*POWER(Upgrades!$P$20,L164)*POWER(Upgrades!$P$21,M164))*(IF(Upgrades!$T$13="Brown Dwarf",POWER(Upgrades!$U$13,E164),1)*IF(Upgrades!$T$14="Brown Dwarf",POWER(Upgrades!$U$14,F164),1)*IF(Upgrades!$T$15="Brown Dwarf",POWER(Upgrades!$U$15,G164),1)*IF(Upgrades!$T$16="Brown Dwarf",POWER(Upgrades!$U$16,H164),1)*IF(Upgrades!$T$18="Brown Dwarf",POWER(Upgrades!$U$18,J164),1)*IF(Upgrades!$T$19="Brown Dwarf",POWER(Upgrades!$U$19,K164),1)*IF(Upgrades!$T$20="Brown Dwarf",POWER(Upgrades!$U$20,L164),1)*IF(Upgrades!$T$21="Brown Dwarf",POWER(Upgrades!$U$21,M164),1))*$F$6+(((IF(H164=0,0,(Upgrades!$M$16+H164*Upgrades!$N$16)*POWER(Upgrades!$O$16,H164)))*(IF(Upgrades!$T$13="Roche Lobe Overflow",POWER(Upgrades!$U$13,E164),1)*IF(Upgrades!$T$14="Roche Lobe Overflow",POWER(Upgrades!$U$14,F164),1)*IF(Upgrades!$T$15="Roche Lobe Overflow",POWER(Upgrades!$U$15,G164),1)*IF(Upgrades!$T$17="Roche Lobe Overflow",POWER(Upgrades!$U$17,I164),1)*IF(Upgrades!$T$18="Roche Lobe Overflow",POWER(Upgrades!$U$18,J164),1)*IF(Upgrades!$T$19="Roche Lobe Overflow",POWER(Upgrades!$U$19,K164),1)*IF(Upgrades!$T$20="Roche Lobe Overflow",POWER(Upgrades!$U$20,L164),1)*IF(Upgrades!$T$21="Roche Lobe Overflow",POWER(Upgrades!$U$21,M164),1))*POWER(Upgrades!$R$13,E164)*POWER(Upgrades!$R$14,F164)*POWER(Upgrades!$R$15,G164)*POWER(Upgrades!$R$16,H164)*POWER(Upgrades!$R$17,I164)*POWER(Upgrades!$R$18,J164)*POWER(Upgrades!$R$19,K164)*POWER(Upgrades!$R$20,L164)*POWER(Upgrades!$R$21,M164)*$H$6)*O164)*0.10)/AO164,0)</f>
        <v/>
      </c>
      <c r="BD164" s="32">
        <f>MAX(IF(J164&gt;0,0,IFERROR(0.5*((IF(G164=0,0,(Upgrades!$J$15+G164*Upgrades!$K$15)*POWER(Upgrades!$L$15,G164)))*(IF(Upgrades!$T$13="Microlensing",POWER(Upgrades!$U$13,E164),1)*IF(Upgrades!$T$14="Microlensing",POWER(Upgrades!$U$14,F164),1)*IF(Upgrades!$T$16="Microlensing",POWER(Upgrades!$U$16,H164),1)*IF(Upgrades!$T$17="Microlensing",POWER(Upgrades!$U$17,I164),1)*IF(Upgrades!$T$18="Microlensing",POWER(Upgrades!$U$18,J164),1)*IF(Upgrades!$T$19="Microlensing",POWER(Upgrades!$U$19,K164),1)*IF(Upgrades!$T$20="Microlensing",POWER(Upgrades!$U$20,L164),1)*IF(Upgrades!$T$21="Microlensing",POWER(Upgrades!$U$21,M164),1))*(POWER(Upgrades!$Q$13,E164)*POWER(Upgrades!$Q$14,F164)*POWER(Upgrades!$Q$15,G164)*POWER(Upgrades!$Q$16,H164)*POWER(Upgrades!$Q$17,I164)*POWER(Upgrades!$Q$18,J164)*POWER(Upgrades!$Q$19,K164)*POWER(Upgrades!$Q$20,L164)*POWER(Upgrades!$Q$21,M164))*$G$6*(Parameters!$B$10/60*Parameters!$B$11+Q164))/Upgrades!$C$18,0)),IF(K164&gt;0,0,IFERROR(0.30*P164/Upgrades!$C$19,0)),IF(L164&gt;0,0,IFERROR(0.0001/Upgrades!$C$20,0)),IF(M164&gt;0,0,IFERROR((6.0*(POWER(Upgrades!$P$13,E164)*POWER(Upgrades!$P$14,F164)*POWER(Upgrades!$P$15,G164)*POWER(Upgrades!$P$16,H164)*POWER(Upgrades!$P$17,I164)*POWER(Upgrades!$P$18,J164)*POWER(Upgrades!$P$19,K164)*POWER(Upgrades!$P$20,L164)*POWER(Upgrades!$P$21,M164))*$F$6+0.20*O164*(Parameters!$B$10/60*Parameters!$B$11+Q164))/Upgrades!$C$21,0)),IF(AND(ISNUMBER(AK164),AK164&gt;(C164+T164)),AY164,0),IF(AND(ISNUMBER(AL164),AL164&gt;(C164+T164)),AZ164,0),IF(AND(ISNUMBER(AM164),AM164&gt;(C164+T164)),BA164,0),IF(AND(ISNUMBER(AN164),AN164&gt;(C164+T164)),BB164,0),IF(AND(ISNUMBER(AO164),AO164&gt;(C164+T164)),BC164,0))</f>
        <v/>
      </c>
      <c r="BE164" s="29">
        <f>IF(AT164=1,"transition",IF(MIN(IF(AND(J164=0,ISNUMBER(AP164),AP164&lt;=(C164+T164)),AP164,9E15),IF(AND(K164=0,ISNUMBER(AQ164),AQ164&lt;=(C164+T164)),AQ164,9E15),IF(AND(L164=0,ISNUMBER(AR164),AR164&lt;=(C164+T164)),AR164,9E15),IF(AND(M164=0,ISNUMBER(AS164),AS164&lt;=(C164+T164)),AS164,9E15))&lt;9E15,IF(AND(AND(J164=0,ISNUMBER(AP164),AP164&lt;=(C164+T164)),AP164=MIN(IF(AND(J164=0,ISNUMBER(AP164),AP164&lt;=(C164+T164)),AP164,9E15),IF(AND(K164=0,ISNUMBER(AQ164),AQ164&lt;=(C164+T164)),AQ164,9E15),IF(AND(L164=0,ISNUMBER(AR164),AR164&lt;=(C164+T164)),AR164,9E15),IF(AND(M164=0,ISNUMBER(AS164),AS164&lt;=(C164+T164)),AS164,9E15))),"BiP",IF(AND(AND(K164=0,ISNUMBER(AQ164),AQ164&lt;=(C164+T164)),AQ164=MIN(IF(AND(J164=0,ISNUMBER(AP164),AP164&lt;=(C164+T164)),AP164,9E15),IF(AND(K164=0,ISNUMBER(AQ164),AQ164&lt;=(C164+T164)),AQ164,9E15),IF(AND(L164=0,ISNUMBER(AR164),AR164&lt;=(C164+T164)),AR164,9E15),IF(AND(M164=0,ISNUMBER(AS164),AS164&lt;=(C164+T164)),AS164,9E15))),"PV",IF(AND(AND(L164=0,ISNUMBER(AR164),AR164&lt;=(C164+T164)),AR164=MIN(IF(AND(J164=0,ISNUMBER(AP164),AP164&lt;=(C164+T164)),AP164,9E15),IF(AND(K164=0,ISNUMBER(AQ164),AQ164&lt;=(C164+T164)),AQ164,9E15),IF(AND(L164=0,ISNUMBER(AR164),AR164&lt;=(C164+T164)),AR164,9E15),IF(AND(M164=0,ISNUMBER(AS164),AS164&lt;=(C164+T164)),AS164,9E15))),"OC","MG"))),IF(AX164=TRUE,"",IF(MAX(IF(AND(NOT(AND(AU164=1,AT164&lt;&gt;1)),ISNUMBER(AK164),AK164&lt;=(C164+T164)),AY164,0),IF(AND(NOT(AND(AU164=1,AT164&lt;&gt;1)),ISNUMBER(AL164),AL164&lt;=(C164+T164)),AZ164,0),IF(AND(NOT(AND(AU164=1,AT164&lt;&gt;1)),ISNUMBER(AM164),AM164&lt;=(C164+T164)),BA164,0),IF(AND(NOT(AND(AU164=1,AT164&lt;&gt;1)),ISNUMBER(AN164),AN164&lt;=(C164+T164)),BB164,0),IF(AND(ISNUMBER(AO164),AO164&lt;=(C164+T164)),BC164,0))&lt;=0,"",IF(AND(IF(AND(NOT(AND(AU164=1,AT164&lt;&gt;1)),ISNUMBER(AK164),AK164&lt;=(C164+T164)),AY164,0)&gt;0,IF(AND(NOT(AND(AU164=1,AT164&lt;&gt;1)),ISNUMBER(AK164),AK164&lt;=(C164+T164)),AY164,0)=MAX(IF(AND(NOT(AND(AU164=1,AT164&lt;&gt;1)),ISNUMBER(AK164),AK164&lt;=(C164+T164)),AY164,0),IF(AND(NOT(AND(AU164=1,AT164&lt;&gt;1)),ISNUMBER(AL164),AL164&lt;=(C164+T164)),AZ164,0),IF(AND(NOT(AND(AU164=1,AT164&lt;&gt;1)),ISNUMBER(AM164),AM164&lt;=(C164+T164)),BA164,0),IF(AND(NOT(AND(AU164=1,AT164&lt;&gt;1)),ISNUMBER(AN164),AN164&lt;=(C164+T164)),BB164,0),IF(AND(ISNUMBER(AO164),AO164&lt;=(C164+T164)),BC164,0))),"SK",IF(AND(IF(AND(NOT(AND(AU164=1,AT164&lt;&gt;1)),ISNUMBER(AL164),AL164&lt;=(C164+T164)),AZ164,0)&gt;0,IF(AND(NOT(AND(AU164=1,AT164&lt;&gt;1)),ISNUMBER(AL164),AL164&lt;=(C164+T164)),AZ164,0)=MAX(IF(AND(NOT(AND(AU164=1,AT164&lt;&gt;1)),ISNUMBER(AK164),AK164&lt;=(C164+T164)),AY164,0),IF(AND(NOT(AND(AU164=1,AT164&lt;&gt;1)),ISNUMBER(AL164),AL164&lt;=(C164+T164)),AZ164,0),IF(AND(NOT(AND(AU164=1,AT164&lt;&gt;1)),ISNUMBER(AM164),AM164&lt;=(C164+T164)),BA164,0),IF(AND(NOT(AND(AU164=1,AT164&lt;&gt;1)),ISNUMBER(AN164),AN164&lt;=(C164+T164)),BB164,0),IF(AND(ISNUMBER(AO164),AO164&lt;=(C164+T164)),BC164,0))),"LB",IF(AND(IF(AND(NOT(AND(AU164=1,AT164&lt;&gt;1)),ISNUMBER(AM164),AM164&lt;=(C164+T164)),BA164,0)&gt;0,IF(AND(NOT(AND(AU164=1,AT164&lt;&gt;1)),ISNUMBER(AM164),AM164&lt;=(C164+T164)),BA164,0)=MAX(IF(AND(NOT(AND(AU164=1,AT164&lt;&gt;1)),ISNUMBER(AK164),AK164&lt;=(C164+T164)),AY164,0),IF(AND(NOT(AND(AU164=1,AT164&lt;&gt;1)),ISNUMBER(AL164),AL164&lt;=(C164+T164)),AZ164,0),IF(AND(NOT(AND(AU164=1,AT164&lt;&gt;1)),ISNUMBER(AM164),AM164&lt;=(C164+T164)),BA164,0),IF(AND(NOT(AND(AU164=1,AT164&lt;&gt;1)),ISNUMBER(AN164),AN164&lt;=(C164+T164)),BB164,0),IF(AND(ISNUMBER(AO164),AO164&lt;=(C164+T164)),BC164,0))),"ML",IF(AND(IF(AND(NOT(AND(AU164=1,AT164&lt;&gt;1)),ISNUMBER(AN164),AN164&lt;=(C164+T164)),BB164,0)&gt;0,IF(AND(NOT(AND(AU164=1,AT164&lt;&gt;1)),ISNUMBER(AN164),AN164&lt;=(C164+T164)),BB164,0)=MAX(IF(AND(NOT(AND(AU164=1,AT164&lt;&gt;1)),ISNUMBER(AK164),AK164&lt;=(C164+T164)),AY164,0),IF(AND(NOT(AND(AU164=1,AT164&lt;&gt;1)),ISNUMBER(AL164),AL164&lt;=(C164+T164)),AZ164,0),IF(AND(NOT(AND(AU164=1,AT164&lt;&gt;1)),ISNUMBER(AM164),AM164&lt;=(C164+T164)),BA164,0),IF(AND(NOT(AND(AU164=1,AT164&lt;&gt;1)),ISNUMBER(AN164),AN164&lt;=(C164+T164)),BB164,0),IF(AND(ISNUMBER(AO164),AO164&lt;=(C164+T164)),BC164,0))),"RLO","BD"))))))))</f>
        <v/>
      </c>
    </row>
    <row r="165">
      <c r="A165" s="26" t="n">
        <v>154</v>
      </c>
      <c r="B165" s="27">
        <f>A165*10/60</f>
        <v/>
      </c>
      <c r="C165" s="22">
        <f>X164</f>
        <v/>
      </c>
      <c r="D165" s="27">
        <f>D164+W164</f>
        <v/>
      </c>
      <c r="E165" s="26">
        <f>E164+IF(U164="SK",1,0)</f>
        <v/>
      </c>
      <c r="F165" s="26">
        <f>F164+IF(U164="LB",1,0)</f>
        <v/>
      </c>
      <c r="G165" s="26">
        <f>G164+IF(U164="ML",1,0)</f>
        <v/>
      </c>
      <c r="H165" s="26">
        <f>H164+IF(U164="RLO",1,0)</f>
        <v/>
      </c>
      <c r="I165" s="26">
        <f>I164+IF(U164="BD",1,0)</f>
        <v/>
      </c>
      <c r="J165" s="26">
        <f>MAX(J164,IF(U164="BiP",1,0))</f>
        <v/>
      </c>
      <c r="K165" s="26">
        <f>MAX(K164,IF(U164="PV",1,0))</f>
        <v/>
      </c>
      <c r="L165" s="26">
        <f>MAX(L164,IF(U164="OC",1,0))</f>
        <v/>
      </c>
      <c r="M165" s="26">
        <f>MAX(M164,IF(U164="MG",1,0))</f>
        <v/>
      </c>
      <c r="N165" s="26">
        <f>MAX(N164,IF(U164="transition",1,0))</f>
        <v/>
      </c>
      <c r="O165" s="28">
        <f>(Parameters!$B$9+(IF(E165=0,0,(Upgrades!$J$13+E165*Upgrades!$K$13)*POWER(Upgrades!$L$13,E165)))*(IF(Upgrades!$T$14="Stellar Kinematics",POWER(Upgrades!$U$14,F165),1)*IF(Upgrades!$T$15="Stellar Kinematics",POWER(Upgrades!$U$15,G165),1)*IF(Upgrades!$T$16="Stellar Kinematics",POWER(Upgrades!$U$16,H165),1)*IF(Upgrades!$T$17="Stellar Kinematics",POWER(Upgrades!$U$17,I165),1)*IF(Upgrades!$T$18="Stellar Kinematics",POWER(Upgrades!$U$18,J165),1)*IF(Upgrades!$T$19="Stellar Kinematics",POWER(Upgrades!$U$19,K165),1)*IF(Upgrades!$T$20="Stellar Kinematics",POWER(Upgrades!$U$20,L165),1)*IF(Upgrades!$T$21="Stellar Kinematics",POWER(Upgrades!$U$21,M165),1))+(IF(F165=0,0,(Upgrades!$J$14+F165*Upgrades!$K$14)*POWER(Upgrades!$L$14,F165)))*(IF(Upgrades!$T$13="Local Bubble",POWER(Upgrades!$U$13,E165),1)*IF(Upgrades!$T$15="Local Bubble",POWER(Upgrades!$U$15,G165),1)*IF(Upgrades!$T$16="Local Bubble",POWER(Upgrades!$U$16,H165),1)*IF(Upgrades!$T$17="Local Bubble",POWER(Upgrades!$U$17,I165),1)*IF(Upgrades!$T$18="Local Bubble",POWER(Upgrades!$U$18,J165),1)*IF(Upgrades!$T$19="Local Bubble",POWER(Upgrades!$U$19,K165),1)*IF(Upgrades!$T$20="Local Bubble",POWER(Upgrades!$U$20,L165),1)*IF(Upgrades!$T$21="Local Bubble",POWER(Upgrades!$U$21,M165),1))+(IF(G165=0,0,(Upgrades!$J$15+G165*Upgrades!$K$15)*POWER(Upgrades!$L$15,G165)))*(IF(Upgrades!$T$13="Microlensing",POWER(Upgrades!$U$13,E165),1)*IF(Upgrades!$T$14="Microlensing",POWER(Upgrades!$U$14,F165),1)*IF(Upgrades!$T$16="Microlensing",POWER(Upgrades!$U$16,H165),1)*IF(Upgrades!$T$17="Microlensing",POWER(Upgrades!$U$17,I165),1)*IF(Upgrades!$T$18="Microlensing",POWER(Upgrades!$U$18,J165),1)*IF(Upgrades!$T$19="Microlensing",POWER(Upgrades!$U$19,K165),1)*IF(Upgrades!$T$20="Microlensing",POWER(Upgrades!$U$20,L165),1)*IF(Upgrades!$T$21="Microlensing",POWER(Upgrades!$U$21,M165),1))+(IF(H165=0,0,(Upgrades!$J$16+H165*Upgrades!$K$16)*POWER(Upgrades!$L$16,H165)))*(IF(Upgrades!$T$13="Roche Lobe Overflow",POWER(Upgrades!$U$13,E165),1)*IF(Upgrades!$T$14="Roche Lobe Overflow",POWER(Upgrades!$U$14,F165),1)*IF(Upgrades!$T$15="Roche Lobe Overflow",POWER(Upgrades!$U$15,G165),1)*IF(Upgrades!$T$17="Roche Lobe Overflow",POWER(Upgrades!$U$17,I165),1)*IF(Upgrades!$T$18="Roche Lobe Overflow",POWER(Upgrades!$U$18,J165),1)*IF(Upgrades!$T$19="Roche Lobe Overflow",POWER(Upgrades!$U$19,K165),1)*IF(Upgrades!$T$20="Roche Lobe Overflow",POWER(Upgrades!$U$20,L165),1)*IF(Upgrades!$T$21="Roche Lobe Overflow",POWER(Upgrades!$U$21,M165),1))+(IF(I165=0,0,(Upgrades!$J$17+I165*Upgrades!$K$17)*POWER(Upgrades!$L$17,I165)))*(IF(Upgrades!$T$13="Brown Dwarf",POWER(Upgrades!$U$13,E165),1)*IF(Upgrades!$T$14="Brown Dwarf",POWER(Upgrades!$U$14,F165),1)*IF(Upgrades!$T$15="Brown Dwarf",POWER(Upgrades!$U$15,G165),1)*IF(Upgrades!$T$16="Brown Dwarf",POWER(Upgrades!$U$16,H165),1)*IF(Upgrades!$T$18="Brown Dwarf",POWER(Upgrades!$U$18,J165),1)*IF(Upgrades!$T$19="Brown Dwarf",POWER(Upgrades!$U$19,K165),1)*IF(Upgrades!$T$20="Brown Dwarf",POWER(Upgrades!$U$20,L165),1)*IF(Upgrades!$T$21="Brown Dwarf",POWER(Upgrades!$U$21,M165),1))+(IF(J165=0,0,(Upgrades!$J$18+J165*Upgrades!$K$18)*POWER(Upgrades!$L$18,J165)))*(IF(Upgrades!$T$13="Binary Partner",POWER(Upgrades!$U$13,E165),1)*IF(Upgrades!$T$14="Binary Partner",POWER(Upgrades!$U$14,F165),1)*IF(Upgrades!$T$15="Binary Partner",POWER(Upgrades!$U$15,G165),1)*IF(Upgrades!$T$16="Binary Partner",POWER(Upgrades!$U$16,H165),1)*IF(Upgrades!$T$17="Binary Partner",POWER(Upgrades!$U$17,I165),1)*IF(Upgrades!$T$19="Binary Partner",POWER(Upgrades!$U$19,K165),1)*IF(Upgrades!$T$20="Binary Partner",POWER(Upgrades!$U$20,L165),1)*IF(Upgrades!$T$21="Binary Partner",POWER(Upgrades!$U$21,M165),1))+(IF(K165=0,0,(Upgrades!$J$19+K165*Upgrades!$K$19)*POWER(Upgrades!$L$19,K165)))*(IF(Upgrades!$T$13="Peculiar Velocity",POWER(Upgrades!$U$13,E165),1)*IF(Upgrades!$T$14="Peculiar Velocity",POWER(Upgrades!$U$14,F165),1)*IF(Upgrades!$T$15="Peculiar Velocity",POWER(Upgrades!$U$15,G165),1)*IF(Upgrades!$T$16="Peculiar Velocity",POWER(Upgrades!$U$16,H165),1)*IF(Upgrades!$T$17="Peculiar Velocity",POWER(Upgrades!$U$17,I165),1)*IF(Upgrades!$T$18="Peculiar Velocity",POWER(Upgrades!$U$18,J165),1)*IF(Upgrades!$T$20="Peculiar Velocity",POWER(Upgrades!$U$20,L165),1)*IF(Upgrades!$T$21="Peculiar Velocity",POWER(Upgrades!$U$21,M165),1))+(IF(L165=0,0,(Upgrades!$J$20+L165*Upgrades!$K$20)*POWER(Upgrades!$L$20,L165)))*(IF(Upgrades!$T$13="Open Cluster",POWER(Upgrades!$U$13,E165),1)*IF(Upgrades!$T$14="Open Cluster",POWER(Upgrades!$U$14,F165),1)*IF(Upgrades!$T$15="Open Cluster",POWER(Upgrades!$U$15,G165),1)*IF(Upgrades!$T$16="Open Cluster",POWER(Upgrades!$U$16,H165),1)*IF(Upgrades!$T$17="Open Cluster",POWER(Upgrades!$U$17,I165),1)*IF(Upgrades!$T$18="Open Cluster",POWER(Upgrades!$U$18,J165),1)*IF(Upgrades!$T$19="Open Cluster",POWER(Upgrades!$U$19,K165),1)*IF(Upgrades!$T$21="Open Cluster",POWER(Upgrades!$U$21,M165),1))+(IF(M165=0,0,(Upgrades!$J$21+M165*Upgrades!$K$21)*POWER(Upgrades!$L$21,M165)))*(IF(Upgrades!$T$13="Moving Group",POWER(Upgrades!$U$13,E165),1)*IF(Upgrades!$T$14="Moving Group",POWER(Upgrades!$U$14,F165),1)*IF(Upgrades!$T$15="Moving Group",POWER(Upgrades!$U$15,G165),1)*IF(Upgrades!$T$16="Moving Group",POWER(Upgrades!$U$16,H165),1)*IF(Upgrades!$T$17="Moving Group",POWER(Upgrades!$U$17,I165),1)*IF(Upgrades!$T$18="Moving Group",POWER(Upgrades!$U$18,J165),1)*IF(Upgrades!$T$19="Moving Group",POWER(Upgrades!$U$19,K165),1)*IF(Upgrades!$T$20="Moving Group",POWER(Upgrades!$U$20,L165),1)))*POWER(Upgrades!$Q$13,E165)*POWER(Upgrades!$Q$14,F165)*POWER(Upgrades!$Q$15,G165)*POWER(Upgrades!$Q$16,H165)*POWER(Upgrades!$Q$17,I165)*POWER(Upgrades!$Q$18,J165)*POWER(Upgrades!$Q$19,K165)*POWER(Upgrades!$Q$20,L165)*POWER(Upgrades!$Q$21,M165)*$G$6+$D$6</f>
        <v/>
      </c>
      <c r="P165" s="28">
        <f>((IF(E165=0,0,(Upgrades!$G$13+E165*Upgrades!$H$13)*POWER(Upgrades!$I$13,E165)))*(IF(Upgrades!$T$14="Stellar Kinematics",POWER(Upgrades!$U$14,F165),1)*IF(Upgrades!$T$15="Stellar Kinematics",POWER(Upgrades!$U$15,G165),1)*IF(Upgrades!$T$16="Stellar Kinematics",POWER(Upgrades!$U$16,H165),1)*IF(Upgrades!$T$17="Stellar Kinematics",POWER(Upgrades!$U$17,I165),1)*IF(Upgrades!$T$18="Stellar Kinematics",POWER(Upgrades!$U$18,J165),1)*IF(Upgrades!$T$19="Stellar Kinematics",POWER(Upgrades!$U$19,K165),1)*IF(Upgrades!$T$20="Stellar Kinematics",POWER(Upgrades!$U$20,L165),1)*IF(Upgrades!$T$21="Stellar Kinematics",POWER(Upgrades!$U$21,M165),1))+(IF(F165=0,0,(Upgrades!$G$14+F165*Upgrades!$H$14)*POWER(Upgrades!$I$14,F165)))*(IF(Upgrades!$T$13="Local Bubble",POWER(Upgrades!$U$13,E165),1)*IF(Upgrades!$T$15="Local Bubble",POWER(Upgrades!$U$15,G165),1)*IF(Upgrades!$T$16="Local Bubble",POWER(Upgrades!$U$16,H165),1)*IF(Upgrades!$T$17="Local Bubble",POWER(Upgrades!$U$17,I165),1)*IF(Upgrades!$T$18="Local Bubble",POWER(Upgrades!$U$18,J165),1)*IF(Upgrades!$T$19="Local Bubble",POWER(Upgrades!$U$19,K165),1)*IF(Upgrades!$T$20="Local Bubble",POWER(Upgrades!$U$20,L165),1)*IF(Upgrades!$T$21="Local Bubble",POWER(Upgrades!$U$21,M165),1))+(IF(G165=0,0,(Upgrades!$G$15+G165*Upgrades!$H$15)*POWER(Upgrades!$I$15,G165)))*(IF(Upgrades!$T$13="Microlensing",POWER(Upgrades!$U$13,E165),1)*IF(Upgrades!$T$14="Microlensing",POWER(Upgrades!$U$14,F165),1)*IF(Upgrades!$T$16="Microlensing",POWER(Upgrades!$U$16,H165),1)*IF(Upgrades!$T$17="Microlensing",POWER(Upgrades!$U$17,I165),1)*IF(Upgrades!$T$18="Microlensing",POWER(Upgrades!$U$18,J165),1)*IF(Upgrades!$T$19="Microlensing",POWER(Upgrades!$U$19,K165),1)*IF(Upgrades!$T$20="Microlensing",POWER(Upgrades!$U$20,L165),1)*IF(Upgrades!$T$21="Microlensing",POWER(Upgrades!$U$21,M165),1))+(IF(H165=0,0,(Upgrades!$G$16+H165*Upgrades!$H$16)*POWER(Upgrades!$I$16,H165)))*(IF(Upgrades!$T$13="Roche Lobe Overflow",POWER(Upgrades!$U$13,E165),1)*IF(Upgrades!$T$14="Roche Lobe Overflow",POWER(Upgrades!$U$14,F165),1)*IF(Upgrades!$T$15="Roche Lobe Overflow",POWER(Upgrades!$U$15,G165),1)*IF(Upgrades!$T$17="Roche Lobe Overflow",POWER(Upgrades!$U$17,I165),1)*IF(Upgrades!$T$18="Roche Lobe Overflow",POWER(Upgrades!$U$18,J165),1)*IF(Upgrades!$T$19="Roche Lobe Overflow",POWER(Upgrades!$U$19,K165),1)*IF(Upgrades!$T$20="Roche Lobe Overflow",POWER(Upgrades!$U$20,L165),1)*IF(Upgrades!$T$21="Roche Lobe Overflow",POWER(Upgrades!$U$21,M165),1))+(IF(I165=0,0,(Upgrades!$G$17+I165*Upgrades!$H$17)*POWER(Upgrades!$I$17,I165)))*(IF(Upgrades!$T$13="Brown Dwarf",POWER(Upgrades!$U$13,E165),1)*IF(Upgrades!$T$14="Brown Dwarf",POWER(Upgrades!$U$14,F165),1)*IF(Upgrades!$T$15="Brown Dwarf",POWER(Upgrades!$U$15,G165),1)*IF(Upgrades!$T$16="Brown Dwarf",POWER(Upgrades!$U$16,H165),1)*IF(Upgrades!$T$18="Brown Dwarf",POWER(Upgrades!$U$18,J165),1)*IF(Upgrades!$T$19="Brown Dwarf",POWER(Upgrades!$U$19,K165),1)*IF(Upgrades!$T$20="Brown Dwarf",POWER(Upgrades!$U$20,L165),1)*IF(Upgrades!$T$21="Brown Dwarf",POWER(Upgrades!$U$21,M165),1))+(IF(J165=0,0,(Upgrades!$G$18+J165*Upgrades!$H$18)*POWER(Upgrades!$I$18,J165)))*(IF(Upgrades!$T$13="Binary Partner",POWER(Upgrades!$U$13,E165),1)*IF(Upgrades!$T$14="Binary Partner",POWER(Upgrades!$U$14,F165),1)*IF(Upgrades!$T$15="Binary Partner",POWER(Upgrades!$U$15,G165),1)*IF(Upgrades!$T$16="Binary Partner",POWER(Upgrades!$U$16,H165),1)*IF(Upgrades!$T$17="Binary Partner",POWER(Upgrades!$U$17,I165),1)*IF(Upgrades!$T$19="Binary Partner",POWER(Upgrades!$U$19,K165),1)*IF(Upgrades!$T$20="Binary Partner",POWER(Upgrades!$U$20,L165),1)*IF(Upgrades!$T$21="Binary Partner",POWER(Upgrades!$U$21,M165),1))+(IF(K165=0,0,(Upgrades!$G$19+K165*Upgrades!$H$19)*POWER(Upgrades!$I$19,K165)))*(IF(Upgrades!$T$13="Peculiar Velocity",POWER(Upgrades!$U$13,E165),1)*IF(Upgrades!$T$14="Peculiar Velocity",POWER(Upgrades!$U$14,F165),1)*IF(Upgrades!$T$15="Peculiar Velocity",POWER(Upgrades!$U$15,G165),1)*IF(Upgrades!$T$16="Peculiar Velocity",POWER(Upgrades!$U$16,H165),1)*IF(Upgrades!$T$17="Peculiar Velocity",POWER(Upgrades!$U$17,I165),1)*IF(Upgrades!$T$18="Peculiar Velocity",POWER(Upgrades!$U$18,J165),1)*IF(Upgrades!$T$20="Peculiar Velocity",POWER(Upgrades!$U$20,L165),1)*IF(Upgrades!$T$21="Peculiar Velocity",POWER(Upgrades!$U$21,M165),1))+(IF(L165=0,0,(Upgrades!$G$20+L165*Upgrades!$H$20)*POWER(Upgrades!$I$20,L165)))*(IF(Upgrades!$T$13="Open Cluster",POWER(Upgrades!$U$13,E165),1)*IF(Upgrades!$T$14="Open Cluster",POWER(Upgrades!$U$14,F165),1)*IF(Upgrades!$T$15="Open Cluster",POWER(Upgrades!$U$15,G165),1)*IF(Upgrades!$T$16="Open Cluster",POWER(Upgrades!$U$16,H165),1)*IF(Upgrades!$T$17="Open Cluster",POWER(Upgrades!$U$17,I165),1)*IF(Upgrades!$T$18="Open Cluster",POWER(Upgrades!$U$18,J165),1)*IF(Upgrades!$T$19="Open Cluster",POWER(Upgrades!$U$19,K165),1)*IF(Upgrades!$T$21="Open Cluster",POWER(Upgrades!$U$21,M165),1))+(IF(M165=0,0,(Upgrades!$G$21+M165*Upgrades!$H$21)*POWER(Upgrades!$I$21,M165)))*(IF(Upgrades!$T$13="Moving Group",POWER(Upgrades!$U$13,E165),1)*IF(Upgrades!$T$14="Moving Group",POWER(Upgrades!$U$14,F165),1)*IF(Upgrades!$T$15="Moving Group",POWER(Upgrades!$U$15,G165),1)*IF(Upgrades!$T$16="Moving Group",POWER(Upgrades!$U$16,H165),1)*IF(Upgrades!$T$17="Moving Group",POWER(Upgrades!$U$17,I165),1)*IF(Upgrades!$T$18="Moving Group",POWER(Upgrades!$U$18,J165),1)*IF(Upgrades!$T$19="Moving Group",POWER(Upgrades!$U$19,K165),1)*IF(Upgrades!$T$20="Moving Group",POWER(Upgrades!$U$20,L165),1)))*POWER(Upgrades!$P$13,E165)*POWER(Upgrades!$P$14,F165)*POWER(Upgrades!$P$15,G165)*POWER(Upgrades!$P$16,H165)*POWER(Upgrades!$P$17,I165)*POWER(Upgrades!$P$18,J165)*POWER(Upgrades!$P$19,K165)*POWER(Upgrades!$P$20,L165)*POWER(Upgrades!$P$21,M165)*$F$6+$C$6</f>
        <v/>
      </c>
      <c r="Q165" s="28">
        <f>((IF(E165=0,0,(Upgrades!$M$13+E165*Upgrades!$N$13)*POWER(Upgrades!$O$13,E165)))*(IF(Upgrades!$T$14="Stellar Kinematics",POWER(Upgrades!$U$14,F165),1)*IF(Upgrades!$T$15="Stellar Kinematics",POWER(Upgrades!$U$15,G165),1)*IF(Upgrades!$T$16="Stellar Kinematics",POWER(Upgrades!$U$16,H165),1)*IF(Upgrades!$T$17="Stellar Kinematics",POWER(Upgrades!$U$17,I165),1)*IF(Upgrades!$T$18="Stellar Kinematics",POWER(Upgrades!$U$18,J165),1)*IF(Upgrades!$T$19="Stellar Kinematics",POWER(Upgrades!$U$19,K165),1)*IF(Upgrades!$T$20="Stellar Kinematics",POWER(Upgrades!$U$20,L165),1)*IF(Upgrades!$T$21="Stellar Kinematics",POWER(Upgrades!$U$21,M165),1))+(IF(F165=0,0,(Upgrades!$M$14+F165*Upgrades!$N$14)*POWER(Upgrades!$O$14,F165)))*(IF(Upgrades!$T$13="Local Bubble",POWER(Upgrades!$U$13,E165),1)*IF(Upgrades!$T$15="Local Bubble",POWER(Upgrades!$U$15,G165),1)*IF(Upgrades!$T$16="Local Bubble",POWER(Upgrades!$U$16,H165),1)*IF(Upgrades!$T$17="Local Bubble",POWER(Upgrades!$U$17,I165),1)*IF(Upgrades!$T$18="Local Bubble",POWER(Upgrades!$U$18,J165),1)*IF(Upgrades!$T$19="Local Bubble",POWER(Upgrades!$U$19,K165),1)*IF(Upgrades!$T$20="Local Bubble",POWER(Upgrades!$U$20,L165),1)*IF(Upgrades!$T$21="Local Bubble",POWER(Upgrades!$U$21,M165),1))+(IF(G165=0,0,(Upgrades!$M$15+G165*Upgrades!$N$15)*POWER(Upgrades!$O$15,G165)))*(IF(Upgrades!$T$13="Microlensing",POWER(Upgrades!$U$13,E165),1)*IF(Upgrades!$T$14="Microlensing",POWER(Upgrades!$U$14,F165),1)*IF(Upgrades!$T$16="Microlensing",POWER(Upgrades!$U$16,H165),1)*IF(Upgrades!$T$17="Microlensing",POWER(Upgrades!$U$17,I165),1)*IF(Upgrades!$T$18="Microlensing",POWER(Upgrades!$U$18,J165),1)*IF(Upgrades!$T$19="Microlensing",POWER(Upgrades!$U$19,K165),1)*IF(Upgrades!$T$20="Microlensing",POWER(Upgrades!$U$20,L165),1)*IF(Upgrades!$T$21="Microlensing",POWER(Upgrades!$U$21,M165),1))+(IF(H165=0,0,(Upgrades!$M$16+H165*Upgrades!$N$16)*POWER(Upgrades!$O$16,H165)))*(IF(Upgrades!$T$13="Roche Lobe Overflow",POWER(Upgrades!$U$13,E165),1)*IF(Upgrades!$T$14="Roche Lobe Overflow",POWER(Upgrades!$U$14,F165),1)*IF(Upgrades!$T$15="Roche Lobe Overflow",POWER(Upgrades!$U$15,G165),1)*IF(Upgrades!$T$17="Roche Lobe Overflow",POWER(Upgrades!$U$17,I165),1)*IF(Upgrades!$T$18="Roche Lobe Overflow",POWER(Upgrades!$U$18,J165),1)*IF(Upgrades!$T$19="Roche Lobe Overflow",POWER(Upgrades!$U$19,K165),1)*IF(Upgrades!$T$20="Roche Lobe Overflow",POWER(Upgrades!$U$20,L165),1)*IF(Upgrades!$T$21="Roche Lobe Overflow",POWER(Upgrades!$U$21,M165),1))+(IF(I165=0,0,(Upgrades!$M$17+I165*Upgrades!$N$17)*POWER(Upgrades!$O$17,I165)))*(IF(Upgrades!$T$13="Brown Dwarf",POWER(Upgrades!$U$13,E165),1)*IF(Upgrades!$T$14="Brown Dwarf",POWER(Upgrades!$U$14,F165),1)*IF(Upgrades!$T$15="Brown Dwarf",POWER(Upgrades!$U$15,G165),1)*IF(Upgrades!$T$16="Brown Dwarf",POWER(Upgrades!$U$16,H165),1)*IF(Upgrades!$T$18="Brown Dwarf",POWER(Upgrades!$U$18,J165),1)*IF(Upgrades!$T$19="Brown Dwarf",POWER(Upgrades!$U$19,K165),1)*IF(Upgrades!$T$20="Brown Dwarf",POWER(Upgrades!$U$20,L165),1)*IF(Upgrades!$T$21="Brown Dwarf",POWER(Upgrades!$U$21,M165),1))+(IF(J165=0,0,(Upgrades!$M$18+J165*Upgrades!$N$18)*POWER(Upgrades!$O$18,J165)))*(IF(Upgrades!$T$13="Binary Partner",POWER(Upgrades!$U$13,E165),1)*IF(Upgrades!$T$14="Binary Partner",POWER(Upgrades!$U$14,F165),1)*IF(Upgrades!$T$15="Binary Partner",POWER(Upgrades!$U$15,G165),1)*IF(Upgrades!$T$16="Binary Partner",POWER(Upgrades!$U$16,H165),1)*IF(Upgrades!$T$17="Binary Partner",POWER(Upgrades!$U$17,I165),1)*IF(Upgrades!$T$19="Binary Partner",POWER(Upgrades!$U$19,K165),1)*IF(Upgrades!$T$20="Binary Partner",POWER(Upgrades!$U$20,L165),1)*IF(Upgrades!$T$21="Binary Partner",POWER(Upgrades!$U$21,M165),1))+(IF(K165=0,0,(Upgrades!$M$19+K165*Upgrades!$N$19)*POWER(Upgrades!$O$19,K165)))*(IF(Upgrades!$T$13="Peculiar Velocity",POWER(Upgrades!$U$13,E165),1)*IF(Upgrades!$T$14="Peculiar Velocity",POWER(Upgrades!$U$14,F165),1)*IF(Upgrades!$T$15="Peculiar Velocity",POWER(Upgrades!$U$15,G165),1)*IF(Upgrades!$T$16="Peculiar Velocity",POWER(Upgrades!$U$16,H165),1)*IF(Upgrades!$T$17="Peculiar Velocity",POWER(Upgrades!$U$17,I165),1)*IF(Upgrades!$T$18="Peculiar Velocity",POWER(Upgrades!$U$18,J165),1)*IF(Upgrades!$T$20="Peculiar Velocity",POWER(Upgrades!$U$20,L165),1)*IF(Upgrades!$T$21="Peculiar Velocity",POWER(Upgrades!$U$21,M165),1))+(IF(L165=0,0,(Upgrades!$M$20+L165*Upgrades!$N$20)*POWER(Upgrades!$O$20,L165)))*(IF(Upgrades!$T$13="Open Cluster",POWER(Upgrades!$U$13,E165),1)*IF(Upgrades!$T$14="Open Cluster",POWER(Upgrades!$U$14,F165),1)*IF(Upgrades!$T$15="Open Cluster",POWER(Upgrades!$U$15,G165),1)*IF(Upgrades!$T$16="Open Cluster",POWER(Upgrades!$U$16,H165),1)*IF(Upgrades!$T$17="Open Cluster",POWER(Upgrades!$U$17,I165),1)*IF(Upgrades!$T$18="Open Cluster",POWER(Upgrades!$U$18,J165),1)*IF(Upgrades!$T$19="Open Cluster",POWER(Upgrades!$U$19,K165),1)*IF(Upgrades!$T$21="Open Cluster",POWER(Upgrades!$U$21,M165),1))+(IF(M165=0,0,(Upgrades!$M$21+M165*Upgrades!$N$21)*POWER(Upgrades!$O$21,M165)))*(IF(Upgrades!$T$13="Moving Group",POWER(Upgrades!$U$13,E165),1)*IF(Upgrades!$T$14="Moving Group",POWER(Upgrades!$U$14,F165),1)*IF(Upgrades!$T$15="Moving Group",POWER(Upgrades!$U$15,G165),1)*IF(Upgrades!$T$16="Moving Group",POWER(Upgrades!$U$16,H165),1)*IF(Upgrades!$T$17="Moving Group",POWER(Upgrades!$U$17,I165),1)*IF(Upgrades!$T$18="Moving Group",POWER(Upgrades!$U$18,J165),1)*IF(Upgrades!$T$19="Moving Group",POWER(Upgrades!$U$19,K165),1)*IF(Upgrades!$T$20="Moving Group",POWER(Upgrades!$U$20,L165),1)))*POWER(Upgrades!$R$13,E165)*POWER(Upgrades!$R$14,F165)*POWER(Upgrades!$R$15,G165)*POWER(Upgrades!$R$16,H165)*POWER(Upgrades!$R$17,I165)*POWER(Upgrades!$R$18,J165)*POWER(Upgrades!$R$19,K165)*POWER(Upgrades!$R$20,L165)*POWER(Upgrades!$R$21,M165)*$H$6+$E$6</f>
        <v/>
      </c>
      <c r="R165" s="27">
        <f>IF(N165=1,0,O165*Parameters!$B$10/60*Parameters!$B$11*10)</f>
        <v/>
      </c>
      <c r="S165" s="27">
        <f>IF(N165=1,0,Q165*O165*10)</f>
        <v/>
      </c>
      <c r="T165" s="27">
        <f>IF(N165=1,0,R165+S165+P165*10)</f>
        <v/>
      </c>
      <c r="U165" s="33">
        <f>BE165</f>
        <v/>
      </c>
      <c r="V165" s="22">
        <f>IF(U165="",0,IF(U165="transition",0,IF(U165="SK",AK165,IF(U165="LB",AL165,IF(U165="ML",AM165,IF(U165="RLO",AN165,IF(U165="BD",AO165,IF(U165="BiP",AP165,IF(U165="PV",AQ165,IF(U165="OC",AR165,IF(U165="MG",AS165,0))))))))))</f>
        <v/>
      </c>
      <c r="W165" s="27">
        <f>IF(U165="BiP",Upgrades!$F$18,IF(U165="PV",Upgrades!$F$19,IF(U165="OC",Upgrades!$F$20,IF(U165="MG",Upgrades!$F$21,IF(U165="transition",-Parameters!$B$18*Parameters!$B$19,0)))))</f>
        <v/>
      </c>
      <c r="X165" s="22">
        <f>C165+T165-V165</f>
        <v/>
      </c>
      <c r="Y165" s="30">
        <f>O165*Parameters!$B$10/60*Parameters!$B$11+Q165*O165+P165</f>
        <v/>
      </c>
      <c r="Z165" s="34">
        <f>IF(U165="transition","→ Tier 3 (Galactic Arm)",IF(U165="MG","Moving Group — pocket drifts together",IF(U165="OC","Open Cluster acquired",IF(U165="PV","Peculiar Velocity — passive multiplier active",IF(U165="BiP","Binary Partner — pair bond formed",IF(AND(AU165=1,N165=0,AT165&lt;&gt;1),"Cohesion ready (waiting on completionists)","")))))) </f>
        <v/>
      </c>
      <c r="AA165" s="27">
        <f>(IF(E165=0,0,(Upgrades!$G$13+E165*Upgrades!$H$13)*POWER(Upgrades!$I$13,E165)))*(IF(Upgrades!$T$14="Stellar Kinematics",POWER(Upgrades!$U$14,F165),1)*IF(Upgrades!$T$15="Stellar Kinematics",POWER(Upgrades!$U$15,G165),1)*IF(Upgrades!$T$16="Stellar Kinematics",POWER(Upgrades!$U$16,H165),1)*IF(Upgrades!$T$17="Stellar Kinematics",POWER(Upgrades!$U$17,I165),1)*IF(Upgrades!$T$18="Stellar Kinematics",POWER(Upgrades!$U$18,J165),1)*IF(Upgrades!$T$19="Stellar Kinematics",POWER(Upgrades!$U$19,K165),1)*IF(Upgrades!$T$20="Stellar Kinematics",POWER(Upgrades!$U$20,L165),1)*IF(Upgrades!$T$21="Stellar Kinematics",POWER(Upgrades!$U$21,M165),1))*POWER(Upgrades!$P$13,E165)*POWER(Upgrades!$P$14,F165)*POWER(Upgrades!$P$15,G165)*POWER(Upgrades!$P$16,H165)*POWER(Upgrades!$P$17,I165)*POWER(Upgrades!$P$18,J165)*POWER(Upgrades!$P$19,K165)*POWER(Upgrades!$P$20,L165)*POWER(Upgrades!$P$21,M165)*$F$6*60</f>
        <v/>
      </c>
      <c r="AB165" s="27">
        <f>(IF(F165=0,0,(Upgrades!$G$14+F165*Upgrades!$H$14)*POWER(Upgrades!$I$14,F165)))*(IF(Upgrades!$T$13="Local Bubble",POWER(Upgrades!$U$13,E165),1)*IF(Upgrades!$T$15="Local Bubble",POWER(Upgrades!$U$15,G165),1)*IF(Upgrades!$T$16="Local Bubble",POWER(Upgrades!$U$16,H165),1)*IF(Upgrades!$T$17="Local Bubble",POWER(Upgrades!$U$17,I165),1)*IF(Upgrades!$T$18="Local Bubble",POWER(Upgrades!$U$18,J165),1)*IF(Upgrades!$T$19="Local Bubble",POWER(Upgrades!$U$19,K165),1)*IF(Upgrades!$T$20="Local Bubble",POWER(Upgrades!$U$20,L165),1)*IF(Upgrades!$T$21="Local Bubble",POWER(Upgrades!$U$21,M165),1))*POWER(Upgrades!$P$13,E165)*POWER(Upgrades!$P$14,F165)*POWER(Upgrades!$P$15,G165)*POWER(Upgrades!$P$16,H165)*POWER(Upgrades!$P$17,I165)*POWER(Upgrades!$P$18,J165)*POWER(Upgrades!$P$19,K165)*POWER(Upgrades!$P$20,L165)*POWER(Upgrades!$P$21,M165)*$F$6*60</f>
        <v/>
      </c>
      <c r="AC165" s="27">
        <f>(IF(G165=0,0,(Upgrades!$J$15+G165*Upgrades!$K$15)*POWER(Upgrades!$L$15,G165)))*(IF(Upgrades!$T$13="Microlensing",POWER(Upgrades!$U$13,E165),1)*IF(Upgrades!$T$14="Microlensing",POWER(Upgrades!$U$14,F165),1)*IF(Upgrades!$T$16="Microlensing",POWER(Upgrades!$U$16,H165),1)*IF(Upgrades!$T$17="Microlensing",POWER(Upgrades!$U$17,I165),1)*IF(Upgrades!$T$18="Microlensing",POWER(Upgrades!$U$18,J165),1)*IF(Upgrades!$T$19="Microlensing",POWER(Upgrades!$U$19,K165),1)*IF(Upgrades!$T$20="Microlensing",POWER(Upgrades!$U$20,L165),1)*IF(Upgrades!$T$21="Microlensing",POWER(Upgrades!$U$21,M165),1))*POWER(Upgrades!$Q$13,E165)*POWER(Upgrades!$Q$14,F165)*POWER(Upgrades!$Q$15,G165)*POWER(Upgrades!$Q$16,H165)*POWER(Upgrades!$Q$17,I165)*POWER(Upgrades!$Q$18,J165)*POWER(Upgrades!$Q$19,K165)*POWER(Upgrades!$Q$20,L165)*POWER(Upgrades!$Q$21,M165)*$G$6*(Parameters!$B$10*Parameters!$B$11+Q165*60)</f>
        <v/>
      </c>
      <c r="AD165" s="27">
        <f>(IF(H165=0,0,(Upgrades!$M$16+H165*Upgrades!$N$16)*POWER(Upgrades!$O$16,H165)))*(IF(Upgrades!$T$13="Roche Lobe Overflow",POWER(Upgrades!$U$13,E165),1)*IF(Upgrades!$T$14="Roche Lobe Overflow",POWER(Upgrades!$U$14,F165),1)*IF(Upgrades!$T$15="Roche Lobe Overflow",POWER(Upgrades!$U$15,G165),1)*IF(Upgrades!$T$17="Roche Lobe Overflow",POWER(Upgrades!$U$17,I165),1)*IF(Upgrades!$T$18="Roche Lobe Overflow",POWER(Upgrades!$U$18,J165),1)*IF(Upgrades!$T$19="Roche Lobe Overflow",POWER(Upgrades!$U$19,K165),1)*IF(Upgrades!$T$20="Roche Lobe Overflow",POWER(Upgrades!$U$20,L165),1)*IF(Upgrades!$T$21="Roche Lobe Overflow",POWER(Upgrades!$U$21,M165),1))*POWER(Upgrades!$R$13,E165)*POWER(Upgrades!$R$14,F165)*POWER(Upgrades!$R$15,G165)*POWER(Upgrades!$R$16,H165)*POWER(Upgrades!$R$17,I165)*POWER(Upgrades!$R$18,J165)*POWER(Upgrades!$R$19,K165)*POWER(Upgrades!$R$20,L165)*POWER(Upgrades!$R$21,M165)*$H$6*O165*60</f>
        <v/>
      </c>
      <c r="AE165" s="27">
        <f>(IF(I165=0,0,(Upgrades!$G$17+I165*Upgrades!$H$17)*POWER(Upgrades!$I$17,I165)))*(IF(Upgrades!$T$13="Brown Dwarf",POWER(Upgrades!$U$13,E165),1)*IF(Upgrades!$T$14="Brown Dwarf",POWER(Upgrades!$U$14,F165),1)*IF(Upgrades!$T$15="Brown Dwarf",POWER(Upgrades!$U$15,G165),1)*IF(Upgrades!$T$16="Brown Dwarf",POWER(Upgrades!$U$16,H165),1)*IF(Upgrades!$T$18="Brown Dwarf",POWER(Upgrades!$U$18,J165),1)*IF(Upgrades!$T$19="Brown Dwarf",POWER(Upgrades!$U$19,K165),1)*IF(Upgrades!$T$20="Brown Dwarf",POWER(Upgrades!$U$20,L165),1)*IF(Upgrades!$T$21="Brown Dwarf",POWER(Upgrades!$U$21,M165),1))*POWER(Upgrades!$P$13,E165)*POWER(Upgrades!$P$14,F165)*POWER(Upgrades!$P$15,G165)*POWER(Upgrades!$P$16,H165)*POWER(Upgrades!$P$17,I165)*POWER(Upgrades!$P$18,J165)*POWER(Upgrades!$P$19,K165)*POWER(Upgrades!$P$20,L165)*POWER(Upgrades!$P$21,M165)*$F$6*60</f>
        <v/>
      </c>
      <c r="AF165" s="27" t="n">
        <v>0</v>
      </c>
      <c r="AG165" s="27" t="n">
        <v>0</v>
      </c>
      <c r="AH165" s="27" t="n">
        <v>0</v>
      </c>
      <c r="AI165" s="27">
        <f>(IF(M165=0,0,(Upgrades!$G$21+M165*Upgrades!$H$21)*POWER(Upgrades!$I$21,M165)))*(IF(Upgrades!$T$13="Moving Group",POWER(Upgrades!$U$13,E165),1)*IF(Upgrades!$T$14="Moving Group",POWER(Upgrades!$U$14,F165),1)*IF(Upgrades!$T$15="Moving Group",POWER(Upgrades!$U$15,G165),1)*IF(Upgrades!$T$16="Moving Group",POWER(Upgrades!$U$16,H165),1)*IF(Upgrades!$T$17="Moving Group",POWER(Upgrades!$U$17,I165),1)*IF(Upgrades!$T$18="Moving Group",POWER(Upgrades!$U$18,J165),1)*IF(Upgrades!$T$19="Moving Group",POWER(Upgrades!$U$19,K165),1)*IF(Upgrades!$T$20="Moving Group",POWER(Upgrades!$U$20,L165),1))*POWER(Upgrades!$P$13,E165)*POWER(Upgrades!$P$14,F165)*POWER(Upgrades!$P$15,G165)*POWER(Upgrades!$P$16,H165)*POWER(Upgrades!$P$17,I165)*POWER(Upgrades!$P$18,J165)*POWER(Upgrades!$P$19,K165)*POWER(Upgrades!$P$20,L165)*POWER(Upgrades!$P$21,M165)*$F$6*60</f>
        <v/>
      </c>
      <c r="AJ165" s="27">
        <f>$C$6*60</f>
        <v/>
      </c>
      <c r="AK165" s="22">
        <f>IF(E165&gt;=Upgrades!$E$13,"",Upgrades!$C$13*POWER(Upgrades!$D$13,E165))</f>
        <v/>
      </c>
      <c r="AL165" s="22">
        <f>IF(F165&gt;=Upgrades!$E$14,"",Upgrades!$C$14*POWER(Upgrades!$D$14,F165))</f>
        <v/>
      </c>
      <c r="AM165" s="22">
        <f>IF(G165&gt;=Upgrades!$E$15,"",Upgrades!$C$15*POWER(Upgrades!$D$15,G165))</f>
        <v/>
      </c>
      <c r="AN165" s="22">
        <f>IF(H165&gt;=Upgrades!$E$16,"",Upgrades!$C$16*POWER(Upgrades!$D$16,H165))</f>
        <v/>
      </c>
      <c r="AO165" s="22">
        <f>IF(I165&gt;=Upgrades!$E$17,"",Upgrades!$C$17*POWER(Upgrades!$D$17,I165))</f>
        <v/>
      </c>
      <c r="AP165" s="22">
        <f>IF(J165&gt;=Upgrades!$E$18,"",Upgrades!$C$18*POWER(Upgrades!$D$18,J165))</f>
        <v/>
      </c>
      <c r="AQ165" s="22">
        <f>IF(K165&gt;=Upgrades!$E$19,"",Upgrades!$C$19*POWER(Upgrades!$D$19,K165))</f>
        <v/>
      </c>
      <c r="AR165" s="22">
        <f>IF(L165&gt;=Upgrades!$E$20,"",Upgrades!$C$20*POWER(Upgrades!$D$20,L165))</f>
        <v/>
      </c>
      <c r="AS165" s="22">
        <f>IF(M165&gt;=Upgrades!$E$21,"",Upgrades!$C$21*POWER(Upgrades!$D$21,M165))</f>
        <v/>
      </c>
      <c r="AT165" s="26">
        <f>IF(AND(D165&gt;=Parameters!$B$18*Parameters!$B$19,(I165&gt;=Upgrades!$E$17)*(M165&gt;=Upgrades!$E$21)=1,N165=0),1,"")</f>
        <v/>
      </c>
      <c r="AU165" s="26">
        <f>IF(AND(D165&gt;=Parameters!$B$18*Parameters!$B$19,N165=0),1,"")</f>
        <v/>
      </c>
      <c r="AV165" s="22">
        <f>MIN(IF(ISNUMBER(AP165),AP165,9E15),IF(ISNUMBER(AQ165),AQ165,9E15),IF(ISNUMBER(AR165),AR165,9E15),IF(ISNUMBER(AS165),AS165,9E15))</f>
        <v/>
      </c>
      <c r="AW165" s="22">
        <f>MIN(IF(ISNUMBER(AK165),AK165,9E15),IF(ISNUMBER(AL165),AL165,9E15),IF(ISNUMBER(AM165),AM165,9E15),IF(ISNUMBER(AN165),AN165,9E15),IF(ISNUMBER(AO165),AO165,9E15))</f>
        <v/>
      </c>
      <c r="AX165" s="29">
        <f>IF(BD165&gt;Parameters!$B$21*(MAX(IF(AND(NOT(AND(AU165=1,AT165&lt;&gt;1)),ISNUMBER(AK165),AK165&lt;=(C165+T165)),AY165,0),IF(AND(NOT(AND(AU165=1,AT165&lt;&gt;1)),ISNUMBER(AL165),AL165&lt;=(C165+T165)),AZ165,0),IF(AND(NOT(AND(AU165=1,AT165&lt;&gt;1)),ISNUMBER(AM165),AM165&lt;=(C165+T165)),BA165,0),IF(AND(NOT(AND(AU165=1,AT165&lt;&gt;1)),ISNUMBER(AN165),AN165&lt;=(C165+T165)),BB165,0),IF(AND(ISNUMBER(AO165),AO165&lt;=(C165+T165)),BC165,0))),TRUE,FALSE)</f>
        <v/>
      </c>
      <c r="AY165" s="32">
        <f>IFERROR(Upgrades!$H$13*(POWER(Upgrades!$P$13,E165)*POWER(Upgrades!$P$14,F165)*POWER(Upgrades!$P$15,G165)*POWER(Upgrades!$P$16,H165)*POWER(Upgrades!$P$17,I165)*POWER(Upgrades!$P$18,J165)*POWER(Upgrades!$P$19,K165)*POWER(Upgrades!$P$20,L165)*POWER(Upgrades!$P$21,M165))*(IF(Upgrades!$T$14="Stellar Kinematics",POWER(Upgrades!$U$14,F165),1)*IF(Upgrades!$T$15="Stellar Kinematics",POWER(Upgrades!$U$15,G165),1)*IF(Upgrades!$T$16="Stellar Kinematics",POWER(Upgrades!$U$16,H165),1)*IF(Upgrades!$T$17="Stellar Kinematics",POWER(Upgrades!$U$17,I165),1)*IF(Upgrades!$T$18="Stellar Kinematics",POWER(Upgrades!$U$18,J165),1)*IF(Upgrades!$T$19="Stellar Kinematics",POWER(Upgrades!$U$19,K165),1)*IF(Upgrades!$T$20="Stellar Kinematics",POWER(Upgrades!$U$20,L165),1)*IF(Upgrades!$T$21="Stellar Kinematics",POWER(Upgrades!$U$21,M165),1))*$F$6/AK165,0)</f>
        <v/>
      </c>
      <c r="AZ165" s="32">
        <f>IFERROR(Upgrades!$H$14*(POWER(Upgrades!$P$13,E165)*POWER(Upgrades!$P$14,F165)*POWER(Upgrades!$P$15,G165)*POWER(Upgrades!$P$16,H165)*POWER(Upgrades!$P$17,I165)*POWER(Upgrades!$P$18,J165)*POWER(Upgrades!$P$19,K165)*POWER(Upgrades!$P$20,L165)*POWER(Upgrades!$P$21,M165))*(IF(Upgrades!$T$13="Local Bubble",POWER(Upgrades!$U$13,E165),1)*IF(Upgrades!$T$15="Local Bubble",POWER(Upgrades!$U$15,G165),1)*IF(Upgrades!$T$16="Local Bubble",POWER(Upgrades!$U$16,H165),1)*IF(Upgrades!$T$17="Local Bubble",POWER(Upgrades!$U$17,I165),1)*IF(Upgrades!$T$18="Local Bubble",POWER(Upgrades!$U$18,J165),1)*IF(Upgrades!$T$19="Local Bubble",POWER(Upgrades!$U$19,K165),1)*IF(Upgrades!$T$20="Local Bubble",POWER(Upgrades!$U$20,L165),1)*IF(Upgrades!$T$21="Local Bubble",POWER(Upgrades!$U$21,M165),1))*$F$6/AL165,0)</f>
        <v/>
      </c>
      <c r="BA165" s="32">
        <f>IFERROR(Upgrades!$K$15*(POWER(Upgrades!$Q$13,E165)*POWER(Upgrades!$Q$14,F165)*POWER(Upgrades!$Q$15,G165)*POWER(Upgrades!$Q$16,H165)*POWER(Upgrades!$Q$17,I165)*POWER(Upgrades!$Q$18,J165)*POWER(Upgrades!$Q$19,K165)*POWER(Upgrades!$Q$20,L165)*POWER(Upgrades!$Q$21,M165))*(IF(Upgrades!$T$13="Microlensing",POWER(Upgrades!$U$13,E165),1)*IF(Upgrades!$T$14="Microlensing",POWER(Upgrades!$U$14,F165),1)*IF(Upgrades!$T$16="Microlensing",POWER(Upgrades!$U$16,H165),1)*IF(Upgrades!$T$17="Microlensing",POWER(Upgrades!$U$17,I165),1)*IF(Upgrades!$T$18="Microlensing",POWER(Upgrades!$U$18,J165),1)*IF(Upgrades!$T$19="Microlensing",POWER(Upgrades!$U$19,K165),1)*IF(Upgrades!$T$20="Microlensing",POWER(Upgrades!$U$20,L165),1)*IF(Upgrades!$T$21="Microlensing",POWER(Upgrades!$U$21,M165),1))*$G$6*(Parameters!$B$10/60*Parameters!$B$11+Q165)/AM165,0)</f>
        <v/>
      </c>
      <c r="BB165" s="32">
        <f>IFERROR((Upgrades!$N$16*(POWER(Upgrades!$R$13,E165)*POWER(Upgrades!$R$14,F165)*POWER(Upgrades!$R$15,G165)*POWER(Upgrades!$R$16,H165)*POWER(Upgrades!$R$17,I165)*POWER(Upgrades!$R$18,J165)*POWER(Upgrades!$R$19,K165)*POWER(Upgrades!$R$20,L165)*POWER(Upgrades!$R$21,M165))*(IF(Upgrades!$T$13="Roche Lobe Overflow",POWER(Upgrades!$U$13,E165),1)*IF(Upgrades!$T$14="Roche Lobe Overflow",POWER(Upgrades!$U$14,F165),1)*IF(Upgrades!$T$15="Roche Lobe Overflow",POWER(Upgrades!$U$15,G165),1)*IF(Upgrades!$T$17="Roche Lobe Overflow",POWER(Upgrades!$U$17,I165),1)*IF(Upgrades!$T$18="Roche Lobe Overflow",POWER(Upgrades!$U$18,J165),1)*IF(Upgrades!$T$19="Roche Lobe Overflow",POWER(Upgrades!$U$19,K165),1)*IF(Upgrades!$T$20="Roche Lobe Overflow",POWER(Upgrades!$U$20,L165),1)*IF(Upgrades!$T$21="Roche Lobe Overflow",POWER(Upgrades!$U$21,M165),1))*$H$6*O165+((IF(F165=0,0,(Upgrades!$G$14+F165*Upgrades!$H$14)*POWER(Upgrades!$I$14,F165)))*(IF(Upgrades!$T$13="Local Bubble",POWER(Upgrades!$U$13,E165),1)*IF(Upgrades!$T$15="Local Bubble",POWER(Upgrades!$U$15,G165),1)*IF(Upgrades!$T$16="Local Bubble",POWER(Upgrades!$U$16,H165),1)*IF(Upgrades!$T$17="Local Bubble",POWER(Upgrades!$U$17,I165),1)*IF(Upgrades!$T$18="Local Bubble",POWER(Upgrades!$U$18,J165),1)*IF(Upgrades!$T$19="Local Bubble",POWER(Upgrades!$U$19,K165),1)*IF(Upgrades!$T$20="Local Bubble",POWER(Upgrades!$U$20,L165),1)*IF(Upgrades!$T$21="Local Bubble",POWER(Upgrades!$U$21,M165),1))*POWER(Upgrades!$P$13,E165)*POWER(Upgrades!$P$14,F165)*POWER(Upgrades!$P$15,G165)*POWER(Upgrades!$P$16,H165)*POWER(Upgrades!$P$17,I165)*POWER(Upgrades!$P$18,J165)*POWER(Upgrades!$P$19,K165)*POWER(Upgrades!$P$20,L165)*POWER(Upgrades!$P$21,M165)*$F$6)*0.05)/AN165,0)</f>
        <v/>
      </c>
      <c r="BC165" s="32">
        <f>IFERROR((Upgrades!$H$17*(POWER(Upgrades!$P$13,E165)*POWER(Upgrades!$P$14,F165)*POWER(Upgrades!$P$15,G165)*POWER(Upgrades!$P$16,H165)*POWER(Upgrades!$P$17,I165)*POWER(Upgrades!$P$18,J165)*POWER(Upgrades!$P$19,K165)*POWER(Upgrades!$P$20,L165)*POWER(Upgrades!$P$21,M165))*(IF(Upgrades!$T$13="Brown Dwarf",POWER(Upgrades!$U$13,E165),1)*IF(Upgrades!$T$14="Brown Dwarf",POWER(Upgrades!$U$14,F165),1)*IF(Upgrades!$T$15="Brown Dwarf",POWER(Upgrades!$U$15,G165),1)*IF(Upgrades!$T$16="Brown Dwarf",POWER(Upgrades!$U$16,H165),1)*IF(Upgrades!$T$18="Brown Dwarf",POWER(Upgrades!$U$18,J165),1)*IF(Upgrades!$T$19="Brown Dwarf",POWER(Upgrades!$U$19,K165),1)*IF(Upgrades!$T$20="Brown Dwarf",POWER(Upgrades!$U$20,L165),1)*IF(Upgrades!$T$21="Brown Dwarf",POWER(Upgrades!$U$21,M165),1))*$F$6+(((IF(H165=0,0,(Upgrades!$M$16+H165*Upgrades!$N$16)*POWER(Upgrades!$O$16,H165)))*(IF(Upgrades!$T$13="Roche Lobe Overflow",POWER(Upgrades!$U$13,E165),1)*IF(Upgrades!$T$14="Roche Lobe Overflow",POWER(Upgrades!$U$14,F165),1)*IF(Upgrades!$T$15="Roche Lobe Overflow",POWER(Upgrades!$U$15,G165),1)*IF(Upgrades!$T$17="Roche Lobe Overflow",POWER(Upgrades!$U$17,I165),1)*IF(Upgrades!$T$18="Roche Lobe Overflow",POWER(Upgrades!$U$18,J165),1)*IF(Upgrades!$T$19="Roche Lobe Overflow",POWER(Upgrades!$U$19,K165),1)*IF(Upgrades!$T$20="Roche Lobe Overflow",POWER(Upgrades!$U$20,L165),1)*IF(Upgrades!$T$21="Roche Lobe Overflow",POWER(Upgrades!$U$21,M165),1))*POWER(Upgrades!$R$13,E165)*POWER(Upgrades!$R$14,F165)*POWER(Upgrades!$R$15,G165)*POWER(Upgrades!$R$16,H165)*POWER(Upgrades!$R$17,I165)*POWER(Upgrades!$R$18,J165)*POWER(Upgrades!$R$19,K165)*POWER(Upgrades!$R$20,L165)*POWER(Upgrades!$R$21,M165)*$H$6)*O165)*0.10)/AO165,0)</f>
        <v/>
      </c>
      <c r="BD165" s="32">
        <f>MAX(IF(J165&gt;0,0,IFERROR(0.5*((IF(G165=0,0,(Upgrades!$J$15+G165*Upgrades!$K$15)*POWER(Upgrades!$L$15,G165)))*(IF(Upgrades!$T$13="Microlensing",POWER(Upgrades!$U$13,E165),1)*IF(Upgrades!$T$14="Microlensing",POWER(Upgrades!$U$14,F165),1)*IF(Upgrades!$T$16="Microlensing",POWER(Upgrades!$U$16,H165),1)*IF(Upgrades!$T$17="Microlensing",POWER(Upgrades!$U$17,I165),1)*IF(Upgrades!$T$18="Microlensing",POWER(Upgrades!$U$18,J165),1)*IF(Upgrades!$T$19="Microlensing",POWER(Upgrades!$U$19,K165),1)*IF(Upgrades!$T$20="Microlensing",POWER(Upgrades!$U$20,L165),1)*IF(Upgrades!$T$21="Microlensing",POWER(Upgrades!$U$21,M165),1))*(POWER(Upgrades!$Q$13,E165)*POWER(Upgrades!$Q$14,F165)*POWER(Upgrades!$Q$15,G165)*POWER(Upgrades!$Q$16,H165)*POWER(Upgrades!$Q$17,I165)*POWER(Upgrades!$Q$18,J165)*POWER(Upgrades!$Q$19,K165)*POWER(Upgrades!$Q$20,L165)*POWER(Upgrades!$Q$21,M165))*$G$6*(Parameters!$B$10/60*Parameters!$B$11+Q165))/Upgrades!$C$18,0)),IF(K165&gt;0,0,IFERROR(0.30*P165/Upgrades!$C$19,0)),IF(L165&gt;0,0,IFERROR(0.0001/Upgrades!$C$20,0)),IF(M165&gt;0,0,IFERROR((6.0*(POWER(Upgrades!$P$13,E165)*POWER(Upgrades!$P$14,F165)*POWER(Upgrades!$P$15,G165)*POWER(Upgrades!$P$16,H165)*POWER(Upgrades!$P$17,I165)*POWER(Upgrades!$P$18,J165)*POWER(Upgrades!$P$19,K165)*POWER(Upgrades!$P$20,L165)*POWER(Upgrades!$P$21,M165))*$F$6+0.20*O165*(Parameters!$B$10/60*Parameters!$B$11+Q165))/Upgrades!$C$21,0)),IF(AND(ISNUMBER(AK165),AK165&gt;(C165+T165)),AY165,0),IF(AND(ISNUMBER(AL165),AL165&gt;(C165+T165)),AZ165,0),IF(AND(ISNUMBER(AM165),AM165&gt;(C165+T165)),BA165,0),IF(AND(ISNUMBER(AN165),AN165&gt;(C165+T165)),BB165,0),IF(AND(ISNUMBER(AO165),AO165&gt;(C165+T165)),BC165,0))</f>
        <v/>
      </c>
      <c r="BE165" s="29">
        <f>IF(AT165=1,"transition",IF(MIN(IF(AND(J165=0,ISNUMBER(AP165),AP165&lt;=(C165+T165)),AP165,9E15),IF(AND(K165=0,ISNUMBER(AQ165),AQ165&lt;=(C165+T165)),AQ165,9E15),IF(AND(L165=0,ISNUMBER(AR165),AR165&lt;=(C165+T165)),AR165,9E15),IF(AND(M165=0,ISNUMBER(AS165),AS165&lt;=(C165+T165)),AS165,9E15))&lt;9E15,IF(AND(AND(J165=0,ISNUMBER(AP165),AP165&lt;=(C165+T165)),AP165=MIN(IF(AND(J165=0,ISNUMBER(AP165),AP165&lt;=(C165+T165)),AP165,9E15),IF(AND(K165=0,ISNUMBER(AQ165),AQ165&lt;=(C165+T165)),AQ165,9E15),IF(AND(L165=0,ISNUMBER(AR165),AR165&lt;=(C165+T165)),AR165,9E15),IF(AND(M165=0,ISNUMBER(AS165),AS165&lt;=(C165+T165)),AS165,9E15))),"BiP",IF(AND(AND(K165=0,ISNUMBER(AQ165),AQ165&lt;=(C165+T165)),AQ165=MIN(IF(AND(J165=0,ISNUMBER(AP165),AP165&lt;=(C165+T165)),AP165,9E15),IF(AND(K165=0,ISNUMBER(AQ165),AQ165&lt;=(C165+T165)),AQ165,9E15),IF(AND(L165=0,ISNUMBER(AR165),AR165&lt;=(C165+T165)),AR165,9E15),IF(AND(M165=0,ISNUMBER(AS165),AS165&lt;=(C165+T165)),AS165,9E15))),"PV",IF(AND(AND(L165=0,ISNUMBER(AR165),AR165&lt;=(C165+T165)),AR165=MIN(IF(AND(J165=0,ISNUMBER(AP165),AP165&lt;=(C165+T165)),AP165,9E15),IF(AND(K165=0,ISNUMBER(AQ165),AQ165&lt;=(C165+T165)),AQ165,9E15),IF(AND(L165=0,ISNUMBER(AR165),AR165&lt;=(C165+T165)),AR165,9E15),IF(AND(M165=0,ISNUMBER(AS165),AS165&lt;=(C165+T165)),AS165,9E15))),"OC","MG"))),IF(AX165=TRUE,"",IF(MAX(IF(AND(NOT(AND(AU165=1,AT165&lt;&gt;1)),ISNUMBER(AK165),AK165&lt;=(C165+T165)),AY165,0),IF(AND(NOT(AND(AU165=1,AT165&lt;&gt;1)),ISNUMBER(AL165),AL165&lt;=(C165+T165)),AZ165,0),IF(AND(NOT(AND(AU165=1,AT165&lt;&gt;1)),ISNUMBER(AM165),AM165&lt;=(C165+T165)),BA165,0),IF(AND(NOT(AND(AU165=1,AT165&lt;&gt;1)),ISNUMBER(AN165),AN165&lt;=(C165+T165)),BB165,0),IF(AND(ISNUMBER(AO165),AO165&lt;=(C165+T165)),BC165,0))&lt;=0,"",IF(AND(IF(AND(NOT(AND(AU165=1,AT165&lt;&gt;1)),ISNUMBER(AK165),AK165&lt;=(C165+T165)),AY165,0)&gt;0,IF(AND(NOT(AND(AU165=1,AT165&lt;&gt;1)),ISNUMBER(AK165),AK165&lt;=(C165+T165)),AY165,0)=MAX(IF(AND(NOT(AND(AU165=1,AT165&lt;&gt;1)),ISNUMBER(AK165),AK165&lt;=(C165+T165)),AY165,0),IF(AND(NOT(AND(AU165=1,AT165&lt;&gt;1)),ISNUMBER(AL165),AL165&lt;=(C165+T165)),AZ165,0),IF(AND(NOT(AND(AU165=1,AT165&lt;&gt;1)),ISNUMBER(AM165),AM165&lt;=(C165+T165)),BA165,0),IF(AND(NOT(AND(AU165=1,AT165&lt;&gt;1)),ISNUMBER(AN165),AN165&lt;=(C165+T165)),BB165,0),IF(AND(ISNUMBER(AO165),AO165&lt;=(C165+T165)),BC165,0))),"SK",IF(AND(IF(AND(NOT(AND(AU165=1,AT165&lt;&gt;1)),ISNUMBER(AL165),AL165&lt;=(C165+T165)),AZ165,0)&gt;0,IF(AND(NOT(AND(AU165=1,AT165&lt;&gt;1)),ISNUMBER(AL165),AL165&lt;=(C165+T165)),AZ165,0)=MAX(IF(AND(NOT(AND(AU165=1,AT165&lt;&gt;1)),ISNUMBER(AK165),AK165&lt;=(C165+T165)),AY165,0),IF(AND(NOT(AND(AU165=1,AT165&lt;&gt;1)),ISNUMBER(AL165),AL165&lt;=(C165+T165)),AZ165,0),IF(AND(NOT(AND(AU165=1,AT165&lt;&gt;1)),ISNUMBER(AM165),AM165&lt;=(C165+T165)),BA165,0),IF(AND(NOT(AND(AU165=1,AT165&lt;&gt;1)),ISNUMBER(AN165),AN165&lt;=(C165+T165)),BB165,0),IF(AND(ISNUMBER(AO165),AO165&lt;=(C165+T165)),BC165,0))),"LB",IF(AND(IF(AND(NOT(AND(AU165=1,AT165&lt;&gt;1)),ISNUMBER(AM165),AM165&lt;=(C165+T165)),BA165,0)&gt;0,IF(AND(NOT(AND(AU165=1,AT165&lt;&gt;1)),ISNUMBER(AM165),AM165&lt;=(C165+T165)),BA165,0)=MAX(IF(AND(NOT(AND(AU165=1,AT165&lt;&gt;1)),ISNUMBER(AK165),AK165&lt;=(C165+T165)),AY165,0),IF(AND(NOT(AND(AU165=1,AT165&lt;&gt;1)),ISNUMBER(AL165),AL165&lt;=(C165+T165)),AZ165,0),IF(AND(NOT(AND(AU165=1,AT165&lt;&gt;1)),ISNUMBER(AM165),AM165&lt;=(C165+T165)),BA165,0),IF(AND(NOT(AND(AU165=1,AT165&lt;&gt;1)),ISNUMBER(AN165),AN165&lt;=(C165+T165)),BB165,0),IF(AND(ISNUMBER(AO165),AO165&lt;=(C165+T165)),BC165,0))),"ML",IF(AND(IF(AND(NOT(AND(AU165=1,AT165&lt;&gt;1)),ISNUMBER(AN165),AN165&lt;=(C165+T165)),BB165,0)&gt;0,IF(AND(NOT(AND(AU165=1,AT165&lt;&gt;1)),ISNUMBER(AN165),AN165&lt;=(C165+T165)),BB165,0)=MAX(IF(AND(NOT(AND(AU165=1,AT165&lt;&gt;1)),ISNUMBER(AK165),AK165&lt;=(C165+T165)),AY165,0),IF(AND(NOT(AND(AU165=1,AT165&lt;&gt;1)),ISNUMBER(AL165),AL165&lt;=(C165+T165)),AZ165,0),IF(AND(NOT(AND(AU165=1,AT165&lt;&gt;1)),ISNUMBER(AM165),AM165&lt;=(C165+T165)),BA165,0),IF(AND(NOT(AND(AU165=1,AT165&lt;&gt;1)),ISNUMBER(AN165),AN165&lt;=(C165+T165)),BB165,0),IF(AND(ISNUMBER(AO165),AO165&lt;=(C165+T165)),BC165,0))),"RLO","BD"))))))))</f>
        <v/>
      </c>
    </row>
    <row r="166">
      <c r="A166" s="26" t="n">
        <v>155</v>
      </c>
      <c r="B166" s="27">
        <f>A166*10/60</f>
        <v/>
      </c>
      <c r="C166" s="22">
        <f>X165</f>
        <v/>
      </c>
      <c r="D166" s="27">
        <f>D165+W165</f>
        <v/>
      </c>
      <c r="E166" s="26">
        <f>E165+IF(U165="SK",1,0)</f>
        <v/>
      </c>
      <c r="F166" s="26">
        <f>F165+IF(U165="LB",1,0)</f>
        <v/>
      </c>
      <c r="G166" s="26">
        <f>G165+IF(U165="ML",1,0)</f>
        <v/>
      </c>
      <c r="H166" s="26">
        <f>H165+IF(U165="RLO",1,0)</f>
        <v/>
      </c>
      <c r="I166" s="26">
        <f>I165+IF(U165="BD",1,0)</f>
        <v/>
      </c>
      <c r="J166" s="26">
        <f>MAX(J165,IF(U165="BiP",1,0))</f>
        <v/>
      </c>
      <c r="K166" s="26">
        <f>MAX(K165,IF(U165="PV",1,0))</f>
        <v/>
      </c>
      <c r="L166" s="26">
        <f>MAX(L165,IF(U165="OC",1,0))</f>
        <v/>
      </c>
      <c r="M166" s="26">
        <f>MAX(M165,IF(U165="MG",1,0))</f>
        <v/>
      </c>
      <c r="N166" s="26">
        <f>MAX(N165,IF(U165="transition",1,0))</f>
        <v/>
      </c>
      <c r="O166" s="28">
        <f>(Parameters!$B$9+(IF(E166=0,0,(Upgrades!$J$13+E166*Upgrades!$K$13)*POWER(Upgrades!$L$13,E166)))*(IF(Upgrades!$T$14="Stellar Kinematics",POWER(Upgrades!$U$14,F166),1)*IF(Upgrades!$T$15="Stellar Kinematics",POWER(Upgrades!$U$15,G166),1)*IF(Upgrades!$T$16="Stellar Kinematics",POWER(Upgrades!$U$16,H166),1)*IF(Upgrades!$T$17="Stellar Kinematics",POWER(Upgrades!$U$17,I166),1)*IF(Upgrades!$T$18="Stellar Kinematics",POWER(Upgrades!$U$18,J166),1)*IF(Upgrades!$T$19="Stellar Kinematics",POWER(Upgrades!$U$19,K166),1)*IF(Upgrades!$T$20="Stellar Kinematics",POWER(Upgrades!$U$20,L166),1)*IF(Upgrades!$T$21="Stellar Kinematics",POWER(Upgrades!$U$21,M166),1))+(IF(F166=0,0,(Upgrades!$J$14+F166*Upgrades!$K$14)*POWER(Upgrades!$L$14,F166)))*(IF(Upgrades!$T$13="Local Bubble",POWER(Upgrades!$U$13,E166),1)*IF(Upgrades!$T$15="Local Bubble",POWER(Upgrades!$U$15,G166),1)*IF(Upgrades!$T$16="Local Bubble",POWER(Upgrades!$U$16,H166),1)*IF(Upgrades!$T$17="Local Bubble",POWER(Upgrades!$U$17,I166),1)*IF(Upgrades!$T$18="Local Bubble",POWER(Upgrades!$U$18,J166),1)*IF(Upgrades!$T$19="Local Bubble",POWER(Upgrades!$U$19,K166),1)*IF(Upgrades!$T$20="Local Bubble",POWER(Upgrades!$U$20,L166),1)*IF(Upgrades!$T$21="Local Bubble",POWER(Upgrades!$U$21,M166),1))+(IF(G166=0,0,(Upgrades!$J$15+G166*Upgrades!$K$15)*POWER(Upgrades!$L$15,G166)))*(IF(Upgrades!$T$13="Microlensing",POWER(Upgrades!$U$13,E166),1)*IF(Upgrades!$T$14="Microlensing",POWER(Upgrades!$U$14,F166),1)*IF(Upgrades!$T$16="Microlensing",POWER(Upgrades!$U$16,H166),1)*IF(Upgrades!$T$17="Microlensing",POWER(Upgrades!$U$17,I166),1)*IF(Upgrades!$T$18="Microlensing",POWER(Upgrades!$U$18,J166),1)*IF(Upgrades!$T$19="Microlensing",POWER(Upgrades!$U$19,K166),1)*IF(Upgrades!$T$20="Microlensing",POWER(Upgrades!$U$20,L166),1)*IF(Upgrades!$T$21="Microlensing",POWER(Upgrades!$U$21,M166),1))+(IF(H166=0,0,(Upgrades!$J$16+H166*Upgrades!$K$16)*POWER(Upgrades!$L$16,H166)))*(IF(Upgrades!$T$13="Roche Lobe Overflow",POWER(Upgrades!$U$13,E166),1)*IF(Upgrades!$T$14="Roche Lobe Overflow",POWER(Upgrades!$U$14,F166),1)*IF(Upgrades!$T$15="Roche Lobe Overflow",POWER(Upgrades!$U$15,G166),1)*IF(Upgrades!$T$17="Roche Lobe Overflow",POWER(Upgrades!$U$17,I166),1)*IF(Upgrades!$T$18="Roche Lobe Overflow",POWER(Upgrades!$U$18,J166),1)*IF(Upgrades!$T$19="Roche Lobe Overflow",POWER(Upgrades!$U$19,K166),1)*IF(Upgrades!$T$20="Roche Lobe Overflow",POWER(Upgrades!$U$20,L166),1)*IF(Upgrades!$T$21="Roche Lobe Overflow",POWER(Upgrades!$U$21,M166),1))+(IF(I166=0,0,(Upgrades!$J$17+I166*Upgrades!$K$17)*POWER(Upgrades!$L$17,I166)))*(IF(Upgrades!$T$13="Brown Dwarf",POWER(Upgrades!$U$13,E166),1)*IF(Upgrades!$T$14="Brown Dwarf",POWER(Upgrades!$U$14,F166),1)*IF(Upgrades!$T$15="Brown Dwarf",POWER(Upgrades!$U$15,G166),1)*IF(Upgrades!$T$16="Brown Dwarf",POWER(Upgrades!$U$16,H166),1)*IF(Upgrades!$T$18="Brown Dwarf",POWER(Upgrades!$U$18,J166),1)*IF(Upgrades!$T$19="Brown Dwarf",POWER(Upgrades!$U$19,K166),1)*IF(Upgrades!$T$20="Brown Dwarf",POWER(Upgrades!$U$20,L166),1)*IF(Upgrades!$T$21="Brown Dwarf",POWER(Upgrades!$U$21,M166),1))+(IF(J166=0,0,(Upgrades!$J$18+J166*Upgrades!$K$18)*POWER(Upgrades!$L$18,J166)))*(IF(Upgrades!$T$13="Binary Partner",POWER(Upgrades!$U$13,E166),1)*IF(Upgrades!$T$14="Binary Partner",POWER(Upgrades!$U$14,F166),1)*IF(Upgrades!$T$15="Binary Partner",POWER(Upgrades!$U$15,G166),1)*IF(Upgrades!$T$16="Binary Partner",POWER(Upgrades!$U$16,H166),1)*IF(Upgrades!$T$17="Binary Partner",POWER(Upgrades!$U$17,I166),1)*IF(Upgrades!$T$19="Binary Partner",POWER(Upgrades!$U$19,K166),1)*IF(Upgrades!$T$20="Binary Partner",POWER(Upgrades!$U$20,L166),1)*IF(Upgrades!$T$21="Binary Partner",POWER(Upgrades!$U$21,M166),1))+(IF(K166=0,0,(Upgrades!$J$19+K166*Upgrades!$K$19)*POWER(Upgrades!$L$19,K166)))*(IF(Upgrades!$T$13="Peculiar Velocity",POWER(Upgrades!$U$13,E166),1)*IF(Upgrades!$T$14="Peculiar Velocity",POWER(Upgrades!$U$14,F166),1)*IF(Upgrades!$T$15="Peculiar Velocity",POWER(Upgrades!$U$15,G166),1)*IF(Upgrades!$T$16="Peculiar Velocity",POWER(Upgrades!$U$16,H166),1)*IF(Upgrades!$T$17="Peculiar Velocity",POWER(Upgrades!$U$17,I166),1)*IF(Upgrades!$T$18="Peculiar Velocity",POWER(Upgrades!$U$18,J166),1)*IF(Upgrades!$T$20="Peculiar Velocity",POWER(Upgrades!$U$20,L166),1)*IF(Upgrades!$T$21="Peculiar Velocity",POWER(Upgrades!$U$21,M166),1))+(IF(L166=0,0,(Upgrades!$J$20+L166*Upgrades!$K$20)*POWER(Upgrades!$L$20,L166)))*(IF(Upgrades!$T$13="Open Cluster",POWER(Upgrades!$U$13,E166),1)*IF(Upgrades!$T$14="Open Cluster",POWER(Upgrades!$U$14,F166),1)*IF(Upgrades!$T$15="Open Cluster",POWER(Upgrades!$U$15,G166),1)*IF(Upgrades!$T$16="Open Cluster",POWER(Upgrades!$U$16,H166),1)*IF(Upgrades!$T$17="Open Cluster",POWER(Upgrades!$U$17,I166),1)*IF(Upgrades!$T$18="Open Cluster",POWER(Upgrades!$U$18,J166),1)*IF(Upgrades!$T$19="Open Cluster",POWER(Upgrades!$U$19,K166),1)*IF(Upgrades!$T$21="Open Cluster",POWER(Upgrades!$U$21,M166),1))+(IF(M166=0,0,(Upgrades!$J$21+M166*Upgrades!$K$21)*POWER(Upgrades!$L$21,M166)))*(IF(Upgrades!$T$13="Moving Group",POWER(Upgrades!$U$13,E166),1)*IF(Upgrades!$T$14="Moving Group",POWER(Upgrades!$U$14,F166),1)*IF(Upgrades!$T$15="Moving Group",POWER(Upgrades!$U$15,G166),1)*IF(Upgrades!$T$16="Moving Group",POWER(Upgrades!$U$16,H166),1)*IF(Upgrades!$T$17="Moving Group",POWER(Upgrades!$U$17,I166),1)*IF(Upgrades!$T$18="Moving Group",POWER(Upgrades!$U$18,J166),1)*IF(Upgrades!$T$19="Moving Group",POWER(Upgrades!$U$19,K166),1)*IF(Upgrades!$T$20="Moving Group",POWER(Upgrades!$U$20,L166),1)))*POWER(Upgrades!$Q$13,E166)*POWER(Upgrades!$Q$14,F166)*POWER(Upgrades!$Q$15,G166)*POWER(Upgrades!$Q$16,H166)*POWER(Upgrades!$Q$17,I166)*POWER(Upgrades!$Q$18,J166)*POWER(Upgrades!$Q$19,K166)*POWER(Upgrades!$Q$20,L166)*POWER(Upgrades!$Q$21,M166)*$G$6+$D$6</f>
        <v/>
      </c>
      <c r="P166" s="28">
        <f>((IF(E166=0,0,(Upgrades!$G$13+E166*Upgrades!$H$13)*POWER(Upgrades!$I$13,E166)))*(IF(Upgrades!$T$14="Stellar Kinematics",POWER(Upgrades!$U$14,F166),1)*IF(Upgrades!$T$15="Stellar Kinematics",POWER(Upgrades!$U$15,G166),1)*IF(Upgrades!$T$16="Stellar Kinematics",POWER(Upgrades!$U$16,H166),1)*IF(Upgrades!$T$17="Stellar Kinematics",POWER(Upgrades!$U$17,I166),1)*IF(Upgrades!$T$18="Stellar Kinematics",POWER(Upgrades!$U$18,J166),1)*IF(Upgrades!$T$19="Stellar Kinematics",POWER(Upgrades!$U$19,K166),1)*IF(Upgrades!$T$20="Stellar Kinematics",POWER(Upgrades!$U$20,L166),1)*IF(Upgrades!$T$21="Stellar Kinematics",POWER(Upgrades!$U$21,M166),1))+(IF(F166=0,0,(Upgrades!$G$14+F166*Upgrades!$H$14)*POWER(Upgrades!$I$14,F166)))*(IF(Upgrades!$T$13="Local Bubble",POWER(Upgrades!$U$13,E166),1)*IF(Upgrades!$T$15="Local Bubble",POWER(Upgrades!$U$15,G166),1)*IF(Upgrades!$T$16="Local Bubble",POWER(Upgrades!$U$16,H166),1)*IF(Upgrades!$T$17="Local Bubble",POWER(Upgrades!$U$17,I166),1)*IF(Upgrades!$T$18="Local Bubble",POWER(Upgrades!$U$18,J166),1)*IF(Upgrades!$T$19="Local Bubble",POWER(Upgrades!$U$19,K166),1)*IF(Upgrades!$T$20="Local Bubble",POWER(Upgrades!$U$20,L166),1)*IF(Upgrades!$T$21="Local Bubble",POWER(Upgrades!$U$21,M166),1))+(IF(G166=0,0,(Upgrades!$G$15+G166*Upgrades!$H$15)*POWER(Upgrades!$I$15,G166)))*(IF(Upgrades!$T$13="Microlensing",POWER(Upgrades!$U$13,E166),1)*IF(Upgrades!$T$14="Microlensing",POWER(Upgrades!$U$14,F166),1)*IF(Upgrades!$T$16="Microlensing",POWER(Upgrades!$U$16,H166),1)*IF(Upgrades!$T$17="Microlensing",POWER(Upgrades!$U$17,I166),1)*IF(Upgrades!$T$18="Microlensing",POWER(Upgrades!$U$18,J166),1)*IF(Upgrades!$T$19="Microlensing",POWER(Upgrades!$U$19,K166),1)*IF(Upgrades!$T$20="Microlensing",POWER(Upgrades!$U$20,L166),1)*IF(Upgrades!$T$21="Microlensing",POWER(Upgrades!$U$21,M166),1))+(IF(H166=0,0,(Upgrades!$G$16+H166*Upgrades!$H$16)*POWER(Upgrades!$I$16,H166)))*(IF(Upgrades!$T$13="Roche Lobe Overflow",POWER(Upgrades!$U$13,E166),1)*IF(Upgrades!$T$14="Roche Lobe Overflow",POWER(Upgrades!$U$14,F166),1)*IF(Upgrades!$T$15="Roche Lobe Overflow",POWER(Upgrades!$U$15,G166),1)*IF(Upgrades!$T$17="Roche Lobe Overflow",POWER(Upgrades!$U$17,I166),1)*IF(Upgrades!$T$18="Roche Lobe Overflow",POWER(Upgrades!$U$18,J166),1)*IF(Upgrades!$T$19="Roche Lobe Overflow",POWER(Upgrades!$U$19,K166),1)*IF(Upgrades!$T$20="Roche Lobe Overflow",POWER(Upgrades!$U$20,L166),1)*IF(Upgrades!$T$21="Roche Lobe Overflow",POWER(Upgrades!$U$21,M166),1))+(IF(I166=0,0,(Upgrades!$G$17+I166*Upgrades!$H$17)*POWER(Upgrades!$I$17,I166)))*(IF(Upgrades!$T$13="Brown Dwarf",POWER(Upgrades!$U$13,E166),1)*IF(Upgrades!$T$14="Brown Dwarf",POWER(Upgrades!$U$14,F166),1)*IF(Upgrades!$T$15="Brown Dwarf",POWER(Upgrades!$U$15,G166),1)*IF(Upgrades!$T$16="Brown Dwarf",POWER(Upgrades!$U$16,H166),1)*IF(Upgrades!$T$18="Brown Dwarf",POWER(Upgrades!$U$18,J166),1)*IF(Upgrades!$T$19="Brown Dwarf",POWER(Upgrades!$U$19,K166),1)*IF(Upgrades!$T$20="Brown Dwarf",POWER(Upgrades!$U$20,L166),1)*IF(Upgrades!$T$21="Brown Dwarf",POWER(Upgrades!$U$21,M166),1))+(IF(J166=0,0,(Upgrades!$G$18+J166*Upgrades!$H$18)*POWER(Upgrades!$I$18,J166)))*(IF(Upgrades!$T$13="Binary Partner",POWER(Upgrades!$U$13,E166),1)*IF(Upgrades!$T$14="Binary Partner",POWER(Upgrades!$U$14,F166),1)*IF(Upgrades!$T$15="Binary Partner",POWER(Upgrades!$U$15,G166),1)*IF(Upgrades!$T$16="Binary Partner",POWER(Upgrades!$U$16,H166),1)*IF(Upgrades!$T$17="Binary Partner",POWER(Upgrades!$U$17,I166),1)*IF(Upgrades!$T$19="Binary Partner",POWER(Upgrades!$U$19,K166),1)*IF(Upgrades!$T$20="Binary Partner",POWER(Upgrades!$U$20,L166),1)*IF(Upgrades!$T$21="Binary Partner",POWER(Upgrades!$U$21,M166),1))+(IF(K166=0,0,(Upgrades!$G$19+K166*Upgrades!$H$19)*POWER(Upgrades!$I$19,K166)))*(IF(Upgrades!$T$13="Peculiar Velocity",POWER(Upgrades!$U$13,E166),1)*IF(Upgrades!$T$14="Peculiar Velocity",POWER(Upgrades!$U$14,F166),1)*IF(Upgrades!$T$15="Peculiar Velocity",POWER(Upgrades!$U$15,G166),1)*IF(Upgrades!$T$16="Peculiar Velocity",POWER(Upgrades!$U$16,H166),1)*IF(Upgrades!$T$17="Peculiar Velocity",POWER(Upgrades!$U$17,I166),1)*IF(Upgrades!$T$18="Peculiar Velocity",POWER(Upgrades!$U$18,J166),1)*IF(Upgrades!$T$20="Peculiar Velocity",POWER(Upgrades!$U$20,L166),1)*IF(Upgrades!$T$21="Peculiar Velocity",POWER(Upgrades!$U$21,M166),1))+(IF(L166=0,0,(Upgrades!$G$20+L166*Upgrades!$H$20)*POWER(Upgrades!$I$20,L166)))*(IF(Upgrades!$T$13="Open Cluster",POWER(Upgrades!$U$13,E166),1)*IF(Upgrades!$T$14="Open Cluster",POWER(Upgrades!$U$14,F166),1)*IF(Upgrades!$T$15="Open Cluster",POWER(Upgrades!$U$15,G166),1)*IF(Upgrades!$T$16="Open Cluster",POWER(Upgrades!$U$16,H166),1)*IF(Upgrades!$T$17="Open Cluster",POWER(Upgrades!$U$17,I166),1)*IF(Upgrades!$T$18="Open Cluster",POWER(Upgrades!$U$18,J166),1)*IF(Upgrades!$T$19="Open Cluster",POWER(Upgrades!$U$19,K166),1)*IF(Upgrades!$T$21="Open Cluster",POWER(Upgrades!$U$21,M166),1))+(IF(M166=0,0,(Upgrades!$G$21+M166*Upgrades!$H$21)*POWER(Upgrades!$I$21,M166)))*(IF(Upgrades!$T$13="Moving Group",POWER(Upgrades!$U$13,E166),1)*IF(Upgrades!$T$14="Moving Group",POWER(Upgrades!$U$14,F166),1)*IF(Upgrades!$T$15="Moving Group",POWER(Upgrades!$U$15,G166),1)*IF(Upgrades!$T$16="Moving Group",POWER(Upgrades!$U$16,H166),1)*IF(Upgrades!$T$17="Moving Group",POWER(Upgrades!$U$17,I166),1)*IF(Upgrades!$T$18="Moving Group",POWER(Upgrades!$U$18,J166),1)*IF(Upgrades!$T$19="Moving Group",POWER(Upgrades!$U$19,K166),1)*IF(Upgrades!$T$20="Moving Group",POWER(Upgrades!$U$20,L166),1)))*POWER(Upgrades!$P$13,E166)*POWER(Upgrades!$P$14,F166)*POWER(Upgrades!$P$15,G166)*POWER(Upgrades!$P$16,H166)*POWER(Upgrades!$P$17,I166)*POWER(Upgrades!$P$18,J166)*POWER(Upgrades!$P$19,K166)*POWER(Upgrades!$P$20,L166)*POWER(Upgrades!$P$21,M166)*$F$6+$C$6</f>
        <v/>
      </c>
      <c r="Q166" s="28">
        <f>((IF(E166=0,0,(Upgrades!$M$13+E166*Upgrades!$N$13)*POWER(Upgrades!$O$13,E166)))*(IF(Upgrades!$T$14="Stellar Kinematics",POWER(Upgrades!$U$14,F166),1)*IF(Upgrades!$T$15="Stellar Kinematics",POWER(Upgrades!$U$15,G166),1)*IF(Upgrades!$T$16="Stellar Kinematics",POWER(Upgrades!$U$16,H166),1)*IF(Upgrades!$T$17="Stellar Kinematics",POWER(Upgrades!$U$17,I166),1)*IF(Upgrades!$T$18="Stellar Kinematics",POWER(Upgrades!$U$18,J166),1)*IF(Upgrades!$T$19="Stellar Kinematics",POWER(Upgrades!$U$19,K166),1)*IF(Upgrades!$T$20="Stellar Kinematics",POWER(Upgrades!$U$20,L166),1)*IF(Upgrades!$T$21="Stellar Kinematics",POWER(Upgrades!$U$21,M166),1))+(IF(F166=0,0,(Upgrades!$M$14+F166*Upgrades!$N$14)*POWER(Upgrades!$O$14,F166)))*(IF(Upgrades!$T$13="Local Bubble",POWER(Upgrades!$U$13,E166),1)*IF(Upgrades!$T$15="Local Bubble",POWER(Upgrades!$U$15,G166),1)*IF(Upgrades!$T$16="Local Bubble",POWER(Upgrades!$U$16,H166),1)*IF(Upgrades!$T$17="Local Bubble",POWER(Upgrades!$U$17,I166),1)*IF(Upgrades!$T$18="Local Bubble",POWER(Upgrades!$U$18,J166),1)*IF(Upgrades!$T$19="Local Bubble",POWER(Upgrades!$U$19,K166),1)*IF(Upgrades!$T$20="Local Bubble",POWER(Upgrades!$U$20,L166),1)*IF(Upgrades!$T$21="Local Bubble",POWER(Upgrades!$U$21,M166),1))+(IF(G166=0,0,(Upgrades!$M$15+G166*Upgrades!$N$15)*POWER(Upgrades!$O$15,G166)))*(IF(Upgrades!$T$13="Microlensing",POWER(Upgrades!$U$13,E166),1)*IF(Upgrades!$T$14="Microlensing",POWER(Upgrades!$U$14,F166),1)*IF(Upgrades!$T$16="Microlensing",POWER(Upgrades!$U$16,H166),1)*IF(Upgrades!$T$17="Microlensing",POWER(Upgrades!$U$17,I166),1)*IF(Upgrades!$T$18="Microlensing",POWER(Upgrades!$U$18,J166),1)*IF(Upgrades!$T$19="Microlensing",POWER(Upgrades!$U$19,K166),1)*IF(Upgrades!$T$20="Microlensing",POWER(Upgrades!$U$20,L166),1)*IF(Upgrades!$T$21="Microlensing",POWER(Upgrades!$U$21,M166),1))+(IF(H166=0,0,(Upgrades!$M$16+H166*Upgrades!$N$16)*POWER(Upgrades!$O$16,H166)))*(IF(Upgrades!$T$13="Roche Lobe Overflow",POWER(Upgrades!$U$13,E166),1)*IF(Upgrades!$T$14="Roche Lobe Overflow",POWER(Upgrades!$U$14,F166),1)*IF(Upgrades!$T$15="Roche Lobe Overflow",POWER(Upgrades!$U$15,G166),1)*IF(Upgrades!$T$17="Roche Lobe Overflow",POWER(Upgrades!$U$17,I166),1)*IF(Upgrades!$T$18="Roche Lobe Overflow",POWER(Upgrades!$U$18,J166),1)*IF(Upgrades!$T$19="Roche Lobe Overflow",POWER(Upgrades!$U$19,K166),1)*IF(Upgrades!$T$20="Roche Lobe Overflow",POWER(Upgrades!$U$20,L166),1)*IF(Upgrades!$T$21="Roche Lobe Overflow",POWER(Upgrades!$U$21,M166),1))+(IF(I166=0,0,(Upgrades!$M$17+I166*Upgrades!$N$17)*POWER(Upgrades!$O$17,I166)))*(IF(Upgrades!$T$13="Brown Dwarf",POWER(Upgrades!$U$13,E166),1)*IF(Upgrades!$T$14="Brown Dwarf",POWER(Upgrades!$U$14,F166),1)*IF(Upgrades!$T$15="Brown Dwarf",POWER(Upgrades!$U$15,G166),1)*IF(Upgrades!$T$16="Brown Dwarf",POWER(Upgrades!$U$16,H166),1)*IF(Upgrades!$T$18="Brown Dwarf",POWER(Upgrades!$U$18,J166),1)*IF(Upgrades!$T$19="Brown Dwarf",POWER(Upgrades!$U$19,K166),1)*IF(Upgrades!$T$20="Brown Dwarf",POWER(Upgrades!$U$20,L166),1)*IF(Upgrades!$T$21="Brown Dwarf",POWER(Upgrades!$U$21,M166),1))+(IF(J166=0,0,(Upgrades!$M$18+J166*Upgrades!$N$18)*POWER(Upgrades!$O$18,J166)))*(IF(Upgrades!$T$13="Binary Partner",POWER(Upgrades!$U$13,E166),1)*IF(Upgrades!$T$14="Binary Partner",POWER(Upgrades!$U$14,F166),1)*IF(Upgrades!$T$15="Binary Partner",POWER(Upgrades!$U$15,G166),1)*IF(Upgrades!$T$16="Binary Partner",POWER(Upgrades!$U$16,H166),1)*IF(Upgrades!$T$17="Binary Partner",POWER(Upgrades!$U$17,I166),1)*IF(Upgrades!$T$19="Binary Partner",POWER(Upgrades!$U$19,K166),1)*IF(Upgrades!$T$20="Binary Partner",POWER(Upgrades!$U$20,L166),1)*IF(Upgrades!$T$21="Binary Partner",POWER(Upgrades!$U$21,M166),1))+(IF(K166=0,0,(Upgrades!$M$19+K166*Upgrades!$N$19)*POWER(Upgrades!$O$19,K166)))*(IF(Upgrades!$T$13="Peculiar Velocity",POWER(Upgrades!$U$13,E166),1)*IF(Upgrades!$T$14="Peculiar Velocity",POWER(Upgrades!$U$14,F166),1)*IF(Upgrades!$T$15="Peculiar Velocity",POWER(Upgrades!$U$15,G166),1)*IF(Upgrades!$T$16="Peculiar Velocity",POWER(Upgrades!$U$16,H166),1)*IF(Upgrades!$T$17="Peculiar Velocity",POWER(Upgrades!$U$17,I166),1)*IF(Upgrades!$T$18="Peculiar Velocity",POWER(Upgrades!$U$18,J166),1)*IF(Upgrades!$T$20="Peculiar Velocity",POWER(Upgrades!$U$20,L166),1)*IF(Upgrades!$T$21="Peculiar Velocity",POWER(Upgrades!$U$21,M166),1))+(IF(L166=0,0,(Upgrades!$M$20+L166*Upgrades!$N$20)*POWER(Upgrades!$O$20,L166)))*(IF(Upgrades!$T$13="Open Cluster",POWER(Upgrades!$U$13,E166),1)*IF(Upgrades!$T$14="Open Cluster",POWER(Upgrades!$U$14,F166),1)*IF(Upgrades!$T$15="Open Cluster",POWER(Upgrades!$U$15,G166),1)*IF(Upgrades!$T$16="Open Cluster",POWER(Upgrades!$U$16,H166),1)*IF(Upgrades!$T$17="Open Cluster",POWER(Upgrades!$U$17,I166),1)*IF(Upgrades!$T$18="Open Cluster",POWER(Upgrades!$U$18,J166),1)*IF(Upgrades!$T$19="Open Cluster",POWER(Upgrades!$U$19,K166),1)*IF(Upgrades!$T$21="Open Cluster",POWER(Upgrades!$U$21,M166),1))+(IF(M166=0,0,(Upgrades!$M$21+M166*Upgrades!$N$21)*POWER(Upgrades!$O$21,M166)))*(IF(Upgrades!$T$13="Moving Group",POWER(Upgrades!$U$13,E166),1)*IF(Upgrades!$T$14="Moving Group",POWER(Upgrades!$U$14,F166),1)*IF(Upgrades!$T$15="Moving Group",POWER(Upgrades!$U$15,G166),1)*IF(Upgrades!$T$16="Moving Group",POWER(Upgrades!$U$16,H166),1)*IF(Upgrades!$T$17="Moving Group",POWER(Upgrades!$U$17,I166),1)*IF(Upgrades!$T$18="Moving Group",POWER(Upgrades!$U$18,J166),1)*IF(Upgrades!$T$19="Moving Group",POWER(Upgrades!$U$19,K166),1)*IF(Upgrades!$T$20="Moving Group",POWER(Upgrades!$U$20,L166),1)))*POWER(Upgrades!$R$13,E166)*POWER(Upgrades!$R$14,F166)*POWER(Upgrades!$R$15,G166)*POWER(Upgrades!$R$16,H166)*POWER(Upgrades!$R$17,I166)*POWER(Upgrades!$R$18,J166)*POWER(Upgrades!$R$19,K166)*POWER(Upgrades!$R$20,L166)*POWER(Upgrades!$R$21,M166)*$H$6+$E$6</f>
        <v/>
      </c>
      <c r="R166" s="27">
        <f>IF(N166=1,0,O166*Parameters!$B$10/60*Parameters!$B$11*10)</f>
        <v/>
      </c>
      <c r="S166" s="27">
        <f>IF(N166=1,0,Q166*O166*10)</f>
        <v/>
      </c>
      <c r="T166" s="27">
        <f>IF(N166=1,0,R166+S166+P166*10)</f>
        <v/>
      </c>
      <c r="U166" s="33">
        <f>BE166</f>
        <v/>
      </c>
      <c r="V166" s="22">
        <f>IF(U166="",0,IF(U166="transition",0,IF(U166="SK",AK166,IF(U166="LB",AL166,IF(U166="ML",AM166,IF(U166="RLO",AN166,IF(U166="BD",AO166,IF(U166="BiP",AP166,IF(U166="PV",AQ166,IF(U166="OC",AR166,IF(U166="MG",AS166,0))))))))))</f>
        <v/>
      </c>
      <c r="W166" s="27">
        <f>IF(U166="BiP",Upgrades!$F$18,IF(U166="PV",Upgrades!$F$19,IF(U166="OC",Upgrades!$F$20,IF(U166="MG",Upgrades!$F$21,IF(U166="transition",-Parameters!$B$18*Parameters!$B$19,0)))))</f>
        <v/>
      </c>
      <c r="X166" s="22">
        <f>C166+T166-V166</f>
        <v/>
      </c>
      <c r="Y166" s="30">
        <f>O166*Parameters!$B$10/60*Parameters!$B$11+Q166*O166+P166</f>
        <v/>
      </c>
      <c r="Z166" s="34">
        <f>IF(U166="transition","→ Tier 3 (Galactic Arm)",IF(U166="MG","Moving Group — pocket drifts together",IF(U166="OC","Open Cluster acquired",IF(U166="PV","Peculiar Velocity — passive multiplier active",IF(U166="BiP","Binary Partner — pair bond formed",IF(AND(AU166=1,N166=0,AT166&lt;&gt;1),"Cohesion ready (waiting on completionists)","")))))) </f>
        <v/>
      </c>
      <c r="AA166" s="27">
        <f>(IF(E166=0,0,(Upgrades!$G$13+E166*Upgrades!$H$13)*POWER(Upgrades!$I$13,E166)))*(IF(Upgrades!$T$14="Stellar Kinematics",POWER(Upgrades!$U$14,F166),1)*IF(Upgrades!$T$15="Stellar Kinematics",POWER(Upgrades!$U$15,G166),1)*IF(Upgrades!$T$16="Stellar Kinematics",POWER(Upgrades!$U$16,H166),1)*IF(Upgrades!$T$17="Stellar Kinematics",POWER(Upgrades!$U$17,I166),1)*IF(Upgrades!$T$18="Stellar Kinematics",POWER(Upgrades!$U$18,J166),1)*IF(Upgrades!$T$19="Stellar Kinematics",POWER(Upgrades!$U$19,K166),1)*IF(Upgrades!$T$20="Stellar Kinematics",POWER(Upgrades!$U$20,L166),1)*IF(Upgrades!$T$21="Stellar Kinematics",POWER(Upgrades!$U$21,M166),1))*POWER(Upgrades!$P$13,E166)*POWER(Upgrades!$P$14,F166)*POWER(Upgrades!$P$15,G166)*POWER(Upgrades!$P$16,H166)*POWER(Upgrades!$P$17,I166)*POWER(Upgrades!$P$18,J166)*POWER(Upgrades!$P$19,K166)*POWER(Upgrades!$P$20,L166)*POWER(Upgrades!$P$21,M166)*$F$6*60</f>
        <v/>
      </c>
      <c r="AB166" s="27">
        <f>(IF(F166=0,0,(Upgrades!$G$14+F166*Upgrades!$H$14)*POWER(Upgrades!$I$14,F166)))*(IF(Upgrades!$T$13="Local Bubble",POWER(Upgrades!$U$13,E166),1)*IF(Upgrades!$T$15="Local Bubble",POWER(Upgrades!$U$15,G166),1)*IF(Upgrades!$T$16="Local Bubble",POWER(Upgrades!$U$16,H166),1)*IF(Upgrades!$T$17="Local Bubble",POWER(Upgrades!$U$17,I166),1)*IF(Upgrades!$T$18="Local Bubble",POWER(Upgrades!$U$18,J166),1)*IF(Upgrades!$T$19="Local Bubble",POWER(Upgrades!$U$19,K166),1)*IF(Upgrades!$T$20="Local Bubble",POWER(Upgrades!$U$20,L166),1)*IF(Upgrades!$T$21="Local Bubble",POWER(Upgrades!$U$21,M166),1))*POWER(Upgrades!$P$13,E166)*POWER(Upgrades!$P$14,F166)*POWER(Upgrades!$P$15,G166)*POWER(Upgrades!$P$16,H166)*POWER(Upgrades!$P$17,I166)*POWER(Upgrades!$P$18,J166)*POWER(Upgrades!$P$19,K166)*POWER(Upgrades!$P$20,L166)*POWER(Upgrades!$P$21,M166)*$F$6*60</f>
        <v/>
      </c>
      <c r="AC166" s="27">
        <f>(IF(G166=0,0,(Upgrades!$J$15+G166*Upgrades!$K$15)*POWER(Upgrades!$L$15,G166)))*(IF(Upgrades!$T$13="Microlensing",POWER(Upgrades!$U$13,E166),1)*IF(Upgrades!$T$14="Microlensing",POWER(Upgrades!$U$14,F166),1)*IF(Upgrades!$T$16="Microlensing",POWER(Upgrades!$U$16,H166),1)*IF(Upgrades!$T$17="Microlensing",POWER(Upgrades!$U$17,I166),1)*IF(Upgrades!$T$18="Microlensing",POWER(Upgrades!$U$18,J166),1)*IF(Upgrades!$T$19="Microlensing",POWER(Upgrades!$U$19,K166),1)*IF(Upgrades!$T$20="Microlensing",POWER(Upgrades!$U$20,L166),1)*IF(Upgrades!$T$21="Microlensing",POWER(Upgrades!$U$21,M166),1))*POWER(Upgrades!$Q$13,E166)*POWER(Upgrades!$Q$14,F166)*POWER(Upgrades!$Q$15,G166)*POWER(Upgrades!$Q$16,H166)*POWER(Upgrades!$Q$17,I166)*POWER(Upgrades!$Q$18,J166)*POWER(Upgrades!$Q$19,K166)*POWER(Upgrades!$Q$20,L166)*POWER(Upgrades!$Q$21,M166)*$G$6*(Parameters!$B$10*Parameters!$B$11+Q166*60)</f>
        <v/>
      </c>
      <c r="AD166" s="27">
        <f>(IF(H166=0,0,(Upgrades!$M$16+H166*Upgrades!$N$16)*POWER(Upgrades!$O$16,H166)))*(IF(Upgrades!$T$13="Roche Lobe Overflow",POWER(Upgrades!$U$13,E166),1)*IF(Upgrades!$T$14="Roche Lobe Overflow",POWER(Upgrades!$U$14,F166),1)*IF(Upgrades!$T$15="Roche Lobe Overflow",POWER(Upgrades!$U$15,G166),1)*IF(Upgrades!$T$17="Roche Lobe Overflow",POWER(Upgrades!$U$17,I166),1)*IF(Upgrades!$T$18="Roche Lobe Overflow",POWER(Upgrades!$U$18,J166),1)*IF(Upgrades!$T$19="Roche Lobe Overflow",POWER(Upgrades!$U$19,K166),1)*IF(Upgrades!$T$20="Roche Lobe Overflow",POWER(Upgrades!$U$20,L166),1)*IF(Upgrades!$T$21="Roche Lobe Overflow",POWER(Upgrades!$U$21,M166),1))*POWER(Upgrades!$R$13,E166)*POWER(Upgrades!$R$14,F166)*POWER(Upgrades!$R$15,G166)*POWER(Upgrades!$R$16,H166)*POWER(Upgrades!$R$17,I166)*POWER(Upgrades!$R$18,J166)*POWER(Upgrades!$R$19,K166)*POWER(Upgrades!$R$20,L166)*POWER(Upgrades!$R$21,M166)*$H$6*O166*60</f>
        <v/>
      </c>
      <c r="AE166" s="27">
        <f>(IF(I166=0,0,(Upgrades!$G$17+I166*Upgrades!$H$17)*POWER(Upgrades!$I$17,I166)))*(IF(Upgrades!$T$13="Brown Dwarf",POWER(Upgrades!$U$13,E166),1)*IF(Upgrades!$T$14="Brown Dwarf",POWER(Upgrades!$U$14,F166),1)*IF(Upgrades!$T$15="Brown Dwarf",POWER(Upgrades!$U$15,G166),1)*IF(Upgrades!$T$16="Brown Dwarf",POWER(Upgrades!$U$16,H166),1)*IF(Upgrades!$T$18="Brown Dwarf",POWER(Upgrades!$U$18,J166),1)*IF(Upgrades!$T$19="Brown Dwarf",POWER(Upgrades!$U$19,K166),1)*IF(Upgrades!$T$20="Brown Dwarf",POWER(Upgrades!$U$20,L166),1)*IF(Upgrades!$T$21="Brown Dwarf",POWER(Upgrades!$U$21,M166),1))*POWER(Upgrades!$P$13,E166)*POWER(Upgrades!$P$14,F166)*POWER(Upgrades!$P$15,G166)*POWER(Upgrades!$P$16,H166)*POWER(Upgrades!$P$17,I166)*POWER(Upgrades!$P$18,J166)*POWER(Upgrades!$P$19,K166)*POWER(Upgrades!$P$20,L166)*POWER(Upgrades!$P$21,M166)*$F$6*60</f>
        <v/>
      </c>
      <c r="AF166" s="27" t="n">
        <v>0</v>
      </c>
      <c r="AG166" s="27" t="n">
        <v>0</v>
      </c>
      <c r="AH166" s="27" t="n">
        <v>0</v>
      </c>
      <c r="AI166" s="27">
        <f>(IF(M166=0,0,(Upgrades!$G$21+M166*Upgrades!$H$21)*POWER(Upgrades!$I$21,M166)))*(IF(Upgrades!$T$13="Moving Group",POWER(Upgrades!$U$13,E166),1)*IF(Upgrades!$T$14="Moving Group",POWER(Upgrades!$U$14,F166),1)*IF(Upgrades!$T$15="Moving Group",POWER(Upgrades!$U$15,G166),1)*IF(Upgrades!$T$16="Moving Group",POWER(Upgrades!$U$16,H166),1)*IF(Upgrades!$T$17="Moving Group",POWER(Upgrades!$U$17,I166),1)*IF(Upgrades!$T$18="Moving Group",POWER(Upgrades!$U$18,J166),1)*IF(Upgrades!$T$19="Moving Group",POWER(Upgrades!$U$19,K166),1)*IF(Upgrades!$T$20="Moving Group",POWER(Upgrades!$U$20,L166),1))*POWER(Upgrades!$P$13,E166)*POWER(Upgrades!$P$14,F166)*POWER(Upgrades!$P$15,G166)*POWER(Upgrades!$P$16,H166)*POWER(Upgrades!$P$17,I166)*POWER(Upgrades!$P$18,J166)*POWER(Upgrades!$P$19,K166)*POWER(Upgrades!$P$20,L166)*POWER(Upgrades!$P$21,M166)*$F$6*60</f>
        <v/>
      </c>
      <c r="AJ166" s="27">
        <f>$C$6*60</f>
        <v/>
      </c>
      <c r="AK166" s="22">
        <f>IF(E166&gt;=Upgrades!$E$13,"",Upgrades!$C$13*POWER(Upgrades!$D$13,E166))</f>
        <v/>
      </c>
      <c r="AL166" s="22">
        <f>IF(F166&gt;=Upgrades!$E$14,"",Upgrades!$C$14*POWER(Upgrades!$D$14,F166))</f>
        <v/>
      </c>
      <c r="AM166" s="22">
        <f>IF(G166&gt;=Upgrades!$E$15,"",Upgrades!$C$15*POWER(Upgrades!$D$15,G166))</f>
        <v/>
      </c>
      <c r="AN166" s="22">
        <f>IF(H166&gt;=Upgrades!$E$16,"",Upgrades!$C$16*POWER(Upgrades!$D$16,H166))</f>
        <v/>
      </c>
      <c r="AO166" s="22">
        <f>IF(I166&gt;=Upgrades!$E$17,"",Upgrades!$C$17*POWER(Upgrades!$D$17,I166))</f>
        <v/>
      </c>
      <c r="AP166" s="22">
        <f>IF(J166&gt;=Upgrades!$E$18,"",Upgrades!$C$18*POWER(Upgrades!$D$18,J166))</f>
        <v/>
      </c>
      <c r="AQ166" s="22">
        <f>IF(K166&gt;=Upgrades!$E$19,"",Upgrades!$C$19*POWER(Upgrades!$D$19,K166))</f>
        <v/>
      </c>
      <c r="AR166" s="22">
        <f>IF(L166&gt;=Upgrades!$E$20,"",Upgrades!$C$20*POWER(Upgrades!$D$20,L166))</f>
        <v/>
      </c>
      <c r="AS166" s="22">
        <f>IF(M166&gt;=Upgrades!$E$21,"",Upgrades!$C$21*POWER(Upgrades!$D$21,M166))</f>
        <v/>
      </c>
      <c r="AT166" s="26">
        <f>IF(AND(D166&gt;=Parameters!$B$18*Parameters!$B$19,(I166&gt;=Upgrades!$E$17)*(M166&gt;=Upgrades!$E$21)=1,N166=0),1,"")</f>
        <v/>
      </c>
      <c r="AU166" s="26">
        <f>IF(AND(D166&gt;=Parameters!$B$18*Parameters!$B$19,N166=0),1,"")</f>
        <v/>
      </c>
      <c r="AV166" s="22">
        <f>MIN(IF(ISNUMBER(AP166),AP166,9E15),IF(ISNUMBER(AQ166),AQ166,9E15),IF(ISNUMBER(AR166),AR166,9E15),IF(ISNUMBER(AS166),AS166,9E15))</f>
        <v/>
      </c>
      <c r="AW166" s="22">
        <f>MIN(IF(ISNUMBER(AK166),AK166,9E15),IF(ISNUMBER(AL166),AL166,9E15),IF(ISNUMBER(AM166),AM166,9E15),IF(ISNUMBER(AN166),AN166,9E15),IF(ISNUMBER(AO166),AO166,9E15))</f>
        <v/>
      </c>
      <c r="AX166" s="29">
        <f>IF(BD166&gt;Parameters!$B$21*(MAX(IF(AND(NOT(AND(AU166=1,AT166&lt;&gt;1)),ISNUMBER(AK166),AK166&lt;=(C166+T166)),AY166,0),IF(AND(NOT(AND(AU166=1,AT166&lt;&gt;1)),ISNUMBER(AL166),AL166&lt;=(C166+T166)),AZ166,0),IF(AND(NOT(AND(AU166=1,AT166&lt;&gt;1)),ISNUMBER(AM166),AM166&lt;=(C166+T166)),BA166,0),IF(AND(NOT(AND(AU166=1,AT166&lt;&gt;1)),ISNUMBER(AN166),AN166&lt;=(C166+T166)),BB166,0),IF(AND(ISNUMBER(AO166),AO166&lt;=(C166+T166)),BC166,0))),TRUE,FALSE)</f>
        <v/>
      </c>
      <c r="AY166" s="32">
        <f>IFERROR(Upgrades!$H$13*(POWER(Upgrades!$P$13,E166)*POWER(Upgrades!$P$14,F166)*POWER(Upgrades!$P$15,G166)*POWER(Upgrades!$P$16,H166)*POWER(Upgrades!$P$17,I166)*POWER(Upgrades!$P$18,J166)*POWER(Upgrades!$P$19,K166)*POWER(Upgrades!$P$20,L166)*POWER(Upgrades!$P$21,M166))*(IF(Upgrades!$T$14="Stellar Kinematics",POWER(Upgrades!$U$14,F166),1)*IF(Upgrades!$T$15="Stellar Kinematics",POWER(Upgrades!$U$15,G166),1)*IF(Upgrades!$T$16="Stellar Kinematics",POWER(Upgrades!$U$16,H166),1)*IF(Upgrades!$T$17="Stellar Kinematics",POWER(Upgrades!$U$17,I166),1)*IF(Upgrades!$T$18="Stellar Kinematics",POWER(Upgrades!$U$18,J166),1)*IF(Upgrades!$T$19="Stellar Kinematics",POWER(Upgrades!$U$19,K166),1)*IF(Upgrades!$T$20="Stellar Kinematics",POWER(Upgrades!$U$20,L166),1)*IF(Upgrades!$T$21="Stellar Kinematics",POWER(Upgrades!$U$21,M166),1))*$F$6/AK166,0)</f>
        <v/>
      </c>
      <c r="AZ166" s="32">
        <f>IFERROR(Upgrades!$H$14*(POWER(Upgrades!$P$13,E166)*POWER(Upgrades!$P$14,F166)*POWER(Upgrades!$P$15,G166)*POWER(Upgrades!$P$16,H166)*POWER(Upgrades!$P$17,I166)*POWER(Upgrades!$P$18,J166)*POWER(Upgrades!$P$19,K166)*POWER(Upgrades!$P$20,L166)*POWER(Upgrades!$P$21,M166))*(IF(Upgrades!$T$13="Local Bubble",POWER(Upgrades!$U$13,E166),1)*IF(Upgrades!$T$15="Local Bubble",POWER(Upgrades!$U$15,G166),1)*IF(Upgrades!$T$16="Local Bubble",POWER(Upgrades!$U$16,H166),1)*IF(Upgrades!$T$17="Local Bubble",POWER(Upgrades!$U$17,I166),1)*IF(Upgrades!$T$18="Local Bubble",POWER(Upgrades!$U$18,J166),1)*IF(Upgrades!$T$19="Local Bubble",POWER(Upgrades!$U$19,K166),1)*IF(Upgrades!$T$20="Local Bubble",POWER(Upgrades!$U$20,L166),1)*IF(Upgrades!$T$21="Local Bubble",POWER(Upgrades!$U$21,M166),1))*$F$6/AL166,0)</f>
        <v/>
      </c>
      <c r="BA166" s="32">
        <f>IFERROR(Upgrades!$K$15*(POWER(Upgrades!$Q$13,E166)*POWER(Upgrades!$Q$14,F166)*POWER(Upgrades!$Q$15,G166)*POWER(Upgrades!$Q$16,H166)*POWER(Upgrades!$Q$17,I166)*POWER(Upgrades!$Q$18,J166)*POWER(Upgrades!$Q$19,K166)*POWER(Upgrades!$Q$20,L166)*POWER(Upgrades!$Q$21,M166))*(IF(Upgrades!$T$13="Microlensing",POWER(Upgrades!$U$13,E166),1)*IF(Upgrades!$T$14="Microlensing",POWER(Upgrades!$U$14,F166),1)*IF(Upgrades!$T$16="Microlensing",POWER(Upgrades!$U$16,H166),1)*IF(Upgrades!$T$17="Microlensing",POWER(Upgrades!$U$17,I166),1)*IF(Upgrades!$T$18="Microlensing",POWER(Upgrades!$U$18,J166),1)*IF(Upgrades!$T$19="Microlensing",POWER(Upgrades!$U$19,K166),1)*IF(Upgrades!$T$20="Microlensing",POWER(Upgrades!$U$20,L166),1)*IF(Upgrades!$T$21="Microlensing",POWER(Upgrades!$U$21,M166),1))*$G$6*(Parameters!$B$10/60*Parameters!$B$11+Q166)/AM166,0)</f>
        <v/>
      </c>
      <c r="BB166" s="32">
        <f>IFERROR((Upgrades!$N$16*(POWER(Upgrades!$R$13,E166)*POWER(Upgrades!$R$14,F166)*POWER(Upgrades!$R$15,G166)*POWER(Upgrades!$R$16,H166)*POWER(Upgrades!$R$17,I166)*POWER(Upgrades!$R$18,J166)*POWER(Upgrades!$R$19,K166)*POWER(Upgrades!$R$20,L166)*POWER(Upgrades!$R$21,M166))*(IF(Upgrades!$T$13="Roche Lobe Overflow",POWER(Upgrades!$U$13,E166),1)*IF(Upgrades!$T$14="Roche Lobe Overflow",POWER(Upgrades!$U$14,F166),1)*IF(Upgrades!$T$15="Roche Lobe Overflow",POWER(Upgrades!$U$15,G166),1)*IF(Upgrades!$T$17="Roche Lobe Overflow",POWER(Upgrades!$U$17,I166),1)*IF(Upgrades!$T$18="Roche Lobe Overflow",POWER(Upgrades!$U$18,J166),1)*IF(Upgrades!$T$19="Roche Lobe Overflow",POWER(Upgrades!$U$19,K166),1)*IF(Upgrades!$T$20="Roche Lobe Overflow",POWER(Upgrades!$U$20,L166),1)*IF(Upgrades!$T$21="Roche Lobe Overflow",POWER(Upgrades!$U$21,M166),1))*$H$6*O166+((IF(F166=0,0,(Upgrades!$G$14+F166*Upgrades!$H$14)*POWER(Upgrades!$I$14,F166)))*(IF(Upgrades!$T$13="Local Bubble",POWER(Upgrades!$U$13,E166),1)*IF(Upgrades!$T$15="Local Bubble",POWER(Upgrades!$U$15,G166),1)*IF(Upgrades!$T$16="Local Bubble",POWER(Upgrades!$U$16,H166),1)*IF(Upgrades!$T$17="Local Bubble",POWER(Upgrades!$U$17,I166),1)*IF(Upgrades!$T$18="Local Bubble",POWER(Upgrades!$U$18,J166),1)*IF(Upgrades!$T$19="Local Bubble",POWER(Upgrades!$U$19,K166),1)*IF(Upgrades!$T$20="Local Bubble",POWER(Upgrades!$U$20,L166),1)*IF(Upgrades!$T$21="Local Bubble",POWER(Upgrades!$U$21,M166),1))*POWER(Upgrades!$P$13,E166)*POWER(Upgrades!$P$14,F166)*POWER(Upgrades!$P$15,G166)*POWER(Upgrades!$P$16,H166)*POWER(Upgrades!$P$17,I166)*POWER(Upgrades!$P$18,J166)*POWER(Upgrades!$P$19,K166)*POWER(Upgrades!$P$20,L166)*POWER(Upgrades!$P$21,M166)*$F$6)*0.05)/AN166,0)</f>
        <v/>
      </c>
      <c r="BC166" s="32">
        <f>IFERROR((Upgrades!$H$17*(POWER(Upgrades!$P$13,E166)*POWER(Upgrades!$P$14,F166)*POWER(Upgrades!$P$15,G166)*POWER(Upgrades!$P$16,H166)*POWER(Upgrades!$P$17,I166)*POWER(Upgrades!$P$18,J166)*POWER(Upgrades!$P$19,K166)*POWER(Upgrades!$P$20,L166)*POWER(Upgrades!$P$21,M166))*(IF(Upgrades!$T$13="Brown Dwarf",POWER(Upgrades!$U$13,E166),1)*IF(Upgrades!$T$14="Brown Dwarf",POWER(Upgrades!$U$14,F166),1)*IF(Upgrades!$T$15="Brown Dwarf",POWER(Upgrades!$U$15,G166),1)*IF(Upgrades!$T$16="Brown Dwarf",POWER(Upgrades!$U$16,H166),1)*IF(Upgrades!$T$18="Brown Dwarf",POWER(Upgrades!$U$18,J166),1)*IF(Upgrades!$T$19="Brown Dwarf",POWER(Upgrades!$U$19,K166),1)*IF(Upgrades!$T$20="Brown Dwarf",POWER(Upgrades!$U$20,L166),1)*IF(Upgrades!$T$21="Brown Dwarf",POWER(Upgrades!$U$21,M166),1))*$F$6+(((IF(H166=0,0,(Upgrades!$M$16+H166*Upgrades!$N$16)*POWER(Upgrades!$O$16,H166)))*(IF(Upgrades!$T$13="Roche Lobe Overflow",POWER(Upgrades!$U$13,E166),1)*IF(Upgrades!$T$14="Roche Lobe Overflow",POWER(Upgrades!$U$14,F166),1)*IF(Upgrades!$T$15="Roche Lobe Overflow",POWER(Upgrades!$U$15,G166),1)*IF(Upgrades!$T$17="Roche Lobe Overflow",POWER(Upgrades!$U$17,I166),1)*IF(Upgrades!$T$18="Roche Lobe Overflow",POWER(Upgrades!$U$18,J166),1)*IF(Upgrades!$T$19="Roche Lobe Overflow",POWER(Upgrades!$U$19,K166),1)*IF(Upgrades!$T$20="Roche Lobe Overflow",POWER(Upgrades!$U$20,L166),1)*IF(Upgrades!$T$21="Roche Lobe Overflow",POWER(Upgrades!$U$21,M166),1))*POWER(Upgrades!$R$13,E166)*POWER(Upgrades!$R$14,F166)*POWER(Upgrades!$R$15,G166)*POWER(Upgrades!$R$16,H166)*POWER(Upgrades!$R$17,I166)*POWER(Upgrades!$R$18,J166)*POWER(Upgrades!$R$19,K166)*POWER(Upgrades!$R$20,L166)*POWER(Upgrades!$R$21,M166)*$H$6)*O166)*0.10)/AO166,0)</f>
        <v/>
      </c>
      <c r="BD166" s="32">
        <f>MAX(IF(J166&gt;0,0,IFERROR(0.5*((IF(G166=0,0,(Upgrades!$J$15+G166*Upgrades!$K$15)*POWER(Upgrades!$L$15,G166)))*(IF(Upgrades!$T$13="Microlensing",POWER(Upgrades!$U$13,E166),1)*IF(Upgrades!$T$14="Microlensing",POWER(Upgrades!$U$14,F166),1)*IF(Upgrades!$T$16="Microlensing",POWER(Upgrades!$U$16,H166),1)*IF(Upgrades!$T$17="Microlensing",POWER(Upgrades!$U$17,I166),1)*IF(Upgrades!$T$18="Microlensing",POWER(Upgrades!$U$18,J166),1)*IF(Upgrades!$T$19="Microlensing",POWER(Upgrades!$U$19,K166),1)*IF(Upgrades!$T$20="Microlensing",POWER(Upgrades!$U$20,L166),1)*IF(Upgrades!$T$21="Microlensing",POWER(Upgrades!$U$21,M166),1))*(POWER(Upgrades!$Q$13,E166)*POWER(Upgrades!$Q$14,F166)*POWER(Upgrades!$Q$15,G166)*POWER(Upgrades!$Q$16,H166)*POWER(Upgrades!$Q$17,I166)*POWER(Upgrades!$Q$18,J166)*POWER(Upgrades!$Q$19,K166)*POWER(Upgrades!$Q$20,L166)*POWER(Upgrades!$Q$21,M166))*$G$6*(Parameters!$B$10/60*Parameters!$B$11+Q166))/Upgrades!$C$18,0)),IF(K166&gt;0,0,IFERROR(0.30*P166/Upgrades!$C$19,0)),IF(L166&gt;0,0,IFERROR(0.0001/Upgrades!$C$20,0)),IF(M166&gt;0,0,IFERROR((6.0*(POWER(Upgrades!$P$13,E166)*POWER(Upgrades!$P$14,F166)*POWER(Upgrades!$P$15,G166)*POWER(Upgrades!$P$16,H166)*POWER(Upgrades!$P$17,I166)*POWER(Upgrades!$P$18,J166)*POWER(Upgrades!$P$19,K166)*POWER(Upgrades!$P$20,L166)*POWER(Upgrades!$P$21,M166))*$F$6+0.20*O166*(Parameters!$B$10/60*Parameters!$B$11+Q166))/Upgrades!$C$21,0)),IF(AND(ISNUMBER(AK166),AK166&gt;(C166+T166)),AY166,0),IF(AND(ISNUMBER(AL166),AL166&gt;(C166+T166)),AZ166,0),IF(AND(ISNUMBER(AM166),AM166&gt;(C166+T166)),BA166,0),IF(AND(ISNUMBER(AN166),AN166&gt;(C166+T166)),BB166,0),IF(AND(ISNUMBER(AO166),AO166&gt;(C166+T166)),BC166,0))</f>
        <v/>
      </c>
      <c r="BE166" s="29">
        <f>IF(AT166=1,"transition",IF(MIN(IF(AND(J166=0,ISNUMBER(AP166),AP166&lt;=(C166+T166)),AP166,9E15),IF(AND(K166=0,ISNUMBER(AQ166),AQ166&lt;=(C166+T166)),AQ166,9E15),IF(AND(L166=0,ISNUMBER(AR166),AR166&lt;=(C166+T166)),AR166,9E15),IF(AND(M166=0,ISNUMBER(AS166),AS166&lt;=(C166+T166)),AS166,9E15))&lt;9E15,IF(AND(AND(J166=0,ISNUMBER(AP166),AP166&lt;=(C166+T166)),AP166=MIN(IF(AND(J166=0,ISNUMBER(AP166),AP166&lt;=(C166+T166)),AP166,9E15),IF(AND(K166=0,ISNUMBER(AQ166),AQ166&lt;=(C166+T166)),AQ166,9E15),IF(AND(L166=0,ISNUMBER(AR166),AR166&lt;=(C166+T166)),AR166,9E15),IF(AND(M166=0,ISNUMBER(AS166),AS166&lt;=(C166+T166)),AS166,9E15))),"BiP",IF(AND(AND(K166=0,ISNUMBER(AQ166),AQ166&lt;=(C166+T166)),AQ166=MIN(IF(AND(J166=0,ISNUMBER(AP166),AP166&lt;=(C166+T166)),AP166,9E15),IF(AND(K166=0,ISNUMBER(AQ166),AQ166&lt;=(C166+T166)),AQ166,9E15),IF(AND(L166=0,ISNUMBER(AR166),AR166&lt;=(C166+T166)),AR166,9E15),IF(AND(M166=0,ISNUMBER(AS166),AS166&lt;=(C166+T166)),AS166,9E15))),"PV",IF(AND(AND(L166=0,ISNUMBER(AR166),AR166&lt;=(C166+T166)),AR166=MIN(IF(AND(J166=0,ISNUMBER(AP166),AP166&lt;=(C166+T166)),AP166,9E15),IF(AND(K166=0,ISNUMBER(AQ166),AQ166&lt;=(C166+T166)),AQ166,9E15),IF(AND(L166=0,ISNUMBER(AR166),AR166&lt;=(C166+T166)),AR166,9E15),IF(AND(M166=0,ISNUMBER(AS166),AS166&lt;=(C166+T166)),AS166,9E15))),"OC","MG"))),IF(AX166=TRUE,"",IF(MAX(IF(AND(NOT(AND(AU166=1,AT166&lt;&gt;1)),ISNUMBER(AK166),AK166&lt;=(C166+T166)),AY166,0),IF(AND(NOT(AND(AU166=1,AT166&lt;&gt;1)),ISNUMBER(AL166),AL166&lt;=(C166+T166)),AZ166,0),IF(AND(NOT(AND(AU166=1,AT166&lt;&gt;1)),ISNUMBER(AM166),AM166&lt;=(C166+T166)),BA166,0),IF(AND(NOT(AND(AU166=1,AT166&lt;&gt;1)),ISNUMBER(AN166),AN166&lt;=(C166+T166)),BB166,0),IF(AND(ISNUMBER(AO166),AO166&lt;=(C166+T166)),BC166,0))&lt;=0,"",IF(AND(IF(AND(NOT(AND(AU166=1,AT166&lt;&gt;1)),ISNUMBER(AK166),AK166&lt;=(C166+T166)),AY166,0)&gt;0,IF(AND(NOT(AND(AU166=1,AT166&lt;&gt;1)),ISNUMBER(AK166),AK166&lt;=(C166+T166)),AY166,0)=MAX(IF(AND(NOT(AND(AU166=1,AT166&lt;&gt;1)),ISNUMBER(AK166),AK166&lt;=(C166+T166)),AY166,0),IF(AND(NOT(AND(AU166=1,AT166&lt;&gt;1)),ISNUMBER(AL166),AL166&lt;=(C166+T166)),AZ166,0),IF(AND(NOT(AND(AU166=1,AT166&lt;&gt;1)),ISNUMBER(AM166),AM166&lt;=(C166+T166)),BA166,0),IF(AND(NOT(AND(AU166=1,AT166&lt;&gt;1)),ISNUMBER(AN166),AN166&lt;=(C166+T166)),BB166,0),IF(AND(ISNUMBER(AO166),AO166&lt;=(C166+T166)),BC166,0))),"SK",IF(AND(IF(AND(NOT(AND(AU166=1,AT166&lt;&gt;1)),ISNUMBER(AL166),AL166&lt;=(C166+T166)),AZ166,0)&gt;0,IF(AND(NOT(AND(AU166=1,AT166&lt;&gt;1)),ISNUMBER(AL166),AL166&lt;=(C166+T166)),AZ166,0)=MAX(IF(AND(NOT(AND(AU166=1,AT166&lt;&gt;1)),ISNUMBER(AK166),AK166&lt;=(C166+T166)),AY166,0),IF(AND(NOT(AND(AU166=1,AT166&lt;&gt;1)),ISNUMBER(AL166),AL166&lt;=(C166+T166)),AZ166,0),IF(AND(NOT(AND(AU166=1,AT166&lt;&gt;1)),ISNUMBER(AM166),AM166&lt;=(C166+T166)),BA166,0),IF(AND(NOT(AND(AU166=1,AT166&lt;&gt;1)),ISNUMBER(AN166),AN166&lt;=(C166+T166)),BB166,0),IF(AND(ISNUMBER(AO166),AO166&lt;=(C166+T166)),BC166,0))),"LB",IF(AND(IF(AND(NOT(AND(AU166=1,AT166&lt;&gt;1)),ISNUMBER(AM166),AM166&lt;=(C166+T166)),BA166,0)&gt;0,IF(AND(NOT(AND(AU166=1,AT166&lt;&gt;1)),ISNUMBER(AM166),AM166&lt;=(C166+T166)),BA166,0)=MAX(IF(AND(NOT(AND(AU166=1,AT166&lt;&gt;1)),ISNUMBER(AK166),AK166&lt;=(C166+T166)),AY166,0),IF(AND(NOT(AND(AU166=1,AT166&lt;&gt;1)),ISNUMBER(AL166),AL166&lt;=(C166+T166)),AZ166,0),IF(AND(NOT(AND(AU166=1,AT166&lt;&gt;1)),ISNUMBER(AM166),AM166&lt;=(C166+T166)),BA166,0),IF(AND(NOT(AND(AU166=1,AT166&lt;&gt;1)),ISNUMBER(AN166),AN166&lt;=(C166+T166)),BB166,0),IF(AND(ISNUMBER(AO166),AO166&lt;=(C166+T166)),BC166,0))),"ML",IF(AND(IF(AND(NOT(AND(AU166=1,AT166&lt;&gt;1)),ISNUMBER(AN166),AN166&lt;=(C166+T166)),BB166,0)&gt;0,IF(AND(NOT(AND(AU166=1,AT166&lt;&gt;1)),ISNUMBER(AN166),AN166&lt;=(C166+T166)),BB166,0)=MAX(IF(AND(NOT(AND(AU166=1,AT166&lt;&gt;1)),ISNUMBER(AK166),AK166&lt;=(C166+T166)),AY166,0),IF(AND(NOT(AND(AU166=1,AT166&lt;&gt;1)),ISNUMBER(AL166),AL166&lt;=(C166+T166)),AZ166,0),IF(AND(NOT(AND(AU166=1,AT166&lt;&gt;1)),ISNUMBER(AM166),AM166&lt;=(C166+T166)),BA166,0),IF(AND(NOT(AND(AU166=1,AT166&lt;&gt;1)),ISNUMBER(AN166),AN166&lt;=(C166+T166)),BB166,0),IF(AND(ISNUMBER(AO166),AO166&lt;=(C166+T166)),BC166,0))),"RLO","BD"))))))))</f>
        <v/>
      </c>
    </row>
    <row r="167">
      <c r="A167" s="26" t="n">
        <v>156</v>
      </c>
      <c r="B167" s="27">
        <f>A167*10/60</f>
        <v/>
      </c>
      <c r="C167" s="22">
        <f>X166</f>
        <v/>
      </c>
      <c r="D167" s="27">
        <f>D166+W166</f>
        <v/>
      </c>
      <c r="E167" s="26">
        <f>E166+IF(U166="SK",1,0)</f>
        <v/>
      </c>
      <c r="F167" s="26">
        <f>F166+IF(U166="LB",1,0)</f>
        <v/>
      </c>
      <c r="G167" s="26">
        <f>G166+IF(U166="ML",1,0)</f>
        <v/>
      </c>
      <c r="H167" s="26">
        <f>H166+IF(U166="RLO",1,0)</f>
        <v/>
      </c>
      <c r="I167" s="26">
        <f>I166+IF(U166="BD",1,0)</f>
        <v/>
      </c>
      <c r="J167" s="26">
        <f>MAX(J166,IF(U166="BiP",1,0))</f>
        <v/>
      </c>
      <c r="K167" s="26">
        <f>MAX(K166,IF(U166="PV",1,0))</f>
        <v/>
      </c>
      <c r="L167" s="26">
        <f>MAX(L166,IF(U166="OC",1,0))</f>
        <v/>
      </c>
      <c r="M167" s="26">
        <f>MAX(M166,IF(U166="MG",1,0))</f>
        <v/>
      </c>
      <c r="N167" s="26">
        <f>MAX(N166,IF(U166="transition",1,0))</f>
        <v/>
      </c>
      <c r="O167" s="28">
        <f>(Parameters!$B$9+(IF(E167=0,0,(Upgrades!$J$13+E167*Upgrades!$K$13)*POWER(Upgrades!$L$13,E167)))*(IF(Upgrades!$T$14="Stellar Kinematics",POWER(Upgrades!$U$14,F167),1)*IF(Upgrades!$T$15="Stellar Kinematics",POWER(Upgrades!$U$15,G167),1)*IF(Upgrades!$T$16="Stellar Kinematics",POWER(Upgrades!$U$16,H167),1)*IF(Upgrades!$T$17="Stellar Kinematics",POWER(Upgrades!$U$17,I167),1)*IF(Upgrades!$T$18="Stellar Kinematics",POWER(Upgrades!$U$18,J167),1)*IF(Upgrades!$T$19="Stellar Kinematics",POWER(Upgrades!$U$19,K167),1)*IF(Upgrades!$T$20="Stellar Kinematics",POWER(Upgrades!$U$20,L167),1)*IF(Upgrades!$T$21="Stellar Kinematics",POWER(Upgrades!$U$21,M167),1))+(IF(F167=0,0,(Upgrades!$J$14+F167*Upgrades!$K$14)*POWER(Upgrades!$L$14,F167)))*(IF(Upgrades!$T$13="Local Bubble",POWER(Upgrades!$U$13,E167),1)*IF(Upgrades!$T$15="Local Bubble",POWER(Upgrades!$U$15,G167),1)*IF(Upgrades!$T$16="Local Bubble",POWER(Upgrades!$U$16,H167),1)*IF(Upgrades!$T$17="Local Bubble",POWER(Upgrades!$U$17,I167),1)*IF(Upgrades!$T$18="Local Bubble",POWER(Upgrades!$U$18,J167),1)*IF(Upgrades!$T$19="Local Bubble",POWER(Upgrades!$U$19,K167),1)*IF(Upgrades!$T$20="Local Bubble",POWER(Upgrades!$U$20,L167),1)*IF(Upgrades!$T$21="Local Bubble",POWER(Upgrades!$U$21,M167),1))+(IF(G167=0,0,(Upgrades!$J$15+G167*Upgrades!$K$15)*POWER(Upgrades!$L$15,G167)))*(IF(Upgrades!$T$13="Microlensing",POWER(Upgrades!$U$13,E167),1)*IF(Upgrades!$T$14="Microlensing",POWER(Upgrades!$U$14,F167),1)*IF(Upgrades!$T$16="Microlensing",POWER(Upgrades!$U$16,H167),1)*IF(Upgrades!$T$17="Microlensing",POWER(Upgrades!$U$17,I167),1)*IF(Upgrades!$T$18="Microlensing",POWER(Upgrades!$U$18,J167),1)*IF(Upgrades!$T$19="Microlensing",POWER(Upgrades!$U$19,K167),1)*IF(Upgrades!$T$20="Microlensing",POWER(Upgrades!$U$20,L167),1)*IF(Upgrades!$T$21="Microlensing",POWER(Upgrades!$U$21,M167),1))+(IF(H167=0,0,(Upgrades!$J$16+H167*Upgrades!$K$16)*POWER(Upgrades!$L$16,H167)))*(IF(Upgrades!$T$13="Roche Lobe Overflow",POWER(Upgrades!$U$13,E167),1)*IF(Upgrades!$T$14="Roche Lobe Overflow",POWER(Upgrades!$U$14,F167),1)*IF(Upgrades!$T$15="Roche Lobe Overflow",POWER(Upgrades!$U$15,G167),1)*IF(Upgrades!$T$17="Roche Lobe Overflow",POWER(Upgrades!$U$17,I167),1)*IF(Upgrades!$T$18="Roche Lobe Overflow",POWER(Upgrades!$U$18,J167),1)*IF(Upgrades!$T$19="Roche Lobe Overflow",POWER(Upgrades!$U$19,K167),1)*IF(Upgrades!$T$20="Roche Lobe Overflow",POWER(Upgrades!$U$20,L167),1)*IF(Upgrades!$T$21="Roche Lobe Overflow",POWER(Upgrades!$U$21,M167),1))+(IF(I167=0,0,(Upgrades!$J$17+I167*Upgrades!$K$17)*POWER(Upgrades!$L$17,I167)))*(IF(Upgrades!$T$13="Brown Dwarf",POWER(Upgrades!$U$13,E167),1)*IF(Upgrades!$T$14="Brown Dwarf",POWER(Upgrades!$U$14,F167),1)*IF(Upgrades!$T$15="Brown Dwarf",POWER(Upgrades!$U$15,G167),1)*IF(Upgrades!$T$16="Brown Dwarf",POWER(Upgrades!$U$16,H167),1)*IF(Upgrades!$T$18="Brown Dwarf",POWER(Upgrades!$U$18,J167),1)*IF(Upgrades!$T$19="Brown Dwarf",POWER(Upgrades!$U$19,K167),1)*IF(Upgrades!$T$20="Brown Dwarf",POWER(Upgrades!$U$20,L167),1)*IF(Upgrades!$T$21="Brown Dwarf",POWER(Upgrades!$U$21,M167),1))+(IF(J167=0,0,(Upgrades!$J$18+J167*Upgrades!$K$18)*POWER(Upgrades!$L$18,J167)))*(IF(Upgrades!$T$13="Binary Partner",POWER(Upgrades!$U$13,E167),1)*IF(Upgrades!$T$14="Binary Partner",POWER(Upgrades!$U$14,F167),1)*IF(Upgrades!$T$15="Binary Partner",POWER(Upgrades!$U$15,G167),1)*IF(Upgrades!$T$16="Binary Partner",POWER(Upgrades!$U$16,H167),1)*IF(Upgrades!$T$17="Binary Partner",POWER(Upgrades!$U$17,I167),1)*IF(Upgrades!$T$19="Binary Partner",POWER(Upgrades!$U$19,K167),1)*IF(Upgrades!$T$20="Binary Partner",POWER(Upgrades!$U$20,L167),1)*IF(Upgrades!$T$21="Binary Partner",POWER(Upgrades!$U$21,M167),1))+(IF(K167=0,0,(Upgrades!$J$19+K167*Upgrades!$K$19)*POWER(Upgrades!$L$19,K167)))*(IF(Upgrades!$T$13="Peculiar Velocity",POWER(Upgrades!$U$13,E167),1)*IF(Upgrades!$T$14="Peculiar Velocity",POWER(Upgrades!$U$14,F167),1)*IF(Upgrades!$T$15="Peculiar Velocity",POWER(Upgrades!$U$15,G167),1)*IF(Upgrades!$T$16="Peculiar Velocity",POWER(Upgrades!$U$16,H167),1)*IF(Upgrades!$T$17="Peculiar Velocity",POWER(Upgrades!$U$17,I167),1)*IF(Upgrades!$T$18="Peculiar Velocity",POWER(Upgrades!$U$18,J167),1)*IF(Upgrades!$T$20="Peculiar Velocity",POWER(Upgrades!$U$20,L167),1)*IF(Upgrades!$T$21="Peculiar Velocity",POWER(Upgrades!$U$21,M167),1))+(IF(L167=0,0,(Upgrades!$J$20+L167*Upgrades!$K$20)*POWER(Upgrades!$L$20,L167)))*(IF(Upgrades!$T$13="Open Cluster",POWER(Upgrades!$U$13,E167),1)*IF(Upgrades!$T$14="Open Cluster",POWER(Upgrades!$U$14,F167),1)*IF(Upgrades!$T$15="Open Cluster",POWER(Upgrades!$U$15,G167),1)*IF(Upgrades!$T$16="Open Cluster",POWER(Upgrades!$U$16,H167),1)*IF(Upgrades!$T$17="Open Cluster",POWER(Upgrades!$U$17,I167),1)*IF(Upgrades!$T$18="Open Cluster",POWER(Upgrades!$U$18,J167),1)*IF(Upgrades!$T$19="Open Cluster",POWER(Upgrades!$U$19,K167),1)*IF(Upgrades!$T$21="Open Cluster",POWER(Upgrades!$U$21,M167),1))+(IF(M167=0,0,(Upgrades!$J$21+M167*Upgrades!$K$21)*POWER(Upgrades!$L$21,M167)))*(IF(Upgrades!$T$13="Moving Group",POWER(Upgrades!$U$13,E167),1)*IF(Upgrades!$T$14="Moving Group",POWER(Upgrades!$U$14,F167),1)*IF(Upgrades!$T$15="Moving Group",POWER(Upgrades!$U$15,G167),1)*IF(Upgrades!$T$16="Moving Group",POWER(Upgrades!$U$16,H167),1)*IF(Upgrades!$T$17="Moving Group",POWER(Upgrades!$U$17,I167),1)*IF(Upgrades!$T$18="Moving Group",POWER(Upgrades!$U$18,J167),1)*IF(Upgrades!$T$19="Moving Group",POWER(Upgrades!$U$19,K167),1)*IF(Upgrades!$T$20="Moving Group",POWER(Upgrades!$U$20,L167),1)))*POWER(Upgrades!$Q$13,E167)*POWER(Upgrades!$Q$14,F167)*POWER(Upgrades!$Q$15,G167)*POWER(Upgrades!$Q$16,H167)*POWER(Upgrades!$Q$17,I167)*POWER(Upgrades!$Q$18,J167)*POWER(Upgrades!$Q$19,K167)*POWER(Upgrades!$Q$20,L167)*POWER(Upgrades!$Q$21,M167)*$G$6+$D$6</f>
        <v/>
      </c>
      <c r="P167" s="28">
        <f>((IF(E167=0,0,(Upgrades!$G$13+E167*Upgrades!$H$13)*POWER(Upgrades!$I$13,E167)))*(IF(Upgrades!$T$14="Stellar Kinematics",POWER(Upgrades!$U$14,F167),1)*IF(Upgrades!$T$15="Stellar Kinematics",POWER(Upgrades!$U$15,G167),1)*IF(Upgrades!$T$16="Stellar Kinematics",POWER(Upgrades!$U$16,H167),1)*IF(Upgrades!$T$17="Stellar Kinematics",POWER(Upgrades!$U$17,I167),1)*IF(Upgrades!$T$18="Stellar Kinematics",POWER(Upgrades!$U$18,J167),1)*IF(Upgrades!$T$19="Stellar Kinematics",POWER(Upgrades!$U$19,K167),1)*IF(Upgrades!$T$20="Stellar Kinematics",POWER(Upgrades!$U$20,L167),1)*IF(Upgrades!$T$21="Stellar Kinematics",POWER(Upgrades!$U$21,M167),1))+(IF(F167=0,0,(Upgrades!$G$14+F167*Upgrades!$H$14)*POWER(Upgrades!$I$14,F167)))*(IF(Upgrades!$T$13="Local Bubble",POWER(Upgrades!$U$13,E167),1)*IF(Upgrades!$T$15="Local Bubble",POWER(Upgrades!$U$15,G167),1)*IF(Upgrades!$T$16="Local Bubble",POWER(Upgrades!$U$16,H167),1)*IF(Upgrades!$T$17="Local Bubble",POWER(Upgrades!$U$17,I167),1)*IF(Upgrades!$T$18="Local Bubble",POWER(Upgrades!$U$18,J167),1)*IF(Upgrades!$T$19="Local Bubble",POWER(Upgrades!$U$19,K167),1)*IF(Upgrades!$T$20="Local Bubble",POWER(Upgrades!$U$20,L167),1)*IF(Upgrades!$T$21="Local Bubble",POWER(Upgrades!$U$21,M167),1))+(IF(G167=0,0,(Upgrades!$G$15+G167*Upgrades!$H$15)*POWER(Upgrades!$I$15,G167)))*(IF(Upgrades!$T$13="Microlensing",POWER(Upgrades!$U$13,E167),1)*IF(Upgrades!$T$14="Microlensing",POWER(Upgrades!$U$14,F167),1)*IF(Upgrades!$T$16="Microlensing",POWER(Upgrades!$U$16,H167),1)*IF(Upgrades!$T$17="Microlensing",POWER(Upgrades!$U$17,I167),1)*IF(Upgrades!$T$18="Microlensing",POWER(Upgrades!$U$18,J167),1)*IF(Upgrades!$T$19="Microlensing",POWER(Upgrades!$U$19,K167),1)*IF(Upgrades!$T$20="Microlensing",POWER(Upgrades!$U$20,L167),1)*IF(Upgrades!$T$21="Microlensing",POWER(Upgrades!$U$21,M167),1))+(IF(H167=0,0,(Upgrades!$G$16+H167*Upgrades!$H$16)*POWER(Upgrades!$I$16,H167)))*(IF(Upgrades!$T$13="Roche Lobe Overflow",POWER(Upgrades!$U$13,E167),1)*IF(Upgrades!$T$14="Roche Lobe Overflow",POWER(Upgrades!$U$14,F167),1)*IF(Upgrades!$T$15="Roche Lobe Overflow",POWER(Upgrades!$U$15,G167),1)*IF(Upgrades!$T$17="Roche Lobe Overflow",POWER(Upgrades!$U$17,I167),1)*IF(Upgrades!$T$18="Roche Lobe Overflow",POWER(Upgrades!$U$18,J167),1)*IF(Upgrades!$T$19="Roche Lobe Overflow",POWER(Upgrades!$U$19,K167),1)*IF(Upgrades!$T$20="Roche Lobe Overflow",POWER(Upgrades!$U$20,L167),1)*IF(Upgrades!$T$21="Roche Lobe Overflow",POWER(Upgrades!$U$21,M167),1))+(IF(I167=0,0,(Upgrades!$G$17+I167*Upgrades!$H$17)*POWER(Upgrades!$I$17,I167)))*(IF(Upgrades!$T$13="Brown Dwarf",POWER(Upgrades!$U$13,E167),1)*IF(Upgrades!$T$14="Brown Dwarf",POWER(Upgrades!$U$14,F167),1)*IF(Upgrades!$T$15="Brown Dwarf",POWER(Upgrades!$U$15,G167),1)*IF(Upgrades!$T$16="Brown Dwarf",POWER(Upgrades!$U$16,H167),1)*IF(Upgrades!$T$18="Brown Dwarf",POWER(Upgrades!$U$18,J167),1)*IF(Upgrades!$T$19="Brown Dwarf",POWER(Upgrades!$U$19,K167),1)*IF(Upgrades!$T$20="Brown Dwarf",POWER(Upgrades!$U$20,L167),1)*IF(Upgrades!$T$21="Brown Dwarf",POWER(Upgrades!$U$21,M167),1))+(IF(J167=0,0,(Upgrades!$G$18+J167*Upgrades!$H$18)*POWER(Upgrades!$I$18,J167)))*(IF(Upgrades!$T$13="Binary Partner",POWER(Upgrades!$U$13,E167),1)*IF(Upgrades!$T$14="Binary Partner",POWER(Upgrades!$U$14,F167),1)*IF(Upgrades!$T$15="Binary Partner",POWER(Upgrades!$U$15,G167),1)*IF(Upgrades!$T$16="Binary Partner",POWER(Upgrades!$U$16,H167),1)*IF(Upgrades!$T$17="Binary Partner",POWER(Upgrades!$U$17,I167),1)*IF(Upgrades!$T$19="Binary Partner",POWER(Upgrades!$U$19,K167),1)*IF(Upgrades!$T$20="Binary Partner",POWER(Upgrades!$U$20,L167),1)*IF(Upgrades!$T$21="Binary Partner",POWER(Upgrades!$U$21,M167),1))+(IF(K167=0,0,(Upgrades!$G$19+K167*Upgrades!$H$19)*POWER(Upgrades!$I$19,K167)))*(IF(Upgrades!$T$13="Peculiar Velocity",POWER(Upgrades!$U$13,E167),1)*IF(Upgrades!$T$14="Peculiar Velocity",POWER(Upgrades!$U$14,F167),1)*IF(Upgrades!$T$15="Peculiar Velocity",POWER(Upgrades!$U$15,G167),1)*IF(Upgrades!$T$16="Peculiar Velocity",POWER(Upgrades!$U$16,H167),1)*IF(Upgrades!$T$17="Peculiar Velocity",POWER(Upgrades!$U$17,I167),1)*IF(Upgrades!$T$18="Peculiar Velocity",POWER(Upgrades!$U$18,J167),1)*IF(Upgrades!$T$20="Peculiar Velocity",POWER(Upgrades!$U$20,L167),1)*IF(Upgrades!$T$21="Peculiar Velocity",POWER(Upgrades!$U$21,M167),1))+(IF(L167=0,0,(Upgrades!$G$20+L167*Upgrades!$H$20)*POWER(Upgrades!$I$20,L167)))*(IF(Upgrades!$T$13="Open Cluster",POWER(Upgrades!$U$13,E167),1)*IF(Upgrades!$T$14="Open Cluster",POWER(Upgrades!$U$14,F167),1)*IF(Upgrades!$T$15="Open Cluster",POWER(Upgrades!$U$15,G167),1)*IF(Upgrades!$T$16="Open Cluster",POWER(Upgrades!$U$16,H167),1)*IF(Upgrades!$T$17="Open Cluster",POWER(Upgrades!$U$17,I167),1)*IF(Upgrades!$T$18="Open Cluster",POWER(Upgrades!$U$18,J167),1)*IF(Upgrades!$T$19="Open Cluster",POWER(Upgrades!$U$19,K167),1)*IF(Upgrades!$T$21="Open Cluster",POWER(Upgrades!$U$21,M167),1))+(IF(M167=0,0,(Upgrades!$G$21+M167*Upgrades!$H$21)*POWER(Upgrades!$I$21,M167)))*(IF(Upgrades!$T$13="Moving Group",POWER(Upgrades!$U$13,E167),1)*IF(Upgrades!$T$14="Moving Group",POWER(Upgrades!$U$14,F167),1)*IF(Upgrades!$T$15="Moving Group",POWER(Upgrades!$U$15,G167),1)*IF(Upgrades!$T$16="Moving Group",POWER(Upgrades!$U$16,H167),1)*IF(Upgrades!$T$17="Moving Group",POWER(Upgrades!$U$17,I167),1)*IF(Upgrades!$T$18="Moving Group",POWER(Upgrades!$U$18,J167),1)*IF(Upgrades!$T$19="Moving Group",POWER(Upgrades!$U$19,K167),1)*IF(Upgrades!$T$20="Moving Group",POWER(Upgrades!$U$20,L167),1)))*POWER(Upgrades!$P$13,E167)*POWER(Upgrades!$P$14,F167)*POWER(Upgrades!$P$15,G167)*POWER(Upgrades!$P$16,H167)*POWER(Upgrades!$P$17,I167)*POWER(Upgrades!$P$18,J167)*POWER(Upgrades!$P$19,K167)*POWER(Upgrades!$P$20,L167)*POWER(Upgrades!$P$21,M167)*$F$6+$C$6</f>
        <v/>
      </c>
      <c r="Q167" s="28">
        <f>((IF(E167=0,0,(Upgrades!$M$13+E167*Upgrades!$N$13)*POWER(Upgrades!$O$13,E167)))*(IF(Upgrades!$T$14="Stellar Kinematics",POWER(Upgrades!$U$14,F167),1)*IF(Upgrades!$T$15="Stellar Kinematics",POWER(Upgrades!$U$15,G167),1)*IF(Upgrades!$T$16="Stellar Kinematics",POWER(Upgrades!$U$16,H167),1)*IF(Upgrades!$T$17="Stellar Kinematics",POWER(Upgrades!$U$17,I167),1)*IF(Upgrades!$T$18="Stellar Kinematics",POWER(Upgrades!$U$18,J167),1)*IF(Upgrades!$T$19="Stellar Kinematics",POWER(Upgrades!$U$19,K167),1)*IF(Upgrades!$T$20="Stellar Kinematics",POWER(Upgrades!$U$20,L167),1)*IF(Upgrades!$T$21="Stellar Kinematics",POWER(Upgrades!$U$21,M167),1))+(IF(F167=0,0,(Upgrades!$M$14+F167*Upgrades!$N$14)*POWER(Upgrades!$O$14,F167)))*(IF(Upgrades!$T$13="Local Bubble",POWER(Upgrades!$U$13,E167),1)*IF(Upgrades!$T$15="Local Bubble",POWER(Upgrades!$U$15,G167),1)*IF(Upgrades!$T$16="Local Bubble",POWER(Upgrades!$U$16,H167),1)*IF(Upgrades!$T$17="Local Bubble",POWER(Upgrades!$U$17,I167),1)*IF(Upgrades!$T$18="Local Bubble",POWER(Upgrades!$U$18,J167),1)*IF(Upgrades!$T$19="Local Bubble",POWER(Upgrades!$U$19,K167),1)*IF(Upgrades!$T$20="Local Bubble",POWER(Upgrades!$U$20,L167),1)*IF(Upgrades!$T$21="Local Bubble",POWER(Upgrades!$U$21,M167),1))+(IF(G167=0,0,(Upgrades!$M$15+G167*Upgrades!$N$15)*POWER(Upgrades!$O$15,G167)))*(IF(Upgrades!$T$13="Microlensing",POWER(Upgrades!$U$13,E167),1)*IF(Upgrades!$T$14="Microlensing",POWER(Upgrades!$U$14,F167),1)*IF(Upgrades!$T$16="Microlensing",POWER(Upgrades!$U$16,H167),1)*IF(Upgrades!$T$17="Microlensing",POWER(Upgrades!$U$17,I167),1)*IF(Upgrades!$T$18="Microlensing",POWER(Upgrades!$U$18,J167),1)*IF(Upgrades!$T$19="Microlensing",POWER(Upgrades!$U$19,K167),1)*IF(Upgrades!$T$20="Microlensing",POWER(Upgrades!$U$20,L167),1)*IF(Upgrades!$T$21="Microlensing",POWER(Upgrades!$U$21,M167),1))+(IF(H167=0,0,(Upgrades!$M$16+H167*Upgrades!$N$16)*POWER(Upgrades!$O$16,H167)))*(IF(Upgrades!$T$13="Roche Lobe Overflow",POWER(Upgrades!$U$13,E167),1)*IF(Upgrades!$T$14="Roche Lobe Overflow",POWER(Upgrades!$U$14,F167),1)*IF(Upgrades!$T$15="Roche Lobe Overflow",POWER(Upgrades!$U$15,G167),1)*IF(Upgrades!$T$17="Roche Lobe Overflow",POWER(Upgrades!$U$17,I167),1)*IF(Upgrades!$T$18="Roche Lobe Overflow",POWER(Upgrades!$U$18,J167),1)*IF(Upgrades!$T$19="Roche Lobe Overflow",POWER(Upgrades!$U$19,K167),1)*IF(Upgrades!$T$20="Roche Lobe Overflow",POWER(Upgrades!$U$20,L167),1)*IF(Upgrades!$T$21="Roche Lobe Overflow",POWER(Upgrades!$U$21,M167),1))+(IF(I167=0,0,(Upgrades!$M$17+I167*Upgrades!$N$17)*POWER(Upgrades!$O$17,I167)))*(IF(Upgrades!$T$13="Brown Dwarf",POWER(Upgrades!$U$13,E167),1)*IF(Upgrades!$T$14="Brown Dwarf",POWER(Upgrades!$U$14,F167),1)*IF(Upgrades!$T$15="Brown Dwarf",POWER(Upgrades!$U$15,G167),1)*IF(Upgrades!$T$16="Brown Dwarf",POWER(Upgrades!$U$16,H167),1)*IF(Upgrades!$T$18="Brown Dwarf",POWER(Upgrades!$U$18,J167),1)*IF(Upgrades!$T$19="Brown Dwarf",POWER(Upgrades!$U$19,K167),1)*IF(Upgrades!$T$20="Brown Dwarf",POWER(Upgrades!$U$20,L167),1)*IF(Upgrades!$T$21="Brown Dwarf",POWER(Upgrades!$U$21,M167),1))+(IF(J167=0,0,(Upgrades!$M$18+J167*Upgrades!$N$18)*POWER(Upgrades!$O$18,J167)))*(IF(Upgrades!$T$13="Binary Partner",POWER(Upgrades!$U$13,E167),1)*IF(Upgrades!$T$14="Binary Partner",POWER(Upgrades!$U$14,F167),1)*IF(Upgrades!$T$15="Binary Partner",POWER(Upgrades!$U$15,G167),1)*IF(Upgrades!$T$16="Binary Partner",POWER(Upgrades!$U$16,H167),1)*IF(Upgrades!$T$17="Binary Partner",POWER(Upgrades!$U$17,I167),1)*IF(Upgrades!$T$19="Binary Partner",POWER(Upgrades!$U$19,K167),1)*IF(Upgrades!$T$20="Binary Partner",POWER(Upgrades!$U$20,L167),1)*IF(Upgrades!$T$21="Binary Partner",POWER(Upgrades!$U$21,M167),1))+(IF(K167=0,0,(Upgrades!$M$19+K167*Upgrades!$N$19)*POWER(Upgrades!$O$19,K167)))*(IF(Upgrades!$T$13="Peculiar Velocity",POWER(Upgrades!$U$13,E167),1)*IF(Upgrades!$T$14="Peculiar Velocity",POWER(Upgrades!$U$14,F167),1)*IF(Upgrades!$T$15="Peculiar Velocity",POWER(Upgrades!$U$15,G167),1)*IF(Upgrades!$T$16="Peculiar Velocity",POWER(Upgrades!$U$16,H167),1)*IF(Upgrades!$T$17="Peculiar Velocity",POWER(Upgrades!$U$17,I167),1)*IF(Upgrades!$T$18="Peculiar Velocity",POWER(Upgrades!$U$18,J167),1)*IF(Upgrades!$T$20="Peculiar Velocity",POWER(Upgrades!$U$20,L167),1)*IF(Upgrades!$T$21="Peculiar Velocity",POWER(Upgrades!$U$21,M167),1))+(IF(L167=0,0,(Upgrades!$M$20+L167*Upgrades!$N$20)*POWER(Upgrades!$O$20,L167)))*(IF(Upgrades!$T$13="Open Cluster",POWER(Upgrades!$U$13,E167),1)*IF(Upgrades!$T$14="Open Cluster",POWER(Upgrades!$U$14,F167),1)*IF(Upgrades!$T$15="Open Cluster",POWER(Upgrades!$U$15,G167),1)*IF(Upgrades!$T$16="Open Cluster",POWER(Upgrades!$U$16,H167),1)*IF(Upgrades!$T$17="Open Cluster",POWER(Upgrades!$U$17,I167),1)*IF(Upgrades!$T$18="Open Cluster",POWER(Upgrades!$U$18,J167),1)*IF(Upgrades!$T$19="Open Cluster",POWER(Upgrades!$U$19,K167),1)*IF(Upgrades!$T$21="Open Cluster",POWER(Upgrades!$U$21,M167),1))+(IF(M167=0,0,(Upgrades!$M$21+M167*Upgrades!$N$21)*POWER(Upgrades!$O$21,M167)))*(IF(Upgrades!$T$13="Moving Group",POWER(Upgrades!$U$13,E167),1)*IF(Upgrades!$T$14="Moving Group",POWER(Upgrades!$U$14,F167),1)*IF(Upgrades!$T$15="Moving Group",POWER(Upgrades!$U$15,G167),1)*IF(Upgrades!$T$16="Moving Group",POWER(Upgrades!$U$16,H167),1)*IF(Upgrades!$T$17="Moving Group",POWER(Upgrades!$U$17,I167),1)*IF(Upgrades!$T$18="Moving Group",POWER(Upgrades!$U$18,J167),1)*IF(Upgrades!$T$19="Moving Group",POWER(Upgrades!$U$19,K167),1)*IF(Upgrades!$T$20="Moving Group",POWER(Upgrades!$U$20,L167),1)))*POWER(Upgrades!$R$13,E167)*POWER(Upgrades!$R$14,F167)*POWER(Upgrades!$R$15,G167)*POWER(Upgrades!$R$16,H167)*POWER(Upgrades!$R$17,I167)*POWER(Upgrades!$R$18,J167)*POWER(Upgrades!$R$19,K167)*POWER(Upgrades!$R$20,L167)*POWER(Upgrades!$R$21,M167)*$H$6+$E$6</f>
        <v/>
      </c>
      <c r="R167" s="27">
        <f>IF(N167=1,0,O167*Parameters!$B$10/60*Parameters!$B$11*10)</f>
        <v/>
      </c>
      <c r="S167" s="27">
        <f>IF(N167=1,0,Q167*O167*10)</f>
        <v/>
      </c>
      <c r="T167" s="27">
        <f>IF(N167=1,0,R167+S167+P167*10)</f>
        <v/>
      </c>
      <c r="U167" s="33">
        <f>BE167</f>
        <v/>
      </c>
      <c r="V167" s="22">
        <f>IF(U167="",0,IF(U167="transition",0,IF(U167="SK",AK167,IF(U167="LB",AL167,IF(U167="ML",AM167,IF(U167="RLO",AN167,IF(U167="BD",AO167,IF(U167="BiP",AP167,IF(U167="PV",AQ167,IF(U167="OC",AR167,IF(U167="MG",AS167,0))))))))))</f>
        <v/>
      </c>
      <c r="W167" s="27">
        <f>IF(U167="BiP",Upgrades!$F$18,IF(U167="PV",Upgrades!$F$19,IF(U167="OC",Upgrades!$F$20,IF(U167="MG",Upgrades!$F$21,IF(U167="transition",-Parameters!$B$18*Parameters!$B$19,0)))))</f>
        <v/>
      </c>
      <c r="X167" s="22">
        <f>C167+T167-V167</f>
        <v/>
      </c>
      <c r="Y167" s="30">
        <f>O167*Parameters!$B$10/60*Parameters!$B$11+Q167*O167+P167</f>
        <v/>
      </c>
      <c r="Z167" s="34">
        <f>IF(U167="transition","→ Tier 3 (Galactic Arm)",IF(U167="MG","Moving Group — pocket drifts together",IF(U167="OC","Open Cluster acquired",IF(U167="PV","Peculiar Velocity — passive multiplier active",IF(U167="BiP","Binary Partner — pair bond formed",IF(AND(AU167=1,N167=0,AT167&lt;&gt;1),"Cohesion ready (waiting on completionists)","")))))) </f>
        <v/>
      </c>
      <c r="AA167" s="27">
        <f>(IF(E167=0,0,(Upgrades!$G$13+E167*Upgrades!$H$13)*POWER(Upgrades!$I$13,E167)))*(IF(Upgrades!$T$14="Stellar Kinematics",POWER(Upgrades!$U$14,F167),1)*IF(Upgrades!$T$15="Stellar Kinematics",POWER(Upgrades!$U$15,G167),1)*IF(Upgrades!$T$16="Stellar Kinematics",POWER(Upgrades!$U$16,H167),1)*IF(Upgrades!$T$17="Stellar Kinematics",POWER(Upgrades!$U$17,I167),1)*IF(Upgrades!$T$18="Stellar Kinematics",POWER(Upgrades!$U$18,J167),1)*IF(Upgrades!$T$19="Stellar Kinematics",POWER(Upgrades!$U$19,K167),1)*IF(Upgrades!$T$20="Stellar Kinematics",POWER(Upgrades!$U$20,L167),1)*IF(Upgrades!$T$21="Stellar Kinematics",POWER(Upgrades!$U$21,M167),1))*POWER(Upgrades!$P$13,E167)*POWER(Upgrades!$P$14,F167)*POWER(Upgrades!$P$15,G167)*POWER(Upgrades!$P$16,H167)*POWER(Upgrades!$P$17,I167)*POWER(Upgrades!$P$18,J167)*POWER(Upgrades!$P$19,K167)*POWER(Upgrades!$P$20,L167)*POWER(Upgrades!$P$21,M167)*$F$6*60</f>
        <v/>
      </c>
      <c r="AB167" s="27">
        <f>(IF(F167=0,0,(Upgrades!$G$14+F167*Upgrades!$H$14)*POWER(Upgrades!$I$14,F167)))*(IF(Upgrades!$T$13="Local Bubble",POWER(Upgrades!$U$13,E167),1)*IF(Upgrades!$T$15="Local Bubble",POWER(Upgrades!$U$15,G167),1)*IF(Upgrades!$T$16="Local Bubble",POWER(Upgrades!$U$16,H167),1)*IF(Upgrades!$T$17="Local Bubble",POWER(Upgrades!$U$17,I167),1)*IF(Upgrades!$T$18="Local Bubble",POWER(Upgrades!$U$18,J167),1)*IF(Upgrades!$T$19="Local Bubble",POWER(Upgrades!$U$19,K167),1)*IF(Upgrades!$T$20="Local Bubble",POWER(Upgrades!$U$20,L167),1)*IF(Upgrades!$T$21="Local Bubble",POWER(Upgrades!$U$21,M167),1))*POWER(Upgrades!$P$13,E167)*POWER(Upgrades!$P$14,F167)*POWER(Upgrades!$P$15,G167)*POWER(Upgrades!$P$16,H167)*POWER(Upgrades!$P$17,I167)*POWER(Upgrades!$P$18,J167)*POWER(Upgrades!$P$19,K167)*POWER(Upgrades!$P$20,L167)*POWER(Upgrades!$P$21,M167)*$F$6*60</f>
        <v/>
      </c>
      <c r="AC167" s="27">
        <f>(IF(G167=0,0,(Upgrades!$J$15+G167*Upgrades!$K$15)*POWER(Upgrades!$L$15,G167)))*(IF(Upgrades!$T$13="Microlensing",POWER(Upgrades!$U$13,E167),1)*IF(Upgrades!$T$14="Microlensing",POWER(Upgrades!$U$14,F167),1)*IF(Upgrades!$T$16="Microlensing",POWER(Upgrades!$U$16,H167),1)*IF(Upgrades!$T$17="Microlensing",POWER(Upgrades!$U$17,I167),1)*IF(Upgrades!$T$18="Microlensing",POWER(Upgrades!$U$18,J167),1)*IF(Upgrades!$T$19="Microlensing",POWER(Upgrades!$U$19,K167),1)*IF(Upgrades!$T$20="Microlensing",POWER(Upgrades!$U$20,L167),1)*IF(Upgrades!$T$21="Microlensing",POWER(Upgrades!$U$21,M167),1))*POWER(Upgrades!$Q$13,E167)*POWER(Upgrades!$Q$14,F167)*POWER(Upgrades!$Q$15,G167)*POWER(Upgrades!$Q$16,H167)*POWER(Upgrades!$Q$17,I167)*POWER(Upgrades!$Q$18,J167)*POWER(Upgrades!$Q$19,K167)*POWER(Upgrades!$Q$20,L167)*POWER(Upgrades!$Q$21,M167)*$G$6*(Parameters!$B$10*Parameters!$B$11+Q167*60)</f>
        <v/>
      </c>
      <c r="AD167" s="27">
        <f>(IF(H167=0,0,(Upgrades!$M$16+H167*Upgrades!$N$16)*POWER(Upgrades!$O$16,H167)))*(IF(Upgrades!$T$13="Roche Lobe Overflow",POWER(Upgrades!$U$13,E167),1)*IF(Upgrades!$T$14="Roche Lobe Overflow",POWER(Upgrades!$U$14,F167),1)*IF(Upgrades!$T$15="Roche Lobe Overflow",POWER(Upgrades!$U$15,G167),1)*IF(Upgrades!$T$17="Roche Lobe Overflow",POWER(Upgrades!$U$17,I167),1)*IF(Upgrades!$T$18="Roche Lobe Overflow",POWER(Upgrades!$U$18,J167),1)*IF(Upgrades!$T$19="Roche Lobe Overflow",POWER(Upgrades!$U$19,K167),1)*IF(Upgrades!$T$20="Roche Lobe Overflow",POWER(Upgrades!$U$20,L167),1)*IF(Upgrades!$T$21="Roche Lobe Overflow",POWER(Upgrades!$U$21,M167),1))*POWER(Upgrades!$R$13,E167)*POWER(Upgrades!$R$14,F167)*POWER(Upgrades!$R$15,G167)*POWER(Upgrades!$R$16,H167)*POWER(Upgrades!$R$17,I167)*POWER(Upgrades!$R$18,J167)*POWER(Upgrades!$R$19,K167)*POWER(Upgrades!$R$20,L167)*POWER(Upgrades!$R$21,M167)*$H$6*O167*60</f>
        <v/>
      </c>
      <c r="AE167" s="27">
        <f>(IF(I167=0,0,(Upgrades!$G$17+I167*Upgrades!$H$17)*POWER(Upgrades!$I$17,I167)))*(IF(Upgrades!$T$13="Brown Dwarf",POWER(Upgrades!$U$13,E167),1)*IF(Upgrades!$T$14="Brown Dwarf",POWER(Upgrades!$U$14,F167),1)*IF(Upgrades!$T$15="Brown Dwarf",POWER(Upgrades!$U$15,G167),1)*IF(Upgrades!$T$16="Brown Dwarf",POWER(Upgrades!$U$16,H167),1)*IF(Upgrades!$T$18="Brown Dwarf",POWER(Upgrades!$U$18,J167),1)*IF(Upgrades!$T$19="Brown Dwarf",POWER(Upgrades!$U$19,K167),1)*IF(Upgrades!$T$20="Brown Dwarf",POWER(Upgrades!$U$20,L167),1)*IF(Upgrades!$T$21="Brown Dwarf",POWER(Upgrades!$U$21,M167),1))*POWER(Upgrades!$P$13,E167)*POWER(Upgrades!$P$14,F167)*POWER(Upgrades!$P$15,G167)*POWER(Upgrades!$P$16,H167)*POWER(Upgrades!$P$17,I167)*POWER(Upgrades!$P$18,J167)*POWER(Upgrades!$P$19,K167)*POWER(Upgrades!$P$20,L167)*POWER(Upgrades!$P$21,M167)*$F$6*60</f>
        <v/>
      </c>
      <c r="AF167" s="27" t="n">
        <v>0</v>
      </c>
      <c r="AG167" s="27" t="n">
        <v>0</v>
      </c>
      <c r="AH167" s="27" t="n">
        <v>0</v>
      </c>
      <c r="AI167" s="27">
        <f>(IF(M167=0,0,(Upgrades!$G$21+M167*Upgrades!$H$21)*POWER(Upgrades!$I$21,M167)))*(IF(Upgrades!$T$13="Moving Group",POWER(Upgrades!$U$13,E167),1)*IF(Upgrades!$T$14="Moving Group",POWER(Upgrades!$U$14,F167),1)*IF(Upgrades!$T$15="Moving Group",POWER(Upgrades!$U$15,G167),1)*IF(Upgrades!$T$16="Moving Group",POWER(Upgrades!$U$16,H167),1)*IF(Upgrades!$T$17="Moving Group",POWER(Upgrades!$U$17,I167),1)*IF(Upgrades!$T$18="Moving Group",POWER(Upgrades!$U$18,J167),1)*IF(Upgrades!$T$19="Moving Group",POWER(Upgrades!$U$19,K167),1)*IF(Upgrades!$T$20="Moving Group",POWER(Upgrades!$U$20,L167),1))*POWER(Upgrades!$P$13,E167)*POWER(Upgrades!$P$14,F167)*POWER(Upgrades!$P$15,G167)*POWER(Upgrades!$P$16,H167)*POWER(Upgrades!$P$17,I167)*POWER(Upgrades!$P$18,J167)*POWER(Upgrades!$P$19,K167)*POWER(Upgrades!$P$20,L167)*POWER(Upgrades!$P$21,M167)*$F$6*60</f>
        <v/>
      </c>
      <c r="AJ167" s="27">
        <f>$C$6*60</f>
        <v/>
      </c>
      <c r="AK167" s="22">
        <f>IF(E167&gt;=Upgrades!$E$13,"",Upgrades!$C$13*POWER(Upgrades!$D$13,E167))</f>
        <v/>
      </c>
      <c r="AL167" s="22">
        <f>IF(F167&gt;=Upgrades!$E$14,"",Upgrades!$C$14*POWER(Upgrades!$D$14,F167))</f>
        <v/>
      </c>
      <c r="AM167" s="22">
        <f>IF(G167&gt;=Upgrades!$E$15,"",Upgrades!$C$15*POWER(Upgrades!$D$15,G167))</f>
        <v/>
      </c>
      <c r="AN167" s="22">
        <f>IF(H167&gt;=Upgrades!$E$16,"",Upgrades!$C$16*POWER(Upgrades!$D$16,H167))</f>
        <v/>
      </c>
      <c r="AO167" s="22">
        <f>IF(I167&gt;=Upgrades!$E$17,"",Upgrades!$C$17*POWER(Upgrades!$D$17,I167))</f>
        <v/>
      </c>
      <c r="AP167" s="22">
        <f>IF(J167&gt;=Upgrades!$E$18,"",Upgrades!$C$18*POWER(Upgrades!$D$18,J167))</f>
        <v/>
      </c>
      <c r="AQ167" s="22">
        <f>IF(K167&gt;=Upgrades!$E$19,"",Upgrades!$C$19*POWER(Upgrades!$D$19,K167))</f>
        <v/>
      </c>
      <c r="AR167" s="22">
        <f>IF(L167&gt;=Upgrades!$E$20,"",Upgrades!$C$20*POWER(Upgrades!$D$20,L167))</f>
        <v/>
      </c>
      <c r="AS167" s="22">
        <f>IF(M167&gt;=Upgrades!$E$21,"",Upgrades!$C$21*POWER(Upgrades!$D$21,M167))</f>
        <v/>
      </c>
      <c r="AT167" s="26">
        <f>IF(AND(D167&gt;=Parameters!$B$18*Parameters!$B$19,(I167&gt;=Upgrades!$E$17)*(M167&gt;=Upgrades!$E$21)=1,N167=0),1,"")</f>
        <v/>
      </c>
      <c r="AU167" s="26">
        <f>IF(AND(D167&gt;=Parameters!$B$18*Parameters!$B$19,N167=0),1,"")</f>
        <v/>
      </c>
      <c r="AV167" s="22">
        <f>MIN(IF(ISNUMBER(AP167),AP167,9E15),IF(ISNUMBER(AQ167),AQ167,9E15),IF(ISNUMBER(AR167),AR167,9E15),IF(ISNUMBER(AS167),AS167,9E15))</f>
        <v/>
      </c>
      <c r="AW167" s="22">
        <f>MIN(IF(ISNUMBER(AK167),AK167,9E15),IF(ISNUMBER(AL167),AL167,9E15),IF(ISNUMBER(AM167),AM167,9E15),IF(ISNUMBER(AN167),AN167,9E15),IF(ISNUMBER(AO167),AO167,9E15))</f>
        <v/>
      </c>
      <c r="AX167" s="29">
        <f>IF(BD167&gt;Parameters!$B$21*(MAX(IF(AND(NOT(AND(AU167=1,AT167&lt;&gt;1)),ISNUMBER(AK167),AK167&lt;=(C167+T167)),AY167,0),IF(AND(NOT(AND(AU167=1,AT167&lt;&gt;1)),ISNUMBER(AL167),AL167&lt;=(C167+T167)),AZ167,0),IF(AND(NOT(AND(AU167=1,AT167&lt;&gt;1)),ISNUMBER(AM167),AM167&lt;=(C167+T167)),BA167,0),IF(AND(NOT(AND(AU167=1,AT167&lt;&gt;1)),ISNUMBER(AN167),AN167&lt;=(C167+T167)),BB167,0),IF(AND(ISNUMBER(AO167),AO167&lt;=(C167+T167)),BC167,0))),TRUE,FALSE)</f>
        <v/>
      </c>
      <c r="AY167" s="32">
        <f>IFERROR(Upgrades!$H$13*(POWER(Upgrades!$P$13,E167)*POWER(Upgrades!$P$14,F167)*POWER(Upgrades!$P$15,G167)*POWER(Upgrades!$P$16,H167)*POWER(Upgrades!$P$17,I167)*POWER(Upgrades!$P$18,J167)*POWER(Upgrades!$P$19,K167)*POWER(Upgrades!$P$20,L167)*POWER(Upgrades!$P$21,M167))*(IF(Upgrades!$T$14="Stellar Kinematics",POWER(Upgrades!$U$14,F167),1)*IF(Upgrades!$T$15="Stellar Kinematics",POWER(Upgrades!$U$15,G167),1)*IF(Upgrades!$T$16="Stellar Kinematics",POWER(Upgrades!$U$16,H167),1)*IF(Upgrades!$T$17="Stellar Kinematics",POWER(Upgrades!$U$17,I167),1)*IF(Upgrades!$T$18="Stellar Kinematics",POWER(Upgrades!$U$18,J167),1)*IF(Upgrades!$T$19="Stellar Kinematics",POWER(Upgrades!$U$19,K167),1)*IF(Upgrades!$T$20="Stellar Kinematics",POWER(Upgrades!$U$20,L167),1)*IF(Upgrades!$T$21="Stellar Kinematics",POWER(Upgrades!$U$21,M167),1))*$F$6/AK167,0)</f>
        <v/>
      </c>
      <c r="AZ167" s="32">
        <f>IFERROR(Upgrades!$H$14*(POWER(Upgrades!$P$13,E167)*POWER(Upgrades!$P$14,F167)*POWER(Upgrades!$P$15,G167)*POWER(Upgrades!$P$16,H167)*POWER(Upgrades!$P$17,I167)*POWER(Upgrades!$P$18,J167)*POWER(Upgrades!$P$19,K167)*POWER(Upgrades!$P$20,L167)*POWER(Upgrades!$P$21,M167))*(IF(Upgrades!$T$13="Local Bubble",POWER(Upgrades!$U$13,E167),1)*IF(Upgrades!$T$15="Local Bubble",POWER(Upgrades!$U$15,G167),1)*IF(Upgrades!$T$16="Local Bubble",POWER(Upgrades!$U$16,H167),1)*IF(Upgrades!$T$17="Local Bubble",POWER(Upgrades!$U$17,I167),1)*IF(Upgrades!$T$18="Local Bubble",POWER(Upgrades!$U$18,J167),1)*IF(Upgrades!$T$19="Local Bubble",POWER(Upgrades!$U$19,K167),1)*IF(Upgrades!$T$20="Local Bubble",POWER(Upgrades!$U$20,L167),1)*IF(Upgrades!$T$21="Local Bubble",POWER(Upgrades!$U$21,M167),1))*$F$6/AL167,0)</f>
        <v/>
      </c>
      <c r="BA167" s="32">
        <f>IFERROR(Upgrades!$K$15*(POWER(Upgrades!$Q$13,E167)*POWER(Upgrades!$Q$14,F167)*POWER(Upgrades!$Q$15,G167)*POWER(Upgrades!$Q$16,H167)*POWER(Upgrades!$Q$17,I167)*POWER(Upgrades!$Q$18,J167)*POWER(Upgrades!$Q$19,K167)*POWER(Upgrades!$Q$20,L167)*POWER(Upgrades!$Q$21,M167))*(IF(Upgrades!$T$13="Microlensing",POWER(Upgrades!$U$13,E167),1)*IF(Upgrades!$T$14="Microlensing",POWER(Upgrades!$U$14,F167),1)*IF(Upgrades!$T$16="Microlensing",POWER(Upgrades!$U$16,H167),1)*IF(Upgrades!$T$17="Microlensing",POWER(Upgrades!$U$17,I167),1)*IF(Upgrades!$T$18="Microlensing",POWER(Upgrades!$U$18,J167),1)*IF(Upgrades!$T$19="Microlensing",POWER(Upgrades!$U$19,K167),1)*IF(Upgrades!$T$20="Microlensing",POWER(Upgrades!$U$20,L167),1)*IF(Upgrades!$T$21="Microlensing",POWER(Upgrades!$U$21,M167),1))*$G$6*(Parameters!$B$10/60*Parameters!$B$11+Q167)/AM167,0)</f>
        <v/>
      </c>
      <c r="BB167" s="32">
        <f>IFERROR((Upgrades!$N$16*(POWER(Upgrades!$R$13,E167)*POWER(Upgrades!$R$14,F167)*POWER(Upgrades!$R$15,G167)*POWER(Upgrades!$R$16,H167)*POWER(Upgrades!$R$17,I167)*POWER(Upgrades!$R$18,J167)*POWER(Upgrades!$R$19,K167)*POWER(Upgrades!$R$20,L167)*POWER(Upgrades!$R$21,M167))*(IF(Upgrades!$T$13="Roche Lobe Overflow",POWER(Upgrades!$U$13,E167),1)*IF(Upgrades!$T$14="Roche Lobe Overflow",POWER(Upgrades!$U$14,F167),1)*IF(Upgrades!$T$15="Roche Lobe Overflow",POWER(Upgrades!$U$15,G167),1)*IF(Upgrades!$T$17="Roche Lobe Overflow",POWER(Upgrades!$U$17,I167),1)*IF(Upgrades!$T$18="Roche Lobe Overflow",POWER(Upgrades!$U$18,J167),1)*IF(Upgrades!$T$19="Roche Lobe Overflow",POWER(Upgrades!$U$19,K167),1)*IF(Upgrades!$T$20="Roche Lobe Overflow",POWER(Upgrades!$U$20,L167),1)*IF(Upgrades!$T$21="Roche Lobe Overflow",POWER(Upgrades!$U$21,M167),1))*$H$6*O167+((IF(F167=0,0,(Upgrades!$G$14+F167*Upgrades!$H$14)*POWER(Upgrades!$I$14,F167)))*(IF(Upgrades!$T$13="Local Bubble",POWER(Upgrades!$U$13,E167),1)*IF(Upgrades!$T$15="Local Bubble",POWER(Upgrades!$U$15,G167),1)*IF(Upgrades!$T$16="Local Bubble",POWER(Upgrades!$U$16,H167),1)*IF(Upgrades!$T$17="Local Bubble",POWER(Upgrades!$U$17,I167),1)*IF(Upgrades!$T$18="Local Bubble",POWER(Upgrades!$U$18,J167),1)*IF(Upgrades!$T$19="Local Bubble",POWER(Upgrades!$U$19,K167),1)*IF(Upgrades!$T$20="Local Bubble",POWER(Upgrades!$U$20,L167),1)*IF(Upgrades!$T$21="Local Bubble",POWER(Upgrades!$U$21,M167),1))*POWER(Upgrades!$P$13,E167)*POWER(Upgrades!$P$14,F167)*POWER(Upgrades!$P$15,G167)*POWER(Upgrades!$P$16,H167)*POWER(Upgrades!$P$17,I167)*POWER(Upgrades!$P$18,J167)*POWER(Upgrades!$P$19,K167)*POWER(Upgrades!$P$20,L167)*POWER(Upgrades!$P$21,M167)*$F$6)*0.05)/AN167,0)</f>
        <v/>
      </c>
      <c r="BC167" s="32">
        <f>IFERROR((Upgrades!$H$17*(POWER(Upgrades!$P$13,E167)*POWER(Upgrades!$P$14,F167)*POWER(Upgrades!$P$15,G167)*POWER(Upgrades!$P$16,H167)*POWER(Upgrades!$P$17,I167)*POWER(Upgrades!$P$18,J167)*POWER(Upgrades!$P$19,K167)*POWER(Upgrades!$P$20,L167)*POWER(Upgrades!$P$21,M167))*(IF(Upgrades!$T$13="Brown Dwarf",POWER(Upgrades!$U$13,E167),1)*IF(Upgrades!$T$14="Brown Dwarf",POWER(Upgrades!$U$14,F167),1)*IF(Upgrades!$T$15="Brown Dwarf",POWER(Upgrades!$U$15,G167),1)*IF(Upgrades!$T$16="Brown Dwarf",POWER(Upgrades!$U$16,H167),1)*IF(Upgrades!$T$18="Brown Dwarf",POWER(Upgrades!$U$18,J167),1)*IF(Upgrades!$T$19="Brown Dwarf",POWER(Upgrades!$U$19,K167),1)*IF(Upgrades!$T$20="Brown Dwarf",POWER(Upgrades!$U$20,L167),1)*IF(Upgrades!$T$21="Brown Dwarf",POWER(Upgrades!$U$21,M167),1))*$F$6+(((IF(H167=0,0,(Upgrades!$M$16+H167*Upgrades!$N$16)*POWER(Upgrades!$O$16,H167)))*(IF(Upgrades!$T$13="Roche Lobe Overflow",POWER(Upgrades!$U$13,E167),1)*IF(Upgrades!$T$14="Roche Lobe Overflow",POWER(Upgrades!$U$14,F167),1)*IF(Upgrades!$T$15="Roche Lobe Overflow",POWER(Upgrades!$U$15,G167),1)*IF(Upgrades!$T$17="Roche Lobe Overflow",POWER(Upgrades!$U$17,I167),1)*IF(Upgrades!$T$18="Roche Lobe Overflow",POWER(Upgrades!$U$18,J167),1)*IF(Upgrades!$T$19="Roche Lobe Overflow",POWER(Upgrades!$U$19,K167),1)*IF(Upgrades!$T$20="Roche Lobe Overflow",POWER(Upgrades!$U$20,L167),1)*IF(Upgrades!$T$21="Roche Lobe Overflow",POWER(Upgrades!$U$21,M167),1))*POWER(Upgrades!$R$13,E167)*POWER(Upgrades!$R$14,F167)*POWER(Upgrades!$R$15,G167)*POWER(Upgrades!$R$16,H167)*POWER(Upgrades!$R$17,I167)*POWER(Upgrades!$R$18,J167)*POWER(Upgrades!$R$19,K167)*POWER(Upgrades!$R$20,L167)*POWER(Upgrades!$R$21,M167)*$H$6)*O167)*0.10)/AO167,0)</f>
        <v/>
      </c>
      <c r="BD167" s="32">
        <f>MAX(IF(J167&gt;0,0,IFERROR(0.5*((IF(G167=0,0,(Upgrades!$J$15+G167*Upgrades!$K$15)*POWER(Upgrades!$L$15,G167)))*(IF(Upgrades!$T$13="Microlensing",POWER(Upgrades!$U$13,E167),1)*IF(Upgrades!$T$14="Microlensing",POWER(Upgrades!$U$14,F167),1)*IF(Upgrades!$T$16="Microlensing",POWER(Upgrades!$U$16,H167),1)*IF(Upgrades!$T$17="Microlensing",POWER(Upgrades!$U$17,I167),1)*IF(Upgrades!$T$18="Microlensing",POWER(Upgrades!$U$18,J167),1)*IF(Upgrades!$T$19="Microlensing",POWER(Upgrades!$U$19,K167),1)*IF(Upgrades!$T$20="Microlensing",POWER(Upgrades!$U$20,L167),1)*IF(Upgrades!$T$21="Microlensing",POWER(Upgrades!$U$21,M167),1))*(POWER(Upgrades!$Q$13,E167)*POWER(Upgrades!$Q$14,F167)*POWER(Upgrades!$Q$15,G167)*POWER(Upgrades!$Q$16,H167)*POWER(Upgrades!$Q$17,I167)*POWER(Upgrades!$Q$18,J167)*POWER(Upgrades!$Q$19,K167)*POWER(Upgrades!$Q$20,L167)*POWER(Upgrades!$Q$21,M167))*$G$6*(Parameters!$B$10/60*Parameters!$B$11+Q167))/Upgrades!$C$18,0)),IF(K167&gt;0,0,IFERROR(0.30*P167/Upgrades!$C$19,0)),IF(L167&gt;0,0,IFERROR(0.0001/Upgrades!$C$20,0)),IF(M167&gt;0,0,IFERROR((6.0*(POWER(Upgrades!$P$13,E167)*POWER(Upgrades!$P$14,F167)*POWER(Upgrades!$P$15,G167)*POWER(Upgrades!$P$16,H167)*POWER(Upgrades!$P$17,I167)*POWER(Upgrades!$P$18,J167)*POWER(Upgrades!$P$19,K167)*POWER(Upgrades!$P$20,L167)*POWER(Upgrades!$P$21,M167))*$F$6+0.20*O167*(Parameters!$B$10/60*Parameters!$B$11+Q167))/Upgrades!$C$21,0)),IF(AND(ISNUMBER(AK167),AK167&gt;(C167+T167)),AY167,0),IF(AND(ISNUMBER(AL167),AL167&gt;(C167+T167)),AZ167,0),IF(AND(ISNUMBER(AM167),AM167&gt;(C167+T167)),BA167,0),IF(AND(ISNUMBER(AN167),AN167&gt;(C167+T167)),BB167,0),IF(AND(ISNUMBER(AO167),AO167&gt;(C167+T167)),BC167,0))</f>
        <v/>
      </c>
      <c r="BE167" s="29">
        <f>IF(AT167=1,"transition",IF(MIN(IF(AND(J167=0,ISNUMBER(AP167),AP167&lt;=(C167+T167)),AP167,9E15),IF(AND(K167=0,ISNUMBER(AQ167),AQ167&lt;=(C167+T167)),AQ167,9E15),IF(AND(L167=0,ISNUMBER(AR167),AR167&lt;=(C167+T167)),AR167,9E15),IF(AND(M167=0,ISNUMBER(AS167),AS167&lt;=(C167+T167)),AS167,9E15))&lt;9E15,IF(AND(AND(J167=0,ISNUMBER(AP167),AP167&lt;=(C167+T167)),AP167=MIN(IF(AND(J167=0,ISNUMBER(AP167),AP167&lt;=(C167+T167)),AP167,9E15),IF(AND(K167=0,ISNUMBER(AQ167),AQ167&lt;=(C167+T167)),AQ167,9E15),IF(AND(L167=0,ISNUMBER(AR167),AR167&lt;=(C167+T167)),AR167,9E15),IF(AND(M167=0,ISNUMBER(AS167),AS167&lt;=(C167+T167)),AS167,9E15))),"BiP",IF(AND(AND(K167=0,ISNUMBER(AQ167),AQ167&lt;=(C167+T167)),AQ167=MIN(IF(AND(J167=0,ISNUMBER(AP167),AP167&lt;=(C167+T167)),AP167,9E15),IF(AND(K167=0,ISNUMBER(AQ167),AQ167&lt;=(C167+T167)),AQ167,9E15),IF(AND(L167=0,ISNUMBER(AR167),AR167&lt;=(C167+T167)),AR167,9E15),IF(AND(M167=0,ISNUMBER(AS167),AS167&lt;=(C167+T167)),AS167,9E15))),"PV",IF(AND(AND(L167=0,ISNUMBER(AR167),AR167&lt;=(C167+T167)),AR167=MIN(IF(AND(J167=0,ISNUMBER(AP167),AP167&lt;=(C167+T167)),AP167,9E15),IF(AND(K167=0,ISNUMBER(AQ167),AQ167&lt;=(C167+T167)),AQ167,9E15),IF(AND(L167=0,ISNUMBER(AR167),AR167&lt;=(C167+T167)),AR167,9E15),IF(AND(M167=0,ISNUMBER(AS167),AS167&lt;=(C167+T167)),AS167,9E15))),"OC","MG"))),IF(AX167=TRUE,"",IF(MAX(IF(AND(NOT(AND(AU167=1,AT167&lt;&gt;1)),ISNUMBER(AK167),AK167&lt;=(C167+T167)),AY167,0),IF(AND(NOT(AND(AU167=1,AT167&lt;&gt;1)),ISNUMBER(AL167),AL167&lt;=(C167+T167)),AZ167,0),IF(AND(NOT(AND(AU167=1,AT167&lt;&gt;1)),ISNUMBER(AM167),AM167&lt;=(C167+T167)),BA167,0),IF(AND(NOT(AND(AU167=1,AT167&lt;&gt;1)),ISNUMBER(AN167),AN167&lt;=(C167+T167)),BB167,0),IF(AND(ISNUMBER(AO167),AO167&lt;=(C167+T167)),BC167,0))&lt;=0,"",IF(AND(IF(AND(NOT(AND(AU167=1,AT167&lt;&gt;1)),ISNUMBER(AK167),AK167&lt;=(C167+T167)),AY167,0)&gt;0,IF(AND(NOT(AND(AU167=1,AT167&lt;&gt;1)),ISNUMBER(AK167),AK167&lt;=(C167+T167)),AY167,0)=MAX(IF(AND(NOT(AND(AU167=1,AT167&lt;&gt;1)),ISNUMBER(AK167),AK167&lt;=(C167+T167)),AY167,0),IF(AND(NOT(AND(AU167=1,AT167&lt;&gt;1)),ISNUMBER(AL167),AL167&lt;=(C167+T167)),AZ167,0),IF(AND(NOT(AND(AU167=1,AT167&lt;&gt;1)),ISNUMBER(AM167),AM167&lt;=(C167+T167)),BA167,0),IF(AND(NOT(AND(AU167=1,AT167&lt;&gt;1)),ISNUMBER(AN167),AN167&lt;=(C167+T167)),BB167,0),IF(AND(ISNUMBER(AO167),AO167&lt;=(C167+T167)),BC167,0))),"SK",IF(AND(IF(AND(NOT(AND(AU167=1,AT167&lt;&gt;1)),ISNUMBER(AL167),AL167&lt;=(C167+T167)),AZ167,0)&gt;0,IF(AND(NOT(AND(AU167=1,AT167&lt;&gt;1)),ISNUMBER(AL167),AL167&lt;=(C167+T167)),AZ167,0)=MAX(IF(AND(NOT(AND(AU167=1,AT167&lt;&gt;1)),ISNUMBER(AK167),AK167&lt;=(C167+T167)),AY167,0),IF(AND(NOT(AND(AU167=1,AT167&lt;&gt;1)),ISNUMBER(AL167),AL167&lt;=(C167+T167)),AZ167,0),IF(AND(NOT(AND(AU167=1,AT167&lt;&gt;1)),ISNUMBER(AM167),AM167&lt;=(C167+T167)),BA167,0),IF(AND(NOT(AND(AU167=1,AT167&lt;&gt;1)),ISNUMBER(AN167),AN167&lt;=(C167+T167)),BB167,0),IF(AND(ISNUMBER(AO167),AO167&lt;=(C167+T167)),BC167,0))),"LB",IF(AND(IF(AND(NOT(AND(AU167=1,AT167&lt;&gt;1)),ISNUMBER(AM167),AM167&lt;=(C167+T167)),BA167,0)&gt;0,IF(AND(NOT(AND(AU167=1,AT167&lt;&gt;1)),ISNUMBER(AM167),AM167&lt;=(C167+T167)),BA167,0)=MAX(IF(AND(NOT(AND(AU167=1,AT167&lt;&gt;1)),ISNUMBER(AK167),AK167&lt;=(C167+T167)),AY167,0),IF(AND(NOT(AND(AU167=1,AT167&lt;&gt;1)),ISNUMBER(AL167),AL167&lt;=(C167+T167)),AZ167,0),IF(AND(NOT(AND(AU167=1,AT167&lt;&gt;1)),ISNUMBER(AM167),AM167&lt;=(C167+T167)),BA167,0),IF(AND(NOT(AND(AU167=1,AT167&lt;&gt;1)),ISNUMBER(AN167),AN167&lt;=(C167+T167)),BB167,0),IF(AND(ISNUMBER(AO167),AO167&lt;=(C167+T167)),BC167,0))),"ML",IF(AND(IF(AND(NOT(AND(AU167=1,AT167&lt;&gt;1)),ISNUMBER(AN167),AN167&lt;=(C167+T167)),BB167,0)&gt;0,IF(AND(NOT(AND(AU167=1,AT167&lt;&gt;1)),ISNUMBER(AN167),AN167&lt;=(C167+T167)),BB167,0)=MAX(IF(AND(NOT(AND(AU167=1,AT167&lt;&gt;1)),ISNUMBER(AK167),AK167&lt;=(C167+T167)),AY167,0),IF(AND(NOT(AND(AU167=1,AT167&lt;&gt;1)),ISNUMBER(AL167),AL167&lt;=(C167+T167)),AZ167,0),IF(AND(NOT(AND(AU167=1,AT167&lt;&gt;1)),ISNUMBER(AM167),AM167&lt;=(C167+T167)),BA167,0),IF(AND(NOT(AND(AU167=1,AT167&lt;&gt;1)),ISNUMBER(AN167),AN167&lt;=(C167+T167)),BB167,0),IF(AND(ISNUMBER(AO167),AO167&lt;=(C167+T167)),BC167,0))),"RLO","BD"))))))))</f>
        <v/>
      </c>
    </row>
    <row r="168">
      <c r="A168" s="26" t="n">
        <v>157</v>
      </c>
      <c r="B168" s="27">
        <f>A168*10/60</f>
        <v/>
      </c>
      <c r="C168" s="22">
        <f>X167</f>
        <v/>
      </c>
      <c r="D168" s="27">
        <f>D167+W167</f>
        <v/>
      </c>
      <c r="E168" s="26">
        <f>E167+IF(U167="SK",1,0)</f>
        <v/>
      </c>
      <c r="F168" s="26">
        <f>F167+IF(U167="LB",1,0)</f>
        <v/>
      </c>
      <c r="G168" s="26">
        <f>G167+IF(U167="ML",1,0)</f>
        <v/>
      </c>
      <c r="H168" s="26">
        <f>H167+IF(U167="RLO",1,0)</f>
        <v/>
      </c>
      <c r="I168" s="26">
        <f>I167+IF(U167="BD",1,0)</f>
        <v/>
      </c>
      <c r="J168" s="26">
        <f>MAX(J167,IF(U167="BiP",1,0))</f>
        <v/>
      </c>
      <c r="K168" s="26">
        <f>MAX(K167,IF(U167="PV",1,0))</f>
        <v/>
      </c>
      <c r="L168" s="26">
        <f>MAX(L167,IF(U167="OC",1,0))</f>
        <v/>
      </c>
      <c r="M168" s="26">
        <f>MAX(M167,IF(U167="MG",1,0))</f>
        <v/>
      </c>
      <c r="N168" s="26">
        <f>MAX(N167,IF(U167="transition",1,0))</f>
        <v/>
      </c>
      <c r="O168" s="28">
        <f>(Parameters!$B$9+(IF(E168=0,0,(Upgrades!$J$13+E168*Upgrades!$K$13)*POWER(Upgrades!$L$13,E168)))*(IF(Upgrades!$T$14="Stellar Kinematics",POWER(Upgrades!$U$14,F168),1)*IF(Upgrades!$T$15="Stellar Kinematics",POWER(Upgrades!$U$15,G168),1)*IF(Upgrades!$T$16="Stellar Kinematics",POWER(Upgrades!$U$16,H168),1)*IF(Upgrades!$T$17="Stellar Kinematics",POWER(Upgrades!$U$17,I168),1)*IF(Upgrades!$T$18="Stellar Kinematics",POWER(Upgrades!$U$18,J168),1)*IF(Upgrades!$T$19="Stellar Kinematics",POWER(Upgrades!$U$19,K168),1)*IF(Upgrades!$T$20="Stellar Kinematics",POWER(Upgrades!$U$20,L168),1)*IF(Upgrades!$T$21="Stellar Kinematics",POWER(Upgrades!$U$21,M168),1))+(IF(F168=0,0,(Upgrades!$J$14+F168*Upgrades!$K$14)*POWER(Upgrades!$L$14,F168)))*(IF(Upgrades!$T$13="Local Bubble",POWER(Upgrades!$U$13,E168),1)*IF(Upgrades!$T$15="Local Bubble",POWER(Upgrades!$U$15,G168),1)*IF(Upgrades!$T$16="Local Bubble",POWER(Upgrades!$U$16,H168),1)*IF(Upgrades!$T$17="Local Bubble",POWER(Upgrades!$U$17,I168),1)*IF(Upgrades!$T$18="Local Bubble",POWER(Upgrades!$U$18,J168),1)*IF(Upgrades!$T$19="Local Bubble",POWER(Upgrades!$U$19,K168),1)*IF(Upgrades!$T$20="Local Bubble",POWER(Upgrades!$U$20,L168),1)*IF(Upgrades!$T$21="Local Bubble",POWER(Upgrades!$U$21,M168),1))+(IF(G168=0,0,(Upgrades!$J$15+G168*Upgrades!$K$15)*POWER(Upgrades!$L$15,G168)))*(IF(Upgrades!$T$13="Microlensing",POWER(Upgrades!$U$13,E168),1)*IF(Upgrades!$T$14="Microlensing",POWER(Upgrades!$U$14,F168),1)*IF(Upgrades!$T$16="Microlensing",POWER(Upgrades!$U$16,H168),1)*IF(Upgrades!$T$17="Microlensing",POWER(Upgrades!$U$17,I168),1)*IF(Upgrades!$T$18="Microlensing",POWER(Upgrades!$U$18,J168),1)*IF(Upgrades!$T$19="Microlensing",POWER(Upgrades!$U$19,K168),1)*IF(Upgrades!$T$20="Microlensing",POWER(Upgrades!$U$20,L168),1)*IF(Upgrades!$T$21="Microlensing",POWER(Upgrades!$U$21,M168),1))+(IF(H168=0,0,(Upgrades!$J$16+H168*Upgrades!$K$16)*POWER(Upgrades!$L$16,H168)))*(IF(Upgrades!$T$13="Roche Lobe Overflow",POWER(Upgrades!$U$13,E168),1)*IF(Upgrades!$T$14="Roche Lobe Overflow",POWER(Upgrades!$U$14,F168),1)*IF(Upgrades!$T$15="Roche Lobe Overflow",POWER(Upgrades!$U$15,G168),1)*IF(Upgrades!$T$17="Roche Lobe Overflow",POWER(Upgrades!$U$17,I168),1)*IF(Upgrades!$T$18="Roche Lobe Overflow",POWER(Upgrades!$U$18,J168),1)*IF(Upgrades!$T$19="Roche Lobe Overflow",POWER(Upgrades!$U$19,K168),1)*IF(Upgrades!$T$20="Roche Lobe Overflow",POWER(Upgrades!$U$20,L168),1)*IF(Upgrades!$T$21="Roche Lobe Overflow",POWER(Upgrades!$U$21,M168),1))+(IF(I168=0,0,(Upgrades!$J$17+I168*Upgrades!$K$17)*POWER(Upgrades!$L$17,I168)))*(IF(Upgrades!$T$13="Brown Dwarf",POWER(Upgrades!$U$13,E168),1)*IF(Upgrades!$T$14="Brown Dwarf",POWER(Upgrades!$U$14,F168),1)*IF(Upgrades!$T$15="Brown Dwarf",POWER(Upgrades!$U$15,G168),1)*IF(Upgrades!$T$16="Brown Dwarf",POWER(Upgrades!$U$16,H168),1)*IF(Upgrades!$T$18="Brown Dwarf",POWER(Upgrades!$U$18,J168),1)*IF(Upgrades!$T$19="Brown Dwarf",POWER(Upgrades!$U$19,K168),1)*IF(Upgrades!$T$20="Brown Dwarf",POWER(Upgrades!$U$20,L168),1)*IF(Upgrades!$T$21="Brown Dwarf",POWER(Upgrades!$U$21,M168),1))+(IF(J168=0,0,(Upgrades!$J$18+J168*Upgrades!$K$18)*POWER(Upgrades!$L$18,J168)))*(IF(Upgrades!$T$13="Binary Partner",POWER(Upgrades!$U$13,E168),1)*IF(Upgrades!$T$14="Binary Partner",POWER(Upgrades!$U$14,F168),1)*IF(Upgrades!$T$15="Binary Partner",POWER(Upgrades!$U$15,G168),1)*IF(Upgrades!$T$16="Binary Partner",POWER(Upgrades!$U$16,H168),1)*IF(Upgrades!$T$17="Binary Partner",POWER(Upgrades!$U$17,I168),1)*IF(Upgrades!$T$19="Binary Partner",POWER(Upgrades!$U$19,K168),1)*IF(Upgrades!$T$20="Binary Partner",POWER(Upgrades!$U$20,L168),1)*IF(Upgrades!$T$21="Binary Partner",POWER(Upgrades!$U$21,M168),1))+(IF(K168=0,0,(Upgrades!$J$19+K168*Upgrades!$K$19)*POWER(Upgrades!$L$19,K168)))*(IF(Upgrades!$T$13="Peculiar Velocity",POWER(Upgrades!$U$13,E168),1)*IF(Upgrades!$T$14="Peculiar Velocity",POWER(Upgrades!$U$14,F168),1)*IF(Upgrades!$T$15="Peculiar Velocity",POWER(Upgrades!$U$15,G168),1)*IF(Upgrades!$T$16="Peculiar Velocity",POWER(Upgrades!$U$16,H168),1)*IF(Upgrades!$T$17="Peculiar Velocity",POWER(Upgrades!$U$17,I168),1)*IF(Upgrades!$T$18="Peculiar Velocity",POWER(Upgrades!$U$18,J168),1)*IF(Upgrades!$T$20="Peculiar Velocity",POWER(Upgrades!$U$20,L168),1)*IF(Upgrades!$T$21="Peculiar Velocity",POWER(Upgrades!$U$21,M168),1))+(IF(L168=0,0,(Upgrades!$J$20+L168*Upgrades!$K$20)*POWER(Upgrades!$L$20,L168)))*(IF(Upgrades!$T$13="Open Cluster",POWER(Upgrades!$U$13,E168),1)*IF(Upgrades!$T$14="Open Cluster",POWER(Upgrades!$U$14,F168),1)*IF(Upgrades!$T$15="Open Cluster",POWER(Upgrades!$U$15,G168),1)*IF(Upgrades!$T$16="Open Cluster",POWER(Upgrades!$U$16,H168),1)*IF(Upgrades!$T$17="Open Cluster",POWER(Upgrades!$U$17,I168),1)*IF(Upgrades!$T$18="Open Cluster",POWER(Upgrades!$U$18,J168),1)*IF(Upgrades!$T$19="Open Cluster",POWER(Upgrades!$U$19,K168),1)*IF(Upgrades!$T$21="Open Cluster",POWER(Upgrades!$U$21,M168),1))+(IF(M168=0,0,(Upgrades!$J$21+M168*Upgrades!$K$21)*POWER(Upgrades!$L$21,M168)))*(IF(Upgrades!$T$13="Moving Group",POWER(Upgrades!$U$13,E168),1)*IF(Upgrades!$T$14="Moving Group",POWER(Upgrades!$U$14,F168),1)*IF(Upgrades!$T$15="Moving Group",POWER(Upgrades!$U$15,G168),1)*IF(Upgrades!$T$16="Moving Group",POWER(Upgrades!$U$16,H168),1)*IF(Upgrades!$T$17="Moving Group",POWER(Upgrades!$U$17,I168),1)*IF(Upgrades!$T$18="Moving Group",POWER(Upgrades!$U$18,J168),1)*IF(Upgrades!$T$19="Moving Group",POWER(Upgrades!$U$19,K168),1)*IF(Upgrades!$T$20="Moving Group",POWER(Upgrades!$U$20,L168),1)))*POWER(Upgrades!$Q$13,E168)*POWER(Upgrades!$Q$14,F168)*POWER(Upgrades!$Q$15,G168)*POWER(Upgrades!$Q$16,H168)*POWER(Upgrades!$Q$17,I168)*POWER(Upgrades!$Q$18,J168)*POWER(Upgrades!$Q$19,K168)*POWER(Upgrades!$Q$20,L168)*POWER(Upgrades!$Q$21,M168)*$G$6+$D$6</f>
        <v/>
      </c>
      <c r="P168" s="28">
        <f>((IF(E168=0,0,(Upgrades!$G$13+E168*Upgrades!$H$13)*POWER(Upgrades!$I$13,E168)))*(IF(Upgrades!$T$14="Stellar Kinematics",POWER(Upgrades!$U$14,F168),1)*IF(Upgrades!$T$15="Stellar Kinematics",POWER(Upgrades!$U$15,G168),1)*IF(Upgrades!$T$16="Stellar Kinematics",POWER(Upgrades!$U$16,H168),1)*IF(Upgrades!$T$17="Stellar Kinematics",POWER(Upgrades!$U$17,I168),1)*IF(Upgrades!$T$18="Stellar Kinematics",POWER(Upgrades!$U$18,J168),1)*IF(Upgrades!$T$19="Stellar Kinematics",POWER(Upgrades!$U$19,K168),1)*IF(Upgrades!$T$20="Stellar Kinematics",POWER(Upgrades!$U$20,L168),1)*IF(Upgrades!$T$21="Stellar Kinematics",POWER(Upgrades!$U$21,M168),1))+(IF(F168=0,0,(Upgrades!$G$14+F168*Upgrades!$H$14)*POWER(Upgrades!$I$14,F168)))*(IF(Upgrades!$T$13="Local Bubble",POWER(Upgrades!$U$13,E168),1)*IF(Upgrades!$T$15="Local Bubble",POWER(Upgrades!$U$15,G168),1)*IF(Upgrades!$T$16="Local Bubble",POWER(Upgrades!$U$16,H168),1)*IF(Upgrades!$T$17="Local Bubble",POWER(Upgrades!$U$17,I168),1)*IF(Upgrades!$T$18="Local Bubble",POWER(Upgrades!$U$18,J168),1)*IF(Upgrades!$T$19="Local Bubble",POWER(Upgrades!$U$19,K168),1)*IF(Upgrades!$T$20="Local Bubble",POWER(Upgrades!$U$20,L168),1)*IF(Upgrades!$T$21="Local Bubble",POWER(Upgrades!$U$21,M168),1))+(IF(G168=0,0,(Upgrades!$G$15+G168*Upgrades!$H$15)*POWER(Upgrades!$I$15,G168)))*(IF(Upgrades!$T$13="Microlensing",POWER(Upgrades!$U$13,E168),1)*IF(Upgrades!$T$14="Microlensing",POWER(Upgrades!$U$14,F168),1)*IF(Upgrades!$T$16="Microlensing",POWER(Upgrades!$U$16,H168),1)*IF(Upgrades!$T$17="Microlensing",POWER(Upgrades!$U$17,I168),1)*IF(Upgrades!$T$18="Microlensing",POWER(Upgrades!$U$18,J168),1)*IF(Upgrades!$T$19="Microlensing",POWER(Upgrades!$U$19,K168),1)*IF(Upgrades!$T$20="Microlensing",POWER(Upgrades!$U$20,L168),1)*IF(Upgrades!$T$21="Microlensing",POWER(Upgrades!$U$21,M168),1))+(IF(H168=0,0,(Upgrades!$G$16+H168*Upgrades!$H$16)*POWER(Upgrades!$I$16,H168)))*(IF(Upgrades!$T$13="Roche Lobe Overflow",POWER(Upgrades!$U$13,E168),1)*IF(Upgrades!$T$14="Roche Lobe Overflow",POWER(Upgrades!$U$14,F168),1)*IF(Upgrades!$T$15="Roche Lobe Overflow",POWER(Upgrades!$U$15,G168),1)*IF(Upgrades!$T$17="Roche Lobe Overflow",POWER(Upgrades!$U$17,I168),1)*IF(Upgrades!$T$18="Roche Lobe Overflow",POWER(Upgrades!$U$18,J168),1)*IF(Upgrades!$T$19="Roche Lobe Overflow",POWER(Upgrades!$U$19,K168),1)*IF(Upgrades!$T$20="Roche Lobe Overflow",POWER(Upgrades!$U$20,L168),1)*IF(Upgrades!$T$21="Roche Lobe Overflow",POWER(Upgrades!$U$21,M168),1))+(IF(I168=0,0,(Upgrades!$G$17+I168*Upgrades!$H$17)*POWER(Upgrades!$I$17,I168)))*(IF(Upgrades!$T$13="Brown Dwarf",POWER(Upgrades!$U$13,E168),1)*IF(Upgrades!$T$14="Brown Dwarf",POWER(Upgrades!$U$14,F168),1)*IF(Upgrades!$T$15="Brown Dwarf",POWER(Upgrades!$U$15,G168),1)*IF(Upgrades!$T$16="Brown Dwarf",POWER(Upgrades!$U$16,H168),1)*IF(Upgrades!$T$18="Brown Dwarf",POWER(Upgrades!$U$18,J168),1)*IF(Upgrades!$T$19="Brown Dwarf",POWER(Upgrades!$U$19,K168),1)*IF(Upgrades!$T$20="Brown Dwarf",POWER(Upgrades!$U$20,L168),1)*IF(Upgrades!$T$21="Brown Dwarf",POWER(Upgrades!$U$21,M168),1))+(IF(J168=0,0,(Upgrades!$G$18+J168*Upgrades!$H$18)*POWER(Upgrades!$I$18,J168)))*(IF(Upgrades!$T$13="Binary Partner",POWER(Upgrades!$U$13,E168),1)*IF(Upgrades!$T$14="Binary Partner",POWER(Upgrades!$U$14,F168),1)*IF(Upgrades!$T$15="Binary Partner",POWER(Upgrades!$U$15,G168),1)*IF(Upgrades!$T$16="Binary Partner",POWER(Upgrades!$U$16,H168),1)*IF(Upgrades!$T$17="Binary Partner",POWER(Upgrades!$U$17,I168),1)*IF(Upgrades!$T$19="Binary Partner",POWER(Upgrades!$U$19,K168),1)*IF(Upgrades!$T$20="Binary Partner",POWER(Upgrades!$U$20,L168),1)*IF(Upgrades!$T$21="Binary Partner",POWER(Upgrades!$U$21,M168),1))+(IF(K168=0,0,(Upgrades!$G$19+K168*Upgrades!$H$19)*POWER(Upgrades!$I$19,K168)))*(IF(Upgrades!$T$13="Peculiar Velocity",POWER(Upgrades!$U$13,E168),1)*IF(Upgrades!$T$14="Peculiar Velocity",POWER(Upgrades!$U$14,F168),1)*IF(Upgrades!$T$15="Peculiar Velocity",POWER(Upgrades!$U$15,G168),1)*IF(Upgrades!$T$16="Peculiar Velocity",POWER(Upgrades!$U$16,H168),1)*IF(Upgrades!$T$17="Peculiar Velocity",POWER(Upgrades!$U$17,I168),1)*IF(Upgrades!$T$18="Peculiar Velocity",POWER(Upgrades!$U$18,J168),1)*IF(Upgrades!$T$20="Peculiar Velocity",POWER(Upgrades!$U$20,L168),1)*IF(Upgrades!$T$21="Peculiar Velocity",POWER(Upgrades!$U$21,M168),1))+(IF(L168=0,0,(Upgrades!$G$20+L168*Upgrades!$H$20)*POWER(Upgrades!$I$20,L168)))*(IF(Upgrades!$T$13="Open Cluster",POWER(Upgrades!$U$13,E168),1)*IF(Upgrades!$T$14="Open Cluster",POWER(Upgrades!$U$14,F168),1)*IF(Upgrades!$T$15="Open Cluster",POWER(Upgrades!$U$15,G168),1)*IF(Upgrades!$T$16="Open Cluster",POWER(Upgrades!$U$16,H168),1)*IF(Upgrades!$T$17="Open Cluster",POWER(Upgrades!$U$17,I168),1)*IF(Upgrades!$T$18="Open Cluster",POWER(Upgrades!$U$18,J168),1)*IF(Upgrades!$T$19="Open Cluster",POWER(Upgrades!$U$19,K168),1)*IF(Upgrades!$T$21="Open Cluster",POWER(Upgrades!$U$21,M168),1))+(IF(M168=0,0,(Upgrades!$G$21+M168*Upgrades!$H$21)*POWER(Upgrades!$I$21,M168)))*(IF(Upgrades!$T$13="Moving Group",POWER(Upgrades!$U$13,E168),1)*IF(Upgrades!$T$14="Moving Group",POWER(Upgrades!$U$14,F168),1)*IF(Upgrades!$T$15="Moving Group",POWER(Upgrades!$U$15,G168),1)*IF(Upgrades!$T$16="Moving Group",POWER(Upgrades!$U$16,H168),1)*IF(Upgrades!$T$17="Moving Group",POWER(Upgrades!$U$17,I168),1)*IF(Upgrades!$T$18="Moving Group",POWER(Upgrades!$U$18,J168),1)*IF(Upgrades!$T$19="Moving Group",POWER(Upgrades!$U$19,K168),1)*IF(Upgrades!$T$20="Moving Group",POWER(Upgrades!$U$20,L168),1)))*POWER(Upgrades!$P$13,E168)*POWER(Upgrades!$P$14,F168)*POWER(Upgrades!$P$15,G168)*POWER(Upgrades!$P$16,H168)*POWER(Upgrades!$P$17,I168)*POWER(Upgrades!$P$18,J168)*POWER(Upgrades!$P$19,K168)*POWER(Upgrades!$P$20,L168)*POWER(Upgrades!$P$21,M168)*$F$6+$C$6</f>
        <v/>
      </c>
      <c r="Q168" s="28">
        <f>((IF(E168=0,0,(Upgrades!$M$13+E168*Upgrades!$N$13)*POWER(Upgrades!$O$13,E168)))*(IF(Upgrades!$T$14="Stellar Kinematics",POWER(Upgrades!$U$14,F168),1)*IF(Upgrades!$T$15="Stellar Kinematics",POWER(Upgrades!$U$15,G168),1)*IF(Upgrades!$T$16="Stellar Kinematics",POWER(Upgrades!$U$16,H168),1)*IF(Upgrades!$T$17="Stellar Kinematics",POWER(Upgrades!$U$17,I168),1)*IF(Upgrades!$T$18="Stellar Kinematics",POWER(Upgrades!$U$18,J168),1)*IF(Upgrades!$T$19="Stellar Kinematics",POWER(Upgrades!$U$19,K168),1)*IF(Upgrades!$T$20="Stellar Kinematics",POWER(Upgrades!$U$20,L168),1)*IF(Upgrades!$T$21="Stellar Kinematics",POWER(Upgrades!$U$21,M168),1))+(IF(F168=0,0,(Upgrades!$M$14+F168*Upgrades!$N$14)*POWER(Upgrades!$O$14,F168)))*(IF(Upgrades!$T$13="Local Bubble",POWER(Upgrades!$U$13,E168),1)*IF(Upgrades!$T$15="Local Bubble",POWER(Upgrades!$U$15,G168),1)*IF(Upgrades!$T$16="Local Bubble",POWER(Upgrades!$U$16,H168),1)*IF(Upgrades!$T$17="Local Bubble",POWER(Upgrades!$U$17,I168),1)*IF(Upgrades!$T$18="Local Bubble",POWER(Upgrades!$U$18,J168),1)*IF(Upgrades!$T$19="Local Bubble",POWER(Upgrades!$U$19,K168),1)*IF(Upgrades!$T$20="Local Bubble",POWER(Upgrades!$U$20,L168),1)*IF(Upgrades!$T$21="Local Bubble",POWER(Upgrades!$U$21,M168),1))+(IF(G168=0,0,(Upgrades!$M$15+G168*Upgrades!$N$15)*POWER(Upgrades!$O$15,G168)))*(IF(Upgrades!$T$13="Microlensing",POWER(Upgrades!$U$13,E168),1)*IF(Upgrades!$T$14="Microlensing",POWER(Upgrades!$U$14,F168),1)*IF(Upgrades!$T$16="Microlensing",POWER(Upgrades!$U$16,H168),1)*IF(Upgrades!$T$17="Microlensing",POWER(Upgrades!$U$17,I168),1)*IF(Upgrades!$T$18="Microlensing",POWER(Upgrades!$U$18,J168),1)*IF(Upgrades!$T$19="Microlensing",POWER(Upgrades!$U$19,K168),1)*IF(Upgrades!$T$20="Microlensing",POWER(Upgrades!$U$20,L168),1)*IF(Upgrades!$T$21="Microlensing",POWER(Upgrades!$U$21,M168),1))+(IF(H168=0,0,(Upgrades!$M$16+H168*Upgrades!$N$16)*POWER(Upgrades!$O$16,H168)))*(IF(Upgrades!$T$13="Roche Lobe Overflow",POWER(Upgrades!$U$13,E168),1)*IF(Upgrades!$T$14="Roche Lobe Overflow",POWER(Upgrades!$U$14,F168),1)*IF(Upgrades!$T$15="Roche Lobe Overflow",POWER(Upgrades!$U$15,G168),1)*IF(Upgrades!$T$17="Roche Lobe Overflow",POWER(Upgrades!$U$17,I168),1)*IF(Upgrades!$T$18="Roche Lobe Overflow",POWER(Upgrades!$U$18,J168),1)*IF(Upgrades!$T$19="Roche Lobe Overflow",POWER(Upgrades!$U$19,K168),1)*IF(Upgrades!$T$20="Roche Lobe Overflow",POWER(Upgrades!$U$20,L168),1)*IF(Upgrades!$T$21="Roche Lobe Overflow",POWER(Upgrades!$U$21,M168),1))+(IF(I168=0,0,(Upgrades!$M$17+I168*Upgrades!$N$17)*POWER(Upgrades!$O$17,I168)))*(IF(Upgrades!$T$13="Brown Dwarf",POWER(Upgrades!$U$13,E168),1)*IF(Upgrades!$T$14="Brown Dwarf",POWER(Upgrades!$U$14,F168),1)*IF(Upgrades!$T$15="Brown Dwarf",POWER(Upgrades!$U$15,G168),1)*IF(Upgrades!$T$16="Brown Dwarf",POWER(Upgrades!$U$16,H168),1)*IF(Upgrades!$T$18="Brown Dwarf",POWER(Upgrades!$U$18,J168),1)*IF(Upgrades!$T$19="Brown Dwarf",POWER(Upgrades!$U$19,K168),1)*IF(Upgrades!$T$20="Brown Dwarf",POWER(Upgrades!$U$20,L168),1)*IF(Upgrades!$T$21="Brown Dwarf",POWER(Upgrades!$U$21,M168),1))+(IF(J168=0,0,(Upgrades!$M$18+J168*Upgrades!$N$18)*POWER(Upgrades!$O$18,J168)))*(IF(Upgrades!$T$13="Binary Partner",POWER(Upgrades!$U$13,E168),1)*IF(Upgrades!$T$14="Binary Partner",POWER(Upgrades!$U$14,F168),1)*IF(Upgrades!$T$15="Binary Partner",POWER(Upgrades!$U$15,G168),1)*IF(Upgrades!$T$16="Binary Partner",POWER(Upgrades!$U$16,H168),1)*IF(Upgrades!$T$17="Binary Partner",POWER(Upgrades!$U$17,I168),1)*IF(Upgrades!$T$19="Binary Partner",POWER(Upgrades!$U$19,K168),1)*IF(Upgrades!$T$20="Binary Partner",POWER(Upgrades!$U$20,L168),1)*IF(Upgrades!$T$21="Binary Partner",POWER(Upgrades!$U$21,M168),1))+(IF(K168=0,0,(Upgrades!$M$19+K168*Upgrades!$N$19)*POWER(Upgrades!$O$19,K168)))*(IF(Upgrades!$T$13="Peculiar Velocity",POWER(Upgrades!$U$13,E168),1)*IF(Upgrades!$T$14="Peculiar Velocity",POWER(Upgrades!$U$14,F168),1)*IF(Upgrades!$T$15="Peculiar Velocity",POWER(Upgrades!$U$15,G168),1)*IF(Upgrades!$T$16="Peculiar Velocity",POWER(Upgrades!$U$16,H168),1)*IF(Upgrades!$T$17="Peculiar Velocity",POWER(Upgrades!$U$17,I168),1)*IF(Upgrades!$T$18="Peculiar Velocity",POWER(Upgrades!$U$18,J168),1)*IF(Upgrades!$T$20="Peculiar Velocity",POWER(Upgrades!$U$20,L168),1)*IF(Upgrades!$T$21="Peculiar Velocity",POWER(Upgrades!$U$21,M168),1))+(IF(L168=0,0,(Upgrades!$M$20+L168*Upgrades!$N$20)*POWER(Upgrades!$O$20,L168)))*(IF(Upgrades!$T$13="Open Cluster",POWER(Upgrades!$U$13,E168),1)*IF(Upgrades!$T$14="Open Cluster",POWER(Upgrades!$U$14,F168),1)*IF(Upgrades!$T$15="Open Cluster",POWER(Upgrades!$U$15,G168),1)*IF(Upgrades!$T$16="Open Cluster",POWER(Upgrades!$U$16,H168),1)*IF(Upgrades!$T$17="Open Cluster",POWER(Upgrades!$U$17,I168),1)*IF(Upgrades!$T$18="Open Cluster",POWER(Upgrades!$U$18,J168),1)*IF(Upgrades!$T$19="Open Cluster",POWER(Upgrades!$U$19,K168),1)*IF(Upgrades!$T$21="Open Cluster",POWER(Upgrades!$U$21,M168),1))+(IF(M168=0,0,(Upgrades!$M$21+M168*Upgrades!$N$21)*POWER(Upgrades!$O$21,M168)))*(IF(Upgrades!$T$13="Moving Group",POWER(Upgrades!$U$13,E168),1)*IF(Upgrades!$T$14="Moving Group",POWER(Upgrades!$U$14,F168),1)*IF(Upgrades!$T$15="Moving Group",POWER(Upgrades!$U$15,G168),1)*IF(Upgrades!$T$16="Moving Group",POWER(Upgrades!$U$16,H168),1)*IF(Upgrades!$T$17="Moving Group",POWER(Upgrades!$U$17,I168),1)*IF(Upgrades!$T$18="Moving Group",POWER(Upgrades!$U$18,J168),1)*IF(Upgrades!$T$19="Moving Group",POWER(Upgrades!$U$19,K168),1)*IF(Upgrades!$T$20="Moving Group",POWER(Upgrades!$U$20,L168),1)))*POWER(Upgrades!$R$13,E168)*POWER(Upgrades!$R$14,F168)*POWER(Upgrades!$R$15,G168)*POWER(Upgrades!$R$16,H168)*POWER(Upgrades!$R$17,I168)*POWER(Upgrades!$R$18,J168)*POWER(Upgrades!$R$19,K168)*POWER(Upgrades!$R$20,L168)*POWER(Upgrades!$R$21,M168)*$H$6+$E$6</f>
        <v/>
      </c>
      <c r="R168" s="27">
        <f>IF(N168=1,0,O168*Parameters!$B$10/60*Parameters!$B$11*10)</f>
        <v/>
      </c>
      <c r="S168" s="27">
        <f>IF(N168=1,0,Q168*O168*10)</f>
        <v/>
      </c>
      <c r="T168" s="27">
        <f>IF(N168=1,0,R168+S168+P168*10)</f>
        <v/>
      </c>
      <c r="U168" s="33">
        <f>BE168</f>
        <v/>
      </c>
      <c r="V168" s="22">
        <f>IF(U168="",0,IF(U168="transition",0,IF(U168="SK",AK168,IF(U168="LB",AL168,IF(U168="ML",AM168,IF(U168="RLO",AN168,IF(U168="BD",AO168,IF(U168="BiP",AP168,IF(U168="PV",AQ168,IF(U168="OC",AR168,IF(U168="MG",AS168,0))))))))))</f>
        <v/>
      </c>
      <c r="W168" s="27">
        <f>IF(U168="BiP",Upgrades!$F$18,IF(U168="PV",Upgrades!$F$19,IF(U168="OC",Upgrades!$F$20,IF(U168="MG",Upgrades!$F$21,IF(U168="transition",-Parameters!$B$18*Parameters!$B$19,0)))))</f>
        <v/>
      </c>
      <c r="X168" s="22">
        <f>C168+T168-V168</f>
        <v/>
      </c>
      <c r="Y168" s="30">
        <f>O168*Parameters!$B$10/60*Parameters!$B$11+Q168*O168+P168</f>
        <v/>
      </c>
      <c r="Z168" s="34">
        <f>IF(U168="transition","→ Tier 3 (Galactic Arm)",IF(U168="MG","Moving Group — pocket drifts together",IF(U168="OC","Open Cluster acquired",IF(U168="PV","Peculiar Velocity — passive multiplier active",IF(U168="BiP","Binary Partner — pair bond formed",IF(AND(AU168=1,N168=0,AT168&lt;&gt;1),"Cohesion ready (waiting on completionists)","")))))) </f>
        <v/>
      </c>
      <c r="AA168" s="27">
        <f>(IF(E168=0,0,(Upgrades!$G$13+E168*Upgrades!$H$13)*POWER(Upgrades!$I$13,E168)))*(IF(Upgrades!$T$14="Stellar Kinematics",POWER(Upgrades!$U$14,F168),1)*IF(Upgrades!$T$15="Stellar Kinematics",POWER(Upgrades!$U$15,G168),1)*IF(Upgrades!$T$16="Stellar Kinematics",POWER(Upgrades!$U$16,H168),1)*IF(Upgrades!$T$17="Stellar Kinematics",POWER(Upgrades!$U$17,I168),1)*IF(Upgrades!$T$18="Stellar Kinematics",POWER(Upgrades!$U$18,J168),1)*IF(Upgrades!$T$19="Stellar Kinematics",POWER(Upgrades!$U$19,K168),1)*IF(Upgrades!$T$20="Stellar Kinematics",POWER(Upgrades!$U$20,L168),1)*IF(Upgrades!$T$21="Stellar Kinematics",POWER(Upgrades!$U$21,M168),1))*POWER(Upgrades!$P$13,E168)*POWER(Upgrades!$P$14,F168)*POWER(Upgrades!$P$15,G168)*POWER(Upgrades!$P$16,H168)*POWER(Upgrades!$P$17,I168)*POWER(Upgrades!$P$18,J168)*POWER(Upgrades!$P$19,K168)*POWER(Upgrades!$P$20,L168)*POWER(Upgrades!$P$21,M168)*$F$6*60</f>
        <v/>
      </c>
      <c r="AB168" s="27">
        <f>(IF(F168=0,0,(Upgrades!$G$14+F168*Upgrades!$H$14)*POWER(Upgrades!$I$14,F168)))*(IF(Upgrades!$T$13="Local Bubble",POWER(Upgrades!$U$13,E168),1)*IF(Upgrades!$T$15="Local Bubble",POWER(Upgrades!$U$15,G168),1)*IF(Upgrades!$T$16="Local Bubble",POWER(Upgrades!$U$16,H168),1)*IF(Upgrades!$T$17="Local Bubble",POWER(Upgrades!$U$17,I168),1)*IF(Upgrades!$T$18="Local Bubble",POWER(Upgrades!$U$18,J168),1)*IF(Upgrades!$T$19="Local Bubble",POWER(Upgrades!$U$19,K168),1)*IF(Upgrades!$T$20="Local Bubble",POWER(Upgrades!$U$20,L168),1)*IF(Upgrades!$T$21="Local Bubble",POWER(Upgrades!$U$21,M168),1))*POWER(Upgrades!$P$13,E168)*POWER(Upgrades!$P$14,F168)*POWER(Upgrades!$P$15,G168)*POWER(Upgrades!$P$16,H168)*POWER(Upgrades!$P$17,I168)*POWER(Upgrades!$P$18,J168)*POWER(Upgrades!$P$19,K168)*POWER(Upgrades!$P$20,L168)*POWER(Upgrades!$P$21,M168)*$F$6*60</f>
        <v/>
      </c>
      <c r="AC168" s="27">
        <f>(IF(G168=0,0,(Upgrades!$J$15+G168*Upgrades!$K$15)*POWER(Upgrades!$L$15,G168)))*(IF(Upgrades!$T$13="Microlensing",POWER(Upgrades!$U$13,E168),1)*IF(Upgrades!$T$14="Microlensing",POWER(Upgrades!$U$14,F168),1)*IF(Upgrades!$T$16="Microlensing",POWER(Upgrades!$U$16,H168),1)*IF(Upgrades!$T$17="Microlensing",POWER(Upgrades!$U$17,I168),1)*IF(Upgrades!$T$18="Microlensing",POWER(Upgrades!$U$18,J168),1)*IF(Upgrades!$T$19="Microlensing",POWER(Upgrades!$U$19,K168),1)*IF(Upgrades!$T$20="Microlensing",POWER(Upgrades!$U$20,L168),1)*IF(Upgrades!$T$21="Microlensing",POWER(Upgrades!$U$21,M168),1))*POWER(Upgrades!$Q$13,E168)*POWER(Upgrades!$Q$14,F168)*POWER(Upgrades!$Q$15,G168)*POWER(Upgrades!$Q$16,H168)*POWER(Upgrades!$Q$17,I168)*POWER(Upgrades!$Q$18,J168)*POWER(Upgrades!$Q$19,K168)*POWER(Upgrades!$Q$20,L168)*POWER(Upgrades!$Q$21,M168)*$G$6*(Parameters!$B$10*Parameters!$B$11+Q168*60)</f>
        <v/>
      </c>
      <c r="AD168" s="27">
        <f>(IF(H168=0,0,(Upgrades!$M$16+H168*Upgrades!$N$16)*POWER(Upgrades!$O$16,H168)))*(IF(Upgrades!$T$13="Roche Lobe Overflow",POWER(Upgrades!$U$13,E168),1)*IF(Upgrades!$T$14="Roche Lobe Overflow",POWER(Upgrades!$U$14,F168),1)*IF(Upgrades!$T$15="Roche Lobe Overflow",POWER(Upgrades!$U$15,G168),1)*IF(Upgrades!$T$17="Roche Lobe Overflow",POWER(Upgrades!$U$17,I168),1)*IF(Upgrades!$T$18="Roche Lobe Overflow",POWER(Upgrades!$U$18,J168),1)*IF(Upgrades!$T$19="Roche Lobe Overflow",POWER(Upgrades!$U$19,K168),1)*IF(Upgrades!$T$20="Roche Lobe Overflow",POWER(Upgrades!$U$20,L168),1)*IF(Upgrades!$T$21="Roche Lobe Overflow",POWER(Upgrades!$U$21,M168),1))*POWER(Upgrades!$R$13,E168)*POWER(Upgrades!$R$14,F168)*POWER(Upgrades!$R$15,G168)*POWER(Upgrades!$R$16,H168)*POWER(Upgrades!$R$17,I168)*POWER(Upgrades!$R$18,J168)*POWER(Upgrades!$R$19,K168)*POWER(Upgrades!$R$20,L168)*POWER(Upgrades!$R$21,M168)*$H$6*O168*60</f>
        <v/>
      </c>
      <c r="AE168" s="27">
        <f>(IF(I168=0,0,(Upgrades!$G$17+I168*Upgrades!$H$17)*POWER(Upgrades!$I$17,I168)))*(IF(Upgrades!$T$13="Brown Dwarf",POWER(Upgrades!$U$13,E168),1)*IF(Upgrades!$T$14="Brown Dwarf",POWER(Upgrades!$U$14,F168),1)*IF(Upgrades!$T$15="Brown Dwarf",POWER(Upgrades!$U$15,G168),1)*IF(Upgrades!$T$16="Brown Dwarf",POWER(Upgrades!$U$16,H168),1)*IF(Upgrades!$T$18="Brown Dwarf",POWER(Upgrades!$U$18,J168),1)*IF(Upgrades!$T$19="Brown Dwarf",POWER(Upgrades!$U$19,K168),1)*IF(Upgrades!$T$20="Brown Dwarf",POWER(Upgrades!$U$20,L168),1)*IF(Upgrades!$T$21="Brown Dwarf",POWER(Upgrades!$U$21,M168),1))*POWER(Upgrades!$P$13,E168)*POWER(Upgrades!$P$14,F168)*POWER(Upgrades!$P$15,G168)*POWER(Upgrades!$P$16,H168)*POWER(Upgrades!$P$17,I168)*POWER(Upgrades!$P$18,J168)*POWER(Upgrades!$P$19,K168)*POWER(Upgrades!$P$20,L168)*POWER(Upgrades!$P$21,M168)*$F$6*60</f>
        <v/>
      </c>
      <c r="AF168" s="27" t="n">
        <v>0</v>
      </c>
      <c r="AG168" s="27" t="n">
        <v>0</v>
      </c>
      <c r="AH168" s="27" t="n">
        <v>0</v>
      </c>
      <c r="AI168" s="27">
        <f>(IF(M168=0,0,(Upgrades!$G$21+M168*Upgrades!$H$21)*POWER(Upgrades!$I$21,M168)))*(IF(Upgrades!$T$13="Moving Group",POWER(Upgrades!$U$13,E168),1)*IF(Upgrades!$T$14="Moving Group",POWER(Upgrades!$U$14,F168),1)*IF(Upgrades!$T$15="Moving Group",POWER(Upgrades!$U$15,G168),1)*IF(Upgrades!$T$16="Moving Group",POWER(Upgrades!$U$16,H168),1)*IF(Upgrades!$T$17="Moving Group",POWER(Upgrades!$U$17,I168),1)*IF(Upgrades!$T$18="Moving Group",POWER(Upgrades!$U$18,J168),1)*IF(Upgrades!$T$19="Moving Group",POWER(Upgrades!$U$19,K168),1)*IF(Upgrades!$T$20="Moving Group",POWER(Upgrades!$U$20,L168),1))*POWER(Upgrades!$P$13,E168)*POWER(Upgrades!$P$14,F168)*POWER(Upgrades!$P$15,G168)*POWER(Upgrades!$P$16,H168)*POWER(Upgrades!$P$17,I168)*POWER(Upgrades!$P$18,J168)*POWER(Upgrades!$P$19,K168)*POWER(Upgrades!$P$20,L168)*POWER(Upgrades!$P$21,M168)*$F$6*60</f>
        <v/>
      </c>
      <c r="AJ168" s="27">
        <f>$C$6*60</f>
        <v/>
      </c>
      <c r="AK168" s="22">
        <f>IF(E168&gt;=Upgrades!$E$13,"",Upgrades!$C$13*POWER(Upgrades!$D$13,E168))</f>
        <v/>
      </c>
      <c r="AL168" s="22">
        <f>IF(F168&gt;=Upgrades!$E$14,"",Upgrades!$C$14*POWER(Upgrades!$D$14,F168))</f>
        <v/>
      </c>
      <c r="AM168" s="22">
        <f>IF(G168&gt;=Upgrades!$E$15,"",Upgrades!$C$15*POWER(Upgrades!$D$15,G168))</f>
        <v/>
      </c>
      <c r="AN168" s="22">
        <f>IF(H168&gt;=Upgrades!$E$16,"",Upgrades!$C$16*POWER(Upgrades!$D$16,H168))</f>
        <v/>
      </c>
      <c r="AO168" s="22">
        <f>IF(I168&gt;=Upgrades!$E$17,"",Upgrades!$C$17*POWER(Upgrades!$D$17,I168))</f>
        <v/>
      </c>
      <c r="AP168" s="22">
        <f>IF(J168&gt;=Upgrades!$E$18,"",Upgrades!$C$18*POWER(Upgrades!$D$18,J168))</f>
        <v/>
      </c>
      <c r="AQ168" s="22">
        <f>IF(K168&gt;=Upgrades!$E$19,"",Upgrades!$C$19*POWER(Upgrades!$D$19,K168))</f>
        <v/>
      </c>
      <c r="AR168" s="22">
        <f>IF(L168&gt;=Upgrades!$E$20,"",Upgrades!$C$20*POWER(Upgrades!$D$20,L168))</f>
        <v/>
      </c>
      <c r="AS168" s="22">
        <f>IF(M168&gt;=Upgrades!$E$21,"",Upgrades!$C$21*POWER(Upgrades!$D$21,M168))</f>
        <v/>
      </c>
      <c r="AT168" s="26">
        <f>IF(AND(D168&gt;=Parameters!$B$18*Parameters!$B$19,(I168&gt;=Upgrades!$E$17)*(M168&gt;=Upgrades!$E$21)=1,N168=0),1,"")</f>
        <v/>
      </c>
      <c r="AU168" s="26">
        <f>IF(AND(D168&gt;=Parameters!$B$18*Parameters!$B$19,N168=0),1,"")</f>
        <v/>
      </c>
      <c r="AV168" s="22">
        <f>MIN(IF(ISNUMBER(AP168),AP168,9E15),IF(ISNUMBER(AQ168),AQ168,9E15),IF(ISNUMBER(AR168),AR168,9E15),IF(ISNUMBER(AS168),AS168,9E15))</f>
        <v/>
      </c>
      <c r="AW168" s="22">
        <f>MIN(IF(ISNUMBER(AK168),AK168,9E15),IF(ISNUMBER(AL168),AL168,9E15),IF(ISNUMBER(AM168),AM168,9E15),IF(ISNUMBER(AN168),AN168,9E15),IF(ISNUMBER(AO168),AO168,9E15))</f>
        <v/>
      </c>
      <c r="AX168" s="29">
        <f>IF(BD168&gt;Parameters!$B$21*(MAX(IF(AND(NOT(AND(AU168=1,AT168&lt;&gt;1)),ISNUMBER(AK168),AK168&lt;=(C168+T168)),AY168,0),IF(AND(NOT(AND(AU168=1,AT168&lt;&gt;1)),ISNUMBER(AL168),AL168&lt;=(C168+T168)),AZ168,0),IF(AND(NOT(AND(AU168=1,AT168&lt;&gt;1)),ISNUMBER(AM168),AM168&lt;=(C168+T168)),BA168,0),IF(AND(NOT(AND(AU168=1,AT168&lt;&gt;1)),ISNUMBER(AN168),AN168&lt;=(C168+T168)),BB168,0),IF(AND(ISNUMBER(AO168),AO168&lt;=(C168+T168)),BC168,0))),TRUE,FALSE)</f>
        <v/>
      </c>
      <c r="AY168" s="32">
        <f>IFERROR(Upgrades!$H$13*(POWER(Upgrades!$P$13,E168)*POWER(Upgrades!$P$14,F168)*POWER(Upgrades!$P$15,G168)*POWER(Upgrades!$P$16,H168)*POWER(Upgrades!$P$17,I168)*POWER(Upgrades!$P$18,J168)*POWER(Upgrades!$P$19,K168)*POWER(Upgrades!$P$20,L168)*POWER(Upgrades!$P$21,M168))*(IF(Upgrades!$T$14="Stellar Kinematics",POWER(Upgrades!$U$14,F168),1)*IF(Upgrades!$T$15="Stellar Kinematics",POWER(Upgrades!$U$15,G168),1)*IF(Upgrades!$T$16="Stellar Kinematics",POWER(Upgrades!$U$16,H168),1)*IF(Upgrades!$T$17="Stellar Kinematics",POWER(Upgrades!$U$17,I168),1)*IF(Upgrades!$T$18="Stellar Kinematics",POWER(Upgrades!$U$18,J168),1)*IF(Upgrades!$T$19="Stellar Kinematics",POWER(Upgrades!$U$19,K168),1)*IF(Upgrades!$T$20="Stellar Kinematics",POWER(Upgrades!$U$20,L168),1)*IF(Upgrades!$T$21="Stellar Kinematics",POWER(Upgrades!$U$21,M168),1))*$F$6/AK168,0)</f>
        <v/>
      </c>
      <c r="AZ168" s="32">
        <f>IFERROR(Upgrades!$H$14*(POWER(Upgrades!$P$13,E168)*POWER(Upgrades!$P$14,F168)*POWER(Upgrades!$P$15,G168)*POWER(Upgrades!$P$16,H168)*POWER(Upgrades!$P$17,I168)*POWER(Upgrades!$P$18,J168)*POWER(Upgrades!$P$19,K168)*POWER(Upgrades!$P$20,L168)*POWER(Upgrades!$P$21,M168))*(IF(Upgrades!$T$13="Local Bubble",POWER(Upgrades!$U$13,E168),1)*IF(Upgrades!$T$15="Local Bubble",POWER(Upgrades!$U$15,G168),1)*IF(Upgrades!$T$16="Local Bubble",POWER(Upgrades!$U$16,H168),1)*IF(Upgrades!$T$17="Local Bubble",POWER(Upgrades!$U$17,I168),1)*IF(Upgrades!$T$18="Local Bubble",POWER(Upgrades!$U$18,J168),1)*IF(Upgrades!$T$19="Local Bubble",POWER(Upgrades!$U$19,K168),1)*IF(Upgrades!$T$20="Local Bubble",POWER(Upgrades!$U$20,L168),1)*IF(Upgrades!$T$21="Local Bubble",POWER(Upgrades!$U$21,M168),1))*$F$6/AL168,0)</f>
        <v/>
      </c>
      <c r="BA168" s="32">
        <f>IFERROR(Upgrades!$K$15*(POWER(Upgrades!$Q$13,E168)*POWER(Upgrades!$Q$14,F168)*POWER(Upgrades!$Q$15,G168)*POWER(Upgrades!$Q$16,H168)*POWER(Upgrades!$Q$17,I168)*POWER(Upgrades!$Q$18,J168)*POWER(Upgrades!$Q$19,K168)*POWER(Upgrades!$Q$20,L168)*POWER(Upgrades!$Q$21,M168))*(IF(Upgrades!$T$13="Microlensing",POWER(Upgrades!$U$13,E168),1)*IF(Upgrades!$T$14="Microlensing",POWER(Upgrades!$U$14,F168),1)*IF(Upgrades!$T$16="Microlensing",POWER(Upgrades!$U$16,H168),1)*IF(Upgrades!$T$17="Microlensing",POWER(Upgrades!$U$17,I168),1)*IF(Upgrades!$T$18="Microlensing",POWER(Upgrades!$U$18,J168),1)*IF(Upgrades!$T$19="Microlensing",POWER(Upgrades!$U$19,K168),1)*IF(Upgrades!$T$20="Microlensing",POWER(Upgrades!$U$20,L168),1)*IF(Upgrades!$T$21="Microlensing",POWER(Upgrades!$U$21,M168),1))*$G$6*(Parameters!$B$10/60*Parameters!$B$11+Q168)/AM168,0)</f>
        <v/>
      </c>
      <c r="BB168" s="32">
        <f>IFERROR((Upgrades!$N$16*(POWER(Upgrades!$R$13,E168)*POWER(Upgrades!$R$14,F168)*POWER(Upgrades!$R$15,G168)*POWER(Upgrades!$R$16,H168)*POWER(Upgrades!$R$17,I168)*POWER(Upgrades!$R$18,J168)*POWER(Upgrades!$R$19,K168)*POWER(Upgrades!$R$20,L168)*POWER(Upgrades!$R$21,M168))*(IF(Upgrades!$T$13="Roche Lobe Overflow",POWER(Upgrades!$U$13,E168),1)*IF(Upgrades!$T$14="Roche Lobe Overflow",POWER(Upgrades!$U$14,F168),1)*IF(Upgrades!$T$15="Roche Lobe Overflow",POWER(Upgrades!$U$15,G168),1)*IF(Upgrades!$T$17="Roche Lobe Overflow",POWER(Upgrades!$U$17,I168),1)*IF(Upgrades!$T$18="Roche Lobe Overflow",POWER(Upgrades!$U$18,J168),1)*IF(Upgrades!$T$19="Roche Lobe Overflow",POWER(Upgrades!$U$19,K168),1)*IF(Upgrades!$T$20="Roche Lobe Overflow",POWER(Upgrades!$U$20,L168),1)*IF(Upgrades!$T$21="Roche Lobe Overflow",POWER(Upgrades!$U$21,M168),1))*$H$6*O168+((IF(F168=0,0,(Upgrades!$G$14+F168*Upgrades!$H$14)*POWER(Upgrades!$I$14,F168)))*(IF(Upgrades!$T$13="Local Bubble",POWER(Upgrades!$U$13,E168),1)*IF(Upgrades!$T$15="Local Bubble",POWER(Upgrades!$U$15,G168),1)*IF(Upgrades!$T$16="Local Bubble",POWER(Upgrades!$U$16,H168),1)*IF(Upgrades!$T$17="Local Bubble",POWER(Upgrades!$U$17,I168),1)*IF(Upgrades!$T$18="Local Bubble",POWER(Upgrades!$U$18,J168),1)*IF(Upgrades!$T$19="Local Bubble",POWER(Upgrades!$U$19,K168),1)*IF(Upgrades!$T$20="Local Bubble",POWER(Upgrades!$U$20,L168),1)*IF(Upgrades!$T$21="Local Bubble",POWER(Upgrades!$U$21,M168),1))*POWER(Upgrades!$P$13,E168)*POWER(Upgrades!$P$14,F168)*POWER(Upgrades!$P$15,G168)*POWER(Upgrades!$P$16,H168)*POWER(Upgrades!$P$17,I168)*POWER(Upgrades!$P$18,J168)*POWER(Upgrades!$P$19,K168)*POWER(Upgrades!$P$20,L168)*POWER(Upgrades!$P$21,M168)*$F$6)*0.05)/AN168,0)</f>
        <v/>
      </c>
      <c r="BC168" s="32">
        <f>IFERROR((Upgrades!$H$17*(POWER(Upgrades!$P$13,E168)*POWER(Upgrades!$P$14,F168)*POWER(Upgrades!$P$15,G168)*POWER(Upgrades!$P$16,H168)*POWER(Upgrades!$P$17,I168)*POWER(Upgrades!$P$18,J168)*POWER(Upgrades!$P$19,K168)*POWER(Upgrades!$P$20,L168)*POWER(Upgrades!$P$21,M168))*(IF(Upgrades!$T$13="Brown Dwarf",POWER(Upgrades!$U$13,E168),1)*IF(Upgrades!$T$14="Brown Dwarf",POWER(Upgrades!$U$14,F168),1)*IF(Upgrades!$T$15="Brown Dwarf",POWER(Upgrades!$U$15,G168),1)*IF(Upgrades!$T$16="Brown Dwarf",POWER(Upgrades!$U$16,H168),1)*IF(Upgrades!$T$18="Brown Dwarf",POWER(Upgrades!$U$18,J168),1)*IF(Upgrades!$T$19="Brown Dwarf",POWER(Upgrades!$U$19,K168),1)*IF(Upgrades!$T$20="Brown Dwarf",POWER(Upgrades!$U$20,L168),1)*IF(Upgrades!$T$21="Brown Dwarf",POWER(Upgrades!$U$21,M168),1))*$F$6+(((IF(H168=0,0,(Upgrades!$M$16+H168*Upgrades!$N$16)*POWER(Upgrades!$O$16,H168)))*(IF(Upgrades!$T$13="Roche Lobe Overflow",POWER(Upgrades!$U$13,E168),1)*IF(Upgrades!$T$14="Roche Lobe Overflow",POWER(Upgrades!$U$14,F168),1)*IF(Upgrades!$T$15="Roche Lobe Overflow",POWER(Upgrades!$U$15,G168),1)*IF(Upgrades!$T$17="Roche Lobe Overflow",POWER(Upgrades!$U$17,I168),1)*IF(Upgrades!$T$18="Roche Lobe Overflow",POWER(Upgrades!$U$18,J168),1)*IF(Upgrades!$T$19="Roche Lobe Overflow",POWER(Upgrades!$U$19,K168),1)*IF(Upgrades!$T$20="Roche Lobe Overflow",POWER(Upgrades!$U$20,L168),1)*IF(Upgrades!$T$21="Roche Lobe Overflow",POWER(Upgrades!$U$21,M168),1))*POWER(Upgrades!$R$13,E168)*POWER(Upgrades!$R$14,F168)*POWER(Upgrades!$R$15,G168)*POWER(Upgrades!$R$16,H168)*POWER(Upgrades!$R$17,I168)*POWER(Upgrades!$R$18,J168)*POWER(Upgrades!$R$19,K168)*POWER(Upgrades!$R$20,L168)*POWER(Upgrades!$R$21,M168)*$H$6)*O168)*0.10)/AO168,0)</f>
        <v/>
      </c>
      <c r="BD168" s="32">
        <f>MAX(IF(J168&gt;0,0,IFERROR(0.5*((IF(G168=0,0,(Upgrades!$J$15+G168*Upgrades!$K$15)*POWER(Upgrades!$L$15,G168)))*(IF(Upgrades!$T$13="Microlensing",POWER(Upgrades!$U$13,E168),1)*IF(Upgrades!$T$14="Microlensing",POWER(Upgrades!$U$14,F168),1)*IF(Upgrades!$T$16="Microlensing",POWER(Upgrades!$U$16,H168),1)*IF(Upgrades!$T$17="Microlensing",POWER(Upgrades!$U$17,I168),1)*IF(Upgrades!$T$18="Microlensing",POWER(Upgrades!$U$18,J168),1)*IF(Upgrades!$T$19="Microlensing",POWER(Upgrades!$U$19,K168),1)*IF(Upgrades!$T$20="Microlensing",POWER(Upgrades!$U$20,L168),1)*IF(Upgrades!$T$21="Microlensing",POWER(Upgrades!$U$21,M168),1))*(POWER(Upgrades!$Q$13,E168)*POWER(Upgrades!$Q$14,F168)*POWER(Upgrades!$Q$15,G168)*POWER(Upgrades!$Q$16,H168)*POWER(Upgrades!$Q$17,I168)*POWER(Upgrades!$Q$18,J168)*POWER(Upgrades!$Q$19,K168)*POWER(Upgrades!$Q$20,L168)*POWER(Upgrades!$Q$21,M168))*$G$6*(Parameters!$B$10/60*Parameters!$B$11+Q168))/Upgrades!$C$18,0)),IF(K168&gt;0,0,IFERROR(0.30*P168/Upgrades!$C$19,0)),IF(L168&gt;0,0,IFERROR(0.0001/Upgrades!$C$20,0)),IF(M168&gt;0,0,IFERROR((6.0*(POWER(Upgrades!$P$13,E168)*POWER(Upgrades!$P$14,F168)*POWER(Upgrades!$P$15,G168)*POWER(Upgrades!$P$16,H168)*POWER(Upgrades!$P$17,I168)*POWER(Upgrades!$P$18,J168)*POWER(Upgrades!$P$19,K168)*POWER(Upgrades!$P$20,L168)*POWER(Upgrades!$P$21,M168))*$F$6+0.20*O168*(Parameters!$B$10/60*Parameters!$B$11+Q168))/Upgrades!$C$21,0)),IF(AND(ISNUMBER(AK168),AK168&gt;(C168+T168)),AY168,0),IF(AND(ISNUMBER(AL168),AL168&gt;(C168+T168)),AZ168,0),IF(AND(ISNUMBER(AM168),AM168&gt;(C168+T168)),BA168,0),IF(AND(ISNUMBER(AN168),AN168&gt;(C168+T168)),BB168,0),IF(AND(ISNUMBER(AO168),AO168&gt;(C168+T168)),BC168,0))</f>
        <v/>
      </c>
      <c r="BE168" s="29">
        <f>IF(AT168=1,"transition",IF(MIN(IF(AND(J168=0,ISNUMBER(AP168),AP168&lt;=(C168+T168)),AP168,9E15),IF(AND(K168=0,ISNUMBER(AQ168),AQ168&lt;=(C168+T168)),AQ168,9E15),IF(AND(L168=0,ISNUMBER(AR168),AR168&lt;=(C168+T168)),AR168,9E15),IF(AND(M168=0,ISNUMBER(AS168),AS168&lt;=(C168+T168)),AS168,9E15))&lt;9E15,IF(AND(AND(J168=0,ISNUMBER(AP168),AP168&lt;=(C168+T168)),AP168=MIN(IF(AND(J168=0,ISNUMBER(AP168),AP168&lt;=(C168+T168)),AP168,9E15),IF(AND(K168=0,ISNUMBER(AQ168),AQ168&lt;=(C168+T168)),AQ168,9E15),IF(AND(L168=0,ISNUMBER(AR168),AR168&lt;=(C168+T168)),AR168,9E15),IF(AND(M168=0,ISNUMBER(AS168),AS168&lt;=(C168+T168)),AS168,9E15))),"BiP",IF(AND(AND(K168=0,ISNUMBER(AQ168),AQ168&lt;=(C168+T168)),AQ168=MIN(IF(AND(J168=0,ISNUMBER(AP168),AP168&lt;=(C168+T168)),AP168,9E15),IF(AND(K168=0,ISNUMBER(AQ168),AQ168&lt;=(C168+T168)),AQ168,9E15),IF(AND(L168=0,ISNUMBER(AR168),AR168&lt;=(C168+T168)),AR168,9E15),IF(AND(M168=0,ISNUMBER(AS168),AS168&lt;=(C168+T168)),AS168,9E15))),"PV",IF(AND(AND(L168=0,ISNUMBER(AR168),AR168&lt;=(C168+T168)),AR168=MIN(IF(AND(J168=0,ISNUMBER(AP168),AP168&lt;=(C168+T168)),AP168,9E15),IF(AND(K168=0,ISNUMBER(AQ168),AQ168&lt;=(C168+T168)),AQ168,9E15),IF(AND(L168=0,ISNUMBER(AR168),AR168&lt;=(C168+T168)),AR168,9E15),IF(AND(M168=0,ISNUMBER(AS168),AS168&lt;=(C168+T168)),AS168,9E15))),"OC","MG"))),IF(AX168=TRUE,"",IF(MAX(IF(AND(NOT(AND(AU168=1,AT168&lt;&gt;1)),ISNUMBER(AK168),AK168&lt;=(C168+T168)),AY168,0),IF(AND(NOT(AND(AU168=1,AT168&lt;&gt;1)),ISNUMBER(AL168),AL168&lt;=(C168+T168)),AZ168,0),IF(AND(NOT(AND(AU168=1,AT168&lt;&gt;1)),ISNUMBER(AM168),AM168&lt;=(C168+T168)),BA168,0),IF(AND(NOT(AND(AU168=1,AT168&lt;&gt;1)),ISNUMBER(AN168),AN168&lt;=(C168+T168)),BB168,0),IF(AND(ISNUMBER(AO168),AO168&lt;=(C168+T168)),BC168,0))&lt;=0,"",IF(AND(IF(AND(NOT(AND(AU168=1,AT168&lt;&gt;1)),ISNUMBER(AK168),AK168&lt;=(C168+T168)),AY168,0)&gt;0,IF(AND(NOT(AND(AU168=1,AT168&lt;&gt;1)),ISNUMBER(AK168),AK168&lt;=(C168+T168)),AY168,0)=MAX(IF(AND(NOT(AND(AU168=1,AT168&lt;&gt;1)),ISNUMBER(AK168),AK168&lt;=(C168+T168)),AY168,0),IF(AND(NOT(AND(AU168=1,AT168&lt;&gt;1)),ISNUMBER(AL168),AL168&lt;=(C168+T168)),AZ168,0),IF(AND(NOT(AND(AU168=1,AT168&lt;&gt;1)),ISNUMBER(AM168),AM168&lt;=(C168+T168)),BA168,0),IF(AND(NOT(AND(AU168=1,AT168&lt;&gt;1)),ISNUMBER(AN168),AN168&lt;=(C168+T168)),BB168,0),IF(AND(ISNUMBER(AO168),AO168&lt;=(C168+T168)),BC168,0))),"SK",IF(AND(IF(AND(NOT(AND(AU168=1,AT168&lt;&gt;1)),ISNUMBER(AL168),AL168&lt;=(C168+T168)),AZ168,0)&gt;0,IF(AND(NOT(AND(AU168=1,AT168&lt;&gt;1)),ISNUMBER(AL168),AL168&lt;=(C168+T168)),AZ168,0)=MAX(IF(AND(NOT(AND(AU168=1,AT168&lt;&gt;1)),ISNUMBER(AK168),AK168&lt;=(C168+T168)),AY168,0),IF(AND(NOT(AND(AU168=1,AT168&lt;&gt;1)),ISNUMBER(AL168),AL168&lt;=(C168+T168)),AZ168,0),IF(AND(NOT(AND(AU168=1,AT168&lt;&gt;1)),ISNUMBER(AM168),AM168&lt;=(C168+T168)),BA168,0),IF(AND(NOT(AND(AU168=1,AT168&lt;&gt;1)),ISNUMBER(AN168),AN168&lt;=(C168+T168)),BB168,0),IF(AND(ISNUMBER(AO168),AO168&lt;=(C168+T168)),BC168,0))),"LB",IF(AND(IF(AND(NOT(AND(AU168=1,AT168&lt;&gt;1)),ISNUMBER(AM168),AM168&lt;=(C168+T168)),BA168,0)&gt;0,IF(AND(NOT(AND(AU168=1,AT168&lt;&gt;1)),ISNUMBER(AM168),AM168&lt;=(C168+T168)),BA168,0)=MAX(IF(AND(NOT(AND(AU168=1,AT168&lt;&gt;1)),ISNUMBER(AK168),AK168&lt;=(C168+T168)),AY168,0),IF(AND(NOT(AND(AU168=1,AT168&lt;&gt;1)),ISNUMBER(AL168),AL168&lt;=(C168+T168)),AZ168,0),IF(AND(NOT(AND(AU168=1,AT168&lt;&gt;1)),ISNUMBER(AM168),AM168&lt;=(C168+T168)),BA168,0),IF(AND(NOT(AND(AU168=1,AT168&lt;&gt;1)),ISNUMBER(AN168),AN168&lt;=(C168+T168)),BB168,0),IF(AND(ISNUMBER(AO168),AO168&lt;=(C168+T168)),BC168,0))),"ML",IF(AND(IF(AND(NOT(AND(AU168=1,AT168&lt;&gt;1)),ISNUMBER(AN168),AN168&lt;=(C168+T168)),BB168,0)&gt;0,IF(AND(NOT(AND(AU168=1,AT168&lt;&gt;1)),ISNUMBER(AN168),AN168&lt;=(C168+T168)),BB168,0)=MAX(IF(AND(NOT(AND(AU168=1,AT168&lt;&gt;1)),ISNUMBER(AK168),AK168&lt;=(C168+T168)),AY168,0),IF(AND(NOT(AND(AU168=1,AT168&lt;&gt;1)),ISNUMBER(AL168),AL168&lt;=(C168+T168)),AZ168,0),IF(AND(NOT(AND(AU168=1,AT168&lt;&gt;1)),ISNUMBER(AM168),AM168&lt;=(C168+T168)),BA168,0),IF(AND(NOT(AND(AU168=1,AT168&lt;&gt;1)),ISNUMBER(AN168),AN168&lt;=(C168+T168)),BB168,0),IF(AND(ISNUMBER(AO168),AO168&lt;=(C168+T168)),BC168,0))),"RLO","BD"))))))))</f>
        <v/>
      </c>
    </row>
    <row r="169">
      <c r="A169" s="26" t="n">
        <v>158</v>
      </c>
      <c r="B169" s="27">
        <f>A169*10/60</f>
        <v/>
      </c>
      <c r="C169" s="22">
        <f>X168</f>
        <v/>
      </c>
      <c r="D169" s="27">
        <f>D168+W168</f>
        <v/>
      </c>
      <c r="E169" s="26">
        <f>E168+IF(U168="SK",1,0)</f>
        <v/>
      </c>
      <c r="F169" s="26">
        <f>F168+IF(U168="LB",1,0)</f>
        <v/>
      </c>
      <c r="G169" s="26">
        <f>G168+IF(U168="ML",1,0)</f>
        <v/>
      </c>
      <c r="H169" s="26">
        <f>H168+IF(U168="RLO",1,0)</f>
        <v/>
      </c>
      <c r="I169" s="26">
        <f>I168+IF(U168="BD",1,0)</f>
        <v/>
      </c>
      <c r="J169" s="26">
        <f>MAX(J168,IF(U168="BiP",1,0))</f>
        <v/>
      </c>
      <c r="K169" s="26">
        <f>MAX(K168,IF(U168="PV",1,0))</f>
        <v/>
      </c>
      <c r="L169" s="26">
        <f>MAX(L168,IF(U168="OC",1,0))</f>
        <v/>
      </c>
      <c r="M169" s="26">
        <f>MAX(M168,IF(U168="MG",1,0))</f>
        <v/>
      </c>
      <c r="N169" s="26">
        <f>MAX(N168,IF(U168="transition",1,0))</f>
        <v/>
      </c>
      <c r="O169" s="28">
        <f>(Parameters!$B$9+(IF(E169=0,0,(Upgrades!$J$13+E169*Upgrades!$K$13)*POWER(Upgrades!$L$13,E169)))*(IF(Upgrades!$T$14="Stellar Kinematics",POWER(Upgrades!$U$14,F169),1)*IF(Upgrades!$T$15="Stellar Kinematics",POWER(Upgrades!$U$15,G169),1)*IF(Upgrades!$T$16="Stellar Kinematics",POWER(Upgrades!$U$16,H169),1)*IF(Upgrades!$T$17="Stellar Kinematics",POWER(Upgrades!$U$17,I169),1)*IF(Upgrades!$T$18="Stellar Kinematics",POWER(Upgrades!$U$18,J169),1)*IF(Upgrades!$T$19="Stellar Kinematics",POWER(Upgrades!$U$19,K169),1)*IF(Upgrades!$T$20="Stellar Kinematics",POWER(Upgrades!$U$20,L169),1)*IF(Upgrades!$T$21="Stellar Kinematics",POWER(Upgrades!$U$21,M169),1))+(IF(F169=0,0,(Upgrades!$J$14+F169*Upgrades!$K$14)*POWER(Upgrades!$L$14,F169)))*(IF(Upgrades!$T$13="Local Bubble",POWER(Upgrades!$U$13,E169),1)*IF(Upgrades!$T$15="Local Bubble",POWER(Upgrades!$U$15,G169),1)*IF(Upgrades!$T$16="Local Bubble",POWER(Upgrades!$U$16,H169),1)*IF(Upgrades!$T$17="Local Bubble",POWER(Upgrades!$U$17,I169),1)*IF(Upgrades!$T$18="Local Bubble",POWER(Upgrades!$U$18,J169),1)*IF(Upgrades!$T$19="Local Bubble",POWER(Upgrades!$U$19,K169),1)*IF(Upgrades!$T$20="Local Bubble",POWER(Upgrades!$U$20,L169),1)*IF(Upgrades!$T$21="Local Bubble",POWER(Upgrades!$U$21,M169),1))+(IF(G169=0,0,(Upgrades!$J$15+G169*Upgrades!$K$15)*POWER(Upgrades!$L$15,G169)))*(IF(Upgrades!$T$13="Microlensing",POWER(Upgrades!$U$13,E169),1)*IF(Upgrades!$T$14="Microlensing",POWER(Upgrades!$U$14,F169),1)*IF(Upgrades!$T$16="Microlensing",POWER(Upgrades!$U$16,H169),1)*IF(Upgrades!$T$17="Microlensing",POWER(Upgrades!$U$17,I169),1)*IF(Upgrades!$T$18="Microlensing",POWER(Upgrades!$U$18,J169),1)*IF(Upgrades!$T$19="Microlensing",POWER(Upgrades!$U$19,K169),1)*IF(Upgrades!$T$20="Microlensing",POWER(Upgrades!$U$20,L169),1)*IF(Upgrades!$T$21="Microlensing",POWER(Upgrades!$U$21,M169),1))+(IF(H169=0,0,(Upgrades!$J$16+H169*Upgrades!$K$16)*POWER(Upgrades!$L$16,H169)))*(IF(Upgrades!$T$13="Roche Lobe Overflow",POWER(Upgrades!$U$13,E169),1)*IF(Upgrades!$T$14="Roche Lobe Overflow",POWER(Upgrades!$U$14,F169),1)*IF(Upgrades!$T$15="Roche Lobe Overflow",POWER(Upgrades!$U$15,G169),1)*IF(Upgrades!$T$17="Roche Lobe Overflow",POWER(Upgrades!$U$17,I169),1)*IF(Upgrades!$T$18="Roche Lobe Overflow",POWER(Upgrades!$U$18,J169),1)*IF(Upgrades!$T$19="Roche Lobe Overflow",POWER(Upgrades!$U$19,K169),1)*IF(Upgrades!$T$20="Roche Lobe Overflow",POWER(Upgrades!$U$20,L169),1)*IF(Upgrades!$T$21="Roche Lobe Overflow",POWER(Upgrades!$U$21,M169),1))+(IF(I169=0,0,(Upgrades!$J$17+I169*Upgrades!$K$17)*POWER(Upgrades!$L$17,I169)))*(IF(Upgrades!$T$13="Brown Dwarf",POWER(Upgrades!$U$13,E169),1)*IF(Upgrades!$T$14="Brown Dwarf",POWER(Upgrades!$U$14,F169),1)*IF(Upgrades!$T$15="Brown Dwarf",POWER(Upgrades!$U$15,G169),1)*IF(Upgrades!$T$16="Brown Dwarf",POWER(Upgrades!$U$16,H169),1)*IF(Upgrades!$T$18="Brown Dwarf",POWER(Upgrades!$U$18,J169),1)*IF(Upgrades!$T$19="Brown Dwarf",POWER(Upgrades!$U$19,K169),1)*IF(Upgrades!$T$20="Brown Dwarf",POWER(Upgrades!$U$20,L169),1)*IF(Upgrades!$T$21="Brown Dwarf",POWER(Upgrades!$U$21,M169),1))+(IF(J169=0,0,(Upgrades!$J$18+J169*Upgrades!$K$18)*POWER(Upgrades!$L$18,J169)))*(IF(Upgrades!$T$13="Binary Partner",POWER(Upgrades!$U$13,E169),1)*IF(Upgrades!$T$14="Binary Partner",POWER(Upgrades!$U$14,F169),1)*IF(Upgrades!$T$15="Binary Partner",POWER(Upgrades!$U$15,G169),1)*IF(Upgrades!$T$16="Binary Partner",POWER(Upgrades!$U$16,H169),1)*IF(Upgrades!$T$17="Binary Partner",POWER(Upgrades!$U$17,I169),1)*IF(Upgrades!$T$19="Binary Partner",POWER(Upgrades!$U$19,K169),1)*IF(Upgrades!$T$20="Binary Partner",POWER(Upgrades!$U$20,L169),1)*IF(Upgrades!$T$21="Binary Partner",POWER(Upgrades!$U$21,M169),1))+(IF(K169=0,0,(Upgrades!$J$19+K169*Upgrades!$K$19)*POWER(Upgrades!$L$19,K169)))*(IF(Upgrades!$T$13="Peculiar Velocity",POWER(Upgrades!$U$13,E169),1)*IF(Upgrades!$T$14="Peculiar Velocity",POWER(Upgrades!$U$14,F169),1)*IF(Upgrades!$T$15="Peculiar Velocity",POWER(Upgrades!$U$15,G169),1)*IF(Upgrades!$T$16="Peculiar Velocity",POWER(Upgrades!$U$16,H169),1)*IF(Upgrades!$T$17="Peculiar Velocity",POWER(Upgrades!$U$17,I169),1)*IF(Upgrades!$T$18="Peculiar Velocity",POWER(Upgrades!$U$18,J169),1)*IF(Upgrades!$T$20="Peculiar Velocity",POWER(Upgrades!$U$20,L169),1)*IF(Upgrades!$T$21="Peculiar Velocity",POWER(Upgrades!$U$21,M169),1))+(IF(L169=0,0,(Upgrades!$J$20+L169*Upgrades!$K$20)*POWER(Upgrades!$L$20,L169)))*(IF(Upgrades!$T$13="Open Cluster",POWER(Upgrades!$U$13,E169),1)*IF(Upgrades!$T$14="Open Cluster",POWER(Upgrades!$U$14,F169),1)*IF(Upgrades!$T$15="Open Cluster",POWER(Upgrades!$U$15,G169),1)*IF(Upgrades!$T$16="Open Cluster",POWER(Upgrades!$U$16,H169),1)*IF(Upgrades!$T$17="Open Cluster",POWER(Upgrades!$U$17,I169),1)*IF(Upgrades!$T$18="Open Cluster",POWER(Upgrades!$U$18,J169),1)*IF(Upgrades!$T$19="Open Cluster",POWER(Upgrades!$U$19,K169),1)*IF(Upgrades!$T$21="Open Cluster",POWER(Upgrades!$U$21,M169),1))+(IF(M169=0,0,(Upgrades!$J$21+M169*Upgrades!$K$21)*POWER(Upgrades!$L$21,M169)))*(IF(Upgrades!$T$13="Moving Group",POWER(Upgrades!$U$13,E169),1)*IF(Upgrades!$T$14="Moving Group",POWER(Upgrades!$U$14,F169),1)*IF(Upgrades!$T$15="Moving Group",POWER(Upgrades!$U$15,G169),1)*IF(Upgrades!$T$16="Moving Group",POWER(Upgrades!$U$16,H169),1)*IF(Upgrades!$T$17="Moving Group",POWER(Upgrades!$U$17,I169),1)*IF(Upgrades!$T$18="Moving Group",POWER(Upgrades!$U$18,J169),1)*IF(Upgrades!$T$19="Moving Group",POWER(Upgrades!$U$19,K169),1)*IF(Upgrades!$T$20="Moving Group",POWER(Upgrades!$U$20,L169),1)))*POWER(Upgrades!$Q$13,E169)*POWER(Upgrades!$Q$14,F169)*POWER(Upgrades!$Q$15,G169)*POWER(Upgrades!$Q$16,H169)*POWER(Upgrades!$Q$17,I169)*POWER(Upgrades!$Q$18,J169)*POWER(Upgrades!$Q$19,K169)*POWER(Upgrades!$Q$20,L169)*POWER(Upgrades!$Q$21,M169)*$G$6+$D$6</f>
        <v/>
      </c>
      <c r="P169" s="28">
        <f>((IF(E169=0,0,(Upgrades!$G$13+E169*Upgrades!$H$13)*POWER(Upgrades!$I$13,E169)))*(IF(Upgrades!$T$14="Stellar Kinematics",POWER(Upgrades!$U$14,F169),1)*IF(Upgrades!$T$15="Stellar Kinematics",POWER(Upgrades!$U$15,G169),1)*IF(Upgrades!$T$16="Stellar Kinematics",POWER(Upgrades!$U$16,H169),1)*IF(Upgrades!$T$17="Stellar Kinematics",POWER(Upgrades!$U$17,I169),1)*IF(Upgrades!$T$18="Stellar Kinematics",POWER(Upgrades!$U$18,J169),1)*IF(Upgrades!$T$19="Stellar Kinematics",POWER(Upgrades!$U$19,K169),1)*IF(Upgrades!$T$20="Stellar Kinematics",POWER(Upgrades!$U$20,L169),1)*IF(Upgrades!$T$21="Stellar Kinematics",POWER(Upgrades!$U$21,M169),1))+(IF(F169=0,0,(Upgrades!$G$14+F169*Upgrades!$H$14)*POWER(Upgrades!$I$14,F169)))*(IF(Upgrades!$T$13="Local Bubble",POWER(Upgrades!$U$13,E169),1)*IF(Upgrades!$T$15="Local Bubble",POWER(Upgrades!$U$15,G169),1)*IF(Upgrades!$T$16="Local Bubble",POWER(Upgrades!$U$16,H169),1)*IF(Upgrades!$T$17="Local Bubble",POWER(Upgrades!$U$17,I169),1)*IF(Upgrades!$T$18="Local Bubble",POWER(Upgrades!$U$18,J169),1)*IF(Upgrades!$T$19="Local Bubble",POWER(Upgrades!$U$19,K169),1)*IF(Upgrades!$T$20="Local Bubble",POWER(Upgrades!$U$20,L169),1)*IF(Upgrades!$T$21="Local Bubble",POWER(Upgrades!$U$21,M169),1))+(IF(G169=0,0,(Upgrades!$G$15+G169*Upgrades!$H$15)*POWER(Upgrades!$I$15,G169)))*(IF(Upgrades!$T$13="Microlensing",POWER(Upgrades!$U$13,E169),1)*IF(Upgrades!$T$14="Microlensing",POWER(Upgrades!$U$14,F169),1)*IF(Upgrades!$T$16="Microlensing",POWER(Upgrades!$U$16,H169),1)*IF(Upgrades!$T$17="Microlensing",POWER(Upgrades!$U$17,I169),1)*IF(Upgrades!$T$18="Microlensing",POWER(Upgrades!$U$18,J169),1)*IF(Upgrades!$T$19="Microlensing",POWER(Upgrades!$U$19,K169),1)*IF(Upgrades!$T$20="Microlensing",POWER(Upgrades!$U$20,L169),1)*IF(Upgrades!$T$21="Microlensing",POWER(Upgrades!$U$21,M169),1))+(IF(H169=0,0,(Upgrades!$G$16+H169*Upgrades!$H$16)*POWER(Upgrades!$I$16,H169)))*(IF(Upgrades!$T$13="Roche Lobe Overflow",POWER(Upgrades!$U$13,E169),1)*IF(Upgrades!$T$14="Roche Lobe Overflow",POWER(Upgrades!$U$14,F169),1)*IF(Upgrades!$T$15="Roche Lobe Overflow",POWER(Upgrades!$U$15,G169),1)*IF(Upgrades!$T$17="Roche Lobe Overflow",POWER(Upgrades!$U$17,I169),1)*IF(Upgrades!$T$18="Roche Lobe Overflow",POWER(Upgrades!$U$18,J169),1)*IF(Upgrades!$T$19="Roche Lobe Overflow",POWER(Upgrades!$U$19,K169),1)*IF(Upgrades!$T$20="Roche Lobe Overflow",POWER(Upgrades!$U$20,L169),1)*IF(Upgrades!$T$21="Roche Lobe Overflow",POWER(Upgrades!$U$21,M169),1))+(IF(I169=0,0,(Upgrades!$G$17+I169*Upgrades!$H$17)*POWER(Upgrades!$I$17,I169)))*(IF(Upgrades!$T$13="Brown Dwarf",POWER(Upgrades!$U$13,E169),1)*IF(Upgrades!$T$14="Brown Dwarf",POWER(Upgrades!$U$14,F169),1)*IF(Upgrades!$T$15="Brown Dwarf",POWER(Upgrades!$U$15,G169),1)*IF(Upgrades!$T$16="Brown Dwarf",POWER(Upgrades!$U$16,H169),1)*IF(Upgrades!$T$18="Brown Dwarf",POWER(Upgrades!$U$18,J169),1)*IF(Upgrades!$T$19="Brown Dwarf",POWER(Upgrades!$U$19,K169),1)*IF(Upgrades!$T$20="Brown Dwarf",POWER(Upgrades!$U$20,L169),1)*IF(Upgrades!$T$21="Brown Dwarf",POWER(Upgrades!$U$21,M169),1))+(IF(J169=0,0,(Upgrades!$G$18+J169*Upgrades!$H$18)*POWER(Upgrades!$I$18,J169)))*(IF(Upgrades!$T$13="Binary Partner",POWER(Upgrades!$U$13,E169),1)*IF(Upgrades!$T$14="Binary Partner",POWER(Upgrades!$U$14,F169),1)*IF(Upgrades!$T$15="Binary Partner",POWER(Upgrades!$U$15,G169),1)*IF(Upgrades!$T$16="Binary Partner",POWER(Upgrades!$U$16,H169),1)*IF(Upgrades!$T$17="Binary Partner",POWER(Upgrades!$U$17,I169),1)*IF(Upgrades!$T$19="Binary Partner",POWER(Upgrades!$U$19,K169),1)*IF(Upgrades!$T$20="Binary Partner",POWER(Upgrades!$U$20,L169),1)*IF(Upgrades!$T$21="Binary Partner",POWER(Upgrades!$U$21,M169),1))+(IF(K169=0,0,(Upgrades!$G$19+K169*Upgrades!$H$19)*POWER(Upgrades!$I$19,K169)))*(IF(Upgrades!$T$13="Peculiar Velocity",POWER(Upgrades!$U$13,E169),1)*IF(Upgrades!$T$14="Peculiar Velocity",POWER(Upgrades!$U$14,F169),1)*IF(Upgrades!$T$15="Peculiar Velocity",POWER(Upgrades!$U$15,G169),1)*IF(Upgrades!$T$16="Peculiar Velocity",POWER(Upgrades!$U$16,H169),1)*IF(Upgrades!$T$17="Peculiar Velocity",POWER(Upgrades!$U$17,I169),1)*IF(Upgrades!$T$18="Peculiar Velocity",POWER(Upgrades!$U$18,J169),1)*IF(Upgrades!$T$20="Peculiar Velocity",POWER(Upgrades!$U$20,L169),1)*IF(Upgrades!$T$21="Peculiar Velocity",POWER(Upgrades!$U$21,M169),1))+(IF(L169=0,0,(Upgrades!$G$20+L169*Upgrades!$H$20)*POWER(Upgrades!$I$20,L169)))*(IF(Upgrades!$T$13="Open Cluster",POWER(Upgrades!$U$13,E169),1)*IF(Upgrades!$T$14="Open Cluster",POWER(Upgrades!$U$14,F169),1)*IF(Upgrades!$T$15="Open Cluster",POWER(Upgrades!$U$15,G169),1)*IF(Upgrades!$T$16="Open Cluster",POWER(Upgrades!$U$16,H169),1)*IF(Upgrades!$T$17="Open Cluster",POWER(Upgrades!$U$17,I169),1)*IF(Upgrades!$T$18="Open Cluster",POWER(Upgrades!$U$18,J169),1)*IF(Upgrades!$T$19="Open Cluster",POWER(Upgrades!$U$19,K169),1)*IF(Upgrades!$T$21="Open Cluster",POWER(Upgrades!$U$21,M169),1))+(IF(M169=0,0,(Upgrades!$G$21+M169*Upgrades!$H$21)*POWER(Upgrades!$I$21,M169)))*(IF(Upgrades!$T$13="Moving Group",POWER(Upgrades!$U$13,E169),1)*IF(Upgrades!$T$14="Moving Group",POWER(Upgrades!$U$14,F169),1)*IF(Upgrades!$T$15="Moving Group",POWER(Upgrades!$U$15,G169),1)*IF(Upgrades!$T$16="Moving Group",POWER(Upgrades!$U$16,H169),1)*IF(Upgrades!$T$17="Moving Group",POWER(Upgrades!$U$17,I169),1)*IF(Upgrades!$T$18="Moving Group",POWER(Upgrades!$U$18,J169),1)*IF(Upgrades!$T$19="Moving Group",POWER(Upgrades!$U$19,K169),1)*IF(Upgrades!$T$20="Moving Group",POWER(Upgrades!$U$20,L169),1)))*POWER(Upgrades!$P$13,E169)*POWER(Upgrades!$P$14,F169)*POWER(Upgrades!$P$15,G169)*POWER(Upgrades!$P$16,H169)*POWER(Upgrades!$P$17,I169)*POWER(Upgrades!$P$18,J169)*POWER(Upgrades!$P$19,K169)*POWER(Upgrades!$P$20,L169)*POWER(Upgrades!$P$21,M169)*$F$6+$C$6</f>
        <v/>
      </c>
      <c r="Q169" s="28">
        <f>((IF(E169=0,0,(Upgrades!$M$13+E169*Upgrades!$N$13)*POWER(Upgrades!$O$13,E169)))*(IF(Upgrades!$T$14="Stellar Kinematics",POWER(Upgrades!$U$14,F169),1)*IF(Upgrades!$T$15="Stellar Kinematics",POWER(Upgrades!$U$15,G169),1)*IF(Upgrades!$T$16="Stellar Kinematics",POWER(Upgrades!$U$16,H169),1)*IF(Upgrades!$T$17="Stellar Kinematics",POWER(Upgrades!$U$17,I169),1)*IF(Upgrades!$T$18="Stellar Kinematics",POWER(Upgrades!$U$18,J169),1)*IF(Upgrades!$T$19="Stellar Kinematics",POWER(Upgrades!$U$19,K169),1)*IF(Upgrades!$T$20="Stellar Kinematics",POWER(Upgrades!$U$20,L169),1)*IF(Upgrades!$T$21="Stellar Kinematics",POWER(Upgrades!$U$21,M169),1))+(IF(F169=0,0,(Upgrades!$M$14+F169*Upgrades!$N$14)*POWER(Upgrades!$O$14,F169)))*(IF(Upgrades!$T$13="Local Bubble",POWER(Upgrades!$U$13,E169),1)*IF(Upgrades!$T$15="Local Bubble",POWER(Upgrades!$U$15,G169),1)*IF(Upgrades!$T$16="Local Bubble",POWER(Upgrades!$U$16,H169),1)*IF(Upgrades!$T$17="Local Bubble",POWER(Upgrades!$U$17,I169),1)*IF(Upgrades!$T$18="Local Bubble",POWER(Upgrades!$U$18,J169),1)*IF(Upgrades!$T$19="Local Bubble",POWER(Upgrades!$U$19,K169),1)*IF(Upgrades!$T$20="Local Bubble",POWER(Upgrades!$U$20,L169),1)*IF(Upgrades!$T$21="Local Bubble",POWER(Upgrades!$U$21,M169),1))+(IF(G169=0,0,(Upgrades!$M$15+G169*Upgrades!$N$15)*POWER(Upgrades!$O$15,G169)))*(IF(Upgrades!$T$13="Microlensing",POWER(Upgrades!$U$13,E169),1)*IF(Upgrades!$T$14="Microlensing",POWER(Upgrades!$U$14,F169),1)*IF(Upgrades!$T$16="Microlensing",POWER(Upgrades!$U$16,H169),1)*IF(Upgrades!$T$17="Microlensing",POWER(Upgrades!$U$17,I169),1)*IF(Upgrades!$T$18="Microlensing",POWER(Upgrades!$U$18,J169),1)*IF(Upgrades!$T$19="Microlensing",POWER(Upgrades!$U$19,K169),1)*IF(Upgrades!$T$20="Microlensing",POWER(Upgrades!$U$20,L169),1)*IF(Upgrades!$T$21="Microlensing",POWER(Upgrades!$U$21,M169),1))+(IF(H169=0,0,(Upgrades!$M$16+H169*Upgrades!$N$16)*POWER(Upgrades!$O$16,H169)))*(IF(Upgrades!$T$13="Roche Lobe Overflow",POWER(Upgrades!$U$13,E169),1)*IF(Upgrades!$T$14="Roche Lobe Overflow",POWER(Upgrades!$U$14,F169),1)*IF(Upgrades!$T$15="Roche Lobe Overflow",POWER(Upgrades!$U$15,G169),1)*IF(Upgrades!$T$17="Roche Lobe Overflow",POWER(Upgrades!$U$17,I169),1)*IF(Upgrades!$T$18="Roche Lobe Overflow",POWER(Upgrades!$U$18,J169),1)*IF(Upgrades!$T$19="Roche Lobe Overflow",POWER(Upgrades!$U$19,K169),1)*IF(Upgrades!$T$20="Roche Lobe Overflow",POWER(Upgrades!$U$20,L169),1)*IF(Upgrades!$T$21="Roche Lobe Overflow",POWER(Upgrades!$U$21,M169),1))+(IF(I169=0,0,(Upgrades!$M$17+I169*Upgrades!$N$17)*POWER(Upgrades!$O$17,I169)))*(IF(Upgrades!$T$13="Brown Dwarf",POWER(Upgrades!$U$13,E169),1)*IF(Upgrades!$T$14="Brown Dwarf",POWER(Upgrades!$U$14,F169),1)*IF(Upgrades!$T$15="Brown Dwarf",POWER(Upgrades!$U$15,G169),1)*IF(Upgrades!$T$16="Brown Dwarf",POWER(Upgrades!$U$16,H169),1)*IF(Upgrades!$T$18="Brown Dwarf",POWER(Upgrades!$U$18,J169),1)*IF(Upgrades!$T$19="Brown Dwarf",POWER(Upgrades!$U$19,K169),1)*IF(Upgrades!$T$20="Brown Dwarf",POWER(Upgrades!$U$20,L169),1)*IF(Upgrades!$T$21="Brown Dwarf",POWER(Upgrades!$U$21,M169),1))+(IF(J169=0,0,(Upgrades!$M$18+J169*Upgrades!$N$18)*POWER(Upgrades!$O$18,J169)))*(IF(Upgrades!$T$13="Binary Partner",POWER(Upgrades!$U$13,E169),1)*IF(Upgrades!$T$14="Binary Partner",POWER(Upgrades!$U$14,F169),1)*IF(Upgrades!$T$15="Binary Partner",POWER(Upgrades!$U$15,G169),1)*IF(Upgrades!$T$16="Binary Partner",POWER(Upgrades!$U$16,H169),1)*IF(Upgrades!$T$17="Binary Partner",POWER(Upgrades!$U$17,I169),1)*IF(Upgrades!$T$19="Binary Partner",POWER(Upgrades!$U$19,K169),1)*IF(Upgrades!$T$20="Binary Partner",POWER(Upgrades!$U$20,L169),1)*IF(Upgrades!$T$21="Binary Partner",POWER(Upgrades!$U$21,M169),1))+(IF(K169=0,0,(Upgrades!$M$19+K169*Upgrades!$N$19)*POWER(Upgrades!$O$19,K169)))*(IF(Upgrades!$T$13="Peculiar Velocity",POWER(Upgrades!$U$13,E169),1)*IF(Upgrades!$T$14="Peculiar Velocity",POWER(Upgrades!$U$14,F169),1)*IF(Upgrades!$T$15="Peculiar Velocity",POWER(Upgrades!$U$15,G169),1)*IF(Upgrades!$T$16="Peculiar Velocity",POWER(Upgrades!$U$16,H169),1)*IF(Upgrades!$T$17="Peculiar Velocity",POWER(Upgrades!$U$17,I169),1)*IF(Upgrades!$T$18="Peculiar Velocity",POWER(Upgrades!$U$18,J169),1)*IF(Upgrades!$T$20="Peculiar Velocity",POWER(Upgrades!$U$20,L169),1)*IF(Upgrades!$T$21="Peculiar Velocity",POWER(Upgrades!$U$21,M169),1))+(IF(L169=0,0,(Upgrades!$M$20+L169*Upgrades!$N$20)*POWER(Upgrades!$O$20,L169)))*(IF(Upgrades!$T$13="Open Cluster",POWER(Upgrades!$U$13,E169),1)*IF(Upgrades!$T$14="Open Cluster",POWER(Upgrades!$U$14,F169),1)*IF(Upgrades!$T$15="Open Cluster",POWER(Upgrades!$U$15,G169),1)*IF(Upgrades!$T$16="Open Cluster",POWER(Upgrades!$U$16,H169),1)*IF(Upgrades!$T$17="Open Cluster",POWER(Upgrades!$U$17,I169),1)*IF(Upgrades!$T$18="Open Cluster",POWER(Upgrades!$U$18,J169),1)*IF(Upgrades!$T$19="Open Cluster",POWER(Upgrades!$U$19,K169),1)*IF(Upgrades!$T$21="Open Cluster",POWER(Upgrades!$U$21,M169),1))+(IF(M169=0,0,(Upgrades!$M$21+M169*Upgrades!$N$21)*POWER(Upgrades!$O$21,M169)))*(IF(Upgrades!$T$13="Moving Group",POWER(Upgrades!$U$13,E169),1)*IF(Upgrades!$T$14="Moving Group",POWER(Upgrades!$U$14,F169),1)*IF(Upgrades!$T$15="Moving Group",POWER(Upgrades!$U$15,G169),1)*IF(Upgrades!$T$16="Moving Group",POWER(Upgrades!$U$16,H169),1)*IF(Upgrades!$T$17="Moving Group",POWER(Upgrades!$U$17,I169),1)*IF(Upgrades!$T$18="Moving Group",POWER(Upgrades!$U$18,J169),1)*IF(Upgrades!$T$19="Moving Group",POWER(Upgrades!$U$19,K169),1)*IF(Upgrades!$T$20="Moving Group",POWER(Upgrades!$U$20,L169),1)))*POWER(Upgrades!$R$13,E169)*POWER(Upgrades!$R$14,F169)*POWER(Upgrades!$R$15,G169)*POWER(Upgrades!$R$16,H169)*POWER(Upgrades!$R$17,I169)*POWER(Upgrades!$R$18,J169)*POWER(Upgrades!$R$19,K169)*POWER(Upgrades!$R$20,L169)*POWER(Upgrades!$R$21,M169)*$H$6+$E$6</f>
        <v/>
      </c>
      <c r="R169" s="27">
        <f>IF(N169=1,0,O169*Parameters!$B$10/60*Parameters!$B$11*10)</f>
        <v/>
      </c>
      <c r="S169" s="27">
        <f>IF(N169=1,0,Q169*O169*10)</f>
        <v/>
      </c>
      <c r="T169" s="27">
        <f>IF(N169=1,0,R169+S169+P169*10)</f>
        <v/>
      </c>
      <c r="U169" s="33">
        <f>BE169</f>
        <v/>
      </c>
      <c r="V169" s="22">
        <f>IF(U169="",0,IF(U169="transition",0,IF(U169="SK",AK169,IF(U169="LB",AL169,IF(U169="ML",AM169,IF(U169="RLO",AN169,IF(U169="BD",AO169,IF(U169="BiP",AP169,IF(U169="PV",AQ169,IF(U169="OC",AR169,IF(U169="MG",AS169,0))))))))))</f>
        <v/>
      </c>
      <c r="W169" s="27">
        <f>IF(U169="BiP",Upgrades!$F$18,IF(U169="PV",Upgrades!$F$19,IF(U169="OC",Upgrades!$F$20,IF(U169="MG",Upgrades!$F$21,IF(U169="transition",-Parameters!$B$18*Parameters!$B$19,0)))))</f>
        <v/>
      </c>
      <c r="X169" s="22">
        <f>C169+T169-V169</f>
        <v/>
      </c>
      <c r="Y169" s="30">
        <f>O169*Parameters!$B$10/60*Parameters!$B$11+Q169*O169+P169</f>
        <v/>
      </c>
      <c r="Z169" s="34">
        <f>IF(U169="transition","→ Tier 3 (Galactic Arm)",IF(U169="MG","Moving Group — pocket drifts together",IF(U169="OC","Open Cluster acquired",IF(U169="PV","Peculiar Velocity — passive multiplier active",IF(U169="BiP","Binary Partner — pair bond formed",IF(AND(AU169=1,N169=0,AT169&lt;&gt;1),"Cohesion ready (waiting on completionists)","")))))) </f>
        <v/>
      </c>
      <c r="AA169" s="27">
        <f>(IF(E169=0,0,(Upgrades!$G$13+E169*Upgrades!$H$13)*POWER(Upgrades!$I$13,E169)))*(IF(Upgrades!$T$14="Stellar Kinematics",POWER(Upgrades!$U$14,F169),1)*IF(Upgrades!$T$15="Stellar Kinematics",POWER(Upgrades!$U$15,G169),1)*IF(Upgrades!$T$16="Stellar Kinematics",POWER(Upgrades!$U$16,H169),1)*IF(Upgrades!$T$17="Stellar Kinematics",POWER(Upgrades!$U$17,I169),1)*IF(Upgrades!$T$18="Stellar Kinematics",POWER(Upgrades!$U$18,J169),1)*IF(Upgrades!$T$19="Stellar Kinematics",POWER(Upgrades!$U$19,K169),1)*IF(Upgrades!$T$20="Stellar Kinematics",POWER(Upgrades!$U$20,L169),1)*IF(Upgrades!$T$21="Stellar Kinematics",POWER(Upgrades!$U$21,M169),1))*POWER(Upgrades!$P$13,E169)*POWER(Upgrades!$P$14,F169)*POWER(Upgrades!$P$15,G169)*POWER(Upgrades!$P$16,H169)*POWER(Upgrades!$P$17,I169)*POWER(Upgrades!$P$18,J169)*POWER(Upgrades!$P$19,K169)*POWER(Upgrades!$P$20,L169)*POWER(Upgrades!$P$21,M169)*$F$6*60</f>
        <v/>
      </c>
      <c r="AB169" s="27">
        <f>(IF(F169=0,0,(Upgrades!$G$14+F169*Upgrades!$H$14)*POWER(Upgrades!$I$14,F169)))*(IF(Upgrades!$T$13="Local Bubble",POWER(Upgrades!$U$13,E169),1)*IF(Upgrades!$T$15="Local Bubble",POWER(Upgrades!$U$15,G169),1)*IF(Upgrades!$T$16="Local Bubble",POWER(Upgrades!$U$16,H169),1)*IF(Upgrades!$T$17="Local Bubble",POWER(Upgrades!$U$17,I169),1)*IF(Upgrades!$T$18="Local Bubble",POWER(Upgrades!$U$18,J169),1)*IF(Upgrades!$T$19="Local Bubble",POWER(Upgrades!$U$19,K169),1)*IF(Upgrades!$T$20="Local Bubble",POWER(Upgrades!$U$20,L169),1)*IF(Upgrades!$T$21="Local Bubble",POWER(Upgrades!$U$21,M169),1))*POWER(Upgrades!$P$13,E169)*POWER(Upgrades!$P$14,F169)*POWER(Upgrades!$P$15,G169)*POWER(Upgrades!$P$16,H169)*POWER(Upgrades!$P$17,I169)*POWER(Upgrades!$P$18,J169)*POWER(Upgrades!$P$19,K169)*POWER(Upgrades!$P$20,L169)*POWER(Upgrades!$P$21,M169)*$F$6*60</f>
        <v/>
      </c>
      <c r="AC169" s="27">
        <f>(IF(G169=0,0,(Upgrades!$J$15+G169*Upgrades!$K$15)*POWER(Upgrades!$L$15,G169)))*(IF(Upgrades!$T$13="Microlensing",POWER(Upgrades!$U$13,E169),1)*IF(Upgrades!$T$14="Microlensing",POWER(Upgrades!$U$14,F169),1)*IF(Upgrades!$T$16="Microlensing",POWER(Upgrades!$U$16,H169),1)*IF(Upgrades!$T$17="Microlensing",POWER(Upgrades!$U$17,I169),1)*IF(Upgrades!$T$18="Microlensing",POWER(Upgrades!$U$18,J169),1)*IF(Upgrades!$T$19="Microlensing",POWER(Upgrades!$U$19,K169),1)*IF(Upgrades!$T$20="Microlensing",POWER(Upgrades!$U$20,L169),1)*IF(Upgrades!$T$21="Microlensing",POWER(Upgrades!$U$21,M169),1))*POWER(Upgrades!$Q$13,E169)*POWER(Upgrades!$Q$14,F169)*POWER(Upgrades!$Q$15,G169)*POWER(Upgrades!$Q$16,H169)*POWER(Upgrades!$Q$17,I169)*POWER(Upgrades!$Q$18,J169)*POWER(Upgrades!$Q$19,K169)*POWER(Upgrades!$Q$20,L169)*POWER(Upgrades!$Q$21,M169)*$G$6*(Parameters!$B$10*Parameters!$B$11+Q169*60)</f>
        <v/>
      </c>
      <c r="AD169" s="27">
        <f>(IF(H169=0,0,(Upgrades!$M$16+H169*Upgrades!$N$16)*POWER(Upgrades!$O$16,H169)))*(IF(Upgrades!$T$13="Roche Lobe Overflow",POWER(Upgrades!$U$13,E169),1)*IF(Upgrades!$T$14="Roche Lobe Overflow",POWER(Upgrades!$U$14,F169),1)*IF(Upgrades!$T$15="Roche Lobe Overflow",POWER(Upgrades!$U$15,G169),1)*IF(Upgrades!$T$17="Roche Lobe Overflow",POWER(Upgrades!$U$17,I169),1)*IF(Upgrades!$T$18="Roche Lobe Overflow",POWER(Upgrades!$U$18,J169),1)*IF(Upgrades!$T$19="Roche Lobe Overflow",POWER(Upgrades!$U$19,K169),1)*IF(Upgrades!$T$20="Roche Lobe Overflow",POWER(Upgrades!$U$20,L169),1)*IF(Upgrades!$T$21="Roche Lobe Overflow",POWER(Upgrades!$U$21,M169),1))*POWER(Upgrades!$R$13,E169)*POWER(Upgrades!$R$14,F169)*POWER(Upgrades!$R$15,G169)*POWER(Upgrades!$R$16,H169)*POWER(Upgrades!$R$17,I169)*POWER(Upgrades!$R$18,J169)*POWER(Upgrades!$R$19,K169)*POWER(Upgrades!$R$20,L169)*POWER(Upgrades!$R$21,M169)*$H$6*O169*60</f>
        <v/>
      </c>
      <c r="AE169" s="27">
        <f>(IF(I169=0,0,(Upgrades!$G$17+I169*Upgrades!$H$17)*POWER(Upgrades!$I$17,I169)))*(IF(Upgrades!$T$13="Brown Dwarf",POWER(Upgrades!$U$13,E169),1)*IF(Upgrades!$T$14="Brown Dwarf",POWER(Upgrades!$U$14,F169),1)*IF(Upgrades!$T$15="Brown Dwarf",POWER(Upgrades!$U$15,G169),1)*IF(Upgrades!$T$16="Brown Dwarf",POWER(Upgrades!$U$16,H169),1)*IF(Upgrades!$T$18="Brown Dwarf",POWER(Upgrades!$U$18,J169),1)*IF(Upgrades!$T$19="Brown Dwarf",POWER(Upgrades!$U$19,K169),1)*IF(Upgrades!$T$20="Brown Dwarf",POWER(Upgrades!$U$20,L169),1)*IF(Upgrades!$T$21="Brown Dwarf",POWER(Upgrades!$U$21,M169),1))*POWER(Upgrades!$P$13,E169)*POWER(Upgrades!$P$14,F169)*POWER(Upgrades!$P$15,G169)*POWER(Upgrades!$P$16,H169)*POWER(Upgrades!$P$17,I169)*POWER(Upgrades!$P$18,J169)*POWER(Upgrades!$P$19,K169)*POWER(Upgrades!$P$20,L169)*POWER(Upgrades!$P$21,M169)*$F$6*60</f>
        <v/>
      </c>
      <c r="AF169" s="27" t="n">
        <v>0</v>
      </c>
      <c r="AG169" s="27" t="n">
        <v>0</v>
      </c>
      <c r="AH169" s="27" t="n">
        <v>0</v>
      </c>
      <c r="AI169" s="27">
        <f>(IF(M169=0,0,(Upgrades!$G$21+M169*Upgrades!$H$21)*POWER(Upgrades!$I$21,M169)))*(IF(Upgrades!$T$13="Moving Group",POWER(Upgrades!$U$13,E169),1)*IF(Upgrades!$T$14="Moving Group",POWER(Upgrades!$U$14,F169),1)*IF(Upgrades!$T$15="Moving Group",POWER(Upgrades!$U$15,G169),1)*IF(Upgrades!$T$16="Moving Group",POWER(Upgrades!$U$16,H169),1)*IF(Upgrades!$T$17="Moving Group",POWER(Upgrades!$U$17,I169),1)*IF(Upgrades!$T$18="Moving Group",POWER(Upgrades!$U$18,J169),1)*IF(Upgrades!$T$19="Moving Group",POWER(Upgrades!$U$19,K169),1)*IF(Upgrades!$T$20="Moving Group",POWER(Upgrades!$U$20,L169),1))*POWER(Upgrades!$P$13,E169)*POWER(Upgrades!$P$14,F169)*POWER(Upgrades!$P$15,G169)*POWER(Upgrades!$P$16,H169)*POWER(Upgrades!$P$17,I169)*POWER(Upgrades!$P$18,J169)*POWER(Upgrades!$P$19,K169)*POWER(Upgrades!$P$20,L169)*POWER(Upgrades!$P$21,M169)*$F$6*60</f>
        <v/>
      </c>
      <c r="AJ169" s="27">
        <f>$C$6*60</f>
        <v/>
      </c>
      <c r="AK169" s="22">
        <f>IF(E169&gt;=Upgrades!$E$13,"",Upgrades!$C$13*POWER(Upgrades!$D$13,E169))</f>
        <v/>
      </c>
      <c r="AL169" s="22">
        <f>IF(F169&gt;=Upgrades!$E$14,"",Upgrades!$C$14*POWER(Upgrades!$D$14,F169))</f>
        <v/>
      </c>
      <c r="AM169" s="22">
        <f>IF(G169&gt;=Upgrades!$E$15,"",Upgrades!$C$15*POWER(Upgrades!$D$15,G169))</f>
        <v/>
      </c>
      <c r="AN169" s="22">
        <f>IF(H169&gt;=Upgrades!$E$16,"",Upgrades!$C$16*POWER(Upgrades!$D$16,H169))</f>
        <v/>
      </c>
      <c r="AO169" s="22">
        <f>IF(I169&gt;=Upgrades!$E$17,"",Upgrades!$C$17*POWER(Upgrades!$D$17,I169))</f>
        <v/>
      </c>
      <c r="AP169" s="22">
        <f>IF(J169&gt;=Upgrades!$E$18,"",Upgrades!$C$18*POWER(Upgrades!$D$18,J169))</f>
        <v/>
      </c>
      <c r="AQ169" s="22">
        <f>IF(K169&gt;=Upgrades!$E$19,"",Upgrades!$C$19*POWER(Upgrades!$D$19,K169))</f>
        <v/>
      </c>
      <c r="AR169" s="22">
        <f>IF(L169&gt;=Upgrades!$E$20,"",Upgrades!$C$20*POWER(Upgrades!$D$20,L169))</f>
        <v/>
      </c>
      <c r="AS169" s="22">
        <f>IF(M169&gt;=Upgrades!$E$21,"",Upgrades!$C$21*POWER(Upgrades!$D$21,M169))</f>
        <v/>
      </c>
      <c r="AT169" s="26">
        <f>IF(AND(D169&gt;=Parameters!$B$18*Parameters!$B$19,(I169&gt;=Upgrades!$E$17)*(M169&gt;=Upgrades!$E$21)=1,N169=0),1,"")</f>
        <v/>
      </c>
      <c r="AU169" s="26">
        <f>IF(AND(D169&gt;=Parameters!$B$18*Parameters!$B$19,N169=0),1,"")</f>
        <v/>
      </c>
      <c r="AV169" s="22">
        <f>MIN(IF(ISNUMBER(AP169),AP169,9E15),IF(ISNUMBER(AQ169),AQ169,9E15),IF(ISNUMBER(AR169),AR169,9E15),IF(ISNUMBER(AS169),AS169,9E15))</f>
        <v/>
      </c>
      <c r="AW169" s="22">
        <f>MIN(IF(ISNUMBER(AK169),AK169,9E15),IF(ISNUMBER(AL169),AL169,9E15),IF(ISNUMBER(AM169),AM169,9E15),IF(ISNUMBER(AN169),AN169,9E15),IF(ISNUMBER(AO169),AO169,9E15))</f>
        <v/>
      </c>
      <c r="AX169" s="29">
        <f>IF(BD169&gt;Parameters!$B$21*(MAX(IF(AND(NOT(AND(AU169=1,AT169&lt;&gt;1)),ISNUMBER(AK169),AK169&lt;=(C169+T169)),AY169,0),IF(AND(NOT(AND(AU169=1,AT169&lt;&gt;1)),ISNUMBER(AL169),AL169&lt;=(C169+T169)),AZ169,0),IF(AND(NOT(AND(AU169=1,AT169&lt;&gt;1)),ISNUMBER(AM169),AM169&lt;=(C169+T169)),BA169,0),IF(AND(NOT(AND(AU169=1,AT169&lt;&gt;1)),ISNUMBER(AN169),AN169&lt;=(C169+T169)),BB169,0),IF(AND(ISNUMBER(AO169),AO169&lt;=(C169+T169)),BC169,0))),TRUE,FALSE)</f>
        <v/>
      </c>
      <c r="AY169" s="32">
        <f>IFERROR(Upgrades!$H$13*(POWER(Upgrades!$P$13,E169)*POWER(Upgrades!$P$14,F169)*POWER(Upgrades!$P$15,G169)*POWER(Upgrades!$P$16,H169)*POWER(Upgrades!$P$17,I169)*POWER(Upgrades!$P$18,J169)*POWER(Upgrades!$P$19,K169)*POWER(Upgrades!$P$20,L169)*POWER(Upgrades!$P$21,M169))*(IF(Upgrades!$T$14="Stellar Kinematics",POWER(Upgrades!$U$14,F169),1)*IF(Upgrades!$T$15="Stellar Kinematics",POWER(Upgrades!$U$15,G169),1)*IF(Upgrades!$T$16="Stellar Kinematics",POWER(Upgrades!$U$16,H169),1)*IF(Upgrades!$T$17="Stellar Kinematics",POWER(Upgrades!$U$17,I169),1)*IF(Upgrades!$T$18="Stellar Kinematics",POWER(Upgrades!$U$18,J169),1)*IF(Upgrades!$T$19="Stellar Kinematics",POWER(Upgrades!$U$19,K169),1)*IF(Upgrades!$T$20="Stellar Kinematics",POWER(Upgrades!$U$20,L169),1)*IF(Upgrades!$T$21="Stellar Kinematics",POWER(Upgrades!$U$21,M169),1))*$F$6/AK169,0)</f>
        <v/>
      </c>
      <c r="AZ169" s="32">
        <f>IFERROR(Upgrades!$H$14*(POWER(Upgrades!$P$13,E169)*POWER(Upgrades!$P$14,F169)*POWER(Upgrades!$P$15,G169)*POWER(Upgrades!$P$16,H169)*POWER(Upgrades!$P$17,I169)*POWER(Upgrades!$P$18,J169)*POWER(Upgrades!$P$19,K169)*POWER(Upgrades!$P$20,L169)*POWER(Upgrades!$P$21,M169))*(IF(Upgrades!$T$13="Local Bubble",POWER(Upgrades!$U$13,E169),1)*IF(Upgrades!$T$15="Local Bubble",POWER(Upgrades!$U$15,G169),1)*IF(Upgrades!$T$16="Local Bubble",POWER(Upgrades!$U$16,H169),1)*IF(Upgrades!$T$17="Local Bubble",POWER(Upgrades!$U$17,I169),1)*IF(Upgrades!$T$18="Local Bubble",POWER(Upgrades!$U$18,J169),1)*IF(Upgrades!$T$19="Local Bubble",POWER(Upgrades!$U$19,K169),1)*IF(Upgrades!$T$20="Local Bubble",POWER(Upgrades!$U$20,L169),1)*IF(Upgrades!$T$21="Local Bubble",POWER(Upgrades!$U$21,M169),1))*$F$6/AL169,0)</f>
        <v/>
      </c>
      <c r="BA169" s="32">
        <f>IFERROR(Upgrades!$K$15*(POWER(Upgrades!$Q$13,E169)*POWER(Upgrades!$Q$14,F169)*POWER(Upgrades!$Q$15,G169)*POWER(Upgrades!$Q$16,H169)*POWER(Upgrades!$Q$17,I169)*POWER(Upgrades!$Q$18,J169)*POWER(Upgrades!$Q$19,K169)*POWER(Upgrades!$Q$20,L169)*POWER(Upgrades!$Q$21,M169))*(IF(Upgrades!$T$13="Microlensing",POWER(Upgrades!$U$13,E169),1)*IF(Upgrades!$T$14="Microlensing",POWER(Upgrades!$U$14,F169),1)*IF(Upgrades!$T$16="Microlensing",POWER(Upgrades!$U$16,H169),1)*IF(Upgrades!$T$17="Microlensing",POWER(Upgrades!$U$17,I169),1)*IF(Upgrades!$T$18="Microlensing",POWER(Upgrades!$U$18,J169),1)*IF(Upgrades!$T$19="Microlensing",POWER(Upgrades!$U$19,K169),1)*IF(Upgrades!$T$20="Microlensing",POWER(Upgrades!$U$20,L169),1)*IF(Upgrades!$T$21="Microlensing",POWER(Upgrades!$U$21,M169),1))*$G$6*(Parameters!$B$10/60*Parameters!$B$11+Q169)/AM169,0)</f>
        <v/>
      </c>
      <c r="BB169" s="32">
        <f>IFERROR((Upgrades!$N$16*(POWER(Upgrades!$R$13,E169)*POWER(Upgrades!$R$14,F169)*POWER(Upgrades!$R$15,G169)*POWER(Upgrades!$R$16,H169)*POWER(Upgrades!$R$17,I169)*POWER(Upgrades!$R$18,J169)*POWER(Upgrades!$R$19,K169)*POWER(Upgrades!$R$20,L169)*POWER(Upgrades!$R$21,M169))*(IF(Upgrades!$T$13="Roche Lobe Overflow",POWER(Upgrades!$U$13,E169),1)*IF(Upgrades!$T$14="Roche Lobe Overflow",POWER(Upgrades!$U$14,F169),1)*IF(Upgrades!$T$15="Roche Lobe Overflow",POWER(Upgrades!$U$15,G169),1)*IF(Upgrades!$T$17="Roche Lobe Overflow",POWER(Upgrades!$U$17,I169),1)*IF(Upgrades!$T$18="Roche Lobe Overflow",POWER(Upgrades!$U$18,J169),1)*IF(Upgrades!$T$19="Roche Lobe Overflow",POWER(Upgrades!$U$19,K169),1)*IF(Upgrades!$T$20="Roche Lobe Overflow",POWER(Upgrades!$U$20,L169),1)*IF(Upgrades!$T$21="Roche Lobe Overflow",POWER(Upgrades!$U$21,M169),1))*$H$6*O169+((IF(F169=0,0,(Upgrades!$G$14+F169*Upgrades!$H$14)*POWER(Upgrades!$I$14,F169)))*(IF(Upgrades!$T$13="Local Bubble",POWER(Upgrades!$U$13,E169),1)*IF(Upgrades!$T$15="Local Bubble",POWER(Upgrades!$U$15,G169),1)*IF(Upgrades!$T$16="Local Bubble",POWER(Upgrades!$U$16,H169),1)*IF(Upgrades!$T$17="Local Bubble",POWER(Upgrades!$U$17,I169),1)*IF(Upgrades!$T$18="Local Bubble",POWER(Upgrades!$U$18,J169),1)*IF(Upgrades!$T$19="Local Bubble",POWER(Upgrades!$U$19,K169),1)*IF(Upgrades!$T$20="Local Bubble",POWER(Upgrades!$U$20,L169),1)*IF(Upgrades!$T$21="Local Bubble",POWER(Upgrades!$U$21,M169),1))*POWER(Upgrades!$P$13,E169)*POWER(Upgrades!$P$14,F169)*POWER(Upgrades!$P$15,G169)*POWER(Upgrades!$P$16,H169)*POWER(Upgrades!$P$17,I169)*POWER(Upgrades!$P$18,J169)*POWER(Upgrades!$P$19,K169)*POWER(Upgrades!$P$20,L169)*POWER(Upgrades!$P$21,M169)*$F$6)*0.05)/AN169,0)</f>
        <v/>
      </c>
      <c r="BC169" s="32">
        <f>IFERROR((Upgrades!$H$17*(POWER(Upgrades!$P$13,E169)*POWER(Upgrades!$P$14,F169)*POWER(Upgrades!$P$15,G169)*POWER(Upgrades!$P$16,H169)*POWER(Upgrades!$P$17,I169)*POWER(Upgrades!$P$18,J169)*POWER(Upgrades!$P$19,K169)*POWER(Upgrades!$P$20,L169)*POWER(Upgrades!$P$21,M169))*(IF(Upgrades!$T$13="Brown Dwarf",POWER(Upgrades!$U$13,E169),1)*IF(Upgrades!$T$14="Brown Dwarf",POWER(Upgrades!$U$14,F169),1)*IF(Upgrades!$T$15="Brown Dwarf",POWER(Upgrades!$U$15,G169),1)*IF(Upgrades!$T$16="Brown Dwarf",POWER(Upgrades!$U$16,H169),1)*IF(Upgrades!$T$18="Brown Dwarf",POWER(Upgrades!$U$18,J169),1)*IF(Upgrades!$T$19="Brown Dwarf",POWER(Upgrades!$U$19,K169),1)*IF(Upgrades!$T$20="Brown Dwarf",POWER(Upgrades!$U$20,L169),1)*IF(Upgrades!$T$21="Brown Dwarf",POWER(Upgrades!$U$21,M169),1))*$F$6+(((IF(H169=0,0,(Upgrades!$M$16+H169*Upgrades!$N$16)*POWER(Upgrades!$O$16,H169)))*(IF(Upgrades!$T$13="Roche Lobe Overflow",POWER(Upgrades!$U$13,E169),1)*IF(Upgrades!$T$14="Roche Lobe Overflow",POWER(Upgrades!$U$14,F169),1)*IF(Upgrades!$T$15="Roche Lobe Overflow",POWER(Upgrades!$U$15,G169),1)*IF(Upgrades!$T$17="Roche Lobe Overflow",POWER(Upgrades!$U$17,I169),1)*IF(Upgrades!$T$18="Roche Lobe Overflow",POWER(Upgrades!$U$18,J169),1)*IF(Upgrades!$T$19="Roche Lobe Overflow",POWER(Upgrades!$U$19,K169),1)*IF(Upgrades!$T$20="Roche Lobe Overflow",POWER(Upgrades!$U$20,L169),1)*IF(Upgrades!$T$21="Roche Lobe Overflow",POWER(Upgrades!$U$21,M169),1))*POWER(Upgrades!$R$13,E169)*POWER(Upgrades!$R$14,F169)*POWER(Upgrades!$R$15,G169)*POWER(Upgrades!$R$16,H169)*POWER(Upgrades!$R$17,I169)*POWER(Upgrades!$R$18,J169)*POWER(Upgrades!$R$19,K169)*POWER(Upgrades!$R$20,L169)*POWER(Upgrades!$R$21,M169)*$H$6)*O169)*0.10)/AO169,0)</f>
        <v/>
      </c>
      <c r="BD169" s="32">
        <f>MAX(IF(J169&gt;0,0,IFERROR(0.5*((IF(G169=0,0,(Upgrades!$J$15+G169*Upgrades!$K$15)*POWER(Upgrades!$L$15,G169)))*(IF(Upgrades!$T$13="Microlensing",POWER(Upgrades!$U$13,E169),1)*IF(Upgrades!$T$14="Microlensing",POWER(Upgrades!$U$14,F169),1)*IF(Upgrades!$T$16="Microlensing",POWER(Upgrades!$U$16,H169),1)*IF(Upgrades!$T$17="Microlensing",POWER(Upgrades!$U$17,I169),1)*IF(Upgrades!$T$18="Microlensing",POWER(Upgrades!$U$18,J169),1)*IF(Upgrades!$T$19="Microlensing",POWER(Upgrades!$U$19,K169),1)*IF(Upgrades!$T$20="Microlensing",POWER(Upgrades!$U$20,L169),1)*IF(Upgrades!$T$21="Microlensing",POWER(Upgrades!$U$21,M169),1))*(POWER(Upgrades!$Q$13,E169)*POWER(Upgrades!$Q$14,F169)*POWER(Upgrades!$Q$15,G169)*POWER(Upgrades!$Q$16,H169)*POWER(Upgrades!$Q$17,I169)*POWER(Upgrades!$Q$18,J169)*POWER(Upgrades!$Q$19,K169)*POWER(Upgrades!$Q$20,L169)*POWER(Upgrades!$Q$21,M169))*$G$6*(Parameters!$B$10/60*Parameters!$B$11+Q169))/Upgrades!$C$18,0)),IF(K169&gt;0,0,IFERROR(0.30*P169/Upgrades!$C$19,0)),IF(L169&gt;0,0,IFERROR(0.0001/Upgrades!$C$20,0)),IF(M169&gt;0,0,IFERROR((6.0*(POWER(Upgrades!$P$13,E169)*POWER(Upgrades!$P$14,F169)*POWER(Upgrades!$P$15,G169)*POWER(Upgrades!$P$16,H169)*POWER(Upgrades!$P$17,I169)*POWER(Upgrades!$P$18,J169)*POWER(Upgrades!$P$19,K169)*POWER(Upgrades!$P$20,L169)*POWER(Upgrades!$P$21,M169))*$F$6+0.20*O169*(Parameters!$B$10/60*Parameters!$B$11+Q169))/Upgrades!$C$21,0)),IF(AND(ISNUMBER(AK169),AK169&gt;(C169+T169)),AY169,0),IF(AND(ISNUMBER(AL169),AL169&gt;(C169+T169)),AZ169,0),IF(AND(ISNUMBER(AM169),AM169&gt;(C169+T169)),BA169,0),IF(AND(ISNUMBER(AN169),AN169&gt;(C169+T169)),BB169,0),IF(AND(ISNUMBER(AO169),AO169&gt;(C169+T169)),BC169,0))</f>
        <v/>
      </c>
      <c r="BE169" s="29">
        <f>IF(AT169=1,"transition",IF(MIN(IF(AND(J169=0,ISNUMBER(AP169),AP169&lt;=(C169+T169)),AP169,9E15),IF(AND(K169=0,ISNUMBER(AQ169),AQ169&lt;=(C169+T169)),AQ169,9E15),IF(AND(L169=0,ISNUMBER(AR169),AR169&lt;=(C169+T169)),AR169,9E15),IF(AND(M169=0,ISNUMBER(AS169),AS169&lt;=(C169+T169)),AS169,9E15))&lt;9E15,IF(AND(AND(J169=0,ISNUMBER(AP169),AP169&lt;=(C169+T169)),AP169=MIN(IF(AND(J169=0,ISNUMBER(AP169),AP169&lt;=(C169+T169)),AP169,9E15),IF(AND(K169=0,ISNUMBER(AQ169),AQ169&lt;=(C169+T169)),AQ169,9E15),IF(AND(L169=0,ISNUMBER(AR169),AR169&lt;=(C169+T169)),AR169,9E15),IF(AND(M169=0,ISNUMBER(AS169),AS169&lt;=(C169+T169)),AS169,9E15))),"BiP",IF(AND(AND(K169=0,ISNUMBER(AQ169),AQ169&lt;=(C169+T169)),AQ169=MIN(IF(AND(J169=0,ISNUMBER(AP169),AP169&lt;=(C169+T169)),AP169,9E15),IF(AND(K169=0,ISNUMBER(AQ169),AQ169&lt;=(C169+T169)),AQ169,9E15),IF(AND(L169=0,ISNUMBER(AR169),AR169&lt;=(C169+T169)),AR169,9E15),IF(AND(M169=0,ISNUMBER(AS169),AS169&lt;=(C169+T169)),AS169,9E15))),"PV",IF(AND(AND(L169=0,ISNUMBER(AR169),AR169&lt;=(C169+T169)),AR169=MIN(IF(AND(J169=0,ISNUMBER(AP169),AP169&lt;=(C169+T169)),AP169,9E15),IF(AND(K169=0,ISNUMBER(AQ169),AQ169&lt;=(C169+T169)),AQ169,9E15),IF(AND(L169=0,ISNUMBER(AR169),AR169&lt;=(C169+T169)),AR169,9E15),IF(AND(M169=0,ISNUMBER(AS169),AS169&lt;=(C169+T169)),AS169,9E15))),"OC","MG"))),IF(AX169=TRUE,"",IF(MAX(IF(AND(NOT(AND(AU169=1,AT169&lt;&gt;1)),ISNUMBER(AK169),AK169&lt;=(C169+T169)),AY169,0),IF(AND(NOT(AND(AU169=1,AT169&lt;&gt;1)),ISNUMBER(AL169),AL169&lt;=(C169+T169)),AZ169,0),IF(AND(NOT(AND(AU169=1,AT169&lt;&gt;1)),ISNUMBER(AM169),AM169&lt;=(C169+T169)),BA169,0),IF(AND(NOT(AND(AU169=1,AT169&lt;&gt;1)),ISNUMBER(AN169),AN169&lt;=(C169+T169)),BB169,0),IF(AND(ISNUMBER(AO169),AO169&lt;=(C169+T169)),BC169,0))&lt;=0,"",IF(AND(IF(AND(NOT(AND(AU169=1,AT169&lt;&gt;1)),ISNUMBER(AK169),AK169&lt;=(C169+T169)),AY169,0)&gt;0,IF(AND(NOT(AND(AU169=1,AT169&lt;&gt;1)),ISNUMBER(AK169),AK169&lt;=(C169+T169)),AY169,0)=MAX(IF(AND(NOT(AND(AU169=1,AT169&lt;&gt;1)),ISNUMBER(AK169),AK169&lt;=(C169+T169)),AY169,0),IF(AND(NOT(AND(AU169=1,AT169&lt;&gt;1)),ISNUMBER(AL169),AL169&lt;=(C169+T169)),AZ169,0),IF(AND(NOT(AND(AU169=1,AT169&lt;&gt;1)),ISNUMBER(AM169),AM169&lt;=(C169+T169)),BA169,0),IF(AND(NOT(AND(AU169=1,AT169&lt;&gt;1)),ISNUMBER(AN169),AN169&lt;=(C169+T169)),BB169,0),IF(AND(ISNUMBER(AO169),AO169&lt;=(C169+T169)),BC169,0))),"SK",IF(AND(IF(AND(NOT(AND(AU169=1,AT169&lt;&gt;1)),ISNUMBER(AL169),AL169&lt;=(C169+T169)),AZ169,0)&gt;0,IF(AND(NOT(AND(AU169=1,AT169&lt;&gt;1)),ISNUMBER(AL169),AL169&lt;=(C169+T169)),AZ169,0)=MAX(IF(AND(NOT(AND(AU169=1,AT169&lt;&gt;1)),ISNUMBER(AK169),AK169&lt;=(C169+T169)),AY169,0),IF(AND(NOT(AND(AU169=1,AT169&lt;&gt;1)),ISNUMBER(AL169),AL169&lt;=(C169+T169)),AZ169,0),IF(AND(NOT(AND(AU169=1,AT169&lt;&gt;1)),ISNUMBER(AM169),AM169&lt;=(C169+T169)),BA169,0),IF(AND(NOT(AND(AU169=1,AT169&lt;&gt;1)),ISNUMBER(AN169),AN169&lt;=(C169+T169)),BB169,0),IF(AND(ISNUMBER(AO169),AO169&lt;=(C169+T169)),BC169,0))),"LB",IF(AND(IF(AND(NOT(AND(AU169=1,AT169&lt;&gt;1)),ISNUMBER(AM169),AM169&lt;=(C169+T169)),BA169,0)&gt;0,IF(AND(NOT(AND(AU169=1,AT169&lt;&gt;1)),ISNUMBER(AM169),AM169&lt;=(C169+T169)),BA169,0)=MAX(IF(AND(NOT(AND(AU169=1,AT169&lt;&gt;1)),ISNUMBER(AK169),AK169&lt;=(C169+T169)),AY169,0),IF(AND(NOT(AND(AU169=1,AT169&lt;&gt;1)),ISNUMBER(AL169),AL169&lt;=(C169+T169)),AZ169,0),IF(AND(NOT(AND(AU169=1,AT169&lt;&gt;1)),ISNUMBER(AM169),AM169&lt;=(C169+T169)),BA169,0),IF(AND(NOT(AND(AU169=1,AT169&lt;&gt;1)),ISNUMBER(AN169),AN169&lt;=(C169+T169)),BB169,0),IF(AND(ISNUMBER(AO169),AO169&lt;=(C169+T169)),BC169,0))),"ML",IF(AND(IF(AND(NOT(AND(AU169=1,AT169&lt;&gt;1)),ISNUMBER(AN169),AN169&lt;=(C169+T169)),BB169,0)&gt;0,IF(AND(NOT(AND(AU169=1,AT169&lt;&gt;1)),ISNUMBER(AN169),AN169&lt;=(C169+T169)),BB169,0)=MAX(IF(AND(NOT(AND(AU169=1,AT169&lt;&gt;1)),ISNUMBER(AK169),AK169&lt;=(C169+T169)),AY169,0),IF(AND(NOT(AND(AU169=1,AT169&lt;&gt;1)),ISNUMBER(AL169),AL169&lt;=(C169+T169)),AZ169,0),IF(AND(NOT(AND(AU169=1,AT169&lt;&gt;1)),ISNUMBER(AM169),AM169&lt;=(C169+T169)),BA169,0),IF(AND(NOT(AND(AU169=1,AT169&lt;&gt;1)),ISNUMBER(AN169),AN169&lt;=(C169+T169)),BB169,0),IF(AND(ISNUMBER(AO169),AO169&lt;=(C169+T169)),BC169,0))),"RLO","BD"))))))))</f>
        <v/>
      </c>
    </row>
    <row r="170">
      <c r="A170" s="26" t="n">
        <v>159</v>
      </c>
      <c r="B170" s="27">
        <f>A170*10/60</f>
        <v/>
      </c>
      <c r="C170" s="22">
        <f>X169</f>
        <v/>
      </c>
      <c r="D170" s="27">
        <f>D169+W169</f>
        <v/>
      </c>
      <c r="E170" s="26">
        <f>E169+IF(U169="SK",1,0)</f>
        <v/>
      </c>
      <c r="F170" s="26">
        <f>F169+IF(U169="LB",1,0)</f>
        <v/>
      </c>
      <c r="G170" s="26">
        <f>G169+IF(U169="ML",1,0)</f>
        <v/>
      </c>
      <c r="H170" s="26">
        <f>H169+IF(U169="RLO",1,0)</f>
        <v/>
      </c>
      <c r="I170" s="26">
        <f>I169+IF(U169="BD",1,0)</f>
        <v/>
      </c>
      <c r="J170" s="26">
        <f>MAX(J169,IF(U169="BiP",1,0))</f>
        <v/>
      </c>
      <c r="K170" s="26">
        <f>MAX(K169,IF(U169="PV",1,0))</f>
        <v/>
      </c>
      <c r="L170" s="26">
        <f>MAX(L169,IF(U169="OC",1,0))</f>
        <v/>
      </c>
      <c r="M170" s="26">
        <f>MAX(M169,IF(U169="MG",1,0))</f>
        <v/>
      </c>
      <c r="N170" s="26">
        <f>MAX(N169,IF(U169="transition",1,0))</f>
        <v/>
      </c>
      <c r="O170" s="28">
        <f>(Parameters!$B$9+(IF(E170=0,0,(Upgrades!$J$13+E170*Upgrades!$K$13)*POWER(Upgrades!$L$13,E170)))*(IF(Upgrades!$T$14="Stellar Kinematics",POWER(Upgrades!$U$14,F170),1)*IF(Upgrades!$T$15="Stellar Kinematics",POWER(Upgrades!$U$15,G170),1)*IF(Upgrades!$T$16="Stellar Kinematics",POWER(Upgrades!$U$16,H170),1)*IF(Upgrades!$T$17="Stellar Kinematics",POWER(Upgrades!$U$17,I170),1)*IF(Upgrades!$T$18="Stellar Kinematics",POWER(Upgrades!$U$18,J170),1)*IF(Upgrades!$T$19="Stellar Kinematics",POWER(Upgrades!$U$19,K170),1)*IF(Upgrades!$T$20="Stellar Kinematics",POWER(Upgrades!$U$20,L170),1)*IF(Upgrades!$T$21="Stellar Kinematics",POWER(Upgrades!$U$21,M170),1))+(IF(F170=0,0,(Upgrades!$J$14+F170*Upgrades!$K$14)*POWER(Upgrades!$L$14,F170)))*(IF(Upgrades!$T$13="Local Bubble",POWER(Upgrades!$U$13,E170),1)*IF(Upgrades!$T$15="Local Bubble",POWER(Upgrades!$U$15,G170),1)*IF(Upgrades!$T$16="Local Bubble",POWER(Upgrades!$U$16,H170),1)*IF(Upgrades!$T$17="Local Bubble",POWER(Upgrades!$U$17,I170),1)*IF(Upgrades!$T$18="Local Bubble",POWER(Upgrades!$U$18,J170),1)*IF(Upgrades!$T$19="Local Bubble",POWER(Upgrades!$U$19,K170),1)*IF(Upgrades!$T$20="Local Bubble",POWER(Upgrades!$U$20,L170),1)*IF(Upgrades!$T$21="Local Bubble",POWER(Upgrades!$U$21,M170),1))+(IF(G170=0,0,(Upgrades!$J$15+G170*Upgrades!$K$15)*POWER(Upgrades!$L$15,G170)))*(IF(Upgrades!$T$13="Microlensing",POWER(Upgrades!$U$13,E170),1)*IF(Upgrades!$T$14="Microlensing",POWER(Upgrades!$U$14,F170),1)*IF(Upgrades!$T$16="Microlensing",POWER(Upgrades!$U$16,H170),1)*IF(Upgrades!$T$17="Microlensing",POWER(Upgrades!$U$17,I170),1)*IF(Upgrades!$T$18="Microlensing",POWER(Upgrades!$U$18,J170),1)*IF(Upgrades!$T$19="Microlensing",POWER(Upgrades!$U$19,K170),1)*IF(Upgrades!$T$20="Microlensing",POWER(Upgrades!$U$20,L170),1)*IF(Upgrades!$T$21="Microlensing",POWER(Upgrades!$U$21,M170),1))+(IF(H170=0,0,(Upgrades!$J$16+H170*Upgrades!$K$16)*POWER(Upgrades!$L$16,H170)))*(IF(Upgrades!$T$13="Roche Lobe Overflow",POWER(Upgrades!$U$13,E170),1)*IF(Upgrades!$T$14="Roche Lobe Overflow",POWER(Upgrades!$U$14,F170),1)*IF(Upgrades!$T$15="Roche Lobe Overflow",POWER(Upgrades!$U$15,G170),1)*IF(Upgrades!$T$17="Roche Lobe Overflow",POWER(Upgrades!$U$17,I170),1)*IF(Upgrades!$T$18="Roche Lobe Overflow",POWER(Upgrades!$U$18,J170),1)*IF(Upgrades!$T$19="Roche Lobe Overflow",POWER(Upgrades!$U$19,K170),1)*IF(Upgrades!$T$20="Roche Lobe Overflow",POWER(Upgrades!$U$20,L170),1)*IF(Upgrades!$T$21="Roche Lobe Overflow",POWER(Upgrades!$U$21,M170),1))+(IF(I170=0,0,(Upgrades!$J$17+I170*Upgrades!$K$17)*POWER(Upgrades!$L$17,I170)))*(IF(Upgrades!$T$13="Brown Dwarf",POWER(Upgrades!$U$13,E170),1)*IF(Upgrades!$T$14="Brown Dwarf",POWER(Upgrades!$U$14,F170),1)*IF(Upgrades!$T$15="Brown Dwarf",POWER(Upgrades!$U$15,G170),1)*IF(Upgrades!$T$16="Brown Dwarf",POWER(Upgrades!$U$16,H170),1)*IF(Upgrades!$T$18="Brown Dwarf",POWER(Upgrades!$U$18,J170),1)*IF(Upgrades!$T$19="Brown Dwarf",POWER(Upgrades!$U$19,K170),1)*IF(Upgrades!$T$20="Brown Dwarf",POWER(Upgrades!$U$20,L170),1)*IF(Upgrades!$T$21="Brown Dwarf",POWER(Upgrades!$U$21,M170),1))+(IF(J170=0,0,(Upgrades!$J$18+J170*Upgrades!$K$18)*POWER(Upgrades!$L$18,J170)))*(IF(Upgrades!$T$13="Binary Partner",POWER(Upgrades!$U$13,E170),1)*IF(Upgrades!$T$14="Binary Partner",POWER(Upgrades!$U$14,F170),1)*IF(Upgrades!$T$15="Binary Partner",POWER(Upgrades!$U$15,G170),1)*IF(Upgrades!$T$16="Binary Partner",POWER(Upgrades!$U$16,H170),1)*IF(Upgrades!$T$17="Binary Partner",POWER(Upgrades!$U$17,I170),1)*IF(Upgrades!$T$19="Binary Partner",POWER(Upgrades!$U$19,K170),1)*IF(Upgrades!$T$20="Binary Partner",POWER(Upgrades!$U$20,L170),1)*IF(Upgrades!$T$21="Binary Partner",POWER(Upgrades!$U$21,M170),1))+(IF(K170=0,0,(Upgrades!$J$19+K170*Upgrades!$K$19)*POWER(Upgrades!$L$19,K170)))*(IF(Upgrades!$T$13="Peculiar Velocity",POWER(Upgrades!$U$13,E170),1)*IF(Upgrades!$T$14="Peculiar Velocity",POWER(Upgrades!$U$14,F170),1)*IF(Upgrades!$T$15="Peculiar Velocity",POWER(Upgrades!$U$15,G170),1)*IF(Upgrades!$T$16="Peculiar Velocity",POWER(Upgrades!$U$16,H170),1)*IF(Upgrades!$T$17="Peculiar Velocity",POWER(Upgrades!$U$17,I170),1)*IF(Upgrades!$T$18="Peculiar Velocity",POWER(Upgrades!$U$18,J170),1)*IF(Upgrades!$T$20="Peculiar Velocity",POWER(Upgrades!$U$20,L170),1)*IF(Upgrades!$T$21="Peculiar Velocity",POWER(Upgrades!$U$21,M170),1))+(IF(L170=0,0,(Upgrades!$J$20+L170*Upgrades!$K$20)*POWER(Upgrades!$L$20,L170)))*(IF(Upgrades!$T$13="Open Cluster",POWER(Upgrades!$U$13,E170),1)*IF(Upgrades!$T$14="Open Cluster",POWER(Upgrades!$U$14,F170),1)*IF(Upgrades!$T$15="Open Cluster",POWER(Upgrades!$U$15,G170),1)*IF(Upgrades!$T$16="Open Cluster",POWER(Upgrades!$U$16,H170),1)*IF(Upgrades!$T$17="Open Cluster",POWER(Upgrades!$U$17,I170),1)*IF(Upgrades!$T$18="Open Cluster",POWER(Upgrades!$U$18,J170),1)*IF(Upgrades!$T$19="Open Cluster",POWER(Upgrades!$U$19,K170),1)*IF(Upgrades!$T$21="Open Cluster",POWER(Upgrades!$U$21,M170),1))+(IF(M170=0,0,(Upgrades!$J$21+M170*Upgrades!$K$21)*POWER(Upgrades!$L$21,M170)))*(IF(Upgrades!$T$13="Moving Group",POWER(Upgrades!$U$13,E170),1)*IF(Upgrades!$T$14="Moving Group",POWER(Upgrades!$U$14,F170),1)*IF(Upgrades!$T$15="Moving Group",POWER(Upgrades!$U$15,G170),1)*IF(Upgrades!$T$16="Moving Group",POWER(Upgrades!$U$16,H170),1)*IF(Upgrades!$T$17="Moving Group",POWER(Upgrades!$U$17,I170),1)*IF(Upgrades!$T$18="Moving Group",POWER(Upgrades!$U$18,J170),1)*IF(Upgrades!$T$19="Moving Group",POWER(Upgrades!$U$19,K170),1)*IF(Upgrades!$T$20="Moving Group",POWER(Upgrades!$U$20,L170),1)))*POWER(Upgrades!$Q$13,E170)*POWER(Upgrades!$Q$14,F170)*POWER(Upgrades!$Q$15,G170)*POWER(Upgrades!$Q$16,H170)*POWER(Upgrades!$Q$17,I170)*POWER(Upgrades!$Q$18,J170)*POWER(Upgrades!$Q$19,K170)*POWER(Upgrades!$Q$20,L170)*POWER(Upgrades!$Q$21,M170)*$G$6+$D$6</f>
        <v/>
      </c>
      <c r="P170" s="28">
        <f>((IF(E170=0,0,(Upgrades!$G$13+E170*Upgrades!$H$13)*POWER(Upgrades!$I$13,E170)))*(IF(Upgrades!$T$14="Stellar Kinematics",POWER(Upgrades!$U$14,F170),1)*IF(Upgrades!$T$15="Stellar Kinematics",POWER(Upgrades!$U$15,G170),1)*IF(Upgrades!$T$16="Stellar Kinematics",POWER(Upgrades!$U$16,H170),1)*IF(Upgrades!$T$17="Stellar Kinematics",POWER(Upgrades!$U$17,I170),1)*IF(Upgrades!$T$18="Stellar Kinematics",POWER(Upgrades!$U$18,J170),1)*IF(Upgrades!$T$19="Stellar Kinematics",POWER(Upgrades!$U$19,K170),1)*IF(Upgrades!$T$20="Stellar Kinematics",POWER(Upgrades!$U$20,L170),1)*IF(Upgrades!$T$21="Stellar Kinematics",POWER(Upgrades!$U$21,M170),1))+(IF(F170=0,0,(Upgrades!$G$14+F170*Upgrades!$H$14)*POWER(Upgrades!$I$14,F170)))*(IF(Upgrades!$T$13="Local Bubble",POWER(Upgrades!$U$13,E170),1)*IF(Upgrades!$T$15="Local Bubble",POWER(Upgrades!$U$15,G170),1)*IF(Upgrades!$T$16="Local Bubble",POWER(Upgrades!$U$16,H170),1)*IF(Upgrades!$T$17="Local Bubble",POWER(Upgrades!$U$17,I170),1)*IF(Upgrades!$T$18="Local Bubble",POWER(Upgrades!$U$18,J170),1)*IF(Upgrades!$T$19="Local Bubble",POWER(Upgrades!$U$19,K170),1)*IF(Upgrades!$T$20="Local Bubble",POWER(Upgrades!$U$20,L170),1)*IF(Upgrades!$T$21="Local Bubble",POWER(Upgrades!$U$21,M170),1))+(IF(G170=0,0,(Upgrades!$G$15+G170*Upgrades!$H$15)*POWER(Upgrades!$I$15,G170)))*(IF(Upgrades!$T$13="Microlensing",POWER(Upgrades!$U$13,E170),1)*IF(Upgrades!$T$14="Microlensing",POWER(Upgrades!$U$14,F170),1)*IF(Upgrades!$T$16="Microlensing",POWER(Upgrades!$U$16,H170),1)*IF(Upgrades!$T$17="Microlensing",POWER(Upgrades!$U$17,I170),1)*IF(Upgrades!$T$18="Microlensing",POWER(Upgrades!$U$18,J170),1)*IF(Upgrades!$T$19="Microlensing",POWER(Upgrades!$U$19,K170),1)*IF(Upgrades!$T$20="Microlensing",POWER(Upgrades!$U$20,L170),1)*IF(Upgrades!$T$21="Microlensing",POWER(Upgrades!$U$21,M170),1))+(IF(H170=0,0,(Upgrades!$G$16+H170*Upgrades!$H$16)*POWER(Upgrades!$I$16,H170)))*(IF(Upgrades!$T$13="Roche Lobe Overflow",POWER(Upgrades!$U$13,E170),1)*IF(Upgrades!$T$14="Roche Lobe Overflow",POWER(Upgrades!$U$14,F170),1)*IF(Upgrades!$T$15="Roche Lobe Overflow",POWER(Upgrades!$U$15,G170),1)*IF(Upgrades!$T$17="Roche Lobe Overflow",POWER(Upgrades!$U$17,I170),1)*IF(Upgrades!$T$18="Roche Lobe Overflow",POWER(Upgrades!$U$18,J170),1)*IF(Upgrades!$T$19="Roche Lobe Overflow",POWER(Upgrades!$U$19,K170),1)*IF(Upgrades!$T$20="Roche Lobe Overflow",POWER(Upgrades!$U$20,L170),1)*IF(Upgrades!$T$21="Roche Lobe Overflow",POWER(Upgrades!$U$21,M170),1))+(IF(I170=0,0,(Upgrades!$G$17+I170*Upgrades!$H$17)*POWER(Upgrades!$I$17,I170)))*(IF(Upgrades!$T$13="Brown Dwarf",POWER(Upgrades!$U$13,E170),1)*IF(Upgrades!$T$14="Brown Dwarf",POWER(Upgrades!$U$14,F170),1)*IF(Upgrades!$T$15="Brown Dwarf",POWER(Upgrades!$U$15,G170),1)*IF(Upgrades!$T$16="Brown Dwarf",POWER(Upgrades!$U$16,H170),1)*IF(Upgrades!$T$18="Brown Dwarf",POWER(Upgrades!$U$18,J170),1)*IF(Upgrades!$T$19="Brown Dwarf",POWER(Upgrades!$U$19,K170),1)*IF(Upgrades!$T$20="Brown Dwarf",POWER(Upgrades!$U$20,L170),1)*IF(Upgrades!$T$21="Brown Dwarf",POWER(Upgrades!$U$21,M170),1))+(IF(J170=0,0,(Upgrades!$G$18+J170*Upgrades!$H$18)*POWER(Upgrades!$I$18,J170)))*(IF(Upgrades!$T$13="Binary Partner",POWER(Upgrades!$U$13,E170),1)*IF(Upgrades!$T$14="Binary Partner",POWER(Upgrades!$U$14,F170),1)*IF(Upgrades!$T$15="Binary Partner",POWER(Upgrades!$U$15,G170),1)*IF(Upgrades!$T$16="Binary Partner",POWER(Upgrades!$U$16,H170),1)*IF(Upgrades!$T$17="Binary Partner",POWER(Upgrades!$U$17,I170),1)*IF(Upgrades!$T$19="Binary Partner",POWER(Upgrades!$U$19,K170),1)*IF(Upgrades!$T$20="Binary Partner",POWER(Upgrades!$U$20,L170),1)*IF(Upgrades!$T$21="Binary Partner",POWER(Upgrades!$U$21,M170),1))+(IF(K170=0,0,(Upgrades!$G$19+K170*Upgrades!$H$19)*POWER(Upgrades!$I$19,K170)))*(IF(Upgrades!$T$13="Peculiar Velocity",POWER(Upgrades!$U$13,E170),1)*IF(Upgrades!$T$14="Peculiar Velocity",POWER(Upgrades!$U$14,F170),1)*IF(Upgrades!$T$15="Peculiar Velocity",POWER(Upgrades!$U$15,G170),1)*IF(Upgrades!$T$16="Peculiar Velocity",POWER(Upgrades!$U$16,H170),1)*IF(Upgrades!$T$17="Peculiar Velocity",POWER(Upgrades!$U$17,I170),1)*IF(Upgrades!$T$18="Peculiar Velocity",POWER(Upgrades!$U$18,J170),1)*IF(Upgrades!$T$20="Peculiar Velocity",POWER(Upgrades!$U$20,L170),1)*IF(Upgrades!$T$21="Peculiar Velocity",POWER(Upgrades!$U$21,M170),1))+(IF(L170=0,0,(Upgrades!$G$20+L170*Upgrades!$H$20)*POWER(Upgrades!$I$20,L170)))*(IF(Upgrades!$T$13="Open Cluster",POWER(Upgrades!$U$13,E170),1)*IF(Upgrades!$T$14="Open Cluster",POWER(Upgrades!$U$14,F170),1)*IF(Upgrades!$T$15="Open Cluster",POWER(Upgrades!$U$15,G170),1)*IF(Upgrades!$T$16="Open Cluster",POWER(Upgrades!$U$16,H170),1)*IF(Upgrades!$T$17="Open Cluster",POWER(Upgrades!$U$17,I170),1)*IF(Upgrades!$T$18="Open Cluster",POWER(Upgrades!$U$18,J170),1)*IF(Upgrades!$T$19="Open Cluster",POWER(Upgrades!$U$19,K170),1)*IF(Upgrades!$T$21="Open Cluster",POWER(Upgrades!$U$21,M170),1))+(IF(M170=0,0,(Upgrades!$G$21+M170*Upgrades!$H$21)*POWER(Upgrades!$I$21,M170)))*(IF(Upgrades!$T$13="Moving Group",POWER(Upgrades!$U$13,E170),1)*IF(Upgrades!$T$14="Moving Group",POWER(Upgrades!$U$14,F170),1)*IF(Upgrades!$T$15="Moving Group",POWER(Upgrades!$U$15,G170),1)*IF(Upgrades!$T$16="Moving Group",POWER(Upgrades!$U$16,H170),1)*IF(Upgrades!$T$17="Moving Group",POWER(Upgrades!$U$17,I170),1)*IF(Upgrades!$T$18="Moving Group",POWER(Upgrades!$U$18,J170),1)*IF(Upgrades!$T$19="Moving Group",POWER(Upgrades!$U$19,K170),1)*IF(Upgrades!$T$20="Moving Group",POWER(Upgrades!$U$20,L170),1)))*POWER(Upgrades!$P$13,E170)*POWER(Upgrades!$P$14,F170)*POWER(Upgrades!$P$15,G170)*POWER(Upgrades!$P$16,H170)*POWER(Upgrades!$P$17,I170)*POWER(Upgrades!$P$18,J170)*POWER(Upgrades!$P$19,K170)*POWER(Upgrades!$P$20,L170)*POWER(Upgrades!$P$21,M170)*$F$6+$C$6</f>
        <v/>
      </c>
      <c r="Q170" s="28">
        <f>((IF(E170=0,0,(Upgrades!$M$13+E170*Upgrades!$N$13)*POWER(Upgrades!$O$13,E170)))*(IF(Upgrades!$T$14="Stellar Kinematics",POWER(Upgrades!$U$14,F170),1)*IF(Upgrades!$T$15="Stellar Kinematics",POWER(Upgrades!$U$15,G170),1)*IF(Upgrades!$T$16="Stellar Kinematics",POWER(Upgrades!$U$16,H170),1)*IF(Upgrades!$T$17="Stellar Kinematics",POWER(Upgrades!$U$17,I170),1)*IF(Upgrades!$T$18="Stellar Kinematics",POWER(Upgrades!$U$18,J170),1)*IF(Upgrades!$T$19="Stellar Kinematics",POWER(Upgrades!$U$19,K170),1)*IF(Upgrades!$T$20="Stellar Kinematics",POWER(Upgrades!$U$20,L170),1)*IF(Upgrades!$T$21="Stellar Kinematics",POWER(Upgrades!$U$21,M170),1))+(IF(F170=0,0,(Upgrades!$M$14+F170*Upgrades!$N$14)*POWER(Upgrades!$O$14,F170)))*(IF(Upgrades!$T$13="Local Bubble",POWER(Upgrades!$U$13,E170),1)*IF(Upgrades!$T$15="Local Bubble",POWER(Upgrades!$U$15,G170),1)*IF(Upgrades!$T$16="Local Bubble",POWER(Upgrades!$U$16,H170),1)*IF(Upgrades!$T$17="Local Bubble",POWER(Upgrades!$U$17,I170),1)*IF(Upgrades!$T$18="Local Bubble",POWER(Upgrades!$U$18,J170),1)*IF(Upgrades!$T$19="Local Bubble",POWER(Upgrades!$U$19,K170),1)*IF(Upgrades!$T$20="Local Bubble",POWER(Upgrades!$U$20,L170),1)*IF(Upgrades!$T$21="Local Bubble",POWER(Upgrades!$U$21,M170),1))+(IF(G170=0,0,(Upgrades!$M$15+G170*Upgrades!$N$15)*POWER(Upgrades!$O$15,G170)))*(IF(Upgrades!$T$13="Microlensing",POWER(Upgrades!$U$13,E170),1)*IF(Upgrades!$T$14="Microlensing",POWER(Upgrades!$U$14,F170),1)*IF(Upgrades!$T$16="Microlensing",POWER(Upgrades!$U$16,H170),1)*IF(Upgrades!$T$17="Microlensing",POWER(Upgrades!$U$17,I170),1)*IF(Upgrades!$T$18="Microlensing",POWER(Upgrades!$U$18,J170),1)*IF(Upgrades!$T$19="Microlensing",POWER(Upgrades!$U$19,K170),1)*IF(Upgrades!$T$20="Microlensing",POWER(Upgrades!$U$20,L170),1)*IF(Upgrades!$T$21="Microlensing",POWER(Upgrades!$U$21,M170),1))+(IF(H170=0,0,(Upgrades!$M$16+H170*Upgrades!$N$16)*POWER(Upgrades!$O$16,H170)))*(IF(Upgrades!$T$13="Roche Lobe Overflow",POWER(Upgrades!$U$13,E170),1)*IF(Upgrades!$T$14="Roche Lobe Overflow",POWER(Upgrades!$U$14,F170),1)*IF(Upgrades!$T$15="Roche Lobe Overflow",POWER(Upgrades!$U$15,G170),1)*IF(Upgrades!$T$17="Roche Lobe Overflow",POWER(Upgrades!$U$17,I170),1)*IF(Upgrades!$T$18="Roche Lobe Overflow",POWER(Upgrades!$U$18,J170),1)*IF(Upgrades!$T$19="Roche Lobe Overflow",POWER(Upgrades!$U$19,K170),1)*IF(Upgrades!$T$20="Roche Lobe Overflow",POWER(Upgrades!$U$20,L170),1)*IF(Upgrades!$T$21="Roche Lobe Overflow",POWER(Upgrades!$U$21,M170),1))+(IF(I170=0,0,(Upgrades!$M$17+I170*Upgrades!$N$17)*POWER(Upgrades!$O$17,I170)))*(IF(Upgrades!$T$13="Brown Dwarf",POWER(Upgrades!$U$13,E170),1)*IF(Upgrades!$T$14="Brown Dwarf",POWER(Upgrades!$U$14,F170),1)*IF(Upgrades!$T$15="Brown Dwarf",POWER(Upgrades!$U$15,G170),1)*IF(Upgrades!$T$16="Brown Dwarf",POWER(Upgrades!$U$16,H170),1)*IF(Upgrades!$T$18="Brown Dwarf",POWER(Upgrades!$U$18,J170),1)*IF(Upgrades!$T$19="Brown Dwarf",POWER(Upgrades!$U$19,K170),1)*IF(Upgrades!$T$20="Brown Dwarf",POWER(Upgrades!$U$20,L170),1)*IF(Upgrades!$T$21="Brown Dwarf",POWER(Upgrades!$U$21,M170),1))+(IF(J170=0,0,(Upgrades!$M$18+J170*Upgrades!$N$18)*POWER(Upgrades!$O$18,J170)))*(IF(Upgrades!$T$13="Binary Partner",POWER(Upgrades!$U$13,E170),1)*IF(Upgrades!$T$14="Binary Partner",POWER(Upgrades!$U$14,F170),1)*IF(Upgrades!$T$15="Binary Partner",POWER(Upgrades!$U$15,G170),1)*IF(Upgrades!$T$16="Binary Partner",POWER(Upgrades!$U$16,H170),1)*IF(Upgrades!$T$17="Binary Partner",POWER(Upgrades!$U$17,I170),1)*IF(Upgrades!$T$19="Binary Partner",POWER(Upgrades!$U$19,K170),1)*IF(Upgrades!$T$20="Binary Partner",POWER(Upgrades!$U$20,L170),1)*IF(Upgrades!$T$21="Binary Partner",POWER(Upgrades!$U$21,M170),1))+(IF(K170=0,0,(Upgrades!$M$19+K170*Upgrades!$N$19)*POWER(Upgrades!$O$19,K170)))*(IF(Upgrades!$T$13="Peculiar Velocity",POWER(Upgrades!$U$13,E170),1)*IF(Upgrades!$T$14="Peculiar Velocity",POWER(Upgrades!$U$14,F170),1)*IF(Upgrades!$T$15="Peculiar Velocity",POWER(Upgrades!$U$15,G170),1)*IF(Upgrades!$T$16="Peculiar Velocity",POWER(Upgrades!$U$16,H170),1)*IF(Upgrades!$T$17="Peculiar Velocity",POWER(Upgrades!$U$17,I170),1)*IF(Upgrades!$T$18="Peculiar Velocity",POWER(Upgrades!$U$18,J170),1)*IF(Upgrades!$T$20="Peculiar Velocity",POWER(Upgrades!$U$20,L170),1)*IF(Upgrades!$T$21="Peculiar Velocity",POWER(Upgrades!$U$21,M170),1))+(IF(L170=0,0,(Upgrades!$M$20+L170*Upgrades!$N$20)*POWER(Upgrades!$O$20,L170)))*(IF(Upgrades!$T$13="Open Cluster",POWER(Upgrades!$U$13,E170),1)*IF(Upgrades!$T$14="Open Cluster",POWER(Upgrades!$U$14,F170),1)*IF(Upgrades!$T$15="Open Cluster",POWER(Upgrades!$U$15,G170),1)*IF(Upgrades!$T$16="Open Cluster",POWER(Upgrades!$U$16,H170),1)*IF(Upgrades!$T$17="Open Cluster",POWER(Upgrades!$U$17,I170),1)*IF(Upgrades!$T$18="Open Cluster",POWER(Upgrades!$U$18,J170),1)*IF(Upgrades!$T$19="Open Cluster",POWER(Upgrades!$U$19,K170),1)*IF(Upgrades!$T$21="Open Cluster",POWER(Upgrades!$U$21,M170),1))+(IF(M170=0,0,(Upgrades!$M$21+M170*Upgrades!$N$21)*POWER(Upgrades!$O$21,M170)))*(IF(Upgrades!$T$13="Moving Group",POWER(Upgrades!$U$13,E170),1)*IF(Upgrades!$T$14="Moving Group",POWER(Upgrades!$U$14,F170),1)*IF(Upgrades!$T$15="Moving Group",POWER(Upgrades!$U$15,G170),1)*IF(Upgrades!$T$16="Moving Group",POWER(Upgrades!$U$16,H170),1)*IF(Upgrades!$T$17="Moving Group",POWER(Upgrades!$U$17,I170),1)*IF(Upgrades!$T$18="Moving Group",POWER(Upgrades!$U$18,J170),1)*IF(Upgrades!$T$19="Moving Group",POWER(Upgrades!$U$19,K170),1)*IF(Upgrades!$T$20="Moving Group",POWER(Upgrades!$U$20,L170),1)))*POWER(Upgrades!$R$13,E170)*POWER(Upgrades!$R$14,F170)*POWER(Upgrades!$R$15,G170)*POWER(Upgrades!$R$16,H170)*POWER(Upgrades!$R$17,I170)*POWER(Upgrades!$R$18,J170)*POWER(Upgrades!$R$19,K170)*POWER(Upgrades!$R$20,L170)*POWER(Upgrades!$R$21,M170)*$H$6+$E$6</f>
        <v/>
      </c>
      <c r="R170" s="27">
        <f>IF(N170=1,0,O170*Parameters!$B$10/60*Parameters!$B$11*10)</f>
        <v/>
      </c>
      <c r="S170" s="27">
        <f>IF(N170=1,0,Q170*O170*10)</f>
        <v/>
      </c>
      <c r="T170" s="27">
        <f>IF(N170=1,0,R170+S170+P170*10)</f>
        <v/>
      </c>
      <c r="U170" s="33">
        <f>BE170</f>
        <v/>
      </c>
      <c r="V170" s="22">
        <f>IF(U170="",0,IF(U170="transition",0,IF(U170="SK",AK170,IF(U170="LB",AL170,IF(U170="ML",AM170,IF(U170="RLO",AN170,IF(U170="BD",AO170,IF(U170="BiP",AP170,IF(U170="PV",AQ170,IF(U170="OC",AR170,IF(U170="MG",AS170,0))))))))))</f>
        <v/>
      </c>
      <c r="W170" s="27">
        <f>IF(U170="BiP",Upgrades!$F$18,IF(U170="PV",Upgrades!$F$19,IF(U170="OC",Upgrades!$F$20,IF(U170="MG",Upgrades!$F$21,IF(U170="transition",-Parameters!$B$18*Parameters!$B$19,0)))))</f>
        <v/>
      </c>
      <c r="X170" s="22">
        <f>C170+T170-V170</f>
        <v/>
      </c>
      <c r="Y170" s="30">
        <f>O170*Parameters!$B$10/60*Parameters!$B$11+Q170*O170+P170</f>
        <v/>
      </c>
      <c r="Z170" s="34">
        <f>IF(U170="transition","→ Tier 3 (Galactic Arm)",IF(U170="MG","Moving Group — pocket drifts together",IF(U170="OC","Open Cluster acquired",IF(U170="PV","Peculiar Velocity — passive multiplier active",IF(U170="BiP","Binary Partner — pair bond formed",IF(AND(AU170=1,N170=0,AT170&lt;&gt;1),"Cohesion ready (waiting on completionists)","")))))) </f>
        <v/>
      </c>
      <c r="AA170" s="27">
        <f>(IF(E170=0,0,(Upgrades!$G$13+E170*Upgrades!$H$13)*POWER(Upgrades!$I$13,E170)))*(IF(Upgrades!$T$14="Stellar Kinematics",POWER(Upgrades!$U$14,F170),1)*IF(Upgrades!$T$15="Stellar Kinematics",POWER(Upgrades!$U$15,G170),1)*IF(Upgrades!$T$16="Stellar Kinematics",POWER(Upgrades!$U$16,H170),1)*IF(Upgrades!$T$17="Stellar Kinematics",POWER(Upgrades!$U$17,I170),1)*IF(Upgrades!$T$18="Stellar Kinematics",POWER(Upgrades!$U$18,J170),1)*IF(Upgrades!$T$19="Stellar Kinematics",POWER(Upgrades!$U$19,K170),1)*IF(Upgrades!$T$20="Stellar Kinematics",POWER(Upgrades!$U$20,L170),1)*IF(Upgrades!$T$21="Stellar Kinematics",POWER(Upgrades!$U$21,M170),1))*POWER(Upgrades!$P$13,E170)*POWER(Upgrades!$P$14,F170)*POWER(Upgrades!$P$15,G170)*POWER(Upgrades!$P$16,H170)*POWER(Upgrades!$P$17,I170)*POWER(Upgrades!$P$18,J170)*POWER(Upgrades!$P$19,K170)*POWER(Upgrades!$P$20,L170)*POWER(Upgrades!$P$21,M170)*$F$6*60</f>
        <v/>
      </c>
      <c r="AB170" s="27">
        <f>(IF(F170=0,0,(Upgrades!$G$14+F170*Upgrades!$H$14)*POWER(Upgrades!$I$14,F170)))*(IF(Upgrades!$T$13="Local Bubble",POWER(Upgrades!$U$13,E170),1)*IF(Upgrades!$T$15="Local Bubble",POWER(Upgrades!$U$15,G170),1)*IF(Upgrades!$T$16="Local Bubble",POWER(Upgrades!$U$16,H170),1)*IF(Upgrades!$T$17="Local Bubble",POWER(Upgrades!$U$17,I170),1)*IF(Upgrades!$T$18="Local Bubble",POWER(Upgrades!$U$18,J170),1)*IF(Upgrades!$T$19="Local Bubble",POWER(Upgrades!$U$19,K170),1)*IF(Upgrades!$T$20="Local Bubble",POWER(Upgrades!$U$20,L170),1)*IF(Upgrades!$T$21="Local Bubble",POWER(Upgrades!$U$21,M170),1))*POWER(Upgrades!$P$13,E170)*POWER(Upgrades!$P$14,F170)*POWER(Upgrades!$P$15,G170)*POWER(Upgrades!$P$16,H170)*POWER(Upgrades!$P$17,I170)*POWER(Upgrades!$P$18,J170)*POWER(Upgrades!$P$19,K170)*POWER(Upgrades!$P$20,L170)*POWER(Upgrades!$P$21,M170)*$F$6*60</f>
        <v/>
      </c>
      <c r="AC170" s="27">
        <f>(IF(G170=0,0,(Upgrades!$J$15+G170*Upgrades!$K$15)*POWER(Upgrades!$L$15,G170)))*(IF(Upgrades!$T$13="Microlensing",POWER(Upgrades!$U$13,E170),1)*IF(Upgrades!$T$14="Microlensing",POWER(Upgrades!$U$14,F170),1)*IF(Upgrades!$T$16="Microlensing",POWER(Upgrades!$U$16,H170),1)*IF(Upgrades!$T$17="Microlensing",POWER(Upgrades!$U$17,I170),1)*IF(Upgrades!$T$18="Microlensing",POWER(Upgrades!$U$18,J170),1)*IF(Upgrades!$T$19="Microlensing",POWER(Upgrades!$U$19,K170),1)*IF(Upgrades!$T$20="Microlensing",POWER(Upgrades!$U$20,L170),1)*IF(Upgrades!$T$21="Microlensing",POWER(Upgrades!$U$21,M170),1))*POWER(Upgrades!$Q$13,E170)*POWER(Upgrades!$Q$14,F170)*POWER(Upgrades!$Q$15,G170)*POWER(Upgrades!$Q$16,H170)*POWER(Upgrades!$Q$17,I170)*POWER(Upgrades!$Q$18,J170)*POWER(Upgrades!$Q$19,K170)*POWER(Upgrades!$Q$20,L170)*POWER(Upgrades!$Q$21,M170)*$G$6*(Parameters!$B$10*Parameters!$B$11+Q170*60)</f>
        <v/>
      </c>
      <c r="AD170" s="27">
        <f>(IF(H170=0,0,(Upgrades!$M$16+H170*Upgrades!$N$16)*POWER(Upgrades!$O$16,H170)))*(IF(Upgrades!$T$13="Roche Lobe Overflow",POWER(Upgrades!$U$13,E170),1)*IF(Upgrades!$T$14="Roche Lobe Overflow",POWER(Upgrades!$U$14,F170),1)*IF(Upgrades!$T$15="Roche Lobe Overflow",POWER(Upgrades!$U$15,G170),1)*IF(Upgrades!$T$17="Roche Lobe Overflow",POWER(Upgrades!$U$17,I170),1)*IF(Upgrades!$T$18="Roche Lobe Overflow",POWER(Upgrades!$U$18,J170),1)*IF(Upgrades!$T$19="Roche Lobe Overflow",POWER(Upgrades!$U$19,K170),1)*IF(Upgrades!$T$20="Roche Lobe Overflow",POWER(Upgrades!$U$20,L170),1)*IF(Upgrades!$T$21="Roche Lobe Overflow",POWER(Upgrades!$U$21,M170),1))*POWER(Upgrades!$R$13,E170)*POWER(Upgrades!$R$14,F170)*POWER(Upgrades!$R$15,G170)*POWER(Upgrades!$R$16,H170)*POWER(Upgrades!$R$17,I170)*POWER(Upgrades!$R$18,J170)*POWER(Upgrades!$R$19,K170)*POWER(Upgrades!$R$20,L170)*POWER(Upgrades!$R$21,M170)*$H$6*O170*60</f>
        <v/>
      </c>
      <c r="AE170" s="27">
        <f>(IF(I170=0,0,(Upgrades!$G$17+I170*Upgrades!$H$17)*POWER(Upgrades!$I$17,I170)))*(IF(Upgrades!$T$13="Brown Dwarf",POWER(Upgrades!$U$13,E170),1)*IF(Upgrades!$T$14="Brown Dwarf",POWER(Upgrades!$U$14,F170),1)*IF(Upgrades!$T$15="Brown Dwarf",POWER(Upgrades!$U$15,G170),1)*IF(Upgrades!$T$16="Brown Dwarf",POWER(Upgrades!$U$16,H170),1)*IF(Upgrades!$T$18="Brown Dwarf",POWER(Upgrades!$U$18,J170),1)*IF(Upgrades!$T$19="Brown Dwarf",POWER(Upgrades!$U$19,K170),1)*IF(Upgrades!$T$20="Brown Dwarf",POWER(Upgrades!$U$20,L170),1)*IF(Upgrades!$T$21="Brown Dwarf",POWER(Upgrades!$U$21,M170),1))*POWER(Upgrades!$P$13,E170)*POWER(Upgrades!$P$14,F170)*POWER(Upgrades!$P$15,G170)*POWER(Upgrades!$P$16,H170)*POWER(Upgrades!$P$17,I170)*POWER(Upgrades!$P$18,J170)*POWER(Upgrades!$P$19,K170)*POWER(Upgrades!$P$20,L170)*POWER(Upgrades!$P$21,M170)*$F$6*60</f>
        <v/>
      </c>
      <c r="AF170" s="27" t="n">
        <v>0</v>
      </c>
      <c r="AG170" s="27" t="n">
        <v>0</v>
      </c>
      <c r="AH170" s="27" t="n">
        <v>0</v>
      </c>
      <c r="AI170" s="27">
        <f>(IF(M170=0,0,(Upgrades!$G$21+M170*Upgrades!$H$21)*POWER(Upgrades!$I$21,M170)))*(IF(Upgrades!$T$13="Moving Group",POWER(Upgrades!$U$13,E170),1)*IF(Upgrades!$T$14="Moving Group",POWER(Upgrades!$U$14,F170),1)*IF(Upgrades!$T$15="Moving Group",POWER(Upgrades!$U$15,G170),1)*IF(Upgrades!$T$16="Moving Group",POWER(Upgrades!$U$16,H170),1)*IF(Upgrades!$T$17="Moving Group",POWER(Upgrades!$U$17,I170),1)*IF(Upgrades!$T$18="Moving Group",POWER(Upgrades!$U$18,J170),1)*IF(Upgrades!$T$19="Moving Group",POWER(Upgrades!$U$19,K170),1)*IF(Upgrades!$T$20="Moving Group",POWER(Upgrades!$U$20,L170),1))*POWER(Upgrades!$P$13,E170)*POWER(Upgrades!$P$14,F170)*POWER(Upgrades!$P$15,G170)*POWER(Upgrades!$P$16,H170)*POWER(Upgrades!$P$17,I170)*POWER(Upgrades!$P$18,J170)*POWER(Upgrades!$P$19,K170)*POWER(Upgrades!$P$20,L170)*POWER(Upgrades!$P$21,M170)*$F$6*60</f>
        <v/>
      </c>
      <c r="AJ170" s="27">
        <f>$C$6*60</f>
        <v/>
      </c>
      <c r="AK170" s="22">
        <f>IF(E170&gt;=Upgrades!$E$13,"",Upgrades!$C$13*POWER(Upgrades!$D$13,E170))</f>
        <v/>
      </c>
      <c r="AL170" s="22">
        <f>IF(F170&gt;=Upgrades!$E$14,"",Upgrades!$C$14*POWER(Upgrades!$D$14,F170))</f>
        <v/>
      </c>
      <c r="AM170" s="22">
        <f>IF(G170&gt;=Upgrades!$E$15,"",Upgrades!$C$15*POWER(Upgrades!$D$15,G170))</f>
        <v/>
      </c>
      <c r="AN170" s="22">
        <f>IF(H170&gt;=Upgrades!$E$16,"",Upgrades!$C$16*POWER(Upgrades!$D$16,H170))</f>
        <v/>
      </c>
      <c r="AO170" s="22">
        <f>IF(I170&gt;=Upgrades!$E$17,"",Upgrades!$C$17*POWER(Upgrades!$D$17,I170))</f>
        <v/>
      </c>
      <c r="AP170" s="22">
        <f>IF(J170&gt;=Upgrades!$E$18,"",Upgrades!$C$18*POWER(Upgrades!$D$18,J170))</f>
        <v/>
      </c>
      <c r="AQ170" s="22">
        <f>IF(K170&gt;=Upgrades!$E$19,"",Upgrades!$C$19*POWER(Upgrades!$D$19,K170))</f>
        <v/>
      </c>
      <c r="AR170" s="22">
        <f>IF(L170&gt;=Upgrades!$E$20,"",Upgrades!$C$20*POWER(Upgrades!$D$20,L170))</f>
        <v/>
      </c>
      <c r="AS170" s="22">
        <f>IF(M170&gt;=Upgrades!$E$21,"",Upgrades!$C$21*POWER(Upgrades!$D$21,M170))</f>
        <v/>
      </c>
      <c r="AT170" s="26">
        <f>IF(AND(D170&gt;=Parameters!$B$18*Parameters!$B$19,(I170&gt;=Upgrades!$E$17)*(M170&gt;=Upgrades!$E$21)=1,N170=0),1,"")</f>
        <v/>
      </c>
      <c r="AU170" s="26">
        <f>IF(AND(D170&gt;=Parameters!$B$18*Parameters!$B$19,N170=0),1,"")</f>
        <v/>
      </c>
      <c r="AV170" s="22">
        <f>MIN(IF(ISNUMBER(AP170),AP170,9E15),IF(ISNUMBER(AQ170),AQ170,9E15),IF(ISNUMBER(AR170),AR170,9E15),IF(ISNUMBER(AS170),AS170,9E15))</f>
        <v/>
      </c>
      <c r="AW170" s="22">
        <f>MIN(IF(ISNUMBER(AK170),AK170,9E15),IF(ISNUMBER(AL170),AL170,9E15),IF(ISNUMBER(AM170),AM170,9E15),IF(ISNUMBER(AN170),AN170,9E15),IF(ISNUMBER(AO170),AO170,9E15))</f>
        <v/>
      </c>
      <c r="AX170" s="29">
        <f>IF(BD170&gt;Parameters!$B$21*(MAX(IF(AND(NOT(AND(AU170=1,AT170&lt;&gt;1)),ISNUMBER(AK170),AK170&lt;=(C170+T170)),AY170,0),IF(AND(NOT(AND(AU170=1,AT170&lt;&gt;1)),ISNUMBER(AL170),AL170&lt;=(C170+T170)),AZ170,0),IF(AND(NOT(AND(AU170=1,AT170&lt;&gt;1)),ISNUMBER(AM170),AM170&lt;=(C170+T170)),BA170,0),IF(AND(NOT(AND(AU170=1,AT170&lt;&gt;1)),ISNUMBER(AN170),AN170&lt;=(C170+T170)),BB170,0),IF(AND(ISNUMBER(AO170),AO170&lt;=(C170+T170)),BC170,0))),TRUE,FALSE)</f>
        <v/>
      </c>
      <c r="AY170" s="32">
        <f>IFERROR(Upgrades!$H$13*(POWER(Upgrades!$P$13,E170)*POWER(Upgrades!$P$14,F170)*POWER(Upgrades!$P$15,G170)*POWER(Upgrades!$P$16,H170)*POWER(Upgrades!$P$17,I170)*POWER(Upgrades!$P$18,J170)*POWER(Upgrades!$P$19,K170)*POWER(Upgrades!$P$20,L170)*POWER(Upgrades!$P$21,M170))*(IF(Upgrades!$T$14="Stellar Kinematics",POWER(Upgrades!$U$14,F170),1)*IF(Upgrades!$T$15="Stellar Kinematics",POWER(Upgrades!$U$15,G170),1)*IF(Upgrades!$T$16="Stellar Kinematics",POWER(Upgrades!$U$16,H170),1)*IF(Upgrades!$T$17="Stellar Kinematics",POWER(Upgrades!$U$17,I170),1)*IF(Upgrades!$T$18="Stellar Kinematics",POWER(Upgrades!$U$18,J170),1)*IF(Upgrades!$T$19="Stellar Kinematics",POWER(Upgrades!$U$19,K170),1)*IF(Upgrades!$T$20="Stellar Kinematics",POWER(Upgrades!$U$20,L170),1)*IF(Upgrades!$T$21="Stellar Kinematics",POWER(Upgrades!$U$21,M170),1))*$F$6/AK170,0)</f>
        <v/>
      </c>
      <c r="AZ170" s="32">
        <f>IFERROR(Upgrades!$H$14*(POWER(Upgrades!$P$13,E170)*POWER(Upgrades!$P$14,F170)*POWER(Upgrades!$P$15,G170)*POWER(Upgrades!$P$16,H170)*POWER(Upgrades!$P$17,I170)*POWER(Upgrades!$P$18,J170)*POWER(Upgrades!$P$19,K170)*POWER(Upgrades!$P$20,L170)*POWER(Upgrades!$P$21,M170))*(IF(Upgrades!$T$13="Local Bubble",POWER(Upgrades!$U$13,E170),1)*IF(Upgrades!$T$15="Local Bubble",POWER(Upgrades!$U$15,G170),1)*IF(Upgrades!$T$16="Local Bubble",POWER(Upgrades!$U$16,H170),1)*IF(Upgrades!$T$17="Local Bubble",POWER(Upgrades!$U$17,I170),1)*IF(Upgrades!$T$18="Local Bubble",POWER(Upgrades!$U$18,J170),1)*IF(Upgrades!$T$19="Local Bubble",POWER(Upgrades!$U$19,K170),1)*IF(Upgrades!$T$20="Local Bubble",POWER(Upgrades!$U$20,L170),1)*IF(Upgrades!$T$21="Local Bubble",POWER(Upgrades!$U$21,M170),1))*$F$6/AL170,0)</f>
        <v/>
      </c>
      <c r="BA170" s="32">
        <f>IFERROR(Upgrades!$K$15*(POWER(Upgrades!$Q$13,E170)*POWER(Upgrades!$Q$14,F170)*POWER(Upgrades!$Q$15,G170)*POWER(Upgrades!$Q$16,H170)*POWER(Upgrades!$Q$17,I170)*POWER(Upgrades!$Q$18,J170)*POWER(Upgrades!$Q$19,K170)*POWER(Upgrades!$Q$20,L170)*POWER(Upgrades!$Q$21,M170))*(IF(Upgrades!$T$13="Microlensing",POWER(Upgrades!$U$13,E170),1)*IF(Upgrades!$T$14="Microlensing",POWER(Upgrades!$U$14,F170),1)*IF(Upgrades!$T$16="Microlensing",POWER(Upgrades!$U$16,H170),1)*IF(Upgrades!$T$17="Microlensing",POWER(Upgrades!$U$17,I170),1)*IF(Upgrades!$T$18="Microlensing",POWER(Upgrades!$U$18,J170),1)*IF(Upgrades!$T$19="Microlensing",POWER(Upgrades!$U$19,K170),1)*IF(Upgrades!$T$20="Microlensing",POWER(Upgrades!$U$20,L170),1)*IF(Upgrades!$T$21="Microlensing",POWER(Upgrades!$U$21,M170),1))*$G$6*(Parameters!$B$10/60*Parameters!$B$11+Q170)/AM170,0)</f>
        <v/>
      </c>
      <c r="BB170" s="32">
        <f>IFERROR((Upgrades!$N$16*(POWER(Upgrades!$R$13,E170)*POWER(Upgrades!$R$14,F170)*POWER(Upgrades!$R$15,G170)*POWER(Upgrades!$R$16,H170)*POWER(Upgrades!$R$17,I170)*POWER(Upgrades!$R$18,J170)*POWER(Upgrades!$R$19,K170)*POWER(Upgrades!$R$20,L170)*POWER(Upgrades!$R$21,M170))*(IF(Upgrades!$T$13="Roche Lobe Overflow",POWER(Upgrades!$U$13,E170),1)*IF(Upgrades!$T$14="Roche Lobe Overflow",POWER(Upgrades!$U$14,F170),1)*IF(Upgrades!$T$15="Roche Lobe Overflow",POWER(Upgrades!$U$15,G170),1)*IF(Upgrades!$T$17="Roche Lobe Overflow",POWER(Upgrades!$U$17,I170),1)*IF(Upgrades!$T$18="Roche Lobe Overflow",POWER(Upgrades!$U$18,J170),1)*IF(Upgrades!$T$19="Roche Lobe Overflow",POWER(Upgrades!$U$19,K170),1)*IF(Upgrades!$T$20="Roche Lobe Overflow",POWER(Upgrades!$U$20,L170),1)*IF(Upgrades!$T$21="Roche Lobe Overflow",POWER(Upgrades!$U$21,M170),1))*$H$6*O170+((IF(F170=0,0,(Upgrades!$G$14+F170*Upgrades!$H$14)*POWER(Upgrades!$I$14,F170)))*(IF(Upgrades!$T$13="Local Bubble",POWER(Upgrades!$U$13,E170),1)*IF(Upgrades!$T$15="Local Bubble",POWER(Upgrades!$U$15,G170),1)*IF(Upgrades!$T$16="Local Bubble",POWER(Upgrades!$U$16,H170),1)*IF(Upgrades!$T$17="Local Bubble",POWER(Upgrades!$U$17,I170),1)*IF(Upgrades!$T$18="Local Bubble",POWER(Upgrades!$U$18,J170),1)*IF(Upgrades!$T$19="Local Bubble",POWER(Upgrades!$U$19,K170),1)*IF(Upgrades!$T$20="Local Bubble",POWER(Upgrades!$U$20,L170),1)*IF(Upgrades!$T$21="Local Bubble",POWER(Upgrades!$U$21,M170),1))*POWER(Upgrades!$P$13,E170)*POWER(Upgrades!$P$14,F170)*POWER(Upgrades!$P$15,G170)*POWER(Upgrades!$P$16,H170)*POWER(Upgrades!$P$17,I170)*POWER(Upgrades!$P$18,J170)*POWER(Upgrades!$P$19,K170)*POWER(Upgrades!$P$20,L170)*POWER(Upgrades!$P$21,M170)*$F$6)*0.05)/AN170,0)</f>
        <v/>
      </c>
      <c r="BC170" s="32">
        <f>IFERROR((Upgrades!$H$17*(POWER(Upgrades!$P$13,E170)*POWER(Upgrades!$P$14,F170)*POWER(Upgrades!$P$15,G170)*POWER(Upgrades!$P$16,H170)*POWER(Upgrades!$P$17,I170)*POWER(Upgrades!$P$18,J170)*POWER(Upgrades!$P$19,K170)*POWER(Upgrades!$P$20,L170)*POWER(Upgrades!$P$21,M170))*(IF(Upgrades!$T$13="Brown Dwarf",POWER(Upgrades!$U$13,E170),1)*IF(Upgrades!$T$14="Brown Dwarf",POWER(Upgrades!$U$14,F170),1)*IF(Upgrades!$T$15="Brown Dwarf",POWER(Upgrades!$U$15,G170),1)*IF(Upgrades!$T$16="Brown Dwarf",POWER(Upgrades!$U$16,H170),1)*IF(Upgrades!$T$18="Brown Dwarf",POWER(Upgrades!$U$18,J170),1)*IF(Upgrades!$T$19="Brown Dwarf",POWER(Upgrades!$U$19,K170),1)*IF(Upgrades!$T$20="Brown Dwarf",POWER(Upgrades!$U$20,L170),1)*IF(Upgrades!$T$21="Brown Dwarf",POWER(Upgrades!$U$21,M170),1))*$F$6+(((IF(H170=0,0,(Upgrades!$M$16+H170*Upgrades!$N$16)*POWER(Upgrades!$O$16,H170)))*(IF(Upgrades!$T$13="Roche Lobe Overflow",POWER(Upgrades!$U$13,E170),1)*IF(Upgrades!$T$14="Roche Lobe Overflow",POWER(Upgrades!$U$14,F170),1)*IF(Upgrades!$T$15="Roche Lobe Overflow",POWER(Upgrades!$U$15,G170),1)*IF(Upgrades!$T$17="Roche Lobe Overflow",POWER(Upgrades!$U$17,I170),1)*IF(Upgrades!$T$18="Roche Lobe Overflow",POWER(Upgrades!$U$18,J170),1)*IF(Upgrades!$T$19="Roche Lobe Overflow",POWER(Upgrades!$U$19,K170),1)*IF(Upgrades!$T$20="Roche Lobe Overflow",POWER(Upgrades!$U$20,L170),1)*IF(Upgrades!$T$21="Roche Lobe Overflow",POWER(Upgrades!$U$21,M170),1))*POWER(Upgrades!$R$13,E170)*POWER(Upgrades!$R$14,F170)*POWER(Upgrades!$R$15,G170)*POWER(Upgrades!$R$16,H170)*POWER(Upgrades!$R$17,I170)*POWER(Upgrades!$R$18,J170)*POWER(Upgrades!$R$19,K170)*POWER(Upgrades!$R$20,L170)*POWER(Upgrades!$R$21,M170)*$H$6)*O170)*0.10)/AO170,0)</f>
        <v/>
      </c>
      <c r="BD170" s="32">
        <f>MAX(IF(J170&gt;0,0,IFERROR(0.5*((IF(G170=0,0,(Upgrades!$J$15+G170*Upgrades!$K$15)*POWER(Upgrades!$L$15,G170)))*(IF(Upgrades!$T$13="Microlensing",POWER(Upgrades!$U$13,E170),1)*IF(Upgrades!$T$14="Microlensing",POWER(Upgrades!$U$14,F170),1)*IF(Upgrades!$T$16="Microlensing",POWER(Upgrades!$U$16,H170),1)*IF(Upgrades!$T$17="Microlensing",POWER(Upgrades!$U$17,I170),1)*IF(Upgrades!$T$18="Microlensing",POWER(Upgrades!$U$18,J170),1)*IF(Upgrades!$T$19="Microlensing",POWER(Upgrades!$U$19,K170),1)*IF(Upgrades!$T$20="Microlensing",POWER(Upgrades!$U$20,L170),1)*IF(Upgrades!$T$21="Microlensing",POWER(Upgrades!$U$21,M170),1))*(POWER(Upgrades!$Q$13,E170)*POWER(Upgrades!$Q$14,F170)*POWER(Upgrades!$Q$15,G170)*POWER(Upgrades!$Q$16,H170)*POWER(Upgrades!$Q$17,I170)*POWER(Upgrades!$Q$18,J170)*POWER(Upgrades!$Q$19,K170)*POWER(Upgrades!$Q$20,L170)*POWER(Upgrades!$Q$21,M170))*$G$6*(Parameters!$B$10/60*Parameters!$B$11+Q170))/Upgrades!$C$18,0)),IF(K170&gt;0,0,IFERROR(0.30*P170/Upgrades!$C$19,0)),IF(L170&gt;0,0,IFERROR(0.0001/Upgrades!$C$20,0)),IF(M170&gt;0,0,IFERROR((6.0*(POWER(Upgrades!$P$13,E170)*POWER(Upgrades!$P$14,F170)*POWER(Upgrades!$P$15,G170)*POWER(Upgrades!$P$16,H170)*POWER(Upgrades!$P$17,I170)*POWER(Upgrades!$P$18,J170)*POWER(Upgrades!$P$19,K170)*POWER(Upgrades!$P$20,L170)*POWER(Upgrades!$P$21,M170))*$F$6+0.20*O170*(Parameters!$B$10/60*Parameters!$B$11+Q170))/Upgrades!$C$21,0)),IF(AND(ISNUMBER(AK170),AK170&gt;(C170+T170)),AY170,0),IF(AND(ISNUMBER(AL170),AL170&gt;(C170+T170)),AZ170,0),IF(AND(ISNUMBER(AM170),AM170&gt;(C170+T170)),BA170,0),IF(AND(ISNUMBER(AN170),AN170&gt;(C170+T170)),BB170,0),IF(AND(ISNUMBER(AO170),AO170&gt;(C170+T170)),BC170,0))</f>
        <v/>
      </c>
      <c r="BE170" s="29">
        <f>IF(AT170=1,"transition",IF(MIN(IF(AND(J170=0,ISNUMBER(AP170),AP170&lt;=(C170+T170)),AP170,9E15),IF(AND(K170=0,ISNUMBER(AQ170),AQ170&lt;=(C170+T170)),AQ170,9E15),IF(AND(L170=0,ISNUMBER(AR170),AR170&lt;=(C170+T170)),AR170,9E15),IF(AND(M170=0,ISNUMBER(AS170),AS170&lt;=(C170+T170)),AS170,9E15))&lt;9E15,IF(AND(AND(J170=0,ISNUMBER(AP170),AP170&lt;=(C170+T170)),AP170=MIN(IF(AND(J170=0,ISNUMBER(AP170),AP170&lt;=(C170+T170)),AP170,9E15),IF(AND(K170=0,ISNUMBER(AQ170),AQ170&lt;=(C170+T170)),AQ170,9E15),IF(AND(L170=0,ISNUMBER(AR170),AR170&lt;=(C170+T170)),AR170,9E15),IF(AND(M170=0,ISNUMBER(AS170),AS170&lt;=(C170+T170)),AS170,9E15))),"BiP",IF(AND(AND(K170=0,ISNUMBER(AQ170),AQ170&lt;=(C170+T170)),AQ170=MIN(IF(AND(J170=0,ISNUMBER(AP170),AP170&lt;=(C170+T170)),AP170,9E15),IF(AND(K170=0,ISNUMBER(AQ170),AQ170&lt;=(C170+T170)),AQ170,9E15),IF(AND(L170=0,ISNUMBER(AR170),AR170&lt;=(C170+T170)),AR170,9E15),IF(AND(M170=0,ISNUMBER(AS170),AS170&lt;=(C170+T170)),AS170,9E15))),"PV",IF(AND(AND(L170=0,ISNUMBER(AR170),AR170&lt;=(C170+T170)),AR170=MIN(IF(AND(J170=0,ISNUMBER(AP170),AP170&lt;=(C170+T170)),AP170,9E15),IF(AND(K170=0,ISNUMBER(AQ170),AQ170&lt;=(C170+T170)),AQ170,9E15),IF(AND(L170=0,ISNUMBER(AR170),AR170&lt;=(C170+T170)),AR170,9E15),IF(AND(M170=0,ISNUMBER(AS170),AS170&lt;=(C170+T170)),AS170,9E15))),"OC","MG"))),IF(AX170=TRUE,"",IF(MAX(IF(AND(NOT(AND(AU170=1,AT170&lt;&gt;1)),ISNUMBER(AK170),AK170&lt;=(C170+T170)),AY170,0),IF(AND(NOT(AND(AU170=1,AT170&lt;&gt;1)),ISNUMBER(AL170),AL170&lt;=(C170+T170)),AZ170,0),IF(AND(NOT(AND(AU170=1,AT170&lt;&gt;1)),ISNUMBER(AM170),AM170&lt;=(C170+T170)),BA170,0),IF(AND(NOT(AND(AU170=1,AT170&lt;&gt;1)),ISNUMBER(AN170),AN170&lt;=(C170+T170)),BB170,0),IF(AND(ISNUMBER(AO170),AO170&lt;=(C170+T170)),BC170,0))&lt;=0,"",IF(AND(IF(AND(NOT(AND(AU170=1,AT170&lt;&gt;1)),ISNUMBER(AK170),AK170&lt;=(C170+T170)),AY170,0)&gt;0,IF(AND(NOT(AND(AU170=1,AT170&lt;&gt;1)),ISNUMBER(AK170),AK170&lt;=(C170+T170)),AY170,0)=MAX(IF(AND(NOT(AND(AU170=1,AT170&lt;&gt;1)),ISNUMBER(AK170),AK170&lt;=(C170+T170)),AY170,0),IF(AND(NOT(AND(AU170=1,AT170&lt;&gt;1)),ISNUMBER(AL170),AL170&lt;=(C170+T170)),AZ170,0),IF(AND(NOT(AND(AU170=1,AT170&lt;&gt;1)),ISNUMBER(AM170),AM170&lt;=(C170+T170)),BA170,0),IF(AND(NOT(AND(AU170=1,AT170&lt;&gt;1)),ISNUMBER(AN170),AN170&lt;=(C170+T170)),BB170,0),IF(AND(ISNUMBER(AO170),AO170&lt;=(C170+T170)),BC170,0))),"SK",IF(AND(IF(AND(NOT(AND(AU170=1,AT170&lt;&gt;1)),ISNUMBER(AL170),AL170&lt;=(C170+T170)),AZ170,0)&gt;0,IF(AND(NOT(AND(AU170=1,AT170&lt;&gt;1)),ISNUMBER(AL170),AL170&lt;=(C170+T170)),AZ170,0)=MAX(IF(AND(NOT(AND(AU170=1,AT170&lt;&gt;1)),ISNUMBER(AK170),AK170&lt;=(C170+T170)),AY170,0),IF(AND(NOT(AND(AU170=1,AT170&lt;&gt;1)),ISNUMBER(AL170),AL170&lt;=(C170+T170)),AZ170,0),IF(AND(NOT(AND(AU170=1,AT170&lt;&gt;1)),ISNUMBER(AM170),AM170&lt;=(C170+T170)),BA170,0),IF(AND(NOT(AND(AU170=1,AT170&lt;&gt;1)),ISNUMBER(AN170),AN170&lt;=(C170+T170)),BB170,0),IF(AND(ISNUMBER(AO170),AO170&lt;=(C170+T170)),BC170,0))),"LB",IF(AND(IF(AND(NOT(AND(AU170=1,AT170&lt;&gt;1)),ISNUMBER(AM170),AM170&lt;=(C170+T170)),BA170,0)&gt;0,IF(AND(NOT(AND(AU170=1,AT170&lt;&gt;1)),ISNUMBER(AM170),AM170&lt;=(C170+T170)),BA170,0)=MAX(IF(AND(NOT(AND(AU170=1,AT170&lt;&gt;1)),ISNUMBER(AK170),AK170&lt;=(C170+T170)),AY170,0),IF(AND(NOT(AND(AU170=1,AT170&lt;&gt;1)),ISNUMBER(AL170),AL170&lt;=(C170+T170)),AZ170,0),IF(AND(NOT(AND(AU170=1,AT170&lt;&gt;1)),ISNUMBER(AM170),AM170&lt;=(C170+T170)),BA170,0),IF(AND(NOT(AND(AU170=1,AT170&lt;&gt;1)),ISNUMBER(AN170),AN170&lt;=(C170+T170)),BB170,0),IF(AND(ISNUMBER(AO170),AO170&lt;=(C170+T170)),BC170,0))),"ML",IF(AND(IF(AND(NOT(AND(AU170=1,AT170&lt;&gt;1)),ISNUMBER(AN170),AN170&lt;=(C170+T170)),BB170,0)&gt;0,IF(AND(NOT(AND(AU170=1,AT170&lt;&gt;1)),ISNUMBER(AN170),AN170&lt;=(C170+T170)),BB170,0)=MAX(IF(AND(NOT(AND(AU170=1,AT170&lt;&gt;1)),ISNUMBER(AK170),AK170&lt;=(C170+T170)),AY170,0),IF(AND(NOT(AND(AU170=1,AT170&lt;&gt;1)),ISNUMBER(AL170),AL170&lt;=(C170+T170)),AZ170,0),IF(AND(NOT(AND(AU170=1,AT170&lt;&gt;1)),ISNUMBER(AM170),AM170&lt;=(C170+T170)),BA170,0),IF(AND(NOT(AND(AU170=1,AT170&lt;&gt;1)),ISNUMBER(AN170),AN170&lt;=(C170+T170)),BB170,0),IF(AND(ISNUMBER(AO170),AO170&lt;=(C170+T170)),BC170,0))),"RLO","BD"))))))))</f>
        <v/>
      </c>
    </row>
    <row r="171">
      <c r="A171" s="26" t="n">
        <v>160</v>
      </c>
      <c r="B171" s="27">
        <f>A171*10/60</f>
        <v/>
      </c>
      <c r="C171" s="22">
        <f>X170</f>
        <v/>
      </c>
      <c r="D171" s="27">
        <f>D170+W170</f>
        <v/>
      </c>
      <c r="E171" s="26">
        <f>E170+IF(U170="SK",1,0)</f>
        <v/>
      </c>
      <c r="F171" s="26">
        <f>F170+IF(U170="LB",1,0)</f>
        <v/>
      </c>
      <c r="G171" s="26">
        <f>G170+IF(U170="ML",1,0)</f>
        <v/>
      </c>
      <c r="H171" s="26">
        <f>H170+IF(U170="RLO",1,0)</f>
        <v/>
      </c>
      <c r="I171" s="26">
        <f>I170+IF(U170="BD",1,0)</f>
        <v/>
      </c>
      <c r="J171" s="26">
        <f>MAX(J170,IF(U170="BiP",1,0))</f>
        <v/>
      </c>
      <c r="K171" s="26">
        <f>MAX(K170,IF(U170="PV",1,0))</f>
        <v/>
      </c>
      <c r="L171" s="26">
        <f>MAX(L170,IF(U170="OC",1,0))</f>
        <v/>
      </c>
      <c r="M171" s="26">
        <f>MAX(M170,IF(U170="MG",1,0))</f>
        <v/>
      </c>
      <c r="N171" s="26">
        <f>MAX(N170,IF(U170="transition",1,0))</f>
        <v/>
      </c>
      <c r="O171" s="28">
        <f>(Parameters!$B$9+(IF(E171=0,0,(Upgrades!$J$13+E171*Upgrades!$K$13)*POWER(Upgrades!$L$13,E171)))*(IF(Upgrades!$T$14="Stellar Kinematics",POWER(Upgrades!$U$14,F171),1)*IF(Upgrades!$T$15="Stellar Kinematics",POWER(Upgrades!$U$15,G171),1)*IF(Upgrades!$T$16="Stellar Kinematics",POWER(Upgrades!$U$16,H171),1)*IF(Upgrades!$T$17="Stellar Kinematics",POWER(Upgrades!$U$17,I171),1)*IF(Upgrades!$T$18="Stellar Kinematics",POWER(Upgrades!$U$18,J171),1)*IF(Upgrades!$T$19="Stellar Kinematics",POWER(Upgrades!$U$19,K171),1)*IF(Upgrades!$T$20="Stellar Kinematics",POWER(Upgrades!$U$20,L171),1)*IF(Upgrades!$T$21="Stellar Kinematics",POWER(Upgrades!$U$21,M171),1))+(IF(F171=0,0,(Upgrades!$J$14+F171*Upgrades!$K$14)*POWER(Upgrades!$L$14,F171)))*(IF(Upgrades!$T$13="Local Bubble",POWER(Upgrades!$U$13,E171),1)*IF(Upgrades!$T$15="Local Bubble",POWER(Upgrades!$U$15,G171),1)*IF(Upgrades!$T$16="Local Bubble",POWER(Upgrades!$U$16,H171),1)*IF(Upgrades!$T$17="Local Bubble",POWER(Upgrades!$U$17,I171),1)*IF(Upgrades!$T$18="Local Bubble",POWER(Upgrades!$U$18,J171),1)*IF(Upgrades!$T$19="Local Bubble",POWER(Upgrades!$U$19,K171),1)*IF(Upgrades!$T$20="Local Bubble",POWER(Upgrades!$U$20,L171),1)*IF(Upgrades!$T$21="Local Bubble",POWER(Upgrades!$U$21,M171),1))+(IF(G171=0,0,(Upgrades!$J$15+G171*Upgrades!$K$15)*POWER(Upgrades!$L$15,G171)))*(IF(Upgrades!$T$13="Microlensing",POWER(Upgrades!$U$13,E171),1)*IF(Upgrades!$T$14="Microlensing",POWER(Upgrades!$U$14,F171),1)*IF(Upgrades!$T$16="Microlensing",POWER(Upgrades!$U$16,H171),1)*IF(Upgrades!$T$17="Microlensing",POWER(Upgrades!$U$17,I171),1)*IF(Upgrades!$T$18="Microlensing",POWER(Upgrades!$U$18,J171),1)*IF(Upgrades!$T$19="Microlensing",POWER(Upgrades!$U$19,K171),1)*IF(Upgrades!$T$20="Microlensing",POWER(Upgrades!$U$20,L171),1)*IF(Upgrades!$T$21="Microlensing",POWER(Upgrades!$U$21,M171),1))+(IF(H171=0,0,(Upgrades!$J$16+H171*Upgrades!$K$16)*POWER(Upgrades!$L$16,H171)))*(IF(Upgrades!$T$13="Roche Lobe Overflow",POWER(Upgrades!$U$13,E171),1)*IF(Upgrades!$T$14="Roche Lobe Overflow",POWER(Upgrades!$U$14,F171),1)*IF(Upgrades!$T$15="Roche Lobe Overflow",POWER(Upgrades!$U$15,G171),1)*IF(Upgrades!$T$17="Roche Lobe Overflow",POWER(Upgrades!$U$17,I171),1)*IF(Upgrades!$T$18="Roche Lobe Overflow",POWER(Upgrades!$U$18,J171),1)*IF(Upgrades!$T$19="Roche Lobe Overflow",POWER(Upgrades!$U$19,K171),1)*IF(Upgrades!$T$20="Roche Lobe Overflow",POWER(Upgrades!$U$20,L171),1)*IF(Upgrades!$T$21="Roche Lobe Overflow",POWER(Upgrades!$U$21,M171),1))+(IF(I171=0,0,(Upgrades!$J$17+I171*Upgrades!$K$17)*POWER(Upgrades!$L$17,I171)))*(IF(Upgrades!$T$13="Brown Dwarf",POWER(Upgrades!$U$13,E171),1)*IF(Upgrades!$T$14="Brown Dwarf",POWER(Upgrades!$U$14,F171),1)*IF(Upgrades!$T$15="Brown Dwarf",POWER(Upgrades!$U$15,G171),1)*IF(Upgrades!$T$16="Brown Dwarf",POWER(Upgrades!$U$16,H171),1)*IF(Upgrades!$T$18="Brown Dwarf",POWER(Upgrades!$U$18,J171),1)*IF(Upgrades!$T$19="Brown Dwarf",POWER(Upgrades!$U$19,K171),1)*IF(Upgrades!$T$20="Brown Dwarf",POWER(Upgrades!$U$20,L171),1)*IF(Upgrades!$T$21="Brown Dwarf",POWER(Upgrades!$U$21,M171),1))+(IF(J171=0,0,(Upgrades!$J$18+J171*Upgrades!$K$18)*POWER(Upgrades!$L$18,J171)))*(IF(Upgrades!$T$13="Binary Partner",POWER(Upgrades!$U$13,E171),1)*IF(Upgrades!$T$14="Binary Partner",POWER(Upgrades!$U$14,F171),1)*IF(Upgrades!$T$15="Binary Partner",POWER(Upgrades!$U$15,G171),1)*IF(Upgrades!$T$16="Binary Partner",POWER(Upgrades!$U$16,H171),1)*IF(Upgrades!$T$17="Binary Partner",POWER(Upgrades!$U$17,I171),1)*IF(Upgrades!$T$19="Binary Partner",POWER(Upgrades!$U$19,K171),1)*IF(Upgrades!$T$20="Binary Partner",POWER(Upgrades!$U$20,L171),1)*IF(Upgrades!$T$21="Binary Partner",POWER(Upgrades!$U$21,M171),1))+(IF(K171=0,0,(Upgrades!$J$19+K171*Upgrades!$K$19)*POWER(Upgrades!$L$19,K171)))*(IF(Upgrades!$T$13="Peculiar Velocity",POWER(Upgrades!$U$13,E171),1)*IF(Upgrades!$T$14="Peculiar Velocity",POWER(Upgrades!$U$14,F171),1)*IF(Upgrades!$T$15="Peculiar Velocity",POWER(Upgrades!$U$15,G171),1)*IF(Upgrades!$T$16="Peculiar Velocity",POWER(Upgrades!$U$16,H171),1)*IF(Upgrades!$T$17="Peculiar Velocity",POWER(Upgrades!$U$17,I171),1)*IF(Upgrades!$T$18="Peculiar Velocity",POWER(Upgrades!$U$18,J171),1)*IF(Upgrades!$T$20="Peculiar Velocity",POWER(Upgrades!$U$20,L171),1)*IF(Upgrades!$T$21="Peculiar Velocity",POWER(Upgrades!$U$21,M171),1))+(IF(L171=0,0,(Upgrades!$J$20+L171*Upgrades!$K$20)*POWER(Upgrades!$L$20,L171)))*(IF(Upgrades!$T$13="Open Cluster",POWER(Upgrades!$U$13,E171),1)*IF(Upgrades!$T$14="Open Cluster",POWER(Upgrades!$U$14,F171),1)*IF(Upgrades!$T$15="Open Cluster",POWER(Upgrades!$U$15,G171),1)*IF(Upgrades!$T$16="Open Cluster",POWER(Upgrades!$U$16,H171),1)*IF(Upgrades!$T$17="Open Cluster",POWER(Upgrades!$U$17,I171),1)*IF(Upgrades!$T$18="Open Cluster",POWER(Upgrades!$U$18,J171),1)*IF(Upgrades!$T$19="Open Cluster",POWER(Upgrades!$U$19,K171),1)*IF(Upgrades!$T$21="Open Cluster",POWER(Upgrades!$U$21,M171),1))+(IF(M171=0,0,(Upgrades!$J$21+M171*Upgrades!$K$21)*POWER(Upgrades!$L$21,M171)))*(IF(Upgrades!$T$13="Moving Group",POWER(Upgrades!$U$13,E171),1)*IF(Upgrades!$T$14="Moving Group",POWER(Upgrades!$U$14,F171),1)*IF(Upgrades!$T$15="Moving Group",POWER(Upgrades!$U$15,G171),1)*IF(Upgrades!$T$16="Moving Group",POWER(Upgrades!$U$16,H171),1)*IF(Upgrades!$T$17="Moving Group",POWER(Upgrades!$U$17,I171),1)*IF(Upgrades!$T$18="Moving Group",POWER(Upgrades!$U$18,J171),1)*IF(Upgrades!$T$19="Moving Group",POWER(Upgrades!$U$19,K171),1)*IF(Upgrades!$T$20="Moving Group",POWER(Upgrades!$U$20,L171),1)))*POWER(Upgrades!$Q$13,E171)*POWER(Upgrades!$Q$14,F171)*POWER(Upgrades!$Q$15,G171)*POWER(Upgrades!$Q$16,H171)*POWER(Upgrades!$Q$17,I171)*POWER(Upgrades!$Q$18,J171)*POWER(Upgrades!$Q$19,K171)*POWER(Upgrades!$Q$20,L171)*POWER(Upgrades!$Q$21,M171)*$G$6+$D$6</f>
        <v/>
      </c>
      <c r="P171" s="28">
        <f>((IF(E171=0,0,(Upgrades!$G$13+E171*Upgrades!$H$13)*POWER(Upgrades!$I$13,E171)))*(IF(Upgrades!$T$14="Stellar Kinematics",POWER(Upgrades!$U$14,F171),1)*IF(Upgrades!$T$15="Stellar Kinematics",POWER(Upgrades!$U$15,G171),1)*IF(Upgrades!$T$16="Stellar Kinematics",POWER(Upgrades!$U$16,H171),1)*IF(Upgrades!$T$17="Stellar Kinematics",POWER(Upgrades!$U$17,I171),1)*IF(Upgrades!$T$18="Stellar Kinematics",POWER(Upgrades!$U$18,J171),1)*IF(Upgrades!$T$19="Stellar Kinematics",POWER(Upgrades!$U$19,K171),1)*IF(Upgrades!$T$20="Stellar Kinematics",POWER(Upgrades!$U$20,L171),1)*IF(Upgrades!$T$21="Stellar Kinematics",POWER(Upgrades!$U$21,M171),1))+(IF(F171=0,0,(Upgrades!$G$14+F171*Upgrades!$H$14)*POWER(Upgrades!$I$14,F171)))*(IF(Upgrades!$T$13="Local Bubble",POWER(Upgrades!$U$13,E171),1)*IF(Upgrades!$T$15="Local Bubble",POWER(Upgrades!$U$15,G171),1)*IF(Upgrades!$T$16="Local Bubble",POWER(Upgrades!$U$16,H171),1)*IF(Upgrades!$T$17="Local Bubble",POWER(Upgrades!$U$17,I171),1)*IF(Upgrades!$T$18="Local Bubble",POWER(Upgrades!$U$18,J171),1)*IF(Upgrades!$T$19="Local Bubble",POWER(Upgrades!$U$19,K171),1)*IF(Upgrades!$T$20="Local Bubble",POWER(Upgrades!$U$20,L171),1)*IF(Upgrades!$T$21="Local Bubble",POWER(Upgrades!$U$21,M171),1))+(IF(G171=0,0,(Upgrades!$G$15+G171*Upgrades!$H$15)*POWER(Upgrades!$I$15,G171)))*(IF(Upgrades!$T$13="Microlensing",POWER(Upgrades!$U$13,E171),1)*IF(Upgrades!$T$14="Microlensing",POWER(Upgrades!$U$14,F171),1)*IF(Upgrades!$T$16="Microlensing",POWER(Upgrades!$U$16,H171),1)*IF(Upgrades!$T$17="Microlensing",POWER(Upgrades!$U$17,I171),1)*IF(Upgrades!$T$18="Microlensing",POWER(Upgrades!$U$18,J171),1)*IF(Upgrades!$T$19="Microlensing",POWER(Upgrades!$U$19,K171),1)*IF(Upgrades!$T$20="Microlensing",POWER(Upgrades!$U$20,L171),1)*IF(Upgrades!$T$21="Microlensing",POWER(Upgrades!$U$21,M171),1))+(IF(H171=0,0,(Upgrades!$G$16+H171*Upgrades!$H$16)*POWER(Upgrades!$I$16,H171)))*(IF(Upgrades!$T$13="Roche Lobe Overflow",POWER(Upgrades!$U$13,E171),1)*IF(Upgrades!$T$14="Roche Lobe Overflow",POWER(Upgrades!$U$14,F171),1)*IF(Upgrades!$T$15="Roche Lobe Overflow",POWER(Upgrades!$U$15,G171),1)*IF(Upgrades!$T$17="Roche Lobe Overflow",POWER(Upgrades!$U$17,I171),1)*IF(Upgrades!$T$18="Roche Lobe Overflow",POWER(Upgrades!$U$18,J171),1)*IF(Upgrades!$T$19="Roche Lobe Overflow",POWER(Upgrades!$U$19,K171),1)*IF(Upgrades!$T$20="Roche Lobe Overflow",POWER(Upgrades!$U$20,L171),1)*IF(Upgrades!$T$21="Roche Lobe Overflow",POWER(Upgrades!$U$21,M171),1))+(IF(I171=0,0,(Upgrades!$G$17+I171*Upgrades!$H$17)*POWER(Upgrades!$I$17,I171)))*(IF(Upgrades!$T$13="Brown Dwarf",POWER(Upgrades!$U$13,E171),1)*IF(Upgrades!$T$14="Brown Dwarf",POWER(Upgrades!$U$14,F171),1)*IF(Upgrades!$T$15="Brown Dwarf",POWER(Upgrades!$U$15,G171),1)*IF(Upgrades!$T$16="Brown Dwarf",POWER(Upgrades!$U$16,H171),1)*IF(Upgrades!$T$18="Brown Dwarf",POWER(Upgrades!$U$18,J171),1)*IF(Upgrades!$T$19="Brown Dwarf",POWER(Upgrades!$U$19,K171),1)*IF(Upgrades!$T$20="Brown Dwarf",POWER(Upgrades!$U$20,L171),1)*IF(Upgrades!$T$21="Brown Dwarf",POWER(Upgrades!$U$21,M171),1))+(IF(J171=0,0,(Upgrades!$G$18+J171*Upgrades!$H$18)*POWER(Upgrades!$I$18,J171)))*(IF(Upgrades!$T$13="Binary Partner",POWER(Upgrades!$U$13,E171),1)*IF(Upgrades!$T$14="Binary Partner",POWER(Upgrades!$U$14,F171),1)*IF(Upgrades!$T$15="Binary Partner",POWER(Upgrades!$U$15,G171),1)*IF(Upgrades!$T$16="Binary Partner",POWER(Upgrades!$U$16,H171),1)*IF(Upgrades!$T$17="Binary Partner",POWER(Upgrades!$U$17,I171),1)*IF(Upgrades!$T$19="Binary Partner",POWER(Upgrades!$U$19,K171),1)*IF(Upgrades!$T$20="Binary Partner",POWER(Upgrades!$U$20,L171),1)*IF(Upgrades!$T$21="Binary Partner",POWER(Upgrades!$U$21,M171),1))+(IF(K171=0,0,(Upgrades!$G$19+K171*Upgrades!$H$19)*POWER(Upgrades!$I$19,K171)))*(IF(Upgrades!$T$13="Peculiar Velocity",POWER(Upgrades!$U$13,E171),1)*IF(Upgrades!$T$14="Peculiar Velocity",POWER(Upgrades!$U$14,F171),1)*IF(Upgrades!$T$15="Peculiar Velocity",POWER(Upgrades!$U$15,G171),1)*IF(Upgrades!$T$16="Peculiar Velocity",POWER(Upgrades!$U$16,H171),1)*IF(Upgrades!$T$17="Peculiar Velocity",POWER(Upgrades!$U$17,I171),1)*IF(Upgrades!$T$18="Peculiar Velocity",POWER(Upgrades!$U$18,J171),1)*IF(Upgrades!$T$20="Peculiar Velocity",POWER(Upgrades!$U$20,L171),1)*IF(Upgrades!$T$21="Peculiar Velocity",POWER(Upgrades!$U$21,M171),1))+(IF(L171=0,0,(Upgrades!$G$20+L171*Upgrades!$H$20)*POWER(Upgrades!$I$20,L171)))*(IF(Upgrades!$T$13="Open Cluster",POWER(Upgrades!$U$13,E171),1)*IF(Upgrades!$T$14="Open Cluster",POWER(Upgrades!$U$14,F171),1)*IF(Upgrades!$T$15="Open Cluster",POWER(Upgrades!$U$15,G171),1)*IF(Upgrades!$T$16="Open Cluster",POWER(Upgrades!$U$16,H171),1)*IF(Upgrades!$T$17="Open Cluster",POWER(Upgrades!$U$17,I171),1)*IF(Upgrades!$T$18="Open Cluster",POWER(Upgrades!$U$18,J171),1)*IF(Upgrades!$T$19="Open Cluster",POWER(Upgrades!$U$19,K171),1)*IF(Upgrades!$T$21="Open Cluster",POWER(Upgrades!$U$21,M171),1))+(IF(M171=0,0,(Upgrades!$G$21+M171*Upgrades!$H$21)*POWER(Upgrades!$I$21,M171)))*(IF(Upgrades!$T$13="Moving Group",POWER(Upgrades!$U$13,E171),1)*IF(Upgrades!$T$14="Moving Group",POWER(Upgrades!$U$14,F171),1)*IF(Upgrades!$T$15="Moving Group",POWER(Upgrades!$U$15,G171),1)*IF(Upgrades!$T$16="Moving Group",POWER(Upgrades!$U$16,H171),1)*IF(Upgrades!$T$17="Moving Group",POWER(Upgrades!$U$17,I171),1)*IF(Upgrades!$T$18="Moving Group",POWER(Upgrades!$U$18,J171),1)*IF(Upgrades!$T$19="Moving Group",POWER(Upgrades!$U$19,K171),1)*IF(Upgrades!$T$20="Moving Group",POWER(Upgrades!$U$20,L171),1)))*POWER(Upgrades!$P$13,E171)*POWER(Upgrades!$P$14,F171)*POWER(Upgrades!$P$15,G171)*POWER(Upgrades!$P$16,H171)*POWER(Upgrades!$P$17,I171)*POWER(Upgrades!$P$18,J171)*POWER(Upgrades!$P$19,K171)*POWER(Upgrades!$P$20,L171)*POWER(Upgrades!$P$21,M171)*$F$6+$C$6</f>
        <v/>
      </c>
      <c r="Q171" s="28">
        <f>((IF(E171=0,0,(Upgrades!$M$13+E171*Upgrades!$N$13)*POWER(Upgrades!$O$13,E171)))*(IF(Upgrades!$T$14="Stellar Kinematics",POWER(Upgrades!$U$14,F171),1)*IF(Upgrades!$T$15="Stellar Kinematics",POWER(Upgrades!$U$15,G171),1)*IF(Upgrades!$T$16="Stellar Kinematics",POWER(Upgrades!$U$16,H171),1)*IF(Upgrades!$T$17="Stellar Kinematics",POWER(Upgrades!$U$17,I171),1)*IF(Upgrades!$T$18="Stellar Kinematics",POWER(Upgrades!$U$18,J171),1)*IF(Upgrades!$T$19="Stellar Kinematics",POWER(Upgrades!$U$19,K171),1)*IF(Upgrades!$T$20="Stellar Kinematics",POWER(Upgrades!$U$20,L171),1)*IF(Upgrades!$T$21="Stellar Kinematics",POWER(Upgrades!$U$21,M171),1))+(IF(F171=0,0,(Upgrades!$M$14+F171*Upgrades!$N$14)*POWER(Upgrades!$O$14,F171)))*(IF(Upgrades!$T$13="Local Bubble",POWER(Upgrades!$U$13,E171),1)*IF(Upgrades!$T$15="Local Bubble",POWER(Upgrades!$U$15,G171),1)*IF(Upgrades!$T$16="Local Bubble",POWER(Upgrades!$U$16,H171),1)*IF(Upgrades!$T$17="Local Bubble",POWER(Upgrades!$U$17,I171),1)*IF(Upgrades!$T$18="Local Bubble",POWER(Upgrades!$U$18,J171),1)*IF(Upgrades!$T$19="Local Bubble",POWER(Upgrades!$U$19,K171),1)*IF(Upgrades!$T$20="Local Bubble",POWER(Upgrades!$U$20,L171),1)*IF(Upgrades!$T$21="Local Bubble",POWER(Upgrades!$U$21,M171),1))+(IF(G171=0,0,(Upgrades!$M$15+G171*Upgrades!$N$15)*POWER(Upgrades!$O$15,G171)))*(IF(Upgrades!$T$13="Microlensing",POWER(Upgrades!$U$13,E171),1)*IF(Upgrades!$T$14="Microlensing",POWER(Upgrades!$U$14,F171),1)*IF(Upgrades!$T$16="Microlensing",POWER(Upgrades!$U$16,H171),1)*IF(Upgrades!$T$17="Microlensing",POWER(Upgrades!$U$17,I171),1)*IF(Upgrades!$T$18="Microlensing",POWER(Upgrades!$U$18,J171),1)*IF(Upgrades!$T$19="Microlensing",POWER(Upgrades!$U$19,K171),1)*IF(Upgrades!$T$20="Microlensing",POWER(Upgrades!$U$20,L171),1)*IF(Upgrades!$T$21="Microlensing",POWER(Upgrades!$U$21,M171),1))+(IF(H171=0,0,(Upgrades!$M$16+H171*Upgrades!$N$16)*POWER(Upgrades!$O$16,H171)))*(IF(Upgrades!$T$13="Roche Lobe Overflow",POWER(Upgrades!$U$13,E171),1)*IF(Upgrades!$T$14="Roche Lobe Overflow",POWER(Upgrades!$U$14,F171),1)*IF(Upgrades!$T$15="Roche Lobe Overflow",POWER(Upgrades!$U$15,G171),1)*IF(Upgrades!$T$17="Roche Lobe Overflow",POWER(Upgrades!$U$17,I171),1)*IF(Upgrades!$T$18="Roche Lobe Overflow",POWER(Upgrades!$U$18,J171),1)*IF(Upgrades!$T$19="Roche Lobe Overflow",POWER(Upgrades!$U$19,K171),1)*IF(Upgrades!$T$20="Roche Lobe Overflow",POWER(Upgrades!$U$20,L171),1)*IF(Upgrades!$T$21="Roche Lobe Overflow",POWER(Upgrades!$U$21,M171),1))+(IF(I171=0,0,(Upgrades!$M$17+I171*Upgrades!$N$17)*POWER(Upgrades!$O$17,I171)))*(IF(Upgrades!$T$13="Brown Dwarf",POWER(Upgrades!$U$13,E171),1)*IF(Upgrades!$T$14="Brown Dwarf",POWER(Upgrades!$U$14,F171),1)*IF(Upgrades!$T$15="Brown Dwarf",POWER(Upgrades!$U$15,G171),1)*IF(Upgrades!$T$16="Brown Dwarf",POWER(Upgrades!$U$16,H171),1)*IF(Upgrades!$T$18="Brown Dwarf",POWER(Upgrades!$U$18,J171),1)*IF(Upgrades!$T$19="Brown Dwarf",POWER(Upgrades!$U$19,K171),1)*IF(Upgrades!$T$20="Brown Dwarf",POWER(Upgrades!$U$20,L171),1)*IF(Upgrades!$T$21="Brown Dwarf",POWER(Upgrades!$U$21,M171),1))+(IF(J171=0,0,(Upgrades!$M$18+J171*Upgrades!$N$18)*POWER(Upgrades!$O$18,J171)))*(IF(Upgrades!$T$13="Binary Partner",POWER(Upgrades!$U$13,E171),1)*IF(Upgrades!$T$14="Binary Partner",POWER(Upgrades!$U$14,F171),1)*IF(Upgrades!$T$15="Binary Partner",POWER(Upgrades!$U$15,G171),1)*IF(Upgrades!$T$16="Binary Partner",POWER(Upgrades!$U$16,H171),1)*IF(Upgrades!$T$17="Binary Partner",POWER(Upgrades!$U$17,I171),1)*IF(Upgrades!$T$19="Binary Partner",POWER(Upgrades!$U$19,K171),1)*IF(Upgrades!$T$20="Binary Partner",POWER(Upgrades!$U$20,L171),1)*IF(Upgrades!$T$21="Binary Partner",POWER(Upgrades!$U$21,M171),1))+(IF(K171=0,0,(Upgrades!$M$19+K171*Upgrades!$N$19)*POWER(Upgrades!$O$19,K171)))*(IF(Upgrades!$T$13="Peculiar Velocity",POWER(Upgrades!$U$13,E171),1)*IF(Upgrades!$T$14="Peculiar Velocity",POWER(Upgrades!$U$14,F171),1)*IF(Upgrades!$T$15="Peculiar Velocity",POWER(Upgrades!$U$15,G171),1)*IF(Upgrades!$T$16="Peculiar Velocity",POWER(Upgrades!$U$16,H171),1)*IF(Upgrades!$T$17="Peculiar Velocity",POWER(Upgrades!$U$17,I171),1)*IF(Upgrades!$T$18="Peculiar Velocity",POWER(Upgrades!$U$18,J171),1)*IF(Upgrades!$T$20="Peculiar Velocity",POWER(Upgrades!$U$20,L171),1)*IF(Upgrades!$T$21="Peculiar Velocity",POWER(Upgrades!$U$21,M171),1))+(IF(L171=0,0,(Upgrades!$M$20+L171*Upgrades!$N$20)*POWER(Upgrades!$O$20,L171)))*(IF(Upgrades!$T$13="Open Cluster",POWER(Upgrades!$U$13,E171),1)*IF(Upgrades!$T$14="Open Cluster",POWER(Upgrades!$U$14,F171),1)*IF(Upgrades!$T$15="Open Cluster",POWER(Upgrades!$U$15,G171),1)*IF(Upgrades!$T$16="Open Cluster",POWER(Upgrades!$U$16,H171),1)*IF(Upgrades!$T$17="Open Cluster",POWER(Upgrades!$U$17,I171),1)*IF(Upgrades!$T$18="Open Cluster",POWER(Upgrades!$U$18,J171),1)*IF(Upgrades!$T$19="Open Cluster",POWER(Upgrades!$U$19,K171),1)*IF(Upgrades!$T$21="Open Cluster",POWER(Upgrades!$U$21,M171),1))+(IF(M171=0,0,(Upgrades!$M$21+M171*Upgrades!$N$21)*POWER(Upgrades!$O$21,M171)))*(IF(Upgrades!$T$13="Moving Group",POWER(Upgrades!$U$13,E171),1)*IF(Upgrades!$T$14="Moving Group",POWER(Upgrades!$U$14,F171),1)*IF(Upgrades!$T$15="Moving Group",POWER(Upgrades!$U$15,G171),1)*IF(Upgrades!$T$16="Moving Group",POWER(Upgrades!$U$16,H171),1)*IF(Upgrades!$T$17="Moving Group",POWER(Upgrades!$U$17,I171),1)*IF(Upgrades!$T$18="Moving Group",POWER(Upgrades!$U$18,J171),1)*IF(Upgrades!$T$19="Moving Group",POWER(Upgrades!$U$19,K171),1)*IF(Upgrades!$T$20="Moving Group",POWER(Upgrades!$U$20,L171),1)))*POWER(Upgrades!$R$13,E171)*POWER(Upgrades!$R$14,F171)*POWER(Upgrades!$R$15,G171)*POWER(Upgrades!$R$16,H171)*POWER(Upgrades!$R$17,I171)*POWER(Upgrades!$R$18,J171)*POWER(Upgrades!$R$19,K171)*POWER(Upgrades!$R$20,L171)*POWER(Upgrades!$R$21,M171)*$H$6+$E$6</f>
        <v/>
      </c>
      <c r="R171" s="27">
        <f>IF(N171=1,0,O171*Parameters!$B$10/60*Parameters!$B$11*10)</f>
        <v/>
      </c>
      <c r="S171" s="27">
        <f>IF(N171=1,0,Q171*O171*10)</f>
        <v/>
      </c>
      <c r="T171" s="27">
        <f>IF(N171=1,0,R171+S171+P171*10)</f>
        <v/>
      </c>
      <c r="U171" s="33">
        <f>BE171</f>
        <v/>
      </c>
      <c r="V171" s="22">
        <f>IF(U171="",0,IF(U171="transition",0,IF(U171="SK",AK171,IF(U171="LB",AL171,IF(U171="ML",AM171,IF(U171="RLO",AN171,IF(U171="BD",AO171,IF(U171="BiP",AP171,IF(U171="PV",AQ171,IF(U171="OC",AR171,IF(U171="MG",AS171,0))))))))))</f>
        <v/>
      </c>
      <c r="W171" s="27">
        <f>IF(U171="BiP",Upgrades!$F$18,IF(U171="PV",Upgrades!$F$19,IF(U171="OC",Upgrades!$F$20,IF(U171="MG",Upgrades!$F$21,IF(U171="transition",-Parameters!$B$18*Parameters!$B$19,0)))))</f>
        <v/>
      </c>
      <c r="X171" s="22">
        <f>C171+T171-V171</f>
        <v/>
      </c>
      <c r="Y171" s="30">
        <f>O171*Parameters!$B$10/60*Parameters!$B$11+Q171*O171+P171</f>
        <v/>
      </c>
      <c r="Z171" s="34">
        <f>IF(U171="transition","→ Tier 3 (Galactic Arm)",IF(U171="MG","Moving Group — pocket drifts together",IF(U171="OC","Open Cluster acquired",IF(U171="PV","Peculiar Velocity — passive multiplier active",IF(U171="BiP","Binary Partner — pair bond formed",IF(AND(AU171=1,N171=0,AT171&lt;&gt;1),"Cohesion ready (waiting on completionists)","")))))) </f>
        <v/>
      </c>
      <c r="AA171" s="27">
        <f>(IF(E171=0,0,(Upgrades!$G$13+E171*Upgrades!$H$13)*POWER(Upgrades!$I$13,E171)))*(IF(Upgrades!$T$14="Stellar Kinematics",POWER(Upgrades!$U$14,F171),1)*IF(Upgrades!$T$15="Stellar Kinematics",POWER(Upgrades!$U$15,G171),1)*IF(Upgrades!$T$16="Stellar Kinematics",POWER(Upgrades!$U$16,H171),1)*IF(Upgrades!$T$17="Stellar Kinematics",POWER(Upgrades!$U$17,I171),1)*IF(Upgrades!$T$18="Stellar Kinematics",POWER(Upgrades!$U$18,J171),1)*IF(Upgrades!$T$19="Stellar Kinematics",POWER(Upgrades!$U$19,K171),1)*IF(Upgrades!$T$20="Stellar Kinematics",POWER(Upgrades!$U$20,L171),1)*IF(Upgrades!$T$21="Stellar Kinematics",POWER(Upgrades!$U$21,M171),1))*POWER(Upgrades!$P$13,E171)*POWER(Upgrades!$P$14,F171)*POWER(Upgrades!$P$15,G171)*POWER(Upgrades!$P$16,H171)*POWER(Upgrades!$P$17,I171)*POWER(Upgrades!$P$18,J171)*POWER(Upgrades!$P$19,K171)*POWER(Upgrades!$P$20,L171)*POWER(Upgrades!$P$21,M171)*$F$6*60</f>
        <v/>
      </c>
      <c r="AB171" s="27">
        <f>(IF(F171=0,0,(Upgrades!$G$14+F171*Upgrades!$H$14)*POWER(Upgrades!$I$14,F171)))*(IF(Upgrades!$T$13="Local Bubble",POWER(Upgrades!$U$13,E171),1)*IF(Upgrades!$T$15="Local Bubble",POWER(Upgrades!$U$15,G171),1)*IF(Upgrades!$T$16="Local Bubble",POWER(Upgrades!$U$16,H171),1)*IF(Upgrades!$T$17="Local Bubble",POWER(Upgrades!$U$17,I171),1)*IF(Upgrades!$T$18="Local Bubble",POWER(Upgrades!$U$18,J171),1)*IF(Upgrades!$T$19="Local Bubble",POWER(Upgrades!$U$19,K171),1)*IF(Upgrades!$T$20="Local Bubble",POWER(Upgrades!$U$20,L171),1)*IF(Upgrades!$T$21="Local Bubble",POWER(Upgrades!$U$21,M171),1))*POWER(Upgrades!$P$13,E171)*POWER(Upgrades!$P$14,F171)*POWER(Upgrades!$P$15,G171)*POWER(Upgrades!$P$16,H171)*POWER(Upgrades!$P$17,I171)*POWER(Upgrades!$P$18,J171)*POWER(Upgrades!$P$19,K171)*POWER(Upgrades!$P$20,L171)*POWER(Upgrades!$P$21,M171)*$F$6*60</f>
        <v/>
      </c>
      <c r="AC171" s="27">
        <f>(IF(G171=0,0,(Upgrades!$J$15+G171*Upgrades!$K$15)*POWER(Upgrades!$L$15,G171)))*(IF(Upgrades!$T$13="Microlensing",POWER(Upgrades!$U$13,E171),1)*IF(Upgrades!$T$14="Microlensing",POWER(Upgrades!$U$14,F171),1)*IF(Upgrades!$T$16="Microlensing",POWER(Upgrades!$U$16,H171),1)*IF(Upgrades!$T$17="Microlensing",POWER(Upgrades!$U$17,I171),1)*IF(Upgrades!$T$18="Microlensing",POWER(Upgrades!$U$18,J171),1)*IF(Upgrades!$T$19="Microlensing",POWER(Upgrades!$U$19,K171),1)*IF(Upgrades!$T$20="Microlensing",POWER(Upgrades!$U$20,L171),1)*IF(Upgrades!$T$21="Microlensing",POWER(Upgrades!$U$21,M171),1))*POWER(Upgrades!$Q$13,E171)*POWER(Upgrades!$Q$14,F171)*POWER(Upgrades!$Q$15,G171)*POWER(Upgrades!$Q$16,H171)*POWER(Upgrades!$Q$17,I171)*POWER(Upgrades!$Q$18,J171)*POWER(Upgrades!$Q$19,K171)*POWER(Upgrades!$Q$20,L171)*POWER(Upgrades!$Q$21,M171)*$G$6*(Parameters!$B$10*Parameters!$B$11+Q171*60)</f>
        <v/>
      </c>
      <c r="AD171" s="27">
        <f>(IF(H171=0,0,(Upgrades!$M$16+H171*Upgrades!$N$16)*POWER(Upgrades!$O$16,H171)))*(IF(Upgrades!$T$13="Roche Lobe Overflow",POWER(Upgrades!$U$13,E171),1)*IF(Upgrades!$T$14="Roche Lobe Overflow",POWER(Upgrades!$U$14,F171),1)*IF(Upgrades!$T$15="Roche Lobe Overflow",POWER(Upgrades!$U$15,G171),1)*IF(Upgrades!$T$17="Roche Lobe Overflow",POWER(Upgrades!$U$17,I171),1)*IF(Upgrades!$T$18="Roche Lobe Overflow",POWER(Upgrades!$U$18,J171),1)*IF(Upgrades!$T$19="Roche Lobe Overflow",POWER(Upgrades!$U$19,K171),1)*IF(Upgrades!$T$20="Roche Lobe Overflow",POWER(Upgrades!$U$20,L171),1)*IF(Upgrades!$T$21="Roche Lobe Overflow",POWER(Upgrades!$U$21,M171),1))*POWER(Upgrades!$R$13,E171)*POWER(Upgrades!$R$14,F171)*POWER(Upgrades!$R$15,G171)*POWER(Upgrades!$R$16,H171)*POWER(Upgrades!$R$17,I171)*POWER(Upgrades!$R$18,J171)*POWER(Upgrades!$R$19,K171)*POWER(Upgrades!$R$20,L171)*POWER(Upgrades!$R$21,M171)*$H$6*O171*60</f>
        <v/>
      </c>
      <c r="AE171" s="27">
        <f>(IF(I171=0,0,(Upgrades!$G$17+I171*Upgrades!$H$17)*POWER(Upgrades!$I$17,I171)))*(IF(Upgrades!$T$13="Brown Dwarf",POWER(Upgrades!$U$13,E171),1)*IF(Upgrades!$T$14="Brown Dwarf",POWER(Upgrades!$U$14,F171),1)*IF(Upgrades!$T$15="Brown Dwarf",POWER(Upgrades!$U$15,G171),1)*IF(Upgrades!$T$16="Brown Dwarf",POWER(Upgrades!$U$16,H171),1)*IF(Upgrades!$T$18="Brown Dwarf",POWER(Upgrades!$U$18,J171),1)*IF(Upgrades!$T$19="Brown Dwarf",POWER(Upgrades!$U$19,K171),1)*IF(Upgrades!$T$20="Brown Dwarf",POWER(Upgrades!$U$20,L171),1)*IF(Upgrades!$T$21="Brown Dwarf",POWER(Upgrades!$U$21,M171),1))*POWER(Upgrades!$P$13,E171)*POWER(Upgrades!$P$14,F171)*POWER(Upgrades!$P$15,G171)*POWER(Upgrades!$P$16,H171)*POWER(Upgrades!$P$17,I171)*POWER(Upgrades!$P$18,J171)*POWER(Upgrades!$P$19,K171)*POWER(Upgrades!$P$20,L171)*POWER(Upgrades!$P$21,M171)*$F$6*60</f>
        <v/>
      </c>
      <c r="AF171" s="27" t="n">
        <v>0</v>
      </c>
      <c r="AG171" s="27" t="n">
        <v>0</v>
      </c>
      <c r="AH171" s="27" t="n">
        <v>0</v>
      </c>
      <c r="AI171" s="27">
        <f>(IF(M171=0,0,(Upgrades!$G$21+M171*Upgrades!$H$21)*POWER(Upgrades!$I$21,M171)))*(IF(Upgrades!$T$13="Moving Group",POWER(Upgrades!$U$13,E171),1)*IF(Upgrades!$T$14="Moving Group",POWER(Upgrades!$U$14,F171),1)*IF(Upgrades!$T$15="Moving Group",POWER(Upgrades!$U$15,G171),1)*IF(Upgrades!$T$16="Moving Group",POWER(Upgrades!$U$16,H171),1)*IF(Upgrades!$T$17="Moving Group",POWER(Upgrades!$U$17,I171),1)*IF(Upgrades!$T$18="Moving Group",POWER(Upgrades!$U$18,J171),1)*IF(Upgrades!$T$19="Moving Group",POWER(Upgrades!$U$19,K171),1)*IF(Upgrades!$T$20="Moving Group",POWER(Upgrades!$U$20,L171),1))*POWER(Upgrades!$P$13,E171)*POWER(Upgrades!$P$14,F171)*POWER(Upgrades!$P$15,G171)*POWER(Upgrades!$P$16,H171)*POWER(Upgrades!$P$17,I171)*POWER(Upgrades!$P$18,J171)*POWER(Upgrades!$P$19,K171)*POWER(Upgrades!$P$20,L171)*POWER(Upgrades!$P$21,M171)*$F$6*60</f>
        <v/>
      </c>
      <c r="AJ171" s="27">
        <f>$C$6*60</f>
        <v/>
      </c>
      <c r="AK171" s="22">
        <f>IF(E171&gt;=Upgrades!$E$13,"",Upgrades!$C$13*POWER(Upgrades!$D$13,E171))</f>
        <v/>
      </c>
      <c r="AL171" s="22">
        <f>IF(F171&gt;=Upgrades!$E$14,"",Upgrades!$C$14*POWER(Upgrades!$D$14,F171))</f>
        <v/>
      </c>
      <c r="AM171" s="22">
        <f>IF(G171&gt;=Upgrades!$E$15,"",Upgrades!$C$15*POWER(Upgrades!$D$15,G171))</f>
        <v/>
      </c>
      <c r="AN171" s="22">
        <f>IF(H171&gt;=Upgrades!$E$16,"",Upgrades!$C$16*POWER(Upgrades!$D$16,H171))</f>
        <v/>
      </c>
      <c r="AO171" s="22">
        <f>IF(I171&gt;=Upgrades!$E$17,"",Upgrades!$C$17*POWER(Upgrades!$D$17,I171))</f>
        <v/>
      </c>
      <c r="AP171" s="22">
        <f>IF(J171&gt;=Upgrades!$E$18,"",Upgrades!$C$18*POWER(Upgrades!$D$18,J171))</f>
        <v/>
      </c>
      <c r="AQ171" s="22">
        <f>IF(K171&gt;=Upgrades!$E$19,"",Upgrades!$C$19*POWER(Upgrades!$D$19,K171))</f>
        <v/>
      </c>
      <c r="AR171" s="22">
        <f>IF(L171&gt;=Upgrades!$E$20,"",Upgrades!$C$20*POWER(Upgrades!$D$20,L171))</f>
        <v/>
      </c>
      <c r="AS171" s="22">
        <f>IF(M171&gt;=Upgrades!$E$21,"",Upgrades!$C$21*POWER(Upgrades!$D$21,M171))</f>
        <v/>
      </c>
      <c r="AT171" s="26">
        <f>IF(AND(D171&gt;=Parameters!$B$18*Parameters!$B$19,(I171&gt;=Upgrades!$E$17)*(M171&gt;=Upgrades!$E$21)=1,N171=0),1,"")</f>
        <v/>
      </c>
      <c r="AU171" s="26">
        <f>IF(AND(D171&gt;=Parameters!$B$18*Parameters!$B$19,N171=0),1,"")</f>
        <v/>
      </c>
      <c r="AV171" s="22">
        <f>MIN(IF(ISNUMBER(AP171),AP171,9E15),IF(ISNUMBER(AQ171),AQ171,9E15),IF(ISNUMBER(AR171),AR171,9E15),IF(ISNUMBER(AS171),AS171,9E15))</f>
        <v/>
      </c>
      <c r="AW171" s="22">
        <f>MIN(IF(ISNUMBER(AK171),AK171,9E15),IF(ISNUMBER(AL171),AL171,9E15),IF(ISNUMBER(AM171),AM171,9E15),IF(ISNUMBER(AN171),AN171,9E15),IF(ISNUMBER(AO171),AO171,9E15))</f>
        <v/>
      </c>
      <c r="AX171" s="29">
        <f>IF(BD171&gt;Parameters!$B$21*(MAX(IF(AND(NOT(AND(AU171=1,AT171&lt;&gt;1)),ISNUMBER(AK171),AK171&lt;=(C171+T171)),AY171,0),IF(AND(NOT(AND(AU171=1,AT171&lt;&gt;1)),ISNUMBER(AL171),AL171&lt;=(C171+T171)),AZ171,0),IF(AND(NOT(AND(AU171=1,AT171&lt;&gt;1)),ISNUMBER(AM171),AM171&lt;=(C171+T171)),BA171,0),IF(AND(NOT(AND(AU171=1,AT171&lt;&gt;1)),ISNUMBER(AN171),AN171&lt;=(C171+T171)),BB171,0),IF(AND(ISNUMBER(AO171),AO171&lt;=(C171+T171)),BC171,0))),TRUE,FALSE)</f>
        <v/>
      </c>
      <c r="AY171" s="32">
        <f>IFERROR(Upgrades!$H$13*(POWER(Upgrades!$P$13,E171)*POWER(Upgrades!$P$14,F171)*POWER(Upgrades!$P$15,G171)*POWER(Upgrades!$P$16,H171)*POWER(Upgrades!$P$17,I171)*POWER(Upgrades!$P$18,J171)*POWER(Upgrades!$P$19,K171)*POWER(Upgrades!$P$20,L171)*POWER(Upgrades!$P$21,M171))*(IF(Upgrades!$T$14="Stellar Kinematics",POWER(Upgrades!$U$14,F171),1)*IF(Upgrades!$T$15="Stellar Kinematics",POWER(Upgrades!$U$15,G171),1)*IF(Upgrades!$T$16="Stellar Kinematics",POWER(Upgrades!$U$16,H171),1)*IF(Upgrades!$T$17="Stellar Kinematics",POWER(Upgrades!$U$17,I171),1)*IF(Upgrades!$T$18="Stellar Kinematics",POWER(Upgrades!$U$18,J171),1)*IF(Upgrades!$T$19="Stellar Kinematics",POWER(Upgrades!$U$19,K171),1)*IF(Upgrades!$T$20="Stellar Kinematics",POWER(Upgrades!$U$20,L171),1)*IF(Upgrades!$T$21="Stellar Kinematics",POWER(Upgrades!$U$21,M171),1))*$F$6/AK171,0)</f>
        <v/>
      </c>
      <c r="AZ171" s="32">
        <f>IFERROR(Upgrades!$H$14*(POWER(Upgrades!$P$13,E171)*POWER(Upgrades!$P$14,F171)*POWER(Upgrades!$P$15,G171)*POWER(Upgrades!$P$16,H171)*POWER(Upgrades!$P$17,I171)*POWER(Upgrades!$P$18,J171)*POWER(Upgrades!$P$19,K171)*POWER(Upgrades!$P$20,L171)*POWER(Upgrades!$P$21,M171))*(IF(Upgrades!$T$13="Local Bubble",POWER(Upgrades!$U$13,E171),1)*IF(Upgrades!$T$15="Local Bubble",POWER(Upgrades!$U$15,G171),1)*IF(Upgrades!$T$16="Local Bubble",POWER(Upgrades!$U$16,H171),1)*IF(Upgrades!$T$17="Local Bubble",POWER(Upgrades!$U$17,I171),1)*IF(Upgrades!$T$18="Local Bubble",POWER(Upgrades!$U$18,J171),1)*IF(Upgrades!$T$19="Local Bubble",POWER(Upgrades!$U$19,K171),1)*IF(Upgrades!$T$20="Local Bubble",POWER(Upgrades!$U$20,L171),1)*IF(Upgrades!$T$21="Local Bubble",POWER(Upgrades!$U$21,M171),1))*$F$6/AL171,0)</f>
        <v/>
      </c>
      <c r="BA171" s="32">
        <f>IFERROR(Upgrades!$K$15*(POWER(Upgrades!$Q$13,E171)*POWER(Upgrades!$Q$14,F171)*POWER(Upgrades!$Q$15,G171)*POWER(Upgrades!$Q$16,H171)*POWER(Upgrades!$Q$17,I171)*POWER(Upgrades!$Q$18,J171)*POWER(Upgrades!$Q$19,K171)*POWER(Upgrades!$Q$20,L171)*POWER(Upgrades!$Q$21,M171))*(IF(Upgrades!$T$13="Microlensing",POWER(Upgrades!$U$13,E171),1)*IF(Upgrades!$T$14="Microlensing",POWER(Upgrades!$U$14,F171),1)*IF(Upgrades!$T$16="Microlensing",POWER(Upgrades!$U$16,H171),1)*IF(Upgrades!$T$17="Microlensing",POWER(Upgrades!$U$17,I171),1)*IF(Upgrades!$T$18="Microlensing",POWER(Upgrades!$U$18,J171),1)*IF(Upgrades!$T$19="Microlensing",POWER(Upgrades!$U$19,K171),1)*IF(Upgrades!$T$20="Microlensing",POWER(Upgrades!$U$20,L171),1)*IF(Upgrades!$T$21="Microlensing",POWER(Upgrades!$U$21,M171),1))*$G$6*(Parameters!$B$10/60*Parameters!$B$11+Q171)/AM171,0)</f>
        <v/>
      </c>
      <c r="BB171" s="32">
        <f>IFERROR((Upgrades!$N$16*(POWER(Upgrades!$R$13,E171)*POWER(Upgrades!$R$14,F171)*POWER(Upgrades!$R$15,G171)*POWER(Upgrades!$R$16,H171)*POWER(Upgrades!$R$17,I171)*POWER(Upgrades!$R$18,J171)*POWER(Upgrades!$R$19,K171)*POWER(Upgrades!$R$20,L171)*POWER(Upgrades!$R$21,M171))*(IF(Upgrades!$T$13="Roche Lobe Overflow",POWER(Upgrades!$U$13,E171),1)*IF(Upgrades!$T$14="Roche Lobe Overflow",POWER(Upgrades!$U$14,F171),1)*IF(Upgrades!$T$15="Roche Lobe Overflow",POWER(Upgrades!$U$15,G171),1)*IF(Upgrades!$T$17="Roche Lobe Overflow",POWER(Upgrades!$U$17,I171),1)*IF(Upgrades!$T$18="Roche Lobe Overflow",POWER(Upgrades!$U$18,J171),1)*IF(Upgrades!$T$19="Roche Lobe Overflow",POWER(Upgrades!$U$19,K171),1)*IF(Upgrades!$T$20="Roche Lobe Overflow",POWER(Upgrades!$U$20,L171),1)*IF(Upgrades!$T$21="Roche Lobe Overflow",POWER(Upgrades!$U$21,M171),1))*$H$6*O171+((IF(F171=0,0,(Upgrades!$G$14+F171*Upgrades!$H$14)*POWER(Upgrades!$I$14,F171)))*(IF(Upgrades!$T$13="Local Bubble",POWER(Upgrades!$U$13,E171),1)*IF(Upgrades!$T$15="Local Bubble",POWER(Upgrades!$U$15,G171),1)*IF(Upgrades!$T$16="Local Bubble",POWER(Upgrades!$U$16,H171),1)*IF(Upgrades!$T$17="Local Bubble",POWER(Upgrades!$U$17,I171),1)*IF(Upgrades!$T$18="Local Bubble",POWER(Upgrades!$U$18,J171),1)*IF(Upgrades!$T$19="Local Bubble",POWER(Upgrades!$U$19,K171),1)*IF(Upgrades!$T$20="Local Bubble",POWER(Upgrades!$U$20,L171),1)*IF(Upgrades!$T$21="Local Bubble",POWER(Upgrades!$U$21,M171),1))*POWER(Upgrades!$P$13,E171)*POWER(Upgrades!$P$14,F171)*POWER(Upgrades!$P$15,G171)*POWER(Upgrades!$P$16,H171)*POWER(Upgrades!$P$17,I171)*POWER(Upgrades!$P$18,J171)*POWER(Upgrades!$P$19,K171)*POWER(Upgrades!$P$20,L171)*POWER(Upgrades!$P$21,M171)*$F$6)*0.05)/AN171,0)</f>
        <v/>
      </c>
      <c r="BC171" s="32">
        <f>IFERROR((Upgrades!$H$17*(POWER(Upgrades!$P$13,E171)*POWER(Upgrades!$P$14,F171)*POWER(Upgrades!$P$15,G171)*POWER(Upgrades!$P$16,H171)*POWER(Upgrades!$P$17,I171)*POWER(Upgrades!$P$18,J171)*POWER(Upgrades!$P$19,K171)*POWER(Upgrades!$P$20,L171)*POWER(Upgrades!$P$21,M171))*(IF(Upgrades!$T$13="Brown Dwarf",POWER(Upgrades!$U$13,E171),1)*IF(Upgrades!$T$14="Brown Dwarf",POWER(Upgrades!$U$14,F171),1)*IF(Upgrades!$T$15="Brown Dwarf",POWER(Upgrades!$U$15,G171),1)*IF(Upgrades!$T$16="Brown Dwarf",POWER(Upgrades!$U$16,H171),1)*IF(Upgrades!$T$18="Brown Dwarf",POWER(Upgrades!$U$18,J171),1)*IF(Upgrades!$T$19="Brown Dwarf",POWER(Upgrades!$U$19,K171),1)*IF(Upgrades!$T$20="Brown Dwarf",POWER(Upgrades!$U$20,L171),1)*IF(Upgrades!$T$21="Brown Dwarf",POWER(Upgrades!$U$21,M171),1))*$F$6+(((IF(H171=0,0,(Upgrades!$M$16+H171*Upgrades!$N$16)*POWER(Upgrades!$O$16,H171)))*(IF(Upgrades!$T$13="Roche Lobe Overflow",POWER(Upgrades!$U$13,E171),1)*IF(Upgrades!$T$14="Roche Lobe Overflow",POWER(Upgrades!$U$14,F171),1)*IF(Upgrades!$T$15="Roche Lobe Overflow",POWER(Upgrades!$U$15,G171),1)*IF(Upgrades!$T$17="Roche Lobe Overflow",POWER(Upgrades!$U$17,I171),1)*IF(Upgrades!$T$18="Roche Lobe Overflow",POWER(Upgrades!$U$18,J171),1)*IF(Upgrades!$T$19="Roche Lobe Overflow",POWER(Upgrades!$U$19,K171),1)*IF(Upgrades!$T$20="Roche Lobe Overflow",POWER(Upgrades!$U$20,L171),1)*IF(Upgrades!$T$21="Roche Lobe Overflow",POWER(Upgrades!$U$21,M171),1))*POWER(Upgrades!$R$13,E171)*POWER(Upgrades!$R$14,F171)*POWER(Upgrades!$R$15,G171)*POWER(Upgrades!$R$16,H171)*POWER(Upgrades!$R$17,I171)*POWER(Upgrades!$R$18,J171)*POWER(Upgrades!$R$19,K171)*POWER(Upgrades!$R$20,L171)*POWER(Upgrades!$R$21,M171)*$H$6)*O171)*0.10)/AO171,0)</f>
        <v/>
      </c>
      <c r="BD171" s="32">
        <f>MAX(IF(J171&gt;0,0,IFERROR(0.5*((IF(G171=0,0,(Upgrades!$J$15+G171*Upgrades!$K$15)*POWER(Upgrades!$L$15,G171)))*(IF(Upgrades!$T$13="Microlensing",POWER(Upgrades!$U$13,E171),1)*IF(Upgrades!$T$14="Microlensing",POWER(Upgrades!$U$14,F171),1)*IF(Upgrades!$T$16="Microlensing",POWER(Upgrades!$U$16,H171),1)*IF(Upgrades!$T$17="Microlensing",POWER(Upgrades!$U$17,I171),1)*IF(Upgrades!$T$18="Microlensing",POWER(Upgrades!$U$18,J171),1)*IF(Upgrades!$T$19="Microlensing",POWER(Upgrades!$U$19,K171),1)*IF(Upgrades!$T$20="Microlensing",POWER(Upgrades!$U$20,L171),1)*IF(Upgrades!$T$21="Microlensing",POWER(Upgrades!$U$21,M171),1))*(POWER(Upgrades!$Q$13,E171)*POWER(Upgrades!$Q$14,F171)*POWER(Upgrades!$Q$15,G171)*POWER(Upgrades!$Q$16,H171)*POWER(Upgrades!$Q$17,I171)*POWER(Upgrades!$Q$18,J171)*POWER(Upgrades!$Q$19,K171)*POWER(Upgrades!$Q$20,L171)*POWER(Upgrades!$Q$21,M171))*$G$6*(Parameters!$B$10/60*Parameters!$B$11+Q171))/Upgrades!$C$18,0)),IF(K171&gt;0,0,IFERROR(0.30*P171/Upgrades!$C$19,0)),IF(L171&gt;0,0,IFERROR(0.0001/Upgrades!$C$20,0)),IF(M171&gt;0,0,IFERROR((6.0*(POWER(Upgrades!$P$13,E171)*POWER(Upgrades!$P$14,F171)*POWER(Upgrades!$P$15,G171)*POWER(Upgrades!$P$16,H171)*POWER(Upgrades!$P$17,I171)*POWER(Upgrades!$P$18,J171)*POWER(Upgrades!$P$19,K171)*POWER(Upgrades!$P$20,L171)*POWER(Upgrades!$P$21,M171))*$F$6+0.20*O171*(Parameters!$B$10/60*Parameters!$B$11+Q171))/Upgrades!$C$21,0)),IF(AND(ISNUMBER(AK171),AK171&gt;(C171+T171)),AY171,0),IF(AND(ISNUMBER(AL171),AL171&gt;(C171+T171)),AZ171,0),IF(AND(ISNUMBER(AM171),AM171&gt;(C171+T171)),BA171,0),IF(AND(ISNUMBER(AN171),AN171&gt;(C171+T171)),BB171,0),IF(AND(ISNUMBER(AO171),AO171&gt;(C171+T171)),BC171,0))</f>
        <v/>
      </c>
      <c r="BE171" s="29">
        <f>IF(AT171=1,"transition",IF(MIN(IF(AND(J171=0,ISNUMBER(AP171),AP171&lt;=(C171+T171)),AP171,9E15),IF(AND(K171=0,ISNUMBER(AQ171),AQ171&lt;=(C171+T171)),AQ171,9E15),IF(AND(L171=0,ISNUMBER(AR171),AR171&lt;=(C171+T171)),AR171,9E15),IF(AND(M171=0,ISNUMBER(AS171),AS171&lt;=(C171+T171)),AS171,9E15))&lt;9E15,IF(AND(AND(J171=0,ISNUMBER(AP171),AP171&lt;=(C171+T171)),AP171=MIN(IF(AND(J171=0,ISNUMBER(AP171),AP171&lt;=(C171+T171)),AP171,9E15),IF(AND(K171=0,ISNUMBER(AQ171),AQ171&lt;=(C171+T171)),AQ171,9E15),IF(AND(L171=0,ISNUMBER(AR171),AR171&lt;=(C171+T171)),AR171,9E15),IF(AND(M171=0,ISNUMBER(AS171),AS171&lt;=(C171+T171)),AS171,9E15))),"BiP",IF(AND(AND(K171=0,ISNUMBER(AQ171),AQ171&lt;=(C171+T171)),AQ171=MIN(IF(AND(J171=0,ISNUMBER(AP171),AP171&lt;=(C171+T171)),AP171,9E15),IF(AND(K171=0,ISNUMBER(AQ171),AQ171&lt;=(C171+T171)),AQ171,9E15),IF(AND(L171=0,ISNUMBER(AR171),AR171&lt;=(C171+T171)),AR171,9E15),IF(AND(M171=0,ISNUMBER(AS171),AS171&lt;=(C171+T171)),AS171,9E15))),"PV",IF(AND(AND(L171=0,ISNUMBER(AR171),AR171&lt;=(C171+T171)),AR171=MIN(IF(AND(J171=0,ISNUMBER(AP171),AP171&lt;=(C171+T171)),AP171,9E15),IF(AND(K171=0,ISNUMBER(AQ171),AQ171&lt;=(C171+T171)),AQ171,9E15),IF(AND(L171=0,ISNUMBER(AR171),AR171&lt;=(C171+T171)),AR171,9E15),IF(AND(M171=0,ISNUMBER(AS171),AS171&lt;=(C171+T171)),AS171,9E15))),"OC","MG"))),IF(AX171=TRUE,"",IF(MAX(IF(AND(NOT(AND(AU171=1,AT171&lt;&gt;1)),ISNUMBER(AK171),AK171&lt;=(C171+T171)),AY171,0),IF(AND(NOT(AND(AU171=1,AT171&lt;&gt;1)),ISNUMBER(AL171),AL171&lt;=(C171+T171)),AZ171,0),IF(AND(NOT(AND(AU171=1,AT171&lt;&gt;1)),ISNUMBER(AM171),AM171&lt;=(C171+T171)),BA171,0),IF(AND(NOT(AND(AU171=1,AT171&lt;&gt;1)),ISNUMBER(AN171),AN171&lt;=(C171+T171)),BB171,0),IF(AND(ISNUMBER(AO171),AO171&lt;=(C171+T171)),BC171,0))&lt;=0,"",IF(AND(IF(AND(NOT(AND(AU171=1,AT171&lt;&gt;1)),ISNUMBER(AK171),AK171&lt;=(C171+T171)),AY171,0)&gt;0,IF(AND(NOT(AND(AU171=1,AT171&lt;&gt;1)),ISNUMBER(AK171),AK171&lt;=(C171+T171)),AY171,0)=MAX(IF(AND(NOT(AND(AU171=1,AT171&lt;&gt;1)),ISNUMBER(AK171),AK171&lt;=(C171+T171)),AY171,0),IF(AND(NOT(AND(AU171=1,AT171&lt;&gt;1)),ISNUMBER(AL171),AL171&lt;=(C171+T171)),AZ171,0),IF(AND(NOT(AND(AU171=1,AT171&lt;&gt;1)),ISNUMBER(AM171),AM171&lt;=(C171+T171)),BA171,0),IF(AND(NOT(AND(AU171=1,AT171&lt;&gt;1)),ISNUMBER(AN171),AN171&lt;=(C171+T171)),BB171,0),IF(AND(ISNUMBER(AO171),AO171&lt;=(C171+T171)),BC171,0))),"SK",IF(AND(IF(AND(NOT(AND(AU171=1,AT171&lt;&gt;1)),ISNUMBER(AL171),AL171&lt;=(C171+T171)),AZ171,0)&gt;0,IF(AND(NOT(AND(AU171=1,AT171&lt;&gt;1)),ISNUMBER(AL171),AL171&lt;=(C171+T171)),AZ171,0)=MAX(IF(AND(NOT(AND(AU171=1,AT171&lt;&gt;1)),ISNUMBER(AK171),AK171&lt;=(C171+T171)),AY171,0),IF(AND(NOT(AND(AU171=1,AT171&lt;&gt;1)),ISNUMBER(AL171),AL171&lt;=(C171+T171)),AZ171,0),IF(AND(NOT(AND(AU171=1,AT171&lt;&gt;1)),ISNUMBER(AM171),AM171&lt;=(C171+T171)),BA171,0),IF(AND(NOT(AND(AU171=1,AT171&lt;&gt;1)),ISNUMBER(AN171),AN171&lt;=(C171+T171)),BB171,0),IF(AND(ISNUMBER(AO171),AO171&lt;=(C171+T171)),BC171,0))),"LB",IF(AND(IF(AND(NOT(AND(AU171=1,AT171&lt;&gt;1)),ISNUMBER(AM171),AM171&lt;=(C171+T171)),BA171,0)&gt;0,IF(AND(NOT(AND(AU171=1,AT171&lt;&gt;1)),ISNUMBER(AM171),AM171&lt;=(C171+T171)),BA171,0)=MAX(IF(AND(NOT(AND(AU171=1,AT171&lt;&gt;1)),ISNUMBER(AK171),AK171&lt;=(C171+T171)),AY171,0),IF(AND(NOT(AND(AU171=1,AT171&lt;&gt;1)),ISNUMBER(AL171),AL171&lt;=(C171+T171)),AZ171,0),IF(AND(NOT(AND(AU171=1,AT171&lt;&gt;1)),ISNUMBER(AM171),AM171&lt;=(C171+T171)),BA171,0),IF(AND(NOT(AND(AU171=1,AT171&lt;&gt;1)),ISNUMBER(AN171),AN171&lt;=(C171+T171)),BB171,0),IF(AND(ISNUMBER(AO171),AO171&lt;=(C171+T171)),BC171,0))),"ML",IF(AND(IF(AND(NOT(AND(AU171=1,AT171&lt;&gt;1)),ISNUMBER(AN171),AN171&lt;=(C171+T171)),BB171,0)&gt;0,IF(AND(NOT(AND(AU171=1,AT171&lt;&gt;1)),ISNUMBER(AN171),AN171&lt;=(C171+T171)),BB171,0)=MAX(IF(AND(NOT(AND(AU171=1,AT171&lt;&gt;1)),ISNUMBER(AK171),AK171&lt;=(C171+T171)),AY171,0),IF(AND(NOT(AND(AU171=1,AT171&lt;&gt;1)),ISNUMBER(AL171),AL171&lt;=(C171+T171)),AZ171,0),IF(AND(NOT(AND(AU171=1,AT171&lt;&gt;1)),ISNUMBER(AM171),AM171&lt;=(C171+T171)),BA171,0),IF(AND(NOT(AND(AU171=1,AT171&lt;&gt;1)),ISNUMBER(AN171),AN171&lt;=(C171+T171)),BB171,0),IF(AND(ISNUMBER(AO171),AO171&lt;=(C171+T171)),BC171,0))),"RLO","BD"))))))))</f>
        <v/>
      </c>
    </row>
    <row r="172">
      <c r="A172" s="26" t="n">
        <v>161</v>
      </c>
      <c r="B172" s="27">
        <f>A172*10/60</f>
        <v/>
      </c>
      <c r="C172" s="22">
        <f>X171</f>
        <v/>
      </c>
      <c r="D172" s="27">
        <f>D171+W171</f>
        <v/>
      </c>
      <c r="E172" s="26">
        <f>E171+IF(U171="SK",1,0)</f>
        <v/>
      </c>
      <c r="F172" s="26">
        <f>F171+IF(U171="LB",1,0)</f>
        <v/>
      </c>
      <c r="G172" s="26">
        <f>G171+IF(U171="ML",1,0)</f>
        <v/>
      </c>
      <c r="H172" s="26">
        <f>H171+IF(U171="RLO",1,0)</f>
        <v/>
      </c>
      <c r="I172" s="26">
        <f>I171+IF(U171="BD",1,0)</f>
        <v/>
      </c>
      <c r="J172" s="26">
        <f>MAX(J171,IF(U171="BiP",1,0))</f>
        <v/>
      </c>
      <c r="K172" s="26">
        <f>MAX(K171,IF(U171="PV",1,0))</f>
        <v/>
      </c>
      <c r="L172" s="26">
        <f>MAX(L171,IF(U171="OC",1,0))</f>
        <v/>
      </c>
      <c r="M172" s="26">
        <f>MAX(M171,IF(U171="MG",1,0))</f>
        <v/>
      </c>
      <c r="N172" s="26">
        <f>MAX(N171,IF(U171="transition",1,0))</f>
        <v/>
      </c>
      <c r="O172" s="28">
        <f>(Parameters!$B$9+(IF(E172=0,0,(Upgrades!$J$13+E172*Upgrades!$K$13)*POWER(Upgrades!$L$13,E172)))*(IF(Upgrades!$T$14="Stellar Kinematics",POWER(Upgrades!$U$14,F172),1)*IF(Upgrades!$T$15="Stellar Kinematics",POWER(Upgrades!$U$15,G172),1)*IF(Upgrades!$T$16="Stellar Kinematics",POWER(Upgrades!$U$16,H172),1)*IF(Upgrades!$T$17="Stellar Kinematics",POWER(Upgrades!$U$17,I172),1)*IF(Upgrades!$T$18="Stellar Kinematics",POWER(Upgrades!$U$18,J172),1)*IF(Upgrades!$T$19="Stellar Kinematics",POWER(Upgrades!$U$19,K172),1)*IF(Upgrades!$T$20="Stellar Kinematics",POWER(Upgrades!$U$20,L172),1)*IF(Upgrades!$T$21="Stellar Kinematics",POWER(Upgrades!$U$21,M172),1))+(IF(F172=0,0,(Upgrades!$J$14+F172*Upgrades!$K$14)*POWER(Upgrades!$L$14,F172)))*(IF(Upgrades!$T$13="Local Bubble",POWER(Upgrades!$U$13,E172),1)*IF(Upgrades!$T$15="Local Bubble",POWER(Upgrades!$U$15,G172),1)*IF(Upgrades!$T$16="Local Bubble",POWER(Upgrades!$U$16,H172),1)*IF(Upgrades!$T$17="Local Bubble",POWER(Upgrades!$U$17,I172),1)*IF(Upgrades!$T$18="Local Bubble",POWER(Upgrades!$U$18,J172),1)*IF(Upgrades!$T$19="Local Bubble",POWER(Upgrades!$U$19,K172),1)*IF(Upgrades!$T$20="Local Bubble",POWER(Upgrades!$U$20,L172),1)*IF(Upgrades!$T$21="Local Bubble",POWER(Upgrades!$U$21,M172),1))+(IF(G172=0,0,(Upgrades!$J$15+G172*Upgrades!$K$15)*POWER(Upgrades!$L$15,G172)))*(IF(Upgrades!$T$13="Microlensing",POWER(Upgrades!$U$13,E172),1)*IF(Upgrades!$T$14="Microlensing",POWER(Upgrades!$U$14,F172),1)*IF(Upgrades!$T$16="Microlensing",POWER(Upgrades!$U$16,H172),1)*IF(Upgrades!$T$17="Microlensing",POWER(Upgrades!$U$17,I172),1)*IF(Upgrades!$T$18="Microlensing",POWER(Upgrades!$U$18,J172),1)*IF(Upgrades!$T$19="Microlensing",POWER(Upgrades!$U$19,K172),1)*IF(Upgrades!$T$20="Microlensing",POWER(Upgrades!$U$20,L172),1)*IF(Upgrades!$T$21="Microlensing",POWER(Upgrades!$U$21,M172),1))+(IF(H172=0,0,(Upgrades!$J$16+H172*Upgrades!$K$16)*POWER(Upgrades!$L$16,H172)))*(IF(Upgrades!$T$13="Roche Lobe Overflow",POWER(Upgrades!$U$13,E172),1)*IF(Upgrades!$T$14="Roche Lobe Overflow",POWER(Upgrades!$U$14,F172),1)*IF(Upgrades!$T$15="Roche Lobe Overflow",POWER(Upgrades!$U$15,G172),1)*IF(Upgrades!$T$17="Roche Lobe Overflow",POWER(Upgrades!$U$17,I172),1)*IF(Upgrades!$T$18="Roche Lobe Overflow",POWER(Upgrades!$U$18,J172),1)*IF(Upgrades!$T$19="Roche Lobe Overflow",POWER(Upgrades!$U$19,K172),1)*IF(Upgrades!$T$20="Roche Lobe Overflow",POWER(Upgrades!$U$20,L172),1)*IF(Upgrades!$T$21="Roche Lobe Overflow",POWER(Upgrades!$U$21,M172),1))+(IF(I172=0,0,(Upgrades!$J$17+I172*Upgrades!$K$17)*POWER(Upgrades!$L$17,I172)))*(IF(Upgrades!$T$13="Brown Dwarf",POWER(Upgrades!$U$13,E172),1)*IF(Upgrades!$T$14="Brown Dwarf",POWER(Upgrades!$U$14,F172),1)*IF(Upgrades!$T$15="Brown Dwarf",POWER(Upgrades!$U$15,G172),1)*IF(Upgrades!$T$16="Brown Dwarf",POWER(Upgrades!$U$16,H172),1)*IF(Upgrades!$T$18="Brown Dwarf",POWER(Upgrades!$U$18,J172),1)*IF(Upgrades!$T$19="Brown Dwarf",POWER(Upgrades!$U$19,K172),1)*IF(Upgrades!$T$20="Brown Dwarf",POWER(Upgrades!$U$20,L172),1)*IF(Upgrades!$T$21="Brown Dwarf",POWER(Upgrades!$U$21,M172),1))+(IF(J172=0,0,(Upgrades!$J$18+J172*Upgrades!$K$18)*POWER(Upgrades!$L$18,J172)))*(IF(Upgrades!$T$13="Binary Partner",POWER(Upgrades!$U$13,E172),1)*IF(Upgrades!$T$14="Binary Partner",POWER(Upgrades!$U$14,F172),1)*IF(Upgrades!$T$15="Binary Partner",POWER(Upgrades!$U$15,G172),1)*IF(Upgrades!$T$16="Binary Partner",POWER(Upgrades!$U$16,H172),1)*IF(Upgrades!$T$17="Binary Partner",POWER(Upgrades!$U$17,I172),1)*IF(Upgrades!$T$19="Binary Partner",POWER(Upgrades!$U$19,K172),1)*IF(Upgrades!$T$20="Binary Partner",POWER(Upgrades!$U$20,L172),1)*IF(Upgrades!$T$21="Binary Partner",POWER(Upgrades!$U$21,M172),1))+(IF(K172=0,0,(Upgrades!$J$19+K172*Upgrades!$K$19)*POWER(Upgrades!$L$19,K172)))*(IF(Upgrades!$T$13="Peculiar Velocity",POWER(Upgrades!$U$13,E172),1)*IF(Upgrades!$T$14="Peculiar Velocity",POWER(Upgrades!$U$14,F172),1)*IF(Upgrades!$T$15="Peculiar Velocity",POWER(Upgrades!$U$15,G172),1)*IF(Upgrades!$T$16="Peculiar Velocity",POWER(Upgrades!$U$16,H172),1)*IF(Upgrades!$T$17="Peculiar Velocity",POWER(Upgrades!$U$17,I172),1)*IF(Upgrades!$T$18="Peculiar Velocity",POWER(Upgrades!$U$18,J172),1)*IF(Upgrades!$T$20="Peculiar Velocity",POWER(Upgrades!$U$20,L172),1)*IF(Upgrades!$T$21="Peculiar Velocity",POWER(Upgrades!$U$21,M172),1))+(IF(L172=0,0,(Upgrades!$J$20+L172*Upgrades!$K$20)*POWER(Upgrades!$L$20,L172)))*(IF(Upgrades!$T$13="Open Cluster",POWER(Upgrades!$U$13,E172),1)*IF(Upgrades!$T$14="Open Cluster",POWER(Upgrades!$U$14,F172),1)*IF(Upgrades!$T$15="Open Cluster",POWER(Upgrades!$U$15,G172),1)*IF(Upgrades!$T$16="Open Cluster",POWER(Upgrades!$U$16,H172),1)*IF(Upgrades!$T$17="Open Cluster",POWER(Upgrades!$U$17,I172),1)*IF(Upgrades!$T$18="Open Cluster",POWER(Upgrades!$U$18,J172),1)*IF(Upgrades!$T$19="Open Cluster",POWER(Upgrades!$U$19,K172),1)*IF(Upgrades!$T$21="Open Cluster",POWER(Upgrades!$U$21,M172),1))+(IF(M172=0,0,(Upgrades!$J$21+M172*Upgrades!$K$21)*POWER(Upgrades!$L$21,M172)))*(IF(Upgrades!$T$13="Moving Group",POWER(Upgrades!$U$13,E172),1)*IF(Upgrades!$T$14="Moving Group",POWER(Upgrades!$U$14,F172),1)*IF(Upgrades!$T$15="Moving Group",POWER(Upgrades!$U$15,G172),1)*IF(Upgrades!$T$16="Moving Group",POWER(Upgrades!$U$16,H172),1)*IF(Upgrades!$T$17="Moving Group",POWER(Upgrades!$U$17,I172),1)*IF(Upgrades!$T$18="Moving Group",POWER(Upgrades!$U$18,J172),1)*IF(Upgrades!$T$19="Moving Group",POWER(Upgrades!$U$19,K172),1)*IF(Upgrades!$T$20="Moving Group",POWER(Upgrades!$U$20,L172),1)))*POWER(Upgrades!$Q$13,E172)*POWER(Upgrades!$Q$14,F172)*POWER(Upgrades!$Q$15,G172)*POWER(Upgrades!$Q$16,H172)*POWER(Upgrades!$Q$17,I172)*POWER(Upgrades!$Q$18,J172)*POWER(Upgrades!$Q$19,K172)*POWER(Upgrades!$Q$20,L172)*POWER(Upgrades!$Q$21,M172)*$G$6+$D$6</f>
        <v/>
      </c>
      <c r="P172" s="28">
        <f>((IF(E172=0,0,(Upgrades!$G$13+E172*Upgrades!$H$13)*POWER(Upgrades!$I$13,E172)))*(IF(Upgrades!$T$14="Stellar Kinematics",POWER(Upgrades!$U$14,F172),1)*IF(Upgrades!$T$15="Stellar Kinematics",POWER(Upgrades!$U$15,G172),1)*IF(Upgrades!$T$16="Stellar Kinematics",POWER(Upgrades!$U$16,H172),1)*IF(Upgrades!$T$17="Stellar Kinematics",POWER(Upgrades!$U$17,I172),1)*IF(Upgrades!$T$18="Stellar Kinematics",POWER(Upgrades!$U$18,J172),1)*IF(Upgrades!$T$19="Stellar Kinematics",POWER(Upgrades!$U$19,K172),1)*IF(Upgrades!$T$20="Stellar Kinematics",POWER(Upgrades!$U$20,L172),1)*IF(Upgrades!$T$21="Stellar Kinematics",POWER(Upgrades!$U$21,M172),1))+(IF(F172=0,0,(Upgrades!$G$14+F172*Upgrades!$H$14)*POWER(Upgrades!$I$14,F172)))*(IF(Upgrades!$T$13="Local Bubble",POWER(Upgrades!$U$13,E172),1)*IF(Upgrades!$T$15="Local Bubble",POWER(Upgrades!$U$15,G172),1)*IF(Upgrades!$T$16="Local Bubble",POWER(Upgrades!$U$16,H172),1)*IF(Upgrades!$T$17="Local Bubble",POWER(Upgrades!$U$17,I172),1)*IF(Upgrades!$T$18="Local Bubble",POWER(Upgrades!$U$18,J172),1)*IF(Upgrades!$T$19="Local Bubble",POWER(Upgrades!$U$19,K172),1)*IF(Upgrades!$T$20="Local Bubble",POWER(Upgrades!$U$20,L172),1)*IF(Upgrades!$T$21="Local Bubble",POWER(Upgrades!$U$21,M172),1))+(IF(G172=0,0,(Upgrades!$G$15+G172*Upgrades!$H$15)*POWER(Upgrades!$I$15,G172)))*(IF(Upgrades!$T$13="Microlensing",POWER(Upgrades!$U$13,E172),1)*IF(Upgrades!$T$14="Microlensing",POWER(Upgrades!$U$14,F172),1)*IF(Upgrades!$T$16="Microlensing",POWER(Upgrades!$U$16,H172),1)*IF(Upgrades!$T$17="Microlensing",POWER(Upgrades!$U$17,I172),1)*IF(Upgrades!$T$18="Microlensing",POWER(Upgrades!$U$18,J172),1)*IF(Upgrades!$T$19="Microlensing",POWER(Upgrades!$U$19,K172),1)*IF(Upgrades!$T$20="Microlensing",POWER(Upgrades!$U$20,L172),1)*IF(Upgrades!$T$21="Microlensing",POWER(Upgrades!$U$21,M172),1))+(IF(H172=0,0,(Upgrades!$G$16+H172*Upgrades!$H$16)*POWER(Upgrades!$I$16,H172)))*(IF(Upgrades!$T$13="Roche Lobe Overflow",POWER(Upgrades!$U$13,E172),1)*IF(Upgrades!$T$14="Roche Lobe Overflow",POWER(Upgrades!$U$14,F172),1)*IF(Upgrades!$T$15="Roche Lobe Overflow",POWER(Upgrades!$U$15,G172),1)*IF(Upgrades!$T$17="Roche Lobe Overflow",POWER(Upgrades!$U$17,I172),1)*IF(Upgrades!$T$18="Roche Lobe Overflow",POWER(Upgrades!$U$18,J172),1)*IF(Upgrades!$T$19="Roche Lobe Overflow",POWER(Upgrades!$U$19,K172),1)*IF(Upgrades!$T$20="Roche Lobe Overflow",POWER(Upgrades!$U$20,L172),1)*IF(Upgrades!$T$21="Roche Lobe Overflow",POWER(Upgrades!$U$21,M172),1))+(IF(I172=0,0,(Upgrades!$G$17+I172*Upgrades!$H$17)*POWER(Upgrades!$I$17,I172)))*(IF(Upgrades!$T$13="Brown Dwarf",POWER(Upgrades!$U$13,E172),1)*IF(Upgrades!$T$14="Brown Dwarf",POWER(Upgrades!$U$14,F172),1)*IF(Upgrades!$T$15="Brown Dwarf",POWER(Upgrades!$U$15,G172),1)*IF(Upgrades!$T$16="Brown Dwarf",POWER(Upgrades!$U$16,H172),1)*IF(Upgrades!$T$18="Brown Dwarf",POWER(Upgrades!$U$18,J172),1)*IF(Upgrades!$T$19="Brown Dwarf",POWER(Upgrades!$U$19,K172),1)*IF(Upgrades!$T$20="Brown Dwarf",POWER(Upgrades!$U$20,L172),1)*IF(Upgrades!$T$21="Brown Dwarf",POWER(Upgrades!$U$21,M172),1))+(IF(J172=0,0,(Upgrades!$G$18+J172*Upgrades!$H$18)*POWER(Upgrades!$I$18,J172)))*(IF(Upgrades!$T$13="Binary Partner",POWER(Upgrades!$U$13,E172),1)*IF(Upgrades!$T$14="Binary Partner",POWER(Upgrades!$U$14,F172),1)*IF(Upgrades!$T$15="Binary Partner",POWER(Upgrades!$U$15,G172),1)*IF(Upgrades!$T$16="Binary Partner",POWER(Upgrades!$U$16,H172),1)*IF(Upgrades!$T$17="Binary Partner",POWER(Upgrades!$U$17,I172),1)*IF(Upgrades!$T$19="Binary Partner",POWER(Upgrades!$U$19,K172),1)*IF(Upgrades!$T$20="Binary Partner",POWER(Upgrades!$U$20,L172),1)*IF(Upgrades!$T$21="Binary Partner",POWER(Upgrades!$U$21,M172),1))+(IF(K172=0,0,(Upgrades!$G$19+K172*Upgrades!$H$19)*POWER(Upgrades!$I$19,K172)))*(IF(Upgrades!$T$13="Peculiar Velocity",POWER(Upgrades!$U$13,E172),1)*IF(Upgrades!$T$14="Peculiar Velocity",POWER(Upgrades!$U$14,F172),1)*IF(Upgrades!$T$15="Peculiar Velocity",POWER(Upgrades!$U$15,G172),1)*IF(Upgrades!$T$16="Peculiar Velocity",POWER(Upgrades!$U$16,H172),1)*IF(Upgrades!$T$17="Peculiar Velocity",POWER(Upgrades!$U$17,I172),1)*IF(Upgrades!$T$18="Peculiar Velocity",POWER(Upgrades!$U$18,J172),1)*IF(Upgrades!$T$20="Peculiar Velocity",POWER(Upgrades!$U$20,L172),1)*IF(Upgrades!$T$21="Peculiar Velocity",POWER(Upgrades!$U$21,M172),1))+(IF(L172=0,0,(Upgrades!$G$20+L172*Upgrades!$H$20)*POWER(Upgrades!$I$20,L172)))*(IF(Upgrades!$T$13="Open Cluster",POWER(Upgrades!$U$13,E172),1)*IF(Upgrades!$T$14="Open Cluster",POWER(Upgrades!$U$14,F172),1)*IF(Upgrades!$T$15="Open Cluster",POWER(Upgrades!$U$15,G172),1)*IF(Upgrades!$T$16="Open Cluster",POWER(Upgrades!$U$16,H172),1)*IF(Upgrades!$T$17="Open Cluster",POWER(Upgrades!$U$17,I172),1)*IF(Upgrades!$T$18="Open Cluster",POWER(Upgrades!$U$18,J172),1)*IF(Upgrades!$T$19="Open Cluster",POWER(Upgrades!$U$19,K172),1)*IF(Upgrades!$T$21="Open Cluster",POWER(Upgrades!$U$21,M172),1))+(IF(M172=0,0,(Upgrades!$G$21+M172*Upgrades!$H$21)*POWER(Upgrades!$I$21,M172)))*(IF(Upgrades!$T$13="Moving Group",POWER(Upgrades!$U$13,E172),1)*IF(Upgrades!$T$14="Moving Group",POWER(Upgrades!$U$14,F172),1)*IF(Upgrades!$T$15="Moving Group",POWER(Upgrades!$U$15,G172),1)*IF(Upgrades!$T$16="Moving Group",POWER(Upgrades!$U$16,H172),1)*IF(Upgrades!$T$17="Moving Group",POWER(Upgrades!$U$17,I172),1)*IF(Upgrades!$T$18="Moving Group",POWER(Upgrades!$U$18,J172),1)*IF(Upgrades!$T$19="Moving Group",POWER(Upgrades!$U$19,K172),1)*IF(Upgrades!$T$20="Moving Group",POWER(Upgrades!$U$20,L172),1)))*POWER(Upgrades!$P$13,E172)*POWER(Upgrades!$P$14,F172)*POWER(Upgrades!$P$15,G172)*POWER(Upgrades!$P$16,H172)*POWER(Upgrades!$P$17,I172)*POWER(Upgrades!$P$18,J172)*POWER(Upgrades!$P$19,K172)*POWER(Upgrades!$P$20,L172)*POWER(Upgrades!$P$21,M172)*$F$6+$C$6</f>
        <v/>
      </c>
      <c r="Q172" s="28">
        <f>((IF(E172=0,0,(Upgrades!$M$13+E172*Upgrades!$N$13)*POWER(Upgrades!$O$13,E172)))*(IF(Upgrades!$T$14="Stellar Kinematics",POWER(Upgrades!$U$14,F172),1)*IF(Upgrades!$T$15="Stellar Kinematics",POWER(Upgrades!$U$15,G172),1)*IF(Upgrades!$T$16="Stellar Kinematics",POWER(Upgrades!$U$16,H172),1)*IF(Upgrades!$T$17="Stellar Kinematics",POWER(Upgrades!$U$17,I172),1)*IF(Upgrades!$T$18="Stellar Kinematics",POWER(Upgrades!$U$18,J172),1)*IF(Upgrades!$T$19="Stellar Kinematics",POWER(Upgrades!$U$19,K172),1)*IF(Upgrades!$T$20="Stellar Kinematics",POWER(Upgrades!$U$20,L172),1)*IF(Upgrades!$T$21="Stellar Kinematics",POWER(Upgrades!$U$21,M172),1))+(IF(F172=0,0,(Upgrades!$M$14+F172*Upgrades!$N$14)*POWER(Upgrades!$O$14,F172)))*(IF(Upgrades!$T$13="Local Bubble",POWER(Upgrades!$U$13,E172),1)*IF(Upgrades!$T$15="Local Bubble",POWER(Upgrades!$U$15,G172),1)*IF(Upgrades!$T$16="Local Bubble",POWER(Upgrades!$U$16,H172),1)*IF(Upgrades!$T$17="Local Bubble",POWER(Upgrades!$U$17,I172),1)*IF(Upgrades!$T$18="Local Bubble",POWER(Upgrades!$U$18,J172),1)*IF(Upgrades!$T$19="Local Bubble",POWER(Upgrades!$U$19,K172),1)*IF(Upgrades!$T$20="Local Bubble",POWER(Upgrades!$U$20,L172),1)*IF(Upgrades!$T$21="Local Bubble",POWER(Upgrades!$U$21,M172),1))+(IF(G172=0,0,(Upgrades!$M$15+G172*Upgrades!$N$15)*POWER(Upgrades!$O$15,G172)))*(IF(Upgrades!$T$13="Microlensing",POWER(Upgrades!$U$13,E172),1)*IF(Upgrades!$T$14="Microlensing",POWER(Upgrades!$U$14,F172),1)*IF(Upgrades!$T$16="Microlensing",POWER(Upgrades!$U$16,H172),1)*IF(Upgrades!$T$17="Microlensing",POWER(Upgrades!$U$17,I172),1)*IF(Upgrades!$T$18="Microlensing",POWER(Upgrades!$U$18,J172),1)*IF(Upgrades!$T$19="Microlensing",POWER(Upgrades!$U$19,K172),1)*IF(Upgrades!$T$20="Microlensing",POWER(Upgrades!$U$20,L172),1)*IF(Upgrades!$T$21="Microlensing",POWER(Upgrades!$U$21,M172),1))+(IF(H172=0,0,(Upgrades!$M$16+H172*Upgrades!$N$16)*POWER(Upgrades!$O$16,H172)))*(IF(Upgrades!$T$13="Roche Lobe Overflow",POWER(Upgrades!$U$13,E172),1)*IF(Upgrades!$T$14="Roche Lobe Overflow",POWER(Upgrades!$U$14,F172),1)*IF(Upgrades!$T$15="Roche Lobe Overflow",POWER(Upgrades!$U$15,G172),1)*IF(Upgrades!$T$17="Roche Lobe Overflow",POWER(Upgrades!$U$17,I172),1)*IF(Upgrades!$T$18="Roche Lobe Overflow",POWER(Upgrades!$U$18,J172),1)*IF(Upgrades!$T$19="Roche Lobe Overflow",POWER(Upgrades!$U$19,K172),1)*IF(Upgrades!$T$20="Roche Lobe Overflow",POWER(Upgrades!$U$20,L172),1)*IF(Upgrades!$T$21="Roche Lobe Overflow",POWER(Upgrades!$U$21,M172),1))+(IF(I172=0,0,(Upgrades!$M$17+I172*Upgrades!$N$17)*POWER(Upgrades!$O$17,I172)))*(IF(Upgrades!$T$13="Brown Dwarf",POWER(Upgrades!$U$13,E172),1)*IF(Upgrades!$T$14="Brown Dwarf",POWER(Upgrades!$U$14,F172),1)*IF(Upgrades!$T$15="Brown Dwarf",POWER(Upgrades!$U$15,G172),1)*IF(Upgrades!$T$16="Brown Dwarf",POWER(Upgrades!$U$16,H172),1)*IF(Upgrades!$T$18="Brown Dwarf",POWER(Upgrades!$U$18,J172),1)*IF(Upgrades!$T$19="Brown Dwarf",POWER(Upgrades!$U$19,K172),1)*IF(Upgrades!$T$20="Brown Dwarf",POWER(Upgrades!$U$20,L172),1)*IF(Upgrades!$T$21="Brown Dwarf",POWER(Upgrades!$U$21,M172),1))+(IF(J172=0,0,(Upgrades!$M$18+J172*Upgrades!$N$18)*POWER(Upgrades!$O$18,J172)))*(IF(Upgrades!$T$13="Binary Partner",POWER(Upgrades!$U$13,E172),1)*IF(Upgrades!$T$14="Binary Partner",POWER(Upgrades!$U$14,F172),1)*IF(Upgrades!$T$15="Binary Partner",POWER(Upgrades!$U$15,G172),1)*IF(Upgrades!$T$16="Binary Partner",POWER(Upgrades!$U$16,H172),1)*IF(Upgrades!$T$17="Binary Partner",POWER(Upgrades!$U$17,I172),1)*IF(Upgrades!$T$19="Binary Partner",POWER(Upgrades!$U$19,K172),1)*IF(Upgrades!$T$20="Binary Partner",POWER(Upgrades!$U$20,L172),1)*IF(Upgrades!$T$21="Binary Partner",POWER(Upgrades!$U$21,M172),1))+(IF(K172=0,0,(Upgrades!$M$19+K172*Upgrades!$N$19)*POWER(Upgrades!$O$19,K172)))*(IF(Upgrades!$T$13="Peculiar Velocity",POWER(Upgrades!$U$13,E172),1)*IF(Upgrades!$T$14="Peculiar Velocity",POWER(Upgrades!$U$14,F172),1)*IF(Upgrades!$T$15="Peculiar Velocity",POWER(Upgrades!$U$15,G172),1)*IF(Upgrades!$T$16="Peculiar Velocity",POWER(Upgrades!$U$16,H172),1)*IF(Upgrades!$T$17="Peculiar Velocity",POWER(Upgrades!$U$17,I172),1)*IF(Upgrades!$T$18="Peculiar Velocity",POWER(Upgrades!$U$18,J172),1)*IF(Upgrades!$T$20="Peculiar Velocity",POWER(Upgrades!$U$20,L172),1)*IF(Upgrades!$T$21="Peculiar Velocity",POWER(Upgrades!$U$21,M172),1))+(IF(L172=0,0,(Upgrades!$M$20+L172*Upgrades!$N$20)*POWER(Upgrades!$O$20,L172)))*(IF(Upgrades!$T$13="Open Cluster",POWER(Upgrades!$U$13,E172),1)*IF(Upgrades!$T$14="Open Cluster",POWER(Upgrades!$U$14,F172),1)*IF(Upgrades!$T$15="Open Cluster",POWER(Upgrades!$U$15,G172),1)*IF(Upgrades!$T$16="Open Cluster",POWER(Upgrades!$U$16,H172),1)*IF(Upgrades!$T$17="Open Cluster",POWER(Upgrades!$U$17,I172),1)*IF(Upgrades!$T$18="Open Cluster",POWER(Upgrades!$U$18,J172),1)*IF(Upgrades!$T$19="Open Cluster",POWER(Upgrades!$U$19,K172),1)*IF(Upgrades!$T$21="Open Cluster",POWER(Upgrades!$U$21,M172),1))+(IF(M172=0,0,(Upgrades!$M$21+M172*Upgrades!$N$21)*POWER(Upgrades!$O$21,M172)))*(IF(Upgrades!$T$13="Moving Group",POWER(Upgrades!$U$13,E172),1)*IF(Upgrades!$T$14="Moving Group",POWER(Upgrades!$U$14,F172),1)*IF(Upgrades!$T$15="Moving Group",POWER(Upgrades!$U$15,G172),1)*IF(Upgrades!$T$16="Moving Group",POWER(Upgrades!$U$16,H172),1)*IF(Upgrades!$T$17="Moving Group",POWER(Upgrades!$U$17,I172),1)*IF(Upgrades!$T$18="Moving Group",POWER(Upgrades!$U$18,J172),1)*IF(Upgrades!$T$19="Moving Group",POWER(Upgrades!$U$19,K172),1)*IF(Upgrades!$T$20="Moving Group",POWER(Upgrades!$U$20,L172),1)))*POWER(Upgrades!$R$13,E172)*POWER(Upgrades!$R$14,F172)*POWER(Upgrades!$R$15,G172)*POWER(Upgrades!$R$16,H172)*POWER(Upgrades!$R$17,I172)*POWER(Upgrades!$R$18,J172)*POWER(Upgrades!$R$19,K172)*POWER(Upgrades!$R$20,L172)*POWER(Upgrades!$R$21,M172)*$H$6+$E$6</f>
        <v/>
      </c>
      <c r="R172" s="27">
        <f>IF(N172=1,0,O172*Parameters!$B$10/60*Parameters!$B$11*10)</f>
        <v/>
      </c>
      <c r="S172" s="27">
        <f>IF(N172=1,0,Q172*O172*10)</f>
        <v/>
      </c>
      <c r="T172" s="27">
        <f>IF(N172=1,0,R172+S172+P172*10)</f>
        <v/>
      </c>
      <c r="U172" s="33">
        <f>BE172</f>
        <v/>
      </c>
      <c r="V172" s="22">
        <f>IF(U172="",0,IF(U172="transition",0,IF(U172="SK",AK172,IF(U172="LB",AL172,IF(U172="ML",AM172,IF(U172="RLO",AN172,IF(U172="BD",AO172,IF(U172="BiP",AP172,IF(U172="PV",AQ172,IF(U172="OC",AR172,IF(U172="MG",AS172,0))))))))))</f>
        <v/>
      </c>
      <c r="W172" s="27">
        <f>IF(U172="BiP",Upgrades!$F$18,IF(U172="PV",Upgrades!$F$19,IF(U172="OC",Upgrades!$F$20,IF(U172="MG",Upgrades!$F$21,IF(U172="transition",-Parameters!$B$18*Parameters!$B$19,0)))))</f>
        <v/>
      </c>
      <c r="X172" s="22">
        <f>C172+T172-V172</f>
        <v/>
      </c>
      <c r="Y172" s="30">
        <f>O172*Parameters!$B$10/60*Parameters!$B$11+Q172*O172+P172</f>
        <v/>
      </c>
      <c r="Z172" s="34">
        <f>IF(U172="transition","→ Tier 3 (Galactic Arm)",IF(U172="MG","Moving Group — pocket drifts together",IF(U172="OC","Open Cluster acquired",IF(U172="PV","Peculiar Velocity — passive multiplier active",IF(U172="BiP","Binary Partner — pair bond formed",IF(AND(AU172=1,N172=0,AT172&lt;&gt;1),"Cohesion ready (waiting on completionists)","")))))) </f>
        <v/>
      </c>
      <c r="AA172" s="27">
        <f>(IF(E172=0,0,(Upgrades!$G$13+E172*Upgrades!$H$13)*POWER(Upgrades!$I$13,E172)))*(IF(Upgrades!$T$14="Stellar Kinematics",POWER(Upgrades!$U$14,F172),1)*IF(Upgrades!$T$15="Stellar Kinematics",POWER(Upgrades!$U$15,G172),1)*IF(Upgrades!$T$16="Stellar Kinematics",POWER(Upgrades!$U$16,H172),1)*IF(Upgrades!$T$17="Stellar Kinematics",POWER(Upgrades!$U$17,I172),1)*IF(Upgrades!$T$18="Stellar Kinematics",POWER(Upgrades!$U$18,J172),1)*IF(Upgrades!$T$19="Stellar Kinematics",POWER(Upgrades!$U$19,K172),1)*IF(Upgrades!$T$20="Stellar Kinematics",POWER(Upgrades!$U$20,L172),1)*IF(Upgrades!$T$21="Stellar Kinematics",POWER(Upgrades!$U$21,M172),1))*POWER(Upgrades!$P$13,E172)*POWER(Upgrades!$P$14,F172)*POWER(Upgrades!$P$15,G172)*POWER(Upgrades!$P$16,H172)*POWER(Upgrades!$P$17,I172)*POWER(Upgrades!$P$18,J172)*POWER(Upgrades!$P$19,K172)*POWER(Upgrades!$P$20,L172)*POWER(Upgrades!$P$21,M172)*$F$6*60</f>
        <v/>
      </c>
      <c r="AB172" s="27">
        <f>(IF(F172=0,0,(Upgrades!$G$14+F172*Upgrades!$H$14)*POWER(Upgrades!$I$14,F172)))*(IF(Upgrades!$T$13="Local Bubble",POWER(Upgrades!$U$13,E172),1)*IF(Upgrades!$T$15="Local Bubble",POWER(Upgrades!$U$15,G172),1)*IF(Upgrades!$T$16="Local Bubble",POWER(Upgrades!$U$16,H172),1)*IF(Upgrades!$T$17="Local Bubble",POWER(Upgrades!$U$17,I172),1)*IF(Upgrades!$T$18="Local Bubble",POWER(Upgrades!$U$18,J172),1)*IF(Upgrades!$T$19="Local Bubble",POWER(Upgrades!$U$19,K172),1)*IF(Upgrades!$T$20="Local Bubble",POWER(Upgrades!$U$20,L172),1)*IF(Upgrades!$T$21="Local Bubble",POWER(Upgrades!$U$21,M172),1))*POWER(Upgrades!$P$13,E172)*POWER(Upgrades!$P$14,F172)*POWER(Upgrades!$P$15,G172)*POWER(Upgrades!$P$16,H172)*POWER(Upgrades!$P$17,I172)*POWER(Upgrades!$P$18,J172)*POWER(Upgrades!$P$19,K172)*POWER(Upgrades!$P$20,L172)*POWER(Upgrades!$P$21,M172)*$F$6*60</f>
        <v/>
      </c>
      <c r="AC172" s="27">
        <f>(IF(G172=0,0,(Upgrades!$J$15+G172*Upgrades!$K$15)*POWER(Upgrades!$L$15,G172)))*(IF(Upgrades!$T$13="Microlensing",POWER(Upgrades!$U$13,E172),1)*IF(Upgrades!$T$14="Microlensing",POWER(Upgrades!$U$14,F172),1)*IF(Upgrades!$T$16="Microlensing",POWER(Upgrades!$U$16,H172),1)*IF(Upgrades!$T$17="Microlensing",POWER(Upgrades!$U$17,I172),1)*IF(Upgrades!$T$18="Microlensing",POWER(Upgrades!$U$18,J172),1)*IF(Upgrades!$T$19="Microlensing",POWER(Upgrades!$U$19,K172),1)*IF(Upgrades!$T$20="Microlensing",POWER(Upgrades!$U$20,L172),1)*IF(Upgrades!$T$21="Microlensing",POWER(Upgrades!$U$21,M172),1))*POWER(Upgrades!$Q$13,E172)*POWER(Upgrades!$Q$14,F172)*POWER(Upgrades!$Q$15,G172)*POWER(Upgrades!$Q$16,H172)*POWER(Upgrades!$Q$17,I172)*POWER(Upgrades!$Q$18,J172)*POWER(Upgrades!$Q$19,K172)*POWER(Upgrades!$Q$20,L172)*POWER(Upgrades!$Q$21,M172)*$G$6*(Parameters!$B$10*Parameters!$B$11+Q172*60)</f>
        <v/>
      </c>
      <c r="AD172" s="27">
        <f>(IF(H172=0,0,(Upgrades!$M$16+H172*Upgrades!$N$16)*POWER(Upgrades!$O$16,H172)))*(IF(Upgrades!$T$13="Roche Lobe Overflow",POWER(Upgrades!$U$13,E172),1)*IF(Upgrades!$T$14="Roche Lobe Overflow",POWER(Upgrades!$U$14,F172),1)*IF(Upgrades!$T$15="Roche Lobe Overflow",POWER(Upgrades!$U$15,G172),1)*IF(Upgrades!$T$17="Roche Lobe Overflow",POWER(Upgrades!$U$17,I172),1)*IF(Upgrades!$T$18="Roche Lobe Overflow",POWER(Upgrades!$U$18,J172),1)*IF(Upgrades!$T$19="Roche Lobe Overflow",POWER(Upgrades!$U$19,K172),1)*IF(Upgrades!$T$20="Roche Lobe Overflow",POWER(Upgrades!$U$20,L172),1)*IF(Upgrades!$T$21="Roche Lobe Overflow",POWER(Upgrades!$U$21,M172),1))*POWER(Upgrades!$R$13,E172)*POWER(Upgrades!$R$14,F172)*POWER(Upgrades!$R$15,G172)*POWER(Upgrades!$R$16,H172)*POWER(Upgrades!$R$17,I172)*POWER(Upgrades!$R$18,J172)*POWER(Upgrades!$R$19,K172)*POWER(Upgrades!$R$20,L172)*POWER(Upgrades!$R$21,M172)*$H$6*O172*60</f>
        <v/>
      </c>
      <c r="AE172" s="27">
        <f>(IF(I172=0,0,(Upgrades!$G$17+I172*Upgrades!$H$17)*POWER(Upgrades!$I$17,I172)))*(IF(Upgrades!$T$13="Brown Dwarf",POWER(Upgrades!$U$13,E172),1)*IF(Upgrades!$T$14="Brown Dwarf",POWER(Upgrades!$U$14,F172),1)*IF(Upgrades!$T$15="Brown Dwarf",POWER(Upgrades!$U$15,G172),1)*IF(Upgrades!$T$16="Brown Dwarf",POWER(Upgrades!$U$16,H172),1)*IF(Upgrades!$T$18="Brown Dwarf",POWER(Upgrades!$U$18,J172),1)*IF(Upgrades!$T$19="Brown Dwarf",POWER(Upgrades!$U$19,K172),1)*IF(Upgrades!$T$20="Brown Dwarf",POWER(Upgrades!$U$20,L172),1)*IF(Upgrades!$T$21="Brown Dwarf",POWER(Upgrades!$U$21,M172),1))*POWER(Upgrades!$P$13,E172)*POWER(Upgrades!$P$14,F172)*POWER(Upgrades!$P$15,G172)*POWER(Upgrades!$P$16,H172)*POWER(Upgrades!$P$17,I172)*POWER(Upgrades!$P$18,J172)*POWER(Upgrades!$P$19,K172)*POWER(Upgrades!$P$20,L172)*POWER(Upgrades!$P$21,M172)*$F$6*60</f>
        <v/>
      </c>
      <c r="AF172" s="27" t="n">
        <v>0</v>
      </c>
      <c r="AG172" s="27" t="n">
        <v>0</v>
      </c>
      <c r="AH172" s="27" t="n">
        <v>0</v>
      </c>
      <c r="AI172" s="27">
        <f>(IF(M172=0,0,(Upgrades!$G$21+M172*Upgrades!$H$21)*POWER(Upgrades!$I$21,M172)))*(IF(Upgrades!$T$13="Moving Group",POWER(Upgrades!$U$13,E172),1)*IF(Upgrades!$T$14="Moving Group",POWER(Upgrades!$U$14,F172),1)*IF(Upgrades!$T$15="Moving Group",POWER(Upgrades!$U$15,G172),1)*IF(Upgrades!$T$16="Moving Group",POWER(Upgrades!$U$16,H172),1)*IF(Upgrades!$T$17="Moving Group",POWER(Upgrades!$U$17,I172),1)*IF(Upgrades!$T$18="Moving Group",POWER(Upgrades!$U$18,J172),1)*IF(Upgrades!$T$19="Moving Group",POWER(Upgrades!$U$19,K172),1)*IF(Upgrades!$T$20="Moving Group",POWER(Upgrades!$U$20,L172),1))*POWER(Upgrades!$P$13,E172)*POWER(Upgrades!$P$14,F172)*POWER(Upgrades!$P$15,G172)*POWER(Upgrades!$P$16,H172)*POWER(Upgrades!$P$17,I172)*POWER(Upgrades!$P$18,J172)*POWER(Upgrades!$P$19,K172)*POWER(Upgrades!$P$20,L172)*POWER(Upgrades!$P$21,M172)*$F$6*60</f>
        <v/>
      </c>
      <c r="AJ172" s="27">
        <f>$C$6*60</f>
        <v/>
      </c>
      <c r="AK172" s="22">
        <f>IF(E172&gt;=Upgrades!$E$13,"",Upgrades!$C$13*POWER(Upgrades!$D$13,E172))</f>
        <v/>
      </c>
      <c r="AL172" s="22">
        <f>IF(F172&gt;=Upgrades!$E$14,"",Upgrades!$C$14*POWER(Upgrades!$D$14,F172))</f>
        <v/>
      </c>
      <c r="AM172" s="22">
        <f>IF(G172&gt;=Upgrades!$E$15,"",Upgrades!$C$15*POWER(Upgrades!$D$15,G172))</f>
        <v/>
      </c>
      <c r="AN172" s="22">
        <f>IF(H172&gt;=Upgrades!$E$16,"",Upgrades!$C$16*POWER(Upgrades!$D$16,H172))</f>
        <v/>
      </c>
      <c r="AO172" s="22">
        <f>IF(I172&gt;=Upgrades!$E$17,"",Upgrades!$C$17*POWER(Upgrades!$D$17,I172))</f>
        <v/>
      </c>
      <c r="AP172" s="22">
        <f>IF(J172&gt;=Upgrades!$E$18,"",Upgrades!$C$18*POWER(Upgrades!$D$18,J172))</f>
        <v/>
      </c>
      <c r="AQ172" s="22">
        <f>IF(K172&gt;=Upgrades!$E$19,"",Upgrades!$C$19*POWER(Upgrades!$D$19,K172))</f>
        <v/>
      </c>
      <c r="AR172" s="22">
        <f>IF(L172&gt;=Upgrades!$E$20,"",Upgrades!$C$20*POWER(Upgrades!$D$20,L172))</f>
        <v/>
      </c>
      <c r="AS172" s="22">
        <f>IF(M172&gt;=Upgrades!$E$21,"",Upgrades!$C$21*POWER(Upgrades!$D$21,M172))</f>
        <v/>
      </c>
      <c r="AT172" s="26">
        <f>IF(AND(D172&gt;=Parameters!$B$18*Parameters!$B$19,(I172&gt;=Upgrades!$E$17)*(M172&gt;=Upgrades!$E$21)=1,N172=0),1,"")</f>
        <v/>
      </c>
      <c r="AU172" s="26">
        <f>IF(AND(D172&gt;=Parameters!$B$18*Parameters!$B$19,N172=0),1,"")</f>
        <v/>
      </c>
      <c r="AV172" s="22">
        <f>MIN(IF(ISNUMBER(AP172),AP172,9E15),IF(ISNUMBER(AQ172),AQ172,9E15),IF(ISNUMBER(AR172),AR172,9E15),IF(ISNUMBER(AS172),AS172,9E15))</f>
        <v/>
      </c>
      <c r="AW172" s="22">
        <f>MIN(IF(ISNUMBER(AK172),AK172,9E15),IF(ISNUMBER(AL172),AL172,9E15),IF(ISNUMBER(AM172),AM172,9E15),IF(ISNUMBER(AN172),AN172,9E15),IF(ISNUMBER(AO172),AO172,9E15))</f>
        <v/>
      </c>
      <c r="AX172" s="29">
        <f>IF(BD172&gt;Parameters!$B$21*(MAX(IF(AND(NOT(AND(AU172=1,AT172&lt;&gt;1)),ISNUMBER(AK172),AK172&lt;=(C172+T172)),AY172,0),IF(AND(NOT(AND(AU172=1,AT172&lt;&gt;1)),ISNUMBER(AL172),AL172&lt;=(C172+T172)),AZ172,0),IF(AND(NOT(AND(AU172=1,AT172&lt;&gt;1)),ISNUMBER(AM172),AM172&lt;=(C172+T172)),BA172,0),IF(AND(NOT(AND(AU172=1,AT172&lt;&gt;1)),ISNUMBER(AN172),AN172&lt;=(C172+T172)),BB172,0),IF(AND(ISNUMBER(AO172),AO172&lt;=(C172+T172)),BC172,0))),TRUE,FALSE)</f>
        <v/>
      </c>
      <c r="AY172" s="32">
        <f>IFERROR(Upgrades!$H$13*(POWER(Upgrades!$P$13,E172)*POWER(Upgrades!$P$14,F172)*POWER(Upgrades!$P$15,G172)*POWER(Upgrades!$P$16,H172)*POWER(Upgrades!$P$17,I172)*POWER(Upgrades!$P$18,J172)*POWER(Upgrades!$P$19,K172)*POWER(Upgrades!$P$20,L172)*POWER(Upgrades!$P$21,M172))*(IF(Upgrades!$T$14="Stellar Kinematics",POWER(Upgrades!$U$14,F172),1)*IF(Upgrades!$T$15="Stellar Kinematics",POWER(Upgrades!$U$15,G172),1)*IF(Upgrades!$T$16="Stellar Kinematics",POWER(Upgrades!$U$16,H172),1)*IF(Upgrades!$T$17="Stellar Kinematics",POWER(Upgrades!$U$17,I172),1)*IF(Upgrades!$T$18="Stellar Kinematics",POWER(Upgrades!$U$18,J172),1)*IF(Upgrades!$T$19="Stellar Kinematics",POWER(Upgrades!$U$19,K172),1)*IF(Upgrades!$T$20="Stellar Kinematics",POWER(Upgrades!$U$20,L172),1)*IF(Upgrades!$T$21="Stellar Kinematics",POWER(Upgrades!$U$21,M172),1))*$F$6/AK172,0)</f>
        <v/>
      </c>
      <c r="AZ172" s="32">
        <f>IFERROR(Upgrades!$H$14*(POWER(Upgrades!$P$13,E172)*POWER(Upgrades!$P$14,F172)*POWER(Upgrades!$P$15,G172)*POWER(Upgrades!$P$16,H172)*POWER(Upgrades!$P$17,I172)*POWER(Upgrades!$P$18,J172)*POWER(Upgrades!$P$19,K172)*POWER(Upgrades!$P$20,L172)*POWER(Upgrades!$P$21,M172))*(IF(Upgrades!$T$13="Local Bubble",POWER(Upgrades!$U$13,E172),1)*IF(Upgrades!$T$15="Local Bubble",POWER(Upgrades!$U$15,G172),1)*IF(Upgrades!$T$16="Local Bubble",POWER(Upgrades!$U$16,H172),1)*IF(Upgrades!$T$17="Local Bubble",POWER(Upgrades!$U$17,I172),1)*IF(Upgrades!$T$18="Local Bubble",POWER(Upgrades!$U$18,J172),1)*IF(Upgrades!$T$19="Local Bubble",POWER(Upgrades!$U$19,K172),1)*IF(Upgrades!$T$20="Local Bubble",POWER(Upgrades!$U$20,L172),1)*IF(Upgrades!$T$21="Local Bubble",POWER(Upgrades!$U$21,M172),1))*$F$6/AL172,0)</f>
        <v/>
      </c>
      <c r="BA172" s="32">
        <f>IFERROR(Upgrades!$K$15*(POWER(Upgrades!$Q$13,E172)*POWER(Upgrades!$Q$14,F172)*POWER(Upgrades!$Q$15,G172)*POWER(Upgrades!$Q$16,H172)*POWER(Upgrades!$Q$17,I172)*POWER(Upgrades!$Q$18,J172)*POWER(Upgrades!$Q$19,K172)*POWER(Upgrades!$Q$20,L172)*POWER(Upgrades!$Q$21,M172))*(IF(Upgrades!$T$13="Microlensing",POWER(Upgrades!$U$13,E172),1)*IF(Upgrades!$T$14="Microlensing",POWER(Upgrades!$U$14,F172),1)*IF(Upgrades!$T$16="Microlensing",POWER(Upgrades!$U$16,H172),1)*IF(Upgrades!$T$17="Microlensing",POWER(Upgrades!$U$17,I172),1)*IF(Upgrades!$T$18="Microlensing",POWER(Upgrades!$U$18,J172),1)*IF(Upgrades!$T$19="Microlensing",POWER(Upgrades!$U$19,K172),1)*IF(Upgrades!$T$20="Microlensing",POWER(Upgrades!$U$20,L172),1)*IF(Upgrades!$T$21="Microlensing",POWER(Upgrades!$U$21,M172),1))*$G$6*(Parameters!$B$10/60*Parameters!$B$11+Q172)/AM172,0)</f>
        <v/>
      </c>
      <c r="BB172" s="32">
        <f>IFERROR((Upgrades!$N$16*(POWER(Upgrades!$R$13,E172)*POWER(Upgrades!$R$14,F172)*POWER(Upgrades!$R$15,G172)*POWER(Upgrades!$R$16,H172)*POWER(Upgrades!$R$17,I172)*POWER(Upgrades!$R$18,J172)*POWER(Upgrades!$R$19,K172)*POWER(Upgrades!$R$20,L172)*POWER(Upgrades!$R$21,M172))*(IF(Upgrades!$T$13="Roche Lobe Overflow",POWER(Upgrades!$U$13,E172),1)*IF(Upgrades!$T$14="Roche Lobe Overflow",POWER(Upgrades!$U$14,F172),1)*IF(Upgrades!$T$15="Roche Lobe Overflow",POWER(Upgrades!$U$15,G172),1)*IF(Upgrades!$T$17="Roche Lobe Overflow",POWER(Upgrades!$U$17,I172),1)*IF(Upgrades!$T$18="Roche Lobe Overflow",POWER(Upgrades!$U$18,J172),1)*IF(Upgrades!$T$19="Roche Lobe Overflow",POWER(Upgrades!$U$19,K172),1)*IF(Upgrades!$T$20="Roche Lobe Overflow",POWER(Upgrades!$U$20,L172),1)*IF(Upgrades!$T$21="Roche Lobe Overflow",POWER(Upgrades!$U$21,M172),1))*$H$6*O172+((IF(F172=0,0,(Upgrades!$G$14+F172*Upgrades!$H$14)*POWER(Upgrades!$I$14,F172)))*(IF(Upgrades!$T$13="Local Bubble",POWER(Upgrades!$U$13,E172),1)*IF(Upgrades!$T$15="Local Bubble",POWER(Upgrades!$U$15,G172),1)*IF(Upgrades!$T$16="Local Bubble",POWER(Upgrades!$U$16,H172),1)*IF(Upgrades!$T$17="Local Bubble",POWER(Upgrades!$U$17,I172),1)*IF(Upgrades!$T$18="Local Bubble",POWER(Upgrades!$U$18,J172),1)*IF(Upgrades!$T$19="Local Bubble",POWER(Upgrades!$U$19,K172),1)*IF(Upgrades!$T$20="Local Bubble",POWER(Upgrades!$U$20,L172),1)*IF(Upgrades!$T$21="Local Bubble",POWER(Upgrades!$U$21,M172),1))*POWER(Upgrades!$P$13,E172)*POWER(Upgrades!$P$14,F172)*POWER(Upgrades!$P$15,G172)*POWER(Upgrades!$P$16,H172)*POWER(Upgrades!$P$17,I172)*POWER(Upgrades!$P$18,J172)*POWER(Upgrades!$P$19,K172)*POWER(Upgrades!$P$20,L172)*POWER(Upgrades!$P$21,M172)*$F$6)*0.05)/AN172,0)</f>
        <v/>
      </c>
      <c r="BC172" s="32">
        <f>IFERROR((Upgrades!$H$17*(POWER(Upgrades!$P$13,E172)*POWER(Upgrades!$P$14,F172)*POWER(Upgrades!$P$15,G172)*POWER(Upgrades!$P$16,H172)*POWER(Upgrades!$P$17,I172)*POWER(Upgrades!$P$18,J172)*POWER(Upgrades!$P$19,K172)*POWER(Upgrades!$P$20,L172)*POWER(Upgrades!$P$21,M172))*(IF(Upgrades!$T$13="Brown Dwarf",POWER(Upgrades!$U$13,E172),1)*IF(Upgrades!$T$14="Brown Dwarf",POWER(Upgrades!$U$14,F172),1)*IF(Upgrades!$T$15="Brown Dwarf",POWER(Upgrades!$U$15,G172),1)*IF(Upgrades!$T$16="Brown Dwarf",POWER(Upgrades!$U$16,H172),1)*IF(Upgrades!$T$18="Brown Dwarf",POWER(Upgrades!$U$18,J172),1)*IF(Upgrades!$T$19="Brown Dwarf",POWER(Upgrades!$U$19,K172),1)*IF(Upgrades!$T$20="Brown Dwarf",POWER(Upgrades!$U$20,L172),1)*IF(Upgrades!$T$21="Brown Dwarf",POWER(Upgrades!$U$21,M172),1))*$F$6+(((IF(H172=0,0,(Upgrades!$M$16+H172*Upgrades!$N$16)*POWER(Upgrades!$O$16,H172)))*(IF(Upgrades!$T$13="Roche Lobe Overflow",POWER(Upgrades!$U$13,E172),1)*IF(Upgrades!$T$14="Roche Lobe Overflow",POWER(Upgrades!$U$14,F172),1)*IF(Upgrades!$T$15="Roche Lobe Overflow",POWER(Upgrades!$U$15,G172),1)*IF(Upgrades!$T$17="Roche Lobe Overflow",POWER(Upgrades!$U$17,I172),1)*IF(Upgrades!$T$18="Roche Lobe Overflow",POWER(Upgrades!$U$18,J172),1)*IF(Upgrades!$T$19="Roche Lobe Overflow",POWER(Upgrades!$U$19,K172),1)*IF(Upgrades!$T$20="Roche Lobe Overflow",POWER(Upgrades!$U$20,L172),1)*IF(Upgrades!$T$21="Roche Lobe Overflow",POWER(Upgrades!$U$21,M172),1))*POWER(Upgrades!$R$13,E172)*POWER(Upgrades!$R$14,F172)*POWER(Upgrades!$R$15,G172)*POWER(Upgrades!$R$16,H172)*POWER(Upgrades!$R$17,I172)*POWER(Upgrades!$R$18,J172)*POWER(Upgrades!$R$19,K172)*POWER(Upgrades!$R$20,L172)*POWER(Upgrades!$R$21,M172)*$H$6)*O172)*0.10)/AO172,0)</f>
        <v/>
      </c>
      <c r="BD172" s="32">
        <f>MAX(IF(J172&gt;0,0,IFERROR(0.5*((IF(G172=0,0,(Upgrades!$J$15+G172*Upgrades!$K$15)*POWER(Upgrades!$L$15,G172)))*(IF(Upgrades!$T$13="Microlensing",POWER(Upgrades!$U$13,E172),1)*IF(Upgrades!$T$14="Microlensing",POWER(Upgrades!$U$14,F172),1)*IF(Upgrades!$T$16="Microlensing",POWER(Upgrades!$U$16,H172),1)*IF(Upgrades!$T$17="Microlensing",POWER(Upgrades!$U$17,I172),1)*IF(Upgrades!$T$18="Microlensing",POWER(Upgrades!$U$18,J172),1)*IF(Upgrades!$T$19="Microlensing",POWER(Upgrades!$U$19,K172),1)*IF(Upgrades!$T$20="Microlensing",POWER(Upgrades!$U$20,L172),1)*IF(Upgrades!$T$21="Microlensing",POWER(Upgrades!$U$21,M172),1))*(POWER(Upgrades!$Q$13,E172)*POWER(Upgrades!$Q$14,F172)*POWER(Upgrades!$Q$15,G172)*POWER(Upgrades!$Q$16,H172)*POWER(Upgrades!$Q$17,I172)*POWER(Upgrades!$Q$18,J172)*POWER(Upgrades!$Q$19,K172)*POWER(Upgrades!$Q$20,L172)*POWER(Upgrades!$Q$21,M172))*$G$6*(Parameters!$B$10/60*Parameters!$B$11+Q172))/Upgrades!$C$18,0)),IF(K172&gt;0,0,IFERROR(0.30*P172/Upgrades!$C$19,0)),IF(L172&gt;0,0,IFERROR(0.0001/Upgrades!$C$20,0)),IF(M172&gt;0,0,IFERROR((6.0*(POWER(Upgrades!$P$13,E172)*POWER(Upgrades!$P$14,F172)*POWER(Upgrades!$P$15,G172)*POWER(Upgrades!$P$16,H172)*POWER(Upgrades!$P$17,I172)*POWER(Upgrades!$P$18,J172)*POWER(Upgrades!$P$19,K172)*POWER(Upgrades!$P$20,L172)*POWER(Upgrades!$P$21,M172))*$F$6+0.20*O172*(Parameters!$B$10/60*Parameters!$B$11+Q172))/Upgrades!$C$21,0)),IF(AND(ISNUMBER(AK172),AK172&gt;(C172+T172)),AY172,0),IF(AND(ISNUMBER(AL172),AL172&gt;(C172+T172)),AZ172,0),IF(AND(ISNUMBER(AM172),AM172&gt;(C172+T172)),BA172,0),IF(AND(ISNUMBER(AN172),AN172&gt;(C172+T172)),BB172,0),IF(AND(ISNUMBER(AO172),AO172&gt;(C172+T172)),BC172,0))</f>
        <v/>
      </c>
      <c r="BE172" s="29">
        <f>IF(AT172=1,"transition",IF(MIN(IF(AND(J172=0,ISNUMBER(AP172),AP172&lt;=(C172+T172)),AP172,9E15),IF(AND(K172=0,ISNUMBER(AQ172),AQ172&lt;=(C172+T172)),AQ172,9E15),IF(AND(L172=0,ISNUMBER(AR172),AR172&lt;=(C172+T172)),AR172,9E15),IF(AND(M172=0,ISNUMBER(AS172),AS172&lt;=(C172+T172)),AS172,9E15))&lt;9E15,IF(AND(AND(J172=0,ISNUMBER(AP172),AP172&lt;=(C172+T172)),AP172=MIN(IF(AND(J172=0,ISNUMBER(AP172),AP172&lt;=(C172+T172)),AP172,9E15),IF(AND(K172=0,ISNUMBER(AQ172),AQ172&lt;=(C172+T172)),AQ172,9E15),IF(AND(L172=0,ISNUMBER(AR172),AR172&lt;=(C172+T172)),AR172,9E15),IF(AND(M172=0,ISNUMBER(AS172),AS172&lt;=(C172+T172)),AS172,9E15))),"BiP",IF(AND(AND(K172=0,ISNUMBER(AQ172),AQ172&lt;=(C172+T172)),AQ172=MIN(IF(AND(J172=0,ISNUMBER(AP172),AP172&lt;=(C172+T172)),AP172,9E15),IF(AND(K172=0,ISNUMBER(AQ172),AQ172&lt;=(C172+T172)),AQ172,9E15),IF(AND(L172=0,ISNUMBER(AR172),AR172&lt;=(C172+T172)),AR172,9E15),IF(AND(M172=0,ISNUMBER(AS172),AS172&lt;=(C172+T172)),AS172,9E15))),"PV",IF(AND(AND(L172=0,ISNUMBER(AR172),AR172&lt;=(C172+T172)),AR172=MIN(IF(AND(J172=0,ISNUMBER(AP172),AP172&lt;=(C172+T172)),AP172,9E15),IF(AND(K172=0,ISNUMBER(AQ172),AQ172&lt;=(C172+T172)),AQ172,9E15),IF(AND(L172=0,ISNUMBER(AR172),AR172&lt;=(C172+T172)),AR172,9E15),IF(AND(M172=0,ISNUMBER(AS172),AS172&lt;=(C172+T172)),AS172,9E15))),"OC","MG"))),IF(AX172=TRUE,"",IF(MAX(IF(AND(NOT(AND(AU172=1,AT172&lt;&gt;1)),ISNUMBER(AK172),AK172&lt;=(C172+T172)),AY172,0),IF(AND(NOT(AND(AU172=1,AT172&lt;&gt;1)),ISNUMBER(AL172),AL172&lt;=(C172+T172)),AZ172,0),IF(AND(NOT(AND(AU172=1,AT172&lt;&gt;1)),ISNUMBER(AM172),AM172&lt;=(C172+T172)),BA172,0),IF(AND(NOT(AND(AU172=1,AT172&lt;&gt;1)),ISNUMBER(AN172),AN172&lt;=(C172+T172)),BB172,0),IF(AND(ISNUMBER(AO172),AO172&lt;=(C172+T172)),BC172,0))&lt;=0,"",IF(AND(IF(AND(NOT(AND(AU172=1,AT172&lt;&gt;1)),ISNUMBER(AK172),AK172&lt;=(C172+T172)),AY172,0)&gt;0,IF(AND(NOT(AND(AU172=1,AT172&lt;&gt;1)),ISNUMBER(AK172),AK172&lt;=(C172+T172)),AY172,0)=MAX(IF(AND(NOT(AND(AU172=1,AT172&lt;&gt;1)),ISNUMBER(AK172),AK172&lt;=(C172+T172)),AY172,0),IF(AND(NOT(AND(AU172=1,AT172&lt;&gt;1)),ISNUMBER(AL172),AL172&lt;=(C172+T172)),AZ172,0),IF(AND(NOT(AND(AU172=1,AT172&lt;&gt;1)),ISNUMBER(AM172),AM172&lt;=(C172+T172)),BA172,0),IF(AND(NOT(AND(AU172=1,AT172&lt;&gt;1)),ISNUMBER(AN172),AN172&lt;=(C172+T172)),BB172,0),IF(AND(ISNUMBER(AO172),AO172&lt;=(C172+T172)),BC172,0))),"SK",IF(AND(IF(AND(NOT(AND(AU172=1,AT172&lt;&gt;1)),ISNUMBER(AL172),AL172&lt;=(C172+T172)),AZ172,0)&gt;0,IF(AND(NOT(AND(AU172=1,AT172&lt;&gt;1)),ISNUMBER(AL172),AL172&lt;=(C172+T172)),AZ172,0)=MAX(IF(AND(NOT(AND(AU172=1,AT172&lt;&gt;1)),ISNUMBER(AK172),AK172&lt;=(C172+T172)),AY172,0),IF(AND(NOT(AND(AU172=1,AT172&lt;&gt;1)),ISNUMBER(AL172),AL172&lt;=(C172+T172)),AZ172,0),IF(AND(NOT(AND(AU172=1,AT172&lt;&gt;1)),ISNUMBER(AM172),AM172&lt;=(C172+T172)),BA172,0),IF(AND(NOT(AND(AU172=1,AT172&lt;&gt;1)),ISNUMBER(AN172),AN172&lt;=(C172+T172)),BB172,0),IF(AND(ISNUMBER(AO172),AO172&lt;=(C172+T172)),BC172,0))),"LB",IF(AND(IF(AND(NOT(AND(AU172=1,AT172&lt;&gt;1)),ISNUMBER(AM172),AM172&lt;=(C172+T172)),BA172,0)&gt;0,IF(AND(NOT(AND(AU172=1,AT172&lt;&gt;1)),ISNUMBER(AM172),AM172&lt;=(C172+T172)),BA172,0)=MAX(IF(AND(NOT(AND(AU172=1,AT172&lt;&gt;1)),ISNUMBER(AK172),AK172&lt;=(C172+T172)),AY172,0),IF(AND(NOT(AND(AU172=1,AT172&lt;&gt;1)),ISNUMBER(AL172),AL172&lt;=(C172+T172)),AZ172,0),IF(AND(NOT(AND(AU172=1,AT172&lt;&gt;1)),ISNUMBER(AM172),AM172&lt;=(C172+T172)),BA172,0),IF(AND(NOT(AND(AU172=1,AT172&lt;&gt;1)),ISNUMBER(AN172),AN172&lt;=(C172+T172)),BB172,0),IF(AND(ISNUMBER(AO172),AO172&lt;=(C172+T172)),BC172,0))),"ML",IF(AND(IF(AND(NOT(AND(AU172=1,AT172&lt;&gt;1)),ISNUMBER(AN172),AN172&lt;=(C172+T172)),BB172,0)&gt;0,IF(AND(NOT(AND(AU172=1,AT172&lt;&gt;1)),ISNUMBER(AN172),AN172&lt;=(C172+T172)),BB172,0)=MAX(IF(AND(NOT(AND(AU172=1,AT172&lt;&gt;1)),ISNUMBER(AK172),AK172&lt;=(C172+T172)),AY172,0),IF(AND(NOT(AND(AU172=1,AT172&lt;&gt;1)),ISNUMBER(AL172),AL172&lt;=(C172+T172)),AZ172,0),IF(AND(NOT(AND(AU172=1,AT172&lt;&gt;1)),ISNUMBER(AM172),AM172&lt;=(C172+T172)),BA172,0),IF(AND(NOT(AND(AU172=1,AT172&lt;&gt;1)),ISNUMBER(AN172),AN172&lt;=(C172+T172)),BB172,0),IF(AND(ISNUMBER(AO172),AO172&lt;=(C172+T172)),BC172,0))),"RLO","BD"))))))))</f>
        <v/>
      </c>
    </row>
    <row r="173">
      <c r="A173" s="26" t="n">
        <v>162</v>
      </c>
      <c r="B173" s="27">
        <f>A173*10/60</f>
        <v/>
      </c>
      <c r="C173" s="22">
        <f>X172</f>
        <v/>
      </c>
      <c r="D173" s="27">
        <f>D172+W172</f>
        <v/>
      </c>
      <c r="E173" s="26">
        <f>E172+IF(U172="SK",1,0)</f>
        <v/>
      </c>
      <c r="F173" s="26">
        <f>F172+IF(U172="LB",1,0)</f>
        <v/>
      </c>
      <c r="G173" s="26">
        <f>G172+IF(U172="ML",1,0)</f>
        <v/>
      </c>
      <c r="H173" s="26">
        <f>H172+IF(U172="RLO",1,0)</f>
        <v/>
      </c>
      <c r="I173" s="26">
        <f>I172+IF(U172="BD",1,0)</f>
        <v/>
      </c>
      <c r="J173" s="26">
        <f>MAX(J172,IF(U172="BiP",1,0))</f>
        <v/>
      </c>
      <c r="K173" s="26">
        <f>MAX(K172,IF(U172="PV",1,0))</f>
        <v/>
      </c>
      <c r="L173" s="26">
        <f>MAX(L172,IF(U172="OC",1,0))</f>
        <v/>
      </c>
      <c r="M173" s="26">
        <f>MAX(M172,IF(U172="MG",1,0))</f>
        <v/>
      </c>
      <c r="N173" s="26">
        <f>MAX(N172,IF(U172="transition",1,0))</f>
        <v/>
      </c>
      <c r="O173" s="28">
        <f>(Parameters!$B$9+(IF(E173=0,0,(Upgrades!$J$13+E173*Upgrades!$K$13)*POWER(Upgrades!$L$13,E173)))*(IF(Upgrades!$T$14="Stellar Kinematics",POWER(Upgrades!$U$14,F173),1)*IF(Upgrades!$T$15="Stellar Kinematics",POWER(Upgrades!$U$15,G173),1)*IF(Upgrades!$T$16="Stellar Kinematics",POWER(Upgrades!$U$16,H173),1)*IF(Upgrades!$T$17="Stellar Kinematics",POWER(Upgrades!$U$17,I173),1)*IF(Upgrades!$T$18="Stellar Kinematics",POWER(Upgrades!$U$18,J173),1)*IF(Upgrades!$T$19="Stellar Kinematics",POWER(Upgrades!$U$19,K173),1)*IF(Upgrades!$T$20="Stellar Kinematics",POWER(Upgrades!$U$20,L173),1)*IF(Upgrades!$T$21="Stellar Kinematics",POWER(Upgrades!$U$21,M173),1))+(IF(F173=0,0,(Upgrades!$J$14+F173*Upgrades!$K$14)*POWER(Upgrades!$L$14,F173)))*(IF(Upgrades!$T$13="Local Bubble",POWER(Upgrades!$U$13,E173),1)*IF(Upgrades!$T$15="Local Bubble",POWER(Upgrades!$U$15,G173),1)*IF(Upgrades!$T$16="Local Bubble",POWER(Upgrades!$U$16,H173),1)*IF(Upgrades!$T$17="Local Bubble",POWER(Upgrades!$U$17,I173),1)*IF(Upgrades!$T$18="Local Bubble",POWER(Upgrades!$U$18,J173),1)*IF(Upgrades!$T$19="Local Bubble",POWER(Upgrades!$U$19,K173),1)*IF(Upgrades!$T$20="Local Bubble",POWER(Upgrades!$U$20,L173),1)*IF(Upgrades!$T$21="Local Bubble",POWER(Upgrades!$U$21,M173),1))+(IF(G173=0,0,(Upgrades!$J$15+G173*Upgrades!$K$15)*POWER(Upgrades!$L$15,G173)))*(IF(Upgrades!$T$13="Microlensing",POWER(Upgrades!$U$13,E173),1)*IF(Upgrades!$T$14="Microlensing",POWER(Upgrades!$U$14,F173),1)*IF(Upgrades!$T$16="Microlensing",POWER(Upgrades!$U$16,H173),1)*IF(Upgrades!$T$17="Microlensing",POWER(Upgrades!$U$17,I173),1)*IF(Upgrades!$T$18="Microlensing",POWER(Upgrades!$U$18,J173),1)*IF(Upgrades!$T$19="Microlensing",POWER(Upgrades!$U$19,K173),1)*IF(Upgrades!$T$20="Microlensing",POWER(Upgrades!$U$20,L173),1)*IF(Upgrades!$T$21="Microlensing",POWER(Upgrades!$U$21,M173),1))+(IF(H173=0,0,(Upgrades!$J$16+H173*Upgrades!$K$16)*POWER(Upgrades!$L$16,H173)))*(IF(Upgrades!$T$13="Roche Lobe Overflow",POWER(Upgrades!$U$13,E173),1)*IF(Upgrades!$T$14="Roche Lobe Overflow",POWER(Upgrades!$U$14,F173),1)*IF(Upgrades!$T$15="Roche Lobe Overflow",POWER(Upgrades!$U$15,G173),1)*IF(Upgrades!$T$17="Roche Lobe Overflow",POWER(Upgrades!$U$17,I173),1)*IF(Upgrades!$T$18="Roche Lobe Overflow",POWER(Upgrades!$U$18,J173),1)*IF(Upgrades!$T$19="Roche Lobe Overflow",POWER(Upgrades!$U$19,K173),1)*IF(Upgrades!$T$20="Roche Lobe Overflow",POWER(Upgrades!$U$20,L173),1)*IF(Upgrades!$T$21="Roche Lobe Overflow",POWER(Upgrades!$U$21,M173),1))+(IF(I173=0,0,(Upgrades!$J$17+I173*Upgrades!$K$17)*POWER(Upgrades!$L$17,I173)))*(IF(Upgrades!$T$13="Brown Dwarf",POWER(Upgrades!$U$13,E173),1)*IF(Upgrades!$T$14="Brown Dwarf",POWER(Upgrades!$U$14,F173),1)*IF(Upgrades!$T$15="Brown Dwarf",POWER(Upgrades!$U$15,G173),1)*IF(Upgrades!$T$16="Brown Dwarf",POWER(Upgrades!$U$16,H173),1)*IF(Upgrades!$T$18="Brown Dwarf",POWER(Upgrades!$U$18,J173),1)*IF(Upgrades!$T$19="Brown Dwarf",POWER(Upgrades!$U$19,K173),1)*IF(Upgrades!$T$20="Brown Dwarf",POWER(Upgrades!$U$20,L173),1)*IF(Upgrades!$T$21="Brown Dwarf",POWER(Upgrades!$U$21,M173),1))+(IF(J173=0,0,(Upgrades!$J$18+J173*Upgrades!$K$18)*POWER(Upgrades!$L$18,J173)))*(IF(Upgrades!$T$13="Binary Partner",POWER(Upgrades!$U$13,E173),1)*IF(Upgrades!$T$14="Binary Partner",POWER(Upgrades!$U$14,F173),1)*IF(Upgrades!$T$15="Binary Partner",POWER(Upgrades!$U$15,G173),1)*IF(Upgrades!$T$16="Binary Partner",POWER(Upgrades!$U$16,H173),1)*IF(Upgrades!$T$17="Binary Partner",POWER(Upgrades!$U$17,I173),1)*IF(Upgrades!$T$19="Binary Partner",POWER(Upgrades!$U$19,K173),1)*IF(Upgrades!$T$20="Binary Partner",POWER(Upgrades!$U$20,L173),1)*IF(Upgrades!$T$21="Binary Partner",POWER(Upgrades!$U$21,M173),1))+(IF(K173=0,0,(Upgrades!$J$19+K173*Upgrades!$K$19)*POWER(Upgrades!$L$19,K173)))*(IF(Upgrades!$T$13="Peculiar Velocity",POWER(Upgrades!$U$13,E173),1)*IF(Upgrades!$T$14="Peculiar Velocity",POWER(Upgrades!$U$14,F173),1)*IF(Upgrades!$T$15="Peculiar Velocity",POWER(Upgrades!$U$15,G173),1)*IF(Upgrades!$T$16="Peculiar Velocity",POWER(Upgrades!$U$16,H173),1)*IF(Upgrades!$T$17="Peculiar Velocity",POWER(Upgrades!$U$17,I173),1)*IF(Upgrades!$T$18="Peculiar Velocity",POWER(Upgrades!$U$18,J173),1)*IF(Upgrades!$T$20="Peculiar Velocity",POWER(Upgrades!$U$20,L173),1)*IF(Upgrades!$T$21="Peculiar Velocity",POWER(Upgrades!$U$21,M173),1))+(IF(L173=0,0,(Upgrades!$J$20+L173*Upgrades!$K$20)*POWER(Upgrades!$L$20,L173)))*(IF(Upgrades!$T$13="Open Cluster",POWER(Upgrades!$U$13,E173),1)*IF(Upgrades!$T$14="Open Cluster",POWER(Upgrades!$U$14,F173),1)*IF(Upgrades!$T$15="Open Cluster",POWER(Upgrades!$U$15,G173),1)*IF(Upgrades!$T$16="Open Cluster",POWER(Upgrades!$U$16,H173),1)*IF(Upgrades!$T$17="Open Cluster",POWER(Upgrades!$U$17,I173),1)*IF(Upgrades!$T$18="Open Cluster",POWER(Upgrades!$U$18,J173),1)*IF(Upgrades!$T$19="Open Cluster",POWER(Upgrades!$U$19,K173),1)*IF(Upgrades!$T$21="Open Cluster",POWER(Upgrades!$U$21,M173),1))+(IF(M173=0,0,(Upgrades!$J$21+M173*Upgrades!$K$21)*POWER(Upgrades!$L$21,M173)))*(IF(Upgrades!$T$13="Moving Group",POWER(Upgrades!$U$13,E173),1)*IF(Upgrades!$T$14="Moving Group",POWER(Upgrades!$U$14,F173),1)*IF(Upgrades!$T$15="Moving Group",POWER(Upgrades!$U$15,G173),1)*IF(Upgrades!$T$16="Moving Group",POWER(Upgrades!$U$16,H173),1)*IF(Upgrades!$T$17="Moving Group",POWER(Upgrades!$U$17,I173),1)*IF(Upgrades!$T$18="Moving Group",POWER(Upgrades!$U$18,J173),1)*IF(Upgrades!$T$19="Moving Group",POWER(Upgrades!$U$19,K173),1)*IF(Upgrades!$T$20="Moving Group",POWER(Upgrades!$U$20,L173),1)))*POWER(Upgrades!$Q$13,E173)*POWER(Upgrades!$Q$14,F173)*POWER(Upgrades!$Q$15,G173)*POWER(Upgrades!$Q$16,H173)*POWER(Upgrades!$Q$17,I173)*POWER(Upgrades!$Q$18,J173)*POWER(Upgrades!$Q$19,K173)*POWER(Upgrades!$Q$20,L173)*POWER(Upgrades!$Q$21,M173)*$G$6+$D$6</f>
        <v/>
      </c>
      <c r="P173" s="28">
        <f>((IF(E173=0,0,(Upgrades!$G$13+E173*Upgrades!$H$13)*POWER(Upgrades!$I$13,E173)))*(IF(Upgrades!$T$14="Stellar Kinematics",POWER(Upgrades!$U$14,F173),1)*IF(Upgrades!$T$15="Stellar Kinematics",POWER(Upgrades!$U$15,G173),1)*IF(Upgrades!$T$16="Stellar Kinematics",POWER(Upgrades!$U$16,H173),1)*IF(Upgrades!$T$17="Stellar Kinematics",POWER(Upgrades!$U$17,I173),1)*IF(Upgrades!$T$18="Stellar Kinematics",POWER(Upgrades!$U$18,J173),1)*IF(Upgrades!$T$19="Stellar Kinematics",POWER(Upgrades!$U$19,K173),1)*IF(Upgrades!$T$20="Stellar Kinematics",POWER(Upgrades!$U$20,L173),1)*IF(Upgrades!$T$21="Stellar Kinematics",POWER(Upgrades!$U$21,M173),1))+(IF(F173=0,0,(Upgrades!$G$14+F173*Upgrades!$H$14)*POWER(Upgrades!$I$14,F173)))*(IF(Upgrades!$T$13="Local Bubble",POWER(Upgrades!$U$13,E173),1)*IF(Upgrades!$T$15="Local Bubble",POWER(Upgrades!$U$15,G173),1)*IF(Upgrades!$T$16="Local Bubble",POWER(Upgrades!$U$16,H173),1)*IF(Upgrades!$T$17="Local Bubble",POWER(Upgrades!$U$17,I173),1)*IF(Upgrades!$T$18="Local Bubble",POWER(Upgrades!$U$18,J173),1)*IF(Upgrades!$T$19="Local Bubble",POWER(Upgrades!$U$19,K173),1)*IF(Upgrades!$T$20="Local Bubble",POWER(Upgrades!$U$20,L173),1)*IF(Upgrades!$T$21="Local Bubble",POWER(Upgrades!$U$21,M173),1))+(IF(G173=0,0,(Upgrades!$G$15+G173*Upgrades!$H$15)*POWER(Upgrades!$I$15,G173)))*(IF(Upgrades!$T$13="Microlensing",POWER(Upgrades!$U$13,E173),1)*IF(Upgrades!$T$14="Microlensing",POWER(Upgrades!$U$14,F173),1)*IF(Upgrades!$T$16="Microlensing",POWER(Upgrades!$U$16,H173),1)*IF(Upgrades!$T$17="Microlensing",POWER(Upgrades!$U$17,I173),1)*IF(Upgrades!$T$18="Microlensing",POWER(Upgrades!$U$18,J173),1)*IF(Upgrades!$T$19="Microlensing",POWER(Upgrades!$U$19,K173),1)*IF(Upgrades!$T$20="Microlensing",POWER(Upgrades!$U$20,L173),1)*IF(Upgrades!$T$21="Microlensing",POWER(Upgrades!$U$21,M173),1))+(IF(H173=0,0,(Upgrades!$G$16+H173*Upgrades!$H$16)*POWER(Upgrades!$I$16,H173)))*(IF(Upgrades!$T$13="Roche Lobe Overflow",POWER(Upgrades!$U$13,E173),1)*IF(Upgrades!$T$14="Roche Lobe Overflow",POWER(Upgrades!$U$14,F173),1)*IF(Upgrades!$T$15="Roche Lobe Overflow",POWER(Upgrades!$U$15,G173),1)*IF(Upgrades!$T$17="Roche Lobe Overflow",POWER(Upgrades!$U$17,I173),1)*IF(Upgrades!$T$18="Roche Lobe Overflow",POWER(Upgrades!$U$18,J173),1)*IF(Upgrades!$T$19="Roche Lobe Overflow",POWER(Upgrades!$U$19,K173),1)*IF(Upgrades!$T$20="Roche Lobe Overflow",POWER(Upgrades!$U$20,L173),1)*IF(Upgrades!$T$21="Roche Lobe Overflow",POWER(Upgrades!$U$21,M173),1))+(IF(I173=0,0,(Upgrades!$G$17+I173*Upgrades!$H$17)*POWER(Upgrades!$I$17,I173)))*(IF(Upgrades!$T$13="Brown Dwarf",POWER(Upgrades!$U$13,E173),1)*IF(Upgrades!$T$14="Brown Dwarf",POWER(Upgrades!$U$14,F173),1)*IF(Upgrades!$T$15="Brown Dwarf",POWER(Upgrades!$U$15,G173),1)*IF(Upgrades!$T$16="Brown Dwarf",POWER(Upgrades!$U$16,H173),1)*IF(Upgrades!$T$18="Brown Dwarf",POWER(Upgrades!$U$18,J173),1)*IF(Upgrades!$T$19="Brown Dwarf",POWER(Upgrades!$U$19,K173),1)*IF(Upgrades!$T$20="Brown Dwarf",POWER(Upgrades!$U$20,L173),1)*IF(Upgrades!$T$21="Brown Dwarf",POWER(Upgrades!$U$21,M173),1))+(IF(J173=0,0,(Upgrades!$G$18+J173*Upgrades!$H$18)*POWER(Upgrades!$I$18,J173)))*(IF(Upgrades!$T$13="Binary Partner",POWER(Upgrades!$U$13,E173),1)*IF(Upgrades!$T$14="Binary Partner",POWER(Upgrades!$U$14,F173),1)*IF(Upgrades!$T$15="Binary Partner",POWER(Upgrades!$U$15,G173),1)*IF(Upgrades!$T$16="Binary Partner",POWER(Upgrades!$U$16,H173),1)*IF(Upgrades!$T$17="Binary Partner",POWER(Upgrades!$U$17,I173),1)*IF(Upgrades!$T$19="Binary Partner",POWER(Upgrades!$U$19,K173),1)*IF(Upgrades!$T$20="Binary Partner",POWER(Upgrades!$U$20,L173),1)*IF(Upgrades!$T$21="Binary Partner",POWER(Upgrades!$U$21,M173),1))+(IF(K173=0,0,(Upgrades!$G$19+K173*Upgrades!$H$19)*POWER(Upgrades!$I$19,K173)))*(IF(Upgrades!$T$13="Peculiar Velocity",POWER(Upgrades!$U$13,E173),1)*IF(Upgrades!$T$14="Peculiar Velocity",POWER(Upgrades!$U$14,F173),1)*IF(Upgrades!$T$15="Peculiar Velocity",POWER(Upgrades!$U$15,G173),1)*IF(Upgrades!$T$16="Peculiar Velocity",POWER(Upgrades!$U$16,H173),1)*IF(Upgrades!$T$17="Peculiar Velocity",POWER(Upgrades!$U$17,I173),1)*IF(Upgrades!$T$18="Peculiar Velocity",POWER(Upgrades!$U$18,J173),1)*IF(Upgrades!$T$20="Peculiar Velocity",POWER(Upgrades!$U$20,L173),1)*IF(Upgrades!$T$21="Peculiar Velocity",POWER(Upgrades!$U$21,M173),1))+(IF(L173=0,0,(Upgrades!$G$20+L173*Upgrades!$H$20)*POWER(Upgrades!$I$20,L173)))*(IF(Upgrades!$T$13="Open Cluster",POWER(Upgrades!$U$13,E173),1)*IF(Upgrades!$T$14="Open Cluster",POWER(Upgrades!$U$14,F173),1)*IF(Upgrades!$T$15="Open Cluster",POWER(Upgrades!$U$15,G173),1)*IF(Upgrades!$T$16="Open Cluster",POWER(Upgrades!$U$16,H173),1)*IF(Upgrades!$T$17="Open Cluster",POWER(Upgrades!$U$17,I173),1)*IF(Upgrades!$T$18="Open Cluster",POWER(Upgrades!$U$18,J173),1)*IF(Upgrades!$T$19="Open Cluster",POWER(Upgrades!$U$19,K173),1)*IF(Upgrades!$T$21="Open Cluster",POWER(Upgrades!$U$21,M173),1))+(IF(M173=0,0,(Upgrades!$G$21+M173*Upgrades!$H$21)*POWER(Upgrades!$I$21,M173)))*(IF(Upgrades!$T$13="Moving Group",POWER(Upgrades!$U$13,E173),1)*IF(Upgrades!$T$14="Moving Group",POWER(Upgrades!$U$14,F173),1)*IF(Upgrades!$T$15="Moving Group",POWER(Upgrades!$U$15,G173),1)*IF(Upgrades!$T$16="Moving Group",POWER(Upgrades!$U$16,H173),1)*IF(Upgrades!$T$17="Moving Group",POWER(Upgrades!$U$17,I173),1)*IF(Upgrades!$T$18="Moving Group",POWER(Upgrades!$U$18,J173),1)*IF(Upgrades!$T$19="Moving Group",POWER(Upgrades!$U$19,K173),1)*IF(Upgrades!$T$20="Moving Group",POWER(Upgrades!$U$20,L173),1)))*POWER(Upgrades!$P$13,E173)*POWER(Upgrades!$P$14,F173)*POWER(Upgrades!$P$15,G173)*POWER(Upgrades!$P$16,H173)*POWER(Upgrades!$P$17,I173)*POWER(Upgrades!$P$18,J173)*POWER(Upgrades!$P$19,K173)*POWER(Upgrades!$P$20,L173)*POWER(Upgrades!$P$21,M173)*$F$6+$C$6</f>
        <v/>
      </c>
      <c r="Q173" s="28">
        <f>((IF(E173=0,0,(Upgrades!$M$13+E173*Upgrades!$N$13)*POWER(Upgrades!$O$13,E173)))*(IF(Upgrades!$T$14="Stellar Kinematics",POWER(Upgrades!$U$14,F173),1)*IF(Upgrades!$T$15="Stellar Kinematics",POWER(Upgrades!$U$15,G173),1)*IF(Upgrades!$T$16="Stellar Kinematics",POWER(Upgrades!$U$16,H173),1)*IF(Upgrades!$T$17="Stellar Kinematics",POWER(Upgrades!$U$17,I173),1)*IF(Upgrades!$T$18="Stellar Kinematics",POWER(Upgrades!$U$18,J173),1)*IF(Upgrades!$T$19="Stellar Kinematics",POWER(Upgrades!$U$19,K173),1)*IF(Upgrades!$T$20="Stellar Kinematics",POWER(Upgrades!$U$20,L173),1)*IF(Upgrades!$T$21="Stellar Kinematics",POWER(Upgrades!$U$21,M173),1))+(IF(F173=0,0,(Upgrades!$M$14+F173*Upgrades!$N$14)*POWER(Upgrades!$O$14,F173)))*(IF(Upgrades!$T$13="Local Bubble",POWER(Upgrades!$U$13,E173),1)*IF(Upgrades!$T$15="Local Bubble",POWER(Upgrades!$U$15,G173),1)*IF(Upgrades!$T$16="Local Bubble",POWER(Upgrades!$U$16,H173),1)*IF(Upgrades!$T$17="Local Bubble",POWER(Upgrades!$U$17,I173),1)*IF(Upgrades!$T$18="Local Bubble",POWER(Upgrades!$U$18,J173),1)*IF(Upgrades!$T$19="Local Bubble",POWER(Upgrades!$U$19,K173),1)*IF(Upgrades!$T$20="Local Bubble",POWER(Upgrades!$U$20,L173),1)*IF(Upgrades!$T$21="Local Bubble",POWER(Upgrades!$U$21,M173),1))+(IF(G173=0,0,(Upgrades!$M$15+G173*Upgrades!$N$15)*POWER(Upgrades!$O$15,G173)))*(IF(Upgrades!$T$13="Microlensing",POWER(Upgrades!$U$13,E173),1)*IF(Upgrades!$T$14="Microlensing",POWER(Upgrades!$U$14,F173),1)*IF(Upgrades!$T$16="Microlensing",POWER(Upgrades!$U$16,H173),1)*IF(Upgrades!$T$17="Microlensing",POWER(Upgrades!$U$17,I173),1)*IF(Upgrades!$T$18="Microlensing",POWER(Upgrades!$U$18,J173),1)*IF(Upgrades!$T$19="Microlensing",POWER(Upgrades!$U$19,K173),1)*IF(Upgrades!$T$20="Microlensing",POWER(Upgrades!$U$20,L173),1)*IF(Upgrades!$T$21="Microlensing",POWER(Upgrades!$U$21,M173),1))+(IF(H173=0,0,(Upgrades!$M$16+H173*Upgrades!$N$16)*POWER(Upgrades!$O$16,H173)))*(IF(Upgrades!$T$13="Roche Lobe Overflow",POWER(Upgrades!$U$13,E173),1)*IF(Upgrades!$T$14="Roche Lobe Overflow",POWER(Upgrades!$U$14,F173),1)*IF(Upgrades!$T$15="Roche Lobe Overflow",POWER(Upgrades!$U$15,G173),1)*IF(Upgrades!$T$17="Roche Lobe Overflow",POWER(Upgrades!$U$17,I173),1)*IF(Upgrades!$T$18="Roche Lobe Overflow",POWER(Upgrades!$U$18,J173),1)*IF(Upgrades!$T$19="Roche Lobe Overflow",POWER(Upgrades!$U$19,K173),1)*IF(Upgrades!$T$20="Roche Lobe Overflow",POWER(Upgrades!$U$20,L173),1)*IF(Upgrades!$T$21="Roche Lobe Overflow",POWER(Upgrades!$U$21,M173),1))+(IF(I173=0,0,(Upgrades!$M$17+I173*Upgrades!$N$17)*POWER(Upgrades!$O$17,I173)))*(IF(Upgrades!$T$13="Brown Dwarf",POWER(Upgrades!$U$13,E173),1)*IF(Upgrades!$T$14="Brown Dwarf",POWER(Upgrades!$U$14,F173),1)*IF(Upgrades!$T$15="Brown Dwarf",POWER(Upgrades!$U$15,G173),1)*IF(Upgrades!$T$16="Brown Dwarf",POWER(Upgrades!$U$16,H173),1)*IF(Upgrades!$T$18="Brown Dwarf",POWER(Upgrades!$U$18,J173),1)*IF(Upgrades!$T$19="Brown Dwarf",POWER(Upgrades!$U$19,K173),1)*IF(Upgrades!$T$20="Brown Dwarf",POWER(Upgrades!$U$20,L173),1)*IF(Upgrades!$T$21="Brown Dwarf",POWER(Upgrades!$U$21,M173),1))+(IF(J173=0,0,(Upgrades!$M$18+J173*Upgrades!$N$18)*POWER(Upgrades!$O$18,J173)))*(IF(Upgrades!$T$13="Binary Partner",POWER(Upgrades!$U$13,E173),1)*IF(Upgrades!$T$14="Binary Partner",POWER(Upgrades!$U$14,F173),1)*IF(Upgrades!$T$15="Binary Partner",POWER(Upgrades!$U$15,G173),1)*IF(Upgrades!$T$16="Binary Partner",POWER(Upgrades!$U$16,H173),1)*IF(Upgrades!$T$17="Binary Partner",POWER(Upgrades!$U$17,I173),1)*IF(Upgrades!$T$19="Binary Partner",POWER(Upgrades!$U$19,K173),1)*IF(Upgrades!$T$20="Binary Partner",POWER(Upgrades!$U$20,L173),1)*IF(Upgrades!$T$21="Binary Partner",POWER(Upgrades!$U$21,M173),1))+(IF(K173=0,0,(Upgrades!$M$19+K173*Upgrades!$N$19)*POWER(Upgrades!$O$19,K173)))*(IF(Upgrades!$T$13="Peculiar Velocity",POWER(Upgrades!$U$13,E173),1)*IF(Upgrades!$T$14="Peculiar Velocity",POWER(Upgrades!$U$14,F173),1)*IF(Upgrades!$T$15="Peculiar Velocity",POWER(Upgrades!$U$15,G173),1)*IF(Upgrades!$T$16="Peculiar Velocity",POWER(Upgrades!$U$16,H173),1)*IF(Upgrades!$T$17="Peculiar Velocity",POWER(Upgrades!$U$17,I173),1)*IF(Upgrades!$T$18="Peculiar Velocity",POWER(Upgrades!$U$18,J173),1)*IF(Upgrades!$T$20="Peculiar Velocity",POWER(Upgrades!$U$20,L173),1)*IF(Upgrades!$T$21="Peculiar Velocity",POWER(Upgrades!$U$21,M173),1))+(IF(L173=0,0,(Upgrades!$M$20+L173*Upgrades!$N$20)*POWER(Upgrades!$O$20,L173)))*(IF(Upgrades!$T$13="Open Cluster",POWER(Upgrades!$U$13,E173),1)*IF(Upgrades!$T$14="Open Cluster",POWER(Upgrades!$U$14,F173),1)*IF(Upgrades!$T$15="Open Cluster",POWER(Upgrades!$U$15,G173),1)*IF(Upgrades!$T$16="Open Cluster",POWER(Upgrades!$U$16,H173),1)*IF(Upgrades!$T$17="Open Cluster",POWER(Upgrades!$U$17,I173),1)*IF(Upgrades!$T$18="Open Cluster",POWER(Upgrades!$U$18,J173),1)*IF(Upgrades!$T$19="Open Cluster",POWER(Upgrades!$U$19,K173),1)*IF(Upgrades!$T$21="Open Cluster",POWER(Upgrades!$U$21,M173),1))+(IF(M173=0,0,(Upgrades!$M$21+M173*Upgrades!$N$21)*POWER(Upgrades!$O$21,M173)))*(IF(Upgrades!$T$13="Moving Group",POWER(Upgrades!$U$13,E173),1)*IF(Upgrades!$T$14="Moving Group",POWER(Upgrades!$U$14,F173),1)*IF(Upgrades!$T$15="Moving Group",POWER(Upgrades!$U$15,G173),1)*IF(Upgrades!$T$16="Moving Group",POWER(Upgrades!$U$16,H173),1)*IF(Upgrades!$T$17="Moving Group",POWER(Upgrades!$U$17,I173),1)*IF(Upgrades!$T$18="Moving Group",POWER(Upgrades!$U$18,J173),1)*IF(Upgrades!$T$19="Moving Group",POWER(Upgrades!$U$19,K173),1)*IF(Upgrades!$T$20="Moving Group",POWER(Upgrades!$U$20,L173),1)))*POWER(Upgrades!$R$13,E173)*POWER(Upgrades!$R$14,F173)*POWER(Upgrades!$R$15,G173)*POWER(Upgrades!$R$16,H173)*POWER(Upgrades!$R$17,I173)*POWER(Upgrades!$R$18,J173)*POWER(Upgrades!$R$19,K173)*POWER(Upgrades!$R$20,L173)*POWER(Upgrades!$R$21,M173)*$H$6+$E$6</f>
        <v/>
      </c>
      <c r="R173" s="27">
        <f>IF(N173=1,0,O173*Parameters!$B$10/60*Parameters!$B$11*10)</f>
        <v/>
      </c>
      <c r="S173" s="27">
        <f>IF(N173=1,0,Q173*O173*10)</f>
        <v/>
      </c>
      <c r="T173" s="27">
        <f>IF(N173=1,0,R173+S173+P173*10)</f>
        <v/>
      </c>
      <c r="U173" s="33">
        <f>BE173</f>
        <v/>
      </c>
      <c r="V173" s="22">
        <f>IF(U173="",0,IF(U173="transition",0,IF(U173="SK",AK173,IF(U173="LB",AL173,IF(U173="ML",AM173,IF(U173="RLO",AN173,IF(U173="BD",AO173,IF(U173="BiP",AP173,IF(U173="PV",AQ173,IF(U173="OC",AR173,IF(U173="MG",AS173,0))))))))))</f>
        <v/>
      </c>
      <c r="W173" s="27">
        <f>IF(U173="BiP",Upgrades!$F$18,IF(U173="PV",Upgrades!$F$19,IF(U173="OC",Upgrades!$F$20,IF(U173="MG",Upgrades!$F$21,IF(U173="transition",-Parameters!$B$18*Parameters!$B$19,0)))))</f>
        <v/>
      </c>
      <c r="X173" s="22">
        <f>C173+T173-V173</f>
        <v/>
      </c>
      <c r="Y173" s="30">
        <f>O173*Parameters!$B$10/60*Parameters!$B$11+Q173*O173+P173</f>
        <v/>
      </c>
      <c r="Z173" s="34">
        <f>IF(U173="transition","→ Tier 3 (Galactic Arm)",IF(U173="MG","Moving Group — pocket drifts together",IF(U173="OC","Open Cluster acquired",IF(U173="PV","Peculiar Velocity — passive multiplier active",IF(U173="BiP","Binary Partner — pair bond formed",IF(AND(AU173=1,N173=0,AT173&lt;&gt;1),"Cohesion ready (waiting on completionists)","")))))) </f>
        <v/>
      </c>
      <c r="AA173" s="27">
        <f>(IF(E173=0,0,(Upgrades!$G$13+E173*Upgrades!$H$13)*POWER(Upgrades!$I$13,E173)))*(IF(Upgrades!$T$14="Stellar Kinematics",POWER(Upgrades!$U$14,F173),1)*IF(Upgrades!$T$15="Stellar Kinematics",POWER(Upgrades!$U$15,G173),1)*IF(Upgrades!$T$16="Stellar Kinematics",POWER(Upgrades!$U$16,H173),1)*IF(Upgrades!$T$17="Stellar Kinematics",POWER(Upgrades!$U$17,I173),1)*IF(Upgrades!$T$18="Stellar Kinematics",POWER(Upgrades!$U$18,J173),1)*IF(Upgrades!$T$19="Stellar Kinematics",POWER(Upgrades!$U$19,K173),1)*IF(Upgrades!$T$20="Stellar Kinematics",POWER(Upgrades!$U$20,L173),1)*IF(Upgrades!$T$21="Stellar Kinematics",POWER(Upgrades!$U$21,M173),1))*POWER(Upgrades!$P$13,E173)*POWER(Upgrades!$P$14,F173)*POWER(Upgrades!$P$15,G173)*POWER(Upgrades!$P$16,H173)*POWER(Upgrades!$P$17,I173)*POWER(Upgrades!$P$18,J173)*POWER(Upgrades!$P$19,K173)*POWER(Upgrades!$P$20,L173)*POWER(Upgrades!$P$21,M173)*$F$6*60</f>
        <v/>
      </c>
      <c r="AB173" s="27">
        <f>(IF(F173=0,0,(Upgrades!$G$14+F173*Upgrades!$H$14)*POWER(Upgrades!$I$14,F173)))*(IF(Upgrades!$T$13="Local Bubble",POWER(Upgrades!$U$13,E173),1)*IF(Upgrades!$T$15="Local Bubble",POWER(Upgrades!$U$15,G173),1)*IF(Upgrades!$T$16="Local Bubble",POWER(Upgrades!$U$16,H173),1)*IF(Upgrades!$T$17="Local Bubble",POWER(Upgrades!$U$17,I173),1)*IF(Upgrades!$T$18="Local Bubble",POWER(Upgrades!$U$18,J173),1)*IF(Upgrades!$T$19="Local Bubble",POWER(Upgrades!$U$19,K173),1)*IF(Upgrades!$T$20="Local Bubble",POWER(Upgrades!$U$20,L173),1)*IF(Upgrades!$T$21="Local Bubble",POWER(Upgrades!$U$21,M173),1))*POWER(Upgrades!$P$13,E173)*POWER(Upgrades!$P$14,F173)*POWER(Upgrades!$P$15,G173)*POWER(Upgrades!$P$16,H173)*POWER(Upgrades!$P$17,I173)*POWER(Upgrades!$P$18,J173)*POWER(Upgrades!$P$19,K173)*POWER(Upgrades!$P$20,L173)*POWER(Upgrades!$P$21,M173)*$F$6*60</f>
        <v/>
      </c>
      <c r="AC173" s="27">
        <f>(IF(G173=0,0,(Upgrades!$J$15+G173*Upgrades!$K$15)*POWER(Upgrades!$L$15,G173)))*(IF(Upgrades!$T$13="Microlensing",POWER(Upgrades!$U$13,E173),1)*IF(Upgrades!$T$14="Microlensing",POWER(Upgrades!$U$14,F173),1)*IF(Upgrades!$T$16="Microlensing",POWER(Upgrades!$U$16,H173),1)*IF(Upgrades!$T$17="Microlensing",POWER(Upgrades!$U$17,I173),1)*IF(Upgrades!$T$18="Microlensing",POWER(Upgrades!$U$18,J173),1)*IF(Upgrades!$T$19="Microlensing",POWER(Upgrades!$U$19,K173),1)*IF(Upgrades!$T$20="Microlensing",POWER(Upgrades!$U$20,L173),1)*IF(Upgrades!$T$21="Microlensing",POWER(Upgrades!$U$21,M173),1))*POWER(Upgrades!$Q$13,E173)*POWER(Upgrades!$Q$14,F173)*POWER(Upgrades!$Q$15,G173)*POWER(Upgrades!$Q$16,H173)*POWER(Upgrades!$Q$17,I173)*POWER(Upgrades!$Q$18,J173)*POWER(Upgrades!$Q$19,K173)*POWER(Upgrades!$Q$20,L173)*POWER(Upgrades!$Q$21,M173)*$G$6*(Parameters!$B$10*Parameters!$B$11+Q173*60)</f>
        <v/>
      </c>
      <c r="AD173" s="27">
        <f>(IF(H173=0,0,(Upgrades!$M$16+H173*Upgrades!$N$16)*POWER(Upgrades!$O$16,H173)))*(IF(Upgrades!$T$13="Roche Lobe Overflow",POWER(Upgrades!$U$13,E173),1)*IF(Upgrades!$T$14="Roche Lobe Overflow",POWER(Upgrades!$U$14,F173),1)*IF(Upgrades!$T$15="Roche Lobe Overflow",POWER(Upgrades!$U$15,G173),1)*IF(Upgrades!$T$17="Roche Lobe Overflow",POWER(Upgrades!$U$17,I173),1)*IF(Upgrades!$T$18="Roche Lobe Overflow",POWER(Upgrades!$U$18,J173),1)*IF(Upgrades!$T$19="Roche Lobe Overflow",POWER(Upgrades!$U$19,K173),1)*IF(Upgrades!$T$20="Roche Lobe Overflow",POWER(Upgrades!$U$20,L173),1)*IF(Upgrades!$T$21="Roche Lobe Overflow",POWER(Upgrades!$U$21,M173),1))*POWER(Upgrades!$R$13,E173)*POWER(Upgrades!$R$14,F173)*POWER(Upgrades!$R$15,G173)*POWER(Upgrades!$R$16,H173)*POWER(Upgrades!$R$17,I173)*POWER(Upgrades!$R$18,J173)*POWER(Upgrades!$R$19,K173)*POWER(Upgrades!$R$20,L173)*POWER(Upgrades!$R$21,M173)*$H$6*O173*60</f>
        <v/>
      </c>
      <c r="AE173" s="27">
        <f>(IF(I173=0,0,(Upgrades!$G$17+I173*Upgrades!$H$17)*POWER(Upgrades!$I$17,I173)))*(IF(Upgrades!$T$13="Brown Dwarf",POWER(Upgrades!$U$13,E173),1)*IF(Upgrades!$T$14="Brown Dwarf",POWER(Upgrades!$U$14,F173),1)*IF(Upgrades!$T$15="Brown Dwarf",POWER(Upgrades!$U$15,G173),1)*IF(Upgrades!$T$16="Brown Dwarf",POWER(Upgrades!$U$16,H173),1)*IF(Upgrades!$T$18="Brown Dwarf",POWER(Upgrades!$U$18,J173),1)*IF(Upgrades!$T$19="Brown Dwarf",POWER(Upgrades!$U$19,K173),1)*IF(Upgrades!$T$20="Brown Dwarf",POWER(Upgrades!$U$20,L173),1)*IF(Upgrades!$T$21="Brown Dwarf",POWER(Upgrades!$U$21,M173),1))*POWER(Upgrades!$P$13,E173)*POWER(Upgrades!$P$14,F173)*POWER(Upgrades!$P$15,G173)*POWER(Upgrades!$P$16,H173)*POWER(Upgrades!$P$17,I173)*POWER(Upgrades!$P$18,J173)*POWER(Upgrades!$P$19,K173)*POWER(Upgrades!$P$20,L173)*POWER(Upgrades!$P$21,M173)*$F$6*60</f>
        <v/>
      </c>
      <c r="AF173" s="27" t="n">
        <v>0</v>
      </c>
      <c r="AG173" s="27" t="n">
        <v>0</v>
      </c>
      <c r="AH173" s="27" t="n">
        <v>0</v>
      </c>
      <c r="AI173" s="27">
        <f>(IF(M173=0,0,(Upgrades!$G$21+M173*Upgrades!$H$21)*POWER(Upgrades!$I$21,M173)))*(IF(Upgrades!$T$13="Moving Group",POWER(Upgrades!$U$13,E173),1)*IF(Upgrades!$T$14="Moving Group",POWER(Upgrades!$U$14,F173),1)*IF(Upgrades!$T$15="Moving Group",POWER(Upgrades!$U$15,G173),1)*IF(Upgrades!$T$16="Moving Group",POWER(Upgrades!$U$16,H173),1)*IF(Upgrades!$T$17="Moving Group",POWER(Upgrades!$U$17,I173),1)*IF(Upgrades!$T$18="Moving Group",POWER(Upgrades!$U$18,J173),1)*IF(Upgrades!$T$19="Moving Group",POWER(Upgrades!$U$19,K173),1)*IF(Upgrades!$T$20="Moving Group",POWER(Upgrades!$U$20,L173),1))*POWER(Upgrades!$P$13,E173)*POWER(Upgrades!$P$14,F173)*POWER(Upgrades!$P$15,G173)*POWER(Upgrades!$P$16,H173)*POWER(Upgrades!$P$17,I173)*POWER(Upgrades!$P$18,J173)*POWER(Upgrades!$P$19,K173)*POWER(Upgrades!$P$20,L173)*POWER(Upgrades!$P$21,M173)*$F$6*60</f>
        <v/>
      </c>
      <c r="AJ173" s="27">
        <f>$C$6*60</f>
        <v/>
      </c>
      <c r="AK173" s="22">
        <f>IF(E173&gt;=Upgrades!$E$13,"",Upgrades!$C$13*POWER(Upgrades!$D$13,E173))</f>
        <v/>
      </c>
      <c r="AL173" s="22">
        <f>IF(F173&gt;=Upgrades!$E$14,"",Upgrades!$C$14*POWER(Upgrades!$D$14,F173))</f>
        <v/>
      </c>
      <c r="AM173" s="22">
        <f>IF(G173&gt;=Upgrades!$E$15,"",Upgrades!$C$15*POWER(Upgrades!$D$15,G173))</f>
        <v/>
      </c>
      <c r="AN173" s="22">
        <f>IF(H173&gt;=Upgrades!$E$16,"",Upgrades!$C$16*POWER(Upgrades!$D$16,H173))</f>
        <v/>
      </c>
      <c r="AO173" s="22">
        <f>IF(I173&gt;=Upgrades!$E$17,"",Upgrades!$C$17*POWER(Upgrades!$D$17,I173))</f>
        <v/>
      </c>
      <c r="AP173" s="22">
        <f>IF(J173&gt;=Upgrades!$E$18,"",Upgrades!$C$18*POWER(Upgrades!$D$18,J173))</f>
        <v/>
      </c>
      <c r="AQ173" s="22">
        <f>IF(K173&gt;=Upgrades!$E$19,"",Upgrades!$C$19*POWER(Upgrades!$D$19,K173))</f>
        <v/>
      </c>
      <c r="AR173" s="22">
        <f>IF(L173&gt;=Upgrades!$E$20,"",Upgrades!$C$20*POWER(Upgrades!$D$20,L173))</f>
        <v/>
      </c>
      <c r="AS173" s="22">
        <f>IF(M173&gt;=Upgrades!$E$21,"",Upgrades!$C$21*POWER(Upgrades!$D$21,M173))</f>
        <v/>
      </c>
      <c r="AT173" s="26">
        <f>IF(AND(D173&gt;=Parameters!$B$18*Parameters!$B$19,(I173&gt;=Upgrades!$E$17)*(M173&gt;=Upgrades!$E$21)=1,N173=0),1,"")</f>
        <v/>
      </c>
      <c r="AU173" s="26">
        <f>IF(AND(D173&gt;=Parameters!$B$18*Parameters!$B$19,N173=0),1,"")</f>
        <v/>
      </c>
      <c r="AV173" s="22">
        <f>MIN(IF(ISNUMBER(AP173),AP173,9E15),IF(ISNUMBER(AQ173),AQ173,9E15),IF(ISNUMBER(AR173),AR173,9E15),IF(ISNUMBER(AS173),AS173,9E15))</f>
        <v/>
      </c>
      <c r="AW173" s="22">
        <f>MIN(IF(ISNUMBER(AK173),AK173,9E15),IF(ISNUMBER(AL173),AL173,9E15),IF(ISNUMBER(AM173),AM173,9E15),IF(ISNUMBER(AN173),AN173,9E15),IF(ISNUMBER(AO173),AO173,9E15))</f>
        <v/>
      </c>
      <c r="AX173" s="29">
        <f>IF(BD173&gt;Parameters!$B$21*(MAX(IF(AND(NOT(AND(AU173=1,AT173&lt;&gt;1)),ISNUMBER(AK173),AK173&lt;=(C173+T173)),AY173,0),IF(AND(NOT(AND(AU173=1,AT173&lt;&gt;1)),ISNUMBER(AL173),AL173&lt;=(C173+T173)),AZ173,0),IF(AND(NOT(AND(AU173=1,AT173&lt;&gt;1)),ISNUMBER(AM173),AM173&lt;=(C173+T173)),BA173,0),IF(AND(NOT(AND(AU173=1,AT173&lt;&gt;1)),ISNUMBER(AN173),AN173&lt;=(C173+T173)),BB173,0),IF(AND(ISNUMBER(AO173),AO173&lt;=(C173+T173)),BC173,0))),TRUE,FALSE)</f>
        <v/>
      </c>
      <c r="AY173" s="32">
        <f>IFERROR(Upgrades!$H$13*(POWER(Upgrades!$P$13,E173)*POWER(Upgrades!$P$14,F173)*POWER(Upgrades!$P$15,G173)*POWER(Upgrades!$P$16,H173)*POWER(Upgrades!$P$17,I173)*POWER(Upgrades!$P$18,J173)*POWER(Upgrades!$P$19,K173)*POWER(Upgrades!$P$20,L173)*POWER(Upgrades!$P$21,M173))*(IF(Upgrades!$T$14="Stellar Kinematics",POWER(Upgrades!$U$14,F173),1)*IF(Upgrades!$T$15="Stellar Kinematics",POWER(Upgrades!$U$15,G173),1)*IF(Upgrades!$T$16="Stellar Kinematics",POWER(Upgrades!$U$16,H173),1)*IF(Upgrades!$T$17="Stellar Kinematics",POWER(Upgrades!$U$17,I173),1)*IF(Upgrades!$T$18="Stellar Kinematics",POWER(Upgrades!$U$18,J173),1)*IF(Upgrades!$T$19="Stellar Kinematics",POWER(Upgrades!$U$19,K173),1)*IF(Upgrades!$T$20="Stellar Kinematics",POWER(Upgrades!$U$20,L173),1)*IF(Upgrades!$T$21="Stellar Kinematics",POWER(Upgrades!$U$21,M173),1))*$F$6/AK173,0)</f>
        <v/>
      </c>
      <c r="AZ173" s="32">
        <f>IFERROR(Upgrades!$H$14*(POWER(Upgrades!$P$13,E173)*POWER(Upgrades!$P$14,F173)*POWER(Upgrades!$P$15,G173)*POWER(Upgrades!$P$16,H173)*POWER(Upgrades!$P$17,I173)*POWER(Upgrades!$P$18,J173)*POWER(Upgrades!$P$19,K173)*POWER(Upgrades!$P$20,L173)*POWER(Upgrades!$P$21,M173))*(IF(Upgrades!$T$13="Local Bubble",POWER(Upgrades!$U$13,E173),1)*IF(Upgrades!$T$15="Local Bubble",POWER(Upgrades!$U$15,G173),1)*IF(Upgrades!$T$16="Local Bubble",POWER(Upgrades!$U$16,H173),1)*IF(Upgrades!$T$17="Local Bubble",POWER(Upgrades!$U$17,I173),1)*IF(Upgrades!$T$18="Local Bubble",POWER(Upgrades!$U$18,J173),1)*IF(Upgrades!$T$19="Local Bubble",POWER(Upgrades!$U$19,K173),1)*IF(Upgrades!$T$20="Local Bubble",POWER(Upgrades!$U$20,L173),1)*IF(Upgrades!$T$21="Local Bubble",POWER(Upgrades!$U$21,M173),1))*$F$6/AL173,0)</f>
        <v/>
      </c>
      <c r="BA173" s="32">
        <f>IFERROR(Upgrades!$K$15*(POWER(Upgrades!$Q$13,E173)*POWER(Upgrades!$Q$14,F173)*POWER(Upgrades!$Q$15,G173)*POWER(Upgrades!$Q$16,H173)*POWER(Upgrades!$Q$17,I173)*POWER(Upgrades!$Q$18,J173)*POWER(Upgrades!$Q$19,K173)*POWER(Upgrades!$Q$20,L173)*POWER(Upgrades!$Q$21,M173))*(IF(Upgrades!$T$13="Microlensing",POWER(Upgrades!$U$13,E173),1)*IF(Upgrades!$T$14="Microlensing",POWER(Upgrades!$U$14,F173),1)*IF(Upgrades!$T$16="Microlensing",POWER(Upgrades!$U$16,H173),1)*IF(Upgrades!$T$17="Microlensing",POWER(Upgrades!$U$17,I173),1)*IF(Upgrades!$T$18="Microlensing",POWER(Upgrades!$U$18,J173),1)*IF(Upgrades!$T$19="Microlensing",POWER(Upgrades!$U$19,K173),1)*IF(Upgrades!$T$20="Microlensing",POWER(Upgrades!$U$20,L173),1)*IF(Upgrades!$T$21="Microlensing",POWER(Upgrades!$U$21,M173),1))*$G$6*(Parameters!$B$10/60*Parameters!$B$11+Q173)/AM173,0)</f>
        <v/>
      </c>
      <c r="BB173" s="32">
        <f>IFERROR((Upgrades!$N$16*(POWER(Upgrades!$R$13,E173)*POWER(Upgrades!$R$14,F173)*POWER(Upgrades!$R$15,G173)*POWER(Upgrades!$R$16,H173)*POWER(Upgrades!$R$17,I173)*POWER(Upgrades!$R$18,J173)*POWER(Upgrades!$R$19,K173)*POWER(Upgrades!$R$20,L173)*POWER(Upgrades!$R$21,M173))*(IF(Upgrades!$T$13="Roche Lobe Overflow",POWER(Upgrades!$U$13,E173),1)*IF(Upgrades!$T$14="Roche Lobe Overflow",POWER(Upgrades!$U$14,F173),1)*IF(Upgrades!$T$15="Roche Lobe Overflow",POWER(Upgrades!$U$15,G173),1)*IF(Upgrades!$T$17="Roche Lobe Overflow",POWER(Upgrades!$U$17,I173),1)*IF(Upgrades!$T$18="Roche Lobe Overflow",POWER(Upgrades!$U$18,J173),1)*IF(Upgrades!$T$19="Roche Lobe Overflow",POWER(Upgrades!$U$19,K173),1)*IF(Upgrades!$T$20="Roche Lobe Overflow",POWER(Upgrades!$U$20,L173),1)*IF(Upgrades!$T$21="Roche Lobe Overflow",POWER(Upgrades!$U$21,M173),1))*$H$6*O173+((IF(F173=0,0,(Upgrades!$G$14+F173*Upgrades!$H$14)*POWER(Upgrades!$I$14,F173)))*(IF(Upgrades!$T$13="Local Bubble",POWER(Upgrades!$U$13,E173),1)*IF(Upgrades!$T$15="Local Bubble",POWER(Upgrades!$U$15,G173),1)*IF(Upgrades!$T$16="Local Bubble",POWER(Upgrades!$U$16,H173),1)*IF(Upgrades!$T$17="Local Bubble",POWER(Upgrades!$U$17,I173),1)*IF(Upgrades!$T$18="Local Bubble",POWER(Upgrades!$U$18,J173),1)*IF(Upgrades!$T$19="Local Bubble",POWER(Upgrades!$U$19,K173),1)*IF(Upgrades!$T$20="Local Bubble",POWER(Upgrades!$U$20,L173),1)*IF(Upgrades!$T$21="Local Bubble",POWER(Upgrades!$U$21,M173),1))*POWER(Upgrades!$P$13,E173)*POWER(Upgrades!$P$14,F173)*POWER(Upgrades!$P$15,G173)*POWER(Upgrades!$P$16,H173)*POWER(Upgrades!$P$17,I173)*POWER(Upgrades!$P$18,J173)*POWER(Upgrades!$P$19,K173)*POWER(Upgrades!$P$20,L173)*POWER(Upgrades!$P$21,M173)*$F$6)*0.05)/AN173,0)</f>
        <v/>
      </c>
      <c r="BC173" s="32">
        <f>IFERROR((Upgrades!$H$17*(POWER(Upgrades!$P$13,E173)*POWER(Upgrades!$P$14,F173)*POWER(Upgrades!$P$15,G173)*POWER(Upgrades!$P$16,H173)*POWER(Upgrades!$P$17,I173)*POWER(Upgrades!$P$18,J173)*POWER(Upgrades!$P$19,K173)*POWER(Upgrades!$P$20,L173)*POWER(Upgrades!$P$21,M173))*(IF(Upgrades!$T$13="Brown Dwarf",POWER(Upgrades!$U$13,E173),1)*IF(Upgrades!$T$14="Brown Dwarf",POWER(Upgrades!$U$14,F173),1)*IF(Upgrades!$T$15="Brown Dwarf",POWER(Upgrades!$U$15,G173),1)*IF(Upgrades!$T$16="Brown Dwarf",POWER(Upgrades!$U$16,H173),1)*IF(Upgrades!$T$18="Brown Dwarf",POWER(Upgrades!$U$18,J173),1)*IF(Upgrades!$T$19="Brown Dwarf",POWER(Upgrades!$U$19,K173),1)*IF(Upgrades!$T$20="Brown Dwarf",POWER(Upgrades!$U$20,L173),1)*IF(Upgrades!$T$21="Brown Dwarf",POWER(Upgrades!$U$21,M173),1))*$F$6+(((IF(H173=0,0,(Upgrades!$M$16+H173*Upgrades!$N$16)*POWER(Upgrades!$O$16,H173)))*(IF(Upgrades!$T$13="Roche Lobe Overflow",POWER(Upgrades!$U$13,E173),1)*IF(Upgrades!$T$14="Roche Lobe Overflow",POWER(Upgrades!$U$14,F173),1)*IF(Upgrades!$T$15="Roche Lobe Overflow",POWER(Upgrades!$U$15,G173),1)*IF(Upgrades!$T$17="Roche Lobe Overflow",POWER(Upgrades!$U$17,I173),1)*IF(Upgrades!$T$18="Roche Lobe Overflow",POWER(Upgrades!$U$18,J173),1)*IF(Upgrades!$T$19="Roche Lobe Overflow",POWER(Upgrades!$U$19,K173),1)*IF(Upgrades!$T$20="Roche Lobe Overflow",POWER(Upgrades!$U$20,L173),1)*IF(Upgrades!$T$21="Roche Lobe Overflow",POWER(Upgrades!$U$21,M173),1))*POWER(Upgrades!$R$13,E173)*POWER(Upgrades!$R$14,F173)*POWER(Upgrades!$R$15,G173)*POWER(Upgrades!$R$16,H173)*POWER(Upgrades!$R$17,I173)*POWER(Upgrades!$R$18,J173)*POWER(Upgrades!$R$19,K173)*POWER(Upgrades!$R$20,L173)*POWER(Upgrades!$R$21,M173)*$H$6)*O173)*0.10)/AO173,0)</f>
        <v/>
      </c>
      <c r="BD173" s="32">
        <f>MAX(IF(J173&gt;0,0,IFERROR(0.5*((IF(G173=0,0,(Upgrades!$J$15+G173*Upgrades!$K$15)*POWER(Upgrades!$L$15,G173)))*(IF(Upgrades!$T$13="Microlensing",POWER(Upgrades!$U$13,E173),1)*IF(Upgrades!$T$14="Microlensing",POWER(Upgrades!$U$14,F173),1)*IF(Upgrades!$T$16="Microlensing",POWER(Upgrades!$U$16,H173),1)*IF(Upgrades!$T$17="Microlensing",POWER(Upgrades!$U$17,I173),1)*IF(Upgrades!$T$18="Microlensing",POWER(Upgrades!$U$18,J173),1)*IF(Upgrades!$T$19="Microlensing",POWER(Upgrades!$U$19,K173),1)*IF(Upgrades!$T$20="Microlensing",POWER(Upgrades!$U$20,L173),1)*IF(Upgrades!$T$21="Microlensing",POWER(Upgrades!$U$21,M173),1))*(POWER(Upgrades!$Q$13,E173)*POWER(Upgrades!$Q$14,F173)*POWER(Upgrades!$Q$15,G173)*POWER(Upgrades!$Q$16,H173)*POWER(Upgrades!$Q$17,I173)*POWER(Upgrades!$Q$18,J173)*POWER(Upgrades!$Q$19,K173)*POWER(Upgrades!$Q$20,L173)*POWER(Upgrades!$Q$21,M173))*$G$6*(Parameters!$B$10/60*Parameters!$B$11+Q173))/Upgrades!$C$18,0)),IF(K173&gt;0,0,IFERROR(0.30*P173/Upgrades!$C$19,0)),IF(L173&gt;0,0,IFERROR(0.0001/Upgrades!$C$20,0)),IF(M173&gt;0,0,IFERROR((6.0*(POWER(Upgrades!$P$13,E173)*POWER(Upgrades!$P$14,F173)*POWER(Upgrades!$P$15,G173)*POWER(Upgrades!$P$16,H173)*POWER(Upgrades!$P$17,I173)*POWER(Upgrades!$P$18,J173)*POWER(Upgrades!$P$19,K173)*POWER(Upgrades!$P$20,L173)*POWER(Upgrades!$P$21,M173))*$F$6+0.20*O173*(Parameters!$B$10/60*Parameters!$B$11+Q173))/Upgrades!$C$21,0)),IF(AND(ISNUMBER(AK173),AK173&gt;(C173+T173)),AY173,0),IF(AND(ISNUMBER(AL173),AL173&gt;(C173+T173)),AZ173,0),IF(AND(ISNUMBER(AM173),AM173&gt;(C173+T173)),BA173,0),IF(AND(ISNUMBER(AN173),AN173&gt;(C173+T173)),BB173,0),IF(AND(ISNUMBER(AO173),AO173&gt;(C173+T173)),BC173,0))</f>
        <v/>
      </c>
      <c r="BE173" s="29">
        <f>IF(AT173=1,"transition",IF(MIN(IF(AND(J173=0,ISNUMBER(AP173),AP173&lt;=(C173+T173)),AP173,9E15),IF(AND(K173=0,ISNUMBER(AQ173),AQ173&lt;=(C173+T173)),AQ173,9E15),IF(AND(L173=0,ISNUMBER(AR173),AR173&lt;=(C173+T173)),AR173,9E15),IF(AND(M173=0,ISNUMBER(AS173),AS173&lt;=(C173+T173)),AS173,9E15))&lt;9E15,IF(AND(AND(J173=0,ISNUMBER(AP173),AP173&lt;=(C173+T173)),AP173=MIN(IF(AND(J173=0,ISNUMBER(AP173),AP173&lt;=(C173+T173)),AP173,9E15),IF(AND(K173=0,ISNUMBER(AQ173),AQ173&lt;=(C173+T173)),AQ173,9E15),IF(AND(L173=0,ISNUMBER(AR173),AR173&lt;=(C173+T173)),AR173,9E15),IF(AND(M173=0,ISNUMBER(AS173),AS173&lt;=(C173+T173)),AS173,9E15))),"BiP",IF(AND(AND(K173=0,ISNUMBER(AQ173),AQ173&lt;=(C173+T173)),AQ173=MIN(IF(AND(J173=0,ISNUMBER(AP173),AP173&lt;=(C173+T173)),AP173,9E15),IF(AND(K173=0,ISNUMBER(AQ173),AQ173&lt;=(C173+T173)),AQ173,9E15),IF(AND(L173=0,ISNUMBER(AR173),AR173&lt;=(C173+T173)),AR173,9E15),IF(AND(M173=0,ISNUMBER(AS173),AS173&lt;=(C173+T173)),AS173,9E15))),"PV",IF(AND(AND(L173=0,ISNUMBER(AR173),AR173&lt;=(C173+T173)),AR173=MIN(IF(AND(J173=0,ISNUMBER(AP173),AP173&lt;=(C173+T173)),AP173,9E15),IF(AND(K173=0,ISNUMBER(AQ173),AQ173&lt;=(C173+T173)),AQ173,9E15),IF(AND(L173=0,ISNUMBER(AR173),AR173&lt;=(C173+T173)),AR173,9E15),IF(AND(M173=0,ISNUMBER(AS173),AS173&lt;=(C173+T173)),AS173,9E15))),"OC","MG"))),IF(AX173=TRUE,"",IF(MAX(IF(AND(NOT(AND(AU173=1,AT173&lt;&gt;1)),ISNUMBER(AK173),AK173&lt;=(C173+T173)),AY173,0),IF(AND(NOT(AND(AU173=1,AT173&lt;&gt;1)),ISNUMBER(AL173),AL173&lt;=(C173+T173)),AZ173,0),IF(AND(NOT(AND(AU173=1,AT173&lt;&gt;1)),ISNUMBER(AM173),AM173&lt;=(C173+T173)),BA173,0),IF(AND(NOT(AND(AU173=1,AT173&lt;&gt;1)),ISNUMBER(AN173),AN173&lt;=(C173+T173)),BB173,0),IF(AND(ISNUMBER(AO173),AO173&lt;=(C173+T173)),BC173,0))&lt;=0,"",IF(AND(IF(AND(NOT(AND(AU173=1,AT173&lt;&gt;1)),ISNUMBER(AK173),AK173&lt;=(C173+T173)),AY173,0)&gt;0,IF(AND(NOT(AND(AU173=1,AT173&lt;&gt;1)),ISNUMBER(AK173),AK173&lt;=(C173+T173)),AY173,0)=MAX(IF(AND(NOT(AND(AU173=1,AT173&lt;&gt;1)),ISNUMBER(AK173),AK173&lt;=(C173+T173)),AY173,0),IF(AND(NOT(AND(AU173=1,AT173&lt;&gt;1)),ISNUMBER(AL173),AL173&lt;=(C173+T173)),AZ173,0),IF(AND(NOT(AND(AU173=1,AT173&lt;&gt;1)),ISNUMBER(AM173),AM173&lt;=(C173+T173)),BA173,0),IF(AND(NOT(AND(AU173=1,AT173&lt;&gt;1)),ISNUMBER(AN173),AN173&lt;=(C173+T173)),BB173,0),IF(AND(ISNUMBER(AO173),AO173&lt;=(C173+T173)),BC173,0))),"SK",IF(AND(IF(AND(NOT(AND(AU173=1,AT173&lt;&gt;1)),ISNUMBER(AL173),AL173&lt;=(C173+T173)),AZ173,0)&gt;0,IF(AND(NOT(AND(AU173=1,AT173&lt;&gt;1)),ISNUMBER(AL173),AL173&lt;=(C173+T173)),AZ173,0)=MAX(IF(AND(NOT(AND(AU173=1,AT173&lt;&gt;1)),ISNUMBER(AK173),AK173&lt;=(C173+T173)),AY173,0),IF(AND(NOT(AND(AU173=1,AT173&lt;&gt;1)),ISNUMBER(AL173),AL173&lt;=(C173+T173)),AZ173,0),IF(AND(NOT(AND(AU173=1,AT173&lt;&gt;1)),ISNUMBER(AM173),AM173&lt;=(C173+T173)),BA173,0),IF(AND(NOT(AND(AU173=1,AT173&lt;&gt;1)),ISNUMBER(AN173),AN173&lt;=(C173+T173)),BB173,0),IF(AND(ISNUMBER(AO173),AO173&lt;=(C173+T173)),BC173,0))),"LB",IF(AND(IF(AND(NOT(AND(AU173=1,AT173&lt;&gt;1)),ISNUMBER(AM173),AM173&lt;=(C173+T173)),BA173,0)&gt;0,IF(AND(NOT(AND(AU173=1,AT173&lt;&gt;1)),ISNUMBER(AM173),AM173&lt;=(C173+T173)),BA173,0)=MAX(IF(AND(NOT(AND(AU173=1,AT173&lt;&gt;1)),ISNUMBER(AK173),AK173&lt;=(C173+T173)),AY173,0),IF(AND(NOT(AND(AU173=1,AT173&lt;&gt;1)),ISNUMBER(AL173),AL173&lt;=(C173+T173)),AZ173,0),IF(AND(NOT(AND(AU173=1,AT173&lt;&gt;1)),ISNUMBER(AM173),AM173&lt;=(C173+T173)),BA173,0),IF(AND(NOT(AND(AU173=1,AT173&lt;&gt;1)),ISNUMBER(AN173),AN173&lt;=(C173+T173)),BB173,0),IF(AND(ISNUMBER(AO173),AO173&lt;=(C173+T173)),BC173,0))),"ML",IF(AND(IF(AND(NOT(AND(AU173=1,AT173&lt;&gt;1)),ISNUMBER(AN173),AN173&lt;=(C173+T173)),BB173,0)&gt;0,IF(AND(NOT(AND(AU173=1,AT173&lt;&gt;1)),ISNUMBER(AN173),AN173&lt;=(C173+T173)),BB173,0)=MAX(IF(AND(NOT(AND(AU173=1,AT173&lt;&gt;1)),ISNUMBER(AK173),AK173&lt;=(C173+T173)),AY173,0),IF(AND(NOT(AND(AU173=1,AT173&lt;&gt;1)),ISNUMBER(AL173),AL173&lt;=(C173+T173)),AZ173,0),IF(AND(NOT(AND(AU173=1,AT173&lt;&gt;1)),ISNUMBER(AM173),AM173&lt;=(C173+T173)),BA173,0),IF(AND(NOT(AND(AU173=1,AT173&lt;&gt;1)),ISNUMBER(AN173),AN173&lt;=(C173+T173)),BB173,0),IF(AND(ISNUMBER(AO173),AO173&lt;=(C173+T173)),BC173,0))),"RLO","BD"))))))))</f>
        <v/>
      </c>
    </row>
    <row r="174">
      <c r="A174" s="26" t="n">
        <v>163</v>
      </c>
      <c r="B174" s="27">
        <f>A174*10/60</f>
        <v/>
      </c>
      <c r="C174" s="22">
        <f>X173</f>
        <v/>
      </c>
      <c r="D174" s="27">
        <f>D173+W173</f>
        <v/>
      </c>
      <c r="E174" s="26">
        <f>E173+IF(U173="SK",1,0)</f>
        <v/>
      </c>
      <c r="F174" s="26">
        <f>F173+IF(U173="LB",1,0)</f>
        <v/>
      </c>
      <c r="G174" s="26">
        <f>G173+IF(U173="ML",1,0)</f>
        <v/>
      </c>
      <c r="H174" s="26">
        <f>H173+IF(U173="RLO",1,0)</f>
        <v/>
      </c>
      <c r="I174" s="26">
        <f>I173+IF(U173="BD",1,0)</f>
        <v/>
      </c>
      <c r="J174" s="26">
        <f>MAX(J173,IF(U173="BiP",1,0))</f>
        <v/>
      </c>
      <c r="K174" s="26">
        <f>MAX(K173,IF(U173="PV",1,0))</f>
        <v/>
      </c>
      <c r="L174" s="26">
        <f>MAX(L173,IF(U173="OC",1,0))</f>
        <v/>
      </c>
      <c r="M174" s="26">
        <f>MAX(M173,IF(U173="MG",1,0))</f>
        <v/>
      </c>
      <c r="N174" s="26">
        <f>MAX(N173,IF(U173="transition",1,0))</f>
        <v/>
      </c>
      <c r="O174" s="28">
        <f>(Parameters!$B$9+(IF(E174=0,0,(Upgrades!$J$13+E174*Upgrades!$K$13)*POWER(Upgrades!$L$13,E174)))*(IF(Upgrades!$T$14="Stellar Kinematics",POWER(Upgrades!$U$14,F174),1)*IF(Upgrades!$T$15="Stellar Kinematics",POWER(Upgrades!$U$15,G174),1)*IF(Upgrades!$T$16="Stellar Kinematics",POWER(Upgrades!$U$16,H174),1)*IF(Upgrades!$T$17="Stellar Kinematics",POWER(Upgrades!$U$17,I174),1)*IF(Upgrades!$T$18="Stellar Kinematics",POWER(Upgrades!$U$18,J174),1)*IF(Upgrades!$T$19="Stellar Kinematics",POWER(Upgrades!$U$19,K174),1)*IF(Upgrades!$T$20="Stellar Kinematics",POWER(Upgrades!$U$20,L174),1)*IF(Upgrades!$T$21="Stellar Kinematics",POWER(Upgrades!$U$21,M174),1))+(IF(F174=0,0,(Upgrades!$J$14+F174*Upgrades!$K$14)*POWER(Upgrades!$L$14,F174)))*(IF(Upgrades!$T$13="Local Bubble",POWER(Upgrades!$U$13,E174),1)*IF(Upgrades!$T$15="Local Bubble",POWER(Upgrades!$U$15,G174),1)*IF(Upgrades!$T$16="Local Bubble",POWER(Upgrades!$U$16,H174),1)*IF(Upgrades!$T$17="Local Bubble",POWER(Upgrades!$U$17,I174),1)*IF(Upgrades!$T$18="Local Bubble",POWER(Upgrades!$U$18,J174),1)*IF(Upgrades!$T$19="Local Bubble",POWER(Upgrades!$U$19,K174),1)*IF(Upgrades!$T$20="Local Bubble",POWER(Upgrades!$U$20,L174),1)*IF(Upgrades!$T$21="Local Bubble",POWER(Upgrades!$U$21,M174),1))+(IF(G174=0,0,(Upgrades!$J$15+G174*Upgrades!$K$15)*POWER(Upgrades!$L$15,G174)))*(IF(Upgrades!$T$13="Microlensing",POWER(Upgrades!$U$13,E174),1)*IF(Upgrades!$T$14="Microlensing",POWER(Upgrades!$U$14,F174),1)*IF(Upgrades!$T$16="Microlensing",POWER(Upgrades!$U$16,H174),1)*IF(Upgrades!$T$17="Microlensing",POWER(Upgrades!$U$17,I174),1)*IF(Upgrades!$T$18="Microlensing",POWER(Upgrades!$U$18,J174),1)*IF(Upgrades!$T$19="Microlensing",POWER(Upgrades!$U$19,K174),1)*IF(Upgrades!$T$20="Microlensing",POWER(Upgrades!$U$20,L174),1)*IF(Upgrades!$T$21="Microlensing",POWER(Upgrades!$U$21,M174),1))+(IF(H174=0,0,(Upgrades!$J$16+H174*Upgrades!$K$16)*POWER(Upgrades!$L$16,H174)))*(IF(Upgrades!$T$13="Roche Lobe Overflow",POWER(Upgrades!$U$13,E174),1)*IF(Upgrades!$T$14="Roche Lobe Overflow",POWER(Upgrades!$U$14,F174),1)*IF(Upgrades!$T$15="Roche Lobe Overflow",POWER(Upgrades!$U$15,G174),1)*IF(Upgrades!$T$17="Roche Lobe Overflow",POWER(Upgrades!$U$17,I174),1)*IF(Upgrades!$T$18="Roche Lobe Overflow",POWER(Upgrades!$U$18,J174),1)*IF(Upgrades!$T$19="Roche Lobe Overflow",POWER(Upgrades!$U$19,K174),1)*IF(Upgrades!$T$20="Roche Lobe Overflow",POWER(Upgrades!$U$20,L174),1)*IF(Upgrades!$T$21="Roche Lobe Overflow",POWER(Upgrades!$U$21,M174),1))+(IF(I174=0,0,(Upgrades!$J$17+I174*Upgrades!$K$17)*POWER(Upgrades!$L$17,I174)))*(IF(Upgrades!$T$13="Brown Dwarf",POWER(Upgrades!$U$13,E174),1)*IF(Upgrades!$T$14="Brown Dwarf",POWER(Upgrades!$U$14,F174),1)*IF(Upgrades!$T$15="Brown Dwarf",POWER(Upgrades!$U$15,G174),1)*IF(Upgrades!$T$16="Brown Dwarf",POWER(Upgrades!$U$16,H174),1)*IF(Upgrades!$T$18="Brown Dwarf",POWER(Upgrades!$U$18,J174),1)*IF(Upgrades!$T$19="Brown Dwarf",POWER(Upgrades!$U$19,K174),1)*IF(Upgrades!$T$20="Brown Dwarf",POWER(Upgrades!$U$20,L174),1)*IF(Upgrades!$T$21="Brown Dwarf",POWER(Upgrades!$U$21,M174),1))+(IF(J174=0,0,(Upgrades!$J$18+J174*Upgrades!$K$18)*POWER(Upgrades!$L$18,J174)))*(IF(Upgrades!$T$13="Binary Partner",POWER(Upgrades!$U$13,E174),1)*IF(Upgrades!$T$14="Binary Partner",POWER(Upgrades!$U$14,F174),1)*IF(Upgrades!$T$15="Binary Partner",POWER(Upgrades!$U$15,G174),1)*IF(Upgrades!$T$16="Binary Partner",POWER(Upgrades!$U$16,H174),1)*IF(Upgrades!$T$17="Binary Partner",POWER(Upgrades!$U$17,I174),1)*IF(Upgrades!$T$19="Binary Partner",POWER(Upgrades!$U$19,K174),1)*IF(Upgrades!$T$20="Binary Partner",POWER(Upgrades!$U$20,L174),1)*IF(Upgrades!$T$21="Binary Partner",POWER(Upgrades!$U$21,M174),1))+(IF(K174=0,0,(Upgrades!$J$19+K174*Upgrades!$K$19)*POWER(Upgrades!$L$19,K174)))*(IF(Upgrades!$T$13="Peculiar Velocity",POWER(Upgrades!$U$13,E174),1)*IF(Upgrades!$T$14="Peculiar Velocity",POWER(Upgrades!$U$14,F174),1)*IF(Upgrades!$T$15="Peculiar Velocity",POWER(Upgrades!$U$15,G174),1)*IF(Upgrades!$T$16="Peculiar Velocity",POWER(Upgrades!$U$16,H174),1)*IF(Upgrades!$T$17="Peculiar Velocity",POWER(Upgrades!$U$17,I174),1)*IF(Upgrades!$T$18="Peculiar Velocity",POWER(Upgrades!$U$18,J174),1)*IF(Upgrades!$T$20="Peculiar Velocity",POWER(Upgrades!$U$20,L174),1)*IF(Upgrades!$T$21="Peculiar Velocity",POWER(Upgrades!$U$21,M174),1))+(IF(L174=0,0,(Upgrades!$J$20+L174*Upgrades!$K$20)*POWER(Upgrades!$L$20,L174)))*(IF(Upgrades!$T$13="Open Cluster",POWER(Upgrades!$U$13,E174),1)*IF(Upgrades!$T$14="Open Cluster",POWER(Upgrades!$U$14,F174),1)*IF(Upgrades!$T$15="Open Cluster",POWER(Upgrades!$U$15,G174),1)*IF(Upgrades!$T$16="Open Cluster",POWER(Upgrades!$U$16,H174),1)*IF(Upgrades!$T$17="Open Cluster",POWER(Upgrades!$U$17,I174),1)*IF(Upgrades!$T$18="Open Cluster",POWER(Upgrades!$U$18,J174),1)*IF(Upgrades!$T$19="Open Cluster",POWER(Upgrades!$U$19,K174),1)*IF(Upgrades!$T$21="Open Cluster",POWER(Upgrades!$U$21,M174),1))+(IF(M174=0,0,(Upgrades!$J$21+M174*Upgrades!$K$21)*POWER(Upgrades!$L$21,M174)))*(IF(Upgrades!$T$13="Moving Group",POWER(Upgrades!$U$13,E174),1)*IF(Upgrades!$T$14="Moving Group",POWER(Upgrades!$U$14,F174),1)*IF(Upgrades!$T$15="Moving Group",POWER(Upgrades!$U$15,G174),1)*IF(Upgrades!$T$16="Moving Group",POWER(Upgrades!$U$16,H174),1)*IF(Upgrades!$T$17="Moving Group",POWER(Upgrades!$U$17,I174),1)*IF(Upgrades!$T$18="Moving Group",POWER(Upgrades!$U$18,J174),1)*IF(Upgrades!$T$19="Moving Group",POWER(Upgrades!$U$19,K174),1)*IF(Upgrades!$T$20="Moving Group",POWER(Upgrades!$U$20,L174),1)))*POWER(Upgrades!$Q$13,E174)*POWER(Upgrades!$Q$14,F174)*POWER(Upgrades!$Q$15,G174)*POWER(Upgrades!$Q$16,H174)*POWER(Upgrades!$Q$17,I174)*POWER(Upgrades!$Q$18,J174)*POWER(Upgrades!$Q$19,K174)*POWER(Upgrades!$Q$20,L174)*POWER(Upgrades!$Q$21,M174)*$G$6+$D$6</f>
        <v/>
      </c>
      <c r="P174" s="28">
        <f>((IF(E174=0,0,(Upgrades!$G$13+E174*Upgrades!$H$13)*POWER(Upgrades!$I$13,E174)))*(IF(Upgrades!$T$14="Stellar Kinematics",POWER(Upgrades!$U$14,F174),1)*IF(Upgrades!$T$15="Stellar Kinematics",POWER(Upgrades!$U$15,G174),1)*IF(Upgrades!$T$16="Stellar Kinematics",POWER(Upgrades!$U$16,H174),1)*IF(Upgrades!$T$17="Stellar Kinematics",POWER(Upgrades!$U$17,I174),1)*IF(Upgrades!$T$18="Stellar Kinematics",POWER(Upgrades!$U$18,J174),1)*IF(Upgrades!$T$19="Stellar Kinematics",POWER(Upgrades!$U$19,K174),1)*IF(Upgrades!$T$20="Stellar Kinematics",POWER(Upgrades!$U$20,L174),1)*IF(Upgrades!$T$21="Stellar Kinematics",POWER(Upgrades!$U$21,M174),1))+(IF(F174=0,0,(Upgrades!$G$14+F174*Upgrades!$H$14)*POWER(Upgrades!$I$14,F174)))*(IF(Upgrades!$T$13="Local Bubble",POWER(Upgrades!$U$13,E174),1)*IF(Upgrades!$T$15="Local Bubble",POWER(Upgrades!$U$15,G174),1)*IF(Upgrades!$T$16="Local Bubble",POWER(Upgrades!$U$16,H174),1)*IF(Upgrades!$T$17="Local Bubble",POWER(Upgrades!$U$17,I174),1)*IF(Upgrades!$T$18="Local Bubble",POWER(Upgrades!$U$18,J174),1)*IF(Upgrades!$T$19="Local Bubble",POWER(Upgrades!$U$19,K174),1)*IF(Upgrades!$T$20="Local Bubble",POWER(Upgrades!$U$20,L174),1)*IF(Upgrades!$T$21="Local Bubble",POWER(Upgrades!$U$21,M174),1))+(IF(G174=0,0,(Upgrades!$G$15+G174*Upgrades!$H$15)*POWER(Upgrades!$I$15,G174)))*(IF(Upgrades!$T$13="Microlensing",POWER(Upgrades!$U$13,E174),1)*IF(Upgrades!$T$14="Microlensing",POWER(Upgrades!$U$14,F174),1)*IF(Upgrades!$T$16="Microlensing",POWER(Upgrades!$U$16,H174),1)*IF(Upgrades!$T$17="Microlensing",POWER(Upgrades!$U$17,I174),1)*IF(Upgrades!$T$18="Microlensing",POWER(Upgrades!$U$18,J174),1)*IF(Upgrades!$T$19="Microlensing",POWER(Upgrades!$U$19,K174),1)*IF(Upgrades!$T$20="Microlensing",POWER(Upgrades!$U$20,L174),1)*IF(Upgrades!$T$21="Microlensing",POWER(Upgrades!$U$21,M174),1))+(IF(H174=0,0,(Upgrades!$G$16+H174*Upgrades!$H$16)*POWER(Upgrades!$I$16,H174)))*(IF(Upgrades!$T$13="Roche Lobe Overflow",POWER(Upgrades!$U$13,E174),1)*IF(Upgrades!$T$14="Roche Lobe Overflow",POWER(Upgrades!$U$14,F174),1)*IF(Upgrades!$T$15="Roche Lobe Overflow",POWER(Upgrades!$U$15,G174),1)*IF(Upgrades!$T$17="Roche Lobe Overflow",POWER(Upgrades!$U$17,I174),1)*IF(Upgrades!$T$18="Roche Lobe Overflow",POWER(Upgrades!$U$18,J174),1)*IF(Upgrades!$T$19="Roche Lobe Overflow",POWER(Upgrades!$U$19,K174),1)*IF(Upgrades!$T$20="Roche Lobe Overflow",POWER(Upgrades!$U$20,L174),1)*IF(Upgrades!$T$21="Roche Lobe Overflow",POWER(Upgrades!$U$21,M174),1))+(IF(I174=0,0,(Upgrades!$G$17+I174*Upgrades!$H$17)*POWER(Upgrades!$I$17,I174)))*(IF(Upgrades!$T$13="Brown Dwarf",POWER(Upgrades!$U$13,E174),1)*IF(Upgrades!$T$14="Brown Dwarf",POWER(Upgrades!$U$14,F174),1)*IF(Upgrades!$T$15="Brown Dwarf",POWER(Upgrades!$U$15,G174),1)*IF(Upgrades!$T$16="Brown Dwarf",POWER(Upgrades!$U$16,H174),1)*IF(Upgrades!$T$18="Brown Dwarf",POWER(Upgrades!$U$18,J174),1)*IF(Upgrades!$T$19="Brown Dwarf",POWER(Upgrades!$U$19,K174),1)*IF(Upgrades!$T$20="Brown Dwarf",POWER(Upgrades!$U$20,L174),1)*IF(Upgrades!$T$21="Brown Dwarf",POWER(Upgrades!$U$21,M174),1))+(IF(J174=0,0,(Upgrades!$G$18+J174*Upgrades!$H$18)*POWER(Upgrades!$I$18,J174)))*(IF(Upgrades!$T$13="Binary Partner",POWER(Upgrades!$U$13,E174),1)*IF(Upgrades!$T$14="Binary Partner",POWER(Upgrades!$U$14,F174),1)*IF(Upgrades!$T$15="Binary Partner",POWER(Upgrades!$U$15,G174),1)*IF(Upgrades!$T$16="Binary Partner",POWER(Upgrades!$U$16,H174),1)*IF(Upgrades!$T$17="Binary Partner",POWER(Upgrades!$U$17,I174),1)*IF(Upgrades!$T$19="Binary Partner",POWER(Upgrades!$U$19,K174),1)*IF(Upgrades!$T$20="Binary Partner",POWER(Upgrades!$U$20,L174),1)*IF(Upgrades!$T$21="Binary Partner",POWER(Upgrades!$U$21,M174),1))+(IF(K174=0,0,(Upgrades!$G$19+K174*Upgrades!$H$19)*POWER(Upgrades!$I$19,K174)))*(IF(Upgrades!$T$13="Peculiar Velocity",POWER(Upgrades!$U$13,E174),1)*IF(Upgrades!$T$14="Peculiar Velocity",POWER(Upgrades!$U$14,F174),1)*IF(Upgrades!$T$15="Peculiar Velocity",POWER(Upgrades!$U$15,G174),1)*IF(Upgrades!$T$16="Peculiar Velocity",POWER(Upgrades!$U$16,H174),1)*IF(Upgrades!$T$17="Peculiar Velocity",POWER(Upgrades!$U$17,I174),1)*IF(Upgrades!$T$18="Peculiar Velocity",POWER(Upgrades!$U$18,J174),1)*IF(Upgrades!$T$20="Peculiar Velocity",POWER(Upgrades!$U$20,L174),1)*IF(Upgrades!$T$21="Peculiar Velocity",POWER(Upgrades!$U$21,M174),1))+(IF(L174=0,0,(Upgrades!$G$20+L174*Upgrades!$H$20)*POWER(Upgrades!$I$20,L174)))*(IF(Upgrades!$T$13="Open Cluster",POWER(Upgrades!$U$13,E174),1)*IF(Upgrades!$T$14="Open Cluster",POWER(Upgrades!$U$14,F174),1)*IF(Upgrades!$T$15="Open Cluster",POWER(Upgrades!$U$15,G174),1)*IF(Upgrades!$T$16="Open Cluster",POWER(Upgrades!$U$16,H174),1)*IF(Upgrades!$T$17="Open Cluster",POWER(Upgrades!$U$17,I174),1)*IF(Upgrades!$T$18="Open Cluster",POWER(Upgrades!$U$18,J174),1)*IF(Upgrades!$T$19="Open Cluster",POWER(Upgrades!$U$19,K174),1)*IF(Upgrades!$T$21="Open Cluster",POWER(Upgrades!$U$21,M174),1))+(IF(M174=0,0,(Upgrades!$G$21+M174*Upgrades!$H$21)*POWER(Upgrades!$I$21,M174)))*(IF(Upgrades!$T$13="Moving Group",POWER(Upgrades!$U$13,E174),1)*IF(Upgrades!$T$14="Moving Group",POWER(Upgrades!$U$14,F174),1)*IF(Upgrades!$T$15="Moving Group",POWER(Upgrades!$U$15,G174),1)*IF(Upgrades!$T$16="Moving Group",POWER(Upgrades!$U$16,H174),1)*IF(Upgrades!$T$17="Moving Group",POWER(Upgrades!$U$17,I174),1)*IF(Upgrades!$T$18="Moving Group",POWER(Upgrades!$U$18,J174),1)*IF(Upgrades!$T$19="Moving Group",POWER(Upgrades!$U$19,K174),1)*IF(Upgrades!$T$20="Moving Group",POWER(Upgrades!$U$20,L174),1)))*POWER(Upgrades!$P$13,E174)*POWER(Upgrades!$P$14,F174)*POWER(Upgrades!$P$15,G174)*POWER(Upgrades!$P$16,H174)*POWER(Upgrades!$P$17,I174)*POWER(Upgrades!$P$18,J174)*POWER(Upgrades!$P$19,K174)*POWER(Upgrades!$P$20,L174)*POWER(Upgrades!$P$21,M174)*$F$6+$C$6</f>
        <v/>
      </c>
      <c r="Q174" s="28">
        <f>((IF(E174=0,0,(Upgrades!$M$13+E174*Upgrades!$N$13)*POWER(Upgrades!$O$13,E174)))*(IF(Upgrades!$T$14="Stellar Kinematics",POWER(Upgrades!$U$14,F174),1)*IF(Upgrades!$T$15="Stellar Kinematics",POWER(Upgrades!$U$15,G174),1)*IF(Upgrades!$T$16="Stellar Kinematics",POWER(Upgrades!$U$16,H174),1)*IF(Upgrades!$T$17="Stellar Kinematics",POWER(Upgrades!$U$17,I174),1)*IF(Upgrades!$T$18="Stellar Kinematics",POWER(Upgrades!$U$18,J174),1)*IF(Upgrades!$T$19="Stellar Kinematics",POWER(Upgrades!$U$19,K174),1)*IF(Upgrades!$T$20="Stellar Kinematics",POWER(Upgrades!$U$20,L174),1)*IF(Upgrades!$T$21="Stellar Kinematics",POWER(Upgrades!$U$21,M174),1))+(IF(F174=0,0,(Upgrades!$M$14+F174*Upgrades!$N$14)*POWER(Upgrades!$O$14,F174)))*(IF(Upgrades!$T$13="Local Bubble",POWER(Upgrades!$U$13,E174),1)*IF(Upgrades!$T$15="Local Bubble",POWER(Upgrades!$U$15,G174),1)*IF(Upgrades!$T$16="Local Bubble",POWER(Upgrades!$U$16,H174),1)*IF(Upgrades!$T$17="Local Bubble",POWER(Upgrades!$U$17,I174),1)*IF(Upgrades!$T$18="Local Bubble",POWER(Upgrades!$U$18,J174),1)*IF(Upgrades!$T$19="Local Bubble",POWER(Upgrades!$U$19,K174),1)*IF(Upgrades!$T$20="Local Bubble",POWER(Upgrades!$U$20,L174),1)*IF(Upgrades!$T$21="Local Bubble",POWER(Upgrades!$U$21,M174),1))+(IF(G174=0,0,(Upgrades!$M$15+G174*Upgrades!$N$15)*POWER(Upgrades!$O$15,G174)))*(IF(Upgrades!$T$13="Microlensing",POWER(Upgrades!$U$13,E174),1)*IF(Upgrades!$T$14="Microlensing",POWER(Upgrades!$U$14,F174),1)*IF(Upgrades!$T$16="Microlensing",POWER(Upgrades!$U$16,H174),1)*IF(Upgrades!$T$17="Microlensing",POWER(Upgrades!$U$17,I174),1)*IF(Upgrades!$T$18="Microlensing",POWER(Upgrades!$U$18,J174),1)*IF(Upgrades!$T$19="Microlensing",POWER(Upgrades!$U$19,K174),1)*IF(Upgrades!$T$20="Microlensing",POWER(Upgrades!$U$20,L174),1)*IF(Upgrades!$T$21="Microlensing",POWER(Upgrades!$U$21,M174),1))+(IF(H174=0,0,(Upgrades!$M$16+H174*Upgrades!$N$16)*POWER(Upgrades!$O$16,H174)))*(IF(Upgrades!$T$13="Roche Lobe Overflow",POWER(Upgrades!$U$13,E174),1)*IF(Upgrades!$T$14="Roche Lobe Overflow",POWER(Upgrades!$U$14,F174),1)*IF(Upgrades!$T$15="Roche Lobe Overflow",POWER(Upgrades!$U$15,G174),1)*IF(Upgrades!$T$17="Roche Lobe Overflow",POWER(Upgrades!$U$17,I174),1)*IF(Upgrades!$T$18="Roche Lobe Overflow",POWER(Upgrades!$U$18,J174),1)*IF(Upgrades!$T$19="Roche Lobe Overflow",POWER(Upgrades!$U$19,K174),1)*IF(Upgrades!$T$20="Roche Lobe Overflow",POWER(Upgrades!$U$20,L174),1)*IF(Upgrades!$T$21="Roche Lobe Overflow",POWER(Upgrades!$U$21,M174),1))+(IF(I174=0,0,(Upgrades!$M$17+I174*Upgrades!$N$17)*POWER(Upgrades!$O$17,I174)))*(IF(Upgrades!$T$13="Brown Dwarf",POWER(Upgrades!$U$13,E174),1)*IF(Upgrades!$T$14="Brown Dwarf",POWER(Upgrades!$U$14,F174),1)*IF(Upgrades!$T$15="Brown Dwarf",POWER(Upgrades!$U$15,G174),1)*IF(Upgrades!$T$16="Brown Dwarf",POWER(Upgrades!$U$16,H174),1)*IF(Upgrades!$T$18="Brown Dwarf",POWER(Upgrades!$U$18,J174),1)*IF(Upgrades!$T$19="Brown Dwarf",POWER(Upgrades!$U$19,K174),1)*IF(Upgrades!$T$20="Brown Dwarf",POWER(Upgrades!$U$20,L174),1)*IF(Upgrades!$T$21="Brown Dwarf",POWER(Upgrades!$U$21,M174),1))+(IF(J174=0,0,(Upgrades!$M$18+J174*Upgrades!$N$18)*POWER(Upgrades!$O$18,J174)))*(IF(Upgrades!$T$13="Binary Partner",POWER(Upgrades!$U$13,E174),1)*IF(Upgrades!$T$14="Binary Partner",POWER(Upgrades!$U$14,F174),1)*IF(Upgrades!$T$15="Binary Partner",POWER(Upgrades!$U$15,G174),1)*IF(Upgrades!$T$16="Binary Partner",POWER(Upgrades!$U$16,H174),1)*IF(Upgrades!$T$17="Binary Partner",POWER(Upgrades!$U$17,I174),1)*IF(Upgrades!$T$19="Binary Partner",POWER(Upgrades!$U$19,K174),1)*IF(Upgrades!$T$20="Binary Partner",POWER(Upgrades!$U$20,L174),1)*IF(Upgrades!$T$21="Binary Partner",POWER(Upgrades!$U$21,M174),1))+(IF(K174=0,0,(Upgrades!$M$19+K174*Upgrades!$N$19)*POWER(Upgrades!$O$19,K174)))*(IF(Upgrades!$T$13="Peculiar Velocity",POWER(Upgrades!$U$13,E174),1)*IF(Upgrades!$T$14="Peculiar Velocity",POWER(Upgrades!$U$14,F174),1)*IF(Upgrades!$T$15="Peculiar Velocity",POWER(Upgrades!$U$15,G174),1)*IF(Upgrades!$T$16="Peculiar Velocity",POWER(Upgrades!$U$16,H174),1)*IF(Upgrades!$T$17="Peculiar Velocity",POWER(Upgrades!$U$17,I174),1)*IF(Upgrades!$T$18="Peculiar Velocity",POWER(Upgrades!$U$18,J174),1)*IF(Upgrades!$T$20="Peculiar Velocity",POWER(Upgrades!$U$20,L174),1)*IF(Upgrades!$T$21="Peculiar Velocity",POWER(Upgrades!$U$21,M174),1))+(IF(L174=0,0,(Upgrades!$M$20+L174*Upgrades!$N$20)*POWER(Upgrades!$O$20,L174)))*(IF(Upgrades!$T$13="Open Cluster",POWER(Upgrades!$U$13,E174),1)*IF(Upgrades!$T$14="Open Cluster",POWER(Upgrades!$U$14,F174),1)*IF(Upgrades!$T$15="Open Cluster",POWER(Upgrades!$U$15,G174),1)*IF(Upgrades!$T$16="Open Cluster",POWER(Upgrades!$U$16,H174),1)*IF(Upgrades!$T$17="Open Cluster",POWER(Upgrades!$U$17,I174),1)*IF(Upgrades!$T$18="Open Cluster",POWER(Upgrades!$U$18,J174),1)*IF(Upgrades!$T$19="Open Cluster",POWER(Upgrades!$U$19,K174),1)*IF(Upgrades!$T$21="Open Cluster",POWER(Upgrades!$U$21,M174),1))+(IF(M174=0,0,(Upgrades!$M$21+M174*Upgrades!$N$21)*POWER(Upgrades!$O$21,M174)))*(IF(Upgrades!$T$13="Moving Group",POWER(Upgrades!$U$13,E174),1)*IF(Upgrades!$T$14="Moving Group",POWER(Upgrades!$U$14,F174),1)*IF(Upgrades!$T$15="Moving Group",POWER(Upgrades!$U$15,G174),1)*IF(Upgrades!$T$16="Moving Group",POWER(Upgrades!$U$16,H174),1)*IF(Upgrades!$T$17="Moving Group",POWER(Upgrades!$U$17,I174),1)*IF(Upgrades!$T$18="Moving Group",POWER(Upgrades!$U$18,J174),1)*IF(Upgrades!$T$19="Moving Group",POWER(Upgrades!$U$19,K174),1)*IF(Upgrades!$T$20="Moving Group",POWER(Upgrades!$U$20,L174),1)))*POWER(Upgrades!$R$13,E174)*POWER(Upgrades!$R$14,F174)*POWER(Upgrades!$R$15,G174)*POWER(Upgrades!$R$16,H174)*POWER(Upgrades!$R$17,I174)*POWER(Upgrades!$R$18,J174)*POWER(Upgrades!$R$19,K174)*POWER(Upgrades!$R$20,L174)*POWER(Upgrades!$R$21,M174)*$H$6+$E$6</f>
        <v/>
      </c>
      <c r="R174" s="27">
        <f>IF(N174=1,0,O174*Parameters!$B$10/60*Parameters!$B$11*10)</f>
        <v/>
      </c>
      <c r="S174" s="27">
        <f>IF(N174=1,0,Q174*O174*10)</f>
        <v/>
      </c>
      <c r="T174" s="27">
        <f>IF(N174=1,0,R174+S174+P174*10)</f>
        <v/>
      </c>
      <c r="U174" s="33">
        <f>BE174</f>
        <v/>
      </c>
      <c r="V174" s="22">
        <f>IF(U174="",0,IF(U174="transition",0,IF(U174="SK",AK174,IF(U174="LB",AL174,IF(U174="ML",AM174,IF(U174="RLO",AN174,IF(U174="BD",AO174,IF(U174="BiP",AP174,IF(U174="PV",AQ174,IF(U174="OC",AR174,IF(U174="MG",AS174,0))))))))))</f>
        <v/>
      </c>
      <c r="W174" s="27">
        <f>IF(U174="BiP",Upgrades!$F$18,IF(U174="PV",Upgrades!$F$19,IF(U174="OC",Upgrades!$F$20,IF(U174="MG",Upgrades!$F$21,IF(U174="transition",-Parameters!$B$18*Parameters!$B$19,0)))))</f>
        <v/>
      </c>
      <c r="X174" s="22">
        <f>C174+T174-V174</f>
        <v/>
      </c>
      <c r="Y174" s="30">
        <f>O174*Parameters!$B$10/60*Parameters!$B$11+Q174*O174+P174</f>
        <v/>
      </c>
      <c r="Z174" s="34">
        <f>IF(U174="transition","→ Tier 3 (Galactic Arm)",IF(U174="MG","Moving Group — pocket drifts together",IF(U174="OC","Open Cluster acquired",IF(U174="PV","Peculiar Velocity — passive multiplier active",IF(U174="BiP","Binary Partner — pair bond formed",IF(AND(AU174=1,N174=0,AT174&lt;&gt;1),"Cohesion ready (waiting on completionists)","")))))) </f>
        <v/>
      </c>
      <c r="AA174" s="27">
        <f>(IF(E174=0,0,(Upgrades!$G$13+E174*Upgrades!$H$13)*POWER(Upgrades!$I$13,E174)))*(IF(Upgrades!$T$14="Stellar Kinematics",POWER(Upgrades!$U$14,F174),1)*IF(Upgrades!$T$15="Stellar Kinematics",POWER(Upgrades!$U$15,G174),1)*IF(Upgrades!$T$16="Stellar Kinematics",POWER(Upgrades!$U$16,H174),1)*IF(Upgrades!$T$17="Stellar Kinematics",POWER(Upgrades!$U$17,I174),1)*IF(Upgrades!$T$18="Stellar Kinematics",POWER(Upgrades!$U$18,J174),1)*IF(Upgrades!$T$19="Stellar Kinematics",POWER(Upgrades!$U$19,K174),1)*IF(Upgrades!$T$20="Stellar Kinematics",POWER(Upgrades!$U$20,L174),1)*IF(Upgrades!$T$21="Stellar Kinematics",POWER(Upgrades!$U$21,M174),1))*POWER(Upgrades!$P$13,E174)*POWER(Upgrades!$P$14,F174)*POWER(Upgrades!$P$15,G174)*POWER(Upgrades!$P$16,H174)*POWER(Upgrades!$P$17,I174)*POWER(Upgrades!$P$18,J174)*POWER(Upgrades!$P$19,K174)*POWER(Upgrades!$P$20,L174)*POWER(Upgrades!$P$21,M174)*$F$6*60</f>
        <v/>
      </c>
      <c r="AB174" s="27">
        <f>(IF(F174=0,0,(Upgrades!$G$14+F174*Upgrades!$H$14)*POWER(Upgrades!$I$14,F174)))*(IF(Upgrades!$T$13="Local Bubble",POWER(Upgrades!$U$13,E174),1)*IF(Upgrades!$T$15="Local Bubble",POWER(Upgrades!$U$15,G174),1)*IF(Upgrades!$T$16="Local Bubble",POWER(Upgrades!$U$16,H174),1)*IF(Upgrades!$T$17="Local Bubble",POWER(Upgrades!$U$17,I174),1)*IF(Upgrades!$T$18="Local Bubble",POWER(Upgrades!$U$18,J174),1)*IF(Upgrades!$T$19="Local Bubble",POWER(Upgrades!$U$19,K174),1)*IF(Upgrades!$T$20="Local Bubble",POWER(Upgrades!$U$20,L174),1)*IF(Upgrades!$T$21="Local Bubble",POWER(Upgrades!$U$21,M174),1))*POWER(Upgrades!$P$13,E174)*POWER(Upgrades!$P$14,F174)*POWER(Upgrades!$P$15,G174)*POWER(Upgrades!$P$16,H174)*POWER(Upgrades!$P$17,I174)*POWER(Upgrades!$P$18,J174)*POWER(Upgrades!$P$19,K174)*POWER(Upgrades!$P$20,L174)*POWER(Upgrades!$P$21,M174)*$F$6*60</f>
        <v/>
      </c>
      <c r="AC174" s="27">
        <f>(IF(G174=0,0,(Upgrades!$J$15+G174*Upgrades!$K$15)*POWER(Upgrades!$L$15,G174)))*(IF(Upgrades!$T$13="Microlensing",POWER(Upgrades!$U$13,E174),1)*IF(Upgrades!$T$14="Microlensing",POWER(Upgrades!$U$14,F174),1)*IF(Upgrades!$T$16="Microlensing",POWER(Upgrades!$U$16,H174),1)*IF(Upgrades!$T$17="Microlensing",POWER(Upgrades!$U$17,I174),1)*IF(Upgrades!$T$18="Microlensing",POWER(Upgrades!$U$18,J174),1)*IF(Upgrades!$T$19="Microlensing",POWER(Upgrades!$U$19,K174),1)*IF(Upgrades!$T$20="Microlensing",POWER(Upgrades!$U$20,L174),1)*IF(Upgrades!$T$21="Microlensing",POWER(Upgrades!$U$21,M174),1))*POWER(Upgrades!$Q$13,E174)*POWER(Upgrades!$Q$14,F174)*POWER(Upgrades!$Q$15,G174)*POWER(Upgrades!$Q$16,H174)*POWER(Upgrades!$Q$17,I174)*POWER(Upgrades!$Q$18,J174)*POWER(Upgrades!$Q$19,K174)*POWER(Upgrades!$Q$20,L174)*POWER(Upgrades!$Q$21,M174)*$G$6*(Parameters!$B$10*Parameters!$B$11+Q174*60)</f>
        <v/>
      </c>
      <c r="AD174" s="27">
        <f>(IF(H174=0,0,(Upgrades!$M$16+H174*Upgrades!$N$16)*POWER(Upgrades!$O$16,H174)))*(IF(Upgrades!$T$13="Roche Lobe Overflow",POWER(Upgrades!$U$13,E174),1)*IF(Upgrades!$T$14="Roche Lobe Overflow",POWER(Upgrades!$U$14,F174),1)*IF(Upgrades!$T$15="Roche Lobe Overflow",POWER(Upgrades!$U$15,G174),1)*IF(Upgrades!$T$17="Roche Lobe Overflow",POWER(Upgrades!$U$17,I174),1)*IF(Upgrades!$T$18="Roche Lobe Overflow",POWER(Upgrades!$U$18,J174),1)*IF(Upgrades!$T$19="Roche Lobe Overflow",POWER(Upgrades!$U$19,K174),1)*IF(Upgrades!$T$20="Roche Lobe Overflow",POWER(Upgrades!$U$20,L174),1)*IF(Upgrades!$T$21="Roche Lobe Overflow",POWER(Upgrades!$U$21,M174),1))*POWER(Upgrades!$R$13,E174)*POWER(Upgrades!$R$14,F174)*POWER(Upgrades!$R$15,G174)*POWER(Upgrades!$R$16,H174)*POWER(Upgrades!$R$17,I174)*POWER(Upgrades!$R$18,J174)*POWER(Upgrades!$R$19,K174)*POWER(Upgrades!$R$20,L174)*POWER(Upgrades!$R$21,M174)*$H$6*O174*60</f>
        <v/>
      </c>
      <c r="AE174" s="27">
        <f>(IF(I174=0,0,(Upgrades!$G$17+I174*Upgrades!$H$17)*POWER(Upgrades!$I$17,I174)))*(IF(Upgrades!$T$13="Brown Dwarf",POWER(Upgrades!$U$13,E174),1)*IF(Upgrades!$T$14="Brown Dwarf",POWER(Upgrades!$U$14,F174),1)*IF(Upgrades!$T$15="Brown Dwarf",POWER(Upgrades!$U$15,G174),1)*IF(Upgrades!$T$16="Brown Dwarf",POWER(Upgrades!$U$16,H174),1)*IF(Upgrades!$T$18="Brown Dwarf",POWER(Upgrades!$U$18,J174),1)*IF(Upgrades!$T$19="Brown Dwarf",POWER(Upgrades!$U$19,K174),1)*IF(Upgrades!$T$20="Brown Dwarf",POWER(Upgrades!$U$20,L174),1)*IF(Upgrades!$T$21="Brown Dwarf",POWER(Upgrades!$U$21,M174),1))*POWER(Upgrades!$P$13,E174)*POWER(Upgrades!$P$14,F174)*POWER(Upgrades!$P$15,G174)*POWER(Upgrades!$P$16,H174)*POWER(Upgrades!$P$17,I174)*POWER(Upgrades!$P$18,J174)*POWER(Upgrades!$P$19,K174)*POWER(Upgrades!$P$20,L174)*POWER(Upgrades!$P$21,M174)*$F$6*60</f>
        <v/>
      </c>
      <c r="AF174" s="27" t="n">
        <v>0</v>
      </c>
      <c r="AG174" s="27" t="n">
        <v>0</v>
      </c>
      <c r="AH174" s="27" t="n">
        <v>0</v>
      </c>
      <c r="AI174" s="27">
        <f>(IF(M174=0,0,(Upgrades!$G$21+M174*Upgrades!$H$21)*POWER(Upgrades!$I$21,M174)))*(IF(Upgrades!$T$13="Moving Group",POWER(Upgrades!$U$13,E174),1)*IF(Upgrades!$T$14="Moving Group",POWER(Upgrades!$U$14,F174),1)*IF(Upgrades!$T$15="Moving Group",POWER(Upgrades!$U$15,G174),1)*IF(Upgrades!$T$16="Moving Group",POWER(Upgrades!$U$16,H174),1)*IF(Upgrades!$T$17="Moving Group",POWER(Upgrades!$U$17,I174),1)*IF(Upgrades!$T$18="Moving Group",POWER(Upgrades!$U$18,J174),1)*IF(Upgrades!$T$19="Moving Group",POWER(Upgrades!$U$19,K174),1)*IF(Upgrades!$T$20="Moving Group",POWER(Upgrades!$U$20,L174),1))*POWER(Upgrades!$P$13,E174)*POWER(Upgrades!$P$14,F174)*POWER(Upgrades!$P$15,G174)*POWER(Upgrades!$P$16,H174)*POWER(Upgrades!$P$17,I174)*POWER(Upgrades!$P$18,J174)*POWER(Upgrades!$P$19,K174)*POWER(Upgrades!$P$20,L174)*POWER(Upgrades!$P$21,M174)*$F$6*60</f>
        <v/>
      </c>
      <c r="AJ174" s="27">
        <f>$C$6*60</f>
        <v/>
      </c>
      <c r="AK174" s="22">
        <f>IF(E174&gt;=Upgrades!$E$13,"",Upgrades!$C$13*POWER(Upgrades!$D$13,E174))</f>
        <v/>
      </c>
      <c r="AL174" s="22">
        <f>IF(F174&gt;=Upgrades!$E$14,"",Upgrades!$C$14*POWER(Upgrades!$D$14,F174))</f>
        <v/>
      </c>
      <c r="AM174" s="22">
        <f>IF(G174&gt;=Upgrades!$E$15,"",Upgrades!$C$15*POWER(Upgrades!$D$15,G174))</f>
        <v/>
      </c>
      <c r="AN174" s="22">
        <f>IF(H174&gt;=Upgrades!$E$16,"",Upgrades!$C$16*POWER(Upgrades!$D$16,H174))</f>
        <v/>
      </c>
      <c r="AO174" s="22">
        <f>IF(I174&gt;=Upgrades!$E$17,"",Upgrades!$C$17*POWER(Upgrades!$D$17,I174))</f>
        <v/>
      </c>
      <c r="AP174" s="22">
        <f>IF(J174&gt;=Upgrades!$E$18,"",Upgrades!$C$18*POWER(Upgrades!$D$18,J174))</f>
        <v/>
      </c>
      <c r="AQ174" s="22">
        <f>IF(K174&gt;=Upgrades!$E$19,"",Upgrades!$C$19*POWER(Upgrades!$D$19,K174))</f>
        <v/>
      </c>
      <c r="AR174" s="22">
        <f>IF(L174&gt;=Upgrades!$E$20,"",Upgrades!$C$20*POWER(Upgrades!$D$20,L174))</f>
        <v/>
      </c>
      <c r="AS174" s="22">
        <f>IF(M174&gt;=Upgrades!$E$21,"",Upgrades!$C$21*POWER(Upgrades!$D$21,M174))</f>
        <v/>
      </c>
      <c r="AT174" s="26">
        <f>IF(AND(D174&gt;=Parameters!$B$18*Parameters!$B$19,(I174&gt;=Upgrades!$E$17)*(M174&gt;=Upgrades!$E$21)=1,N174=0),1,"")</f>
        <v/>
      </c>
      <c r="AU174" s="26">
        <f>IF(AND(D174&gt;=Parameters!$B$18*Parameters!$B$19,N174=0),1,"")</f>
        <v/>
      </c>
      <c r="AV174" s="22">
        <f>MIN(IF(ISNUMBER(AP174),AP174,9E15),IF(ISNUMBER(AQ174),AQ174,9E15),IF(ISNUMBER(AR174),AR174,9E15),IF(ISNUMBER(AS174),AS174,9E15))</f>
        <v/>
      </c>
      <c r="AW174" s="22">
        <f>MIN(IF(ISNUMBER(AK174),AK174,9E15),IF(ISNUMBER(AL174),AL174,9E15),IF(ISNUMBER(AM174),AM174,9E15),IF(ISNUMBER(AN174),AN174,9E15),IF(ISNUMBER(AO174),AO174,9E15))</f>
        <v/>
      </c>
      <c r="AX174" s="29">
        <f>IF(BD174&gt;Parameters!$B$21*(MAX(IF(AND(NOT(AND(AU174=1,AT174&lt;&gt;1)),ISNUMBER(AK174),AK174&lt;=(C174+T174)),AY174,0),IF(AND(NOT(AND(AU174=1,AT174&lt;&gt;1)),ISNUMBER(AL174),AL174&lt;=(C174+T174)),AZ174,0),IF(AND(NOT(AND(AU174=1,AT174&lt;&gt;1)),ISNUMBER(AM174),AM174&lt;=(C174+T174)),BA174,0),IF(AND(NOT(AND(AU174=1,AT174&lt;&gt;1)),ISNUMBER(AN174),AN174&lt;=(C174+T174)),BB174,0),IF(AND(ISNUMBER(AO174),AO174&lt;=(C174+T174)),BC174,0))),TRUE,FALSE)</f>
        <v/>
      </c>
      <c r="AY174" s="32">
        <f>IFERROR(Upgrades!$H$13*(POWER(Upgrades!$P$13,E174)*POWER(Upgrades!$P$14,F174)*POWER(Upgrades!$P$15,G174)*POWER(Upgrades!$P$16,H174)*POWER(Upgrades!$P$17,I174)*POWER(Upgrades!$P$18,J174)*POWER(Upgrades!$P$19,K174)*POWER(Upgrades!$P$20,L174)*POWER(Upgrades!$P$21,M174))*(IF(Upgrades!$T$14="Stellar Kinematics",POWER(Upgrades!$U$14,F174),1)*IF(Upgrades!$T$15="Stellar Kinematics",POWER(Upgrades!$U$15,G174),1)*IF(Upgrades!$T$16="Stellar Kinematics",POWER(Upgrades!$U$16,H174),1)*IF(Upgrades!$T$17="Stellar Kinematics",POWER(Upgrades!$U$17,I174),1)*IF(Upgrades!$T$18="Stellar Kinematics",POWER(Upgrades!$U$18,J174),1)*IF(Upgrades!$T$19="Stellar Kinematics",POWER(Upgrades!$U$19,K174),1)*IF(Upgrades!$T$20="Stellar Kinematics",POWER(Upgrades!$U$20,L174),1)*IF(Upgrades!$T$21="Stellar Kinematics",POWER(Upgrades!$U$21,M174),1))*$F$6/AK174,0)</f>
        <v/>
      </c>
      <c r="AZ174" s="32">
        <f>IFERROR(Upgrades!$H$14*(POWER(Upgrades!$P$13,E174)*POWER(Upgrades!$P$14,F174)*POWER(Upgrades!$P$15,G174)*POWER(Upgrades!$P$16,H174)*POWER(Upgrades!$P$17,I174)*POWER(Upgrades!$P$18,J174)*POWER(Upgrades!$P$19,K174)*POWER(Upgrades!$P$20,L174)*POWER(Upgrades!$P$21,M174))*(IF(Upgrades!$T$13="Local Bubble",POWER(Upgrades!$U$13,E174),1)*IF(Upgrades!$T$15="Local Bubble",POWER(Upgrades!$U$15,G174),1)*IF(Upgrades!$T$16="Local Bubble",POWER(Upgrades!$U$16,H174),1)*IF(Upgrades!$T$17="Local Bubble",POWER(Upgrades!$U$17,I174),1)*IF(Upgrades!$T$18="Local Bubble",POWER(Upgrades!$U$18,J174),1)*IF(Upgrades!$T$19="Local Bubble",POWER(Upgrades!$U$19,K174),1)*IF(Upgrades!$T$20="Local Bubble",POWER(Upgrades!$U$20,L174),1)*IF(Upgrades!$T$21="Local Bubble",POWER(Upgrades!$U$21,M174),1))*$F$6/AL174,0)</f>
        <v/>
      </c>
      <c r="BA174" s="32">
        <f>IFERROR(Upgrades!$K$15*(POWER(Upgrades!$Q$13,E174)*POWER(Upgrades!$Q$14,F174)*POWER(Upgrades!$Q$15,G174)*POWER(Upgrades!$Q$16,H174)*POWER(Upgrades!$Q$17,I174)*POWER(Upgrades!$Q$18,J174)*POWER(Upgrades!$Q$19,K174)*POWER(Upgrades!$Q$20,L174)*POWER(Upgrades!$Q$21,M174))*(IF(Upgrades!$T$13="Microlensing",POWER(Upgrades!$U$13,E174),1)*IF(Upgrades!$T$14="Microlensing",POWER(Upgrades!$U$14,F174),1)*IF(Upgrades!$T$16="Microlensing",POWER(Upgrades!$U$16,H174),1)*IF(Upgrades!$T$17="Microlensing",POWER(Upgrades!$U$17,I174),1)*IF(Upgrades!$T$18="Microlensing",POWER(Upgrades!$U$18,J174),1)*IF(Upgrades!$T$19="Microlensing",POWER(Upgrades!$U$19,K174),1)*IF(Upgrades!$T$20="Microlensing",POWER(Upgrades!$U$20,L174),1)*IF(Upgrades!$T$21="Microlensing",POWER(Upgrades!$U$21,M174),1))*$G$6*(Parameters!$B$10/60*Parameters!$B$11+Q174)/AM174,0)</f>
        <v/>
      </c>
      <c r="BB174" s="32">
        <f>IFERROR((Upgrades!$N$16*(POWER(Upgrades!$R$13,E174)*POWER(Upgrades!$R$14,F174)*POWER(Upgrades!$R$15,G174)*POWER(Upgrades!$R$16,H174)*POWER(Upgrades!$R$17,I174)*POWER(Upgrades!$R$18,J174)*POWER(Upgrades!$R$19,K174)*POWER(Upgrades!$R$20,L174)*POWER(Upgrades!$R$21,M174))*(IF(Upgrades!$T$13="Roche Lobe Overflow",POWER(Upgrades!$U$13,E174),1)*IF(Upgrades!$T$14="Roche Lobe Overflow",POWER(Upgrades!$U$14,F174),1)*IF(Upgrades!$T$15="Roche Lobe Overflow",POWER(Upgrades!$U$15,G174),1)*IF(Upgrades!$T$17="Roche Lobe Overflow",POWER(Upgrades!$U$17,I174),1)*IF(Upgrades!$T$18="Roche Lobe Overflow",POWER(Upgrades!$U$18,J174),1)*IF(Upgrades!$T$19="Roche Lobe Overflow",POWER(Upgrades!$U$19,K174),1)*IF(Upgrades!$T$20="Roche Lobe Overflow",POWER(Upgrades!$U$20,L174),1)*IF(Upgrades!$T$21="Roche Lobe Overflow",POWER(Upgrades!$U$21,M174),1))*$H$6*O174+((IF(F174=0,0,(Upgrades!$G$14+F174*Upgrades!$H$14)*POWER(Upgrades!$I$14,F174)))*(IF(Upgrades!$T$13="Local Bubble",POWER(Upgrades!$U$13,E174),1)*IF(Upgrades!$T$15="Local Bubble",POWER(Upgrades!$U$15,G174),1)*IF(Upgrades!$T$16="Local Bubble",POWER(Upgrades!$U$16,H174),1)*IF(Upgrades!$T$17="Local Bubble",POWER(Upgrades!$U$17,I174),1)*IF(Upgrades!$T$18="Local Bubble",POWER(Upgrades!$U$18,J174),1)*IF(Upgrades!$T$19="Local Bubble",POWER(Upgrades!$U$19,K174),1)*IF(Upgrades!$T$20="Local Bubble",POWER(Upgrades!$U$20,L174),1)*IF(Upgrades!$T$21="Local Bubble",POWER(Upgrades!$U$21,M174),1))*POWER(Upgrades!$P$13,E174)*POWER(Upgrades!$P$14,F174)*POWER(Upgrades!$P$15,G174)*POWER(Upgrades!$P$16,H174)*POWER(Upgrades!$P$17,I174)*POWER(Upgrades!$P$18,J174)*POWER(Upgrades!$P$19,K174)*POWER(Upgrades!$P$20,L174)*POWER(Upgrades!$P$21,M174)*$F$6)*0.05)/AN174,0)</f>
        <v/>
      </c>
      <c r="BC174" s="32">
        <f>IFERROR((Upgrades!$H$17*(POWER(Upgrades!$P$13,E174)*POWER(Upgrades!$P$14,F174)*POWER(Upgrades!$P$15,G174)*POWER(Upgrades!$P$16,H174)*POWER(Upgrades!$P$17,I174)*POWER(Upgrades!$P$18,J174)*POWER(Upgrades!$P$19,K174)*POWER(Upgrades!$P$20,L174)*POWER(Upgrades!$P$21,M174))*(IF(Upgrades!$T$13="Brown Dwarf",POWER(Upgrades!$U$13,E174),1)*IF(Upgrades!$T$14="Brown Dwarf",POWER(Upgrades!$U$14,F174),1)*IF(Upgrades!$T$15="Brown Dwarf",POWER(Upgrades!$U$15,G174),1)*IF(Upgrades!$T$16="Brown Dwarf",POWER(Upgrades!$U$16,H174),1)*IF(Upgrades!$T$18="Brown Dwarf",POWER(Upgrades!$U$18,J174),1)*IF(Upgrades!$T$19="Brown Dwarf",POWER(Upgrades!$U$19,K174),1)*IF(Upgrades!$T$20="Brown Dwarf",POWER(Upgrades!$U$20,L174),1)*IF(Upgrades!$T$21="Brown Dwarf",POWER(Upgrades!$U$21,M174),1))*$F$6+(((IF(H174=0,0,(Upgrades!$M$16+H174*Upgrades!$N$16)*POWER(Upgrades!$O$16,H174)))*(IF(Upgrades!$T$13="Roche Lobe Overflow",POWER(Upgrades!$U$13,E174),1)*IF(Upgrades!$T$14="Roche Lobe Overflow",POWER(Upgrades!$U$14,F174),1)*IF(Upgrades!$T$15="Roche Lobe Overflow",POWER(Upgrades!$U$15,G174),1)*IF(Upgrades!$T$17="Roche Lobe Overflow",POWER(Upgrades!$U$17,I174),1)*IF(Upgrades!$T$18="Roche Lobe Overflow",POWER(Upgrades!$U$18,J174),1)*IF(Upgrades!$T$19="Roche Lobe Overflow",POWER(Upgrades!$U$19,K174),1)*IF(Upgrades!$T$20="Roche Lobe Overflow",POWER(Upgrades!$U$20,L174),1)*IF(Upgrades!$T$21="Roche Lobe Overflow",POWER(Upgrades!$U$21,M174),1))*POWER(Upgrades!$R$13,E174)*POWER(Upgrades!$R$14,F174)*POWER(Upgrades!$R$15,G174)*POWER(Upgrades!$R$16,H174)*POWER(Upgrades!$R$17,I174)*POWER(Upgrades!$R$18,J174)*POWER(Upgrades!$R$19,K174)*POWER(Upgrades!$R$20,L174)*POWER(Upgrades!$R$21,M174)*$H$6)*O174)*0.10)/AO174,0)</f>
        <v/>
      </c>
      <c r="BD174" s="32">
        <f>MAX(IF(J174&gt;0,0,IFERROR(0.5*((IF(G174=0,0,(Upgrades!$J$15+G174*Upgrades!$K$15)*POWER(Upgrades!$L$15,G174)))*(IF(Upgrades!$T$13="Microlensing",POWER(Upgrades!$U$13,E174),1)*IF(Upgrades!$T$14="Microlensing",POWER(Upgrades!$U$14,F174),1)*IF(Upgrades!$T$16="Microlensing",POWER(Upgrades!$U$16,H174),1)*IF(Upgrades!$T$17="Microlensing",POWER(Upgrades!$U$17,I174),1)*IF(Upgrades!$T$18="Microlensing",POWER(Upgrades!$U$18,J174),1)*IF(Upgrades!$T$19="Microlensing",POWER(Upgrades!$U$19,K174),1)*IF(Upgrades!$T$20="Microlensing",POWER(Upgrades!$U$20,L174),1)*IF(Upgrades!$T$21="Microlensing",POWER(Upgrades!$U$21,M174),1))*(POWER(Upgrades!$Q$13,E174)*POWER(Upgrades!$Q$14,F174)*POWER(Upgrades!$Q$15,G174)*POWER(Upgrades!$Q$16,H174)*POWER(Upgrades!$Q$17,I174)*POWER(Upgrades!$Q$18,J174)*POWER(Upgrades!$Q$19,K174)*POWER(Upgrades!$Q$20,L174)*POWER(Upgrades!$Q$21,M174))*$G$6*(Parameters!$B$10/60*Parameters!$B$11+Q174))/Upgrades!$C$18,0)),IF(K174&gt;0,0,IFERROR(0.30*P174/Upgrades!$C$19,0)),IF(L174&gt;0,0,IFERROR(0.0001/Upgrades!$C$20,0)),IF(M174&gt;0,0,IFERROR((6.0*(POWER(Upgrades!$P$13,E174)*POWER(Upgrades!$P$14,F174)*POWER(Upgrades!$P$15,G174)*POWER(Upgrades!$P$16,H174)*POWER(Upgrades!$P$17,I174)*POWER(Upgrades!$P$18,J174)*POWER(Upgrades!$P$19,K174)*POWER(Upgrades!$P$20,L174)*POWER(Upgrades!$P$21,M174))*$F$6+0.20*O174*(Parameters!$B$10/60*Parameters!$B$11+Q174))/Upgrades!$C$21,0)),IF(AND(ISNUMBER(AK174),AK174&gt;(C174+T174)),AY174,0),IF(AND(ISNUMBER(AL174),AL174&gt;(C174+T174)),AZ174,0),IF(AND(ISNUMBER(AM174),AM174&gt;(C174+T174)),BA174,0),IF(AND(ISNUMBER(AN174),AN174&gt;(C174+T174)),BB174,0),IF(AND(ISNUMBER(AO174),AO174&gt;(C174+T174)),BC174,0))</f>
        <v/>
      </c>
      <c r="BE174" s="29">
        <f>IF(AT174=1,"transition",IF(MIN(IF(AND(J174=0,ISNUMBER(AP174),AP174&lt;=(C174+T174)),AP174,9E15),IF(AND(K174=0,ISNUMBER(AQ174),AQ174&lt;=(C174+T174)),AQ174,9E15),IF(AND(L174=0,ISNUMBER(AR174),AR174&lt;=(C174+T174)),AR174,9E15),IF(AND(M174=0,ISNUMBER(AS174),AS174&lt;=(C174+T174)),AS174,9E15))&lt;9E15,IF(AND(AND(J174=0,ISNUMBER(AP174),AP174&lt;=(C174+T174)),AP174=MIN(IF(AND(J174=0,ISNUMBER(AP174),AP174&lt;=(C174+T174)),AP174,9E15),IF(AND(K174=0,ISNUMBER(AQ174),AQ174&lt;=(C174+T174)),AQ174,9E15),IF(AND(L174=0,ISNUMBER(AR174),AR174&lt;=(C174+T174)),AR174,9E15),IF(AND(M174=0,ISNUMBER(AS174),AS174&lt;=(C174+T174)),AS174,9E15))),"BiP",IF(AND(AND(K174=0,ISNUMBER(AQ174),AQ174&lt;=(C174+T174)),AQ174=MIN(IF(AND(J174=0,ISNUMBER(AP174),AP174&lt;=(C174+T174)),AP174,9E15),IF(AND(K174=0,ISNUMBER(AQ174),AQ174&lt;=(C174+T174)),AQ174,9E15),IF(AND(L174=0,ISNUMBER(AR174),AR174&lt;=(C174+T174)),AR174,9E15),IF(AND(M174=0,ISNUMBER(AS174),AS174&lt;=(C174+T174)),AS174,9E15))),"PV",IF(AND(AND(L174=0,ISNUMBER(AR174),AR174&lt;=(C174+T174)),AR174=MIN(IF(AND(J174=0,ISNUMBER(AP174),AP174&lt;=(C174+T174)),AP174,9E15),IF(AND(K174=0,ISNUMBER(AQ174),AQ174&lt;=(C174+T174)),AQ174,9E15),IF(AND(L174=0,ISNUMBER(AR174),AR174&lt;=(C174+T174)),AR174,9E15),IF(AND(M174=0,ISNUMBER(AS174),AS174&lt;=(C174+T174)),AS174,9E15))),"OC","MG"))),IF(AX174=TRUE,"",IF(MAX(IF(AND(NOT(AND(AU174=1,AT174&lt;&gt;1)),ISNUMBER(AK174),AK174&lt;=(C174+T174)),AY174,0),IF(AND(NOT(AND(AU174=1,AT174&lt;&gt;1)),ISNUMBER(AL174),AL174&lt;=(C174+T174)),AZ174,0),IF(AND(NOT(AND(AU174=1,AT174&lt;&gt;1)),ISNUMBER(AM174),AM174&lt;=(C174+T174)),BA174,0),IF(AND(NOT(AND(AU174=1,AT174&lt;&gt;1)),ISNUMBER(AN174),AN174&lt;=(C174+T174)),BB174,0),IF(AND(ISNUMBER(AO174),AO174&lt;=(C174+T174)),BC174,0))&lt;=0,"",IF(AND(IF(AND(NOT(AND(AU174=1,AT174&lt;&gt;1)),ISNUMBER(AK174),AK174&lt;=(C174+T174)),AY174,0)&gt;0,IF(AND(NOT(AND(AU174=1,AT174&lt;&gt;1)),ISNUMBER(AK174),AK174&lt;=(C174+T174)),AY174,0)=MAX(IF(AND(NOT(AND(AU174=1,AT174&lt;&gt;1)),ISNUMBER(AK174),AK174&lt;=(C174+T174)),AY174,0),IF(AND(NOT(AND(AU174=1,AT174&lt;&gt;1)),ISNUMBER(AL174),AL174&lt;=(C174+T174)),AZ174,0),IF(AND(NOT(AND(AU174=1,AT174&lt;&gt;1)),ISNUMBER(AM174),AM174&lt;=(C174+T174)),BA174,0),IF(AND(NOT(AND(AU174=1,AT174&lt;&gt;1)),ISNUMBER(AN174),AN174&lt;=(C174+T174)),BB174,0),IF(AND(ISNUMBER(AO174),AO174&lt;=(C174+T174)),BC174,0))),"SK",IF(AND(IF(AND(NOT(AND(AU174=1,AT174&lt;&gt;1)),ISNUMBER(AL174),AL174&lt;=(C174+T174)),AZ174,0)&gt;0,IF(AND(NOT(AND(AU174=1,AT174&lt;&gt;1)),ISNUMBER(AL174),AL174&lt;=(C174+T174)),AZ174,0)=MAX(IF(AND(NOT(AND(AU174=1,AT174&lt;&gt;1)),ISNUMBER(AK174),AK174&lt;=(C174+T174)),AY174,0),IF(AND(NOT(AND(AU174=1,AT174&lt;&gt;1)),ISNUMBER(AL174),AL174&lt;=(C174+T174)),AZ174,0),IF(AND(NOT(AND(AU174=1,AT174&lt;&gt;1)),ISNUMBER(AM174),AM174&lt;=(C174+T174)),BA174,0),IF(AND(NOT(AND(AU174=1,AT174&lt;&gt;1)),ISNUMBER(AN174),AN174&lt;=(C174+T174)),BB174,0),IF(AND(ISNUMBER(AO174),AO174&lt;=(C174+T174)),BC174,0))),"LB",IF(AND(IF(AND(NOT(AND(AU174=1,AT174&lt;&gt;1)),ISNUMBER(AM174),AM174&lt;=(C174+T174)),BA174,0)&gt;0,IF(AND(NOT(AND(AU174=1,AT174&lt;&gt;1)),ISNUMBER(AM174),AM174&lt;=(C174+T174)),BA174,0)=MAX(IF(AND(NOT(AND(AU174=1,AT174&lt;&gt;1)),ISNUMBER(AK174),AK174&lt;=(C174+T174)),AY174,0),IF(AND(NOT(AND(AU174=1,AT174&lt;&gt;1)),ISNUMBER(AL174),AL174&lt;=(C174+T174)),AZ174,0),IF(AND(NOT(AND(AU174=1,AT174&lt;&gt;1)),ISNUMBER(AM174),AM174&lt;=(C174+T174)),BA174,0),IF(AND(NOT(AND(AU174=1,AT174&lt;&gt;1)),ISNUMBER(AN174),AN174&lt;=(C174+T174)),BB174,0),IF(AND(ISNUMBER(AO174),AO174&lt;=(C174+T174)),BC174,0))),"ML",IF(AND(IF(AND(NOT(AND(AU174=1,AT174&lt;&gt;1)),ISNUMBER(AN174),AN174&lt;=(C174+T174)),BB174,0)&gt;0,IF(AND(NOT(AND(AU174=1,AT174&lt;&gt;1)),ISNUMBER(AN174),AN174&lt;=(C174+T174)),BB174,0)=MAX(IF(AND(NOT(AND(AU174=1,AT174&lt;&gt;1)),ISNUMBER(AK174),AK174&lt;=(C174+T174)),AY174,0),IF(AND(NOT(AND(AU174=1,AT174&lt;&gt;1)),ISNUMBER(AL174),AL174&lt;=(C174+T174)),AZ174,0),IF(AND(NOT(AND(AU174=1,AT174&lt;&gt;1)),ISNUMBER(AM174),AM174&lt;=(C174+T174)),BA174,0),IF(AND(NOT(AND(AU174=1,AT174&lt;&gt;1)),ISNUMBER(AN174),AN174&lt;=(C174+T174)),BB174,0),IF(AND(ISNUMBER(AO174),AO174&lt;=(C174+T174)),BC174,0))),"RLO","BD"))))))))</f>
        <v/>
      </c>
    </row>
    <row r="175">
      <c r="A175" s="26" t="n">
        <v>164</v>
      </c>
      <c r="B175" s="27">
        <f>A175*10/60</f>
        <v/>
      </c>
      <c r="C175" s="22">
        <f>X174</f>
        <v/>
      </c>
      <c r="D175" s="27">
        <f>D174+W174</f>
        <v/>
      </c>
      <c r="E175" s="26">
        <f>E174+IF(U174="SK",1,0)</f>
        <v/>
      </c>
      <c r="F175" s="26">
        <f>F174+IF(U174="LB",1,0)</f>
        <v/>
      </c>
      <c r="G175" s="26">
        <f>G174+IF(U174="ML",1,0)</f>
        <v/>
      </c>
      <c r="H175" s="26">
        <f>H174+IF(U174="RLO",1,0)</f>
        <v/>
      </c>
      <c r="I175" s="26">
        <f>I174+IF(U174="BD",1,0)</f>
        <v/>
      </c>
      <c r="J175" s="26">
        <f>MAX(J174,IF(U174="BiP",1,0))</f>
        <v/>
      </c>
      <c r="K175" s="26">
        <f>MAX(K174,IF(U174="PV",1,0))</f>
        <v/>
      </c>
      <c r="L175" s="26">
        <f>MAX(L174,IF(U174="OC",1,0))</f>
        <v/>
      </c>
      <c r="M175" s="26">
        <f>MAX(M174,IF(U174="MG",1,0))</f>
        <v/>
      </c>
      <c r="N175" s="26">
        <f>MAX(N174,IF(U174="transition",1,0))</f>
        <v/>
      </c>
      <c r="O175" s="28">
        <f>(Parameters!$B$9+(IF(E175=0,0,(Upgrades!$J$13+E175*Upgrades!$K$13)*POWER(Upgrades!$L$13,E175)))*(IF(Upgrades!$T$14="Stellar Kinematics",POWER(Upgrades!$U$14,F175),1)*IF(Upgrades!$T$15="Stellar Kinematics",POWER(Upgrades!$U$15,G175),1)*IF(Upgrades!$T$16="Stellar Kinematics",POWER(Upgrades!$U$16,H175),1)*IF(Upgrades!$T$17="Stellar Kinematics",POWER(Upgrades!$U$17,I175),1)*IF(Upgrades!$T$18="Stellar Kinematics",POWER(Upgrades!$U$18,J175),1)*IF(Upgrades!$T$19="Stellar Kinematics",POWER(Upgrades!$U$19,K175),1)*IF(Upgrades!$T$20="Stellar Kinematics",POWER(Upgrades!$U$20,L175),1)*IF(Upgrades!$T$21="Stellar Kinematics",POWER(Upgrades!$U$21,M175),1))+(IF(F175=0,0,(Upgrades!$J$14+F175*Upgrades!$K$14)*POWER(Upgrades!$L$14,F175)))*(IF(Upgrades!$T$13="Local Bubble",POWER(Upgrades!$U$13,E175),1)*IF(Upgrades!$T$15="Local Bubble",POWER(Upgrades!$U$15,G175),1)*IF(Upgrades!$T$16="Local Bubble",POWER(Upgrades!$U$16,H175),1)*IF(Upgrades!$T$17="Local Bubble",POWER(Upgrades!$U$17,I175),1)*IF(Upgrades!$T$18="Local Bubble",POWER(Upgrades!$U$18,J175),1)*IF(Upgrades!$T$19="Local Bubble",POWER(Upgrades!$U$19,K175),1)*IF(Upgrades!$T$20="Local Bubble",POWER(Upgrades!$U$20,L175),1)*IF(Upgrades!$T$21="Local Bubble",POWER(Upgrades!$U$21,M175),1))+(IF(G175=0,0,(Upgrades!$J$15+G175*Upgrades!$K$15)*POWER(Upgrades!$L$15,G175)))*(IF(Upgrades!$T$13="Microlensing",POWER(Upgrades!$U$13,E175),1)*IF(Upgrades!$T$14="Microlensing",POWER(Upgrades!$U$14,F175),1)*IF(Upgrades!$T$16="Microlensing",POWER(Upgrades!$U$16,H175),1)*IF(Upgrades!$T$17="Microlensing",POWER(Upgrades!$U$17,I175),1)*IF(Upgrades!$T$18="Microlensing",POWER(Upgrades!$U$18,J175),1)*IF(Upgrades!$T$19="Microlensing",POWER(Upgrades!$U$19,K175),1)*IF(Upgrades!$T$20="Microlensing",POWER(Upgrades!$U$20,L175),1)*IF(Upgrades!$T$21="Microlensing",POWER(Upgrades!$U$21,M175),1))+(IF(H175=0,0,(Upgrades!$J$16+H175*Upgrades!$K$16)*POWER(Upgrades!$L$16,H175)))*(IF(Upgrades!$T$13="Roche Lobe Overflow",POWER(Upgrades!$U$13,E175),1)*IF(Upgrades!$T$14="Roche Lobe Overflow",POWER(Upgrades!$U$14,F175),1)*IF(Upgrades!$T$15="Roche Lobe Overflow",POWER(Upgrades!$U$15,G175),1)*IF(Upgrades!$T$17="Roche Lobe Overflow",POWER(Upgrades!$U$17,I175),1)*IF(Upgrades!$T$18="Roche Lobe Overflow",POWER(Upgrades!$U$18,J175),1)*IF(Upgrades!$T$19="Roche Lobe Overflow",POWER(Upgrades!$U$19,K175),1)*IF(Upgrades!$T$20="Roche Lobe Overflow",POWER(Upgrades!$U$20,L175),1)*IF(Upgrades!$T$21="Roche Lobe Overflow",POWER(Upgrades!$U$21,M175),1))+(IF(I175=0,0,(Upgrades!$J$17+I175*Upgrades!$K$17)*POWER(Upgrades!$L$17,I175)))*(IF(Upgrades!$T$13="Brown Dwarf",POWER(Upgrades!$U$13,E175),1)*IF(Upgrades!$T$14="Brown Dwarf",POWER(Upgrades!$U$14,F175),1)*IF(Upgrades!$T$15="Brown Dwarf",POWER(Upgrades!$U$15,G175),1)*IF(Upgrades!$T$16="Brown Dwarf",POWER(Upgrades!$U$16,H175),1)*IF(Upgrades!$T$18="Brown Dwarf",POWER(Upgrades!$U$18,J175),1)*IF(Upgrades!$T$19="Brown Dwarf",POWER(Upgrades!$U$19,K175),1)*IF(Upgrades!$T$20="Brown Dwarf",POWER(Upgrades!$U$20,L175),1)*IF(Upgrades!$T$21="Brown Dwarf",POWER(Upgrades!$U$21,M175),1))+(IF(J175=0,0,(Upgrades!$J$18+J175*Upgrades!$K$18)*POWER(Upgrades!$L$18,J175)))*(IF(Upgrades!$T$13="Binary Partner",POWER(Upgrades!$U$13,E175),1)*IF(Upgrades!$T$14="Binary Partner",POWER(Upgrades!$U$14,F175),1)*IF(Upgrades!$T$15="Binary Partner",POWER(Upgrades!$U$15,G175),1)*IF(Upgrades!$T$16="Binary Partner",POWER(Upgrades!$U$16,H175),1)*IF(Upgrades!$T$17="Binary Partner",POWER(Upgrades!$U$17,I175),1)*IF(Upgrades!$T$19="Binary Partner",POWER(Upgrades!$U$19,K175),1)*IF(Upgrades!$T$20="Binary Partner",POWER(Upgrades!$U$20,L175),1)*IF(Upgrades!$T$21="Binary Partner",POWER(Upgrades!$U$21,M175),1))+(IF(K175=0,0,(Upgrades!$J$19+K175*Upgrades!$K$19)*POWER(Upgrades!$L$19,K175)))*(IF(Upgrades!$T$13="Peculiar Velocity",POWER(Upgrades!$U$13,E175),1)*IF(Upgrades!$T$14="Peculiar Velocity",POWER(Upgrades!$U$14,F175),1)*IF(Upgrades!$T$15="Peculiar Velocity",POWER(Upgrades!$U$15,G175),1)*IF(Upgrades!$T$16="Peculiar Velocity",POWER(Upgrades!$U$16,H175),1)*IF(Upgrades!$T$17="Peculiar Velocity",POWER(Upgrades!$U$17,I175),1)*IF(Upgrades!$T$18="Peculiar Velocity",POWER(Upgrades!$U$18,J175),1)*IF(Upgrades!$T$20="Peculiar Velocity",POWER(Upgrades!$U$20,L175),1)*IF(Upgrades!$T$21="Peculiar Velocity",POWER(Upgrades!$U$21,M175),1))+(IF(L175=0,0,(Upgrades!$J$20+L175*Upgrades!$K$20)*POWER(Upgrades!$L$20,L175)))*(IF(Upgrades!$T$13="Open Cluster",POWER(Upgrades!$U$13,E175),1)*IF(Upgrades!$T$14="Open Cluster",POWER(Upgrades!$U$14,F175),1)*IF(Upgrades!$T$15="Open Cluster",POWER(Upgrades!$U$15,G175),1)*IF(Upgrades!$T$16="Open Cluster",POWER(Upgrades!$U$16,H175),1)*IF(Upgrades!$T$17="Open Cluster",POWER(Upgrades!$U$17,I175),1)*IF(Upgrades!$T$18="Open Cluster",POWER(Upgrades!$U$18,J175),1)*IF(Upgrades!$T$19="Open Cluster",POWER(Upgrades!$U$19,K175),1)*IF(Upgrades!$T$21="Open Cluster",POWER(Upgrades!$U$21,M175),1))+(IF(M175=0,0,(Upgrades!$J$21+M175*Upgrades!$K$21)*POWER(Upgrades!$L$21,M175)))*(IF(Upgrades!$T$13="Moving Group",POWER(Upgrades!$U$13,E175),1)*IF(Upgrades!$T$14="Moving Group",POWER(Upgrades!$U$14,F175),1)*IF(Upgrades!$T$15="Moving Group",POWER(Upgrades!$U$15,G175),1)*IF(Upgrades!$T$16="Moving Group",POWER(Upgrades!$U$16,H175),1)*IF(Upgrades!$T$17="Moving Group",POWER(Upgrades!$U$17,I175),1)*IF(Upgrades!$T$18="Moving Group",POWER(Upgrades!$U$18,J175),1)*IF(Upgrades!$T$19="Moving Group",POWER(Upgrades!$U$19,K175),1)*IF(Upgrades!$T$20="Moving Group",POWER(Upgrades!$U$20,L175),1)))*POWER(Upgrades!$Q$13,E175)*POWER(Upgrades!$Q$14,F175)*POWER(Upgrades!$Q$15,G175)*POWER(Upgrades!$Q$16,H175)*POWER(Upgrades!$Q$17,I175)*POWER(Upgrades!$Q$18,J175)*POWER(Upgrades!$Q$19,K175)*POWER(Upgrades!$Q$20,L175)*POWER(Upgrades!$Q$21,M175)*$G$6+$D$6</f>
        <v/>
      </c>
      <c r="P175" s="28">
        <f>((IF(E175=0,0,(Upgrades!$G$13+E175*Upgrades!$H$13)*POWER(Upgrades!$I$13,E175)))*(IF(Upgrades!$T$14="Stellar Kinematics",POWER(Upgrades!$U$14,F175),1)*IF(Upgrades!$T$15="Stellar Kinematics",POWER(Upgrades!$U$15,G175),1)*IF(Upgrades!$T$16="Stellar Kinematics",POWER(Upgrades!$U$16,H175),1)*IF(Upgrades!$T$17="Stellar Kinematics",POWER(Upgrades!$U$17,I175),1)*IF(Upgrades!$T$18="Stellar Kinematics",POWER(Upgrades!$U$18,J175),1)*IF(Upgrades!$T$19="Stellar Kinematics",POWER(Upgrades!$U$19,K175),1)*IF(Upgrades!$T$20="Stellar Kinematics",POWER(Upgrades!$U$20,L175),1)*IF(Upgrades!$T$21="Stellar Kinematics",POWER(Upgrades!$U$21,M175),1))+(IF(F175=0,0,(Upgrades!$G$14+F175*Upgrades!$H$14)*POWER(Upgrades!$I$14,F175)))*(IF(Upgrades!$T$13="Local Bubble",POWER(Upgrades!$U$13,E175),1)*IF(Upgrades!$T$15="Local Bubble",POWER(Upgrades!$U$15,G175),1)*IF(Upgrades!$T$16="Local Bubble",POWER(Upgrades!$U$16,H175),1)*IF(Upgrades!$T$17="Local Bubble",POWER(Upgrades!$U$17,I175),1)*IF(Upgrades!$T$18="Local Bubble",POWER(Upgrades!$U$18,J175),1)*IF(Upgrades!$T$19="Local Bubble",POWER(Upgrades!$U$19,K175),1)*IF(Upgrades!$T$20="Local Bubble",POWER(Upgrades!$U$20,L175),1)*IF(Upgrades!$T$21="Local Bubble",POWER(Upgrades!$U$21,M175),1))+(IF(G175=0,0,(Upgrades!$G$15+G175*Upgrades!$H$15)*POWER(Upgrades!$I$15,G175)))*(IF(Upgrades!$T$13="Microlensing",POWER(Upgrades!$U$13,E175),1)*IF(Upgrades!$T$14="Microlensing",POWER(Upgrades!$U$14,F175),1)*IF(Upgrades!$T$16="Microlensing",POWER(Upgrades!$U$16,H175),1)*IF(Upgrades!$T$17="Microlensing",POWER(Upgrades!$U$17,I175),1)*IF(Upgrades!$T$18="Microlensing",POWER(Upgrades!$U$18,J175),1)*IF(Upgrades!$T$19="Microlensing",POWER(Upgrades!$U$19,K175),1)*IF(Upgrades!$T$20="Microlensing",POWER(Upgrades!$U$20,L175),1)*IF(Upgrades!$T$21="Microlensing",POWER(Upgrades!$U$21,M175),1))+(IF(H175=0,0,(Upgrades!$G$16+H175*Upgrades!$H$16)*POWER(Upgrades!$I$16,H175)))*(IF(Upgrades!$T$13="Roche Lobe Overflow",POWER(Upgrades!$U$13,E175),1)*IF(Upgrades!$T$14="Roche Lobe Overflow",POWER(Upgrades!$U$14,F175),1)*IF(Upgrades!$T$15="Roche Lobe Overflow",POWER(Upgrades!$U$15,G175),1)*IF(Upgrades!$T$17="Roche Lobe Overflow",POWER(Upgrades!$U$17,I175),1)*IF(Upgrades!$T$18="Roche Lobe Overflow",POWER(Upgrades!$U$18,J175),1)*IF(Upgrades!$T$19="Roche Lobe Overflow",POWER(Upgrades!$U$19,K175),1)*IF(Upgrades!$T$20="Roche Lobe Overflow",POWER(Upgrades!$U$20,L175),1)*IF(Upgrades!$T$21="Roche Lobe Overflow",POWER(Upgrades!$U$21,M175),1))+(IF(I175=0,0,(Upgrades!$G$17+I175*Upgrades!$H$17)*POWER(Upgrades!$I$17,I175)))*(IF(Upgrades!$T$13="Brown Dwarf",POWER(Upgrades!$U$13,E175),1)*IF(Upgrades!$T$14="Brown Dwarf",POWER(Upgrades!$U$14,F175),1)*IF(Upgrades!$T$15="Brown Dwarf",POWER(Upgrades!$U$15,G175),1)*IF(Upgrades!$T$16="Brown Dwarf",POWER(Upgrades!$U$16,H175),1)*IF(Upgrades!$T$18="Brown Dwarf",POWER(Upgrades!$U$18,J175),1)*IF(Upgrades!$T$19="Brown Dwarf",POWER(Upgrades!$U$19,K175),1)*IF(Upgrades!$T$20="Brown Dwarf",POWER(Upgrades!$U$20,L175),1)*IF(Upgrades!$T$21="Brown Dwarf",POWER(Upgrades!$U$21,M175),1))+(IF(J175=0,0,(Upgrades!$G$18+J175*Upgrades!$H$18)*POWER(Upgrades!$I$18,J175)))*(IF(Upgrades!$T$13="Binary Partner",POWER(Upgrades!$U$13,E175),1)*IF(Upgrades!$T$14="Binary Partner",POWER(Upgrades!$U$14,F175),1)*IF(Upgrades!$T$15="Binary Partner",POWER(Upgrades!$U$15,G175),1)*IF(Upgrades!$T$16="Binary Partner",POWER(Upgrades!$U$16,H175),1)*IF(Upgrades!$T$17="Binary Partner",POWER(Upgrades!$U$17,I175),1)*IF(Upgrades!$T$19="Binary Partner",POWER(Upgrades!$U$19,K175),1)*IF(Upgrades!$T$20="Binary Partner",POWER(Upgrades!$U$20,L175),1)*IF(Upgrades!$T$21="Binary Partner",POWER(Upgrades!$U$21,M175),1))+(IF(K175=0,0,(Upgrades!$G$19+K175*Upgrades!$H$19)*POWER(Upgrades!$I$19,K175)))*(IF(Upgrades!$T$13="Peculiar Velocity",POWER(Upgrades!$U$13,E175),1)*IF(Upgrades!$T$14="Peculiar Velocity",POWER(Upgrades!$U$14,F175),1)*IF(Upgrades!$T$15="Peculiar Velocity",POWER(Upgrades!$U$15,G175),1)*IF(Upgrades!$T$16="Peculiar Velocity",POWER(Upgrades!$U$16,H175),1)*IF(Upgrades!$T$17="Peculiar Velocity",POWER(Upgrades!$U$17,I175),1)*IF(Upgrades!$T$18="Peculiar Velocity",POWER(Upgrades!$U$18,J175),1)*IF(Upgrades!$T$20="Peculiar Velocity",POWER(Upgrades!$U$20,L175),1)*IF(Upgrades!$T$21="Peculiar Velocity",POWER(Upgrades!$U$21,M175),1))+(IF(L175=0,0,(Upgrades!$G$20+L175*Upgrades!$H$20)*POWER(Upgrades!$I$20,L175)))*(IF(Upgrades!$T$13="Open Cluster",POWER(Upgrades!$U$13,E175),1)*IF(Upgrades!$T$14="Open Cluster",POWER(Upgrades!$U$14,F175),1)*IF(Upgrades!$T$15="Open Cluster",POWER(Upgrades!$U$15,G175),1)*IF(Upgrades!$T$16="Open Cluster",POWER(Upgrades!$U$16,H175),1)*IF(Upgrades!$T$17="Open Cluster",POWER(Upgrades!$U$17,I175),1)*IF(Upgrades!$T$18="Open Cluster",POWER(Upgrades!$U$18,J175),1)*IF(Upgrades!$T$19="Open Cluster",POWER(Upgrades!$U$19,K175),1)*IF(Upgrades!$T$21="Open Cluster",POWER(Upgrades!$U$21,M175),1))+(IF(M175=0,0,(Upgrades!$G$21+M175*Upgrades!$H$21)*POWER(Upgrades!$I$21,M175)))*(IF(Upgrades!$T$13="Moving Group",POWER(Upgrades!$U$13,E175),1)*IF(Upgrades!$T$14="Moving Group",POWER(Upgrades!$U$14,F175),1)*IF(Upgrades!$T$15="Moving Group",POWER(Upgrades!$U$15,G175),1)*IF(Upgrades!$T$16="Moving Group",POWER(Upgrades!$U$16,H175),1)*IF(Upgrades!$T$17="Moving Group",POWER(Upgrades!$U$17,I175),1)*IF(Upgrades!$T$18="Moving Group",POWER(Upgrades!$U$18,J175),1)*IF(Upgrades!$T$19="Moving Group",POWER(Upgrades!$U$19,K175),1)*IF(Upgrades!$T$20="Moving Group",POWER(Upgrades!$U$20,L175),1)))*POWER(Upgrades!$P$13,E175)*POWER(Upgrades!$P$14,F175)*POWER(Upgrades!$P$15,G175)*POWER(Upgrades!$P$16,H175)*POWER(Upgrades!$P$17,I175)*POWER(Upgrades!$P$18,J175)*POWER(Upgrades!$P$19,K175)*POWER(Upgrades!$P$20,L175)*POWER(Upgrades!$P$21,M175)*$F$6+$C$6</f>
        <v/>
      </c>
      <c r="Q175" s="28">
        <f>((IF(E175=0,0,(Upgrades!$M$13+E175*Upgrades!$N$13)*POWER(Upgrades!$O$13,E175)))*(IF(Upgrades!$T$14="Stellar Kinematics",POWER(Upgrades!$U$14,F175),1)*IF(Upgrades!$T$15="Stellar Kinematics",POWER(Upgrades!$U$15,G175),1)*IF(Upgrades!$T$16="Stellar Kinematics",POWER(Upgrades!$U$16,H175),1)*IF(Upgrades!$T$17="Stellar Kinematics",POWER(Upgrades!$U$17,I175),1)*IF(Upgrades!$T$18="Stellar Kinematics",POWER(Upgrades!$U$18,J175),1)*IF(Upgrades!$T$19="Stellar Kinematics",POWER(Upgrades!$U$19,K175),1)*IF(Upgrades!$T$20="Stellar Kinematics",POWER(Upgrades!$U$20,L175),1)*IF(Upgrades!$T$21="Stellar Kinematics",POWER(Upgrades!$U$21,M175),1))+(IF(F175=0,0,(Upgrades!$M$14+F175*Upgrades!$N$14)*POWER(Upgrades!$O$14,F175)))*(IF(Upgrades!$T$13="Local Bubble",POWER(Upgrades!$U$13,E175),1)*IF(Upgrades!$T$15="Local Bubble",POWER(Upgrades!$U$15,G175),1)*IF(Upgrades!$T$16="Local Bubble",POWER(Upgrades!$U$16,H175),1)*IF(Upgrades!$T$17="Local Bubble",POWER(Upgrades!$U$17,I175),1)*IF(Upgrades!$T$18="Local Bubble",POWER(Upgrades!$U$18,J175),1)*IF(Upgrades!$T$19="Local Bubble",POWER(Upgrades!$U$19,K175),1)*IF(Upgrades!$T$20="Local Bubble",POWER(Upgrades!$U$20,L175),1)*IF(Upgrades!$T$21="Local Bubble",POWER(Upgrades!$U$21,M175),1))+(IF(G175=0,0,(Upgrades!$M$15+G175*Upgrades!$N$15)*POWER(Upgrades!$O$15,G175)))*(IF(Upgrades!$T$13="Microlensing",POWER(Upgrades!$U$13,E175),1)*IF(Upgrades!$T$14="Microlensing",POWER(Upgrades!$U$14,F175),1)*IF(Upgrades!$T$16="Microlensing",POWER(Upgrades!$U$16,H175),1)*IF(Upgrades!$T$17="Microlensing",POWER(Upgrades!$U$17,I175),1)*IF(Upgrades!$T$18="Microlensing",POWER(Upgrades!$U$18,J175),1)*IF(Upgrades!$T$19="Microlensing",POWER(Upgrades!$U$19,K175),1)*IF(Upgrades!$T$20="Microlensing",POWER(Upgrades!$U$20,L175),1)*IF(Upgrades!$T$21="Microlensing",POWER(Upgrades!$U$21,M175),1))+(IF(H175=0,0,(Upgrades!$M$16+H175*Upgrades!$N$16)*POWER(Upgrades!$O$16,H175)))*(IF(Upgrades!$T$13="Roche Lobe Overflow",POWER(Upgrades!$U$13,E175),1)*IF(Upgrades!$T$14="Roche Lobe Overflow",POWER(Upgrades!$U$14,F175),1)*IF(Upgrades!$T$15="Roche Lobe Overflow",POWER(Upgrades!$U$15,G175),1)*IF(Upgrades!$T$17="Roche Lobe Overflow",POWER(Upgrades!$U$17,I175),1)*IF(Upgrades!$T$18="Roche Lobe Overflow",POWER(Upgrades!$U$18,J175),1)*IF(Upgrades!$T$19="Roche Lobe Overflow",POWER(Upgrades!$U$19,K175),1)*IF(Upgrades!$T$20="Roche Lobe Overflow",POWER(Upgrades!$U$20,L175),1)*IF(Upgrades!$T$21="Roche Lobe Overflow",POWER(Upgrades!$U$21,M175),1))+(IF(I175=0,0,(Upgrades!$M$17+I175*Upgrades!$N$17)*POWER(Upgrades!$O$17,I175)))*(IF(Upgrades!$T$13="Brown Dwarf",POWER(Upgrades!$U$13,E175),1)*IF(Upgrades!$T$14="Brown Dwarf",POWER(Upgrades!$U$14,F175),1)*IF(Upgrades!$T$15="Brown Dwarf",POWER(Upgrades!$U$15,G175),1)*IF(Upgrades!$T$16="Brown Dwarf",POWER(Upgrades!$U$16,H175),1)*IF(Upgrades!$T$18="Brown Dwarf",POWER(Upgrades!$U$18,J175),1)*IF(Upgrades!$T$19="Brown Dwarf",POWER(Upgrades!$U$19,K175),1)*IF(Upgrades!$T$20="Brown Dwarf",POWER(Upgrades!$U$20,L175),1)*IF(Upgrades!$T$21="Brown Dwarf",POWER(Upgrades!$U$21,M175),1))+(IF(J175=0,0,(Upgrades!$M$18+J175*Upgrades!$N$18)*POWER(Upgrades!$O$18,J175)))*(IF(Upgrades!$T$13="Binary Partner",POWER(Upgrades!$U$13,E175),1)*IF(Upgrades!$T$14="Binary Partner",POWER(Upgrades!$U$14,F175),1)*IF(Upgrades!$T$15="Binary Partner",POWER(Upgrades!$U$15,G175),1)*IF(Upgrades!$T$16="Binary Partner",POWER(Upgrades!$U$16,H175),1)*IF(Upgrades!$T$17="Binary Partner",POWER(Upgrades!$U$17,I175),1)*IF(Upgrades!$T$19="Binary Partner",POWER(Upgrades!$U$19,K175),1)*IF(Upgrades!$T$20="Binary Partner",POWER(Upgrades!$U$20,L175),1)*IF(Upgrades!$T$21="Binary Partner",POWER(Upgrades!$U$21,M175),1))+(IF(K175=0,0,(Upgrades!$M$19+K175*Upgrades!$N$19)*POWER(Upgrades!$O$19,K175)))*(IF(Upgrades!$T$13="Peculiar Velocity",POWER(Upgrades!$U$13,E175),1)*IF(Upgrades!$T$14="Peculiar Velocity",POWER(Upgrades!$U$14,F175),1)*IF(Upgrades!$T$15="Peculiar Velocity",POWER(Upgrades!$U$15,G175),1)*IF(Upgrades!$T$16="Peculiar Velocity",POWER(Upgrades!$U$16,H175),1)*IF(Upgrades!$T$17="Peculiar Velocity",POWER(Upgrades!$U$17,I175),1)*IF(Upgrades!$T$18="Peculiar Velocity",POWER(Upgrades!$U$18,J175),1)*IF(Upgrades!$T$20="Peculiar Velocity",POWER(Upgrades!$U$20,L175),1)*IF(Upgrades!$T$21="Peculiar Velocity",POWER(Upgrades!$U$21,M175),1))+(IF(L175=0,0,(Upgrades!$M$20+L175*Upgrades!$N$20)*POWER(Upgrades!$O$20,L175)))*(IF(Upgrades!$T$13="Open Cluster",POWER(Upgrades!$U$13,E175),1)*IF(Upgrades!$T$14="Open Cluster",POWER(Upgrades!$U$14,F175),1)*IF(Upgrades!$T$15="Open Cluster",POWER(Upgrades!$U$15,G175),1)*IF(Upgrades!$T$16="Open Cluster",POWER(Upgrades!$U$16,H175),1)*IF(Upgrades!$T$17="Open Cluster",POWER(Upgrades!$U$17,I175),1)*IF(Upgrades!$T$18="Open Cluster",POWER(Upgrades!$U$18,J175),1)*IF(Upgrades!$T$19="Open Cluster",POWER(Upgrades!$U$19,K175),1)*IF(Upgrades!$T$21="Open Cluster",POWER(Upgrades!$U$21,M175),1))+(IF(M175=0,0,(Upgrades!$M$21+M175*Upgrades!$N$21)*POWER(Upgrades!$O$21,M175)))*(IF(Upgrades!$T$13="Moving Group",POWER(Upgrades!$U$13,E175),1)*IF(Upgrades!$T$14="Moving Group",POWER(Upgrades!$U$14,F175),1)*IF(Upgrades!$T$15="Moving Group",POWER(Upgrades!$U$15,G175),1)*IF(Upgrades!$T$16="Moving Group",POWER(Upgrades!$U$16,H175),1)*IF(Upgrades!$T$17="Moving Group",POWER(Upgrades!$U$17,I175),1)*IF(Upgrades!$T$18="Moving Group",POWER(Upgrades!$U$18,J175),1)*IF(Upgrades!$T$19="Moving Group",POWER(Upgrades!$U$19,K175),1)*IF(Upgrades!$T$20="Moving Group",POWER(Upgrades!$U$20,L175),1)))*POWER(Upgrades!$R$13,E175)*POWER(Upgrades!$R$14,F175)*POWER(Upgrades!$R$15,G175)*POWER(Upgrades!$R$16,H175)*POWER(Upgrades!$R$17,I175)*POWER(Upgrades!$R$18,J175)*POWER(Upgrades!$R$19,K175)*POWER(Upgrades!$R$20,L175)*POWER(Upgrades!$R$21,M175)*$H$6+$E$6</f>
        <v/>
      </c>
      <c r="R175" s="27">
        <f>IF(N175=1,0,O175*Parameters!$B$10/60*Parameters!$B$11*10)</f>
        <v/>
      </c>
      <c r="S175" s="27">
        <f>IF(N175=1,0,Q175*O175*10)</f>
        <v/>
      </c>
      <c r="T175" s="27">
        <f>IF(N175=1,0,R175+S175+P175*10)</f>
        <v/>
      </c>
      <c r="U175" s="33">
        <f>BE175</f>
        <v/>
      </c>
      <c r="V175" s="22">
        <f>IF(U175="",0,IF(U175="transition",0,IF(U175="SK",AK175,IF(U175="LB",AL175,IF(U175="ML",AM175,IF(U175="RLO",AN175,IF(U175="BD",AO175,IF(U175="BiP",AP175,IF(U175="PV",AQ175,IF(U175="OC",AR175,IF(U175="MG",AS175,0))))))))))</f>
        <v/>
      </c>
      <c r="W175" s="27">
        <f>IF(U175="BiP",Upgrades!$F$18,IF(U175="PV",Upgrades!$F$19,IF(U175="OC",Upgrades!$F$20,IF(U175="MG",Upgrades!$F$21,IF(U175="transition",-Parameters!$B$18*Parameters!$B$19,0)))))</f>
        <v/>
      </c>
      <c r="X175" s="22">
        <f>C175+T175-V175</f>
        <v/>
      </c>
      <c r="Y175" s="30">
        <f>O175*Parameters!$B$10/60*Parameters!$B$11+Q175*O175+P175</f>
        <v/>
      </c>
      <c r="Z175" s="34">
        <f>IF(U175="transition","→ Tier 3 (Galactic Arm)",IF(U175="MG","Moving Group — pocket drifts together",IF(U175="OC","Open Cluster acquired",IF(U175="PV","Peculiar Velocity — passive multiplier active",IF(U175="BiP","Binary Partner — pair bond formed",IF(AND(AU175=1,N175=0,AT175&lt;&gt;1),"Cohesion ready (waiting on completionists)","")))))) </f>
        <v/>
      </c>
      <c r="AA175" s="27">
        <f>(IF(E175=0,0,(Upgrades!$G$13+E175*Upgrades!$H$13)*POWER(Upgrades!$I$13,E175)))*(IF(Upgrades!$T$14="Stellar Kinematics",POWER(Upgrades!$U$14,F175),1)*IF(Upgrades!$T$15="Stellar Kinematics",POWER(Upgrades!$U$15,G175),1)*IF(Upgrades!$T$16="Stellar Kinematics",POWER(Upgrades!$U$16,H175),1)*IF(Upgrades!$T$17="Stellar Kinematics",POWER(Upgrades!$U$17,I175),1)*IF(Upgrades!$T$18="Stellar Kinematics",POWER(Upgrades!$U$18,J175),1)*IF(Upgrades!$T$19="Stellar Kinematics",POWER(Upgrades!$U$19,K175),1)*IF(Upgrades!$T$20="Stellar Kinematics",POWER(Upgrades!$U$20,L175),1)*IF(Upgrades!$T$21="Stellar Kinematics",POWER(Upgrades!$U$21,M175),1))*POWER(Upgrades!$P$13,E175)*POWER(Upgrades!$P$14,F175)*POWER(Upgrades!$P$15,G175)*POWER(Upgrades!$P$16,H175)*POWER(Upgrades!$P$17,I175)*POWER(Upgrades!$P$18,J175)*POWER(Upgrades!$P$19,K175)*POWER(Upgrades!$P$20,L175)*POWER(Upgrades!$P$21,M175)*$F$6*60</f>
        <v/>
      </c>
      <c r="AB175" s="27">
        <f>(IF(F175=0,0,(Upgrades!$G$14+F175*Upgrades!$H$14)*POWER(Upgrades!$I$14,F175)))*(IF(Upgrades!$T$13="Local Bubble",POWER(Upgrades!$U$13,E175),1)*IF(Upgrades!$T$15="Local Bubble",POWER(Upgrades!$U$15,G175),1)*IF(Upgrades!$T$16="Local Bubble",POWER(Upgrades!$U$16,H175),1)*IF(Upgrades!$T$17="Local Bubble",POWER(Upgrades!$U$17,I175),1)*IF(Upgrades!$T$18="Local Bubble",POWER(Upgrades!$U$18,J175),1)*IF(Upgrades!$T$19="Local Bubble",POWER(Upgrades!$U$19,K175),1)*IF(Upgrades!$T$20="Local Bubble",POWER(Upgrades!$U$20,L175),1)*IF(Upgrades!$T$21="Local Bubble",POWER(Upgrades!$U$21,M175),1))*POWER(Upgrades!$P$13,E175)*POWER(Upgrades!$P$14,F175)*POWER(Upgrades!$P$15,G175)*POWER(Upgrades!$P$16,H175)*POWER(Upgrades!$P$17,I175)*POWER(Upgrades!$P$18,J175)*POWER(Upgrades!$P$19,K175)*POWER(Upgrades!$P$20,L175)*POWER(Upgrades!$P$21,M175)*$F$6*60</f>
        <v/>
      </c>
      <c r="AC175" s="27">
        <f>(IF(G175=0,0,(Upgrades!$J$15+G175*Upgrades!$K$15)*POWER(Upgrades!$L$15,G175)))*(IF(Upgrades!$T$13="Microlensing",POWER(Upgrades!$U$13,E175),1)*IF(Upgrades!$T$14="Microlensing",POWER(Upgrades!$U$14,F175),1)*IF(Upgrades!$T$16="Microlensing",POWER(Upgrades!$U$16,H175),1)*IF(Upgrades!$T$17="Microlensing",POWER(Upgrades!$U$17,I175),1)*IF(Upgrades!$T$18="Microlensing",POWER(Upgrades!$U$18,J175),1)*IF(Upgrades!$T$19="Microlensing",POWER(Upgrades!$U$19,K175),1)*IF(Upgrades!$T$20="Microlensing",POWER(Upgrades!$U$20,L175),1)*IF(Upgrades!$T$21="Microlensing",POWER(Upgrades!$U$21,M175),1))*POWER(Upgrades!$Q$13,E175)*POWER(Upgrades!$Q$14,F175)*POWER(Upgrades!$Q$15,G175)*POWER(Upgrades!$Q$16,H175)*POWER(Upgrades!$Q$17,I175)*POWER(Upgrades!$Q$18,J175)*POWER(Upgrades!$Q$19,K175)*POWER(Upgrades!$Q$20,L175)*POWER(Upgrades!$Q$21,M175)*$G$6*(Parameters!$B$10*Parameters!$B$11+Q175*60)</f>
        <v/>
      </c>
      <c r="AD175" s="27">
        <f>(IF(H175=0,0,(Upgrades!$M$16+H175*Upgrades!$N$16)*POWER(Upgrades!$O$16,H175)))*(IF(Upgrades!$T$13="Roche Lobe Overflow",POWER(Upgrades!$U$13,E175),1)*IF(Upgrades!$T$14="Roche Lobe Overflow",POWER(Upgrades!$U$14,F175),1)*IF(Upgrades!$T$15="Roche Lobe Overflow",POWER(Upgrades!$U$15,G175),1)*IF(Upgrades!$T$17="Roche Lobe Overflow",POWER(Upgrades!$U$17,I175),1)*IF(Upgrades!$T$18="Roche Lobe Overflow",POWER(Upgrades!$U$18,J175),1)*IF(Upgrades!$T$19="Roche Lobe Overflow",POWER(Upgrades!$U$19,K175),1)*IF(Upgrades!$T$20="Roche Lobe Overflow",POWER(Upgrades!$U$20,L175),1)*IF(Upgrades!$T$21="Roche Lobe Overflow",POWER(Upgrades!$U$21,M175),1))*POWER(Upgrades!$R$13,E175)*POWER(Upgrades!$R$14,F175)*POWER(Upgrades!$R$15,G175)*POWER(Upgrades!$R$16,H175)*POWER(Upgrades!$R$17,I175)*POWER(Upgrades!$R$18,J175)*POWER(Upgrades!$R$19,K175)*POWER(Upgrades!$R$20,L175)*POWER(Upgrades!$R$21,M175)*$H$6*O175*60</f>
        <v/>
      </c>
      <c r="AE175" s="27">
        <f>(IF(I175=0,0,(Upgrades!$G$17+I175*Upgrades!$H$17)*POWER(Upgrades!$I$17,I175)))*(IF(Upgrades!$T$13="Brown Dwarf",POWER(Upgrades!$U$13,E175),1)*IF(Upgrades!$T$14="Brown Dwarf",POWER(Upgrades!$U$14,F175),1)*IF(Upgrades!$T$15="Brown Dwarf",POWER(Upgrades!$U$15,G175),1)*IF(Upgrades!$T$16="Brown Dwarf",POWER(Upgrades!$U$16,H175),1)*IF(Upgrades!$T$18="Brown Dwarf",POWER(Upgrades!$U$18,J175),1)*IF(Upgrades!$T$19="Brown Dwarf",POWER(Upgrades!$U$19,K175),1)*IF(Upgrades!$T$20="Brown Dwarf",POWER(Upgrades!$U$20,L175),1)*IF(Upgrades!$T$21="Brown Dwarf",POWER(Upgrades!$U$21,M175),1))*POWER(Upgrades!$P$13,E175)*POWER(Upgrades!$P$14,F175)*POWER(Upgrades!$P$15,G175)*POWER(Upgrades!$P$16,H175)*POWER(Upgrades!$P$17,I175)*POWER(Upgrades!$P$18,J175)*POWER(Upgrades!$P$19,K175)*POWER(Upgrades!$P$20,L175)*POWER(Upgrades!$P$21,M175)*$F$6*60</f>
        <v/>
      </c>
      <c r="AF175" s="27" t="n">
        <v>0</v>
      </c>
      <c r="AG175" s="27" t="n">
        <v>0</v>
      </c>
      <c r="AH175" s="27" t="n">
        <v>0</v>
      </c>
      <c r="AI175" s="27">
        <f>(IF(M175=0,0,(Upgrades!$G$21+M175*Upgrades!$H$21)*POWER(Upgrades!$I$21,M175)))*(IF(Upgrades!$T$13="Moving Group",POWER(Upgrades!$U$13,E175),1)*IF(Upgrades!$T$14="Moving Group",POWER(Upgrades!$U$14,F175),1)*IF(Upgrades!$T$15="Moving Group",POWER(Upgrades!$U$15,G175),1)*IF(Upgrades!$T$16="Moving Group",POWER(Upgrades!$U$16,H175),1)*IF(Upgrades!$T$17="Moving Group",POWER(Upgrades!$U$17,I175),1)*IF(Upgrades!$T$18="Moving Group",POWER(Upgrades!$U$18,J175),1)*IF(Upgrades!$T$19="Moving Group",POWER(Upgrades!$U$19,K175),1)*IF(Upgrades!$T$20="Moving Group",POWER(Upgrades!$U$20,L175),1))*POWER(Upgrades!$P$13,E175)*POWER(Upgrades!$P$14,F175)*POWER(Upgrades!$P$15,G175)*POWER(Upgrades!$P$16,H175)*POWER(Upgrades!$P$17,I175)*POWER(Upgrades!$P$18,J175)*POWER(Upgrades!$P$19,K175)*POWER(Upgrades!$P$20,L175)*POWER(Upgrades!$P$21,M175)*$F$6*60</f>
        <v/>
      </c>
      <c r="AJ175" s="27">
        <f>$C$6*60</f>
        <v/>
      </c>
      <c r="AK175" s="22">
        <f>IF(E175&gt;=Upgrades!$E$13,"",Upgrades!$C$13*POWER(Upgrades!$D$13,E175))</f>
        <v/>
      </c>
      <c r="AL175" s="22">
        <f>IF(F175&gt;=Upgrades!$E$14,"",Upgrades!$C$14*POWER(Upgrades!$D$14,F175))</f>
        <v/>
      </c>
      <c r="AM175" s="22">
        <f>IF(G175&gt;=Upgrades!$E$15,"",Upgrades!$C$15*POWER(Upgrades!$D$15,G175))</f>
        <v/>
      </c>
      <c r="AN175" s="22">
        <f>IF(H175&gt;=Upgrades!$E$16,"",Upgrades!$C$16*POWER(Upgrades!$D$16,H175))</f>
        <v/>
      </c>
      <c r="AO175" s="22">
        <f>IF(I175&gt;=Upgrades!$E$17,"",Upgrades!$C$17*POWER(Upgrades!$D$17,I175))</f>
        <v/>
      </c>
      <c r="AP175" s="22">
        <f>IF(J175&gt;=Upgrades!$E$18,"",Upgrades!$C$18*POWER(Upgrades!$D$18,J175))</f>
        <v/>
      </c>
      <c r="AQ175" s="22">
        <f>IF(K175&gt;=Upgrades!$E$19,"",Upgrades!$C$19*POWER(Upgrades!$D$19,K175))</f>
        <v/>
      </c>
      <c r="AR175" s="22">
        <f>IF(L175&gt;=Upgrades!$E$20,"",Upgrades!$C$20*POWER(Upgrades!$D$20,L175))</f>
        <v/>
      </c>
      <c r="AS175" s="22">
        <f>IF(M175&gt;=Upgrades!$E$21,"",Upgrades!$C$21*POWER(Upgrades!$D$21,M175))</f>
        <v/>
      </c>
      <c r="AT175" s="26">
        <f>IF(AND(D175&gt;=Parameters!$B$18*Parameters!$B$19,(I175&gt;=Upgrades!$E$17)*(M175&gt;=Upgrades!$E$21)=1,N175=0),1,"")</f>
        <v/>
      </c>
      <c r="AU175" s="26">
        <f>IF(AND(D175&gt;=Parameters!$B$18*Parameters!$B$19,N175=0),1,"")</f>
        <v/>
      </c>
      <c r="AV175" s="22">
        <f>MIN(IF(ISNUMBER(AP175),AP175,9E15),IF(ISNUMBER(AQ175),AQ175,9E15),IF(ISNUMBER(AR175),AR175,9E15),IF(ISNUMBER(AS175),AS175,9E15))</f>
        <v/>
      </c>
      <c r="AW175" s="22">
        <f>MIN(IF(ISNUMBER(AK175),AK175,9E15),IF(ISNUMBER(AL175),AL175,9E15),IF(ISNUMBER(AM175),AM175,9E15),IF(ISNUMBER(AN175),AN175,9E15),IF(ISNUMBER(AO175),AO175,9E15))</f>
        <v/>
      </c>
      <c r="AX175" s="29">
        <f>IF(BD175&gt;Parameters!$B$21*(MAX(IF(AND(NOT(AND(AU175=1,AT175&lt;&gt;1)),ISNUMBER(AK175),AK175&lt;=(C175+T175)),AY175,0),IF(AND(NOT(AND(AU175=1,AT175&lt;&gt;1)),ISNUMBER(AL175),AL175&lt;=(C175+T175)),AZ175,0),IF(AND(NOT(AND(AU175=1,AT175&lt;&gt;1)),ISNUMBER(AM175),AM175&lt;=(C175+T175)),BA175,0),IF(AND(NOT(AND(AU175=1,AT175&lt;&gt;1)),ISNUMBER(AN175),AN175&lt;=(C175+T175)),BB175,0),IF(AND(ISNUMBER(AO175),AO175&lt;=(C175+T175)),BC175,0))),TRUE,FALSE)</f>
        <v/>
      </c>
      <c r="AY175" s="32">
        <f>IFERROR(Upgrades!$H$13*(POWER(Upgrades!$P$13,E175)*POWER(Upgrades!$P$14,F175)*POWER(Upgrades!$P$15,G175)*POWER(Upgrades!$P$16,H175)*POWER(Upgrades!$P$17,I175)*POWER(Upgrades!$P$18,J175)*POWER(Upgrades!$P$19,K175)*POWER(Upgrades!$P$20,L175)*POWER(Upgrades!$P$21,M175))*(IF(Upgrades!$T$14="Stellar Kinematics",POWER(Upgrades!$U$14,F175),1)*IF(Upgrades!$T$15="Stellar Kinematics",POWER(Upgrades!$U$15,G175),1)*IF(Upgrades!$T$16="Stellar Kinematics",POWER(Upgrades!$U$16,H175),1)*IF(Upgrades!$T$17="Stellar Kinematics",POWER(Upgrades!$U$17,I175),1)*IF(Upgrades!$T$18="Stellar Kinematics",POWER(Upgrades!$U$18,J175),1)*IF(Upgrades!$T$19="Stellar Kinematics",POWER(Upgrades!$U$19,K175),1)*IF(Upgrades!$T$20="Stellar Kinematics",POWER(Upgrades!$U$20,L175),1)*IF(Upgrades!$T$21="Stellar Kinematics",POWER(Upgrades!$U$21,M175),1))*$F$6/AK175,0)</f>
        <v/>
      </c>
      <c r="AZ175" s="32">
        <f>IFERROR(Upgrades!$H$14*(POWER(Upgrades!$P$13,E175)*POWER(Upgrades!$P$14,F175)*POWER(Upgrades!$P$15,G175)*POWER(Upgrades!$P$16,H175)*POWER(Upgrades!$P$17,I175)*POWER(Upgrades!$P$18,J175)*POWER(Upgrades!$P$19,K175)*POWER(Upgrades!$P$20,L175)*POWER(Upgrades!$P$21,M175))*(IF(Upgrades!$T$13="Local Bubble",POWER(Upgrades!$U$13,E175),1)*IF(Upgrades!$T$15="Local Bubble",POWER(Upgrades!$U$15,G175),1)*IF(Upgrades!$T$16="Local Bubble",POWER(Upgrades!$U$16,H175),1)*IF(Upgrades!$T$17="Local Bubble",POWER(Upgrades!$U$17,I175),1)*IF(Upgrades!$T$18="Local Bubble",POWER(Upgrades!$U$18,J175),1)*IF(Upgrades!$T$19="Local Bubble",POWER(Upgrades!$U$19,K175),1)*IF(Upgrades!$T$20="Local Bubble",POWER(Upgrades!$U$20,L175),1)*IF(Upgrades!$T$21="Local Bubble",POWER(Upgrades!$U$21,M175),1))*$F$6/AL175,0)</f>
        <v/>
      </c>
      <c r="BA175" s="32">
        <f>IFERROR(Upgrades!$K$15*(POWER(Upgrades!$Q$13,E175)*POWER(Upgrades!$Q$14,F175)*POWER(Upgrades!$Q$15,G175)*POWER(Upgrades!$Q$16,H175)*POWER(Upgrades!$Q$17,I175)*POWER(Upgrades!$Q$18,J175)*POWER(Upgrades!$Q$19,K175)*POWER(Upgrades!$Q$20,L175)*POWER(Upgrades!$Q$21,M175))*(IF(Upgrades!$T$13="Microlensing",POWER(Upgrades!$U$13,E175),1)*IF(Upgrades!$T$14="Microlensing",POWER(Upgrades!$U$14,F175),1)*IF(Upgrades!$T$16="Microlensing",POWER(Upgrades!$U$16,H175),1)*IF(Upgrades!$T$17="Microlensing",POWER(Upgrades!$U$17,I175),1)*IF(Upgrades!$T$18="Microlensing",POWER(Upgrades!$U$18,J175),1)*IF(Upgrades!$T$19="Microlensing",POWER(Upgrades!$U$19,K175),1)*IF(Upgrades!$T$20="Microlensing",POWER(Upgrades!$U$20,L175),1)*IF(Upgrades!$T$21="Microlensing",POWER(Upgrades!$U$21,M175),1))*$G$6*(Parameters!$B$10/60*Parameters!$B$11+Q175)/AM175,0)</f>
        <v/>
      </c>
      <c r="BB175" s="32">
        <f>IFERROR((Upgrades!$N$16*(POWER(Upgrades!$R$13,E175)*POWER(Upgrades!$R$14,F175)*POWER(Upgrades!$R$15,G175)*POWER(Upgrades!$R$16,H175)*POWER(Upgrades!$R$17,I175)*POWER(Upgrades!$R$18,J175)*POWER(Upgrades!$R$19,K175)*POWER(Upgrades!$R$20,L175)*POWER(Upgrades!$R$21,M175))*(IF(Upgrades!$T$13="Roche Lobe Overflow",POWER(Upgrades!$U$13,E175),1)*IF(Upgrades!$T$14="Roche Lobe Overflow",POWER(Upgrades!$U$14,F175),1)*IF(Upgrades!$T$15="Roche Lobe Overflow",POWER(Upgrades!$U$15,G175),1)*IF(Upgrades!$T$17="Roche Lobe Overflow",POWER(Upgrades!$U$17,I175),1)*IF(Upgrades!$T$18="Roche Lobe Overflow",POWER(Upgrades!$U$18,J175),1)*IF(Upgrades!$T$19="Roche Lobe Overflow",POWER(Upgrades!$U$19,K175),1)*IF(Upgrades!$T$20="Roche Lobe Overflow",POWER(Upgrades!$U$20,L175),1)*IF(Upgrades!$T$21="Roche Lobe Overflow",POWER(Upgrades!$U$21,M175),1))*$H$6*O175+((IF(F175=0,0,(Upgrades!$G$14+F175*Upgrades!$H$14)*POWER(Upgrades!$I$14,F175)))*(IF(Upgrades!$T$13="Local Bubble",POWER(Upgrades!$U$13,E175),1)*IF(Upgrades!$T$15="Local Bubble",POWER(Upgrades!$U$15,G175),1)*IF(Upgrades!$T$16="Local Bubble",POWER(Upgrades!$U$16,H175),1)*IF(Upgrades!$T$17="Local Bubble",POWER(Upgrades!$U$17,I175),1)*IF(Upgrades!$T$18="Local Bubble",POWER(Upgrades!$U$18,J175),1)*IF(Upgrades!$T$19="Local Bubble",POWER(Upgrades!$U$19,K175),1)*IF(Upgrades!$T$20="Local Bubble",POWER(Upgrades!$U$20,L175),1)*IF(Upgrades!$T$21="Local Bubble",POWER(Upgrades!$U$21,M175),1))*POWER(Upgrades!$P$13,E175)*POWER(Upgrades!$P$14,F175)*POWER(Upgrades!$P$15,G175)*POWER(Upgrades!$P$16,H175)*POWER(Upgrades!$P$17,I175)*POWER(Upgrades!$P$18,J175)*POWER(Upgrades!$P$19,K175)*POWER(Upgrades!$P$20,L175)*POWER(Upgrades!$P$21,M175)*$F$6)*0.05)/AN175,0)</f>
        <v/>
      </c>
      <c r="BC175" s="32">
        <f>IFERROR((Upgrades!$H$17*(POWER(Upgrades!$P$13,E175)*POWER(Upgrades!$P$14,F175)*POWER(Upgrades!$P$15,G175)*POWER(Upgrades!$P$16,H175)*POWER(Upgrades!$P$17,I175)*POWER(Upgrades!$P$18,J175)*POWER(Upgrades!$P$19,K175)*POWER(Upgrades!$P$20,L175)*POWER(Upgrades!$P$21,M175))*(IF(Upgrades!$T$13="Brown Dwarf",POWER(Upgrades!$U$13,E175),1)*IF(Upgrades!$T$14="Brown Dwarf",POWER(Upgrades!$U$14,F175),1)*IF(Upgrades!$T$15="Brown Dwarf",POWER(Upgrades!$U$15,G175),1)*IF(Upgrades!$T$16="Brown Dwarf",POWER(Upgrades!$U$16,H175),1)*IF(Upgrades!$T$18="Brown Dwarf",POWER(Upgrades!$U$18,J175),1)*IF(Upgrades!$T$19="Brown Dwarf",POWER(Upgrades!$U$19,K175),1)*IF(Upgrades!$T$20="Brown Dwarf",POWER(Upgrades!$U$20,L175),1)*IF(Upgrades!$T$21="Brown Dwarf",POWER(Upgrades!$U$21,M175),1))*$F$6+(((IF(H175=0,0,(Upgrades!$M$16+H175*Upgrades!$N$16)*POWER(Upgrades!$O$16,H175)))*(IF(Upgrades!$T$13="Roche Lobe Overflow",POWER(Upgrades!$U$13,E175),1)*IF(Upgrades!$T$14="Roche Lobe Overflow",POWER(Upgrades!$U$14,F175),1)*IF(Upgrades!$T$15="Roche Lobe Overflow",POWER(Upgrades!$U$15,G175),1)*IF(Upgrades!$T$17="Roche Lobe Overflow",POWER(Upgrades!$U$17,I175),1)*IF(Upgrades!$T$18="Roche Lobe Overflow",POWER(Upgrades!$U$18,J175),1)*IF(Upgrades!$T$19="Roche Lobe Overflow",POWER(Upgrades!$U$19,K175),1)*IF(Upgrades!$T$20="Roche Lobe Overflow",POWER(Upgrades!$U$20,L175),1)*IF(Upgrades!$T$21="Roche Lobe Overflow",POWER(Upgrades!$U$21,M175),1))*POWER(Upgrades!$R$13,E175)*POWER(Upgrades!$R$14,F175)*POWER(Upgrades!$R$15,G175)*POWER(Upgrades!$R$16,H175)*POWER(Upgrades!$R$17,I175)*POWER(Upgrades!$R$18,J175)*POWER(Upgrades!$R$19,K175)*POWER(Upgrades!$R$20,L175)*POWER(Upgrades!$R$21,M175)*$H$6)*O175)*0.10)/AO175,0)</f>
        <v/>
      </c>
      <c r="BD175" s="32">
        <f>MAX(IF(J175&gt;0,0,IFERROR(0.5*((IF(G175=0,0,(Upgrades!$J$15+G175*Upgrades!$K$15)*POWER(Upgrades!$L$15,G175)))*(IF(Upgrades!$T$13="Microlensing",POWER(Upgrades!$U$13,E175),1)*IF(Upgrades!$T$14="Microlensing",POWER(Upgrades!$U$14,F175),1)*IF(Upgrades!$T$16="Microlensing",POWER(Upgrades!$U$16,H175),1)*IF(Upgrades!$T$17="Microlensing",POWER(Upgrades!$U$17,I175),1)*IF(Upgrades!$T$18="Microlensing",POWER(Upgrades!$U$18,J175),1)*IF(Upgrades!$T$19="Microlensing",POWER(Upgrades!$U$19,K175),1)*IF(Upgrades!$T$20="Microlensing",POWER(Upgrades!$U$20,L175),1)*IF(Upgrades!$T$21="Microlensing",POWER(Upgrades!$U$21,M175),1))*(POWER(Upgrades!$Q$13,E175)*POWER(Upgrades!$Q$14,F175)*POWER(Upgrades!$Q$15,G175)*POWER(Upgrades!$Q$16,H175)*POWER(Upgrades!$Q$17,I175)*POWER(Upgrades!$Q$18,J175)*POWER(Upgrades!$Q$19,K175)*POWER(Upgrades!$Q$20,L175)*POWER(Upgrades!$Q$21,M175))*$G$6*(Parameters!$B$10/60*Parameters!$B$11+Q175))/Upgrades!$C$18,0)),IF(K175&gt;0,0,IFERROR(0.30*P175/Upgrades!$C$19,0)),IF(L175&gt;0,0,IFERROR(0.0001/Upgrades!$C$20,0)),IF(M175&gt;0,0,IFERROR((6.0*(POWER(Upgrades!$P$13,E175)*POWER(Upgrades!$P$14,F175)*POWER(Upgrades!$P$15,G175)*POWER(Upgrades!$P$16,H175)*POWER(Upgrades!$P$17,I175)*POWER(Upgrades!$P$18,J175)*POWER(Upgrades!$P$19,K175)*POWER(Upgrades!$P$20,L175)*POWER(Upgrades!$P$21,M175))*$F$6+0.20*O175*(Parameters!$B$10/60*Parameters!$B$11+Q175))/Upgrades!$C$21,0)),IF(AND(ISNUMBER(AK175),AK175&gt;(C175+T175)),AY175,0),IF(AND(ISNUMBER(AL175),AL175&gt;(C175+T175)),AZ175,0),IF(AND(ISNUMBER(AM175),AM175&gt;(C175+T175)),BA175,0),IF(AND(ISNUMBER(AN175),AN175&gt;(C175+T175)),BB175,0),IF(AND(ISNUMBER(AO175),AO175&gt;(C175+T175)),BC175,0))</f>
        <v/>
      </c>
      <c r="BE175" s="29">
        <f>IF(AT175=1,"transition",IF(MIN(IF(AND(J175=0,ISNUMBER(AP175),AP175&lt;=(C175+T175)),AP175,9E15),IF(AND(K175=0,ISNUMBER(AQ175),AQ175&lt;=(C175+T175)),AQ175,9E15),IF(AND(L175=0,ISNUMBER(AR175),AR175&lt;=(C175+T175)),AR175,9E15),IF(AND(M175=0,ISNUMBER(AS175),AS175&lt;=(C175+T175)),AS175,9E15))&lt;9E15,IF(AND(AND(J175=0,ISNUMBER(AP175),AP175&lt;=(C175+T175)),AP175=MIN(IF(AND(J175=0,ISNUMBER(AP175),AP175&lt;=(C175+T175)),AP175,9E15),IF(AND(K175=0,ISNUMBER(AQ175),AQ175&lt;=(C175+T175)),AQ175,9E15),IF(AND(L175=0,ISNUMBER(AR175),AR175&lt;=(C175+T175)),AR175,9E15),IF(AND(M175=0,ISNUMBER(AS175),AS175&lt;=(C175+T175)),AS175,9E15))),"BiP",IF(AND(AND(K175=0,ISNUMBER(AQ175),AQ175&lt;=(C175+T175)),AQ175=MIN(IF(AND(J175=0,ISNUMBER(AP175),AP175&lt;=(C175+T175)),AP175,9E15),IF(AND(K175=0,ISNUMBER(AQ175),AQ175&lt;=(C175+T175)),AQ175,9E15),IF(AND(L175=0,ISNUMBER(AR175),AR175&lt;=(C175+T175)),AR175,9E15),IF(AND(M175=0,ISNUMBER(AS175),AS175&lt;=(C175+T175)),AS175,9E15))),"PV",IF(AND(AND(L175=0,ISNUMBER(AR175),AR175&lt;=(C175+T175)),AR175=MIN(IF(AND(J175=0,ISNUMBER(AP175),AP175&lt;=(C175+T175)),AP175,9E15),IF(AND(K175=0,ISNUMBER(AQ175),AQ175&lt;=(C175+T175)),AQ175,9E15),IF(AND(L175=0,ISNUMBER(AR175),AR175&lt;=(C175+T175)),AR175,9E15),IF(AND(M175=0,ISNUMBER(AS175),AS175&lt;=(C175+T175)),AS175,9E15))),"OC","MG"))),IF(AX175=TRUE,"",IF(MAX(IF(AND(NOT(AND(AU175=1,AT175&lt;&gt;1)),ISNUMBER(AK175),AK175&lt;=(C175+T175)),AY175,0),IF(AND(NOT(AND(AU175=1,AT175&lt;&gt;1)),ISNUMBER(AL175),AL175&lt;=(C175+T175)),AZ175,0),IF(AND(NOT(AND(AU175=1,AT175&lt;&gt;1)),ISNUMBER(AM175),AM175&lt;=(C175+T175)),BA175,0),IF(AND(NOT(AND(AU175=1,AT175&lt;&gt;1)),ISNUMBER(AN175),AN175&lt;=(C175+T175)),BB175,0),IF(AND(ISNUMBER(AO175),AO175&lt;=(C175+T175)),BC175,0))&lt;=0,"",IF(AND(IF(AND(NOT(AND(AU175=1,AT175&lt;&gt;1)),ISNUMBER(AK175),AK175&lt;=(C175+T175)),AY175,0)&gt;0,IF(AND(NOT(AND(AU175=1,AT175&lt;&gt;1)),ISNUMBER(AK175),AK175&lt;=(C175+T175)),AY175,0)=MAX(IF(AND(NOT(AND(AU175=1,AT175&lt;&gt;1)),ISNUMBER(AK175),AK175&lt;=(C175+T175)),AY175,0),IF(AND(NOT(AND(AU175=1,AT175&lt;&gt;1)),ISNUMBER(AL175),AL175&lt;=(C175+T175)),AZ175,0),IF(AND(NOT(AND(AU175=1,AT175&lt;&gt;1)),ISNUMBER(AM175),AM175&lt;=(C175+T175)),BA175,0),IF(AND(NOT(AND(AU175=1,AT175&lt;&gt;1)),ISNUMBER(AN175),AN175&lt;=(C175+T175)),BB175,0),IF(AND(ISNUMBER(AO175),AO175&lt;=(C175+T175)),BC175,0))),"SK",IF(AND(IF(AND(NOT(AND(AU175=1,AT175&lt;&gt;1)),ISNUMBER(AL175),AL175&lt;=(C175+T175)),AZ175,0)&gt;0,IF(AND(NOT(AND(AU175=1,AT175&lt;&gt;1)),ISNUMBER(AL175),AL175&lt;=(C175+T175)),AZ175,0)=MAX(IF(AND(NOT(AND(AU175=1,AT175&lt;&gt;1)),ISNUMBER(AK175),AK175&lt;=(C175+T175)),AY175,0),IF(AND(NOT(AND(AU175=1,AT175&lt;&gt;1)),ISNUMBER(AL175),AL175&lt;=(C175+T175)),AZ175,0),IF(AND(NOT(AND(AU175=1,AT175&lt;&gt;1)),ISNUMBER(AM175),AM175&lt;=(C175+T175)),BA175,0),IF(AND(NOT(AND(AU175=1,AT175&lt;&gt;1)),ISNUMBER(AN175),AN175&lt;=(C175+T175)),BB175,0),IF(AND(ISNUMBER(AO175),AO175&lt;=(C175+T175)),BC175,0))),"LB",IF(AND(IF(AND(NOT(AND(AU175=1,AT175&lt;&gt;1)),ISNUMBER(AM175),AM175&lt;=(C175+T175)),BA175,0)&gt;0,IF(AND(NOT(AND(AU175=1,AT175&lt;&gt;1)),ISNUMBER(AM175),AM175&lt;=(C175+T175)),BA175,0)=MAX(IF(AND(NOT(AND(AU175=1,AT175&lt;&gt;1)),ISNUMBER(AK175),AK175&lt;=(C175+T175)),AY175,0),IF(AND(NOT(AND(AU175=1,AT175&lt;&gt;1)),ISNUMBER(AL175),AL175&lt;=(C175+T175)),AZ175,0),IF(AND(NOT(AND(AU175=1,AT175&lt;&gt;1)),ISNUMBER(AM175),AM175&lt;=(C175+T175)),BA175,0),IF(AND(NOT(AND(AU175=1,AT175&lt;&gt;1)),ISNUMBER(AN175),AN175&lt;=(C175+T175)),BB175,0),IF(AND(ISNUMBER(AO175),AO175&lt;=(C175+T175)),BC175,0))),"ML",IF(AND(IF(AND(NOT(AND(AU175=1,AT175&lt;&gt;1)),ISNUMBER(AN175),AN175&lt;=(C175+T175)),BB175,0)&gt;0,IF(AND(NOT(AND(AU175=1,AT175&lt;&gt;1)),ISNUMBER(AN175),AN175&lt;=(C175+T175)),BB175,0)=MAX(IF(AND(NOT(AND(AU175=1,AT175&lt;&gt;1)),ISNUMBER(AK175),AK175&lt;=(C175+T175)),AY175,0),IF(AND(NOT(AND(AU175=1,AT175&lt;&gt;1)),ISNUMBER(AL175),AL175&lt;=(C175+T175)),AZ175,0),IF(AND(NOT(AND(AU175=1,AT175&lt;&gt;1)),ISNUMBER(AM175),AM175&lt;=(C175+T175)),BA175,0),IF(AND(NOT(AND(AU175=1,AT175&lt;&gt;1)),ISNUMBER(AN175),AN175&lt;=(C175+T175)),BB175,0),IF(AND(ISNUMBER(AO175),AO175&lt;=(C175+T175)),BC175,0))),"RLO","BD"))))))))</f>
        <v/>
      </c>
    </row>
    <row r="176">
      <c r="A176" s="26" t="n">
        <v>165</v>
      </c>
      <c r="B176" s="27">
        <f>A176*10/60</f>
        <v/>
      </c>
      <c r="C176" s="22">
        <f>X175</f>
        <v/>
      </c>
      <c r="D176" s="27">
        <f>D175+W175</f>
        <v/>
      </c>
      <c r="E176" s="26">
        <f>E175+IF(U175="SK",1,0)</f>
        <v/>
      </c>
      <c r="F176" s="26">
        <f>F175+IF(U175="LB",1,0)</f>
        <v/>
      </c>
      <c r="G176" s="26">
        <f>G175+IF(U175="ML",1,0)</f>
        <v/>
      </c>
      <c r="H176" s="26">
        <f>H175+IF(U175="RLO",1,0)</f>
        <v/>
      </c>
      <c r="I176" s="26">
        <f>I175+IF(U175="BD",1,0)</f>
        <v/>
      </c>
      <c r="J176" s="26">
        <f>MAX(J175,IF(U175="BiP",1,0))</f>
        <v/>
      </c>
      <c r="K176" s="26">
        <f>MAX(K175,IF(U175="PV",1,0))</f>
        <v/>
      </c>
      <c r="L176" s="26">
        <f>MAX(L175,IF(U175="OC",1,0))</f>
        <v/>
      </c>
      <c r="M176" s="26">
        <f>MAX(M175,IF(U175="MG",1,0))</f>
        <v/>
      </c>
      <c r="N176" s="26">
        <f>MAX(N175,IF(U175="transition",1,0))</f>
        <v/>
      </c>
      <c r="O176" s="28">
        <f>(Parameters!$B$9+(IF(E176=0,0,(Upgrades!$J$13+E176*Upgrades!$K$13)*POWER(Upgrades!$L$13,E176)))*(IF(Upgrades!$T$14="Stellar Kinematics",POWER(Upgrades!$U$14,F176),1)*IF(Upgrades!$T$15="Stellar Kinematics",POWER(Upgrades!$U$15,G176),1)*IF(Upgrades!$T$16="Stellar Kinematics",POWER(Upgrades!$U$16,H176),1)*IF(Upgrades!$T$17="Stellar Kinematics",POWER(Upgrades!$U$17,I176),1)*IF(Upgrades!$T$18="Stellar Kinematics",POWER(Upgrades!$U$18,J176),1)*IF(Upgrades!$T$19="Stellar Kinematics",POWER(Upgrades!$U$19,K176),1)*IF(Upgrades!$T$20="Stellar Kinematics",POWER(Upgrades!$U$20,L176),1)*IF(Upgrades!$T$21="Stellar Kinematics",POWER(Upgrades!$U$21,M176),1))+(IF(F176=0,0,(Upgrades!$J$14+F176*Upgrades!$K$14)*POWER(Upgrades!$L$14,F176)))*(IF(Upgrades!$T$13="Local Bubble",POWER(Upgrades!$U$13,E176),1)*IF(Upgrades!$T$15="Local Bubble",POWER(Upgrades!$U$15,G176),1)*IF(Upgrades!$T$16="Local Bubble",POWER(Upgrades!$U$16,H176),1)*IF(Upgrades!$T$17="Local Bubble",POWER(Upgrades!$U$17,I176),1)*IF(Upgrades!$T$18="Local Bubble",POWER(Upgrades!$U$18,J176),1)*IF(Upgrades!$T$19="Local Bubble",POWER(Upgrades!$U$19,K176),1)*IF(Upgrades!$T$20="Local Bubble",POWER(Upgrades!$U$20,L176),1)*IF(Upgrades!$T$21="Local Bubble",POWER(Upgrades!$U$21,M176),1))+(IF(G176=0,0,(Upgrades!$J$15+G176*Upgrades!$K$15)*POWER(Upgrades!$L$15,G176)))*(IF(Upgrades!$T$13="Microlensing",POWER(Upgrades!$U$13,E176),1)*IF(Upgrades!$T$14="Microlensing",POWER(Upgrades!$U$14,F176),1)*IF(Upgrades!$T$16="Microlensing",POWER(Upgrades!$U$16,H176),1)*IF(Upgrades!$T$17="Microlensing",POWER(Upgrades!$U$17,I176),1)*IF(Upgrades!$T$18="Microlensing",POWER(Upgrades!$U$18,J176),1)*IF(Upgrades!$T$19="Microlensing",POWER(Upgrades!$U$19,K176),1)*IF(Upgrades!$T$20="Microlensing",POWER(Upgrades!$U$20,L176),1)*IF(Upgrades!$T$21="Microlensing",POWER(Upgrades!$U$21,M176),1))+(IF(H176=0,0,(Upgrades!$J$16+H176*Upgrades!$K$16)*POWER(Upgrades!$L$16,H176)))*(IF(Upgrades!$T$13="Roche Lobe Overflow",POWER(Upgrades!$U$13,E176),1)*IF(Upgrades!$T$14="Roche Lobe Overflow",POWER(Upgrades!$U$14,F176),1)*IF(Upgrades!$T$15="Roche Lobe Overflow",POWER(Upgrades!$U$15,G176),1)*IF(Upgrades!$T$17="Roche Lobe Overflow",POWER(Upgrades!$U$17,I176),1)*IF(Upgrades!$T$18="Roche Lobe Overflow",POWER(Upgrades!$U$18,J176),1)*IF(Upgrades!$T$19="Roche Lobe Overflow",POWER(Upgrades!$U$19,K176),1)*IF(Upgrades!$T$20="Roche Lobe Overflow",POWER(Upgrades!$U$20,L176),1)*IF(Upgrades!$T$21="Roche Lobe Overflow",POWER(Upgrades!$U$21,M176),1))+(IF(I176=0,0,(Upgrades!$J$17+I176*Upgrades!$K$17)*POWER(Upgrades!$L$17,I176)))*(IF(Upgrades!$T$13="Brown Dwarf",POWER(Upgrades!$U$13,E176),1)*IF(Upgrades!$T$14="Brown Dwarf",POWER(Upgrades!$U$14,F176),1)*IF(Upgrades!$T$15="Brown Dwarf",POWER(Upgrades!$U$15,G176),1)*IF(Upgrades!$T$16="Brown Dwarf",POWER(Upgrades!$U$16,H176),1)*IF(Upgrades!$T$18="Brown Dwarf",POWER(Upgrades!$U$18,J176),1)*IF(Upgrades!$T$19="Brown Dwarf",POWER(Upgrades!$U$19,K176),1)*IF(Upgrades!$T$20="Brown Dwarf",POWER(Upgrades!$U$20,L176),1)*IF(Upgrades!$T$21="Brown Dwarf",POWER(Upgrades!$U$21,M176),1))+(IF(J176=0,0,(Upgrades!$J$18+J176*Upgrades!$K$18)*POWER(Upgrades!$L$18,J176)))*(IF(Upgrades!$T$13="Binary Partner",POWER(Upgrades!$U$13,E176),1)*IF(Upgrades!$T$14="Binary Partner",POWER(Upgrades!$U$14,F176),1)*IF(Upgrades!$T$15="Binary Partner",POWER(Upgrades!$U$15,G176),1)*IF(Upgrades!$T$16="Binary Partner",POWER(Upgrades!$U$16,H176),1)*IF(Upgrades!$T$17="Binary Partner",POWER(Upgrades!$U$17,I176),1)*IF(Upgrades!$T$19="Binary Partner",POWER(Upgrades!$U$19,K176),1)*IF(Upgrades!$T$20="Binary Partner",POWER(Upgrades!$U$20,L176),1)*IF(Upgrades!$T$21="Binary Partner",POWER(Upgrades!$U$21,M176),1))+(IF(K176=0,0,(Upgrades!$J$19+K176*Upgrades!$K$19)*POWER(Upgrades!$L$19,K176)))*(IF(Upgrades!$T$13="Peculiar Velocity",POWER(Upgrades!$U$13,E176),1)*IF(Upgrades!$T$14="Peculiar Velocity",POWER(Upgrades!$U$14,F176),1)*IF(Upgrades!$T$15="Peculiar Velocity",POWER(Upgrades!$U$15,G176),1)*IF(Upgrades!$T$16="Peculiar Velocity",POWER(Upgrades!$U$16,H176),1)*IF(Upgrades!$T$17="Peculiar Velocity",POWER(Upgrades!$U$17,I176),1)*IF(Upgrades!$T$18="Peculiar Velocity",POWER(Upgrades!$U$18,J176),1)*IF(Upgrades!$T$20="Peculiar Velocity",POWER(Upgrades!$U$20,L176),1)*IF(Upgrades!$T$21="Peculiar Velocity",POWER(Upgrades!$U$21,M176),1))+(IF(L176=0,0,(Upgrades!$J$20+L176*Upgrades!$K$20)*POWER(Upgrades!$L$20,L176)))*(IF(Upgrades!$T$13="Open Cluster",POWER(Upgrades!$U$13,E176),1)*IF(Upgrades!$T$14="Open Cluster",POWER(Upgrades!$U$14,F176),1)*IF(Upgrades!$T$15="Open Cluster",POWER(Upgrades!$U$15,G176),1)*IF(Upgrades!$T$16="Open Cluster",POWER(Upgrades!$U$16,H176),1)*IF(Upgrades!$T$17="Open Cluster",POWER(Upgrades!$U$17,I176),1)*IF(Upgrades!$T$18="Open Cluster",POWER(Upgrades!$U$18,J176),1)*IF(Upgrades!$T$19="Open Cluster",POWER(Upgrades!$U$19,K176),1)*IF(Upgrades!$T$21="Open Cluster",POWER(Upgrades!$U$21,M176),1))+(IF(M176=0,0,(Upgrades!$J$21+M176*Upgrades!$K$21)*POWER(Upgrades!$L$21,M176)))*(IF(Upgrades!$T$13="Moving Group",POWER(Upgrades!$U$13,E176),1)*IF(Upgrades!$T$14="Moving Group",POWER(Upgrades!$U$14,F176),1)*IF(Upgrades!$T$15="Moving Group",POWER(Upgrades!$U$15,G176),1)*IF(Upgrades!$T$16="Moving Group",POWER(Upgrades!$U$16,H176),1)*IF(Upgrades!$T$17="Moving Group",POWER(Upgrades!$U$17,I176),1)*IF(Upgrades!$T$18="Moving Group",POWER(Upgrades!$U$18,J176),1)*IF(Upgrades!$T$19="Moving Group",POWER(Upgrades!$U$19,K176),1)*IF(Upgrades!$T$20="Moving Group",POWER(Upgrades!$U$20,L176),1)))*POWER(Upgrades!$Q$13,E176)*POWER(Upgrades!$Q$14,F176)*POWER(Upgrades!$Q$15,G176)*POWER(Upgrades!$Q$16,H176)*POWER(Upgrades!$Q$17,I176)*POWER(Upgrades!$Q$18,J176)*POWER(Upgrades!$Q$19,K176)*POWER(Upgrades!$Q$20,L176)*POWER(Upgrades!$Q$21,M176)*$G$6+$D$6</f>
        <v/>
      </c>
      <c r="P176" s="28">
        <f>((IF(E176=0,0,(Upgrades!$G$13+E176*Upgrades!$H$13)*POWER(Upgrades!$I$13,E176)))*(IF(Upgrades!$T$14="Stellar Kinematics",POWER(Upgrades!$U$14,F176),1)*IF(Upgrades!$T$15="Stellar Kinematics",POWER(Upgrades!$U$15,G176),1)*IF(Upgrades!$T$16="Stellar Kinematics",POWER(Upgrades!$U$16,H176),1)*IF(Upgrades!$T$17="Stellar Kinematics",POWER(Upgrades!$U$17,I176),1)*IF(Upgrades!$T$18="Stellar Kinematics",POWER(Upgrades!$U$18,J176),1)*IF(Upgrades!$T$19="Stellar Kinematics",POWER(Upgrades!$U$19,K176),1)*IF(Upgrades!$T$20="Stellar Kinematics",POWER(Upgrades!$U$20,L176),1)*IF(Upgrades!$T$21="Stellar Kinematics",POWER(Upgrades!$U$21,M176),1))+(IF(F176=0,0,(Upgrades!$G$14+F176*Upgrades!$H$14)*POWER(Upgrades!$I$14,F176)))*(IF(Upgrades!$T$13="Local Bubble",POWER(Upgrades!$U$13,E176),1)*IF(Upgrades!$T$15="Local Bubble",POWER(Upgrades!$U$15,G176),1)*IF(Upgrades!$T$16="Local Bubble",POWER(Upgrades!$U$16,H176),1)*IF(Upgrades!$T$17="Local Bubble",POWER(Upgrades!$U$17,I176),1)*IF(Upgrades!$T$18="Local Bubble",POWER(Upgrades!$U$18,J176),1)*IF(Upgrades!$T$19="Local Bubble",POWER(Upgrades!$U$19,K176),1)*IF(Upgrades!$T$20="Local Bubble",POWER(Upgrades!$U$20,L176),1)*IF(Upgrades!$T$21="Local Bubble",POWER(Upgrades!$U$21,M176),1))+(IF(G176=0,0,(Upgrades!$G$15+G176*Upgrades!$H$15)*POWER(Upgrades!$I$15,G176)))*(IF(Upgrades!$T$13="Microlensing",POWER(Upgrades!$U$13,E176),1)*IF(Upgrades!$T$14="Microlensing",POWER(Upgrades!$U$14,F176),1)*IF(Upgrades!$T$16="Microlensing",POWER(Upgrades!$U$16,H176),1)*IF(Upgrades!$T$17="Microlensing",POWER(Upgrades!$U$17,I176),1)*IF(Upgrades!$T$18="Microlensing",POWER(Upgrades!$U$18,J176),1)*IF(Upgrades!$T$19="Microlensing",POWER(Upgrades!$U$19,K176),1)*IF(Upgrades!$T$20="Microlensing",POWER(Upgrades!$U$20,L176),1)*IF(Upgrades!$T$21="Microlensing",POWER(Upgrades!$U$21,M176),1))+(IF(H176=0,0,(Upgrades!$G$16+H176*Upgrades!$H$16)*POWER(Upgrades!$I$16,H176)))*(IF(Upgrades!$T$13="Roche Lobe Overflow",POWER(Upgrades!$U$13,E176),1)*IF(Upgrades!$T$14="Roche Lobe Overflow",POWER(Upgrades!$U$14,F176),1)*IF(Upgrades!$T$15="Roche Lobe Overflow",POWER(Upgrades!$U$15,G176),1)*IF(Upgrades!$T$17="Roche Lobe Overflow",POWER(Upgrades!$U$17,I176),1)*IF(Upgrades!$T$18="Roche Lobe Overflow",POWER(Upgrades!$U$18,J176),1)*IF(Upgrades!$T$19="Roche Lobe Overflow",POWER(Upgrades!$U$19,K176),1)*IF(Upgrades!$T$20="Roche Lobe Overflow",POWER(Upgrades!$U$20,L176),1)*IF(Upgrades!$T$21="Roche Lobe Overflow",POWER(Upgrades!$U$21,M176),1))+(IF(I176=0,0,(Upgrades!$G$17+I176*Upgrades!$H$17)*POWER(Upgrades!$I$17,I176)))*(IF(Upgrades!$T$13="Brown Dwarf",POWER(Upgrades!$U$13,E176),1)*IF(Upgrades!$T$14="Brown Dwarf",POWER(Upgrades!$U$14,F176),1)*IF(Upgrades!$T$15="Brown Dwarf",POWER(Upgrades!$U$15,G176),1)*IF(Upgrades!$T$16="Brown Dwarf",POWER(Upgrades!$U$16,H176),1)*IF(Upgrades!$T$18="Brown Dwarf",POWER(Upgrades!$U$18,J176),1)*IF(Upgrades!$T$19="Brown Dwarf",POWER(Upgrades!$U$19,K176),1)*IF(Upgrades!$T$20="Brown Dwarf",POWER(Upgrades!$U$20,L176),1)*IF(Upgrades!$T$21="Brown Dwarf",POWER(Upgrades!$U$21,M176),1))+(IF(J176=0,0,(Upgrades!$G$18+J176*Upgrades!$H$18)*POWER(Upgrades!$I$18,J176)))*(IF(Upgrades!$T$13="Binary Partner",POWER(Upgrades!$U$13,E176),1)*IF(Upgrades!$T$14="Binary Partner",POWER(Upgrades!$U$14,F176),1)*IF(Upgrades!$T$15="Binary Partner",POWER(Upgrades!$U$15,G176),1)*IF(Upgrades!$T$16="Binary Partner",POWER(Upgrades!$U$16,H176),1)*IF(Upgrades!$T$17="Binary Partner",POWER(Upgrades!$U$17,I176),1)*IF(Upgrades!$T$19="Binary Partner",POWER(Upgrades!$U$19,K176),1)*IF(Upgrades!$T$20="Binary Partner",POWER(Upgrades!$U$20,L176),1)*IF(Upgrades!$T$21="Binary Partner",POWER(Upgrades!$U$21,M176),1))+(IF(K176=0,0,(Upgrades!$G$19+K176*Upgrades!$H$19)*POWER(Upgrades!$I$19,K176)))*(IF(Upgrades!$T$13="Peculiar Velocity",POWER(Upgrades!$U$13,E176),1)*IF(Upgrades!$T$14="Peculiar Velocity",POWER(Upgrades!$U$14,F176),1)*IF(Upgrades!$T$15="Peculiar Velocity",POWER(Upgrades!$U$15,G176),1)*IF(Upgrades!$T$16="Peculiar Velocity",POWER(Upgrades!$U$16,H176),1)*IF(Upgrades!$T$17="Peculiar Velocity",POWER(Upgrades!$U$17,I176),1)*IF(Upgrades!$T$18="Peculiar Velocity",POWER(Upgrades!$U$18,J176),1)*IF(Upgrades!$T$20="Peculiar Velocity",POWER(Upgrades!$U$20,L176),1)*IF(Upgrades!$T$21="Peculiar Velocity",POWER(Upgrades!$U$21,M176),1))+(IF(L176=0,0,(Upgrades!$G$20+L176*Upgrades!$H$20)*POWER(Upgrades!$I$20,L176)))*(IF(Upgrades!$T$13="Open Cluster",POWER(Upgrades!$U$13,E176),1)*IF(Upgrades!$T$14="Open Cluster",POWER(Upgrades!$U$14,F176),1)*IF(Upgrades!$T$15="Open Cluster",POWER(Upgrades!$U$15,G176),1)*IF(Upgrades!$T$16="Open Cluster",POWER(Upgrades!$U$16,H176),1)*IF(Upgrades!$T$17="Open Cluster",POWER(Upgrades!$U$17,I176),1)*IF(Upgrades!$T$18="Open Cluster",POWER(Upgrades!$U$18,J176),1)*IF(Upgrades!$T$19="Open Cluster",POWER(Upgrades!$U$19,K176),1)*IF(Upgrades!$T$21="Open Cluster",POWER(Upgrades!$U$21,M176),1))+(IF(M176=0,0,(Upgrades!$G$21+M176*Upgrades!$H$21)*POWER(Upgrades!$I$21,M176)))*(IF(Upgrades!$T$13="Moving Group",POWER(Upgrades!$U$13,E176),1)*IF(Upgrades!$T$14="Moving Group",POWER(Upgrades!$U$14,F176),1)*IF(Upgrades!$T$15="Moving Group",POWER(Upgrades!$U$15,G176),1)*IF(Upgrades!$T$16="Moving Group",POWER(Upgrades!$U$16,H176),1)*IF(Upgrades!$T$17="Moving Group",POWER(Upgrades!$U$17,I176),1)*IF(Upgrades!$T$18="Moving Group",POWER(Upgrades!$U$18,J176),1)*IF(Upgrades!$T$19="Moving Group",POWER(Upgrades!$U$19,K176),1)*IF(Upgrades!$T$20="Moving Group",POWER(Upgrades!$U$20,L176),1)))*POWER(Upgrades!$P$13,E176)*POWER(Upgrades!$P$14,F176)*POWER(Upgrades!$P$15,G176)*POWER(Upgrades!$P$16,H176)*POWER(Upgrades!$P$17,I176)*POWER(Upgrades!$P$18,J176)*POWER(Upgrades!$P$19,K176)*POWER(Upgrades!$P$20,L176)*POWER(Upgrades!$P$21,M176)*$F$6+$C$6</f>
        <v/>
      </c>
      <c r="Q176" s="28">
        <f>((IF(E176=0,0,(Upgrades!$M$13+E176*Upgrades!$N$13)*POWER(Upgrades!$O$13,E176)))*(IF(Upgrades!$T$14="Stellar Kinematics",POWER(Upgrades!$U$14,F176),1)*IF(Upgrades!$T$15="Stellar Kinematics",POWER(Upgrades!$U$15,G176),1)*IF(Upgrades!$T$16="Stellar Kinematics",POWER(Upgrades!$U$16,H176),1)*IF(Upgrades!$T$17="Stellar Kinematics",POWER(Upgrades!$U$17,I176),1)*IF(Upgrades!$T$18="Stellar Kinematics",POWER(Upgrades!$U$18,J176),1)*IF(Upgrades!$T$19="Stellar Kinematics",POWER(Upgrades!$U$19,K176),1)*IF(Upgrades!$T$20="Stellar Kinematics",POWER(Upgrades!$U$20,L176),1)*IF(Upgrades!$T$21="Stellar Kinematics",POWER(Upgrades!$U$21,M176),1))+(IF(F176=0,0,(Upgrades!$M$14+F176*Upgrades!$N$14)*POWER(Upgrades!$O$14,F176)))*(IF(Upgrades!$T$13="Local Bubble",POWER(Upgrades!$U$13,E176),1)*IF(Upgrades!$T$15="Local Bubble",POWER(Upgrades!$U$15,G176),1)*IF(Upgrades!$T$16="Local Bubble",POWER(Upgrades!$U$16,H176),1)*IF(Upgrades!$T$17="Local Bubble",POWER(Upgrades!$U$17,I176),1)*IF(Upgrades!$T$18="Local Bubble",POWER(Upgrades!$U$18,J176),1)*IF(Upgrades!$T$19="Local Bubble",POWER(Upgrades!$U$19,K176),1)*IF(Upgrades!$T$20="Local Bubble",POWER(Upgrades!$U$20,L176),1)*IF(Upgrades!$T$21="Local Bubble",POWER(Upgrades!$U$21,M176),1))+(IF(G176=0,0,(Upgrades!$M$15+G176*Upgrades!$N$15)*POWER(Upgrades!$O$15,G176)))*(IF(Upgrades!$T$13="Microlensing",POWER(Upgrades!$U$13,E176),1)*IF(Upgrades!$T$14="Microlensing",POWER(Upgrades!$U$14,F176),1)*IF(Upgrades!$T$16="Microlensing",POWER(Upgrades!$U$16,H176),1)*IF(Upgrades!$T$17="Microlensing",POWER(Upgrades!$U$17,I176),1)*IF(Upgrades!$T$18="Microlensing",POWER(Upgrades!$U$18,J176),1)*IF(Upgrades!$T$19="Microlensing",POWER(Upgrades!$U$19,K176),1)*IF(Upgrades!$T$20="Microlensing",POWER(Upgrades!$U$20,L176),1)*IF(Upgrades!$T$21="Microlensing",POWER(Upgrades!$U$21,M176),1))+(IF(H176=0,0,(Upgrades!$M$16+H176*Upgrades!$N$16)*POWER(Upgrades!$O$16,H176)))*(IF(Upgrades!$T$13="Roche Lobe Overflow",POWER(Upgrades!$U$13,E176),1)*IF(Upgrades!$T$14="Roche Lobe Overflow",POWER(Upgrades!$U$14,F176),1)*IF(Upgrades!$T$15="Roche Lobe Overflow",POWER(Upgrades!$U$15,G176),1)*IF(Upgrades!$T$17="Roche Lobe Overflow",POWER(Upgrades!$U$17,I176),1)*IF(Upgrades!$T$18="Roche Lobe Overflow",POWER(Upgrades!$U$18,J176),1)*IF(Upgrades!$T$19="Roche Lobe Overflow",POWER(Upgrades!$U$19,K176),1)*IF(Upgrades!$T$20="Roche Lobe Overflow",POWER(Upgrades!$U$20,L176),1)*IF(Upgrades!$T$21="Roche Lobe Overflow",POWER(Upgrades!$U$21,M176),1))+(IF(I176=0,0,(Upgrades!$M$17+I176*Upgrades!$N$17)*POWER(Upgrades!$O$17,I176)))*(IF(Upgrades!$T$13="Brown Dwarf",POWER(Upgrades!$U$13,E176),1)*IF(Upgrades!$T$14="Brown Dwarf",POWER(Upgrades!$U$14,F176),1)*IF(Upgrades!$T$15="Brown Dwarf",POWER(Upgrades!$U$15,G176),1)*IF(Upgrades!$T$16="Brown Dwarf",POWER(Upgrades!$U$16,H176),1)*IF(Upgrades!$T$18="Brown Dwarf",POWER(Upgrades!$U$18,J176),1)*IF(Upgrades!$T$19="Brown Dwarf",POWER(Upgrades!$U$19,K176),1)*IF(Upgrades!$T$20="Brown Dwarf",POWER(Upgrades!$U$20,L176),1)*IF(Upgrades!$T$21="Brown Dwarf",POWER(Upgrades!$U$21,M176),1))+(IF(J176=0,0,(Upgrades!$M$18+J176*Upgrades!$N$18)*POWER(Upgrades!$O$18,J176)))*(IF(Upgrades!$T$13="Binary Partner",POWER(Upgrades!$U$13,E176),1)*IF(Upgrades!$T$14="Binary Partner",POWER(Upgrades!$U$14,F176),1)*IF(Upgrades!$T$15="Binary Partner",POWER(Upgrades!$U$15,G176),1)*IF(Upgrades!$T$16="Binary Partner",POWER(Upgrades!$U$16,H176),1)*IF(Upgrades!$T$17="Binary Partner",POWER(Upgrades!$U$17,I176),1)*IF(Upgrades!$T$19="Binary Partner",POWER(Upgrades!$U$19,K176),1)*IF(Upgrades!$T$20="Binary Partner",POWER(Upgrades!$U$20,L176),1)*IF(Upgrades!$T$21="Binary Partner",POWER(Upgrades!$U$21,M176),1))+(IF(K176=0,0,(Upgrades!$M$19+K176*Upgrades!$N$19)*POWER(Upgrades!$O$19,K176)))*(IF(Upgrades!$T$13="Peculiar Velocity",POWER(Upgrades!$U$13,E176),1)*IF(Upgrades!$T$14="Peculiar Velocity",POWER(Upgrades!$U$14,F176),1)*IF(Upgrades!$T$15="Peculiar Velocity",POWER(Upgrades!$U$15,G176),1)*IF(Upgrades!$T$16="Peculiar Velocity",POWER(Upgrades!$U$16,H176),1)*IF(Upgrades!$T$17="Peculiar Velocity",POWER(Upgrades!$U$17,I176),1)*IF(Upgrades!$T$18="Peculiar Velocity",POWER(Upgrades!$U$18,J176),1)*IF(Upgrades!$T$20="Peculiar Velocity",POWER(Upgrades!$U$20,L176),1)*IF(Upgrades!$T$21="Peculiar Velocity",POWER(Upgrades!$U$21,M176),1))+(IF(L176=0,0,(Upgrades!$M$20+L176*Upgrades!$N$20)*POWER(Upgrades!$O$20,L176)))*(IF(Upgrades!$T$13="Open Cluster",POWER(Upgrades!$U$13,E176),1)*IF(Upgrades!$T$14="Open Cluster",POWER(Upgrades!$U$14,F176),1)*IF(Upgrades!$T$15="Open Cluster",POWER(Upgrades!$U$15,G176),1)*IF(Upgrades!$T$16="Open Cluster",POWER(Upgrades!$U$16,H176),1)*IF(Upgrades!$T$17="Open Cluster",POWER(Upgrades!$U$17,I176),1)*IF(Upgrades!$T$18="Open Cluster",POWER(Upgrades!$U$18,J176),1)*IF(Upgrades!$T$19="Open Cluster",POWER(Upgrades!$U$19,K176),1)*IF(Upgrades!$T$21="Open Cluster",POWER(Upgrades!$U$21,M176),1))+(IF(M176=0,0,(Upgrades!$M$21+M176*Upgrades!$N$21)*POWER(Upgrades!$O$21,M176)))*(IF(Upgrades!$T$13="Moving Group",POWER(Upgrades!$U$13,E176),1)*IF(Upgrades!$T$14="Moving Group",POWER(Upgrades!$U$14,F176),1)*IF(Upgrades!$T$15="Moving Group",POWER(Upgrades!$U$15,G176),1)*IF(Upgrades!$T$16="Moving Group",POWER(Upgrades!$U$16,H176),1)*IF(Upgrades!$T$17="Moving Group",POWER(Upgrades!$U$17,I176),1)*IF(Upgrades!$T$18="Moving Group",POWER(Upgrades!$U$18,J176),1)*IF(Upgrades!$T$19="Moving Group",POWER(Upgrades!$U$19,K176),1)*IF(Upgrades!$T$20="Moving Group",POWER(Upgrades!$U$20,L176),1)))*POWER(Upgrades!$R$13,E176)*POWER(Upgrades!$R$14,F176)*POWER(Upgrades!$R$15,G176)*POWER(Upgrades!$R$16,H176)*POWER(Upgrades!$R$17,I176)*POWER(Upgrades!$R$18,J176)*POWER(Upgrades!$R$19,K176)*POWER(Upgrades!$R$20,L176)*POWER(Upgrades!$R$21,M176)*$H$6+$E$6</f>
        <v/>
      </c>
      <c r="R176" s="27">
        <f>IF(N176=1,0,O176*Parameters!$B$10/60*Parameters!$B$11*10)</f>
        <v/>
      </c>
      <c r="S176" s="27">
        <f>IF(N176=1,0,Q176*O176*10)</f>
        <v/>
      </c>
      <c r="T176" s="27">
        <f>IF(N176=1,0,R176+S176+P176*10)</f>
        <v/>
      </c>
      <c r="U176" s="33">
        <f>BE176</f>
        <v/>
      </c>
      <c r="V176" s="22">
        <f>IF(U176="",0,IF(U176="transition",0,IF(U176="SK",AK176,IF(U176="LB",AL176,IF(U176="ML",AM176,IF(U176="RLO",AN176,IF(U176="BD",AO176,IF(U176="BiP",AP176,IF(U176="PV",AQ176,IF(U176="OC",AR176,IF(U176="MG",AS176,0))))))))))</f>
        <v/>
      </c>
      <c r="W176" s="27">
        <f>IF(U176="BiP",Upgrades!$F$18,IF(U176="PV",Upgrades!$F$19,IF(U176="OC",Upgrades!$F$20,IF(U176="MG",Upgrades!$F$21,IF(U176="transition",-Parameters!$B$18*Parameters!$B$19,0)))))</f>
        <v/>
      </c>
      <c r="X176" s="22">
        <f>C176+T176-V176</f>
        <v/>
      </c>
      <c r="Y176" s="30">
        <f>O176*Parameters!$B$10/60*Parameters!$B$11+Q176*O176+P176</f>
        <v/>
      </c>
      <c r="Z176" s="34">
        <f>IF(U176="transition","→ Tier 3 (Galactic Arm)",IF(U176="MG","Moving Group — pocket drifts together",IF(U176="OC","Open Cluster acquired",IF(U176="PV","Peculiar Velocity — passive multiplier active",IF(U176="BiP","Binary Partner — pair bond formed",IF(AND(AU176=1,N176=0,AT176&lt;&gt;1),"Cohesion ready (waiting on completionists)","")))))) </f>
        <v/>
      </c>
      <c r="AA176" s="27">
        <f>(IF(E176=0,0,(Upgrades!$G$13+E176*Upgrades!$H$13)*POWER(Upgrades!$I$13,E176)))*(IF(Upgrades!$T$14="Stellar Kinematics",POWER(Upgrades!$U$14,F176),1)*IF(Upgrades!$T$15="Stellar Kinematics",POWER(Upgrades!$U$15,G176),1)*IF(Upgrades!$T$16="Stellar Kinematics",POWER(Upgrades!$U$16,H176),1)*IF(Upgrades!$T$17="Stellar Kinematics",POWER(Upgrades!$U$17,I176),1)*IF(Upgrades!$T$18="Stellar Kinematics",POWER(Upgrades!$U$18,J176),1)*IF(Upgrades!$T$19="Stellar Kinematics",POWER(Upgrades!$U$19,K176),1)*IF(Upgrades!$T$20="Stellar Kinematics",POWER(Upgrades!$U$20,L176),1)*IF(Upgrades!$T$21="Stellar Kinematics",POWER(Upgrades!$U$21,M176),1))*POWER(Upgrades!$P$13,E176)*POWER(Upgrades!$P$14,F176)*POWER(Upgrades!$P$15,G176)*POWER(Upgrades!$P$16,H176)*POWER(Upgrades!$P$17,I176)*POWER(Upgrades!$P$18,J176)*POWER(Upgrades!$P$19,K176)*POWER(Upgrades!$P$20,L176)*POWER(Upgrades!$P$21,M176)*$F$6*60</f>
        <v/>
      </c>
      <c r="AB176" s="27">
        <f>(IF(F176=0,0,(Upgrades!$G$14+F176*Upgrades!$H$14)*POWER(Upgrades!$I$14,F176)))*(IF(Upgrades!$T$13="Local Bubble",POWER(Upgrades!$U$13,E176),1)*IF(Upgrades!$T$15="Local Bubble",POWER(Upgrades!$U$15,G176),1)*IF(Upgrades!$T$16="Local Bubble",POWER(Upgrades!$U$16,H176),1)*IF(Upgrades!$T$17="Local Bubble",POWER(Upgrades!$U$17,I176),1)*IF(Upgrades!$T$18="Local Bubble",POWER(Upgrades!$U$18,J176),1)*IF(Upgrades!$T$19="Local Bubble",POWER(Upgrades!$U$19,K176),1)*IF(Upgrades!$T$20="Local Bubble",POWER(Upgrades!$U$20,L176),1)*IF(Upgrades!$T$21="Local Bubble",POWER(Upgrades!$U$21,M176),1))*POWER(Upgrades!$P$13,E176)*POWER(Upgrades!$P$14,F176)*POWER(Upgrades!$P$15,G176)*POWER(Upgrades!$P$16,H176)*POWER(Upgrades!$P$17,I176)*POWER(Upgrades!$P$18,J176)*POWER(Upgrades!$P$19,K176)*POWER(Upgrades!$P$20,L176)*POWER(Upgrades!$P$21,M176)*$F$6*60</f>
        <v/>
      </c>
      <c r="AC176" s="27">
        <f>(IF(G176=0,0,(Upgrades!$J$15+G176*Upgrades!$K$15)*POWER(Upgrades!$L$15,G176)))*(IF(Upgrades!$T$13="Microlensing",POWER(Upgrades!$U$13,E176),1)*IF(Upgrades!$T$14="Microlensing",POWER(Upgrades!$U$14,F176),1)*IF(Upgrades!$T$16="Microlensing",POWER(Upgrades!$U$16,H176),1)*IF(Upgrades!$T$17="Microlensing",POWER(Upgrades!$U$17,I176),1)*IF(Upgrades!$T$18="Microlensing",POWER(Upgrades!$U$18,J176),1)*IF(Upgrades!$T$19="Microlensing",POWER(Upgrades!$U$19,K176),1)*IF(Upgrades!$T$20="Microlensing",POWER(Upgrades!$U$20,L176),1)*IF(Upgrades!$T$21="Microlensing",POWER(Upgrades!$U$21,M176),1))*POWER(Upgrades!$Q$13,E176)*POWER(Upgrades!$Q$14,F176)*POWER(Upgrades!$Q$15,G176)*POWER(Upgrades!$Q$16,H176)*POWER(Upgrades!$Q$17,I176)*POWER(Upgrades!$Q$18,J176)*POWER(Upgrades!$Q$19,K176)*POWER(Upgrades!$Q$20,L176)*POWER(Upgrades!$Q$21,M176)*$G$6*(Parameters!$B$10*Parameters!$B$11+Q176*60)</f>
        <v/>
      </c>
      <c r="AD176" s="27">
        <f>(IF(H176=0,0,(Upgrades!$M$16+H176*Upgrades!$N$16)*POWER(Upgrades!$O$16,H176)))*(IF(Upgrades!$T$13="Roche Lobe Overflow",POWER(Upgrades!$U$13,E176),1)*IF(Upgrades!$T$14="Roche Lobe Overflow",POWER(Upgrades!$U$14,F176),1)*IF(Upgrades!$T$15="Roche Lobe Overflow",POWER(Upgrades!$U$15,G176),1)*IF(Upgrades!$T$17="Roche Lobe Overflow",POWER(Upgrades!$U$17,I176),1)*IF(Upgrades!$T$18="Roche Lobe Overflow",POWER(Upgrades!$U$18,J176),1)*IF(Upgrades!$T$19="Roche Lobe Overflow",POWER(Upgrades!$U$19,K176),1)*IF(Upgrades!$T$20="Roche Lobe Overflow",POWER(Upgrades!$U$20,L176),1)*IF(Upgrades!$T$21="Roche Lobe Overflow",POWER(Upgrades!$U$21,M176),1))*POWER(Upgrades!$R$13,E176)*POWER(Upgrades!$R$14,F176)*POWER(Upgrades!$R$15,G176)*POWER(Upgrades!$R$16,H176)*POWER(Upgrades!$R$17,I176)*POWER(Upgrades!$R$18,J176)*POWER(Upgrades!$R$19,K176)*POWER(Upgrades!$R$20,L176)*POWER(Upgrades!$R$21,M176)*$H$6*O176*60</f>
        <v/>
      </c>
      <c r="AE176" s="27">
        <f>(IF(I176=0,0,(Upgrades!$G$17+I176*Upgrades!$H$17)*POWER(Upgrades!$I$17,I176)))*(IF(Upgrades!$T$13="Brown Dwarf",POWER(Upgrades!$U$13,E176),1)*IF(Upgrades!$T$14="Brown Dwarf",POWER(Upgrades!$U$14,F176),1)*IF(Upgrades!$T$15="Brown Dwarf",POWER(Upgrades!$U$15,G176),1)*IF(Upgrades!$T$16="Brown Dwarf",POWER(Upgrades!$U$16,H176),1)*IF(Upgrades!$T$18="Brown Dwarf",POWER(Upgrades!$U$18,J176),1)*IF(Upgrades!$T$19="Brown Dwarf",POWER(Upgrades!$U$19,K176),1)*IF(Upgrades!$T$20="Brown Dwarf",POWER(Upgrades!$U$20,L176),1)*IF(Upgrades!$T$21="Brown Dwarf",POWER(Upgrades!$U$21,M176),1))*POWER(Upgrades!$P$13,E176)*POWER(Upgrades!$P$14,F176)*POWER(Upgrades!$P$15,G176)*POWER(Upgrades!$P$16,H176)*POWER(Upgrades!$P$17,I176)*POWER(Upgrades!$P$18,J176)*POWER(Upgrades!$P$19,K176)*POWER(Upgrades!$P$20,L176)*POWER(Upgrades!$P$21,M176)*$F$6*60</f>
        <v/>
      </c>
      <c r="AF176" s="27" t="n">
        <v>0</v>
      </c>
      <c r="AG176" s="27" t="n">
        <v>0</v>
      </c>
      <c r="AH176" s="27" t="n">
        <v>0</v>
      </c>
      <c r="AI176" s="27">
        <f>(IF(M176=0,0,(Upgrades!$G$21+M176*Upgrades!$H$21)*POWER(Upgrades!$I$21,M176)))*(IF(Upgrades!$T$13="Moving Group",POWER(Upgrades!$U$13,E176),1)*IF(Upgrades!$T$14="Moving Group",POWER(Upgrades!$U$14,F176),1)*IF(Upgrades!$T$15="Moving Group",POWER(Upgrades!$U$15,G176),1)*IF(Upgrades!$T$16="Moving Group",POWER(Upgrades!$U$16,H176),1)*IF(Upgrades!$T$17="Moving Group",POWER(Upgrades!$U$17,I176),1)*IF(Upgrades!$T$18="Moving Group",POWER(Upgrades!$U$18,J176),1)*IF(Upgrades!$T$19="Moving Group",POWER(Upgrades!$U$19,K176),1)*IF(Upgrades!$T$20="Moving Group",POWER(Upgrades!$U$20,L176),1))*POWER(Upgrades!$P$13,E176)*POWER(Upgrades!$P$14,F176)*POWER(Upgrades!$P$15,G176)*POWER(Upgrades!$P$16,H176)*POWER(Upgrades!$P$17,I176)*POWER(Upgrades!$P$18,J176)*POWER(Upgrades!$P$19,K176)*POWER(Upgrades!$P$20,L176)*POWER(Upgrades!$P$21,M176)*$F$6*60</f>
        <v/>
      </c>
      <c r="AJ176" s="27">
        <f>$C$6*60</f>
        <v/>
      </c>
      <c r="AK176" s="22">
        <f>IF(E176&gt;=Upgrades!$E$13,"",Upgrades!$C$13*POWER(Upgrades!$D$13,E176))</f>
        <v/>
      </c>
      <c r="AL176" s="22">
        <f>IF(F176&gt;=Upgrades!$E$14,"",Upgrades!$C$14*POWER(Upgrades!$D$14,F176))</f>
        <v/>
      </c>
      <c r="AM176" s="22">
        <f>IF(G176&gt;=Upgrades!$E$15,"",Upgrades!$C$15*POWER(Upgrades!$D$15,G176))</f>
        <v/>
      </c>
      <c r="AN176" s="22">
        <f>IF(H176&gt;=Upgrades!$E$16,"",Upgrades!$C$16*POWER(Upgrades!$D$16,H176))</f>
        <v/>
      </c>
      <c r="AO176" s="22">
        <f>IF(I176&gt;=Upgrades!$E$17,"",Upgrades!$C$17*POWER(Upgrades!$D$17,I176))</f>
        <v/>
      </c>
      <c r="AP176" s="22">
        <f>IF(J176&gt;=Upgrades!$E$18,"",Upgrades!$C$18*POWER(Upgrades!$D$18,J176))</f>
        <v/>
      </c>
      <c r="AQ176" s="22">
        <f>IF(K176&gt;=Upgrades!$E$19,"",Upgrades!$C$19*POWER(Upgrades!$D$19,K176))</f>
        <v/>
      </c>
      <c r="AR176" s="22">
        <f>IF(L176&gt;=Upgrades!$E$20,"",Upgrades!$C$20*POWER(Upgrades!$D$20,L176))</f>
        <v/>
      </c>
      <c r="AS176" s="22">
        <f>IF(M176&gt;=Upgrades!$E$21,"",Upgrades!$C$21*POWER(Upgrades!$D$21,M176))</f>
        <v/>
      </c>
      <c r="AT176" s="26">
        <f>IF(AND(D176&gt;=Parameters!$B$18*Parameters!$B$19,(I176&gt;=Upgrades!$E$17)*(M176&gt;=Upgrades!$E$21)=1,N176=0),1,"")</f>
        <v/>
      </c>
      <c r="AU176" s="26">
        <f>IF(AND(D176&gt;=Parameters!$B$18*Parameters!$B$19,N176=0),1,"")</f>
        <v/>
      </c>
      <c r="AV176" s="22">
        <f>MIN(IF(ISNUMBER(AP176),AP176,9E15),IF(ISNUMBER(AQ176),AQ176,9E15),IF(ISNUMBER(AR176),AR176,9E15),IF(ISNUMBER(AS176),AS176,9E15))</f>
        <v/>
      </c>
      <c r="AW176" s="22">
        <f>MIN(IF(ISNUMBER(AK176),AK176,9E15),IF(ISNUMBER(AL176),AL176,9E15),IF(ISNUMBER(AM176),AM176,9E15),IF(ISNUMBER(AN176),AN176,9E15),IF(ISNUMBER(AO176),AO176,9E15))</f>
        <v/>
      </c>
      <c r="AX176" s="29">
        <f>IF(BD176&gt;Parameters!$B$21*(MAX(IF(AND(NOT(AND(AU176=1,AT176&lt;&gt;1)),ISNUMBER(AK176),AK176&lt;=(C176+T176)),AY176,0),IF(AND(NOT(AND(AU176=1,AT176&lt;&gt;1)),ISNUMBER(AL176),AL176&lt;=(C176+T176)),AZ176,0),IF(AND(NOT(AND(AU176=1,AT176&lt;&gt;1)),ISNUMBER(AM176),AM176&lt;=(C176+T176)),BA176,0),IF(AND(NOT(AND(AU176=1,AT176&lt;&gt;1)),ISNUMBER(AN176),AN176&lt;=(C176+T176)),BB176,0),IF(AND(ISNUMBER(AO176),AO176&lt;=(C176+T176)),BC176,0))),TRUE,FALSE)</f>
        <v/>
      </c>
      <c r="AY176" s="32">
        <f>IFERROR(Upgrades!$H$13*(POWER(Upgrades!$P$13,E176)*POWER(Upgrades!$P$14,F176)*POWER(Upgrades!$P$15,G176)*POWER(Upgrades!$P$16,H176)*POWER(Upgrades!$P$17,I176)*POWER(Upgrades!$P$18,J176)*POWER(Upgrades!$P$19,K176)*POWER(Upgrades!$P$20,L176)*POWER(Upgrades!$P$21,M176))*(IF(Upgrades!$T$14="Stellar Kinematics",POWER(Upgrades!$U$14,F176),1)*IF(Upgrades!$T$15="Stellar Kinematics",POWER(Upgrades!$U$15,G176),1)*IF(Upgrades!$T$16="Stellar Kinematics",POWER(Upgrades!$U$16,H176),1)*IF(Upgrades!$T$17="Stellar Kinematics",POWER(Upgrades!$U$17,I176),1)*IF(Upgrades!$T$18="Stellar Kinematics",POWER(Upgrades!$U$18,J176),1)*IF(Upgrades!$T$19="Stellar Kinematics",POWER(Upgrades!$U$19,K176),1)*IF(Upgrades!$T$20="Stellar Kinematics",POWER(Upgrades!$U$20,L176),1)*IF(Upgrades!$T$21="Stellar Kinematics",POWER(Upgrades!$U$21,M176),1))*$F$6/AK176,0)</f>
        <v/>
      </c>
      <c r="AZ176" s="32">
        <f>IFERROR(Upgrades!$H$14*(POWER(Upgrades!$P$13,E176)*POWER(Upgrades!$P$14,F176)*POWER(Upgrades!$P$15,G176)*POWER(Upgrades!$P$16,H176)*POWER(Upgrades!$P$17,I176)*POWER(Upgrades!$P$18,J176)*POWER(Upgrades!$P$19,K176)*POWER(Upgrades!$P$20,L176)*POWER(Upgrades!$P$21,M176))*(IF(Upgrades!$T$13="Local Bubble",POWER(Upgrades!$U$13,E176),1)*IF(Upgrades!$T$15="Local Bubble",POWER(Upgrades!$U$15,G176),1)*IF(Upgrades!$T$16="Local Bubble",POWER(Upgrades!$U$16,H176),1)*IF(Upgrades!$T$17="Local Bubble",POWER(Upgrades!$U$17,I176),1)*IF(Upgrades!$T$18="Local Bubble",POWER(Upgrades!$U$18,J176),1)*IF(Upgrades!$T$19="Local Bubble",POWER(Upgrades!$U$19,K176),1)*IF(Upgrades!$T$20="Local Bubble",POWER(Upgrades!$U$20,L176),1)*IF(Upgrades!$T$21="Local Bubble",POWER(Upgrades!$U$21,M176),1))*$F$6/AL176,0)</f>
        <v/>
      </c>
      <c r="BA176" s="32">
        <f>IFERROR(Upgrades!$K$15*(POWER(Upgrades!$Q$13,E176)*POWER(Upgrades!$Q$14,F176)*POWER(Upgrades!$Q$15,G176)*POWER(Upgrades!$Q$16,H176)*POWER(Upgrades!$Q$17,I176)*POWER(Upgrades!$Q$18,J176)*POWER(Upgrades!$Q$19,K176)*POWER(Upgrades!$Q$20,L176)*POWER(Upgrades!$Q$21,M176))*(IF(Upgrades!$T$13="Microlensing",POWER(Upgrades!$U$13,E176),1)*IF(Upgrades!$T$14="Microlensing",POWER(Upgrades!$U$14,F176),1)*IF(Upgrades!$T$16="Microlensing",POWER(Upgrades!$U$16,H176),1)*IF(Upgrades!$T$17="Microlensing",POWER(Upgrades!$U$17,I176),1)*IF(Upgrades!$T$18="Microlensing",POWER(Upgrades!$U$18,J176),1)*IF(Upgrades!$T$19="Microlensing",POWER(Upgrades!$U$19,K176),1)*IF(Upgrades!$T$20="Microlensing",POWER(Upgrades!$U$20,L176),1)*IF(Upgrades!$T$21="Microlensing",POWER(Upgrades!$U$21,M176),1))*$G$6*(Parameters!$B$10/60*Parameters!$B$11+Q176)/AM176,0)</f>
        <v/>
      </c>
      <c r="BB176" s="32">
        <f>IFERROR((Upgrades!$N$16*(POWER(Upgrades!$R$13,E176)*POWER(Upgrades!$R$14,F176)*POWER(Upgrades!$R$15,G176)*POWER(Upgrades!$R$16,H176)*POWER(Upgrades!$R$17,I176)*POWER(Upgrades!$R$18,J176)*POWER(Upgrades!$R$19,K176)*POWER(Upgrades!$R$20,L176)*POWER(Upgrades!$R$21,M176))*(IF(Upgrades!$T$13="Roche Lobe Overflow",POWER(Upgrades!$U$13,E176),1)*IF(Upgrades!$T$14="Roche Lobe Overflow",POWER(Upgrades!$U$14,F176),1)*IF(Upgrades!$T$15="Roche Lobe Overflow",POWER(Upgrades!$U$15,G176),1)*IF(Upgrades!$T$17="Roche Lobe Overflow",POWER(Upgrades!$U$17,I176),1)*IF(Upgrades!$T$18="Roche Lobe Overflow",POWER(Upgrades!$U$18,J176),1)*IF(Upgrades!$T$19="Roche Lobe Overflow",POWER(Upgrades!$U$19,K176),1)*IF(Upgrades!$T$20="Roche Lobe Overflow",POWER(Upgrades!$U$20,L176),1)*IF(Upgrades!$T$21="Roche Lobe Overflow",POWER(Upgrades!$U$21,M176),1))*$H$6*O176+((IF(F176=0,0,(Upgrades!$G$14+F176*Upgrades!$H$14)*POWER(Upgrades!$I$14,F176)))*(IF(Upgrades!$T$13="Local Bubble",POWER(Upgrades!$U$13,E176),1)*IF(Upgrades!$T$15="Local Bubble",POWER(Upgrades!$U$15,G176),1)*IF(Upgrades!$T$16="Local Bubble",POWER(Upgrades!$U$16,H176),1)*IF(Upgrades!$T$17="Local Bubble",POWER(Upgrades!$U$17,I176),1)*IF(Upgrades!$T$18="Local Bubble",POWER(Upgrades!$U$18,J176),1)*IF(Upgrades!$T$19="Local Bubble",POWER(Upgrades!$U$19,K176),1)*IF(Upgrades!$T$20="Local Bubble",POWER(Upgrades!$U$20,L176),1)*IF(Upgrades!$T$21="Local Bubble",POWER(Upgrades!$U$21,M176),1))*POWER(Upgrades!$P$13,E176)*POWER(Upgrades!$P$14,F176)*POWER(Upgrades!$P$15,G176)*POWER(Upgrades!$P$16,H176)*POWER(Upgrades!$P$17,I176)*POWER(Upgrades!$P$18,J176)*POWER(Upgrades!$P$19,K176)*POWER(Upgrades!$P$20,L176)*POWER(Upgrades!$P$21,M176)*$F$6)*0.05)/AN176,0)</f>
        <v/>
      </c>
      <c r="BC176" s="32">
        <f>IFERROR((Upgrades!$H$17*(POWER(Upgrades!$P$13,E176)*POWER(Upgrades!$P$14,F176)*POWER(Upgrades!$P$15,G176)*POWER(Upgrades!$P$16,H176)*POWER(Upgrades!$P$17,I176)*POWER(Upgrades!$P$18,J176)*POWER(Upgrades!$P$19,K176)*POWER(Upgrades!$P$20,L176)*POWER(Upgrades!$P$21,M176))*(IF(Upgrades!$T$13="Brown Dwarf",POWER(Upgrades!$U$13,E176),1)*IF(Upgrades!$T$14="Brown Dwarf",POWER(Upgrades!$U$14,F176),1)*IF(Upgrades!$T$15="Brown Dwarf",POWER(Upgrades!$U$15,G176),1)*IF(Upgrades!$T$16="Brown Dwarf",POWER(Upgrades!$U$16,H176),1)*IF(Upgrades!$T$18="Brown Dwarf",POWER(Upgrades!$U$18,J176),1)*IF(Upgrades!$T$19="Brown Dwarf",POWER(Upgrades!$U$19,K176),1)*IF(Upgrades!$T$20="Brown Dwarf",POWER(Upgrades!$U$20,L176),1)*IF(Upgrades!$T$21="Brown Dwarf",POWER(Upgrades!$U$21,M176),1))*$F$6+(((IF(H176=0,0,(Upgrades!$M$16+H176*Upgrades!$N$16)*POWER(Upgrades!$O$16,H176)))*(IF(Upgrades!$T$13="Roche Lobe Overflow",POWER(Upgrades!$U$13,E176),1)*IF(Upgrades!$T$14="Roche Lobe Overflow",POWER(Upgrades!$U$14,F176),1)*IF(Upgrades!$T$15="Roche Lobe Overflow",POWER(Upgrades!$U$15,G176),1)*IF(Upgrades!$T$17="Roche Lobe Overflow",POWER(Upgrades!$U$17,I176),1)*IF(Upgrades!$T$18="Roche Lobe Overflow",POWER(Upgrades!$U$18,J176),1)*IF(Upgrades!$T$19="Roche Lobe Overflow",POWER(Upgrades!$U$19,K176),1)*IF(Upgrades!$T$20="Roche Lobe Overflow",POWER(Upgrades!$U$20,L176),1)*IF(Upgrades!$T$21="Roche Lobe Overflow",POWER(Upgrades!$U$21,M176),1))*POWER(Upgrades!$R$13,E176)*POWER(Upgrades!$R$14,F176)*POWER(Upgrades!$R$15,G176)*POWER(Upgrades!$R$16,H176)*POWER(Upgrades!$R$17,I176)*POWER(Upgrades!$R$18,J176)*POWER(Upgrades!$R$19,K176)*POWER(Upgrades!$R$20,L176)*POWER(Upgrades!$R$21,M176)*$H$6)*O176)*0.10)/AO176,0)</f>
        <v/>
      </c>
      <c r="BD176" s="32">
        <f>MAX(IF(J176&gt;0,0,IFERROR(0.5*((IF(G176=0,0,(Upgrades!$J$15+G176*Upgrades!$K$15)*POWER(Upgrades!$L$15,G176)))*(IF(Upgrades!$T$13="Microlensing",POWER(Upgrades!$U$13,E176),1)*IF(Upgrades!$T$14="Microlensing",POWER(Upgrades!$U$14,F176),1)*IF(Upgrades!$T$16="Microlensing",POWER(Upgrades!$U$16,H176),1)*IF(Upgrades!$T$17="Microlensing",POWER(Upgrades!$U$17,I176),1)*IF(Upgrades!$T$18="Microlensing",POWER(Upgrades!$U$18,J176),1)*IF(Upgrades!$T$19="Microlensing",POWER(Upgrades!$U$19,K176),1)*IF(Upgrades!$T$20="Microlensing",POWER(Upgrades!$U$20,L176),1)*IF(Upgrades!$T$21="Microlensing",POWER(Upgrades!$U$21,M176),1))*(POWER(Upgrades!$Q$13,E176)*POWER(Upgrades!$Q$14,F176)*POWER(Upgrades!$Q$15,G176)*POWER(Upgrades!$Q$16,H176)*POWER(Upgrades!$Q$17,I176)*POWER(Upgrades!$Q$18,J176)*POWER(Upgrades!$Q$19,K176)*POWER(Upgrades!$Q$20,L176)*POWER(Upgrades!$Q$21,M176))*$G$6*(Parameters!$B$10/60*Parameters!$B$11+Q176))/Upgrades!$C$18,0)),IF(K176&gt;0,0,IFERROR(0.30*P176/Upgrades!$C$19,0)),IF(L176&gt;0,0,IFERROR(0.0001/Upgrades!$C$20,0)),IF(M176&gt;0,0,IFERROR((6.0*(POWER(Upgrades!$P$13,E176)*POWER(Upgrades!$P$14,F176)*POWER(Upgrades!$P$15,G176)*POWER(Upgrades!$P$16,H176)*POWER(Upgrades!$P$17,I176)*POWER(Upgrades!$P$18,J176)*POWER(Upgrades!$P$19,K176)*POWER(Upgrades!$P$20,L176)*POWER(Upgrades!$P$21,M176))*$F$6+0.20*O176*(Parameters!$B$10/60*Parameters!$B$11+Q176))/Upgrades!$C$21,0)),IF(AND(ISNUMBER(AK176),AK176&gt;(C176+T176)),AY176,0),IF(AND(ISNUMBER(AL176),AL176&gt;(C176+T176)),AZ176,0),IF(AND(ISNUMBER(AM176),AM176&gt;(C176+T176)),BA176,0),IF(AND(ISNUMBER(AN176),AN176&gt;(C176+T176)),BB176,0),IF(AND(ISNUMBER(AO176),AO176&gt;(C176+T176)),BC176,0))</f>
        <v/>
      </c>
      <c r="BE176" s="29">
        <f>IF(AT176=1,"transition",IF(MIN(IF(AND(J176=0,ISNUMBER(AP176),AP176&lt;=(C176+T176)),AP176,9E15),IF(AND(K176=0,ISNUMBER(AQ176),AQ176&lt;=(C176+T176)),AQ176,9E15),IF(AND(L176=0,ISNUMBER(AR176),AR176&lt;=(C176+T176)),AR176,9E15),IF(AND(M176=0,ISNUMBER(AS176),AS176&lt;=(C176+T176)),AS176,9E15))&lt;9E15,IF(AND(AND(J176=0,ISNUMBER(AP176),AP176&lt;=(C176+T176)),AP176=MIN(IF(AND(J176=0,ISNUMBER(AP176),AP176&lt;=(C176+T176)),AP176,9E15),IF(AND(K176=0,ISNUMBER(AQ176),AQ176&lt;=(C176+T176)),AQ176,9E15),IF(AND(L176=0,ISNUMBER(AR176),AR176&lt;=(C176+T176)),AR176,9E15),IF(AND(M176=0,ISNUMBER(AS176),AS176&lt;=(C176+T176)),AS176,9E15))),"BiP",IF(AND(AND(K176=0,ISNUMBER(AQ176),AQ176&lt;=(C176+T176)),AQ176=MIN(IF(AND(J176=0,ISNUMBER(AP176),AP176&lt;=(C176+T176)),AP176,9E15),IF(AND(K176=0,ISNUMBER(AQ176),AQ176&lt;=(C176+T176)),AQ176,9E15),IF(AND(L176=0,ISNUMBER(AR176),AR176&lt;=(C176+T176)),AR176,9E15),IF(AND(M176=0,ISNUMBER(AS176),AS176&lt;=(C176+T176)),AS176,9E15))),"PV",IF(AND(AND(L176=0,ISNUMBER(AR176),AR176&lt;=(C176+T176)),AR176=MIN(IF(AND(J176=0,ISNUMBER(AP176),AP176&lt;=(C176+T176)),AP176,9E15),IF(AND(K176=0,ISNUMBER(AQ176),AQ176&lt;=(C176+T176)),AQ176,9E15),IF(AND(L176=0,ISNUMBER(AR176),AR176&lt;=(C176+T176)),AR176,9E15),IF(AND(M176=0,ISNUMBER(AS176),AS176&lt;=(C176+T176)),AS176,9E15))),"OC","MG"))),IF(AX176=TRUE,"",IF(MAX(IF(AND(NOT(AND(AU176=1,AT176&lt;&gt;1)),ISNUMBER(AK176),AK176&lt;=(C176+T176)),AY176,0),IF(AND(NOT(AND(AU176=1,AT176&lt;&gt;1)),ISNUMBER(AL176),AL176&lt;=(C176+T176)),AZ176,0),IF(AND(NOT(AND(AU176=1,AT176&lt;&gt;1)),ISNUMBER(AM176),AM176&lt;=(C176+T176)),BA176,0),IF(AND(NOT(AND(AU176=1,AT176&lt;&gt;1)),ISNUMBER(AN176),AN176&lt;=(C176+T176)),BB176,0),IF(AND(ISNUMBER(AO176),AO176&lt;=(C176+T176)),BC176,0))&lt;=0,"",IF(AND(IF(AND(NOT(AND(AU176=1,AT176&lt;&gt;1)),ISNUMBER(AK176),AK176&lt;=(C176+T176)),AY176,0)&gt;0,IF(AND(NOT(AND(AU176=1,AT176&lt;&gt;1)),ISNUMBER(AK176),AK176&lt;=(C176+T176)),AY176,0)=MAX(IF(AND(NOT(AND(AU176=1,AT176&lt;&gt;1)),ISNUMBER(AK176),AK176&lt;=(C176+T176)),AY176,0),IF(AND(NOT(AND(AU176=1,AT176&lt;&gt;1)),ISNUMBER(AL176),AL176&lt;=(C176+T176)),AZ176,0),IF(AND(NOT(AND(AU176=1,AT176&lt;&gt;1)),ISNUMBER(AM176),AM176&lt;=(C176+T176)),BA176,0),IF(AND(NOT(AND(AU176=1,AT176&lt;&gt;1)),ISNUMBER(AN176),AN176&lt;=(C176+T176)),BB176,0),IF(AND(ISNUMBER(AO176),AO176&lt;=(C176+T176)),BC176,0))),"SK",IF(AND(IF(AND(NOT(AND(AU176=1,AT176&lt;&gt;1)),ISNUMBER(AL176),AL176&lt;=(C176+T176)),AZ176,0)&gt;0,IF(AND(NOT(AND(AU176=1,AT176&lt;&gt;1)),ISNUMBER(AL176),AL176&lt;=(C176+T176)),AZ176,0)=MAX(IF(AND(NOT(AND(AU176=1,AT176&lt;&gt;1)),ISNUMBER(AK176),AK176&lt;=(C176+T176)),AY176,0),IF(AND(NOT(AND(AU176=1,AT176&lt;&gt;1)),ISNUMBER(AL176),AL176&lt;=(C176+T176)),AZ176,0),IF(AND(NOT(AND(AU176=1,AT176&lt;&gt;1)),ISNUMBER(AM176),AM176&lt;=(C176+T176)),BA176,0),IF(AND(NOT(AND(AU176=1,AT176&lt;&gt;1)),ISNUMBER(AN176),AN176&lt;=(C176+T176)),BB176,0),IF(AND(ISNUMBER(AO176),AO176&lt;=(C176+T176)),BC176,0))),"LB",IF(AND(IF(AND(NOT(AND(AU176=1,AT176&lt;&gt;1)),ISNUMBER(AM176),AM176&lt;=(C176+T176)),BA176,0)&gt;0,IF(AND(NOT(AND(AU176=1,AT176&lt;&gt;1)),ISNUMBER(AM176),AM176&lt;=(C176+T176)),BA176,0)=MAX(IF(AND(NOT(AND(AU176=1,AT176&lt;&gt;1)),ISNUMBER(AK176),AK176&lt;=(C176+T176)),AY176,0),IF(AND(NOT(AND(AU176=1,AT176&lt;&gt;1)),ISNUMBER(AL176),AL176&lt;=(C176+T176)),AZ176,0),IF(AND(NOT(AND(AU176=1,AT176&lt;&gt;1)),ISNUMBER(AM176),AM176&lt;=(C176+T176)),BA176,0),IF(AND(NOT(AND(AU176=1,AT176&lt;&gt;1)),ISNUMBER(AN176),AN176&lt;=(C176+T176)),BB176,0),IF(AND(ISNUMBER(AO176),AO176&lt;=(C176+T176)),BC176,0))),"ML",IF(AND(IF(AND(NOT(AND(AU176=1,AT176&lt;&gt;1)),ISNUMBER(AN176),AN176&lt;=(C176+T176)),BB176,0)&gt;0,IF(AND(NOT(AND(AU176=1,AT176&lt;&gt;1)),ISNUMBER(AN176),AN176&lt;=(C176+T176)),BB176,0)=MAX(IF(AND(NOT(AND(AU176=1,AT176&lt;&gt;1)),ISNUMBER(AK176),AK176&lt;=(C176+T176)),AY176,0),IF(AND(NOT(AND(AU176=1,AT176&lt;&gt;1)),ISNUMBER(AL176),AL176&lt;=(C176+T176)),AZ176,0),IF(AND(NOT(AND(AU176=1,AT176&lt;&gt;1)),ISNUMBER(AM176),AM176&lt;=(C176+T176)),BA176,0),IF(AND(NOT(AND(AU176=1,AT176&lt;&gt;1)),ISNUMBER(AN176),AN176&lt;=(C176+T176)),BB176,0),IF(AND(ISNUMBER(AO176),AO176&lt;=(C176+T176)),BC176,0))),"RLO","BD"))))))))</f>
        <v/>
      </c>
    </row>
    <row r="177">
      <c r="A177" s="26" t="n">
        <v>166</v>
      </c>
      <c r="B177" s="27">
        <f>A177*10/60</f>
        <v/>
      </c>
      <c r="C177" s="22">
        <f>X176</f>
        <v/>
      </c>
      <c r="D177" s="27">
        <f>D176+W176</f>
        <v/>
      </c>
      <c r="E177" s="26">
        <f>E176+IF(U176="SK",1,0)</f>
        <v/>
      </c>
      <c r="F177" s="26">
        <f>F176+IF(U176="LB",1,0)</f>
        <v/>
      </c>
      <c r="G177" s="26">
        <f>G176+IF(U176="ML",1,0)</f>
        <v/>
      </c>
      <c r="H177" s="26">
        <f>H176+IF(U176="RLO",1,0)</f>
        <v/>
      </c>
      <c r="I177" s="26">
        <f>I176+IF(U176="BD",1,0)</f>
        <v/>
      </c>
      <c r="J177" s="26">
        <f>MAX(J176,IF(U176="BiP",1,0))</f>
        <v/>
      </c>
      <c r="K177" s="26">
        <f>MAX(K176,IF(U176="PV",1,0))</f>
        <v/>
      </c>
      <c r="L177" s="26">
        <f>MAX(L176,IF(U176="OC",1,0))</f>
        <v/>
      </c>
      <c r="M177" s="26">
        <f>MAX(M176,IF(U176="MG",1,0))</f>
        <v/>
      </c>
      <c r="N177" s="26">
        <f>MAX(N176,IF(U176="transition",1,0))</f>
        <v/>
      </c>
      <c r="O177" s="28">
        <f>(Parameters!$B$9+(IF(E177=0,0,(Upgrades!$J$13+E177*Upgrades!$K$13)*POWER(Upgrades!$L$13,E177)))*(IF(Upgrades!$T$14="Stellar Kinematics",POWER(Upgrades!$U$14,F177),1)*IF(Upgrades!$T$15="Stellar Kinematics",POWER(Upgrades!$U$15,G177),1)*IF(Upgrades!$T$16="Stellar Kinematics",POWER(Upgrades!$U$16,H177),1)*IF(Upgrades!$T$17="Stellar Kinematics",POWER(Upgrades!$U$17,I177),1)*IF(Upgrades!$T$18="Stellar Kinematics",POWER(Upgrades!$U$18,J177),1)*IF(Upgrades!$T$19="Stellar Kinematics",POWER(Upgrades!$U$19,K177),1)*IF(Upgrades!$T$20="Stellar Kinematics",POWER(Upgrades!$U$20,L177),1)*IF(Upgrades!$T$21="Stellar Kinematics",POWER(Upgrades!$U$21,M177),1))+(IF(F177=0,0,(Upgrades!$J$14+F177*Upgrades!$K$14)*POWER(Upgrades!$L$14,F177)))*(IF(Upgrades!$T$13="Local Bubble",POWER(Upgrades!$U$13,E177),1)*IF(Upgrades!$T$15="Local Bubble",POWER(Upgrades!$U$15,G177),1)*IF(Upgrades!$T$16="Local Bubble",POWER(Upgrades!$U$16,H177),1)*IF(Upgrades!$T$17="Local Bubble",POWER(Upgrades!$U$17,I177),1)*IF(Upgrades!$T$18="Local Bubble",POWER(Upgrades!$U$18,J177),1)*IF(Upgrades!$T$19="Local Bubble",POWER(Upgrades!$U$19,K177),1)*IF(Upgrades!$T$20="Local Bubble",POWER(Upgrades!$U$20,L177),1)*IF(Upgrades!$T$21="Local Bubble",POWER(Upgrades!$U$21,M177),1))+(IF(G177=0,0,(Upgrades!$J$15+G177*Upgrades!$K$15)*POWER(Upgrades!$L$15,G177)))*(IF(Upgrades!$T$13="Microlensing",POWER(Upgrades!$U$13,E177),1)*IF(Upgrades!$T$14="Microlensing",POWER(Upgrades!$U$14,F177),1)*IF(Upgrades!$T$16="Microlensing",POWER(Upgrades!$U$16,H177),1)*IF(Upgrades!$T$17="Microlensing",POWER(Upgrades!$U$17,I177),1)*IF(Upgrades!$T$18="Microlensing",POWER(Upgrades!$U$18,J177),1)*IF(Upgrades!$T$19="Microlensing",POWER(Upgrades!$U$19,K177),1)*IF(Upgrades!$T$20="Microlensing",POWER(Upgrades!$U$20,L177),1)*IF(Upgrades!$T$21="Microlensing",POWER(Upgrades!$U$21,M177),1))+(IF(H177=0,0,(Upgrades!$J$16+H177*Upgrades!$K$16)*POWER(Upgrades!$L$16,H177)))*(IF(Upgrades!$T$13="Roche Lobe Overflow",POWER(Upgrades!$U$13,E177),1)*IF(Upgrades!$T$14="Roche Lobe Overflow",POWER(Upgrades!$U$14,F177),1)*IF(Upgrades!$T$15="Roche Lobe Overflow",POWER(Upgrades!$U$15,G177),1)*IF(Upgrades!$T$17="Roche Lobe Overflow",POWER(Upgrades!$U$17,I177),1)*IF(Upgrades!$T$18="Roche Lobe Overflow",POWER(Upgrades!$U$18,J177),1)*IF(Upgrades!$T$19="Roche Lobe Overflow",POWER(Upgrades!$U$19,K177),1)*IF(Upgrades!$T$20="Roche Lobe Overflow",POWER(Upgrades!$U$20,L177),1)*IF(Upgrades!$T$21="Roche Lobe Overflow",POWER(Upgrades!$U$21,M177),1))+(IF(I177=0,0,(Upgrades!$J$17+I177*Upgrades!$K$17)*POWER(Upgrades!$L$17,I177)))*(IF(Upgrades!$T$13="Brown Dwarf",POWER(Upgrades!$U$13,E177),1)*IF(Upgrades!$T$14="Brown Dwarf",POWER(Upgrades!$U$14,F177),1)*IF(Upgrades!$T$15="Brown Dwarf",POWER(Upgrades!$U$15,G177),1)*IF(Upgrades!$T$16="Brown Dwarf",POWER(Upgrades!$U$16,H177),1)*IF(Upgrades!$T$18="Brown Dwarf",POWER(Upgrades!$U$18,J177),1)*IF(Upgrades!$T$19="Brown Dwarf",POWER(Upgrades!$U$19,K177),1)*IF(Upgrades!$T$20="Brown Dwarf",POWER(Upgrades!$U$20,L177),1)*IF(Upgrades!$T$21="Brown Dwarf",POWER(Upgrades!$U$21,M177),1))+(IF(J177=0,0,(Upgrades!$J$18+J177*Upgrades!$K$18)*POWER(Upgrades!$L$18,J177)))*(IF(Upgrades!$T$13="Binary Partner",POWER(Upgrades!$U$13,E177),1)*IF(Upgrades!$T$14="Binary Partner",POWER(Upgrades!$U$14,F177),1)*IF(Upgrades!$T$15="Binary Partner",POWER(Upgrades!$U$15,G177),1)*IF(Upgrades!$T$16="Binary Partner",POWER(Upgrades!$U$16,H177),1)*IF(Upgrades!$T$17="Binary Partner",POWER(Upgrades!$U$17,I177),1)*IF(Upgrades!$T$19="Binary Partner",POWER(Upgrades!$U$19,K177),1)*IF(Upgrades!$T$20="Binary Partner",POWER(Upgrades!$U$20,L177),1)*IF(Upgrades!$T$21="Binary Partner",POWER(Upgrades!$U$21,M177),1))+(IF(K177=0,0,(Upgrades!$J$19+K177*Upgrades!$K$19)*POWER(Upgrades!$L$19,K177)))*(IF(Upgrades!$T$13="Peculiar Velocity",POWER(Upgrades!$U$13,E177),1)*IF(Upgrades!$T$14="Peculiar Velocity",POWER(Upgrades!$U$14,F177),1)*IF(Upgrades!$T$15="Peculiar Velocity",POWER(Upgrades!$U$15,G177),1)*IF(Upgrades!$T$16="Peculiar Velocity",POWER(Upgrades!$U$16,H177),1)*IF(Upgrades!$T$17="Peculiar Velocity",POWER(Upgrades!$U$17,I177),1)*IF(Upgrades!$T$18="Peculiar Velocity",POWER(Upgrades!$U$18,J177),1)*IF(Upgrades!$T$20="Peculiar Velocity",POWER(Upgrades!$U$20,L177),1)*IF(Upgrades!$T$21="Peculiar Velocity",POWER(Upgrades!$U$21,M177),1))+(IF(L177=0,0,(Upgrades!$J$20+L177*Upgrades!$K$20)*POWER(Upgrades!$L$20,L177)))*(IF(Upgrades!$T$13="Open Cluster",POWER(Upgrades!$U$13,E177),1)*IF(Upgrades!$T$14="Open Cluster",POWER(Upgrades!$U$14,F177),1)*IF(Upgrades!$T$15="Open Cluster",POWER(Upgrades!$U$15,G177),1)*IF(Upgrades!$T$16="Open Cluster",POWER(Upgrades!$U$16,H177),1)*IF(Upgrades!$T$17="Open Cluster",POWER(Upgrades!$U$17,I177),1)*IF(Upgrades!$T$18="Open Cluster",POWER(Upgrades!$U$18,J177),1)*IF(Upgrades!$T$19="Open Cluster",POWER(Upgrades!$U$19,K177),1)*IF(Upgrades!$T$21="Open Cluster",POWER(Upgrades!$U$21,M177),1))+(IF(M177=0,0,(Upgrades!$J$21+M177*Upgrades!$K$21)*POWER(Upgrades!$L$21,M177)))*(IF(Upgrades!$T$13="Moving Group",POWER(Upgrades!$U$13,E177),1)*IF(Upgrades!$T$14="Moving Group",POWER(Upgrades!$U$14,F177),1)*IF(Upgrades!$T$15="Moving Group",POWER(Upgrades!$U$15,G177),1)*IF(Upgrades!$T$16="Moving Group",POWER(Upgrades!$U$16,H177),1)*IF(Upgrades!$T$17="Moving Group",POWER(Upgrades!$U$17,I177),1)*IF(Upgrades!$T$18="Moving Group",POWER(Upgrades!$U$18,J177),1)*IF(Upgrades!$T$19="Moving Group",POWER(Upgrades!$U$19,K177),1)*IF(Upgrades!$T$20="Moving Group",POWER(Upgrades!$U$20,L177),1)))*POWER(Upgrades!$Q$13,E177)*POWER(Upgrades!$Q$14,F177)*POWER(Upgrades!$Q$15,G177)*POWER(Upgrades!$Q$16,H177)*POWER(Upgrades!$Q$17,I177)*POWER(Upgrades!$Q$18,J177)*POWER(Upgrades!$Q$19,K177)*POWER(Upgrades!$Q$20,L177)*POWER(Upgrades!$Q$21,M177)*$G$6+$D$6</f>
        <v/>
      </c>
      <c r="P177" s="28">
        <f>((IF(E177=0,0,(Upgrades!$G$13+E177*Upgrades!$H$13)*POWER(Upgrades!$I$13,E177)))*(IF(Upgrades!$T$14="Stellar Kinematics",POWER(Upgrades!$U$14,F177),1)*IF(Upgrades!$T$15="Stellar Kinematics",POWER(Upgrades!$U$15,G177),1)*IF(Upgrades!$T$16="Stellar Kinematics",POWER(Upgrades!$U$16,H177),1)*IF(Upgrades!$T$17="Stellar Kinematics",POWER(Upgrades!$U$17,I177),1)*IF(Upgrades!$T$18="Stellar Kinematics",POWER(Upgrades!$U$18,J177),1)*IF(Upgrades!$T$19="Stellar Kinematics",POWER(Upgrades!$U$19,K177),1)*IF(Upgrades!$T$20="Stellar Kinematics",POWER(Upgrades!$U$20,L177),1)*IF(Upgrades!$T$21="Stellar Kinematics",POWER(Upgrades!$U$21,M177),1))+(IF(F177=0,0,(Upgrades!$G$14+F177*Upgrades!$H$14)*POWER(Upgrades!$I$14,F177)))*(IF(Upgrades!$T$13="Local Bubble",POWER(Upgrades!$U$13,E177),1)*IF(Upgrades!$T$15="Local Bubble",POWER(Upgrades!$U$15,G177),1)*IF(Upgrades!$T$16="Local Bubble",POWER(Upgrades!$U$16,H177),1)*IF(Upgrades!$T$17="Local Bubble",POWER(Upgrades!$U$17,I177),1)*IF(Upgrades!$T$18="Local Bubble",POWER(Upgrades!$U$18,J177),1)*IF(Upgrades!$T$19="Local Bubble",POWER(Upgrades!$U$19,K177),1)*IF(Upgrades!$T$20="Local Bubble",POWER(Upgrades!$U$20,L177),1)*IF(Upgrades!$T$21="Local Bubble",POWER(Upgrades!$U$21,M177),1))+(IF(G177=0,0,(Upgrades!$G$15+G177*Upgrades!$H$15)*POWER(Upgrades!$I$15,G177)))*(IF(Upgrades!$T$13="Microlensing",POWER(Upgrades!$U$13,E177),1)*IF(Upgrades!$T$14="Microlensing",POWER(Upgrades!$U$14,F177),1)*IF(Upgrades!$T$16="Microlensing",POWER(Upgrades!$U$16,H177),1)*IF(Upgrades!$T$17="Microlensing",POWER(Upgrades!$U$17,I177),1)*IF(Upgrades!$T$18="Microlensing",POWER(Upgrades!$U$18,J177),1)*IF(Upgrades!$T$19="Microlensing",POWER(Upgrades!$U$19,K177),1)*IF(Upgrades!$T$20="Microlensing",POWER(Upgrades!$U$20,L177),1)*IF(Upgrades!$T$21="Microlensing",POWER(Upgrades!$U$21,M177),1))+(IF(H177=0,0,(Upgrades!$G$16+H177*Upgrades!$H$16)*POWER(Upgrades!$I$16,H177)))*(IF(Upgrades!$T$13="Roche Lobe Overflow",POWER(Upgrades!$U$13,E177),1)*IF(Upgrades!$T$14="Roche Lobe Overflow",POWER(Upgrades!$U$14,F177),1)*IF(Upgrades!$T$15="Roche Lobe Overflow",POWER(Upgrades!$U$15,G177),1)*IF(Upgrades!$T$17="Roche Lobe Overflow",POWER(Upgrades!$U$17,I177),1)*IF(Upgrades!$T$18="Roche Lobe Overflow",POWER(Upgrades!$U$18,J177),1)*IF(Upgrades!$T$19="Roche Lobe Overflow",POWER(Upgrades!$U$19,K177),1)*IF(Upgrades!$T$20="Roche Lobe Overflow",POWER(Upgrades!$U$20,L177),1)*IF(Upgrades!$T$21="Roche Lobe Overflow",POWER(Upgrades!$U$21,M177),1))+(IF(I177=0,0,(Upgrades!$G$17+I177*Upgrades!$H$17)*POWER(Upgrades!$I$17,I177)))*(IF(Upgrades!$T$13="Brown Dwarf",POWER(Upgrades!$U$13,E177),1)*IF(Upgrades!$T$14="Brown Dwarf",POWER(Upgrades!$U$14,F177),1)*IF(Upgrades!$T$15="Brown Dwarf",POWER(Upgrades!$U$15,G177),1)*IF(Upgrades!$T$16="Brown Dwarf",POWER(Upgrades!$U$16,H177),1)*IF(Upgrades!$T$18="Brown Dwarf",POWER(Upgrades!$U$18,J177),1)*IF(Upgrades!$T$19="Brown Dwarf",POWER(Upgrades!$U$19,K177),1)*IF(Upgrades!$T$20="Brown Dwarf",POWER(Upgrades!$U$20,L177),1)*IF(Upgrades!$T$21="Brown Dwarf",POWER(Upgrades!$U$21,M177),1))+(IF(J177=0,0,(Upgrades!$G$18+J177*Upgrades!$H$18)*POWER(Upgrades!$I$18,J177)))*(IF(Upgrades!$T$13="Binary Partner",POWER(Upgrades!$U$13,E177),1)*IF(Upgrades!$T$14="Binary Partner",POWER(Upgrades!$U$14,F177),1)*IF(Upgrades!$T$15="Binary Partner",POWER(Upgrades!$U$15,G177),1)*IF(Upgrades!$T$16="Binary Partner",POWER(Upgrades!$U$16,H177),1)*IF(Upgrades!$T$17="Binary Partner",POWER(Upgrades!$U$17,I177),1)*IF(Upgrades!$T$19="Binary Partner",POWER(Upgrades!$U$19,K177),1)*IF(Upgrades!$T$20="Binary Partner",POWER(Upgrades!$U$20,L177),1)*IF(Upgrades!$T$21="Binary Partner",POWER(Upgrades!$U$21,M177),1))+(IF(K177=0,0,(Upgrades!$G$19+K177*Upgrades!$H$19)*POWER(Upgrades!$I$19,K177)))*(IF(Upgrades!$T$13="Peculiar Velocity",POWER(Upgrades!$U$13,E177),1)*IF(Upgrades!$T$14="Peculiar Velocity",POWER(Upgrades!$U$14,F177),1)*IF(Upgrades!$T$15="Peculiar Velocity",POWER(Upgrades!$U$15,G177),1)*IF(Upgrades!$T$16="Peculiar Velocity",POWER(Upgrades!$U$16,H177),1)*IF(Upgrades!$T$17="Peculiar Velocity",POWER(Upgrades!$U$17,I177),1)*IF(Upgrades!$T$18="Peculiar Velocity",POWER(Upgrades!$U$18,J177),1)*IF(Upgrades!$T$20="Peculiar Velocity",POWER(Upgrades!$U$20,L177),1)*IF(Upgrades!$T$21="Peculiar Velocity",POWER(Upgrades!$U$21,M177),1))+(IF(L177=0,0,(Upgrades!$G$20+L177*Upgrades!$H$20)*POWER(Upgrades!$I$20,L177)))*(IF(Upgrades!$T$13="Open Cluster",POWER(Upgrades!$U$13,E177),1)*IF(Upgrades!$T$14="Open Cluster",POWER(Upgrades!$U$14,F177),1)*IF(Upgrades!$T$15="Open Cluster",POWER(Upgrades!$U$15,G177),1)*IF(Upgrades!$T$16="Open Cluster",POWER(Upgrades!$U$16,H177),1)*IF(Upgrades!$T$17="Open Cluster",POWER(Upgrades!$U$17,I177),1)*IF(Upgrades!$T$18="Open Cluster",POWER(Upgrades!$U$18,J177),1)*IF(Upgrades!$T$19="Open Cluster",POWER(Upgrades!$U$19,K177),1)*IF(Upgrades!$T$21="Open Cluster",POWER(Upgrades!$U$21,M177),1))+(IF(M177=0,0,(Upgrades!$G$21+M177*Upgrades!$H$21)*POWER(Upgrades!$I$21,M177)))*(IF(Upgrades!$T$13="Moving Group",POWER(Upgrades!$U$13,E177),1)*IF(Upgrades!$T$14="Moving Group",POWER(Upgrades!$U$14,F177),1)*IF(Upgrades!$T$15="Moving Group",POWER(Upgrades!$U$15,G177),1)*IF(Upgrades!$T$16="Moving Group",POWER(Upgrades!$U$16,H177),1)*IF(Upgrades!$T$17="Moving Group",POWER(Upgrades!$U$17,I177),1)*IF(Upgrades!$T$18="Moving Group",POWER(Upgrades!$U$18,J177),1)*IF(Upgrades!$T$19="Moving Group",POWER(Upgrades!$U$19,K177),1)*IF(Upgrades!$T$20="Moving Group",POWER(Upgrades!$U$20,L177),1)))*POWER(Upgrades!$P$13,E177)*POWER(Upgrades!$P$14,F177)*POWER(Upgrades!$P$15,G177)*POWER(Upgrades!$P$16,H177)*POWER(Upgrades!$P$17,I177)*POWER(Upgrades!$P$18,J177)*POWER(Upgrades!$P$19,K177)*POWER(Upgrades!$P$20,L177)*POWER(Upgrades!$P$21,M177)*$F$6+$C$6</f>
        <v/>
      </c>
      <c r="Q177" s="28">
        <f>((IF(E177=0,0,(Upgrades!$M$13+E177*Upgrades!$N$13)*POWER(Upgrades!$O$13,E177)))*(IF(Upgrades!$T$14="Stellar Kinematics",POWER(Upgrades!$U$14,F177),1)*IF(Upgrades!$T$15="Stellar Kinematics",POWER(Upgrades!$U$15,G177),1)*IF(Upgrades!$T$16="Stellar Kinematics",POWER(Upgrades!$U$16,H177),1)*IF(Upgrades!$T$17="Stellar Kinematics",POWER(Upgrades!$U$17,I177),1)*IF(Upgrades!$T$18="Stellar Kinematics",POWER(Upgrades!$U$18,J177),1)*IF(Upgrades!$T$19="Stellar Kinematics",POWER(Upgrades!$U$19,K177),1)*IF(Upgrades!$T$20="Stellar Kinematics",POWER(Upgrades!$U$20,L177),1)*IF(Upgrades!$T$21="Stellar Kinematics",POWER(Upgrades!$U$21,M177),1))+(IF(F177=0,0,(Upgrades!$M$14+F177*Upgrades!$N$14)*POWER(Upgrades!$O$14,F177)))*(IF(Upgrades!$T$13="Local Bubble",POWER(Upgrades!$U$13,E177),1)*IF(Upgrades!$T$15="Local Bubble",POWER(Upgrades!$U$15,G177),1)*IF(Upgrades!$T$16="Local Bubble",POWER(Upgrades!$U$16,H177),1)*IF(Upgrades!$T$17="Local Bubble",POWER(Upgrades!$U$17,I177),1)*IF(Upgrades!$T$18="Local Bubble",POWER(Upgrades!$U$18,J177),1)*IF(Upgrades!$T$19="Local Bubble",POWER(Upgrades!$U$19,K177),1)*IF(Upgrades!$T$20="Local Bubble",POWER(Upgrades!$U$20,L177),1)*IF(Upgrades!$T$21="Local Bubble",POWER(Upgrades!$U$21,M177),1))+(IF(G177=0,0,(Upgrades!$M$15+G177*Upgrades!$N$15)*POWER(Upgrades!$O$15,G177)))*(IF(Upgrades!$T$13="Microlensing",POWER(Upgrades!$U$13,E177),1)*IF(Upgrades!$T$14="Microlensing",POWER(Upgrades!$U$14,F177),1)*IF(Upgrades!$T$16="Microlensing",POWER(Upgrades!$U$16,H177),1)*IF(Upgrades!$T$17="Microlensing",POWER(Upgrades!$U$17,I177),1)*IF(Upgrades!$T$18="Microlensing",POWER(Upgrades!$U$18,J177),1)*IF(Upgrades!$T$19="Microlensing",POWER(Upgrades!$U$19,K177),1)*IF(Upgrades!$T$20="Microlensing",POWER(Upgrades!$U$20,L177),1)*IF(Upgrades!$T$21="Microlensing",POWER(Upgrades!$U$21,M177),1))+(IF(H177=0,0,(Upgrades!$M$16+H177*Upgrades!$N$16)*POWER(Upgrades!$O$16,H177)))*(IF(Upgrades!$T$13="Roche Lobe Overflow",POWER(Upgrades!$U$13,E177),1)*IF(Upgrades!$T$14="Roche Lobe Overflow",POWER(Upgrades!$U$14,F177),1)*IF(Upgrades!$T$15="Roche Lobe Overflow",POWER(Upgrades!$U$15,G177),1)*IF(Upgrades!$T$17="Roche Lobe Overflow",POWER(Upgrades!$U$17,I177),1)*IF(Upgrades!$T$18="Roche Lobe Overflow",POWER(Upgrades!$U$18,J177),1)*IF(Upgrades!$T$19="Roche Lobe Overflow",POWER(Upgrades!$U$19,K177),1)*IF(Upgrades!$T$20="Roche Lobe Overflow",POWER(Upgrades!$U$20,L177),1)*IF(Upgrades!$T$21="Roche Lobe Overflow",POWER(Upgrades!$U$21,M177),1))+(IF(I177=0,0,(Upgrades!$M$17+I177*Upgrades!$N$17)*POWER(Upgrades!$O$17,I177)))*(IF(Upgrades!$T$13="Brown Dwarf",POWER(Upgrades!$U$13,E177),1)*IF(Upgrades!$T$14="Brown Dwarf",POWER(Upgrades!$U$14,F177),1)*IF(Upgrades!$T$15="Brown Dwarf",POWER(Upgrades!$U$15,G177),1)*IF(Upgrades!$T$16="Brown Dwarf",POWER(Upgrades!$U$16,H177),1)*IF(Upgrades!$T$18="Brown Dwarf",POWER(Upgrades!$U$18,J177),1)*IF(Upgrades!$T$19="Brown Dwarf",POWER(Upgrades!$U$19,K177),1)*IF(Upgrades!$T$20="Brown Dwarf",POWER(Upgrades!$U$20,L177),1)*IF(Upgrades!$T$21="Brown Dwarf",POWER(Upgrades!$U$21,M177),1))+(IF(J177=0,0,(Upgrades!$M$18+J177*Upgrades!$N$18)*POWER(Upgrades!$O$18,J177)))*(IF(Upgrades!$T$13="Binary Partner",POWER(Upgrades!$U$13,E177),1)*IF(Upgrades!$T$14="Binary Partner",POWER(Upgrades!$U$14,F177),1)*IF(Upgrades!$T$15="Binary Partner",POWER(Upgrades!$U$15,G177),1)*IF(Upgrades!$T$16="Binary Partner",POWER(Upgrades!$U$16,H177),1)*IF(Upgrades!$T$17="Binary Partner",POWER(Upgrades!$U$17,I177),1)*IF(Upgrades!$T$19="Binary Partner",POWER(Upgrades!$U$19,K177),1)*IF(Upgrades!$T$20="Binary Partner",POWER(Upgrades!$U$20,L177),1)*IF(Upgrades!$T$21="Binary Partner",POWER(Upgrades!$U$21,M177),1))+(IF(K177=0,0,(Upgrades!$M$19+K177*Upgrades!$N$19)*POWER(Upgrades!$O$19,K177)))*(IF(Upgrades!$T$13="Peculiar Velocity",POWER(Upgrades!$U$13,E177),1)*IF(Upgrades!$T$14="Peculiar Velocity",POWER(Upgrades!$U$14,F177),1)*IF(Upgrades!$T$15="Peculiar Velocity",POWER(Upgrades!$U$15,G177),1)*IF(Upgrades!$T$16="Peculiar Velocity",POWER(Upgrades!$U$16,H177),1)*IF(Upgrades!$T$17="Peculiar Velocity",POWER(Upgrades!$U$17,I177),1)*IF(Upgrades!$T$18="Peculiar Velocity",POWER(Upgrades!$U$18,J177),1)*IF(Upgrades!$T$20="Peculiar Velocity",POWER(Upgrades!$U$20,L177),1)*IF(Upgrades!$T$21="Peculiar Velocity",POWER(Upgrades!$U$21,M177),1))+(IF(L177=0,0,(Upgrades!$M$20+L177*Upgrades!$N$20)*POWER(Upgrades!$O$20,L177)))*(IF(Upgrades!$T$13="Open Cluster",POWER(Upgrades!$U$13,E177),1)*IF(Upgrades!$T$14="Open Cluster",POWER(Upgrades!$U$14,F177),1)*IF(Upgrades!$T$15="Open Cluster",POWER(Upgrades!$U$15,G177),1)*IF(Upgrades!$T$16="Open Cluster",POWER(Upgrades!$U$16,H177),1)*IF(Upgrades!$T$17="Open Cluster",POWER(Upgrades!$U$17,I177),1)*IF(Upgrades!$T$18="Open Cluster",POWER(Upgrades!$U$18,J177),1)*IF(Upgrades!$T$19="Open Cluster",POWER(Upgrades!$U$19,K177),1)*IF(Upgrades!$T$21="Open Cluster",POWER(Upgrades!$U$21,M177),1))+(IF(M177=0,0,(Upgrades!$M$21+M177*Upgrades!$N$21)*POWER(Upgrades!$O$21,M177)))*(IF(Upgrades!$T$13="Moving Group",POWER(Upgrades!$U$13,E177),1)*IF(Upgrades!$T$14="Moving Group",POWER(Upgrades!$U$14,F177),1)*IF(Upgrades!$T$15="Moving Group",POWER(Upgrades!$U$15,G177),1)*IF(Upgrades!$T$16="Moving Group",POWER(Upgrades!$U$16,H177),1)*IF(Upgrades!$T$17="Moving Group",POWER(Upgrades!$U$17,I177),1)*IF(Upgrades!$T$18="Moving Group",POWER(Upgrades!$U$18,J177),1)*IF(Upgrades!$T$19="Moving Group",POWER(Upgrades!$U$19,K177),1)*IF(Upgrades!$T$20="Moving Group",POWER(Upgrades!$U$20,L177),1)))*POWER(Upgrades!$R$13,E177)*POWER(Upgrades!$R$14,F177)*POWER(Upgrades!$R$15,G177)*POWER(Upgrades!$R$16,H177)*POWER(Upgrades!$R$17,I177)*POWER(Upgrades!$R$18,J177)*POWER(Upgrades!$R$19,K177)*POWER(Upgrades!$R$20,L177)*POWER(Upgrades!$R$21,M177)*$H$6+$E$6</f>
        <v/>
      </c>
      <c r="R177" s="27">
        <f>IF(N177=1,0,O177*Parameters!$B$10/60*Parameters!$B$11*10)</f>
        <v/>
      </c>
      <c r="S177" s="27">
        <f>IF(N177=1,0,Q177*O177*10)</f>
        <v/>
      </c>
      <c r="T177" s="27">
        <f>IF(N177=1,0,R177+S177+P177*10)</f>
        <v/>
      </c>
      <c r="U177" s="33">
        <f>BE177</f>
        <v/>
      </c>
      <c r="V177" s="22">
        <f>IF(U177="",0,IF(U177="transition",0,IF(U177="SK",AK177,IF(U177="LB",AL177,IF(U177="ML",AM177,IF(U177="RLO",AN177,IF(U177="BD",AO177,IF(U177="BiP",AP177,IF(U177="PV",AQ177,IF(U177="OC",AR177,IF(U177="MG",AS177,0))))))))))</f>
        <v/>
      </c>
      <c r="W177" s="27">
        <f>IF(U177="BiP",Upgrades!$F$18,IF(U177="PV",Upgrades!$F$19,IF(U177="OC",Upgrades!$F$20,IF(U177="MG",Upgrades!$F$21,IF(U177="transition",-Parameters!$B$18*Parameters!$B$19,0)))))</f>
        <v/>
      </c>
      <c r="X177" s="22">
        <f>C177+T177-V177</f>
        <v/>
      </c>
      <c r="Y177" s="30">
        <f>O177*Parameters!$B$10/60*Parameters!$B$11+Q177*O177+P177</f>
        <v/>
      </c>
      <c r="Z177" s="34">
        <f>IF(U177="transition","→ Tier 3 (Galactic Arm)",IF(U177="MG","Moving Group — pocket drifts together",IF(U177="OC","Open Cluster acquired",IF(U177="PV","Peculiar Velocity — passive multiplier active",IF(U177="BiP","Binary Partner — pair bond formed",IF(AND(AU177=1,N177=0,AT177&lt;&gt;1),"Cohesion ready (waiting on completionists)","")))))) </f>
        <v/>
      </c>
      <c r="AA177" s="27">
        <f>(IF(E177=0,0,(Upgrades!$G$13+E177*Upgrades!$H$13)*POWER(Upgrades!$I$13,E177)))*(IF(Upgrades!$T$14="Stellar Kinematics",POWER(Upgrades!$U$14,F177),1)*IF(Upgrades!$T$15="Stellar Kinematics",POWER(Upgrades!$U$15,G177),1)*IF(Upgrades!$T$16="Stellar Kinematics",POWER(Upgrades!$U$16,H177),1)*IF(Upgrades!$T$17="Stellar Kinematics",POWER(Upgrades!$U$17,I177),1)*IF(Upgrades!$T$18="Stellar Kinematics",POWER(Upgrades!$U$18,J177),1)*IF(Upgrades!$T$19="Stellar Kinematics",POWER(Upgrades!$U$19,K177),1)*IF(Upgrades!$T$20="Stellar Kinematics",POWER(Upgrades!$U$20,L177),1)*IF(Upgrades!$T$21="Stellar Kinematics",POWER(Upgrades!$U$21,M177),1))*POWER(Upgrades!$P$13,E177)*POWER(Upgrades!$P$14,F177)*POWER(Upgrades!$P$15,G177)*POWER(Upgrades!$P$16,H177)*POWER(Upgrades!$P$17,I177)*POWER(Upgrades!$P$18,J177)*POWER(Upgrades!$P$19,K177)*POWER(Upgrades!$P$20,L177)*POWER(Upgrades!$P$21,M177)*$F$6*60</f>
        <v/>
      </c>
      <c r="AB177" s="27">
        <f>(IF(F177=0,0,(Upgrades!$G$14+F177*Upgrades!$H$14)*POWER(Upgrades!$I$14,F177)))*(IF(Upgrades!$T$13="Local Bubble",POWER(Upgrades!$U$13,E177),1)*IF(Upgrades!$T$15="Local Bubble",POWER(Upgrades!$U$15,G177),1)*IF(Upgrades!$T$16="Local Bubble",POWER(Upgrades!$U$16,H177),1)*IF(Upgrades!$T$17="Local Bubble",POWER(Upgrades!$U$17,I177),1)*IF(Upgrades!$T$18="Local Bubble",POWER(Upgrades!$U$18,J177),1)*IF(Upgrades!$T$19="Local Bubble",POWER(Upgrades!$U$19,K177),1)*IF(Upgrades!$T$20="Local Bubble",POWER(Upgrades!$U$20,L177),1)*IF(Upgrades!$T$21="Local Bubble",POWER(Upgrades!$U$21,M177),1))*POWER(Upgrades!$P$13,E177)*POWER(Upgrades!$P$14,F177)*POWER(Upgrades!$P$15,G177)*POWER(Upgrades!$P$16,H177)*POWER(Upgrades!$P$17,I177)*POWER(Upgrades!$P$18,J177)*POWER(Upgrades!$P$19,K177)*POWER(Upgrades!$P$20,L177)*POWER(Upgrades!$P$21,M177)*$F$6*60</f>
        <v/>
      </c>
      <c r="AC177" s="27">
        <f>(IF(G177=0,0,(Upgrades!$J$15+G177*Upgrades!$K$15)*POWER(Upgrades!$L$15,G177)))*(IF(Upgrades!$T$13="Microlensing",POWER(Upgrades!$U$13,E177),1)*IF(Upgrades!$T$14="Microlensing",POWER(Upgrades!$U$14,F177),1)*IF(Upgrades!$T$16="Microlensing",POWER(Upgrades!$U$16,H177),1)*IF(Upgrades!$T$17="Microlensing",POWER(Upgrades!$U$17,I177),1)*IF(Upgrades!$T$18="Microlensing",POWER(Upgrades!$U$18,J177),1)*IF(Upgrades!$T$19="Microlensing",POWER(Upgrades!$U$19,K177),1)*IF(Upgrades!$T$20="Microlensing",POWER(Upgrades!$U$20,L177),1)*IF(Upgrades!$T$21="Microlensing",POWER(Upgrades!$U$21,M177),1))*POWER(Upgrades!$Q$13,E177)*POWER(Upgrades!$Q$14,F177)*POWER(Upgrades!$Q$15,G177)*POWER(Upgrades!$Q$16,H177)*POWER(Upgrades!$Q$17,I177)*POWER(Upgrades!$Q$18,J177)*POWER(Upgrades!$Q$19,K177)*POWER(Upgrades!$Q$20,L177)*POWER(Upgrades!$Q$21,M177)*$G$6*(Parameters!$B$10*Parameters!$B$11+Q177*60)</f>
        <v/>
      </c>
      <c r="AD177" s="27">
        <f>(IF(H177=0,0,(Upgrades!$M$16+H177*Upgrades!$N$16)*POWER(Upgrades!$O$16,H177)))*(IF(Upgrades!$T$13="Roche Lobe Overflow",POWER(Upgrades!$U$13,E177),1)*IF(Upgrades!$T$14="Roche Lobe Overflow",POWER(Upgrades!$U$14,F177),1)*IF(Upgrades!$T$15="Roche Lobe Overflow",POWER(Upgrades!$U$15,G177),1)*IF(Upgrades!$T$17="Roche Lobe Overflow",POWER(Upgrades!$U$17,I177),1)*IF(Upgrades!$T$18="Roche Lobe Overflow",POWER(Upgrades!$U$18,J177),1)*IF(Upgrades!$T$19="Roche Lobe Overflow",POWER(Upgrades!$U$19,K177),1)*IF(Upgrades!$T$20="Roche Lobe Overflow",POWER(Upgrades!$U$20,L177),1)*IF(Upgrades!$T$21="Roche Lobe Overflow",POWER(Upgrades!$U$21,M177),1))*POWER(Upgrades!$R$13,E177)*POWER(Upgrades!$R$14,F177)*POWER(Upgrades!$R$15,G177)*POWER(Upgrades!$R$16,H177)*POWER(Upgrades!$R$17,I177)*POWER(Upgrades!$R$18,J177)*POWER(Upgrades!$R$19,K177)*POWER(Upgrades!$R$20,L177)*POWER(Upgrades!$R$21,M177)*$H$6*O177*60</f>
        <v/>
      </c>
      <c r="AE177" s="27">
        <f>(IF(I177=0,0,(Upgrades!$G$17+I177*Upgrades!$H$17)*POWER(Upgrades!$I$17,I177)))*(IF(Upgrades!$T$13="Brown Dwarf",POWER(Upgrades!$U$13,E177),1)*IF(Upgrades!$T$14="Brown Dwarf",POWER(Upgrades!$U$14,F177),1)*IF(Upgrades!$T$15="Brown Dwarf",POWER(Upgrades!$U$15,G177),1)*IF(Upgrades!$T$16="Brown Dwarf",POWER(Upgrades!$U$16,H177),1)*IF(Upgrades!$T$18="Brown Dwarf",POWER(Upgrades!$U$18,J177),1)*IF(Upgrades!$T$19="Brown Dwarf",POWER(Upgrades!$U$19,K177),1)*IF(Upgrades!$T$20="Brown Dwarf",POWER(Upgrades!$U$20,L177),1)*IF(Upgrades!$T$21="Brown Dwarf",POWER(Upgrades!$U$21,M177),1))*POWER(Upgrades!$P$13,E177)*POWER(Upgrades!$P$14,F177)*POWER(Upgrades!$P$15,G177)*POWER(Upgrades!$P$16,H177)*POWER(Upgrades!$P$17,I177)*POWER(Upgrades!$P$18,J177)*POWER(Upgrades!$P$19,K177)*POWER(Upgrades!$P$20,L177)*POWER(Upgrades!$P$21,M177)*$F$6*60</f>
        <v/>
      </c>
      <c r="AF177" s="27" t="n">
        <v>0</v>
      </c>
      <c r="AG177" s="27" t="n">
        <v>0</v>
      </c>
      <c r="AH177" s="27" t="n">
        <v>0</v>
      </c>
      <c r="AI177" s="27">
        <f>(IF(M177=0,0,(Upgrades!$G$21+M177*Upgrades!$H$21)*POWER(Upgrades!$I$21,M177)))*(IF(Upgrades!$T$13="Moving Group",POWER(Upgrades!$U$13,E177),1)*IF(Upgrades!$T$14="Moving Group",POWER(Upgrades!$U$14,F177),1)*IF(Upgrades!$T$15="Moving Group",POWER(Upgrades!$U$15,G177),1)*IF(Upgrades!$T$16="Moving Group",POWER(Upgrades!$U$16,H177),1)*IF(Upgrades!$T$17="Moving Group",POWER(Upgrades!$U$17,I177),1)*IF(Upgrades!$T$18="Moving Group",POWER(Upgrades!$U$18,J177),1)*IF(Upgrades!$T$19="Moving Group",POWER(Upgrades!$U$19,K177),1)*IF(Upgrades!$T$20="Moving Group",POWER(Upgrades!$U$20,L177),1))*POWER(Upgrades!$P$13,E177)*POWER(Upgrades!$P$14,F177)*POWER(Upgrades!$P$15,G177)*POWER(Upgrades!$P$16,H177)*POWER(Upgrades!$P$17,I177)*POWER(Upgrades!$P$18,J177)*POWER(Upgrades!$P$19,K177)*POWER(Upgrades!$P$20,L177)*POWER(Upgrades!$P$21,M177)*$F$6*60</f>
        <v/>
      </c>
      <c r="AJ177" s="27">
        <f>$C$6*60</f>
        <v/>
      </c>
      <c r="AK177" s="22">
        <f>IF(E177&gt;=Upgrades!$E$13,"",Upgrades!$C$13*POWER(Upgrades!$D$13,E177))</f>
        <v/>
      </c>
      <c r="AL177" s="22">
        <f>IF(F177&gt;=Upgrades!$E$14,"",Upgrades!$C$14*POWER(Upgrades!$D$14,F177))</f>
        <v/>
      </c>
      <c r="AM177" s="22">
        <f>IF(G177&gt;=Upgrades!$E$15,"",Upgrades!$C$15*POWER(Upgrades!$D$15,G177))</f>
        <v/>
      </c>
      <c r="AN177" s="22">
        <f>IF(H177&gt;=Upgrades!$E$16,"",Upgrades!$C$16*POWER(Upgrades!$D$16,H177))</f>
        <v/>
      </c>
      <c r="AO177" s="22">
        <f>IF(I177&gt;=Upgrades!$E$17,"",Upgrades!$C$17*POWER(Upgrades!$D$17,I177))</f>
        <v/>
      </c>
      <c r="AP177" s="22">
        <f>IF(J177&gt;=Upgrades!$E$18,"",Upgrades!$C$18*POWER(Upgrades!$D$18,J177))</f>
        <v/>
      </c>
      <c r="AQ177" s="22">
        <f>IF(K177&gt;=Upgrades!$E$19,"",Upgrades!$C$19*POWER(Upgrades!$D$19,K177))</f>
        <v/>
      </c>
      <c r="AR177" s="22">
        <f>IF(L177&gt;=Upgrades!$E$20,"",Upgrades!$C$20*POWER(Upgrades!$D$20,L177))</f>
        <v/>
      </c>
      <c r="AS177" s="22">
        <f>IF(M177&gt;=Upgrades!$E$21,"",Upgrades!$C$21*POWER(Upgrades!$D$21,M177))</f>
        <v/>
      </c>
      <c r="AT177" s="26">
        <f>IF(AND(D177&gt;=Parameters!$B$18*Parameters!$B$19,(I177&gt;=Upgrades!$E$17)*(M177&gt;=Upgrades!$E$21)=1,N177=0),1,"")</f>
        <v/>
      </c>
      <c r="AU177" s="26">
        <f>IF(AND(D177&gt;=Parameters!$B$18*Parameters!$B$19,N177=0),1,"")</f>
        <v/>
      </c>
      <c r="AV177" s="22">
        <f>MIN(IF(ISNUMBER(AP177),AP177,9E15),IF(ISNUMBER(AQ177),AQ177,9E15),IF(ISNUMBER(AR177),AR177,9E15),IF(ISNUMBER(AS177),AS177,9E15))</f>
        <v/>
      </c>
      <c r="AW177" s="22">
        <f>MIN(IF(ISNUMBER(AK177),AK177,9E15),IF(ISNUMBER(AL177),AL177,9E15),IF(ISNUMBER(AM177),AM177,9E15),IF(ISNUMBER(AN177),AN177,9E15),IF(ISNUMBER(AO177),AO177,9E15))</f>
        <v/>
      </c>
      <c r="AX177" s="29">
        <f>IF(BD177&gt;Parameters!$B$21*(MAX(IF(AND(NOT(AND(AU177=1,AT177&lt;&gt;1)),ISNUMBER(AK177),AK177&lt;=(C177+T177)),AY177,0),IF(AND(NOT(AND(AU177=1,AT177&lt;&gt;1)),ISNUMBER(AL177),AL177&lt;=(C177+T177)),AZ177,0),IF(AND(NOT(AND(AU177=1,AT177&lt;&gt;1)),ISNUMBER(AM177),AM177&lt;=(C177+T177)),BA177,0),IF(AND(NOT(AND(AU177=1,AT177&lt;&gt;1)),ISNUMBER(AN177),AN177&lt;=(C177+T177)),BB177,0),IF(AND(ISNUMBER(AO177),AO177&lt;=(C177+T177)),BC177,0))),TRUE,FALSE)</f>
        <v/>
      </c>
      <c r="AY177" s="32">
        <f>IFERROR(Upgrades!$H$13*(POWER(Upgrades!$P$13,E177)*POWER(Upgrades!$P$14,F177)*POWER(Upgrades!$P$15,G177)*POWER(Upgrades!$P$16,H177)*POWER(Upgrades!$P$17,I177)*POWER(Upgrades!$P$18,J177)*POWER(Upgrades!$P$19,K177)*POWER(Upgrades!$P$20,L177)*POWER(Upgrades!$P$21,M177))*(IF(Upgrades!$T$14="Stellar Kinematics",POWER(Upgrades!$U$14,F177),1)*IF(Upgrades!$T$15="Stellar Kinematics",POWER(Upgrades!$U$15,G177),1)*IF(Upgrades!$T$16="Stellar Kinematics",POWER(Upgrades!$U$16,H177),1)*IF(Upgrades!$T$17="Stellar Kinematics",POWER(Upgrades!$U$17,I177),1)*IF(Upgrades!$T$18="Stellar Kinematics",POWER(Upgrades!$U$18,J177),1)*IF(Upgrades!$T$19="Stellar Kinematics",POWER(Upgrades!$U$19,K177),1)*IF(Upgrades!$T$20="Stellar Kinematics",POWER(Upgrades!$U$20,L177),1)*IF(Upgrades!$T$21="Stellar Kinematics",POWER(Upgrades!$U$21,M177),1))*$F$6/AK177,0)</f>
        <v/>
      </c>
      <c r="AZ177" s="32">
        <f>IFERROR(Upgrades!$H$14*(POWER(Upgrades!$P$13,E177)*POWER(Upgrades!$P$14,F177)*POWER(Upgrades!$P$15,G177)*POWER(Upgrades!$P$16,H177)*POWER(Upgrades!$P$17,I177)*POWER(Upgrades!$P$18,J177)*POWER(Upgrades!$P$19,K177)*POWER(Upgrades!$P$20,L177)*POWER(Upgrades!$P$21,M177))*(IF(Upgrades!$T$13="Local Bubble",POWER(Upgrades!$U$13,E177),1)*IF(Upgrades!$T$15="Local Bubble",POWER(Upgrades!$U$15,G177),1)*IF(Upgrades!$T$16="Local Bubble",POWER(Upgrades!$U$16,H177),1)*IF(Upgrades!$T$17="Local Bubble",POWER(Upgrades!$U$17,I177),1)*IF(Upgrades!$T$18="Local Bubble",POWER(Upgrades!$U$18,J177),1)*IF(Upgrades!$T$19="Local Bubble",POWER(Upgrades!$U$19,K177),1)*IF(Upgrades!$T$20="Local Bubble",POWER(Upgrades!$U$20,L177),1)*IF(Upgrades!$T$21="Local Bubble",POWER(Upgrades!$U$21,M177),1))*$F$6/AL177,0)</f>
        <v/>
      </c>
      <c r="BA177" s="32">
        <f>IFERROR(Upgrades!$K$15*(POWER(Upgrades!$Q$13,E177)*POWER(Upgrades!$Q$14,F177)*POWER(Upgrades!$Q$15,G177)*POWER(Upgrades!$Q$16,H177)*POWER(Upgrades!$Q$17,I177)*POWER(Upgrades!$Q$18,J177)*POWER(Upgrades!$Q$19,K177)*POWER(Upgrades!$Q$20,L177)*POWER(Upgrades!$Q$21,M177))*(IF(Upgrades!$T$13="Microlensing",POWER(Upgrades!$U$13,E177),1)*IF(Upgrades!$T$14="Microlensing",POWER(Upgrades!$U$14,F177),1)*IF(Upgrades!$T$16="Microlensing",POWER(Upgrades!$U$16,H177),1)*IF(Upgrades!$T$17="Microlensing",POWER(Upgrades!$U$17,I177),1)*IF(Upgrades!$T$18="Microlensing",POWER(Upgrades!$U$18,J177),1)*IF(Upgrades!$T$19="Microlensing",POWER(Upgrades!$U$19,K177),1)*IF(Upgrades!$T$20="Microlensing",POWER(Upgrades!$U$20,L177),1)*IF(Upgrades!$T$21="Microlensing",POWER(Upgrades!$U$21,M177),1))*$G$6*(Parameters!$B$10/60*Parameters!$B$11+Q177)/AM177,0)</f>
        <v/>
      </c>
      <c r="BB177" s="32">
        <f>IFERROR((Upgrades!$N$16*(POWER(Upgrades!$R$13,E177)*POWER(Upgrades!$R$14,F177)*POWER(Upgrades!$R$15,G177)*POWER(Upgrades!$R$16,H177)*POWER(Upgrades!$R$17,I177)*POWER(Upgrades!$R$18,J177)*POWER(Upgrades!$R$19,K177)*POWER(Upgrades!$R$20,L177)*POWER(Upgrades!$R$21,M177))*(IF(Upgrades!$T$13="Roche Lobe Overflow",POWER(Upgrades!$U$13,E177),1)*IF(Upgrades!$T$14="Roche Lobe Overflow",POWER(Upgrades!$U$14,F177),1)*IF(Upgrades!$T$15="Roche Lobe Overflow",POWER(Upgrades!$U$15,G177),1)*IF(Upgrades!$T$17="Roche Lobe Overflow",POWER(Upgrades!$U$17,I177),1)*IF(Upgrades!$T$18="Roche Lobe Overflow",POWER(Upgrades!$U$18,J177),1)*IF(Upgrades!$T$19="Roche Lobe Overflow",POWER(Upgrades!$U$19,K177),1)*IF(Upgrades!$T$20="Roche Lobe Overflow",POWER(Upgrades!$U$20,L177),1)*IF(Upgrades!$T$21="Roche Lobe Overflow",POWER(Upgrades!$U$21,M177),1))*$H$6*O177+((IF(F177=0,0,(Upgrades!$G$14+F177*Upgrades!$H$14)*POWER(Upgrades!$I$14,F177)))*(IF(Upgrades!$T$13="Local Bubble",POWER(Upgrades!$U$13,E177),1)*IF(Upgrades!$T$15="Local Bubble",POWER(Upgrades!$U$15,G177),1)*IF(Upgrades!$T$16="Local Bubble",POWER(Upgrades!$U$16,H177),1)*IF(Upgrades!$T$17="Local Bubble",POWER(Upgrades!$U$17,I177),1)*IF(Upgrades!$T$18="Local Bubble",POWER(Upgrades!$U$18,J177),1)*IF(Upgrades!$T$19="Local Bubble",POWER(Upgrades!$U$19,K177),1)*IF(Upgrades!$T$20="Local Bubble",POWER(Upgrades!$U$20,L177),1)*IF(Upgrades!$T$21="Local Bubble",POWER(Upgrades!$U$21,M177),1))*POWER(Upgrades!$P$13,E177)*POWER(Upgrades!$P$14,F177)*POWER(Upgrades!$P$15,G177)*POWER(Upgrades!$P$16,H177)*POWER(Upgrades!$P$17,I177)*POWER(Upgrades!$P$18,J177)*POWER(Upgrades!$P$19,K177)*POWER(Upgrades!$P$20,L177)*POWER(Upgrades!$P$21,M177)*$F$6)*0.05)/AN177,0)</f>
        <v/>
      </c>
      <c r="BC177" s="32">
        <f>IFERROR((Upgrades!$H$17*(POWER(Upgrades!$P$13,E177)*POWER(Upgrades!$P$14,F177)*POWER(Upgrades!$P$15,G177)*POWER(Upgrades!$P$16,H177)*POWER(Upgrades!$P$17,I177)*POWER(Upgrades!$P$18,J177)*POWER(Upgrades!$P$19,K177)*POWER(Upgrades!$P$20,L177)*POWER(Upgrades!$P$21,M177))*(IF(Upgrades!$T$13="Brown Dwarf",POWER(Upgrades!$U$13,E177),1)*IF(Upgrades!$T$14="Brown Dwarf",POWER(Upgrades!$U$14,F177),1)*IF(Upgrades!$T$15="Brown Dwarf",POWER(Upgrades!$U$15,G177),1)*IF(Upgrades!$T$16="Brown Dwarf",POWER(Upgrades!$U$16,H177),1)*IF(Upgrades!$T$18="Brown Dwarf",POWER(Upgrades!$U$18,J177),1)*IF(Upgrades!$T$19="Brown Dwarf",POWER(Upgrades!$U$19,K177),1)*IF(Upgrades!$T$20="Brown Dwarf",POWER(Upgrades!$U$20,L177),1)*IF(Upgrades!$T$21="Brown Dwarf",POWER(Upgrades!$U$21,M177),1))*$F$6+(((IF(H177=0,0,(Upgrades!$M$16+H177*Upgrades!$N$16)*POWER(Upgrades!$O$16,H177)))*(IF(Upgrades!$T$13="Roche Lobe Overflow",POWER(Upgrades!$U$13,E177),1)*IF(Upgrades!$T$14="Roche Lobe Overflow",POWER(Upgrades!$U$14,F177),1)*IF(Upgrades!$T$15="Roche Lobe Overflow",POWER(Upgrades!$U$15,G177),1)*IF(Upgrades!$T$17="Roche Lobe Overflow",POWER(Upgrades!$U$17,I177),1)*IF(Upgrades!$T$18="Roche Lobe Overflow",POWER(Upgrades!$U$18,J177),1)*IF(Upgrades!$T$19="Roche Lobe Overflow",POWER(Upgrades!$U$19,K177),1)*IF(Upgrades!$T$20="Roche Lobe Overflow",POWER(Upgrades!$U$20,L177),1)*IF(Upgrades!$T$21="Roche Lobe Overflow",POWER(Upgrades!$U$21,M177),1))*POWER(Upgrades!$R$13,E177)*POWER(Upgrades!$R$14,F177)*POWER(Upgrades!$R$15,G177)*POWER(Upgrades!$R$16,H177)*POWER(Upgrades!$R$17,I177)*POWER(Upgrades!$R$18,J177)*POWER(Upgrades!$R$19,K177)*POWER(Upgrades!$R$20,L177)*POWER(Upgrades!$R$21,M177)*$H$6)*O177)*0.10)/AO177,0)</f>
        <v/>
      </c>
      <c r="BD177" s="32">
        <f>MAX(IF(J177&gt;0,0,IFERROR(0.5*((IF(G177=0,0,(Upgrades!$J$15+G177*Upgrades!$K$15)*POWER(Upgrades!$L$15,G177)))*(IF(Upgrades!$T$13="Microlensing",POWER(Upgrades!$U$13,E177),1)*IF(Upgrades!$T$14="Microlensing",POWER(Upgrades!$U$14,F177),1)*IF(Upgrades!$T$16="Microlensing",POWER(Upgrades!$U$16,H177),1)*IF(Upgrades!$T$17="Microlensing",POWER(Upgrades!$U$17,I177),1)*IF(Upgrades!$T$18="Microlensing",POWER(Upgrades!$U$18,J177),1)*IF(Upgrades!$T$19="Microlensing",POWER(Upgrades!$U$19,K177),1)*IF(Upgrades!$T$20="Microlensing",POWER(Upgrades!$U$20,L177),1)*IF(Upgrades!$T$21="Microlensing",POWER(Upgrades!$U$21,M177),1))*(POWER(Upgrades!$Q$13,E177)*POWER(Upgrades!$Q$14,F177)*POWER(Upgrades!$Q$15,G177)*POWER(Upgrades!$Q$16,H177)*POWER(Upgrades!$Q$17,I177)*POWER(Upgrades!$Q$18,J177)*POWER(Upgrades!$Q$19,K177)*POWER(Upgrades!$Q$20,L177)*POWER(Upgrades!$Q$21,M177))*$G$6*(Parameters!$B$10/60*Parameters!$B$11+Q177))/Upgrades!$C$18,0)),IF(K177&gt;0,0,IFERROR(0.30*P177/Upgrades!$C$19,0)),IF(L177&gt;0,0,IFERROR(0.0001/Upgrades!$C$20,0)),IF(M177&gt;0,0,IFERROR((6.0*(POWER(Upgrades!$P$13,E177)*POWER(Upgrades!$P$14,F177)*POWER(Upgrades!$P$15,G177)*POWER(Upgrades!$P$16,H177)*POWER(Upgrades!$P$17,I177)*POWER(Upgrades!$P$18,J177)*POWER(Upgrades!$P$19,K177)*POWER(Upgrades!$P$20,L177)*POWER(Upgrades!$P$21,M177))*$F$6+0.20*O177*(Parameters!$B$10/60*Parameters!$B$11+Q177))/Upgrades!$C$21,0)),IF(AND(ISNUMBER(AK177),AK177&gt;(C177+T177)),AY177,0),IF(AND(ISNUMBER(AL177),AL177&gt;(C177+T177)),AZ177,0),IF(AND(ISNUMBER(AM177),AM177&gt;(C177+T177)),BA177,0),IF(AND(ISNUMBER(AN177),AN177&gt;(C177+T177)),BB177,0),IF(AND(ISNUMBER(AO177),AO177&gt;(C177+T177)),BC177,0))</f>
        <v/>
      </c>
      <c r="BE177" s="29">
        <f>IF(AT177=1,"transition",IF(MIN(IF(AND(J177=0,ISNUMBER(AP177),AP177&lt;=(C177+T177)),AP177,9E15),IF(AND(K177=0,ISNUMBER(AQ177),AQ177&lt;=(C177+T177)),AQ177,9E15),IF(AND(L177=0,ISNUMBER(AR177),AR177&lt;=(C177+T177)),AR177,9E15),IF(AND(M177=0,ISNUMBER(AS177),AS177&lt;=(C177+T177)),AS177,9E15))&lt;9E15,IF(AND(AND(J177=0,ISNUMBER(AP177),AP177&lt;=(C177+T177)),AP177=MIN(IF(AND(J177=0,ISNUMBER(AP177),AP177&lt;=(C177+T177)),AP177,9E15),IF(AND(K177=0,ISNUMBER(AQ177),AQ177&lt;=(C177+T177)),AQ177,9E15),IF(AND(L177=0,ISNUMBER(AR177),AR177&lt;=(C177+T177)),AR177,9E15),IF(AND(M177=0,ISNUMBER(AS177),AS177&lt;=(C177+T177)),AS177,9E15))),"BiP",IF(AND(AND(K177=0,ISNUMBER(AQ177),AQ177&lt;=(C177+T177)),AQ177=MIN(IF(AND(J177=0,ISNUMBER(AP177),AP177&lt;=(C177+T177)),AP177,9E15),IF(AND(K177=0,ISNUMBER(AQ177),AQ177&lt;=(C177+T177)),AQ177,9E15),IF(AND(L177=0,ISNUMBER(AR177),AR177&lt;=(C177+T177)),AR177,9E15),IF(AND(M177=0,ISNUMBER(AS177),AS177&lt;=(C177+T177)),AS177,9E15))),"PV",IF(AND(AND(L177=0,ISNUMBER(AR177),AR177&lt;=(C177+T177)),AR177=MIN(IF(AND(J177=0,ISNUMBER(AP177),AP177&lt;=(C177+T177)),AP177,9E15),IF(AND(K177=0,ISNUMBER(AQ177),AQ177&lt;=(C177+T177)),AQ177,9E15),IF(AND(L177=0,ISNUMBER(AR177),AR177&lt;=(C177+T177)),AR177,9E15),IF(AND(M177=0,ISNUMBER(AS177),AS177&lt;=(C177+T177)),AS177,9E15))),"OC","MG"))),IF(AX177=TRUE,"",IF(MAX(IF(AND(NOT(AND(AU177=1,AT177&lt;&gt;1)),ISNUMBER(AK177),AK177&lt;=(C177+T177)),AY177,0),IF(AND(NOT(AND(AU177=1,AT177&lt;&gt;1)),ISNUMBER(AL177),AL177&lt;=(C177+T177)),AZ177,0),IF(AND(NOT(AND(AU177=1,AT177&lt;&gt;1)),ISNUMBER(AM177),AM177&lt;=(C177+T177)),BA177,0),IF(AND(NOT(AND(AU177=1,AT177&lt;&gt;1)),ISNUMBER(AN177),AN177&lt;=(C177+T177)),BB177,0),IF(AND(ISNUMBER(AO177),AO177&lt;=(C177+T177)),BC177,0))&lt;=0,"",IF(AND(IF(AND(NOT(AND(AU177=1,AT177&lt;&gt;1)),ISNUMBER(AK177),AK177&lt;=(C177+T177)),AY177,0)&gt;0,IF(AND(NOT(AND(AU177=1,AT177&lt;&gt;1)),ISNUMBER(AK177),AK177&lt;=(C177+T177)),AY177,0)=MAX(IF(AND(NOT(AND(AU177=1,AT177&lt;&gt;1)),ISNUMBER(AK177),AK177&lt;=(C177+T177)),AY177,0),IF(AND(NOT(AND(AU177=1,AT177&lt;&gt;1)),ISNUMBER(AL177),AL177&lt;=(C177+T177)),AZ177,0),IF(AND(NOT(AND(AU177=1,AT177&lt;&gt;1)),ISNUMBER(AM177),AM177&lt;=(C177+T177)),BA177,0),IF(AND(NOT(AND(AU177=1,AT177&lt;&gt;1)),ISNUMBER(AN177),AN177&lt;=(C177+T177)),BB177,0),IF(AND(ISNUMBER(AO177),AO177&lt;=(C177+T177)),BC177,0))),"SK",IF(AND(IF(AND(NOT(AND(AU177=1,AT177&lt;&gt;1)),ISNUMBER(AL177),AL177&lt;=(C177+T177)),AZ177,0)&gt;0,IF(AND(NOT(AND(AU177=1,AT177&lt;&gt;1)),ISNUMBER(AL177),AL177&lt;=(C177+T177)),AZ177,0)=MAX(IF(AND(NOT(AND(AU177=1,AT177&lt;&gt;1)),ISNUMBER(AK177),AK177&lt;=(C177+T177)),AY177,0),IF(AND(NOT(AND(AU177=1,AT177&lt;&gt;1)),ISNUMBER(AL177),AL177&lt;=(C177+T177)),AZ177,0),IF(AND(NOT(AND(AU177=1,AT177&lt;&gt;1)),ISNUMBER(AM177),AM177&lt;=(C177+T177)),BA177,0),IF(AND(NOT(AND(AU177=1,AT177&lt;&gt;1)),ISNUMBER(AN177),AN177&lt;=(C177+T177)),BB177,0),IF(AND(ISNUMBER(AO177),AO177&lt;=(C177+T177)),BC177,0))),"LB",IF(AND(IF(AND(NOT(AND(AU177=1,AT177&lt;&gt;1)),ISNUMBER(AM177),AM177&lt;=(C177+T177)),BA177,0)&gt;0,IF(AND(NOT(AND(AU177=1,AT177&lt;&gt;1)),ISNUMBER(AM177),AM177&lt;=(C177+T177)),BA177,0)=MAX(IF(AND(NOT(AND(AU177=1,AT177&lt;&gt;1)),ISNUMBER(AK177),AK177&lt;=(C177+T177)),AY177,0),IF(AND(NOT(AND(AU177=1,AT177&lt;&gt;1)),ISNUMBER(AL177),AL177&lt;=(C177+T177)),AZ177,0),IF(AND(NOT(AND(AU177=1,AT177&lt;&gt;1)),ISNUMBER(AM177),AM177&lt;=(C177+T177)),BA177,0),IF(AND(NOT(AND(AU177=1,AT177&lt;&gt;1)),ISNUMBER(AN177),AN177&lt;=(C177+T177)),BB177,0),IF(AND(ISNUMBER(AO177),AO177&lt;=(C177+T177)),BC177,0))),"ML",IF(AND(IF(AND(NOT(AND(AU177=1,AT177&lt;&gt;1)),ISNUMBER(AN177),AN177&lt;=(C177+T177)),BB177,0)&gt;0,IF(AND(NOT(AND(AU177=1,AT177&lt;&gt;1)),ISNUMBER(AN177),AN177&lt;=(C177+T177)),BB177,0)=MAX(IF(AND(NOT(AND(AU177=1,AT177&lt;&gt;1)),ISNUMBER(AK177),AK177&lt;=(C177+T177)),AY177,0),IF(AND(NOT(AND(AU177=1,AT177&lt;&gt;1)),ISNUMBER(AL177),AL177&lt;=(C177+T177)),AZ177,0),IF(AND(NOT(AND(AU177=1,AT177&lt;&gt;1)),ISNUMBER(AM177),AM177&lt;=(C177+T177)),BA177,0),IF(AND(NOT(AND(AU177=1,AT177&lt;&gt;1)),ISNUMBER(AN177),AN177&lt;=(C177+T177)),BB177,0),IF(AND(ISNUMBER(AO177),AO177&lt;=(C177+T177)),BC177,0))),"RLO","BD"))))))))</f>
        <v/>
      </c>
    </row>
    <row r="178">
      <c r="A178" s="26" t="n">
        <v>167</v>
      </c>
      <c r="B178" s="27">
        <f>A178*10/60</f>
        <v/>
      </c>
      <c r="C178" s="22">
        <f>X177</f>
        <v/>
      </c>
      <c r="D178" s="27">
        <f>D177+W177</f>
        <v/>
      </c>
      <c r="E178" s="26">
        <f>E177+IF(U177="SK",1,0)</f>
        <v/>
      </c>
      <c r="F178" s="26">
        <f>F177+IF(U177="LB",1,0)</f>
        <v/>
      </c>
      <c r="G178" s="26">
        <f>G177+IF(U177="ML",1,0)</f>
        <v/>
      </c>
      <c r="H178" s="26">
        <f>H177+IF(U177="RLO",1,0)</f>
        <v/>
      </c>
      <c r="I178" s="26">
        <f>I177+IF(U177="BD",1,0)</f>
        <v/>
      </c>
      <c r="J178" s="26">
        <f>MAX(J177,IF(U177="BiP",1,0))</f>
        <v/>
      </c>
      <c r="K178" s="26">
        <f>MAX(K177,IF(U177="PV",1,0))</f>
        <v/>
      </c>
      <c r="L178" s="26">
        <f>MAX(L177,IF(U177="OC",1,0))</f>
        <v/>
      </c>
      <c r="M178" s="26">
        <f>MAX(M177,IF(U177="MG",1,0))</f>
        <v/>
      </c>
      <c r="N178" s="26">
        <f>MAX(N177,IF(U177="transition",1,0))</f>
        <v/>
      </c>
      <c r="O178" s="28">
        <f>(Parameters!$B$9+(IF(E178=0,0,(Upgrades!$J$13+E178*Upgrades!$K$13)*POWER(Upgrades!$L$13,E178)))*(IF(Upgrades!$T$14="Stellar Kinematics",POWER(Upgrades!$U$14,F178),1)*IF(Upgrades!$T$15="Stellar Kinematics",POWER(Upgrades!$U$15,G178),1)*IF(Upgrades!$T$16="Stellar Kinematics",POWER(Upgrades!$U$16,H178),1)*IF(Upgrades!$T$17="Stellar Kinematics",POWER(Upgrades!$U$17,I178),1)*IF(Upgrades!$T$18="Stellar Kinematics",POWER(Upgrades!$U$18,J178),1)*IF(Upgrades!$T$19="Stellar Kinematics",POWER(Upgrades!$U$19,K178),1)*IF(Upgrades!$T$20="Stellar Kinematics",POWER(Upgrades!$U$20,L178),1)*IF(Upgrades!$T$21="Stellar Kinematics",POWER(Upgrades!$U$21,M178),1))+(IF(F178=0,0,(Upgrades!$J$14+F178*Upgrades!$K$14)*POWER(Upgrades!$L$14,F178)))*(IF(Upgrades!$T$13="Local Bubble",POWER(Upgrades!$U$13,E178),1)*IF(Upgrades!$T$15="Local Bubble",POWER(Upgrades!$U$15,G178),1)*IF(Upgrades!$T$16="Local Bubble",POWER(Upgrades!$U$16,H178),1)*IF(Upgrades!$T$17="Local Bubble",POWER(Upgrades!$U$17,I178),1)*IF(Upgrades!$T$18="Local Bubble",POWER(Upgrades!$U$18,J178),1)*IF(Upgrades!$T$19="Local Bubble",POWER(Upgrades!$U$19,K178),1)*IF(Upgrades!$T$20="Local Bubble",POWER(Upgrades!$U$20,L178),1)*IF(Upgrades!$T$21="Local Bubble",POWER(Upgrades!$U$21,M178),1))+(IF(G178=0,0,(Upgrades!$J$15+G178*Upgrades!$K$15)*POWER(Upgrades!$L$15,G178)))*(IF(Upgrades!$T$13="Microlensing",POWER(Upgrades!$U$13,E178),1)*IF(Upgrades!$T$14="Microlensing",POWER(Upgrades!$U$14,F178),1)*IF(Upgrades!$T$16="Microlensing",POWER(Upgrades!$U$16,H178),1)*IF(Upgrades!$T$17="Microlensing",POWER(Upgrades!$U$17,I178),1)*IF(Upgrades!$T$18="Microlensing",POWER(Upgrades!$U$18,J178),1)*IF(Upgrades!$T$19="Microlensing",POWER(Upgrades!$U$19,K178),1)*IF(Upgrades!$T$20="Microlensing",POWER(Upgrades!$U$20,L178),1)*IF(Upgrades!$T$21="Microlensing",POWER(Upgrades!$U$21,M178),1))+(IF(H178=0,0,(Upgrades!$J$16+H178*Upgrades!$K$16)*POWER(Upgrades!$L$16,H178)))*(IF(Upgrades!$T$13="Roche Lobe Overflow",POWER(Upgrades!$U$13,E178),1)*IF(Upgrades!$T$14="Roche Lobe Overflow",POWER(Upgrades!$U$14,F178),1)*IF(Upgrades!$T$15="Roche Lobe Overflow",POWER(Upgrades!$U$15,G178),1)*IF(Upgrades!$T$17="Roche Lobe Overflow",POWER(Upgrades!$U$17,I178),1)*IF(Upgrades!$T$18="Roche Lobe Overflow",POWER(Upgrades!$U$18,J178),1)*IF(Upgrades!$T$19="Roche Lobe Overflow",POWER(Upgrades!$U$19,K178),1)*IF(Upgrades!$T$20="Roche Lobe Overflow",POWER(Upgrades!$U$20,L178),1)*IF(Upgrades!$T$21="Roche Lobe Overflow",POWER(Upgrades!$U$21,M178),1))+(IF(I178=0,0,(Upgrades!$J$17+I178*Upgrades!$K$17)*POWER(Upgrades!$L$17,I178)))*(IF(Upgrades!$T$13="Brown Dwarf",POWER(Upgrades!$U$13,E178),1)*IF(Upgrades!$T$14="Brown Dwarf",POWER(Upgrades!$U$14,F178),1)*IF(Upgrades!$T$15="Brown Dwarf",POWER(Upgrades!$U$15,G178),1)*IF(Upgrades!$T$16="Brown Dwarf",POWER(Upgrades!$U$16,H178),1)*IF(Upgrades!$T$18="Brown Dwarf",POWER(Upgrades!$U$18,J178),1)*IF(Upgrades!$T$19="Brown Dwarf",POWER(Upgrades!$U$19,K178),1)*IF(Upgrades!$T$20="Brown Dwarf",POWER(Upgrades!$U$20,L178),1)*IF(Upgrades!$T$21="Brown Dwarf",POWER(Upgrades!$U$21,M178),1))+(IF(J178=0,0,(Upgrades!$J$18+J178*Upgrades!$K$18)*POWER(Upgrades!$L$18,J178)))*(IF(Upgrades!$T$13="Binary Partner",POWER(Upgrades!$U$13,E178),1)*IF(Upgrades!$T$14="Binary Partner",POWER(Upgrades!$U$14,F178),1)*IF(Upgrades!$T$15="Binary Partner",POWER(Upgrades!$U$15,G178),1)*IF(Upgrades!$T$16="Binary Partner",POWER(Upgrades!$U$16,H178),1)*IF(Upgrades!$T$17="Binary Partner",POWER(Upgrades!$U$17,I178),1)*IF(Upgrades!$T$19="Binary Partner",POWER(Upgrades!$U$19,K178),1)*IF(Upgrades!$T$20="Binary Partner",POWER(Upgrades!$U$20,L178),1)*IF(Upgrades!$T$21="Binary Partner",POWER(Upgrades!$U$21,M178),1))+(IF(K178=0,0,(Upgrades!$J$19+K178*Upgrades!$K$19)*POWER(Upgrades!$L$19,K178)))*(IF(Upgrades!$T$13="Peculiar Velocity",POWER(Upgrades!$U$13,E178),1)*IF(Upgrades!$T$14="Peculiar Velocity",POWER(Upgrades!$U$14,F178),1)*IF(Upgrades!$T$15="Peculiar Velocity",POWER(Upgrades!$U$15,G178),1)*IF(Upgrades!$T$16="Peculiar Velocity",POWER(Upgrades!$U$16,H178),1)*IF(Upgrades!$T$17="Peculiar Velocity",POWER(Upgrades!$U$17,I178),1)*IF(Upgrades!$T$18="Peculiar Velocity",POWER(Upgrades!$U$18,J178),1)*IF(Upgrades!$T$20="Peculiar Velocity",POWER(Upgrades!$U$20,L178),1)*IF(Upgrades!$T$21="Peculiar Velocity",POWER(Upgrades!$U$21,M178),1))+(IF(L178=0,0,(Upgrades!$J$20+L178*Upgrades!$K$20)*POWER(Upgrades!$L$20,L178)))*(IF(Upgrades!$T$13="Open Cluster",POWER(Upgrades!$U$13,E178),1)*IF(Upgrades!$T$14="Open Cluster",POWER(Upgrades!$U$14,F178),1)*IF(Upgrades!$T$15="Open Cluster",POWER(Upgrades!$U$15,G178),1)*IF(Upgrades!$T$16="Open Cluster",POWER(Upgrades!$U$16,H178),1)*IF(Upgrades!$T$17="Open Cluster",POWER(Upgrades!$U$17,I178),1)*IF(Upgrades!$T$18="Open Cluster",POWER(Upgrades!$U$18,J178),1)*IF(Upgrades!$T$19="Open Cluster",POWER(Upgrades!$U$19,K178),1)*IF(Upgrades!$T$21="Open Cluster",POWER(Upgrades!$U$21,M178),1))+(IF(M178=0,0,(Upgrades!$J$21+M178*Upgrades!$K$21)*POWER(Upgrades!$L$21,M178)))*(IF(Upgrades!$T$13="Moving Group",POWER(Upgrades!$U$13,E178),1)*IF(Upgrades!$T$14="Moving Group",POWER(Upgrades!$U$14,F178),1)*IF(Upgrades!$T$15="Moving Group",POWER(Upgrades!$U$15,G178),1)*IF(Upgrades!$T$16="Moving Group",POWER(Upgrades!$U$16,H178),1)*IF(Upgrades!$T$17="Moving Group",POWER(Upgrades!$U$17,I178),1)*IF(Upgrades!$T$18="Moving Group",POWER(Upgrades!$U$18,J178),1)*IF(Upgrades!$T$19="Moving Group",POWER(Upgrades!$U$19,K178),1)*IF(Upgrades!$T$20="Moving Group",POWER(Upgrades!$U$20,L178),1)))*POWER(Upgrades!$Q$13,E178)*POWER(Upgrades!$Q$14,F178)*POWER(Upgrades!$Q$15,G178)*POWER(Upgrades!$Q$16,H178)*POWER(Upgrades!$Q$17,I178)*POWER(Upgrades!$Q$18,J178)*POWER(Upgrades!$Q$19,K178)*POWER(Upgrades!$Q$20,L178)*POWER(Upgrades!$Q$21,M178)*$G$6+$D$6</f>
        <v/>
      </c>
      <c r="P178" s="28">
        <f>((IF(E178=0,0,(Upgrades!$G$13+E178*Upgrades!$H$13)*POWER(Upgrades!$I$13,E178)))*(IF(Upgrades!$T$14="Stellar Kinematics",POWER(Upgrades!$U$14,F178),1)*IF(Upgrades!$T$15="Stellar Kinematics",POWER(Upgrades!$U$15,G178),1)*IF(Upgrades!$T$16="Stellar Kinematics",POWER(Upgrades!$U$16,H178),1)*IF(Upgrades!$T$17="Stellar Kinematics",POWER(Upgrades!$U$17,I178),1)*IF(Upgrades!$T$18="Stellar Kinematics",POWER(Upgrades!$U$18,J178),1)*IF(Upgrades!$T$19="Stellar Kinematics",POWER(Upgrades!$U$19,K178),1)*IF(Upgrades!$T$20="Stellar Kinematics",POWER(Upgrades!$U$20,L178),1)*IF(Upgrades!$T$21="Stellar Kinematics",POWER(Upgrades!$U$21,M178),1))+(IF(F178=0,0,(Upgrades!$G$14+F178*Upgrades!$H$14)*POWER(Upgrades!$I$14,F178)))*(IF(Upgrades!$T$13="Local Bubble",POWER(Upgrades!$U$13,E178),1)*IF(Upgrades!$T$15="Local Bubble",POWER(Upgrades!$U$15,G178),1)*IF(Upgrades!$T$16="Local Bubble",POWER(Upgrades!$U$16,H178),1)*IF(Upgrades!$T$17="Local Bubble",POWER(Upgrades!$U$17,I178),1)*IF(Upgrades!$T$18="Local Bubble",POWER(Upgrades!$U$18,J178),1)*IF(Upgrades!$T$19="Local Bubble",POWER(Upgrades!$U$19,K178),1)*IF(Upgrades!$T$20="Local Bubble",POWER(Upgrades!$U$20,L178),1)*IF(Upgrades!$T$21="Local Bubble",POWER(Upgrades!$U$21,M178),1))+(IF(G178=0,0,(Upgrades!$G$15+G178*Upgrades!$H$15)*POWER(Upgrades!$I$15,G178)))*(IF(Upgrades!$T$13="Microlensing",POWER(Upgrades!$U$13,E178),1)*IF(Upgrades!$T$14="Microlensing",POWER(Upgrades!$U$14,F178),1)*IF(Upgrades!$T$16="Microlensing",POWER(Upgrades!$U$16,H178),1)*IF(Upgrades!$T$17="Microlensing",POWER(Upgrades!$U$17,I178),1)*IF(Upgrades!$T$18="Microlensing",POWER(Upgrades!$U$18,J178),1)*IF(Upgrades!$T$19="Microlensing",POWER(Upgrades!$U$19,K178),1)*IF(Upgrades!$T$20="Microlensing",POWER(Upgrades!$U$20,L178),1)*IF(Upgrades!$T$21="Microlensing",POWER(Upgrades!$U$21,M178),1))+(IF(H178=0,0,(Upgrades!$G$16+H178*Upgrades!$H$16)*POWER(Upgrades!$I$16,H178)))*(IF(Upgrades!$T$13="Roche Lobe Overflow",POWER(Upgrades!$U$13,E178),1)*IF(Upgrades!$T$14="Roche Lobe Overflow",POWER(Upgrades!$U$14,F178),1)*IF(Upgrades!$T$15="Roche Lobe Overflow",POWER(Upgrades!$U$15,G178),1)*IF(Upgrades!$T$17="Roche Lobe Overflow",POWER(Upgrades!$U$17,I178),1)*IF(Upgrades!$T$18="Roche Lobe Overflow",POWER(Upgrades!$U$18,J178),1)*IF(Upgrades!$T$19="Roche Lobe Overflow",POWER(Upgrades!$U$19,K178),1)*IF(Upgrades!$T$20="Roche Lobe Overflow",POWER(Upgrades!$U$20,L178),1)*IF(Upgrades!$T$21="Roche Lobe Overflow",POWER(Upgrades!$U$21,M178),1))+(IF(I178=0,0,(Upgrades!$G$17+I178*Upgrades!$H$17)*POWER(Upgrades!$I$17,I178)))*(IF(Upgrades!$T$13="Brown Dwarf",POWER(Upgrades!$U$13,E178),1)*IF(Upgrades!$T$14="Brown Dwarf",POWER(Upgrades!$U$14,F178),1)*IF(Upgrades!$T$15="Brown Dwarf",POWER(Upgrades!$U$15,G178),1)*IF(Upgrades!$T$16="Brown Dwarf",POWER(Upgrades!$U$16,H178),1)*IF(Upgrades!$T$18="Brown Dwarf",POWER(Upgrades!$U$18,J178),1)*IF(Upgrades!$T$19="Brown Dwarf",POWER(Upgrades!$U$19,K178),1)*IF(Upgrades!$T$20="Brown Dwarf",POWER(Upgrades!$U$20,L178),1)*IF(Upgrades!$T$21="Brown Dwarf",POWER(Upgrades!$U$21,M178),1))+(IF(J178=0,0,(Upgrades!$G$18+J178*Upgrades!$H$18)*POWER(Upgrades!$I$18,J178)))*(IF(Upgrades!$T$13="Binary Partner",POWER(Upgrades!$U$13,E178),1)*IF(Upgrades!$T$14="Binary Partner",POWER(Upgrades!$U$14,F178),1)*IF(Upgrades!$T$15="Binary Partner",POWER(Upgrades!$U$15,G178),1)*IF(Upgrades!$T$16="Binary Partner",POWER(Upgrades!$U$16,H178),1)*IF(Upgrades!$T$17="Binary Partner",POWER(Upgrades!$U$17,I178),1)*IF(Upgrades!$T$19="Binary Partner",POWER(Upgrades!$U$19,K178),1)*IF(Upgrades!$T$20="Binary Partner",POWER(Upgrades!$U$20,L178),1)*IF(Upgrades!$T$21="Binary Partner",POWER(Upgrades!$U$21,M178),1))+(IF(K178=0,0,(Upgrades!$G$19+K178*Upgrades!$H$19)*POWER(Upgrades!$I$19,K178)))*(IF(Upgrades!$T$13="Peculiar Velocity",POWER(Upgrades!$U$13,E178),1)*IF(Upgrades!$T$14="Peculiar Velocity",POWER(Upgrades!$U$14,F178),1)*IF(Upgrades!$T$15="Peculiar Velocity",POWER(Upgrades!$U$15,G178),1)*IF(Upgrades!$T$16="Peculiar Velocity",POWER(Upgrades!$U$16,H178),1)*IF(Upgrades!$T$17="Peculiar Velocity",POWER(Upgrades!$U$17,I178),1)*IF(Upgrades!$T$18="Peculiar Velocity",POWER(Upgrades!$U$18,J178),1)*IF(Upgrades!$T$20="Peculiar Velocity",POWER(Upgrades!$U$20,L178),1)*IF(Upgrades!$T$21="Peculiar Velocity",POWER(Upgrades!$U$21,M178),1))+(IF(L178=0,0,(Upgrades!$G$20+L178*Upgrades!$H$20)*POWER(Upgrades!$I$20,L178)))*(IF(Upgrades!$T$13="Open Cluster",POWER(Upgrades!$U$13,E178),1)*IF(Upgrades!$T$14="Open Cluster",POWER(Upgrades!$U$14,F178),1)*IF(Upgrades!$T$15="Open Cluster",POWER(Upgrades!$U$15,G178),1)*IF(Upgrades!$T$16="Open Cluster",POWER(Upgrades!$U$16,H178),1)*IF(Upgrades!$T$17="Open Cluster",POWER(Upgrades!$U$17,I178),1)*IF(Upgrades!$T$18="Open Cluster",POWER(Upgrades!$U$18,J178),1)*IF(Upgrades!$T$19="Open Cluster",POWER(Upgrades!$U$19,K178),1)*IF(Upgrades!$T$21="Open Cluster",POWER(Upgrades!$U$21,M178),1))+(IF(M178=0,0,(Upgrades!$G$21+M178*Upgrades!$H$21)*POWER(Upgrades!$I$21,M178)))*(IF(Upgrades!$T$13="Moving Group",POWER(Upgrades!$U$13,E178),1)*IF(Upgrades!$T$14="Moving Group",POWER(Upgrades!$U$14,F178),1)*IF(Upgrades!$T$15="Moving Group",POWER(Upgrades!$U$15,G178),1)*IF(Upgrades!$T$16="Moving Group",POWER(Upgrades!$U$16,H178),1)*IF(Upgrades!$T$17="Moving Group",POWER(Upgrades!$U$17,I178),1)*IF(Upgrades!$T$18="Moving Group",POWER(Upgrades!$U$18,J178),1)*IF(Upgrades!$T$19="Moving Group",POWER(Upgrades!$U$19,K178),1)*IF(Upgrades!$T$20="Moving Group",POWER(Upgrades!$U$20,L178),1)))*POWER(Upgrades!$P$13,E178)*POWER(Upgrades!$P$14,F178)*POWER(Upgrades!$P$15,G178)*POWER(Upgrades!$P$16,H178)*POWER(Upgrades!$P$17,I178)*POWER(Upgrades!$P$18,J178)*POWER(Upgrades!$P$19,K178)*POWER(Upgrades!$P$20,L178)*POWER(Upgrades!$P$21,M178)*$F$6+$C$6</f>
        <v/>
      </c>
      <c r="Q178" s="28">
        <f>((IF(E178=0,0,(Upgrades!$M$13+E178*Upgrades!$N$13)*POWER(Upgrades!$O$13,E178)))*(IF(Upgrades!$T$14="Stellar Kinematics",POWER(Upgrades!$U$14,F178),1)*IF(Upgrades!$T$15="Stellar Kinematics",POWER(Upgrades!$U$15,G178),1)*IF(Upgrades!$T$16="Stellar Kinematics",POWER(Upgrades!$U$16,H178),1)*IF(Upgrades!$T$17="Stellar Kinematics",POWER(Upgrades!$U$17,I178),1)*IF(Upgrades!$T$18="Stellar Kinematics",POWER(Upgrades!$U$18,J178),1)*IF(Upgrades!$T$19="Stellar Kinematics",POWER(Upgrades!$U$19,K178),1)*IF(Upgrades!$T$20="Stellar Kinematics",POWER(Upgrades!$U$20,L178),1)*IF(Upgrades!$T$21="Stellar Kinematics",POWER(Upgrades!$U$21,M178),1))+(IF(F178=0,0,(Upgrades!$M$14+F178*Upgrades!$N$14)*POWER(Upgrades!$O$14,F178)))*(IF(Upgrades!$T$13="Local Bubble",POWER(Upgrades!$U$13,E178),1)*IF(Upgrades!$T$15="Local Bubble",POWER(Upgrades!$U$15,G178),1)*IF(Upgrades!$T$16="Local Bubble",POWER(Upgrades!$U$16,H178),1)*IF(Upgrades!$T$17="Local Bubble",POWER(Upgrades!$U$17,I178),1)*IF(Upgrades!$T$18="Local Bubble",POWER(Upgrades!$U$18,J178),1)*IF(Upgrades!$T$19="Local Bubble",POWER(Upgrades!$U$19,K178),1)*IF(Upgrades!$T$20="Local Bubble",POWER(Upgrades!$U$20,L178),1)*IF(Upgrades!$T$21="Local Bubble",POWER(Upgrades!$U$21,M178),1))+(IF(G178=0,0,(Upgrades!$M$15+G178*Upgrades!$N$15)*POWER(Upgrades!$O$15,G178)))*(IF(Upgrades!$T$13="Microlensing",POWER(Upgrades!$U$13,E178),1)*IF(Upgrades!$T$14="Microlensing",POWER(Upgrades!$U$14,F178),1)*IF(Upgrades!$T$16="Microlensing",POWER(Upgrades!$U$16,H178),1)*IF(Upgrades!$T$17="Microlensing",POWER(Upgrades!$U$17,I178),1)*IF(Upgrades!$T$18="Microlensing",POWER(Upgrades!$U$18,J178),1)*IF(Upgrades!$T$19="Microlensing",POWER(Upgrades!$U$19,K178),1)*IF(Upgrades!$T$20="Microlensing",POWER(Upgrades!$U$20,L178),1)*IF(Upgrades!$T$21="Microlensing",POWER(Upgrades!$U$21,M178),1))+(IF(H178=0,0,(Upgrades!$M$16+H178*Upgrades!$N$16)*POWER(Upgrades!$O$16,H178)))*(IF(Upgrades!$T$13="Roche Lobe Overflow",POWER(Upgrades!$U$13,E178),1)*IF(Upgrades!$T$14="Roche Lobe Overflow",POWER(Upgrades!$U$14,F178),1)*IF(Upgrades!$T$15="Roche Lobe Overflow",POWER(Upgrades!$U$15,G178),1)*IF(Upgrades!$T$17="Roche Lobe Overflow",POWER(Upgrades!$U$17,I178),1)*IF(Upgrades!$T$18="Roche Lobe Overflow",POWER(Upgrades!$U$18,J178),1)*IF(Upgrades!$T$19="Roche Lobe Overflow",POWER(Upgrades!$U$19,K178),1)*IF(Upgrades!$T$20="Roche Lobe Overflow",POWER(Upgrades!$U$20,L178),1)*IF(Upgrades!$T$21="Roche Lobe Overflow",POWER(Upgrades!$U$21,M178),1))+(IF(I178=0,0,(Upgrades!$M$17+I178*Upgrades!$N$17)*POWER(Upgrades!$O$17,I178)))*(IF(Upgrades!$T$13="Brown Dwarf",POWER(Upgrades!$U$13,E178),1)*IF(Upgrades!$T$14="Brown Dwarf",POWER(Upgrades!$U$14,F178),1)*IF(Upgrades!$T$15="Brown Dwarf",POWER(Upgrades!$U$15,G178),1)*IF(Upgrades!$T$16="Brown Dwarf",POWER(Upgrades!$U$16,H178),1)*IF(Upgrades!$T$18="Brown Dwarf",POWER(Upgrades!$U$18,J178),1)*IF(Upgrades!$T$19="Brown Dwarf",POWER(Upgrades!$U$19,K178),1)*IF(Upgrades!$T$20="Brown Dwarf",POWER(Upgrades!$U$20,L178),1)*IF(Upgrades!$T$21="Brown Dwarf",POWER(Upgrades!$U$21,M178),1))+(IF(J178=0,0,(Upgrades!$M$18+J178*Upgrades!$N$18)*POWER(Upgrades!$O$18,J178)))*(IF(Upgrades!$T$13="Binary Partner",POWER(Upgrades!$U$13,E178),1)*IF(Upgrades!$T$14="Binary Partner",POWER(Upgrades!$U$14,F178),1)*IF(Upgrades!$T$15="Binary Partner",POWER(Upgrades!$U$15,G178),1)*IF(Upgrades!$T$16="Binary Partner",POWER(Upgrades!$U$16,H178),1)*IF(Upgrades!$T$17="Binary Partner",POWER(Upgrades!$U$17,I178),1)*IF(Upgrades!$T$19="Binary Partner",POWER(Upgrades!$U$19,K178),1)*IF(Upgrades!$T$20="Binary Partner",POWER(Upgrades!$U$20,L178),1)*IF(Upgrades!$T$21="Binary Partner",POWER(Upgrades!$U$21,M178),1))+(IF(K178=0,0,(Upgrades!$M$19+K178*Upgrades!$N$19)*POWER(Upgrades!$O$19,K178)))*(IF(Upgrades!$T$13="Peculiar Velocity",POWER(Upgrades!$U$13,E178),1)*IF(Upgrades!$T$14="Peculiar Velocity",POWER(Upgrades!$U$14,F178),1)*IF(Upgrades!$T$15="Peculiar Velocity",POWER(Upgrades!$U$15,G178),1)*IF(Upgrades!$T$16="Peculiar Velocity",POWER(Upgrades!$U$16,H178),1)*IF(Upgrades!$T$17="Peculiar Velocity",POWER(Upgrades!$U$17,I178),1)*IF(Upgrades!$T$18="Peculiar Velocity",POWER(Upgrades!$U$18,J178),1)*IF(Upgrades!$T$20="Peculiar Velocity",POWER(Upgrades!$U$20,L178),1)*IF(Upgrades!$T$21="Peculiar Velocity",POWER(Upgrades!$U$21,M178),1))+(IF(L178=0,0,(Upgrades!$M$20+L178*Upgrades!$N$20)*POWER(Upgrades!$O$20,L178)))*(IF(Upgrades!$T$13="Open Cluster",POWER(Upgrades!$U$13,E178),1)*IF(Upgrades!$T$14="Open Cluster",POWER(Upgrades!$U$14,F178),1)*IF(Upgrades!$T$15="Open Cluster",POWER(Upgrades!$U$15,G178),1)*IF(Upgrades!$T$16="Open Cluster",POWER(Upgrades!$U$16,H178),1)*IF(Upgrades!$T$17="Open Cluster",POWER(Upgrades!$U$17,I178),1)*IF(Upgrades!$T$18="Open Cluster",POWER(Upgrades!$U$18,J178),1)*IF(Upgrades!$T$19="Open Cluster",POWER(Upgrades!$U$19,K178),1)*IF(Upgrades!$T$21="Open Cluster",POWER(Upgrades!$U$21,M178),1))+(IF(M178=0,0,(Upgrades!$M$21+M178*Upgrades!$N$21)*POWER(Upgrades!$O$21,M178)))*(IF(Upgrades!$T$13="Moving Group",POWER(Upgrades!$U$13,E178),1)*IF(Upgrades!$T$14="Moving Group",POWER(Upgrades!$U$14,F178),1)*IF(Upgrades!$T$15="Moving Group",POWER(Upgrades!$U$15,G178),1)*IF(Upgrades!$T$16="Moving Group",POWER(Upgrades!$U$16,H178),1)*IF(Upgrades!$T$17="Moving Group",POWER(Upgrades!$U$17,I178),1)*IF(Upgrades!$T$18="Moving Group",POWER(Upgrades!$U$18,J178),1)*IF(Upgrades!$T$19="Moving Group",POWER(Upgrades!$U$19,K178),1)*IF(Upgrades!$T$20="Moving Group",POWER(Upgrades!$U$20,L178),1)))*POWER(Upgrades!$R$13,E178)*POWER(Upgrades!$R$14,F178)*POWER(Upgrades!$R$15,G178)*POWER(Upgrades!$R$16,H178)*POWER(Upgrades!$R$17,I178)*POWER(Upgrades!$R$18,J178)*POWER(Upgrades!$R$19,K178)*POWER(Upgrades!$R$20,L178)*POWER(Upgrades!$R$21,M178)*$H$6+$E$6</f>
        <v/>
      </c>
      <c r="R178" s="27">
        <f>IF(N178=1,0,O178*Parameters!$B$10/60*Parameters!$B$11*10)</f>
        <v/>
      </c>
      <c r="S178" s="27">
        <f>IF(N178=1,0,Q178*O178*10)</f>
        <v/>
      </c>
      <c r="T178" s="27">
        <f>IF(N178=1,0,R178+S178+P178*10)</f>
        <v/>
      </c>
      <c r="U178" s="33">
        <f>BE178</f>
        <v/>
      </c>
      <c r="V178" s="22">
        <f>IF(U178="",0,IF(U178="transition",0,IF(U178="SK",AK178,IF(U178="LB",AL178,IF(U178="ML",AM178,IF(U178="RLO",AN178,IF(U178="BD",AO178,IF(U178="BiP",AP178,IF(U178="PV",AQ178,IF(U178="OC",AR178,IF(U178="MG",AS178,0))))))))))</f>
        <v/>
      </c>
      <c r="W178" s="27">
        <f>IF(U178="BiP",Upgrades!$F$18,IF(U178="PV",Upgrades!$F$19,IF(U178="OC",Upgrades!$F$20,IF(U178="MG",Upgrades!$F$21,IF(U178="transition",-Parameters!$B$18*Parameters!$B$19,0)))))</f>
        <v/>
      </c>
      <c r="X178" s="22">
        <f>C178+T178-V178</f>
        <v/>
      </c>
      <c r="Y178" s="30">
        <f>O178*Parameters!$B$10/60*Parameters!$B$11+Q178*O178+P178</f>
        <v/>
      </c>
      <c r="Z178" s="34">
        <f>IF(U178="transition","→ Tier 3 (Galactic Arm)",IF(U178="MG","Moving Group — pocket drifts together",IF(U178="OC","Open Cluster acquired",IF(U178="PV","Peculiar Velocity — passive multiplier active",IF(U178="BiP","Binary Partner — pair bond formed",IF(AND(AU178=1,N178=0,AT178&lt;&gt;1),"Cohesion ready (waiting on completionists)","")))))) </f>
        <v/>
      </c>
      <c r="AA178" s="27">
        <f>(IF(E178=0,0,(Upgrades!$G$13+E178*Upgrades!$H$13)*POWER(Upgrades!$I$13,E178)))*(IF(Upgrades!$T$14="Stellar Kinematics",POWER(Upgrades!$U$14,F178),1)*IF(Upgrades!$T$15="Stellar Kinematics",POWER(Upgrades!$U$15,G178),1)*IF(Upgrades!$T$16="Stellar Kinematics",POWER(Upgrades!$U$16,H178),1)*IF(Upgrades!$T$17="Stellar Kinematics",POWER(Upgrades!$U$17,I178),1)*IF(Upgrades!$T$18="Stellar Kinematics",POWER(Upgrades!$U$18,J178),1)*IF(Upgrades!$T$19="Stellar Kinematics",POWER(Upgrades!$U$19,K178),1)*IF(Upgrades!$T$20="Stellar Kinematics",POWER(Upgrades!$U$20,L178),1)*IF(Upgrades!$T$21="Stellar Kinematics",POWER(Upgrades!$U$21,M178),1))*POWER(Upgrades!$P$13,E178)*POWER(Upgrades!$P$14,F178)*POWER(Upgrades!$P$15,G178)*POWER(Upgrades!$P$16,H178)*POWER(Upgrades!$P$17,I178)*POWER(Upgrades!$P$18,J178)*POWER(Upgrades!$P$19,K178)*POWER(Upgrades!$P$20,L178)*POWER(Upgrades!$P$21,M178)*$F$6*60</f>
        <v/>
      </c>
      <c r="AB178" s="27">
        <f>(IF(F178=0,0,(Upgrades!$G$14+F178*Upgrades!$H$14)*POWER(Upgrades!$I$14,F178)))*(IF(Upgrades!$T$13="Local Bubble",POWER(Upgrades!$U$13,E178),1)*IF(Upgrades!$T$15="Local Bubble",POWER(Upgrades!$U$15,G178),1)*IF(Upgrades!$T$16="Local Bubble",POWER(Upgrades!$U$16,H178),1)*IF(Upgrades!$T$17="Local Bubble",POWER(Upgrades!$U$17,I178),1)*IF(Upgrades!$T$18="Local Bubble",POWER(Upgrades!$U$18,J178),1)*IF(Upgrades!$T$19="Local Bubble",POWER(Upgrades!$U$19,K178),1)*IF(Upgrades!$T$20="Local Bubble",POWER(Upgrades!$U$20,L178),1)*IF(Upgrades!$T$21="Local Bubble",POWER(Upgrades!$U$21,M178),1))*POWER(Upgrades!$P$13,E178)*POWER(Upgrades!$P$14,F178)*POWER(Upgrades!$P$15,G178)*POWER(Upgrades!$P$16,H178)*POWER(Upgrades!$P$17,I178)*POWER(Upgrades!$P$18,J178)*POWER(Upgrades!$P$19,K178)*POWER(Upgrades!$P$20,L178)*POWER(Upgrades!$P$21,M178)*$F$6*60</f>
        <v/>
      </c>
      <c r="AC178" s="27">
        <f>(IF(G178=0,0,(Upgrades!$J$15+G178*Upgrades!$K$15)*POWER(Upgrades!$L$15,G178)))*(IF(Upgrades!$T$13="Microlensing",POWER(Upgrades!$U$13,E178),1)*IF(Upgrades!$T$14="Microlensing",POWER(Upgrades!$U$14,F178),1)*IF(Upgrades!$T$16="Microlensing",POWER(Upgrades!$U$16,H178),1)*IF(Upgrades!$T$17="Microlensing",POWER(Upgrades!$U$17,I178),1)*IF(Upgrades!$T$18="Microlensing",POWER(Upgrades!$U$18,J178),1)*IF(Upgrades!$T$19="Microlensing",POWER(Upgrades!$U$19,K178),1)*IF(Upgrades!$T$20="Microlensing",POWER(Upgrades!$U$20,L178),1)*IF(Upgrades!$T$21="Microlensing",POWER(Upgrades!$U$21,M178),1))*POWER(Upgrades!$Q$13,E178)*POWER(Upgrades!$Q$14,F178)*POWER(Upgrades!$Q$15,G178)*POWER(Upgrades!$Q$16,H178)*POWER(Upgrades!$Q$17,I178)*POWER(Upgrades!$Q$18,J178)*POWER(Upgrades!$Q$19,K178)*POWER(Upgrades!$Q$20,L178)*POWER(Upgrades!$Q$21,M178)*$G$6*(Parameters!$B$10*Parameters!$B$11+Q178*60)</f>
        <v/>
      </c>
      <c r="AD178" s="27">
        <f>(IF(H178=0,0,(Upgrades!$M$16+H178*Upgrades!$N$16)*POWER(Upgrades!$O$16,H178)))*(IF(Upgrades!$T$13="Roche Lobe Overflow",POWER(Upgrades!$U$13,E178),1)*IF(Upgrades!$T$14="Roche Lobe Overflow",POWER(Upgrades!$U$14,F178),1)*IF(Upgrades!$T$15="Roche Lobe Overflow",POWER(Upgrades!$U$15,G178),1)*IF(Upgrades!$T$17="Roche Lobe Overflow",POWER(Upgrades!$U$17,I178),1)*IF(Upgrades!$T$18="Roche Lobe Overflow",POWER(Upgrades!$U$18,J178),1)*IF(Upgrades!$T$19="Roche Lobe Overflow",POWER(Upgrades!$U$19,K178),1)*IF(Upgrades!$T$20="Roche Lobe Overflow",POWER(Upgrades!$U$20,L178),1)*IF(Upgrades!$T$21="Roche Lobe Overflow",POWER(Upgrades!$U$21,M178),1))*POWER(Upgrades!$R$13,E178)*POWER(Upgrades!$R$14,F178)*POWER(Upgrades!$R$15,G178)*POWER(Upgrades!$R$16,H178)*POWER(Upgrades!$R$17,I178)*POWER(Upgrades!$R$18,J178)*POWER(Upgrades!$R$19,K178)*POWER(Upgrades!$R$20,L178)*POWER(Upgrades!$R$21,M178)*$H$6*O178*60</f>
        <v/>
      </c>
      <c r="AE178" s="27">
        <f>(IF(I178=0,0,(Upgrades!$G$17+I178*Upgrades!$H$17)*POWER(Upgrades!$I$17,I178)))*(IF(Upgrades!$T$13="Brown Dwarf",POWER(Upgrades!$U$13,E178),1)*IF(Upgrades!$T$14="Brown Dwarf",POWER(Upgrades!$U$14,F178),1)*IF(Upgrades!$T$15="Brown Dwarf",POWER(Upgrades!$U$15,G178),1)*IF(Upgrades!$T$16="Brown Dwarf",POWER(Upgrades!$U$16,H178),1)*IF(Upgrades!$T$18="Brown Dwarf",POWER(Upgrades!$U$18,J178),1)*IF(Upgrades!$T$19="Brown Dwarf",POWER(Upgrades!$U$19,K178),1)*IF(Upgrades!$T$20="Brown Dwarf",POWER(Upgrades!$U$20,L178),1)*IF(Upgrades!$T$21="Brown Dwarf",POWER(Upgrades!$U$21,M178),1))*POWER(Upgrades!$P$13,E178)*POWER(Upgrades!$P$14,F178)*POWER(Upgrades!$P$15,G178)*POWER(Upgrades!$P$16,H178)*POWER(Upgrades!$P$17,I178)*POWER(Upgrades!$P$18,J178)*POWER(Upgrades!$P$19,K178)*POWER(Upgrades!$P$20,L178)*POWER(Upgrades!$P$21,M178)*$F$6*60</f>
        <v/>
      </c>
      <c r="AF178" s="27" t="n">
        <v>0</v>
      </c>
      <c r="AG178" s="27" t="n">
        <v>0</v>
      </c>
      <c r="AH178" s="27" t="n">
        <v>0</v>
      </c>
      <c r="AI178" s="27">
        <f>(IF(M178=0,0,(Upgrades!$G$21+M178*Upgrades!$H$21)*POWER(Upgrades!$I$21,M178)))*(IF(Upgrades!$T$13="Moving Group",POWER(Upgrades!$U$13,E178),1)*IF(Upgrades!$T$14="Moving Group",POWER(Upgrades!$U$14,F178),1)*IF(Upgrades!$T$15="Moving Group",POWER(Upgrades!$U$15,G178),1)*IF(Upgrades!$T$16="Moving Group",POWER(Upgrades!$U$16,H178),1)*IF(Upgrades!$T$17="Moving Group",POWER(Upgrades!$U$17,I178),1)*IF(Upgrades!$T$18="Moving Group",POWER(Upgrades!$U$18,J178),1)*IF(Upgrades!$T$19="Moving Group",POWER(Upgrades!$U$19,K178),1)*IF(Upgrades!$T$20="Moving Group",POWER(Upgrades!$U$20,L178),1))*POWER(Upgrades!$P$13,E178)*POWER(Upgrades!$P$14,F178)*POWER(Upgrades!$P$15,G178)*POWER(Upgrades!$P$16,H178)*POWER(Upgrades!$P$17,I178)*POWER(Upgrades!$P$18,J178)*POWER(Upgrades!$P$19,K178)*POWER(Upgrades!$P$20,L178)*POWER(Upgrades!$P$21,M178)*$F$6*60</f>
        <v/>
      </c>
      <c r="AJ178" s="27">
        <f>$C$6*60</f>
        <v/>
      </c>
      <c r="AK178" s="22">
        <f>IF(E178&gt;=Upgrades!$E$13,"",Upgrades!$C$13*POWER(Upgrades!$D$13,E178))</f>
        <v/>
      </c>
      <c r="AL178" s="22">
        <f>IF(F178&gt;=Upgrades!$E$14,"",Upgrades!$C$14*POWER(Upgrades!$D$14,F178))</f>
        <v/>
      </c>
      <c r="AM178" s="22">
        <f>IF(G178&gt;=Upgrades!$E$15,"",Upgrades!$C$15*POWER(Upgrades!$D$15,G178))</f>
        <v/>
      </c>
      <c r="AN178" s="22">
        <f>IF(H178&gt;=Upgrades!$E$16,"",Upgrades!$C$16*POWER(Upgrades!$D$16,H178))</f>
        <v/>
      </c>
      <c r="AO178" s="22">
        <f>IF(I178&gt;=Upgrades!$E$17,"",Upgrades!$C$17*POWER(Upgrades!$D$17,I178))</f>
        <v/>
      </c>
      <c r="AP178" s="22">
        <f>IF(J178&gt;=Upgrades!$E$18,"",Upgrades!$C$18*POWER(Upgrades!$D$18,J178))</f>
        <v/>
      </c>
      <c r="AQ178" s="22">
        <f>IF(K178&gt;=Upgrades!$E$19,"",Upgrades!$C$19*POWER(Upgrades!$D$19,K178))</f>
        <v/>
      </c>
      <c r="AR178" s="22">
        <f>IF(L178&gt;=Upgrades!$E$20,"",Upgrades!$C$20*POWER(Upgrades!$D$20,L178))</f>
        <v/>
      </c>
      <c r="AS178" s="22">
        <f>IF(M178&gt;=Upgrades!$E$21,"",Upgrades!$C$21*POWER(Upgrades!$D$21,M178))</f>
        <v/>
      </c>
      <c r="AT178" s="26">
        <f>IF(AND(D178&gt;=Parameters!$B$18*Parameters!$B$19,(I178&gt;=Upgrades!$E$17)*(M178&gt;=Upgrades!$E$21)=1,N178=0),1,"")</f>
        <v/>
      </c>
      <c r="AU178" s="26">
        <f>IF(AND(D178&gt;=Parameters!$B$18*Parameters!$B$19,N178=0),1,"")</f>
        <v/>
      </c>
      <c r="AV178" s="22">
        <f>MIN(IF(ISNUMBER(AP178),AP178,9E15),IF(ISNUMBER(AQ178),AQ178,9E15),IF(ISNUMBER(AR178),AR178,9E15),IF(ISNUMBER(AS178),AS178,9E15))</f>
        <v/>
      </c>
      <c r="AW178" s="22">
        <f>MIN(IF(ISNUMBER(AK178),AK178,9E15),IF(ISNUMBER(AL178),AL178,9E15),IF(ISNUMBER(AM178),AM178,9E15),IF(ISNUMBER(AN178),AN178,9E15),IF(ISNUMBER(AO178),AO178,9E15))</f>
        <v/>
      </c>
      <c r="AX178" s="29">
        <f>IF(BD178&gt;Parameters!$B$21*(MAX(IF(AND(NOT(AND(AU178=1,AT178&lt;&gt;1)),ISNUMBER(AK178),AK178&lt;=(C178+T178)),AY178,0),IF(AND(NOT(AND(AU178=1,AT178&lt;&gt;1)),ISNUMBER(AL178),AL178&lt;=(C178+T178)),AZ178,0),IF(AND(NOT(AND(AU178=1,AT178&lt;&gt;1)),ISNUMBER(AM178),AM178&lt;=(C178+T178)),BA178,0),IF(AND(NOT(AND(AU178=1,AT178&lt;&gt;1)),ISNUMBER(AN178),AN178&lt;=(C178+T178)),BB178,0),IF(AND(ISNUMBER(AO178),AO178&lt;=(C178+T178)),BC178,0))),TRUE,FALSE)</f>
        <v/>
      </c>
      <c r="AY178" s="32">
        <f>IFERROR(Upgrades!$H$13*(POWER(Upgrades!$P$13,E178)*POWER(Upgrades!$P$14,F178)*POWER(Upgrades!$P$15,G178)*POWER(Upgrades!$P$16,H178)*POWER(Upgrades!$P$17,I178)*POWER(Upgrades!$P$18,J178)*POWER(Upgrades!$P$19,K178)*POWER(Upgrades!$P$20,L178)*POWER(Upgrades!$P$21,M178))*(IF(Upgrades!$T$14="Stellar Kinematics",POWER(Upgrades!$U$14,F178),1)*IF(Upgrades!$T$15="Stellar Kinematics",POWER(Upgrades!$U$15,G178),1)*IF(Upgrades!$T$16="Stellar Kinematics",POWER(Upgrades!$U$16,H178),1)*IF(Upgrades!$T$17="Stellar Kinematics",POWER(Upgrades!$U$17,I178),1)*IF(Upgrades!$T$18="Stellar Kinematics",POWER(Upgrades!$U$18,J178),1)*IF(Upgrades!$T$19="Stellar Kinematics",POWER(Upgrades!$U$19,K178),1)*IF(Upgrades!$T$20="Stellar Kinematics",POWER(Upgrades!$U$20,L178),1)*IF(Upgrades!$T$21="Stellar Kinematics",POWER(Upgrades!$U$21,M178),1))*$F$6/AK178,0)</f>
        <v/>
      </c>
      <c r="AZ178" s="32">
        <f>IFERROR(Upgrades!$H$14*(POWER(Upgrades!$P$13,E178)*POWER(Upgrades!$P$14,F178)*POWER(Upgrades!$P$15,G178)*POWER(Upgrades!$P$16,H178)*POWER(Upgrades!$P$17,I178)*POWER(Upgrades!$P$18,J178)*POWER(Upgrades!$P$19,K178)*POWER(Upgrades!$P$20,L178)*POWER(Upgrades!$P$21,M178))*(IF(Upgrades!$T$13="Local Bubble",POWER(Upgrades!$U$13,E178),1)*IF(Upgrades!$T$15="Local Bubble",POWER(Upgrades!$U$15,G178),1)*IF(Upgrades!$T$16="Local Bubble",POWER(Upgrades!$U$16,H178),1)*IF(Upgrades!$T$17="Local Bubble",POWER(Upgrades!$U$17,I178),1)*IF(Upgrades!$T$18="Local Bubble",POWER(Upgrades!$U$18,J178),1)*IF(Upgrades!$T$19="Local Bubble",POWER(Upgrades!$U$19,K178),1)*IF(Upgrades!$T$20="Local Bubble",POWER(Upgrades!$U$20,L178),1)*IF(Upgrades!$T$21="Local Bubble",POWER(Upgrades!$U$21,M178),1))*$F$6/AL178,0)</f>
        <v/>
      </c>
      <c r="BA178" s="32">
        <f>IFERROR(Upgrades!$K$15*(POWER(Upgrades!$Q$13,E178)*POWER(Upgrades!$Q$14,F178)*POWER(Upgrades!$Q$15,G178)*POWER(Upgrades!$Q$16,H178)*POWER(Upgrades!$Q$17,I178)*POWER(Upgrades!$Q$18,J178)*POWER(Upgrades!$Q$19,K178)*POWER(Upgrades!$Q$20,L178)*POWER(Upgrades!$Q$21,M178))*(IF(Upgrades!$T$13="Microlensing",POWER(Upgrades!$U$13,E178),1)*IF(Upgrades!$T$14="Microlensing",POWER(Upgrades!$U$14,F178),1)*IF(Upgrades!$T$16="Microlensing",POWER(Upgrades!$U$16,H178),1)*IF(Upgrades!$T$17="Microlensing",POWER(Upgrades!$U$17,I178),1)*IF(Upgrades!$T$18="Microlensing",POWER(Upgrades!$U$18,J178),1)*IF(Upgrades!$T$19="Microlensing",POWER(Upgrades!$U$19,K178),1)*IF(Upgrades!$T$20="Microlensing",POWER(Upgrades!$U$20,L178),1)*IF(Upgrades!$T$21="Microlensing",POWER(Upgrades!$U$21,M178),1))*$G$6*(Parameters!$B$10/60*Parameters!$B$11+Q178)/AM178,0)</f>
        <v/>
      </c>
      <c r="BB178" s="32">
        <f>IFERROR((Upgrades!$N$16*(POWER(Upgrades!$R$13,E178)*POWER(Upgrades!$R$14,F178)*POWER(Upgrades!$R$15,G178)*POWER(Upgrades!$R$16,H178)*POWER(Upgrades!$R$17,I178)*POWER(Upgrades!$R$18,J178)*POWER(Upgrades!$R$19,K178)*POWER(Upgrades!$R$20,L178)*POWER(Upgrades!$R$21,M178))*(IF(Upgrades!$T$13="Roche Lobe Overflow",POWER(Upgrades!$U$13,E178),1)*IF(Upgrades!$T$14="Roche Lobe Overflow",POWER(Upgrades!$U$14,F178),1)*IF(Upgrades!$T$15="Roche Lobe Overflow",POWER(Upgrades!$U$15,G178),1)*IF(Upgrades!$T$17="Roche Lobe Overflow",POWER(Upgrades!$U$17,I178),1)*IF(Upgrades!$T$18="Roche Lobe Overflow",POWER(Upgrades!$U$18,J178),1)*IF(Upgrades!$T$19="Roche Lobe Overflow",POWER(Upgrades!$U$19,K178),1)*IF(Upgrades!$T$20="Roche Lobe Overflow",POWER(Upgrades!$U$20,L178),1)*IF(Upgrades!$T$21="Roche Lobe Overflow",POWER(Upgrades!$U$21,M178),1))*$H$6*O178+((IF(F178=0,0,(Upgrades!$G$14+F178*Upgrades!$H$14)*POWER(Upgrades!$I$14,F178)))*(IF(Upgrades!$T$13="Local Bubble",POWER(Upgrades!$U$13,E178),1)*IF(Upgrades!$T$15="Local Bubble",POWER(Upgrades!$U$15,G178),1)*IF(Upgrades!$T$16="Local Bubble",POWER(Upgrades!$U$16,H178),1)*IF(Upgrades!$T$17="Local Bubble",POWER(Upgrades!$U$17,I178),1)*IF(Upgrades!$T$18="Local Bubble",POWER(Upgrades!$U$18,J178),1)*IF(Upgrades!$T$19="Local Bubble",POWER(Upgrades!$U$19,K178),1)*IF(Upgrades!$T$20="Local Bubble",POWER(Upgrades!$U$20,L178),1)*IF(Upgrades!$T$21="Local Bubble",POWER(Upgrades!$U$21,M178),1))*POWER(Upgrades!$P$13,E178)*POWER(Upgrades!$P$14,F178)*POWER(Upgrades!$P$15,G178)*POWER(Upgrades!$P$16,H178)*POWER(Upgrades!$P$17,I178)*POWER(Upgrades!$P$18,J178)*POWER(Upgrades!$P$19,K178)*POWER(Upgrades!$P$20,L178)*POWER(Upgrades!$P$21,M178)*$F$6)*0.05)/AN178,0)</f>
        <v/>
      </c>
      <c r="BC178" s="32">
        <f>IFERROR((Upgrades!$H$17*(POWER(Upgrades!$P$13,E178)*POWER(Upgrades!$P$14,F178)*POWER(Upgrades!$P$15,G178)*POWER(Upgrades!$P$16,H178)*POWER(Upgrades!$P$17,I178)*POWER(Upgrades!$P$18,J178)*POWER(Upgrades!$P$19,K178)*POWER(Upgrades!$P$20,L178)*POWER(Upgrades!$P$21,M178))*(IF(Upgrades!$T$13="Brown Dwarf",POWER(Upgrades!$U$13,E178),1)*IF(Upgrades!$T$14="Brown Dwarf",POWER(Upgrades!$U$14,F178),1)*IF(Upgrades!$T$15="Brown Dwarf",POWER(Upgrades!$U$15,G178),1)*IF(Upgrades!$T$16="Brown Dwarf",POWER(Upgrades!$U$16,H178),1)*IF(Upgrades!$T$18="Brown Dwarf",POWER(Upgrades!$U$18,J178),1)*IF(Upgrades!$T$19="Brown Dwarf",POWER(Upgrades!$U$19,K178),1)*IF(Upgrades!$T$20="Brown Dwarf",POWER(Upgrades!$U$20,L178),1)*IF(Upgrades!$T$21="Brown Dwarf",POWER(Upgrades!$U$21,M178),1))*$F$6+(((IF(H178=0,0,(Upgrades!$M$16+H178*Upgrades!$N$16)*POWER(Upgrades!$O$16,H178)))*(IF(Upgrades!$T$13="Roche Lobe Overflow",POWER(Upgrades!$U$13,E178),1)*IF(Upgrades!$T$14="Roche Lobe Overflow",POWER(Upgrades!$U$14,F178),1)*IF(Upgrades!$T$15="Roche Lobe Overflow",POWER(Upgrades!$U$15,G178),1)*IF(Upgrades!$T$17="Roche Lobe Overflow",POWER(Upgrades!$U$17,I178),1)*IF(Upgrades!$T$18="Roche Lobe Overflow",POWER(Upgrades!$U$18,J178),1)*IF(Upgrades!$T$19="Roche Lobe Overflow",POWER(Upgrades!$U$19,K178),1)*IF(Upgrades!$T$20="Roche Lobe Overflow",POWER(Upgrades!$U$20,L178),1)*IF(Upgrades!$T$21="Roche Lobe Overflow",POWER(Upgrades!$U$21,M178),1))*POWER(Upgrades!$R$13,E178)*POWER(Upgrades!$R$14,F178)*POWER(Upgrades!$R$15,G178)*POWER(Upgrades!$R$16,H178)*POWER(Upgrades!$R$17,I178)*POWER(Upgrades!$R$18,J178)*POWER(Upgrades!$R$19,K178)*POWER(Upgrades!$R$20,L178)*POWER(Upgrades!$R$21,M178)*$H$6)*O178)*0.10)/AO178,0)</f>
        <v/>
      </c>
      <c r="BD178" s="32">
        <f>MAX(IF(J178&gt;0,0,IFERROR(0.5*((IF(G178=0,0,(Upgrades!$J$15+G178*Upgrades!$K$15)*POWER(Upgrades!$L$15,G178)))*(IF(Upgrades!$T$13="Microlensing",POWER(Upgrades!$U$13,E178),1)*IF(Upgrades!$T$14="Microlensing",POWER(Upgrades!$U$14,F178),1)*IF(Upgrades!$T$16="Microlensing",POWER(Upgrades!$U$16,H178),1)*IF(Upgrades!$T$17="Microlensing",POWER(Upgrades!$U$17,I178),1)*IF(Upgrades!$T$18="Microlensing",POWER(Upgrades!$U$18,J178),1)*IF(Upgrades!$T$19="Microlensing",POWER(Upgrades!$U$19,K178),1)*IF(Upgrades!$T$20="Microlensing",POWER(Upgrades!$U$20,L178),1)*IF(Upgrades!$T$21="Microlensing",POWER(Upgrades!$U$21,M178),1))*(POWER(Upgrades!$Q$13,E178)*POWER(Upgrades!$Q$14,F178)*POWER(Upgrades!$Q$15,G178)*POWER(Upgrades!$Q$16,H178)*POWER(Upgrades!$Q$17,I178)*POWER(Upgrades!$Q$18,J178)*POWER(Upgrades!$Q$19,K178)*POWER(Upgrades!$Q$20,L178)*POWER(Upgrades!$Q$21,M178))*$G$6*(Parameters!$B$10/60*Parameters!$B$11+Q178))/Upgrades!$C$18,0)),IF(K178&gt;0,0,IFERROR(0.30*P178/Upgrades!$C$19,0)),IF(L178&gt;0,0,IFERROR(0.0001/Upgrades!$C$20,0)),IF(M178&gt;0,0,IFERROR((6.0*(POWER(Upgrades!$P$13,E178)*POWER(Upgrades!$P$14,F178)*POWER(Upgrades!$P$15,G178)*POWER(Upgrades!$P$16,H178)*POWER(Upgrades!$P$17,I178)*POWER(Upgrades!$P$18,J178)*POWER(Upgrades!$P$19,K178)*POWER(Upgrades!$P$20,L178)*POWER(Upgrades!$P$21,M178))*$F$6+0.20*O178*(Parameters!$B$10/60*Parameters!$B$11+Q178))/Upgrades!$C$21,0)),IF(AND(ISNUMBER(AK178),AK178&gt;(C178+T178)),AY178,0),IF(AND(ISNUMBER(AL178),AL178&gt;(C178+T178)),AZ178,0),IF(AND(ISNUMBER(AM178),AM178&gt;(C178+T178)),BA178,0),IF(AND(ISNUMBER(AN178),AN178&gt;(C178+T178)),BB178,0),IF(AND(ISNUMBER(AO178),AO178&gt;(C178+T178)),BC178,0))</f>
        <v/>
      </c>
      <c r="BE178" s="29">
        <f>IF(AT178=1,"transition",IF(MIN(IF(AND(J178=0,ISNUMBER(AP178),AP178&lt;=(C178+T178)),AP178,9E15),IF(AND(K178=0,ISNUMBER(AQ178),AQ178&lt;=(C178+T178)),AQ178,9E15),IF(AND(L178=0,ISNUMBER(AR178),AR178&lt;=(C178+T178)),AR178,9E15),IF(AND(M178=0,ISNUMBER(AS178),AS178&lt;=(C178+T178)),AS178,9E15))&lt;9E15,IF(AND(AND(J178=0,ISNUMBER(AP178),AP178&lt;=(C178+T178)),AP178=MIN(IF(AND(J178=0,ISNUMBER(AP178),AP178&lt;=(C178+T178)),AP178,9E15),IF(AND(K178=0,ISNUMBER(AQ178),AQ178&lt;=(C178+T178)),AQ178,9E15),IF(AND(L178=0,ISNUMBER(AR178),AR178&lt;=(C178+T178)),AR178,9E15),IF(AND(M178=0,ISNUMBER(AS178),AS178&lt;=(C178+T178)),AS178,9E15))),"BiP",IF(AND(AND(K178=0,ISNUMBER(AQ178),AQ178&lt;=(C178+T178)),AQ178=MIN(IF(AND(J178=0,ISNUMBER(AP178),AP178&lt;=(C178+T178)),AP178,9E15),IF(AND(K178=0,ISNUMBER(AQ178),AQ178&lt;=(C178+T178)),AQ178,9E15),IF(AND(L178=0,ISNUMBER(AR178),AR178&lt;=(C178+T178)),AR178,9E15),IF(AND(M178=0,ISNUMBER(AS178),AS178&lt;=(C178+T178)),AS178,9E15))),"PV",IF(AND(AND(L178=0,ISNUMBER(AR178),AR178&lt;=(C178+T178)),AR178=MIN(IF(AND(J178=0,ISNUMBER(AP178),AP178&lt;=(C178+T178)),AP178,9E15),IF(AND(K178=0,ISNUMBER(AQ178),AQ178&lt;=(C178+T178)),AQ178,9E15),IF(AND(L178=0,ISNUMBER(AR178),AR178&lt;=(C178+T178)),AR178,9E15),IF(AND(M178=0,ISNUMBER(AS178),AS178&lt;=(C178+T178)),AS178,9E15))),"OC","MG"))),IF(AX178=TRUE,"",IF(MAX(IF(AND(NOT(AND(AU178=1,AT178&lt;&gt;1)),ISNUMBER(AK178),AK178&lt;=(C178+T178)),AY178,0),IF(AND(NOT(AND(AU178=1,AT178&lt;&gt;1)),ISNUMBER(AL178),AL178&lt;=(C178+T178)),AZ178,0),IF(AND(NOT(AND(AU178=1,AT178&lt;&gt;1)),ISNUMBER(AM178),AM178&lt;=(C178+T178)),BA178,0),IF(AND(NOT(AND(AU178=1,AT178&lt;&gt;1)),ISNUMBER(AN178),AN178&lt;=(C178+T178)),BB178,0),IF(AND(ISNUMBER(AO178),AO178&lt;=(C178+T178)),BC178,0))&lt;=0,"",IF(AND(IF(AND(NOT(AND(AU178=1,AT178&lt;&gt;1)),ISNUMBER(AK178),AK178&lt;=(C178+T178)),AY178,0)&gt;0,IF(AND(NOT(AND(AU178=1,AT178&lt;&gt;1)),ISNUMBER(AK178),AK178&lt;=(C178+T178)),AY178,0)=MAX(IF(AND(NOT(AND(AU178=1,AT178&lt;&gt;1)),ISNUMBER(AK178),AK178&lt;=(C178+T178)),AY178,0),IF(AND(NOT(AND(AU178=1,AT178&lt;&gt;1)),ISNUMBER(AL178),AL178&lt;=(C178+T178)),AZ178,0),IF(AND(NOT(AND(AU178=1,AT178&lt;&gt;1)),ISNUMBER(AM178),AM178&lt;=(C178+T178)),BA178,0),IF(AND(NOT(AND(AU178=1,AT178&lt;&gt;1)),ISNUMBER(AN178),AN178&lt;=(C178+T178)),BB178,0),IF(AND(ISNUMBER(AO178),AO178&lt;=(C178+T178)),BC178,0))),"SK",IF(AND(IF(AND(NOT(AND(AU178=1,AT178&lt;&gt;1)),ISNUMBER(AL178),AL178&lt;=(C178+T178)),AZ178,0)&gt;0,IF(AND(NOT(AND(AU178=1,AT178&lt;&gt;1)),ISNUMBER(AL178),AL178&lt;=(C178+T178)),AZ178,0)=MAX(IF(AND(NOT(AND(AU178=1,AT178&lt;&gt;1)),ISNUMBER(AK178),AK178&lt;=(C178+T178)),AY178,0),IF(AND(NOT(AND(AU178=1,AT178&lt;&gt;1)),ISNUMBER(AL178),AL178&lt;=(C178+T178)),AZ178,0),IF(AND(NOT(AND(AU178=1,AT178&lt;&gt;1)),ISNUMBER(AM178),AM178&lt;=(C178+T178)),BA178,0),IF(AND(NOT(AND(AU178=1,AT178&lt;&gt;1)),ISNUMBER(AN178),AN178&lt;=(C178+T178)),BB178,0),IF(AND(ISNUMBER(AO178),AO178&lt;=(C178+T178)),BC178,0))),"LB",IF(AND(IF(AND(NOT(AND(AU178=1,AT178&lt;&gt;1)),ISNUMBER(AM178),AM178&lt;=(C178+T178)),BA178,0)&gt;0,IF(AND(NOT(AND(AU178=1,AT178&lt;&gt;1)),ISNUMBER(AM178),AM178&lt;=(C178+T178)),BA178,0)=MAX(IF(AND(NOT(AND(AU178=1,AT178&lt;&gt;1)),ISNUMBER(AK178),AK178&lt;=(C178+T178)),AY178,0),IF(AND(NOT(AND(AU178=1,AT178&lt;&gt;1)),ISNUMBER(AL178),AL178&lt;=(C178+T178)),AZ178,0),IF(AND(NOT(AND(AU178=1,AT178&lt;&gt;1)),ISNUMBER(AM178),AM178&lt;=(C178+T178)),BA178,0),IF(AND(NOT(AND(AU178=1,AT178&lt;&gt;1)),ISNUMBER(AN178),AN178&lt;=(C178+T178)),BB178,0),IF(AND(ISNUMBER(AO178),AO178&lt;=(C178+T178)),BC178,0))),"ML",IF(AND(IF(AND(NOT(AND(AU178=1,AT178&lt;&gt;1)),ISNUMBER(AN178),AN178&lt;=(C178+T178)),BB178,0)&gt;0,IF(AND(NOT(AND(AU178=1,AT178&lt;&gt;1)),ISNUMBER(AN178),AN178&lt;=(C178+T178)),BB178,0)=MAX(IF(AND(NOT(AND(AU178=1,AT178&lt;&gt;1)),ISNUMBER(AK178),AK178&lt;=(C178+T178)),AY178,0),IF(AND(NOT(AND(AU178=1,AT178&lt;&gt;1)),ISNUMBER(AL178),AL178&lt;=(C178+T178)),AZ178,0),IF(AND(NOT(AND(AU178=1,AT178&lt;&gt;1)),ISNUMBER(AM178),AM178&lt;=(C178+T178)),BA178,0),IF(AND(NOT(AND(AU178=1,AT178&lt;&gt;1)),ISNUMBER(AN178),AN178&lt;=(C178+T178)),BB178,0),IF(AND(ISNUMBER(AO178),AO178&lt;=(C178+T178)),BC178,0))),"RLO","BD"))))))))</f>
        <v/>
      </c>
    </row>
    <row r="179">
      <c r="A179" s="26" t="n">
        <v>168</v>
      </c>
      <c r="B179" s="27">
        <f>A179*10/60</f>
        <v/>
      </c>
      <c r="C179" s="22">
        <f>X178</f>
        <v/>
      </c>
      <c r="D179" s="27">
        <f>D178+W178</f>
        <v/>
      </c>
      <c r="E179" s="26">
        <f>E178+IF(U178="SK",1,0)</f>
        <v/>
      </c>
      <c r="F179" s="26">
        <f>F178+IF(U178="LB",1,0)</f>
        <v/>
      </c>
      <c r="G179" s="26">
        <f>G178+IF(U178="ML",1,0)</f>
        <v/>
      </c>
      <c r="H179" s="26">
        <f>H178+IF(U178="RLO",1,0)</f>
        <v/>
      </c>
      <c r="I179" s="26">
        <f>I178+IF(U178="BD",1,0)</f>
        <v/>
      </c>
      <c r="J179" s="26">
        <f>MAX(J178,IF(U178="BiP",1,0))</f>
        <v/>
      </c>
      <c r="K179" s="26">
        <f>MAX(K178,IF(U178="PV",1,0))</f>
        <v/>
      </c>
      <c r="L179" s="26">
        <f>MAX(L178,IF(U178="OC",1,0))</f>
        <v/>
      </c>
      <c r="M179" s="26">
        <f>MAX(M178,IF(U178="MG",1,0))</f>
        <v/>
      </c>
      <c r="N179" s="26">
        <f>MAX(N178,IF(U178="transition",1,0))</f>
        <v/>
      </c>
      <c r="O179" s="28">
        <f>(Parameters!$B$9+(IF(E179=0,0,(Upgrades!$J$13+E179*Upgrades!$K$13)*POWER(Upgrades!$L$13,E179)))*(IF(Upgrades!$T$14="Stellar Kinematics",POWER(Upgrades!$U$14,F179),1)*IF(Upgrades!$T$15="Stellar Kinematics",POWER(Upgrades!$U$15,G179),1)*IF(Upgrades!$T$16="Stellar Kinematics",POWER(Upgrades!$U$16,H179),1)*IF(Upgrades!$T$17="Stellar Kinematics",POWER(Upgrades!$U$17,I179),1)*IF(Upgrades!$T$18="Stellar Kinematics",POWER(Upgrades!$U$18,J179),1)*IF(Upgrades!$T$19="Stellar Kinematics",POWER(Upgrades!$U$19,K179),1)*IF(Upgrades!$T$20="Stellar Kinematics",POWER(Upgrades!$U$20,L179),1)*IF(Upgrades!$T$21="Stellar Kinematics",POWER(Upgrades!$U$21,M179),1))+(IF(F179=0,0,(Upgrades!$J$14+F179*Upgrades!$K$14)*POWER(Upgrades!$L$14,F179)))*(IF(Upgrades!$T$13="Local Bubble",POWER(Upgrades!$U$13,E179),1)*IF(Upgrades!$T$15="Local Bubble",POWER(Upgrades!$U$15,G179),1)*IF(Upgrades!$T$16="Local Bubble",POWER(Upgrades!$U$16,H179),1)*IF(Upgrades!$T$17="Local Bubble",POWER(Upgrades!$U$17,I179),1)*IF(Upgrades!$T$18="Local Bubble",POWER(Upgrades!$U$18,J179),1)*IF(Upgrades!$T$19="Local Bubble",POWER(Upgrades!$U$19,K179),1)*IF(Upgrades!$T$20="Local Bubble",POWER(Upgrades!$U$20,L179),1)*IF(Upgrades!$T$21="Local Bubble",POWER(Upgrades!$U$21,M179),1))+(IF(G179=0,0,(Upgrades!$J$15+G179*Upgrades!$K$15)*POWER(Upgrades!$L$15,G179)))*(IF(Upgrades!$T$13="Microlensing",POWER(Upgrades!$U$13,E179),1)*IF(Upgrades!$T$14="Microlensing",POWER(Upgrades!$U$14,F179),1)*IF(Upgrades!$T$16="Microlensing",POWER(Upgrades!$U$16,H179),1)*IF(Upgrades!$T$17="Microlensing",POWER(Upgrades!$U$17,I179),1)*IF(Upgrades!$T$18="Microlensing",POWER(Upgrades!$U$18,J179),1)*IF(Upgrades!$T$19="Microlensing",POWER(Upgrades!$U$19,K179),1)*IF(Upgrades!$T$20="Microlensing",POWER(Upgrades!$U$20,L179),1)*IF(Upgrades!$T$21="Microlensing",POWER(Upgrades!$U$21,M179),1))+(IF(H179=0,0,(Upgrades!$J$16+H179*Upgrades!$K$16)*POWER(Upgrades!$L$16,H179)))*(IF(Upgrades!$T$13="Roche Lobe Overflow",POWER(Upgrades!$U$13,E179),1)*IF(Upgrades!$T$14="Roche Lobe Overflow",POWER(Upgrades!$U$14,F179),1)*IF(Upgrades!$T$15="Roche Lobe Overflow",POWER(Upgrades!$U$15,G179),1)*IF(Upgrades!$T$17="Roche Lobe Overflow",POWER(Upgrades!$U$17,I179),1)*IF(Upgrades!$T$18="Roche Lobe Overflow",POWER(Upgrades!$U$18,J179),1)*IF(Upgrades!$T$19="Roche Lobe Overflow",POWER(Upgrades!$U$19,K179),1)*IF(Upgrades!$T$20="Roche Lobe Overflow",POWER(Upgrades!$U$20,L179),1)*IF(Upgrades!$T$21="Roche Lobe Overflow",POWER(Upgrades!$U$21,M179),1))+(IF(I179=0,0,(Upgrades!$J$17+I179*Upgrades!$K$17)*POWER(Upgrades!$L$17,I179)))*(IF(Upgrades!$T$13="Brown Dwarf",POWER(Upgrades!$U$13,E179),1)*IF(Upgrades!$T$14="Brown Dwarf",POWER(Upgrades!$U$14,F179),1)*IF(Upgrades!$T$15="Brown Dwarf",POWER(Upgrades!$U$15,G179),1)*IF(Upgrades!$T$16="Brown Dwarf",POWER(Upgrades!$U$16,H179),1)*IF(Upgrades!$T$18="Brown Dwarf",POWER(Upgrades!$U$18,J179),1)*IF(Upgrades!$T$19="Brown Dwarf",POWER(Upgrades!$U$19,K179),1)*IF(Upgrades!$T$20="Brown Dwarf",POWER(Upgrades!$U$20,L179),1)*IF(Upgrades!$T$21="Brown Dwarf",POWER(Upgrades!$U$21,M179),1))+(IF(J179=0,0,(Upgrades!$J$18+J179*Upgrades!$K$18)*POWER(Upgrades!$L$18,J179)))*(IF(Upgrades!$T$13="Binary Partner",POWER(Upgrades!$U$13,E179),1)*IF(Upgrades!$T$14="Binary Partner",POWER(Upgrades!$U$14,F179),1)*IF(Upgrades!$T$15="Binary Partner",POWER(Upgrades!$U$15,G179),1)*IF(Upgrades!$T$16="Binary Partner",POWER(Upgrades!$U$16,H179),1)*IF(Upgrades!$T$17="Binary Partner",POWER(Upgrades!$U$17,I179),1)*IF(Upgrades!$T$19="Binary Partner",POWER(Upgrades!$U$19,K179),1)*IF(Upgrades!$T$20="Binary Partner",POWER(Upgrades!$U$20,L179),1)*IF(Upgrades!$T$21="Binary Partner",POWER(Upgrades!$U$21,M179),1))+(IF(K179=0,0,(Upgrades!$J$19+K179*Upgrades!$K$19)*POWER(Upgrades!$L$19,K179)))*(IF(Upgrades!$T$13="Peculiar Velocity",POWER(Upgrades!$U$13,E179),1)*IF(Upgrades!$T$14="Peculiar Velocity",POWER(Upgrades!$U$14,F179),1)*IF(Upgrades!$T$15="Peculiar Velocity",POWER(Upgrades!$U$15,G179),1)*IF(Upgrades!$T$16="Peculiar Velocity",POWER(Upgrades!$U$16,H179),1)*IF(Upgrades!$T$17="Peculiar Velocity",POWER(Upgrades!$U$17,I179),1)*IF(Upgrades!$T$18="Peculiar Velocity",POWER(Upgrades!$U$18,J179),1)*IF(Upgrades!$T$20="Peculiar Velocity",POWER(Upgrades!$U$20,L179),1)*IF(Upgrades!$T$21="Peculiar Velocity",POWER(Upgrades!$U$21,M179),1))+(IF(L179=0,0,(Upgrades!$J$20+L179*Upgrades!$K$20)*POWER(Upgrades!$L$20,L179)))*(IF(Upgrades!$T$13="Open Cluster",POWER(Upgrades!$U$13,E179),1)*IF(Upgrades!$T$14="Open Cluster",POWER(Upgrades!$U$14,F179),1)*IF(Upgrades!$T$15="Open Cluster",POWER(Upgrades!$U$15,G179),1)*IF(Upgrades!$T$16="Open Cluster",POWER(Upgrades!$U$16,H179),1)*IF(Upgrades!$T$17="Open Cluster",POWER(Upgrades!$U$17,I179),1)*IF(Upgrades!$T$18="Open Cluster",POWER(Upgrades!$U$18,J179),1)*IF(Upgrades!$T$19="Open Cluster",POWER(Upgrades!$U$19,K179),1)*IF(Upgrades!$T$21="Open Cluster",POWER(Upgrades!$U$21,M179),1))+(IF(M179=0,0,(Upgrades!$J$21+M179*Upgrades!$K$21)*POWER(Upgrades!$L$21,M179)))*(IF(Upgrades!$T$13="Moving Group",POWER(Upgrades!$U$13,E179),1)*IF(Upgrades!$T$14="Moving Group",POWER(Upgrades!$U$14,F179),1)*IF(Upgrades!$T$15="Moving Group",POWER(Upgrades!$U$15,G179),1)*IF(Upgrades!$T$16="Moving Group",POWER(Upgrades!$U$16,H179),1)*IF(Upgrades!$T$17="Moving Group",POWER(Upgrades!$U$17,I179),1)*IF(Upgrades!$T$18="Moving Group",POWER(Upgrades!$U$18,J179),1)*IF(Upgrades!$T$19="Moving Group",POWER(Upgrades!$U$19,K179),1)*IF(Upgrades!$T$20="Moving Group",POWER(Upgrades!$U$20,L179),1)))*POWER(Upgrades!$Q$13,E179)*POWER(Upgrades!$Q$14,F179)*POWER(Upgrades!$Q$15,G179)*POWER(Upgrades!$Q$16,H179)*POWER(Upgrades!$Q$17,I179)*POWER(Upgrades!$Q$18,J179)*POWER(Upgrades!$Q$19,K179)*POWER(Upgrades!$Q$20,L179)*POWER(Upgrades!$Q$21,M179)*$G$6+$D$6</f>
        <v/>
      </c>
      <c r="P179" s="28">
        <f>((IF(E179=0,0,(Upgrades!$G$13+E179*Upgrades!$H$13)*POWER(Upgrades!$I$13,E179)))*(IF(Upgrades!$T$14="Stellar Kinematics",POWER(Upgrades!$U$14,F179),1)*IF(Upgrades!$T$15="Stellar Kinematics",POWER(Upgrades!$U$15,G179),1)*IF(Upgrades!$T$16="Stellar Kinematics",POWER(Upgrades!$U$16,H179),1)*IF(Upgrades!$T$17="Stellar Kinematics",POWER(Upgrades!$U$17,I179),1)*IF(Upgrades!$T$18="Stellar Kinematics",POWER(Upgrades!$U$18,J179),1)*IF(Upgrades!$T$19="Stellar Kinematics",POWER(Upgrades!$U$19,K179),1)*IF(Upgrades!$T$20="Stellar Kinematics",POWER(Upgrades!$U$20,L179),1)*IF(Upgrades!$T$21="Stellar Kinematics",POWER(Upgrades!$U$21,M179),1))+(IF(F179=0,0,(Upgrades!$G$14+F179*Upgrades!$H$14)*POWER(Upgrades!$I$14,F179)))*(IF(Upgrades!$T$13="Local Bubble",POWER(Upgrades!$U$13,E179),1)*IF(Upgrades!$T$15="Local Bubble",POWER(Upgrades!$U$15,G179),1)*IF(Upgrades!$T$16="Local Bubble",POWER(Upgrades!$U$16,H179),1)*IF(Upgrades!$T$17="Local Bubble",POWER(Upgrades!$U$17,I179),1)*IF(Upgrades!$T$18="Local Bubble",POWER(Upgrades!$U$18,J179),1)*IF(Upgrades!$T$19="Local Bubble",POWER(Upgrades!$U$19,K179),1)*IF(Upgrades!$T$20="Local Bubble",POWER(Upgrades!$U$20,L179),1)*IF(Upgrades!$T$21="Local Bubble",POWER(Upgrades!$U$21,M179),1))+(IF(G179=0,0,(Upgrades!$G$15+G179*Upgrades!$H$15)*POWER(Upgrades!$I$15,G179)))*(IF(Upgrades!$T$13="Microlensing",POWER(Upgrades!$U$13,E179),1)*IF(Upgrades!$T$14="Microlensing",POWER(Upgrades!$U$14,F179),1)*IF(Upgrades!$T$16="Microlensing",POWER(Upgrades!$U$16,H179),1)*IF(Upgrades!$T$17="Microlensing",POWER(Upgrades!$U$17,I179),1)*IF(Upgrades!$T$18="Microlensing",POWER(Upgrades!$U$18,J179),1)*IF(Upgrades!$T$19="Microlensing",POWER(Upgrades!$U$19,K179),1)*IF(Upgrades!$T$20="Microlensing",POWER(Upgrades!$U$20,L179),1)*IF(Upgrades!$T$21="Microlensing",POWER(Upgrades!$U$21,M179),1))+(IF(H179=0,0,(Upgrades!$G$16+H179*Upgrades!$H$16)*POWER(Upgrades!$I$16,H179)))*(IF(Upgrades!$T$13="Roche Lobe Overflow",POWER(Upgrades!$U$13,E179),1)*IF(Upgrades!$T$14="Roche Lobe Overflow",POWER(Upgrades!$U$14,F179),1)*IF(Upgrades!$T$15="Roche Lobe Overflow",POWER(Upgrades!$U$15,G179),1)*IF(Upgrades!$T$17="Roche Lobe Overflow",POWER(Upgrades!$U$17,I179),1)*IF(Upgrades!$T$18="Roche Lobe Overflow",POWER(Upgrades!$U$18,J179),1)*IF(Upgrades!$T$19="Roche Lobe Overflow",POWER(Upgrades!$U$19,K179),1)*IF(Upgrades!$T$20="Roche Lobe Overflow",POWER(Upgrades!$U$20,L179),1)*IF(Upgrades!$T$21="Roche Lobe Overflow",POWER(Upgrades!$U$21,M179),1))+(IF(I179=0,0,(Upgrades!$G$17+I179*Upgrades!$H$17)*POWER(Upgrades!$I$17,I179)))*(IF(Upgrades!$T$13="Brown Dwarf",POWER(Upgrades!$U$13,E179),1)*IF(Upgrades!$T$14="Brown Dwarf",POWER(Upgrades!$U$14,F179),1)*IF(Upgrades!$T$15="Brown Dwarf",POWER(Upgrades!$U$15,G179),1)*IF(Upgrades!$T$16="Brown Dwarf",POWER(Upgrades!$U$16,H179),1)*IF(Upgrades!$T$18="Brown Dwarf",POWER(Upgrades!$U$18,J179),1)*IF(Upgrades!$T$19="Brown Dwarf",POWER(Upgrades!$U$19,K179),1)*IF(Upgrades!$T$20="Brown Dwarf",POWER(Upgrades!$U$20,L179),1)*IF(Upgrades!$T$21="Brown Dwarf",POWER(Upgrades!$U$21,M179),1))+(IF(J179=0,0,(Upgrades!$G$18+J179*Upgrades!$H$18)*POWER(Upgrades!$I$18,J179)))*(IF(Upgrades!$T$13="Binary Partner",POWER(Upgrades!$U$13,E179),1)*IF(Upgrades!$T$14="Binary Partner",POWER(Upgrades!$U$14,F179),1)*IF(Upgrades!$T$15="Binary Partner",POWER(Upgrades!$U$15,G179),1)*IF(Upgrades!$T$16="Binary Partner",POWER(Upgrades!$U$16,H179),1)*IF(Upgrades!$T$17="Binary Partner",POWER(Upgrades!$U$17,I179),1)*IF(Upgrades!$T$19="Binary Partner",POWER(Upgrades!$U$19,K179),1)*IF(Upgrades!$T$20="Binary Partner",POWER(Upgrades!$U$20,L179),1)*IF(Upgrades!$T$21="Binary Partner",POWER(Upgrades!$U$21,M179),1))+(IF(K179=0,0,(Upgrades!$G$19+K179*Upgrades!$H$19)*POWER(Upgrades!$I$19,K179)))*(IF(Upgrades!$T$13="Peculiar Velocity",POWER(Upgrades!$U$13,E179),1)*IF(Upgrades!$T$14="Peculiar Velocity",POWER(Upgrades!$U$14,F179),1)*IF(Upgrades!$T$15="Peculiar Velocity",POWER(Upgrades!$U$15,G179),1)*IF(Upgrades!$T$16="Peculiar Velocity",POWER(Upgrades!$U$16,H179),1)*IF(Upgrades!$T$17="Peculiar Velocity",POWER(Upgrades!$U$17,I179),1)*IF(Upgrades!$T$18="Peculiar Velocity",POWER(Upgrades!$U$18,J179),1)*IF(Upgrades!$T$20="Peculiar Velocity",POWER(Upgrades!$U$20,L179),1)*IF(Upgrades!$T$21="Peculiar Velocity",POWER(Upgrades!$U$21,M179),1))+(IF(L179=0,0,(Upgrades!$G$20+L179*Upgrades!$H$20)*POWER(Upgrades!$I$20,L179)))*(IF(Upgrades!$T$13="Open Cluster",POWER(Upgrades!$U$13,E179),1)*IF(Upgrades!$T$14="Open Cluster",POWER(Upgrades!$U$14,F179),1)*IF(Upgrades!$T$15="Open Cluster",POWER(Upgrades!$U$15,G179),1)*IF(Upgrades!$T$16="Open Cluster",POWER(Upgrades!$U$16,H179),1)*IF(Upgrades!$T$17="Open Cluster",POWER(Upgrades!$U$17,I179),1)*IF(Upgrades!$T$18="Open Cluster",POWER(Upgrades!$U$18,J179),1)*IF(Upgrades!$T$19="Open Cluster",POWER(Upgrades!$U$19,K179),1)*IF(Upgrades!$T$21="Open Cluster",POWER(Upgrades!$U$21,M179),1))+(IF(M179=0,0,(Upgrades!$G$21+M179*Upgrades!$H$21)*POWER(Upgrades!$I$21,M179)))*(IF(Upgrades!$T$13="Moving Group",POWER(Upgrades!$U$13,E179),1)*IF(Upgrades!$T$14="Moving Group",POWER(Upgrades!$U$14,F179),1)*IF(Upgrades!$T$15="Moving Group",POWER(Upgrades!$U$15,G179),1)*IF(Upgrades!$T$16="Moving Group",POWER(Upgrades!$U$16,H179),1)*IF(Upgrades!$T$17="Moving Group",POWER(Upgrades!$U$17,I179),1)*IF(Upgrades!$T$18="Moving Group",POWER(Upgrades!$U$18,J179),1)*IF(Upgrades!$T$19="Moving Group",POWER(Upgrades!$U$19,K179),1)*IF(Upgrades!$T$20="Moving Group",POWER(Upgrades!$U$20,L179),1)))*POWER(Upgrades!$P$13,E179)*POWER(Upgrades!$P$14,F179)*POWER(Upgrades!$P$15,G179)*POWER(Upgrades!$P$16,H179)*POWER(Upgrades!$P$17,I179)*POWER(Upgrades!$P$18,J179)*POWER(Upgrades!$P$19,K179)*POWER(Upgrades!$P$20,L179)*POWER(Upgrades!$P$21,M179)*$F$6+$C$6</f>
        <v/>
      </c>
      <c r="Q179" s="28">
        <f>((IF(E179=0,0,(Upgrades!$M$13+E179*Upgrades!$N$13)*POWER(Upgrades!$O$13,E179)))*(IF(Upgrades!$T$14="Stellar Kinematics",POWER(Upgrades!$U$14,F179),1)*IF(Upgrades!$T$15="Stellar Kinematics",POWER(Upgrades!$U$15,G179),1)*IF(Upgrades!$T$16="Stellar Kinematics",POWER(Upgrades!$U$16,H179),1)*IF(Upgrades!$T$17="Stellar Kinematics",POWER(Upgrades!$U$17,I179),1)*IF(Upgrades!$T$18="Stellar Kinematics",POWER(Upgrades!$U$18,J179),1)*IF(Upgrades!$T$19="Stellar Kinematics",POWER(Upgrades!$U$19,K179),1)*IF(Upgrades!$T$20="Stellar Kinematics",POWER(Upgrades!$U$20,L179),1)*IF(Upgrades!$T$21="Stellar Kinematics",POWER(Upgrades!$U$21,M179),1))+(IF(F179=0,0,(Upgrades!$M$14+F179*Upgrades!$N$14)*POWER(Upgrades!$O$14,F179)))*(IF(Upgrades!$T$13="Local Bubble",POWER(Upgrades!$U$13,E179),1)*IF(Upgrades!$T$15="Local Bubble",POWER(Upgrades!$U$15,G179),1)*IF(Upgrades!$T$16="Local Bubble",POWER(Upgrades!$U$16,H179),1)*IF(Upgrades!$T$17="Local Bubble",POWER(Upgrades!$U$17,I179),1)*IF(Upgrades!$T$18="Local Bubble",POWER(Upgrades!$U$18,J179),1)*IF(Upgrades!$T$19="Local Bubble",POWER(Upgrades!$U$19,K179),1)*IF(Upgrades!$T$20="Local Bubble",POWER(Upgrades!$U$20,L179),1)*IF(Upgrades!$T$21="Local Bubble",POWER(Upgrades!$U$21,M179),1))+(IF(G179=0,0,(Upgrades!$M$15+G179*Upgrades!$N$15)*POWER(Upgrades!$O$15,G179)))*(IF(Upgrades!$T$13="Microlensing",POWER(Upgrades!$U$13,E179),1)*IF(Upgrades!$T$14="Microlensing",POWER(Upgrades!$U$14,F179),1)*IF(Upgrades!$T$16="Microlensing",POWER(Upgrades!$U$16,H179),1)*IF(Upgrades!$T$17="Microlensing",POWER(Upgrades!$U$17,I179),1)*IF(Upgrades!$T$18="Microlensing",POWER(Upgrades!$U$18,J179),1)*IF(Upgrades!$T$19="Microlensing",POWER(Upgrades!$U$19,K179),1)*IF(Upgrades!$T$20="Microlensing",POWER(Upgrades!$U$20,L179),1)*IF(Upgrades!$T$21="Microlensing",POWER(Upgrades!$U$21,M179),1))+(IF(H179=0,0,(Upgrades!$M$16+H179*Upgrades!$N$16)*POWER(Upgrades!$O$16,H179)))*(IF(Upgrades!$T$13="Roche Lobe Overflow",POWER(Upgrades!$U$13,E179),1)*IF(Upgrades!$T$14="Roche Lobe Overflow",POWER(Upgrades!$U$14,F179),1)*IF(Upgrades!$T$15="Roche Lobe Overflow",POWER(Upgrades!$U$15,G179),1)*IF(Upgrades!$T$17="Roche Lobe Overflow",POWER(Upgrades!$U$17,I179),1)*IF(Upgrades!$T$18="Roche Lobe Overflow",POWER(Upgrades!$U$18,J179),1)*IF(Upgrades!$T$19="Roche Lobe Overflow",POWER(Upgrades!$U$19,K179),1)*IF(Upgrades!$T$20="Roche Lobe Overflow",POWER(Upgrades!$U$20,L179),1)*IF(Upgrades!$T$21="Roche Lobe Overflow",POWER(Upgrades!$U$21,M179),1))+(IF(I179=0,0,(Upgrades!$M$17+I179*Upgrades!$N$17)*POWER(Upgrades!$O$17,I179)))*(IF(Upgrades!$T$13="Brown Dwarf",POWER(Upgrades!$U$13,E179),1)*IF(Upgrades!$T$14="Brown Dwarf",POWER(Upgrades!$U$14,F179),1)*IF(Upgrades!$T$15="Brown Dwarf",POWER(Upgrades!$U$15,G179),1)*IF(Upgrades!$T$16="Brown Dwarf",POWER(Upgrades!$U$16,H179),1)*IF(Upgrades!$T$18="Brown Dwarf",POWER(Upgrades!$U$18,J179),1)*IF(Upgrades!$T$19="Brown Dwarf",POWER(Upgrades!$U$19,K179),1)*IF(Upgrades!$T$20="Brown Dwarf",POWER(Upgrades!$U$20,L179),1)*IF(Upgrades!$T$21="Brown Dwarf",POWER(Upgrades!$U$21,M179),1))+(IF(J179=0,0,(Upgrades!$M$18+J179*Upgrades!$N$18)*POWER(Upgrades!$O$18,J179)))*(IF(Upgrades!$T$13="Binary Partner",POWER(Upgrades!$U$13,E179),1)*IF(Upgrades!$T$14="Binary Partner",POWER(Upgrades!$U$14,F179),1)*IF(Upgrades!$T$15="Binary Partner",POWER(Upgrades!$U$15,G179),1)*IF(Upgrades!$T$16="Binary Partner",POWER(Upgrades!$U$16,H179),1)*IF(Upgrades!$T$17="Binary Partner",POWER(Upgrades!$U$17,I179),1)*IF(Upgrades!$T$19="Binary Partner",POWER(Upgrades!$U$19,K179),1)*IF(Upgrades!$T$20="Binary Partner",POWER(Upgrades!$U$20,L179),1)*IF(Upgrades!$T$21="Binary Partner",POWER(Upgrades!$U$21,M179),1))+(IF(K179=0,0,(Upgrades!$M$19+K179*Upgrades!$N$19)*POWER(Upgrades!$O$19,K179)))*(IF(Upgrades!$T$13="Peculiar Velocity",POWER(Upgrades!$U$13,E179),1)*IF(Upgrades!$T$14="Peculiar Velocity",POWER(Upgrades!$U$14,F179),1)*IF(Upgrades!$T$15="Peculiar Velocity",POWER(Upgrades!$U$15,G179),1)*IF(Upgrades!$T$16="Peculiar Velocity",POWER(Upgrades!$U$16,H179),1)*IF(Upgrades!$T$17="Peculiar Velocity",POWER(Upgrades!$U$17,I179),1)*IF(Upgrades!$T$18="Peculiar Velocity",POWER(Upgrades!$U$18,J179),1)*IF(Upgrades!$T$20="Peculiar Velocity",POWER(Upgrades!$U$20,L179),1)*IF(Upgrades!$T$21="Peculiar Velocity",POWER(Upgrades!$U$21,M179),1))+(IF(L179=0,0,(Upgrades!$M$20+L179*Upgrades!$N$20)*POWER(Upgrades!$O$20,L179)))*(IF(Upgrades!$T$13="Open Cluster",POWER(Upgrades!$U$13,E179),1)*IF(Upgrades!$T$14="Open Cluster",POWER(Upgrades!$U$14,F179),1)*IF(Upgrades!$T$15="Open Cluster",POWER(Upgrades!$U$15,G179),1)*IF(Upgrades!$T$16="Open Cluster",POWER(Upgrades!$U$16,H179),1)*IF(Upgrades!$T$17="Open Cluster",POWER(Upgrades!$U$17,I179),1)*IF(Upgrades!$T$18="Open Cluster",POWER(Upgrades!$U$18,J179),1)*IF(Upgrades!$T$19="Open Cluster",POWER(Upgrades!$U$19,K179),1)*IF(Upgrades!$T$21="Open Cluster",POWER(Upgrades!$U$21,M179),1))+(IF(M179=0,0,(Upgrades!$M$21+M179*Upgrades!$N$21)*POWER(Upgrades!$O$21,M179)))*(IF(Upgrades!$T$13="Moving Group",POWER(Upgrades!$U$13,E179),1)*IF(Upgrades!$T$14="Moving Group",POWER(Upgrades!$U$14,F179),1)*IF(Upgrades!$T$15="Moving Group",POWER(Upgrades!$U$15,G179),1)*IF(Upgrades!$T$16="Moving Group",POWER(Upgrades!$U$16,H179),1)*IF(Upgrades!$T$17="Moving Group",POWER(Upgrades!$U$17,I179),1)*IF(Upgrades!$T$18="Moving Group",POWER(Upgrades!$U$18,J179),1)*IF(Upgrades!$T$19="Moving Group",POWER(Upgrades!$U$19,K179),1)*IF(Upgrades!$T$20="Moving Group",POWER(Upgrades!$U$20,L179),1)))*POWER(Upgrades!$R$13,E179)*POWER(Upgrades!$R$14,F179)*POWER(Upgrades!$R$15,G179)*POWER(Upgrades!$R$16,H179)*POWER(Upgrades!$R$17,I179)*POWER(Upgrades!$R$18,J179)*POWER(Upgrades!$R$19,K179)*POWER(Upgrades!$R$20,L179)*POWER(Upgrades!$R$21,M179)*$H$6+$E$6</f>
        <v/>
      </c>
      <c r="R179" s="27">
        <f>IF(N179=1,0,O179*Parameters!$B$10/60*Parameters!$B$11*10)</f>
        <v/>
      </c>
      <c r="S179" s="27">
        <f>IF(N179=1,0,Q179*O179*10)</f>
        <v/>
      </c>
      <c r="T179" s="27">
        <f>IF(N179=1,0,R179+S179+P179*10)</f>
        <v/>
      </c>
      <c r="U179" s="33">
        <f>BE179</f>
        <v/>
      </c>
      <c r="V179" s="22">
        <f>IF(U179="",0,IF(U179="transition",0,IF(U179="SK",AK179,IF(U179="LB",AL179,IF(U179="ML",AM179,IF(U179="RLO",AN179,IF(U179="BD",AO179,IF(U179="BiP",AP179,IF(U179="PV",AQ179,IF(U179="OC",AR179,IF(U179="MG",AS179,0))))))))))</f>
        <v/>
      </c>
      <c r="W179" s="27">
        <f>IF(U179="BiP",Upgrades!$F$18,IF(U179="PV",Upgrades!$F$19,IF(U179="OC",Upgrades!$F$20,IF(U179="MG",Upgrades!$F$21,IF(U179="transition",-Parameters!$B$18*Parameters!$B$19,0)))))</f>
        <v/>
      </c>
      <c r="X179" s="22">
        <f>C179+T179-V179</f>
        <v/>
      </c>
      <c r="Y179" s="30">
        <f>O179*Parameters!$B$10/60*Parameters!$B$11+Q179*O179+P179</f>
        <v/>
      </c>
      <c r="Z179" s="34">
        <f>IF(U179="transition","→ Tier 3 (Galactic Arm)",IF(U179="MG","Moving Group — pocket drifts together",IF(U179="OC","Open Cluster acquired",IF(U179="PV","Peculiar Velocity — passive multiplier active",IF(U179="BiP","Binary Partner — pair bond formed",IF(AND(AU179=1,N179=0,AT179&lt;&gt;1),"Cohesion ready (waiting on completionists)","")))))) </f>
        <v/>
      </c>
      <c r="AA179" s="27">
        <f>(IF(E179=0,0,(Upgrades!$G$13+E179*Upgrades!$H$13)*POWER(Upgrades!$I$13,E179)))*(IF(Upgrades!$T$14="Stellar Kinematics",POWER(Upgrades!$U$14,F179),1)*IF(Upgrades!$T$15="Stellar Kinematics",POWER(Upgrades!$U$15,G179),1)*IF(Upgrades!$T$16="Stellar Kinematics",POWER(Upgrades!$U$16,H179),1)*IF(Upgrades!$T$17="Stellar Kinematics",POWER(Upgrades!$U$17,I179),1)*IF(Upgrades!$T$18="Stellar Kinematics",POWER(Upgrades!$U$18,J179),1)*IF(Upgrades!$T$19="Stellar Kinematics",POWER(Upgrades!$U$19,K179),1)*IF(Upgrades!$T$20="Stellar Kinematics",POWER(Upgrades!$U$20,L179),1)*IF(Upgrades!$T$21="Stellar Kinematics",POWER(Upgrades!$U$21,M179),1))*POWER(Upgrades!$P$13,E179)*POWER(Upgrades!$P$14,F179)*POWER(Upgrades!$P$15,G179)*POWER(Upgrades!$P$16,H179)*POWER(Upgrades!$P$17,I179)*POWER(Upgrades!$P$18,J179)*POWER(Upgrades!$P$19,K179)*POWER(Upgrades!$P$20,L179)*POWER(Upgrades!$P$21,M179)*$F$6*60</f>
        <v/>
      </c>
      <c r="AB179" s="27">
        <f>(IF(F179=0,0,(Upgrades!$G$14+F179*Upgrades!$H$14)*POWER(Upgrades!$I$14,F179)))*(IF(Upgrades!$T$13="Local Bubble",POWER(Upgrades!$U$13,E179),1)*IF(Upgrades!$T$15="Local Bubble",POWER(Upgrades!$U$15,G179),1)*IF(Upgrades!$T$16="Local Bubble",POWER(Upgrades!$U$16,H179),1)*IF(Upgrades!$T$17="Local Bubble",POWER(Upgrades!$U$17,I179),1)*IF(Upgrades!$T$18="Local Bubble",POWER(Upgrades!$U$18,J179),1)*IF(Upgrades!$T$19="Local Bubble",POWER(Upgrades!$U$19,K179),1)*IF(Upgrades!$T$20="Local Bubble",POWER(Upgrades!$U$20,L179),1)*IF(Upgrades!$T$21="Local Bubble",POWER(Upgrades!$U$21,M179),1))*POWER(Upgrades!$P$13,E179)*POWER(Upgrades!$P$14,F179)*POWER(Upgrades!$P$15,G179)*POWER(Upgrades!$P$16,H179)*POWER(Upgrades!$P$17,I179)*POWER(Upgrades!$P$18,J179)*POWER(Upgrades!$P$19,K179)*POWER(Upgrades!$P$20,L179)*POWER(Upgrades!$P$21,M179)*$F$6*60</f>
        <v/>
      </c>
      <c r="AC179" s="27">
        <f>(IF(G179=0,0,(Upgrades!$J$15+G179*Upgrades!$K$15)*POWER(Upgrades!$L$15,G179)))*(IF(Upgrades!$T$13="Microlensing",POWER(Upgrades!$U$13,E179),1)*IF(Upgrades!$T$14="Microlensing",POWER(Upgrades!$U$14,F179),1)*IF(Upgrades!$T$16="Microlensing",POWER(Upgrades!$U$16,H179),1)*IF(Upgrades!$T$17="Microlensing",POWER(Upgrades!$U$17,I179),1)*IF(Upgrades!$T$18="Microlensing",POWER(Upgrades!$U$18,J179),1)*IF(Upgrades!$T$19="Microlensing",POWER(Upgrades!$U$19,K179),1)*IF(Upgrades!$T$20="Microlensing",POWER(Upgrades!$U$20,L179),1)*IF(Upgrades!$T$21="Microlensing",POWER(Upgrades!$U$21,M179),1))*POWER(Upgrades!$Q$13,E179)*POWER(Upgrades!$Q$14,F179)*POWER(Upgrades!$Q$15,G179)*POWER(Upgrades!$Q$16,H179)*POWER(Upgrades!$Q$17,I179)*POWER(Upgrades!$Q$18,J179)*POWER(Upgrades!$Q$19,K179)*POWER(Upgrades!$Q$20,L179)*POWER(Upgrades!$Q$21,M179)*$G$6*(Parameters!$B$10*Parameters!$B$11+Q179*60)</f>
        <v/>
      </c>
      <c r="AD179" s="27">
        <f>(IF(H179=0,0,(Upgrades!$M$16+H179*Upgrades!$N$16)*POWER(Upgrades!$O$16,H179)))*(IF(Upgrades!$T$13="Roche Lobe Overflow",POWER(Upgrades!$U$13,E179),1)*IF(Upgrades!$T$14="Roche Lobe Overflow",POWER(Upgrades!$U$14,F179),1)*IF(Upgrades!$T$15="Roche Lobe Overflow",POWER(Upgrades!$U$15,G179),1)*IF(Upgrades!$T$17="Roche Lobe Overflow",POWER(Upgrades!$U$17,I179),1)*IF(Upgrades!$T$18="Roche Lobe Overflow",POWER(Upgrades!$U$18,J179),1)*IF(Upgrades!$T$19="Roche Lobe Overflow",POWER(Upgrades!$U$19,K179),1)*IF(Upgrades!$T$20="Roche Lobe Overflow",POWER(Upgrades!$U$20,L179),1)*IF(Upgrades!$T$21="Roche Lobe Overflow",POWER(Upgrades!$U$21,M179),1))*POWER(Upgrades!$R$13,E179)*POWER(Upgrades!$R$14,F179)*POWER(Upgrades!$R$15,G179)*POWER(Upgrades!$R$16,H179)*POWER(Upgrades!$R$17,I179)*POWER(Upgrades!$R$18,J179)*POWER(Upgrades!$R$19,K179)*POWER(Upgrades!$R$20,L179)*POWER(Upgrades!$R$21,M179)*$H$6*O179*60</f>
        <v/>
      </c>
      <c r="AE179" s="27">
        <f>(IF(I179=0,0,(Upgrades!$G$17+I179*Upgrades!$H$17)*POWER(Upgrades!$I$17,I179)))*(IF(Upgrades!$T$13="Brown Dwarf",POWER(Upgrades!$U$13,E179),1)*IF(Upgrades!$T$14="Brown Dwarf",POWER(Upgrades!$U$14,F179),1)*IF(Upgrades!$T$15="Brown Dwarf",POWER(Upgrades!$U$15,G179),1)*IF(Upgrades!$T$16="Brown Dwarf",POWER(Upgrades!$U$16,H179),1)*IF(Upgrades!$T$18="Brown Dwarf",POWER(Upgrades!$U$18,J179),1)*IF(Upgrades!$T$19="Brown Dwarf",POWER(Upgrades!$U$19,K179),1)*IF(Upgrades!$T$20="Brown Dwarf",POWER(Upgrades!$U$20,L179),1)*IF(Upgrades!$T$21="Brown Dwarf",POWER(Upgrades!$U$21,M179),1))*POWER(Upgrades!$P$13,E179)*POWER(Upgrades!$P$14,F179)*POWER(Upgrades!$P$15,G179)*POWER(Upgrades!$P$16,H179)*POWER(Upgrades!$P$17,I179)*POWER(Upgrades!$P$18,J179)*POWER(Upgrades!$P$19,K179)*POWER(Upgrades!$P$20,L179)*POWER(Upgrades!$P$21,M179)*$F$6*60</f>
        <v/>
      </c>
      <c r="AF179" s="27" t="n">
        <v>0</v>
      </c>
      <c r="AG179" s="27" t="n">
        <v>0</v>
      </c>
      <c r="AH179" s="27" t="n">
        <v>0</v>
      </c>
      <c r="AI179" s="27">
        <f>(IF(M179=0,0,(Upgrades!$G$21+M179*Upgrades!$H$21)*POWER(Upgrades!$I$21,M179)))*(IF(Upgrades!$T$13="Moving Group",POWER(Upgrades!$U$13,E179),1)*IF(Upgrades!$T$14="Moving Group",POWER(Upgrades!$U$14,F179),1)*IF(Upgrades!$T$15="Moving Group",POWER(Upgrades!$U$15,G179),1)*IF(Upgrades!$T$16="Moving Group",POWER(Upgrades!$U$16,H179),1)*IF(Upgrades!$T$17="Moving Group",POWER(Upgrades!$U$17,I179),1)*IF(Upgrades!$T$18="Moving Group",POWER(Upgrades!$U$18,J179),1)*IF(Upgrades!$T$19="Moving Group",POWER(Upgrades!$U$19,K179),1)*IF(Upgrades!$T$20="Moving Group",POWER(Upgrades!$U$20,L179),1))*POWER(Upgrades!$P$13,E179)*POWER(Upgrades!$P$14,F179)*POWER(Upgrades!$P$15,G179)*POWER(Upgrades!$P$16,H179)*POWER(Upgrades!$P$17,I179)*POWER(Upgrades!$P$18,J179)*POWER(Upgrades!$P$19,K179)*POWER(Upgrades!$P$20,L179)*POWER(Upgrades!$P$21,M179)*$F$6*60</f>
        <v/>
      </c>
      <c r="AJ179" s="27">
        <f>$C$6*60</f>
        <v/>
      </c>
      <c r="AK179" s="22">
        <f>IF(E179&gt;=Upgrades!$E$13,"",Upgrades!$C$13*POWER(Upgrades!$D$13,E179))</f>
        <v/>
      </c>
      <c r="AL179" s="22">
        <f>IF(F179&gt;=Upgrades!$E$14,"",Upgrades!$C$14*POWER(Upgrades!$D$14,F179))</f>
        <v/>
      </c>
      <c r="AM179" s="22">
        <f>IF(G179&gt;=Upgrades!$E$15,"",Upgrades!$C$15*POWER(Upgrades!$D$15,G179))</f>
        <v/>
      </c>
      <c r="AN179" s="22">
        <f>IF(H179&gt;=Upgrades!$E$16,"",Upgrades!$C$16*POWER(Upgrades!$D$16,H179))</f>
        <v/>
      </c>
      <c r="AO179" s="22">
        <f>IF(I179&gt;=Upgrades!$E$17,"",Upgrades!$C$17*POWER(Upgrades!$D$17,I179))</f>
        <v/>
      </c>
      <c r="AP179" s="22">
        <f>IF(J179&gt;=Upgrades!$E$18,"",Upgrades!$C$18*POWER(Upgrades!$D$18,J179))</f>
        <v/>
      </c>
      <c r="AQ179" s="22">
        <f>IF(K179&gt;=Upgrades!$E$19,"",Upgrades!$C$19*POWER(Upgrades!$D$19,K179))</f>
        <v/>
      </c>
      <c r="AR179" s="22">
        <f>IF(L179&gt;=Upgrades!$E$20,"",Upgrades!$C$20*POWER(Upgrades!$D$20,L179))</f>
        <v/>
      </c>
      <c r="AS179" s="22">
        <f>IF(M179&gt;=Upgrades!$E$21,"",Upgrades!$C$21*POWER(Upgrades!$D$21,M179))</f>
        <v/>
      </c>
      <c r="AT179" s="26">
        <f>IF(AND(D179&gt;=Parameters!$B$18*Parameters!$B$19,(I179&gt;=Upgrades!$E$17)*(M179&gt;=Upgrades!$E$21)=1,N179=0),1,"")</f>
        <v/>
      </c>
      <c r="AU179" s="26">
        <f>IF(AND(D179&gt;=Parameters!$B$18*Parameters!$B$19,N179=0),1,"")</f>
        <v/>
      </c>
      <c r="AV179" s="22">
        <f>MIN(IF(ISNUMBER(AP179),AP179,9E15),IF(ISNUMBER(AQ179),AQ179,9E15),IF(ISNUMBER(AR179),AR179,9E15),IF(ISNUMBER(AS179),AS179,9E15))</f>
        <v/>
      </c>
      <c r="AW179" s="22">
        <f>MIN(IF(ISNUMBER(AK179),AK179,9E15),IF(ISNUMBER(AL179),AL179,9E15),IF(ISNUMBER(AM179),AM179,9E15),IF(ISNUMBER(AN179),AN179,9E15),IF(ISNUMBER(AO179),AO179,9E15))</f>
        <v/>
      </c>
      <c r="AX179" s="29">
        <f>IF(BD179&gt;Parameters!$B$21*(MAX(IF(AND(NOT(AND(AU179=1,AT179&lt;&gt;1)),ISNUMBER(AK179),AK179&lt;=(C179+T179)),AY179,0),IF(AND(NOT(AND(AU179=1,AT179&lt;&gt;1)),ISNUMBER(AL179),AL179&lt;=(C179+T179)),AZ179,0),IF(AND(NOT(AND(AU179=1,AT179&lt;&gt;1)),ISNUMBER(AM179),AM179&lt;=(C179+T179)),BA179,0),IF(AND(NOT(AND(AU179=1,AT179&lt;&gt;1)),ISNUMBER(AN179),AN179&lt;=(C179+T179)),BB179,0),IF(AND(ISNUMBER(AO179),AO179&lt;=(C179+T179)),BC179,0))),TRUE,FALSE)</f>
        <v/>
      </c>
      <c r="AY179" s="32">
        <f>IFERROR(Upgrades!$H$13*(POWER(Upgrades!$P$13,E179)*POWER(Upgrades!$P$14,F179)*POWER(Upgrades!$P$15,G179)*POWER(Upgrades!$P$16,H179)*POWER(Upgrades!$P$17,I179)*POWER(Upgrades!$P$18,J179)*POWER(Upgrades!$P$19,K179)*POWER(Upgrades!$P$20,L179)*POWER(Upgrades!$P$21,M179))*(IF(Upgrades!$T$14="Stellar Kinematics",POWER(Upgrades!$U$14,F179),1)*IF(Upgrades!$T$15="Stellar Kinematics",POWER(Upgrades!$U$15,G179),1)*IF(Upgrades!$T$16="Stellar Kinematics",POWER(Upgrades!$U$16,H179),1)*IF(Upgrades!$T$17="Stellar Kinematics",POWER(Upgrades!$U$17,I179),1)*IF(Upgrades!$T$18="Stellar Kinematics",POWER(Upgrades!$U$18,J179),1)*IF(Upgrades!$T$19="Stellar Kinematics",POWER(Upgrades!$U$19,K179),1)*IF(Upgrades!$T$20="Stellar Kinematics",POWER(Upgrades!$U$20,L179),1)*IF(Upgrades!$T$21="Stellar Kinematics",POWER(Upgrades!$U$21,M179),1))*$F$6/AK179,0)</f>
        <v/>
      </c>
      <c r="AZ179" s="32">
        <f>IFERROR(Upgrades!$H$14*(POWER(Upgrades!$P$13,E179)*POWER(Upgrades!$P$14,F179)*POWER(Upgrades!$P$15,G179)*POWER(Upgrades!$P$16,H179)*POWER(Upgrades!$P$17,I179)*POWER(Upgrades!$P$18,J179)*POWER(Upgrades!$P$19,K179)*POWER(Upgrades!$P$20,L179)*POWER(Upgrades!$P$21,M179))*(IF(Upgrades!$T$13="Local Bubble",POWER(Upgrades!$U$13,E179),1)*IF(Upgrades!$T$15="Local Bubble",POWER(Upgrades!$U$15,G179),1)*IF(Upgrades!$T$16="Local Bubble",POWER(Upgrades!$U$16,H179),1)*IF(Upgrades!$T$17="Local Bubble",POWER(Upgrades!$U$17,I179),1)*IF(Upgrades!$T$18="Local Bubble",POWER(Upgrades!$U$18,J179),1)*IF(Upgrades!$T$19="Local Bubble",POWER(Upgrades!$U$19,K179),1)*IF(Upgrades!$T$20="Local Bubble",POWER(Upgrades!$U$20,L179),1)*IF(Upgrades!$T$21="Local Bubble",POWER(Upgrades!$U$21,M179),1))*$F$6/AL179,0)</f>
        <v/>
      </c>
      <c r="BA179" s="32">
        <f>IFERROR(Upgrades!$K$15*(POWER(Upgrades!$Q$13,E179)*POWER(Upgrades!$Q$14,F179)*POWER(Upgrades!$Q$15,G179)*POWER(Upgrades!$Q$16,H179)*POWER(Upgrades!$Q$17,I179)*POWER(Upgrades!$Q$18,J179)*POWER(Upgrades!$Q$19,K179)*POWER(Upgrades!$Q$20,L179)*POWER(Upgrades!$Q$21,M179))*(IF(Upgrades!$T$13="Microlensing",POWER(Upgrades!$U$13,E179),1)*IF(Upgrades!$T$14="Microlensing",POWER(Upgrades!$U$14,F179),1)*IF(Upgrades!$T$16="Microlensing",POWER(Upgrades!$U$16,H179),1)*IF(Upgrades!$T$17="Microlensing",POWER(Upgrades!$U$17,I179),1)*IF(Upgrades!$T$18="Microlensing",POWER(Upgrades!$U$18,J179),1)*IF(Upgrades!$T$19="Microlensing",POWER(Upgrades!$U$19,K179),1)*IF(Upgrades!$T$20="Microlensing",POWER(Upgrades!$U$20,L179),1)*IF(Upgrades!$T$21="Microlensing",POWER(Upgrades!$U$21,M179),1))*$G$6*(Parameters!$B$10/60*Parameters!$B$11+Q179)/AM179,0)</f>
        <v/>
      </c>
      <c r="BB179" s="32">
        <f>IFERROR((Upgrades!$N$16*(POWER(Upgrades!$R$13,E179)*POWER(Upgrades!$R$14,F179)*POWER(Upgrades!$R$15,G179)*POWER(Upgrades!$R$16,H179)*POWER(Upgrades!$R$17,I179)*POWER(Upgrades!$R$18,J179)*POWER(Upgrades!$R$19,K179)*POWER(Upgrades!$R$20,L179)*POWER(Upgrades!$R$21,M179))*(IF(Upgrades!$T$13="Roche Lobe Overflow",POWER(Upgrades!$U$13,E179),1)*IF(Upgrades!$T$14="Roche Lobe Overflow",POWER(Upgrades!$U$14,F179),1)*IF(Upgrades!$T$15="Roche Lobe Overflow",POWER(Upgrades!$U$15,G179),1)*IF(Upgrades!$T$17="Roche Lobe Overflow",POWER(Upgrades!$U$17,I179),1)*IF(Upgrades!$T$18="Roche Lobe Overflow",POWER(Upgrades!$U$18,J179),1)*IF(Upgrades!$T$19="Roche Lobe Overflow",POWER(Upgrades!$U$19,K179),1)*IF(Upgrades!$T$20="Roche Lobe Overflow",POWER(Upgrades!$U$20,L179),1)*IF(Upgrades!$T$21="Roche Lobe Overflow",POWER(Upgrades!$U$21,M179),1))*$H$6*O179+((IF(F179=0,0,(Upgrades!$G$14+F179*Upgrades!$H$14)*POWER(Upgrades!$I$14,F179)))*(IF(Upgrades!$T$13="Local Bubble",POWER(Upgrades!$U$13,E179),1)*IF(Upgrades!$T$15="Local Bubble",POWER(Upgrades!$U$15,G179),1)*IF(Upgrades!$T$16="Local Bubble",POWER(Upgrades!$U$16,H179),1)*IF(Upgrades!$T$17="Local Bubble",POWER(Upgrades!$U$17,I179),1)*IF(Upgrades!$T$18="Local Bubble",POWER(Upgrades!$U$18,J179),1)*IF(Upgrades!$T$19="Local Bubble",POWER(Upgrades!$U$19,K179),1)*IF(Upgrades!$T$20="Local Bubble",POWER(Upgrades!$U$20,L179),1)*IF(Upgrades!$T$21="Local Bubble",POWER(Upgrades!$U$21,M179),1))*POWER(Upgrades!$P$13,E179)*POWER(Upgrades!$P$14,F179)*POWER(Upgrades!$P$15,G179)*POWER(Upgrades!$P$16,H179)*POWER(Upgrades!$P$17,I179)*POWER(Upgrades!$P$18,J179)*POWER(Upgrades!$P$19,K179)*POWER(Upgrades!$P$20,L179)*POWER(Upgrades!$P$21,M179)*$F$6)*0.05)/AN179,0)</f>
        <v/>
      </c>
      <c r="BC179" s="32">
        <f>IFERROR((Upgrades!$H$17*(POWER(Upgrades!$P$13,E179)*POWER(Upgrades!$P$14,F179)*POWER(Upgrades!$P$15,G179)*POWER(Upgrades!$P$16,H179)*POWER(Upgrades!$P$17,I179)*POWER(Upgrades!$P$18,J179)*POWER(Upgrades!$P$19,K179)*POWER(Upgrades!$P$20,L179)*POWER(Upgrades!$P$21,M179))*(IF(Upgrades!$T$13="Brown Dwarf",POWER(Upgrades!$U$13,E179),1)*IF(Upgrades!$T$14="Brown Dwarf",POWER(Upgrades!$U$14,F179),1)*IF(Upgrades!$T$15="Brown Dwarf",POWER(Upgrades!$U$15,G179),1)*IF(Upgrades!$T$16="Brown Dwarf",POWER(Upgrades!$U$16,H179),1)*IF(Upgrades!$T$18="Brown Dwarf",POWER(Upgrades!$U$18,J179),1)*IF(Upgrades!$T$19="Brown Dwarf",POWER(Upgrades!$U$19,K179),1)*IF(Upgrades!$T$20="Brown Dwarf",POWER(Upgrades!$U$20,L179),1)*IF(Upgrades!$T$21="Brown Dwarf",POWER(Upgrades!$U$21,M179),1))*$F$6+(((IF(H179=0,0,(Upgrades!$M$16+H179*Upgrades!$N$16)*POWER(Upgrades!$O$16,H179)))*(IF(Upgrades!$T$13="Roche Lobe Overflow",POWER(Upgrades!$U$13,E179),1)*IF(Upgrades!$T$14="Roche Lobe Overflow",POWER(Upgrades!$U$14,F179),1)*IF(Upgrades!$T$15="Roche Lobe Overflow",POWER(Upgrades!$U$15,G179),1)*IF(Upgrades!$T$17="Roche Lobe Overflow",POWER(Upgrades!$U$17,I179),1)*IF(Upgrades!$T$18="Roche Lobe Overflow",POWER(Upgrades!$U$18,J179),1)*IF(Upgrades!$T$19="Roche Lobe Overflow",POWER(Upgrades!$U$19,K179),1)*IF(Upgrades!$T$20="Roche Lobe Overflow",POWER(Upgrades!$U$20,L179),1)*IF(Upgrades!$T$21="Roche Lobe Overflow",POWER(Upgrades!$U$21,M179),1))*POWER(Upgrades!$R$13,E179)*POWER(Upgrades!$R$14,F179)*POWER(Upgrades!$R$15,G179)*POWER(Upgrades!$R$16,H179)*POWER(Upgrades!$R$17,I179)*POWER(Upgrades!$R$18,J179)*POWER(Upgrades!$R$19,K179)*POWER(Upgrades!$R$20,L179)*POWER(Upgrades!$R$21,M179)*$H$6)*O179)*0.10)/AO179,0)</f>
        <v/>
      </c>
      <c r="BD179" s="32">
        <f>MAX(IF(J179&gt;0,0,IFERROR(0.5*((IF(G179=0,0,(Upgrades!$J$15+G179*Upgrades!$K$15)*POWER(Upgrades!$L$15,G179)))*(IF(Upgrades!$T$13="Microlensing",POWER(Upgrades!$U$13,E179),1)*IF(Upgrades!$T$14="Microlensing",POWER(Upgrades!$U$14,F179),1)*IF(Upgrades!$T$16="Microlensing",POWER(Upgrades!$U$16,H179),1)*IF(Upgrades!$T$17="Microlensing",POWER(Upgrades!$U$17,I179),1)*IF(Upgrades!$T$18="Microlensing",POWER(Upgrades!$U$18,J179),1)*IF(Upgrades!$T$19="Microlensing",POWER(Upgrades!$U$19,K179),1)*IF(Upgrades!$T$20="Microlensing",POWER(Upgrades!$U$20,L179),1)*IF(Upgrades!$T$21="Microlensing",POWER(Upgrades!$U$21,M179),1))*(POWER(Upgrades!$Q$13,E179)*POWER(Upgrades!$Q$14,F179)*POWER(Upgrades!$Q$15,G179)*POWER(Upgrades!$Q$16,H179)*POWER(Upgrades!$Q$17,I179)*POWER(Upgrades!$Q$18,J179)*POWER(Upgrades!$Q$19,K179)*POWER(Upgrades!$Q$20,L179)*POWER(Upgrades!$Q$21,M179))*$G$6*(Parameters!$B$10/60*Parameters!$B$11+Q179))/Upgrades!$C$18,0)),IF(K179&gt;0,0,IFERROR(0.30*P179/Upgrades!$C$19,0)),IF(L179&gt;0,0,IFERROR(0.0001/Upgrades!$C$20,0)),IF(M179&gt;0,0,IFERROR((6.0*(POWER(Upgrades!$P$13,E179)*POWER(Upgrades!$P$14,F179)*POWER(Upgrades!$P$15,G179)*POWER(Upgrades!$P$16,H179)*POWER(Upgrades!$P$17,I179)*POWER(Upgrades!$P$18,J179)*POWER(Upgrades!$P$19,K179)*POWER(Upgrades!$P$20,L179)*POWER(Upgrades!$P$21,M179))*$F$6+0.20*O179*(Parameters!$B$10/60*Parameters!$B$11+Q179))/Upgrades!$C$21,0)),IF(AND(ISNUMBER(AK179),AK179&gt;(C179+T179)),AY179,0),IF(AND(ISNUMBER(AL179),AL179&gt;(C179+T179)),AZ179,0),IF(AND(ISNUMBER(AM179),AM179&gt;(C179+T179)),BA179,0),IF(AND(ISNUMBER(AN179),AN179&gt;(C179+T179)),BB179,0),IF(AND(ISNUMBER(AO179),AO179&gt;(C179+T179)),BC179,0))</f>
        <v/>
      </c>
      <c r="BE179" s="29">
        <f>IF(AT179=1,"transition",IF(MIN(IF(AND(J179=0,ISNUMBER(AP179),AP179&lt;=(C179+T179)),AP179,9E15),IF(AND(K179=0,ISNUMBER(AQ179),AQ179&lt;=(C179+T179)),AQ179,9E15),IF(AND(L179=0,ISNUMBER(AR179),AR179&lt;=(C179+T179)),AR179,9E15),IF(AND(M179=0,ISNUMBER(AS179),AS179&lt;=(C179+T179)),AS179,9E15))&lt;9E15,IF(AND(AND(J179=0,ISNUMBER(AP179),AP179&lt;=(C179+T179)),AP179=MIN(IF(AND(J179=0,ISNUMBER(AP179),AP179&lt;=(C179+T179)),AP179,9E15),IF(AND(K179=0,ISNUMBER(AQ179),AQ179&lt;=(C179+T179)),AQ179,9E15),IF(AND(L179=0,ISNUMBER(AR179),AR179&lt;=(C179+T179)),AR179,9E15),IF(AND(M179=0,ISNUMBER(AS179),AS179&lt;=(C179+T179)),AS179,9E15))),"BiP",IF(AND(AND(K179=0,ISNUMBER(AQ179),AQ179&lt;=(C179+T179)),AQ179=MIN(IF(AND(J179=0,ISNUMBER(AP179),AP179&lt;=(C179+T179)),AP179,9E15),IF(AND(K179=0,ISNUMBER(AQ179),AQ179&lt;=(C179+T179)),AQ179,9E15),IF(AND(L179=0,ISNUMBER(AR179),AR179&lt;=(C179+T179)),AR179,9E15),IF(AND(M179=0,ISNUMBER(AS179),AS179&lt;=(C179+T179)),AS179,9E15))),"PV",IF(AND(AND(L179=0,ISNUMBER(AR179),AR179&lt;=(C179+T179)),AR179=MIN(IF(AND(J179=0,ISNUMBER(AP179),AP179&lt;=(C179+T179)),AP179,9E15),IF(AND(K179=0,ISNUMBER(AQ179),AQ179&lt;=(C179+T179)),AQ179,9E15),IF(AND(L179=0,ISNUMBER(AR179),AR179&lt;=(C179+T179)),AR179,9E15),IF(AND(M179=0,ISNUMBER(AS179),AS179&lt;=(C179+T179)),AS179,9E15))),"OC","MG"))),IF(AX179=TRUE,"",IF(MAX(IF(AND(NOT(AND(AU179=1,AT179&lt;&gt;1)),ISNUMBER(AK179),AK179&lt;=(C179+T179)),AY179,0),IF(AND(NOT(AND(AU179=1,AT179&lt;&gt;1)),ISNUMBER(AL179),AL179&lt;=(C179+T179)),AZ179,0),IF(AND(NOT(AND(AU179=1,AT179&lt;&gt;1)),ISNUMBER(AM179),AM179&lt;=(C179+T179)),BA179,0),IF(AND(NOT(AND(AU179=1,AT179&lt;&gt;1)),ISNUMBER(AN179),AN179&lt;=(C179+T179)),BB179,0),IF(AND(ISNUMBER(AO179),AO179&lt;=(C179+T179)),BC179,0))&lt;=0,"",IF(AND(IF(AND(NOT(AND(AU179=1,AT179&lt;&gt;1)),ISNUMBER(AK179),AK179&lt;=(C179+T179)),AY179,0)&gt;0,IF(AND(NOT(AND(AU179=1,AT179&lt;&gt;1)),ISNUMBER(AK179),AK179&lt;=(C179+T179)),AY179,0)=MAX(IF(AND(NOT(AND(AU179=1,AT179&lt;&gt;1)),ISNUMBER(AK179),AK179&lt;=(C179+T179)),AY179,0),IF(AND(NOT(AND(AU179=1,AT179&lt;&gt;1)),ISNUMBER(AL179),AL179&lt;=(C179+T179)),AZ179,0),IF(AND(NOT(AND(AU179=1,AT179&lt;&gt;1)),ISNUMBER(AM179),AM179&lt;=(C179+T179)),BA179,0),IF(AND(NOT(AND(AU179=1,AT179&lt;&gt;1)),ISNUMBER(AN179),AN179&lt;=(C179+T179)),BB179,0),IF(AND(ISNUMBER(AO179),AO179&lt;=(C179+T179)),BC179,0))),"SK",IF(AND(IF(AND(NOT(AND(AU179=1,AT179&lt;&gt;1)),ISNUMBER(AL179),AL179&lt;=(C179+T179)),AZ179,0)&gt;0,IF(AND(NOT(AND(AU179=1,AT179&lt;&gt;1)),ISNUMBER(AL179),AL179&lt;=(C179+T179)),AZ179,0)=MAX(IF(AND(NOT(AND(AU179=1,AT179&lt;&gt;1)),ISNUMBER(AK179),AK179&lt;=(C179+T179)),AY179,0),IF(AND(NOT(AND(AU179=1,AT179&lt;&gt;1)),ISNUMBER(AL179),AL179&lt;=(C179+T179)),AZ179,0),IF(AND(NOT(AND(AU179=1,AT179&lt;&gt;1)),ISNUMBER(AM179),AM179&lt;=(C179+T179)),BA179,0),IF(AND(NOT(AND(AU179=1,AT179&lt;&gt;1)),ISNUMBER(AN179),AN179&lt;=(C179+T179)),BB179,0),IF(AND(ISNUMBER(AO179),AO179&lt;=(C179+T179)),BC179,0))),"LB",IF(AND(IF(AND(NOT(AND(AU179=1,AT179&lt;&gt;1)),ISNUMBER(AM179),AM179&lt;=(C179+T179)),BA179,0)&gt;0,IF(AND(NOT(AND(AU179=1,AT179&lt;&gt;1)),ISNUMBER(AM179),AM179&lt;=(C179+T179)),BA179,0)=MAX(IF(AND(NOT(AND(AU179=1,AT179&lt;&gt;1)),ISNUMBER(AK179),AK179&lt;=(C179+T179)),AY179,0),IF(AND(NOT(AND(AU179=1,AT179&lt;&gt;1)),ISNUMBER(AL179),AL179&lt;=(C179+T179)),AZ179,0),IF(AND(NOT(AND(AU179=1,AT179&lt;&gt;1)),ISNUMBER(AM179),AM179&lt;=(C179+T179)),BA179,0),IF(AND(NOT(AND(AU179=1,AT179&lt;&gt;1)),ISNUMBER(AN179),AN179&lt;=(C179+T179)),BB179,0),IF(AND(ISNUMBER(AO179),AO179&lt;=(C179+T179)),BC179,0))),"ML",IF(AND(IF(AND(NOT(AND(AU179=1,AT179&lt;&gt;1)),ISNUMBER(AN179),AN179&lt;=(C179+T179)),BB179,0)&gt;0,IF(AND(NOT(AND(AU179=1,AT179&lt;&gt;1)),ISNUMBER(AN179),AN179&lt;=(C179+T179)),BB179,0)=MAX(IF(AND(NOT(AND(AU179=1,AT179&lt;&gt;1)),ISNUMBER(AK179),AK179&lt;=(C179+T179)),AY179,0),IF(AND(NOT(AND(AU179=1,AT179&lt;&gt;1)),ISNUMBER(AL179),AL179&lt;=(C179+T179)),AZ179,0),IF(AND(NOT(AND(AU179=1,AT179&lt;&gt;1)),ISNUMBER(AM179),AM179&lt;=(C179+T179)),BA179,0),IF(AND(NOT(AND(AU179=1,AT179&lt;&gt;1)),ISNUMBER(AN179),AN179&lt;=(C179+T179)),BB179,0),IF(AND(ISNUMBER(AO179),AO179&lt;=(C179+T179)),BC179,0))),"RLO","BD"))))))))</f>
        <v/>
      </c>
    </row>
    <row r="180">
      <c r="A180" s="26" t="n">
        <v>169</v>
      </c>
      <c r="B180" s="27">
        <f>A180*10/60</f>
        <v/>
      </c>
      <c r="C180" s="22">
        <f>X179</f>
        <v/>
      </c>
      <c r="D180" s="27">
        <f>D179+W179</f>
        <v/>
      </c>
      <c r="E180" s="26">
        <f>E179+IF(U179="SK",1,0)</f>
        <v/>
      </c>
      <c r="F180" s="26">
        <f>F179+IF(U179="LB",1,0)</f>
        <v/>
      </c>
      <c r="G180" s="26">
        <f>G179+IF(U179="ML",1,0)</f>
        <v/>
      </c>
      <c r="H180" s="26">
        <f>H179+IF(U179="RLO",1,0)</f>
        <v/>
      </c>
      <c r="I180" s="26">
        <f>I179+IF(U179="BD",1,0)</f>
        <v/>
      </c>
      <c r="J180" s="26">
        <f>MAX(J179,IF(U179="BiP",1,0))</f>
        <v/>
      </c>
      <c r="K180" s="26">
        <f>MAX(K179,IF(U179="PV",1,0))</f>
        <v/>
      </c>
      <c r="L180" s="26">
        <f>MAX(L179,IF(U179="OC",1,0))</f>
        <v/>
      </c>
      <c r="M180" s="26">
        <f>MAX(M179,IF(U179="MG",1,0))</f>
        <v/>
      </c>
      <c r="N180" s="26">
        <f>MAX(N179,IF(U179="transition",1,0))</f>
        <v/>
      </c>
      <c r="O180" s="28">
        <f>(Parameters!$B$9+(IF(E180=0,0,(Upgrades!$J$13+E180*Upgrades!$K$13)*POWER(Upgrades!$L$13,E180)))*(IF(Upgrades!$T$14="Stellar Kinematics",POWER(Upgrades!$U$14,F180),1)*IF(Upgrades!$T$15="Stellar Kinematics",POWER(Upgrades!$U$15,G180),1)*IF(Upgrades!$T$16="Stellar Kinematics",POWER(Upgrades!$U$16,H180),1)*IF(Upgrades!$T$17="Stellar Kinematics",POWER(Upgrades!$U$17,I180),1)*IF(Upgrades!$T$18="Stellar Kinematics",POWER(Upgrades!$U$18,J180),1)*IF(Upgrades!$T$19="Stellar Kinematics",POWER(Upgrades!$U$19,K180),1)*IF(Upgrades!$T$20="Stellar Kinematics",POWER(Upgrades!$U$20,L180),1)*IF(Upgrades!$T$21="Stellar Kinematics",POWER(Upgrades!$U$21,M180),1))+(IF(F180=0,0,(Upgrades!$J$14+F180*Upgrades!$K$14)*POWER(Upgrades!$L$14,F180)))*(IF(Upgrades!$T$13="Local Bubble",POWER(Upgrades!$U$13,E180),1)*IF(Upgrades!$T$15="Local Bubble",POWER(Upgrades!$U$15,G180),1)*IF(Upgrades!$T$16="Local Bubble",POWER(Upgrades!$U$16,H180),1)*IF(Upgrades!$T$17="Local Bubble",POWER(Upgrades!$U$17,I180),1)*IF(Upgrades!$T$18="Local Bubble",POWER(Upgrades!$U$18,J180),1)*IF(Upgrades!$T$19="Local Bubble",POWER(Upgrades!$U$19,K180),1)*IF(Upgrades!$T$20="Local Bubble",POWER(Upgrades!$U$20,L180),1)*IF(Upgrades!$T$21="Local Bubble",POWER(Upgrades!$U$21,M180),1))+(IF(G180=0,0,(Upgrades!$J$15+G180*Upgrades!$K$15)*POWER(Upgrades!$L$15,G180)))*(IF(Upgrades!$T$13="Microlensing",POWER(Upgrades!$U$13,E180),1)*IF(Upgrades!$T$14="Microlensing",POWER(Upgrades!$U$14,F180),1)*IF(Upgrades!$T$16="Microlensing",POWER(Upgrades!$U$16,H180),1)*IF(Upgrades!$T$17="Microlensing",POWER(Upgrades!$U$17,I180),1)*IF(Upgrades!$T$18="Microlensing",POWER(Upgrades!$U$18,J180),1)*IF(Upgrades!$T$19="Microlensing",POWER(Upgrades!$U$19,K180),1)*IF(Upgrades!$T$20="Microlensing",POWER(Upgrades!$U$20,L180),1)*IF(Upgrades!$T$21="Microlensing",POWER(Upgrades!$U$21,M180),1))+(IF(H180=0,0,(Upgrades!$J$16+H180*Upgrades!$K$16)*POWER(Upgrades!$L$16,H180)))*(IF(Upgrades!$T$13="Roche Lobe Overflow",POWER(Upgrades!$U$13,E180),1)*IF(Upgrades!$T$14="Roche Lobe Overflow",POWER(Upgrades!$U$14,F180),1)*IF(Upgrades!$T$15="Roche Lobe Overflow",POWER(Upgrades!$U$15,G180),1)*IF(Upgrades!$T$17="Roche Lobe Overflow",POWER(Upgrades!$U$17,I180),1)*IF(Upgrades!$T$18="Roche Lobe Overflow",POWER(Upgrades!$U$18,J180),1)*IF(Upgrades!$T$19="Roche Lobe Overflow",POWER(Upgrades!$U$19,K180),1)*IF(Upgrades!$T$20="Roche Lobe Overflow",POWER(Upgrades!$U$20,L180),1)*IF(Upgrades!$T$21="Roche Lobe Overflow",POWER(Upgrades!$U$21,M180),1))+(IF(I180=0,0,(Upgrades!$J$17+I180*Upgrades!$K$17)*POWER(Upgrades!$L$17,I180)))*(IF(Upgrades!$T$13="Brown Dwarf",POWER(Upgrades!$U$13,E180),1)*IF(Upgrades!$T$14="Brown Dwarf",POWER(Upgrades!$U$14,F180),1)*IF(Upgrades!$T$15="Brown Dwarf",POWER(Upgrades!$U$15,G180),1)*IF(Upgrades!$T$16="Brown Dwarf",POWER(Upgrades!$U$16,H180),1)*IF(Upgrades!$T$18="Brown Dwarf",POWER(Upgrades!$U$18,J180),1)*IF(Upgrades!$T$19="Brown Dwarf",POWER(Upgrades!$U$19,K180),1)*IF(Upgrades!$T$20="Brown Dwarf",POWER(Upgrades!$U$20,L180),1)*IF(Upgrades!$T$21="Brown Dwarf",POWER(Upgrades!$U$21,M180),1))+(IF(J180=0,0,(Upgrades!$J$18+J180*Upgrades!$K$18)*POWER(Upgrades!$L$18,J180)))*(IF(Upgrades!$T$13="Binary Partner",POWER(Upgrades!$U$13,E180),1)*IF(Upgrades!$T$14="Binary Partner",POWER(Upgrades!$U$14,F180),1)*IF(Upgrades!$T$15="Binary Partner",POWER(Upgrades!$U$15,G180),1)*IF(Upgrades!$T$16="Binary Partner",POWER(Upgrades!$U$16,H180),1)*IF(Upgrades!$T$17="Binary Partner",POWER(Upgrades!$U$17,I180),1)*IF(Upgrades!$T$19="Binary Partner",POWER(Upgrades!$U$19,K180),1)*IF(Upgrades!$T$20="Binary Partner",POWER(Upgrades!$U$20,L180),1)*IF(Upgrades!$T$21="Binary Partner",POWER(Upgrades!$U$21,M180),1))+(IF(K180=0,0,(Upgrades!$J$19+K180*Upgrades!$K$19)*POWER(Upgrades!$L$19,K180)))*(IF(Upgrades!$T$13="Peculiar Velocity",POWER(Upgrades!$U$13,E180),1)*IF(Upgrades!$T$14="Peculiar Velocity",POWER(Upgrades!$U$14,F180),1)*IF(Upgrades!$T$15="Peculiar Velocity",POWER(Upgrades!$U$15,G180),1)*IF(Upgrades!$T$16="Peculiar Velocity",POWER(Upgrades!$U$16,H180),1)*IF(Upgrades!$T$17="Peculiar Velocity",POWER(Upgrades!$U$17,I180),1)*IF(Upgrades!$T$18="Peculiar Velocity",POWER(Upgrades!$U$18,J180),1)*IF(Upgrades!$T$20="Peculiar Velocity",POWER(Upgrades!$U$20,L180),1)*IF(Upgrades!$T$21="Peculiar Velocity",POWER(Upgrades!$U$21,M180),1))+(IF(L180=0,0,(Upgrades!$J$20+L180*Upgrades!$K$20)*POWER(Upgrades!$L$20,L180)))*(IF(Upgrades!$T$13="Open Cluster",POWER(Upgrades!$U$13,E180),1)*IF(Upgrades!$T$14="Open Cluster",POWER(Upgrades!$U$14,F180),1)*IF(Upgrades!$T$15="Open Cluster",POWER(Upgrades!$U$15,G180),1)*IF(Upgrades!$T$16="Open Cluster",POWER(Upgrades!$U$16,H180),1)*IF(Upgrades!$T$17="Open Cluster",POWER(Upgrades!$U$17,I180),1)*IF(Upgrades!$T$18="Open Cluster",POWER(Upgrades!$U$18,J180),1)*IF(Upgrades!$T$19="Open Cluster",POWER(Upgrades!$U$19,K180),1)*IF(Upgrades!$T$21="Open Cluster",POWER(Upgrades!$U$21,M180),1))+(IF(M180=0,0,(Upgrades!$J$21+M180*Upgrades!$K$21)*POWER(Upgrades!$L$21,M180)))*(IF(Upgrades!$T$13="Moving Group",POWER(Upgrades!$U$13,E180),1)*IF(Upgrades!$T$14="Moving Group",POWER(Upgrades!$U$14,F180),1)*IF(Upgrades!$T$15="Moving Group",POWER(Upgrades!$U$15,G180),1)*IF(Upgrades!$T$16="Moving Group",POWER(Upgrades!$U$16,H180),1)*IF(Upgrades!$T$17="Moving Group",POWER(Upgrades!$U$17,I180),1)*IF(Upgrades!$T$18="Moving Group",POWER(Upgrades!$U$18,J180),1)*IF(Upgrades!$T$19="Moving Group",POWER(Upgrades!$U$19,K180),1)*IF(Upgrades!$T$20="Moving Group",POWER(Upgrades!$U$20,L180),1)))*POWER(Upgrades!$Q$13,E180)*POWER(Upgrades!$Q$14,F180)*POWER(Upgrades!$Q$15,G180)*POWER(Upgrades!$Q$16,H180)*POWER(Upgrades!$Q$17,I180)*POWER(Upgrades!$Q$18,J180)*POWER(Upgrades!$Q$19,K180)*POWER(Upgrades!$Q$20,L180)*POWER(Upgrades!$Q$21,M180)*$G$6+$D$6</f>
        <v/>
      </c>
      <c r="P180" s="28">
        <f>((IF(E180=0,0,(Upgrades!$G$13+E180*Upgrades!$H$13)*POWER(Upgrades!$I$13,E180)))*(IF(Upgrades!$T$14="Stellar Kinematics",POWER(Upgrades!$U$14,F180),1)*IF(Upgrades!$T$15="Stellar Kinematics",POWER(Upgrades!$U$15,G180),1)*IF(Upgrades!$T$16="Stellar Kinematics",POWER(Upgrades!$U$16,H180),1)*IF(Upgrades!$T$17="Stellar Kinematics",POWER(Upgrades!$U$17,I180),1)*IF(Upgrades!$T$18="Stellar Kinematics",POWER(Upgrades!$U$18,J180),1)*IF(Upgrades!$T$19="Stellar Kinematics",POWER(Upgrades!$U$19,K180),1)*IF(Upgrades!$T$20="Stellar Kinematics",POWER(Upgrades!$U$20,L180),1)*IF(Upgrades!$T$21="Stellar Kinematics",POWER(Upgrades!$U$21,M180),1))+(IF(F180=0,0,(Upgrades!$G$14+F180*Upgrades!$H$14)*POWER(Upgrades!$I$14,F180)))*(IF(Upgrades!$T$13="Local Bubble",POWER(Upgrades!$U$13,E180),1)*IF(Upgrades!$T$15="Local Bubble",POWER(Upgrades!$U$15,G180),1)*IF(Upgrades!$T$16="Local Bubble",POWER(Upgrades!$U$16,H180),1)*IF(Upgrades!$T$17="Local Bubble",POWER(Upgrades!$U$17,I180),1)*IF(Upgrades!$T$18="Local Bubble",POWER(Upgrades!$U$18,J180),1)*IF(Upgrades!$T$19="Local Bubble",POWER(Upgrades!$U$19,K180),1)*IF(Upgrades!$T$20="Local Bubble",POWER(Upgrades!$U$20,L180),1)*IF(Upgrades!$T$21="Local Bubble",POWER(Upgrades!$U$21,M180),1))+(IF(G180=0,0,(Upgrades!$G$15+G180*Upgrades!$H$15)*POWER(Upgrades!$I$15,G180)))*(IF(Upgrades!$T$13="Microlensing",POWER(Upgrades!$U$13,E180),1)*IF(Upgrades!$T$14="Microlensing",POWER(Upgrades!$U$14,F180),1)*IF(Upgrades!$T$16="Microlensing",POWER(Upgrades!$U$16,H180),1)*IF(Upgrades!$T$17="Microlensing",POWER(Upgrades!$U$17,I180),1)*IF(Upgrades!$T$18="Microlensing",POWER(Upgrades!$U$18,J180),1)*IF(Upgrades!$T$19="Microlensing",POWER(Upgrades!$U$19,K180),1)*IF(Upgrades!$T$20="Microlensing",POWER(Upgrades!$U$20,L180),1)*IF(Upgrades!$T$21="Microlensing",POWER(Upgrades!$U$21,M180),1))+(IF(H180=0,0,(Upgrades!$G$16+H180*Upgrades!$H$16)*POWER(Upgrades!$I$16,H180)))*(IF(Upgrades!$T$13="Roche Lobe Overflow",POWER(Upgrades!$U$13,E180),1)*IF(Upgrades!$T$14="Roche Lobe Overflow",POWER(Upgrades!$U$14,F180),1)*IF(Upgrades!$T$15="Roche Lobe Overflow",POWER(Upgrades!$U$15,G180),1)*IF(Upgrades!$T$17="Roche Lobe Overflow",POWER(Upgrades!$U$17,I180),1)*IF(Upgrades!$T$18="Roche Lobe Overflow",POWER(Upgrades!$U$18,J180),1)*IF(Upgrades!$T$19="Roche Lobe Overflow",POWER(Upgrades!$U$19,K180),1)*IF(Upgrades!$T$20="Roche Lobe Overflow",POWER(Upgrades!$U$20,L180),1)*IF(Upgrades!$T$21="Roche Lobe Overflow",POWER(Upgrades!$U$21,M180),1))+(IF(I180=0,0,(Upgrades!$G$17+I180*Upgrades!$H$17)*POWER(Upgrades!$I$17,I180)))*(IF(Upgrades!$T$13="Brown Dwarf",POWER(Upgrades!$U$13,E180),1)*IF(Upgrades!$T$14="Brown Dwarf",POWER(Upgrades!$U$14,F180),1)*IF(Upgrades!$T$15="Brown Dwarf",POWER(Upgrades!$U$15,G180),1)*IF(Upgrades!$T$16="Brown Dwarf",POWER(Upgrades!$U$16,H180),1)*IF(Upgrades!$T$18="Brown Dwarf",POWER(Upgrades!$U$18,J180),1)*IF(Upgrades!$T$19="Brown Dwarf",POWER(Upgrades!$U$19,K180),1)*IF(Upgrades!$T$20="Brown Dwarf",POWER(Upgrades!$U$20,L180),1)*IF(Upgrades!$T$21="Brown Dwarf",POWER(Upgrades!$U$21,M180),1))+(IF(J180=0,0,(Upgrades!$G$18+J180*Upgrades!$H$18)*POWER(Upgrades!$I$18,J180)))*(IF(Upgrades!$T$13="Binary Partner",POWER(Upgrades!$U$13,E180),1)*IF(Upgrades!$T$14="Binary Partner",POWER(Upgrades!$U$14,F180),1)*IF(Upgrades!$T$15="Binary Partner",POWER(Upgrades!$U$15,G180),1)*IF(Upgrades!$T$16="Binary Partner",POWER(Upgrades!$U$16,H180),1)*IF(Upgrades!$T$17="Binary Partner",POWER(Upgrades!$U$17,I180),1)*IF(Upgrades!$T$19="Binary Partner",POWER(Upgrades!$U$19,K180),1)*IF(Upgrades!$T$20="Binary Partner",POWER(Upgrades!$U$20,L180),1)*IF(Upgrades!$T$21="Binary Partner",POWER(Upgrades!$U$21,M180),1))+(IF(K180=0,0,(Upgrades!$G$19+K180*Upgrades!$H$19)*POWER(Upgrades!$I$19,K180)))*(IF(Upgrades!$T$13="Peculiar Velocity",POWER(Upgrades!$U$13,E180),1)*IF(Upgrades!$T$14="Peculiar Velocity",POWER(Upgrades!$U$14,F180),1)*IF(Upgrades!$T$15="Peculiar Velocity",POWER(Upgrades!$U$15,G180),1)*IF(Upgrades!$T$16="Peculiar Velocity",POWER(Upgrades!$U$16,H180),1)*IF(Upgrades!$T$17="Peculiar Velocity",POWER(Upgrades!$U$17,I180),1)*IF(Upgrades!$T$18="Peculiar Velocity",POWER(Upgrades!$U$18,J180),1)*IF(Upgrades!$T$20="Peculiar Velocity",POWER(Upgrades!$U$20,L180),1)*IF(Upgrades!$T$21="Peculiar Velocity",POWER(Upgrades!$U$21,M180),1))+(IF(L180=0,0,(Upgrades!$G$20+L180*Upgrades!$H$20)*POWER(Upgrades!$I$20,L180)))*(IF(Upgrades!$T$13="Open Cluster",POWER(Upgrades!$U$13,E180),1)*IF(Upgrades!$T$14="Open Cluster",POWER(Upgrades!$U$14,F180),1)*IF(Upgrades!$T$15="Open Cluster",POWER(Upgrades!$U$15,G180),1)*IF(Upgrades!$T$16="Open Cluster",POWER(Upgrades!$U$16,H180),1)*IF(Upgrades!$T$17="Open Cluster",POWER(Upgrades!$U$17,I180),1)*IF(Upgrades!$T$18="Open Cluster",POWER(Upgrades!$U$18,J180),1)*IF(Upgrades!$T$19="Open Cluster",POWER(Upgrades!$U$19,K180),1)*IF(Upgrades!$T$21="Open Cluster",POWER(Upgrades!$U$21,M180),1))+(IF(M180=0,0,(Upgrades!$G$21+M180*Upgrades!$H$21)*POWER(Upgrades!$I$21,M180)))*(IF(Upgrades!$T$13="Moving Group",POWER(Upgrades!$U$13,E180),1)*IF(Upgrades!$T$14="Moving Group",POWER(Upgrades!$U$14,F180),1)*IF(Upgrades!$T$15="Moving Group",POWER(Upgrades!$U$15,G180),1)*IF(Upgrades!$T$16="Moving Group",POWER(Upgrades!$U$16,H180),1)*IF(Upgrades!$T$17="Moving Group",POWER(Upgrades!$U$17,I180),1)*IF(Upgrades!$T$18="Moving Group",POWER(Upgrades!$U$18,J180),1)*IF(Upgrades!$T$19="Moving Group",POWER(Upgrades!$U$19,K180),1)*IF(Upgrades!$T$20="Moving Group",POWER(Upgrades!$U$20,L180),1)))*POWER(Upgrades!$P$13,E180)*POWER(Upgrades!$P$14,F180)*POWER(Upgrades!$P$15,G180)*POWER(Upgrades!$P$16,H180)*POWER(Upgrades!$P$17,I180)*POWER(Upgrades!$P$18,J180)*POWER(Upgrades!$P$19,K180)*POWER(Upgrades!$P$20,L180)*POWER(Upgrades!$P$21,M180)*$F$6+$C$6</f>
        <v/>
      </c>
      <c r="Q180" s="28">
        <f>((IF(E180=0,0,(Upgrades!$M$13+E180*Upgrades!$N$13)*POWER(Upgrades!$O$13,E180)))*(IF(Upgrades!$T$14="Stellar Kinematics",POWER(Upgrades!$U$14,F180),1)*IF(Upgrades!$T$15="Stellar Kinematics",POWER(Upgrades!$U$15,G180),1)*IF(Upgrades!$T$16="Stellar Kinematics",POWER(Upgrades!$U$16,H180),1)*IF(Upgrades!$T$17="Stellar Kinematics",POWER(Upgrades!$U$17,I180),1)*IF(Upgrades!$T$18="Stellar Kinematics",POWER(Upgrades!$U$18,J180),1)*IF(Upgrades!$T$19="Stellar Kinematics",POWER(Upgrades!$U$19,K180),1)*IF(Upgrades!$T$20="Stellar Kinematics",POWER(Upgrades!$U$20,L180),1)*IF(Upgrades!$T$21="Stellar Kinematics",POWER(Upgrades!$U$21,M180),1))+(IF(F180=0,0,(Upgrades!$M$14+F180*Upgrades!$N$14)*POWER(Upgrades!$O$14,F180)))*(IF(Upgrades!$T$13="Local Bubble",POWER(Upgrades!$U$13,E180),1)*IF(Upgrades!$T$15="Local Bubble",POWER(Upgrades!$U$15,G180),1)*IF(Upgrades!$T$16="Local Bubble",POWER(Upgrades!$U$16,H180),1)*IF(Upgrades!$T$17="Local Bubble",POWER(Upgrades!$U$17,I180),1)*IF(Upgrades!$T$18="Local Bubble",POWER(Upgrades!$U$18,J180),1)*IF(Upgrades!$T$19="Local Bubble",POWER(Upgrades!$U$19,K180),1)*IF(Upgrades!$T$20="Local Bubble",POWER(Upgrades!$U$20,L180),1)*IF(Upgrades!$T$21="Local Bubble",POWER(Upgrades!$U$21,M180),1))+(IF(G180=0,0,(Upgrades!$M$15+G180*Upgrades!$N$15)*POWER(Upgrades!$O$15,G180)))*(IF(Upgrades!$T$13="Microlensing",POWER(Upgrades!$U$13,E180),1)*IF(Upgrades!$T$14="Microlensing",POWER(Upgrades!$U$14,F180),1)*IF(Upgrades!$T$16="Microlensing",POWER(Upgrades!$U$16,H180),1)*IF(Upgrades!$T$17="Microlensing",POWER(Upgrades!$U$17,I180),1)*IF(Upgrades!$T$18="Microlensing",POWER(Upgrades!$U$18,J180),1)*IF(Upgrades!$T$19="Microlensing",POWER(Upgrades!$U$19,K180),1)*IF(Upgrades!$T$20="Microlensing",POWER(Upgrades!$U$20,L180),1)*IF(Upgrades!$T$21="Microlensing",POWER(Upgrades!$U$21,M180),1))+(IF(H180=0,0,(Upgrades!$M$16+H180*Upgrades!$N$16)*POWER(Upgrades!$O$16,H180)))*(IF(Upgrades!$T$13="Roche Lobe Overflow",POWER(Upgrades!$U$13,E180),1)*IF(Upgrades!$T$14="Roche Lobe Overflow",POWER(Upgrades!$U$14,F180),1)*IF(Upgrades!$T$15="Roche Lobe Overflow",POWER(Upgrades!$U$15,G180),1)*IF(Upgrades!$T$17="Roche Lobe Overflow",POWER(Upgrades!$U$17,I180),1)*IF(Upgrades!$T$18="Roche Lobe Overflow",POWER(Upgrades!$U$18,J180),1)*IF(Upgrades!$T$19="Roche Lobe Overflow",POWER(Upgrades!$U$19,K180),1)*IF(Upgrades!$T$20="Roche Lobe Overflow",POWER(Upgrades!$U$20,L180),1)*IF(Upgrades!$T$21="Roche Lobe Overflow",POWER(Upgrades!$U$21,M180),1))+(IF(I180=0,0,(Upgrades!$M$17+I180*Upgrades!$N$17)*POWER(Upgrades!$O$17,I180)))*(IF(Upgrades!$T$13="Brown Dwarf",POWER(Upgrades!$U$13,E180),1)*IF(Upgrades!$T$14="Brown Dwarf",POWER(Upgrades!$U$14,F180),1)*IF(Upgrades!$T$15="Brown Dwarf",POWER(Upgrades!$U$15,G180),1)*IF(Upgrades!$T$16="Brown Dwarf",POWER(Upgrades!$U$16,H180),1)*IF(Upgrades!$T$18="Brown Dwarf",POWER(Upgrades!$U$18,J180),1)*IF(Upgrades!$T$19="Brown Dwarf",POWER(Upgrades!$U$19,K180),1)*IF(Upgrades!$T$20="Brown Dwarf",POWER(Upgrades!$U$20,L180),1)*IF(Upgrades!$T$21="Brown Dwarf",POWER(Upgrades!$U$21,M180),1))+(IF(J180=0,0,(Upgrades!$M$18+J180*Upgrades!$N$18)*POWER(Upgrades!$O$18,J180)))*(IF(Upgrades!$T$13="Binary Partner",POWER(Upgrades!$U$13,E180),1)*IF(Upgrades!$T$14="Binary Partner",POWER(Upgrades!$U$14,F180),1)*IF(Upgrades!$T$15="Binary Partner",POWER(Upgrades!$U$15,G180),1)*IF(Upgrades!$T$16="Binary Partner",POWER(Upgrades!$U$16,H180),1)*IF(Upgrades!$T$17="Binary Partner",POWER(Upgrades!$U$17,I180),1)*IF(Upgrades!$T$19="Binary Partner",POWER(Upgrades!$U$19,K180),1)*IF(Upgrades!$T$20="Binary Partner",POWER(Upgrades!$U$20,L180),1)*IF(Upgrades!$T$21="Binary Partner",POWER(Upgrades!$U$21,M180),1))+(IF(K180=0,0,(Upgrades!$M$19+K180*Upgrades!$N$19)*POWER(Upgrades!$O$19,K180)))*(IF(Upgrades!$T$13="Peculiar Velocity",POWER(Upgrades!$U$13,E180),1)*IF(Upgrades!$T$14="Peculiar Velocity",POWER(Upgrades!$U$14,F180),1)*IF(Upgrades!$T$15="Peculiar Velocity",POWER(Upgrades!$U$15,G180),1)*IF(Upgrades!$T$16="Peculiar Velocity",POWER(Upgrades!$U$16,H180),1)*IF(Upgrades!$T$17="Peculiar Velocity",POWER(Upgrades!$U$17,I180),1)*IF(Upgrades!$T$18="Peculiar Velocity",POWER(Upgrades!$U$18,J180),1)*IF(Upgrades!$T$20="Peculiar Velocity",POWER(Upgrades!$U$20,L180),1)*IF(Upgrades!$T$21="Peculiar Velocity",POWER(Upgrades!$U$21,M180),1))+(IF(L180=0,0,(Upgrades!$M$20+L180*Upgrades!$N$20)*POWER(Upgrades!$O$20,L180)))*(IF(Upgrades!$T$13="Open Cluster",POWER(Upgrades!$U$13,E180),1)*IF(Upgrades!$T$14="Open Cluster",POWER(Upgrades!$U$14,F180),1)*IF(Upgrades!$T$15="Open Cluster",POWER(Upgrades!$U$15,G180),1)*IF(Upgrades!$T$16="Open Cluster",POWER(Upgrades!$U$16,H180),1)*IF(Upgrades!$T$17="Open Cluster",POWER(Upgrades!$U$17,I180),1)*IF(Upgrades!$T$18="Open Cluster",POWER(Upgrades!$U$18,J180),1)*IF(Upgrades!$T$19="Open Cluster",POWER(Upgrades!$U$19,K180),1)*IF(Upgrades!$T$21="Open Cluster",POWER(Upgrades!$U$21,M180),1))+(IF(M180=0,0,(Upgrades!$M$21+M180*Upgrades!$N$21)*POWER(Upgrades!$O$21,M180)))*(IF(Upgrades!$T$13="Moving Group",POWER(Upgrades!$U$13,E180),1)*IF(Upgrades!$T$14="Moving Group",POWER(Upgrades!$U$14,F180),1)*IF(Upgrades!$T$15="Moving Group",POWER(Upgrades!$U$15,G180),1)*IF(Upgrades!$T$16="Moving Group",POWER(Upgrades!$U$16,H180),1)*IF(Upgrades!$T$17="Moving Group",POWER(Upgrades!$U$17,I180),1)*IF(Upgrades!$T$18="Moving Group",POWER(Upgrades!$U$18,J180),1)*IF(Upgrades!$T$19="Moving Group",POWER(Upgrades!$U$19,K180),1)*IF(Upgrades!$T$20="Moving Group",POWER(Upgrades!$U$20,L180),1)))*POWER(Upgrades!$R$13,E180)*POWER(Upgrades!$R$14,F180)*POWER(Upgrades!$R$15,G180)*POWER(Upgrades!$R$16,H180)*POWER(Upgrades!$R$17,I180)*POWER(Upgrades!$R$18,J180)*POWER(Upgrades!$R$19,K180)*POWER(Upgrades!$R$20,L180)*POWER(Upgrades!$R$21,M180)*$H$6+$E$6</f>
        <v/>
      </c>
      <c r="R180" s="27">
        <f>IF(N180=1,0,O180*Parameters!$B$10/60*Parameters!$B$11*10)</f>
        <v/>
      </c>
      <c r="S180" s="27">
        <f>IF(N180=1,0,Q180*O180*10)</f>
        <v/>
      </c>
      <c r="T180" s="27">
        <f>IF(N180=1,0,R180+S180+P180*10)</f>
        <v/>
      </c>
      <c r="U180" s="33">
        <f>BE180</f>
        <v/>
      </c>
      <c r="V180" s="22">
        <f>IF(U180="",0,IF(U180="transition",0,IF(U180="SK",AK180,IF(U180="LB",AL180,IF(U180="ML",AM180,IF(U180="RLO",AN180,IF(U180="BD",AO180,IF(U180="BiP",AP180,IF(U180="PV",AQ180,IF(U180="OC",AR180,IF(U180="MG",AS180,0))))))))))</f>
        <v/>
      </c>
      <c r="W180" s="27">
        <f>IF(U180="BiP",Upgrades!$F$18,IF(U180="PV",Upgrades!$F$19,IF(U180="OC",Upgrades!$F$20,IF(U180="MG",Upgrades!$F$21,IF(U180="transition",-Parameters!$B$18*Parameters!$B$19,0)))))</f>
        <v/>
      </c>
      <c r="X180" s="22">
        <f>C180+T180-V180</f>
        <v/>
      </c>
      <c r="Y180" s="30">
        <f>O180*Parameters!$B$10/60*Parameters!$B$11+Q180*O180+P180</f>
        <v/>
      </c>
      <c r="Z180" s="34">
        <f>IF(U180="transition","→ Tier 3 (Galactic Arm)",IF(U180="MG","Moving Group — pocket drifts together",IF(U180="OC","Open Cluster acquired",IF(U180="PV","Peculiar Velocity — passive multiplier active",IF(U180="BiP","Binary Partner — pair bond formed",IF(AND(AU180=1,N180=0,AT180&lt;&gt;1),"Cohesion ready (waiting on completionists)","")))))) </f>
        <v/>
      </c>
      <c r="AA180" s="27">
        <f>(IF(E180=0,0,(Upgrades!$G$13+E180*Upgrades!$H$13)*POWER(Upgrades!$I$13,E180)))*(IF(Upgrades!$T$14="Stellar Kinematics",POWER(Upgrades!$U$14,F180),1)*IF(Upgrades!$T$15="Stellar Kinematics",POWER(Upgrades!$U$15,G180),1)*IF(Upgrades!$T$16="Stellar Kinematics",POWER(Upgrades!$U$16,H180),1)*IF(Upgrades!$T$17="Stellar Kinematics",POWER(Upgrades!$U$17,I180),1)*IF(Upgrades!$T$18="Stellar Kinematics",POWER(Upgrades!$U$18,J180),1)*IF(Upgrades!$T$19="Stellar Kinematics",POWER(Upgrades!$U$19,K180),1)*IF(Upgrades!$T$20="Stellar Kinematics",POWER(Upgrades!$U$20,L180),1)*IF(Upgrades!$T$21="Stellar Kinematics",POWER(Upgrades!$U$21,M180),1))*POWER(Upgrades!$P$13,E180)*POWER(Upgrades!$P$14,F180)*POWER(Upgrades!$P$15,G180)*POWER(Upgrades!$P$16,H180)*POWER(Upgrades!$P$17,I180)*POWER(Upgrades!$P$18,J180)*POWER(Upgrades!$P$19,K180)*POWER(Upgrades!$P$20,L180)*POWER(Upgrades!$P$21,M180)*$F$6*60</f>
        <v/>
      </c>
      <c r="AB180" s="27">
        <f>(IF(F180=0,0,(Upgrades!$G$14+F180*Upgrades!$H$14)*POWER(Upgrades!$I$14,F180)))*(IF(Upgrades!$T$13="Local Bubble",POWER(Upgrades!$U$13,E180),1)*IF(Upgrades!$T$15="Local Bubble",POWER(Upgrades!$U$15,G180),1)*IF(Upgrades!$T$16="Local Bubble",POWER(Upgrades!$U$16,H180),1)*IF(Upgrades!$T$17="Local Bubble",POWER(Upgrades!$U$17,I180),1)*IF(Upgrades!$T$18="Local Bubble",POWER(Upgrades!$U$18,J180),1)*IF(Upgrades!$T$19="Local Bubble",POWER(Upgrades!$U$19,K180),1)*IF(Upgrades!$T$20="Local Bubble",POWER(Upgrades!$U$20,L180),1)*IF(Upgrades!$T$21="Local Bubble",POWER(Upgrades!$U$21,M180),1))*POWER(Upgrades!$P$13,E180)*POWER(Upgrades!$P$14,F180)*POWER(Upgrades!$P$15,G180)*POWER(Upgrades!$P$16,H180)*POWER(Upgrades!$P$17,I180)*POWER(Upgrades!$P$18,J180)*POWER(Upgrades!$P$19,K180)*POWER(Upgrades!$P$20,L180)*POWER(Upgrades!$P$21,M180)*$F$6*60</f>
        <v/>
      </c>
      <c r="AC180" s="27">
        <f>(IF(G180=0,0,(Upgrades!$J$15+G180*Upgrades!$K$15)*POWER(Upgrades!$L$15,G180)))*(IF(Upgrades!$T$13="Microlensing",POWER(Upgrades!$U$13,E180),1)*IF(Upgrades!$T$14="Microlensing",POWER(Upgrades!$U$14,F180),1)*IF(Upgrades!$T$16="Microlensing",POWER(Upgrades!$U$16,H180),1)*IF(Upgrades!$T$17="Microlensing",POWER(Upgrades!$U$17,I180),1)*IF(Upgrades!$T$18="Microlensing",POWER(Upgrades!$U$18,J180),1)*IF(Upgrades!$T$19="Microlensing",POWER(Upgrades!$U$19,K180),1)*IF(Upgrades!$T$20="Microlensing",POWER(Upgrades!$U$20,L180),1)*IF(Upgrades!$T$21="Microlensing",POWER(Upgrades!$U$21,M180),1))*POWER(Upgrades!$Q$13,E180)*POWER(Upgrades!$Q$14,F180)*POWER(Upgrades!$Q$15,G180)*POWER(Upgrades!$Q$16,H180)*POWER(Upgrades!$Q$17,I180)*POWER(Upgrades!$Q$18,J180)*POWER(Upgrades!$Q$19,K180)*POWER(Upgrades!$Q$20,L180)*POWER(Upgrades!$Q$21,M180)*$G$6*(Parameters!$B$10*Parameters!$B$11+Q180*60)</f>
        <v/>
      </c>
      <c r="AD180" s="27">
        <f>(IF(H180=0,0,(Upgrades!$M$16+H180*Upgrades!$N$16)*POWER(Upgrades!$O$16,H180)))*(IF(Upgrades!$T$13="Roche Lobe Overflow",POWER(Upgrades!$U$13,E180),1)*IF(Upgrades!$T$14="Roche Lobe Overflow",POWER(Upgrades!$U$14,F180),1)*IF(Upgrades!$T$15="Roche Lobe Overflow",POWER(Upgrades!$U$15,G180),1)*IF(Upgrades!$T$17="Roche Lobe Overflow",POWER(Upgrades!$U$17,I180),1)*IF(Upgrades!$T$18="Roche Lobe Overflow",POWER(Upgrades!$U$18,J180),1)*IF(Upgrades!$T$19="Roche Lobe Overflow",POWER(Upgrades!$U$19,K180),1)*IF(Upgrades!$T$20="Roche Lobe Overflow",POWER(Upgrades!$U$20,L180),1)*IF(Upgrades!$T$21="Roche Lobe Overflow",POWER(Upgrades!$U$21,M180),1))*POWER(Upgrades!$R$13,E180)*POWER(Upgrades!$R$14,F180)*POWER(Upgrades!$R$15,G180)*POWER(Upgrades!$R$16,H180)*POWER(Upgrades!$R$17,I180)*POWER(Upgrades!$R$18,J180)*POWER(Upgrades!$R$19,K180)*POWER(Upgrades!$R$20,L180)*POWER(Upgrades!$R$21,M180)*$H$6*O180*60</f>
        <v/>
      </c>
      <c r="AE180" s="27">
        <f>(IF(I180=0,0,(Upgrades!$G$17+I180*Upgrades!$H$17)*POWER(Upgrades!$I$17,I180)))*(IF(Upgrades!$T$13="Brown Dwarf",POWER(Upgrades!$U$13,E180),1)*IF(Upgrades!$T$14="Brown Dwarf",POWER(Upgrades!$U$14,F180),1)*IF(Upgrades!$T$15="Brown Dwarf",POWER(Upgrades!$U$15,G180),1)*IF(Upgrades!$T$16="Brown Dwarf",POWER(Upgrades!$U$16,H180),1)*IF(Upgrades!$T$18="Brown Dwarf",POWER(Upgrades!$U$18,J180),1)*IF(Upgrades!$T$19="Brown Dwarf",POWER(Upgrades!$U$19,K180),1)*IF(Upgrades!$T$20="Brown Dwarf",POWER(Upgrades!$U$20,L180),1)*IF(Upgrades!$T$21="Brown Dwarf",POWER(Upgrades!$U$21,M180),1))*POWER(Upgrades!$P$13,E180)*POWER(Upgrades!$P$14,F180)*POWER(Upgrades!$P$15,G180)*POWER(Upgrades!$P$16,H180)*POWER(Upgrades!$P$17,I180)*POWER(Upgrades!$P$18,J180)*POWER(Upgrades!$P$19,K180)*POWER(Upgrades!$P$20,L180)*POWER(Upgrades!$P$21,M180)*$F$6*60</f>
        <v/>
      </c>
      <c r="AF180" s="27" t="n">
        <v>0</v>
      </c>
      <c r="AG180" s="27" t="n">
        <v>0</v>
      </c>
      <c r="AH180" s="27" t="n">
        <v>0</v>
      </c>
      <c r="AI180" s="27">
        <f>(IF(M180=0,0,(Upgrades!$G$21+M180*Upgrades!$H$21)*POWER(Upgrades!$I$21,M180)))*(IF(Upgrades!$T$13="Moving Group",POWER(Upgrades!$U$13,E180),1)*IF(Upgrades!$T$14="Moving Group",POWER(Upgrades!$U$14,F180),1)*IF(Upgrades!$T$15="Moving Group",POWER(Upgrades!$U$15,G180),1)*IF(Upgrades!$T$16="Moving Group",POWER(Upgrades!$U$16,H180),1)*IF(Upgrades!$T$17="Moving Group",POWER(Upgrades!$U$17,I180),1)*IF(Upgrades!$T$18="Moving Group",POWER(Upgrades!$U$18,J180),1)*IF(Upgrades!$T$19="Moving Group",POWER(Upgrades!$U$19,K180),1)*IF(Upgrades!$T$20="Moving Group",POWER(Upgrades!$U$20,L180),1))*POWER(Upgrades!$P$13,E180)*POWER(Upgrades!$P$14,F180)*POWER(Upgrades!$P$15,G180)*POWER(Upgrades!$P$16,H180)*POWER(Upgrades!$P$17,I180)*POWER(Upgrades!$P$18,J180)*POWER(Upgrades!$P$19,K180)*POWER(Upgrades!$P$20,L180)*POWER(Upgrades!$P$21,M180)*$F$6*60</f>
        <v/>
      </c>
      <c r="AJ180" s="27">
        <f>$C$6*60</f>
        <v/>
      </c>
      <c r="AK180" s="22">
        <f>IF(E180&gt;=Upgrades!$E$13,"",Upgrades!$C$13*POWER(Upgrades!$D$13,E180))</f>
        <v/>
      </c>
      <c r="AL180" s="22">
        <f>IF(F180&gt;=Upgrades!$E$14,"",Upgrades!$C$14*POWER(Upgrades!$D$14,F180))</f>
        <v/>
      </c>
      <c r="AM180" s="22">
        <f>IF(G180&gt;=Upgrades!$E$15,"",Upgrades!$C$15*POWER(Upgrades!$D$15,G180))</f>
        <v/>
      </c>
      <c r="AN180" s="22">
        <f>IF(H180&gt;=Upgrades!$E$16,"",Upgrades!$C$16*POWER(Upgrades!$D$16,H180))</f>
        <v/>
      </c>
      <c r="AO180" s="22">
        <f>IF(I180&gt;=Upgrades!$E$17,"",Upgrades!$C$17*POWER(Upgrades!$D$17,I180))</f>
        <v/>
      </c>
      <c r="AP180" s="22">
        <f>IF(J180&gt;=Upgrades!$E$18,"",Upgrades!$C$18*POWER(Upgrades!$D$18,J180))</f>
        <v/>
      </c>
      <c r="AQ180" s="22">
        <f>IF(K180&gt;=Upgrades!$E$19,"",Upgrades!$C$19*POWER(Upgrades!$D$19,K180))</f>
        <v/>
      </c>
      <c r="AR180" s="22">
        <f>IF(L180&gt;=Upgrades!$E$20,"",Upgrades!$C$20*POWER(Upgrades!$D$20,L180))</f>
        <v/>
      </c>
      <c r="AS180" s="22">
        <f>IF(M180&gt;=Upgrades!$E$21,"",Upgrades!$C$21*POWER(Upgrades!$D$21,M180))</f>
        <v/>
      </c>
      <c r="AT180" s="26">
        <f>IF(AND(D180&gt;=Parameters!$B$18*Parameters!$B$19,(I180&gt;=Upgrades!$E$17)*(M180&gt;=Upgrades!$E$21)=1,N180=0),1,"")</f>
        <v/>
      </c>
      <c r="AU180" s="26">
        <f>IF(AND(D180&gt;=Parameters!$B$18*Parameters!$B$19,N180=0),1,"")</f>
        <v/>
      </c>
      <c r="AV180" s="22">
        <f>MIN(IF(ISNUMBER(AP180),AP180,9E15),IF(ISNUMBER(AQ180),AQ180,9E15),IF(ISNUMBER(AR180),AR180,9E15),IF(ISNUMBER(AS180),AS180,9E15))</f>
        <v/>
      </c>
      <c r="AW180" s="22">
        <f>MIN(IF(ISNUMBER(AK180),AK180,9E15),IF(ISNUMBER(AL180),AL180,9E15),IF(ISNUMBER(AM180),AM180,9E15),IF(ISNUMBER(AN180),AN180,9E15),IF(ISNUMBER(AO180),AO180,9E15))</f>
        <v/>
      </c>
      <c r="AX180" s="29">
        <f>IF(BD180&gt;Parameters!$B$21*(MAX(IF(AND(NOT(AND(AU180=1,AT180&lt;&gt;1)),ISNUMBER(AK180),AK180&lt;=(C180+T180)),AY180,0),IF(AND(NOT(AND(AU180=1,AT180&lt;&gt;1)),ISNUMBER(AL180),AL180&lt;=(C180+T180)),AZ180,0),IF(AND(NOT(AND(AU180=1,AT180&lt;&gt;1)),ISNUMBER(AM180),AM180&lt;=(C180+T180)),BA180,0),IF(AND(NOT(AND(AU180=1,AT180&lt;&gt;1)),ISNUMBER(AN180),AN180&lt;=(C180+T180)),BB180,0),IF(AND(ISNUMBER(AO180),AO180&lt;=(C180+T180)),BC180,0))),TRUE,FALSE)</f>
        <v/>
      </c>
      <c r="AY180" s="32">
        <f>IFERROR(Upgrades!$H$13*(POWER(Upgrades!$P$13,E180)*POWER(Upgrades!$P$14,F180)*POWER(Upgrades!$P$15,G180)*POWER(Upgrades!$P$16,H180)*POWER(Upgrades!$P$17,I180)*POWER(Upgrades!$P$18,J180)*POWER(Upgrades!$P$19,K180)*POWER(Upgrades!$P$20,L180)*POWER(Upgrades!$P$21,M180))*(IF(Upgrades!$T$14="Stellar Kinematics",POWER(Upgrades!$U$14,F180),1)*IF(Upgrades!$T$15="Stellar Kinematics",POWER(Upgrades!$U$15,G180),1)*IF(Upgrades!$T$16="Stellar Kinematics",POWER(Upgrades!$U$16,H180),1)*IF(Upgrades!$T$17="Stellar Kinematics",POWER(Upgrades!$U$17,I180),1)*IF(Upgrades!$T$18="Stellar Kinematics",POWER(Upgrades!$U$18,J180),1)*IF(Upgrades!$T$19="Stellar Kinematics",POWER(Upgrades!$U$19,K180),1)*IF(Upgrades!$T$20="Stellar Kinematics",POWER(Upgrades!$U$20,L180),1)*IF(Upgrades!$T$21="Stellar Kinematics",POWER(Upgrades!$U$21,M180),1))*$F$6/AK180,0)</f>
        <v/>
      </c>
      <c r="AZ180" s="32">
        <f>IFERROR(Upgrades!$H$14*(POWER(Upgrades!$P$13,E180)*POWER(Upgrades!$P$14,F180)*POWER(Upgrades!$P$15,G180)*POWER(Upgrades!$P$16,H180)*POWER(Upgrades!$P$17,I180)*POWER(Upgrades!$P$18,J180)*POWER(Upgrades!$P$19,K180)*POWER(Upgrades!$P$20,L180)*POWER(Upgrades!$P$21,M180))*(IF(Upgrades!$T$13="Local Bubble",POWER(Upgrades!$U$13,E180),1)*IF(Upgrades!$T$15="Local Bubble",POWER(Upgrades!$U$15,G180),1)*IF(Upgrades!$T$16="Local Bubble",POWER(Upgrades!$U$16,H180),1)*IF(Upgrades!$T$17="Local Bubble",POWER(Upgrades!$U$17,I180),1)*IF(Upgrades!$T$18="Local Bubble",POWER(Upgrades!$U$18,J180),1)*IF(Upgrades!$T$19="Local Bubble",POWER(Upgrades!$U$19,K180),1)*IF(Upgrades!$T$20="Local Bubble",POWER(Upgrades!$U$20,L180),1)*IF(Upgrades!$T$21="Local Bubble",POWER(Upgrades!$U$21,M180),1))*$F$6/AL180,0)</f>
        <v/>
      </c>
      <c r="BA180" s="32">
        <f>IFERROR(Upgrades!$K$15*(POWER(Upgrades!$Q$13,E180)*POWER(Upgrades!$Q$14,F180)*POWER(Upgrades!$Q$15,G180)*POWER(Upgrades!$Q$16,H180)*POWER(Upgrades!$Q$17,I180)*POWER(Upgrades!$Q$18,J180)*POWER(Upgrades!$Q$19,K180)*POWER(Upgrades!$Q$20,L180)*POWER(Upgrades!$Q$21,M180))*(IF(Upgrades!$T$13="Microlensing",POWER(Upgrades!$U$13,E180),1)*IF(Upgrades!$T$14="Microlensing",POWER(Upgrades!$U$14,F180),1)*IF(Upgrades!$T$16="Microlensing",POWER(Upgrades!$U$16,H180),1)*IF(Upgrades!$T$17="Microlensing",POWER(Upgrades!$U$17,I180),1)*IF(Upgrades!$T$18="Microlensing",POWER(Upgrades!$U$18,J180),1)*IF(Upgrades!$T$19="Microlensing",POWER(Upgrades!$U$19,K180),1)*IF(Upgrades!$T$20="Microlensing",POWER(Upgrades!$U$20,L180),1)*IF(Upgrades!$T$21="Microlensing",POWER(Upgrades!$U$21,M180),1))*$G$6*(Parameters!$B$10/60*Parameters!$B$11+Q180)/AM180,0)</f>
        <v/>
      </c>
      <c r="BB180" s="32">
        <f>IFERROR((Upgrades!$N$16*(POWER(Upgrades!$R$13,E180)*POWER(Upgrades!$R$14,F180)*POWER(Upgrades!$R$15,G180)*POWER(Upgrades!$R$16,H180)*POWER(Upgrades!$R$17,I180)*POWER(Upgrades!$R$18,J180)*POWER(Upgrades!$R$19,K180)*POWER(Upgrades!$R$20,L180)*POWER(Upgrades!$R$21,M180))*(IF(Upgrades!$T$13="Roche Lobe Overflow",POWER(Upgrades!$U$13,E180),1)*IF(Upgrades!$T$14="Roche Lobe Overflow",POWER(Upgrades!$U$14,F180),1)*IF(Upgrades!$T$15="Roche Lobe Overflow",POWER(Upgrades!$U$15,G180),1)*IF(Upgrades!$T$17="Roche Lobe Overflow",POWER(Upgrades!$U$17,I180),1)*IF(Upgrades!$T$18="Roche Lobe Overflow",POWER(Upgrades!$U$18,J180),1)*IF(Upgrades!$T$19="Roche Lobe Overflow",POWER(Upgrades!$U$19,K180),1)*IF(Upgrades!$T$20="Roche Lobe Overflow",POWER(Upgrades!$U$20,L180),1)*IF(Upgrades!$T$21="Roche Lobe Overflow",POWER(Upgrades!$U$21,M180),1))*$H$6*O180+((IF(F180=0,0,(Upgrades!$G$14+F180*Upgrades!$H$14)*POWER(Upgrades!$I$14,F180)))*(IF(Upgrades!$T$13="Local Bubble",POWER(Upgrades!$U$13,E180),1)*IF(Upgrades!$T$15="Local Bubble",POWER(Upgrades!$U$15,G180),1)*IF(Upgrades!$T$16="Local Bubble",POWER(Upgrades!$U$16,H180),1)*IF(Upgrades!$T$17="Local Bubble",POWER(Upgrades!$U$17,I180),1)*IF(Upgrades!$T$18="Local Bubble",POWER(Upgrades!$U$18,J180),1)*IF(Upgrades!$T$19="Local Bubble",POWER(Upgrades!$U$19,K180),1)*IF(Upgrades!$T$20="Local Bubble",POWER(Upgrades!$U$20,L180),1)*IF(Upgrades!$T$21="Local Bubble",POWER(Upgrades!$U$21,M180),1))*POWER(Upgrades!$P$13,E180)*POWER(Upgrades!$P$14,F180)*POWER(Upgrades!$P$15,G180)*POWER(Upgrades!$P$16,H180)*POWER(Upgrades!$P$17,I180)*POWER(Upgrades!$P$18,J180)*POWER(Upgrades!$P$19,K180)*POWER(Upgrades!$P$20,L180)*POWER(Upgrades!$P$21,M180)*$F$6)*0.05)/AN180,0)</f>
        <v/>
      </c>
      <c r="BC180" s="32">
        <f>IFERROR((Upgrades!$H$17*(POWER(Upgrades!$P$13,E180)*POWER(Upgrades!$P$14,F180)*POWER(Upgrades!$P$15,G180)*POWER(Upgrades!$P$16,H180)*POWER(Upgrades!$P$17,I180)*POWER(Upgrades!$P$18,J180)*POWER(Upgrades!$P$19,K180)*POWER(Upgrades!$P$20,L180)*POWER(Upgrades!$P$21,M180))*(IF(Upgrades!$T$13="Brown Dwarf",POWER(Upgrades!$U$13,E180),1)*IF(Upgrades!$T$14="Brown Dwarf",POWER(Upgrades!$U$14,F180),1)*IF(Upgrades!$T$15="Brown Dwarf",POWER(Upgrades!$U$15,G180),1)*IF(Upgrades!$T$16="Brown Dwarf",POWER(Upgrades!$U$16,H180),1)*IF(Upgrades!$T$18="Brown Dwarf",POWER(Upgrades!$U$18,J180),1)*IF(Upgrades!$T$19="Brown Dwarf",POWER(Upgrades!$U$19,K180),1)*IF(Upgrades!$T$20="Brown Dwarf",POWER(Upgrades!$U$20,L180),1)*IF(Upgrades!$T$21="Brown Dwarf",POWER(Upgrades!$U$21,M180),1))*$F$6+(((IF(H180=0,0,(Upgrades!$M$16+H180*Upgrades!$N$16)*POWER(Upgrades!$O$16,H180)))*(IF(Upgrades!$T$13="Roche Lobe Overflow",POWER(Upgrades!$U$13,E180),1)*IF(Upgrades!$T$14="Roche Lobe Overflow",POWER(Upgrades!$U$14,F180),1)*IF(Upgrades!$T$15="Roche Lobe Overflow",POWER(Upgrades!$U$15,G180),1)*IF(Upgrades!$T$17="Roche Lobe Overflow",POWER(Upgrades!$U$17,I180),1)*IF(Upgrades!$T$18="Roche Lobe Overflow",POWER(Upgrades!$U$18,J180),1)*IF(Upgrades!$T$19="Roche Lobe Overflow",POWER(Upgrades!$U$19,K180),1)*IF(Upgrades!$T$20="Roche Lobe Overflow",POWER(Upgrades!$U$20,L180),1)*IF(Upgrades!$T$21="Roche Lobe Overflow",POWER(Upgrades!$U$21,M180),1))*POWER(Upgrades!$R$13,E180)*POWER(Upgrades!$R$14,F180)*POWER(Upgrades!$R$15,G180)*POWER(Upgrades!$R$16,H180)*POWER(Upgrades!$R$17,I180)*POWER(Upgrades!$R$18,J180)*POWER(Upgrades!$R$19,K180)*POWER(Upgrades!$R$20,L180)*POWER(Upgrades!$R$21,M180)*$H$6)*O180)*0.10)/AO180,0)</f>
        <v/>
      </c>
      <c r="BD180" s="32">
        <f>MAX(IF(J180&gt;0,0,IFERROR(0.5*((IF(G180=0,0,(Upgrades!$J$15+G180*Upgrades!$K$15)*POWER(Upgrades!$L$15,G180)))*(IF(Upgrades!$T$13="Microlensing",POWER(Upgrades!$U$13,E180),1)*IF(Upgrades!$T$14="Microlensing",POWER(Upgrades!$U$14,F180),1)*IF(Upgrades!$T$16="Microlensing",POWER(Upgrades!$U$16,H180),1)*IF(Upgrades!$T$17="Microlensing",POWER(Upgrades!$U$17,I180),1)*IF(Upgrades!$T$18="Microlensing",POWER(Upgrades!$U$18,J180),1)*IF(Upgrades!$T$19="Microlensing",POWER(Upgrades!$U$19,K180),1)*IF(Upgrades!$T$20="Microlensing",POWER(Upgrades!$U$20,L180),1)*IF(Upgrades!$T$21="Microlensing",POWER(Upgrades!$U$21,M180),1))*(POWER(Upgrades!$Q$13,E180)*POWER(Upgrades!$Q$14,F180)*POWER(Upgrades!$Q$15,G180)*POWER(Upgrades!$Q$16,H180)*POWER(Upgrades!$Q$17,I180)*POWER(Upgrades!$Q$18,J180)*POWER(Upgrades!$Q$19,K180)*POWER(Upgrades!$Q$20,L180)*POWER(Upgrades!$Q$21,M180))*$G$6*(Parameters!$B$10/60*Parameters!$B$11+Q180))/Upgrades!$C$18,0)),IF(K180&gt;0,0,IFERROR(0.30*P180/Upgrades!$C$19,0)),IF(L180&gt;0,0,IFERROR(0.0001/Upgrades!$C$20,0)),IF(M180&gt;0,0,IFERROR((6.0*(POWER(Upgrades!$P$13,E180)*POWER(Upgrades!$P$14,F180)*POWER(Upgrades!$P$15,G180)*POWER(Upgrades!$P$16,H180)*POWER(Upgrades!$P$17,I180)*POWER(Upgrades!$P$18,J180)*POWER(Upgrades!$P$19,K180)*POWER(Upgrades!$P$20,L180)*POWER(Upgrades!$P$21,M180))*$F$6+0.20*O180*(Parameters!$B$10/60*Parameters!$B$11+Q180))/Upgrades!$C$21,0)),IF(AND(ISNUMBER(AK180),AK180&gt;(C180+T180)),AY180,0),IF(AND(ISNUMBER(AL180),AL180&gt;(C180+T180)),AZ180,0),IF(AND(ISNUMBER(AM180),AM180&gt;(C180+T180)),BA180,0),IF(AND(ISNUMBER(AN180),AN180&gt;(C180+T180)),BB180,0),IF(AND(ISNUMBER(AO180),AO180&gt;(C180+T180)),BC180,0))</f>
        <v/>
      </c>
      <c r="BE180" s="29">
        <f>IF(AT180=1,"transition",IF(MIN(IF(AND(J180=0,ISNUMBER(AP180),AP180&lt;=(C180+T180)),AP180,9E15),IF(AND(K180=0,ISNUMBER(AQ180),AQ180&lt;=(C180+T180)),AQ180,9E15),IF(AND(L180=0,ISNUMBER(AR180),AR180&lt;=(C180+T180)),AR180,9E15),IF(AND(M180=0,ISNUMBER(AS180),AS180&lt;=(C180+T180)),AS180,9E15))&lt;9E15,IF(AND(AND(J180=0,ISNUMBER(AP180),AP180&lt;=(C180+T180)),AP180=MIN(IF(AND(J180=0,ISNUMBER(AP180),AP180&lt;=(C180+T180)),AP180,9E15),IF(AND(K180=0,ISNUMBER(AQ180),AQ180&lt;=(C180+T180)),AQ180,9E15),IF(AND(L180=0,ISNUMBER(AR180),AR180&lt;=(C180+T180)),AR180,9E15),IF(AND(M180=0,ISNUMBER(AS180),AS180&lt;=(C180+T180)),AS180,9E15))),"BiP",IF(AND(AND(K180=0,ISNUMBER(AQ180),AQ180&lt;=(C180+T180)),AQ180=MIN(IF(AND(J180=0,ISNUMBER(AP180),AP180&lt;=(C180+T180)),AP180,9E15),IF(AND(K180=0,ISNUMBER(AQ180),AQ180&lt;=(C180+T180)),AQ180,9E15),IF(AND(L180=0,ISNUMBER(AR180),AR180&lt;=(C180+T180)),AR180,9E15),IF(AND(M180=0,ISNUMBER(AS180),AS180&lt;=(C180+T180)),AS180,9E15))),"PV",IF(AND(AND(L180=0,ISNUMBER(AR180),AR180&lt;=(C180+T180)),AR180=MIN(IF(AND(J180=0,ISNUMBER(AP180),AP180&lt;=(C180+T180)),AP180,9E15),IF(AND(K180=0,ISNUMBER(AQ180),AQ180&lt;=(C180+T180)),AQ180,9E15),IF(AND(L180=0,ISNUMBER(AR180),AR180&lt;=(C180+T180)),AR180,9E15),IF(AND(M180=0,ISNUMBER(AS180),AS180&lt;=(C180+T180)),AS180,9E15))),"OC","MG"))),IF(AX180=TRUE,"",IF(MAX(IF(AND(NOT(AND(AU180=1,AT180&lt;&gt;1)),ISNUMBER(AK180),AK180&lt;=(C180+T180)),AY180,0),IF(AND(NOT(AND(AU180=1,AT180&lt;&gt;1)),ISNUMBER(AL180),AL180&lt;=(C180+T180)),AZ180,0),IF(AND(NOT(AND(AU180=1,AT180&lt;&gt;1)),ISNUMBER(AM180),AM180&lt;=(C180+T180)),BA180,0),IF(AND(NOT(AND(AU180=1,AT180&lt;&gt;1)),ISNUMBER(AN180),AN180&lt;=(C180+T180)),BB180,0),IF(AND(ISNUMBER(AO180),AO180&lt;=(C180+T180)),BC180,0))&lt;=0,"",IF(AND(IF(AND(NOT(AND(AU180=1,AT180&lt;&gt;1)),ISNUMBER(AK180),AK180&lt;=(C180+T180)),AY180,0)&gt;0,IF(AND(NOT(AND(AU180=1,AT180&lt;&gt;1)),ISNUMBER(AK180),AK180&lt;=(C180+T180)),AY180,0)=MAX(IF(AND(NOT(AND(AU180=1,AT180&lt;&gt;1)),ISNUMBER(AK180),AK180&lt;=(C180+T180)),AY180,0),IF(AND(NOT(AND(AU180=1,AT180&lt;&gt;1)),ISNUMBER(AL180),AL180&lt;=(C180+T180)),AZ180,0),IF(AND(NOT(AND(AU180=1,AT180&lt;&gt;1)),ISNUMBER(AM180),AM180&lt;=(C180+T180)),BA180,0),IF(AND(NOT(AND(AU180=1,AT180&lt;&gt;1)),ISNUMBER(AN180),AN180&lt;=(C180+T180)),BB180,0),IF(AND(ISNUMBER(AO180),AO180&lt;=(C180+T180)),BC180,0))),"SK",IF(AND(IF(AND(NOT(AND(AU180=1,AT180&lt;&gt;1)),ISNUMBER(AL180),AL180&lt;=(C180+T180)),AZ180,0)&gt;0,IF(AND(NOT(AND(AU180=1,AT180&lt;&gt;1)),ISNUMBER(AL180),AL180&lt;=(C180+T180)),AZ180,0)=MAX(IF(AND(NOT(AND(AU180=1,AT180&lt;&gt;1)),ISNUMBER(AK180),AK180&lt;=(C180+T180)),AY180,0),IF(AND(NOT(AND(AU180=1,AT180&lt;&gt;1)),ISNUMBER(AL180),AL180&lt;=(C180+T180)),AZ180,0),IF(AND(NOT(AND(AU180=1,AT180&lt;&gt;1)),ISNUMBER(AM180),AM180&lt;=(C180+T180)),BA180,0),IF(AND(NOT(AND(AU180=1,AT180&lt;&gt;1)),ISNUMBER(AN180),AN180&lt;=(C180+T180)),BB180,0),IF(AND(ISNUMBER(AO180),AO180&lt;=(C180+T180)),BC180,0))),"LB",IF(AND(IF(AND(NOT(AND(AU180=1,AT180&lt;&gt;1)),ISNUMBER(AM180),AM180&lt;=(C180+T180)),BA180,0)&gt;0,IF(AND(NOT(AND(AU180=1,AT180&lt;&gt;1)),ISNUMBER(AM180),AM180&lt;=(C180+T180)),BA180,0)=MAX(IF(AND(NOT(AND(AU180=1,AT180&lt;&gt;1)),ISNUMBER(AK180),AK180&lt;=(C180+T180)),AY180,0),IF(AND(NOT(AND(AU180=1,AT180&lt;&gt;1)),ISNUMBER(AL180),AL180&lt;=(C180+T180)),AZ180,0),IF(AND(NOT(AND(AU180=1,AT180&lt;&gt;1)),ISNUMBER(AM180),AM180&lt;=(C180+T180)),BA180,0),IF(AND(NOT(AND(AU180=1,AT180&lt;&gt;1)),ISNUMBER(AN180),AN180&lt;=(C180+T180)),BB180,0),IF(AND(ISNUMBER(AO180),AO180&lt;=(C180+T180)),BC180,0))),"ML",IF(AND(IF(AND(NOT(AND(AU180=1,AT180&lt;&gt;1)),ISNUMBER(AN180),AN180&lt;=(C180+T180)),BB180,0)&gt;0,IF(AND(NOT(AND(AU180=1,AT180&lt;&gt;1)),ISNUMBER(AN180),AN180&lt;=(C180+T180)),BB180,0)=MAX(IF(AND(NOT(AND(AU180=1,AT180&lt;&gt;1)),ISNUMBER(AK180),AK180&lt;=(C180+T180)),AY180,0),IF(AND(NOT(AND(AU180=1,AT180&lt;&gt;1)),ISNUMBER(AL180),AL180&lt;=(C180+T180)),AZ180,0),IF(AND(NOT(AND(AU180=1,AT180&lt;&gt;1)),ISNUMBER(AM180),AM180&lt;=(C180+T180)),BA180,0),IF(AND(NOT(AND(AU180=1,AT180&lt;&gt;1)),ISNUMBER(AN180),AN180&lt;=(C180+T180)),BB180,0),IF(AND(ISNUMBER(AO180),AO180&lt;=(C180+T180)),BC180,0))),"RLO","BD"))))))))</f>
        <v/>
      </c>
    </row>
    <row r="181">
      <c r="A181" s="26" t="n">
        <v>170</v>
      </c>
      <c r="B181" s="27">
        <f>A181*10/60</f>
        <v/>
      </c>
      <c r="C181" s="22">
        <f>X180</f>
        <v/>
      </c>
      <c r="D181" s="27">
        <f>D180+W180</f>
        <v/>
      </c>
      <c r="E181" s="26">
        <f>E180+IF(U180="SK",1,0)</f>
        <v/>
      </c>
      <c r="F181" s="26">
        <f>F180+IF(U180="LB",1,0)</f>
        <v/>
      </c>
      <c r="G181" s="26">
        <f>G180+IF(U180="ML",1,0)</f>
        <v/>
      </c>
      <c r="H181" s="26">
        <f>H180+IF(U180="RLO",1,0)</f>
        <v/>
      </c>
      <c r="I181" s="26">
        <f>I180+IF(U180="BD",1,0)</f>
        <v/>
      </c>
      <c r="J181" s="26">
        <f>MAX(J180,IF(U180="BiP",1,0))</f>
        <v/>
      </c>
      <c r="K181" s="26">
        <f>MAX(K180,IF(U180="PV",1,0))</f>
        <v/>
      </c>
      <c r="L181" s="26">
        <f>MAX(L180,IF(U180="OC",1,0))</f>
        <v/>
      </c>
      <c r="M181" s="26">
        <f>MAX(M180,IF(U180="MG",1,0))</f>
        <v/>
      </c>
      <c r="N181" s="26">
        <f>MAX(N180,IF(U180="transition",1,0))</f>
        <v/>
      </c>
      <c r="O181" s="28">
        <f>(Parameters!$B$9+(IF(E181=0,0,(Upgrades!$J$13+E181*Upgrades!$K$13)*POWER(Upgrades!$L$13,E181)))*(IF(Upgrades!$T$14="Stellar Kinematics",POWER(Upgrades!$U$14,F181),1)*IF(Upgrades!$T$15="Stellar Kinematics",POWER(Upgrades!$U$15,G181),1)*IF(Upgrades!$T$16="Stellar Kinematics",POWER(Upgrades!$U$16,H181),1)*IF(Upgrades!$T$17="Stellar Kinematics",POWER(Upgrades!$U$17,I181),1)*IF(Upgrades!$T$18="Stellar Kinematics",POWER(Upgrades!$U$18,J181),1)*IF(Upgrades!$T$19="Stellar Kinematics",POWER(Upgrades!$U$19,K181),1)*IF(Upgrades!$T$20="Stellar Kinematics",POWER(Upgrades!$U$20,L181),1)*IF(Upgrades!$T$21="Stellar Kinematics",POWER(Upgrades!$U$21,M181),1))+(IF(F181=0,0,(Upgrades!$J$14+F181*Upgrades!$K$14)*POWER(Upgrades!$L$14,F181)))*(IF(Upgrades!$T$13="Local Bubble",POWER(Upgrades!$U$13,E181),1)*IF(Upgrades!$T$15="Local Bubble",POWER(Upgrades!$U$15,G181),1)*IF(Upgrades!$T$16="Local Bubble",POWER(Upgrades!$U$16,H181),1)*IF(Upgrades!$T$17="Local Bubble",POWER(Upgrades!$U$17,I181),1)*IF(Upgrades!$T$18="Local Bubble",POWER(Upgrades!$U$18,J181),1)*IF(Upgrades!$T$19="Local Bubble",POWER(Upgrades!$U$19,K181),1)*IF(Upgrades!$T$20="Local Bubble",POWER(Upgrades!$U$20,L181),1)*IF(Upgrades!$T$21="Local Bubble",POWER(Upgrades!$U$21,M181),1))+(IF(G181=0,0,(Upgrades!$J$15+G181*Upgrades!$K$15)*POWER(Upgrades!$L$15,G181)))*(IF(Upgrades!$T$13="Microlensing",POWER(Upgrades!$U$13,E181),1)*IF(Upgrades!$T$14="Microlensing",POWER(Upgrades!$U$14,F181),1)*IF(Upgrades!$T$16="Microlensing",POWER(Upgrades!$U$16,H181),1)*IF(Upgrades!$T$17="Microlensing",POWER(Upgrades!$U$17,I181),1)*IF(Upgrades!$T$18="Microlensing",POWER(Upgrades!$U$18,J181),1)*IF(Upgrades!$T$19="Microlensing",POWER(Upgrades!$U$19,K181),1)*IF(Upgrades!$T$20="Microlensing",POWER(Upgrades!$U$20,L181),1)*IF(Upgrades!$T$21="Microlensing",POWER(Upgrades!$U$21,M181),1))+(IF(H181=0,0,(Upgrades!$J$16+H181*Upgrades!$K$16)*POWER(Upgrades!$L$16,H181)))*(IF(Upgrades!$T$13="Roche Lobe Overflow",POWER(Upgrades!$U$13,E181),1)*IF(Upgrades!$T$14="Roche Lobe Overflow",POWER(Upgrades!$U$14,F181),1)*IF(Upgrades!$T$15="Roche Lobe Overflow",POWER(Upgrades!$U$15,G181),1)*IF(Upgrades!$T$17="Roche Lobe Overflow",POWER(Upgrades!$U$17,I181),1)*IF(Upgrades!$T$18="Roche Lobe Overflow",POWER(Upgrades!$U$18,J181),1)*IF(Upgrades!$T$19="Roche Lobe Overflow",POWER(Upgrades!$U$19,K181),1)*IF(Upgrades!$T$20="Roche Lobe Overflow",POWER(Upgrades!$U$20,L181),1)*IF(Upgrades!$T$21="Roche Lobe Overflow",POWER(Upgrades!$U$21,M181),1))+(IF(I181=0,0,(Upgrades!$J$17+I181*Upgrades!$K$17)*POWER(Upgrades!$L$17,I181)))*(IF(Upgrades!$T$13="Brown Dwarf",POWER(Upgrades!$U$13,E181),1)*IF(Upgrades!$T$14="Brown Dwarf",POWER(Upgrades!$U$14,F181),1)*IF(Upgrades!$T$15="Brown Dwarf",POWER(Upgrades!$U$15,G181),1)*IF(Upgrades!$T$16="Brown Dwarf",POWER(Upgrades!$U$16,H181),1)*IF(Upgrades!$T$18="Brown Dwarf",POWER(Upgrades!$U$18,J181),1)*IF(Upgrades!$T$19="Brown Dwarf",POWER(Upgrades!$U$19,K181),1)*IF(Upgrades!$T$20="Brown Dwarf",POWER(Upgrades!$U$20,L181),1)*IF(Upgrades!$T$21="Brown Dwarf",POWER(Upgrades!$U$21,M181),1))+(IF(J181=0,0,(Upgrades!$J$18+J181*Upgrades!$K$18)*POWER(Upgrades!$L$18,J181)))*(IF(Upgrades!$T$13="Binary Partner",POWER(Upgrades!$U$13,E181),1)*IF(Upgrades!$T$14="Binary Partner",POWER(Upgrades!$U$14,F181),1)*IF(Upgrades!$T$15="Binary Partner",POWER(Upgrades!$U$15,G181),1)*IF(Upgrades!$T$16="Binary Partner",POWER(Upgrades!$U$16,H181),1)*IF(Upgrades!$T$17="Binary Partner",POWER(Upgrades!$U$17,I181),1)*IF(Upgrades!$T$19="Binary Partner",POWER(Upgrades!$U$19,K181),1)*IF(Upgrades!$T$20="Binary Partner",POWER(Upgrades!$U$20,L181),1)*IF(Upgrades!$T$21="Binary Partner",POWER(Upgrades!$U$21,M181),1))+(IF(K181=0,0,(Upgrades!$J$19+K181*Upgrades!$K$19)*POWER(Upgrades!$L$19,K181)))*(IF(Upgrades!$T$13="Peculiar Velocity",POWER(Upgrades!$U$13,E181),1)*IF(Upgrades!$T$14="Peculiar Velocity",POWER(Upgrades!$U$14,F181),1)*IF(Upgrades!$T$15="Peculiar Velocity",POWER(Upgrades!$U$15,G181),1)*IF(Upgrades!$T$16="Peculiar Velocity",POWER(Upgrades!$U$16,H181),1)*IF(Upgrades!$T$17="Peculiar Velocity",POWER(Upgrades!$U$17,I181),1)*IF(Upgrades!$T$18="Peculiar Velocity",POWER(Upgrades!$U$18,J181),1)*IF(Upgrades!$T$20="Peculiar Velocity",POWER(Upgrades!$U$20,L181),1)*IF(Upgrades!$T$21="Peculiar Velocity",POWER(Upgrades!$U$21,M181),1))+(IF(L181=0,0,(Upgrades!$J$20+L181*Upgrades!$K$20)*POWER(Upgrades!$L$20,L181)))*(IF(Upgrades!$T$13="Open Cluster",POWER(Upgrades!$U$13,E181),1)*IF(Upgrades!$T$14="Open Cluster",POWER(Upgrades!$U$14,F181),1)*IF(Upgrades!$T$15="Open Cluster",POWER(Upgrades!$U$15,G181),1)*IF(Upgrades!$T$16="Open Cluster",POWER(Upgrades!$U$16,H181),1)*IF(Upgrades!$T$17="Open Cluster",POWER(Upgrades!$U$17,I181),1)*IF(Upgrades!$T$18="Open Cluster",POWER(Upgrades!$U$18,J181),1)*IF(Upgrades!$T$19="Open Cluster",POWER(Upgrades!$U$19,K181),1)*IF(Upgrades!$T$21="Open Cluster",POWER(Upgrades!$U$21,M181),1))+(IF(M181=0,0,(Upgrades!$J$21+M181*Upgrades!$K$21)*POWER(Upgrades!$L$21,M181)))*(IF(Upgrades!$T$13="Moving Group",POWER(Upgrades!$U$13,E181),1)*IF(Upgrades!$T$14="Moving Group",POWER(Upgrades!$U$14,F181),1)*IF(Upgrades!$T$15="Moving Group",POWER(Upgrades!$U$15,G181),1)*IF(Upgrades!$T$16="Moving Group",POWER(Upgrades!$U$16,H181),1)*IF(Upgrades!$T$17="Moving Group",POWER(Upgrades!$U$17,I181),1)*IF(Upgrades!$T$18="Moving Group",POWER(Upgrades!$U$18,J181),1)*IF(Upgrades!$T$19="Moving Group",POWER(Upgrades!$U$19,K181),1)*IF(Upgrades!$T$20="Moving Group",POWER(Upgrades!$U$20,L181),1)))*POWER(Upgrades!$Q$13,E181)*POWER(Upgrades!$Q$14,F181)*POWER(Upgrades!$Q$15,G181)*POWER(Upgrades!$Q$16,H181)*POWER(Upgrades!$Q$17,I181)*POWER(Upgrades!$Q$18,J181)*POWER(Upgrades!$Q$19,K181)*POWER(Upgrades!$Q$20,L181)*POWER(Upgrades!$Q$21,M181)*$G$6+$D$6</f>
        <v/>
      </c>
      <c r="P181" s="28">
        <f>((IF(E181=0,0,(Upgrades!$G$13+E181*Upgrades!$H$13)*POWER(Upgrades!$I$13,E181)))*(IF(Upgrades!$T$14="Stellar Kinematics",POWER(Upgrades!$U$14,F181),1)*IF(Upgrades!$T$15="Stellar Kinematics",POWER(Upgrades!$U$15,G181),1)*IF(Upgrades!$T$16="Stellar Kinematics",POWER(Upgrades!$U$16,H181),1)*IF(Upgrades!$T$17="Stellar Kinematics",POWER(Upgrades!$U$17,I181),1)*IF(Upgrades!$T$18="Stellar Kinematics",POWER(Upgrades!$U$18,J181),1)*IF(Upgrades!$T$19="Stellar Kinematics",POWER(Upgrades!$U$19,K181),1)*IF(Upgrades!$T$20="Stellar Kinematics",POWER(Upgrades!$U$20,L181),1)*IF(Upgrades!$T$21="Stellar Kinematics",POWER(Upgrades!$U$21,M181),1))+(IF(F181=0,0,(Upgrades!$G$14+F181*Upgrades!$H$14)*POWER(Upgrades!$I$14,F181)))*(IF(Upgrades!$T$13="Local Bubble",POWER(Upgrades!$U$13,E181),1)*IF(Upgrades!$T$15="Local Bubble",POWER(Upgrades!$U$15,G181),1)*IF(Upgrades!$T$16="Local Bubble",POWER(Upgrades!$U$16,H181),1)*IF(Upgrades!$T$17="Local Bubble",POWER(Upgrades!$U$17,I181),1)*IF(Upgrades!$T$18="Local Bubble",POWER(Upgrades!$U$18,J181),1)*IF(Upgrades!$T$19="Local Bubble",POWER(Upgrades!$U$19,K181),1)*IF(Upgrades!$T$20="Local Bubble",POWER(Upgrades!$U$20,L181),1)*IF(Upgrades!$T$21="Local Bubble",POWER(Upgrades!$U$21,M181),1))+(IF(G181=0,0,(Upgrades!$G$15+G181*Upgrades!$H$15)*POWER(Upgrades!$I$15,G181)))*(IF(Upgrades!$T$13="Microlensing",POWER(Upgrades!$U$13,E181),1)*IF(Upgrades!$T$14="Microlensing",POWER(Upgrades!$U$14,F181),1)*IF(Upgrades!$T$16="Microlensing",POWER(Upgrades!$U$16,H181),1)*IF(Upgrades!$T$17="Microlensing",POWER(Upgrades!$U$17,I181),1)*IF(Upgrades!$T$18="Microlensing",POWER(Upgrades!$U$18,J181),1)*IF(Upgrades!$T$19="Microlensing",POWER(Upgrades!$U$19,K181),1)*IF(Upgrades!$T$20="Microlensing",POWER(Upgrades!$U$20,L181),1)*IF(Upgrades!$T$21="Microlensing",POWER(Upgrades!$U$21,M181),1))+(IF(H181=0,0,(Upgrades!$G$16+H181*Upgrades!$H$16)*POWER(Upgrades!$I$16,H181)))*(IF(Upgrades!$T$13="Roche Lobe Overflow",POWER(Upgrades!$U$13,E181),1)*IF(Upgrades!$T$14="Roche Lobe Overflow",POWER(Upgrades!$U$14,F181),1)*IF(Upgrades!$T$15="Roche Lobe Overflow",POWER(Upgrades!$U$15,G181),1)*IF(Upgrades!$T$17="Roche Lobe Overflow",POWER(Upgrades!$U$17,I181),1)*IF(Upgrades!$T$18="Roche Lobe Overflow",POWER(Upgrades!$U$18,J181),1)*IF(Upgrades!$T$19="Roche Lobe Overflow",POWER(Upgrades!$U$19,K181),1)*IF(Upgrades!$T$20="Roche Lobe Overflow",POWER(Upgrades!$U$20,L181),1)*IF(Upgrades!$T$21="Roche Lobe Overflow",POWER(Upgrades!$U$21,M181),1))+(IF(I181=0,0,(Upgrades!$G$17+I181*Upgrades!$H$17)*POWER(Upgrades!$I$17,I181)))*(IF(Upgrades!$T$13="Brown Dwarf",POWER(Upgrades!$U$13,E181),1)*IF(Upgrades!$T$14="Brown Dwarf",POWER(Upgrades!$U$14,F181),1)*IF(Upgrades!$T$15="Brown Dwarf",POWER(Upgrades!$U$15,G181),1)*IF(Upgrades!$T$16="Brown Dwarf",POWER(Upgrades!$U$16,H181),1)*IF(Upgrades!$T$18="Brown Dwarf",POWER(Upgrades!$U$18,J181),1)*IF(Upgrades!$T$19="Brown Dwarf",POWER(Upgrades!$U$19,K181),1)*IF(Upgrades!$T$20="Brown Dwarf",POWER(Upgrades!$U$20,L181),1)*IF(Upgrades!$T$21="Brown Dwarf",POWER(Upgrades!$U$21,M181),1))+(IF(J181=0,0,(Upgrades!$G$18+J181*Upgrades!$H$18)*POWER(Upgrades!$I$18,J181)))*(IF(Upgrades!$T$13="Binary Partner",POWER(Upgrades!$U$13,E181),1)*IF(Upgrades!$T$14="Binary Partner",POWER(Upgrades!$U$14,F181),1)*IF(Upgrades!$T$15="Binary Partner",POWER(Upgrades!$U$15,G181),1)*IF(Upgrades!$T$16="Binary Partner",POWER(Upgrades!$U$16,H181),1)*IF(Upgrades!$T$17="Binary Partner",POWER(Upgrades!$U$17,I181),1)*IF(Upgrades!$T$19="Binary Partner",POWER(Upgrades!$U$19,K181),1)*IF(Upgrades!$T$20="Binary Partner",POWER(Upgrades!$U$20,L181),1)*IF(Upgrades!$T$21="Binary Partner",POWER(Upgrades!$U$21,M181),1))+(IF(K181=0,0,(Upgrades!$G$19+K181*Upgrades!$H$19)*POWER(Upgrades!$I$19,K181)))*(IF(Upgrades!$T$13="Peculiar Velocity",POWER(Upgrades!$U$13,E181),1)*IF(Upgrades!$T$14="Peculiar Velocity",POWER(Upgrades!$U$14,F181),1)*IF(Upgrades!$T$15="Peculiar Velocity",POWER(Upgrades!$U$15,G181),1)*IF(Upgrades!$T$16="Peculiar Velocity",POWER(Upgrades!$U$16,H181),1)*IF(Upgrades!$T$17="Peculiar Velocity",POWER(Upgrades!$U$17,I181),1)*IF(Upgrades!$T$18="Peculiar Velocity",POWER(Upgrades!$U$18,J181),1)*IF(Upgrades!$T$20="Peculiar Velocity",POWER(Upgrades!$U$20,L181),1)*IF(Upgrades!$T$21="Peculiar Velocity",POWER(Upgrades!$U$21,M181),1))+(IF(L181=0,0,(Upgrades!$G$20+L181*Upgrades!$H$20)*POWER(Upgrades!$I$20,L181)))*(IF(Upgrades!$T$13="Open Cluster",POWER(Upgrades!$U$13,E181),1)*IF(Upgrades!$T$14="Open Cluster",POWER(Upgrades!$U$14,F181),1)*IF(Upgrades!$T$15="Open Cluster",POWER(Upgrades!$U$15,G181),1)*IF(Upgrades!$T$16="Open Cluster",POWER(Upgrades!$U$16,H181),1)*IF(Upgrades!$T$17="Open Cluster",POWER(Upgrades!$U$17,I181),1)*IF(Upgrades!$T$18="Open Cluster",POWER(Upgrades!$U$18,J181),1)*IF(Upgrades!$T$19="Open Cluster",POWER(Upgrades!$U$19,K181),1)*IF(Upgrades!$T$21="Open Cluster",POWER(Upgrades!$U$21,M181),1))+(IF(M181=0,0,(Upgrades!$G$21+M181*Upgrades!$H$21)*POWER(Upgrades!$I$21,M181)))*(IF(Upgrades!$T$13="Moving Group",POWER(Upgrades!$U$13,E181),1)*IF(Upgrades!$T$14="Moving Group",POWER(Upgrades!$U$14,F181),1)*IF(Upgrades!$T$15="Moving Group",POWER(Upgrades!$U$15,G181),1)*IF(Upgrades!$T$16="Moving Group",POWER(Upgrades!$U$16,H181),1)*IF(Upgrades!$T$17="Moving Group",POWER(Upgrades!$U$17,I181),1)*IF(Upgrades!$T$18="Moving Group",POWER(Upgrades!$U$18,J181),1)*IF(Upgrades!$T$19="Moving Group",POWER(Upgrades!$U$19,K181),1)*IF(Upgrades!$T$20="Moving Group",POWER(Upgrades!$U$20,L181),1)))*POWER(Upgrades!$P$13,E181)*POWER(Upgrades!$P$14,F181)*POWER(Upgrades!$P$15,G181)*POWER(Upgrades!$P$16,H181)*POWER(Upgrades!$P$17,I181)*POWER(Upgrades!$P$18,J181)*POWER(Upgrades!$P$19,K181)*POWER(Upgrades!$P$20,L181)*POWER(Upgrades!$P$21,M181)*$F$6+$C$6</f>
        <v/>
      </c>
      <c r="Q181" s="28">
        <f>((IF(E181=0,0,(Upgrades!$M$13+E181*Upgrades!$N$13)*POWER(Upgrades!$O$13,E181)))*(IF(Upgrades!$T$14="Stellar Kinematics",POWER(Upgrades!$U$14,F181),1)*IF(Upgrades!$T$15="Stellar Kinematics",POWER(Upgrades!$U$15,G181),1)*IF(Upgrades!$T$16="Stellar Kinematics",POWER(Upgrades!$U$16,H181),1)*IF(Upgrades!$T$17="Stellar Kinematics",POWER(Upgrades!$U$17,I181),1)*IF(Upgrades!$T$18="Stellar Kinematics",POWER(Upgrades!$U$18,J181),1)*IF(Upgrades!$T$19="Stellar Kinematics",POWER(Upgrades!$U$19,K181),1)*IF(Upgrades!$T$20="Stellar Kinematics",POWER(Upgrades!$U$20,L181),1)*IF(Upgrades!$T$21="Stellar Kinematics",POWER(Upgrades!$U$21,M181),1))+(IF(F181=0,0,(Upgrades!$M$14+F181*Upgrades!$N$14)*POWER(Upgrades!$O$14,F181)))*(IF(Upgrades!$T$13="Local Bubble",POWER(Upgrades!$U$13,E181),1)*IF(Upgrades!$T$15="Local Bubble",POWER(Upgrades!$U$15,G181),1)*IF(Upgrades!$T$16="Local Bubble",POWER(Upgrades!$U$16,H181),1)*IF(Upgrades!$T$17="Local Bubble",POWER(Upgrades!$U$17,I181),1)*IF(Upgrades!$T$18="Local Bubble",POWER(Upgrades!$U$18,J181),1)*IF(Upgrades!$T$19="Local Bubble",POWER(Upgrades!$U$19,K181),1)*IF(Upgrades!$T$20="Local Bubble",POWER(Upgrades!$U$20,L181),1)*IF(Upgrades!$T$21="Local Bubble",POWER(Upgrades!$U$21,M181),1))+(IF(G181=0,0,(Upgrades!$M$15+G181*Upgrades!$N$15)*POWER(Upgrades!$O$15,G181)))*(IF(Upgrades!$T$13="Microlensing",POWER(Upgrades!$U$13,E181),1)*IF(Upgrades!$T$14="Microlensing",POWER(Upgrades!$U$14,F181),1)*IF(Upgrades!$T$16="Microlensing",POWER(Upgrades!$U$16,H181),1)*IF(Upgrades!$T$17="Microlensing",POWER(Upgrades!$U$17,I181),1)*IF(Upgrades!$T$18="Microlensing",POWER(Upgrades!$U$18,J181),1)*IF(Upgrades!$T$19="Microlensing",POWER(Upgrades!$U$19,K181),1)*IF(Upgrades!$T$20="Microlensing",POWER(Upgrades!$U$20,L181),1)*IF(Upgrades!$T$21="Microlensing",POWER(Upgrades!$U$21,M181),1))+(IF(H181=0,0,(Upgrades!$M$16+H181*Upgrades!$N$16)*POWER(Upgrades!$O$16,H181)))*(IF(Upgrades!$T$13="Roche Lobe Overflow",POWER(Upgrades!$U$13,E181),1)*IF(Upgrades!$T$14="Roche Lobe Overflow",POWER(Upgrades!$U$14,F181),1)*IF(Upgrades!$T$15="Roche Lobe Overflow",POWER(Upgrades!$U$15,G181),1)*IF(Upgrades!$T$17="Roche Lobe Overflow",POWER(Upgrades!$U$17,I181),1)*IF(Upgrades!$T$18="Roche Lobe Overflow",POWER(Upgrades!$U$18,J181),1)*IF(Upgrades!$T$19="Roche Lobe Overflow",POWER(Upgrades!$U$19,K181),1)*IF(Upgrades!$T$20="Roche Lobe Overflow",POWER(Upgrades!$U$20,L181),1)*IF(Upgrades!$T$21="Roche Lobe Overflow",POWER(Upgrades!$U$21,M181),1))+(IF(I181=0,0,(Upgrades!$M$17+I181*Upgrades!$N$17)*POWER(Upgrades!$O$17,I181)))*(IF(Upgrades!$T$13="Brown Dwarf",POWER(Upgrades!$U$13,E181),1)*IF(Upgrades!$T$14="Brown Dwarf",POWER(Upgrades!$U$14,F181),1)*IF(Upgrades!$T$15="Brown Dwarf",POWER(Upgrades!$U$15,G181),1)*IF(Upgrades!$T$16="Brown Dwarf",POWER(Upgrades!$U$16,H181),1)*IF(Upgrades!$T$18="Brown Dwarf",POWER(Upgrades!$U$18,J181),1)*IF(Upgrades!$T$19="Brown Dwarf",POWER(Upgrades!$U$19,K181),1)*IF(Upgrades!$T$20="Brown Dwarf",POWER(Upgrades!$U$20,L181),1)*IF(Upgrades!$T$21="Brown Dwarf",POWER(Upgrades!$U$21,M181),1))+(IF(J181=0,0,(Upgrades!$M$18+J181*Upgrades!$N$18)*POWER(Upgrades!$O$18,J181)))*(IF(Upgrades!$T$13="Binary Partner",POWER(Upgrades!$U$13,E181),1)*IF(Upgrades!$T$14="Binary Partner",POWER(Upgrades!$U$14,F181),1)*IF(Upgrades!$T$15="Binary Partner",POWER(Upgrades!$U$15,G181),1)*IF(Upgrades!$T$16="Binary Partner",POWER(Upgrades!$U$16,H181),1)*IF(Upgrades!$T$17="Binary Partner",POWER(Upgrades!$U$17,I181),1)*IF(Upgrades!$T$19="Binary Partner",POWER(Upgrades!$U$19,K181),1)*IF(Upgrades!$T$20="Binary Partner",POWER(Upgrades!$U$20,L181),1)*IF(Upgrades!$T$21="Binary Partner",POWER(Upgrades!$U$21,M181),1))+(IF(K181=0,0,(Upgrades!$M$19+K181*Upgrades!$N$19)*POWER(Upgrades!$O$19,K181)))*(IF(Upgrades!$T$13="Peculiar Velocity",POWER(Upgrades!$U$13,E181),1)*IF(Upgrades!$T$14="Peculiar Velocity",POWER(Upgrades!$U$14,F181),1)*IF(Upgrades!$T$15="Peculiar Velocity",POWER(Upgrades!$U$15,G181),1)*IF(Upgrades!$T$16="Peculiar Velocity",POWER(Upgrades!$U$16,H181),1)*IF(Upgrades!$T$17="Peculiar Velocity",POWER(Upgrades!$U$17,I181),1)*IF(Upgrades!$T$18="Peculiar Velocity",POWER(Upgrades!$U$18,J181),1)*IF(Upgrades!$T$20="Peculiar Velocity",POWER(Upgrades!$U$20,L181),1)*IF(Upgrades!$T$21="Peculiar Velocity",POWER(Upgrades!$U$21,M181),1))+(IF(L181=0,0,(Upgrades!$M$20+L181*Upgrades!$N$20)*POWER(Upgrades!$O$20,L181)))*(IF(Upgrades!$T$13="Open Cluster",POWER(Upgrades!$U$13,E181),1)*IF(Upgrades!$T$14="Open Cluster",POWER(Upgrades!$U$14,F181),1)*IF(Upgrades!$T$15="Open Cluster",POWER(Upgrades!$U$15,G181),1)*IF(Upgrades!$T$16="Open Cluster",POWER(Upgrades!$U$16,H181),1)*IF(Upgrades!$T$17="Open Cluster",POWER(Upgrades!$U$17,I181),1)*IF(Upgrades!$T$18="Open Cluster",POWER(Upgrades!$U$18,J181),1)*IF(Upgrades!$T$19="Open Cluster",POWER(Upgrades!$U$19,K181),1)*IF(Upgrades!$T$21="Open Cluster",POWER(Upgrades!$U$21,M181),1))+(IF(M181=0,0,(Upgrades!$M$21+M181*Upgrades!$N$21)*POWER(Upgrades!$O$21,M181)))*(IF(Upgrades!$T$13="Moving Group",POWER(Upgrades!$U$13,E181),1)*IF(Upgrades!$T$14="Moving Group",POWER(Upgrades!$U$14,F181),1)*IF(Upgrades!$T$15="Moving Group",POWER(Upgrades!$U$15,G181),1)*IF(Upgrades!$T$16="Moving Group",POWER(Upgrades!$U$16,H181),1)*IF(Upgrades!$T$17="Moving Group",POWER(Upgrades!$U$17,I181),1)*IF(Upgrades!$T$18="Moving Group",POWER(Upgrades!$U$18,J181),1)*IF(Upgrades!$T$19="Moving Group",POWER(Upgrades!$U$19,K181),1)*IF(Upgrades!$T$20="Moving Group",POWER(Upgrades!$U$20,L181),1)))*POWER(Upgrades!$R$13,E181)*POWER(Upgrades!$R$14,F181)*POWER(Upgrades!$R$15,G181)*POWER(Upgrades!$R$16,H181)*POWER(Upgrades!$R$17,I181)*POWER(Upgrades!$R$18,J181)*POWER(Upgrades!$R$19,K181)*POWER(Upgrades!$R$20,L181)*POWER(Upgrades!$R$21,M181)*$H$6+$E$6</f>
        <v/>
      </c>
      <c r="R181" s="27">
        <f>IF(N181=1,0,O181*Parameters!$B$10/60*Parameters!$B$11*10)</f>
        <v/>
      </c>
      <c r="S181" s="27">
        <f>IF(N181=1,0,Q181*O181*10)</f>
        <v/>
      </c>
      <c r="T181" s="27">
        <f>IF(N181=1,0,R181+S181+P181*10)</f>
        <v/>
      </c>
      <c r="U181" s="33">
        <f>BE181</f>
        <v/>
      </c>
      <c r="V181" s="22">
        <f>IF(U181="",0,IF(U181="transition",0,IF(U181="SK",AK181,IF(U181="LB",AL181,IF(U181="ML",AM181,IF(U181="RLO",AN181,IF(U181="BD",AO181,IF(U181="BiP",AP181,IF(U181="PV",AQ181,IF(U181="OC",AR181,IF(U181="MG",AS181,0))))))))))</f>
        <v/>
      </c>
      <c r="W181" s="27">
        <f>IF(U181="BiP",Upgrades!$F$18,IF(U181="PV",Upgrades!$F$19,IF(U181="OC",Upgrades!$F$20,IF(U181="MG",Upgrades!$F$21,IF(U181="transition",-Parameters!$B$18*Parameters!$B$19,0)))))</f>
        <v/>
      </c>
      <c r="X181" s="22">
        <f>C181+T181-V181</f>
        <v/>
      </c>
      <c r="Y181" s="30">
        <f>O181*Parameters!$B$10/60*Parameters!$B$11+Q181*O181+P181</f>
        <v/>
      </c>
      <c r="Z181" s="34">
        <f>IF(U181="transition","→ Tier 3 (Galactic Arm)",IF(U181="MG","Moving Group — pocket drifts together",IF(U181="OC","Open Cluster acquired",IF(U181="PV","Peculiar Velocity — passive multiplier active",IF(U181="BiP","Binary Partner — pair bond formed",IF(AND(AU181=1,N181=0,AT181&lt;&gt;1),"Cohesion ready (waiting on completionists)","")))))) </f>
        <v/>
      </c>
      <c r="AA181" s="27">
        <f>(IF(E181=0,0,(Upgrades!$G$13+E181*Upgrades!$H$13)*POWER(Upgrades!$I$13,E181)))*(IF(Upgrades!$T$14="Stellar Kinematics",POWER(Upgrades!$U$14,F181),1)*IF(Upgrades!$T$15="Stellar Kinematics",POWER(Upgrades!$U$15,G181),1)*IF(Upgrades!$T$16="Stellar Kinematics",POWER(Upgrades!$U$16,H181),1)*IF(Upgrades!$T$17="Stellar Kinematics",POWER(Upgrades!$U$17,I181),1)*IF(Upgrades!$T$18="Stellar Kinematics",POWER(Upgrades!$U$18,J181),1)*IF(Upgrades!$T$19="Stellar Kinematics",POWER(Upgrades!$U$19,K181),1)*IF(Upgrades!$T$20="Stellar Kinematics",POWER(Upgrades!$U$20,L181),1)*IF(Upgrades!$T$21="Stellar Kinematics",POWER(Upgrades!$U$21,M181),1))*POWER(Upgrades!$P$13,E181)*POWER(Upgrades!$P$14,F181)*POWER(Upgrades!$P$15,G181)*POWER(Upgrades!$P$16,H181)*POWER(Upgrades!$P$17,I181)*POWER(Upgrades!$P$18,J181)*POWER(Upgrades!$P$19,K181)*POWER(Upgrades!$P$20,L181)*POWER(Upgrades!$P$21,M181)*$F$6*60</f>
        <v/>
      </c>
      <c r="AB181" s="27">
        <f>(IF(F181=0,0,(Upgrades!$G$14+F181*Upgrades!$H$14)*POWER(Upgrades!$I$14,F181)))*(IF(Upgrades!$T$13="Local Bubble",POWER(Upgrades!$U$13,E181),1)*IF(Upgrades!$T$15="Local Bubble",POWER(Upgrades!$U$15,G181),1)*IF(Upgrades!$T$16="Local Bubble",POWER(Upgrades!$U$16,H181),1)*IF(Upgrades!$T$17="Local Bubble",POWER(Upgrades!$U$17,I181),1)*IF(Upgrades!$T$18="Local Bubble",POWER(Upgrades!$U$18,J181),1)*IF(Upgrades!$T$19="Local Bubble",POWER(Upgrades!$U$19,K181),1)*IF(Upgrades!$T$20="Local Bubble",POWER(Upgrades!$U$20,L181),1)*IF(Upgrades!$T$21="Local Bubble",POWER(Upgrades!$U$21,M181),1))*POWER(Upgrades!$P$13,E181)*POWER(Upgrades!$P$14,F181)*POWER(Upgrades!$P$15,G181)*POWER(Upgrades!$P$16,H181)*POWER(Upgrades!$P$17,I181)*POWER(Upgrades!$P$18,J181)*POWER(Upgrades!$P$19,K181)*POWER(Upgrades!$P$20,L181)*POWER(Upgrades!$P$21,M181)*$F$6*60</f>
        <v/>
      </c>
      <c r="AC181" s="27">
        <f>(IF(G181=0,0,(Upgrades!$J$15+G181*Upgrades!$K$15)*POWER(Upgrades!$L$15,G181)))*(IF(Upgrades!$T$13="Microlensing",POWER(Upgrades!$U$13,E181),1)*IF(Upgrades!$T$14="Microlensing",POWER(Upgrades!$U$14,F181),1)*IF(Upgrades!$T$16="Microlensing",POWER(Upgrades!$U$16,H181),1)*IF(Upgrades!$T$17="Microlensing",POWER(Upgrades!$U$17,I181),1)*IF(Upgrades!$T$18="Microlensing",POWER(Upgrades!$U$18,J181),1)*IF(Upgrades!$T$19="Microlensing",POWER(Upgrades!$U$19,K181),1)*IF(Upgrades!$T$20="Microlensing",POWER(Upgrades!$U$20,L181),1)*IF(Upgrades!$T$21="Microlensing",POWER(Upgrades!$U$21,M181),1))*POWER(Upgrades!$Q$13,E181)*POWER(Upgrades!$Q$14,F181)*POWER(Upgrades!$Q$15,G181)*POWER(Upgrades!$Q$16,H181)*POWER(Upgrades!$Q$17,I181)*POWER(Upgrades!$Q$18,J181)*POWER(Upgrades!$Q$19,K181)*POWER(Upgrades!$Q$20,L181)*POWER(Upgrades!$Q$21,M181)*$G$6*(Parameters!$B$10*Parameters!$B$11+Q181*60)</f>
        <v/>
      </c>
      <c r="AD181" s="27">
        <f>(IF(H181=0,0,(Upgrades!$M$16+H181*Upgrades!$N$16)*POWER(Upgrades!$O$16,H181)))*(IF(Upgrades!$T$13="Roche Lobe Overflow",POWER(Upgrades!$U$13,E181),1)*IF(Upgrades!$T$14="Roche Lobe Overflow",POWER(Upgrades!$U$14,F181),1)*IF(Upgrades!$T$15="Roche Lobe Overflow",POWER(Upgrades!$U$15,G181),1)*IF(Upgrades!$T$17="Roche Lobe Overflow",POWER(Upgrades!$U$17,I181),1)*IF(Upgrades!$T$18="Roche Lobe Overflow",POWER(Upgrades!$U$18,J181),1)*IF(Upgrades!$T$19="Roche Lobe Overflow",POWER(Upgrades!$U$19,K181),1)*IF(Upgrades!$T$20="Roche Lobe Overflow",POWER(Upgrades!$U$20,L181),1)*IF(Upgrades!$T$21="Roche Lobe Overflow",POWER(Upgrades!$U$21,M181),1))*POWER(Upgrades!$R$13,E181)*POWER(Upgrades!$R$14,F181)*POWER(Upgrades!$R$15,G181)*POWER(Upgrades!$R$16,H181)*POWER(Upgrades!$R$17,I181)*POWER(Upgrades!$R$18,J181)*POWER(Upgrades!$R$19,K181)*POWER(Upgrades!$R$20,L181)*POWER(Upgrades!$R$21,M181)*$H$6*O181*60</f>
        <v/>
      </c>
      <c r="AE181" s="27">
        <f>(IF(I181=0,0,(Upgrades!$G$17+I181*Upgrades!$H$17)*POWER(Upgrades!$I$17,I181)))*(IF(Upgrades!$T$13="Brown Dwarf",POWER(Upgrades!$U$13,E181),1)*IF(Upgrades!$T$14="Brown Dwarf",POWER(Upgrades!$U$14,F181),1)*IF(Upgrades!$T$15="Brown Dwarf",POWER(Upgrades!$U$15,G181),1)*IF(Upgrades!$T$16="Brown Dwarf",POWER(Upgrades!$U$16,H181),1)*IF(Upgrades!$T$18="Brown Dwarf",POWER(Upgrades!$U$18,J181),1)*IF(Upgrades!$T$19="Brown Dwarf",POWER(Upgrades!$U$19,K181),1)*IF(Upgrades!$T$20="Brown Dwarf",POWER(Upgrades!$U$20,L181),1)*IF(Upgrades!$T$21="Brown Dwarf",POWER(Upgrades!$U$21,M181),1))*POWER(Upgrades!$P$13,E181)*POWER(Upgrades!$P$14,F181)*POWER(Upgrades!$P$15,G181)*POWER(Upgrades!$P$16,H181)*POWER(Upgrades!$P$17,I181)*POWER(Upgrades!$P$18,J181)*POWER(Upgrades!$P$19,K181)*POWER(Upgrades!$P$20,L181)*POWER(Upgrades!$P$21,M181)*$F$6*60</f>
        <v/>
      </c>
      <c r="AF181" s="27" t="n">
        <v>0</v>
      </c>
      <c r="AG181" s="27" t="n">
        <v>0</v>
      </c>
      <c r="AH181" s="27" t="n">
        <v>0</v>
      </c>
      <c r="AI181" s="27">
        <f>(IF(M181=0,0,(Upgrades!$G$21+M181*Upgrades!$H$21)*POWER(Upgrades!$I$21,M181)))*(IF(Upgrades!$T$13="Moving Group",POWER(Upgrades!$U$13,E181),1)*IF(Upgrades!$T$14="Moving Group",POWER(Upgrades!$U$14,F181),1)*IF(Upgrades!$T$15="Moving Group",POWER(Upgrades!$U$15,G181),1)*IF(Upgrades!$T$16="Moving Group",POWER(Upgrades!$U$16,H181),1)*IF(Upgrades!$T$17="Moving Group",POWER(Upgrades!$U$17,I181),1)*IF(Upgrades!$T$18="Moving Group",POWER(Upgrades!$U$18,J181),1)*IF(Upgrades!$T$19="Moving Group",POWER(Upgrades!$U$19,K181),1)*IF(Upgrades!$T$20="Moving Group",POWER(Upgrades!$U$20,L181),1))*POWER(Upgrades!$P$13,E181)*POWER(Upgrades!$P$14,F181)*POWER(Upgrades!$P$15,G181)*POWER(Upgrades!$P$16,H181)*POWER(Upgrades!$P$17,I181)*POWER(Upgrades!$P$18,J181)*POWER(Upgrades!$P$19,K181)*POWER(Upgrades!$P$20,L181)*POWER(Upgrades!$P$21,M181)*$F$6*60</f>
        <v/>
      </c>
      <c r="AJ181" s="27">
        <f>$C$6*60</f>
        <v/>
      </c>
      <c r="AK181" s="22">
        <f>IF(E181&gt;=Upgrades!$E$13,"",Upgrades!$C$13*POWER(Upgrades!$D$13,E181))</f>
        <v/>
      </c>
      <c r="AL181" s="22">
        <f>IF(F181&gt;=Upgrades!$E$14,"",Upgrades!$C$14*POWER(Upgrades!$D$14,F181))</f>
        <v/>
      </c>
      <c r="AM181" s="22">
        <f>IF(G181&gt;=Upgrades!$E$15,"",Upgrades!$C$15*POWER(Upgrades!$D$15,G181))</f>
        <v/>
      </c>
      <c r="AN181" s="22">
        <f>IF(H181&gt;=Upgrades!$E$16,"",Upgrades!$C$16*POWER(Upgrades!$D$16,H181))</f>
        <v/>
      </c>
      <c r="AO181" s="22">
        <f>IF(I181&gt;=Upgrades!$E$17,"",Upgrades!$C$17*POWER(Upgrades!$D$17,I181))</f>
        <v/>
      </c>
      <c r="AP181" s="22">
        <f>IF(J181&gt;=Upgrades!$E$18,"",Upgrades!$C$18*POWER(Upgrades!$D$18,J181))</f>
        <v/>
      </c>
      <c r="AQ181" s="22">
        <f>IF(K181&gt;=Upgrades!$E$19,"",Upgrades!$C$19*POWER(Upgrades!$D$19,K181))</f>
        <v/>
      </c>
      <c r="AR181" s="22">
        <f>IF(L181&gt;=Upgrades!$E$20,"",Upgrades!$C$20*POWER(Upgrades!$D$20,L181))</f>
        <v/>
      </c>
      <c r="AS181" s="22">
        <f>IF(M181&gt;=Upgrades!$E$21,"",Upgrades!$C$21*POWER(Upgrades!$D$21,M181))</f>
        <v/>
      </c>
      <c r="AT181" s="26">
        <f>IF(AND(D181&gt;=Parameters!$B$18*Parameters!$B$19,(I181&gt;=Upgrades!$E$17)*(M181&gt;=Upgrades!$E$21)=1,N181=0),1,"")</f>
        <v/>
      </c>
      <c r="AU181" s="26">
        <f>IF(AND(D181&gt;=Parameters!$B$18*Parameters!$B$19,N181=0),1,"")</f>
        <v/>
      </c>
      <c r="AV181" s="22">
        <f>MIN(IF(ISNUMBER(AP181),AP181,9E15),IF(ISNUMBER(AQ181),AQ181,9E15),IF(ISNUMBER(AR181),AR181,9E15),IF(ISNUMBER(AS181),AS181,9E15))</f>
        <v/>
      </c>
      <c r="AW181" s="22">
        <f>MIN(IF(ISNUMBER(AK181),AK181,9E15),IF(ISNUMBER(AL181),AL181,9E15),IF(ISNUMBER(AM181),AM181,9E15),IF(ISNUMBER(AN181),AN181,9E15),IF(ISNUMBER(AO181),AO181,9E15))</f>
        <v/>
      </c>
      <c r="AX181" s="29">
        <f>IF(BD181&gt;Parameters!$B$21*(MAX(IF(AND(NOT(AND(AU181=1,AT181&lt;&gt;1)),ISNUMBER(AK181),AK181&lt;=(C181+T181)),AY181,0),IF(AND(NOT(AND(AU181=1,AT181&lt;&gt;1)),ISNUMBER(AL181),AL181&lt;=(C181+T181)),AZ181,0),IF(AND(NOT(AND(AU181=1,AT181&lt;&gt;1)),ISNUMBER(AM181),AM181&lt;=(C181+T181)),BA181,0),IF(AND(NOT(AND(AU181=1,AT181&lt;&gt;1)),ISNUMBER(AN181),AN181&lt;=(C181+T181)),BB181,0),IF(AND(ISNUMBER(AO181),AO181&lt;=(C181+T181)),BC181,0))),TRUE,FALSE)</f>
        <v/>
      </c>
      <c r="AY181" s="32">
        <f>IFERROR(Upgrades!$H$13*(POWER(Upgrades!$P$13,E181)*POWER(Upgrades!$P$14,F181)*POWER(Upgrades!$P$15,G181)*POWER(Upgrades!$P$16,H181)*POWER(Upgrades!$P$17,I181)*POWER(Upgrades!$P$18,J181)*POWER(Upgrades!$P$19,K181)*POWER(Upgrades!$P$20,L181)*POWER(Upgrades!$P$21,M181))*(IF(Upgrades!$T$14="Stellar Kinematics",POWER(Upgrades!$U$14,F181),1)*IF(Upgrades!$T$15="Stellar Kinematics",POWER(Upgrades!$U$15,G181),1)*IF(Upgrades!$T$16="Stellar Kinematics",POWER(Upgrades!$U$16,H181),1)*IF(Upgrades!$T$17="Stellar Kinematics",POWER(Upgrades!$U$17,I181),1)*IF(Upgrades!$T$18="Stellar Kinematics",POWER(Upgrades!$U$18,J181),1)*IF(Upgrades!$T$19="Stellar Kinematics",POWER(Upgrades!$U$19,K181),1)*IF(Upgrades!$T$20="Stellar Kinematics",POWER(Upgrades!$U$20,L181),1)*IF(Upgrades!$T$21="Stellar Kinematics",POWER(Upgrades!$U$21,M181),1))*$F$6/AK181,0)</f>
        <v/>
      </c>
      <c r="AZ181" s="32">
        <f>IFERROR(Upgrades!$H$14*(POWER(Upgrades!$P$13,E181)*POWER(Upgrades!$P$14,F181)*POWER(Upgrades!$P$15,G181)*POWER(Upgrades!$P$16,H181)*POWER(Upgrades!$P$17,I181)*POWER(Upgrades!$P$18,J181)*POWER(Upgrades!$P$19,K181)*POWER(Upgrades!$P$20,L181)*POWER(Upgrades!$P$21,M181))*(IF(Upgrades!$T$13="Local Bubble",POWER(Upgrades!$U$13,E181),1)*IF(Upgrades!$T$15="Local Bubble",POWER(Upgrades!$U$15,G181),1)*IF(Upgrades!$T$16="Local Bubble",POWER(Upgrades!$U$16,H181),1)*IF(Upgrades!$T$17="Local Bubble",POWER(Upgrades!$U$17,I181),1)*IF(Upgrades!$T$18="Local Bubble",POWER(Upgrades!$U$18,J181),1)*IF(Upgrades!$T$19="Local Bubble",POWER(Upgrades!$U$19,K181),1)*IF(Upgrades!$T$20="Local Bubble",POWER(Upgrades!$U$20,L181),1)*IF(Upgrades!$T$21="Local Bubble",POWER(Upgrades!$U$21,M181),1))*$F$6/AL181,0)</f>
        <v/>
      </c>
      <c r="BA181" s="32">
        <f>IFERROR(Upgrades!$K$15*(POWER(Upgrades!$Q$13,E181)*POWER(Upgrades!$Q$14,F181)*POWER(Upgrades!$Q$15,G181)*POWER(Upgrades!$Q$16,H181)*POWER(Upgrades!$Q$17,I181)*POWER(Upgrades!$Q$18,J181)*POWER(Upgrades!$Q$19,K181)*POWER(Upgrades!$Q$20,L181)*POWER(Upgrades!$Q$21,M181))*(IF(Upgrades!$T$13="Microlensing",POWER(Upgrades!$U$13,E181),1)*IF(Upgrades!$T$14="Microlensing",POWER(Upgrades!$U$14,F181),1)*IF(Upgrades!$T$16="Microlensing",POWER(Upgrades!$U$16,H181),1)*IF(Upgrades!$T$17="Microlensing",POWER(Upgrades!$U$17,I181),1)*IF(Upgrades!$T$18="Microlensing",POWER(Upgrades!$U$18,J181),1)*IF(Upgrades!$T$19="Microlensing",POWER(Upgrades!$U$19,K181),1)*IF(Upgrades!$T$20="Microlensing",POWER(Upgrades!$U$20,L181),1)*IF(Upgrades!$T$21="Microlensing",POWER(Upgrades!$U$21,M181),1))*$G$6*(Parameters!$B$10/60*Parameters!$B$11+Q181)/AM181,0)</f>
        <v/>
      </c>
      <c r="BB181" s="32">
        <f>IFERROR((Upgrades!$N$16*(POWER(Upgrades!$R$13,E181)*POWER(Upgrades!$R$14,F181)*POWER(Upgrades!$R$15,G181)*POWER(Upgrades!$R$16,H181)*POWER(Upgrades!$R$17,I181)*POWER(Upgrades!$R$18,J181)*POWER(Upgrades!$R$19,K181)*POWER(Upgrades!$R$20,L181)*POWER(Upgrades!$R$21,M181))*(IF(Upgrades!$T$13="Roche Lobe Overflow",POWER(Upgrades!$U$13,E181),1)*IF(Upgrades!$T$14="Roche Lobe Overflow",POWER(Upgrades!$U$14,F181),1)*IF(Upgrades!$T$15="Roche Lobe Overflow",POWER(Upgrades!$U$15,G181),1)*IF(Upgrades!$T$17="Roche Lobe Overflow",POWER(Upgrades!$U$17,I181),1)*IF(Upgrades!$T$18="Roche Lobe Overflow",POWER(Upgrades!$U$18,J181),1)*IF(Upgrades!$T$19="Roche Lobe Overflow",POWER(Upgrades!$U$19,K181),1)*IF(Upgrades!$T$20="Roche Lobe Overflow",POWER(Upgrades!$U$20,L181),1)*IF(Upgrades!$T$21="Roche Lobe Overflow",POWER(Upgrades!$U$21,M181),1))*$H$6*O181+((IF(F181=0,0,(Upgrades!$G$14+F181*Upgrades!$H$14)*POWER(Upgrades!$I$14,F181)))*(IF(Upgrades!$T$13="Local Bubble",POWER(Upgrades!$U$13,E181),1)*IF(Upgrades!$T$15="Local Bubble",POWER(Upgrades!$U$15,G181),1)*IF(Upgrades!$T$16="Local Bubble",POWER(Upgrades!$U$16,H181),1)*IF(Upgrades!$T$17="Local Bubble",POWER(Upgrades!$U$17,I181),1)*IF(Upgrades!$T$18="Local Bubble",POWER(Upgrades!$U$18,J181),1)*IF(Upgrades!$T$19="Local Bubble",POWER(Upgrades!$U$19,K181),1)*IF(Upgrades!$T$20="Local Bubble",POWER(Upgrades!$U$20,L181),1)*IF(Upgrades!$T$21="Local Bubble",POWER(Upgrades!$U$21,M181),1))*POWER(Upgrades!$P$13,E181)*POWER(Upgrades!$P$14,F181)*POWER(Upgrades!$P$15,G181)*POWER(Upgrades!$P$16,H181)*POWER(Upgrades!$P$17,I181)*POWER(Upgrades!$P$18,J181)*POWER(Upgrades!$P$19,K181)*POWER(Upgrades!$P$20,L181)*POWER(Upgrades!$P$21,M181)*$F$6)*0.05)/AN181,0)</f>
        <v/>
      </c>
      <c r="BC181" s="32">
        <f>IFERROR((Upgrades!$H$17*(POWER(Upgrades!$P$13,E181)*POWER(Upgrades!$P$14,F181)*POWER(Upgrades!$P$15,G181)*POWER(Upgrades!$P$16,H181)*POWER(Upgrades!$P$17,I181)*POWER(Upgrades!$P$18,J181)*POWER(Upgrades!$P$19,K181)*POWER(Upgrades!$P$20,L181)*POWER(Upgrades!$P$21,M181))*(IF(Upgrades!$T$13="Brown Dwarf",POWER(Upgrades!$U$13,E181),1)*IF(Upgrades!$T$14="Brown Dwarf",POWER(Upgrades!$U$14,F181),1)*IF(Upgrades!$T$15="Brown Dwarf",POWER(Upgrades!$U$15,G181),1)*IF(Upgrades!$T$16="Brown Dwarf",POWER(Upgrades!$U$16,H181),1)*IF(Upgrades!$T$18="Brown Dwarf",POWER(Upgrades!$U$18,J181),1)*IF(Upgrades!$T$19="Brown Dwarf",POWER(Upgrades!$U$19,K181),1)*IF(Upgrades!$T$20="Brown Dwarf",POWER(Upgrades!$U$20,L181),1)*IF(Upgrades!$T$21="Brown Dwarf",POWER(Upgrades!$U$21,M181),1))*$F$6+(((IF(H181=0,0,(Upgrades!$M$16+H181*Upgrades!$N$16)*POWER(Upgrades!$O$16,H181)))*(IF(Upgrades!$T$13="Roche Lobe Overflow",POWER(Upgrades!$U$13,E181),1)*IF(Upgrades!$T$14="Roche Lobe Overflow",POWER(Upgrades!$U$14,F181),1)*IF(Upgrades!$T$15="Roche Lobe Overflow",POWER(Upgrades!$U$15,G181),1)*IF(Upgrades!$T$17="Roche Lobe Overflow",POWER(Upgrades!$U$17,I181),1)*IF(Upgrades!$T$18="Roche Lobe Overflow",POWER(Upgrades!$U$18,J181),1)*IF(Upgrades!$T$19="Roche Lobe Overflow",POWER(Upgrades!$U$19,K181),1)*IF(Upgrades!$T$20="Roche Lobe Overflow",POWER(Upgrades!$U$20,L181),1)*IF(Upgrades!$T$21="Roche Lobe Overflow",POWER(Upgrades!$U$21,M181),1))*POWER(Upgrades!$R$13,E181)*POWER(Upgrades!$R$14,F181)*POWER(Upgrades!$R$15,G181)*POWER(Upgrades!$R$16,H181)*POWER(Upgrades!$R$17,I181)*POWER(Upgrades!$R$18,J181)*POWER(Upgrades!$R$19,K181)*POWER(Upgrades!$R$20,L181)*POWER(Upgrades!$R$21,M181)*$H$6)*O181)*0.10)/AO181,0)</f>
        <v/>
      </c>
      <c r="BD181" s="32">
        <f>MAX(IF(J181&gt;0,0,IFERROR(0.5*((IF(G181=0,0,(Upgrades!$J$15+G181*Upgrades!$K$15)*POWER(Upgrades!$L$15,G181)))*(IF(Upgrades!$T$13="Microlensing",POWER(Upgrades!$U$13,E181),1)*IF(Upgrades!$T$14="Microlensing",POWER(Upgrades!$U$14,F181),1)*IF(Upgrades!$T$16="Microlensing",POWER(Upgrades!$U$16,H181),1)*IF(Upgrades!$T$17="Microlensing",POWER(Upgrades!$U$17,I181),1)*IF(Upgrades!$T$18="Microlensing",POWER(Upgrades!$U$18,J181),1)*IF(Upgrades!$T$19="Microlensing",POWER(Upgrades!$U$19,K181),1)*IF(Upgrades!$T$20="Microlensing",POWER(Upgrades!$U$20,L181),1)*IF(Upgrades!$T$21="Microlensing",POWER(Upgrades!$U$21,M181),1))*(POWER(Upgrades!$Q$13,E181)*POWER(Upgrades!$Q$14,F181)*POWER(Upgrades!$Q$15,G181)*POWER(Upgrades!$Q$16,H181)*POWER(Upgrades!$Q$17,I181)*POWER(Upgrades!$Q$18,J181)*POWER(Upgrades!$Q$19,K181)*POWER(Upgrades!$Q$20,L181)*POWER(Upgrades!$Q$21,M181))*$G$6*(Parameters!$B$10/60*Parameters!$B$11+Q181))/Upgrades!$C$18,0)),IF(K181&gt;0,0,IFERROR(0.30*P181/Upgrades!$C$19,0)),IF(L181&gt;0,0,IFERROR(0.0001/Upgrades!$C$20,0)),IF(M181&gt;0,0,IFERROR((6.0*(POWER(Upgrades!$P$13,E181)*POWER(Upgrades!$P$14,F181)*POWER(Upgrades!$P$15,G181)*POWER(Upgrades!$P$16,H181)*POWER(Upgrades!$P$17,I181)*POWER(Upgrades!$P$18,J181)*POWER(Upgrades!$P$19,K181)*POWER(Upgrades!$P$20,L181)*POWER(Upgrades!$P$21,M181))*$F$6+0.20*O181*(Parameters!$B$10/60*Parameters!$B$11+Q181))/Upgrades!$C$21,0)),IF(AND(ISNUMBER(AK181),AK181&gt;(C181+T181)),AY181,0),IF(AND(ISNUMBER(AL181),AL181&gt;(C181+T181)),AZ181,0),IF(AND(ISNUMBER(AM181),AM181&gt;(C181+T181)),BA181,0),IF(AND(ISNUMBER(AN181),AN181&gt;(C181+T181)),BB181,0),IF(AND(ISNUMBER(AO181),AO181&gt;(C181+T181)),BC181,0))</f>
        <v/>
      </c>
      <c r="BE181" s="29">
        <f>IF(AT181=1,"transition",IF(MIN(IF(AND(J181=0,ISNUMBER(AP181),AP181&lt;=(C181+T181)),AP181,9E15),IF(AND(K181=0,ISNUMBER(AQ181),AQ181&lt;=(C181+T181)),AQ181,9E15),IF(AND(L181=0,ISNUMBER(AR181),AR181&lt;=(C181+T181)),AR181,9E15),IF(AND(M181=0,ISNUMBER(AS181),AS181&lt;=(C181+T181)),AS181,9E15))&lt;9E15,IF(AND(AND(J181=0,ISNUMBER(AP181),AP181&lt;=(C181+T181)),AP181=MIN(IF(AND(J181=0,ISNUMBER(AP181),AP181&lt;=(C181+T181)),AP181,9E15),IF(AND(K181=0,ISNUMBER(AQ181),AQ181&lt;=(C181+T181)),AQ181,9E15),IF(AND(L181=0,ISNUMBER(AR181),AR181&lt;=(C181+T181)),AR181,9E15),IF(AND(M181=0,ISNUMBER(AS181),AS181&lt;=(C181+T181)),AS181,9E15))),"BiP",IF(AND(AND(K181=0,ISNUMBER(AQ181),AQ181&lt;=(C181+T181)),AQ181=MIN(IF(AND(J181=0,ISNUMBER(AP181),AP181&lt;=(C181+T181)),AP181,9E15),IF(AND(K181=0,ISNUMBER(AQ181),AQ181&lt;=(C181+T181)),AQ181,9E15),IF(AND(L181=0,ISNUMBER(AR181),AR181&lt;=(C181+T181)),AR181,9E15),IF(AND(M181=0,ISNUMBER(AS181),AS181&lt;=(C181+T181)),AS181,9E15))),"PV",IF(AND(AND(L181=0,ISNUMBER(AR181),AR181&lt;=(C181+T181)),AR181=MIN(IF(AND(J181=0,ISNUMBER(AP181),AP181&lt;=(C181+T181)),AP181,9E15),IF(AND(K181=0,ISNUMBER(AQ181),AQ181&lt;=(C181+T181)),AQ181,9E15),IF(AND(L181=0,ISNUMBER(AR181),AR181&lt;=(C181+T181)),AR181,9E15),IF(AND(M181=0,ISNUMBER(AS181),AS181&lt;=(C181+T181)),AS181,9E15))),"OC","MG"))),IF(AX181=TRUE,"",IF(MAX(IF(AND(NOT(AND(AU181=1,AT181&lt;&gt;1)),ISNUMBER(AK181),AK181&lt;=(C181+T181)),AY181,0),IF(AND(NOT(AND(AU181=1,AT181&lt;&gt;1)),ISNUMBER(AL181),AL181&lt;=(C181+T181)),AZ181,0),IF(AND(NOT(AND(AU181=1,AT181&lt;&gt;1)),ISNUMBER(AM181),AM181&lt;=(C181+T181)),BA181,0),IF(AND(NOT(AND(AU181=1,AT181&lt;&gt;1)),ISNUMBER(AN181),AN181&lt;=(C181+T181)),BB181,0),IF(AND(ISNUMBER(AO181),AO181&lt;=(C181+T181)),BC181,0))&lt;=0,"",IF(AND(IF(AND(NOT(AND(AU181=1,AT181&lt;&gt;1)),ISNUMBER(AK181),AK181&lt;=(C181+T181)),AY181,0)&gt;0,IF(AND(NOT(AND(AU181=1,AT181&lt;&gt;1)),ISNUMBER(AK181),AK181&lt;=(C181+T181)),AY181,0)=MAX(IF(AND(NOT(AND(AU181=1,AT181&lt;&gt;1)),ISNUMBER(AK181),AK181&lt;=(C181+T181)),AY181,0),IF(AND(NOT(AND(AU181=1,AT181&lt;&gt;1)),ISNUMBER(AL181),AL181&lt;=(C181+T181)),AZ181,0),IF(AND(NOT(AND(AU181=1,AT181&lt;&gt;1)),ISNUMBER(AM181),AM181&lt;=(C181+T181)),BA181,0),IF(AND(NOT(AND(AU181=1,AT181&lt;&gt;1)),ISNUMBER(AN181),AN181&lt;=(C181+T181)),BB181,0),IF(AND(ISNUMBER(AO181),AO181&lt;=(C181+T181)),BC181,0))),"SK",IF(AND(IF(AND(NOT(AND(AU181=1,AT181&lt;&gt;1)),ISNUMBER(AL181),AL181&lt;=(C181+T181)),AZ181,0)&gt;0,IF(AND(NOT(AND(AU181=1,AT181&lt;&gt;1)),ISNUMBER(AL181),AL181&lt;=(C181+T181)),AZ181,0)=MAX(IF(AND(NOT(AND(AU181=1,AT181&lt;&gt;1)),ISNUMBER(AK181),AK181&lt;=(C181+T181)),AY181,0),IF(AND(NOT(AND(AU181=1,AT181&lt;&gt;1)),ISNUMBER(AL181),AL181&lt;=(C181+T181)),AZ181,0),IF(AND(NOT(AND(AU181=1,AT181&lt;&gt;1)),ISNUMBER(AM181),AM181&lt;=(C181+T181)),BA181,0),IF(AND(NOT(AND(AU181=1,AT181&lt;&gt;1)),ISNUMBER(AN181),AN181&lt;=(C181+T181)),BB181,0),IF(AND(ISNUMBER(AO181),AO181&lt;=(C181+T181)),BC181,0))),"LB",IF(AND(IF(AND(NOT(AND(AU181=1,AT181&lt;&gt;1)),ISNUMBER(AM181),AM181&lt;=(C181+T181)),BA181,0)&gt;0,IF(AND(NOT(AND(AU181=1,AT181&lt;&gt;1)),ISNUMBER(AM181),AM181&lt;=(C181+T181)),BA181,0)=MAX(IF(AND(NOT(AND(AU181=1,AT181&lt;&gt;1)),ISNUMBER(AK181),AK181&lt;=(C181+T181)),AY181,0),IF(AND(NOT(AND(AU181=1,AT181&lt;&gt;1)),ISNUMBER(AL181),AL181&lt;=(C181+T181)),AZ181,0),IF(AND(NOT(AND(AU181=1,AT181&lt;&gt;1)),ISNUMBER(AM181),AM181&lt;=(C181+T181)),BA181,0),IF(AND(NOT(AND(AU181=1,AT181&lt;&gt;1)),ISNUMBER(AN181),AN181&lt;=(C181+T181)),BB181,0),IF(AND(ISNUMBER(AO181),AO181&lt;=(C181+T181)),BC181,0))),"ML",IF(AND(IF(AND(NOT(AND(AU181=1,AT181&lt;&gt;1)),ISNUMBER(AN181),AN181&lt;=(C181+T181)),BB181,0)&gt;0,IF(AND(NOT(AND(AU181=1,AT181&lt;&gt;1)),ISNUMBER(AN181),AN181&lt;=(C181+T181)),BB181,0)=MAX(IF(AND(NOT(AND(AU181=1,AT181&lt;&gt;1)),ISNUMBER(AK181),AK181&lt;=(C181+T181)),AY181,0),IF(AND(NOT(AND(AU181=1,AT181&lt;&gt;1)),ISNUMBER(AL181),AL181&lt;=(C181+T181)),AZ181,0),IF(AND(NOT(AND(AU181=1,AT181&lt;&gt;1)),ISNUMBER(AM181),AM181&lt;=(C181+T181)),BA181,0),IF(AND(NOT(AND(AU181=1,AT181&lt;&gt;1)),ISNUMBER(AN181),AN181&lt;=(C181+T181)),BB181,0),IF(AND(ISNUMBER(AO181),AO181&lt;=(C181+T181)),BC181,0))),"RLO","BD"))))))))</f>
        <v/>
      </c>
    </row>
    <row r="182">
      <c r="A182" s="26" t="n">
        <v>171</v>
      </c>
      <c r="B182" s="27">
        <f>A182*10/60</f>
        <v/>
      </c>
      <c r="C182" s="22">
        <f>X181</f>
        <v/>
      </c>
      <c r="D182" s="27">
        <f>D181+W181</f>
        <v/>
      </c>
      <c r="E182" s="26">
        <f>E181+IF(U181="SK",1,0)</f>
        <v/>
      </c>
      <c r="F182" s="26">
        <f>F181+IF(U181="LB",1,0)</f>
        <v/>
      </c>
      <c r="G182" s="26">
        <f>G181+IF(U181="ML",1,0)</f>
        <v/>
      </c>
      <c r="H182" s="26">
        <f>H181+IF(U181="RLO",1,0)</f>
        <v/>
      </c>
      <c r="I182" s="26">
        <f>I181+IF(U181="BD",1,0)</f>
        <v/>
      </c>
      <c r="J182" s="26">
        <f>MAX(J181,IF(U181="BiP",1,0))</f>
        <v/>
      </c>
      <c r="K182" s="26">
        <f>MAX(K181,IF(U181="PV",1,0))</f>
        <v/>
      </c>
      <c r="L182" s="26">
        <f>MAX(L181,IF(U181="OC",1,0))</f>
        <v/>
      </c>
      <c r="M182" s="26">
        <f>MAX(M181,IF(U181="MG",1,0))</f>
        <v/>
      </c>
      <c r="N182" s="26">
        <f>MAX(N181,IF(U181="transition",1,0))</f>
        <v/>
      </c>
      <c r="O182" s="28">
        <f>(Parameters!$B$9+(IF(E182=0,0,(Upgrades!$J$13+E182*Upgrades!$K$13)*POWER(Upgrades!$L$13,E182)))*(IF(Upgrades!$T$14="Stellar Kinematics",POWER(Upgrades!$U$14,F182),1)*IF(Upgrades!$T$15="Stellar Kinematics",POWER(Upgrades!$U$15,G182),1)*IF(Upgrades!$T$16="Stellar Kinematics",POWER(Upgrades!$U$16,H182),1)*IF(Upgrades!$T$17="Stellar Kinematics",POWER(Upgrades!$U$17,I182),1)*IF(Upgrades!$T$18="Stellar Kinematics",POWER(Upgrades!$U$18,J182),1)*IF(Upgrades!$T$19="Stellar Kinematics",POWER(Upgrades!$U$19,K182),1)*IF(Upgrades!$T$20="Stellar Kinematics",POWER(Upgrades!$U$20,L182),1)*IF(Upgrades!$T$21="Stellar Kinematics",POWER(Upgrades!$U$21,M182),1))+(IF(F182=0,0,(Upgrades!$J$14+F182*Upgrades!$K$14)*POWER(Upgrades!$L$14,F182)))*(IF(Upgrades!$T$13="Local Bubble",POWER(Upgrades!$U$13,E182),1)*IF(Upgrades!$T$15="Local Bubble",POWER(Upgrades!$U$15,G182),1)*IF(Upgrades!$T$16="Local Bubble",POWER(Upgrades!$U$16,H182),1)*IF(Upgrades!$T$17="Local Bubble",POWER(Upgrades!$U$17,I182),1)*IF(Upgrades!$T$18="Local Bubble",POWER(Upgrades!$U$18,J182),1)*IF(Upgrades!$T$19="Local Bubble",POWER(Upgrades!$U$19,K182),1)*IF(Upgrades!$T$20="Local Bubble",POWER(Upgrades!$U$20,L182),1)*IF(Upgrades!$T$21="Local Bubble",POWER(Upgrades!$U$21,M182),1))+(IF(G182=0,0,(Upgrades!$J$15+G182*Upgrades!$K$15)*POWER(Upgrades!$L$15,G182)))*(IF(Upgrades!$T$13="Microlensing",POWER(Upgrades!$U$13,E182),1)*IF(Upgrades!$T$14="Microlensing",POWER(Upgrades!$U$14,F182),1)*IF(Upgrades!$T$16="Microlensing",POWER(Upgrades!$U$16,H182),1)*IF(Upgrades!$T$17="Microlensing",POWER(Upgrades!$U$17,I182),1)*IF(Upgrades!$T$18="Microlensing",POWER(Upgrades!$U$18,J182),1)*IF(Upgrades!$T$19="Microlensing",POWER(Upgrades!$U$19,K182),1)*IF(Upgrades!$T$20="Microlensing",POWER(Upgrades!$U$20,L182),1)*IF(Upgrades!$T$21="Microlensing",POWER(Upgrades!$U$21,M182),1))+(IF(H182=0,0,(Upgrades!$J$16+H182*Upgrades!$K$16)*POWER(Upgrades!$L$16,H182)))*(IF(Upgrades!$T$13="Roche Lobe Overflow",POWER(Upgrades!$U$13,E182),1)*IF(Upgrades!$T$14="Roche Lobe Overflow",POWER(Upgrades!$U$14,F182),1)*IF(Upgrades!$T$15="Roche Lobe Overflow",POWER(Upgrades!$U$15,G182),1)*IF(Upgrades!$T$17="Roche Lobe Overflow",POWER(Upgrades!$U$17,I182),1)*IF(Upgrades!$T$18="Roche Lobe Overflow",POWER(Upgrades!$U$18,J182),1)*IF(Upgrades!$T$19="Roche Lobe Overflow",POWER(Upgrades!$U$19,K182),1)*IF(Upgrades!$T$20="Roche Lobe Overflow",POWER(Upgrades!$U$20,L182),1)*IF(Upgrades!$T$21="Roche Lobe Overflow",POWER(Upgrades!$U$21,M182),1))+(IF(I182=0,0,(Upgrades!$J$17+I182*Upgrades!$K$17)*POWER(Upgrades!$L$17,I182)))*(IF(Upgrades!$T$13="Brown Dwarf",POWER(Upgrades!$U$13,E182),1)*IF(Upgrades!$T$14="Brown Dwarf",POWER(Upgrades!$U$14,F182),1)*IF(Upgrades!$T$15="Brown Dwarf",POWER(Upgrades!$U$15,G182),1)*IF(Upgrades!$T$16="Brown Dwarf",POWER(Upgrades!$U$16,H182),1)*IF(Upgrades!$T$18="Brown Dwarf",POWER(Upgrades!$U$18,J182),1)*IF(Upgrades!$T$19="Brown Dwarf",POWER(Upgrades!$U$19,K182),1)*IF(Upgrades!$T$20="Brown Dwarf",POWER(Upgrades!$U$20,L182),1)*IF(Upgrades!$T$21="Brown Dwarf",POWER(Upgrades!$U$21,M182),1))+(IF(J182=0,0,(Upgrades!$J$18+J182*Upgrades!$K$18)*POWER(Upgrades!$L$18,J182)))*(IF(Upgrades!$T$13="Binary Partner",POWER(Upgrades!$U$13,E182),1)*IF(Upgrades!$T$14="Binary Partner",POWER(Upgrades!$U$14,F182),1)*IF(Upgrades!$T$15="Binary Partner",POWER(Upgrades!$U$15,G182),1)*IF(Upgrades!$T$16="Binary Partner",POWER(Upgrades!$U$16,H182),1)*IF(Upgrades!$T$17="Binary Partner",POWER(Upgrades!$U$17,I182),1)*IF(Upgrades!$T$19="Binary Partner",POWER(Upgrades!$U$19,K182),1)*IF(Upgrades!$T$20="Binary Partner",POWER(Upgrades!$U$20,L182),1)*IF(Upgrades!$T$21="Binary Partner",POWER(Upgrades!$U$21,M182),1))+(IF(K182=0,0,(Upgrades!$J$19+K182*Upgrades!$K$19)*POWER(Upgrades!$L$19,K182)))*(IF(Upgrades!$T$13="Peculiar Velocity",POWER(Upgrades!$U$13,E182),1)*IF(Upgrades!$T$14="Peculiar Velocity",POWER(Upgrades!$U$14,F182),1)*IF(Upgrades!$T$15="Peculiar Velocity",POWER(Upgrades!$U$15,G182),1)*IF(Upgrades!$T$16="Peculiar Velocity",POWER(Upgrades!$U$16,H182),1)*IF(Upgrades!$T$17="Peculiar Velocity",POWER(Upgrades!$U$17,I182),1)*IF(Upgrades!$T$18="Peculiar Velocity",POWER(Upgrades!$U$18,J182),1)*IF(Upgrades!$T$20="Peculiar Velocity",POWER(Upgrades!$U$20,L182),1)*IF(Upgrades!$T$21="Peculiar Velocity",POWER(Upgrades!$U$21,M182),1))+(IF(L182=0,0,(Upgrades!$J$20+L182*Upgrades!$K$20)*POWER(Upgrades!$L$20,L182)))*(IF(Upgrades!$T$13="Open Cluster",POWER(Upgrades!$U$13,E182),1)*IF(Upgrades!$T$14="Open Cluster",POWER(Upgrades!$U$14,F182),1)*IF(Upgrades!$T$15="Open Cluster",POWER(Upgrades!$U$15,G182),1)*IF(Upgrades!$T$16="Open Cluster",POWER(Upgrades!$U$16,H182),1)*IF(Upgrades!$T$17="Open Cluster",POWER(Upgrades!$U$17,I182),1)*IF(Upgrades!$T$18="Open Cluster",POWER(Upgrades!$U$18,J182),1)*IF(Upgrades!$T$19="Open Cluster",POWER(Upgrades!$U$19,K182),1)*IF(Upgrades!$T$21="Open Cluster",POWER(Upgrades!$U$21,M182),1))+(IF(M182=0,0,(Upgrades!$J$21+M182*Upgrades!$K$21)*POWER(Upgrades!$L$21,M182)))*(IF(Upgrades!$T$13="Moving Group",POWER(Upgrades!$U$13,E182),1)*IF(Upgrades!$T$14="Moving Group",POWER(Upgrades!$U$14,F182),1)*IF(Upgrades!$T$15="Moving Group",POWER(Upgrades!$U$15,G182),1)*IF(Upgrades!$T$16="Moving Group",POWER(Upgrades!$U$16,H182),1)*IF(Upgrades!$T$17="Moving Group",POWER(Upgrades!$U$17,I182),1)*IF(Upgrades!$T$18="Moving Group",POWER(Upgrades!$U$18,J182),1)*IF(Upgrades!$T$19="Moving Group",POWER(Upgrades!$U$19,K182),1)*IF(Upgrades!$T$20="Moving Group",POWER(Upgrades!$U$20,L182),1)))*POWER(Upgrades!$Q$13,E182)*POWER(Upgrades!$Q$14,F182)*POWER(Upgrades!$Q$15,G182)*POWER(Upgrades!$Q$16,H182)*POWER(Upgrades!$Q$17,I182)*POWER(Upgrades!$Q$18,J182)*POWER(Upgrades!$Q$19,K182)*POWER(Upgrades!$Q$20,L182)*POWER(Upgrades!$Q$21,M182)*$G$6+$D$6</f>
        <v/>
      </c>
      <c r="P182" s="28">
        <f>((IF(E182=0,0,(Upgrades!$G$13+E182*Upgrades!$H$13)*POWER(Upgrades!$I$13,E182)))*(IF(Upgrades!$T$14="Stellar Kinematics",POWER(Upgrades!$U$14,F182),1)*IF(Upgrades!$T$15="Stellar Kinematics",POWER(Upgrades!$U$15,G182),1)*IF(Upgrades!$T$16="Stellar Kinematics",POWER(Upgrades!$U$16,H182),1)*IF(Upgrades!$T$17="Stellar Kinematics",POWER(Upgrades!$U$17,I182),1)*IF(Upgrades!$T$18="Stellar Kinematics",POWER(Upgrades!$U$18,J182),1)*IF(Upgrades!$T$19="Stellar Kinematics",POWER(Upgrades!$U$19,K182),1)*IF(Upgrades!$T$20="Stellar Kinematics",POWER(Upgrades!$U$20,L182),1)*IF(Upgrades!$T$21="Stellar Kinematics",POWER(Upgrades!$U$21,M182),1))+(IF(F182=0,0,(Upgrades!$G$14+F182*Upgrades!$H$14)*POWER(Upgrades!$I$14,F182)))*(IF(Upgrades!$T$13="Local Bubble",POWER(Upgrades!$U$13,E182),1)*IF(Upgrades!$T$15="Local Bubble",POWER(Upgrades!$U$15,G182),1)*IF(Upgrades!$T$16="Local Bubble",POWER(Upgrades!$U$16,H182),1)*IF(Upgrades!$T$17="Local Bubble",POWER(Upgrades!$U$17,I182),1)*IF(Upgrades!$T$18="Local Bubble",POWER(Upgrades!$U$18,J182),1)*IF(Upgrades!$T$19="Local Bubble",POWER(Upgrades!$U$19,K182),1)*IF(Upgrades!$T$20="Local Bubble",POWER(Upgrades!$U$20,L182),1)*IF(Upgrades!$T$21="Local Bubble",POWER(Upgrades!$U$21,M182),1))+(IF(G182=0,0,(Upgrades!$G$15+G182*Upgrades!$H$15)*POWER(Upgrades!$I$15,G182)))*(IF(Upgrades!$T$13="Microlensing",POWER(Upgrades!$U$13,E182),1)*IF(Upgrades!$T$14="Microlensing",POWER(Upgrades!$U$14,F182),1)*IF(Upgrades!$T$16="Microlensing",POWER(Upgrades!$U$16,H182),1)*IF(Upgrades!$T$17="Microlensing",POWER(Upgrades!$U$17,I182),1)*IF(Upgrades!$T$18="Microlensing",POWER(Upgrades!$U$18,J182),1)*IF(Upgrades!$T$19="Microlensing",POWER(Upgrades!$U$19,K182),1)*IF(Upgrades!$T$20="Microlensing",POWER(Upgrades!$U$20,L182),1)*IF(Upgrades!$T$21="Microlensing",POWER(Upgrades!$U$21,M182),1))+(IF(H182=0,0,(Upgrades!$G$16+H182*Upgrades!$H$16)*POWER(Upgrades!$I$16,H182)))*(IF(Upgrades!$T$13="Roche Lobe Overflow",POWER(Upgrades!$U$13,E182),1)*IF(Upgrades!$T$14="Roche Lobe Overflow",POWER(Upgrades!$U$14,F182),1)*IF(Upgrades!$T$15="Roche Lobe Overflow",POWER(Upgrades!$U$15,G182),1)*IF(Upgrades!$T$17="Roche Lobe Overflow",POWER(Upgrades!$U$17,I182),1)*IF(Upgrades!$T$18="Roche Lobe Overflow",POWER(Upgrades!$U$18,J182),1)*IF(Upgrades!$T$19="Roche Lobe Overflow",POWER(Upgrades!$U$19,K182),1)*IF(Upgrades!$T$20="Roche Lobe Overflow",POWER(Upgrades!$U$20,L182),1)*IF(Upgrades!$T$21="Roche Lobe Overflow",POWER(Upgrades!$U$21,M182),1))+(IF(I182=0,0,(Upgrades!$G$17+I182*Upgrades!$H$17)*POWER(Upgrades!$I$17,I182)))*(IF(Upgrades!$T$13="Brown Dwarf",POWER(Upgrades!$U$13,E182),1)*IF(Upgrades!$T$14="Brown Dwarf",POWER(Upgrades!$U$14,F182),1)*IF(Upgrades!$T$15="Brown Dwarf",POWER(Upgrades!$U$15,G182),1)*IF(Upgrades!$T$16="Brown Dwarf",POWER(Upgrades!$U$16,H182),1)*IF(Upgrades!$T$18="Brown Dwarf",POWER(Upgrades!$U$18,J182),1)*IF(Upgrades!$T$19="Brown Dwarf",POWER(Upgrades!$U$19,K182),1)*IF(Upgrades!$T$20="Brown Dwarf",POWER(Upgrades!$U$20,L182),1)*IF(Upgrades!$T$21="Brown Dwarf",POWER(Upgrades!$U$21,M182),1))+(IF(J182=0,0,(Upgrades!$G$18+J182*Upgrades!$H$18)*POWER(Upgrades!$I$18,J182)))*(IF(Upgrades!$T$13="Binary Partner",POWER(Upgrades!$U$13,E182),1)*IF(Upgrades!$T$14="Binary Partner",POWER(Upgrades!$U$14,F182),1)*IF(Upgrades!$T$15="Binary Partner",POWER(Upgrades!$U$15,G182),1)*IF(Upgrades!$T$16="Binary Partner",POWER(Upgrades!$U$16,H182),1)*IF(Upgrades!$T$17="Binary Partner",POWER(Upgrades!$U$17,I182),1)*IF(Upgrades!$T$19="Binary Partner",POWER(Upgrades!$U$19,K182),1)*IF(Upgrades!$T$20="Binary Partner",POWER(Upgrades!$U$20,L182),1)*IF(Upgrades!$T$21="Binary Partner",POWER(Upgrades!$U$21,M182),1))+(IF(K182=0,0,(Upgrades!$G$19+K182*Upgrades!$H$19)*POWER(Upgrades!$I$19,K182)))*(IF(Upgrades!$T$13="Peculiar Velocity",POWER(Upgrades!$U$13,E182),1)*IF(Upgrades!$T$14="Peculiar Velocity",POWER(Upgrades!$U$14,F182),1)*IF(Upgrades!$T$15="Peculiar Velocity",POWER(Upgrades!$U$15,G182),1)*IF(Upgrades!$T$16="Peculiar Velocity",POWER(Upgrades!$U$16,H182),1)*IF(Upgrades!$T$17="Peculiar Velocity",POWER(Upgrades!$U$17,I182),1)*IF(Upgrades!$T$18="Peculiar Velocity",POWER(Upgrades!$U$18,J182),1)*IF(Upgrades!$T$20="Peculiar Velocity",POWER(Upgrades!$U$20,L182),1)*IF(Upgrades!$T$21="Peculiar Velocity",POWER(Upgrades!$U$21,M182),1))+(IF(L182=0,0,(Upgrades!$G$20+L182*Upgrades!$H$20)*POWER(Upgrades!$I$20,L182)))*(IF(Upgrades!$T$13="Open Cluster",POWER(Upgrades!$U$13,E182),1)*IF(Upgrades!$T$14="Open Cluster",POWER(Upgrades!$U$14,F182),1)*IF(Upgrades!$T$15="Open Cluster",POWER(Upgrades!$U$15,G182),1)*IF(Upgrades!$T$16="Open Cluster",POWER(Upgrades!$U$16,H182),1)*IF(Upgrades!$T$17="Open Cluster",POWER(Upgrades!$U$17,I182),1)*IF(Upgrades!$T$18="Open Cluster",POWER(Upgrades!$U$18,J182),1)*IF(Upgrades!$T$19="Open Cluster",POWER(Upgrades!$U$19,K182),1)*IF(Upgrades!$T$21="Open Cluster",POWER(Upgrades!$U$21,M182),1))+(IF(M182=0,0,(Upgrades!$G$21+M182*Upgrades!$H$21)*POWER(Upgrades!$I$21,M182)))*(IF(Upgrades!$T$13="Moving Group",POWER(Upgrades!$U$13,E182),1)*IF(Upgrades!$T$14="Moving Group",POWER(Upgrades!$U$14,F182),1)*IF(Upgrades!$T$15="Moving Group",POWER(Upgrades!$U$15,G182),1)*IF(Upgrades!$T$16="Moving Group",POWER(Upgrades!$U$16,H182),1)*IF(Upgrades!$T$17="Moving Group",POWER(Upgrades!$U$17,I182),1)*IF(Upgrades!$T$18="Moving Group",POWER(Upgrades!$U$18,J182),1)*IF(Upgrades!$T$19="Moving Group",POWER(Upgrades!$U$19,K182),1)*IF(Upgrades!$T$20="Moving Group",POWER(Upgrades!$U$20,L182),1)))*POWER(Upgrades!$P$13,E182)*POWER(Upgrades!$P$14,F182)*POWER(Upgrades!$P$15,G182)*POWER(Upgrades!$P$16,H182)*POWER(Upgrades!$P$17,I182)*POWER(Upgrades!$P$18,J182)*POWER(Upgrades!$P$19,K182)*POWER(Upgrades!$P$20,L182)*POWER(Upgrades!$P$21,M182)*$F$6+$C$6</f>
        <v/>
      </c>
      <c r="Q182" s="28">
        <f>((IF(E182=0,0,(Upgrades!$M$13+E182*Upgrades!$N$13)*POWER(Upgrades!$O$13,E182)))*(IF(Upgrades!$T$14="Stellar Kinematics",POWER(Upgrades!$U$14,F182),1)*IF(Upgrades!$T$15="Stellar Kinematics",POWER(Upgrades!$U$15,G182),1)*IF(Upgrades!$T$16="Stellar Kinematics",POWER(Upgrades!$U$16,H182),1)*IF(Upgrades!$T$17="Stellar Kinematics",POWER(Upgrades!$U$17,I182),1)*IF(Upgrades!$T$18="Stellar Kinematics",POWER(Upgrades!$U$18,J182),1)*IF(Upgrades!$T$19="Stellar Kinematics",POWER(Upgrades!$U$19,K182),1)*IF(Upgrades!$T$20="Stellar Kinematics",POWER(Upgrades!$U$20,L182),1)*IF(Upgrades!$T$21="Stellar Kinematics",POWER(Upgrades!$U$21,M182),1))+(IF(F182=0,0,(Upgrades!$M$14+F182*Upgrades!$N$14)*POWER(Upgrades!$O$14,F182)))*(IF(Upgrades!$T$13="Local Bubble",POWER(Upgrades!$U$13,E182),1)*IF(Upgrades!$T$15="Local Bubble",POWER(Upgrades!$U$15,G182),1)*IF(Upgrades!$T$16="Local Bubble",POWER(Upgrades!$U$16,H182),1)*IF(Upgrades!$T$17="Local Bubble",POWER(Upgrades!$U$17,I182),1)*IF(Upgrades!$T$18="Local Bubble",POWER(Upgrades!$U$18,J182),1)*IF(Upgrades!$T$19="Local Bubble",POWER(Upgrades!$U$19,K182),1)*IF(Upgrades!$T$20="Local Bubble",POWER(Upgrades!$U$20,L182),1)*IF(Upgrades!$T$21="Local Bubble",POWER(Upgrades!$U$21,M182),1))+(IF(G182=0,0,(Upgrades!$M$15+G182*Upgrades!$N$15)*POWER(Upgrades!$O$15,G182)))*(IF(Upgrades!$T$13="Microlensing",POWER(Upgrades!$U$13,E182),1)*IF(Upgrades!$T$14="Microlensing",POWER(Upgrades!$U$14,F182),1)*IF(Upgrades!$T$16="Microlensing",POWER(Upgrades!$U$16,H182),1)*IF(Upgrades!$T$17="Microlensing",POWER(Upgrades!$U$17,I182),1)*IF(Upgrades!$T$18="Microlensing",POWER(Upgrades!$U$18,J182),1)*IF(Upgrades!$T$19="Microlensing",POWER(Upgrades!$U$19,K182),1)*IF(Upgrades!$T$20="Microlensing",POWER(Upgrades!$U$20,L182),1)*IF(Upgrades!$T$21="Microlensing",POWER(Upgrades!$U$21,M182),1))+(IF(H182=0,0,(Upgrades!$M$16+H182*Upgrades!$N$16)*POWER(Upgrades!$O$16,H182)))*(IF(Upgrades!$T$13="Roche Lobe Overflow",POWER(Upgrades!$U$13,E182),1)*IF(Upgrades!$T$14="Roche Lobe Overflow",POWER(Upgrades!$U$14,F182),1)*IF(Upgrades!$T$15="Roche Lobe Overflow",POWER(Upgrades!$U$15,G182),1)*IF(Upgrades!$T$17="Roche Lobe Overflow",POWER(Upgrades!$U$17,I182),1)*IF(Upgrades!$T$18="Roche Lobe Overflow",POWER(Upgrades!$U$18,J182),1)*IF(Upgrades!$T$19="Roche Lobe Overflow",POWER(Upgrades!$U$19,K182),1)*IF(Upgrades!$T$20="Roche Lobe Overflow",POWER(Upgrades!$U$20,L182),1)*IF(Upgrades!$T$21="Roche Lobe Overflow",POWER(Upgrades!$U$21,M182),1))+(IF(I182=0,0,(Upgrades!$M$17+I182*Upgrades!$N$17)*POWER(Upgrades!$O$17,I182)))*(IF(Upgrades!$T$13="Brown Dwarf",POWER(Upgrades!$U$13,E182),1)*IF(Upgrades!$T$14="Brown Dwarf",POWER(Upgrades!$U$14,F182),1)*IF(Upgrades!$T$15="Brown Dwarf",POWER(Upgrades!$U$15,G182),1)*IF(Upgrades!$T$16="Brown Dwarf",POWER(Upgrades!$U$16,H182),1)*IF(Upgrades!$T$18="Brown Dwarf",POWER(Upgrades!$U$18,J182),1)*IF(Upgrades!$T$19="Brown Dwarf",POWER(Upgrades!$U$19,K182),1)*IF(Upgrades!$T$20="Brown Dwarf",POWER(Upgrades!$U$20,L182),1)*IF(Upgrades!$T$21="Brown Dwarf",POWER(Upgrades!$U$21,M182),1))+(IF(J182=0,0,(Upgrades!$M$18+J182*Upgrades!$N$18)*POWER(Upgrades!$O$18,J182)))*(IF(Upgrades!$T$13="Binary Partner",POWER(Upgrades!$U$13,E182),1)*IF(Upgrades!$T$14="Binary Partner",POWER(Upgrades!$U$14,F182),1)*IF(Upgrades!$T$15="Binary Partner",POWER(Upgrades!$U$15,G182),1)*IF(Upgrades!$T$16="Binary Partner",POWER(Upgrades!$U$16,H182),1)*IF(Upgrades!$T$17="Binary Partner",POWER(Upgrades!$U$17,I182),1)*IF(Upgrades!$T$19="Binary Partner",POWER(Upgrades!$U$19,K182),1)*IF(Upgrades!$T$20="Binary Partner",POWER(Upgrades!$U$20,L182),1)*IF(Upgrades!$T$21="Binary Partner",POWER(Upgrades!$U$21,M182),1))+(IF(K182=0,0,(Upgrades!$M$19+K182*Upgrades!$N$19)*POWER(Upgrades!$O$19,K182)))*(IF(Upgrades!$T$13="Peculiar Velocity",POWER(Upgrades!$U$13,E182),1)*IF(Upgrades!$T$14="Peculiar Velocity",POWER(Upgrades!$U$14,F182),1)*IF(Upgrades!$T$15="Peculiar Velocity",POWER(Upgrades!$U$15,G182),1)*IF(Upgrades!$T$16="Peculiar Velocity",POWER(Upgrades!$U$16,H182),1)*IF(Upgrades!$T$17="Peculiar Velocity",POWER(Upgrades!$U$17,I182),1)*IF(Upgrades!$T$18="Peculiar Velocity",POWER(Upgrades!$U$18,J182),1)*IF(Upgrades!$T$20="Peculiar Velocity",POWER(Upgrades!$U$20,L182),1)*IF(Upgrades!$T$21="Peculiar Velocity",POWER(Upgrades!$U$21,M182),1))+(IF(L182=0,0,(Upgrades!$M$20+L182*Upgrades!$N$20)*POWER(Upgrades!$O$20,L182)))*(IF(Upgrades!$T$13="Open Cluster",POWER(Upgrades!$U$13,E182),1)*IF(Upgrades!$T$14="Open Cluster",POWER(Upgrades!$U$14,F182),1)*IF(Upgrades!$T$15="Open Cluster",POWER(Upgrades!$U$15,G182),1)*IF(Upgrades!$T$16="Open Cluster",POWER(Upgrades!$U$16,H182),1)*IF(Upgrades!$T$17="Open Cluster",POWER(Upgrades!$U$17,I182),1)*IF(Upgrades!$T$18="Open Cluster",POWER(Upgrades!$U$18,J182),1)*IF(Upgrades!$T$19="Open Cluster",POWER(Upgrades!$U$19,K182),1)*IF(Upgrades!$T$21="Open Cluster",POWER(Upgrades!$U$21,M182),1))+(IF(M182=0,0,(Upgrades!$M$21+M182*Upgrades!$N$21)*POWER(Upgrades!$O$21,M182)))*(IF(Upgrades!$T$13="Moving Group",POWER(Upgrades!$U$13,E182),1)*IF(Upgrades!$T$14="Moving Group",POWER(Upgrades!$U$14,F182),1)*IF(Upgrades!$T$15="Moving Group",POWER(Upgrades!$U$15,G182),1)*IF(Upgrades!$T$16="Moving Group",POWER(Upgrades!$U$16,H182),1)*IF(Upgrades!$T$17="Moving Group",POWER(Upgrades!$U$17,I182),1)*IF(Upgrades!$T$18="Moving Group",POWER(Upgrades!$U$18,J182),1)*IF(Upgrades!$T$19="Moving Group",POWER(Upgrades!$U$19,K182),1)*IF(Upgrades!$T$20="Moving Group",POWER(Upgrades!$U$20,L182),1)))*POWER(Upgrades!$R$13,E182)*POWER(Upgrades!$R$14,F182)*POWER(Upgrades!$R$15,G182)*POWER(Upgrades!$R$16,H182)*POWER(Upgrades!$R$17,I182)*POWER(Upgrades!$R$18,J182)*POWER(Upgrades!$R$19,K182)*POWER(Upgrades!$R$20,L182)*POWER(Upgrades!$R$21,M182)*$H$6+$E$6</f>
        <v/>
      </c>
      <c r="R182" s="27">
        <f>IF(N182=1,0,O182*Parameters!$B$10/60*Parameters!$B$11*10)</f>
        <v/>
      </c>
      <c r="S182" s="27">
        <f>IF(N182=1,0,Q182*O182*10)</f>
        <v/>
      </c>
      <c r="T182" s="27">
        <f>IF(N182=1,0,R182+S182+P182*10)</f>
        <v/>
      </c>
      <c r="U182" s="33">
        <f>BE182</f>
        <v/>
      </c>
      <c r="V182" s="22">
        <f>IF(U182="",0,IF(U182="transition",0,IF(U182="SK",AK182,IF(U182="LB",AL182,IF(U182="ML",AM182,IF(U182="RLO",AN182,IF(U182="BD",AO182,IF(U182="BiP",AP182,IF(U182="PV",AQ182,IF(U182="OC",AR182,IF(U182="MG",AS182,0))))))))))</f>
        <v/>
      </c>
      <c r="W182" s="27">
        <f>IF(U182="BiP",Upgrades!$F$18,IF(U182="PV",Upgrades!$F$19,IF(U182="OC",Upgrades!$F$20,IF(U182="MG",Upgrades!$F$21,IF(U182="transition",-Parameters!$B$18*Parameters!$B$19,0)))))</f>
        <v/>
      </c>
      <c r="X182" s="22">
        <f>C182+T182-V182</f>
        <v/>
      </c>
      <c r="Y182" s="30">
        <f>O182*Parameters!$B$10/60*Parameters!$B$11+Q182*O182+P182</f>
        <v/>
      </c>
      <c r="Z182" s="34">
        <f>IF(U182="transition","→ Tier 3 (Galactic Arm)",IF(U182="MG","Moving Group — pocket drifts together",IF(U182="OC","Open Cluster acquired",IF(U182="PV","Peculiar Velocity — passive multiplier active",IF(U182="BiP","Binary Partner — pair bond formed",IF(AND(AU182=1,N182=0,AT182&lt;&gt;1),"Cohesion ready (waiting on completionists)","")))))) </f>
        <v/>
      </c>
      <c r="AA182" s="27">
        <f>(IF(E182=0,0,(Upgrades!$G$13+E182*Upgrades!$H$13)*POWER(Upgrades!$I$13,E182)))*(IF(Upgrades!$T$14="Stellar Kinematics",POWER(Upgrades!$U$14,F182),1)*IF(Upgrades!$T$15="Stellar Kinematics",POWER(Upgrades!$U$15,G182),1)*IF(Upgrades!$T$16="Stellar Kinematics",POWER(Upgrades!$U$16,H182),1)*IF(Upgrades!$T$17="Stellar Kinematics",POWER(Upgrades!$U$17,I182),1)*IF(Upgrades!$T$18="Stellar Kinematics",POWER(Upgrades!$U$18,J182),1)*IF(Upgrades!$T$19="Stellar Kinematics",POWER(Upgrades!$U$19,K182),1)*IF(Upgrades!$T$20="Stellar Kinematics",POWER(Upgrades!$U$20,L182),1)*IF(Upgrades!$T$21="Stellar Kinematics",POWER(Upgrades!$U$21,M182),1))*POWER(Upgrades!$P$13,E182)*POWER(Upgrades!$P$14,F182)*POWER(Upgrades!$P$15,G182)*POWER(Upgrades!$P$16,H182)*POWER(Upgrades!$P$17,I182)*POWER(Upgrades!$P$18,J182)*POWER(Upgrades!$P$19,K182)*POWER(Upgrades!$P$20,L182)*POWER(Upgrades!$P$21,M182)*$F$6*60</f>
        <v/>
      </c>
      <c r="AB182" s="27">
        <f>(IF(F182=0,0,(Upgrades!$G$14+F182*Upgrades!$H$14)*POWER(Upgrades!$I$14,F182)))*(IF(Upgrades!$T$13="Local Bubble",POWER(Upgrades!$U$13,E182),1)*IF(Upgrades!$T$15="Local Bubble",POWER(Upgrades!$U$15,G182),1)*IF(Upgrades!$T$16="Local Bubble",POWER(Upgrades!$U$16,H182),1)*IF(Upgrades!$T$17="Local Bubble",POWER(Upgrades!$U$17,I182),1)*IF(Upgrades!$T$18="Local Bubble",POWER(Upgrades!$U$18,J182),1)*IF(Upgrades!$T$19="Local Bubble",POWER(Upgrades!$U$19,K182),1)*IF(Upgrades!$T$20="Local Bubble",POWER(Upgrades!$U$20,L182),1)*IF(Upgrades!$T$21="Local Bubble",POWER(Upgrades!$U$21,M182),1))*POWER(Upgrades!$P$13,E182)*POWER(Upgrades!$P$14,F182)*POWER(Upgrades!$P$15,G182)*POWER(Upgrades!$P$16,H182)*POWER(Upgrades!$P$17,I182)*POWER(Upgrades!$P$18,J182)*POWER(Upgrades!$P$19,K182)*POWER(Upgrades!$P$20,L182)*POWER(Upgrades!$P$21,M182)*$F$6*60</f>
        <v/>
      </c>
      <c r="AC182" s="27">
        <f>(IF(G182=0,0,(Upgrades!$J$15+G182*Upgrades!$K$15)*POWER(Upgrades!$L$15,G182)))*(IF(Upgrades!$T$13="Microlensing",POWER(Upgrades!$U$13,E182),1)*IF(Upgrades!$T$14="Microlensing",POWER(Upgrades!$U$14,F182),1)*IF(Upgrades!$T$16="Microlensing",POWER(Upgrades!$U$16,H182),1)*IF(Upgrades!$T$17="Microlensing",POWER(Upgrades!$U$17,I182),1)*IF(Upgrades!$T$18="Microlensing",POWER(Upgrades!$U$18,J182),1)*IF(Upgrades!$T$19="Microlensing",POWER(Upgrades!$U$19,K182),1)*IF(Upgrades!$T$20="Microlensing",POWER(Upgrades!$U$20,L182),1)*IF(Upgrades!$T$21="Microlensing",POWER(Upgrades!$U$21,M182),1))*POWER(Upgrades!$Q$13,E182)*POWER(Upgrades!$Q$14,F182)*POWER(Upgrades!$Q$15,G182)*POWER(Upgrades!$Q$16,H182)*POWER(Upgrades!$Q$17,I182)*POWER(Upgrades!$Q$18,J182)*POWER(Upgrades!$Q$19,K182)*POWER(Upgrades!$Q$20,L182)*POWER(Upgrades!$Q$21,M182)*$G$6*(Parameters!$B$10*Parameters!$B$11+Q182*60)</f>
        <v/>
      </c>
      <c r="AD182" s="27">
        <f>(IF(H182=0,0,(Upgrades!$M$16+H182*Upgrades!$N$16)*POWER(Upgrades!$O$16,H182)))*(IF(Upgrades!$T$13="Roche Lobe Overflow",POWER(Upgrades!$U$13,E182),1)*IF(Upgrades!$T$14="Roche Lobe Overflow",POWER(Upgrades!$U$14,F182),1)*IF(Upgrades!$T$15="Roche Lobe Overflow",POWER(Upgrades!$U$15,G182),1)*IF(Upgrades!$T$17="Roche Lobe Overflow",POWER(Upgrades!$U$17,I182),1)*IF(Upgrades!$T$18="Roche Lobe Overflow",POWER(Upgrades!$U$18,J182),1)*IF(Upgrades!$T$19="Roche Lobe Overflow",POWER(Upgrades!$U$19,K182),1)*IF(Upgrades!$T$20="Roche Lobe Overflow",POWER(Upgrades!$U$20,L182),1)*IF(Upgrades!$T$21="Roche Lobe Overflow",POWER(Upgrades!$U$21,M182),1))*POWER(Upgrades!$R$13,E182)*POWER(Upgrades!$R$14,F182)*POWER(Upgrades!$R$15,G182)*POWER(Upgrades!$R$16,H182)*POWER(Upgrades!$R$17,I182)*POWER(Upgrades!$R$18,J182)*POWER(Upgrades!$R$19,K182)*POWER(Upgrades!$R$20,L182)*POWER(Upgrades!$R$21,M182)*$H$6*O182*60</f>
        <v/>
      </c>
      <c r="AE182" s="27">
        <f>(IF(I182=0,0,(Upgrades!$G$17+I182*Upgrades!$H$17)*POWER(Upgrades!$I$17,I182)))*(IF(Upgrades!$T$13="Brown Dwarf",POWER(Upgrades!$U$13,E182),1)*IF(Upgrades!$T$14="Brown Dwarf",POWER(Upgrades!$U$14,F182),1)*IF(Upgrades!$T$15="Brown Dwarf",POWER(Upgrades!$U$15,G182),1)*IF(Upgrades!$T$16="Brown Dwarf",POWER(Upgrades!$U$16,H182),1)*IF(Upgrades!$T$18="Brown Dwarf",POWER(Upgrades!$U$18,J182),1)*IF(Upgrades!$T$19="Brown Dwarf",POWER(Upgrades!$U$19,K182),1)*IF(Upgrades!$T$20="Brown Dwarf",POWER(Upgrades!$U$20,L182),1)*IF(Upgrades!$T$21="Brown Dwarf",POWER(Upgrades!$U$21,M182),1))*POWER(Upgrades!$P$13,E182)*POWER(Upgrades!$P$14,F182)*POWER(Upgrades!$P$15,G182)*POWER(Upgrades!$P$16,H182)*POWER(Upgrades!$P$17,I182)*POWER(Upgrades!$P$18,J182)*POWER(Upgrades!$P$19,K182)*POWER(Upgrades!$P$20,L182)*POWER(Upgrades!$P$21,M182)*$F$6*60</f>
        <v/>
      </c>
      <c r="AF182" s="27" t="n">
        <v>0</v>
      </c>
      <c r="AG182" s="27" t="n">
        <v>0</v>
      </c>
      <c r="AH182" s="27" t="n">
        <v>0</v>
      </c>
      <c r="AI182" s="27">
        <f>(IF(M182=0,0,(Upgrades!$G$21+M182*Upgrades!$H$21)*POWER(Upgrades!$I$21,M182)))*(IF(Upgrades!$T$13="Moving Group",POWER(Upgrades!$U$13,E182),1)*IF(Upgrades!$T$14="Moving Group",POWER(Upgrades!$U$14,F182),1)*IF(Upgrades!$T$15="Moving Group",POWER(Upgrades!$U$15,G182),1)*IF(Upgrades!$T$16="Moving Group",POWER(Upgrades!$U$16,H182),1)*IF(Upgrades!$T$17="Moving Group",POWER(Upgrades!$U$17,I182),1)*IF(Upgrades!$T$18="Moving Group",POWER(Upgrades!$U$18,J182),1)*IF(Upgrades!$T$19="Moving Group",POWER(Upgrades!$U$19,K182),1)*IF(Upgrades!$T$20="Moving Group",POWER(Upgrades!$U$20,L182),1))*POWER(Upgrades!$P$13,E182)*POWER(Upgrades!$P$14,F182)*POWER(Upgrades!$P$15,G182)*POWER(Upgrades!$P$16,H182)*POWER(Upgrades!$P$17,I182)*POWER(Upgrades!$P$18,J182)*POWER(Upgrades!$P$19,K182)*POWER(Upgrades!$P$20,L182)*POWER(Upgrades!$P$21,M182)*$F$6*60</f>
        <v/>
      </c>
      <c r="AJ182" s="27">
        <f>$C$6*60</f>
        <v/>
      </c>
      <c r="AK182" s="22">
        <f>IF(E182&gt;=Upgrades!$E$13,"",Upgrades!$C$13*POWER(Upgrades!$D$13,E182))</f>
        <v/>
      </c>
      <c r="AL182" s="22">
        <f>IF(F182&gt;=Upgrades!$E$14,"",Upgrades!$C$14*POWER(Upgrades!$D$14,F182))</f>
        <v/>
      </c>
      <c r="AM182" s="22">
        <f>IF(G182&gt;=Upgrades!$E$15,"",Upgrades!$C$15*POWER(Upgrades!$D$15,G182))</f>
        <v/>
      </c>
      <c r="AN182" s="22">
        <f>IF(H182&gt;=Upgrades!$E$16,"",Upgrades!$C$16*POWER(Upgrades!$D$16,H182))</f>
        <v/>
      </c>
      <c r="AO182" s="22">
        <f>IF(I182&gt;=Upgrades!$E$17,"",Upgrades!$C$17*POWER(Upgrades!$D$17,I182))</f>
        <v/>
      </c>
      <c r="AP182" s="22">
        <f>IF(J182&gt;=Upgrades!$E$18,"",Upgrades!$C$18*POWER(Upgrades!$D$18,J182))</f>
        <v/>
      </c>
      <c r="AQ182" s="22">
        <f>IF(K182&gt;=Upgrades!$E$19,"",Upgrades!$C$19*POWER(Upgrades!$D$19,K182))</f>
        <v/>
      </c>
      <c r="AR182" s="22">
        <f>IF(L182&gt;=Upgrades!$E$20,"",Upgrades!$C$20*POWER(Upgrades!$D$20,L182))</f>
        <v/>
      </c>
      <c r="AS182" s="22">
        <f>IF(M182&gt;=Upgrades!$E$21,"",Upgrades!$C$21*POWER(Upgrades!$D$21,M182))</f>
        <v/>
      </c>
      <c r="AT182" s="26">
        <f>IF(AND(D182&gt;=Parameters!$B$18*Parameters!$B$19,(I182&gt;=Upgrades!$E$17)*(M182&gt;=Upgrades!$E$21)=1,N182=0),1,"")</f>
        <v/>
      </c>
      <c r="AU182" s="26">
        <f>IF(AND(D182&gt;=Parameters!$B$18*Parameters!$B$19,N182=0),1,"")</f>
        <v/>
      </c>
      <c r="AV182" s="22">
        <f>MIN(IF(ISNUMBER(AP182),AP182,9E15),IF(ISNUMBER(AQ182),AQ182,9E15),IF(ISNUMBER(AR182),AR182,9E15),IF(ISNUMBER(AS182),AS182,9E15))</f>
        <v/>
      </c>
      <c r="AW182" s="22">
        <f>MIN(IF(ISNUMBER(AK182),AK182,9E15),IF(ISNUMBER(AL182),AL182,9E15),IF(ISNUMBER(AM182),AM182,9E15),IF(ISNUMBER(AN182),AN182,9E15),IF(ISNUMBER(AO182),AO182,9E15))</f>
        <v/>
      </c>
      <c r="AX182" s="29">
        <f>IF(BD182&gt;Parameters!$B$21*(MAX(IF(AND(NOT(AND(AU182=1,AT182&lt;&gt;1)),ISNUMBER(AK182),AK182&lt;=(C182+T182)),AY182,0),IF(AND(NOT(AND(AU182=1,AT182&lt;&gt;1)),ISNUMBER(AL182),AL182&lt;=(C182+T182)),AZ182,0),IF(AND(NOT(AND(AU182=1,AT182&lt;&gt;1)),ISNUMBER(AM182),AM182&lt;=(C182+T182)),BA182,0),IF(AND(NOT(AND(AU182=1,AT182&lt;&gt;1)),ISNUMBER(AN182),AN182&lt;=(C182+T182)),BB182,0),IF(AND(ISNUMBER(AO182),AO182&lt;=(C182+T182)),BC182,0))),TRUE,FALSE)</f>
        <v/>
      </c>
      <c r="AY182" s="32">
        <f>IFERROR(Upgrades!$H$13*(POWER(Upgrades!$P$13,E182)*POWER(Upgrades!$P$14,F182)*POWER(Upgrades!$P$15,G182)*POWER(Upgrades!$P$16,H182)*POWER(Upgrades!$P$17,I182)*POWER(Upgrades!$P$18,J182)*POWER(Upgrades!$P$19,K182)*POWER(Upgrades!$P$20,L182)*POWER(Upgrades!$P$21,M182))*(IF(Upgrades!$T$14="Stellar Kinematics",POWER(Upgrades!$U$14,F182),1)*IF(Upgrades!$T$15="Stellar Kinematics",POWER(Upgrades!$U$15,G182),1)*IF(Upgrades!$T$16="Stellar Kinematics",POWER(Upgrades!$U$16,H182),1)*IF(Upgrades!$T$17="Stellar Kinematics",POWER(Upgrades!$U$17,I182),1)*IF(Upgrades!$T$18="Stellar Kinematics",POWER(Upgrades!$U$18,J182),1)*IF(Upgrades!$T$19="Stellar Kinematics",POWER(Upgrades!$U$19,K182),1)*IF(Upgrades!$T$20="Stellar Kinematics",POWER(Upgrades!$U$20,L182),1)*IF(Upgrades!$T$21="Stellar Kinematics",POWER(Upgrades!$U$21,M182),1))*$F$6/AK182,0)</f>
        <v/>
      </c>
      <c r="AZ182" s="32">
        <f>IFERROR(Upgrades!$H$14*(POWER(Upgrades!$P$13,E182)*POWER(Upgrades!$P$14,F182)*POWER(Upgrades!$P$15,G182)*POWER(Upgrades!$P$16,H182)*POWER(Upgrades!$P$17,I182)*POWER(Upgrades!$P$18,J182)*POWER(Upgrades!$P$19,K182)*POWER(Upgrades!$P$20,L182)*POWER(Upgrades!$P$21,M182))*(IF(Upgrades!$T$13="Local Bubble",POWER(Upgrades!$U$13,E182),1)*IF(Upgrades!$T$15="Local Bubble",POWER(Upgrades!$U$15,G182),1)*IF(Upgrades!$T$16="Local Bubble",POWER(Upgrades!$U$16,H182),1)*IF(Upgrades!$T$17="Local Bubble",POWER(Upgrades!$U$17,I182),1)*IF(Upgrades!$T$18="Local Bubble",POWER(Upgrades!$U$18,J182),1)*IF(Upgrades!$T$19="Local Bubble",POWER(Upgrades!$U$19,K182),1)*IF(Upgrades!$T$20="Local Bubble",POWER(Upgrades!$U$20,L182),1)*IF(Upgrades!$T$21="Local Bubble",POWER(Upgrades!$U$21,M182),1))*$F$6/AL182,0)</f>
        <v/>
      </c>
      <c r="BA182" s="32">
        <f>IFERROR(Upgrades!$K$15*(POWER(Upgrades!$Q$13,E182)*POWER(Upgrades!$Q$14,F182)*POWER(Upgrades!$Q$15,G182)*POWER(Upgrades!$Q$16,H182)*POWER(Upgrades!$Q$17,I182)*POWER(Upgrades!$Q$18,J182)*POWER(Upgrades!$Q$19,K182)*POWER(Upgrades!$Q$20,L182)*POWER(Upgrades!$Q$21,M182))*(IF(Upgrades!$T$13="Microlensing",POWER(Upgrades!$U$13,E182),1)*IF(Upgrades!$T$14="Microlensing",POWER(Upgrades!$U$14,F182),1)*IF(Upgrades!$T$16="Microlensing",POWER(Upgrades!$U$16,H182),1)*IF(Upgrades!$T$17="Microlensing",POWER(Upgrades!$U$17,I182),1)*IF(Upgrades!$T$18="Microlensing",POWER(Upgrades!$U$18,J182),1)*IF(Upgrades!$T$19="Microlensing",POWER(Upgrades!$U$19,K182),1)*IF(Upgrades!$T$20="Microlensing",POWER(Upgrades!$U$20,L182),1)*IF(Upgrades!$T$21="Microlensing",POWER(Upgrades!$U$21,M182),1))*$G$6*(Parameters!$B$10/60*Parameters!$B$11+Q182)/AM182,0)</f>
        <v/>
      </c>
      <c r="BB182" s="32">
        <f>IFERROR((Upgrades!$N$16*(POWER(Upgrades!$R$13,E182)*POWER(Upgrades!$R$14,F182)*POWER(Upgrades!$R$15,G182)*POWER(Upgrades!$R$16,H182)*POWER(Upgrades!$R$17,I182)*POWER(Upgrades!$R$18,J182)*POWER(Upgrades!$R$19,K182)*POWER(Upgrades!$R$20,L182)*POWER(Upgrades!$R$21,M182))*(IF(Upgrades!$T$13="Roche Lobe Overflow",POWER(Upgrades!$U$13,E182),1)*IF(Upgrades!$T$14="Roche Lobe Overflow",POWER(Upgrades!$U$14,F182),1)*IF(Upgrades!$T$15="Roche Lobe Overflow",POWER(Upgrades!$U$15,G182),1)*IF(Upgrades!$T$17="Roche Lobe Overflow",POWER(Upgrades!$U$17,I182),1)*IF(Upgrades!$T$18="Roche Lobe Overflow",POWER(Upgrades!$U$18,J182),1)*IF(Upgrades!$T$19="Roche Lobe Overflow",POWER(Upgrades!$U$19,K182),1)*IF(Upgrades!$T$20="Roche Lobe Overflow",POWER(Upgrades!$U$20,L182),1)*IF(Upgrades!$T$21="Roche Lobe Overflow",POWER(Upgrades!$U$21,M182),1))*$H$6*O182+((IF(F182=0,0,(Upgrades!$G$14+F182*Upgrades!$H$14)*POWER(Upgrades!$I$14,F182)))*(IF(Upgrades!$T$13="Local Bubble",POWER(Upgrades!$U$13,E182),1)*IF(Upgrades!$T$15="Local Bubble",POWER(Upgrades!$U$15,G182),1)*IF(Upgrades!$T$16="Local Bubble",POWER(Upgrades!$U$16,H182),1)*IF(Upgrades!$T$17="Local Bubble",POWER(Upgrades!$U$17,I182),1)*IF(Upgrades!$T$18="Local Bubble",POWER(Upgrades!$U$18,J182),1)*IF(Upgrades!$T$19="Local Bubble",POWER(Upgrades!$U$19,K182),1)*IF(Upgrades!$T$20="Local Bubble",POWER(Upgrades!$U$20,L182),1)*IF(Upgrades!$T$21="Local Bubble",POWER(Upgrades!$U$21,M182),1))*POWER(Upgrades!$P$13,E182)*POWER(Upgrades!$P$14,F182)*POWER(Upgrades!$P$15,G182)*POWER(Upgrades!$P$16,H182)*POWER(Upgrades!$P$17,I182)*POWER(Upgrades!$P$18,J182)*POWER(Upgrades!$P$19,K182)*POWER(Upgrades!$P$20,L182)*POWER(Upgrades!$P$21,M182)*$F$6)*0.05)/AN182,0)</f>
        <v/>
      </c>
      <c r="BC182" s="32">
        <f>IFERROR((Upgrades!$H$17*(POWER(Upgrades!$P$13,E182)*POWER(Upgrades!$P$14,F182)*POWER(Upgrades!$P$15,G182)*POWER(Upgrades!$P$16,H182)*POWER(Upgrades!$P$17,I182)*POWER(Upgrades!$P$18,J182)*POWER(Upgrades!$P$19,K182)*POWER(Upgrades!$P$20,L182)*POWER(Upgrades!$P$21,M182))*(IF(Upgrades!$T$13="Brown Dwarf",POWER(Upgrades!$U$13,E182),1)*IF(Upgrades!$T$14="Brown Dwarf",POWER(Upgrades!$U$14,F182),1)*IF(Upgrades!$T$15="Brown Dwarf",POWER(Upgrades!$U$15,G182),1)*IF(Upgrades!$T$16="Brown Dwarf",POWER(Upgrades!$U$16,H182),1)*IF(Upgrades!$T$18="Brown Dwarf",POWER(Upgrades!$U$18,J182),1)*IF(Upgrades!$T$19="Brown Dwarf",POWER(Upgrades!$U$19,K182),1)*IF(Upgrades!$T$20="Brown Dwarf",POWER(Upgrades!$U$20,L182),1)*IF(Upgrades!$T$21="Brown Dwarf",POWER(Upgrades!$U$21,M182),1))*$F$6+(((IF(H182=0,0,(Upgrades!$M$16+H182*Upgrades!$N$16)*POWER(Upgrades!$O$16,H182)))*(IF(Upgrades!$T$13="Roche Lobe Overflow",POWER(Upgrades!$U$13,E182),1)*IF(Upgrades!$T$14="Roche Lobe Overflow",POWER(Upgrades!$U$14,F182),1)*IF(Upgrades!$T$15="Roche Lobe Overflow",POWER(Upgrades!$U$15,G182),1)*IF(Upgrades!$T$17="Roche Lobe Overflow",POWER(Upgrades!$U$17,I182),1)*IF(Upgrades!$T$18="Roche Lobe Overflow",POWER(Upgrades!$U$18,J182),1)*IF(Upgrades!$T$19="Roche Lobe Overflow",POWER(Upgrades!$U$19,K182),1)*IF(Upgrades!$T$20="Roche Lobe Overflow",POWER(Upgrades!$U$20,L182),1)*IF(Upgrades!$T$21="Roche Lobe Overflow",POWER(Upgrades!$U$21,M182),1))*POWER(Upgrades!$R$13,E182)*POWER(Upgrades!$R$14,F182)*POWER(Upgrades!$R$15,G182)*POWER(Upgrades!$R$16,H182)*POWER(Upgrades!$R$17,I182)*POWER(Upgrades!$R$18,J182)*POWER(Upgrades!$R$19,K182)*POWER(Upgrades!$R$20,L182)*POWER(Upgrades!$R$21,M182)*$H$6)*O182)*0.10)/AO182,0)</f>
        <v/>
      </c>
      <c r="BD182" s="32">
        <f>MAX(IF(J182&gt;0,0,IFERROR(0.5*((IF(G182=0,0,(Upgrades!$J$15+G182*Upgrades!$K$15)*POWER(Upgrades!$L$15,G182)))*(IF(Upgrades!$T$13="Microlensing",POWER(Upgrades!$U$13,E182),1)*IF(Upgrades!$T$14="Microlensing",POWER(Upgrades!$U$14,F182),1)*IF(Upgrades!$T$16="Microlensing",POWER(Upgrades!$U$16,H182),1)*IF(Upgrades!$T$17="Microlensing",POWER(Upgrades!$U$17,I182),1)*IF(Upgrades!$T$18="Microlensing",POWER(Upgrades!$U$18,J182),1)*IF(Upgrades!$T$19="Microlensing",POWER(Upgrades!$U$19,K182),1)*IF(Upgrades!$T$20="Microlensing",POWER(Upgrades!$U$20,L182),1)*IF(Upgrades!$T$21="Microlensing",POWER(Upgrades!$U$21,M182),1))*(POWER(Upgrades!$Q$13,E182)*POWER(Upgrades!$Q$14,F182)*POWER(Upgrades!$Q$15,G182)*POWER(Upgrades!$Q$16,H182)*POWER(Upgrades!$Q$17,I182)*POWER(Upgrades!$Q$18,J182)*POWER(Upgrades!$Q$19,K182)*POWER(Upgrades!$Q$20,L182)*POWER(Upgrades!$Q$21,M182))*$G$6*(Parameters!$B$10/60*Parameters!$B$11+Q182))/Upgrades!$C$18,0)),IF(K182&gt;0,0,IFERROR(0.30*P182/Upgrades!$C$19,0)),IF(L182&gt;0,0,IFERROR(0.0001/Upgrades!$C$20,0)),IF(M182&gt;0,0,IFERROR((6.0*(POWER(Upgrades!$P$13,E182)*POWER(Upgrades!$P$14,F182)*POWER(Upgrades!$P$15,G182)*POWER(Upgrades!$P$16,H182)*POWER(Upgrades!$P$17,I182)*POWER(Upgrades!$P$18,J182)*POWER(Upgrades!$P$19,K182)*POWER(Upgrades!$P$20,L182)*POWER(Upgrades!$P$21,M182))*$F$6+0.20*O182*(Parameters!$B$10/60*Parameters!$B$11+Q182))/Upgrades!$C$21,0)),IF(AND(ISNUMBER(AK182),AK182&gt;(C182+T182)),AY182,0),IF(AND(ISNUMBER(AL182),AL182&gt;(C182+T182)),AZ182,0),IF(AND(ISNUMBER(AM182),AM182&gt;(C182+T182)),BA182,0),IF(AND(ISNUMBER(AN182),AN182&gt;(C182+T182)),BB182,0),IF(AND(ISNUMBER(AO182),AO182&gt;(C182+T182)),BC182,0))</f>
        <v/>
      </c>
      <c r="BE182" s="29">
        <f>IF(AT182=1,"transition",IF(MIN(IF(AND(J182=0,ISNUMBER(AP182),AP182&lt;=(C182+T182)),AP182,9E15),IF(AND(K182=0,ISNUMBER(AQ182),AQ182&lt;=(C182+T182)),AQ182,9E15),IF(AND(L182=0,ISNUMBER(AR182),AR182&lt;=(C182+T182)),AR182,9E15),IF(AND(M182=0,ISNUMBER(AS182),AS182&lt;=(C182+T182)),AS182,9E15))&lt;9E15,IF(AND(AND(J182=0,ISNUMBER(AP182),AP182&lt;=(C182+T182)),AP182=MIN(IF(AND(J182=0,ISNUMBER(AP182),AP182&lt;=(C182+T182)),AP182,9E15),IF(AND(K182=0,ISNUMBER(AQ182),AQ182&lt;=(C182+T182)),AQ182,9E15),IF(AND(L182=0,ISNUMBER(AR182),AR182&lt;=(C182+T182)),AR182,9E15),IF(AND(M182=0,ISNUMBER(AS182),AS182&lt;=(C182+T182)),AS182,9E15))),"BiP",IF(AND(AND(K182=0,ISNUMBER(AQ182),AQ182&lt;=(C182+T182)),AQ182=MIN(IF(AND(J182=0,ISNUMBER(AP182),AP182&lt;=(C182+T182)),AP182,9E15),IF(AND(K182=0,ISNUMBER(AQ182),AQ182&lt;=(C182+T182)),AQ182,9E15),IF(AND(L182=0,ISNUMBER(AR182),AR182&lt;=(C182+T182)),AR182,9E15),IF(AND(M182=0,ISNUMBER(AS182),AS182&lt;=(C182+T182)),AS182,9E15))),"PV",IF(AND(AND(L182=0,ISNUMBER(AR182),AR182&lt;=(C182+T182)),AR182=MIN(IF(AND(J182=0,ISNUMBER(AP182),AP182&lt;=(C182+T182)),AP182,9E15),IF(AND(K182=0,ISNUMBER(AQ182),AQ182&lt;=(C182+T182)),AQ182,9E15),IF(AND(L182=0,ISNUMBER(AR182),AR182&lt;=(C182+T182)),AR182,9E15),IF(AND(M182=0,ISNUMBER(AS182),AS182&lt;=(C182+T182)),AS182,9E15))),"OC","MG"))),IF(AX182=TRUE,"",IF(MAX(IF(AND(NOT(AND(AU182=1,AT182&lt;&gt;1)),ISNUMBER(AK182),AK182&lt;=(C182+T182)),AY182,0),IF(AND(NOT(AND(AU182=1,AT182&lt;&gt;1)),ISNUMBER(AL182),AL182&lt;=(C182+T182)),AZ182,0),IF(AND(NOT(AND(AU182=1,AT182&lt;&gt;1)),ISNUMBER(AM182),AM182&lt;=(C182+T182)),BA182,0),IF(AND(NOT(AND(AU182=1,AT182&lt;&gt;1)),ISNUMBER(AN182),AN182&lt;=(C182+T182)),BB182,0),IF(AND(ISNUMBER(AO182),AO182&lt;=(C182+T182)),BC182,0))&lt;=0,"",IF(AND(IF(AND(NOT(AND(AU182=1,AT182&lt;&gt;1)),ISNUMBER(AK182),AK182&lt;=(C182+T182)),AY182,0)&gt;0,IF(AND(NOT(AND(AU182=1,AT182&lt;&gt;1)),ISNUMBER(AK182),AK182&lt;=(C182+T182)),AY182,0)=MAX(IF(AND(NOT(AND(AU182=1,AT182&lt;&gt;1)),ISNUMBER(AK182),AK182&lt;=(C182+T182)),AY182,0),IF(AND(NOT(AND(AU182=1,AT182&lt;&gt;1)),ISNUMBER(AL182),AL182&lt;=(C182+T182)),AZ182,0),IF(AND(NOT(AND(AU182=1,AT182&lt;&gt;1)),ISNUMBER(AM182),AM182&lt;=(C182+T182)),BA182,0),IF(AND(NOT(AND(AU182=1,AT182&lt;&gt;1)),ISNUMBER(AN182),AN182&lt;=(C182+T182)),BB182,0),IF(AND(ISNUMBER(AO182),AO182&lt;=(C182+T182)),BC182,0))),"SK",IF(AND(IF(AND(NOT(AND(AU182=1,AT182&lt;&gt;1)),ISNUMBER(AL182),AL182&lt;=(C182+T182)),AZ182,0)&gt;0,IF(AND(NOT(AND(AU182=1,AT182&lt;&gt;1)),ISNUMBER(AL182),AL182&lt;=(C182+T182)),AZ182,0)=MAX(IF(AND(NOT(AND(AU182=1,AT182&lt;&gt;1)),ISNUMBER(AK182),AK182&lt;=(C182+T182)),AY182,0),IF(AND(NOT(AND(AU182=1,AT182&lt;&gt;1)),ISNUMBER(AL182),AL182&lt;=(C182+T182)),AZ182,0),IF(AND(NOT(AND(AU182=1,AT182&lt;&gt;1)),ISNUMBER(AM182),AM182&lt;=(C182+T182)),BA182,0),IF(AND(NOT(AND(AU182=1,AT182&lt;&gt;1)),ISNUMBER(AN182),AN182&lt;=(C182+T182)),BB182,0),IF(AND(ISNUMBER(AO182),AO182&lt;=(C182+T182)),BC182,0))),"LB",IF(AND(IF(AND(NOT(AND(AU182=1,AT182&lt;&gt;1)),ISNUMBER(AM182),AM182&lt;=(C182+T182)),BA182,0)&gt;0,IF(AND(NOT(AND(AU182=1,AT182&lt;&gt;1)),ISNUMBER(AM182),AM182&lt;=(C182+T182)),BA182,0)=MAX(IF(AND(NOT(AND(AU182=1,AT182&lt;&gt;1)),ISNUMBER(AK182),AK182&lt;=(C182+T182)),AY182,0),IF(AND(NOT(AND(AU182=1,AT182&lt;&gt;1)),ISNUMBER(AL182),AL182&lt;=(C182+T182)),AZ182,0),IF(AND(NOT(AND(AU182=1,AT182&lt;&gt;1)),ISNUMBER(AM182),AM182&lt;=(C182+T182)),BA182,0),IF(AND(NOT(AND(AU182=1,AT182&lt;&gt;1)),ISNUMBER(AN182),AN182&lt;=(C182+T182)),BB182,0),IF(AND(ISNUMBER(AO182),AO182&lt;=(C182+T182)),BC182,0))),"ML",IF(AND(IF(AND(NOT(AND(AU182=1,AT182&lt;&gt;1)),ISNUMBER(AN182),AN182&lt;=(C182+T182)),BB182,0)&gt;0,IF(AND(NOT(AND(AU182=1,AT182&lt;&gt;1)),ISNUMBER(AN182),AN182&lt;=(C182+T182)),BB182,0)=MAX(IF(AND(NOT(AND(AU182=1,AT182&lt;&gt;1)),ISNUMBER(AK182),AK182&lt;=(C182+T182)),AY182,0),IF(AND(NOT(AND(AU182=1,AT182&lt;&gt;1)),ISNUMBER(AL182),AL182&lt;=(C182+T182)),AZ182,0),IF(AND(NOT(AND(AU182=1,AT182&lt;&gt;1)),ISNUMBER(AM182),AM182&lt;=(C182+T182)),BA182,0),IF(AND(NOT(AND(AU182=1,AT182&lt;&gt;1)),ISNUMBER(AN182),AN182&lt;=(C182+T182)),BB182,0),IF(AND(ISNUMBER(AO182),AO182&lt;=(C182+T182)),BC182,0))),"RLO","BD"))))))))</f>
        <v/>
      </c>
    </row>
    <row r="183">
      <c r="A183" s="26" t="n">
        <v>172</v>
      </c>
      <c r="B183" s="27">
        <f>A183*10/60</f>
        <v/>
      </c>
      <c r="C183" s="22">
        <f>X182</f>
        <v/>
      </c>
      <c r="D183" s="27">
        <f>D182+W182</f>
        <v/>
      </c>
      <c r="E183" s="26">
        <f>E182+IF(U182="SK",1,0)</f>
        <v/>
      </c>
      <c r="F183" s="26">
        <f>F182+IF(U182="LB",1,0)</f>
        <v/>
      </c>
      <c r="G183" s="26">
        <f>G182+IF(U182="ML",1,0)</f>
        <v/>
      </c>
      <c r="H183" s="26">
        <f>H182+IF(U182="RLO",1,0)</f>
        <v/>
      </c>
      <c r="I183" s="26">
        <f>I182+IF(U182="BD",1,0)</f>
        <v/>
      </c>
      <c r="J183" s="26">
        <f>MAX(J182,IF(U182="BiP",1,0))</f>
        <v/>
      </c>
      <c r="K183" s="26">
        <f>MAX(K182,IF(U182="PV",1,0))</f>
        <v/>
      </c>
      <c r="L183" s="26">
        <f>MAX(L182,IF(U182="OC",1,0))</f>
        <v/>
      </c>
      <c r="M183" s="26">
        <f>MAX(M182,IF(U182="MG",1,0))</f>
        <v/>
      </c>
      <c r="N183" s="26">
        <f>MAX(N182,IF(U182="transition",1,0))</f>
        <v/>
      </c>
      <c r="O183" s="28">
        <f>(Parameters!$B$9+(IF(E183=0,0,(Upgrades!$J$13+E183*Upgrades!$K$13)*POWER(Upgrades!$L$13,E183)))*(IF(Upgrades!$T$14="Stellar Kinematics",POWER(Upgrades!$U$14,F183),1)*IF(Upgrades!$T$15="Stellar Kinematics",POWER(Upgrades!$U$15,G183),1)*IF(Upgrades!$T$16="Stellar Kinematics",POWER(Upgrades!$U$16,H183),1)*IF(Upgrades!$T$17="Stellar Kinematics",POWER(Upgrades!$U$17,I183),1)*IF(Upgrades!$T$18="Stellar Kinematics",POWER(Upgrades!$U$18,J183),1)*IF(Upgrades!$T$19="Stellar Kinematics",POWER(Upgrades!$U$19,K183),1)*IF(Upgrades!$T$20="Stellar Kinematics",POWER(Upgrades!$U$20,L183),1)*IF(Upgrades!$T$21="Stellar Kinematics",POWER(Upgrades!$U$21,M183),1))+(IF(F183=0,0,(Upgrades!$J$14+F183*Upgrades!$K$14)*POWER(Upgrades!$L$14,F183)))*(IF(Upgrades!$T$13="Local Bubble",POWER(Upgrades!$U$13,E183),1)*IF(Upgrades!$T$15="Local Bubble",POWER(Upgrades!$U$15,G183),1)*IF(Upgrades!$T$16="Local Bubble",POWER(Upgrades!$U$16,H183),1)*IF(Upgrades!$T$17="Local Bubble",POWER(Upgrades!$U$17,I183),1)*IF(Upgrades!$T$18="Local Bubble",POWER(Upgrades!$U$18,J183),1)*IF(Upgrades!$T$19="Local Bubble",POWER(Upgrades!$U$19,K183),1)*IF(Upgrades!$T$20="Local Bubble",POWER(Upgrades!$U$20,L183),1)*IF(Upgrades!$T$21="Local Bubble",POWER(Upgrades!$U$21,M183),1))+(IF(G183=0,0,(Upgrades!$J$15+G183*Upgrades!$K$15)*POWER(Upgrades!$L$15,G183)))*(IF(Upgrades!$T$13="Microlensing",POWER(Upgrades!$U$13,E183),1)*IF(Upgrades!$T$14="Microlensing",POWER(Upgrades!$U$14,F183),1)*IF(Upgrades!$T$16="Microlensing",POWER(Upgrades!$U$16,H183),1)*IF(Upgrades!$T$17="Microlensing",POWER(Upgrades!$U$17,I183),1)*IF(Upgrades!$T$18="Microlensing",POWER(Upgrades!$U$18,J183),1)*IF(Upgrades!$T$19="Microlensing",POWER(Upgrades!$U$19,K183),1)*IF(Upgrades!$T$20="Microlensing",POWER(Upgrades!$U$20,L183),1)*IF(Upgrades!$T$21="Microlensing",POWER(Upgrades!$U$21,M183),1))+(IF(H183=0,0,(Upgrades!$J$16+H183*Upgrades!$K$16)*POWER(Upgrades!$L$16,H183)))*(IF(Upgrades!$T$13="Roche Lobe Overflow",POWER(Upgrades!$U$13,E183),1)*IF(Upgrades!$T$14="Roche Lobe Overflow",POWER(Upgrades!$U$14,F183),1)*IF(Upgrades!$T$15="Roche Lobe Overflow",POWER(Upgrades!$U$15,G183),1)*IF(Upgrades!$T$17="Roche Lobe Overflow",POWER(Upgrades!$U$17,I183),1)*IF(Upgrades!$T$18="Roche Lobe Overflow",POWER(Upgrades!$U$18,J183),1)*IF(Upgrades!$T$19="Roche Lobe Overflow",POWER(Upgrades!$U$19,K183),1)*IF(Upgrades!$T$20="Roche Lobe Overflow",POWER(Upgrades!$U$20,L183),1)*IF(Upgrades!$T$21="Roche Lobe Overflow",POWER(Upgrades!$U$21,M183),1))+(IF(I183=0,0,(Upgrades!$J$17+I183*Upgrades!$K$17)*POWER(Upgrades!$L$17,I183)))*(IF(Upgrades!$T$13="Brown Dwarf",POWER(Upgrades!$U$13,E183),1)*IF(Upgrades!$T$14="Brown Dwarf",POWER(Upgrades!$U$14,F183),1)*IF(Upgrades!$T$15="Brown Dwarf",POWER(Upgrades!$U$15,G183),1)*IF(Upgrades!$T$16="Brown Dwarf",POWER(Upgrades!$U$16,H183),1)*IF(Upgrades!$T$18="Brown Dwarf",POWER(Upgrades!$U$18,J183),1)*IF(Upgrades!$T$19="Brown Dwarf",POWER(Upgrades!$U$19,K183),1)*IF(Upgrades!$T$20="Brown Dwarf",POWER(Upgrades!$U$20,L183),1)*IF(Upgrades!$T$21="Brown Dwarf",POWER(Upgrades!$U$21,M183),1))+(IF(J183=0,0,(Upgrades!$J$18+J183*Upgrades!$K$18)*POWER(Upgrades!$L$18,J183)))*(IF(Upgrades!$T$13="Binary Partner",POWER(Upgrades!$U$13,E183),1)*IF(Upgrades!$T$14="Binary Partner",POWER(Upgrades!$U$14,F183),1)*IF(Upgrades!$T$15="Binary Partner",POWER(Upgrades!$U$15,G183),1)*IF(Upgrades!$T$16="Binary Partner",POWER(Upgrades!$U$16,H183),1)*IF(Upgrades!$T$17="Binary Partner",POWER(Upgrades!$U$17,I183),1)*IF(Upgrades!$T$19="Binary Partner",POWER(Upgrades!$U$19,K183),1)*IF(Upgrades!$T$20="Binary Partner",POWER(Upgrades!$U$20,L183),1)*IF(Upgrades!$T$21="Binary Partner",POWER(Upgrades!$U$21,M183),1))+(IF(K183=0,0,(Upgrades!$J$19+K183*Upgrades!$K$19)*POWER(Upgrades!$L$19,K183)))*(IF(Upgrades!$T$13="Peculiar Velocity",POWER(Upgrades!$U$13,E183),1)*IF(Upgrades!$T$14="Peculiar Velocity",POWER(Upgrades!$U$14,F183),1)*IF(Upgrades!$T$15="Peculiar Velocity",POWER(Upgrades!$U$15,G183),1)*IF(Upgrades!$T$16="Peculiar Velocity",POWER(Upgrades!$U$16,H183),1)*IF(Upgrades!$T$17="Peculiar Velocity",POWER(Upgrades!$U$17,I183),1)*IF(Upgrades!$T$18="Peculiar Velocity",POWER(Upgrades!$U$18,J183),1)*IF(Upgrades!$T$20="Peculiar Velocity",POWER(Upgrades!$U$20,L183),1)*IF(Upgrades!$T$21="Peculiar Velocity",POWER(Upgrades!$U$21,M183),1))+(IF(L183=0,0,(Upgrades!$J$20+L183*Upgrades!$K$20)*POWER(Upgrades!$L$20,L183)))*(IF(Upgrades!$T$13="Open Cluster",POWER(Upgrades!$U$13,E183),1)*IF(Upgrades!$T$14="Open Cluster",POWER(Upgrades!$U$14,F183),1)*IF(Upgrades!$T$15="Open Cluster",POWER(Upgrades!$U$15,G183),1)*IF(Upgrades!$T$16="Open Cluster",POWER(Upgrades!$U$16,H183),1)*IF(Upgrades!$T$17="Open Cluster",POWER(Upgrades!$U$17,I183),1)*IF(Upgrades!$T$18="Open Cluster",POWER(Upgrades!$U$18,J183),1)*IF(Upgrades!$T$19="Open Cluster",POWER(Upgrades!$U$19,K183),1)*IF(Upgrades!$T$21="Open Cluster",POWER(Upgrades!$U$21,M183),1))+(IF(M183=0,0,(Upgrades!$J$21+M183*Upgrades!$K$21)*POWER(Upgrades!$L$21,M183)))*(IF(Upgrades!$T$13="Moving Group",POWER(Upgrades!$U$13,E183),1)*IF(Upgrades!$T$14="Moving Group",POWER(Upgrades!$U$14,F183),1)*IF(Upgrades!$T$15="Moving Group",POWER(Upgrades!$U$15,G183),1)*IF(Upgrades!$T$16="Moving Group",POWER(Upgrades!$U$16,H183),1)*IF(Upgrades!$T$17="Moving Group",POWER(Upgrades!$U$17,I183),1)*IF(Upgrades!$T$18="Moving Group",POWER(Upgrades!$U$18,J183),1)*IF(Upgrades!$T$19="Moving Group",POWER(Upgrades!$U$19,K183),1)*IF(Upgrades!$T$20="Moving Group",POWER(Upgrades!$U$20,L183),1)))*POWER(Upgrades!$Q$13,E183)*POWER(Upgrades!$Q$14,F183)*POWER(Upgrades!$Q$15,G183)*POWER(Upgrades!$Q$16,H183)*POWER(Upgrades!$Q$17,I183)*POWER(Upgrades!$Q$18,J183)*POWER(Upgrades!$Q$19,K183)*POWER(Upgrades!$Q$20,L183)*POWER(Upgrades!$Q$21,M183)*$G$6+$D$6</f>
        <v/>
      </c>
      <c r="P183" s="28">
        <f>((IF(E183=0,0,(Upgrades!$G$13+E183*Upgrades!$H$13)*POWER(Upgrades!$I$13,E183)))*(IF(Upgrades!$T$14="Stellar Kinematics",POWER(Upgrades!$U$14,F183),1)*IF(Upgrades!$T$15="Stellar Kinematics",POWER(Upgrades!$U$15,G183),1)*IF(Upgrades!$T$16="Stellar Kinematics",POWER(Upgrades!$U$16,H183),1)*IF(Upgrades!$T$17="Stellar Kinematics",POWER(Upgrades!$U$17,I183),1)*IF(Upgrades!$T$18="Stellar Kinematics",POWER(Upgrades!$U$18,J183),1)*IF(Upgrades!$T$19="Stellar Kinematics",POWER(Upgrades!$U$19,K183),1)*IF(Upgrades!$T$20="Stellar Kinematics",POWER(Upgrades!$U$20,L183),1)*IF(Upgrades!$T$21="Stellar Kinematics",POWER(Upgrades!$U$21,M183),1))+(IF(F183=0,0,(Upgrades!$G$14+F183*Upgrades!$H$14)*POWER(Upgrades!$I$14,F183)))*(IF(Upgrades!$T$13="Local Bubble",POWER(Upgrades!$U$13,E183),1)*IF(Upgrades!$T$15="Local Bubble",POWER(Upgrades!$U$15,G183),1)*IF(Upgrades!$T$16="Local Bubble",POWER(Upgrades!$U$16,H183),1)*IF(Upgrades!$T$17="Local Bubble",POWER(Upgrades!$U$17,I183),1)*IF(Upgrades!$T$18="Local Bubble",POWER(Upgrades!$U$18,J183),1)*IF(Upgrades!$T$19="Local Bubble",POWER(Upgrades!$U$19,K183),1)*IF(Upgrades!$T$20="Local Bubble",POWER(Upgrades!$U$20,L183),1)*IF(Upgrades!$T$21="Local Bubble",POWER(Upgrades!$U$21,M183),1))+(IF(G183=0,0,(Upgrades!$G$15+G183*Upgrades!$H$15)*POWER(Upgrades!$I$15,G183)))*(IF(Upgrades!$T$13="Microlensing",POWER(Upgrades!$U$13,E183),1)*IF(Upgrades!$T$14="Microlensing",POWER(Upgrades!$U$14,F183),1)*IF(Upgrades!$T$16="Microlensing",POWER(Upgrades!$U$16,H183),1)*IF(Upgrades!$T$17="Microlensing",POWER(Upgrades!$U$17,I183),1)*IF(Upgrades!$T$18="Microlensing",POWER(Upgrades!$U$18,J183),1)*IF(Upgrades!$T$19="Microlensing",POWER(Upgrades!$U$19,K183),1)*IF(Upgrades!$T$20="Microlensing",POWER(Upgrades!$U$20,L183),1)*IF(Upgrades!$T$21="Microlensing",POWER(Upgrades!$U$21,M183),1))+(IF(H183=0,0,(Upgrades!$G$16+H183*Upgrades!$H$16)*POWER(Upgrades!$I$16,H183)))*(IF(Upgrades!$T$13="Roche Lobe Overflow",POWER(Upgrades!$U$13,E183),1)*IF(Upgrades!$T$14="Roche Lobe Overflow",POWER(Upgrades!$U$14,F183),1)*IF(Upgrades!$T$15="Roche Lobe Overflow",POWER(Upgrades!$U$15,G183),1)*IF(Upgrades!$T$17="Roche Lobe Overflow",POWER(Upgrades!$U$17,I183),1)*IF(Upgrades!$T$18="Roche Lobe Overflow",POWER(Upgrades!$U$18,J183),1)*IF(Upgrades!$T$19="Roche Lobe Overflow",POWER(Upgrades!$U$19,K183),1)*IF(Upgrades!$T$20="Roche Lobe Overflow",POWER(Upgrades!$U$20,L183),1)*IF(Upgrades!$T$21="Roche Lobe Overflow",POWER(Upgrades!$U$21,M183),1))+(IF(I183=0,0,(Upgrades!$G$17+I183*Upgrades!$H$17)*POWER(Upgrades!$I$17,I183)))*(IF(Upgrades!$T$13="Brown Dwarf",POWER(Upgrades!$U$13,E183),1)*IF(Upgrades!$T$14="Brown Dwarf",POWER(Upgrades!$U$14,F183),1)*IF(Upgrades!$T$15="Brown Dwarf",POWER(Upgrades!$U$15,G183),1)*IF(Upgrades!$T$16="Brown Dwarf",POWER(Upgrades!$U$16,H183),1)*IF(Upgrades!$T$18="Brown Dwarf",POWER(Upgrades!$U$18,J183),1)*IF(Upgrades!$T$19="Brown Dwarf",POWER(Upgrades!$U$19,K183),1)*IF(Upgrades!$T$20="Brown Dwarf",POWER(Upgrades!$U$20,L183),1)*IF(Upgrades!$T$21="Brown Dwarf",POWER(Upgrades!$U$21,M183),1))+(IF(J183=0,0,(Upgrades!$G$18+J183*Upgrades!$H$18)*POWER(Upgrades!$I$18,J183)))*(IF(Upgrades!$T$13="Binary Partner",POWER(Upgrades!$U$13,E183),1)*IF(Upgrades!$T$14="Binary Partner",POWER(Upgrades!$U$14,F183),1)*IF(Upgrades!$T$15="Binary Partner",POWER(Upgrades!$U$15,G183),1)*IF(Upgrades!$T$16="Binary Partner",POWER(Upgrades!$U$16,H183),1)*IF(Upgrades!$T$17="Binary Partner",POWER(Upgrades!$U$17,I183),1)*IF(Upgrades!$T$19="Binary Partner",POWER(Upgrades!$U$19,K183),1)*IF(Upgrades!$T$20="Binary Partner",POWER(Upgrades!$U$20,L183),1)*IF(Upgrades!$T$21="Binary Partner",POWER(Upgrades!$U$21,M183),1))+(IF(K183=0,0,(Upgrades!$G$19+K183*Upgrades!$H$19)*POWER(Upgrades!$I$19,K183)))*(IF(Upgrades!$T$13="Peculiar Velocity",POWER(Upgrades!$U$13,E183),1)*IF(Upgrades!$T$14="Peculiar Velocity",POWER(Upgrades!$U$14,F183),1)*IF(Upgrades!$T$15="Peculiar Velocity",POWER(Upgrades!$U$15,G183),1)*IF(Upgrades!$T$16="Peculiar Velocity",POWER(Upgrades!$U$16,H183),1)*IF(Upgrades!$T$17="Peculiar Velocity",POWER(Upgrades!$U$17,I183),1)*IF(Upgrades!$T$18="Peculiar Velocity",POWER(Upgrades!$U$18,J183),1)*IF(Upgrades!$T$20="Peculiar Velocity",POWER(Upgrades!$U$20,L183),1)*IF(Upgrades!$T$21="Peculiar Velocity",POWER(Upgrades!$U$21,M183),1))+(IF(L183=0,0,(Upgrades!$G$20+L183*Upgrades!$H$20)*POWER(Upgrades!$I$20,L183)))*(IF(Upgrades!$T$13="Open Cluster",POWER(Upgrades!$U$13,E183),1)*IF(Upgrades!$T$14="Open Cluster",POWER(Upgrades!$U$14,F183),1)*IF(Upgrades!$T$15="Open Cluster",POWER(Upgrades!$U$15,G183),1)*IF(Upgrades!$T$16="Open Cluster",POWER(Upgrades!$U$16,H183),1)*IF(Upgrades!$T$17="Open Cluster",POWER(Upgrades!$U$17,I183),1)*IF(Upgrades!$T$18="Open Cluster",POWER(Upgrades!$U$18,J183),1)*IF(Upgrades!$T$19="Open Cluster",POWER(Upgrades!$U$19,K183),1)*IF(Upgrades!$T$21="Open Cluster",POWER(Upgrades!$U$21,M183),1))+(IF(M183=0,0,(Upgrades!$G$21+M183*Upgrades!$H$21)*POWER(Upgrades!$I$21,M183)))*(IF(Upgrades!$T$13="Moving Group",POWER(Upgrades!$U$13,E183),1)*IF(Upgrades!$T$14="Moving Group",POWER(Upgrades!$U$14,F183),1)*IF(Upgrades!$T$15="Moving Group",POWER(Upgrades!$U$15,G183),1)*IF(Upgrades!$T$16="Moving Group",POWER(Upgrades!$U$16,H183),1)*IF(Upgrades!$T$17="Moving Group",POWER(Upgrades!$U$17,I183),1)*IF(Upgrades!$T$18="Moving Group",POWER(Upgrades!$U$18,J183),1)*IF(Upgrades!$T$19="Moving Group",POWER(Upgrades!$U$19,K183),1)*IF(Upgrades!$T$20="Moving Group",POWER(Upgrades!$U$20,L183),1)))*POWER(Upgrades!$P$13,E183)*POWER(Upgrades!$P$14,F183)*POWER(Upgrades!$P$15,G183)*POWER(Upgrades!$P$16,H183)*POWER(Upgrades!$P$17,I183)*POWER(Upgrades!$P$18,J183)*POWER(Upgrades!$P$19,K183)*POWER(Upgrades!$P$20,L183)*POWER(Upgrades!$P$21,M183)*$F$6+$C$6</f>
        <v/>
      </c>
      <c r="Q183" s="28">
        <f>((IF(E183=0,0,(Upgrades!$M$13+E183*Upgrades!$N$13)*POWER(Upgrades!$O$13,E183)))*(IF(Upgrades!$T$14="Stellar Kinematics",POWER(Upgrades!$U$14,F183),1)*IF(Upgrades!$T$15="Stellar Kinematics",POWER(Upgrades!$U$15,G183),1)*IF(Upgrades!$T$16="Stellar Kinematics",POWER(Upgrades!$U$16,H183),1)*IF(Upgrades!$T$17="Stellar Kinematics",POWER(Upgrades!$U$17,I183),1)*IF(Upgrades!$T$18="Stellar Kinematics",POWER(Upgrades!$U$18,J183),1)*IF(Upgrades!$T$19="Stellar Kinematics",POWER(Upgrades!$U$19,K183),1)*IF(Upgrades!$T$20="Stellar Kinematics",POWER(Upgrades!$U$20,L183),1)*IF(Upgrades!$T$21="Stellar Kinematics",POWER(Upgrades!$U$21,M183),1))+(IF(F183=0,0,(Upgrades!$M$14+F183*Upgrades!$N$14)*POWER(Upgrades!$O$14,F183)))*(IF(Upgrades!$T$13="Local Bubble",POWER(Upgrades!$U$13,E183),1)*IF(Upgrades!$T$15="Local Bubble",POWER(Upgrades!$U$15,G183),1)*IF(Upgrades!$T$16="Local Bubble",POWER(Upgrades!$U$16,H183),1)*IF(Upgrades!$T$17="Local Bubble",POWER(Upgrades!$U$17,I183),1)*IF(Upgrades!$T$18="Local Bubble",POWER(Upgrades!$U$18,J183),1)*IF(Upgrades!$T$19="Local Bubble",POWER(Upgrades!$U$19,K183),1)*IF(Upgrades!$T$20="Local Bubble",POWER(Upgrades!$U$20,L183),1)*IF(Upgrades!$T$21="Local Bubble",POWER(Upgrades!$U$21,M183),1))+(IF(G183=0,0,(Upgrades!$M$15+G183*Upgrades!$N$15)*POWER(Upgrades!$O$15,G183)))*(IF(Upgrades!$T$13="Microlensing",POWER(Upgrades!$U$13,E183),1)*IF(Upgrades!$T$14="Microlensing",POWER(Upgrades!$U$14,F183),1)*IF(Upgrades!$T$16="Microlensing",POWER(Upgrades!$U$16,H183),1)*IF(Upgrades!$T$17="Microlensing",POWER(Upgrades!$U$17,I183),1)*IF(Upgrades!$T$18="Microlensing",POWER(Upgrades!$U$18,J183),1)*IF(Upgrades!$T$19="Microlensing",POWER(Upgrades!$U$19,K183),1)*IF(Upgrades!$T$20="Microlensing",POWER(Upgrades!$U$20,L183),1)*IF(Upgrades!$T$21="Microlensing",POWER(Upgrades!$U$21,M183),1))+(IF(H183=0,0,(Upgrades!$M$16+H183*Upgrades!$N$16)*POWER(Upgrades!$O$16,H183)))*(IF(Upgrades!$T$13="Roche Lobe Overflow",POWER(Upgrades!$U$13,E183),1)*IF(Upgrades!$T$14="Roche Lobe Overflow",POWER(Upgrades!$U$14,F183),1)*IF(Upgrades!$T$15="Roche Lobe Overflow",POWER(Upgrades!$U$15,G183),1)*IF(Upgrades!$T$17="Roche Lobe Overflow",POWER(Upgrades!$U$17,I183),1)*IF(Upgrades!$T$18="Roche Lobe Overflow",POWER(Upgrades!$U$18,J183),1)*IF(Upgrades!$T$19="Roche Lobe Overflow",POWER(Upgrades!$U$19,K183),1)*IF(Upgrades!$T$20="Roche Lobe Overflow",POWER(Upgrades!$U$20,L183),1)*IF(Upgrades!$T$21="Roche Lobe Overflow",POWER(Upgrades!$U$21,M183),1))+(IF(I183=0,0,(Upgrades!$M$17+I183*Upgrades!$N$17)*POWER(Upgrades!$O$17,I183)))*(IF(Upgrades!$T$13="Brown Dwarf",POWER(Upgrades!$U$13,E183),1)*IF(Upgrades!$T$14="Brown Dwarf",POWER(Upgrades!$U$14,F183),1)*IF(Upgrades!$T$15="Brown Dwarf",POWER(Upgrades!$U$15,G183),1)*IF(Upgrades!$T$16="Brown Dwarf",POWER(Upgrades!$U$16,H183),1)*IF(Upgrades!$T$18="Brown Dwarf",POWER(Upgrades!$U$18,J183),1)*IF(Upgrades!$T$19="Brown Dwarf",POWER(Upgrades!$U$19,K183),1)*IF(Upgrades!$T$20="Brown Dwarf",POWER(Upgrades!$U$20,L183),1)*IF(Upgrades!$T$21="Brown Dwarf",POWER(Upgrades!$U$21,M183),1))+(IF(J183=0,0,(Upgrades!$M$18+J183*Upgrades!$N$18)*POWER(Upgrades!$O$18,J183)))*(IF(Upgrades!$T$13="Binary Partner",POWER(Upgrades!$U$13,E183),1)*IF(Upgrades!$T$14="Binary Partner",POWER(Upgrades!$U$14,F183),1)*IF(Upgrades!$T$15="Binary Partner",POWER(Upgrades!$U$15,G183),1)*IF(Upgrades!$T$16="Binary Partner",POWER(Upgrades!$U$16,H183),1)*IF(Upgrades!$T$17="Binary Partner",POWER(Upgrades!$U$17,I183),1)*IF(Upgrades!$T$19="Binary Partner",POWER(Upgrades!$U$19,K183),1)*IF(Upgrades!$T$20="Binary Partner",POWER(Upgrades!$U$20,L183),1)*IF(Upgrades!$T$21="Binary Partner",POWER(Upgrades!$U$21,M183),1))+(IF(K183=0,0,(Upgrades!$M$19+K183*Upgrades!$N$19)*POWER(Upgrades!$O$19,K183)))*(IF(Upgrades!$T$13="Peculiar Velocity",POWER(Upgrades!$U$13,E183),1)*IF(Upgrades!$T$14="Peculiar Velocity",POWER(Upgrades!$U$14,F183),1)*IF(Upgrades!$T$15="Peculiar Velocity",POWER(Upgrades!$U$15,G183),1)*IF(Upgrades!$T$16="Peculiar Velocity",POWER(Upgrades!$U$16,H183),1)*IF(Upgrades!$T$17="Peculiar Velocity",POWER(Upgrades!$U$17,I183),1)*IF(Upgrades!$T$18="Peculiar Velocity",POWER(Upgrades!$U$18,J183),1)*IF(Upgrades!$T$20="Peculiar Velocity",POWER(Upgrades!$U$20,L183),1)*IF(Upgrades!$T$21="Peculiar Velocity",POWER(Upgrades!$U$21,M183),1))+(IF(L183=0,0,(Upgrades!$M$20+L183*Upgrades!$N$20)*POWER(Upgrades!$O$20,L183)))*(IF(Upgrades!$T$13="Open Cluster",POWER(Upgrades!$U$13,E183),1)*IF(Upgrades!$T$14="Open Cluster",POWER(Upgrades!$U$14,F183),1)*IF(Upgrades!$T$15="Open Cluster",POWER(Upgrades!$U$15,G183),1)*IF(Upgrades!$T$16="Open Cluster",POWER(Upgrades!$U$16,H183),1)*IF(Upgrades!$T$17="Open Cluster",POWER(Upgrades!$U$17,I183),1)*IF(Upgrades!$T$18="Open Cluster",POWER(Upgrades!$U$18,J183),1)*IF(Upgrades!$T$19="Open Cluster",POWER(Upgrades!$U$19,K183),1)*IF(Upgrades!$T$21="Open Cluster",POWER(Upgrades!$U$21,M183),1))+(IF(M183=0,0,(Upgrades!$M$21+M183*Upgrades!$N$21)*POWER(Upgrades!$O$21,M183)))*(IF(Upgrades!$T$13="Moving Group",POWER(Upgrades!$U$13,E183),1)*IF(Upgrades!$T$14="Moving Group",POWER(Upgrades!$U$14,F183),1)*IF(Upgrades!$T$15="Moving Group",POWER(Upgrades!$U$15,G183),1)*IF(Upgrades!$T$16="Moving Group",POWER(Upgrades!$U$16,H183),1)*IF(Upgrades!$T$17="Moving Group",POWER(Upgrades!$U$17,I183),1)*IF(Upgrades!$T$18="Moving Group",POWER(Upgrades!$U$18,J183),1)*IF(Upgrades!$T$19="Moving Group",POWER(Upgrades!$U$19,K183),1)*IF(Upgrades!$T$20="Moving Group",POWER(Upgrades!$U$20,L183),1)))*POWER(Upgrades!$R$13,E183)*POWER(Upgrades!$R$14,F183)*POWER(Upgrades!$R$15,G183)*POWER(Upgrades!$R$16,H183)*POWER(Upgrades!$R$17,I183)*POWER(Upgrades!$R$18,J183)*POWER(Upgrades!$R$19,K183)*POWER(Upgrades!$R$20,L183)*POWER(Upgrades!$R$21,M183)*$H$6+$E$6</f>
        <v/>
      </c>
      <c r="R183" s="27">
        <f>IF(N183=1,0,O183*Parameters!$B$10/60*Parameters!$B$11*10)</f>
        <v/>
      </c>
      <c r="S183" s="27">
        <f>IF(N183=1,0,Q183*O183*10)</f>
        <v/>
      </c>
      <c r="T183" s="27">
        <f>IF(N183=1,0,R183+S183+P183*10)</f>
        <v/>
      </c>
      <c r="U183" s="33">
        <f>BE183</f>
        <v/>
      </c>
      <c r="V183" s="22">
        <f>IF(U183="",0,IF(U183="transition",0,IF(U183="SK",AK183,IF(U183="LB",AL183,IF(U183="ML",AM183,IF(U183="RLO",AN183,IF(U183="BD",AO183,IF(U183="BiP",AP183,IF(U183="PV",AQ183,IF(U183="OC",AR183,IF(U183="MG",AS183,0))))))))))</f>
        <v/>
      </c>
      <c r="W183" s="27">
        <f>IF(U183="BiP",Upgrades!$F$18,IF(U183="PV",Upgrades!$F$19,IF(U183="OC",Upgrades!$F$20,IF(U183="MG",Upgrades!$F$21,IF(U183="transition",-Parameters!$B$18*Parameters!$B$19,0)))))</f>
        <v/>
      </c>
      <c r="X183" s="22">
        <f>C183+T183-V183</f>
        <v/>
      </c>
      <c r="Y183" s="30">
        <f>O183*Parameters!$B$10/60*Parameters!$B$11+Q183*O183+P183</f>
        <v/>
      </c>
      <c r="Z183" s="34">
        <f>IF(U183="transition","→ Tier 3 (Galactic Arm)",IF(U183="MG","Moving Group — pocket drifts together",IF(U183="OC","Open Cluster acquired",IF(U183="PV","Peculiar Velocity — passive multiplier active",IF(U183="BiP","Binary Partner — pair bond formed",IF(AND(AU183=1,N183=0,AT183&lt;&gt;1),"Cohesion ready (waiting on completionists)","")))))) </f>
        <v/>
      </c>
      <c r="AA183" s="27">
        <f>(IF(E183=0,0,(Upgrades!$G$13+E183*Upgrades!$H$13)*POWER(Upgrades!$I$13,E183)))*(IF(Upgrades!$T$14="Stellar Kinematics",POWER(Upgrades!$U$14,F183),1)*IF(Upgrades!$T$15="Stellar Kinematics",POWER(Upgrades!$U$15,G183),1)*IF(Upgrades!$T$16="Stellar Kinematics",POWER(Upgrades!$U$16,H183),1)*IF(Upgrades!$T$17="Stellar Kinematics",POWER(Upgrades!$U$17,I183),1)*IF(Upgrades!$T$18="Stellar Kinematics",POWER(Upgrades!$U$18,J183),1)*IF(Upgrades!$T$19="Stellar Kinematics",POWER(Upgrades!$U$19,K183),1)*IF(Upgrades!$T$20="Stellar Kinematics",POWER(Upgrades!$U$20,L183),1)*IF(Upgrades!$T$21="Stellar Kinematics",POWER(Upgrades!$U$21,M183),1))*POWER(Upgrades!$P$13,E183)*POWER(Upgrades!$P$14,F183)*POWER(Upgrades!$P$15,G183)*POWER(Upgrades!$P$16,H183)*POWER(Upgrades!$P$17,I183)*POWER(Upgrades!$P$18,J183)*POWER(Upgrades!$P$19,K183)*POWER(Upgrades!$P$20,L183)*POWER(Upgrades!$P$21,M183)*$F$6*60</f>
        <v/>
      </c>
      <c r="AB183" s="27">
        <f>(IF(F183=0,0,(Upgrades!$G$14+F183*Upgrades!$H$14)*POWER(Upgrades!$I$14,F183)))*(IF(Upgrades!$T$13="Local Bubble",POWER(Upgrades!$U$13,E183),1)*IF(Upgrades!$T$15="Local Bubble",POWER(Upgrades!$U$15,G183),1)*IF(Upgrades!$T$16="Local Bubble",POWER(Upgrades!$U$16,H183),1)*IF(Upgrades!$T$17="Local Bubble",POWER(Upgrades!$U$17,I183),1)*IF(Upgrades!$T$18="Local Bubble",POWER(Upgrades!$U$18,J183),1)*IF(Upgrades!$T$19="Local Bubble",POWER(Upgrades!$U$19,K183),1)*IF(Upgrades!$T$20="Local Bubble",POWER(Upgrades!$U$20,L183),1)*IF(Upgrades!$T$21="Local Bubble",POWER(Upgrades!$U$21,M183),1))*POWER(Upgrades!$P$13,E183)*POWER(Upgrades!$P$14,F183)*POWER(Upgrades!$P$15,G183)*POWER(Upgrades!$P$16,H183)*POWER(Upgrades!$P$17,I183)*POWER(Upgrades!$P$18,J183)*POWER(Upgrades!$P$19,K183)*POWER(Upgrades!$P$20,L183)*POWER(Upgrades!$P$21,M183)*$F$6*60</f>
        <v/>
      </c>
      <c r="AC183" s="27">
        <f>(IF(G183=0,0,(Upgrades!$J$15+G183*Upgrades!$K$15)*POWER(Upgrades!$L$15,G183)))*(IF(Upgrades!$T$13="Microlensing",POWER(Upgrades!$U$13,E183),1)*IF(Upgrades!$T$14="Microlensing",POWER(Upgrades!$U$14,F183),1)*IF(Upgrades!$T$16="Microlensing",POWER(Upgrades!$U$16,H183),1)*IF(Upgrades!$T$17="Microlensing",POWER(Upgrades!$U$17,I183),1)*IF(Upgrades!$T$18="Microlensing",POWER(Upgrades!$U$18,J183),1)*IF(Upgrades!$T$19="Microlensing",POWER(Upgrades!$U$19,K183),1)*IF(Upgrades!$T$20="Microlensing",POWER(Upgrades!$U$20,L183),1)*IF(Upgrades!$T$21="Microlensing",POWER(Upgrades!$U$21,M183),1))*POWER(Upgrades!$Q$13,E183)*POWER(Upgrades!$Q$14,F183)*POWER(Upgrades!$Q$15,G183)*POWER(Upgrades!$Q$16,H183)*POWER(Upgrades!$Q$17,I183)*POWER(Upgrades!$Q$18,J183)*POWER(Upgrades!$Q$19,K183)*POWER(Upgrades!$Q$20,L183)*POWER(Upgrades!$Q$21,M183)*$G$6*(Parameters!$B$10*Parameters!$B$11+Q183*60)</f>
        <v/>
      </c>
      <c r="AD183" s="27">
        <f>(IF(H183=0,0,(Upgrades!$M$16+H183*Upgrades!$N$16)*POWER(Upgrades!$O$16,H183)))*(IF(Upgrades!$T$13="Roche Lobe Overflow",POWER(Upgrades!$U$13,E183),1)*IF(Upgrades!$T$14="Roche Lobe Overflow",POWER(Upgrades!$U$14,F183),1)*IF(Upgrades!$T$15="Roche Lobe Overflow",POWER(Upgrades!$U$15,G183),1)*IF(Upgrades!$T$17="Roche Lobe Overflow",POWER(Upgrades!$U$17,I183),1)*IF(Upgrades!$T$18="Roche Lobe Overflow",POWER(Upgrades!$U$18,J183),1)*IF(Upgrades!$T$19="Roche Lobe Overflow",POWER(Upgrades!$U$19,K183),1)*IF(Upgrades!$T$20="Roche Lobe Overflow",POWER(Upgrades!$U$20,L183),1)*IF(Upgrades!$T$21="Roche Lobe Overflow",POWER(Upgrades!$U$21,M183),1))*POWER(Upgrades!$R$13,E183)*POWER(Upgrades!$R$14,F183)*POWER(Upgrades!$R$15,G183)*POWER(Upgrades!$R$16,H183)*POWER(Upgrades!$R$17,I183)*POWER(Upgrades!$R$18,J183)*POWER(Upgrades!$R$19,K183)*POWER(Upgrades!$R$20,L183)*POWER(Upgrades!$R$21,M183)*$H$6*O183*60</f>
        <v/>
      </c>
      <c r="AE183" s="27">
        <f>(IF(I183=0,0,(Upgrades!$G$17+I183*Upgrades!$H$17)*POWER(Upgrades!$I$17,I183)))*(IF(Upgrades!$T$13="Brown Dwarf",POWER(Upgrades!$U$13,E183),1)*IF(Upgrades!$T$14="Brown Dwarf",POWER(Upgrades!$U$14,F183),1)*IF(Upgrades!$T$15="Brown Dwarf",POWER(Upgrades!$U$15,G183),1)*IF(Upgrades!$T$16="Brown Dwarf",POWER(Upgrades!$U$16,H183),1)*IF(Upgrades!$T$18="Brown Dwarf",POWER(Upgrades!$U$18,J183),1)*IF(Upgrades!$T$19="Brown Dwarf",POWER(Upgrades!$U$19,K183),1)*IF(Upgrades!$T$20="Brown Dwarf",POWER(Upgrades!$U$20,L183),1)*IF(Upgrades!$T$21="Brown Dwarf",POWER(Upgrades!$U$21,M183),1))*POWER(Upgrades!$P$13,E183)*POWER(Upgrades!$P$14,F183)*POWER(Upgrades!$P$15,G183)*POWER(Upgrades!$P$16,H183)*POWER(Upgrades!$P$17,I183)*POWER(Upgrades!$P$18,J183)*POWER(Upgrades!$P$19,K183)*POWER(Upgrades!$P$20,L183)*POWER(Upgrades!$P$21,M183)*$F$6*60</f>
        <v/>
      </c>
      <c r="AF183" s="27" t="n">
        <v>0</v>
      </c>
      <c r="AG183" s="27" t="n">
        <v>0</v>
      </c>
      <c r="AH183" s="27" t="n">
        <v>0</v>
      </c>
      <c r="AI183" s="27">
        <f>(IF(M183=0,0,(Upgrades!$G$21+M183*Upgrades!$H$21)*POWER(Upgrades!$I$21,M183)))*(IF(Upgrades!$T$13="Moving Group",POWER(Upgrades!$U$13,E183),1)*IF(Upgrades!$T$14="Moving Group",POWER(Upgrades!$U$14,F183),1)*IF(Upgrades!$T$15="Moving Group",POWER(Upgrades!$U$15,G183),1)*IF(Upgrades!$T$16="Moving Group",POWER(Upgrades!$U$16,H183),1)*IF(Upgrades!$T$17="Moving Group",POWER(Upgrades!$U$17,I183),1)*IF(Upgrades!$T$18="Moving Group",POWER(Upgrades!$U$18,J183),1)*IF(Upgrades!$T$19="Moving Group",POWER(Upgrades!$U$19,K183),1)*IF(Upgrades!$T$20="Moving Group",POWER(Upgrades!$U$20,L183),1))*POWER(Upgrades!$P$13,E183)*POWER(Upgrades!$P$14,F183)*POWER(Upgrades!$P$15,G183)*POWER(Upgrades!$P$16,H183)*POWER(Upgrades!$P$17,I183)*POWER(Upgrades!$P$18,J183)*POWER(Upgrades!$P$19,K183)*POWER(Upgrades!$P$20,L183)*POWER(Upgrades!$P$21,M183)*$F$6*60</f>
        <v/>
      </c>
      <c r="AJ183" s="27">
        <f>$C$6*60</f>
        <v/>
      </c>
      <c r="AK183" s="22">
        <f>IF(E183&gt;=Upgrades!$E$13,"",Upgrades!$C$13*POWER(Upgrades!$D$13,E183))</f>
        <v/>
      </c>
      <c r="AL183" s="22">
        <f>IF(F183&gt;=Upgrades!$E$14,"",Upgrades!$C$14*POWER(Upgrades!$D$14,F183))</f>
        <v/>
      </c>
      <c r="AM183" s="22">
        <f>IF(G183&gt;=Upgrades!$E$15,"",Upgrades!$C$15*POWER(Upgrades!$D$15,G183))</f>
        <v/>
      </c>
      <c r="AN183" s="22">
        <f>IF(H183&gt;=Upgrades!$E$16,"",Upgrades!$C$16*POWER(Upgrades!$D$16,H183))</f>
        <v/>
      </c>
      <c r="AO183" s="22">
        <f>IF(I183&gt;=Upgrades!$E$17,"",Upgrades!$C$17*POWER(Upgrades!$D$17,I183))</f>
        <v/>
      </c>
      <c r="AP183" s="22">
        <f>IF(J183&gt;=Upgrades!$E$18,"",Upgrades!$C$18*POWER(Upgrades!$D$18,J183))</f>
        <v/>
      </c>
      <c r="AQ183" s="22">
        <f>IF(K183&gt;=Upgrades!$E$19,"",Upgrades!$C$19*POWER(Upgrades!$D$19,K183))</f>
        <v/>
      </c>
      <c r="AR183" s="22">
        <f>IF(L183&gt;=Upgrades!$E$20,"",Upgrades!$C$20*POWER(Upgrades!$D$20,L183))</f>
        <v/>
      </c>
      <c r="AS183" s="22">
        <f>IF(M183&gt;=Upgrades!$E$21,"",Upgrades!$C$21*POWER(Upgrades!$D$21,M183))</f>
        <v/>
      </c>
      <c r="AT183" s="26">
        <f>IF(AND(D183&gt;=Parameters!$B$18*Parameters!$B$19,(I183&gt;=Upgrades!$E$17)*(M183&gt;=Upgrades!$E$21)=1,N183=0),1,"")</f>
        <v/>
      </c>
      <c r="AU183" s="26">
        <f>IF(AND(D183&gt;=Parameters!$B$18*Parameters!$B$19,N183=0),1,"")</f>
        <v/>
      </c>
      <c r="AV183" s="22">
        <f>MIN(IF(ISNUMBER(AP183),AP183,9E15),IF(ISNUMBER(AQ183),AQ183,9E15),IF(ISNUMBER(AR183),AR183,9E15),IF(ISNUMBER(AS183),AS183,9E15))</f>
        <v/>
      </c>
      <c r="AW183" s="22">
        <f>MIN(IF(ISNUMBER(AK183),AK183,9E15),IF(ISNUMBER(AL183),AL183,9E15),IF(ISNUMBER(AM183),AM183,9E15),IF(ISNUMBER(AN183),AN183,9E15),IF(ISNUMBER(AO183),AO183,9E15))</f>
        <v/>
      </c>
      <c r="AX183" s="29">
        <f>IF(BD183&gt;Parameters!$B$21*(MAX(IF(AND(NOT(AND(AU183=1,AT183&lt;&gt;1)),ISNUMBER(AK183),AK183&lt;=(C183+T183)),AY183,0),IF(AND(NOT(AND(AU183=1,AT183&lt;&gt;1)),ISNUMBER(AL183),AL183&lt;=(C183+T183)),AZ183,0),IF(AND(NOT(AND(AU183=1,AT183&lt;&gt;1)),ISNUMBER(AM183),AM183&lt;=(C183+T183)),BA183,0),IF(AND(NOT(AND(AU183=1,AT183&lt;&gt;1)),ISNUMBER(AN183),AN183&lt;=(C183+T183)),BB183,0),IF(AND(ISNUMBER(AO183),AO183&lt;=(C183+T183)),BC183,0))),TRUE,FALSE)</f>
        <v/>
      </c>
      <c r="AY183" s="32">
        <f>IFERROR(Upgrades!$H$13*(POWER(Upgrades!$P$13,E183)*POWER(Upgrades!$P$14,F183)*POWER(Upgrades!$P$15,G183)*POWER(Upgrades!$P$16,H183)*POWER(Upgrades!$P$17,I183)*POWER(Upgrades!$P$18,J183)*POWER(Upgrades!$P$19,K183)*POWER(Upgrades!$P$20,L183)*POWER(Upgrades!$P$21,M183))*(IF(Upgrades!$T$14="Stellar Kinematics",POWER(Upgrades!$U$14,F183),1)*IF(Upgrades!$T$15="Stellar Kinematics",POWER(Upgrades!$U$15,G183),1)*IF(Upgrades!$T$16="Stellar Kinematics",POWER(Upgrades!$U$16,H183),1)*IF(Upgrades!$T$17="Stellar Kinematics",POWER(Upgrades!$U$17,I183),1)*IF(Upgrades!$T$18="Stellar Kinematics",POWER(Upgrades!$U$18,J183),1)*IF(Upgrades!$T$19="Stellar Kinematics",POWER(Upgrades!$U$19,K183),1)*IF(Upgrades!$T$20="Stellar Kinematics",POWER(Upgrades!$U$20,L183),1)*IF(Upgrades!$T$21="Stellar Kinematics",POWER(Upgrades!$U$21,M183),1))*$F$6/AK183,0)</f>
        <v/>
      </c>
      <c r="AZ183" s="32">
        <f>IFERROR(Upgrades!$H$14*(POWER(Upgrades!$P$13,E183)*POWER(Upgrades!$P$14,F183)*POWER(Upgrades!$P$15,G183)*POWER(Upgrades!$P$16,H183)*POWER(Upgrades!$P$17,I183)*POWER(Upgrades!$P$18,J183)*POWER(Upgrades!$P$19,K183)*POWER(Upgrades!$P$20,L183)*POWER(Upgrades!$P$21,M183))*(IF(Upgrades!$T$13="Local Bubble",POWER(Upgrades!$U$13,E183),1)*IF(Upgrades!$T$15="Local Bubble",POWER(Upgrades!$U$15,G183),1)*IF(Upgrades!$T$16="Local Bubble",POWER(Upgrades!$U$16,H183),1)*IF(Upgrades!$T$17="Local Bubble",POWER(Upgrades!$U$17,I183),1)*IF(Upgrades!$T$18="Local Bubble",POWER(Upgrades!$U$18,J183),1)*IF(Upgrades!$T$19="Local Bubble",POWER(Upgrades!$U$19,K183),1)*IF(Upgrades!$T$20="Local Bubble",POWER(Upgrades!$U$20,L183),1)*IF(Upgrades!$T$21="Local Bubble",POWER(Upgrades!$U$21,M183),1))*$F$6/AL183,0)</f>
        <v/>
      </c>
      <c r="BA183" s="32">
        <f>IFERROR(Upgrades!$K$15*(POWER(Upgrades!$Q$13,E183)*POWER(Upgrades!$Q$14,F183)*POWER(Upgrades!$Q$15,G183)*POWER(Upgrades!$Q$16,H183)*POWER(Upgrades!$Q$17,I183)*POWER(Upgrades!$Q$18,J183)*POWER(Upgrades!$Q$19,K183)*POWER(Upgrades!$Q$20,L183)*POWER(Upgrades!$Q$21,M183))*(IF(Upgrades!$T$13="Microlensing",POWER(Upgrades!$U$13,E183),1)*IF(Upgrades!$T$14="Microlensing",POWER(Upgrades!$U$14,F183),1)*IF(Upgrades!$T$16="Microlensing",POWER(Upgrades!$U$16,H183),1)*IF(Upgrades!$T$17="Microlensing",POWER(Upgrades!$U$17,I183),1)*IF(Upgrades!$T$18="Microlensing",POWER(Upgrades!$U$18,J183),1)*IF(Upgrades!$T$19="Microlensing",POWER(Upgrades!$U$19,K183),1)*IF(Upgrades!$T$20="Microlensing",POWER(Upgrades!$U$20,L183),1)*IF(Upgrades!$T$21="Microlensing",POWER(Upgrades!$U$21,M183),1))*$G$6*(Parameters!$B$10/60*Parameters!$B$11+Q183)/AM183,0)</f>
        <v/>
      </c>
      <c r="BB183" s="32">
        <f>IFERROR((Upgrades!$N$16*(POWER(Upgrades!$R$13,E183)*POWER(Upgrades!$R$14,F183)*POWER(Upgrades!$R$15,G183)*POWER(Upgrades!$R$16,H183)*POWER(Upgrades!$R$17,I183)*POWER(Upgrades!$R$18,J183)*POWER(Upgrades!$R$19,K183)*POWER(Upgrades!$R$20,L183)*POWER(Upgrades!$R$21,M183))*(IF(Upgrades!$T$13="Roche Lobe Overflow",POWER(Upgrades!$U$13,E183),1)*IF(Upgrades!$T$14="Roche Lobe Overflow",POWER(Upgrades!$U$14,F183),1)*IF(Upgrades!$T$15="Roche Lobe Overflow",POWER(Upgrades!$U$15,G183),1)*IF(Upgrades!$T$17="Roche Lobe Overflow",POWER(Upgrades!$U$17,I183),1)*IF(Upgrades!$T$18="Roche Lobe Overflow",POWER(Upgrades!$U$18,J183),1)*IF(Upgrades!$T$19="Roche Lobe Overflow",POWER(Upgrades!$U$19,K183),1)*IF(Upgrades!$T$20="Roche Lobe Overflow",POWER(Upgrades!$U$20,L183),1)*IF(Upgrades!$T$21="Roche Lobe Overflow",POWER(Upgrades!$U$21,M183),1))*$H$6*O183+((IF(F183=0,0,(Upgrades!$G$14+F183*Upgrades!$H$14)*POWER(Upgrades!$I$14,F183)))*(IF(Upgrades!$T$13="Local Bubble",POWER(Upgrades!$U$13,E183),1)*IF(Upgrades!$T$15="Local Bubble",POWER(Upgrades!$U$15,G183),1)*IF(Upgrades!$T$16="Local Bubble",POWER(Upgrades!$U$16,H183),1)*IF(Upgrades!$T$17="Local Bubble",POWER(Upgrades!$U$17,I183),1)*IF(Upgrades!$T$18="Local Bubble",POWER(Upgrades!$U$18,J183),1)*IF(Upgrades!$T$19="Local Bubble",POWER(Upgrades!$U$19,K183),1)*IF(Upgrades!$T$20="Local Bubble",POWER(Upgrades!$U$20,L183),1)*IF(Upgrades!$T$21="Local Bubble",POWER(Upgrades!$U$21,M183),1))*POWER(Upgrades!$P$13,E183)*POWER(Upgrades!$P$14,F183)*POWER(Upgrades!$P$15,G183)*POWER(Upgrades!$P$16,H183)*POWER(Upgrades!$P$17,I183)*POWER(Upgrades!$P$18,J183)*POWER(Upgrades!$P$19,K183)*POWER(Upgrades!$P$20,L183)*POWER(Upgrades!$P$21,M183)*$F$6)*0.05)/AN183,0)</f>
        <v/>
      </c>
      <c r="BC183" s="32">
        <f>IFERROR((Upgrades!$H$17*(POWER(Upgrades!$P$13,E183)*POWER(Upgrades!$P$14,F183)*POWER(Upgrades!$P$15,G183)*POWER(Upgrades!$P$16,H183)*POWER(Upgrades!$P$17,I183)*POWER(Upgrades!$P$18,J183)*POWER(Upgrades!$P$19,K183)*POWER(Upgrades!$P$20,L183)*POWER(Upgrades!$P$21,M183))*(IF(Upgrades!$T$13="Brown Dwarf",POWER(Upgrades!$U$13,E183),1)*IF(Upgrades!$T$14="Brown Dwarf",POWER(Upgrades!$U$14,F183),1)*IF(Upgrades!$T$15="Brown Dwarf",POWER(Upgrades!$U$15,G183),1)*IF(Upgrades!$T$16="Brown Dwarf",POWER(Upgrades!$U$16,H183),1)*IF(Upgrades!$T$18="Brown Dwarf",POWER(Upgrades!$U$18,J183),1)*IF(Upgrades!$T$19="Brown Dwarf",POWER(Upgrades!$U$19,K183),1)*IF(Upgrades!$T$20="Brown Dwarf",POWER(Upgrades!$U$20,L183),1)*IF(Upgrades!$T$21="Brown Dwarf",POWER(Upgrades!$U$21,M183),1))*$F$6+(((IF(H183=0,0,(Upgrades!$M$16+H183*Upgrades!$N$16)*POWER(Upgrades!$O$16,H183)))*(IF(Upgrades!$T$13="Roche Lobe Overflow",POWER(Upgrades!$U$13,E183),1)*IF(Upgrades!$T$14="Roche Lobe Overflow",POWER(Upgrades!$U$14,F183),1)*IF(Upgrades!$T$15="Roche Lobe Overflow",POWER(Upgrades!$U$15,G183),1)*IF(Upgrades!$T$17="Roche Lobe Overflow",POWER(Upgrades!$U$17,I183),1)*IF(Upgrades!$T$18="Roche Lobe Overflow",POWER(Upgrades!$U$18,J183),1)*IF(Upgrades!$T$19="Roche Lobe Overflow",POWER(Upgrades!$U$19,K183),1)*IF(Upgrades!$T$20="Roche Lobe Overflow",POWER(Upgrades!$U$20,L183),1)*IF(Upgrades!$T$21="Roche Lobe Overflow",POWER(Upgrades!$U$21,M183),1))*POWER(Upgrades!$R$13,E183)*POWER(Upgrades!$R$14,F183)*POWER(Upgrades!$R$15,G183)*POWER(Upgrades!$R$16,H183)*POWER(Upgrades!$R$17,I183)*POWER(Upgrades!$R$18,J183)*POWER(Upgrades!$R$19,K183)*POWER(Upgrades!$R$20,L183)*POWER(Upgrades!$R$21,M183)*$H$6)*O183)*0.10)/AO183,0)</f>
        <v/>
      </c>
      <c r="BD183" s="32">
        <f>MAX(IF(J183&gt;0,0,IFERROR(0.5*((IF(G183=0,0,(Upgrades!$J$15+G183*Upgrades!$K$15)*POWER(Upgrades!$L$15,G183)))*(IF(Upgrades!$T$13="Microlensing",POWER(Upgrades!$U$13,E183),1)*IF(Upgrades!$T$14="Microlensing",POWER(Upgrades!$U$14,F183),1)*IF(Upgrades!$T$16="Microlensing",POWER(Upgrades!$U$16,H183),1)*IF(Upgrades!$T$17="Microlensing",POWER(Upgrades!$U$17,I183),1)*IF(Upgrades!$T$18="Microlensing",POWER(Upgrades!$U$18,J183),1)*IF(Upgrades!$T$19="Microlensing",POWER(Upgrades!$U$19,K183),1)*IF(Upgrades!$T$20="Microlensing",POWER(Upgrades!$U$20,L183),1)*IF(Upgrades!$T$21="Microlensing",POWER(Upgrades!$U$21,M183),1))*(POWER(Upgrades!$Q$13,E183)*POWER(Upgrades!$Q$14,F183)*POWER(Upgrades!$Q$15,G183)*POWER(Upgrades!$Q$16,H183)*POWER(Upgrades!$Q$17,I183)*POWER(Upgrades!$Q$18,J183)*POWER(Upgrades!$Q$19,K183)*POWER(Upgrades!$Q$20,L183)*POWER(Upgrades!$Q$21,M183))*$G$6*(Parameters!$B$10/60*Parameters!$B$11+Q183))/Upgrades!$C$18,0)),IF(K183&gt;0,0,IFERROR(0.30*P183/Upgrades!$C$19,0)),IF(L183&gt;0,0,IFERROR(0.0001/Upgrades!$C$20,0)),IF(M183&gt;0,0,IFERROR((6.0*(POWER(Upgrades!$P$13,E183)*POWER(Upgrades!$P$14,F183)*POWER(Upgrades!$P$15,G183)*POWER(Upgrades!$P$16,H183)*POWER(Upgrades!$P$17,I183)*POWER(Upgrades!$P$18,J183)*POWER(Upgrades!$P$19,K183)*POWER(Upgrades!$P$20,L183)*POWER(Upgrades!$P$21,M183))*$F$6+0.20*O183*(Parameters!$B$10/60*Parameters!$B$11+Q183))/Upgrades!$C$21,0)),IF(AND(ISNUMBER(AK183),AK183&gt;(C183+T183)),AY183,0),IF(AND(ISNUMBER(AL183),AL183&gt;(C183+T183)),AZ183,0),IF(AND(ISNUMBER(AM183),AM183&gt;(C183+T183)),BA183,0),IF(AND(ISNUMBER(AN183),AN183&gt;(C183+T183)),BB183,0),IF(AND(ISNUMBER(AO183),AO183&gt;(C183+T183)),BC183,0))</f>
        <v/>
      </c>
      <c r="BE183" s="29">
        <f>IF(AT183=1,"transition",IF(MIN(IF(AND(J183=0,ISNUMBER(AP183),AP183&lt;=(C183+T183)),AP183,9E15),IF(AND(K183=0,ISNUMBER(AQ183),AQ183&lt;=(C183+T183)),AQ183,9E15),IF(AND(L183=0,ISNUMBER(AR183),AR183&lt;=(C183+T183)),AR183,9E15),IF(AND(M183=0,ISNUMBER(AS183),AS183&lt;=(C183+T183)),AS183,9E15))&lt;9E15,IF(AND(AND(J183=0,ISNUMBER(AP183),AP183&lt;=(C183+T183)),AP183=MIN(IF(AND(J183=0,ISNUMBER(AP183),AP183&lt;=(C183+T183)),AP183,9E15),IF(AND(K183=0,ISNUMBER(AQ183),AQ183&lt;=(C183+T183)),AQ183,9E15),IF(AND(L183=0,ISNUMBER(AR183),AR183&lt;=(C183+T183)),AR183,9E15),IF(AND(M183=0,ISNUMBER(AS183),AS183&lt;=(C183+T183)),AS183,9E15))),"BiP",IF(AND(AND(K183=0,ISNUMBER(AQ183),AQ183&lt;=(C183+T183)),AQ183=MIN(IF(AND(J183=0,ISNUMBER(AP183),AP183&lt;=(C183+T183)),AP183,9E15),IF(AND(K183=0,ISNUMBER(AQ183),AQ183&lt;=(C183+T183)),AQ183,9E15),IF(AND(L183=0,ISNUMBER(AR183),AR183&lt;=(C183+T183)),AR183,9E15),IF(AND(M183=0,ISNUMBER(AS183),AS183&lt;=(C183+T183)),AS183,9E15))),"PV",IF(AND(AND(L183=0,ISNUMBER(AR183),AR183&lt;=(C183+T183)),AR183=MIN(IF(AND(J183=0,ISNUMBER(AP183),AP183&lt;=(C183+T183)),AP183,9E15),IF(AND(K183=0,ISNUMBER(AQ183),AQ183&lt;=(C183+T183)),AQ183,9E15),IF(AND(L183=0,ISNUMBER(AR183),AR183&lt;=(C183+T183)),AR183,9E15),IF(AND(M183=0,ISNUMBER(AS183),AS183&lt;=(C183+T183)),AS183,9E15))),"OC","MG"))),IF(AX183=TRUE,"",IF(MAX(IF(AND(NOT(AND(AU183=1,AT183&lt;&gt;1)),ISNUMBER(AK183),AK183&lt;=(C183+T183)),AY183,0),IF(AND(NOT(AND(AU183=1,AT183&lt;&gt;1)),ISNUMBER(AL183),AL183&lt;=(C183+T183)),AZ183,0),IF(AND(NOT(AND(AU183=1,AT183&lt;&gt;1)),ISNUMBER(AM183),AM183&lt;=(C183+T183)),BA183,0),IF(AND(NOT(AND(AU183=1,AT183&lt;&gt;1)),ISNUMBER(AN183),AN183&lt;=(C183+T183)),BB183,0),IF(AND(ISNUMBER(AO183),AO183&lt;=(C183+T183)),BC183,0))&lt;=0,"",IF(AND(IF(AND(NOT(AND(AU183=1,AT183&lt;&gt;1)),ISNUMBER(AK183),AK183&lt;=(C183+T183)),AY183,0)&gt;0,IF(AND(NOT(AND(AU183=1,AT183&lt;&gt;1)),ISNUMBER(AK183),AK183&lt;=(C183+T183)),AY183,0)=MAX(IF(AND(NOT(AND(AU183=1,AT183&lt;&gt;1)),ISNUMBER(AK183),AK183&lt;=(C183+T183)),AY183,0),IF(AND(NOT(AND(AU183=1,AT183&lt;&gt;1)),ISNUMBER(AL183),AL183&lt;=(C183+T183)),AZ183,0),IF(AND(NOT(AND(AU183=1,AT183&lt;&gt;1)),ISNUMBER(AM183),AM183&lt;=(C183+T183)),BA183,0),IF(AND(NOT(AND(AU183=1,AT183&lt;&gt;1)),ISNUMBER(AN183),AN183&lt;=(C183+T183)),BB183,0),IF(AND(ISNUMBER(AO183),AO183&lt;=(C183+T183)),BC183,0))),"SK",IF(AND(IF(AND(NOT(AND(AU183=1,AT183&lt;&gt;1)),ISNUMBER(AL183),AL183&lt;=(C183+T183)),AZ183,0)&gt;0,IF(AND(NOT(AND(AU183=1,AT183&lt;&gt;1)),ISNUMBER(AL183),AL183&lt;=(C183+T183)),AZ183,0)=MAX(IF(AND(NOT(AND(AU183=1,AT183&lt;&gt;1)),ISNUMBER(AK183),AK183&lt;=(C183+T183)),AY183,0),IF(AND(NOT(AND(AU183=1,AT183&lt;&gt;1)),ISNUMBER(AL183),AL183&lt;=(C183+T183)),AZ183,0),IF(AND(NOT(AND(AU183=1,AT183&lt;&gt;1)),ISNUMBER(AM183),AM183&lt;=(C183+T183)),BA183,0),IF(AND(NOT(AND(AU183=1,AT183&lt;&gt;1)),ISNUMBER(AN183),AN183&lt;=(C183+T183)),BB183,0),IF(AND(ISNUMBER(AO183),AO183&lt;=(C183+T183)),BC183,0))),"LB",IF(AND(IF(AND(NOT(AND(AU183=1,AT183&lt;&gt;1)),ISNUMBER(AM183),AM183&lt;=(C183+T183)),BA183,0)&gt;0,IF(AND(NOT(AND(AU183=1,AT183&lt;&gt;1)),ISNUMBER(AM183),AM183&lt;=(C183+T183)),BA183,0)=MAX(IF(AND(NOT(AND(AU183=1,AT183&lt;&gt;1)),ISNUMBER(AK183),AK183&lt;=(C183+T183)),AY183,0),IF(AND(NOT(AND(AU183=1,AT183&lt;&gt;1)),ISNUMBER(AL183),AL183&lt;=(C183+T183)),AZ183,0),IF(AND(NOT(AND(AU183=1,AT183&lt;&gt;1)),ISNUMBER(AM183),AM183&lt;=(C183+T183)),BA183,0),IF(AND(NOT(AND(AU183=1,AT183&lt;&gt;1)),ISNUMBER(AN183),AN183&lt;=(C183+T183)),BB183,0),IF(AND(ISNUMBER(AO183),AO183&lt;=(C183+T183)),BC183,0))),"ML",IF(AND(IF(AND(NOT(AND(AU183=1,AT183&lt;&gt;1)),ISNUMBER(AN183),AN183&lt;=(C183+T183)),BB183,0)&gt;0,IF(AND(NOT(AND(AU183=1,AT183&lt;&gt;1)),ISNUMBER(AN183),AN183&lt;=(C183+T183)),BB183,0)=MAX(IF(AND(NOT(AND(AU183=1,AT183&lt;&gt;1)),ISNUMBER(AK183),AK183&lt;=(C183+T183)),AY183,0),IF(AND(NOT(AND(AU183=1,AT183&lt;&gt;1)),ISNUMBER(AL183),AL183&lt;=(C183+T183)),AZ183,0),IF(AND(NOT(AND(AU183=1,AT183&lt;&gt;1)),ISNUMBER(AM183),AM183&lt;=(C183+T183)),BA183,0),IF(AND(NOT(AND(AU183=1,AT183&lt;&gt;1)),ISNUMBER(AN183),AN183&lt;=(C183+T183)),BB183,0),IF(AND(ISNUMBER(AO183),AO183&lt;=(C183+T183)),BC183,0))),"RLO","BD"))))))))</f>
        <v/>
      </c>
    </row>
    <row r="184">
      <c r="A184" s="26" t="n">
        <v>173</v>
      </c>
      <c r="B184" s="27">
        <f>A184*10/60</f>
        <v/>
      </c>
      <c r="C184" s="22">
        <f>X183</f>
        <v/>
      </c>
      <c r="D184" s="27">
        <f>D183+W183</f>
        <v/>
      </c>
      <c r="E184" s="26">
        <f>E183+IF(U183="SK",1,0)</f>
        <v/>
      </c>
      <c r="F184" s="26">
        <f>F183+IF(U183="LB",1,0)</f>
        <v/>
      </c>
      <c r="G184" s="26">
        <f>G183+IF(U183="ML",1,0)</f>
        <v/>
      </c>
      <c r="H184" s="26">
        <f>H183+IF(U183="RLO",1,0)</f>
        <v/>
      </c>
      <c r="I184" s="26">
        <f>I183+IF(U183="BD",1,0)</f>
        <v/>
      </c>
      <c r="J184" s="26">
        <f>MAX(J183,IF(U183="BiP",1,0))</f>
        <v/>
      </c>
      <c r="K184" s="26">
        <f>MAX(K183,IF(U183="PV",1,0))</f>
        <v/>
      </c>
      <c r="L184" s="26">
        <f>MAX(L183,IF(U183="OC",1,0))</f>
        <v/>
      </c>
      <c r="M184" s="26">
        <f>MAX(M183,IF(U183="MG",1,0))</f>
        <v/>
      </c>
      <c r="N184" s="26">
        <f>MAX(N183,IF(U183="transition",1,0))</f>
        <v/>
      </c>
      <c r="O184" s="28">
        <f>(Parameters!$B$9+(IF(E184=0,0,(Upgrades!$J$13+E184*Upgrades!$K$13)*POWER(Upgrades!$L$13,E184)))*(IF(Upgrades!$T$14="Stellar Kinematics",POWER(Upgrades!$U$14,F184),1)*IF(Upgrades!$T$15="Stellar Kinematics",POWER(Upgrades!$U$15,G184),1)*IF(Upgrades!$T$16="Stellar Kinematics",POWER(Upgrades!$U$16,H184),1)*IF(Upgrades!$T$17="Stellar Kinematics",POWER(Upgrades!$U$17,I184),1)*IF(Upgrades!$T$18="Stellar Kinematics",POWER(Upgrades!$U$18,J184),1)*IF(Upgrades!$T$19="Stellar Kinematics",POWER(Upgrades!$U$19,K184),1)*IF(Upgrades!$T$20="Stellar Kinematics",POWER(Upgrades!$U$20,L184),1)*IF(Upgrades!$T$21="Stellar Kinematics",POWER(Upgrades!$U$21,M184),1))+(IF(F184=0,0,(Upgrades!$J$14+F184*Upgrades!$K$14)*POWER(Upgrades!$L$14,F184)))*(IF(Upgrades!$T$13="Local Bubble",POWER(Upgrades!$U$13,E184),1)*IF(Upgrades!$T$15="Local Bubble",POWER(Upgrades!$U$15,G184),1)*IF(Upgrades!$T$16="Local Bubble",POWER(Upgrades!$U$16,H184),1)*IF(Upgrades!$T$17="Local Bubble",POWER(Upgrades!$U$17,I184),1)*IF(Upgrades!$T$18="Local Bubble",POWER(Upgrades!$U$18,J184),1)*IF(Upgrades!$T$19="Local Bubble",POWER(Upgrades!$U$19,K184),1)*IF(Upgrades!$T$20="Local Bubble",POWER(Upgrades!$U$20,L184),1)*IF(Upgrades!$T$21="Local Bubble",POWER(Upgrades!$U$21,M184),1))+(IF(G184=0,0,(Upgrades!$J$15+G184*Upgrades!$K$15)*POWER(Upgrades!$L$15,G184)))*(IF(Upgrades!$T$13="Microlensing",POWER(Upgrades!$U$13,E184),1)*IF(Upgrades!$T$14="Microlensing",POWER(Upgrades!$U$14,F184),1)*IF(Upgrades!$T$16="Microlensing",POWER(Upgrades!$U$16,H184),1)*IF(Upgrades!$T$17="Microlensing",POWER(Upgrades!$U$17,I184),1)*IF(Upgrades!$T$18="Microlensing",POWER(Upgrades!$U$18,J184),1)*IF(Upgrades!$T$19="Microlensing",POWER(Upgrades!$U$19,K184),1)*IF(Upgrades!$T$20="Microlensing",POWER(Upgrades!$U$20,L184),1)*IF(Upgrades!$T$21="Microlensing",POWER(Upgrades!$U$21,M184),1))+(IF(H184=0,0,(Upgrades!$J$16+H184*Upgrades!$K$16)*POWER(Upgrades!$L$16,H184)))*(IF(Upgrades!$T$13="Roche Lobe Overflow",POWER(Upgrades!$U$13,E184),1)*IF(Upgrades!$T$14="Roche Lobe Overflow",POWER(Upgrades!$U$14,F184),1)*IF(Upgrades!$T$15="Roche Lobe Overflow",POWER(Upgrades!$U$15,G184),1)*IF(Upgrades!$T$17="Roche Lobe Overflow",POWER(Upgrades!$U$17,I184),1)*IF(Upgrades!$T$18="Roche Lobe Overflow",POWER(Upgrades!$U$18,J184),1)*IF(Upgrades!$T$19="Roche Lobe Overflow",POWER(Upgrades!$U$19,K184),1)*IF(Upgrades!$T$20="Roche Lobe Overflow",POWER(Upgrades!$U$20,L184),1)*IF(Upgrades!$T$21="Roche Lobe Overflow",POWER(Upgrades!$U$21,M184),1))+(IF(I184=0,0,(Upgrades!$J$17+I184*Upgrades!$K$17)*POWER(Upgrades!$L$17,I184)))*(IF(Upgrades!$T$13="Brown Dwarf",POWER(Upgrades!$U$13,E184),1)*IF(Upgrades!$T$14="Brown Dwarf",POWER(Upgrades!$U$14,F184),1)*IF(Upgrades!$T$15="Brown Dwarf",POWER(Upgrades!$U$15,G184),1)*IF(Upgrades!$T$16="Brown Dwarf",POWER(Upgrades!$U$16,H184),1)*IF(Upgrades!$T$18="Brown Dwarf",POWER(Upgrades!$U$18,J184),1)*IF(Upgrades!$T$19="Brown Dwarf",POWER(Upgrades!$U$19,K184),1)*IF(Upgrades!$T$20="Brown Dwarf",POWER(Upgrades!$U$20,L184),1)*IF(Upgrades!$T$21="Brown Dwarf",POWER(Upgrades!$U$21,M184),1))+(IF(J184=0,0,(Upgrades!$J$18+J184*Upgrades!$K$18)*POWER(Upgrades!$L$18,J184)))*(IF(Upgrades!$T$13="Binary Partner",POWER(Upgrades!$U$13,E184),1)*IF(Upgrades!$T$14="Binary Partner",POWER(Upgrades!$U$14,F184),1)*IF(Upgrades!$T$15="Binary Partner",POWER(Upgrades!$U$15,G184),1)*IF(Upgrades!$T$16="Binary Partner",POWER(Upgrades!$U$16,H184),1)*IF(Upgrades!$T$17="Binary Partner",POWER(Upgrades!$U$17,I184),1)*IF(Upgrades!$T$19="Binary Partner",POWER(Upgrades!$U$19,K184),1)*IF(Upgrades!$T$20="Binary Partner",POWER(Upgrades!$U$20,L184),1)*IF(Upgrades!$T$21="Binary Partner",POWER(Upgrades!$U$21,M184),1))+(IF(K184=0,0,(Upgrades!$J$19+K184*Upgrades!$K$19)*POWER(Upgrades!$L$19,K184)))*(IF(Upgrades!$T$13="Peculiar Velocity",POWER(Upgrades!$U$13,E184),1)*IF(Upgrades!$T$14="Peculiar Velocity",POWER(Upgrades!$U$14,F184),1)*IF(Upgrades!$T$15="Peculiar Velocity",POWER(Upgrades!$U$15,G184),1)*IF(Upgrades!$T$16="Peculiar Velocity",POWER(Upgrades!$U$16,H184),1)*IF(Upgrades!$T$17="Peculiar Velocity",POWER(Upgrades!$U$17,I184),1)*IF(Upgrades!$T$18="Peculiar Velocity",POWER(Upgrades!$U$18,J184),1)*IF(Upgrades!$T$20="Peculiar Velocity",POWER(Upgrades!$U$20,L184),1)*IF(Upgrades!$T$21="Peculiar Velocity",POWER(Upgrades!$U$21,M184),1))+(IF(L184=0,0,(Upgrades!$J$20+L184*Upgrades!$K$20)*POWER(Upgrades!$L$20,L184)))*(IF(Upgrades!$T$13="Open Cluster",POWER(Upgrades!$U$13,E184),1)*IF(Upgrades!$T$14="Open Cluster",POWER(Upgrades!$U$14,F184),1)*IF(Upgrades!$T$15="Open Cluster",POWER(Upgrades!$U$15,G184),1)*IF(Upgrades!$T$16="Open Cluster",POWER(Upgrades!$U$16,H184),1)*IF(Upgrades!$T$17="Open Cluster",POWER(Upgrades!$U$17,I184),1)*IF(Upgrades!$T$18="Open Cluster",POWER(Upgrades!$U$18,J184),1)*IF(Upgrades!$T$19="Open Cluster",POWER(Upgrades!$U$19,K184),1)*IF(Upgrades!$T$21="Open Cluster",POWER(Upgrades!$U$21,M184),1))+(IF(M184=0,0,(Upgrades!$J$21+M184*Upgrades!$K$21)*POWER(Upgrades!$L$21,M184)))*(IF(Upgrades!$T$13="Moving Group",POWER(Upgrades!$U$13,E184),1)*IF(Upgrades!$T$14="Moving Group",POWER(Upgrades!$U$14,F184),1)*IF(Upgrades!$T$15="Moving Group",POWER(Upgrades!$U$15,G184),1)*IF(Upgrades!$T$16="Moving Group",POWER(Upgrades!$U$16,H184),1)*IF(Upgrades!$T$17="Moving Group",POWER(Upgrades!$U$17,I184),1)*IF(Upgrades!$T$18="Moving Group",POWER(Upgrades!$U$18,J184),1)*IF(Upgrades!$T$19="Moving Group",POWER(Upgrades!$U$19,K184),1)*IF(Upgrades!$T$20="Moving Group",POWER(Upgrades!$U$20,L184),1)))*POWER(Upgrades!$Q$13,E184)*POWER(Upgrades!$Q$14,F184)*POWER(Upgrades!$Q$15,G184)*POWER(Upgrades!$Q$16,H184)*POWER(Upgrades!$Q$17,I184)*POWER(Upgrades!$Q$18,J184)*POWER(Upgrades!$Q$19,K184)*POWER(Upgrades!$Q$20,L184)*POWER(Upgrades!$Q$21,M184)*$G$6+$D$6</f>
        <v/>
      </c>
      <c r="P184" s="28">
        <f>((IF(E184=0,0,(Upgrades!$G$13+E184*Upgrades!$H$13)*POWER(Upgrades!$I$13,E184)))*(IF(Upgrades!$T$14="Stellar Kinematics",POWER(Upgrades!$U$14,F184),1)*IF(Upgrades!$T$15="Stellar Kinematics",POWER(Upgrades!$U$15,G184),1)*IF(Upgrades!$T$16="Stellar Kinematics",POWER(Upgrades!$U$16,H184),1)*IF(Upgrades!$T$17="Stellar Kinematics",POWER(Upgrades!$U$17,I184),1)*IF(Upgrades!$T$18="Stellar Kinematics",POWER(Upgrades!$U$18,J184),1)*IF(Upgrades!$T$19="Stellar Kinematics",POWER(Upgrades!$U$19,K184),1)*IF(Upgrades!$T$20="Stellar Kinematics",POWER(Upgrades!$U$20,L184),1)*IF(Upgrades!$T$21="Stellar Kinematics",POWER(Upgrades!$U$21,M184),1))+(IF(F184=0,0,(Upgrades!$G$14+F184*Upgrades!$H$14)*POWER(Upgrades!$I$14,F184)))*(IF(Upgrades!$T$13="Local Bubble",POWER(Upgrades!$U$13,E184),1)*IF(Upgrades!$T$15="Local Bubble",POWER(Upgrades!$U$15,G184),1)*IF(Upgrades!$T$16="Local Bubble",POWER(Upgrades!$U$16,H184),1)*IF(Upgrades!$T$17="Local Bubble",POWER(Upgrades!$U$17,I184),1)*IF(Upgrades!$T$18="Local Bubble",POWER(Upgrades!$U$18,J184),1)*IF(Upgrades!$T$19="Local Bubble",POWER(Upgrades!$U$19,K184),1)*IF(Upgrades!$T$20="Local Bubble",POWER(Upgrades!$U$20,L184),1)*IF(Upgrades!$T$21="Local Bubble",POWER(Upgrades!$U$21,M184),1))+(IF(G184=0,0,(Upgrades!$G$15+G184*Upgrades!$H$15)*POWER(Upgrades!$I$15,G184)))*(IF(Upgrades!$T$13="Microlensing",POWER(Upgrades!$U$13,E184),1)*IF(Upgrades!$T$14="Microlensing",POWER(Upgrades!$U$14,F184),1)*IF(Upgrades!$T$16="Microlensing",POWER(Upgrades!$U$16,H184),1)*IF(Upgrades!$T$17="Microlensing",POWER(Upgrades!$U$17,I184),1)*IF(Upgrades!$T$18="Microlensing",POWER(Upgrades!$U$18,J184),1)*IF(Upgrades!$T$19="Microlensing",POWER(Upgrades!$U$19,K184),1)*IF(Upgrades!$T$20="Microlensing",POWER(Upgrades!$U$20,L184),1)*IF(Upgrades!$T$21="Microlensing",POWER(Upgrades!$U$21,M184),1))+(IF(H184=0,0,(Upgrades!$G$16+H184*Upgrades!$H$16)*POWER(Upgrades!$I$16,H184)))*(IF(Upgrades!$T$13="Roche Lobe Overflow",POWER(Upgrades!$U$13,E184),1)*IF(Upgrades!$T$14="Roche Lobe Overflow",POWER(Upgrades!$U$14,F184),1)*IF(Upgrades!$T$15="Roche Lobe Overflow",POWER(Upgrades!$U$15,G184),1)*IF(Upgrades!$T$17="Roche Lobe Overflow",POWER(Upgrades!$U$17,I184),1)*IF(Upgrades!$T$18="Roche Lobe Overflow",POWER(Upgrades!$U$18,J184),1)*IF(Upgrades!$T$19="Roche Lobe Overflow",POWER(Upgrades!$U$19,K184),1)*IF(Upgrades!$T$20="Roche Lobe Overflow",POWER(Upgrades!$U$20,L184),1)*IF(Upgrades!$T$21="Roche Lobe Overflow",POWER(Upgrades!$U$21,M184),1))+(IF(I184=0,0,(Upgrades!$G$17+I184*Upgrades!$H$17)*POWER(Upgrades!$I$17,I184)))*(IF(Upgrades!$T$13="Brown Dwarf",POWER(Upgrades!$U$13,E184),1)*IF(Upgrades!$T$14="Brown Dwarf",POWER(Upgrades!$U$14,F184),1)*IF(Upgrades!$T$15="Brown Dwarf",POWER(Upgrades!$U$15,G184),1)*IF(Upgrades!$T$16="Brown Dwarf",POWER(Upgrades!$U$16,H184),1)*IF(Upgrades!$T$18="Brown Dwarf",POWER(Upgrades!$U$18,J184),1)*IF(Upgrades!$T$19="Brown Dwarf",POWER(Upgrades!$U$19,K184),1)*IF(Upgrades!$T$20="Brown Dwarf",POWER(Upgrades!$U$20,L184),1)*IF(Upgrades!$T$21="Brown Dwarf",POWER(Upgrades!$U$21,M184),1))+(IF(J184=0,0,(Upgrades!$G$18+J184*Upgrades!$H$18)*POWER(Upgrades!$I$18,J184)))*(IF(Upgrades!$T$13="Binary Partner",POWER(Upgrades!$U$13,E184),1)*IF(Upgrades!$T$14="Binary Partner",POWER(Upgrades!$U$14,F184),1)*IF(Upgrades!$T$15="Binary Partner",POWER(Upgrades!$U$15,G184),1)*IF(Upgrades!$T$16="Binary Partner",POWER(Upgrades!$U$16,H184),1)*IF(Upgrades!$T$17="Binary Partner",POWER(Upgrades!$U$17,I184),1)*IF(Upgrades!$T$19="Binary Partner",POWER(Upgrades!$U$19,K184),1)*IF(Upgrades!$T$20="Binary Partner",POWER(Upgrades!$U$20,L184),1)*IF(Upgrades!$T$21="Binary Partner",POWER(Upgrades!$U$21,M184),1))+(IF(K184=0,0,(Upgrades!$G$19+K184*Upgrades!$H$19)*POWER(Upgrades!$I$19,K184)))*(IF(Upgrades!$T$13="Peculiar Velocity",POWER(Upgrades!$U$13,E184),1)*IF(Upgrades!$T$14="Peculiar Velocity",POWER(Upgrades!$U$14,F184),1)*IF(Upgrades!$T$15="Peculiar Velocity",POWER(Upgrades!$U$15,G184),1)*IF(Upgrades!$T$16="Peculiar Velocity",POWER(Upgrades!$U$16,H184),1)*IF(Upgrades!$T$17="Peculiar Velocity",POWER(Upgrades!$U$17,I184),1)*IF(Upgrades!$T$18="Peculiar Velocity",POWER(Upgrades!$U$18,J184),1)*IF(Upgrades!$T$20="Peculiar Velocity",POWER(Upgrades!$U$20,L184),1)*IF(Upgrades!$T$21="Peculiar Velocity",POWER(Upgrades!$U$21,M184),1))+(IF(L184=0,0,(Upgrades!$G$20+L184*Upgrades!$H$20)*POWER(Upgrades!$I$20,L184)))*(IF(Upgrades!$T$13="Open Cluster",POWER(Upgrades!$U$13,E184),1)*IF(Upgrades!$T$14="Open Cluster",POWER(Upgrades!$U$14,F184),1)*IF(Upgrades!$T$15="Open Cluster",POWER(Upgrades!$U$15,G184),1)*IF(Upgrades!$T$16="Open Cluster",POWER(Upgrades!$U$16,H184),1)*IF(Upgrades!$T$17="Open Cluster",POWER(Upgrades!$U$17,I184),1)*IF(Upgrades!$T$18="Open Cluster",POWER(Upgrades!$U$18,J184),1)*IF(Upgrades!$T$19="Open Cluster",POWER(Upgrades!$U$19,K184),1)*IF(Upgrades!$T$21="Open Cluster",POWER(Upgrades!$U$21,M184),1))+(IF(M184=0,0,(Upgrades!$G$21+M184*Upgrades!$H$21)*POWER(Upgrades!$I$21,M184)))*(IF(Upgrades!$T$13="Moving Group",POWER(Upgrades!$U$13,E184),1)*IF(Upgrades!$T$14="Moving Group",POWER(Upgrades!$U$14,F184),1)*IF(Upgrades!$T$15="Moving Group",POWER(Upgrades!$U$15,G184),1)*IF(Upgrades!$T$16="Moving Group",POWER(Upgrades!$U$16,H184),1)*IF(Upgrades!$T$17="Moving Group",POWER(Upgrades!$U$17,I184),1)*IF(Upgrades!$T$18="Moving Group",POWER(Upgrades!$U$18,J184),1)*IF(Upgrades!$T$19="Moving Group",POWER(Upgrades!$U$19,K184),1)*IF(Upgrades!$T$20="Moving Group",POWER(Upgrades!$U$20,L184),1)))*POWER(Upgrades!$P$13,E184)*POWER(Upgrades!$P$14,F184)*POWER(Upgrades!$P$15,G184)*POWER(Upgrades!$P$16,H184)*POWER(Upgrades!$P$17,I184)*POWER(Upgrades!$P$18,J184)*POWER(Upgrades!$P$19,K184)*POWER(Upgrades!$P$20,L184)*POWER(Upgrades!$P$21,M184)*$F$6+$C$6</f>
        <v/>
      </c>
      <c r="Q184" s="28">
        <f>((IF(E184=0,0,(Upgrades!$M$13+E184*Upgrades!$N$13)*POWER(Upgrades!$O$13,E184)))*(IF(Upgrades!$T$14="Stellar Kinematics",POWER(Upgrades!$U$14,F184),1)*IF(Upgrades!$T$15="Stellar Kinematics",POWER(Upgrades!$U$15,G184),1)*IF(Upgrades!$T$16="Stellar Kinematics",POWER(Upgrades!$U$16,H184),1)*IF(Upgrades!$T$17="Stellar Kinematics",POWER(Upgrades!$U$17,I184),1)*IF(Upgrades!$T$18="Stellar Kinematics",POWER(Upgrades!$U$18,J184),1)*IF(Upgrades!$T$19="Stellar Kinematics",POWER(Upgrades!$U$19,K184),1)*IF(Upgrades!$T$20="Stellar Kinematics",POWER(Upgrades!$U$20,L184),1)*IF(Upgrades!$T$21="Stellar Kinematics",POWER(Upgrades!$U$21,M184),1))+(IF(F184=0,0,(Upgrades!$M$14+F184*Upgrades!$N$14)*POWER(Upgrades!$O$14,F184)))*(IF(Upgrades!$T$13="Local Bubble",POWER(Upgrades!$U$13,E184),1)*IF(Upgrades!$T$15="Local Bubble",POWER(Upgrades!$U$15,G184),1)*IF(Upgrades!$T$16="Local Bubble",POWER(Upgrades!$U$16,H184),1)*IF(Upgrades!$T$17="Local Bubble",POWER(Upgrades!$U$17,I184),1)*IF(Upgrades!$T$18="Local Bubble",POWER(Upgrades!$U$18,J184),1)*IF(Upgrades!$T$19="Local Bubble",POWER(Upgrades!$U$19,K184),1)*IF(Upgrades!$T$20="Local Bubble",POWER(Upgrades!$U$20,L184),1)*IF(Upgrades!$T$21="Local Bubble",POWER(Upgrades!$U$21,M184),1))+(IF(G184=0,0,(Upgrades!$M$15+G184*Upgrades!$N$15)*POWER(Upgrades!$O$15,G184)))*(IF(Upgrades!$T$13="Microlensing",POWER(Upgrades!$U$13,E184),1)*IF(Upgrades!$T$14="Microlensing",POWER(Upgrades!$U$14,F184),1)*IF(Upgrades!$T$16="Microlensing",POWER(Upgrades!$U$16,H184),1)*IF(Upgrades!$T$17="Microlensing",POWER(Upgrades!$U$17,I184),1)*IF(Upgrades!$T$18="Microlensing",POWER(Upgrades!$U$18,J184),1)*IF(Upgrades!$T$19="Microlensing",POWER(Upgrades!$U$19,K184),1)*IF(Upgrades!$T$20="Microlensing",POWER(Upgrades!$U$20,L184),1)*IF(Upgrades!$T$21="Microlensing",POWER(Upgrades!$U$21,M184),1))+(IF(H184=0,0,(Upgrades!$M$16+H184*Upgrades!$N$16)*POWER(Upgrades!$O$16,H184)))*(IF(Upgrades!$T$13="Roche Lobe Overflow",POWER(Upgrades!$U$13,E184),1)*IF(Upgrades!$T$14="Roche Lobe Overflow",POWER(Upgrades!$U$14,F184),1)*IF(Upgrades!$T$15="Roche Lobe Overflow",POWER(Upgrades!$U$15,G184),1)*IF(Upgrades!$T$17="Roche Lobe Overflow",POWER(Upgrades!$U$17,I184),1)*IF(Upgrades!$T$18="Roche Lobe Overflow",POWER(Upgrades!$U$18,J184),1)*IF(Upgrades!$T$19="Roche Lobe Overflow",POWER(Upgrades!$U$19,K184),1)*IF(Upgrades!$T$20="Roche Lobe Overflow",POWER(Upgrades!$U$20,L184),1)*IF(Upgrades!$T$21="Roche Lobe Overflow",POWER(Upgrades!$U$21,M184),1))+(IF(I184=0,0,(Upgrades!$M$17+I184*Upgrades!$N$17)*POWER(Upgrades!$O$17,I184)))*(IF(Upgrades!$T$13="Brown Dwarf",POWER(Upgrades!$U$13,E184),1)*IF(Upgrades!$T$14="Brown Dwarf",POWER(Upgrades!$U$14,F184),1)*IF(Upgrades!$T$15="Brown Dwarf",POWER(Upgrades!$U$15,G184),1)*IF(Upgrades!$T$16="Brown Dwarf",POWER(Upgrades!$U$16,H184),1)*IF(Upgrades!$T$18="Brown Dwarf",POWER(Upgrades!$U$18,J184),1)*IF(Upgrades!$T$19="Brown Dwarf",POWER(Upgrades!$U$19,K184),1)*IF(Upgrades!$T$20="Brown Dwarf",POWER(Upgrades!$U$20,L184),1)*IF(Upgrades!$T$21="Brown Dwarf",POWER(Upgrades!$U$21,M184),1))+(IF(J184=0,0,(Upgrades!$M$18+J184*Upgrades!$N$18)*POWER(Upgrades!$O$18,J184)))*(IF(Upgrades!$T$13="Binary Partner",POWER(Upgrades!$U$13,E184),1)*IF(Upgrades!$T$14="Binary Partner",POWER(Upgrades!$U$14,F184),1)*IF(Upgrades!$T$15="Binary Partner",POWER(Upgrades!$U$15,G184),1)*IF(Upgrades!$T$16="Binary Partner",POWER(Upgrades!$U$16,H184),1)*IF(Upgrades!$T$17="Binary Partner",POWER(Upgrades!$U$17,I184),1)*IF(Upgrades!$T$19="Binary Partner",POWER(Upgrades!$U$19,K184),1)*IF(Upgrades!$T$20="Binary Partner",POWER(Upgrades!$U$20,L184),1)*IF(Upgrades!$T$21="Binary Partner",POWER(Upgrades!$U$21,M184),1))+(IF(K184=0,0,(Upgrades!$M$19+K184*Upgrades!$N$19)*POWER(Upgrades!$O$19,K184)))*(IF(Upgrades!$T$13="Peculiar Velocity",POWER(Upgrades!$U$13,E184),1)*IF(Upgrades!$T$14="Peculiar Velocity",POWER(Upgrades!$U$14,F184),1)*IF(Upgrades!$T$15="Peculiar Velocity",POWER(Upgrades!$U$15,G184),1)*IF(Upgrades!$T$16="Peculiar Velocity",POWER(Upgrades!$U$16,H184),1)*IF(Upgrades!$T$17="Peculiar Velocity",POWER(Upgrades!$U$17,I184),1)*IF(Upgrades!$T$18="Peculiar Velocity",POWER(Upgrades!$U$18,J184),1)*IF(Upgrades!$T$20="Peculiar Velocity",POWER(Upgrades!$U$20,L184),1)*IF(Upgrades!$T$21="Peculiar Velocity",POWER(Upgrades!$U$21,M184),1))+(IF(L184=0,0,(Upgrades!$M$20+L184*Upgrades!$N$20)*POWER(Upgrades!$O$20,L184)))*(IF(Upgrades!$T$13="Open Cluster",POWER(Upgrades!$U$13,E184),1)*IF(Upgrades!$T$14="Open Cluster",POWER(Upgrades!$U$14,F184),1)*IF(Upgrades!$T$15="Open Cluster",POWER(Upgrades!$U$15,G184),1)*IF(Upgrades!$T$16="Open Cluster",POWER(Upgrades!$U$16,H184),1)*IF(Upgrades!$T$17="Open Cluster",POWER(Upgrades!$U$17,I184),1)*IF(Upgrades!$T$18="Open Cluster",POWER(Upgrades!$U$18,J184),1)*IF(Upgrades!$T$19="Open Cluster",POWER(Upgrades!$U$19,K184),1)*IF(Upgrades!$T$21="Open Cluster",POWER(Upgrades!$U$21,M184),1))+(IF(M184=0,0,(Upgrades!$M$21+M184*Upgrades!$N$21)*POWER(Upgrades!$O$21,M184)))*(IF(Upgrades!$T$13="Moving Group",POWER(Upgrades!$U$13,E184),1)*IF(Upgrades!$T$14="Moving Group",POWER(Upgrades!$U$14,F184),1)*IF(Upgrades!$T$15="Moving Group",POWER(Upgrades!$U$15,G184),1)*IF(Upgrades!$T$16="Moving Group",POWER(Upgrades!$U$16,H184),1)*IF(Upgrades!$T$17="Moving Group",POWER(Upgrades!$U$17,I184),1)*IF(Upgrades!$T$18="Moving Group",POWER(Upgrades!$U$18,J184),1)*IF(Upgrades!$T$19="Moving Group",POWER(Upgrades!$U$19,K184),1)*IF(Upgrades!$T$20="Moving Group",POWER(Upgrades!$U$20,L184),1)))*POWER(Upgrades!$R$13,E184)*POWER(Upgrades!$R$14,F184)*POWER(Upgrades!$R$15,G184)*POWER(Upgrades!$R$16,H184)*POWER(Upgrades!$R$17,I184)*POWER(Upgrades!$R$18,J184)*POWER(Upgrades!$R$19,K184)*POWER(Upgrades!$R$20,L184)*POWER(Upgrades!$R$21,M184)*$H$6+$E$6</f>
        <v/>
      </c>
      <c r="R184" s="27">
        <f>IF(N184=1,0,O184*Parameters!$B$10/60*Parameters!$B$11*10)</f>
        <v/>
      </c>
      <c r="S184" s="27">
        <f>IF(N184=1,0,Q184*O184*10)</f>
        <v/>
      </c>
      <c r="T184" s="27">
        <f>IF(N184=1,0,R184+S184+P184*10)</f>
        <v/>
      </c>
      <c r="U184" s="33">
        <f>BE184</f>
        <v/>
      </c>
      <c r="V184" s="22">
        <f>IF(U184="",0,IF(U184="transition",0,IF(U184="SK",AK184,IF(U184="LB",AL184,IF(U184="ML",AM184,IF(U184="RLO",AN184,IF(U184="BD",AO184,IF(U184="BiP",AP184,IF(U184="PV",AQ184,IF(U184="OC",AR184,IF(U184="MG",AS184,0))))))))))</f>
        <v/>
      </c>
      <c r="W184" s="27">
        <f>IF(U184="BiP",Upgrades!$F$18,IF(U184="PV",Upgrades!$F$19,IF(U184="OC",Upgrades!$F$20,IF(U184="MG",Upgrades!$F$21,IF(U184="transition",-Parameters!$B$18*Parameters!$B$19,0)))))</f>
        <v/>
      </c>
      <c r="X184" s="22">
        <f>C184+T184-V184</f>
        <v/>
      </c>
      <c r="Y184" s="30">
        <f>O184*Parameters!$B$10/60*Parameters!$B$11+Q184*O184+P184</f>
        <v/>
      </c>
      <c r="Z184" s="34">
        <f>IF(U184="transition","→ Tier 3 (Galactic Arm)",IF(U184="MG","Moving Group — pocket drifts together",IF(U184="OC","Open Cluster acquired",IF(U184="PV","Peculiar Velocity — passive multiplier active",IF(U184="BiP","Binary Partner — pair bond formed",IF(AND(AU184=1,N184=0,AT184&lt;&gt;1),"Cohesion ready (waiting on completionists)","")))))) </f>
        <v/>
      </c>
      <c r="AA184" s="27">
        <f>(IF(E184=0,0,(Upgrades!$G$13+E184*Upgrades!$H$13)*POWER(Upgrades!$I$13,E184)))*(IF(Upgrades!$T$14="Stellar Kinematics",POWER(Upgrades!$U$14,F184),1)*IF(Upgrades!$T$15="Stellar Kinematics",POWER(Upgrades!$U$15,G184),1)*IF(Upgrades!$T$16="Stellar Kinematics",POWER(Upgrades!$U$16,H184),1)*IF(Upgrades!$T$17="Stellar Kinematics",POWER(Upgrades!$U$17,I184),1)*IF(Upgrades!$T$18="Stellar Kinematics",POWER(Upgrades!$U$18,J184),1)*IF(Upgrades!$T$19="Stellar Kinematics",POWER(Upgrades!$U$19,K184),1)*IF(Upgrades!$T$20="Stellar Kinematics",POWER(Upgrades!$U$20,L184),1)*IF(Upgrades!$T$21="Stellar Kinematics",POWER(Upgrades!$U$21,M184),1))*POWER(Upgrades!$P$13,E184)*POWER(Upgrades!$P$14,F184)*POWER(Upgrades!$P$15,G184)*POWER(Upgrades!$P$16,H184)*POWER(Upgrades!$P$17,I184)*POWER(Upgrades!$P$18,J184)*POWER(Upgrades!$P$19,K184)*POWER(Upgrades!$P$20,L184)*POWER(Upgrades!$P$21,M184)*$F$6*60</f>
        <v/>
      </c>
      <c r="AB184" s="27">
        <f>(IF(F184=0,0,(Upgrades!$G$14+F184*Upgrades!$H$14)*POWER(Upgrades!$I$14,F184)))*(IF(Upgrades!$T$13="Local Bubble",POWER(Upgrades!$U$13,E184),1)*IF(Upgrades!$T$15="Local Bubble",POWER(Upgrades!$U$15,G184),1)*IF(Upgrades!$T$16="Local Bubble",POWER(Upgrades!$U$16,H184),1)*IF(Upgrades!$T$17="Local Bubble",POWER(Upgrades!$U$17,I184),1)*IF(Upgrades!$T$18="Local Bubble",POWER(Upgrades!$U$18,J184),1)*IF(Upgrades!$T$19="Local Bubble",POWER(Upgrades!$U$19,K184),1)*IF(Upgrades!$T$20="Local Bubble",POWER(Upgrades!$U$20,L184),1)*IF(Upgrades!$T$21="Local Bubble",POWER(Upgrades!$U$21,M184),1))*POWER(Upgrades!$P$13,E184)*POWER(Upgrades!$P$14,F184)*POWER(Upgrades!$P$15,G184)*POWER(Upgrades!$P$16,H184)*POWER(Upgrades!$P$17,I184)*POWER(Upgrades!$P$18,J184)*POWER(Upgrades!$P$19,K184)*POWER(Upgrades!$P$20,L184)*POWER(Upgrades!$P$21,M184)*$F$6*60</f>
        <v/>
      </c>
      <c r="AC184" s="27">
        <f>(IF(G184=0,0,(Upgrades!$J$15+G184*Upgrades!$K$15)*POWER(Upgrades!$L$15,G184)))*(IF(Upgrades!$T$13="Microlensing",POWER(Upgrades!$U$13,E184),1)*IF(Upgrades!$T$14="Microlensing",POWER(Upgrades!$U$14,F184),1)*IF(Upgrades!$T$16="Microlensing",POWER(Upgrades!$U$16,H184),1)*IF(Upgrades!$T$17="Microlensing",POWER(Upgrades!$U$17,I184),1)*IF(Upgrades!$T$18="Microlensing",POWER(Upgrades!$U$18,J184),1)*IF(Upgrades!$T$19="Microlensing",POWER(Upgrades!$U$19,K184),1)*IF(Upgrades!$T$20="Microlensing",POWER(Upgrades!$U$20,L184),1)*IF(Upgrades!$T$21="Microlensing",POWER(Upgrades!$U$21,M184),1))*POWER(Upgrades!$Q$13,E184)*POWER(Upgrades!$Q$14,F184)*POWER(Upgrades!$Q$15,G184)*POWER(Upgrades!$Q$16,H184)*POWER(Upgrades!$Q$17,I184)*POWER(Upgrades!$Q$18,J184)*POWER(Upgrades!$Q$19,K184)*POWER(Upgrades!$Q$20,L184)*POWER(Upgrades!$Q$21,M184)*$G$6*(Parameters!$B$10*Parameters!$B$11+Q184*60)</f>
        <v/>
      </c>
      <c r="AD184" s="27">
        <f>(IF(H184=0,0,(Upgrades!$M$16+H184*Upgrades!$N$16)*POWER(Upgrades!$O$16,H184)))*(IF(Upgrades!$T$13="Roche Lobe Overflow",POWER(Upgrades!$U$13,E184),1)*IF(Upgrades!$T$14="Roche Lobe Overflow",POWER(Upgrades!$U$14,F184),1)*IF(Upgrades!$T$15="Roche Lobe Overflow",POWER(Upgrades!$U$15,G184),1)*IF(Upgrades!$T$17="Roche Lobe Overflow",POWER(Upgrades!$U$17,I184),1)*IF(Upgrades!$T$18="Roche Lobe Overflow",POWER(Upgrades!$U$18,J184),1)*IF(Upgrades!$T$19="Roche Lobe Overflow",POWER(Upgrades!$U$19,K184),1)*IF(Upgrades!$T$20="Roche Lobe Overflow",POWER(Upgrades!$U$20,L184),1)*IF(Upgrades!$T$21="Roche Lobe Overflow",POWER(Upgrades!$U$21,M184),1))*POWER(Upgrades!$R$13,E184)*POWER(Upgrades!$R$14,F184)*POWER(Upgrades!$R$15,G184)*POWER(Upgrades!$R$16,H184)*POWER(Upgrades!$R$17,I184)*POWER(Upgrades!$R$18,J184)*POWER(Upgrades!$R$19,K184)*POWER(Upgrades!$R$20,L184)*POWER(Upgrades!$R$21,M184)*$H$6*O184*60</f>
        <v/>
      </c>
      <c r="AE184" s="27">
        <f>(IF(I184=0,0,(Upgrades!$G$17+I184*Upgrades!$H$17)*POWER(Upgrades!$I$17,I184)))*(IF(Upgrades!$T$13="Brown Dwarf",POWER(Upgrades!$U$13,E184),1)*IF(Upgrades!$T$14="Brown Dwarf",POWER(Upgrades!$U$14,F184),1)*IF(Upgrades!$T$15="Brown Dwarf",POWER(Upgrades!$U$15,G184),1)*IF(Upgrades!$T$16="Brown Dwarf",POWER(Upgrades!$U$16,H184),1)*IF(Upgrades!$T$18="Brown Dwarf",POWER(Upgrades!$U$18,J184),1)*IF(Upgrades!$T$19="Brown Dwarf",POWER(Upgrades!$U$19,K184),1)*IF(Upgrades!$T$20="Brown Dwarf",POWER(Upgrades!$U$20,L184),1)*IF(Upgrades!$T$21="Brown Dwarf",POWER(Upgrades!$U$21,M184),1))*POWER(Upgrades!$P$13,E184)*POWER(Upgrades!$P$14,F184)*POWER(Upgrades!$P$15,G184)*POWER(Upgrades!$P$16,H184)*POWER(Upgrades!$P$17,I184)*POWER(Upgrades!$P$18,J184)*POWER(Upgrades!$P$19,K184)*POWER(Upgrades!$P$20,L184)*POWER(Upgrades!$P$21,M184)*$F$6*60</f>
        <v/>
      </c>
      <c r="AF184" s="27" t="n">
        <v>0</v>
      </c>
      <c r="AG184" s="27" t="n">
        <v>0</v>
      </c>
      <c r="AH184" s="27" t="n">
        <v>0</v>
      </c>
      <c r="AI184" s="27">
        <f>(IF(M184=0,0,(Upgrades!$G$21+M184*Upgrades!$H$21)*POWER(Upgrades!$I$21,M184)))*(IF(Upgrades!$T$13="Moving Group",POWER(Upgrades!$U$13,E184),1)*IF(Upgrades!$T$14="Moving Group",POWER(Upgrades!$U$14,F184),1)*IF(Upgrades!$T$15="Moving Group",POWER(Upgrades!$U$15,G184),1)*IF(Upgrades!$T$16="Moving Group",POWER(Upgrades!$U$16,H184),1)*IF(Upgrades!$T$17="Moving Group",POWER(Upgrades!$U$17,I184),1)*IF(Upgrades!$T$18="Moving Group",POWER(Upgrades!$U$18,J184),1)*IF(Upgrades!$T$19="Moving Group",POWER(Upgrades!$U$19,K184),1)*IF(Upgrades!$T$20="Moving Group",POWER(Upgrades!$U$20,L184),1))*POWER(Upgrades!$P$13,E184)*POWER(Upgrades!$P$14,F184)*POWER(Upgrades!$P$15,G184)*POWER(Upgrades!$P$16,H184)*POWER(Upgrades!$P$17,I184)*POWER(Upgrades!$P$18,J184)*POWER(Upgrades!$P$19,K184)*POWER(Upgrades!$P$20,L184)*POWER(Upgrades!$P$21,M184)*$F$6*60</f>
        <v/>
      </c>
      <c r="AJ184" s="27">
        <f>$C$6*60</f>
        <v/>
      </c>
      <c r="AK184" s="22">
        <f>IF(E184&gt;=Upgrades!$E$13,"",Upgrades!$C$13*POWER(Upgrades!$D$13,E184))</f>
        <v/>
      </c>
      <c r="AL184" s="22">
        <f>IF(F184&gt;=Upgrades!$E$14,"",Upgrades!$C$14*POWER(Upgrades!$D$14,F184))</f>
        <v/>
      </c>
      <c r="AM184" s="22">
        <f>IF(G184&gt;=Upgrades!$E$15,"",Upgrades!$C$15*POWER(Upgrades!$D$15,G184))</f>
        <v/>
      </c>
      <c r="AN184" s="22">
        <f>IF(H184&gt;=Upgrades!$E$16,"",Upgrades!$C$16*POWER(Upgrades!$D$16,H184))</f>
        <v/>
      </c>
      <c r="AO184" s="22">
        <f>IF(I184&gt;=Upgrades!$E$17,"",Upgrades!$C$17*POWER(Upgrades!$D$17,I184))</f>
        <v/>
      </c>
      <c r="AP184" s="22">
        <f>IF(J184&gt;=Upgrades!$E$18,"",Upgrades!$C$18*POWER(Upgrades!$D$18,J184))</f>
        <v/>
      </c>
      <c r="AQ184" s="22">
        <f>IF(K184&gt;=Upgrades!$E$19,"",Upgrades!$C$19*POWER(Upgrades!$D$19,K184))</f>
        <v/>
      </c>
      <c r="AR184" s="22">
        <f>IF(L184&gt;=Upgrades!$E$20,"",Upgrades!$C$20*POWER(Upgrades!$D$20,L184))</f>
        <v/>
      </c>
      <c r="AS184" s="22">
        <f>IF(M184&gt;=Upgrades!$E$21,"",Upgrades!$C$21*POWER(Upgrades!$D$21,M184))</f>
        <v/>
      </c>
      <c r="AT184" s="26">
        <f>IF(AND(D184&gt;=Parameters!$B$18*Parameters!$B$19,(I184&gt;=Upgrades!$E$17)*(M184&gt;=Upgrades!$E$21)=1,N184=0),1,"")</f>
        <v/>
      </c>
      <c r="AU184" s="26">
        <f>IF(AND(D184&gt;=Parameters!$B$18*Parameters!$B$19,N184=0),1,"")</f>
        <v/>
      </c>
      <c r="AV184" s="22">
        <f>MIN(IF(ISNUMBER(AP184),AP184,9E15),IF(ISNUMBER(AQ184),AQ184,9E15),IF(ISNUMBER(AR184),AR184,9E15),IF(ISNUMBER(AS184),AS184,9E15))</f>
        <v/>
      </c>
      <c r="AW184" s="22">
        <f>MIN(IF(ISNUMBER(AK184),AK184,9E15),IF(ISNUMBER(AL184),AL184,9E15),IF(ISNUMBER(AM184),AM184,9E15),IF(ISNUMBER(AN184),AN184,9E15),IF(ISNUMBER(AO184),AO184,9E15))</f>
        <v/>
      </c>
      <c r="AX184" s="29">
        <f>IF(BD184&gt;Parameters!$B$21*(MAX(IF(AND(NOT(AND(AU184=1,AT184&lt;&gt;1)),ISNUMBER(AK184),AK184&lt;=(C184+T184)),AY184,0),IF(AND(NOT(AND(AU184=1,AT184&lt;&gt;1)),ISNUMBER(AL184),AL184&lt;=(C184+T184)),AZ184,0),IF(AND(NOT(AND(AU184=1,AT184&lt;&gt;1)),ISNUMBER(AM184),AM184&lt;=(C184+T184)),BA184,0),IF(AND(NOT(AND(AU184=1,AT184&lt;&gt;1)),ISNUMBER(AN184),AN184&lt;=(C184+T184)),BB184,0),IF(AND(ISNUMBER(AO184),AO184&lt;=(C184+T184)),BC184,0))),TRUE,FALSE)</f>
        <v/>
      </c>
      <c r="AY184" s="32">
        <f>IFERROR(Upgrades!$H$13*(POWER(Upgrades!$P$13,E184)*POWER(Upgrades!$P$14,F184)*POWER(Upgrades!$P$15,G184)*POWER(Upgrades!$P$16,H184)*POWER(Upgrades!$P$17,I184)*POWER(Upgrades!$P$18,J184)*POWER(Upgrades!$P$19,K184)*POWER(Upgrades!$P$20,L184)*POWER(Upgrades!$P$21,M184))*(IF(Upgrades!$T$14="Stellar Kinematics",POWER(Upgrades!$U$14,F184),1)*IF(Upgrades!$T$15="Stellar Kinematics",POWER(Upgrades!$U$15,G184),1)*IF(Upgrades!$T$16="Stellar Kinematics",POWER(Upgrades!$U$16,H184),1)*IF(Upgrades!$T$17="Stellar Kinematics",POWER(Upgrades!$U$17,I184),1)*IF(Upgrades!$T$18="Stellar Kinematics",POWER(Upgrades!$U$18,J184),1)*IF(Upgrades!$T$19="Stellar Kinematics",POWER(Upgrades!$U$19,K184),1)*IF(Upgrades!$T$20="Stellar Kinematics",POWER(Upgrades!$U$20,L184),1)*IF(Upgrades!$T$21="Stellar Kinematics",POWER(Upgrades!$U$21,M184),1))*$F$6/AK184,0)</f>
        <v/>
      </c>
      <c r="AZ184" s="32">
        <f>IFERROR(Upgrades!$H$14*(POWER(Upgrades!$P$13,E184)*POWER(Upgrades!$P$14,F184)*POWER(Upgrades!$P$15,G184)*POWER(Upgrades!$P$16,H184)*POWER(Upgrades!$P$17,I184)*POWER(Upgrades!$P$18,J184)*POWER(Upgrades!$P$19,K184)*POWER(Upgrades!$P$20,L184)*POWER(Upgrades!$P$21,M184))*(IF(Upgrades!$T$13="Local Bubble",POWER(Upgrades!$U$13,E184),1)*IF(Upgrades!$T$15="Local Bubble",POWER(Upgrades!$U$15,G184),1)*IF(Upgrades!$T$16="Local Bubble",POWER(Upgrades!$U$16,H184),1)*IF(Upgrades!$T$17="Local Bubble",POWER(Upgrades!$U$17,I184),1)*IF(Upgrades!$T$18="Local Bubble",POWER(Upgrades!$U$18,J184),1)*IF(Upgrades!$T$19="Local Bubble",POWER(Upgrades!$U$19,K184),1)*IF(Upgrades!$T$20="Local Bubble",POWER(Upgrades!$U$20,L184),1)*IF(Upgrades!$T$21="Local Bubble",POWER(Upgrades!$U$21,M184),1))*$F$6/AL184,0)</f>
        <v/>
      </c>
      <c r="BA184" s="32">
        <f>IFERROR(Upgrades!$K$15*(POWER(Upgrades!$Q$13,E184)*POWER(Upgrades!$Q$14,F184)*POWER(Upgrades!$Q$15,G184)*POWER(Upgrades!$Q$16,H184)*POWER(Upgrades!$Q$17,I184)*POWER(Upgrades!$Q$18,J184)*POWER(Upgrades!$Q$19,K184)*POWER(Upgrades!$Q$20,L184)*POWER(Upgrades!$Q$21,M184))*(IF(Upgrades!$T$13="Microlensing",POWER(Upgrades!$U$13,E184),1)*IF(Upgrades!$T$14="Microlensing",POWER(Upgrades!$U$14,F184),1)*IF(Upgrades!$T$16="Microlensing",POWER(Upgrades!$U$16,H184),1)*IF(Upgrades!$T$17="Microlensing",POWER(Upgrades!$U$17,I184),1)*IF(Upgrades!$T$18="Microlensing",POWER(Upgrades!$U$18,J184),1)*IF(Upgrades!$T$19="Microlensing",POWER(Upgrades!$U$19,K184),1)*IF(Upgrades!$T$20="Microlensing",POWER(Upgrades!$U$20,L184),1)*IF(Upgrades!$T$21="Microlensing",POWER(Upgrades!$U$21,M184),1))*$G$6*(Parameters!$B$10/60*Parameters!$B$11+Q184)/AM184,0)</f>
        <v/>
      </c>
      <c r="BB184" s="32">
        <f>IFERROR((Upgrades!$N$16*(POWER(Upgrades!$R$13,E184)*POWER(Upgrades!$R$14,F184)*POWER(Upgrades!$R$15,G184)*POWER(Upgrades!$R$16,H184)*POWER(Upgrades!$R$17,I184)*POWER(Upgrades!$R$18,J184)*POWER(Upgrades!$R$19,K184)*POWER(Upgrades!$R$20,L184)*POWER(Upgrades!$R$21,M184))*(IF(Upgrades!$T$13="Roche Lobe Overflow",POWER(Upgrades!$U$13,E184),1)*IF(Upgrades!$T$14="Roche Lobe Overflow",POWER(Upgrades!$U$14,F184),1)*IF(Upgrades!$T$15="Roche Lobe Overflow",POWER(Upgrades!$U$15,G184),1)*IF(Upgrades!$T$17="Roche Lobe Overflow",POWER(Upgrades!$U$17,I184),1)*IF(Upgrades!$T$18="Roche Lobe Overflow",POWER(Upgrades!$U$18,J184),1)*IF(Upgrades!$T$19="Roche Lobe Overflow",POWER(Upgrades!$U$19,K184),1)*IF(Upgrades!$T$20="Roche Lobe Overflow",POWER(Upgrades!$U$20,L184),1)*IF(Upgrades!$T$21="Roche Lobe Overflow",POWER(Upgrades!$U$21,M184),1))*$H$6*O184+((IF(F184=0,0,(Upgrades!$G$14+F184*Upgrades!$H$14)*POWER(Upgrades!$I$14,F184)))*(IF(Upgrades!$T$13="Local Bubble",POWER(Upgrades!$U$13,E184),1)*IF(Upgrades!$T$15="Local Bubble",POWER(Upgrades!$U$15,G184),1)*IF(Upgrades!$T$16="Local Bubble",POWER(Upgrades!$U$16,H184),1)*IF(Upgrades!$T$17="Local Bubble",POWER(Upgrades!$U$17,I184),1)*IF(Upgrades!$T$18="Local Bubble",POWER(Upgrades!$U$18,J184),1)*IF(Upgrades!$T$19="Local Bubble",POWER(Upgrades!$U$19,K184),1)*IF(Upgrades!$T$20="Local Bubble",POWER(Upgrades!$U$20,L184),1)*IF(Upgrades!$T$21="Local Bubble",POWER(Upgrades!$U$21,M184),1))*POWER(Upgrades!$P$13,E184)*POWER(Upgrades!$P$14,F184)*POWER(Upgrades!$P$15,G184)*POWER(Upgrades!$P$16,H184)*POWER(Upgrades!$P$17,I184)*POWER(Upgrades!$P$18,J184)*POWER(Upgrades!$P$19,K184)*POWER(Upgrades!$P$20,L184)*POWER(Upgrades!$P$21,M184)*$F$6)*0.05)/AN184,0)</f>
        <v/>
      </c>
      <c r="BC184" s="32">
        <f>IFERROR((Upgrades!$H$17*(POWER(Upgrades!$P$13,E184)*POWER(Upgrades!$P$14,F184)*POWER(Upgrades!$P$15,G184)*POWER(Upgrades!$P$16,H184)*POWER(Upgrades!$P$17,I184)*POWER(Upgrades!$P$18,J184)*POWER(Upgrades!$P$19,K184)*POWER(Upgrades!$P$20,L184)*POWER(Upgrades!$P$21,M184))*(IF(Upgrades!$T$13="Brown Dwarf",POWER(Upgrades!$U$13,E184),1)*IF(Upgrades!$T$14="Brown Dwarf",POWER(Upgrades!$U$14,F184),1)*IF(Upgrades!$T$15="Brown Dwarf",POWER(Upgrades!$U$15,G184),1)*IF(Upgrades!$T$16="Brown Dwarf",POWER(Upgrades!$U$16,H184),1)*IF(Upgrades!$T$18="Brown Dwarf",POWER(Upgrades!$U$18,J184),1)*IF(Upgrades!$T$19="Brown Dwarf",POWER(Upgrades!$U$19,K184),1)*IF(Upgrades!$T$20="Brown Dwarf",POWER(Upgrades!$U$20,L184),1)*IF(Upgrades!$T$21="Brown Dwarf",POWER(Upgrades!$U$21,M184),1))*$F$6+(((IF(H184=0,0,(Upgrades!$M$16+H184*Upgrades!$N$16)*POWER(Upgrades!$O$16,H184)))*(IF(Upgrades!$T$13="Roche Lobe Overflow",POWER(Upgrades!$U$13,E184),1)*IF(Upgrades!$T$14="Roche Lobe Overflow",POWER(Upgrades!$U$14,F184),1)*IF(Upgrades!$T$15="Roche Lobe Overflow",POWER(Upgrades!$U$15,G184),1)*IF(Upgrades!$T$17="Roche Lobe Overflow",POWER(Upgrades!$U$17,I184),1)*IF(Upgrades!$T$18="Roche Lobe Overflow",POWER(Upgrades!$U$18,J184),1)*IF(Upgrades!$T$19="Roche Lobe Overflow",POWER(Upgrades!$U$19,K184),1)*IF(Upgrades!$T$20="Roche Lobe Overflow",POWER(Upgrades!$U$20,L184),1)*IF(Upgrades!$T$21="Roche Lobe Overflow",POWER(Upgrades!$U$21,M184),1))*POWER(Upgrades!$R$13,E184)*POWER(Upgrades!$R$14,F184)*POWER(Upgrades!$R$15,G184)*POWER(Upgrades!$R$16,H184)*POWER(Upgrades!$R$17,I184)*POWER(Upgrades!$R$18,J184)*POWER(Upgrades!$R$19,K184)*POWER(Upgrades!$R$20,L184)*POWER(Upgrades!$R$21,M184)*$H$6)*O184)*0.10)/AO184,0)</f>
        <v/>
      </c>
      <c r="BD184" s="32">
        <f>MAX(IF(J184&gt;0,0,IFERROR(0.5*((IF(G184=0,0,(Upgrades!$J$15+G184*Upgrades!$K$15)*POWER(Upgrades!$L$15,G184)))*(IF(Upgrades!$T$13="Microlensing",POWER(Upgrades!$U$13,E184),1)*IF(Upgrades!$T$14="Microlensing",POWER(Upgrades!$U$14,F184),1)*IF(Upgrades!$T$16="Microlensing",POWER(Upgrades!$U$16,H184),1)*IF(Upgrades!$T$17="Microlensing",POWER(Upgrades!$U$17,I184),1)*IF(Upgrades!$T$18="Microlensing",POWER(Upgrades!$U$18,J184),1)*IF(Upgrades!$T$19="Microlensing",POWER(Upgrades!$U$19,K184),1)*IF(Upgrades!$T$20="Microlensing",POWER(Upgrades!$U$20,L184),1)*IF(Upgrades!$T$21="Microlensing",POWER(Upgrades!$U$21,M184),1))*(POWER(Upgrades!$Q$13,E184)*POWER(Upgrades!$Q$14,F184)*POWER(Upgrades!$Q$15,G184)*POWER(Upgrades!$Q$16,H184)*POWER(Upgrades!$Q$17,I184)*POWER(Upgrades!$Q$18,J184)*POWER(Upgrades!$Q$19,K184)*POWER(Upgrades!$Q$20,L184)*POWER(Upgrades!$Q$21,M184))*$G$6*(Parameters!$B$10/60*Parameters!$B$11+Q184))/Upgrades!$C$18,0)),IF(K184&gt;0,0,IFERROR(0.30*P184/Upgrades!$C$19,0)),IF(L184&gt;0,0,IFERROR(0.0001/Upgrades!$C$20,0)),IF(M184&gt;0,0,IFERROR((6.0*(POWER(Upgrades!$P$13,E184)*POWER(Upgrades!$P$14,F184)*POWER(Upgrades!$P$15,G184)*POWER(Upgrades!$P$16,H184)*POWER(Upgrades!$P$17,I184)*POWER(Upgrades!$P$18,J184)*POWER(Upgrades!$P$19,K184)*POWER(Upgrades!$P$20,L184)*POWER(Upgrades!$P$21,M184))*$F$6+0.20*O184*(Parameters!$B$10/60*Parameters!$B$11+Q184))/Upgrades!$C$21,0)),IF(AND(ISNUMBER(AK184),AK184&gt;(C184+T184)),AY184,0),IF(AND(ISNUMBER(AL184),AL184&gt;(C184+T184)),AZ184,0),IF(AND(ISNUMBER(AM184),AM184&gt;(C184+T184)),BA184,0),IF(AND(ISNUMBER(AN184),AN184&gt;(C184+T184)),BB184,0),IF(AND(ISNUMBER(AO184),AO184&gt;(C184+T184)),BC184,0))</f>
        <v/>
      </c>
      <c r="BE184" s="29">
        <f>IF(AT184=1,"transition",IF(MIN(IF(AND(J184=0,ISNUMBER(AP184),AP184&lt;=(C184+T184)),AP184,9E15),IF(AND(K184=0,ISNUMBER(AQ184),AQ184&lt;=(C184+T184)),AQ184,9E15),IF(AND(L184=0,ISNUMBER(AR184),AR184&lt;=(C184+T184)),AR184,9E15),IF(AND(M184=0,ISNUMBER(AS184),AS184&lt;=(C184+T184)),AS184,9E15))&lt;9E15,IF(AND(AND(J184=0,ISNUMBER(AP184),AP184&lt;=(C184+T184)),AP184=MIN(IF(AND(J184=0,ISNUMBER(AP184),AP184&lt;=(C184+T184)),AP184,9E15),IF(AND(K184=0,ISNUMBER(AQ184),AQ184&lt;=(C184+T184)),AQ184,9E15),IF(AND(L184=0,ISNUMBER(AR184),AR184&lt;=(C184+T184)),AR184,9E15),IF(AND(M184=0,ISNUMBER(AS184),AS184&lt;=(C184+T184)),AS184,9E15))),"BiP",IF(AND(AND(K184=0,ISNUMBER(AQ184),AQ184&lt;=(C184+T184)),AQ184=MIN(IF(AND(J184=0,ISNUMBER(AP184),AP184&lt;=(C184+T184)),AP184,9E15),IF(AND(K184=0,ISNUMBER(AQ184),AQ184&lt;=(C184+T184)),AQ184,9E15),IF(AND(L184=0,ISNUMBER(AR184),AR184&lt;=(C184+T184)),AR184,9E15),IF(AND(M184=0,ISNUMBER(AS184),AS184&lt;=(C184+T184)),AS184,9E15))),"PV",IF(AND(AND(L184=0,ISNUMBER(AR184),AR184&lt;=(C184+T184)),AR184=MIN(IF(AND(J184=0,ISNUMBER(AP184),AP184&lt;=(C184+T184)),AP184,9E15),IF(AND(K184=0,ISNUMBER(AQ184),AQ184&lt;=(C184+T184)),AQ184,9E15),IF(AND(L184=0,ISNUMBER(AR184),AR184&lt;=(C184+T184)),AR184,9E15),IF(AND(M184=0,ISNUMBER(AS184),AS184&lt;=(C184+T184)),AS184,9E15))),"OC","MG"))),IF(AX184=TRUE,"",IF(MAX(IF(AND(NOT(AND(AU184=1,AT184&lt;&gt;1)),ISNUMBER(AK184),AK184&lt;=(C184+T184)),AY184,0),IF(AND(NOT(AND(AU184=1,AT184&lt;&gt;1)),ISNUMBER(AL184),AL184&lt;=(C184+T184)),AZ184,0),IF(AND(NOT(AND(AU184=1,AT184&lt;&gt;1)),ISNUMBER(AM184),AM184&lt;=(C184+T184)),BA184,0),IF(AND(NOT(AND(AU184=1,AT184&lt;&gt;1)),ISNUMBER(AN184),AN184&lt;=(C184+T184)),BB184,0),IF(AND(ISNUMBER(AO184),AO184&lt;=(C184+T184)),BC184,0))&lt;=0,"",IF(AND(IF(AND(NOT(AND(AU184=1,AT184&lt;&gt;1)),ISNUMBER(AK184),AK184&lt;=(C184+T184)),AY184,0)&gt;0,IF(AND(NOT(AND(AU184=1,AT184&lt;&gt;1)),ISNUMBER(AK184),AK184&lt;=(C184+T184)),AY184,0)=MAX(IF(AND(NOT(AND(AU184=1,AT184&lt;&gt;1)),ISNUMBER(AK184),AK184&lt;=(C184+T184)),AY184,0),IF(AND(NOT(AND(AU184=1,AT184&lt;&gt;1)),ISNUMBER(AL184),AL184&lt;=(C184+T184)),AZ184,0),IF(AND(NOT(AND(AU184=1,AT184&lt;&gt;1)),ISNUMBER(AM184),AM184&lt;=(C184+T184)),BA184,0),IF(AND(NOT(AND(AU184=1,AT184&lt;&gt;1)),ISNUMBER(AN184),AN184&lt;=(C184+T184)),BB184,0),IF(AND(ISNUMBER(AO184),AO184&lt;=(C184+T184)),BC184,0))),"SK",IF(AND(IF(AND(NOT(AND(AU184=1,AT184&lt;&gt;1)),ISNUMBER(AL184),AL184&lt;=(C184+T184)),AZ184,0)&gt;0,IF(AND(NOT(AND(AU184=1,AT184&lt;&gt;1)),ISNUMBER(AL184),AL184&lt;=(C184+T184)),AZ184,0)=MAX(IF(AND(NOT(AND(AU184=1,AT184&lt;&gt;1)),ISNUMBER(AK184),AK184&lt;=(C184+T184)),AY184,0),IF(AND(NOT(AND(AU184=1,AT184&lt;&gt;1)),ISNUMBER(AL184),AL184&lt;=(C184+T184)),AZ184,0),IF(AND(NOT(AND(AU184=1,AT184&lt;&gt;1)),ISNUMBER(AM184),AM184&lt;=(C184+T184)),BA184,0),IF(AND(NOT(AND(AU184=1,AT184&lt;&gt;1)),ISNUMBER(AN184),AN184&lt;=(C184+T184)),BB184,0),IF(AND(ISNUMBER(AO184),AO184&lt;=(C184+T184)),BC184,0))),"LB",IF(AND(IF(AND(NOT(AND(AU184=1,AT184&lt;&gt;1)),ISNUMBER(AM184),AM184&lt;=(C184+T184)),BA184,0)&gt;0,IF(AND(NOT(AND(AU184=1,AT184&lt;&gt;1)),ISNUMBER(AM184),AM184&lt;=(C184+T184)),BA184,0)=MAX(IF(AND(NOT(AND(AU184=1,AT184&lt;&gt;1)),ISNUMBER(AK184),AK184&lt;=(C184+T184)),AY184,0),IF(AND(NOT(AND(AU184=1,AT184&lt;&gt;1)),ISNUMBER(AL184),AL184&lt;=(C184+T184)),AZ184,0),IF(AND(NOT(AND(AU184=1,AT184&lt;&gt;1)),ISNUMBER(AM184),AM184&lt;=(C184+T184)),BA184,0),IF(AND(NOT(AND(AU184=1,AT184&lt;&gt;1)),ISNUMBER(AN184),AN184&lt;=(C184+T184)),BB184,0),IF(AND(ISNUMBER(AO184),AO184&lt;=(C184+T184)),BC184,0))),"ML",IF(AND(IF(AND(NOT(AND(AU184=1,AT184&lt;&gt;1)),ISNUMBER(AN184),AN184&lt;=(C184+T184)),BB184,0)&gt;0,IF(AND(NOT(AND(AU184=1,AT184&lt;&gt;1)),ISNUMBER(AN184),AN184&lt;=(C184+T184)),BB184,0)=MAX(IF(AND(NOT(AND(AU184=1,AT184&lt;&gt;1)),ISNUMBER(AK184),AK184&lt;=(C184+T184)),AY184,0),IF(AND(NOT(AND(AU184=1,AT184&lt;&gt;1)),ISNUMBER(AL184),AL184&lt;=(C184+T184)),AZ184,0),IF(AND(NOT(AND(AU184=1,AT184&lt;&gt;1)),ISNUMBER(AM184),AM184&lt;=(C184+T184)),BA184,0),IF(AND(NOT(AND(AU184=1,AT184&lt;&gt;1)),ISNUMBER(AN184),AN184&lt;=(C184+T184)),BB184,0),IF(AND(ISNUMBER(AO184),AO184&lt;=(C184+T184)),BC184,0))),"RLO","BD"))))))))</f>
        <v/>
      </c>
    </row>
    <row r="185">
      <c r="A185" s="26" t="n">
        <v>174</v>
      </c>
      <c r="B185" s="27">
        <f>A185*10/60</f>
        <v/>
      </c>
      <c r="C185" s="22">
        <f>X184</f>
        <v/>
      </c>
      <c r="D185" s="27">
        <f>D184+W184</f>
        <v/>
      </c>
      <c r="E185" s="26">
        <f>E184+IF(U184="SK",1,0)</f>
        <v/>
      </c>
      <c r="F185" s="26">
        <f>F184+IF(U184="LB",1,0)</f>
        <v/>
      </c>
      <c r="G185" s="26">
        <f>G184+IF(U184="ML",1,0)</f>
        <v/>
      </c>
      <c r="H185" s="26">
        <f>H184+IF(U184="RLO",1,0)</f>
        <v/>
      </c>
      <c r="I185" s="26">
        <f>I184+IF(U184="BD",1,0)</f>
        <v/>
      </c>
      <c r="J185" s="26">
        <f>MAX(J184,IF(U184="BiP",1,0))</f>
        <v/>
      </c>
      <c r="K185" s="26">
        <f>MAX(K184,IF(U184="PV",1,0))</f>
        <v/>
      </c>
      <c r="L185" s="26">
        <f>MAX(L184,IF(U184="OC",1,0))</f>
        <v/>
      </c>
      <c r="M185" s="26">
        <f>MAX(M184,IF(U184="MG",1,0))</f>
        <v/>
      </c>
      <c r="N185" s="26">
        <f>MAX(N184,IF(U184="transition",1,0))</f>
        <v/>
      </c>
      <c r="O185" s="28">
        <f>(Parameters!$B$9+(IF(E185=0,0,(Upgrades!$J$13+E185*Upgrades!$K$13)*POWER(Upgrades!$L$13,E185)))*(IF(Upgrades!$T$14="Stellar Kinematics",POWER(Upgrades!$U$14,F185),1)*IF(Upgrades!$T$15="Stellar Kinematics",POWER(Upgrades!$U$15,G185),1)*IF(Upgrades!$T$16="Stellar Kinematics",POWER(Upgrades!$U$16,H185),1)*IF(Upgrades!$T$17="Stellar Kinematics",POWER(Upgrades!$U$17,I185),1)*IF(Upgrades!$T$18="Stellar Kinematics",POWER(Upgrades!$U$18,J185),1)*IF(Upgrades!$T$19="Stellar Kinematics",POWER(Upgrades!$U$19,K185),1)*IF(Upgrades!$T$20="Stellar Kinematics",POWER(Upgrades!$U$20,L185),1)*IF(Upgrades!$T$21="Stellar Kinematics",POWER(Upgrades!$U$21,M185),1))+(IF(F185=0,0,(Upgrades!$J$14+F185*Upgrades!$K$14)*POWER(Upgrades!$L$14,F185)))*(IF(Upgrades!$T$13="Local Bubble",POWER(Upgrades!$U$13,E185),1)*IF(Upgrades!$T$15="Local Bubble",POWER(Upgrades!$U$15,G185),1)*IF(Upgrades!$T$16="Local Bubble",POWER(Upgrades!$U$16,H185),1)*IF(Upgrades!$T$17="Local Bubble",POWER(Upgrades!$U$17,I185),1)*IF(Upgrades!$T$18="Local Bubble",POWER(Upgrades!$U$18,J185),1)*IF(Upgrades!$T$19="Local Bubble",POWER(Upgrades!$U$19,K185),1)*IF(Upgrades!$T$20="Local Bubble",POWER(Upgrades!$U$20,L185),1)*IF(Upgrades!$T$21="Local Bubble",POWER(Upgrades!$U$21,M185),1))+(IF(G185=0,0,(Upgrades!$J$15+G185*Upgrades!$K$15)*POWER(Upgrades!$L$15,G185)))*(IF(Upgrades!$T$13="Microlensing",POWER(Upgrades!$U$13,E185),1)*IF(Upgrades!$T$14="Microlensing",POWER(Upgrades!$U$14,F185),1)*IF(Upgrades!$T$16="Microlensing",POWER(Upgrades!$U$16,H185),1)*IF(Upgrades!$T$17="Microlensing",POWER(Upgrades!$U$17,I185),1)*IF(Upgrades!$T$18="Microlensing",POWER(Upgrades!$U$18,J185),1)*IF(Upgrades!$T$19="Microlensing",POWER(Upgrades!$U$19,K185),1)*IF(Upgrades!$T$20="Microlensing",POWER(Upgrades!$U$20,L185),1)*IF(Upgrades!$T$21="Microlensing",POWER(Upgrades!$U$21,M185),1))+(IF(H185=0,0,(Upgrades!$J$16+H185*Upgrades!$K$16)*POWER(Upgrades!$L$16,H185)))*(IF(Upgrades!$T$13="Roche Lobe Overflow",POWER(Upgrades!$U$13,E185),1)*IF(Upgrades!$T$14="Roche Lobe Overflow",POWER(Upgrades!$U$14,F185),1)*IF(Upgrades!$T$15="Roche Lobe Overflow",POWER(Upgrades!$U$15,G185),1)*IF(Upgrades!$T$17="Roche Lobe Overflow",POWER(Upgrades!$U$17,I185),1)*IF(Upgrades!$T$18="Roche Lobe Overflow",POWER(Upgrades!$U$18,J185),1)*IF(Upgrades!$T$19="Roche Lobe Overflow",POWER(Upgrades!$U$19,K185),1)*IF(Upgrades!$T$20="Roche Lobe Overflow",POWER(Upgrades!$U$20,L185),1)*IF(Upgrades!$T$21="Roche Lobe Overflow",POWER(Upgrades!$U$21,M185),1))+(IF(I185=0,0,(Upgrades!$J$17+I185*Upgrades!$K$17)*POWER(Upgrades!$L$17,I185)))*(IF(Upgrades!$T$13="Brown Dwarf",POWER(Upgrades!$U$13,E185),1)*IF(Upgrades!$T$14="Brown Dwarf",POWER(Upgrades!$U$14,F185),1)*IF(Upgrades!$T$15="Brown Dwarf",POWER(Upgrades!$U$15,G185),1)*IF(Upgrades!$T$16="Brown Dwarf",POWER(Upgrades!$U$16,H185),1)*IF(Upgrades!$T$18="Brown Dwarf",POWER(Upgrades!$U$18,J185),1)*IF(Upgrades!$T$19="Brown Dwarf",POWER(Upgrades!$U$19,K185),1)*IF(Upgrades!$T$20="Brown Dwarf",POWER(Upgrades!$U$20,L185),1)*IF(Upgrades!$T$21="Brown Dwarf",POWER(Upgrades!$U$21,M185),1))+(IF(J185=0,0,(Upgrades!$J$18+J185*Upgrades!$K$18)*POWER(Upgrades!$L$18,J185)))*(IF(Upgrades!$T$13="Binary Partner",POWER(Upgrades!$U$13,E185),1)*IF(Upgrades!$T$14="Binary Partner",POWER(Upgrades!$U$14,F185),1)*IF(Upgrades!$T$15="Binary Partner",POWER(Upgrades!$U$15,G185),1)*IF(Upgrades!$T$16="Binary Partner",POWER(Upgrades!$U$16,H185),1)*IF(Upgrades!$T$17="Binary Partner",POWER(Upgrades!$U$17,I185),1)*IF(Upgrades!$T$19="Binary Partner",POWER(Upgrades!$U$19,K185),1)*IF(Upgrades!$T$20="Binary Partner",POWER(Upgrades!$U$20,L185),1)*IF(Upgrades!$T$21="Binary Partner",POWER(Upgrades!$U$21,M185),1))+(IF(K185=0,0,(Upgrades!$J$19+K185*Upgrades!$K$19)*POWER(Upgrades!$L$19,K185)))*(IF(Upgrades!$T$13="Peculiar Velocity",POWER(Upgrades!$U$13,E185),1)*IF(Upgrades!$T$14="Peculiar Velocity",POWER(Upgrades!$U$14,F185),1)*IF(Upgrades!$T$15="Peculiar Velocity",POWER(Upgrades!$U$15,G185),1)*IF(Upgrades!$T$16="Peculiar Velocity",POWER(Upgrades!$U$16,H185),1)*IF(Upgrades!$T$17="Peculiar Velocity",POWER(Upgrades!$U$17,I185),1)*IF(Upgrades!$T$18="Peculiar Velocity",POWER(Upgrades!$U$18,J185),1)*IF(Upgrades!$T$20="Peculiar Velocity",POWER(Upgrades!$U$20,L185),1)*IF(Upgrades!$T$21="Peculiar Velocity",POWER(Upgrades!$U$21,M185),1))+(IF(L185=0,0,(Upgrades!$J$20+L185*Upgrades!$K$20)*POWER(Upgrades!$L$20,L185)))*(IF(Upgrades!$T$13="Open Cluster",POWER(Upgrades!$U$13,E185),1)*IF(Upgrades!$T$14="Open Cluster",POWER(Upgrades!$U$14,F185),1)*IF(Upgrades!$T$15="Open Cluster",POWER(Upgrades!$U$15,G185),1)*IF(Upgrades!$T$16="Open Cluster",POWER(Upgrades!$U$16,H185),1)*IF(Upgrades!$T$17="Open Cluster",POWER(Upgrades!$U$17,I185),1)*IF(Upgrades!$T$18="Open Cluster",POWER(Upgrades!$U$18,J185),1)*IF(Upgrades!$T$19="Open Cluster",POWER(Upgrades!$U$19,K185),1)*IF(Upgrades!$T$21="Open Cluster",POWER(Upgrades!$U$21,M185),1))+(IF(M185=0,0,(Upgrades!$J$21+M185*Upgrades!$K$21)*POWER(Upgrades!$L$21,M185)))*(IF(Upgrades!$T$13="Moving Group",POWER(Upgrades!$U$13,E185),1)*IF(Upgrades!$T$14="Moving Group",POWER(Upgrades!$U$14,F185),1)*IF(Upgrades!$T$15="Moving Group",POWER(Upgrades!$U$15,G185),1)*IF(Upgrades!$T$16="Moving Group",POWER(Upgrades!$U$16,H185),1)*IF(Upgrades!$T$17="Moving Group",POWER(Upgrades!$U$17,I185),1)*IF(Upgrades!$T$18="Moving Group",POWER(Upgrades!$U$18,J185),1)*IF(Upgrades!$T$19="Moving Group",POWER(Upgrades!$U$19,K185),1)*IF(Upgrades!$T$20="Moving Group",POWER(Upgrades!$U$20,L185),1)))*POWER(Upgrades!$Q$13,E185)*POWER(Upgrades!$Q$14,F185)*POWER(Upgrades!$Q$15,G185)*POWER(Upgrades!$Q$16,H185)*POWER(Upgrades!$Q$17,I185)*POWER(Upgrades!$Q$18,J185)*POWER(Upgrades!$Q$19,K185)*POWER(Upgrades!$Q$20,L185)*POWER(Upgrades!$Q$21,M185)*$G$6+$D$6</f>
        <v/>
      </c>
      <c r="P185" s="28">
        <f>((IF(E185=0,0,(Upgrades!$G$13+E185*Upgrades!$H$13)*POWER(Upgrades!$I$13,E185)))*(IF(Upgrades!$T$14="Stellar Kinematics",POWER(Upgrades!$U$14,F185),1)*IF(Upgrades!$T$15="Stellar Kinematics",POWER(Upgrades!$U$15,G185),1)*IF(Upgrades!$T$16="Stellar Kinematics",POWER(Upgrades!$U$16,H185),1)*IF(Upgrades!$T$17="Stellar Kinematics",POWER(Upgrades!$U$17,I185),1)*IF(Upgrades!$T$18="Stellar Kinematics",POWER(Upgrades!$U$18,J185),1)*IF(Upgrades!$T$19="Stellar Kinematics",POWER(Upgrades!$U$19,K185),1)*IF(Upgrades!$T$20="Stellar Kinematics",POWER(Upgrades!$U$20,L185),1)*IF(Upgrades!$T$21="Stellar Kinematics",POWER(Upgrades!$U$21,M185),1))+(IF(F185=0,0,(Upgrades!$G$14+F185*Upgrades!$H$14)*POWER(Upgrades!$I$14,F185)))*(IF(Upgrades!$T$13="Local Bubble",POWER(Upgrades!$U$13,E185),1)*IF(Upgrades!$T$15="Local Bubble",POWER(Upgrades!$U$15,G185),1)*IF(Upgrades!$T$16="Local Bubble",POWER(Upgrades!$U$16,H185),1)*IF(Upgrades!$T$17="Local Bubble",POWER(Upgrades!$U$17,I185),1)*IF(Upgrades!$T$18="Local Bubble",POWER(Upgrades!$U$18,J185),1)*IF(Upgrades!$T$19="Local Bubble",POWER(Upgrades!$U$19,K185),1)*IF(Upgrades!$T$20="Local Bubble",POWER(Upgrades!$U$20,L185),1)*IF(Upgrades!$T$21="Local Bubble",POWER(Upgrades!$U$21,M185),1))+(IF(G185=0,0,(Upgrades!$G$15+G185*Upgrades!$H$15)*POWER(Upgrades!$I$15,G185)))*(IF(Upgrades!$T$13="Microlensing",POWER(Upgrades!$U$13,E185),1)*IF(Upgrades!$T$14="Microlensing",POWER(Upgrades!$U$14,F185),1)*IF(Upgrades!$T$16="Microlensing",POWER(Upgrades!$U$16,H185),1)*IF(Upgrades!$T$17="Microlensing",POWER(Upgrades!$U$17,I185),1)*IF(Upgrades!$T$18="Microlensing",POWER(Upgrades!$U$18,J185),1)*IF(Upgrades!$T$19="Microlensing",POWER(Upgrades!$U$19,K185),1)*IF(Upgrades!$T$20="Microlensing",POWER(Upgrades!$U$20,L185),1)*IF(Upgrades!$T$21="Microlensing",POWER(Upgrades!$U$21,M185),1))+(IF(H185=0,0,(Upgrades!$G$16+H185*Upgrades!$H$16)*POWER(Upgrades!$I$16,H185)))*(IF(Upgrades!$T$13="Roche Lobe Overflow",POWER(Upgrades!$U$13,E185),1)*IF(Upgrades!$T$14="Roche Lobe Overflow",POWER(Upgrades!$U$14,F185),1)*IF(Upgrades!$T$15="Roche Lobe Overflow",POWER(Upgrades!$U$15,G185),1)*IF(Upgrades!$T$17="Roche Lobe Overflow",POWER(Upgrades!$U$17,I185),1)*IF(Upgrades!$T$18="Roche Lobe Overflow",POWER(Upgrades!$U$18,J185),1)*IF(Upgrades!$T$19="Roche Lobe Overflow",POWER(Upgrades!$U$19,K185),1)*IF(Upgrades!$T$20="Roche Lobe Overflow",POWER(Upgrades!$U$20,L185),1)*IF(Upgrades!$T$21="Roche Lobe Overflow",POWER(Upgrades!$U$21,M185),1))+(IF(I185=0,0,(Upgrades!$G$17+I185*Upgrades!$H$17)*POWER(Upgrades!$I$17,I185)))*(IF(Upgrades!$T$13="Brown Dwarf",POWER(Upgrades!$U$13,E185),1)*IF(Upgrades!$T$14="Brown Dwarf",POWER(Upgrades!$U$14,F185),1)*IF(Upgrades!$T$15="Brown Dwarf",POWER(Upgrades!$U$15,G185),1)*IF(Upgrades!$T$16="Brown Dwarf",POWER(Upgrades!$U$16,H185),1)*IF(Upgrades!$T$18="Brown Dwarf",POWER(Upgrades!$U$18,J185),1)*IF(Upgrades!$T$19="Brown Dwarf",POWER(Upgrades!$U$19,K185),1)*IF(Upgrades!$T$20="Brown Dwarf",POWER(Upgrades!$U$20,L185),1)*IF(Upgrades!$T$21="Brown Dwarf",POWER(Upgrades!$U$21,M185),1))+(IF(J185=0,0,(Upgrades!$G$18+J185*Upgrades!$H$18)*POWER(Upgrades!$I$18,J185)))*(IF(Upgrades!$T$13="Binary Partner",POWER(Upgrades!$U$13,E185),1)*IF(Upgrades!$T$14="Binary Partner",POWER(Upgrades!$U$14,F185),1)*IF(Upgrades!$T$15="Binary Partner",POWER(Upgrades!$U$15,G185),1)*IF(Upgrades!$T$16="Binary Partner",POWER(Upgrades!$U$16,H185),1)*IF(Upgrades!$T$17="Binary Partner",POWER(Upgrades!$U$17,I185),1)*IF(Upgrades!$T$19="Binary Partner",POWER(Upgrades!$U$19,K185),1)*IF(Upgrades!$T$20="Binary Partner",POWER(Upgrades!$U$20,L185),1)*IF(Upgrades!$T$21="Binary Partner",POWER(Upgrades!$U$21,M185),1))+(IF(K185=0,0,(Upgrades!$G$19+K185*Upgrades!$H$19)*POWER(Upgrades!$I$19,K185)))*(IF(Upgrades!$T$13="Peculiar Velocity",POWER(Upgrades!$U$13,E185),1)*IF(Upgrades!$T$14="Peculiar Velocity",POWER(Upgrades!$U$14,F185),1)*IF(Upgrades!$T$15="Peculiar Velocity",POWER(Upgrades!$U$15,G185),1)*IF(Upgrades!$T$16="Peculiar Velocity",POWER(Upgrades!$U$16,H185),1)*IF(Upgrades!$T$17="Peculiar Velocity",POWER(Upgrades!$U$17,I185),1)*IF(Upgrades!$T$18="Peculiar Velocity",POWER(Upgrades!$U$18,J185),1)*IF(Upgrades!$T$20="Peculiar Velocity",POWER(Upgrades!$U$20,L185),1)*IF(Upgrades!$T$21="Peculiar Velocity",POWER(Upgrades!$U$21,M185),1))+(IF(L185=0,0,(Upgrades!$G$20+L185*Upgrades!$H$20)*POWER(Upgrades!$I$20,L185)))*(IF(Upgrades!$T$13="Open Cluster",POWER(Upgrades!$U$13,E185),1)*IF(Upgrades!$T$14="Open Cluster",POWER(Upgrades!$U$14,F185),1)*IF(Upgrades!$T$15="Open Cluster",POWER(Upgrades!$U$15,G185),1)*IF(Upgrades!$T$16="Open Cluster",POWER(Upgrades!$U$16,H185),1)*IF(Upgrades!$T$17="Open Cluster",POWER(Upgrades!$U$17,I185),1)*IF(Upgrades!$T$18="Open Cluster",POWER(Upgrades!$U$18,J185),1)*IF(Upgrades!$T$19="Open Cluster",POWER(Upgrades!$U$19,K185),1)*IF(Upgrades!$T$21="Open Cluster",POWER(Upgrades!$U$21,M185),1))+(IF(M185=0,0,(Upgrades!$G$21+M185*Upgrades!$H$21)*POWER(Upgrades!$I$21,M185)))*(IF(Upgrades!$T$13="Moving Group",POWER(Upgrades!$U$13,E185),1)*IF(Upgrades!$T$14="Moving Group",POWER(Upgrades!$U$14,F185),1)*IF(Upgrades!$T$15="Moving Group",POWER(Upgrades!$U$15,G185),1)*IF(Upgrades!$T$16="Moving Group",POWER(Upgrades!$U$16,H185),1)*IF(Upgrades!$T$17="Moving Group",POWER(Upgrades!$U$17,I185),1)*IF(Upgrades!$T$18="Moving Group",POWER(Upgrades!$U$18,J185),1)*IF(Upgrades!$T$19="Moving Group",POWER(Upgrades!$U$19,K185),1)*IF(Upgrades!$T$20="Moving Group",POWER(Upgrades!$U$20,L185),1)))*POWER(Upgrades!$P$13,E185)*POWER(Upgrades!$P$14,F185)*POWER(Upgrades!$P$15,G185)*POWER(Upgrades!$P$16,H185)*POWER(Upgrades!$P$17,I185)*POWER(Upgrades!$P$18,J185)*POWER(Upgrades!$P$19,K185)*POWER(Upgrades!$P$20,L185)*POWER(Upgrades!$P$21,M185)*$F$6+$C$6</f>
        <v/>
      </c>
      <c r="Q185" s="28">
        <f>((IF(E185=0,0,(Upgrades!$M$13+E185*Upgrades!$N$13)*POWER(Upgrades!$O$13,E185)))*(IF(Upgrades!$T$14="Stellar Kinematics",POWER(Upgrades!$U$14,F185),1)*IF(Upgrades!$T$15="Stellar Kinematics",POWER(Upgrades!$U$15,G185),1)*IF(Upgrades!$T$16="Stellar Kinematics",POWER(Upgrades!$U$16,H185),1)*IF(Upgrades!$T$17="Stellar Kinematics",POWER(Upgrades!$U$17,I185),1)*IF(Upgrades!$T$18="Stellar Kinematics",POWER(Upgrades!$U$18,J185),1)*IF(Upgrades!$T$19="Stellar Kinematics",POWER(Upgrades!$U$19,K185),1)*IF(Upgrades!$T$20="Stellar Kinematics",POWER(Upgrades!$U$20,L185),1)*IF(Upgrades!$T$21="Stellar Kinematics",POWER(Upgrades!$U$21,M185),1))+(IF(F185=0,0,(Upgrades!$M$14+F185*Upgrades!$N$14)*POWER(Upgrades!$O$14,F185)))*(IF(Upgrades!$T$13="Local Bubble",POWER(Upgrades!$U$13,E185),1)*IF(Upgrades!$T$15="Local Bubble",POWER(Upgrades!$U$15,G185),1)*IF(Upgrades!$T$16="Local Bubble",POWER(Upgrades!$U$16,H185),1)*IF(Upgrades!$T$17="Local Bubble",POWER(Upgrades!$U$17,I185),1)*IF(Upgrades!$T$18="Local Bubble",POWER(Upgrades!$U$18,J185),1)*IF(Upgrades!$T$19="Local Bubble",POWER(Upgrades!$U$19,K185),1)*IF(Upgrades!$T$20="Local Bubble",POWER(Upgrades!$U$20,L185),1)*IF(Upgrades!$T$21="Local Bubble",POWER(Upgrades!$U$21,M185),1))+(IF(G185=0,0,(Upgrades!$M$15+G185*Upgrades!$N$15)*POWER(Upgrades!$O$15,G185)))*(IF(Upgrades!$T$13="Microlensing",POWER(Upgrades!$U$13,E185),1)*IF(Upgrades!$T$14="Microlensing",POWER(Upgrades!$U$14,F185),1)*IF(Upgrades!$T$16="Microlensing",POWER(Upgrades!$U$16,H185),1)*IF(Upgrades!$T$17="Microlensing",POWER(Upgrades!$U$17,I185),1)*IF(Upgrades!$T$18="Microlensing",POWER(Upgrades!$U$18,J185),1)*IF(Upgrades!$T$19="Microlensing",POWER(Upgrades!$U$19,K185),1)*IF(Upgrades!$T$20="Microlensing",POWER(Upgrades!$U$20,L185),1)*IF(Upgrades!$T$21="Microlensing",POWER(Upgrades!$U$21,M185),1))+(IF(H185=0,0,(Upgrades!$M$16+H185*Upgrades!$N$16)*POWER(Upgrades!$O$16,H185)))*(IF(Upgrades!$T$13="Roche Lobe Overflow",POWER(Upgrades!$U$13,E185),1)*IF(Upgrades!$T$14="Roche Lobe Overflow",POWER(Upgrades!$U$14,F185),1)*IF(Upgrades!$T$15="Roche Lobe Overflow",POWER(Upgrades!$U$15,G185),1)*IF(Upgrades!$T$17="Roche Lobe Overflow",POWER(Upgrades!$U$17,I185),1)*IF(Upgrades!$T$18="Roche Lobe Overflow",POWER(Upgrades!$U$18,J185),1)*IF(Upgrades!$T$19="Roche Lobe Overflow",POWER(Upgrades!$U$19,K185),1)*IF(Upgrades!$T$20="Roche Lobe Overflow",POWER(Upgrades!$U$20,L185),1)*IF(Upgrades!$T$21="Roche Lobe Overflow",POWER(Upgrades!$U$21,M185),1))+(IF(I185=0,0,(Upgrades!$M$17+I185*Upgrades!$N$17)*POWER(Upgrades!$O$17,I185)))*(IF(Upgrades!$T$13="Brown Dwarf",POWER(Upgrades!$U$13,E185),1)*IF(Upgrades!$T$14="Brown Dwarf",POWER(Upgrades!$U$14,F185),1)*IF(Upgrades!$T$15="Brown Dwarf",POWER(Upgrades!$U$15,G185),1)*IF(Upgrades!$T$16="Brown Dwarf",POWER(Upgrades!$U$16,H185),1)*IF(Upgrades!$T$18="Brown Dwarf",POWER(Upgrades!$U$18,J185),1)*IF(Upgrades!$T$19="Brown Dwarf",POWER(Upgrades!$U$19,K185),1)*IF(Upgrades!$T$20="Brown Dwarf",POWER(Upgrades!$U$20,L185),1)*IF(Upgrades!$T$21="Brown Dwarf",POWER(Upgrades!$U$21,M185),1))+(IF(J185=0,0,(Upgrades!$M$18+J185*Upgrades!$N$18)*POWER(Upgrades!$O$18,J185)))*(IF(Upgrades!$T$13="Binary Partner",POWER(Upgrades!$U$13,E185),1)*IF(Upgrades!$T$14="Binary Partner",POWER(Upgrades!$U$14,F185),1)*IF(Upgrades!$T$15="Binary Partner",POWER(Upgrades!$U$15,G185),1)*IF(Upgrades!$T$16="Binary Partner",POWER(Upgrades!$U$16,H185),1)*IF(Upgrades!$T$17="Binary Partner",POWER(Upgrades!$U$17,I185),1)*IF(Upgrades!$T$19="Binary Partner",POWER(Upgrades!$U$19,K185),1)*IF(Upgrades!$T$20="Binary Partner",POWER(Upgrades!$U$20,L185),1)*IF(Upgrades!$T$21="Binary Partner",POWER(Upgrades!$U$21,M185),1))+(IF(K185=0,0,(Upgrades!$M$19+K185*Upgrades!$N$19)*POWER(Upgrades!$O$19,K185)))*(IF(Upgrades!$T$13="Peculiar Velocity",POWER(Upgrades!$U$13,E185),1)*IF(Upgrades!$T$14="Peculiar Velocity",POWER(Upgrades!$U$14,F185),1)*IF(Upgrades!$T$15="Peculiar Velocity",POWER(Upgrades!$U$15,G185),1)*IF(Upgrades!$T$16="Peculiar Velocity",POWER(Upgrades!$U$16,H185),1)*IF(Upgrades!$T$17="Peculiar Velocity",POWER(Upgrades!$U$17,I185),1)*IF(Upgrades!$T$18="Peculiar Velocity",POWER(Upgrades!$U$18,J185),1)*IF(Upgrades!$T$20="Peculiar Velocity",POWER(Upgrades!$U$20,L185),1)*IF(Upgrades!$T$21="Peculiar Velocity",POWER(Upgrades!$U$21,M185),1))+(IF(L185=0,0,(Upgrades!$M$20+L185*Upgrades!$N$20)*POWER(Upgrades!$O$20,L185)))*(IF(Upgrades!$T$13="Open Cluster",POWER(Upgrades!$U$13,E185),1)*IF(Upgrades!$T$14="Open Cluster",POWER(Upgrades!$U$14,F185),1)*IF(Upgrades!$T$15="Open Cluster",POWER(Upgrades!$U$15,G185),1)*IF(Upgrades!$T$16="Open Cluster",POWER(Upgrades!$U$16,H185),1)*IF(Upgrades!$T$17="Open Cluster",POWER(Upgrades!$U$17,I185),1)*IF(Upgrades!$T$18="Open Cluster",POWER(Upgrades!$U$18,J185),1)*IF(Upgrades!$T$19="Open Cluster",POWER(Upgrades!$U$19,K185),1)*IF(Upgrades!$T$21="Open Cluster",POWER(Upgrades!$U$21,M185),1))+(IF(M185=0,0,(Upgrades!$M$21+M185*Upgrades!$N$21)*POWER(Upgrades!$O$21,M185)))*(IF(Upgrades!$T$13="Moving Group",POWER(Upgrades!$U$13,E185),1)*IF(Upgrades!$T$14="Moving Group",POWER(Upgrades!$U$14,F185),1)*IF(Upgrades!$T$15="Moving Group",POWER(Upgrades!$U$15,G185),1)*IF(Upgrades!$T$16="Moving Group",POWER(Upgrades!$U$16,H185),1)*IF(Upgrades!$T$17="Moving Group",POWER(Upgrades!$U$17,I185),1)*IF(Upgrades!$T$18="Moving Group",POWER(Upgrades!$U$18,J185),1)*IF(Upgrades!$T$19="Moving Group",POWER(Upgrades!$U$19,K185),1)*IF(Upgrades!$T$20="Moving Group",POWER(Upgrades!$U$20,L185),1)))*POWER(Upgrades!$R$13,E185)*POWER(Upgrades!$R$14,F185)*POWER(Upgrades!$R$15,G185)*POWER(Upgrades!$R$16,H185)*POWER(Upgrades!$R$17,I185)*POWER(Upgrades!$R$18,J185)*POWER(Upgrades!$R$19,K185)*POWER(Upgrades!$R$20,L185)*POWER(Upgrades!$R$21,M185)*$H$6+$E$6</f>
        <v/>
      </c>
      <c r="R185" s="27">
        <f>IF(N185=1,0,O185*Parameters!$B$10/60*Parameters!$B$11*10)</f>
        <v/>
      </c>
      <c r="S185" s="27">
        <f>IF(N185=1,0,Q185*O185*10)</f>
        <v/>
      </c>
      <c r="T185" s="27">
        <f>IF(N185=1,0,R185+S185+P185*10)</f>
        <v/>
      </c>
      <c r="U185" s="33">
        <f>BE185</f>
        <v/>
      </c>
      <c r="V185" s="22">
        <f>IF(U185="",0,IF(U185="transition",0,IF(U185="SK",AK185,IF(U185="LB",AL185,IF(U185="ML",AM185,IF(U185="RLO",AN185,IF(U185="BD",AO185,IF(U185="BiP",AP185,IF(U185="PV",AQ185,IF(U185="OC",AR185,IF(U185="MG",AS185,0))))))))))</f>
        <v/>
      </c>
      <c r="W185" s="27">
        <f>IF(U185="BiP",Upgrades!$F$18,IF(U185="PV",Upgrades!$F$19,IF(U185="OC",Upgrades!$F$20,IF(U185="MG",Upgrades!$F$21,IF(U185="transition",-Parameters!$B$18*Parameters!$B$19,0)))))</f>
        <v/>
      </c>
      <c r="X185" s="22">
        <f>C185+T185-V185</f>
        <v/>
      </c>
      <c r="Y185" s="30">
        <f>O185*Parameters!$B$10/60*Parameters!$B$11+Q185*O185+P185</f>
        <v/>
      </c>
      <c r="Z185" s="34">
        <f>IF(U185="transition","→ Tier 3 (Galactic Arm)",IF(U185="MG","Moving Group — pocket drifts together",IF(U185="OC","Open Cluster acquired",IF(U185="PV","Peculiar Velocity — passive multiplier active",IF(U185="BiP","Binary Partner — pair bond formed",IF(AND(AU185=1,N185=0,AT185&lt;&gt;1),"Cohesion ready (waiting on completionists)","")))))) </f>
        <v/>
      </c>
      <c r="AA185" s="27">
        <f>(IF(E185=0,0,(Upgrades!$G$13+E185*Upgrades!$H$13)*POWER(Upgrades!$I$13,E185)))*(IF(Upgrades!$T$14="Stellar Kinematics",POWER(Upgrades!$U$14,F185),1)*IF(Upgrades!$T$15="Stellar Kinematics",POWER(Upgrades!$U$15,G185),1)*IF(Upgrades!$T$16="Stellar Kinematics",POWER(Upgrades!$U$16,H185),1)*IF(Upgrades!$T$17="Stellar Kinematics",POWER(Upgrades!$U$17,I185),1)*IF(Upgrades!$T$18="Stellar Kinematics",POWER(Upgrades!$U$18,J185),1)*IF(Upgrades!$T$19="Stellar Kinematics",POWER(Upgrades!$U$19,K185),1)*IF(Upgrades!$T$20="Stellar Kinematics",POWER(Upgrades!$U$20,L185),1)*IF(Upgrades!$T$21="Stellar Kinematics",POWER(Upgrades!$U$21,M185),1))*POWER(Upgrades!$P$13,E185)*POWER(Upgrades!$P$14,F185)*POWER(Upgrades!$P$15,G185)*POWER(Upgrades!$P$16,H185)*POWER(Upgrades!$P$17,I185)*POWER(Upgrades!$P$18,J185)*POWER(Upgrades!$P$19,K185)*POWER(Upgrades!$P$20,L185)*POWER(Upgrades!$P$21,M185)*$F$6*60</f>
        <v/>
      </c>
      <c r="AB185" s="27">
        <f>(IF(F185=0,0,(Upgrades!$G$14+F185*Upgrades!$H$14)*POWER(Upgrades!$I$14,F185)))*(IF(Upgrades!$T$13="Local Bubble",POWER(Upgrades!$U$13,E185),1)*IF(Upgrades!$T$15="Local Bubble",POWER(Upgrades!$U$15,G185),1)*IF(Upgrades!$T$16="Local Bubble",POWER(Upgrades!$U$16,H185),1)*IF(Upgrades!$T$17="Local Bubble",POWER(Upgrades!$U$17,I185),1)*IF(Upgrades!$T$18="Local Bubble",POWER(Upgrades!$U$18,J185),1)*IF(Upgrades!$T$19="Local Bubble",POWER(Upgrades!$U$19,K185),1)*IF(Upgrades!$T$20="Local Bubble",POWER(Upgrades!$U$20,L185),1)*IF(Upgrades!$T$21="Local Bubble",POWER(Upgrades!$U$21,M185),1))*POWER(Upgrades!$P$13,E185)*POWER(Upgrades!$P$14,F185)*POWER(Upgrades!$P$15,G185)*POWER(Upgrades!$P$16,H185)*POWER(Upgrades!$P$17,I185)*POWER(Upgrades!$P$18,J185)*POWER(Upgrades!$P$19,K185)*POWER(Upgrades!$P$20,L185)*POWER(Upgrades!$P$21,M185)*$F$6*60</f>
        <v/>
      </c>
      <c r="AC185" s="27">
        <f>(IF(G185=0,0,(Upgrades!$J$15+G185*Upgrades!$K$15)*POWER(Upgrades!$L$15,G185)))*(IF(Upgrades!$T$13="Microlensing",POWER(Upgrades!$U$13,E185),1)*IF(Upgrades!$T$14="Microlensing",POWER(Upgrades!$U$14,F185),1)*IF(Upgrades!$T$16="Microlensing",POWER(Upgrades!$U$16,H185),1)*IF(Upgrades!$T$17="Microlensing",POWER(Upgrades!$U$17,I185),1)*IF(Upgrades!$T$18="Microlensing",POWER(Upgrades!$U$18,J185),1)*IF(Upgrades!$T$19="Microlensing",POWER(Upgrades!$U$19,K185),1)*IF(Upgrades!$T$20="Microlensing",POWER(Upgrades!$U$20,L185),1)*IF(Upgrades!$T$21="Microlensing",POWER(Upgrades!$U$21,M185),1))*POWER(Upgrades!$Q$13,E185)*POWER(Upgrades!$Q$14,F185)*POWER(Upgrades!$Q$15,G185)*POWER(Upgrades!$Q$16,H185)*POWER(Upgrades!$Q$17,I185)*POWER(Upgrades!$Q$18,J185)*POWER(Upgrades!$Q$19,K185)*POWER(Upgrades!$Q$20,L185)*POWER(Upgrades!$Q$21,M185)*$G$6*(Parameters!$B$10*Parameters!$B$11+Q185*60)</f>
        <v/>
      </c>
      <c r="AD185" s="27">
        <f>(IF(H185=0,0,(Upgrades!$M$16+H185*Upgrades!$N$16)*POWER(Upgrades!$O$16,H185)))*(IF(Upgrades!$T$13="Roche Lobe Overflow",POWER(Upgrades!$U$13,E185),1)*IF(Upgrades!$T$14="Roche Lobe Overflow",POWER(Upgrades!$U$14,F185),1)*IF(Upgrades!$T$15="Roche Lobe Overflow",POWER(Upgrades!$U$15,G185),1)*IF(Upgrades!$T$17="Roche Lobe Overflow",POWER(Upgrades!$U$17,I185),1)*IF(Upgrades!$T$18="Roche Lobe Overflow",POWER(Upgrades!$U$18,J185),1)*IF(Upgrades!$T$19="Roche Lobe Overflow",POWER(Upgrades!$U$19,K185),1)*IF(Upgrades!$T$20="Roche Lobe Overflow",POWER(Upgrades!$U$20,L185),1)*IF(Upgrades!$T$21="Roche Lobe Overflow",POWER(Upgrades!$U$21,M185),1))*POWER(Upgrades!$R$13,E185)*POWER(Upgrades!$R$14,F185)*POWER(Upgrades!$R$15,G185)*POWER(Upgrades!$R$16,H185)*POWER(Upgrades!$R$17,I185)*POWER(Upgrades!$R$18,J185)*POWER(Upgrades!$R$19,K185)*POWER(Upgrades!$R$20,L185)*POWER(Upgrades!$R$21,M185)*$H$6*O185*60</f>
        <v/>
      </c>
      <c r="AE185" s="27">
        <f>(IF(I185=0,0,(Upgrades!$G$17+I185*Upgrades!$H$17)*POWER(Upgrades!$I$17,I185)))*(IF(Upgrades!$T$13="Brown Dwarf",POWER(Upgrades!$U$13,E185),1)*IF(Upgrades!$T$14="Brown Dwarf",POWER(Upgrades!$U$14,F185),1)*IF(Upgrades!$T$15="Brown Dwarf",POWER(Upgrades!$U$15,G185),1)*IF(Upgrades!$T$16="Brown Dwarf",POWER(Upgrades!$U$16,H185),1)*IF(Upgrades!$T$18="Brown Dwarf",POWER(Upgrades!$U$18,J185),1)*IF(Upgrades!$T$19="Brown Dwarf",POWER(Upgrades!$U$19,K185),1)*IF(Upgrades!$T$20="Brown Dwarf",POWER(Upgrades!$U$20,L185),1)*IF(Upgrades!$T$21="Brown Dwarf",POWER(Upgrades!$U$21,M185),1))*POWER(Upgrades!$P$13,E185)*POWER(Upgrades!$P$14,F185)*POWER(Upgrades!$P$15,G185)*POWER(Upgrades!$P$16,H185)*POWER(Upgrades!$P$17,I185)*POWER(Upgrades!$P$18,J185)*POWER(Upgrades!$P$19,K185)*POWER(Upgrades!$P$20,L185)*POWER(Upgrades!$P$21,M185)*$F$6*60</f>
        <v/>
      </c>
      <c r="AF185" s="27" t="n">
        <v>0</v>
      </c>
      <c r="AG185" s="27" t="n">
        <v>0</v>
      </c>
      <c r="AH185" s="27" t="n">
        <v>0</v>
      </c>
      <c r="AI185" s="27">
        <f>(IF(M185=0,0,(Upgrades!$G$21+M185*Upgrades!$H$21)*POWER(Upgrades!$I$21,M185)))*(IF(Upgrades!$T$13="Moving Group",POWER(Upgrades!$U$13,E185),1)*IF(Upgrades!$T$14="Moving Group",POWER(Upgrades!$U$14,F185),1)*IF(Upgrades!$T$15="Moving Group",POWER(Upgrades!$U$15,G185),1)*IF(Upgrades!$T$16="Moving Group",POWER(Upgrades!$U$16,H185),1)*IF(Upgrades!$T$17="Moving Group",POWER(Upgrades!$U$17,I185),1)*IF(Upgrades!$T$18="Moving Group",POWER(Upgrades!$U$18,J185),1)*IF(Upgrades!$T$19="Moving Group",POWER(Upgrades!$U$19,K185),1)*IF(Upgrades!$T$20="Moving Group",POWER(Upgrades!$U$20,L185),1))*POWER(Upgrades!$P$13,E185)*POWER(Upgrades!$P$14,F185)*POWER(Upgrades!$P$15,G185)*POWER(Upgrades!$P$16,H185)*POWER(Upgrades!$P$17,I185)*POWER(Upgrades!$P$18,J185)*POWER(Upgrades!$P$19,K185)*POWER(Upgrades!$P$20,L185)*POWER(Upgrades!$P$21,M185)*$F$6*60</f>
        <v/>
      </c>
      <c r="AJ185" s="27">
        <f>$C$6*60</f>
        <v/>
      </c>
      <c r="AK185" s="22">
        <f>IF(E185&gt;=Upgrades!$E$13,"",Upgrades!$C$13*POWER(Upgrades!$D$13,E185))</f>
        <v/>
      </c>
      <c r="AL185" s="22">
        <f>IF(F185&gt;=Upgrades!$E$14,"",Upgrades!$C$14*POWER(Upgrades!$D$14,F185))</f>
        <v/>
      </c>
      <c r="AM185" s="22">
        <f>IF(G185&gt;=Upgrades!$E$15,"",Upgrades!$C$15*POWER(Upgrades!$D$15,G185))</f>
        <v/>
      </c>
      <c r="AN185" s="22">
        <f>IF(H185&gt;=Upgrades!$E$16,"",Upgrades!$C$16*POWER(Upgrades!$D$16,H185))</f>
        <v/>
      </c>
      <c r="AO185" s="22">
        <f>IF(I185&gt;=Upgrades!$E$17,"",Upgrades!$C$17*POWER(Upgrades!$D$17,I185))</f>
        <v/>
      </c>
      <c r="AP185" s="22">
        <f>IF(J185&gt;=Upgrades!$E$18,"",Upgrades!$C$18*POWER(Upgrades!$D$18,J185))</f>
        <v/>
      </c>
      <c r="AQ185" s="22">
        <f>IF(K185&gt;=Upgrades!$E$19,"",Upgrades!$C$19*POWER(Upgrades!$D$19,K185))</f>
        <v/>
      </c>
      <c r="AR185" s="22">
        <f>IF(L185&gt;=Upgrades!$E$20,"",Upgrades!$C$20*POWER(Upgrades!$D$20,L185))</f>
        <v/>
      </c>
      <c r="AS185" s="22">
        <f>IF(M185&gt;=Upgrades!$E$21,"",Upgrades!$C$21*POWER(Upgrades!$D$21,M185))</f>
        <v/>
      </c>
      <c r="AT185" s="26">
        <f>IF(AND(D185&gt;=Parameters!$B$18*Parameters!$B$19,(I185&gt;=Upgrades!$E$17)*(M185&gt;=Upgrades!$E$21)=1,N185=0),1,"")</f>
        <v/>
      </c>
      <c r="AU185" s="26">
        <f>IF(AND(D185&gt;=Parameters!$B$18*Parameters!$B$19,N185=0),1,"")</f>
        <v/>
      </c>
      <c r="AV185" s="22">
        <f>MIN(IF(ISNUMBER(AP185),AP185,9E15),IF(ISNUMBER(AQ185),AQ185,9E15),IF(ISNUMBER(AR185),AR185,9E15),IF(ISNUMBER(AS185),AS185,9E15))</f>
        <v/>
      </c>
      <c r="AW185" s="22">
        <f>MIN(IF(ISNUMBER(AK185),AK185,9E15),IF(ISNUMBER(AL185),AL185,9E15),IF(ISNUMBER(AM185),AM185,9E15),IF(ISNUMBER(AN185),AN185,9E15),IF(ISNUMBER(AO185),AO185,9E15))</f>
        <v/>
      </c>
      <c r="AX185" s="29">
        <f>IF(BD185&gt;Parameters!$B$21*(MAX(IF(AND(NOT(AND(AU185=1,AT185&lt;&gt;1)),ISNUMBER(AK185),AK185&lt;=(C185+T185)),AY185,0),IF(AND(NOT(AND(AU185=1,AT185&lt;&gt;1)),ISNUMBER(AL185),AL185&lt;=(C185+T185)),AZ185,0),IF(AND(NOT(AND(AU185=1,AT185&lt;&gt;1)),ISNUMBER(AM185),AM185&lt;=(C185+T185)),BA185,0),IF(AND(NOT(AND(AU185=1,AT185&lt;&gt;1)),ISNUMBER(AN185),AN185&lt;=(C185+T185)),BB185,0),IF(AND(ISNUMBER(AO185),AO185&lt;=(C185+T185)),BC185,0))),TRUE,FALSE)</f>
        <v/>
      </c>
      <c r="AY185" s="32">
        <f>IFERROR(Upgrades!$H$13*(POWER(Upgrades!$P$13,E185)*POWER(Upgrades!$P$14,F185)*POWER(Upgrades!$P$15,G185)*POWER(Upgrades!$P$16,H185)*POWER(Upgrades!$P$17,I185)*POWER(Upgrades!$P$18,J185)*POWER(Upgrades!$P$19,K185)*POWER(Upgrades!$P$20,L185)*POWER(Upgrades!$P$21,M185))*(IF(Upgrades!$T$14="Stellar Kinematics",POWER(Upgrades!$U$14,F185),1)*IF(Upgrades!$T$15="Stellar Kinematics",POWER(Upgrades!$U$15,G185),1)*IF(Upgrades!$T$16="Stellar Kinematics",POWER(Upgrades!$U$16,H185),1)*IF(Upgrades!$T$17="Stellar Kinematics",POWER(Upgrades!$U$17,I185),1)*IF(Upgrades!$T$18="Stellar Kinematics",POWER(Upgrades!$U$18,J185),1)*IF(Upgrades!$T$19="Stellar Kinematics",POWER(Upgrades!$U$19,K185),1)*IF(Upgrades!$T$20="Stellar Kinematics",POWER(Upgrades!$U$20,L185),1)*IF(Upgrades!$T$21="Stellar Kinematics",POWER(Upgrades!$U$21,M185),1))*$F$6/AK185,0)</f>
        <v/>
      </c>
      <c r="AZ185" s="32">
        <f>IFERROR(Upgrades!$H$14*(POWER(Upgrades!$P$13,E185)*POWER(Upgrades!$P$14,F185)*POWER(Upgrades!$P$15,G185)*POWER(Upgrades!$P$16,H185)*POWER(Upgrades!$P$17,I185)*POWER(Upgrades!$P$18,J185)*POWER(Upgrades!$P$19,K185)*POWER(Upgrades!$P$20,L185)*POWER(Upgrades!$P$21,M185))*(IF(Upgrades!$T$13="Local Bubble",POWER(Upgrades!$U$13,E185),1)*IF(Upgrades!$T$15="Local Bubble",POWER(Upgrades!$U$15,G185),1)*IF(Upgrades!$T$16="Local Bubble",POWER(Upgrades!$U$16,H185),1)*IF(Upgrades!$T$17="Local Bubble",POWER(Upgrades!$U$17,I185),1)*IF(Upgrades!$T$18="Local Bubble",POWER(Upgrades!$U$18,J185),1)*IF(Upgrades!$T$19="Local Bubble",POWER(Upgrades!$U$19,K185),1)*IF(Upgrades!$T$20="Local Bubble",POWER(Upgrades!$U$20,L185),1)*IF(Upgrades!$T$21="Local Bubble",POWER(Upgrades!$U$21,M185),1))*$F$6/AL185,0)</f>
        <v/>
      </c>
      <c r="BA185" s="32">
        <f>IFERROR(Upgrades!$K$15*(POWER(Upgrades!$Q$13,E185)*POWER(Upgrades!$Q$14,F185)*POWER(Upgrades!$Q$15,G185)*POWER(Upgrades!$Q$16,H185)*POWER(Upgrades!$Q$17,I185)*POWER(Upgrades!$Q$18,J185)*POWER(Upgrades!$Q$19,K185)*POWER(Upgrades!$Q$20,L185)*POWER(Upgrades!$Q$21,M185))*(IF(Upgrades!$T$13="Microlensing",POWER(Upgrades!$U$13,E185),1)*IF(Upgrades!$T$14="Microlensing",POWER(Upgrades!$U$14,F185),1)*IF(Upgrades!$T$16="Microlensing",POWER(Upgrades!$U$16,H185),1)*IF(Upgrades!$T$17="Microlensing",POWER(Upgrades!$U$17,I185),1)*IF(Upgrades!$T$18="Microlensing",POWER(Upgrades!$U$18,J185),1)*IF(Upgrades!$T$19="Microlensing",POWER(Upgrades!$U$19,K185),1)*IF(Upgrades!$T$20="Microlensing",POWER(Upgrades!$U$20,L185),1)*IF(Upgrades!$T$21="Microlensing",POWER(Upgrades!$U$21,M185),1))*$G$6*(Parameters!$B$10/60*Parameters!$B$11+Q185)/AM185,0)</f>
        <v/>
      </c>
      <c r="BB185" s="32">
        <f>IFERROR((Upgrades!$N$16*(POWER(Upgrades!$R$13,E185)*POWER(Upgrades!$R$14,F185)*POWER(Upgrades!$R$15,G185)*POWER(Upgrades!$R$16,H185)*POWER(Upgrades!$R$17,I185)*POWER(Upgrades!$R$18,J185)*POWER(Upgrades!$R$19,K185)*POWER(Upgrades!$R$20,L185)*POWER(Upgrades!$R$21,M185))*(IF(Upgrades!$T$13="Roche Lobe Overflow",POWER(Upgrades!$U$13,E185),1)*IF(Upgrades!$T$14="Roche Lobe Overflow",POWER(Upgrades!$U$14,F185),1)*IF(Upgrades!$T$15="Roche Lobe Overflow",POWER(Upgrades!$U$15,G185),1)*IF(Upgrades!$T$17="Roche Lobe Overflow",POWER(Upgrades!$U$17,I185),1)*IF(Upgrades!$T$18="Roche Lobe Overflow",POWER(Upgrades!$U$18,J185),1)*IF(Upgrades!$T$19="Roche Lobe Overflow",POWER(Upgrades!$U$19,K185),1)*IF(Upgrades!$T$20="Roche Lobe Overflow",POWER(Upgrades!$U$20,L185),1)*IF(Upgrades!$T$21="Roche Lobe Overflow",POWER(Upgrades!$U$21,M185),1))*$H$6*O185+((IF(F185=0,0,(Upgrades!$G$14+F185*Upgrades!$H$14)*POWER(Upgrades!$I$14,F185)))*(IF(Upgrades!$T$13="Local Bubble",POWER(Upgrades!$U$13,E185),1)*IF(Upgrades!$T$15="Local Bubble",POWER(Upgrades!$U$15,G185),1)*IF(Upgrades!$T$16="Local Bubble",POWER(Upgrades!$U$16,H185),1)*IF(Upgrades!$T$17="Local Bubble",POWER(Upgrades!$U$17,I185),1)*IF(Upgrades!$T$18="Local Bubble",POWER(Upgrades!$U$18,J185),1)*IF(Upgrades!$T$19="Local Bubble",POWER(Upgrades!$U$19,K185),1)*IF(Upgrades!$T$20="Local Bubble",POWER(Upgrades!$U$20,L185),1)*IF(Upgrades!$T$21="Local Bubble",POWER(Upgrades!$U$21,M185),1))*POWER(Upgrades!$P$13,E185)*POWER(Upgrades!$P$14,F185)*POWER(Upgrades!$P$15,G185)*POWER(Upgrades!$P$16,H185)*POWER(Upgrades!$P$17,I185)*POWER(Upgrades!$P$18,J185)*POWER(Upgrades!$P$19,K185)*POWER(Upgrades!$P$20,L185)*POWER(Upgrades!$P$21,M185)*$F$6)*0.05)/AN185,0)</f>
        <v/>
      </c>
      <c r="BC185" s="32">
        <f>IFERROR((Upgrades!$H$17*(POWER(Upgrades!$P$13,E185)*POWER(Upgrades!$P$14,F185)*POWER(Upgrades!$P$15,G185)*POWER(Upgrades!$P$16,H185)*POWER(Upgrades!$P$17,I185)*POWER(Upgrades!$P$18,J185)*POWER(Upgrades!$P$19,K185)*POWER(Upgrades!$P$20,L185)*POWER(Upgrades!$P$21,M185))*(IF(Upgrades!$T$13="Brown Dwarf",POWER(Upgrades!$U$13,E185),1)*IF(Upgrades!$T$14="Brown Dwarf",POWER(Upgrades!$U$14,F185),1)*IF(Upgrades!$T$15="Brown Dwarf",POWER(Upgrades!$U$15,G185),1)*IF(Upgrades!$T$16="Brown Dwarf",POWER(Upgrades!$U$16,H185),1)*IF(Upgrades!$T$18="Brown Dwarf",POWER(Upgrades!$U$18,J185),1)*IF(Upgrades!$T$19="Brown Dwarf",POWER(Upgrades!$U$19,K185),1)*IF(Upgrades!$T$20="Brown Dwarf",POWER(Upgrades!$U$20,L185),1)*IF(Upgrades!$T$21="Brown Dwarf",POWER(Upgrades!$U$21,M185),1))*$F$6+(((IF(H185=0,0,(Upgrades!$M$16+H185*Upgrades!$N$16)*POWER(Upgrades!$O$16,H185)))*(IF(Upgrades!$T$13="Roche Lobe Overflow",POWER(Upgrades!$U$13,E185),1)*IF(Upgrades!$T$14="Roche Lobe Overflow",POWER(Upgrades!$U$14,F185),1)*IF(Upgrades!$T$15="Roche Lobe Overflow",POWER(Upgrades!$U$15,G185),1)*IF(Upgrades!$T$17="Roche Lobe Overflow",POWER(Upgrades!$U$17,I185),1)*IF(Upgrades!$T$18="Roche Lobe Overflow",POWER(Upgrades!$U$18,J185),1)*IF(Upgrades!$T$19="Roche Lobe Overflow",POWER(Upgrades!$U$19,K185),1)*IF(Upgrades!$T$20="Roche Lobe Overflow",POWER(Upgrades!$U$20,L185),1)*IF(Upgrades!$T$21="Roche Lobe Overflow",POWER(Upgrades!$U$21,M185),1))*POWER(Upgrades!$R$13,E185)*POWER(Upgrades!$R$14,F185)*POWER(Upgrades!$R$15,G185)*POWER(Upgrades!$R$16,H185)*POWER(Upgrades!$R$17,I185)*POWER(Upgrades!$R$18,J185)*POWER(Upgrades!$R$19,K185)*POWER(Upgrades!$R$20,L185)*POWER(Upgrades!$R$21,M185)*$H$6)*O185)*0.10)/AO185,0)</f>
        <v/>
      </c>
      <c r="BD185" s="32">
        <f>MAX(IF(J185&gt;0,0,IFERROR(0.5*((IF(G185=0,0,(Upgrades!$J$15+G185*Upgrades!$K$15)*POWER(Upgrades!$L$15,G185)))*(IF(Upgrades!$T$13="Microlensing",POWER(Upgrades!$U$13,E185),1)*IF(Upgrades!$T$14="Microlensing",POWER(Upgrades!$U$14,F185),1)*IF(Upgrades!$T$16="Microlensing",POWER(Upgrades!$U$16,H185),1)*IF(Upgrades!$T$17="Microlensing",POWER(Upgrades!$U$17,I185),1)*IF(Upgrades!$T$18="Microlensing",POWER(Upgrades!$U$18,J185),1)*IF(Upgrades!$T$19="Microlensing",POWER(Upgrades!$U$19,K185),1)*IF(Upgrades!$T$20="Microlensing",POWER(Upgrades!$U$20,L185),1)*IF(Upgrades!$T$21="Microlensing",POWER(Upgrades!$U$21,M185),1))*(POWER(Upgrades!$Q$13,E185)*POWER(Upgrades!$Q$14,F185)*POWER(Upgrades!$Q$15,G185)*POWER(Upgrades!$Q$16,H185)*POWER(Upgrades!$Q$17,I185)*POWER(Upgrades!$Q$18,J185)*POWER(Upgrades!$Q$19,K185)*POWER(Upgrades!$Q$20,L185)*POWER(Upgrades!$Q$21,M185))*$G$6*(Parameters!$B$10/60*Parameters!$B$11+Q185))/Upgrades!$C$18,0)),IF(K185&gt;0,0,IFERROR(0.30*P185/Upgrades!$C$19,0)),IF(L185&gt;0,0,IFERROR(0.0001/Upgrades!$C$20,0)),IF(M185&gt;0,0,IFERROR((6.0*(POWER(Upgrades!$P$13,E185)*POWER(Upgrades!$P$14,F185)*POWER(Upgrades!$P$15,G185)*POWER(Upgrades!$P$16,H185)*POWER(Upgrades!$P$17,I185)*POWER(Upgrades!$P$18,J185)*POWER(Upgrades!$P$19,K185)*POWER(Upgrades!$P$20,L185)*POWER(Upgrades!$P$21,M185))*$F$6+0.20*O185*(Parameters!$B$10/60*Parameters!$B$11+Q185))/Upgrades!$C$21,0)),IF(AND(ISNUMBER(AK185),AK185&gt;(C185+T185)),AY185,0),IF(AND(ISNUMBER(AL185),AL185&gt;(C185+T185)),AZ185,0),IF(AND(ISNUMBER(AM185),AM185&gt;(C185+T185)),BA185,0),IF(AND(ISNUMBER(AN185),AN185&gt;(C185+T185)),BB185,0),IF(AND(ISNUMBER(AO185),AO185&gt;(C185+T185)),BC185,0))</f>
        <v/>
      </c>
      <c r="BE185" s="29">
        <f>IF(AT185=1,"transition",IF(MIN(IF(AND(J185=0,ISNUMBER(AP185),AP185&lt;=(C185+T185)),AP185,9E15),IF(AND(K185=0,ISNUMBER(AQ185),AQ185&lt;=(C185+T185)),AQ185,9E15),IF(AND(L185=0,ISNUMBER(AR185),AR185&lt;=(C185+T185)),AR185,9E15),IF(AND(M185=0,ISNUMBER(AS185),AS185&lt;=(C185+T185)),AS185,9E15))&lt;9E15,IF(AND(AND(J185=0,ISNUMBER(AP185),AP185&lt;=(C185+T185)),AP185=MIN(IF(AND(J185=0,ISNUMBER(AP185),AP185&lt;=(C185+T185)),AP185,9E15),IF(AND(K185=0,ISNUMBER(AQ185),AQ185&lt;=(C185+T185)),AQ185,9E15),IF(AND(L185=0,ISNUMBER(AR185),AR185&lt;=(C185+T185)),AR185,9E15),IF(AND(M185=0,ISNUMBER(AS185),AS185&lt;=(C185+T185)),AS185,9E15))),"BiP",IF(AND(AND(K185=0,ISNUMBER(AQ185),AQ185&lt;=(C185+T185)),AQ185=MIN(IF(AND(J185=0,ISNUMBER(AP185),AP185&lt;=(C185+T185)),AP185,9E15),IF(AND(K185=0,ISNUMBER(AQ185),AQ185&lt;=(C185+T185)),AQ185,9E15),IF(AND(L185=0,ISNUMBER(AR185),AR185&lt;=(C185+T185)),AR185,9E15),IF(AND(M185=0,ISNUMBER(AS185),AS185&lt;=(C185+T185)),AS185,9E15))),"PV",IF(AND(AND(L185=0,ISNUMBER(AR185),AR185&lt;=(C185+T185)),AR185=MIN(IF(AND(J185=0,ISNUMBER(AP185),AP185&lt;=(C185+T185)),AP185,9E15),IF(AND(K185=0,ISNUMBER(AQ185),AQ185&lt;=(C185+T185)),AQ185,9E15),IF(AND(L185=0,ISNUMBER(AR185),AR185&lt;=(C185+T185)),AR185,9E15),IF(AND(M185=0,ISNUMBER(AS185),AS185&lt;=(C185+T185)),AS185,9E15))),"OC","MG"))),IF(AX185=TRUE,"",IF(MAX(IF(AND(NOT(AND(AU185=1,AT185&lt;&gt;1)),ISNUMBER(AK185),AK185&lt;=(C185+T185)),AY185,0),IF(AND(NOT(AND(AU185=1,AT185&lt;&gt;1)),ISNUMBER(AL185),AL185&lt;=(C185+T185)),AZ185,0),IF(AND(NOT(AND(AU185=1,AT185&lt;&gt;1)),ISNUMBER(AM185),AM185&lt;=(C185+T185)),BA185,0),IF(AND(NOT(AND(AU185=1,AT185&lt;&gt;1)),ISNUMBER(AN185),AN185&lt;=(C185+T185)),BB185,0),IF(AND(ISNUMBER(AO185),AO185&lt;=(C185+T185)),BC185,0))&lt;=0,"",IF(AND(IF(AND(NOT(AND(AU185=1,AT185&lt;&gt;1)),ISNUMBER(AK185),AK185&lt;=(C185+T185)),AY185,0)&gt;0,IF(AND(NOT(AND(AU185=1,AT185&lt;&gt;1)),ISNUMBER(AK185),AK185&lt;=(C185+T185)),AY185,0)=MAX(IF(AND(NOT(AND(AU185=1,AT185&lt;&gt;1)),ISNUMBER(AK185),AK185&lt;=(C185+T185)),AY185,0),IF(AND(NOT(AND(AU185=1,AT185&lt;&gt;1)),ISNUMBER(AL185),AL185&lt;=(C185+T185)),AZ185,0),IF(AND(NOT(AND(AU185=1,AT185&lt;&gt;1)),ISNUMBER(AM185),AM185&lt;=(C185+T185)),BA185,0),IF(AND(NOT(AND(AU185=1,AT185&lt;&gt;1)),ISNUMBER(AN185),AN185&lt;=(C185+T185)),BB185,0),IF(AND(ISNUMBER(AO185),AO185&lt;=(C185+T185)),BC185,0))),"SK",IF(AND(IF(AND(NOT(AND(AU185=1,AT185&lt;&gt;1)),ISNUMBER(AL185),AL185&lt;=(C185+T185)),AZ185,0)&gt;0,IF(AND(NOT(AND(AU185=1,AT185&lt;&gt;1)),ISNUMBER(AL185),AL185&lt;=(C185+T185)),AZ185,0)=MAX(IF(AND(NOT(AND(AU185=1,AT185&lt;&gt;1)),ISNUMBER(AK185),AK185&lt;=(C185+T185)),AY185,0),IF(AND(NOT(AND(AU185=1,AT185&lt;&gt;1)),ISNUMBER(AL185),AL185&lt;=(C185+T185)),AZ185,0),IF(AND(NOT(AND(AU185=1,AT185&lt;&gt;1)),ISNUMBER(AM185),AM185&lt;=(C185+T185)),BA185,0),IF(AND(NOT(AND(AU185=1,AT185&lt;&gt;1)),ISNUMBER(AN185),AN185&lt;=(C185+T185)),BB185,0),IF(AND(ISNUMBER(AO185),AO185&lt;=(C185+T185)),BC185,0))),"LB",IF(AND(IF(AND(NOT(AND(AU185=1,AT185&lt;&gt;1)),ISNUMBER(AM185),AM185&lt;=(C185+T185)),BA185,0)&gt;0,IF(AND(NOT(AND(AU185=1,AT185&lt;&gt;1)),ISNUMBER(AM185),AM185&lt;=(C185+T185)),BA185,0)=MAX(IF(AND(NOT(AND(AU185=1,AT185&lt;&gt;1)),ISNUMBER(AK185),AK185&lt;=(C185+T185)),AY185,0),IF(AND(NOT(AND(AU185=1,AT185&lt;&gt;1)),ISNUMBER(AL185),AL185&lt;=(C185+T185)),AZ185,0),IF(AND(NOT(AND(AU185=1,AT185&lt;&gt;1)),ISNUMBER(AM185),AM185&lt;=(C185+T185)),BA185,0),IF(AND(NOT(AND(AU185=1,AT185&lt;&gt;1)),ISNUMBER(AN185),AN185&lt;=(C185+T185)),BB185,0),IF(AND(ISNUMBER(AO185),AO185&lt;=(C185+T185)),BC185,0))),"ML",IF(AND(IF(AND(NOT(AND(AU185=1,AT185&lt;&gt;1)),ISNUMBER(AN185),AN185&lt;=(C185+T185)),BB185,0)&gt;0,IF(AND(NOT(AND(AU185=1,AT185&lt;&gt;1)),ISNUMBER(AN185),AN185&lt;=(C185+T185)),BB185,0)=MAX(IF(AND(NOT(AND(AU185=1,AT185&lt;&gt;1)),ISNUMBER(AK185),AK185&lt;=(C185+T185)),AY185,0),IF(AND(NOT(AND(AU185=1,AT185&lt;&gt;1)),ISNUMBER(AL185),AL185&lt;=(C185+T185)),AZ185,0),IF(AND(NOT(AND(AU185=1,AT185&lt;&gt;1)),ISNUMBER(AM185),AM185&lt;=(C185+T185)),BA185,0),IF(AND(NOT(AND(AU185=1,AT185&lt;&gt;1)),ISNUMBER(AN185),AN185&lt;=(C185+T185)),BB185,0),IF(AND(ISNUMBER(AO185),AO185&lt;=(C185+T185)),BC185,0))),"RLO","BD"))))))))</f>
        <v/>
      </c>
    </row>
    <row r="186">
      <c r="A186" s="26" t="n">
        <v>175</v>
      </c>
      <c r="B186" s="27">
        <f>A186*10/60</f>
        <v/>
      </c>
      <c r="C186" s="22">
        <f>X185</f>
        <v/>
      </c>
      <c r="D186" s="27">
        <f>D185+W185</f>
        <v/>
      </c>
      <c r="E186" s="26">
        <f>E185+IF(U185="SK",1,0)</f>
        <v/>
      </c>
      <c r="F186" s="26">
        <f>F185+IF(U185="LB",1,0)</f>
        <v/>
      </c>
      <c r="G186" s="26">
        <f>G185+IF(U185="ML",1,0)</f>
        <v/>
      </c>
      <c r="H186" s="26">
        <f>H185+IF(U185="RLO",1,0)</f>
        <v/>
      </c>
      <c r="I186" s="26">
        <f>I185+IF(U185="BD",1,0)</f>
        <v/>
      </c>
      <c r="J186" s="26">
        <f>MAX(J185,IF(U185="BiP",1,0))</f>
        <v/>
      </c>
      <c r="K186" s="26">
        <f>MAX(K185,IF(U185="PV",1,0))</f>
        <v/>
      </c>
      <c r="L186" s="26">
        <f>MAX(L185,IF(U185="OC",1,0))</f>
        <v/>
      </c>
      <c r="M186" s="26">
        <f>MAX(M185,IF(U185="MG",1,0))</f>
        <v/>
      </c>
      <c r="N186" s="26">
        <f>MAX(N185,IF(U185="transition",1,0))</f>
        <v/>
      </c>
      <c r="O186" s="28">
        <f>(Parameters!$B$9+(IF(E186=0,0,(Upgrades!$J$13+E186*Upgrades!$K$13)*POWER(Upgrades!$L$13,E186)))*(IF(Upgrades!$T$14="Stellar Kinematics",POWER(Upgrades!$U$14,F186),1)*IF(Upgrades!$T$15="Stellar Kinematics",POWER(Upgrades!$U$15,G186),1)*IF(Upgrades!$T$16="Stellar Kinematics",POWER(Upgrades!$U$16,H186),1)*IF(Upgrades!$T$17="Stellar Kinematics",POWER(Upgrades!$U$17,I186),1)*IF(Upgrades!$T$18="Stellar Kinematics",POWER(Upgrades!$U$18,J186),1)*IF(Upgrades!$T$19="Stellar Kinematics",POWER(Upgrades!$U$19,K186),1)*IF(Upgrades!$T$20="Stellar Kinematics",POWER(Upgrades!$U$20,L186),1)*IF(Upgrades!$T$21="Stellar Kinematics",POWER(Upgrades!$U$21,M186),1))+(IF(F186=0,0,(Upgrades!$J$14+F186*Upgrades!$K$14)*POWER(Upgrades!$L$14,F186)))*(IF(Upgrades!$T$13="Local Bubble",POWER(Upgrades!$U$13,E186),1)*IF(Upgrades!$T$15="Local Bubble",POWER(Upgrades!$U$15,G186),1)*IF(Upgrades!$T$16="Local Bubble",POWER(Upgrades!$U$16,H186),1)*IF(Upgrades!$T$17="Local Bubble",POWER(Upgrades!$U$17,I186),1)*IF(Upgrades!$T$18="Local Bubble",POWER(Upgrades!$U$18,J186),1)*IF(Upgrades!$T$19="Local Bubble",POWER(Upgrades!$U$19,K186),1)*IF(Upgrades!$T$20="Local Bubble",POWER(Upgrades!$U$20,L186),1)*IF(Upgrades!$T$21="Local Bubble",POWER(Upgrades!$U$21,M186),1))+(IF(G186=0,0,(Upgrades!$J$15+G186*Upgrades!$K$15)*POWER(Upgrades!$L$15,G186)))*(IF(Upgrades!$T$13="Microlensing",POWER(Upgrades!$U$13,E186),1)*IF(Upgrades!$T$14="Microlensing",POWER(Upgrades!$U$14,F186),1)*IF(Upgrades!$T$16="Microlensing",POWER(Upgrades!$U$16,H186),1)*IF(Upgrades!$T$17="Microlensing",POWER(Upgrades!$U$17,I186),1)*IF(Upgrades!$T$18="Microlensing",POWER(Upgrades!$U$18,J186),1)*IF(Upgrades!$T$19="Microlensing",POWER(Upgrades!$U$19,K186),1)*IF(Upgrades!$T$20="Microlensing",POWER(Upgrades!$U$20,L186),1)*IF(Upgrades!$T$21="Microlensing",POWER(Upgrades!$U$21,M186),1))+(IF(H186=0,0,(Upgrades!$J$16+H186*Upgrades!$K$16)*POWER(Upgrades!$L$16,H186)))*(IF(Upgrades!$T$13="Roche Lobe Overflow",POWER(Upgrades!$U$13,E186),1)*IF(Upgrades!$T$14="Roche Lobe Overflow",POWER(Upgrades!$U$14,F186),1)*IF(Upgrades!$T$15="Roche Lobe Overflow",POWER(Upgrades!$U$15,G186),1)*IF(Upgrades!$T$17="Roche Lobe Overflow",POWER(Upgrades!$U$17,I186),1)*IF(Upgrades!$T$18="Roche Lobe Overflow",POWER(Upgrades!$U$18,J186),1)*IF(Upgrades!$T$19="Roche Lobe Overflow",POWER(Upgrades!$U$19,K186),1)*IF(Upgrades!$T$20="Roche Lobe Overflow",POWER(Upgrades!$U$20,L186),1)*IF(Upgrades!$T$21="Roche Lobe Overflow",POWER(Upgrades!$U$21,M186),1))+(IF(I186=0,0,(Upgrades!$J$17+I186*Upgrades!$K$17)*POWER(Upgrades!$L$17,I186)))*(IF(Upgrades!$T$13="Brown Dwarf",POWER(Upgrades!$U$13,E186),1)*IF(Upgrades!$T$14="Brown Dwarf",POWER(Upgrades!$U$14,F186),1)*IF(Upgrades!$T$15="Brown Dwarf",POWER(Upgrades!$U$15,G186),1)*IF(Upgrades!$T$16="Brown Dwarf",POWER(Upgrades!$U$16,H186),1)*IF(Upgrades!$T$18="Brown Dwarf",POWER(Upgrades!$U$18,J186),1)*IF(Upgrades!$T$19="Brown Dwarf",POWER(Upgrades!$U$19,K186),1)*IF(Upgrades!$T$20="Brown Dwarf",POWER(Upgrades!$U$20,L186),1)*IF(Upgrades!$T$21="Brown Dwarf",POWER(Upgrades!$U$21,M186),1))+(IF(J186=0,0,(Upgrades!$J$18+J186*Upgrades!$K$18)*POWER(Upgrades!$L$18,J186)))*(IF(Upgrades!$T$13="Binary Partner",POWER(Upgrades!$U$13,E186),1)*IF(Upgrades!$T$14="Binary Partner",POWER(Upgrades!$U$14,F186),1)*IF(Upgrades!$T$15="Binary Partner",POWER(Upgrades!$U$15,G186),1)*IF(Upgrades!$T$16="Binary Partner",POWER(Upgrades!$U$16,H186),1)*IF(Upgrades!$T$17="Binary Partner",POWER(Upgrades!$U$17,I186),1)*IF(Upgrades!$T$19="Binary Partner",POWER(Upgrades!$U$19,K186),1)*IF(Upgrades!$T$20="Binary Partner",POWER(Upgrades!$U$20,L186),1)*IF(Upgrades!$T$21="Binary Partner",POWER(Upgrades!$U$21,M186),1))+(IF(K186=0,0,(Upgrades!$J$19+K186*Upgrades!$K$19)*POWER(Upgrades!$L$19,K186)))*(IF(Upgrades!$T$13="Peculiar Velocity",POWER(Upgrades!$U$13,E186),1)*IF(Upgrades!$T$14="Peculiar Velocity",POWER(Upgrades!$U$14,F186),1)*IF(Upgrades!$T$15="Peculiar Velocity",POWER(Upgrades!$U$15,G186),1)*IF(Upgrades!$T$16="Peculiar Velocity",POWER(Upgrades!$U$16,H186),1)*IF(Upgrades!$T$17="Peculiar Velocity",POWER(Upgrades!$U$17,I186),1)*IF(Upgrades!$T$18="Peculiar Velocity",POWER(Upgrades!$U$18,J186),1)*IF(Upgrades!$T$20="Peculiar Velocity",POWER(Upgrades!$U$20,L186),1)*IF(Upgrades!$T$21="Peculiar Velocity",POWER(Upgrades!$U$21,M186),1))+(IF(L186=0,0,(Upgrades!$J$20+L186*Upgrades!$K$20)*POWER(Upgrades!$L$20,L186)))*(IF(Upgrades!$T$13="Open Cluster",POWER(Upgrades!$U$13,E186),1)*IF(Upgrades!$T$14="Open Cluster",POWER(Upgrades!$U$14,F186),1)*IF(Upgrades!$T$15="Open Cluster",POWER(Upgrades!$U$15,G186),1)*IF(Upgrades!$T$16="Open Cluster",POWER(Upgrades!$U$16,H186),1)*IF(Upgrades!$T$17="Open Cluster",POWER(Upgrades!$U$17,I186),1)*IF(Upgrades!$T$18="Open Cluster",POWER(Upgrades!$U$18,J186),1)*IF(Upgrades!$T$19="Open Cluster",POWER(Upgrades!$U$19,K186),1)*IF(Upgrades!$T$21="Open Cluster",POWER(Upgrades!$U$21,M186),1))+(IF(M186=0,0,(Upgrades!$J$21+M186*Upgrades!$K$21)*POWER(Upgrades!$L$21,M186)))*(IF(Upgrades!$T$13="Moving Group",POWER(Upgrades!$U$13,E186),1)*IF(Upgrades!$T$14="Moving Group",POWER(Upgrades!$U$14,F186),1)*IF(Upgrades!$T$15="Moving Group",POWER(Upgrades!$U$15,G186),1)*IF(Upgrades!$T$16="Moving Group",POWER(Upgrades!$U$16,H186),1)*IF(Upgrades!$T$17="Moving Group",POWER(Upgrades!$U$17,I186),1)*IF(Upgrades!$T$18="Moving Group",POWER(Upgrades!$U$18,J186),1)*IF(Upgrades!$T$19="Moving Group",POWER(Upgrades!$U$19,K186),1)*IF(Upgrades!$T$20="Moving Group",POWER(Upgrades!$U$20,L186),1)))*POWER(Upgrades!$Q$13,E186)*POWER(Upgrades!$Q$14,F186)*POWER(Upgrades!$Q$15,G186)*POWER(Upgrades!$Q$16,H186)*POWER(Upgrades!$Q$17,I186)*POWER(Upgrades!$Q$18,J186)*POWER(Upgrades!$Q$19,K186)*POWER(Upgrades!$Q$20,L186)*POWER(Upgrades!$Q$21,M186)*$G$6+$D$6</f>
        <v/>
      </c>
      <c r="P186" s="28">
        <f>((IF(E186=0,0,(Upgrades!$G$13+E186*Upgrades!$H$13)*POWER(Upgrades!$I$13,E186)))*(IF(Upgrades!$T$14="Stellar Kinematics",POWER(Upgrades!$U$14,F186),1)*IF(Upgrades!$T$15="Stellar Kinematics",POWER(Upgrades!$U$15,G186),1)*IF(Upgrades!$T$16="Stellar Kinematics",POWER(Upgrades!$U$16,H186),1)*IF(Upgrades!$T$17="Stellar Kinematics",POWER(Upgrades!$U$17,I186),1)*IF(Upgrades!$T$18="Stellar Kinematics",POWER(Upgrades!$U$18,J186),1)*IF(Upgrades!$T$19="Stellar Kinematics",POWER(Upgrades!$U$19,K186),1)*IF(Upgrades!$T$20="Stellar Kinematics",POWER(Upgrades!$U$20,L186),1)*IF(Upgrades!$T$21="Stellar Kinematics",POWER(Upgrades!$U$21,M186),1))+(IF(F186=0,0,(Upgrades!$G$14+F186*Upgrades!$H$14)*POWER(Upgrades!$I$14,F186)))*(IF(Upgrades!$T$13="Local Bubble",POWER(Upgrades!$U$13,E186),1)*IF(Upgrades!$T$15="Local Bubble",POWER(Upgrades!$U$15,G186),1)*IF(Upgrades!$T$16="Local Bubble",POWER(Upgrades!$U$16,H186),1)*IF(Upgrades!$T$17="Local Bubble",POWER(Upgrades!$U$17,I186),1)*IF(Upgrades!$T$18="Local Bubble",POWER(Upgrades!$U$18,J186),1)*IF(Upgrades!$T$19="Local Bubble",POWER(Upgrades!$U$19,K186),1)*IF(Upgrades!$T$20="Local Bubble",POWER(Upgrades!$U$20,L186),1)*IF(Upgrades!$T$21="Local Bubble",POWER(Upgrades!$U$21,M186),1))+(IF(G186=0,0,(Upgrades!$G$15+G186*Upgrades!$H$15)*POWER(Upgrades!$I$15,G186)))*(IF(Upgrades!$T$13="Microlensing",POWER(Upgrades!$U$13,E186),1)*IF(Upgrades!$T$14="Microlensing",POWER(Upgrades!$U$14,F186),1)*IF(Upgrades!$T$16="Microlensing",POWER(Upgrades!$U$16,H186),1)*IF(Upgrades!$T$17="Microlensing",POWER(Upgrades!$U$17,I186),1)*IF(Upgrades!$T$18="Microlensing",POWER(Upgrades!$U$18,J186),1)*IF(Upgrades!$T$19="Microlensing",POWER(Upgrades!$U$19,K186),1)*IF(Upgrades!$T$20="Microlensing",POWER(Upgrades!$U$20,L186),1)*IF(Upgrades!$T$21="Microlensing",POWER(Upgrades!$U$21,M186),1))+(IF(H186=0,0,(Upgrades!$G$16+H186*Upgrades!$H$16)*POWER(Upgrades!$I$16,H186)))*(IF(Upgrades!$T$13="Roche Lobe Overflow",POWER(Upgrades!$U$13,E186),1)*IF(Upgrades!$T$14="Roche Lobe Overflow",POWER(Upgrades!$U$14,F186),1)*IF(Upgrades!$T$15="Roche Lobe Overflow",POWER(Upgrades!$U$15,G186),1)*IF(Upgrades!$T$17="Roche Lobe Overflow",POWER(Upgrades!$U$17,I186),1)*IF(Upgrades!$T$18="Roche Lobe Overflow",POWER(Upgrades!$U$18,J186),1)*IF(Upgrades!$T$19="Roche Lobe Overflow",POWER(Upgrades!$U$19,K186),1)*IF(Upgrades!$T$20="Roche Lobe Overflow",POWER(Upgrades!$U$20,L186),1)*IF(Upgrades!$T$21="Roche Lobe Overflow",POWER(Upgrades!$U$21,M186),1))+(IF(I186=0,0,(Upgrades!$G$17+I186*Upgrades!$H$17)*POWER(Upgrades!$I$17,I186)))*(IF(Upgrades!$T$13="Brown Dwarf",POWER(Upgrades!$U$13,E186),1)*IF(Upgrades!$T$14="Brown Dwarf",POWER(Upgrades!$U$14,F186),1)*IF(Upgrades!$T$15="Brown Dwarf",POWER(Upgrades!$U$15,G186),1)*IF(Upgrades!$T$16="Brown Dwarf",POWER(Upgrades!$U$16,H186),1)*IF(Upgrades!$T$18="Brown Dwarf",POWER(Upgrades!$U$18,J186),1)*IF(Upgrades!$T$19="Brown Dwarf",POWER(Upgrades!$U$19,K186),1)*IF(Upgrades!$T$20="Brown Dwarf",POWER(Upgrades!$U$20,L186),1)*IF(Upgrades!$T$21="Brown Dwarf",POWER(Upgrades!$U$21,M186),1))+(IF(J186=0,0,(Upgrades!$G$18+J186*Upgrades!$H$18)*POWER(Upgrades!$I$18,J186)))*(IF(Upgrades!$T$13="Binary Partner",POWER(Upgrades!$U$13,E186),1)*IF(Upgrades!$T$14="Binary Partner",POWER(Upgrades!$U$14,F186),1)*IF(Upgrades!$T$15="Binary Partner",POWER(Upgrades!$U$15,G186),1)*IF(Upgrades!$T$16="Binary Partner",POWER(Upgrades!$U$16,H186),1)*IF(Upgrades!$T$17="Binary Partner",POWER(Upgrades!$U$17,I186),1)*IF(Upgrades!$T$19="Binary Partner",POWER(Upgrades!$U$19,K186),1)*IF(Upgrades!$T$20="Binary Partner",POWER(Upgrades!$U$20,L186),1)*IF(Upgrades!$T$21="Binary Partner",POWER(Upgrades!$U$21,M186),1))+(IF(K186=0,0,(Upgrades!$G$19+K186*Upgrades!$H$19)*POWER(Upgrades!$I$19,K186)))*(IF(Upgrades!$T$13="Peculiar Velocity",POWER(Upgrades!$U$13,E186),1)*IF(Upgrades!$T$14="Peculiar Velocity",POWER(Upgrades!$U$14,F186),1)*IF(Upgrades!$T$15="Peculiar Velocity",POWER(Upgrades!$U$15,G186),1)*IF(Upgrades!$T$16="Peculiar Velocity",POWER(Upgrades!$U$16,H186),1)*IF(Upgrades!$T$17="Peculiar Velocity",POWER(Upgrades!$U$17,I186),1)*IF(Upgrades!$T$18="Peculiar Velocity",POWER(Upgrades!$U$18,J186),1)*IF(Upgrades!$T$20="Peculiar Velocity",POWER(Upgrades!$U$20,L186),1)*IF(Upgrades!$T$21="Peculiar Velocity",POWER(Upgrades!$U$21,M186),1))+(IF(L186=0,0,(Upgrades!$G$20+L186*Upgrades!$H$20)*POWER(Upgrades!$I$20,L186)))*(IF(Upgrades!$T$13="Open Cluster",POWER(Upgrades!$U$13,E186),1)*IF(Upgrades!$T$14="Open Cluster",POWER(Upgrades!$U$14,F186),1)*IF(Upgrades!$T$15="Open Cluster",POWER(Upgrades!$U$15,G186),1)*IF(Upgrades!$T$16="Open Cluster",POWER(Upgrades!$U$16,H186),1)*IF(Upgrades!$T$17="Open Cluster",POWER(Upgrades!$U$17,I186),1)*IF(Upgrades!$T$18="Open Cluster",POWER(Upgrades!$U$18,J186),1)*IF(Upgrades!$T$19="Open Cluster",POWER(Upgrades!$U$19,K186),1)*IF(Upgrades!$T$21="Open Cluster",POWER(Upgrades!$U$21,M186),1))+(IF(M186=0,0,(Upgrades!$G$21+M186*Upgrades!$H$21)*POWER(Upgrades!$I$21,M186)))*(IF(Upgrades!$T$13="Moving Group",POWER(Upgrades!$U$13,E186),1)*IF(Upgrades!$T$14="Moving Group",POWER(Upgrades!$U$14,F186),1)*IF(Upgrades!$T$15="Moving Group",POWER(Upgrades!$U$15,G186),1)*IF(Upgrades!$T$16="Moving Group",POWER(Upgrades!$U$16,H186),1)*IF(Upgrades!$T$17="Moving Group",POWER(Upgrades!$U$17,I186),1)*IF(Upgrades!$T$18="Moving Group",POWER(Upgrades!$U$18,J186),1)*IF(Upgrades!$T$19="Moving Group",POWER(Upgrades!$U$19,K186),1)*IF(Upgrades!$T$20="Moving Group",POWER(Upgrades!$U$20,L186),1)))*POWER(Upgrades!$P$13,E186)*POWER(Upgrades!$P$14,F186)*POWER(Upgrades!$P$15,G186)*POWER(Upgrades!$P$16,H186)*POWER(Upgrades!$P$17,I186)*POWER(Upgrades!$P$18,J186)*POWER(Upgrades!$P$19,K186)*POWER(Upgrades!$P$20,L186)*POWER(Upgrades!$P$21,M186)*$F$6+$C$6</f>
        <v/>
      </c>
      <c r="Q186" s="28">
        <f>((IF(E186=0,0,(Upgrades!$M$13+E186*Upgrades!$N$13)*POWER(Upgrades!$O$13,E186)))*(IF(Upgrades!$T$14="Stellar Kinematics",POWER(Upgrades!$U$14,F186),1)*IF(Upgrades!$T$15="Stellar Kinematics",POWER(Upgrades!$U$15,G186),1)*IF(Upgrades!$T$16="Stellar Kinematics",POWER(Upgrades!$U$16,H186),1)*IF(Upgrades!$T$17="Stellar Kinematics",POWER(Upgrades!$U$17,I186),1)*IF(Upgrades!$T$18="Stellar Kinematics",POWER(Upgrades!$U$18,J186),1)*IF(Upgrades!$T$19="Stellar Kinematics",POWER(Upgrades!$U$19,K186),1)*IF(Upgrades!$T$20="Stellar Kinematics",POWER(Upgrades!$U$20,L186),1)*IF(Upgrades!$T$21="Stellar Kinematics",POWER(Upgrades!$U$21,M186),1))+(IF(F186=0,0,(Upgrades!$M$14+F186*Upgrades!$N$14)*POWER(Upgrades!$O$14,F186)))*(IF(Upgrades!$T$13="Local Bubble",POWER(Upgrades!$U$13,E186),1)*IF(Upgrades!$T$15="Local Bubble",POWER(Upgrades!$U$15,G186),1)*IF(Upgrades!$T$16="Local Bubble",POWER(Upgrades!$U$16,H186),1)*IF(Upgrades!$T$17="Local Bubble",POWER(Upgrades!$U$17,I186),1)*IF(Upgrades!$T$18="Local Bubble",POWER(Upgrades!$U$18,J186),1)*IF(Upgrades!$T$19="Local Bubble",POWER(Upgrades!$U$19,K186),1)*IF(Upgrades!$T$20="Local Bubble",POWER(Upgrades!$U$20,L186),1)*IF(Upgrades!$T$21="Local Bubble",POWER(Upgrades!$U$21,M186),1))+(IF(G186=0,0,(Upgrades!$M$15+G186*Upgrades!$N$15)*POWER(Upgrades!$O$15,G186)))*(IF(Upgrades!$T$13="Microlensing",POWER(Upgrades!$U$13,E186),1)*IF(Upgrades!$T$14="Microlensing",POWER(Upgrades!$U$14,F186),1)*IF(Upgrades!$T$16="Microlensing",POWER(Upgrades!$U$16,H186),1)*IF(Upgrades!$T$17="Microlensing",POWER(Upgrades!$U$17,I186),1)*IF(Upgrades!$T$18="Microlensing",POWER(Upgrades!$U$18,J186),1)*IF(Upgrades!$T$19="Microlensing",POWER(Upgrades!$U$19,K186),1)*IF(Upgrades!$T$20="Microlensing",POWER(Upgrades!$U$20,L186),1)*IF(Upgrades!$T$21="Microlensing",POWER(Upgrades!$U$21,M186),1))+(IF(H186=0,0,(Upgrades!$M$16+H186*Upgrades!$N$16)*POWER(Upgrades!$O$16,H186)))*(IF(Upgrades!$T$13="Roche Lobe Overflow",POWER(Upgrades!$U$13,E186),1)*IF(Upgrades!$T$14="Roche Lobe Overflow",POWER(Upgrades!$U$14,F186),1)*IF(Upgrades!$T$15="Roche Lobe Overflow",POWER(Upgrades!$U$15,G186),1)*IF(Upgrades!$T$17="Roche Lobe Overflow",POWER(Upgrades!$U$17,I186),1)*IF(Upgrades!$T$18="Roche Lobe Overflow",POWER(Upgrades!$U$18,J186),1)*IF(Upgrades!$T$19="Roche Lobe Overflow",POWER(Upgrades!$U$19,K186),1)*IF(Upgrades!$T$20="Roche Lobe Overflow",POWER(Upgrades!$U$20,L186),1)*IF(Upgrades!$T$21="Roche Lobe Overflow",POWER(Upgrades!$U$21,M186),1))+(IF(I186=0,0,(Upgrades!$M$17+I186*Upgrades!$N$17)*POWER(Upgrades!$O$17,I186)))*(IF(Upgrades!$T$13="Brown Dwarf",POWER(Upgrades!$U$13,E186),1)*IF(Upgrades!$T$14="Brown Dwarf",POWER(Upgrades!$U$14,F186),1)*IF(Upgrades!$T$15="Brown Dwarf",POWER(Upgrades!$U$15,G186),1)*IF(Upgrades!$T$16="Brown Dwarf",POWER(Upgrades!$U$16,H186),1)*IF(Upgrades!$T$18="Brown Dwarf",POWER(Upgrades!$U$18,J186),1)*IF(Upgrades!$T$19="Brown Dwarf",POWER(Upgrades!$U$19,K186),1)*IF(Upgrades!$T$20="Brown Dwarf",POWER(Upgrades!$U$20,L186),1)*IF(Upgrades!$T$21="Brown Dwarf",POWER(Upgrades!$U$21,M186),1))+(IF(J186=0,0,(Upgrades!$M$18+J186*Upgrades!$N$18)*POWER(Upgrades!$O$18,J186)))*(IF(Upgrades!$T$13="Binary Partner",POWER(Upgrades!$U$13,E186),1)*IF(Upgrades!$T$14="Binary Partner",POWER(Upgrades!$U$14,F186),1)*IF(Upgrades!$T$15="Binary Partner",POWER(Upgrades!$U$15,G186),1)*IF(Upgrades!$T$16="Binary Partner",POWER(Upgrades!$U$16,H186),1)*IF(Upgrades!$T$17="Binary Partner",POWER(Upgrades!$U$17,I186),1)*IF(Upgrades!$T$19="Binary Partner",POWER(Upgrades!$U$19,K186),1)*IF(Upgrades!$T$20="Binary Partner",POWER(Upgrades!$U$20,L186),1)*IF(Upgrades!$T$21="Binary Partner",POWER(Upgrades!$U$21,M186),1))+(IF(K186=0,0,(Upgrades!$M$19+K186*Upgrades!$N$19)*POWER(Upgrades!$O$19,K186)))*(IF(Upgrades!$T$13="Peculiar Velocity",POWER(Upgrades!$U$13,E186),1)*IF(Upgrades!$T$14="Peculiar Velocity",POWER(Upgrades!$U$14,F186),1)*IF(Upgrades!$T$15="Peculiar Velocity",POWER(Upgrades!$U$15,G186),1)*IF(Upgrades!$T$16="Peculiar Velocity",POWER(Upgrades!$U$16,H186),1)*IF(Upgrades!$T$17="Peculiar Velocity",POWER(Upgrades!$U$17,I186),1)*IF(Upgrades!$T$18="Peculiar Velocity",POWER(Upgrades!$U$18,J186),1)*IF(Upgrades!$T$20="Peculiar Velocity",POWER(Upgrades!$U$20,L186),1)*IF(Upgrades!$T$21="Peculiar Velocity",POWER(Upgrades!$U$21,M186),1))+(IF(L186=0,0,(Upgrades!$M$20+L186*Upgrades!$N$20)*POWER(Upgrades!$O$20,L186)))*(IF(Upgrades!$T$13="Open Cluster",POWER(Upgrades!$U$13,E186),1)*IF(Upgrades!$T$14="Open Cluster",POWER(Upgrades!$U$14,F186),1)*IF(Upgrades!$T$15="Open Cluster",POWER(Upgrades!$U$15,G186),1)*IF(Upgrades!$T$16="Open Cluster",POWER(Upgrades!$U$16,H186),1)*IF(Upgrades!$T$17="Open Cluster",POWER(Upgrades!$U$17,I186),1)*IF(Upgrades!$T$18="Open Cluster",POWER(Upgrades!$U$18,J186),1)*IF(Upgrades!$T$19="Open Cluster",POWER(Upgrades!$U$19,K186),1)*IF(Upgrades!$T$21="Open Cluster",POWER(Upgrades!$U$21,M186),1))+(IF(M186=0,0,(Upgrades!$M$21+M186*Upgrades!$N$21)*POWER(Upgrades!$O$21,M186)))*(IF(Upgrades!$T$13="Moving Group",POWER(Upgrades!$U$13,E186),1)*IF(Upgrades!$T$14="Moving Group",POWER(Upgrades!$U$14,F186),1)*IF(Upgrades!$T$15="Moving Group",POWER(Upgrades!$U$15,G186),1)*IF(Upgrades!$T$16="Moving Group",POWER(Upgrades!$U$16,H186),1)*IF(Upgrades!$T$17="Moving Group",POWER(Upgrades!$U$17,I186),1)*IF(Upgrades!$T$18="Moving Group",POWER(Upgrades!$U$18,J186),1)*IF(Upgrades!$T$19="Moving Group",POWER(Upgrades!$U$19,K186),1)*IF(Upgrades!$T$20="Moving Group",POWER(Upgrades!$U$20,L186),1)))*POWER(Upgrades!$R$13,E186)*POWER(Upgrades!$R$14,F186)*POWER(Upgrades!$R$15,G186)*POWER(Upgrades!$R$16,H186)*POWER(Upgrades!$R$17,I186)*POWER(Upgrades!$R$18,J186)*POWER(Upgrades!$R$19,K186)*POWER(Upgrades!$R$20,L186)*POWER(Upgrades!$R$21,M186)*$H$6+$E$6</f>
        <v/>
      </c>
      <c r="R186" s="27">
        <f>IF(N186=1,0,O186*Parameters!$B$10/60*Parameters!$B$11*10)</f>
        <v/>
      </c>
      <c r="S186" s="27">
        <f>IF(N186=1,0,Q186*O186*10)</f>
        <v/>
      </c>
      <c r="T186" s="27">
        <f>IF(N186=1,0,R186+S186+P186*10)</f>
        <v/>
      </c>
      <c r="U186" s="33">
        <f>BE186</f>
        <v/>
      </c>
      <c r="V186" s="22">
        <f>IF(U186="",0,IF(U186="transition",0,IF(U186="SK",AK186,IF(U186="LB",AL186,IF(U186="ML",AM186,IF(U186="RLO",AN186,IF(U186="BD",AO186,IF(U186="BiP",AP186,IF(U186="PV",AQ186,IF(U186="OC",AR186,IF(U186="MG",AS186,0))))))))))</f>
        <v/>
      </c>
      <c r="W186" s="27">
        <f>IF(U186="BiP",Upgrades!$F$18,IF(U186="PV",Upgrades!$F$19,IF(U186="OC",Upgrades!$F$20,IF(U186="MG",Upgrades!$F$21,IF(U186="transition",-Parameters!$B$18*Parameters!$B$19,0)))))</f>
        <v/>
      </c>
      <c r="X186" s="22">
        <f>C186+T186-V186</f>
        <v/>
      </c>
      <c r="Y186" s="30">
        <f>O186*Parameters!$B$10/60*Parameters!$B$11+Q186*O186+P186</f>
        <v/>
      </c>
      <c r="Z186" s="34">
        <f>IF(U186="transition","→ Tier 3 (Galactic Arm)",IF(U186="MG","Moving Group — pocket drifts together",IF(U186="OC","Open Cluster acquired",IF(U186="PV","Peculiar Velocity — passive multiplier active",IF(U186="BiP","Binary Partner — pair bond formed",IF(AND(AU186=1,N186=0,AT186&lt;&gt;1),"Cohesion ready (waiting on completionists)","")))))) </f>
        <v/>
      </c>
      <c r="AA186" s="27">
        <f>(IF(E186=0,0,(Upgrades!$G$13+E186*Upgrades!$H$13)*POWER(Upgrades!$I$13,E186)))*(IF(Upgrades!$T$14="Stellar Kinematics",POWER(Upgrades!$U$14,F186),1)*IF(Upgrades!$T$15="Stellar Kinematics",POWER(Upgrades!$U$15,G186),1)*IF(Upgrades!$T$16="Stellar Kinematics",POWER(Upgrades!$U$16,H186),1)*IF(Upgrades!$T$17="Stellar Kinematics",POWER(Upgrades!$U$17,I186),1)*IF(Upgrades!$T$18="Stellar Kinematics",POWER(Upgrades!$U$18,J186),1)*IF(Upgrades!$T$19="Stellar Kinematics",POWER(Upgrades!$U$19,K186),1)*IF(Upgrades!$T$20="Stellar Kinematics",POWER(Upgrades!$U$20,L186),1)*IF(Upgrades!$T$21="Stellar Kinematics",POWER(Upgrades!$U$21,M186),1))*POWER(Upgrades!$P$13,E186)*POWER(Upgrades!$P$14,F186)*POWER(Upgrades!$P$15,G186)*POWER(Upgrades!$P$16,H186)*POWER(Upgrades!$P$17,I186)*POWER(Upgrades!$P$18,J186)*POWER(Upgrades!$P$19,K186)*POWER(Upgrades!$P$20,L186)*POWER(Upgrades!$P$21,M186)*$F$6*60</f>
        <v/>
      </c>
      <c r="AB186" s="27">
        <f>(IF(F186=0,0,(Upgrades!$G$14+F186*Upgrades!$H$14)*POWER(Upgrades!$I$14,F186)))*(IF(Upgrades!$T$13="Local Bubble",POWER(Upgrades!$U$13,E186),1)*IF(Upgrades!$T$15="Local Bubble",POWER(Upgrades!$U$15,G186),1)*IF(Upgrades!$T$16="Local Bubble",POWER(Upgrades!$U$16,H186),1)*IF(Upgrades!$T$17="Local Bubble",POWER(Upgrades!$U$17,I186),1)*IF(Upgrades!$T$18="Local Bubble",POWER(Upgrades!$U$18,J186),1)*IF(Upgrades!$T$19="Local Bubble",POWER(Upgrades!$U$19,K186),1)*IF(Upgrades!$T$20="Local Bubble",POWER(Upgrades!$U$20,L186),1)*IF(Upgrades!$T$21="Local Bubble",POWER(Upgrades!$U$21,M186),1))*POWER(Upgrades!$P$13,E186)*POWER(Upgrades!$P$14,F186)*POWER(Upgrades!$P$15,G186)*POWER(Upgrades!$P$16,H186)*POWER(Upgrades!$P$17,I186)*POWER(Upgrades!$P$18,J186)*POWER(Upgrades!$P$19,K186)*POWER(Upgrades!$P$20,L186)*POWER(Upgrades!$P$21,M186)*$F$6*60</f>
        <v/>
      </c>
      <c r="AC186" s="27">
        <f>(IF(G186=0,0,(Upgrades!$J$15+G186*Upgrades!$K$15)*POWER(Upgrades!$L$15,G186)))*(IF(Upgrades!$T$13="Microlensing",POWER(Upgrades!$U$13,E186),1)*IF(Upgrades!$T$14="Microlensing",POWER(Upgrades!$U$14,F186),1)*IF(Upgrades!$T$16="Microlensing",POWER(Upgrades!$U$16,H186),1)*IF(Upgrades!$T$17="Microlensing",POWER(Upgrades!$U$17,I186),1)*IF(Upgrades!$T$18="Microlensing",POWER(Upgrades!$U$18,J186),1)*IF(Upgrades!$T$19="Microlensing",POWER(Upgrades!$U$19,K186),1)*IF(Upgrades!$T$20="Microlensing",POWER(Upgrades!$U$20,L186),1)*IF(Upgrades!$T$21="Microlensing",POWER(Upgrades!$U$21,M186),1))*POWER(Upgrades!$Q$13,E186)*POWER(Upgrades!$Q$14,F186)*POWER(Upgrades!$Q$15,G186)*POWER(Upgrades!$Q$16,H186)*POWER(Upgrades!$Q$17,I186)*POWER(Upgrades!$Q$18,J186)*POWER(Upgrades!$Q$19,K186)*POWER(Upgrades!$Q$20,L186)*POWER(Upgrades!$Q$21,M186)*$G$6*(Parameters!$B$10*Parameters!$B$11+Q186*60)</f>
        <v/>
      </c>
      <c r="AD186" s="27">
        <f>(IF(H186=0,0,(Upgrades!$M$16+H186*Upgrades!$N$16)*POWER(Upgrades!$O$16,H186)))*(IF(Upgrades!$T$13="Roche Lobe Overflow",POWER(Upgrades!$U$13,E186),1)*IF(Upgrades!$T$14="Roche Lobe Overflow",POWER(Upgrades!$U$14,F186),1)*IF(Upgrades!$T$15="Roche Lobe Overflow",POWER(Upgrades!$U$15,G186),1)*IF(Upgrades!$T$17="Roche Lobe Overflow",POWER(Upgrades!$U$17,I186),1)*IF(Upgrades!$T$18="Roche Lobe Overflow",POWER(Upgrades!$U$18,J186),1)*IF(Upgrades!$T$19="Roche Lobe Overflow",POWER(Upgrades!$U$19,K186),1)*IF(Upgrades!$T$20="Roche Lobe Overflow",POWER(Upgrades!$U$20,L186),1)*IF(Upgrades!$T$21="Roche Lobe Overflow",POWER(Upgrades!$U$21,M186),1))*POWER(Upgrades!$R$13,E186)*POWER(Upgrades!$R$14,F186)*POWER(Upgrades!$R$15,G186)*POWER(Upgrades!$R$16,H186)*POWER(Upgrades!$R$17,I186)*POWER(Upgrades!$R$18,J186)*POWER(Upgrades!$R$19,K186)*POWER(Upgrades!$R$20,L186)*POWER(Upgrades!$R$21,M186)*$H$6*O186*60</f>
        <v/>
      </c>
      <c r="AE186" s="27">
        <f>(IF(I186=0,0,(Upgrades!$G$17+I186*Upgrades!$H$17)*POWER(Upgrades!$I$17,I186)))*(IF(Upgrades!$T$13="Brown Dwarf",POWER(Upgrades!$U$13,E186),1)*IF(Upgrades!$T$14="Brown Dwarf",POWER(Upgrades!$U$14,F186),1)*IF(Upgrades!$T$15="Brown Dwarf",POWER(Upgrades!$U$15,G186),1)*IF(Upgrades!$T$16="Brown Dwarf",POWER(Upgrades!$U$16,H186),1)*IF(Upgrades!$T$18="Brown Dwarf",POWER(Upgrades!$U$18,J186),1)*IF(Upgrades!$T$19="Brown Dwarf",POWER(Upgrades!$U$19,K186),1)*IF(Upgrades!$T$20="Brown Dwarf",POWER(Upgrades!$U$20,L186),1)*IF(Upgrades!$T$21="Brown Dwarf",POWER(Upgrades!$U$21,M186),1))*POWER(Upgrades!$P$13,E186)*POWER(Upgrades!$P$14,F186)*POWER(Upgrades!$P$15,G186)*POWER(Upgrades!$P$16,H186)*POWER(Upgrades!$P$17,I186)*POWER(Upgrades!$P$18,J186)*POWER(Upgrades!$P$19,K186)*POWER(Upgrades!$P$20,L186)*POWER(Upgrades!$P$21,M186)*$F$6*60</f>
        <v/>
      </c>
      <c r="AF186" s="27" t="n">
        <v>0</v>
      </c>
      <c r="AG186" s="27" t="n">
        <v>0</v>
      </c>
      <c r="AH186" s="27" t="n">
        <v>0</v>
      </c>
      <c r="AI186" s="27">
        <f>(IF(M186=0,0,(Upgrades!$G$21+M186*Upgrades!$H$21)*POWER(Upgrades!$I$21,M186)))*(IF(Upgrades!$T$13="Moving Group",POWER(Upgrades!$U$13,E186),1)*IF(Upgrades!$T$14="Moving Group",POWER(Upgrades!$U$14,F186),1)*IF(Upgrades!$T$15="Moving Group",POWER(Upgrades!$U$15,G186),1)*IF(Upgrades!$T$16="Moving Group",POWER(Upgrades!$U$16,H186),1)*IF(Upgrades!$T$17="Moving Group",POWER(Upgrades!$U$17,I186),1)*IF(Upgrades!$T$18="Moving Group",POWER(Upgrades!$U$18,J186),1)*IF(Upgrades!$T$19="Moving Group",POWER(Upgrades!$U$19,K186),1)*IF(Upgrades!$T$20="Moving Group",POWER(Upgrades!$U$20,L186),1))*POWER(Upgrades!$P$13,E186)*POWER(Upgrades!$P$14,F186)*POWER(Upgrades!$P$15,G186)*POWER(Upgrades!$P$16,H186)*POWER(Upgrades!$P$17,I186)*POWER(Upgrades!$P$18,J186)*POWER(Upgrades!$P$19,K186)*POWER(Upgrades!$P$20,L186)*POWER(Upgrades!$P$21,M186)*$F$6*60</f>
        <v/>
      </c>
      <c r="AJ186" s="27">
        <f>$C$6*60</f>
        <v/>
      </c>
      <c r="AK186" s="22">
        <f>IF(E186&gt;=Upgrades!$E$13,"",Upgrades!$C$13*POWER(Upgrades!$D$13,E186))</f>
        <v/>
      </c>
      <c r="AL186" s="22">
        <f>IF(F186&gt;=Upgrades!$E$14,"",Upgrades!$C$14*POWER(Upgrades!$D$14,F186))</f>
        <v/>
      </c>
      <c r="AM186" s="22">
        <f>IF(G186&gt;=Upgrades!$E$15,"",Upgrades!$C$15*POWER(Upgrades!$D$15,G186))</f>
        <v/>
      </c>
      <c r="AN186" s="22">
        <f>IF(H186&gt;=Upgrades!$E$16,"",Upgrades!$C$16*POWER(Upgrades!$D$16,H186))</f>
        <v/>
      </c>
      <c r="AO186" s="22">
        <f>IF(I186&gt;=Upgrades!$E$17,"",Upgrades!$C$17*POWER(Upgrades!$D$17,I186))</f>
        <v/>
      </c>
      <c r="AP186" s="22">
        <f>IF(J186&gt;=Upgrades!$E$18,"",Upgrades!$C$18*POWER(Upgrades!$D$18,J186))</f>
        <v/>
      </c>
      <c r="AQ186" s="22">
        <f>IF(K186&gt;=Upgrades!$E$19,"",Upgrades!$C$19*POWER(Upgrades!$D$19,K186))</f>
        <v/>
      </c>
      <c r="AR186" s="22">
        <f>IF(L186&gt;=Upgrades!$E$20,"",Upgrades!$C$20*POWER(Upgrades!$D$20,L186))</f>
        <v/>
      </c>
      <c r="AS186" s="22">
        <f>IF(M186&gt;=Upgrades!$E$21,"",Upgrades!$C$21*POWER(Upgrades!$D$21,M186))</f>
        <v/>
      </c>
      <c r="AT186" s="26">
        <f>IF(AND(D186&gt;=Parameters!$B$18*Parameters!$B$19,(I186&gt;=Upgrades!$E$17)*(M186&gt;=Upgrades!$E$21)=1,N186=0),1,"")</f>
        <v/>
      </c>
      <c r="AU186" s="26">
        <f>IF(AND(D186&gt;=Parameters!$B$18*Parameters!$B$19,N186=0),1,"")</f>
        <v/>
      </c>
      <c r="AV186" s="22">
        <f>MIN(IF(ISNUMBER(AP186),AP186,9E15),IF(ISNUMBER(AQ186),AQ186,9E15),IF(ISNUMBER(AR186),AR186,9E15),IF(ISNUMBER(AS186),AS186,9E15))</f>
        <v/>
      </c>
      <c r="AW186" s="22">
        <f>MIN(IF(ISNUMBER(AK186),AK186,9E15),IF(ISNUMBER(AL186),AL186,9E15),IF(ISNUMBER(AM186),AM186,9E15),IF(ISNUMBER(AN186),AN186,9E15),IF(ISNUMBER(AO186),AO186,9E15))</f>
        <v/>
      </c>
      <c r="AX186" s="29">
        <f>IF(BD186&gt;Parameters!$B$21*(MAX(IF(AND(NOT(AND(AU186=1,AT186&lt;&gt;1)),ISNUMBER(AK186),AK186&lt;=(C186+T186)),AY186,0),IF(AND(NOT(AND(AU186=1,AT186&lt;&gt;1)),ISNUMBER(AL186),AL186&lt;=(C186+T186)),AZ186,0),IF(AND(NOT(AND(AU186=1,AT186&lt;&gt;1)),ISNUMBER(AM186),AM186&lt;=(C186+T186)),BA186,0),IF(AND(NOT(AND(AU186=1,AT186&lt;&gt;1)),ISNUMBER(AN186),AN186&lt;=(C186+T186)),BB186,0),IF(AND(ISNUMBER(AO186),AO186&lt;=(C186+T186)),BC186,0))),TRUE,FALSE)</f>
        <v/>
      </c>
      <c r="AY186" s="32">
        <f>IFERROR(Upgrades!$H$13*(POWER(Upgrades!$P$13,E186)*POWER(Upgrades!$P$14,F186)*POWER(Upgrades!$P$15,G186)*POWER(Upgrades!$P$16,H186)*POWER(Upgrades!$P$17,I186)*POWER(Upgrades!$P$18,J186)*POWER(Upgrades!$P$19,K186)*POWER(Upgrades!$P$20,L186)*POWER(Upgrades!$P$21,M186))*(IF(Upgrades!$T$14="Stellar Kinematics",POWER(Upgrades!$U$14,F186),1)*IF(Upgrades!$T$15="Stellar Kinematics",POWER(Upgrades!$U$15,G186),1)*IF(Upgrades!$T$16="Stellar Kinematics",POWER(Upgrades!$U$16,H186),1)*IF(Upgrades!$T$17="Stellar Kinematics",POWER(Upgrades!$U$17,I186),1)*IF(Upgrades!$T$18="Stellar Kinematics",POWER(Upgrades!$U$18,J186),1)*IF(Upgrades!$T$19="Stellar Kinematics",POWER(Upgrades!$U$19,K186),1)*IF(Upgrades!$T$20="Stellar Kinematics",POWER(Upgrades!$U$20,L186),1)*IF(Upgrades!$T$21="Stellar Kinematics",POWER(Upgrades!$U$21,M186),1))*$F$6/AK186,0)</f>
        <v/>
      </c>
      <c r="AZ186" s="32">
        <f>IFERROR(Upgrades!$H$14*(POWER(Upgrades!$P$13,E186)*POWER(Upgrades!$P$14,F186)*POWER(Upgrades!$P$15,G186)*POWER(Upgrades!$P$16,H186)*POWER(Upgrades!$P$17,I186)*POWER(Upgrades!$P$18,J186)*POWER(Upgrades!$P$19,K186)*POWER(Upgrades!$P$20,L186)*POWER(Upgrades!$P$21,M186))*(IF(Upgrades!$T$13="Local Bubble",POWER(Upgrades!$U$13,E186),1)*IF(Upgrades!$T$15="Local Bubble",POWER(Upgrades!$U$15,G186),1)*IF(Upgrades!$T$16="Local Bubble",POWER(Upgrades!$U$16,H186),1)*IF(Upgrades!$T$17="Local Bubble",POWER(Upgrades!$U$17,I186),1)*IF(Upgrades!$T$18="Local Bubble",POWER(Upgrades!$U$18,J186),1)*IF(Upgrades!$T$19="Local Bubble",POWER(Upgrades!$U$19,K186),1)*IF(Upgrades!$T$20="Local Bubble",POWER(Upgrades!$U$20,L186),1)*IF(Upgrades!$T$21="Local Bubble",POWER(Upgrades!$U$21,M186),1))*$F$6/AL186,0)</f>
        <v/>
      </c>
      <c r="BA186" s="32">
        <f>IFERROR(Upgrades!$K$15*(POWER(Upgrades!$Q$13,E186)*POWER(Upgrades!$Q$14,F186)*POWER(Upgrades!$Q$15,G186)*POWER(Upgrades!$Q$16,H186)*POWER(Upgrades!$Q$17,I186)*POWER(Upgrades!$Q$18,J186)*POWER(Upgrades!$Q$19,K186)*POWER(Upgrades!$Q$20,L186)*POWER(Upgrades!$Q$21,M186))*(IF(Upgrades!$T$13="Microlensing",POWER(Upgrades!$U$13,E186),1)*IF(Upgrades!$T$14="Microlensing",POWER(Upgrades!$U$14,F186),1)*IF(Upgrades!$T$16="Microlensing",POWER(Upgrades!$U$16,H186),1)*IF(Upgrades!$T$17="Microlensing",POWER(Upgrades!$U$17,I186),1)*IF(Upgrades!$T$18="Microlensing",POWER(Upgrades!$U$18,J186),1)*IF(Upgrades!$T$19="Microlensing",POWER(Upgrades!$U$19,K186),1)*IF(Upgrades!$T$20="Microlensing",POWER(Upgrades!$U$20,L186),1)*IF(Upgrades!$T$21="Microlensing",POWER(Upgrades!$U$21,M186),1))*$G$6*(Parameters!$B$10/60*Parameters!$B$11+Q186)/AM186,0)</f>
        <v/>
      </c>
      <c r="BB186" s="32">
        <f>IFERROR((Upgrades!$N$16*(POWER(Upgrades!$R$13,E186)*POWER(Upgrades!$R$14,F186)*POWER(Upgrades!$R$15,G186)*POWER(Upgrades!$R$16,H186)*POWER(Upgrades!$R$17,I186)*POWER(Upgrades!$R$18,J186)*POWER(Upgrades!$R$19,K186)*POWER(Upgrades!$R$20,L186)*POWER(Upgrades!$R$21,M186))*(IF(Upgrades!$T$13="Roche Lobe Overflow",POWER(Upgrades!$U$13,E186),1)*IF(Upgrades!$T$14="Roche Lobe Overflow",POWER(Upgrades!$U$14,F186),1)*IF(Upgrades!$T$15="Roche Lobe Overflow",POWER(Upgrades!$U$15,G186),1)*IF(Upgrades!$T$17="Roche Lobe Overflow",POWER(Upgrades!$U$17,I186),1)*IF(Upgrades!$T$18="Roche Lobe Overflow",POWER(Upgrades!$U$18,J186),1)*IF(Upgrades!$T$19="Roche Lobe Overflow",POWER(Upgrades!$U$19,K186),1)*IF(Upgrades!$T$20="Roche Lobe Overflow",POWER(Upgrades!$U$20,L186),1)*IF(Upgrades!$T$21="Roche Lobe Overflow",POWER(Upgrades!$U$21,M186),1))*$H$6*O186+((IF(F186=0,0,(Upgrades!$G$14+F186*Upgrades!$H$14)*POWER(Upgrades!$I$14,F186)))*(IF(Upgrades!$T$13="Local Bubble",POWER(Upgrades!$U$13,E186),1)*IF(Upgrades!$T$15="Local Bubble",POWER(Upgrades!$U$15,G186),1)*IF(Upgrades!$T$16="Local Bubble",POWER(Upgrades!$U$16,H186),1)*IF(Upgrades!$T$17="Local Bubble",POWER(Upgrades!$U$17,I186),1)*IF(Upgrades!$T$18="Local Bubble",POWER(Upgrades!$U$18,J186),1)*IF(Upgrades!$T$19="Local Bubble",POWER(Upgrades!$U$19,K186),1)*IF(Upgrades!$T$20="Local Bubble",POWER(Upgrades!$U$20,L186),1)*IF(Upgrades!$T$21="Local Bubble",POWER(Upgrades!$U$21,M186),1))*POWER(Upgrades!$P$13,E186)*POWER(Upgrades!$P$14,F186)*POWER(Upgrades!$P$15,G186)*POWER(Upgrades!$P$16,H186)*POWER(Upgrades!$P$17,I186)*POWER(Upgrades!$P$18,J186)*POWER(Upgrades!$P$19,K186)*POWER(Upgrades!$P$20,L186)*POWER(Upgrades!$P$21,M186)*$F$6)*0.05)/AN186,0)</f>
        <v/>
      </c>
      <c r="BC186" s="32">
        <f>IFERROR((Upgrades!$H$17*(POWER(Upgrades!$P$13,E186)*POWER(Upgrades!$P$14,F186)*POWER(Upgrades!$P$15,G186)*POWER(Upgrades!$P$16,H186)*POWER(Upgrades!$P$17,I186)*POWER(Upgrades!$P$18,J186)*POWER(Upgrades!$P$19,K186)*POWER(Upgrades!$P$20,L186)*POWER(Upgrades!$P$21,M186))*(IF(Upgrades!$T$13="Brown Dwarf",POWER(Upgrades!$U$13,E186),1)*IF(Upgrades!$T$14="Brown Dwarf",POWER(Upgrades!$U$14,F186),1)*IF(Upgrades!$T$15="Brown Dwarf",POWER(Upgrades!$U$15,G186),1)*IF(Upgrades!$T$16="Brown Dwarf",POWER(Upgrades!$U$16,H186),1)*IF(Upgrades!$T$18="Brown Dwarf",POWER(Upgrades!$U$18,J186),1)*IF(Upgrades!$T$19="Brown Dwarf",POWER(Upgrades!$U$19,K186),1)*IF(Upgrades!$T$20="Brown Dwarf",POWER(Upgrades!$U$20,L186),1)*IF(Upgrades!$T$21="Brown Dwarf",POWER(Upgrades!$U$21,M186),1))*$F$6+(((IF(H186=0,0,(Upgrades!$M$16+H186*Upgrades!$N$16)*POWER(Upgrades!$O$16,H186)))*(IF(Upgrades!$T$13="Roche Lobe Overflow",POWER(Upgrades!$U$13,E186),1)*IF(Upgrades!$T$14="Roche Lobe Overflow",POWER(Upgrades!$U$14,F186),1)*IF(Upgrades!$T$15="Roche Lobe Overflow",POWER(Upgrades!$U$15,G186),1)*IF(Upgrades!$T$17="Roche Lobe Overflow",POWER(Upgrades!$U$17,I186),1)*IF(Upgrades!$T$18="Roche Lobe Overflow",POWER(Upgrades!$U$18,J186),1)*IF(Upgrades!$T$19="Roche Lobe Overflow",POWER(Upgrades!$U$19,K186),1)*IF(Upgrades!$T$20="Roche Lobe Overflow",POWER(Upgrades!$U$20,L186),1)*IF(Upgrades!$T$21="Roche Lobe Overflow",POWER(Upgrades!$U$21,M186),1))*POWER(Upgrades!$R$13,E186)*POWER(Upgrades!$R$14,F186)*POWER(Upgrades!$R$15,G186)*POWER(Upgrades!$R$16,H186)*POWER(Upgrades!$R$17,I186)*POWER(Upgrades!$R$18,J186)*POWER(Upgrades!$R$19,K186)*POWER(Upgrades!$R$20,L186)*POWER(Upgrades!$R$21,M186)*$H$6)*O186)*0.10)/AO186,0)</f>
        <v/>
      </c>
      <c r="BD186" s="32">
        <f>MAX(IF(J186&gt;0,0,IFERROR(0.5*((IF(G186=0,0,(Upgrades!$J$15+G186*Upgrades!$K$15)*POWER(Upgrades!$L$15,G186)))*(IF(Upgrades!$T$13="Microlensing",POWER(Upgrades!$U$13,E186),1)*IF(Upgrades!$T$14="Microlensing",POWER(Upgrades!$U$14,F186),1)*IF(Upgrades!$T$16="Microlensing",POWER(Upgrades!$U$16,H186),1)*IF(Upgrades!$T$17="Microlensing",POWER(Upgrades!$U$17,I186),1)*IF(Upgrades!$T$18="Microlensing",POWER(Upgrades!$U$18,J186),1)*IF(Upgrades!$T$19="Microlensing",POWER(Upgrades!$U$19,K186),1)*IF(Upgrades!$T$20="Microlensing",POWER(Upgrades!$U$20,L186),1)*IF(Upgrades!$T$21="Microlensing",POWER(Upgrades!$U$21,M186),1))*(POWER(Upgrades!$Q$13,E186)*POWER(Upgrades!$Q$14,F186)*POWER(Upgrades!$Q$15,G186)*POWER(Upgrades!$Q$16,H186)*POWER(Upgrades!$Q$17,I186)*POWER(Upgrades!$Q$18,J186)*POWER(Upgrades!$Q$19,K186)*POWER(Upgrades!$Q$20,L186)*POWER(Upgrades!$Q$21,M186))*$G$6*(Parameters!$B$10/60*Parameters!$B$11+Q186))/Upgrades!$C$18,0)),IF(K186&gt;0,0,IFERROR(0.30*P186/Upgrades!$C$19,0)),IF(L186&gt;0,0,IFERROR(0.0001/Upgrades!$C$20,0)),IF(M186&gt;0,0,IFERROR((6.0*(POWER(Upgrades!$P$13,E186)*POWER(Upgrades!$P$14,F186)*POWER(Upgrades!$P$15,G186)*POWER(Upgrades!$P$16,H186)*POWER(Upgrades!$P$17,I186)*POWER(Upgrades!$P$18,J186)*POWER(Upgrades!$P$19,K186)*POWER(Upgrades!$P$20,L186)*POWER(Upgrades!$P$21,M186))*$F$6+0.20*O186*(Parameters!$B$10/60*Parameters!$B$11+Q186))/Upgrades!$C$21,0)),IF(AND(ISNUMBER(AK186),AK186&gt;(C186+T186)),AY186,0),IF(AND(ISNUMBER(AL186),AL186&gt;(C186+T186)),AZ186,0),IF(AND(ISNUMBER(AM186),AM186&gt;(C186+T186)),BA186,0),IF(AND(ISNUMBER(AN186),AN186&gt;(C186+T186)),BB186,0),IF(AND(ISNUMBER(AO186),AO186&gt;(C186+T186)),BC186,0))</f>
        <v/>
      </c>
      <c r="BE186" s="29">
        <f>IF(AT186=1,"transition",IF(MIN(IF(AND(J186=0,ISNUMBER(AP186),AP186&lt;=(C186+T186)),AP186,9E15),IF(AND(K186=0,ISNUMBER(AQ186),AQ186&lt;=(C186+T186)),AQ186,9E15),IF(AND(L186=0,ISNUMBER(AR186),AR186&lt;=(C186+T186)),AR186,9E15),IF(AND(M186=0,ISNUMBER(AS186),AS186&lt;=(C186+T186)),AS186,9E15))&lt;9E15,IF(AND(AND(J186=0,ISNUMBER(AP186),AP186&lt;=(C186+T186)),AP186=MIN(IF(AND(J186=0,ISNUMBER(AP186),AP186&lt;=(C186+T186)),AP186,9E15),IF(AND(K186=0,ISNUMBER(AQ186),AQ186&lt;=(C186+T186)),AQ186,9E15),IF(AND(L186=0,ISNUMBER(AR186),AR186&lt;=(C186+T186)),AR186,9E15),IF(AND(M186=0,ISNUMBER(AS186),AS186&lt;=(C186+T186)),AS186,9E15))),"BiP",IF(AND(AND(K186=0,ISNUMBER(AQ186),AQ186&lt;=(C186+T186)),AQ186=MIN(IF(AND(J186=0,ISNUMBER(AP186),AP186&lt;=(C186+T186)),AP186,9E15),IF(AND(K186=0,ISNUMBER(AQ186),AQ186&lt;=(C186+T186)),AQ186,9E15),IF(AND(L186=0,ISNUMBER(AR186),AR186&lt;=(C186+T186)),AR186,9E15),IF(AND(M186=0,ISNUMBER(AS186),AS186&lt;=(C186+T186)),AS186,9E15))),"PV",IF(AND(AND(L186=0,ISNUMBER(AR186),AR186&lt;=(C186+T186)),AR186=MIN(IF(AND(J186=0,ISNUMBER(AP186),AP186&lt;=(C186+T186)),AP186,9E15),IF(AND(K186=0,ISNUMBER(AQ186),AQ186&lt;=(C186+T186)),AQ186,9E15),IF(AND(L186=0,ISNUMBER(AR186),AR186&lt;=(C186+T186)),AR186,9E15),IF(AND(M186=0,ISNUMBER(AS186),AS186&lt;=(C186+T186)),AS186,9E15))),"OC","MG"))),IF(AX186=TRUE,"",IF(MAX(IF(AND(NOT(AND(AU186=1,AT186&lt;&gt;1)),ISNUMBER(AK186),AK186&lt;=(C186+T186)),AY186,0),IF(AND(NOT(AND(AU186=1,AT186&lt;&gt;1)),ISNUMBER(AL186),AL186&lt;=(C186+T186)),AZ186,0),IF(AND(NOT(AND(AU186=1,AT186&lt;&gt;1)),ISNUMBER(AM186),AM186&lt;=(C186+T186)),BA186,0),IF(AND(NOT(AND(AU186=1,AT186&lt;&gt;1)),ISNUMBER(AN186),AN186&lt;=(C186+T186)),BB186,0),IF(AND(ISNUMBER(AO186),AO186&lt;=(C186+T186)),BC186,0))&lt;=0,"",IF(AND(IF(AND(NOT(AND(AU186=1,AT186&lt;&gt;1)),ISNUMBER(AK186),AK186&lt;=(C186+T186)),AY186,0)&gt;0,IF(AND(NOT(AND(AU186=1,AT186&lt;&gt;1)),ISNUMBER(AK186),AK186&lt;=(C186+T186)),AY186,0)=MAX(IF(AND(NOT(AND(AU186=1,AT186&lt;&gt;1)),ISNUMBER(AK186),AK186&lt;=(C186+T186)),AY186,0),IF(AND(NOT(AND(AU186=1,AT186&lt;&gt;1)),ISNUMBER(AL186),AL186&lt;=(C186+T186)),AZ186,0),IF(AND(NOT(AND(AU186=1,AT186&lt;&gt;1)),ISNUMBER(AM186),AM186&lt;=(C186+T186)),BA186,0),IF(AND(NOT(AND(AU186=1,AT186&lt;&gt;1)),ISNUMBER(AN186),AN186&lt;=(C186+T186)),BB186,0),IF(AND(ISNUMBER(AO186),AO186&lt;=(C186+T186)),BC186,0))),"SK",IF(AND(IF(AND(NOT(AND(AU186=1,AT186&lt;&gt;1)),ISNUMBER(AL186),AL186&lt;=(C186+T186)),AZ186,0)&gt;0,IF(AND(NOT(AND(AU186=1,AT186&lt;&gt;1)),ISNUMBER(AL186),AL186&lt;=(C186+T186)),AZ186,0)=MAX(IF(AND(NOT(AND(AU186=1,AT186&lt;&gt;1)),ISNUMBER(AK186),AK186&lt;=(C186+T186)),AY186,0),IF(AND(NOT(AND(AU186=1,AT186&lt;&gt;1)),ISNUMBER(AL186),AL186&lt;=(C186+T186)),AZ186,0),IF(AND(NOT(AND(AU186=1,AT186&lt;&gt;1)),ISNUMBER(AM186),AM186&lt;=(C186+T186)),BA186,0),IF(AND(NOT(AND(AU186=1,AT186&lt;&gt;1)),ISNUMBER(AN186),AN186&lt;=(C186+T186)),BB186,0),IF(AND(ISNUMBER(AO186),AO186&lt;=(C186+T186)),BC186,0))),"LB",IF(AND(IF(AND(NOT(AND(AU186=1,AT186&lt;&gt;1)),ISNUMBER(AM186),AM186&lt;=(C186+T186)),BA186,0)&gt;0,IF(AND(NOT(AND(AU186=1,AT186&lt;&gt;1)),ISNUMBER(AM186),AM186&lt;=(C186+T186)),BA186,0)=MAX(IF(AND(NOT(AND(AU186=1,AT186&lt;&gt;1)),ISNUMBER(AK186),AK186&lt;=(C186+T186)),AY186,0),IF(AND(NOT(AND(AU186=1,AT186&lt;&gt;1)),ISNUMBER(AL186),AL186&lt;=(C186+T186)),AZ186,0),IF(AND(NOT(AND(AU186=1,AT186&lt;&gt;1)),ISNUMBER(AM186),AM186&lt;=(C186+T186)),BA186,0),IF(AND(NOT(AND(AU186=1,AT186&lt;&gt;1)),ISNUMBER(AN186),AN186&lt;=(C186+T186)),BB186,0),IF(AND(ISNUMBER(AO186),AO186&lt;=(C186+T186)),BC186,0))),"ML",IF(AND(IF(AND(NOT(AND(AU186=1,AT186&lt;&gt;1)),ISNUMBER(AN186),AN186&lt;=(C186+T186)),BB186,0)&gt;0,IF(AND(NOT(AND(AU186=1,AT186&lt;&gt;1)),ISNUMBER(AN186),AN186&lt;=(C186+T186)),BB186,0)=MAX(IF(AND(NOT(AND(AU186=1,AT186&lt;&gt;1)),ISNUMBER(AK186),AK186&lt;=(C186+T186)),AY186,0),IF(AND(NOT(AND(AU186=1,AT186&lt;&gt;1)),ISNUMBER(AL186),AL186&lt;=(C186+T186)),AZ186,0),IF(AND(NOT(AND(AU186=1,AT186&lt;&gt;1)),ISNUMBER(AM186),AM186&lt;=(C186+T186)),BA186,0),IF(AND(NOT(AND(AU186=1,AT186&lt;&gt;1)),ISNUMBER(AN186),AN186&lt;=(C186+T186)),BB186,0),IF(AND(ISNUMBER(AO186),AO186&lt;=(C186+T186)),BC186,0))),"RLO","BD"))))))))</f>
        <v/>
      </c>
    </row>
    <row r="187">
      <c r="A187" s="26" t="n">
        <v>176</v>
      </c>
      <c r="B187" s="27">
        <f>A187*10/60</f>
        <v/>
      </c>
      <c r="C187" s="22">
        <f>X186</f>
        <v/>
      </c>
      <c r="D187" s="27">
        <f>D186+W186</f>
        <v/>
      </c>
      <c r="E187" s="26">
        <f>E186+IF(U186="SK",1,0)</f>
        <v/>
      </c>
      <c r="F187" s="26">
        <f>F186+IF(U186="LB",1,0)</f>
        <v/>
      </c>
      <c r="G187" s="26">
        <f>G186+IF(U186="ML",1,0)</f>
        <v/>
      </c>
      <c r="H187" s="26">
        <f>H186+IF(U186="RLO",1,0)</f>
        <v/>
      </c>
      <c r="I187" s="26">
        <f>I186+IF(U186="BD",1,0)</f>
        <v/>
      </c>
      <c r="J187" s="26">
        <f>MAX(J186,IF(U186="BiP",1,0))</f>
        <v/>
      </c>
      <c r="K187" s="26">
        <f>MAX(K186,IF(U186="PV",1,0))</f>
        <v/>
      </c>
      <c r="L187" s="26">
        <f>MAX(L186,IF(U186="OC",1,0))</f>
        <v/>
      </c>
      <c r="M187" s="26">
        <f>MAX(M186,IF(U186="MG",1,0))</f>
        <v/>
      </c>
      <c r="N187" s="26">
        <f>MAX(N186,IF(U186="transition",1,0))</f>
        <v/>
      </c>
      <c r="O187" s="28">
        <f>(Parameters!$B$9+(IF(E187=0,0,(Upgrades!$J$13+E187*Upgrades!$K$13)*POWER(Upgrades!$L$13,E187)))*(IF(Upgrades!$T$14="Stellar Kinematics",POWER(Upgrades!$U$14,F187),1)*IF(Upgrades!$T$15="Stellar Kinematics",POWER(Upgrades!$U$15,G187),1)*IF(Upgrades!$T$16="Stellar Kinematics",POWER(Upgrades!$U$16,H187),1)*IF(Upgrades!$T$17="Stellar Kinematics",POWER(Upgrades!$U$17,I187),1)*IF(Upgrades!$T$18="Stellar Kinematics",POWER(Upgrades!$U$18,J187),1)*IF(Upgrades!$T$19="Stellar Kinematics",POWER(Upgrades!$U$19,K187),1)*IF(Upgrades!$T$20="Stellar Kinematics",POWER(Upgrades!$U$20,L187),1)*IF(Upgrades!$T$21="Stellar Kinematics",POWER(Upgrades!$U$21,M187),1))+(IF(F187=0,0,(Upgrades!$J$14+F187*Upgrades!$K$14)*POWER(Upgrades!$L$14,F187)))*(IF(Upgrades!$T$13="Local Bubble",POWER(Upgrades!$U$13,E187),1)*IF(Upgrades!$T$15="Local Bubble",POWER(Upgrades!$U$15,G187),1)*IF(Upgrades!$T$16="Local Bubble",POWER(Upgrades!$U$16,H187),1)*IF(Upgrades!$T$17="Local Bubble",POWER(Upgrades!$U$17,I187),1)*IF(Upgrades!$T$18="Local Bubble",POWER(Upgrades!$U$18,J187),1)*IF(Upgrades!$T$19="Local Bubble",POWER(Upgrades!$U$19,K187),1)*IF(Upgrades!$T$20="Local Bubble",POWER(Upgrades!$U$20,L187),1)*IF(Upgrades!$T$21="Local Bubble",POWER(Upgrades!$U$21,M187),1))+(IF(G187=0,0,(Upgrades!$J$15+G187*Upgrades!$K$15)*POWER(Upgrades!$L$15,G187)))*(IF(Upgrades!$T$13="Microlensing",POWER(Upgrades!$U$13,E187),1)*IF(Upgrades!$T$14="Microlensing",POWER(Upgrades!$U$14,F187),1)*IF(Upgrades!$T$16="Microlensing",POWER(Upgrades!$U$16,H187),1)*IF(Upgrades!$T$17="Microlensing",POWER(Upgrades!$U$17,I187),1)*IF(Upgrades!$T$18="Microlensing",POWER(Upgrades!$U$18,J187),1)*IF(Upgrades!$T$19="Microlensing",POWER(Upgrades!$U$19,K187),1)*IF(Upgrades!$T$20="Microlensing",POWER(Upgrades!$U$20,L187),1)*IF(Upgrades!$T$21="Microlensing",POWER(Upgrades!$U$21,M187),1))+(IF(H187=0,0,(Upgrades!$J$16+H187*Upgrades!$K$16)*POWER(Upgrades!$L$16,H187)))*(IF(Upgrades!$T$13="Roche Lobe Overflow",POWER(Upgrades!$U$13,E187),1)*IF(Upgrades!$T$14="Roche Lobe Overflow",POWER(Upgrades!$U$14,F187),1)*IF(Upgrades!$T$15="Roche Lobe Overflow",POWER(Upgrades!$U$15,G187),1)*IF(Upgrades!$T$17="Roche Lobe Overflow",POWER(Upgrades!$U$17,I187),1)*IF(Upgrades!$T$18="Roche Lobe Overflow",POWER(Upgrades!$U$18,J187),1)*IF(Upgrades!$T$19="Roche Lobe Overflow",POWER(Upgrades!$U$19,K187),1)*IF(Upgrades!$T$20="Roche Lobe Overflow",POWER(Upgrades!$U$20,L187),1)*IF(Upgrades!$T$21="Roche Lobe Overflow",POWER(Upgrades!$U$21,M187),1))+(IF(I187=0,0,(Upgrades!$J$17+I187*Upgrades!$K$17)*POWER(Upgrades!$L$17,I187)))*(IF(Upgrades!$T$13="Brown Dwarf",POWER(Upgrades!$U$13,E187),1)*IF(Upgrades!$T$14="Brown Dwarf",POWER(Upgrades!$U$14,F187),1)*IF(Upgrades!$T$15="Brown Dwarf",POWER(Upgrades!$U$15,G187),1)*IF(Upgrades!$T$16="Brown Dwarf",POWER(Upgrades!$U$16,H187),1)*IF(Upgrades!$T$18="Brown Dwarf",POWER(Upgrades!$U$18,J187),1)*IF(Upgrades!$T$19="Brown Dwarf",POWER(Upgrades!$U$19,K187),1)*IF(Upgrades!$T$20="Brown Dwarf",POWER(Upgrades!$U$20,L187),1)*IF(Upgrades!$T$21="Brown Dwarf",POWER(Upgrades!$U$21,M187),1))+(IF(J187=0,0,(Upgrades!$J$18+J187*Upgrades!$K$18)*POWER(Upgrades!$L$18,J187)))*(IF(Upgrades!$T$13="Binary Partner",POWER(Upgrades!$U$13,E187),1)*IF(Upgrades!$T$14="Binary Partner",POWER(Upgrades!$U$14,F187),1)*IF(Upgrades!$T$15="Binary Partner",POWER(Upgrades!$U$15,G187),1)*IF(Upgrades!$T$16="Binary Partner",POWER(Upgrades!$U$16,H187),1)*IF(Upgrades!$T$17="Binary Partner",POWER(Upgrades!$U$17,I187),1)*IF(Upgrades!$T$19="Binary Partner",POWER(Upgrades!$U$19,K187),1)*IF(Upgrades!$T$20="Binary Partner",POWER(Upgrades!$U$20,L187),1)*IF(Upgrades!$T$21="Binary Partner",POWER(Upgrades!$U$21,M187),1))+(IF(K187=0,0,(Upgrades!$J$19+K187*Upgrades!$K$19)*POWER(Upgrades!$L$19,K187)))*(IF(Upgrades!$T$13="Peculiar Velocity",POWER(Upgrades!$U$13,E187),1)*IF(Upgrades!$T$14="Peculiar Velocity",POWER(Upgrades!$U$14,F187),1)*IF(Upgrades!$T$15="Peculiar Velocity",POWER(Upgrades!$U$15,G187),1)*IF(Upgrades!$T$16="Peculiar Velocity",POWER(Upgrades!$U$16,H187),1)*IF(Upgrades!$T$17="Peculiar Velocity",POWER(Upgrades!$U$17,I187),1)*IF(Upgrades!$T$18="Peculiar Velocity",POWER(Upgrades!$U$18,J187),1)*IF(Upgrades!$T$20="Peculiar Velocity",POWER(Upgrades!$U$20,L187),1)*IF(Upgrades!$T$21="Peculiar Velocity",POWER(Upgrades!$U$21,M187),1))+(IF(L187=0,0,(Upgrades!$J$20+L187*Upgrades!$K$20)*POWER(Upgrades!$L$20,L187)))*(IF(Upgrades!$T$13="Open Cluster",POWER(Upgrades!$U$13,E187),1)*IF(Upgrades!$T$14="Open Cluster",POWER(Upgrades!$U$14,F187),1)*IF(Upgrades!$T$15="Open Cluster",POWER(Upgrades!$U$15,G187),1)*IF(Upgrades!$T$16="Open Cluster",POWER(Upgrades!$U$16,H187),1)*IF(Upgrades!$T$17="Open Cluster",POWER(Upgrades!$U$17,I187),1)*IF(Upgrades!$T$18="Open Cluster",POWER(Upgrades!$U$18,J187),1)*IF(Upgrades!$T$19="Open Cluster",POWER(Upgrades!$U$19,K187),1)*IF(Upgrades!$T$21="Open Cluster",POWER(Upgrades!$U$21,M187),1))+(IF(M187=0,0,(Upgrades!$J$21+M187*Upgrades!$K$21)*POWER(Upgrades!$L$21,M187)))*(IF(Upgrades!$T$13="Moving Group",POWER(Upgrades!$U$13,E187),1)*IF(Upgrades!$T$14="Moving Group",POWER(Upgrades!$U$14,F187),1)*IF(Upgrades!$T$15="Moving Group",POWER(Upgrades!$U$15,G187),1)*IF(Upgrades!$T$16="Moving Group",POWER(Upgrades!$U$16,H187),1)*IF(Upgrades!$T$17="Moving Group",POWER(Upgrades!$U$17,I187),1)*IF(Upgrades!$T$18="Moving Group",POWER(Upgrades!$U$18,J187),1)*IF(Upgrades!$T$19="Moving Group",POWER(Upgrades!$U$19,K187),1)*IF(Upgrades!$T$20="Moving Group",POWER(Upgrades!$U$20,L187),1)))*POWER(Upgrades!$Q$13,E187)*POWER(Upgrades!$Q$14,F187)*POWER(Upgrades!$Q$15,G187)*POWER(Upgrades!$Q$16,H187)*POWER(Upgrades!$Q$17,I187)*POWER(Upgrades!$Q$18,J187)*POWER(Upgrades!$Q$19,K187)*POWER(Upgrades!$Q$20,L187)*POWER(Upgrades!$Q$21,M187)*$G$6+$D$6</f>
        <v/>
      </c>
      <c r="P187" s="28">
        <f>((IF(E187=0,0,(Upgrades!$G$13+E187*Upgrades!$H$13)*POWER(Upgrades!$I$13,E187)))*(IF(Upgrades!$T$14="Stellar Kinematics",POWER(Upgrades!$U$14,F187),1)*IF(Upgrades!$T$15="Stellar Kinematics",POWER(Upgrades!$U$15,G187),1)*IF(Upgrades!$T$16="Stellar Kinematics",POWER(Upgrades!$U$16,H187),1)*IF(Upgrades!$T$17="Stellar Kinematics",POWER(Upgrades!$U$17,I187),1)*IF(Upgrades!$T$18="Stellar Kinematics",POWER(Upgrades!$U$18,J187),1)*IF(Upgrades!$T$19="Stellar Kinematics",POWER(Upgrades!$U$19,K187),1)*IF(Upgrades!$T$20="Stellar Kinematics",POWER(Upgrades!$U$20,L187),1)*IF(Upgrades!$T$21="Stellar Kinematics",POWER(Upgrades!$U$21,M187),1))+(IF(F187=0,0,(Upgrades!$G$14+F187*Upgrades!$H$14)*POWER(Upgrades!$I$14,F187)))*(IF(Upgrades!$T$13="Local Bubble",POWER(Upgrades!$U$13,E187),1)*IF(Upgrades!$T$15="Local Bubble",POWER(Upgrades!$U$15,G187),1)*IF(Upgrades!$T$16="Local Bubble",POWER(Upgrades!$U$16,H187),1)*IF(Upgrades!$T$17="Local Bubble",POWER(Upgrades!$U$17,I187),1)*IF(Upgrades!$T$18="Local Bubble",POWER(Upgrades!$U$18,J187),1)*IF(Upgrades!$T$19="Local Bubble",POWER(Upgrades!$U$19,K187),1)*IF(Upgrades!$T$20="Local Bubble",POWER(Upgrades!$U$20,L187),1)*IF(Upgrades!$T$21="Local Bubble",POWER(Upgrades!$U$21,M187),1))+(IF(G187=0,0,(Upgrades!$G$15+G187*Upgrades!$H$15)*POWER(Upgrades!$I$15,G187)))*(IF(Upgrades!$T$13="Microlensing",POWER(Upgrades!$U$13,E187),1)*IF(Upgrades!$T$14="Microlensing",POWER(Upgrades!$U$14,F187),1)*IF(Upgrades!$T$16="Microlensing",POWER(Upgrades!$U$16,H187),1)*IF(Upgrades!$T$17="Microlensing",POWER(Upgrades!$U$17,I187),1)*IF(Upgrades!$T$18="Microlensing",POWER(Upgrades!$U$18,J187),1)*IF(Upgrades!$T$19="Microlensing",POWER(Upgrades!$U$19,K187),1)*IF(Upgrades!$T$20="Microlensing",POWER(Upgrades!$U$20,L187),1)*IF(Upgrades!$T$21="Microlensing",POWER(Upgrades!$U$21,M187),1))+(IF(H187=0,0,(Upgrades!$G$16+H187*Upgrades!$H$16)*POWER(Upgrades!$I$16,H187)))*(IF(Upgrades!$T$13="Roche Lobe Overflow",POWER(Upgrades!$U$13,E187),1)*IF(Upgrades!$T$14="Roche Lobe Overflow",POWER(Upgrades!$U$14,F187),1)*IF(Upgrades!$T$15="Roche Lobe Overflow",POWER(Upgrades!$U$15,G187),1)*IF(Upgrades!$T$17="Roche Lobe Overflow",POWER(Upgrades!$U$17,I187),1)*IF(Upgrades!$T$18="Roche Lobe Overflow",POWER(Upgrades!$U$18,J187),1)*IF(Upgrades!$T$19="Roche Lobe Overflow",POWER(Upgrades!$U$19,K187),1)*IF(Upgrades!$T$20="Roche Lobe Overflow",POWER(Upgrades!$U$20,L187),1)*IF(Upgrades!$T$21="Roche Lobe Overflow",POWER(Upgrades!$U$21,M187),1))+(IF(I187=0,0,(Upgrades!$G$17+I187*Upgrades!$H$17)*POWER(Upgrades!$I$17,I187)))*(IF(Upgrades!$T$13="Brown Dwarf",POWER(Upgrades!$U$13,E187),1)*IF(Upgrades!$T$14="Brown Dwarf",POWER(Upgrades!$U$14,F187),1)*IF(Upgrades!$T$15="Brown Dwarf",POWER(Upgrades!$U$15,G187),1)*IF(Upgrades!$T$16="Brown Dwarf",POWER(Upgrades!$U$16,H187),1)*IF(Upgrades!$T$18="Brown Dwarf",POWER(Upgrades!$U$18,J187),1)*IF(Upgrades!$T$19="Brown Dwarf",POWER(Upgrades!$U$19,K187),1)*IF(Upgrades!$T$20="Brown Dwarf",POWER(Upgrades!$U$20,L187),1)*IF(Upgrades!$T$21="Brown Dwarf",POWER(Upgrades!$U$21,M187),1))+(IF(J187=0,0,(Upgrades!$G$18+J187*Upgrades!$H$18)*POWER(Upgrades!$I$18,J187)))*(IF(Upgrades!$T$13="Binary Partner",POWER(Upgrades!$U$13,E187),1)*IF(Upgrades!$T$14="Binary Partner",POWER(Upgrades!$U$14,F187),1)*IF(Upgrades!$T$15="Binary Partner",POWER(Upgrades!$U$15,G187),1)*IF(Upgrades!$T$16="Binary Partner",POWER(Upgrades!$U$16,H187),1)*IF(Upgrades!$T$17="Binary Partner",POWER(Upgrades!$U$17,I187),1)*IF(Upgrades!$T$19="Binary Partner",POWER(Upgrades!$U$19,K187),1)*IF(Upgrades!$T$20="Binary Partner",POWER(Upgrades!$U$20,L187),1)*IF(Upgrades!$T$21="Binary Partner",POWER(Upgrades!$U$21,M187),1))+(IF(K187=0,0,(Upgrades!$G$19+K187*Upgrades!$H$19)*POWER(Upgrades!$I$19,K187)))*(IF(Upgrades!$T$13="Peculiar Velocity",POWER(Upgrades!$U$13,E187),1)*IF(Upgrades!$T$14="Peculiar Velocity",POWER(Upgrades!$U$14,F187),1)*IF(Upgrades!$T$15="Peculiar Velocity",POWER(Upgrades!$U$15,G187),1)*IF(Upgrades!$T$16="Peculiar Velocity",POWER(Upgrades!$U$16,H187),1)*IF(Upgrades!$T$17="Peculiar Velocity",POWER(Upgrades!$U$17,I187),1)*IF(Upgrades!$T$18="Peculiar Velocity",POWER(Upgrades!$U$18,J187),1)*IF(Upgrades!$T$20="Peculiar Velocity",POWER(Upgrades!$U$20,L187),1)*IF(Upgrades!$T$21="Peculiar Velocity",POWER(Upgrades!$U$21,M187),1))+(IF(L187=0,0,(Upgrades!$G$20+L187*Upgrades!$H$20)*POWER(Upgrades!$I$20,L187)))*(IF(Upgrades!$T$13="Open Cluster",POWER(Upgrades!$U$13,E187),1)*IF(Upgrades!$T$14="Open Cluster",POWER(Upgrades!$U$14,F187),1)*IF(Upgrades!$T$15="Open Cluster",POWER(Upgrades!$U$15,G187),1)*IF(Upgrades!$T$16="Open Cluster",POWER(Upgrades!$U$16,H187),1)*IF(Upgrades!$T$17="Open Cluster",POWER(Upgrades!$U$17,I187),1)*IF(Upgrades!$T$18="Open Cluster",POWER(Upgrades!$U$18,J187),1)*IF(Upgrades!$T$19="Open Cluster",POWER(Upgrades!$U$19,K187),1)*IF(Upgrades!$T$21="Open Cluster",POWER(Upgrades!$U$21,M187),1))+(IF(M187=0,0,(Upgrades!$G$21+M187*Upgrades!$H$21)*POWER(Upgrades!$I$21,M187)))*(IF(Upgrades!$T$13="Moving Group",POWER(Upgrades!$U$13,E187),1)*IF(Upgrades!$T$14="Moving Group",POWER(Upgrades!$U$14,F187),1)*IF(Upgrades!$T$15="Moving Group",POWER(Upgrades!$U$15,G187),1)*IF(Upgrades!$T$16="Moving Group",POWER(Upgrades!$U$16,H187),1)*IF(Upgrades!$T$17="Moving Group",POWER(Upgrades!$U$17,I187),1)*IF(Upgrades!$T$18="Moving Group",POWER(Upgrades!$U$18,J187),1)*IF(Upgrades!$T$19="Moving Group",POWER(Upgrades!$U$19,K187),1)*IF(Upgrades!$T$20="Moving Group",POWER(Upgrades!$U$20,L187),1)))*POWER(Upgrades!$P$13,E187)*POWER(Upgrades!$P$14,F187)*POWER(Upgrades!$P$15,G187)*POWER(Upgrades!$P$16,H187)*POWER(Upgrades!$P$17,I187)*POWER(Upgrades!$P$18,J187)*POWER(Upgrades!$P$19,K187)*POWER(Upgrades!$P$20,L187)*POWER(Upgrades!$P$21,M187)*$F$6+$C$6</f>
        <v/>
      </c>
      <c r="Q187" s="28">
        <f>((IF(E187=0,0,(Upgrades!$M$13+E187*Upgrades!$N$13)*POWER(Upgrades!$O$13,E187)))*(IF(Upgrades!$T$14="Stellar Kinematics",POWER(Upgrades!$U$14,F187),1)*IF(Upgrades!$T$15="Stellar Kinematics",POWER(Upgrades!$U$15,G187),1)*IF(Upgrades!$T$16="Stellar Kinematics",POWER(Upgrades!$U$16,H187),1)*IF(Upgrades!$T$17="Stellar Kinematics",POWER(Upgrades!$U$17,I187),1)*IF(Upgrades!$T$18="Stellar Kinematics",POWER(Upgrades!$U$18,J187),1)*IF(Upgrades!$T$19="Stellar Kinematics",POWER(Upgrades!$U$19,K187),1)*IF(Upgrades!$T$20="Stellar Kinematics",POWER(Upgrades!$U$20,L187),1)*IF(Upgrades!$T$21="Stellar Kinematics",POWER(Upgrades!$U$21,M187),1))+(IF(F187=0,0,(Upgrades!$M$14+F187*Upgrades!$N$14)*POWER(Upgrades!$O$14,F187)))*(IF(Upgrades!$T$13="Local Bubble",POWER(Upgrades!$U$13,E187),1)*IF(Upgrades!$T$15="Local Bubble",POWER(Upgrades!$U$15,G187),1)*IF(Upgrades!$T$16="Local Bubble",POWER(Upgrades!$U$16,H187),1)*IF(Upgrades!$T$17="Local Bubble",POWER(Upgrades!$U$17,I187),1)*IF(Upgrades!$T$18="Local Bubble",POWER(Upgrades!$U$18,J187),1)*IF(Upgrades!$T$19="Local Bubble",POWER(Upgrades!$U$19,K187),1)*IF(Upgrades!$T$20="Local Bubble",POWER(Upgrades!$U$20,L187),1)*IF(Upgrades!$T$21="Local Bubble",POWER(Upgrades!$U$21,M187),1))+(IF(G187=0,0,(Upgrades!$M$15+G187*Upgrades!$N$15)*POWER(Upgrades!$O$15,G187)))*(IF(Upgrades!$T$13="Microlensing",POWER(Upgrades!$U$13,E187),1)*IF(Upgrades!$T$14="Microlensing",POWER(Upgrades!$U$14,F187),1)*IF(Upgrades!$T$16="Microlensing",POWER(Upgrades!$U$16,H187),1)*IF(Upgrades!$T$17="Microlensing",POWER(Upgrades!$U$17,I187),1)*IF(Upgrades!$T$18="Microlensing",POWER(Upgrades!$U$18,J187),1)*IF(Upgrades!$T$19="Microlensing",POWER(Upgrades!$U$19,K187),1)*IF(Upgrades!$T$20="Microlensing",POWER(Upgrades!$U$20,L187),1)*IF(Upgrades!$T$21="Microlensing",POWER(Upgrades!$U$21,M187),1))+(IF(H187=0,0,(Upgrades!$M$16+H187*Upgrades!$N$16)*POWER(Upgrades!$O$16,H187)))*(IF(Upgrades!$T$13="Roche Lobe Overflow",POWER(Upgrades!$U$13,E187),1)*IF(Upgrades!$T$14="Roche Lobe Overflow",POWER(Upgrades!$U$14,F187),1)*IF(Upgrades!$T$15="Roche Lobe Overflow",POWER(Upgrades!$U$15,G187),1)*IF(Upgrades!$T$17="Roche Lobe Overflow",POWER(Upgrades!$U$17,I187),1)*IF(Upgrades!$T$18="Roche Lobe Overflow",POWER(Upgrades!$U$18,J187),1)*IF(Upgrades!$T$19="Roche Lobe Overflow",POWER(Upgrades!$U$19,K187),1)*IF(Upgrades!$T$20="Roche Lobe Overflow",POWER(Upgrades!$U$20,L187),1)*IF(Upgrades!$T$21="Roche Lobe Overflow",POWER(Upgrades!$U$21,M187),1))+(IF(I187=0,0,(Upgrades!$M$17+I187*Upgrades!$N$17)*POWER(Upgrades!$O$17,I187)))*(IF(Upgrades!$T$13="Brown Dwarf",POWER(Upgrades!$U$13,E187),1)*IF(Upgrades!$T$14="Brown Dwarf",POWER(Upgrades!$U$14,F187),1)*IF(Upgrades!$T$15="Brown Dwarf",POWER(Upgrades!$U$15,G187),1)*IF(Upgrades!$T$16="Brown Dwarf",POWER(Upgrades!$U$16,H187),1)*IF(Upgrades!$T$18="Brown Dwarf",POWER(Upgrades!$U$18,J187),1)*IF(Upgrades!$T$19="Brown Dwarf",POWER(Upgrades!$U$19,K187),1)*IF(Upgrades!$T$20="Brown Dwarf",POWER(Upgrades!$U$20,L187),1)*IF(Upgrades!$T$21="Brown Dwarf",POWER(Upgrades!$U$21,M187),1))+(IF(J187=0,0,(Upgrades!$M$18+J187*Upgrades!$N$18)*POWER(Upgrades!$O$18,J187)))*(IF(Upgrades!$T$13="Binary Partner",POWER(Upgrades!$U$13,E187),1)*IF(Upgrades!$T$14="Binary Partner",POWER(Upgrades!$U$14,F187),1)*IF(Upgrades!$T$15="Binary Partner",POWER(Upgrades!$U$15,G187),1)*IF(Upgrades!$T$16="Binary Partner",POWER(Upgrades!$U$16,H187),1)*IF(Upgrades!$T$17="Binary Partner",POWER(Upgrades!$U$17,I187),1)*IF(Upgrades!$T$19="Binary Partner",POWER(Upgrades!$U$19,K187),1)*IF(Upgrades!$T$20="Binary Partner",POWER(Upgrades!$U$20,L187),1)*IF(Upgrades!$T$21="Binary Partner",POWER(Upgrades!$U$21,M187),1))+(IF(K187=0,0,(Upgrades!$M$19+K187*Upgrades!$N$19)*POWER(Upgrades!$O$19,K187)))*(IF(Upgrades!$T$13="Peculiar Velocity",POWER(Upgrades!$U$13,E187),1)*IF(Upgrades!$T$14="Peculiar Velocity",POWER(Upgrades!$U$14,F187),1)*IF(Upgrades!$T$15="Peculiar Velocity",POWER(Upgrades!$U$15,G187),1)*IF(Upgrades!$T$16="Peculiar Velocity",POWER(Upgrades!$U$16,H187),1)*IF(Upgrades!$T$17="Peculiar Velocity",POWER(Upgrades!$U$17,I187),1)*IF(Upgrades!$T$18="Peculiar Velocity",POWER(Upgrades!$U$18,J187),1)*IF(Upgrades!$T$20="Peculiar Velocity",POWER(Upgrades!$U$20,L187),1)*IF(Upgrades!$T$21="Peculiar Velocity",POWER(Upgrades!$U$21,M187),1))+(IF(L187=0,0,(Upgrades!$M$20+L187*Upgrades!$N$20)*POWER(Upgrades!$O$20,L187)))*(IF(Upgrades!$T$13="Open Cluster",POWER(Upgrades!$U$13,E187),1)*IF(Upgrades!$T$14="Open Cluster",POWER(Upgrades!$U$14,F187),1)*IF(Upgrades!$T$15="Open Cluster",POWER(Upgrades!$U$15,G187),1)*IF(Upgrades!$T$16="Open Cluster",POWER(Upgrades!$U$16,H187),1)*IF(Upgrades!$T$17="Open Cluster",POWER(Upgrades!$U$17,I187),1)*IF(Upgrades!$T$18="Open Cluster",POWER(Upgrades!$U$18,J187),1)*IF(Upgrades!$T$19="Open Cluster",POWER(Upgrades!$U$19,K187),1)*IF(Upgrades!$T$21="Open Cluster",POWER(Upgrades!$U$21,M187),1))+(IF(M187=0,0,(Upgrades!$M$21+M187*Upgrades!$N$21)*POWER(Upgrades!$O$21,M187)))*(IF(Upgrades!$T$13="Moving Group",POWER(Upgrades!$U$13,E187),1)*IF(Upgrades!$T$14="Moving Group",POWER(Upgrades!$U$14,F187),1)*IF(Upgrades!$T$15="Moving Group",POWER(Upgrades!$U$15,G187),1)*IF(Upgrades!$T$16="Moving Group",POWER(Upgrades!$U$16,H187),1)*IF(Upgrades!$T$17="Moving Group",POWER(Upgrades!$U$17,I187),1)*IF(Upgrades!$T$18="Moving Group",POWER(Upgrades!$U$18,J187),1)*IF(Upgrades!$T$19="Moving Group",POWER(Upgrades!$U$19,K187),1)*IF(Upgrades!$T$20="Moving Group",POWER(Upgrades!$U$20,L187),1)))*POWER(Upgrades!$R$13,E187)*POWER(Upgrades!$R$14,F187)*POWER(Upgrades!$R$15,G187)*POWER(Upgrades!$R$16,H187)*POWER(Upgrades!$R$17,I187)*POWER(Upgrades!$R$18,J187)*POWER(Upgrades!$R$19,K187)*POWER(Upgrades!$R$20,L187)*POWER(Upgrades!$R$21,M187)*$H$6+$E$6</f>
        <v/>
      </c>
      <c r="R187" s="27">
        <f>IF(N187=1,0,O187*Parameters!$B$10/60*Parameters!$B$11*10)</f>
        <v/>
      </c>
      <c r="S187" s="27">
        <f>IF(N187=1,0,Q187*O187*10)</f>
        <v/>
      </c>
      <c r="T187" s="27">
        <f>IF(N187=1,0,R187+S187+P187*10)</f>
        <v/>
      </c>
      <c r="U187" s="33">
        <f>BE187</f>
        <v/>
      </c>
      <c r="V187" s="22">
        <f>IF(U187="",0,IF(U187="transition",0,IF(U187="SK",AK187,IF(U187="LB",AL187,IF(U187="ML",AM187,IF(U187="RLO",AN187,IF(U187="BD",AO187,IF(U187="BiP",AP187,IF(U187="PV",AQ187,IF(U187="OC",AR187,IF(U187="MG",AS187,0))))))))))</f>
        <v/>
      </c>
      <c r="W187" s="27">
        <f>IF(U187="BiP",Upgrades!$F$18,IF(U187="PV",Upgrades!$F$19,IF(U187="OC",Upgrades!$F$20,IF(U187="MG",Upgrades!$F$21,IF(U187="transition",-Parameters!$B$18*Parameters!$B$19,0)))))</f>
        <v/>
      </c>
      <c r="X187" s="22">
        <f>C187+T187-V187</f>
        <v/>
      </c>
      <c r="Y187" s="30">
        <f>O187*Parameters!$B$10/60*Parameters!$B$11+Q187*O187+P187</f>
        <v/>
      </c>
      <c r="Z187" s="34">
        <f>IF(U187="transition","→ Tier 3 (Galactic Arm)",IF(U187="MG","Moving Group — pocket drifts together",IF(U187="OC","Open Cluster acquired",IF(U187="PV","Peculiar Velocity — passive multiplier active",IF(U187="BiP","Binary Partner — pair bond formed",IF(AND(AU187=1,N187=0,AT187&lt;&gt;1),"Cohesion ready (waiting on completionists)","")))))) </f>
        <v/>
      </c>
      <c r="AA187" s="27">
        <f>(IF(E187=0,0,(Upgrades!$G$13+E187*Upgrades!$H$13)*POWER(Upgrades!$I$13,E187)))*(IF(Upgrades!$T$14="Stellar Kinematics",POWER(Upgrades!$U$14,F187),1)*IF(Upgrades!$T$15="Stellar Kinematics",POWER(Upgrades!$U$15,G187),1)*IF(Upgrades!$T$16="Stellar Kinematics",POWER(Upgrades!$U$16,H187),1)*IF(Upgrades!$T$17="Stellar Kinematics",POWER(Upgrades!$U$17,I187),1)*IF(Upgrades!$T$18="Stellar Kinematics",POWER(Upgrades!$U$18,J187),1)*IF(Upgrades!$T$19="Stellar Kinematics",POWER(Upgrades!$U$19,K187),1)*IF(Upgrades!$T$20="Stellar Kinematics",POWER(Upgrades!$U$20,L187),1)*IF(Upgrades!$T$21="Stellar Kinematics",POWER(Upgrades!$U$21,M187),1))*POWER(Upgrades!$P$13,E187)*POWER(Upgrades!$P$14,F187)*POWER(Upgrades!$P$15,G187)*POWER(Upgrades!$P$16,H187)*POWER(Upgrades!$P$17,I187)*POWER(Upgrades!$P$18,J187)*POWER(Upgrades!$P$19,K187)*POWER(Upgrades!$P$20,L187)*POWER(Upgrades!$P$21,M187)*$F$6*60</f>
        <v/>
      </c>
      <c r="AB187" s="27">
        <f>(IF(F187=0,0,(Upgrades!$G$14+F187*Upgrades!$H$14)*POWER(Upgrades!$I$14,F187)))*(IF(Upgrades!$T$13="Local Bubble",POWER(Upgrades!$U$13,E187),1)*IF(Upgrades!$T$15="Local Bubble",POWER(Upgrades!$U$15,G187),1)*IF(Upgrades!$T$16="Local Bubble",POWER(Upgrades!$U$16,H187),1)*IF(Upgrades!$T$17="Local Bubble",POWER(Upgrades!$U$17,I187),1)*IF(Upgrades!$T$18="Local Bubble",POWER(Upgrades!$U$18,J187),1)*IF(Upgrades!$T$19="Local Bubble",POWER(Upgrades!$U$19,K187),1)*IF(Upgrades!$T$20="Local Bubble",POWER(Upgrades!$U$20,L187),1)*IF(Upgrades!$T$21="Local Bubble",POWER(Upgrades!$U$21,M187),1))*POWER(Upgrades!$P$13,E187)*POWER(Upgrades!$P$14,F187)*POWER(Upgrades!$P$15,G187)*POWER(Upgrades!$P$16,H187)*POWER(Upgrades!$P$17,I187)*POWER(Upgrades!$P$18,J187)*POWER(Upgrades!$P$19,K187)*POWER(Upgrades!$P$20,L187)*POWER(Upgrades!$P$21,M187)*$F$6*60</f>
        <v/>
      </c>
      <c r="AC187" s="27">
        <f>(IF(G187=0,0,(Upgrades!$J$15+G187*Upgrades!$K$15)*POWER(Upgrades!$L$15,G187)))*(IF(Upgrades!$T$13="Microlensing",POWER(Upgrades!$U$13,E187),1)*IF(Upgrades!$T$14="Microlensing",POWER(Upgrades!$U$14,F187),1)*IF(Upgrades!$T$16="Microlensing",POWER(Upgrades!$U$16,H187),1)*IF(Upgrades!$T$17="Microlensing",POWER(Upgrades!$U$17,I187),1)*IF(Upgrades!$T$18="Microlensing",POWER(Upgrades!$U$18,J187),1)*IF(Upgrades!$T$19="Microlensing",POWER(Upgrades!$U$19,K187),1)*IF(Upgrades!$T$20="Microlensing",POWER(Upgrades!$U$20,L187),1)*IF(Upgrades!$T$21="Microlensing",POWER(Upgrades!$U$21,M187),1))*POWER(Upgrades!$Q$13,E187)*POWER(Upgrades!$Q$14,F187)*POWER(Upgrades!$Q$15,G187)*POWER(Upgrades!$Q$16,H187)*POWER(Upgrades!$Q$17,I187)*POWER(Upgrades!$Q$18,J187)*POWER(Upgrades!$Q$19,K187)*POWER(Upgrades!$Q$20,L187)*POWER(Upgrades!$Q$21,M187)*$G$6*(Parameters!$B$10*Parameters!$B$11+Q187*60)</f>
        <v/>
      </c>
      <c r="AD187" s="27">
        <f>(IF(H187=0,0,(Upgrades!$M$16+H187*Upgrades!$N$16)*POWER(Upgrades!$O$16,H187)))*(IF(Upgrades!$T$13="Roche Lobe Overflow",POWER(Upgrades!$U$13,E187),1)*IF(Upgrades!$T$14="Roche Lobe Overflow",POWER(Upgrades!$U$14,F187),1)*IF(Upgrades!$T$15="Roche Lobe Overflow",POWER(Upgrades!$U$15,G187),1)*IF(Upgrades!$T$17="Roche Lobe Overflow",POWER(Upgrades!$U$17,I187),1)*IF(Upgrades!$T$18="Roche Lobe Overflow",POWER(Upgrades!$U$18,J187),1)*IF(Upgrades!$T$19="Roche Lobe Overflow",POWER(Upgrades!$U$19,K187),1)*IF(Upgrades!$T$20="Roche Lobe Overflow",POWER(Upgrades!$U$20,L187),1)*IF(Upgrades!$T$21="Roche Lobe Overflow",POWER(Upgrades!$U$21,M187),1))*POWER(Upgrades!$R$13,E187)*POWER(Upgrades!$R$14,F187)*POWER(Upgrades!$R$15,G187)*POWER(Upgrades!$R$16,H187)*POWER(Upgrades!$R$17,I187)*POWER(Upgrades!$R$18,J187)*POWER(Upgrades!$R$19,K187)*POWER(Upgrades!$R$20,L187)*POWER(Upgrades!$R$21,M187)*$H$6*O187*60</f>
        <v/>
      </c>
      <c r="AE187" s="27">
        <f>(IF(I187=0,0,(Upgrades!$G$17+I187*Upgrades!$H$17)*POWER(Upgrades!$I$17,I187)))*(IF(Upgrades!$T$13="Brown Dwarf",POWER(Upgrades!$U$13,E187),1)*IF(Upgrades!$T$14="Brown Dwarf",POWER(Upgrades!$U$14,F187),1)*IF(Upgrades!$T$15="Brown Dwarf",POWER(Upgrades!$U$15,G187),1)*IF(Upgrades!$T$16="Brown Dwarf",POWER(Upgrades!$U$16,H187),1)*IF(Upgrades!$T$18="Brown Dwarf",POWER(Upgrades!$U$18,J187),1)*IF(Upgrades!$T$19="Brown Dwarf",POWER(Upgrades!$U$19,K187),1)*IF(Upgrades!$T$20="Brown Dwarf",POWER(Upgrades!$U$20,L187),1)*IF(Upgrades!$T$21="Brown Dwarf",POWER(Upgrades!$U$21,M187),1))*POWER(Upgrades!$P$13,E187)*POWER(Upgrades!$P$14,F187)*POWER(Upgrades!$P$15,G187)*POWER(Upgrades!$P$16,H187)*POWER(Upgrades!$P$17,I187)*POWER(Upgrades!$P$18,J187)*POWER(Upgrades!$P$19,K187)*POWER(Upgrades!$P$20,L187)*POWER(Upgrades!$P$21,M187)*$F$6*60</f>
        <v/>
      </c>
      <c r="AF187" s="27" t="n">
        <v>0</v>
      </c>
      <c r="AG187" s="27" t="n">
        <v>0</v>
      </c>
      <c r="AH187" s="27" t="n">
        <v>0</v>
      </c>
      <c r="AI187" s="27">
        <f>(IF(M187=0,0,(Upgrades!$G$21+M187*Upgrades!$H$21)*POWER(Upgrades!$I$21,M187)))*(IF(Upgrades!$T$13="Moving Group",POWER(Upgrades!$U$13,E187),1)*IF(Upgrades!$T$14="Moving Group",POWER(Upgrades!$U$14,F187),1)*IF(Upgrades!$T$15="Moving Group",POWER(Upgrades!$U$15,G187),1)*IF(Upgrades!$T$16="Moving Group",POWER(Upgrades!$U$16,H187),1)*IF(Upgrades!$T$17="Moving Group",POWER(Upgrades!$U$17,I187),1)*IF(Upgrades!$T$18="Moving Group",POWER(Upgrades!$U$18,J187),1)*IF(Upgrades!$T$19="Moving Group",POWER(Upgrades!$U$19,K187),1)*IF(Upgrades!$T$20="Moving Group",POWER(Upgrades!$U$20,L187),1))*POWER(Upgrades!$P$13,E187)*POWER(Upgrades!$P$14,F187)*POWER(Upgrades!$P$15,G187)*POWER(Upgrades!$P$16,H187)*POWER(Upgrades!$P$17,I187)*POWER(Upgrades!$P$18,J187)*POWER(Upgrades!$P$19,K187)*POWER(Upgrades!$P$20,L187)*POWER(Upgrades!$P$21,M187)*$F$6*60</f>
        <v/>
      </c>
      <c r="AJ187" s="27">
        <f>$C$6*60</f>
        <v/>
      </c>
      <c r="AK187" s="22">
        <f>IF(E187&gt;=Upgrades!$E$13,"",Upgrades!$C$13*POWER(Upgrades!$D$13,E187))</f>
        <v/>
      </c>
      <c r="AL187" s="22">
        <f>IF(F187&gt;=Upgrades!$E$14,"",Upgrades!$C$14*POWER(Upgrades!$D$14,F187))</f>
        <v/>
      </c>
      <c r="AM187" s="22">
        <f>IF(G187&gt;=Upgrades!$E$15,"",Upgrades!$C$15*POWER(Upgrades!$D$15,G187))</f>
        <v/>
      </c>
      <c r="AN187" s="22">
        <f>IF(H187&gt;=Upgrades!$E$16,"",Upgrades!$C$16*POWER(Upgrades!$D$16,H187))</f>
        <v/>
      </c>
      <c r="AO187" s="22">
        <f>IF(I187&gt;=Upgrades!$E$17,"",Upgrades!$C$17*POWER(Upgrades!$D$17,I187))</f>
        <v/>
      </c>
      <c r="AP187" s="22">
        <f>IF(J187&gt;=Upgrades!$E$18,"",Upgrades!$C$18*POWER(Upgrades!$D$18,J187))</f>
        <v/>
      </c>
      <c r="AQ187" s="22">
        <f>IF(K187&gt;=Upgrades!$E$19,"",Upgrades!$C$19*POWER(Upgrades!$D$19,K187))</f>
        <v/>
      </c>
      <c r="AR187" s="22">
        <f>IF(L187&gt;=Upgrades!$E$20,"",Upgrades!$C$20*POWER(Upgrades!$D$20,L187))</f>
        <v/>
      </c>
      <c r="AS187" s="22">
        <f>IF(M187&gt;=Upgrades!$E$21,"",Upgrades!$C$21*POWER(Upgrades!$D$21,M187))</f>
        <v/>
      </c>
      <c r="AT187" s="26">
        <f>IF(AND(D187&gt;=Parameters!$B$18*Parameters!$B$19,(I187&gt;=Upgrades!$E$17)*(M187&gt;=Upgrades!$E$21)=1,N187=0),1,"")</f>
        <v/>
      </c>
      <c r="AU187" s="26">
        <f>IF(AND(D187&gt;=Parameters!$B$18*Parameters!$B$19,N187=0),1,"")</f>
        <v/>
      </c>
      <c r="AV187" s="22">
        <f>MIN(IF(ISNUMBER(AP187),AP187,9E15),IF(ISNUMBER(AQ187),AQ187,9E15),IF(ISNUMBER(AR187),AR187,9E15),IF(ISNUMBER(AS187),AS187,9E15))</f>
        <v/>
      </c>
      <c r="AW187" s="22">
        <f>MIN(IF(ISNUMBER(AK187),AK187,9E15),IF(ISNUMBER(AL187),AL187,9E15),IF(ISNUMBER(AM187),AM187,9E15),IF(ISNUMBER(AN187),AN187,9E15),IF(ISNUMBER(AO187),AO187,9E15))</f>
        <v/>
      </c>
      <c r="AX187" s="29">
        <f>IF(BD187&gt;Parameters!$B$21*(MAX(IF(AND(NOT(AND(AU187=1,AT187&lt;&gt;1)),ISNUMBER(AK187),AK187&lt;=(C187+T187)),AY187,0),IF(AND(NOT(AND(AU187=1,AT187&lt;&gt;1)),ISNUMBER(AL187),AL187&lt;=(C187+T187)),AZ187,0),IF(AND(NOT(AND(AU187=1,AT187&lt;&gt;1)),ISNUMBER(AM187),AM187&lt;=(C187+T187)),BA187,0),IF(AND(NOT(AND(AU187=1,AT187&lt;&gt;1)),ISNUMBER(AN187),AN187&lt;=(C187+T187)),BB187,0),IF(AND(ISNUMBER(AO187),AO187&lt;=(C187+T187)),BC187,0))),TRUE,FALSE)</f>
        <v/>
      </c>
      <c r="AY187" s="32">
        <f>IFERROR(Upgrades!$H$13*(POWER(Upgrades!$P$13,E187)*POWER(Upgrades!$P$14,F187)*POWER(Upgrades!$P$15,G187)*POWER(Upgrades!$P$16,H187)*POWER(Upgrades!$P$17,I187)*POWER(Upgrades!$P$18,J187)*POWER(Upgrades!$P$19,K187)*POWER(Upgrades!$P$20,L187)*POWER(Upgrades!$P$21,M187))*(IF(Upgrades!$T$14="Stellar Kinematics",POWER(Upgrades!$U$14,F187),1)*IF(Upgrades!$T$15="Stellar Kinematics",POWER(Upgrades!$U$15,G187),1)*IF(Upgrades!$T$16="Stellar Kinematics",POWER(Upgrades!$U$16,H187),1)*IF(Upgrades!$T$17="Stellar Kinematics",POWER(Upgrades!$U$17,I187),1)*IF(Upgrades!$T$18="Stellar Kinematics",POWER(Upgrades!$U$18,J187),1)*IF(Upgrades!$T$19="Stellar Kinematics",POWER(Upgrades!$U$19,K187),1)*IF(Upgrades!$T$20="Stellar Kinematics",POWER(Upgrades!$U$20,L187),1)*IF(Upgrades!$T$21="Stellar Kinematics",POWER(Upgrades!$U$21,M187),1))*$F$6/AK187,0)</f>
        <v/>
      </c>
      <c r="AZ187" s="32">
        <f>IFERROR(Upgrades!$H$14*(POWER(Upgrades!$P$13,E187)*POWER(Upgrades!$P$14,F187)*POWER(Upgrades!$P$15,G187)*POWER(Upgrades!$P$16,H187)*POWER(Upgrades!$P$17,I187)*POWER(Upgrades!$P$18,J187)*POWER(Upgrades!$P$19,K187)*POWER(Upgrades!$P$20,L187)*POWER(Upgrades!$P$21,M187))*(IF(Upgrades!$T$13="Local Bubble",POWER(Upgrades!$U$13,E187),1)*IF(Upgrades!$T$15="Local Bubble",POWER(Upgrades!$U$15,G187),1)*IF(Upgrades!$T$16="Local Bubble",POWER(Upgrades!$U$16,H187),1)*IF(Upgrades!$T$17="Local Bubble",POWER(Upgrades!$U$17,I187),1)*IF(Upgrades!$T$18="Local Bubble",POWER(Upgrades!$U$18,J187),1)*IF(Upgrades!$T$19="Local Bubble",POWER(Upgrades!$U$19,K187),1)*IF(Upgrades!$T$20="Local Bubble",POWER(Upgrades!$U$20,L187),1)*IF(Upgrades!$T$21="Local Bubble",POWER(Upgrades!$U$21,M187),1))*$F$6/AL187,0)</f>
        <v/>
      </c>
      <c r="BA187" s="32">
        <f>IFERROR(Upgrades!$K$15*(POWER(Upgrades!$Q$13,E187)*POWER(Upgrades!$Q$14,F187)*POWER(Upgrades!$Q$15,G187)*POWER(Upgrades!$Q$16,H187)*POWER(Upgrades!$Q$17,I187)*POWER(Upgrades!$Q$18,J187)*POWER(Upgrades!$Q$19,K187)*POWER(Upgrades!$Q$20,L187)*POWER(Upgrades!$Q$21,M187))*(IF(Upgrades!$T$13="Microlensing",POWER(Upgrades!$U$13,E187),1)*IF(Upgrades!$T$14="Microlensing",POWER(Upgrades!$U$14,F187),1)*IF(Upgrades!$T$16="Microlensing",POWER(Upgrades!$U$16,H187),1)*IF(Upgrades!$T$17="Microlensing",POWER(Upgrades!$U$17,I187),1)*IF(Upgrades!$T$18="Microlensing",POWER(Upgrades!$U$18,J187),1)*IF(Upgrades!$T$19="Microlensing",POWER(Upgrades!$U$19,K187),1)*IF(Upgrades!$T$20="Microlensing",POWER(Upgrades!$U$20,L187),1)*IF(Upgrades!$T$21="Microlensing",POWER(Upgrades!$U$21,M187),1))*$G$6*(Parameters!$B$10/60*Parameters!$B$11+Q187)/AM187,0)</f>
        <v/>
      </c>
      <c r="BB187" s="32">
        <f>IFERROR((Upgrades!$N$16*(POWER(Upgrades!$R$13,E187)*POWER(Upgrades!$R$14,F187)*POWER(Upgrades!$R$15,G187)*POWER(Upgrades!$R$16,H187)*POWER(Upgrades!$R$17,I187)*POWER(Upgrades!$R$18,J187)*POWER(Upgrades!$R$19,K187)*POWER(Upgrades!$R$20,L187)*POWER(Upgrades!$R$21,M187))*(IF(Upgrades!$T$13="Roche Lobe Overflow",POWER(Upgrades!$U$13,E187),1)*IF(Upgrades!$T$14="Roche Lobe Overflow",POWER(Upgrades!$U$14,F187),1)*IF(Upgrades!$T$15="Roche Lobe Overflow",POWER(Upgrades!$U$15,G187),1)*IF(Upgrades!$T$17="Roche Lobe Overflow",POWER(Upgrades!$U$17,I187),1)*IF(Upgrades!$T$18="Roche Lobe Overflow",POWER(Upgrades!$U$18,J187),1)*IF(Upgrades!$T$19="Roche Lobe Overflow",POWER(Upgrades!$U$19,K187),1)*IF(Upgrades!$T$20="Roche Lobe Overflow",POWER(Upgrades!$U$20,L187),1)*IF(Upgrades!$T$21="Roche Lobe Overflow",POWER(Upgrades!$U$21,M187),1))*$H$6*O187+((IF(F187=0,0,(Upgrades!$G$14+F187*Upgrades!$H$14)*POWER(Upgrades!$I$14,F187)))*(IF(Upgrades!$T$13="Local Bubble",POWER(Upgrades!$U$13,E187),1)*IF(Upgrades!$T$15="Local Bubble",POWER(Upgrades!$U$15,G187),1)*IF(Upgrades!$T$16="Local Bubble",POWER(Upgrades!$U$16,H187),1)*IF(Upgrades!$T$17="Local Bubble",POWER(Upgrades!$U$17,I187),1)*IF(Upgrades!$T$18="Local Bubble",POWER(Upgrades!$U$18,J187),1)*IF(Upgrades!$T$19="Local Bubble",POWER(Upgrades!$U$19,K187),1)*IF(Upgrades!$T$20="Local Bubble",POWER(Upgrades!$U$20,L187),1)*IF(Upgrades!$T$21="Local Bubble",POWER(Upgrades!$U$21,M187),1))*POWER(Upgrades!$P$13,E187)*POWER(Upgrades!$P$14,F187)*POWER(Upgrades!$P$15,G187)*POWER(Upgrades!$P$16,H187)*POWER(Upgrades!$P$17,I187)*POWER(Upgrades!$P$18,J187)*POWER(Upgrades!$P$19,K187)*POWER(Upgrades!$P$20,L187)*POWER(Upgrades!$P$21,M187)*$F$6)*0.05)/AN187,0)</f>
        <v/>
      </c>
      <c r="BC187" s="32">
        <f>IFERROR((Upgrades!$H$17*(POWER(Upgrades!$P$13,E187)*POWER(Upgrades!$P$14,F187)*POWER(Upgrades!$P$15,G187)*POWER(Upgrades!$P$16,H187)*POWER(Upgrades!$P$17,I187)*POWER(Upgrades!$P$18,J187)*POWER(Upgrades!$P$19,K187)*POWER(Upgrades!$P$20,L187)*POWER(Upgrades!$P$21,M187))*(IF(Upgrades!$T$13="Brown Dwarf",POWER(Upgrades!$U$13,E187),1)*IF(Upgrades!$T$14="Brown Dwarf",POWER(Upgrades!$U$14,F187),1)*IF(Upgrades!$T$15="Brown Dwarf",POWER(Upgrades!$U$15,G187),1)*IF(Upgrades!$T$16="Brown Dwarf",POWER(Upgrades!$U$16,H187),1)*IF(Upgrades!$T$18="Brown Dwarf",POWER(Upgrades!$U$18,J187),1)*IF(Upgrades!$T$19="Brown Dwarf",POWER(Upgrades!$U$19,K187),1)*IF(Upgrades!$T$20="Brown Dwarf",POWER(Upgrades!$U$20,L187),1)*IF(Upgrades!$T$21="Brown Dwarf",POWER(Upgrades!$U$21,M187),1))*$F$6+(((IF(H187=0,0,(Upgrades!$M$16+H187*Upgrades!$N$16)*POWER(Upgrades!$O$16,H187)))*(IF(Upgrades!$T$13="Roche Lobe Overflow",POWER(Upgrades!$U$13,E187),1)*IF(Upgrades!$T$14="Roche Lobe Overflow",POWER(Upgrades!$U$14,F187),1)*IF(Upgrades!$T$15="Roche Lobe Overflow",POWER(Upgrades!$U$15,G187),1)*IF(Upgrades!$T$17="Roche Lobe Overflow",POWER(Upgrades!$U$17,I187),1)*IF(Upgrades!$T$18="Roche Lobe Overflow",POWER(Upgrades!$U$18,J187),1)*IF(Upgrades!$T$19="Roche Lobe Overflow",POWER(Upgrades!$U$19,K187),1)*IF(Upgrades!$T$20="Roche Lobe Overflow",POWER(Upgrades!$U$20,L187),1)*IF(Upgrades!$T$21="Roche Lobe Overflow",POWER(Upgrades!$U$21,M187),1))*POWER(Upgrades!$R$13,E187)*POWER(Upgrades!$R$14,F187)*POWER(Upgrades!$R$15,G187)*POWER(Upgrades!$R$16,H187)*POWER(Upgrades!$R$17,I187)*POWER(Upgrades!$R$18,J187)*POWER(Upgrades!$R$19,K187)*POWER(Upgrades!$R$20,L187)*POWER(Upgrades!$R$21,M187)*$H$6)*O187)*0.10)/AO187,0)</f>
        <v/>
      </c>
      <c r="BD187" s="32">
        <f>MAX(IF(J187&gt;0,0,IFERROR(0.5*((IF(G187=0,0,(Upgrades!$J$15+G187*Upgrades!$K$15)*POWER(Upgrades!$L$15,G187)))*(IF(Upgrades!$T$13="Microlensing",POWER(Upgrades!$U$13,E187),1)*IF(Upgrades!$T$14="Microlensing",POWER(Upgrades!$U$14,F187),1)*IF(Upgrades!$T$16="Microlensing",POWER(Upgrades!$U$16,H187),1)*IF(Upgrades!$T$17="Microlensing",POWER(Upgrades!$U$17,I187),1)*IF(Upgrades!$T$18="Microlensing",POWER(Upgrades!$U$18,J187),1)*IF(Upgrades!$T$19="Microlensing",POWER(Upgrades!$U$19,K187),1)*IF(Upgrades!$T$20="Microlensing",POWER(Upgrades!$U$20,L187),1)*IF(Upgrades!$T$21="Microlensing",POWER(Upgrades!$U$21,M187),1))*(POWER(Upgrades!$Q$13,E187)*POWER(Upgrades!$Q$14,F187)*POWER(Upgrades!$Q$15,G187)*POWER(Upgrades!$Q$16,H187)*POWER(Upgrades!$Q$17,I187)*POWER(Upgrades!$Q$18,J187)*POWER(Upgrades!$Q$19,K187)*POWER(Upgrades!$Q$20,L187)*POWER(Upgrades!$Q$21,M187))*$G$6*(Parameters!$B$10/60*Parameters!$B$11+Q187))/Upgrades!$C$18,0)),IF(K187&gt;0,0,IFERROR(0.30*P187/Upgrades!$C$19,0)),IF(L187&gt;0,0,IFERROR(0.0001/Upgrades!$C$20,0)),IF(M187&gt;0,0,IFERROR((6.0*(POWER(Upgrades!$P$13,E187)*POWER(Upgrades!$P$14,F187)*POWER(Upgrades!$P$15,G187)*POWER(Upgrades!$P$16,H187)*POWER(Upgrades!$P$17,I187)*POWER(Upgrades!$P$18,J187)*POWER(Upgrades!$P$19,K187)*POWER(Upgrades!$P$20,L187)*POWER(Upgrades!$P$21,M187))*$F$6+0.20*O187*(Parameters!$B$10/60*Parameters!$B$11+Q187))/Upgrades!$C$21,0)),IF(AND(ISNUMBER(AK187),AK187&gt;(C187+T187)),AY187,0),IF(AND(ISNUMBER(AL187),AL187&gt;(C187+T187)),AZ187,0),IF(AND(ISNUMBER(AM187),AM187&gt;(C187+T187)),BA187,0),IF(AND(ISNUMBER(AN187),AN187&gt;(C187+T187)),BB187,0),IF(AND(ISNUMBER(AO187),AO187&gt;(C187+T187)),BC187,0))</f>
        <v/>
      </c>
      <c r="BE187" s="29">
        <f>IF(AT187=1,"transition",IF(MIN(IF(AND(J187=0,ISNUMBER(AP187),AP187&lt;=(C187+T187)),AP187,9E15),IF(AND(K187=0,ISNUMBER(AQ187),AQ187&lt;=(C187+T187)),AQ187,9E15),IF(AND(L187=0,ISNUMBER(AR187),AR187&lt;=(C187+T187)),AR187,9E15),IF(AND(M187=0,ISNUMBER(AS187),AS187&lt;=(C187+T187)),AS187,9E15))&lt;9E15,IF(AND(AND(J187=0,ISNUMBER(AP187),AP187&lt;=(C187+T187)),AP187=MIN(IF(AND(J187=0,ISNUMBER(AP187),AP187&lt;=(C187+T187)),AP187,9E15),IF(AND(K187=0,ISNUMBER(AQ187),AQ187&lt;=(C187+T187)),AQ187,9E15),IF(AND(L187=0,ISNUMBER(AR187),AR187&lt;=(C187+T187)),AR187,9E15),IF(AND(M187=0,ISNUMBER(AS187),AS187&lt;=(C187+T187)),AS187,9E15))),"BiP",IF(AND(AND(K187=0,ISNUMBER(AQ187),AQ187&lt;=(C187+T187)),AQ187=MIN(IF(AND(J187=0,ISNUMBER(AP187),AP187&lt;=(C187+T187)),AP187,9E15),IF(AND(K187=0,ISNUMBER(AQ187),AQ187&lt;=(C187+T187)),AQ187,9E15),IF(AND(L187=0,ISNUMBER(AR187),AR187&lt;=(C187+T187)),AR187,9E15),IF(AND(M187=0,ISNUMBER(AS187),AS187&lt;=(C187+T187)),AS187,9E15))),"PV",IF(AND(AND(L187=0,ISNUMBER(AR187),AR187&lt;=(C187+T187)),AR187=MIN(IF(AND(J187=0,ISNUMBER(AP187),AP187&lt;=(C187+T187)),AP187,9E15),IF(AND(K187=0,ISNUMBER(AQ187),AQ187&lt;=(C187+T187)),AQ187,9E15),IF(AND(L187=0,ISNUMBER(AR187),AR187&lt;=(C187+T187)),AR187,9E15),IF(AND(M187=0,ISNUMBER(AS187),AS187&lt;=(C187+T187)),AS187,9E15))),"OC","MG"))),IF(AX187=TRUE,"",IF(MAX(IF(AND(NOT(AND(AU187=1,AT187&lt;&gt;1)),ISNUMBER(AK187),AK187&lt;=(C187+T187)),AY187,0),IF(AND(NOT(AND(AU187=1,AT187&lt;&gt;1)),ISNUMBER(AL187),AL187&lt;=(C187+T187)),AZ187,0),IF(AND(NOT(AND(AU187=1,AT187&lt;&gt;1)),ISNUMBER(AM187),AM187&lt;=(C187+T187)),BA187,0),IF(AND(NOT(AND(AU187=1,AT187&lt;&gt;1)),ISNUMBER(AN187),AN187&lt;=(C187+T187)),BB187,0),IF(AND(ISNUMBER(AO187),AO187&lt;=(C187+T187)),BC187,0))&lt;=0,"",IF(AND(IF(AND(NOT(AND(AU187=1,AT187&lt;&gt;1)),ISNUMBER(AK187),AK187&lt;=(C187+T187)),AY187,0)&gt;0,IF(AND(NOT(AND(AU187=1,AT187&lt;&gt;1)),ISNUMBER(AK187),AK187&lt;=(C187+T187)),AY187,0)=MAX(IF(AND(NOT(AND(AU187=1,AT187&lt;&gt;1)),ISNUMBER(AK187),AK187&lt;=(C187+T187)),AY187,0),IF(AND(NOT(AND(AU187=1,AT187&lt;&gt;1)),ISNUMBER(AL187),AL187&lt;=(C187+T187)),AZ187,0),IF(AND(NOT(AND(AU187=1,AT187&lt;&gt;1)),ISNUMBER(AM187),AM187&lt;=(C187+T187)),BA187,0),IF(AND(NOT(AND(AU187=1,AT187&lt;&gt;1)),ISNUMBER(AN187),AN187&lt;=(C187+T187)),BB187,0),IF(AND(ISNUMBER(AO187),AO187&lt;=(C187+T187)),BC187,0))),"SK",IF(AND(IF(AND(NOT(AND(AU187=1,AT187&lt;&gt;1)),ISNUMBER(AL187),AL187&lt;=(C187+T187)),AZ187,0)&gt;0,IF(AND(NOT(AND(AU187=1,AT187&lt;&gt;1)),ISNUMBER(AL187),AL187&lt;=(C187+T187)),AZ187,0)=MAX(IF(AND(NOT(AND(AU187=1,AT187&lt;&gt;1)),ISNUMBER(AK187),AK187&lt;=(C187+T187)),AY187,0),IF(AND(NOT(AND(AU187=1,AT187&lt;&gt;1)),ISNUMBER(AL187),AL187&lt;=(C187+T187)),AZ187,0),IF(AND(NOT(AND(AU187=1,AT187&lt;&gt;1)),ISNUMBER(AM187),AM187&lt;=(C187+T187)),BA187,0),IF(AND(NOT(AND(AU187=1,AT187&lt;&gt;1)),ISNUMBER(AN187),AN187&lt;=(C187+T187)),BB187,0),IF(AND(ISNUMBER(AO187),AO187&lt;=(C187+T187)),BC187,0))),"LB",IF(AND(IF(AND(NOT(AND(AU187=1,AT187&lt;&gt;1)),ISNUMBER(AM187),AM187&lt;=(C187+T187)),BA187,0)&gt;0,IF(AND(NOT(AND(AU187=1,AT187&lt;&gt;1)),ISNUMBER(AM187),AM187&lt;=(C187+T187)),BA187,0)=MAX(IF(AND(NOT(AND(AU187=1,AT187&lt;&gt;1)),ISNUMBER(AK187),AK187&lt;=(C187+T187)),AY187,0),IF(AND(NOT(AND(AU187=1,AT187&lt;&gt;1)),ISNUMBER(AL187),AL187&lt;=(C187+T187)),AZ187,0),IF(AND(NOT(AND(AU187=1,AT187&lt;&gt;1)),ISNUMBER(AM187),AM187&lt;=(C187+T187)),BA187,0),IF(AND(NOT(AND(AU187=1,AT187&lt;&gt;1)),ISNUMBER(AN187),AN187&lt;=(C187+T187)),BB187,0),IF(AND(ISNUMBER(AO187),AO187&lt;=(C187+T187)),BC187,0))),"ML",IF(AND(IF(AND(NOT(AND(AU187=1,AT187&lt;&gt;1)),ISNUMBER(AN187),AN187&lt;=(C187+T187)),BB187,0)&gt;0,IF(AND(NOT(AND(AU187=1,AT187&lt;&gt;1)),ISNUMBER(AN187),AN187&lt;=(C187+T187)),BB187,0)=MAX(IF(AND(NOT(AND(AU187=1,AT187&lt;&gt;1)),ISNUMBER(AK187),AK187&lt;=(C187+T187)),AY187,0),IF(AND(NOT(AND(AU187=1,AT187&lt;&gt;1)),ISNUMBER(AL187),AL187&lt;=(C187+T187)),AZ187,0),IF(AND(NOT(AND(AU187=1,AT187&lt;&gt;1)),ISNUMBER(AM187),AM187&lt;=(C187+T187)),BA187,0),IF(AND(NOT(AND(AU187=1,AT187&lt;&gt;1)),ISNUMBER(AN187),AN187&lt;=(C187+T187)),BB187,0),IF(AND(ISNUMBER(AO187),AO187&lt;=(C187+T187)),BC187,0))),"RLO","BD"))))))))</f>
        <v/>
      </c>
    </row>
    <row r="188">
      <c r="A188" s="26" t="n">
        <v>177</v>
      </c>
      <c r="B188" s="27">
        <f>A188*10/60</f>
        <v/>
      </c>
      <c r="C188" s="22">
        <f>X187</f>
        <v/>
      </c>
      <c r="D188" s="27">
        <f>D187+W187</f>
        <v/>
      </c>
      <c r="E188" s="26">
        <f>E187+IF(U187="SK",1,0)</f>
        <v/>
      </c>
      <c r="F188" s="26">
        <f>F187+IF(U187="LB",1,0)</f>
        <v/>
      </c>
      <c r="G188" s="26">
        <f>G187+IF(U187="ML",1,0)</f>
        <v/>
      </c>
      <c r="H188" s="26">
        <f>H187+IF(U187="RLO",1,0)</f>
        <v/>
      </c>
      <c r="I188" s="26">
        <f>I187+IF(U187="BD",1,0)</f>
        <v/>
      </c>
      <c r="J188" s="26">
        <f>MAX(J187,IF(U187="BiP",1,0))</f>
        <v/>
      </c>
      <c r="K188" s="26">
        <f>MAX(K187,IF(U187="PV",1,0))</f>
        <v/>
      </c>
      <c r="L188" s="26">
        <f>MAX(L187,IF(U187="OC",1,0))</f>
        <v/>
      </c>
      <c r="M188" s="26">
        <f>MAX(M187,IF(U187="MG",1,0))</f>
        <v/>
      </c>
      <c r="N188" s="26">
        <f>MAX(N187,IF(U187="transition",1,0))</f>
        <v/>
      </c>
      <c r="O188" s="28">
        <f>(Parameters!$B$9+(IF(E188=0,0,(Upgrades!$J$13+E188*Upgrades!$K$13)*POWER(Upgrades!$L$13,E188)))*(IF(Upgrades!$T$14="Stellar Kinematics",POWER(Upgrades!$U$14,F188),1)*IF(Upgrades!$T$15="Stellar Kinematics",POWER(Upgrades!$U$15,G188),1)*IF(Upgrades!$T$16="Stellar Kinematics",POWER(Upgrades!$U$16,H188),1)*IF(Upgrades!$T$17="Stellar Kinematics",POWER(Upgrades!$U$17,I188),1)*IF(Upgrades!$T$18="Stellar Kinematics",POWER(Upgrades!$U$18,J188),1)*IF(Upgrades!$T$19="Stellar Kinematics",POWER(Upgrades!$U$19,K188),1)*IF(Upgrades!$T$20="Stellar Kinematics",POWER(Upgrades!$U$20,L188),1)*IF(Upgrades!$T$21="Stellar Kinematics",POWER(Upgrades!$U$21,M188),1))+(IF(F188=0,0,(Upgrades!$J$14+F188*Upgrades!$K$14)*POWER(Upgrades!$L$14,F188)))*(IF(Upgrades!$T$13="Local Bubble",POWER(Upgrades!$U$13,E188),1)*IF(Upgrades!$T$15="Local Bubble",POWER(Upgrades!$U$15,G188),1)*IF(Upgrades!$T$16="Local Bubble",POWER(Upgrades!$U$16,H188),1)*IF(Upgrades!$T$17="Local Bubble",POWER(Upgrades!$U$17,I188),1)*IF(Upgrades!$T$18="Local Bubble",POWER(Upgrades!$U$18,J188),1)*IF(Upgrades!$T$19="Local Bubble",POWER(Upgrades!$U$19,K188),1)*IF(Upgrades!$T$20="Local Bubble",POWER(Upgrades!$U$20,L188),1)*IF(Upgrades!$T$21="Local Bubble",POWER(Upgrades!$U$21,M188),1))+(IF(G188=0,0,(Upgrades!$J$15+G188*Upgrades!$K$15)*POWER(Upgrades!$L$15,G188)))*(IF(Upgrades!$T$13="Microlensing",POWER(Upgrades!$U$13,E188),1)*IF(Upgrades!$T$14="Microlensing",POWER(Upgrades!$U$14,F188),1)*IF(Upgrades!$T$16="Microlensing",POWER(Upgrades!$U$16,H188),1)*IF(Upgrades!$T$17="Microlensing",POWER(Upgrades!$U$17,I188),1)*IF(Upgrades!$T$18="Microlensing",POWER(Upgrades!$U$18,J188),1)*IF(Upgrades!$T$19="Microlensing",POWER(Upgrades!$U$19,K188),1)*IF(Upgrades!$T$20="Microlensing",POWER(Upgrades!$U$20,L188),1)*IF(Upgrades!$T$21="Microlensing",POWER(Upgrades!$U$21,M188),1))+(IF(H188=0,0,(Upgrades!$J$16+H188*Upgrades!$K$16)*POWER(Upgrades!$L$16,H188)))*(IF(Upgrades!$T$13="Roche Lobe Overflow",POWER(Upgrades!$U$13,E188),1)*IF(Upgrades!$T$14="Roche Lobe Overflow",POWER(Upgrades!$U$14,F188),1)*IF(Upgrades!$T$15="Roche Lobe Overflow",POWER(Upgrades!$U$15,G188),1)*IF(Upgrades!$T$17="Roche Lobe Overflow",POWER(Upgrades!$U$17,I188),1)*IF(Upgrades!$T$18="Roche Lobe Overflow",POWER(Upgrades!$U$18,J188),1)*IF(Upgrades!$T$19="Roche Lobe Overflow",POWER(Upgrades!$U$19,K188),1)*IF(Upgrades!$T$20="Roche Lobe Overflow",POWER(Upgrades!$U$20,L188),1)*IF(Upgrades!$T$21="Roche Lobe Overflow",POWER(Upgrades!$U$21,M188),1))+(IF(I188=0,0,(Upgrades!$J$17+I188*Upgrades!$K$17)*POWER(Upgrades!$L$17,I188)))*(IF(Upgrades!$T$13="Brown Dwarf",POWER(Upgrades!$U$13,E188),1)*IF(Upgrades!$T$14="Brown Dwarf",POWER(Upgrades!$U$14,F188),1)*IF(Upgrades!$T$15="Brown Dwarf",POWER(Upgrades!$U$15,G188),1)*IF(Upgrades!$T$16="Brown Dwarf",POWER(Upgrades!$U$16,H188),1)*IF(Upgrades!$T$18="Brown Dwarf",POWER(Upgrades!$U$18,J188),1)*IF(Upgrades!$T$19="Brown Dwarf",POWER(Upgrades!$U$19,K188),1)*IF(Upgrades!$T$20="Brown Dwarf",POWER(Upgrades!$U$20,L188),1)*IF(Upgrades!$T$21="Brown Dwarf",POWER(Upgrades!$U$21,M188),1))+(IF(J188=0,0,(Upgrades!$J$18+J188*Upgrades!$K$18)*POWER(Upgrades!$L$18,J188)))*(IF(Upgrades!$T$13="Binary Partner",POWER(Upgrades!$U$13,E188),1)*IF(Upgrades!$T$14="Binary Partner",POWER(Upgrades!$U$14,F188),1)*IF(Upgrades!$T$15="Binary Partner",POWER(Upgrades!$U$15,G188),1)*IF(Upgrades!$T$16="Binary Partner",POWER(Upgrades!$U$16,H188),1)*IF(Upgrades!$T$17="Binary Partner",POWER(Upgrades!$U$17,I188),1)*IF(Upgrades!$T$19="Binary Partner",POWER(Upgrades!$U$19,K188),1)*IF(Upgrades!$T$20="Binary Partner",POWER(Upgrades!$U$20,L188),1)*IF(Upgrades!$T$21="Binary Partner",POWER(Upgrades!$U$21,M188),1))+(IF(K188=0,0,(Upgrades!$J$19+K188*Upgrades!$K$19)*POWER(Upgrades!$L$19,K188)))*(IF(Upgrades!$T$13="Peculiar Velocity",POWER(Upgrades!$U$13,E188),1)*IF(Upgrades!$T$14="Peculiar Velocity",POWER(Upgrades!$U$14,F188),1)*IF(Upgrades!$T$15="Peculiar Velocity",POWER(Upgrades!$U$15,G188),1)*IF(Upgrades!$T$16="Peculiar Velocity",POWER(Upgrades!$U$16,H188),1)*IF(Upgrades!$T$17="Peculiar Velocity",POWER(Upgrades!$U$17,I188),1)*IF(Upgrades!$T$18="Peculiar Velocity",POWER(Upgrades!$U$18,J188),1)*IF(Upgrades!$T$20="Peculiar Velocity",POWER(Upgrades!$U$20,L188),1)*IF(Upgrades!$T$21="Peculiar Velocity",POWER(Upgrades!$U$21,M188),1))+(IF(L188=0,0,(Upgrades!$J$20+L188*Upgrades!$K$20)*POWER(Upgrades!$L$20,L188)))*(IF(Upgrades!$T$13="Open Cluster",POWER(Upgrades!$U$13,E188),1)*IF(Upgrades!$T$14="Open Cluster",POWER(Upgrades!$U$14,F188),1)*IF(Upgrades!$T$15="Open Cluster",POWER(Upgrades!$U$15,G188),1)*IF(Upgrades!$T$16="Open Cluster",POWER(Upgrades!$U$16,H188),1)*IF(Upgrades!$T$17="Open Cluster",POWER(Upgrades!$U$17,I188),1)*IF(Upgrades!$T$18="Open Cluster",POWER(Upgrades!$U$18,J188),1)*IF(Upgrades!$T$19="Open Cluster",POWER(Upgrades!$U$19,K188),1)*IF(Upgrades!$T$21="Open Cluster",POWER(Upgrades!$U$21,M188),1))+(IF(M188=0,0,(Upgrades!$J$21+M188*Upgrades!$K$21)*POWER(Upgrades!$L$21,M188)))*(IF(Upgrades!$T$13="Moving Group",POWER(Upgrades!$U$13,E188),1)*IF(Upgrades!$T$14="Moving Group",POWER(Upgrades!$U$14,F188),1)*IF(Upgrades!$T$15="Moving Group",POWER(Upgrades!$U$15,G188),1)*IF(Upgrades!$T$16="Moving Group",POWER(Upgrades!$U$16,H188),1)*IF(Upgrades!$T$17="Moving Group",POWER(Upgrades!$U$17,I188),1)*IF(Upgrades!$T$18="Moving Group",POWER(Upgrades!$U$18,J188),1)*IF(Upgrades!$T$19="Moving Group",POWER(Upgrades!$U$19,K188),1)*IF(Upgrades!$T$20="Moving Group",POWER(Upgrades!$U$20,L188),1)))*POWER(Upgrades!$Q$13,E188)*POWER(Upgrades!$Q$14,F188)*POWER(Upgrades!$Q$15,G188)*POWER(Upgrades!$Q$16,H188)*POWER(Upgrades!$Q$17,I188)*POWER(Upgrades!$Q$18,J188)*POWER(Upgrades!$Q$19,K188)*POWER(Upgrades!$Q$20,L188)*POWER(Upgrades!$Q$21,M188)*$G$6+$D$6</f>
        <v/>
      </c>
      <c r="P188" s="28">
        <f>((IF(E188=0,0,(Upgrades!$G$13+E188*Upgrades!$H$13)*POWER(Upgrades!$I$13,E188)))*(IF(Upgrades!$T$14="Stellar Kinematics",POWER(Upgrades!$U$14,F188),1)*IF(Upgrades!$T$15="Stellar Kinematics",POWER(Upgrades!$U$15,G188),1)*IF(Upgrades!$T$16="Stellar Kinematics",POWER(Upgrades!$U$16,H188),1)*IF(Upgrades!$T$17="Stellar Kinematics",POWER(Upgrades!$U$17,I188),1)*IF(Upgrades!$T$18="Stellar Kinematics",POWER(Upgrades!$U$18,J188),1)*IF(Upgrades!$T$19="Stellar Kinematics",POWER(Upgrades!$U$19,K188),1)*IF(Upgrades!$T$20="Stellar Kinematics",POWER(Upgrades!$U$20,L188),1)*IF(Upgrades!$T$21="Stellar Kinematics",POWER(Upgrades!$U$21,M188),1))+(IF(F188=0,0,(Upgrades!$G$14+F188*Upgrades!$H$14)*POWER(Upgrades!$I$14,F188)))*(IF(Upgrades!$T$13="Local Bubble",POWER(Upgrades!$U$13,E188),1)*IF(Upgrades!$T$15="Local Bubble",POWER(Upgrades!$U$15,G188),1)*IF(Upgrades!$T$16="Local Bubble",POWER(Upgrades!$U$16,H188),1)*IF(Upgrades!$T$17="Local Bubble",POWER(Upgrades!$U$17,I188),1)*IF(Upgrades!$T$18="Local Bubble",POWER(Upgrades!$U$18,J188),1)*IF(Upgrades!$T$19="Local Bubble",POWER(Upgrades!$U$19,K188),1)*IF(Upgrades!$T$20="Local Bubble",POWER(Upgrades!$U$20,L188),1)*IF(Upgrades!$T$21="Local Bubble",POWER(Upgrades!$U$21,M188),1))+(IF(G188=0,0,(Upgrades!$G$15+G188*Upgrades!$H$15)*POWER(Upgrades!$I$15,G188)))*(IF(Upgrades!$T$13="Microlensing",POWER(Upgrades!$U$13,E188),1)*IF(Upgrades!$T$14="Microlensing",POWER(Upgrades!$U$14,F188),1)*IF(Upgrades!$T$16="Microlensing",POWER(Upgrades!$U$16,H188),1)*IF(Upgrades!$T$17="Microlensing",POWER(Upgrades!$U$17,I188),1)*IF(Upgrades!$T$18="Microlensing",POWER(Upgrades!$U$18,J188),1)*IF(Upgrades!$T$19="Microlensing",POWER(Upgrades!$U$19,K188),1)*IF(Upgrades!$T$20="Microlensing",POWER(Upgrades!$U$20,L188),1)*IF(Upgrades!$T$21="Microlensing",POWER(Upgrades!$U$21,M188),1))+(IF(H188=0,0,(Upgrades!$G$16+H188*Upgrades!$H$16)*POWER(Upgrades!$I$16,H188)))*(IF(Upgrades!$T$13="Roche Lobe Overflow",POWER(Upgrades!$U$13,E188),1)*IF(Upgrades!$T$14="Roche Lobe Overflow",POWER(Upgrades!$U$14,F188),1)*IF(Upgrades!$T$15="Roche Lobe Overflow",POWER(Upgrades!$U$15,G188),1)*IF(Upgrades!$T$17="Roche Lobe Overflow",POWER(Upgrades!$U$17,I188),1)*IF(Upgrades!$T$18="Roche Lobe Overflow",POWER(Upgrades!$U$18,J188),1)*IF(Upgrades!$T$19="Roche Lobe Overflow",POWER(Upgrades!$U$19,K188),1)*IF(Upgrades!$T$20="Roche Lobe Overflow",POWER(Upgrades!$U$20,L188),1)*IF(Upgrades!$T$21="Roche Lobe Overflow",POWER(Upgrades!$U$21,M188),1))+(IF(I188=0,0,(Upgrades!$G$17+I188*Upgrades!$H$17)*POWER(Upgrades!$I$17,I188)))*(IF(Upgrades!$T$13="Brown Dwarf",POWER(Upgrades!$U$13,E188),1)*IF(Upgrades!$T$14="Brown Dwarf",POWER(Upgrades!$U$14,F188),1)*IF(Upgrades!$T$15="Brown Dwarf",POWER(Upgrades!$U$15,G188),1)*IF(Upgrades!$T$16="Brown Dwarf",POWER(Upgrades!$U$16,H188),1)*IF(Upgrades!$T$18="Brown Dwarf",POWER(Upgrades!$U$18,J188),1)*IF(Upgrades!$T$19="Brown Dwarf",POWER(Upgrades!$U$19,K188),1)*IF(Upgrades!$T$20="Brown Dwarf",POWER(Upgrades!$U$20,L188),1)*IF(Upgrades!$T$21="Brown Dwarf",POWER(Upgrades!$U$21,M188),1))+(IF(J188=0,0,(Upgrades!$G$18+J188*Upgrades!$H$18)*POWER(Upgrades!$I$18,J188)))*(IF(Upgrades!$T$13="Binary Partner",POWER(Upgrades!$U$13,E188),1)*IF(Upgrades!$T$14="Binary Partner",POWER(Upgrades!$U$14,F188),1)*IF(Upgrades!$T$15="Binary Partner",POWER(Upgrades!$U$15,G188),1)*IF(Upgrades!$T$16="Binary Partner",POWER(Upgrades!$U$16,H188),1)*IF(Upgrades!$T$17="Binary Partner",POWER(Upgrades!$U$17,I188),1)*IF(Upgrades!$T$19="Binary Partner",POWER(Upgrades!$U$19,K188),1)*IF(Upgrades!$T$20="Binary Partner",POWER(Upgrades!$U$20,L188),1)*IF(Upgrades!$T$21="Binary Partner",POWER(Upgrades!$U$21,M188),1))+(IF(K188=0,0,(Upgrades!$G$19+K188*Upgrades!$H$19)*POWER(Upgrades!$I$19,K188)))*(IF(Upgrades!$T$13="Peculiar Velocity",POWER(Upgrades!$U$13,E188),1)*IF(Upgrades!$T$14="Peculiar Velocity",POWER(Upgrades!$U$14,F188),1)*IF(Upgrades!$T$15="Peculiar Velocity",POWER(Upgrades!$U$15,G188),1)*IF(Upgrades!$T$16="Peculiar Velocity",POWER(Upgrades!$U$16,H188),1)*IF(Upgrades!$T$17="Peculiar Velocity",POWER(Upgrades!$U$17,I188),1)*IF(Upgrades!$T$18="Peculiar Velocity",POWER(Upgrades!$U$18,J188),1)*IF(Upgrades!$T$20="Peculiar Velocity",POWER(Upgrades!$U$20,L188),1)*IF(Upgrades!$T$21="Peculiar Velocity",POWER(Upgrades!$U$21,M188),1))+(IF(L188=0,0,(Upgrades!$G$20+L188*Upgrades!$H$20)*POWER(Upgrades!$I$20,L188)))*(IF(Upgrades!$T$13="Open Cluster",POWER(Upgrades!$U$13,E188),1)*IF(Upgrades!$T$14="Open Cluster",POWER(Upgrades!$U$14,F188),1)*IF(Upgrades!$T$15="Open Cluster",POWER(Upgrades!$U$15,G188),1)*IF(Upgrades!$T$16="Open Cluster",POWER(Upgrades!$U$16,H188),1)*IF(Upgrades!$T$17="Open Cluster",POWER(Upgrades!$U$17,I188),1)*IF(Upgrades!$T$18="Open Cluster",POWER(Upgrades!$U$18,J188),1)*IF(Upgrades!$T$19="Open Cluster",POWER(Upgrades!$U$19,K188),1)*IF(Upgrades!$T$21="Open Cluster",POWER(Upgrades!$U$21,M188),1))+(IF(M188=0,0,(Upgrades!$G$21+M188*Upgrades!$H$21)*POWER(Upgrades!$I$21,M188)))*(IF(Upgrades!$T$13="Moving Group",POWER(Upgrades!$U$13,E188),1)*IF(Upgrades!$T$14="Moving Group",POWER(Upgrades!$U$14,F188),1)*IF(Upgrades!$T$15="Moving Group",POWER(Upgrades!$U$15,G188),1)*IF(Upgrades!$T$16="Moving Group",POWER(Upgrades!$U$16,H188),1)*IF(Upgrades!$T$17="Moving Group",POWER(Upgrades!$U$17,I188),1)*IF(Upgrades!$T$18="Moving Group",POWER(Upgrades!$U$18,J188),1)*IF(Upgrades!$T$19="Moving Group",POWER(Upgrades!$U$19,K188),1)*IF(Upgrades!$T$20="Moving Group",POWER(Upgrades!$U$20,L188),1)))*POWER(Upgrades!$P$13,E188)*POWER(Upgrades!$P$14,F188)*POWER(Upgrades!$P$15,G188)*POWER(Upgrades!$P$16,H188)*POWER(Upgrades!$P$17,I188)*POWER(Upgrades!$P$18,J188)*POWER(Upgrades!$P$19,K188)*POWER(Upgrades!$P$20,L188)*POWER(Upgrades!$P$21,M188)*$F$6+$C$6</f>
        <v/>
      </c>
      <c r="Q188" s="28">
        <f>((IF(E188=0,0,(Upgrades!$M$13+E188*Upgrades!$N$13)*POWER(Upgrades!$O$13,E188)))*(IF(Upgrades!$T$14="Stellar Kinematics",POWER(Upgrades!$U$14,F188),1)*IF(Upgrades!$T$15="Stellar Kinematics",POWER(Upgrades!$U$15,G188),1)*IF(Upgrades!$T$16="Stellar Kinematics",POWER(Upgrades!$U$16,H188),1)*IF(Upgrades!$T$17="Stellar Kinematics",POWER(Upgrades!$U$17,I188),1)*IF(Upgrades!$T$18="Stellar Kinematics",POWER(Upgrades!$U$18,J188),1)*IF(Upgrades!$T$19="Stellar Kinematics",POWER(Upgrades!$U$19,K188),1)*IF(Upgrades!$T$20="Stellar Kinematics",POWER(Upgrades!$U$20,L188),1)*IF(Upgrades!$T$21="Stellar Kinematics",POWER(Upgrades!$U$21,M188),1))+(IF(F188=0,0,(Upgrades!$M$14+F188*Upgrades!$N$14)*POWER(Upgrades!$O$14,F188)))*(IF(Upgrades!$T$13="Local Bubble",POWER(Upgrades!$U$13,E188),1)*IF(Upgrades!$T$15="Local Bubble",POWER(Upgrades!$U$15,G188),1)*IF(Upgrades!$T$16="Local Bubble",POWER(Upgrades!$U$16,H188),1)*IF(Upgrades!$T$17="Local Bubble",POWER(Upgrades!$U$17,I188),1)*IF(Upgrades!$T$18="Local Bubble",POWER(Upgrades!$U$18,J188),1)*IF(Upgrades!$T$19="Local Bubble",POWER(Upgrades!$U$19,K188),1)*IF(Upgrades!$T$20="Local Bubble",POWER(Upgrades!$U$20,L188),1)*IF(Upgrades!$T$21="Local Bubble",POWER(Upgrades!$U$21,M188),1))+(IF(G188=0,0,(Upgrades!$M$15+G188*Upgrades!$N$15)*POWER(Upgrades!$O$15,G188)))*(IF(Upgrades!$T$13="Microlensing",POWER(Upgrades!$U$13,E188),1)*IF(Upgrades!$T$14="Microlensing",POWER(Upgrades!$U$14,F188),1)*IF(Upgrades!$T$16="Microlensing",POWER(Upgrades!$U$16,H188),1)*IF(Upgrades!$T$17="Microlensing",POWER(Upgrades!$U$17,I188),1)*IF(Upgrades!$T$18="Microlensing",POWER(Upgrades!$U$18,J188),1)*IF(Upgrades!$T$19="Microlensing",POWER(Upgrades!$U$19,K188),1)*IF(Upgrades!$T$20="Microlensing",POWER(Upgrades!$U$20,L188),1)*IF(Upgrades!$T$21="Microlensing",POWER(Upgrades!$U$21,M188),1))+(IF(H188=0,0,(Upgrades!$M$16+H188*Upgrades!$N$16)*POWER(Upgrades!$O$16,H188)))*(IF(Upgrades!$T$13="Roche Lobe Overflow",POWER(Upgrades!$U$13,E188),1)*IF(Upgrades!$T$14="Roche Lobe Overflow",POWER(Upgrades!$U$14,F188),1)*IF(Upgrades!$T$15="Roche Lobe Overflow",POWER(Upgrades!$U$15,G188),1)*IF(Upgrades!$T$17="Roche Lobe Overflow",POWER(Upgrades!$U$17,I188),1)*IF(Upgrades!$T$18="Roche Lobe Overflow",POWER(Upgrades!$U$18,J188),1)*IF(Upgrades!$T$19="Roche Lobe Overflow",POWER(Upgrades!$U$19,K188),1)*IF(Upgrades!$T$20="Roche Lobe Overflow",POWER(Upgrades!$U$20,L188),1)*IF(Upgrades!$T$21="Roche Lobe Overflow",POWER(Upgrades!$U$21,M188),1))+(IF(I188=0,0,(Upgrades!$M$17+I188*Upgrades!$N$17)*POWER(Upgrades!$O$17,I188)))*(IF(Upgrades!$T$13="Brown Dwarf",POWER(Upgrades!$U$13,E188),1)*IF(Upgrades!$T$14="Brown Dwarf",POWER(Upgrades!$U$14,F188),1)*IF(Upgrades!$T$15="Brown Dwarf",POWER(Upgrades!$U$15,G188),1)*IF(Upgrades!$T$16="Brown Dwarf",POWER(Upgrades!$U$16,H188),1)*IF(Upgrades!$T$18="Brown Dwarf",POWER(Upgrades!$U$18,J188),1)*IF(Upgrades!$T$19="Brown Dwarf",POWER(Upgrades!$U$19,K188),1)*IF(Upgrades!$T$20="Brown Dwarf",POWER(Upgrades!$U$20,L188),1)*IF(Upgrades!$T$21="Brown Dwarf",POWER(Upgrades!$U$21,M188),1))+(IF(J188=0,0,(Upgrades!$M$18+J188*Upgrades!$N$18)*POWER(Upgrades!$O$18,J188)))*(IF(Upgrades!$T$13="Binary Partner",POWER(Upgrades!$U$13,E188),1)*IF(Upgrades!$T$14="Binary Partner",POWER(Upgrades!$U$14,F188),1)*IF(Upgrades!$T$15="Binary Partner",POWER(Upgrades!$U$15,G188),1)*IF(Upgrades!$T$16="Binary Partner",POWER(Upgrades!$U$16,H188),1)*IF(Upgrades!$T$17="Binary Partner",POWER(Upgrades!$U$17,I188),1)*IF(Upgrades!$T$19="Binary Partner",POWER(Upgrades!$U$19,K188),1)*IF(Upgrades!$T$20="Binary Partner",POWER(Upgrades!$U$20,L188),1)*IF(Upgrades!$T$21="Binary Partner",POWER(Upgrades!$U$21,M188),1))+(IF(K188=0,0,(Upgrades!$M$19+K188*Upgrades!$N$19)*POWER(Upgrades!$O$19,K188)))*(IF(Upgrades!$T$13="Peculiar Velocity",POWER(Upgrades!$U$13,E188),1)*IF(Upgrades!$T$14="Peculiar Velocity",POWER(Upgrades!$U$14,F188),1)*IF(Upgrades!$T$15="Peculiar Velocity",POWER(Upgrades!$U$15,G188),1)*IF(Upgrades!$T$16="Peculiar Velocity",POWER(Upgrades!$U$16,H188),1)*IF(Upgrades!$T$17="Peculiar Velocity",POWER(Upgrades!$U$17,I188),1)*IF(Upgrades!$T$18="Peculiar Velocity",POWER(Upgrades!$U$18,J188),1)*IF(Upgrades!$T$20="Peculiar Velocity",POWER(Upgrades!$U$20,L188),1)*IF(Upgrades!$T$21="Peculiar Velocity",POWER(Upgrades!$U$21,M188),1))+(IF(L188=0,0,(Upgrades!$M$20+L188*Upgrades!$N$20)*POWER(Upgrades!$O$20,L188)))*(IF(Upgrades!$T$13="Open Cluster",POWER(Upgrades!$U$13,E188),1)*IF(Upgrades!$T$14="Open Cluster",POWER(Upgrades!$U$14,F188),1)*IF(Upgrades!$T$15="Open Cluster",POWER(Upgrades!$U$15,G188),1)*IF(Upgrades!$T$16="Open Cluster",POWER(Upgrades!$U$16,H188),1)*IF(Upgrades!$T$17="Open Cluster",POWER(Upgrades!$U$17,I188),1)*IF(Upgrades!$T$18="Open Cluster",POWER(Upgrades!$U$18,J188),1)*IF(Upgrades!$T$19="Open Cluster",POWER(Upgrades!$U$19,K188),1)*IF(Upgrades!$T$21="Open Cluster",POWER(Upgrades!$U$21,M188),1))+(IF(M188=0,0,(Upgrades!$M$21+M188*Upgrades!$N$21)*POWER(Upgrades!$O$21,M188)))*(IF(Upgrades!$T$13="Moving Group",POWER(Upgrades!$U$13,E188),1)*IF(Upgrades!$T$14="Moving Group",POWER(Upgrades!$U$14,F188),1)*IF(Upgrades!$T$15="Moving Group",POWER(Upgrades!$U$15,G188),1)*IF(Upgrades!$T$16="Moving Group",POWER(Upgrades!$U$16,H188),1)*IF(Upgrades!$T$17="Moving Group",POWER(Upgrades!$U$17,I188),1)*IF(Upgrades!$T$18="Moving Group",POWER(Upgrades!$U$18,J188),1)*IF(Upgrades!$T$19="Moving Group",POWER(Upgrades!$U$19,K188),1)*IF(Upgrades!$T$20="Moving Group",POWER(Upgrades!$U$20,L188),1)))*POWER(Upgrades!$R$13,E188)*POWER(Upgrades!$R$14,F188)*POWER(Upgrades!$R$15,G188)*POWER(Upgrades!$R$16,H188)*POWER(Upgrades!$R$17,I188)*POWER(Upgrades!$R$18,J188)*POWER(Upgrades!$R$19,K188)*POWER(Upgrades!$R$20,L188)*POWER(Upgrades!$R$21,M188)*$H$6+$E$6</f>
        <v/>
      </c>
      <c r="R188" s="27">
        <f>IF(N188=1,0,O188*Parameters!$B$10/60*Parameters!$B$11*10)</f>
        <v/>
      </c>
      <c r="S188" s="27">
        <f>IF(N188=1,0,Q188*O188*10)</f>
        <v/>
      </c>
      <c r="T188" s="27">
        <f>IF(N188=1,0,R188+S188+P188*10)</f>
        <v/>
      </c>
      <c r="U188" s="33">
        <f>BE188</f>
        <v/>
      </c>
      <c r="V188" s="22">
        <f>IF(U188="",0,IF(U188="transition",0,IF(U188="SK",AK188,IF(U188="LB",AL188,IF(U188="ML",AM188,IF(U188="RLO",AN188,IF(U188="BD",AO188,IF(U188="BiP",AP188,IF(U188="PV",AQ188,IF(U188="OC",AR188,IF(U188="MG",AS188,0))))))))))</f>
        <v/>
      </c>
      <c r="W188" s="27">
        <f>IF(U188="BiP",Upgrades!$F$18,IF(U188="PV",Upgrades!$F$19,IF(U188="OC",Upgrades!$F$20,IF(U188="MG",Upgrades!$F$21,IF(U188="transition",-Parameters!$B$18*Parameters!$B$19,0)))))</f>
        <v/>
      </c>
      <c r="X188" s="22">
        <f>C188+T188-V188</f>
        <v/>
      </c>
      <c r="Y188" s="30">
        <f>O188*Parameters!$B$10/60*Parameters!$B$11+Q188*O188+P188</f>
        <v/>
      </c>
      <c r="Z188" s="34">
        <f>IF(U188="transition","→ Tier 3 (Galactic Arm)",IF(U188="MG","Moving Group — pocket drifts together",IF(U188="OC","Open Cluster acquired",IF(U188="PV","Peculiar Velocity — passive multiplier active",IF(U188="BiP","Binary Partner — pair bond formed",IF(AND(AU188=1,N188=0,AT188&lt;&gt;1),"Cohesion ready (waiting on completionists)","")))))) </f>
        <v/>
      </c>
      <c r="AA188" s="27">
        <f>(IF(E188=0,0,(Upgrades!$G$13+E188*Upgrades!$H$13)*POWER(Upgrades!$I$13,E188)))*(IF(Upgrades!$T$14="Stellar Kinematics",POWER(Upgrades!$U$14,F188),1)*IF(Upgrades!$T$15="Stellar Kinematics",POWER(Upgrades!$U$15,G188),1)*IF(Upgrades!$T$16="Stellar Kinematics",POWER(Upgrades!$U$16,H188),1)*IF(Upgrades!$T$17="Stellar Kinematics",POWER(Upgrades!$U$17,I188),1)*IF(Upgrades!$T$18="Stellar Kinematics",POWER(Upgrades!$U$18,J188),1)*IF(Upgrades!$T$19="Stellar Kinematics",POWER(Upgrades!$U$19,K188),1)*IF(Upgrades!$T$20="Stellar Kinematics",POWER(Upgrades!$U$20,L188),1)*IF(Upgrades!$T$21="Stellar Kinematics",POWER(Upgrades!$U$21,M188),1))*POWER(Upgrades!$P$13,E188)*POWER(Upgrades!$P$14,F188)*POWER(Upgrades!$P$15,G188)*POWER(Upgrades!$P$16,H188)*POWER(Upgrades!$P$17,I188)*POWER(Upgrades!$P$18,J188)*POWER(Upgrades!$P$19,K188)*POWER(Upgrades!$P$20,L188)*POWER(Upgrades!$P$21,M188)*$F$6*60</f>
        <v/>
      </c>
      <c r="AB188" s="27">
        <f>(IF(F188=0,0,(Upgrades!$G$14+F188*Upgrades!$H$14)*POWER(Upgrades!$I$14,F188)))*(IF(Upgrades!$T$13="Local Bubble",POWER(Upgrades!$U$13,E188),1)*IF(Upgrades!$T$15="Local Bubble",POWER(Upgrades!$U$15,G188),1)*IF(Upgrades!$T$16="Local Bubble",POWER(Upgrades!$U$16,H188),1)*IF(Upgrades!$T$17="Local Bubble",POWER(Upgrades!$U$17,I188),1)*IF(Upgrades!$T$18="Local Bubble",POWER(Upgrades!$U$18,J188),1)*IF(Upgrades!$T$19="Local Bubble",POWER(Upgrades!$U$19,K188),1)*IF(Upgrades!$T$20="Local Bubble",POWER(Upgrades!$U$20,L188),1)*IF(Upgrades!$T$21="Local Bubble",POWER(Upgrades!$U$21,M188),1))*POWER(Upgrades!$P$13,E188)*POWER(Upgrades!$P$14,F188)*POWER(Upgrades!$P$15,G188)*POWER(Upgrades!$P$16,H188)*POWER(Upgrades!$P$17,I188)*POWER(Upgrades!$P$18,J188)*POWER(Upgrades!$P$19,K188)*POWER(Upgrades!$P$20,L188)*POWER(Upgrades!$P$21,M188)*$F$6*60</f>
        <v/>
      </c>
      <c r="AC188" s="27">
        <f>(IF(G188=0,0,(Upgrades!$J$15+G188*Upgrades!$K$15)*POWER(Upgrades!$L$15,G188)))*(IF(Upgrades!$T$13="Microlensing",POWER(Upgrades!$U$13,E188),1)*IF(Upgrades!$T$14="Microlensing",POWER(Upgrades!$U$14,F188),1)*IF(Upgrades!$T$16="Microlensing",POWER(Upgrades!$U$16,H188),1)*IF(Upgrades!$T$17="Microlensing",POWER(Upgrades!$U$17,I188),1)*IF(Upgrades!$T$18="Microlensing",POWER(Upgrades!$U$18,J188),1)*IF(Upgrades!$T$19="Microlensing",POWER(Upgrades!$U$19,K188),1)*IF(Upgrades!$T$20="Microlensing",POWER(Upgrades!$U$20,L188),1)*IF(Upgrades!$T$21="Microlensing",POWER(Upgrades!$U$21,M188),1))*POWER(Upgrades!$Q$13,E188)*POWER(Upgrades!$Q$14,F188)*POWER(Upgrades!$Q$15,G188)*POWER(Upgrades!$Q$16,H188)*POWER(Upgrades!$Q$17,I188)*POWER(Upgrades!$Q$18,J188)*POWER(Upgrades!$Q$19,K188)*POWER(Upgrades!$Q$20,L188)*POWER(Upgrades!$Q$21,M188)*$G$6*(Parameters!$B$10*Parameters!$B$11+Q188*60)</f>
        <v/>
      </c>
      <c r="AD188" s="27">
        <f>(IF(H188=0,0,(Upgrades!$M$16+H188*Upgrades!$N$16)*POWER(Upgrades!$O$16,H188)))*(IF(Upgrades!$T$13="Roche Lobe Overflow",POWER(Upgrades!$U$13,E188),1)*IF(Upgrades!$T$14="Roche Lobe Overflow",POWER(Upgrades!$U$14,F188),1)*IF(Upgrades!$T$15="Roche Lobe Overflow",POWER(Upgrades!$U$15,G188),1)*IF(Upgrades!$T$17="Roche Lobe Overflow",POWER(Upgrades!$U$17,I188),1)*IF(Upgrades!$T$18="Roche Lobe Overflow",POWER(Upgrades!$U$18,J188),1)*IF(Upgrades!$T$19="Roche Lobe Overflow",POWER(Upgrades!$U$19,K188),1)*IF(Upgrades!$T$20="Roche Lobe Overflow",POWER(Upgrades!$U$20,L188),1)*IF(Upgrades!$T$21="Roche Lobe Overflow",POWER(Upgrades!$U$21,M188),1))*POWER(Upgrades!$R$13,E188)*POWER(Upgrades!$R$14,F188)*POWER(Upgrades!$R$15,G188)*POWER(Upgrades!$R$16,H188)*POWER(Upgrades!$R$17,I188)*POWER(Upgrades!$R$18,J188)*POWER(Upgrades!$R$19,K188)*POWER(Upgrades!$R$20,L188)*POWER(Upgrades!$R$21,M188)*$H$6*O188*60</f>
        <v/>
      </c>
      <c r="AE188" s="27">
        <f>(IF(I188=0,0,(Upgrades!$G$17+I188*Upgrades!$H$17)*POWER(Upgrades!$I$17,I188)))*(IF(Upgrades!$T$13="Brown Dwarf",POWER(Upgrades!$U$13,E188),1)*IF(Upgrades!$T$14="Brown Dwarf",POWER(Upgrades!$U$14,F188),1)*IF(Upgrades!$T$15="Brown Dwarf",POWER(Upgrades!$U$15,G188),1)*IF(Upgrades!$T$16="Brown Dwarf",POWER(Upgrades!$U$16,H188),1)*IF(Upgrades!$T$18="Brown Dwarf",POWER(Upgrades!$U$18,J188),1)*IF(Upgrades!$T$19="Brown Dwarf",POWER(Upgrades!$U$19,K188),1)*IF(Upgrades!$T$20="Brown Dwarf",POWER(Upgrades!$U$20,L188),1)*IF(Upgrades!$T$21="Brown Dwarf",POWER(Upgrades!$U$21,M188),1))*POWER(Upgrades!$P$13,E188)*POWER(Upgrades!$P$14,F188)*POWER(Upgrades!$P$15,G188)*POWER(Upgrades!$P$16,H188)*POWER(Upgrades!$P$17,I188)*POWER(Upgrades!$P$18,J188)*POWER(Upgrades!$P$19,K188)*POWER(Upgrades!$P$20,L188)*POWER(Upgrades!$P$21,M188)*$F$6*60</f>
        <v/>
      </c>
      <c r="AF188" s="27" t="n">
        <v>0</v>
      </c>
      <c r="AG188" s="27" t="n">
        <v>0</v>
      </c>
      <c r="AH188" s="27" t="n">
        <v>0</v>
      </c>
      <c r="AI188" s="27">
        <f>(IF(M188=0,0,(Upgrades!$G$21+M188*Upgrades!$H$21)*POWER(Upgrades!$I$21,M188)))*(IF(Upgrades!$T$13="Moving Group",POWER(Upgrades!$U$13,E188),1)*IF(Upgrades!$T$14="Moving Group",POWER(Upgrades!$U$14,F188),1)*IF(Upgrades!$T$15="Moving Group",POWER(Upgrades!$U$15,G188),1)*IF(Upgrades!$T$16="Moving Group",POWER(Upgrades!$U$16,H188),1)*IF(Upgrades!$T$17="Moving Group",POWER(Upgrades!$U$17,I188),1)*IF(Upgrades!$T$18="Moving Group",POWER(Upgrades!$U$18,J188),1)*IF(Upgrades!$T$19="Moving Group",POWER(Upgrades!$U$19,K188),1)*IF(Upgrades!$T$20="Moving Group",POWER(Upgrades!$U$20,L188),1))*POWER(Upgrades!$P$13,E188)*POWER(Upgrades!$P$14,F188)*POWER(Upgrades!$P$15,G188)*POWER(Upgrades!$P$16,H188)*POWER(Upgrades!$P$17,I188)*POWER(Upgrades!$P$18,J188)*POWER(Upgrades!$P$19,K188)*POWER(Upgrades!$P$20,L188)*POWER(Upgrades!$P$21,M188)*$F$6*60</f>
        <v/>
      </c>
      <c r="AJ188" s="27">
        <f>$C$6*60</f>
        <v/>
      </c>
      <c r="AK188" s="22">
        <f>IF(E188&gt;=Upgrades!$E$13,"",Upgrades!$C$13*POWER(Upgrades!$D$13,E188))</f>
        <v/>
      </c>
      <c r="AL188" s="22">
        <f>IF(F188&gt;=Upgrades!$E$14,"",Upgrades!$C$14*POWER(Upgrades!$D$14,F188))</f>
        <v/>
      </c>
      <c r="AM188" s="22">
        <f>IF(G188&gt;=Upgrades!$E$15,"",Upgrades!$C$15*POWER(Upgrades!$D$15,G188))</f>
        <v/>
      </c>
      <c r="AN188" s="22">
        <f>IF(H188&gt;=Upgrades!$E$16,"",Upgrades!$C$16*POWER(Upgrades!$D$16,H188))</f>
        <v/>
      </c>
      <c r="AO188" s="22">
        <f>IF(I188&gt;=Upgrades!$E$17,"",Upgrades!$C$17*POWER(Upgrades!$D$17,I188))</f>
        <v/>
      </c>
      <c r="AP188" s="22">
        <f>IF(J188&gt;=Upgrades!$E$18,"",Upgrades!$C$18*POWER(Upgrades!$D$18,J188))</f>
        <v/>
      </c>
      <c r="AQ188" s="22">
        <f>IF(K188&gt;=Upgrades!$E$19,"",Upgrades!$C$19*POWER(Upgrades!$D$19,K188))</f>
        <v/>
      </c>
      <c r="AR188" s="22">
        <f>IF(L188&gt;=Upgrades!$E$20,"",Upgrades!$C$20*POWER(Upgrades!$D$20,L188))</f>
        <v/>
      </c>
      <c r="AS188" s="22">
        <f>IF(M188&gt;=Upgrades!$E$21,"",Upgrades!$C$21*POWER(Upgrades!$D$21,M188))</f>
        <v/>
      </c>
      <c r="AT188" s="26">
        <f>IF(AND(D188&gt;=Parameters!$B$18*Parameters!$B$19,(I188&gt;=Upgrades!$E$17)*(M188&gt;=Upgrades!$E$21)=1,N188=0),1,"")</f>
        <v/>
      </c>
      <c r="AU188" s="26">
        <f>IF(AND(D188&gt;=Parameters!$B$18*Parameters!$B$19,N188=0),1,"")</f>
        <v/>
      </c>
      <c r="AV188" s="22">
        <f>MIN(IF(ISNUMBER(AP188),AP188,9E15),IF(ISNUMBER(AQ188),AQ188,9E15),IF(ISNUMBER(AR188),AR188,9E15),IF(ISNUMBER(AS188),AS188,9E15))</f>
        <v/>
      </c>
      <c r="AW188" s="22">
        <f>MIN(IF(ISNUMBER(AK188),AK188,9E15),IF(ISNUMBER(AL188),AL188,9E15),IF(ISNUMBER(AM188),AM188,9E15),IF(ISNUMBER(AN188),AN188,9E15),IF(ISNUMBER(AO188),AO188,9E15))</f>
        <v/>
      </c>
      <c r="AX188" s="29">
        <f>IF(BD188&gt;Parameters!$B$21*(MAX(IF(AND(NOT(AND(AU188=1,AT188&lt;&gt;1)),ISNUMBER(AK188),AK188&lt;=(C188+T188)),AY188,0),IF(AND(NOT(AND(AU188=1,AT188&lt;&gt;1)),ISNUMBER(AL188),AL188&lt;=(C188+T188)),AZ188,0),IF(AND(NOT(AND(AU188=1,AT188&lt;&gt;1)),ISNUMBER(AM188),AM188&lt;=(C188+T188)),BA188,0),IF(AND(NOT(AND(AU188=1,AT188&lt;&gt;1)),ISNUMBER(AN188),AN188&lt;=(C188+T188)),BB188,0),IF(AND(ISNUMBER(AO188),AO188&lt;=(C188+T188)),BC188,0))),TRUE,FALSE)</f>
        <v/>
      </c>
      <c r="AY188" s="32">
        <f>IFERROR(Upgrades!$H$13*(POWER(Upgrades!$P$13,E188)*POWER(Upgrades!$P$14,F188)*POWER(Upgrades!$P$15,G188)*POWER(Upgrades!$P$16,H188)*POWER(Upgrades!$P$17,I188)*POWER(Upgrades!$P$18,J188)*POWER(Upgrades!$P$19,K188)*POWER(Upgrades!$P$20,L188)*POWER(Upgrades!$P$21,M188))*(IF(Upgrades!$T$14="Stellar Kinematics",POWER(Upgrades!$U$14,F188),1)*IF(Upgrades!$T$15="Stellar Kinematics",POWER(Upgrades!$U$15,G188),1)*IF(Upgrades!$T$16="Stellar Kinematics",POWER(Upgrades!$U$16,H188),1)*IF(Upgrades!$T$17="Stellar Kinematics",POWER(Upgrades!$U$17,I188),1)*IF(Upgrades!$T$18="Stellar Kinematics",POWER(Upgrades!$U$18,J188),1)*IF(Upgrades!$T$19="Stellar Kinematics",POWER(Upgrades!$U$19,K188),1)*IF(Upgrades!$T$20="Stellar Kinematics",POWER(Upgrades!$U$20,L188),1)*IF(Upgrades!$T$21="Stellar Kinematics",POWER(Upgrades!$U$21,M188),1))*$F$6/AK188,0)</f>
        <v/>
      </c>
      <c r="AZ188" s="32">
        <f>IFERROR(Upgrades!$H$14*(POWER(Upgrades!$P$13,E188)*POWER(Upgrades!$P$14,F188)*POWER(Upgrades!$P$15,G188)*POWER(Upgrades!$P$16,H188)*POWER(Upgrades!$P$17,I188)*POWER(Upgrades!$P$18,J188)*POWER(Upgrades!$P$19,K188)*POWER(Upgrades!$P$20,L188)*POWER(Upgrades!$P$21,M188))*(IF(Upgrades!$T$13="Local Bubble",POWER(Upgrades!$U$13,E188),1)*IF(Upgrades!$T$15="Local Bubble",POWER(Upgrades!$U$15,G188),1)*IF(Upgrades!$T$16="Local Bubble",POWER(Upgrades!$U$16,H188),1)*IF(Upgrades!$T$17="Local Bubble",POWER(Upgrades!$U$17,I188),1)*IF(Upgrades!$T$18="Local Bubble",POWER(Upgrades!$U$18,J188),1)*IF(Upgrades!$T$19="Local Bubble",POWER(Upgrades!$U$19,K188),1)*IF(Upgrades!$T$20="Local Bubble",POWER(Upgrades!$U$20,L188),1)*IF(Upgrades!$T$21="Local Bubble",POWER(Upgrades!$U$21,M188),1))*$F$6/AL188,0)</f>
        <v/>
      </c>
      <c r="BA188" s="32">
        <f>IFERROR(Upgrades!$K$15*(POWER(Upgrades!$Q$13,E188)*POWER(Upgrades!$Q$14,F188)*POWER(Upgrades!$Q$15,G188)*POWER(Upgrades!$Q$16,H188)*POWER(Upgrades!$Q$17,I188)*POWER(Upgrades!$Q$18,J188)*POWER(Upgrades!$Q$19,K188)*POWER(Upgrades!$Q$20,L188)*POWER(Upgrades!$Q$21,M188))*(IF(Upgrades!$T$13="Microlensing",POWER(Upgrades!$U$13,E188),1)*IF(Upgrades!$T$14="Microlensing",POWER(Upgrades!$U$14,F188),1)*IF(Upgrades!$T$16="Microlensing",POWER(Upgrades!$U$16,H188),1)*IF(Upgrades!$T$17="Microlensing",POWER(Upgrades!$U$17,I188),1)*IF(Upgrades!$T$18="Microlensing",POWER(Upgrades!$U$18,J188),1)*IF(Upgrades!$T$19="Microlensing",POWER(Upgrades!$U$19,K188),1)*IF(Upgrades!$T$20="Microlensing",POWER(Upgrades!$U$20,L188),1)*IF(Upgrades!$T$21="Microlensing",POWER(Upgrades!$U$21,M188),1))*$G$6*(Parameters!$B$10/60*Parameters!$B$11+Q188)/AM188,0)</f>
        <v/>
      </c>
      <c r="BB188" s="32">
        <f>IFERROR((Upgrades!$N$16*(POWER(Upgrades!$R$13,E188)*POWER(Upgrades!$R$14,F188)*POWER(Upgrades!$R$15,G188)*POWER(Upgrades!$R$16,H188)*POWER(Upgrades!$R$17,I188)*POWER(Upgrades!$R$18,J188)*POWER(Upgrades!$R$19,K188)*POWER(Upgrades!$R$20,L188)*POWER(Upgrades!$R$21,M188))*(IF(Upgrades!$T$13="Roche Lobe Overflow",POWER(Upgrades!$U$13,E188),1)*IF(Upgrades!$T$14="Roche Lobe Overflow",POWER(Upgrades!$U$14,F188),1)*IF(Upgrades!$T$15="Roche Lobe Overflow",POWER(Upgrades!$U$15,G188),1)*IF(Upgrades!$T$17="Roche Lobe Overflow",POWER(Upgrades!$U$17,I188),1)*IF(Upgrades!$T$18="Roche Lobe Overflow",POWER(Upgrades!$U$18,J188),1)*IF(Upgrades!$T$19="Roche Lobe Overflow",POWER(Upgrades!$U$19,K188),1)*IF(Upgrades!$T$20="Roche Lobe Overflow",POWER(Upgrades!$U$20,L188),1)*IF(Upgrades!$T$21="Roche Lobe Overflow",POWER(Upgrades!$U$21,M188),1))*$H$6*O188+((IF(F188=0,0,(Upgrades!$G$14+F188*Upgrades!$H$14)*POWER(Upgrades!$I$14,F188)))*(IF(Upgrades!$T$13="Local Bubble",POWER(Upgrades!$U$13,E188),1)*IF(Upgrades!$T$15="Local Bubble",POWER(Upgrades!$U$15,G188),1)*IF(Upgrades!$T$16="Local Bubble",POWER(Upgrades!$U$16,H188),1)*IF(Upgrades!$T$17="Local Bubble",POWER(Upgrades!$U$17,I188),1)*IF(Upgrades!$T$18="Local Bubble",POWER(Upgrades!$U$18,J188),1)*IF(Upgrades!$T$19="Local Bubble",POWER(Upgrades!$U$19,K188),1)*IF(Upgrades!$T$20="Local Bubble",POWER(Upgrades!$U$20,L188),1)*IF(Upgrades!$T$21="Local Bubble",POWER(Upgrades!$U$21,M188),1))*POWER(Upgrades!$P$13,E188)*POWER(Upgrades!$P$14,F188)*POWER(Upgrades!$P$15,G188)*POWER(Upgrades!$P$16,H188)*POWER(Upgrades!$P$17,I188)*POWER(Upgrades!$P$18,J188)*POWER(Upgrades!$P$19,K188)*POWER(Upgrades!$P$20,L188)*POWER(Upgrades!$P$21,M188)*$F$6)*0.05)/AN188,0)</f>
        <v/>
      </c>
      <c r="BC188" s="32">
        <f>IFERROR((Upgrades!$H$17*(POWER(Upgrades!$P$13,E188)*POWER(Upgrades!$P$14,F188)*POWER(Upgrades!$P$15,G188)*POWER(Upgrades!$P$16,H188)*POWER(Upgrades!$P$17,I188)*POWER(Upgrades!$P$18,J188)*POWER(Upgrades!$P$19,K188)*POWER(Upgrades!$P$20,L188)*POWER(Upgrades!$P$21,M188))*(IF(Upgrades!$T$13="Brown Dwarf",POWER(Upgrades!$U$13,E188),1)*IF(Upgrades!$T$14="Brown Dwarf",POWER(Upgrades!$U$14,F188),1)*IF(Upgrades!$T$15="Brown Dwarf",POWER(Upgrades!$U$15,G188),1)*IF(Upgrades!$T$16="Brown Dwarf",POWER(Upgrades!$U$16,H188),1)*IF(Upgrades!$T$18="Brown Dwarf",POWER(Upgrades!$U$18,J188),1)*IF(Upgrades!$T$19="Brown Dwarf",POWER(Upgrades!$U$19,K188),1)*IF(Upgrades!$T$20="Brown Dwarf",POWER(Upgrades!$U$20,L188),1)*IF(Upgrades!$T$21="Brown Dwarf",POWER(Upgrades!$U$21,M188),1))*$F$6+(((IF(H188=0,0,(Upgrades!$M$16+H188*Upgrades!$N$16)*POWER(Upgrades!$O$16,H188)))*(IF(Upgrades!$T$13="Roche Lobe Overflow",POWER(Upgrades!$U$13,E188),1)*IF(Upgrades!$T$14="Roche Lobe Overflow",POWER(Upgrades!$U$14,F188),1)*IF(Upgrades!$T$15="Roche Lobe Overflow",POWER(Upgrades!$U$15,G188),1)*IF(Upgrades!$T$17="Roche Lobe Overflow",POWER(Upgrades!$U$17,I188),1)*IF(Upgrades!$T$18="Roche Lobe Overflow",POWER(Upgrades!$U$18,J188),1)*IF(Upgrades!$T$19="Roche Lobe Overflow",POWER(Upgrades!$U$19,K188),1)*IF(Upgrades!$T$20="Roche Lobe Overflow",POWER(Upgrades!$U$20,L188),1)*IF(Upgrades!$T$21="Roche Lobe Overflow",POWER(Upgrades!$U$21,M188),1))*POWER(Upgrades!$R$13,E188)*POWER(Upgrades!$R$14,F188)*POWER(Upgrades!$R$15,G188)*POWER(Upgrades!$R$16,H188)*POWER(Upgrades!$R$17,I188)*POWER(Upgrades!$R$18,J188)*POWER(Upgrades!$R$19,K188)*POWER(Upgrades!$R$20,L188)*POWER(Upgrades!$R$21,M188)*$H$6)*O188)*0.10)/AO188,0)</f>
        <v/>
      </c>
      <c r="BD188" s="32">
        <f>MAX(IF(J188&gt;0,0,IFERROR(0.5*((IF(G188=0,0,(Upgrades!$J$15+G188*Upgrades!$K$15)*POWER(Upgrades!$L$15,G188)))*(IF(Upgrades!$T$13="Microlensing",POWER(Upgrades!$U$13,E188),1)*IF(Upgrades!$T$14="Microlensing",POWER(Upgrades!$U$14,F188),1)*IF(Upgrades!$T$16="Microlensing",POWER(Upgrades!$U$16,H188),1)*IF(Upgrades!$T$17="Microlensing",POWER(Upgrades!$U$17,I188),1)*IF(Upgrades!$T$18="Microlensing",POWER(Upgrades!$U$18,J188),1)*IF(Upgrades!$T$19="Microlensing",POWER(Upgrades!$U$19,K188),1)*IF(Upgrades!$T$20="Microlensing",POWER(Upgrades!$U$20,L188),1)*IF(Upgrades!$T$21="Microlensing",POWER(Upgrades!$U$21,M188),1))*(POWER(Upgrades!$Q$13,E188)*POWER(Upgrades!$Q$14,F188)*POWER(Upgrades!$Q$15,G188)*POWER(Upgrades!$Q$16,H188)*POWER(Upgrades!$Q$17,I188)*POWER(Upgrades!$Q$18,J188)*POWER(Upgrades!$Q$19,K188)*POWER(Upgrades!$Q$20,L188)*POWER(Upgrades!$Q$21,M188))*$G$6*(Parameters!$B$10/60*Parameters!$B$11+Q188))/Upgrades!$C$18,0)),IF(K188&gt;0,0,IFERROR(0.30*P188/Upgrades!$C$19,0)),IF(L188&gt;0,0,IFERROR(0.0001/Upgrades!$C$20,0)),IF(M188&gt;0,0,IFERROR((6.0*(POWER(Upgrades!$P$13,E188)*POWER(Upgrades!$P$14,F188)*POWER(Upgrades!$P$15,G188)*POWER(Upgrades!$P$16,H188)*POWER(Upgrades!$P$17,I188)*POWER(Upgrades!$P$18,J188)*POWER(Upgrades!$P$19,K188)*POWER(Upgrades!$P$20,L188)*POWER(Upgrades!$P$21,M188))*$F$6+0.20*O188*(Parameters!$B$10/60*Parameters!$B$11+Q188))/Upgrades!$C$21,0)),IF(AND(ISNUMBER(AK188),AK188&gt;(C188+T188)),AY188,0),IF(AND(ISNUMBER(AL188),AL188&gt;(C188+T188)),AZ188,0),IF(AND(ISNUMBER(AM188),AM188&gt;(C188+T188)),BA188,0),IF(AND(ISNUMBER(AN188),AN188&gt;(C188+T188)),BB188,0),IF(AND(ISNUMBER(AO188),AO188&gt;(C188+T188)),BC188,0))</f>
        <v/>
      </c>
      <c r="BE188" s="29">
        <f>IF(AT188=1,"transition",IF(MIN(IF(AND(J188=0,ISNUMBER(AP188),AP188&lt;=(C188+T188)),AP188,9E15),IF(AND(K188=0,ISNUMBER(AQ188),AQ188&lt;=(C188+T188)),AQ188,9E15),IF(AND(L188=0,ISNUMBER(AR188),AR188&lt;=(C188+T188)),AR188,9E15),IF(AND(M188=0,ISNUMBER(AS188),AS188&lt;=(C188+T188)),AS188,9E15))&lt;9E15,IF(AND(AND(J188=0,ISNUMBER(AP188),AP188&lt;=(C188+T188)),AP188=MIN(IF(AND(J188=0,ISNUMBER(AP188),AP188&lt;=(C188+T188)),AP188,9E15),IF(AND(K188=0,ISNUMBER(AQ188),AQ188&lt;=(C188+T188)),AQ188,9E15),IF(AND(L188=0,ISNUMBER(AR188),AR188&lt;=(C188+T188)),AR188,9E15),IF(AND(M188=0,ISNUMBER(AS188),AS188&lt;=(C188+T188)),AS188,9E15))),"BiP",IF(AND(AND(K188=0,ISNUMBER(AQ188),AQ188&lt;=(C188+T188)),AQ188=MIN(IF(AND(J188=0,ISNUMBER(AP188),AP188&lt;=(C188+T188)),AP188,9E15),IF(AND(K188=0,ISNUMBER(AQ188),AQ188&lt;=(C188+T188)),AQ188,9E15),IF(AND(L188=0,ISNUMBER(AR188),AR188&lt;=(C188+T188)),AR188,9E15),IF(AND(M188=0,ISNUMBER(AS188),AS188&lt;=(C188+T188)),AS188,9E15))),"PV",IF(AND(AND(L188=0,ISNUMBER(AR188),AR188&lt;=(C188+T188)),AR188=MIN(IF(AND(J188=0,ISNUMBER(AP188),AP188&lt;=(C188+T188)),AP188,9E15),IF(AND(K188=0,ISNUMBER(AQ188),AQ188&lt;=(C188+T188)),AQ188,9E15),IF(AND(L188=0,ISNUMBER(AR188),AR188&lt;=(C188+T188)),AR188,9E15),IF(AND(M188=0,ISNUMBER(AS188),AS188&lt;=(C188+T188)),AS188,9E15))),"OC","MG"))),IF(AX188=TRUE,"",IF(MAX(IF(AND(NOT(AND(AU188=1,AT188&lt;&gt;1)),ISNUMBER(AK188),AK188&lt;=(C188+T188)),AY188,0),IF(AND(NOT(AND(AU188=1,AT188&lt;&gt;1)),ISNUMBER(AL188),AL188&lt;=(C188+T188)),AZ188,0),IF(AND(NOT(AND(AU188=1,AT188&lt;&gt;1)),ISNUMBER(AM188),AM188&lt;=(C188+T188)),BA188,0),IF(AND(NOT(AND(AU188=1,AT188&lt;&gt;1)),ISNUMBER(AN188),AN188&lt;=(C188+T188)),BB188,0),IF(AND(ISNUMBER(AO188),AO188&lt;=(C188+T188)),BC188,0))&lt;=0,"",IF(AND(IF(AND(NOT(AND(AU188=1,AT188&lt;&gt;1)),ISNUMBER(AK188),AK188&lt;=(C188+T188)),AY188,0)&gt;0,IF(AND(NOT(AND(AU188=1,AT188&lt;&gt;1)),ISNUMBER(AK188),AK188&lt;=(C188+T188)),AY188,0)=MAX(IF(AND(NOT(AND(AU188=1,AT188&lt;&gt;1)),ISNUMBER(AK188),AK188&lt;=(C188+T188)),AY188,0),IF(AND(NOT(AND(AU188=1,AT188&lt;&gt;1)),ISNUMBER(AL188),AL188&lt;=(C188+T188)),AZ188,0),IF(AND(NOT(AND(AU188=1,AT188&lt;&gt;1)),ISNUMBER(AM188),AM188&lt;=(C188+T188)),BA188,0),IF(AND(NOT(AND(AU188=1,AT188&lt;&gt;1)),ISNUMBER(AN188),AN188&lt;=(C188+T188)),BB188,0),IF(AND(ISNUMBER(AO188),AO188&lt;=(C188+T188)),BC188,0))),"SK",IF(AND(IF(AND(NOT(AND(AU188=1,AT188&lt;&gt;1)),ISNUMBER(AL188),AL188&lt;=(C188+T188)),AZ188,0)&gt;0,IF(AND(NOT(AND(AU188=1,AT188&lt;&gt;1)),ISNUMBER(AL188),AL188&lt;=(C188+T188)),AZ188,0)=MAX(IF(AND(NOT(AND(AU188=1,AT188&lt;&gt;1)),ISNUMBER(AK188),AK188&lt;=(C188+T188)),AY188,0),IF(AND(NOT(AND(AU188=1,AT188&lt;&gt;1)),ISNUMBER(AL188),AL188&lt;=(C188+T188)),AZ188,0),IF(AND(NOT(AND(AU188=1,AT188&lt;&gt;1)),ISNUMBER(AM188),AM188&lt;=(C188+T188)),BA188,0),IF(AND(NOT(AND(AU188=1,AT188&lt;&gt;1)),ISNUMBER(AN188),AN188&lt;=(C188+T188)),BB188,0),IF(AND(ISNUMBER(AO188),AO188&lt;=(C188+T188)),BC188,0))),"LB",IF(AND(IF(AND(NOT(AND(AU188=1,AT188&lt;&gt;1)),ISNUMBER(AM188),AM188&lt;=(C188+T188)),BA188,0)&gt;0,IF(AND(NOT(AND(AU188=1,AT188&lt;&gt;1)),ISNUMBER(AM188),AM188&lt;=(C188+T188)),BA188,0)=MAX(IF(AND(NOT(AND(AU188=1,AT188&lt;&gt;1)),ISNUMBER(AK188),AK188&lt;=(C188+T188)),AY188,0),IF(AND(NOT(AND(AU188=1,AT188&lt;&gt;1)),ISNUMBER(AL188),AL188&lt;=(C188+T188)),AZ188,0),IF(AND(NOT(AND(AU188=1,AT188&lt;&gt;1)),ISNUMBER(AM188),AM188&lt;=(C188+T188)),BA188,0),IF(AND(NOT(AND(AU188=1,AT188&lt;&gt;1)),ISNUMBER(AN188),AN188&lt;=(C188+T188)),BB188,0),IF(AND(ISNUMBER(AO188),AO188&lt;=(C188+T188)),BC188,0))),"ML",IF(AND(IF(AND(NOT(AND(AU188=1,AT188&lt;&gt;1)),ISNUMBER(AN188),AN188&lt;=(C188+T188)),BB188,0)&gt;0,IF(AND(NOT(AND(AU188=1,AT188&lt;&gt;1)),ISNUMBER(AN188),AN188&lt;=(C188+T188)),BB188,0)=MAX(IF(AND(NOT(AND(AU188=1,AT188&lt;&gt;1)),ISNUMBER(AK188),AK188&lt;=(C188+T188)),AY188,0),IF(AND(NOT(AND(AU188=1,AT188&lt;&gt;1)),ISNUMBER(AL188),AL188&lt;=(C188+T188)),AZ188,0),IF(AND(NOT(AND(AU188=1,AT188&lt;&gt;1)),ISNUMBER(AM188),AM188&lt;=(C188+T188)),BA188,0),IF(AND(NOT(AND(AU188=1,AT188&lt;&gt;1)),ISNUMBER(AN188),AN188&lt;=(C188+T188)),BB188,0),IF(AND(ISNUMBER(AO188),AO188&lt;=(C188+T188)),BC188,0))),"RLO","BD"))))))))</f>
        <v/>
      </c>
    </row>
    <row r="189">
      <c r="A189" s="26" t="n">
        <v>178</v>
      </c>
      <c r="B189" s="27">
        <f>A189*10/60</f>
        <v/>
      </c>
      <c r="C189" s="22">
        <f>X188</f>
        <v/>
      </c>
      <c r="D189" s="27">
        <f>D188+W188</f>
        <v/>
      </c>
      <c r="E189" s="26">
        <f>E188+IF(U188="SK",1,0)</f>
        <v/>
      </c>
      <c r="F189" s="26">
        <f>F188+IF(U188="LB",1,0)</f>
        <v/>
      </c>
      <c r="G189" s="26">
        <f>G188+IF(U188="ML",1,0)</f>
        <v/>
      </c>
      <c r="H189" s="26">
        <f>H188+IF(U188="RLO",1,0)</f>
        <v/>
      </c>
      <c r="I189" s="26">
        <f>I188+IF(U188="BD",1,0)</f>
        <v/>
      </c>
      <c r="J189" s="26">
        <f>MAX(J188,IF(U188="BiP",1,0))</f>
        <v/>
      </c>
      <c r="K189" s="26">
        <f>MAX(K188,IF(U188="PV",1,0))</f>
        <v/>
      </c>
      <c r="L189" s="26">
        <f>MAX(L188,IF(U188="OC",1,0))</f>
        <v/>
      </c>
      <c r="M189" s="26">
        <f>MAX(M188,IF(U188="MG",1,0))</f>
        <v/>
      </c>
      <c r="N189" s="26">
        <f>MAX(N188,IF(U188="transition",1,0))</f>
        <v/>
      </c>
      <c r="O189" s="28">
        <f>(Parameters!$B$9+(IF(E189=0,0,(Upgrades!$J$13+E189*Upgrades!$K$13)*POWER(Upgrades!$L$13,E189)))*(IF(Upgrades!$T$14="Stellar Kinematics",POWER(Upgrades!$U$14,F189),1)*IF(Upgrades!$T$15="Stellar Kinematics",POWER(Upgrades!$U$15,G189),1)*IF(Upgrades!$T$16="Stellar Kinematics",POWER(Upgrades!$U$16,H189),1)*IF(Upgrades!$T$17="Stellar Kinematics",POWER(Upgrades!$U$17,I189),1)*IF(Upgrades!$T$18="Stellar Kinematics",POWER(Upgrades!$U$18,J189),1)*IF(Upgrades!$T$19="Stellar Kinematics",POWER(Upgrades!$U$19,K189),1)*IF(Upgrades!$T$20="Stellar Kinematics",POWER(Upgrades!$U$20,L189),1)*IF(Upgrades!$T$21="Stellar Kinematics",POWER(Upgrades!$U$21,M189),1))+(IF(F189=0,0,(Upgrades!$J$14+F189*Upgrades!$K$14)*POWER(Upgrades!$L$14,F189)))*(IF(Upgrades!$T$13="Local Bubble",POWER(Upgrades!$U$13,E189),1)*IF(Upgrades!$T$15="Local Bubble",POWER(Upgrades!$U$15,G189),1)*IF(Upgrades!$T$16="Local Bubble",POWER(Upgrades!$U$16,H189),1)*IF(Upgrades!$T$17="Local Bubble",POWER(Upgrades!$U$17,I189),1)*IF(Upgrades!$T$18="Local Bubble",POWER(Upgrades!$U$18,J189),1)*IF(Upgrades!$T$19="Local Bubble",POWER(Upgrades!$U$19,K189),1)*IF(Upgrades!$T$20="Local Bubble",POWER(Upgrades!$U$20,L189),1)*IF(Upgrades!$T$21="Local Bubble",POWER(Upgrades!$U$21,M189),1))+(IF(G189=0,0,(Upgrades!$J$15+G189*Upgrades!$K$15)*POWER(Upgrades!$L$15,G189)))*(IF(Upgrades!$T$13="Microlensing",POWER(Upgrades!$U$13,E189),1)*IF(Upgrades!$T$14="Microlensing",POWER(Upgrades!$U$14,F189),1)*IF(Upgrades!$T$16="Microlensing",POWER(Upgrades!$U$16,H189),1)*IF(Upgrades!$T$17="Microlensing",POWER(Upgrades!$U$17,I189),1)*IF(Upgrades!$T$18="Microlensing",POWER(Upgrades!$U$18,J189),1)*IF(Upgrades!$T$19="Microlensing",POWER(Upgrades!$U$19,K189),1)*IF(Upgrades!$T$20="Microlensing",POWER(Upgrades!$U$20,L189),1)*IF(Upgrades!$T$21="Microlensing",POWER(Upgrades!$U$21,M189),1))+(IF(H189=0,0,(Upgrades!$J$16+H189*Upgrades!$K$16)*POWER(Upgrades!$L$16,H189)))*(IF(Upgrades!$T$13="Roche Lobe Overflow",POWER(Upgrades!$U$13,E189),1)*IF(Upgrades!$T$14="Roche Lobe Overflow",POWER(Upgrades!$U$14,F189),1)*IF(Upgrades!$T$15="Roche Lobe Overflow",POWER(Upgrades!$U$15,G189),1)*IF(Upgrades!$T$17="Roche Lobe Overflow",POWER(Upgrades!$U$17,I189),1)*IF(Upgrades!$T$18="Roche Lobe Overflow",POWER(Upgrades!$U$18,J189),1)*IF(Upgrades!$T$19="Roche Lobe Overflow",POWER(Upgrades!$U$19,K189),1)*IF(Upgrades!$T$20="Roche Lobe Overflow",POWER(Upgrades!$U$20,L189),1)*IF(Upgrades!$T$21="Roche Lobe Overflow",POWER(Upgrades!$U$21,M189),1))+(IF(I189=0,0,(Upgrades!$J$17+I189*Upgrades!$K$17)*POWER(Upgrades!$L$17,I189)))*(IF(Upgrades!$T$13="Brown Dwarf",POWER(Upgrades!$U$13,E189),1)*IF(Upgrades!$T$14="Brown Dwarf",POWER(Upgrades!$U$14,F189),1)*IF(Upgrades!$T$15="Brown Dwarf",POWER(Upgrades!$U$15,G189),1)*IF(Upgrades!$T$16="Brown Dwarf",POWER(Upgrades!$U$16,H189),1)*IF(Upgrades!$T$18="Brown Dwarf",POWER(Upgrades!$U$18,J189),1)*IF(Upgrades!$T$19="Brown Dwarf",POWER(Upgrades!$U$19,K189),1)*IF(Upgrades!$T$20="Brown Dwarf",POWER(Upgrades!$U$20,L189),1)*IF(Upgrades!$T$21="Brown Dwarf",POWER(Upgrades!$U$21,M189),1))+(IF(J189=0,0,(Upgrades!$J$18+J189*Upgrades!$K$18)*POWER(Upgrades!$L$18,J189)))*(IF(Upgrades!$T$13="Binary Partner",POWER(Upgrades!$U$13,E189),1)*IF(Upgrades!$T$14="Binary Partner",POWER(Upgrades!$U$14,F189),1)*IF(Upgrades!$T$15="Binary Partner",POWER(Upgrades!$U$15,G189),1)*IF(Upgrades!$T$16="Binary Partner",POWER(Upgrades!$U$16,H189),1)*IF(Upgrades!$T$17="Binary Partner",POWER(Upgrades!$U$17,I189),1)*IF(Upgrades!$T$19="Binary Partner",POWER(Upgrades!$U$19,K189),1)*IF(Upgrades!$T$20="Binary Partner",POWER(Upgrades!$U$20,L189),1)*IF(Upgrades!$T$21="Binary Partner",POWER(Upgrades!$U$21,M189),1))+(IF(K189=0,0,(Upgrades!$J$19+K189*Upgrades!$K$19)*POWER(Upgrades!$L$19,K189)))*(IF(Upgrades!$T$13="Peculiar Velocity",POWER(Upgrades!$U$13,E189),1)*IF(Upgrades!$T$14="Peculiar Velocity",POWER(Upgrades!$U$14,F189),1)*IF(Upgrades!$T$15="Peculiar Velocity",POWER(Upgrades!$U$15,G189),1)*IF(Upgrades!$T$16="Peculiar Velocity",POWER(Upgrades!$U$16,H189),1)*IF(Upgrades!$T$17="Peculiar Velocity",POWER(Upgrades!$U$17,I189),1)*IF(Upgrades!$T$18="Peculiar Velocity",POWER(Upgrades!$U$18,J189),1)*IF(Upgrades!$T$20="Peculiar Velocity",POWER(Upgrades!$U$20,L189),1)*IF(Upgrades!$T$21="Peculiar Velocity",POWER(Upgrades!$U$21,M189),1))+(IF(L189=0,0,(Upgrades!$J$20+L189*Upgrades!$K$20)*POWER(Upgrades!$L$20,L189)))*(IF(Upgrades!$T$13="Open Cluster",POWER(Upgrades!$U$13,E189),1)*IF(Upgrades!$T$14="Open Cluster",POWER(Upgrades!$U$14,F189),1)*IF(Upgrades!$T$15="Open Cluster",POWER(Upgrades!$U$15,G189),1)*IF(Upgrades!$T$16="Open Cluster",POWER(Upgrades!$U$16,H189),1)*IF(Upgrades!$T$17="Open Cluster",POWER(Upgrades!$U$17,I189),1)*IF(Upgrades!$T$18="Open Cluster",POWER(Upgrades!$U$18,J189),1)*IF(Upgrades!$T$19="Open Cluster",POWER(Upgrades!$U$19,K189),1)*IF(Upgrades!$T$21="Open Cluster",POWER(Upgrades!$U$21,M189),1))+(IF(M189=0,0,(Upgrades!$J$21+M189*Upgrades!$K$21)*POWER(Upgrades!$L$21,M189)))*(IF(Upgrades!$T$13="Moving Group",POWER(Upgrades!$U$13,E189),1)*IF(Upgrades!$T$14="Moving Group",POWER(Upgrades!$U$14,F189),1)*IF(Upgrades!$T$15="Moving Group",POWER(Upgrades!$U$15,G189),1)*IF(Upgrades!$T$16="Moving Group",POWER(Upgrades!$U$16,H189),1)*IF(Upgrades!$T$17="Moving Group",POWER(Upgrades!$U$17,I189),1)*IF(Upgrades!$T$18="Moving Group",POWER(Upgrades!$U$18,J189),1)*IF(Upgrades!$T$19="Moving Group",POWER(Upgrades!$U$19,K189),1)*IF(Upgrades!$T$20="Moving Group",POWER(Upgrades!$U$20,L189),1)))*POWER(Upgrades!$Q$13,E189)*POWER(Upgrades!$Q$14,F189)*POWER(Upgrades!$Q$15,G189)*POWER(Upgrades!$Q$16,H189)*POWER(Upgrades!$Q$17,I189)*POWER(Upgrades!$Q$18,J189)*POWER(Upgrades!$Q$19,K189)*POWER(Upgrades!$Q$20,L189)*POWER(Upgrades!$Q$21,M189)*$G$6+$D$6</f>
        <v/>
      </c>
      <c r="P189" s="28">
        <f>((IF(E189=0,0,(Upgrades!$G$13+E189*Upgrades!$H$13)*POWER(Upgrades!$I$13,E189)))*(IF(Upgrades!$T$14="Stellar Kinematics",POWER(Upgrades!$U$14,F189),1)*IF(Upgrades!$T$15="Stellar Kinematics",POWER(Upgrades!$U$15,G189),1)*IF(Upgrades!$T$16="Stellar Kinematics",POWER(Upgrades!$U$16,H189),1)*IF(Upgrades!$T$17="Stellar Kinematics",POWER(Upgrades!$U$17,I189),1)*IF(Upgrades!$T$18="Stellar Kinematics",POWER(Upgrades!$U$18,J189),1)*IF(Upgrades!$T$19="Stellar Kinematics",POWER(Upgrades!$U$19,K189),1)*IF(Upgrades!$T$20="Stellar Kinematics",POWER(Upgrades!$U$20,L189),1)*IF(Upgrades!$T$21="Stellar Kinematics",POWER(Upgrades!$U$21,M189),1))+(IF(F189=0,0,(Upgrades!$G$14+F189*Upgrades!$H$14)*POWER(Upgrades!$I$14,F189)))*(IF(Upgrades!$T$13="Local Bubble",POWER(Upgrades!$U$13,E189),1)*IF(Upgrades!$T$15="Local Bubble",POWER(Upgrades!$U$15,G189),1)*IF(Upgrades!$T$16="Local Bubble",POWER(Upgrades!$U$16,H189),1)*IF(Upgrades!$T$17="Local Bubble",POWER(Upgrades!$U$17,I189),1)*IF(Upgrades!$T$18="Local Bubble",POWER(Upgrades!$U$18,J189),1)*IF(Upgrades!$T$19="Local Bubble",POWER(Upgrades!$U$19,K189),1)*IF(Upgrades!$T$20="Local Bubble",POWER(Upgrades!$U$20,L189),1)*IF(Upgrades!$T$21="Local Bubble",POWER(Upgrades!$U$21,M189),1))+(IF(G189=0,0,(Upgrades!$G$15+G189*Upgrades!$H$15)*POWER(Upgrades!$I$15,G189)))*(IF(Upgrades!$T$13="Microlensing",POWER(Upgrades!$U$13,E189),1)*IF(Upgrades!$T$14="Microlensing",POWER(Upgrades!$U$14,F189),1)*IF(Upgrades!$T$16="Microlensing",POWER(Upgrades!$U$16,H189),1)*IF(Upgrades!$T$17="Microlensing",POWER(Upgrades!$U$17,I189),1)*IF(Upgrades!$T$18="Microlensing",POWER(Upgrades!$U$18,J189),1)*IF(Upgrades!$T$19="Microlensing",POWER(Upgrades!$U$19,K189),1)*IF(Upgrades!$T$20="Microlensing",POWER(Upgrades!$U$20,L189),1)*IF(Upgrades!$T$21="Microlensing",POWER(Upgrades!$U$21,M189),1))+(IF(H189=0,0,(Upgrades!$G$16+H189*Upgrades!$H$16)*POWER(Upgrades!$I$16,H189)))*(IF(Upgrades!$T$13="Roche Lobe Overflow",POWER(Upgrades!$U$13,E189),1)*IF(Upgrades!$T$14="Roche Lobe Overflow",POWER(Upgrades!$U$14,F189),1)*IF(Upgrades!$T$15="Roche Lobe Overflow",POWER(Upgrades!$U$15,G189),1)*IF(Upgrades!$T$17="Roche Lobe Overflow",POWER(Upgrades!$U$17,I189),1)*IF(Upgrades!$T$18="Roche Lobe Overflow",POWER(Upgrades!$U$18,J189),1)*IF(Upgrades!$T$19="Roche Lobe Overflow",POWER(Upgrades!$U$19,K189),1)*IF(Upgrades!$T$20="Roche Lobe Overflow",POWER(Upgrades!$U$20,L189),1)*IF(Upgrades!$T$21="Roche Lobe Overflow",POWER(Upgrades!$U$21,M189),1))+(IF(I189=0,0,(Upgrades!$G$17+I189*Upgrades!$H$17)*POWER(Upgrades!$I$17,I189)))*(IF(Upgrades!$T$13="Brown Dwarf",POWER(Upgrades!$U$13,E189),1)*IF(Upgrades!$T$14="Brown Dwarf",POWER(Upgrades!$U$14,F189),1)*IF(Upgrades!$T$15="Brown Dwarf",POWER(Upgrades!$U$15,G189),1)*IF(Upgrades!$T$16="Brown Dwarf",POWER(Upgrades!$U$16,H189),1)*IF(Upgrades!$T$18="Brown Dwarf",POWER(Upgrades!$U$18,J189),1)*IF(Upgrades!$T$19="Brown Dwarf",POWER(Upgrades!$U$19,K189),1)*IF(Upgrades!$T$20="Brown Dwarf",POWER(Upgrades!$U$20,L189),1)*IF(Upgrades!$T$21="Brown Dwarf",POWER(Upgrades!$U$21,M189),1))+(IF(J189=0,0,(Upgrades!$G$18+J189*Upgrades!$H$18)*POWER(Upgrades!$I$18,J189)))*(IF(Upgrades!$T$13="Binary Partner",POWER(Upgrades!$U$13,E189),1)*IF(Upgrades!$T$14="Binary Partner",POWER(Upgrades!$U$14,F189),1)*IF(Upgrades!$T$15="Binary Partner",POWER(Upgrades!$U$15,G189),1)*IF(Upgrades!$T$16="Binary Partner",POWER(Upgrades!$U$16,H189),1)*IF(Upgrades!$T$17="Binary Partner",POWER(Upgrades!$U$17,I189),1)*IF(Upgrades!$T$19="Binary Partner",POWER(Upgrades!$U$19,K189),1)*IF(Upgrades!$T$20="Binary Partner",POWER(Upgrades!$U$20,L189),1)*IF(Upgrades!$T$21="Binary Partner",POWER(Upgrades!$U$21,M189),1))+(IF(K189=0,0,(Upgrades!$G$19+K189*Upgrades!$H$19)*POWER(Upgrades!$I$19,K189)))*(IF(Upgrades!$T$13="Peculiar Velocity",POWER(Upgrades!$U$13,E189),1)*IF(Upgrades!$T$14="Peculiar Velocity",POWER(Upgrades!$U$14,F189),1)*IF(Upgrades!$T$15="Peculiar Velocity",POWER(Upgrades!$U$15,G189),1)*IF(Upgrades!$T$16="Peculiar Velocity",POWER(Upgrades!$U$16,H189),1)*IF(Upgrades!$T$17="Peculiar Velocity",POWER(Upgrades!$U$17,I189),1)*IF(Upgrades!$T$18="Peculiar Velocity",POWER(Upgrades!$U$18,J189),1)*IF(Upgrades!$T$20="Peculiar Velocity",POWER(Upgrades!$U$20,L189),1)*IF(Upgrades!$T$21="Peculiar Velocity",POWER(Upgrades!$U$21,M189),1))+(IF(L189=0,0,(Upgrades!$G$20+L189*Upgrades!$H$20)*POWER(Upgrades!$I$20,L189)))*(IF(Upgrades!$T$13="Open Cluster",POWER(Upgrades!$U$13,E189),1)*IF(Upgrades!$T$14="Open Cluster",POWER(Upgrades!$U$14,F189),1)*IF(Upgrades!$T$15="Open Cluster",POWER(Upgrades!$U$15,G189),1)*IF(Upgrades!$T$16="Open Cluster",POWER(Upgrades!$U$16,H189),1)*IF(Upgrades!$T$17="Open Cluster",POWER(Upgrades!$U$17,I189),1)*IF(Upgrades!$T$18="Open Cluster",POWER(Upgrades!$U$18,J189),1)*IF(Upgrades!$T$19="Open Cluster",POWER(Upgrades!$U$19,K189),1)*IF(Upgrades!$T$21="Open Cluster",POWER(Upgrades!$U$21,M189),1))+(IF(M189=0,0,(Upgrades!$G$21+M189*Upgrades!$H$21)*POWER(Upgrades!$I$21,M189)))*(IF(Upgrades!$T$13="Moving Group",POWER(Upgrades!$U$13,E189),1)*IF(Upgrades!$T$14="Moving Group",POWER(Upgrades!$U$14,F189),1)*IF(Upgrades!$T$15="Moving Group",POWER(Upgrades!$U$15,G189),1)*IF(Upgrades!$T$16="Moving Group",POWER(Upgrades!$U$16,H189),1)*IF(Upgrades!$T$17="Moving Group",POWER(Upgrades!$U$17,I189),1)*IF(Upgrades!$T$18="Moving Group",POWER(Upgrades!$U$18,J189),1)*IF(Upgrades!$T$19="Moving Group",POWER(Upgrades!$U$19,K189),1)*IF(Upgrades!$T$20="Moving Group",POWER(Upgrades!$U$20,L189),1)))*POWER(Upgrades!$P$13,E189)*POWER(Upgrades!$P$14,F189)*POWER(Upgrades!$P$15,G189)*POWER(Upgrades!$P$16,H189)*POWER(Upgrades!$P$17,I189)*POWER(Upgrades!$P$18,J189)*POWER(Upgrades!$P$19,K189)*POWER(Upgrades!$P$20,L189)*POWER(Upgrades!$P$21,M189)*$F$6+$C$6</f>
        <v/>
      </c>
      <c r="Q189" s="28">
        <f>((IF(E189=0,0,(Upgrades!$M$13+E189*Upgrades!$N$13)*POWER(Upgrades!$O$13,E189)))*(IF(Upgrades!$T$14="Stellar Kinematics",POWER(Upgrades!$U$14,F189),1)*IF(Upgrades!$T$15="Stellar Kinematics",POWER(Upgrades!$U$15,G189),1)*IF(Upgrades!$T$16="Stellar Kinematics",POWER(Upgrades!$U$16,H189),1)*IF(Upgrades!$T$17="Stellar Kinematics",POWER(Upgrades!$U$17,I189),1)*IF(Upgrades!$T$18="Stellar Kinematics",POWER(Upgrades!$U$18,J189),1)*IF(Upgrades!$T$19="Stellar Kinematics",POWER(Upgrades!$U$19,K189),1)*IF(Upgrades!$T$20="Stellar Kinematics",POWER(Upgrades!$U$20,L189),1)*IF(Upgrades!$T$21="Stellar Kinematics",POWER(Upgrades!$U$21,M189),1))+(IF(F189=0,0,(Upgrades!$M$14+F189*Upgrades!$N$14)*POWER(Upgrades!$O$14,F189)))*(IF(Upgrades!$T$13="Local Bubble",POWER(Upgrades!$U$13,E189),1)*IF(Upgrades!$T$15="Local Bubble",POWER(Upgrades!$U$15,G189),1)*IF(Upgrades!$T$16="Local Bubble",POWER(Upgrades!$U$16,H189),1)*IF(Upgrades!$T$17="Local Bubble",POWER(Upgrades!$U$17,I189),1)*IF(Upgrades!$T$18="Local Bubble",POWER(Upgrades!$U$18,J189),1)*IF(Upgrades!$T$19="Local Bubble",POWER(Upgrades!$U$19,K189),1)*IF(Upgrades!$T$20="Local Bubble",POWER(Upgrades!$U$20,L189),1)*IF(Upgrades!$T$21="Local Bubble",POWER(Upgrades!$U$21,M189),1))+(IF(G189=0,0,(Upgrades!$M$15+G189*Upgrades!$N$15)*POWER(Upgrades!$O$15,G189)))*(IF(Upgrades!$T$13="Microlensing",POWER(Upgrades!$U$13,E189),1)*IF(Upgrades!$T$14="Microlensing",POWER(Upgrades!$U$14,F189),1)*IF(Upgrades!$T$16="Microlensing",POWER(Upgrades!$U$16,H189),1)*IF(Upgrades!$T$17="Microlensing",POWER(Upgrades!$U$17,I189),1)*IF(Upgrades!$T$18="Microlensing",POWER(Upgrades!$U$18,J189),1)*IF(Upgrades!$T$19="Microlensing",POWER(Upgrades!$U$19,K189),1)*IF(Upgrades!$T$20="Microlensing",POWER(Upgrades!$U$20,L189),1)*IF(Upgrades!$T$21="Microlensing",POWER(Upgrades!$U$21,M189),1))+(IF(H189=0,0,(Upgrades!$M$16+H189*Upgrades!$N$16)*POWER(Upgrades!$O$16,H189)))*(IF(Upgrades!$T$13="Roche Lobe Overflow",POWER(Upgrades!$U$13,E189),1)*IF(Upgrades!$T$14="Roche Lobe Overflow",POWER(Upgrades!$U$14,F189),1)*IF(Upgrades!$T$15="Roche Lobe Overflow",POWER(Upgrades!$U$15,G189),1)*IF(Upgrades!$T$17="Roche Lobe Overflow",POWER(Upgrades!$U$17,I189),1)*IF(Upgrades!$T$18="Roche Lobe Overflow",POWER(Upgrades!$U$18,J189),1)*IF(Upgrades!$T$19="Roche Lobe Overflow",POWER(Upgrades!$U$19,K189),1)*IF(Upgrades!$T$20="Roche Lobe Overflow",POWER(Upgrades!$U$20,L189),1)*IF(Upgrades!$T$21="Roche Lobe Overflow",POWER(Upgrades!$U$21,M189),1))+(IF(I189=0,0,(Upgrades!$M$17+I189*Upgrades!$N$17)*POWER(Upgrades!$O$17,I189)))*(IF(Upgrades!$T$13="Brown Dwarf",POWER(Upgrades!$U$13,E189),1)*IF(Upgrades!$T$14="Brown Dwarf",POWER(Upgrades!$U$14,F189),1)*IF(Upgrades!$T$15="Brown Dwarf",POWER(Upgrades!$U$15,G189),1)*IF(Upgrades!$T$16="Brown Dwarf",POWER(Upgrades!$U$16,H189),1)*IF(Upgrades!$T$18="Brown Dwarf",POWER(Upgrades!$U$18,J189),1)*IF(Upgrades!$T$19="Brown Dwarf",POWER(Upgrades!$U$19,K189),1)*IF(Upgrades!$T$20="Brown Dwarf",POWER(Upgrades!$U$20,L189),1)*IF(Upgrades!$T$21="Brown Dwarf",POWER(Upgrades!$U$21,M189),1))+(IF(J189=0,0,(Upgrades!$M$18+J189*Upgrades!$N$18)*POWER(Upgrades!$O$18,J189)))*(IF(Upgrades!$T$13="Binary Partner",POWER(Upgrades!$U$13,E189),1)*IF(Upgrades!$T$14="Binary Partner",POWER(Upgrades!$U$14,F189),1)*IF(Upgrades!$T$15="Binary Partner",POWER(Upgrades!$U$15,G189),1)*IF(Upgrades!$T$16="Binary Partner",POWER(Upgrades!$U$16,H189),1)*IF(Upgrades!$T$17="Binary Partner",POWER(Upgrades!$U$17,I189),1)*IF(Upgrades!$T$19="Binary Partner",POWER(Upgrades!$U$19,K189),1)*IF(Upgrades!$T$20="Binary Partner",POWER(Upgrades!$U$20,L189),1)*IF(Upgrades!$T$21="Binary Partner",POWER(Upgrades!$U$21,M189),1))+(IF(K189=0,0,(Upgrades!$M$19+K189*Upgrades!$N$19)*POWER(Upgrades!$O$19,K189)))*(IF(Upgrades!$T$13="Peculiar Velocity",POWER(Upgrades!$U$13,E189),1)*IF(Upgrades!$T$14="Peculiar Velocity",POWER(Upgrades!$U$14,F189),1)*IF(Upgrades!$T$15="Peculiar Velocity",POWER(Upgrades!$U$15,G189),1)*IF(Upgrades!$T$16="Peculiar Velocity",POWER(Upgrades!$U$16,H189),1)*IF(Upgrades!$T$17="Peculiar Velocity",POWER(Upgrades!$U$17,I189),1)*IF(Upgrades!$T$18="Peculiar Velocity",POWER(Upgrades!$U$18,J189),1)*IF(Upgrades!$T$20="Peculiar Velocity",POWER(Upgrades!$U$20,L189),1)*IF(Upgrades!$T$21="Peculiar Velocity",POWER(Upgrades!$U$21,M189),1))+(IF(L189=0,0,(Upgrades!$M$20+L189*Upgrades!$N$20)*POWER(Upgrades!$O$20,L189)))*(IF(Upgrades!$T$13="Open Cluster",POWER(Upgrades!$U$13,E189),1)*IF(Upgrades!$T$14="Open Cluster",POWER(Upgrades!$U$14,F189),1)*IF(Upgrades!$T$15="Open Cluster",POWER(Upgrades!$U$15,G189),1)*IF(Upgrades!$T$16="Open Cluster",POWER(Upgrades!$U$16,H189),1)*IF(Upgrades!$T$17="Open Cluster",POWER(Upgrades!$U$17,I189),1)*IF(Upgrades!$T$18="Open Cluster",POWER(Upgrades!$U$18,J189),1)*IF(Upgrades!$T$19="Open Cluster",POWER(Upgrades!$U$19,K189),1)*IF(Upgrades!$T$21="Open Cluster",POWER(Upgrades!$U$21,M189),1))+(IF(M189=0,0,(Upgrades!$M$21+M189*Upgrades!$N$21)*POWER(Upgrades!$O$21,M189)))*(IF(Upgrades!$T$13="Moving Group",POWER(Upgrades!$U$13,E189),1)*IF(Upgrades!$T$14="Moving Group",POWER(Upgrades!$U$14,F189),1)*IF(Upgrades!$T$15="Moving Group",POWER(Upgrades!$U$15,G189),1)*IF(Upgrades!$T$16="Moving Group",POWER(Upgrades!$U$16,H189),1)*IF(Upgrades!$T$17="Moving Group",POWER(Upgrades!$U$17,I189),1)*IF(Upgrades!$T$18="Moving Group",POWER(Upgrades!$U$18,J189),1)*IF(Upgrades!$T$19="Moving Group",POWER(Upgrades!$U$19,K189),1)*IF(Upgrades!$T$20="Moving Group",POWER(Upgrades!$U$20,L189),1)))*POWER(Upgrades!$R$13,E189)*POWER(Upgrades!$R$14,F189)*POWER(Upgrades!$R$15,G189)*POWER(Upgrades!$R$16,H189)*POWER(Upgrades!$R$17,I189)*POWER(Upgrades!$R$18,J189)*POWER(Upgrades!$R$19,K189)*POWER(Upgrades!$R$20,L189)*POWER(Upgrades!$R$21,M189)*$H$6+$E$6</f>
        <v/>
      </c>
      <c r="R189" s="27">
        <f>IF(N189=1,0,O189*Parameters!$B$10/60*Parameters!$B$11*10)</f>
        <v/>
      </c>
      <c r="S189" s="27">
        <f>IF(N189=1,0,Q189*O189*10)</f>
        <v/>
      </c>
      <c r="T189" s="27">
        <f>IF(N189=1,0,R189+S189+P189*10)</f>
        <v/>
      </c>
      <c r="U189" s="33">
        <f>BE189</f>
        <v/>
      </c>
      <c r="V189" s="22">
        <f>IF(U189="",0,IF(U189="transition",0,IF(U189="SK",AK189,IF(U189="LB",AL189,IF(U189="ML",AM189,IF(U189="RLO",AN189,IF(U189="BD",AO189,IF(U189="BiP",AP189,IF(U189="PV",AQ189,IF(U189="OC",AR189,IF(U189="MG",AS189,0))))))))))</f>
        <v/>
      </c>
      <c r="W189" s="27">
        <f>IF(U189="BiP",Upgrades!$F$18,IF(U189="PV",Upgrades!$F$19,IF(U189="OC",Upgrades!$F$20,IF(U189="MG",Upgrades!$F$21,IF(U189="transition",-Parameters!$B$18*Parameters!$B$19,0)))))</f>
        <v/>
      </c>
      <c r="X189" s="22">
        <f>C189+T189-V189</f>
        <v/>
      </c>
      <c r="Y189" s="30">
        <f>O189*Parameters!$B$10/60*Parameters!$B$11+Q189*O189+P189</f>
        <v/>
      </c>
      <c r="Z189" s="34">
        <f>IF(U189="transition","→ Tier 3 (Galactic Arm)",IF(U189="MG","Moving Group — pocket drifts together",IF(U189="OC","Open Cluster acquired",IF(U189="PV","Peculiar Velocity — passive multiplier active",IF(U189="BiP","Binary Partner — pair bond formed",IF(AND(AU189=1,N189=0,AT189&lt;&gt;1),"Cohesion ready (waiting on completionists)","")))))) </f>
        <v/>
      </c>
      <c r="AA189" s="27">
        <f>(IF(E189=0,0,(Upgrades!$G$13+E189*Upgrades!$H$13)*POWER(Upgrades!$I$13,E189)))*(IF(Upgrades!$T$14="Stellar Kinematics",POWER(Upgrades!$U$14,F189),1)*IF(Upgrades!$T$15="Stellar Kinematics",POWER(Upgrades!$U$15,G189),1)*IF(Upgrades!$T$16="Stellar Kinematics",POWER(Upgrades!$U$16,H189),1)*IF(Upgrades!$T$17="Stellar Kinematics",POWER(Upgrades!$U$17,I189),1)*IF(Upgrades!$T$18="Stellar Kinematics",POWER(Upgrades!$U$18,J189),1)*IF(Upgrades!$T$19="Stellar Kinematics",POWER(Upgrades!$U$19,K189),1)*IF(Upgrades!$T$20="Stellar Kinematics",POWER(Upgrades!$U$20,L189),1)*IF(Upgrades!$T$21="Stellar Kinematics",POWER(Upgrades!$U$21,M189),1))*POWER(Upgrades!$P$13,E189)*POWER(Upgrades!$P$14,F189)*POWER(Upgrades!$P$15,G189)*POWER(Upgrades!$P$16,H189)*POWER(Upgrades!$P$17,I189)*POWER(Upgrades!$P$18,J189)*POWER(Upgrades!$P$19,K189)*POWER(Upgrades!$P$20,L189)*POWER(Upgrades!$P$21,M189)*$F$6*60</f>
        <v/>
      </c>
      <c r="AB189" s="27">
        <f>(IF(F189=0,0,(Upgrades!$G$14+F189*Upgrades!$H$14)*POWER(Upgrades!$I$14,F189)))*(IF(Upgrades!$T$13="Local Bubble",POWER(Upgrades!$U$13,E189),1)*IF(Upgrades!$T$15="Local Bubble",POWER(Upgrades!$U$15,G189),1)*IF(Upgrades!$T$16="Local Bubble",POWER(Upgrades!$U$16,H189),1)*IF(Upgrades!$T$17="Local Bubble",POWER(Upgrades!$U$17,I189),1)*IF(Upgrades!$T$18="Local Bubble",POWER(Upgrades!$U$18,J189),1)*IF(Upgrades!$T$19="Local Bubble",POWER(Upgrades!$U$19,K189),1)*IF(Upgrades!$T$20="Local Bubble",POWER(Upgrades!$U$20,L189),1)*IF(Upgrades!$T$21="Local Bubble",POWER(Upgrades!$U$21,M189),1))*POWER(Upgrades!$P$13,E189)*POWER(Upgrades!$P$14,F189)*POWER(Upgrades!$P$15,G189)*POWER(Upgrades!$P$16,H189)*POWER(Upgrades!$P$17,I189)*POWER(Upgrades!$P$18,J189)*POWER(Upgrades!$P$19,K189)*POWER(Upgrades!$P$20,L189)*POWER(Upgrades!$P$21,M189)*$F$6*60</f>
        <v/>
      </c>
      <c r="AC189" s="27">
        <f>(IF(G189=0,0,(Upgrades!$J$15+G189*Upgrades!$K$15)*POWER(Upgrades!$L$15,G189)))*(IF(Upgrades!$T$13="Microlensing",POWER(Upgrades!$U$13,E189),1)*IF(Upgrades!$T$14="Microlensing",POWER(Upgrades!$U$14,F189),1)*IF(Upgrades!$T$16="Microlensing",POWER(Upgrades!$U$16,H189),1)*IF(Upgrades!$T$17="Microlensing",POWER(Upgrades!$U$17,I189),1)*IF(Upgrades!$T$18="Microlensing",POWER(Upgrades!$U$18,J189),1)*IF(Upgrades!$T$19="Microlensing",POWER(Upgrades!$U$19,K189),1)*IF(Upgrades!$T$20="Microlensing",POWER(Upgrades!$U$20,L189),1)*IF(Upgrades!$T$21="Microlensing",POWER(Upgrades!$U$21,M189),1))*POWER(Upgrades!$Q$13,E189)*POWER(Upgrades!$Q$14,F189)*POWER(Upgrades!$Q$15,G189)*POWER(Upgrades!$Q$16,H189)*POWER(Upgrades!$Q$17,I189)*POWER(Upgrades!$Q$18,J189)*POWER(Upgrades!$Q$19,K189)*POWER(Upgrades!$Q$20,L189)*POWER(Upgrades!$Q$21,M189)*$G$6*(Parameters!$B$10*Parameters!$B$11+Q189*60)</f>
        <v/>
      </c>
      <c r="AD189" s="27">
        <f>(IF(H189=0,0,(Upgrades!$M$16+H189*Upgrades!$N$16)*POWER(Upgrades!$O$16,H189)))*(IF(Upgrades!$T$13="Roche Lobe Overflow",POWER(Upgrades!$U$13,E189),1)*IF(Upgrades!$T$14="Roche Lobe Overflow",POWER(Upgrades!$U$14,F189),1)*IF(Upgrades!$T$15="Roche Lobe Overflow",POWER(Upgrades!$U$15,G189),1)*IF(Upgrades!$T$17="Roche Lobe Overflow",POWER(Upgrades!$U$17,I189),1)*IF(Upgrades!$T$18="Roche Lobe Overflow",POWER(Upgrades!$U$18,J189),1)*IF(Upgrades!$T$19="Roche Lobe Overflow",POWER(Upgrades!$U$19,K189),1)*IF(Upgrades!$T$20="Roche Lobe Overflow",POWER(Upgrades!$U$20,L189),1)*IF(Upgrades!$T$21="Roche Lobe Overflow",POWER(Upgrades!$U$21,M189),1))*POWER(Upgrades!$R$13,E189)*POWER(Upgrades!$R$14,F189)*POWER(Upgrades!$R$15,G189)*POWER(Upgrades!$R$16,H189)*POWER(Upgrades!$R$17,I189)*POWER(Upgrades!$R$18,J189)*POWER(Upgrades!$R$19,K189)*POWER(Upgrades!$R$20,L189)*POWER(Upgrades!$R$21,M189)*$H$6*O189*60</f>
        <v/>
      </c>
      <c r="AE189" s="27">
        <f>(IF(I189=0,0,(Upgrades!$G$17+I189*Upgrades!$H$17)*POWER(Upgrades!$I$17,I189)))*(IF(Upgrades!$T$13="Brown Dwarf",POWER(Upgrades!$U$13,E189),1)*IF(Upgrades!$T$14="Brown Dwarf",POWER(Upgrades!$U$14,F189),1)*IF(Upgrades!$T$15="Brown Dwarf",POWER(Upgrades!$U$15,G189),1)*IF(Upgrades!$T$16="Brown Dwarf",POWER(Upgrades!$U$16,H189),1)*IF(Upgrades!$T$18="Brown Dwarf",POWER(Upgrades!$U$18,J189),1)*IF(Upgrades!$T$19="Brown Dwarf",POWER(Upgrades!$U$19,K189),1)*IF(Upgrades!$T$20="Brown Dwarf",POWER(Upgrades!$U$20,L189),1)*IF(Upgrades!$T$21="Brown Dwarf",POWER(Upgrades!$U$21,M189),1))*POWER(Upgrades!$P$13,E189)*POWER(Upgrades!$P$14,F189)*POWER(Upgrades!$P$15,G189)*POWER(Upgrades!$P$16,H189)*POWER(Upgrades!$P$17,I189)*POWER(Upgrades!$P$18,J189)*POWER(Upgrades!$P$19,K189)*POWER(Upgrades!$P$20,L189)*POWER(Upgrades!$P$21,M189)*$F$6*60</f>
        <v/>
      </c>
      <c r="AF189" s="27" t="n">
        <v>0</v>
      </c>
      <c r="AG189" s="27" t="n">
        <v>0</v>
      </c>
      <c r="AH189" s="27" t="n">
        <v>0</v>
      </c>
      <c r="AI189" s="27">
        <f>(IF(M189=0,0,(Upgrades!$G$21+M189*Upgrades!$H$21)*POWER(Upgrades!$I$21,M189)))*(IF(Upgrades!$T$13="Moving Group",POWER(Upgrades!$U$13,E189),1)*IF(Upgrades!$T$14="Moving Group",POWER(Upgrades!$U$14,F189),1)*IF(Upgrades!$T$15="Moving Group",POWER(Upgrades!$U$15,G189),1)*IF(Upgrades!$T$16="Moving Group",POWER(Upgrades!$U$16,H189),1)*IF(Upgrades!$T$17="Moving Group",POWER(Upgrades!$U$17,I189),1)*IF(Upgrades!$T$18="Moving Group",POWER(Upgrades!$U$18,J189),1)*IF(Upgrades!$T$19="Moving Group",POWER(Upgrades!$U$19,K189),1)*IF(Upgrades!$T$20="Moving Group",POWER(Upgrades!$U$20,L189),1))*POWER(Upgrades!$P$13,E189)*POWER(Upgrades!$P$14,F189)*POWER(Upgrades!$P$15,G189)*POWER(Upgrades!$P$16,H189)*POWER(Upgrades!$P$17,I189)*POWER(Upgrades!$P$18,J189)*POWER(Upgrades!$P$19,K189)*POWER(Upgrades!$P$20,L189)*POWER(Upgrades!$P$21,M189)*$F$6*60</f>
        <v/>
      </c>
      <c r="AJ189" s="27">
        <f>$C$6*60</f>
        <v/>
      </c>
      <c r="AK189" s="22">
        <f>IF(E189&gt;=Upgrades!$E$13,"",Upgrades!$C$13*POWER(Upgrades!$D$13,E189))</f>
        <v/>
      </c>
      <c r="AL189" s="22">
        <f>IF(F189&gt;=Upgrades!$E$14,"",Upgrades!$C$14*POWER(Upgrades!$D$14,F189))</f>
        <v/>
      </c>
      <c r="AM189" s="22">
        <f>IF(G189&gt;=Upgrades!$E$15,"",Upgrades!$C$15*POWER(Upgrades!$D$15,G189))</f>
        <v/>
      </c>
      <c r="AN189" s="22">
        <f>IF(H189&gt;=Upgrades!$E$16,"",Upgrades!$C$16*POWER(Upgrades!$D$16,H189))</f>
        <v/>
      </c>
      <c r="AO189" s="22">
        <f>IF(I189&gt;=Upgrades!$E$17,"",Upgrades!$C$17*POWER(Upgrades!$D$17,I189))</f>
        <v/>
      </c>
      <c r="AP189" s="22">
        <f>IF(J189&gt;=Upgrades!$E$18,"",Upgrades!$C$18*POWER(Upgrades!$D$18,J189))</f>
        <v/>
      </c>
      <c r="AQ189" s="22">
        <f>IF(K189&gt;=Upgrades!$E$19,"",Upgrades!$C$19*POWER(Upgrades!$D$19,K189))</f>
        <v/>
      </c>
      <c r="AR189" s="22">
        <f>IF(L189&gt;=Upgrades!$E$20,"",Upgrades!$C$20*POWER(Upgrades!$D$20,L189))</f>
        <v/>
      </c>
      <c r="AS189" s="22">
        <f>IF(M189&gt;=Upgrades!$E$21,"",Upgrades!$C$21*POWER(Upgrades!$D$21,M189))</f>
        <v/>
      </c>
      <c r="AT189" s="26">
        <f>IF(AND(D189&gt;=Parameters!$B$18*Parameters!$B$19,(I189&gt;=Upgrades!$E$17)*(M189&gt;=Upgrades!$E$21)=1,N189=0),1,"")</f>
        <v/>
      </c>
      <c r="AU189" s="26">
        <f>IF(AND(D189&gt;=Parameters!$B$18*Parameters!$B$19,N189=0),1,"")</f>
        <v/>
      </c>
      <c r="AV189" s="22">
        <f>MIN(IF(ISNUMBER(AP189),AP189,9E15),IF(ISNUMBER(AQ189),AQ189,9E15),IF(ISNUMBER(AR189),AR189,9E15),IF(ISNUMBER(AS189),AS189,9E15))</f>
        <v/>
      </c>
      <c r="AW189" s="22">
        <f>MIN(IF(ISNUMBER(AK189),AK189,9E15),IF(ISNUMBER(AL189),AL189,9E15),IF(ISNUMBER(AM189),AM189,9E15),IF(ISNUMBER(AN189),AN189,9E15),IF(ISNUMBER(AO189),AO189,9E15))</f>
        <v/>
      </c>
      <c r="AX189" s="29">
        <f>IF(BD189&gt;Parameters!$B$21*(MAX(IF(AND(NOT(AND(AU189=1,AT189&lt;&gt;1)),ISNUMBER(AK189),AK189&lt;=(C189+T189)),AY189,0),IF(AND(NOT(AND(AU189=1,AT189&lt;&gt;1)),ISNUMBER(AL189),AL189&lt;=(C189+T189)),AZ189,0),IF(AND(NOT(AND(AU189=1,AT189&lt;&gt;1)),ISNUMBER(AM189),AM189&lt;=(C189+T189)),BA189,0),IF(AND(NOT(AND(AU189=1,AT189&lt;&gt;1)),ISNUMBER(AN189),AN189&lt;=(C189+T189)),BB189,0),IF(AND(ISNUMBER(AO189),AO189&lt;=(C189+T189)),BC189,0))),TRUE,FALSE)</f>
        <v/>
      </c>
      <c r="AY189" s="32">
        <f>IFERROR(Upgrades!$H$13*(POWER(Upgrades!$P$13,E189)*POWER(Upgrades!$P$14,F189)*POWER(Upgrades!$P$15,G189)*POWER(Upgrades!$P$16,H189)*POWER(Upgrades!$P$17,I189)*POWER(Upgrades!$P$18,J189)*POWER(Upgrades!$P$19,K189)*POWER(Upgrades!$P$20,L189)*POWER(Upgrades!$P$21,M189))*(IF(Upgrades!$T$14="Stellar Kinematics",POWER(Upgrades!$U$14,F189),1)*IF(Upgrades!$T$15="Stellar Kinematics",POWER(Upgrades!$U$15,G189),1)*IF(Upgrades!$T$16="Stellar Kinematics",POWER(Upgrades!$U$16,H189),1)*IF(Upgrades!$T$17="Stellar Kinematics",POWER(Upgrades!$U$17,I189),1)*IF(Upgrades!$T$18="Stellar Kinematics",POWER(Upgrades!$U$18,J189),1)*IF(Upgrades!$T$19="Stellar Kinematics",POWER(Upgrades!$U$19,K189),1)*IF(Upgrades!$T$20="Stellar Kinematics",POWER(Upgrades!$U$20,L189),1)*IF(Upgrades!$T$21="Stellar Kinematics",POWER(Upgrades!$U$21,M189),1))*$F$6/AK189,0)</f>
        <v/>
      </c>
      <c r="AZ189" s="32">
        <f>IFERROR(Upgrades!$H$14*(POWER(Upgrades!$P$13,E189)*POWER(Upgrades!$P$14,F189)*POWER(Upgrades!$P$15,G189)*POWER(Upgrades!$P$16,H189)*POWER(Upgrades!$P$17,I189)*POWER(Upgrades!$P$18,J189)*POWER(Upgrades!$P$19,K189)*POWER(Upgrades!$P$20,L189)*POWER(Upgrades!$P$21,M189))*(IF(Upgrades!$T$13="Local Bubble",POWER(Upgrades!$U$13,E189),1)*IF(Upgrades!$T$15="Local Bubble",POWER(Upgrades!$U$15,G189),1)*IF(Upgrades!$T$16="Local Bubble",POWER(Upgrades!$U$16,H189),1)*IF(Upgrades!$T$17="Local Bubble",POWER(Upgrades!$U$17,I189),1)*IF(Upgrades!$T$18="Local Bubble",POWER(Upgrades!$U$18,J189),1)*IF(Upgrades!$T$19="Local Bubble",POWER(Upgrades!$U$19,K189),1)*IF(Upgrades!$T$20="Local Bubble",POWER(Upgrades!$U$20,L189),1)*IF(Upgrades!$T$21="Local Bubble",POWER(Upgrades!$U$21,M189),1))*$F$6/AL189,0)</f>
        <v/>
      </c>
      <c r="BA189" s="32">
        <f>IFERROR(Upgrades!$K$15*(POWER(Upgrades!$Q$13,E189)*POWER(Upgrades!$Q$14,F189)*POWER(Upgrades!$Q$15,G189)*POWER(Upgrades!$Q$16,H189)*POWER(Upgrades!$Q$17,I189)*POWER(Upgrades!$Q$18,J189)*POWER(Upgrades!$Q$19,K189)*POWER(Upgrades!$Q$20,L189)*POWER(Upgrades!$Q$21,M189))*(IF(Upgrades!$T$13="Microlensing",POWER(Upgrades!$U$13,E189),1)*IF(Upgrades!$T$14="Microlensing",POWER(Upgrades!$U$14,F189),1)*IF(Upgrades!$T$16="Microlensing",POWER(Upgrades!$U$16,H189),1)*IF(Upgrades!$T$17="Microlensing",POWER(Upgrades!$U$17,I189),1)*IF(Upgrades!$T$18="Microlensing",POWER(Upgrades!$U$18,J189),1)*IF(Upgrades!$T$19="Microlensing",POWER(Upgrades!$U$19,K189),1)*IF(Upgrades!$T$20="Microlensing",POWER(Upgrades!$U$20,L189),1)*IF(Upgrades!$T$21="Microlensing",POWER(Upgrades!$U$21,M189),1))*$G$6*(Parameters!$B$10/60*Parameters!$B$11+Q189)/AM189,0)</f>
        <v/>
      </c>
      <c r="BB189" s="32">
        <f>IFERROR((Upgrades!$N$16*(POWER(Upgrades!$R$13,E189)*POWER(Upgrades!$R$14,F189)*POWER(Upgrades!$R$15,G189)*POWER(Upgrades!$R$16,H189)*POWER(Upgrades!$R$17,I189)*POWER(Upgrades!$R$18,J189)*POWER(Upgrades!$R$19,K189)*POWER(Upgrades!$R$20,L189)*POWER(Upgrades!$R$21,M189))*(IF(Upgrades!$T$13="Roche Lobe Overflow",POWER(Upgrades!$U$13,E189),1)*IF(Upgrades!$T$14="Roche Lobe Overflow",POWER(Upgrades!$U$14,F189),1)*IF(Upgrades!$T$15="Roche Lobe Overflow",POWER(Upgrades!$U$15,G189),1)*IF(Upgrades!$T$17="Roche Lobe Overflow",POWER(Upgrades!$U$17,I189),1)*IF(Upgrades!$T$18="Roche Lobe Overflow",POWER(Upgrades!$U$18,J189),1)*IF(Upgrades!$T$19="Roche Lobe Overflow",POWER(Upgrades!$U$19,K189),1)*IF(Upgrades!$T$20="Roche Lobe Overflow",POWER(Upgrades!$U$20,L189),1)*IF(Upgrades!$T$21="Roche Lobe Overflow",POWER(Upgrades!$U$21,M189),1))*$H$6*O189+((IF(F189=0,0,(Upgrades!$G$14+F189*Upgrades!$H$14)*POWER(Upgrades!$I$14,F189)))*(IF(Upgrades!$T$13="Local Bubble",POWER(Upgrades!$U$13,E189),1)*IF(Upgrades!$T$15="Local Bubble",POWER(Upgrades!$U$15,G189),1)*IF(Upgrades!$T$16="Local Bubble",POWER(Upgrades!$U$16,H189),1)*IF(Upgrades!$T$17="Local Bubble",POWER(Upgrades!$U$17,I189),1)*IF(Upgrades!$T$18="Local Bubble",POWER(Upgrades!$U$18,J189),1)*IF(Upgrades!$T$19="Local Bubble",POWER(Upgrades!$U$19,K189),1)*IF(Upgrades!$T$20="Local Bubble",POWER(Upgrades!$U$20,L189),1)*IF(Upgrades!$T$21="Local Bubble",POWER(Upgrades!$U$21,M189),1))*POWER(Upgrades!$P$13,E189)*POWER(Upgrades!$P$14,F189)*POWER(Upgrades!$P$15,G189)*POWER(Upgrades!$P$16,H189)*POWER(Upgrades!$P$17,I189)*POWER(Upgrades!$P$18,J189)*POWER(Upgrades!$P$19,K189)*POWER(Upgrades!$P$20,L189)*POWER(Upgrades!$P$21,M189)*$F$6)*0.05)/AN189,0)</f>
        <v/>
      </c>
      <c r="BC189" s="32">
        <f>IFERROR((Upgrades!$H$17*(POWER(Upgrades!$P$13,E189)*POWER(Upgrades!$P$14,F189)*POWER(Upgrades!$P$15,G189)*POWER(Upgrades!$P$16,H189)*POWER(Upgrades!$P$17,I189)*POWER(Upgrades!$P$18,J189)*POWER(Upgrades!$P$19,K189)*POWER(Upgrades!$P$20,L189)*POWER(Upgrades!$P$21,M189))*(IF(Upgrades!$T$13="Brown Dwarf",POWER(Upgrades!$U$13,E189),1)*IF(Upgrades!$T$14="Brown Dwarf",POWER(Upgrades!$U$14,F189),1)*IF(Upgrades!$T$15="Brown Dwarf",POWER(Upgrades!$U$15,G189),1)*IF(Upgrades!$T$16="Brown Dwarf",POWER(Upgrades!$U$16,H189),1)*IF(Upgrades!$T$18="Brown Dwarf",POWER(Upgrades!$U$18,J189),1)*IF(Upgrades!$T$19="Brown Dwarf",POWER(Upgrades!$U$19,K189),1)*IF(Upgrades!$T$20="Brown Dwarf",POWER(Upgrades!$U$20,L189),1)*IF(Upgrades!$T$21="Brown Dwarf",POWER(Upgrades!$U$21,M189),1))*$F$6+(((IF(H189=0,0,(Upgrades!$M$16+H189*Upgrades!$N$16)*POWER(Upgrades!$O$16,H189)))*(IF(Upgrades!$T$13="Roche Lobe Overflow",POWER(Upgrades!$U$13,E189),1)*IF(Upgrades!$T$14="Roche Lobe Overflow",POWER(Upgrades!$U$14,F189),1)*IF(Upgrades!$T$15="Roche Lobe Overflow",POWER(Upgrades!$U$15,G189),1)*IF(Upgrades!$T$17="Roche Lobe Overflow",POWER(Upgrades!$U$17,I189),1)*IF(Upgrades!$T$18="Roche Lobe Overflow",POWER(Upgrades!$U$18,J189),1)*IF(Upgrades!$T$19="Roche Lobe Overflow",POWER(Upgrades!$U$19,K189),1)*IF(Upgrades!$T$20="Roche Lobe Overflow",POWER(Upgrades!$U$20,L189),1)*IF(Upgrades!$T$21="Roche Lobe Overflow",POWER(Upgrades!$U$21,M189),1))*POWER(Upgrades!$R$13,E189)*POWER(Upgrades!$R$14,F189)*POWER(Upgrades!$R$15,G189)*POWER(Upgrades!$R$16,H189)*POWER(Upgrades!$R$17,I189)*POWER(Upgrades!$R$18,J189)*POWER(Upgrades!$R$19,K189)*POWER(Upgrades!$R$20,L189)*POWER(Upgrades!$R$21,M189)*$H$6)*O189)*0.10)/AO189,0)</f>
        <v/>
      </c>
      <c r="BD189" s="32">
        <f>MAX(IF(J189&gt;0,0,IFERROR(0.5*((IF(G189=0,0,(Upgrades!$J$15+G189*Upgrades!$K$15)*POWER(Upgrades!$L$15,G189)))*(IF(Upgrades!$T$13="Microlensing",POWER(Upgrades!$U$13,E189),1)*IF(Upgrades!$T$14="Microlensing",POWER(Upgrades!$U$14,F189),1)*IF(Upgrades!$T$16="Microlensing",POWER(Upgrades!$U$16,H189),1)*IF(Upgrades!$T$17="Microlensing",POWER(Upgrades!$U$17,I189),1)*IF(Upgrades!$T$18="Microlensing",POWER(Upgrades!$U$18,J189),1)*IF(Upgrades!$T$19="Microlensing",POWER(Upgrades!$U$19,K189),1)*IF(Upgrades!$T$20="Microlensing",POWER(Upgrades!$U$20,L189),1)*IF(Upgrades!$T$21="Microlensing",POWER(Upgrades!$U$21,M189),1))*(POWER(Upgrades!$Q$13,E189)*POWER(Upgrades!$Q$14,F189)*POWER(Upgrades!$Q$15,G189)*POWER(Upgrades!$Q$16,H189)*POWER(Upgrades!$Q$17,I189)*POWER(Upgrades!$Q$18,J189)*POWER(Upgrades!$Q$19,K189)*POWER(Upgrades!$Q$20,L189)*POWER(Upgrades!$Q$21,M189))*$G$6*(Parameters!$B$10/60*Parameters!$B$11+Q189))/Upgrades!$C$18,0)),IF(K189&gt;0,0,IFERROR(0.30*P189/Upgrades!$C$19,0)),IF(L189&gt;0,0,IFERROR(0.0001/Upgrades!$C$20,0)),IF(M189&gt;0,0,IFERROR((6.0*(POWER(Upgrades!$P$13,E189)*POWER(Upgrades!$P$14,F189)*POWER(Upgrades!$P$15,G189)*POWER(Upgrades!$P$16,H189)*POWER(Upgrades!$P$17,I189)*POWER(Upgrades!$P$18,J189)*POWER(Upgrades!$P$19,K189)*POWER(Upgrades!$P$20,L189)*POWER(Upgrades!$P$21,M189))*$F$6+0.20*O189*(Parameters!$B$10/60*Parameters!$B$11+Q189))/Upgrades!$C$21,0)),IF(AND(ISNUMBER(AK189),AK189&gt;(C189+T189)),AY189,0),IF(AND(ISNUMBER(AL189),AL189&gt;(C189+T189)),AZ189,0),IF(AND(ISNUMBER(AM189),AM189&gt;(C189+T189)),BA189,0),IF(AND(ISNUMBER(AN189),AN189&gt;(C189+T189)),BB189,0),IF(AND(ISNUMBER(AO189),AO189&gt;(C189+T189)),BC189,0))</f>
        <v/>
      </c>
      <c r="BE189" s="29">
        <f>IF(AT189=1,"transition",IF(MIN(IF(AND(J189=0,ISNUMBER(AP189),AP189&lt;=(C189+T189)),AP189,9E15),IF(AND(K189=0,ISNUMBER(AQ189),AQ189&lt;=(C189+T189)),AQ189,9E15),IF(AND(L189=0,ISNUMBER(AR189),AR189&lt;=(C189+T189)),AR189,9E15),IF(AND(M189=0,ISNUMBER(AS189),AS189&lt;=(C189+T189)),AS189,9E15))&lt;9E15,IF(AND(AND(J189=0,ISNUMBER(AP189),AP189&lt;=(C189+T189)),AP189=MIN(IF(AND(J189=0,ISNUMBER(AP189),AP189&lt;=(C189+T189)),AP189,9E15),IF(AND(K189=0,ISNUMBER(AQ189),AQ189&lt;=(C189+T189)),AQ189,9E15),IF(AND(L189=0,ISNUMBER(AR189),AR189&lt;=(C189+T189)),AR189,9E15),IF(AND(M189=0,ISNUMBER(AS189),AS189&lt;=(C189+T189)),AS189,9E15))),"BiP",IF(AND(AND(K189=0,ISNUMBER(AQ189),AQ189&lt;=(C189+T189)),AQ189=MIN(IF(AND(J189=0,ISNUMBER(AP189),AP189&lt;=(C189+T189)),AP189,9E15),IF(AND(K189=0,ISNUMBER(AQ189),AQ189&lt;=(C189+T189)),AQ189,9E15),IF(AND(L189=0,ISNUMBER(AR189),AR189&lt;=(C189+T189)),AR189,9E15),IF(AND(M189=0,ISNUMBER(AS189),AS189&lt;=(C189+T189)),AS189,9E15))),"PV",IF(AND(AND(L189=0,ISNUMBER(AR189),AR189&lt;=(C189+T189)),AR189=MIN(IF(AND(J189=0,ISNUMBER(AP189),AP189&lt;=(C189+T189)),AP189,9E15),IF(AND(K189=0,ISNUMBER(AQ189),AQ189&lt;=(C189+T189)),AQ189,9E15),IF(AND(L189=0,ISNUMBER(AR189),AR189&lt;=(C189+T189)),AR189,9E15),IF(AND(M189=0,ISNUMBER(AS189),AS189&lt;=(C189+T189)),AS189,9E15))),"OC","MG"))),IF(AX189=TRUE,"",IF(MAX(IF(AND(NOT(AND(AU189=1,AT189&lt;&gt;1)),ISNUMBER(AK189),AK189&lt;=(C189+T189)),AY189,0),IF(AND(NOT(AND(AU189=1,AT189&lt;&gt;1)),ISNUMBER(AL189),AL189&lt;=(C189+T189)),AZ189,0),IF(AND(NOT(AND(AU189=1,AT189&lt;&gt;1)),ISNUMBER(AM189),AM189&lt;=(C189+T189)),BA189,0),IF(AND(NOT(AND(AU189=1,AT189&lt;&gt;1)),ISNUMBER(AN189),AN189&lt;=(C189+T189)),BB189,0),IF(AND(ISNUMBER(AO189),AO189&lt;=(C189+T189)),BC189,0))&lt;=0,"",IF(AND(IF(AND(NOT(AND(AU189=1,AT189&lt;&gt;1)),ISNUMBER(AK189),AK189&lt;=(C189+T189)),AY189,0)&gt;0,IF(AND(NOT(AND(AU189=1,AT189&lt;&gt;1)),ISNUMBER(AK189),AK189&lt;=(C189+T189)),AY189,0)=MAX(IF(AND(NOT(AND(AU189=1,AT189&lt;&gt;1)),ISNUMBER(AK189),AK189&lt;=(C189+T189)),AY189,0),IF(AND(NOT(AND(AU189=1,AT189&lt;&gt;1)),ISNUMBER(AL189),AL189&lt;=(C189+T189)),AZ189,0),IF(AND(NOT(AND(AU189=1,AT189&lt;&gt;1)),ISNUMBER(AM189),AM189&lt;=(C189+T189)),BA189,0),IF(AND(NOT(AND(AU189=1,AT189&lt;&gt;1)),ISNUMBER(AN189),AN189&lt;=(C189+T189)),BB189,0),IF(AND(ISNUMBER(AO189),AO189&lt;=(C189+T189)),BC189,0))),"SK",IF(AND(IF(AND(NOT(AND(AU189=1,AT189&lt;&gt;1)),ISNUMBER(AL189),AL189&lt;=(C189+T189)),AZ189,0)&gt;0,IF(AND(NOT(AND(AU189=1,AT189&lt;&gt;1)),ISNUMBER(AL189),AL189&lt;=(C189+T189)),AZ189,0)=MAX(IF(AND(NOT(AND(AU189=1,AT189&lt;&gt;1)),ISNUMBER(AK189),AK189&lt;=(C189+T189)),AY189,0),IF(AND(NOT(AND(AU189=1,AT189&lt;&gt;1)),ISNUMBER(AL189),AL189&lt;=(C189+T189)),AZ189,0),IF(AND(NOT(AND(AU189=1,AT189&lt;&gt;1)),ISNUMBER(AM189),AM189&lt;=(C189+T189)),BA189,0),IF(AND(NOT(AND(AU189=1,AT189&lt;&gt;1)),ISNUMBER(AN189),AN189&lt;=(C189+T189)),BB189,0),IF(AND(ISNUMBER(AO189),AO189&lt;=(C189+T189)),BC189,0))),"LB",IF(AND(IF(AND(NOT(AND(AU189=1,AT189&lt;&gt;1)),ISNUMBER(AM189),AM189&lt;=(C189+T189)),BA189,0)&gt;0,IF(AND(NOT(AND(AU189=1,AT189&lt;&gt;1)),ISNUMBER(AM189),AM189&lt;=(C189+T189)),BA189,0)=MAX(IF(AND(NOT(AND(AU189=1,AT189&lt;&gt;1)),ISNUMBER(AK189),AK189&lt;=(C189+T189)),AY189,0),IF(AND(NOT(AND(AU189=1,AT189&lt;&gt;1)),ISNUMBER(AL189),AL189&lt;=(C189+T189)),AZ189,0),IF(AND(NOT(AND(AU189=1,AT189&lt;&gt;1)),ISNUMBER(AM189),AM189&lt;=(C189+T189)),BA189,0),IF(AND(NOT(AND(AU189=1,AT189&lt;&gt;1)),ISNUMBER(AN189),AN189&lt;=(C189+T189)),BB189,0),IF(AND(ISNUMBER(AO189),AO189&lt;=(C189+T189)),BC189,0))),"ML",IF(AND(IF(AND(NOT(AND(AU189=1,AT189&lt;&gt;1)),ISNUMBER(AN189),AN189&lt;=(C189+T189)),BB189,0)&gt;0,IF(AND(NOT(AND(AU189=1,AT189&lt;&gt;1)),ISNUMBER(AN189),AN189&lt;=(C189+T189)),BB189,0)=MAX(IF(AND(NOT(AND(AU189=1,AT189&lt;&gt;1)),ISNUMBER(AK189),AK189&lt;=(C189+T189)),AY189,0),IF(AND(NOT(AND(AU189=1,AT189&lt;&gt;1)),ISNUMBER(AL189),AL189&lt;=(C189+T189)),AZ189,0),IF(AND(NOT(AND(AU189=1,AT189&lt;&gt;1)),ISNUMBER(AM189),AM189&lt;=(C189+T189)),BA189,0),IF(AND(NOT(AND(AU189=1,AT189&lt;&gt;1)),ISNUMBER(AN189),AN189&lt;=(C189+T189)),BB189,0),IF(AND(ISNUMBER(AO189),AO189&lt;=(C189+T189)),BC189,0))),"RLO","BD"))))))))</f>
        <v/>
      </c>
    </row>
    <row r="190">
      <c r="A190" s="26" t="n">
        <v>179</v>
      </c>
      <c r="B190" s="27">
        <f>A190*10/60</f>
        <v/>
      </c>
      <c r="C190" s="22">
        <f>X189</f>
        <v/>
      </c>
      <c r="D190" s="27">
        <f>D189+W189</f>
        <v/>
      </c>
      <c r="E190" s="26">
        <f>E189+IF(U189="SK",1,0)</f>
        <v/>
      </c>
      <c r="F190" s="26">
        <f>F189+IF(U189="LB",1,0)</f>
        <v/>
      </c>
      <c r="G190" s="26">
        <f>G189+IF(U189="ML",1,0)</f>
        <v/>
      </c>
      <c r="H190" s="26">
        <f>H189+IF(U189="RLO",1,0)</f>
        <v/>
      </c>
      <c r="I190" s="26">
        <f>I189+IF(U189="BD",1,0)</f>
        <v/>
      </c>
      <c r="J190" s="26">
        <f>MAX(J189,IF(U189="BiP",1,0))</f>
        <v/>
      </c>
      <c r="K190" s="26">
        <f>MAX(K189,IF(U189="PV",1,0))</f>
        <v/>
      </c>
      <c r="L190" s="26">
        <f>MAX(L189,IF(U189="OC",1,0))</f>
        <v/>
      </c>
      <c r="M190" s="26">
        <f>MAX(M189,IF(U189="MG",1,0))</f>
        <v/>
      </c>
      <c r="N190" s="26">
        <f>MAX(N189,IF(U189="transition",1,0))</f>
        <v/>
      </c>
      <c r="O190" s="28">
        <f>(Parameters!$B$9+(IF(E190=0,0,(Upgrades!$J$13+E190*Upgrades!$K$13)*POWER(Upgrades!$L$13,E190)))*(IF(Upgrades!$T$14="Stellar Kinematics",POWER(Upgrades!$U$14,F190),1)*IF(Upgrades!$T$15="Stellar Kinematics",POWER(Upgrades!$U$15,G190),1)*IF(Upgrades!$T$16="Stellar Kinematics",POWER(Upgrades!$U$16,H190),1)*IF(Upgrades!$T$17="Stellar Kinematics",POWER(Upgrades!$U$17,I190),1)*IF(Upgrades!$T$18="Stellar Kinematics",POWER(Upgrades!$U$18,J190),1)*IF(Upgrades!$T$19="Stellar Kinematics",POWER(Upgrades!$U$19,K190),1)*IF(Upgrades!$T$20="Stellar Kinematics",POWER(Upgrades!$U$20,L190),1)*IF(Upgrades!$T$21="Stellar Kinematics",POWER(Upgrades!$U$21,M190),1))+(IF(F190=0,0,(Upgrades!$J$14+F190*Upgrades!$K$14)*POWER(Upgrades!$L$14,F190)))*(IF(Upgrades!$T$13="Local Bubble",POWER(Upgrades!$U$13,E190),1)*IF(Upgrades!$T$15="Local Bubble",POWER(Upgrades!$U$15,G190),1)*IF(Upgrades!$T$16="Local Bubble",POWER(Upgrades!$U$16,H190),1)*IF(Upgrades!$T$17="Local Bubble",POWER(Upgrades!$U$17,I190),1)*IF(Upgrades!$T$18="Local Bubble",POWER(Upgrades!$U$18,J190),1)*IF(Upgrades!$T$19="Local Bubble",POWER(Upgrades!$U$19,K190),1)*IF(Upgrades!$T$20="Local Bubble",POWER(Upgrades!$U$20,L190),1)*IF(Upgrades!$T$21="Local Bubble",POWER(Upgrades!$U$21,M190),1))+(IF(G190=0,0,(Upgrades!$J$15+G190*Upgrades!$K$15)*POWER(Upgrades!$L$15,G190)))*(IF(Upgrades!$T$13="Microlensing",POWER(Upgrades!$U$13,E190),1)*IF(Upgrades!$T$14="Microlensing",POWER(Upgrades!$U$14,F190),1)*IF(Upgrades!$T$16="Microlensing",POWER(Upgrades!$U$16,H190),1)*IF(Upgrades!$T$17="Microlensing",POWER(Upgrades!$U$17,I190),1)*IF(Upgrades!$T$18="Microlensing",POWER(Upgrades!$U$18,J190),1)*IF(Upgrades!$T$19="Microlensing",POWER(Upgrades!$U$19,K190),1)*IF(Upgrades!$T$20="Microlensing",POWER(Upgrades!$U$20,L190),1)*IF(Upgrades!$T$21="Microlensing",POWER(Upgrades!$U$21,M190),1))+(IF(H190=0,0,(Upgrades!$J$16+H190*Upgrades!$K$16)*POWER(Upgrades!$L$16,H190)))*(IF(Upgrades!$T$13="Roche Lobe Overflow",POWER(Upgrades!$U$13,E190),1)*IF(Upgrades!$T$14="Roche Lobe Overflow",POWER(Upgrades!$U$14,F190),1)*IF(Upgrades!$T$15="Roche Lobe Overflow",POWER(Upgrades!$U$15,G190),1)*IF(Upgrades!$T$17="Roche Lobe Overflow",POWER(Upgrades!$U$17,I190),1)*IF(Upgrades!$T$18="Roche Lobe Overflow",POWER(Upgrades!$U$18,J190),1)*IF(Upgrades!$T$19="Roche Lobe Overflow",POWER(Upgrades!$U$19,K190),1)*IF(Upgrades!$T$20="Roche Lobe Overflow",POWER(Upgrades!$U$20,L190),1)*IF(Upgrades!$T$21="Roche Lobe Overflow",POWER(Upgrades!$U$21,M190),1))+(IF(I190=0,0,(Upgrades!$J$17+I190*Upgrades!$K$17)*POWER(Upgrades!$L$17,I190)))*(IF(Upgrades!$T$13="Brown Dwarf",POWER(Upgrades!$U$13,E190),1)*IF(Upgrades!$T$14="Brown Dwarf",POWER(Upgrades!$U$14,F190),1)*IF(Upgrades!$T$15="Brown Dwarf",POWER(Upgrades!$U$15,G190),1)*IF(Upgrades!$T$16="Brown Dwarf",POWER(Upgrades!$U$16,H190),1)*IF(Upgrades!$T$18="Brown Dwarf",POWER(Upgrades!$U$18,J190),1)*IF(Upgrades!$T$19="Brown Dwarf",POWER(Upgrades!$U$19,K190),1)*IF(Upgrades!$T$20="Brown Dwarf",POWER(Upgrades!$U$20,L190),1)*IF(Upgrades!$T$21="Brown Dwarf",POWER(Upgrades!$U$21,M190),1))+(IF(J190=0,0,(Upgrades!$J$18+J190*Upgrades!$K$18)*POWER(Upgrades!$L$18,J190)))*(IF(Upgrades!$T$13="Binary Partner",POWER(Upgrades!$U$13,E190),1)*IF(Upgrades!$T$14="Binary Partner",POWER(Upgrades!$U$14,F190),1)*IF(Upgrades!$T$15="Binary Partner",POWER(Upgrades!$U$15,G190),1)*IF(Upgrades!$T$16="Binary Partner",POWER(Upgrades!$U$16,H190),1)*IF(Upgrades!$T$17="Binary Partner",POWER(Upgrades!$U$17,I190),1)*IF(Upgrades!$T$19="Binary Partner",POWER(Upgrades!$U$19,K190),1)*IF(Upgrades!$T$20="Binary Partner",POWER(Upgrades!$U$20,L190),1)*IF(Upgrades!$T$21="Binary Partner",POWER(Upgrades!$U$21,M190),1))+(IF(K190=0,0,(Upgrades!$J$19+K190*Upgrades!$K$19)*POWER(Upgrades!$L$19,K190)))*(IF(Upgrades!$T$13="Peculiar Velocity",POWER(Upgrades!$U$13,E190),1)*IF(Upgrades!$T$14="Peculiar Velocity",POWER(Upgrades!$U$14,F190),1)*IF(Upgrades!$T$15="Peculiar Velocity",POWER(Upgrades!$U$15,G190),1)*IF(Upgrades!$T$16="Peculiar Velocity",POWER(Upgrades!$U$16,H190),1)*IF(Upgrades!$T$17="Peculiar Velocity",POWER(Upgrades!$U$17,I190),1)*IF(Upgrades!$T$18="Peculiar Velocity",POWER(Upgrades!$U$18,J190),1)*IF(Upgrades!$T$20="Peculiar Velocity",POWER(Upgrades!$U$20,L190),1)*IF(Upgrades!$T$21="Peculiar Velocity",POWER(Upgrades!$U$21,M190),1))+(IF(L190=0,0,(Upgrades!$J$20+L190*Upgrades!$K$20)*POWER(Upgrades!$L$20,L190)))*(IF(Upgrades!$T$13="Open Cluster",POWER(Upgrades!$U$13,E190),1)*IF(Upgrades!$T$14="Open Cluster",POWER(Upgrades!$U$14,F190),1)*IF(Upgrades!$T$15="Open Cluster",POWER(Upgrades!$U$15,G190),1)*IF(Upgrades!$T$16="Open Cluster",POWER(Upgrades!$U$16,H190),1)*IF(Upgrades!$T$17="Open Cluster",POWER(Upgrades!$U$17,I190),1)*IF(Upgrades!$T$18="Open Cluster",POWER(Upgrades!$U$18,J190),1)*IF(Upgrades!$T$19="Open Cluster",POWER(Upgrades!$U$19,K190),1)*IF(Upgrades!$T$21="Open Cluster",POWER(Upgrades!$U$21,M190),1))+(IF(M190=0,0,(Upgrades!$J$21+M190*Upgrades!$K$21)*POWER(Upgrades!$L$21,M190)))*(IF(Upgrades!$T$13="Moving Group",POWER(Upgrades!$U$13,E190),1)*IF(Upgrades!$T$14="Moving Group",POWER(Upgrades!$U$14,F190),1)*IF(Upgrades!$T$15="Moving Group",POWER(Upgrades!$U$15,G190),1)*IF(Upgrades!$T$16="Moving Group",POWER(Upgrades!$U$16,H190),1)*IF(Upgrades!$T$17="Moving Group",POWER(Upgrades!$U$17,I190),1)*IF(Upgrades!$T$18="Moving Group",POWER(Upgrades!$U$18,J190),1)*IF(Upgrades!$T$19="Moving Group",POWER(Upgrades!$U$19,K190),1)*IF(Upgrades!$T$20="Moving Group",POWER(Upgrades!$U$20,L190),1)))*POWER(Upgrades!$Q$13,E190)*POWER(Upgrades!$Q$14,F190)*POWER(Upgrades!$Q$15,G190)*POWER(Upgrades!$Q$16,H190)*POWER(Upgrades!$Q$17,I190)*POWER(Upgrades!$Q$18,J190)*POWER(Upgrades!$Q$19,K190)*POWER(Upgrades!$Q$20,L190)*POWER(Upgrades!$Q$21,M190)*$G$6+$D$6</f>
        <v/>
      </c>
      <c r="P190" s="28">
        <f>((IF(E190=0,0,(Upgrades!$G$13+E190*Upgrades!$H$13)*POWER(Upgrades!$I$13,E190)))*(IF(Upgrades!$T$14="Stellar Kinematics",POWER(Upgrades!$U$14,F190),1)*IF(Upgrades!$T$15="Stellar Kinematics",POWER(Upgrades!$U$15,G190),1)*IF(Upgrades!$T$16="Stellar Kinematics",POWER(Upgrades!$U$16,H190),1)*IF(Upgrades!$T$17="Stellar Kinematics",POWER(Upgrades!$U$17,I190),1)*IF(Upgrades!$T$18="Stellar Kinematics",POWER(Upgrades!$U$18,J190),1)*IF(Upgrades!$T$19="Stellar Kinematics",POWER(Upgrades!$U$19,K190),1)*IF(Upgrades!$T$20="Stellar Kinematics",POWER(Upgrades!$U$20,L190),1)*IF(Upgrades!$T$21="Stellar Kinematics",POWER(Upgrades!$U$21,M190),1))+(IF(F190=0,0,(Upgrades!$G$14+F190*Upgrades!$H$14)*POWER(Upgrades!$I$14,F190)))*(IF(Upgrades!$T$13="Local Bubble",POWER(Upgrades!$U$13,E190),1)*IF(Upgrades!$T$15="Local Bubble",POWER(Upgrades!$U$15,G190),1)*IF(Upgrades!$T$16="Local Bubble",POWER(Upgrades!$U$16,H190),1)*IF(Upgrades!$T$17="Local Bubble",POWER(Upgrades!$U$17,I190),1)*IF(Upgrades!$T$18="Local Bubble",POWER(Upgrades!$U$18,J190),1)*IF(Upgrades!$T$19="Local Bubble",POWER(Upgrades!$U$19,K190),1)*IF(Upgrades!$T$20="Local Bubble",POWER(Upgrades!$U$20,L190),1)*IF(Upgrades!$T$21="Local Bubble",POWER(Upgrades!$U$21,M190),1))+(IF(G190=0,0,(Upgrades!$G$15+G190*Upgrades!$H$15)*POWER(Upgrades!$I$15,G190)))*(IF(Upgrades!$T$13="Microlensing",POWER(Upgrades!$U$13,E190),1)*IF(Upgrades!$T$14="Microlensing",POWER(Upgrades!$U$14,F190),1)*IF(Upgrades!$T$16="Microlensing",POWER(Upgrades!$U$16,H190),1)*IF(Upgrades!$T$17="Microlensing",POWER(Upgrades!$U$17,I190),1)*IF(Upgrades!$T$18="Microlensing",POWER(Upgrades!$U$18,J190),1)*IF(Upgrades!$T$19="Microlensing",POWER(Upgrades!$U$19,K190),1)*IF(Upgrades!$T$20="Microlensing",POWER(Upgrades!$U$20,L190),1)*IF(Upgrades!$T$21="Microlensing",POWER(Upgrades!$U$21,M190),1))+(IF(H190=0,0,(Upgrades!$G$16+H190*Upgrades!$H$16)*POWER(Upgrades!$I$16,H190)))*(IF(Upgrades!$T$13="Roche Lobe Overflow",POWER(Upgrades!$U$13,E190),1)*IF(Upgrades!$T$14="Roche Lobe Overflow",POWER(Upgrades!$U$14,F190),1)*IF(Upgrades!$T$15="Roche Lobe Overflow",POWER(Upgrades!$U$15,G190),1)*IF(Upgrades!$T$17="Roche Lobe Overflow",POWER(Upgrades!$U$17,I190),1)*IF(Upgrades!$T$18="Roche Lobe Overflow",POWER(Upgrades!$U$18,J190),1)*IF(Upgrades!$T$19="Roche Lobe Overflow",POWER(Upgrades!$U$19,K190),1)*IF(Upgrades!$T$20="Roche Lobe Overflow",POWER(Upgrades!$U$20,L190),1)*IF(Upgrades!$T$21="Roche Lobe Overflow",POWER(Upgrades!$U$21,M190),1))+(IF(I190=0,0,(Upgrades!$G$17+I190*Upgrades!$H$17)*POWER(Upgrades!$I$17,I190)))*(IF(Upgrades!$T$13="Brown Dwarf",POWER(Upgrades!$U$13,E190),1)*IF(Upgrades!$T$14="Brown Dwarf",POWER(Upgrades!$U$14,F190),1)*IF(Upgrades!$T$15="Brown Dwarf",POWER(Upgrades!$U$15,G190),1)*IF(Upgrades!$T$16="Brown Dwarf",POWER(Upgrades!$U$16,H190),1)*IF(Upgrades!$T$18="Brown Dwarf",POWER(Upgrades!$U$18,J190),1)*IF(Upgrades!$T$19="Brown Dwarf",POWER(Upgrades!$U$19,K190),1)*IF(Upgrades!$T$20="Brown Dwarf",POWER(Upgrades!$U$20,L190),1)*IF(Upgrades!$T$21="Brown Dwarf",POWER(Upgrades!$U$21,M190),1))+(IF(J190=0,0,(Upgrades!$G$18+J190*Upgrades!$H$18)*POWER(Upgrades!$I$18,J190)))*(IF(Upgrades!$T$13="Binary Partner",POWER(Upgrades!$U$13,E190),1)*IF(Upgrades!$T$14="Binary Partner",POWER(Upgrades!$U$14,F190),1)*IF(Upgrades!$T$15="Binary Partner",POWER(Upgrades!$U$15,G190),1)*IF(Upgrades!$T$16="Binary Partner",POWER(Upgrades!$U$16,H190),1)*IF(Upgrades!$T$17="Binary Partner",POWER(Upgrades!$U$17,I190),1)*IF(Upgrades!$T$19="Binary Partner",POWER(Upgrades!$U$19,K190),1)*IF(Upgrades!$T$20="Binary Partner",POWER(Upgrades!$U$20,L190),1)*IF(Upgrades!$T$21="Binary Partner",POWER(Upgrades!$U$21,M190),1))+(IF(K190=0,0,(Upgrades!$G$19+K190*Upgrades!$H$19)*POWER(Upgrades!$I$19,K190)))*(IF(Upgrades!$T$13="Peculiar Velocity",POWER(Upgrades!$U$13,E190),1)*IF(Upgrades!$T$14="Peculiar Velocity",POWER(Upgrades!$U$14,F190),1)*IF(Upgrades!$T$15="Peculiar Velocity",POWER(Upgrades!$U$15,G190),1)*IF(Upgrades!$T$16="Peculiar Velocity",POWER(Upgrades!$U$16,H190),1)*IF(Upgrades!$T$17="Peculiar Velocity",POWER(Upgrades!$U$17,I190),1)*IF(Upgrades!$T$18="Peculiar Velocity",POWER(Upgrades!$U$18,J190),1)*IF(Upgrades!$T$20="Peculiar Velocity",POWER(Upgrades!$U$20,L190),1)*IF(Upgrades!$T$21="Peculiar Velocity",POWER(Upgrades!$U$21,M190),1))+(IF(L190=0,0,(Upgrades!$G$20+L190*Upgrades!$H$20)*POWER(Upgrades!$I$20,L190)))*(IF(Upgrades!$T$13="Open Cluster",POWER(Upgrades!$U$13,E190),1)*IF(Upgrades!$T$14="Open Cluster",POWER(Upgrades!$U$14,F190),1)*IF(Upgrades!$T$15="Open Cluster",POWER(Upgrades!$U$15,G190),1)*IF(Upgrades!$T$16="Open Cluster",POWER(Upgrades!$U$16,H190),1)*IF(Upgrades!$T$17="Open Cluster",POWER(Upgrades!$U$17,I190),1)*IF(Upgrades!$T$18="Open Cluster",POWER(Upgrades!$U$18,J190),1)*IF(Upgrades!$T$19="Open Cluster",POWER(Upgrades!$U$19,K190),1)*IF(Upgrades!$T$21="Open Cluster",POWER(Upgrades!$U$21,M190),1))+(IF(M190=0,0,(Upgrades!$G$21+M190*Upgrades!$H$21)*POWER(Upgrades!$I$21,M190)))*(IF(Upgrades!$T$13="Moving Group",POWER(Upgrades!$U$13,E190),1)*IF(Upgrades!$T$14="Moving Group",POWER(Upgrades!$U$14,F190),1)*IF(Upgrades!$T$15="Moving Group",POWER(Upgrades!$U$15,G190),1)*IF(Upgrades!$T$16="Moving Group",POWER(Upgrades!$U$16,H190),1)*IF(Upgrades!$T$17="Moving Group",POWER(Upgrades!$U$17,I190),1)*IF(Upgrades!$T$18="Moving Group",POWER(Upgrades!$U$18,J190),1)*IF(Upgrades!$T$19="Moving Group",POWER(Upgrades!$U$19,K190),1)*IF(Upgrades!$T$20="Moving Group",POWER(Upgrades!$U$20,L190),1)))*POWER(Upgrades!$P$13,E190)*POWER(Upgrades!$P$14,F190)*POWER(Upgrades!$P$15,G190)*POWER(Upgrades!$P$16,H190)*POWER(Upgrades!$P$17,I190)*POWER(Upgrades!$P$18,J190)*POWER(Upgrades!$P$19,K190)*POWER(Upgrades!$P$20,L190)*POWER(Upgrades!$P$21,M190)*$F$6+$C$6</f>
        <v/>
      </c>
      <c r="Q190" s="28">
        <f>((IF(E190=0,0,(Upgrades!$M$13+E190*Upgrades!$N$13)*POWER(Upgrades!$O$13,E190)))*(IF(Upgrades!$T$14="Stellar Kinematics",POWER(Upgrades!$U$14,F190),1)*IF(Upgrades!$T$15="Stellar Kinematics",POWER(Upgrades!$U$15,G190),1)*IF(Upgrades!$T$16="Stellar Kinematics",POWER(Upgrades!$U$16,H190),1)*IF(Upgrades!$T$17="Stellar Kinematics",POWER(Upgrades!$U$17,I190),1)*IF(Upgrades!$T$18="Stellar Kinematics",POWER(Upgrades!$U$18,J190),1)*IF(Upgrades!$T$19="Stellar Kinematics",POWER(Upgrades!$U$19,K190),1)*IF(Upgrades!$T$20="Stellar Kinematics",POWER(Upgrades!$U$20,L190),1)*IF(Upgrades!$T$21="Stellar Kinematics",POWER(Upgrades!$U$21,M190),1))+(IF(F190=0,0,(Upgrades!$M$14+F190*Upgrades!$N$14)*POWER(Upgrades!$O$14,F190)))*(IF(Upgrades!$T$13="Local Bubble",POWER(Upgrades!$U$13,E190),1)*IF(Upgrades!$T$15="Local Bubble",POWER(Upgrades!$U$15,G190),1)*IF(Upgrades!$T$16="Local Bubble",POWER(Upgrades!$U$16,H190),1)*IF(Upgrades!$T$17="Local Bubble",POWER(Upgrades!$U$17,I190),1)*IF(Upgrades!$T$18="Local Bubble",POWER(Upgrades!$U$18,J190),1)*IF(Upgrades!$T$19="Local Bubble",POWER(Upgrades!$U$19,K190),1)*IF(Upgrades!$T$20="Local Bubble",POWER(Upgrades!$U$20,L190),1)*IF(Upgrades!$T$21="Local Bubble",POWER(Upgrades!$U$21,M190),1))+(IF(G190=0,0,(Upgrades!$M$15+G190*Upgrades!$N$15)*POWER(Upgrades!$O$15,G190)))*(IF(Upgrades!$T$13="Microlensing",POWER(Upgrades!$U$13,E190),1)*IF(Upgrades!$T$14="Microlensing",POWER(Upgrades!$U$14,F190),1)*IF(Upgrades!$T$16="Microlensing",POWER(Upgrades!$U$16,H190),1)*IF(Upgrades!$T$17="Microlensing",POWER(Upgrades!$U$17,I190),1)*IF(Upgrades!$T$18="Microlensing",POWER(Upgrades!$U$18,J190),1)*IF(Upgrades!$T$19="Microlensing",POWER(Upgrades!$U$19,K190),1)*IF(Upgrades!$T$20="Microlensing",POWER(Upgrades!$U$20,L190),1)*IF(Upgrades!$T$21="Microlensing",POWER(Upgrades!$U$21,M190),1))+(IF(H190=0,0,(Upgrades!$M$16+H190*Upgrades!$N$16)*POWER(Upgrades!$O$16,H190)))*(IF(Upgrades!$T$13="Roche Lobe Overflow",POWER(Upgrades!$U$13,E190),1)*IF(Upgrades!$T$14="Roche Lobe Overflow",POWER(Upgrades!$U$14,F190),1)*IF(Upgrades!$T$15="Roche Lobe Overflow",POWER(Upgrades!$U$15,G190),1)*IF(Upgrades!$T$17="Roche Lobe Overflow",POWER(Upgrades!$U$17,I190),1)*IF(Upgrades!$T$18="Roche Lobe Overflow",POWER(Upgrades!$U$18,J190),1)*IF(Upgrades!$T$19="Roche Lobe Overflow",POWER(Upgrades!$U$19,K190),1)*IF(Upgrades!$T$20="Roche Lobe Overflow",POWER(Upgrades!$U$20,L190),1)*IF(Upgrades!$T$21="Roche Lobe Overflow",POWER(Upgrades!$U$21,M190),1))+(IF(I190=0,0,(Upgrades!$M$17+I190*Upgrades!$N$17)*POWER(Upgrades!$O$17,I190)))*(IF(Upgrades!$T$13="Brown Dwarf",POWER(Upgrades!$U$13,E190),1)*IF(Upgrades!$T$14="Brown Dwarf",POWER(Upgrades!$U$14,F190),1)*IF(Upgrades!$T$15="Brown Dwarf",POWER(Upgrades!$U$15,G190),1)*IF(Upgrades!$T$16="Brown Dwarf",POWER(Upgrades!$U$16,H190),1)*IF(Upgrades!$T$18="Brown Dwarf",POWER(Upgrades!$U$18,J190),1)*IF(Upgrades!$T$19="Brown Dwarf",POWER(Upgrades!$U$19,K190),1)*IF(Upgrades!$T$20="Brown Dwarf",POWER(Upgrades!$U$20,L190),1)*IF(Upgrades!$T$21="Brown Dwarf",POWER(Upgrades!$U$21,M190),1))+(IF(J190=0,0,(Upgrades!$M$18+J190*Upgrades!$N$18)*POWER(Upgrades!$O$18,J190)))*(IF(Upgrades!$T$13="Binary Partner",POWER(Upgrades!$U$13,E190),1)*IF(Upgrades!$T$14="Binary Partner",POWER(Upgrades!$U$14,F190),1)*IF(Upgrades!$T$15="Binary Partner",POWER(Upgrades!$U$15,G190),1)*IF(Upgrades!$T$16="Binary Partner",POWER(Upgrades!$U$16,H190),1)*IF(Upgrades!$T$17="Binary Partner",POWER(Upgrades!$U$17,I190),1)*IF(Upgrades!$T$19="Binary Partner",POWER(Upgrades!$U$19,K190),1)*IF(Upgrades!$T$20="Binary Partner",POWER(Upgrades!$U$20,L190),1)*IF(Upgrades!$T$21="Binary Partner",POWER(Upgrades!$U$21,M190),1))+(IF(K190=0,0,(Upgrades!$M$19+K190*Upgrades!$N$19)*POWER(Upgrades!$O$19,K190)))*(IF(Upgrades!$T$13="Peculiar Velocity",POWER(Upgrades!$U$13,E190),1)*IF(Upgrades!$T$14="Peculiar Velocity",POWER(Upgrades!$U$14,F190),1)*IF(Upgrades!$T$15="Peculiar Velocity",POWER(Upgrades!$U$15,G190),1)*IF(Upgrades!$T$16="Peculiar Velocity",POWER(Upgrades!$U$16,H190),1)*IF(Upgrades!$T$17="Peculiar Velocity",POWER(Upgrades!$U$17,I190),1)*IF(Upgrades!$T$18="Peculiar Velocity",POWER(Upgrades!$U$18,J190),1)*IF(Upgrades!$T$20="Peculiar Velocity",POWER(Upgrades!$U$20,L190),1)*IF(Upgrades!$T$21="Peculiar Velocity",POWER(Upgrades!$U$21,M190),1))+(IF(L190=0,0,(Upgrades!$M$20+L190*Upgrades!$N$20)*POWER(Upgrades!$O$20,L190)))*(IF(Upgrades!$T$13="Open Cluster",POWER(Upgrades!$U$13,E190),1)*IF(Upgrades!$T$14="Open Cluster",POWER(Upgrades!$U$14,F190),1)*IF(Upgrades!$T$15="Open Cluster",POWER(Upgrades!$U$15,G190),1)*IF(Upgrades!$T$16="Open Cluster",POWER(Upgrades!$U$16,H190),1)*IF(Upgrades!$T$17="Open Cluster",POWER(Upgrades!$U$17,I190),1)*IF(Upgrades!$T$18="Open Cluster",POWER(Upgrades!$U$18,J190),1)*IF(Upgrades!$T$19="Open Cluster",POWER(Upgrades!$U$19,K190),1)*IF(Upgrades!$T$21="Open Cluster",POWER(Upgrades!$U$21,M190),1))+(IF(M190=0,0,(Upgrades!$M$21+M190*Upgrades!$N$21)*POWER(Upgrades!$O$21,M190)))*(IF(Upgrades!$T$13="Moving Group",POWER(Upgrades!$U$13,E190),1)*IF(Upgrades!$T$14="Moving Group",POWER(Upgrades!$U$14,F190),1)*IF(Upgrades!$T$15="Moving Group",POWER(Upgrades!$U$15,G190),1)*IF(Upgrades!$T$16="Moving Group",POWER(Upgrades!$U$16,H190),1)*IF(Upgrades!$T$17="Moving Group",POWER(Upgrades!$U$17,I190),1)*IF(Upgrades!$T$18="Moving Group",POWER(Upgrades!$U$18,J190),1)*IF(Upgrades!$T$19="Moving Group",POWER(Upgrades!$U$19,K190),1)*IF(Upgrades!$T$20="Moving Group",POWER(Upgrades!$U$20,L190),1)))*POWER(Upgrades!$R$13,E190)*POWER(Upgrades!$R$14,F190)*POWER(Upgrades!$R$15,G190)*POWER(Upgrades!$R$16,H190)*POWER(Upgrades!$R$17,I190)*POWER(Upgrades!$R$18,J190)*POWER(Upgrades!$R$19,K190)*POWER(Upgrades!$R$20,L190)*POWER(Upgrades!$R$21,M190)*$H$6+$E$6</f>
        <v/>
      </c>
      <c r="R190" s="27">
        <f>IF(N190=1,0,O190*Parameters!$B$10/60*Parameters!$B$11*10)</f>
        <v/>
      </c>
      <c r="S190" s="27">
        <f>IF(N190=1,0,Q190*O190*10)</f>
        <v/>
      </c>
      <c r="T190" s="27">
        <f>IF(N190=1,0,R190+S190+P190*10)</f>
        <v/>
      </c>
      <c r="U190" s="33">
        <f>BE190</f>
        <v/>
      </c>
      <c r="V190" s="22">
        <f>IF(U190="",0,IF(U190="transition",0,IF(U190="SK",AK190,IF(U190="LB",AL190,IF(U190="ML",AM190,IF(U190="RLO",AN190,IF(U190="BD",AO190,IF(U190="BiP",AP190,IF(U190="PV",AQ190,IF(U190="OC",AR190,IF(U190="MG",AS190,0))))))))))</f>
        <v/>
      </c>
      <c r="W190" s="27">
        <f>IF(U190="BiP",Upgrades!$F$18,IF(U190="PV",Upgrades!$F$19,IF(U190="OC",Upgrades!$F$20,IF(U190="MG",Upgrades!$F$21,IF(U190="transition",-Parameters!$B$18*Parameters!$B$19,0)))))</f>
        <v/>
      </c>
      <c r="X190" s="22">
        <f>C190+T190-V190</f>
        <v/>
      </c>
      <c r="Y190" s="30">
        <f>O190*Parameters!$B$10/60*Parameters!$B$11+Q190*O190+P190</f>
        <v/>
      </c>
      <c r="Z190" s="34">
        <f>IF(U190="transition","→ Tier 3 (Galactic Arm)",IF(U190="MG","Moving Group — pocket drifts together",IF(U190="OC","Open Cluster acquired",IF(U190="PV","Peculiar Velocity — passive multiplier active",IF(U190="BiP","Binary Partner — pair bond formed",IF(AND(AU190=1,N190=0,AT190&lt;&gt;1),"Cohesion ready (waiting on completionists)","")))))) </f>
        <v/>
      </c>
      <c r="AA190" s="27">
        <f>(IF(E190=0,0,(Upgrades!$G$13+E190*Upgrades!$H$13)*POWER(Upgrades!$I$13,E190)))*(IF(Upgrades!$T$14="Stellar Kinematics",POWER(Upgrades!$U$14,F190),1)*IF(Upgrades!$T$15="Stellar Kinematics",POWER(Upgrades!$U$15,G190),1)*IF(Upgrades!$T$16="Stellar Kinematics",POWER(Upgrades!$U$16,H190),1)*IF(Upgrades!$T$17="Stellar Kinematics",POWER(Upgrades!$U$17,I190),1)*IF(Upgrades!$T$18="Stellar Kinematics",POWER(Upgrades!$U$18,J190),1)*IF(Upgrades!$T$19="Stellar Kinematics",POWER(Upgrades!$U$19,K190),1)*IF(Upgrades!$T$20="Stellar Kinematics",POWER(Upgrades!$U$20,L190),1)*IF(Upgrades!$T$21="Stellar Kinematics",POWER(Upgrades!$U$21,M190),1))*POWER(Upgrades!$P$13,E190)*POWER(Upgrades!$P$14,F190)*POWER(Upgrades!$P$15,G190)*POWER(Upgrades!$P$16,H190)*POWER(Upgrades!$P$17,I190)*POWER(Upgrades!$P$18,J190)*POWER(Upgrades!$P$19,K190)*POWER(Upgrades!$P$20,L190)*POWER(Upgrades!$P$21,M190)*$F$6*60</f>
        <v/>
      </c>
      <c r="AB190" s="27">
        <f>(IF(F190=0,0,(Upgrades!$G$14+F190*Upgrades!$H$14)*POWER(Upgrades!$I$14,F190)))*(IF(Upgrades!$T$13="Local Bubble",POWER(Upgrades!$U$13,E190),1)*IF(Upgrades!$T$15="Local Bubble",POWER(Upgrades!$U$15,G190),1)*IF(Upgrades!$T$16="Local Bubble",POWER(Upgrades!$U$16,H190),1)*IF(Upgrades!$T$17="Local Bubble",POWER(Upgrades!$U$17,I190),1)*IF(Upgrades!$T$18="Local Bubble",POWER(Upgrades!$U$18,J190),1)*IF(Upgrades!$T$19="Local Bubble",POWER(Upgrades!$U$19,K190),1)*IF(Upgrades!$T$20="Local Bubble",POWER(Upgrades!$U$20,L190),1)*IF(Upgrades!$T$21="Local Bubble",POWER(Upgrades!$U$21,M190),1))*POWER(Upgrades!$P$13,E190)*POWER(Upgrades!$P$14,F190)*POWER(Upgrades!$P$15,G190)*POWER(Upgrades!$P$16,H190)*POWER(Upgrades!$P$17,I190)*POWER(Upgrades!$P$18,J190)*POWER(Upgrades!$P$19,K190)*POWER(Upgrades!$P$20,L190)*POWER(Upgrades!$P$21,M190)*$F$6*60</f>
        <v/>
      </c>
      <c r="AC190" s="27">
        <f>(IF(G190=0,0,(Upgrades!$J$15+G190*Upgrades!$K$15)*POWER(Upgrades!$L$15,G190)))*(IF(Upgrades!$T$13="Microlensing",POWER(Upgrades!$U$13,E190),1)*IF(Upgrades!$T$14="Microlensing",POWER(Upgrades!$U$14,F190),1)*IF(Upgrades!$T$16="Microlensing",POWER(Upgrades!$U$16,H190),1)*IF(Upgrades!$T$17="Microlensing",POWER(Upgrades!$U$17,I190),1)*IF(Upgrades!$T$18="Microlensing",POWER(Upgrades!$U$18,J190),1)*IF(Upgrades!$T$19="Microlensing",POWER(Upgrades!$U$19,K190),1)*IF(Upgrades!$T$20="Microlensing",POWER(Upgrades!$U$20,L190),1)*IF(Upgrades!$T$21="Microlensing",POWER(Upgrades!$U$21,M190),1))*POWER(Upgrades!$Q$13,E190)*POWER(Upgrades!$Q$14,F190)*POWER(Upgrades!$Q$15,G190)*POWER(Upgrades!$Q$16,H190)*POWER(Upgrades!$Q$17,I190)*POWER(Upgrades!$Q$18,J190)*POWER(Upgrades!$Q$19,K190)*POWER(Upgrades!$Q$20,L190)*POWER(Upgrades!$Q$21,M190)*$G$6*(Parameters!$B$10*Parameters!$B$11+Q190*60)</f>
        <v/>
      </c>
      <c r="AD190" s="27">
        <f>(IF(H190=0,0,(Upgrades!$M$16+H190*Upgrades!$N$16)*POWER(Upgrades!$O$16,H190)))*(IF(Upgrades!$T$13="Roche Lobe Overflow",POWER(Upgrades!$U$13,E190),1)*IF(Upgrades!$T$14="Roche Lobe Overflow",POWER(Upgrades!$U$14,F190),1)*IF(Upgrades!$T$15="Roche Lobe Overflow",POWER(Upgrades!$U$15,G190),1)*IF(Upgrades!$T$17="Roche Lobe Overflow",POWER(Upgrades!$U$17,I190),1)*IF(Upgrades!$T$18="Roche Lobe Overflow",POWER(Upgrades!$U$18,J190),1)*IF(Upgrades!$T$19="Roche Lobe Overflow",POWER(Upgrades!$U$19,K190),1)*IF(Upgrades!$T$20="Roche Lobe Overflow",POWER(Upgrades!$U$20,L190),1)*IF(Upgrades!$T$21="Roche Lobe Overflow",POWER(Upgrades!$U$21,M190),1))*POWER(Upgrades!$R$13,E190)*POWER(Upgrades!$R$14,F190)*POWER(Upgrades!$R$15,G190)*POWER(Upgrades!$R$16,H190)*POWER(Upgrades!$R$17,I190)*POWER(Upgrades!$R$18,J190)*POWER(Upgrades!$R$19,K190)*POWER(Upgrades!$R$20,L190)*POWER(Upgrades!$R$21,M190)*$H$6*O190*60</f>
        <v/>
      </c>
      <c r="AE190" s="27">
        <f>(IF(I190=0,0,(Upgrades!$G$17+I190*Upgrades!$H$17)*POWER(Upgrades!$I$17,I190)))*(IF(Upgrades!$T$13="Brown Dwarf",POWER(Upgrades!$U$13,E190),1)*IF(Upgrades!$T$14="Brown Dwarf",POWER(Upgrades!$U$14,F190),1)*IF(Upgrades!$T$15="Brown Dwarf",POWER(Upgrades!$U$15,G190),1)*IF(Upgrades!$T$16="Brown Dwarf",POWER(Upgrades!$U$16,H190),1)*IF(Upgrades!$T$18="Brown Dwarf",POWER(Upgrades!$U$18,J190),1)*IF(Upgrades!$T$19="Brown Dwarf",POWER(Upgrades!$U$19,K190),1)*IF(Upgrades!$T$20="Brown Dwarf",POWER(Upgrades!$U$20,L190),1)*IF(Upgrades!$T$21="Brown Dwarf",POWER(Upgrades!$U$21,M190),1))*POWER(Upgrades!$P$13,E190)*POWER(Upgrades!$P$14,F190)*POWER(Upgrades!$P$15,G190)*POWER(Upgrades!$P$16,H190)*POWER(Upgrades!$P$17,I190)*POWER(Upgrades!$P$18,J190)*POWER(Upgrades!$P$19,K190)*POWER(Upgrades!$P$20,L190)*POWER(Upgrades!$P$21,M190)*$F$6*60</f>
        <v/>
      </c>
      <c r="AF190" s="27" t="n">
        <v>0</v>
      </c>
      <c r="AG190" s="27" t="n">
        <v>0</v>
      </c>
      <c r="AH190" s="27" t="n">
        <v>0</v>
      </c>
      <c r="AI190" s="27">
        <f>(IF(M190=0,0,(Upgrades!$G$21+M190*Upgrades!$H$21)*POWER(Upgrades!$I$21,M190)))*(IF(Upgrades!$T$13="Moving Group",POWER(Upgrades!$U$13,E190),1)*IF(Upgrades!$T$14="Moving Group",POWER(Upgrades!$U$14,F190),1)*IF(Upgrades!$T$15="Moving Group",POWER(Upgrades!$U$15,G190),1)*IF(Upgrades!$T$16="Moving Group",POWER(Upgrades!$U$16,H190),1)*IF(Upgrades!$T$17="Moving Group",POWER(Upgrades!$U$17,I190),1)*IF(Upgrades!$T$18="Moving Group",POWER(Upgrades!$U$18,J190),1)*IF(Upgrades!$T$19="Moving Group",POWER(Upgrades!$U$19,K190),1)*IF(Upgrades!$T$20="Moving Group",POWER(Upgrades!$U$20,L190),1))*POWER(Upgrades!$P$13,E190)*POWER(Upgrades!$P$14,F190)*POWER(Upgrades!$P$15,G190)*POWER(Upgrades!$P$16,H190)*POWER(Upgrades!$P$17,I190)*POWER(Upgrades!$P$18,J190)*POWER(Upgrades!$P$19,K190)*POWER(Upgrades!$P$20,L190)*POWER(Upgrades!$P$21,M190)*$F$6*60</f>
        <v/>
      </c>
      <c r="AJ190" s="27">
        <f>$C$6*60</f>
        <v/>
      </c>
      <c r="AK190" s="22">
        <f>IF(E190&gt;=Upgrades!$E$13,"",Upgrades!$C$13*POWER(Upgrades!$D$13,E190))</f>
        <v/>
      </c>
      <c r="AL190" s="22">
        <f>IF(F190&gt;=Upgrades!$E$14,"",Upgrades!$C$14*POWER(Upgrades!$D$14,F190))</f>
        <v/>
      </c>
      <c r="AM190" s="22">
        <f>IF(G190&gt;=Upgrades!$E$15,"",Upgrades!$C$15*POWER(Upgrades!$D$15,G190))</f>
        <v/>
      </c>
      <c r="AN190" s="22">
        <f>IF(H190&gt;=Upgrades!$E$16,"",Upgrades!$C$16*POWER(Upgrades!$D$16,H190))</f>
        <v/>
      </c>
      <c r="AO190" s="22">
        <f>IF(I190&gt;=Upgrades!$E$17,"",Upgrades!$C$17*POWER(Upgrades!$D$17,I190))</f>
        <v/>
      </c>
      <c r="AP190" s="22">
        <f>IF(J190&gt;=Upgrades!$E$18,"",Upgrades!$C$18*POWER(Upgrades!$D$18,J190))</f>
        <v/>
      </c>
      <c r="AQ190" s="22">
        <f>IF(K190&gt;=Upgrades!$E$19,"",Upgrades!$C$19*POWER(Upgrades!$D$19,K190))</f>
        <v/>
      </c>
      <c r="AR190" s="22">
        <f>IF(L190&gt;=Upgrades!$E$20,"",Upgrades!$C$20*POWER(Upgrades!$D$20,L190))</f>
        <v/>
      </c>
      <c r="AS190" s="22">
        <f>IF(M190&gt;=Upgrades!$E$21,"",Upgrades!$C$21*POWER(Upgrades!$D$21,M190))</f>
        <v/>
      </c>
      <c r="AT190" s="26">
        <f>IF(AND(D190&gt;=Parameters!$B$18*Parameters!$B$19,(I190&gt;=Upgrades!$E$17)*(M190&gt;=Upgrades!$E$21)=1,N190=0),1,"")</f>
        <v/>
      </c>
      <c r="AU190" s="26">
        <f>IF(AND(D190&gt;=Parameters!$B$18*Parameters!$B$19,N190=0),1,"")</f>
        <v/>
      </c>
      <c r="AV190" s="22">
        <f>MIN(IF(ISNUMBER(AP190),AP190,9E15),IF(ISNUMBER(AQ190),AQ190,9E15),IF(ISNUMBER(AR190),AR190,9E15),IF(ISNUMBER(AS190),AS190,9E15))</f>
        <v/>
      </c>
      <c r="AW190" s="22">
        <f>MIN(IF(ISNUMBER(AK190),AK190,9E15),IF(ISNUMBER(AL190),AL190,9E15),IF(ISNUMBER(AM190),AM190,9E15),IF(ISNUMBER(AN190),AN190,9E15),IF(ISNUMBER(AO190),AO190,9E15))</f>
        <v/>
      </c>
      <c r="AX190" s="29">
        <f>IF(BD190&gt;Parameters!$B$21*(MAX(IF(AND(NOT(AND(AU190=1,AT190&lt;&gt;1)),ISNUMBER(AK190),AK190&lt;=(C190+T190)),AY190,0),IF(AND(NOT(AND(AU190=1,AT190&lt;&gt;1)),ISNUMBER(AL190),AL190&lt;=(C190+T190)),AZ190,0),IF(AND(NOT(AND(AU190=1,AT190&lt;&gt;1)),ISNUMBER(AM190),AM190&lt;=(C190+T190)),BA190,0),IF(AND(NOT(AND(AU190=1,AT190&lt;&gt;1)),ISNUMBER(AN190),AN190&lt;=(C190+T190)),BB190,0),IF(AND(ISNUMBER(AO190),AO190&lt;=(C190+T190)),BC190,0))),TRUE,FALSE)</f>
        <v/>
      </c>
      <c r="AY190" s="32">
        <f>IFERROR(Upgrades!$H$13*(POWER(Upgrades!$P$13,E190)*POWER(Upgrades!$P$14,F190)*POWER(Upgrades!$P$15,G190)*POWER(Upgrades!$P$16,H190)*POWER(Upgrades!$P$17,I190)*POWER(Upgrades!$P$18,J190)*POWER(Upgrades!$P$19,K190)*POWER(Upgrades!$P$20,L190)*POWER(Upgrades!$P$21,M190))*(IF(Upgrades!$T$14="Stellar Kinematics",POWER(Upgrades!$U$14,F190),1)*IF(Upgrades!$T$15="Stellar Kinematics",POWER(Upgrades!$U$15,G190),1)*IF(Upgrades!$T$16="Stellar Kinematics",POWER(Upgrades!$U$16,H190),1)*IF(Upgrades!$T$17="Stellar Kinematics",POWER(Upgrades!$U$17,I190),1)*IF(Upgrades!$T$18="Stellar Kinematics",POWER(Upgrades!$U$18,J190),1)*IF(Upgrades!$T$19="Stellar Kinematics",POWER(Upgrades!$U$19,K190),1)*IF(Upgrades!$T$20="Stellar Kinematics",POWER(Upgrades!$U$20,L190),1)*IF(Upgrades!$T$21="Stellar Kinematics",POWER(Upgrades!$U$21,M190),1))*$F$6/AK190,0)</f>
        <v/>
      </c>
      <c r="AZ190" s="32">
        <f>IFERROR(Upgrades!$H$14*(POWER(Upgrades!$P$13,E190)*POWER(Upgrades!$P$14,F190)*POWER(Upgrades!$P$15,G190)*POWER(Upgrades!$P$16,H190)*POWER(Upgrades!$P$17,I190)*POWER(Upgrades!$P$18,J190)*POWER(Upgrades!$P$19,K190)*POWER(Upgrades!$P$20,L190)*POWER(Upgrades!$P$21,M190))*(IF(Upgrades!$T$13="Local Bubble",POWER(Upgrades!$U$13,E190),1)*IF(Upgrades!$T$15="Local Bubble",POWER(Upgrades!$U$15,G190),1)*IF(Upgrades!$T$16="Local Bubble",POWER(Upgrades!$U$16,H190),1)*IF(Upgrades!$T$17="Local Bubble",POWER(Upgrades!$U$17,I190),1)*IF(Upgrades!$T$18="Local Bubble",POWER(Upgrades!$U$18,J190),1)*IF(Upgrades!$T$19="Local Bubble",POWER(Upgrades!$U$19,K190),1)*IF(Upgrades!$T$20="Local Bubble",POWER(Upgrades!$U$20,L190),1)*IF(Upgrades!$T$21="Local Bubble",POWER(Upgrades!$U$21,M190),1))*$F$6/AL190,0)</f>
        <v/>
      </c>
      <c r="BA190" s="32">
        <f>IFERROR(Upgrades!$K$15*(POWER(Upgrades!$Q$13,E190)*POWER(Upgrades!$Q$14,F190)*POWER(Upgrades!$Q$15,G190)*POWER(Upgrades!$Q$16,H190)*POWER(Upgrades!$Q$17,I190)*POWER(Upgrades!$Q$18,J190)*POWER(Upgrades!$Q$19,K190)*POWER(Upgrades!$Q$20,L190)*POWER(Upgrades!$Q$21,M190))*(IF(Upgrades!$T$13="Microlensing",POWER(Upgrades!$U$13,E190),1)*IF(Upgrades!$T$14="Microlensing",POWER(Upgrades!$U$14,F190),1)*IF(Upgrades!$T$16="Microlensing",POWER(Upgrades!$U$16,H190),1)*IF(Upgrades!$T$17="Microlensing",POWER(Upgrades!$U$17,I190),1)*IF(Upgrades!$T$18="Microlensing",POWER(Upgrades!$U$18,J190),1)*IF(Upgrades!$T$19="Microlensing",POWER(Upgrades!$U$19,K190),1)*IF(Upgrades!$T$20="Microlensing",POWER(Upgrades!$U$20,L190),1)*IF(Upgrades!$T$21="Microlensing",POWER(Upgrades!$U$21,M190),1))*$G$6*(Parameters!$B$10/60*Parameters!$B$11+Q190)/AM190,0)</f>
        <v/>
      </c>
      <c r="BB190" s="32">
        <f>IFERROR((Upgrades!$N$16*(POWER(Upgrades!$R$13,E190)*POWER(Upgrades!$R$14,F190)*POWER(Upgrades!$R$15,G190)*POWER(Upgrades!$R$16,H190)*POWER(Upgrades!$R$17,I190)*POWER(Upgrades!$R$18,J190)*POWER(Upgrades!$R$19,K190)*POWER(Upgrades!$R$20,L190)*POWER(Upgrades!$R$21,M190))*(IF(Upgrades!$T$13="Roche Lobe Overflow",POWER(Upgrades!$U$13,E190),1)*IF(Upgrades!$T$14="Roche Lobe Overflow",POWER(Upgrades!$U$14,F190),1)*IF(Upgrades!$T$15="Roche Lobe Overflow",POWER(Upgrades!$U$15,G190),1)*IF(Upgrades!$T$17="Roche Lobe Overflow",POWER(Upgrades!$U$17,I190),1)*IF(Upgrades!$T$18="Roche Lobe Overflow",POWER(Upgrades!$U$18,J190),1)*IF(Upgrades!$T$19="Roche Lobe Overflow",POWER(Upgrades!$U$19,K190),1)*IF(Upgrades!$T$20="Roche Lobe Overflow",POWER(Upgrades!$U$20,L190),1)*IF(Upgrades!$T$21="Roche Lobe Overflow",POWER(Upgrades!$U$21,M190),1))*$H$6*O190+((IF(F190=0,0,(Upgrades!$G$14+F190*Upgrades!$H$14)*POWER(Upgrades!$I$14,F190)))*(IF(Upgrades!$T$13="Local Bubble",POWER(Upgrades!$U$13,E190),1)*IF(Upgrades!$T$15="Local Bubble",POWER(Upgrades!$U$15,G190),1)*IF(Upgrades!$T$16="Local Bubble",POWER(Upgrades!$U$16,H190),1)*IF(Upgrades!$T$17="Local Bubble",POWER(Upgrades!$U$17,I190),1)*IF(Upgrades!$T$18="Local Bubble",POWER(Upgrades!$U$18,J190),1)*IF(Upgrades!$T$19="Local Bubble",POWER(Upgrades!$U$19,K190),1)*IF(Upgrades!$T$20="Local Bubble",POWER(Upgrades!$U$20,L190),1)*IF(Upgrades!$T$21="Local Bubble",POWER(Upgrades!$U$21,M190),1))*POWER(Upgrades!$P$13,E190)*POWER(Upgrades!$P$14,F190)*POWER(Upgrades!$P$15,G190)*POWER(Upgrades!$P$16,H190)*POWER(Upgrades!$P$17,I190)*POWER(Upgrades!$P$18,J190)*POWER(Upgrades!$P$19,K190)*POWER(Upgrades!$P$20,L190)*POWER(Upgrades!$P$21,M190)*$F$6)*0.05)/AN190,0)</f>
        <v/>
      </c>
      <c r="BC190" s="32">
        <f>IFERROR((Upgrades!$H$17*(POWER(Upgrades!$P$13,E190)*POWER(Upgrades!$P$14,F190)*POWER(Upgrades!$P$15,G190)*POWER(Upgrades!$P$16,H190)*POWER(Upgrades!$P$17,I190)*POWER(Upgrades!$P$18,J190)*POWER(Upgrades!$P$19,K190)*POWER(Upgrades!$P$20,L190)*POWER(Upgrades!$P$21,M190))*(IF(Upgrades!$T$13="Brown Dwarf",POWER(Upgrades!$U$13,E190),1)*IF(Upgrades!$T$14="Brown Dwarf",POWER(Upgrades!$U$14,F190),1)*IF(Upgrades!$T$15="Brown Dwarf",POWER(Upgrades!$U$15,G190),1)*IF(Upgrades!$T$16="Brown Dwarf",POWER(Upgrades!$U$16,H190),1)*IF(Upgrades!$T$18="Brown Dwarf",POWER(Upgrades!$U$18,J190),1)*IF(Upgrades!$T$19="Brown Dwarf",POWER(Upgrades!$U$19,K190),1)*IF(Upgrades!$T$20="Brown Dwarf",POWER(Upgrades!$U$20,L190),1)*IF(Upgrades!$T$21="Brown Dwarf",POWER(Upgrades!$U$21,M190),1))*$F$6+(((IF(H190=0,0,(Upgrades!$M$16+H190*Upgrades!$N$16)*POWER(Upgrades!$O$16,H190)))*(IF(Upgrades!$T$13="Roche Lobe Overflow",POWER(Upgrades!$U$13,E190),1)*IF(Upgrades!$T$14="Roche Lobe Overflow",POWER(Upgrades!$U$14,F190),1)*IF(Upgrades!$T$15="Roche Lobe Overflow",POWER(Upgrades!$U$15,G190),1)*IF(Upgrades!$T$17="Roche Lobe Overflow",POWER(Upgrades!$U$17,I190),1)*IF(Upgrades!$T$18="Roche Lobe Overflow",POWER(Upgrades!$U$18,J190),1)*IF(Upgrades!$T$19="Roche Lobe Overflow",POWER(Upgrades!$U$19,K190),1)*IF(Upgrades!$T$20="Roche Lobe Overflow",POWER(Upgrades!$U$20,L190),1)*IF(Upgrades!$T$21="Roche Lobe Overflow",POWER(Upgrades!$U$21,M190),1))*POWER(Upgrades!$R$13,E190)*POWER(Upgrades!$R$14,F190)*POWER(Upgrades!$R$15,G190)*POWER(Upgrades!$R$16,H190)*POWER(Upgrades!$R$17,I190)*POWER(Upgrades!$R$18,J190)*POWER(Upgrades!$R$19,K190)*POWER(Upgrades!$R$20,L190)*POWER(Upgrades!$R$21,M190)*$H$6)*O190)*0.10)/AO190,0)</f>
        <v/>
      </c>
      <c r="BD190" s="32">
        <f>MAX(IF(J190&gt;0,0,IFERROR(0.5*((IF(G190=0,0,(Upgrades!$J$15+G190*Upgrades!$K$15)*POWER(Upgrades!$L$15,G190)))*(IF(Upgrades!$T$13="Microlensing",POWER(Upgrades!$U$13,E190),1)*IF(Upgrades!$T$14="Microlensing",POWER(Upgrades!$U$14,F190),1)*IF(Upgrades!$T$16="Microlensing",POWER(Upgrades!$U$16,H190),1)*IF(Upgrades!$T$17="Microlensing",POWER(Upgrades!$U$17,I190),1)*IF(Upgrades!$T$18="Microlensing",POWER(Upgrades!$U$18,J190),1)*IF(Upgrades!$T$19="Microlensing",POWER(Upgrades!$U$19,K190),1)*IF(Upgrades!$T$20="Microlensing",POWER(Upgrades!$U$20,L190),1)*IF(Upgrades!$T$21="Microlensing",POWER(Upgrades!$U$21,M190),1))*(POWER(Upgrades!$Q$13,E190)*POWER(Upgrades!$Q$14,F190)*POWER(Upgrades!$Q$15,G190)*POWER(Upgrades!$Q$16,H190)*POWER(Upgrades!$Q$17,I190)*POWER(Upgrades!$Q$18,J190)*POWER(Upgrades!$Q$19,K190)*POWER(Upgrades!$Q$20,L190)*POWER(Upgrades!$Q$21,M190))*$G$6*(Parameters!$B$10/60*Parameters!$B$11+Q190))/Upgrades!$C$18,0)),IF(K190&gt;0,0,IFERROR(0.30*P190/Upgrades!$C$19,0)),IF(L190&gt;0,0,IFERROR(0.0001/Upgrades!$C$20,0)),IF(M190&gt;0,0,IFERROR((6.0*(POWER(Upgrades!$P$13,E190)*POWER(Upgrades!$P$14,F190)*POWER(Upgrades!$P$15,G190)*POWER(Upgrades!$P$16,H190)*POWER(Upgrades!$P$17,I190)*POWER(Upgrades!$P$18,J190)*POWER(Upgrades!$P$19,K190)*POWER(Upgrades!$P$20,L190)*POWER(Upgrades!$P$21,M190))*$F$6+0.20*O190*(Parameters!$B$10/60*Parameters!$B$11+Q190))/Upgrades!$C$21,0)),IF(AND(ISNUMBER(AK190),AK190&gt;(C190+T190)),AY190,0),IF(AND(ISNUMBER(AL190),AL190&gt;(C190+T190)),AZ190,0),IF(AND(ISNUMBER(AM190),AM190&gt;(C190+T190)),BA190,0),IF(AND(ISNUMBER(AN190),AN190&gt;(C190+T190)),BB190,0),IF(AND(ISNUMBER(AO190),AO190&gt;(C190+T190)),BC190,0))</f>
        <v/>
      </c>
      <c r="BE190" s="29">
        <f>IF(AT190=1,"transition",IF(MIN(IF(AND(J190=0,ISNUMBER(AP190),AP190&lt;=(C190+T190)),AP190,9E15),IF(AND(K190=0,ISNUMBER(AQ190),AQ190&lt;=(C190+T190)),AQ190,9E15),IF(AND(L190=0,ISNUMBER(AR190),AR190&lt;=(C190+T190)),AR190,9E15),IF(AND(M190=0,ISNUMBER(AS190),AS190&lt;=(C190+T190)),AS190,9E15))&lt;9E15,IF(AND(AND(J190=0,ISNUMBER(AP190),AP190&lt;=(C190+T190)),AP190=MIN(IF(AND(J190=0,ISNUMBER(AP190),AP190&lt;=(C190+T190)),AP190,9E15),IF(AND(K190=0,ISNUMBER(AQ190),AQ190&lt;=(C190+T190)),AQ190,9E15),IF(AND(L190=0,ISNUMBER(AR190),AR190&lt;=(C190+T190)),AR190,9E15),IF(AND(M190=0,ISNUMBER(AS190),AS190&lt;=(C190+T190)),AS190,9E15))),"BiP",IF(AND(AND(K190=0,ISNUMBER(AQ190),AQ190&lt;=(C190+T190)),AQ190=MIN(IF(AND(J190=0,ISNUMBER(AP190),AP190&lt;=(C190+T190)),AP190,9E15),IF(AND(K190=0,ISNUMBER(AQ190),AQ190&lt;=(C190+T190)),AQ190,9E15),IF(AND(L190=0,ISNUMBER(AR190),AR190&lt;=(C190+T190)),AR190,9E15),IF(AND(M190=0,ISNUMBER(AS190),AS190&lt;=(C190+T190)),AS190,9E15))),"PV",IF(AND(AND(L190=0,ISNUMBER(AR190),AR190&lt;=(C190+T190)),AR190=MIN(IF(AND(J190=0,ISNUMBER(AP190),AP190&lt;=(C190+T190)),AP190,9E15),IF(AND(K190=0,ISNUMBER(AQ190),AQ190&lt;=(C190+T190)),AQ190,9E15),IF(AND(L190=0,ISNUMBER(AR190),AR190&lt;=(C190+T190)),AR190,9E15),IF(AND(M190=0,ISNUMBER(AS190),AS190&lt;=(C190+T190)),AS190,9E15))),"OC","MG"))),IF(AX190=TRUE,"",IF(MAX(IF(AND(NOT(AND(AU190=1,AT190&lt;&gt;1)),ISNUMBER(AK190),AK190&lt;=(C190+T190)),AY190,0),IF(AND(NOT(AND(AU190=1,AT190&lt;&gt;1)),ISNUMBER(AL190),AL190&lt;=(C190+T190)),AZ190,0),IF(AND(NOT(AND(AU190=1,AT190&lt;&gt;1)),ISNUMBER(AM190),AM190&lt;=(C190+T190)),BA190,0),IF(AND(NOT(AND(AU190=1,AT190&lt;&gt;1)),ISNUMBER(AN190),AN190&lt;=(C190+T190)),BB190,0),IF(AND(ISNUMBER(AO190),AO190&lt;=(C190+T190)),BC190,0))&lt;=0,"",IF(AND(IF(AND(NOT(AND(AU190=1,AT190&lt;&gt;1)),ISNUMBER(AK190),AK190&lt;=(C190+T190)),AY190,0)&gt;0,IF(AND(NOT(AND(AU190=1,AT190&lt;&gt;1)),ISNUMBER(AK190),AK190&lt;=(C190+T190)),AY190,0)=MAX(IF(AND(NOT(AND(AU190=1,AT190&lt;&gt;1)),ISNUMBER(AK190),AK190&lt;=(C190+T190)),AY190,0),IF(AND(NOT(AND(AU190=1,AT190&lt;&gt;1)),ISNUMBER(AL190),AL190&lt;=(C190+T190)),AZ190,0),IF(AND(NOT(AND(AU190=1,AT190&lt;&gt;1)),ISNUMBER(AM190),AM190&lt;=(C190+T190)),BA190,0),IF(AND(NOT(AND(AU190=1,AT190&lt;&gt;1)),ISNUMBER(AN190),AN190&lt;=(C190+T190)),BB190,0),IF(AND(ISNUMBER(AO190),AO190&lt;=(C190+T190)),BC190,0))),"SK",IF(AND(IF(AND(NOT(AND(AU190=1,AT190&lt;&gt;1)),ISNUMBER(AL190),AL190&lt;=(C190+T190)),AZ190,0)&gt;0,IF(AND(NOT(AND(AU190=1,AT190&lt;&gt;1)),ISNUMBER(AL190),AL190&lt;=(C190+T190)),AZ190,0)=MAX(IF(AND(NOT(AND(AU190=1,AT190&lt;&gt;1)),ISNUMBER(AK190),AK190&lt;=(C190+T190)),AY190,0),IF(AND(NOT(AND(AU190=1,AT190&lt;&gt;1)),ISNUMBER(AL190),AL190&lt;=(C190+T190)),AZ190,0),IF(AND(NOT(AND(AU190=1,AT190&lt;&gt;1)),ISNUMBER(AM190),AM190&lt;=(C190+T190)),BA190,0),IF(AND(NOT(AND(AU190=1,AT190&lt;&gt;1)),ISNUMBER(AN190),AN190&lt;=(C190+T190)),BB190,0),IF(AND(ISNUMBER(AO190),AO190&lt;=(C190+T190)),BC190,0))),"LB",IF(AND(IF(AND(NOT(AND(AU190=1,AT190&lt;&gt;1)),ISNUMBER(AM190),AM190&lt;=(C190+T190)),BA190,0)&gt;0,IF(AND(NOT(AND(AU190=1,AT190&lt;&gt;1)),ISNUMBER(AM190),AM190&lt;=(C190+T190)),BA190,0)=MAX(IF(AND(NOT(AND(AU190=1,AT190&lt;&gt;1)),ISNUMBER(AK190),AK190&lt;=(C190+T190)),AY190,0),IF(AND(NOT(AND(AU190=1,AT190&lt;&gt;1)),ISNUMBER(AL190),AL190&lt;=(C190+T190)),AZ190,0),IF(AND(NOT(AND(AU190=1,AT190&lt;&gt;1)),ISNUMBER(AM190),AM190&lt;=(C190+T190)),BA190,0),IF(AND(NOT(AND(AU190=1,AT190&lt;&gt;1)),ISNUMBER(AN190),AN190&lt;=(C190+T190)),BB190,0),IF(AND(ISNUMBER(AO190),AO190&lt;=(C190+T190)),BC190,0))),"ML",IF(AND(IF(AND(NOT(AND(AU190=1,AT190&lt;&gt;1)),ISNUMBER(AN190),AN190&lt;=(C190+T190)),BB190,0)&gt;0,IF(AND(NOT(AND(AU190=1,AT190&lt;&gt;1)),ISNUMBER(AN190),AN190&lt;=(C190+T190)),BB190,0)=MAX(IF(AND(NOT(AND(AU190=1,AT190&lt;&gt;1)),ISNUMBER(AK190),AK190&lt;=(C190+T190)),AY190,0),IF(AND(NOT(AND(AU190=1,AT190&lt;&gt;1)),ISNUMBER(AL190),AL190&lt;=(C190+T190)),AZ190,0),IF(AND(NOT(AND(AU190=1,AT190&lt;&gt;1)),ISNUMBER(AM190),AM190&lt;=(C190+T190)),BA190,0),IF(AND(NOT(AND(AU190=1,AT190&lt;&gt;1)),ISNUMBER(AN190),AN190&lt;=(C190+T190)),BB190,0),IF(AND(ISNUMBER(AO190),AO190&lt;=(C190+T190)),BC190,0))),"RLO","BD"))))))))</f>
        <v/>
      </c>
    </row>
    <row r="191">
      <c r="A191" s="26" t="n">
        <v>180</v>
      </c>
      <c r="B191" s="27">
        <f>A191*10/60</f>
        <v/>
      </c>
      <c r="C191" s="22">
        <f>X190</f>
        <v/>
      </c>
      <c r="D191" s="27">
        <f>D190+W190</f>
        <v/>
      </c>
      <c r="E191" s="26">
        <f>E190+IF(U190="SK",1,0)</f>
        <v/>
      </c>
      <c r="F191" s="26">
        <f>F190+IF(U190="LB",1,0)</f>
        <v/>
      </c>
      <c r="G191" s="26">
        <f>G190+IF(U190="ML",1,0)</f>
        <v/>
      </c>
      <c r="H191" s="26">
        <f>H190+IF(U190="RLO",1,0)</f>
        <v/>
      </c>
      <c r="I191" s="26">
        <f>I190+IF(U190="BD",1,0)</f>
        <v/>
      </c>
      <c r="J191" s="26">
        <f>MAX(J190,IF(U190="BiP",1,0))</f>
        <v/>
      </c>
      <c r="K191" s="26">
        <f>MAX(K190,IF(U190="PV",1,0))</f>
        <v/>
      </c>
      <c r="L191" s="26">
        <f>MAX(L190,IF(U190="OC",1,0))</f>
        <v/>
      </c>
      <c r="M191" s="26">
        <f>MAX(M190,IF(U190="MG",1,0))</f>
        <v/>
      </c>
      <c r="N191" s="26">
        <f>MAX(N190,IF(U190="transition",1,0))</f>
        <v/>
      </c>
      <c r="O191" s="28">
        <f>(Parameters!$B$9+(IF(E191=0,0,(Upgrades!$J$13+E191*Upgrades!$K$13)*POWER(Upgrades!$L$13,E191)))*(IF(Upgrades!$T$14="Stellar Kinematics",POWER(Upgrades!$U$14,F191),1)*IF(Upgrades!$T$15="Stellar Kinematics",POWER(Upgrades!$U$15,G191),1)*IF(Upgrades!$T$16="Stellar Kinematics",POWER(Upgrades!$U$16,H191),1)*IF(Upgrades!$T$17="Stellar Kinematics",POWER(Upgrades!$U$17,I191),1)*IF(Upgrades!$T$18="Stellar Kinematics",POWER(Upgrades!$U$18,J191),1)*IF(Upgrades!$T$19="Stellar Kinematics",POWER(Upgrades!$U$19,K191),1)*IF(Upgrades!$T$20="Stellar Kinematics",POWER(Upgrades!$U$20,L191),1)*IF(Upgrades!$T$21="Stellar Kinematics",POWER(Upgrades!$U$21,M191),1))+(IF(F191=0,0,(Upgrades!$J$14+F191*Upgrades!$K$14)*POWER(Upgrades!$L$14,F191)))*(IF(Upgrades!$T$13="Local Bubble",POWER(Upgrades!$U$13,E191),1)*IF(Upgrades!$T$15="Local Bubble",POWER(Upgrades!$U$15,G191),1)*IF(Upgrades!$T$16="Local Bubble",POWER(Upgrades!$U$16,H191),1)*IF(Upgrades!$T$17="Local Bubble",POWER(Upgrades!$U$17,I191),1)*IF(Upgrades!$T$18="Local Bubble",POWER(Upgrades!$U$18,J191),1)*IF(Upgrades!$T$19="Local Bubble",POWER(Upgrades!$U$19,K191),1)*IF(Upgrades!$T$20="Local Bubble",POWER(Upgrades!$U$20,L191),1)*IF(Upgrades!$T$21="Local Bubble",POWER(Upgrades!$U$21,M191),1))+(IF(G191=0,0,(Upgrades!$J$15+G191*Upgrades!$K$15)*POWER(Upgrades!$L$15,G191)))*(IF(Upgrades!$T$13="Microlensing",POWER(Upgrades!$U$13,E191),1)*IF(Upgrades!$T$14="Microlensing",POWER(Upgrades!$U$14,F191),1)*IF(Upgrades!$T$16="Microlensing",POWER(Upgrades!$U$16,H191),1)*IF(Upgrades!$T$17="Microlensing",POWER(Upgrades!$U$17,I191),1)*IF(Upgrades!$T$18="Microlensing",POWER(Upgrades!$U$18,J191),1)*IF(Upgrades!$T$19="Microlensing",POWER(Upgrades!$U$19,K191),1)*IF(Upgrades!$T$20="Microlensing",POWER(Upgrades!$U$20,L191),1)*IF(Upgrades!$T$21="Microlensing",POWER(Upgrades!$U$21,M191),1))+(IF(H191=0,0,(Upgrades!$J$16+H191*Upgrades!$K$16)*POWER(Upgrades!$L$16,H191)))*(IF(Upgrades!$T$13="Roche Lobe Overflow",POWER(Upgrades!$U$13,E191),1)*IF(Upgrades!$T$14="Roche Lobe Overflow",POWER(Upgrades!$U$14,F191),1)*IF(Upgrades!$T$15="Roche Lobe Overflow",POWER(Upgrades!$U$15,G191),1)*IF(Upgrades!$T$17="Roche Lobe Overflow",POWER(Upgrades!$U$17,I191),1)*IF(Upgrades!$T$18="Roche Lobe Overflow",POWER(Upgrades!$U$18,J191),1)*IF(Upgrades!$T$19="Roche Lobe Overflow",POWER(Upgrades!$U$19,K191),1)*IF(Upgrades!$T$20="Roche Lobe Overflow",POWER(Upgrades!$U$20,L191),1)*IF(Upgrades!$T$21="Roche Lobe Overflow",POWER(Upgrades!$U$21,M191),1))+(IF(I191=0,0,(Upgrades!$J$17+I191*Upgrades!$K$17)*POWER(Upgrades!$L$17,I191)))*(IF(Upgrades!$T$13="Brown Dwarf",POWER(Upgrades!$U$13,E191),1)*IF(Upgrades!$T$14="Brown Dwarf",POWER(Upgrades!$U$14,F191),1)*IF(Upgrades!$T$15="Brown Dwarf",POWER(Upgrades!$U$15,G191),1)*IF(Upgrades!$T$16="Brown Dwarf",POWER(Upgrades!$U$16,H191),1)*IF(Upgrades!$T$18="Brown Dwarf",POWER(Upgrades!$U$18,J191),1)*IF(Upgrades!$T$19="Brown Dwarf",POWER(Upgrades!$U$19,K191),1)*IF(Upgrades!$T$20="Brown Dwarf",POWER(Upgrades!$U$20,L191),1)*IF(Upgrades!$T$21="Brown Dwarf",POWER(Upgrades!$U$21,M191),1))+(IF(J191=0,0,(Upgrades!$J$18+J191*Upgrades!$K$18)*POWER(Upgrades!$L$18,J191)))*(IF(Upgrades!$T$13="Binary Partner",POWER(Upgrades!$U$13,E191),1)*IF(Upgrades!$T$14="Binary Partner",POWER(Upgrades!$U$14,F191),1)*IF(Upgrades!$T$15="Binary Partner",POWER(Upgrades!$U$15,G191),1)*IF(Upgrades!$T$16="Binary Partner",POWER(Upgrades!$U$16,H191),1)*IF(Upgrades!$T$17="Binary Partner",POWER(Upgrades!$U$17,I191),1)*IF(Upgrades!$T$19="Binary Partner",POWER(Upgrades!$U$19,K191),1)*IF(Upgrades!$T$20="Binary Partner",POWER(Upgrades!$U$20,L191),1)*IF(Upgrades!$T$21="Binary Partner",POWER(Upgrades!$U$21,M191),1))+(IF(K191=0,0,(Upgrades!$J$19+K191*Upgrades!$K$19)*POWER(Upgrades!$L$19,K191)))*(IF(Upgrades!$T$13="Peculiar Velocity",POWER(Upgrades!$U$13,E191),1)*IF(Upgrades!$T$14="Peculiar Velocity",POWER(Upgrades!$U$14,F191),1)*IF(Upgrades!$T$15="Peculiar Velocity",POWER(Upgrades!$U$15,G191),1)*IF(Upgrades!$T$16="Peculiar Velocity",POWER(Upgrades!$U$16,H191),1)*IF(Upgrades!$T$17="Peculiar Velocity",POWER(Upgrades!$U$17,I191),1)*IF(Upgrades!$T$18="Peculiar Velocity",POWER(Upgrades!$U$18,J191),1)*IF(Upgrades!$T$20="Peculiar Velocity",POWER(Upgrades!$U$20,L191),1)*IF(Upgrades!$T$21="Peculiar Velocity",POWER(Upgrades!$U$21,M191),1))+(IF(L191=0,0,(Upgrades!$J$20+L191*Upgrades!$K$20)*POWER(Upgrades!$L$20,L191)))*(IF(Upgrades!$T$13="Open Cluster",POWER(Upgrades!$U$13,E191),1)*IF(Upgrades!$T$14="Open Cluster",POWER(Upgrades!$U$14,F191),1)*IF(Upgrades!$T$15="Open Cluster",POWER(Upgrades!$U$15,G191),1)*IF(Upgrades!$T$16="Open Cluster",POWER(Upgrades!$U$16,H191),1)*IF(Upgrades!$T$17="Open Cluster",POWER(Upgrades!$U$17,I191),1)*IF(Upgrades!$T$18="Open Cluster",POWER(Upgrades!$U$18,J191),1)*IF(Upgrades!$T$19="Open Cluster",POWER(Upgrades!$U$19,K191),1)*IF(Upgrades!$T$21="Open Cluster",POWER(Upgrades!$U$21,M191),1))+(IF(M191=0,0,(Upgrades!$J$21+M191*Upgrades!$K$21)*POWER(Upgrades!$L$21,M191)))*(IF(Upgrades!$T$13="Moving Group",POWER(Upgrades!$U$13,E191),1)*IF(Upgrades!$T$14="Moving Group",POWER(Upgrades!$U$14,F191),1)*IF(Upgrades!$T$15="Moving Group",POWER(Upgrades!$U$15,G191),1)*IF(Upgrades!$T$16="Moving Group",POWER(Upgrades!$U$16,H191),1)*IF(Upgrades!$T$17="Moving Group",POWER(Upgrades!$U$17,I191),1)*IF(Upgrades!$T$18="Moving Group",POWER(Upgrades!$U$18,J191),1)*IF(Upgrades!$T$19="Moving Group",POWER(Upgrades!$U$19,K191),1)*IF(Upgrades!$T$20="Moving Group",POWER(Upgrades!$U$20,L191),1)))*POWER(Upgrades!$Q$13,E191)*POWER(Upgrades!$Q$14,F191)*POWER(Upgrades!$Q$15,G191)*POWER(Upgrades!$Q$16,H191)*POWER(Upgrades!$Q$17,I191)*POWER(Upgrades!$Q$18,J191)*POWER(Upgrades!$Q$19,K191)*POWER(Upgrades!$Q$20,L191)*POWER(Upgrades!$Q$21,M191)*$G$6+$D$6</f>
        <v/>
      </c>
      <c r="P191" s="28">
        <f>((IF(E191=0,0,(Upgrades!$G$13+E191*Upgrades!$H$13)*POWER(Upgrades!$I$13,E191)))*(IF(Upgrades!$T$14="Stellar Kinematics",POWER(Upgrades!$U$14,F191),1)*IF(Upgrades!$T$15="Stellar Kinematics",POWER(Upgrades!$U$15,G191),1)*IF(Upgrades!$T$16="Stellar Kinematics",POWER(Upgrades!$U$16,H191),1)*IF(Upgrades!$T$17="Stellar Kinematics",POWER(Upgrades!$U$17,I191),1)*IF(Upgrades!$T$18="Stellar Kinematics",POWER(Upgrades!$U$18,J191),1)*IF(Upgrades!$T$19="Stellar Kinematics",POWER(Upgrades!$U$19,K191),1)*IF(Upgrades!$T$20="Stellar Kinematics",POWER(Upgrades!$U$20,L191),1)*IF(Upgrades!$T$21="Stellar Kinematics",POWER(Upgrades!$U$21,M191),1))+(IF(F191=0,0,(Upgrades!$G$14+F191*Upgrades!$H$14)*POWER(Upgrades!$I$14,F191)))*(IF(Upgrades!$T$13="Local Bubble",POWER(Upgrades!$U$13,E191),1)*IF(Upgrades!$T$15="Local Bubble",POWER(Upgrades!$U$15,G191),1)*IF(Upgrades!$T$16="Local Bubble",POWER(Upgrades!$U$16,H191),1)*IF(Upgrades!$T$17="Local Bubble",POWER(Upgrades!$U$17,I191),1)*IF(Upgrades!$T$18="Local Bubble",POWER(Upgrades!$U$18,J191),1)*IF(Upgrades!$T$19="Local Bubble",POWER(Upgrades!$U$19,K191),1)*IF(Upgrades!$T$20="Local Bubble",POWER(Upgrades!$U$20,L191),1)*IF(Upgrades!$T$21="Local Bubble",POWER(Upgrades!$U$21,M191),1))+(IF(G191=0,0,(Upgrades!$G$15+G191*Upgrades!$H$15)*POWER(Upgrades!$I$15,G191)))*(IF(Upgrades!$T$13="Microlensing",POWER(Upgrades!$U$13,E191),1)*IF(Upgrades!$T$14="Microlensing",POWER(Upgrades!$U$14,F191),1)*IF(Upgrades!$T$16="Microlensing",POWER(Upgrades!$U$16,H191),1)*IF(Upgrades!$T$17="Microlensing",POWER(Upgrades!$U$17,I191),1)*IF(Upgrades!$T$18="Microlensing",POWER(Upgrades!$U$18,J191),1)*IF(Upgrades!$T$19="Microlensing",POWER(Upgrades!$U$19,K191),1)*IF(Upgrades!$T$20="Microlensing",POWER(Upgrades!$U$20,L191),1)*IF(Upgrades!$T$21="Microlensing",POWER(Upgrades!$U$21,M191),1))+(IF(H191=0,0,(Upgrades!$G$16+H191*Upgrades!$H$16)*POWER(Upgrades!$I$16,H191)))*(IF(Upgrades!$T$13="Roche Lobe Overflow",POWER(Upgrades!$U$13,E191),1)*IF(Upgrades!$T$14="Roche Lobe Overflow",POWER(Upgrades!$U$14,F191),1)*IF(Upgrades!$T$15="Roche Lobe Overflow",POWER(Upgrades!$U$15,G191),1)*IF(Upgrades!$T$17="Roche Lobe Overflow",POWER(Upgrades!$U$17,I191),1)*IF(Upgrades!$T$18="Roche Lobe Overflow",POWER(Upgrades!$U$18,J191),1)*IF(Upgrades!$T$19="Roche Lobe Overflow",POWER(Upgrades!$U$19,K191),1)*IF(Upgrades!$T$20="Roche Lobe Overflow",POWER(Upgrades!$U$20,L191),1)*IF(Upgrades!$T$21="Roche Lobe Overflow",POWER(Upgrades!$U$21,M191),1))+(IF(I191=0,0,(Upgrades!$G$17+I191*Upgrades!$H$17)*POWER(Upgrades!$I$17,I191)))*(IF(Upgrades!$T$13="Brown Dwarf",POWER(Upgrades!$U$13,E191),1)*IF(Upgrades!$T$14="Brown Dwarf",POWER(Upgrades!$U$14,F191),1)*IF(Upgrades!$T$15="Brown Dwarf",POWER(Upgrades!$U$15,G191),1)*IF(Upgrades!$T$16="Brown Dwarf",POWER(Upgrades!$U$16,H191),1)*IF(Upgrades!$T$18="Brown Dwarf",POWER(Upgrades!$U$18,J191),1)*IF(Upgrades!$T$19="Brown Dwarf",POWER(Upgrades!$U$19,K191),1)*IF(Upgrades!$T$20="Brown Dwarf",POWER(Upgrades!$U$20,L191),1)*IF(Upgrades!$T$21="Brown Dwarf",POWER(Upgrades!$U$21,M191),1))+(IF(J191=0,0,(Upgrades!$G$18+J191*Upgrades!$H$18)*POWER(Upgrades!$I$18,J191)))*(IF(Upgrades!$T$13="Binary Partner",POWER(Upgrades!$U$13,E191),1)*IF(Upgrades!$T$14="Binary Partner",POWER(Upgrades!$U$14,F191),1)*IF(Upgrades!$T$15="Binary Partner",POWER(Upgrades!$U$15,G191),1)*IF(Upgrades!$T$16="Binary Partner",POWER(Upgrades!$U$16,H191),1)*IF(Upgrades!$T$17="Binary Partner",POWER(Upgrades!$U$17,I191),1)*IF(Upgrades!$T$19="Binary Partner",POWER(Upgrades!$U$19,K191),1)*IF(Upgrades!$T$20="Binary Partner",POWER(Upgrades!$U$20,L191),1)*IF(Upgrades!$T$21="Binary Partner",POWER(Upgrades!$U$21,M191),1))+(IF(K191=0,0,(Upgrades!$G$19+K191*Upgrades!$H$19)*POWER(Upgrades!$I$19,K191)))*(IF(Upgrades!$T$13="Peculiar Velocity",POWER(Upgrades!$U$13,E191),1)*IF(Upgrades!$T$14="Peculiar Velocity",POWER(Upgrades!$U$14,F191),1)*IF(Upgrades!$T$15="Peculiar Velocity",POWER(Upgrades!$U$15,G191),1)*IF(Upgrades!$T$16="Peculiar Velocity",POWER(Upgrades!$U$16,H191),1)*IF(Upgrades!$T$17="Peculiar Velocity",POWER(Upgrades!$U$17,I191),1)*IF(Upgrades!$T$18="Peculiar Velocity",POWER(Upgrades!$U$18,J191),1)*IF(Upgrades!$T$20="Peculiar Velocity",POWER(Upgrades!$U$20,L191),1)*IF(Upgrades!$T$21="Peculiar Velocity",POWER(Upgrades!$U$21,M191),1))+(IF(L191=0,0,(Upgrades!$G$20+L191*Upgrades!$H$20)*POWER(Upgrades!$I$20,L191)))*(IF(Upgrades!$T$13="Open Cluster",POWER(Upgrades!$U$13,E191),1)*IF(Upgrades!$T$14="Open Cluster",POWER(Upgrades!$U$14,F191),1)*IF(Upgrades!$T$15="Open Cluster",POWER(Upgrades!$U$15,G191),1)*IF(Upgrades!$T$16="Open Cluster",POWER(Upgrades!$U$16,H191),1)*IF(Upgrades!$T$17="Open Cluster",POWER(Upgrades!$U$17,I191),1)*IF(Upgrades!$T$18="Open Cluster",POWER(Upgrades!$U$18,J191),1)*IF(Upgrades!$T$19="Open Cluster",POWER(Upgrades!$U$19,K191),1)*IF(Upgrades!$T$21="Open Cluster",POWER(Upgrades!$U$21,M191),1))+(IF(M191=0,0,(Upgrades!$G$21+M191*Upgrades!$H$21)*POWER(Upgrades!$I$21,M191)))*(IF(Upgrades!$T$13="Moving Group",POWER(Upgrades!$U$13,E191),1)*IF(Upgrades!$T$14="Moving Group",POWER(Upgrades!$U$14,F191),1)*IF(Upgrades!$T$15="Moving Group",POWER(Upgrades!$U$15,G191),1)*IF(Upgrades!$T$16="Moving Group",POWER(Upgrades!$U$16,H191),1)*IF(Upgrades!$T$17="Moving Group",POWER(Upgrades!$U$17,I191),1)*IF(Upgrades!$T$18="Moving Group",POWER(Upgrades!$U$18,J191),1)*IF(Upgrades!$T$19="Moving Group",POWER(Upgrades!$U$19,K191),1)*IF(Upgrades!$T$20="Moving Group",POWER(Upgrades!$U$20,L191),1)))*POWER(Upgrades!$P$13,E191)*POWER(Upgrades!$P$14,F191)*POWER(Upgrades!$P$15,G191)*POWER(Upgrades!$P$16,H191)*POWER(Upgrades!$P$17,I191)*POWER(Upgrades!$P$18,J191)*POWER(Upgrades!$P$19,K191)*POWER(Upgrades!$P$20,L191)*POWER(Upgrades!$P$21,M191)*$F$6+$C$6</f>
        <v/>
      </c>
      <c r="Q191" s="28">
        <f>((IF(E191=0,0,(Upgrades!$M$13+E191*Upgrades!$N$13)*POWER(Upgrades!$O$13,E191)))*(IF(Upgrades!$T$14="Stellar Kinematics",POWER(Upgrades!$U$14,F191),1)*IF(Upgrades!$T$15="Stellar Kinematics",POWER(Upgrades!$U$15,G191),1)*IF(Upgrades!$T$16="Stellar Kinematics",POWER(Upgrades!$U$16,H191),1)*IF(Upgrades!$T$17="Stellar Kinematics",POWER(Upgrades!$U$17,I191),1)*IF(Upgrades!$T$18="Stellar Kinematics",POWER(Upgrades!$U$18,J191),1)*IF(Upgrades!$T$19="Stellar Kinematics",POWER(Upgrades!$U$19,K191),1)*IF(Upgrades!$T$20="Stellar Kinematics",POWER(Upgrades!$U$20,L191),1)*IF(Upgrades!$T$21="Stellar Kinematics",POWER(Upgrades!$U$21,M191),1))+(IF(F191=0,0,(Upgrades!$M$14+F191*Upgrades!$N$14)*POWER(Upgrades!$O$14,F191)))*(IF(Upgrades!$T$13="Local Bubble",POWER(Upgrades!$U$13,E191),1)*IF(Upgrades!$T$15="Local Bubble",POWER(Upgrades!$U$15,G191),1)*IF(Upgrades!$T$16="Local Bubble",POWER(Upgrades!$U$16,H191),1)*IF(Upgrades!$T$17="Local Bubble",POWER(Upgrades!$U$17,I191),1)*IF(Upgrades!$T$18="Local Bubble",POWER(Upgrades!$U$18,J191),1)*IF(Upgrades!$T$19="Local Bubble",POWER(Upgrades!$U$19,K191),1)*IF(Upgrades!$T$20="Local Bubble",POWER(Upgrades!$U$20,L191),1)*IF(Upgrades!$T$21="Local Bubble",POWER(Upgrades!$U$21,M191),1))+(IF(G191=0,0,(Upgrades!$M$15+G191*Upgrades!$N$15)*POWER(Upgrades!$O$15,G191)))*(IF(Upgrades!$T$13="Microlensing",POWER(Upgrades!$U$13,E191),1)*IF(Upgrades!$T$14="Microlensing",POWER(Upgrades!$U$14,F191),1)*IF(Upgrades!$T$16="Microlensing",POWER(Upgrades!$U$16,H191),1)*IF(Upgrades!$T$17="Microlensing",POWER(Upgrades!$U$17,I191),1)*IF(Upgrades!$T$18="Microlensing",POWER(Upgrades!$U$18,J191),1)*IF(Upgrades!$T$19="Microlensing",POWER(Upgrades!$U$19,K191),1)*IF(Upgrades!$T$20="Microlensing",POWER(Upgrades!$U$20,L191),1)*IF(Upgrades!$T$21="Microlensing",POWER(Upgrades!$U$21,M191),1))+(IF(H191=0,0,(Upgrades!$M$16+H191*Upgrades!$N$16)*POWER(Upgrades!$O$16,H191)))*(IF(Upgrades!$T$13="Roche Lobe Overflow",POWER(Upgrades!$U$13,E191),1)*IF(Upgrades!$T$14="Roche Lobe Overflow",POWER(Upgrades!$U$14,F191),1)*IF(Upgrades!$T$15="Roche Lobe Overflow",POWER(Upgrades!$U$15,G191),1)*IF(Upgrades!$T$17="Roche Lobe Overflow",POWER(Upgrades!$U$17,I191),1)*IF(Upgrades!$T$18="Roche Lobe Overflow",POWER(Upgrades!$U$18,J191),1)*IF(Upgrades!$T$19="Roche Lobe Overflow",POWER(Upgrades!$U$19,K191),1)*IF(Upgrades!$T$20="Roche Lobe Overflow",POWER(Upgrades!$U$20,L191),1)*IF(Upgrades!$T$21="Roche Lobe Overflow",POWER(Upgrades!$U$21,M191),1))+(IF(I191=0,0,(Upgrades!$M$17+I191*Upgrades!$N$17)*POWER(Upgrades!$O$17,I191)))*(IF(Upgrades!$T$13="Brown Dwarf",POWER(Upgrades!$U$13,E191),1)*IF(Upgrades!$T$14="Brown Dwarf",POWER(Upgrades!$U$14,F191),1)*IF(Upgrades!$T$15="Brown Dwarf",POWER(Upgrades!$U$15,G191),1)*IF(Upgrades!$T$16="Brown Dwarf",POWER(Upgrades!$U$16,H191),1)*IF(Upgrades!$T$18="Brown Dwarf",POWER(Upgrades!$U$18,J191),1)*IF(Upgrades!$T$19="Brown Dwarf",POWER(Upgrades!$U$19,K191),1)*IF(Upgrades!$T$20="Brown Dwarf",POWER(Upgrades!$U$20,L191),1)*IF(Upgrades!$T$21="Brown Dwarf",POWER(Upgrades!$U$21,M191),1))+(IF(J191=0,0,(Upgrades!$M$18+J191*Upgrades!$N$18)*POWER(Upgrades!$O$18,J191)))*(IF(Upgrades!$T$13="Binary Partner",POWER(Upgrades!$U$13,E191),1)*IF(Upgrades!$T$14="Binary Partner",POWER(Upgrades!$U$14,F191),1)*IF(Upgrades!$T$15="Binary Partner",POWER(Upgrades!$U$15,G191),1)*IF(Upgrades!$T$16="Binary Partner",POWER(Upgrades!$U$16,H191),1)*IF(Upgrades!$T$17="Binary Partner",POWER(Upgrades!$U$17,I191),1)*IF(Upgrades!$T$19="Binary Partner",POWER(Upgrades!$U$19,K191),1)*IF(Upgrades!$T$20="Binary Partner",POWER(Upgrades!$U$20,L191),1)*IF(Upgrades!$T$21="Binary Partner",POWER(Upgrades!$U$21,M191),1))+(IF(K191=0,0,(Upgrades!$M$19+K191*Upgrades!$N$19)*POWER(Upgrades!$O$19,K191)))*(IF(Upgrades!$T$13="Peculiar Velocity",POWER(Upgrades!$U$13,E191),1)*IF(Upgrades!$T$14="Peculiar Velocity",POWER(Upgrades!$U$14,F191),1)*IF(Upgrades!$T$15="Peculiar Velocity",POWER(Upgrades!$U$15,G191),1)*IF(Upgrades!$T$16="Peculiar Velocity",POWER(Upgrades!$U$16,H191),1)*IF(Upgrades!$T$17="Peculiar Velocity",POWER(Upgrades!$U$17,I191),1)*IF(Upgrades!$T$18="Peculiar Velocity",POWER(Upgrades!$U$18,J191),1)*IF(Upgrades!$T$20="Peculiar Velocity",POWER(Upgrades!$U$20,L191),1)*IF(Upgrades!$T$21="Peculiar Velocity",POWER(Upgrades!$U$21,M191),1))+(IF(L191=0,0,(Upgrades!$M$20+L191*Upgrades!$N$20)*POWER(Upgrades!$O$20,L191)))*(IF(Upgrades!$T$13="Open Cluster",POWER(Upgrades!$U$13,E191),1)*IF(Upgrades!$T$14="Open Cluster",POWER(Upgrades!$U$14,F191),1)*IF(Upgrades!$T$15="Open Cluster",POWER(Upgrades!$U$15,G191),1)*IF(Upgrades!$T$16="Open Cluster",POWER(Upgrades!$U$16,H191),1)*IF(Upgrades!$T$17="Open Cluster",POWER(Upgrades!$U$17,I191),1)*IF(Upgrades!$T$18="Open Cluster",POWER(Upgrades!$U$18,J191),1)*IF(Upgrades!$T$19="Open Cluster",POWER(Upgrades!$U$19,K191),1)*IF(Upgrades!$T$21="Open Cluster",POWER(Upgrades!$U$21,M191),1))+(IF(M191=0,0,(Upgrades!$M$21+M191*Upgrades!$N$21)*POWER(Upgrades!$O$21,M191)))*(IF(Upgrades!$T$13="Moving Group",POWER(Upgrades!$U$13,E191),1)*IF(Upgrades!$T$14="Moving Group",POWER(Upgrades!$U$14,F191),1)*IF(Upgrades!$T$15="Moving Group",POWER(Upgrades!$U$15,G191),1)*IF(Upgrades!$T$16="Moving Group",POWER(Upgrades!$U$16,H191),1)*IF(Upgrades!$T$17="Moving Group",POWER(Upgrades!$U$17,I191),1)*IF(Upgrades!$T$18="Moving Group",POWER(Upgrades!$U$18,J191),1)*IF(Upgrades!$T$19="Moving Group",POWER(Upgrades!$U$19,K191),1)*IF(Upgrades!$T$20="Moving Group",POWER(Upgrades!$U$20,L191),1)))*POWER(Upgrades!$R$13,E191)*POWER(Upgrades!$R$14,F191)*POWER(Upgrades!$R$15,G191)*POWER(Upgrades!$R$16,H191)*POWER(Upgrades!$R$17,I191)*POWER(Upgrades!$R$18,J191)*POWER(Upgrades!$R$19,K191)*POWER(Upgrades!$R$20,L191)*POWER(Upgrades!$R$21,M191)*$H$6+$E$6</f>
        <v/>
      </c>
      <c r="R191" s="27">
        <f>IF(N191=1,0,O191*Parameters!$B$10/60*Parameters!$B$11*10)</f>
        <v/>
      </c>
      <c r="S191" s="27">
        <f>IF(N191=1,0,Q191*O191*10)</f>
        <v/>
      </c>
      <c r="T191" s="27">
        <f>IF(N191=1,0,R191+S191+P191*10)</f>
        <v/>
      </c>
      <c r="U191" s="33">
        <f>BE191</f>
        <v/>
      </c>
      <c r="V191" s="22">
        <f>IF(U191="",0,IF(U191="transition",0,IF(U191="SK",AK191,IF(U191="LB",AL191,IF(U191="ML",AM191,IF(U191="RLO",AN191,IF(U191="BD",AO191,IF(U191="BiP",AP191,IF(U191="PV",AQ191,IF(U191="OC",AR191,IF(U191="MG",AS191,0))))))))))</f>
        <v/>
      </c>
      <c r="W191" s="27">
        <f>IF(U191="BiP",Upgrades!$F$18,IF(U191="PV",Upgrades!$F$19,IF(U191="OC",Upgrades!$F$20,IF(U191="MG",Upgrades!$F$21,IF(U191="transition",-Parameters!$B$18*Parameters!$B$19,0)))))</f>
        <v/>
      </c>
      <c r="X191" s="22">
        <f>C191+T191-V191</f>
        <v/>
      </c>
      <c r="Y191" s="30">
        <f>O191*Parameters!$B$10/60*Parameters!$B$11+Q191*O191+P191</f>
        <v/>
      </c>
      <c r="Z191" s="34">
        <f>IF(U191="transition","→ Tier 3 (Galactic Arm)",IF(U191="MG","Moving Group — pocket drifts together",IF(U191="OC","Open Cluster acquired",IF(U191="PV","Peculiar Velocity — passive multiplier active",IF(U191="BiP","Binary Partner — pair bond formed",IF(AND(AU191=1,N191=0,AT191&lt;&gt;1),"Cohesion ready (waiting on completionists)","")))))) </f>
        <v/>
      </c>
      <c r="AA191" s="27">
        <f>(IF(E191=0,0,(Upgrades!$G$13+E191*Upgrades!$H$13)*POWER(Upgrades!$I$13,E191)))*(IF(Upgrades!$T$14="Stellar Kinematics",POWER(Upgrades!$U$14,F191),1)*IF(Upgrades!$T$15="Stellar Kinematics",POWER(Upgrades!$U$15,G191),1)*IF(Upgrades!$T$16="Stellar Kinematics",POWER(Upgrades!$U$16,H191),1)*IF(Upgrades!$T$17="Stellar Kinematics",POWER(Upgrades!$U$17,I191),1)*IF(Upgrades!$T$18="Stellar Kinematics",POWER(Upgrades!$U$18,J191),1)*IF(Upgrades!$T$19="Stellar Kinematics",POWER(Upgrades!$U$19,K191),1)*IF(Upgrades!$T$20="Stellar Kinematics",POWER(Upgrades!$U$20,L191),1)*IF(Upgrades!$T$21="Stellar Kinematics",POWER(Upgrades!$U$21,M191),1))*POWER(Upgrades!$P$13,E191)*POWER(Upgrades!$P$14,F191)*POWER(Upgrades!$P$15,G191)*POWER(Upgrades!$P$16,H191)*POWER(Upgrades!$P$17,I191)*POWER(Upgrades!$P$18,J191)*POWER(Upgrades!$P$19,K191)*POWER(Upgrades!$P$20,L191)*POWER(Upgrades!$P$21,M191)*$F$6*60</f>
        <v/>
      </c>
      <c r="AB191" s="27">
        <f>(IF(F191=0,0,(Upgrades!$G$14+F191*Upgrades!$H$14)*POWER(Upgrades!$I$14,F191)))*(IF(Upgrades!$T$13="Local Bubble",POWER(Upgrades!$U$13,E191),1)*IF(Upgrades!$T$15="Local Bubble",POWER(Upgrades!$U$15,G191),1)*IF(Upgrades!$T$16="Local Bubble",POWER(Upgrades!$U$16,H191),1)*IF(Upgrades!$T$17="Local Bubble",POWER(Upgrades!$U$17,I191),1)*IF(Upgrades!$T$18="Local Bubble",POWER(Upgrades!$U$18,J191),1)*IF(Upgrades!$T$19="Local Bubble",POWER(Upgrades!$U$19,K191),1)*IF(Upgrades!$T$20="Local Bubble",POWER(Upgrades!$U$20,L191),1)*IF(Upgrades!$T$21="Local Bubble",POWER(Upgrades!$U$21,M191),1))*POWER(Upgrades!$P$13,E191)*POWER(Upgrades!$P$14,F191)*POWER(Upgrades!$P$15,G191)*POWER(Upgrades!$P$16,H191)*POWER(Upgrades!$P$17,I191)*POWER(Upgrades!$P$18,J191)*POWER(Upgrades!$P$19,K191)*POWER(Upgrades!$P$20,L191)*POWER(Upgrades!$P$21,M191)*$F$6*60</f>
        <v/>
      </c>
      <c r="AC191" s="27">
        <f>(IF(G191=0,0,(Upgrades!$J$15+G191*Upgrades!$K$15)*POWER(Upgrades!$L$15,G191)))*(IF(Upgrades!$T$13="Microlensing",POWER(Upgrades!$U$13,E191),1)*IF(Upgrades!$T$14="Microlensing",POWER(Upgrades!$U$14,F191),1)*IF(Upgrades!$T$16="Microlensing",POWER(Upgrades!$U$16,H191),1)*IF(Upgrades!$T$17="Microlensing",POWER(Upgrades!$U$17,I191),1)*IF(Upgrades!$T$18="Microlensing",POWER(Upgrades!$U$18,J191),1)*IF(Upgrades!$T$19="Microlensing",POWER(Upgrades!$U$19,K191),1)*IF(Upgrades!$T$20="Microlensing",POWER(Upgrades!$U$20,L191),1)*IF(Upgrades!$T$21="Microlensing",POWER(Upgrades!$U$21,M191),1))*POWER(Upgrades!$Q$13,E191)*POWER(Upgrades!$Q$14,F191)*POWER(Upgrades!$Q$15,G191)*POWER(Upgrades!$Q$16,H191)*POWER(Upgrades!$Q$17,I191)*POWER(Upgrades!$Q$18,J191)*POWER(Upgrades!$Q$19,K191)*POWER(Upgrades!$Q$20,L191)*POWER(Upgrades!$Q$21,M191)*$G$6*(Parameters!$B$10*Parameters!$B$11+Q191*60)</f>
        <v/>
      </c>
      <c r="AD191" s="27">
        <f>(IF(H191=0,0,(Upgrades!$M$16+H191*Upgrades!$N$16)*POWER(Upgrades!$O$16,H191)))*(IF(Upgrades!$T$13="Roche Lobe Overflow",POWER(Upgrades!$U$13,E191),1)*IF(Upgrades!$T$14="Roche Lobe Overflow",POWER(Upgrades!$U$14,F191),1)*IF(Upgrades!$T$15="Roche Lobe Overflow",POWER(Upgrades!$U$15,G191),1)*IF(Upgrades!$T$17="Roche Lobe Overflow",POWER(Upgrades!$U$17,I191),1)*IF(Upgrades!$T$18="Roche Lobe Overflow",POWER(Upgrades!$U$18,J191),1)*IF(Upgrades!$T$19="Roche Lobe Overflow",POWER(Upgrades!$U$19,K191),1)*IF(Upgrades!$T$20="Roche Lobe Overflow",POWER(Upgrades!$U$20,L191),1)*IF(Upgrades!$T$21="Roche Lobe Overflow",POWER(Upgrades!$U$21,M191),1))*POWER(Upgrades!$R$13,E191)*POWER(Upgrades!$R$14,F191)*POWER(Upgrades!$R$15,G191)*POWER(Upgrades!$R$16,H191)*POWER(Upgrades!$R$17,I191)*POWER(Upgrades!$R$18,J191)*POWER(Upgrades!$R$19,K191)*POWER(Upgrades!$R$20,L191)*POWER(Upgrades!$R$21,M191)*$H$6*O191*60</f>
        <v/>
      </c>
      <c r="AE191" s="27">
        <f>(IF(I191=0,0,(Upgrades!$G$17+I191*Upgrades!$H$17)*POWER(Upgrades!$I$17,I191)))*(IF(Upgrades!$T$13="Brown Dwarf",POWER(Upgrades!$U$13,E191),1)*IF(Upgrades!$T$14="Brown Dwarf",POWER(Upgrades!$U$14,F191),1)*IF(Upgrades!$T$15="Brown Dwarf",POWER(Upgrades!$U$15,G191),1)*IF(Upgrades!$T$16="Brown Dwarf",POWER(Upgrades!$U$16,H191),1)*IF(Upgrades!$T$18="Brown Dwarf",POWER(Upgrades!$U$18,J191),1)*IF(Upgrades!$T$19="Brown Dwarf",POWER(Upgrades!$U$19,K191),1)*IF(Upgrades!$T$20="Brown Dwarf",POWER(Upgrades!$U$20,L191),1)*IF(Upgrades!$T$21="Brown Dwarf",POWER(Upgrades!$U$21,M191),1))*POWER(Upgrades!$P$13,E191)*POWER(Upgrades!$P$14,F191)*POWER(Upgrades!$P$15,G191)*POWER(Upgrades!$P$16,H191)*POWER(Upgrades!$P$17,I191)*POWER(Upgrades!$P$18,J191)*POWER(Upgrades!$P$19,K191)*POWER(Upgrades!$P$20,L191)*POWER(Upgrades!$P$21,M191)*$F$6*60</f>
        <v/>
      </c>
      <c r="AF191" s="27" t="n">
        <v>0</v>
      </c>
      <c r="AG191" s="27" t="n">
        <v>0</v>
      </c>
      <c r="AH191" s="27" t="n">
        <v>0</v>
      </c>
      <c r="AI191" s="27">
        <f>(IF(M191=0,0,(Upgrades!$G$21+M191*Upgrades!$H$21)*POWER(Upgrades!$I$21,M191)))*(IF(Upgrades!$T$13="Moving Group",POWER(Upgrades!$U$13,E191),1)*IF(Upgrades!$T$14="Moving Group",POWER(Upgrades!$U$14,F191),1)*IF(Upgrades!$T$15="Moving Group",POWER(Upgrades!$U$15,G191),1)*IF(Upgrades!$T$16="Moving Group",POWER(Upgrades!$U$16,H191),1)*IF(Upgrades!$T$17="Moving Group",POWER(Upgrades!$U$17,I191),1)*IF(Upgrades!$T$18="Moving Group",POWER(Upgrades!$U$18,J191),1)*IF(Upgrades!$T$19="Moving Group",POWER(Upgrades!$U$19,K191),1)*IF(Upgrades!$T$20="Moving Group",POWER(Upgrades!$U$20,L191),1))*POWER(Upgrades!$P$13,E191)*POWER(Upgrades!$P$14,F191)*POWER(Upgrades!$P$15,G191)*POWER(Upgrades!$P$16,H191)*POWER(Upgrades!$P$17,I191)*POWER(Upgrades!$P$18,J191)*POWER(Upgrades!$P$19,K191)*POWER(Upgrades!$P$20,L191)*POWER(Upgrades!$P$21,M191)*$F$6*60</f>
        <v/>
      </c>
      <c r="AJ191" s="27">
        <f>$C$6*60</f>
        <v/>
      </c>
      <c r="AK191" s="22">
        <f>IF(E191&gt;=Upgrades!$E$13,"",Upgrades!$C$13*POWER(Upgrades!$D$13,E191))</f>
        <v/>
      </c>
      <c r="AL191" s="22">
        <f>IF(F191&gt;=Upgrades!$E$14,"",Upgrades!$C$14*POWER(Upgrades!$D$14,F191))</f>
        <v/>
      </c>
      <c r="AM191" s="22">
        <f>IF(G191&gt;=Upgrades!$E$15,"",Upgrades!$C$15*POWER(Upgrades!$D$15,G191))</f>
        <v/>
      </c>
      <c r="AN191" s="22">
        <f>IF(H191&gt;=Upgrades!$E$16,"",Upgrades!$C$16*POWER(Upgrades!$D$16,H191))</f>
        <v/>
      </c>
      <c r="AO191" s="22">
        <f>IF(I191&gt;=Upgrades!$E$17,"",Upgrades!$C$17*POWER(Upgrades!$D$17,I191))</f>
        <v/>
      </c>
      <c r="AP191" s="22">
        <f>IF(J191&gt;=Upgrades!$E$18,"",Upgrades!$C$18*POWER(Upgrades!$D$18,J191))</f>
        <v/>
      </c>
      <c r="AQ191" s="22">
        <f>IF(K191&gt;=Upgrades!$E$19,"",Upgrades!$C$19*POWER(Upgrades!$D$19,K191))</f>
        <v/>
      </c>
      <c r="AR191" s="22">
        <f>IF(L191&gt;=Upgrades!$E$20,"",Upgrades!$C$20*POWER(Upgrades!$D$20,L191))</f>
        <v/>
      </c>
      <c r="AS191" s="22">
        <f>IF(M191&gt;=Upgrades!$E$21,"",Upgrades!$C$21*POWER(Upgrades!$D$21,M191))</f>
        <v/>
      </c>
      <c r="AT191" s="26">
        <f>IF(AND(D191&gt;=Parameters!$B$18*Parameters!$B$19,(I191&gt;=Upgrades!$E$17)*(M191&gt;=Upgrades!$E$21)=1,N191=0),1,"")</f>
        <v/>
      </c>
      <c r="AU191" s="26">
        <f>IF(AND(D191&gt;=Parameters!$B$18*Parameters!$B$19,N191=0),1,"")</f>
        <v/>
      </c>
      <c r="AV191" s="22">
        <f>MIN(IF(ISNUMBER(AP191),AP191,9E15),IF(ISNUMBER(AQ191),AQ191,9E15),IF(ISNUMBER(AR191),AR191,9E15),IF(ISNUMBER(AS191),AS191,9E15))</f>
        <v/>
      </c>
      <c r="AW191" s="22">
        <f>MIN(IF(ISNUMBER(AK191),AK191,9E15),IF(ISNUMBER(AL191),AL191,9E15),IF(ISNUMBER(AM191),AM191,9E15),IF(ISNUMBER(AN191),AN191,9E15),IF(ISNUMBER(AO191),AO191,9E15))</f>
        <v/>
      </c>
      <c r="AX191" s="29">
        <f>IF(BD191&gt;Parameters!$B$21*(MAX(IF(AND(NOT(AND(AU191=1,AT191&lt;&gt;1)),ISNUMBER(AK191),AK191&lt;=(C191+T191)),AY191,0),IF(AND(NOT(AND(AU191=1,AT191&lt;&gt;1)),ISNUMBER(AL191),AL191&lt;=(C191+T191)),AZ191,0),IF(AND(NOT(AND(AU191=1,AT191&lt;&gt;1)),ISNUMBER(AM191),AM191&lt;=(C191+T191)),BA191,0),IF(AND(NOT(AND(AU191=1,AT191&lt;&gt;1)),ISNUMBER(AN191),AN191&lt;=(C191+T191)),BB191,0),IF(AND(ISNUMBER(AO191),AO191&lt;=(C191+T191)),BC191,0))),TRUE,FALSE)</f>
        <v/>
      </c>
      <c r="AY191" s="32">
        <f>IFERROR(Upgrades!$H$13*(POWER(Upgrades!$P$13,E191)*POWER(Upgrades!$P$14,F191)*POWER(Upgrades!$P$15,G191)*POWER(Upgrades!$P$16,H191)*POWER(Upgrades!$P$17,I191)*POWER(Upgrades!$P$18,J191)*POWER(Upgrades!$P$19,K191)*POWER(Upgrades!$P$20,L191)*POWER(Upgrades!$P$21,M191))*(IF(Upgrades!$T$14="Stellar Kinematics",POWER(Upgrades!$U$14,F191),1)*IF(Upgrades!$T$15="Stellar Kinematics",POWER(Upgrades!$U$15,G191),1)*IF(Upgrades!$T$16="Stellar Kinematics",POWER(Upgrades!$U$16,H191),1)*IF(Upgrades!$T$17="Stellar Kinematics",POWER(Upgrades!$U$17,I191),1)*IF(Upgrades!$T$18="Stellar Kinematics",POWER(Upgrades!$U$18,J191),1)*IF(Upgrades!$T$19="Stellar Kinematics",POWER(Upgrades!$U$19,K191),1)*IF(Upgrades!$T$20="Stellar Kinematics",POWER(Upgrades!$U$20,L191),1)*IF(Upgrades!$T$21="Stellar Kinematics",POWER(Upgrades!$U$21,M191),1))*$F$6/AK191,0)</f>
        <v/>
      </c>
      <c r="AZ191" s="32">
        <f>IFERROR(Upgrades!$H$14*(POWER(Upgrades!$P$13,E191)*POWER(Upgrades!$P$14,F191)*POWER(Upgrades!$P$15,G191)*POWER(Upgrades!$P$16,H191)*POWER(Upgrades!$P$17,I191)*POWER(Upgrades!$P$18,J191)*POWER(Upgrades!$P$19,K191)*POWER(Upgrades!$P$20,L191)*POWER(Upgrades!$P$21,M191))*(IF(Upgrades!$T$13="Local Bubble",POWER(Upgrades!$U$13,E191),1)*IF(Upgrades!$T$15="Local Bubble",POWER(Upgrades!$U$15,G191),1)*IF(Upgrades!$T$16="Local Bubble",POWER(Upgrades!$U$16,H191),1)*IF(Upgrades!$T$17="Local Bubble",POWER(Upgrades!$U$17,I191),1)*IF(Upgrades!$T$18="Local Bubble",POWER(Upgrades!$U$18,J191),1)*IF(Upgrades!$T$19="Local Bubble",POWER(Upgrades!$U$19,K191),1)*IF(Upgrades!$T$20="Local Bubble",POWER(Upgrades!$U$20,L191),1)*IF(Upgrades!$T$21="Local Bubble",POWER(Upgrades!$U$21,M191),1))*$F$6/AL191,0)</f>
        <v/>
      </c>
      <c r="BA191" s="32">
        <f>IFERROR(Upgrades!$K$15*(POWER(Upgrades!$Q$13,E191)*POWER(Upgrades!$Q$14,F191)*POWER(Upgrades!$Q$15,G191)*POWER(Upgrades!$Q$16,H191)*POWER(Upgrades!$Q$17,I191)*POWER(Upgrades!$Q$18,J191)*POWER(Upgrades!$Q$19,K191)*POWER(Upgrades!$Q$20,L191)*POWER(Upgrades!$Q$21,M191))*(IF(Upgrades!$T$13="Microlensing",POWER(Upgrades!$U$13,E191),1)*IF(Upgrades!$T$14="Microlensing",POWER(Upgrades!$U$14,F191),1)*IF(Upgrades!$T$16="Microlensing",POWER(Upgrades!$U$16,H191),1)*IF(Upgrades!$T$17="Microlensing",POWER(Upgrades!$U$17,I191),1)*IF(Upgrades!$T$18="Microlensing",POWER(Upgrades!$U$18,J191),1)*IF(Upgrades!$T$19="Microlensing",POWER(Upgrades!$U$19,K191),1)*IF(Upgrades!$T$20="Microlensing",POWER(Upgrades!$U$20,L191),1)*IF(Upgrades!$T$21="Microlensing",POWER(Upgrades!$U$21,M191),1))*$G$6*(Parameters!$B$10/60*Parameters!$B$11+Q191)/AM191,0)</f>
        <v/>
      </c>
      <c r="BB191" s="32">
        <f>IFERROR((Upgrades!$N$16*(POWER(Upgrades!$R$13,E191)*POWER(Upgrades!$R$14,F191)*POWER(Upgrades!$R$15,G191)*POWER(Upgrades!$R$16,H191)*POWER(Upgrades!$R$17,I191)*POWER(Upgrades!$R$18,J191)*POWER(Upgrades!$R$19,K191)*POWER(Upgrades!$R$20,L191)*POWER(Upgrades!$R$21,M191))*(IF(Upgrades!$T$13="Roche Lobe Overflow",POWER(Upgrades!$U$13,E191),1)*IF(Upgrades!$T$14="Roche Lobe Overflow",POWER(Upgrades!$U$14,F191),1)*IF(Upgrades!$T$15="Roche Lobe Overflow",POWER(Upgrades!$U$15,G191),1)*IF(Upgrades!$T$17="Roche Lobe Overflow",POWER(Upgrades!$U$17,I191),1)*IF(Upgrades!$T$18="Roche Lobe Overflow",POWER(Upgrades!$U$18,J191),1)*IF(Upgrades!$T$19="Roche Lobe Overflow",POWER(Upgrades!$U$19,K191),1)*IF(Upgrades!$T$20="Roche Lobe Overflow",POWER(Upgrades!$U$20,L191),1)*IF(Upgrades!$T$21="Roche Lobe Overflow",POWER(Upgrades!$U$21,M191),1))*$H$6*O191+((IF(F191=0,0,(Upgrades!$G$14+F191*Upgrades!$H$14)*POWER(Upgrades!$I$14,F191)))*(IF(Upgrades!$T$13="Local Bubble",POWER(Upgrades!$U$13,E191),1)*IF(Upgrades!$T$15="Local Bubble",POWER(Upgrades!$U$15,G191),1)*IF(Upgrades!$T$16="Local Bubble",POWER(Upgrades!$U$16,H191),1)*IF(Upgrades!$T$17="Local Bubble",POWER(Upgrades!$U$17,I191),1)*IF(Upgrades!$T$18="Local Bubble",POWER(Upgrades!$U$18,J191),1)*IF(Upgrades!$T$19="Local Bubble",POWER(Upgrades!$U$19,K191),1)*IF(Upgrades!$T$20="Local Bubble",POWER(Upgrades!$U$20,L191),1)*IF(Upgrades!$T$21="Local Bubble",POWER(Upgrades!$U$21,M191),1))*POWER(Upgrades!$P$13,E191)*POWER(Upgrades!$P$14,F191)*POWER(Upgrades!$P$15,G191)*POWER(Upgrades!$P$16,H191)*POWER(Upgrades!$P$17,I191)*POWER(Upgrades!$P$18,J191)*POWER(Upgrades!$P$19,K191)*POWER(Upgrades!$P$20,L191)*POWER(Upgrades!$P$21,M191)*$F$6)*0.05)/AN191,0)</f>
        <v/>
      </c>
      <c r="BC191" s="32">
        <f>IFERROR((Upgrades!$H$17*(POWER(Upgrades!$P$13,E191)*POWER(Upgrades!$P$14,F191)*POWER(Upgrades!$P$15,G191)*POWER(Upgrades!$P$16,H191)*POWER(Upgrades!$P$17,I191)*POWER(Upgrades!$P$18,J191)*POWER(Upgrades!$P$19,K191)*POWER(Upgrades!$P$20,L191)*POWER(Upgrades!$P$21,M191))*(IF(Upgrades!$T$13="Brown Dwarf",POWER(Upgrades!$U$13,E191),1)*IF(Upgrades!$T$14="Brown Dwarf",POWER(Upgrades!$U$14,F191),1)*IF(Upgrades!$T$15="Brown Dwarf",POWER(Upgrades!$U$15,G191),1)*IF(Upgrades!$T$16="Brown Dwarf",POWER(Upgrades!$U$16,H191),1)*IF(Upgrades!$T$18="Brown Dwarf",POWER(Upgrades!$U$18,J191),1)*IF(Upgrades!$T$19="Brown Dwarf",POWER(Upgrades!$U$19,K191),1)*IF(Upgrades!$T$20="Brown Dwarf",POWER(Upgrades!$U$20,L191),1)*IF(Upgrades!$T$21="Brown Dwarf",POWER(Upgrades!$U$21,M191),1))*$F$6+(((IF(H191=0,0,(Upgrades!$M$16+H191*Upgrades!$N$16)*POWER(Upgrades!$O$16,H191)))*(IF(Upgrades!$T$13="Roche Lobe Overflow",POWER(Upgrades!$U$13,E191),1)*IF(Upgrades!$T$14="Roche Lobe Overflow",POWER(Upgrades!$U$14,F191),1)*IF(Upgrades!$T$15="Roche Lobe Overflow",POWER(Upgrades!$U$15,G191),1)*IF(Upgrades!$T$17="Roche Lobe Overflow",POWER(Upgrades!$U$17,I191),1)*IF(Upgrades!$T$18="Roche Lobe Overflow",POWER(Upgrades!$U$18,J191),1)*IF(Upgrades!$T$19="Roche Lobe Overflow",POWER(Upgrades!$U$19,K191),1)*IF(Upgrades!$T$20="Roche Lobe Overflow",POWER(Upgrades!$U$20,L191),1)*IF(Upgrades!$T$21="Roche Lobe Overflow",POWER(Upgrades!$U$21,M191),1))*POWER(Upgrades!$R$13,E191)*POWER(Upgrades!$R$14,F191)*POWER(Upgrades!$R$15,G191)*POWER(Upgrades!$R$16,H191)*POWER(Upgrades!$R$17,I191)*POWER(Upgrades!$R$18,J191)*POWER(Upgrades!$R$19,K191)*POWER(Upgrades!$R$20,L191)*POWER(Upgrades!$R$21,M191)*$H$6)*O191)*0.10)/AO191,0)</f>
        <v/>
      </c>
      <c r="BD191" s="32">
        <f>MAX(IF(J191&gt;0,0,IFERROR(0.5*((IF(G191=0,0,(Upgrades!$J$15+G191*Upgrades!$K$15)*POWER(Upgrades!$L$15,G191)))*(IF(Upgrades!$T$13="Microlensing",POWER(Upgrades!$U$13,E191),1)*IF(Upgrades!$T$14="Microlensing",POWER(Upgrades!$U$14,F191),1)*IF(Upgrades!$T$16="Microlensing",POWER(Upgrades!$U$16,H191),1)*IF(Upgrades!$T$17="Microlensing",POWER(Upgrades!$U$17,I191),1)*IF(Upgrades!$T$18="Microlensing",POWER(Upgrades!$U$18,J191),1)*IF(Upgrades!$T$19="Microlensing",POWER(Upgrades!$U$19,K191),1)*IF(Upgrades!$T$20="Microlensing",POWER(Upgrades!$U$20,L191),1)*IF(Upgrades!$T$21="Microlensing",POWER(Upgrades!$U$21,M191),1))*(POWER(Upgrades!$Q$13,E191)*POWER(Upgrades!$Q$14,F191)*POWER(Upgrades!$Q$15,G191)*POWER(Upgrades!$Q$16,H191)*POWER(Upgrades!$Q$17,I191)*POWER(Upgrades!$Q$18,J191)*POWER(Upgrades!$Q$19,K191)*POWER(Upgrades!$Q$20,L191)*POWER(Upgrades!$Q$21,M191))*$G$6*(Parameters!$B$10/60*Parameters!$B$11+Q191))/Upgrades!$C$18,0)),IF(K191&gt;0,0,IFERROR(0.30*P191/Upgrades!$C$19,0)),IF(L191&gt;0,0,IFERROR(0.0001/Upgrades!$C$20,0)),IF(M191&gt;0,0,IFERROR((6.0*(POWER(Upgrades!$P$13,E191)*POWER(Upgrades!$P$14,F191)*POWER(Upgrades!$P$15,G191)*POWER(Upgrades!$P$16,H191)*POWER(Upgrades!$P$17,I191)*POWER(Upgrades!$P$18,J191)*POWER(Upgrades!$P$19,K191)*POWER(Upgrades!$P$20,L191)*POWER(Upgrades!$P$21,M191))*$F$6+0.20*O191*(Parameters!$B$10/60*Parameters!$B$11+Q191))/Upgrades!$C$21,0)),IF(AND(ISNUMBER(AK191),AK191&gt;(C191+T191)),AY191,0),IF(AND(ISNUMBER(AL191),AL191&gt;(C191+T191)),AZ191,0),IF(AND(ISNUMBER(AM191),AM191&gt;(C191+T191)),BA191,0),IF(AND(ISNUMBER(AN191),AN191&gt;(C191+T191)),BB191,0),IF(AND(ISNUMBER(AO191),AO191&gt;(C191+T191)),BC191,0))</f>
        <v/>
      </c>
      <c r="BE191" s="29">
        <f>IF(AT191=1,"transition",IF(MIN(IF(AND(J191=0,ISNUMBER(AP191),AP191&lt;=(C191+T191)),AP191,9E15),IF(AND(K191=0,ISNUMBER(AQ191),AQ191&lt;=(C191+T191)),AQ191,9E15),IF(AND(L191=0,ISNUMBER(AR191),AR191&lt;=(C191+T191)),AR191,9E15),IF(AND(M191=0,ISNUMBER(AS191),AS191&lt;=(C191+T191)),AS191,9E15))&lt;9E15,IF(AND(AND(J191=0,ISNUMBER(AP191),AP191&lt;=(C191+T191)),AP191=MIN(IF(AND(J191=0,ISNUMBER(AP191),AP191&lt;=(C191+T191)),AP191,9E15),IF(AND(K191=0,ISNUMBER(AQ191),AQ191&lt;=(C191+T191)),AQ191,9E15),IF(AND(L191=0,ISNUMBER(AR191),AR191&lt;=(C191+T191)),AR191,9E15),IF(AND(M191=0,ISNUMBER(AS191),AS191&lt;=(C191+T191)),AS191,9E15))),"BiP",IF(AND(AND(K191=0,ISNUMBER(AQ191),AQ191&lt;=(C191+T191)),AQ191=MIN(IF(AND(J191=0,ISNUMBER(AP191),AP191&lt;=(C191+T191)),AP191,9E15),IF(AND(K191=0,ISNUMBER(AQ191),AQ191&lt;=(C191+T191)),AQ191,9E15),IF(AND(L191=0,ISNUMBER(AR191),AR191&lt;=(C191+T191)),AR191,9E15),IF(AND(M191=0,ISNUMBER(AS191),AS191&lt;=(C191+T191)),AS191,9E15))),"PV",IF(AND(AND(L191=0,ISNUMBER(AR191),AR191&lt;=(C191+T191)),AR191=MIN(IF(AND(J191=0,ISNUMBER(AP191),AP191&lt;=(C191+T191)),AP191,9E15),IF(AND(K191=0,ISNUMBER(AQ191),AQ191&lt;=(C191+T191)),AQ191,9E15),IF(AND(L191=0,ISNUMBER(AR191),AR191&lt;=(C191+T191)),AR191,9E15),IF(AND(M191=0,ISNUMBER(AS191),AS191&lt;=(C191+T191)),AS191,9E15))),"OC","MG"))),IF(AX191=TRUE,"",IF(MAX(IF(AND(NOT(AND(AU191=1,AT191&lt;&gt;1)),ISNUMBER(AK191),AK191&lt;=(C191+T191)),AY191,0),IF(AND(NOT(AND(AU191=1,AT191&lt;&gt;1)),ISNUMBER(AL191),AL191&lt;=(C191+T191)),AZ191,0),IF(AND(NOT(AND(AU191=1,AT191&lt;&gt;1)),ISNUMBER(AM191),AM191&lt;=(C191+T191)),BA191,0),IF(AND(NOT(AND(AU191=1,AT191&lt;&gt;1)),ISNUMBER(AN191),AN191&lt;=(C191+T191)),BB191,0),IF(AND(ISNUMBER(AO191),AO191&lt;=(C191+T191)),BC191,0))&lt;=0,"",IF(AND(IF(AND(NOT(AND(AU191=1,AT191&lt;&gt;1)),ISNUMBER(AK191),AK191&lt;=(C191+T191)),AY191,0)&gt;0,IF(AND(NOT(AND(AU191=1,AT191&lt;&gt;1)),ISNUMBER(AK191),AK191&lt;=(C191+T191)),AY191,0)=MAX(IF(AND(NOT(AND(AU191=1,AT191&lt;&gt;1)),ISNUMBER(AK191),AK191&lt;=(C191+T191)),AY191,0),IF(AND(NOT(AND(AU191=1,AT191&lt;&gt;1)),ISNUMBER(AL191),AL191&lt;=(C191+T191)),AZ191,0),IF(AND(NOT(AND(AU191=1,AT191&lt;&gt;1)),ISNUMBER(AM191),AM191&lt;=(C191+T191)),BA191,0),IF(AND(NOT(AND(AU191=1,AT191&lt;&gt;1)),ISNUMBER(AN191),AN191&lt;=(C191+T191)),BB191,0),IF(AND(ISNUMBER(AO191),AO191&lt;=(C191+T191)),BC191,0))),"SK",IF(AND(IF(AND(NOT(AND(AU191=1,AT191&lt;&gt;1)),ISNUMBER(AL191),AL191&lt;=(C191+T191)),AZ191,0)&gt;0,IF(AND(NOT(AND(AU191=1,AT191&lt;&gt;1)),ISNUMBER(AL191),AL191&lt;=(C191+T191)),AZ191,0)=MAX(IF(AND(NOT(AND(AU191=1,AT191&lt;&gt;1)),ISNUMBER(AK191),AK191&lt;=(C191+T191)),AY191,0),IF(AND(NOT(AND(AU191=1,AT191&lt;&gt;1)),ISNUMBER(AL191),AL191&lt;=(C191+T191)),AZ191,0),IF(AND(NOT(AND(AU191=1,AT191&lt;&gt;1)),ISNUMBER(AM191),AM191&lt;=(C191+T191)),BA191,0),IF(AND(NOT(AND(AU191=1,AT191&lt;&gt;1)),ISNUMBER(AN191),AN191&lt;=(C191+T191)),BB191,0),IF(AND(ISNUMBER(AO191),AO191&lt;=(C191+T191)),BC191,0))),"LB",IF(AND(IF(AND(NOT(AND(AU191=1,AT191&lt;&gt;1)),ISNUMBER(AM191),AM191&lt;=(C191+T191)),BA191,0)&gt;0,IF(AND(NOT(AND(AU191=1,AT191&lt;&gt;1)),ISNUMBER(AM191),AM191&lt;=(C191+T191)),BA191,0)=MAX(IF(AND(NOT(AND(AU191=1,AT191&lt;&gt;1)),ISNUMBER(AK191),AK191&lt;=(C191+T191)),AY191,0),IF(AND(NOT(AND(AU191=1,AT191&lt;&gt;1)),ISNUMBER(AL191),AL191&lt;=(C191+T191)),AZ191,0),IF(AND(NOT(AND(AU191=1,AT191&lt;&gt;1)),ISNUMBER(AM191),AM191&lt;=(C191+T191)),BA191,0),IF(AND(NOT(AND(AU191=1,AT191&lt;&gt;1)),ISNUMBER(AN191),AN191&lt;=(C191+T191)),BB191,0),IF(AND(ISNUMBER(AO191),AO191&lt;=(C191+T191)),BC191,0))),"ML",IF(AND(IF(AND(NOT(AND(AU191=1,AT191&lt;&gt;1)),ISNUMBER(AN191),AN191&lt;=(C191+T191)),BB191,0)&gt;0,IF(AND(NOT(AND(AU191=1,AT191&lt;&gt;1)),ISNUMBER(AN191),AN191&lt;=(C191+T191)),BB191,0)=MAX(IF(AND(NOT(AND(AU191=1,AT191&lt;&gt;1)),ISNUMBER(AK191),AK191&lt;=(C191+T191)),AY191,0),IF(AND(NOT(AND(AU191=1,AT191&lt;&gt;1)),ISNUMBER(AL191),AL191&lt;=(C191+T191)),AZ191,0),IF(AND(NOT(AND(AU191=1,AT191&lt;&gt;1)),ISNUMBER(AM191),AM191&lt;=(C191+T191)),BA191,0),IF(AND(NOT(AND(AU191=1,AT191&lt;&gt;1)),ISNUMBER(AN191),AN191&lt;=(C191+T191)),BB191,0),IF(AND(ISNUMBER(AO191),AO191&lt;=(C191+T191)),BC191,0))),"RLO","BD"))))))))</f>
        <v/>
      </c>
    </row>
    <row r="192">
      <c r="A192" s="26" t="n">
        <v>181</v>
      </c>
      <c r="B192" s="27">
        <f>A192*10/60</f>
        <v/>
      </c>
      <c r="C192" s="22">
        <f>X191</f>
        <v/>
      </c>
      <c r="D192" s="27">
        <f>D191+W191</f>
        <v/>
      </c>
      <c r="E192" s="26">
        <f>E191+IF(U191="SK",1,0)</f>
        <v/>
      </c>
      <c r="F192" s="26">
        <f>F191+IF(U191="LB",1,0)</f>
        <v/>
      </c>
      <c r="G192" s="26">
        <f>G191+IF(U191="ML",1,0)</f>
        <v/>
      </c>
      <c r="H192" s="26">
        <f>H191+IF(U191="RLO",1,0)</f>
        <v/>
      </c>
      <c r="I192" s="26">
        <f>I191+IF(U191="BD",1,0)</f>
        <v/>
      </c>
      <c r="J192" s="26">
        <f>MAX(J191,IF(U191="BiP",1,0))</f>
        <v/>
      </c>
      <c r="K192" s="26">
        <f>MAX(K191,IF(U191="PV",1,0))</f>
        <v/>
      </c>
      <c r="L192" s="26">
        <f>MAX(L191,IF(U191="OC",1,0))</f>
        <v/>
      </c>
      <c r="M192" s="26">
        <f>MAX(M191,IF(U191="MG",1,0))</f>
        <v/>
      </c>
      <c r="N192" s="26">
        <f>MAX(N191,IF(U191="transition",1,0))</f>
        <v/>
      </c>
      <c r="O192" s="28">
        <f>(Parameters!$B$9+(IF(E192=0,0,(Upgrades!$J$13+E192*Upgrades!$K$13)*POWER(Upgrades!$L$13,E192)))*(IF(Upgrades!$T$14="Stellar Kinematics",POWER(Upgrades!$U$14,F192),1)*IF(Upgrades!$T$15="Stellar Kinematics",POWER(Upgrades!$U$15,G192),1)*IF(Upgrades!$T$16="Stellar Kinematics",POWER(Upgrades!$U$16,H192),1)*IF(Upgrades!$T$17="Stellar Kinematics",POWER(Upgrades!$U$17,I192),1)*IF(Upgrades!$T$18="Stellar Kinematics",POWER(Upgrades!$U$18,J192),1)*IF(Upgrades!$T$19="Stellar Kinematics",POWER(Upgrades!$U$19,K192),1)*IF(Upgrades!$T$20="Stellar Kinematics",POWER(Upgrades!$U$20,L192),1)*IF(Upgrades!$T$21="Stellar Kinematics",POWER(Upgrades!$U$21,M192),1))+(IF(F192=0,0,(Upgrades!$J$14+F192*Upgrades!$K$14)*POWER(Upgrades!$L$14,F192)))*(IF(Upgrades!$T$13="Local Bubble",POWER(Upgrades!$U$13,E192),1)*IF(Upgrades!$T$15="Local Bubble",POWER(Upgrades!$U$15,G192),1)*IF(Upgrades!$T$16="Local Bubble",POWER(Upgrades!$U$16,H192),1)*IF(Upgrades!$T$17="Local Bubble",POWER(Upgrades!$U$17,I192),1)*IF(Upgrades!$T$18="Local Bubble",POWER(Upgrades!$U$18,J192),1)*IF(Upgrades!$T$19="Local Bubble",POWER(Upgrades!$U$19,K192),1)*IF(Upgrades!$T$20="Local Bubble",POWER(Upgrades!$U$20,L192),1)*IF(Upgrades!$T$21="Local Bubble",POWER(Upgrades!$U$21,M192),1))+(IF(G192=0,0,(Upgrades!$J$15+G192*Upgrades!$K$15)*POWER(Upgrades!$L$15,G192)))*(IF(Upgrades!$T$13="Microlensing",POWER(Upgrades!$U$13,E192),1)*IF(Upgrades!$T$14="Microlensing",POWER(Upgrades!$U$14,F192),1)*IF(Upgrades!$T$16="Microlensing",POWER(Upgrades!$U$16,H192),1)*IF(Upgrades!$T$17="Microlensing",POWER(Upgrades!$U$17,I192),1)*IF(Upgrades!$T$18="Microlensing",POWER(Upgrades!$U$18,J192),1)*IF(Upgrades!$T$19="Microlensing",POWER(Upgrades!$U$19,K192),1)*IF(Upgrades!$T$20="Microlensing",POWER(Upgrades!$U$20,L192),1)*IF(Upgrades!$T$21="Microlensing",POWER(Upgrades!$U$21,M192),1))+(IF(H192=0,0,(Upgrades!$J$16+H192*Upgrades!$K$16)*POWER(Upgrades!$L$16,H192)))*(IF(Upgrades!$T$13="Roche Lobe Overflow",POWER(Upgrades!$U$13,E192),1)*IF(Upgrades!$T$14="Roche Lobe Overflow",POWER(Upgrades!$U$14,F192),1)*IF(Upgrades!$T$15="Roche Lobe Overflow",POWER(Upgrades!$U$15,G192),1)*IF(Upgrades!$T$17="Roche Lobe Overflow",POWER(Upgrades!$U$17,I192),1)*IF(Upgrades!$T$18="Roche Lobe Overflow",POWER(Upgrades!$U$18,J192),1)*IF(Upgrades!$T$19="Roche Lobe Overflow",POWER(Upgrades!$U$19,K192),1)*IF(Upgrades!$T$20="Roche Lobe Overflow",POWER(Upgrades!$U$20,L192),1)*IF(Upgrades!$T$21="Roche Lobe Overflow",POWER(Upgrades!$U$21,M192),1))+(IF(I192=0,0,(Upgrades!$J$17+I192*Upgrades!$K$17)*POWER(Upgrades!$L$17,I192)))*(IF(Upgrades!$T$13="Brown Dwarf",POWER(Upgrades!$U$13,E192),1)*IF(Upgrades!$T$14="Brown Dwarf",POWER(Upgrades!$U$14,F192),1)*IF(Upgrades!$T$15="Brown Dwarf",POWER(Upgrades!$U$15,G192),1)*IF(Upgrades!$T$16="Brown Dwarf",POWER(Upgrades!$U$16,H192),1)*IF(Upgrades!$T$18="Brown Dwarf",POWER(Upgrades!$U$18,J192),1)*IF(Upgrades!$T$19="Brown Dwarf",POWER(Upgrades!$U$19,K192),1)*IF(Upgrades!$T$20="Brown Dwarf",POWER(Upgrades!$U$20,L192),1)*IF(Upgrades!$T$21="Brown Dwarf",POWER(Upgrades!$U$21,M192),1))+(IF(J192=0,0,(Upgrades!$J$18+J192*Upgrades!$K$18)*POWER(Upgrades!$L$18,J192)))*(IF(Upgrades!$T$13="Binary Partner",POWER(Upgrades!$U$13,E192),1)*IF(Upgrades!$T$14="Binary Partner",POWER(Upgrades!$U$14,F192),1)*IF(Upgrades!$T$15="Binary Partner",POWER(Upgrades!$U$15,G192),1)*IF(Upgrades!$T$16="Binary Partner",POWER(Upgrades!$U$16,H192),1)*IF(Upgrades!$T$17="Binary Partner",POWER(Upgrades!$U$17,I192),1)*IF(Upgrades!$T$19="Binary Partner",POWER(Upgrades!$U$19,K192),1)*IF(Upgrades!$T$20="Binary Partner",POWER(Upgrades!$U$20,L192),1)*IF(Upgrades!$T$21="Binary Partner",POWER(Upgrades!$U$21,M192),1))+(IF(K192=0,0,(Upgrades!$J$19+K192*Upgrades!$K$19)*POWER(Upgrades!$L$19,K192)))*(IF(Upgrades!$T$13="Peculiar Velocity",POWER(Upgrades!$U$13,E192),1)*IF(Upgrades!$T$14="Peculiar Velocity",POWER(Upgrades!$U$14,F192),1)*IF(Upgrades!$T$15="Peculiar Velocity",POWER(Upgrades!$U$15,G192),1)*IF(Upgrades!$T$16="Peculiar Velocity",POWER(Upgrades!$U$16,H192),1)*IF(Upgrades!$T$17="Peculiar Velocity",POWER(Upgrades!$U$17,I192),1)*IF(Upgrades!$T$18="Peculiar Velocity",POWER(Upgrades!$U$18,J192),1)*IF(Upgrades!$T$20="Peculiar Velocity",POWER(Upgrades!$U$20,L192),1)*IF(Upgrades!$T$21="Peculiar Velocity",POWER(Upgrades!$U$21,M192),1))+(IF(L192=0,0,(Upgrades!$J$20+L192*Upgrades!$K$20)*POWER(Upgrades!$L$20,L192)))*(IF(Upgrades!$T$13="Open Cluster",POWER(Upgrades!$U$13,E192),1)*IF(Upgrades!$T$14="Open Cluster",POWER(Upgrades!$U$14,F192),1)*IF(Upgrades!$T$15="Open Cluster",POWER(Upgrades!$U$15,G192),1)*IF(Upgrades!$T$16="Open Cluster",POWER(Upgrades!$U$16,H192),1)*IF(Upgrades!$T$17="Open Cluster",POWER(Upgrades!$U$17,I192),1)*IF(Upgrades!$T$18="Open Cluster",POWER(Upgrades!$U$18,J192),1)*IF(Upgrades!$T$19="Open Cluster",POWER(Upgrades!$U$19,K192),1)*IF(Upgrades!$T$21="Open Cluster",POWER(Upgrades!$U$21,M192),1))+(IF(M192=0,0,(Upgrades!$J$21+M192*Upgrades!$K$21)*POWER(Upgrades!$L$21,M192)))*(IF(Upgrades!$T$13="Moving Group",POWER(Upgrades!$U$13,E192),1)*IF(Upgrades!$T$14="Moving Group",POWER(Upgrades!$U$14,F192),1)*IF(Upgrades!$T$15="Moving Group",POWER(Upgrades!$U$15,G192),1)*IF(Upgrades!$T$16="Moving Group",POWER(Upgrades!$U$16,H192),1)*IF(Upgrades!$T$17="Moving Group",POWER(Upgrades!$U$17,I192),1)*IF(Upgrades!$T$18="Moving Group",POWER(Upgrades!$U$18,J192),1)*IF(Upgrades!$T$19="Moving Group",POWER(Upgrades!$U$19,K192),1)*IF(Upgrades!$T$20="Moving Group",POWER(Upgrades!$U$20,L192),1)))*POWER(Upgrades!$Q$13,E192)*POWER(Upgrades!$Q$14,F192)*POWER(Upgrades!$Q$15,G192)*POWER(Upgrades!$Q$16,H192)*POWER(Upgrades!$Q$17,I192)*POWER(Upgrades!$Q$18,J192)*POWER(Upgrades!$Q$19,K192)*POWER(Upgrades!$Q$20,L192)*POWER(Upgrades!$Q$21,M192)*$G$6+$D$6</f>
        <v/>
      </c>
      <c r="P192" s="28">
        <f>((IF(E192=0,0,(Upgrades!$G$13+E192*Upgrades!$H$13)*POWER(Upgrades!$I$13,E192)))*(IF(Upgrades!$T$14="Stellar Kinematics",POWER(Upgrades!$U$14,F192),1)*IF(Upgrades!$T$15="Stellar Kinematics",POWER(Upgrades!$U$15,G192),1)*IF(Upgrades!$T$16="Stellar Kinematics",POWER(Upgrades!$U$16,H192),1)*IF(Upgrades!$T$17="Stellar Kinematics",POWER(Upgrades!$U$17,I192),1)*IF(Upgrades!$T$18="Stellar Kinematics",POWER(Upgrades!$U$18,J192),1)*IF(Upgrades!$T$19="Stellar Kinematics",POWER(Upgrades!$U$19,K192),1)*IF(Upgrades!$T$20="Stellar Kinematics",POWER(Upgrades!$U$20,L192),1)*IF(Upgrades!$T$21="Stellar Kinematics",POWER(Upgrades!$U$21,M192),1))+(IF(F192=0,0,(Upgrades!$G$14+F192*Upgrades!$H$14)*POWER(Upgrades!$I$14,F192)))*(IF(Upgrades!$T$13="Local Bubble",POWER(Upgrades!$U$13,E192),1)*IF(Upgrades!$T$15="Local Bubble",POWER(Upgrades!$U$15,G192),1)*IF(Upgrades!$T$16="Local Bubble",POWER(Upgrades!$U$16,H192),1)*IF(Upgrades!$T$17="Local Bubble",POWER(Upgrades!$U$17,I192),1)*IF(Upgrades!$T$18="Local Bubble",POWER(Upgrades!$U$18,J192),1)*IF(Upgrades!$T$19="Local Bubble",POWER(Upgrades!$U$19,K192),1)*IF(Upgrades!$T$20="Local Bubble",POWER(Upgrades!$U$20,L192),1)*IF(Upgrades!$T$21="Local Bubble",POWER(Upgrades!$U$21,M192),1))+(IF(G192=0,0,(Upgrades!$G$15+G192*Upgrades!$H$15)*POWER(Upgrades!$I$15,G192)))*(IF(Upgrades!$T$13="Microlensing",POWER(Upgrades!$U$13,E192),1)*IF(Upgrades!$T$14="Microlensing",POWER(Upgrades!$U$14,F192),1)*IF(Upgrades!$T$16="Microlensing",POWER(Upgrades!$U$16,H192),1)*IF(Upgrades!$T$17="Microlensing",POWER(Upgrades!$U$17,I192),1)*IF(Upgrades!$T$18="Microlensing",POWER(Upgrades!$U$18,J192),1)*IF(Upgrades!$T$19="Microlensing",POWER(Upgrades!$U$19,K192),1)*IF(Upgrades!$T$20="Microlensing",POWER(Upgrades!$U$20,L192),1)*IF(Upgrades!$T$21="Microlensing",POWER(Upgrades!$U$21,M192),1))+(IF(H192=0,0,(Upgrades!$G$16+H192*Upgrades!$H$16)*POWER(Upgrades!$I$16,H192)))*(IF(Upgrades!$T$13="Roche Lobe Overflow",POWER(Upgrades!$U$13,E192),1)*IF(Upgrades!$T$14="Roche Lobe Overflow",POWER(Upgrades!$U$14,F192),1)*IF(Upgrades!$T$15="Roche Lobe Overflow",POWER(Upgrades!$U$15,G192),1)*IF(Upgrades!$T$17="Roche Lobe Overflow",POWER(Upgrades!$U$17,I192),1)*IF(Upgrades!$T$18="Roche Lobe Overflow",POWER(Upgrades!$U$18,J192),1)*IF(Upgrades!$T$19="Roche Lobe Overflow",POWER(Upgrades!$U$19,K192),1)*IF(Upgrades!$T$20="Roche Lobe Overflow",POWER(Upgrades!$U$20,L192),1)*IF(Upgrades!$T$21="Roche Lobe Overflow",POWER(Upgrades!$U$21,M192),1))+(IF(I192=0,0,(Upgrades!$G$17+I192*Upgrades!$H$17)*POWER(Upgrades!$I$17,I192)))*(IF(Upgrades!$T$13="Brown Dwarf",POWER(Upgrades!$U$13,E192),1)*IF(Upgrades!$T$14="Brown Dwarf",POWER(Upgrades!$U$14,F192),1)*IF(Upgrades!$T$15="Brown Dwarf",POWER(Upgrades!$U$15,G192),1)*IF(Upgrades!$T$16="Brown Dwarf",POWER(Upgrades!$U$16,H192),1)*IF(Upgrades!$T$18="Brown Dwarf",POWER(Upgrades!$U$18,J192),1)*IF(Upgrades!$T$19="Brown Dwarf",POWER(Upgrades!$U$19,K192),1)*IF(Upgrades!$T$20="Brown Dwarf",POWER(Upgrades!$U$20,L192),1)*IF(Upgrades!$T$21="Brown Dwarf",POWER(Upgrades!$U$21,M192),1))+(IF(J192=0,0,(Upgrades!$G$18+J192*Upgrades!$H$18)*POWER(Upgrades!$I$18,J192)))*(IF(Upgrades!$T$13="Binary Partner",POWER(Upgrades!$U$13,E192),1)*IF(Upgrades!$T$14="Binary Partner",POWER(Upgrades!$U$14,F192),1)*IF(Upgrades!$T$15="Binary Partner",POWER(Upgrades!$U$15,G192),1)*IF(Upgrades!$T$16="Binary Partner",POWER(Upgrades!$U$16,H192),1)*IF(Upgrades!$T$17="Binary Partner",POWER(Upgrades!$U$17,I192),1)*IF(Upgrades!$T$19="Binary Partner",POWER(Upgrades!$U$19,K192),1)*IF(Upgrades!$T$20="Binary Partner",POWER(Upgrades!$U$20,L192),1)*IF(Upgrades!$T$21="Binary Partner",POWER(Upgrades!$U$21,M192),1))+(IF(K192=0,0,(Upgrades!$G$19+K192*Upgrades!$H$19)*POWER(Upgrades!$I$19,K192)))*(IF(Upgrades!$T$13="Peculiar Velocity",POWER(Upgrades!$U$13,E192),1)*IF(Upgrades!$T$14="Peculiar Velocity",POWER(Upgrades!$U$14,F192),1)*IF(Upgrades!$T$15="Peculiar Velocity",POWER(Upgrades!$U$15,G192),1)*IF(Upgrades!$T$16="Peculiar Velocity",POWER(Upgrades!$U$16,H192),1)*IF(Upgrades!$T$17="Peculiar Velocity",POWER(Upgrades!$U$17,I192),1)*IF(Upgrades!$T$18="Peculiar Velocity",POWER(Upgrades!$U$18,J192),1)*IF(Upgrades!$T$20="Peculiar Velocity",POWER(Upgrades!$U$20,L192),1)*IF(Upgrades!$T$21="Peculiar Velocity",POWER(Upgrades!$U$21,M192),1))+(IF(L192=0,0,(Upgrades!$G$20+L192*Upgrades!$H$20)*POWER(Upgrades!$I$20,L192)))*(IF(Upgrades!$T$13="Open Cluster",POWER(Upgrades!$U$13,E192),1)*IF(Upgrades!$T$14="Open Cluster",POWER(Upgrades!$U$14,F192),1)*IF(Upgrades!$T$15="Open Cluster",POWER(Upgrades!$U$15,G192),1)*IF(Upgrades!$T$16="Open Cluster",POWER(Upgrades!$U$16,H192),1)*IF(Upgrades!$T$17="Open Cluster",POWER(Upgrades!$U$17,I192),1)*IF(Upgrades!$T$18="Open Cluster",POWER(Upgrades!$U$18,J192),1)*IF(Upgrades!$T$19="Open Cluster",POWER(Upgrades!$U$19,K192),1)*IF(Upgrades!$T$21="Open Cluster",POWER(Upgrades!$U$21,M192),1))+(IF(M192=0,0,(Upgrades!$G$21+M192*Upgrades!$H$21)*POWER(Upgrades!$I$21,M192)))*(IF(Upgrades!$T$13="Moving Group",POWER(Upgrades!$U$13,E192),1)*IF(Upgrades!$T$14="Moving Group",POWER(Upgrades!$U$14,F192),1)*IF(Upgrades!$T$15="Moving Group",POWER(Upgrades!$U$15,G192),1)*IF(Upgrades!$T$16="Moving Group",POWER(Upgrades!$U$16,H192),1)*IF(Upgrades!$T$17="Moving Group",POWER(Upgrades!$U$17,I192),1)*IF(Upgrades!$T$18="Moving Group",POWER(Upgrades!$U$18,J192),1)*IF(Upgrades!$T$19="Moving Group",POWER(Upgrades!$U$19,K192),1)*IF(Upgrades!$T$20="Moving Group",POWER(Upgrades!$U$20,L192),1)))*POWER(Upgrades!$P$13,E192)*POWER(Upgrades!$P$14,F192)*POWER(Upgrades!$P$15,G192)*POWER(Upgrades!$P$16,H192)*POWER(Upgrades!$P$17,I192)*POWER(Upgrades!$P$18,J192)*POWER(Upgrades!$P$19,K192)*POWER(Upgrades!$P$20,L192)*POWER(Upgrades!$P$21,M192)*$F$6+$C$6</f>
        <v/>
      </c>
      <c r="Q192" s="28">
        <f>((IF(E192=0,0,(Upgrades!$M$13+E192*Upgrades!$N$13)*POWER(Upgrades!$O$13,E192)))*(IF(Upgrades!$T$14="Stellar Kinematics",POWER(Upgrades!$U$14,F192),1)*IF(Upgrades!$T$15="Stellar Kinematics",POWER(Upgrades!$U$15,G192),1)*IF(Upgrades!$T$16="Stellar Kinematics",POWER(Upgrades!$U$16,H192),1)*IF(Upgrades!$T$17="Stellar Kinematics",POWER(Upgrades!$U$17,I192),1)*IF(Upgrades!$T$18="Stellar Kinematics",POWER(Upgrades!$U$18,J192),1)*IF(Upgrades!$T$19="Stellar Kinematics",POWER(Upgrades!$U$19,K192),1)*IF(Upgrades!$T$20="Stellar Kinematics",POWER(Upgrades!$U$20,L192),1)*IF(Upgrades!$T$21="Stellar Kinematics",POWER(Upgrades!$U$21,M192),1))+(IF(F192=0,0,(Upgrades!$M$14+F192*Upgrades!$N$14)*POWER(Upgrades!$O$14,F192)))*(IF(Upgrades!$T$13="Local Bubble",POWER(Upgrades!$U$13,E192),1)*IF(Upgrades!$T$15="Local Bubble",POWER(Upgrades!$U$15,G192),1)*IF(Upgrades!$T$16="Local Bubble",POWER(Upgrades!$U$16,H192),1)*IF(Upgrades!$T$17="Local Bubble",POWER(Upgrades!$U$17,I192),1)*IF(Upgrades!$T$18="Local Bubble",POWER(Upgrades!$U$18,J192),1)*IF(Upgrades!$T$19="Local Bubble",POWER(Upgrades!$U$19,K192),1)*IF(Upgrades!$T$20="Local Bubble",POWER(Upgrades!$U$20,L192),1)*IF(Upgrades!$T$21="Local Bubble",POWER(Upgrades!$U$21,M192),1))+(IF(G192=0,0,(Upgrades!$M$15+G192*Upgrades!$N$15)*POWER(Upgrades!$O$15,G192)))*(IF(Upgrades!$T$13="Microlensing",POWER(Upgrades!$U$13,E192),1)*IF(Upgrades!$T$14="Microlensing",POWER(Upgrades!$U$14,F192),1)*IF(Upgrades!$T$16="Microlensing",POWER(Upgrades!$U$16,H192),1)*IF(Upgrades!$T$17="Microlensing",POWER(Upgrades!$U$17,I192),1)*IF(Upgrades!$T$18="Microlensing",POWER(Upgrades!$U$18,J192),1)*IF(Upgrades!$T$19="Microlensing",POWER(Upgrades!$U$19,K192),1)*IF(Upgrades!$T$20="Microlensing",POWER(Upgrades!$U$20,L192),1)*IF(Upgrades!$T$21="Microlensing",POWER(Upgrades!$U$21,M192),1))+(IF(H192=0,0,(Upgrades!$M$16+H192*Upgrades!$N$16)*POWER(Upgrades!$O$16,H192)))*(IF(Upgrades!$T$13="Roche Lobe Overflow",POWER(Upgrades!$U$13,E192),1)*IF(Upgrades!$T$14="Roche Lobe Overflow",POWER(Upgrades!$U$14,F192),1)*IF(Upgrades!$T$15="Roche Lobe Overflow",POWER(Upgrades!$U$15,G192),1)*IF(Upgrades!$T$17="Roche Lobe Overflow",POWER(Upgrades!$U$17,I192),1)*IF(Upgrades!$T$18="Roche Lobe Overflow",POWER(Upgrades!$U$18,J192),1)*IF(Upgrades!$T$19="Roche Lobe Overflow",POWER(Upgrades!$U$19,K192),1)*IF(Upgrades!$T$20="Roche Lobe Overflow",POWER(Upgrades!$U$20,L192),1)*IF(Upgrades!$T$21="Roche Lobe Overflow",POWER(Upgrades!$U$21,M192),1))+(IF(I192=0,0,(Upgrades!$M$17+I192*Upgrades!$N$17)*POWER(Upgrades!$O$17,I192)))*(IF(Upgrades!$T$13="Brown Dwarf",POWER(Upgrades!$U$13,E192),1)*IF(Upgrades!$T$14="Brown Dwarf",POWER(Upgrades!$U$14,F192),1)*IF(Upgrades!$T$15="Brown Dwarf",POWER(Upgrades!$U$15,G192),1)*IF(Upgrades!$T$16="Brown Dwarf",POWER(Upgrades!$U$16,H192),1)*IF(Upgrades!$T$18="Brown Dwarf",POWER(Upgrades!$U$18,J192),1)*IF(Upgrades!$T$19="Brown Dwarf",POWER(Upgrades!$U$19,K192),1)*IF(Upgrades!$T$20="Brown Dwarf",POWER(Upgrades!$U$20,L192),1)*IF(Upgrades!$T$21="Brown Dwarf",POWER(Upgrades!$U$21,M192),1))+(IF(J192=0,0,(Upgrades!$M$18+J192*Upgrades!$N$18)*POWER(Upgrades!$O$18,J192)))*(IF(Upgrades!$T$13="Binary Partner",POWER(Upgrades!$U$13,E192),1)*IF(Upgrades!$T$14="Binary Partner",POWER(Upgrades!$U$14,F192),1)*IF(Upgrades!$T$15="Binary Partner",POWER(Upgrades!$U$15,G192),1)*IF(Upgrades!$T$16="Binary Partner",POWER(Upgrades!$U$16,H192),1)*IF(Upgrades!$T$17="Binary Partner",POWER(Upgrades!$U$17,I192),1)*IF(Upgrades!$T$19="Binary Partner",POWER(Upgrades!$U$19,K192),1)*IF(Upgrades!$T$20="Binary Partner",POWER(Upgrades!$U$20,L192),1)*IF(Upgrades!$T$21="Binary Partner",POWER(Upgrades!$U$21,M192),1))+(IF(K192=0,0,(Upgrades!$M$19+K192*Upgrades!$N$19)*POWER(Upgrades!$O$19,K192)))*(IF(Upgrades!$T$13="Peculiar Velocity",POWER(Upgrades!$U$13,E192),1)*IF(Upgrades!$T$14="Peculiar Velocity",POWER(Upgrades!$U$14,F192),1)*IF(Upgrades!$T$15="Peculiar Velocity",POWER(Upgrades!$U$15,G192),1)*IF(Upgrades!$T$16="Peculiar Velocity",POWER(Upgrades!$U$16,H192),1)*IF(Upgrades!$T$17="Peculiar Velocity",POWER(Upgrades!$U$17,I192),1)*IF(Upgrades!$T$18="Peculiar Velocity",POWER(Upgrades!$U$18,J192),1)*IF(Upgrades!$T$20="Peculiar Velocity",POWER(Upgrades!$U$20,L192),1)*IF(Upgrades!$T$21="Peculiar Velocity",POWER(Upgrades!$U$21,M192),1))+(IF(L192=0,0,(Upgrades!$M$20+L192*Upgrades!$N$20)*POWER(Upgrades!$O$20,L192)))*(IF(Upgrades!$T$13="Open Cluster",POWER(Upgrades!$U$13,E192),1)*IF(Upgrades!$T$14="Open Cluster",POWER(Upgrades!$U$14,F192),1)*IF(Upgrades!$T$15="Open Cluster",POWER(Upgrades!$U$15,G192),1)*IF(Upgrades!$T$16="Open Cluster",POWER(Upgrades!$U$16,H192),1)*IF(Upgrades!$T$17="Open Cluster",POWER(Upgrades!$U$17,I192),1)*IF(Upgrades!$T$18="Open Cluster",POWER(Upgrades!$U$18,J192),1)*IF(Upgrades!$T$19="Open Cluster",POWER(Upgrades!$U$19,K192),1)*IF(Upgrades!$T$21="Open Cluster",POWER(Upgrades!$U$21,M192),1))+(IF(M192=0,0,(Upgrades!$M$21+M192*Upgrades!$N$21)*POWER(Upgrades!$O$21,M192)))*(IF(Upgrades!$T$13="Moving Group",POWER(Upgrades!$U$13,E192),1)*IF(Upgrades!$T$14="Moving Group",POWER(Upgrades!$U$14,F192),1)*IF(Upgrades!$T$15="Moving Group",POWER(Upgrades!$U$15,G192),1)*IF(Upgrades!$T$16="Moving Group",POWER(Upgrades!$U$16,H192),1)*IF(Upgrades!$T$17="Moving Group",POWER(Upgrades!$U$17,I192),1)*IF(Upgrades!$T$18="Moving Group",POWER(Upgrades!$U$18,J192),1)*IF(Upgrades!$T$19="Moving Group",POWER(Upgrades!$U$19,K192),1)*IF(Upgrades!$T$20="Moving Group",POWER(Upgrades!$U$20,L192),1)))*POWER(Upgrades!$R$13,E192)*POWER(Upgrades!$R$14,F192)*POWER(Upgrades!$R$15,G192)*POWER(Upgrades!$R$16,H192)*POWER(Upgrades!$R$17,I192)*POWER(Upgrades!$R$18,J192)*POWER(Upgrades!$R$19,K192)*POWER(Upgrades!$R$20,L192)*POWER(Upgrades!$R$21,M192)*$H$6+$E$6</f>
        <v/>
      </c>
      <c r="R192" s="27">
        <f>IF(N192=1,0,O192*Parameters!$B$10/60*Parameters!$B$11*10)</f>
        <v/>
      </c>
      <c r="S192" s="27">
        <f>IF(N192=1,0,Q192*O192*10)</f>
        <v/>
      </c>
      <c r="T192" s="27">
        <f>IF(N192=1,0,R192+S192+P192*10)</f>
        <v/>
      </c>
      <c r="U192" s="33">
        <f>BE192</f>
        <v/>
      </c>
      <c r="V192" s="22">
        <f>IF(U192="",0,IF(U192="transition",0,IF(U192="SK",AK192,IF(U192="LB",AL192,IF(U192="ML",AM192,IF(U192="RLO",AN192,IF(U192="BD",AO192,IF(U192="BiP",AP192,IF(U192="PV",AQ192,IF(U192="OC",AR192,IF(U192="MG",AS192,0))))))))))</f>
        <v/>
      </c>
      <c r="W192" s="27">
        <f>IF(U192="BiP",Upgrades!$F$18,IF(U192="PV",Upgrades!$F$19,IF(U192="OC",Upgrades!$F$20,IF(U192="MG",Upgrades!$F$21,IF(U192="transition",-Parameters!$B$18*Parameters!$B$19,0)))))</f>
        <v/>
      </c>
      <c r="X192" s="22">
        <f>C192+T192-V192</f>
        <v/>
      </c>
      <c r="Y192" s="30">
        <f>O192*Parameters!$B$10/60*Parameters!$B$11+Q192*O192+P192</f>
        <v/>
      </c>
      <c r="Z192" s="34">
        <f>IF(U192="transition","→ Tier 3 (Galactic Arm)",IF(U192="MG","Moving Group — pocket drifts together",IF(U192="OC","Open Cluster acquired",IF(U192="PV","Peculiar Velocity — passive multiplier active",IF(U192="BiP","Binary Partner — pair bond formed",IF(AND(AU192=1,N192=0,AT192&lt;&gt;1),"Cohesion ready (waiting on completionists)","")))))) </f>
        <v/>
      </c>
      <c r="AA192" s="27">
        <f>(IF(E192=0,0,(Upgrades!$G$13+E192*Upgrades!$H$13)*POWER(Upgrades!$I$13,E192)))*(IF(Upgrades!$T$14="Stellar Kinematics",POWER(Upgrades!$U$14,F192),1)*IF(Upgrades!$T$15="Stellar Kinematics",POWER(Upgrades!$U$15,G192),1)*IF(Upgrades!$T$16="Stellar Kinematics",POWER(Upgrades!$U$16,H192),1)*IF(Upgrades!$T$17="Stellar Kinematics",POWER(Upgrades!$U$17,I192),1)*IF(Upgrades!$T$18="Stellar Kinematics",POWER(Upgrades!$U$18,J192),1)*IF(Upgrades!$T$19="Stellar Kinematics",POWER(Upgrades!$U$19,K192),1)*IF(Upgrades!$T$20="Stellar Kinematics",POWER(Upgrades!$U$20,L192),1)*IF(Upgrades!$T$21="Stellar Kinematics",POWER(Upgrades!$U$21,M192),1))*POWER(Upgrades!$P$13,E192)*POWER(Upgrades!$P$14,F192)*POWER(Upgrades!$P$15,G192)*POWER(Upgrades!$P$16,H192)*POWER(Upgrades!$P$17,I192)*POWER(Upgrades!$P$18,J192)*POWER(Upgrades!$P$19,K192)*POWER(Upgrades!$P$20,L192)*POWER(Upgrades!$P$21,M192)*$F$6*60</f>
        <v/>
      </c>
      <c r="AB192" s="27">
        <f>(IF(F192=0,0,(Upgrades!$G$14+F192*Upgrades!$H$14)*POWER(Upgrades!$I$14,F192)))*(IF(Upgrades!$T$13="Local Bubble",POWER(Upgrades!$U$13,E192),1)*IF(Upgrades!$T$15="Local Bubble",POWER(Upgrades!$U$15,G192),1)*IF(Upgrades!$T$16="Local Bubble",POWER(Upgrades!$U$16,H192),1)*IF(Upgrades!$T$17="Local Bubble",POWER(Upgrades!$U$17,I192),1)*IF(Upgrades!$T$18="Local Bubble",POWER(Upgrades!$U$18,J192),1)*IF(Upgrades!$T$19="Local Bubble",POWER(Upgrades!$U$19,K192),1)*IF(Upgrades!$T$20="Local Bubble",POWER(Upgrades!$U$20,L192),1)*IF(Upgrades!$T$21="Local Bubble",POWER(Upgrades!$U$21,M192),1))*POWER(Upgrades!$P$13,E192)*POWER(Upgrades!$P$14,F192)*POWER(Upgrades!$P$15,G192)*POWER(Upgrades!$P$16,H192)*POWER(Upgrades!$P$17,I192)*POWER(Upgrades!$P$18,J192)*POWER(Upgrades!$P$19,K192)*POWER(Upgrades!$P$20,L192)*POWER(Upgrades!$P$21,M192)*$F$6*60</f>
        <v/>
      </c>
      <c r="AC192" s="27">
        <f>(IF(G192=0,0,(Upgrades!$J$15+G192*Upgrades!$K$15)*POWER(Upgrades!$L$15,G192)))*(IF(Upgrades!$T$13="Microlensing",POWER(Upgrades!$U$13,E192),1)*IF(Upgrades!$T$14="Microlensing",POWER(Upgrades!$U$14,F192),1)*IF(Upgrades!$T$16="Microlensing",POWER(Upgrades!$U$16,H192),1)*IF(Upgrades!$T$17="Microlensing",POWER(Upgrades!$U$17,I192),1)*IF(Upgrades!$T$18="Microlensing",POWER(Upgrades!$U$18,J192),1)*IF(Upgrades!$T$19="Microlensing",POWER(Upgrades!$U$19,K192),1)*IF(Upgrades!$T$20="Microlensing",POWER(Upgrades!$U$20,L192),1)*IF(Upgrades!$T$21="Microlensing",POWER(Upgrades!$U$21,M192),1))*POWER(Upgrades!$Q$13,E192)*POWER(Upgrades!$Q$14,F192)*POWER(Upgrades!$Q$15,G192)*POWER(Upgrades!$Q$16,H192)*POWER(Upgrades!$Q$17,I192)*POWER(Upgrades!$Q$18,J192)*POWER(Upgrades!$Q$19,K192)*POWER(Upgrades!$Q$20,L192)*POWER(Upgrades!$Q$21,M192)*$G$6*(Parameters!$B$10*Parameters!$B$11+Q192*60)</f>
        <v/>
      </c>
      <c r="AD192" s="27">
        <f>(IF(H192=0,0,(Upgrades!$M$16+H192*Upgrades!$N$16)*POWER(Upgrades!$O$16,H192)))*(IF(Upgrades!$T$13="Roche Lobe Overflow",POWER(Upgrades!$U$13,E192),1)*IF(Upgrades!$T$14="Roche Lobe Overflow",POWER(Upgrades!$U$14,F192),1)*IF(Upgrades!$T$15="Roche Lobe Overflow",POWER(Upgrades!$U$15,G192),1)*IF(Upgrades!$T$17="Roche Lobe Overflow",POWER(Upgrades!$U$17,I192),1)*IF(Upgrades!$T$18="Roche Lobe Overflow",POWER(Upgrades!$U$18,J192),1)*IF(Upgrades!$T$19="Roche Lobe Overflow",POWER(Upgrades!$U$19,K192),1)*IF(Upgrades!$T$20="Roche Lobe Overflow",POWER(Upgrades!$U$20,L192),1)*IF(Upgrades!$T$21="Roche Lobe Overflow",POWER(Upgrades!$U$21,M192),1))*POWER(Upgrades!$R$13,E192)*POWER(Upgrades!$R$14,F192)*POWER(Upgrades!$R$15,G192)*POWER(Upgrades!$R$16,H192)*POWER(Upgrades!$R$17,I192)*POWER(Upgrades!$R$18,J192)*POWER(Upgrades!$R$19,K192)*POWER(Upgrades!$R$20,L192)*POWER(Upgrades!$R$21,M192)*$H$6*O192*60</f>
        <v/>
      </c>
      <c r="AE192" s="27">
        <f>(IF(I192=0,0,(Upgrades!$G$17+I192*Upgrades!$H$17)*POWER(Upgrades!$I$17,I192)))*(IF(Upgrades!$T$13="Brown Dwarf",POWER(Upgrades!$U$13,E192),1)*IF(Upgrades!$T$14="Brown Dwarf",POWER(Upgrades!$U$14,F192),1)*IF(Upgrades!$T$15="Brown Dwarf",POWER(Upgrades!$U$15,G192),1)*IF(Upgrades!$T$16="Brown Dwarf",POWER(Upgrades!$U$16,H192),1)*IF(Upgrades!$T$18="Brown Dwarf",POWER(Upgrades!$U$18,J192),1)*IF(Upgrades!$T$19="Brown Dwarf",POWER(Upgrades!$U$19,K192),1)*IF(Upgrades!$T$20="Brown Dwarf",POWER(Upgrades!$U$20,L192),1)*IF(Upgrades!$T$21="Brown Dwarf",POWER(Upgrades!$U$21,M192),1))*POWER(Upgrades!$P$13,E192)*POWER(Upgrades!$P$14,F192)*POWER(Upgrades!$P$15,G192)*POWER(Upgrades!$P$16,H192)*POWER(Upgrades!$P$17,I192)*POWER(Upgrades!$P$18,J192)*POWER(Upgrades!$P$19,K192)*POWER(Upgrades!$P$20,L192)*POWER(Upgrades!$P$21,M192)*$F$6*60</f>
        <v/>
      </c>
      <c r="AF192" s="27" t="n">
        <v>0</v>
      </c>
      <c r="AG192" s="27" t="n">
        <v>0</v>
      </c>
      <c r="AH192" s="27" t="n">
        <v>0</v>
      </c>
      <c r="AI192" s="27">
        <f>(IF(M192=0,0,(Upgrades!$G$21+M192*Upgrades!$H$21)*POWER(Upgrades!$I$21,M192)))*(IF(Upgrades!$T$13="Moving Group",POWER(Upgrades!$U$13,E192),1)*IF(Upgrades!$T$14="Moving Group",POWER(Upgrades!$U$14,F192),1)*IF(Upgrades!$T$15="Moving Group",POWER(Upgrades!$U$15,G192),1)*IF(Upgrades!$T$16="Moving Group",POWER(Upgrades!$U$16,H192),1)*IF(Upgrades!$T$17="Moving Group",POWER(Upgrades!$U$17,I192),1)*IF(Upgrades!$T$18="Moving Group",POWER(Upgrades!$U$18,J192),1)*IF(Upgrades!$T$19="Moving Group",POWER(Upgrades!$U$19,K192),1)*IF(Upgrades!$T$20="Moving Group",POWER(Upgrades!$U$20,L192),1))*POWER(Upgrades!$P$13,E192)*POWER(Upgrades!$P$14,F192)*POWER(Upgrades!$P$15,G192)*POWER(Upgrades!$P$16,H192)*POWER(Upgrades!$P$17,I192)*POWER(Upgrades!$P$18,J192)*POWER(Upgrades!$P$19,K192)*POWER(Upgrades!$P$20,L192)*POWER(Upgrades!$P$21,M192)*$F$6*60</f>
        <v/>
      </c>
      <c r="AJ192" s="27">
        <f>$C$6*60</f>
        <v/>
      </c>
      <c r="AK192" s="22">
        <f>IF(E192&gt;=Upgrades!$E$13,"",Upgrades!$C$13*POWER(Upgrades!$D$13,E192))</f>
        <v/>
      </c>
      <c r="AL192" s="22">
        <f>IF(F192&gt;=Upgrades!$E$14,"",Upgrades!$C$14*POWER(Upgrades!$D$14,F192))</f>
        <v/>
      </c>
      <c r="AM192" s="22">
        <f>IF(G192&gt;=Upgrades!$E$15,"",Upgrades!$C$15*POWER(Upgrades!$D$15,G192))</f>
        <v/>
      </c>
      <c r="AN192" s="22">
        <f>IF(H192&gt;=Upgrades!$E$16,"",Upgrades!$C$16*POWER(Upgrades!$D$16,H192))</f>
        <v/>
      </c>
      <c r="AO192" s="22">
        <f>IF(I192&gt;=Upgrades!$E$17,"",Upgrades!$C$17*POWER(Upgrades!$D$17,I192))</f>
        <v/>
      </c>
      <c r="AP192" s="22">
        <f>IF(J192&gt;=Upgrades!$E$18,"",Upgrades!$C$18*POWER(Upgrades!$D$18,J192))</f>
        <v/>
      </c>
      <c r="AQ192" s="22">
        <f>IF(K192&gt;=Upgrades!$E$19,"",Upgrades!$C$19*POWER(Upgrades!$D$19,K192))</f>
        <v/>
      </c>
      <c r="AR192" s="22">
        <f>IF(L192&gt;=Upgrades!$E$20,"",Upgrades!$C$20*POWER(Upgrades!$D$20,L192))</f>
        <v/>
      </c>
      <c r="AS192" s="22">
        <f>IF(M192&gt;=Upgrades!$E$21,"",Upgrades!$C$21*POWER(Upgrades!$D$21,M192))</f>
        <v/>
      </c>
      <c r="AT192" s="26">
        <f>IF(AND(D192&gt;=Parameters!$B$18*Parameters!$B$19,(I192&gt;=Upgrades!$E$17)*(M192&gt;=Upgrades!$E$21)=1,N192=0),1,"")</f>
        <v/>
      </c>
      <c r="AU192" s="26">
        <f>IF(AND(D192&gt;=Parameters!$B$18*Parameters!$B$19,N192=0),1,"")</f>
        <v/>
      </c>
      <c r="AV192" s="22">
        <f>MIN(IF(ISNUMBER(AP192),AP192,9E15),IF(ISNUMBER(AQ192),AQ192,9E15),IF(ISNUMBER(AR192),AR192,9E15),IF(ISNUMBER(AS192),AS192,9E15))</f>
        <v/>
      </c>
      <c r="AW192" s="22">
        <f>MIN(IF(ISNUMBER(AK192),AK192,9E15),IF(ISNUMBER(AL192),AL192,9E15),IF(ISNUMBER(AM192),AM192,9E15),IF(ISNUMBER(AN192),AN192,9E15),IF(ISNUMBER(AO192),AO192,9E15))</f>
        <v/>
      </c>
      <c r="AX192" s="29">
        <f>IF(BD192&gt;Parameters!$B$21*(MAX(IF(AND(NOT(AND(AU192=1,AT192&lt;&gt;1)),ISNUMBER(AK192),AK192&lt;=(C192+T192)),AY192,0),IF(AND(NOT(AND(AU192=1,AT192&lt;&gt;1)),ISNUMBER(AL192),AL192&lt;=(C192+T192)),AZ192,0),IF(AND(NOT(AND(AU192=1,AT192&lt;&gt;1)),ISNUMBER(AM192),AM192&lt;=(C192+T192)),BA192,0),IF(AND(NOT(AND(AU192=1,AT192&lt;&gt;1)),ISNUMBER(AN192),AN192&lt;=(C192+T192)),BB192,0),IF(AND(ISNUMBER(AO192),AO192&lt;=(C192+T192)),BC192,0))),TRUE,FALSE)</f>
        <v/>
      </c>
      <c r="AY192" s="32">
        <f>IFERROR(Upgrades!$H$13*(POWER(Upgrades!$P$13,E192)*POWER(Upgrades!$P$14,F192)*POWER(Upgrades!$P$15,G192)*POWER(Upgrades!$P$16,H192)*POWER(Upgrades!$P$17,I192)*POWER(Upgrades!$P$18,J192)*POWER(Upgrades!$P$19,K192)*POWER(Upgrades!$P$20,L192)*POWER(Upgrades!$P$21,M192))*(IF(Upgrades!$T$14="Stellar Kinematics",POWER(Upgrades!$U$14,F192),1)*IF(Upgrades!$T$15="Stellar Kinematics",POWER(Upgrades!$U$15,G192),1)*IF(Upgrades!$T$16="Stellar Kinematics",POWER(Upgrades!$U$16,H192),1)*IF(Upgrades!$T$17="Stellar Kinematics",POWER(Upgrades!$U$17,I192),1)*IF(Upgrades!$T$18="Stellar Kinematics",POWER(Upgrades!$U$18,J192),1)*IF(Upgrades!$T$19="Stellar Kinematics",POWER(Upgrades!$U$19,K192),1)*IF(Upgrades!$T$20="Stellar Kinematics",POWER(Upgrades!$U$20,L192),1)*IF(Upgrades!$T$21="Stellar Kinematics",POWER(Upgrades!$U$21,M192),1))*$F$6/AK192,0)</f>
        <v/>
      </c>
      <c r="AZ192" s="32">
        <f>IFERROR(Upgrades!$H$14*(POWER(Upgrades!$P$13,E192)*POWER(Upgrades!$P$14,F192)*POWER(Upgrades!$P$15,G192)*POWER(Upgrades!$P$16,H192)*POWER(Upgrades!$P$17,I192)*POWER(Upgrades!$P$18,J192)*POWER(Upgrades!$P$19,K192)*POWER(Upgrades!$P$20,L192)*POWER(Upgrades!$P$21,M192))*(IF(Upgrades!$T$13="Local Bubble",POWER(Upgrades!$U$13,E192),1)*IF(Upgrades!$T$15="Local Bubble",POWER(Upgrades!$U$15,G192),1)*IF(Upgrades!$T$16="Local Bubble",POWER(Upgrades!$U$16,H192),1)*IF(Upgrades!$T$17="Local Bubble",POWER(Upgrades!$U$17,I192),1)*IF(Upgrades!$T$18="Local Bubble",POWER(Upgrades!$U$18,J192),1)*IF(Upgrades!$T$19="Local Bubble",POWER(Upgrades!$U$19,K192),1)*IF(Upgrades!$T$20="Local Bubble",POWER(Upgrades!$U$20,L192),1)*IF(Upgrades!$T$21="Local Bubble",POWER(Upgrades!$U$21,M192),1))*$F$6/AL192,0)</f>
        <v/>
      </c>
      <c r="BA192" s="32">
        <f>IFERROR(Upgrades!$K$15*(POWER(Upgrades!$Q$13,E192)*POWER(Upgrades!$Q$14,F192)*POWER(Upgrades!$Q$15,G192)*POWER(Upgrades!$Q$16,H192)*POWER(Upgrades!$Q$17,I192)*POWER(Upgrades!$Q$18,J192)*POWER(Upgrades!$Q$19,K192)*POWER(Upgrades!$Q$20,L192)*POWER(Upgrades!$Q$21,M192))*(IF(Upgrades!$T$13="Microlensing",POWER(Upgrades!$U$13,E192),1)*IF(Upgrades!$T$14="Microlensing",POWER(Upgrades!$U$14,F192),1)*IF(Upgrades!$T$16="Microlensing",POWER(Upgrades!$U$16,H192),1)*IF(Upgrades!$T$17="Microlensing",POWER(Upgrades!$U$17,I192),1)*IF(Upgrades!$T$18="Microlensing",POWER(Upgrades!$U$18,J192),1)*IF(Upgrades!$T$19="Microlensing",POWER(Upgrades!$U$19,K192),1)*IF(Upgrades!$T$20="Microlensing",POWER(Upgrades!$U$20,L192),1)*IF(Upgrades!$T$21="Microlensing",POWER(Upgrades!$U$21,M192),1))*$G$6*(Parameters!$B$10/60*Parameters!$B$11+Q192)/AM192,0)</f>
        <v/>
      </c>
      <c r="BB192" s="32">
        <f>IFERROR((Upgrades!$N$16*(POWER(Upgrades!$R$13,E192)*POWER(Upgrades!$R$14,F192)*POWER(Upgrades!$R$15,G192)*POWER(Upgrades!$R$16,H192)*POWER(Upgrades!$R$17,I192)*POWER(Upgrades!$R$18,J192)*POWER(Upgrades!$R$19,K192)*POWER(Upgrades!$R$20,L192)*POWER(Upgrades!$R$21,M192))*(IF(Upgrades!$T$13="Roche Lobe Overflow",POWER(Upgrades!$U$13,E192),1)*IF(Upgrades!$T$14="Roche Lobe Overflow",POWER(Upgrades!$U$14,F192),1)*IF(Upgrades!$T$15="Roche Lobe Overflow",POWER(Upgrades!$U$15,G192),1)*IF(Upgrades!$T$17="Roche Lobe Overflow",POWER(Upgrades!$U$17,I192),1)*IF(Upgrades!$T$18="Roche Lobe Overflow",POWER(Upgrades!$U$18,J192),1)*IF(Upgrades!$T$19="Roche Lobe Overflow",POWER(Upgrades!$U$19,K192),1)*IF(Upgrades!$T$20="Roche Lobe Overflow",POWER(Upgrades!$U$20,L192),1)*IF(Upgrades!$T$21="Roche Lobe Overflow",POWER(Upgrades!$U$21,M192),1))*$H$6*O192+((IF(F192=0,0,(Upgrades!$G$14+F192*Upgrades!$H$14)*POWER(Upgrades!$I$14,F192)))*(IF(Upgrades!$T$13="Local Bubble",POWER(Upgrades!$U$13,E192),1)*IF(Upgrades!$T$15="Local Bubble",POWER(Upgrades!$U$15,G192),1)*IF(Upgrades!$T$16="Local Bubble",POWER(Upgrades!$U$16,H192),1)*IF(Upgrades!$T$17="Local Bubble",POWER(Upgrades!$U$17,I192),1)*IF(Upgrades!$T$18="Local Bubble",POWER(Upgrades!$U$18,J192),1)*IF(Upgrades!$T$19="Local Bubble",POWER(Upgrades!$U$19,K192),1)*IF(Upgrades!$T$20="Local Bubble",POWER(Upgrades!$U$20,L192),1)*IF(Upgrades!$T$21="Local Bubble",POWER(Upgrades!$U$21,M192),1))*POWER(Upgrades!$P$13,E192)*POWER(Upgrades!$P$14,F192)*POWER(Upgrades!$P$15,G192)*POWER(Upgrades!$P$16,H192)*POWER(Upgrades!$P$17,I192)*POWER(Upgrades!$P$18,J192)*POWER(Upgrades!$P$19,K192)*POWER(Upgrades!$P$20,L192)*POWER(Upgrades!$P$21,M192)*$F$6)*0.05)/AN192,0)</f>
        <v/>
      </c>
      <c r="BC192" s="32">
        <f>IFERROR((Upgrades!$H$17*(POWER(Upgrades!$P$13,E192)*POWER(Upgrades!$P$14,F192)*POWER(Upgrades!$P$15,G192)*POWER(Upgrades!$P$16,H192)*POWER(Upgrades!$P$17,I192)*POWER(Upgrades!$P$18,J192)*POWER(Upgrades!$P$19,K192)*POWER(Upgrades!$P$20,L192)*POWER(Upgrades!$P$21,M192))*(IF(Upgrades!$T$13="Brown Dwarf",POWER(Upgrades!$U$13,E192),1)*IF(Upgrades!$T$14="Brown Dwarf",POWER(Upgrades!$U$14,F192),1)*IF(Upgrades!$T$15="Brown Dwarf",POWER(Upgrades!$U$15,G192),1)*IF(Upgrades!$T$16="Brown Dwarf",POWER(Upgrades!$U$16,H192),1)*IF(Upgrades!$T$18="Brown Dwarf",POWER(Upgrades!$U$18,J192),1)*IF(Upgrades!$T$19="Brown Dwarf",POWER(Upgrades!$U$19,K192),1)*IF(Upgrades!$T$20="Brown Dwarf",POWER(Upgrades!$U$20,L192),1)*IF(Upgrades!$T$21="Brown Dwarf",POWER(Upgrades!$U$21,M192),1))*$F$6+(((IF(H192=0,0,(Upgrades!$M$16+H192*Upgrades!$N$16)*POWER(Upgrades!$O$16,H192)))*(IF(Upgrades!$T$13="Roche Lobe Overflow",POWER(Upgrades!$U$13,E192),1)*IF(Upgrades!$T$14="Roche Lobe Overflow",POWER(Upgrades!$U$14,F192),1)*IF(Upgrades!$T$15="Roche Lobe Overflow",POWER(Upgrades!$U$15,G192),1)*IF(Upgrades!$T$17="Roche Lobe Overflow",POWER(Upgrades!$U$17,I192),1)*IF(Upgrades!$T$18="Roche Lobe Overflow",POWER(Upgrades!$U$18,J192),1)*IF(Upgrades!$T$19="Roche Lobe Overflow",POWER(Upgrades!$U$19,K192),1)*IF(Upgrades!$T$20="Roche Lobe Overflow",POWER(Upgrades!$U$20,L192),1)*IF(Upgrades!$T$21="Roche Lobe Overflow",POWER(Upgrades!$U$21,M192),1))*POWER(Upgrades!$R$13,E192)*POWER(Upgrades!$R$14,F192)*POWER(Upgrades!$R$15,G192)*POWER(Upgrades!$R$16,H192)*POWER(Upgrades!$R$17,I192)*POWER(Upgrades!$R$18,J192)*POWER(Upgrades!$R$19,K192)*POWER(Upgrades!$R$20,L192)*POWER(Upgrades!$R$21,M192)*$H$6)*O192)*0.10)/AO192,0)</f>
        <v/>
      </c>
      <c r="BD192" s="32">
        <f>MAX(IF(J192&gt;0,0,IFERROR(0.5*((IF(G192=0,0,(Upgrades!$J$15+G192*Upgrades!$K$15)*POWER(Upgrades!$L$15,G192)))*(IF(Upgrades!$T$13="Microlensing",POWER(Upgrades!$U$13,E192),1)*IF(Upgrades!$T$14="Microlensing",POWER(Upgrades!$U$14,F192),1)*IF(Upgrades!$T$16="Microlensing",POWER(Upgrades!$U$16,H192),1)*IF(Upgrades!$T$17="Microlensing",POWER(Upgrades!$U$17,I192),1)*IF(Upgrades!$T$18="Microlensing",POWER(Upgrades!$U$18,J192),1)*IF(Upgrades!$T$19="Microlensing",POWER(Upgrades!$U$19,K192),1)*IF(Upgrades!$T$20="Microlensing",POWER(Upgrades!$U$20,L192),1)*IF(Upgrades!$T$21="Microlensing",POWER(Upgrades!$U$21,M192),1))*(POWER(Upgrades!$Q$13,E192)*POWER(Upgrades!$Q$14,F192)*POWER(Upgrades!$Q$15,G192)*POWER(Upgrades!$Q$16,H192)*POWER(Upgrades!$Q$17,I192)*POWER(Upgrades!$Q$18,J192)*POWER(Upgrades!$Q$19,K192)*POWER(Upgrades!$Q$20,L192)*POWER(Upgrades!$Q$21,M192))*$G$6*(Parameters!$B$10/60*Parameters!$B$11+Q192))/Upgrades!$C$18,0)),IF(K192&gt;0,0,IFERROR(0.30*P192/Upgrades!$C$19,0)),IF(L192&gt;0,0,IFERROR(0.0001/Upgrades!$C$20,0)),IF(M192&gt;0,0,IFERROR((6.0*(POWER(Upgrades!$P$13,E192)*POWER(Upgrades!$P$14,F192)*POWER(Upgrades!$P$15,G192)*POWER(Upgrades!$P$16,H192)*POWER(Upgrades!$P$17,I192)*POWER(Upgrades!$P$18,J192)*POWER(Upgrades!$P$19,K192)*POWER(Upgrades!$P$20,L192)*POWER(Upgrades!$P$21,M192))*$F$6+0.20*O192*(Parameters!$B$10/60*Parameters!$B$11+Q192))/Upgrades!$C$21,0)),IF(AND(ISNUMBER(AK192),AK192&gt;(C192+T192)),AY192,0),IF(AND(ISNUMBER(AL192),AL192&gt;(C192+T192)),AZ192,0),IF(AND(ISNUMBER(AM192),AM192&gt;(C192+T192)),BA192,0),IF(AND(ISNUMBER(AN192),AN192&gt;(C192+T192)),BB192,0),IF(AND(ISNUMBER(AO192),AO192&gt;(C192+T192)),BC192,0))</f>
        <v/>
      </c>
      <c r="BE192" s="29">
        <f>IF(AT192=1,"transition",IF(MIN(IF(AND(J192=0,ISNUMBER(AP192),AP192&lt;=(C192+T192)),AP192,9E15),IF(AND(K192=0,ISNUMBER(AQ192),AQ192&lt;=(C192+T192)),AQ192,9E15),IF(AND(L192=0,ISNUMBER(AR192),AR192&lt;=(C192+T192)),AR192,9E15),IF(AND(M192=0,ISNUMBER(AS192),AS192&lt;=(C192+T192)),AS192,9E15))&lt;9E15,IF(AND(AND(J192=0,ISNUMBER(AP192),AP192&lt;=(C192+T192)),AP192=MIN(IF(AND(J192=0,ISNUMBER(AP192),AP192&lt;=(C192+T192)),AP192,9E15),IF(AND(K192=0,ISNUMBER(AQ192),AQ192&lt;=(C192+T192)),AQ192,9E15),IF(AND(L192=0,ISNUMBER(AR192),AR192&lt;=(C192+T192)),AR192,9E15),IF(AND(M192=0,ISNUMBER(AS192),AS192&lt;=(C192+T192)),AS192,9E15))),"BiP",IF(AND(AND(K192=0,ISNUMBER(AQ192),AQ192&lt;=(C192+T192)),AQ192=MIN(IF(AND(J192=0,ISNUMBER(AP192),AP192&lt;=(C192+T192)),AP192,9E15),IF(AND(K192=0,ISNUMBER(AQ192),AQ192&lt;=(C192+T192)),AQ192,9E15),IF(AND(L192=0,ISNUMBER(AR192),AR192&lt;=(C192+T192)),AR192,9E15),IF(AND(M192=0,ISNUMBER(AS192),AS192&lt;=(C192+T192)),AS192,9E15))),"PV",IF(AND(AND(L192=0,ISNUMBER(AR192),AR192&lt;=(C192+T192)),AR192=MIN(IF(AND(J192=0,ISNUMBER(AP192),AP192&lt;=(C192+T192)),AP192,9E15),IF(AND(K192=0,ISNUMBER(AQ192),AQ192&lt;=(C192+T192)),AQ192,9E15),IF(AND(L192=0,ISNUMBER(AR192),AR192&lt;=(C192+T192)),AR192,9E15),IF(AND(M192=0,ISNUMBER(AS192),AS192&lt;=(C192+T192)),AS192,9E15))),"OC","MG"))),IF(AX192=TRUE,"",IF(MAX(IF(AND(NOT(AND(AU192=1,AT192&lt;&gt;1)),ISNUMBER(AK192),AK192&lt;=(C192+T192)),AY192,0),IF(AND(NOT(AND(AU192=1,AT192&lt;&gt;1)),ISNUMBER(AL192),AL192&lt;=(C192+T192)),AZ192,0),IF(AND(NOT(AND(AU192=1,AT192&lt;&gt;1)),ISNUMBER(AM192),AM192&lt;=(C192+T192)),BA192,0),IF(AND(NOT(AND(AU192=1,AT192&lt;&gt;1)),ISNUMBER(AN192),AN192&lt;=(C192+T192)),BB192,0),IF(AND(ISNUMBER(AO192),AO192&lt;=(C192+T192)),BC192,0))&lt;=0,"",IF(AND(IF(AND(NOT(AND(AU192=1,AT192&lt;&gt;1)),ISNUMBER(AK192),AK192&lt;=(C192+T192)),AY192,0)&gt;0,IF(AND(NOT(AND(AU192=1,AT192&lt;&gt;1)),ISNUMBER(AK192),AK192&lt;=(C192+T192)),AY192,0)=MAX(IF(AND(NOT(AND(AU192=1,AT192&lt;&gt;1)),ISNUMBER(AK192),AK192&lt;=(C192+T192)),AY192,0),IF(AND(NOT(AND(AU192=1,AT192&lt;&gt;1)),ISNUMBER(AL192),AL192&lt;=(C192+T192)),AZ192,0),IF(AND(NOT(AND(AU192=1,AT192&lt;&gt;1)),ISNUMBER(AM192),AM192&lt;=(C192+T192)),BA192,0),IF(AND(NOT(AND(AU192=1,AT192&lt;&gt;1)),ISNUMBER(AN192),AN192&lt;=(C192+T192)),BB192,0),IF(AND(ISNUMBER(AO192),AO192&lt;=(C192+T192)),BC192,0))),"SK",IF(AND(IF(AND(NOT(AND(AU192=1,AT192&lt;&gt;1)),ISNUMBER(AL192),AL192&lt;=(C192+T192)),AZ192,0)&gt;0,IF(AND(NOT(AND(AU192=1,AT192&lt;&gt;1)),ISNUMBER(AL192),AL192&lt;=(C192+T192)),AZ192,0)=MAX(IF(AND(NOT(AND(AU192=1,AT192&lt;&gt;1)),ISNUMBER(AK192),AK192&lt;=(C192+T192)),AY192,0),IF(AND(NOT(AND(AU192=1,AT192&lt;&gt;1)),ISNUMBER(AL192),AL192&lt;=(C192+T192)),AZ192,0),IF(AND(NOT(AND(AU192=1,AT192&lt;&gt;1)),ISNUMBER(AM192),AM192&lt;=(C192+T192)),BA192,0),IF(AND(NOT(AND(AU192=1,AT192&lt;&gt;1)),ISNUMBER(AN192),AN192&lt;=(C192+T192)),BB192,0),IF(AND(ISNUMBER(AO192),AO192&lt;=(C192+T192)),BC192,0))),"LB",IF(AND(IF(AND(NOT(AND(AU192=1,AT192&lt;&gt;1)),ISNUMBER(AM192),AM192&lt;=(C192+T192)),BA192,0)&gt;0,IF(AND(NOT(AND(AU192=1,AT192&lt;&gt;1)),ISNUMBER(AM192),AM192&lt;=(C192+T192)),BA192,0)=MAX(IF(AND(NOT(AND(AU192=1,AT192&lt;&gt;1)),ISNUMBER(AK192),AK192&lt;=(C192+T192)),AY192,0),IF(AND(NOT(AND(AU192=1,AT192&lt;&gt;1)),ISNUMBER(AL192),AL192&lt;=(C192+T192)),AZ192,0),IF(AND(NOT(AND(AU192=1,AT192&lt;&gt;1)),ISNUMBER(AM192),AM192&lt;=(C192+T192)),BA192,0),IF(AND(NOT(AND(AU192=1,AT192&lt;&gt;1)),ISNUMBER(AN192),AN192&lt;=(C192+T192)),BB192,0),IF(AND(ISNUMBER(AO192),AO192&lt;=(C192+T192)),BC192,0))),"ML",IF(AND(IF(AND(NOT(AND(AU192=1,AT192&lt;&gt;1)),ISNUMBER(AN192),AN192&lt;=(C192+T192)),BB192,0)&gt;0,IF(AND(NOT(AND(AU192=1,AT192&lt;&gt;1)),ISNUMBER(AN192),AN192&lt;=(C192+T192)),BB192,0)=MAX(IF(AND(NOT(AND(AU192=1,AT192&lt;&gt;1)),ISNUMBER(AK192),AK192&lt;=(C192+T192)),AY192,0),IF(AND(NOT(AND(AU192=1,AT192&lt;&gt;1)),ISNUMBER(AL192),AL192&lt;=(C192+T192)),AZ192,0),IF(AND(NOT(AND(AU192=1,AT192&lt;&gt;1)),ISNUMBER(AM192),AM192&lt;=(C192+T192)),BA192,0),IF(AND(NOT(AND(AU192=1,AT192&lt;&gt;1)),ISNUMBER(AN192),AN192&lt;=(C192+T192)),BB192,0),IF(AND(ISNUMBER(AO192),AO192&lt;=(C192+T192)),BC192,0))),"RLO","BD"))))))))</f>
        <v/>
      </c>
    </row>
    <row r="193">
      <c r="A193" s="26" t="n">
        <v>182</v>
      </c>
      <c r="B193" s="27">
        <f>A193*10/60</f>
        <v/>
      </c>
      <c r="C193" s="22">
        <f>X192</f>
        <v/>
      </c>
      <c r="D193" s="27">
        <f>D192+W192</f>
        <v/>
      </c>
      <c r="E193" s="26">
        <f>E192+IF(U192="SK",1,0)</f>
        <v/>
      </c>
      <c r="F193" s="26">
        <f>F192+IF(U192="LB",1,0)</f>
        <v/>
      </c>
      <c r="G193" s="26">
        <f>G192+IF(U192="ML",1,0)</f>
        <v/>
      </c>
      <c r="H193" s="26">
        <f>H192+IF(U192="RLO",1,0)</f>
        <v/>
      </c>
      <c r="I193" s="26">
        <f>I192+IF(U192="BD",1,0)</f>
        <v/>
      </c>
      <c r="J193" s="26">
        <f>MAX(J192,IF(U192="BiP",1,0))</f>
        <v/>
      </c>
      <c r="K193" s="26">
        <f>MAX(K192,IF(U192="PV",1,0))</f>
        <v/>
      </c>
      <c r="L193" s="26">
        <f>MAX(L192,IF(U192="OC",1,0))</f>
        <v/>
      </c>
      <c r="M193" s="26">
        <f>MAX(M192,IF(U192="MG",1,0))</f>
        <v/>
      </c>
      <c r="N193" s="26">
        <f>MAX(N192,IF(U192="transition",1,0))</f>
        <v/>
      </c>
      <c r="O193" s="28">
        <f>(Parameters!$B$9+(IF(E193=0,0,(Upgrades!$J$13+E193*Upgrades!$K$13)*POWER(Upgrades!$L$13,E193)))*(IF(Upgrades!$T$14="Stellar Kinematics",POWER(Upgrades!$U$14,F193),1)*IF(Upgrades!$T$15="Stellar Kinematics",POWER(Upgrades!$U$15,G193),1)*IF(Upgrades!$T$16="Stellar Kinematics",POWER(Upgrades!$U$16,H193),1)*IF(Upgrades!$T$17="Stellar Kinematics",POWER(Upgrades!$U$17,I193),1)*IF(Upgrades!$T$18="Stellar Kinematics",POWER(Upgrades!$U$18,J193),1)*IF(Upgrades!$T$19="Stellar Kinematics",POWER(Upgrades!$U$19,K193),1)*IF(Upgrades!$T$20="Stellar Kinematics",POWER(Upgrades!$U$20,L193),1)*IF(Upgrades!$T$21="Stellar Kinematics",POWER(Upgrades!$U$21,M193),1))+(IF(F193=0,0,(Upgrades!$J$14+F193*Upgrades!$K$14)*POWER(Upgrades!$L$14,F193)))*(IF(Upgrades!$T$13="Local Bubble",POWER(Upgrades!$U$13,E193),1)*IF(Upgrades!$T$15="Local Bubble",POWER(Upgrades!$U$15,G193),1)*IF(Upgrades!$T$16="Local Bubble",POWER(Upgrades!$U$16,H193),1)*IF(Upgrades!$T$17="Local Bubble",POWER(Upgrades!$U$17,I193),1)*IF(Upgrades!$T$18="Local Bubble",POWER(Upgrades!$U$18,J193),1)*IF(Upgrades!$T$19="Local Bubble",POWER(Upgrades!$U$19,K193),1)*IF(Upgrades!$T$20="Local Bubble",POWER(Upgrades!$U$20,L193),1)*IF(Upgrades!$T$21="Local Bubble",POWER(Upgrades!$U$21,M193),1))+(IF(G193=0,0,(Upgrades!$J$15+G193*Upgrades!$K$15)*POWER(Upgrades!$L$15,G193)))*(IF(Upgrades!$T$13="Microlensing",POWER(Upgrades!$U$13,E193),1)*IF(Upgrades!$T$14="Microlensing",POWER(Upgrades!$U$14,F193),1)*IF(Upgrades!$T$16="Microlensing",POWER(Upgrades!$U$16,H193),1)*IF(Upgrades!$T$17="Microlensing",POWER(Upgrades!$U$17,I193),1)*IF(Upgrades!$T$18="Microlensing",POWER(Upgrades!$U$18,J193),1)*IF(Upgrades!$T$19="Microlensing",POWER(Upgrades!$U$19,K193),1)*IF(Upgrades!$T$20="Microlensing",POWER(Upgrades!$U$20,L193),1)*IF(Upgrades!$T$21="Microlensing",POWER(Upgrades!$U$21,M193),1))+(IF(H193=0,0,(Upgrades!$J$16+H193*Upgrades!$K$16)*POWER(Upgrades!$L$16,H193)))*(IF(Upgrades!$T$13="Roche Lobe Overflow",POWER(Upgrades!$U$13,E193),1)*IF(Upgrades!$T$14="Roche Lobe Overflow",POWER(Upgrades!$U$14,F193),1)*IF(Upgrades!$T$15="Roche Lobe Overflow",POWER(Upgrades!$U$15,G193),1)*IF(Upgrades!$T$17="Roche Lobe Overflow",POWER(Upgrades!$U$17,I193),1)*IF(Upgrades!$T$18="Roche Lobe Overflow",POWER(Upgrades!$U$18,J193),1)*IF(Upgrades!$T$19="Roche Lobe Overflow",POWER(Upgrades!$U$19,K193),1)*IF(Upgrades!$T$20="Roche Lobe Overflow",POWER(Upgrades!$U$20,L193),1)*IF(Upgrades!$T$21="Roche Lobe Overflow",POWER(Upgrades!$U$21,M193),1))+(IF(I193=0,0,(Upgrades!$J$17+I193*Upgrades!$K$17)*POWER(Upgrades!$L$17,I193)))*(IF(Upgrades!$T$13="Brown Dwarf",POWER(Upgrades!$U$13,E193),1)*IF(Upgrades!$T$14="Brown Dwarf",POWER(Upgrades!$U$14,F193),1)*IF(Upgrades!$T$15="Brown Dwarf",POWER(Upgrades!$U$15,G193),1)*IF(Upgrades!$T$16="Brown Dwarf",POWER(Upgrades!$U$16,H193),1)*IF(Upgrades!$T$18="Brown Dwarf",POWER(Upgrades!$U$18,J193),1)*IF(Upgrades!$T$19="Brown Dwarf",POWER(Upgrades!$U$19,K193),1)*IF(Upgrades!$T$20="Brown Dwarf",POWER(Upgrades!$U$20,L193),1)*IF(Upgrades!$T$21="Brown Dwarf",POWER(Upgrades!$U$21,M193),1))+(IF(J193=0,0,(Upgrades!$J$18+J193*Upgrades!$K$18)*POWER(Upgrades!$L$18,J193)))*(IF(Upgrades!$T$13="Binary Partner",POWER(Upgrades!$U$13,E193),1)*IF(Upgrades!$T$14="Binary Partner",POWER(Upgrades!$U$14,F193),1)*IF(Upgrades!$T$15="Binary Partner",POWER(Upgrades!$U$15,G193),1)*IF(Upgrades!$T$16="Binary Partner",POWER(Upgrades!$U$16,H193),1)*IF(Upgrades!$T$17="Binary Partner",POWER(Upgrades!$U$17,I193),1)*IF(Upgrades!$T$19="Binary Partner",POWER(Upgrades!$U$19,K193),1)*IF(Upgrades!$T$20="Binary Partner",POWER(Upgrades!$U$20,L193),1)*IF(Upgrades!$T$21="Binary Partner",POWER(Upgrades!$U$21,M193),1))+(IF(K193=0,0,(Upgrades!$J$19+K193*Upgrades!$K$19)*POWER(Upgrades!$L$19,K193)))*(IF(Upgrades!$T$13="Peculiar Velocity",POWER(Upgrades!$U$13,E193),1)*IF(Upgrades!$T$14="Peculiar Velocity",POWER(Upgrades!$U$14,F193),1)*IF(Upgrades!$T$15="Peculiar Velocity",POWER(Upgrades!$U$15,G193),1)*IF(Upgrades!$T$16="Peculiar Velocity",POWER(Upgrades!$U$16,H193),1)*IF(Upgrades!$T$17="Peculiar Velocity",POWER(Upgrades!$U$17,I193),1)*IF(Upgrades!$T$18="Peculiar Velocity",POWER(Upgrades!$U$18,J193),1)*IF(Upgrades!$T$20="Peculiar Velocity",POWER(Upgrades!$U$20,L193),1)*IF(Upgrades!$T$21="Peculiar Velocity",POWER(Upgrades!$U$21,M193),1))+(IF(L193=0,0,(Upgrades!$J$20+L193*Upgrades!$K$20)*POWER(Upgrades!$L$20,L193)))*(IF(Upgrades!$T$13="Open Cluster",POWER(Upgrades!$U$13,E193),1)*IF(Upgrades!$T$14="Open Cluster",POWER(Upgrades!$U$14,F193),1)*IF(Upgrades!$T$15="Open Cluster",POWER(Upgrades!$U$15,G193),1)*IF(Upgrades!$T$16="Open Cluster",POWER(Upgrades!$U$16,H193),1)*IF(Upgrades!$T$17="Open Cluster",POWER(Upgrades!$U$17,I193),1)*IF(Upgrades!$T$18="Open Cluster",POWER(Upgrades!$U$18,J193),1)*IF(Upgrades!$T$19="Open Cluster",POWER(Upgrades!$U$19,K193),1)*IF(Upgrades!$T$21="Open Cluster",POWER(Upgrades!$U$21,M193),1))+(IF(M193=0,0,(Upgrades!$J$21+M193*Upgrades!$K$21)*POWER(Upgrades!$L$21,M193)))*(IF(Upgrades!$T$13="Moving Group",POWER(Upgrades!$U$13,E193),1)*IF(Upgrades!$T$14="Moving Group",POWER(Upgrades!$U$14,F193),1)*IF(Upgrades!$T$15="Moving Group",POWER(Upgrades!$U$15,G193),1)*IF(Upgrades!$T$16="Moving Group",POWER(Upgrades!$U$16,H193),1)*IF(Upgrades!$T$17="Moving Group",POWER(Upgrades!$U$17,I193),1)*IF(Upgrades!$T$18="Moving Group",POWER(Upgrades!$U$18,J193),1)*IF(Upgrades!$T$19="Moving Group",POWER(Upgrades!$U$19,K193),1)*IF(Upgrades!$T$20="Moving Group",POWER(Upgrades!$U$20,L193),1)))*POWER(Upgrades!$Q$13,E193)*POWER(Upgrades!$Q$14,F193)*POWER(Upgrades!$Q$15,G193)*POWER(Upgrades!$Q$16,H193)*POWER(Upgrades!$Q$17,I193)*POWER(Upgrades!$Q$18,J193)*POWER(Upgrades!$Q$19,K193)*POWER(Upgrades!$Q$20,L193)*POWER(Upgrades!$Q$21,M193)*$G$6+$D$6</f>
        <v/>
      </c>
      <c r="P193" s="28">
        <f>((IF(E193=0,0,(Upgrades!$G$13+E193*Upgrades!$H$13)*POWER(Upgrades!$I$13,E193)))*(IF(Upgrades!$T$14="Stellar Kinematics",POWER(Upgrades!$U$14,F193),1)*IF(Upgrades!$T$15="Stellar Kinematics",POWER(Upgrades!$U$15,G193),1)*IF(Upgrades!$T$16="Stellar Kinematics",POWER(Upgrades!$U$16,H193),1)*IF(Upgrades!$T$17="Stellar Kinematics",POWER(Upgrades!$U$17,I193),1)*IF(Upgrades!$T$18="Stellar Kinematics",POWER(Upgrades!$U$18,J193),1)*IF(Upgrades!$T$19="Stellar Kinematics",POWER(Upgrades!$U$19,K193),1)*IF(Upgrades!$T$20="Stellar Kinematics",POWER(Upgrades!$U$20,L193),1)*IF(Upgrades!$T$21="Stellar Kinematics",POWER(Upgrades!$U$21,M193),1))+(IF(F193=0,0,(Upgrades!$G$14+F193*Upgrades!$H$14)*POWER(Upgrades!$I$14,F193)))*(IF(Upgrades!$T$13="Local Bubble",POWER(Upgrades!$U$13,E193),1)*IF(Upgrades!$T$15="Local Bubble",POWER(Upgrades!$U$15,G193),1)*IF(Upgrades!$T$16="Local Bubble",POWER(Upgrades!$U$16,H193),1)*IF(Upgrades!$T$17="Local Bubble",POWER(Upgrades!$U$17,I193),1)*IF(Upgrades!$T$18="Local Bubble",POWER(Upgrades!$U$18,J193),1)*IF(Upgrades!$T$19="Local Bubble",POWER(Upgrades!$U$19,K193),1)*IF(Upgrades!$T$20="Local Bubble",POWER(Upgrades!$U$20,L193),1)*IF(Upgrades!$T$21="Local Bubble",POWER(Upgrades!$U$21,M193),1))+(IF(G193=0,0,(Upgrades!$G$15+G193*Upgrades!$H$15)*POWER(Upgrades!$I$15,G193)))*(IF(Upgrades!$T$13="Microlensing",POWER(Upgrades!$U$13,E193),1)*IF(Upgrades!$T$14="Microlensing",POWER(Upgrades!$U$14,F193),1)*IF(Upgrades!$T$16="Microlensing",POWER(Upgrades!$U$16,H193),1)*IF(Upgrades!$T$17="Microlensing",POWER(Upgrades!$U$17,I193),1)*IF(Upgrades!$T$18="Microlensing",POWER(Upgrades!$U$18,J193),1)*IF(Upgrades!$T$19="Microlensing",POWER(Upgrades!$U$19,K193),1)*IF(Upgrades!$T$20="Microlensing",POWER(Upgrades!$U$20,L193),1)*IF(Upgrades!$T$21="Microlensing",POWER(Upgrades!$U$21,M193),1))+(IF(H193=0,0,(Upgrades!$G$16+H193*Upgrades!$H$16)*POWER(Upgrades!$I$16,H193)))*(IF(Upgrades!$T$13="Roche Lobe Overflow",POWER(Upgrades!$U$13,E193),1)*IF(Upgrades!$T$14="Roche Lobe Overflow",POWER(Upgrades!$U$14,F193),1)*IF(Upgrades!$T$15="Roche Lobe Overflow",POWER(Upgrades!$U$15,G193),1)*IF(Upgrades!$T$17="Roche Lobe Overflow",POWER(Upgrades!$U$17,I193),1)*IF(Upgrades!$T$18="Roche Lobe Overflow",POWER(Upgrades!$U$18,J193),1)*IF(Upgrades!$T$19="Roche Lobe Overflow",POWER(Upgrades!$U$19,K193),1)*IF(Upgrades!$T$20="Roche Lobe Overflow",POWER(Upgrades!$U$20,L193),1)*IF(Upgrades!$T$21="Roche Lobe Overflow",POWER(Upgrades!$U$21,M193),1))+(IF(I193=0,0,(Upgrades!$G$17+I193*Upgrades!$H$17)*POWER(Upgrades!$I$17,I193)))*(IF(Upgrades!$T$13="Brown Dwarf",POWER(Upgrades!$U$13,E193),1)*IF(Upgrades!$T$14="Brown Dwarf",POWER(Upgrades!$U$14,F193),1)*IF(Upgrades!$T$15="Brown Dwarf",POWER(Upgrades!$U$15,G193),1)*IF(Upgrades!$T$16="Brown Dwarf",POWER(Upgrades!$U$16,H193),1)*IF(Upgrades!$T$18="Brown Dwarf",POWER(Upgrades!$U$18,J193),1)*IF(Upgrades!$T$19="Brown Dwarf",POWER(Upgrades!$U$19,K193),1)*IF(Upgrades!$T$20="Brown Dwarf",POWER(Upgrades!$U$20,L193),1)*IF(Upgrades!$T$21="Brown Dwarf",POWER(Upgrades!$U$21,M193),1))+(IF(J193=0,0,(Upgrades!$G$18+J193*Upgrades!$H$18)*POWER(Upgrades!$I$18,J193)))*(IF(Upgrades!$T$13="Binary Partner",POWER(Upgrades!$U$13,E193),1)*IF(Upgrades!$T$14="Binary Partner",POWER(Upgrades!$U$14,F193),1)*IF(Upgrades!$T$15="Binary Partner",POWER(Upgrades!$U$15,G193),1)*IF(Upgrades!$T$16="Binary Partner",POWER(Upgrades!$U$16,H193),1)*IF(Upgrades!$T$17="Binary Partner",POWER(Upgrades!$U$17,I193),1)*IF(Upgrades!$T$19="Binary Partner",POWER(Upgrades!$U$19,K193),1)*IF(Upgrades!$T$20="Binary Partner",POWER(Upgrades!$U$20,L193),1)*IF(Upgrades!$T$21="Binary Partner",POWER(Upgrades!$U$21,M193),1))+(IF(K193=0,0,(Upgrades!$G$19+K193*Upgrades!$H$19)*POWER(Upgrades!$I$19,K193)))*(IF(Upgrades!$T$13="Peculiar Velocity",POWER(Upgrades!$U$13,E193),1)*IF(Upgrades!$T$14="Peculiar Velocity",POWER(Upgrades!$U$14,F193),1)*IF(Upgrades!$T$15="Peculiar Velocity",POWER(Upgrades!$U$15,G193),1)*IF(Upgrades!$T$16="Peculiar Velocity",POWER(Upgrades!$U$16,H193),1)*IF(Upgrades!$T$17="Peculiar Velocity",POWER(Upgrades!$U$17,I193),1)*IF(Upgrades!$T$18="Peculiar Velocity",POWER(Upgrades!$U$18,J193),1)*IF(Upgrades!$T$20="Peculiar Velocity",POWER(Upgrades!$U$20,L193),1)*IF(Upgrades!$T$21="Peculiar Velocity",POWER(Upgrades!$U$21,M193),1))+(IF(L193=0,0,(Upgrades!$G$20+L193*Upgrades!$H$20)*POWER(Upgrades!$I$20,L193)))*(IF(Upgrades!$T$13="Open Cluster",POWER(Upgrades!$U$13,E193),1)*IF(Upgrades!$T$14="Open Cluster",POWER(Upgrades!$U$14,F193),1)*IF(Upgrades!$T$15="Open Cluster",POWER(Upgrades!$U$15,G193),1)*IF(Upgrades!$T$16="Open Cluster",POWER(Upgrades!$U$16,H193),1)*IF(Upgrades!$T$17="Open Cluster",POWER(Upgrades!$U$17,I193),1)*IF(Upgrades!$T$18="Open Cluster",POWER(Upgrades!$U$18,J193),1)*IF(Upgrades!$T$19="Open Cluster",POWER(Upgrades!$U$19,K193),1)*IF(Upgrades!$T$21="Open Cluster",POWER(Upgrades!$U$21,M193),1))+(IF(M193=0,0,(Upgrades!$G$21+M193*Upgrades!$H$21)*POWER(Upgrades!$I$21,M193)))*(IF(Upgrades!$T$13="Moving Group",POWER(Upgrades!$U$13,E193),1)*IF(Upgrades!$T$14="Moving Group",POWER(Upgrades!$U$14,F193),1)*IF(Upgrades!$T$15="Moving Group",POWER(Upgrades!$U$15,G193),1)*IF(Upgrades!$T$16="Moving Group",POWER(Upgrades!$U$16,H193),1)*IF(Upgrades!$T$17="Moving Group",POWER(Upgrades!$U$17,I193),1)*IF(Upgrades!$T$18="Moving Group",POWER(Upgrades!$U$18,J193),1)*IF(Upgrades!$T$19="Moving Group",POWER(Upgrades!$U$19,K193),1)*IF(Upgrades!$T$20="Moving Group",POWER(Upgrades!$U$20,L193),1)))*POWER(Upgrades!$P$13,E193)*POWER(Upgrades!$P$14,F193)*POWER(Upgrades!$P$15,G193)*POWER(Upgrades!$P$16,H193)*POWER(Upgrades!$P$17,I193)*POWER(Upgrades!$P$18,J193)*POWER(Upgrades!$P$19,K193)*POWER(Upgrades!$P$20,L193)*POWER(Upgrades!$P$21,M193)*$F$6+$C$6</f>
        <v/>
      </c>
      <c r="Q193" s="28">
        <f>((IF(E193=0,0,(Upgrades!$M$13+E193*Upgrades!$N$13)*POWER(Upgrades!$O$13,E193)))*(IF(Upgrades!$T$14="Stellar Kinematics",POWER(Upgrades!$U$14,F193),1)*IF(Upgrades!$T$15="Stellar Kinematics",POWER(Upgrades!$U$15,G193),1)*IF(Upgrades!$T$16="Stellar Kinematics",POWER(Upgrades!$U$16,H193),1)*IF(Upgrades!$T$17="Stellar Kinematics",POWER(Upgrades!$U$17,I193),1)*IF(Upgrades!$T$18="Stellar Kinematics",POWER(Upgrades!$U$18,J193),1)*IF(Upgrades!$T$19="Stellar Kinematics",POWER(Upgrades!$U$19,K193),1)*IF(Upgrades!$T$20="Stellar Kinematics",POWER(Upgrades!$U$20,L193),1)*IF(Upgrades!$T$21="Stellar Kinematics",POWER(Upgrades!$U$21,M193),1))+(IF(F193=0,0,(Upgrades!$M$14+F193*Upgrades!$N$14)*POWER(Upgrades!$O$14,F193)))*(IF(Upgrades!$T$13="Local Bubble",POWER(Upgrades!$U$13,E193),1)*IF(Upgrades!$T$15="Local Bubble",POWER(Upgrades!$U$15,G193),1)*IF(Upgrades!$T$16="Local Bubble",POWER(Upgrades!$U$16,H193),1)*IF(Upgrades!$T$17="Local Bubble",POWER(Upgrades!$U$17,I193),1)*IF(Upgrades!$T$18="Local Bubble",POWER(Upgrades!$U$18,J193),1)*IF(Upgrades!$T$19="Local Bubble",POWER(Upgrades!$U$19,K193),1)*IF(Upgrades!$T$20="Local Bubble",POWER(Upgrades!$U$20,L193),1)*IF(Upgrades!$T$21="Local Bubble",POWER(Upgrades!$U$21,M193),1))+(IF(G193=0,0,(Upgrades!$M$15+G193*Upgrades!$N$15)*POWER(Upgrades!$O$15,G193)))*(IF(Upgrades!$T$13="Microlensing",POWER(Upgrades!$U$13,E193),1)*IF(Upgrades!$T$14="Microlensing",POWER(Upgrades!$U$14,F193),1)*IF(Upgrades!$T$16="Microlensing",POWER(Upgrades!$U$16,H193),1)*IF(Upgrades!$T$17="Microlensing",POWER(Upgrades!$U$17,I193),1)*IF(Upgrades!$T$18="Microlensing",POWER(Upgrades!$U$18,J193),1)*IF(Upgrades!$T$19="Microlensing",POWER(Upgrades!$U$19,K193),1)*IF(Upgrades!$T$20="Microlensing",POWER(Upgrades!$U$20,L193),1)*IF(Upgrades!$T$21="Microlensing",POWER(Upgrades!$U$21,M193),1))+(IF(H193=0,0,(Upgrades!$M$16+H193*Upgrades!$N$16)*POWER(Upgrades!$O$16,H193)))*(IF(Upgrades!$T$13="Roche Lobe Overflow",POWER(Upgrades!$U$13,E193),1)*IF(Upgrades!$T$14="Roche Lobe Overflow",POWER(Upgrades!$U$14,F193),1)*IF(Upgrades!$T$15="Roche Lobe Overflow",POWER(Upgrades!$U$15,G193),1)*IF(Upgrades!$T$17="Roche Lobe Overflow",POWER(Upgrades!$U$17,I193),1)*IF(Upgrades!$T$18="Roche Lobe Overflow",POWER(Upgrades!$U$18,J193),1)*IF(Upgrades!$T$19="Roche Lobe Overflow",POWER(Upgrades!$U$19,K193),1)*IF(Upgrades!$T$20="Roche Lobe Overflow",POWER(Upgrades!$U$20,L193),1)*IF(Upgrades!$T$21="Roche Lobe Overflow",POWER(Upgrades!$U$21,M193),1))+(IF(I193=0,0,(Upgrades!$M$17+I193*Upgrades!$N$17)*POWER(Upgrades!$O$17,I193)))*(IF(Upgrades!$T$13="Brown Dwarf",POWER(Upgrades!$U$13,E193),1)*IF(Upgrades!$T$14="Brown Dwarf",POWER(Upgrades!$U$14,F193),1)*IF(Upgrades!$T$15="Brown Dwarf",POWER(Upgrades!$U$15,G193),1)*IF(Upgrades!$T$16="Brown Dwarf",POWER(Upgrades!$U$16,H193),1)*IF(Upgrades!$T$18="Brown Dwarf",POWER(Upgrades!$U$18,J193),1)*IF(Upgrades!$T$19="Brown Dwarf",POWER(Upgrades!$U$19,K193),1)*IF(Upgrades!$T$20="Brown Dwarf",POWER(Upgrades!$U$20,L193),1)*IF(Upgrades!$T$21="Brown Dwarf",POWER(Upgrades!$U$21,M193),1))+(IF(J193=0,0,(Upgrades!$M$18+J193*Upgrades!$N$18)*POWER(Upgrades!$O$18,J193)))*(IF(Upgrades!$T$13="Binary Partner",POWER(Upgrades!$U$13,E193),1)*IF(Upgrades!$T$14="Binary Partner",POWER(Upgrades!$U$14,F193),1)*IF(Upgrades!$T$15="Binary Partner",POWER(Upgrades!$U$15,G193),1)*IF(Upgrades!$T$16="Binary Partner",POWER(Upgrades!$U$16,H193),1)*IF(Upgrades!$T$17="Binary Partner",POWER(Upgrades!$U$17,I193),1)*IF(Upgrades!$T$19="Binary Partner",POWER(Upgrades!$U$19,K193),1)*IF(Upgrades!$T$20="Binary Partner",POWER(Upgrades!$U$20,L193),1)*IF(Upgrades!$T$21="Binary Partner",POWER(Upgrades!$U$21,M193),1))+(IF(K193=0,0,(Upgrades!$M$19+K193*Upgrades!$N$19)*POWER(Upgrades!$O$19,K193)))*(IF(Upgrades!$T$13="Peculiar Velocity",POWER(Upgrades!$U$13,E193),1)*IF(Upgrades!$T$14="Peculiar Velocity",POWER(Upgrades!$U$14,F193),1)*IF(Upgrades!$T$15="Peculiar Velocity",POWER(Upgrades!$U$15,G193),1)*IF(Upgrades!$T$16="Peculiar Velocity",POWER(Upgrades!$U$16,H193),1)*IF(Upgrades!$T$17="Peculiar Velocity",POWER(Upgrades!$U$17,I193),1)*IF(Upgrades!$T$18="Peculiar Velocity",POWER(Upgrades!$U$18,J193),1)*IF(Upgrades!$T$20="Peculiar Velocity",POWER(Upgrades!$U$20,L193),1)*IF(Upgrades!$T$21="Peculiar Velocity",POWER(Upgrades!$U$21,M193),1))+(IF(L193=0,0,(Upgrades!$M$20+L193*Upgrades!$N$20)*POWER(Upgrades!$O$20,L193)))*(IF(Upgrades!$T$13="Open Cluster",POWER(Upgrades!$U$13,E193),1)*IF(Upgrades!$T$14="Open Cluster",POWER(Upgrades!$U$14,F193),1)*IF(Upgrades!$T$15="Open Cluster",POWER(Upgrades!$U$15,G193),1)*IF(Upgrades!$T$16="Open Cluster",POWER(Upgrades!$U$16,H193),1)*IF(Upgrades!$T$17="Open Cluster",POWER(Upgrades!$U$17,I193),1)*IF(Upgrades!$T$18="Open Cluster",POWER(Upgrades!$U$18,J193),1)*IF(Upgrades!$T$19="Open Cluster",POWER(Upgrades!$U$19,K193),1)*IF(Upgrades!$T$21="Open Cluster",POWER(Upgrades!$U$21,M193),1))+(IF(M193=0,0,(Upgrades!$M$21+M193*Upgrades!$N$21)*POWER(Upgrades!$O$21,M193)))*(IF(Upgrades!$T$13="Moving Group",POWER(Upgrades!$U$13,E193),1)*IF(Upgrades!$T$14="Moving Group",POWER(Upgrades!$U$14,F193),1)*IF(Upgrades!$T$15="Moving Group",POWER(Upgrades!$U$15,G193),1)*IF(Upgrades!$T$16="Moving Group",POWER(Upgrades!$U$16,H193),1)*IF(Upgrades!$T$17="Moving Group",POWER(Upgrades!$U$17,I193),1)*IF(Upgrades!$T$18="Moving Group",POWER(Upgrades!$U$18,J193),1)*IF(Upgrades!$T$19="Moving Group",POWER(Upgrades!$U$19,K193),1)*IF(Upgrades!$T$20="Moving Group",POWER(Upgrades!$U$20,L193),1)))*POWER(Upgrades!$R$13,E193)*POWER(Upgrades!$R$14,F193)*POWER(Upgrades!$R$15,G193)*POWER(Upgrades!$R$16,H193)*POWER(Upgrades!$R$17,I193)*POWER(Upgrades!$R$18,J193)*POWER(Upgrades!$R$19,K193)*POWER(Upgrades!$R$20,L193)*POWER(Upgrades!$R$21,M193)*$H$6+$E$6</f>
        <v/>
      </c>
      <c r="R193" s="27">
        <f>IF(N193=1,0,O193*Parameters!$B$10/60*Parameters!$B$11*10)</f>
        <v/>
      </c>
      <c r="S193" s="27">
        <f>IF(N193=1,0,Q193*O193*10)</f>
        <v/>
      </c>
      <c r="T193" s="27">
        <f>IF(N193=1,0,R193+S193+P193*10)</f>
        <v/>
      </c>
      <c r="U193" s="33">
        <f>BE193</f>
        <v/>
      </c>
      <c r="V193" s="22">
        <f>IF(U193="",0,IF(U193="transition",0,IF(U193="SK",AK193,IF(U193="LB",AL193,IF(U193="ML",AM193,IF(U193="RLO",AN193,IF(U193="BD",AO193,IF(U193="BiP",AP193,IF(U193="PV",AQ193,IF(U193="OC",AR193,IF(U193="MG",AS193,0))))))))))</f>
        <v/>
      </c>
      <c r="W193" s="27">
        <f>IF(U193="BiP",Upgrades!$F$18,IF(U193="PV",Upgrades!$F$19,IF(U193="OC",Upgrades!$F$20,IF(U193="MG",Upgrades!$F$21,IF(U193="transition",-Parameters!$B$18*Parameters!$B$19,0)))))</f>
        <v/>
      </c>
      <c r="X193" s="22">
        <f>C193+T193-V193</f>
        <v/>
      </c>
      <c r="Y193" s="30">
        <f>O193*Parameters!$B$10/60*Parameters!$B$11+Q193*O193+P193</f>
        <v/>
      </c>
      <c r="Z193" s="34">
        <f>IF(U193="transition","→ Tier 3 (Galactic Arm)",IF(U193="MG","Moving Group — pocket drifts together",IF(U193="OC","Open Cluster acquired",IF(U193="PV","Peculiar Velocity — passive multiplier active",IF(U193="BiP","Binary Partner — pair bond formed",IF(AND(AU193=1,N193=0,AT193&lt;&gt;1),"Cohesion ready (waiting on completionists)","")))))) </f>
        <v/>
      </c>
      <c r="AA193" s="27">
        <f>(IF(E193=0,0,(Upgrades!$G$13+E193*Upgrades!$H$13)*POWER(Upgrades!$I$13,E193)))*(IF(Upgrades!$T$14="Stellar Kinematics",POWER(Upgrades!$U$14,F193),1)*IF(Upgrades!$T$15="Stellar Kinematics",POWER(Upgrades!$U$15,G193),1)*IF(Upgrades!$T$16="Stellar Kinematics",POWER(Upgrades!$U$16,H193),1)*IF(Upgrades!$T$17="Stellar Kinematics",POWER(Upgrades!$U$17,I193),1)*IF(Upgrades!$T$18="Stellar Kinematics",POWER(Upgrades!$U$18,J193),1)*IF(Upgrades!$T$19="Stellar Kinematics",POWER(Upgrades!$U$19,K193),1)*IF(Upgrades!$T$20="Stellar Kinematics",POWER(Upgrades!$U$20,L193),1)*IF(Upgrades!$T$21="Stellar Kinematics",POWER(Upgrades!$U$21,M193),1))*POWER(Upgrades!$P$13,E193)*POWER(Upgrades!$P$14,F193)*POWER(Upgrades!$P$15,G193)*POWER(Upgrades!$P$16,H193)*POWER(Upgrades!$P$17,I193)*POWER(Upgrades!$P$18,J193)*POWER(Upgrades!$P$19,K193)*POWER(Upgrades!$P$20,L193)*POWER(Upgrades!$P$21,M193)*$F$6*60</f>
        <v/>
      </c>
      <c r="AB193" s="27">
        <f>(IF(F193=0,0,(Upgrades!$G$14+F193*Upgrades!$H$14)*POWER(Upgrades!$I$14,F193)))*(IF(Upgrades!$T$13="Local Bubble",POWER(Upgrades!$U$13,E193),1)*IF(Upgrades!$T$15="Local Bubble",POWER(Upgrades!$U$15,G193),1)*IF(Upgrades!$T$16="Local Bubble",POWER(Upgrades!$U$16,H193),1)*IF(Upgrades!$T$17="Local Bubble",POWER(Upgrades!$U$17,I193),1)*IF(Upgrades!$T$18="Local Bubble",POWER(Upgrades!$U$18,J193),1)*IF(Upgrades!$T$19="Local Bubble",POWER(Upgrades!$U$19,K193),1)*IF(Upgrades!$T$20="Local Bubble",POWER(Upgrades!$U$20,L193),1)*IF(Upgrades!$T$21="Local Bubble",POWER(Upgrades!$U$21,M193),1))*POWER(Upgrades!$P$13,E193)*POWER(Upgrades!$P$14,F193)*POWER(Upgrades!$P$15,G193)*POWER(Upgrades!$P$16,H193)*POWER(Upgrades!$P$17,I193)*POWER(Upgrades!$P$18,J193)*POWER(Upgrades!$P$19,K193)*POWER(Upgrades!$P$20,L193)*POWER(Upgrades!$P$21,M193)*$F$6*60</f>
        <v/>
      </c>
      <c r="AC193" s="27">
        <f>(IF(G193=0,0,(Upgrades!$J$15+G193*Upgrades!$K$15)*POWER(Upgrades!$L$15,G193)))*(IF(Upgrades!$T$13="Microlensing",POWER(Upgrades!$U$13,E193),1)*IF(Upgrades!$T$14="Microlensing",POWER(Upgrades!$U$14,F193),1)*IF(Upgrades!$T$16="Microlensing",POWER(Upgrades!$U$16,H193),1)*IF(Upgrades!$T$17="Microlensing",POWER(Upgrades!$U$17,I193),1)*IF(Upgrades!$T$18="Microlensing",POWER(Upgrades!$U$18,J193),1)*IF(Upgrades!$T$19="Microlensing",POWER(Upgrades!$U$19,K193),1)*IF(Upgrades!$T$20="Microlensing",POWER(Upgrades!$U$20,L193),1)*IF(Upgrades!$T$21="Microlensing",POWER(Upgrades!$U$21,M193),1))*POWER(Upgrades!$Q$13,E193)*POWER(Upgrades!$Q$14,F193)*POWER(Upgrades!$Q$15,G193)*POWER(Upgrades!$Q$16,H193)*POWER(Upgrades!$Q$17,I193)*POWER(Upgrades!$Q$18,J193)*POWER(Upgrades!$Q$19,K193)*POWER(Upgrades!$Q$20,L193)*POWER(Upgrades!$Q$21,M193)*$G$6*(Parameters!$B$10*Parameters!$B$11+Q193*60)</f>
        <v/>
      </c>
      <c r="AD193" s="27">
        <f>(IF(H193=0,0,(Upgrades!$M$16+H193*Upgrades!$N$16)*POWER(Upgrades!$O$16,H193)))*(IF(Upgrades!$T$13="Roche Lobe Overflow",POWER(Upgrades!$U$13,E193),1)*IF(Upgrades!$T$14="Roche Lobe Overflow",POWER(Upgrades!$U$14,F193),1)*IF(Upgrades!$T$15="Roche Lobe Overflow",POWER(Upgrades!$U$15,G193),1)*IF(Upgrades!$T$17="Roche Lobe Overflow",POWER(Upgrades!$U$17,I193),1)*IF(Upgrades!$T$18="Roche Lobe Overflow",POWER(Upgrades!$U$18,J193),1)*IF(Upgrades!$T$19="Roche Lobe Overflow",POWER(Upgrades!$U$19,K193),1)*IF(Upgrades!$T$20="Roche Lobe Overflow",POWER(Upgrades!$U$20,L193),1)*IF(Upgrades!$T$21="Roche Lobe Overflow",POWER(Upgrades!$U$21,M193),1))*POWER(Upgrades!$R$13,E193)*POWER(Upgrades!$R$14,F193)*POWER(Upgrades!$R$15,G193)*POWER(Upgrades!$R$16,H193)*POWER(Upgrades!$R$17,I193)*POWER(Upgrades!$R$18,J193)*POWER(Upgrades!$R$19,K193)*POWER(Upgrades!$R$20,L193)*POWER(Upgrades!$R$21,M193)*$H$6*O193*60</f>
        <v/>
      </c>
      <c r="AE193" s="27">
        <f>(IF(I193=0,0,(Upgrades!$G$17+I193*Upgrades!$H$17)*POWER(Upgrades!$I$17,I193)))*(IF(Upgrades!$T$13="Brown Dwarf",POWER(Upgrades!$U$13,E193),1)*IF(Upgrades!$T$14="Brown Dwarf",POWER(Upgrades!$U$14,F193),1)*IF(Upgrades!$T$15="Brown Dwarf",POWER(Upgrades!$U$15,G193),1)*IF(Upgrades!$T$16="Brown Dwarf",POWER(Upgrades!$U$16,H193),1)*IF(Upgrades!$T$18="Brown Dwarf",POWER(Upgrades!$U$18,J193),1)*IF(Upgrades!$T$19="Brown Dwarf",POWER(Upgrades!$U$19,K193),1)*IF(Upgrades!$T$20="Brown Dwarf",POWER(Upgrades!$U$20,L193),1)*IF(Upgrades!$T$21="Brown Dwarf",POWER(Upgrades!$U$21,M193),1))*POWER(Upgrades!$P$13,E193)*POWER(Upgrades!$P$14,F193)*POWER(Upgrades!$P$15,G193)*POWER(Upgrades!$P$16,H193)*POWER(Upgrades!$P$17,I193)*POWER(Upgrades!$P$18,J193)*POWER(Upgrades!$P$19,K193)*POWER(Upgrades!$P$20,L193)*POWER(Upgrades!$P$21,M193)*$F$6*60</f>
        <v/>
      </c>
      <c r="AF193" s="27" t="n">
        <v>0</v>
      </c>
      <c r="AG193" s="27" t="n">
        <v>0</v>
      </c>
      <c r="AH193" s="27" t="n">
        <v>0</v>
      </c>
      <c r="AI193" s="27">
        <f>(IF(M193=0,0,(Upgrades!$G$21+M193*Upgrades!$H$21)*POWER(Upgrades!$I$21,M193)))*(IF(Upgrades!$T$13="Moving Group",POWER(Upgrades!$U$13,E193),1)*IF(Upgrades!$T$14="Moving Group",POWER(Upgrades!$U$14,F193),1)*IF(Upgrades!$T$15="Moving Group",POWER(Upgrades!$U$15,G193),1)*IF(Upgrades!$T$16="Moving Group",POWER(Upgrades!$U$16,H193),1)*IF(Upgrades!$T$17="Moving Group",POWER(Upgrades!$U$17,I193),1)*IF(Upgrades!$T$18="Moving Group",POWER(Upgrades!$U$18,J193),1)*IF(Upgrades!$T$19="Moving Group",POWER(Upgrades!$U$19,K193),1)*IF(Upgrades!$T$20="Moving Group",POWER(Upgrades!$U$20,L193),1))*POWER(Upgrades!$P$13,E193)*POWER(Upgrades!$P$14,F193)*POWER(Upgrades!$P$15,G193)*POWER(Upgrades!$P$16,H193)*POWER(Upgrades!$P$17,I193)*POWER(Upgrades!$P$18,J193)*POWER(Upgrades!$P$19,K193)*POWER(Upgrades!$P$20,L193)*POWER(Upgrades!$P$21,M193)*$F$6*60</f>
        <v/>
      </c>
      <c r="AJ193" s="27">
        <f>$C$6*60</f>
        <v/>
      </c>
      <c r="AK193" s="22">
        <f>IF(E193&gt;=Upgrades!$E$13,"",Upgrades!$C$13*POWER(Upgrades!$D$13,E193))</f>
        <v/>
      </c>
      <c r="AL193" s="22">
        <f>IF(F193&gt;=Upgrades!$E$14,"",Upgrades!$C$14*POWER(Upgrades!$D$14,F193))</f>
        <v/>
      </c>
      <c r="AM193" s="22">
        <f>IF(G193&gt;=Upgrades!$E$15,"",Upgrades!$C$15*POWER(Upgrades!$D$15,G193))</f>
        <v/>
      </c>
      <c r="AN193" s="22">
        <f>IF(H193&gt;=Upgrades!$E$16,"",Upgrades!$C$16*POWER(Upgrades!$D$16,H193))</f>
        <v/>
      </c>
      <c r="AO193" s="22">
        <f>IF(I193&gt;=Upgrades!$E$17,"",Upgrades!$C$17*POWER(Upgrades!$D$17,I193))</f>
        <v/>
      </c>
      <c r="AP193" s="22">
        <f>IF(J193&gt;=Upgrades!$E$18,"",Upgrades!$C$18*POWER(Upgrades!$D$18,J193))</f>
        <v/>
      </c>
      <c r="AQ193" s="22">
        <f>IF(K193&gt;=Upgrades!$E$19,"",Upgrades!$C$19*POWER(Upgrades!$D$19,K193))</f>
        <v/>
      </c>
      <c r="AR193" s="22">
        <f>IF(L193&gt;=Upgrades!$E$20,"",Upgrades!$C$20*POWER(Upgrades!$D$20,L193))</f>
        <v/>
      </c>
      <c r="AS193" s="22">
        <f>IF(M193&gt;=Upgrades!$E$21,"",Upgrades!$C$21*POWER(Upgrades!$D$21,M193))</f>
        <v/>
      </c>
      <c r="AT193" s="26">
        <f>IF(AND(D193&gt;=Parameters!$B$18*Parameters!$B$19,(I193&gt;=Upgrades!$E$17)*(M193&gt;=Upgrades!$E$21)=1,N193=0),1,"")</f>
        <v/>
      </c>
      <c r="AU193" s="26">
        <f>IF(AND(D193&gt;=Parameters!$B$18*Parameters!$B$19,N193=0),1,"")</f>
        <v/>
      </c>
      <c r="AV193" s="22">
        <f>MIN(IF(ISNUMBER(AP193),AP193,9E15),IF(ISNUMBER(AQ193),AQ193,9E15),IF(ISNUMBER(AR193),AR193,9E15),IF(ISNUMBER(AS193),AS193,9E15))</f>
        <v/>
      </c>
      <c r="AW193" s="22">
        <f>MIN(IF(ISNUMBER(AK193),AK193,9E15),IF(ISNUMBER(AL193),AL193,9E15),IF(ISNUMBER(AM193),AM193,9E15),IF(ISNUMBER(AN193),AN193,9E15),IF(ISNUMBER(AO193),AO193,9E15))</f>
        <v/>
      </c>
      <c r="AX193" s="29">
        <f>IF(BD193&gt;Parameters!$B$21*(MAX(IF(AND(NOT(AND(AU193=1,AT193&lt;&gt;1)),ISNUMBER(AK193),AK193&lt;=(C193+T193)),AY193,0),IF(AND(NOT(AND(AU193=1,AT193&lt;&gt;1)),ISNUMBER(AL193),AL193&lt;=(C193+T193)),AZ193,0),IF(AND(NOT(AND(AU193=1,AT193&lt;&gt;1)),ISNUMBER(AM193),AM193&lt;=(C193+T193)),BA193,0),IF(AND(NOT(AND(AU193=1,AT193&lt;&gt;1)),ISNUMBER(AN193),AN193&lt;=(C193+T193)),BB193,0),IF(AND(ISNUMBER(AO193),AO193&lt;=(C193+T193)),BC193,0))),TRUE,FALSE)</f>
        <v/>
      </c>
      <c r="AY193" s="32">
        <f>IFERROR(Upgrades!$H$13*(POWER(Upgrades!$P$13,E193)*POWER(Upgrades!$P$14,F193)*POWER(Upgrades!$P$15,G193)*POWER(Upgrades!$P$16,H193)*POWER(Upgrades!$P$17,I193)*POWER(Upgrades!$P$18,J193)*POWER(Upgrades!$P$19,K193)*POWER(Upgrades!$P$20,L193)*POWER(Upgrades!$P$21,M193))*(IF(Upgrades!$T$14="Stellar Kinematics",POWER(Upgrades!$U$14,F193),1)*IF(Upgrades!$T$15="Stellar Kinematics",POWER(Upgrades!$U$15,G193),1)*IF(Upgrades!$T$16="Stellar Kinematics",POWER(Upgrades!$U$16,H193),1)*IF(Upgrades!$T$17="Stellar Kinematics",POWER(Upgrades!$U$17,I193),1)*IF(Upgrades!$T$18="Stellar Kinematics",POWER(Upgrades!$U$18,J193),1)*IF(Upgrades!$T$19="Stellar Kinematics",POWER(Upgrades!$U$19,K193),1)*IF(Upgrades!$T$20="Stellar Kinematics",POWER(Upgrades!$U$20,L193),1)*IF(Upgrades!$T$21="Stellar Kinematics",POWER(Upgrades!$U$21,M193),1))*$F$6/AK193,0)</f>
        <v/>
      </c>
      <c r="AZ193" s="32">
        <f>IFERROR(Upgrades!$H$14*(POWER(Upgrades!$P$13,E193)*POWER(Upgrades!$P$14,F193)*POWER(Upgrades!$P$15,G193)*POWER(Upgrades!$P$16,H193)*POWER(Upgrades!$P$17,I193)*POWER(Upgrades!$P$18,J193)*POWER(Upgrades!$P$19,K193)*POWER(Upgrades!$P$20,L193)*POWER(Upgrades!$P$21,M193))*(IF(Upgrades!$T$13="Local Bubble",POWER(Upgrades!$U$13,E193),1)*IF(Upgrades!$T$15="Local Bubble",POWER(Upgrades!$U$15,G193),1)*IF(Upgrades!$T$16="Local Bubble",POWER(Upgrades!$U$16,H193),1)*IF(Upgrades!$T$17="Local Bubble",POWER(Upgrades!$U$17,I193),1)*IF(Upgrades!$T$18="Local Bubble",POWER(Upgrades!$U$18,J193),1)*IF(Upgrades!$T$19="Local Bubble",POWER(Upgrades!$U$19,K193),1)*IF(Upgrades!$T$20="Local Bubble",POWER(Upgrades!$U$20,L193),1)*IF(Upgrades!$T$21="Local Bubble",POWER(Upgrades!$U$21,M193),1))*$F$6/AL193,0)</f>
        <v/>
      </c>
      <c r="BA193" s="32">
        <f>IFERROR(Upgrades!$K$15*(POWER(Upgrades!$Q$13,E193)*POWER(Upgrades!$Q$14,F193)*POWER(Upgrades!$Q$15,G193)*POWER(Upgrades!$Q$16,H193)*POWER(Upgrades!$Q$17,I193)*POWER(Upgrades!$Q$18,J193)*POWER(Upgrades!$Q$19,K193)*POWER(Upgrades!$Q$20,L193)*POWER(Upgrades!$Q$21,M193))*(IF(Upgrades!$T$13="Microlensing",POWER(Upgrades!$U$13,E193),1)*IF(Upgrades!$T$14="Microlensing",POWER(Upgrades!$U$14,F193),1)*IF(Upgrades!$T$16="Microlensing",POWER(Upgrades!$U$16,H193),1)*IF(Upgrades!$T$17="Microlensing",POWER(Upgrades!$U$17,I193),1)*IF(Upgrades!$T$18="Microlensing",POWER(Upgrades!$U$18,J193),1)*IF(Upgrades!$T$19="Microlensing",POWER(Upgrades!$U$19,K193),1)*IF(Upgrades!$T$20="Microlensing",POWER(Upgrades!$U$20,L193),1)*IF(Upgrades!$T$21="Microlensing",POWER(Upgrades!$U$21,M193),1))*$G$6*(Parameters!$B$10/60*Parameters!$B$11+Q193)/AM193,0)</f>
        <v/>
      </c>
      <c r="BB193" s="32">
        <f>IFERROR((Upgrades!$N$16*(POWER(Upgrades!$R$13,E193)*POWER(Upgrades!$R$14,F193)*POWER(Upgrades!$R$15,G193)*POWER(Upgrades!$R$16,H193)*POWER(Upgrades!$R$17,I193)*POWER(Upgrades!$R$18,J193)*POWER(Upgrades!$R$19,K193)*POWER(Upgrades!$R$20,L193)*POWER(Upgrades!$R$21,M193))*(IF(Upgrades!$T$13="Roche Lobe Overflow",POWER(Upgrades!$U$13,E193),1)*IF(Upgrades!$T$14="Roche Lobe Overflow",POWER(Upgrades!$U$14,F193),1)*IF(Upgrades!$T$15="Roche Lobe Overflow",POWER(Upgrades!$U$15,G193),1)*IF(Upgrades!$T$17="Roche Lobe Overflow",POWER(Upgrades!$U$17,I193),1)*IF(Upgrades!$T$18="Roche Lobe Overflow",POWER(Upgrades!$U$18,J193),1)*IF(Upgrades!$T$19="Roche Lobe Overflow",POWER(Upgrades!$U$19,K193),1)*IF(Upgrades!$T$20="Roche Lobe Overflow",POWER(Upgrades!$U$20,L193),1)*IF(Upgrades!$T$21="Roche Lobe Overflow",POWER(Upgrades!$U$21,M193),1))*$H$6*O193+((IF(F193=0,0,(Upgrades!$G$14+F193*Upgrades!$H$14)*POWER(Upgrades!$I$14,F193)))*(IF(Upgrades!$T$13="Local Bubble",POWER(Upgrades!$U$13,E193),1)*IF(Upgrades!$T$15="Local Bubble",POWER(Upgrades!$U$15,G193),1)*IF(Upgrades!$T$16="Local Bubble",POWER(Upgrades!$U$16,H193),1)*IF(Upgrades!$T$17="Local Bubble",POWER(Upgrades!$U$17,I193),1)*IF(Upgrades!$T$18="Local Bubble",POWER(Upgrades!$U$18,J193),1)*IF(Upgrades!$T$19="Local Bubble",POWER(Upgrades!$U$19,K193),1)*IF(Upgrades!$T$20="Local Bubble",POWER(Upgrades!$U$20,L193),1)*IF(Upgrades!$T$21="Local Bubble",POWER(Upgrades!$U$21,M193),1))*POWER(Upgrades!$P$13,E193)*POWER(Upgrades!$P$14,F193)*POWER(Upgrades!$P$15,G193)*POWER(Upgrades!$P$16,H193)*POWER(Upgrades!$P$17,I193)*POWER(Upgrades!$P$18,J193)*POWER(Upgrades!$P$19,K193)*POWER(Upgrades!$P$20,L193)*POWER(Upgrades!$P$21,M193)*$F$6)*0.05)/AN193,0)</f>
        <v/>
      </c>
      <c r="BC193" s="32">
        <f>IFERROR((Upgrades!$H$17*(POWER(Upgrades!$P$13,E193)*POWER(Upgrades!$P$14,F193)*POWER(Upgrades!$P$15,G193)*POWER(Upgrades!$P$16,H193)*POWER(Upgrades!$P$17,I193)*POWER(Upgrades!$P$18,J193)*POWER(Upgrades!$P$19,K193)*POWER(Upgrades!$P$20,L193)*POWER(Upgrades!$P$21,M193))*(IF(Upgrades!$T$13="Brown Dwarf",POWER(Upgrades!$U$13,E193),1)*IF(Upgrades!$T$14="Brown Dwarf",POWER(Upgrades!$U$14,F193),1)*IF(Upgrades!$T$15="Brown Dwarf",POWER(Upgrades!$U$15,G193),1)*IF(Upgrades!$T$16="Brown Dwarf",POWER(Upgrades!$U$16,H193),1)*IF(Upgrades!$T$18="Brown Dwarf",POWER(Upgrades!$U$18,J193),1)*IF(Upgrades!$T$19="Brown Dwarf",POWER(Upgrades!$U$19,K193),1)*IF(Upgrades!$T$20="Brown Dwarf",POWER(Upgrades!$U$20,L193),1)*IF(Upgrades!$T$21="Brown Dwarf",POWER(Upgrades!$U$21,M193),1))*$F$6+(((IF(H193=0,0,(Upgrades!$M$16+H193*Upgrades!$N$16)*POWER(Upgrades!$O$16,H193)))*(IF(Upgrades!$T$13="Roche Lobe Overflow",POWER(Upgrades!$U$13,E193),1)*IF(Upgrades!$T$14="Roche Lobe Overflow",POWER(Upgrades!$U$14,F193),1)*IF(Upgrades!$T$15="Roche Lobe Overflow",POWER(Upgrades!$U$15,G193),1)*IF(Upgrades!$T$17="Roche Lobe Overflow",POWER(Upgrades!$U$17,I193),1)*IF(Upgrades!$T$18="Roche Lobe Overflow",POWER(Upgrades!$U$18,J193),1)*IF(Upgrades!$T$19="Roche Lobe Overflow",POWER(Upgrades!$U$19,K193),1)*IF(Upgrades!$T$20="Roche Lobe Overflow",POWER(Upgrades!$U$20,L193),1)*IF(Upgrades!$T$21="Roche Lobe Overflow",POWER(Upgrades!$U$21,M193),1))*POWER(Upgrades!$R$13,E193)*POWER(Upgrades!$R$14,F193)*POWER(Upgrades!$R$15,G193)*POWER(Upgrades!$R$16,H193)*POWER(Upgrades!$R$17,I193)*POWER(Upgrades!$R$18,J193)*POWER(Upgrades!$R$19,K193)*POWER(Upgrades!$R$20,L193)*POWER(Upgrades!$R$21,M193)*$H$6)*O193)*0.10)/AO193,0)</f>
        <v/>
      </c>
      <c r="BD193" s="32">
        <f>MAX(IF(J193&gt;0,0,IFERROR(0.5*((IF(G193=0,0,(Upgrades!$J$15+G193*Upgrades!$K$15)*POWER(Upgrades!$L$15,G193)))*(IF(Upgrades!$T$13="Microlensing",POWER(Upgrades!$U$13,E193),1)*IF(Upgrades!$T$14="Microlensing",POWER(Upgrades!$U$14,F193),1)*IF(Upgrades!$T$16="Microlensing",POWER(Upgrades!$U$16,H193),1)*IF(Upgrades!$T$17="Microlensing",POWER(Upgrades!$U$17,I193),1)*IF(Upgrades!$T$18="Microlensing",POWER(Upgrades!$U$18,J193),1)*IF(Upgrades!$T$19="Microlensing",POWER(Upgrades!$U$19,K193),1)*IF(Upgrades!$T$20="Microlensing",POWER(Upgrades!$U$20,L193),1)*IF(Upgrades!$T$21="Microlensing",POWER(Upgrades!$U$21,M193),1))*(POWER(Upgrades!$Q$13,E193)*POWER(Upgrades!$Q$14,F193)*POWER(Upgrades!$Q$15,G193)*POWER(Upgrades!$Q$16,H193)*POWER(Upgrades!$Q$17,I193)*POWER(Upgrades!$Q$18,J193)*POWER(Upgrades!$Q$19,K193)*POWER(Upgrades!$Q$20,L193)*POWER(Upgrades!$Q$21,M193))*$G$6*(Parameters!$B$10/60*Parameters!$B$11+Q193))/Upgrades!$C$18,0)),IF(K193&gt;0,0,IFERROR(0.30*P193/Upgrades!$C$19,0)),IF(L193&gt;0,0,IFERROR(0.0001/Upgrades!$C$20,0)),IF(M193&gt;0,0,IFERROR((6.0*(POWER(Upgrades!$P$13,E193)*POWER(Upgrades!$P$14,F193)*POWER(Upgrades!$P$15,G193)*POWER(Upgrades!$P$16,H193)*POWER(Upgrades!$P$17,I193)*POWER(Upgrades!$P$18,J193)*POWER(Upgrades!$P$19,K193)*POWER(Upgrades!$P$20,L193)*POWER(Upgrades!$P$21,M193))*$F$6+0.20*O193*(Parameters!$B$10/60*Parameters!$B$11+Q193))/Upgrades!$C$21,0)),IF(AND(ISNUMBER(AK193),AK193&gt;(C193+T193)),AY193,0),IF(AND(ISNUMBER(AL193),AL193&gt;(C193+T193)),AZ193,0),IF(AND(ISNUMBER(AM193),AM193&gt;(C193+T193)),BA193,0),IF(AND(ISNUMBER(AN193),AN193&gt;(C193+T193)),BB193,0),IF(AND(ISNUMBER(AO193),AO193&gt;(C193+T193)),BC193,0))</f>
        <v/>
      </c>
      <c r="BE193" s="29">
        <f>IF(AT193=1,"transition",IF(MIN(IF(AND(J193=0,ISNUMBER(AP193),AP193&lt;=(C193+T193)),AP193,9E15),IF(AND(K193=0,ISNUMBER(AQ193),AQ193&lt;=(C193+T193)),AQ193,9E15),IF(AND(L193=0,ISNUMBER(AR193),AR193&lt;=(C193+T193)),AR193,9E15),IF(AND(M193=0,ISNUMBER(AS193),AS193&lt;=(C193+T193)),AS193,9E15))&lt;9E15,IF(AND(AND(J193=0,ISNUMBER(AP193),AP193&lt;=(C193+T193)),AP193=MIN(IF(AND(J193=0,ISNUMBER(AP193),AP193&lt;=(C193+T193)),AP193,9E15),IF(AND(K193=0,ISNUMBER(AQ193),AQ193&lt;=(C193+T193)),AQ193,9E15),IF(AND(L193=0,ISNUMBER(AR193),AR193&lt;=(C193+T193)),AR193,9E15),IF(AND(M193=0,ISNUMBER(AS193),AS193&lt;=(C193+T193)),AS193,9E15))),"BiP",IF(AND(AND(K193=0,ISNUMBER(AQ193),AQ193&lt;=(C193+T193)),AQ193=MIN(IF(AND(J193=0,ISNUMBER(AP193),AP193&lt;=(C193+T193)),AP193,9E15),IF(AND(K193=0,ISNUMBER(AQ193),AQ193&lt;=(C193+T193)),AQ193,9E15),IF(AND(L193=0,ISNUMBER(AR193),AR193&lt;=(C193+T193)),AR193,9E15),IF(AND(M193=0,ISNUMBER(AS193),AS193&lt;=(C193+T193)),AS193,9E15))),"PV",IF(AND(AND(L193=0,ISNUMBER(AR193),AR193&lt;=(C193+T193)),AR193=MIN(IF(AND(J193=0,ISNUMBER(AP193),AP193&lt;=(C193+T193)),AP193,9E15),IF(AND(K193=0,ISNUMBER(AQ193),AQ193&lt;=(C193+T193)),AQ193,9E15),IF(AND(L193=0,ISNUMBER(AR193),AR193&lt;=(C193+T193)),AR193,9E15),IF(AND(M193=0,ISNUMBER(AS193),AS193&lt;=(C193+T193)),AS193,9E15))),"OC","MG"))),IF(AX193=TRUE,"",IF(MAX(IF(AND(NOT(AND(AU193=1,AT193&lt;&gt;1)),ISNUMBER(AK193),AK193&lt;=(C193+T193)),AY193,0),IF(AND(NOT(AND(AU193=1,AT193&lt;&gt;1)),ISNUMBER(AL193),AL193&lt;=(C193+T193)),AZ193,0),IF(AND(NOT(AND(AU193=1,AT193&lt;&gt;1)),ISNUMBER(AM193),AM193&lt;=(C193+T193)),BA193,0),IF(AND(NOT(AND(AU193=1,AT193&lt;&gt;1)),ISNUMBER(AN193),AN193&lt;=(C193+T193)),BB193,0),IF(AND(ISNUMBER(AO193),AO193&lt;=(C193+T193)),BC193,0))&lt;=0,"",IF(AND(IF(AND(NOT(AND(AU193=1,AT193&lt;&gt;1)),ISNUMBER(AK193),AK193&lt;=(C193+T193)),AY193,0)&gt;0,IF(AND(NOT(AND(AU193=1,AT193&lt;&gt;1)),ISNUMBER(AK193),AK193&lt;=(C193+T193)),AY193,0)=MAX(IF(AND(NOT(AND(AU193=1,AT193&lt;&gt;1)),ISNUMBER(AK193),AK193&lt;=(C193+T193)),AY193,0),IF(AND(NOT(AND(AU193=1,AT193&lt;&gt;1)),ISNUMBER(AL193),AL193&lt;=(C193+T193)),AZ193,0),IF(AND(NOT(AND(AU193=1,AT193&lt;&gt;1)),ISNUMBER(AM193),AM193&lt;=(C193+T193)),BA193,0),IF(AND(NOT(AND(AU193=1,AT193&lt;&gt;1)),ISNUMBER(AN193),AN193&lt;=(C193+T193)),BB193,0),IF(AND(ISNUMBER(AO193),AO193&lt;=(C193+T193)),BC193,0))),"SK",IF(AND(IF(AND(NOT(AND(AU193=1,AT193&lt;&gt;1)),ISNUMBER(AL193),AL193&lt;=(C193+T193)),AZ193,0)&gt;0,IF(AND(NOT(AND(AU193=1,AT193&lt;&gt;1)),ISNUMBER(AL193),AL193&lt;=(C193+T193)),AZ193,0)=MAX(IF(AND(NOT(AND(AU193=1,AT193&lt;&gt;1)),ISNUMBER(AK193),AK193&lt;=(C193+T193)),AY193,0),IF(AND(NOT(AND(AU193=1,AT193&lt;&gt;1)),ISNUMBER(AL193),AL193&lt;=(C193+T193)),AZ193,0),IF(AND(NOT(AND(AU193=1,AT193&lt;&gt;1)),ISNUMBER(AM193),AM193&lt;=(C193+T193)),BA193,0),IF(AND(NOT(AND(AU193=1,AT193&lt;&gt;1)),ISNUMBER(AN193),AN193&lt;=(C193+T193)),BB193,0),IF(AND(ISNUMBER(AO193),AO193&lt;=(C193+T193)),BC193,0))),"LB",IF(AND(IF(AND(NOT(AND(AU193=1,AT193&lt;&gt;1)),ISNUMBER(AM193),AM193&lt;=(C193+T193)),BA193,0)&gt;0,IF(AND(NOT(AND(AU193=1,AT193&lt;&gt;1)),ISNUMBER(AM193),AM193&lt;=(C193+T193)),BA193,0)=MAX(IF(AND(NOT(AND(AU193=1,AT193&lt;&gt;1)),ISNUMBER(AK193),AK193&lt;=(C193+T193)),AY193,0),IF(AND(NOT(AND(AU193=1,AT193&lt;&gt;1)),ISNUMBER(AL193),AL193&lt;=(C193+T193)),AZ193,0),IF(AND(NOT(AND(AU193=1,AT193&lt;&gt;1)),ISNUMBER(AM193),AM193&lt;=(C193+T193)),BA193,0),IF(AND(NOT(AND(AU193=1,AT193&lt;&gt;1)),ISNUMBER(AN193),AN193&lt;=(C193+T193)),BB193,0),IF(AND(ISNUMBER(AO193),AO193&lt;=(C193+T193)),BC193,0))),"ML",IF(AND(IF(AND(NOT(AND(AU193=1,AT193&lt;&gt;1)),ISNUMBER(AN193),AN193&lt;=(C193+T193)),BB193,0)&gt;0,IF(AND(NOT(AND(AU193=1,AT193&lt;&gt;1)),ISNUMBER(AN193),AN193&lt;=(C193+T193)),BB193,0)=MAX(IF(AND(NOT(AND(AU193=1,AT193&lt;&gt;1)),ISNUMBER(AK193),AK193&lt;=(C193+T193)),AY193,0),IF(AND(NOT(AND(AU193=1,AT193&lt;&gt;1)),ISNUMBER(AL193),AL193&lt;=(C193+T193)),AZ193,0),IF(AND(NOT(AND(AU193=1,AT193&lt;&gt;1)),ISNUMBER(AM193),AM193&lt;=(C193+T193)),BA193,0),IF(AND(NOT(AND(AU193=1,AT193&lt;&gt;1)),ISNUMBER(AN193),AN193&lt;=(C193+T193)),BB193,0),IF(AND(ISNUMBER(AO193),AO193&lt;=(C193+T193)),BC193,0))),"RLO","BD"))))))))</f>
        <v/>
      </c>
    </row>
    <row r="194">
      <c r="A194" s="26" t="n">
        <v>183</v>
      </c>
      <c r="B194" s="27">
        <f>A194*10/60</f>
        <v/>
      </c>
      <c r="C194" s="22">
        <f>X193</f>
        <v/>
      </c>
      <c r="D194" s="27">
        <f>D193+W193</f>
        <v/>
      </c>
      <c r="E194" s="26">
        <f>E193+IF(U193="SK",1,0)</f>
        <v/>
      </c>
      <c r="F194" s="26">
        <f>F193+IF(U193="LB",1,0)</f>
        <v/>
      </c>
      <c r="G194" s="26">
        <f>G193+IF(U193="ML",1,0)</f>
        <v/>
      </c>
      <c r="H194" s="26">
        <f>H193+IF(U193="RLO",1,0)</f>
        <v/>
      </c>
      <c r="I194" s="26">
        <f>I193+IF(U193="BD",1,0)</f>
        <v/>
      </c>
      <c r="J194" s="26">
        <f>MAX(J193,IF(U193="BiP",1,0))</f>
        <v/>
      </c>
      <c r="K194" s="26">
        <f>MAX(K193,IF(U193="PV",1,0))</f>
        <v/>
      </c>
      <c r="L194" s="26">
        <f>MAX(L193,IF(U193="OC",1,0))</f>
        <v/>
      </c>
      <c r="M194" s="26">
        <f>MAX(M193,IF(U193="MG",1,0))</f>
        <v/>
      </c>
      <c r="N194" s="26">
        <f>MAX(N193,IF(U193="transition",1,0))</f>
        <v/>
      </c>
      <c r="O194" s="28">
        <f>(Parameters!$B$9+(IF(E194=0,0,(Upgrades!$J$13+E194*Upgrades!$K$13)*POWER(Upgrades!$L$13,E194)))*(IF(Upgrades!$T$14="Stellar Kinematics",POWER(Upgrades!$U$14,F194),1)*IF(Upgrades!$T$15="Stellar Kinematics",POWER(Upgrades!$U$15,G194),1)*IF(Upgrades!$T$16="Stellar Kinematics",POWER(Upgrades!$U$16,H194),1)*IF(Upgrades!$T$17="Stellar Kinematics",POWER(Upgrades!$U$17,I194),1)*IF(Upgrades!$T$18="Stellar Kinematics",POWER(Upgrades!$U$18,J194),1)*IF(Upgrades!$T$19="Stellar Kinematics",POWER(Upgrades!$U$19,K194),1)*IF(Upgrades!$T$20="Stellar Kinematics",POWER(Upgrades!$U$20,L194),1)*IF(Upgrades!$T$21="Stellar Kinematics",POWER(Upgrades!$U$21,M194),1))+(IF(F194=0,0,(Upgrades!$J$14+F194*Upgrades!$K$14)*POWER(Upgrades!$L$14,F194)))*(IF(Upgrades!$T$13="Local Bubble",POWER(Upgrades!$U$13,E194),1)*IF(Upgrades!$T$15="Local Bubble",POWER(Upgrades!$U$15,G194),1)*IF(Upgrades!$T$16="Local Bubble",POWER(Upgrades!$U$16,H194),1)*IF(Upgrades!$T$17="Local Bubble",POWER(Upgrades!$U$17,I194),1)*IF(Upgrades!$T$18="Local Bubble",POWER(Upgrades!$U$18,J194),1)*IF(Upgrades!$T$19="Local Bubble",POWER(Upgrades!$U$19,K194),1)*IF(Upgrades!$T$20="Local Bubble",POWER(Upgrades!$U$20,L194),1)*IF(Upgrades!$T$21="Local Bubble",POWER(Upgrades!$U$21,M194),1))+(IF(G194=0,0,(Upgrades!$J$15+G194*Upgrades!$K$15)*POWER(Upgrades!$L$15,G194)))*(IF(Upgrades!$T$13="Microlensing",POWER(Upgrades!$U$13,E194),1)*IF(Upgrades!$T$14="Microlensing",POWER(Upgrades!$U$14,F194),1)*IF(Upgrades!$T$16="Microlensing",POWER(Upgrades!$U$16,H194),1)*IF(Upgrades!$T$17="Microlensing",POWER(Upgrades!$U$17,I194),1)*IF(Upgrades!$T$18="Microlensing",POWER(Upgrades!$U$18,J194),1)*IF(Upgrades!$T$19="Microlensing",POWER(Upgrades!$U$19,K194),1)*IF(Upgrades!$T$20="Microlensing",POWER(Upgrades!$U$20,L194),1)*IF(Upgrades!$T$21="Microlensing",POWER(Upgrades!$U$21,M194),1))+(IF(H194=0,0,(Upgrades!$J$16+H194*Upgrades!$K$16)*POWER(Upgrades!$L$16,H194)))*(IF(Upgrades!$T$13="Roche Lobe Overflow",POWER(Upgrades!$U$13,E194),1)*IF(Upgrades!$T$14="Roche Lobe Overflow",POWER(Upgrades!$U$14,F194),1)*IF(Upgrades!$T$15="Roche Lobe Overflow",POWER(Upgrades!$U$15,G194),1)*IF(Upgrades!$T$17="Roche Lobe Overflow",POWER(Upgrades!$U$17,I194),1)*IF(Upgrades!$T$18="Roche Lobe Overflow",POWER(Upgrades!$U$18,J194),1)*IF(Upgrades!$T$19="Roche Lobe Overflow",POWER(Upgrades!$U$19,K194),1)*IF(Upgrades!$T$20="Roche Lobe Overflow",POWER(Upgrades!$U$20,L194),1)*IF(Upgrades!$T$21="Roche Lobe Overflow",POWER(Upgrades!$U$21,M194),1))+(IF(I194=0,0,(Upgrades!$J$17+I194*Upgrades!$K$17)*POWER(Upgrades!$L$17,I194)))*(IF(Upgrades!$T$13="Brown Dwarf",POWER(Upgrades!$U$13,E194),1)*IF(Upgrades!$T$14="Brown Dwarf",POWER(Upgrades!$U$14,F194),1)*IF(Upgrades!$T$15="Brown Dwarf",POWER(Upgrades!$U$15,G194),1)*IF(Upgrades!$T$16="Brown Dwarf",POWER(Upgrades!$U$16,H194),1)*IF(Upgrades!$T$18="Brown Dwarf",POWER(Upgrades!$U$18,J194),1)*IF(Upgrades!$T$19="Brown Dwarf",POWER(Upgrades!$U$19,K194),1)*IF(Upgrades!$T$20="Brown Dwarf",POWER(Upgrades!$U$20,L194),1)*IF(Upgrades!$T$21="Brown Dwarf",POWER(Upgrades!$U$21,M194),1))+(IF(J194=0,0,(Upgrades!$J$18+J194*Upgrades!$K$18)*POWER(Upgrades!$L$18,J194)))*(IF(Upgrades!$T$13="Binary Partner",POWER(Upgrades!$U$13,E194),1)*IF(Upgrades!$T$14="Binary Partner",POWER(Upgrades!$U$14,F194),1)*IF(Upgrades!$T$15="Binary Partner",POWER(Upgrades!$U$15,G194),1)*IF(Upgrades!$T$16="Binary Partner",POWER(Upgrades!$U$16,H194),1)*IF(Upgrades!$T$17="Binary Partner",POWER(Upgrades!$U$17,I194),1)*IF(Upgrades!$T$19="Binary Partner",POWER(Upgrades!$U$19,K194),1)*IF(Upgrades!$T$20="Binary Partner",POWER(Upgrades!$U$20,L194),1)*IF(Upgrades!$T$21="Binary Partner",POWER(Upgrades!$U$21,M194),1))+(IF(K194=0,0,(Upgrades!$J$19+K194*Upgrades!$K$19)*POWER(Upgrades!$L$19,K194)))*(IF(Upgrades!$T$13="Peculiar Velocity",POWER(Upgrades!$U$13,E194),1)*IF(Upgrades!$T$14="Peculiar Velocity",POWER(Upgrades!$U$14,F194),1)*IF(Upgrades!$T$15="Peculiar Velocity",POWER(Upgrades!$U$15,G194),1)*IF(Upgrades!$T$16="Peculiar Velocity",POWER(Upgrades!$U$16,H194),1)*IF(Upgrades!$T$17="Peculiar Velocity",POWER(Upgrades!$U$17,I194),1)*IF(Upgrades!$T$18="Peculiar Velocity",POWER(Upgrades!$U$18,J194),1)*IF(Upgrades!$T$20="Peculiar Velocity",POWER(Upgrades!$U$20,L194),1)*IF(Upgrades!$T$21="Peculiar Velocity",POWER(Upgrades!$U$21,M194),1))+(IF(L194=0,0,(Upgrades!$J$20+L194*Upgrades!$K$20)*POWER(Upgrades!$L$20,L194)))*(IF(Upgrades!$T$13="Open Cluster",POWER(Upgrades!$U$13,E194),1)*IF(Upgrades!$T$14="Open Cluster",POWER(Upgrades!$U$14,F194),1)*IF(Upgrades!$T$15="Open Cluster",POWER(Upgrades!$U$15,G194),1)*IF(Upgrades!$T$16="Open Cluster",POWER(Upgrades!$U$16,H194),1)*IF(Upgrades!$T$17="Open Cluster",POWER(Upgrades!$U$17,I194),1)*IF(Upgrades!$T$18="Open Cluster",POWER(Upgrades!$U$18,J194),1)*IF(Upgrades!$T$19="Open Cluster",POWER(Upgrades!$U$19,K194),1)*IF(Upgrades!$T$21="Open Cluster",POWER(Upgrades!$U$21,M194),1))+(IF(M194=0,0,(Upgrades!$J$21+M194*Upgrades!$K$21)*POWER(Upgrades!$L$21,M194)))*(IF(Upgrades!$T$13="Moving Group",POWER(Upgrades!$U$13,E194),1)*IF(Upgrades!$T$14="Moving Group",POWER(Upgrades!$U$14,F194),1)*IF(Upgrades!$T$15="Moving Group",POWER(Upgrades!$U$15,G194),1)*IF(Upgrades!$T$16="Moving Group",POWER(Upgrades!$U$16,H194),1)*IF(Upgrades!$T$17="Moving Group",POWER(Upgrades!$U$17,I194),1)*IF(Upgrades!$T$18="Moving Group",POWER(Upgrades!$U$18,J194),1)*IF(Upgrades!$T$19="Moving Group",POWER(Upgrades!$U$19,K194),1)*IF(Upgrades!$T$20="Moving Group",POWER(Upgrades!$U$20,L194),1)))*POWER(Upgrades!$Q$13,E194)*POWER(Upgrades!$Q$14,F194)*POWER(Upgrades!$Q$15,G194)*POWER(Upgrades!$Q$16,H194)*POWER(Upgrades!$Q$17,I194)*POWER(Upgrades!$Q$18,J194)*POWER(Upgrades!$Q$19,K194)*POWER(Upgrades!$Q$20,L194)*POWER(Upgrades!$Q$21,M194)*$G$6+$D$6</f>
        <v/>
      </c>
      <c r="P194" s="28">
        <f>((IF(E194=0,0,(Upgrades!$G$13+E194*Upgrades!$H$13)*POWER(Upgrades!$I$13,E194)))*(IF(Upgrades!$T$14="Stellar Kinematics",POWER(Upgrades!$U$14,F194),1)*IF(Upgrades!$T$15="Stellar Kinematics",POWER(Upgrades!$U$15,G194),1)*IF(Upgrades!$T$16="Stellar Kinematics",POWER(Upgrades!$U$16,H194),1)*IF(Upgrades!$T$17="Stellar Kinematics",POWER(Upgrades!$U$17,I194),1)*IF(Upgrades!$T$18="Stellar Kinematics",POWER(Upgrades!$U$18,J194),1)*IF(Upgrades!$T$19="Stellar Kinematics",POWER(Upgrades!$U$19,K194),1)*IF(Upgrades!$T$20="Stellar Kinematics",POWER(Upgrades!$U$20,L194),1)*IF(Upgrades!$T$21="Stellar Kinematics",POWER(Upgrades!$U$21,M194),1))+(IF(F194=0,0,(Upgrades!$G$14+F194*Upgrades!$H$14)*POWER(Upgrades!$I$14,F194)))*(IF(Upgrades!$T$13="Local Bubble",POWER(Upgrades!$U$13,E194),1)*IF(Upgrades!$T$15="Local Bubble",POWER(Upgrades!$U$15,G194),1)*IF(Upgrades!$T$16="Local Bubble",POWER(Upgrades!$U$16,H194),1)*IF(Upgrades!$T$17="Local Bubble",POWER(Upgrades!$U$17,I194),1)*IF(Upgrades!$T$18="Local Bubble",POWER(Upgrades!$U$18,J194),1)*IF(Upgrades!$T$19="Local Bubble",POWER(Upgrades!$U$19,K194),1)*IF(Upgrades!$T$20="Local Bubble",POWER(Upgrades!$U$20,L194),1)*IF(Upgrades!$T$21="Local Bubble",POWER(Upgrades!$U$21,M194),1))+(IF(G194=0,0,(Upgrades!$G$15+G194*Upgrades!$H$15)*POWER(Upgrades!$I$15,G194)))*(IF(Upgrades!$T$13="Microlensing",POWER(Upgrades!$U$13,E194),1)*IF(Upgrades!$T$14="Microlensing",POWER(Upgrades!$U$14,F194),1)*IF(Upgrades!$T$16="Microlensing",POWER(Upgrades!$U$16,H194),1)*IF(Upgrades!$T$17="Microlensing",POWER(Upgrades!$U$17,I194),1)*IF(Upgrades!$T$18="Microlensing",POWER(Upgrades!$U$18,J194),1)*IF(Upgrades!$T$19="Microlensing",POWER(Upgrades!$U$19,K194),1)*IF(Upgrades!$T$20="Microlensing",POWER(Upgrades!$U$20,L194),1)*IF(Upgrades!$T$21="Microlensing",POWER(Upgrades!$U$21,M194),1))+(IF(H194=0,0,(Upgrades!$G$16+H194*Upgrades!$H$16)*POWER(Upgrades!$I$16,H194)))*(IF(Upgrades!$T$13="Roche Lobe Overflow",POWER(Upgrades!$U$13,E194),1)*IF(Upgrades!$T$14="Roche Lobe Overflow",POWER(Upgrades!$U$14,F194),1)*IF(Upgrades!$T$15="Roche Lobe Overflow",POWER(Upgrades!$U$15,G194),1)*IF(Upgrades!$T$17="Roche Lobe Overflow",POWER(Upgrades!$U$17,I194),1)*IF(Upgrades!$T$18="Roche Lobe Overflow",POWER(Upgrades!$U$18,J194),1)*IF(Upgrades!$T$19="Roche Lobe Overflow",POWER(Upgrades!$U$19,K194),1)*IF(Upgrades!$T$20="Roche Lobe Overflow",POWER(Upgrades!$U$20,L194),1)*IF(Upgrades!$T$21="Roche Lobe Overflow",POWER(Upgrades!$U$21,M194),1))+(IF(I194=0,0,(Upgrades!$G$17+I194*Upgrades!$H$17)*POWER(Upgrades!$I$17,I194)))*(IF(Upgrades!$T$13="Brown Dwarf",POWER(Upgrades!$U$13,E194),1)*IF(Upgrades!$T$14="Brown Dwarf",POWER(Upgrades!$U$14,F194),1)*IF(Upgrades!$T$15="Brown Dwarf",POWER(Upgrades!$U$15,G194),1)*IF(Upgrades!$T$16="Brown Dwarf",POWER(Upgrades!$U$16,H194),1)*IF(Upgrades!$T$18="Brown Dwarf",POWER(Upgrades!$U$18,J194),1)*IF(Upgrades!$T$19="Brown Dwarf",POWER(Upgrades!$U$19,K194),1)*IF(Upgrades!$T$20="Brown Dwarf",POWER(Upgrades!$U$20,L194),1)*IF(Upgrades!$T$21="Brown Dwarf",POWER(Upgrades!$U$21,M194),1))+(IF(J194=0,0,(Upgrades!$G$18+J194*Upgrades!$H$18)*POWER(Upgrades!$I$18,J194)))*(IF(Upgrades!$T$13="Binary Partner",POWER(Upgrades!$U$13,E194),1)*IF(Upgrades!$T$14="Binary Partner",POWER(Upgrades!$U$14,F194),1)*IF(Upgrades!$T$15="Binary Partner",POWER(Upgrades!$U$15,G194),1)*IF(Upgrades!$T$16="Binary Partner",POWER(Upgrades!$U$16,H194),1)*IF(Upgrades!$T$17="Binary Partner",POWER(Upgrades!$U$17,I194),1)*IF(Upgrades!$T$19="Binary Partner",POWER(Upgrades!$U$19,K194),1)*IF(Upgrades!$T$20="Binary Partner",POWER(Upgrades!$U$20,L194),1)*IF(Upgrades!$T$21="Binary Partner",POWER(Upgrades!$U$21,M194),1))+(IF(K194=0,0,(Upgrades!$G$19+K194*Upgrades!$H$19)*POWER(Upgrades!$I$19,K194)))*(IF(Upgrades!$T$13="Peculiar Velocity",POWER(Upgrades!$U$13,E194),1)*IF(Upgrades!$T$14="Peculiar Velocity",POWER(Upgrades!$U$14,F194),1)*IF(Upgrades!$T$15="Peculiar Velocity",POWER(Upgrades!$U$15,G194),1)*IF(Upgrades!$T$16="Peculiar Velocity",POWER(Upgrades!$U$16,H194),1)*IF(Upgrades!$T$17="Peculiar Velocity",POWER(Upgrades!$U$17,I194),1)*IF(Upgrades!$T$18="Peculiar Velocity",POWER(Upgrades!$U$18,J194),1)*IF(Upgrades!$T$20="Peculiar Velocity",POWER(Upgrades!$U$20,L194),1)*IF(Upgrades!$T$21="Peculiar Velocity",POWER(Upgrades!$U$21,M194),1))+(IF(L194=0,0,(Upgrades!$G$20+L194*Upgrades!$H$20)*POWER(Upgrades!$I$20,L194)))*(IF(Upgrades!$T$13="Open Cluster",POWER(Upgrades!$U$13,E194),1)*IF(Upgrades!$T$14="Open Cluster",POWER(Upgrades!$U$14,F194),1)*IF(Upgrades!$T$15="Open Cluster",POWER(Upgrades!$U$15,G194),1)*IF(Upgrades!$T$16="Open Cluster",POWER(Upgrades!$U$16,H194),1)*IF(Upgrades!$T$17="Open Cluster",POWER(Upgrades!$U$17,I194),1)*IF(Upgrades!$T$18="Open Cluster",POWER(Upgrades!$U$18,J194),1)*IF(Upgrades!$T$19="Open Cluster",POWER(Upgrades!$U$19,K194),1)*IF(Upgrades!$T$21="Open Cluster",POWER(Upgrades!$U$21,M194),1))+(IF(M194=0,0,(Upgrades!$G$21+M194*Upgrades!$H$21)*POWER(Upgrades!$I$21,M194)))*(IF(Upgrades!$T$13="Moving Group",POWER(Upgrades!$U$13,E194),1)*IF(Upgrades!$T$14="Moving Group",POWER(Upgrades!$U$14,F194),1)*IF(Upgrades!$T$15="Moving Group",POWER(Upgrades!$U$15,G194),1)*IF(Upgrades!$T$16="Moving Group",POWER(Upgrades!$U$16,H194),1)*IF(Upgrades!$T$17="Moving Group",POWER(Upgrades!$U$17,I194),1)*IF(Upgrades!$T$18="Moving Group",POWER(Upgrades!$U$18,J194),1)*IF(Upgrades!$T$19="Moving Group",POWER(Upgrades!$U$19,K194),1)*IF(Upgrades!$T$20="Moving Group",POWER(Upgrades!$U$20,L194),1)))*POWER(Upgrades!$P$13,E194)*POWER(Upgrades!$P$14,F194)*POWER(Upgrades!$P$15,G194)*POWER(Upgrades!$P$16,H194)*POWER(Upgrades!$P$17,I194)*POWER(Upgrades!$P$18,J194)*POWER(Upgrades!$P$19,K194)*POWER(Upgrades!$P$20,L194)*POWER(Upgrades!$P$21,M194)*$F$6+$C$6</f>
        <v/>
      </c>
      <c r="Q194" s="28">
        <f>((IF(E194=0,0,(Upgrades!$M$13+E194*Upgrades!$N$13)*POWER(Upgrades!$O$13,E194)))*(IF(Upgrades!$T$14="Stellar Kinematics",POWER(Upgrades!$U$14,F194),1)*IF(Upgrades!$T$15="Stellar Kinematics",POWER(Upgrades!$U$15,G194),1)*IF(Upgrades!$T$16="Stellar Kinematics",POWER(Upgrades!$U$16,H194),1)*IF(Upgrades!$T$17="Stellar Kinematics",POWER(Upgrades!$U$17,I194),1)*IF(Upgrades!$T$18="Stellar Kinematics",POWER(Upgrades!$U$18,J194),1)*IF(Upgrades!$T$19="Stellar Kinematics",POWER(Upgrades!$U$19,K194),1)*IF(Upgrades!$T$20="Stellar Kinematics",POWER(Upgrades!$U$20,L194),1)*IF(Upgrades!$T$21="Stellar Kinematics",POWER(Upgrades!$U$21,M194),1))+(IF(F194=0,0,(Upgrades!$M$14+F194*Upgrades!$N$14)*POWER(Upgrades!$O$14,F194)))*(IF(Upgrades!$T$13="Local Bubble",POWER(Upgrades!$U$13,E194),1)*IF(Upgrades!$T$15="Local Bubble",POWER(Upgrades!$U$15,G194),1)*IF(Upgrades!$T$16="Local Bubble",POWER(Upgrades!$U$16,H194),1)*IF(Upgrades!$T$17="Local Bubble",POWER(Upgrades!$U$17,I194),1)*IF(Upgrades!$T$18="Local Bubble",POWER(Upgrades!$U$18,J194),1)*IF(Upgrades!$T$19="Local Bubble",POWER(Upgrades!$U$19,K194),1)*IF(Upgrades!$T$20="Local Bubble",POWER(Upgrades!$U$20,L194),1)*IF(Upgrades!$T$21="Local Bubble",POWER(Upgrades!$U$21,M194),1))+(IF(G194=0,0,(Upgrades!$M$15+G194*Upgrades!$N$15)*POWER(Upgrades!$O$15,G194)))*(IF(Upgrades!$T$13="Microlensing",POWER(Upgrades!$U$13,E194),1)*IF(Upgrades!$T$14="Microlensing",POWER(Upgrades!$U$14,F194),1)*IF(Upgrades!$T$16="Microlensing",POWER(Upgrades!$U$16,H194),1)*IF(Upgrades!$T$17="Microlensing",POWER(Upgrades!$U$17,I194),1)*IF(Upgrades!$T$18="Microlensing",POWER(Upgrades!$U$18,J194),1)*IF(Upgrades!$T$19="Microlensing",POWER(Upgrades!$U$19,K194),1)*IF(Upgrades!$T$20="Microlensing",POWER(Upgrades!$U$20,L194),1)*IF(Upgrades!$T$21="Microlensing",POWER(Upgrades!$U$21,M194),1))+(IF(H194=0,0,(Upgrades!$M$16+H194*Upgrades!$N$16)*POWER(Upgrades!$O$16,H194)))*(IF(Upgrades!$T$13="Roche Lobe Overflow",POWER(Upgrades!$U$13,E194),1)*IF(Upgrades!$T$14="Roche Lobe Overflow",POWER(Upgrades!$U$14,F194),1)*IF(Upgrades!$T$15="Roche Lobe Overflow",POWER(Upgrades!$U$15,G194),1)*IF(Upgrades!$T$17="Roche Lobe Overflow",POWER(Upgrades!$U$17,I194),1)*IF(Upgrades!$T$18="Roche Lobe Overflow",POWER(Upgrades!$U$18,J194),1)*IF(Upgrades!$T$19="Roche Lobe Overflow",POWER(Upgrades!$U$19,K194),1)*IF(Upgrades!$T$20="Roche Lobe Overflow",POWER(Upgrades!$U$20,L194),1)*IF(Upgrades!$T$21="Roche Lobe Overflow",POWER(Upgrades!$U$21,M194),1))+(IF(I194=0,0,(Upgrades!$M$17+I194*Upgrades!$N$17)*POWER(Upgrades!$O$17,I194)))*(IF(Upgrades!$T$13="Brown Dwarf",POWER(Upgrades!$U$13,E194),1)*IF(Upgrades!$T$14="Brown Dwarf",POWER(Upgrades!$U$14,F194),1)*IF(Upgrades!$T$15="Brown Dwarf",POWER(Upgrades!$U$15,G194),1)*IF(Upgrades!$T$16="Brown Dwarf",POWER(Upgrades!$U$16,H194),1)*IF(Upgrades!$T$18="Brown Dwarf",POWER(Upgrades!$U$18,J194),1)*IF(Upgrades!$T$19="Brown Dwarf",POWER(Upgrades!$U$19,K194),1)*IF(Upgrades!$T$20="Brown Dwarf",POWER(Upgrades!$U$20,L194),1)*IF(Upgrades!$T$21="Brown Dwarf",POWER(Upgrades!$U$21,M194),1))+(IF(J194=0,0,(Upgrades!$M$18+J194*Upgrades!$N$18)*POWER(Upgrades!$O$18,J194)))*(IF(Upgrades!$T$13="Binary Partner",POWER(Upgrades!$U$13,E194),1)*IF(Upgrades!$T$14="Binary Partner",POWER(Upgrades!$U$14,F194),1)*IF(Upgrades!$T$15="Binary Partner",POWER(Upgrades!$U$15,G194),1)*IF(Upgrades!$T$16="Binary Partner",POWER(Upgrades!$U$16,H194),1)*IF(Upgrades!$T$17="Binary Partner",POWER(Upgrades!$U$17,I194),1)*IF(Upgrades!$T$19="Binary Partner",POWER(Upgrades!$U$19,K194),1)*IF(Upgrades!$T$20="Binary Partner",POWER(Upgrades!$U$20,L194),1)*IF(Upgrades!$T$21="Binary Partner",POWER(Upgrades!$U$21,M194),1))+(IF(K194=0,0,(Upgrades!$M$19+K194*Upgrades!$N$19)*POWER(Upgrades!$O$19,K194)))*(IF(Upgrades!$T$13="Peculiar Velocity",POWER(Upgrades!$U$13,E194),1)*IF(Upgrades!$T$14="Peculiar Velocity",POWER(Upgrades!$U$14,F194),1)*IF(Upgrades!$T$15="Peculiar Velocity",POWER(Upgrades!$U$15,G194),1)*IF(Upgrades!$T$16="Peculiar Velocity",POWER(Upgrades!$U$16,H194),1)*IF(Upgrades!$T$17="Peculiar Velocity",POWER(Upgrades!$U$17,I194),1)*IF(Upgrades!$T$18="Peculiar Velocity",POWER(Upgrades!$U$18,J194),1)*IF(Upgrades!$T$20="Peculiar Velocity",POWER(Upgrades!$U$20,L194),1)*IF(Upgrades!$T$21="Peculiar Velocity",POWER(Upgrades!$U$21,M194),1))+(IF(L194=0,0,(Upgrades!$M$20+L194*Upgrades!$N$20)*POWER(Upgrades!$O$20,L194)))*(IF(Upgrades!$T$13="Open Cluster",POWER(Upgrades!$U$13,E194),1)*IF(Upgrades!$T$14="Open Cluster",POWER(Upgrades!$U$14,F194),1)*IF(Upgrades!$T$15="Open Cluster",POWER(Upgrades!$U$15,G194),1)*IF(Upgrades!$T$16="Open Cluster",POWER(Upgrades!$U$16,H194),1)*IF(Upgrades!$T$17="Open Cluster",POWER(Upgrades!$U$17,I194),1)*IF(Upgrades!$T$18="Open Cluster",POWER(Upgrades!$U$18,J194),1)*IF(Upgrades!$T$19="Open Cluster",POWER(Upgrades!$U$19,K194),1)*IF(Upgrades!$T$21="Open Cluster",POWER(Upgrades!$U$21,M194),1))+(IF(M194=0,0,(Upgrades!$M$21+M194*Upgrades!$N$21)*POWER(Upgrades!$O$21,M194)))*(IF(Upgrades!$T$13="Moving Group",POWER(Upgrades!$U$13,E194),1)*IF(Upgrades!$T$14="Moving Group",POWER(Upgrades!$U$14,F194),1)*IF(Upgrades!$T$15="Moving Group",POWER(Upgrades!$U$15,G194),1)*IF(Upgrades!$T$16="Moving Group",POWER(Upgrades!$U$16,H194),1)*IF(Upgrades!$T$17="Moving Group",POWER(Upgrades!$U$17,I194),1)*IF(Upgrades!$T$18="Moving Group",POWER(Upgrades!$U$18,J194),1)*IF(Upgrades!$T$19="Moving Group",POWER(Upgrades!$U$19,K194),1)*IF(Upgrades!$T$20="Moving Group",POWER(Upgrades!$U$20,L194),1)))*POWER(Upgrades!$R$13,E194)*POWER(Upgrades!$R$14,F194)*POWER(Upgrades!$R$15,G194)*POWER(Upgrades!$R$16,H194)*POWER(Upgrades!$R$17,I194)*POWER(Upgrades!$R$18,J194)*POWER(Upgrades!$R$19,K194)*POWER(Upgrades!$R$20,L194)*POWER(Upgrades!$R$21,M194)*$H$6+$E$6</f>
        <v/>
      </c>
      <c r="R194" s="27">
        <f>IF(N194=1,0,O194*Parameters!$B$10/60*Parameters!$B$11*10)</f>
        <v/>
      </c>
      <c r="S194" s="27">
        <f>IF(N194=1,0,Q194*O194*10)</f>
        <v/>
      </c>
      <c r="T194" s="27">
        <f>IF(N194=1,0,R194+S194+P194*10)</f>
        <v/>
      </c>
      <c r="U194" s="33">
        <f>BE194</f>
        <v/>
      </c>
      <c r="V194" s="22">
        <f>IF(U194="",0,IF(U194="transition",0,IF(U194="SK",AK194,IF(U194="LB",AL194,IF(U194="ML",AM194,IF(U194="RLO",AN194,IF(U194="BD",AO194,IF(U194="BiP",AP194,IF(U194="PV",AQ194,IF(U194="OC",AR194,IF(U194="MG",AS194,0))))))))))</f>
        <v/>
      </c>
      <c r="W194" s="27">
        <f>IF(U194="BiP",Upgrades!$F$18,IF(U194="PV",Upgrades!$F$19,IF(U194="OC",Upgrades!$F$20,IF(U194="MG",Upgrades!$F$21,IF(U194="transition",-Parameters!$B$18*Parameters!$B$19,0)))))</f>
        <v/>
      </c>
      <c r="X194" s="22">
        <f>C194+T194-V194</f>
        <v/>
      </c>
      <c r="Y194" s="30">
        <f>O194*Parameters!$B$10/60*Parameters!$B$11+Q194*O194+P194</f>
        <v/>
      </c>
      <c r="Z194" s="34">
        <f>IF(U194="transition","→ Tier 3 (Galactic Arm)",IF(U194="MG","Moving Group — pocket drifts together",IF(U194="OC","Open Cluster acquired",IF(U194="PV","Peculiar Velocity — passive multiplier active",IF(U194="BiP","Binary Partner — pair bond formed",IF(AND(AU194=1,N194=0,AT194&lt;&gt;1),"Cohesion ready (waiting on completionists)","")))))) </f>
        <v/>
      </c>
      <c r="AA194" s="27">
        <f>(IF(E194=0,0,(Upgrades!$G$13+E194*Upgrades!$H$13)*POWER(Upgrades!$I$13,E194)))*(IF(Upgrades!$T$14="Stellar Kinematics",POWER(Upgrades!$U$14,F194),1)*IF(Upgrades!$T$15="Stellar Kinematics",POWER(Upgrades!$U$15,G194),1)*IF(Upgrades!$T$16="Stellar Kinematics",POWER(Upgrades!$U$16,H194),1)*IF(Upgrades!$T$17="Stellar Kinematics",POWER(Upgrades!$U$17,I194),1)*IF(Upgrades!$T$18="Stellar Kinematics",POWER(Upgrades!$U$18,J194),1)*IF(Upgrades!$T$19="Stellar Kinematics",POWER(Upgrades!$U$19,K194),1)*IF(Upgrades!$T$20="Stellar Kinematics",POWER(Upgrades!$U$20,L194),1)*IF(Upgrades!$T$21="Stellar Kinematics",POWER(Upgrades!$U$21,M194),1))*POWER(Upgrades!$P$13,E194)*POWER(Upgrades!$P$14,F194)*POWER(Upgrades!$P$15,G194)*POWER(Upgrades!$P$16,H194)*POWER(Upgrades!$P$17,I194)*POWER(Upgrades!$P$18,J194)*POWER(Upgrades!$P$19,K194)*POWER(Upgrades!$P$20,L194)*POWER(Upgrades!$P$21,M194)*$F$6*60</f>
        <v/>
      </c>
      <c r="AB194" s="27">
        <f>(IF(F194=0,0,(Upgrades!$G$14+F194*Upgrades!$H$14)*POWER(Upgrades!$I$14,F194)))*(IF(Upgrades!$T$13="Local Bubble",POWER(Upgrades!$U$13,E194),1)*IF(Upgrades!$T$15="Local Bubble",POWER(Upgrades!$U$15,G194),1)*IF(Upgrades!$T$16="Local Bubble",POWER(Upgrades!$U$16,H194),1)*IF(Upgrades!$T$17="Local Bubble",POWER(Upgrades!$U$17,I194),1)*IF(Upgrades!$T$18="Local Bubble",POWER(Upgrades!$U$18,J194),1)*IF(Upgrades!$T$19="Local Bubble",POWER(Upgrades!$U$19,K194),1)*IF(Upgrades!$T$20="Local Bubble",POWER(Upgrades!$U$20,L194),1)*IF(Upgrades!$T$21="Local Bubble",POWER(Upgrades!$U$21,M194),1))*POWER(Upgrades!$P$13,E194)*POWER(Upgrades!$P$14,F194)*POWER(Upgrades!$P$15,G194)*POWER(Upgrades!$P$16,H194)*POWER(Upgrades!$P$17,I194)*POWER(Upgrades!$P$18,J194)*POWER(Upgrades!$P$19,K194)*POWER(Upgrades!$P$20,L194)*POWER(Upgrades!$P$21,M194)*$F$6*60</f>
        <v/>
      </c>
      <c r="AC194" s="27">
        <f>(IF(G194=0,0,(Upgrades!$J$15+G194*Upgrades!$K$15)*POWER(Upgrades!$L$15,G194)))*(IF(Upgrades!$T$13="Microlensing",POWER(Upgrades!$U$13,E194),1)*IF(Upgrades!$T$14="Microlensing",POWER(Upgrades!$U$14,F194),1)*IF(Upgrades!$T$16="Microlensing",POWER(Upgrades!$U$16,H194),1)*IF(Upgrades!$T$17="Microlensing",POWER(Upgrades!$U$17,I194),1)*IF(Upgrades!$T$18="Microlensing",POWER(Upgrades!$U$18,J194),1)*IF(Upgrades!$T$19="Microlensing",POWER(Upgrades!$U$19,K194),1)*IF(Upgrades!$T$20="Microlensing",POWER(Upgrades!$U$20,L194),1)*IF(Upgrades!$T$21="Microlensing",POWER(Upgrades!$U$21,M194),1))*POWER(Upgrades!$Q$13,E194)*POWER(Upgrades!$Q$14,F194)*POWER(Upgrades!$Q$15,G194)*POWER(Upgrades!$Q$16,H194)*POWER(Upgrades!$Q$17,I194)*POWER(Upgrades!$Q$18,J194)*POWER(Upgrades!$Q$19,K194)*POWER(Upgrades!$Q$20,L194)*POWER(Upgrades!$Q$21,M194)*$G$6*(Parameters!$B$10*Parameters!$B$11+Q194*60)</f>
        <v/>
      </c>
      <c r="AD194" s="27">
        <f>(IF(H194=0,0,(Upgrades!$M$16+H194*Upgrades!$N$16)*POWER(Upgrades!$O$16,H194)))*(IF(Upgrades!$T$13="Roche Lobe Overflow",POWER(Upgrades!$U$13,E194),1)*IF(Upgrades!$T$14="Roche Lobe Overflow",POWER(Upgrades!$U$14,F194),1)*IF(Upgrades!$T$15="Roche Lobe Overflow",POWER(Upgrades!$U$15,G194),1)*IF(Upgrades!$T$17="Roche Lobe Overflow",POWER(Upgrades!$U$17,I194),1)*IF(Upgrades!$T$18="Roche Lobe Overflow",POWER(Upgrades!$U$18,J194),1)*IF(Upgrades!$T$19="Roche Lobe Overflow",POWER(Upgrades!$U$19,K194),1)*IF(Upgrades!$T$20="Roche Lobe Overflow",POWER(Upgrades!$U$20,L194),1)*IF(Upgrades!$T$21="Roche Lobe Overflow",POWER(Upgrades!$U$21,M194),1))*POWER(Upgrades!$R$13,E194)*POWER(Upgrades!$R$14,F194)*POWER(Upgrades!$R$15,G194)*POWER(Upgrades!$R$16,H194)*POWER(Upgrades!$R$17,I194)*POWER(Upgrades!$R$18,J194)*POWER(Upgrades!$R$19,K194)*POWER(Upgrades!$R$20,L194)*POWER(Upgrades!$R$21,M194)*$H$6*O194*60</f>
        <v/>
      </c>
      <c r="AE194" s="27">
        <f>(IF(I194=0,0,(Upgrades!$G$17+I194*Upgrades!$H$17)*POWER(Upgrades!$I$17,I194)))*(IF(Upgrades!$T$13="Brown Dwarf",POWER(Upgrades!$U$13,E194),1)*IF(Upgrades!$T$14="Brown Dwarf",POWER(Upgrades!$U$14,F194),1)*IF(Upgrades!$T$15="Brown Dwarf",POWER(Upgrades!$U$15,G194),1)*IF(Upgrades!$T$16="Brown Dwarf",POWER(Upgrades!$U$16,H194),1)*IF(Upgrades!$T$18="Brown Dwarf",POWER(Upgrades!$U$18,J194),1)*IF(Upgrades!$T$19="Brown Dwarf",POWER(Upgrades!$U$19,K194),1)*IF(Upgrades!$T$20="Brown Dwarf",POWER(Upgrades!$U$20,L194),1)*IF(Upgrades!$T$21="Brown Dwarf",POWER(Upgrades!$U$21,M194),1))*POWER(Upgrades!$P$13,E194)*POWER(Upgrades!$P$14,F194)*POWER(Upgrades!$P$15,G194)*POWER(Upgrades!$P$16,H194)*POWER(Upgrades!$P$17,I194)*POWER(Upgrades!$P$18,J194)*POWER(Upgrades!$P$19,K194)*POWER(Upgrades!$P$20,L194)*POWER(Upgrades!$P$21,M194)*$F$6*60</f>
        <v/>
      </c>
      <c r="AF194" s="27" t="n">
        <v>0</v>
      </c>
      <c r="AG194" s="27" t="n">
        <v>0</v>
      </c>
      <c r="AH194" s="27" t="n">
        <v>0</v>
      </c>
      <c r="AI194" s="27">
        <f>(IF(M194=0,0,(Upgrades!$G$21+M194*Upgrades!$H$21)*POWER(Upgrades!$I$21,M194)))*(IF(Upgrades!$T$13="Moving Group",POWER(Upgrades!$U$13,E194),1)*IF(Upgrades!$T$14="Moving Group",POWER(Upgrades!$U$14,F194),1)*IF(Upgrades!$T$15="Moving Group",POWER(Upgrades!$U$15,G194),1)*IF(Upgrades!$T$16="Moving Group",POWER(Upgrades!$U$16,H194),1)*IF(Upgrades!$T$17="Moving Group",POWER(Upgrades!$U$17,I194),1)*IF(Upgrades!$T$18="Moving Group",POWER(Upgrades!$U$18,J194),1)*IF(Upgrades!$T$19="Moving Group",POWER(Upgrades!$U$19,K194),1)*IF(Upgrades!$T$20="Moving Group",POWER(Upgrades!$U$20,L194),1))*POWER(Upgrades!$P$13,E194)*POWER(Upgrades!$P$14,F194)*POWER(Upgrades!$P$15,G194)*POWER(Upgrades!$P$16,H194)*POWER(Upgrades!$P$17,I194)*POWER(Upgrades!$P$18,J194)*POWER(Upgrades!$P$19,K194)*POWER(Upgrades!$P$20,L194)*POWER(Upgrades!$P$21,M194)*$F$6*60</f>
        <v/>
      </c>
      <c r="AJ194" s="27">
        <f>$C$6*60</f>
        <v/>
      </c>
      <c r="AK194" s="22">
        <f>IF(E194&gt;=Upgrades!$E$13,"",Upgrades!$C$13*POWER(Upgrades!$D$13,E194))</f>
        <v/>
      </c>
      <c r="AL194" s="22">
        <f>IF(F194&gt;=Upgrades!$E$14,"",Upgrades!$C$14*POWER(Upgrades!$D$14,F194))</f>
        <v/>
      </c>
      <c r="AM194" s="22">
        <f>IF(G194&gt;=Upgrades!$E$15,"",Upgrades!$C$15*POWER(Upgrades!$D$15,G194))</f>
        <v/>
      </c>
      <c r="AN194" s="22">
        <f>IF(H194&gt;=Upgrades!$E$16,"",Upgrades!$C$16*POWER(Upgrades!$D$16,H194))</f>
        <v/>
      </c>
      <c r="AO194" s="22">
        <f>IF(I194&gt;=Upgrades!$E$17,"",Upgrades!$C$17*POWER(Upgrades!$D$17,I194))</f>
        <v/>
      </c>
      <c r="AP194" s="22">
        <f>IF(J194&gt;=Upgrades!$E$18,"",Upgrades!$C$18*POWER(Upgrades!$D$18,J194))</f>
        <v/>
      </c>
      <c r="AQ194" s="22">
        <f>IF(K194&gt;=Upgrades!$E$19,"",Upgrades!$C$19*POWER(Upgrades!$D$19,K194))</f>
        <v/>
      </c>
      <c r="AR194" s="22">
        <f>IF(L194&gt;=Upgrades!$E$20,"",Upgrades!$C$20*POWER(Upgrades!$D$20,L194))</f>
        <v/>
      </c>
      <c r="AS194" s="22">
        <f>IF(M194&gt;=Upgrades!$E$21,"",Upgrades!$C$21*POWER(Upgrades!$D$21,M194))</f>
        <v/>
      </c>
      <c r="AT194" s="26">
        <f>IF(AND(D194&gt;=Parameters!$B$18*Parameters!$B$19,(I194&gt;=Upgrades!$E$17)*(M194&gt;=Upgrades!$E$21)=1,N194=0),1,"")</f>
        <v/>
      </c>
      <c r="AU194" s="26">
        <f>IF(AND(D194&gt;=Parameters!$B$18*Parameters!$B$19,N194=0),1,"")</f>
        <v/>
      </c>
      <c r="AV194" s="22">
        <f>MIN(IF(ISNUMBER(AP194),AP194,9E15),IF(ISNUMBER(AQ194),AQ194,9E15),IF(ISNUMBER(AR194),AR194,9E15),IF(ISNUMBER(AS194),AS194,9E15))</f>
        <v/>
      </c>
      <c r="AW194" s="22">
        <f>MIN(IF(ISNUMBER(AK194),AK194,9E15),IF(ISNUMBER(AL194),AL194,9E15),IF(ISNUMBER(AM194),AM194,9E15),IF(ISNUMBER(AN194),AN194,9E15),IF(ISNUMBER(AO194),AO194,9E15))</f>
        <v/>
      </c>
      <c r="AX194" s="29">
        <f>IF(BD194&gt;Parameters!$B$21*(MAX(IF(AND(NOT(AND(AU194=1,AT194&lt;&gt;1)),ISNUMBER(AK194),AK194&lt;=(C194+T194)),AY194,0),IF(AND(NOT(AND(AU194=1,AT194&lt;&gt;1)),ISNUMBER(AL194),AL194&lt;=(C194+T194)),AZ194,0),IF(AND(NOT(AND(AU194=1,AT194&lt;&gt;1)),ISNUMBER(AM194),AM194&lt;=(C194+T194)),BA194,0),IF(AND(NOT(AND(AU194=1,AT194&lt;&gt;1)),ISNUMBER(AN194),AN194&lt;=(C194+T194)),BB194,0),IF(AND(ISNUMBER(AO194),AO194&lt;=(C194+T194)),BC194,0))),TRUE,FALSE)</f>
        <v/>
      </c>
      <c r="AY194" s="32">
        <f>IFERROR(Upgrades!$H$13*(POWER(Upgrades!$P$13,E194)*POWER(Upgrades!$P$14,F194)*POWER(Upgrades!$P$15,G194)*POWER(Upgrades!$P$16,H194)*POWER(Upgrades!$P$17,I194)*POWER(Upgrades!$P$18,J194)*POWER(Upgrades!$P$19,K194)*POWER(Upgrades!$P$20,L194)*POWER(Upgrades!$P$21,M194))*(IF(Upgrades!$T$14="Stellar Kinematics",POWER(Upgrades!$U$14,F194),1)*IF(Upgrades!$T$15="Stellar Kinematics",POWER(Upgrades!$U$15,G194),1)*IF(Upgrades!$T$16="Stellar Kinematics",POWER(Upgrades!$U$16,H194),1)*IF(Upgrades!$T$17="Stellar Kinematics",POWER(Upgrades!$U$17,I194),1)*IF(Upgrades!$T$18="Stellar Kinematics",POWER(Upgrades!$U$18,J194),1)*IF(Upgrades!$T$19="Stellar Kinematics",POWER(Upgrades!$U$19,K194),1)*IF(Upgrades!$T$20="Stellar Kinematics",POWER(Upgrades!$U$20,L194),1)*IF(Upgrades!$T$21="Stellar Kinematics",POWER(Upgrades!$U$21,M194),1))*$F$6/AK194,0)</f>
        <v/>
      </c>
      <c r="AZ194" s="32">
        <f>IFERROR(Upgrades!$H$14*(POWER(Upgrades!$P$13,E194)*POWER(Upgrades!$P$14,F194)*POWER(Upgrades!$P$15,G194)*POWER(Upgrades!$P$16,H194)*POWER(Upgrades!$P$17,I194)*POWER(Upgrades!$P$18,J194)*POWER(Upgrades!$P$19,K194)*POWER(Upgrades!$P$20,L194)*POWER(Upgrades!$P$21,M194))*(IF(Upgrades!$T$13="Local Bubble",POWER(Upgrades!$U$13,E194),1)*IF(Upgrades!$T$15="Local Bubble",POWER(Upgrades!$U$15,G194),1)*IF(Upgrades!$T$16="Local Bubble",POWER(Upgrades!$U$16,H194),1)*IF(Upgrades!$T$17="Local Bubble",POWER(Upgrades!$U$17,I194),1)*IF(Upgrades!$T$18="Local Bubble",POWER(Upgrades!$U$18,J194),1)*IF(Upgrades!$T$19="Local Bubble",POWER(Upgrades!$U$19,K194),1)*IF(Upgrades!$T$20="Local Bubble",POWER(Upgrades!$U$20,L194),1)*IF(Upgrades!$T$21="Local Bubble",POWER(Upgrades!$U$21,M194),1))*$F$6/AL194,0)</f>
        <v/>
      </c>
      <c r="BA194" s="32">
        <f>IFERROR(Upgrades!$K$15*(POWER(Upgrades!$Q$13,E194)*POWER(Upgrades!$Q$14,F194)*POWER(Upgrades!$Q$15,G194)*POWER(Upgrades!$Q$16,H194)*POWER(Upgrades!$Q$17,I194)*POWER(Upgrades!$Q$18,J194)*POWER(Upgrades!$Q$19,K194)*POWER(Upgrades!$Q$20,L194)*POWER(Upgrades!$Q$21,M194))*(IF(Upgrades!$T$13="Microlensing",POWER(Upgrades!$U$13,E194),1)*IF(Upgrades!$T$14="Microlensing",POWER(Upgrades!$U$14,F194),1)*IF(Upgrades!$T$16="Microlensing",POWER(Upgrades!$U$16,H194),1)*IF(Upgrades!$T$17="Microlensing",POWER(Upgrades!$U$17,I194),1)*IF(Upgrades!$T$18="Microlensing",POWER(Upgrades!$U$18,J194),1)*IF(Upgrades!$T$19="Microlensing",POWER(Upgrades!$U$19,K194),1)*IF(Upgrades!$T$20="Microlensing",POWER(Upgrades!$U$20,L194),1)*IF(Upgrades!$T$21="Microlensing",POWER(Upgrades!$U$21,M194),1))*$G$6*(Parameters!$B$10/60*Parameters!$B$11+Q194)/AM194,0)</f>
        <v/>
      </c>
      <c r="BB194" s="32">
        <f>IFERROR((Upgrades!$N$16*(POWER(Upgrades!$R$13,E194)*POWER(Upgrades!$R$14,F194)*POWER(Upgrades!$R$15,G194)*POWER(Upgrades!$R$16,H194)*POWER(Upgrades!$R$17,I194)*POWER(Upgrades!$R$18,J194)*POWER(Upgrades!$R$19,K194)*POWER(Upgrades!$R$20,L194)*POWER(Upgrades!$R$21,M194))*(IF(Upgrades!$T$13="Roche Lobe Overflow",POWER(Upgrades!$U$13,E194),1)*IF(Upgrades!$T$14="Roche Lobe Overflow",POWER(Upgrades!$U$14,F194),1)*IF(Upgrades!$T$15="Roche Lobe Overflow",POWER(Upgrades!$U$15,G194),1)*IF(Upgrades!$T$17="Roche Lobe Overflow",POWER(Upgrades!$U$17,I194),1)*IF(Upgrades!$T$18="Roche Lobe Overflow",POWER(Upgrades!$U$18,J194),1)*IF(Upgrades!$T$19="Roche Lobe Overflow",POWER(Upgrades!$U$19,K194),1)*IF(Upgrades!$T$20="Roche Lobe Overflow",POWER(Upgrades!$U$20,L194),1)*IF(Upgrades!$T$21="Roche Lobe Overflow",POWER(Upgrades!$U$21,M194),1))*$H$6*O194+((IF(F194=0,0,(Upgrades!$G$14+F194*Upgrades!$H$14)*POWER(Upgrades!$I$14,F194)))*(IF(Upgrades!$T$13="Local Bubble",POWER(Upgrades!$U$13,E194),1)*IF(Upgrades!$T$15="Local Bubble",POWER(Upgrades!$U$15,G194),1)*IF(Upgrades!$T$16="Local Bubble",POWER(Upgrades!$U$16,H194),1)*IF(Upgrades!$T$17="Local Bubble",POWER(Upgrades!$U$17,I194),1)*IF(Upgrades!$T$18="Local Bubble",POWER(Upgrades!$U$18,J194),1)*IF(Upgrades!$T$19="Local Bubble",POWER(Upgrades!$U$19,K194),1)*IF(Upgrades!$T$20="Local Bubble",POWER(Upgrades!$U$20,L194),1)*IF(Upgrades!$T$21="Local Bubble",POWER(Upgrades!$U$21,M194),1))*POWER(Upgrades!$P$13,E194)*POWER(Upgrades!$P$14,F194)*POWER(Upgrades!$P$15,G194)*POWER(Upgrades!$P$16,H194)*POWER(Upgrades!$P$17,I194)*POWER(Upgrades!$P$18,J194)*POWER(Upgrades!$P$19,K194)*POWER(Upgrades!$P$20,L194)*POWER(Upgrades!$P$21,M194)*$F$6)*0.05)/AN194,0)</f>
        <v/>
      </c>
      <c r="BC194" s="32">
        <f>IFERROR((Upgrades!$H$17*(POWER(Upgrades!$P$13,E194)*POWER(Upgrades!$P$14,F194)*POWER(Upgrades!$P$15,G194)*POWER(Upgrades!$P$16,H194)*POWER(Upgrades!$P$17,I194)*POWER(Upgrades!$P$18,J194)*POWER(Upgrades!$P$19,K194)*POWER(Upgrades!$P$20,L194)*POWER(Upgrades!$P$21,M194))*(IF(Upgrades!$T$13="Brown Dwarf",POWER(Upgrades!$U$13,E194),1)*IF(Upgrades!$T$14="Brown Dwarf",POWER(Upgrades!$U$14,F194),1)*IF(Upgrades!$T$15="Brown Dwarf",POWER(Upgrades!$U$15,G194),1)*IF(Upgrades!$T$16="Brown Dwarf",POWER(Upgrades!$U$16,H194),1)*IF(Upgrades!$T$18="Brown Dwarf",POWER(Upgrades!$U$18,J194),1)*IF(Upgrades!$T$19="Brown Dwarf",POWER(Upgrades!$U$19,K194),1)*IF(Upgrades!$T$20="Brown Dwarf",POWER(Upgrades!$U$20,L194),1)*IF(Upgrades!$T$21="Brown Dwarf",POWER(Upgrades!$U$21,M194),1))*$F$6+(((IF(H194=0,0,(Upgrades!$M$16+H194*Upgrades!$N$16)*POWER(Upgrades!$O$16,H194)))*(IF(Upgrades!$T$13="Roche Lobe Overflow",POWER(Upgrades!$U$13,E194),1)*IF(Upgrades!$T$14="Roche Lobe Overflow",POWER(Upgrades!$U$14,F194),1)*IF(Upgrades!$T$15="Roche Lobe Overflow",POWER(Upgrades!$U$15,G194),1)*IF(Upgrades!$T$17="Roche Lobe Overflow",POWER(Upgrades!$U$17,I194),1)*IF(Upgrades!$T$18="Roche Lobe Overflow",POWER(Upgrades!$U$18,J194),1)*IF(Upgrades!$T$19="Roche Lobe Overflow",POWER(Upgrades!$U$19,K194),1)*IF(Upgrades!$T$20="Roche Lobe Overflow",POWER(Upgrades!$U$20,L194),1)*IF(Upgrades!$T$21="Roche Lobe Overflow",POWER(Upgrades!$U$21,M194),1))*POWER(Upgrades!$R$13,E194)*POWER(Upgrades!$R$14,F194)*POWER(Upgrades!$R$15,G194)*POWER(Upgrades!$R$16,H194)*POWER(Upgrades!$R$17,I194)*POWER(Upgrades!$R$18,J194)*POWER(Upgrades!$R$19,K194)*POWER(Upgrades!$R$20,L194)*POWER(Upgrades!$R$21,M194)*$H$6)*O194)*0.10)/AO194,0)</f>
        <v/>
      </c>
      <c r="BD194" s="32">
        <f>MAX(IF(J194&gt;0,0,IFERROR(0.5*((IF(G194=0,0,(Upgrades!$J$15+G194*Upgrades!$K$15)*POWER(Upgrades!$L$15,G194)))*(IF(Upgrades!$T$13="Microlensing",POWER(Upgrades!$U$13,E194),1)*IF(Upgrades!$T$14="Microlensing",POWER(Upgrades!$U$14,F194),1)*IF(Upgrades!$T$16="Microlensing",POWER(Upgrades!$U$16,H194),1)*IF(Upgrades!$T$17="Microlensing",POWER(Upgrades!$U$17,I194),1)*IF(Upgrades!$T$18="Microlensing",POWER(Upgrades!$U$18,J194),1)*IF(Upgrades!$T$19="Microlensing",POWER(Upgrades!$U$19,K194),1)*IF(Upgrades!$T$20="Microlensing",POWER(Upgrades!$U$20,L194),1)*IF(Upgrades!$T$21="Microlensing",POWER(Upgrades!$U$21,M194),1))*(POWER(Upgrades!$Q$13,E194)*POWER(Upgrades!$Q$14,F194)*POWER(Upgrades!$Q$15,G194)*POWER(Upgrades!$Q$16,H194)*POWER(Upgrades!$Q$17,I194)*POWER(Upgrades!$Q$18,J194)*POWER(Upgrades!$Q$19,K194)*POWER(Upgrades!$Q$20,L194)*POWER(Upgrades!$Q$21,M194))*$G$6*(Parameters!$B$10/60*Parameters!$B$11+Q194))/Upgrades!$C$18,0)),IF(K194&gt;0,0,IFERROR(0.30*P194/Upgrades!$C$19,0)),IF(L194&gt;0,0,IFERROR(0.0001/Upgrades!$C$20,0)),IF(M194&gt;0,0,IFERROR((6.0*(POWER(Upgrades!$P$13,E194)*POWER(Upgrades!$P$14,F194)*POWER(Upgrades!$P$15,G194)*POWER(Upgrades!$P$16,H194)*POWER(Upgrades!$P$17,I194)*POWER(Upgrades!$P$18,J194)*POWER(Upgrades!$P$19,K194)*POWER(Upgrades!$P$20,L194)*POWER(Upgrades!$P$21,M194))*$F$6+0.20*O194*(Parameters!$B$10/60*Parameters!$B$11+Q194))/Upgrades!$C$21,0)),IF(AND(ISNUMBER(AK194),AK194&gt;(C194+T194)),AY194,0),IF(AND(ISNUMBER(AL194),AL194&gt;(C194+T194)),AZ194,0),IF(AND(ISNUMBER(AM194),AM194&gt;(C194+T194)),BA194,0),IF(AND(ISNUMBER(AN194),AN194&gt;(C194+T194)),BB194,0),IF(AND(ISNUMBER(AO194),AO194&gt;(C194+T194)),BC194,0))</f>
        <v/>
      </c>
      <c r="BE194" s="29">
        <f>IF(AT194=1,"transition",IF(MIN(IF(AND(J194=0,ISNUMBER(AP194),AP194&lt;=(C194+T194)),AP194,9E15),IF(AND(K194=0,ISNUMBER(AQ194),AQ194&lt;=(C194+T194)),AQ194,9E15),IF(AND(L194=0,ISNUMBER(AR194),AR194&lt;=(C194+T194)),AR194,9E15),IF(AND(M194=0,ISNUMBER(AS194),AS194&lt;=(C194+T194)),AS194,9E15))&lt;9E15,IF(AND(AND(J194=0,ISNUMBER(AP194),AP194&lt;=(C194+T194)),AP194=MIN(IF(AND(J194=0,ISNUMBER(AP194),AP194&lt;=(C194+T194)),AP194,9E15),IF(AND(K194=0,ISNUMBER(AQ194),AQ194&lt;=(C194+T194)),AQ194,9E15),IF(AND(L194=0,ISNUMBER(AR194),AR194&lt;=(C194+T194)),AR194,9E15),IF(AND(M194=0,ISNUMBER(AS194),AS194&lt;=(C194+T194)),AS194,9E15))),"BiP",IF(AND(AND(K194=0,ISNUMBER(AQ194),AQ194&lt;=(C194+T194)),AQ194=MIN(IF(AND(J194=0,ISNUMBER(AP194),AP194&lt;=(C194+T194)),AP194,9E15),IF(AND(K194=0,ISNUMBER(AQ194),AQ194&lt;=(C194+T194)),AQ194,9E15),IF(AND(L194=0,ISNUMBER(AR194),AR194&lt;=(C194+T194)),AR194,9E15),IF(AND(M194=0,ISNUMBER(AS194),AS194&lt;=(C194+T194)),AS194,9E15))),"PV",IF(AND(AND(L194=0,ISNUMBER(AR194),AR194&lt;=(C194+T194)),AR194=MIN(IF(AND(J194=0,ISNUMBER(AP194),AP194&lt;=(C194+T194)),AP194,9E15),IF(AND(K194=0,ISNUMBER(AQ194),AQ194&lt;=(C194+T194)),AQ194,9E15),IF(AND(L194=0,ISNUMBER(AR194),AR194&lt;=(C194+T194)),AR194,9E15),IF(AND(M194=0,ISNUMBER(AS194),AS194&lt;=(C194+T194)),AS194,9E15))),"OC","MG"))),IF(AX194=TRUE,"",IF(MAX(IF(AND(NOT(AND(AU194=1,AT194&lt;&gt;1)),ISNUMBER(AK194),AK194&lt;=(C194+T194)),AY194,0),IF(AND(NOT(AND(AU194=1,AT194&lt;&gt;1)),ISNUMBER(AL194),AL194&lt;=(C194+T194)),AZ194,0),IF(AND(NOT(AND(AU194=1,AT194&lt;&gt;1)),ISNUMBER(AM194),AM194&lt;=(C194+T194)),BA194,0),IF(AND(NOT(AND(AU194=1,AT194&lt;&gt;1)),ISNUMBER(AN194),AN194&lt;=(C194+T194)),BB194,0),IF(AND(ISNUMBER(AO194),AO194&lt;=(C194+T194)),BC194,0))&lt;=0,"",IF(AND(IF(AND(NOT(AND(AU194=1,AT194&lt;&gt;1)),ISNUMBER(AK194),AK194&lt;=(C194+T194)),AY194,0)&gt;0,IF(AND(NOT(AND(AU194=1,AT194&lt;&gt;1)),ISNUMBER(AK194),AK194&lt;=(C194+T194)),AY194,0)=MAX(IF(AND(NOT(AND(AU194=1,AT194&lt;&gt;1)),ISNUMBER(AK194),AK194&lt;=(C194+T194)),AY194,0),IF(AND(NOT(AND(AU194=1,AT194&lt;&gt;1)),ISNUMBER(AL194),AL194&lt;=(C194+T194)),AZ194,0),IF(AND(NOT(AND(AU194=1,AT194&lt;&gt;1)),ISNUMBER(AM194),AM194&lt;=(C194+T194)),BA194,0),IF(AND(NOT(AND(AU194=1,AT194&lt;&gt;1)),ISNUMBER(AN194),AN194&lt;=(C194+T194)),BB194,0),IF(AND(ISNUMBER(AO194),AO194&lt;=(C194+T194)),BC194,0))),"SK",IF(AND(IF(AND(NOT(AND(AU194=1,AT194&lt;&gt;1)),ISNUMBER(AL194),AL194&lt;=(C194+T194)),AZ194,0)&gt;0,IF(AND(NOT(AND(AU194=1,AT194&lt;&gt;1)),ISNUMBER(AL194),AL194&lt;=(C194+T194)),AZ194,0)=MAX(IF(AND(NOT(AND(AU194=1,AT194&lt;&gt;1)),ISNUMBER(AK194),AK194&lt;=(C194+T194)),AY194,0),IF(AND(NOT(AND(AU194=1,AT194&lt;&gt;1)),ISNUMBER(AL194),AL194&lt;=(C194+T194)),AZ194,0),IF(AND(NOT(AND(AU194=1,AT194&lt;&gt;1)),ISNUMBER(AM194),AM194&lt;=(C194+T194)),BA194,0),IF(AND(NOT(AND(AU194=1,AT194&lt;&gt;1)),ISNUMBER(AN194),AN194&lt;=(C194+T194)),BB194,0),IF(AND(ISNUMBER(AO194),AO194&lt;=(C194+T194)),BC194,0))),"LB",IF(AND(IF(AND(NOT(AND(AU194=1,AT194&lt;&gt;1)),ISNUMBER(AM194),AM194&lt;=(C194+T194)),BA194,0)&gt;0,IF(AND(NOT(AND(AU194=1,AT194&lt;&gt;1)),ISNUMBER(AM194),AM194&lt;=(C194+T194)),BA194,0)=MAX(IF(AND(NOT(AND(AU194=1,AT194&lt;&gt;1)),ISNUMBER(AK194),AK194&lt;=(C194+T194)),AY194,0),IF(AND(NOT(AND(AU194=1,AT194&lt;&gt;1)),ISNUMBER(AL194),AL194&lt;=(C194+T194)),AZ194,0),IF(AND(NOT(AND(AU194=1,AT194&lt;&gt;1)),ISNUMBER(AM194),AM194&lt;=(C194+T194)),BA194,0),IF(AND(NOT(AND(AU194=1,AT194&lt;&gt;1)),ISNUMBER(AN194),AN194&lt;=(C194+T194)),BB194,0),IF(AND(ISNUMBER(AO194),AO194&lt;=(C194+T194)),BC194,0))),"ML",IF(AND(IF(AND(NOT(AND(AU194=1,AT194&lt;&gt;1)),ISNUMBER(AN194),AN194&lt;=(C194+T194)),BB194,0)&gt;0,IF(AND(NOT(AND(AU194=1,AT194&lt;&gt;1)),ISNUMBER(AN194),AN194&lt;=(C194+T194)),BB194,0)=MAX(IF(AND(NOT(AND(AU194=1,AT194&lt;&gt;1)),ISNUMBER(AK194),AK194&lt;=(C194+T194)),AY194,0),IF(AND(NOT(AND(AU194=1,AT194&lt;&gt;1)),ISNUMBER(AL194),AL194&lt;=(C194+T194)),AZ194,0),IF(AND(NOT(AND(AU194=1,AT194&lt;&gt;1)),ISNUMBER(AM194),AM194&lt;=(C194+T194)),BA194,0),IF(AND(NOT(AND(AU194=1,AT194&lt;&gt;1)),ISNUMBER(AN194),AN194&lt;=(C194+T194)),BB194,0),IF(AND(ISNUMBER(AO194),AO194&lt;=(C194+T194)),BC194,0))),"RLO","BD"))))))))</f>
        <v/>
      </c>
    </row>
    <row r="195">
      <c r="A195" s="26" t="n">
        <v>184</v>
      </c>
      <c r="B195" s="27">
        <f>A195*10/60</f>
        <v/>
      </c>
      <c r="C195" s="22">
        <f>X194</f>
        <v/>
      </c>
      <c r="D195" s="27">
        <f>D194+W194</f>
        <v/>
      </c>
      <c r="E195" s="26">
        <f>E194+IF(U194="SK",1,0)</f>
        <v/>
      </c>
      <c r="F195" s="26">
        <f>F194+IF(U194="LB",1,0)</f>
        <v/>
      </c>
      <c r="G195" s="26">
        <f>G194+IF(U194="ML",1,0)</f>
        <v/>
      </c>
      <c r="H195" s="26">
        <f>H194+IF(U194="RLO",1,0)</f>
        <v/>
      </c>
      <c r="I195" s="26">
        <f>I194+IF(U194="BD",1,0)</f>
        <v/>
      </c>
      <c r="J195" s="26">
        <f>MAX(J194,IF(U194="BiP",1,0))</f>
        <v/>
      </c>
      <c r="K195" s="26">
        <f>MAX(K194,IF(U194="PV",1,0))</f>
        <v/>
      </c>
      <c r="L195" s="26">
        <f>MAX(L194,IF(U194="OC",1,0))</f>
        <v/>
      </c>
      <c r="M195" s="26">
        <f>MAX(M194,IF(U194="MG",1,0))</f>
        <v/>
      </c>
      <c r="N195" s="26">
        <f>MAX(N194,IF(U194="transition",1,0))</f>
        <v/>
      </c>
      <c r="O195" s="28">
        <f>(Parameters!$B$9+(IF(E195=0,0,(Upgrades!$J$13+E195*Upgrades!$K$13)*POWER(Upgrades!$L$13,E195)))*(IF(Upgrades!$T$14="Stellar Kinematics",POWER(Upgrades!$U$14,F195),1)*IF(Upgrades!$T$15="Stellar Kinematics",POWER(Upgrades!$U$15,G195),1)*IF(Upgrades!$T$16="Stellar Kinematics",POWER(Upgrades!$U$16,H195),1)*IF(Upgrades!$T$17="Stellar Kinematics",POWER(Upgrades!$U$17,I195),1)*IF(Upgrades!$T$18="Stellar Kinematics",POWER(Upgrades!$U$18,J195),1)*IF(Upgrades!$T$19="Stellar Kinematics",POWER(Upgrades!$U$19,K195),1)*IF(Upgrades!$T$20="Stellar Kinematics",POWER(Upgrades!$U$20,L195),1)*IF(Upgrades!$T$21="Stellar Kinematics",POWER(Upgrades!$U$21,M195),1))+(IF(F195=0,0,(Upgrades!$J$14+F195*Upgrades!$K$14)*POWER(Upgrades!$L$14,F195)))*(IF(Upgrades!$T$13="Local Bubble",POWER(Upgrades!$U$13,E195),1)*IF(Upgrades!$T$15="Local Bubble",POWER(Upgrades!$U$15,G195),1)*IF(Upgrades!$T$16="Local Bubble",POWER(Upgrades!$U$16,H195),1)*IF(Upgrades!$T$17="Local Bubble",POWER(Upgrades!$U$17,I195),1)*IF(Upgrades!$T$18="Local Bubble",POWER(Upgrades!$U$18,J195),1)*IF(Upgrades!$T$19="Local Bubble",POWER(Upgrades!$U$19,K195),1)*IF(Upgrades!$T$20="Local Bubble",POWER(Upgrades!$U$20,L195),1)*IF(Upgrades!$T$21="Local Bubble",POWER(Upgrades!$U$21,M195),1))+(IF(G195=0,0,(Upgrades!$J$15+G195*Upgrades!$K$15)*POWER(Upgrades!$L$15,G195)))*(IF(Upgrades!$T$13="Microlensing",POWER(Upgrades!$U$13,E195),1)*IF(Upgrades!$T$14="Microlensing",POWER(Upgrades!$U$14,F195),1)*IF(Upgrades!$T$16="Microlensing",POWER(Upgrades!$U$16,H195),1)*IF(Upgrades!$T$17="Microlensing",POWER(Upgrades!$U$17,I195),1)*IF(Upgrades!$T$18="Microlensing",POWER(Upgrades!$U$18,J195),1)*IF(Upgrades!$T$19="Microlensing",POWER(Upgrades!$U$19,K195),1)*IF(Upgrades!$T$20="Microlensing",POWER(Upgrades!$U$20,L195),1)*IF(Upgrades!$T$21="Microlensing",POWER(Upgrades!$U$21,M195),1))+(IF(H195=0,0,(Upgrades!$J$16+H195*Upgrades!$K$16)*POWER(Upgrades!$L$16,H195)))*(IF(Upgrades!$T$13="Roche Lobe Overflow",POWER(Upgrades!$U$13,E195),1)*IF(Upgrades!$T$14="Roche Lobe Overflow",POWER(Upgrades!$U$14,F195),1)*IF(Upgrades!$T$15="Roche Lobe Overflow",POWER(Upgrades!$U$15,G195),1)*IF(Upgrades!$T$17="Roche Lobe Overflow",POWER(Upgrades!$U$17,I195),1)*IF(Upgrades!$T$18="Roche Lobe Overflow",POWER(Upgrades!$U$18,J195),1)*IF(Upgrades!$T$19="Roche Lobe Overflow",POWER(Upgrades!$U$19,K195),1)*IF(Upgrades!$T$20="Roche Lobe Overflow",POWER(Upgrades!$U$20,L195),1)*IF(Upgrades!$T$21="Roche Lobe Overflow",POWER(Upgrades!$U$21,M195),1))+(IF(I195=0,0,(Upgrades!$J$17+I195*Upgrades!$K$17)*POWER(Upgrades!$L$17,I195)))*(IF(Upgrades!$T$13="Brown Dwarf",POWER(Upgrades!$U$13,E195),1)*IF(Upgrades!$T$14="Brown Dwarf",POWER(Upgrades!$U$14,F195),1)*IF(Upgrades!$T$15="Brown Dwarf",POWER(Upgrades!$U$15,G195),1)*IF(Upgrades!$T$16="Brown Dwarf",POWER(Upgrades!$U$16,H195),1)*IF(Upgrades!$T$18="Brown Dwarf",POWER(Upgrades!$U$18,J195),1)*IF(Upgrades!$T$19="Brown Dwarf",POWER(Upgrades!$U$19,K195),1)*IF(Upgrades!$T$20="Brown Dwarf",POWER(Upgrades!$U$20,L195),1)*IF(Upgrades!$T$21="Brown Dwarf",POWER(Upgrades!$U$21,M195),1))+(IF(J195=0,0,(Upgrades!$J$18+J195*Upgrades!$K$18)*POWER(Upgrades!$L$18,J195)))*(IF(Upgrades!$T$13="Binary Partner",POWER(Upgrades!$U$13,E195),1)*IF(Upgrades!$T$14="Binary Partner",POWER(Upgrades!$U$14,F195),1)*IF(Upgrades!$T$15="Binary Partner",POWER(Upgrades!$U$15,G195),1)*IF(Upgrades!$T$16="Binary Partner",POWER(Upgrades!$U$16,H195),1)*IF(Upgrades!$T$17="Binary Partner",POWER(Upgrades!$U$17,I195),1)*IF(Upgrades!$T$19="Binary Partner",POWER(Upgrades!$U$19,K195),1)*IF(Upgrades!$T$20="Binary Partner",POWER(Upgrades!$U$20,L195),1)*IF(Upgrades!$T$21="Binary Partner",POWER(Upgrades!$U$21,M195),1))+(IF(K195=0,0,(Upgrades!$J$19+K195*Upgrades!$K$19)*POWER(Upgrades!$L$19,K195)))*(IF(Upgrades!$T$13="Peculiar Velocity",POWER(Upgrades!$U$13,E195),1)*IF(Upgrades!$T$14="Peculiar Velocity",POWER(Upgrades!$U$14,F195),1)*IF(Upgrades!$T$15="Peculiar Velocity",POWER(Upgrades!$U$15,G195),1)*IF(Upgrades!$T$16="Peculiar Velocity",POWER(Upgrades!$U$16,H195),1)*IF(Upgrades!$T$17="Peculiar Velocity",POWER(Upgrades!$U$17,I195),1)*IF(Upgrades!$T$18="Peculiar Velocity",POWER(Upgrades!$U$18,J195),1)*IF(Upgrades!$T$20="Peculiar Velocity",POWER(Upgrades!$U$20,L195),1)*IF(Upgrades!$T$21="Peculiar Velocity",POWER(Upgrades!$U$21,M195),1))+(IF(L195=0,0,(Upgrades!$J$20+L195*Upgrades!$K$20)*POWER(Upgrades!$L$20,L195)))*(IF(Upgrades!$T$13="Open Cluster",POWER(Upgrades!$U$13,E195),1)*IF(Upgrades!$T$14="Open Cluster",POWER(Upgrades!$U$14,F195),1)*IF(Upgrades!$T$15="Open Cluster",POWER(Upgrades!$U$15,G195),1)*IF(Upgrades!$T$16="Open Cluster",POWER(Upgrades!$U$16,H195),1)*IF(Upgrades!$T$17="Open Cluster",POWER(Upgrades!$U$17,I195),1)*IF(Upgrades!$T$18="Open Cluster",POWER(Upgrades!$U$18,J195),1)*IF(Upgrades!$T$19="Open Cluster",POWER(Upgrades!$U$19,K195),1)*IF(Upgrades!$T$21="Open Cluster",POWER(Upgrades!$U$21,M195),1))+(IF(M195=0,0,(Upgrades!$J$21+M195*Upgrades!$K$21)*POWER(Upgrades!$L$21,M195)))*(IF(Upgrades!$T$13="Moving Group",POWER(Upgrades!$U$13,E195),1)*IF(Upgrades!$T$14="Moving Group",POWER(Upgrades!$U$14,F195),1)*IF(Upgrades!$T$15="Moving Group",POWER(Upgrades!$U$15,G195),1)*IF(Upgrades!$T$16="Moving Group",POWER(Upgrades!$U$16,H195),1)*IF(Upgrades!$T$17="Moving Group",POWER(Upgrades!$U$17,I195),1)*IF(Upgrades!$T$18="Moving Group",POWER(Upgrades!$U$18,J195),1)*IF(Upgrades!$T$19="Moving Group",POWER(Upgrades!$U$19,K195),1)*IF(Upgrades!$T$20="Moving Group",POWER(Upgrades!$U$20,L195),1)))*POWER(Upgrades!$Q$13,E195)*POWER(Upgrades!$Q$14,F195)*POWER(Upgrades!$Q$15,G195)*POWER(Upgrades!$Q$16,H195)*POWER(Upgrades!$Q$17,I195)*POWER(Upgrades!$Q$18,J195)*POWER(Upgrades!$Q$19,K195)*POWER(Upgrades!$Q$20,L195)*POWER(Upgrades!$Q$21,M195)*$G$6+$D$6</f>
        <v/>
      </c>
      <c r="P195" s="28">
        <f>((IF(E195=0,0,(Upgrades!$G$13+E195*Upgrades!$H$13)*POWER(Upgrades!$I$13,E195)))*(IF(Upgrades!$T$14="Stellar Kinematics",POWER(Upgrades!$U$14,F195),1)*IF(Upgrades!$T$15="Stellar Kinematics",POWER(Upgrades!$U$15,G195),1)*IF(Upgrades!$T$16="Stellar Kinematics",POWER(Upgrades!$U$16,H195),1)*IF(Upgrades!$T$17="Stellar Kinematics",POWER(Upgrades!$U$17,I195),1)*IF(Upgrades!$T$18="Stellar Kinematics",POWER(Upgrades!$U$18,J195),1)*IF(Upgrades!$T$19="Stellar Kinematics",POWER(Upgrades!$U$19,K195),1)*IF(Upgrades!$T$20="Stellar Kinematics",POWER(Upgrades!$U$20,L195),1)*IF(Upgrades!$T$21="Stellar Kinematics",POWER(Upgrades!$U$21,M195),1))+(IF(F195=0,0,(Upgrades!$G$14+F195*Upgrades!$H$14)*POWER(Upgrades!$I$14,F195)))*(IF(Upgrades!$T$13="Local Bubble",POWER(Upgrades!$U$13,E195),1)*IF(Upgrades!$T$15="Local Bubble",POWER(Upgrades!$U$15,G195),1)*IF(Upgrades!$T$16="Local Bubble",POWER(Upgrades!$U$16,H195),1)*IF(Upgrades!$T$17="Local Bubble",POWER(Upgrades!$U$17,I195),1)*IF(Upgrades!$T$18="Local Bubble",POWER(Upgrades!$U$18,J195),1)*IF(Upgrades!$T$19="Local Bubble",POWER(Upgrades!$U$19,K195),1)*IF(Upgrades!$T$20="Local Bubble",POWER(Upgrades!$U$20,L195),1)*IF(Upgrades!$T$21="Local Bubble",POWER(Upgrades!$U$21,M195),1))+(IF(G195=0,0,(Upgrades!$G$15+G195*Upgrades!$H$15)*POWER(Upgrades!$I$15,G195)))*(IF(Upgrades!$T$13="Microlensing",POWER(Upgrades!$U$13,E195),1)*IF(Upgrades!$T$14="Microlensing",POWER(Upgrades!$U$14,F195),1)*IF(Upgrades!$T$16="Microlensing",POWER(Upgrades!$U$16,H195),1)*IF(Upgrades!$T$17="Microlensing",POWER(Upgrades!$U$17,I195),1)*IF(Upgrades!$T$18="Microlensing",POWER(Upgrades!$U$18,J195),1)*IF(Upgrades!$T$19="Microlensing",POWER(Upgrades!$U$19,K195),1)*IF(Upgrades!$T$20="Microlensing",POWER(Upgrades!$U$20,L195),1)*IF(Upgrades!$T$21="Microlensing",POWER(Upgrades!$U$21,M195),1))+(IF(H195=0,0,(Upgrades!$G$16+H195*Upgrades!$H$16)*POWER(Upgrades!$I$16,H195)))*(IF(Upgrades!$T$13="Roche Lobe Overflow",POWER(Upgrades!$U$13,E195),1)*IF(Upgrades!$T$14="Roche Lobe Overflow",POWER(Upgrades!$U$14,F195),1)*IF(Upgrades!$T$15="Roche Lobe Overflow",POWER(Upgrades!$U$15,G195),1)*IF(Upgrades!$T$17="Roche Lobe Overflow",POWER(Upgrades!$U$17,I195),1)*IF(Upgrades!$T$18="Roche Lobe Overflow",POWER(Upgrades!$U$18,J195),1)*IF(Upgrades!$T$19="Roche Lobe Overflow",POWER(Upgrades!$U$19,K195),1)*IF(Upgrades!$T$20="Roche Lobe Overflow",POWER(Upgrades!$U$20,L195),1)*IF(Upgrades!$T$21="Roche Lobe Overflow",POWER(Upgrades!$U$21,M195),1))+(IF(I195=0,0,(Upgrades!$G$17+I195*Upgrades!$H$17)*POWER(Upgrades!$I$17,I195)))*(IF(Upgrades!$T$13="Brown Dwarf",POWER(Upgrades!$U$13,E195),1)*IF(Upgrades!$T$14="Brown Dwarf",POWER(Upgrades!$U$14,F195),1)*IF(Upgrades!$T$15="Brown Dwarf",POWER(Upgrades!$U$15,G195),1)*IF(Upgrades!$T$16="Brown Dwarf",POWER(Upgrades!$U$16,H195),1)*IF(Upgrades!$T$18="Brown Dwarf",POWER(Upgrades!$U$18,J195),1)*IF(Upgrades!$T$19="Brown Dwarf",POWER(Upgrades!$U$19,K195),1)*IF(Upgrades!$T$20="Brown Dwarf",POWER(Upgrades!$U$20,L195),1)*IF(Upgrades!$T$21="Brown Dwarf",POWER(Upgrades!$U$21,M195),1))+(IF(J195=0,0,(Upgrades!$G$18+J195*Upgrades!$H$18)*POWER(Upgrades!$I$18,J195)))*(IF(Upgrades!$T$13="Binary Partner",POWER(Upgrades!$U$13,E195),1)*IF(Upgrades!$T$14="Binary Partner",POWER(Upgrades!$U$14,F195),1)*IF(Upgrades!$T$15="Binary Partner",POWER(Upgrades!$U$15,G195),1)*IF(Upgrades!$T$16="Binary Partner",POWER(Upgrades!$U$16,H195),1)*IF(Upgrades!$T$17="Binary Partner",POWER(Upgrades!$U$17,I195),1)*IF(Upgrades!$T$19="Binary Partner",POWER(Upgrades!$U$19,K195),1)*IF(Upgrades!$T$20="Binary Partner",POWER(Upgrades!$U$20,L195),1)*IF(Upgrades!$T$21="Binary Partner",POWER(Upgrades!$U$21,M195),1))+(IF(K195=0,0,(Upgrades!$G$19+K195*Upgrades!$H$19)*POWER(Upgrades!$I$19,K195)))*(IF(Upgrades!$T$13="Peculiar Velocity",POWER(Upgrades!$U$13,E195),1)*IF(Upgrades!$T$14="Peculiar Velocity",POWER(Upgrades!$U$14,F195),1)*IF(Upgrades!$T$15="Peculiar Velocity",POWER(Upgrades!$U$15,G195),1)*IF(Upgrades!$T$16="Peculiar Velocity",POWER(Upgrades!$U$16,H195),1)*IF(Upgrades!$T$17="Peculiar Velocity",POWER(Upgrades!$U$17,I195),1)*IF(Upgrades!$T$18="Peculiar Velocity",POWER(Upgrades!$U$18,J195),1)*IF(Upgrades!$T$20="Peculiar Velocity",POWER(Upgrades!$U$20,L195),1)*IF(Upgrades!$T$21="Peculiar Velocity",POWER(Upgrades!$U$21,M195),1))+(IF(L195=0,0,(Upgrades!$G$20+L195*Upgrades!$H$20)*POWER(Upgrades!$I$20,L195)))*(IF(Upgrades!$T$13="Open Cluster",POWER(Upgrades!$U$13,E195),1)*IF(Upgrades!$T$14="Open Cluster",POWER(Upgrades!$U$14,F195),1)*IF(Upgrades!$T$15="Open Cluster",POWER(Upgrades!$U$15,G195),1)*IF(Upgrades!$T$16="Open Cluster",POWER(Upgrades!$U$16,H195),1)*IF(Upgrades!$T$17="Open Cluster",POWER(Upgrades!$U$17,I195),1)*IF(Upgrades!$T$18="Open Cluster",POWER(Upgrades!$U$18,J195),1)*IF(Upgrades!$T$19="Open Cluster",POWER(Upgrades!$U$19,K195),1)*IF(Upgrades!$T$21="Open Cluster",POWER(Upgrades!$U$21,M195),1))+(IF(M195=0,0,(Upgrades!$G$21+M195*Upgrades!$H$21)*POWER(Upgrades!$I$21,M195)))*(IF(Upgrades!$T$13="Moving Group",POWER(Upgrades!$U$13,E195),1)*IF(Upgrades!$T$14="Moving Group",POWER(Upgrades!$U$14,F195),1)*IF(Upgrades!$T$15="Moving Group",POWER(Upgrades!$U$15,G195),1)*IF(Upgrades!$T$16="Moving Group",POWER(Upgrades!$U$16,H195),1)*IF(Upgrades!$T$17="Moving Group",POWER(Upgrades!$U$17,I195),1)*IF(Upgrades!$T$18="Moving Group",POWER(Upgrades!$U$18,J195),1)*IF(Upgrades!$T$19="Moving Group",POWER(Upgrades!$U$19,K195),1)*IF(Upgrades!$T$20="Moving Group",POWER(Upgrades!$U$20,L195),1)))*POWER(Upgrades!$P$13,E195)*POWER(Upgrades!$P$14,F195)*POWER(Upgrades!$P$15,G195)*POWER(Upgrades!$P$16,H195)*POWER(Upgrades!$P$17,I195)*POWER(Upgrades!$P$18,J195)*POWER(Upgrades!$P$19,K195)*POWER(Upgrades!$P$20,L195)*POWER(Upgrades!$P$21,M195)*$F$6+$C$6</f>
        <v/>
      </c>
      <c r="Q195" s="28">
        <f>((IF(E195=0,0,(Upgrades!$M$13+E195*Upgrades!$N$13)*POWER(Upgrades!$O$13,E195)))*(IF(Upgrades!$T$14="Stellar Kinematics",POWER(Upgrades!$U$14,F195),1)*IF(Upgrades!$T$15="Stellar Kinematics",POWER(Upgrades!$U$15,G195),1)*IF(Upgrades!$T$16="Stellar Kinematics",POWER(Upgrades!$U$16,H195),1)*IF(Upgrades!$T$17="Stellar Kinematics",POWER(Upgrades!$U$17,I195),1)*IF(Upgrades!$T$18="Stellar Kinematics",POWER(Upgrades!$U$18,J195),1)*IF(Upgrades!$T$19="Stellar Kinematics",POWER(Upgrades!$U$19,K195),1)*IF(Upgrades!$T$20="Stellar Kinematics",POWER(Upgrades!$U$20,L195),1)*IF(Upgrades!$T$21="Stellar Kinematics",POWER(Upgrades!$U$21,M195),1))+(IF(F195=0,0,(Upgrades!$M$14+F195*Upgrades!$N$14)*POWER(Upgrades!$O$14,F195)))*(IF(Upgrades!$T$13="Local Bubble",POWER(Upgrades!$U$13,E195),1)*IF(Upgrades!$T$15="Local Bubble",POWER(Upgrades!$U$15,G195),1)*IF(Upgrades!$T$16="Local Bubble",POWER(Upgrades!$U$16,H195),1)*IF(Upgrades!$T$17="Local Bubble",POWER(Upgrades!$U$17,I195),1)*IF(Upgrades!$T$18="Local Bubble",POWER(Upgrades!$U$18,J195),1)*IF(Upgrades!$T$19="Local Bubble",POWER(Upgrades!$U$19,K195),1)*IF(Upgrades!$T$20="Local Bubble",POWER(Upgrades!$U$20,L195),1)*IF(Upgrades!$T$21="Local Bubble",POWER(Upgrades!$U$21,M195),1))+(IF(G195=0,0,(Upgrades!$M$15+G195*Upgrades!$N$15)*POWER(Upgrades!$O$15,G195)))*(IF(Upgrades!$T$13="Microlensing",POWER(Upgrades!$U$13,E195),1)*IF(Upgrades!$T$14="Microlensing",POWER(Upgrades!$U$14,F195),1)*IF(Upgrades!$T$16="Microlensing",POWER(Upgrades!$U$16,H195),1)*IF(Upgrades!$T$17="Microlensing",POWER(Upgrades!$U$17,I195),1)*IF(Upgrades!$T$18="Microlensing",POWER(Upgrades!$U$18,J195),1)*IF(Upgrades!$T$19="Microlensing",POWER(Upgrades!$U$19,K195),1)*IF(Upgrades!$T$20="Microlensing",POWER(Upgrades!$U$20,L195),1)*IF(Upgrades!$T$21="Microlensing",POWER(Upgrades!$U$21,M195),1))+(IF(H195=0,0,(Upgrades!$M$16+H195*Upgrades!$N$16)*POWER(Upgrades!$O$16,H195)))*(IF(Upgrades!$T$13="Roche Lobe Overflow",POWER(Upgrades!$U$13,E195),1)*IF(Upgrades!$T$14="Roche Lobe Overflow",POWER(Upgrades!$U$14,F195),1)*IF(Upgrades!$T$15="Roche Lobe Overflow",POWER(Upgrades!$U$15,G195),1)*IF(Upgrades!$T$17="Roche Lobe Overflow",POWER(Upgrades!$U$17,I195),1)*IF(Upgrades!$T$18="Roche Lobe Overflow",POWER(Upgrades!$U$18,J195),1)*IF(Upgrades!$T$19="Roche Lobe Overflow",POWER(Upgrades!$U$19,K195),1)*IF(Upgrades!$T$20="Roche Lobe Overflow",POWER(Upgrades!$U$20,L195),1)*IF(Upgrades!$T$21="Roche Lobe Overflow",POWER(Upgrades!$U$21,M195),1))+(IF(I195=0,0,(Upgrades!$M$17+I195*Upgrades!$N$17)*POWER(Upgrades!$O$17,I195)))*(IF(Upgrades!$T$13="Brown Dwarf",POWER(Upgrades!$U$13,E195),1)*IF(Upgrades!$T$14="Brown Dwarf",POWER(Upgrades!$U$14,F195),1)*IF(Upgrades!$T$15="Brown Dwarf",POWER(Upgrades!$U$15,G195),1)*IF(Upgrades!$T$16="Brown Dwarf",POWER(Upgrades!$U$16,H195),1)*IF(Upgrades!$T$18="Brown Dwarf",POWER(Upgrades!$U$18,J195),1)*IF(Upgrades!$T$19="Brown Dwarf",POWER(Upgrades!$U$19,K195),1)*IF(Upgrades!$T$20="Brown Dwarf",POWER(Upgrades!$U$20,L195),1)*IF(Upgrades!$T$21="Brown Dwarf",POWER(Upgrades!$U$21,M195),1))+(IF(J195=0,0,(Upgrades!$M$18+J195*Upgrades!$N$18)*POWER(Upgrades!$O$18,J195)))*(IF(Upgrades!$T$13="Binary Partner",POWER(Upgrades!$U$13,E195),1)*IF(Upgrades!$T$14="Binary Partner",POWER(Upgrades!$U$14,F195),1)*IF(Upgrades!$T$15="Binary Partner",POWER(Upgrades!$U$15,G195),1)*IF(Upgrades!$T$16="Binary Partner",POWER(Upgrades!$U$16,H195),1)*IF(Upgrades!$T$17="Binary Partner",POWER(Upgrades!$U$17,I195),1)*IF(Upgrades!$T$19="Binary Partner",POWER(Upgrades!$U$19,K195),1)*IF(Upgrades!$T$20="Binary Partner",POWER(Upgrades!$U$20,L195),1)*IF(Upgrades!$T$21="Binary Partner",POWER(Upgrades!$U$21,M195),1))+(IF(K195=0,0,(Upgrades!$M$19+K195*Upgrades!$N$19)*POWER(Upgrades!$O$19,K195)))*(IF(Upgrades!$T$13="Peculiar Velocity",POWER(Upgrades!$U$13,E195),1)*IF(Upgrades!$T$14="Peculiar Velocity",POWER(Upgrades!$U$14,F195),1)*IF(Upgrades!$T$15="Peculiar Velocity",POWER(Upgrades!$U$15,G195),1)*IF(Upgrades!$T$16="Peculiar Velocity",POWER(Upgrades!$U$16,H195),1)*IF(Upgrades!$T$17="Peculiar Velocity",POWER(Upgrades!$U$17,I195),1)*IF(Upgrades!$T$18="Peculiar Velocity",POWER(Upgrades!$U$18,J195),1)*IF(Upgrades!$T$20="Peculiar Velocity",POWER(Upgrades!$U$20,L195),1)*IF(Upgrades!$T$21="Peculiar Velocity",POWER(Upgrades!$U$21,M195),1))+(IF(L195=0,0,(Upgrades!$M$20+L195*Upgrades!$N$20)*POWER(Upgrades!$O$20,L195)))*(IF(Upgrades!$T$13="Open Cluster",POWER(Upgrades!$U$13,E195),1)*IF(Upgrades!$T$14="Open Cluster",POWER(Upgrades!$U$14,F195),1)*IF(Upgrades!$T$15="Open Cluster",POWER(Upgrades!$U$15,G195),1)*IF(Upgrades!$T$16="Open Cluster",POWER(Upgrades!$U$16,H195),1)*IF(Upgrades!$T$17="Open Cluster",POWER(Upgrades!$U$17,I195),1)*IF(Upgrades!$T$18="Open Cluster",POWER(Upgrades!$U$18,J195),1)*IF(Upgrades!$T$19="Open Cluster",POWER(Upgrades!$U$19,K195),1)*IF(Upgrades!$T$21="Open Cluster",POWER(Upgrades!$U$21,M195),1))+(IF(M195=0,0,(Upgrades!$M$21+M195*Upgrades!$N$21)*POWER(Upgrades!$O$21,M195)))*(IF(Upgrades!$T$13="Moving Group",POWER(Upgrades!$U$13,E195),1)*IF(Upgrades!$T$14="Moving Group",POWER(Upgrades!$U$14,F195),1)*IF(Upgrades!$T$15="Moving Group",POWER(Upgrades!$U$15,G195),1)*IF(Upgrades!$T$16="Moving Group",POWER(Upgrades!$U$16,H195),1)*IF(Upgrades!$T$17="Moving Group",POWER(Upgrades!$U$17,I195),1)*IF(Upgrades!$T$18="Moving Group",POWER(Upgrades!$U$18,J195),1)*IF(Upgrades!$T$19="Moving Group",POWER(Upgrades!$U$19,K195),1)*IF(Upgrades!$T$20="Moving Group",POWER(Upgrades!$U$20,L195),1)))*POWER(Upgrades!$R$13,E195)*POWER(Upgrades!$R$14,F195)*POWER(Upgrades!$R$15,G195)*POWER(Upgrades!$R$16,H195)*POWER(Upgrades!$R$17,I195)*POWER(Upgrades!$R$18,J195)*POWER(Upgrades!$R$19,K195)*POWER(Upgrades!$R$20,L195)*POWER(Upgrades!$R$21,M195)*$H$6+$E$6</f>
        <v/>
      </c>
      <c r="R195" s="27">
        <f>IF(N195=1,0,O195*Parameters!$B$10/60*Parameters!$B$11*10)</f>
        <v/>
      </c>
      <c r="S195" s="27">
        <f>IF(N195=1,0,Q195*O195*10)</f>
        <v/>
      </c>
      <c r="T195" s="27">
        <f>IF(N195=1,0,R195+S195+P195*10)</f>
        <v/>
      </c>
      <c r="U195" s="33">
        <f>BE195</f>
        <v/>
      </c>
      <c r="V195" s="22">
        <f>IF(U195="",0,IF(U195="transition",0,IF(U195="SK",AK195,IF(U195="LB",AL195,IF(U195="ML",AM195,IF(U195="RLO",AN195,IF(U195="BD",AO195,IF(U195="BiP",AP195,IF(U195="PV",AQ195,IF(U195="OC",AR195,IF(U195="MG",AS195,0))))))))))</f>
        <v/>
      </c>
      <c r="W195" s="27">
        <f>IF(U195="BiP",Upgrades!$F$18,IF(U195="PV",Upgrades!$F$19,IF(U195="OC",Upgrades!$F$20,IF(U195="MG",Upgrades!$F$21,IF(U195="transition",-Parameters!$B$18*Parameters!$B$19,0)))))</f>
        <v/>
      </c>
      <c r="X195" s="22">
        <f>C195+T195-V195</f>
        <v/>
      </c>
      <c r="Y195" s="30">
        <f>O195*Parameters!$B$10/60*Parameters!$B$11+Q195*O195+P195</f>
        <v/>
      </c>
      <c r="Z195" s="34">
        <f>IF(U195="transition","→ Tier 3 (Galactic Arm)",IF(U195="MG","Moving Group — pocket drifts together",IF(U195="OC","Open Cluster acquired",IF(U195="PV","Peculiar Velocity — passive multiplier active",IF(U195="BiP","Binary Partner — pair bond formed",IF(AND(AU195=1,N195=0,AT195&lt;&gt;1),"Cohesion ready (waiting on completionists)","")))))) </f>
        <v/>
      </c>
      <c r="AA195" s="27">
        <f>(IF(E195=0,0,(Upgrades!$G$13+E195*Upgrades!$H$13)*POWER(Upgrades!$I$13,E195)))*(IF(Upgrades!$T$14="Stellar Kinematics",POWER(Upgrades!$U$14,F195),1)*IF(Upgrades!$T$15="Stellar Kinematics",POWER(Upgrades!$U$15,G195),1)*IF(Upgrades!$T$16="Stellar Kinematics",POWER(Upgrades!$U$16,H195),1)*IF(Upgrades!$T$17="Stellar Kinematics",POWER(Upgrades!$U$17,I195),1)*IF(Upgrades!$T$18="Stellar Kinematics",POWER(Upgrades!$U$18,J195),1)*IF(Upgrades!$T$19="Stellar Kinematics",POWER(Upgrades!$U$19,K195),1)*IF(Upgrades!$T$20="Stellar Kinematics",POWER(Upgrades!$U$20,L195),1)*IF(Upgrades!$T$21="Stellar Kinematics",POWER(Upgrades!$U$21,M195),1))*POWER(Upgrades!$P$13,E195)*POWER(Upgrades!$P$14,F195)*POWER(Upgrades!$P$15,G195)*POWER(Upgrades!$P$16,H195)*POWER(Upgrades!$P$17,I195)*POWER(Upgrades!$P$18,J195)*POWER(Upgrades!$P$19,K195)*POWER(Upgrades!$P$20,L195)*POWER(Upgrades!$P$21,M195)*$F$6*60</f>
        <v/>
      </c>
      <c r="AB195" s="27">
        <f>(IF(F195=0,0,(Upgrades!$G$14+F195*Upgrades!$H$14)*POWER(Upgrades!$I$14,F195)))*(IF(Upgrades!$T$13="Local Bubble",POWER(Upgrades!$U$13,E195),1)*IF(Upgrades!$T$15="Local Bubble",POWER(Upgrades!$U$15,G195),1)*IF(Upgrades!$T$16="Local Bubble",POWER(Upgrades!$U$16,H195),1)*IF(Upgrades!$T$17="Local Bubble",POWER(Upgrades!$U$17,I195),1)*IF(Upgrades!$T$18="Local Bubble",POWER(Upgrades!$U$18,J195),1)*IF(Upgrades!$T$19="Local Bubble",POWER(Upgrades!$U$19,K195),1)*IF(Upgrades!$T$20="Local Bubble",POWER(Upgrades!$U$20,L195),1)*IF(Upgrades!$T$21="Local Bubble",POWER(Upgrades!$U$21,M195),1))*POWER(Upgrades!$P$13,E195)*POWER(Upgrades!$P$14,F195)*POWER(Upgrades!$P$15,G195)*POWER(Upgrades!$P$16,H195)*POWER(Upgrades!$P$17,I195)*POWER(Upgrades!$P$18,J195)*POWER(Upgrades!$P$19,K195)*POWER(Upgrades!$P$20,L195)*POWER(Upgrades!$P$21,M195)*$F$6*60</f>
        <v/>
      </c>
      <c r="AC195" s="27">
        <f>(IF(G195=0,0,(Upgrades!$J$15+G195*Upgrades!$K$15)*POWER(Upgrades!$L$15,G195)))*(IF(Upgrades!$T$13="Microlensing",POWER(Upgrades!$U$13,E195),1)*IF(Upgrades!$T$14="Microlensing",POWER(Upgrades!$U$14,F195),1)*IF(Upgrades!$T$16="Microlensing",POWER(Upgrades!$U$16,H195),1)*IF(Upgrades!$T$17="Microlensing",POWER(Upgrades!$U$17,I195),1)*IF(Upgrades!$T$18="Microlensing",POWER(Upgrades!$U$18,J195),1)*IF(Upgrades!$T$19="Microlensing",POWER(Upgrades!$U$19,K195),1)*IF(Upgrades!$T$20="Microlensing",POWER(Upgrades!$U$20,L195),1)*IF(Upgrades!$T$21="Microlensing",POWER(Upgrades!$U$21,M195),1))*POWER(Upgrades!$Q$13,E195)*POWER(Upgrades!$Q$14,F195)*POWER(Upgrades!$Q$15,G195)*POWER(Upgrades!$Q$16,H195)*POWER(Upgrades!$Q$17,I195)*POWER(Upgrades!$Q$18,J195)*POWER(Upgrades!$Q$19,K195)*POWER(Upgrades!$Q$20,L195)*POWER(Upgrades!$Q$21,M195)*$G$6*(Parameters!$B$10*Parameters!$B$11+Q195*60)</f>
        <v/>
      </c>
      <c r="AD195" s="27">
        <f>(IF(H195=0,0,(Upgrades!$M$16+H195*Upgrades!$N$16)*POWER(Upgrades!$O$16,H195)))*(IF(Upgrades!$T$13="Roche Lobe Overflow",POWER(Upgrades!$U$13,E195),1)*IF(Upgrades!$T$14="Roche Lobe Overflow",POWER(Upgrades!$U$14,F195),1)*IF(Upgrades!$T$15="Roche Lobe Overflow",POWER(Upgrades!$U$15,G195),1)*IF(Upgrades!$T$17="Roche Lobe Overflow",POWER(Upgrades!$U$17,I195),1)*IF(Upgrades!$T$18="Roche Lobe Overflow",POWER(Upgrades!$U$18,J195),1)*IF(Upgrades!$T$19="Roche Lobe Overflow",POWER(Upgrades!$U$19,K195),1)*IF(Upgrades!$T$20="Roche Lobe Overflow",POWER(Upgrades!$U$20,L195),1)*IF(Upgrades!$T$21="Roche Lobe Overflow",POWER(Upgrades!$U$21,M195),1))*POWER(Upgrades!$R$13,E195)*POWER(Upgrades!$R$14,F195)*POWER(Upgrades!$R$15,G195)*POWER(Upgrades!$R$16,H195)*POWER(Upgrades!$R$17,I195)*POWER(Upgrades!$R$18,J195)*POWER(Upgrades!$R$19,K195)*POWER(Upgrades!$R$20,L195)*POWER(Upgrades!$R$21,M195)*$H$6*O195*60</f>
        <v/>
      </c>
      <c r="AE195" s="27">
        <f>(IF(I195=0,0,(Upgrades!$G$17+I195*Upgrades!$H$17)*POWER(Upgrades!$I$17,I195)))*(IF(Upgrades!$T$13="Brown Dwarf",POWER(Upgrades!$U$13,E195),1)*IF(Upgrades!$T$14="Brown Dwarf",POWER(Upgrades!$U$14,F195),1)*IF(Upgrades!$T$15="Brown Dwarf",POWER(Upgrades!$U$15,G195),1)*IF(Upgrades!$T$16="Brown Dwarf",POWER(Upgrades!$U$16,H195),1)*IF(Upgrades!$T$18="Brown Dwarf",POWER(Upgrades!$U$18,J195),1)*IF(Upgrades!$T$19="Brown Dwarf",POWER(Upgrades!$U$19,K195),1)*IF(Upgrades!$T$20="Brown Dwarf",POWER(Upgrades!$U$20,L195),1)*IF(Upgrades!$T$21="Brown Dwarf",POWER(Upgrades!$U$21,M195),1))*POWER(Upgrades!$P$13,E195)*POWER(Upgrades!$P$14,F195)*POWER(Upgrades!$P$15,G195)*POWER(Upgrades!$P$16,H195)*POWER(Upgrades!$P$17,I195)*POWER(Upgrades!$P$18,J195)*POWER(Upgrades!$P$19,K195)*POWER(Upgrades!$P$20,L195)*POWER(Upgrades!$P$21,M195)*$F$6*60</f>
        <v/>
      </c>
      <c r="AF195" s="27" t="n">
        <v>0</v>
      </c>
      <c r="AG195" s="27" t="n">
        <v>0</v>
      </c>
      <c r="AH195" s="27" t="n">
        <v>0</v>
      </c>
      <c r="AI195" s="27">
        <f>(IF(M195=0,0,(Upgrades!$G$21+M195*Upgrades!$H$21)*POWER(Upgrades!$I$21,M195)))*(IF(Upgrades!$T$13="Moving Group",POWER(Upgrades!$U$13,E195),1)*IF(Upgrades!$T$14="Moving Group",POWER(Upgrades!$U$14,F195),1)*IF(Upgrades!$T$15="Moving Group",POWER(Upgrades!$U$15,G195),1)*IF(Upgrades!$T$16="Moving Group",POWER(Upgrades!$U$16,H195),1)*IF(Upgrades!$T$17="Moving Group",POWER(Upgrades!$U$17,I195),1)*IF(Upgrades!$T$18="Moving Group",POWER(Upgrades!$U$18,J195),1)*IF(Upgrades!$T$19="Moving Group",POWER(Upgrades!$U$19,K195),1)*IF(Upgrades!$T$20="Moving Group",POWER(Upgrades!$U$20,L195),1))*POWER(Upgrades!$P$13,E195)*POWER(Upgrades!$P$14,F195)*POWER(Upgrades!$P$15,G195)*POWER(Upgrades!$P$16,H195)*POWER(Upgrades!$P$17,I195)*POWER(Upgrades!$P$18,J195)*POWER(Upgrades!$P$19,K195)*POWER(Upgrades!$P$20,L195)*POWER(Upgrades!$P$21,M195)*$F$6*60</f>
        <v/>
      </c>
      <c r="AJ195" s="27">
        <f>$C$6*60</f>
        <v/>
      </c>
      <c r="AK195" s="22">
        <f>IF(E195&gt;=Upgrades!$E$13,"",Upgrades!$C$13*POWER(Upgrades!$D$13,E195))</f>
        <v/>
      </c>
      <c r="AL195" s="22">
        <f>IF(F195&gt;=Upgrades!$E$14,"",Upgrades!$C$14*POWER(Upgrades!$D$14,F195))</f>
        <v/>
      </c>
      <c r="AM195" s="22">
        <f>IF(G195&gt;=Upgrades!$E$15,"",Upgrades!$C$15*POWER(Upgrades!$D$15,G195))</f>
        <v/>
      </c>
      <c r="AN195" s="22">
        <f>IF(H195&gt;=Upgrades!$E$16,"",Upgrades!$C$16*POWER(Upgrades!$D$16,H195))</f>
        <v/>
      </c>
      <c r="AO195" s="22">
        <f>IF(I195&gt;=Upgrades!$E$17,"",Upgrades!$C$17*POWER(Upgrades!$D$17,I195))</f>
        <v/>
      </c>
      <c r="AP195" s="22">
        <f>IF(J195&gt;=Upgrades!$E$18,"",Upgrades!$C$18*POWER(Upgrades!$D$18,J195))</f>
        <v/>
      </c>
      <c r="AQ195" s="22">
        <f>IF(K195&gt;=Upgrades!$E$19,"",Upgrades!$C$19*POWER(Upgrades!$D$19,K195))</f>
        <v/>
      </c>
      <c r="AR195" s="22">
        <f>IF(L195&gt;=Upgrades!$E$20,"",Upgrades!$C$20*POWER(Upgrades!$D$20,L195))</f>
        <v/>
      </c>
      <c r="AS195" s="22">
        <f>IF(M195&gt;=Upgrades!$E$21,"",Upgrades!$C$21*POWER(Upgrades!$D$21,M195))</f>
        <v/>
      </c>
      <c r="AT195" s="26">
        <f>IF(AND(D195&gt;=Parameters!$B$18*Parameters!$B$19,(I195&gt;=Upgrades!$E$17)*(M195&gt;=Upgrades!$E$21)=1,N195=0),1,"")</f>
        <v/>
      </c>
      <c r="AU195" s="26">
        <f>IF(AND(D195&gt;=Parameters!$B$18*Parameters!$B$19,N195=0),1,"")</f>
        <v/>
      </c>
      <c r="AV195" s="22">
        <f>MIN(IF(ISNUMBER(AP195),AP195,9E15),IF(ISNUMBER(AQ195),AQ195,9E15),IF(ISNUMBER(AR195),AR195,9E15),IF(ISNUMBER(AS195),AS195,9E15))</f>
        <v/>
      </c>
      <c r="AW195" s="22">
        <f>MIN(IF(ISNUMBER(AK195),AK195,9E15),IF(ISNUMBER(AL195),AL195,9E15),IF(ISNUMBER(AM195),AM195,9E15),IF(ISNUMBER(AN195),AN195,9E15),IF(ISNUMBER(AO195),AO195,9E15))</f>
        <v/>
      </c>
      <c r="AX195" s="29">
        <f>IF(BD195&gt;Parameters!$B$21*(MAX(IF(AND(NOT(AND(AU195=1,AT195&lt;&gt;1)),ISNUMBER(AK195),AK195&lt;=(C195+T195)),AY195,0),IF(AND(NOT(AND(AU195=1,AT195&lt;&gt;1)),ISNUMBER(AL195),AL195&lt;=(C195+T195)),AZ195,0),IF(AND(NOT(AND(AU195=1,AT195&lt;&gt;1)),ISNUMBER(AM195),AM195&lt;=(C195+T195)),BA195,0),IF(AND(NOT(AND(AU195=1,AT195&lt;&gt;1)),ISNUMBER(AN195),AN195&lt;=(C195+T195)),BB195,0),IF(AND(ISNUMBER(AO195),AO195&lt;=(C195+T195)),BC195,0))),TRUE,FALSE)</f>
        <v/>
      </c>
      <c r="AY195" s="32">
        <f>IFERROR(Upgrades!$H$13*(POWER(Upgrades!$P$13,E195)*POWER(Upgrades!$P$14,F195)*POWER(Upgrades!$P$15,G195)*POWER(Upgrades!$P$16,H195)*POWER(Upgrades!$P$17,I195)*POWER(Upgrades!$P$18,J195)*POWER(Upgrades!$P$19,K195)*POWER(Upgrades!$P$20,L195)*POWER(Upgrades!$P$21,M195))*(IF(Upgrades!$T$14="Stellar Kinematics",POWER(Upgrades!$U$14,F195),1)*IF(Upgrades!$T$15="Stellar Kinematics",POWER(Upgrades!$U$15,G195),1)*IF(Upgrades!$T$16="Stellar Kinematics",POWER(Upgrades!$U$16,H195),1)*IF(Upgrades!$T$17="Stellar Kinematics",POWER(Upgrades!$U$17,I195),1)*IF(Upgrades!$T$18="Stellar Kinematics",POWER(Upgrades!$U$18,J195),1)*IF(Upgrades!$T$19="Stellar Kinematics",POWER(Upgrades!$U$19,K195),1)*IF(Upgrades!$T$20="Stellar Kinematics",POWER(Upgrades!$U$20,L195),1)*IF(Upgrades!$T$21="Stellar Kinematics",POWER(Upgrades!$U$21,M195),1))*$F$6/AK195,0)</f>
        <v/>
      </c>
      <c r="AZ195" s="32">
        <f>IFERROR(Upgrades!$H$14*(POWER(Upgrades!$P$13,E195)*POWER(Upgrades!$P$14,F195)*POWER(Upgrades!$P$15,G195)*POWER(Upgrades!$P$16,H195)*POWER(Upgrades!$P$17,I195)*POWER(Upgrades!$P$18,J195)*POWER(Upgrades!$P$19,K195)*POWER(Upgrades!$P$20,L195)*POWER(Upgrades!$P$21,M195))*(IF(Upgrades!$T$13="Local Bubble",POWER(Upgrades!$U$13,E195),1)*IF(Upgrades!$T$15="Local Bubble",POWER(Upgrades!$U$15,G195),1)*IF(Upgrades!$T$16="Local Bubble",POWER(Upgrades!$U$16,H195),1)*IF(Upgrades!$T$17="Local Bubble",POWER(Upgrades!$U$17,I195),1)*IF(Upgrades!$T$18="Local Bubble",POWER(Upgrades!$U$18,J195),1)*IF(Upgrades!$T$19="Local Bubble",POWER(Upgrades!$U$19,K195),1)*IF(Upgrades!$T$20="Local Bubble",POWER(Upgrades!$U$20,L195),1)*IF(Upgrades!$T$21="Local Bubble",POWER(Upgrades!$U$21,M195),1))*$F$6/AL195,0)</f>
        <v/>
      </c>
      <c r="BA195" s="32">
        <f>IFERROR(Upgrades!$K$15*(POWER(Upgrades!$Q$13,E195)*POWER(Upgrades!$Q$14,F195)*POWER(Upgrades!$Q$15,G195)*POWER(Upgrades!$Q$16,H195)*POWER(Upgrades!$Q$17,I195)*POWER(Upgrades!$Q$18,J195)*POWER(Upgrades!$Q$19,K195)*POWER(Upgrades!$Q$20,L195)*POWER(Upgrades!$Q$21,M195))*(IF(Upgrades!$T$13="Microlensing",POWER(Upgrades!$U$13,E195),1)*IF(Upgrades!$T$14="Microlensing",POWER(Upgrades!$U$14,F195),1)*IF(Upgrades!$T$16="Microlensing",POWER(Upgrades!$U$16,H195),1)*IF(Upgrades!$T$17="Microlensing",POWER(Upgrades!$U$17,I195),1)*IF(Upgrades!$T$18="Microlensing",POWER(Upgrades!$U$18,J195),1)*IF(Upgrades!$T$19="Microlensing",POWER(Upgrades!$U$19,K195),1)*IF(Upgrades!$T$20="Microlensing",POWER(Upgrades!$U$20,L195),1)*IF(Upgrades!$T$21="Microlensing",POWER(Upgrades!$U$21,M195),1))*$G$6*(Parameters!$B$10/60*Parameters!$B$11+Q195)/AM195,0)</f>
        <v/>
      </c>
      <c r="BB195" s="32">
        <f>IFERROR((Upgrades!$N$16*(POWER(Upgrades!$R$13,E195)*POWER(Upgrades!$R$14,F195)*POWER(Upgrades!$R$15,G195)*POWER(Upgrades!$R$16,H195)*POWER(Upgrades!$R$17,I195)*POWER(Upgrades!$R$18,J195)*POWER(Upgrades!$R$19,K195)*POWER(Upgrades!$R$20,L195)*POWER(Upgrades!$R$21,M195))*(IF(Upgrades!$T$13="Roche Lobe Overflow",POWER(Upgrades!$U$13,E195),1)*IF(Upgrades!$T$14="Roche Lobe Overflow",POWER(Upgrades!$U$14,F195),1)*IF(Upgrades!$T$15="Roche Lobe Overflow",POWER(Upgrades!$U$15,G195),1)*IF(Upgrades!$T$17="Roche Lobe Overflow",POWER(Upgrades!$U$17,I195),1)*IF(Upgrades!$T$18="Roche Lobe Overflow",POWER(Upgrades!$U$18,J195),1)*IF(Upgrades!$T$19="Roche Lobe Overflow",POWER(Upgrades!$U$19,K195),1)*IF(Upgrades!$T$20="Roche Lobe Overflow",POWER(Upgrades!$U$20,L195),1)*IF(Upgrades!$T$21="Roche Lobe Overflow",POWER(Upgrades!$U$21,M195),1))*$H$6*O195+((IF(F195=0,0,(Upgrades!$G$14+F195*Upgrades!$H$14)*POWER(Upgrades!$I$14,F195)))*(IF(Upgrades!$T$13="Local Bubble",POWER(Upgrades!$U$13,E195),1)*IF(Upgrades!$T$15="Local Bubble",POWER(Upgrades!$U$15,G195),1)*IF(Upgrades!$T$16="Local Bubble",POWER(Upgrades!$U$16,H195),1)*IF(Upgrades!$T$17="Local Bubble",POWER(Upgrades!$U$17,I195),1)*IF(Upgrades!$T$18="Local Bubble",POWER(Upgrades!$U$18,J195),1)*IF(Upgrades!$T$19="Local Bubble",POWER(Upgrades!$U$19,K195),1)*IF(Upgrades!$T$20="Local Bubble",POWER(Upgrades!$U$20,L195),1)*IF(Upgrades!$T$21="Local Bubble",POWER(Upgrades!$U$21,M195),1))*POWER(Upgrades!$P$13,E195)*POWER(Upgrades!$P$14,F195)*POWER(Upgrades!$P$15,G195)*POWER(Upgrades!$P$16,H195)*POWER(Upgrades!$P$17,I195)*POWER(Upgrades!$P$18,J195)*POWER(Upgrades!$P$19,K195)*POWER(Upgrades!$P$20,L195)*POWER(Upgrades!$P$21,M195)*$F$6)*0.05)/AN195,0)</f>
        <v/>
      </c>
      <c r="BC195" s="32">
        <f>IFERROR((Upgrades!$H$17*(POWER(Upgrades!$P$13,E195)*POWER(Upgrades!$P$14,F195)*POWER(Upgrades!$P$15,G195)*POWER(Upgrades!$P$16,H195)*POWER(Upgrades!$P$17,I195)*POWER(Upgrades!$P$18,J195)*POWER(Upgrades!$P$19,K195)*POWER(Upgrades!$P$20,L195)*POWER(Upgrades!$P$21,M195))*(IF(Upgrades!$T$13="Brown Dwarf",POWER(Upgrades!$U$13,E195),1)*IF(Upgrades!$T$14="Brown Dwarf",POWER(Upgrades!$U$14,F195),1)*IF(Upgrades!$T$15="Brown Dwarf",POWER(Upgrades!$U$15,G195),1)*IF(Upgrades!$T$16="Brown Dwarf",POWER(Upgrades!$U$16,H195),1)*IF(Upgrades!$T$18="Brown Dwarf",POWER(Upgrades!$U$18,J195),1)*IF(Upgrades!$T$19="Brown Dwarf",POWER(Upgrades!$U$19,K195),1)*IF(Upgrades!$T$20="Brown Dwarf",POWER(Upgrades!$U$20,L195),1)*IF(Upgrades!$T$21="Brown Dwarf",POWER(Upgrades!$U$21,M195),1))*$F$6+(((IF(H195=0,0,(Upgrades!$M$16+H195*Upgrades!$N$16)*POWER(Upgrades!$O$16,H195)))*(IF(Upgrades!$T$13="Roche Lobe Overflow",POWER(Upgrades!$U$13,E195),1)*IF(Upgrades!$T$14="Roche Lobe Overflow",POWER(Upgrades!$U$14,F195),1)*IF(Upgrades!$T$15="Roche Lobe Overflow",POWER(Upgrades!$U$15,G195),1)*IF(Upgrades!$T$17="Roche Lobe Overflow",POWER(Upgrades!$U$17,I195),1)*IF(Upgrades!$T$18="Roche Lobe Overflow",POWER(Upgrades!$U$18,J195),1)*IF(Upgrades!$T$19="Roche Lobe Overflow",POWER(Upgrades!$U$19,K195),1)*IF(Upgrades!$T$20="Roche Lobe Overflow",POWER(Upgrades!$U$20,L195),1)*IF(Upgrades!$T$21="Roche Lobe Overflow",POWER(Upgrades!$U$21,M195),1))*POWER(Upgrades!$R$13,E195)*POWER(Upgrades!$R$14,F195)*POWER(Upgrades!$R$15,G195)*POWER(Upgrades!$R$16,H195)*POWER(Upgrades!$R$17,I195)*POWER(Upgrades!$R$18,J195)*POWER(Upgrades!$R$19,K195)*POWER(Upgrades!$R$20,L195)*POWER(Upgrades!$R$21,M195)*$H$6)*O195)*0.10)/AO195,0)</f>
        <v/>
      </c>
      <c r="BD195" s="32">
        <f>MAX(IF(J195&gt;0,0,IFERROR(0.5*((IF(G195=0,0,(Upgrades!$J$15+G195*Upgrades!$K$15)*POWER(Upgrades!$L$15,G195)))*(IF(Upgrades!$T$13="Microlensing",POWER(Upgrades!$U$13,E195),1)*IF(Upgrades!$T$14="Microlensing",POWER(Upgrades!$U$14,F195),1)*IF(Upgrades!$T$16="Microlensing",POWER(Upgrades!$U$16,H195),1)*IF(Upgrades!$T$17="Microlensing",POWER(Upgrades!$U$17,I195),1)*IF(Upgrades!$T$18="Microlensing",POWER(Upgrades!$U$18,J195),1)*IF(Upgrades!$T$19="Microlensing",POWER(Upgrades!$U$19,K195),1)*IF(Upgrades!$T$20="Microlensing",POWER(Upgrades!$U$20,L195),1)*IF(Upgrades!$T$21="Microlensing",POWER(Upgrades!$U$21,M195),1))*(POWER(Upgrades!$Q$13,E195)*POWER(Upgrades!$Q$14,F195)*POWER(Upgrades!$Q$15,G195)*POWER(Upgrades!$Q$16,H195)*POWER(Upgrades!$Q$17,I195)*POWER(Upgrades!$Q$18,J195)*POWER(Upgrades!$Q$19,K195)*POWER(Upgrades!$Q$20,L195)*POWER(Upgrades!$Q$21,M195))*$G$6*(Parameters!$B$10/60*Parameters!$B$11+Q195))/Upgrades!$C$18,0)),IF(K195&gt;0,0,IFERROR(0.30*P195/Upgrades!$C$19,0)),IF(L195&gt;0,0,IFERROR(0.0001/Upgrades!$C$20,0)),IF(M195&gt;0,0,IFERROR((6.0*(POWER(Upgrades!$P$13,E195)*POWER(Upgrades!$P$14,F195)*POWER(Upgrades!$P$15,G195)*POWER(Upgrades!$P$16,H195)*POWER(Upgrades!$P$17,I195)*POWER(Upgrades!$P$18,J195)*POWER(Upgrades!$P$19,K195)*POWER(Upgrades!$P$20,L195)*POWER(Upgrades!$P$21,M195))*$F$6+0.20*O195*(Parameters!$B$10/60*Parameters!$B$11+Q195))/Upgrades!$C$21,0)),IF(AND(ISNUMBER(AK195),AK195&gt;(C195+T195)),AY195,0),IF(AND(ISNUMBER(AL195),AL195&gt;(C195+T195)),AZ195,0),IF(AND(ISNUMBER(AM195),AM195&gt;(C195+T195)),BA195,0),IF(AND(ISNUMBER(AN195),AN195&gt;(C195+T195)),BB195,0),IF(AND(ISNUMBER(AO195),AO195&gt;(C195+T195)),BC195,0))</f>
        <v/>
      </c>
      <c r="BE195" s="29">
        <f>IF(AT195=1,"transition",IF(MIN(IF(AND(J195=0,ISNUMBER(AP195),AP195&lt;=(C195+T195)),AP195,9E15),IF(AND(K195=0,ISNUMBER(AQ195),AQ195&lt;=(C195+T195)),AQ195,9E15),IF(AND(L195=0,ISNUMBER(AR195),AR195&lt;=(C195+T195)),AR195,9E15),IF(AND(M195=0,ISNUMBER(AS195),AS195&lt;=(C195+T195)),AS195,9E15))&lt;9E15,IF(AND(AND(J195=0,ISNUMBER(AP195),AP195&lt;=(C195+T195)),AP195=MIN(IF(AND(J195=0,ISNUMBER(AP195),AP195&lt;=(C195+T195)),AP195,9E15),IF(AND(K195=0,ISNUMBER(AQ195),AQ195&lt;=(C195+T195)),AQ195,9E15),IF(AND(L195=0,ISNUMBER(AR195),AR195&lt;=(C195+T195)),AR195,9E15),IF(AND(M195=0,ISNUMBER(AS195),AS195&lt;=(C195+T195)),AS195,9E15))),"BiP",IF(AND(AND(K195=0,ISNUMBER(AQ195),AQ195&lt;=(C195+T195)),AQ195=MIN(IF(AND(J195=0,ISNUMBER(AP195),AP195&lt;=(C195+T195)),AP195,9E15),IF(AND(K195=0,ISNUMBER(AQ195),AQ195&lt;=(C195+T195)),AQ195,9E15),IF(AND(L195=0,ISNUMBER(AR195),AR195&lt;=(C195+T195)),AR195,9E15),IF(AND(M195=0,ISNUMBER(AS195),AS195&lt;=(C195+T195)),AS195,9E15))),"PV",IF(AND(AND(L195=0,ISNUMBER(AR195),AR195&lt;=(C195+T195)),AR195=MIN(IF(AND(J195=0,ISNUMBER(AP195),AP195&lt;=(C195+T195)),AP195,9E15),IF(AND(K195=0,ISNUMBER(AQ195),AQ195&lt;=(C195+T195)),AQ195,9E15),IF(AND(L195=0,ISNUMBER(AR195),AR195&lt;=(C195+T195)),AR195,9E15),IF(AND(M195=0,ISNUMBER(AS195),AS195&lt;=(C195+T195)),AS195,9E15))),"OC","MG"))),IF(AX195=TRUE,"",IF(MAX(IF(AND(NOT(AND(AU195=1,AT195&lt;&gt;1)),ISNUMBER(AK195),AK195&lt;=(C195+T195)),AY195,0),IF(AND(NOT(AND(AU195=1,AT195&lt;&gt;1)),ISNUMBER(AL195),AL195&lt;=(C195+T195)),AZ195,0),IF(AND(NOT(AND(AU195=1,AT195&lt;&gt;1)),ISNUMBER(AM195),AM195&lt;=(C195+T195)),BA195,0),IF(AND(NOT(AND(AU195=1,AT195&lt;&gt;1)),ISNUMBER(AN195),AN195&lt;=(C195+T195)),BB195,0),IF(AND(ISNUMBER(AO195),AO195&lt;=(C195+T195)),BC195,0))&lt;=0,"",IF(AND(IF(AND(NOT(AND(AU195=1,AT195&lt;&gt;1)),ISNUMBER(AK195),AK195&lt;=(C195+T195)),AY195,0)&gt;0,IF(AND(NOT(AND(AU195=1,AT195&lt;&gt;1)),ISNUMBER(AK195),AK195&lt;=(C195+T195)),AY195,0)=MAX(IF(AND(NOT(AND(AU195=1,AT195&lt;&gt;1)),ISNUMBER(AK195),AK195&lt;=(C195+T195)),AY195,0),IF(AND(NOT(AND(AU195=1,AT195&lt;&gt;1)),ISNUMBER(AL195),AL195&lt;=(C195+T195)),AZ195,0),IF(AND(NOT(AND(AU195=1,AT195&lt;&gt;1)),ISNUMBER(AM195),AM195&lt;=(C195+T195)),BA195,0),IF(AND(NOT(AND(AU195=1,AT195&lt;&gt;1)),ISNUMBER(AN195),AN195&lt;=(C195+T195)),BB195,0),IF(AND(ISNUMBER(AO195),AO195&lt;=(C195+T195)),BC195,0))),"SK",IF(AND(IF(AND(NOT(AND(AU195=1,AT195&lt;&gt;1)),ISNUMBER(AL195),AL195&lt;=(C195+T195)),AZ195,0)&gt;0,IF(AND(NOT(AND(AU195=1,AT195&lt;&gt;1)),ISNUMBER(AL195),AL195&lt;=(C195+T195)),AZ195,0)=MAX(IF(AND(NOT(AND(AU195=1,AT195&lt;&gt;1)),ISNUMBER(AK195),AK195&lt;=(C195+T195)),AY195,0),IF(AND(NOT(AND(AU195=1,AT195&lt;&gt;1)),ISNUMBER(AL195),AL195&lt;=(C195+T195)),AZ195,0),IF(AND(NOT(AND(AU195=1,AT195&lt;&gt;1)),ISNUMBER(AM195),AM195&lt;=(C195+T195)),BA195,0),IF(AND(NOT(AND(AU195=1,AT195&lt;&gt;1)),ISNUMBER(AN195),AN195&lt;=(C195+T195)),BB195,0),IF(AND(ISNUMBER(AO195),AO195&lt;=(C195+T195)),BC195,0))),"LB",IF(AND(IF(AND(NOT(AND(AU195=1,AT195&lt;&gt;1)),ISNUMBER(AM195),AM195&lt;=(C195+T195)),BA195,0)&gt;0,IF(AND(NOT(AND(AU195=1,AT195&lt;&gt;1)),ISNUMBER(AM195),AM195&lt;=(C195+T195)),BA195,0)=MAX(IF(AND(NOT(AND(AU195=1,AT195&lt;&gt;1)),ISNUMBER(AK195),AK195&lt;=(C195+T195)),AY195,0),IF(AND(NOT(AND(AU195=1,AT195&lt;&gt;1)),ISNUMBER(AL195),AL195&lt;=(C195+T195)),AZ195,0),IF(AND(NOT(AND(AU195=1,AT195&lt;&gt;1)),ISNUMBER(AM195),AM195&lt;=(C195+T195)),BA195,0),IF(AND(NOT(AND(AU195=1,AT195&lt;&gt;1)),ISNUMBER(AN195),AN195&lt;=(C195+T195)),BB195,0),IF(AND(ISNUMBER(AO195),AO195&lt;=(C195+T195)),BC195,0))),"ML",IF(AND(IF(AND(NOT(AND(AU195=1,AT195&lt;&gt;1)),ISNUMBER(AN195),AN195&lt;=(C195+T195)),BB195,0)&gt;0,IF(AND(NOT(AND(AU195=1,AT195&lt;&gt;1)),ISNUMBER(AN195),AN195&lt;=(C195+T195)),BB195,0)=MAX(IF(AND(NOT(AND(AU195=1,AT195&lt;&gt;1)),ISNUMBER(AK195),AK195&lt;=(C195+T195)),AY195,0),IF(AND(NOT(AND(AU195=1,AT195&lt;&gt;1)),ISNUMBER(AL195),AL195&lt;=(C195+T195)),AZ195,0),IF(AND(NOT(AND(AU195=1,AT195&lt;&gt;1)),ISNUMBER(AM195),AM195&lt;=(C195+T195)),BA195,0),IF(AND(NOT(AND(AU195=1,AT195&lt;&gt;1)),ISNUMBER(AN195),AN195&lt;=(C195+T195)),BB195,0),IF(AND(ISNUMBER(AO195),AO195&lt;=(C195+T195)),BC195,0))),"RLO","BD"))))))))</f>
        <v/>
      </c>
    </row>
    <row r="196">
      <c r="A196" s="26" t="n">
        <v>185</v>
      </c>
      <c r="B196" s="27">
        <f>A196*10/60</f>
        <v/>
      </c>
      <c r="C196" s="22">
        <f>X195</f>
        <v/>
      </c>
      <c r="D196" s="27">
        <f>D195+W195</f>
        <v/>
      </c>
      <c r="E196" s="26">
        <f>E195+IF(U195="SK",1,0)</f>
        <v/>
      </c>
      <c r="F196" s="26">
        <f>F195+IF(U195="LB",1,0)</f>
        <v/>
      </c>
      <c r="G196" s="26">
        <f>G195+IF(U195="ML",1,0)</f>
        <v/>
      </c>
      <c r="H196" s="26">
        <f>H195+IF(U195="RLO",1,0)</f>
        <v/>
      </c>
      <c r="I196" s="26">
        <f>I195+IF(U195="BD",1,0)</f>
        <v/>
      </c>
      <c r="J196" s="26">
        <f>MAX(J195,IF(U195="BiP",1,0))</f>
        <v/>
      </c>
      <c r="K196" s="26">
        <f>MAX(K195,IF(U195="PV",1,0))</f>
        <v/>
      </c>
      <c r="L196" s="26">
        <f>MAX(L195,IF(U195="OC",1,0))</f>
        <v/>
      </c>
      <c r="M196" s="26">
        <f>MAX(M195,IF(U195="MG",1,0))</f>
        <v/>
      </c>
      <c r="N196" s="26">
        <f>MAX(N195,IF(U195="transition",1,0))</f>
        <v/>
      </c>
      <c r="O196" s="28">
        <f>(Parameters!$B$9+(IF(E196=0,0,(Upgrades!$J$13+E196*Upgrades!$K$13)*POWER(Upgrades!$L$13,E196)))*(IF(Upgrades!$T$14="Stellar Kinematics",POWER(Upgrades!$U$14,F196),1)*IF(Upgrades!$T$15="Stellar Kinematics",POWER(Upgrades!$U$15,G196),1)*IF(Upgrades!$T$16="Stellar Kinematics",POWER(Upgrades!$U$16,H196),1)*IF(Upgrades!$T$17="Stellar Kinematics",POWER(Upgrades!$U$17,I196),1)*IF(Upgrades!$T$18="Stellar Kinematics",POWER(Upgrades!$U$18,J196),1)*IF(Upgrades!$T$19="Stellar Kinematics",POWER(Upgrades!$U$19,K196),1)*IF(Upgrades!$T$20="Stellar Kinematics",POWER(Upgrades!$U$20,L196),1)*IF(Upgrades!$T$21="Stellar Kinematics",POWER(Upgrades!$U$21,M196),1))+(IF(F196=0,0,(Upgrades!$J$14+F196*Upgrades!$K$14)*POWER(Upgrades!$L$14,F196)))*(IF(Upgrades!$T$13="Local Bubble",POWER(Upgrades!$U$13,E196),1)*IF(Upgrades!$T$15="Local Bubble",POWER(Upgrades!$U$15,G196),1)*IF(Upgrades!$T$16="Local Bubble",POWER(Upgrades!$U$16,H196),1)*IF(Upgrades!$T$17="Local Bubble",POWER(Upgrades!$U$17,I196),1)*IF(Upgrades!$T$18="Local Bubble",POWER(Upgrades!$U$18,J196),1)*IF(Upgrades!$T$19="Local Bubble",POWER(Upgrades!$U$19,K196),1)*IF(Upgrades!$T$20="Local Bubble",POWER(Upgrades!$U$20,L196),1)*IF(Upgrades!$T$21="Local Bubble",POWER(Upgrades!$U$21,M196),1))+(IF(G196=0,0,(Upgrades!$J$15+G196*Upgrades!$K$15)*POWER(Upgrades!$L$15,G196)))*(IF(Upgrades!$T$13="Microlensing",POWER(Upgrades!$U$13,E196),1)*IF(Upgrades!$T$14="Microlensing",POWER(Upgrades!$U$14,F196),1)*IF(Upgrades!$T$16="Microlensing",POWER(Upgrades!$U$16,H196),1)*IF(Upgrades!$T$17="Microlensing",POWER(Upgrades!$U$17,I196),1)*IF(Upgrades!$T$18="Microlensing",POWER(Upgrades!$U$18,J196),1)*IF(Upgrades!$T$19="Microlensing",POWER(Upgrades!$U$19,K196),1)*IF(Upgrades!$T$20="Microlensing",POWER(Upgrades!$U$20,L196),1)*IF(Upgrades!$T$21="Microlensing",POWER(Upgrades!$U$21,M196),1))+(IF(H196=0,0,(Upgrades!$J$16+H196*Upgrades!$K$16)*POWER(Upgrades!$L$16,H196)))*(IF(Upgrades!$T$13="Roche Lobe Overflow",POWER(Upgrades!$U$13,E196),1)*IF(Upgrades!$T$14="Roche Lobe Overflow",POWER(Upgrades!$U$14,F196),1)*IF(Upgrades!$T$15="Roche Lobe Overflow",POWER(Upgrades!$U$15,G196),1)*IF(Upgrades!$T$17="Roche Lobe Overflow",POWER(Upgrades!$U$17,I196),1)*IF(Upgrades!$T$18="Roche Lobe Overflow",POWER(Upgrades!$U$18,J196),1)*IF(Upgrades!$T$19="Roche Lobe Overflow",POWER(Upgrades!$U$19,K196),1)*IF(Upgrades!$T$20="Roche Lobe Overflow",POWER(Upgrades!$U$20,L196),1)*IF(Upgrades!$T$21="Roche Lobe Overflow",POWER(Upgrades!$U$21,M196),1))+(IF(I196=0,0,(Upgrades!$J$17+I196*Upgrades!$K$17)*POWER(Upgrades!$L$17,I196)))*(IF(Upgrades!$T$13="Brown Dwarf",POWER(Upgrades!$U$13,E196),1)*IF(Upgrades!$T$14="Brown Dwarf",POWER(Upgrades!$U$14,F196),1)*IF(Upgrades!$T$15="Brown Dwarf",POWER(Upgrades!$U$15,G196),1)*IF(Upgrades!$T$16="Brown Dwarf",POWER(Upgrades!$U$16,H196),1)*IF(Upgrades!$T$18="Brown Dwarf",POWER(Upgrades!$U$18,J196),1)*IF(Upgrades!$T$19="Brown Dwarf",POWER(Upgrades!$U$19,K196),1)*IF(Upgrades!$T$20="Brown Dwarf",POWER(Upgrades!$U$20,L196),1)*IF(Upgrades!$T$21="Brown Dwarf",POWER(Upgrades!$U$21,M196),1))+(IF(J196=0,0,(Upgrades!$J$18+J196*Upgrades!$K$18)*POWER(Upgrades!$L$18,J196)))*(IF(Upgrades!$T$13="Binary Partner",POWER(Upgrades!$U$13,E196),1)*IF(Upgrades!$T$14="Binary Partner",POWER(Upgrades!$U$14,F196),1)*IF(Upgrades!$T$15="Binary Partner",POWER(Upgrades!$U$15,G196),1)*IF(Upgrades!$T$16="Binary Partner",POWER(Upgrades!$U$16,H196),1)*IF(Upgrades!$T$17="Binary Partner",POWER(Upgrades!$U$17,I196),1)*IF(Upgrades!$T$19="Binary Partner",POWER(Upgrades!$U$19,K196),1)*IF(Upgrades!$T$20="Binary Partner",POWER(Upgrades!$U$20,L196),1)*IF(Upgrades!$T$21="Binary Partner",POWER(Upgrades!$U$21,M196),1))+(IF(K196=0,0,(Upgrades!$J$19+K196*Upgrades!$K$19)*POWER(Upgrades!$L$19,K196)))*(IF(Upgrades!$T$13="Peculiar Velocity",POWER(Upgrades!$U$13,E196),1)*IF(Upgrades!$T$14="Peculiar Velocity",POWER(Upgrades!$U$14,F196),1)*IF(Upgrades!$T$15="Peculiar Velocity",POWER(Upgrades!$U$15,G196),1)*IF(Upgrades!$T$16="Peculiar Velocity",POWER(Upgrades!$U$16,H196),1)*IF(Upgrades!$T$17="Peculiar Velocity",POWER(Upgrades!$U$17,I196),1)*IF(Upgrades!$T$18="Peculiar Velocity",POWER(Upgrades!$U$18,J196),1)*IF(Upgrades!$T$20="Peculiar Velocity",POWER(Upgrades!$U$20,L196),1)*IF(Upgrades!$T$21="Peculiar Velocity",POWER(Upgrades!$U$21,M196),1))+(IF(L196=0,0,(Upgrades!$J$20+L196*Upgrades!$K$20)*POWER(Upgrades!$L$20,L196)))*(IF(Upgrades!$T$13="Open Cluster",POWER(Upgrades!$U$13,E196),1)*IF(Upgrades!$T$14="Open Cluster",POWER(Upgrades!$U$14,F196),1)*IF(Upgrades!$T$15="Open Cluster",POWER(Upgrades!$U$15,G196),1)*IF(Upgrades!$T$16="Open Cluster",POWER(Upgrades!$U$16,H196),1)*IF(Upgrades!$T$17="Open Cluster",POWER(Upgrades!$U$17,I196),1)*IF(Upgrades!$T$18="Open Cluster",POWER(Upgrades!$U$18,J196),1)*IF(Upgrades!$T$19="Open Cluster",POWER(Upgrades!$U$19,K196),1)*IF(Upgrades!$T$21="Open Cluster",POWER(Upgrades!$U$21,M196),1))+(IF(M196=0,0,(Upgrades!$J$21+M196*Upgrades!$K$21)*POWER(Upgrades!$L$21,M196)))*(IF(Upgrades!$T$13="Moving Group",POWER(Upgrades!$U$13,E196),1)*IF(Upgrades!$T$14="Moving Group",POWER(Upgrades!$U$14,F196),1)*IF(Upgrades!$T$15="Moving Group",POWER(Upgrades!$U$15,G196),1)*IF(Upgrades!$T$16="Moving Group",POWER(Upgrades!$U$16,H196),1)*IF(Upgrades!$T$17="Moving Group",POWER(Upgrades!$U$17,I196),1)*IF(Upgrades!$T$18="Moving Group",POWER(Upgrades!$U$18,J196),1)*IF(Upgrades!$T$19="Moving Group",POWER(Upgrades!$U$19,K196),1)*IF(Upgrades!$T$20="Moving Group",POWER(Upgrades!$U$20,L196),1)))*POWER(Upgrades!$Q$13,E196)*POWER(Upgrades!$Q$14,F196)*POWER(Upgrades!$Q$15,G196)*POWER(Upgrades!$Q$16,H196)*POWER(Upgrades!$Q$17,I196)*POWER(Upgrades!$Q$18,J196)*POWER(Upgrades!$Q$19,K196)*POWER(Upgrades!$Q$20,L196)*POWER(Upgrades!$Q$21,M196)*$G$6+$D$6</f>
        <v/>
      </c>
      <c r="P196" s="28">
        <f>((IF(E196=0,0,(Upgrades!$G$13+E196*Upgrades!$H$13)*POWER(Upgrades!$I$13,E196)))*(IF(Upgrades!$T$14="Stellar Kinematics",POWER(Upgrades!$U$14,F196),1)*IF(Upgrades!$T$15="Stellar Kinematics",POWER(Upgrades!$U$15,G196),1)*IF(Upgrades!$T$16="Stellar Kinematics",POWER(Upgrades!$U$16,H196),1)*IF(Upgrades!$T$17="Stellar Kinematics",POWER(Upgrades!$U$17,I196),1)*IF(Upgrades!$T$18="Stellar Kinematics",POWER(Upgrades!$U$18,J196),1)*IF(Upgrades!$T$19="Stellar Kinematics",POWER(Upgrades!$U$19,K196),1)*IF(Upgrades!$T$20="Stellar Kinematics",POWER(Upgrades!$U$20,L196),1)*IF(Upgrades!$T$21="Stellar Kinematics",POWER(Upgrades!$U$21,M196),1))+(IF(F196=0,0,(Upgrades!$G$14+F196*Upgrades!$H$14)*POWER(Upgrades!$I$14,F196)))*(IF(Upgrades!$T$13="Local Bubble",POWER(Upgrades!$U$13,E196),1)*IF(Upgrades!$T$15="Local Bubble",POWER(Upgrades!$U$15,G196),1)*IF(Upgrades!$T$16="Local Bubble",POWER(Upgrades!$U$16,H196),1)*IF(Upgrades!$T$17="Local Bubble",POWER(Upgrades!$U$17,I196),1)*IF(Upgrades!$T$18="Local Bubble",POWER(Upgrades!$U$18,J196),1)*IF(Upgrades!$T$19="Local Bubble",POWER(Upgrades!$U$19,K196),1)*IF(Upgrades!$T$20="Local Bubble",POWER(Upgrades!$U$20,L196),1)*IF(Upgrades!$T$21="Local Bubble",POWER(Upgrades!$U$21,M196),1))+(IF(G196=0,0,(Upgrades!$G$15+G196*Upgrades!$H$15)*POWER(Upgrades!$I$15,G196)))*(IF(Upgrades!$T$13="Microlensing",POWER(Upgrades!$U$13,E196),1)*IF(Upgrades!$T$14="Microlensing",POWER(Upgrades!$U$14,F196),1)*IF(Upgrades!$T$16="Microlensing",POWER(Upgrades!$U$16,H196),1)*IF(Upgrades!$T$17="Microlensing",POWER(Upgrades!$U$17,I196),1)*IF(Upgrades!$T$18="Microlensing",POWER(Upgrades!$U$18,J196),1)*IF(Upgrades!$T$19="Microlensing",POWER(Upgrades!$U$19,K196),1)*IF(Upgrades!$T$20="Microlensing",POWER(Upgrades!$U$20,L196),1)*IF(Upgrades!$T$21="Microlensing",POWER(Upgrades!$U$21,M196),1))+(IF(H196=0,0,(Upgrades!$G$16+H196*Upgrades!$H$16)*POWER(Upgrades!$I$16,H196)))*(IF(Upgrades!$T$13="Roche Lobe Overflow",POWER(Upgrades!$U$13,E196),1)*IF(Upgrades!$T$14="Roche Lobe Overflow",POWER(Upgrades!$U$14,F196),1)*IF(Upgrades!$T$15="Roche Lobe Overflow",POWER(Upgrades!$U$15,G196),1)*IF(Upgrades!$T$17="Roche Lobe Overflow",POWER(Upgrades!$U$17,I196),1)*IF(Upgrades!$T$18="Roche Lobe Overflow",POWER(Upgrades!$U$18,J196),1)*IF(Upgrades!$T$19="Roche Lobe Overflow",POWER(Upgrades!$U$19,K196),1)*IF(Upgrades!$T$20="Roche Lobe Overflow",POWER(Upgrades!$U$20,L196),1)*IF(Upgrades!$T$21="Roche Lobe Overflow",POWER(Upgrades!$U$21,M196),1))+(IF(I196=0,0,(Upgrades!$G$17+I196*Upgrades!$H$17)*POWER(Upgrades!$I$17,I196)))*(IF(Upgrades!$T$13="Brown Dwarf",POWER(Upgrades!$U$13,E196),1)*IF(Upgrades!$T$14="Brown Dwarf",POWER(Upgrades!$U$14,F196),1)*IF(Upgrades!$T$15="Brown Dwarf",POWER(Upgrades!$U$15,G196),1)*IF(Upgrades!$T$16="Brown Dwarf",POWER(Upgrades!$U$16,H196),1)*IF(Upgrades!$T$18="Brown Dwarf",POWER(Upgrades!$U$18,J196),1)*IF(Upgrades!$T$19="Brown Dwarf",POWER(Upgrades!$U$19,K196),1)*IF(Upgrades!$T$20="Brown Dwarf",POWER(Upgrades!$U$20,L196),1)*IF(Upgrades!$T$21="Brown Dwarf",POWER(Upgrades!$U$21,M196),1))+(IF(J196=0,0,(Upgrades!$G$18+J196*Upgrades!$H$18)*POWER(Upgrades!$I$18,J196)))*(IF(Upgrades!$T$13="Binary Partner",POWER(Upgrades!$U$13,E196),1)*IF(Upgrades!$T$14="Binary Partner",POWER(Upgrades!$U$14,F196),1)*IF(Upgrades!$T$15="Binary Partner",POWER(Upgrades!$U$15,G196),1)*IF(Upgrades!$T$16="Binary Partner",POWER(Upgrades!$U$16,H196),1)*IF(Upgrades!$T$17="Binary Partner",POWER(Upgrades!$U$17,I196),1)*IF(Upgrades!$T$19="Binary Partner",POWER(Upgrades!$U$19,K196),1)*IF(Upgrades!$T$20="Binary Partner",POWER(Upgrades!$U$20,L196),1)*IF(Upgrades!$T$21="Binary Partner",POWER(Upgrades!$U$21,M196),1))+(IF(K196=0,0,(Upgrades!$G$19+K196*Upgrades!$H$19)*POWER(Upgrades!$I$19,K196)))*(IF(Upgrades!$T$13="Peculiar Velocity",POWER(Upgrades!$U$13,E196),1)*IF(Upgrades!$T$14="Peculiar Velocity",POWER(Upgrades!$U$14,F196),1)*IF(Upgrades!$T$15="Peculiar Velocity",POWER(Upgrades!$U$15,G196),1)*IF(Upgrades!$T$16="Peculiar Velocity",POWER(Upgrades!$U$16,H196),1)*IF(Upgrades!$T$17="Peculiar Velocity",POWER(Upgrades!$U$17,I196),1)*IF(Upgrades!$T$18="Peculiar Velocity",POWER(Upgrades!$U$18,J196),1)*IF(Upgrades!$T$20="Peculiar Velocity",POWER(Upgrades!$U$20,L196),1)*IF(Upgrades!$T$21="Peculiar Velocity",POWER(Upgrades!$U$21,M196),1))+(IF(L196=0,0,(Upgrades!$G$20+L196*Upgrades!$H$20)*POWER(Upgrades!$I$20,L196)))*(IF(Upgrades!$T$13="Open Cluster",POWER(Upgrades!$U$13,E196),1)*IF(Upgrades!$T$14="Open Cluster",POWER(Upgrades!$U$14,F196),1)*IF(Upgrades!$T$15="Open Cluster",POWER(Upgrades!$U$15,G196),1)*IF(Upgrades!$T$16="Open Cluster",POWER(Upgrades!$U$16,H196),1)*IF(Upgrades!$T$17="Open Cluster",POWER(Upgrades!$U$17,I196),1)*IF(Upgrades!$T$18="Open Cluster",POWER(Upgrades!$U$18,J196),1)*IF(Upgrades!$T$19="Open Cluster",POWER(Upgrades!$U$19,K196),1)*IF(Upgrades!$T$21="Open Cluster",POWER(Upgrades!$U$21,M196),1))+(IF(M196=0,0,(Upgrades!$G$21+M196*Upgrades!$H$21)*POWER(Upgrades!$I$21,M196)))*(IF(Upgrades!$T$13="Moving Group",POWER(Upgrades!$U$13,E196),1)*IF(Upgrades!$T$14="Moving Group",POWER(Upgrades!$U$14,F196),1)*IF(Upgrades!$T$15="Moving Group",POWER(Upgrades!$U$15,G196),1)*IF(Upgrades!$T$16="Moving Group",POWER(Upgrades!$U$16,H196),1)*IF(Upgrades!$T$17="Moving Group",POWER(Upgrades!$U$17,I196),1)*IF(Upgrades!$T$18="Moving Group",POWER(Upgrades!$U$18,J196),1)*IF(Upgrades!$T$19="Moving Group",POWER(Upgrades!$U$19,K196),1)*IF(Upgrades!$T$20="Moving Group",POWER(Upgrades!$U$20,L196),1)))*POWER(Upgrades!$P$13,E196)*POWER(Upgrades!$P$14,F196)*POWER(Upgrades!$P$15,G196)*POWER(Upgrades!$P$16,H196)*POWER(Upgrades!$P$17,I196)*POWER(Upgrades!$P$18,J196)*POWER(Upgrades!$P$19,K196)*POWER(Upgrades!$P$20,L196)*POWER(Upgrades!$P$21,M196)*$F$6+$C$6</f>
        <v/>
      </c>
      <c r="Q196" s="28">
        <f>((IF(E196=0,0,(Upgrades!$M$13+E196*Upgrades!$N$13)*POWER(Upgrades!$O$13,E196)))*(IF(Upgrades!$T$14="Stellar Kinematics",POWER(Upgrades!$U$14,F196),1)*IF(Upgrades!$T$15="Stellar Kinematics",POWER(Upgrades!$U$15,G196),1)*IF(Upgrades!$T$16="Stellar Kinematics",POWER(Upgrades!$U$16,H196),1)*IF(Upgrades!$T$17="Stellar Kinematics",POWER(Upgrades!$U$17,I196),1)*IF(Upgrades!$T$18="Stellar Kinematics",POWER(Upgrades!$U$18,J196),1)*IF(Upgrades!$T$19="Stellar Kinematics",POWER(Upgrades!$U$19,K196),1)*IF(Upgrades!$T$20="Stellar Kinematics",POWER(Upgrades!$U$20,L196),1)*IF(Upgrades!$T$21="Stellar Kinematics",POWER(Upgrades!$U$21,M196),1))+(IF(F196=0,0,(Upgrades!$M$14+F196*Upgrades!$N$14)*POWER(Upgrades!$O$14,F196)))*(IF(Upgrades!$T$13="Local Bubble",POWER(Upgrades!$U$13,E196),1)*IF(Upgrades!$T$15="Local Bubble",POWER(Upgrades!$U$15,G196),1)*IF(Upgrades!$T$16="Local Bubble",POWER(Upgrades!$U$16,H196),1)*IF(Upgrades!$T$17="Local Bubble",POWER(Upgrades!$U$17,I196),1)*IF(Upgrades!$T$18="Local Bubble",POWER(Upgrades!$U$18,J196),1)*IF(Upgrades!$T$19="Local Bubble",POWER(Upgrades!$U$19,K196),1)*IF(Upgrades!$T$20="Local Bubble",POWER(Upgrades!$U$20,L196),1)*IF(Upgrades!$T$21="Local Bubble",POWER(Upgrades!$U$21,M196),1))+(IF(G196=0,0,(Upgrades!$M$15+G196*Upgrades!$N$15)*POWER(Upgrades!$O$15,G196)))*(IF(Upgrades!$T$13="Microlensing",POWER(Upgrades!$U$13,E196),1)*IF(Upgrades!$T$14="Microlensing",POWER(Upgrades!$U$14,F196),1)*IF(Upgrades!$T$16="Microlensing",POWER(Upgrades!$U$16,H196),1)*IF(Upgrades!$T$17="Microlensing",POWER(Upgrades!$U$17,I196),1)*IF(Upgrades!$T$18="Microlensing",POWER(Upgrades!$U$18,J196),1)*IF(Upgrades!$T$19="Microlensing",POWER(Upgrades!$U$19,K196),1)*IF(Upgrades!$T$20="Microlensing",POWER(Upgrades!$U$20,L196),1)*IF(Upgrades!$T$21="Microlensing",POWER(Upgrades!$U$21,M196),1))+(IF(H196=0,0,(Upgrades!$M$16+H196*Upgrades!$N$16)*POWER(Upgrades!$O$16,H196)))*(IF(Upgrades!$T$13="Roche Lobe Overflow",POWER(Upgrades!$U$13,E196),1)*IF(Upgrades!$T$14="Roche Lobe Overflow",POWER(Upgrades!$U$14,F196),1)*IF(Upgrades!$T$15="Roche Lobe Overflow",POWER(Upgrades!$U$15,G196),1)*IF(Upgrades!$T$17="Roche Lobe Overflow",POWER(Upgrades!$U$17,I196),1)*IF(Upgrades!$T$18="Roche Lobe Overflow",POWER(Upgrades!$U$18,J196),1)*IF(Upgrades!$T$19="Roche Lobe Overflow",POWER(Upgrades!$U$19,K196),1)*IF(Upgrades!$T$20="Roche Lobe Overflow",POWER(Upgrades!$U$20,L196),1)*IF(Upgrades!$T$21="Roche Lobe Overflow",POWER(Upgrades!$U$21,M196),1))+(IF(I196=0,0,(Upgrades!$M$17+I196*Upgrades!$N$17)*POWER(Upgrades!$O$17,I196)))*(IF(Upgrades!$T$13="Brown Dwarf",POWER(Upgrades!$U$13,E196),1)*IF(Upgrades!$T$14="Brown Dwarf",POWER(Upgrades!$U$14,F196),1)*IF(Upgrades!$T$15="Brown Dwarf",POWER(Upgrades!$U$15,G196),1)*IF(Upgrades!$T$16="Brown Dwarf",POWER(Upgrades!$U$16,H196),1)*IF(Upgrades!$T$18="Brown Dwarf",POWER(Upgrades!$U$18,J196),1)*IF(Upgrades!$T$19="Brown Dwarf",POWER(Upgrades!$U$19,K196),1)*IF(Upgrades!$T$20="Brown Dwarf",POWER(Upgrades!$U$20,L196),1)*IF(Upgrades!$T$21="Brown Dwarf",POWER(Upgrades!$U$21,M196),1))+(IF(J196=0,0,(Upgrades!$M$18+J196*Upgrades!$N$18)*POWER(Upgrades!$O$18,J196)))*(IF(Upgrades!$T$13="Binary Partner",POWER(Upgrades!$U$13,E196),1)*IF(Upgrades!$T$14="Binary Partner",POWER(Upgrades!$U$14,F196),1)*IF(Upgrades!$T$15="Binary Partner",POWER(Upgrades!$U$15,G196),1)*IF(Upgrades!$T$16="Binary Partner",POWER(Upgrades!$U$16,H196),1)*IF(Upgrades!$T$17="Binary Partner",POWER(Upgrades!$U$17,I196),1)*IF(Upgrades!$T$19="Binary Partner",POWER(Upgrades!$U$19,K196),1)*IF(Upgrades!$T$20="Binary Partner",POWER(Upgrades!$U$20,L196),1)*IF(Upgrades!$T$21="Binary Partner",POWER(Upgrades!$U$21,M196),1))+(IF(K196=0,0,(Upgrades!$M$19+K196*Upgrades!$N$19)*POWER(Upgrades!$O$19,K196)))*(IF(Upgrades!$T$13="Peculiar Velocity",POWER(Upgrades!$U$13,E196),1)*IF(Upgrades!$T$14="Peculiar Velocity",POWER(Upgrades!$U$14,F196),1)*IF(Upgrades!$T$15="Peculiar Velocity",POWER(Upgrades!$U$15,G196),1)*IF(Upgrades!$T$16="Peculiar Velocity",POWER(Upgrades!$U$16,H196),1)*IF(Upgrades!$T$17="Peculiar Velocity",POWER(Upgrades!$U$17,I196),1)*IF(Upgrades!$T$18="Peculiar Velocity",POWER(Upgrades!$U$18,J196),1)*IF(Upgrades!$T$20="Peculiar Velocity",POWER(Upgrades!$U$20,L196),1)*IF(Upgrades!$T$21="Peculiar Velocity",POWER(Upgrades!$U$21,M196),1))+(IF(L196=0,0,(Upgrades!$M$20+L196*Upgrades!$N$20)*POWER(Upgrades!$O$20,L196)))*(IF(Upgrades!$T$13="Open Cluster",POWER(Upgrades!$U$13,E196),1)*IF(Upgrades!$T$14="Open Cluster",POWER(Upgrades!$U$14,F196),1)*IF(Upgrades!$T$15="Open Cluster",POWER(Upgrades!$U$15,G196),1)*IF(Upgrades!$T$16="Open Cluster",POWER(Upgrades!$U$16,H196),1)*IF(Upgrades!$T$17="Open Cluster",POWER(Upgrades!$U$17,I196),1)*IF(Upgrades!$T$18="Open Cluster",POWER(Upgrades!$U$18,J196),1)*IF(Upgrades!$T$19="Open Cluster",POWER(Upgrades!$U$19,K196),1)*IF(Upgrades!$T$21="Open Cluster",POWER(Upgrades!$U$21,M196),1))+(IF(M196=0,0,(Upgrades!$M$21+M196*Upgrades!$N$21)*POWER(Upgrades!$O$21,M196)))*(IF(Upgrades!$T$13="Moving Group",POWER(Upgrades!$U$13,E196),1)*IF(Upgrades!$T$14="Moving Group",POWER(Upgrades!$U$14,F196),1)*IF(Upgrades!$T$15="Moving Group",POWER(Upgrades!$U$15,G196),1)*IF(Upgrades!$T$16="Moving Group",POWER(Upgrades!$U$16,H196),1)*IF(Upgrades!$T$17="Moving Group",POWER(Upgrades!$U$17,I196),1)*IF(Upgrades!$T$18="Moving Group",POWER(Upgrades!$U$18,J196),1)*IF(Upgrades!$T$19="Moving Group",POWER(Upgrades!$U$19,K196),1)*IF(Upgrades!$T$20="Moving Group",POWER(Upgrades!$U$20,L196),1)))*POWER(Upgrades!$R$13,E196)*POWER(Upgrades!$R$14,F196)*POWER(Upgrades!$R$15,G196)*POWER(Upgrades!$R$16,H196)*POWER(Upgrades!$R$17,I196)*POWER(Upgrades!$R$18,J196)*POWER(Upgrades!$R$19,K196)*POWER(Upgrades!$R$20,L196)*POWER(Upgrades!$R$21,M196)*$H$6+$E$6</f>
        <v/>
      </c>
      <c r="R196" s="27">
        <f>IF(N196=1,0,O196*Parameters!$B$10/60*Parameters!$B$11*10)</f>
        <v/>
      </c>
      <c r="S196" s="27">
        <f>IF(N196=1,0,Q196*O196*10)</f>
        <v/>
      </c>
      <c r="T196" s="27">
        <f>IF(N196=1,0,R196+S196+P196*10)</f>
        <v/>
      </c>
      <c r="U196" s="33">
        <f>BE196</f>
        <v/>
      </c>
      <c r="V196" s="22">
        <f>IF(U196="",0,IF(U196="transition",0,IF(U196="SK",AK196,IF(U196="LB",AL196,IF(U196="ML",AM196,IF(U196="RLO",AN196,IF(U196="BD",AO196,IF(U196="BiP",AP196,IF(U196="PV",AQ196,IF(U196="OC",AR196,IF(U196="MG",AS196,0))))))))))</f>
        <v/>
      </c>
      <c r="W196" s="27">
        <f>IF(U196="BiP",Upgrades!$F$18,IF(U196="PV",Upgrades!$F$19,IF(U196="OC",Upgrades!$F$20,IF(U196="MG",Upgrades!$F$21,IF(U196="transition",-Parameters!$B$18*Parameters!$B$19,0)))))</f>
        <v/>
      </c>
      <c r="X196" s="22">
        <f>C196+T196-V196</f>
        <v/>
      </c>
      <c r="Y196" s="30">
        <f>O196*Parameters!$B$10/60*Parameters!$B$11+Q196*O196+P196</f>
        <v/>
      </c>
      <c r="Z196" s="34">
        <f>IF(U196="transition","→ Tier 3 (Galactic Arm)",IF(U196="MG","Moving Group — pocket drifts together",IF(U196="OC","Open Cluster acquired",IF(U196="PV","Peculiar Velocity — passive multiplier active",IF(U196="BiP","Binary Partner — pair bond formed",IF(AND(AU196=1,N196=0,AT196&lt;&gt;1),"Cohesion ready (waiting on completionists)","")))))) </f>
        <v/>
      </c>
      <c r="AA196" s="27">
        <f>(IF(E196=0,0,(Upgrades!$G$13+E196*Upgrades!$H$13)*POWER(Upgrades!$I$13,E196)))*(IF(Upgrades!$T$14="Stellar Kinematics",POWER(Upgrades!$U$14,F196),1)*IF(Upgrades!$T$15="Stellar Kinematics",POWER(Upgrades!$U$15,G196),1)*IF(Upgrades!$T$16="Stellar Kinematics",POWER(Upgrades!$U$16,H196),1)*IF(Upgrades!$T$17="Stellar Kinematics",POWER(Upgrades!$U$17,I196),1)*IF(Upgrades!$T$18="Stellar Kinematics",POWER(Upgrades!$U$18,J196),1)*IF(Upgrades!$T$19="Stellar Kinematics",POWER(Upgrades!$U$19,K196),1)*IF(Upgrades!$T$20="Stellar Kinematics",POWER(Upgrades!$U$20,L196),1)*IF(Upgrades!$T$21="Stellar Kinematics",POWER(Upgrades!$U$21,M196),1))*POWER(Upgrades!$P$13,E196)*POWER(Upgrades!$P$14,F196)*POWER(Upgrades!$P$15,G196)*POWER(Upgrades!$P$16,H196)*POWER(Upgrades!$P$17,I196)*POWER(Upgrades!$P$18,J196)*POWER(Upgrades!$P$19,K196)*POWER(Upgrades!$P$20,L196)*POWER(Upgrades!$P$21,M196)*$F$6*60</f>
        <v/>
      </c>
      <c r="AB196" s="27">
        <f>(IF(F196=0,0,(Upgrades!$G$14+F196*Upgrades!$H$14)*POWER(Upgrades!$I$14,F196)))*(IF(Upgrades!$T$13="Local Bubble",POWER(Upgrades!$U$13,E196),1)*IF(Upgrades!$T$15="Local Bubble",POWER(Upgrades!$U$15,G196),1)*IF(Upgrades!$T$16="Local Bubble",POWER(Upgrades!$U$16,H196),1)*IF(Upgrades!$T$17="Local Bubble",POWER(Upgrades!$U$17,I196),1)*IF(Upgrades!$T$18="Local Bubble",POWER(Upgrades!$U$18,J196),1)*IF(Upgrades!$T$19="Local Bubble",POWER(Upgrades!$U$19,K196),1)*IF(Upgrades!$T$20="Local Bubble",POWER(Upgrades!$U$20,L196),1)*IF(Upgrades!$T$21="Local Bubble",POWER(Upgrades!$U$21,M196),1))*POWER(Upgrades!$P$13,E196)*POWER(Upgrades!$P$14,F196)*POWER(Upgrades!$P$15,G196)*POWER(Upgrades!$P$16,H196)*POWER(Upgrades!$P$17,I196)*POWER(Upgrades!$P$18,J196)*POWER(Upgrades!$P$19,K196)*POWER(Upgrades!$P$20,L196)*POWER(Upgrades!$P$21,M196)*$F$6*60</f>
        <v/>
      </c>
      <c r="AC196" s="27">
        <f>(IF(G196=0,0,(Upgrades!$J$15+G196*Upgrades!$K$15)*POWER(Upgrades!$L$15,G196)))*(IF(Upgrades!$T$13="Microlensing",POWER(Upgrades!$U$13,E196),1)*IF(Upgrades!$T$14="Microlensing",POWER(Upgrades!$U$14,F196),1)*IF(Upgrades!$T$16="Microlensing",POWER(Upgrades!$U$16,H196),1)*IF(Upgrades!$T$17="Microlensing",POWER(Upgrades!$U$17,I196),1)*IF(Upgrades!$T$18="Microlensing",POWER(Upgrades!$U$18,J196),1)*IF(Upgrades!$T$19="Microlensing",POWER(Upgrades!$U$19,K196),1)*IF(Upgrades!$T$20="Microlensing",POWER(Upgrades!$U$20,L196),1)*IF(Upgrades!$T$21="Microlensing",POWER(Upgrades!$U$21,M196),1))*POWER(Upgrades!$Q$13,E196)*POWER(Upgrades!$Q$14,F196)*POWER(Upgrades!$Q$15,G196)*POWER(Upgrades!$Q$16,H196)*POWER(Upgrades!$Q$17,I196)*POWER(Upgrades!$Q$18,J196)*POWER(Upgrades!$Q$19,K196)*POWER(Upgrades!$Q$20,L196)*POWER(Upgrades!$Q$21,M196)*$G$6*(Parameters!$B$10*Parameters!$B$11+Q196*60)</f>
        <v/>
      </c>
      <c r="AD196" s="27">
        <f>(IF(H196=0,0,(Upgrades!$M$16+H196*Upgrades!$N$16)*POWER(Upgrades!$O$16,H196)))*(IF(Upgrades!$T$13="Roche Lobe Overflow",POWER(Upgrades!$U$13,E196),1)*IF(Upgrades!$T$14="Roche Lobe Overflow",POWER(Upgrades!$U$14,F196),1)*IF(Upgrades!$T$15="Roche Lobe Overflow",POWER(Upgrades!$U$15,G196),1)*IF(Upgrades!$T$17="Roche Lobe Overflow",POWER(Upgrades!$U$17,I196),1)*IF(Upgrades!$T$18="Roche Lobe Overflow",POWER(Upgrades!$U$18,J196),1)*IF(Upgrades!$T$19="Roche Lobe Overflow",POWER(Upgrades!$U$19,K196),1)*IF(Upgrades!$T$20="Roche Lobe Overflow",POWER(Upgrades!$U$20,L196),1)*IF(Upgrades!$T$21="Roche Lobe Overflow",POWER(Upgrades!$U$21,M196),1))*POWER(Upgrades!$R$13,E196)*POWER(Upgrades!$R$14,F196)*POWER(Upgrades!$R$15,G196)*POWER(Upgrades!$R$16,H196)*POWER(Upgrades!$R$17,I196)*POWER(Upgrades!$R$18,J196)*POWER(Upgrades!$R$19,K196)*POWER(Upgrades!$R$20,L196)*POWER(Upgrades!$R$21,M196)*$H$6*O196*60</f>
        <v/>
      </c>
      <c r="AE196" s="27">
        <f>(IF(I196=0,0,(Upgrades!$G$17+I196*Upgrades!$H$17)*POWER(Upgrades!$I$17,I196)))*(IF(Upgrades!$T$13="Brown Dwarf",POWER(Upgrades!$U$13,E196),1)*IF(Upgrades!$T$14="Brown Dwarf",POWER(Upgrades!$U$14,F196),1)*IF(Upgrades!$T$15="Brown Dwarf",POWER(Upgrades!$U$15,G196),1)*IF(Upgrades!$T$16="Brown Dwarf",POWER(Upgrades!$U$16,H196),1)*IF(Upgrades!$T$18="Brown Dwarf",POWER(Upgrades!$U$18,J196),1)*IF(Upgrades!$T$19="Brown Dwarf",POWER(Upgrades!$U$19,K196),1)*IF(Upgrades!$T$20="Brown Dwarf",POWER(Upgrades!$U$20,L196),1)*IF(Upgrades!$T$21="Brown Dwarf",POWER(Upgrades!$U$21,M196),1))*POWER(Upgrades!$P$13,E196)*POWER(Upgrades!$P$14,F196)*POWER(Upgrades!$P$15,G196)*POWER(Upgrades!$P$16,H196)*POWER(Upgrades!$P$17,I196)*POWER(Upgrades!$P$18,J196)*POWER(Upgrades!$P$19,K196)*POWER(Upgrades!$P$20,L196)*POWER(Upgrades!$P$21,M196)*$F$6*60</f>
        <v/>
      </c>
      <c r="AF196" s="27" t="n">
        <v>0</v>
      </c>
      <c r="AG196" s="27" t="n">
        <v>0</v>
      </c>
      <c r="AH196" s="27" t="n">
        <v>0</v>
      </c>
      <c r="AI196" s="27">
        <f>(IF(M196=0,0,(Upgrades!$G$21+M196*Upgrades!$H$21)*POWER(Upgrades!$I$21,M196)))*(IF(Upgrades!$T$13="Moving Group",POWER(Upgrades!$U$13,E196),1)*IF(Upgrades!$T$14="Moving Group",POWER(Upgrades!$U$14,F196),1)*IF(Upgrades!$T$15="Moving Group",POWER(Upgrades!$U$15,G196),1)*IF(Upgrades!$T$16="Moving Group",POWER(Upgrades!$U$16,H196),1)*IF(Upgrades!$T$17="Moving Group",POWER(Upgrades!$U$17,I196),1)*IF(Upgrades!$T$18="Moving Group",POWER(Upgrades!$U$18,J196),1)*IF(Upgrades!$T$19="Moving Group",POWER(Upgrades!$U$19,K196),1)*IF(Upgrades!$T$20="Moving Group",POWER(Upgrades!$U$20,L196),1))*POWER(Upgrades!$P$13,E196)*POWER(Upgrades!$P$14,F196)*POWER(Upgrades!$P$15,G196)*POWER(Upgrades!$P$16,H196)*POWER(Upgrades!$P$17,I196)*POWER(Upgrades!$P$18,J196)*POWER(Upgrades!$P$19,K196)*POWER(Upgrades!$P$20,L196)*POWER(Upgrades!$P$21,M196)*$F$6*60</f>
        <v/>
      </c>
      <c r="AJ196" s="27">
        <f>$C$6*60</f>
        <v/>
      </c>
      <c r="AK196" s="22">
        <f>IF(E196&gt;=Upgrades!$E$13,"",Upgrades!$C$13*POWER(Upgrades!$D$13,E196))</f>
        <v/>
      </c>
      <c r="AL196" s="22">
        <f>IF(F196&gt;=Upgrades!$E$14,"",Upgrades!$C$14*POWER(Upgrades!$D$14,F196))</f>
        <v/>
      </c>
      <c r="AM196" s="22">
        <f>IF(G196&gt;=Upgrades!$E$15,"",Upgrades!$C$15*POWER(Upgrades!$D$15,G196))</f>
        <v/>
      </c>
      <c r="AN196" s="22">
        <f>IF(H196&gt;=Upgrades!$E$16,"",Upgrades!$C$16*POWER(Upgrades!$D$16,H196))</f>
        <v/>
      </c>
      <c r="AO196" s="22">
        <f>IF(I196&gt;=Upgrades!$E$17,"",Upgrades!$C$17*POWER(Upgrades!$D$17,I196))</f>
        <v/>
      </c>
      <c r="AP196" s="22">
        <f>IF(J196&gt;=Upgrades!$E$18,"",Upgrades!$C$18*POWER(Upgrades!$D$18,J196))</f>
        <v/>
      </c>
      <c r="AQ196" s="22">
        <f>IF(K196&gt;=Upgrades!$E$19,"",Upgrades!$C$19*POWER(Upgrades!$D$19,K196))</f>
        <v/>
      </c>
      <c r="AR196" s="22">
        <f>IF(L196&gt;=Upgrades!$E$20,"",Upgrades!$C$20*POWER(Upgrades!$D$20,L196))</f>
        <v/>
      </c>
      <c r="AS196" s="22">
        <f>IF(M196&gt;=Upgrades!$E$21,"",Upgrades!$C$21*POWER(Upgrades!$D$21,M196))</f>
        <v/>
      </c>
      <c r="AT196" s="26">
        <f>IF(AND(D196&gt;=Parameters!$B$18*Parameters!$B$19,(I196&gt;=Upgrades!$E$17)*(M196&gt;=Upgrades!$E$21)=1,N196=0),1,"")</f>
        <v/>
      </c>
      <c r="AU196" s="26">
        <f>IF(AND(D196&gt;=Parameters!$B$18*Parameters!$B$19,N196=0),1,"")</f>
        <v/>
      </c>
      <c r="AV196" s="22">
        <f>MIN(IF(ISNUMBER(AP196),AP196,9E15),IF(ISNUMBER(AQ196),AQ196,9E15),IF(ISNUMBER(AR196),AR196,9E15),IF(ISNUMBER(AS196),AS196,9E15))</f>
        <v/>
      </c>
      <c r="AW196" s="22">
        <f>MIN(IF(ISNUMBER(AK196),AK196,9E15),IF(ISNUMBER(AL196),AL196,9E15),IF(ISNUMBER(AM196),AM196,9E15),IF(ISNUMBER(AN196),AN196,9E15),IF(ISNUMBER(AO196),AO196,9E15))</f>
        <v/>
      </c>
      <c r="AX196" s="29">
        <f>IF(BD196&gt;Parameters!$B$21*(MAX(IF(AND(NOT(AND(AU196=1,AT196&lt;&gt;1)),ISNUMBER(AK196),AK196&lt;=(C196+T196)),AY196,0),IF(AND(NOT(AND(AU196=1,AT196&lt;&gt;1)),ISNUMBER(AL196),AL196&lt;=(C196+T196)),AZ196,0),IF(AND(NOT(AND(AU196=1,AT196&lt;&gt;1)),ISNUMBER(AM196),AM196&lt;=(C196+T196)),BA196,0),IF(AND(NOT(AND(AU196=1,AT196&lt;&gt;1)),ISNUMBER(AN196),AN196&lt;=(C196+T196)),BB196,0),IF(AND(ISNUMBER(AO196),AO196&lt;=(C196+T196)),BC196,0))),TRUE,FALSE)</f>
        <v/>
      </c>
      <c r="AY196" s="32">
        <f>IFERROR(Upgrades!$H$13*(POWER(Upgrades!$P$13,E196)*POWER(Upgrades!$P$14,F196)*POWER(Upgrades!$P$15,G196)*POWER(Upgrades!$P$16,H196)*POWER(Upgrades!$P$17,I196)*POWER(Upgrades!$P$18,J196)*POWER(Upgrades!$P$19,K196)*POWER(Upgrades!$P$20,L196)*POWER(Upgrades!$P$21,M196))*(IF(Upgrades!$T$14="Stellar Kinematics",POWER(Upgrades!$U$14,F196),1)*IF(Upgrades!$T$15="Stellar Kinematics",POWER(Upgrades!$U$15,G196),1)*IF(Upgrades!$T$16="Stellar Kinematics",POWER(Upgrades!$U$16,H196),1)*IF(Upgrades!$T$17="Stellar Kinematics",POWER(Upgrades!$U$17,I196),1)*IF(Upgrades!$T$18="Stellar Kinematics",POWER(Upgrades!$U$18,J196),1)*IF(Upgrades!$T$19="Stellar Kinematics",POWER(Upgrades!$U$19,K196),1)*IF(Upgrades!$T$20="Stellar Kinematics",POWER(Upgrades!$U$20,L196),1)*IF(Upgrades!$T$21="Stellar Kinematics",POWER(Upgrades!$U$21,M196),1))*$F$6/AK196,0)</f>
        <v/>
      </c>
      <c r="AZ196" s="32">
        <f>IFERROR(Upgrades!$H$14*(POWER(Upgrades!$P$13,E196)*POWER(Upgrades!$P$14,F196)*POWER(Upgrades!$P$15,G196)*POWER(Upgrades!$P$16,H196)*POWER(Upgrades!$P$17,I196)*POWER(Upgrades!$P$18,J196)*POWER(Upgrades!$P$19,K196)*POWER(Upgrades!$P$20,L196)*POWER(Upgrades!$P$21,M196))*(IF(Upgrades!$T$13="Local Bubble",POWER(Upgrades!$U$13,E196),1)*IF(Upgrades!$T$15="Local Bubble",POWER(Upgrades!$U$15,G196),1)*IF(Upgrades!$T$16="Local Bubble",POWER(Upgrades!$U$16,H196),1)*IF(Upgrades!$T$17="Local Bubble",POWER(Upgrades!$U$17,I196),1)*IF(Upgrades!$T$18="Local Bubble",POWER(Upgrades!$U$18,J196),1)*IF(Upgrades!$T$19="Local Bubble",POWER(Upgrades!$U$19,K196),1)*IF(Upgrades!$T$20="Local Bubble",POWER(Upgrades!$U$20,L196),1)*IF(Upgrades!$T$21="Local Bubble",POWER(Upgrades!$U$21,M196),1))*$F$6/AL196,0)</f>
        <v/>
      </c>
      <c r="BA196" s="32">
        <f>IFERROR(Upgrades!$K$15*(POWER(Upgrades!$Q$13,E196)*POWER(Upgrades!$Q$14,F196)*POWER(Upgrades!$Q$15,G196)*POWER(Upgrades!$Q$16,H196)*POWER(Upgrades!$Q$17,I196)*POWER(Upgrades!$Q$18,J196)*POWER(Upgrades!$Q$19,K196)*POWER(Upgrades!$Q$20,L196)*POWER(Upgrades!$Q$21,M196))*(IF(Upgrades!$T$13="Microlensing",POWER(Upgrades!$U$13,E196),1)*IF(Upgrades!$T$14="Microlensing",POWER(Upgrades!$U$14,F196),1)*IF(Upgrades!$T$16="Microlensing",POWER(Upgrades!$U$16,H196),1)*IF(Upgrades!$T$17="Microlensing",POWER(Upgrades!$U$17,I196),1)*IF(Upgrades!$T$18="Microlensing",POWER(Upgrades!$U$18,J196),1)*IF(Upgrades!$T$19="Microlensing",POWER(Upgrades!$U$19,K196),1)*IF(Upgrades!$T$20="Microlensing",POWER(Upgrades!$U$20,L196),1)*IF(Upgrades!$T$21="Microlensing",POWER(Upgrades!$U$21,M196),1))*$G$6*(Parameters!$B$10/60*Parameters!$B$11+Q196)/AM196,0)</f>
        <v/>
      </c>
      <c r="BB196" s="32">
        <f>IFERROR((Upgrades!$N$16*(POWER(Upgrades!$R$13,E196)*POWER(Upgrades!$R$14,F196)*POWER(Upgrades!$R$15,G196)*POWER(Upgrades!$R$16,H196)*POWER(Upgrades!$R$17,I196)*POWER(Upgrades!$R$18,J196)*POWER(Upgrades!$R$19,K196)*POWER(Upgrades!$R$20,L196)*POWER(Upgrades!$R$21,M196))*(IF(Upgrades!$T$13="Roche Lobe Overflow",POWER(Upgrades!$U$13,E196),1)*IF(Upgrades!$T$14="Roche Lobe Overflow",POWER(Upgrades!$U$14,F196),1)*IF(Upgrades!$T$15="Roche Lobe Overflow",POWER(Upgrades!$U$15,G196),1)*IF(Upgrades!$T$17="Roche Lobe Overflow",POWER(Upgrades!$U$17,I196),1)*IF(Upgrades!$T$18="Roche Lobe Overflow",POWER(Upgrades!$U$18,J196),1)*IF(Upgrades!$T$19="Roche Lobe Overflow",POWER(Upgrades!$U$19,K196),1)*IF(Upgrades!$T$20="Roche Lobe Overflow",POWER(Upgrades!$U$20,L196),1)*IF(Upgrades!$T$21="Roche Lobe Overflow",POWER(Upgrades!$U$21,M196),1))*$H$6*O196+((IF(F196=0,0,(Upgrades!$G$14+F196*Upgrades!$H$14)*POWER(Upgrades!$I$14,F196)))*(IF(Upgrades!$T$13="Local Bubble",POWER(Upgrades!$U$13,E196),1)*IF(Upgrades!$T$15="Local Bubble",POWER(Upgrades!$U$15,G196),1)*IF(Upgrades!$T$16="Local Bubble",POWER(Upgrades!$U$16,H196),1)*IF(Upgrades!$T$17="Local Bubble",POWER(Upgrades!$U$17,I196),1)*IF(Upgrades!$T$18="Local Bubble",POWER(Upgrades!$U$18,J196),1)*IF(Upgrades!$T$19="Local Bubble",POWER(Upgrades!$U$19,K196),1)*IF(Upgrades!$T$20="Local Bubble",POWER(Upgrades!$U$20,L196),1)*IF(Upgrades!$T$21="Local Bubble",POWER(Upgrades!$U$21,M196),1))*POWER(Upgrades!$P$13,E196)*POWER(Upgrades!$P$14,F196)*POWER(Upgrades!$P$15,G196)*POWER(Upgrades!$P$16,H196)*POWER(Upgrades!$P$17,I196)*POWER(Upgrades!$P$18,J196)*POWER(Upgrades!$P$19,K196)*POWER(Upgrades!$P$20,L196)*POWER(Upgrades!$P$21,M196)*$F$6)*0.05)/AN196,0)</f>
        <v/>
      </c>
      <c r="BC196" s="32">
        <f>IFERROR((Upgrades!$H$17*(POWER(Upgrades!$P$13,E196)*POWER(Upgrades!$P$14,F196)*POWER(Upgrades!$P$15,G196)*POWER(Upgrades!$P$16,H196)*POWER(Upgrades!$P$17,I196)*POWER(Upgrades!$P$18,J196)*POWER(Upgrades!$P$19,K196)*POWER(Upgrades!$P$20,L196)*POWER(Upgrades!$P$21,M196))*(IF(Upgrades!$T$13="Brown Dwarf",POWER(Upgrades!$U$13,E196),1)*IF(Upgrades!$T$14="Brown Dwarf",POWER(Upgrades!$U$14,F196),1)*IF(Upgrades!$T$15="Brown Dwarf",POWER(Upgrades!$U$15,G196),1)*IF(Upgrades!$T$16="Brown Dwarf",POWER(Upgrades!$U$16,H196),1)*IF(Upgrades!$T$18="Brown Dwarf",POWER(Upgrades!$U$18,J196),1)*IF(Upgrades!$T$19="Brown Dwarf",POWER(Upgrades!$U$19,K196),1)*IF(Upgrades!$T$20="Brown Dwarf",POWER(Upgrades!$U$20,L196),1)*IF(Upgrades!$T$21="Brown Dwarf",POWER(Upgrades!$U$21,M196),1))*$F$6+(((IF(H196=0,0,(Upgrades!$M$16+H196*Upgrades!$N$16)*POWER(Upgrades!$O$16,H196)))*(IF(Upgrades!$T$13="Roche Lobe Overflow",POWER(Upgrades!$U$13,E196),1)*IF(Upgrades!$T$14="Roche Lobe Overflow",POWER(Upgrades!$U$14,F196),1)*IF(Upgrades!$T$15="Roche Lobe Overflow",POWER(Upgrades!$U$15,G196),1)*IF(Upgrades!$T$17="Roche Lobe Overflow",POWER(Upgrades!$U$17,I196),1)*IF(Upgrades!$T$18="Roche Lobe Overflow",POWER(Upgrades!$U$18,J196),1)*IF(Upgrades!$T$19="Roche Lobe Overflow",POWER(Upgrades!$U$19,K196),1)*IF(Upgrades!$T$20="Roche Lobe Overflow",POWER(Upgrades!$U$20,L196),1)*IF(Upgrades!$T$21="Roche Lobe Overflow",POWER(Upgrades!$U$21,M196),1))*POWER(Upgrades!$R$13,E196)*POWER(Upgrades!$R$14,F196)*POWER(Upgrades!$R$15,G196)*POWER(Upgrades!$R$16,H196)*POWER(Upgrades!$R$17,I196)*POWER(Upgrades!$R$18,J196)*POWER(Upgrades!$R$19,K196)*POWER(Upgrades!$R$20,L196)*POWER(Upgrades!$R$21,M196)*$H$6)*O196)*0.10)/AO196,0)</f>
        <v/>
      </c>
      <c r="BD196" s="32">
        <f>MAX(IF(J196&gt;0,0,IFERROR(0.5*((IF(G196=0,0,(Upgrades!$J$15+G196*Upgrades!$K$15)*POWER(Upgrades!$L$15,G196)))*(IF(Upgrades!$T$13="Microlensing",POWER(Upgrades!$U$13,E196),1)*IF(Upgrades!$T$14="Microlensing",POWER(Upgrades!$U$14,F196),1)*IF(Upgrades!$T$16="Microlensing",POWER(Upgrades!$U$16,H196),1)*IF(Upgrades!$T$17="Microlensing",POWER(Upgrades!$U$17,I196),1)*IF(Upgrades!$T$18="Microlensing",POWER(Upgrades!$U$18,J196),1)*IF(Upgrades!$T$19="Microlensing",POWER(Upgrades!$U$19,K196),1)*IF(Upgrades!$T$20="Microlensing",POWER(Upgrades!$U$20,L196),1)*IF(Upgrades!$T$21="Microlensing",POWER(Upgrades!$U$21,M196),1))*(POWER(Upgrades!$Q$13,E196)*POWER(Upgrades!$Q$14,F196)*POWER(Upgrades!$Q$15,G196)*POWER(Upgrades!$Q$16,H196)*POWER(Upgrades!$Q$17,I196)*POWER(Upgrades!$Q$18,J196)*POWER(Upgrades!$Q$19,K196)*POWER(Upgrades!$Q$20,L196)*POWER(Upgrades!$Q$21,M196))*$G$6*(Parameters!$B$10/60*Parameters!$B$11+Q196))/Upgrades!$C$18,0)),IF(K196&gt;0,0,IFERROR(0.30*P196/Upgrades!$C$19,0)),IF(L196&gt;0,0,IFERROR(0.0001/Upgrades!$C$20,0)),IF(M196&gt;0,0,IFERROR((6.0*(POWER(Upgrades!$P$13,E196)*POWER(Upgrades!$P$14,F196)*POWER(Upgrades!$P$15,G196)*POWER(Upgrades!$P$16,H196)*POWER(Upgrades!$P$17,I196)*POWER(Upgrades!$P$18,J196)*POWER(Upgrades!$P$19,K196)*POWER(Upgrades!$P$20,L196)*POWER(Upgrades!$P$21,M196))*$F$6+0.20*O196*(Parameters!$B$10/60*Parameters!$B$11+Q196))/Upgrades!$C$21,0)),IF(AND(ISNUMBER(AK196),AK196&gt;(C196+T196)),AY196,0),IF(AND(ISNUMBER(AL196),AL196&gt;(C196+T196)),AZ196,0),IF(AND(ISNUMBER(AM196),AM196&gt;(C196+T196)),BA196,0),IF(AND(ISNUMBER(AN196),AN196&gt;(C196+T196)),BB196,0),IF(AND(ISNUMBER(AO196),AO196&gt;(C196+T196)),BC196,0))</f>
        <v/>
      </c>
      <c r="BE196" s="29">
        <f>IF(AT196=1,"transition",IF(MIN(IF(AND(J196=0,ISNUMBER(AP196),AP196&lt;=(C196+T196)),AP196,9E15),IF(AND(K196=0,ISNUMBER(AQ196),AQ196&lt;=(C196+T196)),AQ196,9E15),IF(AND(L196=0,ISNUMBER(AR196),AR196&lt;=(C196+T196)),AR196,9E15),IF(AND(M196=0,ISNUMBER(AS196),AS196&lt;=(C196+T196)),AS196,9E15))&lt;9E15,IF(AND(AND(J196=0,ISNUMBER(AP196),AP196&lt;=(C196+T196)),AP196=MIN(IF(AND(J196=0,ISNUMBER(AP196),AP196&lt;=(C196+T196)),AP196,9E15),IF(AND(K196=0,ISNUMBER(AQ196),AQ196&lt;=(C196+T196)),AQ196,9E15),IF(AND(L196=0,ISNUMBER(AR196),AR196&lt;=(C196+T196)),AR196,9E15),IF(AND(M196=0,ISNUMBER(AS196),AS196&lt;=(C196+T196)),AS196,9E15))),"BiP",IF(AND(AND(K196=0,ISNUMBER(AQ196),AQ196&lt;=(C196+T196)),AQ196=MIN(IF(AND(J196=0,ISNUMBER(AP196),AP196&lt;=(C196+T196)),AP196,9E15),IF(AND(K196=0,ISNUMBER(AQ196),AQ196&lt;=(C196+T196)),AQ196,9E15),IF(AND(L196=0,ISNUMBER(AR196),AR196&lt;=(C196+T196)),AR196,9E15),IF(AND(M196=0,ISNUMBER(AS196),AS196&lt;=(C196+T196)),AS196,9E15))),"PV",IF(AND(AND(L196=0,ISNUMBER(AR196),AR196&lt;=(C196+T196)),AR196=MIN(IF(AND(J196=0,ISNUMBER(AP196),AP196&lt;=(C196+T196)),AP196,9E15),IF(AND(K196=0,ISNUMBER(AQ196),AQ196&lt;=(C196+T196)),AQ196,9E15),IF(AND(L196=0,ISNUMBER(AR196),AR196&lt;=(C196+T196)),AR196,9E15),IF(AND(M196=0,ISNUMBER(AS196),AS196&lt;=(C196+T196)),AS196,9E15))),"OC","MG"))),IF(AX196=TRUE,"",IF(MAX(IF(AND(NOT(AND(AU196=1,AT196&lt;&gt;1)),ISNUMBER(AK196),AK196&lt;=(C196+T196)),AY196,0),IF(AND(NOT(AND(AU196=1,AT196&lt;&gt;1)),ISNUMBER(AL196),AL196&lt;=(C196+T196)),AZ196,0),IF(AND(NOT(AND(AU196=1,AT196&lt;&gt;1)),ISNUMBER(AM196),AM196&lt;=(C196+T196)),BA196,0),IF(AND(NOT(AND(AU196=1,AT196&lt;&gt;1)),ISNUMBER(AN196),AN196&lt;=(C196+T196)),BB196,0),IF(AND(ISNUMBER(AO196),AO196&lt;=(C196+T196)),BC196,0))&lt;=0,"",IF(AND(IF(AND(NOT(AND(AU196=1,AT196&lt;&gt;1)),ISNUMBER(AK196),AK196&lt;=(C196+T196)),AY196,0)&gt;0,IF(AND(NOT(AND(AU196=1,AT196&lt;&gt;1)),ISNUMBER(AK196),AK196&lt;=(C196+T196)),AY196,0)=MAX(IF(AND(NOT(AND(AU196=1,AT196&lt;&gt;1)),ISNUMBER(AK196),AK196&lt;=(C196+T196)),AY196,0),IF(AND(NOT(AND(AU196=1,AT196&lt;&gt;1)),ISNUMBER(AL196),AL196&lt;=(C196+T196)),AZ196,0),IF(AND(NOT(AND(AU196=1,AT196&lt;&gt;1)),ISNUMBER(AM196),AM196&lt;=(C196+T196)),BA196,0),IF(AND(NOT(AND(AU196=1,AT196&lt;&gt;1)),ISNUMBER(AN196),AN196&lt;=(C196+T196)),BB196,0),IF(AND(ISNUMBER(AO196),AO196&lt;=(C196+T196)),BC196,0))),"SK",IF(AND(IF(AND(NOT(AND(AU196=1,AT196&lt;&gt;1)),ISNUMBER(AL196),AL196&lt;=(C196+T196)),AZ196,0)&gt;0,IF(AND(NOT(AND(AU196=1,AT196&lt;&gt;1)),ISNUMBER(AL196),AL196&lt;=(C196+T196)),AZ196,0)=MAX(IF(AND(NOT(AND(AU196=1,AT196&lt;&gt;1)),ISNUMBER(AK196),AK196&lt;=(C196+T196)),AY196,0),IF(AND(NOT(AND(AU196=1,AT196&lt;&gt;1)),ISNUMBER(AL196),AL196&lt;=(C196+T196)),AZ196,0),IF(AND(NOT(AND(AU196=1,AT196&lt;&gt;1)),ISNUMBER(AM196),AM196&lt;=(C196+T196)),BA196,0),IF(AND(NOT(AND(AU196=1,AT196&lt;&gt;1)),ISNUMBER(AN196),AN196&lt;=(C196+T196)),BB196,0),IF(AND(ISNUMBER(AO196),AO196&lt;=(C196+T196)),BC196,0))),"LB",IF(AND(IF(AND(NOT(AND(AU196=1,AT196&lt;&gt;1)),ISNUMBER(AM196),AM196&lt;=(C196+T196)),BA196,0)&gt;0,IF(AND(NOT(AND(AU196=1,AT196&lt;&gt;1)),ISNUMBER(AM196),AM196&lt;=(C196+T196)),BA196,0)=MAX(IF(AND(NOT(AND(AU196=1,AT196&lt;&gt;1)),ISNUMBER(AK196),AK196&lt;=(C196+T196)),AY196,0),IF(AND(NOT(AND(AU196=1,AT196&lt;&gt;1)),ISNUMBER(AL196),AL196&lt;=(C196+T196)),AZ196,0),IF(AND(NOT(AND(AU196=1,AT196&lt;&gt;1)),ISNUMBER(AM196),AM196&lt;=(C196+T196)),BA196,0),IF(AND(NOT(AND(AU196=1,AT196&lt;&gt;1)),ISNUMBER(AN196),AN196&lt;=(C196+T196)),BB196,0),IF(AND(ISNUMBER(AO196),AO196&lt;=(C196+T196)),BC196,0))),"ML",IF(AND(IF(AND(NOT(AND(AU196=1,AT196&lt;&gt;1)),ISNUMBER(AN196),AN196&lt;=(C196+T196)),BB196,0)&gt;0,IF(AND(NOT(AND(AU196=1,AT196&lt;&gt;1)),ISNUMBER(AN196),AN196&lt;=(C196+T196)),BB196,0)=MAX(IF(AND(NOT(AND(AU196=1,AT196&lt;&gt;1)),ISNUMBER(AK196),AK196&lt;=(C196+T196)),AY196,0),IF(AND(NOT(AND(AU196=1,AT196&lt;&gt;1)),ISNUMBER(AL196),AL196&lt;=(C196+T196)),AZ196,0),IF(AND(NOT(AND(AU196=1,AT196&lt;&gt;1)),ISNUMBER(AM196),AM196&lt;=(C196+T196)),BA196,0),IF(AND(NOT(AND(AU196=1,AT196&lt;&gt;1)),ISNUMBER(AN196),AN196&lt;=(C196+T196)),BB196,0),IF(AND(ISNUMBER(AO196),AO196&lt;=(C196+T196)),BC196,0))),"RLO","BD"))))))))</f>
        <v/>
      </c>
    </row>
    <row r="197">
      <c r="A197" s="26" t="n">
        <v>186</v>
      </c>
      <c r="B197" s="27">
        <f>A197*10/60</f>
        <v/>
      </c>
      <c r="C197" s="22">
        <f>X196</f>
        <v/>
      </c>
      <c r="D197" s="27">
        <f>D196+W196</f>
        <v/>
      </c>
      <c r="E197" s="26">
        <f>E196+IF(U196="SK",1,0)</f>
        <v/>
      </c>
      <c r="F197" s="26">
        <f>F196+IF(U196="LB",1,0)</f>
        <v/>
      </c>
      <c r="G197" s="26">
        <f>G196+IF(U196="ML",1,0)</f>
        <v/>
      </c>
      <c r="H197" s="26">
        <f>H196+IF(U196="RLO",1,0)</f>
        <v/>
      </c>
      <c r="I197" s="26">
        <f>I196+IF(U196="BD",1,0)</f>
        <v/>
      </c>
      <c r="J197" s="26">
        <f>MAX(J196,IF(U196="BiP",1,0))</f>
        <v/>
      </c>
      <c r="K197" s="26">
        <f>MAX(K196,IF(U196="PV",1,0))</f>
        <v/>
      </c>
      <c r="L197" s="26">
        <f>MAX(L196,IF(U196="OC",1,0))</f>
        <v/>
      </c>
      <c r="M197" s="26">
        <f>MAX(M196,IF(U196="MG",1,0))</f>
        <v/>
      </c>
      <c r="N197" s="26">
        <f>MAX(N196,IF(U196="transition",1,0))</f>
        <v/>
      </c>
      <c r="O197" s="28">
        <f>(Parameters!$B$9+(IF(E197=0,0,(Upgrades!$J$13+E197*Upgrades!$K$13)*POWER(Upgrades!$L$13,E197)))*(IF(Upgrades!$T$14="Stellar Kinematics",POWER(Upgrades!$U$14,F197),1)*IF(Upgrades!$T$15="Stellar Kinematics",POWER(Upgrades!$U$15,G197),1)*IF(Upgrades!$T$16="Stellar Kinematics",POWER(Upgrades!$U$16,H197),1)*IF(Upgrades!$T$17="Stellar Kinematics",POWER(Upgrades!$U$17,I197),1)*IF(Upgrades!$T$18="Stellar Kinematics",POWER(Upgrades!$U$18,J197),1)*IF(Upgrades!$T$19="Stellar Kinematics",POWER(Upgrades!$U$19,K197),1)*IF(Upgrades!$T$20="Stellar Kinematics",POWER(Upgrades!$U$20,L197),1)*IF(Upgrades!$T$21="Stellar Kinematics",POWER(Upgrades!$U$21,M197),1))+(IF(F197=0,0,(Upgrades!$J$14+F197*Upgrades!$K$14)*POWER(Upgrades!$L$14,F197)))*(IF(Upgrades!$T$13="Local Bubble",POWER(Upgrades!$U$13,E197),1)*IF(Upgrades!$T$15="Local Bubble",POWER(Upgrades!$U$15,G197),1)*IF(Upgrades!$T$16="Local Bubble",POWER(Upgrades!$U$16,H197),1)*IF(Upgrades!$T$17="Local Bubble",POWER(Upgrades!$U$17,I197),1)*IF(Upgrades!$T$18="Local Bubble",POWER(Upgrades!$U$18,J197),1)*IF(Upgrades!$T$19="Local Bubble",POWER(Upgrades!$U$19,K197),1)*IF(Upgrades!$T$20="Local Bubble",POWER(Upgrades!$U$20,L197),1)*IF(Upgrades!$T$21="Local Bubble",POWER(Upgrades!$U$21,M197),1))+(IF(G197=0,0,(Upgrades!$J$15+G197*Upgrades!$K$15)*POWER(Upgrades!$L$15,G197)))*(IF(Upgrades!$T$13="Microlensing",POWER(Upgrades!$U$13,E197),1)*IF(Upgrades!$T$14="Microlensing",POWER(Upgrades!$U$14,F197),1)*IF(Upgrades!$T$16="Microlensing",POWER(Upgrades!$U$16,H197),1)*IF(Upgrades!$T$17="Microlensing",POWER(Upgrades!$U$17,I197),1)*IF(Upgrades!$T$18="Microlensing",POWER(Upgrades!$U$18,J197),1)*IF(Upgrades!$T$19="Microlensing",POWER(Upgrades!$U$19,K197),1)*IF(Upgrades!$T$20="Microlensing",POWER(Upgrades!$U$20,L197),1)*IF(Upgrades!$T$21="Microlensing",POWER(Upgrades!$U$21,M197),1))+(IF(H197=0,0,(Upgrades!$J$16+H197*Upgrades!$K$16)*POWER(Upgrades!$L$16,H197)))*(IF(Upgrades!$T$13="Roche Lobe Overflow",POWER(Upgrades!$U$13,E197),1)*IF(Upgrades!$T$14="Roche Lobe Overflow",POWER(Upgrades!$U$14,F197),1)*IF(Upgrades!$T$15="Roche Lobe Overflow",POWER(Upgrades!$U$15,G197),1)*IF(Upgrades!$T$17="Roche Lobe Overflow",POWER(Upgrades!$U$17,I197),1)*IF(Upgrades!$T$18="Roche Lobe Overflow",POWER(Upgrades!$U$18,J197),1)*IF(Upgrades!$T$19="Roche Lobe Overflow",POWER(Upgrades!$U$19,K197),1)*IF(Upgrades!$T$20="Roche Lobe Overflow",POWER(Upgrades!$U$20,L197),1)*IF(Upgrades!$T$21="Roche Lobe Overflow",POWER(Upgrades!$U$21,M197),1))+(IF(I197=0,0,(Upgrades!$J$17+I197*Upgrades!$K$17)*POWER(Upgrades!$L$17,I197)))*(IF(Upgrades!$T$13="Brown Dwarf",POWER(Upgrades!$U$13,E197),1)*IF(Upgrades!$T$14="Brown Dwarf",POWER(Upgrades!$U$14,F197),1)*IF(Upgrades!$T$15="Brown Dwarf",POWER(Upgrades!$U$15,G197),1)*IF(Upgrades!$T$16="Brown Dwarf",POWER(Upgrades!$U$16,H197),1)*IF(Upgrades!$T$18="Brown Dwarf",POWER(Upgrades!$U$18,J197),1)*IF(Upgrades!$T$19="Brown Dwarf",POWER(Upgrades!$U$19,K197),1)*IF(Upgrades!$T$20="Brown Dwarf",POWER(Upgrades!$U$20,L197),1)*IF(Upgrades!$T$21="Brown Dwarf",POWER(Upgrades!$U$21,M197),1))+(IF(J197=0,0,(Upgrades!$J$18+J197*Upgrades!$K$18)*POWER(Upgrades!$L$18,J197)))*(IF(Upgrades!$T$13="Binary Partner",POWER(Upgrades!$U$13,E197),1)*IF(Upgrades!$T$14="Binary Partner",POWER(Upgrades!$U$14,F197),1)*IF(Upgrades!$T$15="Binary Partner",POWER(Upgrades!$U$15,G197),1)*IF(Upgrades!$T$16="Binary Partner",POWER(Upgrades!$U$16,H197),1)*IF(Upgrades!$T$17="Binary Partner",POWER(Upgrades!$U$17,I197),1)*IF(Upgrades!$T$19="Binary Partner",POWER(Upgrades!$U$19,K197),1)*IF(Upgrades!$T$20="Binary Partner",POWER(Upgrades!$U$20,L197),1)*IF(Upgrades!$T$21="Binary Partner",POWER(Upgrades!$U$21,M197),1))+(IF(K197=0,0,(Upgrades!$J$19+K197*Upgrades!$K$19)*POWER(Upgrades!$L$19,K197)))*(IF(Upgrades!$T$13="Peculiar Velocity",POWER(Upgrades!$U$13,E197),1)*IF(Upgrades!$T$14="Peculiar Velocity",POWER(Upgrades!$U$14,F197),1)*IF(Upgrades!$T$15="Peculiar Velocity",POWER(Upgrades!$U$15,G197),1)*IF(Upgrades!$T$16="Peculiar Velocity",POWER(Upgrades!$U$16,H197),1)*IF(Upgrades!$T$17="Peculiar Velocity",POWER(Upgrades!$U$17,I197),1)*IF(Upgrades!$T$18="Peculiar Velocity",POWER(Upgrades!$U$18,J197),1)*IF(Upgrades!$T$20="Peculiar Velocity",POWER(Upgrades!$U$20,L197),1)*IF(Upgrades!$T$21="Peculiar Velocity",POWER(Upgrades!$U$21,M197),1))+(IF(L197=0,0,(Upgrades!$J$20+L197*Upgrades!$K$20)*POWER(Upgrades!$L$20,L197)))*(IF(Upgrades!$T$13="Open Cluster",POWER(Upgrades!$U$13,E197),1)*IF(Upgrades!$T$14="Open Cluster",POWER(Upgrades!$U$14,F197),1)*IF(Upgrades!$T$15="Open Cluster",POWER(Upgrades!$U$15,G197),1)*IF(Upgrades!$T$16="Open Cluster",POWER(Upgrades!$U$16,H197),1)*IF(Upgrades!$T$17="Open Cluster",POWER(Upgrades!$U$17,I197),1)*IF(Upgrades!$T$18="Open Cluster",POWER(Upgrades!$U$18,J197),1)*IF(Upgrades!$T$19="Open Cluster",POWER(Upgrades!$U$19,K197),1)*IF(Upgrades!$T$21="Open Cluster",POWER(Upgrades!$U$21,M197),1))+(IF(M197=0,0,(Upgrades!$J$21+M197*Upgrades!$K$21)*POWER(Upgrades!$L$21,M197)))*(IF(Upgrades!$T$13="Moving Group",POWER(Upgrades!$U$13,E197),1)*IF(Upgrades!$T$14="Moving Group",POWER(Upgrades!$U$14,F197),1)*IF(Upgrades!$T$15="Moving Group",POWER(Upgrades!$U$15,G197),1)*IF(Upgrades!$T$16="Moving Group",POWER(Upgrades!$U$16,H197),1)*IF(Upgrades!$T$17="Moving Group",POWER(Upgrades!$U$17,I197),1)*IF(Upgrades!$T$18="Moving Group",POWER(Upgrades!$U$18,J197),1)*IF(Upgrades!$T$19="Moving Group",POWER(Upgrades!$U$19,K197),1)*IF(Upgrades!$T$20="Moving Group",POWER(Upgrades!$U$20,L197),1)))*POWER(Upgrades!$Q$13,E197)*POWER(Upgrades!$Q$14,F197)*POWER(Upgrades!$Q$15,G197)*POWER(Upgrades!$Q$16,H197)*POWER(Upgrades!$Q$17,I197)*POWER(Upgrades!$Q$18,J197)*POWER(Upgrades!$Q$19,K197)*POWER(Upgrades!$Q$20,L197)*POWER(Upgrades!$Q$21,M197)*$G$6+$D$6</f>
        <v/>
      </c>
      <c r="P197" s="28">
        <f>((IF(E197=0,0,(Upgrades!$G$13+E197*Upgrades!$H$13)*POWER(Upgrades!$I$13,E197)))*(IF(Upgrades!$T$14="Stellar Kinematics",POWER(Upgrades!$U$14,F197),1)*IF(Upgrades!$T$15="Stellar Kinematics",POWER(Upgrades!$U$15,G197),1)*IF(Upgrades!$T$16="Stellar Kinematics",POWER(Upgrades!$U$16,H197),1)*IF(Upgrades!$T$17="Stellar Kinematics",POWER(Upgrades!$U$17,I197),1)*IF(Upgrades!$T$18="Stellar Kinematics",POWER(Upgrades!$U$18,J197),1)*IF(Upgrades!$T$19="Stellar Kinematics",POWER(Upgrades!$U$19,K197),1)*IF(Upgrades!$T$20="Stellar Kinematics",POWER(Upgrades!$U$20,L197),1)*IF(Upgrades!$T$21="Stellar Kinematics",POWER(Upgrades!$U$21,M197),1))+(IF(F197=0,0,(Upgrades!$G$14+F197*Upgrades!$H$14)*POWER(Upgrades!$I$14,F197)))*(IF(Upgrades!$T$13="Local Bubble",POWER(Upgrades!$U$13,E197),1)*IF(Upgrades!$T$15="Local Bubble",POWER(Upgrades!$U$15,G197),1)*IF(Upgrades!$T$16="Local Bubble",POWER(Upgrades!$U$16,H197),1)*IF(Upgrades!$T$17="Local Bubble",POWER(Upgrades!$U$17,I197),1)*IF(Upgrades!$T$18="Local Bubble",POWER(Upgrades!$U$18,J197),1)*IF(Upgrades!$T$19="Local Bubble",POWER(Upgrades!$U$19,K197),1)*IF(Upgrades!$T$20="Local Bubble",POWER(Upgrades!$U$20,L197),1)*IF(Upgrades!$T$21="Local Bubble",POWER(Upgrades!$U$21,M197),1))+(IF(G197=0,0,(Upgrades!$G$15+G197*Upgrades!$H$15)*POWER(Upgrades!$I$15,G197)))*(IF(Upgrades!$T$13="Microlensing",POWER(Upgrades!$U$13,E197),1)*IF(Upgrades!$T$14="Microlensing",POWER(Upgrades!$U$14,F197),1)*IF(Upgrades!$T$16="Microlensing",POWER(Upgrades!$U$16,H197),1)*IF(Upgrades!$T$17="Microlensing",POWER(Upgrades!$U$17,I197),1)*IF(Upgrades!$T$18="Microlensing",POWER(Upgrades!$U$18,J197),1)*IF(Upgrades!$T$19="Microlensing",POWER(Upgrades!$U$19,K197),1)*IF(Upgrades!$T$20="Microlensing",POWER(Upgrades!$U$20,L197),1)*IF(Upgrades!$T$21="Microlensing",POWER(Upgrades!$U$21,M197),1))+(IF(H197=0,0,(Upgrades!$G$16+H197*Upgrades!$H$16)*POWER(Upgrades!$I$16,H197)))*(IF(Upgrades!$T$13="Roche Lobe Overflow",POWER(Upgrades!$U$13,E197),1)*IF(Upgrades!$T$14="Roche Lobe Overflow",POWER(Upgrades!$U$14,F197),1)*IF(Upgrades!$T$15="Roche Lobe Overflow",POWER(Upgrades!$U$15,G197),1)*IF(Upgrades!$T$17="Roche Lobe Overflow",POWER(Upgrades!$U$17,I197),1)*IF(Upgrades!$T$18="Roche Lobe Overflow",POWER(Upgrades!$U$18,J197),1)*IF(Upgrades!$T$19="Roche Lobe Overflow",POWER(Upgrades!$U$19,K197),1)*IF(Upgrades!$T$20="Roche Lobe Overflow",POWER(Upgrades!$U$20,L197),1)*IF(Upgrades!$T$21="Roche Lobe Overflow",POWER(Upgrades!$U$21,M197),1))+(IF(I197=0,0,(Upgrades!$G$17+I197*Upgrades!$H$17)*POWER(Upgrades!$I$17,I197)))*(IF(Upgrades!$T$13="Brown Dwarf",POWER(Upgrades!$U$13,E197),1)*IF(Upgrades!$T$14="Brown Dwarf",POWER(Upgrades!$U$14,F197),1)*IF(Upgrades!$T$15="Brown Dwarf",POWER(Upgrades!$U$15,G197),1)*IF(Upgrades!$T$16="Brown Dwarf",POWER(Upgrades!$U$16,H197),1)*IF(Upgrades!$T$18="Brown Dwarf",POWER(Upgrades!$U$18,J197),1)*IF(Upgrades!$T$19="Brown Dwarf",POWER(Upgrades!$U$19,K197),1)*IF(Upgrades!$T$20="Brown Dwarf",POWER(Upgrades!$U$20,L197),1)*IF(Upgrades!$T$21="Brown Dwarf",POWER(Upgrades!$U$21,M197),1))+(IF(J197=0,0,(Upgrades!$G$18+J197*Upgrades!$H$18)*POWER(Upgrades!$I$18,J197)))*(IF(Upgrades!$T$13="Binary Partner",POWER(Upgrades!$U$13,E197),1)*IF(Upgrades!$T$14="Binary Partner",POWER(Upgrades!$U$14,F197),1)*IF(Upgrades!$T$15="Binary Partner",POWER(Upgrades!$U$15,G197),1)*IF(Upgrades!$T$16="Binary Partner",POWER(Upgrades!$U$16,H197),1)*IF(Upgrades!$T$17="Binary Partner",POWER(Upgrades!$U$17,I197),1)*IF(Upgrades!$T$19="Binary Partner",POWER(Upgrades!$U$19,K197),1)*IF(Upgrades!$T$20="Binary Partner",POWER(Upgrades!$U$20,L197),1)*IF(Upgrades!$T$21="Binary Partner",POWER(Upgrades!$U$21,M197),1))+(IF(K197=0,0,(Upgrades!$G$19+K197*Upgrades!$H$19)*POWER(Upgrades!$I$19,K197)))*(IF(Upgrades!$T$13="Peculiar Velocity",POWER(Upgrades!$U$13,E197),1)*IF(Upgrades!$T$14="Peculiar Velocity",POWER(Upgrades!$U$14,F197),1)*IF(Upgrades!$T$15="Peculiar Velocity",POWER(Upgrades!$U$15,G197),1)*IF(Upgrades!$T$16="Peculiar Velocity",POWER(Upgrades!$U$16,H197),1)*IF(Upgrades!$T$17="Peculiar Velocity",POWER(Upgrades!$U$17,I197),1)*IF(Upgrades!$T$18="Peculiar Velocity",POWER(Upgrades!$U$18,J197),1)*IF(Upgrades!$T$20="Peculiar Velocity",POWER(Upgrades!$U$20,L197),1)*IF(Upgrades!$T$21="Peculiar Velocity",POWER(Upgrades!$U$21,M197),1))+(IF(L197=0,0,(Upgrades!$G$20+L197*Upgrades!$H$20)*POWER(Upgrades!$I$20,L197)))*(IF(Upgrades!$T$13="Open Cluster",POWER(Upgrades!$U$13,E197),1)*IF(Upgrades!$T$14="Open Cluster",POWER(Upgrades!$U$14,F197),1)*IF(Upgrades!$T$15="Open Cluster",POWER(Upgrades!$U$15,G197),1)*IF(Upgrades!$T$16="Open Cluster",POWER(Upgrades!$U$16,H197),1)*IF(Upgrades!$T$17="Open Cluster",POWER(Upgrades!$U$17,I197),1)*IF(Upgrades!$T$18="Open Cluster",POWER(Upgrades!$U$18,J197),1)*IF(Upgrades!$T$19="Open Cluster",POWER(Upgrades!$U$19,K197),1)*IF(Upgrades!$T$21="Open Cluster",POWER(Upgrades!$U$21,M197),1))+(IF(M197=0,0,(Upgrades!$G$21+M197*Upgrades!$H$21)*POWER(Upgrades!$I$21,M197)))*(IF(Upgrades!$T$13="Moving Group",POWER(Upgrades!$U$13,E197),1)*IF(Upgrades!$T$14="Moving Group",POWER(Upgrades!$U$14,F197),1)*IF(Upgrades!$T$15="Moving Group",POWER(Upgrades!$U$15,G197),1)*IF(Upgrades!$T$16="Moving Group",POWER(Upgrades!$U$16,H197),1)*IF(Upgrades!$T$17="Moving Group",POWER(Upgrades!$U$17,I197),1)*IF(Upgrades!$T$18="Moving Group",POWER(Upgrades!$U$18,J197),1)*IF(Upgrades!$T$19="Moving Group",POWER(Upgrades!$U$19,K197),1)*IF(Upgrades!$T$20="Moving Group",POWER(Upgrades!$U$20,L197),1)))*POWER(Upgrades!$P$13,E197)*POWER(Upgrades!$P$14,F197)*POWER(Upgrades!$P$15,G197)*POWER(Upgrades!$P$16,H197)*POWER(Upgrades!$P$17,I197)*POWER(Upgrades!$P$18,J197)*POWER(Upgrades!$P$19,K197)*POWER(Upgrades!$P$20,L197)*POWER(Upgrades!$P$21,M197)*$F$6+$C$6</f>
        <v/>
      </c>
      <c r="Q197" s="28">
        <f>((IF(E197=0,0,(Upgrades!$M$13+E197*Upgrades!$N$13)*POWER(Upgrades!$O$13,E197)))*(IF(Upgrades!$T$14="Stellar Kinematics",POWER(Upgrades!$U$14,F197),1)*IF(Upgrades!$T$15="Stellar Kinematics",POWER(Upgrades!$U$15,G197),1)*IF(Upgrades!$T$16="Stellar Kinematics",POWER(Upgrades!$U$16,H197),1)*IF(Upgrades!$T$17="Stellar Kinematics",POWER(Upgrades!$U$17,I197),1)*IF(Upgrades!$T$18="Stellar Kinematics",POWER(Upgrades!$U$18,J197),1)*IF(Upgrades!$T$19="Stellar Kinematics",POWER(Upgrades!$U$19,K197),1)*IF(Upgrades!$T$20="Stellar Kinematics",POWER(Upgrades!$U$20,L197),1)*IF(Upgrades!$T$21="Stellar Kinematics",POWER(Upgrades!$U$21,M197),1))+(IF(F197=0,0,(Upgrades!$M$14+F197*Upgrades!$N$14)*POWER(Upgrades!$O$14,F197)))*(IF(Upgrades!$T$13="Local Bubble",POWER(Upgrades!$U$13,E197),1)*IF(Upgrades!$T$15="Local Bubble",POWER(Upgrades!$U$15,G197),1)*IF(Upgrades!$T$16="Local Bubble",POWER(Upgrades!$U$16,H197),1)*IF(Upgrades!$T$17="Local Bubble",POWER(Upgrades!$U$17,I197),1)*IF(Upgrades!$T$18="Local Bubble",POWER(Upgrades!$U$18,J197),1)*IF(Upgrades!$T$19="Local Bubble",POWER(Upgrades!$U$19,K197),1)*IF(Upgrades!$T$20="Local Bubble",POWER(Upgrades!$U$20,L197),1)*IF(Upgrades!$T$21="Local Bubble",POWER(Upgrades!$U$21,M197),1))+(IF(G197=0,0,(Upgrades!$M$15+G197*Upgrades!$N$15)*POWER(Upgrades!$O$15,G197)))*(IF(Upgrades!$T$13="Microlensing",POWER(Upgrades!$U$13,E197),1)*IF(Upgrades!$T$14="Microlensing",POWER(Upgrades!$U$14,F197),1)*IF(Upgrades!$T$16="Microlensing",POWER(Upgrades!$U$16,H197),1)*IF(Upgrades!$T$17="Microlensing",POWER(Upgrades!$U$17,I197),1)*IF(Upgrades!$T$18="Microlensing",POWER(Upgrades!$U$18,J197),1)*IF(Upgrades!$T$19="Microlensing",POWER(Upgrades!$U$19,K197),1)*IF(Upgrades!$T$20="Microlensing",POWER(Upgrades!$U$20,L197),1)*IF(Upgrades!$T$21="Microlensing",POWER(Upgrades!$U$21,M197),1))+(IF(H197=0,0,(Upgrades!$M$16+H197*Upgrades!$N$16)*POWER(Upgrades!$O$16,H197)))*(IF(Upgrades!$T$13="Roche Lobe Overflow",POWER(Upgrades!$U$13,E197),1)*IF(Upgrades!$T$14="Roche Lobe Overflow",POWER(Upgrades!$U$14,F197),1)*IF(Upgrades!$T$15="Roche Lobe Overflow",POWER(Upgrades!$U$15,G197),1)*IF(Upgrades!$T$17="Roche Lobe Overflow",POWER(Upgrades!$U$17,I197),1)*IF(Upgrades!$T$18="Roche Lobe Overflow",POWER(Upgrades!$U$18,J197),1)*IF(Upgrades!$T$19="Roche Lobe Overflow",POWER(Upgrades!$U$19,K197),1)*IF(Upgrades!$T$20="Roche Lobe Overflow",POWER(Upgrades!$U$20,L197),1)*IF(Upgrades!$T$21="Roche Lobe Overflow",POWER(Upgrades!$U$21,M197),1))+(IF(I197=0,0,(Upgrades!$M$17+I197*Upgrades!$N$17)*POWER(Upgrades!$O$17,I197)))*(IF(Upgrades!$T$13="Brown Dwarf",POWER(Upgrades!$U$13,E197),1)*IF(Upgrades!$T$14="Brown Dwarf",POWER(Upgrades!$U$14,F197),1)*IF(Upgrades!$T$15="Brown Dwarf",POWER(Upgrades!$U$15,G197),1)*IF(Upgrades!$T$16="Brown Dwarf",POWER(Upgrades!$U$16,H197),1)*IF(Upgrades!$T$18="Brown Dwarf",POWER(Upgrades!$U$18,J197),1)*IF(Upgrades!$T$19="Brown Dwarf",POWER(Upgrades!$U$19,K197),1)*IF(Upgrades!$T$20="Brown Dwarf",POWER(Upgrades!$U$20,L197),1)*IF(Upgrades!$T$21="Brown Dwarf",POWER(Upgrades!$U$21,M197),1))+(IF(J197=0,0,(Upgrades!$M$18+J197*Upgrades!$N$18)*POWER(Upgrades!$O$18,J197)))*(IF(Upgrades!$T$13="Binary Partner",POWER(Upgrades!$U$13,E197),1)*IF(Upgrades!$T$14="Binary Partner",POWER(Upgrades!$U$14,F197),1)*IF(Upgrades!$T$15="Binary Partner",POWER(Upgrades!$U$15,G197),1)*IF(Upgrades!$T$16="Binary Partner",POWER(Upgrades!$U$16,H197),1)*IF(Upgrades!$T$17="Binary Partner",POWER(Upgrades!$U$17,I197),1)*IF(Upgrades!$T$19="Binary Partner",POWER(Upgrades!$U$19,K197),1)*IF(Upgrades!$T$20="Binary Partner",POWER(Upgrades!$U$20,L197),1)*IF(Upgrades!$T$21="Binary Partner",POWER(Upgrades!$U$21,M197),1))+(IF(K197=0,0,(Upgrades!$M$19+K197*Upgrades!$N$19)*POWER(Upgrades!$O$19,K197)))*(IF(Upgrades!$T$13="Peculiar Velocity",POWER(Upgrades!$U$13,E197),1)*IF(Upgrades!$T$14="Peculiar Velocity",POWER(Upgrades!$U$14,F197),1)*IF(Upgrades!$T$15="Peculiar Velocity",POWER(Upgrades!$U$15,G197),1)*IF(Upgrades!$T$16="Peculiar Velocity",POWER(Upgrades!$U$16,H197),1)*IF(Upgrades!$T$17="Peculiar Velocity",POWER(Upgrades!$U$17,I197),1)*IF(Upgrades!$T$18="Peculiar Velocity",POWER(Upgrades!$U$18,J197),1)*IF(Upgrades!$T$20="Peculiar Velocity",POWER(Upgrades!$U$20,L197),1)*IF(Upgrades!$T$21="Peculiar Velocity",POWER(Upgrades!$U$21,M197),1))+(IF(L197=0,0,(Upgrades!$M$20+L197*Upgrades!$N$20)*POWER(Upgrades!$O$20,L197)))*(IF(Upgrades!$T$13="Open Cluster",POWER(Upgrades!$U$13,E197),1)*IF(Upgrades!$T$14="Open Cluster",POWER(Upgrades!$U$14,F197),1)*IF(Upgrades!$T$15="Open Cluster",POWER(Upgrades!$U$15,G197),1)*IF(Upgrades!$T$16="Open Cluster",POWER(Upgrades!$U$16,H197),1)*IF(Upgrades!$T$17="Open Cluster",POWER(Upgrades!$U$17,I197),1)*IF(Upgrades!$T$18="Open Cluster",POWER(Upgrades!$U$18,J197),1)*IF(Upgrades!$T$19="Open Cluster",POWER(Upgrades!$U$19,K197),1)*IF(Upgrades!$T$21="Open Cluster",POWER(Upgrades!$U$21,M197),1))+(IF(M197=0,0,(Upgrades!$M$21+M197*Upgrades!$N$21)*POWER(Upgrades!$O$21,M197)))*(IF(Upgrades!$T$13="Moving Group",POWER(Upgrades!$U$13,E197),1)*IF(Upgrades!$T$14="Moving Group",POWER(Upgrades!$U$14,F197),1)*IF(Upgrades!$T$15="Moving Group",POWER(Upgrades!$U$15,G197),1)*IF(Upgrades!$T$16="Moving Group",POWER(Upgrades!$U$16,H197),1)*IF(Upgrades!$T$17="Moving Group",POWER(Upgrades!$U$17,I197),1)*IF(Upgrades!$T$18="Moving Group",POWER(Upgrades!$U$18,J197),1)*IF(Upgrades!$T$19="Moving Group",POWER(Upgrades!$U$19,K197),1)*IF(Upgrades!$T$20="Moving Group",POWER(Upgrades!$U$20,L197),1)))*POWER(Upgrades!$R$13,E197)*POWER(Upgrades!$R$14,F197)*POWER(Upgrades!$R$15,G197)*POWER(Upgrades!$R$16,H197)*POWER(Upgrades!$R$17,I197)*POWER(Upgrades!$R$18,J197)*POWER(Upgrades!$R$19,K197)*POWER(Upgrades!$R$20,L197)*POWER(Upgrades!$R$21,M197)*$H$6+$E$6</f>
        <v/>
      </c>
      <c r="R197" s="27">
        <f>IF(N197=1,0,O197*Parameters!$B$10/60*Parameters!$B$11*10)</f>
        <v/>
      </c>
      <c r="S197" s="27">
        <f>IF(N197=1,0,Q197*O197*10)</f>
        <v/>
      </c>
      <c r="T197" s="27">
        <f>IF(N197=1,0,R197+S197+P197*10)</f>
        <v/>
      </c>
      <c r="U197" s="33">
        <f>BE197</f>
        <v/>
      </c>
      <c r="V197" s="22">
        <f>IF(U197="",0,IF(U197="transition",0,IF(U197="SK",AK197,IF(U197="LB",AL197,IF(U197="ML",AM197,IF(U197="RLO",AN197,IF(U197="BD",AO197,IF(U197="BiP",AP197,IF(U197="PV",AQ197,IF(U197="OC",AR197,IF(U197="MG",AS197,0))))))))))</f>
        <v/>
      </c>
      <c r="W197" s="27">
        <f>IF(U197="BiP",Upgrades!$F$18,IF(U197="PV",Upgrades!$F$19,IF(U197="OC",Upgrades!$F$20,IF(U197="MG",Upgrades!$F$21,IF(U197="transition",-Parameters!$B$18*Parameters!$B$19,0)))))</f>
        <v/>
      </c>
      <c r="X197" s="22">
        <f>C197+T197-V197</f>
        <v/>
      </c>
      <c r="Y197" s="30">
        <f>O197*Parameters!$B$10/60*Parameters!$B$11+Q197*O197+P197</f>
        <v/>
      </c>
      <c r="Z197" s="34">
        <f>IF(U197="transition","→ Tier 3 (Galactic Arm)",IF(U197="MG","Moving Group — pocket drifts together",IF(U197="OC","Open Cluster acquired",IF(U197="PV","Peculiar Velocity — passive multiplier active",IF(U197="BiP","Binary Partner — pair bond formed",IF(AND(AU197=1,N197=0,AT197&lt;&gt;1),"Cohesion ready (waiting on completionists)","")))))) </f>
        <v/>
      </c>
      <c r="AA197" s="27">
        <f>(IF(E197=0,0,(Upgrades!$G$13+E197*Upgrades!$H$13)*POWER(Upgrades!$I$13,E197)))*(IF(Upgrades!$T$14="Stellar Kinematics",POWER(Upgrades!$U$14,F197),1)*IF(Upgrades!$T$15="Stellar Kinematics",POWER(Upgrades!$U$15,G197),1)*IF(Upgrades!$T$16="Stellar Kinematics",POWER(Upgrades!$U$16,H197),1)*IF(Upgrades!$T$17="Stellar Kinematics",POWER(Upgrades!$U$17,I197),1)*IF(Upgrades!$T$18="Stellar Kinematics",POWER(Upgrades!$U$18,J197),1)*IF(Upgrades!$T$19="Stellar Kinematics",POWER(Upgrades!$U$19,K197),1)*IF(Upgrades!$T$20="Stellar Kinematics",POWER(Upgrades!$U$20,L197),1)*IF(Upgrades!$T$21="Stellar Kinematics",POWER(Upgrades!$U$21,M197),1))*POWER(Upgrades!$P$13,E197)*POWER(Upgrades!$P$14,F197)*POWER(Upgrades!$P$15,G197)*POWER(Upgrades!$P$16,H197)*POWER(Upgrades!$P$17,I197)*POWER(Upgrades!$P$18,J197)*POWER(Upgrades!$P$19,K197)*POWER(Upgrades!$P$20,L197)*POWER(Upgrades!$P$21,M197)*$F$6*60</f>
        <v/>
      </c>
      <c r="AB197" s="27">
        <f>(IF(F197=0,0,(Upgrades!$G$14+F197*Upgrades!$H$14)*POWER(Upgrades!$I$14,F197)))*(IF(Upgrades!$T$13="Local Bubble",POWER(Upgrades!$U$13,E197),1)*IF(Upgrades!$T$15="Local Bubble",POWER(Upgrades!$U$15,G197),1)*IF(Upgrades!$T$16="Local Bubble",POWER(Upgrades!$U$16,H197),1)*IF(Upgrades!$T$17="Local Bubble",POWER(Upgrades!$U$17,I197),1)*IF(Upgrades!$T$18="Local Bubble",POWER(Upgrades!$U$18,J197),1)*IF(Upgrades!$T$19="Local Bubble",POWER(Upgrades!$U$19,K197),1)*IF(Upgrades!$T$20="Local Bubble",POWER(Upgrades!$U$20,L197),1)*IF(Upgrades!$T$21="Local Bubble",POWER(Upgrades!$U$21,M197),1))*POWER(Upgrades!$P$13,E197)*POWER(Upgrades!$P$14,F197)*POWER(Upgrades!$P$15,G197)*POWER(Upgrades!$P$16,H197)*POWER(Upgrades!$P$17,I197)*POWER(Upgrades!$P$18,J197)*POWER(Upgrades!$P$19,K197)*POWER(Upgrades!$P$20,L197)*POWER(Upgrades!$P$21,M197)*$F$6*60</f>
        <v/>
      </c>
      <c r="AC197" s="27">
        <f>(IF(G197=0,0,(Upgrades!$J$15+G197*Upgrades!$K$15)*POWER(Upgrades!$L$15,G197)))*(IF(Upgrades!$T$13="Microlensing",POWER(Upgrades!$U$13,E197),1)*IF(Upgrades!$T$14="Microlensing",POWER(Upgrades!$U$14,F197),1)*IF(Upgrades!$T$16="Microlensing",POWER(Upgrades!$U$16,H197),1)*IF(Upgrades!$T$17="Microlensing",POWER(Upgrades!$U$17,I197),1)*IF(Upgrades!$T$18="Microlensing",POWER(Upgrades!$U$18,J197),1)*IF(Upgrades!$T$19="Microlensing",POWER(Upgrades!$U$19,K197),1)*IF(Upgrades!$T$20="Microlensing",POWER(Upgrades!$U$20,L197),1)*IF(Upgrades!$T$21="Microlensing",POWER(Upgrades!$U$21,M197),1))*POWER(Upgrades!$Q$13,E197)*POWER(Upgrades!$Q$14,F197)*POWER(Upgrades!$Q$15,G197)*POWER(Upgrades!$Q$16,H197)*POWER(Upgrades!$Q$17,I197)*POWER(Upgrades!$Q$18,J197)*POWER(Upgrades!$Q$19,K197)*POWER(Upgrades!$Q$20,L197)*POWER(Upgrades!$Q$21,M197)*$G$6*(Parameters!$B$10*Parameters!$B$11+Q197*60)</f>
        <v/>
      </c>
      <c r="AD197" s="27">
        <f>(IF(H197=0,0,(Upgrades!$M$16+H197*Upgrades!$N$16)*POWER(Upgrades!$O$16,H197)))*(IF(Upgrades!$T$13="Roche Lobe Overflow",POWER(Upgrades!$U$13,E197),1)*IF(Upgrades!$T$14="Roche Lobe Overflow",POWER(Upgrades!$U$14,F197),1)*IF(Upgrades!$T$15="Roche Lobe Overflow",POWER(Upgrades!$U$15,G197),1)*IF(Upgrades!$T$17="Roche Lobe Overflow",POWER(Upgrades!$U$17,I197),1)*IF(Upgrades!$T$18="Roche Lobe Overflow",POWER(Upgrades!$U$18,J197),1)*IF(Upgrades!$T$19="Roche Lobe Overflow",POWER(Upgrades!$U$19,K197),1)*IF(Upgrades!$T$20="Roche Lobe Overflow",POWER(Upgrades!$U$20,L197),1)*IF(Upgrades!$T$21="Roche Lobe Overflow",POWER(Upgrades!$U$21,M197),1))*POWER(Upgrades!$R$13,E197)*POWER(Upgrades!$R$14,F197)*POWER(Upgrades!$R$15,G197)*POWER(Upgrades!$R$16,H197)*POWER(Upgrades!$R$17,I197)*POWER(Upgrades!$R$18,J197)*POWER(Upgrades!$R$19,K197)*POWER(Upgrades!$R$20,L197)*POWER(Upgrades!$R$21,M197)*$H$6*O197*60</f>
        <v/>
      </c>
      <c r="AE197" s="27">
        <f>(IF(I197=0,0,(Upgrades!$G$17+I197*Upgrades!$H$17)*POWER(Upgrades!$I$17,I197)))*(IF(Upgrades!$T$13="Brown Dwarf",POWER(Upgrades!$U$13,E197),1)*IF(Upgrades!$T$14="Brown Dwarf",POWER(Upgrades!$U$14,F197),1)*IF(Upgrades!$T$15="Brown Dwarf",POWER(Upgrades!$U$15,G197),1)*IF(Upgrades!$T$16="Brown Dwarf",POWER(Upgrades!$U$16,H197),1)*IF(Upgrades!$T$18="Brown Dwarf",POWER(Upgrades!$U$18,J197),1)*IF(Upgrades!$T$19="Brown Dwarf",POWER(Upgrades!$U$19,K197),1)*IF(Upgrades!$T$20="Brown Dwarf",POWER(Upgrades!$U$20,L197),1)*IF(Upgrades!$T$21="Brown Dwarf",POWER(Upgrades!$U$21,M197),1))*POWER(Upgrades!$P$13,E197)*POWER(Upgrades!$P$14,F197)*POWER(Upgrades!$P$15,G197)*POWER(Upgrades!$P$16,H197)*POWER(Upgrades!$P$17,I197)*POWER(Upgrades!$P$18,J197)*POWER(Upgrades!$P$19,K197)*POWER(Upgrades!$P$20,L197)*POWER(Upgrades!$P$21,M197)*$F$6*60</f>
        <v/>
      </c>
      <c r="AF197" s="27" t="n">
        <v>0</v>
      </c>
      <c r="AG197" s="27" t="n">
        <v>0</v>
      </c>
      <c r="AH197" s="27" t="n">
        <v>0</v>
      </c>
      <c r="AI197" s="27">
        <f>(IF(M197=0,0,(Upgrades!$G$21+M197*Upgrades!$H$21)*POWER(Upgrades!$I$21,M197)))*(IF(Upgrades!$T$13="Moving Group",POWER(Upgrades!$U$13,E197),1)*IF(Upgrades!$T$14="Moving Group",POWER(Upgrades!$U$14,F197),1)*IF(Upgrades!$T$15="Moving Group",POWER(Upgrades!$U$15,G197),1)*IF(Upgrades!$T$16="Moving Group",POWER(Upgrades!$U$16,H197),1)*IF(Upgrades!$T$17="Moving Group",POWER(Upgrades!$U$17,I197),1)*IF(Upgrades!$T$18="Moving Group",POWER(Upgrades!$U$18,J197),1)*IF(Upgrades!$T$19="Moving Group",POWER(Upgrades!$U$19,K197),1)*IF(Upgrades!$T$20="Moving Group",POWER(Upgrades!$U$20,L197),1))*POWER(Upgrades!$P$13,E197)*POWER(Upgrades!$P$14,F197)*POWER(Upgrades!$P$15,G197)*POWER(Upgrades!$P$16,H197)*POWER(Upgrades!$P$17,I197)*POWER(Upgrades!$P$18,J197)*POWER(Upgrades!$P$19,K197)*POWER(Upgrades!$P$20,L197)*POWER(Upgrades!$P$21,M197)*$F$6*60</f>
        <v/>
      </c>
      <c r="AJ197" s="27">
        <f>$C$6*60</f>
        <v/>
      </c>
      <c r="AK197" s="22">
        <f>IF(E197&gt;=Upgrades!$E$13,"",Upgrades!$C$13*POWER(Upgrades!$D$13,E197))</f>
        <v/>
      </c>
      <c r="AL197" s="22">
        <f>IF(F197&gt;=Upgrades!$E$14,"",Upgrades!$C$14*POWER(Upgrades!$D$14,F197))</f>
        <v/>
      </c>
      <c r="AM197" s="22">
        <f>IF(G197&gt;=Upgrades!$E$15,"",Upgrades!$C$15*POWER(Upgrades!$D$15,G197))</f>
        <v/>
      </c>
      <c r="AN197" s="22">
        <f>IF(H197&gt;=Upgrades!$E$16,"",Upgrades!$C$16*POWER(Upgrades!$D$16,H197))</f>
        <v/>
      </c>
      <c r="AO197" s="22">
        <f>IF(I197&gt;=Upgrades!$E$17,"",Upgrades!$C$17*POWER(Upgrades!$D$17,I197))</f>
        <v/>
      </c>
      <c r="AP197" s="22">
        <f>IF(J197&gt;=Upgrades!$E$18,"",Upgrades!$C$18*POWER(Upgrades!$D$18,J197))</f>
        <v/>
      </c>
      <c r="AQ197" s="22">
        <f>IF(K197&gt;=Upgrades!$E$19,"",Upgrades!$C$19*POWER(Upgrades!$D$19,K197))</f>
        <v/>
      </c>
      <c r="AR197" s="22">
        <f>IF(L197&gt;=Upgrades!$E$20,"",Upgrades!$C$20*POWER(Upgrades!$D$20,L197))</f>
        <v/>
      </c>
      <c r="AS197" s="22">
        <f>IF(M197&gt;=Upgrades!$E$21,"",Upgrades!$C$21*POWER(Upgrades!$D$21,M197))</f>
        <v/>
      </c>
      <c r="AT197" s="26">
        <f>IF(AND(D197&gt;=Parameters!$B$18*Parameters!$B$19,(I197&gt;=Upgrades!$E$17)*(M197&gt;=Upgrades!$E$21)=1,N197=0),1,"")</f>
        <v/>
      </c>
      <c r="AU197" s="26">
        <f>IF(AND(D197&gt;=Parameters!$B$18*Parameters!$B$19,N197=0),1,"")</f>
        <v/>
      </c>
      <c r="AV197" s="22">
        <f>MIN(IF(ISNUMBER(AP197),AP197,9E15),IF(ISNUMBER(AQ197),AQ197,9E15),IF(ISNUMBER(AR197),AR197,9E15),IF(ISNUMBER(AS197),AS197,9E15))</f>
        <v/>
      </c>
      <c r="AW197" s="22">
        <f>MIN(IF(ISNUMBER(AK197),AK197,9E15),IF(ISNUMBER(AL197),AL197,9E15),IF(ISNUMBER(AM197),AM197,9E15),IF(ISNUMBER(AN197),AN197,9E15),IF(ISNUMBER(AO197),AO197,9E15))</f>
        <v/>
      </c>
      <c r="AX197" s="29">
        <f>IF(BD197&gt;Parameters!$B$21*(MAX(IF(AND(NOT(AND(AU197=1,AT197&lt;&gt;1)),ISNUMBER(AK197),AK197&lt;=(C197+T197)),AY197,0),IF(AND(NOT(AND(AU197=1,AT197&lt;&gt;1)),ISNUMBER(AL197),AL197&lt;=(C197+T197)),AZ197,0),IF(AND(NOT(AND(AU197=1,AT197&lt;&gt;1)),ISNUMBER(AM197),AM197&lt;=(C197+T197)),BA197,0),IF(AND(NOT(AND(AU197=1,AT197&lt;&gt;1)),ISNUMBER(AN197),AN197&lt;=(C197+T197)),BB197,0),IF(AND(ISNUMBER(AO197),AO197&lt;=(C197+T197)),BC197,0))),TRUE,FALSE)</f>
        <v/>
      </c>
      <c r="AY197" s="32">
        <f>IFERROR(Upgrades!$H$13*(POWER(Upgrades!$P$13,E197)*POWER(Upgrades!$P$14,F197)*POWER(Upgrades!$P$15,G197)*POWER(Upgrades!$P$16,H197)*POWER(Upgrades!$P$17,I197)*POWER(Upgrades!$P$18,J197)*POWER(Upgrades!$P$19,K197)*POWER(Upgrades!$P$20,L197)*POWER(Upgrades!$P$21,M197))*(IF(Upgrades!$T$14="Stellar Kinematics",POWER(Upgrades!$U$14,F197),1)*IF(Upgrades!$T$15="Stellar Kinematics",POWER(Upgrades!$U$15,G197),1)*IF(Upgrades!$T$16="Stellar Kinematics",POWER(Upgrades!$U$16,H197),1)*IF(Upgrades!$T$17="Stellar Kinematics",POWER(Upgrades!$U$17,I197),1)*IF(Upgrades!$T$18="Stellar Kinematics",POWER(Upgrades!$U$18,J197),1)*IF(Upgrades!$T$19="Stellar Kinematics",POWER(Upgrades!$U$19,K197),1)*IF(Upgrades!$T$20="Stellar Kinematics",POWER(Upgrades!$U$20,L197),1)*IF(Upgrades!$T$21="Stellar Kinematics",POWER(Upgrades!$U$21,M197),1))*$F$6/AK197,0)</f>
        <v/>
      </c>
      <c r="AZ197" s="32">
        <f>IFERROR(Upgrades!$H$14*(POWER(Upgrades!$P$13,E197)*POWER(Upgrades!$P$14,F197)*POWER(Upgrades!$P$15,G197)*POWER(Upgrades!$P$16,H197)*POWER(Upgrades!$P$17,I197)*POWER(Upgrades!$P$18,J197)*POWER(Upgrades!$P$19,K197)*POWER(Upgrades!$P$20,L197)*POWER(Upgrades!$P$21,M197))*(IF(Upgrades!$T$13="Local Bubble",POWER(Upgrades!$U$13,E197),1)*IF(Upgrades!$T$15="Local Bubble",POWER(Upgrades!$U$15,G197),1)*IF(Upgrades!$T$16="Local Bubble",POWER(Upgrades!$U$16,H197),1)*IF(Upgrades!$T$17="Local Bubble",POWER(Upgrades!$U$17,I197),1)*IF(Upgrades!$T$18="Local Bubble",POWER(Upgrades!$U$18,J197),1)*IF(Upgrades!$T$19="Local Bubble",POWER(Upgrades!$U$19,K197),1)*IF(Upgrades!$T$20="Local Bubble",POWER(Upgrades!$U$20,L197),1)*IF(Upgrades!$T$21="Local Bubble",POWER(Upgrades!$U$21,M197),1))*$F$6/AL197,0)</f>
        <v/>
      </c>
      <c r="BA197" s="32">
        <f>IFERROR(Upgrades!$K$15*(POWER(Upgrades!$Q$13,E197)*POWER(Upgrades!$Q$14,F197)*POWER(Upgrades!$Q$15,G197)*POWER(Upgrades!$Q$16,H197)*POWER(Upgrades!$Q$17,I197)*POWER(Upgrades!$Q$18,J197)*POWER(Upgrades!$Q$19,K197)*POWER(Upgrades!$Q$20,L197)*POWER(Upgrades!$Q$21,M197))*(IF(Upgrades!$T$13="Microlensing",POWER(Upgrades!$U$13,E197),1)*IF(Upgrades!$T$14="Microlensing",POWER(Upgrades!$U$14,F197),1)*IF(Upgrades!$T$16="Microlensing",POWER(Upgrades!$U$16,H197),1)*IF(Upgrades!$T$17="Microlensing",POWER(Upgrades!$U$17,I197),1)*IF(Upgrades!$T$18="Microlensing",POWER(Upgrades!$U$18,J197),1)*IF(Upgrades!$T$19="Microlensing",POWER(Upgrades!$U$19,K197),1)*IF(Upgrades!$T$20="Microlensing",POWER(Upgrades!$U$20,L197),1)*IF(Upgrades!$T$21="Microlensing",POWER(Upgrades!$U$21,M197),1))*$G$6*(Parameters!$B$10/60*Parameters!$B$11+Q197)/AM197,0)</f>
        <v/>
      </c>
      <c r="BB197" s="32">
        <f>IFERROR((Upgrades!$N$16*(POWER(Upgrades!$R$13,E197)*POWER(Upgrades!$R$14,F197)*POWER(Upgrades!$R$15,G197)*POWER(Upgrades!$R$16,H197)*POWER(Upgrades!$R$17,I197)*POWER(Upgrades!$R$18,J197)*POWER(Upgrades!$R$19,K197)*POWER(Upgrades!$R$20,L197)*POWER(Upgrades!$R$21,M197))*(IF(Upgrades!$T$13="Roche Lobe Overflow",POWER(Upgrades!$U$13,E197),1)*IF(Upgrades!$T$14="Roche Lobe Overflow",POWER(Upgrades!$U$14,F197),1)*IF(Upgrades!$T$15="Roche Lobe Overflow",POWER(Upgrades!$U$15,G197),1)*IF(Upgrades!$T$17="Roche Lobe Overflow",POWER(Upgrades!$U$17,I197),1)*IF(Upgrades!$T$18="Roche Lobe Overflow",POWER(Upgrades!$U$18,J197),1)*IF(Upgrades!$T$19="Roche Lobe Overflow",POWER(Upgrades!$U$19,K197),1)*IF(Upgrades!$T$20="Roche Lobe Overflow",POWER(Upgrades!$U$20,L197),1)*IF(Upgrades!$T$21="Roche Lobe Overflow",POWER(Upgrades!$U$21,M197),1))*$H$6*O197+((IF(F197=0,0,(Upgrades!$G$14+F197*Upgrades!$H$14)*POWER(Upgrades!$I$14,F197)))*(IF(Upgrades!$T$13="Local Bubble",POWER(Upgrades!$U$13,E197),1)*IF(Upgrades!$T$15="Local Bubble",POWER(Upgrades!$U$15,G197),1)*IF(Upgrades!$T$16="Local Bubble",POWER(Upgrades!$U$16,H197),1)*IF(Upgrades!$T$17="Local Bubble",POWER(Upgrades!$U$17,I197),1)*IF(Upgrades!$T$18="Local Bubble",POWER(Upgrades!$U$18,J197),1)*IF(Upgrades!$T$19="Local Bubble",POWER(Upgrades!$U$19,K197),1)*IF(Upgrades!$T$20="Local Bubble",POWER(Upgrades!$U$20,L197),1)*IF(Upgrades!$T$21="Local Bubble",POWER(Upgrades!$U$21,M197),1))*POWER(Upgrades!$P$13,E197)*POWER(Upgrades!$P$14,F197)*POWER(Upgrades!$P$15,G197)*POWER(Upgrades!$P$16,H197)*POWER(Upgrades!$P$17,I197)*POWER(Upgrades!$P$18,J197)*POWER(Upgrades!$P$19,K197)*POWER(Upgrades!$P$20,L197)*POWER(Upgrades!$P$21,M197)*$F$6)*0.05)/AN197,0)</f>
        <v/>
      </c>
      <c r="BC197" s="32">
        <f>IFERROR((Upgrades!$H$17*(POWER(Upgrades!$P$13,E197)*POWER(Upgrades!$P$14,F197)*POWER(Upgrades!$P$15,G197)*POWER(Upgrades!$P$16,H197)*POWER(Upgrades!$P$17,I197)*POWER(Upgrades!$P$18,J197)*POWER(Upgrades!$P$19,K197)*POWER(Upgrades!$P$20,L197)*POWER(Upgrades!$P$21,M197))*(IF(Upgrades!$T$13="Brown Dwarf",POWER(Upgrades!$U$13,E197),1)*IF(Upgrades!$T$14="Brown Dwarf",POWER(Upgrades!$U$14,F197),1)*IF(Upgrades!$T$15="Brown Dwarf",POWER(Upgrades!$U$15,G197),1)*IF(Upgrades!$T$16="Brown Dwarf",POWER(Upgrades!$U$16,H197),1)*IF(Upgrades!$T$18="Brown Dwarf",POWER(Upgrades!$U$18,J197),1)*IF(Upgrades!$T$19="Brown Dwarf",POWER(Upgrades!$U$19,K197),1)*IF(Upgrades!$T$20="Brown Dwarf",POWER(Upgrades!$U$20,L197),1)*IF(Upgrades!$T$21="Brown Dwarf",POWER(Upgrades!$U$21,M197),1))*$F$6+(((IF(H197=0,0,(Upgrades!$M$16+H197*Upgrades!$N$16)*POWER(Upgrades!$O$16,H197)))*(IF(Upgrades!$T$13="Roche Lobe Overflow",POWER(Upgrades!$U$13,E197),1)*IF(Upgrades!$T$14="Roche Lobe Overflow",POWER(Upgrades!$U$14,F197),1)*IF(Upgrades!$T$15="Roche Lobe Overflow",POWER(Upgrades!$U$15,G197),1)*IF(Upgrades!$T$17="Roche Lobe Overflow",POWER(Upgrades!$U$17,I197),1)*IF(Upgrades!$T$18="Roche Lobe Overflow",POWER(Upgrades!$U$18,J197),1)*IF(Upgrades!$T$19="Roche Lobe Overflow",POWER(Upgrades!$U$19,K197),1)*IF(Upgrades!$T$20="Roche Lobe Overflow",POWER(Upgrades!$U$20,L197),1)*IF(Upgrades!$T$21="Roche Lobe Overflow",POWER(Upgrades!$U$21,M197),1))*POWER(Upgrades!$R$13,E197)*POWER(Upgrades!$R$14,F197)*POWER(Upgrades!$R$15,G197)*POWER(Upgrades!$R$16,H197)*POWER(Upgrades!$R$17,I197)*POWER(Upgrades!$R$18,J197)*POWER(Upgrades!$R$19,K197)*POWER(Upgrades!$R$20,L197)*POWER(Upgrades!$R$21,M197)*$H$6)*O197)*0.10)/AO197,0)</f>
        <v/>
      </c>
      <c r="BD197" s="32">
        <f>MAX(IF(J197&gt;0,0,IFERROR(0.5*((IF(G197=0,0,(Upgrades!$J$15+G197*Upgrades!$K$15)*POWER(Upgrades!$L$15,G197)))*(IF(Upgrades!$T$13="Microlensing",POWER(Upgrades!$U$13,E197),1)*IF(Upgrades!$T$14="Microlensing",POWER(Upgrades!$U$14,F197),1)*IF(Upgrades!$T$16="Microlensing",POWER(Upgrades!$U$16,H197),1)*IF(Upgrades!$T$17="Microlensing",POWER(Upgrades!$U$17,I197),1)*IF(Upgrades!$T$18="Microlensing",POWER(Upgrades!$U$18,J197),1)*IF(Upgrades!$T$19="Microlensing",POWER(Upgrades!$U$19,K197),1)*IF(Upgrades!$T$20="Microlensing",POWER(Upgrades!$U$20,L197),1)*IF(Upgrades!$T$21="Microlensing",POWER(Upgrades!$U$21,M197),1))*(POWER(Upgrades!$Q$13,E197)*POWER(Upgrades!$Q$14,F197)*POWER(Upgrades!$Q$15,G197)*POWER(Upgrades!$Q$16,H197)*POWER(Upgrades!$Q$17,I197)*POWER(Upgrades!$Q$18,J197)*POWER(Upgrades!$Q$19,K197)*POWER(Upgrades!$Q$20,L197)*POWER(Upgrades!$Q$21,M197))*$G$6*(Parameters!$B$10/60*Parameters!$B$11+Q197))/Upgrades!$C$18,0)),IF(K197&gt;0,0,IFERROR(0.30*P197/Upgrades!$C$19,0)),IF(L197&gt;0,0,IFERROR(0.0001/Upgrades!$C$20,0)),IF(M197&gt;0,0,IFERROR((6.0*(POWER(Upgrades!$P$13,E197)*POWER(Upgrades!$P$14,F197)*POWER(Upgrades!$P$15,G197)*POWER(Upgrades!$P$16,H197)*POWER(Upgrades!$P$17,I197)*POWER(Upgrades!$P$18,J197)*POWER(Upgrades!$P$19,K197)*POWER(Upgrades!$P$20,L197)*POWER(Upgrades!$P$21,M197))*$F$6+0.20*O197*(Parameters!$B$10/60*Parameters!$B$11+Q197))/Upgrades!$C$21,0)),IF(AND(ISNUMBER(AK197),AK197&gt;(C197+T197)),AY197,0),IF(AND(ISNUMBER(AL197),AL197&gt;(C197+T197)),AZ197,0),IF(AND(ISNUMBER(AM197),AM197&gt;(C197+T197)),BA197,0),IF(AND(ISNUMBER(AN197),AN197&gt;(C197+T197)),BB197,0),IF(AND(ISNUMBER(AO197),AO197&gt;(C197+T197)),BC197,0))</f>
        <v/>
      </c>
      <c r="BE197" s="29">
        <f>IF(AT197=1,"transition",IF(MIN(IF(AND(J197=0,ISNUMBER(AP197),AP197&lt;=(C197+T197)),AP197,9E15),IF(AND(K197=0,ISNUMBER(AQ197),AQ197&lt;=(C197+T197)),AQ197,9E15),IF(AND(L197=0,ISNUMBER(AR197),AR197&lt;=(C197+T197)),AR197,9E15),IF(AND(M197=0,ISNUMBER(AS197),AS197&lt;=(C197+T197)),AS197,9E15))&lt;9E15,IF(AND(AND(J197=0,ISNUMBER(AP197),AP197&lt;=(C197+T197)),AP197=MIN(IF(AND(J197=0,ISNUMBER(AP197),AP197&lt;=(C197+T197)),AP197,9E15),IF(AND(K197=0,ISNUMBER(AQ197),AQ197&lt;=(C197+T197)),AQ197,9E15),IF(AND(L197=0,ISNUMBER(AR197),AR197&lt;=(C197+T197)),AR197,9E15),IF(AND(M197=0,ISNUMBER(AS197),AS197&lt;=(C197+T197)),AS197,9E15))),"BiP",IF(AND(AND(K197=0,ISNUMBER(AQ197),AQ197&lt;=(C197+T197)),AQ197=MIN(IF(AND(J197=0,ISNUMBER(AP197),AP197&lt;=(C197+T197)),AP197,9E15),IF(AND(K197=0,ISNUMBER(AQ197),AQ197&lt;=(C197+T197)),AQ197,9E15),IF(AND(L197=0,ISNUMBER(AR197),AR197&lt;=(C197+T197)),AR197,9E15),IF(AND(M197=0,ISNUMBER(AS197),AS197&lt;=(C197+T197)),AS197,9E15))),"PV",IF(AND(AND(L197=0,ISNUMBER(AR197),AR197&lt;=(C197+T197)),AR197=MIN(IF(AND(J197=0,ISNUMBER(AP197),AP197&lt;=(C197+T197)),AP197,9E15),IF(AND(K197=0,ISNUMBER(AQ197),AQ197&lt;=(C197+T197)),AQ197,9E15),IF(AND(L197=0,ISNUMBER(AR197),AR197&lt;=(C197+T197)),AR197,9E15),IF(AND(M197=0,ISNUMBER(AS197),AS197&lt;=(C197+T197)),AS197,9E15))),"OC","MG"))),IF(AX197=TRUE,"",IF(MAX(IF(AND(NOT(AND(AU197=1,AT197&lt;&gt;1)),ISNUMBER(AK197),AK197&lt;=(C197+T197)),AY197,0),IF(AND(NOT(AND(AU197=1,AT197&lt;&gt;1)),ISNUMBER(AL197),AL197&lt;=(C197+T197)),AZ197,0),IF(AND(NOT(AND(AU197=1,AT197&lt;&gt;1)),ISNUMBER(AM197),AM197&lt;=(C197+T197)),BA197,0),IF(AND(NOT(AND(AU197=1,AT197&lt;&gt;1)),ISNUMBER(AN197),AN197&lt;=(C197+T197)),BB197,0),IF(AND(ISNUMBER(AO197),AO197&lt;=(C197+T197)),BC197,0))&lt;=0,"",IF(AND(IF(AND(NOT(AND(AU197=1,AT197&lt;&gt;1)),ISNUMBER(AK197),AK197&lt;=(C197+T197)),AY197,0)&gt;0,IF(AND(NOT(AND(AU197=1,AT197&lt;&gt;1)),ISNUMBER(AK197),AK197&lt;=(C197+T197)),AY197,0)=MAX(IF(AND(NOT(AND(AU197=1,AT197&lt;&gt;1)),ISNUMBER(AK197),AK197&lt;=(C197+T197)),AY197,0),IF(AND(NOT(AND(AU197=1,AT197&lt;&gt;1)),ISNUMBER(AL197),AL197&lt;=(C197+T197)),AZ197,0),IF(AND(NOT(AND(AU197=1,AT197&lt;&gt;1)),ISNUMBER(AM197),AM197&lt;=(C197+T197)),BA197,0),IF(AND(NOT(AND(AU197=1,AT197&lt;&gt;1)),ISNUMBER(AN197),AN197&lt;=(C197+T197)),BB197,0),IF(AND(ISNUMBER(AO197),AO197&lt;=(C197+T197)),BC197,0))),"SK",IF(AND(IF(AND(NOT(AND(AU197=1,AT197&lt;&gt;1)),ISNUMBER(AL197),AL197&lt;=(C197+T197)),AZ197,0)&gt;0,IF(AND(NOT(AND(AU197=1,AT197&lt;&gt;1)),ISNUMBER(AL197),AL197&lt;=(C197+T197)),AZ197,0)=MAX(IF(AND(NOT(AND(AU197=1,AT197&lt;&gt;1)),ISNUMBER(AK197),AK197&lt;=(C197+T197)),AY197,0),IF(AND(NOT(AND(AU197=1,AT197&lt;&gt;1)),ISNUMBER(AL197),AL197&lt;=(C197+T197)),AZ197,0),IF(AND(NOT(AND(AU197=1,AT197&lt;&gt;1)),ISNUMBER(AM197),AM197&lt;=(C197+T197)),BA197,0),IF(AND(NOT(AND(AU197=1,AT197&lt;&gt;1)),ISNUMBER(AN197),AN197&lt;=(C197+T197)),BB197,0),IF(AND(ISNUMBER(AO197),AO197&lt;=(C197+T197)),BC197,0))),"LB",IF(AND(IF(AND(NOT(AND(AU197=1,AT197&lt;&gt;1)),ISNUMBER(AM197),AM197&lt;=(C197+T197)),BA197,0)&gt;0,IF(AND(NOT(AND(AU197=1,AT197&lt;&gt;1)),ISNUMBER(AM197),AM197&lt;=(C197+T197)),BA197,0)=MAX(IF(AND(NOT(AND(AU197=1,AT197&lt;&gt;1)),ISNUMBER(AK197),AK197&lt;=(C197+T197)),AY197,0),IF(AND(NOT(AND(AU197=1,AT197&lt;&gt;1)),ISNUMBER(AL197),AL197&lt;=(C197+T197)),AZ197,0),IF(AND(NOT(AND(AU197=1,AT197&lt;&gt;1)),ISNUMBER(AM197),AM197&lt;=(C197+T197)),BA197,0),IF(AND(NOT(AND(AU197=1,AT197&lt;&gt;1)),ISNUMBER(AN197),AN197&lt;=(C197+T197)),BB197,0),IF(AND(ISNUMBER(AO197),AO197&lt;=(C197+T197)),BC197,0))),"ML",IF(AND(IF(AND(NOT(AND(AU197=1,AT197&lt;&gt;1)),ISNUMBER(AN197),AN197&lt;=(C197+T197)),BB197,0)&gt;0,IF(AND(NOT(AND(AU197=1,AT197&lt;&gt;1)),ISNUMBER(AN197),AN197&lt;=(C197+T197)),BB197,0)=MAX(IF(AND(NOT(AND(AU197=1,AT197&lt;&gt;1)),ISNUMBER(AK197),AK197&lt;=(C197+T197)),AY197,0),IF(AND(NOT(AND(AU197=1,AT197&lt;&gt;1)),ISNUMBER(AL197),AL197&lt;=(C197+T197)),AZ197,0),IF(AND(NOT(AND(AU197=1,AT197&lt;&gt;1)),ISNUMBER(AM197),AM197&lt;=(C197+T197)),BA197,0),IF(AND(NOT(AND(AU197=1,AT197&lt;&gt;1)),ISNUMBER(AN197),AN197&lt;=(C197+T197)),BB197,0),IF(AND(ISNUMBER(AO197),AO197&lt;=(C197+T197)),BC197,0))),"RLO","BD"))))))))</f>
        <v/>
      </c>
    </row>
    <row r="198">
      <c r="A198" s="26" t="n">
        <v>187</v>
      </c>
      <c r="B198" s="27">
        <f>A198*10/60</f>
        <v/>
      </c>
      <c r="C198" s="22">
        <f>X197</f>
        <v/>
      </c>
      <c r="D198" s="27">
        <f>D197+W197</f>
        <v/>
      </c>
      <c r="E198" s="26">
        <f>E197+IF(U197="SK",1,0)</f>
        <v/>
      </c>
      <c r="F198" s="26">
        <f>F197+IF(U197="LB",1,0)</f>
        <v/>
      </c>
      <c r="G198" s="26">
        <f>G197+IF(U197="ML",1,0)</f>
        <v/>
      </c>
      <c r="H198" s="26">
        <f>H197+IF(U197="RLO",1,0)</f>
        <v/>
      </c>
      <c r="I198" s="26">
        <f>I197+IF(U197="BD",1,0)</f>
        <v/>
      </c>
      <c r="J198" s="26">
        <f>MAX(J197,IF(U197="BiP",1,0))</f>
        <v/>
      </c>
      <c r="K198" s="26">
        <f>MAX(K197,IF(U197="PV",1,0))</f>
        <v/>
      </c>
      <c r="L198" s="26">
        <f>MAX(L197,IF(U197="OC",1,0))</f>
        <v/>
      </c>
      <c r="M198" s="26">
        <f>MAX(M197,IF(U197="MG",1,0))</f>
        <v/>
      </c>
      <c r="N198" s="26">
        <f>MAX(N197,IF(U197="transition",1,0))</f>
        <v/>
      </c>
      <c r="O198" s="28">
        <f>(Parameters!$B$9+(IF(E198=0,0,(Upgrades!$J$13+E198*Upgrades!$K$13)*POWER(Upgrades!$L$13,E198)))*(IF(Upgrades!$T$14="Stellar Kinematics",POWER(Upgrades!$U$14,F198),1)*IF(Upgrades!$T$15="Stellar Kinematics",POWER(Upgrades!$U$15,G198),1)*IF(Upgrades!$T$16="Stellar Kinematics",POWER(Upgrades!$U$16,H198),1)*IF(Upgrades!$T$17="Stellar Kinematics",POWER(Upgrades!$U$17,I198),1)*IF(Upgrades!$T$18="Stellar Kinematics",POWER(Upgrades!$U$18,J198),1)*IF(Upgrades!$T$19="Stellar Kinematics",POWER(Upgrades!$U$19,K198),1)*IF(Upgrades!$T$20="Stellar Kinematics",POWER(Upgrades!$U$20,L198),1)*IF(Upgrades!$T$21="Stellar Kinematics",POWER(Upgrades!$U$21,M198),1))+(IF(F198=0,0,(Upgrades!$J$14+F198*Upgrades!$K$14)*POWER(Upgrades!$L$14,F198)))*(IF(Upgrades!$T$13="Local Bubble",POWER(Upgrades!$U$13,E198),1)*IF(Upgrades!$T$15="Local Bubble",POWER(Upgrades!$U$15,G198),1)*IF(Upgrades!$T$16="Local Bubble",POWER(Upgrades!$U$16,H198),1)*IF(Upgrades!$T$17="Local Bubble",POWER(Upgrades!$U$17,I198),1)*IF(Upgrades!$T$18="Local Bubble",POWER(Upgrades!$U$18,J198),1)*IF(Upgrades!$T$19="Local Bubble",POWER(Upgrades!$U$19,K198),1)*IF(Upgrades!$T$20="Local Bubble",POWER(Upgrades!$U$20,L198),1)*IF(Upgrades!$T$21="Local Bubble",POWER(Upgrades!$U$21,M198),1))+(IF(G198=0,0,(Upgrades!$J$15+G198*Upgrades!$K$15)*POWER(Upgrades!$L$15,G198)))*(IF(Upgrades!$T$13="Microlensing",POWER(Upgrades!$U$13,E198),1)*IF(Upgrades!$T$14="Microlensing",POWER(Upgrades!$U$14,F198),1)*IF(Upgrades!$T$16="Microlensing",POWER(Upgrades!$U$16,H198),1)*IF(Upgrades!$T$17="Microlensing",POWER(Upgrades!$U$17,I198),1)*IF(Upgrades!$T$18="Microlensing",POWER(Upgrades!$U$18,J198),1)*IF(Upgrades!$T$19="Microlensing",POWER(Upgrades!$U$19,K198),1)*IF(Upgrades!$T$20="Microlensing",POWER(Upgrades!$U$20,L198),1)*IF(Upgrades!$T$21="Microlensing",POWER(Upgrades!$U$21,M198),1))+(IF(H198=0,0,(Upgrades!$J$16+H198*Upgrades!$K$16)*POWER(Upgrades!$L$16,H198)))*(IF(Upgrades!$T$13="Roche Lobe Overflow",POWER(Upgrades!$U$13,E198),1)*IF(Upgrades!$T$14="Roche Lobe Overflow",POWER(Upgrades!$U$14,F198),1)*IF(Upgrades!$T$15="Roche Lobe Overflow",POWER(Upgrades!$U$15,G198),1)*IF(Upgrades!$T$17="Roche Lobe Overflow",POWER(Upgrades!$U$17,I198),1)*IF(Upgrades!$T$18="Roche Lobe Overflow",POWER(Upgrades!$U$18,J198),1)*IF(Upgrades!$T$19="Roche Lobe Overflow",POWER(Upgrades!$U$19,K198),1)*IF(Upgrades!$T$20="Roche Lobe Overflow",POWER(Upgrades!$U$20,L198),1)*IF(Upgrades!$T$21="Roche Lobe Overflow",POWER(Upgrades!$U$21,M198),1))+(IF(I198=0,0,(Upgrades!$J$17+I198*Upgrades!$K$17)*POWER(Upgrades!$L$17,I198)))*(IF(Upgrades!$T$13="Brown Dwarf",POWER(Upgrades!$U$13,E198),1)*IF(Upgrades!$T$14="Brown Dwarf",POWER(Upgrades!$U$14,F198),1)*IF(Upgrades!$T$15="Brown Dwarf",POWER(Upgrades!$U$15,G198),1)*IF(Upgrades!$T$16="Brown Dwarf",POWER(Upgrades!$U$16,H198),1)*IF(Upgrades!$T$18="Brown Dwarf",POWER(Upgrades!$U$18,J198),1)*IF(Upgrades!$T$19="Brown Dwarf",POWER(Upgrades!$U$19,K198),1)*IF(Upgrades!$T$20="Brown Dwarf",POWER(Upgrades!$U$20,L198),1)*IF(Upgrades!$T$21="Brown Dwarf",POWER(Upgrades!$U$21,M198),1))+(IF(J198=0,0,(Upgrades!$J$18+J198*Upgrades!$K$18)*POWER(Upgrades!$L$18,J198)))*(IF(Upgrades!$T$13="Binary Partner",POWER(Upgrades!$U$13,E198),1)*IF(Upgrades!$T$14="Binary Partner",POWER(Upgrades!$U$14,F198),1)*IF(Upgrades!$T$15="Binary Partner",POWER(Upgrades!$U$15,G198),1)*IF(Upgrades!$T$16="Binary Partner",POWER(Upgrades!$U$16,H198),1)*IF(Upgrades!$T$17="Binary Partner",POWER(Upgrades!$U$17,I198),1)*IF(Upgrades!$T$19="Binary Partner",POWER(Upgrades!$U$19,K198),1)*IF(Upgrades!$T$20="Binary Partner",POWER(Upgrades!$U$20,L198),1)*IF(Upgrades!$T$21="Binary Partner",POWER(Upgrades!$U$21,M198),1))+(IF(K198=0,0,(Upgrades!$J$19+K198*Upgrades!$K$19)*POWER(Upgrades!$L$19,K198)))*(IF(Upgrades!$T$13="Peculiar Velocity",POWER(Upgrades!$U$13,E198),1)*IF(Upgrades!$T$14="Peculiar Velocity",POWER(Upgrades!$U$14,F198),1)*IF(Upgrades!$T$15="Peculiar Velocity",POWER(Upgrades!$U$15,G198),1)*IF(Upgrades!$T$16="Peculiar Velocity",POWER(Upgrades!$U$16,H198),1)*IF(Upgrades!$T$17="Peculiar Velocity",POWER(Upgrades!$U$17,I198),1)*IF(Upgrades!$T$18="Peculiar Velocity",POWER(Upgrades!$U$18,J198),1)*IF(Upgrades!$T$20="Peculiar Velocity",POWER(Upgrades!$U$20,L198),1)*IF(Upgrades!$T$21="Peculiar Velocity",POWER(Upgrades!$U$21,M198),1))+(IF(L198=0,0,(Upgrades!$J$20+L198*Upgrades!$K$20)*POWER(Upgrades!$L$20,L198)))*(IF(Upgrades!$T$13="Open Cluster",POWER(Upgrades!$U$13,E198),1)*IF(Upgrades!$T$14="Open Cluster",POWER(Upgrades!$U$14,F198),1)*IF(Upgrades!$T$15="Open Cluster",POWER(Upgrades!$U$15,G198),1)*IF(Upgrades!$T$16="Open Cluster",POWER(Upgrades!$U$16,H198),1)*IF(Upgrades!$T$17="Open Cluster",POWER(Upgrades!$U$17,I198),1)*IF(Upgrades!$T$18="Open Cluster",POWER(Upgrades!$U$18,J198),1)*IF(Upgrades!$T$19="Open Cluster",POWER(Upgrades!$U$19,K198),1)*IF(Upgrades!$T$21="Open Cluster",POWER(Upgrades!$U$21,M198),1))+(IF(M198=0,0,(Upgrades!$J$21+M198*Upgrades!$K$21)*POWER(Upgrades!$L$21,M198)))*(IF(Upgrades!$T$13="Moving Group",POWER(Upgrades!$U$13,E198),1)*IF(Upgrades!$T$14="Moving Group",POWER(Upgrades!$U$14,F198),1)*IF(Upgrades!$T$15="Moving Group",POWER(Upgrades!$U$15,G198),1)*IF(Upgrades!$T$16="Moving Group",POWER(Upgrades!$U$16,H198),1)*IF(Upgrades!$T$17="Moving Group",POWER(Upgrades!$U$17,I198),1)*IF(Upgrades!$T$18="Moving Group",POWER(Upgrades!$U$18,J198),1)*IF(Upgrades!$T$19="Moving Group",POWER(Upgrades!$U$19,K198),1)*IF(Upgrades!$T$20="Moving Group",POWER(Upgrades!$U$20,L198),1)))*POWER(Upgrades!$Q$13,E198)*POWER(Upgrades!$Q$14,F198)*POWER(Upgrades!$Q$15,G198)*POWER(Upgrades!$Q$16,H198)*POWER(Upgrades!$Q$17,I198)*POWER(Upgrades!$Q$18,J198)*POWER(Upgrades!$Q$19,K198)*POWER(Upgrades!$Q$20,L198)*POWER(Upgrades!$Q$21,M198)*$G$6+$D$6</f>
        <v/>
      </c>
      <c r="P198" s="28">
        <f>((IF(E198=0,0,(Upgrades!$G$13+E198*Upgrades!$H$13)*POWER(Upgrades!$I$13,E198)))*(IF(Upgrades!$T$14="Stellar Kinematics",POWER(Upgrades!$U$14,F198),1)*IF(Upgrades!$T$15="Stellar Kinematics",POWER(Upgrades!$U$15,G198),1)*IF(Upgrades!$T$16="Stellar Kinematics",POWER(Upgrades!$U$16,H198),1)*IF(Upgrades!$T$17="Stellar Kinematics",POWER(Upgrades!$U$17,I198),1)*IF(Upgrades!$T$18="Stellar Kinematics",POWER(Upgrades!$U$18,J198),1)*IF(Upgrades!$T$19="Stellar Kinematics",POWER(Upgrades!$U$19,K198),1)*IF(Upgrades!$T$20="Stellar Kinematics",POWER(Upgrades!$U$20,L198),1)*IF(Upgrades!$T$21="Stellar Kinematics",POWER(Upgrades!$U$21,M198),1))+(IF(F198=0,0,(Upgrades!$G$14+F198*Upgrades!$H$14)*POWER(Upgrades!$I$14,F198)))*(IF(Upgrades!$T$13="Local Bubble",POWER(Upgrades!$U$13,E198),1)*IF(Upgrades!$T$15="Local Bubble",POWER(Upgrades!$U$15,G198),1)*IF(Upgrades!$T$16="Local Bubble",POWER(Upgrades!$U$16,H198),1)*IF(Upgrades!$T$17="Local Bubble",POWER(Upgrades!$U$17,I198),1)*IF(Upgrades!$T$18="Local Bubble",POWER(Upgrades!$U$18,J198),1)*IF(Upgrades!$T$19="Local Bubble",POWER(Upgrades!$U$19,K198),1)*IF(Upgrades!$T$20="Local Bubble",POWER(Upgrades!$U$20,L198),1)*IF(Upgrades!$T$21="Local Bubble",POWER(Upgrades!$U$21,M198),1))+(IF(G198=0,0,(Upgrades!$G$15+G198*Upgrades!$H$15)*POWER(Upgrades!$I$15,G198)))*(IF(Upgrades!$T$13="Microlensing",POWER(Upgrades!$U$13,E198),1)*IF(Upgrades!$T$14="Microlensing",POWER(Upgrades!$U$14,F198),1)*IF(Upgrades!$T$16="Microlensing",POWER(Upgrades!$U$16,H198),1)*IF(Upgrades!$T$17="Microlensing",POWER(Upgrades!$U$17,I198),1)*IF(Upgrades!$T$18="Microlensing",POWER(Upgrades!$U$18,J198),1)*IF(Upgrades!$T$19="Microlensing",POWER(Upgrades!$U$19,K198),1)*IF(Upgrades!$T$20="Microlensing",POWER(Upgrades!$U$20,L198),1)*IF(Upgrades!$T$21="Microlensing",POWER(Upgrades!$U$21,M198),1))+(IF(H198=0,0,(Upgrades!$G$16+H198*Upgrades!$H$16)*POWER(Upgrades!$I$16,H198)))*(IF(Upgrades!$T$13="Roche Lobe Overflow",POWER(Upgrades!$U$13,E198),1)*IF(Upgrades!$T$14="Roche Lobe Overflow",POWER(Upgrades!$U$14,F198),1)*IF(Upgrades!$T$15="Roche Lobe Overflow",POWER(Upgrades!$U$15,G198),1)*IF(Upgrades!$T$17="Roche Lobe Overflow",POWER(Upgrades!$U$17,I198),1)*IF(Upgrades!$T$18="Roche Lobe Overflow",POWER(Upgrades!$U$18,J198),1)*IF(Upgrades!$T$19="Roche Lobe Overflow",POWER(Upgrades!$U$19,K198),1)*IF(Upgrades!$T$20="Roche Lobe Overflow",POWER(Upgrades!$U$20,L198),1)*IF(Upgrades!$T$21="Roche Lobe Overflow",POWER(Upgrades!$U$21,M198),1))+(IF(I198=0,0,(Upgrades!$G$17+I198*Upgrades!$H$17)*POWER(Upgrades!$I$17,I198)))*(IF(Upgrades!$T$13="Brown Dwarf",POWER(Upgrades!$U$13,E198),1)*IF(Upgrades!$T$14="Brown Dwarf",POWER(Upgrades!$U$14,F198),1)*IF(Upgrades!$T$15="Brown Dwarf",POWER(Upgrades!$U$15,G198),1)*IF(Upgrades!$T$16="Brown Dwarf",POWER(Upgrades!$U$16,H198),1)*IF(Upgrades!$T$18="Brown Dwarf",POWER(Upgrades!$U$18,J198),1)*IF(Upgrades!$T$19="Brown Dwarf",POWER(Upgrades!$U$19,K198),1)*IF(Upgrades!$T$20="Brown Dwarf",POWER(Upgrades!$U$20,L198),1)*IF(Upgrades!$T$21="Brown Dwarf",POWER(Upgrades!$U$21,M198),1))+(IF(J198=0,0,(Upgrades!$G$18+J198*Upgrades!$H$18)*POWER(Upgrades!$I$18,J198)))*(IF(Upgrades!$T$13="Binary Partner",POWER(Upgrades!$U$13,E198),1)*IF(Upgrades!$T$14="Binary Partner",POWER(Upgrades!$U$14,F198),1)*IF(Upgrades!$T$15="Binary Partner",POWER(Upgrades!$U$15,G198),1)*IF(Upgrades!$T$16="Binary Partner",POWER(Upgrades!$U$16,H198),1)*IF(Upgrades!$T$17="Binary Partner",POWER(Upgrades!$U$17,I198),1)*IF(Upgrades!$T$19="Binary Partner",POWER(Upgrades!$U$19,K198),1)*IF(Upgrades!$T$20="Binary Partner",POWER(Upgrades!$U$20,L198),1)*IF(Upgrades!$T$21="Binary Partner",POWER(Upgrades!$U$21,M198),1))+(IF(K198=0,0,(Upgrades!$G$19+K198*Upgrades!$H$19)*POWER(Upgrades!$I$19,K198)))*(IF(Upgrades!$T$13="Peculiar Velocity",POWER(Upgrades!$U$13,E198),1)*IF(Upgrades!$T$14="Peculiar Velocity",POWER(Upgrades!$U$14,F198),1)*IF(Upgrades!$T$15="Peculiar Velocity",POWER(Upgrades!$U$15,G198),1)*IF(Upgrades!$T$16="Peculiar Velocity",POWER(Upgrades!$U$16,H198),1)*IF(Upgrades!$T$17="Peculiar Velocity",POWER(Upgrades!$U$17,I198),1)*IF(Upgrades!$T$18="Peculiar Velocity",POWER(Upgrades!$U$18,J198),1)*IF(Upgrades!$T$20="Peculiar Velocity",POWER(Upgrades!$U$20,L198),1)*IF(Upgrades!$T$21="Peculiar Velocity",POWER(Upgrades!$U$21,M198),1))+(IF(L198=0,0,(Upgrades!$G$20+L198*Upgrades!$H$20)*POWER(Upgrades!$I$20,L198)))*(IF(Upgrades!$T$13="Open Cluster",POWER(Upgrades!$U$13,E198),1)*IF(Upgrades!$T$14="Open Cluster",POWER(Upgrades!$U$14,F198),1)*IF(Upgrades!$T$15="Open Cluster",POWER(Upgrades!$U$15,G198),1)*IF(Upgrades!$T$16="Open Cluster",POWER(Upgrades!$U$16,H198),1)*IF(Upgrades!$T$17="Open Cluster",POWER(Upgrades!$U$17,I198),1)*IF(Upgrades!$T$18="Open Cluster",POWER(Upgrades!$U$18,J198),1)*IF(Upgrades!$T$19="Open Cluster",POWER(Upgrades!$U$19,K198),1)*IF(Upgrades!$T$21="Open Cluster",POWER(Upgrades!$U$21,M198),1))+(IF(M198=0,0,(Upgrades!$G$21+M198*Upgrades!$H$21)*POWER(Upgrades!$I$21,M198)))*(IF(Upgrades!$T$13="Moving Group",POWER(Upgrades!$U$13,E198),1)*IF(Upgrades!$T$14="Moving Group",POWER(Upgrades!$U$14,F198),1)*IF(Upgrades!$T$15="Moving Group",POWER(Upgrades!$U$15,G198),1)*IF(Upgrades!$T$16="Moving Group",POWER(Upgrades!$U$16,H198),1)*IF(Upgrades!$T$17="Moving Group",POWER(Upgrades!$U$17,I198),1)*IF(Upgrades!$T$18="Moving Group",POWER(Upgrades!$U$18,J198),1)*IF(Upgrades!$T$19="Moving Group",POWER(Upgrades!$U$19,K198),1)*IF(Upgrades!$T$20="Moving Group",POWER(Upgrades!$U$20,L198),1)))*POWER(Upgrades!$P$13,E198)*POWER(Upgrades!$P$14,F198)*POWER(Upgrades!$P$15,G198)*POWER(Upgrades!$P$16,H198)*POWER(Upgrades!$P$17,I198)*POWER(Upgrades!$P$18,J198)*POWER(Upgrades!$P$19,K198)*POWER(Upgrades!$P$20,L198)*POWER(Upgrades!$P$21,M198)*$F$6+$C$6</f>
        <v/>
      </c>
      <c r="Q198" s="28">
        <f>((IF(E198=0,0,(Upgrades!$M$13+E198*Upgrades!$N$13)*POWER(Upgrades!$O$13,E198)))*(IF(Upgrades!$T$14="Stellar Kinematics",POWER(Upgrades!$U$14,F198),1)*IF(Upgrades!$T$15="Stellar Kinematics",POWER(Upgrades!$U$15,G198),1)*IF(Upgrades!$T$16="Stellar Kinematics",POWER(Upgrades!$U$16,H198),1)*IF(Upgrades!$T$17="Stellar Kinematics",POWER(Upgrades!$U$17,I198),1)*IF(Upgrades!$T$18="Stellar Kinematics",POWER(Upgrades!$U$18,J198),1)*IF(Upgrades!$T$19="Stellar Kinematics",POWER(Upgrades!$U$19,K198),1)*IF(Upgrades!$T$20="Stellar Kinematics",POWER(Upgrades!$U$20,L198),1)*IF(Upgrades!$T$21="Stellar Kinematics",POWER(Upgrades!$U$21,M198),1))+(IF(F198=0,0,(Upgrades!$M$14+F198*Upgrades!$N$14)*POWER(Upgrades!$O$14,F198)))*(IF(Upgrades!$T$13="Local Bubble",POWER(Upgrades!$U$13,E198),1)*IF(Upgrades!$T$15="Local Bubble",POWER(Upgrades!$U$15,G198),1)*IF(Upgrades!$T$16="Local Bubble",POWER(Upgrades!$U$16,H198),1)*IF(Upgrades!$T$17="Local Bubble",POWER(Upgrades!$U$17,I198),1)*IF(Upgrades!$T$18="Local Bubble",POWER(Upgrades!$U$18,J198),1)*IF(Upgrades!$T$19="Local Bubble",POWER(Upgrades!$U$19,K198),1)*IF(Upgrades!$T$20="Local Bubble",POWER(Upgrades!$U$20,L198),1)*IF(Upgrades!$T$21="Local Bubble",POWER(Upgrades!$U$21,M198),1))+(IF(G198=0,0,(Upgrades!$M$15+G198*Upgrades!$N$15)*POWER(Upgrades!$O$15,G198)))*(IF(Upgrades!$T$13="Microlensing",POWER(Upgrades!$U$13,E198),1)*IF(Upgrades!$T$14="Microlensing",POWER(Upgrades!$U$14,F198),1)*IF(Upgrades!$T$16="Microlensing",POWER(Upgrades!$U$16,H198),1)*IF(Upgrades!$T$17="Microlensing",POWER(Upgrades!$U$17,I198),1)*IF(Upgrades!$T$18="Microlensing",POWER(Upgrades!$U$18,J198),1)*IF(Upgrades!$T$19="Microlensing",POWER(Upgrades!$U$19,K198),1)*IF(Upgrades!$T$20="Microlensing",POWER(Upgrades!$U$20,L198),1)*IF(Upgrades!$T$21="Microlensing",POWER(Upgrades!$U$21,M198),1))+(IF(H198=0,0,(Upgrades!$M$16+H198*Upgrades!$N$16)*POWER(Upgrades!$O$16,H198)))*(IF(Upgrades!$T$13="Roche Lobe Overflow",POWER(Upgrades!$U$13,E198),1)*IF(Upgrades!$T$14="Roche Lobe Overflow",POWER(Upgrades!$U$14,F198),1)*IF(Upgrades!$T$15="Roche Lobe Overflow",POWER(Upgrades!$U$15,G198),1)*IF(Upgrades!$T$17="Roche Lobe Overflow",POWER(Upgrades!$U$17,I198),1)*IF(Upgrades!$T$18="Roche Lobe Overflow",POWER(Upgrades!$U$18,J198),1)*IF(Upgrades!$T$19="Roche Lobe Overflow",POWER(Upgrades!$U$19,K198),1)*IF(Upgrades!$T$20="Roche Lobe Overflow",POWER(Upgrades!$U$20,L198),1)*IF(Upgrades!$T$21="Roche Lobe Overflow",POWER(Upgrades!$U$21,M198),1))+(IF(I198=0,0,(Upgrades!$M$17+I198*Upgrades!$N$17)*POWER(Upgrades!$O$17,I198)))*(IF(Upgrades!$T$13="Brown Dwarf",POWER(Upgrades!$U$13,E198),1)*IF(Upgrades!$T$14="Brown Dwarf",POWER(Upgrades!$U$14,F198),1)*IF(Upgrades!$T$15="Brown Dwarf",POWER(Upgrades!$U$15,G198),1)*IF(Upgrades!$T$16="Brown Dwarf",POWER(Upgrades!$U$16,H198),1)*IF(Upgrades!$T$18="Brown Dwarf",POWER(Upgrades!$U$18,J198),1)*IF(Upgrades!$T$19="Brown Dwarf",POWER(Upgrades!$U$19,K198),1)*IF(Upgrades!$T$20="Brown Dwarf",POWER(Upgrades!$U$20,L198),1)*IF(Upgrades!$T$21="Brown Dwarf",POWER(Upgrades!$U$21,M198),1))+(IF(J198=0,0,(Upgrades!$M$18+J198*Upgrades!$N$18)*POWER(Upgrades!$O$18,J198)))*(IF(Upgrades!$T$13="Binary Partner",POWER(Upgrades!$U$13,E198),1)*IF(Upgrades!$T$14="Binary Partner",POWER(Upgrades!$U$14,F198),1)*IF(Upgrades!$T$15="Binary Partner",POWER(Upgrades!$U$15,G198),1)*IF(Upgrades!$T$16="Binary Partner",POWER(Upgrades!$U$16,H198),1)*IF(Upgrades!$T$17="Binary Partner",POWER(Upgrades!$U$17,I198),1)*IF(Upgrades!$T$19="Binary Partner",POWER(Upgrades!$U$19,K198),1)*IF(Upgrades!$T$20="Binary Partner",POWER(Upgrades!$U$20,L198),1)*IF(Upgrades!$T$21="Binary Partner",POWER(Upgrades!$U$21,M198),1))+(IF(K198=0,0,(Upgrades!$M$19+K198*Upgrades!$N$19)*POWER(Upgrades!$O$19,K198)))*(IF(Upgrades!$T$13="Peculiar Velocity",POWER(Upgrades!$U$13,E198),1)*IF(Upgrades!$T$14="Peculiar Velocity",POWER(Upgrades!$U$14,F198),1)*IF(Upgrades!$T$15="Peculiar Velocity",POWER(Upgrades!$U$15,G198),1)*IF(Upgrades!$T$16="Peculiar Velocity",POWER(Upgrades!$U$16,H198),1)*IF(Upgrades!$T$17="Peculiar Velocity",POWER(Upgrades!$U$17,I198),1)*IF(Upgrades!$T$18="Peculiar Velocity",POWER(Upgrades!$U$18,J198),1)*IF(Upgrades!$T$20="Peculiar Velocity",POWER(Upgrades!$U$20,L198),1)*IF(Upgrades!$T$21="Peculiar Velocity",POWER(Upgrades!$U$21,M198),1))+(IF(L198=0,0,(Upgrades!$M$20+L198*Upgrades!$N$20)*POWER(Upgrades!$O$20,L198)))*(IF(Upgrades!$T$13="Open Cluster",POWER(Upgrades!$U$13,E198),1)*IF(Upgrades!$T$14="Open Cluster",POWER(Upgrades!$U$14,F198),1)*IF(Upgrades!$T$15="Open Cluster",POWER(Upgrades!$U$15,G198),1)*IF(Upgrades!$T$16="Open Cluster",POWER(Upgrades!$U$16,H198),1)*IF(Upgrades!$T$17="Open Cluster",POWER(Upgrades!$U$17,I198),1)*IF(Upgrades!$T$18="Open Cluster",POWER(Upgrades!$U$18,J198),1)*IF(Upgrades!$T$19="Open Cluster",POWER(Upgrades!$U$19,K198),1)*IF(Upgrades!$T$21="Open Cluster",POWER(Upgrades!$U$21,M198),1))+(IF(M198=0,0,(Upgrades!$M$21+M198*Upgrades!$N$21)*POWER(Upgrades!$O$21,M198)))*(IF(Upgrades!$T$13="Moving Group",POWER(Upgrades!$U$13,E198),1)*IF(Upgrades!$T$14="Moving Group",POWER(Upgrades!$U$14,F198),1)*IF(Upgrades!$T$15="Moving Group",POWER(Upgrades!$U$15,G198),1)*IF(Upgrades!$T$16="Moving Group",POWER(Upgrades!$U$16,H198),1)*IF(Upgrades!$T$17="Moving Group",POWER(Upgrades!$U$17,I198),1)*IF(Upgrades!$T$18="Moving Group",POWER(Upgrades!$U$18,J198),1)*IF(Upgrades!$T$19="Moving Group",POWER(Upgrades!$U$19,K198),1)*IF(Upgrades!$T$20="Moving Group",POWER(Upgrades!$U$20,L198),1)))*POWER(Upgrades!$R$13,E198)*POWER(Upgrades!$R$14,F198)*POWER(Upgrades!$R$15,G198)*POWER(Upgrades!$R$16,H198)*POWER(Upgrades!$R$17,I198)*POWER(Upgrades!$R$18,J198)*POWER(Upgrades!$R$19,K198)*POWER(Upgrades!$R$20,L198)*POWER(Upgrades!$R$21,M198)*$H$6+$E$6</f>
        <v/>
      </c>
      <c r="R198" s="27">
        <f>IF(N198=1,0,O198*Parameters!$B$10/60*Parameters!$B$11*10)</f>
        <v/>
      </c>
      <c r="S198" s="27">
        <f>IF(N198=1,0,Q198*O198*10)</f>
        <v/>
      </c>
      <c r="T198" s="27">
        <f>IF(N198=1,0,R198+S198+P198*10)</f>
        <v/>
      </c>
      <c r="U198" s="33">
        <f>BE198</f>
        <v/>
      </c>
      <c r="V198" s="22">
        <f>IF(U198="",0,IF(U198="transition",0,IF(U198="SK",AK198,IF(U198="LB",AL198,IF(U198="ML",AM198,IF(U198="RLO",AN198,IF(U198="BD",AO198,IF(U198="BiP",AP198,IF(U198="PV",AQ198,IF(U198="OC",AR198,IF(U198="MG",AS198,0))))))))))</f>
        <v/>
      </c>
      <c r="W198" s="27">
        <f>IF(U198="BiP",Upgrades!$F$18,IF(U198="PV",Upgrades!$F$19,IF(U198="OC",Upgrades!$F$20,IF(U198="MG",Upgrades!$F$21,IF(U198="transition",-Parameters!$B$18*Parameters!$B$19,0)))))</f>
        <v/>
      </c>
      <c r="X198" s="22">
        <f>C198+T198-V198</f>
        <v/>
      </c>
      <c r="Y198" s="30">
        <f>O198*Parameters!$B$10/60*Parameters!$B$11+Q198*O198+P198</f>
        <v/>
      </c>
      <c r="Z198" s="34">
        <f>IF(U198="transition","→ Tier 3 (Galactic Arm)",IF(U198="MG","Moving Group — pocket drifts together",IF(U198="OC","Open Cluster acquired",IF(U198="PV","Peculiar Velocity — passive multiplier active",IF(U198="BiP","Binary Partner — pair bond formed",IF(AND(AU198=1,N198=0,AT198&lt;&gt;1),"Cohesion ready (waiting on completionists)","")))))) </f>
        <v/>
      </c>
      <c r="AA198" s="27">
        <f>(IF(E198=0,0,(Upgrades!$G$13+E198*Upgrades!$H$13)*POWER(Upgrades!$I$13,E198)))*(IF(Upgrades!$T$14="Stellar Kinematics",POWER(Upgrades!$U$14,F198),1)*IF(Upgrades!$T$15="Stellar Kinematics",POWER(Upgrades!$U$15,G198),1)*IF(Upgrades!$T$16="Stellar Kinematics",POWER(Upgrades!$U$16,H198),1)*IF(Upgrades!$T$17="Stellar Kinematics",POWER(Upgrades!$U$17,I198),1)*IF(Upgrades!$T$18="Stellar Kinematics",POWER(Upgrades!$U$18,J198),1)*IF(Upgrades!$T$19="Stellar Kinematics",POWER(Upgrades!$U$19,K198),1)*IF(Upgrades!$T$20="Stellar Kinematics",POWER(Upgrades!$U$20,L198),1)*IF(Upgrades!$T$21="Stellar Kinematics",POWER(Upgrades!$U$21,M198),1))*POWER(Upgrades!$P$13,E198)*POWER(Upgrades!$P$14,F198)*POWER(Upgrades!$P$15,G198)*POWER(Upgrades!$P$16,H198)*POWER(Upgrades!$P$17,I198)*POWER(Upgrades!$P$18,J198)*POWER(Upgrades!$P$19,K198)*POWER(Upgrades!$P$20,L198)*POWER(Upgrades!$P$21,M198)*$F$6*60</f>
        <v/>
      </c>
      <c r="AB198" s="27">
        <f>(IF(F198=0,0,(Upgrades!$G$14+F198*Upgrades!$H$14)*POWER(Upgrades!$I$14,F198)))*(IF(Upgrades!$T$13="Local Bubble",POWER(Upgrades!$U$13,E198),1)*IF(Upgrades!$T$15="Local Bubble",POWER(Upgrades!$U$15,G198),1)*IF(Upgrades!$T$16="Local Bubble",POWER(Upgrades!$U$16,H198),1)*IF(Upgrades!$T$17="Local Bubble",POWER(Upgrades!$U$17,I198),1)*IF(Upgrades!$T$18="Local Bubble",POWER(Upgrades!$U$18,J198),1)*IF(Upgrades!$T$19="Local Bubble",POWER(Upgrades!$U$19,K198),1)*IF(Upgrades!$T$20="Local Bubble",POWER(Upgrades!$U$20,L198),1)*IF(Upgrades!$T$21="Local Bubble",POWER(Upgrades!$U$21,M198),1))*POWER(Upgrades!$P$13,E198)*POWER(Upgrades!$P$14,F198)*POWER(Upgrades!$P$15,G198)*POWER(Upgrades!$P$16,H198)*POWER(Upgrades!$P$17,I198)*POWER(Upgrades!$P$18,J198)*POWER(Upgrades!$P$19,K198)*POWER(Upgrades!$P$20,L198)*POWER(Upgrades!$P$21,M198)*$F$6*60</f>
        <v/>
      </c>
      <c r="AC198" s="27">
        <f>(IF(G198=0,0,(Upgrades!$J$15+G198*Upgrades!$K$15)*POWER(Upgrades!$L$15,G198)))*(IF(Upgrades!$T$13="Microlensing",POWER(Upgrades!$U$13,E198),1)*IF(Upgrades!$T$14="Microlensing",POWER(Upgrades!$U$14,F198),1)*IF(Upgrades!$T$16="Microlensing",POWER(Upgrades!$U$16,H198),1)*IF(Upgrades!$T$17="Microlensing",POWER(Upgrades!$U$17,I198),1)*IF(Upgrades!$T$18="Microlensing",POWER(Upgrades!$U$18,J198),1)*IF(Upgrades!$T$19="Microlensing",POWER(Upgrades!$U$19,K198),1)*IF(Upgrades!$T$20="Microlensing",POWER(Upgrades!$U$20,L198),1)*IF(Upgrades!$T$21="Microlensing",POWER(Upgrades!$U$21,M198),1))*POWER(Upgrades!$Q$13,E198)*POWER(Upgrades!$Q$14,F198)*POWER(Upgrades!$Q$15,G198)*POWER(Upgrades!$Q$16,H198)*POWER(Upgrades!$Q$17,I198)*POWER(Upgrades!$Q$18,J198)*POWER(Upgrades!$Q$19,K198)*POWER(Upgrades!$Q$20,L198)*POWER(Upgrades!$Q$21,M198)*$G$6*(Parameters!$B$10*Parameters!$B$11+Q198*60)</f>
        <v/>
      </c>
      <c r="AD198" s="27">
        <f>(IF(H198=0,0,(Upgrades!$M$16+H198*Upgrades!$N$16)*POWER(Upgrades!$O$16,H198)))*(IF(Upgrades!$T$13="Roche Lobe Overflow",POWER(Upgrades!$U$13,E198),1)*IF(Upgrades!$T$14="Roche Lobe Overflow",POWER(Upgrades!$U$14,F198),1)*IF(Upgrades!$T$15="Roche Lobe Overflow",POWER(Upgrades!$U$15,G198),1)*IF(Upgrades!$T$17="Roche Lobe Overflow",POWER(Upgrades!$U$17,I198),1)*IF(Upgrades!$T$18="Roche Lobe Overflow",POWER(Upgrades!$U$18,J198),1)*IF(Upgrades!$T$19="Roche Lobe Overflow",POWER(Upgrades!$U$19,K198),1)*IF(Upgrades!$T$20="Roche Lobe Overflow",POWER(Upgrades!$U$20,L198),1)*IF(Upgrades!$T$21="Roche Lobe Overflow",POWER(Upgrades!$U$21,M198),1))*POWER(Upgrades!$R$13,E198)*POWER(Upgrades!$R$14,F198)*POWER(Upgrades!$R$15,G198)*POWER(Upgrades!$R$16,H198)*POWER(Upgrades!$R$17,I198)*POWER(Upgrades!$R$18,J198)*POWER(Upgrades!$R$19,K198)*POWER(Upgrades!$R$20,L198)*POWER(Upgrades!$R$21,M198)*$H$6*O198*60</f>
        <v/>
      </c>
      <c r="AE198" s="27">
        <f>(IF(I198=0,0,(Upgrades!$G$17+I198*Upgrades!$H$17)*POWER(Upgrades!$I$17,I198)))*(IF(Upgrades!$T$13="Brown Dwarf",POWER(Upgrades!$U$13,E198),1)*IF(Upgrades!$T$14="Brown Dwarf",POWER(Upgrades!$U$14,F198),1)*IF(Upgrades!$T$15="Brown Dwarf",POWER(Upgrades!$U$15,G198),1)*IF(Upgrades!$T$16="Brown Dwarf",POWER(Upgrades!$U$16,H198),1)*IF(Upgrades!$T$18="Brown Dwarf",POWER(Upgrades!$U$18,J198),1)*IF(Upgrades!$T$19="Brown Dwarf",POWER(Upgrades!$U$19,K198),1)*IF(Upgrades!$T$20="Brown Dwarf",POWER(Upgrades!$U$20,L198),1)*IF(Upgrades!$T$21="Brown Dwarf",POWER(Upgrades!$U$21,M198),1))*POWER(Upgrades!$P$13,E198)*POWER(Upgrades!$P$14,F198)*POWER(Upgrades!$P$15,G198)*POWER(Upgrades!$P$16,H198)*POWER(Upgrades!$P$17,I198)*POWER(Upgrades!$P$18,J198)*POWER(Upgrades!$P$19,K198)*POWER(Upgrades!$P$20,L198)*POWER(Upgrades!$P$21,M198)*$F$6*60</f>
        <v/>
      </c>
      <c r="AF198" s="27" t="n">
        <v>0</v>
      </c>
      <c r="AG198" s="27" t="n">
        <v>0</v>
      </c>
      <c r="AH198" s="27" t="n">
        <v>0</v>
      </c>
      <c r="AI198" s="27">
        <f>(IF(M198=0,0,(Upgrades!$G$21+M198*Upgrades!$H$21)*POWER(Upgrades!$I$21,M198)))*(IF(Upgrades!$T$13="Moving Group",POWER(Upgrades!$U$13,E198),1)*IF(Upgrades!$T$14="Moving Group",POWER(Upgrades!$U$14,F198),1)*IF(Upgrades!$T$15="Moving Group",POWER(Upgrades!$U$15,G198),1)*IF(Upgrades!$T$16="Moving Group",POWER(Upgrades!$U$16,H198),1)*IF(Upgrades!$T$17="Moving Group",POWER(Upgrades!$U$17,I198),1)*IF(Upgrades!$T$18="Moving Group",POWER(Upgrades!$U$18,J198),1)*IF(Upgrades!$T$19="Moving Group",POWER(Upgrades!$U$19,K198),1)*IF(Upgrades!$T$20="Moving Group",POWER(Upgrades!$U$20,L198),1))*POWER(Upgrades!$P$13,E198)*POWER(Upgrades!$P$14,F198)*POWER(Upgrades!$P$15,G198)*POWER(Upgrades!$P$16,H198)*POWER(Upgrades!$P$17,I198)*POWER(Upgrades!$P$18,J198)*POWER(Upgrades!$P$19,K198)*POWER(Upgrades!$P$20,L198)*POWER(Upgrades!$P$21,M198)*$F$6*60</f>
        <v/>
      </c>
      <c r="AJ198" s="27">
        <f>$C$6*60</f>
        <v/>
      </c>
      <c r="AK198" s="22">
        <f>IF(E198&gt;=Upgrades!$E$13,"",Upgrades!$C$13*POWER(Upgrades!$D$13,E198))</f>
        <v/>
      </c>
      <c r="AL198" s="22">
        <f>IF(F198&gt;=Upgrades!$E$14,"",Upgrades!$C$14*POWER(Upgrades!$D$14,F198))</f>
        <v/>
      </c>
      <c r="AM198" s="22">
        <f>IF(G198&gt;=Upgrades!$E$15,"",Upgrades!$C$15*POWER(Upgrades!$D$15,G198))</f>
        <v/>
      </c>
      <c r="AN198" s="22">
        <f>IF(H198&gt;=Upgrades!$E$16,"",Upgrades!$C$16*POWER(Upgrades!$D$16,H198))</f>
        <v/>
      </c>
      <c r="AO198" s="22">
        <f>IF(I198&gt;=Upgrades!$E$17,"",Upgrades!$C$17*POWER(Upgrades!$D$17,I198))</f>
        <v/>
      </c>
      <c r="AP198" s="22">
        <f>IF(J198&gt;=Upgrades!$E$18,"",Upgrades!$C$18*POWER(Upgrades!$D$18,J198))</f>
        <v/>
      </c>
      <c r="AQ198" s="22">
        <f>IF(K198&gt;=Upgrades!$E$19,"",Upgrades!$C$19*POWER(Upgrades!$D$19,K198))</f>
        <v/>
      </c>
      <c r="AR198" s="22">
        <f>IF(L198&gt;=Upgrades!$E$20,"",Upgrades!$C$20*POWER(Upgrades!$D$20,L198))</f>
        <v/>
      </c>
      <c r="AS198" s="22">
        <f>IF(M198&gt;=Upgrades!$E$21,"",Upgrades!$C$21*POWER(Upgrades!$D$21,M198))</f>
        <v/>
      </c>
      <c r="AT198" s="26">
        <f>IF(AND(D198&gt;=Parameters!$B$18*Parameters!$B$19,(I198&gt;=Upgrades!$E$17)*(M198&gt;=Upgrades!$E$21)=1,N198=0),1,"")</f>
        <v/>
      </c>
      <c r="AU198" s="26">
        <f>IF(AND(D198&gt;=Parameters!$B$18*Parameters!$B$19,N198=0),1,"")</f>
        <v/>
      </c>
      <c r="AV198" s="22">
        <f>MIN(IF(ISNUMBER(AP198),AP198,9E15),IF(ISNUMBER(AQ198),AQ198,9E15),IF(ISNUMBER(AR198),AR198,9E15),IF(ISNUMBER(AS198),AS198,9E15))</f>
        <v/>
      </c>
      <c r="AW198" s="22">
        <f>MIN(IF(ISNUMBER(AK198),AK198,9E15),IF(ISNUMBER(AL198),AL198,9E15),IF(ISNUMBER(AM198),AM198,9E15),IF(ISNUMBER(AN198),AN198,9E15),IF(ISNUMBER(AO198),AO198,9E15))</f>
        <v/>
      </c>
      <c r="AX198" s="29">
        <f>IF(BD198&gt;Parameters!$B$21*(MAX(IF(AND(NOT(AND(AU198=1,AT198&lt;&gt;1)),ISNUMBER(AK198),AK198&lt;=(C198+T198)),AY198,0),IF(AND(NOT(AND(AU198=1,AT198&lt;&gt;1)),ISNUMBER(AL198),AL198&lt;=(C198+T198)),AZ198,0),IF(AND(NOT(AND(AU198=1,AT198&lt;&gt;1)),ISNUMBER(AM198),AM198&lt;=(C198+T198)),BA198,0),IF(AND(NOT(AND(AU198=1,AT198&lt;&gt;1)),ISNUMBER(AN198),AN198&lt;=(C198+T198)),BB198,0),IF(AND(ISNUMBER(AO198),AO198&lt;=(C198+T198)),BC198,0))),TRUE,FALSE)</f>
        <v/>
      </c>
      <c r="AY198" s="32">
        <f>IFERROR(Upgrades!$H$13*(POWER(Upgrades!$P$13,E198)*POWER(Upgrades!$P$14,F198)*POWER(Upgrades!$P$15,G198)*POWER(Upgrades!$P$16,H198)*POWER(Upgrades!$P$17,I198)*POWER(Upgrades!$P$18,J198)*POWER(Upgrades!$P$19,K198)*POWER(Upgrades!$P$20,L198)*POWER(Upgrades!$P$21,M198))*(IF(Upgrades!$T$14="Stellar Kinematics",POWER(Upgrades!$U$14,F198),1)*IF(Upgrades!$T$15="Stellar Kinematics",POWER(Upgrades!$U$15,G198),1)*IF(Upgrades!$T$16="Stellar Kinematics",POWER(Upgrades!$U$16,H198),1)*IF(Upgrades!$T$17="Stellar Kinematics",POWER(Upgrades!$U$17,I198),1)*IF(Upgrades!$T$18="Stellar Kinematics",POWER(Upgrades!$U$18,J198),1)*IF(Upgrades!$T$19="Stellar Kinematics",POWER(Upgrades!$U$19,K198),1)*IF(Upgrades!$T$20="Stellar Kinematics",POWER(Upgrades!$U$20,L198),1)*IF(Upgrades!$T$21="Stellar Kinematics",POWER(Upgrades!$U$21,M198),1))*$F$6/AK198,0)</f>
        <v/>
      </c>
      <c r="AZ198" s="32">
        <f>IFERROR(Upgrades!$H$14*(POWER(Upgrades!$P$13,E198)*POWER(Upgrades!$P$14,F198)*POWER(Upgrades!$P$15,G198)*POWER(Upgrades!$P$16,H198)*POWER(Upgrades!$P$17,I198)*POWER(Upgrades!$P$18,J198)*POWER(Upgrades!$P$19,K198)*POWER(Upgrades!$P$20,L198)*POWER(Upgrades!$P$21,M198))*(IF(Upgrades!$T$13="Local Bubble",POWER(Upgrades!$U$13,E198),1)*IF(Upgrades!$T$15="Local Bubble",POWER(Upgrades!$U$15,G198),1)*IF(Upgrades!$T$16="Local Bubble",POWER(Upgrades!$U$16,H198),1)*IF(Upgrades!$T$17="Local Bubble",POWER(Upgrades!$U$17,I198),1)*IF(Upgrades!$T$18="Local Bubble",POWER(Upgrades!$U$18,J198),1)*IF(Upgrades!$T$19="Local Bubble",POWER(Upgrades!$U$19,K198),1)*IF(Upgrades!$T$20="Local Bubble",POWER(Upgrades!$U$20,L198),1)*IF(Upgrades!$T$21="Local Bubble",POWER(Upgrades!$U$21,M198),1))*$F$6/AL198,0)</f>
        <v/>
      </c>
      <c r="BA198" s="32">
        <f>IFERROR(Upgrades!$K$15*(POWER(Upgrades!$Q$13,E198)*POWER(Upgrades!$Q$14,F198)*POWER(Upgrades!$Q$15,G198)*POWER(Upgrades!$Q$16,H198)*POWER(Upgrades!$Q$17,I198)*POWER(Upgrades!$Q$18,J198)*POWER(Upgrades!$Q$19,K198)*POWER(Upgrades!$Q$20,L198)*POWER(Upgrades!$Q$21,M198))*(IF(Upgrades!$T$13="Microlensing",POWER(Upgrades!$U$13,E198),1)*IF(Upgrades!$T$14="Microlensing",POWER(Upgrades!$U$14,F198),1)*IF(Upgrades!$T$16="Microlensing",POWER(Upgrades!$U$16,H198),1)*IF(Upgrades!$T$17="Microlensing",POWER(Upgrades!$U$17,I198),1)*IF(Upgrades!$T$18="Microlensing",POWER(Upgrades!$U$18,J198),1)*IF(Upgrades!$T$19="Microlensing",POWER(Upgrades!$U$19,K198),1)*IF(Upgrades!$T$20="Microlensing",POWER(Upgrades!$U$20,L198),1)*IF(Upgrades!$T$21="Microlensing",POWER(Upgrades!$U$21,M198),1))*$G$6*(Parameters!$B$10/60*Parameters!$B$11+Q198)/AM198,0)</f>
        <v/>
      </c>
      <c r="BB198" s="32">
        <f>IFERROR((Upgrades!$N$16*(POWER(Upgrades!$R$13,E198)*POWER(Upgrades!$R$14,F198)*POWER(Upgrades!$R$15,G198)*POWER(Upgrades!$R$16,H198)*POWER(Upgrades!$R$17,I198)*POWER(Upgrades!$R$18,J198)*POWER(Upgrades!$R$19,K198)*POWER(Upgrades!$R$20,L198)*POWER(Upgrades!$R$21,M198))*(IF(Upgrades!$T$13="Roche Lobe Overflow",POWER(Upgrades!$U$13,E198),1)*IF(Upgrades!$T$14="Roche Lobe Overflow",POWER(Upgrades!$U$14,F198),1)*IF(Upgrades!$T$15="Roche Lobe Overflow",POWER(Upgrades!$U$15,G198),1)*IF(Upgrades!$T$17="Roche Lobe Overflow",POWER(Upgrades!$U$17,I198),1)*IF(Upgrades!$T$18="Roche Lobe Overflow",POWER(Upgrades!$U$18,J198),1)*IF(Upgrades!$T$19="Roche Lobe Overflow",POWER(Upgrades!$U$19,K198),1)*IF(Upgrades!$T$20="Roche Lobe Overflow",POWER(Upgrades!$U$20,L198),1)*IF(Upgrades!$T$21="Roche Lobe Overflow",POWER(Upgrades!$U$21,M198),1))*$H$6*O198+((IF(F198=0,0,(Upgrades!$G$14+F198*Upgrades!$H$14)*POWER(Upgrades!$I$14,F198)))*(IF(Upgrades!$T$13="Local Bubble",POWER(Upgrades!$U$13,E198),1)*IF(Upgrades!$T$15="Local Bubble",POWER(Upgrades!$U$15,G198),1)*IF(Upgrades!$T$16="Local Bubble",POWER(Upgrades!$U$16,H198),1)*IF(Upgrades!$T$17="Local Bubble",POWER(Upgrades!$U$17,I198),1)*IF(Upgrades!$T$18="Local Bubble",POWER(Upgrades!$U$18,J198),1)*IF(Upgrades!$T$19="Local Bubble",POWER(Upgrades!$U$19,K198),1)*IF(Upgrades!$T$20="Local Bubble",POWER(Upgrades!$U$20,L198),1)*IF(Upgrades!$T$21="Local Bubble",POWER(Upgrades!$U$21,M198),1))*POWER(Upgrades!$P$13,E198)*POWER(Upgrades!$P$14,F198)*POWER(Upgrades!$P$15,G198)*POWER(Upgrades!$P$16,H198)*POWER(Upgrades!$P$17,I198)*POWER(Upgrades!$P$18,J198)*POWER(Upgrades!$P$19,K198)*POWER(Upgrades!$P$20,L198)*POWER(Upgrades!$P$21,M198)*$F$6)*0.05)/AN198,0)</f>
        <v/>
      </c>
      <c r="BC198" s="32">
        <f>IFERROR((Upgrades!$H$17*(POWER(Upgrades!$P$13,E198)*POWER(Upgrades!$P$14,F198)*POWER(Upgrades!$P$15,G198)*POWER(Upgrades!$P$16,H198)*POWER(Upgrades!$P$17,I198)*POWER(Upgrades!$P$18,J198)*POWER(Upgrades!$P$19,K198)*POWER(Upgrades!$P$20,L198)*POWER(Upgrades!$P$21,M198))*(IF(Upgrades!$T$13="Brown Dwarf",POWER(Upgrades!$U$13,E198),1)*IF(Upgrades!$T$14="Brown Dwarf",POWER(Upgrades!$U$14,F198),1)*IF(Upgrades!$T$15="Brown Dwarf",POWER(Upgrades!$U$15,G198),1)*IF(Upgrades!$T$16="Brown Dwarf",POWER(Upgrades!$U$16,H198),1)*IF(Upgrades!$T$18="Brown Dwarf",POWER(Upgrades!$U$18,J198),1)*IF(Upgrades!$T$19="Brown Dwarf",POWER(Upgrades!$U$19,K198),1)*IF(Upgrades!$T$20="Brown Dwarf",POWER(Upgrades!$U$20,L198),1)*IF(Upgrades!$T$21="Brown Dwarf",POWER(Upgrades!$U$21,M198),1))*$F$6+(((IF(H198=0,0,(Upgrades!$M$16+H198*Upgrades!$N$16)*POWER(Upgrades!$O$16,H198)))*(IF(Upgrades!$T$13="Roche Lobe Overflow",POWER(Upgrades!$U$13,E198),1)*IF(Upgrades!$T$14="Roche Lobe Overflow",POWER(Upgrades!$U$14,F198),1)*IF(Upgrades!$T$15="Roche Lobe Overflow",POWER(Upgrades!$U$15,G198),1)*IF(Upgrades!$T$17="Roche Lobe Overflow",POWER(Upgrades!$U$17,I198),1)*IF(Upgrades!$T$18="Roche Lobe Overflow",POWER(Upgrades!$U$18,J198),1)*IF(Upgrades!$T$19="Roche Lobe Overflow",POWER(Upgrades!$U$19,K198),1)*IF(Upgrades!$T$20="Roche Lobe Overflow",POWER(Upgrades!$U$20,L198),1)*IF(Upgrades!$T$21="Roche Lobe Overflow",POWER(Upgrades!$U$21,M198),1))*POWER(Upgrades!$R$13,E198)*POWER(Upgrades!$R$14,F198)*POWER(Upgrades!$R$15,G198)*POWER(Upgrades!$R$16,H198)*POWER(Upgrades!$R$17,I198)*POWER(Upgrades!$R$18,J198)*POWER(Upgrades!$R$19,K198)*POWER(Upgrades!$R$20,L198)*POWER(Upgrades!$R$21,M198)*$H$6)*O198)*0.10)/AO198,0)</f>
        <v/>
      </c>
      <c r="BD198" s="32">
        <f>MAX(IF(J198&gt;0,0,IFERROR(0.5*((IF(G198=0,0,(Upgrades!$J$15+G198*Upgrades!$K$15)*POWER(Upgrades!$L$15,G198)))*(IF(Upgrades!$T$13="Microlensing",POWER(Upgrades!$U$13,E198),1)*IF(Upgrades!$T$14="Microlensing",POWER(Upgrades!$U$14,F198),1)*IF(Upgrades!$T$16="Microlensing",POWER(Upgrades!$U$16,H198),1)*IF(Upgrades!$T$17="Microlensing",POWER(Upgrades!$U$17,I198),1)*IF(Upgrades!$T$18="Microlensing",POWER(Upgrades!$U$18,J198),1)*IF(Upgrades!$T$19="Microlensing",POWER(Upgrades!$U$19,K198),1)*IF(Upgrades!$T$20="Microlensing",POWER(Upgrades!$U$20,L198),1)*IF(Upgrades!$T$21="Microlensing",POWER(Upgrades!$U$21,M198),1))*(POWER(Upgrades!$Q$13,E198)*POWER(Upgrades!$Q$14,F198)*POWER(Upgrades!$Q$15,G198)*POWER(Upgrades!$Q$16,H198)*POWER(Upgrades!$Q$17,I198)*POWER(Upgrades!$Q$18,J198)*POWER(Upgrades!$Q$19,K198)*POWER(Upgrades!$Q$20,L198)*POWER(Upgrades!$Q$21,M198))*$G$6*(Parameters!$B$10/60*Parameters!$B$11+Q198))/Upgrades!$C$18,0)),IF(K198&gt;0,0,IFERROR(0.30*P198/Upgrades!$C$19,0)),IF(L198&gt;0,0,IFERROR(0.0001/Upgrades!$C$20,0)),IF(M198&gt;0,0,IFERROR((6.0*(POWER(Upgrades!$P$13,E198)*POWER(Upgrades!$P$14,F198)*POWER(Upgrades!$P$15,G198)*POWER(Upgrades!$P$16,H198)*POWER(Upgrades!$P$17,I198)*POWER(Upgrades!$P$18,J198)*POWER(Upgrades!$P$19,K198)*POWER(Upgrades!$P$20,L198)*POWER(Upgrades!$P$21,M198))*$F$6+0.20*O198*(Parameters!$B$10/60*Parameters!$B$11+Q198))/Upgrades!$C$21,0)),IF(AND(ISNUMBER(AK198),AK198&gt;(C198+T198)),AY198,0),IF(AND(ISNUMBER(AL198),AL198&gt;(C198+T198)),AZ198,0),IF(AND(ISNUMBER(AM198),AM198&gt;(C198+T198)),BA198,0),IF(AND(ISNUMBER(AN198),AN198&gt;(C198+T198)),BB198,0),IF(AND(ISNUMBER(AO198),AO198&gt;(C198+T198)),BC198,0))</f>
        <v/>
      </c>
      <c r="BE198" s="29">
        <f>IF(AT198=1,"transition",IF(MIN(IF(AND(J198=0,ISNUMBER(AP198),AP198&lt;=(C198+T198)),AP198,9E15),IF(AND(K198=0,ISNUMBER(AQ198),AQ198&lt;=(C198+T198)),AQ198,9E15),IF(AND(L198=0,ISNUMBER(AR198),AR198&lt;=(C198+T198)),AR198,9E15),IF(AND(M198=0,ISNUMBER(AS198),AS198&lt;=(C198+T198)),AS198,9E15))&lt;9E15,IF(AND(AND(J198=0,ISNUMBER(AP198),AP198&lt;=(C198+T198)),AP198=MIN(IF(AND(J198=0,ISNUMBER(AP198),AP198&lt;=(C198+T198)),AP198,9E15),IF(AND(K198=0,ISNUMBER(AQ198),AQ198&lt;=(C198+T198)),AQ198,9E15),IF(AND(L198=0,ISNUMBER(AR198),AR198&lt;=(C198+T198)),AR198,9E15),IF(AND(M198=0,ISNUMBER(AS198),AS198&lt;=(C198+T198)),AS198,9E15))),"BiP",IF(AND(AND(K198=0,ISNUMBER(AQ198),AQ198&lt;=(C198+T198)),AQ198=MIN(IF(AND(J198=0,ISNUMBER(AP198),AP198&lt;=(C198+T198)),AP198,9E15),IF(AND(K198=0,ISNUMBER(AQ198),AQ198&lt;=(C198+T198)),AQ198,9E15),IF(AND(L198=0,ISNUMBER(AR198),AR198&lt;=(C198+T198)),AR198,9E15),IF(AND(M198=0,ISNUMBER(AS198),AS198&lt;=(C198+T198)),AS198,9E15))),"PV",IF(AND(AND(L198=0,ISNUMBER(AR198),AR198&lt;=(C198+T198)),AR198=MIN(IF(AND(J198=0,ISNUMBER(AP198),AP198&lt;=(C198+T198)),AP198,9E15),IF(AND(K198=0,ISNUMBER(AQ198),AQ198&lt;=(C198+T198)),AQ198,9E15),IF(AND(L198=0,ISNUMBER(AR198),AR198&lt;=(C198+T198)),AR198,9E15),IF(AND(M198=0,ISNUMBER(AS198),AS198&lt;=(C198+T198)),AS198,9E15))),"OC","MG"))),IF(AX198=TRUE,"",IF(MAX(IF(AND(NOT(AND(AU198=1,AT198&lt;&gt;1)),ISNUMBER(AK198),AK198&lt;=(C198+T198)),AY198,0),IF(AND(NOT(AND(AU198=1,AT198&lt;&gt;1)),ISNUMBER(AL198),AL198&lt;=(C198+T198)),AZ198,0),IF(AND(NOT(AND(AU198=1,AT198&lt;&gt;1)),ISNUMBER(AM198),AM198&lt;=(C198+T198)),BA198,0),IF(AND(NOT(AND(AU198=1,AT198&lt;&gt;1)),ISNUMBER(AN198),AN198&lt;=(C198+T198)),BB198,0),IF(AND(ISNUMBER(AO198),AO198&lt;=(C198+T198)),BC198,0))&lt;=0,"",IF(AND(IF(AND(NOT(AND(AU198=1,AT198&lt;&gt;1)),ISNUMBER(AK198),AK198&lt;=(C198+T198)),AY198,0)&gt;0,IF(AND(NOT(AND(AU198=1,AT198&lt;&gt;1)),ISNUMBER(AK198),AK198&lt;=(C198+T198)),AY198,0)=MAX(IF(AND(NOT(AND(AU198=1,AT198&lt;&gt;1)),ISNUMBER(AK198),AK198&lt;=(C198+T198)),AY198,0),IF(AND(NOT(AND(AU198=1,AT198&lt;&gt;1)),ISNUMBER(AL198),AL198&lt;=(C198+T198)),AZ198,0),IF(AND(NOT(AND(AU198=1,AT198&lt;&gt;1)),ISNUMBER(AM198),AM198&lt;=(C198+T198)),BA198,0),IF(AND(NOT(AND(AU198=1,AT198&lt;&gt;1)),ISNUMBER(AN198),AN198&lt;=(C198+T198)),BB198,0),IF(AND(ISNUMBER(AO198),AO198&lt;=(C198+T198)),BC198,0))),"SK",IF(AND(IF(AND(NOT(AND(AU198=1,AT198&lt;&gt;1)),ISNUMBER(AL198),AL198&lt;=(C198+T198)),AZ198,0)&gt;0,IF(AND(NOT(AND(AU198=1,AT198&lt;&gt;1)),ISNUMBER(AL198),AL198&lt;=(C198+T198)),AZ198,0)=MAX(IF(AND(NOT(AND(AU198=1,AT198&lt;&gt;1)),ISNUMBER(AK198),AK198&lt;=(C198+T198)),AY198,0),IF(AND(NOT(AND(AU198=1,AT198&lt;&gt;1)),ISNUMBER(AL198),AL198&lt;=(C198+T198)),AZ198,0),IF(AND(NOT(AND(AU198=1,AT198&lt;&gt;1)),ISNUMBER(AM198),AM198&lt;=(C198+T198)),BA198,0),IF(AND(NOT(AND(AU198=1,AT198&lt;&gt;1)),ISNUMBER(AN198),AN198&lt;=(C198+T198)),BB198,0),IF(AND(ISNUMBER(AO198),AO198&lt;=(C198+T198)),BC198,0))),"LB",IF(AND(IF(AND(NOT(AND(AU198=1,AT198&lt;&gt;1)),ISNUMBER(AM198),AM198&lt;=(C198+T198)),BA198,0)&gt;0,IF(AND(NOT(AND(AU198=1,AT198&lt;&gt;1)),ISNUMBER(AM198),AM198&lt;=(C198+T198)),BA198,0)=MAX(IF(AND(NOT(AND(AU198=1,AT198&lt;&gt;1)),ISNUMBER(AK198),AK198&lt;=(C198+T198)),AY198,0),IF(AND(NOT(AND(AU198=1,AT198&lt;&gt;1)),ISNUMBER(AL198),AL198&lt;=(C198+T198)),AZ198,0),IF(AND(NOT(AND(AU198=1,AT198&lt;&gt;1)),ISNUMBER(AM198),AM198&lt;=(C198+T198)),BA198,0),IF(AND(NOT(AND(AU198=1,AT198&lt;&gt;1)),ISNUMBER(AN198),AN198&lt;=(C198+T198)),BB198,0),IF(AND(ISNUMBER(AO198),AO198&lt;=(C198+T198)),BC198,0))),"ML",IF(AND(IF(AND(NOT(AND(AU198=1,AT198&lt;&gt;1)),ISNUMBER(AN198),AN198&lt;=(C198+T198)),BB198,0)&gt;0,IF(AND(NOT(AND(AU198=1,AT198&lt;&gt;1)),ISNUMBER(AN198),AN198&lt;=(C198+T198)),BB198,0)=MAX(IF(AND(NOT(AND(AU198=1,AT198&lt;&gt;1)),ISNUMBER(AK198),AK198&lt;=(C198+T198)),AY198,0),IF(AND(NOT(AND(AU198=1,AT198&lt;&gt;1)),ISNUMBER(AL198),AL198&lt;=(C198+T198)),AZ198,0),IF(AND(NOT(AND(AU198=1,AT198&lt;&gt;1)),ISNUMBER(AM198),AM198&lt;=(C198+T198)),BA198,0),IF(AND(NOT(AND(AU198=1,AT198&lt;&gt;1)),ISNUMBER(AN198),AN198&lt;=(C198+T198)),BB198,0),IF(AND(ISNUMBER(AO198),AO198&lt;=(C198+T198)),BC198,0))),"RLO","BD"))))))))</f>
        <v/>
      </c>
    </row>
    <row r="199">
      <c r="A199" s="26" t="n">
        <v>188</v>
      </c>
      <c r="B199" s="27">
        <f>A199*10/60</f>
        <v/>
      </c>
      <c r="C199" s="22">
        <f>X198</f>
        <v/>
      </c>
      <c r="D199" s="27">
        <f>D198+W198</f>
        <v/>
      </c>
      <c r="E199" s="26">
        <f>E198+IF(U198="SK",1,0)</f>
        <v/>
      </c>
      <c r="F199" s="26">
        <f>F198+IF(U198="LB",1,0)</f>
        <v/>
      </c>
      <c r="G199" s="26">
        <f>G198+IF(U198="ML",1,0)</f>
        <v/>
      </c>
      <c r="H199" s="26">
        <f>H198+IF(U198="RLO",1,0)</f>
        <v/>
      </c>
      <c r="I199" s="26">
        <f>I198+IF(U198="BD",1,0)</f>
        <v/>
      </c>
      <c r="J199" s="26">
        <f>MAX(J198,IF(U198="BiP",1,0))</f>
        <v/>
      </c>
      <c r="K199" s="26">
        <f>MAX(K198,IF(U198="PV",1,0))</f>
        <v/>
      </c>
      <c r="L199" s="26">
        <f>MAX(L198,IF(U198="OC",1,0))</f>
        <v/>
      </c>
      <c r="M199" s="26">
        <f>MAX(M198,IF(U198="MG",1,0))</f>
        <v/>
      </c>
      <c r="N199" s="26">
        <f>MAX(N198,IF(U198="transition",1,0))</f>
        <v/>
      </c>
      <c r="O199" s="28">
        <f>(Parameters!$B$9+(IF(E199=0,0,(Upgrades!$J$13+E199*Upgrades!$K$13)*POWER(Upgrades!$L$13,E199)))*(IF(Upgrades!$T$14="Stellar Kinematics",POWER(Upgrades!$U$14,F199),1)*IF(Upgrades!$T$15="Stellar Kinematics",POWER(Upgrades!$U$15,G199),1)*IF(Upgrades!$T$16="Stellar Kinematics",POWER(Upgrades!$U$16,H199),1)*IF(Upgrades!$T$17="Stellar Kinematics",POWER(Upgrades!$U$17,I199),1)*IF(Upgrades!$T$18="Stellar Kinematics",POWER(Upgrades!$U$18,J199),1)*IF(Upgrades!$T$19="Stellar Kinematics",POWER(Upgrades!$U$19,K199),1)*IF(Upgrades!$T$20="Stellar Kinematics",POWER(Upgrades!$U$20,L199),1)*IF(Upgrades!$T$21="Stellar Kinematics",POWER(Upgrades!$U$21,M199),1))+(IF(F199=0,0,(Upgrades!$J$14+F199*Upgrades!$K$14)*POWER(Upgrades!$L$14,F199)))*(IF(Upgrades!$T$13="Local Bubble",POWER(Upgrades!$U$13,E199),1)*IF(Upgrades!$T$15="Local Bubble",POWER(Upgrades!$U$15,G199),1)*IF(Upgrades!$T$16="Local Bubble",POWER(Upgrades!$U$16,H199),1)*IF(Upgrades!$T$17="Local Bubble",POWER(Upgrades!$U$17,I199),1)*IF(Upgrades!$T$18="Local Bubble",POWER(Upgrades!$U$18,J199),1)*IF(Upgrades!$T$19="Local Bubble",POWER(Upgrades!$U$19,K199),1)*IF(Upgrades!$T$20="Local Bubble",POWER(Upgrades!$U$20,L199),1)*IF(Upgrades!$T$21="Local Bubble",POWER(Upgrades!$U$21,M199),1))+(IF(G199=0,0,(Upgrades!$J$15+G199*Upgrades!$K$15)*POWER(Upgrades!$L$15,G199)))*(IF(Upgrades!$T$13="Microlensing",POWER(Upgrades!$U$13,E199),1)*IF(Upgrades!$T$14="Microlensing",POWER(Upgrades!$U$14,F199),1)*IF(Upgrades!$T$16="Microlensing",POWER(Upgrades!$U$16,H199),1)*IF(Upgrades!$T$17="Microlensing",POWER(Upgrades!$U$17,I199),1)*IF(Upgrades!$T$18="Microlensing",POWER(Upgrades!$U$18,J199),1)*IF(Upgrades!$T$19="Microlensing",POWER(Upgrades!$U$19,K199),1)*IF(Upgrades!$T$20="Microlensing",POWER(Upgrades!$U$20,L199),1)*IF(Upgrades!$T$21="Microlensing",POWER(Upgrades!$U$21,M199),1))+(IF(H199=0,0,(Upgrades!$J$16+H199*Upgrades!$K$16)*POWER(Upgrades!$L$16,H199)))*(IF(Upgrades!$T$13="Roche Lobe Overflow",POWER(Upgrades!$U$13,E199),1)*IF(Upgrades!$T$14="Roche Lobe Overflow",POWER(Upgrades!$U$14,F199),1)*IF(Upgrades!$T$15="Roche Lobe Overflow",POWER(Upgrades!$U$15,G199),1)*IF(Upgrades!$T$17="Roche Lobe Overflow",POWER(Upgrades!$U$17,I199),1)*IF(Upgrades!$T$18="Roche Lobe Overflow",POWER(Upgrades!$U$18,J199),1)*IF(Upgrades!$T$19="Roche Lobe Overflow",POWER(Upgrades!$U$19,K199),1)*IF(Upgrades!$T$20="Roche Lobe Overflow",POWER(Upgrades!$U$20,L199),1)*IF(Upgrades!$T$21="Roche Lobe Overflow",POWER(Upgrades!$U$21,M199),1))+(IF(I199=0,0,(Upgrades!$J$17+I199*Upgrades!$K$17)*POWER(Upgrades!$L$17,I199)))*(IF(Upgrades!$T$13="Brown Dwarf",POWER(Upgrades!$U$13,E199),1)*IF(Upgrades!$T$14="Brown Dwarf",POWER(Upgrades!$U$14,F199),1)*IF(Upgrades!$T$15="Brown Dwarf",POWER(Upgrades!$U$15,G199),1)*IF(Upgrades!$T$16="Brown Dwarf",POWER(Upgrades!$U$16,H199),1)*IF(Upgrades!$T$18="Brown Dwarf",POWER(Upgrades!$U$18,J199),1)*IF(Upgrades!$T$19="Brown Dwarf",POWER(Upgrades!$U$19,K199),1)*IF(Upgrades!$T$20="Brown Dwarf",POWER(Upgrades!$U$20,L199),1)*IF(Upgrades!$T$21="Brown Dwarf",POWER(Upgrades!$U$21,M199),1))+(IF(J199=0,0,(Upgrades!$J$18+J199*Upgrades!$K$18)*POWER(Upgrades!$L$18,J199)))*(IF(Upgrades!$T$13="Binary Partner",POWER(Upgrades!$U$13,E199),1)*IF(Upgrades!$T$14="Binary Partner",POWER(Upgrades!$U$14,F199),1)*IF(Upgrades!$T$15="Binary Partner",POWER(Upgrades!$U$15,G199),1)*IF(Upgrades!$T$16="Binary Partner",POWER(Upgrades!$U$16,H199),1)*IF(Upgrades!$T$17="Binary Partner",POWER(Upgrades!$U$17,I199),1)*IF(Upgrades!$T$19="Binary Partner",POWER(Upgrades!$U$19,K199),1)*IF(Upgrades!$T$20="Binary Partner",POWER(Upgrades!$U$20,L199),1)*IF(Upgrades!$T$21="Binary Partner",POWER(Upgrades!$U$21,M199),1))+(IF(K199=0,0,(Upgrades!$J$19+K199*Upgrades!$K$19)*POWER(Upgrades!$L$19,K199)))*(IF(Upgrades!$T$13="Peculiar Velocity",POWER(Upgrades!$U$13,E199),1)*IF(Upgrades!$T$14="Peculiar Velocity",POWER(Upgrades!$U$14,F199),1)*IF(Upgrades!$T$15="Peculiar Velocity",POWER(Upgrades!$U$15,G199),1)*IF(Upgrades!$T$16="Peculiar Velocity",POWER(Upgrades!$U$16,H199),1)*IF(Upgrades!$T$17="Peculiar Velocity",POWER(Upgrades!$U$17,I199),1)*IF(Upgrades!$T$18="Peculiar Velocity",POWER(Upgrades!$U$18,J199),1)*IF(Upgrades!$T$20="Peculiar Velocity",POWER(Upgrades!$U$20,L199),1)*IF(Upgrades!$T$21="Peculiar Velocity",POWER(Upgrades!$U$21,M199),1))+(IF(L199=0,0,(Upgrades!$J$20+L199*Upgrades!$K$20)*POWER(Upgrades!$L$20,L199)))*(IF(Upgrades!$T$13="Open Cluster",POWER(Upgrades!$U$13,E199),1)*IF(Upgrades!$T$14="Open Cluster",POWER(Upgrades!$U$14,F199),1)*IF(Upgrades!$T$15="Open Cluster",POWER(Upgrades!$U$15,G199),1)*IF(Upgrades!$T$16="Open Cluster",POWER(Upgrades!$U$16,H199),1)*IF(Upgrades!$T$17="Open Cluster",POWER(Upgrades!$U$17,I199),1)*IF(Upgrades!$T$18="Open Cluster",POWER(Upgrades!$U$18,J199),1)*IF(Upgrades!$T$19="Open Cluster",POWER(Upgrades!$U$19,K199),1)*IF(Upgrades!$T$21="Open Cluster",POWER(Upgrades!$U$21,M199),1))+(IF(M199=0,0,(Upgrades!$J$21+M199*Upgrades!$K$21)*POWER(Upgrades!$L$21,M199)))*(IF(Upgrades!$T$13="Moving Group",POWER(Upgrades!$U$13,E199),1)*IF(Upgrades!$T$14="Moving Group",POWER(Upgrades!$U$14,F199),1)*IF(Upgrades!$T$15="Moving Group",POWER(Upgrades!$U$15,G199),1)*IF(Upgrades!$T$16="Moving Group",POWER(Upgrades!$U$16,H199),1)*IF(Upgrades!$T$17="Moving Group",POWER(Upgrades!$U$17,I199),1)*IF(Upgrades!$T$18="Moving Group",POWER(Upgrades!$U$18,J199),1)*IF(Upgrades!$T$19="Moving Group",POWER(Upgrades!$U$19,K199),1)*IF(Upgrades!$T$20="Moving Group",POWER(Upgrades!$U$20,L199),1)))*POWER(Upgrades!$Q$13,E199)*POWER(Upgrades!$Q$14,F199)*POWER(Upgrades!$Q$15,G199)*POWER(Upgrades!$Q$16,H199)*POWER(Upgrades!$Q$17,I199)*POWER(Upgrades!$Q$18,J199)*POWER(Upgrades!$Q$19,K199)*POWER(Upgrades!$Q$20,L199)*POWER(Upgrades!$Q$21,M199)*$G$6+$D$6</f>
        <v/>
      </c>
      <c r="P199" s="28">
        <f>((IF(E199=0,0,(Upgrades!$G$13+E199*Upgrades!$H$13)*POWER(Upgrades!$I$13,E199)))*(IF(Upgrades!$T$14="Stellar Kinematics",POWER(Upgrades!$U$14,F199),1)*IF(Upgrades!$T$15="Stellar Kinematics",POWER(Upgrades!$U$15,G199),1)*IF(Upgrades!$T$16="Stellar Kinematics",POWER(Upgrades!$U$16,H199),1)*IF(Upgrades!$T$17="Stellar Kinematics",POWER(Upgrades!$U$17,I199),1)*IF(Upgrades!$T$18="Stellar Kinematics",POWER(Upgrades!$U$18,J199),1)*IF(Upgrades!$T$19="Stellar Kinematics",POWER(Upgrades!$U$19,K199),1)*IF(Upgrades!$T$20="Stellar Kinematics",POWER(Upgrades!$U$20,L199),1)*IF(Upgrades!$T$21="Stellar Kinematics",POWER(Upgrades!$U$21,M199),1))+(IF(F199=0,0,(Upgrades!$G$14+F199*Upgrades!$H$14)*POWER(Upgrades!$I$14,F199)))*(IF(Upgrades!$T$13="Local Bubble",POWER(Upgrades!$U$13,E199),1)*IF(Upgrades!$T$15="Local Bubble",POWER(Upgrades!$U$15,G199),1)*IF(Upgrades!$T$16="Local Bubble",POWER(Upgrades!$U$16,H199),1)*IF(Upgrades!$T$17="Local Bubble",POWER(Upgrades!$U$17,I199),1)*IF(Upgrades!$T$18="Local Bubble",POWER(Upgrades!$U$18,J199),1)*IF(Upgrades!$T$19="Local Bubble",POWER(Upgrades!$U$19,K199),1)*IF(Upgrades!$T$20="Local Bubble",POWER(Upgrades!$U$20,L199),1)*IF(Upgrades!$T$21="Local Bubble",POWER(Upgrades!$U$21,M199),1))+(IF(G199=0,0,(Upgrades!$G$15+G199*Upgrades!$H$15)*POWER(Upgrades!$I$15,G199)))*(IF(Upgrades!$T$13="Microlensing",POWER(Upgrades!$U$13,E199),1)*IF(Upgrades!$T$14="Microlensing",POWER(Upgrades!$U$14,F199),1)*IF(Upgrades!$T$16="Microlensing",POWER(Upgrades!$U$16,H199),1)*IF(Upgrades!$T$17="Microlensing",POWER(Upgrades!$U$17,I199),1)*IF(Upgrades!$T$18="Microlensing",POWER(Upgrades!$U$18,J199),1)*IF(Upgrades!$T$19="Microlensing",POWER(Upgrades!$U$19,K199),1)*IF(Upgrades!$T$20="Microlensing",POWER(Upgrades!$U$20,L199),1)*IF(Upgrades!$T$21="Microlensing",POWER(Upgrades!$U$21,M199),1))+(IF(H199=0,0,(Upgrades!$G$16+H199*Upgrades!$H$16)*POWER(Upgrades!$I$16,H199)))*(IF(Upgrades!$T$13="Roche Lobe Overflow",POWER(Upgrades!$U$13,E199),1)*IF(Upgrades!$T$14="Roche Lobe Overflow",POWER(Upgrades!$U$14,F199),1)*IF(Upgrades!$T$15="Roche Lobe Overflow",POWER(Upgrades!$U$15,G199),1)*IF(Upgrades!$T$17="Roche Lobe Overflow",POWER(Upgrades!$U$17,I199),1)*IF(Upgrades!$T$18="Roche Lobe Overflow",POWER(Upgrades!$U$18,J199),1)*IF(Upgrades!$T$19="Roche Lobe Overflow",POWER(Upgrades!$U$19,K199),1)*IF(Upgrades!$T$20="Roche Lobe Overflow",POWER(Upgrades!$U$20,L199),1)*IF(Upgrades!$T$21="Roche Lobe Overflow",POWER(Upgrades!$U$21,M199),1))+(IF(I199=0,0,(Upgrades!$G$17+I199*Upgrades!$H$17)*POWER(Upgrades!$I$17,I199)))*(IF(Upgrades!$T$13="Brown Dwarf",POWER(Upgrades!$U$13,E199),1)*IF(Upgrades!$T$14="Brown Dwarf",POWER(Upgrades!$U$14,F199),1)*IF(Upgrades!$T$15="Brown Dwarf",POWER(Upgrades!$U$15,G199),1)*IF(Upgrades!$T$16="Brown Dwarf",POWER(Upgrades!$U$16,H199),1)*IF(Upgrades!$T$18="Brown Dwarf",POWER(Upgrades!$U$18,J199),1)*IF(Upgrades!$T$19="Brown Dwarf",POWER(Upgrades!$U$19,K199),1)*IF(Upgrades!$T$20="Brown Dwarf",POWER(Upgrades!$U$20,L199),1)*IF(Upgrades!$T$21="Brown Dwarf",POWER(Upgrades!$U$21,M199),1))+(IF(J199=0,0,(Upgrades!$G$18+J199*Upgrades!$H$18)*POWER(Upgrades!$I$18,J199)))*(IF(Upgrades!$T$13="Binary Partner",POWER(Upgrades!$U$13,E199),1)*IF(Upgrades!$T$14="Binary Partner",POWER(Upgrades!$U$14,F199),1)*IF(Upgrades!$T$15="Binary Partner",POWER(Upgrades!$U$15,G199),1)*IF(Upgrades!$T$16="Binary Partner",POWER(Upgrades!$U$16,H199),1)*IF(Upgrades!$T$17="Binary Partner",POWER(Upgrades!$U$17,I199),1)*IF(Upgrades!$T$19="Binary Partner",POWER(Upgrades!$U$19,K199),1)*IF(Upgrades!$T$20="Binary Partner",POWER(Upgrades!$U$20,L199),1)*IF(Upgrades!$T$21="Binary Partner",POWER(Upgrades!$U$21,M199),1))+(IF(K199=0,0,(Upgrades!$G$19+K199*Upgrades!$H$19)*POWER(Upgrades!$I$19,K199)))*(IF(Upgrades!$T$13="Peculiar Velocity",POWER(Upgrades!$U$13,E199),1)*IF(Upgrades!$T$14="Peculiar Velocity",POWER(Upgrades!$U$14,F199),1)*IF(Upgrades!$T$15="Peculiar Velocity",POWER(Upgrades!$U$15,G199),1)*IF(Upgrades!$T$16="Peculiar Velocity",POWER(Upgrades!$U$16,H199),1)*IF(Upgrades!$T$17="Peculiar Velocity",POWER(Upgrades!$U$17,I199),1)*IF(Upgrades!$T$18="Peculiar Velocity",POWER(Upgrades!$U$18,J199),1)*IF(Upgrades!$T$20="Peculiar Velocity",POWER(Upgrades!$U$20,L199),1)*IF(Upgrades!$T$21="Peculiar Velocity",POWER(Upgrades!$U$21,M199),1))+(IF(L199=0,0,(Upgrades!$G$20+L199*Upgrades!$H$20)*POWER(Upgrades!$I$20,L199)))*(IF(Upgrades!$T$13="Open Cluster",POWER(Upgrades!$U$13,E199),1)*IF(Upgrades!$T$14="Open Cluster",POWER(Upgrades!$U$14,F199),1)*IF(Upgrades!$T$15="Open Cluster",POWER(Upgrades!$U$15,G199),1)*IF(Upgrades!$T$16="Open Cluster",POWER(Upgrades!$U$16,H199),1)*IF(Upgrades!$T$17="Open Cluster",POWER(Upgrades!$U$17,I199),1)*IF(Upgrades!$T$18="Open Cluster",POWER(Upgrades!$U$18,J199),1)*IF(Upgrades!$T$19="Open Cluster",POWER(Upgrades!$U$19,K199),1)*IF(Upgrades!$T$21="Open Cluster",POWER(Upgrades!$U$21,M199),1))+(IF(M199=0,0,(Upgrades!$G$21+M199*Upgrades!$H$21)*POWER(Upgrades!$I$21,M199)))*(IF(Upgrades!$T$13="Moving Group",POWER(Upgrades!$U$13,E199),1)*IF(Upgrades!$T$14="Moving Group",POWER(Upgrades!$U$14,F199),1)*IF(Upgrades!$T$15="Moving Group",POWER(Upgrades!$U$15,G199),1)*IF(Upgrades!$T$16="Moving Group",POWER(Upgrades!$U$16,H199),1)*IF(Upgrades!$T$17="Moving Group",POWER(Upgrades!$U$17,I199),1)*IF(Upgrades!$T$18="Moving Group",POWER(Upgrades!$U$18,J199),1)*IF(Upgrades!$T$19="Moving Group",POWER(Upgrades!$U$19,K199),1)*IF(Upgrades!$T$20="Moving Group",POWER(Upgrades!$U$20,L199),1)))*POWER(Upgrades!$P$13,E199)*POWER(Upgrades!$P$14,F199)*POWER(Upgrades!$P$15,G199)*POWER(Upgrades!$P$16,H199)*POWER(Upgrades!$P$17,I199)*POWER(Upgrades!$P$18,J199)*POWER(Upgrades!$P$19,K199)*POWER(Upgrades!$P$20,L199)*POWER(Upgrades!$P$21,M199)*$F$6+$C$6</f>
        <v/>
      </c>
      <c r="Q199" s="28">
        <f>((IF(E199=0,0,(Upgrades!$M$13+E199*Upgrades!$N$13)*POWER(Upgrades!$O$13,E199)))*(IF(Upgrades!$T$14="Stellar Kinematics",POWER(Upgrades!$U$14,F199),1)*IF(Upgrades!$T$15="Stellar Kinematics",POWER(Upgrades!$U$15,G199),1)*IF(Upgrades!$T$16="Stellar Kinematics",POWER(Upgrades!$U$16,H199),1)*IF(Upgrades!$T$17="Stellar Kinematics",POWER(Upgrades!$U$17,I199),1)*IF(Upgrades!$T$18="Stellar Kinematics",POWER(Upgrades!$U$18,J199),1)*IF(Upgrades!$T$19="Stellar Kinematics",POWER(Upgrades!$U$19,K199),1)*IF(Upgrades!$T$20="Stellar Kinematics",POWER(Upgrades!$U$20,L199),1)*IF(Upgrades!$T$21="Stellar Kinematics",POWER(Upgrades!$U$21,M199),1))+(IF(F199=0,0,(Upgrades!$M$14+F199*Upgrades!$N$14)*POWER(Upgrades!$O$14,F199)))*(IF(Upgrades!$T$13="Local Bubble",POWER(Upgrades!$U$13,E199),1)*IF(Upgrades!$T$15="Local Bubble",POWER(Upgrades!$U$15,G199),1)*IF(Upgrades!$T$16="Local Bubble",POWER(Upgrades!$U$16,H199),1)*IF(Upgrades!$T$17="Local Bubble",POWER(Upgrades!$U$17,I199),1)*IF(Upgrades!$T$18="Local Bubble",POWER(Upgrades!$U$18,J199),1)*IF(Upgrades!$T$19="Local Bubble",POWER(Upgrades!$U$19,K199),1)*IF(Upgrades!$T$20="Local Bubble",POWER(Upgrades!$U$20,L199),1)*IF(Upgrades!$T$21="Local Bubble",POWER(Upgrades!$U$21,M199),1))+(IF(G199=0,0,(Upgrades!$M$15+G199*Upgrades!$N$15)*POWER(Upgrades!$O$15,G199)))*(IF(Upgrades!$T$13="Microlensing",POWER(Upgrades!$U$13,E199),1)*IF(Upgrades!$T$14="Microlensing",POWER(Upgrades!$U$14,F199),1)*IF(Upgrades!$T$16="Microlensing",POWER(Upgrades!$U$16,H199),1)*IF(Upgrades!$T$17="Microlensing",POWER(Upgrades!$U$17,I199),1)*IF(Upgrades!$T$18="Microlensing",POWER(Upgrades!$U$18,J199),1)*IF(Upgrades!$T$19="Microlensing",POWER(Upgrades!$U$19,K199),1)*IF(Upgrades!$T$20="Microlensing",POWER(Upgrades!$U$20,L199),1)*IF(Upgrades!$T$21="Microlensing",POWER(Upgrades!$U$21,M199),1))+(IF(H199=0,0,(Upgrades!$M$16+H199*Upgrades!$N$16)*POWER(Upgrades!$O$16,H199)))*(IF(Upgrades!$T$13="Roche Lobe Overflow",POWER(Upgrades!$U$13,E199),1)*IF(Upgrades!$T$14="Roche Lobe Overflow",POWER(Upgrades!$U$14,F199),1)*IF(Upgrades!$T$15="Roche Lobe Overflow",POWER(Upgrades!$U$15,G199),1)*IF(Upgrades!$T$17="Roche Lobe Overflow",POWER(Upgrades!$U$17,I199),1)*IF(Upgrades!$T$18="Roche Lobe Overflow",POWER(Upgrades!$U$18,J199),1)*IF(Upgrades!$T$19="Roche Lobe Overflow",POWER(Upgrades!$U$19,K199),1)*IF(Upgrades!$T$20="Roche Lobe Overflow",POWER(Upgrades!$U$20,L199),1)*IF(Upgrades!$T$21="Roche Lobe Overflow",POWER(Upgrades!$U$21,M199),1))+(IF(I199=0,0,(Upgrades!$M$17+I199*Upgrades!$N$17)*POWER(Upgrades!$O$17,I199)))*(IF(Upgrades!$T$13="Brown Dwarf",POWER(Upgrades!$U$13,E199),1)*IF(Upgrades!$T$14="Brown Dwarf",POWER(Upgrades!$U$14,F199),1)*IF(Upgrades!$T$15="Brown Dwarf",POWER(Upgrades!$U$15,G199),1)*IF(Upgrades!$T$16="Brown Dwarf",POWER(Upgrades!$U$16,H199),1)*IF(Upgrades!$T$18="Brown Dwarf",POWER(Upgrades!$U$18,J199),1)*IF(Upgrades!$T$19="Brown Dwarf",POWER(Upgrades!$U$19,K199),1)*IF(Upgrades!$T$20="Brown Dwarf",POWER(Upgrades!$U$20,L199),1)*IF(Upgrades!$T$21="Brown Dwarf",POWER(Upgrades!$U$21,M199),1))+(IF(J199=0,0,(Upgrades!$M$18+J199*Upgrades!$N$18)*POWER(Upgrades!$O$18,J199)))*(IF(Upgrades!$T$13="Binary Partner",POWER(Upgrades!$U$13,E199),1)*IF(Upgrades!$T$14="Binary Partner",POWER(Upgrades!$U$14,F199),1)*IF(Upgrades!$T$15="Binary Partner",POWER(Upgrades!$U$15,G199),1)*IF(Upgrades!$T$16="Binary Partner",POWER(Upgrades!$U$16,H199),1)*IF(Upgrades!$T$17="Binary Partner",POWER(Upgrades!$U$17,I199),1)*IF(Upgrades!$T$19="Binary Partner",POWER(Upgrades!$U$19,K199),1)*IF(Upgrades!$T$20="Binary Partner",POWER(Upgrades!$U$20,L199),1)*IF(Upgrades!$T$21="Binary Partner",POWER(Upgrades!$U$21,M199),1))+(IF(K199=0,0,(Upgrades!$M$19+K199*Upgrades!$N$19)*POWER(Upgrades!$O$19,K199)))*(IF(Upgrades!$T$13="Peculiar Velocity",POWER(Upgrades!$U$13,E199),1)*IF(Upgrades!$T$14="Peculiar Velocity",POWER(Upgrades!$U$14,F199),1)*IF(Upgrades!$T$15="Peculiar Velocity",POWER(Upgrades!$U$15,G199),1)*IF(Upgrades!$T$16="Peculiar Velocity",POWER(Upgrades!$U$16,H199),1)*IF(Upgrades!$T$17="Peculiar Velocity",POWER(Upgrades!$U$17,I199),1)*IF(Upgrades!$T$18="Peculiar Velocity",POWER(Upgrades!$U$18,J199),1)*IF(Upgrades!$T$20="Peculiar Velocity",POWER(Upgrades!$U$20,L199),1)*IF(Upgrades!$T$21="Peculiar Velocity",POWER(Upgrades!$U$21,M199),1))+(IF(L199=0,0,(Upgrades!$M$20+L199*Upgrades!$N$20)*POWER(Upgrades!$O$20,L199)))*(IF(Upgrades!$T$13="Open Cluster",POWER(Upgrades!$U$13,E199),1)*IF(Upgrades!$T$14="Open Cluster",POWER(Upgrades!$U$14,F199),1)*IF(Upgrades!$T$15="Open Cluster",POWER(Upgrades!$U$15,G199),1)*IF(Upgrades!$T$16="Open Cluster",POWER(Upgrades!$U$16,H199),1)*IF(Upgrades!$T$17="Open Cluster",POWER(Upgrades!$U$17,I199),1)*IF(Upgrades!$T$18="Open Cluster",POWER(Upgrades!$U$18,J199),1)*IF(Upgrades!$T$19="Open Cluster",POWER(Upgrades!$U$19,K199),1)*IF(Upgrades!$T$21="Open Cluster",POWER(Upgrades!$U$21,M199),1))+(IF(M199=0,0,(Upgrades!$M$21+M199*Upgrades!$N$21)*POWER(Upgrades!$O$21,M199)))*(IF(Upgrades!$T$13="Moving Group",POWER(Upgrades!$U$13,E199),1)*IF(Upgrades!$T$14="Moving Group",POWER(Upgrades!$U$14,F199),1)*IF(Upgrades!$T$15="Moving Group",POWER(Upgrades!$U$15,G199),1)*IF(Upgrades!$T$16="Moving Group",POWER(Upgrades!$U$16,H199),1)*IF(Upgrades!$T$17="Moving Group",POWER(Upgrades!$U$17,I199),1)*IF(Upgrades!$T$18="Moving Group",POWER(Upgrades!$U$18,J199),1)*IF(Upgrades!$T$19="Moving Group",POWER(Upgrades!$U$19,K199),1)*IF(Upgrades!$T$20="Moving Group",POWER(Upgrades!$U$20,L199),1)))*POWER(Upgrades!$R$13,E199)*POWER(Upgrades!$R$14,F199)*POWER(Upgrades!$R$15,G199)*POWER(Upgrades!$R$16,H199)*POWER(Upgrades!$R$17,I199)*POWER(Upgrades!$R$18,J199)*POWER(Upgrades!$R$19,K199)*POWER(Upgrades!$R$20,L199)*POWER(Upgrades!$R$21,M199)*$H$6+$E$6</f>
        <v/>
      </c>
      <c r="R199" s="27">
        <f>IF(N199=1,0,O199*Parameters!$B$10/60*Parameters!$B$11*10)</f>
        <v/>
      </c>
      <c r="S199" s="27">
        <f>IF(N199=1,0,Q199*O199*10)</f>
        <v/>
      </c>
      <c r="T199" s="27">
        <f>IF(N199=1,0,R199+S199+P199*10)</f>
        <v/>
      </c>
      <c r="U199" s="33">
        <f>BE199</f>
        <v/>
      </c>
      <c r="V199" s="22">
        <f>IF(U199="",0,IF(U199="transition",0,IF(U199="SK",AK199,IF(U199="LB",AL199,IF(U199="ML",AM199,IF(U199="RLO",AN199,IF(U199="BD",AO199,IF(U199="BiP",AP199,IF(U199="PV",AQ199,IF(U199="OC",AR199,IF(U199="MG",AS199,0))))))))))</f>
        <v/>
      </c>
      <c r="W199" s="27">
        <f>IF(U199="BiP",Upgrades!$F$18,IF(U199="PV",Upgrades!$F$19,IF(U199="OC",Upgrades!$F$20,IF(U199="MG",Upgrades!$F$21,IF(U199="transition",-Parameters!$B$18*Parameters!$B$19,0)))))</f>
        <v/>
      </c>
      <c r="X199" s="22">
        <f>C199+T199-V199</f>
        <v/>
      </c>
      <c r="Y199" s="30">
        <f>O199*Parameters!$B$10/60*Parameters!$B$11+Q199*O199+P199</f>
        <v/>
      </c>
      <c r="Z199" s="34">
        <f>IF(U199="transition","→ Tier 3 (Galactic Arm)",IF(U199="MG","Moving Group — pocket drifts together",IF(U199="OC","Open Cluster acquired",IF(U199="PV","Peculiar Velocity — passive multiplier active",IF(U199="BiP","Binary Partner — pair bond formed",IF(AND(AU199=1,N199=0,AT199&lt;&gt;1),"Cohesion ready (waiting on completionists)","")))))) </f>
        <v/>
      </c>
      <c r="AA199" s="27">
        <f>(IF(E199=0,0,(Upgrades!$G$13+E199*Upgrades!$H$13)*POWER(Upgrades!$I$13,E199)))*(IF(Upgrades!$T$14="Stellar Kinematics",POWER(Upgrades!$U$14,F199),1)*IF(Upgrades!$T$15="Stellar Kinematics",POWER(Upgrades!$U$15,G199),1)*IF(Upgrades!$T$16="Stellar Kinematics",POWER(Upgrades!$U$16,H199),1)*IF(Upgrades!$T$17="Stellar Kinematics",POWER(Upgrades!$U$17,I199),1)*IF(Upgrades!$T$18="Stellar Kinematics",POWER(Upgrades!$U$18,J199),1)*IF(Upgrades!$T$19="Stellar Kinematics",POWER(Upgrades!$U$19,K199),1)*IF(Upgrades!$T$20="Stellar Kinematics",POWER(Upgrades!$U$20,L199),1)*IF(Upgrades!$T$21="Stellar Kinematics",POWER(Upgrades!$U$21,M199),1))*POWER(Upgrades!$P$13,E199)*POWER(Upgrades!$P$14,F199)*POWER(Upgrades!$P$15,G199)*POWER(Upgrades!$P$16,H199)*POWER(Upgrades!$P$17,I199)*POWER(Upgrades!$P$18,J199)*POWER(Upgrades!$P$19,K199)*POWER(Upgrades!$P$20,L199)*POWER(Upgrades!$P$21,M199)*$F$6*60</f>
        <v/>
      </c>
      <c r="AB199" s="27">
        <f>(IF(F199=0,0,(Upgrades!$G$14+F199*Upgrades!$H$14)*POWER(Upgrades!$I$14,F199)))*(IF(Upgrades!$T$13="Local Bubble",POWER(Upgrades!$U$13,E199),1)*IF(Upgrades!$T$15="Local Bubble",POWER(Upgrades!$U$15,G199),1)*IF(Upgrades!$T$16="Local Bubble",POWER(Upgrades!$U$16,H199),1)*IF(Upgrades!$T$17="Local Bubble",POWER(Upgrades!$U$17,I199),1)*IF(Upgrades!$T$18="Local Bubble",POWER(Upgrades!$U$18,J199),1)*IF(Upgrades!$T$19="Local Bubble",POWER(Upgrades!$U$19,K199),1)*IF(Upgrades!$T$20="Local Bubble",POWER(Upgrades!$U$20,L199),1)*IF(Upgrades!$T$21="Local Bubble",POWER(Upgrades!$U$21,M199),1))*POWER(Upgrades!$P$13,E199)*POWER(Upgrades!$P$14,F199)*POWER(Upgrades!$P$15,G199)*POWER(Upgrades!$P$16,H199)*POWER(Upgrades!$P$17,I199)*POWER(Upgrades!$P$18,J199)*POWER(Upgrades!$P$19,K199)*POWER(Upgrades!$P$20,L199)*POWER(Upgrades!$P$21,M199)*$F$6*60</f>
        <v/>
      </c>
      <c r="AC199" s="27">
        <f>(IF(G199=0,0,(Upgrades!$J$15+G199*Upgrades!$K$15)*POWER(Upgrades!$L$15,G199)))*(IF(Upgrades!$T$13="Microlensing",POWER(Upgrades!$U$13,E199),1)*IF(Upgrades!$T$14="Microlensing",POWER(Upgrades!$U$14,F199),1)*IF(Upgrades!$T$16="Microlensing",POWER(Upgrades!$U$16,H199),1)*IF(Upgrades!$T$17="Microlensing",POWER(Upgrades!$U$17,I199),1)*IF(Upgrades!$T$18="Microlensing",POWER(Upgrades!$U$18,J199),1)*IF(Upgrades!$T$19="Microlensing",POWER(Upgrades!$U$19,K199),1)*IF(Upgrades!$T$20="Microlensing",POWER(Upgrades!$U$20,L199),1)*IF(Upgrades!$T$21="Microlensing",POWER(Upgrades!$U$21,M199),1))*POWER(Upgrades!$Q$13,E199)*POWER(Upgrades!$Q$14,F199)*POWER(Upgrades!$Q$15,G199)*POWER(Upgrades!$Q$16,H199)*POWER(Upgrades!$Q$17,I199)*POWER(Upgrades!$Q$18,J199)*POWER(Upgrades!$Q$19,K199)*POWER(Upgrades!$Q$20,L199)*POWER(Upgrades!$Q$21,M199)*$G$6*(Parameters!$B$10*Parameters!$B$11+Q199*60)</f>
        <v/>
      </c>
      <c r="AD199" s="27">
        <f>(IF(H199=0,0,(Upgrades!$M$16+H199*Upgrades!$N$16)*POWER(Upgrades!$O$16,H199)))*(IF(Upgrades!$T$13="Roche Lobe Overflow",POWER(Upgrades!$U$13,E199),1)*IF(Upgrades!$T$14="Roche Lobe Overflow",POWER(Upgrades!$U$14,F199),1)*IF(Upgrades!$T$15="Roche Lobe Overflow",POWER(Upgrades!$U$15,G199),1)*IF(Upgrades!$T$17="Roche Lobe Overflow",POWER(Upgrades!$U$17,I199),1)*IF(Upgrades!$T$18="Roche Lobe Overflow",POWER(Upgrades!$U$18,J199),1)*IF(Upgrades!$T$19="Roche Lobe Overflow",POWER(Upgrades!$U$19,K199),1)*IF(Upgrades!$T$20="Roche Lobe Overflow",POWER(Upgrades!$U$20,L199),1)*IF(Upgrades!$T$21="Roche Lobe Overflow",POWER(Upgrades!$U$21,M199),1))*POWER(Upgrades!$R$13,E199)*POWER(Upgrades!$R$14,F199)*POWER(Upgrades!$R$15,G199)*POWER(Upgrades!$R$16,H199)*POWER(Upgrades!$R$17,I199)*POWER(Upgrades!$R$18,J199)*POWER(Upgrades!$R$19,K199)*POWER(Upgrades!$R$20,L199)*POWER(Upgrades!$R$21,M199)*$H$6*O199*60</f>
        <v/>
      </c>
      <c r="AE199" s="27">
        <f>(IF(I199=0,0,(Upgrades!$G$17+I199*Upgrades!$H$17)*POWER(Upgrades!$I$17,I199)))*(IF(Upgrades!$T$13="Brown Dwarf",POWER(Upgrades!$U$13,E199),1)*IF(Upgrades!$T$14="Brown Dwarf",POWER(Upgrades!$U$14,F199),1)*IF(Upgrades!$T$15="Brown Dwarf",POWER(Upgrades!$U$15,G199),1)*IF(Upgrades!$T$16="Brown Dwarf",POWER(Upgrades!$U$16,H199),1)*IF(Upgrades!$T$18="Brown Dwarf",POWER(Upgrades!$U$18,J199),1)*IF(Upgrades!$T$19="Brown Dwarf",POWER(Upgrades!$U$19,K199),1)*IF(Upgrades!$T$20="Brown Dwarf",POWER(Upgrades!$U$20,L199),1)*IF(Upgrades!$T$21="Brown Dwarf",POWER(Upgrades!$U$21,M199),1))*POWER(Upgrades!$P$13,E199)*POWER(Upgrades!$P$14,F199)*POWER(Upgrades!$P$15,G199)*POWER(Upgrades!$P$16,H199)*POWER(Upgrades!$P$17,I199)*POWER(Upgrades!$P$18,J199)*POWER(Upgrades!$P$19,K199)*POWER(Upgrades!$P$20,L199)*POWER(Upgrades!$P$21,M199)*$F$6*60</f>
        <v/>
      </c>
      <c r="AF199" s="27" t="n">
        <v>0</v>
      </c>
      <c r="AG199" s="27" t="n">
        <v>0</v>
      </c>
      <c r="AH199" s="27" t="n">
        <v>0</v>
      </c>
      <c r="AI199" s="27">
        <f>(IF(M199=0,0,(Upgrades!$G$21+M199*Upgrades!$H$21)*POWER(Upgrades!$I$21,M199)))*(IF(Upgrades!$T$13="Moving Group",POWER(Upgrades!$U$13,E199),1)*IF(Upgrades!$T$14="Moving Group",POWER(Upgrades!$U$14,F199),1)*IF(Upgrades!$T$15="Moving Group",POWER(Upgrades!$U$15,G199),1)*IF(Upgrades!$T$16="Moving Group",POWER(Upgrades!$U$16,H199),1)*IF(Upgrades!$T$17="Moving Group",POWER(Upgrades!$U$17,I199),1)*IF(Upgrades!$T$18="Moving Group",POWER(Upgrades!$U$18,J199),1)*IF(Upgrades!$T$19="Moving Group",POWER(Upgrades!$U$19,K199),1)*IF(Upgrades!$T$20="Moving Group",POWER(Upgrades!$U$20,L199),1))*POWER(Upgrades!$P$13,E199)*POWER(Upgrades!$P$14,F199)*POWER(Upgrades!$P$15,G199)*POWER(Upgrades!$P$16,H199)*POWER(Upgrades!$P$17,I199)*POWER(Upgrades!$P$18,J199)*POWER(Upgrades!$P$19,K199)*POWER(Upgrades!$P$20,L199)*POWER(Upgrades!$P$21,M199)*$F$6*60</f>
        <v/>
      </c>
      <c r="AJ199" s="27">
        <f>$C$6*60</f>
        <v/>
      </c>
      <c r="AK199" s="22">
        <f>IF(E199&gt;=Upgrades!$E$13,"",Upgrades!$C$13*POWER(Upgrades!$D$13,E199))</f>
        <v/>
      </c>
      <c r="AL199" s="22">
        <f>IF(F199&gt;=Upgrades!$E$14,"",Upgrades!$C$14*POWER(Upgrades!$D$14,F199))</f>
        <v/>
      </c>
      <c r="AM199" s="22">
        <f>IF(G199&gt;=Upgrades!$E$15,"",Upgrades!$C$15*POWER(Upgrades!$D$15,G199))</f>
        <v/>
      </c>
      <c r="AN199" s="22">
        <f>IF(H199&gt;=Upgrades!$E$16,"",Upgrades!$C$16*POWER(Upgrades!$D$16,H199))</f>
        <v/>
      </c>
      <c r="AO199" s="22">
        <f>IF(I199&gt;=Upgrades!$E$17,"",Upgrades!$C$17*POWER(Upgrades!$D$17,I199))</f>
        <v/>
      </c>
      <c r="AP199" s="22">
        <f>IF(J199&gt;=Upgrades!$E$18,"",Upgrades!$C$18*POWER(Upgrades!$D$18,J199))</f>
        <v/>
      </c>
      <c r="AQ199" s="22">
        <f>IF(K199&gt;=Upgrades!$E$19,"",Upgrades!$C$19*POWER(Upgrades!$D$19,K199))</f>
        <v/>
      </c>
      <c r="AR199" s="22">
        <f>IF(L199&gt;=Upgrades!$E$20,"",Upgrades!$C$20*POWER(Upgrades!$D$20,L199))</f>
        <v/>
      </c>
      <c r="AS199" s="22">
        <f>IF(M199&gt;=Upgrades!$E$21,"",Upgrades!$C$21*POWER(Upgrades!$D$21,M199))</f>
        <v/>
      </c>
      <c r="AT199" s="26">
        <f>IF(AND(D199&gt;=Parameters!$B$18*Parameters!$B$19,(I199&gt;=Upgrades!$E$17)*(M199&gt;=Upgrades!$E$21)=1,N199=0),1,"")</f>
        <v/>
      </c>
      <c r="AU199" s="26">
        <f>IF(AND(D199&gt;=Parameters!$B$18*Parameters!$B$19,N199=0),1,"")</f>
        <v/>
      </c>
      <c r="AV199" s="22">
        <f>MIN(IF(ISNUMBER(AP199),AP199,9E15),IF(ISNUMBER(AQ199),AQ199,9E15),IF(ISNUMBER(AR199),AR199,9E15),IF(ISNUMBER(AS199),AS199,9E15))</f>
        <v/>
      </c>
      <c r="AW199" s="22">
        <f>MIN(IF(ISNUMBER(AK199),AK199,9E15),IF(ISNUMBER(AL199),AL199,9E15),IF(ISNUMBER(AM199),AM199,9E15),IF(ISNUMBER(AN199),AN199,9E15),IF(ISNUMBER(AO199),AO199,9E15))</f>
        <v/>
      </c>
      <c r="AX199" s="29">
        <f>IF(BD199&gt;Parameters!$B$21*(MAX(IF(AND(NOT(AND(AU199=1,AT199&lt;&gt;1)),ISNUMBER(AK199),AK199&lt;=(C199+T199)),AY199,0),IF(AND(NOT(AND(AU199=1,AT199&lt;&gt;1)),ISNUMBER(AL199),AL199&lt;=(C199+T199)),AZ199,0),IF(AND(NOT(AND(AU199=1,AT199&lt;&gt;1)),ISNUMBER(AM199),AM199&lt;=(C199+T199)),BA199,0),IF(AND(NOT(AND(AU199=1,AT199&lt;&gt;1)),ISNUMBER(AN199),AN199&lt;=(C199+T199)),BB199,0),IF(AND(ISNUMBER(AO199),AO199&lt;=(C199+T199)),BC199,0))),TRUE,FALSE)</f>
        <v/>
      </c>
      <c r="AY199" s="32">
        <f>IFERROR(Upgrades!$H$13*(POWER(Upgrades!$P$13,E199)*POWER(Upgrades!$P$14,F199)*POWER(Upgrades!$P$15,G199)*POWER(Upgrades!$P$16,H199)*POWER(Upgrades!$P$17,I199)*POWER(Upgrades!$P$18,J199)*POWER(Upgrades!$P$19,K199)*POWER(Upgrades!$P$20,L199)*POWER(Upgrades!$P$21,M199))*(IF(Upgrades!$T$14="Stellar Kinematics",POWER(Upgrades!$U$14,F199),1)*IF(Upgrades!$T$15="Stellar Kinematics",POWER(Upgrades!$U$15,G199),1)*IF(Upgrades!$T$16="Stellar Kinematics",POWER(Upgrades!$U$16,H199),1)*IF(Upgrades!$T$17="Stellar Kinematics",POWER(Upgrades!$U$17,I199),1)*IF(Upgrades!$T$18="Stellar Kinematics",POWER(Upgrades!$U$18,J199),1)*IF(Upgrades!$T$19="Stellar Kinematics",POWER(Upgrades!$U$19,K199),1)*IF(Upgrades!$T$20="Stellar Kinematics",POWER(Upgrades!$U$20,L199),1)*IF(Upgrades!$T$21="Stellar Kinematics",POWER(Upgrades!$U$21,M199),1))*$F$6/AK199,0)</f>
        <v/>
      </c>
      <c r="AZ199" s="32">
        <f>IFERROR(Upgrades!$H$14*(POWER(Upgrades!$P$13,E199)*POWER(Upgrades!$P$14,F199)*POWER(Upgrades!$P$15,G199)*POWER(Upgrades!$P$16,H199)*POWER(Upgrades!$P$17,I199)*POWER(Upgrades!$P$18,J199)*POWER(Upgrades!$P$19,K199)*POWER(Upgrades!$P$20,L199)*POWER(Upgrades!$P$21,M199))*(IF(Upgrades!$T$13="Local Bubble",POWER(Upgrades!$U$13,E199),1)*IF(Upgrades!$T$15="Local Bubble",POWER(Upgrades!$U$15,G199),1)*IF(Upgrades!$T$16="Local Bubble",POWER(Upgrades!$U$16,H199),1)*IF(Upgrades!$T$17="Local Bubble",POWER(Upgrades!$U$17,I199),1)*IF(Upgrades!$T$18="Local Bubble",POWER(Upgrades!$U$18,J199),1)*IF(Upgrades!$T$19="Local Bubble",POWER(Upgrades!$U$19,K199),1)*IF(Upgrades!$T$20="Local Bubble",POWER(Upgrades!$U$20,L199),1)*IF(Upgrades!$T$21="Local Bubble",POWER(Upgrades!$U$21,M199),1))*$F$6/AL199,0)</f>
        <v/>
      </c>
      <c r="BA199" s="32">
        <f>IFERROR(Upgrades!$K$15*(POWER(Upgrades!$Q$13,E199)*POWER(Upgrades!$Q$14,F199)*POWER(Upgrades!$Q$15,G199)*POWER(Upgrades!$Q$16,H199)*POWER(Upgrades!$Q$17,I199)*POWER(Upgrades!$Q$18,J199)*POWER(Upgrades!$Q$19,K199)*POWER(Upgrades!$Q$20,L199)*POWER(Upgrades!$Q$21,M199))*(IF(Upgrades!$T$13="Microlensing",POWER(Upgrades!$U$13,E199),1)*IF(Upgrades!$T$14="Microlensing",POWER(Upgrades!$U$14,F199),1)*IF(Upgrades!$T$16="Microlensing",POWER(Upgrades!$U$16,H199),1)*IF(Upgrades!$T$17="Microlensing",POWER(Upgrades!$U$17,I199),1)*IF(Upgrades!$T$18="Microlensing",POWER(Upgrades!$U$18,J199),1)*IF(Upgrades!$T$19="Microlensing",POWER(Upgrades!$U$19,K199),1)*IF(Upgrades!$T$20="Microlensing",POWER(Upgrades!$U$20,L199),1)*IF(Upgrades!$T$21="Microlensing",POWER(Upgrades!$U$21,M199),1))*$G$6*(Parameters!$B$10/60*Parameters!$B$11+Q199)/AM199,0)</f>
        <v/>
      </c>
      <c r="BB199" s="32">
        <f>IFERROR((Upgrades!$N$16*(POWER(Upgrades!$R$13,E199)*POWER(Upgrades!$R$14,F199)*POWER(Upgrades!$R$15,G199)*POWER(Upgrades!$R$16,H199)*POWER(Upgrades!$R$17,I199)*POWER(Upgrades!$R$18,J199)*POWER(Upgrades!$R$19,K199)*POWER(Upgrades!$R$20,L199)*POWER(Upgrades!$R$21,M199))*(IF(Upgrades!$T$13="Roche Lobe Overflow",POWER(Upgrades!$U$13,E199),1)*IF(Upgrades!$T$14="Roche Lobe Overflow",POWER(Upgrades!$U$14,F199),1)*IF(Upgrades!$T$15="Roche Lobe Overflow",POWER(Upgrades!$U$15,G199),1)*IF(Upgrades!$T$17="Roche Lobe Overflow",POWER(Upgrades!$U$17,I199),1)*IF(Upgrades!$T$18="Roche Lobe Overflow",POWER(Upgrades!$U$18,J199),1)*IF(Upgrades!$T$19="Roche Lobe Overflow",POWER(Upgrades!$U$19,K199),1)*IF(Upgrades!$T$20="Roche Lobe Overflow",POWER(Upgrades!$U$20,L199),1)*IF(Upgrades!$T$21="Roche Lobe Overflow",POWER(Upgrades!$U$21,M199),1))*$H$6*O199+((IF(F199=0,0,(Upgrades!$G$14+F199*Upgrades!$H$14)*POWER(Upgrades!$I$14,F199)))*(IF(Upgrades!$T$13="Local Bubble",POWER(Upgrades!$U$13,E199),1)*IF(Upgrades!$T$15="Local Bubble",POWER(Upgrades!$U$15,G199),1)*IF(Upgrades!$T$16="Local Bubble",POWER(Upgrades!$U$16,H199),1)*IF(Upgrades!$T$17="Local Bubble",POWER(Upgrades!$U$17,I199),1)*IF(Upgrades!$T$18="Local Bubble",POWER(Upgrades!$U$18,J199),1)*IF(Upgrades!$T$19="Local Bubble",POWER(Upgrades!$U$19,K199),1)*IF(Upgrades!$T$20="Local Bubble",POWER(Upgrades!$U$20,L199),1)*IF(Upgrades!$T$21="Local Bubble",POWER(Upgrades!$U$21,M199),1))*POWER(Upgrades!$P$13,E199)*POWER(Upgrades!$P$14,F199)*POWER(Upgrades!$P$15,G199)*POWER(Upgrades!$P$16,H199)*POWER(Upgrades!$P$17,I199)*POWER(Upgrades!$P$18,J199)*POWER(Upgrades!$P$19,K199)*POWER(Upgrades!$P$20,L199)*POWER(Upgrades!$P$21,M199)*$F$6)*0.05)/AN199,0)</f>
        <v/>
      </c>
      <c r="BC199" s="32">
        <f>IFERROR((Upgrades!$H$17*(POWER(Upgrades!$P$13,E199)*POWER(Upgrades!$P$14,F199)*POWER(Upgrades!$P$15,G199)*POWER(Upgrades!$P$16,H199)*POWER(Upgrades!$P$17,I199)*POWER(Upgrades!$P$18,J199)*POWER(Upgrades!$P$19,K199)*POWER(Upgrades!$P$20,L199)*POWER(Upgrades!$P$21,M199))*(IF(Upgrades!$T$13="Brown Dwarf",POWER(Upgrades!$U$13,E199),1)*IF(Upgrades!$T$14="Brown Dwarf",POWER(Upgrades!$U$14,F199),1)*IF(Upgrades!$T$15="Brown Dwarf",POWER(Upgrades!$U$15,G199),1)*IF(Upgrades!$T$16="Brown Dwarf",POWER(Upgrades!$U$16,H199),1)*IF(Upgrades!$T$18="Brown Dwarf",POWER(Upgrades!$U$18,J199),1)*IF(Upgrades!$T$19="Brown Dwarf",POWER(Upgrades!$U$19,K199),1)*IF(Upgrades!$T$20="Brown Dwarf",POWER(Upgrades!$U$20,L199),1)*IF(Upgrades!$T$21="Brown Dwarf",POWER(Upgrades!$U$21,M199),1))*$F$6+(((IF(H199=0,0,(Upgrades!$M$16+H199*Upgrades!$N$16)*POWER(Upgrades!$O$16,H199)))*(IF(Upgrades!$T$13="Roche Lobe Overflow",POWER(Upgrades!$U$13,E199),1)*IF(Upgrades!$T$14="Roche Lobe Overflow",POWER(Upgrades!$U$14,F199),1)*IF(Upgrades!$T$15="Roche Lobe Overflow",POWER(Upgrades!$U$15,G199),1)*IF(Upgrades!$T$17="Roche Lobe Overflow",POWER(Upgrades!$U$17,I199),1)*IF(Upgrades!$T$18="Roche Lobe Overflow",POWER(Upgrades!$U$18,J199),1)*IF(Upgrades!$T$19="Roche Lobe Overflow",POWER(Upgrades!$U$19,K199),1)*IF(Upgrades!$T$20="Roche Lobe Overflow",POWER(Upgrades!$U$20,L199),1)*IF(Upgrades!$T$21="Roche Lobe Overflow",POWER(Upgrades!$U$21,M199),1))*POWER(Upgrades!$R$13,E199)*POWER(Upgrades!$R$14,F199)*POWER(Upgrades!$R$15,G199)*POWER(Upgrades!$R$16,H199)*POWER(Upgrades!$R$17,I199)*POWER(Upgrades!$R$18,J199)*POWER(Upgrades!$R$19,K199)*POWER(Upgrades!$R$20,L199)*POWER(Upgrades!$R$21,M199)*$H$6)*O199)*0.10)/AO199,0)</f>
        <v/>
      </c>
      <c r="BD199" s="32">
        <f>MAX(IF(J199&gt;0,0,IFERROR(0.5*((IF(G199=0,0,(Upgrades!$J$15+G199*Upgrades!$K$15)*POWER(Upgrades!$L$15,G199)))*(IF(Upgrades!$T$13="Microlensing",POWER(Upgrades!$U$13,E199),1)*IF(Upgrades!$T$14="Microlensing",POWER(Upgrades!$U$14,F199),1)*IF(Upgrades!$T$16="Microlensing",POWER(Upgrades!$U$16,H199),1)*IF(Upgrades!$T$17="Microlensing",POWER(Upgrades!$U$17,I199),1)*IF(Upgrades!$T$18="Microlensing",POWER(Upgrades!$U$18,J199),1)*IF(Upgrades!$T$19="Microlensing",POWER(Upgrades!$U$19,K199),1)*IF(Upgrades!$T$20="Microlensing",POWER(Upgrades!$U$20,L199),1)*IF(Upgrades!$T$21="Microlensing",POWER(Upgrades!$U$21,M199),1))*(POWER(Upgrades!$Q$13,E199)*POWER(Upgrades!$Q$14,F199)*POWER(Upgrades!$Q$15,G199)*POWER(Upgrades!$Q$16,H199)*POWER(Upgrades!$Q$17,I199)*POWER(Upgrades!$Q$18,J199)*POWER(Upgrades!$Q$19,K199)*POWER(Upgrades!$Q$20,L199)*POWER(Upgrades!$Q$21,M199))*$G$6*(Parameters!$B$10/60*Parameters!$B$11+Q199))/Upgrades!$C$18,0)),IF(K199&gt;0,0,IFERROR(0.30*P199/Upgrades!$C$19,0)),IF(L199&gt;0,0,IFERROR(0.0001/Upgrades!$C$20,0)),IF(M199&gt;0,0,IFERROR((6.0*(POWER(Upgrades!$P$13,E199)*POWER(Upgrades!$P$14,F199)*POWER(Upgrades!$P$15,G199)*POWER(Upgrades!$P$16,H199)*POWER(Upgrades!$P$17,I199)*POWER(Upgrades!$P$18,J199)*POWER(Upgrades!$P$19,K199)*POWER(Upgrades!$P$20,L199)*POWER(Upgrades!$P$21,M199))*$F$6+0.20*O199*(Parameters!$B$10/60*Parameters!$B$11+Q199))/Upgrades!$C$21,0)),IF(AND(ISNUMBER(AK199),AK199&gt;(C199+T199)),AY199,0),IF(AND(ISNUMBER(AL199),AL199&gt;(C199+T199)),AZ199,0),IF(AND(ISNUMBER(AM199),AM199&gt;(C199+T199)),BA199,0),IF(AND(ISNUMBER(AN199),AN199&gt;(C199+T199)),BB199,0),IF(AND(ISNUMBER(AO199),AO199&gt;(C199+T199)),BC199,0))</f>
        <v/>
      </c>
      <c r="BE199" s="29">
        <f>IF(AT199=1,"transition",IF(MIN(IF(AND(J199=0,ISNUMBER(AP199),AP199&lt;=(C199+T199)),AP199,9E15),IF(AND(K199=0,ISNUMBER(AQ199),AQ199&lt;=(C199+T199)),AQ199,9E15),IF(AND(L199=0,ISNUMBER(AR199),AR199&lt;=(C199+T199)),AR199,9E15),IF(AND(M199=0,ISNUMBER(AS199),AS199&lt;=(C199+T199)),AS199,9E15))&lt;9E15,IF(AND(AND(J199=0,ISNUMBER(AP199),AP199&lt;=(C199+T199)),AP199=MIN(IF(AND(J199=0,ISNUMBER(AP199),AP199&lt;=(C199+T199)),AP199,9E15),IF(AND(K199=0,ISNUMBER(AQ199),AQ199&lt;=(C199+T199)),AQ199,9E15),IF(AND(L199=0,ISNUMBER(AR199),AR199&lt;=(C199+T199)),AR199,9E15),IF(AND(M199=0,ISNUMBER(AS199),AS199&lt;=(C199+T199)),AS199,9E15))),"BiP",IF(AND(AND(K199=0,ISNUMBER(AQ199),AQ199&lt;=(C199+T199)),AQ199=MIN(IF(AND(J199=0,ISNUMBER(AP199),AP199&lt;=(C199+T199)),AP199,9E15),IF(AND(K199=0,ISNUMBER(AQ199),AQ199&lt;=(C199+T199)),AQ199,9E15),IF(AND(L199=0,ISNUMBER(AR199),AR199&lt;=(C199+T199)),AR199,9E15),IF(AND(M199=0,ISNUMBER(AS199),AS199&lt;=(C199+T199)),AS199,9E15))),"PV",IF(AND(AND(L199=0,ISNUMBER(AR199),AR199&lt;=(C199+T199)),AR199=MIN(IF(AND(J199=0,ISNUMBER(AP199),AP199&lt;=(C199+T199)),AP199,9E15),IF(AND(K199=0,ISNUMBER(AQ199),AQ199&lt;=(C199+T199)),AQ199,9E15),IF(AND(L199=0,ISNUMBER(AR199),AR199&lt;=(C199+T199)),AR199,9E15),IF(AND(M199=0,ISNUMBER(AS199),AS199&lt;=(C199+T199)),AS199,9E15))),"OC","MG"))),IF(AX199=TRUE,"",IF(MAX(IF(AND(NOT(AND(AU199=1,AT199&lt;&gt;1)),ISNUMBER(AK199),AK199&lt;=(C199+T199)),AY199,0),IF(AND(NOT(AND(AU199=1,AT199&lt;&gt;1)),ISNUMBER(AL199),AL199&lt;=(C199+T199)),AZ199,0),IF(AND(NOT(AND(AU199=1,AT199&lt;&gt;1)),ISNUMBER(AM199),AM199&lt;=(C199+T199)),BA199,0),IF(AND(NOT(AND(AU199=1,AT199&lt;&gt;1)),ISNUMBER(AN199),AN199&lt;=(C199+T199)),BB199,0),IF(AND(ISNUMBER(AO199),AO199&lt;=(C199+T199)),BC199,0))&lt;=0,"",IF(AND(IF(AND(NOT(AND(AU199=1,AT199&lt;&gt;1)),ISNUMBER(AK199),AK199&lt;=(C199+T199)),AY199,0)&gt;0,IF(AND(NOT(AND(AU199=1,AT199&lt;&gt;1)),ISNUMBER(AK199),AK199&lt;=(C199+T199)),AY199,0)=MAX(IF(AND(NOT(AND(AU199=1,AT199&lt;&gt;1)),ISNUMBER(AK199),AK199&lt;=(C199+T199)),AY199,0),IF(AND(NOT(AND(AU199=1,AT199&lt;&gt;1)),ISNUMBER(AL199),AL199&lt;=(C199+T199)),AZ199,0),IF(AND(NOT(AND(AU199=1,AT199&lt;&gt;1)),ISNUMBER(AM199),AM199&lt;=(C199+T199)),BA199,0),IF(AND(NOT(AND(AU199=1,AT199&lt;&gt;1)),ISNUMBER(AN199),AN199&lt;=(C199+T199)),BB199,0),IF(AND(ISNUMBER(AO199),AO199&lt;=(C199+T199)),BC199,0))),"SK",IF(AND(IF(AND(NOT(AND(AU199=1,AT199&lt;&gt;1)),ISNUMBER(AL199),AL199&lt;=(C199+T199)),AZ199,0)&gt;0,IF(AND(NOT(AND(AU199=1,AT199&lt;&gt;1)),ISNUMBER(AL199),AL199&lt;=(C199+T199)),AZ199,0)=MAX(IF(AND(NOT(AND(AU199=1,AT199&lt;&gt;1)),ISNUMBER(AK199),AK199&lt;=(C199+T199)),AY199,0),IF(AND(NOT(AND(AU199=1,AT199&lt;&gt;1)),ISNUMBER(AL199),AL199&lt;=(C199+T199)),AZ199,0),IF(AND(NOT(AND(AU199=1,AT199&lt;&gt;1)),ISNUMBER(AM199),AM199&lt;=(C199+T199)),BA199,0),IF(AND(NOT(AND(AU199=1,AT199&lt;&gt;1)),ISNUMBER(AN199),AN199&lt;=(C199+T199)),BB199,0),IF(AND(ISNUMBER(AO199),AO199&lt;=(C199+T199)),BC199,0))),"LB",IF(AND(IF(AND(NOT(AND(AU199=1,AT199&lt;&gt;1)),ISNUMBER(AM199),AM199&lt;=(C199+T199)),BA199,0)&gt;0,IF(AND(NOT(AND(AU199=1,AT199&lt;&gt;1)),ISNUMBER(AM199),AM199&lt;=(C199+T199)),BA199,0)=MAX(IF(AND(NOT(AND(AU199=1,AT199&lt;&gt;1)),ISNUMBER(AK199),AK199&lt;=(C199+T199)),AY199,0),IF(AND(NOT(AND(AU199=1,AT199&lt;&gt;1)),ISNUMBER(AL199),AL199&lt;=(C199+T199)),AZ199,0),IF(AND(NOT(AND(AU199=1,AT199&lt;&gt;1)),ISNUMBER(AM199),AM199&lt;=(C199+T199)),BA199,0),IF(AND(NOT(AND(AU199=1,AT199&lt;&gt;1)),ISNUMBER(AN199),AN199&lt;=(C199+T199)),BB199,0),IF(AND(ISNUMBER(AO199),AO199&lt;=(C199+T199)),BC199,0))),"ML",IF(AND(IF(AND(NOT(AND(AU199=1,AT199&lt;&gt;1)),ISNUMBER(AN199),AN199&lt;=(C199+T199)),BB199,0)&gt;0,IF(AND(NOT(AND(AU199=1,AT199&lt;&gt;1)),ISNUMBER(AN199),AN199&lt;=(C199+T199)),BB199,0)=MAX(IF(AND(NOT(AND(AU199=1,AT199&lt;&gt;1)),ISNUMBER(AK199),AK199&lt;=(C199+T199)),AY199,0),IF(AND(NOT(AND(AU199=1,AT199&lt;&gt;1)),ISNUMBER(AL199),AL199&lt;=(C199+T199)),AZ199,0),IF(AND(NOT(AND(AU199=1,AT199&lt;&gt;1)),ISNUMBER(AM199),AM199&lt;=(C199+T199)),BA199,0),IF(AND(NOT(AND(AU199=1,AT199&lt;&gt;1)),ISNUMBER(AN199),AN199&lt;=(C199+T199)),BB199,0),IF(AND(ISNUMBER(AO199),AO199&lt;=(C199+T199)),BC199,0))),"RLO","BD"))))))))</f>
        <v/>
      </c>
    </row>
    <row r="200">
      <c r="A200" s="26" t="n">
        <v>189</v>
      </c>
      <c r="B200" s="27">
        <f>A200*10/60</f>
        <v/>
      </c>
      <c r="C200" s="22">
        <f>X199</f>
        <v/>
      </c>
      <c r="D200" s="27">
        <f>D199+W199</f>
        <v/>
      </c>
      <c r="E200" s="26">
        <f>E199+IF(U199="SK",1,0)</f>
        <v/>
      </c>
      <c r="F200" s="26">
        <f>F199+IF(U199="LB",1,0)</f>
        <v/>
      </c>
      <c r="G200" s="26">
        <f>G199+IF(U199="ML",1,0)</f>
        <v/>
      </c>
      <c r="H200" s="26">
        <f>H199+IF(U199="RLO",1,0)</f>
        <v/>
      </c>
      <c r="I200" s="26">
        <f>I199+IF(U199="BD",1,0)</f>
        <v/>
      </c>
      <c r="J200" s="26">
        <f>MAX(J199,IF(U199="BiP",1,0))</f>
        <v/>
      </c>
      <c r="K200" s="26">
        <f>MAX(K199,IF(U199="PV",1,0))</f>
        <v/>
      </c>
      <c r="L200" s="26">
        <f>MAX(L199,IF(U199="OC",1,0))</f>
        <v/>
      </c>
      <c r="M200" s="26">
        <f>MAX(M199,IF(U199="MG",1,0))</f>
        <v/>
      </c>
      <c r="N200" s="26">
        <f>MAX(N199,IF(U199="transition",1,0))</f>
        <v/>
      </c>
      <c r="O200" s="28">
        <f>(Parameters!$B$9+(IF(E200=0,0,(Upgrades!$J$13+E200*Upgrades!$K$13)*POWER(Upgrades!$L$13,E200)))*(IF(Upgrades!$T$14="Stellar Kinematics",POWER(Upgrades!$U$14,F200),1)*IF(Upgrades!$T$15="Stellar Kinematics",POWER(Upgrades!$U$15,G200),1)*IF(Upgrades!$T$16="Stellar Kinematics",POWER(Upgrades!$U$16,H200),1)*IF(Upgrades!$T$17="Stellar Kinematics",POWER(Upgrades!$U$17,I200),1)*IF(Upgrades!$T$18="Stellar Kinematics",POWER(Upgrades!$U$18,J200),1)*IF(Upgrades!$T$19="Stellar Kinematics",POWER(Upgrades!$U$19,K200),1)*IF(Upgrades!$T$20="Stellar Kinematics",POWER(Upgrades!$U$20,L200),1)*IF(Upgrades!$T$21="Stellar Kinematics",POWER(Upgrades!$U$21,M200),1))+(IF(F200=0,0,(Upgrades!$J$14+F200*Upgrades!$K$14)*POWER(Upgrades!$L$14,F200)))*(IF(Upgrades!$T$13="Local Bubble",POWER(Upgrades!$U$13,E200),1)*IF(Upgrades!$T$15="Local Bubble",POWER(Upgrades!$U$15,G200),1)*IF(Upgrades!$T$16="Local Bubble",POWER(Upgrades!$U$16,H200),1)*IF(Upgrades!$T$17="Local Bubble",POWER(Upgrades!$U$17,I200),1)*IF(Upgrades!$T$18="Local Bubble",POWER(Upgrades!$U$18,J200),1)*IF(Upgrades!$T$19="Local Bubble",POWER(Upgrades!$U$19,K200),1)*IF(Upgrades!$T$20="Local Bubble",POWER(Upgrades!$U$20,L200),1)*IF(Upgrades!$T$21="Local Bubble",POWER(Upgrades!$U$21,M200),1))+(IF(G200=0,0,(Upgrades!$J$15+G200*Upgrades!$K$15)*POWER(Upgrades!$L$15,G200)))*(IF(Upgrades!$T$13="Microlensing",POWER(Upgrades!$U$13,E200),1)*IF(Upgrades!$T$14="Microlensing",POWER(Upgrades!$U$14,F200),1)*IF(Upgrades!$T$16="Microlensing",POWER(Upgrades!$U$16,H200),1)*IF(Upgrades!$T$17="Microlensing",POWER(Upgrades!$U$17,I200),1)*IF(Upgrades!$T$18="Microlensing",POWER(Upgrades!$U$18,J200),1)*IF(Upgrades!$T$19="Microlensing",POWER(Upgrades!$U$19,K200),1)*IF(Upgrades!$T$20="Microlensing",POWER(Upgrades!$U$20,L200),1)*IF(Upgrades!$T$21="Microlensing",POWER(Upgrades!$U$21,M200),1))+(IF(H200=0,0,(Upgrades!$J$16+H200*Upgrades!$K$16)*POWER(Upgrades!$L$16,H200)))*(IF(Upgrades!$T$13="Roche Lobe Overflow",POWER(Upgrades!$U$13,E200),1)*IF(Upgrades!$T$14="Roche Lobe Overflow",POWER(Upgrades!$U$14,F200),1)*IF(Upgrades!$T$15="Roche Lobe Overflow",POWER(Upgrades!$U$15,G200),1)*IF(Upgrades!$T$17="Roche Lobe Overflow",POWER(Upgrades!$U$17,I200),1)*IF(Upgrades!$T$18="Roche Lobe Overflow",POWER(Upgrades!$U$18,J200),1)*IF(Upgrades!$T$19="Roche Lobe Overflow",POWER(Upgrades!$U$19,K200),1)*IF(Upgrades!$T$20="Roche Lobe Overflow",POWER(Upgrades!$U$20,L200),1)*IF(Upgrades!$T$21="Roche Lobe Overflow",POWER(Upgrades!$U$21,M200),1))+(IF(I200=0,0,(Upgrades!$J$17+I200*Upgrades!$K$17)*POWER(Upgrades!$L$17,I200)))*(IF(Upgrades!$T$13="Brown Dwarf",POWER(Upgrades!$U$13,E200),1)*IF(Upgrades!$T$14="Brown Dwarf",POWER(Upgrades!$U$14,F200),1)*IF(Upgrades!$T$15="Brown Dwarf",POWER(Upgrades!$U$15,G200),1)*IF(Upgrades!$T$16="Brown Dwarf",POWER(Upgrades!$U$16,H200),1)*IF(Upgrades!$T$18="Brown Dwarf",POWER(Upgrades!$U$18,J200),1)*IF(Upgrades!$T$19="Brown Dwarf",POWER(Upgrades!$U$19,K200),1)*IF(Upgrades!$T$20="Brown Dwarf",POWER(Upgrades!$U$20,L200),1)*IF(Upgrades!$T$21="Brown Dwarf",POWER(Upgrades!$U$21,M200),1))+(IF(J200=0,0,(Upgrades!$J$18+J200*Upgrades!$K$18)*POWER(Upgrades!$L$18,J200)))*(IF(Upgrades!$T$13="Binary Partner",POWER(Upgrades!$U$13,E200),1)*IF(Upgrades!$T$14="Binary Partner",POWER(Upgrades!$U$14,F200),1)*IF(Upgrades!$T$15="Binary Partner",POWER(Upgrades!$U$15,G200),1)*IF(Upgrades!$T$16="Binary Partner",POWER(Upgrades!$U$16,H200),1)*IF(Upgrades!$T$17="Binary Partner",POWER(Upgrades!$U$17,I200),1)*IF(Upgrades!$T$19="Binary Partner",POWER(Upgrades!$U$19,K200),1)*IF(Upgrades!$T$20="Binary Partner",POWER(Upgrades!$U$20,L200),1)*IF(Upgrades!$T$21="Binary Partner",POWER(Upgrades!$U$21,M200),1))+(IF(K200=0,0,(Upgrades!$J$19+K200*Upgrades!$K$19)*POWER(Upgrades!$L$19,K200)))*(IF(Upgrades!$T$13="Peculiar Velocity",POWER(Upgrades!$U$13,E200),1)*IF(Upgrades!$T$14="Peculiar Velocity",POWER(Upgrades!$U$14,F200),1)*IF(Upgrades!$T$15="Peculiar Velocity",POWER(Upgrades!$U$15,G200),1)*IF(Upgrades!$T$16="Peculiar Velocity",POWER(Upgrades!$U$16,H200),1)*IF(Upgrades!$T$17="Peculiar Velocity",POWER(Upgrades!$U$17,I200),1)*IF(Upgrades!$T$18="Peculiar Velocity",POWER(Upgrades!$U$18,J200),1)*IF(Upgrades!$T$20="Peculiar Velocity",POWER(Upgrades!$U$20,L200),1)*IF(Upgrades!$T$21="Peculiar Velocity",POWER(Upgrades!$U$21,M200),1))+(IF(L200=0,0,(Upgrades!$J$20+L200*Upgrades!$K$20)*POWER(Upgrades!$L$20,L200)))*(IF(Upgrades!$T$13="Open Cluster",POWER(Upgrades!$U$13,E200),1)*IF(Upgrades!$T$14="Open Cluster",POWER(Upgrades!$U$14,F200),1)*IF(Upgrades!$T$15="Open Cluster",POWER(Upgrades!$U$15,G200),1)*IF(Upgrades!$T$16="Open Cluster",POWER(Upgrades!$U$16,H200),1)*IF(Upgrades!$T$17="Open Cluster",POWER(Upgrades!$U$17,I200),1)*IF(Upgrades!$T$18="Open Cluster",POWER(Upgrades!$U$18,J200),1)*IF(Upgrades!$T$19="Open Cluster",POWER(Upgrades!$U$19,K200),1)*IF(Upgrades!$T$21="Open Cluster",POWER(Upgrades!$U$21,M200),1))+(IF(M200=0,0,(Upgrades!$J$21+M200*Upgrades!$K$21)*POWER(Upgrades!$L$21,M200)))*(IF(Upgrades!$T$13="Moving Group",POWER(Upgrades!$U$13,E200),1)*IF(Upgrades!$T$14="Moving Group",POWER(Upgrades!$U$14,F200),1)*IF(Upgrades!$T$15="Moving Group",POWER(Upgrades!$U$15,G200),1)*IF(Upgrades!$T$16="Moving Group",POWER(Upgrades!$U$16,H200),1)*IF(Upgrades!$T$17="Moving Group",POWER(Upgrades!$U$17,I200),1)*IF(Upgrades!$T$18="Moving Group",POWER(Upgrades!$U$18,J200),1)*IF(Upgrades!$T$19="Moving Group",POWER(Upgrades!$U$19,K200),1)*IF(Upgrades!$T$20="Moving Group",POWER(Upgrades!$U$20,L200),1)))*POWER(Upgrades!$Q$13,E200)*POWER(Upgrades!$Q$14,F200)*POWER(Upgrades!$Q$15,G200)*POWER(Upgrades!$Q$16,H200)*POWER(Upgrades!$Q$17,I200)*POWER(Upgrades!$Q$18,J200)*POWER(Upgrades!$Q$19,K200)*POWER(Upgrades!$Q$20,L200)*POWER(Upgrades!$Q$21,M200)*$G$6+$D$6</f>
        <v/>
      </c>
      <c r="P200" s="28">
        <f>((IF(E200=0,0,(Upgrades!$G$13+E200*Upgrades!$H$13)*POWER(Upgrades!$I$13,E200)))*(IF(Upgrades!$T$14="Stellar Kinematics",POWER(Upgrades!$U$14,F200),1)*IF(Upgrades!$T$15="Stellar Kinematics",POWER(Upgrades!$U$15,G200),1)*IF(Upgrades!$T$16="Stellar Kinematics",POWER(Upgrades!$U$16,H200),1)*IF(Upgrades!$T$17="Stellar Kinematics",POWER(Upgrades!$U$17,I200),1)*IF(Upgrades!$T$18="Stellar Kinematics",POWER(Upgrades!$U$18,J200),1)*IF(Upgrades!$T$19="Stellar Kinematics",POWER(Upgrades!$U$19,K200),1)*IF(Upgrades!$T$20="Stellar Kinematics",POWER(Upgrades!$U$20,L200),1)*IF(Upgrades!$T$21="Stellar Kinematics",POWER(Upgrades!$U$21,M200),1))+(IF(F200=0,0,(Upgrades!$G$14+F200*Upgrades!$H$14)*POWER(Upgrades!$I$14,F200)))*(IF(Upgrades!$T$13="Local Bubble",POWER(Upgrades!$U$13,E200),1)*IF(Upgrades!$T$15="Local Bubble",POWER(Upgrades!$U$15,G200),1)*IF(Upgrades!$T$16="Local Bubble",POWER(Upgrades!$U$16,H200),1)*IF(Upgrades!$T$17="Local Bubble",POWER(Upgrades!$U$17,I200),1)*IF(Upgrades!$T$18="Local Bubble",POWER(Upgrades!$U$18,J200),1)*IF(Upgrades!$T$19="Local Bubble",POWER(Upgrades!$U$19,K200),1)*IF(Upgrades!$T$20="Local Bubble",POWER(Upgrades!$U$20,L200),1)*IF(Upgrades!$T$21="Local Bubble",POWER(Upgrades!$U$21,M200),1))+(IF(G200=0,0,(Upgrades!$G$15+G200*Upgrades!$H$15)*POWER(Upgrades!$I$15,G200)))*(IF(Upgrades!$T$13="Microlensing",POWER(Upgrades!$U$13,E200),1)*IF(Upgrades!$T$14="Microlensing",POWER(Upgrades!$U$14,F200),1)*IF(Upgrades!$T$16="Microlensing",POWER(Upgrades!$U$16,H200),1)*IF(Upgrades!$T$17="Microlensing",POWER(Upgrades!$U$17,I200),1)*IF(Upgrades!$T$18="Microlensing",POWER(Upgrades!$U$18,J200),1)*IF(Upgrades!$T$19="Microlensing",POWER(Upgrades!$U$19,K200),1)*IF(Upgrades!$T$20="Microlensing",POWER(Upgrades!$U$20,L200),1)*IF(Upgrades!$T$21="Microlensing",POWER(Upgrades!$U$21,M200),1))+(IF(H200=0,0,(Upgrades!$G$16+H200*Upgrades!$H$16)*POWER(Upgrades!$I$16,H200)))*(IF(Upgrades!$T$13="Roche Lobe Overflow",POWER(Upgrades!$U$13,E200),1)*IF(Upgrades!$T$14="Roche Lobe Overflow",POWER(Upgrades!$U$14,F200),1)*IF(Upgrades!$T$15="Roche Lobe Overflow",POWER(Upgrades!$U$15,G200),1)*IF(Upgrades!$T$17="Roche Lobe Overflow",POWER(Upgrades!$U$17,I200),1)*IF(Upgrades!$T$18="Roche Lobe Overflow",POWER(Upgrades!$U$18,J200),1)*IF(Upgrades!$T$19="Roche Lobe Overflow",POWER(Upgrades!$U$19,K200),1)*IF(Upgrades!$T$20="Roche Lobe Overflow",POWER(Upgrades!$U$20,L200),1)*IF(Upgrades!$T$21="Roche Lobe Overflow",POWER(Upgrades!$U$21,M200),1))+(IF(I200=0,0,(Upgrades!$G$17+I200*Upgrades!$H$17)*POWER(Upgrades!$I$17,I200)))*(IF(Upgrades!$T$13="Brown Dwarf",POWER(Upgrades!$U$13,E200),1)*IF(Upgrades!$T$14="Brown Dwarf",POWER(Upgrades!$U$14,F200),1)*IF(Upgrades!$T$15="Brown Dwarf",POWER(Upgrades!$U$15,G200),1)*IF(Upgrades!$T$16="Brown Dwarf",POWER(Upgrades!$U$16,H200),1)*IF(Upgrades!$T$18="Brown Dwarf",POWER(Upgrades!$U$18,J200),1)*IF(Upgrades!$T$19="Brown Dwarf",POWER(Upgrades!$U$19,K200),1)*IF(Upgrades!$T$20="Brown Dwarf",POWER(Upgrades!$U$20,L200),1)*IF(Upgrades!$T$21="Brown Dwarf",POWER(Upgrades!$U$21,M200),1))+(IF(J200=0,0,(Upgrades!$G$18+J200*Upgrades!$H$18)*POWER(Upgrades!$I$18,J200)))*(IF(Upgrades!$T$13="Binary Partner",POWER(Upgrades!$U$13,E200),1)*IF(Upgrades!$T$14="Binary Partner",POWER(Upgrades!$U$14,F200),1)*IF(Upgrades!$T$15="Binary Partner",POWER(Upgrades!$U$15,G200),1)*IF(Upgrades!$T$16="Binary Partner",POWER(Upgrades!$U$16,H200),1)*IF(Upgrades!$T$17="Binary Partner",POWER(Upgrades!$U$17,I200),1)*IF(Upgrades!$T$19="Binary Partner",POWER(Upgrades!$U$19,K200),1)*IF(Upgrades!$T$20="Binary Partner",POWER(Upgrades!$U$20,L200),1)*IF(Upgrades!$T$21="Binary Partner",POWER(Upgrades!$U$21,M200),1))+(IF(K200=0,0,(Upgrades!$G$19+K200*Upgrades!$H$19)*POWER(Upgrades!$I$19,K200)))*(IF(Upgrades!$T$13="Peculiar Velocity",POWER(Upgrades!$U$13,E200),1)*IF(Upgrades!$T$14="Peculiar Velocity",POWER(Upgrades!$U$14,F200),1)*IF(Upgrades!$T$15="Peculiar Velocity",POWER(Upgrades!$U$15,G200),1)*IF(Upgrades!$T$16="Peculiar Velocity",POWER(Upgrades!$U$16,H200),1)*IF(Upgrades!$T$17="Peculiar Velocity",POWER(Upgrades!$U$17,I200),1)*IF(Upgrades!$T$18="Peculiar Velocity",POWER(Upgrades!$U$18,J200),1)*IF(Upgrades!$T$20="Peculiar Velocity",POWER(Upgrades!$U$20,L200),1)*IF(Upgrades!$T$21="Peculiar Velocity",POWER(Upgrades!$U$21,M200),1))+(IF(L200=0,0,(Upgrades!$G$20+L200*Upgrades!$H$20)*POWER(Upgrades!$I$20,L200)))*(IF(Upgrades!$T$13="Open Cluster",POWER(Upgrades!$U$13,E200),1)*IF(Upgrades!$T$14="Open Cluster",POWER(Upgrades!$U$14,F200),1)*IF(Upgrades!$T$15="Open Cluster",POWER(Upgrades!$U$15,G200),1)*IF(Upgrades!$T$16="Open Cluster",POWER(Upgrades!$U$16,H200),1)*IF(Upgrades!$T$17="Open Cluster",POWER(Upgrades!$U$17,I200),1)*IF(Upgrades!$T$18="Open Cluster",POWER(Upgrades!$U$18,J200),1)*IF(Upgrades!$T$19="Open Cluster",POWER(Upgrades!$U$19,K200),1)*IF(Upgrades!$T$21="Open Cluster",POWER(Upgrades!$U$21,M200),1))+(IF(M200=0,0,(Upgrades!$G$21+M200*Upgrades!$H$21)*POWER(Upgrades!$I$21,M200)))*(IF(Upgrades!$T$13="Moving Group",POWER(Upgrades!$U$13,E200),1)*IF(Upgrades!$T$14="Moving Group",POWER(Upgrades!$U$14,F200),1)*IF(Upgrades!$T$15="Moving Group",POWER(Upgrades!$U$15,G200),1)*IF(Upgrades!$T$16="Moving Group",POWER(Upgrades!$U$16,H200),1)*IF(Upgrades!$T$17="Moving Group",POWER(Upgrades!$U$17,I200),1)*IF(Upgrades!$T$18="Moving Group",POWER(Upgrades!$U$18,J200),1)*IF(Upgrades!$T$19="Moving Group",POWER(Upgrades!$U$19,K200),1)*IF(Upgrades!$T$20="Moving Group",POWER(Upgrades!$U$20,L200),1)))*POWER(Upgrades!$P$13,E200)*POWER(Upgrades!$P$14,F200)*POWER(Upgrades!$P$15,G200)*POWER(Upgrades!$P$16,H200)*POWER(Upgrades!$P$17,I200)*POWER(Upgrades!$P$18,J200)*POWER(Upgrades!$P$19,K200)*POWER(Upgrades!$P$20,L200)*POWER(Upgrades!$P$21,M200)*$F$6+$C$6</f>
        <v/>
      </c>
      <c r="Q200" s="28">
        <f>((IF(E200=0,0,(Upgrades!$M$13+E200*Upgrades!$N$13)*POWER(Upgrades!$O$13,E200)))*(IF(Upgrades!$T$14="Stellar Kinematics",POWER(Upgrades!$U$14,F200),1)*IF(Upgrades!$T$15="Stellar Kinematics",POWER(Upgrades!$U$15,G200),1)*IF(Upgrades!$T$16="Stellar Kinematics",POWER(Upgrades!$U$16,H200),1)*IF(Upgrades!$T$17="Stellar Kinematics",POWER(Upgrades!$U$17,I200),1)*IF(Upgrades!$T$18="Stellar Kinematics",POWER(Upgrades!$U$18,J200),1)*IF(Upgrades!$T$19="Stellar Kinematics",POWER(Upgrades!$U$19,K200),1)*IF(Upgrades!$T$20="Stellar Kinematics",POWER(Upgrades!$U$20,L200),1)*IF(Upgrades!$T$21="Stellar Kinematics",POWER(Upgrades!$U$21,M200),1))+(IF(F200=0,0,(Upgrades!$M$14+F200*Upgrades!$N$14)*POWER(Upgrades!$O$14,F200)))*(IF(Upgrades!$T$13="Local Bubble",POWER(Upgrades!$U$13,E200),1)*IF(Upgrades!$T$15="Local Bubble",POWER(Upgrades!$U$15,G200),1)*IF(Upgrades!$T$16="Local Bubble",POWER(Upgrades!$U$16,H200),1)*IF(Upgrades!$T$17="Local Bubble",POWER(Upgrades!$U$17,I200),1)*IF(Upgrades!$T$18="Local Bubble",POWER(Upgrades!$U$18,J200),1)*IF(Upgrades!$T$19="Local Bubble",POWER(Upgrades!$U$19,K200),1)*IF(Upgrades!$T$20="Local Bubble",POWER(Upgrades!$U$20,L200),1)*IF(Upgrades!$T$21="Local Bubble",POWER(Upgrades!$U$21,M200),1))+(IF(G200=0,0,(Upgrades!$M$15+G200*Upgrades!$N$15)*POWER(Upgrades!$O$15,G200)))*(IF(Upgrades!$T$13="Microlensing",POWER(Upgrades!$U$13,E200),1)*IF(Upgrades!$T$14="Microlensing",POWER(Upgrades!$U$14,F200),1)*IF(Upgrades!$T$16="Microlensing",POWER(Upgrades!$U$16,H200),1)*IF(Upgrades!$T$17="Microlensing",POWER(Upgrades!$U$17,I200),1)*IF(Upgrades!$T$18="Microlensing",POWER(Upgrades!$U$18,J200),1)*IF(Upgrades!$T$19="Microlensing",POWER(Upgrades!$U$19,K200),1)*IF(Upgrades!$T$20="Microlensing",POWER(Upgrades!$U$20,L200),1)*IF(Upgrades!$T$21="Microlensing",POWER(Upgrades!$U$21,M200),1))+(IF(H200=0,0,(Upgrades!$M$16+H200*Upgrades!$N$16)*POWER(Upgrades!$O$16,H200)))*(IF(Upgrades!$T$13="Roche Lobe Overflow",POWER(Upgrades!$U$13,E200),1)*IF(Upgrades!$T$14="Roche Lobe Overflow",POWER(Upgrades!$U$14,F200),1)*IF(Upgrades!$T$15="Roche Lobe Overflow",POWER(Upgrades!$U$15,G200),1)*IF(Upgrades!$T$17="Roche Lobe Overflow",POWER(Upgrades!$U$17,I200),1)*IF(Upgrades!$T$18="Roche Lobe Overflow",POWER(Upgrades!$U$18,J200),1)*IF(Upgrades!$T$19="Roche Lobe Overflow",POWER(Upgrades!$U$19,K200),1)*IF(Upgrades!$T$20="Roche Lobe Overflow",POWER(Upgrades!$U$20,L200),1)*IF(Upgrades!$T$21="Roche Lobe Overflow",POWER(Upgrades!$U$21,M200),1))+(IF(I200=0,0,(Upgrades!$M$17+I200*Upgrades!$N$17)*POWER(Upgrades!$O$17,I200)))*(IF(Upgrades!$T$13="Brown Dwarf",POWER(Upgrades!$U$13,E200),1)*IF(Upgrades!$T$14="Brown Dwarf",POWER(Upgrades!$U$14,F200),1)*IF(Upgrades!$T$15="Brown Dwarf",POWER(Upgrades!$U$15,G200),1)*IF(Upgrades!$T$16="Brown Dwarf",POWER(Upgrades!$U$16,H200),1)*IF(Upgrades!$T$18="Brown Dwarf",POWER(Upgrades!$U$18,J200),1)*IF(Upgrades!$T$19="Brown Dwarf",POWER(Upgrades!$U$19,K200),1)*IF(Upgrades!$T$20="Brown Dwarf",POWER(Upgrades!$U$20,L200),1)*IF(Upgrades!$T$21="Brown Dwarf",POWER(Upgrades!$U$21,M200),1))+(IF(J200=0,0,(Upgrades!$M$18+J200*Upgrades!$N$18)*POWER(Upgrades!$O$18,J200)))*(IF(Upgrades!$T$13="Binary Partner",POWER(Upgrades!$U$13,E200),1)*IF(Upgrades!$T$14="Binary Partner",POWER(Upgrades!$U$14,F200),1)*IF(Upgrades!$T$15="Binary Partner",POWER(Upgrades!$U$15,G200),1)*IF(Upgrades!$T$16="Binary Partner",POWER(Upgrades!$U$16,H200),1)*IF(Upgrades!$T$17="Binary Partner",POWER(Upgrades!$U$17,I200),1)*IF(Upgrades!$T$19="Binary Partner",POWER(Upgrades!$U$19,K200),1)*IF(Upgrades!$T$20="Binary Partner",POWER(Upgrades!$U$20,L200),1)*IF(Upgrades!$T$21="Binary Partner",POWER(Upgrades!$U$21,M200),1))+(IF(K200=0,0,(Upgrades!$M$19+K200*Upgrades!$N$19)*POWER(Upgrades!$O$19,K200)))*(IF(Upgrades!$T$13="Peculiar Velocity",POWER(Upgrades!$U$13,E200),1)*IF(Upgrades!$T$14="Peculiar Velocity",POWER(Upgrades!$U$14,F200),1)*IF(Upgrades!$T$15="Peculiar Velocity",POWER(Upgrades!$U$15,G200),1)*IF(Upgrades!$T$16="Peculiar Velocity",POWER(Upgrades!$U$16,H200),1)*IF(Upgrades!$T$17="Peculiar Velocity",POWER(Upgrades!$U$17,I200),1)*IF(Upgrades!$T$18="Peculiar Velocity",POWER(Upgrades!$U$18,J200),1)*IF(Upgrades!$T$20="Peculiar Velocity",POWER(Upgrades!$U$20,L200),1)*IF(Upgrades!$T$21="Peculiar Velocity",POWER(Upgrades!$U$21,M200),1))+(IF(L200=0,0,(Upgrades!$M$20+L200*Upgrades!$N$20)*POWER(Upgrades!$O$20,L200)))*(IF(Upgrades!$T$13="Open Cluster",POWER(Upgrades!$U$13,E200),1)*IF(Upgrades!$T$14="Open Cluster",POWER(Upgrades!$U$14,F200),1)*IF(Upgrades!$T$15="Open Cluster",POWER(Upgrades!$U$15,G200),1)*IF(Upgrades!$T$16="Open Cluster",POWER(Upgrades!$U$16,H200),1)*IF(Upgrades!$T$17="Open Cluster",POWER(Upgrades!$U$17,I200),1)*IF(Upgrades!$T$18="Open Cluster",POWER(Upgrades!$U$18,J200),1)*IF(Upgrades!$T$19="Open Cluster",POWER(Upgrades!$U$19,K200),1)*IF(Upgrades!$T$21="Open Cluster",POWER(Upgrades!$U$21,M200),1))+(IF(M200=0,0,(Upgrades!$M$21+M200*Upgrades!$N$21)*POWER(Upgrades!$O$21,M200)))*(IF(Upgrades!$T$13="Moving Group",POWER(Upgrades!$U$13,E200),1)*IF(Upgrades!$T$14="Moving Group",POWER(Upgrades!$U$14,F200),1)*IF(Upgrades!$T$15="Moving Group",POWER(Upgrades!$U$15,G200),1)*IF(Upgrades!$T$16="Moving Group",POWER(Upgrades!$U$16,H200),1)*IF(Upgrades!$T$17="Moving Group",POWER(Upgrades!$U$17,I200),1)*IF(Upgrades!$T$18="Moving Group",POWER(Upgrades!$U$18,J200),1)*IF(Upgrades!$T$19="Moving Group",POWER(Upgrades!$U$19,K200),1)*IF(Upgrades!$T$20="Moving Group",POWER(Upgrades!$U$20,L200),1)))*POWER(Upgrades!$R$13,E200)*POWER(Upgrades!$R$14,F200)*POWER(Upgrades!$R$15,G200)*POWER(Upgrades!$R$16,H200)*POWER(Upgrades!$R$17,I200)*POWER(Upgrades!$R$18,J200)*POWER(Upgrades!$R$19,K200)*POWER(Upgrades!$R$20,L200)*POWER(Upgrades!$R$21,M200)*$H$6+$E$6</f>
        <v/>
      </c>
      <c r="R200" s="27">
        <f>IF(N200=1,0,O200*Parameters!$B$10/60*Parameters!$B$11*10)</f>
        <v/>
      </c>
      <c r="S200" s="27">
        <f>IF(N200=1,0,Q200*O200*10)</f>
        <v/>
      </c>
      <c r="T200" s="27">
        <f>IF(N200=1,0,R200+S200+P200*10)</f>
        <v/>
      </c>
      <c r="U200" s="33">
        <f>BE200</f>
        <v/>
      </c>
      <c r="V200" s="22">
        <f>IF(U200="",0,IF(U200="transition",0,IF(U200="SK",AK200,IF(U200="LB",AL200,IF(U200="ML",AM200,IF(U200="RLO",AN200,IF(U200="BD",AO200,IF(U200="BiP",AP200,IF(U200="PV",AQ200,IF(U200="OC",AR200,IF(U200="MG",AS200,0))))))))))</f>
        <v/>
      </c>
      <c r="W200" s="27">
        <f>IF(U200="BiP",Upgrades!$F$18,IF(U200="PV",Upgrades!$F$19,IF(U200="OC",Upgrades!$F$20,IF(U200="MG",Upgrades!$F$21,IF(U200="transition",-Parameters!$B$18*Parameters!$B$19,0)))))</f>
        <v/>
      </c>
      <c r="X200" s="22">
        <f>C200+T200-V200</f>
        <v/>
      </c>
      <c r="Y200" s="30">
        <f>O200*Parameters!$B$10/60*Parameters!$B$11+Q200*O200+P200</f>
        <v/>
      </c>
      <c r="Z200" s="34">
        <f>IF(U200="transition","→ Tier 3 (Galactic Arm)",IF(U200="MG","Moving Group — pocket drifts together",IF(U200="OC","Open Cluster acquired",IF(U200="PV","Peculiar Velocity — passive multiplier active",IF(U200="BiP","Binary Partner — pair bond formed",IF(AND(AU200=1,N200=0,AT200&lt;&gt;1),"Cohesion ready (waiting on completionists)","")))))) </f>
        <v/>
      </c>
      <c r="AA200" s="27">
        <f>(IF(E200=0,0,(Upgrades!$G$13+E200*Upgrades!$H$13)*POWER(Upgrades!$I$13,E200)))*(IF(Upgrades!$T$14="Stellar Kinematics",POWER(Upgrades!$U$14,F200),1)*IF(Upgrades!$T$15="Stellar Kinematics",POWER(Upgrades!$U$15,G200),1)*IF(Upgrades!$T$16="Stellar Kinematics",POWER(Upgrades!$U$16,H200),1)*IF(Upgrades!$T$17="Stellar Kinematics",POWER(Upgrades!$U$17,I200),1)*IF(Upgrades!$T$18="Stellar Kinematics",POWER(Upgrades!$U$18,J200),1)*IF(Upgrades!$T$19="Stellar Kinematics",POWER(Upgrades!$U$19,K200),1)*IF(Upgrades!$T$20="Stellar Kinematics",POWER(Upgrades!$U$20,L200),1)*IF(Upgrades!$T$21="Stellar Kinematics",POWER(Upgrades!$U$21,M200),1))*POWER(Upgrades!$P$13,E200)*POWER(Upgrades!$P$14,F200)*POWER(Upgrades!$P$15,G200)*POWER(Upgrades!$P$16,H200)*POWER(Upgrades!$P$17,I200)*POWER(Upgrades!$P$18,J200)*POWER(Upgrades!$P$19,K200)*POWER(Upgrades!$P$20,L200)*POWER(Upgrades!$P$21,M200)*$F$6*60</f>
        <v/>
      </c>
      <c r="AB200" s="27">
        <f>(IF(F200=0,0,(Upgrades!$G$14+F200*Upgrades!$H$14)*POWER(Upgrades!$I$14,F200)))*(IF(Upgrades!$T$13="Local Bubble",POWER(Upgrades!$U$13,E200),1)*IF(Upgrades!$T$15="Local Bubble",POWER(Upgrades!$U$15,G200),1)*IF(Upgrades!$T$16="Local Bubble",POWER(Upgrades!$U$16,H200),1)*IF(Upgrades!$T$17="Local Bubble",POWER(Upgrades!$U$17,I200),1)*IF(Upgrades!$T$18="Local Bubble",POWER(Upgrades!$U$18,J200),1)*IF(Upgrades!$T$19="Local Bubble",POWER(Upgrades!$U$19,K200),1)*IF(Upgrades!$T$20="Local Bubble",POWER(Upgrades!$U$20,L200),1)*IF(Upgrades!$T$21="Local Bubble",POWER(Upgrades!$U$21,M200),1))*POWER(Upgrades!$P$13,E200)*POWER(Upgrades!$P$14,F200)*POWER(Upgrades!$P$15,G200)*POWER(Upgrades!$P$16,H200)*POWER(Upgrades!$P$17,I200)*POWER(Upgrades!$P$18,J200)*POWER(Upgrades!$P$19,K200)*POWER(Upgrades!$P$20,L200)*POWER(Upgrades!$P$21,M200)*$F$6*60</f>
        <v/>
      </c>
      <c r="AC200" s="27">
        <f>(IF(G200=0,0,(Upgrades!$J$15+G200*Upgrades!$K$15)*POWER(Upgrades!$L$15,G200)))*(IF(Upgrades!$T$13="Microlensing",POWER(Upgrades!$U$13,E200),1)*IF(Upgrades!$T$14="Microlensing",POWER(Upgrades!$U$14,F200),1)*IF(Upgrades!$T$16="Microlensing",POWER(Upgrades!$U$16,H200),1)*IF(Upgrades!$T$17="Microlensing",POWER(Upgrades!$U$17,I200),1)*IF(Upgrades!$T$18="Microlensing",POWER(Upgrades!$U$18,J200),1)*IF(Upgrades!$T$19="Microlensing",POWER(Upgrades!$U$19,K200),1)*IF(Upgrades!$T$20="Microlensing",POWER(Upgrades!$U$20,L200),1)*IF(Upgrades!$T$21="Microlensing",POWER(Upgrades!$U$21,M200),1))*POWER(Upgrades!$Q$13,E200)*POWER(Upgrades!$Q$14,F200)*POWER(Upgrades!$Q$15,G200)*POWER(Upgrades!$Q$16,H200)*POWER(Upgrades!$Q$17,I200)*POWER(Upgrades!$Q$18,J200)*POWER(Upgrades!$Q$19,K200)*POWER(Upgrades!$Q$20,L200)*POWER(Upgrades!$Q$21,M200)*$G$6*(Parameters!$B$10*Parameters!$B$11+Q200*60)</f>
        <v/>
      </c>
      <c r="AD200" s="27">
        <f>(IF(H200=0,0,(Upgrades!$M$16+H200*Upgrades!$N$16)*POWER(Upgrades!$O$16,H200)))*(IF(Upgrades!$T$13="Roche Lobe Overflow",POWER(Upgrades!$U$13,E200),1)*IF(Upgrades!$T$14="Roche Lobe Overflow",POWER(Upgrades!$U$14,F200),1)*IF(Upgrades!$T$15="Roche Lobe Overflow",POWER(Upgrades!$U$15,G200),1)*IF(Upgrades!$T$17="Roche Lobe Overflow",POWER(Upgrades!$U$17,I200),1)*IF(Upgrades!$T$18="Roche Lobe Overflow",POWER(Upgrades!$U$18,J200),1)*IF(Upgrades!$T$19="Roche Lobe Overflow",POWER(Upgrades!$U$19,K200),1)*IF(Upgrades!$T$20="Roche Lobe Overflow",POWER(Upgrades!$U$20,L200),1)*IF(Upgrades!$T$21="Roche Lobe Overflow",POWER(Upgrades!$U$21,M200),1))*POWER(Upgrades!$R$13,E200)*POWER(Upgrades!$R$14,F200)*POWER(Upgrades!$R$15,G200)*POWER(Upgrades!$R$16,H200)*POWER(Upgrades!$R$17,I200)*POWER(Upgrades!$R$18,J200)*POWER(Upgrades!$R$19,K200)*POWER(Upgrades!$R$20,L200)*POWER(Upgrades!$R$21,M200)*$H$6*O200*60</f>
        <v/>
      </c>
      <c r="AE200" s="27">
        <f>(IF(I200=0,0,(Upgrades!$G$17+I200*Upgrades!$H$17)*POWER(Upgrades!$I$17,I200)))*(IF(Upgrades!$T$13="Brown Dwarf",POWER(Upgrades!$U$13,E200),1)*IF(Upgrades!$T$14="Brown Dwarf",POWER(Upgrades!$U$14,F200),1)*IF(Upgrades!$T$15="Brown Dwarf",POWER(Upgrades!$U$15,G200),1)*IF(Upgrades!$T$16="Brown Dwarf",POWER(Upgrades!$U$16,H200),1)*IF(Upgrades!$T$18="Brown Dwarf",POWER(Upgrades!$U$18,J200),1)*IF(Upgrades!$T$19="Brown Dwarf",POWER(Upgrades!$U$19,K200),1)*IF(Upgrades!$T$20="Brown Dwarf",POWER(Upgrades!$U$20,L200),1)*IF(Upgrades!$T$21="Brown Dwarf",POWER(Upgrades!$U$21,M200),1))*POWER(Upgrades!$P$13,E200)*POWER(Upgrades!$P$14,F200)*POWER(Upgrades!$P$15,G200)*POWER(Upgrades!$P$16,H200)*POWER(Upgrades!$P$17,I200)*POWER(Upgrades!$P$18,J200)*POWER(Upgrades!$P$19,K200)*POWER(Upgrades!$P$20,L200)*POWER(Upgrades!$P$21,M200)*$F$6*60</f>
        <v/>
      </c>
      <c r="AF200" s="27" t="n">
        <v>0</v>
      </c>
      <c r="AG200" s="27" t="n">
        <v>0</v>
      </c>
      <c r="AH200" s="27" t="n">
        <v>0</v>
      </c>
      <c r="AI200" s="27">
        <f>(IF(M200=0,0,(Upgrades!$G$21+M200*Upgrades!$H$21)*POWER(Upgrades!$I$21,M200)))*(IF(Upgrades!$T$13="Moving Group",POWER(Upgrades!$U$13,E200),1)*IF(Upgrades!$T$14="Moving Group",POWER(Upgrades!$U$14,F200),1)*IF(Upgrades!$T$15="Moving Group",POWER(Upgrades!$U$15,G200),1)*IF(Upgrades!$T$16="Moving Group",POWER(Upgrades!$U$16,H200),1)*IF(Upgrades!$T$17="Moving Group",POWER(Upgrades!$U$17,I200),1)*IF(Upgrades!$T$18="Moving Group",POWER(Upgrades!$U$18,J200),1)*IF(Upgrades!$T$19="Moving Group",POWER(Upgrades!$U$19,K200),1)*IF(Upgrades!$T$20="Moving Group",POWER(Upgrades!$U$20,L200),1))*POWER(Upgrades!$P$13,E200)*POWER(Upgrades!$P$14,F200)*POWER(Upgrades!$P$15,G200)*POWER(Upgrades!$P$16,H200)*POWER(Upgrades!$P$17,I200)*POWER(Upgrades!$P$18,J200)*POWER(Upgrades!$P$19,K200)*POWER(Upgrades!$P$20,L200)*POWER(Upgrades!$P$21,M200)*$F$6*60</f>
        <v/>
      </c>
      <c r="AJ200" s="27">
        <f>$C$6*60</f>
        <v/>
      </c>
      <c r="AK200" s="22">
        <f>IF(E200&gt;=Upgrades!$E$13,"",Upgrades!$C$13*POWER(Upgrades!$D$13,E200))</f>
        <v/>
      </c>
      <c r="AL200" s="22">
        <f>IF(F200&gt;=Upgrades!$E$14,"",Upgrades!$C$14*POWER(Upgrades!$D$14,F200))</f>
        <v/>
      </c>
      <c r="AM200" s="22">
        <f>IF(G200&gt;=Upgrades!$E$15,"",Upgrades!$C$15*POWER(Upgrades!$D$15,G200))</f>
        <v/>
      </c>
      <c r="AN200" s="22">
        <f>IF(H200&gt;=Upgrades!$E$16,"",Upgrades!$C$16*POWER(Upgrades!$D$16,H200))</f>
        <v/>
      </c>
      <c r="AO200" s="22">
        <f>IF(I200&gt;=Upgrades!$E$17,"",Upgrades!$C$17*POWER(Upgrades!$D$17,I200))</f>
        <v/>
      </c>
      <c r="AP200" s="22">
        <f>IF(J200&gt;=Upgrades!$E$18,"",Upgrades!$C$18*POWER(Upgrades!$D$18,J200))</f>
        <v/>
      </c>
      <c r="AQ200" s="22">
        <f>IF(K200&gt;=Upgrades!$E$19,"",Upgrades!$C$19*POWER(Upgrades!$D$19,K200))</f>
        <v/>
      </c>
      <c r="AR200" s="22">
        <f>IF(L200&gt;=Upgrades!$E$20,"",Upgrades!$C$20*POWER(Upgrades!$D$20,L200))</f>
        <v/>
      </c>
      <c r="AS200" s="22">
        <f>IF(M200&gt;=Upgrades!$E$21,"",Upgrades!$C$21*POWER(Upgrades!$D$21,M200))</f>
        <v/>
      </c>
      <c r="AT200" s="26">
        <f>IF(AND(D200&gt;=Parameters!$B$18*Parameters!$B$19,(I200&gt;=Upgrades!$E$17)*(M200&gt;=Upgrades!$E$21)=1,N200=0),1,"")</f>
        <v/>
      </c>
      <c r="AU200" s="26">
        <f>IF(AND(D200&gt;=Parameters!$B$18*Parameters!$B$19,N200=0),1,"")</f>
        <v/>
      </c>
      <c r="AV200" s="22">
        <f>MIN(IF(ISNUMBER(AP200),AP200,9E15),IF(ISNUMBER(AQ200),AQ200,9E15),IF(ISNUMBER(AR200),AR200,9E15),IF(ISNUMBER(AS200),AS200,9E15))</f>
        <v/>
      </c>
      <c r="AW200" s="22">
        <f>MIN(IF(ISNUMBER(AK200),AK200,9E15),IF(ISNUMBER(AL200),AL200,9E15),IF(ISNUMBER(AM200),AM200,9E15),IF(ISNUMBER(AN200),AN200,9E15),IF(ISNUMBER(AO200),AO200,9E15))</f>
        <v/>
      </c>
      <c r="AX200" s="29">
        <f>IF(BD200&gt;Parameters!$B$21*(MAX(IF(AND(NOT(AND(AU200=1,AT200&lt;&gt;1)),ISNUMBER(AK200),AK200&lt;=(C200+T200)),AY200,0),IF(AND(NOT(AND(AU200=1,AT200&lt;&gt;1)),ISNUMBER(AL200),AL200&lt;=(C200+T200)),AZ200,0),IF(AND(NOT(AND(AU200=1,AT200&lt;&gt;1)),ISNUMBER(AM200),AM200&lt;=(C200+T200)),BA200,0),IF(AND(NOT(AND(AU200=1,AT200&lt;&gt;1)),ISNUMBER(AN200),AN200&lt;=(C200+T200)),BB200,0),IF(AND(ISNUMBER(AO200),AO200&lt;=(C200+T200)),BC200,0))),TRUE,FALSE)</f>
        <v/>
      </c>
      <c r="AY200" s="32">
        <f>IFERROR(Upgrades!$H$13*(POWER(Upgrades!$P$13,E200)*POWER(Upgrades!$P$14,F200)*POWER(Upgrades!$P$15,G200)*POWER(Upgrades!$P$16,H200)*POWER(Upgrades!$P$17,I200)*POWER(Upgrades!$P$18,J200)*POWER(Upgrades!$P$19,K200)*POWER(Upgrades!$P$20,L200)*POWER(Upgrades!$P$21,M200))*(IF(Upgrades!$T$14="Stellar Kinematics",POWER(Upgrades!$U$14,F200),1)*IF(Upgrades!$T$15="Stellar Kinematics",POWER(Upgrades!$U$15,G200),1)*IF(Upgrades!$T$16="Stellar Kinematics",POWER(Upgrades!$U$16,H200),1)*IF(Upgrades!$T$17="Stellar Kinematics",POWER(Upgrades!$U$17,I200),1)*IF(Upgrades!$T$18="Stellar Kinematics",POWER(Upgrades!$U$18,J200),1)*IF(Upgrades!$T$19="Stellar Kinematics",POWER(Upgrades!$U$19,K200),1)*IF(Upgrades!$T$20="Stellar Kinematics",POWER(Upgrades!$U$20,L200),1)*IF(Upgrades!$T$21="Stellar Kinematics",POWER(Upgrades!$U$21,M200),1))*$F$6/AK200,0)</f>
        <v/>
      </c>
      <c r="AZ200" s="32">
        <f>IFERROR(Upgrades!$H$14*(POWER(Upgrades!$P$13,E200)*POWER(Upgrades!$P$14,F200)*POWER(Upgrades!$P$15,G200)*POWER(Upgrades!$P$16,H200)*POWER(Upgrades!$P$17,I200)*POWER(Upgrades!$P$18,J200)*POWER(Upgrades!$P$19,K200)*POWER(Upgrades!$P$20,L200)*POWER(Upgrades!$P$21,M200))*(IF(Upgrades!$T$13="Local Bubble",POWER(Upgrades!$U$13,E200),1)*IF(Upgrades!$T$15="Local Bubble",POWER(Upgrades!$U$15,G200),1)*IF(Upgrades!$T$16="Local Bubble",POWER(Upgrades!$U$16,H200),1)*IF(Upgrades!$T$17="Local Bubble",POWER(Upgrades!$U$17,I200),1)*IF(Upgrades!$T$18="Local Bubble",POWER(Upgrades!$U$18,J200),1)*IF(Upgrades!$T$19="Local Bubble",POWER(Upgrades!$U$19,K200),1)*IF(Upgrades!$T$20="Local Bubble",POWER(Upgrades!$U$20,L200),1)*IF(Upgrades!$T$21="Local Bubble",POWER(Upgrades!$U$21,M200),1))*$F$6/AL200,0)</f>
        <v/>
      </c>
      <c r="BA200" s="32">
        <f>IFERROR(Upgrades!$K$15*(POWER(Upgrades!$Q$13,E200)*POWER(Upgrades!$Q$14,F200)*POWER(Upgrades!$Q$15,G200)*POWER(Upgrades!$Q$16,H200)*POWER(Upgrades!$Q$17,I200)*POWER(Upgrades!$Q$18,J200)*POWER(Upgrades!$Q$19,K200)*POWER(Upgrades!$Q$20,L200)*POWER(Upgrades!$Q$21,M200))*(IF(Upgrades!$T$13="Microlensing",POWER(Upgrades!$U$13,E200),1)*IF(Upgrades!$T$14="Microlensing",POWER(Upgrades!$U$14,F200),1)*IF(Upgrades!$T$16="Microlensing",POWER(Upgrades!$U$16,H200),1)*IF(Upgrades!$T$17="Microlensing",POWER(Upgrades!$U$17,I200),1)*IF(Upgrades!$T$18="Microlensing",POWER(Upgrades!$U$18,J200),1)*IF(Upgrades!$T$19="Microlensing",POWER(Upgrades!$U$19,K200),1)*IF(Upgrades!$T$20="Microlensing",POWER(Upgrades!$U$20,L200),1)*IF(Upgrades!$T$21="Microlensing",POWER(Upgrades!$U$21,M200),1))*$G$6*(Parameters!$B$10/60*Parameters!$B$11+Q200)/AM200,0)</f>
        <v/>
      </c>
      <c r="BB200" s="32">
        <f>IFERROR((Upgrades!$N$16*(POWER(Upgrades!$R$13,E200)*POWER(Upgrades!$R$14,F200)*POWER(Upgrades!$R$15,G200)*POWER(Upgrades!$R$16,H200)*POWER(Upgrades!$R$17,I200)*POWER(Upgrades!$R$18,J200)*POWER(Upgrades!$R$19,K200)*POWER(Upgrades!$R$20,L200)*POWER(Upgrades!$R$21,M200))*(IF(Upgrades!$T$13="Roche Lobe Overflow",POWER(Upgrades!$U$13,E200),1)*IF(Upgrades!$T$14="Roche Lobe Overflow",POWER(Upgrades!$U$14,F200),1)*IF(Upgrades!$T$15="Roche Lobe Overflow",POWER(Upgrades!$U$15,G200),1)*IF(Upgrades!$T$17="Roche Lobe Overflow",POWER(Upgrades!$U$17,I200),1)*IF(Upgrades!$T$18="Roche Lobe Overflow",POWER(Upgrades!$U$18,J200),1)*IF(Upgrades!$T$19="Roche Lobe Overflow",POWER(Upgrades!$U$19,K200),1)*IF(Upgrades!$T$20="Roche Lobe Overflow",POWER(Upgrades!$U$20,L200),1)*IF(Upgrades!$T$21="Roche Lobe Overflow",POWER(Upgrades!$U$21,M200),1))*$H$6*O200+((IF(F200=0,0,(Upgrades!$G$14+F200*Upgrades!$H$14)*POWER(Upgrades!$I$14,F200)))*(IF(Upgrades!$T$13="Local Bubble",POWER(Upgrades!$U$13,E200),1)*IF(Upgrades!$T$15="Local Bubble",POWER(Upgrades!$U$15,G200),1)*IF(Upgrades!$T$16="Local Bubble",POWER(Upgrades!$U$16,H200),1)*IF(Upgrades!$T$17="Local Bubble",POWER(Upgrades!$U$17,I200),1)*IF(Upgrades!$T$18="Local Bubble",POWER(Upgrades!$U$18,J200),1)*IF(Upgrades!$T$19="Local Bubble",POWER(Upgrades!$U$19,K200),1)*IF(Upgrades!$T$20="Local Bubble",POWER(Upgrades!$U$20,L200),1)*IF(Upgrades!$T$21="Local Bubble",POWER(Upgrades!$U$21,M200),1))*POWER(Upgrades!$P$13,E200)*POWER(Upgrades!$P$14,F200)*POWER(Upgrades!$P$15,G200)*POWER(Upgrades!$P$16,H200)*POWER(Upgrades!$P$17,I200)*POWER(Upgrades!$P$18,J200)*POWER(Upgrades!$P$19,K200)*POWER(Upgrades!$P$20,L200)*POWER(Upgrades!$P$21,M200)*$F$6)*0.05)/AN200,0)</f>
        <v/>
      </c>
      <c r="BC200" s="32">
        <f>IFERROR((Upgrades!$H$17*(POWER(Upgrades!$P$13,E200)*POWER(Upgrades!$P$14,F200)*POWER(Upgrades!$P$15,G200)*POWER(Upgrades!$P$16,H200)*POWER(Upgrades!$P$17,I200)*POWER(Upgrades!$P$18,J200)*POWER(Upgrades!$P$19,K200)*POWER(Upgrades!$P$20,L200)*POWER(Upgrades!$P$21,M200))*(IF(Upgrades!$T$13="Brown Dwarf",POWER(Upgrades!$U$13,E200),1)*IF(Upgrades!$T$14="Brown Dwarf",POWER(Upgrades!$U$14,F200),1)*IF(Upgrades!$T$15="Brown Dwarf",POWER(Upgrades!$U$15,G200),1)*IF(Upgrades!$T$16="Brown Dwarf",POWER(Upgrades!$U$16,H200),1)*IF(Upgrades!$T$18="Brown Dwarf",POWER(Upgrades!$U$18,J200),1)*IF(Upgrades!$T$19="Brown Dwarf",POWER(Upgrades!$U$19,K200),1)*IF(Upgrades!$T$20="Brown Dwarf",POWER(Upgrades!$U$20,L200),1)*IF(Upgrades!$T$21="Brown Dwarf",POWER(Upgrades!$U$21,M200),1))*$F$6+(((IF(H200=0,0,(Upgrades!$M$16+H200*Upgrades!$N$16)*POWER(Upgrades!$O$16,H200)))*(IF(Upgrades!$T$13="Roche Lobe Overflow",POWER(Upgrades!$U$13,E200),1)*IF(Upgrades!$T$14="Roche Lobe Overflow",POWER(Upgrades!$U$14,F200),1)*IF(Upgrades!$T$15="Roche Lobe Overflow",POWER(Upgrades!$U$15,G200),1)*IF(Upgrades!$T$17="Roche Lobe Overflow",POWER(Upgrades!$U$17,I200),1)*IF(Upgrades!$T$18="Roche Lobe Overflow",POWER(Upgrades!$U$18,J200),1)*IF(Upgrades!$T$19="Roche Lobe Overflow",POWER(Upgrades!$U$19,K200),1)*IF(Upgrades!$T$20="Roche Lobe Overflow",POWER(Upgrades!$U$20,L200),1)*IF(Upgrades!$T$21="Roche Lobe Overflow",POWER(Upgrades!$U$21,M200),1))*POWER(Upgrades!$R$13,E200)*POWER(Upgrades!$R$14,F200)*POWER(Upgrades!$R$15,G200)*POWER(Upgrades!$R$16,H200)*POWER(Upgrades!$R$17,I200)*POWER(Upgrades!$R$18,J200)*POWER(Upgrades!$R$19,K200)*POWER(Upgrades!$R$20,L200)*POWER(Upgrades!$R$21,M200)*$H$6)*O200)*0.10)/AO200,0)</f>
        <v/>
      </c>
      <c r="BD200" s="32">
        <f>MAX(IF(J200&gt;0,0,IFERROR(0.5*((IF(G200=0,0,(Upgrades!$J$15+G200*Upgrades!$K$15)*POWER(Upgrades!$L$15,G200)))*(IF(Upgrades!$T$13="Microlensing",POWER(Upgrades!$U$13,E200),1)*IF(Upgrades!$T$14="Microlensing",POWER(Upgrades!$U$14,F200),1)*IF(Upgrades!$T$16="Microlensing",POWER(Upgrades!$U$16,H200),1)*IF(Upgrades!$T$17="Microlensing",POWER(Upgrades!$U$17,I200),1)*IF(Upgrades!$T$18="Microlensing",POWER(Upgrades!$U$18,J200),1)*IF(Upgrades!$T$19="Microlensing",POWER(Upgrades!$U$19,K200),1)*IF(Upgrades!$T$20="Microlensing",POWER(Upgrades!$U$20,L200),1)*IF(Upgrades!$T$21="Microlensing",POWER(Upgrades!$U$21,M200),1))*(POWER(Upgrades!$Q$13,E200)*POWER(Upgrades!$Q$14,F200)*POWER(Upgrades!$Q$15,G200)*POWER(Upgrades!$Q$16,H200)*POWER(Upgrades!$Q$17,I200)*POWER(Upgrades!$Q$18,J200)*POWER(Upgrades!$Q$19,K200)*POWER(Upgrades!$Q$20,L200)*POWER(Upgrades!$Q$21,M200))*$G$6*(Parameters!$B$10/60*Parameters!$B$11+Q200))/Upgrades!$C$18,0)),IF(K200&gt;0,0,IFERROR(0.30*P200/Upgrades!$C$19,0)),IF(L200&gt;0,0,IFERROR(0.0001/Upgrades!$C$20,0)),IF(M200&gt;0,0,IFERROR((6.0*(POWER(Upgrades!$P$13,E200)*POWER(Upgrades!$P$14,F200)*POWER(Upgrades!$P$15,G200)*POWER(Upgrades!$P$16,H200)*POWER(Upgrades!$P$17,I200)*POWER(Upgrades!$P$18,J200)*POWER(Upgrades!$P$19,K200)*POWER(Upgrades!$P$20,L200)*POWER(Upgrades!$P$21,M200))*$F$6+0.20*O200*(Parameters!$B$10/60*Parameters!$B$11+Q200))/Upgrades!$C$21,0)),IF(AND(ISNUMBER(AK200),AK200&gt;(C200+T200)),AY200,0),IF(AND(ISNUMBER(AL200),AL200&gt;(C200+T200)),AZ200,0),IF(AND(ISNUMBER(AM200),AM200&gt;(C200+T200)),BA200,0),IF(AND(ISNUMBER(AN200),AN200&gt;(C200+T200)),BB200,0),IF(AND(ISNUMBER(AO200),AO200&gt;(C200+T200)),BC200,0))</f>
        <v/>
      </c>
      <c r="BE200" s="29">
        <f>IF(AT200=1,"transition",IF(MIN(IF(AND(J200=0,ISNUMBER(AP200),AP200&lt;=(C200+T200)),AP200,9E15),IF(AND(K200=0,ISNUMBER(AQ200),AQ200&lt;=(C200+T200)),AQ200,9E15),IF(AND(L200=0,ISNUMBER(AR200),AR200&lt;=(C200+T200)),AR200,9E15),IF(AND(M200=0,ISNUMBER(AS200),AS200&lt;=(C200+T200)),AS200,9E15))&lt;9E15,IF(AND(AND(J200=0,ISNUMBER(AP200),AP200&lt;=(C200+T200)),AP200=MIN(IF(AND(J200=0,ISNUMBER(AP200),AP200&lt;=(C200+T200)),AP200,9E15),IF(AND(K200=0,ISNUMBER(AQ200),AQ200&lt;=(C200+T200)),AQ200,9E15),IF(AND(L200=0,ISNUMBER(AR200),AR200&lt;=(C200+T200)),AR200,9E15),IF(AND(M200=0,ISNUMBER(AS200),AS200&lt;=(C200+T200)),AS200,9E15))),"BiP",IF(AND(AND(K200=0,ISNUMBER(AQ200),AQ200&lt;=(C200+T200)),AQ200=MIN(IF(AND(J200=0,ISNUMBER(AP200),AP200&lt;=(C200+T200)),AP200,9E15),IF(AND(K200=0,ISNUMBER(AQ200),AQ200&lt;=(C200+T200)),AQ200,9E15),IF(AND(L200=0,ISNUMBER(AR200),AR200&lt;=(C200+T200)),AR200,9E15),IF(AND(M200=0,ISNUMBER(AS200),AS200&lt;=(C200+T200)),AS200,9E15))),"PV",IF(AND(AND(L200=0,ISNUMBER(AR200),AR200&lt;=(C200+T200)),AR200=MIN(IF(AND(J200=0,ISNUMBER(AP200),AP200&lt;=(C200+T200)),AP200,9E15),IF(AND(K200=0,ISNUMBER(AQ200),AQ200&lt;=(C200+T200)),AQ200,9E15),IF(AND(L200=0,ISNUMBER(AR200),AR200&lt;=(C200+T200)),AR200,9E15),IF(AND(M200=0,ISNUMBER(AS200),AS200&lt;=(C200+T200)),AS200,9E15))),"OC","MG"))),IF(AX200=TRUE,"",IF(MAX(IF(AND(NOT(AND(AU200=1,AT200&lt;&gt;1)),ISNUMBER(AK200),AK200&lt;=(C200+T200)),AY200,0),IF(AND(NOT(AND(AU200=1,AT200&lt;&gt;1)),ISNUMBER(AL200),AL200&lt;=(C200+T200)),AZ200,0),IF(AND(NOT(AND(AU200=1,AT200&lt;&gt;1)),ISNUMBER(AM200),AM200&lt;=(C200+T200)),BA200,0),IF(AND(NOT(AND(AU200=1,AT200&lt;&gt;1)),ISNUMBER(AN200),AN200&lt;=(C200+T200)),BB200,0),IF(AND(ISNUMBER(AO200),AO200&lt;=(C200+T200)),BC200,0))&lt;=0,"",IF(AND(IF(AND(NOT(AND(AU200=1,AT200&lt;&gt;1)),ISNUMBER(AK200),AK200&lt;=(C200+T200)),AY200,0)&gt;0,IF(AND(NOT(AND(AU200=1,AT200&lt;&gt;1)),ISNUMBER(AK200),AK200&lt;=(C200+T200)),AY200,0)=MAX(IF(AND(NOT(AND(AU200=1,AT200&lt;&gt;1)),ISNUMBER(AK200),AK200&lt;=(C200+T200)),AY200,0),IF(AND(NOT(AND(AU200=1,AT200&lt;&gt;1)),ISNUMBER(AL200),AL200&lt;=(C200+T200)),AZ200,0),IF(AND(NOT(AND(AU200=1,AT200&lt;&gt;1)),ISNUMBER(AM200),AM200&lt;=(C200+T200)),BA200,0),IF(AND(NOT(AND(AU200=1,AT200&lt;&gt;1)),ISNUMBER(AN200),AN200&lt;=(C200+T200)),BB200,0),IF(AND(ISNUMBER(AO200),AO200&lt;=(C200+T200)),BC200,0))),"SK",IF(AND(IF(AND(NOT(AND(AU200=1,AT200&lt;&gt;1)),ISNUMBER(AL200),AL200&lt;=(C200+T200)),AZ200,0)&gt;0,IF(AND(NOT(AND(AU200=1,AT200&lt;&gt;1)),ISNUMBER(AL200),AL200&lt;=(C200+T200)),AZ200,0)=MAX(IF(AND(NOT(AND(AU200=1,AT200&lt;&gt;1)),ISNUMBER(AK200),AK200&lt;=(C200+T200)),AY200,0),IF(AND(NOT(AND(AU200=1,AT200&lt;&gt;1)),ISNUMBER(AL200),AL200&lt;=(C200+T200)),AZ200,0),IF(AND(NOT(AND(AU200=1,AT200&lt;&gt;1)),ISNUMBER(AM200),AM200&lt;=(C200+T200)),BA200,0),IF(AND(NOT(AND(AU200=1,AT200&lt;&gt;1)),ISNUMBER(AN200),AN200&lt;=(C200+T200)),BB200,0),IF(AND(ISNUMBER(AO200),AO200&lt;=(C200+T200)),BC200,0))),"LB",IF(AND(IF(AND(NOT(AND(AU200=1,AT200&lt;&gt;1)),ISNUMBER(AM200),AM200&lt;=(C200+T200)),BA200,0)&gt;0,IF(AND(NOT(AND(AU200=1,AT200&lt;&gt;1)),ISNUMBER(AM200),AM200&lt;=(C200+T200)),BA200,0)=MAX(IF(AND(NOT(AND(AU200=1,AT200&lt;&gt;1)),ISNUMBER(AK200),AK200&lt;=(C200+T200)),AY200,0),IF(AND(NOT(AND(AU200=1,AT200&lt;&gt;1)),ISNUMBER(AL200),AL200&lt;=(C200+T200)),AZ200,0),IF(AND(NOT(AND(AU200=1,AT200&lt;&gt;1)),ISNUMBER(AM200),AM200&lt;=(C200+T200)),BA200,0),IF(AND(NOT(AND(AU200=1,AT200&lt;&gt;1)),ISNUMBER(AN200),AN200&lt;=(C200+T200)),BB200,0),IF(AND(ISNUMBER(AO200),AO200&lt;=(C200+T200)),BC200,0))),"ML",IF(AND(IF(AND(NOT(AND(AU200=1,AT200&lt;&gt;1)),ISNUMBER(AN200),AN200&lt;=(C200+T200)),BB200,0)&gt;0,IF(AND(NOT(AND(AU200=1,AT200&lt;&gt;1)),ISNUMBER(AN200),AN200&lt;=(C200+T200)),BB200,0)=MAX(IF(AND(NOT(AND(AU200=1,AT200&lt;&gt;1)),ISNUMBER(AK200),AK200&lt;=(C200+T200)),AY200,0),IF(AND(NOT(AND(AU200=1,AT200&lt;&gt;1)),ISNUMBER(AL200),AL200&lt;=(C200+T200)),AZ200,0),IF(AND(NOT(AND(AU200=1,AT200&lt;&gt;1)),ISNUMBER(AM200),AM200&lt;=(C200+T200)),BA200,0),IF(AND(NOT(AND(AU200=1,AT200&lt;&gt;1)),ISNUMBER(AN200),AN200&lt;=(C200+T200)),BB200,0),IF(AND(ISNUMBER(AO200),AO200&lt;=(C200+T200)),BC200,0))),"RLO","BD"))))))))</f>
        <v/>
      </c>
    </row>
    <row r="201">
      <c r="A201" s="26" t="n">
        <v>190</v>
      </c>
      <c r="B201" s="27">
        <f>A201*10/60</f>
        <v/>
      </c>
      <c r="C201" s="22">
        <f>X200</f>
        <v/>
      </c>
      <c r="D201" s="27">
        <f>D200+W200</f>
        <v/>
      </c>
      <c r="E201" s="26">
        <f>E200+IF(U200="SK",1,0)</f>
        <v/>
      </c>
      <c r="F201" s="26">
        <f>F200+IF(U200="LB",1,0)</f>
        <v/>
      </c>
      <c r="G201" s="26">
        <f>G200+IF(U200="ML",1,0)</f>
        <v/>
      </c>
      <c r="H201" s="26">
        <f>H200+IF(U200="RLO",1,0)</f>
        <v/>
      </c>
      <c r="I201" s="26">
        <f>I200+IF(U200="BD",1,0)</f>
        <v/>
      </c>
      <c r="J201" s="26">
        <f>MAX(J200,IF(U200="BiP",1,0))</f>
        <v/>
      </c>
      <c r="K201" s="26">
        <f>MAX(K200,IF(U200="PV",1,0))</f>
        <v/>
      </c>
      <c r="L201" s="26">
        <f>MAX(L200,IF(U200="OC",1,0))</f>
        <v/>
      </c>
      <c r="M201" s="26">
        <f>MAX(M200,IF(U200="MG",1,0))</f>
        <v/>
      </c>
      <c r="N201" s="26">
        <f>MAX(N200,IF(U200="transition",1,0))</f>
        <v/>
      </c>
      <c r="O201" s="28">
        <f>(Parameters!$B$9+(IF(E201=0,0,(Upgrades!$J$13+E201*Upgrades!$K$13)*POWER(Upgrades!$L$13,E201)))*(IF(Upgrades!$T$14="Stellar Kinematics",POWER(Upgrades!$U$14,F201),1)*IF(Upgrades!$T$15="Stellar Kinematics",POWER(Upgrades!$U$15,G201),1)*IF(Upgrades!$T$16="Stellar Kinematics",POWER(Upgrades!$U$16,H201),1)*IF(Upgrades!$T$17="Stellar Kinematics",POWER(Upgrades!$U$17,I201),1)*IF(Upgrades!$T$18="Stellar Kinematics",POWER(Upgrades!$U$18,J201),1)*IF(Upgrades!$T$19="Stellar Kinematics",POWER(Upgrades!$U$19,K201),1)*IF(Upgrades!$T$20="Stellar Kinematics",POWER(Upgrades!$U$20,L201),1)*IF(Upgrades!$T$21="Stellar Kinematics",POWER(Upgrades!$U$21,M201),1))+(IF(F201=0,0,(Upgrades!$J$14+F201*Upgrades!$K$14)*POWER(Upgrades!$L$14,F201)))*(IF(Upgrades!$T$13="Local Bubble",POWER(Upgrades!$U$13,E201),1)*IF(Upgrades!$T$15="Local Bubble",POWER(Upgrades!$U$15,G201),1)*IF(Upgrades!$T$16="Local Bubble",POWER(Upgrades!$U$16,H201),1)*IF(Upgrades!$T$17="Local Bubble",POWER(Upgrades!$U$17,I201),1)*IF(Upgrades!$T$18="Local Bubble",POWER(Upgrades!$U$18,J201),1)*IF(Upgrades!$T$19="Local Bubble",POWER(Upgrades!$U$19,K201),1)*IF(Upgrades!$T$20="Local Bubble",POWER(Upgrades!$U$20,L201),1)*IF(Upgrades!$T$21="Local Bubble",POWER(Upgrades!$U$21,M201),1))+(IF(G201=0,0,(Upgrades!$J$15+G201*Upgrades!$K$15)*POWER(Upgrades!$L$15,G201)))*(IF(Upgrades!$T$13="Microlensing",POWER(Upgrades!$U$13,E201),1)*IF(Upgrades!$T$14="Microlensing",POWER(Upgrades!$U$14,F201),1)*IF(Upgrades!$T$16="Microlensing",POWER(Upgrades!$U$16,H201),1)*IF(Upgrades!$T$17="Microlensing",POWER(Upgrades!$U$17,I201),1)*IF(Upgrades!$T$18="Microlensing",POWER(Upgrades!$U$18,J201),1)*IF(Upgrades!$T$19="Microlensing",POWER(Upgrades!$U$19,K201),1)*IF(Upgrades!$T$20="Microlensing",POWER(Upgrades!$U$20,L201),1)*IF(Upgrades!$T$21="Microlensing",POWER(Upgrades!$U$21,M201),1))+(IF(H201=0,0,(Upgrades!$J$16+H201*Upgrades!$K$16)*POWER(Upgrades!$L$16,H201)))*(IF(Upgrades!$T$13="Roche Lobe Overflow",POWER(Upgrades!$U$13,E201),1)*IF(Upgrades!$T$14="Roche Lobe Overflow",POWER(Upgrades!$U$14,F201),1)*IF(Upgrades!$T$15="Roche Lobe Overflow",POWER(Upgrades!$U$15,G201),1)*IF(Upgrades!$T$17="Roche Lobe Overflow",POWER(Upgrades!$U$17,I201),1)*IF(Upgrades!$T$18="Roche Lobe Overflow",POWER(Upgrades!$U$18,J201),1)*IF(Upgrades!$T$19="Roche Lobe Overflow",POWER(Upgrades!$U$19,K201),1)*IF(Upgrades!$T$20="Roche Lobe Overflow",POWER(Upgrades!$U$20,L201),1)*IF(Upgrades!$T$21="Roche Lobe Overflow",POWER(Upgrades!$U$21,M201),1))+(IF(I201=0,0,(Upgrades!$J$17+I201*Upgrades!$K$17)*POWER(Upgrades!$L$17,I201)))*(IF(Upgrades!$T$13="Brown Dwarf",POWER(Upgrades!$U$13,E201),1)*IF(Upgrades!$T$14="Brown Dwarf",POWER(Upgrades!$U$14,F201),1)*IF(Upgrades!$T$15="Brown Dwarf",POWER(Upgrades!$U$15,G201),1)*IF(Upgrades!$T$16="Brown Dwarf",POWER(Upgrades!$U$16,H201),1)*IF(Upgrades!$T$18="Brown Dwarf",POWER(Upgrades!$U$18,J201),1)*IF(Upgrades!$T$19="Brown Dwarf",POWER(Upgrades!$U$19,K201),1)*IF(Upgrades!$T$20="Brown Dwarf",POWER(Upgrades!$U$20,L201),1)*IF(Upgrades!$T$21="Brown Dwarf",POWER(Upgrades!$U$21,M201),1))+(IF(J201=0,0,(Upgrades!$J$18+J201*Upgrades!$K$18)*POWER(Upgrades!$L$18,J201)))*(IF(Upgrades!$T$13="Binary Partner",POWER(Upgrades!$U$13,E201),1)*IF(Upgrades!$T$14="Binary Partner",POWER(Upgrades!$U$14,F201),1)*IF(Upgrades!$T$15="Binary Partner",POWER(Upgrades!$U$15,G201),1)*IF(Upgrades!$T$16="Binary Partner",POWER(Upgrades!$U$16,H201),1)*IF(Upgrades!$T$17="Binary Partner",POWER(Upgrades!$U$17,I201),1)*IF(Upgrades!$T$19="Binary Partner",POWER(Upgrades!$U$19,K201),1)*IF(Upgrades!$T$20="Binary Partner",POWER(Upgrades!$U$20,L201),1)*IF(Upgrades!$T$21="Binary Partner",POWER(Upgrades!$U$21,M201),1))+(IF(K201=0,0,(Upgrades!$J$19+K201*Upgrades!$K$19)*POWER(Upgrades!$L$19,K201)))*(IF(Upgrades!$T$13="Peculiar Velocity",POWER(Upgrades!$U$13,E201),1)*IF(Upgrades!$T$14="Peculiar Velocity",POWER(Upgrades!$U$14,F201),1)*IF(Upgrades!$T$15="Peculiar Velocity",POWER(Upgrades!$U$15,G201),1)*IF(Upgrades!$T$16="Peculiar Velocity",POWER(Upgrades!$U$16,H201),1)*IF(Upgrades!$T$17="Peculiar Velocity",POWER(Upgrades!$U$17,I201),1)*IF(Upgrades!$T$18="Peculiar Velocity",POWER(Upgrades!$U$18,J201),1)*IF(Upgrades!$T$20="Peculiar Velocity",POWER(Upgrades!$U$20,L201),1)*IF(Upgrades!$T$21="Peculiar Velocity",POWER(Upgrades!$U$21,M201),1))+(IF(L201=0,0,(Upgrades!$J$20+L201*Upgrades!$K$20)*POWER(Upgrades!$L$20,L201)))*(IF(Upgrades!$T$13="Open Cluster",POWER(Upgrades!$U$13,E201),1)*IF(Upgrades!$T$14="Open Cluster",POWER(Upgrades!$U$14,F201),1)*IF(Upgrades!$T$15="Open Cluster",POWER(Upgrades!$U$15,G201),1)*IF(Upgrades!$T$16="Open Cluster",POWER(Upgrades!$U$16,H201),1)*IF(Upgrades!$T$17="Open Cluster",POWER(Upgrades!$U$17,I201),1)*IF(Upgrades!$T$18="Open Cluster",POWER(Upgrades!$U$18,J201),1)*IF(Upgrades!$T$19="Open Cluster",POWER(Upgrades!$U$19,K201),1)*IF(Upgrades!$T$21="Open Cluster",POWER(Upgrades!$U$21,M201),1))+(IF(M201=0,0,(Upgrades!$J$21+M201*Upgrades!$K$21)*POWER(Upgrades!$L$21,M201)))*(IF(Upgrades!$T$13="Moving Group",POWER(Upgrades!$U$13,E201),1)*IF(Upgrades!$T$14="Moving Group",POWER(Upgrades!$U$14,F201),1)*IF(Upgrades!$T$15="Moving Group",POWER(Upgrades!$U$15,G201),1)*IF(Upgrades!$T$16="Moving Group",POWER(Upgrades!$U$16,H201),1)*IF(Upgrades!$T$17="Moving Group",POWER(Upgrades!$U$17,I201),1)*IF(Upgrades!$T$18="Moving Group",POWER(Upgrades!$U$18,J201),1)*IF(Upgrades!$T$19="Moving Group",POWER(Upgrades!$U$19,K201),1)*IF(Upgrades!$T$20="Moving Group",POWER(Upgrades!$U$20,L201),1)))*POWER(Upgrades!$Q$13,E201)*POWER(Upgrades!$Q$14,F201)*POWER(Upgrades!$Q$15,G201)*POWER(Upgrades!$Q$16,H201)*POWER(Upgrades!$Q$17,I201)*POWER(Upgrades!$Q$18,J201)*POWER(Upgrades!$Q$19,K201)*POWER(Upgrades!$Q$20,L201)*POWER(Upgrades!$Q$21,M201)*$G$6+$D$6</f>
        <v/>
      </c>
      <c r="P201" s="28">
        <f>((IF(E201=0,0,(Upgrades!$G$13+E201*Upgrades!$H$13)*POWER(Upgrades!$I$13,E201)))*(IF(Upgrades!$T$14="Stellar Kinematics",POWER(Upgrades!$U$14,F201),1)*IF(Upgrades!$T$15="Stellar Kinematics",POWER(Upgrades!$U$15,G201),1)*IF(Upgrades!$T$16="Stellar Kinematics",POWER(Upgrades!$U$16,H201),1)*IF(Upgrades!$T$17="Stellar Kinematics",POWER(Upgrades!$U$17,I201),1)*IF(Upgrades!$T$18="Stellar Kinematics",POWER(Upgrades!$U$18,J201),1)*IF(Upgrades!$T$19="Stellar Kinematics",POWER(Upgrades!$U$19,K201),1)*IF(Upgrades!$T$20="Stellar Kinematics",POWER(Upgrades!$U$20,L201),1)*IF(Upgrades!$T$21="Stellar Kinematics",POWER(Upgrades!$U$21,M201),1))+(IF(F201=0,0,(Upgrades!$G$14+F201*Upgrades!$H$14)*POWER(Upgrades!$I$14,F201)))*(IF(Upgrades!$T$13="Local Bubble",POWER(Upgrades!$U$13,E201),1)*IF(Upgrades!$T$15="Local Bubble",POWER(Upgrades!$U$15,G201),1)*IF(Upgrades!$T$16="Local Bubble",POWER(Upgrades!$U$16,H201),1)*IF(Upgrades!$T$17="Local Bubble",POWER(Upgrades!$U$17,I201),1)*IF(Upgrades!$T$18="Local Bubble",POWER(Upgrades!$U$18,J201),1)*IF(Upgrades!$T$19="Local Bubble",POWER(Upgrades!$U$19,K201),1)*IF(Upgrades!$T$20="Local Bubble",POWER(Upgrades!$U$20,L201),1)*IF(Upgrades!$T$21="Local Bubble",POWER(Upgrades!$U$21,M201),1))+(IF(G201=0,0,(Upgrades!$G$15+G201*Upgrades!$H$15)*POWER(Upgrades!$I$15,G201)))*(IF(Upgrades!$T$13="Microlensing",POWER(Upgrades!$U$13,E201),1)*IF(Upgrades!$T$14="Microlensing",POWER(Upgrades!$U$14,F201),1)*IF(Upgrades!$T$16="Microlensing",POWER(Upgrades!$U$16,H201),1)*IF(Upgrades!$T$17="Microlensing",POWER(Upgrades!$U$17,I201),1)*IF(Upgrades!$T$18="Microlensing",POWER(Upgrades!$U$18,J201),1)*IF(Upgrades!$T$19="Microlensing",POWER(Upgrades!$U$19,K201),1)*IF(Upgrades!$T$20="Microlensing",POWER(Upgrades!$U$20,L201),1)*IF(Upgrades!$T$21="Microlensing",POWER(Upgrades!$U$21,M201),1))+(IF(H201=0,0,(Upgrades!$G$16+H201*Upgrades!$H$16)*POWER(Upgrades!$I$16,H201)))*(IF(Upgrades!$T$13="Roche Lobe Overflow",POWER(Upgrades!$U$13,E201),1)*IF(Upgrades!$T$14="Roche Lobe Overflow",POWER(Upgrades!$U$14,F201),1)*IF(Upgrades!$T$15="Roche Lobe Overflow",POWER(Upgrades!$U$15,G201),1)*IF(Upgrades!$T$17="Roche Lobe Overflow",POWER(Upgrades!$U$17,I201),1)*IF(Upgrades!$T$18="Roche Lobe Overflow",POWER(Upgrades!$U$18,J201),1)*IF(Upgrades!$T$19="Roche Lobe Overflow",POWER(Upgrades!$U$19,K201),1)*IF(Upgrades!$T$20="Roche Lobe Overflow",POWER(Upgrades!$U$20,L201),1)*IF(Upgrades!$T$21="Roche Lobe Overflow",POWER(Upgrades!$U$21,M201),1))+(IF(I201=0,0,(Upgrades!$G$17+I201*Upgrades!$H$17)*POWER(Upgrades!$I$17,I201)))*(IF(Upgrades!$T$13="Brown Dwarf",POWER(Upgrades!$U$13,E201),1)*IF(Upgrades!$T$14="Brown Dwarf",POWER(Upgrades!$U$14,F201),1)*IF(Upgrades!$T$15="Brown Dwarf",POWER(Upgrades!$U$15,G201),1)*IF(Upgrades!$T$16="Brown Dwarf",POWER(Upgrades!$U$16,H201),1)*IF(Upgrades!$T$18="Brown Dwarf",POWER(Upgrades!$U$18,J201),1)*IF(Upgrades!$T$19="Brown Dwarf",POWER(Upgrades!$U$19,K201),1)*IF(Upgrades!$T$20="Brown Dwarf",POWER(Upgrades!$U$20,L201),1)*IF(Upgrades!$T$21="Brown Dwarf",POWER(Upgrades!$U$21,M201),1))+(IF(J201=0,0,(Upgrades!$G$18+J201*Upgrades!$H$18)*POWER(Upgrades!$I$18,J201)))*(IF(Upgrades!$T$13="Binary Partner",POWER(Upgrades!$U$13,E201),1)*IF(Upgrades!$T$14="Binary Partner",POWER(Upgrades!$U$14,F201),1)*IF(Upgrades!$T$15="Binary Partner",POWER(Upgrades!$U$15,G201),1)*IF(Upgrades!$T$16="Binary Partner",POWER(Upgrades!$U$16,H201),1)*IF(Upgrades!$T$17="Binary Partner",POWER(Upgrades!$U$17,I201),1)*IF(Upgrades!$T$19="Binary Partner",POWER(Upgrades!$U$19,K201),1)*IF(Upgrades!$T$20="Binary Partner",POWER(Upgrades!$U$20,L201),1)*IF(Upgrades!$T$21="Binary Partner",POWER(Upgrades!$U$21,M201),1))+(IF(K201=0,0,(Upgrades!$G$19+K201*Upgrades!$H$19)*POWER(Upgrades!$I$19,K201)))*(IF(Upgrades!$T$13="Peculiar Velocity",POWER(Upgrades!$U$13,E201),1)*IF(Upgrades!$T$14="Peculiar Velocity",POWER(Upgrades!$U$14,F201),1)*IF(Upgrades!$T$15="Peculiar Velocity",POWER(Upgrades!$U$15,G201),1)*IF(Upgrades!$T$16="Peculiar Velocity",POWER(Upgrades!$U$16,H201),1)*IF(Upgrades!$T$17="Peculiar Velocity",POWER(Upgrades!$U$17,I201),1)*IF(Upgrades!$T$18="Peculiar Velocity",POWER(Upgrades!$U$18,J201),1)*IF(Upgrades!$T$20="Peculiar Velocity",POWER(Upgrades!$U$20,L201),1)*IF(Upgrades!$T$21="Peculiar Velocity",POWER(Upgrades!$U$21,M201),1))+(IF(L201=0,0,(Upgrades!$G$20+L201*Upgrades!$H$20)*POWER(Upgrades!$I$20,L201)))*(IF(Upgrades!$T$13="Open Cluster",POWER(Upgrades!$U$13,E201),1)*IF(Upgrades!$T$14="Open Cluster",POWER(Upgrades!$U$14,F201),1)*IF(Upgrades!$T$15="Open Cluster",POWER(Upgrades!$U$15,G201),1)*IF(Upgrades!$T$16="Open Cluster",POWER(Upgrades!$U$16,H201),1)*IF(Upgrades!$T$17="Open Cluster",POWER(Upgrades!$U$17,I201),1)*IF(Upgrades!$T$18="Open Cluster",POWER(Upgrades!$U$18,J201),1)*IF(Upgrades!$T$19="Open Cluster",POWER(Upgrades!$U$19,K201),1)*IF(Upgrades!$T$21="Open Cluster",POWER(Upgrades!$U$21,M201),1))+(IF(M201=0,0,(Upgrades!$G$21+M201*Upgrades!$H$21)*POWER(Upgrades!$I$21,M201)))*(IF(Upgrades!$T$13="Moving Group",POWER(Upgrades!$U$13,E201),1)*IF(Upgrades!$T$14="Moving Group",POWER(Upgrades!$U$14,F201),1)*IF(Upgrades!$T$15="Moving Group",POWER(Upgrades!$U$15,G201),1)*IF(Upgrades!$T$16="Moving Group",POWER(Upgrades!$U$16,H201),1)*IF(Upgrades!$T$17="Moving Group",POWER(Upgrades!$U$17,I201),1)*IF(Upgrades!$T$18="Moving Group",POWER(Upgrades!$U$18,J201),1)*IF(Upgrades!$T$19="Moving Group",POWER(Upgrades!$U$19,K201),1)*IF(Upgrades!$T$20="Moving Group",POWER(Upgrades!$U$20,L201),1)))*POWER(Upgrades!$P$13,E201)*POWER(Upgrades!$P$14,F201)*POWER(Upgrades!$P$15,G201)*POWER(Upgrades!$P$16,H201)*POWER(Upgrades!$P$17,I201)*POWER(Upgrades!$P$18,J201)*POWER(Upgrades!$P$19,K201)*POWER(Upgrades!$P$20,L201)*POWER(Upgrades!$P$21,M201)*$F$6+$C$6</f>
        <v/>
      </c>
      <c r="Q201" s="28">
        <f>((IF(E201=0,0,(Upgrades!$M$13+E201*Upgrades!$N$13)*POWER(Upgrades!$O$13,E201)))*(IF(Upgrades!$T$14="Stellar Kinematics",POWER(Upgrades!$U$14,F201),1)*IF(Upgrades!$T$15="Stellar Kinematics",POWER(Upgrades!$U$15,G201),1)*IF(Upgrades!$T$16="Stellar Kinematics",POWER(Upgrades!$U$16,H201),1)*IF(Upgrades!$T$17="Stellar Kinematics",POWER(Upgrades!$U$17,I201),1)*IF(Upgrades!$T$18="Stellar Kinematics",POWER(Upgrades!$U$18,J201),1)*IF(Upgrades!$T$19="Stellar Kinematics",POWER(Upgrades!$U$19,K201),1)*IF(Upgrades!$T$20="Stellar Kinematics",POWER(Upgrades!$U$20,L201),1)*IF(Upgrades!$T$21="Stellar Kinematics",POWER(Upgrades!$U$21,M201),1))+(IF(F201=0,0,(Upgrades!$M$14+F201*Upgrades!$N$14)*POWER(Upgrades!$O$14,F201)))*(IF(Upgrades!$T$13="Local Bubble",POWER(Upgrades!$U$13,E201),1)*IF(Upgrades!$T$15="Local Bubble",POWER(Upgrades!$U$15,G201),1)*IF(Upgrades!$T$16="Local Bubble",POWER(Upgrades!$U$16,H201),1)*IF(Upgrades!$T$17="Local Bubble",POWER(Upgrades!$U$17,I201),1)*IF(Upgrades!$T$18="Local Bubble",POWER(Upgrades!$U$18,J201),1)*IF(Upgrades!$T$19="Local Bubble",POWER(Upgrades!$U$19,K201),1)*IF(Upgrades!$T$20="Local Bubble",POWER(Upgrades!$U$20,L201),1)*IF(Upgrades!$T$21="Local Bubble",POWER(Upgrades!$U$21,M201),1))+(IF(G201=0,0,(Upgrades!$M$15+G201*Upgrades!$N$15)*POWER(Upgrades!$O$15,G201)))*(IF(Upgrades!$T$13="Microlensing",POWER(Upgrades!$U$13,E201),1)*IF(Upgrades!$T$14="Microlensing",POWER(Upgrades!$U$14,F201),1)*IF(Upgrades!$T$16="Microlensing",POWER(Upgrades!$U$16,H201),1)*IF(Upgrades!$T$17="Microlensing",POWER(Upgrades!$U$17,I201),1)*IF(Upgrades!$T$18="Microlensing",POWER(Upgrades!$U$18,J201),1)*IF(Upgrades!$T$19="Microlensing",POWER(Upgrades!$U$19,K201),1)*IF(Upgrades!$T$20="Microlensing",POWER(Upgrades!$U$20,L201),1)*IF(Upgrades!$T$21="Microlensing",POWER(Upgrades!$U$21,M201),1))+(IF(H201=0,0,(Upgrades!$M$16+H201*Upgrades!$N$16)*POWER(Upgrades!$O$16,H201)))*(IF(Upgrades!$T$13="Roche Lobe Overflow",POWER(Upgrades!$U$13,E201),1)*IF(Upgrades!$T$14="Roche Lobe Overflow",POWER(Upgrades!$U$14,F201),1)*IF(Upgrades!$T$15="Roche Lobe Overflow",POWER(Upgrades!$U$15,G201),1)*IF(Upgrades!$T$17="Roche Lobe Overflow",POWER(Upgrades!$U$17,I201),1)*IF(Upgrades!$T$18="Roche Lobe Overflow",POWER(Upgrades!$U$18,J201),1)*IF(Upgrades!$T$19="Roche Lobe Overflow",POWER(Upgrades!$U$19,K201),1)*IF(Upgrades!$T$20="Roche Lobe Overflow",POWER(Upgrades!$U$20,L201),1)*IF(Upgrades!$T$21="Roche Lobe Overflow",POWER(Upgrades!$U$21,M201),1))+(IF(I201=0,0,(Upgrades!$M$17+I201*Upgrades!$N$17)*POWER(Upgrades!$O$17,I201)))*(IF(Upgrades!$T$13="Brown Dwarf",POWER(Upgrades!$U$13,E201),1)*IF(Upgrades!$T$14="Brown Dwarf",POWER(Upgrades!$U$14,F201),1)*IF(Upgrades!$T$15="Brown Dwarf",POWER(Upgrades!$U$15,G201),1)*IF(Upgrades!$T$16="Brown Dwarf",POWER(Upgrades!$U$16,H201),1)*IF(Upgrades!$T$18="Brown Dwarf",POWER(Upgrades!$U$18,J201),1)*IF(Upgrades!$T$19="Brown Dwarf",POWER(Upgrades!$U$19,K201),1)*IF(Upgrades!$T$20="Brown Dwarf",POWER(Upgrades!$U$20,L201),1)*IF(Upgrades!$T$21="Brown Dwarf",POWER(Upgrades!$U$21,M201),1))+(IF(J201=0,0,(Upgrades!$M$18+J201*Upgrades!$N$18)*POWER(Upgrades!$O$18,J201)))*(IF(Upgrades!$T$13="Binary Partner",POWER(Upgrades!$U$13,E201),1)*IF(Upgrades!$T$14="Binary Partner",POWER(Upgrades!$U$14,F201),1)*IF(Upgrades!$T$15="Binary Partner",POWER(Upgrades!$U$15,G201),1)*IF(Upgrades!$T$16="Binary Partner",POWER(Upgrades!$U$16,H201),1)*IF(Upgrades!$T$17="Binary Partner",POWER(Upgrades!$U$17,I201),1)*IF(Upgrades!$T$19="Binary Partner",POWER(Upgrades!$U$19,K201),1)*IF(Upgrades!$T$20="Binary Partner",POWER(Upgrades!$U$20,L201),1)*IF(Upgrades!$T$21="Binary Partner",POWER(Upgrades!$U$21,M201),1))+(IF(K201=0,0,(Upgrades!$M$19+K201*Upgrades!$N$19)*POWER(Upgrades!$O$19,K201)))*(IF(Upgrades!$T$13="Peculiar Velocity",POWER(Upgrades!$U$13,E201),1)*IF(Upgrades!$T$14="Peculiar Velocity",POWER(Upgrades!$U$14,F201),1)*IF(Upgrades!$T$15="Peculiar Velocity",POWER(Upgrades!$U$15,G201),1)*IF(Upgrades!$T$16="Peculiar Velocity",POWER(Upgrades!$U$16,H201),1)*IF(Upgrades!$T$17="Peculiar Velocity",POWER(Upgrades!$U$17,I201),1)*IF(Upgrades!$T$18="Peculiar Velocity",POWER(Upgrades!$U$18,J201),1)*IF(Upgrades!$T$20="Peculiar Velocity",POWER(Upgrades!$U$20,L201),1)*IF(Upgrades!$T$21="Peculiar Velocity",POWER(Upgrades!$U$21,M201),1))+(IF(L201=0,0,(Upgrades!$M$20+L201*Upgrades!$N$20)*POWER(Upgrades!$O$20,L201)))*(IF(Upgrades!$T$13="Open Cluster",POWER(Upgrades!$U$13,E201),1)*IF(Upgrades!$T$14="Open Cluster",POWER(Upgrades!$U$14,F201),1)*IF(Upgrades!$T$15="Open Cluster",POWER(Upgrades!$U$15,G201),1)*IF(Upgrades!$T$16="Open Cluster",POWER(Upgrades!$U$16,H201),1)*IF(Upgrades!$T$17="Open Cluster",POWER(Upgrades!$U$17,I201),1)*IF(Upgrades!$T$18="Open Cluster",POWER(Upgrades!$U$18,J201),1)*IF(Upgrades!$T$19="Open Cluster",POWER(Upgrades!$U$19,K201),1)*IF(Upgrades!$T$21="Open Cluster",POWER(Upgrades!$U$21,M201),1))+(IF(M201=0,0,(Upgrades!$M$21+M201*Upgrades!$N$21)*POWER(Upgrades!$O$21,M201)))*(IF(Upgrades!$T$13="Moving Group",POWER(Upgrades!$U$13,E201),1)*IF(Upgrades!$T$14="Moving Group",POWER(Upgrades!$U$14,F201),1)*IF(Upgrades!$T$15="Moving Group",POWER(Upgrades!$U$15,G201),1)*IF(Upgrades!$T$16="Moving Group",POWER(Upgrades!$U$16,H201),1)*IF(Upgrades!$T$17="Moving Group",POWER(Upgrades!$U$17,I201),1)*IF(Upgrades!$T$18="Moving Group",POWER(Upgrades!$U$18,J201),1)*IF(Upgrades!$T$19="Moving Group",POWER(Upgrades!$U$19,K201),1)*IF(Upgrades!$T$20="Moving Group",POWER(Upgrades!$U$20,L201),1)))*POWER(Upgrades!$R$13,E201)*POWER(Upgrades!$R$14,F201)*POWER(Upgrades!$R$15,G201)*POWER(Upgrades!$R$16,H201)*POWER(Upgrades!$R$17,I201)*POWER(Upgrades!$R$18,J201)*POWER(Upgrades!$R$19,K201)*POWER(Upgrades!$R$20,L201)*POWER(Upgrades!$R$21,M201)*$H$6+$E$6</f>
        <v/>
      </c>
      <c r="R201" s="27">
        <f>IF(N201=1,0,O201*Parameters!$B$10/60*Parameters!$B$11*10)</f>
        <v/>
      </c>
      <c r="S201" s="27">
        <f>IF(N201=1,0,Q201*O201*10)</f>
        <v/>
      </c>
      <c r="T201" s="27">
        <f>IF(N201=1,0,R201+S201+P201*10)</f>
        <v/>
      </c>
      <c r="U201" s="33">
        <f>BE201</f>
        <v/>
      </c>
      <c r="V201" s="22">
        <f>IF(U201="",0,IF(U201="transition",0,IF(U201="SK",AK201,IF(U201="LB",AL201,IF(U201="ML",AM201,IF(U201="RLO",AN201,IF(U201="BD",AO201,IF(U201="BiP",AP201,IF(U201="PV",AQ201,IF(U201="OC",AR201,IF(U201="MG",AS201,0))))))))))</f>
        <v/>
      </c>
      <c r="W201" s="27">
        <f>IF(U201="BiP",Upgrades!$F$18,IF(U201="PV",Upgrades!$F$19,IF(U201="OC",Upgrades!$F$20,IF(U201="MG",Upgrades!$F$21,IF(U201="transition",-Parameters!$B$18*Parameters!$B$19,0)))))</f>
        <v/>
      </c>
      <c r="X201" s="22">
        <f>C201+T201-V201</f>
        <v/>
      </c>
      <c r="Y201" s="30">
        <f>O201*Parameters!$B$10/60*Parameters!$B$11+Q201*O201+P201</f>
        <v/>
      </c>
      <c r="Z201" s="34">
        <f>IF(U201="transition","→ Tier 3 (Galactic Arm)",IF(U201="MG","Moving Group — pocket drifts together",IF(U201="OC","Open Cluster acquired",IF(U201="PV","Peculiar Velocity — passive multiplier active",IF(U201="BiP","Binary Partner — pair bond formed",IF(AND(AU201=1,N201=0,AT201&lt;&gt;1),"Cohesion ready (waiting on completionists)","")))))) </f>
        <v/>
      </c>
      <c r="AA201" s="27">
        <f>(IF(E201=0,0,(Upgrades!$G$13+E201*Upgrades!$H$13)*POWER(Upgrades!$I$13,E201)))*(IF(Upgrades!$T$14="Stellar Kinematics",POWER(Upgrades!$U$14,F201),1)*IF(Upgrades!$T$15="Stellar Kinematics",POWER(Upgrades!$U$15,G201),1)*IF(Upgrades!$T$16="Stellar Kinematics",POWER(Upgrades!$U$16,H201),1)*IF(Upgrades!$T$17="Stellar Kinematics",POWER(Upgrades!$U$17,I201),1)*IF(Upgrades!$T$18="Stellar Kinematics",POWER(Upgrades!$U$18,J201),1)*IF(Upgrades!$T$19="Stellar Kinematics",POWER(Upgrades!$U$19,K201),1)*IF(Upgrades!$T$20="Stellar Kinematics",POWER(Upgrades!$U$20,L201),1)*IF(Upgrades!$T$21="Stellar Kinematics",POWER(Upgrades!$U$21,M201),1))*POWER(Upgrades!$P$13,E201)*POWER(Upgrades!$P$14,F201)*POWER(Upgrades!$P$15,G201)*POWER(Upgrades!$P$16,H201)*POWER(Upgrades!$P$17,I201)*POWER(Upgrades!$P$18,J201)*POWER(Upgrades!$P$19,K201)*POWER(Upgrades!$P$20,L201)*POWER(Upgrades!$P$21,M201)*$F$6*60</f>
        <v/>
      </c>
      <c r="AB201" s="27">
        <f>(IF(F201=0,0,(Upgrades!$G$14+F201*Upgrades!$H$14)*POWER(Upgrades!$I$14,F201)))*(IF(Upgrades!$T$13="Local Bubble",POWER(Upgrades!$U$13,E201),1)*IF(Upgrades!$T$15="Local Bubble",POWER(Upgrades!$U$15,G201),1)*IF(Upgrades!$T$16="Local Bubble",POWER(Upgrades!$U$16,H201),1)*IF(Upgrades!$T$17="Local Bubble",POWER(Upgrades!$U$17,I201),1)*IF(Upgrades!$T$18="Local Bubble",POWER(Upgrades!$U$18,J201),1)*IF(Upgrades!$T$19="Local Bubble",POWER(Upgrades!$U$19,K201),1)*IF(Upgrades!$T$20="Local Bubble",POWER(Upgrades!$U$20,L201),1)*IF(Upgrades!$T$21="Local Bubble",POWER(Upgrades!$U$21,M201),1))*POWER(Upgrades!$P$13,E201)*POWER(Upgrades!$P$14,F201)*POWER(Upgrades!$P$15,G201)*POWER(Upgrades!$P$16,H201)*POWER(Upgrades!$P$17,I201)*POWER(Upgrades!$P$18,J201)*POWER(Upgrades!$P$19,K201)*POWER(Upgrades!$P$20,L201)*POWER(Upgrades!$P$21,M201)*$F$6*60</f>
        <v/>
      </c>
      <c r="AC201" s="27">
        <f>(IF(G201=0,0,(Upgrades!$J$15+G201*Upgrades!$K$15)*POWER(Upgrades!$L$15,G201)))*(IF(Upgrades!$T$13="Microlensing",POWER(Upgrades!$U$13,E201),1)*IF(Upgrades!$T$14="Microlensing",POWER(Upgrades!$U$14,F201),1)*IF(Upgrades!$T$16="Microlensing",POWER(Upgrades!$U$16,H201),1)*IF(Upgrades!$T$17="Microlensing",POWER(Upgrades!$U$17,I201),1)*IF(Upgrades!$T$18="Microlensing",POWER(Upgrades!$U$18,J201),1)*IF(Upgrades!$T$19="Microlensing",POWER(Upgrades!$U$19,K201),1)*IF(Upgrades!$T$20="Microlensing",POWER(Upgrades!$U$20,L201),1)*IF(Upgrades!$T$21="Microlensing",POWER(Upgrades!$U$21,M201),1))*POWER(Upgrades!$Q$13,E201)*POWER(Upgrades!$Q$14,F201)*POWER(Upgrades!$Q$15,G201)*POWER(Upgrades!$Q$16,H201)*POWER(Upgrades!$Q$17,I201)*POWER(Upgrades!$Q$18,J201)*POWER(Upgrades!$Q$19,K201)*POWER(Upgrades!$Q$20,L201)*POWER(Upgrades!$Q$21,M201)*$G$6*(Parameters!$B$10*Parameters!$B$11+Q201*60)</f>
        <v/>
      </c>
      <c r="AD201" s="27">
        <f>(IF(H201=0,0,(Upgrades!$M$16+H201*Upgrades!$N$16)*POWER(Upgrades!$O$16,H201)))*(IF(Upgrades!$T$13="Roche Lobe Overflow",POWER(Upgrades!$U$13,E201),1)*IF(Upgrades!$T$14="Roche Lobe Overflow",POWER(Upgrades!$U$14,F201),1)*IF(Upgrades!$T$15="Roche Lobe Overflow",POWER(Upgrades!$U$15,G201),1)*IF(Upgrades!$T$17="Roche Lobe Overflow",POWER(Upgrades!$U$17,I201),1)*IF(Upgrades!$T$18="Roche Lobe Overflow",POWER(Upgrades!$U$18,J201),1)*IF(Upgrades!$T$19="Roche Lobe Overflow",POWER(Upgrades!$U$19,K201),1)*IF(Upgrades!$T$20="Roche Lobe Overflow",POWER(Upgrades!$U$20,L201),1)*IF(Upgrades!$T$21="Roche Lobe Overflow",POWER(Upgrades!$U$21,M201),1))*POWER(Upgrades!$R$13,E201)*POWER(Upgrades!$R$14,F201)*POWER(Upgrades!$R$15,G201)*POWER(Upgrades!$R$16,H201)*POWER(Upgrades!$R$17,I201)*POWER(Upgrades!$R$18,J201)*POWER(Upgrades!$R$19,K201)*POWER(Upgrades!$R$20,L201)*POWER(Upgrades!$R$21,M201)*$H$6*O201*60</f>
        <v/>
      </c>
      <c r="AE201" s="27">
        <f>(IF(I201=0,0,(Upgrades!$G$17+I201*Upgrades!$H$17)*POWER(Upgrades!$I$17,I201)))*(IF(Upgrades!$T$13="Brown Dwarf",POWER(Upgrades!$U$13,E201),1)*IF(Upgrades!$T$14="Brown Dwarf",POWER(Upgrades!$U$14,F201),1)*IF(Upgrades!$T$15="Brown Dwarf",POWER(Upgrades!$U$15,G201),1)*IF(Upgrades!$T$16="Brown Dwarf",POWER(Upgrades!$U$16,H201),1)*IF(Upgrades!$T$18="Brown Dwarf",POWER(Upgrades!$U$18,J201),1)*IF(Upgrades!$T$19="Brown Dwarf",POWER(Upgrades!$U$19,K201),1)*IF(Upgrades!$T$20="Brown Dwarf",POWER(Upgrades!$U$20,L201),1)*IF(Upgrades!$T$21="Brown Dwarf",POWER(Upgrades!$U$21,M201),1))*POWER(Upgrades!$P$13,E201)*POWER(Upgrades!$P$14,F201)*POWER(Upgrades!$P$15,G201)*POWER(Upgrades!$P$16,H201)*POWER(Upgrades!$P$17,I201)*POWER(Upgrades!$P$18,J201)*POWER(Upgrades!$P$19,K201)*POWER(Upgrades!$P$20,L201)*POWER(Upgrades!$P$21,M201)*$F$6*60</f>
        <v/>
      </c>
      <c r="AF201" s="27" t="n">
        <v>0</v>
      </c>
      <c r="AG201" s="27" t="n">
        <v>0</v>
      </c>
      <c r="AH201" s="27" t="n">
        <v>0</v>
      </c>
      <c r="AI201" s="27">
        <f>(IF(M201=0,0,(Upgrades!$G$21+M201*Upgrades!$H$21)*POWER(Upgrades!$I$21,M201)))*(IF(Upgrades!$T$13="Moving Group",POWER(Upgrades!$U$13,E201),1)*IF(Upgrades!$T$14="Moving Group",POWER(Upgrades!$U$14,F201),1)*IF(Upgrades!$T$15="Moving Group",POWER(Upgrades!$U$15,G201),1)*IF(Upgrades!$T$16="Moving Group",POWER(Upgrades!$U$16,H201),1)*IF(Upgrades!$T$17="Moving Group",POWER(Upgrades!$U$17,I201),1)*IF(Upgrades!$T$18="Moving Group",POWER(Upgrades!$U$18,J201),1)*IF(Upgrades!$T$19="Moving Group",POWER(Upgrades!$U$19,K201),1)*IF(Upgrades!$T$20="Moving Group",POWER(Upgrades!$U$20,L201),1))*POWER(Upgrades!$P$13,E201)*POWER(Upgrades!$P$14,F201)*POWER(Upgrades!$P$15,G201)*POWER(Upgrades!$P$16,H201)*POWER(Upgrades!$P$17,I201)*POWER(Upgrades!$P$18,J201)*POWER(Upgrades!$P$19,K201)*POWER(Upgrades!$P$20,L201)*POWER(Upgrades!$P$21,M201)*$F$6*60</f>
        <v/>
      </c>
      <c r="AJ201" s="27">
        <f>$C$6*60</f>
        <v/>
      </c>
      <c r="AK201" s="22">
        <f>IF(E201&gt;=Upgrades!$E$13,"",Upgrades!$C$13*POWER(Upgrades!$D$13,E201))</f>
        <v/>
      </c>
      <c r="AL201" s="22">
        <f>IF(F201&gt;=Upgrades!$E$14,"",Upgrades!$C$14*POWER(Upgrades!$D$14,F201))</f>
        <v/>
      </c>
      <c r="AM201" s="22">
        <f>IF(G201&gt;=Upgrades!$E$15,"",Upgrades!$C$15*POWER(Upgrades!$D$15,G201))</f>
        <v/>
      </c>
      <c r="AN201" s="22">
        <f>IF(H201&gt;=Upgrades!$E$16,"",Upgrades!$C$16*POWER(Upgrades!$D$16,H201))</f>
        <v/>
      </c>
      <c r="AO201" s="22">
        <f>IF(I201&gt;=Upgrades!$E$17,"",Upgrades!$C$17*POWER(Upgrades!$D$17,I201))</f>
        <v/>
      </c>
      <c r="AP201" s="22">
        <f>IF(J201&gt;=Upgrades!$E$18,"",Upgrades!$C$18*POWER(Upgrades!$D$18,J201))</f>
        <v/>
      </c>
      <c r="AQ201" s="22">
        <f>IF(K201&gt;=Upgrades!$E$19,"",Upgrades!$C$19*POWER(Upgrades!$D$19,K201))</f>
        <v/>
      </c>
      <c r="AR201" s="22">
        <f>IF(L201&gt;=Upgrades!$E$20,"",Upgrades!$C$20*POWER(Upgrades!$D$20,L201))</f>
        <v/>
      </c>
      <c r="AS201" s="22">
        <f>IF(M201&gt;=Upgrades!$E$21,"",Upgrades!$C$21*POWER(Upgrades!$D$21,M201))</f>
        <v/>
      </c>
      <c r="AT201" s="26">
        <f>IF(AND(D201&gt;=Parameters!$B$18*Parameters!$B$19,(I201&gt;=Upgrades!$E$17)*(M201&gt;=Upgrades!$E$21)=1,N201=0),1,"")</f>
        <v/>
      </c>
      <c r="AU201" s="26">
        <f>IF(AND(D201&gt;=Parameters!$B$18*Parameters!$B$19,N201=0),1,"")</f>
        <v/>
      </c>
      <c r="AV201" s="22">
        <f>MIN(IF(ISNUMBER(AP201),AP201,9E15),IF(ISNUMBER(AQ201),AQ201,9E15),IF(ISNUMBER(AR201),AR201,9E15),IF(ISNUMBER(AS201),AS201,9E15))</f>
        <v/>
      </c>
      <c r="AW201" s="22">
        <f>MIN(IF(ISNUMBER(AK201),AK201,9E15),IF(ISNUMBER(AL201),AL201,9E15),IF(ISNUMBER(AM201),AM201,9E15),IF(ISNUMBER(AN201),AN201,9E15),IF(ISNUMBER(AO201),AO201,9E15))</f>
        <v/>
      </c>
      <c r="AX201" s="29">
        <f>IF(BD201&gt;Parameters!$B$21*(MAX(IF(AND(NOT(AND(AU201=1,AT201&lt;&gt;1)),ISNUMBER(AK201),AK201&lt;=(C201+T201)),AY201,0),IF(AND(NOT(AND(AU201=1,AT201&lt;&gt;1)),ISNUMBER(AL201),AL201&lt;=(C201+T201)),AZ201,0),IF(AND(NOT(AND(AU201=1,AT201&lt;&gt;1)),ISNUMBER(AM201),AM201&lt;=(C201+T201)),BA201,0),IF(AND(NOT(AND(AU201=1,AT201&lt;&gt;1)),ISNUMBER(AN201),AN201&lt;=(C201+T201)),BB201,0),IF(AND(ISNUMBER(AO201),AO201&lt;=(C201+T201)),BC201,0))),TRUE,FALSE)</f>
        <v/>
      </c>
      <c r="AY201" s="32">
        <f>IFERROR(Upgrades!$H$13*(POWER(Upgrades!$P$13,E201)*POWER(Upgrades!$P$14,F201)*POWER(Upgrades!$P$15,G201)*POWER(Upgrades!$P$16,H201)*POWER(Upgrades!$P$17,I201)*POWER(Upgrades!$P$18,J201)*POWER(Upgrades!$P$19,K201)*POWER(Upgrades!$P$20,L201)*POWER(Upgrades!$P$21,M201))*(IF(Upgrades!$T$14="Stellar Kinematics",POWER(Upgrades!$U$14,F201),1)*IF(Upgrades!$T$15="Stellar Kinematics",POWER(Upgrades!$U$15,G201),1)*IF(Upgrades!$T$16="Stellar Kinematics",POWER(Upgrades!$U$16,H201),1)*IF(Upgrades!$T$17="Stellar Kinematics",POWER(Upgrades!$U$17,I201),1)*IF(Upgrades!$T$18="Stellar Kinematics",POWER(Upgrades!$U$18,J201),1)*IF(Upgrades!$T$19="Stellar Kinematics",POWER(Upgrades!$U$19,K201),1)*IF(Upgrades!$T$20="Stellar Kinematics",POWER(Upgrades!$U$20,L201),1)*IF(Upgrades!$T$21="Stellar Kinematics",POWER(Upgrades!$U$21,M201),1))*$F$6/AK201,0)</f>
        <v/>
      </c>
      <c r="AZ201" s="32">
        <f>IFERROR(Upgrades!$H$14*(POWER(Upgrades!$P$13,E201)*POWER(Upgrades!$P$14,F201)*POWER(Upgrades!$P$15,G201)*POWER(Upgrades!$P$16,H201)*POWER(Upgrades!$P$17,I201)*POWER(Upgrades!$P$18,J201)*POWER(Upgrades!$P$19,K201)*POWER(Upgrades!$P$20,L201)*POWER(Upgrades!$P$21,M201))*(IF(Upgrades!$T$13="Local Bubble",POWER(Upgrades!$U$13,E201),1)*IF(Upgrades!$T$15="Local Bubble",POWER(Upgrades!$U$15,G201),1)*IF(Upgrades!$T$16="Local Bubble",POWER(Upgrades!$U$16,H201),1)*IF(Upgrades!$T$17="Local Bubble",POWER(Upgrades!$U$17,I201),1)*IF(Upgrades!$T$18="Local Bubble",POWER(Upgrades!$U$18,J201),1)*IF(Upgrades!$T$19="Local Bubble",POWER(Upgrades!$U$19,K201),1)*IF(Upgrades!$T$20="Local Bubble",POWER(Upgrades!$U$20,L201),1)*IF(Upgrades!$T$21="Local Bubble",POWER(Upgrades!$U$21,M201),1))*$F$6/AL201,0)</f>
        <v/>
      </c>
      <c r="BA201" s="32">
        <f>IFERROR(Upgrades!$K$15*(POWER(Upgrades!$Q$13,E201)*POWER(Upgrades!$Q$14,F201)*POWER(Upgrades!$Q$15,G201)*POWER(Upgrades!$Q$16,H201)*POWER(Upgrades!$Q$17,I201)*POWER(Upgrades!$Q$18,J201)*POWER(Upgrades!$Q$19,K201)*POWER(Upgrades!$Q$20,L201)*POWER(Upgrades!$Q$21,M201))*(IF(Upgrades!$T$13="Microlensing",POWER(Upgrades!$U$13,E201),1)*IF(Upgrades!$T$14="Microlensing",POWER(Upgrades!$U$14,F201),1)*IF(Upgrades!$T$16="Microlensing",POWER(Upgrades!$U$16,H201),1)*IF(Upgrades!$T$17="Microlensing",POWER(Upgrades!$U$17,I201),1)*IF(Upgrades!$T$18="Microlensing",POWER(Upgrades!$U$18,J201),1)*IF(Upgrades!$T$19="Microlensing",POWER(Upgrades!$U$19,K201),1)*IF(Upgrades!$T$20="Microlensing",POWER(Upgrades!$U$20,L201),1)*IF(Upgrades!$T$21="Microlensing",POWER(Upgrades!$U$21,M201),1))*$G$6*(Parameters!$B$10/60*Parameters!$B$11+Q201)/AM201,0)</f>
        <v/>
      </c>
      <c r="BB201" s="32">
        <f>IFERROR((Upgrades!$N$16*(POWER(Upgrades!$R$13,E201)*POWER(Upgrades!$R$14,F201)*POWER(Upgrades!$R$15,G201)*POWER(Upgrades!$R$16,H201)*POWER(Upgrades!$R$17,I201)*POWER(Upgrades!$R$18,J201)*POWER(Upgrades!$R$19,K201)*POWER(Upgrades!$R$20,L201)*POWER(Upgrades!$R$21,M201))*(IF(Upgrades!$T$13="Roche Lobe Overflow",POWER(Upgrades!$U$13,E201),1)*IF(Upgrades!$T$14="Roche Lobe Overflow",POWER(Upgrades!$U$14,F201),1)*IF(Upgrades!$T$15="Roche Lobe Overflow",POWER(Upgrades!$U$15,G201),1)*IF(Upgrades!$T$17="Roche Lobe Overflow",POWER(Upgrades!$U$17,I201),1)*IF(Upgrades!$T$18="Roche Lobe Overflow",POWER(Upgrades!$U$18,J201),1)*IF(Upgrades!$T$19="Roche Lobe Overflow",POWER(Upgrades!$U$19,K201),1)*IF(Upgrades!$T$20="Roche Lobe Overflow",POWER(Upgrades!$U$20,L201),1)*IF(Upgrades!$T$21="Roche Lobe Overflow",POWER(Upgrades!$U$21,M201),1))*$H$6*O201+((IF(F201=0,0,(Upgrades!$G$14+F201*Upgrades!$H$14)*POWER(Upgrades!$I$14,F201)))*(IF(Upgrades!$T$13="Local Bubble",POWER(Upgrades!$U$13,E201),1)*IF(Upgrades!$T$15="Local Bubble",POWER(Upgrades!$U$15,G201),1)*IF(Upgrades!$T$16="Local Bubble",POWER(Upgrades!$U$16,H201),1)*IF(Upgrades!$T$17="Local Bubble",POWER(Upgrades!$U$17,I201),1)*IF(Upgrades!$T$18="Local Bubble",POWER(Upgrades!$U$18,J201),1)*IF(Upgrades!$T$19="Local Bubble",POWER(Upgrades!$U$19,K201),1)*IF(Upgrades!$T$20="Local Bubble",POWER(Upgrades!$U$20,L201),1)*IF(Upgrades!$T$21="Local Bubble",POWER(Upgrades!$U$21,M201),1))*POWER(Upgrades!$P$13,E201)*POWER(Upgrades!$P$14,F201)*POWER(Upgrades!$P$15,G201)*POWER(Upgrades!$P$16,H201)*POWER(Upgrades!$P$17,I201)*POWER(Upgrades!$P$18,J201)*POWER(Upgrades!$P$19,K201)*POWER(Upgrades!$P$20,L201)*POWER(Upgrades!$P$21,M201)*$F$6)*0.05)/AN201,0)</f>
        <v/>
      </c>
      <c r="BC201" s="32">
        <f>IFERROR((Upgrades!$H$17*(POWER(Upgrades!$P$13,E201)*POWER(Upgrades!$P$14,F201)*POWER(Upgrades!$P$15,G201)*POWER(Upgrades!$P$16,H201)*POWER(Upgrades!$P$17,I201)*POWER(Upgrades!$P$18,J201)*POWER(Upgrades!$P$19,K201)*POWER(Upgrades!$P$20,L201)*POWER(Upgrades!$P$21,M201))*(IF(Upgrades!$T$13="Brown Dwarf",POWER(Upgrades!$U$13,E201),1)*IF(Upgrades!$T$14="Brown Dwarf",POWER(Upgrades!$U$14,F201),1)*IF(Upgrades!$T$15="Brown Dwarf",POWER(Upgrades!$U$15,G201),1)*IF(Upgrades!$T$16="Brown Dwarf",POWER(Upgrades!$U$16,H201),1)*IF(Upgrades!$T$18="Brown Dwarf",POWER(Upgrades!$U$18,J201),1)*IF(Upgrades!$T$19="Brown Dwarf",POWER(Upgrades!$U$19,K201),1)*IF(Upgrades!$T$20="Brown Dwarf",POWER(Upgrades!$U$20,L201),1)*IF(Upgrades!$T$21="Brown Dwarf",POWER(Upgrades!$U$21,M201),1))*$F$6+(((IF(H201=0,0,(Upgrades!$M$16+H201*Upgrades!$N$16)*POWER(Upgrades!$O$16,H201)))*(IF(Upgrades!$T$13="Roche Lobe Overflow",POWER(Upgrades!$U$13,E201),1)*IF(Upgrades!$T$14="Roche Lobe Overflow",POWER(Upgrades!$U$14,F201),1)*IF(Upgrades!$T$15="Roche Lobe Overflow",POWER(Upgrades!$U$15,G201),1)*IF(Upgrades!$T$17="Roche Lobe Overflow",POWER(Upgrades!$U$17,I201),1)*IF(Upgrades!$T$18="Roche Lobe Overflow",POWER(Upgrades!$U$18,J201),1)*IF(Upgrades!$T$19="Roche Lobe Overflow",POWER(Upgrades!$U$19,K201),1)*IF(Upgrades!$T$20="Roche Lobe Overflow",POWER(Upgrades!$U$20,L201),1)*IF(Upgrades!$T$21="Roche Lobe Overflow",POWER(Upgrades!$U$21,M201),1))*POWER(Upgrades!$R$13,E201)*POWER(Upgrades!$R$14,F201)*POWER(Upgrades!$R$15,G201)*POWER(Upgrades!$R$16,H201)*POWER(Upgrades!$R$17,I201)*POWER(Upgrades!$R$18,J201)*POWER(Upgrades!$R$19,K201)*POWER(Upgrades!$R$20,L201)*POWER(Upgrades!$R$21,M201)*$H$6)*O201)*0.10)/AO201,0)</f>
        <v/>
      </c>
      <c r="BD201" s="32">
        <f>MAX(IF(J201&gt;0,0,IFERROR(0.5*((IF(G201=0,0,(Upgrades!$J$15+G201*Upgrades!$K$15)*POWER(Upgrades!$L$15,G201)))*(IF(Upgrades!$T$13="Microlensing",POWER(Upgrades!$U$13,E201),1)*IF(Upgrades!$T$14="Microlensing",POWER(Upgrades!$U$14,F201),1)*IF(Upgrades!$T$16="Microlensing",POWER(Upgrades!$U$16,H201),1)*IF(Upgrades!$T$17="Microlensing",POWER(Upgrades!$U$17,I201),1)*IF(Upgrades!$T$18="Microlensing",POWER(Upgrades!$U$18,J201),1)*IF(Upgrades!$T$19="Microlensing",POWER(Upgrades!$U$19,K201),1)*IF(Upgrades!$T$20="Microlensing",POWER(Upgrades!$U$20,L201),1)*IF(Upgrades!$T$21="Microlensing",POWER(Upgrades!$U$21,M201),1))*(POWER(Upgrades!$Q$13,E201)*POWER(Upgrades!$Q$14,F201)*POWER(Upgrades!$Q$15,G201)*POWER(Upgrades!$Q$16,H201)*POWER(Upgrades!$Q$17,I201)*POWER(Upgrades!$Q$18,J201)*POWER(Upgrades!$Q$19,K201)*POWER(Upgrades!$Q$20,L201)*POWER(Upgrades!$Q$21,M201))*$G$6*(Parameters!$B$10/60*Parameters!$B$11+Q201))/Upgrades!$C$18,0)),IF(K201&gt;0,0,IFERROR(0.30*P201/Upgrades!$C$19,0)),IF(L201&gt;0,0,IFERROR(0.0001/Upgrades!$C$20,0)),IF(M201&gt;0,0,IFERROR((6.0*(POWER(Upgrades!$P$13,E201)*POWER(Upgrades!$P$14,F201)*POWER(Upgrades!$P$15,G201)*POWER(Upgrades!$P$16,H201)*POWER(Upgrades!$P$17,I201)*POWER(Upgrades!$P$18,J201)*POWER(Upgrades!$P$19,K201)*POWER(Upgrades!$P$20,L201)*POWER(Upgrades!$P$21,M201))*$F$6+0.20*O201*(Parameters!$B$10/60*Parameters!$B$11+Q201))/Upgrades!$C$21,0)),IF(AND(ISNUMBER(AK201),AK201&gt;(C201+T201)),AY201,0),IF(AND(ISNUMBER(AL201),AL201&gt;(C201+T201)),AZ201,0),IF(AND(ISNUMBER(AM201),AM201&gt;(C201+T201)),BA201,0),IF(AND(ISNUMBER(AN201),AN201&gt;(C201+T201)),BB201,0),IF(AND(ISNUMBER(AO201),AO201&gt;(C201+T201)),BC201,0))</f>
        <v/>
      </c>
      <c r="BE201" s="29">
        <f>IF(AT201=1,"transition",IF(MIN(IF(AND(J201=0,ISNUMBER(AP201),AP201&lt;=(C201+T201)),AP201,9E15),IF(AND(K201=0,ISNUMBER(AQ201),AQ201&lt;=(C201+T201)),AQ201,9E15),IF(AND(L201=0,ISNUMBER(AR201),AR201&lt;=(C201+T201)),AR201,9E15),IF(AND(M201=0,ISNUMBER(AS201),AS201&lt;=(C201+T201)),AS201,9E15))&lt;9E15,IF(AND(AND(J201=0,ISNUMBER(AP201),AP201&lt;=(C201+T201)),AP201=MIN(IF(AND(J201=0,ISNUMBER(AP201),AP201&lt;=(C201+T201)),AP201,9E15),IF(AND(K201=0,ISNUMBER(AQ201),AQ201&lt;=(C201+T201)),AQ201,9E15),IF(AND(L201=0,ISNUMBER(AR201),AR201&lt;=(C201+T201)),AR201,9E15),IF(AND(M201=0,ISNUMBER(AS201),AS201&lt;=(C201+T201)),AS201,9E15))),"BiP",IF(AND(AND(K201=0,ISNUMBER(AQ201),AQ201&lt;=(C201+T201)),AQ201=MIN(IF(AND(J201=0,ISNUMBER(AP201),AP201&lt;=(C201+T201)),AP201,9E15),IF(AND(K201=0,ISNUMBER(AQ201),AQ201&lt;=(C201+T201)),AQ201,9E15),IF(AND(L201=0,ISNUMBER(AR201),AR201&lt;=(C201+T201)),AR201,9E15),IF(AND(M201=0,ISNUMBER(AS201),AS201&lt;=(C201+T201)),AS201,9E15))),"PV",IF(AND(AND(L201=0,ISNUMBER(AR201),AR201&lt;=(C201+T201)),AR201=MIN(IF(AND(J201=0,ISNUMBER(AP201),AP201&lt;=(C201+T201)),AP201,9E15),IF(AND(K201=0,ISNUMBER(AQ201),AQ201&lt;=(C201+T201)),AQ201,9E15),IF(AND(L201=0,ISNUMBER(AR201),AR201&lt;=(C201+T201)),AR201,9E15),IF(AND(M201=0,ISNUMBER(AS201),AS201&lt;=(C201+T201)),AS201,9E15))),"OC","MG"))),IF(AX201=TRUE,"",IF(MAX(IF(AND(NOT(AND(AU201=1,AT201&lt;&gt;1)),ISNUMBER(AK201),AK201&lt;=(C201+T201)),AY201,0),IF(AND(NOT(AND(AU201=1,AT201&lt;&gt;1)),ISNUMBER(AL201),AL201&lt;=(C201+T201)),AZ201,0),IF(AND(NOT(AND(AU201=1,AT201&lt;&gt;1)),ISNUMBER(AM201),AM201&lt;=(C201+T201)),BA201,0),IF(AND(NOT(AND(AU201=1,AT201&lt;&gt;1)),ISNUMBER(AN201),AN201&lt;=(C201+T201)),BB201,0),IF(AND(ISNUMBER(AO201),AO201&lt;=(C201+T201)),BC201,0))&lt;=0,"",IF(AND(IF(AND(NOT(AND(AU201=1,AT201&lt;&gt;1)),ISNUMBER(AK201),AK201&lt;=(C201+T201)),AY201,0)&gt;0,IF(AND(NOT(AND(AU201=1,AT201&lt;&gt;1)),ISNUMBER(AK201),AK201&lt;=(C201+T201)),AY201,0)=MAX(IF(AND(NOT(AND(AU201=1,AT201&lt;&gt;1)),ISNUMBER(AK201),AK201&lt;=(C201+T201)),AY201,0),IF(AND(NOT(AND(AU201=1,AT201&lt;&gt;1)),ISNUMBER(AL201),AL201&lt;=(C201+T201)),AZ201,0),IF(AND(NOT(AND(AU201=1,AT201&lt;&gt;1)),ISNUMBER(AM201),AM201&lt;=(C201+T201)),BA201,0),IF(AND(NOT(AND(AU201=1,AT201&lt;&gt;1)),ISNUMBER(AN201),AN201&lt;=(C201+T201)),BB201,0),IF(AND(ISNUMBER(AO201),AO201&lt;=(C201+T201)),BC201,0))),"SK",IF(AND(IF(AND(NOT(AND(AU201=1,AT201&lt;&gt;1)),ISNUMBER(AL201),AL201&lt;=(C201+T201)),AZ201,0)&gt;0,IF(AND(NOT(AND(AU201=1,AT201&lt;&gt;1)),ISNUMBER(AL201),AL201&lt;=(C201+T201)),AZ201,0)=MAX(IF(AND(NOT(AND(AU201=1,AT201&lt;&gt;1)),ISNUMBER(AK201),AK201&lt;=(C201+T201)),AY201,0),IF(AND(NOT(AND(AU201=1,AT201&lt;&gt;1)),ISNUMBER(AL201),AL201&lt;=(C201+T201)),AZ201,0),IF(AND(NOT(AND(AU201=1,AT201&lt;&gt;1)),ISNUMBER(AM201),AM201&lt;=(C201+T201)),BA201,0),IF(AND(NOT(AND(AU201=1,AT201&lt;&gt;1)),ISNUMBER(AN201),AN201&lt;=(C201+T201)),BB201,0),IF(AND(ISNUMBER(AO201),AO201&lt;=(C201+T201)),BC201,0))),"LB",IF(AND(IF(AND(NOT(AND(AU201=1,AT201&lt;&gt;1)),ISNUMBER(AM201),AM201&lt;=(C201+T201)),BA201,0)&gt;0,IF(AND(NOT(AND(AU201=1,AT201&lt;&gt;1)),ISNUMBER(AM201),AM201&lt;=(C201+T201)),BA201,0)=MAX(IF(AND(NOT(AND(AU201=1,AT201&lt;&gt;1)),ISNUMBER(AK201),AK201&lt;=(C201+T201)),AY201,0),IF(AND(NOT(AND(AU201=1,AT201&lt;&gt;1)),ISNUMBER(AL201),AL201&lt;=(C201+T201)),AZ201,0),IF(AND(NOT(AND(AU201=1,AT201&lt;&gt;1)),ISNUMBER(AM201),AM201&lt;=(C201+T201)),BA201,0),IF(AND(NOT(AND(AU201=1,AT201&lt;&gt;1)),ISNUMBER(AN201),AN201&lt;=(C201+T201)),BB201,0),IF(AND(ISNUMBER(AO201),AO201&lt;=(C201+T201)),BC201,0))),"ML",IF(AND(IF(AND(NOT(AND(AU201=1,AT201&lt;&gt;1)),ISNUMBER(AN201),AN201&lt;=(C201+T201)),BB201,0)&gt;0,IF(AND(NOT(AND(AU201=1,AT201&lt;&gt;1)),ISNUMBER(AN201),AN201&lt;=(C201+T201)),BB201,0)=MAX(IF(AND(NOT(AND(AU201=1,AT201&lt;&gt;1)),ISNUMBER(AK201),AK201&lt;=(C201+T201)),AY201,0),IF(AND(NOT(AND(AU201=1,AT201&lt;&gt;1)),ISNUMBER(AL201),AL201&lt;=(C201+T201)),AZ201,0),IF(AND(NOT(AND(AU201=1,AT201&lt;&gt;1)),ISNUMBER(AM201),AM201&lt;=(C201+T201)),BA201,0),IF(AND(NOT(AND(AU201=1,AT201&lt;&gt;1)),ISNUMBER(AN201),AN201&lt;=(C201+T201)),BB201,0),IF(AND(ISNUMBER(AO201),AO201&lt;=(C201+T201)),BC201,0))),"RLO","BD"))))))))</f>
        <v/>
      </c>
    </row>
    <row r="202">
      <c r="A202" s="26" t="n">
        <v>191</v>
      </c>
      <c r="B202" s="27">
        <f>A202*10/60</f>
        <v/>
      </c>
      <c r="C202" s="22">
        <f>X201</f>
        <v/>
      </c>
      <c r="D202" s="27">
        <f>D201+W201</f>
        <v/>
      </c>
      <c r="E202" s="26">
        <f>E201+IF(U201="SK",1,0)</f>
        <v/>
      </c>
      <c r="F202" s="26">
        <f>F201+IF(U201="LB",1,0)</f>
        <v/>
      </c>
      <c r="G202" s="26">
        <f>G201+IF(U201="ML",1,0)</f>
        <v/>
      </c>
      <c r="H202" s="26">
        <f>H201+IF(U201="RLO",1,0)</f>
        <v/>
      </c>
      <c r="I202" s="26">
        <f>I201+IF(U201="BD",1,0)</f>
        <v/>
      </c>
      <c r="J202" s="26">
        <f>MAX(J201,IF(U201="BiP",1,0))</f>
        <v/>
      </c>
      <c r="K202" s="26">
        <f>MAX(K201,IF(U201="PV",1,0))</f>
        <v/>
      </c>
      <c r="L202" s="26">
        <f>MAX(L201,IF(U201="OC",1,0))</f>
        <v/>
      </c>
      <c r="M202" s="26">
        <f>MAX(M201,IF(U201="MG",1,0))</f>
        <v/>
      </c>
      <c r="N202" s="26">
        <f>MAX(N201,IF(U201="transition",1,0))</f>
        <v/>
      </c>
      <c r="O202" s="28">
        <f>(Parameters!$B$9+(IF(E202=0,0,(Upgrades!$J$13+E202*Upgrades!$K$13)*POWER(Upgrades!$L$13,E202)))*(IF(Upgrades!$T$14="Stellar Kinematics",POWER(Upgrades!$U$14,F202),1)*IF(Upgrades!$T$15="Stellar Kinematics",POWER(Upgrades!$U$15,G202),1)*IF(Upgrades!$T$16="Stellar Kinematics",POWER(Upgrades!$U$16,H202),1)*IF(Upgrades!$T$17="Stellar Kinematics",POWER(Upgrades!$U$17,I202),1)*IF(Upgrades!$T$18="Stellar Kinematics",POWER(Upgrades!$U$18,J202),1)*IF(Upgrades!$T$19="Stellar Kinematics",POWER(Upgrades!$U$19,K202),1)*IF(Upgrades!$T$20="Stellar Kinematics",POWER(Upgrades!$U$20,L202),1)*IF(Upgrades!$T$21="Stellar Kinematics",POWER(Upgrades!$U$21,M202),1))+(IF(F202=0,0,(Upgrades!$J$14+F202*Upgrades!$K$14)*POWER(Upgrades!$L$14,F202)))*(IF(Upgrades!$T$13="Local Bubble",POWER(Upgrades!$U$13,E202),1)*IF(Upgrades!$T$15="Local Bubble",POWER(Upgrades!$U$15,G202),1)*IF(Upgrades!$T$16="Local Bubble",POWER(Upgrades!$U$16,H202),1)*IF(Upgrades!$T$17="Local Bubble",POWER(Upgrades!$U$17,I202),1)*IF(Upgrades!$T$18="Local Bubble",POWER(Upgrades!$U$18,J202),1)*IF(Upgrades!$T$19="Local Bubble",POWER(Upgrades!$U$19,K202),1)*IF(Upgrades!$T$20="Local Bubble",POWER(Upgrades!$U$20,L202),1)*IF(Upgrades!$T$21="Local Bubble",POWER(Upgrades!$U$21,M202),1))+(IF(G202=0,0,(Upgrades!$J$15+G202*Upgrades!$K$15)*POWER(Upgrades!$L$15,G202)))*(IF(Upgrades!$T$13="Microlensing",POWER(Upgrades!$U$13,E202),1)*IF(Upgrades!$T$14="Microlensing",POWER(Upgrades!$U$14,F202),1)*IF(Upgrades!$T$16="Microlensing",POWER(Upgrades!$U$16,H202),1)*IF(Upgrades!$T$17="Microlensing",POWER(Upgrades!$U$17,I202),1)*IF(Upgrades!$T$18="Microlensing",POWER(Upgrades!$U$18,J202),1)*IF(Upgrades!$T$19="Microlensing",POWER(Upgrades!$U$19,K202),1)*IF(Upgrades!$T$20="Microlensing",POWER(Upgrades!$U$20,L202),1)*IF(Upgrades!$T$21="Microlensing",POWER(Upgrades!$U$21,M202),1))+(IF(H202=0,0,(Upgrades!$J$16+H202*Upgrades!$K$16)*POWER(Upgrades!$L$16,H202)))*(IF(Upgrades!$T$13="Roche Lobe Overflow",POWER(Upgrades!$U$13,E202),1)*IF(Upgrades!$T$14="Roche Lobe Overflow",POWER(Upgrades!$U$14,F202),1)*IF(Upgrades!$T$15="Roche Lobe Overflow",POWER(Upgrades!$U$15,G202),1)*IF(Upgrades!$T$17="Roche Lobe Overflow",POWER(Upgrades!$U$17,I202),1)*IF(Upgrades!$T$18="Roche Lobe Overflow",POWER(Upgrades!$U$18,J202),1)*IF(Upgrades!$T$19="Roche Lobe Overflow",POWER(Upgrades!$U$19,K202),1)*IF(Upgrades!$T$20="Roche Lobe Overflow",POWER(Upgrades!$U$20,L202),1)*IF(Upgrades!$T$21="Roche Lobe Overflow",POWER(Upgrades!$U$21,M202),1))+(IF(I202=0,0,(Upgrades!$J$17+I202*Upgrades!$K$17)*POWER(Upgrades!$L$17,I202)))*(IF(Upgrades!$T$13="Brown Dwarf",POWER(Upgrades!$U$13,E202),1)*IF(Upgrades!$T$14="Brown Dwarf",POWER(Upgrades!$U$14,F202),1)*IF(Upgrades!$T$15="Brown Dwarf",POWER(Upgrades!$U$15,G202),1)*IF(Upgrades!$T$16="Brown Dwarf",POWER(Upgrades!$U$16,H202),1)*IF(Upgrades!$T$18="Brown Dwarf",POWER(Upgrades!$U$18,J202),1)*IF(Upgrades!$T$19="Brown Dwarf",POWER(Upgrades!$U$19,K202),1)*IF(Upgrades!$T$20="Brown Dwarf",POWER(Upgrades!$U$20,L202),1)*IF(Upgrades!$T$21="Brown Dwarf",POWER(Upgrades!$U$21,M202),1))+(IF(J202=0,0,(Upgrades!$J$18+J202*Upgrades!$K$18)*POWER(Upgrades!$L$18,J202)))*(IF(Upgrades!$T$13="Binary Partner",POWER(Upgrades!$U$13,E202),1)*IF(Upgrades!$T$14="Binary Partner",POWER(Upgrades!$U$14,F202),1)*IF(Upgrades!$T$15="Binary Partner",POWER(Upgrades!$U$15,G202),1)*IF(Upgrades!$T$16="Binary Partner",POWER(Upgrades!$U$16,H202),1)*IF(Upgrades!$T$17="Binary Partner",POWER(Upgrades!$U$17,I202),1)*IF(Upgrades!$T$19="Binary Partner",POWER(Upgrades!$U$19,K202),1)*IF(Upgrades!$T$20="Binary Partner",POWER(Upgrades!$U$20,L202),1)*IF(Upgrades!$T$21="Binary Partner",POWER(Upgrades!$U$21,M202),1))+(IF(K202=0,0,(Upgrades!$J$19+K202*Upgrades!$K$19)*POWER(Upgrades!$L$19,K202)))*(IF(Upgrades!$T$13="Peculiar Velocity",POWER(Upgrades!$U$13,E202),1)*IF(Upgrades!$T$14="Peculiar Velocity",POWER(Upgrades!$U$14,F202),1)*IF(Upgrades!$T$15="Peculiar Velocity",POWER(Upgrades!$U$15,G202),1)*IF(Upgrades!$T$16="Peculiar Velocity",POWER(Upgrades!$U$16,H202),1)*IF(Upgrades!$T$17="Peculiar Velocity",POWER(Upgrades!$U$17,I202),1)*IF(Upgrades!$T$18="Peculiar Velocity",POWER(Upgrades!$U$18,J202),1)*IF(Upgrades!$T$20="Peculiar Velocity",POWER(Upgrades!$U$20,L202),1)*IF(Upgrades!$T$21="Peculiar Velocity",POWER(Upgrades!$U$21,M202),1))+(IF(L202=0,0,(Upgrades!$J$20+L202*Upgrades!$K$20)*POWER(Upgrades!$L$20,L202)))*(IF(Upgrades!$T$13="Open Cluster",POWER(Upgrades!$U$13,E202),1)*IF(Upgrades!$T$14="Open Cluster",POWER(Upgrades!$U$14,F202),1)*IF(Upgrades!$T$15="Open Cluster",POWER(Upgrades!$U$15,G202),1)*IF(Upgrades!$T$16="Open Cluster",POWER(Upgrades!$U$16,H202),1)*IF(Upgrades!$T$17="Open Cluster",POWER(Upgrades!$U$17,I202),1)*IF(Upgrades!$T$18="Open Cluster",POWER(Upgrades!$U$18,J202),1)*IF(Upgrades!$T$19="Open Cluster",POWER(Upgrades!$U$19,K202),1)*IF(Upgrades!$T$21="Open Cluster",POWER(Upgrades!$U$21,M202),1))+(IF(M202=0,0,(Upgrades!$J$21+M202*Upgrades!$K$21)*POWER(Upgrades!$L$21,M202)))*(IF(Upgrades!$T$13="Moving Group",POWER(Upgrades!$U$13,E202),1)*IF(Upgrades!$T$14="Moving Group",POWER(Upgrades!$U$14,F202),1)*IF(Upgrades!$T$15="Moving Group",POWER(Upgrades!$U$15,G202),1)*IF(Upgrades!$T$16="Moving Group",POWER(Upgrades!$U$16,H202),1)*IF(Upgrades!$T$17="Moving Group",POWER(Upgrades!$U$17,I202),1)*IF(Upgrades!$T$18="Moving Group",POWER(Upgrades!$U$18,J202),1)*IF(Upgrades!$T$19="Moving Group",POWER(Upgrades!$U$19,K202),1)*IF(Upgrades!$T$20="Moving Group",POWER(Upgrades!$U$20,L202),1)))*POWER(Upgrades!$Q$13,E202)*POWER(Upgrades!$Q$14,F202)*POWER(Upgrades!$Q$15,G202)*POWER(Upgrades!$Q$16,H202)*POWER(Upgrades!$Q$17,I202)*POWER(Upgrades!$Q$18,J202)*POWER(Upgrades!$Q$19,K202)*POWER(Upgrades!$Q$20,L202)*POWER(Upgrades!$Q$21,M202)*$G$6+$D$6</f>
        <v/>
      </c>
      <c r="P202" s="28">
        <f>((IF(E202=0,0,(Upgrades!$G$13+E202*Upgrades!$H$13)*POWER(Upgrades!$I$13,E202)))*(IF(Upgrades!$T$14="Stellar Kinematics",POWER(Upgrades!$U$14,F202),1)*IF(Upgrades!$T$15="Stellar Kinematics",POWER(Upgrades!$U$15,G202),1)*IF(Upgrades!$T$16="Stellar Kinematics",POWER(Upgrades!$U$16,H202),1)*IF(Upgrades!$T$17="Stellar Kinematics",POWER(Upgrades!$U$17,I202),1)*IF(Upgrades!$T$18="Stellar Kinematics",POWER(Upgrades!$U$18,J202),1)*IF(Upgrades!$T$19="Stellar Kinematics",POWER(Upgrades!$U$19,K202),1)*IF(Upgrades!$T$20="Stellar Kinematics",POWER(Upgrades!$U$20,L202),1)*IF(Upgrades!$T$21="Stellar Kinematics",POWER(Upgrades!$U$21,M202),1))+(IF(F202=0,0,(Upgrades!$G$14+F202*Upgrades!$H$14)*POWER(Upgrades!$I$14,F202)))*(IF(Upgrades!$T$13="Local Bubble",POWER(Upgrades!$U$13,E202),1)*IF(Upgrades!$T$15="Local Bubble",POWER(Upgrades!$U$15,G202),1)*IF(Upgrades!$T$16="Local Bubble",POWER(Upgrades!$U$16,H202),1)*IF(Upgrades!$T$17="Local Bubble",POWER(Upgrades!$U$17,I202),1)*IF(Upgrades!$T$18="Local Bubble",POWER(Upgrades!$U$18,J202),1)*IF(Upgrades!$T$19="Local Bubble",POWER(Upgrades!$U$19,K202),1)*IF(Upgrades!$T$20="Local Bubble",POWER(Upgrades!$U$20,L202),1)*IF(Upgrades!$T$21="Local Bubble",POWER(Upgrades!$U$21,M202),1))+(IF(G202=0,0,(Upgrades!$G$15+G202*Upgrades!$H$15)*POWER(Upgrades!$I$15,G202)))*(IF(Upgrades!$T$13="Microlensing",POWER(Upgrades!$U$13,E202),1)*IF(Upgrades!$T$14="Microlensing",POWER(Upgrades!$U$14,F202),1)*IF(Upgrades!$T$16="Microlensing",POWER(Upgrades!$U$16,H202),1)*IF(Upgrades!$T$17="Microlensing",POWER(Upgrades!$U$17,I202),1)*IF(Upgrades!$T$18="Microlensing",POWER(Upgrades!$U$18,J202),1)*IF(Upgrades!$T$19="Microlensing",POWER(Upgrades!$U$19,K202),1)*IF(Upgrades!$T$20="Microlensing",POWER(Upgrades!$U$20,L202),1)*IF(Upgrades!$T$21="Microlensing",POWER(Upgrades!$U$21,M202),1))+(IF(H202=0,0,(Upgrades!$G$16+H202*Upgrades!$H$16)*POWER(Upgrades!$I$16,H202)))*(IF(Upgrades!$T$13="Roche Lobe Overflow",POWER(Upgrades!$U$13,E202),1)*IF(Upgrades!$T$14="Roche Lobe Overflow",POWER(Upgrades!$U$14,F202),1)*IF(Upgrades!$T$15="Roche Lobe Overflow",POWER(Upgrades!$U$15,G202),1)*IF(Upgrades!$T$17="Roche Lobe Overflow",POWER(Upgrades!$U$17,I202),1)*IF(Upgrades!$T$18="Roche Lobe Overflow",POWER(Upgrades!$U$18,J202),1)*IF(Upgrades!$T$19="Roche Lobe Overflow",POWER(Upgrades!$U$19,K202),1)*IF(Upgrades!$T$20="Roche Lobe Overflow",POWER(Upgrades!$U$20,L202),1)*IF(Upgrades!$T$21="Roche Lobe Overflow",POWER(Upgrades!$U$21,M202),1))+(IF(I202=0,0,(Upgrades!$G$17+I202*Upgrades!$H$17)*POWER(Upgrades!$I$17,I202)))*(IF(Upgrades!$T$13="Brown Dwarf",POWER(Upgrades!$U$13,E202),1)*IF(Upgrades!$T$14="Brown Dwarf",POWER(Upgrades!$U$14,F202),1)*IF(Upgrades!$T$15="Brown Dwarf",POWER(Upgrades!$U$15,G202),1)*IF(Upgrades!$T$16="Brown Dwarf",POWER(Upgrades!$U$16,H202),1)*IF(Upgrades!$T$18="Brown Dwarf",POWER(Upgrades!$U$18,J202),1)*IF(Upgrades!$T$19="Brown Dwarf",POWER(Upgrades!$U$19,K202),1)*IF(Upgrades!$T$20="Brown Dwarf",POWER(Upgrades!$U$20,L202),1)*IF(Upgrades!$T$21="Brown Dwarf",POWER(Upgrades!$U$21,M202),1))+(IF(J202=0,0,(Upgrades!$G$18+J202*Upgrades!$H$18)*POWER(Upgrades!$I$18,J202)))*(IF(Upgrades!$T$13="Binary Partner",POWER(Upgrades!$U$13,E202),1)*IF(Upgrades!$T$14="Binary Partner",POWER(Upgrades!$U$14,F202),1)*IF(Upgrades!$T$15="Binary Partner",POWER(Upgrades!$U$15,G202),1)*IF(Upgrades!$T$16="Binary Partner",POWER(Upgrades!$U$16,H202),1)*IF(Upgrades!$T$17="Binary Partner",POWER(Upgrades!$U$17,I202),1)*IF(Upgrades!$T$19="Binary Partner",POWER(Upgrades!$U$19,K202),1)*IF(Upgrades!$T$20="Binary Partner",POWER(Upgrades!$U$20,L202),1)*IF(Upgrades!$T$21="Binary Partner",POWER(Upgrades!$U$21,M202),1))+(IF(K202=0,0,(Upgrades!$G$19+K202*Upgrades!$H$19)*POWER(Upgrades!$I$19,K202)))*(IF(Upgrades!$T$13="Peculiar Velocity",POWER(Upgrades!$U$13,E202),1)*IF(Upgrades!$T$14="Peculiar Velocity",POWER(Upgrades!$U$14,F202),1)*IF(Upgrades!$T$15="Peculiar Velocity",POWER(Upgrades!$U$15,G202),1)*IF(Upgrades!$T$16="Peculiar Velocity",POWER(Upgrades!$U$16,H202),1)*IF(Upgrades!$T$17="Peculiar Velocity",POWER(Upgrades!$U$17,I202),1)*IF(Upgrades!$T$18="Peculiar Velocity",POWER(Upgrades!$U$18,J202),1)*IF(Upgrades!$T$20="Peculiar Velocity",POWER(Upgrades!$U$20,L202),1)*IF(Upgrades!$T$21="Peculiar Velocity",POWER(Upgrades!$U$21,M202),1))+(IF(L202=0,0,(Upgrades!$G$20+L202*Upgrades!$H$20)*POWER(Upgrades!$I$20,L202)))*(IF(Upgrades!$T$13="Open Cluster",POWER(Upgrades!$U$13,E202),1)*IF(Upgrades!$T$14="Open Cluster",POWER(Upgrades!$U$14,F202),1)*IF(Upgrades!$T$15="Open Cluster",POWER(Upgrades!$U$15,G202),1)*IF(Upgrades!$T$16="Open Cluster",POWER(Upgrades!$U$16,H202),1)*IF(Upgrades!$T$17="Open Cluster",POWER(Upgrades!$U$17,I202),1)*IF(Upgrades!$T$18="Open Cluster",POWER(Upgrades!$U$18,J202),1)*IF(Upgrades!$T$19="Open Cluster",POWER(Upgrades!$U$19,K202),1)*IF(Upgrades!$T$21="Open Cluster",POWER(Upgrades!$U$21,M202),1))+(IF(M202=0,0,(Upgrades!$G$21+M202*Upgrades!$H$21)*POWER(Upgrades!$I$21,M202)))*(IF(Upgrades!$T$13="Moving Group",POWER(Upgrades!$U$13,E202),1)*IF(Upgrades!$T$14="Moving Group",POWER(Upgrades!$U$14,F202),1)*IF(Upgrades!$T$15="Moving Group",POWER(Upgrades!$U$15,G202),1)*IF(Upgrades!$T$16="Moving Group",POWER(Upgrades!$U$16,H202),1)*IF(Upgrades!$T$17="Moving Group",POWER(Upgrades!$U$17,I202),1)*IF(Upgrades!$T$18="Moving Group",POWER(Upgrades!$U$18,J202),1)*IF(Upgrades!$T$19="Moving Group",POWER(Upgrades!$U$19,K202),1)*IF(Upgrades!$T$20="Moving Group",POWER(Upgrades!$U$20,L202),1)))*POWER(Upgrades!$P$13,E202)*POWER(Upgrades!$P$14,F202)*POWER(Upgrades!$P$15,G202)*POWER(Upgrades!$P$16,H202)*POWER(Upgrades!$P$17,I202)*POWER(Upgrades!$P$18,J202)*POWER(Upgrades!$P$19,K202)*POWER(Upgrades!$P$20,L202)*POWER(Upgrades!$P$21,M202)*$F$6+$C$6</f>
        <v/>
      </c>
      <c r="Q202" s="28">
        <f>((IF(E202=0,0,(Upgrades!$M$13+E202*Upgrades!$N$13)*POWER(Upgrades!$O$13,E202)))*(IF(Upgrades!$T$14="Stellar Kinematics",POWER(Upgrades!$U$14,F202),1)*IF(Upgrades!$T$15="Stellar Kinematics",POWER(Upgrades!$U$15,G202),1)*IF(Upgrades!$T$16="Stellar Kinematics",POWER(Upgrades!$U$16,H202),1)*IF(Upgrades!$T$17="Stellar Kinematics",POWER(Upgrades!$U$17,I202),1)*IF(Upgrades!$T$18="Stellar Kinematics",POWER(Upgrades!$U$18,J202),1)*IF(Upgrades!$T$19="Stellar Kinematics",POWER(Upgrades!$U$19,K202),1)*IF(Upgrades!$T$20="Stellar Kinematics",POWER(Upgrades!$U$20,L202),1)*IF(Upgrades!$T$21="Stellar Kinematics",POWER(Upgrades!$U$21,M202),1))+(IF(F202=0,0,(Upgrades!$M$14+F202*Upgrades!$N$14)*POWER(Upgrades!$O$14,F202)))*(IF(Upgrades!$T$13="Local Bubble",POWER(Upgrades!$U$13,E202),1)*IF(Upgrades!$T$15="Local Bubble",POWER(Upgrades!$U$15,G202),1)*IF(Upgrades!$T$16="Local Bubble",POWER(Upgrades!$U$16,H202),1)*IF(Upgrades!$T$17="Local Bubble",POWER(Upgrades!$U$17,I202),1)*IF(Upgrades!$T$18="Local Bubble",POWER(Upgrades!$U$18,J202),1)*IF(Upgrades!$T$19="Local Bubble",POWER(Upgrades!$U$19,K202),1)*IF(Upgrades!$T$20="Local Bubble",POWER(Upgrades!$U$20,L202),1)*IF(Upgrades!$T$21="Local Bubble",POWER(Upgrades!$U$21,M202),1))+(IF(G202=0,0,(Upgrades!$M$15+G202*Upgrades!$N$15)*POWER(Upgrades!$O$15,G202)))*(IF(Upgrades!$T$13="Microlensing",POWER(Upgrades!$U$13,E202),1)*IF(Upgrades!$T$14="Microlensing",POWER(Upgrades!$U$14,F202),1)*IF(Upgrades!$T$16="Microlensing",POWER(Upgrades!$U$16,H202),1)*IF(Upgrades!$T$17="Microlensing",POWER(Upgrades!$U$17,I202),1)*IF(Upgrades!$T$18="Microlensing",POWER(Upgrades!$U$18,J202),1)*IF(Upgrades!$T$19="Microlensing",POWER(Upgrades!$U$19,K202),1)*IF(Upgrades!$T$20="Microlensing",POWER(Upgrades!$U$20,L202),1)*IF(Upgrades!$T$21="Microlensing",POWER(Upgrades!$U$21,M202),1))+(IF(H202=0,0,(Upgrades!$M$16+H202*Upgrades!$N$16)*POWER(Upgrades!$O$16,H202)))*(IF(Upgrades!$T$13="Roche Lobe Overflow",POWER(Upgrades!$U$13,E202),1)*IF(Upgrades!$T$14="Roche Lobe Overflow",POWER(Upgrades!$U$14,F202),1)*IF(Upgrades!$T$15="Roche Lobe Overflow",POWER(Upgrades!$U$15,G202),1)*IF(Upgrades!$T$17="Roche Lobe Overflow",POWER(Upgrades!$U$17,I202),1)*IF(Upgrades!$T$18="Roche Lobe Overflow",POWER(Upgrades!$U$18,J202),1)*IF(Upgrades!$T$19="Roche Lobe Overflow",POWER(Upgrades!$U$19,K202),1)*IF(Upgrades!$T$20="Roche Lobe Overflow",POWER(Upgrades!$U$20,L202),1)*IF(Upgrades!$T$21="Roche Lobe Overflow",POWER(Upgrades!$U$21,M202),1))+(IF(I202=0,0,(Upgrades!$M$17+I202*Upgrades!$N$17)*POWER(Upgrades!$O$17,I202)))*(IF(Upgrades!$T$13="Brown Dwarf",POWER(Upgrades!$U$13,E202),1)*IF(Upgrades!$T$14="Brown Dwarf",POWER(Upgrades!$U$14,F202),1)*IF(Upgrades!$T$15="Brown Dwarf",POWER(Upgrades!$U$15,G202),1)*IF(Upgrades!$T$16="Brown Dwarf",POWER(Upgrades!$U$16,H202),1)*IF(Upgrades!$T$18="Brown Dwarf",POWER(Upgrades!$U$18,J202),1)*IF(Upgrades!$T$19="Brown Dwarf",POWER(Upgrades!$U$19,K202),1)*IF(Upgrades!$T$20="Brown Dwarf",POWER(Upgrades!$U$20,L202),1)*IF(Upgrades!$T$21="Brown Dwarf",POWER(Upgrades!$U$21,M202),1))+(IF(J202=0,0,(Upgrades!$M$18+J202*Upgrades!$N$18)*POWER(Upgrades!$O$18,J202)))*(IF(Upgrades!$T$13="Binary Partner",POWER(Upgrades!$U$13,E202),1)*IF(Upgrades!$T$14="Binary Partner",POWER(Upgrades!$U$14,F202),1)*IF(Upgrades!$T$15="Binary Partner",POWER(Upgrades!$U$15,G202),1)*IF(Upgrades!$T$16="Binary Partner",POWER(Upgrades!$U$16,H202),1)*IF(Upgrades!$T$17="Binary Partner",POWER(Upgrades!$U$17,I202),1)*IF(Upgrades!$T$19="Binary Partner",POWER(Upgrades!$U$19,K202),1)*IF(Upgrades!$T$20="Binary Partner",POWER(Upgrades!$U$20,L202),1)*IF(Upgrades!$T$21="Binary Partner",POWER(Upgrades!$U$21,M202),1))+(IF(K202=0,0,(Upgrades!$M$19+K202*Upgrades!$N$19)*POWER(Upgrades!$O$19,K202)))*(IF(Upgrades!$T$13="Peculiar Velocity",POWER(Upgrades!$U$13,E202),1)*IF(Upgrades!$T$14="Peculiar Velocity",POWER(Upgrades!$U$14,F202),1)*IF(Upgrades!$T$15="Peculiar Velocity",POWER(Upgrades!$U$15,G202),1)*IF(Upgrades!$T$16="Peculiar Velocity",POWER(Upgrades!$U$16,H202),1)*IF(Upgrades!$T$17="Peculiar Velocity",POWER(Upgrades!$U$17,I202),1)*IF(Upgrades!$T$18="Peculiar Velocity",POWER(Upgrades!$U$18,J202),1)*IF(Upgrades!$T$20="Peculiar Velocity",POWER(Upgrades!$U$20,L202),1)*IF(Upgrades!$T$21="Peculiar Velocity",POWER(Upgrades!$U$21,M202),1))+(IF(L202=0,0,(Upgrades!$M$20+L202*Upgrades!$N$20)*POWER(Upgrades!$O$20,L202)))*(IF(Upgrades!$T$13="Open Cluster",POWER(Upgrades!$U$13,E202),1)*IF(Upgrades!$T$14="Open Cluster",POWER(Upgrades!$U$14,F202),1)*IF(Upgrades!$T$15="Open Cluster",POWER(Upgrades!$U$15,G202),1)*IF(Upgrades!$T$16="Open Cluster",POWER(Upgrades!$U$16,H202),1)*IF(Upgrades!$T$17="Open Cluster",POWER(Upgrades!$U$17,I202),1)*IF(Upgrades!$T$18="Open Cluster",POWER(Upgrades!$U$18,J202),1)*IF(Upgrades!$T$19="Open Cluster",POWER(Upgrades!$U$19,K202),1)*IF(Upgrades!$T$21="Open Cluster",POWER(Upgrades!$U$21,M202),1))+(IF(M202=0,0,(Upgrades!$M$21+M202*Upgrades!$N$21)*POWER(Upgrades!$O$21,M202)))*(IF(Upgrades!$T$13="Moving Group",POWER(Upgrades!$U$13,E202),1)*IF(Upgrades!$T$14="Moving Group",POWER(Upgrades!$U$14,F202),1)*IF(Upgrades!$T$15="Moving Group",POWER(Upgrades!$U$15,G202),1)*IF(Upgrades!$T$16="Moving Group",POWER(Upgrades!$U$16,H202),1)*IF(Upgrades!$T$17="Moving Group",POWER(Upgrades!$U$17,I202),1)*IF(Upgrades!$T$18="Moving Group",POWER(Upgrades!$U$18,J202),1)*IF(Upgrades!$T$19="Moving Group",POWER(Upgrades!$U$19,K202),1)*IF(Upgrades!$T$20="Moving Group",POWER(Upgrades!$U$20,L202),1)))*POWER(Upgrades!$R$13,E202)*POWER(Upgrades!$R$14,F202)*POWER(Upgrades!$R$15,G202)*POWER(Upgrades!$R$16,H202)*POWER(Upgrades!$R$17,I202)*POWER(Upgrades!$R$18,J202)*POWER(Upgrades!$R$19,K202)*POWER(Upgrades!$R$20,L202)*POWER(Upgrades!$R$21,M202)*$H$6+$E$6</f>
        <v/>
      </c>
      <c r="R202" s="27">
        <f>IF(N202=1,0,O202*Parameters!$B$10/60*Parameters!$B$11*10)</f>
        <v/>
      </c>
      <c r="S202" s="27">
        <f>IF(N202=1,0,Q202*O202*10)</f>
        <v/>
      </c>
      <c r="T202" s="27">
        <f>IF(N202=1,0,R202+S202+P202*10)</f>
        <v/>
      </c>
      <c r="U202" s="33">
        <f>BE202</f>
        <v/>
      </c>
      <c r="V202" s="22">
        <f>IF(U202="",0,IF(U202="transition",0,IF(U202="SK",AK202,IF(U202="LB",AL202,IF(U202="ML",AM202,IF(U202="RLO",AN202,IF(U202="BD",AO202,IF(U202="BiP",AP202,IF(U202="PV",AQ202,IF(U202="OC",AR202,IF(U202="MG",AS202,0))))))))))</f>
        <v/>
      </c>
      <c r="W202" s="27">
        <f>IF(U202="BiP",Upgrades!$F$18,IF(U202="PV",Upgrades!$F$19,IF(U202="OC",Upgrades!$F$20,IF(U202="MG",Upgrades!$F$21,IF(U202="transition",-Parameters!$B$18*Parameters!$B$19,0)))))</f>
        <v/>
      </c>
      <c r="X202" s="22">
        <f>C202+T202-V202</f>
        <v/>
      </c>
      <c r="Y202" s="30">
        <f>O202*Parameters!$B$10/60*Parameters!$B$11+Q202*O202+P202</f>
        <v/>
      </c>
      <c r="Z202" s="34">
        <f>IF(U202="transition","→ Tier 3 (Galactic Arm)",IF(U202="MG","Moving Group — pocket drifts together",IF(U202="OC","Open Cluster acquired",IF(U202="PV","Peculiar Velocity — passive multiplier active",IF(U202="BiP","Binary Partner — pair bond formed",IF(AND(AU202=1,N202=0,AT202&lt;&gt;1),"Cohesion ready (waiting on completionists)","")))))) </f>
        <v/>
      </c>
      <c r="AA202" s="27">
        <f>(IF(E202=0,0,(Upgrades!$G$13+E202*Upgrades!$H$13)*POWER(Upgrades!$I$13,E202)))*(IF(Upgrades!$T$14="Stellar Kinematics",POWER(Upgrades!$U$14,F202),1)*IF(Upgrades!$T$15="Stellar Kinematics",POWER(Upgrades!$U$15,G202),1)*IF(Upgrades!$T$16="Stellar Kinematics",POWER(Upgrades!$U$16,H202),1)*IF(Upgrades!$T$17="Stellar Kinematics",POWER(Upgrades!$U$17,I202),1)*IF(Upgrades!$T$18="Stellar Kinematics",POWER(Upgrades!$U$18,J202),1)*IF(Upgrades!$T$19="Stellar Kinematics",POWER(Upgrades!$U$19,K202),1)*IF(Upgrades!$T$20="Stellar Kinematics",POWER(Upgrades!$U$20,L202),1)*IF(Upgrades!$T$21="Stellar Kinematics",POWER(Upgrades!$U$21,M202),1))*POWER(Upgrades!$P$13,E202)*POWER(Upgrades!$P$14,F202)*POWER(Upgrades!$P$15,G202)*POWER(Upgrades!$P$16,H202)*POWER(Upgrades!$P$17,I202)*POWER(Upgrades!$P$18,J202)*POWER(Upgrades!$P$19,K202)*POWER(Upgrades!$P$20,L202)*POWER(Upgrades!$P$21,M202)*$F$6*60</f>
        <v/>
      </c>
      <c r="AB202" s="27">
        <f>(IF(F202=0,0,(Upgrades!$G$14+F202*Upgrades!$H$14)*POWER(Upgrades!$I$14,F202)))*(IF(Upgrades!$T$13="Local Bubble",POWER(Upgrades!$U$13,E202),1)*IF(Upgrades!$T$15="Local Bubble",POWER(Upgrades!$U$15,G202),1)*IF(Upgrades!$T$16="Local Bubble",POWER(Upgrades!$U$16,H202),1)*IF(Upgrades!$T$17="Local Bubble",POWER(Upgrades!$U$17,I202),1)*IF(Upgrades!$T$18="Local Bubble",POWER(Upgrades!$U$18,J202),1)*IF(Upgrades!$T$19="Local Bubble",POWER(Upgrades!$U$19,K202),1)*IF(Upgrades!$T$20="Local Bubble",POWER(Upgrades!$U$20,L202),1)*IF(Upgrades!$T$21="Local Bubble",POWER(Upgrades!$U$21,M202),1))*POWER(Upgrades!$P$13,E202)*POWER(Upgrades!$P$14,F202)*POWER(Upgrades!$P$15,G202)*POWER(Upgrades!$P$16,H202)*POWER(Upgrades!$P$17,I202)*POWER(Upgrades!$P$18,J202)*POWER(Upgrades!$P$19,K202)*POWER(Upgrades!$P$20,L202)*POWER(Upgrades!$P$21,M202)*$F$6*60</f>
        <v/>
      </c>
      <c r="AC202" s="27">
        <f>(IF(G202=0,0,(Upgrades!$J$15+G202*Upgrades!$K$15)*POWER(Upgrades!$L$15,G202)))*(IF(Upgrades!$T$13="Microlensing",POWER(Upgrades!$U$13,E202),1)*IF(Upgrades!$T$14="Microlensing",POWER(Upgrades!$U$14,F202),1)*IF(Upgrades!$T$16="Microlensing",POWER(Upgrades!$U$16,H202),1)*IF(Upgrades!$T$17="Microlensing",POWER(Upgrades!$U$17,I202),1)*IF(Upgrades!$T$18="Microlensing",POWER(Upgrades!$U$18,J202),1)*IF(Upgrades!$T$19="Microlensing",POWER(Upgrades!$U$19,K202),1)*IF(Upgrades!$T$20="Microlensing",POWER(Upgrades!$U$20,L202),1)*IF(Upgrades!$T$21="Microlensing",POWER(Upgrades!$U$21,M202),1))*POWER(Upgrades!$Q$13,E202)*POWER(Upgrades!$Q$14,F202)*POWER(Upgrades!$Q$15,G202)*POWER(Upgrades!$Q$16,H202)*POWER(Upgrades!$Q$17,I202)*POWER(Upgrades!$Q$18,J202)*POWER(Upgrades!$Q$19,K202)*POWER(Upgrades!$Q$20,L202)*POWER(Upgrades!$Q$21,M202)*$G$6*(Parameters!$B$10*Parameters!$B$11+Q202*60)</f>
        <v/>
      </c>
      <c r="AD202" s="27">
        <f>(IF(H202=0,0,(Upgrades!$M$16+H202*Upgrades!$N$16)*POWER(Upgrades!$O$16,H202)))*(IF(Upgrades!$T$13="Roche Lobe Overflow",POWER(Upgrades!$U$13,E202),1)*IF(Upgrades!$T$14="Roche Lobe Overflow",POWER(Upgrades!$U$14,F202),1)*IF(Upgrades!$T$15="Roche Lobe Overflow",POWER(Upgrades!$U$15,G202),1)*IF(Upgrades!$T$17="Roche Lobe Overflow",POWER(Upgrades!$U$17,I202),1)*IF(Upgrades!$T$18="Roche Lobe Overflow",POWER(Upgrades!$U$18,J202),1)*IF(Upgrades!$T$19="Roche Lobe Overflow",POWER(Upgrades!$U$19,K202),1)*IF(Upgrades!$T$20="Roche Lobe Overflow",POWER(Upgrades!$U$20,L202),1)*IF(Upgrades!$T$21="Roche Lobe Overflow",POWER(Upgrades!$U$21,M202),1))*POWER(Upgrades!$R$13,E202)*POWER(Upgrades!$R$14,F202)*POWER(Upgrades!$R$15,G202)*POWER(Upgrades!$R$16,H202)*POWER(Upgrades!$R$17,I202)*POWER(Upgrades!$R$18,J202)*POWER(Upgrades!$R$19,K202)*POWER(Upgrades!$R$20,L202)*POWER(Upgrades!$R$21,M202)*$H$6*O202*60</f>
        <v/>
      </c>
      <c r="AE202" s="27">
        <f>(IF(I202=0,0,(Upgrades!$G$17+I202*Upgrades!$H$17)*POWER(Upgrades!$I$17,I202)))*(IF(Upgrades!$T$13="Brown Dwarf",POWER(Upgrades!$U$13,E202),1)*IF(Upgrades!$T$14="Brown Dwarf",POWER(Upgrades!$U$14,F202),1)*IF(Upgrades!$T$15="Brown Dwarf",POWER(Upgrades!$U$15,G202),1)*IF(Upgrades!$T$16="Brown Dwarf",POWER(Upgrades!$U$16,H202),1)*IF(Upgrades!$T$18="Brown Dwarf",POWER(Upgrades!$U$18,J202),1)*IF(Upgrades!$T$19="Brown Dwarf",POWER(Upgrades!$U$19,K202),1)*IF(Upgrades!$T$20="Brown Dwarf",POWER(Upgrades!$U$20,L202),1)*IF(Upgrades!$T$21="Brown Dwarf",POWER(Upgrades!$U$21,M202),1))*POWER(Upgrades!$P$13,E202)*POWER(Upgrades!$P$14,F202)*POWER(Upgrades!$P$15,G202)*POWER(Upgrades!$P$16,H202)*POWER(Upgrades!$P$17,I202)*POWER(Upgrades!$P$18,J202)*POWER(Upgrades!$P$19,K202)*POWER(Upgrades!$P$20,L202)*POWER(Upgrades!$P$21,M202)*$F$6*60</f>
        <v/>
      </c>
      <c r="AF202" s="27" t="n">
        <v>0</v>
      </c>
      <c r="AG202" s="27" t="n">
        <v>0</v>
      </c>
      <c r="AH202" s="27" t="n">
        <v>0</v>
      </c>
      <c r="AI202" s="27">
        <f>(IF(M202=0,0,(Upgrades!$G$21+M202*Upgrades!$H$21)*POWER(Upgrades!$I$21,M202)))*(IF(Upgrades!$T$13="Moving Group",POWER(Upgrades!$U$13,E202),1)*IF(Upgrades!$T$14="Moving Group",POWER(Upgrades!$U$14,F202),1)*IF(Upgrades!$T$15="Moving Group",POWER(Upgrades!$U$15,G202),1)*IF(Upgrades!$T$16="Moving Group",POWER(Upgrades!$U$16,H202),1)*IF(Upgrades!$T$17="Moving Group",POWER(Upgrades!$U$17,I202),1)*IF(Upgrades!$T$18="Moving Group",POWER(Upgrades!$U$18,J202),1)*IF(Upgrades!$T$19="Moving Group",POWER(Upgrades!$U$19,K202),1)*IF(Upgrades!$T$20="Moving Group",POWER(Upgrades!$U$20,L202),1))*POWER(Upgrades!$P$13,E202)*POWER(Upgrades!$P$14,F202)*POWER(Upgrades!$P$15,G202)*POWER(Upgrades!$P$16,H202)*POWER(Upgrades!$P$17,I202)*POWER(Upgrades!$P$18,J202)*POWER(Upgrades!$P$19,K202)*POWER(Upgrades!$P$20,L202)*POWER(Upgrades!$P$21,M202)*$F$6*60</f>
        <v/>
      </c>
      <c r="AJ202" s="27">
        <f>$C$6*60</f>
        <v/>
      </c>
      <c r="AK202" s="22">
        <f>IF(E202&gt;=Upgrades!$E$13,"",Upgrades!$C$13*POWER(Upgrades!$D$13,E202))</f>
        <v/>
      </c>
      <c r="AL202" s="22">
        <f>IF(F202&gt;=Upgrades!$E$14,"",Upgrades!$C$14*POWER(Upgrades!$D$14,F202))</f>
        <v/>
      </c>
      <c r="AM202" s="22">
        <f>IF(G202&gt;=Upgrades!$E$15,"",Upgrades!$C$15*POWER(Upgrades!$D$15,G202))</f>
        <v/>
      </c>
      <c r="AN202" s="22">
        <f>IF(H202&gt;=Upgrades!$E$16,"",Upgrades!$C$16*POWER(Upgrades!$D$16,H202))</f>
        <v/>
      </c>
      <c r="AO202" s="22">
        <f>IF(I202&gt;=Upgrades!$E$17,"",Upgrades!$C$17*POWER(Upgrades!$D$17,I202))</f>
        <v/>
      </c>
      <c r="AP202" s="22">
        <f>IF(J202&gt;=Upgrades!$E$18,"",Upgrades!$C$18*POWER(Upgrades!$D$18,J202))</f>
        <v/>
      </c>
      <c r="AQ202" s="22">
        <f>IF(K202&gt;=Upgrades!$E$19,"",Upgrades!$C$19*POWER(Upgrades!$D$19,K202))</f>
        <v/>
      </c>
      <c r="AR202" s="22">
        <f>IF(L202&gt;=Upgrades!$E$20,"",Upgrades!$C$20*POWER(Upgrades!$D$20,L202))</f>
        <v/>
      </c>
      <c r="AS202" s="22">
        <f>IF(M202&gt;=Upgrades!$E$21,"",Upgrades!$C$21*POWER(Upgrades!$D$21,M202))</f>
        <v/>
      </c>
      <c r="AT202" s="26">
        <f>IF(AND(D202&gt;=Parameters!$B$18*Parameters!$B$19,(I202&gt;=Upgrades!$E$17)*(M202&gt;=Upgrades!$E$21)=1,N202=0),1,"")</f>
        <v/>
      </c>
      <c r="AU202" s="26">
        <f>IF(AND(D202&gt;=Parameters!$B$18*Parameters!$B$19,N202=0),1,"")</f>
        <v/>
      </c>
      <c r="AV202" s="22">
        <f>MIN(IF(ISNUMBER(AP202),AP202,9E15),IF(ISNUMBER(AQ202),AQ202,9E15),IF(ISNUMBER(AR202),AR202,9E15),IF(ISNUMBER(AS202),AS202,9E15))</f>
        <v/>
      </c>
      <c r="AW202" s="22">
        <f>MIN(IF(ISNUMBER(AK202),AK202,9E15),IF(ISNUMBER(AL202),AL202,9E15),IF(ISNUMBER(AM202),AM202,9E15),IF(ISNUMBER(AN202),AN202,9E15),IF(ISNUMBER(AO202),AO202,9E15))</f>
        <v/>
      </c>
      <c r="AX202" s="29">
        <f>IF(BD202&gt;Parameters!$B$21*(MAX(IF(AND(NOT(AND(AU202=1,AT202&lt;&gt;1)),ISNUMBER(AK202),AK202&lt;=(C202+T202)),AY202,0),IF(AND(NOT(AND(AU202=1,AT202&lt;&gt;1)),ISNUMBER(AL202),AL202&lt;=(C202+T202)),AZ202,0),IF(AND(NOT(AND(AU202=1,AT202&lt;&gt;1)),ISNUMBER(AM202),AM202&lt;=(C202+T202)),BA202,0),IF(AND(NOT(AND(AU202=1,AT202&lt;&gt;1)),ISNUMBER(AN202),AN202&lt;=(C202+T202)),BB202,0),IF(AND(ISNUMBER(AO202),AO202&lt;=(C202+T202)),BC202,0))),TRUE,FALSE)</f>
        <v/>
      </c>
      <c r="AY202" s="32">
        <f>IFERROR(Upgrades!$H$13*(POWER(Upgrades!$P$13,E202)*POWER(Upgrades!$P$14,F202)*POWER(Upgrades!$P$15,G202)*POWER(Upgrades!$P$16,H202)*POWER(Upgrades!$P$17,I202)*POWER(Upgrades!$P$18,J202)*POWER(Upgrades!$P$19,K202)*POWER(Upgrades!$P$20,L202)*POWER(Upgrades!$P$21,M202))*(IF(Upgrades!$T$14="Stellar Kinematics",POWER(Upgrades!$U$14,F202),1)*IF(Upgrades!$T$15="Stellar Kinematics",POWER(Upgrades!$U$15,G202),1)*IF(Upgrades!$T$16="Stellar Kinematics",POWER(Upgrades!$U$16,H202),1)*IF(Upgrades!$T$17="Stellar Kinematics",POWER(Upgrades!$U$17,I202),1)*IF(Upgrades!$T$18="Stellar Kinematics",POWER(Upgrades!$U$18,J202),1)*IF(Upgrades!$T$19="Stellar Kinematics",POWER(Upgrades!$U$19,K202),1)*IF(Upgrades!$T$20="Stellar Kinematics",POWER(Upgrades!$U$20,L202),1)*IF(Upgrades!$T$21="Stellar Kinematics",POWER(Upgrades!$U$21,M202),1))*$F$6/AK202,0)</f>
        <v/>
      </c>
      <c r="AZ202" s="32">
        <f>IFERROR(Upgrades!$H$14*(POWER(Upgrades!$P$13,E202)*POWER(Upgrades!$P$14,F202)*POWER(Upgrades!$P$15,G202)*POWER(Upgrades!$P$16,H202)*POWER(Upgrades!$P$17,I202)*POWER(Upgrades!$P$18,J202)*POWER(Upgrades!$P$19,K202)*POWER(Upgrades!$P$20,L202)*POWER(Upgrades!$P$21,M202))*(IF(Upgrades!$T$13="Local Bubble",POWER(Upgrades!$U$13,E202),1)*IF(Upgrades!$T$15="Local Bubble",POWER(Upgrades!$U$15,G202),1)*IF(Upgrades!$T$16="Local Bubble",POWER(Upgrades!$U$16,H202),1)*IF(Upgrades!$T$17="Local Bubble",POWER(Upgrades!$U$17,I202),1)*IF(Upgrades!$T$18="Local Bubble",POWER(Upgrades!$U$18,J202),1)*IF(Upgrades!$T$19="Local Bubble",POWER(Upgrades!$U$19,K202),1)*IF(Upgrades!$T$20="Local Bubble",POWER(Upgrades!$U$20,L202),1)*IF(Upgrades!$T$21="Local Bubble",POWER(Upgrades!$U$21,M202),1))*$F$6/AL202,0)</f>
        <v/>
      </c>
      <c r="BA202" s="32">
        <f>IFERROR(Upgrades!$K$15*(POWER(Upgrades!$Q$13,E202)*POWER(Upgrades!$Q$14,F202)*POWER(Upgrades!$Q$15,G202)*POWER(Upgrades!$Q$16,H202)*POWER(Upgrades!$Q$17,I202)*POWER(Upgrades!$Q$18,J202)*POWER(Upgrades!$Q$19,K202)*POWER(Upgrades!$Q$20,L202)*POWER(Upgrades!$Q$21,M202))*(IF(Upgrades!$T$13="Microlensing",POWER(Upgrades!$U$13,E202),1)*IF(Upgrades!$T$14="Microlensing",POWER(Upgrades!$U$14,F202),1)*IF(Upgrades!$T$16="Microlensing",POWER(Upgrades!$U$16,H202),1)*IF(Upgrades!$T$17="Microlensing",POWER(Upgrades!$U$17,I202),1)*IF(Upgrades!$T$18="Microlensing",POWER(Upgrades!$U$18,J202),1)*IF(Upgrades!$T$19="Microlensing",POWER(Upgrades!$U$19,K202),1)*IF(Upgrades!$T$20="Microlensing",POWER(Upgrades!$U$20,L202),1)*IF(Upgrades!$T$21="Microlensing",POWER(Upgrades!$U$21,M202),1))*$G$6*(Parameters!$B$10/60*Parameters!$B$11+Q202)/AM202,0)</f>
        <v/>
      </c>
      <c r="BB202" s="32">
        <f>IFERROR((Upgrades!$N$16*(POWER(Upgrades!$R$13,E202)*POWER(Upgrades!$R$14,F202)*POWER(Upgrades!$R$15,G202)*POWER(Upgrades!$R$16,H202)*POWER(Upgrades!$R$17,I202)*POWER(Upgrades!$R$18,J202)*POWER(Upgrades!$R$19,K202)*POWER(Upgrades!$R$20,L202)*POWER(Upgrades!$R$21,M202))*(IF(Upgrades!$T$13="Roche Lobe Overflow",POWER(Upgrades!$U$13,E202),1)*IF(Upgrades!$T$14="Roche Lobe Overflow",POWER(Upgrades!$U$14,F202),1)*IF(Upgrades!$T$15="Roche Lobe Overflow",POWER(Upgrades!$U$15,G202),1)*IF(Upgrades!$T$17="Roche Lobe Overflow",POWER(Upgrades!$U$17,I202),1)*IF(Upgrades!$T$18="Roche Lobe Overflow",POWER(Upgrades!$U$18,J202),1)*IF(Upgrades!$T$19="Roche Lobe Overflow",POWER(Upgrades!$U$19,K202),1)*IF(Upgrades!$T$20="Roche Lobe Overflow",POWER(Upgrades!$U$20,L202),1)*IF(Upgrades!$T$21="Roche Lobe Overflow",POWER(Upgrades!$U$21,M202),1))*$H$6*O202+((IF(F202=0,0,(Upgrades!$G$14+F202*Upgrades!$H$14)*POWER(Upgrades!$I$14,F202)))*(IF(Upgrades!$T$13="Local Bubble",POWER(Upgrades!$U$13,E202),1)*IF(Upgrades!$T$15="Local Bubble",POWER(Upgrades!$U$15,G202),1)*IF(Upgrades!$T$16="Local Bubble",POWER(Upgrades!$U$16,H202),1)*IF(Upgrades!$T$17="Local Bubble",POWER(Upgrades!$U$17,I202),1)*IF(Upgrades!$T$18="Local Bubble",POWER(Upgrades!$U$18,J202),1)*IF(Upgrades!$T$19="Local Bubble",POWER(Upgrades!$U$19,K202),1)*IF(Upgrades!$T$20="Local Bubble",POWER(Upgrades!$U$20,L202),1)*IF(Upgrades!$T$21="Local Bubble",POWER(Upgrades!$U$21,M202),1))*POWER(Upgrades!$P$13,E202)*POWER(Upgrades!$P$14,F202)*POWER(Upgrades!$P$15,G202)*POWER(Upgrades!$P$16,H202)*POWER(Upgrades!$P$17,I202)*POWER(Upgrades!$P$18,J202)*POWER(Upgrades!$P$19,K202)*POWER(Upgrades!$P$20,L202)*POWER(Upgrades!$P$21,M202)*$F$6)*0.05)/AN202,0)</f>
        <v/>
      </c>
      <c r="BC202" s="32">
        <f>IFERROR((Upgrades!$H$17*(POWER(Upgrades!$P$13,E202)*POWER(Upgrades!$P$14,F202)*POWER(Upgrades!$P$15,G202)*POWER(Upgrades!$P$16,H202)*POWER(Upgrades!$P$17,I202)*POWER(Upgrades!$P$18,J202)*POWER(Upgrades!$P$19,K202)*POWER(Upgrades!$P$20,L202)*POWER(Upgrades!$P$21,M202))*(IF(Upgrades!$T$13="Brown Dwarf",POWER(Upgrades!$U$13,E202),1)*IF(Upgrades!$T$14="Brown Dwarf",POWER(Upgrades!$U$14,F202),1)*IF(Upgrades!$T$15="Brown Dwarf",POWER(Upgrades!$U$15,G202),1)*IF(Upgrades!$T$16="Brown Dwarf",POWER(Upgrades!$U$16,H202),1)*IF(Upgrades!$T$18="Brown Dwarf",POWER(Upgrades!$U$18,J202),1)*IF(Upgrades!$T$19="Brown Dwarf",POWER(Upgrades!$U$19,K202),1)*IF(Upgrades!$T$20="Brown Dwarf",POWER(Upgrades!$U$20,L202),1)*IF(Upgrades!$T$21="Brown Dwarf",POWER(Upgrades!$U$21,M202),1))*$F$6+(((IF(H202=0,0,(Upgrades!$M$16+H202*Upgrades!$N$16)*POWER(Upgrades!$O$16,H202)))*(IF(Upgrades!$T$13="Roche Lobe Overflow",POWER(Upgrades!$U$13,E202),1)*IF(Upgrades!$T$14="Roche Lobe Overflow",POWER(Upgrades!$U$14,F202),1)*IF(Upgrades!$T$15="Roche Lobe Overflow",POWER(Upgrades!$U$15,G202),1)*IF(Upgrades!$T$17="Roche Lobe Overflow",POWER(Upgrades!$U$17,I202),1)*IF(Upgrades!$T$18="Roche Lobe Overflow",POWER(Upgrades!$U$18,J202),1)*IF(Upgrades!$T$19="Roche Lobe Overflow",POWER(Upgrades!$U$19,K202),1)*IF(Upgrades!$T$20="Roche Lobe Overflow",POWER(Upgrades!$U$20,L202),1)*IF(Upgrades!$T$21="Roche Lobe Overflow",POWER(Upgrades!$U$21,M202),1))*POWER(Upgrades!$R$13,E202)*POWER(Upgrades!$R$14,F202)*POWER(Upgrades!$R$15,G202)*POWER(Upgrades!$R$16,H202)*POWER(Upgrades!$R$17,I202)*POWER(Upgrades!$R$18,J202)*POWER(Upgrades!$R$19,K202)*POWER(Upgrades!$R$20,L202)*POWER(Upgrades!$R$21,M202)*$H$6)*O202)*0.10)/AO202,0)</f>
        <v/>
      </c>
      <c r="BD202" s="32">
        <f>MAX(IF(J202&gt;0,0,IFERROR(0.5*((IF(G202=0,0,(Upgrades!$J$15+G202*Upgrades!$K$15)*POWER(Upgrades!$L$15,G202)))*(IF(Upgrades!$T$13="Microlensing",POWER(Upgrades!$U$13,E202),1)*IF(Upgrades!$T$14="Microlensing",POWER(Upgrades!$U$14,F202),1)*IF(Upgrades!$T$16="Microlensing",POWER(Upgrades!$U$16,H202),1)*IF(Upgrades!$T$17="Microlensing",POWER(Upgrades!$U$17,I202),1)*IF(Upgrades!$T$18="Microlensing",POWER(Upgrades!$U$18,J202),1)*IF(Upgrades!$T$19="Microlensing",POWER(Upgrades!$U$19,K202),1)*IF(Upgrades!$T$20="Microlensing",POWER(Upgrades!$U$20,L202),1)*IF(Upgrades!$T$21="Microlensing",POWER(Upgrades!$U$21,M202),1))*(POWER(Upgrades!$Q$13,E202)*POWER(Upgrades!$Q$14,F202)*POWER(Upgrades!$Q$15,G202)*POWER(Upgrades!$Q$16,H202)*POWER(Upgrades!$Q$17,I202)*POWER(Upgrades!$Q$18,J202)*POWER(Upgrades!$Q$19,K202)*POWER(Upgrades!$Q$20,L202)*POWER(Upgrades!$Q$21,M202))*$G$6*(Parameters!$B$10/60*Parameters!$B$11+Q202))/Upgrades!$C$18,0)),IF(K202&gt;0,0,IFERROR(0.30*P202/Upgrades!$C$19,0)),IF(L202&gt;0,0,IFERROR(0.0001/Upgrades!$C$20,0)),IF(M202&gt;0,0,IFERROR((6.0*(POWER(Upgrades!$P$13,E202)*POWER(Upgrades!$P$14,F202)*POWER(Upgrades!$P$15,G202)*POWER(Upgrades!$P$16,H202)*POWER(Upgrades!$P$17,I202)*POWER(Upgrades!$P$18,J202)*POWER(Upgrades!$P$19,K202)*POWER(Upgrades!$P$20,L202)*POWER(Upgrades!$P$21,M202))*$F$6+0.20*O202*(Parameters!$B$10/60*Parameters!$B$11+Q202))/Upgrades!$C$21,0)),IF(AND(ISNUMBER(AK202),AK202&gt;(C202+T202)),AY202,0),IF(AND(ISNUMBER(AL202),AL202&gt;(C202+T202)),AZ202,0),IF(AND(ISNUMBER(AM202),AM202&gt;(C202+T202)),BA202,0),IF(AND(ISNUMBER(AN202),AN202&gt;(C202+T202)),BB202,0),IF(AND(ISNUMBER(AO202),AO202&gt;(C202+T202)),BC202,0))</f>
        <v/>
      </c>
      <c r="BE202" s="29">
        <f>IF(AT202=1,"transition",IF(MIN(IF(AND(J202=0,ISNUMBER(AP202),AP202&lt;=(C202+T202)),AP202,9E15),IF(AND(K202=0,ISNUMBER(AQ202),AQ202&lt;=(C202+T202)),AQ202,9E15),IF(AND(L202=0,ISNUMBER(AR202),AR202&lt;=(C202+T202)),AR202,9E15),IF(AND(M202=0,ISNUMBER(AS202),AS202&lt;=(C202+T202)),AS202,9E15))&lt;9E15,IF(AND(AND(J202=0,ISNUMBER(AP202),AP202&lt;=(C202+T202)),AP202=MIN(IF(AND(J202=0,ISNUMBER(AP202),AP202&lt;=(C202+T202)),AP202,9E15),IF(AND(K202=0,ISNUMBER(AQ202),AQ202&lt;=(C202+T202)),AQ202,9E15),IF(AND(L202=0,ISNUMBER(AR202),AR202&lt;=(C202+T202)),AR202,9E15),IF(AND(M202=0,ISNUMBER(AS202),AS202&lt;=(C202+T202)),AS202,9E15))),"BiP",IF(AND(AND(K202=0,ISNUMBER(AQ202),AQ202&lt;=(C202+T202)),AQ202=MIN(IF(AND(J202=0,ISNUMBER(AP202),AP202&lt;=(C202+T202)),AP202,9E15),IF(AND(K202=0,ISNUMBER(AQ202),AQ202&lt;=(C202+T202)),AQ202,9E15),IF(AND(L202=0,ISNUMBER(AR202),AR202&lt;=(C202+T202)),AR202,9E15),IF(AND(M202=0,ISNUMBER(AS202),AS202&lt;=(C202+T202)),AS202,9E15))),"PV",IF(AND(AND(L202=0,ISNUMBER(AR202),AR202&lt;=(C202+T202)),AR202=MIN(IF(AND(J202=0,ISNUMBER(AP202),AP202&lt;=(C202+T202)),AP202,9E15),IF(AND(K202=0,ISNUMBER(AQ202),AQ202&lt;=(C202+T202)),AQ202,9E15),IF(AND(L202=0,ISNUMBER(AR202),AR202&lt;=(C202+T202)),AR202,9E15),IF(AND(M202=0,ISNUMBER(AS202),AS202&lt;=(C202+T202)),AS202,9E15))),"OC","MG"))),IF(AX202=TRUE,"",IF(MAX(IF(AND(NOT(AND(AU202=1,AT202&lt;&gt;1)),ISNUMBER(AK202),AK202&lt;=(C202+T202)),AY202,0),IF(AND(NOT(AND(AU202=1,AT202&lt;&gt;1)),ISNUMBER(AL202),AL202&lt;=(C202+T202)),AZ202,0),IF(AND(NOT(AND(AU202=1,AT202&lt;&gt;1)),ISNUMBER(AM202),AM202&lt;=(C202+T202)),BA202,0),IF(AND(NOT(AND(AU202=1,AT202&lt;&gt;1)),ISNUMBER(AN202),AN202&lt;=(C202+T202)),BB202,0),IF(AND(ISNUMBER(AO202),AO202&lt;=(C202+T202)),BC202,0))&lt;=0,"",IF(AND(IF(AND(NOT(AND(AU202=1,AT202&lt;&gt;1)),ISNUMBER(AK202),AK202&lt;=(C202+T202)),AY202,0)&gt;0,IF(AND(NOT(AND(AU202=1,AT202&lt;&gt;1)),ISNUMBER(AK202),AK202&lt;=(C202+T202)),AY202,0)=MAX(IF(AND(NOT(AND(AU202=1,AT202&lt;&gt;1)),ISNUMBER(AK202),AK202&lt;=(C202+T202)),AY202,0),IF(AND(NOT(AND(AU202=1,AT202&lt;&gt;1)),ISNUMBER(AL202),AL202&lt;=(C202+T202)),AZ202,0),IF(AND(NOT(AND(AU202=1,AT202&lt;&gt;1)),ISNUMBER(AM202),AM202&lt;=(C202+T202)),BA202,0),IF(AND(NOT(AND(AU202=1,AT202&lt;&gt;1)),ISNUMBER(AN202),AN202&lt;=(C202+T202)),BB202,0),IF(AND(ISNUMBER(AO202),AO202&lt;=(C202+T202)),BC202,0))),"SK",IF(AND(IF(AND(NOT(AND(AU202=1,AT202&lt;&gt;1)),ISNUMBER(AL202),AL202&lt;=(C202+T202)),AZ202,0)&gt;0,IF(AND(NOT(AND(AU202=1,AT202&lt;&gt;1)),ISNUMBER(AL202),AL202&lt;=(C202+T202)),AZ202,0)=MAX(IF(AND(NOT(AND(AU202=1,AT202&lt;&gt;1)),ISNUMBER(AK202),AK202&lt;=(C202+T202)),AY202,0),IF(AND(NOT(AND(AU202=1,AT202&lt;&gt;1)),ISNUMBER(AL202),AL202&lt;=(C202+T202)),AZ202,0),IF(AND(NOT(AND(AU202=1,AT202&lt;&gt;1)),ISNUMBER(AM202),AM202&lt;=(C202+T202)),BA202,0),IF(AND(NOT(AND(AU202=1,AT202&lt;&gt;1)),ISNUMBER(AN202),AN202&lt;=(C202+T202)),BB202,0),IF(AND(ISNUMBER(AO202),AO202&lt;=(C202+T202)),BC202,0))),"LB",IF(AND(IF(AND(NOT(AND(AU202=1,AT202&lt;&gt;1)),ISNUMBER(AM202),AM202&lt;=(C202+T202)),BA202,0)&gt;0,IF(AND(NOT(AND(AU202=1,AT202&lt;&gt;1)),ISNUMBER(AM202),AM202&lt;=(C202+T202)),BA202,0)=MAX(IF(AND(NOT(AND(AU202=1,AT202&lt;&gt;1)),ISNUMBER(AK202),AK202&lt;=(C202+T202)),AY202,0),IF(AND(NOT(AND(AU202=1,AT202&lt;&gt;1)),ISNUMBER(AL202),AL202&lt;=(C202+T202)),AZ202,0),IF(AND(NOT(AND(AU202=1,AT202&lt;&gt;1)),ISNUMBER(AM202),AM202&lt;=(C202+T202)),BA202,0),IF(AND(NOT(AND(AU202=1,AT202&lt;&gt;1)),ISNUMBER(AN202),AN202&lt;=(C202+T202)),BB202,0),IF(AND(ISNUMBER(AO202),AO202&lt;=(C202+T202)),BC202,0))),"ML",IF(AND(IF(AND(NOT(AND(AU202=1,AT202&lt;&gt;1)),ISNUMBER(AN202),AN202&lt;=(C202+T202)),BB202,0)&gt;0,IF(AND(NOT(AND(AU202=1,AT202&lt;&gt;1)),ISNUMBER(AN202),AN202&lt;=(C202+T202)),BB202,0)=MAX(IF(AND(NOT(AND(AU202=1,AT202&lt;&gt;1)),ISNUMBER(AK202),AK202&lt;=(C202+T202)),AY202,0),IF(AND(NOT(AND(AU202=1,AT202&lt;&gt;1)),ISNUMBER(AL202),AL202&lt;=(C202+T202)),AZ202,0),IF(AND(NOT(AND(AU202=1,AT202&lt;&gt;1)),ISNUMBER(AM202),AM202&lt;=(C202+T202)),BA202,0),IF(AND(NOT(AND(AU202=1,AT202&lt;&gt;1)),ISNUMBER(AN202),AN202&lt;=(C202+T202)),BB202,0),IF(AND(ISNUMBER(AO202),AO202&lt;=(C202+T202)),BC202,0))),"RLO","BD"))))))))</f>
        <v/>
      </c>
    </row>
    <row r="203">
      <c r="A203" s="26" t="n">
        <v>192</v>
      </c>
      <c r="B203" s="27">
        <f>A203*10/60</f>
        <v/>
      </c>
      <c r="C203" s="22">
        <f>X202</f>
        <v/>
      </c>
      <c r="D203" s="27">
        <f>D202+W202</f>
        <v/>
      </c>
      <c r="E203" s="26">
        <f>E202+IF(U202="SK",1,0)</f>
        <v/>
      </c>
      <c r="F203" s="26">
        <f>F202+IF(U202="LB",1,0)</f>
        <v/>
      </c>
      <c r="G203" s="26">
        <f>G202+IF(U202="ML",1,0)</f>
        <v/>
      </c>
      <c r="H203" s="26">
        <f>H202+IF(U202="RLO",1,0)</f>
        <v/>
      </c>
      <c r="I203" s="26">
        <f>I202+IF(U202="BD",1,0)</f>
        <v/>
      </c>
      <c r="J203" s="26">
        <f>MAX(J202,IF(U202="BiP",1,0))</f>
        <v/>
      </c>
      <c r="K203" s="26">
        <f>MAX(K202,IF(U202="PV",1,0))</f>
        <v/>
      </c>
      <c r="L203" s="26">
        <f>MAX(L202,IF(U202="OC",1,0))</f>
        <v/>
      </c>
      <c r="M203" s="26">
        <f>MAX(M202,IF(U202="MG",1,0))</f>
        <v/>
      </c>
      <c r="N203" s="26">
        <f>MAX(N202,IF(U202="transition",1,0))</f>
        <v/>
      </c>
      <c r="O203" s="28">
        <f>(Parameters!$B$9+(IF(E203=0,0,(Upgrades!$J$13+E203*Upgrades!$K$13)*POWER(Upgrades!$L$13,E203)))*(IF(Upgrades!$T$14="Stellar Kinematics",POWER(Upgrades!$U$14,F203),1)*IF(Upgrades!$T$15="Stellar Kinematics",POWER(Upgrades!$U$15,G203),1)*IF(Upgrades!$T$16="Stellar Kinematics",POWER(Upgrades!$U$16,H203),1)*IF(Upgrades!$T$17="Stellar Kinematics",POWER(Upgrades!$U$17,I203),1)*IF(Upgrades!$T$18="Stellar Kinematics",POWER(Upgrades!$U$18,J203),1)*IF(Upgrades!$T$19="Stellar Kinematics",POWER(Upgrades!$U$19,K203),1)*IF(Upgrades!$T$20="Stellar Kinematics",POWER(Upgrades!$U$20,L203),1)*IF(Upgrades!$T$21="Stellar Kinematics",POWER(Upgrades!$U$21,M203),1))+(IF(F203=0,0,(Upgrades!$J$14+F203*Upgrades!$K$14)*POWER(Upgrades!$L$14,F203)))*(IF(Upgrades!$T$13="Local Bubble",POWER(Upgrades!$U$13,E203),1)*IF(Upgrades!$T$15="Local Bubble",POWER(Upgrades!$U$15,G203),1)*IF(Upgrades!$T$16="Local Bubble",POWER(Upgrades!$U$16,H203),1)*IF(Upgrades!$T$17="Local Bubble",POWER(Upgrades!$U$17,I203),1)*IF(Upgrades!$T$18="Local Bubble",POWER(Upgrades!$U$18,J203),1)*IF(Upgrades!$T$19="Local Bubble",POWER(Upgrades!$U$19,K203),1)*IF(Upgrades!$T$20="Local Bubble",POWER(Upgrades!$U$20,L203),1)*IF(Upgrades!$T$21="Local Bubble",POWER(Upgrades!$U$21,M203),1))+(IF(G203=0,0,(Upgrades!$J$15+G203*Upgrades!$K$15)*POWER(Upgrades!$L$15,G203)))*(IF(Upgrades!$T$13="Microlensing",POWER(Upgrades!$U$13,E203),1)*IF(Upgrades!$T$14="Microlensing",POWER(Upgrades!$U$14,F203),1)*IF(Upgrades!$T$16="Microlensing",POWER(Upgrades!$U$16,H203),1)*IF(Upgrades!$T$17="Microlensing",POWER(Upgrades!$U$17,I203),1)*IF(Upgrades!$T$18="Microlensing",POWER(Upgrades!$U$18,J203),1)*IF(Upgrades!$T$19="Microlensing",POWER(Upgrades!$U$19,K203),1)*IF(Upgrades!$T$20="Microlensing",POWER(Upgrades!$U$20,L203),1)*IF(Upgrades!$T$21="Microlensing",POWER(Upgrades!$U$21,M203),1))+(IF(H203=0,0,(Upgrades!$J$16+H203*Upgrades!$K$16)*POWER(Upgrades!$L$16,H203)))*(IF(Upgrades!$T$13="Roche Lobe Overflow",POWER(Upgrades!$U$13,E203),1)*IF(Upgrades!$T$14="Roche Lobe Overflow",POWER(Upgrades!$U$14,F203),1)*IF(Upgrades!$T$15="Roche Lobe Overflow",POWER(Upgrades!$U$15,G203),1)*IF(Upgrades!$T$17="Roche Lobe Overflow",POWER(Upgrades!$U$17,I203),1)*IF(Upgrades!$T$18="Roche Lobe Overflow",POWER(Upgrades!$U$18,J203),1)*IF(Upgrades!$T$19="Roche Lobe Overflow",POWER(Upgrades!$U$19,K203),1)*IF(Upgrades!$T$20="Roche Lobe Overflow",POWER(Upgrades!$U$20,L203),1)*IF(Upgrades!$T$21="Roche Lobe Overflow",POWER(Upgrades!$U$21,M203),1))+(IF(I203=0,0,(Upgrades!$J$17+I203*Upgrades!$K$17)*POWER(Upgrades!$L$17,I203)))*(IF(Upgrades!$T$13="Brown Dwarf",POWER(Upgrades!$U$13,E203),1)*IF(Upgrades!$T$14="Brown Dwarf",POWER(Upgrades!$U$14,F203),1)*IF(Upgrades!$T$15="Brown Dwarf",POWER(Upgrades!$U$15,G203),1)*IF(Upgrades!$T$16="Brown Dwarf",POWER(Upgrades!$U$16,H203),1)*IF(Upgrades!$T$18="Brown Dwarf",POWER(Upgrades!$U$18,J203),1)*IF(Upgrades!$T$19="Brown Dwarf",POWER(Upgrades!$U$19,K203),1)*IF(Upgrades!$T$20="Brown Dwarf",POWER(Upgrades!$U$20,L203),1)*IF(Upgrades!$T$21="Brown Dwarf",POWER(Upgrades!$U$21,M203),1))+(IF(J203=0,0,(Upgrades!$J$18+J203*Upgrades!$K$18)*POWER(Upgrades!$L$18,J203)))*(IF(Upgrades!$T$13="Binary Partner",POWER(Upgrades!$U$13,E203),1)*IF(Upgrades!$T$14="Binary Partner",POWER(Upgrades!$U$14,F203),1)*IF(Upgrades!$T$15="Binary Partner",POWER(Upgrades!$U$15,G203),1)*IF(Upgrades!$T$16="Binary Partner",POWER(Upgrades!$U$16,H203),1)*IF(Upgrades!$T$17="Binary Partner",POWER(Upgrades!$U$17,I203),1)*IF(Upgrades!$T$19="Binary Partner",POWER(Upgrades!$U$19,K203),1)*IF(Upgrades!$T$20="Binary Partner",POWER(Upgrades!$U$20,L203),1)*IF(Upgrades!$T$21="Binary Partner",POWER(Upgrades!$U$21,M203),1))+(IF(K203=0,0,(Upgrades!$J$19+K203*Upgrades!$K$19)*POWER(Upgrades!$L$19,K203)))*(IF(Upgrades!$T$13="Peculiar Velocity",POWER(Upgrades!$U$13,E203),1)*IF(Upgrades!$T$14="Peculiar Velocity",POWER(Upgrades!$U$14,F203),1)*IF(Upgrades!$T$15="Peculiar Velocity",POWER(Upgrades!$U$15,G203),1)*IF(Upgrades!$T$16="Peculiar Velocity",POWER(Upgrades!$U$16,H203),1)*IF(Upgrades!$T$17="Peculiar Velocity",POWER(Upgrades!$U$17,I203),1)*IF(Upgrades!$T$18="Peculiar Velocity",POWER(Upgrades!$U$18,J203),1)*IF(Upgrades!$T$20="Peculiar Velocity",POWER(Upgrades!$U$20,L203),1)*IF(Upgrades!$T$21="Peculiar Velocity",POWER(Upgrades!$U$21,M203),1))+(IF(L203=0,0,(Upgrades!$J$20+L203*Upgrades!$K$20)*POWER(Upgrades!$L$20,L203)))*(IF(Upgrades!$T$13="Open Cluster",POWER(Upgrades!$U$13,E203),1)*IF(Upgrades!$T$14="Open Cluster",POWER(Upgrades!$U$14,F203),1)*IF(Upgrades!$T$15="Open Cluster",POWER(Upgrades!$U$15,G203),1)*IF(Upgrades!$T$16="Open Cluster",POWER(Upgrades!$U$16,H203),1)*IF(Upgrades!$T$17="Open Cluster",POWER(Upgrades!$U$17,I203),1)*IF(Upgrades!$T$18="Open Cluster",POWER(Upgrades!$U$18,J203),1)*IF(Upgrades!$T$19="Open Cluster",POWER(Upgrades!$U$19,K203),1)*IF(Upgrades!$T$21="Open Cluster",POWER(Upgrades!$U$21,M203),1))+(IF(M203=0,0,(Upgrades!$J$21+M203*Upgrades!$K$21)*POWER(Upgrades!$L$21,M203)))*(IF(Upgrades!$T$13="Moving Group",POWER(Upgrades!$U$13,E203),1)*IF(Upgrades!$T$14="Moving Group",POWER(Upgrades!$U$14,F203),1)*IF(Upgrades!$T$15="Moving Group",POWER(Upgrades!$U$15,G203),1)*IF(Upgrades!$T$16="Moving Group",POWER(Upgrades!$U$16,H203),1)*IF(Upgrades!$T$17="Moving Group",POWER(Upgrades!$U$17,I203),1)*IF(Upgrades!$T$18="Moving Group",POWER(Upgrades!$U$18,J203),1)*IF(Upgrades!$T$19="Moving Group",POWER(Upgrades!$U$19,K203),1)*IF(Upgrades!$T$20="Moving Group",POWER(Upgrades!$U$20,L203),1)))*POWER(Upgrades!$Q$13,E203)*POWER(Upgrades!$Q$14,F203)*POWER(Upgrades!$Q$15,G203)*POWER(Upgrades!$Q$16,H203)*POWER(Upgrades!$Q$17,I203)*POWER(Upgrades!$Q$18,J203)*POWER(Upgrades!$Q$19,K203)*POWER(Upgrades!$Q$20,L203)*POWER(Upgrades!$Q$21,M203)*$G$6+$D$6</f>
        <v/>
      </c>
      <c r="P203" s="28">
        <f>((IF(E203=0,0,(Upgrades!$G$13+E203*Upgrades!$H$13)*POWER(Upgrades!$I$13,E203)))*(IF(Upgrades!$T$14="Stellar Kinematics",POWER(Upgrades!$U$14,F203),1)*IF(Upgrades!$T$15="Stellar Kinematics",POWER(Upgrades!$U$15,G203),1)*IF(Upgrades!$T$16="Stellar Kinematics",POWER(Upgrades!$U$16,H203),1)*IF(Upgrades!$T$17="Stellar Kinematics",POWER(Upgrades!$U$17,I203),1)*IF(Upgrades!$T$18="Stellar Kinematics",POWER(Upgrades!$U$18,J203),1)*IF(Upgrades!$T$19="Stellar Kinematics",POWER(Upgrades!$U$19,K203),1)*IF(Upgrades!$T$20="Stellar Kinematics",POWER(Upgrades!$U$20,L203),1)*IF(Upgrades!$T$21="Stellar Kinematics",POWER(Upgrades!$U$21,M203),1))+(IF(F203=0,0,(Upgrades!$G$14+F203*Upgrades!$H$14)*POWER(Upgrades!$I$14,F203)))*(IF(Upgrades!$T$13="Local Bubble",POWER(Upgrades!$U$13,E203),1)*IF(Upgrades!$T$15="Local Bubble",POWER(Upgrades!$U$15,G203),1)*IF(Upgrades!$T$16="Local Bubble",POWER(Upgrades!$U$16,H203),1)*IF(Upgrades!$T$17="Local Bubble",POWER(Upgrades!$U$17,I203),1)*IF(Upgrades!$T$18="Local Bubble",POWER(Upgrades!$U$18,J203),1)*IF(Upgrades!$T$19="Local Bubble",POWER(Upgrades!$U$19,K203),1)*IF(Upgrades!$T$20="Local Bubble",POWER(Upgrades!$U$20,L203),1)*IF(Upgrades!$T$21="Local Bubble",POWER(Upgrades!$U$21,M203),1))+(IF(G203=0,0,(Upgrades!$G$15+G203*Upgrades!$H$15)*POWER(Upgrades!$I$15,G203)))*(IF(Upgrades!$T$13="Microlensing",POWER(Upgrades!$U$13,E203),1)*IF(Upgrades!$T$14="Microlensing",POWER(Upgrades!$U$14,F203),1)*IF(Upgrades!$T$16="Microlensing",POWER(Upgrades!$U$16,H203),1)*IF(Upgrades!$T$17="Microlensing",POWER(Upgrades!$U$17,I203),1)*IF(Upgrades!$T$18="Microlensing",POWER(Upgrades!$U$18,J203),1)*IF(Upgrades!$T$19="Microlensing",POWER(Upgrades!$U$19,K203),1)*IF(Upgrades!$T$20="Microlensing",POWER(Upgrades!$U$20,L203),1)*IF(Upgrades!$T$21="Microlensing",POWER(Upgrades!$U$21,M203),1))+(IF(H203=0,0,(Upgrades!$G$16+H203*Upgrades!$H$16)*POWER(Upgrades!$I$16,H203)))*(IF(Upgrades!$T$13="Roche Lobe Overflow",POWER(Upgrades!$U$13,E203),1)*IF(Upgrades!$T$14="Roche Lobe Overflow",POWER(Upgrades!$U$14,F203),1)*IF(Upgrades!$T$15="Roche Lobe Overflow",POWER(Upgrades!$U$15,G203),1)*IF(Upgrades!$T$17="Roche Lobe Overflow",POWER(Upgrades!$U$17,I203),1)*IF(Upgrades!$T$18="Roche Lobe Overflow",POWER(Upgrades!$U$18,J203),1)*IF(Upgrades!$T$19="Roche Lobe Overflow",POWER(Upgrades!$U$19,K203),1)*IF(Upgrades!$T$20="Roche Lobe Overflow",POWER(Upgrades!$U$20,L203),1)*IF(Upgrades!$T$21="Roche Lobe Overflow",POWER(Upgrades!$U$21,M203),1))+(IF(I203=0,0,(Upgrades!$G$17+I203*Upgrades!$H$17)*POWER(Upgrades!$I$17,I203)))*(IF(Upgrades!$T$13="Brown Dwarf",POWER(Upgrades!$U$13,E203),1)*IF(Upgrades!$T$14="Brown Dwarf",POWER(Upgrades!$U$14,F203),1)*IF(Upgrades!$T$15="Brown Dwarf",POWER(Upgrades!$U$15,G203),1)*IF(Upgrades!$T$16="Brown Dwarf",POWER(Upgrades!$U$16,H203),1)*IF(Upgrades!$T$18="Brown Dwarf",POWER(Upgrades!$U$18,J203),1)*IF(Upgrades!$T$19="Brown Dwarf",POWER(Upgrades!$U$19,K203),1)*IF(Upgrades!$T$20="Brown Dwarf",POWER(Upgrades!$U$20,L203),1)*IF(Upgrades!$T$21="Brown Dwarf",POWER(Upgrades!$U$21,M203),1))+(IF(J203=0,0,(Upgrades!$G$18+J203*Upgrades!$H$18)*POWER(Upgrades!$I$18,J203)))*(IF(Upgrades!$T$13="Binary Partner",POWER(Upgrades!$U$13,E203),1)*IF(Upgrades!$T$14="Binary Partner",POWER(Upgrades!$U$14,F203),1)*IF(Upgrades!$T$15="Binary Partner",POWER(Upgrades!$U$15,G203),1)*IF(Upgrades!$T$16="Binary Partner",POWER(Upgrades!$U$16,H203),1)*IF(Upgrades!$T$17="Binary Partner",POWER(Upgrades!$U$17,I203),1)*IF(Upgrades!$T$19="Binary Partner",POWER(Upgrades!$U$19,K203),1)*IF(Upgrades!$T$20="Binary Partner",POWER(Upgrades!$U$20,L203),1)*IF(Upgrades!$T$21="Binary Partner",POWER(Upgrades!$U$21,M203),1))+(IF(K203=0,0,(Upgrades!$G$19+K203*Upgrades!$H$19)*POWER(Upgrades!$I$19,K203)))*(IF(Upgrades!$T$13="Peculiar Velocity",POWER(Upgrades!$U$13,E203),1)*IF(Upgrades!$T$14="Peculiar Velocity",POWER(Upgrades!$U$14,F203),1)*IF(Upgrades!$T$15="Peculiar Velocity",POWER(Upgrades!$U$15,G203),1)*IF(Upgrades!$T$16="Peculiar Velocity",POWER(Upgrades!$U$16,H203),1)*IF(Upgrades!$T$17="Peculiar Velocity",POWER(Upgrades!$U$17,I203),1)*IF(Upgrades!$T$18="Peculiar Velocity",POWER(Upgrades!$U$18,J203),1)*IF(Upgrades!$T$20="Peculiar Velocity",POWER(Upgrades!$U$20,L203),1)*IF(Upgrades!$T$21="Peculiar Velocity",POWER(Upgrades!$U$21,M203),1))+(IF(L203=0,0,(Upgrades!$G$20+L203*Upgrades!$H$20)*POWER(Upgrades!$I$20,L203)))*(IF(Upgrades!$T$13="Open Cluster",POWER(Upgrades!$U$13,E203),1)*IF(Upgrades!$T$14="Open Cluster",POWER(Upgrades!$U$14,F203),1)*IF(Upgrades!$T$15="Open Cluster",POWER(Upgrades!$U$15,G203),1)*IF(Upgrades!$T$16="Open Cluster",POWER(Upgrades!$U$16,H203),1)*IF(Upgrades!$T$17="Open Cluster",POWER(Upgrades!$U$17,I203),1)*IF(Upgrades!$T$18="Open Cluster",POWER(Upgrades!$U$18,J203),1)*IF(Upgrades!$T$19="Open Cluster",POWER(Upgrades!$U$19,K203),1)*IF(Upgrades!$T$21="Open Cluster",POWER(Upgrades!$U$21,M203),1))+(IF(M203=0,0,(Upgrades!$G$21+M203*Upgrades!$H$21)*POWER(Upgrades!$I$21,M203)))*(IF(Upgrades!$T$13="Moving Group",POWER(Upgrades!$U$13,E203),1)*IF(Upgrades!$T$14="Moving Group",POWER(Upgrades!$U$14,F203),1)*IF(Upgrades!$T$15="Moving Group",POWER(Upgrades!$U$15,G203),1)*IF(Upgrades!$T$16="Moving Group",POWER(Upgrades!$U$16,H203),1)*IF(Upgrades!$T$17="Moving Group",POWER(Upgrades!$U$17,I203),1)*IF(Upgrades!$T$18="Moving Group",POWER(Upgrades!$U$18,J203),1)*IF(Upgrades!$T$19="Moving Group",POWER(Upgrades!$U$19,K203),1)*IF(Upgrades!$T$20="Moving Group",POWER(Upgrades!$U$20,L203),1)))*POWER(Upgrades!$P$13,E203)*POWER(Upgrades!$P$14,F203)*POWER(Upgrades!$P$15,G203)*POWER(Upgrades!$P$16,H203)*POWER(Upgrades!$P$17,I203)*POWER(Upgrades!$P$18,J203)*POWER(Upgrades!$P$19,K203)*POWER(Upgrades!$P$20,L203)*POWER(Upgrades!$P$21,M203)*$F$6+$C$6</f>
        <v/>
      </c>
      <c r="Q203" s="28">
        <f>((IF(E203=0,0,(Upgrades!$M$13+E203*Upgrades!$N$13)*POWER(Upgrades!$O$13,E203)))*(IF(Upgrades!$T$14="Stellar Kinematics",POWER(Upgrades!$U$14,F203),1)*IF(Upgrades!$T$15="Stellar Kinematics",POWER(Upgrades!$U$15,G203),1)*IF(Upgrades!$T$16="Stellar Kinematics",POWER(Upgrades!$U$16,H203),1)*IF(Upgrades!$T$17="Stellar Kinematics",POWER(Upgrades!$U$17,I203),1)*IF(Upgrades!$T$18="Stellar Kinematics",POWER(Upgrades!$U$18,J203),1)*IF(Upgrades!$T$19="Stellar Kinematics",POWER(Upgrades!$U$19,K203),1)*IF(Upgrades!$T$20="Stellar Kinematics",POWER(Upgrades!$U$20,L203),1)*IF(Upgrades!$T$21="Stellar Kinematics",POWER(Upgrades!$U$21,M203),1))+(IF(F203=0,0,(Upgrades!$M$14+F203*Upgrades!$N$14)*POWER(Upgrades!$O$14,F203)))*(IF(Upgrades!$T$13="Local Bubble",POWER(Upgrades!$U$13,E203),1)*IF(Upgrades!$T$15="Local Bubble",POWER(Upgrades!$U$15,G203),1)*IF(Upgrades!$T$16="Local Bubble",POWER(Upgrades!$U$16,H203),1)*IF(Upgrades!$T$17="Local Bubble",POWER(Upgrades!$U$17,I203),1)*IF(Upgrades!$T$18="Local Bubble",POWER(Upgrades!$U$18,J203),1)*IF(Upgrades!$T$19="Local Bubble",POWER(Upgrades!$U$19,K203),1)*IF(Upgrades!$T$20="Local Bubble",POWER(Upgrades!$U$20,L203),1)*IF(Upgrades!$T$21="Local Bubble",POWER(Upgrades!$U$21,M203),1))+(IF(G203=0,0,(Upgrades!$M$15+G203*Upgrades!$N$15)*POWER(Upgrades!$O$15,G203)))*(IF(Upgrades!$T$13="Microlensing",POWER(Upgrades!$U$13,E203),1)*IF(Upgrades!$T$14="Microlensing",POWER(Upgrades!$U$14,F203),1)*IF(Upgrades!$T$16="Microlensing",POWER(Upgrades!$U$16,H203),1)*IF(Upgrades!$T$17="Microlensing",POWER(Upgrades!$U$17,I203),1)*IF(Upgrades!$T$18="Microlensing",POWER(Upgrades!$U$18,J203),1)*IF(Upgrades!$T$19="Microlensing",POWER(Upgrades!$U$19,K203),1)*IF(Upgrades!$T$20="Microlensing",POWER(Upgrades!$U$20,L203),1)*IF(Upgrades!$T$21="Microlensing",POWER(Upgrades!$U$21,M203),1))+(IF(H203=0,0,(Upgrades!$M$16+H203*Upgrades!$N$16)*POWER(Upgrades!$O$16,H203)))*(IF(Upgrades!$T$13="Roche Lobe Overflow",POWER(Upgrades!$U$13,E203),1)*IF(Upgrades!$T$14="Roche Lobe Overflow",POWER(Upgrades!$U$14,F203),1)*IF(Upgrades!$T$15="Roche Lobe Overflow",POWER(Upgrades!$U$15,G203),1)*IF(Upgrades!$T$17="Roche Lobe Overflow",POWER(Upgrades!$U$17,I203),1)*IF(Upgrades!$T$18="Roche Lobe Overflow",POWER(Upgrades!$U$18,J203),1)*IF(Upgrades!$T$19="Roche Lobe Overflow",POWER(Upgrades!$U$19,K203),1)*IF(Upgrades!$T$20="Roche Lobe Overflow",POWER(Upgrades!$U$20,L203),1)*IF(Upgrades!$T$21="Roche Lobe Overflow",POWER(Upgrades!$U$21,M203),1))+(IF(I203=0,0,(Upgrades!$M$17+I203*Upgrades!$N$17)*POWER(Upgrades!$O$17,I203)))*(IF(Upgrades!$T$13="Brown Dwarf",POWER(Upgrades!$U$13,E203),1)*IF(Upgrades!$T$14="Brown Dwarf",POWER(Upgrades!$U$14,F203),1)*IF(Upgrades!$T$15="Brown Dwarf",POWER(Upgrades!$U$15,G203),1)*IF(Upgrades!$T$16="Brown Dwarf",POWER(Upgrades!$U$16,H203),1)*IF(Upgrades!$T$18="Brown Dwarf",POWER(Upgrades!$U$18,J203),1)*IF(Upgrades!$T$19="Brown Dwarf",POWER(Upgrades!$U$19,K203),1)*IF(Upgrades!$T$20="Brown Dwarf",POWER(Upgrades!$U$20,L203),1)*IF(Upgrades!$T$21="Brown Dwarf",POWER(Upgrades!$U$21,M203),1))+(IF(J203=0,0,(Upgrades!$M$18+J203*Upgrades!$N$18)*POWER(Upgrades!$O$18,J203)))*(IF(Upgrades!$T$13="Binary Partner",POWER(Upgrades!$U$13,E203),1)*IF(Upgrades!$T$14="Binary Partner",POWER(Upgrades!$U$14,F203),1)*IF(Upgrades!$T$15="Binary Partner",POWER(Upgrades!$U$15,G203),1)*IF(Upgrades!$T$16="Binary Partner",POWER(Upgrades!$U$16,H203),1)*IF(Upgrades!$T$17="Binary Partner",POWER(Upgrades!$U$17,I203),1)*IF(Upgrades!$T$19="Binary Partner",POWER(Upgrades!$U$19,K203),1)*IF(Upgrades!$T$20="Binary Partner",POWER(Upgrades!$U$20,L203),1)*IF(Upgrades!$T$21="Binary Partner",POWER(Upgrades!$U$21,M203),1))+(IF(K203=0,0,(Upgrades!$M$19+K203*Upgrades!$N$19)*POWER(Upgrades!$O$19,K203)))*(IF(Upgrades!$T$13="Peculiar Velocity",POWER(Upgrades!$U$13,E203),1)*IF(Upgrades!$T$14="Peculiar Velocity",POWER(Upgrades!$U$14,F203),1)*IF(Upgrades!$T$15="Peculiar Velocity",POWER(Upgrades!$U$15,G203),1)*IF(Upgrades!$T$16="Peculiar Velocity",POWER(Upgrades!$U$16,H203),1)*IF(Upgrades!$T$17="Peculiar Velocity",POWER(Upgrades!$U$17,I203),1)*IF(Upgrades!$T$18="Peculiar Velocity",POWER(Upgrades!$U$18,J203),1)*IF(Upgrades!$T$20="Peculiar Velocity",POWER(Upgrades!$U$20,L203),1)*IF(Upgrades!$T$21="Peculiar Velocity",POWER(Upgrades!$U$21,M203),1))+(IF(L203=0,0,(Upgrades!$M$20+L203*Upgrades!$N$20)*POWER(Upgrades!$O$20,L203)))*(IF(Upgrades!$T$13="Open Cluster",POWER(Upgrades!$U$13,E203),1)*IF(Upgrades!$T$14="Open Cluster",POWER(Upgrades!$U$14,F203),1)*IF(Upgrades!$T$15="Open Cluster",POWER(Upgrades!$U$15,G203),1)*IF(Upgrades!$T$16="Open Cluster",POWER(Upgrades!$U$16,H203),1)*IF(Upgrades!$T$17="Open Cluster",POWER(Upgrades!$U$17,I203),1)*IF(Upgrades!$T$18="Open Cluster",POWER(Upgrades!$U$18,J203),1)*IF(Upgrades!$T$19="Open Cluster",POWER(Upgrades!$U$19,K203),1)*IF(Upgrades!$T$21="Open Cluster",POWER(Upgrades!$U$21,M203),1))+(IF(M203=0,0,(Upgrades!$M$21+M203*Upgrades!$N$21)*POWER(Upgrades!$O$21,M203)))*(IF(Upgrades!$T$13="Moving Group",POWER(Upgrades!$U$13,E203),1)*IF(Upgrades!$T$14="Moving Group",POWER(Upgrades!$U$14,F203),1)*IF(Upgrades!$T$15="Moving Group",POWER(Upgrades!$U$15,G203),1)*IF(Upgrades!$T$16="Moving Group",POWER(Upgrades!$U$16,H203),1)*IF(Upgrades!$T$17="Moving Group",POWER(Upgrades!$U$17,I203),1)*IF(Upgrades!$T$18="Moving Group",POWER(Upgrades!$U$18,J203),1)*IF(Upgrades!$T$19="Moving Group",POWER(Upgrades!$U$19,K203),1)*IF(Upgrades!$T$20="Moving Group",POWER(Upgrades!$U$20,L203),1)))*POWER(Upgrades!$R$13,E203)*POWER(Upgrades!$R$14,F203)*POWER(Upgrades!$R$15,G203)*POWER(Upgrades!$R$16,H203)*POWER(Upgrades!$R$17,I203)*POWER(Upgrades!$R$18,J203)*POWER(Upgrades!$R$19,K203)*POWER(Upgrades!$R$20,L203)*POWER(Upgrades!$R$21,M203)*$H$6+$E$6</f>
        <v/>
      </c>
      <c r="R203" s="27">
        <f>IF(N203=1,0,O203*Parameters!$B$10/60*Parameters!$B$11*10)</f>
        <v/>
      </c>
      <c r="S203" s="27">
        <f>IF(N203=1,0,Q203*O203*10)</f>
        <v/>
      </c>
      <c r="T203" s="27">
        <f>IF(N203=1,0,R203+S203+P203*10)</f>
        <v/>
      </c>
      <c r="U203" s="33">
        <f>BE203</f>
        <v/>
      </c>
      <c r="V203" s="22">
        <f>IF(U203="",0,IF(U203="transition",0,IF(U203="SK",AK203,IF(U203="LB",AL203,IF(U203="ML",AM203,IF(U203="RLO",AN203,IF(U203="BD",AO203,IF(U203="BiP",AP203,IF(U203="PV",AQ203,IF(U203="OC",AR203,IF(U203="MG",AS203,0))))))))))</f>
        <v/>
      </c>
      <c r="W203" s="27">
        <f>IF(U203="BiP",Upgrades!$F$18,IF(U203="PV",Upgrades!$F$19,IF(U203="OC",Upgrades!$F$20,IF(U203="MG",Upgrades!$F$21,IF(U203="transition",-Parameters!$B$18*Parameters!$B$19,0)))))</f>
        <v/>
      </c>
      <c r="X203" s="22">
        <f>C203+T203-V203</f>
        <v/>
      </c>
      <c r="Y203" s="30">
        <f>O203*Parameters!$B$10/60*Parameters!$B$11+Q203*O203+P203</f>
        <v/>
      </c>
      <c r="Z203" s="34">
        <f>IF(U203="transition","→ Tier 3 (Galactic Arm)",IF(U203="MG","Moving Group — pocket drifts together",IF(U203="OC","Open Cluster acquired",IF(U203="PV","Peculiar Velocity — passive multiplier active",IF(U203="BiP","Binary Partner — pair bond formed",IF(AND(AU203=1,N203=0,AT203&lt;&gt;1),"Cohesion ready (waiting on completionists)","")))))) </f>
        <v/>
      </c>
      <c r="AA203" s="27">
        <f>(IF(E203=0,0,(Upgrades!$G$13+E203*Upgrades!$H$13)*POWER(Upgrades!$I$13,E203)))*(IF(Upgrades!$T$14="Stellar Kinematics",POWER(Upgrades!$U$14,F203),1)*IF(Upgrades!$T$15="Stellar Kinematics",POWER(Upgrades!$U$15,G203),1)*IF(Upgrades!$T$16="Stellar Kinematics",POWER(Upgrades!$U$16,H203),1)*IF(Upgrades!$T$17="Stellar Kinematics",POWER(Upgrades!$U$17,I203),1)*IF(Upgrades!$T$18="Stellar Kinematics",POWER(Upgrades!$U$18,J203),1)*IF(Upgrades!$T$19="Stellar Kinematics",POWER(Upgrades!$U$19,K203),1)*IF(Upgrades!$T$20="Stellar Kinematics",POWER(Upgrades!$U$20,L203),1)*IF(Upgrades!$T$21="Stellar Kinematics",POWER(Upgrades!$U$21,M203),1))*POWER(Upgrades!$P$13,E203)*POWER(Upgrades!$P$14,F203)*POWER(Upgrades!$P$15,G203)*POWER(Upgrades!$P$16,H203)*POWER(Upgrades!$P$17,I203)*POWER(Upgrades!$P$18,J203)*POWER(Upgrades!$P$19,K203)*POWER(Upgrades!$P$20,L203)*POWER(Upgrades!$P$21,M203)*$F$6*60</f>
        <v/>
      </c>
      <c r="AB203" s="27">
        <f>(IF(F203=0,0,(Upgrades!$G$14+F203*Upgrades!$H$14)*POWER(Upgrades!$I$14,F203)))*(IF(Upgrades!$T$13="Local Bubble",POWER(Upgrades!$U$13,E203),1)*IF(Upgrades!$T$15="Local Bubble",POWER(Upgrades!$U$15,G203),1)*IF(Upgrades!$T$16="Local Bubble",POWER(Upgrades!$U$16,H203),1)*IF(Upgrades!$T$17="Local Bubble",POWER(Upgrades!$U$17,I203),1)*IF(Upgrades!$T$18="Local Bubble",POWER(Upgrades!$U$18,J203),1)*IF(Upgrades!$T$19="Local Bubble",POWER(Upgrades!$U$19,K203),1)*IF(Upgrades!$T$20="Local Bubble",POWER(Upgrades!$U$20,L203),1)*IF(Upgrades!$T$21="Local Bubble",POWER(Upgrades!$U$21,M203),1))*POWER(Upgrades!$P$13,E203)*POWER(Upgrades!$P$14,F203)*POWER(Upgrades!$P$15,G203)*POWER(Upgrades!$P$16,H203)*POWER(Upgrades!$P$17,I203)*POWER(Upgrades!$P$18,J203)*POWER(Upgrades!$P$19,K203)*POWER(Upgrades!$P$20,L203)*POWER(Upgrades!$P$21,M203)*$F$6*60</f>
        <v/>
      </c>
      <c r="AC203" s="27">
        <f>(IF(G203=0,0,(Upgrades!$J$15+G203*Upgrades!$K$15)*POWER(Upgrades!$L$15,G203)))*(IF(Upgrades!$T$13="Microlensing",POWER(Upgrades!$U$13,E203),1)*IF(Upgrades!$T$14="Microlensing",POWER(Upgrades!$U$14,F203),1)*IF(Upgrades!$T$16="Microlensing",POWER(Upgrades!$U$16,H203),1)*IF(Upgrades!$T$17="Microlensing",POWER(Upgrades!$U$17,I203),1)*IF(Upgrades!$T$18="Microlensing",POWER(Upgrades!$U$18,J203),1)*IF(Upgrades!$T$19="Microlensing",POWER(Upgrades!$U$19,K203),1)*IF(Upgrades!$T$20="Microlensing",POWER(Upgrades!$U$20,L203),1)*IF(Upgrades!$T$21="Microlensing",POWER(Upgrades!$U$21,M203),1))*POWER(Upgrades!$Q$13,E203)*POWER(Upgrades!$Q$14,F203)*POWER(Upgrades!$Q$15,G203)*POWER(Upgrades!$Q$16,H203)*POWER(Upgrades!$Q$17,I203)*POWER(Upgrades!$Q$18,J203)*POWER(Upgrades!$Q$19,K203)*POWER(Upgrades!$Q$20,L203)*POWER(Upgrades!$Q$21,M203)*$G$6*(Parameters!$B$10*Parameters!$B$11+Q203*60)</f>
        <v/>
      </c>
      <c r="AD203" s="27">
        <f>(IF(H203=0,0,(Upgrades!$M$16+H203*Upgrades!$N$16)*POWER(Upgrades!$O$16,H203)))*(IF(Upgrades!$T$13="Roche Lobe Overflow",POWER(Upgrades!$U$13,E203),1)*IF(Upgrades!$T$14="Roche Lobe Overflow",POWER(Upgrades!$U$14,F203),1)*IF(Upgrades!$T$15="Roche Lobe Overflow",POWER(Upgrades!$U$15,G203),1)*IF(Upgrades!$T$17="Roche Lobe Overflow",POWER(Upgrades!$U$17,I203),1)*IF(Upgrades!$T$18="Roche Lobe Overflow",POWER(Upgrades!$U$18,J203),1)*IF(Upgrades!$T$19="Roche Lobe Overflow",POWER(Upgrades!$U$19,K203),1)*IF(Upgrades!$T$20="Roche Lobe Overflow",POWER(Upgrades!$U$20,L203),1)*IF(Upgrades!$T$21="Roche Lobe Overflow",POWER(Upgrades!$U$21,M203),1))*POWER(Upgrades!$R$13,E203)*POWER(Upgrades!$R$14,F203)*POWER(Upgrades!$R$15,G203)*POWER(Upgrades!$R$16,H203)*POWER(Upgrades!$R$17,I203)*POWER(Upgrades!$R$18,J203)*POWER(Upgrades!$R$19,K203)*POWER(Upgrades!$R$20,L203)*POWER(Upgrades!$R$21,M203)*$H$6*O203*60</f>
        <v/>
      </c>
      <c r="AE203" s="27">
        <f>(IF(I203=0,0,(Upgrades!$G$17+I203*Upgrades!$H$17)*POWER(Upgrades!$I$17,I203)))*(IF(Upgrades!$T$13="Brown Dwarf",POWER(Upgrades!$U$13,E203),1)*IF(Upgrades!$T$14="Brown Dwarf",POWER(Upgrades!$U$14,F203),1)*IF(Upgrades!$T$15="Brown Dwarf",POWER(Upgrades!$U$15,G203),1)*IF(Upgrades!$T$16="Brown Dwarf",POWER(Upgrades!$U$16,H203),1)*IF(Upgrades!$T$18="Brown Dwarf",POWER(Upgrades!$U$18,J203),1)*IF(Upgrades!$T$19="Brown Dwarf",POWER(Upgrades!$U$19,K203),1)*IF(Upgrades!$T$20="Brown Dwarf",POWER(Upgrades!$U$20,L203),1)*IF(Upgrades!$T$21="Brown Dwarf",POWER(Upgrades!$U$21,M203),1))*POWER(Upgrades!$P$13,E203)*POWER(Upgrades!$P$14,F203)*POWER(Upgrades!$P$15,G203)*POWER(Upgrades!$P$16,H203)*POWER(Upgrades!$P$17,I203)*POWER(Upgrades!$P$18,J203)*POWER(Upgrades!$P$19,K203)*POWER(Upgrades!$P$20,L203)*POWER(Upgrades!$P$21,M203)*$F$6*60</f>
        <v/>
      </c>
      <c r="AF203" s="27" t="n">
        <v>0</v>
      </c>
      <c r="AG203" s="27" t="n">
        <v>0</v>
      </c>
      <c r="AH203" s="27" t="n">
        <v>0</v>
      </c>
      <c r="AI203" s="27">
        <f>(IF(M203=0,0,(Upgrades!$G$21+M203*Upgrades!$H$21)*POWER(Upgrades!$I$21,M203)))*(IF(Upgrades!$T$13="Moving Group",POWER(Upgrades!$U$13,E203),1)*IF(Upgrades!$T$14="Moving Group",POWER(Upgrades!$U$14,F203),1)*IF(Upgrades!$T$15="Moving Group",POWER(Upgrades!$U$15,G203),1)*IF(Upgrades!$T$16="Moving Group",POWER(Upgrades!$U$16,H203),1)*IF(Upgrades!$T$17="Moving Group",POWER(Upgrades!$U$17,I203),1)*IF(Upgrades!$T$18="Moving Group",POWER(Upgrades!$U$18,J203),1)*IF(Upgrades!$T$19="Moving Group",POWER(Upgrades!$U$19,K203),1)*IF(Upgrades!$T$20="Moving Group",POWER(Upgrades!$U$20,L203),1))*POWER(Upgrades!$P$13,E203)*POWER(Upgrades!$P$14,F203)*POWER(Upgrades!$P$15,G203)*POWER(Upgrades!$P$16,H203)*POWER(Upgrades!$P$17,I203)*POWER(Upgrades!$P$18,J203)*POWER(Upgrades!$P$19,K203)*POWER(Upgrades!$P$20,L203)*POWER(Upgrades!$P$21,M203)*$F$6*60</f>
        <v/>
      </c>
      <c r="AJ203" s="27">
        <f>$C$6*60</f>
        <v/>
      </c>
      <c r="AK203" s="22">
        <f>IF(E203&gt;=Upgrades!$E$13,"",Upgrades!$C$13*POWER(Upgrades!$D$13,E203))</f>
        <v/>
      </c>
      <c r="AL203" s="22">
        <f>IF(F203&gt;=Upgrades!$E$14,"",Upgrades!$C$14*POWER(Upgrades!$D$14,F203))</f>
        <v/>
      </c>
      <c r="AM203" s="22">
        <f>IF(G203&gt;=Upgrades!$E$15,"",Upgrades!$C$15*POWER(Upgrades!$D$15,G203))</f>
        <v/>
      </c>
      <c r="AN203" s="22">
        <f>IF(H203&gt;=Upgrades!$E$16,"",Upgrades!$C$16*POWER(Upgrades!$D$16,H203))</f>
        <v/>
      </c>
      <c r="AO203" s="22">
        <f>IF(I203&gt;=Upgrades!$E$17,"",Upgrades!$C$17*POWER(Upgrades!$D$17,I203))</f>
        <v/>
      </c>
      <c r="AP203" s="22">
        <f>IF(J203&gt;=Upgrades!$E$18,"",Upgrades!$C$18*POWER(Upgrades!$D$18,J203))</f>
        <v/>
      </c>
      <c r="AQ203" s="22">
        <f>IF(K203&gt;=Upgrades!$E$19,"",Upgrades!$C$19*POWER(Upgrades!$D$19,K203))</f>
        <v/>
      </c>
      <c r="AR203" s="22">
        <f>IF(L203&gt;=Upgrades!$E$20,"",Upgrades!$C$20*POWER(Upgrades!$D$20,L203))</f>
        <v/>
      </c>
      <c r="AS203" s="22">
        <f>IF(M203&gt;=Upgrades!$E$21,"",Upgrades!$C$21*POWER(Upgrades!$D$21,M203))</f>
        <v/>
      </c>
      <c r="AT203" s="26">
        <f>IF(AND(D203&gt;=Parameters!$B$18*Parameters!$B$19,(I203&gt;=Upgrades!$E$17)*(M203&gt;=Upgrades!$E$21)=1,N203=0),1,"")</f>
        <v/>
      </c>
      <c r="AU203" s="26">
        <f>IF(AND(D203&gt;=Parameters!$B$18*Parameters!$B$19,N203=0),1,"")</f>
        <v/>
      </c>
      <c r="AV203" s="22">
        <f>MIN(IF(ISNUMBER(AP203),AP203,9E15),IF(ISNUMBER(AQ203),AQ203,9E15),IF(ISNUMBER(AR203),AR203,9E15),IF(ISNUMBER(AS203),AS203,9E15))</f>
        <v/>
      </c>
      <c r="AW203" s="22">
        <f>MIN(IF(ISNUMBER(AK203),AK203,9E15),IF(ISNUMBER(AL203),AL203,9E15),IF(ISNUMBER(AM203),AM203,9E15),IF(ISNUMBER(AN203),AN203,9E15),IF(ISNUMBER(AO203),AO203,9E15))</f>
        <v/>
      </c>
      <c r="AX203" s="29">
        <f>IF(BD203&gt;Parameters!$B$21*(MAX(IF(AND(NOT(AND(AU203=1,AT203&lt;&gt;1)),ISNUMBER(AK203),AK203&lt;=(C203+T203)),AY203,0),IF(AND(NOT(AND(AU203=1,AT203&lt;&gt;1)),ISNUMBER(AL203),AL203&lt;=(C203+T203)),AZ203,0),IF(AND(NOT(AND(AU203=1,AT203&lt;&gt;1)),ISNUMBER(AM203),AM203&lt;=(C203+T203)),BA203,0),IF(AND(NOT(AND(AU203=1,AT203&lt;&gt;1)),ISNUMBER(AN203),AN203&lt;=(C203+T203)),BB203,0),IF(AND(ISNUMBER(AO203),AO203&lt;=(C203+T203)),BC203,0))),TRUE,FALSE)</f>
        <v/>
      </c>
      <c r="AY203" s="32">
        <f>IFERROR(Upgrades!$H$13*(POWER(Upgrades!$P$13,E203)*POWER(Upgrades!$P$14,F203)*POWER(Upgrades!$P$15,G203)*POWER(Upgrades!$P$16,H203)*POWER(Upgrades!$P$17,I203)*POWER(Upgrades!$P$18,J203)*POWER(Upgrades!$P$19,K203)*POWER(Upgrades!$P$20,L203)*POWER(Upgrades!$P$21,M203))*(IF(Upgrades!$T$14="Stellar Kinematics",POWER(Upgrades!$U$14,F203),1)*IF(Upgrades!$T$15="Stellar Kinematics",POWER(Upgrades!$U$15,G203),1)*IF(Upgrades!$T$16="Stellar Kinematics",POWER(Upgrades!$U$16,H203),1)*IF(Upgrades!$T$17="Stellar Kinematics",POWER(Upgrades!$U$17,I203),1)*IF(Upgrades!$T$18="Stellar Kinematics",POWER(Upgrades!$U$18,J203),1)*IF(Upgrades!$T$19="Stellar Kinematics",POWER(Upgrades!$U$19,K203),1)*IF(Upgrades!$T$20="Stellar Kinematics",POWER(Upgrades!$U$20,L203),1)*IF(Upgrades!$T$21="Stellar Kinematics",POWER(Upgrades!$U$21,M203),1))*$F$6/AK203,0)</f>
        <v/>
      </c>
      <c r="AZ203" s="32">
        <f>IFERROR(Upgrades!$H$14*(POWER(Upgrades!$P$13,E203)*POWER(Upgrades!$P$14,F203)*POWER(Upgrades!$P$15,G203)*POWER(Upgrades!$P$16,H203)*POWER(Upgrades!$P$17,I203)*POWER(Upgrades!$P$18,J203)*POWER(Upgrades!$P$19,K203)*POWER(Upgrades!$P$20,L203)*POWER(Upgrades!$P$21,M203))*(IF(Upgrades!$T$13="Local Bubble",POWER(Upgrades!$U$13,E203),1)*IF(Upgrades!$T$15="Local Bubble",POWER(Upgrades!$U$15,G203),1)*IF(Upgrades!$T$16="Local Bubble",POWER(Upgrades!$U$16,H203),1)*IF(Upgrades!$T$17="Local Bubble",POWER(Upgrades!$U$17,I203),1)*IF(Upgrades!$T$18="Local Bubble",POWER(Upgrades!$U$18,J203),1)*IF(Upgrades!$T$19="Local Bubble",POWER(Upgrades!$U$19,K203),1)*IF(Upgrades!$T$20="Local Bubble",POWER(Upgrades!$U$20,L203),1)*IF(Upgrades!$T$21="Local Bubble",POWER(Upgrades!$U$21,M203),1))*$F$6/AL203,0)</f>
        <v/>
      </c>
      <c r="BA203" s="32">
        <f>IFERROR(Upgrades!$K$15*(POWER(Upgrades!$Q$13,E203)*POWER(Upgrades!$Q$14,F203)*POWER(Upgrades!$Q$15,G203)*POWER(Upgrades!$Q$16,H203)*POWER(Upgrades!$Q$17,I203)*POWER(Upgrades!$Q$18,J203)*POWER(Upgrades!$Q$19,K203)*POWER(Upgrades!$Q$20,L203)*POWER(Upgrades!$Q$21,M203))*(IF(Upgrades!$T$13="Microlensing",POWER(Upgrades!$U$13,E203),1)*IF(Upgrades!$T$14="Microlensing",POWER(Upgrades!$U$14,F203),1)*IF(Upgrades!$T$16="Microlensing",POWER(Upgrades!$U$16,H203),1)*IF(Upgrades!$T$17="Microlensing",POWER(Upgrades!$U$17,I203),1)*IF(Upgrades!$T$18="Microlensing",POWER(Upgrades!$U$18,J203),1)*IF(Upgrades!$T$19="Microlensing",POWER(Upgrades!$U$19,K203),1)*IF(Upgrades!$T$20="Microlensing",POWER(Upgrades!$U$20,L203),1)*IF(Upgrades!$T$21="Microlensing",POWER(Upgrades!$U$21,M203),1))*$G$6*(Parameters!$B$10/60*Parameters!$B$11+Q203)/AM203,0)</f>
        <v/>
      </c>
      <c r="BB203" s="32">
        <f>IFERROR((Upgrades!$N$16*(POWER(Upgrades!$R$13,E203)*POWER(Upgrades!$R$14,F203)*POWER(Upgrades!$R$15,G203)*POWER(Upgrades!$R$16,H203)*POWER(Upgrades!$R$17,I203)*POWER(Upgrades!$R$18,J203)*POWER(Upgrades!$R$19,K203)*POWER(Upgrades!$R$20,L203)*POWER(Upgrades!$R$21,M203))*(IF(Upgrades!$T$13="Roche Lobe Overflow",POWER(Upgrades!$U$13,E203),1)*IF(Upgrades!$T$14="Roche Lobe Overflow",POWER(Upgrades!$U$14,F203),1)*IF(Upgrades!$T$15="Roche Lobe Overflow",POWER(Upgrades!$U$15,G203),1)*IF(Upgrades!$T$17="Roche Lobe Overflow",POWER(Upgrades!$U$17,I203),1)*IF(Upgrades!$T$18="Roche Lobe Overflow",POWER(Upgrades!$U$18,J203),1)*IF(Upgrades!$T$19="Roche Lobe Overflow",POWER(Upgrades!$U$19,K203),1)*IF(Upgrades!$T$20="Roche Lobe Overflow",POWER(Upgrades!$U$20,L203),1)*IF(Upgrades!$T$21="Roche Lobe Overflow",POWER(Upgrades!$U$21,M203),1))*$H$6*O203+((IF(F203=0,0,(Upgrades!$G$14+F203*Upgrades!$H$14)*POWER(Upgrades!$I$14,F203)))*(IF(Upgrades!$T$13="Local Bubble",POWER(Upgrades!$U$13,E203),1)*IF(Upgrades!$T$15="Local Bubble",POWER(Upgrades!$U$15,G203),1)*IF(Upgrades!$T$16="Local Bubble",POWER(Upgrades!$U$16,H203),1)*IF(Upgrades!$T$17="Local Bubble",POWER(Upgrades!$U$17,I203),1)*IF(Upgrades!$T$18="Local Bubble",POWER(Upgrades!$U$18,J203),1)*IF(Upgrades!$T$19="Local Bubble",POWER(Upgrades!$U$19,K203),1)*IF(Upgrades!$T$20="Local Bubble",POWER(Upgrades!$U$20,L203),1)*IF(Upgrades!$T$21="Local Bubble",POWER(Upgrades!$U$21,M203),1))*POWER(Upgrades!$P$13,E203)*POWER(Upgrades!$P$14,F203)*POWER(Upgrades!$P$15,G203)*POWER(Upgrades!$P$16,H203)*POWER(Upgrades!$P$17,I203)*POWER(Upgrades!$P$18,J203)*POWER(Upgrades!$P$19,K203)*POWER(Upgrades!$P$20,L203)*POWER(Upgrades!$P$21,M203)*$F$6)*0.05)/AN203,0)</f>
        <v/>
      </c>
      <c r="BC203" s="32">
        <f>IFERROR((Upgrades!$H$17*(POWER(Upgrades!$P$13,E203)*POWER(Upgrades!$P$14,F203)*POWER(Upgrades!$P$15,G203)*POWER(Upgrades!$P$16,H203)*POWER(Upgrades!$P$17,I203)*POWER(Upgrades!$P$18,J203)*POWER(Upgrades!$P$19,K203)*POWER(Upgrades!$P$20,L203)*POWER(Upgrades!$P$21,M203))*(IF(Upgrades!$T$13="Brown Dwarf",POWER(Upgrades!$U$13,E203),1)*IF(Upgrades!$T$14="Brown Dwarf",POWER(Upgrades!$U$14,F203),1)*IF(Upgrades!$T$15="Brown Dwarf",POWER(Upgrades!$U$15,G203),1)*IF(Upgrades!$T$16="Brown Dwarf",POWER(Upgrades!$U$16,H203),1)*IF(Upgrades!$T$18="Brown Dwarf",POWER(Upgrades!$U$18,J203),1)*IF(Upgrades!$T$19="Brown Dwarf",POWER(Upgrades!$U$19,K203),1)*IF(Upgrades!$T$20="Brown Dwarf",POWER(Upgrades!$U$20,L203),1)*IF(Upgrades!$T$21="Brown Dwarf",POWER(Upgrades!$U$21,M203),1))*$F$6+(((IF(H203=0,0,(Upgrades!$M$16+H203*Upgrades!$N$16)*POWER(Upgrades!$O$16,H203)))*(IF(Upgrades!$T$13="Roche Lobe Overflow",POWER(Upgrades!$U$13,E203),1)*IF(Upgrades!$T$14="Roche Lobe Overflow",POWER(Upgrades!$U$14,F203),1)*IF(Upgrades!$T$15="Roche Lobe Overflow",POWER(Upgrades!$U$15,G203),1)*IF(Upgrades!$T$17="Roche Lobe Overflow",POWER(Upgrades!$U$17,I203),1)*IF(Upgrades!$T$18="Roche Lobe Overflow",POWER(Upgrades!$U$18,J203),1)*IF(Upgrades!$T$19="Roche Lobe Overflow",POWER(Upgrades!$U$19,K203),1)*IF(Upgrades!$T$20="Roche Lobe Overflow",POWER(Upgrades!$U$20,L203),1)*IF(Upgrades!$T$21="Roche Lobe Overflow",POWER(Upgrades!$U$21,M203),1))*POWER(Upgrades!$R$13,E203)*POWER(Upgrades!$R$14,F203)*POWER(Upgrades!$R$15,G203)*POWER(Upgrades!$R$16,H203)*POWER(Upgrades!$R$17,I203)*POWER(Upgrades!$R$18,J203)*POWER(Upgrades!$R$19,K203)*POWER(Upgrades!$R$20,L203)*POWER(Upgrades!$R$21,M203)*$H$6)*O203)*0.10)/AO203,0)</f>
        <v/>
      </c>
      <c r="BD203" s="32">
        <f>MAX(IF(J203&gt;0,0,IFERROR(0.5*((IF(G203=0,0,(Upgrades!$J$15+G203*Upgrades!$K$15)*POWER(Upgrades!$L$15,G203)))*(IF(Upgrades!$T$13="Microlensing",POWER(Upgrades!$U$13,E203),1)*IF(Upgrades!$T$14="Microlensing",POWER(Upgrades!$U$14,F203),1)*IF(Upgrades!$T$16="Microlensing",POWER(Upgrades!$U$16,H203),1)*IF(Upgrades!$T$17="Microlensing",POWER(Upgrades!$U$17,I203),1)*IF(Upgrades!$T$18="Microlensing",POWER(Upgrades!$U$18,J203),1)*IF(Upgrades!$T$19="Microlensing",POWER(Upgrades!$U$19,K203),1)*IF(Upgrades!$T$20="Microlensing",POWER(Upgrades!$U$20,L203),1)*IF(Upgrades!$T$21="Microlensing",POWER(Upgrades!$U$21,M203),1))*(POWER(Upgrades!$Q$13,E203)*POWER(Upgrades!$Q$14,F203)*POWER(Upgrades!$Q$15,G203)*POWER(Upgrades!$Q$16,H203)*POWER(Upgrades!$Q$17,I203)*POWER(Upgrades!$Q$18,J203)*POWER(Upgrades!$Q$19,K203)*POWER(Upgrades!$Q$20,L203)*POWER(Upgrades!$Q$21,M203))*$G$6*(Parameters!$B$10/60*Parameters!$B$11+Q203))/Upgrades!$C$18,0)),IF(K203&gt;0,0,IFERROR(0.30*P203/Upgrades!$C$19,0)),IF(L203&gt;0,0,IFERROR(0.0001/Upgrades!$C$20,0)),IF(M203&gt;0,0,IFERROR((6.0*(POWER(Upgrades!$P$13,E203)*POWER(Upgrades!$P$14,F203)*POWER(Upgrades!$P$15,G203)*POWER(Upgrades!$P$16,H203)*POWER(Upgrades!$P$17,I203)*POWER(Upgrades!$P$18,J203)*POWER(Upgrades!$P$19,K203)*POWER(Upgrades!$P$20,L203)*POWER(Upgrades!$P$21,M203))*$F$6+0.20*O203*(Parameters!$B$10/60*Parameters!$B$11+Q203))/Upgrades!$C$21,0)),IF(AND(ISNUMBER(AK203),AK203&gt;(C203+T203)),AY203,0),IF(AND(ISNUMBER(AL203),AL203&gt;(C203+T203)),AZ203,0),IF(AND(ISNUMBER(AM203),AM203&gt;(C203+T203)),BA203,0),IF(AND(ISNUMBER(AN203),AN203&gt;(C203+T203)),BB203,0),IF(AND(ISNUMBER(AO203),AO203&gt;(C203+T203)),BC203,0))</f>
        <v/>
      </c>
      <c r="BE203" s="29">
        <f>IF(AT203=1,"transition",IF(MIN(IF(AND(J203=0,ISNUMBER(AP203),AP203&lt;=(C203+T203)),AP203,9E15),IF(AND(K203=0,ISNUMBER(AQ203),AQ203&lt;=(C203+T203)),AQ203,9E15),IF(AND(L203=0,ISNUMBER(AR203),AR203&lt;=(C203+T203)),AR203,9E15),IF(AND(M203=0,ISNUMBER(AS203),AS203&lt;=(C203+T203)),AS203,9E15))&lt;9E15,IF(AND(AND(J203=0,ISNUMBER(AP203),AP203&lt;=(C203+T203)),AP203=MIN(IF(AND(J203=0,ISNUMBER(AP203),AP203&lt;=(C203+T203)),AP203,9E15),IF(AND(K203=0,ISNUMBER(AQ203),AQ203&lt;=(C203+T203)),AQ203,9E15),IF(AND(L203=0,ISNUMBER(AR203),AR203&lt;=(C203+T203)),AR203,9E15),IF(AND(M203=0,ISNUMBER(AS203),AS203&lt;=(C203+T203)),AS203,9E15))),"BiP",IF(AND(AND(K203=0,ISNUMBER(AQ203),AQ203&lt;=(C203+T203)),AQ203=MIN(IF(AND(J203=0,ISNUMBER(AP203),AP203&lt;=(C203+T203)),AP203,9E15),IF(AND(K203=0,ISNUMBER(AQ203),AQ203&lt;=(C203+T203)),AQ203,9E15),IF(AND(L203=0,ISNUMBER(AR203),AR203&lt;=(C203+T203)),AR203,9E15),IF(AND(M203=0,ISNUMBER(AS203),AS203&lt;=(C203+T203)),AS203,9E15))),"PV",IF(AND(AND(L203=0,ISNUMBER(AR203),AR203&lt;=(C203+T203)),AR203=MIN(IF(AND(J203=0,ISNUMBER(AP203),AP203&lt;=(C203+T203)),AP203,9E15),IF(AND(K203=0,ISNUMBER(AQ203),AQ203&lt;=(C203+T203)),AQ203,9E15),IF(AND(L203=0,ISNUMBER(AR203),AR203&lt;=(C203+T203)),AR203,9E15),IF(AND(M203=0,ISNUMBER(AS203),AS203&lt;=(C203+T203)),AS203,9E15))),"OC","MG"))),IF(AX203=TRUE,"",IF(MAX(IF(AND(NOT(AND(AU203=1,AT203&lt;&gt;1)),ISNUMBER(AK203),AK203&lt;=(C203+T203)),AY203,0),IF(AND(NOT(AND(AU203=1,AT203&lt;&gt;1)),ISNUMBER(AL203),AL203&lt;=(C203+T203)),AZ203,0),IF(AND(NOT(AND(AU203=1,AT203&lt;&gt;1)),ISNUMBER(AM203),AM203&lt;=(C203+T203)),BA203,0),IF(AND(NOT(AND(AU203=1,AT203&lt;&gt;1)),ISNUMBER(AN203),AN203&lt;=(C203+T203)),BB203,0),IF(AND(ISNUMBER(AO203),AO203&lt;=(C203+T203)),BC203,0))&lt;=0,"",IF(AND(IF(AND(NOT(AND(AU203=1,AT203&lt;&gt;1)),ISNUMBER(AK203),AK203&lt;=(C203+T203)),AY203,0)&gt;0,IF(AND(NOT(AND(AU203=1,AT203&lt;&gt;1)),ISNUMBER(AK203),AK203&lt;=(C203+T203)),AY203,0)=MAX(IF(AND(NOT(AND(AU203=1,AT203&lt;&gt;1)),ISNUMBER(AK203),AK203&lt;=(C203+T203)),AY203,0),IF(AND(NOT(AND(AU203=1,AT203&lt;&gt;1)),ISNUMBER(AL203),AL203&lt;=(C203+T203)),AZ203,0),IF(AND(NOT(AND(AU203=1,AT203&lt;&gt;1)),ISNUMBER(AM203),AM203&lt;=(C203+T203)),BA203,0),IF(AND(NOT(AND(AU203=1,AT203&lt;&gt;1)),ISNUMBER(AN203),AN203&lt;=(C203+T203)),BB203,0),IF(AND(ISNUMBER(AO203),AO203&lt;=(C203+T203)),BC203,0))),"SK",IF(AND(IF(AND(NOT(AND(AU203=1,AT203&lt;&gt;1)),ISNUMBER(AL203),AL203&lt;=(C203+T203)),AZ203,0)&gt;0,IF(AND(NOT(AND(AU203=1,AT203&lt;&gt;1)),ISNUMBER(AL203),AL203&lt;=(C203+T203)),AZ203,0)=MAX(IF(AND(NOT(AND(AU203=1,AT203&lt;&gt;1)),ISNUMBER(AK203),AK203&lt;=(C203+T203)),AY203,0),IF(AND(NOT(AND(AU203=1,AT203&lt;&gt;1)),ISNUMBER(AL203),AL203&lt;=(C203+T203)),AZ203,0),IF(AND(NOT(AND(AU203=1,AT203&lt;&gt;1)),ISNUMBER(AM203),AM203&lt;=(C203+T203)),BA203,0),IF(AND(NOT(AND(AU203=1,AT203&lt;&gt;1)),ISNUMBER(AN203),AN203&lt;=(C203+T203)),BB203,0),IF(AND(ISNUMBER(AO203),AO203&lt;=(C203+T203)),BC203,0))),"LB",IF(AND(IF(AND(NOT(AND(AU203=1,AT203&lt;&gt;1)),ISNUMBER(AM203),AM203&lt;=(C203+T203)),BA203,0)&gt;0,IF(AND(NOT(AND(AU203=1,AT203&lt;&gt;1)),ISNUMBER(AM203),AM203&lt;=(C203+T203)),BA203,0)=MAX(IF(AND(NOT(AND(AU203=1,AT203&lt;&gt;1)),ISNUMBER(AK203),AK203&lt;=(C203+T203)),AY203,0),IF(AND(NOT(AND(AU203=1,AT203&lt;&gt;1)),ISNUMBER(AL203),AL203&lt;=(C203+T203)),AZ203,0),IF(AND(NOT(AND(AU203=1,AT203&lt;&gt;1)),ISNUMBER(AM203),AM203&lt;=(C203+T203)),BA203,0),IF(AND(NOT(AND(AU203=1,AT203&lt;&gt;1)),ISNUMBER(AN203),AN203&lt;=(C203+T203)),BB203,0),IF(AND(ISNUMBER(AO203),AO203&lt;=(C203+T203)),BC203,0))),"ML",IF(AND(IF(AND(NOT(AND(AU203=1,AT203&lt;&gt;1)),ISNUMBER(AN203),AN203&lt;=(C203+T203)),BB203,0)&gt;0,IF(AND(NOT(AND(AU203=1,AT203&lt;&gt;1)),ISNUMBER(AN203),AN203&lt;=(C203+T203)),BB203,0)=MAX(IF(AND(NOT(AND(AU203=1,AT203&lt;&gt;1)),ISNUMBER(AK203),AK203&lt;=(C203+T203)),AY203,0),IF(AND(NOT(AND(AU203=1,AT203&lt;&gt;1)),ISNUMBER(AL203),AL203&lt;=(C203+T203)),AZ203,0),IF(AND(NOT(AND(AU203=1,AT203&lt;&gt;1)),ISNUMBER(AM203),AM203&lt;=(C203+T203)),BA203,0),IF(AND(NOT(AND(AU203=1,AT203&lt;&gt;1)),ISNUMBER(AN203),AN203&lt;=(C203+T203)),BB203,0),IF(AND(ISNUMBER(AO203),AO203&lt;=(C203+T203)),BC203,0))),"RLO","BD"))))))))</f>
        <v/>
      </c>
    </row>
    <row r="204">
      <c r="A204" s="26" t="n">
        <v>193</v>
      </c>
      <c r="B204" s="27">
        <f>A204*10/60</f>
        <v/>
      </c>
      <c r="C204" s="22">
        <f>X203</f>
        <v/>
      </c>
      <c r="D204" s="27">
        <f>D203+W203</f>
        <v/>
      </c>
      <c r="E204" s="26">
        <f>E203+IF(U203="SK",1,0)</f>
        <v/>
      </c>
      <c r="F204" s="26">
        <f>F203+IF(U203="LB",1,0)</f>
        <v/>
      </c>
      <c r="G204" s="26">
        <f>G203+IF(U203="ML",1,0)</f>
        <v/>
      </c>
      <c r="H204" s="26">
        <f>H203+IF(U203="RLO",1,0)</f>
        <v/>
      </c>
      <c r="I204" s="26">
        <f>I203+IF(U203="BD",1,0)</f>
        <v/>
      </c>
      <c r="J204" s="26">
        <f>MAX(J203,IF(U203="BiP",1,0))</f>
        <v/>
      </c>
      <c r="K204" s="26">
        <f>MAX(K203,IF(U203="PV",1,0))</f>
        <v/>
      </c>
      <c r="L204" s="26">
        <f>MAX(L203,IF(U203="OC",1,0))</f>
        <v/>
      </c>
      <c r="M204" s="26">
        <f>MAX(M203,IF(U203="MG",1,0))</f>
        <v/>
      </c>
      <c r="N204" s="26">
        <f>MAX(N203,IF(U203="transition",1,0))</f>
        <v/>
      </c>
      <c r="O204" s="28">
        <f>(Parameters!$B$9+(IF(E204=0,0,(Upgrades!$J$13+E204*Upgrades!$K$13)*POWER(Upgrades!$L$13,E204)))*(IF(Upgrades!$T$14="Stellar Kinematics",POWER(Upgrades!$U$14,F204),1)*IF(Upgrades!$T$15="Stellar Kinematics",POWER(Upgrades!$U$15,G204),1)*IF(Upgrades!$T$16="Stellar Kinematics",POWER(Upgrades!$U$16,H204),1)*IF(Upgrades!$T$17="Stellar Kinematics",POWER(Upgrades!$U$17,I204),1)*IF(Upgrades!$T$18="Stellar Kinematics",POWER(Upgrades!$U$18,J204),1)*IF(Upgrades!$T$19="Stellar Kinematics",POWER(Upgrades!$U$19,K204),1)*IF(Upgrades!$T$20="Stellar Kinematics",POWER(Upgrades!$U$20,L204),1)*IF(Upgrades!$T$21="Stellar Kinematics",POWER(Upgrades!$U$21,M204),1))+(IF(F204=0,0,(Upgrades!$J$14+F204*Upgrades!$K$14)*POWER(Upgrades!$L$14,F204)))*(IF(Upgrades!$T$13="Local Bubble",POWER(Upgrades!$U$13,E204),1)*IF(Upgrades!$T$15="Local Bubble",POWER(Upgrades!$U$15,G204),1)*IF(Upgrades!$T$16="Local Bubble",POWER(Upgrades!$U$16,H204),1)*IF(Upgrades!$T$17="Local Bubble",POWER(Upgrades!$U$17,I204),1)*IF(Upgrades!$T$18="Local Bubble",POWER(Upgrades!$U$18,J204),1)*IF(Upgrades!$T$19="Local Bubble",POWER(Upgrades!$U$19,K204),1)*IF(Upgrades!$T$20="Local Bubble",POWER(Upgrades!$U$20,L204),1)*IF(Upgrades!$T$21="Local Bubble",POWER(Upgrades!$U$21,M204),1))+(IF(G204=0,0,(Upgrades!$J$15+G204*Upgrades!$K$15)*POWER(Upgrades!$L$15,G204)))*(IF(Upgrades!$T$13="Microlensing",POWER(Upgrades!$U$13,E204),1)*IF(Upgrades!$T$14="Microlensing",POWER(Upgrades!$U$14,F204),1)*IF(Upgrades!$T$16="Microlensing",POWER(Upgrades!$U$16,H204),1)*IF(Upgrades!$T$17="Microlensing",POWER(Upgrades!$U$17,I204),1)*IF(Upgrades!$T$18="Microlensing",POWER(Upgrades!$U$18,J204),1)*IF(Upgrades!$T$19="Microlensing",POWER(Upgrades!$U$19,K204),1)*IF(Upgrades!$T$20="Microlensing",POWER(Upgrades!$U$20,L204),1)*IF(Upgrades!$T$21="Microlensing",POWER(Upgrades!$U$21,M204),1))+(IF(H204=0,0,(Upgrades!$J$16+H204*Upgrades!$K$16)*POWER(Upgrades!$L$16,H204)))*(IF(Upgrades!$T$13="Roche Lobe Overflow",POWER(Upgrades!$U$13,E204),1)*IF(Upgrades!$T$14="Roche Lobe Overflow",POWER(Upgrades!$U$14,F204),1)*IF(Upgrades!$T$15="Roche Lobe Overflow",POWER(Upgrades!$U$15,G204),1)*IF(Upgrades!$T$17="Roche Lobe Overflow",POWER(Upgrades!$U$17,I204),1)*IF(Upgrades!$T$18="Roche Lobe Overflow",POWER(Upgrades!$U$18,J204),1)*IF(Upgrades!$T$19="Roche Lobe Overflow",POWER(Upgrades!$U$19,K204),1)*IF(Upgrades!$T$20="Roche Lobe Overflow",POWER(Upgrades!$U$20,L204),1)*IF(Upgrades!$T$21="Roche Lobe Overflow",POWER(Upgrades!$U$21,M204),1))+(IF(I204=0,0,(Upgrades!$J$17+I204*Upgrades!$K$17)*POWER(Upgrades!$L$17,I204)))*(IF(Upgrades!$T$13="Brown Dwarf",POWER(Upgrades!$U$13,E204),1)*IF(Upgrades!$T$14="Brown Dwarf",POWER(Upgrades!$U$14,F204),1)*IF(Upgrades!$T$15="Brown Dwarf",POWER(Upgrades!$U$15,G204),1)*IF(Upgrades!$T$16="Brown Dwarf",POWER(Upgrades!$U$16,H204),1)*IF(Upgrades!$T$18="Brown Dwarf",POWER(Upgrades!$U$18,J204),1)*IF(Upgrades!$T$19="Brown Dwarf",POWER(Upgrades!$U$19,K204),1)*IF(Upgrades!$T$20="Brown Dwarf",POWER(Upgrades!$U$20,L204),1)*IF(Upgrades!$T$21="Brown Dwarf",POWER(Upgrades!$U$21,M204),1))+(IF(J204=0,0,(Upgrades!$J$18+J204*Upgrades!$K$18)*POWER(Upgrades!$L$18,J204)))*(IF(Upgrades!$T$13="Binary Partner",POWER(Upgrades!$U$13,E204),1)*IF(Upgrades!$T$14="Binary Partner",POWER(Upgrades!$U$14,F204),1)*IF(Upgrades!$T$15="Binary Partner",POWER(Upgrades!$U$15,G204),1)*IF(Upgrades!$T$16="Binary Partner",POWER(Upgrades!$U$16,H204),1)*IF(Upgrades!$T$17="Binary Partner",POWER(Upgrades!$U$17,I204),1)*IF(Upgrades!$T$19="Binary Partner",POWER(Upgrades!$U$19,K204),1)*IF(Upgrades!$T$20="Binary Partner",POWER(Upgrades!$U$20,L204),1)*IF(Upgrades!$T$21="Binary Partner",POWER(Upgrades!$U$21,M204),1))+(IF(K204=0,0,(Upgrades!$J$19+K204*Upgrades!$K$19)*POWER(Upgrades!$L$19,K204)))*(IF(Upgrades!$T$13="Peculiar Velocity",POWER(Upgrades!$U$13,E204),1)*IF(Upgrades!$T$14="Peculiar Velocity",POWER(Upgrades!$U$14,F204),1)*IF(Upgrades!$T$15="Peculiar Velocity",POWER(Upgrades!$U$15,G204),1)*IF(Upgrades!$T$16="Peculiar Velocity",POWER(Upgrades!$U$16,H204),1)*IF(Upgrades!$T$17="Peculiar Velocity",POWER(Upgrades!$U$17,I204),1)*IF(Upgrades!$T$18="Peculiar Velocity",POWER(Upgrades!$U$18,J204),1)*IF(Upgrades!$T$20="Peculiar Velocity",POWER(Upgrades!$U$20,L204),1)*IF(Upgrades!$T$21="Peculiar Velocity",POWER(Upgrades!$U$21,M204),1))+(IF(L204=0,0,(Upgrades!$J$20+L204*Upgrades!$K$20)*POWER(Upgrades!$L$20,L204)))*(IF(Upgrades!$T$13="Open Cluster",POWER(Upgrades!$U$13,E204),1)*IF(Upgrades!$T$14="Open Cluster",POWER(Upgrades!$U$14,F204),1)*IF(Upgrades!$T$15="Open Cluster",POWER(Upgrades!$U$15,G204),1)*IF(Upgrades!$T$16="Open Cluster",POWER(Upgrades!$U$16,H204),1)*IF(Upgrades!$T$17="Open Cluster",POWER(Upgrades!$U$17,I204),1)*IF(Upgrades!$T$18="Open Cluster",POWER(Upgrades!$U$18,J204),1)*IF(Upgrades!$T$19="Open Cluster",POWER(Upgrades!$U$19,K204),1)*IF(Upgrades!$T$21="Open Cluster",POWER(Upgrades!$U$21,M204),1))+(IF(M204=0,0,(Upgrades!$J$21+M204*Upgrades!$K$21)*POWER(Upgrades!$L$21,M204)))*(IF(Upgrades!$T$13="Moving Group",POWER(Upgrades!$U$13,E204),1)*IF(Upgrades!$T$14="Moving Group",POWER(Upgrades!$U$14,F204),1)*IF(Upgrades!$T$15="Moving Group",POWER(Upgrades!$U$15,G204),1)*IF(Upgrades!$T$16="Moving Group",POWER(Upgrades!$U$16,H204),1)*IF(Upgrades!$T$17="Moving Group",POWER(Upgrades!$U$17,I204),1)*IF(Upgrades!$T$18="Moving Group",POWER(Upgrades!$U$18,J204),1)*IF(Upgrades!$T$19="Moving Group",POWER(Upgrades!$U$19,K204),1)*IF(Upgrades!$T$20="Moving Group",POWER(Upgrades!$U$20,L204),1)))*POWER(Upgrades!$Q$13,E204)*POWER(Upgrades!$Q$14,F204)*POWER(Upgrades!$Q$15,G204)*POWER(Upgrades!$Q$16,H204)*POWER(Upgrades!$Q$17,I204)*POWER(Upgrades!$Q$18,J204)*POWER(Upgrades!$Q$19,K204)*POWER(Upgrades!$Q$20,L204)*POWER(Upgrades!$Q$21,M204)*$G$6+$D$6</f>
        <v/>
      </c>
      <c r="P204" s="28">
        <f>((IF(E204=0,0,(Upgrades!$G$13+E204*Upgrades!$H$13)*POWER(Upgrades!$I$13,E204)))*(IF(Upgrades!$T$14="Stellar Kinematics",POWER(Upgrades!$U$14,F204),1)*IF(Upgrades!$T$15="Stellar Kinematics",POWER(Upgrades!$U$15,G204),1)*IF(Upgrades!$T$16="Stellar Kinematics",POWER(Upgrades!$U$16,H204),1)*IF(Upgrades!$T$17="Stellar Kinematics",POWER(Upgrades!$U$17,I204),1)*IF(Upgrades!$T$18="Stellar Kinematics",POWER(Upgrades!$U$18,J204),1)*IF(Upgrades!$T$19="Stellar Kinematics",POWER(Upgrades!$U$19,K204),1)*IF(Upgrades!$T$20="Stellar Kinematics",POWER(Upgrades!$U$20,L204),1)*IF(Upgrades!$T$21="Stellar Kinematics",POWER(Upgrades!$U$21,M204),1))+(IF(F204=0,0,(Upgrades!$G$14+F204*Upgrades!$H$14)*POWER(Upgrades!$I$14,F204)))*(IF(Upgrades!$T$13="Local Bubble",POWER(Upgrades!$U$13,E204),1)*IF(Upgrades!$T$15="Local Bubble",POWER(Upgrades!$U$15,G204),1)*IF(Upgrades!$T$16="Local Bubble",POWER(Upgrades!$U$16,H204),1)*IF(Upgrades!$T$17="Local Bubble",POWER(Upgrades!$U$17,I204),1)*IF(Upgrades!$T$18="Local Bubble",POWER(Upgrades!$U$18,J204),1)*IF(Upgrades!$T$19="Local Bubble",POWER(Upgrades!$U$19,K204),1)*IF(Upgrades!$T$20="Local Bubble",POWER(Upgrades!$U$20,L204),1)*IF(Upgrades!$T$21="Local Bubble",POWER(Upgrades!$U$21,M204),1))+(IF(G204=0,0,(Upgrades!$G$15+G204*Upgrades!$H$15)*POWER(Upgrades!$I$15,G204)))*(IF(Upgrades!$T$13="Microlensing",POWER(Upgrades!$U$13,E204),1)*IF(Upgrades!$T$14="Microlensing",POWER(Upgrades!$U$14,F204),1)*IF(Upgrades!$T$16="Microlensing",POWER(Upgrades!$U$16,H204),1)*IF(Upgrades!$T$17="Microlensing",POWER(Upgrades!$U$17,I204),1)*IF(Upgrades!$T$18="Microlensing",POWER(Upgrades!$U$18,J204),1)*IF(Upgrades!$T$19="Microlensing",POWER(Upgrades!$U$19,K204),1)*IF(Upgrades!$T$20="Microlensing",POWER(Upgrades!$U$20,L204),1)*IF(Upgrades!$T$21="Microlensing",POWER(Upgrades!$U$21,M204),1))+(IF(H204=0,0,(Upgrades!$G$16+H204*Upgrades!$H$16)*POWER(Upgrades!$I$16,H204)))*(IF(Upgrades!$T$13="Roche Lobe Overflow",POWER(Upgrades!$U$13,E204),1)*IF(Upgrades!$T$14="Roche Lobe Overflow",POWER(Upgrades!$U$14,F204),1)*IF(Upgrades!$T$15="Roche Lobe Overflow",POWER(Upgrades!$U$15,G204),1)*IF(Upgrades!$T$17="Roche Lobe Overflow",POWER(Upgrades!$U$17,I204),1)*IF(Upgrades!$T$18="Roche Lobe Overflow",POWER(Upgrades!$U$18,J204),1)*IF(Upgrades!$T$19="Roche Lobe Overflow",POWER(Upgrades!$U$19,K204),1)*IF(Upgrades!$T$20="Roche Lobe Overflow",POWER(Upgrades!$U$20,L204),1)*IF(Upgrades!$T$21="Roche Lobe Overflow",POWER(Upgrades!$U$21,M204),1))+(IF(I204=0,0,(Upgrades!$G$17+I204*Upgrades!$H$17)*POWER(Upgrades!$I$17,I204)))*(IF(Upgrades!$T$13="Brown Dwarf",POWER(Upgrades!$U$13,E204),1)*IF(Upgrades!$T$14="Brown Dwarf",POWER(Upgrades!$U$14,F204),1)*IF(Upgrades!$T$15="Brown Dwarf",POWER(Upgrades!$U$15,G204),1)*IF(Upgrades!$T$16="Brown Dwarf",POWER(Upgrades!$U$16,H204),1)*IF(Upgrades!$T$18="Brown Dwarf",POWER(Upgrades!$U$18,J204),1)*IF(Upgrades!$T$19="Brown Dwarf",POWER(Upgrades!$U$19,K204),1)*IF(Upgrades!$T$20="Brown Dwarf",POWER(Upgrades!$U$20,L204),1)*IF(Upgrades!$T$21="Brown Dwarf",POWER(Upgrades!$U$21,M204),1))+(IF(J204=0,0,(Upgrades!$G$18+J204*Upgrades!$H$18)*POWER(Upgrades!$I$18,J204)))*(IF(Upgrades!$T$13="Binary Partner",POWER(Upgrades!$U$13,E204),1)*IF(Upgrades!$T$14="Binary Partner",POWER(Upgrades!$U$14,F204),1)*IF(Upgrades!$T$15="Binary Partner",POWER(Upgrades!$U$15,G204),1)*IF(Upgrades!$T$16="Binary Partner",POWER(Upgrades!$U$16,H204),1)*IF(Upgrades!$T$17="Binary Partner",POWER(Upgrades!$U$17,I204),1)*IF(Upgrades!$T$19="Binary Partner",POWER(Upgrades!$U$19,K204),1)*IF(Upgrades!$T$20="Binary Partner",POWER(Upgrades!$U$20,L204),1)*IF(Upgrades!$T$21="Binary Partner",POWER(Upgrades!$U$21,M204),1))+(IF(K204=0,0,(Upgrades!$G$19+K204*Upgrades!$H$19)*POWER(Upgrades!$I$19,K204)))*(IF(Upgrades!$T$13="Peculiar Velocity",POWER(Upgrades!$U$13,E204),1)*IF(Upgrades!$T$14="Peculiar Velocity",POWER(Upgrades!$U$14,F204),1)*IF(Upgrades!$T$15="Peculiar Velocity",POWER(Upgrades!$U$15,G204),1)*IF(Upgrades!$T$16="Peculiar Velocity",POWER(Upgrades!$U$16,H204),1)*IF(Upgrades!$T$17="Peculiar Velocity",POWER(Upgrades!$U$17,I204),1)*IF(Upgrades!$T$18="Peculiar Velocity",POWER(Upgrades!$U$18,J204),1)*IF(Upgrades!$T$20="Peculiar Velocity",POWER(Upgrades!$U$20,L204),1)*IF(Upgrades!$T$21="Peculiar Velocity",POWER(Upgrades!$U$21,M204),1))+(IF(L204=0,0,(Upgrades!$G$20+L204*Upgrades!$H$20)*POWER(Upgrades!$I$20,L204)))*(IF(Upgrades!$T$13="Open Cluster",POWER(Upgrades!$U$13,E204),1)*IF(Upgrades!$T$14="Open Cluster",POWER(Upgrades!$U$14,F204),1)*IF(Upgrades!$T$15="Open Cluster",POWER(Upgrades!$U$15,G204),1)*IF(Upgrades!$T$16="Open Cluster",POWER(Upgrades!$U$16,H204),1)*IF(Upgrades!$T$17="Open Cluster",POWER(Upgrades!$U$17,I204),1)*IF(Upgrades!$T$18="Open Cluster",POWER(Upgrades!$U$18,J204),1)*IF(Upgrades!$T$19="Open Cluster",POWER(Upgrades!$U$19,K204),1)*IF(Upgrades!$T$21="Open Cluster",POWER(Upgrades!$U$21,M204),1))+(IF(M204=0,0,(Upgrades!$G$21+M204*Upgrades!$H$21)*POWER(Upgrades!$I$21,M204)))*(IF(Upgrades!$T$13="Moving Group",POWER(Upgrades!$U$13,E204),1)*IF(Upgrades!$T$14="Moving Group",POWER(Upgrades!$U$14,F204),1)*IF(Upgrades!$T$15="Moving Group",POWER(Upgrades!$U$15,G204),1)*IF(Upgrades!$T$16="Moving Group",POWER(Upgrades!$U$16,H204),1)*IF(Upgrades!$T$17="Moving Group",POWER(Upgrades!$U$17,I204),1)*IF(Upgrades!$T$18="Moving Group",POWER(Upgrades!$U$18,J204),1)*IF(Upgrades!$T$19="Moving Group",POWER(Upgrades!$U$19,K204),1)*IF(Upgrades!$T$20="Moving Group",POWER(Upgrades!$U$20,L204),1)))*POWER(Upgrades!$P$13,E204)*POWER(Upgrades!$P$14,F204)*POWER(Upgrades!$P$15,G204)*POWER(Upgrades!$P$16,H204)*POWER(Upgrades!$P$17,I204)*POWER(Upgrades!$P$18,J204)*POWER(Upgrades!$P$19,K204)*POWER(Upgrades!$P$20,L204)*POWER(Upgrades!$P$21,M204)*$F$6+$C$6</f>
        <v/>
      </c>
      <c r="Q204" s="28">
        <f>((IF(E204=0,0,(Upgrades!$M$13+E204*Upgrades!$N$13)*POWER(Upgrades!$O$13,E204)))*(IF(Upgrades!$T$14="Stellar Kinematics",POWER(Upgrades!$U$14,F204),1)*IF(Upgrades!$T$15="Stellar Kinematics",POWER(Upgrades!$U$15,G204),1)*IF(Upgrades!$T$16="Stellar Kinematics",POWER(Upgrades!$U$16,H204),1)*IF(Upgrades!$T$17="Stellar Kinematics",POWER(Upgrades!$U$17,I204),1)*IF(Upgrades!$T$18="Stellar Kinematics",POWER(Upgrades!$U$18,J204),1)*IF(Upgrades!$T$19="Stellar Kinematics",POWER(Upgrades!$U$19,K204),1)*IF(Upgrades!$T$20="Stellar Kinematics",POWER(Upgrades!$U$20,L204),1)*IF(Upgrades!$T$21="Stellar Kinematics",POWER(Upgrades!$U$21,M204),1))+(IF(F204=0,0,(Upgrades!$M$14+F204*Upgrades!$N$14)*POWER(Upgrades!$O$14,F204)))*(IF(Upgrades!$T$13="Local Bubble",POWER(Upgrades!$U$13,E204),1)*IF(Upgrades!$T$15="Local Bubble",POWER(Upgrades!$U$15,G204),1)*IF(Upgrades!$T$16="Local Bubble",POWER(Upgrades!$U$16,H204),1)*IF(Upgrades!$T$17="Local Bubble",POWER(Upgrades!$U$17,I204),1)*IF(Upgrades!$T$18="Local Bubble",POWER(Upgrades!$U$18,J204),1)*IF(Upgrades!$T$19="Local Bubble",POWER(Upgrades!$U$19,K204),1)*IF(Upgrades!$T$20="Local Bubble",POWER(Upgrades!$U$20,L204),1)*IF(Upgrades!$T$21="Local Bubble",POWER(Upgrades!$U$21,M204),1))+(IF(G204=0,0,(Upgrades!$M$15+G204*Upgrades!$N$15)*POWER(Upgrades!$O$15,G204)))*(IF(Upgrades!$T$13="Microlensing",POWER(Upgrades!$U$13,E204),1)*IF(Upgrades!$T$14="Microlensing",POWER(Upgrades!$U$14,F204),1)*IF(Upgrades!$T$16="Microlensing",POWER(Upgrades!$U$16,H204),1)*IF(Upgrades!$T$17="Microlensing",POWER(Upgrades!$U$17,I204),1)*IF(Upgrades!$T$18="Microlensing",POWER(Upgrades!$U$18,J204),1)*IF(Upgrades!$T$19="Microlensing",POWER(Upgrades!$U$19,K204),1)*IF(Upgrades!$T$20="Microlensing",POWER(Upgrades!$U$20,L204),1)*IF(Upgrades!$T$21="Microlensing",POWER(Upgrades!$U$21,M204),1))+(IF(H204=0,0,(Upgrades!$M$16+H204*Upgrades!$N$16)*POWER(Upgrades!$O$16,H204)))*(IF(Upgrades!$T$13="Roche Lobe Overflow",POWER(Upgrades!$U$13,E204),1)*IF(Upgrades!$T$14="Roche Lobe Overflow",POWER(Upgrades!$U$14,F204),1)*IF(Upgrades!$T$15="Roche Lobe Overflow",POWER(Upgrades!$U$15,G204),1)*IF(Upgrades!$T$17="Roche Lobe Overflow",POWER(Upgrades!$U$17,I204),1)*IF(Upgrades!$T$18="Roche Lobe Overflow",POWER(Upgrades!$U$18,J204),1)*IF(Upgrades!$T$19="Roche Lobe Overflow",POWER(Upgrades!$U$19,K204),1)*IF(Upgrades!$T$20="Roche Lobe Overflow",POWER(Upgrades!$U$20,L204),1)*IF(Upgrades!$T$21="Roche Lobe Overflow",POWER(Upgrades!$U$21,M204),1))+(IF(I204=0,0,(Upgrades!$M$17+I204*Upgrades!$N$17)*POWER(Upgrades!$O$17,I204)))*(IF(Upgrades!$T$13="Brown Dwarf",POWER(Upgrades!$U$13,E204),1)*IF(Upgrades!$T$14="Brown Dwarf",POWER(Upgrades!$U$14,F204),1)*IF(Upgrades!$T$15="Brown Dwarf",POWER(Upgrades!$U$15,G204),1)*IF(Upgrades!$T$16="Brown Dwarf",POWER(Upgrades!$U$16,H204),1)*IF(Upgrades!$T$18="Brown Dwarf",POWER(Upgrades!$U$18,J204),1)*IF(Upgrades!$T$19="Brown Dwarf",POWER(Upgrades!$U$19,K204),1)*IF(Upgrades!$T$20="Brown Dwarf",POWER(Upgrades!$U$20,L204),1)*IF(Upgrades!$T$21="Brown Dwarf",POWER(Upgrades!$U$21,M204),1))+(IF(J204=0,0,(Upgrades!$M$18+J204*Upgrades!$N$18)*POWER(Upgrades!$O$18,J204)))*(IF(Upgrades!$T$13="Binary Partner",POWER(Upgrades!$U$13,E204),1)*IF(Upgrades!$T$14="Binary Partner",POWER(Upgrades!$U$14,F204),1)*IF(Upgrades!$T$15="Binary Partner",POWER(Upgrades!$U$15,G204),1)*IF(Upgrades!$T$16="Binary Partner",POWER(Upgrades!$U$16,H204),1)*IF(Upgrades!$T$17="Binary Partner",POWER(Upgrades!$U$17,I204),1)*IF(Upgrades!$T$19="Binary Partner",POWER(Upgrades!$U$19,K204),1)*IF(Upgrades!$T$20="Binary Partner",POWER(Upgrades!$U$20,L204),1)*IF(Upgrades!$T$21="Binary Partner",POWER(Upgrades!$U$21,M204),1))+(IF(K204=0,0,(Upgrades!$M$19+K204*Upgrades!$N$19)*POWER(Upgrades!$O$19,K204)))*(IF(Upgrades!$T$13="Peculiar Velocity",POWER(Upgrades!$U$13,E204),1)*IF(Upgrades!$T$14="Peculiar Velocity",POWER(Upgrades!$U$14,F204),1)*IF(Upgrades!$T$15="Peculiar Velocity",POWER(Upgrades!$U$15,G204),1)*IF(Upgrades!$T$16="Peculiar Velocity",POWER(Upgrades!$U$16,H204),1)*IF(Upgrades!$T$17="Peculiar Velocity",POWER(Upgrades!$U$17,I204),1)*IF(Upgrades!$T$18="Peculiar Velocity",POWER(Upgrades!$U$18,J204),1)*IF(Upgrades!$T$20="Peculiar Velocity",POWER(Upgrades!$U$20,L204),1)*IF(Upgrades!$T$21="Peculiar Velocity",POWER(Upgrades!$U$21,M204),1))+(IF(L204=0,0,(Upgrades!$M$20+L204*Upgrades!$N$20)*POWER(Upgrades!$O$20,L204)))*(IF(Upgrades!$T$13="Open Cluster",POWER(Upgrades!$U$13,E204),1)*IF(Upgrades!$T$14="Open Cluster",POWER(Upgrades!$U$14,F204),1)*IF(Upgrades!$T$15="Open Cluster",POWER(Upgrades!$U$15,G204),1)*IF(Upgrades!$T$16="Open Cluster",POWER(Upgrades!$U$16,H204),1)*IF(Upgrades!$T$17="Open Cluster",POWER(Upgrades!$U$17,I204),1)*IF(Upgrades!$T$18="Open Cluster",POWER(Upgrades!$U$18,J204),1)*IF(Upgrades!$T$19="Open Cluster",POWER(Upgrades!$U$19,K204),1)*IF(Upgrades!$T$21="Open Cluster",POWER(Upgrades!$U$21,M204),1))+(IF(M204=0,0,(Upgrades!$M$21+M204*Upgrades!$N$21)*POWER(Upgrades!$O$21,M204)))*(IF(Upgrades!$T$13="Moving Group",POWER(Upgrades!$U$13,E204),1)*IF(Upgrades!$T$14="Moving Group",POWER(Upgrades!$U$14,F204),1)*IF(Upgrades!$T$15="Moving Group",POWER(Upgrades!$U$15,G204),1)*IF(Upgrades!$T$16="Moving Group",POWER(Upgrades!$U$16,H204),1)*IF(Upgrades!$T$17="Moving Group",POWER(Upgrades!$U$17,I204),1)*IF(Upgrades!$T$18="Moving Group",POWER(Upgrades!$U$18,J204),1)*IF(Upgrades!$T$19="Moving Group",POWER(Upgrades!$U$19,K204),1)*IF(Upgrades!$T$20="Moving Group",POWER(Upgrades!$U$20,L204),1)))*POWER(Upgrades!$R$13,E204)*POWER(Upgrades!$R$14,F204)*POWER(Upgrades!$R$15,G204)*POWER(Upgrades!$R$16,H204)*POWER(Upgrades!$R$17,I204)*POWER(Upgrades!$R$18,J204)*POWER(Upgrades!$R$19,K204)*POWER(Upgrades!$R$20,L204)*POWER(Upgrades!$R$21,M204)*$H$6+$E$6</f>
        <v/>
      </c>
      <c r="R204" s="27">
        <f>IF(N204=1,0,O204*Parameters!$B$10/60*Parameters!$B$11*10)</f>
        <v/>
      </c>
      <c r="S204" s="27">
        <f>IF(N204=1,0,Q204*O204*10)</f>
        <v/>
      </c>
      <c r="T204" s="27">
        <f>IF(N204=1,0,R204+S204+P204*10)</f>
        <v/>
      </c>
      <c r="U204" s="33">
        <f>BE204</f>
        <v/>
      </c>
      <c r="V204" s="22">
        <f>IF(U204="",0,IF(U204="transition",0,IF(U204="SK",AK204,IF(U204="LB",AL204,IF(U204="ML",AM204,IF(U204="RLO",AN204,IF(U204="BD",AO204,IF(U204="BiP",AP204,IF(U204="PV",AQ204,IF(U204="OC",AR204,IF(U204="MG",AS204,0))))))))))</f>
        <v/>
      </c>
      <c r="W204" s="27">
        <f>IF(U204="BiP",Upgrades!$F$18,IF(U204="PV",Upgrades!$F$19,IF(U204="OC",Upgrades!$F$20,IF(U204="MG",Upgrades!$F$21,IF(U204="transition",-Parameters!$B$18*Parameters!$B$19,0)))))</f>
        <v/>
      </c>
      <c r="X204" s="22">
        <f>C204+T204-V204</f>
        <v/>
      </c>
      <c r="Y204" s="30">
        <f>O204*Parameters!$B$10/60*Parameters!$B$11+Q204*O204+P204</f>
        <v/>
      </c>
      <c r="Z204" s="34">
        <f>IF(U204="transition","→ Tier 3 (Galactic Arm)",IF(U204="MG","Moving Group — pocket drifts together",IF(U204="OC","Open Cluster acquired",IF(U204="PV","Peculiar Velocity — passive multiplier active",IF(U204="BiP","Binary Partner — pair bond formed",IF(AND(AU204=1,N204=0,AT204&lt;&gt;1),"Cohesion ready (waiting on completionists)","")))))) </f>
        <v/>
      </c>
      <c r="AA204" s="27">
        <f>(IF(E204=0,0,(Upgrades!$G$13+E204*Upgrades!$H$13)*POWER(Upgrades!$I$13,E204)))*(IF(Upgrades!$T$14="Stellar Kinematics",POWER(Upgrades!$U$14,F204),1)*IF(Upgrades!$T$15="Stellar Kinematics",POWER(Upgrades!$U$15,G204),1)*IF(Upgrades!$T$16="Stellar Kinematics",POWER(Upgrades!$U$16,H204),1)*IF(Upgrades!$T$17="Stellar Kinematics",POWER(Upgrades!$U$17,I204),1)*IF(Upgrades!$T$18="Stellar Kinematics",POWER(Upgrades!$U$18,J204),1)*IF(Upgrades!$T$19="Stellar Kinematics",POWER(Upgrades!$U$19,K204),1)*IF(Upgrades!$T$20="Stellar Kinematics",POWER(Upgrades!$U$20,L204),1)*IF(Upgrades!$T$21="Stellar Kinematics",POWER(Upgrades!$U$21,M204),1))*POWER(Upgrades!$P$13,E204)*POWER(Upgrades!$P$14,F204)*POWER(Upgrades!$P$15,G204)*POWER(Upgrades!$P$16,H204)*POWER(Upgrades!$P$17,I204)*POWER(Upgrades!$P$18,J204)*POWER(Upgrades!$P$19,K204)*POWER(Upgrades!$P$20,L204)*POWER(Upgrades!$P$21,M204)*$F$6*60</f>
        <v/>
      </c>
      <c r="AB204" s="27">
        <f>(IF(F204=0,0,(Upgrades!$G$14+F204*Upgrades!$H$14)*POWER(Upgrades!$I$14,F204)))*(IF(Upgrades!$T$13="Local Bubble",POWER(Upgrades!$U$13,E204),1)*IF(Upgrades!$T$15="Local Bubble",POWER(Upgrades!$U$15,G204),1)*IF(Upgrades!$T$16="Local Bubble",POWER(Upgrades!$U$16,H204),1)*IF(Upgrades!$T$17="Local Bubble",POWER(Upgrades!$U$17,I204),1)*IF(Upgrades!$T$18="Local Bubble",POWER(Upgrades!$U$18,J204),1)*IF(Upgrades!$T$19="Local Bubble",POWER(Upgrades!$U$19,K204),1)*IF(Upgrades!$T$20="Local Bubble",POWER(Upgrades!$U$20,L204),1)*IF(Upgrades!$T$21="Local Bubble",POWER(Upgrades!$U$21,M204),1))*POWER(Upgrades!$P$13,E204)*POWER(Upgrades!$P$14,F204)*POWER(Upgrades!$P$15,G204)*POWER(Upgrades!$P$16,H204)*POWER(Upgrades!$P$17,I204)*POWER(Upgrades!$P$18,J204)*POWER(Upgrades!$P$19,K204)*POWER(Upgrades!$P$20,L204)*POWER(Upgrades!$P$21,M204)*$F$6*60</f>
        <v/>
      </c>
      <c r="AC204" s="27">
        <f>(IF(G204=0,0,(Upgrades!$J$15+G204*Upgrades!$K$15)*POWER(Upgrades!$L$15,G204)))*(IF(Upgrades!$T$13="Microlensing",POWER(Upgrades!$U$13,E204),1)*IF(Upgrades!$T$14="Microlensing",POWER(Upgrades!$U$14,F204),1)*IF(Upgrades!$T$16="Microlensing",POWER(Upgrades!$U$16,H204),1)*IF(Upgrades!$T$17="Microlensing",POWER(Upgrades!$U$17,I204),1)*IF(Upgrades!$T$18="Microlensing",POWER(Upgrades!$U$18,J204),1)*IF(Upgrades!$T$19="Microlensing",POWER(Upgrades!$U$19,K204),1)*IF(Upgrades!$T$20="Microlensing",POWER(Upgrades!$U$20,L204),1)*IF(Upgrades!$T$21="Microlensing",POWER(Upgrades!$U$21,M204),1))*POWER(Upgrades!$Q$13,E204)*POWER(Upgrades!$Q$14,F204)*POWER(Upgrades!$Q$15,G204)*POWER(Upgrades!$Q$16,H204)*POWER(Upgrades!$Q$17,I204)*POWER(Upgrades!$Q$18,J204)*POWER(Upgrades!$Q$19,K204)*POWER(Upgrades!$Q$20,L204)*POWER(Upgrades!$Q$21,M204)*$G$6*(Parameters!$B$10*Parameters!$B$11+Q204*60)</f>
        <v/>
      </c>
      <c r="AD204" s="27">
        <f>(IF(H204=0,0,(Upgrades!$M$16+H204*Upgrades!$N$16)*POWER(Upgrades!$O$16,H204)))*(IF(Upgrades!$T$13="Roche Lobe Overflow",POWER(Upgrades!$U$13,E204),1)*IF(Upgrades!$T$14="Roche Lobe Overflow",POWER(Upgrades!$U$14,F204),1)*IF(Upgrades!$T$15="Roche Lobe Overflow",POWER(Upgrades!$U$15,G204),1)*IF(Upgrades!$T$17="Roche Lobe Overflow",POWER(Upgrades!$U$17,I204),1)*IF(Upgrades!$T$18="Roche Lobe Overflow",POWER(Upgrades!$U$18,J204),1)*IF(Upgrades!$T$19="Roche Lobe Overflow",POWER(Upgrades!$U$19,K204),1)*IF(Upgrades!$T$20="Roche Lobe Overflow",POWER(Upgrades!$U$20,L204),1)*IF(Upgrades!$T$21="Roche Lobe Overflow",POWER(Upgrades!$U$21,M204),1))*POWER(Upgrades!$R$13,E204)*POWER(Upgrades!$R$14,F204)*POWER(Upgrades!$R$15,G204)*POWER(Upgrades!$R$16,H204)*POWER(Upgrades!$R$17,I204)*POWER(Upgrades!$R$18,J204)*POWER(Upgrades!$R$19,K204)*POWER(Upgrades!$R$20,L204)*POWER(Upgrades!$R$21,M204)*$H$6*O204*60</f>
        <v/>
      </c>
      <c r="AE204" s="27">
        <f>(IF(I204=0,0,(Upgrades!$G$17+I204*Upgrades!$H$17)*POWER(Upgrades!$I$17,I204)))*(IF(Upgrades!$T$13="Brown Dwarf",POWER(Upgrades!$U$13,E204),1)*IF(Upgrades!$T$14="Brown Dwarf",POWER(Upgrades!$U$14,F204),1)*IF(Upgrades!$T$15="Brown Dwarf",POWER(Upgrades!$U$15,G204),1)*IF(Upgrades!$T$16="Brown Dwarf",POWER(Upgrades!$U$16,H204),1)*IF(Upgrades!$T$18="Brown Dwarf",POWER(Upgrades!$U$18,J204),1)*IF(Upgrades!$T$19="Brown Dwarf",POWER(Upgrades!$U$19,K204),1)*IF(Upgrades!$T$20="Brown Dwarf",POWER(Upgrades!$U$20,L204),1)*IF(Upgrades!$T$21="Brown Dwarf",POWER(Upgrades!$U$21,M204),1))*POWER(Upgrades!$P$13,E204)*POWER(Upgrades!$P$14,F204)*POWER(Upgrades!$P$15,G204)*POWER(Upgrades!$P$16,H204)*POWER(Upgrades!$P$17,I204)*POWER(Upgrades!$P$18,J204)*POWER(Upgrades!$P$19,K204)*POWER(Upgrades!$P$20,L204)*POWER(Upgrades!$P$21,M204)*$F$6*60</f>
        <v/>
      </c>
      <c r="AF204" s="27" t="n">
        <v>0</v>
      </c>
      <c r="AG204" s="27" t="n">
        <v>0</v>
      </c>
      <c r="AH204" s="27" t="n">
        <v>0</v>
      </c>
      <c r="AI204" s="27">
        <f>(IF(M204=0,0,(Upgrades!$G$21+M204*Upgrades!$H$21)*POWER(Upgrades!$I$21,M204)))*(IF(Upgrades!$T$13="Moving Group",POWER(Upgrades!$U$13,E204),1)*IF(Upgrades!$T$14="Moving Group",POWER(Upgrades!$U$14,F204),1)*IF(Upgrades!$T$15="Moving Group",POWER(Upgrades!$U$15,G204),1)*IF(Upgrades!$T$16="Moving Group",POWER(Upgrades!$U$16,H204),1)*IF(Upgrades!$T$17="Moving Group",POWER(Upgrades!$U$17,I204),1)*IF(Upgrades!$T$18="Moving Group",POWER(Upgrades!$U$18,J204),1)*IF(Upgrades!$T$19="Moving Group",POWER(Upgrades!$U$19,K204),1)*IF(Upgrades!$T$20="Moving Group",POWER(Upgrades!$U$20,L204),1))*POWER(Upgrades!$P$13,E204)*POWER(Upgrades!$P$14,F204)*POWER(Upgrades!$P$15,G204)*POWER(Upgrades!$P$16,H204)*POWER(Upgrades!$P$17,I204)*POWER(Upgrades!$P$18,J204)*POWER(Upgrades!$P$19,K204)*POWER(Upgrades!$P$20,L204)*POWER(Upgrades!$P$21,M204)*$F$6*60</f>
        <v/>
      </c>
      <c r="AJ204" s="27">
        <f>$C$6*60</f>
        <v/>
      </c>
      <c r="AK204" s="22">
        <f>IF(E204&gt;=Upgrades!$E$13,"",Upgrades!$C$13*POWER(Upgrades!$D$13,E204))</f>
        <v/>
      </c>
      <c r="AL204" s="22">
        <f>IF(F204&gt;=Upgrades!$E$14,"",Upgrades!$C$14*POWER(Upgrades!$D$14,F204))</f>
        <v/>
      </c>
      <c r="AM204" s="22">
        <f>IF(G204&gt;=Upgrades!$E$15,"",Upgrades!$C$15*POWER(Upgrades!$D$15,G204))</f>
        <v/>
      </c>
      <c r="AN204" s="22">
        <f>IF(H204&gt;=Upgrades!$E$16,"",Upgrades!$C$16*POWER(Upgrades!$D$16,H204))</f>
        <v/>
      </c>
      <c r="AO204" s="22">
        <f>IF(I204&gt;=Upgrades!$E$17,"",Upgrades!$C$17*POWER(Upgrades!$D$17,I204))</f>
        <v/>
      </c>
      <c r="AP204" s="22">
        <f>IF(J204&gt;=Upgrades!$E$18,"",Upgrades!$C$18*POWER(Upgrades!$D$18,J204))</f>
        <v/>
      </c>
      <c r="AQ204" s="22">
        <f>IF(K204&gt;=Upgrades!$E$19,"",Upgrades!$C$19*POWER(Upgrades!$D$19,K204))</f>
        <v/>
      </c>
      <c r="AR204" s="22">
        <f>IF(L204&gt;=Upgrades!$E$20,"",Upgrades!$C$20*POWER(Upgrades!$D$20,L204))</f>
        <v/>
      </c>
      <c r="AS204" s="22">
        <f>IF(M204&gt;=Upgrades!$E$21,"",Upgrades!$C$21*POWER(Upgrades!$D$21,M204))</f>
        <v/>
      </c>
      <c r="AT204" s="26">
        <f>IF(AND(D204&gt;=Parameters!$B$18*Parameters!$B$19,(I204&gt;=Upgrades!$E$17)*(M204&gt;=Upgrades!$E$21)=1,N204=0),1,"")</f>
        <v/>
      </c>
      <c r="AU204" s="26">
        <f>IF(AND(D204&gt;=Parameters!$B$18*Parameters!$B$19,N204=0),1,"")</f>
        <v/>
      </c>
      <c r="AV204" s="22">
        <f>MIN(IF(ISNUMBER(AP204),AP204,9E15),IF(ISNUMBER(AQ204),AQ204,9E15),IF(ISNUMBER(AR204),AR204,9E15),IF(ISNUMBER(AS204),AS204,9E15))</f>
        <v/>
      </c>
      <c r="AW204" s="22">
        <f>MIN(IF(ISNUMBER(AK204),AK204,9E15),IF(ISNUMBER(AL204),AL204,9E15),IF(ISNUMBER(AM204),AM204,9E15),IF(ISNUMBER(AN204),AN204,9E15),IF(ISNUMBER(AO204),AO204,9E15))</f>
        <v/>
      </c>
      <c r="AX204" s="29">
        <f>IF(BD204&gt;Parameters!$B$21*(MAX(IF(AND(NOT(AND(AU204=1,AT204&lt;&gt;1)),ISNUMBER(AK204),AK204&lt;=(C204+T204)),AY204,0),IF(AND(NOT(AND(AU204=1,AT204&lt;&gt;1)),ISNUMBER(AL204),AL204&lt;=(C204+T204)),AZ204,0),IF(AND(NOT(AND(AU204=1,AT204&lt;&gt;1)),ISNUMBER(AM204),AM204&lt;=(C204+T204)),BA204,0),IF(AND(NOT(AND(AU204=1,AT204&lt;&gt;1)),ISNUMBER(AN204),AN204&lt;=(C204+T204)),BB204,0),IF(AND(ISNUMBER(AO204),AO204&lt;=(C204+T204)),BC204,0))),TRUE,FALSE)</f>
        <v/>
      </c>
      <c r="AY204" s="32">
        <f>IFERROR(Upgrades!$H$13*(POWER(Upgrades!$P$13,E204)*POWER(Upgrades!$P$14,F204)*POWER(Upgrades!$P$15,G204)*POWER(Upgrades!$P$16,H204)*POWER(Upgrades!$P$17,I204)*POWER(Upgrades!$P$18,J204)*POWER(Upgrades!$P$19,K204)*POWER(Upgrades!$P$20,L204)*POWER(Upgrades!$P$21,M204))*(IF(Upgrades!$T$14="Stellar Kinematics",POWER(Upgrades!$U$14,F204),1)*IF(Upgrades!$T$15="Stellar Kinematics",POWER(Upgrades!$U$15,G204),1)*IF(Upgrades!$T$16="Stellar Kinematics",POWER(Upgrades!$U$16,H204),1)*IF(Upgrades!$T$17="Stellar Kinematics",POWER(Upgrades!$U$17,I204),1)*IF(Upgrades!$T$18="Stellar Kinematics",POWER(Upgrades!$U$18,J204),1)*IF(Upgrades!$T$19="Stellar Kinematics",POWER(Upgrades!$U$19,K204),1)*IF(Upgrades!$T$20="Stellar Kinematics",POWER(Upgrades!$U$20,L204),1)*IF(Upgrades!$T$21="Stellar Kinematics",POWER(Upgrades!$U$21,M204),1))*$F$6/AK204,0)</f>
        <v/>
      </c>
      <c r="AZ204" s="32">
        <f>IFERROR(Upgrades!$H$14*(POWER(Upgrades!$P$13,E204)*POWER(Upgrades!$P$14,F204)*POWER(Upgrades!$P$15,G204)*POWER(Upgrades!$P$16,H204)*POWER(Upgrades!$P$17,I204)*POWER(Upgrades!$P$18,J204)*POWER(Upgrades!$P$19,K204)*POWER(Upgrades!$P$20,L204)*POWER(Upgrades!$P$21,M204))*(IF(Upgrades!$T$13="Local Bubble",POWER(Upgrades!$U$13,E204),1)*IF(Upgrades!$T$15="Local Bubble",POWER(Upgrades!$U$15,G204),1)*IF(Upgrades!$T$16="Local Bubble",POWER(Upgrades!$U$16,H204),1)*IF(Upgrades!$T$17="Local Bubble",POWER(Upgrades!$U$17,I204),1)*IF(Upgrades!$T$18="Local Bubble",POWER(Upgrades!$U$18,J204),1)*IF(Upgrades!$T$19="Local Bubble",POWER(Upgrades!$U$19,K204),1)*IF(Upgrades!$T$20="Local Bubble",POWER(Upgrades!$U$20,L204),1)*IF(Upgrades!$T$21="Local Bubble",POWER(Upgrades!$U$21,M204),1))*$F$6/AL204,0)</f>
        <v/>
      </c>
      <c r="BA204" s="32">
        <f>IFERROR(Upgrades!$K$15*(POWER(Upgrades!$Q$13,E204)*POWER(Upgrades!$Q$14,F204)*POWER(Upgrades!$Q$15,G204)*POWER(Upgrades!$Q$16,H204)*POWER(Upgrades!$Q$17,I204)*POWER(Upgrades!$Q$18,J204)*POWER(Upgrades!$Q$19,K204)*POWER(Upgrades!$Q$20,L204)*POWER(Upgrades!$Q$21,M204))*(IF(Upgrades!$T$13="Microlensing",POWER(Upgrades!$U$13,E204),1)*IF(Upgrades!$T$14="Microlensing",POWER(Upgrades!$U$14,F204),1)*IF(Upgrades!$T$16="Microlensing",POWER(Upgrades!$U$16,H204),1)*IF(Upgrades!$T$17="Microlensing",POWER(Upgrades!$U$17,I204),1)*IF(Upgrades!$T$18="Microlensing",POWER(Upgrades!$U$18,J204),1)*IF(Upgrades!$T$19="Microlensing",POWER(Upgrades!$U$19,K204),1)*IF(Upgrades!$T$20="Microlensing",POWER(Upgrades!$U$20,L204),1)*IF(Upgrades!$T$21="Microlensing",POWER(Upgrades!$U$21,M204),1))*$G$6*(Parameters!$B$10/60*Parameters!$B$11+Q204)/AM204,0)</f>
        <v/>
      </c>
      <c r="BB204" s="32">
        <f>IFERROR((Upgrades!$N$16*(POWER(Upgrades!$R$13,E204)*POWER(Upgrades!$R$14,F204)*POWER(Upgrades!$R$15,G204)*POWER(Upgrades!$R$16,H204)*POWER(Upgrades!$R$17,I204)*POWER(Upgrades!$R$18,J204)*POWER(Upgrades!$R$19,K204)*POWER(Upgrades!$R$20,L204)*POWER(Upgrades!$R$21,M204))*(IF(Upgrades!$T$13="Roche Lobe Overflow",POWER(Upgrades!$U$13,E204),1)*IF(Upgrades!$T$14="Roche Lobe Overflow",POWER(Upgrades!$U$14,F204),1)*IF(Upgrades!$T$15="Roche Lobe Overflow",POWER(Upgrades!$U$15,G204),1)*IF(Upgrades!$T$17="Roche Lobe Overflow",POWER(Upgrades!$U$17,I204),1)*IF(Upgrades!$T$18="Roche Lobe Overflow",POWER(Upgrades!$U$18,J204),1)*IF(Upgrades!$T$19="Roche Lobe Overflow",POWER(Upgrades!$U$19,K204),1)*IF(Upgrades!$T$20="Roche Lobe Overflow",POWER(Upgrades!$U$20,L204),1)*IF(Upgrades!$T$21="Roche Lobe Overflow",POWER(Upgrades!$U$21,M204),1))*$H$6*O204+((IF(F204=0,0,(Upgrades!$G$14+F204*Upgrades!$H$14)*POWER(Upgrades!$I$14,F204)))*(IF(Upgrades!$T$13="Local Bubble",POWER(Upgrades!$U$13,E204),1)*IF(Upgrades!$T$15="Local Bubble",POWER(Upgrades!$U$15,G204),1)*IF(Upgrades!$T$16="Local Bubble",POWER(Upgrades!$U$16,H204),1)*IF(Upgrades!$T$17="Local Bubble",POWER(Upgrades!$U$17,I204),1)*IF(Upgrades!$T$18="Local Bubble",POWER(Upgrades!$U$18,J204),1)*IF(Upgrades!$T$19="Local Bubble",POWER(Upgrades!$U$19,K204),1)*IF(Upgrades!$T$20="Local Bubble",POWER(Upgrades!$U$20,L204),1)*IF(Upgrades!$T$21="Local Bubble",POWER(Upgrades!$U$21,M204),1))*POWER(Upgrades!$P$13,E204)*POWER(Upgrades!$P$14,F204)*POWER(Upgrades!$P$15,G204)*POWER(Upgrades!$P$16,H204)*POWER(Upgrades!$P$17,I204)*POWER(Upgrades!$P$18,J204)*POWER(Upgrades!$P$19,K204)*POWER(Upgrades!$P$20,L204)*POWER(Upgrades!$P$21,M204)*$F$6)*0.05)/AN204,0)</f>
        <v/>
      </c>
      <c r="BC204" s="32">
        <f>IFERROR((Upgrades!$H$17*(POWER(Upgrades!$P$13,E204)*POWER(Upgrades!$P$14,F204)*POWER(Upgrades!$P$15,G204)*POWER(Upgrades!$P$16,H204)*POWER(Upgrades!$P$17,I204)*POWER(Upgrades!$P$18,J204)*POWER(Upgrades!$P$19,K204)*POWER(Upgrades!$P$20,L204)*POWER(Upgrades!$P$21,M204))*(IF(Upgrades!$T$13="Brown Dwarf",POWER(Upgrades!$U$13,E204),1)*IF(Upgrades!$T$14="Brown Dwarf",POWER(Upgrades!$U$14,F204),1)*IF(Upgrades!$T$15="Brown Dwarf",POWER(Upgrades!$U$15,G204),1)*IF(Upgrades!$T$16="Brown Dwarf",POWER(Upgrades!$U$16,H204),1)*IF(Upgrades!$T$18="Brown Dwarf",POWER(Upgrades!$U$18,J204),1)*IF(Upgrades!$T$19="Brown Dwarf",POWER(Upgrades!$U$19,K204),1)*IF(Upgrades!$T$20="Brown Dwarf",POWER(Upgrades!$U$20,L204),1)*IF(Upgrades!$T$21="Brown Dwarf",POWER(Upgrades!$U$21,M204),1))*$F$6+(((IF(H204=0,0,(Upgrades!$M$16+H204*Upgrades!$N$16)*POWER(Upgrades!$O$16,H204)))*(IF(Upgrades!$T$13="Roche Lobe Overflow",POWER(Upgrades!$U$13,E204),1)*IF(Upgrades!$T$14="Roche Lobe Overflow",POWER(Upgrades!$U$14,F204),1)*IF(Upgrades!$T$15="Roche Lobe Overflow",POWER(Upgrades!$U$15,G204),1)*IF(Upgrades!$T$17="Roche Lobe Overflow",POWER(Upgrades!$U$17,I204),1)*IF(Upgrades!$T$18="Roche Lobe Overflow",POWER(Upgrades!$U$18,J204),1)*IF(Upgrades!$T$19="Roche Lobe Overflow",POWER(Upgrades!$U$19,K204),1)*IF(Upgrades!$T$20="Roche Lobe Overflow",POWER(Upgrades!$U$20,L204),1)*IF(Upgrades!$T$21="Roche Lobe Overflow",POWER(Upgrades!$U$21,M204),1))*POWER(Upgrades!$R$13,E204)*POWER(Upgrades!$R$14,F204)*POWER(Upgrades!$R$15,G204)*POWER(Upgrades!$R$16,H204)*POWER(Upgrades!$R$17,I204)*POWER(Upgrades!$R$18,J204)*POWER(Upgrades!$R$19,K204)*POWER(Upgrades!$R$20,L204)*POWER(Upgrades!$R$21,M204)*$H$6)*O204)*0.10)/AO204,0)</f>
        <v/>
      </c>
      <c r="BD204" s="32">
        <f>MAX(IF(J204&gt;0,0,IFERROR(0.5*((IF(G204=0,0,(Upgrades!$J$15+G204*Upgrades!$K$15)*POWER(Upgrades!$L$15,G204)))*(IF(Upgrades!$T$13="Microlensing",POWER(Upgrades!$U$13,E204),1)*IF(Upgrades!$T$14="Microlensing",POWER(Upgrades!$U$14,F204),1)*IF(Upgrades!$T$16="Microlensing",POWER(Upgrades!$U$16,H204),1)*IF(Upgrades!$T$17="Microlensing",POWER(Upgrades!$U$17,I204),1)*IF(Upgrades!$T$18="Microlensing",POWER(Upgrades!$U$18,J204),1)*IF(Upgrades!$T$19="Microlensing",POWER(Upgrades!$U$19,K204),1)*IF(Upgrades!$T$20="Microlensing",POWER(Upgrades!$U$20,L204),1)*IF(Upgrades!$T$21="Microlensing",POWER(Upgrades!$U$21,M204),1))*(POWER(Upgrades!$Q$13,E204)*POWER(Upgrades!$Q$14,F204)*POWER(Upgrades!$Q$15,G204)*POWER(Upgrades!$Q$16,H204)*POWER(Upgrades!$Q$17,I204)*POWER(Upgrades!$Q$18,J204)*POWER(Upgrades!$Q$19,K204)*POWER(Upgrades!$Q$20,L204)*POWER(Upgrades!$Q$21,M204))*$G$6*(Parameters!$B$10/60*Parameters!$B$11+Q204))/Upgrades!$C$18,0)),IF(K204&gt;0,0,IFERROR(0.30*P204/Upgrades!$C$19,0)),IF(L204&gt;0,0,IFERROR(0.0001/Upgrades!$C$20,0)),IF(M204&gt;0,0,IFERROR((6.0*(POWER(Upgrades!$P$13,E204)*POWER(Upgrades!$P$14,F204)*POWER(Upgrades!$P$15,G204)*POWER(Upgrades!$P$16,H204)*POWER(Upgrades!$P$17,I204)*POWER(Upgrades!$P$18,J204)*POWER(Upgrades!$P$19,K204)*POWER(Upgrades!$P$20,L204)*POWER(Upgrades!$P$21,M204))*$F$6+0.20*O204*(Parameters!$B$10/60*Parameters!$B$11+Q204))/Upgrades!$C$21,0)),IF(AND(ISNUMBER(AK204),AK204&gt;(C204+T204)),AY204,0),IF(AND(ISNUMBER(AL204),AL204&gt;(C204+T204)),AZ204,0),IF(AND(ISNUMBER(AM204),AM204&gt;(C204+T204)),BA204,0),IF(AND(ISNUMBER(AN204),AN204&gt;(C204+T204)),BB204,0),IF(AND(ISNUMBER(AO204),AO204&gt;(C204+T204)),BC204,0))</f>
        <v/>
      </c>
      <c r="BE204" s="29">
        <f>IF(AT204=1,"transition",IF(MIN(IF(AND(J204=0,ISNUMBER(AP204),AP204&lt;=(C204+T204)),AP204,9E15),IF(AND(K204=0,ISNUMBER(AQ204),AQ204&lt;=(C204+T204)),AQ204,9E15),IF(AND(L204=0,ISNUMBER(AR204),AR204&lt;=(C204+T204)),AR204,9E15),IF(AND(M204=0,ISNUMBER(AS204),AS204&lt;=(C204+T204)),AS204,9E15))&lt;9E15,IF(AND(AND(J204=0,ISNUMBER(AP204),AP204&lt;=(C204+T204)),AP204=MIN(IF(AND(J204=0,ISNUMBER(AP204),AP204&lt;=(C204+T204)),AP204,9E15),IF(AND(K204=0,ISNUMBER(AQ204),AQ204&lt;=(C204+T204)),AQ204,9E15),IF(AND(L204=0,ISNUMBER(AR204),AR204&lt;=(C204+T204)),AR204,9E15),IF(AND(M204=0,ISNUMBER(AS204),AS204&lt;=(C204+T204)),AS204,9E15))),"BiP",IF(AND(AND(K204=0,ISNUMBER(AQ204),AQ204&lt;=(C204+T204)),AQ204=MIN(IF(AND(J204=0,ISNUMBER(AP204),AP204&lt;=(C204+T204)),AP204,9E15),IF(AND(K204=0,ISNUMBER(AQ204),AQ204&lt;=(C204+T204)),AQ204,9E15),IF(AND(L204=0,ISNUMBER(AR204),AR204&lt;=(C204+T204)),AR204,9E15),IF(AND(M204=0,ISNUMBER(AS204),AS204&lt;=(C204+T204)),AS204,9E15))),"PV",IF(AND(AND(L204=0,ISNUMBER(AR204),AR204&lt;=(C204+T204)),AR204=MIN(IF(AND(J204=0,ISNUMBER(AP204),AP204&lt;=(C204+T204)),AP204,9E15),IF(AND(K204=0,ISNUMBER(AQ204),AQ204&lt;=(C204+T204)),AQ204,9E15),IF(AND(L204=0,ISNUMBER(AR204),AR204&lt;=(C204+T204)),AR204,9E15),IF(AND(M204=0,ISNUMBER(AS204),AS204&lt;=(C204+T204)),AS204,9E15))),"OC","MG"))),IF(AX204=TRUE,"",IF(MAX(IF(AND(NOT(AND(AU204=1,AT204&lt;&gt;1)),ISNUMBER(AK204),AK204&lt;=(C204+T204)),AY204,0),IF(AND(NOT(AND(AU204=1,AT204&lt;&gt;1)),ISNUMBER(AL204),AL204&lt;=(C204+T204)),AZ204,0),IF(AND(NOT(AND(AU204=1,AT204&lt;&gt;1)),ISNUMBER(AM204),AM204&lt;=(C204+T204)),BA204,0),IF(AND(NOT(AND(AU204=1,AT204&lt;&gt;1)),ISNUMBER(AN204),AN204&lt;=(C204+T204)),BB204,0),IF(AND(ISNUMBER(AO204),AO204&lt;=(C204+T204)),BC204,0))&lt;=0,"",IF(AND(IF(AND(NOT(AND(AU204=1,AT204&lt;&gt;1)),ISNUMBER(AK204),AK204&lt;=(C204+T204)),AY204,0)&gt;0,IF(AND(NOT(AND(AU204=1,AT204&lt;&gt;1)),ISNUMBER(AK204),AK204&lt;=(C204+T204)),AY204,0)=MAX(IF(AND(NOT(AND(AU204=1,AT204&lt;&gt;1)),ISNUMBER(AK204),AK204&lt;=(C204+T204)),AY204,0),IF(AND(NOT(AND(AU204=1,AT204&lt;&gt;1)),ISNUMBER(AL204),AL204&lt;=(C204+T204)),AZ204,0),IF(AND(NOT(AND(AU204=1,AT204&lt;&gt;1)),ISNUMBER(AM204),AM204&lt;=(C204+T204)),BA204,0),IF(AND(NOT(AND(AU204=1,AT204&lt;&gt;1)),ISNUMBER(AN204),AN204&lt;=(C204+T204)),BB204,0),IF(AND(ISNUMBER(AO204),AO204&lt;=(C204+T204)),BC204,0))),"SK",IF(AND(IF(AND(NOT(AND(AU204=1,AT204&lt;&gt;1)),ISNUMBER(AL204),AL204&lt;=(C204+T204)),AZ204,0)&gt;0,IF(AND(NOT(AND(AU204=1,AT204&lt;&gt;1)),ISNUMBER(AL204),AL204&lt;=(C204+T204)),AZ204,0)=MAX(IF(AND(NOT(AND(AU204=1,AT204&lt;&gt;1)),ISNUMBER(AK204),AK204&lt;=(C204+T204)),AY204,0),IF(AND(NOT(AND(AU204=1,AT204&lt;&gt;1)),ISNUMBER(AL204),AL204&lt;=(C204+T204)),AZ204,0),IF(AND(NOT(AND(AU204=1,AT204&lt;&gt;1)),ISNUMBER(AM204),AM204&lt;=(C204+T204)),BA204,0),IF(AND(NOT(AND(AU204=1,AT204&lt;&gt;1)),ISNUMBER(AN204),AN204&lt;=(C204+T204)),BB204,0),IF(AND(ISNUMBER(AO204),AO204&lt;=(C204+T204)),BC204,0))),"LB",IF(AND(IF(AND(NOT(AND(AU204=1,AT204&lt;&gt;1)),ISNUMBER(AM204),AM204&lt;=(C204+T204)),BA204,0)&gt;0,IF(AND(NOT(AND(AU204=1,AT204&lt;&gt;1)),ISNUMBER(AM204),AM204&lt;=(C204+T204)),BA204,0)=MAX(IF(AND(NOT(AND(AU204=1,AT204&lt;&gt;1)),ISNUMBER(AK204),AK204&lt;=(C204+T204)),AY204,0),IF(AND(NOT(AND(AU204=1,AT204&lt;&gt;1)),ISNUMBER(AL204),AL204&lt;=(C204+T204)),AZ204,0),IF(AND(NOT(AND(AU204=1,AT204&lt;&gt;1)),ISNUMBER(AM204),AM204&lt;=(C204+T204)),BA204,0),IF(AND(NOT(AND(AU204=1,AT204&lt;&gt;1)),ISNUMBER(AN204),AN204&lt;=(C204+T204)),BB204,0),IF(AND(ISNUMBER(AO204),AO204&lt;=(C204+T204)),BC204,0))),"ML",IF(AND(IF(AND(NOT(AND(AU204=1,AT204&lt;&gt;1)),ISNUMBER(AN204),AN204&lt;=(C204+T204)),BB204,0)&gt;0,IF(AND(NOT(AND(AU204=1,AT204&lt;&gt;1)),ISNUMBER(AN204),AN204&lt;=(C204+T204)),BB204,0)=MAX(IF(AND(NOT(AND(AU204=1,AT204&lt;&gt;1)),ISNUMBER(AK204),AK204&lt;=(C204+T204)),AY204,0),IF(AND(NOT(AND(AU204=1,AT204&lt;&gt;1)),ISNUMBER(AL204),AL204&lt;=(C204+T204)),AZ204,0),IF(AND(NOT(AND(AU204=1,AT204&lt;&gt;1)),ISNUMBER(AM204),AM204&lt;=(C204+T204)),BA204,0),IF(AND(NOT(AND(AU204=1,AT204&lt;&gt;1)),ISNUMBER(AN204),AN204&lt;=(C204+T204)),BB204,0),IF(AND(ISNUMBER(AO204),AO204&lt;=(C204+T204)),BC204,0))),"RLO","BD"))))))))</f>
        <v/>
      </c>
    </row>
    <row r="205">
      <c r="A205" s="26" t="n">
        <v>194</v>
      </c>
      <c r="B205" s="27">
        <f>A205*10/60</f>
        <v/>
      </c>
      <c r="C205" s="22">
        <f>X204</f>
        <v/>
      </c>
      <c r="D205" s="27">
        <f>D204+W204</f>
        <v/>
      </c>
      <c r="E205" s="26">
        <f>E204+IF(U204="SK",1,0)</f>
        <v/>
      </c>
      <c r="F205" s="26">
        <f>F204+IF(U204="LB",1,0)</f>
        <v/>
      </c>
      <c r="G205" s="26">
        <f>G204+IF(U204="ML",1,0)</f>
        <v/>
      </c>
      <c r="H205" s="26">
        <f>H204+IF(U204="RLO",1,0)</f>
        <v/>
      </c>
      <c r="I205" s="26">
        <f>I204+IF(U204="BD",1,0)</f>
        <v/>
      </c>
      <c r="J205" s="26">
        <f>MAX(J204,IF(U204="BiP",1,0))</f>
        <v/>
      </c>
      <c r="K205" s="26">
        <f>MAX(K204,IF(U204="PV",1,0))</f>
        <v/>
      </c>
      <c r="L205" s="26">
        <f>MAX(L204,IF(U204="OC",1,0))</f>
        <v/>
      </c>
      <c r="M205" s="26">
        <f>MAX(M204,IF(U204="MG",1,0))</f>
        <v/>
      </c>
      <c r="N205" s="26">
        <f>MAX(N204,IF(U204="transition",1,0))</f>
        <v/>
      </c>
      <c r="O205" s="28">
        <f>(Parameters!$B$9+(IF(E205=0,0,(Upgrades!$J$13+E205*Upgrades!$K$13)*POWER(Upgrades!$L$13,E205)))*(IF(Upgrades!$T$14="Stellar Kinematics",POWER(Upgrades!$U$14,F205),1)*IF(Upgrades!$T$15="Stellar Kinematics",POWER(Upgrades!$U$15,G205),1)*IF(Upgrades!$T$16="Stellar Kinematics",POWER(Upgrades!$U$16,H205),1)*IF(Upgrades!$T$17="Stellar Kinematics",POWER(Upgrades!$U$17,I205),1)*IF(Upgrades!$T$18="Stellar Kinematics",POWER(Upgrades!$U$18,J205),1)*IF(Upgrades!$T$19="Stellar Kinematics",POWER(Upgrades!$U$19,K205),1)*IF(Upgrades!$T$20="Stellar Kinematics",POWER(Upgrades!$U$20,L205),1)*IF(Upgrades!$T$21="Stellar Kinematics",POWER(Upgrades!$U$21,M205),1))+(IF(F205=0,0,(Upgrades!$J$14+F205*Upgrades!$K$14)*POWER(Upgrades!$L$14,F205)))*(IF(Upgrades!$T$13="Local Bubble",POWER(Upgrades!$U$13,E205),1)*IF(Upgrades!$T$15="Local Bubble",POWER(Upgrades!$U$15,G205),1)*IF(Upgrades!$T$16="Local Bubble",POWER(Upgrades!$U$16,H205),1)*IF(Upgrades!$T$17="Local Bubble",POWER(Upgrades!$U$17,I205),1)*IF(Upgrades!$T$18="Local Bubble",POWER(Upgrades!$U$18,J205),1)*IF(Upgrades!$T$19="Local Bubble",POWER(Upgrades!$U$19,K205),1)*IF(Upgrades!$T$20="Local Bubble",POWER(Upgrades!$U$20,L205),1)*IF(Upgrades!$T$21="Local Bubble",POWER(Upgrades!$U$21,M205),1))+(IF(G205=0,0,(Upgrades!$J$15+G205*Upgrades!$K$15)*POWER(Upgrades!$L$15,G205)))*(IF(Upgrades!$T$13="Microlensing",POWER(Upgrades!$U$13,E205),1)*IF(Upgrades!$T$14="Microlensing",POWER(Upgrades!$U$14,F205),1)*IF(Upgrades!$T$16="Microlensing",POWER(Upgrades!$U$16,H205),1)*IF(Upgrades!$T$17="Microlensing",POWER(Upgrades!$U$17,I205),1)*IF(Upgrades!$T$18="Microlensing",POWER(Upgrades!$U$18,J205),1)*IF(Upgrades!$T$19="Microlensing",POWER(Upgrades!$U$19,K205),1)*IF(Upgrades!$T$20="Microlensing",POWER(Upgrades!$U$20,L205),1)*IF(Upgrades!$T$21="Microlensing",POWER(Upgrades!$U$21,M205),1))+(IF(H205=0,0,(Upgrades!$J$16+H205*Upgrades!$K$16)*POWER(Upgrades!$L$16,H205)))*(IF(Upgrades!$T$13="Roche Lobe Overflow",POWER(Upgrades!$U$13,E205),1)*IF(Upgrades!$T$14="Roche Lobe Overflow",POWER(Upgrades!$U$14,F205),1)*IF(Upgrades!$T$15="Roche Lobe Overflow",POWER(Upgrades!$U$15,G205),1)*IF(Upgrades!$T$17="Roche Lobe Overflow",POWER(Upgrades!$U$17,I205),1)*IF(Upgrades!$T$18="Roche Lobe Overflow",POWER(Upgrades!$U$18,J205),1)*IF(Upgrades!$T$19="Roche Lobe Overflow",POWER(Upgrades!$U$19,K205),1)*IF(Upgrades!$T$20="Roche Lobe Overflow",POWER(Upgrades!$U$20,L205),1)*IF(Upgrades!$T$21="Roche Lobe Overflow",POWER(Upgrades!$U$21,M205),1))+(IF(I205=0,0,(Upgrades!$J$17+I205*Upgrades!$K$17)*POWER(Upgrades!$L$17,I205)))*(IF(Upgrades!$T$13="Brown Dwarf",POWER(Upgrades!$U$13,E205),1)*IF(Upgrades!$T$14="Brown Dwarf",POWER(Upgrades!$U$14,F205),1)*IF(Upgrades!$T$15="Brown Dwarf",POWER(Upgrades!$U$15,G205),1)*IF(Upgrades!$T$16="Brown Dwarf",POWER(Upgrades!$U$16,H205),1)*IF(Upgrades!$T$18="Brown Dwarf",POWER(Upgrades!$U$18,J205),1)*IF(Upgrades!$T$19="Brown Dwarf",POWER(Upgrades!$U$19,K205),1)*IF(Upgrades!$T$20="Brown Dwarf",POWER(Upgrades!$U$20,L205),1)*IF(Upgrades!$T$21="Brown Dwarf",POWER(Upgrades!$U$21,M205),1))+(IF(J205=0,0,(Upgrades!$J$18+J205*Upgrades!$K$18)*POWER(Upgrades!$L$18,J205)))*(IF(Upgrades!$T$13="Binary Partner",POWER(Upgrades!$U$13,E205),1)*IF(Upgrades!$T$14="Binary Partner",POWER(Upgrades!$U$14,F205),1)*IF(Upgrades!$T$15="Binary Partner",POWER(Upgrades!$U$15,G205),1)*IF(Upgrades!$T$16="Binary Partner",POWER(Upgrades!$U$16,H205),1)*IF(Upgrades!$T$17="Binary Partner",POWER(Upgrades!$U$17,I205),1)*IF(Upgrades!$T$19="Binary Partner",POWER(Upgrades!$U$19,K205),1)*IF(Upgrades!$T$20="Binary Partner",POWER(Upgrades!$U$20,L205),1)*IF(Upgrades!$T$21="Binary Partner",POWER(Upgrades!$U$21,M205),1))+(IF(K205=0,0,(Upgrades!$J$19+K205*Upgrades!$K$19)*POWER(Upgrades!$L$19,K205)))*(IF(Upgrades!$T$13="Peculiar Velocity",POWER(Upgrades!$U$13,E205),1)*IF(Upgrades!$T$14="Peculiar Velocity",POWER(Upgrades!$U$14,F205),1)*IF(Upgrades!$T$15="Peculiar Velocity",POWER(Upgrades!$U$15,G205),1)*IF(Upgrades!$T$16="Peculiar Velocity",POWER(Upgrades!$U$16,H205),1)*IF(Upgrades!$T$17="Peculiar Velocity",POWER(Upgrades!$U$17,I205),1)*IF(Upgrades!$T$18="Peculiar Velocity",POWER(Upgrades!$U$18,J205),1)*IF(Upgrades!$T$20="Peculiar Velocity",POWER(Upgrades!$U$20,L205),1)*IF(Upgrades!$T$21="Peculiar Velocity",POWER(Upgrades!$U$21,M205),1))+(IF(L205=0,0,(Upgrades!$J$20+L205*Upgrades!$K$20)*POWER(Upgrades!$L$20,L205)))*(IF(Upgrades!$T$13="Open Cluster",POWER(Upgrades!$U$13,E205),1)*IF(Upgrades!$T$14="Open Cluster",POWER(Upgrades!$U$14,F205),1)*IF(Upgrades!$T$15="Open Cluster",POWER(Upgrades!$U$15,G205),1)*IF(Upgrades!$T$16="Open Cluster",POWER(Upgrades!$U$16,H205),1)*IF(Upgrades!$T$17="Open Cluster",POWER(Upgrades!$U$17,I205),1)*IF(Upgrades!$T$18="Open Cluster",POWER(Upgrades!$U$18,J205),1)*IF(Upgrades!$T$19="Open Cluster",POWER(Upgrades!$U$19,K205),1)*IF(Upgrades!$T$21="Open Cluster",POWER(Upgrades!$U$21,M205),1))+(IF(M205=0,0,(Upgrades!$J$21+M205*Upgrades!$K$21)*POWER(Upgrades!$L$21,M205)))*(IF(Upgrades!$T$13="Moving Group",POWER(Upgrades!$U$13,E205),1)*IF(Upgrades!$T$14="Moving Group",POWER(Upgrades!$U$14,F205),1)*IF(Upgrades!$T$15="Moving Group",POWER(Upgrades!$U$15,G205),1)*IF(Upgrades!$T$16="Moving Group",POWER(Upgrades!$U$16,H205),1)*IF(Upgrades!$T$17="Moving Group",POWER(Upgrades!$U$17,I205),1)*IF(Upgrades!$T$18="Moving Group",POWER(Upgrades!$U$18,J205),1)*IF(Upgrades!$T$19="Moving Group",POWER(Upgrades!$U$19,K205),1)*IF(Upgrades!$T$20="Moving Group",POWER(Upgrades!$U$20,L205),1)))*POWER(Upgrades!$Q$13,E205)*POWER(Upgrades!$Q$14,F205)*POWER(Upgrades!$Q$15,G205)*POWER(Upgrades!$Q$16,H205)*POWER(Upgrades!$Q$17,I205)*POWER(Upgrades!$Q$18,J205)*POWER(Upgrades!$Q$19,K205)*POWER(Upgrades!$Q$20,L205)*POWER(Upgrades!$Q$21,M205)*$G$6+$D$6</f>
        <v/>
      </c>
      <c r="P205" s="28">
        <f>((IF(E205=0,0,(Upgrades!$G$13+E205*Upgrades!$H$13)*POWER(Upgrades!$I$13,E205)))*(IF(Upgrades!$T$14="Stellar Kinematics",POWER(Upgrades!$U$14,F205),1)*IF(Upgrades!$T$15="Stellar Kinematics",POWER(Upgrades!$U$15,G205),1)*IF(Upgrades!$T$16="Stellar Kinematics",POWER(Upgrades!$U$16,H205),1)*IF(Upgrades!$T$17="Stellar Kinematics",POWER(Upgrades!$U$17,I205),1)*IF(Upgrades!$T$18="Stellar Kinematics",POWER(Upgrades!$U$18,J205),1)*IF(Upgrades!$T$19="Stellar Kinematics",POWER(Upgrades!$U$19,K205),1)*IF(Upgrades!$T$20="Stellar Kinematics",POWER(Upgrades!$U$20,L205),1)*IF(Upgrades!$T$21="Stellar Kinematics",POWER(Upgrades!$U$21,M205),1))+(IF(F205=0,0,(Upgrades!$G$14+F205*Upgrades!$H$14)*POWER(Upgrades!$I$14,F205)))*(IF(Upgrades!$T$13="Local Bubble",POWER(Upgrades!$U$13,E205),1)*IF(Upgrades!$T$15="Local Bubble",POWER(Upgrades!$U$15,G205),1)*IF(Upgrades!$T$16="Local Bubble",POWER(Upgrades!$U$16,H205),1)*IF(Upgrades!$T$17="Local Bubble",POWER(Upgrades!$U$17,I205),1)*IF(Upgrades!$T$18="Local Bubble",POWER(Upgrades!$U$18,J205),1)*IF(Upgrades!$T$19="Local Bubble",POWER(Upgrades!$U$19,K205),1)*IF(Upgrades!$T$20="Local Bubble",POWER(Upgrades!$U$20,L205),1)*IF(Upgrades!$T$21="Local Bubble",POWER(Upgrades!$U$21,M205),1))+(IF(G205=0,0,(Upgrades!$G$15+G205*Upgrades!$H$15)*POWER(Upgrades!$I$15,G205)))*(IF(Upgrades!$T$13="Microlensing",POWER(Upgrades!$U$13,E205),1)*IF(Upgrades!$T$14="Microlensing",POWER(Upgrades!$U$14,F205),1)*IF(Upgrades!$T$16="Microlensing",POWER(Upgrades!$U$16,H205),1)*IF(Upgrades!$T$17="Microlensing",POWER(Upgrades!$U$17,I205),1)*IF(Upgrades!$T$18="Microlensing",POWER(Upgrades!$U$18,J205),1)*IF(Upgrades!$T$19="Microlensing",POWER(Upgrades!$U$19,K205),1)*IF(Upgrades!$T$20="Microlensing",POWER(Upgrades!$U$20,L205),1)*IF(Upgrades!$T$21="Microlensing",POWER(Upgrades!$U$21,M205),1))+(IF(H205=0,0,(Upgrades!$G$16+H205*Upgrades!$H$16)*POWER(Upgrades!$I$16,H205)))*(IF(Upgrades!$T$13="Roche Lobe Overflow",POWER(Upgrades!$U$13,E205),1)*IF(Upgrades!$T$14="Roche Lobe Overflow",POWER(Upgrades!$U$14,F205),1)*IF(Upgrades!$T$15="Roche Lobe Overflow",POWER(Upgrades!$U$15,G205),1)*IF(Upgrades!$T$17="Roche Lobe Overflow",POWER(Upgrades!$U$17,I205),1)*IF(Upgrades!$T$18="Roche Lobe Overflow",POWER(Upgrades!$U$18,J205),1)*IF(Upgrades!$T$19="Roche Lobe Overflow",POWER(Upgrades!$U$19,K205),1)*IF(Upgrades!$T$20="Roche Lobe Overflow",POWER(Upgrades!$U$20,L205),1)*IF(Upgrades!$T$21="Roche Lobe Overflow",POWER(Upgrades!$U$21,M205),1))+(IF(I205=0,0,(Upgrades!$G$17+I205*Upgrades!$H$17)*POWER(Upgrades!$I$17,I205)))*(IF(Upgrades!$T$13="Brown Dwarf",POWER(Upgrades!$U$13,E205),1)*IF(Upgrades!$T$14="Brown Dwarf",POWER(Upgrades!$U$14,F205),1)*IF(Upgrades!$T$15="Brown Dwarf",POWER(Upgrades!$U$15,G205),1)*IF(Upgrades!$T$16="Brown Dwarf",POWER(Upgrades!$U$16,H205),1)*IF(Upgrades!$T$18="Brown Dwarf",POWER(Upgrades!$U$18,J205),1)*IF(Upgrades!$T$19="Brown Dwarf",POWER(Upgrades!$U$19,K205),1)*IF(Upgrades!$T$20="Brown Dwarf",POWER(Upgrades!$U$20,L205),1)*IF(Upgrades!$T$21="Brown Dwarf",POWER(Upgrades!$U$21,M205),1))+(IF(J205=0,0,(Upgrades!$G$18+J205*Upgrades!$H$18)*POWER(Upgrades!$I$18,J205)))*(IF(Upgrades!$T$13="Binary Partner",POWER(Upgrades!$U$13,E205),1)*IF(Upgrades!$T$14="Binary Partner",POWER(Upgrades!$U$14,F205),1)*IF(Upgrades!$T$15="Binary Partner",POWER(Upgrades!$U$15,G205),1)*IF(Upgrades!$T$16="Binary Partner",POWER(Upgrades!$U$16,H205),1)*IF(Upgrades!$T$17="Binary Partner",POWER(Upgrades!$U$17,I205),1)*IF(Upgrades!$T$19="Binary Partner",POWER(Upgrades!$U$19,K205),1)*IF(Upgrades!$T$20="Binary Partner",POWER(Upgrades!$U$20,L205),1)*IF(Upgrades!$T$21="Binary Partner",POWER(Upgrades!$U$21,M205),1))+(IF(K205=0,0,(Upgrades!$G$19+K205*Upgrades!$H$19)*POWER(Upgrades!$I$19,K205)))*(IF(Upgrades!$T$13="Peculiar Velocity",POWER(Upgrades!$U$13,E205),1)*IF(Upgrades!$T$14="Peculiar Velocity",POWER(Upgrades!$U$14,F205),1)*IF(Upgrades!$T$15="Peculiar Velocity",POWER(Upgrades!$U$15,G205),1)*IF(Upgrades!$T$16="Peculiar Velocity",POWER(Upgrades!$U$16,H205),1)*IF(Upgrades!$T$17="Peculiar Velocity",POWER(Upgrades!$U$17,I205),1)*IF(Upgrades!$T$18="Peculiar Velocity",POWER(Upgrades!$U$18,J205),1)*IF(Upgrades!$T$20="Peculiar Velocity",POWER(Upgrades!$U$20,L205),1)*IF(Upgrades!$T$21="Peculiar Velocity",POWER(Upgrades!$U$21,M205),1))+(IF(L205=0,0,(Upgrades!$G$20+L205*Upgrades!$H$20)*POWER(Upgrades!$I$20,L205)))*(IF(Upgrades!$T$13="Open Cluster",POWER(Upgrades!$U$13,E205),1)*IF(Upgrades!$T$14="Open Cluster",POWER(Upgrades!$U$14,F205),1)*IF(Upgrades!$T$15="Open Cluster",POWER(Upgrades!$U$15,G205),1)*IF(Upgrades!$T$16="Open Cluster",POWER(Upgrades!$U$16,H205),1)*IF(Upgrades!$T$17="Open Cluster",POWER(Upgrades!$U$17,I205),1)*IF(Upgrades!$T$18="Open Cluster",POWER(Upgrades!$U$18,J205),1)*IF(Upgrades!$T$19="Open Cluster",POWER(Upgrades!$U$19,K205),1)*IF(Upgrades!$T$21="Open Cluster",POWER(Upgrades!$U$21,M205),1))+(IF(M205=0,0,(Upgrades!$G$21+M205*Upgrades!$H$21)*POWER(Upgrades!$I$21,M205)))*(IF(Upgrades!$T$13="Moving Group",POWER(Upgrades!$U$13,E205),1)*IF(Upgrades!$T$14="Moving Group",POWER(Upgrades!$U$14,F205),1)*IF(Upgrades!$T$15="Moving Group",POWER(Upgrades!$U$15,G205),1)*IF(Upgrades!$T$16="Moving Group",POWER(Upgrades!$U$16,H205),1)*IF(Upgrades!$T$17="Moving Group",POWER(Upgrades!$U$17,I205),1)*IF(Upgrades!$T$18="Moving Group",POWER(Upgrades!$U$18,J205),1)*IF(Upgrades!$T$19="Moving Group",POWER(Upgrades!$U$19,K205),1)*IF(Upgrades!$T$20="Moving Group",POWER(Upgrades!$U$20,L205),1)))*POWER(Upgrades!$P$13,E205)*POWER(Upgrades!$P$14,F205)*POWER(Upgrades!$P$15,G205)*POWER(Upgrades!$P$16,H205)*POWER(Upgrades!$P$17,I205)*POWER(Upgrades!$P$18,J205)*POWER(Upgrades!$P$19,K205)*POWER(Upgrades!$P$20,L205)*POWER(Upgrades!$P$21,M205)*$F$6+$C$6</f>
        <v/>
      </c>
      <c r="Q205" s="28">
        <f>((IF(E205=0,0,(Upgrades!$M$13+E205*Upgrades!$N$13)*POWER(Upgrades!$O$13,E205)))*(IF(Upgrades!$T$14="Stellar Kinematics",POWER(Upgrades!$U$14,F205),1)*IF(Upgrades!$T$15="Stellar Kinematics",POWER(Upgrades!$U$15,G205),1)*IF(Upgrades!$T$16="Stellar Kinematics",POWER(Upgrades!$U$16,H205),1)*IF(Upgrades!$T$17="Stellar Kinematics",POWER(Upgrades!$U$17,I205),1)*IF(Upgrades!$T$18="Stellar Kinematics",POWER(Upgrades!$U$18,J205),1)*IF(Upgrades!$T$19="Stellar Kinematics",POWER(Upgrades!$U$19,K205),1)*IF(Upgrades!$T$20="Stellar Kinematics",POWER(Upgrades!$U$20,L205),1)*IF(Upgrades!$T$21="Stellar Kinematics",POWER(Upgrades!$U$21,M205),1))+(IF(F205=0,0,(Upgrades!$M$14+F205*Upgrades!$N$14)*POWER(Upgrades!$O$14,F205)))*(IF(Upgrades!$T$13="Local Bubble",POWER(Upgrades!$U$13,E205),1)*IF(Upgrades!$T$15="Local Bubble",POWER(Upgrades!$U$15,G205),1)*IF(Upgrades!$T$16="Local Bubble",POWER(Upgrades!$U$16,H205),1)*IF(Upgrades!$T$17="Local Bubble",POWER(Upgrades!$U$17,I205),1)*IF(Upgrades!$T$18="Local Bubble",POWER(Upgrades!$U$18,J205),1)*IF(Upgrades!$T$19="Local Bubble",POWER(Upgrades!$U$19,K205),1)*IF(Upgrades!$T$20="Local Bubble",POWER(Upgrades!$U$20,L205),1)*IF(Upgrades!$T$21="Local Bubble",POWER(Upgrades!$U$21,M205),1))+(IF(G205=0,0,(Upgrades!$M$15+G205*Upgrades!$N$15)*POWER(Upgrades!$O$15,G205)))*(IF(Upgrades!$T$13="Microlensing",POWER(Upgrades!$U$13,E205),1)*IF(Upgrades!$T$14="Microlensing",POWER(Upgrades!$U$14,F205),1)*IF(Upgrades!$T$16="Microlensing",POWER(Upgrades!$U$16,H205),1)*IF(Upgrades!$T$17="Microlensing",POWER(Upgrades!$U$17,I205),1)*IF(Upgrades!$T$18="Microlensing",POWER(Upgrades!$U$18,J205),1)*IF(Upgrades!$T$19="Microlensing",POWER(Upgrades!$U$19,K205),1)*IF(Upgrades!$T$20="Microlensing",POWER(Upgrades!$U$20,L205),1)*IF(Upgrades!$T$21="Microlensing",POWER(Upgrades!$U$21,M205),1))+(IF(H205=0,0,(Upgrades!$M$16+H205*Upgrades!$N$16)*POWER(Upgrades!$O$16,H205)))*(IF(Upgrades!$T$13="Roche Lobe Overflow",POWER(Upgrades!$U$13,E205),1)*IF(Upgrades!$T$14="Roche Lobe Overflow",POWER(Upgrades!$U$14,F205),1)*IF(Upgrades!$T$15="Roche Lobe Overflow",POWER(Upgrades!$U$15,G205),1)*IF(Upgrades!$T$17="Roche Lobe Overflow",POWER(Upgrades!$U$17,I205),1)*IF(Upgrades!$T$18="Roche Lobe Overflow",POWER(Upgrades!$U$18,J205),1)*IF(Upgrades!$T$19="Roche Lobe Overflow",POWER(Upgrades!$U$19,K205),1)*IF(Upgrades!$T$20="Roche Lobe Overflow",POWER(Upgrades!$U$20,L205),1)*IF(Upgrades!$T$21="Roche Lobe Overflow",POWER(Upgrades!$U$21,M205),1))+(IF(I205=0,0,(Upgrades!$M$17+I205*Upgrades!$N$17)*POWER(Upgrades!$O$17,I205)))*(IF(Upgrades!$T$13="Brown Dwarf",POWER(Upgrades!$U$13,E205),1)*IF(Upgrades!$T$14="Brown Dwarf",POWER(Upgrades!$U$14,F205),1)*IF(Upgrades!$T$15="Brown Dwarf",POWER(Upgrades!$U$15,G205),1)*IF(Upgrades!$T$16="Brown Dwarf",POWER(Upgrades!$U$16,H205),1)*IF(Upgrades!$T$18="Brown Dwarf",POWER(Upgrades!$U$18,J205),1)*IF(Upgrades!$T$19="Brown Dwarf",POWER(Upgrades!$U$19,K205),1)*IF(Upgrades!$T$20="Brown Dwarf",POWER(Upgrades!$U$20,L205),1)*IF(Upgrades!$T$21="Brown Dwarf",POWER(Upgrades!$U$21,M205),1))+(IF(J205=0,0,(Upgrades!$M$18+J205*Upgrades!$N$18)*POWER(Upgrades!$O$18,J205)))*(IF(Upgrades!$T$13="Binary Partner",POWER(Upgrades!$U$13,E205),1)*IF(Upgrades!$T$14="Binary Partner",POWER(Upgrades!$U$14,F205),1)*IF(Upgrades!$T$15="Binary Partner",POWER(Upgrades!$U$15,G205),1)*IF(Upgrades!$T$16="Binary Partner",POWER(Upgrades!$U$16,H205),1)*IF(Upgrades!$T$17="Binary Partner",POWER(Upgrades!$U$17,I205),1)*IF(Upgrades!$T$19="Binary Partner",POWER(Upgrades!$U$19,K205),1)*IF(Upgrades!$T$20="Binary Partner",POWER(Upgrades!$U$20,L205),1)*IF(Upgrades!$T$21="Binary Partner",POWER(Upgrades!$U$21,M205),1))+(IF(K205=0,0,(Upgrades!$M$19+K205*Upgrades!$N$19)*POWER(Upgrades!$O$19,K205)))*(IF(Upgrades!$T$13="Peculiar Velocity",POWER(Upgrades!$U$13,E205),1)*IF(Upgrades!$T$14="Peculiar Velocity",POWER(Upgrades!$U$14,F205),1)*IF(Upgrades!$T$15="Peculiar Velocity",POWER(Upgrades!$U$15,G205),1)*IF(Upgrades!$T$16="Peculiar Velocity",POWER(Upgrades!$U$16,H205),1)*IF(Upgrades!$T$17="Peculiar Velocity",POWER(Upgrades!$U$17,I205),1)*IF(Upgrades!$T$18="Peculiar Velocity",POWER(Upgrades!$U$18,J205),1)*IF(Upgrades!$T$20="Peculiar Velocity",POWER(Upgrades!$U$20,L205),1)*IF(Upgrades!$T$21="Peculiar Velocity",POWER(Upgrades!$U$21,M205),1))+(IF(L205=0,0,(Upgrades!$M$20+L205*Upgrades!$N$20)*POWER(Upgrades!$O$20,L205)))*(IF(Upgrades!$T$13="Open Cluster",POWER(Upgrades!$U$13,E205),1)*IF(Upgrades!$T$14="Open Cluster",POWER(Upgrades!$U$14,F205),1)*IF(Upgrades!$T$15="Open Cluster",POWER(Upgrades!$U$15,G205),1)*IF(Upgrades!$T$16="Open Cluster",POWER(Upgrades!$U$16,H205),1)*IF(Upgrades!$T$17="Open Cluster",POWER(Upgrades!$U$17,I205),1)*IF(Upgrades!$T$18="Open Cluster",POWER(Upgrades!$U$18,J205),1)*IF(Upgrades!$T$19="Open Cluster",POWER(Upgrades!$U$19,K205),1)*IF(Upgrades!$T$21="Open Cluster",POWER(Upgrades!$U$21,M205),1))+(IF(M205=0,0,(Upgrades!$M$21+M205*Upgrades!$N$21)*POWER(Upgrades!$O$21,M205)))*(IF(Upgrades!$T$13="Moving Group",POWER(Upgrades!$U$13,E205),1)*IF(Upgrades!$T$14="Moving Group",POWER(Upgrades!$U$14,F205),1)*IF(Upgrades!$T$15="Moving Group",POWER(Upgrades!$U$15,G205),1)*IF(Upgrades!$T$16="Moving Group",POWER(Upgrades!$U$16,H205),1)*IF(Upgrades!$T$17="Moving Group",POWER(Upgrades!$U$17,I205),1)*IF(Upgrades!$T$18="Moving Group",POWER(Upgrades!$U$18,J205),1)*IF(Upgrades!$T$19="Moving Group",POWER(Upgrades!$U$19,K205),1)*IF(Upgrades!$T$20="Moving Group",POWER(Upgrades!$U$20,L205),1)))*POWER(Upgrades!$R$13,E205)*POWER(Upgrades!$R$14,F205)*POWER(Upgrades!$R$15,G205)*POWER(Upgrades!$R$16,H205)*POWER(Upgrades!$R$17,I205)*POWER(Upgrades!$R$18,J205)*POWER(Upgrades!$R$19,K205)*POWER(Upgrades!$R$20,L205)*POWER(Upgrades!$R$21,M205)*$H$6+$E$6</f>
        <v/>
      </c>
      <c r="R205" s="27">
        <f>IF(N205=1,0,O205*Parameters!$B$10/60*Parameters!$B$11*10)</f>
        <v/>
      </c>
      <c r="S205" s="27">
        <f>IF(N205=1,0,Q205*O205*10)</f>
        <v/>
      </c>
      <c r="T205" s="27">
        <f>IF(N205=1,0,R205+S205+P205*10)</f>
        <v/>
      </c>
      <c r="U205" s="33">
        <f>BE205</f>
        <v/>
      </c>
      <c r="V205" s="22">
        <f>IF(U205="",0,IF(U205="transition",0,IF(U205="SK",AK205,IF(U205="LB",AL205,IF(U205="ML",AM205,IF(U205="RLO",AN205,IF(U205="BD",AO205,IF(U205="BiP",AP205,IF(U205="PV",AQ205,IF(U205="OC",AR205,IF(U205="MG",AS205,0))))))))))</f>
        <v/>
      </c>
      <c r="W205" s="27">
        <f>IF(U205="BiP",Upgrades!$F$18,IF(U205="PV",Upgrades!$F$19,IF(U205="OC",Upgrades!$F$20,IF(U205="MG",Upgrades!$F$21,IF(U205="transition",-Parameters!$B$18*Parameters!$B$19,0)))))</f>
        <v/>
      </c>
      <c r="X205" s="22">
        <f>C205+T205-V205</f>
        <v/>
      </c>
      <c r="Y205" s="30">
        <f>O205*Parameters!$B$10/60*Parameters!$B$11+Q205*O205+P205</f>
        <v/>
      </c>
      <c r="Z205" s="34">
        <f>IF(U205="transition","→ Tier 3 (Galactic Arm)",IF(U205="MG","Moving Group — pocket drifts together",IF(U205="OC","Open Cluster acquired",IF(U205="PV","Peculiar Velocity — passive multiplier active",IF(U205="BiP","Binary Partner — pair bond formed",IF(AND(AU205=1,N205=0,AT205&lt;&gt;1),"Cohesion ready (waiting on completionists)","")))))) </f>
        <v/>
      </c>
      <c r="AA205" s="27">
        <f>(IF(E205=0,0,(Upgrades!$G$13+E205*Upgrades!$H$13)*POWER(Upgrades!$I$13,E205)))*(IF(Upgrades!$T$14="Stellar Kinematics",POWER(Upgrades!$U$14,F205),1)*IF(Upgrades!$T$15="Stellar Kinematics",POWER(Upgrades!$U$15,G205),1)*IF(Upgrades!$T$16="Stellar Kinematics",POWER(Upgrades!$U$16,H205),1)*IF(Upgrades!$T$17="Stellar Kinematics",POWER(Upgrades!$U$17,I205),1)*IF(Upgrades!$T$18="Stellar Kinematics",POWER(Upgrades!$U$18,J205),1)*IF(Upgrades!$T$19="Stellar Kinematics",POWER(Upgrades!$U$19,K205),1)*IF(Upgrades!$T$20="Stellar Kinematics",POWER(Upgrades!$U$20,L205),1)*IF(Upgrades!$T$21="Stellar Kinematics",POWER(Upgrades!$U$21,M205),1))*POWER(Upgrades!$P$13,E205)*POWER(Upgrades!$P$14,F205)*POWER(Upgrades!$P$15,G205)*POWER(Upgrades!$P$16,H205)*POWER(Upgrades!$P$17,I205)*POWER(Upgrades!$P$18,J205)*POWER(Upgrades!$P$19,K205)*POWER(Upgrades!$P$20,L205)*POWER(Upgrades!$P$21,M205)*$F$6*60</f>
        <v/>
      </c>
      <c r="AB205" s="27">
        <f>(IF(F205=0,0,(Upgrades!$G$14+F205*Upgrades!$H$14)*POWER(Upgrades!$I$14,F205)))*(IF(Upgrades!$T$13="Local Bubble",POWER(Upgrades!$U$13,E205),1)*IF(Upgrades!$T$15="Local Bubble",POWER(Upgrades!$U$15,G205),1)*IF(Upgrades!$T$16="Local Bubble",POWER(Upgrades!$U$16,H205),1)*IF(Upgrades!$T$17="Local Bubble",POWER(Upgrades!$U$17,I205),1)*IF(Upgrades!$T$18="Local Bubble",POWER(Upgrades!$U$18,J205),1)*IF(Upgrades!$T$19="Local Bubble",POWER(Upgrades!$U$19,K205),1)*IF(Upgrades!$T$20="Local Bubble",POWER(Upgrades!$U$20,L205),1)*IF(Upgrades!$T$21="Local Bubble",POWER(Upgrades!$U$21,M205),1))*POWER(Upgrades!$P$13,E205)*POWER(Upgrades!$P$14,F205)*POWER(Upgrades!$P$15,G205)*POWER(Upgrades!$P$16,H205)*POWER(Upgrades!$P$17,I205)*POWER(Upgrades!$P$18,J205)*POWER(Upgrades!$P$19,K205)*POWER(Upgrades!$P$20,L205)*POWER(Upgrades!$P$21,M205)*$F$6*60</f>
        <v/>
      </c>
      <c r="AC205" s="27">
        <f>(IF(G205=0,0,(Upgrades!$J$15+G205*Upgrades!$K$15)*POWER(Upgrades!$L$15,G205)))*(IF(Upgrades!$T$13="Microlensing",POWER(Upgrades!$U$13,E205),1)*IF(Upgrades!$T$14="Microlensing",POWER(Upgrades!$U$14,F205),1)*IF(Upgrades!$T$16="Microlensing",POWER(Upgrades!$U$16,H205),1)*IF(Upgrades!$T$17="Microlensing",POWER(Upgrades!$U$17,I205),1)*IF(Upgrades!$T$18="Microlensing",POWER(Upgrades!$U$18,J205),1)*IF(Upgrades!$T$19="Microlensing",POWER(Upgrades!$U$19,K205),1)*IF(Upgrades!$T$20="Microlensing",POWER(Upgrades!$U$20,L205),1)*IF(Upgrades!$T$21="Microlensing",POWER(Upgrades!$U$21,M205),1))*POWER(Upgrades!$Q$13,E205)*POWER(Upgrades!$Q$14,F205)*POWER(Upgrades!$Q$15,G205)*POWER(Upgrades!$Q$16,H205)*POWER(Upgrades!$Q$17,I205)*POWER(Upgrades!$Q$18,J205)*POWER(Upgrades!$Q$19,K205)*POWER(Upgrades!$Q$20,L205)*POWER(Upgrades!$Q$21,M205)*$G$6*(Parameters!$B$10*Parameters!$B$11+Q205*60)</f>
        <v/>
      </c>
      <c r="AD205" s="27">
        <f>(IF(H205=0,0,(Upgrades!$M$16+H205*Upgrades!$N$16)*POWER(Upgrades!$O$16,H205)))*(IF(Upgrades!$T$13="Roche Lobe Overflow",POWER(Upgrades!$U$13,E205),1)*IF(Upgrades!$T$14="Roche Lobe Overflow",POWER(Upgrades!$U$14,F205),1)*IF(Upgrades!$T$15="Roche Lobe Overflow",POWER(Upgrades!$U$15,G205),1)*IF(Upgrades!$T$17="Roche Lobe Overflow",POWER(Upgrades!$U$17,I205),1)*IF(Upgrades!$T$18="Roche Lobe Overflow",POWER(Upgrades!$U$18,J205),1)*IF(Upgrades!$T$19="Roche Lobe Overflow",POWER(Upgrades!$U$19,K205),1)*IF(Upgrades!$T$20="Roche Lobe Overflow",POWER(Upgrades!$U$20,L205),1)*IF(Upgrades!$T$21="Roche Lobe Overflow",POWER(Upgrades!$U$21,M205),1))*POWER(Upgrades!$R$13,E205)*POWER(Upgrades!$R$14,F205)*POWER(Upgrades!$R$15,G205)*POWER(Upgrades!$R$16,H205)*POWER(Upgrades!$R$17,I205)*POWER(Upgrades!$R$18,J205)*POWER(Upgrades!$R$19,K205)*POWER(Upgrades!$R$20,L205)*POWER(Upgrades!$R$21,M205)*$H$6*O205*60</f>
        <v/>
      </c>
      <c r="AE205" s="27">
        <f>(IF(I205=0,0,(Upgrades!$G$17+I205*Upgrades!$H$17)*POWER(Upgrades!$I$17,I205)))*(IF(Upgrades!$T$13="Brown Dwarf",POWER(Upgrades!$U$13,E205),1)*IF(Upgrades!$T$14="Brown Dwarf",POWER(Upgrades!$U$14,F205),1)*IF(Upgrades!$T$15="Brown Dwarf",POWER(Upgrades!$U$15,G205),1)*IF(Upgrades!$T$16="Brown Dwarf",POWER(Upgrades!$U$16,H205),1)*IF(Upgrades!$T$18="Brown Dwarf",POWER(Upgrades!$U$18,J205),1)*IF(Upgrades!$T$19="Brown Dwarf",POWER(Upgrades!$U$19,K205),1)*IF(Upgrades!$T$20="Brown Dwarf",POWER(Upgrades!$U$20,L205),1)*IF(Upgrades!$T$21="Brown Dwarf",POWER(Upgrades!$U$21,M205),1))*POWER(Upgrades!$P$13,E205)*POWER(Upgrades!$P$14,F205)*POWER(Upgrades!$P$15,G205)*POWER(Upgrades!$P$16,H205)*POWER(Upgrades!$P$17,I205)*POWER(Upgrades!$P$18,J205)*POWER(Upgrades!$P$19,K205)*POWER(Upgrades!$P$20,L205)*POWER(Upgrades!$P$21,M205)*$F$6*60</f>
        <v/>
      </c>
      <c r="AF205" s="27" t="n">
        <v>0</v>
      </c>
      <c r="AG205" s="27" t="n">
        <v>0</v>
      </c>
      <c r="AH205" s="27" t="n">
        <v>0</v>
      </c>
      <c r="AI205" s="27">
        <f>(IF(M205=0,0,(Upgrades!$G$21+M205*Upgrades!$H$21)*POWER(Upgrades!$I$21,M205)))*(IF(Upgrades!$T$13="Moving Group",POWER(Upgrades!$U$13,E205),1)*IF(Upgrades!$T$14="Moving Group",POWER(Upgrades!$U$14,F205),1)*IF(Upgrades!$T$15="Moving Group",POWER(Upgrades!$U$15,G205),1)*IF(Upgrades!$T$16="Moving Group",POWER(Upgrades!$U$16,H205),1)*IF(Upgrades!$T$17="Moving Group",POWER(Upgrades!$U$17,I205),1)*IF(Upgrades!$T$18="Moving Group",POWER(Upgrades!$U$18,J205),1)*IF(Upgrades!$T$19="Moving Group",POWER(Upgrades!$U$19,K205),1)*IF(Upgrades!$T$20="Moving Group",POWER(Upgrades!$U$20,L205),1))*POWER(Upgrades!$P$13,E205)*POWER(Upgrades!$P$14,F205)*POWER(Upgrades!$P$15,G205)*POWER(Upgrades!$P$16,H205)*POWER(Upgrades!$P$17,I205)*POWER(Upgrades!$P$18,J205)*POWER(Upgrades!$P$19,K205)*POWER(Upgrades!$P$20,L205)*POWER(Upgrades!$P$21,M205)*$F$6*60</f>
        <v/>
      </c>
      <c r="AJ205" s="27">
        <f>$C$6*60</f>
        <v/>
      </c>
      <c r="AK205" s="22">
        <f>IF(E205&gt;=Upgrades!$E$13,"",Upgrades!$C$13*POWER(Upgrades!$D$13,E205))</f>
        <v/>
      </c>
      <c r="AL205" s="22">
        <f>IF(F205&gt;=Upgrades!$E$14,"",Upgrades!$C$14*POWER(Upgrades!$D$14,F205))</f>
        <v/>
      </c>
      <c r="AM205" s="22">
        <f>IF(G205&gt;=Upgrades!$E$15,"",Upgrades!$C$15*POWER(Upgrades!$D$15,G205))</f>
        <v/>
      </c>
      <c r="AN205" s="22">
        <f>IF(H205&gt;=Upgrades!$E$16,"",Upgrades!$C$16*POWER(Upgrades!$D$16,H205))</f>
        <v/>
      </c>
      <c r="AO205" s="22">
        <f>IF(I205&gt;=Upgrades!$E$17,"",Upgrades!$C$17*POWER(Upgrades!$D$17,I205))</f>
        <v/>
      </c>
      <c r="AP205" s="22">
        <f>IF(J205&gt;=Upgrades!$E$18,"",Upgrades!$C$18*POWER(Upgrades!$D$18,J205))</f>
        <v/>
      </c>
      <c r="AQ205" s="22">
        <f>IF(K205&gt;=Upgrades!$E$19,"",Upgrades!$C$19*POWER(Upgrades!$D$19,K205))</f>
        <v/>
      </c>
      <c r="AR205" s="22">
        <f>IF(L205&gt;=Upgrades!$E$20,"",Upgrades!$C$20*POWER(Upgrades!$D$20,L205))</f>
        <v/>
      </c>
      <c r="AS205" s="22">
        <f>IF(M205&gt;=Upgrades!$E$21,"",Upgrades!$C$21*POWER(Upgrades!$D$21,M205))</f>
        <v/>
      </c>
      <c r="AT205" s="26">
        <f>IF(AND(D205&gt;=Parameters!$B$18*Parameters!$B$19,(I205&gt;=Upgrades!$E$17)*(M205&gt;=Upgrades!$E$21)=1,N205=0),1,"")</f>
        <v/>
      </c>
      <c r="AU205" s="26">
        <f>IF(AND(D205&gt;=Parameters!$B$18*Parameters!$B$19,N205=0),1,"")</f>
        <v/>
      </c>
      <c r="AV205" s="22">
        <f>MIN(IF(ISNUMBER(AP205),AP205,9E15),IF(ISNUMBER(AQ205),AQ205,9E15),IF(ISNUMBER(AR205),AR205,9E15),IF(ISNUMBER(AS205),AS205,9E15))</f>
        <v/>
      </c>
      <c r="AW205" s="22">
        <f>MIN(IF(ISNUMBER(AK205),AK205,9E15),IF(ISNUMBER(AL205),AL205,9E15),IF(ISNUMBER(AM205),AM205,9E15),IF(ISNUMBER(AN205),AN205,9E15),IF(ISNUMBER(AO205),AO205,9E15))</f>
        <v/>
      </c>
      <c r="AX205" s="29">
        <f>IF(BD205&gt;Parameters!$B$21*(MAX(IF(AND(NOT(AND(AU205=1,AT205&lt;&gt;1)),ISNUMBER(AK205),AK205&lt;=(C205+T205)),AY205,0),IF(AND(NOT(AND(AU205=1,AT205&lt;&gt;1)),ISNUMBER(AL205),AL205&lt;=(C205+T205)),AZ205,0),IF(AND(NOT(AND(AU205=1,AT205&lt;&gt;1)),ISNUMBER(AM205),AM205&lt;=(C205+T205)),BA205,0),IF(AND(NOT(AND(AU205=1,AT205&lt;&gt;1)),ISNUMBER(AN205),AN205&lt;=(C205+T205)),BB205,0),IF(AND(ISNUMBER(AO205),AO205&lt;=(C205+T205)),BC205,0))),TRUE,FALSE)</f>
        <v/>
      </c>
      <c r="AY205" s="32">
        <f>IFERROR(Upgrades!$H$13*(POWER(Upgrades!$P$13,E205)*POWER(Upgrades!$P$14,F205)*POWER(Upgrades!$P$15,G205)*POWER(Upgrades!$P$16,H205)*POWER(Upgrades!$P$17,I205)*POWER(Upgrades!$P$18,J205)*POWER(Upgrades!$P$19,K205)*POWER(Upgrades!$P$20,L205)*POWER(Upgrades!$P$21,M205))*(IF(Upgrades!$T$14="Stellar Kinematics",POWER(Upgrades!$U$14,F205),1)*IF(Upgrades!$T$15="Stellar Kinematics",POWER(Upgrades!$U$15,G205),1)*IF(Upgrades!$T$16="Stellar Kinematics",POWER(Upgrades!$U$16,H205),1)*IF(Upgrades!$T$17="Stellar Kinematics",POWER(Upgrades!$U$17,I205),1)*IF(Upgrades!$T$18="Stellar Kinematics",POWER(Upgrades!$U$18,J205),1)*IF(Upgrades!$T$19="Stellar Kinematics",POWER(Upgrades!$U$19,K205),1)*IF(Upgrades!$T$20="Stellar Kinematics",POWER(Upgrades!$U$20,L205),1)*IF(Upgrades!$T$21="Stellar Kinematics",POWER(Upgrades!$U$21,M205),1))*$F$6/AK205,0)</f>
        <v/>
      </c>
      <c r="AZ205" s="32">
        <f>IFERROR(Upgrades!$H$14*(POWER(Upgrades!$P$13,E205)*POWER(Upgrades!$P$14,F205)*POWER(Upgrades!$P$15,G205)*POWER(Upgrades!$P$16,H205)*POWER(Upgrades!$P$17,I205)*POWER(Upgrades!$P$18,J205)*POWER(Upgrades!$P$19,K205)*POWER(Upgrades!$P$20,L205)*POWER(Upgrades!$P$21,M205))*(IF(Upgrades!$T$13="Local Bubble",POWER(Upgrades!$U$13,E205),1)*IF(Upgrades!$T$15="Local Bubble",POWER(Upgrades!$U$15,G205),1)*IF(Upgrades!$T$16="Local Bubble",POWER(Upgrades!$U$16,H205),1)*IF(Upgrades!$T$17="Local Bubble",POWER(Upgrades!$U$17,I205),1)*IF(Upgrades!$T$18="Local Bubble",POWER(Upgrades!$U$18,J205),1)*IF(Upgrades!$T$19="Local Bubble",POWER(Upgrades!$U$19,K205),1)*IF(Upgrades!$T$20="Local Bubble",POWER(Upgrades!$U$20,L205),1)*IF(Upgrades!$T$21="Local Bubble",POWER(Upgrades!$U$21,M205),1))*$F$6/AL205,0)</f>
        <v/>
      </c>
      <c r="BA205" s="32">
        <f>IFERROR(Upgrades!$K$15*(POWER(Upgrades!$Q$13,E205)*POWER(Upgrades!$Q$14,F205)*POWER(Upgrades!$Q$15,G205)*POWER(Upgrades!$Q$16,H205)*POWER(Upgrades!$Q$17,I205)*POWER(Upgrades!$Q$18,J205)*POWER(Upgrades!$Q$19,K205)*POWER(Upgrades!$Q$20,L205)*POWER(Upgrades!$Q$21,M205))*(IF(Upgrades!$T$13="Microlensing",POWER(Upgrades!$U$13,E205),1)*IF(Upgrades!$T$14="Microlensing",POWER(Upgrades!$U$14,F205),1)*IF(Upgrades!$T$16="Microlensing",POWER(Upgrades!$U$16,H205),1)*IF(Upgrades!$T$17="Microlensing",POWER(Upgrades!$U$17,I205),1)*IF(Upgrades!$T$18="Microlensing",POWER(Upgrades!$U$18,J205),1)*IF(Upgrades!$T$19="Microlensing",POWER(Upgrades!$U$19,K205),1)*IF(Upgrades!$T$20="Microlensing",POWER(Upgrades!$U$20,L205),1)*IF(Upgrades!$T$21="Microlensing",POWER(Upgrades!$U$21,M205),1))*$G$6*(Parameters!$B$10/60*Parameters!$B$11+Q205)/AM205,0)</f>
        <v/>
      </c>
      <c r="BB205" s="32">
        <f>IFERROR((Upgrades!$N$16*(POWER(Upgrades!$R$13,E205)*POWER(Upgrades!$R$14,F205)*POWER(Upgrades!$R$15,G205)*POWER(Upgrades!$R$16,H205)*POWER(Upgrades!$R$17,I205)*POWER(Upgrades!$R$18,J205)*POWER(Upgrades!$R$19,K205)*POWER(Upgrades!$R$20,L205)*POWER(Upgrades!$R$21,M205))*(IF(Upgrades!$T$13="Roche Lobe Overflow",POWER(Upgrades!$U$13,E205),1)*IF(Upgrades!$T$14="Roche Lobe Overflow",POWER(Upgrades!$U$14,F205),1)*IF(Upgrades!$T$15="Roche Lobe Overflow",POWER(Upgrades!$U$15,G205),1)*IF(Upgrades!$T$17="Roche Lobe Overflow",POWER(Upgrades!$U$17,I205),1)*IF(Upgrades!$T$18="Roche Lobe Overflow",POWER(Upgrades!$U$18,J205),1)*IF(Upgrades!$T$19="Roche Lobe Overflow",POWER(Upgrades!$U$19,K205),1)*IF(Upgrades!$T$20="Roche Lobe Overflow",POWER(Upgrades!$U$20,L205),1)*IF(Upgrades!$T$21="Roche Lobe Overflow",POWER(Upgrades!$U$21,M205),1))*$H$6*O205+((IF(F205=0,0,(Upgrades!$G$14+F205*Upgrades!$H$14)*POWER(Upgrades!$I$14,F205)))*(IF(Upgrades!$T$13="Local Bubble",POWER(Upgrades!$U$13,E205),1)*IF(Upgrades!$T$15="Local Bubble",POWER(Upgrades!$U$15,G205),1)*IF(Upgrades!$T$16="Local Bubble",POWER(Upgrades!$U$16,H205),1)*IF(Upgrades!$T$17="Local Bubble",POWER(Upgrades!$U$17,I205),1)*IF(Upgrades!$T$18="Local Bubble",POWER(Upgrades!$U$18,J205),1)*IF(Upgrades!$T$19="Local Bubble",POWER(Upgrades!$U$19,K205),1)*IF(Upgrades!$T$20="Local Bubble",POWER(Upgrades!$U$20,L205),1)*IF(Upgrades!$T$21="Local Bubble",POWER(Upgrades!$U$21,M205),1))*POWER(Upgrades!$P$13,E205)*POWER(Upgrades!$P$14,F205)*POWER(Upgrades!$P$15,G205)*POWER(Upgrades!$P$16,H205)*POWER(Upgrades!$P$17,I205)*POWER(Upgrades!$P$18,J205)*POWER(Upgrades!$P$19,K205)*POWER(Upgrades!$P$20,L205)*POWER(Upgrades!$P$21,M205)*$F$6)*0.05)/AN205,0)</f>
        <v/>
      </c>
      <c r="BC205" s="32">
        <f>IFERROR((Upgrades!$H$17*(POWER(Upgrades!$P$13,E205)*POWER(Upgrades!$P$14,F205)*POWER(Upgrades!$P$15,G205)*POWER(Upgrades!$P$16,H205)*POWER(Upgrades!$P$17,I205)*POWER(Upgrades!$P$18,J205)*POWER(Upgrades!$P$19,K205)*POWER(Upgrades!$P$20,L205)*POWER(Upgrades!$P$21,M205))*(IF(Upgrades!$T$13="Brown Dwarf",POWER(Upgrades!$U$13,E205),1)*IF(Upgrades!$T$14="Brown Dwarf",POWER(Upgrades!$U$14,F205),1)*IF(Upgrades!$T$15="Brown Dwarf",POWER(Upgrades!$U$15,G205),1)*IF(Upgrades!$T$16="Brown Dwarf",POWER(Upgrades!$U$16,H205),1)*IF(Upgrades!$T$18="Brown Dwarf",POWER(Upgrades!$U$18,J205),1)*IF(Upgrades!$T$19="Brown Dwarf",POWER(Upgrades!$U$19,K205),1)*IF(Upgrades!$T$20="Brown Dwarf",POWER(Upgrades!$U$20,L205),1)*IF(Upgrades!$T$21="Brown Dwarf",POWER(Upgrades!$U$21,M205),1))*$F$6+(((IF(H205=0,0,(Upgrades!$M$16+H205*Upgrades!$N$16)*POWER(Upgrades!$O$16,H205)))*(IF(Upgrades!$T$13="Roche Lobe Overflow",POWER(Upgrades!$U$13,E205),1)*IF(Upgrades!$T$14="Roche Lobe Overflow",POWER(Upgrades!$U$14,F205),1)*IF(Upgrades!$T$15="Roche Lobe Overflow",POWER(Upgrades!$U$15,G205),1)*IF(Upgrades!$T$17="Roche Lobe Overflow",POWER(Upgrades!$U$17,I205),1)*IF(Upgrades!$T$18="Roche Lobe Overflow",POWER(Upgrades!$U$18,J205),1)*IF(Upgrades!$T$19="Roche Lobe Overflow",POWER(Upgrades!$U$19,K205),1)*IF(Upgrades!$T$20="Roche Lobe Overflow",POWER(Upgrades!$U$20,L205),1)*IF(Upgrades!$T$21="Roche Lobe Overflow",POWER(Upgrades!$U$21,M205),1))*POWER(Upgrades!$R$13,E205)*POWER(Upgrades!$R$14,F205)*POWER(Upgrades!$R$15,G205)*POWER(Upgrades!$R$16,H205)*POWER(Upgrades!$R$17,I205)*POWER(Upgrades!$R$18,J205)*POWER(Upgrades!$R$19,K205)*POWER(Upgrades!$R$20,L205)*POWER(Upgrades!$R$21,M205)*$H$6)*O205)*0.10)/AO205,0)</f>
        <v/>
      </c>
      <c r="BD205" s="32">
        <f>MAX(IF(J205&gt;0,0,IFERROR(0.5*((IF(G205=0,0,(Upgrades!$J$15+G205*Upgrades!$K$15)*POWER(Upgrades!$L$15,G205)))*(IF(Upgrades!$T$13="Microlensing",POWER(Upgrades!$U$13,E205),1)*IF(Upgrades!$T$14="Microlensing",POWER(Upgrades!$U$14,F205),1)*IF(Upgrades!$T$16="Microlensing",POWER(Upgrades!$U$16,H205),1)*IF(Upgrades!$T$17="Microlensing",POWER(Upgrades!$U$17,I205),1)*IF(Upgrades!$T$18="Microlensing",POWER(Upgrades!$U$18,J205),1)*IF(Upgrades!$T$19="Microlensing",POWER(Upgrades!$U$19,K205),1)*IF(Upgrades!$T$20="Microlensing",POWER(Upgrades!$U$20,L205),1)*IF(Upgrades!$T$21="Microlensing",POWER(Upgrades!$U$21,M205),1))*(POWER(Upgrades!$Q$13,E205)*POWER(Upgrades!$Q$14,F205)*POWER(Upgrades!$Q$15,G205)*POWER(Upgrades!$Q$16,H205)*POWER(Upgrades!$Q$17,I205)*POWER(Upgrades!$Q$18,J205)*POWER(Upgrades!$Q$19,K205)*POWER(Upgrades!$Q$20,L205)*POWER(Upgrades!$Q$21,M205))*$G$6*(Parameters!$B$10/60*Parameters!$B$11+Q205))/Upgrades!$C$18,0)),IF(K205&gt;0,0,IFERROR(0.30*P205/Upgrades!$C$19,0)),IF(L205&gt;0,0,IFERROR(0.0001/Upgrades!$C$20,0)),IF(M205&gt;0,0,IFERROR((6.0*(POWER(Upgrades!$P$13,E205)*POWER(Upgrades!$P$14,F205)*POWER(Upgrades!$P$15,G205)*POWER(Upgrades!$P$16,H205)*POWER(Upgrades!$P$17,I205)*POWER(Upgrades!$P$18,J205)*POWER(Upgrades!$P$19,K205)*POWER(Upgrades!$P$20,L205)*POWER(Upgrades!$P$21,M205))*$F$6+0.20*O205*(Parameters!$B$10/60*Parameters!$B$11+Q205))/Upgrades!$C$21,0)),IF(AND(ISNUMBER(AK205),AK205&gt;(C205+T205)),AY205,0),IF(AND(ISNUMBER(AL205),AL205&gt;(C205+T205)),AZ205,0),IF(AND(ISNUMBER(AM205),AM205&gt;(C205+T205)),BA205,0),IF(AND(ISNUMBER(AN205),AN205&gt;(C205+T205)),BB205,0),IF(AND(ISNUMBER(AO205),AO205&gt;(C205+T205)),BC205,0))</f>
        <v/>
      </c>
      <c r="BE205" s="29">
        <f>IF(AT205=1,"transition",IF(MIN(IF(AND(J205=0,ISNUMBER(AP205),AP205&lt;=(C205+T205)),AP205,9E15),IF(AND(K205=0,ISNUMBER(AQ205),AQ205&lt;=(C205+T205)),AQ205,9E15),IF(AND(L205=0,ISNUMBER(AR205),AR205&lt;=(C205+T205)),AR205,9E15),IF(AND(M205=0,ISNUMBER(AS205),AS205&lt;=(C205+T205)),AS205,9E15))&lt;9E15,IF(AND(AND(J205=0,ISNUMBER(AP205),AP205&lt;=(C205+T205)),AP205=MIN(IF(AND(J205=0,ISNUMBER(AP205),AP205&lt;=(C205+T205)),AP205,9E15),IF(AND(K205=0,ISNUMBER(AQ205),AQ205&lt;=(C205+T205)),AQ205,9E15),IF(AND(L205=0,ISNUMBER(AR205),AR205&lt;=(C205+T205)),AR205,9E15),IF(AND(M205=0,ISNUMBER(AS205),AS205&lt;=(C205+T205)),AS205,9E15))),"BiP",IF(AND(AND(K205=0,ISNUMBER(AQ205),AQ205&lt;=(C205+T205)),AQ205=MIN(IF(AND(J205=0,ISNUMBER(AP205),AP205&lt;=(C205+T205)),AP205,9E15),IF(AND(K205=0,ISNUMBER(AQ205),AQ205&lt;=(C205+T205)),AQ205,9E15),IF(AND(L205=0,ISNUMBER(AR205),AR205&lt;=(C205+T205)),AR205,9E15),IF(AND(M205=0,ISNUMBER(AS205),AS205&lt;=(C205+T205)),AS205,9E15))),"PV",IF(AND(AND(L205=0,ISNUMBER(AR205),AR205&lt;=(C205+T205)),AR205=MIN(IF(AND(J205=0,ISNUMBER(AP205),AP205&lt;=(C205+T205)),AP205,9E15),IF(AND(K205=0,ISNUMBER(AQ205),AQ205&lt;=(C205+T205)),AQ205,9E15),IF(AND(L205=0,ISNUMBER(AR205),AR205&lt;=(C205+T205)),AR205,9E15),IF(AND(M205=0,ISNUMBER(AS205),AS205&lt;=(C205+T205)),AS205,9E15))),"OC","MG"))),IF(AX205=TRUE,"",IF(MAX(IF(AND(NOT(AND(AU205=1,AT205&lt;&gt;1)),ISNUMBER(AK205),AK205&lt;=(C205+T205)),AY205,0),IF(AND(NOT(AND(AU205=1,AT205&lt;&gt;1)),ISNUMBER(AL205),AL205&lt;=(C205+T205)),AZ205,0),IF(AND(NOT(AND(AU205=1,AT205&lt;&gt;1)),ISNUMBER(AM205),AM205&lt;=(C205+T205)),BA205,0),IF(AND(NOT(AND(AU205=1,AT205&lt;&gt;1)),ISNUMBER(AN205),AN205&lt;=(C205+T205)),BB205,0),IF(AND(ISNUMBER(AO205),AO205&lt;=(C205+T205)),BC205,0))&lt;=0,"",IF(AND(IF(AND(NOT(AND(AU205=1,AT205&lt;&gt;1)),ISNUMBER(AK205),AK205&lt;=(C205+T205)),AY205,0)&gt;0,IF(AND(NOT(AND(AU205=1,AT205&lt;&gt;1)),ISNUMBER(AK205),AK205&lt;=(C205+T205)),AY205,0)=MAX(IF(AND(NOT(AND(AU205=1,AT205&lt;&gt;1)),ISNUMBER(AK205),AK205&lt;=(C205+T205)),AY205,0),IF(AND(NOT(AND(AU205=1,AT205&lt;&gt;1)),ISNUMBER(AL205),AL205&lt;=(C205+T205)),AZ205,0),IF(AND(NOT(AND(AU205=1,AT205&lt;&gt;1)),ISNUMBER(AM205),AM205&lt;=(C205+T205)),BA205,0),IF(AND(NOT(AND(AU205=1,AT205&lt;&gt;1)),ISNUMBER(AN205),AN205&lt;=(C205+T205)),BB205,0),IF(AND(ISNUMBER(AO205),AO205&lt;=(C205+T205)),BC205,0))),"SK",IF(AND(IF(AND(NOT(AND(AU205=1,AT205&lt;&gt;1)),ISNUMBER(AL205),AL205&lt;=(C205+T205)),AZ205,0)&gt;0,IF(AND(NOT(AND(AU205=1,AT205&lt;&gt;1)),ISNUMBER(AL205),AL205&lt;=(C205+T205)),AZ205,0)=MAX(IF(AND(NOT(AND(AU205=1,AT205&lt;&gt;1)),ISNUMBER(AK205),AK205&lt;=(C205+T205)),AY205,0),IF(AND(NOT(AND(AU205=1,AT205&lt;&gt;1)),ISNUMBER(AL205),AL205&lt;=(C205+T205)),AZ205,0),IF(AND(NOT(AND(AU205=1,AT205&lt;&gt;1)),ISNUMBER(AM205),AM205&lt;=(C205+T205)),BA205,0),IF(AND(NOT(AND(AU205=1,AT205&lt;&gt;1)),ISNUMBER(AN205),AN205&lt;=(C205+T205)),BB205,0),IF(AND(ISNUMBER(AO205),AO205&lt;=(C205+T205)),BC205,0))),"LB",IF(AND(IF(AND(NOT(AND(AU205=1,AT205&lt;&gt;1)),ISNUMBER(AM205),AM205&lt;=(C205+T205)),BA205,0)&gt;0,IF(AND(NOT(AND(AU205=1,AT205&lt;&gt;1)),ISNUMBER(AM205),AM205&lt;=(C205+T205)),BA205,0)=MAX(IF(AND(NOT(AND(AU205=1,AT205&lt;&gt;1)),ISNUMBER(AK205),AK205&lt;=(C205+T205)),AY205,0),IF(AND(NOT(AND(AU205=1,AT205&lt;&gt;1)),ISNUMBER(AL205),AL205&lt;=(C205+T205)),AZ205,0),IF(AND(NOT(AND(AU205=1,AT205&lt;&gt;1)),ISNUMBER(AM205),AM205&lt;=(C205+T205)),BA205,0),IF(AND(NOT(AND(AU205=1,AT205&lt;&gt;1)),ISNUMBER(AN205),AN205&lt;=(C205+T205)),BB205,0),IF(AND(ISNUMBER(AO205),AO205&lt;=(C205+T205)),BC205,0))),"ML",IF(AND(IF(AND(NOT(AND(AU205=1,AT205&lt;&gt;1)),ISNUMBER(AN205),AN205&lt;=(C205+T205)),BB205,0)&gt;0,IF(AND(NOT(AND(AU205=1,AT205&lt;&gt;1)),ISNUMBER(AN205),AN205&lt;=(C205+T205)),BB205,0)=MAX(IF(AND(NOT(AND(AU205=1,AT205&lt;&gt;1)),ISNUMBER(AK205),AK205&lt;=(C205+T205)),AY205,0),IF(AND(NOT(AND(AU205=1,AT205&lt;&gt;1)),ISNUMBER(AL205),AL205&lt;=(C205+T205)),AZ205,0),IF(AND(NOT(AND(AU205=1,AT205&lt;&gt;1)),ISNUMBER(AM205),AM205&lt;=(C205+T205)),BA205,0),IF(AND(NOT(AND(AU205=1,AT205&lt;&gt;1)),ISNUMBER(AN205),AN205&lt;=(C205+T205)),BB205,0),IF(AND(ISNUMBER(AO205),AO205&lt;=(C205+T205)),BC205,0))),"RLO","BD"))))))))</f>
        <v/>
      </c>
    </row>
    <row r="206">
      <c r="A206" s="26" t="n">
        <v>195</v>
      </c>
      <c r="B206" s="27">
        <f>A206*10/60</f>
        <v/>
      </c>
      <c r="C206" s="22">
        <f>X205</f>
        <v/>
      </c>
      <c r="D206" s="27">
        <f>D205+W205</f>
        <v/>
      </c>
      <c r="E206" s="26">
        <f>E205+IF(U205="SK",1,0)</f>
        <v/>
      </c>
      <c r="F206" s="26">
        <f>F205+IF(U205="LB",1,0)</f>
        <v/>
      </c>
      <c r="G206" s="26">
        <f>G205+IF(U205="ML",1,0)</f>
        <v/>
      </c>
      <c r="H206" s="26">
        <f>H205+IF(U205="RLO",1,0)</f>
        <v/>
      </c>
      <c r="I206" s="26">
        <f>I205+IF(U205="BD",1,0)</f>
        <v/>
      </c>
      <c r="J206" s="26">
        <f>MAX(J205,IF(U205="BiP",1,0))</f>
        <v/>
      </c>
      <c r="K206" s="26">
        <f>MAX(K205,IF(U205="PV",1,0))</f>
        <v/>
      </c>
      <c r="L206" s="26">
        <f>MAX(L205,IF(U205="OC",1,0))</f>
        <v/>
      </c>
      <c r="M206" s="26">
        <f>MAX(M205,IF(U205="MG",1,0))</f>
        <v/>
      </c>
      <c r="N206" s="26">
        <f>MAX(N205,IF(U205="transition",1,0))</f>
        <v/>
      </c>
      <c r="O206" s="28">
        <f>(Parameters!$B$9+(IF(E206=0,0,(Upgrades!$J$13+E206*Upgrades!$K$13)*POWER(Upgrades!$L$13,E206)))*(IF(Upgrades!$T$14="Stellar Kinematics",POWER(Upgrades!$U$14,F206),1)*IF(Upgrades!$T$15="Stellar Kinematics",POWER(Upgrades!$U$15,G206),1)*IF(Upgrades!$T$16="Stellar Kinematics",POWER(Upgrades!$U$16,H206),1)*IF(Upgrades!$T$17="Stellar Kinematics",POWER(Upgrades!$U$17,I206),1)*IF(Upgrades!$T$18="Stellar Kinematics",POWER(Upgrades!$U$18,J206),1)*IF(Upgrades!$T$19="Stellar Kinematics",POWER(Upgrades!$U$19,K206),1)*IF(Upgrades!$T$20="Stellar Kinematics",POWER(Upgrades!$U$20,L206),1)*IF(Upgrades!$T$21="Stellar Kinematics",POWER(Upgrades!$U$21,M206),1))+(IF(F206=0,0,(Upgrades!$J$14+F206*Upgrades!$K$14)*POWER(Upgrades!$L$14,F206)))*(IF(Upgrades!$T$13="Local Bubble",POWER(Upgrades!$U$13,E206),1)*IF(Upgrades!$T$15="Local Bubble",POWER(Upgrades!$U$15,G206),1)*IF(Upgrades!$T$16="Local Bubble",POWER(Upgrades!$U$16,H206),1)*IF(Upgrades!$T$17="Local Bubble",POWER(Upgrades!$U$17,I206),1)*IF(Upgrades!$T$18="Local Bubble",POWER(Upgrades!$U$18,J206),1)*IF(Upgrades!$T$19="Local Bubble",POWER(Upgrades!$U$19,K206),1)*IF(Upgrades!$T$20="Local Bubble",POWER(Upgrades!$U$20,L206),1)*IF(Upgrades!$T$21="Local Bubble",POWER(Upgrades!$U$21,M206),1))+(IF(G206=0,0,(Upgrades!$J$15+G206*Upgrades!$K$15)*POWER(Upgrades!$L$15,G206)))*(IF(Upgrades!$T$13="Microlensing",POWER(Upgrades!$U$13,E206),1)*IF(Upgrades!$T$14="Microlensing",POWER(Upgrades!$U$14,F206),1)*IF(Upgrades!$T$16="Microlensing",POWER(Upgrades!$U$16,H206),1)*IF(Upgrades!$T$17="Microlensing",POWER(Upgrades!$U$17,I206),1)*IF(Upgrades!$T$18="Microlensing",POWER(Upgrades!$U$18,J206),1)*IF(Upgrades!$T$19="Microlensing",POWER(Upgrades!$U$19,K206),1)*IF(Upgrades!$T$20="Microlensing",POWER(Upgrades!$U$20,L206),1)*IF(Upgrades!$T$21="Microlensing",POWER(Upgrades!$U$21,M206),1))+(IF(H206=0,0,(Upgrades!$J$16+H206*Upgrades!$K$16)*POWER(Upgrades!$L$16,H206)))*(IF(Upgrades!$T$13="Roche Lobe Overflow",POWER(Upgrades!$U$13,E206),1)*IF(Upgrades!$T$14="Roche Lobe Overflow",POWER(Upgrades!$U$14,F206),1)*IF(Upgrades!$T$15="Roche Lobe Overflow",POWER(Upgrades!$U$15,G206),1)*IF(Upgrades!$T$17="Roche Lobe Overflow",POWER(Upgrades!$U$17,I206),1)*IF(Upgrades!$T$18="Roche Lobe Overflow",POWER(Upgrades!$U$18,J206),1)*IF(Upgrades!$T$19="Roche Lobe Overflow",POWER(Upgrades!$U$19,K206),1)*IF(Upgrades!$T$20="Roche Lobe Overflow",POWER(Upgrades!$U$20,L206),1)*IF(Upgrades!$T$21="Roche Lobe Overflow",POWER(Upgrades!$U$21,M206),1))+(IF(I206=0,0,(Upgrades!$J$17+I206*Upgrades!$K$17)*POWER(Upgrades!$L$17,I206)))*(IF(Upgrades!$T$13="Brown Dwarf",POWER(Upgrades!$U$13,E206),1)*IF(Upgrades!$T$14="Brown Dwarf",POWER(Upgrades!$U$14,F206),1)*IF(Upgrades!$T$15="Brown Dwarf",POWER(Upgrades!$U$15,G206),1)*IF(Upgrades!$T$16="Brown Dwarf",POWER(Upgrades!$U$16,H206),1)*IF(Upgrades!$T$18="Brown Dwarf",POWER(Upgrades!$U$18,J206),1)*IF(Upgrades!$T$19="Brown Dwarf",POWER(Upgrades!$U$19,K206),1)*IF(Upgrades!$T$20="Brown Dwarf",POWER(Upgrades!$U$20,L206),1)*IF(Upgrades!$T$21="Brown Dwarf",POWER(Upgrades!$U$21,M206),1))+(IF(J206=0,0,(Upgrades!$J$18+J206*Upgrades!$K$18)*POWER(Upgrades!$L$18,J206)))*(IF(Upgrades!$T$13="Binary Partner",POWER(Upgrades!$U$13,E206),1)*IF(Upgrades!$T$14="Binary Partner",POWER(Upgrades!$U$14,F206),1)*IF(Upgrades!$T$15="Binary Partner",POWER(Upgrades!$U$15,G206),1)*IF(Upgrades!$T$16="Binary Partner",POWER(Upgrades!$U$16,H206),1)*IF(Upgrades!$T$17="Binary Partner",POWER(Upgrades!$U$17,I206),1)*IF(Upgrades!$T$19="Binary Partner",POWER(Upgrades!$U$19,K206),1)*IF(Upgrades!$T$20="Binary Partner",POWER(Upgrades!$U$20,L206),1)*IF(Upgrades!$T$21="Binary Partner",POWER(Upgrades!$U$21,M206),1))+(IF(K206=0,0,(Upgrades!$J$19+K206*Upgrades!$K$19)*POWER(Upgrades!$L$19,K206)))*(IF(Upgrades!$T$13="Peculiar Velocity",POWER(Upgrades!$U$13,E206),1)*IF(Upgrades!$T$14="Peculiar Velocity",POWER(Upgrades!$U$14,F206),1)*IF(Upgrades!$T$15="Peculiar Velocity",POWER(Upgrades!$U$15,G206),1)*IF(Upgrades!$T$16="Peculiar Velocity",POWER(Upgrades!$U$16,H206),1)*IF(Upgrades!$T$17="Peculiar Velocity",POWER(Upgrades!$U$17,I206),1)*IF(Upgrades!$T$18="Peculiar Velocity",POWER(Upgrades!$U$18,J206),1)*IF(Upgrades!$T$20="Peculiar Velocity",POWER(Upgrades!$U$20,L206),1)*IF(Upgrades!$T$21="Peculiar Velocity",POWER(Upgrades!$U$21,M206),1))+(IF(L206=0,0,(Upgrades!$J$20+L206*Upgrades!$K$20)*POWER(Upgrades!$L$20,L206)))*(IF(Upgrades!$T$13="Open Cluster",POWER(Upgrades!$U$13,E206),1)*IF(Upgrades!$T$14="Open Cluster",POWER(Upgrades!$U$14,F206),1)*IF(Upgrades!$T$15="Open Cluster",POWER(Upgrades!$U$15,G206),1)*IF(Upgrades!$T$16="Open Cluster",POWER(Upgrades!$U$16,H206),1)*IF(Upgrades!$T$17="Open Cluster",POWER(Upgrades!$U$17,I206),1)*IF(Upgrades!$T$18="Open Cluster",POWER(Upgrades!$U$18,J206),1)*IF(Upgrades!$T$19="Open Cluster",POWER(Upgrades!$U$19,K206),1)*IF(Upgrades!$T$21="Open Cluster",POWER(Upgrades!$U$21,M206),1))+(IF(M206=0,0,(Upgrades!$J$21+M206*Upgrades!$K$21)*POWER(Upgrades!$L$21,M206)))*(IF(Upgrades!$T$13="Moving Group",POWER(Upgrades!$U$13,E206),1)*IF(Upgrades!$T$14="Moving Group",POWER(Upgrades!$U$14,F206),1)*IF(Upgrades!$T$15="Moving Group",POWER(Upgrades!$U$15,G206),1)*IF(Upgrades!$T$16="Moving Group",POWER(Upgrades!$U$16,H206),1)*IF(Upgrades!$T$17="Moving Group",POWER(Upgrades!$U$17,I206),1)*IF(Upgrades!$T$18="Moving Group",POWER(Upgrades!$U$18,J206),1)*IF(Upgrades!$T$19="Moving Group",POWER(Upgrades!$U$19,K206),1)*IF(Upgrades!$T$20="Moving Group",POWER(Upgrades!$U$20,L206),1)))*POWER(Upgrades!$Q$13,E206)*POWER(Upgrades!$Q$14,F206)*POWER(Upgrades!$Q$15,G206)*POWER(Upgrades!$Q$16,H206)*POWER(Upgrades!$Q$17,I206)*POWER(Upgrades!$Q$18,J206)*POWER(Upgrades!$Q$19,K206)*POWER(Upgrades!$Q$20,L206)*POWER(Upgrades!$Q$21,M206)*$G$6+$D$6</f>
        <v/>
      </c>
      <c r="P206" s="28">
        <f>((IF(E206=0,0,(Upgrades!$G$13+E206*Upgrades!$H$13)*POWER(Upgrades!$I$13,E206)))*(IF(Upgrades!$T$14="Stellar Kinematics",POWER(Upgrades!$U$14,F206),1)*IF(Upgrades!$T$15="Stellar Kinematics",POWER(Upgrades!$U$15,G206),1)*IF(Upgrades!$T$16="Stellar Kinematics",POWER(Upgrades!$U$16,H206),1)*IF(Upgrades!$T$17="Stellar Kinematics",POWER(Upgrades!$U$17,I206),1)*IF(Upgrades!$T$18="Stellar Kinematics",POWER(Upgrades!$U$18,J206),1)*IF(Upgrades!$T$19="Stellar Kinematics",POWER(Upgrades!$U$19,K206),1)*IF(Upgrades!$T$20="Stellar Kinematics",POWER(Upgrades!$U$20,L206),1)*IF(Upgrades!$T$21="Stellar Kinematics",POWER(Upgrades!$U$21,M206),1))+(IF(F206=0,0,(Upgrades!$G$14+F206*Upgrades!$H$14)*POWER(Upgrades!$I$14,F206)))*(IF(Upgrades!$T$13="Local Bubble",POWER(Upgrades!$U$13,E206),1)*IF(Upgrades!$T$15="Local Bubble",POWER(Upgrades!$U$15,G206),1)*IF(Upgrades!$T$16="Local Bubble",POWER(Upgrades!$U$16,H206),1)*IF(Upgrades!$T$17="Local Bubble",POWER(Upgrades!$U$17,I206),1)*IF(Upgrades!$T$18="Local Bubble",POWER(Upgrades!$U$18,J206),1)*IF(Upgrades!$T$19="Local Bubble",POWER(Upgrades!$U$19,K206),1)*IF(Upgrades!$T$20="Local Bubble",POWER(Upgrades!$U$20,L206),1)*IF(Upgrades!$T$21="Local Bubble",POWER(Upgrades!$U$21,M206),1))+(IF(G206=0,0,(Upgrades!$G$15+G206*Upgrades!$H$15)*POWER(Upgrades!$I$15,G206)))*(IF(Upgrades!$T$13="Microlensing",POWER(Upgrades!$U$13,E206),1)*IF(Upgrades!$T$14="Microlensing",POWER(Upgrades!$U$14,F206),1)*IF(Upgrades!$T$16="Microlensing",POWER(Upgrades!$U$16,H206),1)*IF(Upgrades!$T$17="Microlensing",POWER(Upgrades!$U$17,I206),1)*IF(Upgrades!$T$18="Microlensing",POWER(Upgrades!$U$18,J206),1)*IF(Upgrades!$T$19="Microlensing",POWER(Upgrades!$U$19,K206),1)*IF(Upgrades!$T$20="Microlensing",POWER(Upgrades!$U$20,L206),1)*IF(Upgrades!$T$21="Microlensing",POWER(Upgrades!$U$21,M206),1))+(IF(H206=0,0,(Upgrades!$G$16+H206*Upgrades!$H$16)*POWER(Upgrades!$I$16,H206)))*(IF(Upgrades!$T$13="Roche Lobe Overflow",POWER(Upgrades!$U$13,E206),1)*IF(Upgrades!$T$14="Roche Lobe Overflow",POWER(Upgrades!$U$14,F206),1)*IF(Upgrades!$T$15="Roche Lobe Overflow",POWER(Upgrades!$U$15,G206),1)*IF(Upgrades!$T$17="Roche Lobe Overflow",POWER(Upgrades!$U$17,I206),1)*IF(Upgrades!$T$18="Roche Lobe Overflow",POWER(Upgrades!$U$18,J206),1)*IF(Upgrades!$T$19="Roche Lobe Overflow",POWER(Upgrades!$U$19,K206),1)*IF(Upgrades!$T$20="Roche Lobe Overflow",POWER(Upgrades!$U$20,L206),1)*IF(Upgrades!$T$21="Roche Lobe Overflow",POWER(Upgrades!$U$21,M206),1))+(IF(I206=0,0,(Upgrades!$G$17+I206*Upgrades!$H$17)*POWER(Upgrades!$I$17,I206)))*(IF(Upgrades!$T$13="Brown Dwarf",POWER(Upgrades!$U$13,E206),1)*IF(Upgrades!$T$14="Brown Dwarf",POWER(Upgrades!$U$14,F206),1)*IF(Upgrades!$T$15="Brown Dwarf",POWER(Upgrades!$U$15,G206),1)*IF(Upgrades!$T$16="Brown Dwarf",POWER(Upgrades!$U$16,H206),1)*IF(Upgrades!$T$18="Brown Dwarf",POWER(Upgrades!$U$18,J206),1)*IF(Upgrades!$T$19="Brown Dwarf",POWER(Upgrades!$U$19,K206),1)*IF(Upgrades!$T$20="Brown Dwarf",POWER(Upgrades!$U$20,L206),1)*IF(Upgrades!$T$21="Brown Dwarf",POWER(Upgrades!$U$21,M206),1))+(IF(J206=0,0,(Upgrades!$G$18+J206*Upgrades!$H$18)*POWER(Upgrades!$I$18,J206)))*(IF(Upgrades!$T$13="Binary Partner",POWER(Upgrades!$U$13,E206),1)*IF(Upgrades!$T$14="Binary Partner",POWER(Upgrades!$U$14,F206),1)*IF(Upgrades!$T$15="Binary Partner",POWER(Upgrades!$U$15,G206),1)*IF(Upgrades!$T$16="Binary Partner",POWER(Upgrades!$U$16,H206),1)*IF(Upgrades!$T$17="Binary Partner",POWER(Upgrades!$U$17,I206),1)*IF(Upgrades!$T$19="Binary Partner",POWER(Upgrades!$U$19,K206),1)*IF(Upgrades!$T$20="Binary Partner",POWER(Upgrades!$U$20,L206),1)*IF(Upgrades!$T$21="Binary Partner",POWER(Upgrades!$U$21,M206),1))+(IF(K206=0,0,(Upgrades!$G$19+K206*Upgrades!$H$19)*POWER(Upgrades!$I$19,K206)))*(IF(Upgrades!$T$13="Peculiar Velocity",POWER(Upgrades!$U$13,E206),1)*IF(Upgrades!$T$14="Peculiar Velocity",POWER(Upgrades!$U$14,F206),1)*IF(Upgrades!$T$15="Peculiar Velocity",POWER(Upgrades!$U$15,G206),1)*IF(Upgrades!$T$16="Peculiar Velocity",POWER(Upgrades!$U$16,H206),1)*IF(Upgrades!$T$17="Peculiar Velocity",POWER(Upgrades!$U$17,I206),1)*IF(Upgrades!$T$18="Peculiar Velocity",POWER(Upgrades!$U$18,J206),1)*IF(Upgrades!$T$20="Peculiar Velocity",POWER(Upgrades!$U$20,L206),1)*IF(Upgrades!$T$21="Peculiar Velocity",POWER(Upgrades!$U$21,M206),1))+(IF(L206=0,0,(Upgrades!$G$20+L206*Upgrades!$H$20)*POWER(Upgrades!$I$20,L206)))*(IF(Upgrades!$T$13="Open Cluster",POWER(Upgrades!$U$13,E206),1)*IF(Upgrades!$T$14="Open Cluster",POWER(Upgrades!$U$14,F206),1)*IF(Upgrades!$T$15="Open Cluster",POWER(Upgrades!$U$15,G206),1)*IF(Upgrades!$T$16="Open Cluster",POWER(Upgrades!$U$16,H206),1)*IF(Upgrades!$T$17="Open Cluster",POWER(Upgrades!$U$17,I206),1)*IF(Upgrades!$T$18="Open Cluster",POWER(Upgrades!$U$18,J206),1)*IF(Upgrades!$T$19="Open Cluster",POWER(Upgrades!$U$19,K206),1)*IF(Upgrades!$T$21="Open Cluster",POWER(Upgrades!$U$21,M206),1))+(IF(M206=0,0,(Upgrades!$G$21+M206*Upgrades!$H$21)*POWER(Upgrades!$I$21,M206)))*(IF(Upgrades!$T$13="Moving Group",POWER(Upgrades!$U$13,E206),1)*IF(Upgrades!$T$14="Moving Group",POWER(Upgrades!$U$14,F206),1)*IF(Upgrades!$T$15="Moving Group",POWER(Upgrades!$U$15,G206),1)*IF(Upgrades!$T$16="Moving Group",POWER(Upgrades!$U$16,H206),1)*IF(Upgrades!$T$17="Moving Group",POWER(Upgrades!$U$17,I206),1)*IF(Upgrades!$T$18="Moving Group",POWER(Upgrades!$U$18,J206),1)*IF(Upgrades!$T$19="Moving Group",POWER(Upgrades!$U$19,K206),1)*IF(Upgrades!$T$20="Moving Group",POWER(Upgrades!$U$20,L206),1)))*POWER(Upgrades!$P$13,E206)*POWER(Upgrades!$P$14,F206)*POWER(Upgrades!$P$15,G206)*POWER(Upgrades!$P$16,H206)*POWER(Upgrades!$P$17,I206)*POWER(Upgrades!$P$18,J206)*POWER(Upgrades!$P$19,K206)*POWER(Upgrades!$P$20,L206)*POWER(Upgrades!$P$21,M206)*$F$6+$C$6</f>
        <v/>
      </c>
      <c r="Q206" s="28">
        <f>((IF(E206=0,0,(Upgrades!$M$13+E206*Upgrades!$N$13)*POWER(Upgrades!$O$13,E206)))*(IF(Upgrades!$T$14="Stellar Kinematics",POWER(Upgrades!$U$14,F206),1)*IF(Upgrades!$T$15="Stellar Kinematics",POWER(Upgrades!$U$15,G206),1)*IF(Upgrades!$T$16="Stellar Kinematics",POWER(Upgrades!$U$16,H206),1)*IF(Upgrades!$T$17="Stellar Kinematics",POWER(Upgrades!$U$17,I206),1)*IF(Upgrades!$T$18="Stellar Kinematics",POWER(Upgrades!$U$18,J206),1)*IF(Upgrades!$T$19="Stellar Kinematics",POWER(Upgrades!$U$19,K206),1)*IF(Upgrades!$T$20="Stellar Kinematics",POWER(Upgrades!$U$20,L206),1)*IF(Upgrades!$T$21="Stellar Kinematics",POWER(Upgrades!$U$21,M206),1))+(IF(F206=0,0,(Upgrades!$M$14+F206*Upgrades!$N$14)*POWER(Upgrades!$O$14,F206)))*(IF(Upgrades!$T$13="Local Bubble",POWER(Upgrades!$U$13,E206),1)*IF(Upgrades!$T$15="Local Bubble",POWER(Upgrades!$U$15,G206),1)*IF(Upgrades!$T$16="Local Bubble",POWER(Upgrades!$U$16,H206),1)*IF(Upgrades!$T$17="Local Bubble",POWER(Upgrades!$U$17,I206),1)*IF(Upgrades!$T$18="Local Bubble",POWER(Upgrades!$U$18,J206),1)*IF(Upgrades!$T$19="Local Bubble",POWER(Upgrades!$U$19,K206),1)*IF(Upgrades!$T$20="Local Bubble",POWER(Upgrades!$U$20,L206),1)*IF(Upgrades!$T$21="Local Bubble",POWER(Upgrades!$U$21,M206),1))+(IF(G206=0,0,(Upgrades!$M$15+G206*Upgrades!$N$15)*POWER(Upgrades!$O$15,G206)))*(IF(Upgrades!$T$13="Microlensing",POWER(Upgrades!$U$13,E206),1)*IF(Upgrades!$T$14="Microlensing",POWER(Upgrades!$U$14,F206),1)*IF(Upgrades!$T$16="Microlensing",POWER(Upgrades!$U$16,H206),1)*IF(Upgrades!$T$17="Microlensing",POWER(Upgrades!$U$17,I206),1)*IF(Upgrades!$T$18="Microlensing",POWER(Upgrades!$U$18,J206),1)*IF(Upgrades!$T$19="Microlensing",POWER(Upgrades!$U$19,K206),1)*IF(Upgrades!$T$20="Microlensing",POWER(Upgrades!$U$20,L206),1)*IF(Upgrades!$T$21="Microlensing",POWER(Upgrades!$U$21,M206),1))+(IF(H206=0,0,(Upgrades!$M$16+H206*Upgrades!$N$16)*POWER(Upgrades!$O$16,H206)))*(IF(Upgrades!$T$13="Roche Lobe Overflow",POWER(Upgrades!$U$13,E206),1)*IF(Upgrades!$T$14="Roche Lobe Overflow",POWER(Upgrades!$U$14,F206),1)*IF(Upgrades!$T$15="Roche Lobe Overflow",POWER(Upgrades!$U$15,G206),1)*IF(Upgrades!$T$17="Roche Lobe Overflow",POWER(Upgrades!$U$17,I206),1)*IF(Upgrades!$T$18="Roche Lobe Overflow",POWER(Upgrades!$U$18,J206),1)*IF(Upgrades!$T$19="Roche Lobe Overflow",POWER(Upgrades!$U$19,K206),1)*IF(Upgrades!$T$20="Roche Lobe Overflow",POWER(Upgrades!$U$20,L206),1)*IF(Upgrades!$T$21="Roche Lobe Overflow",POWER(Upgrades!$U$21,M206),1))+(IF(I206=0,0,(Upgrades!$M$17+I206*Upgrades!$N$17)*POWER(Upgrades!$O$17,I206)))*(IF(Upgrades!$T$13="Brown Dwarf",POWER(Upgrades!$U$13,E206),1)*IF(Upgrades!$T$14="Brown Dwarf",POWER(Upgrades!$U$14,F206),1)*IF(Upgrades!$T$15="Brown Dwarf",POWER(Upgrades!$U$15,G206),1)*IF(Upgrades!$T$16="Brown Dwarf",POWER(Upgrades!$U$16,H206),1)*IF(Upgrades!$T$18="Brown Dwarf",POWER(Upgrades!$U$18,J206),1)*IF(Upgrades!$T$19="Brown Dwarf",POWER(Upgrades!$U$19,K206),1)*IF(Upgrades!$T$20="Brown Dwarf",POWER(Upgrades!$U$20,L206),1)*IF(Upgrades!$T$21="Brown Dwarf",POWER(Upgrades!$U$21,M206),1))+(IF(J206=0,0,(Upgrades!$M$18+J206*Upgrades!$N$18)*POWER(Upgrades!$O$18,J206)))*(IF(Upgrades!$T$13="Binary Partner",POWER(Upgrades!$U$13,E206),1)*IF(Upgrades!$T$14="Binary Partner",POWER(Upgrades!$U$14,F206),1)*IF(Upgrades!$T$15="Binary Partner",POWER(Upgrades!$U$15,G206),1)*IF(Upgrades!$T$16="Binary Partner",POWER(Upgrades!$U$16,H206),1)*IF(Upgrades!$T$17="Binary Partner",POWER(Upgrades!$U$17,I206),1)*IF(Upgrades!$T$19="Binary Partner",POWER(Upgrades!$U$19,K206),1)*IF(Upgrades!$T$20="Binary Partner",POWER(Upgrades!$U$20,L206),1)*IF(Upgrades!$T$21="Binary Partner",POWER(Upgrades!$U$21,M206),1))+(IF(K206=0,0,(Upgrades!$M$19+K206*Upgrades!$N$19)*POWER(Upgrades!$O$19,K206)))*(IF(Upgrades!$T$13="Peculiar Velocity",POWER(Upgrades!$U$13,E206),1)*IF(Upgrades!$T$14="Peculiar Velocity",POWER(Upgrades!$U$14,F206),1)*IF(Upgrades!$T$15="Peculiar Velocity",POWER(Upgrades!$U$15,G206),1)*IF(Upgrades!$T$16="Peculiar Velocity",POWER(Upgrades!$U$16,H206),1)*IF(Upgrades!$T$17="Peculiar Velocity",POWER(Upgrades!$U$17,I206),1)*IF(Upgrades!$T$18="Peculiar Velocity",POWER(Upgrades!$U$18,J206),1)*IF(Upgrades!$T$20="Peculiar Velocity",POWER(Upgrades!$U$20,L206),1)*IF(Upgrades!$T$21="Peculiar Velocity",POWER(Upgrades!$U$21,M206),1))+(IF(L206=0,0,(Upgrades!$M$20+L206*Upgrades!$N$20)*POWER(Upgrades!$O$20,L206)))*(IF(Upgrades!$T$13="Open Cluster",POWER(Upgrades!$U$13,E206),1)*IF(Upgrades!$T$14="Open Cluster",POWER(Upgrades!$U$14,F206),1)*IF(Upgrades!$T$15="Open Cluster",POWER(Upgrades!$U$15,G206),1)*IF(Upgrades!$T$16="Open Cluster",POWER(Upgrades!$U$16,H206),1)*IF(Upgrades!$T$17="Open Cluster",POWER(Upgrades!$U$17,I206),1)*IF(Upgrades!$T$18="Open Cluster",POWER(Upgrades!$U$18,J206),1)*IF(Upgrades!$T$19="Open Cluster",POWER(Upgrades!$U$19,K206),1)*IF(Upgrades!$T$21="Open Cluster",POWER(Upgrades!$U$21,M206),1))+(IF(M206=0,0,(Upgrades!$M$21+M206*Upgrades!$N$21)*POWER(Upgrades!$O$21,M206)))*(IF(Upgrades!$T$13="Moving Group",POWER(Upgrades!$U$13,E206),1)*IF(Upgrades!$T$14="Moving Group",POWER(Upgrades!$U$14,F206),1)*IF(Upgrades!$T$15="Moving Group",POWER(Upgrades!$U$15,G206),1)*IF(Upgrades!$T$16="Moving Group",POWER(Upgrades!$U$16,H206),1)*IF(Upgrades!$T$17="Moving Group",POWER(Upgrades!$U$17,I206),1)*IF(Upgrades!$T$18="Moving Group",POWER(Upgrades!$U$18,J206),1)*IF(Upgrades!$T$19="Moving Group",POWER(Upgrades!$U$19,K206),1)*IF(Upgrades!$T$20="Moving Group",POWER(Upgrades!$U$20,L206),1)))*POWER(Upgrades!$R$13,E206)*POWER(Upgrades!$R$14,F206)*POWER(Upgrades!$R$15,G206)*POWER(Upgrades!$R$16,H206)*POWER(Upgrades!$R$17,I206)*POWER(Upgrades!$R$18,J206)*POWER(Upgrades!$R$19,K206)*POWER(Upgrades!$R$20,L206)*POWER(Upgrades!$R$21,M206)*$H$6+$E$6</f>
        <v/>
      </c>
      <c r="R206" s="27">
        <f>IF(N206=1,0,O206*Parameters!$B$10/60*Parameters!$B$11*10)</f>
        <v/>
      </c>
      <c r="S206" s="27">
        <f>IF(N206=1,0,Q206*O206*10)</f>
        <v/>
      </c>
      <c r="T206" s="27">
        <f>IF(N206=1,0,R206+S206+P206*10)</f>
        <v/>
      </c>
      <c r="U206" s="33">
        <f>BE206</f>
        <v/>
      </c>
      <c r="V206" s="22">
        <f>IF(U206="",0,IF(U206="transition",0,IF(U206="SK",AK206,IF(U206="LB",AL206,IF(U206="ML",AM206,IF(U206="RLO",AN206,IF(U206="BD",AO206,IF(U206="BiP",AP206,IF(U206="PV",AQ206,IF(U206="OC",AR206,IF(U206="MG",AS206,0))))))))))</f>
        <v/>
      </c>
      <c r="W206" s="27">
        <f>IF(U206="BiP",Upgrades!$F$18,IF(U206="PV",Upgrades!$F$19,IF(U206="OC",Upgrades!$F$20,IF(U206="MG",Upgrades!$F$21,IF(U206="transition",-Parameters!$B$18*Parameters!$B$19,0)))))</f>
        <v/>
      </c>
      <c r="X206" s="22">
        <f>C206+T206-V206</f>
        <v/>
      </c>
      <c r="Y206" s="30">
        <f>O206*Parameters!$B$10/60*Parameters!$B$11+Q206*O206+P206</f>
        <v/>
      </c>
      <c r="Z206" s="34">
        <f>IF(U206="transition","→ Tier 3 (Galactic Arm)",IF(U206="MG","Moving Group — pocket drifts together",IF(U206="OC","Open Cluster acquired",IF(U206="PV","Peculiar Velocity — passive multiplier active",IF(U206="BiP","Binary Partner — pair bond formed",IF(AND(AU206=1,N206=0,AT206&lt;&gt;1),"Cohesion ready (waiting on completionists)","")))))) </f>
        <v/>
      </c>
      <c r="AA206" s="27">
        <f>(IF(E206=0,0,(Upgrades!$G$13+E206*Upgrades!$H$13)*POWER(Upgrades!$I$13,E206)))*(IF(Upgrades!$T$14="Stellar Kinematics",POWER(Upgrades!$U$14,F206),1)*IF(Upgrades!$T$15="Stellar Kinematics",POWER(Upgrades!$U$15,G206),1)*IF(Upgrades!$T$16="Stellar Kinematics",POWER(Upgrades!$U$16,H206),1)*IF(Upgrades!$T$17="Stellar Kinematics",POWER(Upgrades!$U$17,I206),1)*IF(Upgrades!$T$18="Stellar Kinematics",POWER(Upgrades!$U$18,J206),1)*IF(Upgrades!$T$19="Stellar Kinematics",POWER(Upgrades!$U$19,K206),1)*IF(Upgrades!$T$20="Stellar Kinematics",POWER(Upgrades!$U$20,L206),1)*IF(Upgrades!$T$21="Stellar Kinematics",POWER(Upgrades!$U$21,M206),1))*POWER(Upgrades!$P$13,E206)*POWER(Upgrades!$P$14,F206)*POWER(Upgrades!$P$15,G206)*POWER(Upgrades!$P$16,H206)*POWER(Upgrades!$P$17,I206)*POWER(Upgrades!$P$18,J206)*POWER(Upgrades!$P$19,K206)*POWER(Upgrades!$P$20,L206)*POWER(Upgrades!$P$21,M206)*$F$6*60</f>
        <v/>
      </c>
      <c r="AB206" s="27">
        <f>(IF(F206=0,0,(Upgrades!$G$14+F206*Upgrades!$H$14)*POWER(Upgrades!$I$14,F206)))*(IF(Upgrades!$T$13="Local Bubble",POWER(Upgrades!$U$13,E206),1)*IF(Upgrades!$T$15="Local Bubble",POWER(Upgrades!$U$15,G206),1)*IF(Upgrades!$T$16="Local Bubble",POWER(Upgrades!$U$16,H206),1)*IF(Upgrades!$T$17="Local Bubble",POWER(Upgrades!$U$17,I206),1)*IF(Upgrades!$T$18="Local Bubble",POWER(Upgrades!$U$18,J206),1)*IF(Upgrades!$T$19="Local Bubble",POWER(Upgrades!$U$19,K206),1)*IF(Upgrades!$T$20="Local Bubble",POWER(Upgrades!$U$20,L206),1)*IF(Upgrades!$T$21="Local Bubble",POWER(Upgrades!$U$21,M206),1))*POWER(Upgrades!$P$13,E206)*POWER(Upgrades!$P$14,F206)*POWER(Upgrades!$P$15,G206)*POWER(Upgrades!$P$16,H206)*POWER(Upgrades!$P$17,I206)*POWER(Upgrades!$P$18,J206)*POWER(Upgrades!$P$19,K206)*POWER(Upgrades!$P$20,L206)*POWER(Upgrades!$P$21,M206)*$F$6*60</f>
        <v/>
      </c>
      <c r="AC206" s="27">
        <f>(IF(G206=0,0,(Upgrades!$J$15+G206*Upgrades!$K$15)*POWER(Upgrades!$L$15,G206)))*(IF(Upgrades!$T$13="Microlensing",POWER(Upgrades!$U$13,E206),1)*IF(Upgrades!$T$14="Microlensing",POWER(Upgrades!$U$14,F206),1)*IF(Upgrades!$T$16="Microlensing",POWER(Upgrades!$U$16,H206),1)*IF(Upgrades!$T$17="Microlensing",POWER(Upgrades!$U$17,I206),1)*IF(Upgrades!$T$18="Microlensing",POWER(Upgrades!$U$18,J206),1)*IF(Upgrades!$T$19="Microlensing",POWER(Upgrades!$U$19,K206),1)*IF(Upgrades!$T$20="Microlensing",POWER(Upgrades!$U$20,L206),1)*IF(Upgrades!$T$21="Microlensing",POWER(Upgrades!$U$21,M206),1))*POWER(Upgrades!$Q$13,E206)*POWER(Upgrades!$Q$14,F206)*POWER(Upgrades!$Q$15,G206)*POWER(Upgrades!$Q$16,H206)*POWER(Upgrades!$Q$17,I206)*POWER(Upgrades!$Q$18,J206)*POWER(Upgrades!$Q$19,K206)*POWER(Upgrades!$Q$20,L206)*POWER(Upgrades!$Q$21,M206)*$G$6*(Parameters!$B$10*Parameters!$B$11+Q206*60)</f>
        <v/>
      </c>
      <c r="AD206" s="27">
        <f>(IF(H206=0,0,(Upgrades!$M$16+H206*Upgrades!$N$16)*POWER(Upgrades!$O$16,H206)))*(IF(Upgrades!$T$13="Roche Lobe Overflow",POWER(Upgrades!$U$13,E206),1)*IF(Upgrades!$T$14="Roche Lobe Overflow",POWER(Upgrades!$U$14,F206),1)*IF(Upgrades!$T$15="Roche Lobe Overflow",POWER(Upgrades!$U$15,G206),1)*IF(Upgrades!$T$17="Roche Lobe Overflow",POWER(Upgrades!$U$17,I206),1)*IF(Upgrades!$T$18="Roche Lobe Overflow",POWER(Upgrades!$U$18,J206),1)*IF(Upgrades!$T$19="Roche Lobe Overflow",POWER(Upgrades!$U$19,K206),1)*IF(Upgrades!$T$20="Roche Lobe Overflow",POWER(Upgrades!$U$20,L206),1)*IF(Upgrades!$T$21="Roche Lobe Overflow",POWER(Upgrades!$U$21,M206),1))*POWER(Upgrades!$R$13,E206)*POWER(Upgrades!$R$14,F206)*POWER(Upgrades!$R$15,G206)*POWER(Upgrades!$R$16,H206)*POWER(Upgrades!$R$17,I206)*POWER(Upgrades!$R$18,J206)*POWER(Upgrades!$R$19,K206)*POWER(Upgrades!$R$20,L206)*POWER(Upgrades!$R$21,M206)*$H$6*O206*60</f>
        <v/>
      </c>
      <c r="AE206" s="27">
        <f>(IF(I206=0,0,(Upgrades!$G$17+I206*Upgrades!$H$17)*POWER(Upgrades!$I$17,I206)))*(IF(Upgrades!$T$13="Brown Dwarf",POWER(Upgrades!$U$13,E206),1)*IF(Upgrades!$T$14="Brown Dwarf",POWER(Upgrades!$U$14,F206),1)*IF(Upgrades!$T$15="Brown Dwarf",POWER(Upgrades!$U$15,G206),1)*IF(Upgrades!$T$16="Brown Dwarf",POWER(Upgrades!$U$16,H206),1)*IF(Upgrades!$T$18="Brown Dwarf",POWER(Upgrades!$U$18,J206),1)*IF(Upgrades!$T$19="Brown Dwarf",POWER(Upgrades!$U$19,K206),1)*IF(Upgrades!$T$20="Brown Dwarf",POWER(Upgrades!$U$20,L206),1)*IF(Upgrades!$T$21="Brown Dwarf",POWER(Upgrades!$U$21,M206),1))*POWER(Upgrades!$P$13,E206)*POWER(Upgrades!$P$14,F206)*POWER(Upgrades!$P$15,G206)*POWER(Upgrades!$P$16,H206)*POWER(Upgrades!$P$17,I206)*POWER(Upgrades!$P$18,J206)*POWER(Upgrades!$P$19,K206)*POWER(Upgrades!$P$20,L206)*POWER(Upgrades!$P$21,M206)*$F$6*60</f>
        <v/>
      </c>
      <c r="AF206" s="27" t="n">
        <v>0</v>
      </c>
      <c r="AG206" s="27" t="n">
        <v>0</v>
      </c>
      <c r="AH206" s="27" t="n">
        <v>0</v>
      </c>
      <c r="AI206" s="27">
        <f>(IF(M206=0,0,(Upgrades!$G$21+M206*Upgrades!$H$21)*POWER(Upgrades!$I$21,M206)))*(IF(Upgrades!$T$13="Moving Group",POWER(Upgrades!$U$13,E206),1)*IF(Upgrades!$T$14="Moving Group",POWER(Upgrades!$U$14,F206),1)*IF(Upgrades!$T$15="Moving Group",POWER(Upgrades!$U$15,G206),1)*IF(Upgrades!$T$16="Moving Group",POWER(Upgrades!$U$16,H206),1)*IF(Upgrades!$T$17="Moving Group",POWER(Upgrades!$U$17,I206),1)*IF(Upgrades!$T$18="Moving Group",POWER(Upgrades!$U$18,J206),1)*IF(Upgrades!$T$19="Moving Group",POWER(Upgrades!$U$19,K206),1)*IF(Upgrades!$T$20="Moving Group",POWER(Upgrades!$U$20,L206),1))*POWER(Upgrades!$P$13,E206)*POWER(Upgrades!$P$14,F206)*POWER(Upgrades!$P$15,G206)*POWER(Upgrades!$P$16,H206)*POWER(Upgrades!$P$17,I206)*POWER(Upgrades!$P$18,J206)*POWER(Upgrades!$P$19,K206)*POWER(Upgrades!$P$20,L206)*POWER(Upgrades!$P$21,M206)*$F$6*60</f>
        <v/>
      </c>
      <c r="AJ206" s="27">
        <f>$C$6*60</f>
        <v/>
      </c>
      <c r="AK206" s="22">
        <f>IF(E206&gt;=Upgrades!$E$13,"",Upgrades!$C$13*POWER(Upgrades!$D$13,E206))</f>
        <v/>
      </c>
      <c r="AL206" s="22">
        <f>IF(F206&gt;=Upgrades!$E$14,"",Upgrades!$C$14*POWER(Upgrades!$D$14,F206))</f>
        <v/>
      </c>
      <c r="AM206" s="22">
        <f>IF(G206&gt;=Upgrades!$E$15,"",Upgrades!$C$15*POWER(Upgrades!$D$15,G206))</f>
        <v/>
      </c>
      <c r="AN206" s="22">
        <f>IF(H206&gt;=Upgrades!$E$16,"",Upgrades!$C$16*POWER(Upgrades!$D$16,H206))</f>
        <v/>
      </c>
      <c r="AO206" s="22">
        <f>IF(I206&gt;=Upgrades!$E$17,"",Upgrades!$C$17*POWER(Upgrades!$D$17,I206))</f>
        <v/>
      </c>
      <c r="AP206" s="22">
        <f>IF(J206&gt;=Upgrades!$E$18,"",Upgrades!$C$18*POWER(Upgrades!$D$18,J206))</f>
        <v/>
      </c>
      <c r="AQ206" s="22">
        <f>IF(K206&gt;=Upgrades!$E$19,"",Upgrades!$C$19*POWER(Upgrades!$D$19,K206))</f>
        <v/>
      </c>
      <c r="AR206" s="22">
        <f>IF(L206&gt;=Upgrades!$E$20,"",Upgrades!$C$20*POWER(Upgrades!$D$20,L206))</f>
        <v/>
      </c>
      <c r="AS206" s="22">
        <f>IF(M206&gt;=Upgrades!$E$21,"",Upgrades!$C$21*POWER(Upgrades!$D$21,M206))</f>
        <v/>
      </c>
      <c r="AT206" s="26">
        <f>IF(AND(D206&gt;=Parameters!$B$18*Parameters!$B$19,(I206&gt;=Upgrades!$E$17)*(M206&gt;=Upgrades!$E$21)=1,N206=0),1,"")</f>
        <v/>
      </c>
      <c r="AU206" s="26">
        <f>IF(AND(D206&gt;=Parameters!$B$18*Parameters!$B$19,N206=0),1,"")</f>
        <v/>
      </c>
      <c r="AV206" s="22">
        <f>MIN(IF(ISNUMBER(AP206),AP206,9E15),IF(ISNUMBER(AQ206),AQ206,9E15),IF(ISNUMBER(AR206),AR206,9E15),IF(ISNUMBER(AS206),AS206,9E15))</f>
        <v/>
      </c>
      <c r="AW206" s="22">
        <f>MIN(IF(ISNUMBER(AK206),AK206,9E15),IF(ISNUMBER(AL206),AL206,9E15),IF(ISNUMBER(AM206),AM206,9E15),IF(ISNUMBER(AN206),AN206,9E15),IF(ISNUMBER(AO206),AO206,9E15))</f>
        <v/>
      </c>
      <c r="AX206" s="29">
        <f>IF(BD206&gt;Parameters!$B$21*(MAX(IF(AND(NOT(AND(AU206=1,AT206&lt;&gt;1)),ISNUMBER(AK206),AK206&lt;=(C206+T206)),AY206,0),IF(AND(NOT(AND(AU206=1,AT206&lt;&gt;1)),ISNUMBER(AL206),AL206&lt;=(C206+T206)),AZ206,0),IF(AND(NOT(AND(AU206=1,AT206&lt;&gt;1)),ISNUMBER(AM206),AM206&lt;=(C206+T206)),BA206,0),IF(AND(NOT(AND(AU206=1,AT206&lt;&gt;1)),ISNUMBER(AN206),AN206&lt;=(C206+T206)),BB206,0),IF(AND(ISNUMBER(AO206),AO206&lt;=(C206+T206)),BC206,0))),TRUE,FALSE)</f>
        <v/>
      </c>
      <c r="AY206" s="32">
        <f>IFERROR(Upgrades!$H$13*(POWER(Upgrades!$P$13,E206)*POWER(Upgrades!$P$14,F206)*POWER(Upgrades!$P$15,G206)*POWER(Upgrades!$P$16,H206)*POWER(Upgrades!$P$17,I206)*POWER(Upgrades!$P$18,J206)*POWER(Upgrades!$P$19,K206)*POWER(Upgrades!$P$20,L206)*POWER(Upgrades!$P$21,M206))*(IF(Upgrades!$T$14="Stellar Kinematics",POWER(Upgrades!$U$14,F206),1)*IF(Upgrades!$T$15="Stellar Kinematics",POWER(Upgrades!$U$15,G206),1)*IF(Upgrades!$T$16="Stellar Kinematics",POWER(Upgrades!$U$16,H206),1)*IF(Upgrades!$T$17="Stellar Kinematics",POWER(Upgrades!$U$17,I206),1)*IF(Upgrades!$T$18="Stellar Kinematics",POWER(Upgrades!$U$18,J206),1)*IF(Upgrades!$T$19="Stellar Kinematics",POWER(Upgrades!$U$19,K206),1)*IF(Upgrades!$T$20="Stellar Kinematics",POWER(Upgrades!$U$20,L206),1)*IF(Upgrades!$T$21="Stellar Kinematics",POWER(Upgrades!$U$21,M206),1))*$F$6/AK206,0)</f>
        <v/>
      </c>
      <c r="AZ206" s="32">
        <f>IFERROR(Upgrades!$H$14*(POWER(Upgrades!$P$13,E206)*POWER(Upgrades!$P$14,F206)*POWER(Upgrades!$P$15,G206)*POWER(Upgrades!$P$16,H206)*POWER(Upgrades!$P$17,I206)*POWER(Upgrades!$P$18,J206)*POWER(Upgrades!$P$19,K206)*POWER(Upgrades!$P$20,L206)*POWER(Upgrades!$P$21,M206))*(IF(Upgrades!$T$13="Local Bubble",POWER(Upgrades!$U$13,E206),1)*IF(Upgrades!$T$15="Local Bubble",POWER(Upgrades!$U$15,G206),1)*IF(Upgrades!$T$16="Local Bubble",POWER(Upgrades!$U$16,H206),1)*IF(Upgrades!$T$17="Local Bubble",POWER(Upgrades!$U$17,I206),1)*IF(Upgrades!$T$18="Local Bubble",POWER(Upgrades!$U$18,J206),1)*IF(Upgrades!$T$19="Local Bubble",POWER(Upgrades!$U$19,K206),1)*IF(Upgrades!$T$20="Local Bubble",POWER(Upgrades!$U$20,L206),1)*IF(Upgrades!$T$21="Local Bubble",POWER(Upgrades!$U$21,M206),1))*$F$6/AL206,0)</f>
        <v/>
      </c>
      <c r="BA206" s="32">
        <f>IFERROR(Upgrades!$K$15*(POWER(Upgrades!$Q$13,E206)*POWER(Upgrades!$Q$14,F206)*POWER(Upgrades!$Q$15,G206)*POWER(Upgrades!$Q$16,H206)*POWER(Upgrades!$Q$17,I206)*POWER(Upgrades!$Q$18,J206)*POWER(Upgrades!$Q$19,K206)*POWER(Upgrades!$Q$20,L206)*POWER(Upgrades!$Q$21,M206))*(IF(Upgrades!$T$13="Microlensing",POWER(Upgrades!$U$13,E206),1)*IF(Upgrades!$T$14="Microlensing",POWER(Upgrades!$U$14,F206),1)*IF(Upgrades!$T$16="Microlensing",POWER(Upgrades!$U$16,H206),1)*IF(Upgrades!$T$17="Microlensing",POWER(Upgrades!$U$17,I206),1)*IF(Upgrades!$T$18="Microlensing",POWER(Upgrades!$U$18,J206),1)*IF(Upgrades!$T$19="Microlensing",POWER(Upgrades!$U$19,K206),1)*IF(Upgrades!$T$20="Microlensing",POWER(Upgrades!$U$20,L206),1)*IF(Upgrades!$T$21="Microlensing",POWER(Upgrades!$U$21,M206),1))*$G$6*(Parameters!$B$10/60*Parameters!$B$11+Q206)/AM206,0)</f>
        <v/>
      </c>
      <c r="BB206" s="32">
        <f>IFERROR((Upgrades!$N$16*(POWER(Upgrades!$R$13,E206)*POWER(Upgrades!$R$14,F206)*POWER(Upgrades!$R$15,G206)*POWER(Upgrades!$R$16,H206)*POWER(Upgrades!$R$17,I206)*POWER(Upgrades!$R$18,J206)*POWER(Upgrades!$R$19,K206)*POWER(Upgrades!$R$20,L206)*POWER(Upgrades!$R$21,M206))*(IF(Upgrades!$T$13="Roche Lobe Overflow",POWER(Upgrades!$U$13,E206),1)*IF(Upgrades!$T$14="Roche Lobe Overflow",POWER(Upgrades!$U$14,F206),1)*IF(Upgrades!$T$15="Roche Lobe Overflow",POWER(Upgrades!$U$15,G206),1)*IF(Upgrades!$T$17="Roche Lobe Overflow",POWER(Upgrades!$U$17,I206),1)*IF(Upgrades!$T$18="Roche Lobe Overflow",POWER(Upgrades!$U$18,J206),1)*IF(Upgrades!$T$19="Roche Lobe Overflow",POWER(Upgrades!$U$19,K206),1)*IF(Upgrades!$T$20="Roche Lobe Overflow",POWER(Upgrades!$U$20,L206),1)*IF(Upgrades!$T$21="Roche Lobe Overflow",POWER(Upgrades!$U$21,M206),1))*$H$6*O206+((IF(F206=0,0,(Upgrades!$G$14+F206*Upgrades!$H$14)*POWER(Upgrades!$I$14,F206)))*(IF(Upgrades!$T$13="Local Bubble",POWER(Upgrades!$U$13,E206),1)*IF(Upgrades!$T$15="Local Bubble",POWER(Upgrades!$U$15,G206),1)*IF(Upgrades!$T$16="Local Bubble",POWER(Upgrades!$U$16,H206),1)*IF(Upgrades!$T$17="Local Bubble",POWER(Upgrades!$U$17,I206),1)*IF(Upgrades!$T$18="Local Bubble",POWER(Upgrades!$U$18,J206),1)*IF(Upgrades!$T$19="Local Bubble",POWER(Upgrades!$U$19,K206),1)*IF(Upgrades!$T$20="Local Bubble",POWER(Upgrades!$U$20,L206),1)*IF(Upgrades!$T$21="Local Bubble",POWER(Upgrades!$U$21,M206),1))*POWER(Upgrades!$P$13,E206)*POWER(Upgrades!$P$14,F206)*POWER(Upgrades!$P$15,G206)*POWER(Upgrades!$P$16,H206)*POWER(Upgrades!$P$17,I206)*POWER(Upgrades!$P$18,J206)*POWER(Upgrades!$P$19,K206)*POWER(Upgrades!$P$20,L206)*POWER(Upgrades!$P$21,M206)*$F$6)*0.05)/AN206,0)</f>
        <v/>
      </c>
      <c r="BC206" s="32">
        <f>IFERROR((Upgrades!$H$17*(POWER(Upgrades!$P$13,E206)*POWER(Upgrades!$P$14,F206)*POWER(Upgrades!$P$15,G206)*POWER(Upgrades!$P$16,H206)*POWER(Upgrades!$P$17,I206)*POWER(Upgrades!$P$18,J206)*POWER(Upgrades!$P$19,K206)*POWER(Upgrades!$P$20,L206)*POWER(Upgrades!$P$21,M206))*(IF(Upgrades!$T$13="Brown Dwarf",POWER(Upgrades!$U$13,E206),1)*IF(Upgrades!$T$14="Brown Dwarf",POWER(Upgrades!$U$14,F206),1)*IF(Upgrades!$T$15="Brown Dwarf",POWER(Upgrades!$U$15,G206),1)*IF(Upgrades!$T$16="Brown Dwarf",POWER(Upgrades!$U$16,H206),1)*IF(Upgrades!$T$18="Brown Dwarf",POWER(Upgrades!$U$18,J206),1)*IF(Upgrades!$T$19="Brown Dwarf",POWER(Upgrades!$U$19,K206),1)*IF(Upgrades!$T$20="Brown Dwarf",POWER(Upgrades!$U$20,L206),1)*IF(Upgrades!$T$21="Brown Dwarf",POWER(Upgrades!$U$21,M206),1))*$F$6+(((IF(H206=0,0,(Upgrades!$M$16+H206*Upgrades!$N$16)*POWER(Upgrades!$O$16,H206)))*(IF(Upgrades!$T$13="Roche Lobe Overflow",POWER(Upgrades!$U$13,E206),1)*IF(Upgrades!$T$14="Roche Lobe Overflow",POWER(Upgrades!$U$14,F206),1)*IF(Upgrades!$T$15="Roche Lobe Overflow",POWER(Upgrades!$U$15,G206),1)*IF(Upgrades!$T$17="Roche Lobe Overflow",POWER(Upgrades!$U$17,I206),1)*IF(Upgrades!$T$18="Roche Lobe Overflow",POWER(Upgrades!$U$18,J206),1)*IF(Upgrades!$T$19="Roche Lobe Overflow",POWER(Upgrades!$U$19,K206),1)*IF(Upgrades!$T$20="Roche Lobe Overflow",POWER(Upgrades!$U$20,L206),1)*IF(Upgrades!$T$21="Roche Lobe Overflow",POWER(Upgrades!$U$21,M206),1))*POWER(Upgrades!$R$13,E206)*POWER(Upgrades!$R$14,F206)*POWER(Upgrades!$R$15,G206)*POWER(Upgrades!$R$16,H206)*POWER(Upgrades!$R$17,I206)*POWER(Upgrades!$R$18,J206)*POWER(Upgrades!$R$19,K206)*POWER(Upgrades!$R$20,L206)*POWER(Upgrades!$R$21,M206)*$H$6)*O206)*0.10)/AO206,0)</f>
        <v/>
      </c>
      <c r="BD206" s="32">
        <f>MAX(IF(J206&gt;0,0,IFERROR(0.5*((IF(G206=0,0,(Upgrades!$J$15+G206*Upgrades!$K$15)*POWER(Upgrades!$L$15,G206)))*(IF(Upgrades!$T$13="Microlensing",POWER(Upgrades!$U$13,E206),1)*IF(Upgrades!$T$14="Microlensing",POWER(Upgrades!$U$14,F206),1)*IF(Upgrades!$T$16="Microlensing",POWER(Upgrades!$U$16,H206),1)*IF(Upgrades!$T$17="Microlensing",POWER(Upgrades!$U$17,I206),1)*IF(Upgrades!$T$18="Microlensing",POWER(Upgrades!$U$18,J206),1)*IF(Upgrades!$T$19="Microlensing",POWER(Upgrades!$U$19,K206),1)*IF(Upgrades!$T$20="Microlensing",POWER(Upgrades!$U$20,L206),1)*IF(Upgrades!$T$21="Microlensing",POWER(Upgrades!$U$21,M206),1))*(POWER(Upgrades!$Q$13,E206)*POWER(Upgrades!$Q$14,F206)*POWER(Upgrades!$Q$15,G206)*POWER(Upgrades!$Q$16,H206)*POWER(Upgrades!$Q$17,I206)*POWER(Upgrades!$Q$18,J206)*POWER(Upgrades!$Q$19,K206)*POWER(Upgrades!$Q$20,L206)*POWER(Upgrades!$Q$21,M206))*$G$6*(Parameters!$B$10/60*Parameters!$B$11+Q206))/Upgrades!$C$18,0)),IF(K206&gt;0,0,IFERROR(0.30*P206/Upgrades!$C$19,0)),IF(L206&gt;0,0,IFERROR(0.0001/Upgrades!$C$20,0)),IF(M206&gt;0,0,IFERROR((6.0*(POWER(Upgrades!$P$13,E206)*POWER(Upgrades!$P$14,F206)*POWER(Upgrades!$P$15,G206)*POWER(Upgrades!$P$16,H206)*POWER(Upgrades!$P$17,I206)*POWER(Upgrades!$P$18,J206)*POWER(Upgrades!$P$19,K206)*POWER(Upgrades!$P$20,L206)*POWER(Upgrades!$P$21,M206))*$F$6+0.20*O206*(Parameters!$B$10/60*Parameters!$B$11+Q206))/Upgrades!$C$21,0)),IF(AND(ISNUMBER(AK206),AK206&gt;(C206+T206)),AY206,0),IF(AND(ISNUMBER(AL206),AL206&gt;(C206+T206)),AZ206,0),IF(AND(ISNUMBER(AM206),AM206&gt;(C206+T206)),BA206,0),IF(AND(ISNUMBER(AN206),AN206&gt;(C206+T206)),BB206,0),IF(AND(ISNUMBER(AO206),AO206&gt;(C206+T206)),BC206,0))</f>
        <v/>
      </c>
      <c r="BE206" s="29">
        <f>IF(AT206=1,"transition",IF(MIN(IF(AND(J206=0,ISNUMBER(AP206),AP206&lt;=(C206+T206)),AP206,9E15),IF(AND(K206=0,ISNUMBER(AQ206),AQ206&lt;=(C206+T206)),AQ206,9E15),IF(AND(L206=0,ISNUMBER(AR206),AR206&lt;=(C206+T206)),AR206,9E15),IF(AND(M206=0,ISNUMBER(AS206),AS206&lt;=(C206+T206)),AS206,9E15))&lt;9E15,IF(AND(AND(J206=0,ISNUMBER(AP206),AP206&lt;=(C206+T206)),AP206=MIN(IF(AND(J206=0,ISNUMBER(AP206),AP206&lt;=(C206+T206)),AP206,9E15),IF(AND(K206=0,ISNUMBER(AQ206),AQ206&lt;=(C206+T206)),AQ206,9E15),IF(AND(L206=0,ISNUMBER(AR206),AR206&lt;=(C206+T206)),AR206,9E15),IF(AND(M206=0,ISNUMBER(AS206),AS206&lt;=(C206+T206)),AS206,9E15))),"BiP",IF(AND(AND(K206=0,ISNUMBER(AQ206),AQ206&lt;=(C206+T206)),AQ206=MIN(IF(AND(J206=0,ISNUMBER(AP206),AP206&lt;=(C206+T206)),AP206,9E15),IF(AND(K206=0,ISNUMBER(AQ206),AQ206&lt;=(C206+T206)),AQ206,9E15),IF(AND(L206=0,ISNUMBER(AR206),AR206&lt;=(C206+T206)),AR206,9E15),IF(AND(M206=0,ISNUMBER(AS206),AS206&lt;=(C206+T206)),AS206,9E15))),"PV",IF(AND(AND(L206=0,ISNUMBER(AR206),AR206&lt;=(C206+T206)),AR206=MIN(IF(AND(J206=0,ISNUMBER(AP206),AP206&lt;=(C206+T206)),AP206,9E15),IF(AND(K206=0,ISNUMBER(AQ206),AQ206&lt;=(C206+T206)),AQ206,9E15),IF(AND(L206=0,ISNUMBER(AR206),AR206&lt;=(C206+T206)),AR206,9E15),IF(AND(M206=0,ISNUMBER(AS206),AS206&lt;=(C206+T206)),AS206,9E15))),"OC","MG"))),IF(AX206=TRUE,"",IF(MAX(IF(AND(NOT(AND(AU206=1,AT206&lt;&gt;1)),ISNUMBER(AK206),AK206&lt;=(C206+T206)),AY206,0),IF(AND(NOT(AND(AU206=1,AT206&lt;&gt;1)),ISNUMBER(AL206),AL206&lt;=(C206+T206)),AZ206,0),IF(AND(NOT(AND(AU206=1,AT206&lt;&gt;1)),ISNUMBER(AM206),AM206&lt;=(C206+T206)),BA206,0),IF(AND(NOT(AND(AU206=1,AT206&lt;&gt;1)),ISNUMBER(AN206),AN206&lt;=(C206+T206)),BB206,0),IF(AND(ISNUMBER(AO206),AO206&lt;=(C206+T206)),BC206,0))&lt;=0,"",IF(AND(IF(AND(NOT(AND(AU206=1,AT206&lt;&gt;1)),ISNUMBER(AK206),AK206&lt;=(C206+T206)),AY206,0)&gt;0,IF(AND(NOT(AND(AU206=1,AT206&lt;&gt;1)),ISNUMBER(AK206),AK206&lt;=(C206+T206)),AY206,0)=MAX(IF(AND(NOT(AND(AU206=1,AT206&lt;&gt;1)),ISNUMBER(AK206),AK206&lt;=(C206+T206)),AY206,0),IF(AND(NOT(AND(AU206=1,AT206&lt;&gt;1)),ISNUMBER(AL206),AL206&lt;=(C206+T206)),AZ206,0),IF(AND(NOT(AND(AU206=1,AT206&lt;&gt;1)),ISNUMBER(AM206),AM206&lt;=(C206+T206)),BA206,0),IF(AND(NOT(AND(AU206=1,AT206&lt;&gt;1)),ISNUMBER(AN206),AN206&lt;=(C206+T206)),BB206,0),IF(AND(ISNUMBER(AO206),AO206&lt;=(C206+T206)),BC206,0))),"SK",IF(AND(IF(AND(NOT(AND(AU206=1,AT206&lt;&gt;1)),ISNUMBER(AL206),AL206&lt;=(C206+T206)),AZ206,0)&gt;0,IF(AND(NOT(AND(AU206=1,AT206&lt;&gt;1)),ISNUMBER(AL206),AL206&lt;=(C206+T206)),AZ206,0)=MAX(IF(AND(NOT(AND(AU206=1,AT206&lt;&gt;1)),ISNUMBER(AK206),AK206&lt;=(C206+T206)),AY206,0),IF(AND(NOT(AND(AU206=1,AT206&lt;&gt;1)),ISNUMBER(AL206),AL206&lt;=(C206+T206)),AZ206,0),IF(AND(NOT(AND(AU206=1,AT206&lt;&gt;1)),ISNUMBER(AM206),AM206&lt;=(C206+T206)),BA206,0),IF(AND(NOT(AND(AU206=1,AT206&lt;&gt;1)),ISNUMBER(AN206),AN206&lt;=(C206+T206)),BB206,0),IF(AND(ISNUMBER(AO206),AO206&lt;=(C206+T206)),BC206,0))),"LB",IF(AND(IF(AND(NOT(AND(AU206=1,AT206&lt;&gt;1)),ISNUMBER(AM206),AM206&lt;=(C206+T206)),BA206,0)&gt;0,IF(AND(NOT(AND(AU206=1,AT206&lt;&gt;1)),ISNUMBER(AM206),AM206&lt;=(C206+T206)),BA206,0)=MAX(IF(AND(NOT(AND(AU206=1,AT206&lt;&gt;1)),ISNUMBER(AK206),AK206&lt;=(C206+T206)),AY206,0),IF(AND(NOT(AND(AU206=1,AT206&lt;&gt;1)),ISNUMBER(AL206),AL206&lt;=(C206+T206)),AZ206,0),IF(AND(NOT(AND(AU206=1,AT206&lt;&gt;1)),ISNUMBER(AM206),AM206&lt;=(C206+T206)),BA206,0),IF(AND(NOT(AND(AU206=1,AT206&lt;&gt;1)),ISNUMBER(AN206),AN206&lt;=(C206+T206)),BB206,0),IF(AND(ISNUMBER(AO206),AO206&lt;=(C206+T206)),BC206,0))),"ML",IF(AND(IF(AND(NOT(AND(AU206=1,AT206&lt;&gt;1)),ISNUMBER(AN206),AN206&lt;=(C206+T206)),BB206,0)&gt;0,IF(AND(NOT(AND(AU206=1,AT206&lt;&gt;1)),ISNUMBER(AN206),AN206&lt;=(C206+T206)),BB206,0)=MAX(IF(AND(NOT(AND(AU206=1,AT206&lt;&gt;1)),ISNUMBER(AK206),AK206&lt;=(C206+T206)),AY206,0),IF(AND(NOT(AND(AU206=1,AT206&lt;&gt;1)),ISNUMBER(AL206),AL206&lt;=(C206+T206)),AZ206,0),IF(AND(NOT(AND(AU206=1,AT206&lt;&gt;1)),ISNUMBER(AM206),AM206&lt;=(C206+T206)),BA206,0),IF(AND(NOT(AND(AU206=1,AT206&lt;&gt;1)),ISNUMBER(AN206),AN206&lt;=(C206+T206)),BB206,0),IF(AND(ISNUMBER(AO206),AO206&lt;=(C206+T206)),BC206,0))),"RLO","BD"))))))))</f>
        <v/>
      </c>
    </row>
    <row r="207">
      <c r="A207" s="26" t="n">
        <v>196</v>
      </c>
      <c r="B207" s="27">
        <f>A207*10/60</f>
        <v/>
      </c>
      <c r="C207" s="22">
        <f>X206</f>
        <v/>
      </c>
      <c r="D207" s="27">
        <f>D206+W206</f>
        <v/>
      </c>
      <c r="E207" s="26">
        <f>E206+IF(U206="SK",1,0)</f>
        <v/>
      </c>
      <c r="F207" s="26">
        <f>F206+IF(U206="LB",1,0)</f>
        <v/>
      </c>
      <c r="G207" s="26">
        <f>G206+IF(U206="ML",1,0)</f>
        <v/>
      </c>
      <c r="H207" s="26">
        <f>H206+IF(U206="RLO",1,0)</f>
        <v/>
      </c>
      <c r="I207" s="26">
        <f>I206+IF(U206="BD",1,0)</f>
        <v/>
      </c>
      <c r="J207" s="26">
        <f>MAX(J206,IF(U206="BiP",1,0))</f>
        <v/>
      </c>
      <c r="K207" s="26">
        <f>MAX(K206,IF(U206="PV",1,0))</f>
        <v/>
      </c>
      <c r="L207" s="26">
        <f>MAX(L206,IF(U206="OC",1,0))</f>
        <v/>
      </c>
      <c r="M207" s="26">
        <f>MAX(M206,IF(U206="MG",1,0))</f>
        <v/>
      </c>
      <c r="N207" s="26">
        <f>MAX(N206,IF(U206="transition",1,0))</f>
        <v/>
      </c>
      <c r="O207" s="28">
        <f>(Parameters!$B$9+(IF(E207=0,0,(Upgrades!$J$13+E207*Upgrades!$K$13)*POWER(Upgrades!$L$13,E207)))*(IF(Upgrades!$T$14="Stellar Kinematics",POWER(Upgrades!$U$14,F207),1)*IF(Upgrades!$T$15="Stellar Kinematics",POWER(Upgrades!$U$15,G207),1)*IF(Upgrades!$T$16="Stellar Kinematics",POWER(Upgrades!$U$16,H207),1)*IF(Upgrades!$T$17="Stellar Kinematics",POWER(Upgrades!$U$17,I207),1)*IF(Upgrades!$T$18="Stellar Kinematics",POWER(Upgrades!$U$18,J207),1)*IF(Upgrades!$T$19="Stellar Kinematics",POWER(Upgrades!$U$19,K207),1)*IF(Upgrades!$T$20="Stellar Kinematics",POWER(Upgrades!$U$20,L207),1)*IF(Upgrades!$T$21="Stellar Kinematics",POWER(Upgrades!$U$21,M207),1))+(IF(F207=0,0,(Upgrades!$J$14+F207*Upgrades!$K$14)*POWER(Upgrades!$L$14,F207)))*(IF(Upgrades!$T$13="Local Bubble",POWER(Upgrades!$U$13,E207),1)*IF(Upgrades!$T$15="Local Bubble",POWER(Upgrades!$U$15,G207),1)*IF(Upgrades!$T$16="Local Bubble",POWER(Upgrades!$U$16,H207),1)*IF(Upgrades!$T$17="Local Bubble",POWER(Upgrades!$U$17,I207),1)*IF(Upgrades!$T$18="Local Bubble",POWER(Upgrades!$U$18,J207),1)*IF(Upgrades!$T$19="Local Bubble",POWER(Upgrades!$U$19,K207),1)*IF(Upgrades!$T$20="Local Bubble",POWER(Upgrades!$U$20,L207),1)*IF(Upgrades!$T$21="Local Bubble",POWER(Upgrades!$U$21,M207),1))+(IF(G207=0,0,(Upgrades!$J$15+G207*Upgrades!$K$15)*POWER(Upgrades!$L$15,G207)))*(IF(Upgrades!$T$13="Microlensing",POWER(Upgrades!$U$13,E207),1)*IF(Upgrades!$T$14="Microlensing",POWER(Upgrades!$U$14,F207),1)*IF(Upgrades!$T$16="Microlensing",POWER(Upgrades!$U$16,H207),1)*IF(Upgrades!$T$17="Microlensing",POWER(Upgrades!$U$17,I207),1)*IF(Upgrades!$T$18="Microlensing",POWER(Upgrades!$U$18,J207),1)*IF(Upgrades!$T$19="Microlensing",POWER(Upgrades!$U$19,K207),1)*IF(Upgrades!$T$20="Microlensing",POWER(Upgrades!$U$20,L207),1)*IF(Upgrades!$T$21="Microlensing",POWER(Upgrades!$U$21,M207),1))+(IF(H207=0,0,(Upgrades!$J$16+H207*Upgrades!$K$16)*POWER(Upgrades!$L$16,H207)))*(IF(Upgrades!$T$13="Roche Lobe Overflow",POWER(Upgrades!$U$13,E207),1)*IF(Upgrades!$T$14="Roche Lobe Overflow",POWER(Upgrades!$U$14,F207),1)*IF(Upgrades!$T$15="Roche Lobe Overflow",POWER(Upgrades!$U$15,G207),1)*IF(Upgrades!$T$17="Roche Lobe Overflow",POWER(Upgrades!$U$17,I207),1)*IF(Upgrades!$T$18="Roche Lobe Overflow",POWER(Upgrades!$U$18,J207),1)*IF(Upgrades!$T$19="Roche Lobe Overflow",POWER(Upgrades!$U$19,K207),1)*IF(Upgrades!$T$20="Roche Lobe Overflow",POWER(Upgrades!$U$20,L207),1)*IF(Upgrades!$T$21="Roche Lobe Overflow",POWER(Upgrades!$U$21,M207),1))+(IF(I207=0,0,(Upgrades!$J$17+I207*Upgrades!$K$17)*POWER(Upgrades!$L$17,I207)))*(IF(Upgrades!$T$13="Brown Dwarf",POWER(Upgrades!$U$13,E207),1)*IF(Upgrades!$T$14="Brown Dwarf",POWER(Upgrades!$U$14,F207),1)*IF(Upgrades!$T$15="Brown Dwarf",POWER(Upgrades!$U$15,G207),1)*IF(Upgrades!$T$16="Brown Dwarf",POWER(Upgrades!$U$16,H207),1)*IF(Upgrades!$T$18="Brown Dwarf",POWER(Upgrades!$U$18,J207),1)*IF(Upgrades!$T$19="Brown Dwarf",POWER(Upgrades!$U$19,K207),1)*IF(Upgrades!$T$20="Brown Dwarf",POWER(Upgrades!$U$20,L207),1)*IF(Upgrades!$T$21="Brown Dwarf",POWER(Upgrades!$U$21,M207),1))+(IF(J207=0,0,(Upgrades!$J$18+J207*Upgrades!$K$18)*POWER(Upgrades!$L$18,J207)))*(IF(Upgrades!$T$13="Binary Partner",POWER(Upgrades!$U$13,E207),1)*IF(Upgrades!$T$14="Binary Partner",POWER(Upgrades!$U$14,F207),1)*IF(Upgrades!$T$15="Binary Partner",POWER(Upgrades!$U$15,G207),1)*IF(Upgrades!$T$16="Binary Partner",POWER(Upgrades!$U$16,H207),1)*IF(Upgrades!$T$17="Binary Partner",POWER(Upgrades!$U$17,I207),1)*IF(Upgrades!$T$19="Binary Partner",POWER(Upgrades!$U$19,K207),1)*IF(Upgrades!$T$20="Binary Partner",POWER(Upgrades!$U$20,L207),1)*IF(Upgrades!$T$21="Binary Partner",POWER(Upgrades!$U$21,M207),1))+(IF(K207=0,0,(Upgrades!$J$19+K207*Upgrades!$K$19)*POWER(Upgrades!$L$19,K207)))*(IF(Upgrades!$T$13="Peculiar Velocity",POWER(Upgrades!$U$13,E207),1)*IF(Upgrades!$T$14="Peculiar Velocity",POWER(Upgrades!$U$14,F207),1)*IF(Upgrades!$T$15="Peculiar Velocity",POWER(Upgrades!$U$15,G207),1)*IF(Upgrades!$T$16="Peculiar Velocity",POWER(Upgrades!$U$16,H207),1)*IF(Upgrades!$T$17="Peculiar Velocity",POWER(Upgrades!$U$17,I207),1)*IF(Upgrades!$T$18="Peculiar Velocity",POWER(Upgrades!$U$18,J207),1)*IF(Upgrades!$T$20="Peculiar Velocity",POWER(Upgrades!$U$20,L207),1)*IF(Upgrades!$T$21="Peculiar Velocity",POWER(Upgrades!$U$21,M207),1))+(IF(L207=0,0,(Upgrades!$J$20+L207*Upgrades!$K$20)*POWER(Upgrades!$L$20,L207)))*(IF(Upgrades!$T$13="Open Cluster",POWER(Upgrades!$U$13,E207),1)*IF(Upgrades!$T$14="Open Cluster",POWER(Upgrades!$U$14,F207),1)*IF(Upgrades!$T$15="Open Cluster",POWER(Upgrades!$U$15,G207),1)*IF(Upgrades!$T$16="Open Cluster",POWER(Upgrades!$U$16,H207),1)*IF(Upgrades!$T$17="Open Cluster",POWER(Upgrades!$U$17,I207),1)*IF(Upgrades!$T$18="Open Cluster",POWER(Upgrades!$U$18,J207),1)*IF(Upgrades!$T$19="Open Cluster",POWER(Upgrades!$U$19,K207),1)*IF(Upgrades!$T$21="Open Cluster",POWER(Upgrades!$U$21,M207),1))+(IF(M207=0,0,(Upgrades!$J$21+M207*Upgrades!$K$21)*POWER(Upgrades!$L$21,M207)))*(IF(Upgrades!$T$13="Moving Group",POWER(Upgrades!$U$13,E207),1)*IF(Upgrades!$T$14="Moving Group",POWER(Upgrades!$U$14,F207),1)*IF(Upgrades!$T$15="Moving Group",POWER(Upgrades!$U$15,G207),1)*IF(Upgrades!$T$16="Moving Group",POWER(Upgrades!$U$16,H207),1)*IF(Upgrades!$T$17="Moving Group",POWER(Upgrades!$U$17,I207),1)*IF(Upgrades!$T$18="Moving Group",POWER(Upgrades!$U$18,J207),1)*IF(Upgrades!$T$19="Moving Group",POWER(Upgrades!$U$19,K207),1)*IF(Upgrades!$T$20="Moving Group",POWER(Upgrades!$U$20,L207),1)))*POWER(Upgrades!$Q$13,E207)*POWER(Upgrades!$Q$14,F207)*POWER(Upgrades!$Q$15,G207)*POWER(Upgrades!$Q$16,H207)*POWER(Upgrades!$Q$17,I207)*POWER(Upgrades!$Q$18,J207)*POWER(Upgrades!$Q$19,K207)*POWER(Upgrades!$Q$20,L207)*POWER(Upgrades!$Q$21,M207)*$G$6+$D$6</f>
        <v/>
      </c>
      <c r="P207" s="28">
        <f>((IF(E207=0,0,(Upgrades!$G$13+E207*Upgrades!$H$13)*POWER(Upgrades!$I$13,E207)))*(IF(Upgrades!$T$14="Stellar Kinematics",POWER(Upgrades!$U$14,F207),1)*IF(Upgrades!$T$15="Stellar Kinematics",POWER(Upgrades!$U$15,G207),1)*IF(Upgrades!$T$16="Stellar Kinematics",POWER(Upgrades!$U$16,H207),1)*IF(Upgrades!$T$17="Stellar Kinematics",POWER(Upgrades!$U$17,I207),1)*IF(Upgrades!$T$18="Stellar Kinematics",POWER(Upgrades!$U$18,J207),1)*IF(Upgrades!$T$19="Stellar Kinematics",POWER(Upgrades!$U$19,K207),1)*IF(Upgrades!$T$20="Stellar Kinematics",POWER(Upgrades!$U$20,L207),1)*IF(Upgrades!$T$21="Stellar Kinematics",POWER(Upgrades!$U$21,M207),1))+(IF(F207=0,0,(Upgrades!$G$14+F207*Upgrades!$H$14)*POWER(Upgrades!$I$14,F207)))*(IF(Upgrades!$T$13="Local Bubble",POWER(Upgrades!$U$13,E207),1)*IF(Upgrades!$T$15="Local Bubble",POWER(Upgrades!$U$15,G207),1)*IF(Upgrades!$T$16="Local Bubble",POWER(Upgrades!$U$16,H207),1)*IF(Upgrades!$T$17="Local Bubble",POWER(Upgrades!$U$17,I207),1)*IF(Upgrades!$T$18="Local Bubble",POWER(Upgrades!$U$18,J207),1)*IF(Upgrades!$T$19="Local Bubble",POWER(Upgrades!$U$19,K207),1)*IF(Upgrades!$T$20="Local Bubble",POWER(Upgrades!$U$20,L207),1)*IF(Upgrades!$T$21="Local Bubble",POWER(Upgrades!$U$21,M207),1))+(IF(G207=0,0,(Upgrades!$G$15+G207*Upgrades!$H$15)*POWER(Upgrades!$I$15,G207)))*(IF(Upgrades!$T$13="Microlensing",POWER(Upgrades!$U$13,E207),1)*IF(Upgrades!$T$14="Microlensing",POWER(Upgrades!$U$14,F207),1)*IF(Upgrades!$T$16="Microlensing",POWER(Upgrades!$U$16,H207),1)*IF(Upgrades!$T$17="Microlensing",POWER(Upgrades!$U$17,I207),1)*IF(Upgrades!$T$18="Microlensing",POWER(Upgrades!$U$18,J207),1)*IF(Upgrades!$T$19="Microlensing",POWER(Upgrades!$U$19,K207),1)*IF(Upgrades!$T$20="Microlensing",POWER(Upgrades!$U$20,L207),1)*IF(Upgrades!$T$21="Microlensing",POWER(Upgrades!$U$21,M207),1))+(IF(H207=0,0,(Upgrades!$G$16+H207*Upgrades!$H$16)*POWER(Upgrades!$I$16,H207)))*(IF(Upgrades!$T$13="Roche Lobe Overflow",POWER(Upgrades!$U$13,E207),1)*IF(Upgrades!$T$14="Roche Lobe Overflow",POWER(Upgrades!$U$14,F207),1)*IF(Upgrades!$T$15="Roche Lobe Overflow",POWER(Upgrades!$U$15,G207),1)*IF(Upgrades!$T$17="Roche Lobe Overflow",POWER(Upgrades!$U$17,I207),1)*IF(Upgrades!$T$18="Roche Lobe Overflow",POWER(Upgrades!$U$18,J207),1)*IF(Upgrades!$T$19="Roche Lobe Overflow",POWER(Upgrades!$U$19,K207),1)*IF(Upgrades!$T$20="Roche Lobe Overflow",POWER(Upgrades!$U$20,L207),1)*IF(Upgrades!$T$21="Roche Lobe Overflow",POWER(Upgrades!$U$21,M207),1))+(IF(I207=0,0,(Upgrades!$G$17+I207*Upgrades!$H$17)*POWER(Upgrades!$I$17,I207)))*(IF(Upgrades!$T$13="Brown Dwarf",POWER(Upgrades!$U$13,E207),1)*IF(Upgrades!$T$14="Brown Dwarf",POWER(Upgrades!$U$14,F207),1)*IF(Upgrades!$T$15="Brown Dwarf",POWER(Upgrades!$U$15,G207),1)*IF(Upgrades!$T$16="Brown Dwarf",POWER(Upgrades!$U$16,H207),1)*IF(Upgrades!$T$18="Brown Dwarf",POWER(Upgrades!$U$18,J207),1)*IF(Upgrades!$T$19="Brown Dwarf",POWER(Upgrades!$U$19,K207),1)*IF(Upgrades!$T$20="Brown Dwarf",POWER(Upgrades!$U$20,L207),1)*IF(Upgrades!$T$21="Brown Dwarf",POWER(Upgrades!$U$21,M207),1))+(IF(J207=0,0,(Upgrades!$G$18+J207*Upgrades!$H$18)*POWER(Upgrades!$I$18,J207)))*(IF(Upgrades!$T$13="Binary Partner",POWER(Upgrades!$U$13,E207),1)*IF(Upgrades!$T$14="Binary Partner",POWER(Upgrades!$U$14,F207),1)*IF(Upgrades!$T$15="Binary Partner",POWER(Upgrades!$U$15,G207),1)*IF(Upgrades!$T$16="Binary Partner",POWER(Upgrades!$U$16,H207),1)*IF(Upgrades!$T$17="Binary Partner",POWER(Upgrades!$U$17,I207),1)*IF(Upgrades!$T$19="Binary Partner",POWER(Upgrades!$U$19,K207),1)*IF(Upgrades!$T$20="Binary Partner",POWER(Upgrades!$U$20,L207),1)*IF(Upgrades!$T$21="Binary Partner",POWER(Upgrades!$U$21,M207),1))+(IF(K207=0,0,(Upgrades!$G$19+K207*Upgrades!$H$19)*POWER(Upgrades!$I$19,K207)))*(IF(Upgrades!$T$13="Peculiar Velocity",POWER(Upgrades!$U$13,E207),1)*IF(Upgrades!$T$14="Peculiar Velocity",POWER(Upgrades!$U$14,F207),1)*IF(Upgrades!$T$15="Peculiar Velocity",POWER(Upgrades!$U$15,G207),1)*IF(Upgrades!$T$16="Peculiar Velocity",POWER(Upgrades!$U$16,H207),1)*IF(Upgrades!$T$17="Peculiar Velocity",POWER(Upgrades!$U$17,I207),1)*IF(Upgrades!$T$18="Peculiar Velocity",POWER(Upgrades!$U$18,J207),1)*IF(Upgrades!$T$20="Peculiar Velocity",POWER(Upgrades!$U$20,L207),1)*IF(Upgrades!$T$21="Peculiar Velocity",POWER(Upgrades!$U$21,M207),1))+(IF(L207=0,0,(Upgrades!$G$20+L207*Upgrades!$H$20)*POWER(Upgrades!$I$20,L207)))*(IF(Upgrades!$T$13="Open Cluster",POWER(Upgrades!$U$13,E207),1)*IF(Upgrades!$T$14="Open Cluster",POWER(Upgrades!$U$14,F207),1)*IF(Upgrades!$T$15="Open Cluster",POWER(Upgrades!$U$15,G207),1)*IF(Upgrades!$T$16="Open Cluster",POWER(Upgrades!$U$16,H207),1)*IF(Upgrades!$T$17="Open Cluster",POWER(Upgrades!$U$17,I207),1)*IF(Upgrades!$T$18="Open Cluster",POWER(Upgrades!$U$18,J207),1)*IF(Upgrades!$T$19="Open Cluster",POWER(Upgrades!$U$19,K207),1)*IF(Upgrades!$T$21="Open Cluster",POWER(Upgrades!$U$21,M207),1))+(IF(M207=0,0,(Upgrades!$G$21+M207*Upgrades!$H$21)*POWER(Upgrades!$I$21,M207)))*(IF(Upgrades!$T$13="Moving Group",POWER(Upgrades!$U$13,E207),1)*IF(Upgrades!$T$14="Moving Group",POWER(Upgrades!$U$14,F207),1)*IF(Upgrades!$T$15="Moving Group",POWER(Upgrades!$U$15,G207),1)*IF(Upgrades!$T$16="Moving Group",POWER(Upgrades!$U$16,H207),1)*IF(Upgrades!$T$17="Moving Group",POWER(Upgrades!$U$17,I207),1)*IF(Upgrades!$T$18="Moving Group",POWER(Upgrades!$U$18,J207),1)*IF(Upgrades!$T$19="Moving Group",POWER(Upgrades!$U$19,K207),1)*IF(Upgrades!$T$20="Moving Group",POWER(Upgrades!$U$20,L207),1)))*POWER(Upgrades!$P$13,E207)*POWER(Upgrades!$P$14,F207)*POWER(Upgrades!$P$15,G207)*POWER(Upgrades!$P$16,H207)*POWER(Upgrades!$P$17,I207)*POWER(Upgrades!$P$18,J207)*POWER(Upgrades!$P$19,K207)*POWER(Upgrades!$P$20,L207)*POWER(Upgrades!$P$21,M207)*$F$6+$C$6</f>
        <v/>
      </c>
      <c r="Q207" s="28">
        <f>((IF(E207=0,0,(Upgrades!$M$13+E207*Upgrades!$N$13)*POWER(Upgrades!$O$13,E207)))*(IF(Upgrades!$T$14="Stellar Kinematics",POWER(Upgrades!$U$14,F207),1)*IF(Upgrades!$T$15="Stellar Kinematics",POWER(Upgrades!$U$15,G207),1)*IF(Upgrades!$T$16="Stellar Kinematics",POWER(Upgrades!$U$16,H207),1)*IF(Upgrades!$T$17="Stellar Kinematics",POWER(Upgrades!$U$17,I207),1)*IF(Upgrades!$T$18="Stellar Kinematics",POWER(Upgrades!$U$18,J207),1)*IF(Upgrades!$T$19="Stellar Kinematics",POWER(Upgrades!$U$19,K207),1)*IF(Upgrades!$T$20="Stellar Kinematics",POWER(Upgrades!$U$20,L207),1)*IF(Upgrades!$T$21="Stellar Kinematics",POWER(Upgrades!$U$21,M207),1))+(IF(F207=0,0,(Upgrades!$M$14+F207*Upgrades!$N$14)*POWER(Upgrades!$O$14,F207)))*(IF(Upgrades!$T$13="Local Bubble",POWER(Upgrades!$U$13,E207),1)*IF(Upgrades!$T$15="Local Bubble",POWER(Upgrades!$U$15,G207),1)*IF(Upgrades!$T$16="Local Bubble",POWER(Upgrades!$U$16,H207),1)*IF(Upgrades!$T$17="Local Bubble",POWER(Upgrades!$U$17,I207),1)*IF(Upgrades!$T$18="Local Bubble",POWER(Upgrades!$U$18,J207),1)*IF(Upgrades!$T$19="Local Bubble",POWER(Upgrades!$U$19,K207),1)*IF(Upgrades!$T$20="Local Bubble",POWER(Upgrades!$U$20,L207),1)*IF(Upgrades!$T$21="Local Bubble",POWER(Upgrades!$U$21,M207),1))+(IF(G207=0,0,(Upgrades!$M$15+G207*Upgrades!$N$15)*POWER(Upgrades!$O$15,G207)))*(IF(Upgrades!$T$13="Microlensing",POWER(Upgrades!$U$13,E207),1)*IF(Upgrades!$T$14="Microlensing",POWER(Upgrades!$U$14,F207),1)*IF(Upgrades!$T$16="Microlensing",POWER(Upgrades!$U$16,H207),1)*IF(Upgrades!$T$17="Microlensing",POWER(Upgrades!$U$17,I207),1)*IF(Upgrades!$T$18="Microlensing",POWER(Upgrades!$U$18,J207),1)*IF(Upgrades!$T$19="Microlensing",POWER(Upgrades!$U$19,K207),1)*IF(Upgrades!$T$20="Microlensing",POWER(Upgrades!$U$20,L207),1)*IF(Upgrades!$T$21="Microlensing",POWER(Upgrades!$U$21,M207),1))+(IF(H207=0,0,(Upgrades!$M$16+H207*Upgrades!$N$16)*POWER(Upgrades!$O$16,H207)))*(IF(Upgrades!$T$13="Roche Lobe Overflow",POWER(Upgrades!$U$13,E207),1)*IF(Upgrades!$T$14="Roche Lobe Overflow",POWER(Upgrades!$U$14,F207),1)*IF(Upgrades!$T$15="Roche Lobe Overflow",POWER(Upgrades!$U$15,G207),1)*IF(Upgrades!$T$17="Roche Lobe Overflow",POWER(Upgrades!$U$17,I207),1)*IF(Upgrades!$T$18="Roche Lobe Overflow",POWER(Upgrades!$U$18,J207),1)*IF(Upgrades!$T$19="Roche Lobe Overflow",POWER(Upgrades!$U$19,K207),1)*IF(Upgrades!$T$20="Roche Lobe Overflow",POWER(Upgrades!$U$20,L207),1)*IF(Upgrades!$T$21="Roche Lobe Overflow",POWER(Upgrades!$U$21,M207),1))+(IF(I207=0,0,(Upgrades!$M$17+I207*Upgrades!$N$17)*POWER(Upgrades!$O$17,I207)))*(IF(Upgrades!$T$13="Brown Dwarf",POWER(Upgrades!$U$13,E207),1)*IF(Upgrades!$T$14="Brown Dwarf",POWER(Upgrades!$U$14,F207),1)*IF(Upgrades!$T$15="Brown Dwarf",POWER(Upgrades!$U$15,G207),1)*IF(Upgrades!$T$16="Brown Dwarf",POWER(Upgrades!$U$16,H207),1)*IF(Upgrades!$T$18="Brown Dwarf",POWER(Upgrades!$U$18,J207),1)*IF(Upgrades!$T$19="Brown Dwarf",POWER(Upgrades!$U$19,K207),1)*IF(Upgrades!$T$20="Brown Dwarf",POWER(Upgrades!$U$20,L207),1)*IF(Upgrades!$T$21="Brown Dwarf",POWER(Upgrades!$U$21,M207),1))+(IF(J207=0,0,(Upgrades!$M$18+J207*Upgrades!$N$18)*POWER(Upgrades!$O$18,J207)))*(IF(Upgrades!$T$13="Binary Partner",POWER(Upgrades!$U$13,E207),1)*IF(Upgrades!$T$14="Binary Partner",POWER(Upgrades!$U$14,F207),1)*IF(Upgrades!$T$15="Binary Partner",POWER(Upgrades!$U$15,G207),1)*IF(Upgrades!$T$16="Binary Partner",POWER(Upgrades!$U$16,H207),1)*IF(Upgrades!$T$17="Binary Partner",POWER(Upgrades!$U$17,I207),1)*IF(Upgrades!$T$19="Binary Partner",POWER(Upgrades!$U$19,K207),1)*IF(Upgrades!$T$20="Binary Partner",POWER(Upgrades!$U$20,L207),1)*IF(Upgrades!$T$21="Binary Partner",POWER(Upgrades!$U$21,M207),1))+(IF(K207=0,0,(Upgrades!$M$19+K207*Upgrades!$N$19)*POWER(Upgrades!$O$19,K207)))*(IF(Upgrades!$T$13="Peculiar Velocity",POWER(Upgrades!$U$13,E207),1)*IF(Upgrades!$T$14="Peculiar Velocity",POWER(Upgrades!$U$14,F207),1)*IF(Upgrades!$T$15="Peculiar Velocity",POWER(Upgrades!$U$15,G207),1)*IF(Upgrades!$T$16="Peculiar Velocity",POWER(Upgrades!$U$16,H207),1)*IF(Upgrades!$T$17="Peculiar Velocity",POWER(Upgrades!$U$17,I207),1)*IF(Upgrades!$T$18="Peculiar Velocity",POWER(Upgrades!$U$18,J207),1)*IF(Upgrades!$T$20="Peculiar Velocity",POWER(Upgrades!$U$20,L207),1)*IF(Upgrades!$T$21="Peculiar Velocity",POWER(Upgrades!$U$21,M207),1))+(IF(L207=0,0,(Upgrades!$M$20+L207*Upgrades!$N$20)*POWER(Upgrades!$O$20,L207)))*(IF(Upgrades!$T$13="Open Cluster",POWER(Upgrades!$U$13,E207),1)*IF(Upgrades!$T$14="Open Cluster",POWER(Upgrades!$U$14,F207),1)*IF(Upgrades!$T$15="Open Cluster",POWER(Upgrades!$U$15,G207),1)*IF(Upgrades!$T$16="Open Cluster",POWER(Upgrades!$U$16,H207),1)*IF(Upgrades!$T$17="Open Cluster",POWER(Upgrades!$U$17,I207),1)*IF(Upgrades!$T$18="Open Cluster",POWER(Upgrades!$U$18,J207),1)*IF(Upgrades!$T$19="Open Cluster",POWER(Upgrades!$U$19,K207),1)*IF(Upgrades!$T$21="Open Cluster",POWER(Upgrades!$U$21,M207),1))+(IF(M207=0,0,(Upgrades!$M$21+M207*Upgrades!$N$21)*POWER(Upgrades!$O$21,M207)))*(IF(Upgrades!$T$13="Moving Group",POWER(Upgrades!$U$13,E207),1)*IF(Upgrades!$T$14="Moving Group",POWER(Upgrades!$U$14,F207),1)*IF(Upgrades!$T$15="Moving Group",POWER(Upgrades!$U$15,G207),1)*IF(Upgrades!$T$16="Moving Group",POWER(Upgrades!$U$16,H207),1)*IF(Upgrades!$T$17="Moving Group",POWER(Upgrades!$U$17,I207),1)*IF(Upgrades!$T$18="Moving Group",POWER(Upgrades!$U$18,J207),1)*IF(Upgrades!$T$19="Moving Group",POWER(Upgrades!$U$19,K207),1)*IF(Upgrades!$T$20="Moving Group",POWER(Upgrades!$U$20,L207),1)))*POWER(Upgrades!$R$13,E207)*POWER(Upgrades!$R$14,F207)*POWER(Upgrades!$R$15,G207)*POWER(Upgrades!$R$16,H207)*POWER(Upgrades!$R$17,I207)*POWER(Upgrades!$R$18,J207)*POWER(Upgrades!$R$19,K207)*POWER(Upgrades!$R$20,L207)*POWER(Upgrades!$R$21,M207)*$H$6+$E$6</f>
        <v/>
      </c>
      <c r="R207" s="27">
        <f>IF(N207=1,0,O207*Parameters!$B$10/60*Parameters!$B$11*10)</f>
        <v/>
      </c>
      <c r="S207" s="27">
        <f>IF(N207=1,0,Q207*O207*10)</f>
        <v/>
      </c>
      <c r="T207" s="27">
        <f>IF(N207=1,0,R207+S207+P207*10)</f>
        <v/>
      </c>
      <c r="U207" s="33">
        <f>BE207</f>
        <v/>
      </c>
      <c r="V207" s="22">
        <f>IF(U207="",0,IF(U207="transition",0,IF(U207="SK",AK207,IF(U207="LB",AL207,IF(U207="ML",AM207,IF(U207="RLO",AN207,IF(U207="BD",AO207,IF(U207="BiP",AP207,IF(U207="PV",AQ207,IF(U207="OC",AR207,IF(U207="MG",AS207,0))))))))))</f>
        <v/>
      </c>
      <c r="W207" s="27">
        <f>IF(U207="BiP",Upgrades!$F$18,IF(U207="PV",Upgrades!$F$19,IF(U207="OC",Upgrades!$F$20,IF(U207="MG",Upgrades!$F$21,IF(U207="transition",-Parameters!$B$18*Parameters!$B$19,0)))))</f>
        <v/>
      </c>
      <c r="X207" s="22">
        <f>C207+T207-V207</f>
        <v/>
      </c>
      <c r="Y207" s="30">
        <f>O207*Parameters!$B$10/60*Parameters!$B$11+Q207*O207+P207</f>
        <v/>
      </c>
      <c r="Z207" s="34">
        <f>IF(U207="transition","→ Tier 3 (Galactic Arm)",IF(U207="MG","Moving Group — pocket drifts together",IF(U207="OC","Open Cluster acquired",IF(U207="PV","Peculiar Velocity — passive multiplier active",IF(U207="BiP","Binary Partner — pair bond formed",IF(AND(AU207=1,N207=0,AT207&lt;&gt;1),"Cohesion ready (waiting on completionists)","")))))) </f>
        <v/>
      </c>
      <c r="AA207" s="27">
        <f>(IF(E207=0,0,(Upgrades!$G$13+E207*Upgrades!$H$13)*POWER(Upgrades!$I$13,E207)))*(IF(Upgrades!$T$14="Stellar Kinematics",POWER(Upgrades!$U$14,F207),1)*IF(Upgrades!$T$15="Stellar Kinematics",POWER(Upgrades!$U$15,G207),1)*IF(Upgrades!$T$16="Stellar Kinematics",POWER(Upgrades!$U$16,H207),1)*IF(Upgrades!$T$17="Stellar Kinematics",POWER(Upgrades!$U$17,I207),1)*IF(Upgrades!$T$18="Stellar Kinematics",POWER(Upgrades!$U$18,J207),1)*IF(Upgrades!$T$19="Stellar Kinematics",POWER(Upgrades!$U$19,K207),1)*IF(Upgrades!$T$20="Stellar Kinematics",POWER(Upgrades!$U$20,L207),1)*IF(Upgrades!$T$21="Stellar Kinematics",POWER(Upgrades!$U$21,M207),1))*POWER(Upgrades!$P$13,E207)*POWER(Upgrades!$P$14,F207)*POWER(Upgrades!$P$15,G207)*POWER(Upgrades!$P$16,H207)*POWER(Upgrades!$P$17,I207)*POWER(Upgrades!$P$18,J207)*POWER(Upgrades!$P$19,K207)*POWER(Upgrades!$P$20,L207)*POWER(Upgrades!$P$21,M207)*$F$6*60</f>
        <v/>
      </c>
      <c r="AB207" s="27">
        <f>(IF(F207=0,0,(Upgrades!$G$14+F207*Upgrades!$H$14)*POWER(Upgrades!$I$14,F207)))*(IF(Upgrades!$T$13="Local Bubble",POWER(Upgrades!$U$13,E207),1)*IF(Upgrades!$T$15="Local Bubble",POWER(Upgrades!$U$15,G207),1)*IF(Upgrades!$T$16="Local Bubble",POWER(Upgrades!$U$16,H207),1)*IF(Upgrades!$T$17="Local Bubble",POWER(Upgrades!$U$17,I207),1)*IF(Upgrades!$T$18="Local Bubble",POWER(Upgrades!$U$18,J207),1)*IF(Upgrades!$T$19="Local Bubble",POWER(Upgrades!$U$19,K207),1)*IF(Upgrades!$T$20="Local Bubble",POWER(Upgrades!$U$20,L207),1)*IF(Upgrades!$T$21="Local Bubble",POWER(Upgrades!$U$21,M207),1))*POWER(Upgrades!$P$13,E207)*POWER(Upgrades!$P$14,F207)*POWER(Upgrades!$P$15,G207)*POWER(Upgrades!$P$16,H207)*POWER(Upgrades!$P$17,I207)*POWER(Upgrades!$P$18,J207)*POWER(Upgrades!$P$19,K207)*POWER(Upgrades!$P$20,L207)*POWER(Upgrades!$P$21,M207)*$F$6*60</f>
        <v/>
      </c>
      <c r="AC207" s="27">
        <f>(IF(G207=0,0,(Upgrades!$J$15+G207*Upgrades!$K$15)*POWER(Upgrades!$L$15,G207)))*(IF(Upgrades!$T$13="Microlensing",POWER(Upgrades!$U$13,E207),1)*IF(Upgrades!$T$14="Microlensing",POWER(Upgrades!$U$14,F207),1)*IF(Upgrades!$T$16="Microlensing",POWER(Upgrades!$U$16,H207),1)*IF(Upgrades!$T$17="Microlensing",POWER(Upgrades!$U$17,I207),1)*IF(Upgrades!$T$18="Microlensing",POWER(Upgrades!$U$18,J207),1)*IF(Upgrades!$T$19="Microlensing",POWER(Upgrades!$U$19,K207),1)*IF(Upgrades!$T$20="Microlensing",POWER(Upgrades!$U$20,L207),1)*IF(Upgrades!$T$21="Microlensing",POWER(Upgrades!$U$21,M207),1))*POWER(Upgrades!$Q$13,E207)*POWER(Upgrades!$Q$14,F207)*POWER(Upgrades!$Q$15,G207)*POWER(Upgrades!$Q$16,H207)*POWER(Upgrades!$Q$17,I207)*POWER(Upgrades!$Q$18,J207)*POWER(Upgrades!$Q$19,K207)*POWER(Upgrades!$Q$20,L207)*POWER(Upgrades!$Q$21,M207)*$G$6*(Parameters!$B$10*Parameters!$B$11+Q207*60)</f>
        <v/>
      </c>
      <c r="AD207" s="27">
        <f>(IF(H207=0,0,(Upgrades!$M$16+H207*Upgrades!$N$16)*POWER(Upgrades!$O$16,H207)))*(IF(Upgrades!$T$13="Roche Lobe Overflow",POWER(Upgrades!$U$13,E207),1)*IF(Upgrades!$T$14="Roche Lobe Overflow",POWER(Upgrades!$U$14,F207),1)*IF(Upgrades!$T$15="Roche Lobe Overflow",POWER(Upgrades!$U$15,G207),1)*IF(Upgrades!$T$17="Roche Lobe Overflow",POWER(Upgrades!$U$17,I207),1)*IF(Upgrades!$T$18="Roche Lobe Overflow",POWER(Upgrades!$U$18,J207),1)*IF(Upgrades!$T$19="Roche Lobe Overflow",POWER(Upgrades!$U$19,K207),1)*IF(Upgrades!$T$20="Roche Lobe Overflow",POWER(Upgrades!$U$20,L207),1)*IF(Upgrades!$T$21="Roche Lobe Overflow",POWER(Upgrades!$U$21,M207),1))*POWER(Upgrades!$R$13,E207)*POWER(Upgrades!$R$14,F207)*POWER(Upgrades!$R$15,G207)*POWER(Upgrades!$R$16,H207)*POWER(Upgrades!$R$17,I207)*POWER(Upgrades!$R$18,J207)*POWER(Upgrades!$R$19,K207)*POWER(Upgrades!$R$20,L207)*POWER(Upgrades!$R$21,M207)*$H$6*O207*60</f>
        <v/>
      </c>
      <c r="AE207" s="27">
        <f>(IF(I207=0,0,(Upgrades!$G$17+I207*Upgrades!$H$17)*POWER(Upgrades!$I$17,I207)))*(IF(Upgrades!$T$13="Brown Dwarf",POWER(Upgrades!$U$13,E207),1)*IF(Upgrades!$T$14="Brown Dwarf",POWER(Upgrades!$U$14,F207),1)*IF(Upgrades!$T$15="Brown Dwarf",POWER(Upgrades!$U$15,G207),1)*IF(Upgrades!$T$16="Brown Dwarf",POWER(Upgrades!$U$16,H207),1)*IF(Upgrades!$T$18="Brown Dwarf",POWER(Upgrades!$U$18,J207),1)*IF(Upgrades!$T$19="Brown Dwarf",POWER(Upgrades!$U$19,K207),1)*IF(Upgrades!$T$20="Brown Dwarf",POWER(Upgrades!$U$20,L207),1)*IF(Upgrades!$T$21="Brown Dwarf",POWER(Upgrades!$U$21,M207),1))*POWER(Upgrades!$P$13,E207)*POWER(Upgrades!$P$14,F207)*POWER(Upgrades!$P$15,G207)*POWER(Upgrades!$P$16,H207)*POWER(Upgrades!$P$17,I207)*POWER(Upgrades!$P$18,J207)*POWER(Upgrades!$P$19,K207)*POWER(Upgrades!$P$20,L207)*POWER(Upgrades!$P$21,M207)*$F$6*60</f>
        <v/>
      </c>
      <c r="AF207" s="27" t="n">
        <v>0</v>
      </c>
      <c r="AG207" s="27" t="n">
        <v>0</v>
      </c>
      <c r="AH207" s="27" t="n">
        <v>0</v>
      </c>
      <c r="AI207" s="27">
        <f>(IF(M207=0,0,(Upgrades!$G$21+M207*Upgrades!$H$21)*POWER(Upgrades!$I$21,M207)))*(IF(Upgrades!$T$13="Moving Group",POWER(Upgrades!$U$13,E207),1)*IF(Upgrades!$T$14="Moving Group",POWER(Upgrades!$U$14,F207),1)*IF(Upgrades!$T$15="Moving Group",POWER(Upgrades!$U$15,G207),1)*IF(Upgrades!$T$16="Moving Group",POWER(Upgrades!$U$16,H207),1)*IF(Upgrades!$T$17="Moving Group",POWER(Upgrades!$U$17,I207),1)*IF(Upgrades!$T$18="Moving Group",POWER(Upgrades!$U$18,J207),1)*IF(Upgrades!$T$19="Moving Group",POWER(Upgrades!$U$19,K207),1)*IF(Upgrades!$T$20="Moving Group",POWER(Upgrades!$U$20,L207),1))*POWER(Upgrades!$P$13,E207)*POWER(Upgrades!$P$14,F207)*POWER(Upgrades!$P$15,G207)*POWER(Upgrades!$P$16,H207)*POWER(Upgrades!$P$17,I207)*POWER(Upgrades!$P$18,J207)*POWER(Upgrades!$P$19,K207)*POWER(Upgrades!$P$20,L207)*POWER(Upgrades!$P$21,M207)*$F$6*60</f>
        <v/>
      </c>
      <c r="AJ207" s="27">
        <f>$C$6*60</f>
        <v/>
      </c>
      <c r="AK207" s="22">
        <f>IF(E207&gt;=Upgrades!$E$13,"",Upgrades!$C$13*POWER(Upgrades!$D$13,E207))</f>
        <v/>
      </c>
      <c r="AL207" s="22">
        <f>IF(F207&gt;=Upgrades!$E$14,"",Upgrades!$C$14*POWER(Upgrades!$D$14,F207))</f>
        <v/>
      </c>
      <c r="AM207" s="22">
        <f>IF(G207&gt;=Upgrades!$E$15,"",Upgrades!$C$15*POWER(Upgrades!$D$15,G207))</f>
        <v/>
      </c>
      <c r="AN207" s="22">
        <f>IF(H207&gt;=Upgrades!$E$16,"",Upgrades!$C$16*POWER(Upgrades!$D$16,H207))</f>
        <v/>
      </c>
      <c r="AO207" s="22">
        <f>IF(I207&gt;=Upgrades!$E$17,"",Upgrades!$C$17*POWER(Upgrades!$D$17,I207))</f>
        <v/>
      </c>
      <c r="AP207" s="22">
        <f>IF(J207&gt;=Upgrades!$E$18,"",Upgrades!$C$18*POWER(Upgrades!$D$18,J207))</f>
        <v/>
      </c>
      <c r="AQ207" s="22">
        <f>IF(K207&gt;=Upgrades!$E$19,"",Upgrades!$C$19*POWER(Upgrades!$D$19,K207))</f>
        <v/>
      </c>
      <c r="AR207" s="22">
        <f>IF(L207&gt;=Upgrades!$E$20,"",Upgrades!$C$20*POWER(Upgrades!$D$20,L207))</f>
        <v/>
      </c>
      <c r="AS207" s="22">
        <f>IF(M207&gt;=Upgrades!$E$21,"",Upgrades!$C$21*POWER(Upgrades!$D$21,M207))</f>
        <v/>
      </c>
      <c r="AT207" s="26">
        <f>IF(AND(D207&gt;=Parameters!$B$18*Parameters!$B$19,(I207&gt;=Upgrades!$E$17)*(M207&gt;=Upgrades!$E$21)=1,N207=0),1,"")</f>
        <v/>
      </c>
      <c r="AU207" s="26">
        <f>IF(AND(D207&gt;=Parameters!$B$18*Parameters!$B$19,N207=0),1,"")</f>
        <v/>
      </c>
      <c r="AV207" s="22">
        <f>MIN(IF(ISNUMBER(AP207),AP207,9E15),IF(ISNUMBER(AQ207),AQ207,9E15),IF(ISNUMBER(AR207),AR207,9E15),IF(ISNUMBER(AS207),AS207,9E15))</f>
        <v/>
      </c>
      <c r="AW207" s="22">
        <f>MIN(IF(ISNUMBER(AK207),AK207,9E15),IF(ISNUMBER(AL207),AL207,9E15),IF(ISNUMBER(AM207),AM207,9E15),IF(ISNUMBER(AN207),AN207,9E15),IF(ISNUMBER(AO207),AO207,9E15))</f>
        <v/>
      </c>
      <c r="AX207" s="29">
        <f>IF(BD207&gt;Parameters!$B$21*(MAX(IF(AND(NOT(AND(AU207=1,AT207&lt;&gt;1)),ISNUMBER(AK207),AK207&lt;=(C207+T207)),AY207,0),IF(AND(NOT(AND(AU207=1,AT207&lt;&gt;1)),ISNUMBER(AL207),AL207&lt;=(C207+T207)),AZ207,0),IF(AND(NOT(AND(AU207=1,AT207&lt;&gt;1)),ISNUMBER(AM207),AM207&lt;=(C207+T207)),BA207,0),IF(AND(NOT(AND(AU207=1,AT207&lt;&gt;1)),ISNUMBER(AN207),AN207&lt;=(C207+T207)),BB207,0),IF(AND(ISNUMBER(AO207),AO207&lt;=(C207+T207)),BC207,0))),TRUE,FALSE)</f>
        <v/>
      </c>
      <c r="AY207" s="32">
        <f>IFERROR(Upgrades!$H$13*(POWER(Upgrades!$P$13,E207)*POWER(Upgrades!$P$14,F207)*POWER(Upgrades!$P$15,G207)*POWER(Upgrades!$P$16,H207)*POWER(Upgrades!$P$17,I207)*POWER(Upgrades!$P$18,J207)*POWER(Upgrades!$P$19,K207)*POWER(Upgrades!$P$20,L207)*POWER(Upgrades!$P$21,M207))*(IF(Upgrades!$T$14="Stellar Kinematics",POWER(Upgrades!$U$14,F207),1)*IF(Upgrades!$T$15="Stellar Kinematics",POWER(Upgrades!$U$15,G207),1)*IF(Upgrades!$T$16="Stellar Kinematics",POWER(Upgrades!$U$16,H207),1)*IF(Upgrades!$T$17="Stellar Kinematics",POWER(Upgrades!$U$17,I207),1)*IF(Upgrades!$T$18="Stellar Kinematics",POWER(Upgrades!$U$18,J207),1)*IF(Upgrades!$T$19="Stellar Kinematics",POWER(Upgrades!$U$19,K207),1)*IF(Upgrades!$T$20="Stellar Kinematics",POWER(Upgrades!$U$20,L207),1)*IF(Upgrades!$T$21="Stellar Kinematics",POWER(Upgrades!$U$21,M207),1))*$F$6/AK207,0)</f>
        <v/>
      </c>
      <c r="AZ207" s="32">
        <f>IFERROR(Upgrades!$H$14*(POWER(Upgrades!$P$13,E207)*POWER(Upgrades!$P$14,F207)*POWER(Upgrades!$P$15,G207)*POWER(Upgrades!$P$16,H207)*POWER(Upgrades!$P$17,I207)*POWER(Upgrades!$P$18,J207)*POWER(Upgrades!$P$19,K207)*POWER(Upgrades!$P$20,L207)*POWER(Upgrades!$P$21,M207))*(IF(Upgrades!$T$13="Local Bubble",POWER(Upgrades!$U$13,E207),1)*IF(Upgrades!$T$15="Local Bubble",POWER(Upgrades!$U$15,G207),1)*IF(Upgrades!$T$16="Local Bubble",POWER(Upgrades!$U$16,H207),1)*IF(Upgrades!$T$17="Local Bubble",POWER(Upgrades!$U$17,I207),1)*IF(Upgrades!$T$18="Local Bubble",POWER(Upgrades!$U$18,J207),1)*IF(Upgrades!$T$19="Local Bubble",POWER(Upgrades!$U$19,K207),1)*IF(Upgrades!$T$20="Local Bubble",POWER(Upgrades!$U$20,L207),1)*IF(Upgrades!$T$21="Local Bubble",POWER(Upgrades!$U$21,M207),1))*$F$6/AL207,0)</f>
        <v/>
      </c>
      <c r="BA207" s="32">
        <f>IFERROR(Upgrades!$K$15*(POWER(Upgrades!$Q$13,E207)*POWER(Upgrades!$Q$14,F207)*POWER(Upgrades!$Q$15,G207)*POWER(Upgrades!$Q$16,H207)*POWER(Upgrades!$Q$17,I207)*POWER(Upgrades!$Q$18,J207)*POWER(Upgrades!$Q$19,K207)*POWER(Upgrades!$Q$20,L207)*POWER(Upgrades!$Q$21,M207))*(IF(Upgrades!$T$13="Microlensing",POWER(Upgrades!$U$13,E207),1)*IF(Upgrades!$T$14="Microlensing",POWER(Upgrades!$U$14,F207),1)*IF(Upgrades!$T$16="Microlensing",POWER(Upgrades!$U$16,H207),1)*IF(Upgrades!$T$17="Microlensing",POWER(Upgrades!$U$17,I207),1)*IF(Upgrades!$T$18="Microlensing",POWER(Upgrades!$U$18,J207),1)*IF(Upgrades!$T$19="Microlensing",POWER(Upgrades!$U$19,K207),1)*IF(Upgrades!$T$20="Microlensing",POWER(Upgrades!$U$20,L207),1)*IF(Upgrades!$T$21="Microlensing",POWER(Upgrades!$U$21,M207),1))*$G$6*(Parameters!$B$10/60*Parameters!$B$11+Q207)/AM207,0)</f>
        <v/>
      </c>
      <c r="BB207" s="32">
        <f>IFERROR((Upgrades!$N$16*(POWER(Upgrades!$R$13,E207)*POWER(Upgrades!$R$14,F207)*POWER(Upgrades!$R$15,G207)*POWER(Upgrades!$R$16,H207)*POWER(Upgrades!$R$17,I207)*POWER(Upgrades!$R$18,J207)*POWER(Upgrades!$R$19,K207)*POWER(Upgrades!$R$20,L207)*POWER(Upgrades!$R$21,M207))*(IF(Upgrades!$T$13="Roche Lobe Overflow",POWER(Upgrades!$U$13,E207),1)*IF(Upgrades!$T$14="Roche Lobe Overflow",POWER(Upgrades!$U$14,F207),1)*IF(Upgrades!$T$15="Roche Lobe Overflow",POWER(Upgrades!$U$15,G207),1)*IF(Upgrades!$T$17="Roche Lobe Overflow",POWER(Upgrades!$U$17,I207),1)*IF(Upgrades!$T$18="Roche Lobe Overflow",POWER(Upgrades!$U$18,J207),1)*IF(Upgrades!$T$19="Roche Lobe Overflow",POWER(Upgrades!$U$19,K207),1)*IF(Upgrades!$T$20="Roche Lobe Overflow",POWER(Upgrades!$U$20,L207),1)*IF(Upgrades!$T$21="Roche Lobe Overflow",POWER(Upgrades!$U$21,M207),1))*$H$6*O207+((IF(F207=0,0,(Upgrades!$G$14+F207*Upgrades!$H$14)*POWER(Upgrades!$I$14,F207)))*(IF(Upgrades!$T$13="Local Bubble",POWER(Upgrades!$U$13,E207),1)*IF(Upgrades!$T$15="Local Bubble",POWER(Upgrades!$U$15,G207),1)*IF(Upgrades!$T$16="Local Bubble",POWER(Upgrades!$U$16,H207),1)*IF(Upgrades!$T$17="Local Bubble",POWER(Upgrades!$U$17,I207),1)*IF(Upgrades!$T$18="Local Bubble",POWER(Upgrades!$U$18,J207),1)*IF(Upgrades!$T$19="Local Bubble",POWER(Upgrades!$U$19,K207),1)*IF(Upgrades!$T$20="Local Bubble",POWER(Upgrades!$U$20,L207),1)*IF(Upgrades!$T$21="Local Bubble",POWER(Upgrades!$U$21,M207),1))*POWER(Upgrades!$P$13,E207)*POWER(Upgrades!$P$14,F207)*POWER(Upgrades!$P$15,G207)*POWER(Upgrades!$P$16,H207)*POWER(Upgrades!$P$17,I207)*POWER(Upgrades!$P$18,J207)*POWER(Upgrades!$P$19,K207)*POWER(Upgrades!$P$20,L207)*POWER(Upgrades!$P$21,M207)*$F$6)*0.05)/AN207,0)</f>
        <v/>
      </c>
      <c r="BC207" s="32">
        <f>IFERROR((Upgrades!$H$17*(POWER(Upgrades!$P$13,E207)*POWER(Upgrades!$P$14,F207)*POWER(Upgrades!$P$15,G207)*POWER(Upgrades!$P$16,H207)*POWER(Upgrades!$P$17,I207)*POWER(Upgrades!$P$18,J207)*POWER(Upgrades!$P$19,K207)*POWER(Upgrades!$P$20,L207)*POWER(Upgrades!$P$21,M207))*(IF(Upgrades!$T$13="Brown Dwarf",POWER(Upgrades!$U$13,E207),1)*IF(Upgrades!$T$14="Brown Dwarf",POWER(Upgrades!$U$14,F207),1)*IF(Upgrades!$T$15="Brown Dwarf",POWER(Upgrades!$U$15,G207),1)*IF(Upgrades!$T$16="Brown Dwarf",POWER(Upgrades!$U$16,H207),1)*IF(Upgrades!$T$18="Brown Dwarf",POWER(Upgrades!$U$18,J207),1)*IF(Upgrades!$T$19="Brown Dwarf",POWER(Upgrades!$U$19,K207),1)*IF(Upgrades!$T$20="Brown Dwarf",POWER(Upgrades!$U$20,L207),1)*IF(Upgrades!$T$21="Brown Dwarf",POWER(Upgrades!$U$21,M207),1))*$F$6+(((IF(H207=0,0,(Upgrades!$M$16+H207*Upgrades!$N$16)*POWER(Upgrades!$O$16,H207)))*(IF(Upgrades!$T$13="Roche Lobe Overflow",POWER(Upgrades!$U$13,E207),1)*IF(Upgrades!$T$14="Roche Lobe Overflow",POWER(Upgrades!$U$14,F207),1)*IF(Upgrades!$T$15="Roche Lobe Overflow",POWER(Upgrades!$U$15,G207),1)*IF(Upgrades!$T$17="Roche Lobe Overflow",POWER(Upgrades!$U$17,I207),1)*IF(Upgrades!$T$18="Roche Lobe Overflow",POWER(Upgrades!$U$18,J207),1)*IF(Upgrades!$T$19="Roche Lobe Overflow",POWER(Upgrades!$U$19,K207),1)*IF(Upgrades!$T$20="Roche Lobe Overflow",POWER(Upgrades!$U$20,L207),1)*IF(Upgrades!$T$21="Roche Lobe Overflow",POWER(Upgrades!$U$21,M207),1))*POWER(Upgrades!$R$13,E207)*POWER(Upgrades!$R$14,F207)*POWER(Upgrades!$R$15,G207)*POWER(Upgrades!$R$16,H207)*POWER(Upgrades!$R$17,I207)*POWER(Upgrades!$R$18,J207)*POWER(Upgrades!$R$19,K207)*POWER(Upgrades!$R$20,L207)*POWER(Upgrades!$R$21,M207)*$H$6)*O207)*0.10)/AO207,0)</f>
        <v/>
      </c>
      <c r="BD207" s="32">
        <f>MAX(IF(J207&gt;0,0,IFERROR(0.5*((IF(G207=0,0,(Upgrades!$J$15+G207*Upgrades!$K$15)*POWER(Upgrades!$L$15,G207)))*(IF(Upgrades!$T$13="Microlensing",POWER(Upgrades!$U$13,E207),1)*IF(Upgrades!$T$14="Microlensing",POWER(Upgrades!$U$14,F207),1)*IF(Upgrades!$T$16="Microlensing",POWER(Upgrades!$U$16,H207),1)*IF(Upgrades!$T$17="Microlensing",POWER(Upgrades!$U$17,I207),1)*IF(Upgrades!$T$18="Microlensing",POWER(Upgrades!$U$18,J207),1)*IF(Upgrades!$T$19="Microlensing",POWER(Upgrades!$U$19,K207),1)*IF(Upgrades!$T$20="Microlensing",POWER(Upgrades!$U$20,L207),1)*IF(Upgrades!$T$21="Microlensing",POWER(Upgrades!$U$21,M207),1))*(POWER(Upgrades!$Q$13,E207)*POWER(Upgrades!$Q$14,F207)*POWER(Upgrades!$Q$15,G207)*POWER(Upgrades!$Q$16,H207)*POWER(Upgrades!$Q$17,I207)*POWER(Upgrades!$Q$18,J207)*POWER(Upgrades!$Q$19,K207)*POWER(Upgrades!$Q$20,L207)*POWER(Upgrades!$Q$21,M207))*$G$6*(Parameters!$B$10/60*Parameters!$B$11+Q207))/Upgrades!$C$18,0)),IF(K207&gt;0,0,IFERROR(0.30*P207/Upgrades!$C$19,0)),IF(L207&gt;0,0,IFERROR(0.0001/Upgrades!$C$20,0)),IF(M207&gt;0,0,IFERROR((6.0*(POWER(Upgrades!$P$13,E207)*POWER(Upgrades!$P$14,F207)*POWER(Upgrades!$P$15,G207)*POWER(Upgrades!$P$16,H207)*POWER(Upgrades!$P$17,I207)*POWER(Upgrades!$P$18,J207)*POWER(Upgrades!$P$19,K207)*POWER(Upgrades!$P$20,L207)*POWER(Upgrades!$P$21,M207))*$F$6+0.20*O207*(Parameters!$B$10/60*Parameters!$B$11+Q207))/Upgrades!$C$21,0)),IF(AND(ISNUMBER(AK207),AK207&gt;(C207+T207)),AY207,0),IF(AND(ISNUMBER(AL207),AL207&gt;(C207+T207)),AZ207,0),IF(AND(ISNUMBER(AM207),AM207&gt;(C207+T207)),BA207,0),IF(AND(ISNUMBER(AN207),AN207&gt;(C207+T207)),BB207,0),IF(AND(ISNUMBER(AO207),AO207&gt;(C207+T207)),BC207,0))</f>
        <v/>
      </c>
      <c r="BE207" s="29">
        <f>IF(AT207=1,"transition",IF(MIN(IF(AND(J207=0,ISNUMBER(AP207),AP207&lt;=(C207+T207)),AP207,9E15),IF(AND(K207=0,ISNUMBER(AQ207),AQ207&lt;=(C207+T207)),AQ207,9E15),IF(AND(L207=0,ISNUMBER(AR207),AR207&lt;=(C207+T207)),AR207,9E15),IF(AND(M207=0,ISNUMBER(AS207),AS207&lt;=(C207+T207)),AS207,9E15))&lt;9E15,IF(AND(AND(J207=0,ISNUMBER(AP207),AP207&lt;=(C207+T207)),AP207=MIN(IF(AND(J207=0,ISNUMBER(AP207),AP207&lt;=(C207+T207)),AP207,9E15),IF(AND(K207=0,ISNUMBER(AQ207),AQ207&lt;=(C207+T207)),AQ207,9E15),IF(AND(L207=0,ISNUMBER(AR207),AR207&lt;=(C207+T207)),AR207,9E15),IF(AND(M207=0,ISNUMBER(AS207),AS207&lt;=(C207+T207)),AS207,9E15))),"BiP",IF(AND(AND(K207=0,ISNUMBER(AQ207),AQ207&lt;=(C207+T207)),AQ207=MIN(IF(AND(J207=0,ISNUMBER(AP207),AP207&lt;=(C207+T207)),AP207,9E15),IF(AND(K207=0,ISNUMBER(AQ207),AQ207&lt;=(C207+T207)),AQ207,9E15),IF(AND(L207=0,ISNUMBER(AR207),AR207&lt;=(C207+T207)),AR207,9E15),IF(AND(M207=0,ISNUMBER(AS207),AS207&lt;=(C207+T207)),AS207,9E15))),"PV",IF(AND(AND(L207=0,ISNUMBER(AR207),AR207&lt;=(C207+T207)),AR207=MIN(IF(AND(J207=0,ISNUMBER(AP207),AP207&lt;=(C207+T207)),AP207,9E15),IF(AND(K207=0,ISNUMBER(AQ207),AQ207&lt;=(C207+T207)),AQ207,9E15),IF(AND(L207=0,ISNUMBER(AR207),AR207&lt;=(C207+T207)),AR207,9E15),IF(AND(M207=0,ISNUMBER(AS207),AS207&lt;=(C207+T207)),AS207,9E15))),"OC","MG"))),IF(AX207=TRUE,"",IF(MAX(IF(AND(NOT(AND(AU207=1,AT207&lt;&gt;1)),ISNUMBER(AK207),AK207&lt;=(C207+T207)),AY207,0),IF(AND(NOT(AND(AU207=1,AT207&lt;&gt;1)),ISNUMBER(AL207),AL207&lt;=(C207+T207)),AZ207,0),IF(AND(NOT(AND(AU207=1,AT207&lt;&gt;1)),ISNUMBER(AM207),AM207&lt;=(C207+T207)),BA207,0),IF(AND(NOT(AND(AU207=1,AT207&lt;&gt;1)),ISNUMBER(AN207),AN207&lt;=(C207+T207)),BB207,0),IF(AND(ISNUMBER(AO207),AO207&lt;=(C207+T207)),BC207,0))&lt;=0,"",IF(AND(IF(AND(NOT(AND(AU207=1,AT207&lt;&gt;1)),ISNUMBER(AK207),AK207&lt;=(C207+T207)),AY207,0)&gt;0,IF(AND(NOT(AND(AU207=1,AT207&lt;&gt;1)),ISNUMBER(AK207),AK207&lt;=(C207+T207)),AY207,0)=MAX(IF(AND(NOT(AND(AU207=1,AT207&lt;&gt;1)),ISNUMBER(AK207),AK207&lt;=(C207+T207)),AY207,0),IF(AND(NOT(AND(AU207=1,AT207&lt;&gt;1)),ISNUMBER(AL207),AL207&lt;=(C207+T207)),AZ207,0),IF(AND(NOT(AND(AU207=1,AT207&lt;&gt;1)),ISNUMBER(AM207),AM207&lt;=(C207+T207)),BA207,0),IF(AND(NOT(AND(AU207=1,AT207&lt;&gt;1)),ISNUMBER(AN207),AN207&lt;=(C207+T207)),BB207,0),IF(AND(ISNUMBER(AO207),AO207&lt;=(C207+T207)),BC207,0))),"SK",IF(AND(IF(AND(NOT(AND(AU207=1,AT207&lt;&gt;1)),ISNUMBER(AL207),AL207&lt;=(C207+T207)),AZ207,0)&gt;0,IF(AND(NOT(AND(AU207=1,AT207&lt;&gt;1)),ISNUMBER(AL207),AL207&lt;=(C207+T207)),AZ207,0)=MAX(IF(AND(NOT(AND(AU207=1,AT207&lt;&gt;1)),ISNUMBER(AK207),AK207&lt;=(C207+T207)),AY207,0),IF(AND(NOT(AND(AU207=1,AT207&lt;&gt;1)),ISNUMBER(AL207),AL207&lt;=(C207+T207)),AZ207,0),IF(AND(NOT(AND(AU207=1,AT207&lt;&gt;1)),ISNUMBER(AM207),AM207&lt;=(C207+T207)),BA207,0),IF(AND(NOT(AND(AU207=1,AT207&lt;&gt;1)),ISNUMBER(AN207),AN207&lt;=(C207+T207)),BB207,0),IF(AND(ISNUMBER(AO207),AO207&lt;=(C207+T207)),BC207,0))),"LB",IF(AND(IF(AND(NOT(AND(AU207=1,AT207&lt;&gt;1)),ISNUMBER(AM207),AM207&lt;=(C207+T207)),BA207,0)&gt;0,IF(AND(NOT(AND(AU207=1,AT207&lt;&gt;1)),ISNUMBER(AM207),AM207&lt;=(C207+T207)),BA207,0)=MAX(IF(AND(NOT(AND(AU207=1,AT207&lt;&gt;1)),ISNUMBER(AK207),AK207&lt;=(C207+T207)),AY207,0),IF(AND(NOT(AND(AU207=1,AT207&lt;&gt;1)),ISNUMBER(AL207),AL207&lt;=(C207+T207)),AZ207,0),IF(AND(NOT(AND(AU207=1,AT207&lt;&gt;1)),ISNUMBER(AM207),AM207&lt;=(C207+T207)),BA207,0),IF(AND(NOT(AND(AU207=1,AT207&lt;&gt;1)),ISNUMBER(AN207),AN207&lt;=(C207+T207)),BB207,0),IF(AND(ISNUMBER(AO207),AO207&lt;=(C207+T207)),BC207,0))),"ML",IF(AND(IF(AND(NOT(AND(AU207=1,AT207&lt;&gt;1)),ISNUMBER(AN207),AN207&lt;=(C207+T207)),BB207,0)&gt;0,IF(AND(NOT(AND(AU207=1,AT207&lt;&gt;1)),ISNUMBER(AN207),AN207&lt;=(C207+T207)),BB207,0)=MAX(IF(AND(NOT(AND(AU207=1,AT207&lt;&gt;1)),ISNUMBER(AK207),AK207&lt;=(C207+T207)),AY207,0),IF(AND(NOT(AND(AU207=1,AT207&lt;&gt;1)),ISNUMBER(AL207),AL207&lt;=(C207+T207)),AZ207,0),IF(AND(NOT(AND(AU207=1,AT207&lt;&gt;1)),ISNUMBER(AM207),AM207&lt;=(C207+T207)),BA207,0),IF(AND(NOT(AND(AU207=1,AT207&lt;&gt;1)),ISNUMBER(AN207),AN207&lt;=(C207+T207)),BB207,0),IF(AND(ISNUMBER(AO207),AO207&lt;=(C207+T207)),BC207,0))),"RLO","BD"))))))))</f>
        <v/>
      </c>
    </row>
    <row r="208">
      <c r="A208" s="26" t="n">
        <v>197</v>
      </c>
      <c r="B208" s="27">
        <f>A208*10/60</f>
        <v/>
      </c>
      <c r="C208" s="22">
        <f>X207</f>
        <v/>
      </c>
      <c r="D208" s="27">
        <f>D207+W207</f>
        <v/>
      </c>
      <c r="E208" s="26">
        <f>E207+IF(U207="SK",1,0)</f>
        <v/>
      </c>
      <c r="F208" s="26">
        <f>F207+IF(U207="LB",1,0)</f>
        <v/>
      </c>
      <c r="G208" s="26">
        <f>G207+IF(U207="ML",1,0)</f>
        <v/>
      </c>
      <c r="H208" s="26">
        <f>H207+IF(U207="RLO",1,0)</f>
        <v/>
      </c>
      <c r="I208" s="26">
        <f>I207+IF(U207="BD",1,0)</f>
        <v/>
      </c>
      <c r="J208" s="26">
        <f>MAX(J207,IF(U207="BiP",1,0))</f>
        <v/>
      </c>
      <c r="K208" s="26">
        <f>MAX(K207,IF(U207="PV",1,0))</f>
        <v/>
      </c>
      <c r="L208" s="26">
        <f>MAX(L207,IF(U207="OC",1,0))</f>
        <v/>
      </c>
      <c r="M208" s="26">
        <f>MAX(M207,IF(U207="MG",1,0))</f>
        <v/>
      </c>
      <c r="N208" s="26">
        <f>MAX(N207,IF(U207="transition",1,0))</f>
        <v/>
      </c>
      <c r="O208" s="28">
        <f>(Parameters!$B$9+(IF(E208=0,0,(Upgrades!$J$13+E208*Upgrades!$K$13)*POWER(Upgrades!$L$13,E208)))*(IF(Upgrades!$T$14="Stellar Kinematics",POWER(Upgrades!$U$14,F208),1)*IF(Upgrades!$T$15="Stellar Kinematics",POWER(Upgrades!$U$15,G208),1)*IF(Upgrades!$T$16="Stellar Kinematics",POWER(Upgrades!$U$16,H208),1)*IF(Upgrades!$T$17="Stellar Kinematics",POWER(Upgrades!$U$17,I208),1)*IF(Upgrades!$T$18="Stellar Kinematics",POWER(Upgrades!$U$18,J208),1)*IF(Upgrades!$T$19="Stellar Kinematics",POWER(Upgrades!$U$19,K208),1)*IF(Upgrades!$T$20="Stellar Kinematics",POWER(Upgrades!$U$20,L208),1)*IF(Upgrades!$T$21="Stellar Kinematics",POWER(Upgrades!$U$21,M208),1))+(IF(F208=0,0,(Upgrades!$J$14+F208*Upgrades!$K$14)*POWER(Upgrades!$L$14,F208)))*(IF(Upgrades!$T$13="Local Bubble",POWER(Upgrades!$U$13,E208),1)*IF(Upgrades!$T$15="Local Bubble",POWER(Upgrades!$U$15,G208),1)*IF(Upgrades!$T$16="Local Bubble",POWER(Upgrades!$U$16,H208),1)*IF(Upgrades!$T$17="Local Bubble",POWER(Upgrades!$U$17,I208),1)*IF(Upgrades!$T$18="Local Bubble",POWER(Upgrades!$U$18,J208),1)*IF(Upgrades!$T$19="Local Bubble",POWER(Upgrades!$U$19,K208),1)*IF(Upgrades!$T$20="Local Bubble",POWER(Upgrades!$U$20,L208),1)*IF(Upgrades!$T$21="Local Bubble",POWER(Upgrades!$U$21,M208),1))+(IF(G208=0,0,(Upgrades!$J$15+G208*Upgrades!$K$15)*POWER(Upgrades!$L$15,G208)))*(IF(Upgrades!$T$13="Microlensing",POWER(Upgrades!$U$13,E208),1)*IF(Upgrades!$T$14="Microlensing",POWER(Upgrades!$U$14,F208),1)*IF(Upgrades!$T$16="Microlensing",POWER(Upgrades!$U$16,H208),1)*IF(Upgrades!$T$17="Microlensing",POWER(Upgrades!$U$17,I208),1)*IF(Upgrades!$T$18="Microlensing",POWER(Upgrades!$U$18,J208),1)*IF(Upgrades!$T$19="Microlensing",POWER(Upgrades!$U$19,K208),1)*IF(Upgrades!$T$20="Microlensing",POWER(Upgrades!$U$20,L208),1)*IF(Upgrades!$T$21="Microlensing",POWER(Upgrades!$U$21,M208),1))+(IF(H208=0,0,(Upgrades!$J$16+H208*Upgrades!$K$16)*POWER(Upgrades!$L$16,H208)))*(IF(Upgrades!$T$13="Roche Lobe Overflow",POWER(Upgrades!$U$13,E208),1)*IF(Upgrades!$T$14="Roche Lobe Overflow",POWER(Upgrades!$U$14,F208),1)*IF(Upgrades!$T$15="Roche Lobe Overflow",POWER(Upgrades!$U$15,G208),1)*IF(Upgrades!$T$17="Roche Lobe Overflow",POWER(Upgrades!$U$17,I208),1)*IF(Upgrades!$T$18="Roche Lobe Overflow",POWER(Upgrades!$U$18,J208),1)*IF(Upgrades!$T$19="Roche Lobe Overflow",POWER(Upgrades!$U$19,K208),1)*IF(Upgrades!$T$20="Roche Lobe Overflow",POWER(Upgrades!$U$20,L208),1)*IF(Upgrades!$T$21="Roche Lobe Overflow",POWER(Upgrades!$U$21,M208),1))+(IF(I208=0,0,(Upgrades!$J$17+I208*Upgrades!$K$17)*POWER(Upgrades!$L$17,I208)))*(IF(Upgrades!$T$13="Brown Dwarf",POWER(Upgrades!$U$13,E208),1)*IF(Upgrades!$T$14="Brown Dwarf",POWER(Upgrades!$U$14,F208),1)*IF(Upgrades!$T$15="Brown Dwarf",POWER(Upgrades!$U$15,G208),1)*IF(Upgrades!$T$16="Brown Dwarf",POWER(Upgrades!$U$16,H208),1)*IF(Upgrades!$T$18="Brown Dwarf",POWER(Upgrades!$U$18,J208),1)*IF(Upgrades!$T$19="Brown Dwarf",POWER(Upgrades!$U$19,K208),1)*IF(Upgrades!$T$20="Brown Dwarf",POWER(Upgrades!$U$20,L208),1)*IF(Upgrades!$T$21="Brown Dwarf",POWER(Upgrades!$U$21,M208),1))+(IF(J208=0,0,(Upgrades!$J$18+J208*Upgrades!$K$18)*POWER(Upgrades!$L$18,J208)))*(IF(Upgrades!$T$13="Binary Partner",POWER(Upgrades!$U$13,E208),1)*IF(Upgrades!$T$14="Binary Partner",POWER(Upgrades!$U$14,F208),1)*IF(Upgrades!$T$15="Binary Partner",POWER(Upgrades!$U$15,G208),1)*IF(Upgrades!$T$16="Binary Partner",POWER(Upgrades!$U$16,H208),1)*IF(Upgrades!$T$17="Binary Partner",POWER(Upgrades!$U$17,I208),1)*IF(Upgrades!$T$19="Binary Partner",POWER(Upgrades!$U$19,K208),1)*IF(Upgrades!$T$20="Binary Partner",POWER(Upgrades!$U$20,L208),1)*IF(Upgrades!$T$21="Binary Partner",POWER(Upgrades!$U$21,M208),1))+(IF(K208=0,0,(Upgrades!$J$19+K208*Upgrades!$K$19)*POWER(Upgrades!$L$19,K208)))*(IF(Upgrades!$T$13="Peculiar Velocity",POWER(Upgrades!$U$13,E208),1)*IF(Upgrades!$T$14="Peculiar Velocity",POWER(Upgrades!$U$14,F208),1)*IF(Upgrades!$T$15="Peculiar Velocity",POWER(Upgrades!$U$15,G208),1)*IF(Upgrades!$T$16="Peculiar Velocity",POWER(Upgrades!$U$16,H208),1)*IF(Upgrades!$T$17="Peculiar Velocity",POWER(Upgrades!$U$17,I208),1)*IF(Upgrades!$T$18="Peculiar Velocity",POWER(Upgrades!$U$18,J208),1)*IF(Upgrades!$T$20="Peculiar Velocity",POWER(Upgrades!$U$20,L208),1)*IF(Upgrades!$T$21="Peculiar Velocity",POWER(Upgrades!$U$21,M208),1))+(IF(L208=0,0,(Upgrades!$J$20+L208*Upgrades!$K$20)*POWER(Upgrades!$L$20,L208)))*(IF(Upgrades!$T$13="Open Cluster",POWER(Upgrades!$U$13,E208),1)*IF(Upgrades!$T$14="Open Cluster",POWER(Upgrades!$U$14,F208),1)*IF(Upgrades!$T$15="Open Cluster",POWER(Upgrades!$U$15,G208),1)*IF(Upgrades!$T$16="Open Cluster",POWER(Upgrades!$U$16,H208),1)*IF(Upgrades!$T$17="Open Cluster",POWER(Upgrades!$U$17,I208),1)*IF(Upgrades!$T$18="Open Cluster",POWER(Upgrades!$U$18,J208),1)*IF(Upgrades!$T$19="Open Cluster",POWER(Upgrades!$U$19,K208),1)*IF(Upgrades!$T$21="Open Cluster",POWER(Upgrades!$U$21,M208),1))+(IF(M208=0,0,(Upgrades!$J$21+M208*Upgrades!$K$21)*POWER(Upgrades!$L$21,M208)))*(IF(Upgrades!$T$13="Moving Group",POWER(Upgrades!$U$13,E208),1)*IF(Upgrades!$T$14="Moving Group",POWER(Upgrades!$U$14,F208),1)*IF(Upgrades!$T$15="Moving Group",POWER(Upgrades!$U$15,G208),1)*IF(Upgrades!$T$16="Moving Group",POWER(Upgrades!$U$16,H208),1)*IF(Upgrades!$T$17="Moving Group",POWER(Upgrades!$U$17,I208),1)*IF(Upgrades!$T$18="Moving Group",POWER(Upgrades!$U$18,J208),1)*IF(Upgrades!$T$19="Moving Group",POWER(Upgrades!$U$19,K208),1)*IF(Upgrades!$T$20="Moving Group",POWER(Upgrades!$U$20,L208),1)))*POWER(Upgrades!$Q$13,E208)*POWER(Upgrades!$Q$14,F208)*POWER(Upgrades!$Q$15,G208)*POWER(Upgrades!$Q$16,H208)*POWER(Upgrades!$Q$17,I208)*POWER(Upgrades!$Q$18,J208)*POWER(Upgrades!$Q$19,K208)*POWER(Upgrades!$Q$20,L208)*POWER(Upgrades!$Q$21,M208)*$G$6+$D$6</f>
        <v/>
      </c>
      <c r="P208" s="28">
        <f>((IF(E208=0,0,(Upgrades!$G$13+E208*Upgrades!$H$13)*POWER(Upgrades!$I$13,E208)))*(IF(Upgrades!$T$14="Stellar Kinematics",POWER(Upgrades!$U$14,F208),1)*IF(Upgrades!$T$15="Stellar Kinematics",POWER(Upgrades!$U$15,G208),1)*IF(Upgrades!$T$16="Stellar Kinematics",POWER(Upgrades!$U$16,H208),1)*IF(Upgrades!$T$17="Stellar Kinematics",POWER(Upgrades!$U$17,I208),1)*IF(Upgrades!$T$18="Stellar Kinematics",POWER(Upgrades!$U$18,J208),1)*IF(Upgrades!$T$19="Stellar Kinematics",POWER(Upgrades!$U$19,K208),1)*IF(Upgrades!$T$20="Stellar Kinematics",POWER(Upgrades!$U$20,L208),1)*IF(Upgrades!$T$21="Stellar Kinematics",POWER(Upgrades!$U$21,M208),1))+(IF(F208=0,0,(Upgrades!$G$14+F208*Upgrades!$H$14)*POWER(Upgrades!$I$14,F208)))*(IF(Upgrades!$T$13="Local Bubble",POWER(Upgrades!$U$13,E208),1)*IF(Upgrades!$T$15="Local Bubble",POWER(Upgrades!$U$15,G208),1)*IF(Upgrades!$T$16="Local Bubble",POWER(Upgrades!$U$16,H208),1)*IF(Upgrades!$T$17="Local Bubble",POWER(Upgrades!$U$17,I208),1)*IF(Upgrades!$T$18="Local Bubble",POWER(Upgrades!$U$18,J208),1)*IF(Upgrades!$T$19="Local Bubble",POWER(Upgrades!$U$19,K208),1)*IF(Upgrades!$T$20="Local Bubble",POWER(Upgrades!$U$20,L208),1)*IF(Upgrades!$T$21="Local Bubble",POWER(Upgrades!$U$21,M208),1))+(IF(G208=0,0,(Upgrades!$G$15+G208*Upgrades!$H$15)*POWER(Upgrades!$I$15,G208)))*(IF(Upgrades!$T$13="Microlensing",POWER(Upgrades!$U$13,E208),1)*IF(Upgrades!$T$14="Microlensing",POWER(Upgrades!$U$14,F208),1)*IF(Upgrades!$T$16="Microlensing",POWER(Upgrades!$U$16,H208),1)*IF(Upgrades!$T$17="Microlensing",POWER(Upgrades!$U$17,I208),1)*IF(Upgrades!$T$18="Microlensing",POWER(Upgrades!$U$18,J208),1)*IF(Upgrades!$T$19="Microlensing",POWER(Upgrades!$U$19,K208),1)*IF(Upgrades!$T$20="Microlensing",POWER(Upgrades!$U$20,L208),1)*IF(Upgrades!$T$21="Microlensing",POWER(Upgrades!$U$21,M208),1))+(IF(H208=0,0,(Upgrades!$G$16+H208*Upgrades!$H$16)*POWER(Upgrades!$I$16,H208)))*(IF(Upgrades!$T$13="Roche Lobe Overflow",POWER(Upgrades!$U$13,E208),1)*IF(Upgrades!$T$14="Roche Lobe Overflow",POWER(Upgrades!$U$14,F208),1)*IF(Upgrades!$T$15="Roche Lobe Overflow",POWER(Upgrades!$U$15,G208),1)*IF(Upgrades!$T$17="Roche Lobe Overflow",POWER(Upgrades!$U$17,I208),1)*IF(Upgrades!$T$18="Roche Lobe Overflow",POWER(Upgrades!$U$18,J208),1)*IF(Upgrades!$T$19="Roche Lobe Overflow",POWER(Upgrades!$U$19,K208),1)*IF(Upgrades!$T$20="Roche Lobe Overflow",POWER(Upgrades!$U$20,L208),1)*IF(Upgrades!$T$21="Roche Lobe Overflow",POWER(Upgrades!$U$21,M208),1))+(IF(I208=0,0,(Upgrades!$G$17+I208*Upgrades!$H$17)*POWER(Upgrades!$I$17,I208)))*(IF(Upgrades!$T$13="Brown Dwarf",POWER(Upgrades!$U$13,E208),1)*IF(Upgrades!$T$14="Brown Dwarf",POWER(Upgrades!$U$14,F208),1)*IF(Upgrades!$T$15="Brown Dwarf",POWER(Upgrades!$U$15,G208),1)*IF(Upgrades!$T$16="Brown Dwarf",POWER(Upgrades!$U$16,H208),1)*IF(Upgrades!$T$18="Brown Dwarf",POWER(Upgrades!$U$18,J208),1)*IF(Upgrades!$T$19="Brown Dwarf",POWER(Upgrades!$U$19,K208),1)*IF(Upgrades!$T$20="Brown Dwarf",POWER(Upgrades!$U$20,L208),1)*IF(Upgrades!$T$21="Brown Dwarf",POWER(Upgrades!$U$21,M208),1))+(IF(J208=0,0,(Upgrades!$G$18+J208*Upgrades!$H$18)*POWER(Upgrades!$I$18,J208)))*(IF(Upgrades!$T$13="Binary Partner",POWER(Upgrades!$U$13,E208),1)*IF(Upgrades!$T$14="Binary Partner",POWER(Upgrades!$U$14,F208),1)*IF(Upgrades!$T$15="Binary Partner",POWER(Upgrades!$U$15,G208),1)*IF(Upgrades!$T$16="Binary Partner",POWER(Upgrades!$U$16,H208),1)*IF(Upgrades!$T$17="Binary Partner",POWER(Upgrades!$U$17,I208),1)*IF(Upgrades!$T$19="Binary Partner",POWER(Upgrades!$U$19,K208),1)*IF(Upgrades!$T$20="Binary Partner",POWER(Upgrades!$U$20,L208),1)*IF(Upgrades!$T$21="Binary Partner",POWER(Upgrades!$U$21,M208),1))+(IF(K208=0,0,(Upgrades!$G$19+K208*Upgrades!$H$19)*POWER(Upgrades!$I$19,K208)))*(IF(Upgrades!$T$13="Peculiar Velocity",POWER(Upgrades!$U$13,E208),1)*IF(Upgrades!$T$14="Peculiar Velocity",POWER(Upgrades!$U$14,F208),1)*IF(Upgrades!$T$15="Peculiar Velocity",POWER(Upgrades!$U$15,G208),1)*IF(Upgrades!$T$16="Peculiar Velocity",POWER(Upgrades!$U$16,H208),1)*IF(Upgrades!$T$17="Peculiar Velocity",POWER(Upgrades!$U$17,I208),1)*IF(Upgrades!$T$18="Peculiar Velocity",POWER(Upgrades!$U$18,J208),1)*IF(Upgrades!$T$20="Peculiar Velocity",POWER(Upgrades!$U$20,L208),1)*IF(Upgrades!$T$21="Peculiar Velocity",POWER(Upgrades!$U$21,M208),1))+(IF(L208=0,0,(Upgrades!$G$20+L208*Upgrades!$H$20)*POWER(Upgrades!$I$20,L208)))*(IF(Upgrades!$T$13="Open Cluster",POWER(Upgrades!$U$13,E208),1)*IF(Upgrades!$T$14="Open Cluster",POWER(Upgrades!$U$14,F208),1)*IF(Upgrades!$T$15="Open Cluster",POWER(Upgrades!$U$15,G208),1)*IF(Upgrades!$T$16="Open Cluster",POWER(Upgrades!$U$16,H208),1)*IF(Upgrades!$T$17="Open Cluster",POWER(Upgrades!$U$17,I208),1)*IF(Upgrades!$T$18="Open Cluster",POWER(Upgrades!$U$18,J208),1)*IF(Upgrades!$T$19="Open Cluster",POWER(Upgrades!$U$19,K208),1)*IF(Upgrades!$T$21="Open Cluster",POWER(Upgrades!$U$21,M208),1))+(IF(M208=0,0,(Upgrades!$G$21+M208*Upgrades!$H$21)*POWER(Upgrades!$I$21,M208)))*(IF(Upgrades!$T$13="Moving Group",POWER(Upgrades!$U$13,E208),1)*IF(Upgrades!$T$14="Moving Group",POWER(Upgrades!$U$14,F208),1)*IF(Upgrades!$T$15="Moving Group",POWER(Upgrades!$U$15,G208),1)*IF(Upgrades!$T$16="Moving Group",POWER(Upgrades!$U$16,H208),1)*IF(Upgrades!$T$17="Moving Group",POWER(Upgrades!$U$17,I208),1)*IF(Upgrades!$T$18="Moving Group",POWER(Upgrades!$U$18,J208),1)*IF(Upgrades!$T$19="Moving Group",POWER(Upgrades!$U$19,K208),1)*IF(Upgrades!$T$20="Moving Group",POWER(Upgrades!$U$20,L208),1)))*POWER(Upgrades!$P$13,E208)*POWER(Upgrades!$P$14,F208)*POWER(Upgrades!$P$15,G208)*POWER(Upgrades!$P$16,H208)*POWER(Upgrades!$P$17,I208)*POWER(Upgrades!$P$18,J208)*POWER(Upgrades!$P$19,K208)*POWER(Upgrades!$P$20,L208)*POWER(Upgrades!$P$21,M208)*$F$6+$C$6</f>
        <v/>
      </c>
      <c r="Q208" s="28">
        <f>((IF(E208=0,0,(Upgrades!$M$13+E208*Upgrades!$N$13)*POWER(Upgrades!$O$13,E208)))*(IF(Upgrades!$T$14="Stellar Kinematics",POWER(Upgrades!$U$14,F208),1)*IF(Upgrades!$T$15="Stellar Kinematics",POWER(Upgrades!$U$15,G208),1)*IF(Upgrades!$T$16="Stellar Kinematics",POWER(Upgrades!$U$16,H208),1)*IF(Upgrades!$T$17="Stellar Kinematics",POWER(Upgrades!$U$17,I208),1)*IF(Upgrades!$T$18="Stellar Kinematics",POWER(Upgrades!$U$18,J208),1)*IF(Upgrades!$T$19="Stellar Kinematics",POWER(Upgrades!$U$19,K208),1)*IF(Upgrades!$T$20="Stellar Kinematics",POWER(Upgrades!$U$20,L208),1)*IF(Upgrades!$T$21="Stellar Kinematics",POWER(Upgrades!$U$21,M208),1))+(IF(F208=0,0,(Upgrades!$M$14+F208*Upgrades!$N$14)*POWER(Upgrades!$O$14,F208)))*(IF(Upgrades!$T$13="Local Bubble",POWER(Upgrades!$U$13,E208),1)*IF(Upgrades!$T$15="Local Bubble",POWER(Upgrades!$U$15,G208),1)*IF(Upgrades!$T$16="Local Bubble",POWER(Upgrades!$U$16,H208),1)*IF(Upgrades!$T$17="Local Bubble",POWER(Upgrades!$U$17,I208),1)*IF(Upgrades!$T$18="Local Bubble",POWER(Upgrades!$U$18,J208),1)*IF(Upgrades!$T$19="Local Bubble",POWER(Upgrades!$U$19,K208),1)*IF(Upgrades!$T$20="Local Bubble",POWER(Upgrades!$U$20,L208),1)*IF(Upgrades!$T$21="Local Bubble",POWER(Upgrades!$U$21,M208),1))+(IF(G208=0,0,(Upgrades!$M$15+G208*Upgrades!$N$15)*POWER(Upgrades!$O$15,G208)))*(IF(Upgrades!$T$13="Microlensing",POWER(Upgrades!$U$13,E208),1)*IF(Upgrades!$T$14="Microlensing",POWER(Upgrades!$U$14,F208),1)*IF(Upgrades!$T$16="Microlensing",POWER(Upgrades!$U$16,H208),1)*IF(Upgrades!$T$17="Microlensing",POWER(Upgrades!$U$17,I208),1)*IF(Upgrades!$T$18="Microlensing",POWER(Upgrades!$U$18,J208),1)*IF(Upgrades!$T$19="Microlensing",POWER(Upgrades!$U$19,K208),1)*IF(Upgrades!$T$20="Microlensing",POWER(Upgrades!$U$20,L208),1)*IF(Upgrades!$T$21="Microlensing",POWER(Upgrades!$U$21,M208),1))+(IF(H208=0,0,(Upgrades!$M$16+H208*Upgrades!$N$16)*POWER(Upgrades!$O$16,H208)))*(IF(Upgrades!$T$13="Roche Lobe Overflow",POWER(Upgrades!$U$13,E208),1)*IF(Upgrades!$T$14="Roche Lobe Overflow",POWER(Upgrades!$U$14,F208),1)*IF(Upgrades!$T$15="Roche Lobe Overflow",POWER(Upgrades!$U$15,G208),1)*IF(Upgrades!$T$17="Roche Lobe Overflow",POWER(Upgrades!$U$17,I208),1)*IF(Upgrades!$T$18="Roche Lobe Overflow",POWER(Upgrades!$U$18,J208),1)*IF(Upgrades!$T$19="Roche Lobe Overflow",POWER(Upgrades!$U$19,K208),1)*IF(Upgrades!$T$20="Roche Lobe Overflow",POWER(Upgrades!$U$20,L208),1)*IF(Upgrades!$T$21="Roche Lobe Overflow",POWER(Upgrades!$U$21,M208),1))+(IF(I208=0,0,(Upgrades!$M$17+I208*Upgrades!$N$17)*POWER(Upgrades!$O$17,I208)))*(IF(Upgrades!$T$13="Brown Dwarf",POWER(Upgrades!$U$13,E208),1)*IF(Upgrades!$T$14="Brown Dwarf",POWER(Upgrades!$U$14,F208),1)*IF(Upgrades!$T$15="Brown Dwarf",POWER(Upgrades!$U$15,G208),1)*IF(Upgrades!$T$16="Brown Dwarf",POWER(Upgrades!$U$16,H208),1)*IF(Upgrades!$T$18="Brown Dwarf",POWER(Upgrades!$U$18,J208),1)*IF(Upgrades!$T$19="Brown Dwarf",POWER(Upgrades!$U$19,K208),1)*IF(Upgrades!$T$20="Brown Dwarf",POWER(Upgrades!$U$20,L208),1)*IF(Upgrades!$T$21="Brown Dwarf",POWER(Upgrades!$U$21,M208),1))+(IF(J208=0,0,(Upgrades!$M$18+J208*Upgrades!$N$18)*POWER(Upgrades!$O$18,J208)))*(IF(Upgrades!$T$13="Binary Partner",POWER(Upgrades!$U$13,E208),1)*IF(Upgrades!$T$14="Binary Partner",POWER(Upgrades!$U$14,F208),1)*IF(Upgrades!$T$15="Binary Partner",POWER(Upgrades!$U$15,G208),1)*IF(Upgrades!$T$16="Binary Partner",POWER(Upgrades!$U$16,H208),1)*IF(Upgrades!$T$17="Binary Partner",POWER(Upgrades!$U$17,I208),1)*IF(Upgrades!$T$19="Binary Partner",POWER(Upgrades!$U$19,K208),1)*IF(Upgrades!$T$20="Binary Partner",POWER(Upgrades!$U$20,L208),1)*IF(Upgrades!$T$21="Binary Partner",POWER(Upgrades!$U$21,M208),1))+(IF(K208=0,0,(Upgrades!$M$19+K208*Upgrades!$N$19)*POWER(Upgrades!$O$19,K208)))*(IF(Upgrades!$T$13="Peculiar Velocity",POWER(Upgrades!$U$13,E208),1)*IF(Upgrades!$T$14="Peculiar Velocity",POWER(Upgrades!$U$14,F208),1)*IF(Upgrades!$T$15="Peculiar Velocity",POWER(Upgrades!$U$15,G208),1)*IF(Upgrades!$T$16="Peculiar Velocity",POWER(Upgrades!$U$16,H208),1)*IF(Upgrades!$T$17="Peculiar Velocity",POWER(Upgrades!$U$17,I208),1)*IF(Upgrades!$T$18="Peculiar Velocity",POWER(Upgrades!$U$18,J208),1)*IF(Upgrades!$T$20="Peculiar Velocity",POWER(Upgrades!$U$20,L208),1)*IF(Upgrades!$T$21="Peculiar Velocity",POWER(Upgrades!$U$21,M208),1))+(IF(L208=0,0,(Upgrades!$M$20+L208*Upgrades!$N$20)*POWER(Upgrades!$O$20,L208)))*(IF(Upgrades!$T$13="Open Cluster",POWER(Upgrades!$U$13,E208),1)*IF(Upgrades!$T$14="Open Cluster",POWER(Upgrades!$U$14,F208),1)*IF(Upgrades!$T$15="Open Cluster",POWER(Upgrades!$U$15,G208),1)*IF(Upgrades!$T$16="Open Cluster",POWER(Upgrades!$U$16,H208),1)*IF(Upgrades!$T$17="Open Cluster",POWER(Upgrades!$U$17,I208),1)*IF(Upgrades!$T$18="Open Cluster",POWER(Upgrades!$U$18,J208),1)*IF(Upgrades!$T$19="Open Cluster",POWER(Upgrades!$U$19,K208),1)*IF(Upgrades!$T$21="Open Cluster",POWER(Upgrades!$U$21,M208),1))+(IF(M208=0,0,(Upgrades!$M$21+M208*Upgrades!$N$21)*POWER(Upgrades!$O$21,M208)))*(IF(Upgrades!$T$13="Moving Group",POWER(Upgrades!$U$13,E208),1)*IF(Upgrades!$T$14="Moving Group",POWER(Upgrades!$U$14,F208),1)*IF(Upgrades!$T$15="Moving Group",POWER(Upgrades!$U$15,G208),1)*IF(Upgrades!$T$16="Moving Group",POWER(Upgrades!$U$16,H208),1)*IF(Upgrades!$T$17="Moving Group",POWER(Upgrades!$U$17,I208),1)*IF(Upgrades!$T$18="Moving Group",POWER(Upgrades!$U$18,J208),1)*IF(Upgrades!$T$19="Moving Group",POWER(Upgrades!$U$19,K208),1)*IF(Upgrades!$T$20="Moving Group",POWER(Upgrades!$U$20,L208),1)))*POWER(Upgrades!$R$13,E208)*POWER(Upgrades!$R$14,F208)*POWER(Upgrades!$R$15,G208)*POWER(Upgrades!$R$16,H208)*POWER(Upgrades!$R$17,I208)*POWER(Upgrades!$R$18,J208)*POWER(Upgrades!$R$19,K208)*POWER(Upgrades!$R$20,L208)*POWER(Upgrades!$R$21,M208)*$H$6+$E$6</f>
        <v/>
      </c>
      <c r="R208" s="27">
        <f>IF(N208=1,0,O208*Parameters!$B$10/60*Parameters!$B$11*10)</f>
        <v/>
      </c>
      <c r="S208" s="27">
        <f>IF(N208=1,0,Q208*O208*10)</f>
        <v/>
      </c>
      <c r="T208" s="27">
        <f>IF(N208=1,0,R208+S208+P208*10)</f>
        <v/>
      </c>
      <c r="U208" s="33">
        <f>BE208</f>
        <v/>
      </c>
      <c r="V208" s="22">
        <f>IF(U208="",0,IF(U208="transition",0,IF(U208="SK",AK208,IF(U208="LB",AL208,IF(U208="ML",AM208,IF(U208="RLO",AN208,IF(U208="BD",AO208,IF(U208="BiP",AP208,IF(U208="PV",AQ208,IF(U208="OC",AR208,IF(U208="MG",AS208,0))))))))))</f>
        <v/>
      </c>
      <c r="W208" s="27">
        <f>IF(U208="BiP",Upgrades!$F$18,IF(U208="PV",Upgrades!$F$19,IF(U208="OC",Upgrades!$F$20,IF(U208="MG",Upgrades!$F$21,IF(U208="transition",-Parameters!$B$18*Parameters!$B$19,0)))))</f>
        <v/>
      </c>
      <c r="X208" s="22">
        <f>C208+T208-V208</f>
        <v/>
      </c>
      <c r="Y208" s="30">
        <f>O208*Parameters!$B$10/60*Parameters!$B$11+Q208*O208+P208</f>
        <v/>
      </c>
      <c r="Z208" s="34">
        <f>IF(U208="transition","→ Tier 3 (Galactic Arm)",IF(U208="MG","Moving Group — pocket drifts together",IF(U208="OC","Open Cluster acquired",IF(U208="PV","Peculiar Velocity — passive multiplier active",IF(U208="BiP","Binary Partner — pair bond formed",IF(AND(AU208=1,N208=0,AT208&lt;&gt;1),"Cohesion ready (waiting on completionists)","")))))) </f>
        <v/>
      </c>
      <c r="AA208" s="27">
        <f>(IF(E208=0,0,(Upgrades!$G$13+E208*Upgrades!$H$13)*POWER(Upgrades!$I$13,E208)))*(IF(Upgrades!$T$14="Stellar Kinematics",POWER(Upgrades!$U$14,F208),1)*IF(Upgrades!$T$15="Stellar Kinematics",POWER(Upgrades!$U$15,G208),1)*IF(Upgrades!$T$16="Stellar Kinematics",POWER(Upgrades!$U$16,H208),1)*IF(Upgrades!$T$17="Stellar Kinematics",POWER(Upgrades!$U$17,I208),1)*IF(Upgrades!$T$18="Stellar Kinematics",POWER(Upgrades!$U$18,J208),1)*IF(Upgrades!$T$19="Stellar Kinematics",POWER(Upgrades!$U$19,K208),1)*IF(Upgrades!$T$20="Stellar Kinematics",POWER(Upgrades!$U$20,L208),1)*IF(Upgrades!$T$21="Stellar Kinematics",POWER(Upgrades!$U$21,M208),1))*POWER(Upgrades!$P$13,E208)*POWER(Upgrades!$P$14,F208)*POWER(Upgrades!$P$15,G208)*POWER(Upgrades!$P$16,H208)*POWER(Upgrades!$P$17,I208)*POWER(Upgrades!$P$18,J208)*POWER(Upgrades!$P$19,K208)*POWER(Upgrades!$P$20,L208)*POWER(Upgrades!$P$21,M208)*$F$6*60</f>
        <v/>
      </c>
      <c r="AB208" s="27">
        <f>(IF(F208=0,0,(Upgrades!$G$14+F208*Upgrades!$H$14)*POWER(Upgrades!$I$14,F208)))*(IF(Upgrades!$T$13="Local Bubble",POWER(Upgrades!$U$13,E208),1)*IF(Upgrades!$T$15="Local Bubble",POWER(Upgrades!$U$15,G208),1)*IF(Upgrades!$T$16="Local Bubble",POWER(Upgrades!$U$16,H208),1)*IF(Upgrades!$T$17="Local Bubble",POWER(Upgrades!$U$17,I208),1)*IF(Upgrades!$T$18="Local Bubble",POWER(Upgrades!$U$18,J208),1)*IF(Upgrades!$T$19="Local Bubble",POWER(Upgrades!$U$19,K208),1)*IF(Upgrades!$T$20="Local Bubble",POWER(Upgrades!$U$20,L208),1)*IF(Upgrades!$T$21="Local Bubble",POWER(Upgrades!$U$21,M208),1))*POWER(Upgrades!$P$13,E208)*POWER(Upgrades!$P$14,F208)*POWER(Upgrades!$P$15,G208)*POWER(Upgrades!$P$16,H208)*POWER(Upgrades!$P$17,I208)*POWER(Upgrades!$P$18,J208)*POWER(Upgrades!$P$19,K208)*POWER(Upgrades!$P$20,L208)*POWER(Upgrades!$P$21,M208)*$F$6*60</f>
        <v/>
      </c>
      <c r="AC208" s="27">
        <f>(IF(G208=0,0,(Upgrades!$J$15+G208*Upgrades!$K$15)*POWER(Upgrades!$L$15,G208)))*(IF(Upgrades!$T$13="Microlensing",POWER(Upgrades!$U$13,E208),1)*IF(Upgrades!$T$14="Microlensing",POWER(Upgrades!$U$14,F208),1)*IF(Upgrades!$T$16="Microlensing",POWER(Upgrades!$U$16,H208),1)*IF(Upgrades!$T$17="Microlensing",POWER(Upgrades!$U$17,I208),1)*IF(Upgrades!$T$18="Microlensing",POWER(Upgrades!$U$18,J208),1)*IF(Upgrades!$T$19="Microlensing",POWER(Upgrades!$U$19,K208),1)*IF(Upgrades!$T$20="Microlensing",POWER(Upgrades!$U$20,L208),1)*IF(Upgrades!$T$21="Microlensing",POWER(Upgrades!$U$21,M208),1))*POWER(Upgrades!$Q$13,E208)*POWER(Upgrades!$Q$14,F208)*POWER(Upgrades!$Q$15,G208)*POWER(Upgrades!$Q$16,H208)*POWER(Upgrades!$Q$17,I208)*POWER(Upgrades!$Q$18,J208)*POWER(Upgrades!$Q$19,K208)*POWER(Upgrades!$Q$20,L208)*POWER(Upgrades!$Q$21,M208)*$G$6*(Parameters!$B$10*Parameters!$B$11+Q208*60)</f>
        <v/>
      </c>
      <c r="AD208" s="27">
        <f>(IF(H208=0,0,(Upgrades!$M$16+H208*Upgrades!$N$16)*POWER(Upgrades!$O$16,H208)))*(IF(Upgrades!$T$13="Roche Lobe Overflow",POWER(Upgrades!$U$13,E208),1)*IF(Upgrades!$T$14="Roche Lobe Overflow",POWER(Upgrades!$U$14,F208),1)*IF(Upgrades!$T$15="Roche Lobe Overflow",POWER(Upgrades!$U$15,G208),1)*IF(Upgrades!$T$17="Roche Lobe Overflow",POWER(Upgrades!$U$17,I208),1)*IF(Upgrades!$T$18="Roche Lobe Overflow",POWER(Upgrades!$U$18,J208),1)*IF(Upgrades!$T$19="Roche Lobe Overflow",POWER(Upgrades!$U$19,K208),1)*IF(Upgrades!$T$20="Roche Lobe Overflow",POWER(Upgrades!$U$20,L208),1)*IF(Upgrades!$T$21="Roche Lobe Overflow",POWER(Upgrades!$U$21,M208),1))*POWER(Upgrades!$R$13,E208)*POWER(Upgrades!$R$14,F208)*POWER(Upgrades!$R$15,G208)*POWER(Upgrades!$R$16,H208)*POWER(Upgrades!$R$17,I208)*POWER(Upgrades!$R$18,J208)*POWER(Upgrades!$R$19,K208)*POWER(Upgrades!$R$20,L208)*POWER(Upgrades!$R$21,M208)*$H$6*O208*60</f>
        <v/>
      </c>
      <c r="AE208" s="27">
        <f>(IF(I208=0,0,(Upgrades!$G$17+I208*Upgrades!$H$17)*POWER(Upgrades!$I$17,I208)))*(IF(Upgrades!$T$13="Brown Dwarf",POWER(Upgrades!$U$13,E208),1)*IF(Upgrades!$T$14="Brown Dwarf",POWER(Upgrades!$U$14,F208),1)*IF(Upgrades!$T$15="Brown Dwarf",POWER(Upgrades!$U$15,G208),1)*IF(Upgrades!$T$16="Brown Dwarf",POWER(Upgrades!$U$16,H208),1)*IF(Upgrades!$T$18="Brown Dwarf",POWER(Upgrades!$U$18,J208),1)*IF(Upgrades!$T$19="Brown Dwarf",POWER(Upgrades!$U$19,K208),1)*IF(Upgrades!$T$20="Brown Dwarf",POWER(Upgrades!$U$20,L208),1)*IF(Upgrades!$T$21="Brown Dwarf",POWER(Upgrades!$U$21,M208),1))*POWER(Upgrades!$P$13,E208)*POWER(Upgrades!$P$14,F208)*POWER(Upgrades!$P$15,G208)*POWER(Upgrades!$P$16,H208)*POWER(Upgrades!$P$17,I208)*POWER(Upgrades!$P$18,J208)*POWER(Upgrades!$P$19,K208)*POWER(Upgrades!$P$20,L208)*POWER(Upgrades!$P$21,M208)*$F$6*60</f>
        <v/>
      </c>
      <c r="AF208" s="27" t="n">
        <v>0</v>
      </c>
      <c r="AG208" s="27" t="n">
        <v>0</v>
      </c>
      <c r="AH208" s="27" t="n">
        <v>0</v>
      </c>
      <c r="AI208" s="27">
        <f>(IF(M208=0,0,(Upgrades!$G$21+M208*Upgrades!$H$21)*POWER(Upgrades!$I$21,M208)))*(IF(Upgrades!$T$13="Moving Group",POWER(Upgrades!$U$13,E208),1)*IF(Upgrades!$T$14="Moving Group",POWER(Upgrades!$U$14,F208),1)*IF(Upgrades!$T$15="Moving Group",POWER(Upgrades!$U$15,G208),1)*IF(Upgrades!$T$16="Moving Group",POWER(Upgrades!$U$16,H208),1)*IF(Upgrades!$T$17="Moving Group",POWER(Upgrades!$U$17,I208),1)*IF(Upgrades!$T$18="Moving Group",POWER(Upgrades!$U$18,J208),1)*IF(Upgrades!$T$19="Moving Group",POWER(Upgrades!$U$19,K208),1)*IF(Upgrades!$T$20="Moving Group",POWER(Upgrades!$U$20,L208),1))*POWER(Upgrades!$P$13,E208)*POWER(Upgrades!$P$14,F208)*POWER(Upgrades!$P$15,G208)*POWER(Upgrades!$P$16,H208)*POWER(Upgrades!$P$17,I208)*POWER(Upgrades!$P$18,J208)*POWER(Upgrades!$P$19,K208)*POWER(Upgrades!$P$20,L208)*POWER(Upgrades!$P$21,M208)*$F$6*60</f>
        <v/>
      </c>
      <c r="AJ208" s="27">
        <f>$C$6*60</f>
        <v/>
      </c>
      <c r="AK208" s="22">
        <f>IF(E208&gt;=Upgrades!$E$13,"",Upgrades!$C$13*POWER(Upgrades!$D$13,E208))</f>
        <v/>
      </c>
      <c r="AL208" s="22">
        <f>IF(F208&gt;=Upgrades!$E$14,"",Upgrades!$C$14*POWER(Upgrades!$D$14,F208))</f>
        <v/>
      </c>
      <c r="AM208" s="22">
        <f>IF(G208&gt;=Upgrades!$E$15,"",Upgrades!$C$15*POWER(Upgrades!$D$15,G208))</f>
        <v/>
      </c>
      <c r="AN208" s="22">
        <f>IF(H208&gt;=Upgrades!$E$16,"",Upgrades!$C$16*POWER(Upgrades!$D$16,H208))</f>
        <v/>
      </c>
      <c r="AO208" s="22">
        <f>IF(I208&gt;=Upgrades!$E$17,"",Upgrades!$C$17*POWER(Upgrades!$D$17,I208))</f>
        <v/>
      </c>
      <c r="AP208" s="22">
        <f>IF(J208&gt;=Upgrades!$E$18,"",Upgrades!$C$18*POWER(Upgrades!$D$18,J208))</f>
        <v/>
      </c>
      <c r="AQ208" s="22">
        <f>IF(K208&gt;=Upgrades!$E$19,"",Upgrades!$C$19*POWER(Upgrades!$D$19,K208))</f>
        <v/>
      </c>
      <c r="AR208" s="22">
        <f>IF(L208&gt;=Upgrades!$E$20,"",Upgrades!$C$20*POWER(Upgrades!$D$20,L208))</f>
        <v/>
      </c>
      <c r="AS208" s="22">
        <f>IF(M208&gt;=Upgrades!$E$21,"",Upgrades!$C$21*POWER(Upgrades!$D$21,M208))</f>
        <v/>
      </c>
      <c r="AT208" s="26">
        <f>IF(AND(D208&gt;=Parameters!$B$18*Parameters!$B$19,(I208&gt;=Upgrades!$E$17)*(M208&gt;=Upgrades!$E$21)=1,N208=0),1,"")</f>
        <v/>
      </c>
      <c r="AU208" s="26">
        <f>IF(AND(D208&gt;=Parameters!$B$18*Parameters!$B$19,N208=0),1,"")</f>
        <v/>
      </c>
      <c r="AV208" s="22">
        <f>MIN(IF(ISNUMBER(AP208),AP208,9E15),IF(ISNUMBER(AQ208),AQ208,9E15),IF(ISNUMBER(AR208),AR208,9E15),IF(ISNUMBER(AS208),AS208,9E15))</f>
        <v/>
      </c>
      <c r="AW208" s="22">
        <f>MIN(IF(ISNUMBER(AK208),AK208,9E15),IF(ISNUMBER(AL208),AL208,9E15),IF(ISNUMBER(AM208),AM208,9E15),IF(ISNUMBER(AN208),AN208,9E15),IF(ISNUMBER(AO208),AO208,9E15))</f>
        <v/>
      </c>
      <c r="AX208" s="29">
        <f>IF(BD208&gt;Parameters!$B$21*(MAX(IF(AND(NOT(AND(AU208=1,AT208&lt;&gt;1)),ISNUMBER(AK208),AK208&lt;=(C208+T208)),AY208,0),IF(AND(NOT(AND(AU208=1,AT208&lt;&gt;1)),ISNUMBER(AL208),AL208&lt;=(C208+T208)),AZ208,0),IF(AND(NOT(AND(AU208=1,AT208&lt;&gt;1)),ISNUMBER(AM208),AM208&lt;=(C208+T208)),BA208,0),IF(AND(NOT(AND(AU208=1,AT208&lt;&gt;1)),ISNUMBER(AN208),AN208&lt;=(C208+T208)),BB208,0),IF(AND(ISNUMBER(AO208),AO208&lt;=(C208+T208)),BC208,0))),TRUE,FALSE)</f>
        <v/>
      </c>
      <c r="AY208" s="32">
        <f>IFERROR(Upgrades!$H$13*(POWER(Upgrades!$P$13,E208)*POWER(Upgrades!$P$14,F208)*POWER(Upgrades!$P$15,G208)*POWER(Upgrades!$P$16,H208)*POWER(Upgrades!$P$17,I208)*POWER(Upgrades!$P$18,J208)*POWER(Upgrades!$P$19,K208)*POWER(Upgrades!$P$20,L208)*POWER(Upgrades!$P$21,M208))*(IF(Upgrades!$T$14="Stellar Kinematics",POWER(Upgrades!$U$14,F208),1)*IF(Upgrades!$T$15="Stellar Kinematics",POWER(Upgrades!$U$15,G208),1)*IF(Upgrades!$T$16="Stellar Kinematics",POWER(Upgrades!$U$16,H208),1)*IF(Upgrades!$T$17="Stellar Kinematics",POWER(Upgrades!$U$17,I208),1)*IF(Upgrades!$T$18="Stellar Kinematics",POWER(Upgrades!$U$18,J208),1)*IF(Upgrades!$T$19="Stellar Kinematics",POWER(Upgrades!$U$19,K208),1)*IF(Upgrades!$T$20="Stellar Kinematics",POWER(Upgrades!$U$20,L208),1)*IF(Upgrades!$T$21="Stellar Kinematics",POWER(Upgrades!$U$21,M208),1))*$F$6/AK208,0)</f>
        <v/>
      </c>
      <c r="AZ208" s="32">
        <f>IFERROR(Upgrades!$H$14*(POWER(Upgrades!$P$13,E208)*POWER(Upgrades!$P$14,F208)*POWER(Upgrades!$P$15,G208)*POWER(Upgrades!$P$16,H208)*POWER(Upgrades!$P$17,I208)*POWER(Upgrades!$P$18,J208)*POWER(Upgrades!$P$19,K208)*POWER(Upgrades!$P$20,L208)*POWER(Upgrades!$P$21,M208))*(IF(Upgrades!$T$13="Local Bubble",POWER(Upgrades!$U$13,E208),1)*IF(Upgrades!$T$15="Local Bubble",POWER(Upgrades!$U$15,G208),1)*IF(Upgrades!$T$16="Local Bubble",POWER(Upgrades!$U$16,H208),1)*IF(Upgrades!$T$17="Local Bubble",POWER(Upgrades!$U$17,I208),1)*IF(Upgrades!$T$18="Local Bubble",POWER(Upgrades!$U$18,J208),1)*IF(Upgrades!$T$19="Local Bubble",POWER(Upgrades!$U$19,K208),1)*IF(Upgrades!$T$20="Local Bubble",POWER(Upgrades!$U$20,L208),1)*IF(Upgrades!$T$21="Local Bubble",POWER(Upgrades!$U$21,M208),1))*$F$6/AL208,0)</f>
        <v/>
      </c>
      <c r="BA208" s="32">
        <f>IFERROR(Upgrades!$K$15*(POWER(Upgrades!$Q$13,E208)*POWER(Upgrades!$Q$14,F208)*POWER(Upgrades!$Q$15,G208)*POWER(Upgrades!$Q$16,H208)*POWER(Upgrades!$Q$17,I208)*POWER(Upgrades!$Q$18,J208)*POWER(Upgrades!$Q$19,K208)*POWER(Upgrades!$Q$20,L208)*POWER(Upgrades!$Q$21,M208))*(IF(Upgrades!$T$13="Microlensing",POWER(Upgrades!$U$13,E208),1)*IF(Upgrades!$T$14="Microlensing",POWER(Upgrades!$U$14,F208),1)*IF(Upgrades!$T$16="Microlensing",POWER(Upgrades!$U$16,H208),1)*IF(Upgrades!$T$17="Microlensing",POWER(Upgrades!$U$17,I208),1)*IF(Upgrades!$T$18="Microlensing",POWER(Upgrades!$U$18,J208),1)*IF(Upgrades!$T$19="Microlensing",POWER(Upgrades!$U$19,K208),1)*IF(Upgrades!$T$20="Microlensing",POWER(Upgrades!$U$20,L208),1)*IF(Upgrades!$T$21="Microlensing",POWER(Upgrades!$U$21,M208),1))*$G$6*(Parameters!$B$10/60*Parameters!$B$11+Q208)/AM208,0)</f>
        <v/>
      </c>
      <c r="BB208" s="32">
        <f>IFERROR((Upgrades!$N$16*(POWER(Upgrades!$R$13,E208)*POWER(Upgrades!$R$14,F208)*POWER(Upgrades!$R$15,G208)*POWER(Upgrades!$R$16,H208)*POWER(Upgrades!$R$17,I208)*POWER(Upgrades!$R$18,J208)*POWER(Upgrades!$R$19,K208)*POWER(Upgrades!$R$20,L208)*POWER(Upgrades!$R$21,M208))*(IF(Upgrades!$T$13="Roche Lobe Overflow",POWER(Upgrades!$U$13,E208),1)*IF(Upgrades!$T$14="Roche Lobe Overflow",POWER(Upgrades!$U$14,F208),1)*IF(Upgrades!$T$15="Roche Lobe Overflow",POWER(Upgrades!$U$15,G208),1)*IF(Upgrades!$T$17="Roche Lobe Overflow",POWER(Upgrades!$U$17,I208),1)*IF(Upgrades!$T$18="Roche Lobe Overflow",POWER(Upgrades!$U$18,J208),1)*IF(Upgrades!$T$19="Roche Lobe Overflow",POWER(Upgrades!$U$19,K208),1)*IF(Upgrades!$T$20="Roche Lobe Overflow",POWER(Upgrades!$U$20,L208),1)*IF(Upgrades!$T$21="Roche Lobe Overflow",POWER(Upgrades!$U$21,M208),1))*$H$6*O208+((IF(F208=0,0,(Upgrades!$G$14+F208*Upgrades!$H$14)*POWER(Upgrades!$I$14,F208)))*(IF(Upgrades!$T$13="Local Bubble",POWER(Upgrades!$U$13,E208),1)*IF(Upgrades!$T$15="Local Bubble",POWER(Upgrades!$U$15,G208),1)*IF(Upgrades!$T$16="Local Bubble",POWER(Upgrades!$U$16,H208),1)*IF(Upgrades!$T$17="Local Bubble",POWER(Upgrades!$U$17,I208),1)*IF(Upgrades!$T$18="Local Bubble",POWER(Upgrades!$U$18,J208),1)*IF(Upgrades!$T$19="Local Bubble",POWER(Upgrades!$U$19,K208),1)*IF(Upgrades!$T$20="Local Bubble",POWER(Upgrades!$U$20,L208),1)*IF(Upgrades!$T$21="Local Bubble",POWER(Upgrades!$U$21,M208),1))*POWER(Upgrades!$P$13,E208)*POWER(Upgrades!$P$14,F208)*POWER(Upgrades!$P$15,G208)*POWER(Upgrades!$P$16,H208)*POWER(Upgrades!$P$17,I208)*POWER(Upgrades!$P$18,J208)*POWER(Upgrades!$P$19,K208)*POWER(Upgrades!$P$20,L208)*POWER(Upgrades!$P$21,M208)*$F$6)*0.05)/AN208,0)</f>
        <v/>
      </c>
      <c r="BC208" s="32">
        <f>IFERROR((Upgrades!$H$17*(POWER(Upgrades!$P$13,E208)*POWER(Upgrades!$P$14,F208)*POWER(Upgrades!$P$15,G208)*POWER(Upgrades!$P$16,H208)*POWER(Upgrades!$P$17,I208)*POWER(Upgrades!$P$18,J208)*POWER(Upgrades!$P$19,K208)*POWER(Upgrades!$P$20,L208)*POWER(Upgrades!$P$21,M208))*(IF(Upgrades!$T$13="Brown Dwarf",POWER(Upgrades!$U$13,E208),1)*IF(Upgrades!$T$14="Brown Dwarf",POWER(Upgrades!$U$14,F208),1)*IF(Upgrades!$T$15="Brown Dwarf",POWER(Upgrades!$U$15,G208),1)*IF(Upgrades!$T$16="Brown Dwarf",POWER(Upgrades!$U$16,H208),1)*IF(Upgrades!$T$18="Brown Dwarf",POWER(Upgrades!$U$18,J208),1)*IF(Upgrades!$T$19="Brown Dwarf",POWER(Upgrades!$U$19,K208),1)*IF(Upgrades!$T$20="Brown Dwarf",POWER(Upgrades!$U$20,L208),1)*IF(Upgrades!$T$21="Brown Dwarf",POWER(Upgrades!$U$21,M208),1))*$F$6+(((IF(H208=0,0,(Upgrades!$M$16+H208*Upgrades!$N$16)*POWER(Upgrades!$O$16,H208)))*(IF(Upgrades!$T$13="Roche Lobe Overflow",POWER(Upgrades!$U$13,E208),1)*IF(Upgrades!$T$14="Roche Lobe Overflow",POWER(Upgrades!$U$14,F208),1)*IF(Upgrades!$T$15="Roche Lobe Overflow",POWER(Upgrades!$U$15,G208),1)*IF(Upgrades!$T$17="Roche Lobe Overflow",POWER(Upgrades!$U$17,I208),1)*IF(Upgrades!$T$18="Roche Lobe Overflow",POWER(Upgrades!$U$18,J208),1)*IF(Upgrades!$T$19="Roche Lobe Overflow",POWER(Upgrades!$U$19,K208),1)*IF(Upgrades!$T$20="Roche Lobe Overflow",POWER(Upgrades!$U$20,L208),1)*IF(Upgrades!$T$21="Roche Lobe Overflow",POWER(Upgrades!$U$21,M208),1))*POWER(Upgrades!$R$13,E208)*POWER(Upgrades!$R$14,F208)*POWER(Upgrades!$R$15,G208)*POWER(Upgrades!$R$16,H208)*POWER(Upgrades!$R$17,I208)*POWER(Upgrades!$R$18,J208)*POWER(Upgrades!$R$19,K208)*POWER(Upgrades!$R$20,L208)*POWER(Upgrades!$R$21,M208)*$H$6)*O208)*0.10)/AO208,0)</f>
        <v/>
      </c>
      <c r="BD208" s="32">
        <f>MAX(IF(J208&gt;0,0,IFERROR(0.5*((IF(G208=0,0,(Upgrades!$J$15+G208*Upgrades!$K$15)*POWER(Upgrades!$L$15,G208)))*(IF(Upgrades!$T$13="Microlensing",POWER(Upgrades!$U$13,E208),1)*IF(Upgrades!$T$14="Microlensing",POWER(Upgrades!$U$14,F208),1)*IF(Upgrades!$T$16="Microlensing",POWER(Upgrades!$U$16,H208),1)*IF(Upgrades!$T$17="Microlensing",POWER(Upgrades!$U$17,I208),1)*IF(Upgrades!$T$18="Microlensing",POWER(Upgrades!$U$18,J208),1)*IF(Upgrades!$T$19="Microlensing",POWER(Upgrades!$U$19,K208),1)*IF(Upgrades!$T$20="Microlensing",POWER(Upgrades!$U$20,L208),1)*IF(Upgrades!$T$21="Microlensing",POWER(Upgrades!$U$21,M208),1))*(POWER(Upgrades!$Q$13,E208)*POWER(Upgrades!$Q$14,F208)*POWER(Upgrades!$Q$15,G208)*POWER(Upgrades!$Q$16,H208)*POWER(Upgrades!$Q$17,I208)*POWER(Upgrades!$Q$18,J208)*POWER(Upgrades!$Q$19,K208)*POWER(Upgrades!$Q$20,L208)*POWER(Upgrades!$Q$21,M208))*$G$6*(Parameters!$B$10/60*Parameters!$B$11+Q208))/Upgrades!$C$18,0)),IF(K208&gt;0,0,IFERROR(0.30*P208/Upgrades!$C$19,0)),IF(L208&gt;0,0,IFERROR(0.0001/Upgrades!$C$20,0)),IF(M208&gt;0,0,IFERROR((6.0*(POWER(Upgrades!$P$13,E208)*POWER(Upgrades!$P$14,F208)*POWER(Upgrades!$P$15,G208)*POWER(Upgrades!$P$16,H208)*POWER(Upgrades!$P$17,I208)*POWER(Upgrades!$P$18,J208)*POWER(Upgrades!$P$19,K208)*POWER(Upgrades!$P$20,L208)*POWER(Upgrades!$P$21,M208))*$F$6+0.20*O208*(Parameters!$B$10/60*Parameters!$B$11+Q208))/Upgrades!$C$21,0)),IF(AND(ISNUMBER(AK208),AK208&gt;(C208+T208)),AY208,0),IF(AND(ISNUMBER(AL208),AL208&gt;(C208+T208)),AZ208,0),IF(AND(ISNUMBER(AM208),AM208&gt;(C208+T208)),BA208,0),IF(AND(ISNUMBER(AN208),AN208&gt;(C208+T208)),BB208,0),IF(AND(ISNUMBER(AO208),AO208&gt;(C208+T208)),BC208,0))</f>
        <v/>
      </c>
      <c r="BE208" s="29">
        <f>IF(AT208=1,"transition",IF(MIN(IF(AND(J208=0,ISNUMBER(AP208),AP208&lt;=(C208+T208)),AP208,9E15),IF(AND(K208=0,ISNUMBER(AQ208),AQ208&lt;=(C208+T208)),AQ208,9E15),IF(AND(L208=0,ISNUMBER(AR208),AR208&lt;=(C208+T208)),AR208,9E15),IF(AND(M208=0,ISNUMBER(AS208),AS208&lt;=(C208+T208)),AS208,9E15))&lt;9E15,IF(AND(AND(J208=0,ISNUMBER(AP208),AP208&lt;=(C208+T208)),AP208=MIN(IF(AND(J208=0,ISNUMBER(AP208),AP208&lt;=(C208+T208)),AP208,9E15),IF(AND(K208=0,ISNUMBER(AQ208),AQ208&lt;=(C208+T208)),AQ208,9E15),IF(AND(L208=0,ISNUMBER(AR208),AR208&lt;=(C208+T208)),AR208,9E15),IF(AND(M208=0,ISNUMBER(AS208),AS208&lt;=(C208+T208)),AS208,9E15))),"BiP",IF(AND(AND(K208=0,ISNUMBER(AQ208),AQ208&lt;=(C208+T208)),AQ208=MIN(IF(AND(J208=0,ISNUMBER(AP208),AP208&lt;=(C208+T208)),AP208,9E15),IF(AND(K208=0,ISNUMBER(AQ208),AQ208&lt;=(C208+T208)),AQ208,9E15),IF(AND(L208=0,ISNUMBER(AR208),AR208&lt;=(C208+T208)),AR208,9E15),IF(AND(M208=0,ISNUMBER(AS208),AS208&lt;=(C208+T208)),AS208,9E15))),"PV",IF(AND(AND(L208=0,ISNUMBER(AR208),AR208&lt;=(C208+T208)),AR208=MIN(IF(AND(J208=0,ISNUMBER(AP208),AP208&lt;=(C208+T208)),AP208,9E15),IF(AND(K208=0,ISNUMBER(AQ208),AQ208&lt;=(C208+T208)),AQ208,9E15),IF(AND(L208=0,ISNUMBER(AR208),AR208&lt;=(C208+T208)),AR208,9E15),IF(AND(M208=0,ISNUMBER(AS208),AS208&lt;=(C208+T208)),AS208,9E15))),"OC","MG"))),IF(AX208=TRUE,"",IF(MAX(IF(AND(NOT(AND(AU208=1,AT208&lt;&gt;1)),ISNUMBER(AK208),AK208&lt;=(C208+T208)),AY208,0),IF(AND(NOT(AND(AU208=1,AT208&lt;&gt;1)),ISNUMBER(AL208),AL208&lt;=(C208+T208)),AZ208,0),IF(AND(NOT(AND(AU208=1,AT208&lt;&gt;1)),ISNUMBER(AM208),AM208&lt;=(C208+T208)),BA208,0),IF(AND(NOT(AND(AU208=1,AT208&lt;&gt;1)),ISNUMBER(AN208),AN208&lt;=(C208+T208)),BB208,0),IF(AND(ISNUMBER(AO208),AO208&lt;=(C208+T208)),BC208,0))&lt;=0,"",IF(AND(IF(AND(NOT(AND(AU208=1,AT208&lt;&gt;1)),ISNUMBER(AK208),AK208&lt;=(C208+T208)),AY208,0)&gt;0,IF(AND(NOT(AND(AU208=1,AT208&lt;&gt;1)),ISNUMBER(AK208),AK208&lt;=(C208+T208)),AY208,0)=MAX(IF(AND(NOT(AND(AU208=1,AT208&lt;&gt;1)),ISNUMBER(AK208),AK208&lt;=(C208+T208)),AY208,0),IF(AND(NOT(AND(AU208=1,AT208&lt;&gt;1)),ISNUMBER(AL208),AL208&lt;=(C208+T208)),AZ208,0),IF(AND(NOT(AND(AU208=1,AT208&lt;&gt;1)),ISNUMBER(AM208),AM208&lt;=(C208+T208)),BA208,0),IF(AND(NOT(AND(AU208=1,AT208&lt;&gt;1)),ISNUMBER(AN208),AN208&lt;=(C208+T208)),BB208,0),IF(AND(ISNUMBER(AO208),AO208&lt;=(C208+T208)),BC208,0))),"SK",IF(AND(IF(AND(NOT(AND(AU208=1,AT208&lt;&gt;1)),ISNUMBER(AL208),AL208&lt;=(C208+T208)),AZ208,0)&gt;0,IF(AND(NOT(AND(AU208=1,AT208&lt;&gt;1)),ISNUMBER(AL208),AL208&lt;=(C208+T208)),AZ208,0)=MAX(IF(AND(NOT(AND(AU208=1,AT208&lt;&gt;1)),ISNUMBER(AK208),AK208&lt;=(C208+T208)),AY208,0),IF(AND(NOT(AND(AU208=1,AT208&lt;&gt;1)),ISNUMBER(AL208),AL208&lt;=(C208+T208)),AZ208,0),IF(AND(NOT(AND(AU208=1,AT208&lt;&gt;1)),ISNUMBER(AM208),AM208&lt;=(C208+T208)),BA208,0),IF(AND(NOT(AND(AU208=1,AT208&lt;&gt;1)),ISNUMBER(AN208),AN208&lt;=(C208+T208)),BB208,0),IF(AND(ISNUMBER(AO208),AO208&lt;=(C208+T208)),BC208,0))),"LB",IF(AND(IF(AND(NOT(AND(AU208=1,AT208&lt;&gt;1)),ISNUMBER(AM208),AM208&lt;=(C208+T208)),BA208,0)&gt;0,IF(AND(NOT(AND(AU208=1,AT208&lt;&gt;1)),ISNUMBER(AM208),AM208&lt;=(C208+T208)),BA208,0)=MAX(IF(AND(NOT(AND(AU208=1,AT208&lt;&gt;1)),ISNUMBER(AK208),AK208&lt;=(C208+T208)),AY208,0),IF(AND(NOT(AND(AU208=1,AT208&lt;&gt;1)),ISNUMBER(AL208),AL208&lt;=(C208+T208)),AZ208,0),IF(AND(NOT(AND(AU208=1,AT208&lt;&gt;1)),ISNUMBER(AM208),AM208&lt;=(C208+T208)),BA208,0),IF(AND(NOT(AND(AU208=1,AT208&lt;&gt;1)),ISNUMBER(AN208),AN208&lt;=(C208+T208)),BB208,0),IF(AND(ISNUMBER(AO208),AO208&lt;=(C208+T208)),BC208,0))),"ML",IF(AND(IF(AND(NOT(AND(AU208=1,AT208&lt;&gt;1)),ISNUMBER(AN208),AN208&lt;=(C208+T208)),BB208,0)&gt;0,IF(AND(NOT(AND(AU208=1,AT208&lt;&gt;1)),ISNUMBER(AN208),AN208&lt;=(C208+T208)),BB208,0)=MAX(IF(AND(NOT(AND(AU208=1,AT208&lt;&gt;1)),ISNUMBER(AK208),AK208&lt;=(C208+T208)),AY208,0),IF(AND(NOT(AND(AU208=1,AT208&lt;&gt;1)),ISNUMBER(AL208),AL208&lt;=(C208+T208)),AZ208,0),IF(AND(NOT(AND(AU208=1,AT208&lt;&gt;1)),ISNUMBER(AM208),AM208&lt;=(C208+T208)),BA208,0),IF(AND(NOT(AND(AU208=1,AT208&lt;&gt;1)),ISNUMBER(AN208),AN208&lt;=(C208+T208)),BB208,0),IF(AND(ISNUMBER(AO208),AO208&lt;=(C208+T208)),BC208,0))),"RLO","BD"))))))))</f>
        <v/>
      </c>
    </row>
    <row r="209">
      <c r="A209" s="26" t="n">
        <v>198</v>
      </c>
      <c r="B209" s="27">
        <f>A209*10/60</f>
        <v/>
      </c>
      <c r="C209" s="22">
        <f>X208</f>
        <v/>
      </c>
      <c r="D209" s="27">
        <f>D208+W208</f>
        <v/>
      </c>
      <c r="E209" s="26">
        <f>E208+IF(U208="SK",1,0)</f>
        <v/>
      </c>
      <c r="F209" s="26">
        <f>F208+IF(U208="LB",1,0)</f>
        <v/>
      </c>
      <c r="G209" s="26">
        <f>G208+IF(U208="ML",1,0)</f>
        <v/>
      </c>
      <c r="H209" s="26">
        <f>H208+IF(U208="RLO",1,0)</f>
        <v/>
      </c>
      <c r="I209" s="26">
        <f>I208+IF(U208="BD",1,0)</f>
        <v/>
      </c>
      <c r="J209" s="26">
        <f>MAX(J208,IF(U208="BiP",1,0))</f>
        <v/>
      </c>
      <c r="K209" s="26">
        <f>MAX(K208,IF(U208="PV",1,0))</f>
        <v/>
      </c>
      <c r="L209" s="26">
        <f>MAX(L208,IF(U208="OC",1,0))</f>
        <v/>
      </c>
      <c r="M209" s="26">
        <f>MAX(M208,IF(U208="MG",1,0))</f>
        <v/>
      </c>
      <c r="N209" s="26">
        <f>MAX(N208,IF(U208="transition",1,0))</f>
        <v/>
      </c>
      <c r="O209" s="28">
        <f>(Parameters!$B$9+(IF(E209=0,0,(Upgrades!$J$13+E209*Upgrades!$K$13)*POWER(Upgrades!$L$13,E209)))*(IF(Upgrades!$T$14="Stellar Kinematics",POWER(Upgrades!$U$14,F209),1)*IF(Upgrades!$T$15="Stellar Kinematics",POWER(Upgrades!$U$15,G209),1)*IF(Upgrades!$T$16="Stellar Kinematics",POWER(Upgrades!$U$16,H209),1)*IF(Upgrades!$T$17="Stellar Kinematics",POWER(Upgrades!$U$17,I209),1)*IF(Upgrades!$T$18="Stellar Kinematics",POWER(Upgrades!$U$18,J209),1)*IF(Upgrades!$T$19="Stellar Kinematics",POWER(Upgrades!$U$19,K209),1)*IF(Upgrades!$T$20="Stellar Kinematics",POWER(Upgrades!$U$20,L209),1)*IF(Upgrades!$T$21="Stellar Kinematics",POWER(Upgrades!$U$21,M209),1))+(IF(F209=0,0,(Upgrades!$J$14+F209*Upgrades!$K$14)*POWER(Upgrades!$L$14,F209)))*(IF(Upgrades!$T$13="Local Bubble",POWER(Upgrades!$U$13,E209),1)*IF(Upgrades!$T$15="Local Bubble",POWER(Upgrades!$U$15,G209),1)*IF(Upgrades!$T$16="Local Bubble",POWER(Upgrades!$U$16,H209),1)*IF(Upgrades!$T$17="Local Bubble",POWER(Upgrades!$U$17,I209),1)*IF(Upgrades!$T$18="Local Bubble",POWER(Upgrades!$U$18,J209),1)*IF(Upgrades!$T$19="Local Bubble",POWER(Upgrades!$U$19,K209),1)*IF(Upgrades!$T$20="Local Bubble",POWER(Upgrades!$U$20,L209),1)*IF(Upgrades!$T$21="Local Bubble",POWER(Upgrades!$U$21,M209),1))+(IF(G209=0,0,(Upgrades!$J$15+G209*Upgrades!$K$15)*POWER(Upgrades!$L$15,G209)))*(IF(Upgrades!$T$13="Microlensing",POWER(Upgrades!$U$13,E209),1)*IF(Upgrades!$T$14="Microlensing",POWER(Upgrades!$U$14,F209),1)*IF(Upgrades!$T$16="Microlensing",POWER(Upgrades!$U$16,H209),1)*IF(Upgrades!$T$17="Microlensing",POWER(Upgrades!$U$17,I209),1)*IF(Upgrades!$T$18="Microlensing",POWER(Upgrades!$U$18,J209),1)*IF(Upgrades!$T$19="Microlensing",POWER(Upgrades!$U$19,K209),1)*IF(Upgrades!$T$20="Microlensing",POWER(Upgrades!$U$20,L209),1)*IF(Upgrades!$T$21="Microlensing",POWER(Upgrades!$U$21,M209),1))+(IF(H209=0,0,(Upgrades!$J$16+H209*Upgrades!$K$16)*POWER(Upgrades!$L$16,H209)))*(IF(Upgrades!$T$13="Roche Lobe Overflow",POWER(Upgrades!$U$13,E209),1)*IF(Upgrades!$T$14="Roche Lobe Overflow",POWER(Upgrades!$U$14,F209),1)*IF(Upgrades!$T$15="Roche Lobe Overflow",POWER(Upgrades!$U$15,G209),1)*IF(Upgrades!$T$17="Roche Lobe Overflow",POWER(Upgrades!$U$17,I209),1)*IF(Upgrades!$T$18="Roche Lobe Overflow",POWER(Upgrades!$U$18,J209),1)*IF(Upgrades!$T$19="Roche Lobe Overflow",POWER(Upgrades!$U$19,K209),1)*IF(Upgrades!$T$20="Roche Lobe Overflow",POWER(Upgrades!$U$20,L209),1)*IF(Upgrades!$T$21="Roche Lobe Overflow",POWER(Upgrades!$U$21,M209),1))+(IF(I209=0,0,(Upgrades!$J$17+I209*Upgrades!$K$17)*POWER(Upgrades!$L$17,I209)))*(IF(Upgrades!$T$13="Brown Dwarf",POWER(Upgrades!$U$13,E209),1)*IF(Upgrades!$T$14="Brown Dwarf",POWER(Upgrades!$U$14,F209),1)*IF(Upgrades!$T$15="Brown Dwarf",POWER(Upgrades!$U$15,G209),1)*IF(Upgrades!$T$16="Brown Dwarf",POWER(Upgrades!$U$16,H209),1)*IF(Upgrades!$T$18="Brown Dwarf",POWER(Upgrades!$U$18,J209),1)*IF(Upgrades!$T$19="Brown Dwarf",POWER(Upgrades!$U$19,K209),1)*IF(Upgrades!$T$20="Brown Dwarf",POWER(Upgrades!$U$20,L209),1)*IF(Upgrades!$T$21="Brown Dwarf",POWER(Upgrades!$U$21,M209),1))+(IF(J209=0,0,(Upgrades!$J$18+J209*Upgrades!$K$18)*POWER(Upgrades!$L$18,J209)))*(IF(Upgrades!$T$13="Binary Partner",POWER(Upgrades!$U$13,E209),1)*IF(Upgrades!$T$14="Binary Partner",POWER(Upgrades!$U$14,F209),1)*IF(Upgrades!$T$15="Binary Partner",POWER(Upgrades!$U$15,G209),1)*IF(Upgrades!$T$16="Binary Partner",POWER(Upgrades!$U$16,H209),1)*IF(Upgrades!$T$17="Binary Partner",POWER(Upgrades!$U$17,I209),1)*IF(Upgrades!$T$19="Binary Partner",POWER(Upgrades!$U$19,K209),1)*IF(Upgrades!$T$20="Binary Partner",POWER(Upgrades!$U$20,L209),1)*IF(Upgrades!$T$21="Binary Partner",POWER(Upgrades!$U$21,M209),1))+(IF(K209=0,0,(Upgrades!$J$19+K209*Upgrades!$K$19)*POWER(Upgrades!$L$19,K209)))*(IF(Upgrades!$T$13="Peculiar Velocity",POWER(Upgrades!$U$13,E209),1)*IF(Upgrades!$T$14="Peculiar Velocity",POWER(Upgrades!$U$14,F209),1)*IF(Upgrades!$T$15="Peculiar Velocity",POWER(Upgrades!$U$15,G209),1)*IF(Upgrades!$T$16="Peculiar Velocity",POWER(Upgrades!$U$16,H209),1)*IF(Upgrades!$T$17="Peculiar Velocity",POWER(Upgrades!$U$17,I209),1)*IF(Upgrades!$T$18="Peculiar Velocity",POWER(Upgrades!$U$18,J209),1)*IF(Upgrades!$T$20="Peculiar Velocity",POWER(Upgrades!$U$20,L209),1)*IF(Upgrades!$T$21="Peculiar Velocity",POWER(Upgrades!$U$21,M209),1))+(IF(L209=0,0,(Upgrades!$J$20+L209*Upgrades!$K$20)*POWER(Upgrades!$L$20,L209)))*(IF(Upgrades!$T$13="Open Cluster",POWER(Upgrades!$U$13,E209),1)*IF(Upgrades!$T$14="Open Cluster",POWER(Upgrades!$U$14,F209),1)*IF(Upgrades!$T$15="Open Cluster",POWER(Upgrades!$U$15,G209),1)*IF(Upgrades!$T$16="Open Cluster",POWER(Upgrades!$U$16,H209),1)*IF(Upgrades!$T$17="Open Cluster",POWER(Upgrades!$U$17,I209),1)*IF(Upgrades!$T$18="Open Cluster",POWER(Upgrades!$U$18,J209),1)*IF(Upgrades!$T$19="Open Cluster",POWER(Upgrades!$U$19,K209),1)*IF(Upgrades!$T$21="Open Cluster",POWER(Upgrades!$U$21,M209),1))+(IF(M209=0,0,(Upgrades!$J$21+M209*Upgrades!$K$21)*POWER(Upgrades!$L$21,M209)))*(IF(Upgrades!$T$13="Moving Group",POWER(Upgrades!$U$13,E209),1)*IF(Upgrades!$T$14="Moving Group",POWER(Upgrades!$U$14,F209),1)*IF(Upgrades!$T$15="Moving Group",POWER(Upgrades!$U$15,G209),1)*IF(Upgrades!$T$16="Moving Group",POWER(Upgrades!$U$16,H209),1)*IF(Upgrades!$T$17="Moving Group",POWER(Upgrades!$U$17,I209),1)*IF(Upgrades!$T$18="Moving Group",POWER(Upgrades!$U$18,J209),1)*IF(Upgrades!$T$19="Moving Group",POWER(Upgrades!$U$19,K209),1)*IF(Upgrades!$T$20="Moving Group",POWER(Upgrades!$U$20,L209),1)))*POWER(Upgrades!$Q$13,E209)*POWER(Upgrades!$Q$14,F209)*POWER(Upgrades!$Q$15,G209)*POWER(Upgrades!$Q$16,H209)*POWER(Upgrades!$Q$17,I209)*POWER(Upgrades!$Q$18,J209)*POWER(Upgrades!$Q$19,K209)*POWER(Upgrades!$Q$20,L209)*POWER(Upgrades!$Q$21,M209)*$G$6+$D$6</f>
        <v/>
      </c>
      <c r="P209" s="28">
        <f>((IF(E209=0,0,(Upgrades!$G$13+E209*Upgrades!$H$13)*POWER(Upgrades!$I$13,E209)))*(IF(Upgrades!$T$14="Stellar Kinematics",POWER(Upgrades!$U$14,F209),1)*IF(Upgrades!$T$15="Stellar Kinematics",POWER(Upgrades!$U$15,G209),1)*IF(Upgrades!$T$16="Stellar Kinematics",POWER(Upgrades!$U$16,H209),1)*IF(Upgrades!$T$17="Stellar Kinematics",POWER(Upgrades!$U$17,I209),1)*IF(Upgrades!$T$18="Stellar Kinematics",POWER(Upgrades!$U$18,J209),1)*IF(Upgrades!$T$19="Stellar Kinematics",POWER(Upgrades!$U$19,K209),1)*IF(Upgrades!$T$20="Stellar Kinematics",POWER(Upgrades!$U$20,L209),1)*IF(Upgrades!$T$21="Stellar Kinematics",POWER(Upgrades!$U$21,M209),1))+(IF(F209=0,0,(Upgrades!$G$14+F209*Upgrades!$H$14)*POWER(Upgrades!$I$14,F209)))*(IF(Upgrades!$T$13="Local Bubble",POWER(Upgrades!$U$13,E209),1)*IF(Upgrades!$T$15="Local Bubble",POWER(Upgrades!$U$15,G209),1)*IF(Upgrades!$T$16="Local Bubble",POWER(Upgrades!$U$16,H209),1)*IF(Upgrades!$T$17="Local Bubble",POWER(Upgrades!$U$17,I209),1)*IF(Upgrades!$T$18="Local Bubble",POWER(Upgrades!$U$18,J209),1)*IF(Upgrades!$T$19="Local Bubble",POWER(Upgrades!$U$19,K209),1)*IF(Upgrades!$T$20="Local Bubble",POWER(Upgrades!$U$20,L209),1)*IF(Upgrades!$T$21="Local Bubble",POWER(Upgrades!$U$21,M209),1))+(IF(G209=0,0,(Upgrades!$G$15+G209*Upgrades!$H$15)*POWER(Upgrades!$I$15,G209)))*(IF(Upgrades!$T$13="Microlensing",POWER(Upgrades!$U$13,E209),1)*IF(Upgrades!$T$14="Microlensing",POWER(Upgrades!$U$14,F209),1)*IF(Upgrades!$T$16="Microlensing",POWER(Upgrades!$U$16,H209),1)*IF(Upgrades!$T$17="Microlensing",POWER(Upgrades!$U$17,I209),1)*IF(Upgrades!$T$18="Microlensing",POWER(Upgrades!$U$18,J209),1)*IF(Upgrades!$T$19="Microlensing",POWER(Upgrades!$U$19,K209),1)*IF(Upgrades!$T$20="Microlensing",POWER(Upgrades!$U$20,L209),1)*IF(Upgrades!$T$21="Microlensing",POWER(Upgrades!$U$21,M209),1))+(IF(H209=0,0,(Upgrades!$G$16+H209*Upgrades!$H$16)*POWER(Upgrades!$I$16,H209)))*(IF(Upgrades!$T$13="Roche Lobe Overflow",POWER(Upgrades!$U$13,E209),1)*IF(Upgrades!$T$14="Roche Lobe Overflow",POWER(Upgrades!$U$14,F209),1)*IF(Upgrades!$T$15="Roche Lobe Overflow",POWER(Upgrades!$U$15,G209),1)*IF(Upgrades!$T$17="Roche Lobe Overflow",POWER(Upgrades!$U$17,I209),1)*IF(Upgrades!$T$18="Roche Lobe Overflow",POWER(Upgrades!$U$18,J209),1)*IF(Upgrades!$T$19="Roche Lobe Overflow",POWER(Upgrades!$U$19,K209),1)*IF(Upgrades!$T$20="Roche Lobe Overflow",POWER(Upgrades!$U$20,L209),1)*IF(Upgrades!$T$21="Roche Lobe Overflow",POWER(Upgrades!$U$21,M209),1))+(IF(I209=0,0,(Upgrades!$G$17+I209*Upgrades!$H$17)*POWER(Upgrades!$I$17,I209)))*(IF(Upgrades!$T$13="Brown Dwarf",POWER(Upgrades!$U$13,E209),1)*IF(Upgrades!$T$14="Brown Dwarf",POWER(Upgrades!$U$14,F209),1)*IF(Upgrades!$T$15="Brown Dwarf",POWER(Upgrades!$U$15,G209),1)*IF(Upgrades!$T$16="Brown Dwarf",POWER(Upgrades!$U$16,H209),1)*IF(Upgrades!$T$18="Brown Dwarf",POWER(Upgrades!$U$18,J209),1)*IF(Upgrades!$T$19="Brown Dwarf",POWER(Upgrades!$U$19,K209),1)*IF(Upgrades!$T$20="Brown Dwarf",POWER(Upgrades!$U$20,L209),1)*IF(Upgrades!$T$21="Brown Dwarf",POWER(Upgrades!$U$21,M209),1))+(IF(J209=0,0,(Upgrades!$G$18+J209*Upgrades!$H$18)*POWER(Upgrades!$I$18,J209)))*(IF(Upgrades!$T$13="Binary Partner",POWER(Upgrades!$U$13,E209),1)*IF(Upgrades!$T$14="Binary Partner",POWER(Upgrades!$U$14,F209),1)*IF(Upgrades!$T$15="Binary Partner",POWER(Upgrades!$U$15,G209),1)*IF(Upgrades!$T$16="Binary Partner",POWER(Upgrades!$U$16,H209),1)*IF(Upgrades!$T$17="Binary Partner",POWER(Upgrades!$U$17,I209),1)*IF(Upgrades!$T$19="Binary Partner",POWER(Upgrades!$U$19,K209),1)*IF(Upgrades!$T$20="Binary Partner",POWER(Upgrades!$U$20,L209),1)*IF(Upgrades!$T$21="Binary Partner",POWER(Upgrades!$U$21,M209),1))+(IF(K209=0,0,(Upgrades!$G$19+K209*Upgrades!$H$19)*POWER(Upgrades!$I$19,K209)))*(IF(Upgrades!$T$13="Peculiar Velocity",POWER(Upgrades!$U$13,E209),1)*IF(Upgrades!$T$14="Peculiar Velocity",POWER(Upgrades!$U$14,F209),1)*IF(Upgrades!$T$15="Peculiar Velocity",POWER(Upgrades!$U$15,G209),1)*IF(Upgrades!$T$16="Peculiar Velocity",POWER(Upgrades!$U$16,H209),1)*IF(Upgrades!$T$17="Peculiar Velocity",POWER(Upgrades!$U$17,I209),1)*IF(Upgrades!$T$18="Peculiar Velocity",POWER(Upgrades!$U$18,J209),1)*IF(Upgrades!$T$20="Peculiar Velocity",POWER(Upgrades!$U$20,L209),1)*IF(Upgrades!$T$21="Peculiar Velocity",POWER(Upgrades!$U$21,M209),1))+(IF(L209=0,0,(Upgrades!$G$20+L209*Upgrades!$H$20)*POWER(Upgrades!$I$20,L209)))*(IF(Upgrades!$T$13="Open Cluster",POWER(Upgrades!$U$13,E209),1)*IF(Upgrades!$T$14="Open Cluster",POWER(Upgrades!$U$14,F209),1)*IF(Upgrades!$T$15="Open Cluster",POWER(Upgrades!$U$15,G209),1)*IF(Upgrades!$T$16="Open Cluster",POWER(Upgrades!$U$16,H209),1)*IF(Upgrades!$T$17="Open Cluster",POWER(Upgrades!$U$17,I209),1)*IF(Upgrades!$T$18="Open Cluster",POWER(Upgrades!$U$18,J209),1)*IF(Upgrades!$T$19="Open Cluster",POWER(Upgrades!$U$19,K209),1)*IF(Upgrades!$T$21="Open Cluster",POWER(Upgrades!$U$21,M209),1))+(IF(M209=0,0,(Upgrades!$G$21+M209*Upgrades!$H$21)*POWER(Upgrades!$I$21,M209)))*(IF(Upgrades!$T$13="Moving Group",POWER(Upgrades!$U$13,E209),1)*IF(Upgrades!$T$14="Moving Group",POWER(Upgrades!$U$14,F209),1)*IF(Upgrades!$T$15="Moving Group",POWER(Upgrades!$U$15,G209),1)*IF(Upgrades!$T$16="Moving Group",POWER(Upgrades!$U$16,H209),1)*IF(Upgrades!$T$17="Moving Group",POWER(Upgrades!$U$17,I209),1)*IF(Upgrades!$T$18="Moving Group",POWER(Upgrades!$U$18,J209),1)*IF(Upgrades!$T$19="Moving Group",POWER(Upgrades!$U$19,K209),1)*IF(Upgrades!$T$20="Moving Group",POWER(Upgrades!$U$20,L209),1)))*POWER(Upgrades!$P$13,E209)*POWER(Upgrades!$P$14,F209)*POWER(Upgrades!$P$15,G209)*POWER(Upgrades!$P$16,H209)*POWER(Upgrades!$P$17,I209)*POWER(Upgrades!$P$18,J209)*POWER(Upgrades!$P$19,K209)*POWER(Upgrades!$P$20,L209)*POWER(Upgrades!$P$21,M209)*$F$6+$C$6</f>
        <v/>
      </c>
      <c r="Q209" s="28">
        <f>((IF(E209=0,0,(Upgrades!$M$13+E209*Upgrades!$N$13)*POWER(Upgrades!$O$13,E209)))*(IF(Upgrades!$T$14="Stellar Kinematics",POWER(Upgrades!$U$14,F209),1)*IF(Upgrades!$T$15="Stellar Kinematics",POWER(Upgrades!$U$15,G209),1)*IF(Upgrades!$T$16="Stellar Kinematics",POWER(Upgrades!$U$16,H209),1)*IF(Upgrades!$T$17="Stellar Kinematics",POWER(Upgrades!$U$17,I209),1)*IF(Upgrades!$T$18="Stellar Kinematics",POWER(Upgrades!$U$18,J209),1)*IF(Upgrades!$T$19="Stellar Kinematics",POWER(Upgrades!$U$19,K209),1)*IF(Upgrades!$T$20="Stellar Kinematics",POWER(Upgrades!$U$20,L209),1)*IF(Upgrades!$T$21="Stellar Kinematics",POWER(Upgrades!$U$21,M209),1))+(IF(F209=0,0,(Upgrades!$M$14+F209*Upgrades!$N$14)*POWER(Upgrades!$O$14,F209)))*(IF(Upgrades!$T$13="Local Bubble",POWER(Upgrades!$U$13,E209),1)*IF(Upgrades!$T$15="Local Bubble",POWER(Upgrades!$U$15,G209),1)*IF(Upgrades!$T$16="Local Bubble",POWER(Upgrades!$U$16,H209),1)*IF(Upgrades!$T$17="Local Bubble",POWER(Upgrades!$U$17,I209),1)*IF(Upgrades!$T$18="Local Bubble",POWER(Upgrades!$U$18,J209),1)*IF(Upgrades!$T$19="Local Bubble",POWER(Upgrades!$U$19,K209),1)*IF(Upgrades!$T$20="Local Bubble",POWER(Upgrades!$U$20,L209),1)*IF(Upgrades!$T$21="Local Bubble",POWER(Upgrades!$U$21,M209),1))+(IF(G209=0,0,(Upgrades!$M$15+G209*Upgrades!$N$15)*POWER(Upgrades!$O$15,G209)))*(IF(Upgrades!$T$13="Microlensing",POWER(Upgrades!$U$13,E209),1)*IF(Upgrades!$T$14="Microlensing",POWER(Upgrades!$U$14,F209),1)*IF(Upgrades!$T$16="Microlensing",POWER(Upgrades!$U$16,H209),1)*IF(Upgrades!$T$17="Microlensing",POWER(Upgrades!$U$17,I209),1)*IF(Upgrades!$T$18="Microlensing",POWER(Upgrades!$U$18,J209),1)*IF(Upgrades!$T$19="Microlensing",POWER(Upgrades!$U$19,K209),1)*IF(Upgrades!$T$20="Microlensing",POWER(Upgrades!$U$20,L209),1)*IF(Upgrades!$T$21="Microlensing",POWER(Upgrades!$U$21,M209),1))+(IF(H209=0,0,(Upgrades!$M$16+H209*Upgrades!$N$16)*POWER(Upgrades!$O$16,H209)))*(IF(Upgrades!$T$13="Roche Lobe Overflow",POWER(Upgrades!$U$13,E209),1)*IF(Upgrades!$T$14="Roche Lobe Overflow",POWER(Upgrades!$U$14,F209),1)*IF(Upgrades!$T$15="Roche Lobe Overflow",POWER(Upgrades!$U$15,G209),1)*IF(Upgrades!$T$17="Roche Lobe Overflow",POWER(Upgrades!$U$17,I209),1)*IF(Upgrades!$T$18="Roche Lobe Overflow",POWER(Upgrades!$U$18,J209),1)*IF(Upgrades!$T$19="Roche Lobe Overflow",POWER(Upgrades!$U$19,K209),1)*IF(Upgrades!$T$20="Roche Lobe Overflow",POWER(Upgrades!$U$20,L209),1)*IF(Upgrades!$T$21="Roche Lobe Overflow",POWER(Upgrades!$U$21,M209),1))+(IF(I209=0,0,(Upgrades!$M$17+I209*Upgrades!$N$17)*POWER(Upgrades!$O$17,I209)))*(IF(Upgrades!$T$13="Brown Dwarf",POWER(Upgrades!$U$13,E209),1)*IF(Upgrades!$T$14="Brown Dwarf",POWER(Upgrades!$U$14,F209),1)*IF(Upgrades!$T$15="Brown Dwarf",POWER(Upgrades!$U$15,G209),1)*IF(Upgrades!$T$16="Brown Dwarf",POWER(Upgrades!$U$16,H209),1)*IF(Upgrades!$T$18="Brown Dwarf",POWER(Upgrades!$U$18,J209),1)*IF(Upgrades!$T$19="Brown Dwarf",POWER(Upgrades!$U$19,K209),1)*IF(Upgrades!$T$20="Brown Dwarf",POWER(Upgrades!$U$20,L209),1)*IF(Upgrades!$T$21="Brown Dwarf",POWER(Upgrades!$U$21,M209),1))+(IF(J209=0,0,(Upgrades!$M$18+J209*Upgrades!$N$18)*POWER(Upgrades!$O$18,J209)))*(IF(Upgrades!$T$13="Binary Partner",POWER(Upgrades!$U$13,E209),1)*IF(Upgrades!$T$14="Binary Partner",POWER(Upgrades!$U$14,F209),1)*IF(Upgrades!$T$15="Binary Partner",POWER(Upgrades!$U$15,G209),1)*IF(Upgrades!$T$16="Binary Partner",POWER(Upgrades!$U$16,H209),1)*IF(Upgrades!$T$17="Binary Partner",POWER(Upgrades!$U$17,I209),1)*IF(Upgrades!$T$19="Binary Partner",POWER(Upgrades!$U$19,K209),1)*IF(Upgrades!$T$20="Binary Partner",POWER(Upgrades!$U$20,L209),1)*IF(Upgrades!$T$21="Binary Partner",POWER(Upgrades!$U$21,M209),1))+(IF(K209=0,0,(Upgrades!$M$19+K209*Upgrades!$N$19)*POWER(Upgrades!$O$19,K209)))*(IF(Upgrades!$T$13="Peculiar Velocity",POWER(Upgrades!$U$13,E209),1)*IF(Upgrades!$T$14="Peculiar Velocity",POWER(Upgrades!$U$14,F209),1)*IF(Upgrades!$T$15="Peculiar Velocity",POWER(Upgrades!$U$15,G209),1)*IF(Upgrades!$T$16="Peculiar Velocity",POWER(Upgrades!$U$16,H209),1)*IF(Upgrades!$T$17="Peculiar Velocity",POWER(Upgrades!$U$17,I209),1)*IF(Upgrades!$T$18="Peculiar Velocity",POWER(Upgrades!$U$18,J209),1)*IF(Upgrades!$T$20="Peculiar Velocity",POWER(Upgrades!$U$20,L209),1)*IF(Upgrades!$T$21="Peculiar Velocity",POWER(Upgrades!$U$21,M209),1))+(IF(L209=0,0,(Upgrades!$M$20+L209*Upgrades!$N$20)*POWER(Upgrades!$O$20,L209)))*(IF(Upgrades!$T$13="Open Cluster",POWER(Upgrades!$U$13,E209),1)*IF(Upgrades!$T$14="Open Cluster",POWER(Upgrades!$U$14,F209),1)*IF(Upgrades!$T$15="Open Cluster",POWER(Upgrades!$U$15,G209),1)*IF(Upgrades!$T$16="Open Cluster",POWER(Upgrades!$U$16,H209),1)*IF(Upgrades!$T$17="Open Cluster",POWER(Upgrades!$U$17,I209),1)*IF(Upgrades!$T$18="Open Cluster",POWER(Upgrades!$U$18,J209),1)*IF(Upgrades!$T$19="Open Cluster",POWER(Upgrades!$U$19,K209),1)*IF(Upgrades!$T$21="Open Cluster",POWER(Upgrades!$U$21,M209),1))+(IF(M209=0,0,(Upgrades!$M$21+M209*Upgrades!$N$21)*POWER(Upgrades!$O$21,M209)))*(IF(Upgrades!$T$13="Moving Group",POWER(Upgrades!$U$13,E209),1)*IF(Upgrades!$T$14="Moving Group",POWER(Upgrades!$U$14,F209),1)*IF(Upgrades!$T$15="Moving Group",POWER(Upgrades!$U$15,G209),1)*IF(Upgrades!$T$16="Moving Group",POWER(Upgrades!$U$16,H209),1)*IF(Upgrades!$T$17="Moving Group",POWER(Upgrades!$U$17,I209),1)*IF(Upgrades!$T$18="Moving Group",POWER(Upgrades!$U$18,J209),1)*IF(Upgrades!$T$19="Moving Group",POWER(Upgrades!$U$19,K209),1)*IF(Upgrades!$T$20="Moving Group",POWER(Upgrades!$U$20,L209),1)))*POWER(Upgrades!$R$13,E209)*POWER(Upgrades!$R$14,F209)*POWER(Upgrades!$R$15,G209)*POWER(Upgrades!$R$16,H209)*POWER(Upgrades!$R$17,I209)*POWER(Upgrades!$R$18,J209)*POWER(Upgrades!$R$19,K209)*POWER(Upgrades!$R$20,L209)*POWER(Upgrades!$R$21,M209)*$H$6+$E$6</f>
        <v/>
      </c>
      <c r="R209" s="27">
        <f>IF(N209=1,0,O209*Parameters!$B$10/60*Parameters!$B$11*10)</f>
        <v/>
      </c>
      <c r="S209" s="27">
        <f>IF(N209=1,0,Q209*O209*10)</f>
        <v/>
      </c>
      <c r="T209" s="27">
        <f>IF(N209=1,0,R209+S209+P209*10)</f>
        <v/>
      </c>
      <c r="U209" s="33">
        <f>BE209</f>
        <v/>
      </c>
      <c r="V209" s="22">
        <f>IF(U209="",0,IF(U209="transition",0,IF(U209="SK",AK209,IF(U209="LB",AL209,IF(U209="ML",AM209,IF(U209="RLO",AN209,IF(U209="BD",AO209,IF(U209="BiP",AP209,IF(U209="PV",AQ209,IF(U209="OC",AR209,IF(U209="MG",AS209,0))))))))))</f>
        <v/>
      </c>
      <c r="W209" s="27">
        <f>IF(U209="BiP",Upgrades!$F$18,IF(U209="PV",Upgrades!$F$19,IF(U209="OC",Upgrades!$F$20,IF(U209="MG",Upgrades!$F$21,IF(U209="transition",-Parameters!$B$18*Parameters!$B$19,0)))))</f>
        <v/>
      </c>
      <c r="X209" s="22">
        <f>C209+T209-V209</f>
        <v/>
      </c>
      <c r="Y209" s="30">
        <f>O209*Parameters!$B$10/60*Parameters!$B$11+Q209*O209+P209</f>
        <v/>
      </c>
      <c r="Z209" s="34">
        <f>IF(U209="transition","→ Tier 3 (Galactic Arm)",IF(U209="MG","Moving Group — pocket drifts together",IF(U209="OC","Open Cluster acquired",IF(U209="PV","Peculiar Velocity — passive multiplier active",IF(U209="BiP","Binary Partner — pair bond formed",IF(AND(AU209=1,N209=0,AT209&lt;&gt;1),"Cohesion ready (waiting on completionists)","")))))) </f>
        <v/>
      </c>
      <c r="AA209" s="27">
        <f>(IF(E209=0,0,(Upgrades!$G$13+E209*Upgrades!$H$13)*POWER(Upgrades!$I$13,E209)))*(IF(Upgrades!$T$14="Stellar Kinematics",POWER(Upgrades!$U$14,F209),1)*IF(Upgrades!$T$15="Stellar Kinematics",POWER(Upgrades!$U$15,G209),1)*IF(Upgrades!$T$16="Stellar Kinematics",POWER(Upgrades!$U$16,H209),1)*IF(Upgrades!$T$17="Stellar Kinematics",POWER(Upgrades!$U$17,I209),1)*IF(Upgrades!$T$18="Stellar Kinematics",POWER(Upgrades!$U$18,J209),1)*IF(Upgrades!$T$19="Stellar Kinematics",POWER(Upgrades!$U$19,K209),1)*IF(Upgrades!$T$20="Stellar Kinematics",POWER(Upgrades!$U$20,L209),1)*IF(Upgrades!$T$21="Stellar Kinematics",POWER(Upgrades!$U$21,M209),1))*POWER(Upgrades!$P$13,E209)*POWER(Upgrades!$P$14,F209)*POWER(Upgrades!$P$15,G209)*POWER(Upgrades!$P$16,H209)*POWER(Upgrades!$P$17,I209)*POWER(Upgrades!$P$18,J209)*POWER(Upgrades!$P$19,K209)*POWER(Upgrades!$P$20,L209)*POWER(Upgrades!$P$21,M209)*$F$6*60</f>
        <v/>
      </c>
      <c r="AB209" s="27">
        <f>(IF(F209=0,0,(Upgrades!$G$14+F209*Upgrades!$H$14)*POWER(Upgrades!$I$14,F209)))*(IF(Upgrades!$T$13="Local Bubble",POWER(Upgrades!$U$13,E209),1)*IF(Upgrades!$T$15="Local Bubble",POWER(Upgrades!$U$15,G209),1)*IF(Upgrades!$T$16="Local Bubble",POWER(Upgrades!$U$16,H209),1)*IF(Upgrades!$T$17="Local Bubble",POWER(Upgrades!$U$17,I209),1)*IF(Upgrades!$T$18="Local Bubble",POWER(Upgrades!$U$18,J209),1)*IF(Upgrades!$T$19="Local Bubble",POWER(Upgrades!$U$19,K209),1)*IF(Upgrades!$T$20="Local Bubble",POWER(Upgrades!$U$20,L209),1)*IF(Upgrades!$T$21="Local Bubble",POWER(Upgrades!$U$21,M209),1))*POWER(Upgrades!$P$13,E209)*POWER(Upgrades!$P$14,F209)*POWER(Upgrades!$P$15,G209)*POWER(Upgrades!$P$16,H209)*POWER(Upgrades!$P$17,I209)*POWER(Upgrades!$P$18,J209)*POWER(Upgrades!$P$19,K209)*POWER(Upgrades!$P$20,L209)*POWER(Upgrades!$P$21,M209)*$F$6*60</f>
        <v/>
      </c>
      <c r="AC209" s="27">
        <f>(IF(G209=0,0,(Upgrades!$J$15+G209*Upgrades!$K$15)*POWER(Upgrades!$L$15,G209)))*(IF(Upgrades!$T$13="Microlensing",POWER(Upgrades!$U$13,E209),1)*IF(Upgrades!$T$14="Microlensing",POWER(Upgrades!$U$14,F209),1)*IF(Upgrades!$T$16="Microlensing",POWER(Upgrades!$U$16,H209),1)*IF(Upgrades!$T$17="Microlensing",POWER(Upgrades!$U$17,I209),1)*IF(Upgrades!$T$18="Microlensing",POWER(Upgrades!$U$18,J209),1)*IF(Upgrades!$T$19="Microlensing",POWER(Upgrades!$U$19,K209),1)*IF(Upgrades!$T$20="Microlensing",POWER(Upgrades!$U$20,L209),1)*IF(Upgrades!$T$21="Microlensing",POWER(Upgrades!$U$21,M209),1))*POWER(Upgrades!$Q$13,E209)*POWER(Upgrades!$Q$14,F209)*POWER(Upgrades!$Q$15,G209)*POWER(Upgrades!$Q$16,H209)*POWER(Upgrades!$Q$17,I209)*POWER(Upgrades!$Q$18,J209)*POWER(Upgrades!$Q$19,K209)*POWER(Upgrades!$Q$20,L209)*POWER(Upgrades!$Q$21,M209)*$G$6*(Parameters!$B$10*Parameters!$B$11+Q209*60)</f>
        <v/>
      </c>
      <c r="AD209" s="27">
        <f>(IF(H209=0,0,(Upgrades!$M$16+H209*Upgrades!$N$16)*POWER(Upgrades!$O$16,H209)))*(IF(Upgrades!$T$13="Roche Lobe Overflow",POWER(Upgrades!$U$13,E209),1)*IF(Upgrades!$T$14="Roche Lobe Overflow",POWER(Upgrades!$U$14,F209),1)*IF(Upgrades!$T$15="Roche Lobe Overflow",POWER(Upgrades!$U$15,G209),1)*IF(Upgrades!$T$17="Roche Lobe Overflow",POWER(Upgrades!$U$17,I209),1)*IF(Upgrades!$T$18="Roche Lobe Overflow",POWER(Upgrades!$U$18,J209),1)*IF(Upgrades!$T$19="Roche Lobe Overflow",POWER(Upgrades!$U$19,K209),1)*IF(Upgrades!$T$20="Roche Lobe Overflow",POWER(Upgrades!$U$20,L209),1)*IF(Upgrades!$T$21="Roche Lobe Overflow",POWER(Upgrades!$U$21,M209),1))*POWER(Upgrades!$R$13,E209)*POWER(Upgrades!$R$14,F209)*POWER(Upgrades!$R$15,G209)*POWER(Upgrades!$R$16,H209)*POWER(Upgrades!$R$17,I209)*POWER(Upgrades!$R$18,J209)*POWER(Upgrades!$R$19,K209)*POWER(Upgrades!$R$20,L209)*POWER(Upgrades!$R$21,M209)*$H$6*O209*60</f>
        <v/>
      </c>
      <c r="AE209" s="27">
        <f>(IF(I209=0,0,(Upgrades!$G$17+I209*Upgrades!$H$17)*POWER(Upgrades!$I$17,I209)))*(IF(Upgrades!$T$13="Brown Dwarf",POWER(Upgrades!$U$13,E209),1)*IF(Upgrades!$T$14="Brown Dwarf",POWER(Upgrades!$U$14,F209),1)*IF(Upgrades!$T$15="Brown Dwarf",POWER(Upgrades!$U$15,G209),1)*IF(Upgrades!$T$16="Brown Dwarf",POWER(Upgrades!$U$16,H209),1)*IF(Upgrades!$T$18="Brown Dwarf",POWER(Upgrades!$U$18,J209),1)*IF(Upgrades!$T$19="Brown Dwarf",POWER(Upgrades!$U$19,K209),1)*IF(Upgrades!$T$20="Brown Dwarf",POWER(Upgrades!$U$20,L209),1)*IF(Upgrades!$T$21="Brown Dwarf",POWER(Upgrades!$U$21,M209),1))*POWER(Upgrades!$P$13,E209)*POWER(Upgrades!$P$14,F209)*POWER(Upgrades!$P$15,G209)*POWER(Upgrades!$P$16,H209)*POWER(Upgrades!$P$17,I209)*POWER(Upgrades!$P$18,J209)*POWER(Upgrades!$P$19,K209)*POWER(Upgrades!$P$20,L209)*POWER(Upgrades!$P$21,M209)*$F$6*60</f>
        <v/>
      </c>
      <c r="AF209" s="27" t="n">
        <v>0</v>
      </c>
      <c r="AG209" s="27" t="n">
        <v>0</v>
      </c>
      <c r="AH209" s="27" t="n">
        <v>0</v>
      </c>
      <c r="AI209" s="27">
        <f>(IF(M209=0,0,(Upgrades!$G$21+M209*Upgrades!$H$21)*POWER(Upgrades!$I$21,M209)))*(IF(Upgrades!$T$13="Moving Group",POWER(Upgrades!$U$13,E209),1)*IF(Upgrades!$T$14="Moving Group",POWER(Upgrades!$U$14,F209),1)*IF(Upgrades!$T$15="Moving Group",POWER(Upgrades!$U$15,G209),1)*IF(Upgrades!$T$16="Moving Group",POWER(Upgrades!$U$16,H209),1)*IF(Upgrades!$T$17="Moving Group",POWER(Upgrades!$U$17,I209),1)*IF(Upgrades!$T$18="Moving Group",POWER(Upgrades!$U$18,J209),1)*IF(Upgrades!$T$19="Moving Group",POWER(Upgrades!$U$19,K209),1)*IF(Upgrades!$T$20="Moving Group",POWER(Upgrades!$U$20,L209),1))*POWER(Upgrades!$P$13,E209)*POWER(Upgrades!$P$14,F209)*POWER(Upgrades!$P$15,G209)*POWER(Upgrades!$P$16,H209)*POWER(Upgrades!$P$17,I209)*POWER(Upgrades!$P$18,J209)*POWER(Upgrades!$P$19,K209)*POWER(Upgrades!$P$20,L209)*POWER(Upgrades!$P$21,M209)*$F$6*60</f>
        <v/>
      </c>
      <c r="AJ209" s="27">
        <f>$C$6*60</f>
        <v/>
      </c>
      <c r="AK209" s="22">
        <f>IF(E209&gt;=Upgrades!$E$13,"",Upgrades!$C$13*POWER(Upgrades!$D$13,E209))</f>
        <v/>
      </c>
      <c r="AL209" s="22">
        <f>IF(F209&gt;=Upgrades!$E$14,"",Upgrades!$C$14*POWER(Upgrades!$D$14,F209))</f>
        <v/>
      </c>
      <c r="AM209" s="22">
        <f>IF(G209&gt;=Upgrades!$E$15,"",Upgrades!$C$15*POWER(Upgrades!$D$15,G209))</f>
        <v/>
      </c>
      <c r="AN209" s="22">
        <f>IF(H209&gt;=Upgrades!$E$16,"",Upgrades!$C$16*POWER(Upgrades!$D$16,H209))</f>
        <v/>
      </c>
      <c r="AO209" s="22">
        <f>IF(I209&gt;=Upgrades!$E$17,"",Upgrades!$C$17*POWER(Upgrades!$D$17,I209))</f>
        <v/>
      </c>
      <c r="AP209" s="22">
        <f>IF(J209&gt;=Upgrades!$E$18,"",Upgrades!$C$18*POWER(Upgrades!$D$18,J209))</f>
        <v/>
      </c>
      <c r="AQ209" s="22">
        <f>IF(K209&gt;=Upgrades!$E$19,"",Upgrades!$C$19*POWER(Upgrades!$D$19,K209))</f>
        <v/>
      </c>
      <c r="AR209" s="22">
        <f>IF(L209&gt;=Upgrades!$E$20,"",Upgrades!$C$20*POWER(Upgrades!$D$20,L209))</f>
        <v/>
      </c>
      <c r="AS209" s="22">
        <f>IF(M209&gt;=Upgrades!$E$21,"",Upgrades!$C$21*POWER(Upgrades!$D$21,M209))</f>
        <v/>
      </c>
      <c r="AT209" s="26">
        <f>IF(AND(D209&gt;=Parameters!$B$18*Parameters!$B$19,(I209&gt;=Upgrades!$E$17)*(M209&gt;=Upgrades!$E$21)=1,N209=0),1,"")</f>
        <v/>
      </c>
      <c r="AU209" s="26">
        <f>IF(AND(D209&gt;=Parameters!$B$18*Parameters!$B$19,N209=0),1,"")</f>
        <v/>
      </c>
      <c r="AV209" s="22">
        <f>MIN(IF(ISNUMBER(AP209),AP209,9E15),IF(ISNUMBER(AQ209),AQ209,9E15),IF(ISNUMBER(AR209),AR209,9E15),IF(ISNUMBER(AS209),AS209,9E15))</f>
        <v/>
      </c>
      <c r="AW209" s="22">
        <f>MIN(IF(ISNUMBER(AK209),AK209,9E15),IF(ISNUMBER(AL209),AL209,9E15),IF(ISNUMBER(AM209),AM209,9E15),IF(ISNUMBER(AN209),AN209,9E15),IF(ISNUMBER(AO209),AO209,9E15))</f>
        <v/>
      </c>
      <c r="AX209" s="29">
        <f>IF(BD209&gt;Parameters!$B$21*(MAX(IF(AND(NOT(AND(AU209=1,AT209&lt;&gt;1)),ISNUMBER(AK209),AK209&lt;=(C209+T209)),AY209,0),IF(AND(NOT(AND(AU209=1,AT209&lt;&gt;1)),ISNUMBER(AL209),AL209&lt;=(C209+T209)),AZ209,0),IF(AND(NOT(AND(AU209=1,AT209&lt;&gt;1)),ISNUMBER(AM209),AM209&lt;=(C209+T209)),BA209,0),IF(AND(NOT(AND(AU209=1,AT209&lt;&gt;1)),ISNUMBER(AN209),AN209&lt;=(C209+T209)),BB209,0),IF(AND(ISNUMBER(AO209),AO209&lt;=(C209+T209)),BC209,0))),TRUE,FALSE)</f>
        <v/>
      </c>
      <c r="AY209" s="32">
        <f>IFERROR(Upgrades!$H$13*(POWER(Upgrades!$P$13,E209)*POWER(Upgrades!$P$14,F209)*POWER(Upgrades!$P$15,G209)*POWER(Upgrades!$P$16,H209)*POWER(Upgrades!$P$17,I209)*POWER(Upgrades!$P$18,J209)*POWER(Upgrades!$P$19,K209)*POWER(Upgrades!$P$20,L209)*POWER(Upgrades!$P$21,M209))*(IF(Upgrades!$T$14="Stellar Kinematics",POWER(Upgrades!$U$14,F209),1)*IF(Upgrades!$T$15="Stellar Kinematics",POWER(Upgrades!$U$15,G209),1)*IF(Upgrades!$T$16="Stellar Kinematics",POWER(Upgrades!$U$16,H209),1)*IF(Upgrades!$T$17="Stellar Kinematics",POWER(Upgrades!$U$17,I209),1)*IF(Upgrades!$T$18="Stellar Kinematics",POWER(Upgrades!$U$18,J209),1)*IF(Upgrades!$T$19="Stellar Kinematics",POWER(Upgrades!$U$19,K209),1)*IF(Upgrades!$T$20="Stellar Kinematics",POWER(Upgrades!$U$20,L209),1)*IF(Upgrades!$T$21="Stellar Kinematics",POWER(Upgrades!$U$21,M209),1))*$F$6/AK209,0)</f>
        <v/>
      </c>
      <c r="AZ209" s="32">
        <f>IFERROR(Upgrades!$H$14*(POWER(Upgrades!$P$13,E209)*POWER(Upgrades!$P$14,F209)*POWER(Upgrades!$P$15,G209)*POWER(Upgrades!$P$16,H209)*POWER(Upgrades!$P$17,I209)*POWER(Upgrades!$P$18,J209)*POWER(Upgrades!$P$19,K209)*POWER(Upgrades!$P$20,L209)*POWER(Upgrades!$P$21,M209))*(IF(Upgrades!$T$13="Local Bubble",POWER(Upgrades!$U$13,E209),1)*IF(Upgrades!$T$15="Local Bubble",POWER(Upgrades!$U$15,G209),1)*IF(Upgrades!$T$16="Local Bubble",POWER(Upgrades!$U$16,H209),1)*IF(Upgrades!$T$17="Local Bubble",POWER(Upgrades!$U$17,I209),1)*IF(Upgrades!$T$18="Local Bubble",POWER(Upgrades!$U$18,J209),1)*IF(Upgrades!$T$19="Local Bubble",POWER(Upgrades!$U$19,K209),1)*IF(Upgrades!$T$20="Local Bubble",POWER(Upgrades!$U$20,L209),1)*IF(Upgrades!$T$21="Local Bubble",POWER(Upgrades!$U$21,M209),1))*$F$6/AL209,0)</f>
        <v/>
      </c>
      <c r="BA209" s="32">
        <f>IFERROR(Upgrades!$K$15*(POWER(Upgrades!$Q$13,E209)*POWER(Upgrades!$Q$14,F209)*POWER(Upgrades!$Q$15,G209)*POWER(Upgrades!$Q$16,H209)*POWER(Upgrades!$Q$17,I209)*POWER(Upgrades!$Q$18,J209)*POWER(Upgrades!$Q$19,K209)*POWER(Upgrades!$Q$20,L209)*POWER(Upgrades!$Q$21,M209))*(IF(Upgrades!$T$13="Microlensing",POWER(Upgrades!$U$13,E209),1)*IF(Upgrades!$T$14="Microlensing",POWER(Upgrades!$U$14,F209),1)*IF(Upgrades!$T$16="Microlensing",POWER(Upgrades!$U$16,H209),1)*IF(Upgrades!$T$17="Microlensing",POWER(Upgrades!$U$17,I209),1)*IF(Upgrades!$T$18="Microlensing",POWER(Upgrades!$U$18,J209),1)*IF(Upgrades!$T$19="Microlensing",POWER(Upgrades!$U$19,K209),1)*IF(Upgrades!$T$20="Microlensing",POWER(Upgrades!$U$20,L209),1)*IF(Upgrades!$T$21="Microlensing",POWER(Upgrades!$U$21,M209),1))*$G$6*(Parameters!$B$10/60*Parameters!$B$11+Q209)/AM209,0)</f>
        <v/>
      </c>
      <c r="BB209" s="32">
        <f>IFERROR((Upgrades!$N$16*(POWER(Upgrades!$R$13,E209)*POWER(Upgrades!$R$14,F209)*POWER(Upgrades!$R$15,G209)*POWER(Upgrades!$R$16,H209)*POWER(Upgrades!$R$17,I209)*POWER(Upgrades!$R$18,J209)*POWER(Upgrades!$R$19,K209)*POWER(Upgrades!$R$20,L209)*POWER(Upgrades!$R$21,M209))*(IF(Upgrades!$T$13="Roche Lobe Overflow",POWER(Upgrades!$U$13,E209),1)*IF(Upgrades!$T$14="Roche Lobe Overflow",POWER(Upgrades!$U$14,F209),1)*IF(Upgrades!$T$15="Roche Lobe Overflow",POWER(Upgrades!$U$15,G209),1)*IF(Upgrades!$T$17="Roche Lobe Overflow",POWER(Upgrades!$U$17,I209),1)*IF(Upgrades!$T$18="Roche Lobe Overflow",POWER(Upgrades!$U$18,J209),1)*IF(Upgrades!$T$19="Roche Lobe Overflow",POWER(Upgrades!$U$19,K209),1)*IF(Upgrades!$T$20="Roche Lobe Overflow",POWER(Upgrades!$U$20,L209),1)*IF(Upgrades!$T$21="Roche Lobe Overflow",POWER(Upgrades!$U$21,M209),1))*$H$6*O209+((IF(F209=0,0,(Upgrades!$G$14+F209*Upgrades!$H$14)*POWER(Upgrades!$I$14,F209)))*(IF(Upgrades!$T$13="Local Bubble",POWER(Upgrades!$U$13,E209),1)*IF(Upgrades!$T$15="Local Bubble",POWER(Upgrades!$U$15,G209),1)*IF(Upgrades!$T$16="Local Bubble",POWER(Upgrades!$U$16,H209),1)*IF(Upgrades!$T$17="Local Bubble",POWER(Upgrades!$U$17,I209),1)*IF(Upgrades!$T$18="Local Bubble",POWER(Upgrades!$U$18,J209),1)*IF(Upgrades!$T$19="Local Bubble",POWER(Upgrades!$U$19,K209),1)*IF(Upgrades!$T$20="Local Bubble",POWER(Upgrades!$U$20,L209),1)*IF(Upgrades!$T$21="Local Bubble",POWER(Upgrades!$U$21,M209),1))*POWER(Upgrades!$P$13,E209)*POWER(Upgrades!$P$14,F209)*POWER(Upgrades!$P$15,G209)*POWER(Upgrades!$P$16,H209)*POWER(Upgrades!$P$17,I209)*POWER(Upgrades!$P$18,J209)*POWER(Upgrades!$P$19,K209)*POWER(Upgrades!$P$20,L209)*POWER(Upgrades!$P$21,M209)*$F$6)*0.05)/AN209,0)</f>
        <v/>
      </c>
      <c r="BC209" s="32">
        <f>IFERROR((Upgrades!$H$17*(POWER(Upgrades!$P$13,E209)*POWER(Upgrades!$P$14,F209)*POWER(Upgrades!$P$15,G209)*POWER(Upgrades!$P$16,H209)*POWER(Upgrades!$P$17,I209)*POWER(Upgrades!$P$18,J209)*POWER(Upgrades!$P$19,K209)*POWER(Upgrades!$P$20,L209)*POWER(Upgrades!$P$21,M209))*(IF(Upgrades!$T$13="Brown Dwarf",POWER(Upgrades!$U$13,E209),1)*IF(Upgrades!$T$14="Brown Dwarf",POWER(Upgrades!$U$14,F209),1)*IF(Upgrades!$T$15="Brown Dwarf",POWER(Upgrades!$U$15,G209),1)*IF(Upgrades!$T$16="Brown Dwarf",POWER(Upgrades!$U$16,H209),1)*IF(Upgrades!$T$18="Brown Dwarf",POWER(Upgrades!$U$18,J209),1)*IF(Upgrades!$T$19="Brown Dwarf",POWER(Upgrades!$U$19,K209),1)*IF(Upgrades!$T$20="Brown Dwarf",POWER(Upgrades!$U$20,L209),1)*IF(Upgrades!$T$21="Brown Dwarf",POWER(Upgrades!$U$21,M209),1))*$F$6+(((IF(H209=0,0,(Upgrades!$M$16+H209*Upgrades!$N$16)*POWER(Upgrades!$O$16,H209)))*(IF(Upgrades!$T$13="Roche Lobe Overflow",POWER(Upgrades!$U$13,E209),1)*IF(Upgrades!$T$14="Roche Lobe Overflow",POWER(Upgrades!$U$14,F209),1)*IF(Upgrades!$T$15="Roche Lobe Overflow",POWER(Upgrades!$U$15,G209),1)*IF(Upgrades!$T$17="Roche Lobe Overflow",POWER(Upgrades!$U$17,I209),1)*IF(Upgrades!$T$18="Roche Lobe Overflow",POWER(Upgrades!$U$18,J209),1)*IF(Upgrades!$T$19="Roche Lobe Overflow",POWER(Upgrades!$U$19,K209),1)*IF(Upgrades!$T$20="Roche Lobe Overflow",POWER(Upgrades!$U$20,L209),1)*IF(Upgrades!$T$21="Roche Lobe Overflow",POWER(Upgrades!$U$21,M209),1))*POWER(Upgrades!$R$13,E209)*POWER(Upgrades!$R$14,F209)*POWER(Upgrades!$R$15,G209)*POWER(Upgrades!$R$16,H209)*POWER(Upgrades!$R$17,I209)*POWER(Upgrades!$R$18,J209)*POWER(Upgrades!$R$19,K209)*POWER(Upgrades!$R$20,L209)*POWER(Upgrades!$R$21,M209)*$H$6)*O209)*0.10)/AO209,0)</f>
        <v/>
      </c>
      <c r="BD209" s="32">
        <f>MAX(IF(J209&gt;0,0,IFERROR(0.5*((IF(G209=0,0,(Upgrades!$J$15+G209*Upgrades!$K$15)*POWER(Upgrades!$L$15,G209)))*(IF(Upgrades!$T$13="Microlensing",POWER(Upgrades!$U$13,E209),1)*IF(Upgrades!$T$14="Microlensing",POWER(Upgrades!$U$14,F209),1)*IF(Upgrades!$T$16="Microlensing",POWER(Upgrades!$U$16,H209),1)*IF(Upgrades!$T$17="Microlensing",POWER(Upgrades!$U$17,I209),1)*IF(Upgrades!$T$18="Microlensing",POWER(Upgrades!$U$18,J209),1)*IF(Upgrades!$T$19="Microlensing",POWER(Upgrades!$U$19,K209),1)*IF(Upgrades!$T$20="Microlensing",POWER(Upgrades!$U$20,L209),1)*IF(Upgrades!$T$21="Microlensing",POWER(Upgrades!$U$21,M209),1))*(POWER(Upgrades!$Q$13,E209)*POWER(Upgrades!$Q$14,F209)*POWER(Upgrades!$Q$15,G209)*POWER(Upgrades!$Q$16,H209)*POWER(Upgrades!$Q$17,I209)*POWER(Upgrades!$Q$18,J209)*POWER(Upgrades!$Q$19,K209)*POWER(Upgrades!$Q$20,L209)*POWER(Upgrades!$Q$21,M209))*$G$6*(Parameters!$B$10/60*Parameters!$B$11+Q209))/Upgrades!$C$18,0)),IF(K209&gt;0,0,IFERROR(0.30*P209/Upgrades!$C$19,0)),IF(L209&gt;0,0,IFERROR(0.0001/Upgrades!$C$20,0)),IF(M209&gt;0,0,IFERROR((6.0*(POWER(Upgrades!$P$13,E209)*POWER(Upgrades!$P$14,F209)*POWER(Upgrades!$P$15,G209)*POWER(Upgrades!$P$16,H209)*POWER(Upgrades!$P$17,I209)*POWER(Upgrades!$P$18,J209)*POWER(Upgrades!$P$19,K209)*POWER(Upgrades!$P$20,L209)*POWER(Upgrades!$P$21,M209))*$F$6+0.20*O209*(Parameters!$B$10/60*Parameters!$B$11+Q209))/Upgrades!$C$21,0)),IF(AND(ISNUMBER(AK209),AK209&gt;(C209+T209)),AY209,0),IF(AND(ISNUMBER(AL209),AL209&gt;(C209+T209)),AZ209,0),IF(AND(ISNUMBER(AM209),AM209&gt;(C209+T209)),BA209,0),IF(AND(ISNUMBER(AN209),AN209&gt;(C209+T209)),BB209,0),IF(AND(ISNUMBER(AO209),AO209&gt;(C209+T209)),BC209,0))</f>
        <v/>
      </c>
      <c r="BE209" s="29">
        <f>IF(AT209=1,"transition",IF(MIN(IF(AND(J209=0,ISNUMBER(AP209),AP209&lt;=(C209+T209)),AP209,9E15),IF(AND(K209=0,ISNUMBER(AQ209),AQ209&lt;=(C209+T209)),AQ209,9E15),IF(AND(L209=0,ISNUMBER(AR209),AR209&lt;=(C209+T209)),AR209,9E15),IF(AND(M209=0,ISNUMBER(AS209),AS209&lt;=(C209+T209)),AS209,9E15))&lt;9E15,IF(AND(AND(J209=0,ISNUMBER(AP209),AP209&lt;=(C209+T209)),AP209=MIN(IF(AND(J209=0,ISNUMBER(AP209),AP209&lt;=(C209+T209)),AP209,9E15),IF(AND(K209=0,ISNUMBER(AQ209),AQ209&lt;=(C209+T209)),AQ209,9E15),IF(AND(L209=0,ISNUMBER(AR209),AR209&lt;=(C209+T209)),AR209,9E15),IF(AND(M209=0,ISNUMBER(AS209),AS209&lt;=(C209+T209)),AS209,9E15))),"BiP",IF(AND(AND(K209=0,ISNUMBER(AQ209),AQ209&lt;=(C209+T209)),AQ209=MIN(IF(AND(J209=0,ISNUMBER(AP209),AP209&lt;=(C209+T209)),AP209,9E15),IF(AND(K209=0,ISNUMBER(AQ209),AQ209&lt;=(C209+T209)),AQ209,9E15),IF(AND(L209=0,ISNUMBER(AR209),AR209&lt;=(C209+T209)),AR209,9E15),IF(AND(M209=0,ISNUMBER(AS209),AS209&lt;=(C209+T209)),AS209,9E15))),"PV",IF(AND(AND(L209=0,ISNUMBER(AR209),AR209&lt;=(C209+T209)),AR209=MIN(IF(AND(J209=0,ISNUMBER(AP209),AP209&lt;=(C209+T209)),AP209,9E15),IF(AND(K209=0,ISNUMBER(AQ209),AQ209&lt;=(C209+T209)),AQ209,9E15),IF(AND(L209=0,ISNUMBER(AR209),AR209&lt;=(C209+T209)),AR209,9E15),IF(AND(M209=0,ISNUMBER(AS209),AS209&lt;=(C209+T209)),AS209,9E15))),"OC","MG"))),IF(AX209=TRUE,"",IF(MAX(IF(AND(NOT(AND(AU209=1,AT209&lt;&gt;1)),ISNUMBER(AK209),AK209&lt;=(C209+T209)),AY209,0),IF(AND(NOT(AND(AU209=1,AT209&lt;&gt;1)),ISNUMBER(AL209),AL209&lt;=(C209+T209)),AZ209,0),IF(AND(NOT(AND(AU209=1,AT209&lt;&gt;1)),ISNUMBER(AM209),AM209&lt;=(C209+T209)),BA209,0),IF(AND(NOT(AND(AU209=1,AT209&lt;&gt;1)),ISNUMBER(AN209),AN209&lt;=(C209+T209)),BB209,0),IF(AND(ISNUMBER(AO209),AO209&lt;=(C209+T209)),BC209,0))&lt;=0,"",IF(AND(IF(AND(NOT(AND(AU209=1,AT209&lt;&gt;1)),ISNUMBER(AK209),AK209&lt;=(C209+T209)),AY209,0)&gt;0,IF(AND(NOT(AND(AU209=1,AT209&lt;&gt;1)),ISNUMBER(AK209),AK209&lt;=(C209+T209)),AY209,0)=MAX(IF(AND(NOT(AND(AU209=1,AT209&lt;&gt;1)),ISNUMBER(AK209),AK209&lt;=(C209+T209)),AY209,0),IF(AND(NOT(AND(AU209=1,AT209&lt;&gt;1)),ISNUMBER(AL209),AL209&lt;=(C209+T209)),AZ209,0),IF(AND(NOT(AND(AU209=1,AT209&lt;&gt;1)),ISNUMBER(AM209),AM209&lt;=(C209+T209)),BA209,0),IF(AND(NOT(AND(AU209=1,AT209&lt;&gt;1)),ISNUMBER(AN209),AN209&lt;=(C209+T209)),BB209,0),IF(AND(ISNUMBER(AO209),AO209&lt;=(C209+T209)),BC209,0))),"SK",IF(AND(IF(AND(NOT(AND(AU209=1,AT209&lt;&gt;1)),ISNUMBER(AL209),AL209&lt;=(C209+T209)),AZ209,0)&gt;0,IF(AND(NOT(AND(AU209=1,AT209&lt;&gt;1)),ISNUMBER(AL209),AL209&lt;=(C209+T209)),AZ209,0)=MAX(IF(AND(NOT(AND(AU209=1,AT209&lt;&gt;1)),ISNUMBER(AK209),AK209&lt;=(C209+T209)),AY209,0),IF(AND(NOT(AND(AU209=1,AT209&lt;&gt;1)),ISNUMBER(AL209),AL209&lt;=(C209+T209)),AZ209,0),IF(AND(NOT(AND(AU209=1,AT209&lt;&gt;1)),ISNUMBER(AM209),AM209&lt;=(C209+T209)),BA209,0),IF(AND(NOT(AND(AU209=1,AT209&lt;&gt;1)),ISNUMBER(AN209),AN209&lt;=(C209+T209)),BB209,0),IF(AND(ISNUMBER(AO209),AO209&lt;=(C209+T209)),BC209,0))),"LB",IF(AND(IF(AND(NOT(AND(AU209=1,AT209&lt;&gt;1)),ISNUMBER(AM209),AM209&lt;=(C209+T209)),BA209,0)&gt;0,IF(AND(NOT(AND(AU209=1,AT209&lt;&gt;1)),ISNUMBER(AM209),AM209&lt;=(C209+T209)),BA209,0)=MAX(IF(AND(NOT(AND(AU209=1,AT209&lt;&gt;1)),ISNUMBER(AK209),AK209&lt;=(C209+T209)),AY209,0),IF(AND(NOT(AND(AU209=1,AT209&lt;&gt;1)),ISNUMBER(AL209),AL209&lt;=(C209+T209)),AZ209,0),IF(AND(NOT(AND(AU209=1,AT209&lt;&gt;1)),ISNUMBER(AM209),AM209&lt;=(C209+T209)),BA209,0),IF(AND(NOT(AND(AU209=1,AT209&lt;&gt;1)),ISNUMBER(AN209),AN209&lt;=(C209+T209)),BB209,0),IF(AND(ISNUMBER(AO209),AO209&lt;=(C209+T209)),BC209,0))),"ML",IF(AND(IF(AND(NOT(AND(AU209=1,AT209&lt;&gt;1)),ISNUMBER(AN209),AN209&lt;=(C209+T209)),BB209,0)&gt;0,IF(AND(NOT(AND(AU209=1,AT209&lt;&gt;1)),ISNUMBER(AN209),AN209&lt;=(C209+T209)),BB209,0)=MAX(IF(AND(NOT(AND(AU209=1,AT209&lt;&gt;1)),ISNUMBER(AK209),AK209&lt;=(C209+T209)),AY209,0),IF(AND(NOT(AND(AU209=1,AT209&lt;&gt;1)),ISNUMBER(AL209),AL209&lt;=(C209+T209)),AZ209,0),IF(AND(NOT(AND(AU209=1,AT209&lt;&gt;1)),ISNUMBER(AM209),AM209&lt;=(C209+T209)),BA209,0),IF(AND(NOT(AND(AU209=1,AT209&lt;&gt;1)),ISNUMBER(AN209),AN209&lt;=(C209+T209)),BB209,0),IF(AND(ISNUMBER(AO209),AO209&lt;=(C209+T209)),BC209,0))),"RLO","BD"))))))))</f>
        <v/>
      </c>
    </row>
    <row r="210">
      <c r="A210" s="26" t="n">
        <v>199</v>
      </c>
      <c r="B210" s="27">
        <f>A210*10/60</f>
        <v/>
      </c>
      <c r="C210" s="22">
        <f>X209</f>
        <v/>
      </c>
      <c r="D210" s="27">
        <f>D209+W209</f>
        <v/>
      </c>
      <c r="E210" s="26">
        <f>E209+IF(U209="SK",1,0)</f>
        <v/>
      </c>
      <c r="F210" s="26">
        <f>F209+IF(U209="LB",1,0)</f>
        <v/>
      </c>
      <c r="G210" s="26">
        <f>G209+IF(U209="ML",1,0)</f>
        <v/>
      </c>
      <c r="H210" s="26">
        <f>H209+IF(U209="RLO",1,0)</f>
        <v/>
      </c>
      <c r="I210" s="26">
        <f>I209+IF(U209="BD",1,0)</f>
        <v/>
      </c>
      <c r="J210" s="26">
        <f>MAX(J209,IF(U209="BiP",1,0))</f>
        <v/>
      </c>
      <c r="K210" s="26">
        <f>MAX(K209,IF(U209="PV",1,0))</f>
        <v/>
      </c>
      <c r="L210" s="26">
        <f>MAX(L209,IF(U209="OC",1,0))</f>
        <v/>
      </c>
      <c r="M210" s="26">
        <f>MAX(M209,IF(U209="MG",1,0))</f>
        <v/>
      </c>
      <c r="N210" s="26">
        <f>MAX(N209,IF(U209="transition",1,0))</f>
        <v/>
      </c>
      <c r="O210" s="28">
        <f>(Parameters!$B$9+(IF(E210=0,0,(Upgrades!$J$13+E210*Upgrades!$K$13)*POWER(Upgrades!$L$13,E210)))*(IF(Upgrades!$T$14="Stellar Kinematics",POWER(Upgrades!$U$14,F210),1)*IF(Upgrades!$T$15="Stellar Kinematics",POWER(Upgrades!$U$15,G210),1)*IF(Upgrades!$T$16="Stellar Kinematics",POWER(Upgrades!$U$16,H210),1)*IF(Upgrades!$T$17="Stellar Kinematics",POWER(Upgrades!$U$17,I210),1)*IF(Upgrades!$T$18="Stellar Kinematics",POWER(Upgrades!$U$18,J210),1)*IF(Upgrades!$T$19="Stellar Kinematics",POWER(Upgrades!$U$19,K210),1)*IF(Upgrades!$T$20="Stellar Kinematics",POWER(Upgrades!$U$20,L210),1)*IF(Upgrades!$T$21="Stellar Kinematics",POWER(Upgrades!$U$21,M210),1))+(IF(F210=0,0,(Upgrades!$J$14+F210*Upgrades!$K$14)*POWER(Upgrades!$L$14,F210)))*(IF(Upgrades!$T$13="Local Bubble",POWER(Upgrades!$U$13,E210),1)*IF(Upgrades!$T$15="Local Bubble",POWER(Upgrades!$U$15,G210),1)*IF(Upgrades!$T$16="Local Bubble",POWER(Upgrades!$U$16,H210),1)*IF(Upgrades!$T$17="Local Bubble",POWER(Upgrades!$U$17,I210),1)*IF(Upgrades!$T$18="Local Bubble",POWER(Upgrades!$U$18,J210),1)*IF(Upgrades!$T$19="Local Bubble",POWER(Upgrades!$U$19,K210),1)*IF(Upgrades!$T$20="Local Bubble",POWER(Upgrades!$U$20,L210),1)*IF(Upgrades!$T$21="Local Bubble",POWER(Upgrades!$U$21,M210),1))+(IF(G210=0,0,(Upgrades!$J$15+G210*Upgrades!$K$15)*POWER(Upgrades!$L$15,G210)))*(IF(Upgrades!$T$13="Microlensing",POWER(Upgrades!$U$13,E210),1)*IF(Upgrades!$T$14="Microlensing",POWER(Upgrades!$U$14,F210),1)*IF(Upgrades!$T$16="Microlensing",POWER(Upgrades!$U$16,H210),1)*IF(Upgrades!$T$17="Microlensing",POWER(Upgrades!$U$17,I210),1)*IF(Upgrades!$T$18="Microlensing",POWER(Upgrades!$U$18,J210),1)*IF(Upgrades!$T$19="Microlensing",POWER(Upgrades!$U$19,K210),1)*IF(Upgrades!$T$20="Microlensing",POWER(Upgrades!$U$20,L210),1)*IF(Upgrades!$T$21="Microlensing",POWER(Upgrades!$U$21,M210),1))+(IF(H210=0,0,(Upgrades!$J$16+H210*Upgrades!$K$16)*POWER(Upgrades!$L$16,H210)))*(IF(Upgrades!$T$13="Roche Lobe Overflow",POWER(Upgrades!$U$13,E210),1)*IF(Upgrades!$T$14="Roche Lobe Overflow",POWER(Upgrades!$U$14,F210),1)*IF(Upgrades!$T$15="Roche Lobe Overflow",POWER(Upgrades!$U$15,G210),1)*IF(Upgrades!$T$17="Roche Lobe Overflow",POWER(Upgrades!$U$17,I210),1)*IF(Upgrades!$T$18="Roche Lobe Overflow",POWER(Upgrades!$U$18,J210),1)*IF(Upgrades!$T$19="Roche Lobe Overflow",POWER(Upgrades!$U$19,K210),1)*IF(Upgrades!$T$20="Roche Lobe Overflow",POWER(Upgrades!$U$20,L210),1)*IF(Upgrades!$T$21="Roche Lobe Overflow",POWER(Upgrades!$U$21,M210),1))+(IF(I210=0,0,(Upgrades!$J$17+I210*Upgrades!$K$17)*POWER(Upgrades!$L$17,I210)))*(IF(Upgrades!$T$13="Brown Dwarf",POWER(Upgrades!$U$13,E210),1)*IF(Upgrades!$T$14="Brown Dwarf",POWER(Upgrades!$U$14,F210),1)*IF(Upgrades!$T$15="Brown Dwarf",POWER(Upgrades!$U$15,G210),1)*IF(Upgrades!$T$16="Brown Dwarf",POWER(Upgrades!$U$16,H210),1)*IF(Upgrades!$T$18="Brown Dwarf",POWER(Upgrades!$U$18,J210),1)*IF(Upgrades!$T$19="Brown Dwarf",POWER(Upgrades!$U$19,K210),1)*IF(Upgrades!$T$20="Brown Dwarf",POWER(Upgrades!$U$20,L210),1)*IF(Upgrades!$T$21="Brown Dwarf",POWER(Upgrades!$U$21,M210),1))+(IF(J210=0,0,(Upgrades!$J$18+J210*Upgrades!$K$18)*POWER(Upgrades!$L$18,J210)))*(IF(Upgrades!$T$13="Binary Partner",POWER(Upgrades!$U$13,E210),1)*IF(Upgrades!$T$14="Binary Partner",POWER(Upgrades!$U$14,F210),1)*IF(Upgrades!$T$15="Binary Partner",POWER(Upgrades!$U$15,G210),1)*IF(Upgrades!$T$16="Binary Partner",POWER(Upgrades!$U$16,H210),1)*IF(Upgrades!$T$17="Binary Partner",POWER(Upgrades!$U$17,I210),1)*IF(Upgrades!$T$19="Binary Partner",POWER(Upgrades!$U$19,K210),1)*IF(Upgrades!$T$20="Binary Partner",POWER(Upgrades!$U$20,L210),1)*IF(Upgrades!$T$21="Binary Partner",POWER(Upgrades!$U$21,M210),1))+(IF(K210=0,0,(Upgrades!$J$19+K210*Upgrades!$K$19)*POWER(Upgrades!$L$19,K210)))*(IF(Upgrades!$T$13="Peculiar Velocity",POWER(Upgrades!$U$13,E210),1)*IF(Upgrades!$T$14="Peculiar Velocity",POWER(Upgrades!$U$14,F210),1)*IF(Upgrades!$T$15="Peculiar Velocity",POWER(Upgrades!$U$15,G210),1)*IF(Upgrades!$T$16="Peculiar Velocity",POWER(Upgrades!$U$16,H210),1)*IF(Upgrades!$T$17="Peculiar Velocity",POWER(Upgrades!$U$17,I210),1)*IF(Upgrades!$T$18="Peculiar Velocity",POWER(Upgrades!$U$18,J210),1)*IF(Upgrades!$T$20="Peculiar Velocity",POWER(Upgrades!$U$20,L210),1)*IF(Upgrades!$T$21="Peculiar Velocity",POWER(Upgrades!$U$21,M210),1))+(IF(L210=0,0,(Upgrades!$J$20+L210*Upgrades!$K$20)*POWER(Upgrades!$L$20,L210)))*(IF(Upgrades!$T$13="Open Cluster",POWER(Upgrades!$U$13,E210),1)*IF(Upgrades!$T$14="Open Cluster",POWER(Upgrades!$U$14,F210),1)*IF(Upgrades!$T$15="Open Cluster",POWER(Upgrades!$U$15,G210),1)*IF(Upgrades!$T$16="Open Cluster",POWER(Upgrades!$U$16,H210),1)*IF(Upgrades!$T$17="Open Cluster",POWER(Upgrades!$U$17,I210),1)*IF(Upgrades!$T$18="Open Cluster",POWER(Upgrades!$U$18,J210),1)*IF(Upgrades!$T$19="Open Cluster",POWER(Upgrades!$U$19,K210),1)*IF(Upgrades!$T$21="Open Cluster",POWER(Upgrades!$U$21,M210),1))+(IF(M210=0,0,(Upgrades!$J$21+M210*Upgrades!$K$21)*POWER(Upgrades!$L$21,M210)))*(IF(Upgrades!$T$13="Moving Group",POWER(Upgrades!$U$13,E210),1)*IF(Upgrades!$T$14="Moving Group",POWER(Upgrades!$U$14,F210),1)*IF(Upgrades!$T$15="Moving Group",POWER(Upgrades!$U$15,G210),1)*IF(Upgrades!$T$16="Moving Group",POWER(Upgrades!$U$16,H210),1)*IF(Upgrades!$T$17="Moving Group",POWER(Upgrades!$U$17,I210),1)*IF(Upgrades!$T$18="Moving Group",POWER(Upgrades!$U$18,J210),1)*IF(Upgrades!$T$19="Moving Group",POWER(Upgrades!$U$19,K210),1)*IF(Upgrades!$T$20="Moving Group",POWER(Upgrades!$U$20,L210),1)))*POWER(Upgrades!$Q$13,E210)*POWER(Upgrades!$Q$14,F210)*POWER(Upgrades!$Q$15,G210)*POWER(Upgrades!$Q$16,H210)*POWER(Upgrades!$Q$17,I210)*POWER(Upgrades!$Q$18,J210)*POWER(Upgrades!$Q$19,K210)*POWER(Upgrades!$Q$20,L210)*POWER(Upgrades!$Q$21,M210)*$G$6+$D$6</f>
        <v/>
      </c>
      <c r="P210" s="28">
        <f>((IF(E210=0,0,(Upgrades!$G$13+E210*Upgrades!$H$13)*POWER(Upgrades!$I$13,E210)))*(IF(Upgrades!$T$14="Stellar Kinematics",POWER(Upgrades!$U$14,F210),1)*IF(Upgrades!$T$15="Stellar Kinematics",POWER(Upgrades!$U$15,G210),1)*IF(Upgrades!$T$16="Stellar Kinematics",POWER(Upgrades!$U$16,H210),1)*IF(Upgrades!$T$17="Stellar Kinematics",POWER(Upgrades!$U$17,I210),1)*IF(Upgrades!$T$18="Stellar Kinematics",POWER(Upgrades!$U$18,J210),1)*IF(Upgrades!$T$19="Stellar Kinematics",POWER(Upgrades!$U$19,K210),1)*IF(Upgrades!$T$20="Stellar Kinematics",POWER(Upgrades!$U$20,L210),1)*IF(Upgrades!$T$21="Stellar Kinematics",POWER(Upgrades!$U$21,M210),1))+(IF(F210=0,0,(Upgrades!$G$14+F210*Upgrades!$H$14)*POWER(Upgrades!$I$14,F210)))*(IF(Upgrades!$T$13="Local Bubble",POWER(Upgrades!$U$13,E210),1)*IF(Upgrades!$T$15="Local Bubble",POWER(Upgrades!$U$15,G210),1)*IF(Upgrades!$T$16="Local Bubble",POWER(Upgrades!$U$16,H210),1)*IF(Upgrades!$T$17="Local Bubble",POWER(Upgrades!$U$17,I210),1)*IF(Upgrades!$T$18="Local Bubble",POWER(Upgrades!$U$18,J210),1)*IF(Upgrades!$T$19="Local Bubble",POWER(Upgrades!$U$19,K210),1)*IF(Upgrades!$T$20="Local Bubble",POWER(Upgrades!$U$20,L210),1)*IF(Upgrades!$T$21="Local Bubble",POWER(Upgrades!$U$21,M210),1))+(IF(G210=0,0,(Upgrades!$G$15+G210*Upgrades!$H$15)*POWER(Upgrades!$I$15,G210)))*(IF(Upgrades!$T$13="Microlensing",POWER(Upgrades!$U$13,E210),1)*IF(Upgrades!$T$14="Microlensing",POWER(Upgrades!$U$14,F210),1)*IF(Upgrades!$T$16="Microlensing",POWER(Upgrades!$U$16,H210),1)*IF(Upgrades!$T$17="Microlensing",POWER(Upgrades!$U$17,I210),1)*IF(Upgrades!$T$18="Microlensing",POWER(Upgrades!$U$18,J210),1)*IF(Upgrades!$T$19="Microlensing",POWER(Upgrades!$U$19,K210),1)*IF(Upgrades!$T$20="Microlensing",POWER(Upgrades!$U$20,L210),1)*IF(Upgrades!$T$21="Microlensing",POWER(Upgrades!$U$21,M210),1))+(IF(H210=0,0,(Upgrades!$G$16+H210*Upgrades!$H$16)*POWER(Upgrades!$I$16,H210)))*(IF(Upgrades!$T$13="Roche Lobe Overflow",POWER(Upgrades!$U$13,E210),1)*IF(Upgrades!$T$14="Roche Lobe Overflow",POWER(Upgrades!$U$14,F210),1)*IF(Upgrades!$T$15="Roche Lobe Overflow",POWER(Upgrades!$U$15,G210),1)*IF(Upgrades!$T$17="Roche Lobe Overflow",POWER(Upgrades!$U$17,I210),1)*IF(Upgrades!$T$18="Roche Lobe Overflow",POWER(Upgrades!$U$18,J210),1)*IF(Upgrades!$T$19="Roche Lobe Overflow",POWER(Upgrades!$U$19,K210),1)*IF(Upgrades!$T$20="Roche Lobe Overflow",POWER(Upgrades!$U$20,L210),1)*IF(Upgrades!$T$21="Roche Lobe Overflow",POWER(Upgrades!$U$21,M210),1))+(IF(I210=0,0,(Upgrades!$G$17+I210*Upgrades!$H$17)*POWER(Upgrades!$I$17,I210)))*(IF(Upgrades!$T$13="Brown Dwarf",POWER(Upgrades!$U$13,E210),1)*IF(Upgrades!$T$14="Brown Dwarf",POWER(Upgrades!$U$14,F210),1)*IF(Upgrades!$T$15="Brown Dwarf",POWER(Upgrades!$U$15,G210),1)*IF(Upgrades!$T$16="Brown Dwarf",POWER(Upgrades!$U$16,H210),1)*IF(Upgrades!$T$18="Brown Dwarf",POWER(Upgrades!$U$18,J210),1)*IF(Upgrades!$T$19="Brown Dwarf",POWER(Upgrades!$U$19,K210),1)*IF(Upgrades!$T$20="Brown Dwarf",POWER(Upgrades!$U$20,L210),1)*IF(Upgrades!$T$21="Brown Dwarf",POWER(Upgrades!$U$21,M210),1))+(IF(J210=0,0,(Upgrades!$G$18+J210*Upgrades!$H$18)*POWER(Upgrades!$I$18,J210)))*(IF(Upgrades!$T$13="Binary Partner",POWER(Upgrades!$U$13,E210),1)*IF(Upgrades!$T$14="Binary Partner",POWER(Upgrades!$U$14,F210),1)*IF(Upgrades!$T$15="Binary Partner",POWER(Upgrades!$U$15,G210),1)*IF(Upgrades!$T$16="Binary Partner",POWER(Upgrades!$U$16,H210),1)*IF(Upgrades!$T$17="Binary Partner",POWER(Upgrades!$U$17,I210),1)*IF(Upgrades!$T$19="Binary Partner",POWER(Upgrades!$U$19,K210),1)*IF(Upgrades!$T$20="Binary Partner",POWER(Upgrades!$U$20,L210),1)*IF(Upgrades!$T$21="Binary Partner",POWER(Upgrades!$U$21,M210),1))+(IF(K210=0,0,(Upgrades!$G$19+K210*Upgrades!$H$19)*POWER(Upgrades!$I$19,K210)))*(IF(Upgrades!$T$13="Peculiar Velocity",POWER(Upgrades!$U$13,E210),1)*IF(Upgrades!$T$14="Peculiar Velocity",POWER(Upgrades!$U$14,F210),1)*IF(Upgrades!$T$15="Peculiar Velocity",POWER(Upgrades!$U$15,G210),1)*IF(Upgrades!$T$16="Peculiar Velocity",POWER(Upgrades!$U$16,H210),1)*IF(Upgrades!$T$17="Peculiar Velocity",POWER(Upgrades!$U$17,I210),1)*IF(Upgrades!$T$18="Peculiar Velocity",POWER(Upgrades!$U$18,J210),1)*IF(Upgrades!$T$20="Peculiar Velocity",POWER(Upgrades!$U$20,L210),1)*IF(Upgrades!$T$21="Peculiar Velocity",POWER(Upgrades!$U$21,M210),1))+(IF(L210=0,0,(Upgrades!$G$20+L210*Upgrades!$H$20)*POWER(Upgrades!$I$20,L210)))*(IF(Upgrades!$T$13="Open Cluster",POWER(Upgrades!$U$13,E210),1)*IF(Upgrades!$T$14="Open Cluster",POWER(Upgrades!$U$14,F210),1)*IF(Upgrades!$T$15="Open Cluster",POWER(Upgrades!$U$15,G210),1)*IF(Upgrades!$T$16="Open Cluster",POWER(Upgrades!$U$16,H210),1)*IF(Upgrades!$T$17="Open Cluster",POWER(Upgrades!$U$17,I210),1)*IF(Upgrades!$T$18="Open Cluster",POWER(Upgrades!$U$18,J210),1)*IF(Upgrades!$T$19="Open Cluster",POWER(Upgrades!$U$19,K210),1)*IF(Upgrades!$T$21="Open Cluster",POWER(Upgrades!$U$21,M210),1))+(IF(M210=0,0,(Upgrades!$G$21+M210*Upgrades!$H$21)*POWER(Upgrades!$I$21,M210)))*(IF(Upgrades!$T$13="Moving Group",POWER(Upgrades!$U$13,E210),1)*IF(Upgrades!$T$14="Moving Group",POWER(Upgrades!$U$14,F210),1)*IF(Upgrades!$T$15="Moving Group",POWER(Upgrades!$U$15,G210),1)*IF(Upgrades!$T$16="Moving Group",POWER(Upgrades!$U$16,H210),1)*IF(Upgrades!$T$17="Moving Group",POWER(Upgrades!$U$17,I210),1)*IF(Upgrades!$T$18="Moving Group",POWER(Upgrades!$U$18,J210),1)*IF(Upgrades!$T$19="Moving Group",POWER(Upgrades!$U$19,K210),1)*IF(Upgrades!$T$20="Moving Group",POWER(Upgrades!$U$20,L210),1)))*POWER(Upgrades!$P$13,E210)*POWER(Upgrades!$P$14,F210)*POWER(Upgrades!$P$15,G210)*POWER(Upgrades!$P$16,H210)*POWER(Upgrades!$P$17,I210)*POWER(Upgrades!$P$18,J210)*POWER(Upgrades!$P$19,K210)*POWER(Upgrades!$P$20,L210)*POWER(Upgrades!$P$21,M210)*$F$6+$C$6</f>
        <v/>
      </c>
      <c r="Q210" s="28">
        <f>((IF(E210=0,0,(Upgrades!$M$13+E210*Upgrades!$N$13)*POWER(Upgrades!$O$13,E210)))*(IF(Upgrades!$T$14="Stellar Kinematics",POWER(Upgrades!$U$14,F210),1)*IF(Upgrades!$T$15="Stellar Kinematics",POWER(Upgrades!$U$15,G210),1)*IF(Upgrades!$T$16="Stellar Kinematics",POWER(Upgrades!$U$16,H210),1)*IF(Upgrades!$T$17="Stellar Kinematics",POWER(Upgrades!$U$17,I210),1)*IF(Upgrades!$T$18="Stellar Kinematics",POWER(Upgrades!$U$18,J210),1)*IF(Upgrades!$T$19="Stellar Kinematics",POWER(Upgrades!$U$19,K210),1)*IF(Upgrades!$T$20="Stellar Kinematics",POWER(Upgrades!$U$20,L210),1)*IF(Upgrades!$T$21="Stellar Kinematics",POWER(Upgrades!$U$21,M210),1))+(IF(F210=0,0,(Upgrades!$M$14+F210*Upgrades!$N$14)*POWER(Upgrades!$O$14,F210)))*(IF(Upgrades!$T$13="Local Bubble",POWER(Upgrades!$U$13,E210),1)*IF(Upgrades!$T$15="Local Bubble",POWER(Upgrades!$U$15,G210),1)*IF(Upgrades!$T$16="Local Bubble",POWER(Upgrades!$U$16,H210),1)*IF(Upgrades!$T$17="Local Bubble",POWER(Upgrades!$U$17,I210),1)*IF(Upgrades!$T$18="Local Bubble",POWER(Upgrades!$U$18,J210),1)*IF(Upgrades!$T$19="Local Bubble",POWER(Upgrades!$U$19,K210),1)*IF(Upgrades!$T$20="Local Bubble",POWER(Upgrades!$U$20,L210),1)*IF(Upgrades!$T$21="Local Bubble",POWER(Upgrades!$U$21,M210),1))+(IF(G210=0,0,(Upgrades!$M$15+G210*Upgrades!$N$15)*POWER(Upgrades!$O$15,G210)))*(IF(Upgrades!$T$13="Microlensing",POWER(Upgrades!$U$13,E210),1)*IF(Upgrades!$T$14="Microlensing",POWER(Upgrades!$U$14,F210),1)*IF(Upgrades!$T$16="Microlensing",POWER(Upgrades!$U$16,H210),1)*IF(Upgrades!$T$17="Microlensing",POWER(Upgrades!$U$17,I210),1)*IF(Upgrades!$T$18="Microlensing",POWER(Upgrades!$U$18,J210),1)*IF(Upgrades!$T$19="Microlensing",POWER(Upgrades!$U$19,K210),1)*IF(Upgrades!$T$20="Microlensing",POWER(Upgrades!$U$20,L210),1)*IF(Upgrades!$T$21="Microlensing",POWER(Upgrades!$U$21,M210),1))+(IF(H210=0,0,(Upgrades!$M$16+H210*Upgrades!$N$16)*POWER(Upgrades!$O$16,H210)))*(IF(Upgrades!$T$13="Roche Lobe Overflow",POWER(Upgrades!$U$13,E210),1)*IF(Upgrades!$T$14="Roche Lobe Overflow",POWER(Upgrades!$U$14,F210),1)*IF(Upgrades!$T$15="Roche Lobe Overflow",POWER(Upgrades!$U$15,G210),1)*IF(Upgrades!$T$17="Roche Lobe Overflow",POWER(Upgrades!$U$17,I210),1)*IF(Upgrades!$T$18="Roche Lobe Overflow",POWER(Upgrades!$U$18,J210),1)*IF(Upgrades!$T$19="Roche Lobe Overflow",POWER(Upgrades!$U$19,K210),1)*IF(Upgrades!$T$20="Roche Lobe Overflow",POWER(Upgrades!$U$20,L210),1)*IF(Upgrades!$T$21="Roche Lobe Overflow",POWER(Upgrades!$U$21,M210),1))+(IF(I210=0,0,(Upgrades!$M$17+I210*Upgrades!$N$17)*POWER(Upgrades!$O$17,I210)))*(IF(Upgrades!$T$13="Brown Dwarf",POWER(Upgrades!$U$13,E210),1)*IF(Upgrades!$T$14="Brown Dwarf",POWER(Upgrades!$U$14,F210),1)*IF(Upgrades!$T$15="Brown Dwarf",POWER(Upgrades!$U$15,G210),1)*IF(Upgrades!$T$16="Brown Dwarf",POWER(Upgrades!$U$16,H210),1)*IF(Upgrades!$T$18="Brown Dwarf",POWER(Upgrades!$U$18,J210),1)*IF(Upgrades!$T$19="Brown Dwarf",POWER(Upgrades!$U$19,K210),1)*IF(Upgrades!$T$20="Brown Dwarf",POWER(Upgrades!$U$20,L210),1)*IF(Upgrades!$T$21="Brown Dwarf",POWER(Upgrades!$U$21,M210),1))+(IF(J210=0,0,(Upgrades!$M$18+J210*Upgrades!$N$18)*POWER(Upgrades!$O$18,J210)))*(IF(Upgrades!$T$13="Binary Partner",POWER(Upgrades!$U$13,E210),1)*IF(Upgrades!$T$14="Binary Partner",POWER(Upgrades!$U$14,F210),1)*IF(Upgrades!$T$15="Binary Partner",POWER(Upgrades!$U$15,G210),1)*IF(Upgrades!$T$16="Binary Partner",POWER(Upgrades!$U$16,H210),1)*IF(Upgrades!$T$17="Binary Partner",POWER(Upgrades!$U$17,I210),1)*IF(Upgrades!$T$19="Binary Partner",POWER(Upgrades!$U$19,K210),1)*IF(Upgrades!$T$20="Binary Partner",POWER(Upgrades!$U$20,L210),1)*IF(Upgrades!$T$21="Binary Partner",POWER(Upgrades!$U$21,M210),1))+(IF(K210=0,0,(Upgrades!$M$19+K210*Upgrades!$N$19)*POWER(Upgrades!$O$19,K210)))*(IF(Upgrades!$T$13="Peculiar Velocity",POWER(Upgrades!$U$13,E210),1)*IF(Upgrades!$T$14="Peculiar Velocity",POWER(Upgrades!$U$14,F210),1)*IF(Upgrades!$T$15="Peculiar Velocity",POWER(Upgrades!$U$15,G210),1)*IF(Upgrades!$T$16="Peculiar Velocity",POWER(Upgrades!$U$16,H210),1)*IF(Upgrades!$T$17="Peculiar Velocity",POWER(Upgrades!$U$17,I210),1)*IF(Upgrades!$T$18="Peculiar Velocity",POWER(Upgrades!$U$18,J210),1)*IF(Upgrades!$T$20="Peculiar Velocity",POWER(Upgrades!$U$20,L210),1)*IF(Upgrades!$T$21="Peculiar Velocity",POWER(Upgrades!$U$21,M210),1))+(IF(L210=0,0,(Upgrades!$M$20+L210*Upgrades!$N$20)*POWER(Upgrades!$O$20,L210)))*(IF(Upgrades!$T$13="Open Cluster",POWER(Upgrades!$U$13,E210),1)*IF(Upgrades!$T$14="Open Cluster",POWER(Upgrades!$U$14,F210),1)*IF(Upgrades!$T$15="Open Cluster",POWER(Upgrades!$U$15,G210),1)*IF(Upgrades!$T$16="Open Cluster",POWER(Upgrades!$U$16,H210),1)*IF(Upgrades!$T$17="Open Cluster",POWER(Upgrades!$U$17,I210),1)*IF(Upgrades!$T$18="Open Cluster",POWER(Upgrades!$U$18,J210),1)*IF(Upgrades!$T$19="Open Cluster",POWER(Upgrades!$U$19,K210),1)*IF(Upgrades!$T$21="Open Cluster",POWER(Upgrades!$U$21,M210),1))+(IF(M210=0,0,(Upgrades!$M$21+M210*Upgrades!$N$21)*POWER(Upgrades!$O$21,M210)))*(IF(Upgrades!$T$13="Moving Group",POWER(Upgrades!$U$13,E210),1)*IF(Upgrades!$T$14="Moving Group",POWER(Upgrades!$U$14,F210),1)*IF(Upgrades!$T$15="Moving Group",POWER(Upgrades!$U$15,G210),1)*IF(Upgrades!$T$16="Moving Group",POWER(Upgrades!$U$16,H210),1)*IF(Upgrades!$T$17="Moving Group",POWER(Upgrades!$U$17,I210),1)*IF(Upgrades!$T$18="Moving Group",POWER(Upgrades!$U$18,J210),1)*IF(Upgrades!$T$19="Moving Group",POWER(Upgrades!$U$19,K210),1)*IF(Upgrades!$T$20="Moving Group",POWER(Upgrades!$U$20,L210),1)))*POWER(Upgrades!$R$13,E210)*POWER(Upgrades!$R$14,F210)*POWER(Upgrades!$R$15,G210)*POWER(Upgrades!$R$16,H210)*POWER(Upgrades!$R$17,I210)*POWER(Upgrades!$R$18,J210)*POWER(Upgrades!$R$19,K210)*POWER(Upgrades!$R$20,L210)*POWER(Upgrades!$R$21,M210)*$H$6+$E$6</f>
        <v/>
      </c>
      <c r="R210" s="27">
        <f>IF(N210=1,0,O210*Parameters!$B$10/60*Parameters!$B$11*10)</f>
        <v/>
      </c>
      <c r="S210" s="27">
        <f>IF(N210=1,0,Q210*O210*10)</f>
        <v/>
      </c>
      <c r="T210" s="27">
        <f>IF(N210=1,0,R210+S210+P210*10)</f>
        <v/>
      </c>
      <c r="U210" s="33">
        <f>BE210</f>
        <v/>
      </c>
      <c r="V210" s="22">
        <f>IF(U210="",0,IF(U210="transition",0,IF(U210="SK",AK210,IF(U210="LB",AL210,IF(U210="ML",AM210,IF(U210="RLO",AN210,IF(U210="BD",AO210,IF(U210="BiP",AP210,IF(U210="PV",AQ210,IF(U210="OC",AR210,IF(U210="MG",AS210,0))))))))))</f>
        <v/>
      </c>
      <c r="W210" s="27">
        <f>IF(U210="BiP",Upgrades!$F$18,IF(U210="PV",Upgrades!$F$19,IF(U210="OC",Upgrades!$F$20,IF(U210="MG",Upgrades!$F$21,IF(U210="transition",-Parameters!$B$18*Parameters!$B$19,0)))))</f>
        <v/>
      </c>
      <c r="X210" s="22">
        <f>C210+T210-V210</f>
        <v/>
      </c>
      <c r="Y210" s="30">
        <f>O210*Parameters!$B$10/60*Parameters!$B$11+Q210*O210+P210</f>
        <v/>
      </c>
      <c r="Z210" s="34">
        <f>IF(U210="transition","→ Tier 3 (Galactic Arm)",IF(U210="MG","Moving Group — pocket drifts together",IF(U210="OC","Open Cluster acquired",IF(U210="PV","Peculiar Velocity — passive multiplier active",IF(U210="BiP","Binary Partner — pair bond formed",IF(AND(AU210=1,N210=0,AT210&lt;&gt;1),"Cohesion ready (waiting on completionists)","")))))) </f>
        <v/>
      </c>
      <c r="AA210" s="27">
        <f>(IF(E210=0,0,(Upgrades!$G$13+E210*Upgrades!$H$13)*POWER(Upgrades!$I$13,E210)))*(IF(Upgrades!$T$14="Stellar Kinematics",POWER(Upgrades!$U$14,F210),1)*IF(Upgrades!$T$15="Stellar Kinematics",POWER(Upgrades!$U$15,G210),1)*IF(Upgrades!$T$16="Stellar Kinematics",POWER(Upgrades!$U$16,H210),1)*IF(Upgrades!$T$17="Stellar Kinematics",POWER(Upgrades!$U$17,I210),1)*IF(Upgrades!$T$18="Stellar Kinematics",POWER(Upgrades!$U$18,J210),1)*IF(Upgrades!$T$19="Stellar Kinematics",POWER(Upgrades!$U$19,K210),1)*IF(Upgrades!$T$20="Stellar Kinematics",POWER(Upgrades!$U$20,L210),1)*IF(Upgrades!$T$21="Stellar Kinematics",POWER(Upgrades!$U$21,M210),1))*POWER(Upgrades!$P$13,E210)*POWER(Upgrades!$P$14,F210)*POWER(Upgrades!$P$15,G210)*POWER(Upgrades!$P$16,H210)*POWER(Upgrades!$P$17,I210)*POWER(Upgrades!$P$18,J210)*POWER(Upgrades!$P$19,K210)*POWER(Upgrades!$P$20,L210)*POWER(Upgrades!$P$21,M210)*$F$6*60</f>
        <v/>
      </c>
      <c r="AB210" s="27">
        <f>(IF(F210=0,0,(Upgrades!$G$14+F210*Upgrades!$H$14)*POWER(Upgrades!$I$14,F210)))*(IF(Upgrades!$T$13="Local Bubble",POWER(Upgrades!$U$13,E210),1)*IF(Upgrades!$T$15="Local Bubble",POWER(Upgrades!$U$15,G210),1)*IF(Upgrades!$T$16="Local Bubble",POWER(Upgrades!$U$16,H210),1)*IF(Upgrades!$T$17="Local Bubble",POWER(Upgrades!$U$17,I210),1)*IF(Upgrades!$T$18="Local Bubble",POWER(Upgrades!$U$18,J210),1)*IF(Upgrades!$T$19="Local Bubble",POWER(Upgrades!$U$19,K210),1)*IF(Upgrades!$T$20="Local Bubble",POWER(Upgrades!$U$20,L210),1)*IF(Upgrades!$T$21="Local Bubble",POWER(Upgrades!$U$21,M210),1))*POWER(Upgrades!$P$13,E210)*POWER(Upgrades!$P$14,F210)*POWER(Upgrades!$P$15,G210)*POWER(Upgrades!$P$16,H210)*POWER(Upgrades!$P$17,I210)*POWER(Upgrades!$P$18,J210)*POWER(Upgrades!$P$19,K210)*POWER(Upgrades!$P$20,L210)*POWER(Upgrades!$P$21,M210)*$F$6*60</f>
        <v/>
      </c>
      <c r="AC210" s="27">
        <f>(IF(G210=0,0,(Upgrades!$J$15+G210*Upgrades!$K$15)*POWER(Upgrades!$L$15,G210)))*(IF(Upgrades!$T$13="Microlensing",POWER(Upgrades!$U$13,E210),1)*IF(Upgrades!$T$14="Microlensing",POWER(Upgrades!$U$14,F210),1)*IF(Upgrades!$T$16="Microlensing",POWER(Upgrades!$U$16,H210),1)*IF(Upgrades!$T$17="Microlensing",POWER(Upgrades!$U$17,I210),1)*IF(Upgrades!$T$18="Microlensing",POWER(Upgrades!$U$18,J210),1)*IF(Upgrades!$T$19="Microlensing",POWER(Upgrades!$U$19,K210),1)*IF(Upgrades!$T$20="Microlensing",POWER(Upgrades!$U$20,L210),1)*IF(Upgrades!$T$21="Microlensing",POWER(Upgrades!$U$21,M210),1))*POWER(Upgrades!$Q$13,E210)*POWER(Upgrades!$Q$14,F210)*POWER(Upgrades!$Q$15,G210)*POWER(Upgrades!$Q$16,H210)*POWER(Upgrades!$Q$17,I210)*POWER(Upgrades!$Q$18,J210)*POWER(Upgrades!$Q$19,K210)*POWER(Upgrades!$Q$20,L210)*POWER(Upgrades!$Q$21,M210)*$G$6*(Parameters!$B$10*Parameters!$B$11+Q210*60)</f>
        <v/>
      </c>
      <c r="AD210" s="27">
        <f>(IF(H210=0,0,(Upgrades!$M$16+H210*Upgrades!$N$16)*POWER(Upgrades!$O$16,H210)))*(IF(Upgrades!$T$13="Roche Lobe Overflow",POWER(Upgrades!$U$13,E210),1)*IF(Upgrades!$T$14="Roche Lobe Overflow",POWER(Upgrades!$U$14,F210),1)*IF(Upgrades!$T$15="Roche Lobe Overflow",POWER(Upgrades!$U$15,G210),1)*IF(Upgrades!$T$17="Roche Lobe Overflow",POWER(Upgrades!$U$17,I210),1)*IF(Upgrades!$T$18="Roche Lobe Overflow",POWER(Upgrades!$U$18,J210),1)*IF(Upgrades!$T$19="Roche Lobe Overflow",POWER(Upgrades!$U$19,K210),1)*IF(Upgrades!$T$20="Roche Lobe Overflow",POWER(Upgrades!$U$20,L210),1)*IF(Upgrades!$T$21="Roche Lobe Overflow",POWER(Upgrades!$U$21,M210),1))*POWER(Upgrades!$R$13,E210)*POWER(Upgrades!$R$14,F210)*POWER(Upgrades!$R$15,G210)*POWER(Upgrades!$R$16,H210)*POWER(Upgrades!$R$17,I210)*POWER(Upgrades!$R$18,J210)*POWER(Upgrades!$R$19,K210)*POWER(Upgrades!$R$20,L210)*POWER(Upgrades!$R$21,M210)*$H$6*O210*60</f>
        <v/>
      </c>
      <c r="AE210" s="27">
        <f>(IF(I210=0,0,(Upgrades!$G$17+I210*Upgrades!$H$17)*POWER(Upgrades!$I$17,I210)))*(IF(Upgrades!$T$13="Brown Dwarf",POWER(Upgrades!$U$13,E210),1)*IF(Upgrades!$T$14="Brown Dwarf",POWER(Upgrades!$U$14,F210),1)*IF(Upgrades!$T$15="Brown Dwarf",POWER(Upgrades!$U$15,G210),1)*IF(Upgrades!$T$16="Brown Dwarf",POWER(Upgrades!$U$16,H210),1)*IF(Upgrades!$T$18="Brown Dwarf",POWER(Upgrades!$U$18,J210),1)*IF(Upgrades!$T$19="Brown Dwarf",POWER(Upgrades!$U$19,K210),1)*IF(Upgrades!$T$20="Brown Dwarf",POWER(Upgrades!$U$20,L210),1)*IF(Upgrades!$T$21="Brown Dwarf",POWER(Upgrades!$U$21,M210),1))*POWER(Upgrades!$P$13,E210)*POWER(Upgrades!$P$14,F210)*POWER(Upgrades!$P$15,G210)*POWER(Upgrades!$P$16,H210)*POWER(Upgrades!$P$17,I210)*POWER(Upgrades!$P$18,J210)*POWER(Upgrades!$P$19,K210)*POWER(Upgrades!$P$20,L210)*POWER(Upgrades!$P$21,M210)*$F$6*60</f>
        <v/>
      </c>
      <c r="AF210" s="27" t="n">
        <v>0</v>
      </c>
      <c r="AG210" s="27" t="n">
        <v>0</v>
      </c>
      <c r="AH210" s="27" t="n">
        <v>0</v>
      </c>
      <c r="AI210" s="27">
        <f>(IF(M210=0,0,(Upgrades!$G$21+M210*Upgrades!$H$21)*POWER(Upgrades!$I$21,M210)))*(IF(Upgrades!$T$13="Moving Group",POWER(Upgrades!$U$13,E210),1)*IF(Upgrades!$T$14="Moving Group",POWER(Upgrades!$U$14,F210),1)*IF(Upgrades!$T$15="Moving Group",POWER(Upgrades!$U$15,G210),1)*IF(Upgrades!$T$16="Moving Group",POWER(Upgrades!$U$16,H210),1)*IF(Upgrades!$T$17="Moving Group",POWER(Upgrades!$U$17,I210),1)*IF(Upgrades!$T$18="Moving Group",POWER(Upgrades!$U$18,J210),1)*IF(Upgrades!$T$19="Moving Group",POWER(Upgrades!$U$19,K210),1)*IF(Upgrades!$T$20="Moving Group",POWER(Upgrades!$U$20,L210),1))*POWER(Upgrades!$P$13,E210)*POWER(Upgrades!$P$14,F210)*POWER(Upgrades!$P$15,G210)*POWER(Upgrades!$P$16,H210)*POWER(Upgrades!$P$17,I210)*POWER(Upgrades!$P$18,J210)*POWER(Upgrades!$P$19,K210)*POWER(Upgrades!$P$20,L210)*POWER(Upgrades!$P$21,M210)*$F$6*60</f>
        <v/>
      </c>
      <c r="AJ210" s="27">
        <f>$C$6*60</f>
        <v/>
      </c>
      <c r="AK210" s="22">
        <f>IF(E210&gt;=Upgrades!$E$13,"",Upgrades!$C$13*POWER(Upgrades!$D$13,E210))</f>
        <v/>
      </c>
      <c r="AL210" s="22">
        <f>IF(F210&gt;=Upgrades!$E$14,"",Upgrades!$C$14*POWER(Upgrades!$D$14,F210))</f>
        <v/>
      </c>
      <c r="AM210" s="22">
        <f>IF(G210&gt;=Upgrades!$E$15,"",Upgrades!$C$15*POWER(Upgrades!$D$15,G210))</f>
        <v/>
      </c>
      <c r="AN210" s="22">
        <f>IF(H210&gt;=Upgrades!$E$16,"",Upgrades!$C$16*POWER(Upgrades!$D$16,H210))</f>
        <v/>
      </c>
      <c r="AO210" s="22">
        <f>IF(I210&gt;=Upgrades!$E$17,"",Upgrades!$C$17*POWER(Upgrades!$D$17,I210))</f>
        <v/>
      </c>
      <c r="AP210" s="22">
        <f>IF(J210&gt;=Upgrades!$E$18,"",Upgrades!$C$18*POWER(Upgrades!$D$18,J210))</f>
        <v/>
      </c>
      <c r="AQ210" s="22">
        <f>IF(K210&gt;=Upgrades!$E$19,"",Upgrades!$C$19*POWER(Upgrades!$D$19,K210))</f>
        <v/>
      </c>
      <c r="AR210" s="22">
        <f>IF(L210&gt;=Upgrades!$E$20,"",Upgrades!$C$20*POWER(Upgrades!$D$20,L210))</f>
        <v/>
      </c>
      <c r="AS210" s="22">
        <f>IF(M210&gt;=Upgrades!$E$21,"",Upgrades!$C$21*POWER(Upgrades!$D$21,M210))</f>
        <v/>
      </c>
      <c r="AT210" s="26">
        <f>IF(AND(D210&gt;=Parameters!$B$18*Parameters!$B$19,(I210&gt;=Upgrades!$E$17)*(M210&gt;=Upgrades!$E$21)=1,N210=0),1,"")</f>
        <v/>
      </c>
      <c r="AU210" s="26">
        <f>IF(AND(D210&gt;=Parameters!$B$18*Parameters!$B$19,N210=0),1,"")</f>
        <v/>
      </c>
      <c r="AV210" s="22">
        <f>MIN(IF(ISNUMBER(AP210),AP210,9E15),IF(ISNUMBER(AQ210),AQ210,9E15),IF(ISNUMBER(AR210),AR210,9E15),IF(ISNUMBER(AS210),AS210,9E15))</f>
        <v/>
      </c>
      <c r="AW210" s="22">
        <f>MIN(IF(ISNUMBER(AK210),AK210,9E15),IF(ISNUMBER(AL210),AL210,9E15),IF(ISNUMBER(AM210),AM210,9E15),IF(ISNUMBER(AN210),AN210,9E15),IF(ISNUMBER(AO210),AO210,9E15))</f>
        <v/>
      </c>
      <c r="AX210" s="29">
        <f>IF(BD210&gt;Parameters!$B$21*(MAX(IF(AND(NOT(AND(AU210=1,AT210&lt;&gt;1)),ISNUMBER(AK210),AK210&lt;=(C210+T210)),AY210,0),IF(AND(NOT(AND(AU210=1,AT210&lt;&gt;1)),ISNUMBER(AL210),AL210&lt;=(C210+T210)),AZ210,0),IF(AND(NOT(AND(AU210=1,AT210&lt;&gt;1)),ISNUMBER(AM210),AM210&lt;=(C210+T210)),BA210,0),IF(AND(NOT(AND(AU210=1,AT210&lt;&gt;1)),ISNUMBER(AN210),AN210&lt;=(C210+T210)),BB210,0),IF(AND(ISNUMBER(AO210),AO210&lt;=(C210+T210)),BC210,0))),TRUE,FALSE)</f>
        <v/>
      </c>
      <c r="AY210" s="32">
        <f>IFERROR(Upgrades!$H$13*(POWER(Upgrades!$P$13,E210)*POWER(Upgrades!$P$14,F210)*POWER(Upgrades!$P$15,G210)*POWER(Upgrades!$P$16,H210)*POWER(Upgrades!$P$17,I210)*POWER(Upgrades!$P$18,J210)*POWER(Upgrades!$P$19,K210)*POWER(Upgrades!$P$20,L210)*POWER(Upgrades!$P$21,M210))*(IF(Upgrades!$T$14="Stellar Kinematics",POWER(Upgrades!$U$14,F210),1)*IF(Upgrades!$T$15="Stellar Kinematics",POWER(Upgrades!$U$15,G210),1)*IF(Upgrades!$T$16="Stellar Kinematics",POWER(Upgrades!$U$16,H210),1)*IF(Upgrades!$T$17="Stellar Kinematics",POWER(Upgrades!$U$17,I210),1)*IF(Upgrades!$T$18="Stellar Kinematics",POWER(Upgrades!$U$18,J210),1)*IF(Upgrades!$T$19="Stellar Kinematics",POWER(Upgrades!$U$19,K210),1)*IF(Upgrades!$T$20="Stellar Kinematics",POWER(Upgrades!$U$20,L210),1)*IF(Upgrades!$T$21="Stellar Kinematics",POWER(Upgrades!$U$21,M210),1))*$F$6/AK210,0)</f>
        <v/>
      </c>
      <c r="AZ210" s="32">
        <f>IFERROR(Upgrades!$H$14*(POWER(Upgrades!$P$13,E210)*POWER(Upgrades!$P$14,F210)*POWER(Upgrades!$P$15,G210)*POWER(Upgrades!$P$16,H210)*POWER(Upgrades!$P$17,I210)*POWER(Upgrades!$P$18,J210)*POWER(Upgrades!$P$19,K210)*POWER(Upgrades!$P$20,L210)*POWER(Upgrades!$P$21,M210))*(IF(Upgrades!$T$13="Local Bubble",POWER(Upgrades!$U$13,E210),1)*IF(Upgrades!$T$15="Local Bubble",POWER(Upgrades!$U$15,G210),1)*IF(Upgrades!$T$16="Local Bubble",POWER(Upgrades!$U$16,H210),1)*IF(Upgrades!$T$17="Local Bubble",POWER(Upgrades!$U$17,I210),1)*IF(Upgrades!$T$18="Local Bubble",POWER(Upgrades!$U$18,J210),1)*IF(Upgrades!$T$19="Local Bubble",POWER(Upgrades!$U$19,K210),1)*IF(Upgrades!$T$20="Local Bubble",POWER(Upgrades!$U$20,L210),1)*IF(Upgrades!$T$21="Local Bubble",POWER(Upgrades!$U$21,M210),1))*$F$6/AL210,0)</f>
        <v/>
      </c>
      <c r="BA210" s="32">
        <f>IFERROR(Upgrades!$K$15*(POWER(Upgrades!$Q$13,E210)*POWER(Upgrades!$Q$14,F210)*POWER(Upgrades!$Q$15,G210)*POWER(Upgrades!$Q$16,H210)*POWER(Upgrades!$Q$17,I210)*POWER(Upgrades!$Q$18,J210)*POWER(Upgrades!$Q$19,K210)*POWER(Upgrades!$Q$20,L210)*POWER(Upgrades!$Q$21,M210))*(IF(Upgrades!$T$13="Microlensing",POWER(Upgrades!$U$13,E210),1)*IF(Upgrades!$T$14="Microlensing",POWER(Upgrades!$U$14,F210),1)*IF(Upgrades!$T$16="Microlensing",POWER(Upgrades!$U$16,H210),1)*IF(Upgrades!$T$17="Microlensing",POWER(Upgrades!$U$17,I210),1)*IF(Upgrades!$T$18="Microlensing",POWER(Upgrades!$U$18,J210),1)*IF(Upgrades!$T$19="Microlensing",POWER(Upgrades!$U$19,K210),1)*IF(Upgrades!$T$20="Microlensing",POWER(Upgrades!$U$20,L210),1)*IF(Upgrades!$T$21="Microlensing",POWER(Upgrades!$U$21,M210),1))*$G$6*(Parameters!$B$10/60*Parameters!$B$11+Q210)/AM210,0)</f>
        <v/>
      </c>
      <c r="BB210" s="32">
        <f>IFERROR((Upgrades!$N$16*(POWER(Upgrades!$R$13,E210)*POWER(Upgrades!$R$14,F210)*POWER(Upgrades!$R$15,G210)*POWER(Upgrades!$R$16,H210)*POWER(Upgrades!$R$17,I210)*POWER(Upgrades!$R$18,J210)*POWER(Upgrades!$R$19,K210)*POWER(Upgrades!$R$20,L210)*POWER(Upgrades!$R$21,M210))*(IF(Upgrades!$T$13="Roche Lobe Overflow",POWER(Upgrades!$U$13,E210),1)*IF(Upgrades!$T$14="Roche Lobe Overflow",POWER(Upgrades!$U$14,F210),1)*IF(Upgrades!$T$15="Roche Lobe Overflow",POWER(Upgrades!$U$15,G210),1)*IF(Upgrades!$T$17="Roche Lobe Overflow",POWER(Upgrades!$U$17,I210),1)*IF(Upgrades!$T$18="Roche Lobe Overflow",POWER(Upgrades!$U$18,J210),1)*IF(Upgrades!$T$19="Roche Lobe Overflow",POWER(Upgrades!$U$19,K210),1)*IF(Upgrades!$T$20="Roche Lobe Overflow",POWER(Upgrades!$U$20,L210),1)*IF(Upgrades!$T$21="Roche Lobe Overflow",POWER(Upgrades!$U$21,M210),1))*$H$6*O210+((IF(F210=0,0,(Upgrades!$G$14+F210*Upgrades!$H$14)*POWER(Upgrades!$I$14,F210)))*(IF(Upgrades!$T$13="Local Bubble",POWER(Upgrades!$U$13,E210),1)*IF(Upgrades!$T$15="Local Bubble",POWER(Upgrades!$U$15,G210),1)*IF(Upgrades!$T$16="Local Bubble",POWER(Upgrades!$U$16,H210),1)*IF(Upgrades!$T$17="Local Bubble",POWER(Upgrades!$U$17,I210),1)*IF(Upgrades!$T$18="Local Bubble",POWER(Upgrades!$U$18,J210),1)*IF(Upgrades!$T$19="Local Bubble",POWER(Upgrades!$U$19,K210),1)*IF(Upgrades!$T$20="Local Bubble",POWER(Upgrades!$U$20,L210),1)*IF(Upgrades!$T$21="Local Bubble",POWER(Upgrades!$U$21,M210),1))*POWER(Upgrades!$P$13,E210)*POWER(Upgrades!$P$14,F210)*POWER(Upgrades!$P$15,G210)*POWER(Upgrades!$P$16,H210)*POWER(Upgrades!$P$17,I210)*POWER(Upgrades!$P$18,J210)*POWER(Upgrades!$P$19,K210)*POWER(Upgrades!$P$20,L210)*POWER(Upgrades!$P$21,M210)*$F$6)*0.05)/AN210,0)</f>
        <v/>
      </c>
      <c r="BC210" s="32">
        <f>IFERROR((Upgrades!$H$17*(POWER(Upgrades!$P$13,E210)*POWER(Upgrades!$P$14,F210)*POWER(Upgrades!$P$15,G210)*POWER(Upgrades!$P$16,H210)*POWER(Upgrades!$P$17,I210)*POWER(Upgrades!$P$18,J210)*POWER(Upgrades!$P$19,K210)*POWER(Upgrades!$P$20,L210)*POWER(Upgrades!$P$21,M210))*(IF(Upgrades!$T$13="Brown Dwarf",POWER(Upgrades!$U$13,E210),1)*IF(Upgrades!$T$14="Brown Dwarf",POWER(Upgrades!$U$14,F210),1)*IF(Upgrades!$T$15="Brown Dwarf",POWER(Upgrades!$U$15,G210),1)*IF(Upgrades!$T$16="Brown Dwarf",POWER(Upgrades!$U$16,H210),1)*IF(Upgrades!$T$18="Brown Dwarf",POWER(Upgrades!$U$18,J210),1)*IF(Upgrades!$T$19="Brown Dwarf",POWER(Upgrades!$U$19,K210),1)*IF(Upgrades!$T$20="Brown Dwarf",POWER(Upgrades!$U$20,L210),1)*IF(Upgrades!$T$21="Brown Dwarf",POWER(Upgrades!$U$21,M210),1))*$F$6+(((IF(H210=0,0,(Upgrades!$M$16+H210*Upgrades!$N$16)*POWER(Upgrades!$O$16,H210)))*(IF(Upgrades!$T$13="Roche Lobe Overflow",POWER(Upgrades!$U$13,E210),1)*IF(Upgrades!$T$14="Roche Lobe Overflow",POWER(Upgrades!$U$14,F210),1)*IF(Upgrades!$T$15="Roche Lobe Overflow",POWER(Upgrades!$U$15,G210),1)*IF(Upgrades!$T$17="Roche Lobe Overflow",POWER(Upgrades!$U$17,I210),1)*IF(Upgrades!$T$18="Roche Lobe Overflow",POWER(Upgrades!$U$18,J210),1)*IF(Upgrades!$T$19="Roche Lobe Overflow",POWER(Upgrades!$U$19,K210),1)*IF(Upgrades!$T$20="Roche Lobe Overflow",POWER(Upgrades!$U$20,L210),1)*IF(Upgrades!$T$21="Roche Lobe Overflow",POWER(Upgrades!$U$21,M210),1))*POWER(Upgrades!$R$13,E210)*POWER(Upgrades!$R$14,F210)*POWER(Upgrades!$R$15,G210)*POWER(Upgrades!$R$16,H210)*POWER(Upgrades!$R$17,I210)*POWER(Upgrades!$R$18,J210)*POWER(Upgrades!$R$19,K210)*POWER(Upgrades!$R$20,L210)*POWER(Upgrades!$R$21,M210)*$H$6)*O210)*0.10)/AO210,0)</f>
        <v/>
      </c>
      <c r="BD210" s="32">
        <f>MAX(IF(J210&gt;0,0,IFERROR(0.5*((IF(G210=0,0,(Upgrades!$J$15+G210*Upgrades!$K$15)*POWER(Upgrades!$L$15,G210)))*(IF(Upgrades!$T$13="Microlensing",POWER(Upgrades!$U$13,E210),1)*IF(Upgrades!$T$14="Microlensing",POWER(Upgrades!$U$14,F210),1)*IF(Upgrades!$T$16="Microlensing",POWER(Upgrades!$U$16,H210),1)*IF(Upgrades!$T$17="Microlensing",POWER(Upgrades!$U$17,I210),1)*IF(Upgrades!$T$18="Microlensing",POWER(Upgrades!$U$18,J210),1)*IF(Upgrades!$T$19="Microlensing",POWER(Upgrades!$U$19,K210),1)*IF(Upgrades!$T$20="Microlensing",POWER(Upgrades!$U$20,L210),1)*IF(Upgrades!$T$21="Microlensing",POWER(Upgrades!$U$21,M210),1))*(POWER(Upgrades!$Q$13,E210)*POWER(Upgrades!$Q$14,F210)*POWER(Upgrades!$Q$15,G210)*POWER(Upgrades!$Q$16,H210)*POWER(Upgrades!$Q$17,I210)*POWER(Upgrades!$Q$18,J210)*POWER(Upgrades!$Q$19,K210)*POWER(Upgrades!$Q$20,L210)*POWER(Upgrades!$Q$21,M210))*$G$6*(Parameters!$B$10/60*Parameters!$B$11+Q210))/Upgrades!$C$18,0)),IF(K210&gt;0,0,IFERROR(0.30*P210/Upgrades!$C$19,0)),IF(L210&gt;0,0,IFERROR(0.0001/Upgrades!$C$20,0)),IF(M210&gt;0,0,IFERROR((6.0*(POWER(Upgrades!$P$13,E210)*POWER(Upgrades!$P$14,F210)*POWER(Upgrades!$P$15,G210)*POWER(Upgrades!$P$16,H210)*POWER(Upgrades!$P$17,I210)*POWER(Upgrades!$P$18,J210)*POWER(Upgrades!$P$19,K210)*POWER(Upgrades!$P$20,L210)*POWER(Upgrades!$P$21,M210))*$F$6+0.20*O210*(Parameters!$B$10/60*Parameters!$B$11+Q210))/Upgrades!$C$21,0)),IF(AND(ISNUMBER(AK210),AK210&gt;(C210+T210)),AY210,0),IF(AND(ISNUMBER(AL210),AL210&gt;(C210+T210)),AZ210,0),IF(AND(ISNUMBER(AM210),AM210&gt;(C210+T210)),BA210,0),IF(AND(ISNUMBER(AN210),AN210&gt;(C210+T210)),BB210,0),IF(AND(ISNUMBER(AO210),AO210&gt;(C210+T210)),BC210,0))</f>
        <v/>
      </c>
      <c r="BE210" s="29">
        <f>IF(AT210=1,"transition",IF(MIN(IF(AND(J210=0,ISNUMBER(AP210),AP210&lt;=(C210+T210)),AP210,9E15),IF(AND(K210=0,ISNUMBER(AQ210),AQ210&lt;=(C210+T210)),AQ210,9E15),IF(AND(L210=0,ISNUMBER(AR210),AR210&lt;=(C210+T210)),AR210,9E15),IF(AND(M210=0,ISNUMBER(AS210),AS210&lt;=(C210+T210)),AS210,9E15))&lt;9E15,IF(AND(AND(J210=0,ISNUMBER(AP210),AP210&lt;=(C210+T210)),AP210=MIN(IF(AND(J210=0,ISNUMBER(AP210),AP210&lt;=(C210+T210)),AP210,9E15),IF(AND(K210=0,ISNUMBER(AQ210),AQ210&lt;=(C210+T210)),AQ210,9E15),IF(AND(L210=0,ISNUMBER(AR210),AR210&lt;=(C210+T210)),AR210,9E15),IF(AND(M210=0,ISNUMBER(AS210),AS210&lt;=(C210+T210)),AS210,9E15))),"BiP",IF(AND(AND(K210=0,ISNUMBER(AQ210),AQ210&lt;=(C210+T210)),AQ210=MIN(IF(AND(J210=0,ISNUMBER(AP210),AP210&lt;=(C210+T210)),AP210,9E15),IF(AND(K210=0,ISNUMBER(AQ210),AQ210&lt;=(C210+T210)),AQ210,9E15),IF(AND(L210=0,ISNUMBER(AR210),AR210&lt;=(C210+T210)),AR210,9E15),IF(AND(M210=0,ISNUMBER(AS210),AS210&lt;=(C210+T210)),AS210,9E15))),"PV",IF(AND(AND(L210=0,ISNUMBER(AR210),AR210&lt;=(C210+T210)),AR210=MIN(IF(AND(J210=0,ISNUMBER(AP210),AP210&lt;=(C210+T210)),AP210,9E15),IF(AND(K210=0,ISNUMBER(AQ210),AQ210&lt;=(C210+T210)),AQ210,9E15),IF(AND(L210=0,ISNUMBER(AR210),AR210&lt;=(C210+T210)),AR210,9E15),IF(AND(M210=0,ISNUMBER(AS210),AS210&lt;=(C210+T210)),AS210,9E15))),"OC","MG"))),IF(AX210=TRUE,"",IF(MAX(IF(AND(NOT(AND(AU210=1,AT210&lt;&gt;1)),ISNUMBER(AK210),AK210&lt;=(C210+T210)),AY210,0),IF(AND(NOT(AND(AU210=1,AT210&lt;&gt;1)),ISNUMBER(AL210),AL210&lt;=(C210+T210)),AZ210,0),IF(AND(NOT(AND(AU210=1,AT210&lt;&gt;1)),ISNUMBER(AM210),AM210&lt;=(C210+T210)),BA210,0),IF(AND(NOT(AND(AU210=1,AT210&lt;&gt;1)),ISNUMBER(AN210),AN210&lt;=(C210+T210)),BB210,0),IF(AND(ISNUMBER(AO210),AO210&lt;=(C210+T210)),BC210,0))&lt;=0,"",IF(AND(IF(AND(NOT(AND(AU210=1,AT210&lt;&gt;1)),ISNUMBER(AK210),AK210&lt;=(C210+T210)),AY210,0)&gt;0,IF(AND(NOT(AND(AU210=1,AT210&lt;&gt;1)),ISNUMBER(AK210),AK210&lt;=(C210+T210)),AY210,0)=MAX(IF(AND(NOT(AND(AU210=1,AT210&lt;&gt;1)),ISNUMBER(AK210),AK210&lt;=(C210+T210)),AY210,0),IF(AND(NOT(AND(AU210=1,AT210&lt;&gt;1)),ISNUMBER(AL210),AL210&lt;=(C210+T210)),AZ210,0),IF(AND(NOT(AND(AU210=1,AT210&lt;&gt;1)),ISNUMBER(AM210),AM210&lt;=(C210+T210)),BA210,0),IF(AND(NOT(AND(AU210=1,AT210&lt;&gt;1)),ISNUMBER(AN210),AN210&lt;=(C210+T210)),BB210,0),IF(AND(ISNUMBER(AO210),AO210&lt;=(C210+T210)),BC210,0))),"SK",IF(AND(IF(AND(NOT(AND(AU210=1,AT210&lt;&gt;1)),ISNUMBER(AL210),AL210&lt;=(C210+T210)),AZ210,0)&gt;0,IF(AND(NOT(AND(AU210=1,AT210&lt;&gt;1)),ISNUMBER(AL210),AL210&lt;=(C210+T210)),AZ210,0)=MAX(IF(AND(NOT(AND(AU210=1,AT210&lt;&gt;1)),ISNUMBER(AK210),AK210&lt;=(C210+T210)),AY210,0),IF(AND(NOT(AND(AU210=1,AT210&lt;&gt;1)),ISNUMBER(AL210),AL210&lt;=(C210+T210)),AZ210,0),IF(AND(NOT(AND(AU210=1,AT210&lt;&gt;1)),ISNUMBER(AM210),AM210&lt;=(C210+T210)),BA210,0),IF(AND(NOT(AND(AU210=1,AT210&lt;&gt;1)),ISNUMBER(AN210),AN210&lt;=(C210+T210)),BB210,0),IF(AND(ISNUMBER(AO210),AO210&lt;=(C210+T210)),BC210,0))),"LB",IF(AND(IF(AND(NOT(AND(AU210=1,AT210&lt;&gt;1)),ISNUMBER(AM210),AM210&lt;=(C210+T210)),BA210,0)&gt;0,IF(AND(NOT(AND(AU210=1,AT210&lt;&gt;1)),ISNUMBER(AM210),AM210&lt;=(C210+T210)),BA210,0)=MAX(IF(AND(NOT(AND(AU210=1,AT210&lt;&gt;1)),ISNUMBER(AK210),AK210&lt;=(C210+T210)),AY210,0),IF(AND(NOT(AND(AU210=1,AT210&lt;&gt;1)),ISNUMBER(AL210),AL210&lt;=(C210+T210)),AZ210,0),IF(AND(NOT(AND(AU210=1,AT210&lt;&gt;1)),ISNUMBER(AM210),AM210&lt;=(C210+T210)),BA210,0),IF(AND(NOT(AND(AU210=1,AT210&lt;&gt;1)),ISNUMBER(AN210),AN210&lt;=(C210+T210)),BB210,0),IF(AND(ISNUMBER(AO210),AO210&lt;=(C210+T210)),BC210,0))),"ML",IF(AND(IF(AND(NOT(AND(AU210=1,AT210&lt;&gt;1)),ISNUMBER(AN210),AN210&lt;=(C210+T210)),BB210,0)&gt;0,IF(AND(NOT(AND(AU210=1,AT210&lt;&gt;1)),ISNUMBER(AN210),AN210&lt;=(C210+T210)),BB210,0)=MAX(IF(AND(NOT(AND(AU210=1,AT210&lt;&gt;1)),ISNUMBER(AK210),AK210&lt;=(C210+T210)),AY210,0),IF(AND(NOT(AND(AU210=1,AT210&lt;&gt;1)),ISNUMBER(AL210),AL210&lt;=(C210+T210)),AZ210,0),IF(AND(NOT(AND(AU210=1,AT210&lt;&gt;1)),ISNUMBER(AM210),AM210&lt;=(C210+T210)),BA210,0),IF(AND(NOT(AND(AU210=1,AT210&lt;&gt;1)),ISNUMBER(AN210),AN210&lt;=(C210+T210)),BB210,0),IF(AND(ISNUMBER(AO210),AO210&lt;=(C210+T210)),BC210,0))),"RLO","BD"))))))))</f>
        <v/>
      </c>
    </row>
    <row r="211">
      <c r="A211" s="26" t="n">
        <v>200</v>
      </c>
      <c r="B211" s="27">
        <f>A211*10/60</f>
        <v/>
      </c>
      <c r="C211" s="22">
        <f>X210</f>
        <v/>
      </c>
      <c r="D211" s="27">
        <f>D210+W210</f>
        <v/>
      </c>
      <c r="E211" s="26">
        <f>E210+IF(U210="SK",1,0)</f>
        <v/>
      </c>
      <c r="F211" s="26">
        <f>F210+IF(U210="LB",1,0)</f>
        <v/>
      </c>
      <c r="G211" s="26">
        <f>G210+IF(U210="ML",1,0)</f>
        <v/>
      </c>
      <c r="H211" s="26">
        <f>H210+IF(U210="RLO",1,0)</f>
        <v/>
      </c>
      <c r="I211" s="26">
        <f>I210+IF(U210="BD",1,0)</f>
        <v/>
      </c>
      <c r="J211" s="26">
        <f>MAX(J210,IF(U210="BiP",1,0))</f>
        <v/>
      </c>
      <c r="K211" s="26">
        <f>MAX(K210,IF(U210="PV",1,0))</f>
        <v/>
      </c>
      <c r="L211" s="26">
        <f>MAX(L210,IF(U210="OC",1,0))</f>
        <v/>
      </c>
      <c r="M211" s="26">
        <f>MAX(M210,IF(U210="MG",1,0))</f>
        <v/>
      </c>
      <c r="N211" s="26">
        <f>MAX(N210,IF(U210="transition",1,0))</f>
        <v/>
      </c>
      <c r="O211" s="28">
        <f>(Parameters!$B$9+(IF(E211=0,0,(Upgrades!$J$13+E211*Upgrades!$K$13)*POWER(Upgrades!$L$13,E211)))*(IF(Upgrades!$T$14="Stellar Kinematics",POWER(Upgrades!$U$14,F211),1)*IF(Upgrades!$T$15="Stellar Kinematics",POWER(Upgrades!$U$15,G211),1)*IF(Upgrades!$T$16="Stellar Kinematics",POWER(Upgrades!$U$16,H211),1)*IF(Upgrades!$T$17="Stellar Kinematics",POWER(Upgrades!$U$17,I211),1)*IF(Upgrades!$T$18="Stellar Kinematics",POWER(Upgrades!$U$18,J211),1)*IF(Upgrades!$T$19="Stellar Kinematics",POWER(Upgrades!$U$19,K211),1)*IF(Upgrades!$T$20="Stellar Kinematics",POWER(Upgrades!$U$20,L211),1)*IF(Upgrades!$T$21="Stellar Kinematics",POWER(Upgrades!$U$21,M211),1))+(IF(F211=0,0,(Upgrades!$J$14+F211*Upgrades!$K$14)*POWER(Upgrades!$L$14,F211)))*(IF(Upgrades!$T$13="Local Bubble",POWER(Upgrades!$U$13,E211),1)*IF(Upgrades!$T$15="Local Bubble",POWER(Upgrades!$U$15,G211),1)*IF(Upgrades!$T$16="Local Bubble",POWER(Upgrades!$U$16,H211),1)*IF(Upgrades!$T$17="Local Bubble",POWER(Upgrades!$U$17,I211),1)*IF(Upgrades!$T$18="Local Bubble",POWER(Upgrades!$U$18,J211),1)*IF(Upgrades!$T$19="Local Bubble",POWER(Upgrades!$U$19,K211),1)*IF(Upgrades!$T$20="Local Bubble",POWER(Upgrades!$U$20,L211),1)*IF(Upgrades!$T$21="Local Bubble",POWER(Upgrades!$U$21,M211),1))+(IF(G211=0,0,(Upgrades!$J$15+G211*Upgrades!$K$15)*POWER(Upgrades!$L$15,G211)))*(IF(Upgrades!$T$13="Microlensing",POWER(Upgrades!$U$13,E211),1)*IF(Upgrades!$T$14="Microlensing",POWER(Upgrades!$U$14,F211),1)*IF(Upgrades!$T$16="Microlensing",POWER(Upgrades!$U$16,H211),1)*IF(Upgrades!$T$17="Microlensing",POWER(Upgrades!$U$17,I211),1)*IF(Upgrades!$T$18="Microlensing",POWER(Upgrades!$U$18,J211),1)*IF(Upgrades!$T$19="Microlensing",POWER(Upgrades!$U$19,K211),1)*IF(Upgrades!$T$20="Microlensing",POWER(Upgrades!$U$20,L211),1)*IF(Upgrades!$T$21="Microlensing",POWER(Upgrades!$U$21,M211),1))+(IF(H211=0,0,(Upgrades!$J$16+H211*Upgrades!$K$16)*POWER(Upgrades!$L$16,H211)))*(IF(Upgrades!$T$13="Roche Lobe Overflow",POWER(Upgrades!$U$13,E211),1)*IF(Upgrades!$T$14="Roche Lobe Overflow",POWER(Upgrades!$U$14,F211),1)*IF(Upgrades!$T$15="Roche Lobe Overflow",POWER(Upgrades!$U$15,G211),1)*IF(Upgrades!$T$17="Roche Lobe Overflow",POWER(Upgrades!$U$17,I211),1)*IF(Upgrades!$T$18="Roche Lobe Overflow",POWER(Upgrades!$U$18,J211),1)*IF(Upgrades!$T$19="Roche Lobe Overflow",POWER(Upgrades!$U$19,K211),1)*IF(Upgrades!$T$20="Roche Lobe Overflow",POWER(Upgrades!$U$20,L211),1)*IF(Upgrades!$T$21="Roche Lobe Overflow",POWER(Upgrades!$U$21,M211),1))+(IF(I211=0,0,(Upgrades!$J$17+I211*Upgrades!$K$17)*POWER(Upgrades!$L$17,I211)))*(IF(Upgrades!$T$13="Brown Dwarf",POWER(Upgrades!$U$13,E211),1)*IF(Upgrades!$T$14="Brown Dwarf",POWER(Upgrades!$U$14,F211),1)*IF(Upgrades!$T$15="Brown Dwarf",POWER(Upgrades!$U$15,G211),1)*IF(Upgrades!$T$16="Brown Dwarf",POWER(Upgrades!$U$16,H211),1)*IF(Upgrades!$T$18="Brown Dwarf",POWER(Upgrades!$U$18,J211),1)*IF(Upgrades!$T$19="Brown Dwarf",POWER(Upgrades!$U$19,K211),1)*IF(Upgrades!$T$20="Brown Dwarf",POWER(Upgrades!$U$20,L211),1)*IF(Upgrades!$T$21="Brown Dwarf",POWER(Upgrades!$U$21,M211),1))+(IF(J211=0,0,(Upgrades!$J$18+J211*Upgrades!$K$18)*POWER(Upgrades!$L$18,J211)))*(IF(Upgrades!$T$13="Binary Partner",POWER(Upgrades!$U$13,E211),1)*IF(Upgrades!$T$14="Binary Partner",POWER(Upgrades!$U$14,F211),1)*IF(Upgrades!$T$15="Binary Partner",POWER(Upgrades!$U$15,G211),1)*IF(Upgrades!$T$16="Binary Partner",POWER(Upgrades!$U$16,H211),1)*IF(Upgrades!$T$17="Binary Partner",POWER(Upgrades!$U$17,I211),1)*IF(Upgrades!$T$19="Binary Partner",POWER(Upgrades!$U$19,K211),1)*IF(Upgrades!$T$20="Binary Partner",POWER(Upgrades!$U$20,L211),1)*IF(Upgrades!$T$21="Binary Partner",POWER(Upgrades!$U$21,M211),1))+(IF(K211=0,0,(Upgrades!$J$19+K211*Upgrades!$K$19)*POWER(Upgrades!$L$19,K211)))*(IF(Upgrades!$T$13="Peculiar Velocity",POWER(Upgrades!$U$13,E211),1)*IF(Upgrades!$T$14="Peculiar Velocity",POWER(Upgrades!$U$14,F211),1)*IF(Upgrades!$T$15="Peculiar Velocity",POWER(Upgrades!$U$15,G211),1)*IF(Upgrades!$T$16="Peculiar Velocity",POWER(Upgrades!$U$16,H211),1)*IF(Upgrades!$T$17="Peculiar Velocity",POWER(Upgrades!$U$17,I211),1)*IF(Upgrades!$T$18="Peculiar Velocity",POWER(Upgrades!$U$18,J211),1)*IF(Upgrades!$T$20="Peculiar Velocity",POWER(Upgrades!$U$20,L211),1)*IF(Upgrades!$T$21="Peculiar Velocity",POWER(Upgrades!$U$21,M211),1))+(IF(L211=0,0,(Upgrades!$J$20+L211*Upgrades!$K$20)*POWER(Upgrades!$L$20,L211)))*(IF(Upgrades!$T$13="Open Cluster",POWER(Upgrades!$U$13,E211),1)*IF(Upgrades!$T$14="Open Cluster",POWER(Upgrades!$U$14,F211),1)*IF(Upgrades!$T$15="Open Cluster",POWER(Upgrades!$U$15,G211),1)*IF(Upgrades!$T$16="Open Cluster",POWER(Upgrades!$U$16,H211),1)*IF(Upgrades!$T$17="Open Cluster",POWER(Upgrades!$U$17,I211),1)*IF(Upgrades!$T$18="Open Cluster",POWER(Upgrades!$U$18,J211),1)*IF(Upgrades!$T$19="Open Cluster",POWER(Upgrades!$U$19,K211),1)*IF(Upgrades!$T$21="Open Cluster",POWER(Upgrades!$U$21,M211),1))+(IF(M211=0,0,(Upgrades!$J$21+M211*Upgrades!$K$21)*POWER(Upgrades!$L$21,M211)))*(IF(Upgrades!$T$13="Moving Group",POWER(Upgrades!$U$13,E211),1)*IF(Upgrades!$T$14="Moving Group",POWER(Upgrades!$U$14,F211),1)*IF(Upgrades!$T$15="Moving Group",POWER(Upgrades!$U$15,G211),1)*IF(Upgrades!$T$16="Moving Group",POWER(Upgrades!$U$16,H211),1)*IF(Upgrades!$T$17="Moving Group",POWER(Upgrades!$U$17,I211),1)*IF(Upgrades!$T$18="Moving Group",POWER(Upgrades!$U$18,J211),1)*IF(Upgrades!$T$19="Moving Group",POWER(Upgrades!$U$19,K211),1)*IF(Upgrades!$T$20="Moving Group",POWER(Upgrades!$U$20,L211),1)))*POWER(Upgrades!$Q$13,E211)*POWER(Upgrades!$Q$14,F211)*POWER(Upgrades!$Q$15,G211)*POWER(Upgrades!$Q$16,H211)*POWER(Upgrades!$Q$17,I211)*POWER(Upgrades!$Q$18,J211)*POWER(Upgrades!$Q$19,K211)*POWER(Upgrades!$Q$20,L211)*POWER(Upgrades!$Q$21,M211)*$G$6+$D$6</f>
        <v/>
      </c>
      <c r="P211" s="28">
        <f>((IF(E211=0,0,(Upgrades!$G$13+E211*Upgrades!$H$13)*POWER(Upgrades!$I$13,E211)))*(IF(Upgrades!$T$14="Stellar Kinematics",POWER(Upgrades!$U$14,F211),1)*IF(Upgrades!$T$15="Stellar Kinematics",POWER(Upgrades!$U$15,G211),1)*IF(Upgrades!$T$16="Stellar Kinematics",POWER(Upgrades!$U$16,H211),1)*IF(Upgrades!$T$17="Stellar Kinematics",POWER(Upgrades!$U$17,I211),1)*IF(Upgrades!$T$18="Stellar Kinematics",POWER(Upgrades!$U$18,J211),1)*IF(Upgrades!$T$19="Stellar Kinematics",POWER(Upgrades!$U$19,K211),1)*IF(Upgrades!$T$20="Stellar Kinematics",POWER(Upgrades!$U$20,L211),1)*IF(Upgrades!$T$21="Stellar Kinematics",POWER(Upgrades!$U$21,M211),1))+(IF(F211=0,0,(Upgrades!$G$14+F211*Upgrades!$H$14)*POWER(Upgrades!$I$14,F211)))*(IF(Upgrades!$T$13="Local Bubble",POWER(Upgrades!$U$13,E211),1)*IF(Upgrades!$T$15="Local Bubble",POWER(Upgrades!$U$15,G211),1)*IF(Upgrades!$T$16="Local Bubble",POWER(Upgrades!$U$16,H211),1)*IF(Upgrades!$T$17="Local Bubble",POWER(Upgrades!$U$17,I211),1)*IF(Upgrades!$T$18="Local Bubble",POWER(Upgrades!$U$18,J211),1)*IF(Upgrades!$T$19="Local Bubble",POWER(Upgrades!$U$19,K211),1)*IF(Upgrades!$T$20="Local Bubble",POWER(Upgrades!$U$20,L211),1)*IF(Upgrades!$T$21="Local Bubble",POWER(Upgrades!$U$21,M211),1))+(IF(G211=0,0,(Upgrades!$G$15+G211*Upgrades!$H$15)*POWER(Upgrades!$I$15,G211)))*(IF(Upgrades!$T$13="Microlensing",POWER(Upgrades!$U$13,E211),1)*IF(Upgrades!$T$14="Microlensing",POWER(Upgrades!$U$14,F211),1)*IF(Upgrades!$T$16="Microlensing",POWER(Upgrades!$U$16,H211),1)*IF(Upgrades!$T$17="Microlensing",POWER(Upgrades!$U$17,I211),1)*IF(Upgrades!$T$18="Microlensing",POWER(Upgrades!$U$18,J211),1)*IF(Upgrades!$T$19="Microlensing",POWER(Upgrades!$U$19,K211),1)*IF(Upgrades!$T$20="Microlensing",POWER(Upgrades!$U$20,L211),1)*IF(Upgrades!$T$21="Microlensing",POWER(Upgrades!$U$21,M211),1))+(IF(H211=0,0,(Upgrades!$G$16+H211*Upgrades!$H$16)*POWER(Upgrades!$I$16,H211)))*(IF(Upgrades!$T$13="Roche Lobe Overflow",POWER(Upgrades!$U$13,E211),1)*IF(Upgrades!$T$14="Roche Lobe Overflow",POWER(Upgrades!$U$14,F211),1)*IF(Upgrades!$T$15="Roche Lobe Overflow",POWER(Upgrades!$U$15,G211),1)*IF(Upgrades!$T$17="Roche Lobe Overflow",POWER(Upgrades!$U$17,I211),1)*IF(Upgrades!$T$18="Roche Lobe Overflow",POWER(Upgrades!$U$18,J211),1)*IF(Upgrades!$T$19="Roche Lobe Overflow",POWER(Upgrades!$U$19,K211),1)*IF(Upgrades!$T$20="Roche Lobe Overflow",POWER(Upgrades!$U$20,L211),1)*IF(Upgrades!$T$21="Roche Lobe Overflow",POWER(Upgrades!$U$21,M211),1))+(IF(I211=0,0,(Upgrades!$G$17+I211*Upgrades!$H$17)*POWER(Upgrades!$I$17,I211)))*(IF(Upgrades!$T$13="Brown Dwarf",POWER(Upgrades!$U$13,E211),1)*IF(Upgrades!$T$14="Brown Dwarf",POWER(Upgrades!$U$14,F211),1)*IF(Upgrades!$T$15="Brown Dwarf",POWER(Upgrades!$U$15,G211),1)*IF(Upgrades!$T$16="Brown Dwarf",POWER(Upgrades!$U$16,H211),1)*IF(Upgrades!$T$18="Brown Dwarf",POWER(Upgrades!$U$18,J211),1)*IF(Upgrades!$T$19="Brown Dwarf",POWER(Upgrades!$U$19,K211),1)*IF(Upgrades!$T$20="Brown Dwarf",POWER(Upgrades!$U$20,L211),1)*IF(Upgrades!$T$21="Brown Dwarf",POWER(Upgrades!$U$21,M211),1))+(IF(J211=0,0,(Upgrades!$G$18+J211*Upgrades!$H$18)*POWER(Upgrades!$I$18,J211)))*(IF(Upgrades!$T$13="Binary Partner",POWER(Upgrades!$U$13,E211),1)*IF(Upgrades!$T$14="Binary Partner",POWER(Upgrades!$U$14,F211),1)*IF(Upgrades!$T$15="Binary Partner",POWER(Upgrades!$U$15,G211),1)*IF(Upgrades!$T$16="Binary Partner",POWER(Upgrades!$U$16,H211),1)*IF(Upgrades!$T$17="Binary Partner",POWER(Upgrades!$U$17,I211),1)*IF(Upgrades!$T$19="Binary Partner",POWER(Upgrades!$U$19,K211),1)*IF(Upgrades!$T$20="Binary Partner",POWER(Upgrades!$U$20,L211),1)*IF(Upgrades!$T$21="Binary Partner",POWER(Upgrades!$U$21,M211),1))+(IF(K211=0,0,(Upgrades!$G$19+K211*Upgrades!$H$19)*POWER(Upgrades!$I$19,K211)))*(IF(Upgrades!$T$13="Peculiar Velocity",POWER(Upgrades!$U$13,E211),1)*IF(Upgrades!$T$14="Peculiar Velocity",POWER(Upgrades!$U$14,F211),1)*IF(Upgrades!$T$15="Peculiar Velocity",POWER(Upgrades!$U$15,G211),1)*IF(Upgrades!$T$16="Peculiar Velocity",POWER(Upgrades!$U$16,H211),1)*IF(Upgrades!$T$17="Peculiar Velocity",POWER(Upgrades!$U$17,I211),1)*IF(Upgrades!$T$18="Peculiar Velocity",POWER(Upgrades!$U$18,J211),1)*IF(Upgrades!$T$20="Peculiar Velocity",POWER(Upgrades!$U$20,L211),1)*IF(Upgrades!$T$21="Peculiar Velocity",POWER(Upgrades!$U$21,M211),1))+(IF(L211=0,0,(Upgrades!$G$20+L211*Upgrades!$H$20)*POWER(Upgrades!$I$20,L211)))*(IF(Upgrades!$T$13="Open Cluster",POWER(Upgrades!$U$13,E211),1)*IF(Upgrades!$T$14="Open Cluster",POWER(Upgrades!$U$14,F211),1)*IF(Upgrades!$T$15="Open Cluster",POWER(Upgrades!$U$15,G211),1)*IF(Upgrades!$T$16="Open Cluster",POWER(Upgrades!$U$16,H211),1)*IF(Upgrades!$T$17="Open Cluster",POWER(Upgrades!$U$17,I211),1)*IF(Upgrades!$T$18="Open Cluster",POWER(Upgrades!$U$18,J211),1)*IF(Upgrades!$T$19="Open Cluster",POWER(Upgrades!$U$19,K211),1)*IF(Upgrades!$T$21="Open Cluster",POWER(Upgrades!$U$21,M211),1))+(IF(M211=0,0,(Upgrades!$G$21+M211*Upgrades!$H$21)*POWER(Upgrades!$I$21,M211)))*(IF(Upgrades!$T$13="Moving Group",POWER(Upgrades!$U$13,E211),1)*IF(Upgrades!$T$14="Moving Group",POWER(Upgrades!$U$14,F211),1)*IF(Upgrades!$T$15="Moving Group",POWER(Upgrades!$U$15,G211),1)*IF(Upgrades!$T$16="Moving Group",POWER(Upgrades!$U$16,H211),1)*IF(Upgrades!$T$17="Moving Group",POWER(Upgrades!$U$17,I211),1)*IF(Upgrades!$T$18="Moving Group",POWER(Upgrades!$U$18,J211),1)*IF(Upgrades!$T$19="Moving Group",POWER(Upgrades!$U$19,K211),1)*IF(Upgrades!$T$20="Moving Group",POWER(Upgrades!$U$20,L211),1)))*POWER(Upgrades!$P$13,E211)*POWER(Upgrades!$P$14,F211)*POWER(Upgrades!$P$15,G211)*POWER(Upgrades!$P$16,H211)*POWER(Upgrades!$P$17,I211)*POWER(Upgrades!$P$18,J211)*POWER(Upgrades!$P$19,K211)*POWER(Upgrades!$P$20,L211)*POWER(Upgrades!$P$21,M211)*$F$6+$C$6</f>
        <v/>
      </c>
      <c r="Q211" s="28">
        <f>((IF(E211=0,0,(Upgrades!$M$13+E211*Upgrades!$N$13)*POWER(Upgrades!$O$13,E211)))*(IF(Upgrades!$T$14="Stellar Kinematics",POWER(Upgrades!$U$14,F211),1)*IF(Upgrades!$T$15="Stellar Kinematics",POWER(Upgrades!$U$15,G211),1)*IF(Upgrades!$T$16="Stellar Kinematics",POWER(Upgrades!$U$16,H211),1)*IF(Upgrades!$T$17="Stellar Kinematics",POWER(Upgrades!$U$17,I211),1)*IF(Upgrades!$T$18="Stellar Kinematics",POWER(Upgrades!$U$18,J211),1)*IF(Upgrades!$T$19="Stellar Kinematics",POWER(Upgrades!$U$19,K211),1)*IF(Upgrades!$T$20="Stellar Kinematics",POWER(Upgrades!$U$20,L211),1)*IF(Upgrades!$T$21="Stellar Kinematics",POWER(Upgrades!$U$21,M211),1))+(IF(F211=0,0,(Upgrades!$M$14+F211*Upgrades!$N$14)*POWER(Upgrades!$O$14,F211)))*(IF(Upgrades!$T$13="Local Bubble",POWER(Upgrades!$U$13,E211),1)*IF(Upgrades!$T$15="Local Bubble",POWER(Upgrades!$U$15,G211),1)*IF(Upgrades!$T$16="Local Bubble",POWER(Upgrades!$U$16,H211),1)*IF(Upgrades!$T$17="Local Bubble",POWER(Upgrades!$U$17,I211),1)*IF(Upgrades!$T$18="Local Bubble",POWER(Upgrades!$U$18,J211),1)*IF(Upgrades!$T$19="Local Bubble",POWER(Upgrades!$U$19,K211),1)*IF(Upgrades!$T$20="Local Bubble",POWER(Upgrades!$U$20,L211),1)*IF(Upgrades!$T$21="Local Bubble",POWER(Upgrades!$U$21,M211),1))+(IF(G211=0,0,(Upgrades!$M$15+G211*Upgrades!$N$15)*POWER(Upgrades!$O$15,G211)))*(IF(Upgrades!$T$13="Microlensing",POWER(Upgrades!$U$13,E211),1)*IF(Upgrades!$T$14="Microlensing",POWER(Upgrades!$U$14,F211),1)*IF(Upgrades!$T$16="Microlensing",POWER(Upgrades!$U$16,H211),1)*IF(Upgrades!$T$17="Microlensing",POWER(Upgrades!$U$17,I211),1)*IF(Upgrades!$T$18="Microlensing",POWER(Upgrades!$U$18,J211),1)*IF(Upgrades!$T$19="Microlensing",POWER(Upgrades!$U$19,K211),1)*IF(Upgrades!$T$20="Microlensing",POWER(Upgrades!$U$20,L211),1)*IF(Upgrades!$T$21="Microlensing",POWER(Upgrades!$U$21,M211),1))+(IF(H211=0,0,(Upgrades!$M$16+H211*Upgrades!$N$16)*POWER(Upgrades!$O$16,H211)))*(IF(Upgrades!$T$13="Roche Lobe Overflow",POWER(Upgrades!$U$13,E211),1)*IF(Upgrades!$T$14="Roche Lobe Overflow",POWER(Upgrades!$U$14,F211),1)*IF(Upgrades!$T$15="Roche Lobe Overflow",POWER(Upgrades!$U$15,G211),1)*IF(Upgrades!$T$17="Roche Lobe Overflow",POWER(Upgrades!$U$17,I211),1)*IF(Upgrades!$T$18="Roche Lobe Overflow",POWER(Upgrades!$U$18,J211),1)*IF(Upgrades!$T$19="Roche Lobe Overflow",POWER(Upgrades!$U$19,K211),1)*IF(Upgrades!$T$20="Roche Lobe Overflow",POWER(Upgrades!$U$20,L211),1)*IF(Upgrades!$T$21="Roche Lobe Overflow",POWER(Upgrades!$U$21,M211),1))+(IF(I211=0,0,(Upgrades!$M$17+I211*Upgrades!$N$17)*POWER(Upgrades!$O$17,I211)))*(IF(Upgrades!$T$13="Brown Dwarf",POWER(Upgrades!$U$13,E211),1)*IF(Upgrades!$T$14="Brown Dwarf",POWER(Upgrades!$U$14,F211),1)*IF(Upgrades!$T$15="Brown Dwarf",POWER(Upgrades!$U$15,G211),1)*IF(Upgrades!$T$16="Brown Dwarf",POWER(Upgrades!$U$16,H211),1)*IF(Upgrades!$T$18="Brown Dwarf",POWER(Upgrades!$U$18,J211),1)*IF(Upgrades!$T$19="Brown Dwarf",POWER(Upgrades!$U$19,K211),1)*IF(Upgrades!$T$20="Brown Dwarf",POWER(Upgrades!$U$20,L211),1)*IF(Upgrades!$T$21="Brown Dwarf",POWER(Upgrades!$U$21,M211),1))+(IF(J211=0,0,(Upgrades!$M$18+J211*Upgrades!$N$18)*POWER(Upgrades!$O$18,J211)))*(IF(Upgrades!$T$13="Binary Partner",POWER(Upgrades!$U$13,E211),1)*IF(Upgrades!$T$14="Binary Partner",POWER(Upgrades!$U$14,F211),1)*IF(Upgrades!$T$15="Binary Partner",POWER(Upgrades!$U$15,G211),1)*IF(Upgrades!$T$16="Binary Partner",POWER(Upgrades!$U$16,H211),1)*IF(Upgrades!$T$17="Binary Partner",POWER(Upgrades!$U$17,I211),1)*IF(Upgrades!$T$19="Binary Partner",POWER(Upgrades!$U$19,K211),1)*IF(Upgrades!$T$20="Binary Partner",POWER(Upgrades!$U$20,L211),1)*IF(Upgrades!$T$21="Binary Partner",POWER(Upgrades!$U$21,M211),1))+(IF(K211=0,0,(Upgrades!$M$19+K211*Upgrades!$N$19)*POWER(Upgrades!$O$19,K211)))*(IF(Upgrades!$T$13="Peculiar Velocity",POWER(Upgrades!$U$13,E211),1)*IF(Upgrades!$T$14="Peculiar Velocity",POWER(Upgrades!$U$14,F211),1)*IF(Upgrades!$T$15="Peculiar Velocity",POWER(Upgrades!$U$15,G211),1)*IF(Upgrades!$T$16="Peculiar Velocity",POWER(Upgrades!$U$16,H211),1)*IF(Upgrades!$T$17="Peculiar Velocity",POWER(Upgrades!$U$17,I211),1)*IF(Upgrades!$T$18="Peculiar Velocity",POWER(Upgrades!$U$18,J211),1)*IF(Upgrades!$T$20="Peculiar Velocity",POWER(Upgrades!$U$20,L211),1)*IF(Upgrades!$T$21="Peculiar Velocity",POWER(Upgrades!$U$21,M211),1))+(IF(L211=0,0,(Upgrades!$M$20+L211*Upgrades!$N$20)*POWER(Upgrades!$O$20,L211)))*(IF(Upgrades!$T$13="Open Cluster",POWER(Upgrades!$U$13,E211),1)*IF(Upgrades!$T$14="Open Cluster",POWER(Upgrades!$U$14,F211),1)*IF(Upgrades!$T$15="Open Cluster",POWER(Upgrades!$U$15,G211),1)*IF(Upgrades!$T$16="Open Cluster",POWER(Upgrades!$U$16,H211),1)*IF(Upgrades!$T$17="Open Cluster",POWER(Upgrades!$U$17,I211),1)*IF(Upgrades!$T$18="Open Cluster",POWER(Upgrades!$U$18,J211),1)*IF(Upgrades!$T$19="Open Cluster",POWER(Upgrades!$U$19,K211),1)*IF(Upgrades!$T$21="Open Cluster",POWER(Upgrades!$U$21,M211),1))+(IF(M211=0,0,(Upgrades!$M$21+M211*Upgrades!$N$21)*POWER(Upgrades!$O$21,M211)))*(IF(Upgrades!$T$13="Moving Group",POWER(Upgrades!$U$13,E211),1)*IF(Upgrades!$T$14="Moving Group",POWER(Upgrades!$U$14,F211),1)*IF(Upgrades!$T$15="Moving Group",POWER(Upgrades!$U$15,G211),1)*IF(Upgrades!$T$16="Moving Group",POWER(Upgrades!$U$16,H211),1)*IF(Upgrades!$T$17="Moving Group",POWER(Upgrades!$U$17,I211),1)*IF(Upgrades!$T$18="Moving Group",POWER(Upgrades!$U$18,J211),1)*IF(Upgrades!$T$19="Moving Group",POWER(Upgrades!$U$19,K211),1)*IF(Upgrades!$T$20="Moving Group",POWER(Upgrades!$U$20,L211),1)))*POWER(Upgrades!$R$13,E211)*POWER(Upgrades!$R$14,F211)*POWER(Upgrades!$R$15,G211)*POWER(Upgrades!$R$16,H211)*POWER(Upgrades!$R$17,I211)*POWER(Upgrades!$R$18,J211)*POWER(Upgrades!$R$19,K211)*POWER(Upgrades!$R$20,L211)*POWER(Upgrades!$R$21,M211)*$H$6+$E$6</f>
        <v/>
      </c>
      <c r="R211" s="27">
        <f>IF(N211=1,0,O211*Parameters!$B$10/60*Parameters!$B$11*10)</f>
        <v/>
      </c>
      <c r="S211" s="27">
        <f>IF(N211=1,0,Q211*O211*10)</f>
        <v/>
      </c>
      <c r="T211" s="27">
        <f>IF(N211=1,0,R211+S211+P211*10)</f>
        <v/>
      </c>
      <c r="U211" s="33">
        <f>BE211</f>
        <v/>
      </c>
      <c r="V211" s="22">
        <f>IF(U211="",0,IF(U211="transition",0,IF(U211="SK",AK211,IF(U211="LB",AL211,IF(U211="ML",AM211,IF(U211="RLO",AN211,IF(U211="BD",AO211,IF(U211="BiP",AP211,IF(U211="PV",AQ211,IF(U211="OC",AR211,IF(U211="MG",AS211,0))))))))))</f>
        <v/>
      </c>
      <c r="W211" s="27">
        <f>IF(U211="BiP",Upgrades!$F$18,IF(U211="PV",Upgrades!$F$19,IF(U211="OC",Upgrades!$F$20,IF(U211="MG",Upgrades!$F$21,IF(U211="transition",-Parameters!$B$18*Parameters!$B$19,0)))))</f>
        <v/>
      </c>
      <c r="X211" s="22">
        <f>C211+T211-V211</f>
        <v/>
      </c>
      <c r="Y211" s="30">
        <f>O211*Parameters!$B$10/60*Parameters!$B$11+Q211*O211+P211</f>
        <v/>
      </c>
      <c r="Z211" s="34">
        <f>IF(U211="transition","→ Tier 3 (Galactic Arm)",IF(U211="MG","Moving Group — pocket drifts together",IF(U211="OC","Open Cluster acquired",IF(U211="PV","Peculiar Velocity — passive multiplier active",IF(U211="BiP","Binary Partner — pair bond formed",IF(AND(AU211=1,N211=0,AT211&lt;&gt;1),"Cohesion ready (waiting on completionists)","")))))) </f>
        <v/>
      </c>
      <c r="AA211" s="27">
        <f>(IF(E211=0,0,(Upgrades!$G$13+E211*Upgrades!$H$13)*POWER(Upgrades!$I$13,E211)))*(IF(Upgrades!$T$14="Stellar Kinematics",POWER(Upgrades!$U$14,F211),1)*IF(Upgrades!$T$15="Stellar Kinematics",POWER(Upgrades!$U$15,G211),1)*IF(Upgrades!$T$16="Stellar Kinematics",POWER(Upgrades!$U$16,H211),1)*IF(Upgrades!$T$17="Stellar Kinematics",POWER(Upgrades!$U$17,I211),1)*IF(Upgrades!$T$18="Stellar Kinematics",POWER(Upgrades!$U$18,J211),1)*IF(Upgrades!$T$19="Stellar Kinematics",POWER(Upgrades!$U$19,K211),1)*IF(Upgrades!$T$20="Stellar Kinematics",POWER(Upgrades!$U$20,L211),1)*IF(Upgrades!$T$21="Stellar Kinematics",POWER(Upgrades!$U$21,M211),1))*POWER(Upgrades!$P$13,E211)*POWER(Upgrades!$P$14,F211)*POWER(Upgrades!$P$15,G211)*POWER(Upgrades!$P$16,H211)*POWER(Upgrades!$P$17,I211)*POWER(Upgrades!$P$18,J211)*POWER(Upgrades!$P$19,K211)*POWER(Upgrades!$P$20,L211)*POWER(Upgrades!$P$21,M211)*$F$6*60</f>
        <v/>
      </c>
      <c r="AB211" s="27">
        <f>(IF(F211=0,0,(Upgrades!$G$14+F211*Upgrades!$H$14)*POWER(Upgrades!$I$14,F211)))*(IF(Upgrades!$T$13="Local Bubble",POWER(Upgrades!$U$13,E211),1)*IF(Upgrades!$T$15="Local Bubble",POWER(Upgrades!$U$15,G211),1)*IF(Upgrades!$T$16="Local Bubble",POWER(Upgrades!$U$16,H211),1)*IF(Upgrades!$T$17="Local Bubble",POWER(Upgrades!$U$17,I211),1)*IF(Upgrades!$T$18="Local Bubble",POWER(Upgrades!$U$18,J211),1)*IF(Upgrades!$T$19="Local Bubble",POWER(Upgrades!$U$19,K211),1)*IF(Upgrades!$T$20="Local Bubble",POWER(Upgrades!$U$20,L211),1)*IF(Upgrades!$T$21="Local Bubble",POWER(Upgrades!$U$21,M211),1))*POWER(Upgrades!$P$13,E211)*POWER(Upgrades!$P$14,F211)*POWER(Upgrades!$P$15,G211)*POWER(Upgrades!$P$16,H211)*POWER(Upgrades!$P$17,I211)*POWER(Upgrades!$P$18,J211)*POWER(Upgrades!$P$19,K211)*POWER(Upgrades!$P$20,L211)*POWER(Upgrades!$P$21,M211)*$F$6*60</f>
        <v/>
      </c>
      <c r="AC211" s="27">
        <f>(IF(G211=0,0,(Upgrades!$J$15+G211*Upgrades!$K$15)*POWER(Upgrades!$L$15,G211)))*(IF(Upgrades!$T$13="Microlensing",POWER(Upgrades!$U$13,E211),1)*IF(Upgrades!$T$14="Microlensing",POWER(Upgrades!$U$14,F211),1)*IF(Upgrades!$T$16="Microlensing",POWER(Upgrades!$U$16,H211),1)*IF(Upgrades!$T$17="Microlensing",POWER(Upgrades!$U$17,I211),1)*IF(Upgrades!$T$18="Microlensing",POWER(Upgrades!$U$18,J211),1)*IF(Upgrades!$T$19="Microlensing",POWER(Upgrades!$U$19,K211),1)*IF(Upgrades!$T$20="Microlensing",POWER(Upgrades!$U$20,L211),1)*IF(Upgrades!$T$21="Microlensing",POWER(Upgrades!$U$21,M211),1))*POWER(Upgrades!$Q$13,E211)*POWER(Upgrades!$Q$14,F211)*POWER(Upgrades!$Q$15,G211)*POWER(Upgrades!$Q$16,H211)*POWER(Upgrades!$Q$17,I211)*POWER(Upgrades!$Q$18,J211)*POWER(Upgrades!$Q$19,K211)*POWER(Upgrades!$Q$20,L211)*POWER(Upgrades!$Q$21,M211)*$G$6*(Parameters!$B$10*Parameters!$B$11+Q211*60)</f>
        <v/>
      </c>
      <c r="AD211" s="27">
        <f>(IF(H211=0,0,(Upgrades!$M$16+H211*Upgrades!$N$16)*POWER(Upgrades!$O$16,H211)))*(IF(Upgrades!$T$13="Roche Lobe Overflow",POWER(Upgrades!$U$13,E211),1)*IF(Upgrades!$T$14="Roche Lobe Overflow",POWER(Upgrades!$U$14,F211),1)*IF(Upgrades!$T$15="Roche Lobe Overflow",POWER(Upgrades!$U$15,G211),1)*IF(Upgrades!$T$17="Roche Lobe Overflow",POWER(Upgrades!$U$17,I211),1)*IF(Upgrades!$T$18="Roche Lobe Overflow",POWER(Upgrades!$U$18,J211),1)*IF(Upgrades!$T$19="Roche Lobe Overflow",POWER(Upgrades!$U$19,K211),1)*IF(Upgrades!$T$20="Roche Lobe Overflow",POWER(Upgrades!$U$20,L211),1)*IF(Upgrades!$T$21="Roche Lobe Overflow",POWER(Upgrades!$U$21,M211),1))*POWER(Upgrades!$R$13,E211)*POWER(Upgrades!$R$14,F211)*POWER(Upgrades!$R$15,G211)*POWER(Upgrades!$R$16,H211)*POWER(Upgrades!$R$17,I211)*POWER(Upgrades!$R$18,J211)*POWER(Upgrades!$R$19,K211)*POWER(Upgrades!$R$20,L211)*POWER(Upgrades!$R$21,M211)*$H$6*O211*60</f>
        <v/>
      </c>
      <c r="AE211" s="27">
        <f>(IF(I211=0,0,(Upgrades!$G$17+I211*Upgrades!$H$17)*POWER(Upgrades!$I$17,I211)))*(IF(Upgrades!$T$13="Brown Dwarf",POWER(Upgrades!$U$13,E211),1)*IF(Upgrades!$T$14="Brown Dwarf",POWER(Upgrades!$U$14,F211),1)*IF(Upgrades!$T$15="Brown Dwarf",POWER(Upgrades!$U$15,G211),1)*IF(Upgrades!$T$16="Brown Dwarf",POWER(Upgrades!$U$16,H211),1)*IF(Upgrades!$T$18="Brown Dwarf",POWER(Upgrades!$U$18,J211),1)*IF(Upgrades!$T$19="Brown Dwarf",POWER(Upgrades!$U$19,K211),1)*IF(Upgrades!$T$20="Brown Dwarf",POWER(Upgrades!$U$20,L211),1)*IF(Upgrades!$T$21="Brown Dwarf",POWER(Upgrades!$U$21,M211),1))*POWER(Upgrades!$P$13,E211)*POWER(Upgrades!$P$14,F211)*POWER(Upgrades!$P$15,G211)*POWER(Upgrades!$P$16,H211)*POWER(Upgrades!$P$17,I211)*POWER(Upgrades!$P$18,J211)*POWER(Upgrades!$P$19,K211)*POWER(Upgrades!$P$20,L211)*POWER(Upgrades!$P$21,M211)*$F$6*60</f>
        <v/>
      </c>
      <c r="AF211" s="27" t="n">
        <v>0</v>
      </c>
      <c r="AG211" s="27" t="n">
        <v>0</v>
      </c>
      <c r="AH211" s="27" t="n">
        <v>0</v>
      </c>
      <c r="AI211" s="27">
        <f>(IF(M211=0,0,(Upgrades!$G$21+M211*Upgrades!$H$21)*POWER(Upgrades!$I$21,M211)))*(IF(Upgrades!$T$13="Moving Group",POWER(Upgrades!$U$13,E211),1)*IF(Upgrades!$T$14="Moving Group",POWER(Upgrades!$U$14,F211),1)*IF(Upgrades!$T$15="Moving Group",POWER(Upgrades!$U$15,G211),1)*IF(Upgrades!$T$16="Moving Group",POWER(Upgrades!$U$16,H211),1)*IF(Upgrades!$T$17="Moving Group",POWER(Upgrades!$U$17,I211),1)*IF(Upgrades!$T$18="Moving Group",POWER(Upgrades!$U$18,J211),1)*IF(Upgrades!$T$19="Moving Group",POWER(Upgrades!$U$19,K211),1)*IF(Upgrades!$T$20="Moving Group",POWER(Upgrades!$U$20,L211),1))*POWER(Upgrades!$P$13,E211)*POWER(Upgrades!$P$14,F211)*POWER(Upgrades!$P$15,G211)*POWER(Upgrades!$P$16,H211)*POWER(Upgrades!$P$17,I211)*POWER(Upgrades!$P$18,J211)*POWER(Upgrades!$P$19,K211)*POWER(Upgrades!$P$20,L211)*POWER(Upgrades!$P$21,M211)*$F$6*60</f>
        <v/>
      </c>
      <c r="AJ211" s="27">
        <f>$C$6*60</f>
        <v/>
      </c>
      <c r="AK211" s="22">
        <f>IF(E211&gt;=Upgrades!$E$13,"",Upgrades!$C$13*POWER(Upgrades!$D$13,E211))</f>
        <v/>
      </c>
      <c r="AL211" s="22">
        <f>IF(F211&gt;=Upgrades!$E$14,"",Upgrades!$C$14*POWER(Upgrades!$D$14,F211))</f>
        <v/>
      </c>
      <c r="AM211" s="22">
        <f>IF(G211&gt;=Upgrades!$E$15,"",Upgrades!$C$15*POWER(Upgrades!$D$15,G211))</f>
        <v/>
      </c>
      <c r="AN211" s="22">
        <f>IF(H211&gt;=Upgrades!$E$16,"",Upgrades!$C$16*POWER(Upgrades!$D$16,H211))</f>
        <v/>
      </c>
      <c r="AO211" s="22">
        <f>IF(I211&gt;=Upgrades!$E$17,"",Upgrades!$C$17*POWER(Upgrades!$D$17,I211))</f>
        <v/>
      </c>
      <c r="AP211" s="22">
        <f>IF(J211&gt;=Upgrades!$E$18,"",Upgrades!$C$18*POWER(Upgrades!$D$18,J211))</f>
        <v/>
      </c>
      <c r="AQ211" s="22">
        <f>IF(K211&gt;=Upgrades!$E$19,"",Upgrades!$C$19*POWER(Upgrades!$D$19,K211))</f>
        <v/>
      </c>
      <c r="AR211" s="22">
        <f>IF(L211&gt;=Upgrades!$E$20,"",Upgrades!$C$20*POWER(Upgrades!$D$20,L211))</f>
        <v/>
      </c>
      <c r="AS211" s="22">
        <f>IF(M211&gt;=Upgrades!$E$21,"",Upgrades!$C$21*POWER(Upgrades!$D$21,M211))</f>
        <v/>
      </c>
      <c r="AT211" s="26">
        <f>IF(AND(D211&gt;=Parameters!$B$18*Parameters!$B$19,(I211&gt;=Upgrades!$E$17)*(M211&gt;=Upgrades!$E$21)=1,N211=0),1,"")</f>
        <v/>
      </c>
      <c r="AU211" s="26">
        <f>IF(AND(D211&gt;=Parameters!$B$18*Parameters!$B$19,N211=0),1,"")</f>
        <v/>
      </c>
      <c r="AV211" s="22">
        <f>MIN(IF(ISNUMBER(AP211),AP211,9E15),IF(ISNUMBER(AQ211),AQ211,9E15),IF(ISNUMBER(AR211),AR211,9E15),IF(ISNUMBER(AS211),AS211,9E15))</f>
        <v/>
      </c>
      <c r="AW211" s="22">
        <f>MIN(IF(ISNUMBER(AK211),AK211,9E15),IF(ISNUMBER(AL211),AL211,9E15),IF(ISNUMBER(AM211),AM211,9E15),IF(ISNUMBER(AN211),AN211,9E15),IF(ISNUMBER(AO211),AO211,9E15))</f>
        <v/>
      </c>
      <c r="AX211" s="29">
        <f>IF(BD211&gt;Parameters!$B$21*(MAX(IF(AND(NOT(AND(AU211=1,AT211&lt;&gt;1)),ISNUMBER(AK211),AK211&lt;=(C211+T211)),AY211,0),IF(AND(NOT(AND(AU211=1,AT211&lt;&gt;1)),ISNUMBER(AL211),AL211&lt;=(C211+T211)),AZ211,0),IF(AND(NOT(AND(AU211=1,AT211&lt;&gt;1)),ISNUMBER(AM211),AM211&lt;=(C211+T211)),BA211,0),IF(AND(NOT(AND(AU211=1,AT211&lt;&gt;1)),ISNUMBER(AN211),AN211&lt;=(C211+T211)),BB211,0),IF(AND(ISNUMBER(AO211),AO211&lt;=(C211+T211)),BC211,0))),TRUE,FALSE)</f>
        <v/>
      </c>
      <c r="AY211" s="32">
        <f>IFERROR(Upgrades!$H$13*(POWER(Upgrades!$P$13,E211)*POWER(Upgrades!$P$14,F211)*POWER(Upgrades!$P$15,G211)*POWER(Upgrades!$P$16,H211)*POWER(Upgrades!$P$17,I211)*POWER(Upgrades!$P$18,J211)*POWER(Upgrades!$P$19,K211)*POWER(Upgrades!$P$20,L211)*POWER(Upgrades!$P$21,M211))*(IF(Upgrades!$T$14="Stellar Kinematics",POWER(Upgrades!$U$14,F211),1)*IF(Upgrades!$T$15="Stellar Kinematics",POWER(Upgrades!$U$15,G211),1)*IF(Upgrades!$T$16="Stellar Kinematics",POWER(Upgrades!$U$16,H211),1)*IF(Upgrades!$T$17="Stellar Kinematics",POWER(Upgrades!$U$17,I211),1)*IF(Upgrades!$T$18="Stellar Kinematics",POWER(Upgrades!$U$18,J211),1)*IF(Upgrades!$T$19="Stellar Kinematics",POWER(Upgrades!$U$19,K211),1)*IF(Upgrades!$T$20="Stellar Kinematics",POWER(Upgrades!$U$20,L211),1)*IF(Upgrades!$T$21="Stellar Kinematics",POWER(Upgrades!$U$21,M211),1))*$F$6/AK211,0)</f>
        <v/>
      </c>
      <c r="AZ211" s="32">
        <f>IFERROR(Upgrades!$H$14*(POWER(Upgrades!$P$13,E211)*POWER(Upgrades!$P$14,F211)*POWER(Upgrades!$P$15,G211)*POWER(Upgrades!$P$16,H211)*POWER(Upgrades!$P$17,I211)*POWER(Upgrades!$P$18,J211)*POWER(Upgrades!$P$19,K211)*POWER(Upgrades!$P$20,L211)*POWER(Upgrades!$P$21,M211))*(IF(Upgrades!$T$13="Local Bubble",POWER(Upgrades!$U$13,E211),1)*IF(Upgrades!$T$15="Local Bubble",POWER(Upgrades!$U$15,G211),1)*IF(Upgrades!$T$16="Local Bubble",POWER(Upgrades!$U$16,H211),1)*IF(Upgrades!$T$17="Local Bubble",POWER(Upgrades!$U$17,I211),1)*IF(Upgrades!$T$18="Local Bubble",POWER(Upgrades!$U$18,J211),1)*IF(Upgrades!$T$19="Local Bubble",POWER(Upgrades!$U$19,K211),1)*IF(Upgrades!$T$20="Local Bubble",POWER(Upgrades!$U$20,L211),1)*IF(Upgrades!$T$21="Local Bubble",POWER(Upgrades!$U$21,M211),1))*$F$6/AL211,0)</f>
        <v/>
      </c>
      <c r="BA211" s="32">
        <f>IFERROR(Upgrades!$K$15*(POWER(Upgrades!$Q$13,E211)*POWER(Upgrades!$Q$14,F211)*POWER(Upgrades!$Q$15,G211)*POWER(Upgrades!$Q$16,H211)*POWER(Upgrades!$Q$17,I211)*POWER(Upgrades!$Q$18,J211)*POWER(Upgrades!$Q$19,K211)*POWER(Upgrades!$Q$20,L211)*POWER(Upgrades!$Q$21,M211))*(IF(Upgrades!$T$13="Microlensing",POWER(Upgrades!$U$13,E211),1)*IF(Upgrades!$T$14="Microlensing",POWER(Upgrades!$U$14,F211),1)*IF(Upgrades!$T$16="Microlensing",POWER(Upgrades!$U$16,H211),1)*IF(Upgrades!$T$17="Microlensing",POWER(Upgrades!$U$17,I211),1)*IF(Upgrades!$T$18="Microlensing",POWER(Upgrades!$U$18,J211),1)*IF(Upgrades!$T$19="Microlensing",POWER(Upgrades!$U$19,K211),1)*IF(Upgrades!$T$20="Microlensing",POWER(Upgrades!$U$20,L211),1)*IF(Upgrades!$T$21="Microlensing",POWER(Upgrades!$U$21,M211),1))*$G$6*(Parameters!$B$10/60*Parameters!$B$11+Q211)/AM211,0)</f>
        <v/>
      </c>
      <c r="BB211" s="32">
        <f>IFERROR((Upgrades!$N$16*(POWER(Upgrades!$R$13,E211)*POWER(Upgrades!$R$14,F211)*POWER(Upgrades!$R$15,G211)*POWER(Upgrades!$R$16,H211)*POWER(Upgrades!$R$17,I211)*POWER(Upgrades!$R$18,J211)*POWER(Upgrades!$R$19,K211)*POWER(Upgrades!$R$20,L211)*POWER(Upgrades!$R$21,M211))*(IF(Upgrades!$T$13="Roche Lobe Overflow",POWER(Upgrades!$U$13,E211),1)*IF(Upgrades!$T$14="Roche Lobe Overflow",POWER(Upgrades!$U$14,F211),1)*IF(Upgrades!$T$15="Roche Lobe Overflow",POWER(Upgrades!$U$15,G211),1)*IF(Upgrades!$T$17="Roche Lobe Overflow",POWER(Upgrades!$U$17,I211),1)*IF(Upgrades!$T$18="Roche Lobe Overflow",POWER(Upgrades!$U$18,J211),1)*IF(Upgrades!$T$19="Roche Lobe Overflow",POWER(Upgrades!$U$19,K211),1)*IF(Upgrades!$T$20="Roche Lobe Overflow",POWER(Upgrades!$U$20,L211),1)*IF(Upgrades!$T$21="Roche Lobe Overflow",POWER(Upgrades!$U$21,M211),1))*$H$6*O211+((IF(F211=0,0,(Upgrades!$G$14+F211*Upgrades!$H$14)*POWER(Upgrades!$I$14,F211)))*(IF(Upgrades!$T$13="Local Bubble",POWER(Upgrades!$U$13,E211),1)*IF(Upgrades!$T$15="Local Bubble",POWER(Upgrades!$U$15,G211),1)*IF(Upgrades!$T$16="Local Bubble",POWER(Upgrades!$U$16,H211),1)*IF(Upgrades!$T$17="Local Bubble",POWER(Upgrades!$U$17,I211),1)*IF(Upgrades!$T$18="Local Bubble",POWER(Upgrades!$U$18,J211),1)*IF(Upgrades!$T$19="Local Bubble",POWER(Upgrades!$U$19,K211),1)*IF(Upgrades!$T$20="Local Bubble",POWER(Upgrades!$U$20,L211),1)*IF(Upgrades!$T$21="Local Bubble",POWER(Upgrades!$U$21,M211),1))*POWER(Upgrades!$P$13,E211)*POWER(Upgrades!$P$14,F211)*POWER(Upgrades!$P$15,G211)*POWER(Upgrades!$P$16,H211)*POWER(Upgrades!$P$17,I211)*POWER(Upgrades!$P$18,J211)*POWER(Upgrades!$P$19,K211)*POWER(Upgrades!$P$20,L211)*POWER(Upgrades!$P$21,M211)*$F$6)*0.05)/AN211,0)</f>
        <v/>
      </c>
      <c r="BC211" s="32">
        <f>IFERROR((Upgrades!$H$17*(POWER(Upgrades!$P$13,E211)*POWER(Upgrades!$P$14,F211)*POWER(Upgrades!$P$15,G211)*POWER(Upgrades!$P$16,H211)*POWER(Upgrades!$P$17,I211)*POWER(Upgrades!$P$18,J211)*POWER(Upgrades!$P$19,K211)*POWER(Upgrades!$P$20,L211)*POWER(Upgrades!$P$21,M211))*(IF(Upgrades!$T$13="Brown Dwarf",POWER(Upgrades!$U$13,E211),1)*IF(Upgrades!$T$14="Brown Dwarf",POWER(Upgrades!$U$14,F211),1)*IF(Upgrades!$T$15="Brown Dwarf",POWER(Upgrades!$U$15,G211),1)*IF(Upgrades!$T$16="Brown Dwarf",POWER(Upgrades!$U$16,H211),1)*IF(Upgrades!$T$18="Brown Dwarf",POWER(Upgrades!$U$18,J211),1)*IF(Upgrades!$T$19="Brown Dwarf",POWER(Upgrades!$U$19,K211),1)*IF(Upgrades!$T$20="Brown Dwarf",POWER(Upgrades!$U$20,L211),1)*IF(Upgrades!$T$21="Brown Dwarf",POWER(Upgrades!$U$21,M211),1))*$F$6+(((IF(H211=0,0,(Upgrades!$M$16+H211*Upgrades!$N$16)*POWER(Upgrades!$O$16,H211)))*(IF(Upgrades!$T$13="Roche Lobe Overflow",POWER(Upgrades!$U$13,E211),1)*IF(Upgrades!$T$14="Roche Lobe Overflow",POWER(Upgrades!$U$14,F211),1)*IF(Upgrades!$T$15="Roche Lobe Overflow",POWER(Upgrades!$U$15,G211),1)*IF(Upgrades!$T$17="Roche Lobe Overflow",POWER(Upgrades!$U$17,I211),1)*IF(Upgrades!$T$18="Roche Lobe Overflow",POWER(Upgrades!$U$18,J211),1)*IF(Upgrades!$T$19="Roche Lobe Overflow",POWER(Upgrades!$U$19,K211),1)*IF(Upgrades!$T$20="Roche Lobe Overflow",POWER(Upgrades!$U$20,L211),1)*IF(Upgrades!$T$21="Roche Lobe Overflow",POWER(Upgrades!$U$21,M211),1))*POWER(Upgrades!$R$13,E211)*POWER(Upgrades!$R$14,F211)*POWER(Upgrades!$R$15,G211)*POWER(Upgrades!$R$16,H211)*POWER(Upgrades!$R$17,I211)*POWER(Upgrades!$R$18,J211)*POWER(Upgrades!$R$19,K211)*POWER(Upgrades!$R$20,L211)*POWER(Upgrades!$R$21,M211)*$H$6)*O211)*0.10)/AO211,0)</f>
        <v/>
      </c>
      <c r="BD211" s="32">
        <f>MAX(IF(J211&gt;0,0,IFERROR(0.5*((IF(G211=0,0,(Upgrades!$J$15+G211*Upgrades!$K$15)*POWER(Upgrades!$L$15,G211)))*(IF(Upgrades!$T$13="Microlensing",POWER(Upgrades!$U$13,E211),1)*IF(Upgrades!$T$14="Microlensing",POWER(Upgrades!$U$14,F211),1)*IF(Upgrades!$T$16="Microlensing",POWER(Upgrades!$U$16,H211),1)*IF(Upgrades!$T$17="Microlensing",POWER(Upgrades!$U$17,I211),1)*IF(Upgrades!$T$18="Microlensing",POWER(Upgrades!$U$18,J211),1)*IF(Upgrades!$T$19="Microlensing",POWER(Upgrades!$U$19,K211),1)*IF(Upgrades!$T$20="Microlensing",POWER(Upgrades!$U$20,L211),1)*IF(Upgrades!$T$21="Microlensing",POWER(Upgrades!$U$21,M211),1))*(POWER(Upgrades!$Q$13,E211)*POWER(Upgrades!$Q$14,F211)*POWER(Upgrades!$Q$15,G211)*POWER(Upgrades!$Q$16,H211)*POWER(Upgrades!$Q$17,I211)*POWER(Upgrades!$Q$18,J211)*POWER(Upgrades!$Q$19,K211)*POWER(Upgrades!$Q$20,L211)*POWER(Upgrades!$Q$21,M211))*$G$6*(Parameters!$B$10/60*Parameters!$B$11+Q211))/Upgrades!$C$18,0)),IF(K211&gt;0,0,IFERROR(0.30*P211/Upgrades!$C$19,0)),IF(L211&gt;0,0,IFERROR(0.0001/Upgrades!$C$20,0)),IF(M211&gt;0,0,IFERROR((6.0*(POWER(Upgrades!$P$13,E211)*POWER(Upgrades!$P$14,F211)*POWER(Upgrades!$P$15,G211)*POWER(Upgrades!$P$16,H211)*POWER(Upgrades!$P$17,I211)*POWER(Upgrades!$P$18,J211)*POWER(Upgrades!$P$19,K211)*POWER(Upgrades!$P$20,L211)*POWER(Upgrades!$P$21,M211))*$F$6+0.20*O211*(Parameters!$B$10/60*Parameters!$B$11+Q211))/Upgrades!$C$21,0)),IF(AND(ISNUMBER(AK211),AK211&gt;(C211+T211)),AY211,0),IF(AND(ISNUMBER(AL211),AL211&gt;(C211+T211)),AZ211,0),IF(AND(ISNUMBER(AM211),AM211&gt;(C211+T211)),BA211,0),IF(AND(ISNUMBER(AN211),AN211&gt;(C211+T211)),BB211,0),IF(AND(ISNUMBER(AO211),AO211&gt;(C211+T211)),BC211,0))</f>
        <v/>
      </c>
      <c r="BE211" s="29">
        <f>IF(AT211=1,"transition",IF(MIN(IF(AND(J211=0,ISNUMBER(AP211),AP211&lt;=(C211+T211)),AP211,9E15),IF(AND(K211=0,ISNUMBER(AQ211),AQ211&lt;=(C211+T211)),AQ211,9E15),IF(AND(L211=0,ISNUMBER(AR211),AR211&lt;=(C211+T211)),AR211,9E15),IF(AND(M211=0,ISNUMBER(AS211),AS211&lt;=(C211+T211)),AS211,9E15))&lt;9E15,IF(AND(AND(J211=0,ISNUMBER(AP211),AP211&lt;=(C211+T211)),AP211=MIN(IF(AND(J211=0,ISNUMBER(AP211),AP211&lt;=(C211+T211)),AP211,9E15),IF(AND(K211=0,ISNUMBER(AQ211),AQ211&lt;=(C211+T211)),AQ211,9E15),IF(AND(L211=0,ISNUMBER(AR211),AR211&lt;=(C211+T211)),AR211,9E15),IF(AND(M211=0,ISNUMBER(AS211),AS211&lt;=(C211+T211)),AS211,9E15))),"BiP",IF(AND(AND(K211=0,ISNUMBER(AQ211),AQ211&lt;=(C211+T211)),AQ211=MIN(IF(AND(J211=0,ISNUMBER(AP211),AP211&lt;=(C211+T211)),AP211,9E15),IF(AND(K211=0,ISNUMBER(AQ211),AQ211&lt;=(C211+T211)),AQ211,9E15),IF(AND(L211=0,ISNUMBER(AR211),AR211&lt;=(C211+T211)),AR211,9E15),IF(AND(M211=0,ISNUMBER(AS211),AS211&lt;=(C211+T211)),AS211,9E15))),"PV",IF(AND(AND(L211=0,ISNUMBER(AR211),AR211&lt;=(C211+T211)),AR211=MIN(IF(AND(J211=0,ISNUMBER(AP211),AP211&lt;=(C211+T211)),AP211,9E15),IF(AND(K211=0,ISNUMBER(AQ211),AQ211&lt;=(C211+T211)),AQ211,9E15),IF(AND(L211=0,ISNUMBER(AR211),AR211&lt;=(C211+T211)),AR211,9E15),IF(AND(M211=0,ISNUMBER(AS211),AS211&lt;=(C211+T211)),AS211,9E15))),"OC","MG"))),IF(AX211=TRUE,"",IF(MAX(IF(AND(NOT(AND(AU211=1,AT211&lt;&gt;1)),ISNUMBER(AK211),AK211&lt;=(C211+T211)),AY211,0),IF(AND(NOT(AND(AU211=1,AT211&lt;&gt;1)),ISNUMBER(AL211),AL211&lt;=(C211+T211)),AZ211,0),IF(AND(NOT(AND(AU211=1,AT211&lt;&gt;1)),ISNUMBER(AM211),AM211&lt;=(C211+T211)),BA211,0),IF(AND(NOT(AND(AU211=1,AT211&lt;&gt;1)),ISNUMBER(AN211),AN211&lt;=(C211+T211)),BB211,0),IF(AND(ISNUMBER(AO211),AO211&lt;=(C211+T211)),BC211,0))&lt;=0,"",IF(AND(IF(AND(NOT(AND(AU211=1,AT211&lt;&gt;1)),ISNUMBER(AK211),AK211&lt;=(C211+T211)),AY211,0)&gt;0,IF(AND(NOT(AND(AU211=1,AT211&lt;&gt;1)),ISNUMBER(AK211),AK211&lt;=(C211+T211)),AY211,0)=MAX(IF(AND(NOT(AND(AU211=1,AT211&lt;&gt;1)),ISNUMBER(AK211),AK211&lt;=(C211+T211)),AY211,0),IF(AND(NOT(AND(AU211=1,AT211&lt;&gt;1)),ISNUMBER(AL211),AL211&lt;=(C211+T211)),AZ211,0),IF(AND(NOT(AND(AU211=1,AT211&lt;&gt;1)),ISNUMBER(AM211),AM211&lt;=(C211+T211)),BA211,0),IF(AND(NOT(AND(AU211=1,AT211&lt;&gt;1)),ISNUMBER(AN211),AN211&lt;=(C211+T211)),BB211,0),IF(AND(ISNUMBER(AO211),AO211&lt;=(C211+T211)),BC211,0))),"SK",IF(AND(IF(AND(NOT(AND(AU211=1,AT211&lt;&gt;1)),ISNUMBER(AL211),AL211&lt;=(C211+T211)),AZ211,0)&gt;0,IF(AND(NOT(AND(AU211=1,AT211&lt;&gt;1)),ISNUMBER(AL211),AL211&lt;=(C211+T211)),AZ211,0)=MAX(IF(AND(NOT(AND(AU211=1,AT211&lt;&gt;1)),ISNUMBER(AK211),AK211&lt;=(C211+T211)),AY211,0),IF(AND(NOT(AND(AU211=1,AT211&lt;&gt;1)),ISNUMBER(AL211),AL211&lt;=(C211+T211)),AZ211,0),IF(AND(NOT(AND(AU211=1,AT211&lt;&gt;1)),ISNUMBER(AM211),AM211&lt;=(C211+T211)),BA211,0),IF(AND(NOT(AND(AU211=1,AT211&lt;&gt;1)),ISNUMBER(AN211),AN211&lt;=(C211+T211)),BB211,0),IF(AND(ISNUMBER(AO211),AO211&lt;=(C211+T211)),BC211,0))),"LB",IF(AND(IF(AND(NOT(AND(AU211=1,AT211&lt;&gt;1)),ISNUMBER(AM211),AM211&lt;=(C211+T211)),BA211,0)&gt;0,IF(AND(NOT(AND(AU211=1,AT211&lt;&gt;1)),ISNUMBER(AM211),AM211&lt;=(C211+T211)),BA211,0)=MAX(IF(AND(NOT(AND(AU211=1,AT211&lt;&gt;1)),ISNUMBER(AK211),AK211&lt;=(C211+T211)),AY211,0),IF(AND(NOT(AND(AU211=1,AT211&lt;&gt;1)),ISNUMBER(AL211),AL211&lt;=(C211+T211)),AZ211,0),IF(AND(NOT(AND(AU211=1,AT211&lt;&gt;1)),ISNUMBER(AM211),AM211&lt;=(C211+T211)),BA211,0),IF(AND(NOT(AND(AU211=1,AT211&lt;&gt;1)),ISNUMBER(AN211),AN211&lt;=(C211+T211)),BB211,0),IF(AND(ISNUMBER(AO211),AO211&lt;=(C211+T211)),BC211,0))),"ML",IF(AND(IF(AND(NOT(AND(AU211=1,AT211&lt;&gt;1)),ISNUMBER(AN211),AN211&lt;=(C211+T211)),BB211,0)&gt;0,IF(AND(NOT(AND(AU211=1,AT211&lt;&gt;1)),ISNUMBER(AN211),AN211&lt;=(C211+T211)),BB211,0)=MAX(IF(AND(NOT(AND(AU211=1,AT211&lt;&gt;1)),ISNUMBER(AK211),AK211&lt;=(C211+T211)),AY211,0),IF(AND(NOT(AND(AU211=1,AT211&lt;&gt;1)),ISNUMBER(AL211),AL211&lt;=(C211+T211)),AZ211,0),IF(AND(NOT(AND(AU211=1,AT211&lt;&gt;1)),ISNUMBER(AM211),AM211&lt;=(C211+T211)),BA211,0),IF(AND(NOT(AND(AU211=1,AT211&lt;&gt;1)),ISNUMBER(AN211),AN211&lt;=(C211+T211)),BB211,0),IF(AND(ISNUMBER(AO211),AO211&lt;=(C211+T211)),BC211,0))),"RLO","BD"))))))))</f>
        <v/>
      </c>
    </row>
    <row r="212">
      <c r="A212" s="26" t="n">
        <v>201</v>
      </c>
      <c r="B212" s="27">
        <f>A212*10/60</f>
        <v/>
      </c>
      <c r="C212" s="22">
        <f>X211</f>
        <v/>
      </c>
      <c r="D212" s="27">
        <f>D211+W211</f>
        <v/>
      </c>
      <c r="E212" s="26">
        <f>E211+IF(U211="SK",1,0)</f>
        <v/>
      </c>
      <c r="F212" s="26">
        <f>F211+IF(U211="LB",1,0)</f>
        <v/>
      </c>
      <c r="G212" s="26">
        <f>G211+IF(U211="ML",1,0)</f>
        <v/>
      </c>
      <c r="H212" s="26">
        <f>H211+IF(U211="RLO",1,0)</f>
        <v/>
      </c>
      <c r="I212" s="26">
        <f>I211+IF(U211="BD",1,0)</f>
        <v/>
      </c>
      <c r="J212" s="26">
        <f>MAX(J211,IF(U211="BiP",1,0))</f>
        <v/>
      </c>
      <c r="K212" s="26">
        <f>MAX(K211,IF(U211="PV",1,0))</f>
        <v/>
      </c>
      <c r="L212" s="26">
        <f>MAX(L211,IF(U211="OC",1,0))</f>
        <v/>
      </c>
      <c r="M212" s="26">
        <f>MAX(M211,IF(U211="MG",1,0))</f>
        <v/>
      </c>
      <c r="N212" s="26">
        <f>MAX(N211,IF(U211="transition",1,0))</f>
        <v/>
      </c>
      <c r="O212" s="28">
        <f>(Parameters!$B$9+(IF(E212=0,0,(Upgrades!$J$13+E212*Upgrades!$K$13)*POWER(Upgrades!$L$13,E212)))*(IF(Upgrades!$T$14="Stellar Kinematics",POWER(Upgrades!$U$14,F212),1)*IF(Upgrades!$T$15="Stellar Kinematics",POWER(Upgrades!$U$15,G212),1)*IF(Upgrades!$T$16="Stellar Kinematics",POWER(Upgrades!$U$16,H212),1)*IF(Upgrades!$T$17="Stellar Kinematics",POWER(Upgrades!$U$17,I212),1)*IF(Upgrades!$T$18="Stellar Kinematics",POWER(Upgrades!$U$18,J212),1)*IF(Upgrades!$T$19="Stellar Kinematics",POWER(Upgrades!$U$19,K212),1)*IF(Upgrades!$T$20="Stellar Kinematics",POWER(Upgrades!$U$20,L212),1)*IF(Upgrades!$T$21="Stellar Kinematics",POWER(Upgrades!$U$21,M212),1))+(IF(F212=0,0,(Upgrades!$J$14+F212*Upgrades!$K$14)*POWER(Upgrades!$L$14,F212)))*(IF(Upgrades!$T$13="Local Bubble",POWER(Upgrades!$U$13,E212),1)*IF(Upgrades!$T$15="Local Bubble",POWER(Upgrades!$U$15,G212),1)*IF(Upgrades!$T$16="Local Bubble",POWER(Upgrades!$U$16,H212),1)*IF(Upgrades!$T$17="Local Bubble",POWER(Upgrades!$U$17,I212),1)*IF(Upgrades!$T$18="Local Bubble",POWER(Upgrades!$U$18,J212),1)*IF(Upgrades!$T$19="Local Bubble",POWER(Upgrades!$U$19,K212),1)*IF(Upgrades!$T$20="Local Bubble",POWER(Upgrades!$U$20,L212),1)*IF(Upgrades!$T$21="Local Bubble",POWER(Upgrades!$U$21,M212),1))+(IF(G212=0,0,(Upgrades!$J$15+G212*Upgrades!$K$15)*POWER(Upgrades!$L$15,G212)))*(IF(Upgrades!$T$13="Microlensing",POWER(Upgrades!$U$13,E212),1)*IF(Upgrades!$T$14="Microlensing",POWER(Upgrades!$U$14,F212),1)*IF(Upgrades!$T$16="Microlensing",POWER(Upgrades!$U$16,H212),1)*IF(Upgrades!$T$17="Microlensing",POWER(Upgrades!$U$17,I212),1)*IF(Upgrades!$T$18="Microlensing",POWER(Upgrades!$U$18,J212),1)*IF(Upgrades!$T$19="Microlensing",POWER(Upgrades!$U$19,K212),1)*IF(Upgrades!$T$20="Microlensing",POWER(Upgrades!$U$20,L212),1)*IF(Upgrades!$T$21="Microlensing",POWER(Upgrades!$U$21,M212),1))+(IF(H212=0,0,(Upgrades!$J$16+H212*Upgrades!$K$16)*POWER(Upgrades!$L$16,H212)))*(IF(Upgrades!$T$13="Roche Lobe Overflow",POWER(Upgrades!$U$13,E212),1)*IF(Upgrades!$T$14="Roche Lobe Overflow",POWER(Upgrades!$U$14,F212),1)*IF(Upgrades!$T$15="Roche Lobe Overflow",POWER(Upgrades!$U$15,G212),1)*IF(Upgrades!$T$17="Roche Lobe Overflow",POWER(Upgrades!$U$17,I212),1)*IF(Upgrades!$T$18="Roche Lobe Overflow",POWER(Upgrades!$U$18,J212),1)*IF(Upgrades!$T$19="Roche Lobe Overflow",POWER(Upgrades!$U$19,K212),1)*IF(Upgrades!$T$20="Roche Lobe Overflow",POWER(Upgrades!$U$20,L212),1)*IF(Upgrades!$T$21="Roche Lobe Overflow",POWER(Upgrades!$U$21,M212),1))+(IF(I212=0,0,(Upgrades!$J$17+I212*Upgrades!$K$17)*POWER(Upgrades!$L$17,I212)))*(IF(Upgrades!$T$13="Brown Dwarf",POWER(Upgrades!$U$13,E212),1)*IF(Upgrades!$T$14="Brown Dwarf",POWER(Upgrades!$U$14,F212),1)*IF(Upgrades!$T$15="Brown Dwarf",POWER(Upgrades!$U$15,G212),1)*IF(Upgrades!$T$16="Brown Dwarf",POWER(Upgrades!$U$16,H212),1)*IF(Upgrades!$T$18="Brown Dwarf",POWER(Upgrades!$U$18,J212),1)*IF(Upgrades!$T$19="Brown Dwarf",POWER(Upgrades!$U$19,K212),1)*IF(Upgrades!$T$20="Brown Dwarf",POWER(Upgrades!$U$20,L212),1)*IF(Upgrades!$T$21="Brown Dwarf",POWER(Upgrades!$U$21,M212),1))+(IF(J212=0,0,(Upgrades!$J$18+J212*Upgrades!$K$18)*POWER(Upgrades!$L$18,J212)))*(IF(Upgrades!$T$13="Binary Partner",POWER(Upgrades!$U$13,E212),1)*IF(Upgrades!$T$14="Binary Partner",POWER(Upgrades!$U$14,F212),1)*IF(Upgrades!$T$15="Binary Partner",POWER(Upgrades!$U$15,G212),1)*IF(Upgrades!$T$16="Binary Partner",POWER(Upgrades!$U$16,H212),1)*IF(Upgrades!$T$17="Binary Partner",POWER(Upgrades!$U$17,I212),1)*IF(Upgrades!$T$19="Binary Partner",POWER(Upgrades!$U$19,K212),1)*IF(Upgrades!$T$20="Binary Partner",POWER(Upgrades!$U$20,L212),1)*IF(Upgrades!$T$21="Binary Partner",POWER(Upgrades!$U$21,M212),1))+(IF(K212=0,0,(Upgrades!$J$19+K212*Upgrades!$K$19)*POWER(Upgrades!$L$19,K212)))*(IF(Upgrades!$T$13="Peculiar Velocity",POWER(Upgrades!$U$13,E212),1)*IF(Upgrades!$T$14="Peculiar Velocity",POWER(Upgrades!$U$14,F212),1)*IF(Upgrades!$T$15="Peculiar Velocity",POWER(Upgrades!$U$15,G212),1)*IF(Upgrades!$T$16="Peculiar Velocity",POWER(Upgrades!$U$16,H212),1)*IF(Upgrades!$T$17="Peculiar Velocity",POWER(Upgrades!$U$17,I212),1)*IF(Upgrades!$T$18="Peculiar Velocity",POWER(Upgrades!$U$18,J212),1)*IF(Upgrades!$T$20="Peculiar Velocity",POWER(Upgrades!$U$20,L212),1)*IF(Upgrades!$T$21="Peculiar Velocity",POWER(Upgrades!$U$21,M212),1))+(IF(L212=0,0,(Upgrades!$J$20+L212*Upgrades!$K$20)*POWER(Upgrades!$L$20,L212)))*(IF(Upgrades!$T$13="Open Cluster",POWER(Upgrades!$U$13,E212),1)*IF(Upgrades!$T$14="Open Cluster",POWER(Upgrades!$U$14,F212),1)*IF(Upgrades!$T$15="Open Cluster",POWER(Upgrades!$U$15,G212),1)*IF(Upgrades!$T$16="Open Cluster",POWER(Upgrades!$U$16,H212),1)*IF(Upgrades!$T$17="Open Cluster",POWER(Upgrades!$U$17,I212),1)*IF(Upgrades!$T$18="Open Cluster",POWER(Upgrades!$U$18,J212),1)*IF(Upgrades!$T$19="Open Cluster",POWER(Upgrades!$U$19,K212),1)*IF(Upgrades!$T$21="Open Cluster",POWER(Upgrades!$U$21,M212),1))+(IF(M212=0,0,(Upgrades!$J$21+M212*Upgrades!$K$21)*POWER(Upgrades!$L$21,M212)))*(IF(Upgrades!$T$13="Moving Group",POWER(Upgrades!$U$13,E212),1)*IF(Upgrades!$T$14="Moving Group",POWER(Upgrades!$U$14,F212),1)*IF(Upgrades!$T$15="Moving Group",POWER(Upgrades!$U$15,G212),1)*IF(Upgrades!$T$16="Moving Group",POWER(Upgrades!$U$16,H212),1)*IF(Upgrades!$T$17="Moving Group",POWER(Upgrades!$U$17,I212),1)*IF(Upgrades!$T$18="Moving Group",POWER(Upgrades!$U$18,J212),1)*IF(Upgrades!$T$19="Moving Group",POWER(Upgrades!$U$19,K212),1)*IF(Upgrades!$T$20="Moving Group",POWER(Upgrades!$U$20,L212),1)))*POWER(Upgrades!$Q$13,E212)*POWER(Upgrades!$Q$14,F212)*POWER(Upgrades!$Q$15,G212)*POWER(Upgrades!$Q$16,H212)*POWER(Upgrades!$Q$17,I212)*POWER(Upgrades!$Q$18,J212)*POWER(Upgrades!$Q$19,K212)*POWER(Upgrades!$Q$20,L212)*POWER(Upgrades!$Q$21,M212)*$G$6+$D$6</f>
        <v/>
      </c>
      <c r="P212" s="28">
        <f>((IF(E212=0,0,(Upgrades!$G$13+E212*Upgrades!$H$13)*POWER(Upgrades!$I$13,E212)))*(IF(Upgrades!$T$14="Stellar Kinematics",POWER(Upgrades!$U$14,F212),1)*IF(Upgrades!$T$15="Stellar Kinematics",POWER(Upgrades!$U$15,G212),1)*IF(Upgrades!$T$16="Stellar Kinematics",POWER(Upgrades!$U$16,H212),1)*IF(Upgrades!$T$17="Stellar Kinematics",POWER(Upgrades!$U$17,I212),1)*IF(Upgrades!$T$18="Stellar Kinematics",POWER(Upgrades!$U$18,J212),1)*IF(Upgrades!$T$19="Stellar Kinematics",POWER(Upgrades!$U$19,K212),1)*IF(Upgrades!$T$20="Stellar Kinematics",POWER(Upgrades!$U$20,L212),1)*IF(Upgrades!$T$21="Stellar Kinematics",POWER(Upgrades!$U$21,M212),1))+(IF(F212=0,0,(Upgrades!$G$14+F212*Upgrades!$H$14)*POWER(Upgrades!$I$14,F212)))*(IF(Upgrades!$T$13="Local Bubble",POWER(Upgrades!$U$13,E212),1)*IF(Upgrades!$T$15="Local Bubble",POWER(Upgrades!$U$15,G212),1)*IF(Upgrades!$T$16="Local Bubble",POWER(Upgrades!$U$16,H212),1)*IF(Upgrades!$T$17="Local Bubble",POWER(Upgrades!$U$17,I212),1)*IF(Upgrades!$T$18="Local Bubble",POWER(Upgrades!$U$18,J212),1)*IF(Upgrades!$T$19="Local Bubble",POWER(Upgrades!$U$19,K212),1)*IF(Upgrades!$T$20="Local Bubble",POWER(Upgrades!$U$20,L212),1)*IF(Upgrades!$T$21="Local Bubble",POWER(Upgrades!$U$21,M212),1))+(IF(G212=0,0,(Upgrades!$G$15+G212*Upgrades!$H$15)*POWER(Upgrades!$I$15,G212)))*(IF(Upgrades!$T$13="Microlensing",POWER(Upgrades!$U$13,E212),1)*IF(Upgrades!$T$14="Microlensing",POWER(Upgrades!$U$14,F212),1)*IF(Upgrades!$T$16="Microlensing",POWER(Upgrades!$U$16,H212),1)*IF(Upgrades!$T$17="Microlensing",POWER(Upgrades!$U$17,I212),1)*IF(Upgrades!$T$18="Microlensing",POWER(Upgrades!$U$18,J212),1)*IF(Upgrades!$T$19="Microlensing",POWER(Upgrades!$U$19,K212),1)*IF(Upgrades!$T$20="Microlensing",POWER(Upgrades!$U$20,L212),1)*IF(Upgrades!$T$21="Microlensing",POWER(Upgrades!$U$21,M212),1))+(IF(H212=0,0,(Upgrades!$G$16+H212*Upgrades!$H$16)*POWER(Upgrades!$I$16,H212)))*(IF(Upgrades!$T$13="Roche Lobe Overflow",POWER(Upgrades!$U$13,E212),1)*IF(Upgrades!$T$14="Roche Lobe Overflow",POWER(Upgrades!$U$14,F212),1)*IF(Upgrades!$T$15="Roche Lobe Overflow",POWER(Upgrades!$U$15,G212),1)*IF(Upgrades!$T$17="Roche Lobe Overflow",POWER(Upgrades!$U$17,I212),1)*IF(Upgrades!$T$18="Roche Lobe Overflow",POWER(Upgrades!$U$18,J212),1)*IF(Upgrades!$T$19="Roche Lobe Overflow",POWER(Upgrades!$U$19,K212),1)*IF(Upgrades!$T$20="Roche Lobe Overflow",POWER(Upgrades!$U$20,L212),1)*IF(Upgrades!$T$21="Roche Lobe Overflow",POWER(Upgrades!$U$21,M212),1))+(IF(I212=0,0,(Upgrades!$G$17+I212*Upgrades!$H$17)*POWER(Upgrades!$I$17,I212)))*(IF(Upgrades!$T$13="Brown Dwarf",POWER(Upgrades!$U$13,E212),1)*IF(Upgrades!$T$14="Brown Dwarf",POWER(Upgrades!$U$14,F212),1)*IF(Upgrades!$T$15="Brown Dwarf",POWER(Upgrades!$U$15,G212),1)*IF(Upgrades!$T$16="Brown Dwarf",POWER(Upgrades!$U$16,H212),1)*IF(Upgrades!$T$18="Brown Dwarf",POWER(Upgrades!$U$18,J212),1)*IF(Upgrades!$T$19="Brown Dwarf",POWER(Upgrades!$U$19,K212),1)*IF(Upgrades!$T$20="Brown Dwarf",POWER(Upgrades!$U$20,L212),1)*IF(Upgrades!$T$21="Brown Dwarf",POWER(Upgrades!$U$21,M212),1))+(IF(J212=0,0,(Upgrades!$G$18+J212*Upgrades!$H$18)*POWER(Upgrades!$I$18,J212)))*(IF(Upgrades!$T$13="Binary Partner",POWER(Upgrades!$U$13,E212),1)*IF(Upgrades!$T$14="Binary Partner",POWER(Upgrades!$U$14,F212),1)*IF(Upgrades!$T$15="Binary Partner",POWER(Upgrades!$U$15,G212),1)*IF(Upgrades!$T$16="Binary Partner",POWER(Upgrades!$U$16,H212),1)*IF(Upgrades!$T$17="Binary Partner",POWER(Upgrades!$U$17,I212),1)*IF(Upgrades!$T$19="Binary Partner",POWER(Upgrades!$U$19,K212),1)*IF(Upgrades!$T$20="Binary Partner",POWER(Upgrades!$U$20,L212),1)*IF(Upgrades!$T$21="Binary Partner",POWER(Upgrades!$U$21,M212),1))+(IF(K212=0,0,(Upgrades!$G$19+K212*Upgrades!$H$19)*POWER(Upgrades!$I$19,K212)))*(IF(Upgrades!$T$13="Peculiar Velocity",POWER(Upgrades!$U$13,E212),1)*IF(Upgrades!$T$14="Peculiar Velocity",POWER(Upgrades!$U$14,F212),1)*IF(Upgrades!$T$15="Peculiar Velocity",POWER(Upgrades!$U$15,G212),1)*IF(Upgrades!$T$16="Peculiar Velocity",POWER(Upgrades!$U$16,H212),1)*IF(Upgrades!$T$17="Peculiar Velocity",POWER(Upgrades!$U$17,I212),1)*IF(Upgrades!$T$18="Peculiar Velocity",POWER(Upgrades!$U$18,J212),1)*IF(Upgrades!$T$20="Peculiar Velocity",POWER(Upgrades!$U$20,L212),1)*IF(Upgrades!$T$21="Peculiar Velocity",POWER(Upgrades!$U$21,M212),1))+(IF(L212=0,0,(Upgrades!$G$20+L212*Upgrades!$H$20)*POWER(Upgrades!$I$20,L212)))*(IF(Upgrades!$T$13="Open Cluster",POWER(Upgrades!$U$13,E212),1)*IF(Upgrades!$T$14="Open Cluster",POWER(Upgrades!$U$14,F212),1)*IF(Upgrades!$T$15="Open Cluster",POWER(Upgrades!$U$15,G212),1)*IF(Upgrades!$T$16="Open Cluster",POWER(Upgrades!$U$16,H212),1)*IF(Upgrades!$T$17="Open Cluster",POWER(Upgrades!$U$17,I212),1)*IF(Upgrades!$T$18="Open Cluster",POWER(Upgrades!$U$18,J212),1)*IF(Upgrades!$T$19="Open Cluster",POWER(Upgrades!$U$19,K212),1)*IF(Upgrades!$T$21="Open Cluster",POWER(Upgrades!$U$21,M212),1))+(IF(M212=0,0,(Upgrades!$G$21+M212*Upgrades!$H$21)*POWER(Upgrades!$I$21,M212)))*(IF(Upgrades!$T$13="Moving Group",POWER(Upgrades!$U$13,E212),1)*IF(Upgrades!$T$14="Moving Group",POWER(Upgrades!$U$14,F212),1)*IF(Upgrades!$T$15="Moving Group",POWER(Upgrades!$U$15,G212),1)*IF(Upgrades!$T$16="Moving Group",POWER(Upgrades!$U$16,H212),1)*IF(Upgrades!$T$17="Moving Group",POWER(Upgrades!$U$17,I212),1)*IF(Upgrades!$T$18="Moving Group",POWER(Upgrades!$U$18,J212),1)*IF(Upgrades!$T$19="Moving Group",POWER(Upgrades!$U$19,K212),1)*IF(Upgrades!$T$20="Moving Group",POWER(Upgrades!$U$20,L212),1)))*POWER(Upgrades!$P$13,E212)*POWER(Upgrades!$P$14,F212)*POWER(Upgrades!$P$15,G212)*POWER(Upgrades!$P$16,H212)*POWER(Upgrades!$P$17,I212)*POWER(Upgrades!$P$18,J212)*POWER(Upgrades!$P$19,K212)*POWER(Upgrades!$P$20,L212)*POWER(Upgrades!$P$21,M212)*$F$6+$C$6</f>
        <v/>
      </c>
      <c r="Q212" s="28">
        <f>((IF(E212=0,0,(Upgrades!$M$13+E212*Upgrades!$N$13)*POWER(Upgrades!$O$13,E212)))*(IF(Upgrades!$T$14="Stellar Kinematics",POWER(Upgrades!$U$14,F212),1)*IF(Upgrades!$T$15="Stellar Kinematics",POWER(Upgrades!$U$15,G212),1)*IF(Upgrades!$T$16="Stellar Kinematics",POWER(Upgrades!$U$16,H212),1)*IF(Upgrades!$T$17="Stellar Kinematics",POWER(Upgrades!$U$17,I212),1)*IF(Upgrades!$T$18="Stellar Kinematics",POWER(Upgrades!$U$18,J212),1)*IF(Upgrades!$T$19="Stellar Kinematics",POWER(Upgrades!$U$19,K212),1)*IF(Upgrades!$T$20="Stellar Kinematics",POWER(Upgrades!$U$20,L212),1)*IF(Upgrades!$T$21="Stellar Kinematics",POWER(Upgrades!$U$21,M212),1))+(IF(F212=0,0,(Upgrades!$M$14+F212*Upgrades!$N$14)*POWER(Upgrades!$O$14,F212)))*(IF(Upgrades!$T$13="Local Bubble",POWER(Upgrades!$U$13,E212),1)*IF(Upgrades!$T$15="Local Bubble",POWER(Upgrades!$U$15,G212),1)*IF(Upgrades!$T$16="Local Bubble",POWER(Upgrades!$U$16,H212),1)*IF(Upgrades!$T$17="Local Bubble",POWER(Upgrades!$U$17,I212),1)*IF(Upgrades!$T$18="Local Bubble",POWER(Upgrades!$U$18,J212),1)*IF(Upgrades!$T$19="Local Bubble",POWER(Upgrades!$U$19,K212),1)*IF(Upgrades!$T$20="Local Bubble",POWER(Upgrades!$U$20,L212),1)*IF(Upgrades!$T$21="Local Bubble",POWER(Upgrades!$U$21,M212),1))+(IF(G212=0,0,(Upgrades!$M$15+G212*Upgrades!$N$15)*POWER(Upgrades!$O$15,G212)))*(IF(Upgrades!$T$13="Microlensing",POWER(Upgrades!$U$13,E212),1)*IF(Upgrades!$T$14="Microlensing",POWER(Upgrades!$U$14,F212),1)*IF(Upgrades!$T$16="Microlensing",POWER(Upgrades!$U$16,H212),1)*IF(Upgrades!$T$17="Microlensing",POWER(Upgrades!$U$17,I212),1)*IF(Upgrades!$T$18="Microlensing",POWER(Upgrades!$U$18,J212),1)*IF(Upgrades!$T$19="Microlensing",POWER(Upgrades!$U$19,K212),1)*IF(Upgrades!$T$20="Microlensing",POWER(Upgrades!$U$20,L212),1)*IF(Upgrades!$T$21="Microlensing",POWER(Upgrades!$U$21,M212),1))+(IF(H212=0,0,(Upgrades!$M$16+H212*Upgrades!$N$16)*POWER(Upgrades!$O$16,H212)))*(IF(Upgrades!$T$13="Roche Lobe Overflow",POWER(Upgrades!$U$13,E212),1)*IF(Upgrades!$T$14="Roche Lobe Overflow",POWER(Upgrades!$U$14,F212),1)*IF(Upgrades!$T$15="Roche Lobe Overflow",POWER(Upgrades!$U$15,G212),1)*IF(Upgrades!$T$17="Roche Lobe Overflow",POWER(Upgrades!$U$17,I212),1)*IF(Upgrades!$T$18="Roche Lobe Overflow",POWER(Upgrades!$U$18,J212),1)*IF(Upgrades!$T$19="Roche Lobe Overflow",POWER(Upgrades!$U$19,K212),1)*IF(Upgrades!$T$20="Roche Lobe Overflow",POWER(Upgrades!$U$20,L212),1)*IF(Upgrades!$T$21="Roche Lobe Overflow",POWER(Upgrades!$U$21,M212),1))+(IF(I212=0,0,(Upgrades!$M$17+I212*Upgrades!$N$17)*POWER(Upgrades!$O$17,I212)))*(IF(Upgrades!$T$13="Brown Dwarf",POWER(Upgrades!$U$13,E212),1)*IF(Upgrades!$T$14="Brown Dwarf",POWER(Upgrades!$U$14,F212),1)*IF(Upgrades!$T$15="Brown Dwarf",POWER(Upgrades!$U$15,G212),1)*IF(Upgrades!$T$16="Brown Dwarf",POWER(Upgrades!$U$16,H212),1)*IF(Upgrades!$T$18="Brown Dwarf",POWER(Upgrades!$U$18,J212),1)*IF(Upgrades!$T$19="Brown Dwarf",POWER(Upgrades!$U$19,K212),1)*IF(Upgrades!$T$20="Brown Dwarf",POWER(Upgrades!$U$20,L212),1)*IF(Upgrades!$T$21="Brown Dwarf",POWER(Upgrades!$U$21,M212),1))+(IF(J212=0,0,(Upgrades!$M$18+J212*Upgrades!$N$18)*POWER(Upgrades!$O$18,J212)))*(IF(Upgrades!$T$13="Binary Partner",POWER(Upgrades!$U$13,E212),1)*IF(Upgrades!$T$14="Binary Partner",POWER(Upgrades!$U$14,F212),1)*IF(Upgrades!$T$15="Binary Partner",POWER(Upgrades!$U$15,G212),1)*IF(Upgrades!$T$16="Binary Partner",POWER(Upgrades!$U$16,H212),1)*IF(Upgrades!$T$17="Binary Partner",POWER(Upgrades!$U$17,I212),1)*IF(Upgrades!$T$19="Binary Partner",POWER(Upgrades!$U$19,K212),1)*IF(Upgrades!$T$20="Binary Partner",POWER(Upgrades!$U$20,L212),1)*IF(Upgrades!$T$21="Binary Partner",POWER(Upgrades!$U$21,M212),1))+(IF(K212=0,0,(Upgrades!$M$19+K212*Upgrades!$N$19)*POWER(Upgrades!$O$19,K212)))*(IF(Upgrades!$T$13="Peculiar Velocity",POWER(Upgrades!$U$13,E212),1)*IF(Upgrades!$T$14="Peculiar Velocity",POWER(Upgrades!$U$14,F212),1)*IF(Upgrades!$T$15="Peculiar Velocity",POWER(Upgrades!$U$15,G212),1)*IF(Upgrades!$T$16="Peculiar Velocity",POWER(Upgrades!$U$16,H212),1)*IF(Upgrades!$T$17="Peculiar Velocity",POWER(Upgrades!$U$17,I212),1)*IF(Upgrades!$T$18="Peculiar Velocity",POWER(Upgrades!$U$18,J212),1)*IF(Upgrades!$T$20="Peculiar Velocity",POWER(Upgrades!$U$20,L212),1)*IF(Upgrades!$T$21="Peculiar Velocity",POWER(Upgrades!$U$21,M212),1))+(IF(L212=0,0,(Upgrades!$M$20+L212*Upgrades!$N$20)*POWER(Upgrades!$O$20,L212)))*(IF(Upgrades!$T$13="Open Cluster",POWER(Upgrades!$U$13,E212),1)*IF(Upgrades!$T$14="Open Cluster",POWER(Upgrades!$U$14,F212),1)*IF(Upgrades!$T$15="Open Cluster",POWER(Upgrades!$U$15,G212),1)*IF(Upgrades!$T$16="Open Cluster",POWER(Upgrades!$U$16,H212),1)*IF(Upgrades!$T$17="Open Cluster",POWER(Upgrades!$U$17,I212),1)*IF(Upgrades!$T$18="Open Cluster",POWER(Upgrades!$U$18,J212),1)*IF(Upgrades!$T$19="Open Cluster",POWER(Upgrades!$U$19,K212),1)*IF(Upgrades!$T$21="Open Cluster",POWER(Upgrades!$U$21,M212),1))+(IF(M212=0,0,(Upgrades!$M$21+M212*Upgrades!$N$21)*POWER(Upgrades!$O$21,M212)))*(IF(Upgrades!$T$13="Moving Group",POWER(Upgrades!$U$13,E212),1)*IF(Upgrades!$T$14="Moving Group",POWER(Upgrades!$U$14,F212),1)*IF(Upgrades!$T$15="Moving Group",POWER(Upgrades!$U$15,G212),1)*IF(Upgrades!$T$16="Moving Group",POWER(Upgrades!$U$16,H212),1)*IF(Upgrades!$T$17="Moving Group",POWER(Upgrades!$U$17,I212),1)*IF(Upgrades!$T$18="Moving Group",POWER(Upgrades!$U$18,J212),1)*IF(Upgrades!$T$19="Moving Group",POWER(Upgrades!$U$19,K212),1)*IF(Upgrades!$T$20="Moving Group",POWER(Upgrades!$U$20,L212),1)))*POWER(Upgrades!$R$13,E212)*POWER(Upgrades!$R$14,F212)*POWER(Upgrades!$R$15,G212)*POWER(Upgrades!$R$16,H212)*POWER(Upgrades!$R$17,I212)*POWER(Upgrades!$R$18,J212)*POWER(Upgrades!$R$19,K212)*POWER(Upgrades!$R$20,L212)*POWER(Upgrades!$R$21,M212)*$H$6+$E$6</f>
        <v/>
      </c>
      <c r="R212" s="27">
        <f>IF(N212=1,0,O212*Parameters!$B$10/60*Parameters!$B$11*10)</f>
        <v/>
      </c>
      <c r="S212" s="27">
        <f>IF(N212=1,0,Q212*O212*10)</f>
        <v/>
      </c>
      <c r="T212" s="27">
        <f>IF(N212=1,0,R212+S212+P212*10)</f>
        <v/>
      </c>
      <c r="U212" s="33">
        <f>BE212</f>
        <v/>
      </c>
      <c r="V212" s="22">
        <f>IF(U212="",0,IF(U212="transition",0,IF(U212="SK",AK212,IF(U212="LB",AL212,IF(U212="ML",AM212,IF(U212="RLO",AN212,IF(U212="BD",AO212,IF(U212="BiP",AP212,IF(U212="PV",AQ212,IF(U212="OC",AR212,IF(U212="MG",AS212,0))))))))))</f>
        <v/>
      </c>
      <c r="W212" s="27">
        <f>IF(U212="BiP",Upgrades!$F$18,IF(U212="PV",Upgrades!$F$19,IF(U212="OC",Upgrades!$F$20,IF(U212="MG",Upgrades!$F$21,IF(U212="transition",-Parameters!$B$18*Parameters!$B$19,0)))))</f>
        <v/>
      </c>
      <c r="X212" s="22">
        <f>C212+T212-V212</f>
        <v/>
      </c>
      <c r="Y212" s="30">
        <f>O212*Parameters!$B$10/60*Parameters!$B$11+Q212*O212+P212</f>
        <v/>
      </c>
      <c r="Z212" s="34">
        <f>IF(U212="transition","→ Tier 3 (Galactic Arm)",IF(U212="MG","Moving Group — pocket drifts together",IF(U212="OC","Open Cluster acquired",IF(U212="PV","Peculiar Velocity — passive multiplier active",IF(U212="BiP","Binary Partner — pair bond formed",IF(AND(AU212=1,N212=0,AT212&lt;&gt;1),"Cohesion ready (waiting on completionists)","")))))) </f>
        <v/>
      </c>
      <c r="AA212" s="27">
        <f>(IF(E212=0,0,(Upgrades!$G$13+E212*Upgrades!$H$13)*POWER(Upgrades!$I$13,E212)))*(IF(Upgrades!$T$14="Stellar Kinematics",POWER(Upgrades!$U$14,F212),1)*IF(Upgrades!$T$15="Stellar Kinematics",POWER(Upgrades!$U$15,G212),1)*IF(Upgrades!$T$16="Stellar Kinematics",POWER(Upgrades!$U$16,H212),1)*IF(Upgrades!$T$17="Stellar Kinematics",POWER(Upgrades!$U$17,I212),1)*IF(Upgrades!$T$18="Stellar Kinematics",POWER(Upgrades!$U$18,J212),1)*IF(Upgrades!$T$19="Stellar Kinematics",POWER(Upgrades!$U$19,K212),1)*IF(Upgrades!$T$20="Stellar Kinematics",POWER(Upgrades!$U$20,L212),1)*IF(Upgrades!$T$21="Stellar Kinematics",POWER(Upgrades!$U$21,M212),1))*POWER(Upgrades!$P$13,E212)*POWER(Upgrades!$P$14,F212)*POWER(Upgrades!$P$15,G212)*POWER(Upgrades!$P$16,H212)*POWER(Upgrades!$P$17,I212)*POWER(Upgrades!$P$18,J212)*POWER(Upgrades!$P$19,K212)*POWER(Upgrades!$P$20,L212)*POWER(Upgrades!$P$21,M212)*$F$6*60</f>
        <v/>
      </c>
      <c r="AB212" s="27">
        <f>(IF(F212=0,0,(Upgrades!$G$14+F212*Upgrades!$H$14)*POWER(Upgrades!$I$14,F212)))*(IF(Upgrades!$T$13="Local Bubble",POWER(Upgrades!$U$13,E212),1)*IF(Upgrades!$T$15="Local Bubble",POWER(Upgrades!$U$15,G212),1)*IF(Upgrades!$T$16="Local Bubble",POWER(Upgrades!$U$16,H212),1)*IF(Upgrades!$T$17="Local Bubble",POWER(Upgrades!$U$17,I212),1)*IF(Upgrades!$T$18="Local Bubble",POWER(Upgrades!$U$18,J212),1)*IF(Upgrades!$T$19="Local Bubble",POWER(Upgrades!$U$19,K212),1)*IF(Upgrades!$T$20="Local Bubble",POWER(Upgrades!$U$20,L212),1)*IF(Upgrades!$T$21="Local Bubble",POWER(Upgrades!$U$21,M212),1))*POWER(Upgrades!$P$13,E212)*POWER(Upgrades!$P$14,F212)*POWER(Upgrades!$P$15,G212)*POWER(Upgrades!$P$16,H212)*POWER(Upgrades!$P$17,I212)*POWER(Upgrades!$P$18,J212)*POWER(Upgrades!$P$19,K212)*POWER(Upgrades!$P$20,L212)*POWER(Upgrades!$P$21,M212)*$F$6*60</f>
        <v/>
      </c>
      <c r="AC212" s="27">
        <f>(IF(G212=0,0,(Upgrades!$J$15+G212*Upgrades!$K$15)*POWER(Upgrades!$L$15,G212)))*(IF(Upgrades!$T$13="Microlensing",POWER(Upgrades!$U$13,E212),1)*IF(Upgrades!$T$14="Microlensing",POWER(Upgrades!$U$14,F212),1)*IF(Upgrades!$T$16="Microlensing",POWER(Upgrades!$U$16,H212),1)*IF(Upgrades!$T$17="Microlensing",POWER(Upgrades!$U$17,I212),1)*IF(Upgrades!$T$18="Microlensing",POWER(Upgrades!$U$18,J212),1)*IF(Upgrades!$T$19="Microlensing",POWER(Upgrades!$U$19,K212),1)*IF(Upgrades!$T$20="Microlensing",POWER(Upgrades!$U$20,L212),1)*IF(Upgrades!$T$21="Microlensing",POWER(Upgrades!$U$21,M212),1))*POWER(Upgrades!$Q$13,E212)*POWER(Upgrades!$Q$14,F212)*POWER(Upgrades!$Q$15,G212)*POWER(Upgrades!$Q$16,H212)*POWER(Upgrades!$Q$17,I212)*POWER(Upgrades!$Q$18,J212)*POWER(Upgrades!$Q$19,K212)*POWER(Upgrades!$Q$20,L212)*POWER(Upgrades!$Q$21,M212)*$G$6*(Parameters!$B$10*Parameters!$B$11+Q212*60)</f>
        <v/>
      </c>
      <c r="AD212" s="27">
        <f>(IF(H212=0,0,(Upgrades!$M$16+H212*Upgrades!$N$16)*POWER(Upgrades!$O$16,H212)))*(IF(Upgrades!$T$13="Roche Lobe Overflow",POWER(Upgrades!$U$13,E212),1)*IF(Upgrades!$T$14="Roche Lobe Overflow",POWER(Upgrades!$U$14,F212),1)*IF(Upgrades!$T$15="Roche Lobe Overflow",POWER(Upgrades!$U$15,G212),1)*IF(Upgrades!$T$17="Roche Lobe Overflow",POWER(Upgrades!$U$17,I212),1)*IF(Upgrades!$T$18="Roche Lobe Overflow",POWER(Upgrades!$U$18,J212),1)*IF(Upgrades!$T$19="Roche Lobe Overflow",POWER(Upgrades!$U$19,K212),1)*IF(Upgrades!$T$20="Roche Lobe Overflow",POWER(Upgrades!$U$20,L212),1)*IF(Upgrades!$T$21="Roche Lobe Overflow",POWER(Upgrades!$U$21,M212),1))*POWER(Upgrades!$R$13,E212)*POWER(Upgrades!$R$14,F212)*POWER(Upgrades!$R$15,G212)*POWER(Upgrades!$R$16,H212)*POWER(Upgrades!$R$17,I212)*POWER(Upgrades!$R$18,J212)*POWER(Upgrades!$R$19,K212)*POWER(Upgrades!$R$20,L212)*POWER(Upgrades!$R$21,M212)*$H$6*O212*60</f>
        <v/>
      </c>
      <c r="AE212" s="27">
        <f>(IF(I212=0,0,(Upgrades!$G$17+I212*Upgrades!$H$17)*POWER(Upgrades!$I$17,I212)))*(IF(Upgrades!$T$13="Brown Dwarf",POWER(Upgrades!$U$13,E212),1)*IF(Upgrades!$T$14="Brown Dwarf",POWER(Upgrades!$U$14,F212),1)*IF(Upgrades!$T$15="Brown Dwarf",POWER(Upgrades!$U$15,G212),1)*IF(Upgrades!$T$16="Brown Dwarf",POWER(Upgrades!$U$16,H212),1)*IF(Upgrades!$T$18="Brown Dwarf",POWER(Upgrades!$U$18,J212),1)*IF(Upgrades!$T$19="Brown Dwarf",POWER(Upgrades!$U$19,K212),1)*IF(Upgrades!$T$20="Brown Dwarf",POWER(Upgrades!$U$20,L212),1)*IF(Upgrades!$T$21="Brown Dwarf",POWER(Upgrades!$U$21,M212),1))*POWER(Upgrades!$P$13,E212)*POWER(Upgrades!$P$14,F212)*POWER(Upgrades!$P$15,G212)*POWER(Upgrades!$P$16,H212)*POWER(Upgrades!$P$17,I212)*POWER(Upgrades!$P$18,J212)*POWER(Upgrades!$P$19,K212)*POWER(Upgrades!$P$20,L212)*POWER(Upgrades!$P$21,M212)*$F$6*60</f>
        <v/>
      </c>
      <c r="AF212" s="27" t="n">
        <v>0</v>
      </c>
      <c r="AG212" s="27" t="n">
        <v>0</v>
      </c>
      <c r="AH212" s="27" t="n">
        <v>0</v>
      </c>
      <c r="AI212" s="27">
        <f>(IF(M212=0,0,(Upgrades!$G$21+M212*Upgrades!$H$21)*POWER(Upgrades!$I$21,M212)))*(IF(Upgrades!$T$13="Moving Group",POWER(Upgrades!$U$13,E212),1)*IF(Upgrades!$T$14="Moving Group",POWER(Upgrades!$U$14,F212),1)*IF(Upgrades!$T$15="Moving Group",POWER(Upgrades!$U$15,G212),1)*IF(Upgrades!$T$16="Moving Group",POWER(Upgrades!$U$16,H212),1)*IF(Upgrades!$T$17="Moving Group",POWER(Upgrades!$U$17,I212),1)*IF(Upgrades!$T$18="Moving Group",POWER(Upgrades!$U$18,J212),1)*IF(Upgrades!$T$19="Moving Group",POWER(Upgrades!$U$19,K212),1)*IF(Upgrades!$T$20="Moving Group",POWER(Upgrades!$U$20,L212),1))*POWER(Upgrades!$P$13,E212)*POWER(Upgrades!$P$14,F212)*POWER(Upgrades!$P$15,G212)*POWER(Upgrades!$P$16,H212)*POWER(Upgrades!$P$17,I212)*POWER(Upgrades!$P$18,J212)*POWER(Upgrades!$P$19,K212)*POWER(Upgrades!$P$20,L212)*POWER(Upgrades!$P$21,M212)*$F$6*60</f>
        <v/>
      </c>
      <c r="AJ212" s="27">
        <f>$C$6*60</f>
        <v/>
      </c>
      <c r="AK212" s="22">
        <f>IF(E212&gt;=Upgrades!$E$13,"",Upgrades!$C$13*POWER(Upgrades!$D$13,E212))</f>
        <v/>
      </c>
      <c r="AL212" s="22">
        <f>IF(F212&gt;=Upgrades!$E$14,"",Upgrades!$C$14*POWER(Upgrades!$D$14,F212))</f>
        <v/>
      </c>
      <c r="AM212" s="22">
        <f>IF(G212&gt;=Upgrades!$E$15,"",Upgrades!$C$15*POWER(Upgrades!$D$15,G212))</f>
        <v/>
      </c>
      <c r="AN212" s="22">
        <f>IF(H212&gt;=Upgrades!$E$16,"",Upgrades!$C$16*POWER(Upgrades!$D$16,H212))</f>
        <v/>
      </c>
      <c r="AO212" s="22">
        <f>IF(I212&gt;=Upgrades!$E$17,"",Upgrades!$C$17*POWER(Upgrades!$D$17,I212))</f>
        <v/>
      </c>
      <c r="AP212" s="22">
        <f>IF(J212&gt;=Upgrades!$E$18,"",Upgrades!$C$18*POWER(Upgrades!$D$18,J212))</f>
        <v/>
      </c>
      <c r="AQ212" s="22">
        <f>IF(K212&gt;=Upgrades!$E$19,"",Upgrades!$C$19*POWER(Upgrades!$D$19,K212))</f>
        <v/>
      </c>
      <c r="AR212" s="22">
        <f>IF(L212&gt;=Upgrades!$E$20,"",Upgrades!$C$20*POWER(Upgrades!$D$20,L212))</f>
        <v/>
      </c>
      <c r="AS212" s="22">
        <f>IF(M212&gt;=Upgrades!$E$21,"",Upgrades!$C$21*POWER(Upgrades!$D$21,M212))</f>
        <v/>
      </c>
      <c r="AT212" s="26">
        <f>IF(AND(D212&gt;=Parameters!$B$18*Parameters!$B$19,(I212&gt;=Upgrades!$E$17)*(M212&gt;=Upgrades!$E$21)=1,N212=0),1,"")</f>
        <v/>
      </c>
      <c r="AU212" s="26">
        <f>IF(AND(D212&gt;=Parameters!$B$18*Parameters!$B$19,N212=0),1,"")</f>
        <v/>
      </c>
      <c r="AV212" s="22">
        <f>MIN(IF(ISNUMBER(AP212),AP212,9E15),IF(ISNUMBER(AQ212),AQ212,9E15),IF(ISNUMBER(AR212),AR212,9E15),IF(ISNUMBER(AS212),AS212,9E15))</f>
        <v/>
      </c>
      <c r="AW212" s="22">
        <f>MIN(IF(ISNUMBER(AK212),AK212,9E15),IF(ISNUMBER(AL212),AL212,9E15),IF(ISNUMBER(AM212),AM212,9E15),IF(ISNUMBER(AN212),AN212,9E15),IF(ISNUMBER(AO212),AO212,9E15))</f>
        <v/>
      </c>
      <c r="AX212" s="29">
        <f>IF(BD212&gt;Parameters!$B$21*(MAX(IF(AND(NOT(AND(AU212=1,AT212&lt;&gt;1)),ISNUMBER(AK212),AK212&lt;=(C212+T212)),AY212,0),IF(AND(NOT(AND(AU212=1,AT212&lt;&gt;1)),ISNUMBER(AL212),AL212&lt;=(C212+T212)),AZ212,0),IF(AND(NOT(AND(AU212=1,AT212&lt;&gt;1)),ISNUMBER(AM212),AM212&lt;=(C212+T212)),BA212,0),IF(AND(NOT(AND(AU212=1,AT212&lt;&gt;1)),ISNUMBER(AN212),AN212&lt;=(C212+T212)),BB212,0),IF(AND(ISNUMBER(AO212),AO212&lt;=(C212+T212)),BC212,0))),TRUE,FALSE)</f>
        <v/>
      </c>
      <c r="AY212" s="32">
        <f>IFERROR(Upgrades!$H$13*(POWER(Upgrades!$P$13,E212)*POWER(Upgrades!$P$14,F212)*POWER(Upgrades!$P$15,G212)*POWER(Upgrades!$P$16,H212)*POWER(Upgrades!$P$17,I212)*POWER(Upgrades!$P$18,J212)*POWER(Upgrades!$P$19,K212)*POWER(Upgrades!$P$20,L212)*POWER(Upgrades!$P$21,M212))*(IF(Upgrades!$T$14="Stellar Kinematics",POWER(Upgrades!$U$14,F212),1)*IF(Upgrades!$T$15="Stellar Kinematics",POWER(Upgrades!$U$15,G212),1)*IF(Upgrades!$T$16="Stellar Kinematics",POWER(Upgrades!$U$16,H212),1)*IF(Upgrades!$T$17="Stellar Kinematics",POWER(Upgrades!$U$17,I212),1)*IF(Upgrades!$T$18="Stellar Kinematics",POWER(Upgrades!$U$18,J212),1)*IF(Upgrades!$T$19="Stellar Kinematics",POWER(Upgrades!$U$19,K212),1)*IF(Upgrades!$T$20="Stellar Kinematics",POWER(Upgrades!$U$20,L212),1)*IF(Upgrades!$T$21="Stellar Kinematics",POWER(Upgrades!$U$21,M212),1))*$F$6/AK212,0)</f>
        <v/>
      </c>
      <c r="AZ212" s="32">
        <f>IFERROR(Upgrades!$H$14*(POWER(Upgrades!$P$13,E212)*POWER(Upgrades!$P$14,F212)*POWER(Upgrades!$P$15,G212)*POWER(Upgrades!$P$16,H212)*POWER(Upgrades!$P$17,I212)*POWER(Upgrades!$P$18,J212)*POWER(Upgrades!$P$19,K212)*POWER(Upgrades!$P$20,L212)*POWER(Upgrades!$P$21,M212))*(IF(Upgrades!$T$13="Local Bubble",POWER(Upgrades!$U$13,E212),1)*IF(Upgrades!$T$15="Local Bubble",POWER(Upgrades!$U$15,G212),1)*IF(Upgrades!$T$16="Local Bubble",POWER(Upgrades!$U$16,H212),1)*IF(Upgrades!$T$17="Local Bubble",POWER(Upgrades!$U$17,I212),1)*IF(Upgrades!$T$18="Local Bubble",POWER(Upgrades!$U$18,J212),1)*IF(Upgrades!$T$19="Local Bubble",POWER(Upgrades!$U$19,K212),1)*IF(Upgrades!$T$20="Local Bubble",POWER(Upgrades!$U$20,L212),1)*IF(Upgrades!$T$21="Local Bubble",POWER(Upgrades!$U$21,M212),1))*$F$6/AL212,0)</f>
        <v/>
      </c>
      <c r="BA212" s="32">
        <f>IFERROR(Upgrades!$K$15*(POWER(Upgrades!$Q$13,E212)*POWER(Upgrades!$Q$14,F212)*POWER(Upgrades!$Q$15,G212)*POWER(Upgrades!$Q$16,H212)*POWER(Upgrades!$Q$17,I212)*POWER(Upgrades!$Q$18,J212)*POWER(Upgrades!$Q$19,K212)*POWER(Upgrades!$Q$20,L212)*POWER(Upgrades!$Q$21,M212))*(IF(Upgrades!$T$13="Microlensing",POWER(Upgrades!$U$13,E212),1)*IF(Upgrades!$T$14="Microlensing",POWER(Upgrades!$U$14,F212),1)*IF(Upgrades!$T$16="Microlensing",POWER(Upgrades!$U$16,H212),1)*IF(Upgrades!$T$17="Microlensing",POWER(Upgrades!$U$17,I212),1)*IF(Upgrades!$T$18="Microlensing",POWER(Upgrades!$U$18,J212),1)*IF(Upgrades!$T$19="Microlensing",POWER(Upgrades!$U$19,K212),1)*IF(Upgrades!$T$20="Microlensing",POWER(Upgrades!$U$20,L212),1)*IF(Upgrades!$T$21="Microlensing",POWER(Upgrades!$U$21,M212),1))*$G$6*(Parameters!$B$10/60*Parameters!$B$11+Q212)/AM212,0)</f>
        <v/>
      </c>
      <c r="BB212" s="32">
        <f>IFERROR((Upgrades!$N$16*(POWER(Upgrades!$R$13,E212)*POWER(Upgrades!$R$14,F212)*POWER(Upgrades!$R$15,G212)*POWER(Upgrades!$R$16,H212)*POWER(Upgrades!$R$17,I212)*POWER(Upgrades!$R$18,J212)*POWER(Upgrades!$R$19,K212)*POWER(Upgrades!$R$20,L212)*POWER(Upgrades!$R$21,M212))*(IF(Upgrades!$T$13="Roche Lobe Overflow",POWER(Upgrades!$U$13,E212),1)*IF(Upgrades!$T$14="Roche Lobe Overflow",POWER(Upgrades!$U$14,F212),1)*IF(Upgrades!$T$15="Roche Lobe Overflow",POWER(Upgrades!$U$15,G212),1)*IF(Upgrades!$T$17="Roche Lobe Overflow",POWER(Upgrades!$U$17,I212),1)*IF(Upgrades!$T$18="Roche Lobe Overflow",POWER(Upgrades!$U$18,J212),1)*IF(Upgrades!$T$19="Roche Lobe Overflow",POWER(Upgrades!$U$19,K212),1)*IF(Upgrades!$T$20="Roche Lobe Overflow",POWER(Upgrades!$U$20,L212),1)*IF(Upgrades!$T$21="Roche Lobe Overflow",POWER(Upgrades!$U$21,M212),1))*$H$6*O212+((IF(F212=0,0,(Upgrades!$G$14+F212*Upgrades!$H$14)*POWER(Upgrades!$I$14,F212)))*(IF(Upgrades!$T$13="Local Bubble",POWER(Upgrades!$U$13,E212),1)*IF(Upgrades!$T$15="Local Bubble",POWER(Upgrades!$U$15,G212),1)*IF(Upgrades!$T$16="Local Bubble",POWER(Upgrades!$U$16,H212),1)*IF(Upgrades!$T$17="Local Bubble",POWER(Upgrades!$U$17,I212),1)*IF(Upgrades!$T$18="Local Bubble",POWER(Upgrades!$U$18,J212),1)*IF(Upgrades!$T$19="Local Bubble",POWER(Upgrades!$U$19,K212),1)*IF(Upgrades!$T$20="Local Bubble",POWER(Upgrades!$U$20,L212),1)*IF(Upgrades!$T$21="Local Bubble",POWER(Upgrades!$U$21,M212),1))*POWER(Upgrades!$P$13,E212)*POWER(Upgrades!$P$14,F212)*POWER(Upgrades!$P$15,G212)*POWER(Upgrades!$P$16,H212)*POWER(Upgrades!$P$17,I212)*POWER(Upgrades!$P$18,J212)*POWER(Upgrades!$P$19,K212)*POWER(Upgrades!$P$20,L212)*POWER(Upgrades!$P$21,M212)*$F$6)*0.05)/AN212,0)</f>
        <v/>
      </c>
      <c r="BC212" s="32">
        <f>IFERROR((Upgrades!$H$17*(POWER(Upgrades!$P$13,E212)*POWER(Upgrades!$P$14,F212)*POWER(Upgrades!$P$15,G212)*POWER(Upgrades!$P$16,H212)*POWER(Upgrades!$P$17,I212)*POWER(Upgrades!$P$18,J212)*POWER(Upgrades!$P$19,K212)*POWER(Upgrades!$P$20,L212)*POWER(Upgrades!$P$21,M212))*(IF(Upgrades!$T$13="Brown Dwarf",POWER(Upgrades!$U$13,E212),1)*IF(Upgrades!$T$14="Brown Dwarf",POWER(Upgrades!$U$14,F212),1)*IF(Upgrades!$T$15="Brown Dwarf",POWER(Upgrades!$U$15,G212),1)*IF(Upgrades!$T$16="Brown Dwarf",POWER(Upgrades!$U$16,H212),1)*IF(Upgrades!$T$18="Brown Dwarf",POWER(Upgrades!$U$18,J212),1)*IF(Upgrades!$T$19="Brown Dwarf",POWER(Upgrades!$U$19,K212),1)*IF(Upgrades!$T$20="Brown Dwarf",POWER(Upgrades!$U$20,L212),1)*IF(Upgrades!$T$21="Brown Dwarf",POWER(Upgrades!$U$21,M212),1))*$F$6+(((IF(H212=0,0,(Upgrades!$M$16+H212*Upgrades!$N$16)*POWER(Upgrades!$O$16,H212)))*(IF(Upgrades!$T$13="Roche Lobe Overflow",POWER(Upgrades!$U$13,E212),1)*IF(Upgrades!$T$14="Roche Lobe Overflow",POWER(Upgrades!$U$14,F212),1)*IF(Upgrades!$T$15="Roche Lobe Overflow",POWER(Upgrades!$U$15,G212),1)*IF(Upgrades!$T$17="Roche Lobe Overflow",POWER(Upgrades!$U$17,I212),1)*IF(Upgrades!$T$18="Roche Lobe Overflow",POWER(Upgrades!$U$18,J212),1)*IF(Upgrades!$T$19="Roche Lobe Overflow",POWER(Upgrades!$U$19,K212),1)*IF(Upgrades!$T$20="Roche Lobe Overflow",POWER(Upgrades!$U$20,L212),1)*IF(Upgrades!$T$21="Roche Lobe Overflow",POWER(Upgrades!$U$21,M212),1))*POWER(Upgrades!$R$13,E212)*POWER(Upgrades!$R$14,F212)*POWER(Upgrades!$R$15,G212)*POWER(Upgrades!$R$16,H212)*POWER(Upgrades!$R$17,I212)*POWER(Upgrades!$R$18,J212)*POWER(Upgrades!$R$19,K212)*POWER(Upgrades!$R$20,L212)*POWER(Upgrades!$R$21,M212)*$H$6)*O212)*0.10)/AO212,0)</f>
        <v/>
      </c>
      <c r="BD212" s="32">
        <f>MAX(IF(J212&gt;0,0,IFERROR(0.5*((IF(G212=0,0,(Upgrades!$J$15+G212*Upgrades!$K$15)*POWER(Upgrades!$L$15,G212)))*(IF(Upgrades!$T$13="Microlensing",POWER(Upgrades!$U$13,E212),1)*IF(Upgrades!$T$14="Microlensing",POWER(Upgrades!$U$14,F212),1)*IF(Upgrades!$T$16="Microlensing",POWER(Upgrades!$U$16,H212),1)*IF(Upgrades!$T$17="Microlensing",POWER(Upgrades!$U$17,I212),1)*IF(Upgrades!$T$18="Microlensing",POWER(Upgrades!$U$18,J212),1)*IF(Upgrades!$T$19="Microlensing",POWER(Upgrades!$U$19,K212),1)*IF(Upgrades!$T$20="Microlensing",POWER(Upgrades!$U$20,L212),1)*IF(Upgrades!$T$21="Microlensing",POWER(Upgrades!$U$21,M212),1))*(POWER(Upgrades!$Q$13,E212)*POWER(Upgrades!$Q$14,F212)*POWER(Upgrades!$Q$15,G212)*POWER(Upgrades!$Q$16,H212)*POWER(Upgrades!$Q$17,I212)*POWER(Upgrades!$Q$18,J212)*POWER(Upgrades!$Q$19,K212)*POWER(Upgrades!$Q$20,L212)*POWER(Upgrades!$Q$21,M212))*$G$6*(Parameters!$B$10/60*Parameters!$B$11+Q212))/Upgrades!$C$18,0)),IF(K212&gt;0,0,IFERROR(0.30*P212/Upgrades!$C$19,0)),IF(L212&gt;0,0,IFERROR(0.0001/Upgrades!$C$20,0)),IF(M212&gt;0,0,IFERROR((6.0*(POWER(Upgrades!$P$13,E212)*POWER(Upgrades!$P$14,F212)*POWER(Upgrades!$P$15,G212)*POWER(Upgrades!$P$16,H212)*POWER(Upgrades!$P$17,I212)*POWER(Upgrades!$P$18,J212)*POWER(Upgrades!$P$19,K212)*POWER(Upgrades!$P$20,L212)*POWER(Upgrades!$P$21,M212))*$F$6+0.20*O212*(Parameters!$B$10/60*Parameters!$B$11+Q212))/Upgrades!$C$21,0)),IF(AND(ISNUMBER(AK212),AK212&gt;(C212+T212)),AY212,0),IF(AND(ISNUMBER(AL212),AL212&gt;(C212+T212)),AZ212,0),IF(AND(ISNUMBER(AM212),AM212&gt;(C212+T212)),BA212,0),IF(AND(ISNUMBER(AN212),AN212&gt;(C212+T212)),BB212,0),IF(AND(ISNUMBER(AO212),AO212&gt;(C212+T212)),BC212,0))</f>
        <v/>
      </c>
      <c r="BE212" s="29">
        <f>IF(AT212=1,"transition",IF(MIN(IF(AND(J212=0,ISNUMBER(AP212),AP212&lt;=(C212+T212)),AP212,9E15),IF(AND(K212=0,ISNUMBER(AQ212),AQ212&lt;=(C212+T212)),AQ212,9E15),IF(AND(L212=0,ISNUMBER(AR212),AR212&lt;=(C212+T212)),AR212,9E15),IF(AND(M212=0,ISNUMBER(AS212),AS212&lt;=(C212+T212)),AS212,9E15))&lt;9E15,IF(AND(AND(J212=0,ISNUMBER(AP212),AP212&lt;=(C212+T212)),AP212=MIN(IF(AND(J212=0,ISNUMBER(AP212),AP212&lt;=(C212+T212)),AP212,9E15),IF(AND(K212=0,ISNUMBER(AQ212),AQ212&lt;=(C212+T212)),AQ212,9E15),IF(AND(L212=0,ISNUMBER(AR212),AR212&lt;=(C212+T212)),AR212,9E15),IF(AND(M212=0,ISNUMBER(AS212),AS212&lt;=(C212+T212)),AS212,9E15))),"BiP",IF(AND(AND(K212=0,ISNUMBER(AQ212),AQ212&lt;=(C212+T212)),AQ212=MIN(IF(AND(J212=0,ISNUMBER(AP212),AP212&lt;=(C212+T212)),AP212,9E15),IF(AND(K212=0,ISNUMBER(AQ212),AQ212&lt;=(C212+T212)),AQ212,9E15),IF(AND(L212=0,ISNUMBER(AR212),AR212&lt;=(C212+T212)),AR212,9E15),IF(AND(M212=0,ISNUMBER(AS212),AS212&lt;=(C212+T212)),AS212,9E15))),"PV",IF(AND(AND(L212=0,ISNUMBER(AR212),AR212&lt;=(C212+T212)),AR212=MIN(IF(AND(J212=0,ISNUMBER(AP212),AP212&lt;=(C212+T212)),AP212,9E15),IF(AND(K212=0,ISNUMBER(AQ212),AQ212&lt;=(C212+T212)),AQ212,9E15),IF(AND(L212=0,ISNUMBER(AR212),AR212&lt;=(C212+T212)),AR212,9E15),IF(AND(M212=0,ISNUMBER(AS212),AS212&lt;=(C212+T212)),AS212,9E15))),"OC","MG"))),IF(AX212=TRUE,"",IF(MAX(IF(AND(NOT(AND(AU212=1,AT212&lt;&gt;1)),ISNUMBER(AK212),AK212&lt;=(C212+T212)),AY212,0),IF(AND(NOT(AND(AU212=1,AT212&lt;&gt;1)),ISNUMBER(AL212),AL212&lt;=(C212+T212)),AZ212,0),IF(AND(NOT(AND(AU212=1,AT212&lt;&gt;1)),ISNUMBER(AM212),AM212&lt;=(C212+T212)),BA212,0),IF(AND(NOT(AND(AU212=1,AT212&lt;&gt;1)),ISNUMBER(AN212),AN212&lt;=(C212+T212)),BB212,0),IF(AND(ISNUMBER(AO212),AO212&lt;=(C212+T212)),BC212,0))&lt;=0,"",IF(AND(IF(AND(NOT(AND(AU212=1,AT212&lt;&gt;1)),ISNUMBER(AK212),AK212&lt;=(C212+T212)),AY212,0)&gt;0,IF(AND(NOT(AND(AU212=1,AT212&lt;&gt;1)),ISNUMBER(AK212),AK212&lt;=(C212+T212)),AY212,0)=MAX(IF(AND(NOT(AND(AU212=1,AT212&lt;&gt;1)),ISNUMBER(AK212),AK212&lt;=(C212+T212)),AY212,0),IF(AND(NOT(AND(AU212=1,AT212&lt;&gt;1)),ISNUMBER(AL212),AL212&lt;=(C212+T212)),AZ212,0),IF(AND(NOT(AND(AU212=1,AT212&lt;&gt;1)),ISNUMBER(AM212),AM212&lt;=(C212+T212)),BA212,0),IF(AND(NOT(AND(AU212=1,AT212&lt;&gt;1)),ISNUMBER(AN212),AN212&lt;=(C212+T212)),BB212,0),IF(AND(ISNUMBER(AO212),AO212&lt;=(C212+T212)),BC212,0))),"SK",IF(AND(IF(AND(NOT(AND(AU212=1,AT212&lt;&gt;1)),ISNUMBER(AL212),AL212&lt;=(C212+T212)),AZ212,0)&gt;0,IF(AND(NOT(AND(AU212=1,AT212&lt;&gt;1)),ISNUMBER(AL212),AL212&lt;=(C212+T212)),AZ212,0)=MAX(IF(AND(NOT(AND(AU212=1,AT212&lt;&gt;1)),ISNUMBER(AK212),AK212&lt;=(C212+T212)),AY212,0),IF(AND(NOT(AND(AU212=1,AT212&lt;&gt;1)),ISNUMBER(AL212),AL212&lt;=(C212+T212)),AZ212,0),IF(AND(NOT(AND(AU212=1,AT212&lt;&gt;1)),ISNUMBER(AM212),AM212&lt;=(C212+T212)),BA212,0),IF(AND(NOT(AND(AU212=1,AT212&lt;&gt;1)),ISNUMBER(AN212),AN212&lt;=(C212+T212)),BB212,0),IF(AND(ISNUMBER(AO212),AO212&lt;=(C212+T212)),BC212,0))),"LB",IF(AND(IF(AND(NOT(AND(AU212=1,AT212&lt;&gt;1)),ISNUMBER(AM212),AM212&lt;=(C212+T212)),BA212,0)&gt;0,IF(AND(NOT(AND(AU212=1,AT212&lt;&gt;1)),ISNUMBER(AM212),AM212&lt;=(C212+T212)),BA212,0)=MAX(IF(AND(NOT(AND(AU212=1,AT212&lt;&gt;1)),ISNUMBER(AK212),AK212&lt;=(C212+T212)),AY212,0),IF(AND(NOT(AND(AU212=1,AT212&lt;&gt;1)),ISNUMBER(AL212),AL212&lt;=(C212+T212)),AZ212,0),IF(AND(NOT(AND(AU212=1,AT212&lt;&gt;1)),ISNUMBER(AM212),AM212&lt;=(C212+T212)),BA212,0),IF(AND(NOT(AND(AU212=1,AT212&lt;&gt;1)),ISNUMBER(AN212),AN212&lt;=(C212+T212)),BB212,0),IF(AND(ISNUMBER(AO212),AO212&lt;=(C212+T212)),BC212,0))),"ML",IF(AND(IF(AND(NOT(AND(AU212=1,AT212&lt;&gt;1)),ISNUMBER(AN212),AN212&lt;=(C212+T212)),BB212,0)&gt;0,IF(AND(NOT(AND(AU212=1,AT212&lt;&gt;1)),ISNUMBER(AN212),AN212&lt;=(C212+T212)),BB212,0)=MAX(IF(AND(NOT(AND(AU212=1,AT212&lt;&gt;1)),ISNUMBER(AK212),AK212&lt;=(C212+T212)),AY212,0),IF(AND(NOT(AND(AU212=1,AT212&lt;&gt;1)),ISNUMBER(AL212),AL212&lt;=(C212+T212)),AZ212,0),IF(AND(NOT(AND(AU212=1,AT212&lt;&gt;1)),ISNUMBER(AM212),AM212&lt;=(C212+T212)),BA212,0),IF(AND(NOT(AND(AU212=1,AT212&lt;&gt;1)),ISNUMBER(AN212),AN212&lt;=(C212+T212)),BB212,0),IF(AND(ISNUMBER(AO212),AO212&lt;=(C212+T212)),BC212,0))),"RLO","BD"))))))))</f>
        <v/>
      </c>
    </row>
    <row r="213">
      <c r="A213" s="26" t="n">
        <v>202</v>
      </c>
      <c r="B213" s="27">
        <f>A213*10/60</f>
        <v/>
      </c>
      <c r="C213" s="22">
        <f>X212</f>
        <v/>
      </c>
      <c r="D213" s="27">
        <f>D212+W212</f>
        <v/>
      </c>
      <c r="E213" s="26">
        <f>E212+IF(U212="SK",1,0)</f>
        <v/>
      </c>
      <c r="F213" s="26">
        <f>F212+IF(U212="LB",1,0)</f>
        <v/>
      </c>
      <c r="G213" s="26">
        <f>G212+IF(U212="ML",1,0)</f>
        <v/>
      </c>
      <c r="H213" s="26">
        <f>H212+IF(U212="RLO",1,0)</f>
        <v/>
      </c>
      <c r="I213" s="26">
        <f>I212+IF(U212="BD",1,0)</f>
        <v/>
      </c>
      <c r="J213" s="26">
        <f>MAX(J212,IF(U212="BiP",1,0))</f>
        <v/>
      </c>
      <c r="K213" s="26">
        <f>MAX(K212,IF(U212="PV",1,0))</f>
        <v/>
      </c>
      <c r="L213" s="26">
        <f>MAX(L212,IF(U212="OC",1,0))</f>
        <v/>
      </c>
      <c r="M213" s="26">
        <f>MAX(M212,IF(U212="MG",1,0))</f>
        <v/>
      </c>
      <c r="N213" s="26">
        <f>MAX(N212,IF(U212="transition",1,0))</f>
        <v/>
      </c>
      <c r="O213" s="28">
        <f>(Parameters!$B$9+(IF(E213=0,0,(Upgrades!$J$13+E213*Upgrades!$K$13)*POWER(Upgrades!$L$13,E213)))*(IF(Upgrades!$T$14="Stellar Kinematics",POWER(Upgrades!$U$14,F213),1)*IF(Upgrades!$T$15="Stellar Kinematics",POWER(Upgrades!$U$15,G213),1)*IF(Upgrades!$T$16="Stellar Kinematics",POWER(Upgrades!$U$16,H213),1)*IF(Upgrades!$T$17="Stellar Kinematics",POWER(Upgrades!$U$17,I213),1)*IF(Upgrades!$T$18="Stellar Kinematics",POWER(Upgrades!$U$18,J213),1)*IF(Upgrades!$T$19="Stellar Kinematics",POWER(Upgrades!$U$19,K213),1)*IF(Upgrades!$T$20="Stellar Kinematics",POWER(Upgrades!$U$20,L213),1)*IF(Upgrades!$T$21="Stellar Kinematics",POWER(Upgrades!$U$21,M213),1))+(IF(F213=0,0,(Upgrades!$J$14+F213*Upgrades!$K$14)*POWER(Upgrades!$L$14,F213)))*(IF(Upgrades!$T$13="Local Bubble",POWER(Upgrades!$U$13,E213),1)*IF(Upgrades!$T$15="Local Bubble",POWER(Upgrades!$U$15,G213),1)*IF(Upgrades!$T$16="Local Bubble",POWER(Upgrades!$U$16,H213),1)*IF(Upgrades!$T$17="Local Bubble",POWER(Upgrades!$U$17,I213),1)*IF(Upgrades!$T$18="Local Bubble",POWER(Upgrades!$U$18,J213),1)*IF(Upgrades!$T$19="Local Bubble",POWER(Upgrades!$U$19,K213),1)*IF(Upgrades!$T$20="Local Bubble",POWER(Upgrades!$U$20,L213),1)*IF(Upgrades!$T$21="Local Bubble",POWER(Upgrades!$U$21,M213),1))+(IF(G213=0,0,(Upgrades!$J$15+G213*Upgrades!$K$15)*POWER(Upgrades!$L$15,G213)))*(IF(Upgrades!$T$13="Microlensing",POWER(Upgrades!$U$13,E213),1)*IF(Upgrades!$T$14="Microlensing",POWER(Upgrades!$U$14,F213),1)*IF(Upgrades!$T$16="Microlensing",POWER(Upgrades!$U$16,H213),1)*IF(Upgrades!$T$17="Microlensing",POWER(Upgrades!$U$17,I213),1)*IF(Upgrades!$T$18="Microlensing",POWER(Upgrades!$U$18,J213),1)*IF(Upgrades!$T$19="Microlensing",POWER(Upgrades!$U$19,K213),1)*IF(Upgrades!$T$20="Microlensing",POWER(Upgrades!$U$20,L213),1)*IF(Upgrades!$T$21="Microlensing",POWER(Upgrades!$U$21,M213),1))+(IF(H213=0,0,(Upgrades!$J$16+H213*Upgrades!$K$16)*POWER(Upgrades!$L$16,H213)))*(IF(Upgrades!$T$13="Roche Lobe Overflow",POWER(Upgrades!$U$13,E213),1)*IF(Upgrades!$T$14="Roche Lobe Overflow",POWER(Upgrades!$U$14,F213),1)*IF(Upgrades!$T$15="Roche Lobe Overflow",POWER(Upgrades!$U$15,G213),1)*IF(Upgrades!$T$17="Roche Lobe Overflow",POWER(Upgrades!$U$17,I213),1)*IF(Upgrades!$T$18="Roche Lobe Overflow",POWER(Upgrades!$U$18,J213),1)*IF(Upgrades!$T$19="Roche Lobe Overflow",POWER(Upgrades!$U$19,K213),1)*IF(Upgrades!$T$20="Roche Lobe Overflow",POWER(Upgrades!$U$20,L213),1)*IF(Upgrades!$T$21="Roche Lobe Overflow",POWER(Upgrades!$U$21,M213),1))+(IF(I213=0,0,(Upgrades!$J$17+I213*Upgrades!$K$17)*POWER(Upgrades!$L$17,I213)))*(IF(Upgrades!$T$13="Brown Dwarf",POWER(Upgrades!$U$13,E213),1)*IF(Upgrades!$T$14="Brown Dwarf",POWER(Upgrades!$U$14,F213),1)*IF(Upgrades!$T$15="Brown Dwarf",POWER(Upgrades!$U$15,G213),1)*IF(Upgrades!$T$16="Brown Dwarf",POWER(Upgrades!$U$16,H213),1)*IF(Upgrades!$T$18="Brown Dwarf",POWER(Upgrades!$U$18,J213),1)*IF(Upgrades!$T$19="Brown Dwarf",POWER(Upgrades!$U$19,K213),1)*IF(Upgrades!$T$20="Brown Dwarf",POWER(Upgrades!$U$20,L213),1)*IF(Upgrades!$T$21="Brown Dwarf",POWER(Upgrades!$U$21,M213),1))+(IF(J213=0,0,(Upgrades!$J$18+J213*Upgrades!$K$18)*POWER(Upgrades!$L$18,J213)))*(IF(Upgrades!$T$13="Binary Partner",POWER(Upgrades!$U$13,E213),1)*IF(Upgrades!$T$14="Binary Partner",POWER(Upgrades!$U$14,F213),1)*IF(Upgrades!$T$15="Binary Partner",POWER(Upgrades!$U$15,G213),1)*IF(Upgrades!$T$16="Binary Partner",POWER(Upgrades!$U$16,H213),1)*IF(Upgrades!$T$17="Binary Partner",POWER(Upgrades!$U$17,I213),1)*IF(Upgrades!$T$19="Binary Partner",POWER(Upgrades!$U$19,K213),1)*IF(Upgrades!$T$20="Binary Partner",POWER(Upgrades!$U$20,L213),1)*IF(Upgrades!$T$21="Binary Partner",POWER(Upgrades!$U$21,M213),1))+(IF(K213=0,0,(Upgrades!$J$19+K213*Upgrades!$K$19)*POWER(Upgrades!$L$19,K213)))*(IF(Upgrades!$T$13="Peculiar Velocity",POWER(Upgrades!$U$13,E213),1)*IF(Upgrades!$T$14="Peculiar Velocity",POWER(Upgrades!$U$14,F213),1)*IF(Upgrades!$T$15="Peculiar Velocity",POWER(Upgrades!$U$15,G213),1)*IF(Upgrades!$T$16="Peculiar Velocity",POWER(Upgrades!$U$16,H213),1)*IF(Upgrades!$T$17="Peculiar Velocity",POWER(Upgrades!$U$17,I213),1)*IF(Upgrades!$T$18="Peculiar Velocity",POWER(Upgrades!$U$18,J213),1)*IF(Upgrades!$T$20="Peculiar Velocity",POWER(Upgrades!$U$20,L213),1)*IF(Upgrades!$T$21="Peculiar Velocity",POWER(Upgrades!$U$21,M213),1))+(IF(L213=0,0,(Upgrades!$J$20+L213*Upgrades!$K$20)*POWER(Upgrades!$L$20,L213)))*(IF(Upgrades!$T$13="Open Cluster",POWER(Upgrades!$U$13,E213),1)*IF(Upgrades!$T$14="Open Cluster",POWER(Upgrades!$U$14,F213),1)*IF(Upgrades!$T$15="Open Cluster",POWER(Upgrades!$U$15,G213),1)*IF(Upgrades!$T$16="Open Cluster",POWER(Upgrades!$U$16,H213),1)*IF(Upgrades!$T$17="Open Cluster",POWER(Upgrades!$U$17,I213),1)*IF(Upgrades!$T$18="Open Cluster",POWER(Upgrades!$U$18,J213),1)*IF(Upgrades!$T$19="Open Cluster",POWER(Upgrades!$U$19,K213),1)*IF(Upgrades!$T$21="Open Cluster",POWER(Upgrades!$U$21,M213),1))+(IF(M213=0,0,(Upgrades!$J$21+M213*Upgrades!$K$21)*POWER(Upgrades!$L$21,M213)))*(IF(Upgrades!$T$13="Moving Group",POWER(Upgrades!$U$13,E213),1)*IF(Upgrades!$T$14="Moving Group",POWER(Upgrades!$U$14,F213),1)*IF(Upgrades!$T$15="Moving Group",POWER(Upgrades!$U$15,G213),1)*IF(Upgrades!$T$16="Moving Group",POWER(Upgrades!$U$16,H213),1)*IF(Upgrades!$T$17="Moving Group",POWER(Upgrades!$U$17,I213),1)*IF(Upgrades!$T$18="Moving Group",POWER(Upgrades!$U$18,J213),1)*IF(Upgrades!$T$19="Moving Group",POWER(Upgrades!$U$19,K213),1)*IF(Upgrades!$T$20="Moving Group",POWER(Upgrades!$U$20,L213),1)))*POWER(Upgrades!$Q$13,E213)*POWER(Upgrades!$Q$14,F213)*POWER(Upgrades!$Q$15,G213)*POWER(Upgrades!$Q$16,H213)*POWER(Upgrades!$Q$17,I213)*POWER(Upgrades!$Q$18,J213)*POWER(Upgrades!$Q$19,K213)*POWER(Upgrades!$Q$20,L213)*POWER(Upgrades!$Q$21,M213)*$G$6+$D$6</f>
        <v/>
      </c>
      <c r="P213" s="28">
        <f>((IF(E213=0,0,(Upgrades!$G$13+E213*Upgrades!$H$13)*POWER(Upgrades!$I$13,E213)))*(IF(Upgrades!$T$14="Stellar Kinematics",POWER(Upgrades!$U$14,F213),1)*IF(Upgrades!$T$15="Stellar Kinematics",POWER(Upgrades!$U$15,G213),1)*IF(Upgrades!$T$16="Stellar Kinematics",POWER(Upgrades!$U$16,H213),1)*IF(Upgrades!$T$17="Stellar Kinematics",POWER(Upgrades!$U$17,I213),1)*IF(Upgrades!$T$18="Stellar Kinematics",POWER(Upgrades!$U$18,J213),1)*IF(Upgrades!$T$19="Stellar Kinematics",POWER(Upgrades!$U$19,K213),1)*IF(Upgrades!$T$20="Stellar Kinematics",POWER(Upgrades!$U$20,L213),1)*IF(Upgrades!$T$21="Stellar Kinematics",POWER(Upgrades!$U$21,M213),1))+(IF(F213=0,0,(Upgrades!$G$14+F213*Upgrades!$H$14)*POWER(Upgrades!$I$14,F213)))*(IF(Upgrades!$T$13="Local Bubble",POWER(Upgrades!$U$13,E213),1)*IF(Upgrades!$T$15="Local Bubble",POWER(Upgrades!$U$15,G213),1)*IF(Upgrades!$T$16="Local Bubble",POWER(Upgrades!$U$16,H213),1)*IF(Upgrades!$T$17="Local Bubble",POWER(Upgrades!$U$17,I213),1)*IF(Upgrades!$T$18="Local Bubble",POWER(Upgrades!$U$18,J213),1)*IF(Upgrades!$T$19="Local Bubble",POWER(Upgrades!$U$19,K213),1)*IF(Upgrades!$T$20="Local Bubble",POWER(Upgrades!$U$20,L213),1)*IF(Upgrades!$T$21="Local Bubble",POWER(Upgrades!$U$21,M213),1))+(IF(G213=0,0,(Upgrades!$G$15+G213*Upgrades!$H$15)*POWER(Upgrades!$I$15,G213)))*(IF(Upgrades!$T$13="Microlensing",POWER(Upgrades!$U$13,E213),1)*IF(Upgrades!$T$14="Microlensing",POWER(Upgrades!$U$14,F213),1)*IF(Upgrades!$T$16="Microlensing",POWER(Upgrades!$U$16,H213),1)*IF(Upgrades!$T$17="Microlensing",POWER(Upgrades!$U$17,I213),1)*IF(Upgrades!$T$18="Microlensing",POWER(Upgrades!$U$18,J213),1)*IF(Upgrades!$T$19="Microlensing",POWER(Upgrades!$U$19,K213),1)*IF(Upgrades!$T$20="Microlensing",POWER(Upgrades!$U$20,L213),1)*IF(Upgrades!$T$21="Microlensing",POWER(Upgrades!$U$21,M213),1))+(IF(H213=0,0,(Upgrades!$G$16+H213*Upgrades!$H$16)*POWER(Upgrades!$I$16,H213)))*(IF(Upgrades!$T$13="Roche Lobe Overflow",POWER(Upgrades!$U$13,E213),1)*IF(Upgrades!$T$14="Roche Lobe Overflow",POWER(Upgrades!$U$14,F213),1)*IF(Upgrades!$T$15="Roche Lobe Overflow",POWER(Upgrades!$U$15,G213),1)*IF(Upgrades!$T$17="Roche Lobe Overflow",POWER(Upgrades!$U$17,I213),1)*IF(Upgrades!$T$18="Roche Lobe Overflow",POWER(Upgrades!$U$18,J213),1)*IF(Upgrades!$T$19="Roche Lobe Overflow",POWER(Upgrades!$U$19,K213),1)*IF(Upgrades!$T$20="Roche Lobe Overflow",POWER(Upgrades!$U$20,L213),1)*IF(Upgrades!$T$21="Roche Lobe Overflow",POWER(Upgrades!$U$21,M213),1))+(IF(I213=0,0,(Upgrades!$G$17+I213*Upgrades!$H$17)*POWER(Upgrades!$I$17,I213)))*(IF(Upgrades!$T$13="Brown Dwarf",POWER(Upgrades!$U$13,E213),1)*IF(Upgrades!$T$14="Brown Dwarf",POWER(Upgrades!$U$14,F213),1)*IF(Upgrades!$T$15="Brown Dwarf",POWER(Upgrades!$U$15,G213),1)*IF(Upgrades!$T$16="Brown Dwarf",POWER(Upgrades!$U$16,H213),1)*IF(Upgrades!$T$18="Brown Dwarf",POWER(Upgrades!$U$18,J213),1)*IF(Upgrades!$T$19="Brown Dwarf",POWER(Upgrades!$U$19,K213),1)*IF(Upgrades!$T$20="Brown Dwarf",POWER(Upgrades!$U$20,L213),1)*IF(Upgrades!$T$21="Brown Dwarf",POWER(Upgrades!$U$21,M213),1))+(IF(J213=0,0,(Upgrades!$G$18+J213*Upgrades!$H$18)*POWER(Upgrades!$I$18,J213)))*(IF(Upgrades!$T$13="Binary Partner",POWER(Upgrades!$U$13,E213),1)*IF(Upgrades!$T$14="Binary Partner",POWER(Upgrades!$U$14,F213),1)*IF(Upgrades!$T$15="Binary Partner",POWER(Upgrades!$U$15,G213),1)*IF(Upgrades!$T$16="Binary Partner",POWER(Upgrades!$U$16,H213),1)*IF(Upgrades!$T$17="Binary Partner",POWER(Upgrades!$U$17,I213),1)*IF(Upgrades!$T$19="Binary Partner",POWER(Upgrades!$U$19,K213),1)*IF(Upgrades!$T$20="Binary Partner",POWER(Upgrades!$U$20,L213),1)*IF(Upgrades!$T$21="Binary Partner",POWER(Upgrades!$U$21,M213),1))+(IF(K213=0,0,(Upgrades!$G$19+K213*Upgrades!$H$19)*POWER(Upgrades!$I$19,K213)))*(IF(Upgrades!$T$13="Peculiar Velocity",POWER(Upgrades!$U$13,E213),1)*IF(Upgrades!$T$14="Peculiar Velocity",POWER(Upgrades!$U$14,F213),1)*IF(Upgrades!$T$15="Peculiar Velocity",POWER(Upgrades!$U$15,G213),1)*IF(Upgrades!$T$16="Peculiar Velocity",POWER(Upgrades!$U$16,H213),1)*IF(Upgrades!$T$17="Peculiar Velocity",POWER(Upgrades!$U$17,I213),1)*IF(Upgrades!$T$18="Peculiar Velocity",POWER(Upgrades!$U$18,J213),1)*IF(Upgrades!$T$20="Peculiar Velocity",POWER(Upgrades!$U$20,L213),1)*IF(Upgrades!$T$21="Peculiar Velocity",POWER(Upgrades!$U$21,M213),1))+(IF(L213=0,0,(Upgrades!$G$20+L213*Upgrades!$H$20)*POWER(Upgrades!$I$20,L213)))*(IF(Upgrades!$T$13="Open Cluster",POWER(Upgrades!$U$13,E213),1)*IF(Upgrades!$T$14="Open Cluster",POWER(Upgrades!$U$14,F213),1)*IF(Upgrades!$T$15="Open Cluster",POWER(Upgrades!$U$15,G213),1)*IF(Upgrades!$T$16="Open Cluster",POWER(Upgrades!$U$16,H213),1)*IF(Upgrades!$T$17="Open Cluster",POWER(Upgrades!$U$17,I213),1)*IF(Upgrades!$T$18="Open Cluster",POWER(Upgrades!$U$18,J213),1)*IF(Upgrades!$T$19="Open Cluster",POWER(Upgrades!$U$19,K213),1)*IF(Upgrades!$T$21="Open Cluster",POWER(Upgrades!$U$21,M213),1))+(IF(M213=0,0,(Upgrades!$G$21+M213*Upgrades!$H$21)*POWER(Upgrades!$I$21,M213)))*(IF(Upgrades!$T$13="Moving Group",POWER(Upgrades!$U$13,E213),1)*IF(Upgrades!$T$14="Moving Group",POWER(Upgrades!$U$14,F213),1)*IF(Upgrades!$T$15="Moving Group",POWER(Upgrades!$U$15,G213),1)*IF(Upgrades!$T$16="Moving Group",POWER(Upgrades!$U$16,H213),1)*IF(Upgrades!$T$17="Moving Group",POWER(Upgrades!$U$17,I213),1)*IF(Upgrades!$T$18="Moving Group",POWER(Upgrades!$U$18,J213),1)*IF(Upgrades!$T$19="Moving Group",POWER(Upgrades!$U$19,K213),1)*IF(Upgrades!$T$20="Moving Group",POWER(Upgrades!$U$20,L213),1)))*POWER(Upgrades!$P$13,E213)*POWER(Upgrades!$P$14,F213)*POWER(Upgrades!$P$15,G213)*POWER(Upgrades!$P$16,H213)*POWER(Upgrades!$P$17,I213)*POWER(Upgrades!$P$18,J213)*POWER(Upgrades!$P$19,K213)*POWER(Upgrades!$P$20,L213)*POWER(Upgrades!$P$21,M213)*$F$6+$C$6</f>
        <v/>
      </c>
      <c r="Q213" s="28">
        <f>((IF(E213=0,0,(Upgrades!$M$13+E213*Upgrades!$N$13)*POWER(Upgrades!$O$13,E213)))*(IF(Upgrades!$T$14="Stellar Kinematics",POWER(Upgrades!$U$14,F213),1)*IF(Upgrades!$T$15="Stellar Kinematics",POWER(Upgrades!$U$15,G213),1)*IF(Upgrades!$T$16="Stellar Kinematics",POWER(Upgrades!$U$16,H213),1)*IF(Upgrades!$T$17="Stellar Kinematics",POWER(Upgrades!$U$17,I213),1)*IF(Upgrades!$T$18="Stellar Kinematics",POWER(Upgrades!$U$18,J213),1)*IF(Upgrades!$T$19="Stellar Kinematics",POWER(Upgrades!$U$19,K213),1)*IF(Upgrades!$T$20="Stellar Kinematics",POWER(Upgrades!$U$20,L213),1)*IF(Upgrades!$T$21="Stellar Kinematics",POWER(Upgrades!$U$21,M213),1))+(IF(F213=0,0,(Upgrades!$M$14+F213*Upgrades!$N$14)*POWER(Upgrades!$O$14,F213)))*(IF(Upgrades!$T$13="Local Bubble",POWER(Upgrades!$U$13,E213),1)*IF(Upgrades!$T$15="Local Bubble",POWER(Upgrades!$U$15,G213),1)*IF(Upgrades!$T$16="Local Bubble",POWER(Upgrades!$U$16,H213),1)*IF(Upgrades!$T$17="Local Bubble",POWER(Upgrades!$U$17,I213),1)*IF(Upgrades!$T$18="Local Bubble",POWER(Upgrades!$U$18,J213),1)*IF(Upgrades!$T$19="Local Bubble",POWER(Upgrades!$U$19,K213),1)*IF(Upgrades!$T$20="Local Bubble",POWER(Upgrades!$U$20,L213),1)*IF(Upgrades!$T$21="Local Bubble",POWER(Upgrades!$U$21,M213),1))+(IF(G213=0,0,(Upgrades!$M$15+G213*Upgrades!$N$15)*POWER(Upgrades!$O$15,G213)))*(IF(Upgrades!$T$13="Microlensing",POWER(Upgrades!$U$13,E213),1)*IF(Upgrades!$T$14="Microlensing",POWER(Upgrades!$U$14,F213),1)*IF(Upgrades!$T$16="Microlensing",POWER(Upgrades!$U$16,H213),1)*IF(Upgrades!$T$17="Microlensing",POWER(Upgrades!$U$17,I213),1)*IF(Upgrades!$T$18="Microlensing",POWER(Upgrades!$U$18,J213),1)*IF(Upgrades!$T$19="Microlensing",POWER(Upgrades!$U$19,K213),1)*IF(Upgrades!$T$20="Microlensing",POWER(Upgrades!$U$20,L213),1)*IF(Upgrades!$T$21="Microlensing",POWER(Upgrades!$U$21,M213),1))+(IF(H213=0,0,(Upgrades!$M$16+H213*Upgrades!$N$16)*POWER(Upgrades!$O$16,H213)))*(IF(Upgrades!$T$13="Roche Lobe Overflow",POWER(Upgrades!$U$13,E213),1)*IF(Upgrades!$T$14="Roche Lobe Overflow",POWER(Upgrades!$U$14,F213),1)*IF(Upgrades!$T$15="Roche Lobe Overflow",POWER(Upgrades!$U$15,G213),1)*IF(Upgrades!$T$17="Roche Lobe Overflow",POWER(Upgrades!$U$17,I213),1)*IF(Upgrades!$T$18="Roche Lobe Overflow",POWER(Upgrades!$U$18,J213),1)*IF(Upgrades!$T$19="Roche Lobe Overflow",POWER(Upgrades!$U$19,K213),1)*IF(Upgrades!$T$20="Roche Lobe Overflow",POWER(Upgrades!$U$20,L213),1)*IF(Upgrades!$T$21="Roche Lobe Overflow",POWER(Upgrades!$U$21,M213),1))+(IF(I213=0,0,(Upgrades!$M$17+I213*Upgrades!$N$17)*POWER(Upgrades!$O$17,I213)))*(IF(Upgrades!$T$13="Brown Dwarf",POWER(Upgrades!$U$13,E213),1)*IF(Upgrades!$T$14="Brown Dwarf",POWER(Upgrades!$U$14,F213),1)*IF(Upgrades!$T$15="Brown Dwarf",POWER(Upgrades!$U$15,G213),1)*IF(Upgrades!$T$16="Brown Dwarf",POWER(Upgrades!$U$16,H213),1)*IF(Upgrades!$T$18="Brown Dwarf",POWER(Upgrades!$U$18,J213),1)*IF(Upgrades!$T$19="Brown Dwarf",POWER(Upgrades!$U$19,K213),1)*IF(Upgrades!$T$20="Brown Dwarf",POWER(Upgrades!$U$20,L213),1)*IF(Upgrades!$T$21="Brown Dwarf",POWER(Upgrades!$U$21,M213),1))+(IF(J213=0,0,(Upgrades!$M$18+J213*Upgrades!$N$18)*POWER(Upgrades!$O$18,J213)))*(IF(Upgrades!$T$13="Binary Partner",POWER(Upgrades!$U$13,E213),1)*IF(Upgrades!$T$14="Binary Partner",POWER(Upgrades!$U$14,F213),1)*IF(Upgrades!$T$15="Binary Partner",POWER(Upgrades!$U$15,G213),1)*IF(Upgrades!$T$16="Binary Partner",POWER(Upgrades!$U$16,H213),1)*IF(Upgrades!$T$17="Binary Partner",POWER(Upgrades!$U$17,I213),1)*IF(Upgrades!$T$19="Binary Partner",POWER(Upgrades!$U$19,K213),1)*IF(Upgrades!$T$20="Binary Partner",POWER(Upgrades!$U$20,L213),1)*IF(Upgrades!$T$21="Binary Partner",POWER(Upgrades!$U$21,M213),1))+(IF(K213=0,0,(Upgrades!$M$19+K213*Upgrades!$N$19)*POWER(Upgrades!$O$19,K213)))*(IF(Upgrades!$T$13="Peculiar Velocity",POWER(Upgrades!$U$13,E213),1)*IF(Upgrades!$T$14="Peculiar Velocity",POWER(Upgrades!$U$14,F213),1)*IF(Upgrades!$T$15="Peculiar Velocity",POWER(Upgrades!$U$15,G213),1)*IF(Upgrades!$T$16="Peculiar Velocity",POWER(Upgrades!$U$16,H213),1)*IF(Upgrades!$T$17="Peculiar Velocity",POWER(Upgrades!$U$17,I213),1)*IF(Upgrades!$T$18="Peculiar Velocity",POWER(Upgrades!$U$18,J213),1)*IF(Upgrades!$T$20="Peculiar Velocity",POWER(Upgrades!$U$20,L213),1)*IF(Upgrades!$T$21="Peculiar Velocity",POWER(Upgrades!$U$21,M213),1))+(IF(L213=0,0,(Upgrades!$M$20+L213*Upgrades!$N$20)*POWER(Upgrades!$O$20,L213)))*(IF(Upgrades!$T$13="Open Cluster",POWER(Upgrades!$U$13,E213),1)*IF(Upgrades!$T$14="Open Cluster",POWER(Upgrades!$U$14,F213),1)*IF(Upgrades!$T$15="Open Cluster",POWER(Upgrades!$U$15,G213),1)*IF(Upgrades!$T$16="Open Cluster",POWER(Upgrades!$U$16,H213),1)*IF(Upgrades!$T$17="Open Cluster",POWER(Upgrades!$U$17,I213),1)*IF(Upgrades!$T$18="Open Cluster",POWER(Upgrades!$U$18,J213),1)*IF(Upgrades!$T$19="Open Cluster",POWER(Upgrades!$U$19,K213),1)*IF(Upgrades!$T$21="Open Cluster",POWER(Upgrades!$U$21,M213),1))+(IF(M213=0,0,(Upgrades!$M$21+M213*Upgrades!$N$21)*POWER(Upgrades!$O$21,M213)))*(IF(Upgrades!$T$13="Moving Group",POWER(Upgrades!$U$13,E213),1)*IF(Upgrades!$T$14="Moving Group",POWER(Upgrades!$U$14,F213),1)*IF(Upgrades!$T$15="Moving Group",POWER(Upgrades!$U$15,G213),1)*IF(Upgrades!$T$16="Moving Group",POWER(Upgrades!$U$16,H213),1)*IF(Upgrades!$T$17="Moving Group",POWER(Upgrades!$U$17,I213),1)*IF(Upgrades!$T$18="Moving Group",POWER(Upgrades!$U$18,J213),1)*IF(Upgrades!$T$19="Moving Group",POWER(Upgrades!$U$19,K213),1)*IF(Upgrades!$T$20="Moving Group",POWER(Upgrades!$U$20,L213),1)))*POWER(Upgrades!$R$13,E213)*POWER(Upgrades!$R$14,F213)*POWER(Upgrades!$R$15,G213)*POWER(Upgrades!$R$16,H213)*POWER(Upgrades!$R$17,I213)*POWER(Upgrades!$R$18,J213)*POWER(Upgrades!$R$19,K213)*POWER(Upgrades!$R$20,L213)*POWER(Upgrades!$R$21,M213)*$H$6+$E$6</f>
        <v/>
      </c>
      <c r="R213" s="27">
        <f>IF(N213=1,0,O213*Parameters!$B$10/60*Parameters!$B$11*10)</f>
        <v/>
      </c>
      <c r="S213" s="27">
        <f>IF(N213=1,0,Q213*O213*10)</f>
        <v/>
      </c>
      <c r="T213" s="27">
        <f>IF(N213=1,0,R213+S213+P213*10)</f>
        <v/>
      </c>
      <c r="U213" s="33">
        <f>BE213</f>
        <v/>
      </c>
      <c r="V213" s="22">
        <f>IF(U213="",0,IF(U213="transition",0,IF(U213="SK",AK213,IF(U213="LB",AL213,IF(U213="ML",AM213,IF(U213="RLO",AN213,IF(U213="BD",AO213,IF(U213="BiP",AP213,IF(U213="PV",AQ213,IF(U213="OC",AR213,IF(U213="MG",AS213,0))))))))))</f>
        <v/>
      </c>
      <c r="W213" s="27">
        <f>IF(U213="BiP",Upgrades!$F$18,IF(U213="PV",Upgrades!$F$19,IF(U213="OC",Upgrades!$F$20,IF(U213="MG",Upgrades!$F$21,IF(U213="transition",-Parameters!$B$18*Parameters!$B$19,0)))))</f>
        <v/>
      </c>
      <c r="X213" s="22">
        <f>C213+T213-V213</f>
        <v/>
      </c>
      <c r="Y213" s="30">
        <f>O213*Parameters!$B$10/60*Parameters!$B$11+Q213*O213+P213</f>
        <v/>
      </c>
      <c r="Z213" s="34">
        <f>IF(U213="transition","→ Tier 3 (Galactic Arm)",IF(U213="MG","Moving Group — pocket drifts together",IF(U213="OC","Open Cluster acquired",IF(U213="PV","Peculiar Velocity — passive multiplier active",IF(U213="BiP","Binary Partner — pair bond formed",IF(AND(AU213=1,N213=0,AT213&lt;&gt;1),"Cohesion ready (waiting on completionists)","")))))) </f>
        <v/>
      </c>
      <c r="AA213" s="27">
        <f>(IF(E213=0,0,(Upgrades!$G$13+E213*Upgrades!$H$13)*POWER(Upgrades!$I$13,E213)))*(IF(Upgrades!$T$14="Stellar Kinematics",POWER(Upgrades!$U$14,F213),1)*IF(Upgrades!$T$15="Stellar Kinematics",POWER(Upgrades!$U$15,G213),1)*IF(Upgrades!$T$16="Stellar Kinematics",POWER(Upgrades!$U$16,H213),1)*IF(Upgrades!$T$17="Stellar Kinematics",POWER(Upgrades!$U$17,I213),1)*IF(Upgrades!$T$18="Stellar Kinematics",POWER(Upgrades!$U$18,J213),1)*IF(Upgrades!$T$19="Stellar Kinematics",POWER(Upgrades!$U$19,K213),1)*IF(Upgrades!$T$20="Stellar Kinematics",POWER(Upgrades!$U$20,L213),1)*IF(Upgrades!$T$21="Stellar Kinematics",POWER(Upgrades!$U$21,M213),1))*POWER(Upgrades!$P$13,E213)*POWER(Upgrades!$P$14,F213)*POWER(Upgrades!$P$15,G213)*POWER(Upgrades!$P$16,H213)*POWER(Upgrades!$P$17,I213)*POWER(Upgrades!$P$18,J213)*POWER(Upgrades!$P$19,K213)*POWER(Upgrades!$P$20,L213)*POWER(Upgrades!$P$21,M213)*$F$6*60</f>
        <v/>
      </c>
      <c r="AB213" s="27">
        <f>(IF(F213=0,0,(Upgrades!$G$14+F213*Upgrades!$H$14)*POWER(Upgrades!$I$14,F213)))*(IF(Upgrades!$T$13="Local Bubble",POWER(Upgrades!$U$13,E213),1)*IF(Upgrades!$T$15="Local Bubble",POWER(Upgrades!$U$15,G213),1)*IF(Upgrades!$T$16="Local Bubble",POWER(Upgrades!$U$16,H213),1)*IF(Upgrades!$T$17="Local Bubble",POWER(Upgrades!$U$17,I213),1)*IF(Upgrades!$T$18="Local Bubble",POWER(Upgrades!$U$18,J213),1)*IF(Upgrades!$T$19="Local Bubble",POWER(Upgrades!$U$19,K213),1)*IF(Upgrades!$T$20="Local Bubble",POWER(Upgrades!$U$20,L213),1)*IF(Upgrades!$T$21="Local Bubble",POWER(Upgrades!$U$21,M213),1))*POWER(Upgrades!$P$13,E213)*POWER(Upgrades!$P$14,F213)*POWER(Upgrades!$P$15,G213)*POWER(Upgrades!$P$16,H213)*POWER(Upgrades!$P$17,I213)*POWER(Upgrades!$P$18,J213)*POWER(Upgrades!$P$19,K213)*POWER(Upgrades!$P$20,L213)*POWER(Upgrades!$P$21,M213)*$F$6*60</f>
        <v/>
      </c>
      <c r="AC213" s="27">
        <f>(IF(G213=0,0,(Upgrades!$J$15+G213*Upgrades!$K$15)*POWER(Upgrades!$L$15,G213)))*(IF(Upgrades!$T$13="Microlensing",POWER(Upgrades!$U$13,E213),1)*IF(Upgrades!$T$14="Microlensing",POWER(Upgrades!$U$14,F213),1)*IF(Upgrades!$T$16="Microlensing",POWER(Upgrades!$U$16,H213),1)*IF(Upgrades!$T$17="Microlensing",POWER(Upgrades!$U$17,I213),1)*IF(Upgrades!$T$18="Microlensing",POWER(Upgrades!$U$18,J213),1)*IF(Upgrades!$T$19="Microlensing",POWER(Upgrades!$U$19,K213),1)*IF(Upgrades!$T$20="Microlensing",POWER(Upgrades!$U$20,L213),1)*IF(Upgrades!$T$21="Microlensing",POWER(Upgrades!$U$21,M213),1))*POWER(Upgrades!$Q$13,E213)*POWER(Upgrades!$Q$14,F213)*POWER(Upgrades!$Q$15,G213)*POWER(Upgrades!$Q$16,H213)*POWER(Upgrades!$Q$17,I213)*POWER(Upgrades!$Q$18,J213)*POWER(Upgrades!$Q$19,K213)*POWER(Upgrades!$Q$20,L213)*POWER(Upgrades!$Q$21,M213)*$G$6*(Parameters!$B$10*Parameters!$B$11+Q213*60)</f>
        <v/>
      </c>
      <c r="AD213" s="27">
        <f>(IF(H213=0,0,(Upgrades!$M$16+H213*Upgrades!$N$16)*POWER(Upgrades!$O$16,H213)))*(IF(Upgrades!$T$13="Roche Lobe Overflow",POWER(Upgrades!$U$13,E213),1)*IF(Upgrades!$T$14="Roche Lobe Overflow",POWER(Upgrades!$U$14,F213),1)*IF(Upgrades!$T$15="Roche Lobe Overflow",POWER(Upgrades!$U$15,G213),1)*IF(Upgrades!$T$17="Roche Lobe Overflow",POWER(Upgrades!$U$17,I213),1)*IF(Upgrades!$T$18="Roche Lobe Overflow",POWER(Upgrades!$U$18,J213),1)*IF(Upgrades!$T$19="Roche Lobe Overflow",POWER(Upgrades!$U$19,K213),1)*IF(Upgrades!$T$20="Roche Lobe Overflow",POWER(Upgrades!$U$20,L213),1)*IF(Upgrades!$T$21="Roche Lobe Overflow",POWER(Upgrades!$U$21,M213),1))*POWER(Upgrades!$R$13,E213)*POWER(Upgrades!$R$14,F213)*POWER(Upgrades!$R$15,G213)*POWER(Upgrades!$R$16,H213)*POWER(Upgrades!$R$17,I213)*POWER(Upgrades!$R$18,J213)*POWER(Upgrades!$R$19,K213)*POWER(Upgrades!$R$20,L213)*POWER(Upgrades!$R$21,M213)*$H$6*O213*60</f>
        <v/>
      </c>
      <c r="AE213" s="27">
        <f>(IF(I213=0,0,(Upgrades!$G$17+I213*Upgrades!$H$17)*POWER(Upgrades!$I$17,I213)))*(IF(Upgrades!$T$13="Brown Dwarf",POWER(Upgrades!$U$13,E213),1)*IF(Upgrades!$T$14="Brown Dwarf",POWER(Upgrades!$U$14,F213),1)*IF(Upgrades!$T$15="Brown Dwarf",POWER(Upgrades!$U$15,G213),1)*IF(Upgrades!$T$16="Brown Dwarf",POWER(Upgrades!$U$16,H213),1)*IF(Upgrades!$T$18="Brown Dwarf",POWER(Upgrades!$U$18,J213),1)*IF(Upgrades!$T$19="Brown Dwarf",POWER(Upgrades!$U$19,K213),1)*IF(Upgrades!$T$20="Brown Dwarf",POWER(Upgrades!$U$20,L213),1)*IF(Upgrades!$T$21="Brown Dwarf",POWER(Upgrades!$U$21,M213),1))*POWER(Upgrades!$P$13,E213)*POWER(Upgrades!$P$14,F213)*POWER(Upgrades!$P$15,G213)*POWER(Upgrades!$P$16,H213)*POWER(Upgrades!$P$17,I213)*POWER(Upgrades!$P$18,J213)*POWER(Upgrades!$P$19,K213)*POWER(Upgrades!$P$20,L213)*POWER(Upgrades!$P$21,M213)*$F$6*60</f>
        <v/>
      </c>
      <c r="AF213" s="27" t="n">
        <v>0</v>
      </c>
      <c r="AG213" s="27" t="n">
        <v>0</v>
      </c>
      <c r="AH213" s="27" t="n">
        <v>0</v>
      </c>
      <c r="AI213" s="27">
        <f>(IF(M213=0,0,(Upgrades!$G$21+M213*Upgrades!$H$21)*POWER(Upgrades!$I$21,M213)))*(IF(Upgrades!$T$13="Moving Group",POWER(Upgrades!$U$13,E213),1)*IF(Upgrades!$T$14="Moving Group",POWER(Upgrades!$U$14,F213),1)*IF(Upgrades!$T$15="Moving Group",POWER(Upgrades!$U$15,G213),1)*IF(Upgrades!$T$16="Moving Group",POWER(Upgrades!$U$16,H213),1)*IF(Upgrades!$T$17="Moving Group",POWER(Upgrades!$U$17,I213),1)*IF(Upgrades!$T$18="Moving Group",POWER(Upgrades!$U$18,J213),1)*IF(Upgrades!$T$19="Moving Group",POWER(Upgrades!$U$19,K213),1)*IF(Upgrades!$T$20="Moving Group",POWER(Upgrades!$U$20,L213),1))*POWER(Upgrades!$P$13,E213)*POWER(Upgrades!$P$14,F213)*POWER(Upgrades!$P$15,G213)*POWER(Upgrades!$P$16,H213)*POWER(Upgrades!$P$17,I213)*POWER(Upgrades!$P$18,J213)*POWER(Upgrades!$P$19,K213)*POWER(Upgrades!$P$20,L213)*POWER(Upgrades!$P$21,M213)*$F$6*60</f>
        <v/>
      </c>
      <c r="AJ213" s="27">
        <f>$C$6*60</f>
        <v/>
      </c>
      <c r="AK213" s="22">
        <f>IF(E213&gt;=Upgrades!$E$13,"",Upgrades!$C$13*POWER(Upgrades!$D$13,E213))</f>
        <v/>
      </c>
      <c r="AL213" s="22">
        <f>IF(F213&gt;=Upgrades!$E$14,"",Upgrades!$C$14*POWER(Upgrades!$D$14,F213))</f>
        <v/>
      </c>
      <c r="AM213" s="22">
        <f>IF(G213&gt;=Upgrades!$E$15,"",Upgrades!$C$15*POWER(Upgrades!$D$15,G213))</f>
        <v/>
      </c>
      <c r="AN213" s="22">
        <f>IF(H213&gt;=Upgrades!$E$16,"",Upgrades!$C$16*POWER(Upgrades!$D$16,H213))</f>
        <v/>
      </c>
      <c r="AO213" s="22">
        <f>IF(I213&gt;=Upgrades!$E$17,"",Upgrades!$C$17*POWER(Upgrades!$D$17,I213))</f>
        <v/>
      </c>
      <c r="AP213" s="22">
        <f>IF(J213&gt;=Upgrades!$E$18,"",Upgrades!$C$18*POWER(Upgrades!$D$18,J213))</f>
        <v/>
      </c>
      <c r="AQ213" s="22">
        <f>IF(K213&gt;=Upgrades!$E$19,"",Upgrades!$C$19*POWER(Upgrades!$D$19,K213))</f>
        <v/>
      </c>
      <c r="AR213" s="22">
        <f>IF(L213&gt;=Upgrades!$E$20,"",Upgrades!$C$20*POWER(Upgrades!$D$20,L213))</f>
        <v/>
      </c>
      <c r="AS213" s="22">
        <f>IF(M213&gt;=Upgrades!$E$21,"",Upgrades!$C$21*POWER(Upgrades!$D$21,M213))</f>
        <v/>
      </c>
      <c r="AT213" s="26">
        <f>IF(AND(D213&gt;=Parameters!$B$18*Parameters!$B$19,(I213&gt;=Upgrades!$E$17)*(M213&gt;=Upgrades!$E$21)=1,N213=0),1,"")</f>
        <v/>
      </c>
      <c r="AU213" s="26">
        <f>IF(AND(D213&gt;=Parameters!$B$18*Parameters!$B$19,N213=0),1,"")</f>
        <v/>
      </c>
      <c r="AV213" s="22">
        <f>MIN(IF(ISNUMBER(AP213),AP213,9E15),IF(ISNUMBER(AQ213),AQ213,9E15),IF(ISNUMBER(AR213),AR213,9E15),IF(ISNUMBER(AS213),AS213,9E15))</f>
        <v/>
      </c>
      <c r="AW213" s="22">
        <f>MIN(IF(ISNUMBER(AK213),AK213,9E15),IF(ISNUMBER(AL213),AL213,9E15),IF(ISNUMBER(AM213),AM213,9E15),IF(ISNUMBER(AN213),AN213,9E15),IF(ISNUMBER(AO213),AO213,9E15))</f>
        <v/>
      </c>
      <c r="AX213" s="29">
        <f>IF(BD213&gt;Parameters!$B$21*(MAX(IF(AND(NOT(AND(AU213=1,AT213&lt;&gt;1)),ISNUMBER(AK213),AK213&lt;=(C213+T213)),AY213,0),IF(AND(NOT(AND(AU213=1,AT213&lt;&gt;1)),ISNUMBER(AL213),AL213&lt;=(C213+T213)),AZ213,0),IF(AND(NOT(AND(AU213=1,AT213&lt;&gt;1)),ISNUMBER(AM213),AM213&lt;=(C213+T213)),BA213,0),IF(AND(NOT(AND(AU213=1,AT213&lt;&gt;1)),ISNUMBER(AN213),AN213&lt;=(C213+T213)),BB213,0),IF(AND(ISNUMBER(AO213),AO213&lt;=(C213+T213)),BC213,0))),TRUE,FALSE)</f>
        <v/>
      </c>
      <c r="AY213" s="32">
        <f>IFERROR(Upgrades!$H$13*(POWER(Upgrades!$P$13,E213)*POWER(Upgrades!$P$14,F213)*POWER(Upgrades!$P$15,G213)*POWER(Upgrades!$P$16,H213)*POWER(Upgrades!$P$17,I213)*POWER(Upgrades!$P$18,J213)*POWER(Upgrades!$P$19,K213)*POWER(Upgrades!$P$20,L213)*POWER(Upgrades!$P$21,M213))*(IF(Upgrades!$T$14="Stellar Kinematics",POWER(Upgrades!$U$14,F213),1)*IF(Upgrades!$T$15="Stellar Kinematics",POWER(Upgrades!$U$15,G213),1)*IF(Upgrades!$T$16="Stellar Kinematics",POWER(Upgrades!$U$16,H213),1)*IF(Upgrades!$T$17="Stellar Kinematics",POWER(Upgrades!$U$17,I213),1)*IF(Upgrades!$T$18="Stellar Kinematics",POWER(Upgrades!$U$18,J213),1)*IF(Upgrades!$T$19="Stellar Kinematics",POWER(Upgrades!$U$19,K213),1)*IF(Upgrades!$T$20="Stellar Kinematics",POWER(Upgrades!$U$20,L213),1)*IF(Upgrades!$T$21="Stellar Kinematics",POWER(Upgrades!$U$21,M213),1))*$F$6/AK213,0)</f>
        <v/>
      </c>
      <c r="AZ213" s="32">
        <f>IFERROR(Upgrades!$H$14*(POWER(Upgrades!$P$13,E213)*POWER(Upgrades!$P$14,F213)*POWER(Upgrades!$P$15,G213)*POWER(Upgrades!$P$16,H213)*POWER(Upgrades!$P$17,I213)*POWER(Upgrades!$P$18,J213)*POWER(Upgrades!$P$19,K213)*POWER(Upgrades!$P$20,L213)*POWER(Upgrades!$P$21,M213))*(IF(Upgrades!$T$13="Local Bubble",POWER(Upgrades!$U$13,E213),1)*IF(Upgrades!$T$15="Local Bubble",POWER(Upgrades!$U$15,G213),1)*IF(Upgrades!$T$16="Local Bubble",POWER(Upgrades!$U$16,H213),1)*IF(Upgrades!$T$17="Local Bubble",POWER(Upgrades!$U$17,I213),1)*IF(Upgrades!$T$18="Local Bubble",POWER(Upgrades!$U$18,J213),1)*IF(Upgrades!$T$19="Local Bubble",POWER(Upgrades!$U$19,K213),1)*IF(Upgrades!$T$20="Local Bubble",POWER(Upgrades!$U$20,L213),1)*IF(Upgrades!$T$21="Local Bubble",POWER(Upgrades!$U$21,M213),1))*$F$6/AL213,0)</f>
        <v/>
      </c>
      <c r="BA213" s="32">
        <f>IFERROR(Upgrades!$K$15*(POWER(Upgrades!$Q$13,E213)*POWER(Upgrades!$Q$14,F213)*POWER(Upgrades!$Q$15,G213)*POWER(Upgrades!$Q$16,H213)*POWER(Upgrades!$Q$17,I213)*POWER(Upgrades!$Q$18,J213)*POWER(Upgrades!$Q$19,K213)*POWER(Upgrades!$Q$20,L213)*POWER(Upgrades!$Q$21,M213))*(IF(Upgrades!$T$13="Microlensing",POWER(Upgrades!$U$13,E213),1)*IF(Upgrades!$T$14="Microlensing",POWER(Upgrades!$U$14,F213),1)*IF(Upgrades!$T$16="Microlensing",POWER(Upgrades!$U$16,H213),1)*IF(Upgrades!$T$17="Microlensing",POWER(Upgrades!$U$17,I213),1)*IF(Upgrades!$T$18="Microlensing",POWER(Upgrades!$U$18,J213),1)*IF(Upgrades!$T$19="Microlensing",POWER(Upgrades!$U$19,K213),1)*IF(Upgrades!$T$20="Microlensing",POWER(Upgrades!$U$20,L213),1)*IF(Upgrades!$T$21="Microlensing",POWER(Upgrades!$U$21,M213),1))*$G$6*(Parameters!$B$10/60*Parameters!$B$11+Q213)/AM213,0)</f>
        <v/>
      </c>
      <c r="BB213" s="32">
        <f>IFERROR((Upgrades!$N$16*(POWER(Upgrades!$R$13,E213)*POWER(Upgrades!$R$14,F213)*POWER(Upgrades!$R$15,G213)*POWER(Upgrades!$R$16,H213)*POWER(Upgrades!$R$17,I213)*POWER(Upgrades!$R$18,J213)*POWER(Upgrades!$R$19,K213)*POWER(Upgrades!$R$20,L213)*POWER(Upgrades!$R$21,M213))*(IF(Upgrades!$T$13="Roche Lobe Overflow",POWER(Upgrades!$U$13,E213),1)*IF(Upgrades!$T$14="Roche Lobe Overflow",POWER(Upgrades!$U$14,F213),1)*IF(Upgrades!$T$15="Roche Lobe Overflow",POWER(Upgrades!$U$15,G213),1)*IF(Upgrades!$T$17="Roche Lobe Overflow",POWER(Upgrades!$U$17,I213),1)*IF(Upgrades!$T$18="Roche Lobe Overflow",POWER(Upgrades!$U$18,J213),1)*IF(Upgrades!$T$19="Roche Lobe Overflow",POWER(Upgrades!$U$19,K213),1)*IF(Upgrades!$T$20="Roche Lobe Overflow",POWER(Upgrades!$U$20,L213),1)*IF(Upgrades!$T$21="Roche Lobe Overflow",POWER(Upgrades!$U$21,M213),1))*$H$6*O213+((IF(F213=0,0,(Upgrades!$G$14+F213*Upgrades!$H$14)*POWER(Upgrades!$I$14,F213)))*(IF(Upgrades!$T$13="Local Bubble",POWER(Upgrades!$U$13,E213),1)*IF(Upgrades!$T$15="Local Bubble",POWER(Upgrades!$U$15,G213),1)*IF(Upgrades!$T$16="Local Bubble",POWER(Upgrades!$U$16,H213),1)*IF(Upgrades!$T$17="Local Bubble",POWER(Upgrades!$U$17,I213),1)*IF(Upgrades!$T$18="Local Bubble",POWER(Upgrades!$U$18,J213),1)*IF(Upgrades!$T$19="Local Bubble",POWER(Upgrades!$U$19,K213),1)*IF(Upgrades!$T$20="Local Bubble",POWER(Upgrades!$U$20,L213),1)*IF(Upgrades!$T$21="Local Bubble",POWER(Upgrades!$U$21,M213),1))*POWER(Upgrades!$P$13,E213)*POWER(Upgrades!$P$14,F213)*POWER(Upgrades!$P$15,G213)*POWER(Upgrades!$P$16,H213)*POWER(Upgrades!$P$17,I213)*POWER(Upgrades!$P$18,J213)*POWER(Upgrades!$P$19,K213)*POWER(Upgrades!$P$20,L213)*POWER(Upgrades!$P$21,M213)*$F$6)*0.05)/AN213,0)</f>
        <v/>
      </c>
      <c r="BC213" s="32">
        <f>IFERROR((Upgrades!$H$17*(POWER(Upgrades!$P$13,E213)*POWER(Upgrades!$P$14,F213)*POWER(Upgrades!$P$15,G213)*POWER(Upgrades!$P$16,H213)*POWER(Upgrades!$P$17,I213)*POWER(Upgrades!$P$18,J213)*POWER(Upgrades!$P$19,K213)*POWER(Upgrades!$P$20,L213)*POWER(Upgrades!$P$21,M213))*(IF(Upgrades!$T$13="Brown Dwarf",POWER(Upgrades!$U$13,E213),1)*IF(Upgrades!$T$14="Brown Dwarf",POWER(Upgrades!$U$14,F213),1)*IF(Upgrades!$T$15="Brown Dwarf",POWER(Upgrades!$U$15,G213),1)*IF(Upgrades!$T$16="Brown Dwarf",POWER(Upgrades!$U$16,H213),1)*IF(Upgrades!$T$18="Brown Dwarf",POWER(Upgrades!$U$18,J213),1)*IF(Upgrades!$T$19="Brown Dwarf",POWER(Upgrades!$U$19,K213),1)*IF(Upgrades!$T$20="Brown Dwarf",POWER(Upgrades!$U$20,L213),1)*IF(Upgrades!$T$21="Brown Dwarf",POWER(Upgrades!$U$21,M213),1))*$F$6+(((IF(H213=0,0,(Upgrades!$M$16+H213*Upgrades!$N$16)*POWER(Upgrades!$O$16,H213)))*(IF(Upgrades!$T$13="Roche Lobe Overflow",POWER(Upgrades!$U$13,E213),1)*IF(Upgrades!$T$14="Roche Lobe Overflow",POWER(Upgrades!$U$14,F213),1)*IF(Upgrades!$T$15="Roche Lobe Overflow",POWER(Upgrades!$U$15,G213),1)*IF(Upgrades!$T$17="Roche Lobe Overflow",POWER(Upgrades!$U$17,I213),1)*IF(Upgrades!$T$18="Roche Lobe Overflow",POWER(Upgrades!$U$18,J213),1)*IF(Upgrades!$T$19="Roche Lobe Overflow",POWER(Upgrades!$U$19,K213),1)*IF(Upgrades!$T$20="Roche Lobe Overflow",POWER(Upgrades!$U$20,L213),1)*IF(Upgrades!$T$21="Roche Lobe Overflow",POWER(Upgrades!$U$21,M213),1))*POWER(Upgrades!$R$13,E213)*POWER(Upgrades!$R$14,F213)*POWER(Upgrades!$R$15,G213)*POWER(Upgrades!$R$16,H213)*POWER(Upgrades!$R$17,I213)*POWER(Upgrades!$R$18,J213)*POWER(Upgrades!$R$19,K213)*POWER(Upgrades!$R$20,L213)*POWER(Upgrades!$R$21,M213)*$H$6)*O213)*0.10)/AO213,0)</f>
        <v/>
      </c>
      <c r="BD213" s="32">
        <f>MAX(IF(J213&gt;0,0,IFERROR(0.5*((IF(G213=0,0,(Upgrades!$J$15+G213*Upgrades!$K$15)*POWER(Upgrades!$L$15,G213)))*(IF(Upgrades!$T$13="Microlensing",POWER(Upgrades!$U$13,E213),1)*IF(Upgrades!$T$14="Microlensing",POWER(Upgrades!$U$14,F213),1)*IF(Upgrades!$T$16="Microlensing",POWER(Upgrades!$U$16,H213),1)*IF(Upgrades!$T$17="Microlensing",POWER(Upgrades!$U$17,I213),1)*IF(Upgrades!$T$18="Microlensing",POWER(Upgrades!$U$18,J213),1)*IF(Upgrades!$T$19="Microlensing",POWER(Upgrades!$U$19,K213),1)*IF(Upgrades!$T$20="Microlensing",POWER(Upgrades!$U$20,L213),1)*IF(Upgrades!$T$21="Microlensing",POWER(Upgrades!$U$21,M213),1))*(POWER(Upgrades!$Q$13,E213)*POWER(Upgrades!$Q$14,F213)*POWER(Upgrades!$Q$15,G213)*POWER(Upgrades!$Q$16,H213)*POWER(Upgrades!$Q$17,I213)*POWER(Upgrades!$Q$18,J213)*POWER(Upgrades!$Q$19,K213)*POWER(Upgrades!$Q$20,L213)*POWER(Upgrades!$Q$21,M213))*$G$6*(Parameters!$B$10/60*Parameters!$B$11+Q213))/Upgrades!$C$18,0)),IF(K213&gt;0,0,IFERROR(0.30*P213/Upgrades!$C$19,0)),IF(L213&gt;0,0,IFERROR(0.0001/Upgrades!$C$20,0)),IF(M213&gt;0,0,IFERROR((6.0*(POWER(Upgrades!$P$13,E213)*POWER(Upgrades!$P$14,F213)*POWER(Upgrades!$P$15,G213)*POWER(Upgrades!$P$16,H213)*POWER(Upgrades!$P$17,I213)*POWER(Upgrades!$P$18,J213)*POWER(Upgrades!$P$19,K213)*POWER(Upgrades!$P$20,L213)*POWER(Upgrades!$P$21,M213))*$F$6+0.20*O213*(Parameters!$B$10/60*Parameters!$B$11+Q213))/Upgrades!$C$21,0)),IF(AND(ISNUMBER(AK213),AK213&gt;(C213+T213)),AY213,0),IF(AND(ISNUMBER(AL213),AL213&gt;(C213+T213)),AZ213,0),IF(AND(ISNUMBER(AM213),AM213&gt;(C213+T213)),BA213,0),IF(AND(ISNUMBER(AN213),AN213&gt;(C213+T213)),BB213,0),IF(AND(ISNUMBER(AO213),AO213&gt;(C213+T213)),BC213,0))</f>
        <v/>
      </c>
      <c r="BE213" s="29">
        <f>IF(AT213=1,"transition",IF(MIN(IF(AND(J213=0,ISNUMBER(AP213),AP213&lt;=(C213+T213)),AP213,9E15),IF(AND(K213=0,ISNUMBER(AQ213),AQ213&lt;=(C213+T213)),AQ213,9E15),IF(AND(L213=0,ISNUMBER(AR213),AR213&lt;=(C213+T213)),AR213,9E15),IF(AND(M213=0,ISNUMBER(AS213),AS213&lt;=(C213+T213)),AS213,9E15))&lt;9E15,IF(AND(AND(J213=0,ISNUMBER(AP213),AP213&lt;=(C213+T213)),AP213=MIN(IF(AND(J213=0,ISNUMBER(AP213),AP213&lt;=(C213+T213)),AP213,9E15),IF(AND(K213=0,ISNUMBER(AQ213),AQ213&lt;=(C213+T213)),AQ213,9E15),IF(AND(L213=0,ISNUMBER(AR213),AR213&lt;=(C213+T213)),AR213,9E15),IF(AND(M213=0,ISNUMBER(AS213),AS213&lt;=(C213+T213)),AS213,9E15))),"BiP",IF(AND(AND(K213=0,ISNUMBER(AQ213),AQ213&lt;=(C213+T213)),AQ213=MIN(IF(AND(J213=0,ISNUMBER(AP213),AP213&lt;=(C213+T213)),AP213,9E15),IF(AND(K213=0,ISNUMBER(AQ213),AQ213&lt;=(C213+T213)),AQ213,9E15),IF(AND(L213=0,ISNUMBER(AR213),AR213&lt;=(C213+T213)),AR213,9E15),IF(AND(M213=0,ISNUMBER(AS213),AS213&lt;=(C213+T213)),AS213,9E15))),"PV",IF(AND(AND(L213=0,ISNUMBER(AR213),AR213&lt;=(C213+T213)),AR213=MIN(IF(AND(J213=0,ISNUMBER(AP213),AP213&lt;=(C213+T213)),AP213,9E15),IF(AND(K213=0,ISNUMBER(AQ213),AQ213&lt;=(C213+T213)),AQ213,9E15),IF(AND(L213=0,ISNUMBER(AR213),AR213&lt;=(C213+T213)),AR213,9E15),IF(AND(M213=0,ISNUMBER(AS213),AS213&lt;=(C213+T213)),AS213,9E15))),"OC","MG"))),IF(AX213=TRUE,"",IF(MAX(IF(AND(NOT(AND(AU213=1,AT213&lt;&gt;1)),ISNUMBER(AK213),AK213&lt;=(C213+T213)),AY213,0),IF(AND(NOT(AND(AU213=1,AT213&lt;&gt;1)),ISNUMBER(AL213),AL213&lt;=(C213+T213)),AZ213,0),IF(AND(NOT(AND(AU213=1,AT213&lt;&gt;1)),ISNUMBER(AM213),AM213&lt;=(C213+T213)),BA213,0),IF(AND(NOT(AND(AU213=1,AT213&lt;&gt;1)),ISNUMBER(AN213),AN213&lt;=(C213+T213)),BB213,0),IF(AND(ISNUMBER(AO213),AO213&lt;=(C213+T213)),BC213,0))&lt;=0,"",IF(AND(IF(AND(NOT(AND(AU213=1,AT213&lt;&gt;1)),ISNUMBER(AK213),AK213&lt;=(C213+T213)),AY213,0)&gt;0,IF(AND(NOT(AND(AU213=1,AT213&lt;&gt;1)),ISNUMBER(AK213),AK213&lt;=(C213+T213)),AY213,0)=MAX(IF(AND(NOT(AND(AU213=1,AT213&lt;&gt;1)),ISNUMBER(AK213),AK213&lt;=(C213+T213)),AY213,0),IF(AND(NOT(AND(AU213=1,AT213&lt;&gt;1)),ISNUMBER(AL213),AL213&lt;=(C213+T213)),AZ213,0),IF(AND(NOT(AND(AU213=1,AT213&lt;&gt;1)),ISNUMBER(AM213),AM213&lt;=(C213+T213)),BA213,0),IF(AND(NOT(AND(AU213=1,AT213&lt;&gt;1)),ISNUMBER(AN213),AN213&lt;=(C213+T213)),BB213,0),IF(AND(ISNUMBER(AO213),AO213&lt;=(C213+T213)),BC213,0))),"SK",IF(AND(IF(AND(NOT(AND(AU213=1,AT213&lt;&gt;1)),ISNUMBER(AL213),AL213&lt;=(C213+T213)),AZ213,0)&gt;0,IF(AND(NOT(AND(AU213=1,AT213&lt;&gt;1)),ISNUMBER(AL213),AL213&lt;=(C213+T213)),AZ213,0)=MAX(IF(AND(NOT(AND(AU213=1,AT213&lt;&gt;1)),ISNUMBER(AK213),AK213&lt;=(C213+T213)),AY213,0),IF(AND(NOT(AND(AU213=1,AT213&lt;&gt;1)),ISNUMBER(AL213),AL213&lt;=(C213+T213)),AZ213,0),IF(AND(NOT(AND(AU213=1,AT213&lt;&gt;1)),ISNUMBER(AM213),AM213&lt;=(C213+T213)),BA213,0),IF(AND(NOT(AND(AU213=1,AT213&lt;&gt;1)),ISNUMBER(AN213),AN213&lt;=(C213+T213)),BB213,0),IF(AND(ISNUMBER(AO213),AO213&lt;=(C213+T213)),BC213,0))),"LB",IF(AND(IF(AND(NOT(AND(AU213=1,AT213&lt;&gt;1)),ISNUMBER(AM213),AM213&lt;=(C213+T213)),BA213,0)&gt;0,IF(AND(NOT(AND(AU213=1,AT213&lt;&gt;1)),ISNUMBER(AM213),AM213&lt;=(C213+T213)),BA213,0)=MAX(IF(AND(NOT(AND(AU213=1,AT213&lt;&gt;1)),ISNUMBER(AK213),AK213&lt;=(C213+T213)),AY213,0),IF(AND(NOT(AND(AU213=1,AT213&lt;&gt;1)),ISNUMBER(AL213),AL213&lt;=(C213+T213)),AZ213,0),IF(AND(NOT(AND(AU213=1,AT213&lt;&gt;1)),ISNUMBER(AM213),AM213&lt;=(C213+T213)),BA213,0),IF(AND(NOT(AND(AU213=1,AT213&lt;&gt;1)),ISNUMBER(AN213),AN213&lt;=(C213+T213)),BB213,0),IF(AND(ISNUMBER(AO213),AO213&lt;=(C213+T213)),BC213,0))),"ML",IF(AND(IF(AND(NOT(AND(AU213=1,AT213&lt;&gt;1)),ISNUMBER(AN213),AN213&lt;=(C213+T213)),BB213,0)&gt;0,IF(AND(NOT(AND(AU213=1,AT213&lt;&gt;1)),ISNUMBER(AN213),AN213&lt;=(C213+T213)),BB213,0)=MAX(IF(AND(NOT(AND(AU213=1,AT213&lt;&gt;1)),ISNUMBER(AK213),AK213&lt;=(C213+T213)),AY213,0),IF(AND(NOT(AND(AU213=1,AT213&lt;&gt;1)),ISNUMBER(AL213),AL213&lt;=(C213+T213)),AZ213,0),IF(AND(NOT(AND(AU213=1,AT213&lt;&gt;1)),ISNUMBER(AM213),AM213&lt;=(C213+T213)),BA213,0),IF(AND(NOT(AND(AU213=1,AT213&lt;&gt;1)),ISNUMBER(AN213),AN213&lt;=(C213+T213)),BB213,0),IF(AND(ISNUMBER(AO213),AO213&lt;=(C213+T213)),BC213,0))),"RLO","BD"))))))))</f>
        <v/>
      </c>
    </row>
    <row r="214">
      <c r="A214" s="26" t="n">
        <v>203</v>
      </c>
      <c r="B214" s="27">
        <f>A214*10/60</f>
        <v/>
      </c>
      <c r="C214" s="22">
        <f>X213</f>
        <v/>
      </c>
      <c r="D214" s="27">
        <f>D213+W213</f>
        <v/>
      </c>
      <c r="E214" s="26">
        <f>E213+IF(U213="SK",1,0)</f>
        <v/>
      </c>
      <c r="F214" s="26">
        <f>F213+IF(U213="LB",1,0)</f>
        <v/>
      </c>
      <c r="G214" s="26">
        <f>G213+IF(U213="ML",1,0)</f>
        <v/>
      </c>
      <c r="H214" s="26">
        <f>H213+IF(U213="RLO",1,0)</f>
        <v/>
      </c>
      <c r="I214" s="26">
        <f>I213+IF(U213="BD",1,0)</f>
        <v/>
      </c>
      <c r="J214" s="26">
        <f>MAX(J213,IF(U213="BiP",1,0))</f>
        <v/>
      </c>
      <c r="K214" s="26">
        <f>MAX(K213,IF(U213="PV",1,0))</f>
        <v/>
      </c>
      <c r="L214" s="26">
        <f>MAX(L213,IF(U213="OC",1,0))</f>
        <v/>
      </c>
      <c r="M214" s="26">
        <f>MAX(M213,IF(U213="MG",1,0))</f>
        <v/>
      </c>
      <c r="N214" s="26">
        <f>MAX(N213,IF(U213="transition",1,0))</f>
        <v/>
      </c>
      <c r="O214" s="28">
        <f>(Parameters!$B$9+(IF(E214=0,0,(Upgrades!$J$13+E214*Upgrades!$K$13)*POWER(Upgrades!$L$13,E214)))*(IF(Upgrades!$T$14="Stellar Kinematics",POWER(Upgrades!$U$14,F214),1)*IF(Upgrades!$T$15="Stellar Kinematics",POWER(Upgrades!$U$15,G214),1)*IF(Upgrades!$T$16="Stellar Kinematics",POWER(Upgrades!$U$16,H214),1)*IF(Upgrades!$T$17="Stellar Kinematics",POWER(Upgrades!$U$17,I214),1)*IF(Upgrades!$T$18="Stellar Kinematics",POWER(Upgrades!$U$18,J214),1)*IF(Upgrades!$T$19="Stellar Kinematics",POWER(Upgrades!$U$19,K214),1)*IF(Upgrades!$T$20="Stellar Kinematics",POWER(Upgrades!$U$20,L214),1)*IF(Upgrades!$T$21="Stellar Kinematics",POWER(Upgrades!$U$21,M214),1))+(IF(F214=0,0,(Upgrades!$J$14+F214*Upgrades!$K$14)*POWER(Upgrades!$L$14,F214)))*(IF(Upgrades!$T$13="Local Bubble",POWER(Upgrades!$U$13,E214),1)*IF(Upgrades!$T$15="Local Bubble",POWER(Upgrades!$U$15,G214),1)*IF(Upgrades!$T$16="Local Bubble",POWER(Upgrades!$U$16,H214),1)*IF(Upgrades!$T$17="Local Bubble",POWER(Upgrades!$U$17,I214),1)*IF(Upgrades!$T$18="Local Bubble",POWER(Upgrades!$U$18,J214),1)*IF(Upgrades!$T$19="Local Bubble",POWER(Upgrades!$U$19,K214),1)*IF(Upgrades!$T$20="Local Bubble",POWER(Upgrades!$U$20,L214),1)*IF(Upgrades!$T$21="Local Bubble",POWER(Upgrades!$U$21,M214),1))+(IF(G214=0,0,(Upgrades!$J$15+G214*Upgrades!$K$15)*POWER(Upgrades!$L$15,G214)))*(IF(Upgrades!$T$13="Microlensing",POWER(Upgrades!$U$13,E214),1)*IF(Upgrades!$T$14="Microlensing",POWER(Upgrades!$U$14,F214),1)*IF(Upgrades!$T$16="Microlensing",POWER(Upgrades!$U$16,H214),1)*IF(Upgrades!$T$17="Microlensing",POWER(Upgrades!$U$17,I214),1)*IF(Upgrades!$T$18="Microlensing",POWER(Upgrades!$U$18,J214),1)*IF(Upgrades!$T$19="Microlensing",POWER(Upgrades!$U$19,K214),1)*IF(Upgrades!$T$20="Microlensing",POWER(Upgrades!$U$20,L214),1)*IF(Upgrades!$T$21="Microlensing",POWER(Upgrades!$U$21,M214),1))+(IF(H214=0,0,(Upgrades!$J$16+H214*Upgrades!$K$16)*POWER(Upgrades!$L$16,H214)))*(IF(Upgrades!$T$13="Roche Lobe Overflow",POWER(Upgrades!$U$13,E214),1)*IF(Upgrades!$T$14="Roche Lobe Overflow",POWER(Upgrades!$U$14,F214),1)*IF(Upgrades!$T$15="Roche Lobe Overflow",POWER(Upgrades!$U$15,G214),1)*IF(Upgrades!$T$17="Roche Lobe Overflow",POWER(Upgrades!$U$17,I214),1)*IF(Upgrades!$T$18="Roche Lobe Overflow",POWER(Upgrades!$U$18,J214),1)*IF(Upgrades!$T$19="Roche Lobe Overflow",POWER(Upgrades!$U$19,K214),1)*IF(Upgrades!$T$20="Roche Lobe Overflow",POWER(Upgrades!$U$20,L214),1)*IF(Upgrades!$T$21="Roche Lobe Overflow",POWER(Upgrades!$U$21,M214),1))+(IF(I214=0,0,(Upgrades!$J$17+I214*Upgrades!$K$17)*POWER(Upgrades!$L$17,I214)))*(IF(Upgrades!$T$13="Brown Dwarf",POWER(Upgrades!$U$13,E214),1)*IF(Upgrades!$T$14="Brown Dwarf",POWER(Upgrades!$U$14,F214),1)*IF(Upgrades!$T$15="Brown Dwarf",POWER(Upgrades!$U$15,G214),1)*IF(Upgrades!$T$16="Brown Dwarf",POWER(Upgrades!$U$16,H214),1)*IF(Upgrades!$T$18="Brown Dwarf",POWER(Upgrades!$U$18,J214),1)*IF(Upgrades!$T$19="Brown Dwarf",POWER(Upgrades!$U$19,K214),1)*IF(Upgrades!$T$20="Brown Dwarf",POWER(Upgrades!$U$20,L214),1)*IF(Upgrades!$T$21="Brown Dwarf",POWER(Upgrades!$U$21,M214),1))+(IF(J214=0,0,(Upgrades!$J$18+J214*Upgrades!$K$18)*POWER(Upgrades!$L$18,J214)))*(IF(Upgrades!$T$13="Binary Partner",POWER(Upgrades!$U$13,E214),1)*IF(Upgrades!$T$14="Binary Partner",POWER(Upgrades!$U$14,F214),1)*IF(Upgrades!$T$15="Binary Partner",POWER(Upgrades!$U$15,G214),1)*IF(Upgrades!$T$16="Binary Partner",POWER(Upgrades!$U$16,H214),1)*IF(Upgrades!$T$17="Binary Partner",POWER(Upgrades!$U$17,I214),1)*IF(Upgrades!$T$19="Binary Partner",POWER(Upgrades!$U$19,K214),1)*IF(Upgrades!$T$20="Binary Partner",POWER(Upgrades!$U$20,L214),1)*IF(Upgrades!$T$21="Binary Partner",POWER(Upgrades!$U$21,M214),1))+(IF(K214=0,0,(Upgrades!$J$19+K214*Upgrades!$K$19)*POWER(Upgrades!$L$19,K214)))*(IF(Upgrades!$T$13="Peculiar Velocity",POWER(Upgrades!$U$13,E214),1)*IF(Upgrades!$T$14="Peculiar Velocity",POWER(Upgrades!$U$14,F214),1)*IF(Upgrades!$T$15="Peculiar Velocity",POWER(Upgrades!$U$15,G214),1)*IF(Upgrades!$T$16="Peculiar Velocity",POWER(Upgrades!$U$16,H214),1)*IF(Upgrades!$T$17="Peculiar Velocity",POWER(Upgrades!$U$17,I214),1)*IF(Upgrades!$T$18="Peculiar Velocity",POWER(Upgrades!$U$18,J214),1)*IF(Upgrades!$T$20="Peculiar Velocity",POWER(Upgrades!$U$20,L214),1)*IF(Upgrades!$T$21="Peculiar Velocity",POWER(Upgrades!$U$21,M214),1))+(IF(L214=0,0,(Upgrades!$J$20+L214*Upgrades!$K$20)*POWER(Upgrades!$L$20,L214)))*(IF(Upgrades!$T$13="Open Cluster",POWER(Upgrades!$U$13,E214),1)*IF(Upgrades!$T$14="Open Cluster",POWER(Upgrades!$U$14,F214),1)*IF(Upgrades!$T$15="Open Cluster",POWER(Upgrades!$U$15,G214),1)*IF(Upgrades!$T$16="Open Cluster",POWER(Upgrades!$U$16,H214),1)*IF(Upgrades!$T$17="Open Cluster",POWER(Upgrades!$U$17,I214),1)*IF(Upgrades!$T$18="Open Cluster",POWER(Upgrades!$U$18,J214),1)*IF(Upgrades!$T$19="Open Cluster",POWER(Upgrades!$U$19,K214),1)*IF(Upgrades!$T$21="Open Cluster",POWER(Upgrades!$U$21,M214),1))+(IF(M214=0,0,(Upgrades!$J$21+M214*Upgrades!$K$21)*POWER(Upgrades!$L$21,M214)))*(IF(Upgrades!$T$13="Moving Group",POWER(Upgrades!$U$13,E214),1)*IF(Upgrades!$T$14="Moving Group",POWER(Upgrades!$U$14,F214),1)*IF(Upgrades!$T$15="Moving Group",POWER(Upgrades!$U$15,G214),1)*IF(Upgrades!$T$16="Moving Group",POWER(Upgrades!$U$16,H214),1)*IF(Upgrades!$T$17="Moving Group",POWER(Upgrades!$U$17,I214),1)*IF(Upgrades!$T$18="Moving Group",POWER(Upgrades!$U$18,J214),1)*IF(Upgrades!$T$19="Moving Group",POWER(Upgrades!$U$19,K214),1)*IF(Upgrades!$T$20="Moving Group",POWER(Upgrades!$U$20,L214),1)))*POWER(Upgrades!$Q$13,E214)*POWER(Upgrades!$Q$14,F214)*POWER(Upgrades!$Q$15,G214)*POWER(Upgrades!$Q$16,H214)*POWER(Upgrades!$Q$17,I214)*POWER(Upgrades!$Q$18,J214)*POWER(Upgrades!$Q$19,K214)*POWER(Upgrades!$Q$20,L214)*POWER(Upgrades!$Q$21,M214)*$G$6+$D$6</f>
        <v/>
      </c>
      <c r="P214" s="28">
        <f>((IF(E214=0,0,(Upgrades!$G$13+E214*Upgrades!$H$13)*POWER(Upgrades!$I$13,E214)))*(IF(Upgrades!$T$14="Stellar Kinematics",POWER(Upgrades!$U$14,F214),1)*IF(Upgrades!$T$15="Stellar Kinematics",POWER(Upgrades!$U$15,G214),1)*IF(Upgrades!$T$16="Stellar Kinematics",POWER(Upgrades!$U$16,H214),1)*IF(Upgrades!$T$17="Stellar Kinematics",POWER(Upgrades!$U$17,I214),1)*IF(Upgrades!$T$18="Stellar Kinematics",POWER(Upgrades!$U$18,J214),1)*IF(Upgrades!$T$19="Stellar Kinematics",POWER(Upgrades!$U$19,K214),1)*IF(Upgrades!$T$20="Stellar Kinematics",POWER(Upgrades!$U$20,L214),1)*IF(Upgrades!$T$21="Stellar Kinematics",POWER(Upgrades!$U$21,M214),1))+(IF(F214=0,0,(Upgrades!$G$14+F214*Upgrades!$H$14)*POWER(Upgrades!$I$14,F214)))*(IF(Upgrades!$T$13="Local Bubble",POWER(Upgrades!$U$13,E214),1)*IF(Upgrades!$T$15="Local Bubble",POWER(Upgrades!$U$15,G214),1)*IF(Upgrades!$T$16="Local Bubble",POWER(Upgrades!$U$16,H214),1)*IF(Upgrades!$T$17="Local Bubble",POWER(Upgrades!$U$17,I214),1)*IF(Upgrades!$T$18="Local Bubble",POWER(Upgrades!$U$18,J214),1)*IF(Upgrades!$T$19="Local Bubble",POWER(Upgrades!$U$19,K214),1)*IF(Upgrades!$T$20="Local Bubble",POWER(Upgrades!$U$20,L214),1)*IF(Upgrades!$T$21="Local Bubble",POWER(Upgrades!$U$21,M214),1))+(IF(G214=0,0,(Upgrades!$G$15+G214*Upgrades!$H$15)*POWER(Upgrades!$I$15,G214)))*(IF(Upgrades!$T$13="Microlensing",POWER(Upgrades!$U$13,E214),1)*IF(Upgrades!$T$14="Microlensing",POWER(Upgrades!$U$14,F214),1)*IF(Upgrades!$T$16="Microlensing",POWER(Upgrades!$U$16,H214),1)*IF(Upgrades!$T$17="Microlensing",POWER(Upgrades!$U$17,I214),1)*IF(Upgrades!$T$18="Microlensing",POWER(Upgrades!$U$18,J214),1)*IF(Upgrades!$T$19="Microlensing",POWER(Upgrades!$U$19,K214),1)*IF(Upgrades!$T$20="Microlensing",POWER(Upgrades!$U$20,L214),1)*IF(Upgrades!$T$21="Microlensing",POWER(Upgrades!$U$21,M214),1))+(IF(H214=0,0,(Upgrades!$G$16+H214*Upgrades!$H$16)*POWER(Upgrades!$I$16,H214)))*(IF(Upgrades!$T$13="Roche Lobe Overflow",POWER(Upgrades!$U$13,E214),1)*IF(Upgrades!$T$14="Roche Lobe Overflow",POWER(Upgrades!$U$14,F214),1)*IF(Upgrades!$T$15="Roche Lobe Overflow",POWER(Upgrades!$U$15,G214),1)*IF(Upgrades!$T$17="Roche Lobe Overflow",POWER(Upgrades!$U$17,I214),1)*IF(Upgrades!$T$18="Roche Lobe Overflow",POWER(Upgrades!$U$18,J214),1)*IF(Upgrades!$T$19="Roche Lobe Overflow",POWER(Upgrades!$U$19,K214),1)*IF(Upgrades!$T$20="Roche Lobe Overflow",POWER(Upgrades!$U$20,L214),1)*IF(Upgrades!$T$21="Roche Lobe Overflow",POWER(Upgrades!$U$21,M214),1))+(IF(I214=0,0,(Upgrades!$G$17+I214*Upgrades!$H$17)*POWER(Upgrades!$I$17,I214)))*(IF(Upgrades!$T$13="Brown Dwarf",POWER(Upgrades!$U$13,E214),1)*IF(Upgrades!$T$14="Brown Dwarf",POWER(Upgrades!$U$14,F214),1)*IF(Upgrades!$T$15="Brown Dwarf",POWER(Upgrades!$U$15,G214),1)*IF(Upgrades!$T$16="Brown Dwarf",POWER(Upgrades!$U$16,H214),1)*IF(Upgrades!$T$18="Brown Dwarf",POWER(Upgrades!$U$18,J214),1)*IF(Upgrades!$T$19="Brown Dwarf",POWER(Upgrades!$U$19,K214),1)*IF(Upgrades!$T$20="Brown Dwarf",POWER(Upgrades!$U$20,L214),1)*IF(Upgrades!$T$21="Brown Dwarf",POWER(Upgrades!$U$21,M214),1))+(IF(J214=0,0,(Upgrades!$G$18+J214*Upgrades!$H$18)*POWER(Upgrades!$I$18,J214)))*(IF(Upgrades!$T$13="Binary Partner",POWER(Upgrades!$U$13,E214),1)*IF(Upgrades!$T$14="Binary Partner",POWER(Upgrades!$U$14,F214),1)*IF(Upgrades!$T$15="Binary Partner",POWER(Upgrades!$U$15,G214),1)*IF(Upgrades!$T$16="Binary Partner",POWER(Upgrades!$U$16,H214),1)*IF(Upgrades!$T$17="Binary Partner",POWER(Upgrades!$U$17,I214),1)*IF(Upgrades!$T$19="Binary Partner",POWER(Upgrades!$U$19,K214),1)*IF(Upgrades!$T$20="Binary Partner",POWER(Upgrades!$U$20,L214),1)*IF(Upgrades!$T$21="Binary Partner",POWER(Upgrades!$U$21,M214),1))+(IF(K214=0,0,(Upgrades!$G$19+K214*Upgrades!$H$19)*POWER(Upgrades!$I$19,K214)))*(IF(Upgrades!$T$13="Peculiar Velocity",POWER(Upgrades!$U$13,E214),1)*IF(Upgrades!$T$14="Peculiar Velocity",POWER(Upgrades!$U$14,F214),1)*IF(Upgrades!$T$15="Peculiar Velocity",POWER(Upgrades!$U$15,G214),1)*IF(Upgrades!$T$16="Peculiar Velocity",POWER(Upgrades!$U$16,H214),1)*IF(Upgrades!$T$17="Peculiar Velocity",POWER(Upgrades!$U$17,I214),1)*IF(Upgrades!$T$18="Peculiar Velocity",POWER(Upgrades!$U$18,J214),1)*IF(Upgrades!$T$20="Peculiar Velocity",POWER(Upgrades!$U$20,L214),1)*IF(Upgrades!$T$21="Peculiar Velocity",POWER(Upgrades!$U$21,M214),1))+(IF(L214=0,0,(Upgrades!$G$20+L214*Upgrades!$H$20)*POWER(Upgrades!$I$20,L214)))*(IF(Upgrades!$T$13="Open Cluster",POWER(Upgrades!$U$13,E214),1)*IF(Upgrades!$T$14="Open Cluster",POWER(Upgrades!$U$14,F214),1)*IF(Upgrades!$T$15="Open Cluster",POWER(Upgrades!$U$15,G214),1)*IF(Upgrades!$T$16="Open Cluster",POWER(Upgrades!$U$16,H214),1)*IF(Upgrades!$T$17="Open Cluster",POWER(Upgrades!$U$17,I214),1)*IF(Upgrades!$T$18="Open Cluster",POWER(Upgrades!$U$18,J214),1)*IF(Upgrades!$T$19="Open Cluster",POWER(Upgrades!$U$19,K214),1)*IF(Upgrades!$T$21="Open Cluster",POWER(Upgrades!$U$21,M214),1))+(IF(M214=0,0,(Upgrades!$G$21+M214*Upgrades!$H$21)*POWER(Upgrades!$I$21,M214)))*(IF(Upgrades!$T$13="Moving Group",POWER(Upgrades!$U$13,E214),1)*IF(Upgrades!$T$14="Moving Group",POWER(Upgrades!$U$14,F214),1)*IF(Upgrades!$T$15="Moving Group",POWER(Upgrades!$U$15,G214),1)*IF(Upgrades!$T$16="Moving Group",POWER(Upgrades!$U$16,H214),1)*IF(Upgrades!$T$17="Moving Group",POWER(Upgrades!$U$17,I214),1)*IF(Upgrades!$T$18="Moving Group",POWER(Upgrades!$U$18,J214),1)*IF(Upgrades!$T$19="Moving Group",POWER(Upgrades!$U$19,K214),1)*IF(Upgrades!$T$20="Moving Group",POWER(Upgrades!$U$20,L214),1)))*POWER(Upgrades!$P$13,E214)*POWER(Upgrades!$P$14,F214)*POWER(Upgrades!$P$15,G214)*POWER(Upgrades!$P$16,H214)*POWER(Upgrades!$P$17,I214)*POWER(Upgrades!$P$18,J214)*POWER(Upgrades!$P$19,K214)*POWER(Upgrades!$P$20,L214)*POWER(Upgrades!$P$21,M214)*$F$6+$C$6</f>
        <v/>
      </c>
      <c r="Q214" s="28">
        <f>((IF(E214=0,0,(Upgrades!$M$13+E214*Upgrades!$N$13)*POWER(Upgrades!$O$13,E214)))*(IF(Upgrades!$T$14="Stellar Kinematics",POWER(Upgrades!$U$14,F214),1)*IF(Upgrades!$T$15="Stellar Kinematics",POWER(Upgrades!$U$15,G214),1)*IF(Upgrades!$T$16="Stellar Kinematics",POWER(Upgrades!$U$16,H214),1)*IF(Upgrades!$T$17="Stellar Kinematics",POWER(Upgrades!$U$17,I214),1)*IF(Upgrades!$T$18="Stellar Kinematics",POWER(Upgrades!$U$18,J214),1)*IF(Upgrades!$T$19="Stellar Kinematics",POWER(Upgrades!$U$19,K214),1)*IF(Upgrades!$T$20="Stellar Kinematics",POWER(Upgrades!$U$20,L214),1)*IF(Upgrades!$T$21="Stellar Kinematics",POWER(Upgrades!$U$21,M214),1))+(IF(F214=0,0,(Upgrades!$M$14+F214*Upgrades!$N$14)*POWER(Upgrades!$O$14,F214)))*(IF(Upgrades!$T$13="Local Bubble",POWER(Upgrades!$U$13,E214),1)*IF(Upgrades!$T$15="Local Bubble",POWER(Upgrades!$U$15,G214),1)*IF(Upgrades!$T$16="Local Bubble",POWER(Upgrades!$U$16,H214),1)*IF(Upgrades!$T$17="Local Bubble",POWER(Upgrades!$U$17,I214),1)*IF(Upgrades!$T$18="Local Bubble",POWER(Upgrades!$U$18,J214),1)*IF(Upgrades!$T$19="Local Bubble",POWER(Upgrades!$U$19,K214),1)*IF(Upgrades!$T$20="Local Bubble",POWER(Upgrades!$U$20,L214),1)*IF(Upgrades!$T$21="Local Bubble",POWER(Upgrades!$U$21,M214),1))+(IF(G214=0,0,(Upgrades!$M$15+G214*Upgrades!$N$15)*POWER(Upgrades!$O$15,G214)))*(IF(Upgrades!$T$13="Microlensing",POWER(Upgrades!$U$13,E214),1)*IF(Upgrades!$T$14="Microlensing",POWER(Upgrades!$U$14,F214),1)*IF(Upgrades!$T$16="Microlensing",POWER(Upgrades!$U$16,H214),1)*IF(Upgrades!$T$17="Microlensing",POWER(Upgrades!$U$17,I214),1)*IF(Upgrades!$T$18="Microlensing",POWER(Upgrades!$U$18,J214),1)*IF(Upgrades!$T$19="Microlensing",POWER(Upgrades!$U$19,K214),1)*IF(Upgrades!$T$20="Microlensing",POWER(Upgrades!$U$20,L214),1)*IF(Upgrades!$T$21="Microlensing",POWER(Upgrades!$U$21,M214),1))+(IF(H214=0,0,(Upgrades!$M$16+H214*Upgrades!$N$16)*POWER(Upgrades!$O$16,H214)))*(IF(Upgrades!$T$13="Roche Lobe Overflow",POWER(Upgrades!$U$13,E214),1)*IF(Upgrades!$T$14="Roche Lobe Overflow",POWER(Upgrades!$U$14,F214),1)*IF(Upgrades!$T$15="Roche Lobe Overflow",POWER(Upgrades!$U$15,G214),1)*IF(Upgrades!$T$17="Roche Lobe Overflow",POWER(Upgrades!$U$17,I214),1)*IF(Upgrades!$T$18="Roche Lobe Overflow",POWER(Upgrades!$U$18,J214),1)*IF(Upgrades!$T$19="Roche Lobe Overflow",POWER(Upgrades!$U$19,K214),1)*IF(Upgrades!$T$20="Roche Lobe Overflow",POWER(Upgrades!$U$20,L214),1)*IF(Upgrades!$T$21="Roche Lobe Overflow",POWER(Upgrades!$U$21,M214),1))+(IF(I214=0,0,(Upgrades!$M$17+I214*Upgrades!$N$17)*POWER(Upgrades!$O$17,I214)))*(IF(Upgrades!$T$13="Brown Dwarf",POWER(Upgrades!$U$13,E214),1)*IF(Upgrades!$T$14="Brown Dwarf",POWER(Upgrades!$U$14,F214),1)*IF(Upgrades!$T$15="Brown Dwarf",POWER(Upgrades!$U$15,G214),1)*IF(Upgrades!$T$16="Brown Dwarf",POWER(Upgrades!$U$16,H214),1)*IF(Upgrades!$T$18="Brown Dwarf",POWER(Upgrades!$U$18,J214),1)*IF(Upgrades!$T$19="Brown Dwarf",POWER(Upgrades!$U$19,K214),1)*IF(Upgrades!$T$20="Brown Dwarf",POWER(Upgrades!$U$20,L214),1)*IF(Upgrades!$T$21="Brown Dwarf",POWER(Upgrades!$U$21,M214),1))+(IF(J214=0,0,(Upgrades!$M$18+J214*Upgrades!$N$18)*POWER(Upgrades!$O$18,J214)))*(IF(Upgrades!$T$13="Binary Partner",POWER(Upgrades!$U$13,E214),1)*IF(Upgrades!$T$14="Binary Partner",POWER(Upgrades!$U$14,F214),1)*IF(Upgrades!$T$15="Binary Partner",POWER(Upgrades!$U$15,G214),1)*IF(Upgrades!$T$16="Binary Partner",POWER(Upgrades!$U$16,H214),1)*IF(Upgrades!$T$17="Binary Partner",POWER(Upgrades!$U$17,I214),1)*IF(Upgrades!$T$19="Binary Partner",POWER(Upgrades!$U$19,K214),1)*IF(Upgrades!$T$20="Binary Partner",POWER(Upgrades!$U$20,L214),1)*IF(Upgrades!$T$21="Binary Partner",POWER(Upgrades!$U$21,M214),1))+(IF(K214=0,0,(Upgrades!$M$19+K214*Upgrades!$N$19)*POWER(Upgrades!$O$19,K214)))*(IF(Upgrades!$T$13="Peculiar Velocity",POWER(Upgrades!$U$13,E214),1)*IF(Upgrades!$T$14="Peculiar Velocity",POWER(Upgrades!$U$14,F214),1)*IF(Upgrades!$T$15="Peculiar Velocity",POWER(Upgrades!$U$15,G214),1)*IF(Upgrades!$T$16="Peculiar Velocity",POWER(Upgrades!$U$16,H214),1)*IF(Upgrades!$T$17="Peculiar Velocity",POWER(Upgrades!$U$17,I214),1)*IF(Upgrades!$T$18="Peculiar Velocity",POWER(Upgrades!$U$18,J214),1)*IF(Upgrades!$T$20="Peculiar Velocity",POWER(Upgrades!$U$20,L214),1)*IF(Upgrades!$T$21="Peculiar Velocity",POWER(Upgrades!$U$21,M214),1))+(IF(L214=0,0,(Upgrades!$M$20+L214*Upgrades!$N$20)*POWER(Upgrades!$O$20,L214)))*(IF(Upgrades!$T$13="Open Cluster",POWER(Upgrades!$U$13,E214),1)*IF(Upgrades!$T$14="Open Cluster",POWER(Upgrades!$U$14,F214),1)*IF(Upgrades!$T$15="Open Cluster",POWER(Upgrades!$U$15,G214),1)*IF(Upgrades!$T$16="Open Cluster",POWER(Upgrades!$U$16,H214),1)*IF(Upgrades!$T$17="Open Cluster",POWER(Upgrades!$U$17,I214),1)*IF(Upgrades!$T$18="Open Cluster",POWER(Upgrades!$U$18,J214),1)*IF(Upgrades!$T$19="Open Cluster",POWER(Upgrades!$U$19,K214),1)*IF(Upgrades!$T$21="Open Cluster",POWER(Upgrades!$U$21,M214),1))+(IF(M214=0,0,(Upgrades!$M$21+M214*Upgrades!$N$21)*POWER(Upgrades!$O$21,M214)))*(IF(Upgrades!$T$13="Moving Group",POWER(Upgrades!$U$13,E214),1)*IF(Upgrades!$T$14="Moving Group",POWER(Upgrades!$U$14,F214),1)*IF(Upgrades!$T$15="Moving Group",POWER(Upgrades!$U$15,G214),1)*IF(Upgrades!$T$16="Moving Group",POWER(Upgrades!$U$16,H214),1)*IF(Upgrades!$T$17="Moving Group",POWER(Upgrades!$U$17,I214),1)*IF(Upgrades!$T$18="Moving Group",POWER(Upgrades!$U$18,J214),1)*IF(Upgrades!$T$19="Moving Group",POWER(Upgrades!$U$19,K214),1)*IF(Upgrades!$T$20="Moving Group",POWER(Upgrades!$U$20,L214),1)))*POWER(Upgrades!$R$13,E214)*POWER(Upgrades!$R$14,F214)*POWER(Upgrades!$R$15,G214)*POWER(Upgrades!$R$16,H214)*POWER(Upgrades!$R$17,I214)*POWER(Upgrades!$R$18,J214)*POWER(Upgrades!$R$19,K214)*POWER(Upgrades!$R$20,L214)*POWER(Upgrades!$R$21,M214)*$H$6+$E$6</f>
        <v/>
      </c>
      <c r="R214" s="27">
        <f>IF(N214=1,0,O214*Parameters!$B$10/60*Parameters!$B$11*10)</f>
        <v/>
      </c>
      <c r="S214" s="27">
        <f>IF(N214=1,0,Q214*O214*10)</f>
        <v/>
      </c>
      <c r="T214" s="27">
        <f>IF(N214=1,0,R214+S214+P214*10)</f>
        <v/>
      </c>
      <c r="U214" s="33">
        <f>BE214</f>
        <v/>
      </c>
      <c r="V214" s="22">
        <f>IF(U214="",0,IF(U214="transition",0,IF(U214="SK",AK214,IF(U214="LB",AL214,IF(U214="ML",AM214,IF(U214="RLO",AN214,IF(U214="BD",AO214,IF(U214="BiP",AP214,IF(U214="PV",AQ214,IF(U214="OC",AR214,IF(U214="MG",AS214,0))))))))))</f>
        <v/>
      </c>
      <c r="W214" s="27">
        <f>IF(U214="BiP",Upgrades!$F$18,IF(U214="PV",Upgrades!$F$19,IF(U214="OC",Upgrades!$F$20,IF(U214="MG",Upgrades!$F$21,IF(U214="transition",-Parameters!$B$18*Parameters!$B$19,0)))))</f>
        <v/>
      </c>
      <c r="X214" s="22">
        <f>C214+T214-V214</f>
        <v/>
      </c>
      <c r="Y214" s="30">
        <f>O214*Parameters!$B$10/60*Parameters!$B$11+Q214*O214+P214</f>
        <v/>
      </c>
      <c r="Z214" s="34">
        <f>IF(U214="transition","→ Tier 3 (Galactic Arm)",IF(U214="MG","Moving Group — pocket drifts together",IF(U214="OC","Open Cluster acquired",IF(U214="PV","Peculiar Velocity — passive multiplier active",IF(U214="BiP","Binary Partner — pair bond formed",IF(AND(AU214=1,N214=0,AT214&lt;&gt;1),"Cohesion ready (waiting on completionists)","")))))) </f>
        <v/>
      </c>
      <c r="AA214" s="27">
        <f>(IF(E214=0,0,(Upgrades!$G$13+E214*Upgrades!$H$13)*POWER(Upgrades!$I$13,E214)))*(IF(Upgrades!$T$14="Stellar Kinematics",POWER(Upgrades!$U$14,F214),1)*IF(Upgrades!$T$15="Stellar Kinematics",POWER(Upgrades!$U$15,G214),1)*IF(Upgrades!$T$16="Stellar Kinematics",POWER(Upgrades!$U$16,H214),1)*IF(Upgrades!$T$17="Stellar Kinematics",POWER(Upgrades!$U$17,I214),1)*IF(Upgrades!$T$18="Stellar Kinematics",POWER(Upgrades!$U$18,J214),1)*IF(Upgrades!$T$19="Stellar Kinematics",POWER(Upgrades!$U$19,K214),1)*IF(Upgrades!$T$20="Stellar Kinematics",POWER(Upgrades!$U$20,L214),1)*IF(Upgrades!$T$21="Stellar Kinematics",POWER(Upgrades!$U$21,M214),1))*POWER(Upgrades!$P$13,E214)*POWER(Upgrades!$P$14,F214)*POWER(Upgrades!$P$15,G214)*POWER(Upgrades!$P$16,H214)*POWER(Upgrades!$P$17,I214)*POWER(Upgrades!$P$18,J214)*POWER(Upgrades!$P$19,K214)*POWER(Upgrades!$P$20,L214)*POWER(Upgrades!$P$21,M214)*$F$6*60</f>
        <v/>
      </c>
      <c r="AB214" s="27">
        <f>(IF(F214=0,0,(Upgrades!$G$14+F214*Upgrades!$H$14)*POWER(Upgrades!$I$14,F214)))*(IF(Upgrades!$T$13="Local Bubble",POWER(Upgrades!$U$13,E214),1)*IF(Upgrades!$T$15="Local Bubble",POWER(Upgrades!$U$15,G214),1)*IF(Upgrades!$T$16="Local Bubble",POWER(Upgrades!$U$16,H214),1)*IF(Upgrades!$T$17="Local Bubble",POWER(Upgrades!$U$17,I214),1)*IF(Upgrades!$T$18="Local Bubble",POWER(Upgrades!$U$18,J214),1)*IF(Upgrades!$T$19="Local Bubble",POWER(Upgrades!$U$19,K214),1)*IF(Upgrades!$T$20="Local Bubble",POWER(Upgrades!$U$20,L214),1)*IF(Upgrades!$T$21="Local Bubble",POWER(Upgrades!$U$21,M214),1))*POWER(Upgrades!$P$13,E214)*POWER(Upgrades!$P$14,F214)*POWER(Upgrades!$P$15,G214)*POWER(Upgrades!$P$16,H214)*POWER(Upgrades!$P$17,I214)*POWER(Upgrades!$P$18,J214)*POWER(Upgrades!$P$19,K214)*POWER(Upgrades!$P$20,L214)*POWER(Upgrades!$P$21,M214)*$F$6*60</f>
        <v/>
      </c>
      <c r="AC214" s="27">
        <f>(IF(G214=0,0,(Upgrades!$J$15+G214*Upgrades!$K$15)*POWER(Upgrades!$L$15,G214)))*(IF(Upgrades!$T$13="Microlensing",POWER(Upgrades!$U$13,E214),1)*IF(Upgrades!$T$14="Microlensing",POWER(Upgrades!$U$14,F214),1)*IF(Upgrades!$T$16="Microlensing",POWER(Upgrades!$U$16,H214),1)*IF(Upgrades!$T$17="Microlensing",POWER(Upgrades!$U$17,I214),1)*IF(Upgrades!$T$18="Microlensing",POWER(Upgrades!$U$18,J214),1)*IF(Upgrades!$T$19="Microlensing",POWER(Upgrades!$U$19,K214),1)*IF(Upgrades!$T$20="Microlensing",POWER(Upgrades!$U$20,L214),1)*IF(Upgrades!$T$21="Microlensing",POWER(Upgrades!$U$21,M214),1))*POWER(Upgrades!$Q$13,E214)*POWER(Upgrades!$Q$14,F214)*POWER(Upgrades!$Q$15,G214)*POWER(Upgrades!$Q$16,H214)*POWER(Upgrades!$Q$17,I214)*POWER(Upgrades!$Q$18,J214)*POWER(Upgrades!$Q$19,K214)*POWER(Upgrades!$Q$20,L214)*POWER(Upgrades!$Q$21,M214)*$G$6*(Parameters!$B$10*Parameters!$B$11+Q214*60)</f>
        <v/>
      </c>
      <c r="AD214" s="27">
        <f>(IF(H214=0,0,(Upgrades!$M$16+H214*Upgrades!$N$16)*POWER(Upgrades!$O$16,H214)))*(IF(Upgrades!$T$13="Roche Lobe Overflow",POWER(Upgrades!$U$13,E214),1)*IF(Upgrades!$T$14="Roche Lobe Overflow",POWER(Upgrades!$U$14,F214),1)*IF(Upgrades!$T$15="Roche Lobe Overflow",POWER(Upgrades!$U$15,G214),1)*IF(Upgrades!$T$17="Roche Lobe Overflow",POWER(Upgrades!$U$17,I214),1)*IF(Upgrades!$T$18="Roche Lobe Overflow",POWER(Upgrades!$U$18,J214),1)*IF(Upgrades!$T$19="Roche Lobe Overflow",POWER(Upgrades!$U$19,K214),1)*IF(Upgrades!$T$20="Roche Lobe Overflow",POWER(Upgrades!$U$20,L214),1)*IF(Upgrades!$T$21="Roche Lobe Overflow",POWER(Upgrades!$U$21,M214),1))*POWER(Upgrades!$R$13,E214)*POWER(Upgrades!$R$14,F214)*POWER(Upgrades!$R$15,G214)*POWER(Upgrades!$R$16,H214)*POWER(Upgrades!$R$17,I214)*POWER(Upgrades!$R$18,J214)*POWER(Upgrades!$R$19,K214)*POWER(Upgrades!$R$20,L214)*POWER(Upgrades!$R$21,M214)*$H$6*O214*60</f>
        <v/>
      </c>
      <c r="AE214" s="27">
        <f>(IF(I214=0,0,(Upgrades!$G$17+I214*Upgrades!$H$17)*POWER(Upgrades!$I$17,I214)))*(IF(Upgrades!$T$13="Brown Dwarf",POWER(Upgrades!$U$13,E214),1)*IF(Upgrades!$T$14="Brown Dwarf",POWER(Upgrades!$U$14,F214),1)*IF(Upgrades!$T$15="Brown Dwarf",POWER(Upgrades!$U$15,G214),1)*IF(Upgrades!$T$16="Brown Dwarf",POWER(Upgrades!$U$16,H214),1)*IF(Upgrades!$T$18="Brown Dwarf",POWER(Upgrades!$U$18,J214),1)*IF(Upgrades!$T$19="Brown Dwarf",POWER(Upgrades!$U$19,K214),1)*IF(Upgrades!$T$20="Brown Dwarf",POWER(Upgrades!$U$20,L214),1)*IF(Upgrades!$T$21="Brown Dwarf",POWER(Upgrades!$U$21,M214),1))*POWER(Upgrades!$P$13,E214)*POWER(Upgrades!$P$14,F214)*POWER(Upgrades!$P$15,G214)*POWER(Upgrades!$P$16,H214)*POWER(Upgrades!$P$17,I214)*POWER(Upgrades!$P$18,J214)*POWER(Upgrades!$P$19,K214)*POWER(Upgrades!$P$20,L214)*POWER(Upgrades!$P$21,M214)*$F$6*60</f>
        <v/>
      </c>
      <c r="AF214" s="27" t="n">
        <v>0</v>
      </c>
      <c r="AG214" s="27" t="n">
        <v>0</v>
      </c>
      <c r="AH214" s="27" t="n">
        <v>0</v>
      </c>
      <c r="AI214" s="27">
        <f>(IF(M214=0,0,(Upgrades!$G$21+M214*Upgrades!$H$21)*POWER(Upgrades!$I$21,M214)))*(IF(Upgrades!$T$13="Moving Group",POWER(Upgrades!$U$13,E214),1)*IF(Upgrades!$T$14="Moving Group",POWER(Upgrades!$U$14,F214),1)*IF(Upgrades!$T$15="Moving Group",POWER(Upgrades!$U$15,G214),1)*IF(Upgrades!$T$16="Moving Group",POWER(Upgrades!$U$16,H214),1)*IF(Upgrades!$T$17="Moving Group",POWER(Upgrades!$U$17,I214),1)*IF(Upgrades!$T$18="Moving Group",POWER(Upgrades!$U$18,J214),1)*IF(Upgrades!$T$19="Moving Group",POWER(Upgrades!$U$19,K214),1)*IF(Upgrades!$T$20="Moving Group",POWER(Upgrades!$U$20,L214),1))*POWER(Upgrades!$P$13,E214)*POWER(Upgrades!$P$14,F214)*POWER(Upgrades!$P$15,G214)*POWER(Upgrades!$P$16,H214)*POWER(Upgrades!$P$17,I214)*POWER(Upgrades!$P$18,J214)*POWER(Upgrades!$P$19,K214)*POWER(Upgrades!$P$20,L214)*POWER(Upgrades!$P$21,M214)*$F$6*60</f>
        <v/>
      </c>
      <c r="AJ214" s="27">
        <f>$C$6*60</f>
        <v/>
      </c>
      <c r="AK214" s="22">
        <f>IF(E214&gt;=Upgrades!$E$13,"",Upgrades!$C$13*POWER(Upgrades!$D$13,E214))</f>
        <v/>
      </c>
      <c r="AL214" s="22">
        <f>IF(F214&gt;=Upgrades!$E$14,"",Upgrades!$C$14*POWER(Upgrades!$D$14,F214))</f>
        <v/>
      </c>
      <c r="AM214" s="22">
        <f>IF(G214&gt;=Upgrades!$E$15,"",Upgrades!$C$15*POWER(Upgrades!$D$15,G214))</f>
        <v/>
      </c>
      <c r="AN214" s="22">
        <f>IF(H214&gt;=Upgrades!$E$16,"",Upgrades!$C$16*POWER(Upgrades!$D$16,H214))</f>
        <v/>
      </c>
      <c r="AO214" s="22">
        <f>IF(I214&gt;=Upgrades!$E$17,"",Upgrades!$C$17*POWER(Upgrades!$D$17,I214))</f>
        <v/>
      </c>
      <c r="AP214" s="22">
        <f>IF(J214&gt;=Upgrades!$E$18,"",Upgrades!$C$18*POWER(Upgrades!$D$18,J214))</f>
        <v/>
      </c>
      <c r="AQ214" s="22">
        <f>IF(K214&gt;=Upgrades!$E$19,"",Upgrades!$C$19*POWER(Upgrades!$D$19,K214))</f>
        <v/>
      </c>
      <c r="AR214" s="22">
        <f>IF(L214&gt;=Upgrades!$E$20,"",Upgrades!$C$20*POWER(Upgrades!$D$20,L214))</f>
        <v/>
      </c>
      <c r="AS214" s="22">
        <f>IF(M214&gt;=Upgrades!$E$21,"",Upgrades!$C$21*POWER(Upgrades!$D$21,M214))</f>
        <v/>
      </c>
      <c r="AT214" s="26">
        <f>IF(AND(D214&gt;=Parameters!$B$18*Parameters!$B$19,(I214&gt;=Upgrades!$E$17)*(M214&gt;=Upgrades!$E$21)=1,N214=0),1,"")</f>
        <v/>
      </c>
      <c r="AU214" s="26">
        <f>IF(AND(D214&gt;=Parameters!$B$18*Parameters!$B$19,N214=0),1,"")</f>
        <v/>
      </c>
      <c r="AV214" s="22">
        <f>MIN(IF(ISNUMBER(AP214),AP214,9E15),IF(ISNUMBER(AQ214),AQ214,9E15),IF(ISNUMBER(AR214),AR214,9E15),IF(ISNUMBER(AS214),AS214,9E15))</f>
        <v/>
      </c>
      <c r="AW214" s="22">
        <f>MIN(IF(ISNUMBER(AK214),AK214,9E15),IF(ISNUMBER(AL214),AL214,9E15),IF(ISNUMBER(AM214),AM214,9E15),IF(ISNUMBER(AN214),AN214,9E15),IF(ISNUMBER(AO214),AO214,9E15))</f>
        <v/>
      </c>
      <c r="AX214" s="29">
        <f>IF(BD214&gt;Parameters!$B$21*(MAX(IF(AND(NOT(AND(AU214=1,AT214&lt;&gt;1)),ISNUMBER(AK214),AK214&lt;=(C214+T214)),AY214,0),IF(AND(NOT(AND(AU214=1,AT214&lt;&gt;1)),ISNUMBER(AL214),AL214&lt;=(C214+T214)),AZ214,0),IF(AND(NOT(AND(AU214=1,AT214&lt;&gt;1)),ISNUMBER(AM214),AM214&lt;=(C214+T214)),BA214,0),IF(AND(NOT(AND(AU214=1,AT214&lt;&gt;1)),ISNUMBER(AN214),AN214&lt;=(C214+T214)),BB214,0),IF(AND(ISNUMBER(AO214),AO214&lt;=(C214+T214)),BC214,0))),TRUE,FALSE)</f>
        <v/>
      </c>
      <c r="AY214" s="32">
        <f>IFERROR(Upgrades!$H$13*(POWER(Upgrades!$P$13,E214)*POWER(Upgrades!$P$14,F214)*POWER(Upgrades!$P$15,G214)*POWER(Upgrades!$P$16,H214)*POWER(Upgrades!$P$17,I214)*POWER(Upgrades!$P$18,J214)*POWER(Upgrades!$P$19,K214)*POWER(Upgrades!$P$20,L214)*POWER(Upgrades!$P$21,M214))*(IF(Upgrades!$T$14="Stellar Kinematics",POWER(Upgrades!$U$14,F214),1)*IF(Upgrades!$T$15="Stellar Kinematics",POWER(Upgrades!$U$15,G214),1)*IF(Upgrades!$T$16="Stellar Kinematics",POWER(Upgrades!$U$16,H214),1)*IF(Upgrades!$T$17="Stellar Kinematics",POWER(Upgrades!$U$17,I214),1)*IF(Upgrades!$T$18="Stellar Kinematics",POWER(Upgrades!$U$18,J214),1)*IF(Upgrades!$T$19="Stellar Kinematics",POWER(Upgrades!$U$19,K214),1)*IF(Upgrades!$T$20="Stellar Kinematics",POWER(Upgrades!$U$20,L214),1)*IF(Upgrades!$T$21="Stellar Kinematics",POWER(Upgrades!$U$21,M214),1))*$F$6/AK214,0)</f>
        <v/>
      </c>
      <c r="AZ214" s="32">
        <f>IFERROR(Upgrades!$H$14*(POWER(Upgrades!$P$13,E214)*POWER(Upgrades!$P$14,F214)*POWER(Upgrades!$P$15,G214)*POWER(Upgrades!$P$16,H214)*POWER(Upgrades!$P$17,I214)*POWER(Upgrades!$P$18,J214)*POWER(Upgrades!$P$19,K214)*POWER(Upgrades!$P$20,L214)*POWER(Upgrades!$P$21,M214))*(IF(Upgrades!$T$13="Local Bubble",POWER(Upgrades!$U$13,E214),1)*IF(Upgrades!$T$15="Local Bubble",POWER(Upgrades!$U$15,G214),1)*IF(Upgrades!$T$16="Local Bubble",POWER(Upgrades!$U$16,H214),1)*IF(Upgrades!$T$17="Local Bubble",POWER(Upgrades!$U$17,I214),1)*IF(Upgrades!$T$18="Local Bubble",POWER(Upgrades!$U$18,J214),1)*IF(Upgrades!$T$19="Local Bubble",POWER(Upgrades!$U$19,K214),1)*IF(Upgrades!$T$20="Local Bubble",POWER(Upgrades!$U$20,L214),1)*IF(Upgrades!$T$21="Local Bubble",POWER(Upgrades!$U$21,M214),1))*$F$6/AL214,0)</f>
        <v/>
      </c>
      <c r="BA214" s="32">
        <f>IFERROR(Upgrades!$K$15*(POWER(Upgrades!$Q$13,E214)*POWER(Upgrades!$Q$14,F214)*POWER(Upgrades!$Q$15,G214)*POWER(Upgrades!$Q$16,H214)*POWER(Upgrades!$Q$17,I214)*POWER(Upgrades!$Q$18,J214)*POWER(Upgrades!$Q$19,K214)*POWER(Upgrades!$Q$20,L214)*POWER(Upgrades!$Q$21,M214))*(IF(Upgrades!$T$13="Microlensing",POWER(Upgrades!$U$13,E214),1)*IF(Upgrades!$T$14="Microlensing",POWER(Upgrades!$U$14,F214),1)*IF(Upgrades!$T$16="Microlensing",POWER(Upgrades!$U$16,H214),1)*IF(Upgrades!$T$17="Microlensing",POWER(Upgrades!$U$17,I214),1)*IF(Upgrades!$T$18="Microlensing",POWER(Upgrades!$U$18,J214),1)*IF(Upgrades!$T$19="Microlensing",POWER(Upgrades!$U$19,K214),1)*IF(Upgrades!$T$20="Microlensing",POWER(Upgrades!$U$20,L214),1)*IF(Upgrades!$T$21="Microlensing",POWER(Upgrades!$U$21,M214),1))*$G$6*(Parameters!$B$10/60*Parameters!$B$11+Q214)/AM214,0)</f>
        <v/>
      </c>
      <c r="BB214" s="32">
        <f>IFERROR((Upgrades!$N$16*(POWER(Upgrades!$R$13,E214)*POWER(Upgrades!$R$14,F214)*POWER(Upgrades!$R$15,G214)*POWER(Upgrades!$R$16,H214)*POWER(Upgrades!$R$17,I214)*POWER(Upgrades!$R$18,J214)*POWER(Upgrades!$R$19,K214)*POWER(Upgrades!$R$20,L214)*POWER(Upgrades!$R$21,M214))*(IF(Upgrades!$T$13="Roche Lobe Overflow",POWER(Upgrades!$U$13,E214),1)*IF(Upgrades!$T$14="Roche Lobe Overflow",POWER(Upgrades!$U$14,F214),1)*IF(Upgrades!$T$15="Roche Lobe Overflow",POWER(Upgrades!$U$15,G214),1)*IF(Upgrades!$T$17="Roche Lobe Overflow",POWER(Upgrades!$U$17,I214),1)*IF(Upgrades!$T$18="Roche Lobe Overflow",POWER(Upgrades!$U$18,J214),1)*IF(Upgrades!$T$19="Roche Lobe Overflow",POWER(Upgrades!$U$19,K214),1)*IF(Upgrades!$T$20="Roche Lobe Overflow",POWER(Upgrades!$U$20,L214),1)*IF(Upgrades!$T$21="Roche Lobe Overflow",POWER(Upgrades!$U$21,M214),1))*$H$6*O214+((IF(F214=0,0,(Upgrades!$G$14+F214*Upgrades!$H$14)*POWER(Upgrades!$I$14,F214)))*(IF(Upgrades!$T$13="Local Bubble",POWER(Upgrades!$U$13,E214),1)*IF(Upgrades!$T$15="Local Bubble",POWER(Upgrades!$U$15,G214),1)*IF(Upgrades!$T$16="Local Bubble",POWER(Upgrades!$U$16,H214),1)*IF(Upgrades!$T$17="Local Bubble",POWER(Upgrades!$U$17,I214),1)*IF(Upgrades!$T$18="Local Bubble",POWER(Upgrades!$U$18,J214),1)*IF(Upgrades!$T$19="Local Bubble",POWER(Upgrades!$U$19,K214),1)*IF(Upgrades!$T$20="Local Bubble",POWER(Upgrades!$U$20,L214),1)*IF(Upgrades!$T$21="Local Bubble",POWER(Upgrades!$U$21,M214),1))*POWER(Upgrades!$P$13,E214)*POWER(Upgrades!$P$14,F214)*POWER(Upgrades!$P$15,G214)*POWER(Upgrades!$P$16,H214)*POWER(Upgrades!$P$17,I214)*POWER(Upgrades!$P$18,J214)*POWER(Upgrades!$P$19,K214)*POWER(Upgrades!$P$20,L214)*POWER(Upgrades!$P$21,M214)*$F$6)*0.05)/AN214,0)</f>
        <v/>
      </c>
      <c r="BC214" s="32">
        <f>IFERROR((Upgrades!$H$17*(POWER(Upgrades!$P$13,E214)*POWER(Upgrades!$P$14,F214)*POWER(Upgrades!$P$15,G214)*POWER(Upgrades!$P$16,H214)*POWER(Upgrades!$P$17,I214)*POWER(Upgrades!$P$18,J214)*POWER(Upgrades!$P$19,K214)*POWER(Upgrades!$P$20,L214)*POWER(Upgrades!$P$21,M214))*(IF(Upgrades!$T$13="Brown Dwarf",POWER(Upgrades!$U$13,E214),1)*IF(Upgrades!$T$14="Brown Dwarf",POWER(Upgrades!$U$14,F214),1)*IF(Upgrades!$T$15="Brown Dwarf",POWER(Upgrades!$U$15,G214),1)*IF(Upgrades!$T$16="Brown Dwarf",POWER(Upgrades!$U$16,H214),1)*IF(Upgrades!$T$18="Brown Dwarf",POWER(Upgrades!$U$18,J214),1)*IF(Upgrades!$T$19="Brown Dwarf",POWER(Upgrades!$U$19,K214),1)*IF(Upgrades!$T$20="Brown Dwarf",POWER(Upgrades!$U$20,L214),1)*IF(Upgrades!$T$21="Brown Dwarf",POWER(Upgrades!$U$21,M214),1))*$F$6+(((IF(H214=0,0,(Upgrades!$M$16+H214*Upgrades!$N$16)*POWER(Upgrades!$O$16,H214)))*(IF(Upgrades!$T$13="Roche Lobe Overflow",POWER(Upgrades!$U$13,E214),1)*IF(Upgrades!$T$14="Roche Lobe Overflow",POWER(Upgrades!$U$14,F214),1)*IF(Upgrades!$T$15="Roche Lobe Overflow",POWER(Upgrades!$U$15,G214),1)*IF(Upgrades!$T$17="Roche Lobe Overflow",POWER(Upgrades!$U$17,I214),1)*IF(Upgrades!$T$18="Roche Lobe Overflow",POWER(Upgrades!$U$18,J214),1)*IF(Upgrades!$T$19="Roche Lobe Overflow",POWER(Upgrades!$U$19,K214),1)*IF(Upgrades!$T$20="Roche Lobe Overflow",POWER(Upgrades!$U$20,L214),1)*IF(Upgrades!$T$21="Roche Lobe Overflow",POWER(Upgrades!$U$21,M214),1))*POWER(Upgrades!$R$13,E214)*POWER(Upgrades!$R$14,F214)*POWER(Upgrades!$R$15,G214)*POWER(Upgrades!$R$16,H214)*POWER(Upgrades!$R$17,I214)*POWER(Upgrades!$R$18,J214)*POWER(Upgrades!$R$19,K214)*POWER(Upgrades!$R$20,L214)*POWER(Upgrades!$R$21,M214)*$H$6)*O214)*0.10)/AO214,0)</f>
        <v/>
      </c>
      <c r="BD214" s="32">
        <f>MAX(IF(J214&gt;0,0,IFERROR(0.5*((IF(G214=0,0,(Upgrades!$J$15+G214*Upgrades!$K$15)*POWER(Upgrades!$L$15,G214)))*(IF(Upgrades!$T$13="Microlensing",POWER(Upgrades!$U$13,E214),1)*IF(Upgrades!$T$14="Microlensing",POWER(Upgrades!$U$14,F214),1)*IF(Upgrades!$T$16="Microlensing",POWER(Upgrades!$U$16,H214),1)*IF(Upgrades!$T$17="Microlensing",POWER(Upgrades!$U$17,I214),1)*IF(Upgrades!$T$18="Microlensing",POWER(Upgrades!$U$18,J214),1)*IF(Upgrades!$T$19="Microlensing",POWER(Upgrades!$U$19,K214),1)*IF(Upgrades!$T$20="Microlensing",POWER(Upgrades!$U$20,L214),1)*IF(Upgrades!$T$21="Microlensing",POWER(Upgrades!$U$21,M214),1))*(POWER(Upgrades!$Q$13,E214)*POWER(Upgrades!$Q$14,F214)*POWER(Upgrades!$Q$15,G214)*POWER(Upgrades!$Q$16,H214)*POWER(Upgrades!$Q$17,I214)*POWER(Upgrades!$Q$18,J214)*POWER(Upgrades!$Q$19,K214)*POWER(Upgrades!$Q$20,L214)*POWER(Upgrades!$Q$21,M214))*$G$6*(Parameters!$B$10/60*Parameters!$B$11+Q214))/Upgrades!$C$18,0)),IF(K214&gt;0,0,IFERROR(0.30*P214/Upgrades!$C$19,0)),IF(L214&gt;0,0,IFERROR(0.0001/Upgrades!$C$20,0)),IF(M214&gt;0,0,IFERROR((6.0*(POWER(Upgrades!$P$13,E214)*POWER(Upgrades!$P$14,F214)*POWER(Upgrades!$P$15,G214)*POWER(Upgrades!$P$16,H214)*POWER(Upgrades!$P$17,I214)*POWER(Upgrades!$P$18,J214)*POWER(Upgrades!$P$19,K214)*POWER(Upgrades!$P$20,L214)*POWER(Upgrades!$P$21,M214))*$F$6+0.20*O214*(Parameters!$B$10/60*Parameters!$B$11+Q214))/Upgrades!$C$21,0)),IF(AND(ISNUMBER(AK214),AK214&gt;(C214+T214)),AY214,0),IF(AND(ISNUMBER(AL214),AL214&gt;(C214+T214)),AZ214,0),IF(AND(ISNUMBER(AM214),AM214&gt;(C214+T214)),BA214,0),IF(AND(ISNUMBER(AN214),AN214&gt;(C214+T214)),BB214,0),IF(AND(ISNUMBER(AO214),AO214&gt;(C214+T214)),BC214,0))</f>
        <v/>
      </c>
      <c r="BE214" s="29">
        <f>IF(AT214=1,"transition",IF(MIN(IF(AND(J214=0,ISNUMBER(AP214),AP214&lt;=(C214+T214)),AP214,9E15),IF(AND(K214=0,ISNUMBER(AQ214),AQ214&lt;=(C214+T214)),AQ214,9E15),IF(AND(L214=0,ISNUMBER(AR214),AR214&lt;=(C214+T214)),AR214,9E15),IF(AND(M214=0,ISNUMBER(AS214),AS214&lt;=(C214+T214)),AS214,9E15))&lt;9E15,IF(AND(AND(J214=0,ISNUMBER(AP214),AP214&lt;=(C214+T214)),AP214=MIN(IF(AND(J214=0,ISNUMBER(AP214),AP214&lt;=(C214+T214)),AP214,9E15),IF(AND(K214=0,ISNUMBER(AQ214),AQ214&lt;=(C214+T214)),AQ214,9E15),IF(AND(L214=0,ISNUMBER(AR214),AR214&lt;=(C214+T214)),AR214,9E15),IF(AND(M214=0,ISNUMBER(AS214),AS214&lt;=(C214+T214)),AS214,9E15))),"BiP",IF(AND(AND(K214=0,ISNUMBER(AQ214),AQ214&lt;=(C214+T214)),AQ214=MIN(IF(AND(J214=0,ISNUMBER(AP214),AP214&lt;=(C214+T214)),AP214,9E15),IF(AND(K214=0,ISNUMBER(AQ214),AQ214&lt;=(C214+T214)),AQ214,9E15),IF(AND(L214=0,ISNUMBER(AR214),AR214&lt;=(C214+T214)),AR214,9E15),IF(AND(M214=0,ISNUMBER(AS214),AS214&lt;=(C214+T214)),AS214,9E15))),"PV",IF(AND(AND(L214=0,ISNUMBER(AR214),AR214&lt;=(C214+T214)),AR214=MIN(IF(AND(J214=0,ISNUMBER(AP214),AP214&lt;=(C214+T214)),AP214,9E15),IF(AND(K214=0,ISNUMBER(AQ214),AQ214&lt;=(C214+T214)),AQ214,9E15),IF(AND(L214=0,ISNUMBER(AR214),AR214&lt;=(C214+T214)),AR214,9E15),IF(AND(M214=0,ISNUMBER(AS214),AS214&lt;=(C214+T214)),AS214,9E15))),"OC","MG"))),IF(AX214=TRUE,"",IF(MAX(IF(AND(NOT(AND(AU214=1,AT214&lt;&gt;1)),ISNUMBER(AK214),AK214&lt;=(C214+T214)),AY214,0),IF(AND(NOT(AND(AU214=1,AT214&lt;&gt;1)),ISNUMBER(AL214),AL214&lt;=(C214+T214)),AZ214,0),IF(AND(NOT(AND(AU214=1,AT214&lt;&gt;1)),ISNUMBER(AM214),AM214&lt;=(C214+T214)),BA214,0),IF(AND(NOT(AND(AU214=1,AT214&lt;&gt;1)),ISNUMBER(AN214),AN214&lt;=(C214+T214)),BB214,0),IF(AND(ISNUMBER(AO214),AO214&lt;=(C214+T214)),BC214,0))&lt;=0,"",IF(AND(IF(AND(NOT(AND(AU214=1,AT214&lt;&gt;1)),ISNUMBER(AK214),AK214&lt;=(C214+T214)),AY214,0)&gt;0,IF(AND(NOT(AND(AU214=1,AT214&lt;&gt;1)),ISNUMBER(AK214),AK214&lt;=(C214+T214)),AY214,0)=MAX(IF(AND(NOT(AND(AU214=1,AT214&lt;&gt;1)),ISNUMBER(AK214),AK214&lt;=(C214+T214)),AY214,0),IF(AND(NOT(AND(AU214=1,AT214&lt;&gt;1)),ISNUMBER(AL214),AL214&lt;=(C214+T214)),AZ214,0),IF(AND(NOT(AND(AU214=1,AT214&lt;&gt;1)),ISNUMBER(AM214),AM214&lt;=(C214+T214)),BA214,0),IF(AND(NOT(AND(AU214=1,AT214&lt;&gt;1)),ISNUMBER(AN214),AN214&lt;=(C214+T214)),BB214,0),IF(AND(ISNUMBER(AO214),AO214&lt;=(C214+T214)),BC214,0))),"SK",IF(AND(IF(AND(NOT(AND(AU214=1,AT214&lt;&gt;1)),ISNUMBER(AL214),AL214&lt;=(C214+T214)),AZ214,0)&gt;0,IF(AND(NOT(AND(AU214=1,AT214&lt;&gt;1)),ISNUMBER(AL214),AL214&lt;=(C214+T214)),AZ214,0)=MAX(IF(AND(NOT(AND(AU214=1,AT214&lt;&gt;1)),ISNUMBER(AK214),AK214&lt;=(C214+T214)),AY214,0),IF(AND(NOT(AND(AU214=1,AT214&lt;&gt;1)),ISNUMBER(AL214),AL214&lt;=(C214+T214)),AZ214,0),IF(AND(NOT(AND(AU214=1,AT214&lt;&gt;1)),ISNUMBER(AM214),AM214&lt;=(C214+T214)),BA214,0),IF(AND(NOT(AND(AU214=1,AT214&lt;&gt;1)),ISNUMBER(AN214),AN214&lt;=(C214+T214)),BB214,0),IF(AND(ISNUMBER(AO214),AO214&lt;=(C214+T214)),BC214,0))),"LB",IF(AND(IF(AND(NOT(AND(AU214=1,AT214&lt;&gt;1)),ISNUMBER(AM214),AM214&lt;=(C214+T214)),BA214,0)&gt;0,IF(AND(NOT(AND(AU214=1,AT214&lt;&gt;1)),ISNUMBER(AM214),AM214&lt;=(C214+T214)),BA214,0)=MAX(IF(AND(NOT(AND(AU214=1,AT214&lt;&gt;1)),ISNUMBER(AK214),AK214&lt;=(C214+T214)),AY214,0),IF(AND(NOT(AND(AU214=1,AT214&lt;&gt;1)),ISNUMBER(AL214),AL214&lt;=(C214+T214)),AZ214,0),IF(AND(NOT(AND(AU214=1,AT214&lt;&gt;1)),ISNUMBER(AM214),AM214&lt;=(C214+T214)),BA214,0),IF(AND(NOT(AND(AU214=1,AT214&lt;&gt;1)),ISNUMBER(AN214),AN214&lt;=(C214+T214)),BB214,0),IF(AND(ISNUMBER(AO214),AO214&lt;=(C214+T214)),BC214,0))),"ML",IF(AND(IF(AND(NOT(AND(AU214=1,AT214&lt;&gt;1)),ISNUMBER(AN214),AN214&lt;=(C214+T214)),BB214,0)&gt;0,IF(AND(NOT(AND(AU214=1,AT214&lt;&gt;1)),ISNUMBER(AN214),AN214&lt;=(C214+T214)),BB214,0)=MAX(IF(AND(NOT(AND(AU214=1,AT214&lt;&gt;1)),ISNUMBER(AK214),AK214&lt;=(C214+T214)),AY214,0),IF(AND(NOT(AND(AU214=1,AT214&lt;&gt;1)),ISNUMBER(AL214),AL214&lt;=(C214+T214)),AZ214,0),IF(AND(NOT(AND(AU214=1,AT214&lt;&gt;1)),ISNUMBER(AM214),AM214&lt;=(C214+T214)),BA214,0),IF(AND(NOT(AND(AU214=1,AT214&lt;&gt;1)),ISNUMBER(AN214),AN214&lt;=(C214+T214)),BB214,0),IF(AND(ISNUMBER(AO214),AO214&lt;=(C214+T214)),BC214,0))),"RLO","BD"))))))))</f>
        <v/>
      </c>
    </row>
    <row r="215">
      <c r="A215" s="26" t="n">
        <v>204</v>
      </c>
      <c r="B215" s="27">
        <f>A215*10/60</f>
        <v/>
      </c>
      <c r="C215" s="22">
        <f>X214</f>
        <v/>
      </c>
      <c r="D215" s="27">
        <f>D214+W214</f>
        <v/>
      </c>
      <c r="E215" s="26">
        <f>E214+IF(U214="SK",1,0)</f>
        <v/>
      </c>
      <c r="F215" s="26">
        <f>F214+IF(U214="LB",1,0)</f>
        <v/>
      </c>
      <c r="G215" s="26">
        <f>G214+IF(U214="ML",1,0)</f>
        <v/>
      </c>
      <c r="H215" s="26">
        <f>H214+IF(U214="RLO",1,0)</f>
        <v/>
      </c>
      <c r="I215" s="26">
        <f>I214+IF(U214="BD",1,0)</f>
        <v/>
      </c>
      <c r="J215" s="26">
        <f>MAX(J214,IF(U214="BiP",1,0))</f>
        <v/>
      </c>
      <c r="K215" s="26">
        <f>MAX(K214,IF(U214="PV",1,0))</f>
        <v/>
      </c>
      <c r="L215" s="26">
        <f>MAX(L214,IF(U214="OC",1,0))</f>
        <v/>
      </c>
      <c r="M215" s="26">
        <f>MAX(M214,IF(U214="MG",1,0))</f>
        <v/>
      </c>
      <c r="N215" s="26">
        <f>MAX(N214,IF(U214="transition",1,0))</f>
        <v/>
      </c>
      <c r="O215" s="28">
        <f>(Parameters!$B$9+(IF(E215=0,0,(Upgrades!$J$13+E215*Upgrades!$K$13)*POWER(Upgrades!$L$13,E215)))*(IF(Upgrades!$T$14="Stellar Kinematics",POWER(Upgrades!$U$14,F215),1)*IF(Upgrades!$T$15="Stellar Kinematics",POWER(Upgrades!$U$15,G215),1)*IF(Upgrades!$T$16="Stellar Kinematics",POWER(Upgrades!$U$16,H215),1)*IF(Upgrades!$T$17="Stellar Kinematics",POWER(Upgrades!$U$17,I215),1)*IF(Upgrades!$T$18="Stellar Kinematics",POWER(Upgrades!$U$18,J215),1)*IF(Upgrades!$T$19="Stellar Kinematics",POWER(Upgrades!$U$19,K215),1)*IF(Upgrades!$T$20="Stellar Kinematics",POWER(Upgrades!$U$20,L215),1)*IF(Upgrades!$T$21="Stellar Kinematics",POWER(Upgrades!$U$21,M215),1))+(IF(F215=0,0,(Upgrades!$J$14+F215*Upgrades!$K$14)*POWER(Upgrades!$L$14,F215)))*(IF(Upgrades!$T$13="Local Bubble",POWER(Upgrades!$U$13,E215),1)*IF(Upgrades!$T$15="Local Bubble",POWER(Upgrades!$U$15,G215),1)*IF(Upgrades!$T$16="Local Bubble",POWER(Upgrades!$U$16,H215),1)*IF(Upgrades!$T$17="Local Bubble",POWER(Upgrades!$U$17,I215),1)*IF(Upgrades!$T$18="Local Bubble",POWER(Upgrades!$U$18,J215),1)*IF(Upgrades!$T$19="Local Bubble",POWER(Upgrades!$U$19,K215),1)*IF(Upgrades!$T$20="Local Bubble",POWER(Upgrades!$U$20,L215),1)*IF(Upgrades!$T$21="Local Bubble",POWER(Upgrades!$U$21,M215),1))+(IF(G215=0,0,(Upgrades!$J$15+G215*Upgrades!$K$15)*POWER(Upgrades!$L$15,G215)))*(IF(Upgrades!$T$13="Microlensing",POWER(Upgrades!$U$13,E215),1)*IF(Upgrades!$T$14="Microlensing",POWER(Upgrades!$U$14,F215),1)*IF(Upgrades!$T$16="Microlensing",POWER(Upgrades!$U$16,H215),1)*IF(Upgrades!$T$17="Microlensing",POWER(Upgrades!$U$17,I215),1)*IF(Upgrades!$T$18="Microlensing",POWER(Upgrades!$U$18,J215),1)*IF(Upgrades!$T$19="Microlensing",POWER(Upgrades!$U$19,K215),1)*IF(Upgrades!$T$20="Microlensing",POWER(Upgrades!$U$20,L215),1)*IF(Upgrades!$T$21="Microlensing",POWER(Upgrades!$U$21,M215),1))+(IF(H215=0,0,(Upgrades!$J$16+H215*Upgrades!$K$16)*POWER(Upgrades!$L$16,H215)))*(IF(Upgrades!$T$13="Roche Lobe Overflow",POWER(Upgrades!$U$13,E215),1)*IF(Upgrades!$T$14="Roche Lobe Overflow",POWER(Upgrades!$U$14,F215),1)*IF(Upgrades!$T$15="Roche Lobe Overflow",POWER(Upgrades!$U$15,G215),1)*IF(Upgrades!$T$17="Roche Lobe Overflow",POWER(Upgrades!$U$17,I215),1)*IF(Upgrades!$T$18="Roche Lobe Overflow",POWER(Upgrades!$U$18,J215),1)*IF(Upgrades!$T$19="Roche Lobe Overflow",POWER(Upgrades!$U$19,K215),1)*IF(Upgrades!$T$20="Roche Lobe Overflow",POWER(Upgrades!$U$20,L215),1)*IF(Upgrades!$T$21="Roche Lobe Overflow",POWER(Upgrades!$U$21,M215),1))+(IF(I215=0,0,(Upgrades!$J$17+I215*Upgrades!$K$17)*POWER(Upgrades!$L$17,I215)))*(IF(Upgrades!$T$13="Brown Dwarf",POWER(Upgrades!$U$13,E215),1)*IF(Upgrades!$T$14="Brown Dwarf",POWER(Upgrades!$U$14,F215),1)*IF(Upgrades!$T$15="Brown Dwarf",POWER(Upgrades!$U$15,G215),1)*IF(Upgrades!$T$16="Brown Dwarf",POWER(Upgrades!$U$16,H215),1)*IF(Upgrades!$T$18="Brown Dwarf",POWER(Upgrades!$U$18,J215),1)*IF(Upgrades!$T$19="Brown Dwarf",POWER(Upgrades!$U$19,K215),1)*IF(Upgrades!$T$20="Brown Dwarf",POWER(Upgrades!$U$20,L215),1)*IF(Upgrades!$T$21="Brown Dwarf",POWER(Upgrades!$U$21,M215),1))+(IF(J215=0,0,(Upgrades!$J$18+J215*Upgrades!$K$18)*POWER(Upgrades!$L$18,J215)))*(IF(Upgrades!$T$13="Binary Partner",POWER(Upgrades!$U$13,E215),1)*IF(Upgrades!$T$14="Binary Partner",POWER(Upgrades!$U$14,F215),1)*IF(Upgrades!$T$15="Binary Partner",POWER(Upgrades!$U$15,G215),1)*IF(Upgrades!$T$16="Binary Partner",POWER(Upgrades!$U$16,H215),1)*IF(Upgrades!$T$17="Binary Partner",POWER(Upgrades!$U$17,I215),1)*IF(Upgrades!$T$19="Binary Partner",POWER(Upgrades!$U$19,K215),1)*IF(Upgrades!$T$20="Binary Partner",POWER(Upgrades!$U$20,L215),1)*IF(Upgrades!$T$21="Binary Partner",POWER(Upgrades!$U$21,M215),1))+(IF(K215=0,0,(Upgrades!$J$19+K215*Upgrades!$K$19)*POWER(Upgrades!$L$19,K215)))*(IF(Upgrades!$T$13="Peculiar Velocity",POWER(Upgrades!$U$13,E215),1)*IF(Upgrades!$T$14="Peculiar Velocity",POWER(Upgrades!$U$14,F215),1)*IF(Upgrades!$T$15="Peculiar Velocity",POWER(Upgrades!$U$15,G215),1)*IF(Upgrades!$T$16="Peculiar Velocity",POWER(Upgrades!$U$16,H215),1)*IF(Upgrades!$T$17="Peculiar Velocity",POWER(Upgrades!$U$17,I215),1)*IF(Upgrades!$T$18="Peculiar Velocity",POWER(Upgrades!$U$18,J215),1)*IF(Upgrades!$T$20="Peculiar Velocity",POWER(Upgrades!$U$20,L215),1)*IF(Upgrades!$T$21="Peculiar Velocity",POWER(Upgrades!$U$21,M215),1))+(IF(L215=0,0,(Upgrades!$J$20+L215*Upgrades!$K$20)*POWER(Upgrades!$L$20,L215)))*(IF(Upgrades!$T$13="Open Cluster",POWER(Upgrades!$U$13,E215),1)*IF(Upgrades!$T$14="Open Cluster",POWER(Upgrades!$U$14,F215),1)*IF(Upgrades!$T$15="Open Cluster",POWER(Upgrades!$U$15,G215),1)*IF(Upgrades!$T$16="Open Cluster",POWER(Upgrades!$U$16,H215),1)*IF(Upgrades!$T$17="Open Cluster",POWER(Upgrades!$U$17,I215),1)*IF(Upgrades!$T$18="Open Cluster",POWER(Upgrades!$U$18,J215),1)*IF(Upgrades!$T$19="Open Cluster",POWER(Upgrades!$U$19,K215),1)*IF(Upgrades!$T$21="Open Cluster",POWER(Upgrades!$U$21,M215),1))+(IF(M215=0,0,(Upgrades!$J$21+M215*Upgrades!$K$21)*POWER(Upgrades!$L$21,M215)))*(IF(Upgrades!$T$13="Moving Group",POWER(Upgrades!$U$13,E215),1)*IF(Upgrades!$T$14="Moving Group",POWER(Upgrades!$U$14,F215),1)*IF(Upgrades!$T$15="Moving Group",POWER(Upgrades!$U$15,G215),1)*IF(Upgrades!$T$16="Moving Group",POWER(Upgrades!$U$16,H215),1)*IF(Upgrades!$T$17="Moving Group",POWER(Upgrades!$U$17,I215),1)*IF(Upgrades!$T$18="Moving Group",POWER(Upgrades!$U$18,J215),1)*IF(Upgrades!$T$19="Moving Group",POWER(Upgrades!$U$19,K215),1)*IF(Upgrades!$T$20="Moving Group",POWER(Upgrades!$U$20,L215),1)))*POWER(Upgrades!$Q$13,E215)*POWER(Upgrades!$Q$14,F215)*POWER(Upgrades!$Q$15,G215)*POWER(Upgrades!$Q$16,H215)*POWER(Upgrades!$Q$17,I215)*POWER(Upgrades!$Q$18,J215)*POWER(Upgrades!$Q$19,K215)*POWER(Upgrades!$Q$20,L215)*POWER(Upgrades!$Q$21,M215)*$G$6+$D$6</f>
        <v/>
      </c>
      <c r="P215" s="28">
        <f>((IF(E215=0,0,(Upgrades!$G$13+E215*Upgrades!$H$13)*POWER(Upgrades!$I$13,E215)))*(IF(Upgrades!$T$14="Stellar Kinematics",POWER(Upgrades!$U$14,F215),1)*IF(Upgrades!$T$15="Stellar Kinematics",POWER(Upgrades!$U$15,G215),1)*IF(Upgrades!$T$16="Stellar Kinematics",POWER(Upgrades!$U$16,H215),1)*IF(Upgrades!$T$17="Stellar Kinematics",POWER(Upgrades!$U$17,I215),1)*IF(Upgrades!$T$18="Stellar Kinematics",POWER(Upgrades!$U$18,J215),1)*IF(Upgrades!$T$19="Stellar Kinematics",POWER(Upgrades!$U$19,K215),1)*IF(Upgrades!$T$20="Stellar Kinematics",POWER(Upgrades!$U$20,L215),1)*IF(Upgrades!$T$21="Stellar Kinematics",POWER(Upgrades!$U$21,M215),1))+(IF(F215=0,0,(Upgrades!$G$14+F215*Upgrades!$H$14)*POWER(Upgrades!$I$14,F215)))*(IF(Upgrades!$T$13="Local Bubble",POWER(Upgrades!$U$13,E215),1)*IF(Upgrades!$T$15="Local Bubble",POWER(Upgrades!$U$15,G215),1)*IF(Upgrades!$T$16="Local Bubble",POWER(Upgrades!$U$16,H215),1)*IF(Upgrades!$T$17="Local Bubble",POWER(Upgrades!$U$17,I215),1)*IF(Upgrades!$T$18="Local Bubble",POWER(Upgrades!$U$18,J215),1)*IF(Upgrades!$T$19="Local Bubble",POWER(Upgrades!$U$19,K215),1)*IF(Upgrades!$T$20="Local Bubble",POWER(Upgrades!$U$20,L215),1)*IF(Upgrades!$T$21="Local Bubble",POWER(Upgrades!$U$21,M215),1))+(IF(G215=0,0,(Upgrades!$G$15+G215*Upgrades!$H$15)*POWER(Upgrades!$I$15,G215)))*(IF(Upgrades!$T$13="Microlensing",POWER(Upgrades!$U$13,E215),1)*IF(Upgrades!$T$14="Microlensing",POWER(Upgrades!$U$14,F215),1)*IF(Upgrades!$T$16="Microlensing",POWER(Upgrades!$U$16,H215),1)*IF(Upgrades!$T$17="Microlensing",POWER(Upgrades!$U$17,I215),1)*IF(Upgrades!$T$18="Microlensing",POWER(Upgrades!$U$18,J215),1)*IF(Upgrades!$T$19="Microlensing",POWER(Upgrades!$U$19,K215),1)*IF(Upgrades!$T$20="Microlensing",POWER(Upgrades!$U$20,L215),1)*IF(Upgrades!$T$21="Microlensing",POWER(Upgrades!$U$21,M215),1))+(IF(H215=0,0,(Upgrades!$G$16+H215*Upgrades!$H$16)*POWER(Upgrades!$I$16,H215)))*(IF(Upgrades!$T$13="Roche Lobe Overflow",POWER(Upgrades!$U$13,E215),1)*IF(Upgrades!$T$14="Roche Lobe Overflow",POWER(Upgrades!$U$14,F215),1)*IF(Upgrades!$T$15="Roche Lobe Overflow",POWER(Upgrades!$U$15,G215),1)*IF(Upgrades!$T$17="Roche Lobe Overflow",POWER(Upgrades!$U$17,I215),1)*IF(Upgrades!$T$18="Roche Lobe Overflow",POWER(Upgrades!$U$18,J215),1)*IF(Upgrades!$T$19="Roche Lobe Overflow",POWER(Upgrades!$U$19,K215),1)*IF(Upgrades!$T$20="Roche Lobe Overflow",POWER(Upgrades!$U$20,L215),1)*IF(Upgrades!$T$21="Roche Lobe Overflow",POWER(Upgrades!$U$21,M215),1))+(IF(I215=0,0,(Upgrades!$G$17+I215*Upgrades!$H$17)*POWER(Upgrades!$I$17,I215)))*(IF(Upgrades!$T$13="Brown Dwarf",POWER(Upgrades!$U$13,E215),1)*IF(Upgrades!$T$14="Brown Dwarf",POWER(Upgrades!$U$14,F215),1)*IF(Upgrades!$T$15="Brown Dwarf",POWER(Upgrades!$U$15,G215),1)*IF(Upgrades!$T$16="Brown Dwarf",POWER(Upgrades!$U$16,H215),1)*IF(Upgrades!$T$18="Brown Dwarf",POWER(Upgrades!$U$18,J215),1)*IF(Upgrades!$T$19="Brown Dwarf",POWER(Upgrades!$U$19,K215),1)*IF(Upgrades!$T$20="Brown Dwarf",POWER(Upgrades!$U$20,L215),1)*IF(Upgrades!$T$21="Brown Dwarf",POWER(Upgrades!$U$21,M215),1))+(IF(J215=0,0,(Upgrades!$G$18+J215*Upgrades!$H$18)*POWER(Upgrades!$I$18,J215)))*(IF(Upgrades!$T$13="Binary Partner",POWER(Upgrades!$U$13,E215),1)*IF(Upgrades!$T$14="Binary Partner",POWER(Upgrades!$U$14,F215),1)*IF(Upgrades!$T$15="Binary Partner",POWER(Upgrades!$U$15,G215),1)*IF(Upgrades!$T$16="Binary Partner",POWER(Upgrades!$U$16,H215),1)*IF(Upgrades!$T$17="Binary Partner",POWER(Upgrades!$U$17,I215),1)*IF(Upgrades!$T$19="Binary Partner",POWER(Upgrades!$U$19,K215),1)*IF(Upgrades!$T$20="Binary Partner",POWER(Upgrades!$U$20,L215),1)*IF(Upgrades!$T$21="Binary Partner",POWER(Upgrades!$U$21,M215),1))+(IF(K215=0,0,(Upgrades!$G$19+K215*Upgrades!$H$19)*POWER(Upgrades!$I$19,K215)))*(IF(Upgrades!$T$13="Peculiar Velocity",POWER(Upgrades!$U$13,E215),1)*IF(Upgrades!$T$14="Peculiar Velocity",POWER(Upgrades!$U$14,F215),1)*IF(Upgrades!$T$15="Peculiar Velocity",POWER(Upgrades!$U$15,G215),1)*IF(Upgrades!$T$16="Peculiar Velocity",POWER(Upgrades!$U$16,H215),1)*IF(Upgrades!$T$17="Peculiar Velocity",POWER(Upgrades!$U$17,I215),1)*IF(Upgrades!$T$18="Peculiar Velocity",POWER(Upgrades!$U$18,J215),1)*IF(Upgrades!$T$20="Peculiar Velocity",POWER(Upgrades!$U$20,L215),1)*IF(Upgrades!$T$21="Peculiar Velocity",POWER(Upgrades!$U$21,M215),1))+(IF(L215=0,0,(Upgrades!$G$20+L215*Upgrades!$H$20)*POWER(Upgrades!$I$20,L215)))*(IF(Upgrades!$T$13="Open Cluster",POWER(Upgrades!$U$13,E215),1)*IF(Upgrades!$T$14="Open Cluster",POWER(Upgrades!$U$14,F215),1)*IF(Upgrades!$T$15="Open Cluster",POWER(Upgrades!$U$15,G215),1)*IF(Upgrades!$T$16="Open Cluster",POWER(Upgrades!$U$16,H215),1)*IF(Upgrades!$T$17="Open Cluster",POWER(Upgrades!$U$17,I215),1)*IF(Upgrades!$T$18="Open Cluster",POWER(Upgrades!$U$18,J215),1)*IF(Upgrades!$T$19="Open Cluster",POWER(Upgrades!$U$19,K215),1)*IF(Upgrades!$T$21="Open Cluster",POWER(Upgrades!$U$21,M215),1))+(IF(M215=0,0,(Upgrades!$G$21+M215*Upgrades!$H$21)*POWER(Upgrades!$I$21,M215)))*(IF(Upgrades!$T$13="Moving Group",POWER(Upgrades!$U$13,E215),1)*IF(Upgrades!$T$14="Moving Group",POWER(Upgrades!$U$14,F215),1)*IF(Upgrades!$T$15="Moving Group",POWER(Upgrades!$U$15,G215),1)*IF(Upgrades!$T$16="Moving Group",POWER(Upgrades!$U$16,H215),1)*IF(Upgrades!$T$17="Moving Group",POWER(Upgrades!$U$17,I215),1)*IF(Upgrades!$T$18="Moving Group",POWER(Upgrades!$U$18,J215),1)*IF(Upgrades!$T$19="Moving Group",POWER(Upgrades!$U$19,K215),1)*IF(Upgrades!$T$20="Moving Group",POWER(Upgrades!$U$20,L215),1)))*POWER(Upgrades!$P$13,E215)*POWER(Upgrades!$P$14,F215)*POWER(Upgrades!$P$15,G215)*POWER(Upgrades!$P$16,H215)*POWER(Upgrades!$P$17,I215)*POWER(Upgrades!$P$18,J215)*POWER(Upgrades!$P$19,K215)*POWER(Upgrades!$P$20,L215)*POWER(Upgrades!$P$21,M215)*$F$6+$C$6</f>
        <v/>
      </c>
      <c r="Q215" s="28">
        <f>((IF(E215=0,0,(Upgrades!$M$13+E215*Upgrades!$N$13)*POWER(Upgrades!$O$13,E215)))*(IF(Upgrades!$T$14="Stellar Kinematics",POWER(Upgrades!$U$14,F215),1)*IF(Upgrades!$T$15="Stellar Kinematics",POWER(Upgrades!$U$15,G215),1)*IF(Upgrades!$T$16="Stellar Kinematics",POWER(Upgrades!$U$16,H215),1)*IF(Upgrades!$T$17="Stellar Kinematics",POWER(Upgrades!$U$17,I215),1)*IF(Upgrades!$T$18="Stellar Kinematics",POWER(Upgrades!$U$18,J215),1)*IF(Upgrades!$T$19="Stellar Kinematics",POWER(Upgrades!$U$19,K215),1)*IF(Upgrades!$T$20="Stellar Kinematics",POWER(Upgrades!$U$20,L215),1)*IF(Upgrades!$T$21="Stellar Kinematics",POWER(Upgrades!$U$21,M215),1))+(IF(F215=0,0,(Upgrades!$M$14+F215*Upgrades!$N$14)*POWER(Upgrades!$O$14,F215)))*(IF(Upgrades!$T$13="Local Bubble",POWER(Upgrades!$U$13,E215),1)*IF(Upgrades!$T$15="Local Bubble",POWER(Upgrades!$U$15,G215),1)*IF(Upgrades!$T$16="Local Bubble",POWER(Upgrades!$U$16,H215),1)*IF(Upgrades!$T$17="Local Bubble",POWER(Upgrades!$U$17,I215),1)*IF(Upgrades!$T$18="Local Bubble",POWER(Upgrades!$U$18,J215),1)*IF(Upgrades!$T$19="Local Bubble",POWER(Upgrades!$U$19,K215),1)*IF(Upgrades!$T$20="Local Bubble",POWER(Upgrades!$U$20,L215),1)*IF(Upgrades!$T$21="Local Bubble",POWER(Upgrades!$U$21,M215),1))+(IF(G215=0,0,(Upgrades!$M$15+G215*Upgrades!$N$15)*POWER(Upgrades!$O$15,G215)))*(IF(Upgrades!$T$13="Microlensing",POWER(Upgrades!$U$13,E215),1)*IF(Upgrades!$T$14="Microlensing",POWER(Upgrades!$U$14,F215),1)*IF(Upgrades!$T$16="Microlensing",POWER(Upgrades!$U$16,H215),1)*IF(Upgrades!$T$17="Microlensing",POWER(Upgrades!$U$17,I215),1)*IF(Upgrades!$T$18="Microlensing",POWER(Upgrades!$U$18,J215),1)*IF(Upgrades!$T$19="Microlensing",POWER(Upgrades!$U$19,K215),1)*IF(Upgrades!$T$20="Microlensing",POWER(Upgrades!$U$20,L215),1)*IF(Upgrades!$T$21="Microlensing",POWER(Upgrades!$U$21,M215),1))+(IF(H215=0,0,(Upgrades!$M$16+H215*Upgrades!$N$16)*POWER(Upgrades!$O$16,H215)))*(IF(Upgrades!$T$13="Roche Lobe Overflow",POWER(Upgrades!$U$13,E215),1)*IF(Upgrades!$T$14="Roche Lobe Overflow",POWER(Upgrades!$U$14,F215),1)*IF(Upgrades!$T$15="Roche Lobe Overflow",POWER(Upgrades!$U$15,G215),1)*IF(Upgrades!$T$17="Roche Lobe Overflow",POWER(Upgrades!$U$17,I215),1)*IF(Upgrades!$T$18="Roche Lobe Overflow",POWER(Upgrades!$U$18,J215),1)*IF(Upgrades!$T$19="Roche Lobe Overflow",POWER(Upgrades!$U$19,K215),1)*IF(Upgrades!$T$20="Roche Lobe Overflow",POWER(Upgrades!$U$20,L215),1)*IF(Upgrades!$T$21="Roche Lobe Overflow",POWER(Upgrades!$U$21,M215),1))+(IF(I215=0,0,(Upgrades!$M$17+I215*Upgrades!$N$17)*POWER(Upgrades!$O$17,I215)))*(IF(Upgrades!$T$13="Brown Dwarf",POWER(Upgrades!$U$13,E215),1)*IF(Upgrades!$T$14="Brown Dwarf",POWER(Upgrades!$U$14,F215),1)*IF(Upgrades!$T$15="Brown Dwarf",POWER(Upgrades!$U$15,G215),1)*IF(Upgrades!$T$16="Brown Dwarf",POWER(Upgrades!$U$16,H215),1)*IF(Upgrades!$T$18="Brown Dwarf",POWER(Upgrades!$U$18,J215),1)*IF(Upgrades!$T$19="Brown Dwarf",POWER(Upgrades!$U$19,K215),1)*IF(Upgrades!$T$20="Brown Dwarf",POWER(Upgrades!$U$20,L215),1)*IF(Upgrades!$T$21="Brown Dwarf",POWER(Upgrades!$U$21,M215),1))+(IF(J215=0,0,(Upgrades!$M$18+J215*Upgrades!$N$18)*POWER(Upgrades!$O$18,J215)))*(IF(Upgrades!$T$13="Binary Partner",POWER(Upgrades!$U$13,E215),1)*IF(Upgrades!$T$14="Binary Partner",POWER(Upgrades!$U$14,F215),1)*IF(Upgrades!$T$15="Binary Partner",POWER(Upgrades!$U$15,G215),1)*IF(Upgrades!$T$16="Binary Partner",POWER(Upgrades!$U$16,H215),1)*IF(Upgrades!$T$17="Binary Partner",POWER(Upgrades!$U$17,I215),1)*IF(Upgrades!$T$19="Binary Partner",POWER(Upgrades!$U$19,K215),1)*IF(Upgrades!$T$20="Binary Partner",POWER(Upgrades!$U$20,L215),1)*IF(Upgrades!$T$21="Binary Partner",POWER(Upgrades!$U$21,M215),1))+(IF(K215=0,0,(Upgrades!$M$19+K215*Upgrades!$N$19)*POWER(Upgrades!$O$19,K215)))*(IF(Upgrades!$T$13="Peculiar Velocity",POWER(Upgrades!$U$13,E215),1)*IF(Upgrades!$T$14="Peculiar Velocity",POWER(Upgrades!$U$14,F215),1)*IF(Upgrades!$T$15="Peculiar Velocity",POWER(Upgrades!$U$15,G215),1)*IF(Upgrades!$T$16="Peculiar Velocity",POWER(Upgrades!$U$16,H215),1)*IF(Upgrades!$T$17="Peculiar Velocity",POWER(Upgrades!$U$17,I215),1)*IF(Upgrades!$T$18="Peculiar Velocity",POWER(Upgrades!$U$18,J215),1)*IF(Upgrades!$T$20="Peculiar Velocity",POWER(Upgrades!$U$20,L215),1)*IF(Upgrades!$T$21="Peculiar Velocity",POWER(Upgrades!$U$21,M215),1))+(IF(L215=0,0,(Upgrades!$M$20+L215*Upgrades!$N$20)*POWER(Upgrades!$O$20,L215)))*(IF(Upgrades!$T$13="Open Cluster",POWER(Upgrades!$U$13,E215),1)*IF(Upgrades!$T$14="Open Cluster",POWER(Upgrades!$U$14,F215),1)*IF(Upgrades!$T$15="Open Cluster",POWER(Upgrades!$U$15,G215),1)*IF(Upgrades!$T$16="Open Cluster",POWER(Upgrades!$U$16,H215),1)*IF(Upgrades!$T$17="Open Cluster",POWER(Upgrades!$U$17,I215),1)*IF(Upgrades!$T$18="Open Cluster",POWER(Upgrades!$U$18,J215),1)*IF(Upgrades!$T$19="Open Cluster",POWER(Upgrades!$U$19,K215),1)*IF(Upgrades!$T$21="Open Cluster",POWER(Upgrades!$U$21,M215),1))+(IF(M215=0,0,(Upgrades!$M$21+M215*Upgrades!$N$21)*POWER(Upgrades!$O$21,M215)))*(IF(Upgrades!$T$13="Moving Group",POWER(Upgrades!$U$13,E215),1)*IF(Upgrades!$T$14="Moving Group",POWER(Upgrades!$U$14,F215),1)*IF(Upgrades!$T$15="Moving Group",POWER(Upgrades!$U$15,G215),1)*IF(Upgrades!$T$16="Moving Group",POWER(Upgrades!$U$16,H215),1)*IF(Upgrades!$T$17="Moving Group",POWER(Upgrades!$U$17,I215),1)*IF(Upgrades!$T$18="Moving Group",POWER(Upgrades!$U$18,J215),1)*IF(Upgrades!$T$19="Moving Group",POWER(Upgrades!$U$19,K215),1)*IF(Upgrades!$T$20="Moving Group",POWER(Upgrades!$U$20,L215),1)))*POWER(Upgrades!$R$13,E215)*POWER(Upgrades!$R$14,F215)*POWER(Upgrades!$R$15,G215)*POWER(Upgrades!$R$16,H215)*POWER(Upgrades!$R$17,I215)*POWER(Upgrades!$R$18,J215)*POWER(Upgrades!$R$19,K215)*POWER(Upgrades!$R$20,L215)*POWER(Upgrades!$R$21,M215)*$H$6+$E$6</f>
        <v/>
      </c>
      <c r="R215" s="27">
        <f>IF(N215=1,0,O215*Parameters!$B$10/60*Parameters!$B$11*10)</f>
        <v/>
      </c>
      <c r="S215" s="27">
        <f>IF(N215=1,0,Q215*O215*10)</f>
        <v/>
      </c>
      <c r="T215" s="27">
        <f>IF(N215=1,0,R215+S215+P215*10)</f>
        <v/>
      </c>
      <c r="U215" s="33">
        <f>BE215</f>
        <v/>
      </c>
      <c r="V215" s="22">
        <f>IF(U215="",0,IF(U215="transition",0,IF(U215="SK",AK215,IF(U215="LB",AL215,IF(U215="ML",AM215,IF(U215="RLO",AN215,IF(U215="BD",AO215,IF(U215="BiP",AP215,IF(U215="PV",AQ215,IF(U215="OC",AR215,IF(U215="MG",AS215,0))))))))))</f>
        <v/>
      </c>
      <c r="W215" s="27">
        <f>IF(U215="BiP",Upgrades!$F$18,IF(U215="PV",Upgrades!$F$19,IF(U215="OC",Upgrades!$F$20,IF(U215="MG",Upgrades!$F$21,IF(U215="transition",-Parameters!$B$18*Parameters!$B$19,0)))))</f>
        <v/>
      </c>
      <c r="X215" s="22">
        <f>C215+T215-V215</f>
        <v/>
      </c>
      <c r="Y215" s="30">
        <f>O215*Parameters!$B$10/60*Parameters!$B$11+Q215*O215+P215</f>
        <v/>
      </c>
      <c r="Z215" s="34">
        <f>IF(U215="transition","→ Tier 3 (Galactic Arm)",IF(U215="MG","Moving Group — pocket drifts together",IF(U215="OC","Open Cluster acquired",IF(U215="PV","Peculiar Velocity — passive multiplier active",IF(U215="BiP","Binary Partner — pair bond formed",IF(AND(AU215=1,N215=0,AT215&lt;&gt;1),"Cohesion ready (waiting on completionists)","")))))) </f>
        <v/>
      </c>
      <c r="AA215" s="27">
        <f>(IF(E215=0,0,(Upgrades!$G$13+E215*Upgrades!$H$13)*POWER(Upgrades!$I$13,E215)))*(IF(Upgrades!$T$14="Stellar Kinematics",POWER(Upgrades!$U$14,F215),1)*IF(Upgrades!$T$15="Stellar Kinematics",POWER(Upgrades!$U$15,G215),1)*IF(Upgrades!$T$16="Stellar Kinematics",POWER(Upgrades!$U$16,H215),1)*IF(Upgrades!$T$17="Stellar Kinematics",POWER(Upgrades!$U$17,I215),1)*IF(Upgrades!$T$18="Stellar Kinematics",POWER(Upgrades!$U$18,J215),1)*IF(Upgrades!$T$19="Stellar Kinematics",POWER(Upgrades!$U$19,K215),1)*IF(Upgrades!$T$20="Stellar Kinematics",POWER(Upgrades!$U$20,L215),1)*IF(Upgrades!$T$21="Stellar Kinematics",POWER(Upgrades!$U$21,M215),1))*POWER(Upgrades!$P$13,E215)*POWER(Upgrades!$P$14,F215)*POWER(Upgrades!$P$15,G215)*POWER(Upgrades!$P$16,H215)*POWER(Upgrades!$P$17,I215)*POWER(Upgrades!$P$18,J215)*POWER(Upgrades!$P$19,K215)*POWER(Upgrades!$P$20,L215)*POWER(Upgrades!$P$21,M215)*$F$6*60</f>
        <v/>
      </c>
      <c r="AB215" s="27">
        <f>(IF(F215=0,0,(Upgrades!$G$14+F215*Upgrades!$H$14)*POWER(Upgrades!$I$14,F215)))*(IF(Upgrades!$T$13="Local Bubble",POWER(Upgrades!$U$13,E215),1)*IF(Upgrades!$T$15="Local Bubble",POWER(Upgrades!$U$15,G215),1)*IF(Upgrades!$T$16="Local Bubble",POWER(Upgrades!$U$16,H215),1)*IF(Upgrades!$T$17="Local Bubble",POWER(Upgrades!$U$17,I215),1)*IF(Upgrades!$T$18="Local Bubble",POWER(Upgrades!$U$18,J215),1)*IF(Upgrades!$T$19="Local Bubble",POWER(Upgrades!$U$19,K215),1)*IF(Upgrades!$T$20="Local Bubble",POWER(Upgrades!$U$20,L215),1)*IF(Upgrades!$T$21="Local Bubble",POWER(Upgrades!$U$21,M215),1))*POWER(Upgrades!$P$13,E215)*POWER(Upgrades!$P$14,F215)*POWER(Upgrades!$P$15,G215)*POWER(Upgrades!$P$16,H215)*POWER(Upgrades!$P$17,I215)*POWER(Upgrades!$P$18,J215)*POWER(Upgrades!$P$19,K215)*POWER(Upgrades!$P$20,L215)*POWER(Upgrades!$P$21,M215)*$F$6*60</f>
        <v/>
      </c>
      <c r="AC215" s="27">
        <f>(IF(G215=0,0,(Upgrades!$J$15+G215*Upgrades!$K$15)*POWER(Upgrades!$L$15,G215)))*(IF(Upgrades!$T$13="Microlensing",POWER(Upgrades!$U$13,E215),1)*IF(Upgrades!$T$14="Microlensing",POWER(Upgrades!$U$14,F215),1)*IF(Upgrades!$T$16="Microlensing",POWER(Upgrades!$U$16,H215),1)*IF(Upgrades!$T$17="Microlensing",POWER(Upgrades!$U$17,I215),1)*IF(Upgrades!$T$18="Microlensing",POWER(Upgrades!$U$18,J215),1)*IF(Upgrades!$T$19="Microlensing",POWER(Upgrades!$U$19,K215),1)*IF(Upgrades!$T$20="Microlensing",POWER(Upgrades!$U$20,L215),1)*IF(Upgrades!$T$21="Microlensing",POWER(Upgrades!$U$21,M215),1))*POWER(Upgrades!$Q$13,E215)*POWER(Upgrades!$Q$14,F215)*POWER(Upgrades!$Q$15,G215)*POWER(Upgrades!$Q$16,H215)*POWER(Upgrades!$Q$17,I215)*POWER(Upgrades!$Q$18,J215)*POWER(Upgrades!$Q$19,K215)*POWER(Upgrades!$Q$20,L215)*POWER(Upgrades!$Q$21,M215)*$G$6*(Parameters!$B$10*Parameters!$B$11+Q215*60)</f>
        <v/>
      </c>
      <c r="AD215" s="27">
        <f>(IF(H215=0,0,(Upgrades!$M$16+H215*Upgrades!$N$16)*POWER(Upgrades!$O$16,H215)))*(IF(Upgrades!$T$13="Roche Lobe Overflow",POWER(Upgrades!$U$13,E215),1)*IF(Upgrades!$T$14="Roche Lobe Overflow",POWER(Upgrades!$U$14,F215),1)*IF(Upgrades!$T$15="Roche Lobe Overflow",POWER(Upgrades!$U$15,G215),1)*IF(Upgrades!$T$17="Roche Lobe Overflow",POWER(Upgrades!$U$17,I215),1)*IF(Upgrades!$T$18="Roche Lobe Overflow",POWER(Upgrades!$U$18,J215),1)*IF(Upgrades!$T$19="Roche Lobe Overflow",POWER(Upgrades!$U$19,K215),1)*IF(Upgrades!$T$20="Roche Lobe Overflow",POWER(Upgrades!$U$20,L215),1)*IF(Upgrades!$T$21="Roche Lobe Overflow",POWER(Upgrades!$U$21,M215),1))*POWER(Upgrades!$R$13,E215)*POWER(Upgrades!$R$14,F215)*POWER(Upgrades!$R$15,G215)*POWER(Upgrades!$R$16,H215)*POWER(Upgrades!$R$17,I215)*POWER(Upgrades!$R$18,J215)*POWER(Upgrades!$R$19,K215)*POWER(Upgrades!$R$20,L215)*POWER(Upgrades!$R$21,M215)*$H$6*O215*60</f>
        <v/>
      </c>
      <c r="AE215" s="27">
        <f>(IF(I215=0,0,(Upgrades!$G$17+I215*Upgrades!$H$17)*POWER(Upgrades!$I$17,I215)))*(IF(Upgrades!$T$13="Brown Dwarf",POWER(Upgrades!$U$13,E215),1)*IF(Upgrades!$T$14="Brown Dwarf",POWER(Upgrades!$U$14,F215),1)*IF(Upgrades!$T$15="Brown Dwarf",POWER(Upgrades!$U$15,G215),1)*IF(Upgrades!$T$16="Brown Dwarf",POWER(Upgrades!$U$16,H215),1)*IF(Upgrades!$T$18="Brown Dwarf",POWER(Upgrades!$U$18,J215),1)*IF(Upgrades!$T$19="Brown Dwarf",POWER(Upgrades!$U$19,K215),1)*IF(Upgrades!$T$20="Brown Dwarf",POWER(Upgrades!$U$20,L215),1)*IF(Upgrades!$T$21="Brown Dwarf",POWER(Upgrades!$U$21,M215),1))*POWER(Upgrades!$P$13,E215)*POWER(Upgrades!$P$14,F215)*POWER(Upgrades!$P$15,G215)*POWER(Upgrades!$P$16,H215)*POWER(Upgrades!$P$17,I215)*POWER(Upgrades!$P$18,J215)*POWER(Upgrades!$P$19,K215)*POWER(Upgrades!$P$20,L215)*POWER(Upgrades!$P$21,M215)*$F$6*60</f>
        <v/>
      </c>
      <c r="AF215" s="27" t="n">
        <v>0</v>
      </c>
      <c r="AG215" s="27" t="n">
        <v>0</v>
      </c>
      <c r="AH215" s="27" t="n">
        <v>0</v>
      </c>
      <c r="AI215" s="27">
        <f>(IF(M215=0,0,(Upgrades!$G$21+M215*Upgrades!$H$21)*POWER(Upgrades!$I$21,M215)))*(IF(Upgrades!$T$13="Moving Group",POWER(Upgrades!$U$13,E215),1)*IF(Upgrades!$T$14="Moving Group",POWER(Upgrades!$U$14,F215),1)*IF(Upgrades!$T$15="Moving Group",POWER(Upgrades!$U$15,G215),1)*IF(Upgrades!$T$16="Moving Group",POWER(Upgrades!$U$16,H215),1)*IF(Upgrades!$T$17="Moving Group",POWER(Upgrades!$U$17,I215),1)*IF(Upgrades!$T$18="Moving Group",POWER(Upgrades!$U$18,J215),1)*IF(Upgrades!$T$19="Moving Group",POWER(Upgrades!$U$19,K215),1)*IF(Upgrades!$T$20="Moving Group",POWER(Upgrades!$U$20,L215),1))*POWER(Upgrades!$P$13,E215)*POWER(Upgrades!$P$14,F215)*POWER(Upgrades!$P$15,G215)*POWER(Upgrades!$P$16,H215)*POWER(Upgrades!$P$17,I215)*POWER(Upgrades!$P$18,J215)*POWER(Upgrades!$P$19,K215)*POWER(Upgrades!$P$20,L215)*POWER(Upgrades!$P$21,M215)*$F$6*60</f>
        <v/>
      </c>
      <c r="AJ215" s="27">
        <f>$C$6*60</f>
        <v/>
      </c>
      <c r="AK215" s="22">
        <f>IF(E215&gt;=Upgrades!$E$13,"",Upgrades!$C$13*POWER(Upgrades!$D$13,E215))</f>
        <v/>
      </c>
      <c r="AL215" s="22">
        <f>IF(F215&gt;=Upgrades!$E$14,"",Upgrades!$C$14*POWER(Upgrades!$D$14,F215))</f>
        <v/>
      </c>
      <c r="AM215" s="22">
        <f>IF(G215&gt;=Upgrades!$E$15,"",Upgrades!$C$15*POWER(Upgrades!$D$15,G215))</f>
        <v/>
      </c>
      <c r="AN215" s="22">
        <f>IF(H215&gt;=Upgrades!$E$16,"",Upgrades!$C$16*POWER(Upgrades!$D$16,H215))</f>
        <v/>
      </c>
      <c r="AO215" s="22">
        <f>IF(I215&gt;=Upgrades!$E$17,"",Upgrades!$C$17*POWER(Upgrades!$D$17,I215))</f>
        <v/>
      </c>
      <c r="AP215" s="22">
        <f>IF(J215&gt;=Upgrades!$E$18,"",Upgrades!$C$18*POWER(Upgrades!$D$18,J215))</f>
        <v/>
      </c>
      <c r="AQ215" s="22">
        <f>IF(K215&gt;=Upgrades!$E$19,"",Upgrades!$C$19*POWER(Upgrades!$D$19,K215))</f>
        <v/>
      </c>
      <c r="AR215" s="22">
        <f>IF(L215&gt;=Upgrades!$E$20,"",Upgrades!$C$20*POWER(Upgrades!$D$20,L215))</f>
        <v/>
      </c>
      <c r="AS215" s="22">
        <f>IF(M215&gt;=Upgrades!$E$21,"",Upgrades!$C$21*POWER(Upgrades!$D$21,M215))</f>
        <v/>
      </c>
      <c r="AT215" s="26">
        <f>IF(AND(D215&gt;=Parameters!$B$18*Parameters!$B$19,(I215&gt;=Upgrades!$E$17)*(M215&gt;=Upgrades!$E$21)=1,N215=0),1,"")</f>
        <v/>
      </c>
      <c r="AU215" s="26">
        <f>IF(AND(D215&gt;=Parameters!$B$18*Parameters!$B$19,N215=0),1,"")</f>
        <v/>
      </c>
      <c r="AV215" s="22">
        <f>MIN(IF(ISNUMBER(AP215),AP215,9E15),IF(ISNUMBER(AQ215),AQ215,9E15),IF(ISNUMBER(AR215),AR215,9E15),IF(ISNUMBER(AS215),AS215,9E15))</f>
        <v/>
      </c>
      <c r="AW215" s="22">
        <f>MIN(IF(ISNUMBER(AK215),AK215,9E15),IF(ISNUMBER(AL215),AL215,9E15),IF(ISNUMBER(AM215),AM215,9E15),IF(ISNUMBER(AN215),AN215,9E15),IF(ISNUMBER(AO215),AO215,9E15))</f>
        <v/>
      </c>
      <c r="AX215" s="29">
        <f>IF(BD215&gt;Parameters!$B$21*(MAX(IF(AND(NOT(AND(AU215=1,AT215&lt;&gt;1)),ISNUMBER(AK215),AK215&lt;=(C215+T215)),AY215,0),IF(AND(NOT(AND(AU215=1,AT215&lt;&gt;1)),ISNUMBER(AL215),AL215&lt;=(C215+T215)),AZ215,0),IF(AND(NOT(AND(AU215=1,AT215&lt;&gt;1)),ISNUMBER(AM215),AM215&lt;=(C215+T215)),BA215,0),IF(AND(NOT(AND(AU215=1,AT215&lt;&gt;1)),ISNUMBER(AN215),AN215&lt;=(C215+T215)),BB215,0),IF(AND(ISNUMBER(AO215),AO215&lt;=(C215+T215)),BC215,0))),TRUE,FALSE)</f>
        <v/>
      </c>
      <c r="AY215" s="32">
        <f>IFERROR(Upgrades!$H$13*(POWER(Upgrades!$P$13,E215)*POWER(Upgrades!$P$14,F215)*POWER(Upgrades!$P$15,G215)*POWER(Upgrades!$P$16,H215)*POWER(Upgrades!$P$17,I215)*POWER(Upgrades!$P$18,J215)*POWER(Upgrades!$P$19,K215)*POWER(Upgrades!$P$20,L215)*POWER(Upgrades!$P$21,M215))*(IF(Upgrades!$T$14="Stellar Kinematics",POWER(Upgrades!$U$14,F215),1)*IF(Upgrades!$T$15="Stellar Kinematics",POWER(Upgrades!$U$15,G215),1)*IF(Upgrades!$T$16="Stellar Kinematics",POWER(Upgrades!$U$16,H215),1)*IF(Upgrades!$T$17="Stellar Kinematics",POWER(Upgrades!$U$17,I215),1)*IF(Upgrades!$T$18="Stellar Kinematics",POWER(Upgrades!$U$18,J215),1)*IF(Upgrades!$T$19="Stellar Kinematics",POWER(Upgrades!$U$19,K215),1)*IF(Upgrades!$T$20="Stellar Kinematics",POWER(Upgrades!$U$20,L215),1)*IF(Upgrades!$T$21="Stellar Kinematics",POWER(Upgrades!$U$21,M215),1))*$F$6/AK215,0)</f>
        <v/>
      </c>
      <c r="AZ215" s="32">
        <f>IFERROR(Upgrades!$H$14*(POWER(Upgrades!$P$13,E215)*POWER(Upgrades!$P$14,F215)*POWER(Upgrades!$P$15,G215)*POWER(Upgrades!$P$16,H215)*POWER(Upgrades!$P$17,I215)*POWER(Upgrades!$P$18,J215)*POWER(Upgrades!$P$19,K215)*POWER(Upgrades!$P$20,L215)*POWER(Upgrades!$P$21,M215))*(IF(Upgrades!$T$13="Local Bubble",POWER(Upgrades!$U$13,E215),1)*IF(Upgrades!$T$15="Local Bubble",POWER(Upgrades!$U$15,G215),1)*IF(Upgrades!$T$16="Local Bubble",POWER(Upgrades!$U$16,H215),1)*IF(Upgrades!$T$17="Local Bubble",POWER(Upgrades!$U$17,I215),1)*IF(Upgrades!$T$18="Local Bubble",POWER(Upgrades!$U$18,J215),1)*IF(Upgrades!$T$19="Local Bubble",POWER(Upgrades!$U$19,K215),1)*IF(Upgrades!$T$20="Local Bubble",POWER(Upgrades!$U$20,L215),1)*IF(Upgrades!$T$21="Local Bubble",POWER(Upgrades!$U$21,M215),1))*$F$6/AL215,0)</f>
        <v/>
      </c>
      <c r="BA215" s="32">
        <f>IFERROR(Upgrades!$K$15*(POWER(Upgrades!$Q$13,E215)*POWER(Upgrades!$Q$14,F215)*POWER(Upgrades!$Q$15,G215)*POWER(Upgrades!$Q$16,H215)*POWER(Upgrades!$Q$17,I215)*POWER(Upgrades!$Q$18,J215)*POWER(Upgrades!$Q$19,K215)*POWER(Upgrades!$Q$20,L215)*POWER(Upgrades!$Q$21,M215))*(IF(Upgrades!$T$13="Microlensing",POWER(Upgrades!$U$13,E215),1)*IF(Upgrades!$T$14="Microlensing",POWER(Upgrades!$U$14,F215),1)*IF(Upgrades!$T$16="Microlensing",POWER(Upgrades!$U$16,H215),1)*IF(Upgrades!$T$17="Microlensing",POWER(Upgrades!$U$17,I215),1)*IF(Upgrades!$T$18="Microlensing",POWER(Upgrades!$U$18,J215),1)*IF(Upgrades!$T$19="Microlensing",POWER(Upgrades!$U$19,K215),1)*IF(Upgrades!$T$20="Microlensing",POWER(Upgrades!$U$20,L215),1)*IF(Upgrades!$T$21="Microlensing",POWER(Upgrades!$U$21,M215),1))*$G$6*(Parameters!$B$10/60*Parameters!$B$11+Q215)/AM215,0)</f>
        <v/>
      </c>
      <c r="BB215" s="32">
        <f>IFERROR((Upgrades!$N$16*(POWER(Upgrades!$R$13,E215)*POWER(Upgrades!$R$14,F215)*POWER(Upgrades!$R$15,G215)*POWER(Upgrades!$R$16,H215)*POWER(Upgrades!$R$17,I215)*POWER(Upgrades!$R$18,J215)*POWER(Upgrades!$R$19,K215)*POWER(Upgrades!$R$20,L215)*POWER(Upgrades!$R$21,M215))*(IF(Upgrades!$T$13="Roche Lobe Overflow",POWER(Upgrades!$U$13,E215),1)*IF(Upgrades!$T$14="Roche Lobe Overflow",POWER(Upgrades!$U$14,F215),1)*IF(Upgrades!$T$15="Roche Lobe Overflow",POWER(Upgrades!$U$15,G215),1)*IF(Upgrades!$T$17="Roche Lobe Overflow",POWER(Upgrades!$U$17,I215),1)*IF(Upgrades!$T$18="Roche Lobe Overflow",POWER(Upgrades!$U$18,J215),1)*IF(Upgrades!$T$19="Roche Lobe Overflow",POWER(Upgrades!$U$19,K215),1)*IF(Upgrades!$T$20="Roche Lobe Overflow",POWER(Upgrades!$U$20,L215),1)*IF(Upgrades!$T$21="Roche Lobe Overflow",POWER(Upgrades!$U$21,M215),1))*$H$6*O215+((IF(F215=0,0,(Upgrades!$G$14+F215*Upgrades!$H$14)*POWER(Upgrades!$I$14,F215)))*(IF(Upgrades!$T$13="Local Bubble",POWER(Upgrades!$U$13,E215),1)*IF(Upgrades!$T$15="Local Bubble",POWER(Upgrades!$U$15,G215),1)*IF(Upgrades!$T$16="Local Bubble",POWER(Upgrades!$U$16,H215),1)*IF(Upgrades!$T$17="Local Bubble",POWER(Upgrades!$U$17,I215),1)*IF(Upgrades!$T$18="Local Bubble",POWER(Upgrades!$U$18,J215),1)*IF(Upgrades!$T$19="Local Bubble",POWER(Upgrades!$U$19,K215),1)*IF(Upgrades!$T$20="Local Bubble",POWER(Upgrades!$U$20,L215),1)*IF(Upgrades!$T$21="Local Bubble",POWER(Upgrades!$U$21,M215),1))*POWER(Upgrades!$P$13,E215)*POWER(Upgrades!$P$14,F215)*POWER(Upgrades!$P$15,G215)*POWER(Upgrades!$P$16,H215)*POWER(Upgrades!$P$17,I215)*POWER(Upgrades!$P$18,J215)*POWER(Upgrades!$P$19,K215)*POWER(Upgrades!$P$20,L215)*POWER(Upgrades!$P$21,M215)*$F$6)*0.05)/AN215,0)</f>
        <v/>
      </c>
      <c r="BC215" s="32">
        <f>IFERROR((Upgrades!$H$17*(POWER(Upgrades!$P$13,E215)*POWER(Upgrades!$P$14,F215)*POWER(Upgrades!$P$15,G215)*POWER(Upgrades!$P$16,H215)*POWER(Upgrades!$P$17,I215)*POWER(Upgrades!$P$18,J215)*POWER(Upgrades!$P$19,K215)*POWER(Upgrades!$P$20,L215)*POWER(Upgrades!$P$21,M215))*(IF(Upgrades!$T$13="Brown Dwarf",POWER(Upgrades!$U$13,E215),1)*IF(Upgrades!$T$14="Brown Dwarf",POWER(Upgrades!$U$14,F215),1)*IF(Upgrades!$T$15="Brown Dwarf",POWER(Upgrades!$U$15,G215),1)*IF(Upgrades!$T$16="Brown Dwarf",POWER(Upgrades!$U$16,H215),1)*IF(Upgrades!$T$18="Brown Dwarf",POWER(Upgrades!$U$18,J215),1)*IF(Upgrades!$T$19="Brown Dwarf",POWER(Upgrades!$U$19,K215),1)*IF(Upgrades!$T$20="Brown Dwarf",POWER(Upgrades!$U$20,L215),1)*IF(Upgrades!$T$21="Brown Dwarf",POWER(Upgrades!$U$21,M215),1))*$F$6+(((IF(H215=0,0,(Upgrades!$M$16+H215*Upgrades!$N$16)*POWER(Upgrades!$O$16,H215)))*(IF(Upgrades!$T$13="Roche Lobe Overflow",POWER(Upgrades!$U$13,E215),1)*IF(Upgrades!$T$14="Roche Lobe Overflow",POWER(Upgrades!$U$14,F215),1)*IF(Upgrades!$T$15="Roche Lobe Overflow",POWER(Upgrades!$U$15,G215),1)*IF(Upgrades!$T$17="Roche Lobe Overflow",POWER(Upgrades!$U$17,I215),1)*IF(Upgrades!$T$18="Roche Lobe Overflow",POWER(Upgrades!$U$18,J215),1)*IF(Upgrades!$T$19="Roche Lobe Overflow",POWER(Upgrades!$U$19,K215),1)*IF(Upgrades!$T$20="Roche Lobe Overflow",POWER(Upgrades!$U$20,L215),1)*IF(Upgrades!$T$21="Roche Lobe Overflow",POWER(Upgrades!$U$21,M215),1))*POWER(Upgrades!$R$13,E215)*POWER(Upgrades!$R$14,F215)*POWER(Upgrades!$R$15,G215)*POWER(Upgrades!$R$16,H215)*POWER(Upgrades!$R$17,I215)*POWER(Upgrades!$R$18,J215)*POWER(Upgrades!$R$19,K215)*POWER(Upgrades!$R$20,L215)*POWER(Upgrades!$R$21,M215)*$H$6)*O215)*0.10)/AO215,0)</f>
        <v/>
      </c>
      <c r="BD215" s="32">
        <f>MAX(IF(J215&gt;0,0,IFERROR(0.5*((IF(G215=0,0,(Upgrades!$J$15+G215*Upgrades!$K$15)*POWER(Upgrades!$L$15,G215)))*(IF(Upgrades!$T$13="Microlensing",POWER(Upgrades!$U$13,E215),1)*IF(Upgrades!$T$14="Microlensing",POWER(Upgrades!$U$14,F215),1)*IF(Upgrades!$T$16="Microlensing",POWER(Upgrades!$U$16,H215),1)*IF(Upgrades!$T$17="Microlensing",POWER(Upgrades!$U$17,I215),1)*IF(Upgrades!$T$18="Microlensing",POWER(Upgrades!$U$18,J215),1)*IF(Upgrades!$T$19="Microlensing",POWER(Upgrades!$U$19,K215),1)*IF(Upgrades!$T$20="Microlensing",POWER(Upgrades!$U$20,L215),1)*IF(Upgrades!$T$21="Microlensing",POWER(Upgrades!$U$21,M215),1))*(POWER(Upgrades!$Q$13,E215)*POWER(Upgrades!$Q$14,F215)*POWER(Upgrades!$Q$15,G215)*POWER(Upgrades!$Q$16,H215)*POWER(Upgrades!$Q$17,I215)*POWER(Upgrades!$Q$18,J215)*POWER(Upgrades!$Q$19,K215)*POWER(Upgrades!$Q$20,L215)*POWER(Upgrades!$Q$21,M215))*$G$6*(Parameters!$B$10/60*Parameters!$B$11+Q215))/Upgrades!$C$18,0)),IF(K215&gt;0,0,IFERROR(0.30*P215/Upgrades!$C$19,0)),IF(L215&gt;0,0,IFERROR(0.0001/Upgrades!$C$20,0)),IF(M215&gt;0,0,IFERROR((6.0*(POWER(Upgrades!$P$13,E215)*POWER(Upgrades!$P$14,F215)*POWER(Upgrades!$P$15,G215)*POWER(Upgrades!$P$16,H215)*POWER(Upgrades!$P$17,I215)*POWER(Upgrades!$P$18,J215)*POWER(Upgrades!$P$19,K215)*POWER(Upgrades!$P$20,L215)*POWER(Upgrades!$P$21,M215))*$F$6+0.20*O215*(Parameters!$B$10/60*Parameters!$B$11+Q215))/Upgrades!$C$21,0)),IF(AND(ISNUMBER(AK215),AK215&gt;(C215+T215)),AY215,0),IF(AND(ISNUMBER(AL215),AL215&gt;(C215+T215)),AZ215,0),IF(AND(ISNUMBER(AM215),AM215&gt;(C215+T215)),BA215,0),IF(AND(ISNUMBER(AN215),AN215&gt;(C215+T215)),BB215,0),IF(AND(ISNUMBER(AO215),AO215&gt;(C215+T215)),BC215,0))</f>
        <v/>
      </c>
      <c r="BE215" s="29">
        <f>IF(AT215=1,"transition",IF(MIN(IF(AND(J215=0,ISNUMBER(AP215),AP215&lt;=(C215+T215)),AP215,9E15),IF(AND(K215=0,ISNUMBER(AQ215),AQ215&lt;=(C215+T215)),AQ215,9E15),IF(AND(L215=0,ISNUMBER(AR215),AR215&lt;=(C215+T215)),AR215,9E15),IF(AND(M215=0,ISNUMBER(AS215),AS215&lt;=(C215+T215)),AS215,9E15))&lt;9E15,IF(AND(AND(J215=0,ISNUMBER(AP215),AP215&lt;=(C215+T215)),AP215=MIN(IF(AND(J215=0,ISNUMBER(AP215),AP215&lt;=(C215+T215)),AP215,9E15),IF(AND(K215=0,ISNUMBER(AQ215),AQ215&lt;=(C215+T215)),AQ215,9E15),IF(AND(L215=0,ISNUMBER(AR215),AR215&lt;=(C215+T215)),AR215,9E15),IF(AND(M215=0,ISNUMBER(AS215),AS215&lt;=(C215+T215)),AS215,9E15))),"BiP",IF(AND(AND(K215=0,ISNUMBER(AQ215),AQ215&lt;=(C215+T215)),AQ215=MIN(IF(AND(J215=0,ISNUMBER(AP215),AP215&lt;=(C215+T215)),AP215,9E15),IF(AND(K215=0,ISNUMBER(AQ215),AQ215&lt;=(C215+T215)),AQ215,9E15),IF(AND(L215=0,ISNUMBER(AR215),AR215&lt;=(C215+T215)),AR215,9E15),IF(AND(M215=0,ISNUMBER(AS215),AS215&lt;=(C215+T215)),AS215,9E15))),"PV",IF(AND(AND(L215=0,ISNUMBER(AR215),AR215&lt;=(C215+T215)),AR215=MIN(IF(AND(J215=0,ISNUMBER(AP215),AP215&lt;=(C215+T215)),AP215,9E15),IF(AND(K215=0,ISNUMBER(AQ215),AQ215&lt;=(C215+T215)),AQ215,9E15),IF(AND(L215=0,ISNUMBER(AR215),AR215&lt;=(C215+T215)),AR215,9E15),IF(AND(M215=0,ISNUMBER(AS215),AS215&lt;=(C215+T215)),AS215,9E15))),"OC","MG"))),IF(AX215=TRUE,"",IF(MAX(IF(AND(NOT(AND(AU215=1,AT215&lt;&gt;1)),ISNUMBER(AK215),AK215&lt;=(C215+T215)),AY215,0),IF(AND(NOT(AND(AU215=1,AT215&lt;&gt;1)),ISNUMBER(AL215),AL215&lt;=(C215+T215)),AZ215,0),IF(AND(NOT(AND(AU215=1,AT215&lt;&gt;1)),ISNUMBER(AM215),AM215&lt;=(C215+T215)),BA215,0),IF(AND(NOT(AND(AU215=1,AT215&lt;&gt;1)),ISNUMBER(AN215),AN215&lt;=(C215+T215)),BB215,0),IF(AND(ISNUMBER(AO215),AO215&lt;=(C215+T215)),BC215,0))&lt;=0,"",IF(AND(IF(AND(NOT(AND(AU215=1,AT215&lt;&gt;1)),ISNUMBER(AK215),AK215&lt;=(C215+T215)),AY215,0)&gt;0,IF(AND(NOT(AND(AU215=1,AT215&lt;&gt;1)),ISNUMBER(AK215),AK215&lt;=(C215+T215)),AY215,0)=MAX(IF(AND(NOT(AND(AU215=1,AT215&lt;&gt;1)),ISNUMBER(AK215),AK215&lt;=(C215+T215)),AY215,0),IF(AND(NOT(AND(AU215=1,AT215&lt;&gt;1)),ISNUMBER(AL215),AL215&lt;=(C215+T215)),AZ215,0),IF(AND(NOT(AND(AU215=1,AT215&lt;&gt;1)),ISNUMBER(AM215),AM215&lt;=(C215+T215)),BA215,0),IF(AND(NOT(AND(AU215=1,AT215&lt;&gt;1)),ISNUMBER(AN215),AN215&lt;=(C215+T215)),BB215,0),IF(AND(ISNUMBER(AO215),AO215&lt;=(C215+T215)),BC215,0))),"SK",IF(AND(IF(AND(NOT(AND(AU215=1,AT215&lt;&gt;1)),ISNUMBER(AL215),AL215&lt;=(C215+T215)),AZ215,0)&gt;0,IF(AND(NOT(AND(AU215=1,AT215&lt;&gt;1)),ISNUMBER(AL215),AL215&lt;=(C215+T215)),AZ215,0)=MAX(IF(AND(NOT(AND(AU215=1,AT215&lt;&gt;1)),ISNUMBER(AK215),AK215&lt;=(C215+T215)),AY215,0),IF(AND(NOT(AND(AU215=1,AT215&lt;&gt;1)),ISNUMBER(AL215),AL215&lt;=(C215+T215)),AZ215,0),IF(AND(NOT(AND(AU215=1,AT215&lt;&gt;1)),ISNUMBER(AM215),AM215&lt;=(C215+T215)),BA215,0),IF(AND(NOT(AND(AU215=1,AT215&lt;&gt;1)),ISNUMBER(AN215),AN215&lt;=(C215+T215)),BB215,0),IF(AND(ISNUMBER(AO215),AO215&lt;=(C215+T215)),BC215,0))),"LB",IF(AND(IF(AND(NOT(AND(AU215=1,AT215&lt;&gt;1)),ISNUMBER(AM215),AM215&lt;=(C215+T215)),BA215,0)&gt;0,IF(AND(NOT(AND(AU215=1,AT215&lt;&gt;1)),ISNUMBER(AM215),AM215&lt;=(C215+T215)),BA215,0)=MAX(IF(AND(NOT(AND(AU215=1,AT215&lt;&gt;1)),ISNUMBER(AK215),AK215&lt;=(C215+T215)),AY215,0),IF(AND(NOT(AND(AU215=1,AT215&lt;&gt;1)),ISNUMBER(AL215),AL215&lt;=(C215+T215)),AZ215,0),IF(AND(NOT(AND(AU215=1,AT215&lt;&gt;1)),ISNUMBER(AM215),AM215&lt;=(C215+T215)),BA215,0),IF(AND(NOT(AND(AU215=1,AT215&lt;&gt;1)),ISNUMBER(AN215),AN215&lt;=(C215+T215)),BB215,0),IF(AND(ISNUMBER(AO215),AO215&lt;=(C215+T215)),BC215,0))),"ML",IF(AND(IF(AND(NOT(AND(AU215=1,AT215&lt;&gt;1)),ISNUMBER(AN215),AN215&lt;=(C215+T215)),BB215,0)&gt;0,IF(AND(NOT(AND(AU215=1,AT215&lt;&gt;1)),ISNUMBER(AN215),AN215&lt;=(C215+T215)),BB215,0)=MAX(IF(AND(NOT(AND(AU215=1,AT215&lt;&gt;1)),ISNUMBER(AK215),AK215&lt;=(C215+T215)),AY215,0),IF(AND(NOT(AND(AU215=1,AT215&lt;&gt;1)),ISNUMBER(AL215),AL215&lt;=(C215+T215)),AZ215,0),IF(AND(NOT(AND(AU215=1,AT215&lt;&gt;1)),ISNUMBER(AM215),AM215&lt;=(C215+T215)),BA215,0),IF(AND(NOT(AND(AU215=1,AT215&lt;&gt;1)),ISNUMBER(AN215),AN215&lt;=(C215+T215)),BB215,0),IF(AND(ISNUMBER(AO215),AO215&lt;=(C215+T215)),BC215,0))),"RLO","BD"))))))))</f>
        <v/>
      </c>
    </row>
    <row r="216">
      <c r="A216" s="26" t="n">
        <v>205</v>
      </c>
      <c r="B216" s="27">
        <f>A216*10/60</f>
        <v/>
      </c>
      <c r="C216" s="22">
        <f>X215</f>
        <v/>
      </c>
      <c r="D216" s="27">
        <f>D215+W215</f>
        <v/>
      </c>
      <c r="E216" s="26">
        <f>E215+IF(U215="SK",1,0)</f>
        <v/>
      </c>
      <c r="F216" s="26">
        <f>F215+IF(U215="LB",1,0)</f>
        <v/>
      </c>
      <c r="G216" s="26">
        <f>G215+IF(U215="ML",1,0)</f>
        <v/>
      </c>
      <c r="H216" s="26">
        <f>H215+IF(U215="RLO",1,0)</f>
        <v/>
      </c>
      <c r="I216" s="26">
        <f>I215+IF(U215="BD",1,0)</f>
        <v/>
      </c>
      <c r="J216" s="26">
        <f>MAX(J215,IF(U215="BiP",1,0))</f>
        <v/>
      </c>
      <c r="K216" s="26">
        <f>MAX(K215,IF(U215="PV",1,0))</f>
        <v/>
      </c>
      <c r="L216" s="26">
        <f>MAX(L215,IF(U215="OC",1,0))</f>
        <v/>
      </c>
      <c r="M216" s="26">
        <f>MAX(M215,IF(U215="MG",1,0))</f>
        <v/>
      </c>
      <c r="N216" s="26">
        <f>MAX(N215,IF(U215="transition",1,0))</f>
        <v/>
      </c>
      <c r="O216" s="28">
        <f>(Parameters!$B$9+(IF(E216=0,0,(Upgrades!$J$13+E216*Upgrades!$K$13)*POWER(Upgrades!$L$13,E216)))*(IF(Upgrades!$T$14="Stellar Kinematics",POWER(Upgrades!$U$14,F216),1)*IF(Upgrades!$T$15="Stellar Kinematics",POWER(Upgrades!$U$15,G216),1)*IF(Upgrades!$T$16="Stellar Kinematics",POWER(Upgrades!$U$16,H216),1)*IF(Upgrades!$T$17="Stellar Kinematics",POWER(Upgrades!$U$17,I216),1)*IF(Upgrades!$T$18="Stellar Kinematics",POWER(Upgrades!$U$18,J216),1)*IF(Upgrades!$T$19="Stellar Kinematics",POWER(Upgrades!$U$19,K216),1)*IF(Upgrades!$T$20="Stellar Kinematics",POWER(Upgrades!$U$20,L216),1)*IF(Upgrades!$T$21="Stellar Kinematics",POWER(Upgrades!$U$21,M216),1))+(IF(F216=0,0,(Upgrades!$J$14+F216*Upgrades!$K$14)*POWER(Upgrades!$L$14,F216)))*(IF(Upgrades!$T$13="Local Bubble",POWER(Upgrades!$U$13,E216),1)*IF(Upgrades!$T$15="Local Bubble",POWER(Upgrades!$U$15,G216),1)*IF(Upgrades!$T$16="Local Bubble",POWER(Upgrades!$U$16,H216),1)*IF(Upgrades!$T$17="Local Bubble",POWER(Upgrades!$U$17,I216),1)*IF(Upgrades!$T$18="Local Bubble",POWER(Upgrades!$U$18,J216),1)*IF(Upgrades!$T$19="Local Bubble",POWER(Upgrades!$U$19,K216),1)*IF(Upgrades!$T$20="Local Bubble",POWER(Upgrades!$U$20,L216),1)*IF(Upgrades!$T$21="Local Bubble",POWER(Upgrades!$U$21,M216),1))+(IF(G216=0,0,(Upgrades!$J$15+G216*Upgrades!$K$15)*POWER(Upgrades!$L$15,G216)))*(IF(Upgrades!$T$13="Microlensing",POWER(Upgrades!$U$13,E216),1)*IF(Upgrades!$T$14="Microlensing",POWER(Upgrades!$U$14,F216),1)*IF(Upgrades!$T$16="Microlensing",POWER(Upgrades!$U$16,H216),1)*IF(Upgrades!$T$17="Microlensing",POWER(Upgrades!$U$17,I216),1)*IF(Upgrades!$T$18="Microlensing",POWER(Upgrades!$U$18,J216),1)*IF(Upgrades!$T$19="Microlensing",POWER(Upgrades!$U$19,K216),1)*IF(Upgrades!$T$20="Microlensing",POWER(Upgrades!$U$20,L216),1)*IF(Upgrades!$T$21="Microlensing",POWER(Upgrades!$U$21,M216),1))+(IF(H216=0,0,(Upgrades!$J$16+H216*Upgrades!$K$16)*POWER(Upgrades!$L$16,H216)))*(IF(Upgrades!$T$13="Roche Lobe Overflow",POWER(Upgrades!$U$13,E216),1)*IF(Upgrades!$T$14="Roche Lobe Overflow",POWER(Upgrades!$U$14,F216),1)*IF(Upgrades!$T$15="Roche Lobe Overflow",POWER(Upgrades!$U$15,G216),1)*IF(Upgrades!$T$17="Roche Lobe Overflow",POWER(Upgrades!$U$17,I216),1)*IF(Upgrades!$T$18="Roche Lobe Overflow",POWER(Upgrades!$U$18,J216),1)*IF(Upgrades!$T$19="Roche Lobe Overflow",POWER(Upgrades!$U$19,K216),1)*IF(Upgrades!$T$20="Roche Lobe Overflow",POWER(Upgrades!$U$20,L216),1)*IF(Upgrades!$T$21="Roche Lobe Overflow",POWER(Upgrades!$U$21,M216),1))+(IF(I216=0,0,(Upgrades!$J$17+I216*Upgrades!$K$17)*POWER(Upgrades!$L$17,I216)))*(IF(Upgrades!$T$13="Brown Dwarf",POWER(Upgrades!$U$13,E216),1)*IF(Upgrades!$T$14="Brown Dwarf",POWER(Upgrades!$U$14,F216),1)*IF(Upgrades!$T$15="Brown Dwarf",POWER(Upgrades!$U$15,G216),1)*IF(Upgrades!$T$16="Brown Dwarf",POWER(Upgrades!$U$16,H216),1)*IF(Upgrades!$T$18="Brown Dwarf",POWER(Upgrades!$U$18,J216),1)*IF(Upgrades!$T$19="Brown Dwarf",POWER(Upgrades!$U$19,K216),1)*IF(Upgrades!$T$20="Brown Dwarf",POWER(Upgrades!$U$20,L216),1)*IF(Upgrades!$T$21="Brown Dwarf",POWER(Upgrades!$U$21,M216),1))+(IF(J216=0,0,(Upgrades!$J$18+J216*Upgrades!$K$18)*POWER(Upgrades!$L$18,J216)))*(IF(Upgrades!$T$13="Binary Partner",POWER(Upgrades!$U$13,E216),1)*IF(Upgrades!$T$14="Binary Partner",POWER(Upgrades!$U$14,F216),1)*IF(Upgrades!$T$15="Binary Partner",POWER(Upgrades!$U$15,G216),1)*IF(Upgrades!$T$16="Binary Partner",POWER(Upgrades!$U$16,H216),1)*IF(Upgrades!$T$17="Binary Partner",POWER(Upgrades!$U$17,I216),1)*IF(Upgrades!$T$19="Binary Partner",POWER(Upgrades!$U$19,K216),1)*IF(Upgrades!$T$20="Binary Partner",POWER(Upgrades!$U$20,L216),1)*IF(Upgrades!$T$21="Binary Partner",POWER(Upgrades!$U$21,M216),1))+(IF(K216=0,0,(Upgrades!$J$19+K216*Upgrades!$K$19)*POWER(Upgrades!$L$19,K216)))*(IF(Upgrades!$T$13="Peculiar Velocity",POWER(Upgrades!$U$13,E216),1)*IF(Upgrades!$T$14="Peculiar Velocity",POWER(Upgrades!$U$14,F216),1)*IF(Upgrades!$T$15="Peculiar Velocity",POWER(Upgrades!$U$15,G216),1)*IF(Upgrades!$T$16="Peculiar Velocity",POWER(Upgrades!$U$16,H216),1)*IF(Upgrades!$T$17="Peculiar Velocity",POWER(Upgrades!$U$17,I216),1)*IF(Upgrades!$T$18="Peculiar Velocity",POWER(Upgrades!$U$18,J216),1)*IF(Upgrades!$T$20="Peculiar Velocity",POWER(Upgrades!$U$20,L216),1)*IF(Upgrades!$T$21="Peculiar Velocity",POWER(Upgrades!$U$21,M216),1))+(IF(L216=0,0,(Upgrades!$J$20+L216*Upgrades!$K$20)*POWER(Upgrades!$L$20,L216)))*(IF(Upgrades!$T$13="Open Cluster",POWER(Upgrades!$U$13,E216),1)*IF(Upgrades!$T$14="Open Cluster",POWER(Upgrades!$U$14,F216),1)*IF(Upgrades!$T$15="Open Cluster",POWER(Upgrades!$U$15,G216),1)*IF(Upgrades!$T$16="Open Cluster",POWER(Upgrades!$U$16,H216),1)*IF(Upgrades!$T$17="Open Cluster",POWER(Upgrades!$U$17,I216),1)*IF(Upgrades!$T$18="Open Cluster",POWER(Upgrades!$U$18,J216),1)*IF(Upgrades!$T$19="Open Cluster",POWER(Upgrades!$U$19,K216),1)*IF(Upgrades!$T$21="Open Cluster",POWER(Upgrades!$U$21,M216),1))+(IF(M216=0,0,(Upgrades!$J$21+M216*Upgrades!$K$21)*POWER(Upgrades!$L$21,M216)))*(IF(Upgrades!$T$13="Moving Group",POWER(Upgrades!$U$13,E216),1)*IF(Upgrades!$T$14="Moving Group",POWER(Upgrades!$U$14,F216),1)*IF(Upgrades!$T$15="Moving Group",POWER(Upgrades!$U$15,G216),1)*IF(Upgrades!$T$16="Moving Group",POWER(Upgrades!$U$16,H216),1)*IF(Upgrades!$T$17="Moving Group",POWER(Upgrades!$U$17,I216),1)*IF(Upgrades!$T$18="Moving Group",POWER(Upgrades!$U$18,J216),1)*IF(Upgrades!$T$19="Moving Group",POWER(Upgrades!$U$19,K216),1)*IF(Upgrades!$T$20="Moving Group",POWER(Upgrades!$U$20,L216),1)))*POWER(Upgrades!$Q$13,E216)*POWER(Upgrades!$Q$14,F216)*POWER(Upgrades!$Q$15,G216)*POWER(Upgrades!$Q$16,H216)*POWER(Upgrades!$Q$17,I216)*POWER(Upgrades!$Q$18,J216)*POWER(Upgrades!$Q$19,K216)*POWER(Upgrades!$Q$20,L216)*POWER(Upgrades!$Q$21,M216)*$G$6+$D$6</f>
        <v/>
      </c>
      <c r="P216" s="28">
        <f>((IF(E216=0,0,(Upgrades!$G$13+E216*Upgrades!$H$13)*POWER(Upgrades!$I$13,E216)))*(IF(Upgrades!$T$14="Stellar Kinematics",POWER(Upgrades!$U$14,F216),1)*IF(Upgrades!$T$15="Stellar Kinematics",POWER(Upgrades!$U$15,G216),1)*IF(Upgrades!$T$16="Stellar Kinematics",POWER(Upgrades!$U$16,H216),1)*IF(Upgrades!$T$17="Stellar Kinematics",POWER(Upgrades!$U$17,I216),1)*IF(Upgrades!$T$18="Stellar Kinematics",POWER(Upgrades!$U$18,J216),1)*IF(Upgrades!$T$19="Stellar Kinematics",POWER(Upgrades!$U$19,K216),1)*IF(Upgrades!$T$20="Stellar Kinematics",POWER(Upgrades!$U$20,L216),1)*IF(Upgrades!$T$21="Stellar Kinematics",POWER(Upgrades!$U$21,M216),1))+(IF(F216=0,0,(Upgrades!$G$14+F216*Upgrades!$H$14)*POWER(Upgrades!$I$14,F216)))*(IF(Upgrades!$T$13="Local Bubble",POWER(Upgrades!$U$13,E216),1)*IF(Upgrades!$T$15="Local Bubble",POWER(Upgrades!$U$15,G216),1)*IF(Upgrades!$T$16="Local Bubble",POWER(Upgrades!$U$16,H216),1)*IF(Upgrades!$T$17="Local Bubble",POWER(Upgrades!$U$17,I216),1)*IF(Upgrades!$T$18="Local Bubble",POWER(Upgrades!$U$18,J216),1)*IF(Upgrades!$T$19="Local Bubble",POWER(Upgrades!$U$19,K216),1)*IF(Upgrades!$T$20="Local Bubble",POWER(Upgrades!$U$20,L216),1)*IF(Upgrades!$T$21="Local Bubble",POWER(Upgrades!$U$21,M216),1))+(IF(G216=0,0,(Upgrades!$G$15+G216*Upgrades!$H$15)*POWER(Upgrades!$I$15,G216)))*(IF(Upgrades!$T$13="Microlensing",POWER(Upgrades!$U$13,E216),1)*IF(Upgrades!$T$14="Microlensing",POWER(Upgrades!$U$14,F216),1)*IF(Upgrades!$T$16="Microlensing",POWER(Upgrades!$U$16,H216),1)*IF(Upgrades!$T$17="Microlensing",POWER(Upgrades!$U$17,I216),1)*IF(Upgrades!$T$18="Microlensing",POWER(Upgrades!$U$18,J216),1)*IF(Upgrades!$T$19="Microlensing",POWER(Upgrades!$U$19,K216),1)*IF(Upgrades!$T$20="Microlensing",POWER(Upgrades!$U$20,L216),1)*IF(Upgrades!$T$21="Microlensing",POWER(Upgrades!$U$21,M216),1))+(IF(H216=0,0,(Upgrades!$G$16+H216*Upgrades!$H$16)*POWER(Upgrades!$I$16,H216)))*(IF(Upgrades!$T$13="Roche Lobe Overflow",POWER(Upgrades!$U$13,E216),1)*IF(Upgrades!$T$14="Roche Lobe Overflow",POWER(Upgrades!$U$14,F216),1)*IF(Upgrades!$T$15="Roche Lobe Overflow",POWER(Upgrades!$U$15,G216),1)*IF(Upgrades!$T$17="Roche Lobe Overflow",POWER(Upgrades!$U$17,I216),1)*IF(Upgrades!$T$18="Roche Lobe Overflow",POWER(Upgrades!$U$18,J216),1)*IF(Upgrades!$T$19="Roche Lobe Overflow",POWER(Upgrades!$U$19,K216),1)*IF(Upgrades!$T$20="Roche Lobe Overflow",POWER(Upgrades!$U$20,L216),1)*IF(Upgrades!$T$21="Roche Lobe Overflow",POWER(Upgrades!$U$21,M216),1))+(IF(I216=0,0,(Upgrades!$G$17+I216*Upgrades!$H$17)*POWER(Upgrades!$I$17,I216)))*(IF(Upgrades!$T$13="Brown Dwarf",POWER(Upgrades!$U$13,E216),1)*IF(Upgrades!$T$14="Brown Dwarf",POWER(Upgrades!$U$14,F216),1)*IF(Upgrades!$T$15="Brown Dwarf",POWER(Upgrades!$U$15,G216),1)*IF(Upgrades!$T$16="Brown Dwarf",POWER(Upgrades!$U$16,H216),1)*IF(Upgrades!$T$18="Brown Dwarf",POWER(Upgrades!$U$18,J216),1)*IF(Upgrades!$T$19="Brown Dwarf",POWER(Upgrades!$U$19,K216),1)*IF(Upgrades!$T$20="Brown Dwarf",POWER(Upgrades!$U$20,L216),1)*IF(Upgrades!$T$21="Brown Dwarf",POWER(Upgrades!$U$21,M216),1))+(IF(J216=0,0,(Upgrades!$G$18+J216*Upgrades!$H$18)*POWER(Upgrades!$I$18,J216)))*(IF(Upgrades!$T$13="Binary Partner",POWER(Upgrades!$U$13,E216),1)*IF(Upgrades!$T$14="Binary Partner",POWER(Upgrades!$U$14,F216),1)*IF(Upgrades!$T$15="Binary Partner",POWER(Upgrades!$U$15,G216),1)*IF(Upgrades!$T$16="Binary Partner",POWER(Upgrades!$U$16,H216),1)*IF(Upgrades!$T$17="Binary Partner",POWER(Upgrades!$U$17,I216),1)*IF(Upgrades!$T$19="Binary Partner",POWER(Upgrades!$U$19,K216),1)*IF(Upgrades!$T$20="Binary Partner",POWER(Upgrades!$U$20,L216),1)*IF(Upgrades!$T$21="Binary Partner",POWER(Upgrades!$U$21,M216),1))+(IF(K216=0,0,(Upgrades!$G$19+K216*Upgrades!$H$19)*POWER(Upgrades!$I$19,K216)))*(IF(Upgrades!$T$13="Peculiar Velocity",POWER(Upgrades!$U$13,E216),1)*IF(Upgrades!$T$14="Peculiar Velocity",POWER(Upgrades!$U$14,F216),1)*IF(Upgrades!$T$15="Peculiar Velocity",POWER(Upgrades!$U$15,G216),1)*IF(Upgrades!$T$16="Peculiar Velocity",POWER(Upgrades!$U$16,H216),1)*IF(Upgrades!$T$17="Peculiar Velocity",POWER(Upgrades!$U$17,I216),1)*IF(Upgrades!$T$18="Peculiar Velocity",POWER(Upgrades!$U$18,J216),1)*IF(Upgrades!$T$20="Peculiar Velocity",POWER(Upgrades!$U$20,L216),1)*IF(Upgrades!$T$21="Peculiar Velocity",POWER(Upgrades!$U$21,M216),1))+(IF(L216=0,0,(Upgrades!$G$20+L216*Upgrades!$H$20)*POWER(Upgrades!$I$20,L216)))*(IF(Upgrades!$T$13="Open Cluster",POWER(Upgrades!$U$13,E216),1)*IF(Upgrades!$T$14="Open Cluster",POWER(Upgrades!$U$14,F216),1)*IF(Upgrades!$T$15="Open Cluster",POWER(Upgrades!$U$15,G216),1)*IF(Upgrades!$T$16="Open Cluster",POWER(Upgrades!$U$16,H216),1)*IF(Upgrades!$T$17="Open Cluster",POWER(Upgrades!$U$17,I216),1)*IF(Upgrades!$T$18="Open Cluster",POWER(Upgrades!$U$18,J216),1)*IF(Upgrades!$T$19="Open Cluster",POWER(Upgrades!$U$19,K216),1)*IF(Upgrades!$T$21="Open Cluster",POWER(Upgrades!$U$21,M216),1))+(IF(M216=0,0,(Upgrades!$G$21+M216*Upgrades!$H$21)*POWER(Upgrades!$I$21,M216)))*(IF(Upgrades!$T$13="Moving Group",POWER(Upgrades!$U$13,E216),1)*IF(Upgrades!$T$14="Moving Group",POWER(Upgrades!$U$14,F216),1)*IF(Upgrades!$T$15="Moving Group",POWER(Upgrades!$U$15,G216),1)*IF(Upgrades!$T$16="Moving Group",POWER(Upgrades!$U$16,H216),1)*IF(Upgrades!$T$17="Moving Group",POWER(Upgrades!$U$17,I216),1)*IF(Upgrades!$T$18="Moving Group",POWER(Upgrades!$U$18,J216),1)*IF(Upgrades!$T$19="Moving Group",POWER(Upgrades!$U$19,K216),1)*IF(Upgrades!$T$20="Moving Group",POWER(Upgrades!$U$20,L216),1)))*POWER(Upgrades!$P$13,E216)*POWER(Upgrades!$P$14,F216)*POWER(Upgrades!$P$15,G216)*POWER(Upgrades!$P$16,H216)*POWER(Upgrades!$P$17,I216)*POWER(Upgrades!$P$18,J216)*POWER(Upgrades!$P$19,K216)*POWER(Upgrades!$P$20,L216)*POWER(Upgrades!$P$21,M216)*$F$6+$C$6</f>
        <v/>
      </c>
      <c r="Q216" s="28">
        <f>((IF(E216=0,0,(Upgrades!$M$13+E216*Upgrades!$N$13)*POWER(Upgrades!$O$13,E216)))*(IF(Upgrades!$T$14="Stellar Kinematics",POWER(Upgrades!$U$14,F216),1)*IF(Upgrades!$T$15="Stellar Kinematics",POWER(Upgrades!$U$15,G216),1)*IF(Upgrades!$T$16="Stellar Kinematics",POWER(Upgrades!$U$16,H216),1)*IF(Upgrades!$T$17="Stellar Kinematics",POWER(Upgrades!$U$17,I216),1)*IF(Upgrades!$T$18="Stellar Kinematics",POWER(Upgrades!$U$18,J216),1)*IF(Upgrades!$T$19="Stellar Kinematics",POWER(Upgrades!$U$19,K216),1)*IF(Upgrades!$T$20="Stellar Kinematics",POWER(Upgrades!$U$20,L216),1)*IF(Upgrades!$T$21="Stellar Kinematics",POWER(Upgrades!$U$21,M216),1))+(IF(F216=0,0,(Upgrades!$M$14+F216*Upgrades!$N$14)*POWER(Upgrades!$O$14,F216)))*(IF(Upgrades!$T$13="Local Bubble",POWER(Upgrades!$U$13,E216),1)*IF(Upgrades!$T$15="Local Bubble",POWER(Upgrades!$U$15,G216),1)*IF(Upgrades!$T$16="Local Bubble",POWER(Upgrades!$U$16,H216),1)*IF(Upgrades!$T$17="Local Bubble",POWER(Upgrades!$U$17,I216),1)*IF(Upgrades!$T$18="Local Bubble",POWER(Upgrades!$U$18,J216),1)*IF(Upgrades!$T$19="Local Bubble",POWER(Upgrades!$U$19,K216),1)*IF(Upgrades!$T$20="Local Bubble",POWER(Upgrades!$U$20,L216),1)*IF(Upgrades!$T$21="Local Bubble",POWER(Upgrades!$U$21,M216),1))+(IF(G216=0,0,(Upgrades!$M$15+G216*Upgrades!$N$15)*POWER(Upgrades!$O$15,G216)))*(IF(Upgrades!$T$13="Microlensing",POWER(Upgrades!$U$13,E216),1)*IF(Upgrades!$T$14="Microlensing",POWER(Upgrades!$U$14,F216),1)*IF(Upgrades!$T$16="Microlensing",POWER(Upgrades!$U$16,H216),1)*IF(Upgrades!$T$17="Microlensing",POWER(Upgrades!$U$17,I216),1)*IF(Upgrades!$T$18="Microlensing",POWER(Upgrades!$U$18,J216),1)*IF(Upgrades!$T$19="Microlensing",POWER(Upgrades!$U$19,K216),1)*IF(Upgrades!$T$20="Microlensing",POWER(Upgrades!$U$20,L216),1)*IF(Upgrades!$T$21="Microlensing",POWER(Upgrades!$U$21,M216),1))+(IF(H216=0,0,(Upgrades!$M$16+H216*Upgrades!$N$16)*POWER(Upgrades!$O$16,H216)))*(IF(Upgrades!$T$13="Roche Lobe Overflow",POWER(Upgrades!$U$13,E216),1)*IF(Upgrades!$T$14="Roche Lobe Overflow",POWER(Upgrades!$U$14,F216),1)*IF(Upgrades!$T$15="Roche Lobe Overflow",POWER(Upgrades!$U$15,G216),1)*IF(Upgrades!$T$17="Roche Lobe Overflow",POWER(Upgrades!$U$17,I216),1)*IF(Upgrades!$T$18="Roche Lobe Overflow",POWER(Upgrades!$U$18,J216),1)*IF(Upgrades!$T$19="Roche Lobe Overflow",POWER(Upgrades!$U$19,K216),1)*IF(Upgrades!$T$20="Roche Lobe Overflow",POWER(Upgrades!$U$20,L216),1)*IF(Upgrades!$T$21="Roche Lobe Overflow",POWER(Upgrades!$U$21,M216),1))+(IF(I216=0,0,(Upgrades!$M$17+I216*Upgrades!$N$17)*POWER(Upgrades!$O$17,I216)))*(IF(Upgrades!$T$13="Brown Dwarf",POWER(Upgrades!$U$13,E216),1)*IF(Upgrades!$T$14="Brown Dwarf",POWER(Upgrades!$U$14,F216),1)*IF(Upgrades!$T$15="Brown Dwarf",POWER(Upgrades!$U$15,G216),1)*IF(Upgrades!$T$16="Brown Dwarf",POWER(Upgrades!$U$16,H216),1)*IF(Upgrades!$T$18="Brown Dwarf",POWER(Upgrades!$U$18,J216),1)*IF(Upgrades!$T$19="Brown Dwarf",POWER(Upgrades!$U$19,K216),1)*IF(Upgrades!$T$20="Brown Dwarf",POWER(Upgrades!$U$20,L216),1)*IF(Upgrades!$T$21="Brown Dwarf",POWER(Upgrades!$U$21,M216),1))+(IF(J216=0,0,(Upgrades!$M$18+J216*Upgrades!$N$18)*POWER(Upgrades!$O$18,J216)))*(IF(Upgrades!$T$13="Binary Partner",POWER(Upgrades!$U$13,E216),1)*IF(Upgrades!$T$14="Binary Partner",POWER(Upgrades!$U$14,F216),1)*IF(Upgrades!$T$15="Binary Partner",POWER(Upgrades!$U$15,G216),1)*IF(Upgrades!$T$16="Binary Partner",POWER(Upgrades!$U$16,H216),1)*IF(Upgrades!$T$17="Binary Partner",POWER(Upgrades!$U$17,I216),1)*IF(Upgrades!$T$19="Binary Partner",POWER(Upgrades!$U$19,K216),1)*IF(Upgrades!$T$20="Binary Partner",POWER(Upgrades!$U$20,L216),1)*IF(Upgrades!$T$21="Binary Partner",POWER(Upgrades!$U$21,M216),1))+(IF(K216=0,0,(Upgrades!$M$19+K216*Upgrades!$N$19)*POWER(Upgrades!$O$19,K216)))*(IF(Upgrades!$T$13="Peculiar Velocity",POWER(Upgrades!$U$13,E216),1)*IF(Upgrades!$T$14="Peculiar Velocity",POWER(Upgrades!$U$14,F216),1)*IF(Upgrades!$T$15="Peculiar Velocity",POWER(Upgrades!$U$15,G216),1)*IF(Upgrades!$T$16="Peculiar Velocity",POWER(Upgrades!$U$16,H216),1)*IF(Upgrades!$T$17="Peculiar Velocity",POWER(Upgrades!$U$17,I216),1)*IF(Upgrades!$T$18="Peculiar Velocity",POWER(Upgrades!$U$18,J216),1)*IF(Upgrades!$T$20="Peculiar Velocity",POWER(Upgrades!$U$20,L216),1)*IF(Upgrades!$T$21="Peculiar Velocity",POWER(Upgrades!$U$21,M216),1))+(IF(L216=0,0,(Upgrades!$M$20+L216*Upgrades!$N$20)*POWER(Upgrades!$O$20,L216)))*(IF(Upgrades!$T$13="Open Cluster",POWER(Upgrades!$U$13,E216),1)*IF(Upgrades!$T$14="Open Cluster",POWER(Upgrades!$U$14,F216),1)*IF(Upgrades!$T$15="Open Cluster",POWER(Upgrades!$U$15,G216),1)*IF(Upgrades!$T$16="Open Cluster",POWER(Upgrades!$U$16,H216),1)*IF(Upgrades!$T$17="Open Cluster",POWER(Upgrades!$U$17,I216),1)*IF(Upgrades!$T$18="Open Cluster",POWER(Upgrades!$U$18,J216),1)*IF(Upgrades!$T$19="Open Cluster",POWER(Upgrades!$U$19,K216),1)*IF(Upgrades!$T$21="Open Cluster",POWER(Upgrades!$U$21,M216),1))+(IF(M216=0,0,(Upgrades!$M$21+M216*Upgrades!$N$21)*POWER(Upgrades!$O$21,M216)))*(IF(Upgrades!$T$13="Moving Group",POWER(Upgrades!$U$13,E216),1)*IF(Upgrades!$T$14="Moving Group",POWER(Upgrades!$U$14,F216),1)*IF(Upgrades!$T$15="Moving Group",POWER(Upgrades!$U$15,G216),1)*IF(Upgrades!$T$16="Moving Group",POWER(Upgrades!$U$16,H216),1)*IF(Upgrades!$T$17="Moving Group",POWER(Upgrades!$U$17,I216),1)*IF(Upgrades!$T$18="Moving Group",POWER(Upgrades!$U$18,J216),1)*IF(Upgrades!$T$19="Moving Group",POWER(Upgrades!$U$19,K216),1)*IF(Upgrades!$T$20="Moving Group",POWER(Upgrades!$U$20,L216),1)))*POWER(Upgrades!$R$13,E216)*POWER(Upgrades!$R$14,F216)*POWER(Upgrades!$R$15,G216)*POWER(Upgrades!$R$16,H216)*POWER(Upgrades!$R$17,I216)*POWER(Upgrades!$R$18,J216)*POWER(Upgrades!$R$19,K216)*POWER(Upgrades!$R$20,L216)*POWER(Upgrades!$R$21,M216)*$H$6+$E$6</f>
        <v/>
      </c>
      <c r="R216" s="27">
        <f>IF(N216=1,0,O216*Parameters!$B$10/60*Parameters!$B$11*10)</f>
        <v/>
      </c>
      <c r="S216" s="27">
        <f>IF(N216=1,0,Q216*O216*10)</f>
        <v/>
      </c>
      <c r="T216" s="27">
        <f>IF(N216=1,0,R216+S216+P216*10)</f>
        <v/>
      </c>
      <c r="U216" s="33">
        <f>BE216</f>
        <v/>
      </c>
      <c r="V216" s="22">
        <f>IF(U216="",0,IF(U216="transition",0,IF(U216="SK",AK216,IF(U216="LB",AL216,IF(U216="ML",AM216,IF(U216="RLO",AN216,IF(U216="BD",AO216,IF(U216="BiP",AP216,IF(U216="PV",AQ216,IF(U216="OC",AR216,IF(U216="MG",AS216,0))))))))))</f>
        <v/>
      </c>
      <c r="W216" s="27">
        <f>IF(U216="BiP",Upgrades!$F$18,IF(U216="PV",Upgrades!$F$19,IF(U216="OC",Upgrades!$F$20,IF(U216="MG",Upgrades!$F$21,IF(U216="transition",-Parameters!$B$18*Parameters!$B$19,0)))))</f>
        <v/>
      </c>
      <c r="X216" s="22">
        <f>C216+T216-V216</f>
        <v/>
      </c>
      <c r="Y216" s="30">
        <f>O216*Parameters!$B$10/60*Parameters!$B$11+Q216*O216+P216</f>
        <v/>
      </c>
      <c r="Z216" s="34">
        <f>IF(U216="transition","→ Tier 3 (Galactic Arm)",IF(U216="MG","Moving Group — pocket drifts together",IF(U216="OC","Open Cluster acquired",IF(U216="PV","Peculiar Velocity — passive multiplier active",IF(U216="BiP","Binary Partner — pair bond formed",IF(AND(AU216=1,N216=0,AT216&lt;&gt;1),"Cohesion ready (waiting on completionists)","")))))) </f>
        <v/>
      </c>
      <c r="AA216" s="27">
        <f>(IF(E216=0,0,(Upgrades!$G$13+E216*Upgrades!$H$13)*POWER(Upgrades!$I$13,E216)))*(IF(Upgrades!$T$14="Stellar Kinematics",POWER(Upgrades!$U$14,F216),1)*IF(Upgrades!$T$15="Stellar Kinematics",POWER(Upgrades!$U$15,G216),1)*IF(Upgrades!$T$16="Stellar Kinematics",POWER(Upgrades!$U$16,H216),1)*IF(Upgrades!$T$17="Stellar Kinematics",POWER(Upgrades!$U$17,I216),1)*IF(Upgrades!$T$18="Stellar Kinematics",POWER(Upgrades!$U$18,J216),1)*IF(Upgrades!$T$19="Stellar Kinematics",POWER(Upgrades!$U$19,K216),1)*IF(Upgrades!$T$20="Stellar Kinematics",POWER(Upgrades!$U$20,L216),1)*IF(Upgrades!$T$21="Stellar Kinematics",POWER(Upgrades!$U$21,M216),1))*POWER(Upgrades!$P$13,E216)*POWER(Upgrades!$P$14,F216)*POWER(Upgrades!$P$15,G216)*POWER(Upgrades!$P$16,H216)*POWER(Upgrades!$P$17,I216)*POWER(Upgrades!$P$18,J216)*POWER(Upgrades!$P$19,K216)*POWER(Upgrades!$P$20,L216)*POWER(Upgrades!$P$21,M216)*$F$6*60</f>
        <v/>
      </c>
      <c r="AB216" s="27">
        <f>(IF(F216=0,0,(Upgrades!$G$14+F216*Upgrades!$H$14)*POWER(Upgrades!$I$14,F216)))*(IF(Upgrades!$T$13="Local Bubble",POWER(Upgrades!$U$13,E216),1)*IF(Upgrades!$T$15="Local Bubble",POWER(Upgrades!$U$15,G216),1)*IF(Upgrades!$T$16="Local Bubble",POWER(Upgrades!$U$16,H216),1)*IF(Upgrades!$T$17="Local Bubble",POWER(Upgrades!$U$17,I216),1)*IF(Upgrades!$T$18="Local Bubble",POWER(Upgrades!$U$18,J216),1)*IF(Upgrades!$T$19="Local Bubble",POWER(Upgrades!$U$19,K216),1)*IF(Upgrades!$T$20="Local Bubble",POWER(Upgrades!$U$20,L216),1)*IF(Upgrades!$T$21="Local Bubble",POWER(Upgrades!$U$21,M216),1))*POWER(Upgrades!$P$13,E216)*POWER(Upgrades!$P$14,F216)*POWER(Upgrades!$P$15,G216)*POWER(Upgrades!$P$16,H216)*POWER(Upgrades!$P$17,I216)*POWER(Upgrades!$P$18,J216)*POWER(Upgrades!$P$19,K216)*POWER(Upgrades!$P$20,L216)*POWER(Upgrades!$P$21,M216)*$F$6*60</f>
        <v/>
      </c>
      <c r="AC216" s="27">
        <f>(IF(G216=0,0,(Upgrades!$J$15+G216*Upgrades!$K$15)*POWER(Upgrades!$L$15,G216)))*(IF(Upgrades!$T$13="Microlensing",POWER(Upgrades!$U$13,E216),1)*IF(Upgrades!$T$14="Microlensing",POWER(Upgrades!$U$14,F216),1)*IF(Upgrades!$T$16="Microlensing",POWER(Upgrades!$U$16,H216),1)*IF(Upgrades!$T$17="Microlensing",POWER(Upgrades!$U$17,I216),1)*IF(Upgrades!$T$18="Microlensing",POWER(Upgrades!$U$18,J216),1)*IF(Upgrades!$T$19="Microlensing",POWER(Upgrades!$U$19,K216),1)*IF(Upgrades!$T$20="Microlensing",POWER(Upgrades!$U$20,L216),1)*IF(Upgrades!$T$21="Microlensing",POWER(Upgrades!$U$21,M216),1))*POWER(Upgrades!$Q$13,E216)*POWER(Upgrades!$Q$14,F216)*POWER(Upgrades!$Q$15,G216)*POWER(Upgrades!$Q$16,H216)*POWER(Upgrades!$Q$17,I216)*POWER(Upgrades!$Q$18,J216)*POWER(Upgrades!$Q$19,K216)*POWER(Upgrades!$Q$20,L216)*POWER(Upgrades!$Q$21,M216)*$G$6*(Parameters!$B$10*Parameters!$B$11+Q216*60)</f>
        <v/>
      </c>
      <c r="AD216" s="27">
        <f>(IF(H216=0,0,(Upgrades!$M$16+H216*Upgrades!$N$16)*POWER(Upgrades!$O$16,H216)))*(IF(Upgrades!$T$13="Roche Lobe Overflow",POWER(Upgrades!$U$13,E216),1)*IF(Upgrades!$T$14="Roche Lobe Overflow",POWER(Upgrades!$U$14,F216),1)*IF(Upgrades!$T$15="Roche Lobe Overflow",POWER(Upgrades!$U$15,G216),1)*IF(Upgrades!$T$17="Roche Lobe Overflow",POWER(Upgrades!$U$17,I216),1)*IF(Upgrades!$T$18="Roche Lobe Overflow",POWER(Upgrades!$U$18,J216),1)*IF(Upgrades!$T$19="Roche Lobe Overflow",POWER(Upgrades!$U$19,K216),1)*IF(Upgrades!$T$20="Roche Lobe Overflow",POWER(Upgrades!$U$20,L216),1)*IF(Upgrades!$T$21="Roche Lobe Overflow",POWER(Upgrades!$U$21,M216),1))*POWER(Upgrades!$R$13,E216)*POWER(Upgrades!$R$14,F216)*POWER(Upgrades!$R$15,G216)*POWER(Upgrades!$R$16,H216)*POWER(Upgrades!$R$17,I216)*POWER(Upgrades!$R$18,J216)*POWER(Upgrades!$R$19,K216)*POWER(Upgrades!$R$20,L216)*POWER(Upgrades!$R$21,M216)*$H$6*O216*60</f>
        <v/>
      </c>
      <c r="AE216" s="27">
        <f>(IF(I216=0,0,(Upgrades!$G$17+I216*Upgrades!$H$17)*POWER(Upgrades!$I$17,I216)))*(IF(Upgrades!$T$13="Brown Dwarf",POWER(Upgrades!$U$13,E216),1)*IF(Upgrades!$T$14="Brown Dwarf",POWER(Upgrades!$U$14,F216),1)*IF(Upgrades!$T$15="Brown Dwarf",POWER(Upgrades!$U$15,G216),1)*IF(Upgrades!$T$16="Brown Dwarf",POWER(Upgrades!$U$16,H216),1)*IF(Upgrades!$T$18="Brown Dwarf",POWER(Upgrades!$U$18,J216),1)*IF(Upgrades!$T$19="Brown Dwarf",POWER(Upgrades!$U$19,K216),1)*IF(Upgrades!$T$20="Brown Dwarf",POWER(Upgrades!$U$20,L216),1)*IF(Upgrades!$T$21="Brown Dwarf",POWER(Upgrades!$U$21,M216),1))*POWER(Upgrades!$P$13,E216)*POWER(Upgrades!$P$14,F216)*POWER(Upgrades!$P$15,G216)*POWER(Upgrades!$P$16,H216)*POWER(Upgrades!$P$17,I216)*POWER(Upgrades!$P$18,J216)*POWER(Upgrades!$P$19,K216)*POWER(Upgrades!$P$20,L216)*POWER(Upgrades!$P$21,M216)*$F$6*60</f>
        <v/>
      </c>
      <c r="AF216" s="27" t="n">
        <v>0</v>
      </c>
      <c r="AG216" s="27" t="n">
        <v>0</v>
      </c>
      <c r="AH216" s="27" t="n">
        <v>0</v>
      </c>
      <c r="AI216" s="27">
        <f>(IF(M216=0,0,(Upgrades!$G$21+M216*Upgrades!$H$21)*POWER(Upgrades!$I$21,M216)))*(IF(Upgrades!$T$13="Moving Group",POWER(Upgrades!$U$13,E216),1)*IF(Upgrades!$T$14="Moving Group",POWER(Upgrades!$U$14,F216),1)*IF(Upgrades!$T$15="Moving Group",POWER(Upgrades!$U$15,G216),1)*IF(Upgrades!$T$16="Moving Group",POWER(Upgrades!$U$16,H216),1)*IF(Upgrades!$T$17="Moving Group",POWER(Upgrades!$U$17,I216),1)*IF(Upgrades!$T$18="Moving Group",POWER(Upgrades!$U$18,J216),1)*IF(Upgrades!$T$19="Moving Group",POWER(Upgrades!$U$19,K216),1)*IF(Upgrades!$T$20="Moving Group",POWER(Upgrades!$U$20,L216),1))*POWER(Upgrades!$P$13,E216)*POWER(Upgrades!$P$14,F216)*POWER(Upgrades!$P$15,G216)*POWER(Upgrades!$P$16,H216)*POWER(Upgrades!$P$17,I216)*POWER(Upgrades!$P$18,J216)*POWER(Upgrades!$P$19,K216)*POWER(Upgrades!$P$20,L216)*POWER(Upgrades!$P$21,M216)*$F$6*60</f>
        <v/>
      </c>
      <c r="AJ216" s="27">
        <f>$C$6*60</f>
        <v/>
      </c>
      <c r="AK216" s="22">
        <f>IF(E216&gt;=Upgrades!$E$13,"",Upgrades!$C$13*POWER(Upgrades!$D$13,E216))</f>
        <v/>
      </c>
      <c r="AL216" s="22">
        <f>IF(F216&gt;=Upgrades!$E$14,"",Upgrades!$C$14*POWER(Upgrades!$D$14,F216))</f>
        <v/>
      </c>
      <c r="AM216" s="22">
        <f>IF(G216&gt;=Upgrades!$E$15,"",Upgrades!$C$15*POWER(Upgrades!$D$15,G216))</f>
        <v/>
      </c>
      <c r="AN216" s="22">
        <f>IF(H216&gt;=Upgrades!$E$16,"",Upgrades!$C$16*POWER(Upgrades!$D$16,H216))</f>
        <v/>
      </c>
      <c r="AO216" s="22">
        <f>IF(I216&gt;=Upgrades!$E$17,"",Upgrades!$C$17*POWER(Upgrades!$D$17,I216))</f>
        <v/>
      </c>
      <c r="AP216" s="22">
        <f>IF(J216&gt;=Upgrades!$E$18,"",Upgrades!$C$18*POWER(Upgrades!$D$18,J216))</f>
        <v/>
      </c>
      <c r="AQ216" s="22">
        <f>IF(K216&gt;=Upgrades!$E$19,"",Upgrades!$C$19*POWER(Upgrades!$D$19,K216))</f>
        <v/>
      </c>
      <c r="AR216" s="22">
        <f>IF(L216&gt;=Upgrades!$E$20,"",Upgrades!$C$20*POWER(Upgrades!$D$20,L216))</f>
        <v/>
      </c>
      <c r="AS216" s="22">
        <f>IF(M216&gt;=Upgrades!$E$21,"",Upgrades!$C$21*POWER(Upgrades!$D$21,M216))</f>
        <v/>
      </c>
      <c r="AT216" s="26">
        <f>IF(AND(D216&gt;=Parameters!$B$18*Parameters!$B$19,(I216&gt;=Upgrades!$E$17)*(M216&gt;=Upgrades!$E$21)=1,N216=0),1,"")</f>
        <v/>
      </c>
      <c r="AU216" s="26">
        <f>IF(AND(D216&gt;=Parameters!$B$18*Parameters!$B$19,N216=0),1,"")</f>
        <v/>
      </c>
      <c r="AV216" s="22">
        <f>MIN(IF(ISNUMBER(AP216),AP216,9E15),IF(ISNUMBER(AQ216),AQ216,9E15),IF(ISNUMBER(AR216),AR216,9E15),IF(ISNUMBER(AS216),AS216,9E15))</f>
        <v/>
      </c>
      <c r="AW216" s="22">
        <f>MIN(IF(ISNUMBER(AK216),AK216,9E15),IF(ISNUMBER(AL216),AL216,9E15),IF(ISNUMBER(AM216),AM216,9E15),IF(ISNUMBER(AN216),AN216,9E15),IF(ISNUMBER(AO216),AO216,9E15))</f>
        <v/>
      </c>
      <c r="AX216" s="29">
        <f>IF(BD216&gt;Parameters!$B$21*(MAX(IF(AND(NOT(AND(AU216=1,AT216&lt;&gt;1)),ISNUMBER(AK216),AK216&lt;=(C216+T216)),AY216,0),IF(AND(NOT(AND(AU216=1,AT216&lt;&gt;1)),ISNUMBER(AL216),AL216&lt;=(C216+T216)),AZ216,0),IF(AND(NOT(AND(AU216=1,AT216&lt;&gt;1)),ISNUMBER(AM216),AM216&lt;=(C216+T216)),BA216,0),IF(AND(NOT(AND(AU216=1,AT216&lt;&gt;1)),ISNUMBER(AN216),AN216&lt;=(C216+T216)),BB216,0),IF(AND(ISNUMBER(AO216),AO216&lt;=(C216+T216)),BC216,0))),TRUE,FALSE)</f>
        <v/>
      </c>
      <c r="AY216" s="32">
        <f>IFERROR(Upgrades!$H$13*(POWER(Upgrades!$P$13,E216)*POWER(Upgrades!$P$14,F216)*POWER(Upgrades!$P$15,G216)*POWER(Upgrades!$P$16,H216)*POWER(Upgrades!$P$17,I216)*POWER(Upgrades!$P$18,J216)*POWER(Upgrades!$P$19,K216)*POWER(Upgrades!$P$20,L216)*POWER(Upgrades!$P$21,M216))*(IF(Upgrades!$T$14="Stellar Kinematics",POWER(Upgrades!$U$14,F216),1)*IF(Upgrades!$T$15="Stellar Kinematics",POWER(Upgrades!$U$15,G216),1)*IF(Upgrades!$T$16="Stellar Kinematics",POWER(Upgrades!$U$16,H216),1)*IF(Upgrades!$T$17="Stellar Kinematics",POWER(Upgrades!$U$17,I216),1)*IF(Upgrades!$T$18="Stellar Kinematics",POWER(Upgrades!$U$18,J216),1)*IF(Upgrades!$T$19="Stellar Kinematics",POWER(Upgrades!$U$19,K216),1)*IF(Upgrades!$T$20="Stellar Kinematics",POWER(Upgrades!$U$20,L216),1)*IF(Upgrades!$T$21="Stellar Kinematics",POWER(Upgrades!$U$21,M216),1))*$F$6/AK216,0)</f>
        <v/>
      </c>
      <c r="AZ216" s="32">
        <f>IFERROR(Upgrades!$H$14*(POWER(Upgrades!$P$13,E216)*POWER(Upgrades!$P$14,F216)*POWER(Upgrades!$P$15,G216)*POWER(Upgrades!$P$16,H216)*POWER(Upgrades!$P$17,I216)*POWER(Upgrades!$P$18,J216)*POWER(Upgrades!$P$19,K216)*POWER(Upgrades!$P$20,L216)*POWER(Upgrades!$P$21,M216))*(IF(Upgrades!$T$13="Local Bubble",POWER(Upgrades!$U$13,E216),1)*IF(Upgrades!$T$15="Local Bubble",POWER(Upgrades!$U$15,G216),1)*IF(Upgrades!$T$16="Local Bubble",POWER(Upgrades!$U$16,H216),1)*IF(Upgrades!$T$17="Local Bubble",POWER(Upgrades!$U$17,I216),1)*IF(Upgrades!$T$18="Local Bubble",POWER(Upgrades!$U$18,J216),1)*IF(Upgrades!$T$19="Local Bubble",POWER(Upgrades!$U$19,K216),1)*IF(Upgrades!$T$20="Local Bubble",POWER(Upgrades!$U$20,L216),1)*IF(Upgrades!$T$21="Local Bubble",POWER(Upgrades!$U$21,M216),1))*$F$6/AL216,0)</f>
        <v/>
      </c>
      <c r="BA216" s="32">
        <f>IFERROR(Upgrades!$K$15*(POWER(Upgrades!$Q$13,E216)*POWER(Upgrades!$Q$14,F216)*POWER(Upgrades!$Q$15,G216)*POWER(Upgrades!$Q$16,H216)*POWER(Upgrades!$Q$17,I216)*POWER(Upgrades!$Q$18,J216)*POWER(Upgrades!$Q$19,K216)*POWER(Upgrades!$Q$20,L216)*POWER(Upgrades!$Q$21,M216))*(IF(Upgrades!$T$13="Microlensing",POWER(Upgrades!$U$13,E216),1)*IF(Upgrades!$T$14="Microlensing",POWER(Upgrades!$U$14,F216),1)*IF(Upgrades!$T$16="Microlensing",POWER(Upgrades!$U$16,H216),1)*IF(Upgrades!$T$17="Microlensing",POWER(Upgrades!$U$17,I216),1)*IF(Upgrades!$T$18="Microlensing",POWER(Upgrades!$U$18,J216),1)*IF(Upgrades!$T$19="Microlensing",POWER(Upgrades!$U$19,K216),1)*IF(Upgrades!$T$20="Microlensing",POWER(Upgrades!$U$20,L216),1)*IF(Upgrades!$T$21="Microlensing",POWER(Upgrades!$U$21,M216),1))*$G$6*(Parameters!$B$10/60*Parameters!$B$11+Q216)/AM216,0)</f>
        <v/>
      </c>
      <c r="BB216" s="32">
        <f>IFERROR((Upgrades!$N$16*(POWER(Upgrades!$R$13,E216)*POWER(Upgrades!$R$14,F216)*POWER(Upgrades!$R$15,G216)*POWER(Upgrades!$R$16,H216)*POWER(Upgrades!$R$17,I216)*POWER(Upgrades!$R$18,J216)*POWER(Upgrades!$R$19,K216)*POWER(Upgrades!$R$20,L216)*POWER(Upgrades!$R$21,M216))*(IF(Upgrades!$T$13="Roche Lobe Overflow",POWER(Upgrades!$U$13,E216),1)*IF(Upgrades!$T$14="Roche Lobe Overflow",POWER(Upgrades!$U$14,F216),1)*IF(Upgrades!$T$15="Roche Lobe Overflow",POWER(Upgrades!$U$15,G216),1)*IF(Upgrades!$T$17="Roche Lobe Overflow",POWER(Upgrades!$U$17,I216),1)*IF(Upgrades!$T$18="Roche Lobe Overflow",POWER(Upgrades!$U$18,J216),1)*IF(Upgrades!$T$19="Roche Lobe Overflow",POWER(Upgrades!$U$19,K216),1)*IF(Upgrades!$T$20="Roche Lobe Overflow",POWER(Upgrades!$U$20,L216),1)*IF(Upgrades!$T$21="Roche Lobe Overflow",POWER(Upgrades!$U$21,M216),1))*$H$6*O216+((IF(F216=0,0,(Upgrades!$G$14+F216*Upgrades!$H$14)*POWER(Upgrades!$I$14,F216)))*(IF(Upgrades!$T$13="Local Bubble",POWER(Upgrades!$U$13,E216),1)*IF(Upgrades!$T$15="Local Bubble",POWER(Upgrades!$U$15,G216),1)*IF(Upgrades!$T$16="Local Bubble",POWER(Upgrades!$U$16,H216),1)*IF(Upgrades!$T$17="Local Bubble",POWER(Upgrades!$U$17,I216),1)*IF(Upgrades!$T$18="Local Bubble",POWER(Upgrades!$U$18,J216),1)*IF(Upgrades!$T$19="Local Bubble",POWER(Upgrades!$U$19,K216),1)*IF(Upgrades!$T$20="Local Bubble",POWER(Upgrades!$U$20,L216),1)*IF(Upgrades!$T$21="Local Bubble",POWER(Upgrades!$U$21,M216),1))*POWER(Upgrades!$P$13,E216)*POWER(Upgrades!$P$14,F216)*POWER(Upgrades!$P$15,G216)*POWER(Upgrades!$P$16,H216)*POWER(Upgrades!$P$17,I216)*POWER(Upgrades!$P$18,J216)*POWER(Upgrades!$P$19,K216)*POWER(Upgrades!$P$20,L216)*POWER(Upgrades!$P$21,M216)*$F$6)*0.05)/AN216,0)</f>
        <v/>
      </c>
      <c r="BC216" s="32">
        <f>IFERROR((Upgrades!$H$17*(POWER(Upgrades!$P$13,E216)*POWER(Upgrades!$P$14,F216)*POWER(Upgrades!$P$15,G216)*POWER(Upgrades!$P$16,H216)*POWER(Upgrades!$P$17,I216)*POWER(Upgrades!$P$18,J216)*POWER(Upgrades!$P$19,K216)*POWER(Upgrades!$P$20,L216)*POWER(Upgrades!$P$21,M216))*(IF(Upgrades!$T$13="Brown Dwarf",POWER(Upgrades!$U$13,E216),1)*IF(Upgrades!$T$14="Brown Dwarf",POWER(Upgrades!$U$14,F216),1)*IF(Upgrades!$T$15="Brown Dwarf",POWER(Upgrades!$U$15,G216),1)*IF(Upgrades!$T$16="Brown Dwarf",POWER(Upgrades!$U$16,H216),1)*IF(Upgrades!$T$18="Brown Dwarf",POWER(Upgrades!$U$18,J216),1)*IF(Upgrades!$T$19="Brown Dwarf",POWER(Upgrades!$U$19,K216),1)*IF(Upgrades!$T$20="Brown Dwarf",POWER(Upgrades!$U$20,L216),1)*IF(Upgrades!$T$21="Brown Dwarf",POWER(Upgrades!$U$21,M216),1))*$F$6+(((IF(H216=0,0,(Upgrades!$M$16+H216*Upgrades!$N$16)*POWER(Upgrades!$O$16,H216)))*(IF(Upgrades!$T$13="Roche Lobe Overflow",POWER(Upgrades!$U$13,E216),1)*IF(Upgrades!$T$14="Roche Lobe Overflow",POWER(Upgrades!$U$14,F216),1)*IF(Upgrades!$T$15="Roche Lobe Overflow",POWER(Upgrades!$U$15,G216),1)*IF(Upgrades!$T$17="Roche Lobe Overflow",POWER(Upgrades!$U$17,I216),1)*IF(Upgrades!$T$18="Roche Lobe Overflow",POWER(Upgrades!$U$18,J216),1)*IF(Upgrades!$T$19="Roche Lobe Overflow",POWER(Upgrades!$U$19,K216),1)*IF(Upgrades!$T$20="Roche Lobe Overflow",POWER(Upgrades!$U$20,L216),1)*IF(Upgrades!$T$21="Roche Lobe Overflow",POWER(Upgrades!$U$21,M216),1))*POWER(Upgrades!$R$13,E216)*POWER(Upgrades!$R$14,F216)*POWER(Upgrades!$R$15,G216)*POWER(Upgrades!$R$16,H216)*POWER(Upgrades!$R$17,I216)*POWER(Upgrades!$R$18,J216)*POWER(Upgrades!$R$19,K216)*POWER(Upgrades!$R$20,L216)*POWER(Upgrades!$R$21,M216)*$H$6)*O216)*0.10)/AO216,0)</f>
        <v/>
      </c>
      <c r="BD216" s="32">
        <f>MAX(IF(J216&gt;0,0,IFERROR(0.5*((IF(G216=0,0,(Upgrades!$J$15+G216*Upgrades!$K$15)*POWER(Upgrades!$L$15,G216)))*(IF(Upgrades!$T$13="Microlensing",POWER(Upgrades!$U$13,E216),1)*IF(Upgrades!$T$14="Microlensing",POWER(Upgrades!$U$14,F216),1)*IF(Upgrades!$T$16="Microlensing",POWER(Upgrades!$U$16,H216),1)*IF(Upgrades!$T$17="Microlensing",POWER(Upgrades!$U$17,I216),1)*IF(Upgrades!$T$18="Microlensing",POWER(Upgrades!$U$18,J216),1)*IF(Upgrades!$T$19="Microlensing",POWER(Upgrades!$U$19,K216),1)*IF(Upgrades!$T$20="Microlensing",POWER(Upgrades!$U$20,L216),1)*IF(Upgrades!$T$21="Microlensing",POWER(Upgrades!$U$21,M216),1))*(POWER(Upgrades!$Q$13,E216)*POWER(Upgrades!$Q$14,F216)*POWER(Upgrades!$Q$15,G216)*POWER(Upgrades!$Q$16,H216)*POWER(Upgrades!$Q$17,I216)*POWER(Upgrades!$Q$18,J216)*POWER(Upgrades!$Q$19,K216)*POWER(Upgrades!$Q$20,L216)*POWER(Upgrades!$Q$21,M216))*$G$6*(Parameters!$B$10/60*Parameters!$B$11+Q216))/Upgrades!$C$18,0)),IF(K216&gt;0,0,IFERROR(0.30*P216/Upgrades!$C$19,0)),IF(L216&gt;0,0,IFERROR(0.0001/Upgrades!$C$20,0)),IF(M216&gt;0,0,IFERROR((6.0*(POWER(Upgrades!$P$13,E216)*POWER(Upgrades!$P$14,F216)*POWER(Upgrades!$P$15,G216)*POWER(Upgrades!$P$16,H216)*POWER(Upgrades!$P$17,I216)*POWER(Upgrades!$P$18,J216)*POWER(Upgrades!$P$19,K216)*POWER(Upgrades!$P$20,L216)*POWER(Upgrades!$P$21,M216))*$F$6+0.20*O216*(Parameters!$B$10/60*Parameters!$B$11+Q216))/Upgrades!$C$21,0)),IF(AND(ISNUMBER(AK216),AK216&gt;(C216+T216)),AY216,0),IF(AND(ISNUMBER(AL216),AL216&gt;(C216+T216)),AZ216,0),IF(AND(ISNUMBER(AM216),AM216&gt;(C216+T216)),BA216,0),IF(AND(ISNUMBER(AN216),AN216&gt;(C216+T216)),BB216,0),IF(AND(ISNUMBER(AO216),AO216&gt;(C216+T216)),BC216,0))</f>
        <v/>
      </c>
      <c r="BE216" s="29">
        <f>IF(AT216=1,"transition",IF(MIN(IF(AND(J216=0,ISNUMBER(AP216),AP216&lt;=(C216+T216)),AP216,9E15),IF(AND(K216=0,ISNUMBER(AQ216),AQ216&lt;=(C216+T216)),AQ216,9E15),IF(AND(L216=0,ISNUMBER(AR216),AR216&lt;=(C216+T216)),AR216,9E15),IF(AND(M216=0,ISNUMBER(AS216),AS216&lt;=(C216+T216)),AS216,9E15))&lt;9E15,IF(AND(AND(J216=0,ISNUMBER(AP216),AP216&lt;=(C216+T216)),AP216=MIN(IF(AND(J216=0,ISNUMBER(AP216),AP216&lt;=(C216+T216)),AP216,9E15),IF(AND(K216=0,ISNUMBER(AQ216),AQ216&lt;=(C216+T216)),AQ216,9E15),IF(AND(L216=0,ISNUMBER(AR216),AR216&lt;=(C216+T216)),AR216,9E15),IF(AND(M216=0,ISNUMBER(AS216),AS216&lt;=(C216+T216)),AS216,9E15))),"BiP",IF(AND(AND(K216=0,ISNUMBER(AQ216),AQ216&lt;=(C216+T216)),AQ216=MIN(IF(AND(J216=0,ISNUMBER(AP216),AP216&lt;=(C216+T216)),AP216,9E15),IF(AND(K216=0,ISNUMBER(AQ216),AQ216&lt;=(C216+T216)),AQ216,9E15),IF(AND(L216=0,ISNUMBER(AR216),AR216&lt;=(C216+T216)),AR216,9E15),IF(AND(M216=0,ISNUMBER(AS216),AS216&lt;=(C216+T216)),AS216,9E15))),"PV",IF(AND(AND(L216=0,ISNUMBER(AR216),AR216&lt;=(C216+T216)),AR216=MIN(IF(AND(J216=0,ISNUMBER(AP216),AP216&lt;=(C216+T216)),AP216,9E15),IF(AND(K216=0,ISNUMBER(AQ216),AQ216&lt;=(C216+T216)),AQ216,9E15),IF(AND(L216=0,ISNUMBER(AR216),AR216&lt;=(C216+T216)),AR216,9E15),IF(AND(M216=0,ISNUMBER(AS216),AS216&lt;=(C216+T216)),AS216,9E15))),"OC","MG"))),IF(AX216=TRUE,"",IF(MAX(IF(AND(NOT(AND(AU216=1,AT216&lt;&gt;1)),ISNUMBER(AK216),AK216&lt;=(C216+T216)),AY216,0),IF(AND(NOT(AND(AU216=1,AT216&lt;&gt;1)),ISNUMBER(AL216),AL216&lt;=(C216+T216)),AZ216,0),IF(AND(NOT(AND(AU216=1,AT216&lt;&gt;1)),ISNUMBER(AM216),AM216&lt;=(C216+T216)),BA216,0),IF(AND(NOT(AND(AU216=1,AT216&lt;&gt;1)),ISNUMBER(AN216),AN216&lt;=(C216+T216)),BB216,0),IF(AND(ISNUMBER(AO216),AO216&lt;=(C216+T216)),BC216,0))&lt;=0,"",IF(AND(IF(AND(NOT(AND(AU216=1,AT216&lt;&gt;1)),ISNUMBER(AK216),AK216&lt;=(C216+T216)),AY216,0)&gt;0,IF(AND(NOT(AND(AU216=1,AT216&lt;&gt;1)),ISNUMBER(AK216),AK216&lt;=(C216+T216)),AY216,0)=MAX(IF(AND(NOT(AND(AU216=1,AT216&lt;&gt;1)),ISNUMBER(AK216),AK216&lt;=(C216+T216)),AY216,0),IF(AND(NOT(AND(AU216=1,AT216&lt;&gt;1)),ISNUMBER(AL216),AL216&lt;=(C216+T216)),AZ216,0),IF(AND(NOT(AND(AU216=1,AT216&lt;&gt;1)),ISNUMBER(AM216),AM216&lt;=(C216+T216)),BA216,0),IF(AND(NOT(AND(AU216=1,AT216&lt;&gt;1)),ISNUMBER(AN216),AN216&lt;=(C216+T216)),BB216,0),IF(AND(ISNUMBER(AO216),AO216&lt;=(C216+T216)),BC216,0))),"SK",IF(AND(IF(AND(NOT(AND(AU216=1,AT216&lt;&gt;1)),ISNUMBER(AL216),AL216&lt;=(C216+T216)),AZ216,0)&gt;0,IF(AND(NOT(AND(AU216=1,AT216&lt;&gt;1)),ISNUMBER(AL216),AL216&lt;=(C216+T216)),AZ216,0)=MAX(IF(AND(NOT(AND(AU216=1,AT216&lt;&gt;1)),ISNUMBER(AK216),AK216&lt;=(C216+T216)),AY216,0),IF(AND(NOT(AND(AU216=1,AT216&lt;&gt;1)),ISNUMBER(AL216),AL216&lt;=(C216+T216)),AZ216,0),IF(AND(NOT(AND(AU216=1,AT216&lt;&gt;1)),ISNUMBER(AM216),AM216&lt;=(C216+T216)),BA216,0),IF(AND(NOT(AND(AU216=1,AT216&lt;&gt;1)),ISNUMBER(AN216),AN216&lt;=(C216+T216)),BB216,0),IF(AND(ISNUMBER(AO216),AO216&lt;=(C216+T216)),BC216,0))),"LB",IF(AND(IF(AND(NOT(AND(AU216=1,AT216&lt;&gt;1)),ISNUMBER(AM216),AM216&lt;=(C216+T216)),BA216,0)&gt;0,IF(AND(NOT(AND(AU216=1,AT216&lt;&gt;1)),ISNUMBER(AM216),AM216&lt;=(C216+T216)),BA216,0)=MAX(IF(AND(NOT(AND(AU216=1,AT216&lt;&gt;1)),ISNUMBER(AK216),AK216&lt;=(C216+T216)),AY216,0),IF(AND(NOT(AND(AU216=1,AT216&lt;&gt;1)),ISNUMBER(AL216),AL216&lt;=(C216+T216)),AZ216,0),IF(AND(NOT(AND(AU216=1,AT216&lt;&gt;1)),ISNUMBER(AM216),AM216&lt;=(C216+T216)),BA216,0),IF(AND(NOT(AND(AU216=1,AT216&lt;&gt;1)),ISNUMBER(AN216),AN216&lt;=(C216+T216)),BB216,0),IF(AND(ISNUMBER(AO216),AO216&lt;=(C216+T216)),BC216,0))),"ML",IF(AND(IF(AND(NOT(AND(AU216=1,AT216&lt;&gt;1)),ISNUMBER(AN216),AN216&lt;=(C216+T216)),BB216,0)&gt;0,IF(AND(NOT(AND(AU216=1,AT216&lt;&gt;1)),ISNUMBER(AN216),AN216&lt;=(C216+T216)),BB216,0)=MAX(IF(AND(NOT(AND(AU216=1,AT216&lt;&gt;1)),ISNUMBER(AK216),AK216&lt;=(C216+T216)),AY216,0),IF(AND(NOT(AND(AU216=1,AT216&lt;&gt;1)),ISNUMBER(AL216),AL216&lt;=(C216+T216)),AZ216,0),IF(AND(NOT(AND(AU216=1,AT216&lt;&gt;1)),ISNUMBER(AM216),AM216&lt;=(C216+T216)),BA216,0),IF(AND(NOT(AND(AU216=1,AT216&lt;&gt;1)),ISNUMBER(AN216),AN216&lt;=(C216+T216)),BB216,0),IF(AND(ISNUMBER(AO216),AO216&lt;=(C216+T216)),BC216,0))),"RLO","BD"))))))))</f>
        <v/>
      </c>
    </row>
    <row r="217">
      <c r="A217" s="26" t="n">
        <v>206</v>
      </c>
      <c r="B217" s="27">
        <f>A217*10/60</f>
        <v/>
      </c>
      <c r="C217" s="22">
        <f>X216</f>
        <v/>
      </c>
      <c r="D217" s="27">
        <f>D216+W216</f>
        <v/>
      </c>
      <c r="E217" s="26">
        <f>E216+IF(U216="SK",1,0)</f>
        <v/>
      </c>
      <c r="F217" s="26">
        <f>F216+IF(U216="LB",1,0)</f>
        <v/>
      </c>
      <c r="G217" s="26">
        <f>G216+IF(U216="ML",1,0)</f>
        <v/>
      </c>
      <c r="H217" s="26">
        <f>H216+IF(U216="RLO",1,0)</f>
        <v/>
      </c>
      <c r="I217" s="26">
        <f>I216+IF(U216="BD",1,0)</f>
        <v/>
      </c>
      <c r="J217" s="26">
        <f>MAX(J216,IF(U216="BiP",1,0))</f>
        <v/>
      </c>
      <c r="K217" s="26">
        <f>MAX(K216,IF(U216="PV",1,0))</f>
        <v/>
      </c>
      <c r="L217" s="26">
        <f>MAX(L216,IF(U216="OC",1,0))</f>
        <v/>
      </c>
      <c r="M217" s="26">
        <f>MAX(M216,IF(U216="MG",1,0))</f>
        <v/>
      </c>
      <c r="N217" s="26">
        <f>MAX(N216,IF(U216="transition",1,0))</f>
        <v/>
      </c>
      <c r="O217" s="28">
        <f>(Parameters!$B$9+(IF(E217=0,0,(Upgrades!$J$13+E217*Upgrades!$K$13)*POWER(Upgrades!$L$13,E217)))*(IF(Upgrades!$T$14="Stellar Kinematics",POWER(Upgrades!$U$14,F217),1)*IF(Upgrades!$T$15="Stellar Kinematics",POWER(Upgrades!$U$15,G217),1)*IF(Upgrades!$T$16="Stellar Kinematics",POWER(Upgrades!$U$16,H217),1)*IF(Upgrades!$T$17="Stellar Kinematics",POWER(Upgrades!$U$17,I217),1)*IF(Upgrades!$T$18="Stellar Kinematics",POWER(Upgrades!$U$18,J217),1)*IF(Upgrades!$T$19="Stellar Kinematics",POWER(Upgrades!$U$19,K217),1)*IF(Upgrades!$T$20="Stellar Kinematics",POWER(Upgrades!$U$20,L217),1)*IF(Upgrades!$T$21="Stellar Kinematics",POWER(Upgrades!$U$21,M217),1))+(IF(F217=0,0,(Upgrades!$J$14+F217*Upgrades!$K$14)*POWER(Upgrades!$L$14,F217)))*(IF(Upgrades!$T$13="Local Bubble",POWER(Upgrades!$U$13,E217),1)*IF(Upgrades!$T$15="Local Bubble",POWER(Upgrades!$U$15,G217),1)*IF(Upgrades!$T$16="Local Bubble",POWER(Upgrades!$U$16,H217),1)*IF(Upgrades!$T$17="Local Bubble",POWER(Upgrades!$U$17,I217),1)*IF(Upgrades!$T$18="Local Bubble",POWER(Upgrades!$U$18,J217),1)*IF(Upgrades!$T$19="Local Bubble",POWER(Upgrades!$U$19,K217),1)*IF(Upgrades!$T$20="Local Bubble",POWER(Upgrades!$U$20,L217),1)*IF(Upgrades!$T$21="Local Bubble",POWER(Upgrades!$U$21,M217),1))+(IF(G217=0,0,(Upgrades!$J$15+G217*Upgrades!$K$15)*POWER(Upgrades!$L$15,G217)))*(IF(Upgrades!$T$13="Microlensing",POWER(Upgrades!$U$13,E217),1)*IF(Upgrades!$T$14="Microlensing",POWER(Upgrades!$U$14,F217),1)*IF(Upgrades!$T$16="Microlensing",POWER(Upgrades!$U$16,H217),1)*IF(Upgrades!$T$17="Microlensing",POWER(Upgrades!$U$17,I217),1)*IF(Upgrades!$T$18="Microlensing",POWER(Upgrades!$U$18,J217),1)*IF(Upgrades!$T$19="Microlensing",POWER(Upgrades!$U$19,K217),1)*IF(Upgrades!$T$20="Microlensing",POWER(Upgrades!$U$20,L217),1)*IF(Upgrades!$T$21="Microlensing",POWER(Upgrades!$U$21,M217),1))+(IF(H217=0,0,(Upgrades!$J$16+H217*Upgrades!$K$16)*POWER(Upgrades!$L$16,H217)))*(IF(Upgrades!$T$13="Roche Lobe Overflow",POWER(Upgrades!$U$13,E217),1)*IF(Upgrades!$T$14="Roche Lobe Overflow",POWER(Upgrades!$U$14,F217),1)*IF(Upgrades!$T$15="Roche Lobe Overflow",POWER(Upgrades!$U$15,G217),1)*IF(Upgrades!$T$17="Roche Lobe Overflow",POWER(Upgrades!$U$17,I217),1)*IF(Upgrades!$T$18="Roche Lobe Overflow",POWER(Upgrades!$U$18,J217),1)*IF(Upgrades!$T$19="Roche Lobe Overflow",POWER(Upgrades!$U$19,K217),1)*IF(Upgrades!$T$20="Roche Lobe Overflow",POWER(Upgrades!$U$20,L217),1)*IF(Upgrades!$T$21="Roche Lobe Overflow",POWER(Upgrades!$U$21,M217),1))+(IF(I217=0,0,(Upgrades!$J$17+I217*Upgrades!$K$17)*POWER(Upgrades!$L$17,I217)))*(IF(Upgrades!$T$13="Brown Dwarf",POWER(Upgrades!$U$13,E217),1)*IF(Upgrades!$T$14="Brown Dwarf",POWER(Upgrades!$U$14,F217),1)*IF(Upgrades!$T$15="Brown Dwarf",POWER(Upgrades!$U$15,G217),1)*IF(Upgrades!$T$16="Brown Dwarf",POWER(Upgrades!$U$16,H217),1)*IF(Upgrades!$T$18="Brown Dwarf",POWER(Upgrades!$U$18,J217),1)*IF(Upgrades!$T$19="Brown Dwarf",POWER(Upgrades!$U$19,K217),1)*IF(Upgrades!$T$20="Brown Dwarf",POWER(Upgrades!$U$20,L217),1)*IF(Upgrades!$T$21="Brown Dwarf",POWER(Upgrades!$U$21,M217),1))+(IF(J217=0,0,(Upgrades!$J$18+J217*Upgrades!$K$18)*POWER(Upgrades!$L$18,J217)))*(IF(Upgrades!$T$13="Binary Partner",POWER(Upgrades!$U$13,E217),1)*IF(Upgrades!$T$14="Binary Partner",POWER(Upgrades!$U$14,F217),1)*IF(Upgrades!$T$15="Binary Partner",POWER(Upgrades!$U$15,G217),1)*IF(Upgrades!$T$16="Binary Partner",POWER(Upgrades!$U$16,H217),1)*IF(Upgrades!$T$17="Binary Partner",POWER(Upgrades!$U$17,I217),1)*IF(Upgrades!$T$19="Binary Partner",POWER(Upgrades!$U$19,K217),1)*IF(Upgrades!$T$20="Binary Partner",POWER(Upgrades!$U$20,L217),1)*IF(Upgrades!$T$21="Binary Partner",POWER(Upgrades!$U$21,M217),1))+(IF(K217=0,0,(Upgrades!$J$19+K217*Upgrades!$K$19)*POWER(Upgrades!$L$19,K217)))*(IF(Upgrades!$T$13="Peculiar Velocity",POWER(Upgrades!$U$13,E217),1)*IF(Upgrades!$T$14="Peculiar Velocity",POWER(Upgrades!$U$14,F217),1)*IF(Upgrades!$T$15="Peculiar Velocity",POWER(Upgrades!$U$15,G217),1)*IF(Upgrades!$T$16="Peculiar Velocity",POWER(Upgrades!$U$16,H217),1)*IF(Upgrades!$T$17="Peculiar Velocity",POWER(Upgrades!$U$17,I217),1)*IF(Upgrades!$T$18="Peculiar Velocity",POWER(Upgrades!$U$18,J217),1)*IF(Upgrades!$T$20="Peculiar Velocity",POWER(Upgrades!$U$20,L217),1)*IF(Upgrades!$T$21="Peculiar Velocity",POWER(Upgrades!$U$21,M217),1))+(IF(L217=0,0,(Upgrades!$J$20+L217*Upgrades!$K$20)*POWER(Upgrades!$L$20,L217)))*(IF(Upgrades!$T$13="Open Cluster",POWER(Upgrades!$U$13,E217),1)*IF(Upgrades!$T$14="Open Cluster",POWER(Upgrades!$U$14,F217),1)*IF(Upgrades!$T$15="Open Cluster",POWER(Upgrades!$U$15,G217),1)*IF(Upgrades!$T$16="Open Cluster",POWER(Upgrades!$U$16,H217),1)*IF(Upgrades!$T$17="Open Cluster",POWER(Upgrades!$U$17,I217),1)*IF(Upgrades!$T$18="Open Cluster",POWER(Upgrades!$U$18,J217),1)*IF(Upgrades!$T$19="Open Cluster",POWER(Upgrades!$U$19,K217),1)*IF(Upgrades!$T$21="Open Cluster",POWER(Upgrades!$U$21,M217),1))+(IF(M217=0,0,(Upgrades!$J$21+M217*Upgrades!$K$21)*POWER(Upgrades!$L$21,M217)))*(IF(Upgrades!$T$13="Moving Group",POWER(Upgrades!$U$13,E217),1)*IF(Upgrades!$T$14="Moving Group",POWER(Upgrades!$U$14,F217),1)*IF(Upgrades!$T$15="Moving Group",POWER(Upgrades!$U$15,G217),1)*IF(Upgrades!$T$16="Moving Group",POWER(Upgrades!$U$16,H217),1)*IF(Upgrades!$T$17="Moving Group",POWER(Upgrades!$U$17,I217),1)*IF(Upgrades!$T$18="Moving Group",POWER(Upgrades!$U$18,J217),1)*IF(Upgrades!$T$19="Moving Group",POWER(Upgrades!$U$19,K217),1)*IF(Upgrades!$T$20="Moving Group",POWER(Upgrades!$U$20,L217),1)))*POWER(Upgrades!$Q$13,E217)*POWER(Upgrades!$Q$14,F217)*POWER(Upgrades!$Q$15,G217)*POWER(Upgrades!$Q$16,H217)*POWER(Upgrades!$Q$17,I217)*POWER(Upgrades!$Q$18,J217)*POWER(Upgrades!$Q$19,K217)*POWER(Upgrades!$Q$20,L217)*POWER(Upgrades!$Q$21,M217)*$G$6+$D$6</f>
        <v/>
      </c>
      <c r="P217" s="28">
        <f>((IF(E217=0,0,(Upgrades!$G$13+E217*Upgrades!$H$13)*POWER(Upgrades!$I$13,E217)))*(IF(Upgrades!$T$14="Stellar Kinematics",POWER(Upgrades!$U$14,F217),1)*IF(Upgrades!$T$15="Stellar Kinematics",POWER(Upgrades!$U$15,G217),1)*IF(Upgrades!$T$16="Stellar Kinematics",POWER(Upgrades!$U$16,H217),1)*IF(Upgrades!$T$17="Stellar Kinematics",POWER(Upgrades!$U$17,I217),1)*IF(Upgrades!$T$18="Stellar Kinematics",POWER(Upgrades!$U$18,J217),1)*IF(Upgrades!$T$19="Stellar Kinematics",POWER(Upgrades!$U$19,K217),1)*IF(Upgrades!$T$20="Stellar Kinematics",POWER(Upgrades!$U$20,L217),1)*IF(Upgrades!$T$21="Stellar Kinematics",POWER(Upgrades!$U$21,M217),1))+(IF(F217=0,0,(Upgrades!$G$14+F217*Upgrades!$H$14)*POWER(Upgrades!$I$14,F217)))*(IF(Upgrades!$T$13="Local Bubble",POWER(Upgrades!$U$13,E217),1)*IF(Upgrades!$T$15="Local Bubble",POWER(Upgrades!$U$15,G217),1)*IF(Upgrades!$T$16="Local Bubble",POWER(Upgrades!$U$16,H217),1)*IF(Upgrades!$T$17="Local Bubble",POWER(Upgrades!$U$17,I217),1)*IF(Upgrades!$T$18="Local Bubble",POWER(Upgrades!$U$18,J217),1)*IF(Upgrades!$T$19="Local Bubble",POWER(Upgrades!$U$19,K217),1)*IF(Upgrades!$T$20="Local Bubble",POWER(Upgrades!$U$20,L217),1)*IF(Upgrades!$T$21="Local Bubble",POWER(Upgrades!$U$21,M217),1))+(IF(G217=0,0,(Upgrades!$G$15+G217*Upgrades!$H$15)*POWER(Upgrades!$I$15,G217)))*(IF(Upgrades!$T$13="Microlensing",POWER(Upgrades!$U$13,E217),1)*IF(Upgrades!$T$14="Microlensing",POWER(Upgrades!$U$14,F217),1)*IF(Upgrades!$T$16="Microlensing",POWER(Upgrades!$U$16,H217),1)*IF(Upgrades!$T$17="Microlensing",POWER(Upgrades!$U$17,I217),1)*IF(Upgrades!$T$18="Microlensing",POWER(Upgrades!$U$18,J217),1)*IF(Upgrades!$T$19="Microlensing",POWER(Upgrades!$U$19,K217),1)*IF(Upgrades!$T$20="Microlensing",POWER(Upgrades!$U$20,L217),1)*IF(Upgrades!$T$21="Microlensing",POWER(Upgrades!$U$21,M217),1))+(IF(H217=0,0,(Upgrades!$G$16+H217*Upgrades!$H$16)*POWER(Upgrades!$I$16,H217)))*(IF(Upgrades!$T$13="Roche Lobe Overflow",POWER(Upgrades!$U$13,E217),1)*IF(Upgrades!$T$14="Roche Lobe Overflow",POWER(Upgrades!$U$14,F217),1)*IF(Upgrades!$T$15="Roche Lobe Overflow",POWER(Upgrades!$U$15,G217),1)*IF(Upgrades!$T$17="Roche Lobe Overflow",POWER(Upgrades!$U$17,I217),1)*IF(Upgrades!$T$18="Roche Lobe Overflow",POWER(Upgrades!$U$18,J217),1)*IF(Upgrades!$T$19="Roche Lobe Overflow",POWER(Upgrades!$U$19,K217),1)*IF(Upgrades!$T$20="Roche Lobe Overflow",POWER(Upgrades!$U$20,L217),1)*IF(Upgrades!$T$21="Roche Lobe Overflow",POWER(Upgrades!$U$21,M217),1))+(IF(I217=0,0,(Upgrades!$G$17+I217*Upgrades!$H$17)*POWER(Upgrades!$I$17,I217)))*(IF(Upgrades!$T$13="Brown Dwarf",POWER(Upgrades!$U$13,E217),1)*IF(Upgrades!$T$14="Brown Dwarf",POWER(Upgrades!$U$14,F217),1)*IF(Upgrades!$T$15="Brown Dwarf",POWER(Upgrades!$U$15,G217),1)*IF(Upgrades!$T$16="Brown Dwarf",POWER(Upgrades!$U$16,H217),1)*IF(Upgrades!$T$18="Brown Dwarf",POWER(Upgrades!$U$18,J217),1)*IF(Upgrades!$T$19="Brown Dwarf",POWER(Upgrades!$U$19,K217),1)*IF(Upgrades!$T$20="Brown Dwarf",POWER(Upgrades!$U$20,L217),1)*IF(Upgrades!$T$21="Brown Dwarf",POWER(Upgrades!$U$21,M217),1))+(IF(J217=0,0,(Upgrades!$G$18+J217*Upgrades!$H$18)*POWER(Upgrades!$I$18,J217)))*(IF(Upgrades!$T$13="Binary Partner",POWER(Upgrades!$U$13,E217),1)*IF(Upgrades!$T$14="Binary Partner",POWER(Upgrades!$U$14,F217),1)*IF(Upgrades!$T$15="Binary Partner",POWER(Upgrades!$U$15,G217),1)*IF(Upgrades!$T$16="Binary Partner",POWER(Upgrades!$U$16,H217),1)*IF(Upgrades!$T$17="Binary Partner",POWER(Upgrades!$U$17,I217),1)*IF(Upgrades!$T$19="Binary Partner",POWER(Upgrades!$U$19,K217),1)*IF(Upgrades!$T$20="Binary Partner",POWER(Upgrades!$U$20,L217),1)*IF(Upgrades!$T$21="Binary Partner",POWER(Upgrades!$U$21,M217),1))+(IF(K217=0,0,(Upgrades!$G$19+K217*Upgrades!$H$19)*POWER(Upgrades!$I$19,K217)))*(IF(Upgrades!$T$13="Peculiar Velocity",POWER(Upgrades!$U$13,E217),1)*IF(Upgrades!$T$14="Peculiar Velocity",POWER(Upgrades!$U$14,F217),1)*IF(Upgrades!$T$15="Peculiar Velocity",POWER(Upgrades!$U$15,G217),1)*IF(Upgrades!$T$16="Peculiar Velocity",POWER(Upgrades!$U$16,H217),1)*IF(Upgrades!$T$17="Peculiar Velocity",POWER(Upgrades!$U$17,I217),1)*IF(Upgrades!$T$18="Peculiar Velocity",POWER(Upgrades!$U$18,J217),1)*IF(Upgrades!$T$20="Peculiar Velocity",POWER(Upgrades!$U$20,L217),1)*IF(Upgrades!$T$21="Peculiar Velocity",POWER(Upgrades!$U$21,M217),1))+(IF(L217=0,0,(Upgrades!$G$20+L217*Upgrades!$H$20)*POWER(Upgrades!$I$20,L217)))*(IF(Upgrades!$T$13="Open Cluster",POWER(Upgrades!$U$13,E217),1)*IF(Upgrades!$T$14="Open Cluster",POWER(Upgrades!$U$14,F217),1)*IF(Upgrades!$T$15="Open Cluster",POWER(Upgrades!$U$15,G217),1)*IF(Upgrades!$T$16="Open Cluster",POWER(Upgrades!$U$16,H217),1)*IF(Upgrades!$T$17="Open Cluster",POWER(Upgrades!$U$17,I217),1)*IF(Upgrades!$T$18="Open Cluster",POWER(Upgrades!$U$18,J217),1)*IF(Upgrades!$T$19="Open Cluster",POWER(Upgrades!$U$19,K217),1)*IF(Upgrades!$T$21="Open Cluster",POWER(Upgrades!$U$21,M217),1))+(IF(M217=0,0,(Upgrades!$G$21+M217*Upgrades!$H$21)*POWER(Upgrades!$I$21,M217)))*(IF(Upgrades!$T$13="Moving Group",POWER(Upgrades!$U$13,E217),1)*IF(Upgrades!$T$14="Moving Group",POWER(Upgrades!$U$14,F217),1)*IF(Upgrades!$T$15="Moving Group",POWER(Upgrades!$U$15,G217),1)*IF(Upgrades!$T$16="Moving Group",POWER(Upgrades!$U$16,H217),1)*IF(Upgrades!$T$17="Moving Group",POWER(Upgrades!$U$17,I217),1)*IF(Upgrades!$T$18="Moving Group",POWER(Upgrades!$U$18,J217),1)*IF(Upgrades!$T$19="Moving Group",POWER(Upgrades!$U$19,K217),1)*IF(Upgrades!$T$20="Moving Group",POWER(Upgrades!$U$20,L217),1)))*POWER(Upgrades!$P$13,E217)*POWER(Upgrades!$P$14,F217)*POWER(Upgrades!$P$15,G217)*POWER(Upgrades!$P$16,H217)*POWER(Upgrades!$P$17,I217)*POWER(Upgrades!$P$18,J217)*POWER(Upgrades!$P$19,K217)*POWER(Upgrades!$P$20,L217)*POWER(Upgrades!$P$21,M217)*$F$6+$C$6</f>
        <v/>
      </c>
      <c r="Q217" s="28">
        <f>((IF(E217=0,0,(Upgrades!$M$13+E217*Upgrades!$N$13)*POWER(Upgrades!$O$13,E217)))*(IF(Upgrades!$T$14="Stellar Kinematics",POWER(Upgrades!$U$14,F217),1)*IF(Upgrades!$T$15="Stellar Kinematics",POWER(Upgrades!$U$15,G217),1)*IF(Upgrades!$T$16="Stellar Kinematics",POWER(Upgrades!$U$16,H217),1)*IF(Upgrades!$T$17="Stellar Kinematics",POWER(Upgrades!$U$17,I217),1)*IF(Upgrades!$T$18="Stellar Kinematics",POWER(Upgrades!$U$18,J217),1)*IF(Upgrades!$T$19="Stellar Kinematics",POWER(Upgrades!$U$19,K217),1)*IF(Upgrades!$T$20="Stellar Kinematics",POWER(Upgrades!$U$20,L217),1)*IF(Upgrades!$T$21="Stellar Kinematics",POWER(Upgrades!$U$21,M217),1))+(IF(F217=0,0,(Upgrades!$M$14+F217*Upgrades!$N$14)*POWER(Upgrades!$O$14,F217)))*(IF(Upgrades!$T$13="Local Bubble",POWER(Upgrades!$U$13,E217),1)*IF(Upgrades!$T$15="Local Bubble",POWER(Upgrades!$U$15,G217),1)*IF(Upgrades!$T$16="Local Bubble",POWER(Upgrades!$U$16,H217),1)*IF(Upgrades!$T$17="Local Bubble",POWER(Upgrades!$U$17,I217),1)*IF(Upgrades!$T$18="Local Bubble",POWER(Upgrades!$U$18,J217),1)*IF(Upgrades!$T$19="Local Bubble",POWER(Upgrades!$U$19,K217),1)*IF(Upgrades!$T$20="Local Bubble",POWER(Upgrades!$U$20,L217),1)*IF(Upgrades!$T$21="Local Bubble",POWER(Upgrades!$U$21,M217),1))+(IF(G217=0,0,(Upgrades!$M$15+G217*Upgrades!$N$15)*POWER(Upgrades!$O$15,G217)))*(IF(Upgrades!$T$13="Microlensing",POWER(Upgrades!$U$13,E217),1)*IF(Upgrades!$T$14="Microlensing",POWER(Upgrades!$U$14,F217),1)*IF(Upgrades!$T$16="Microlensing",POWER(Upgrades!$U$16,H217),1)*IF(Upgrades!$T$17="Microlensing",POWER(Upgrades!$U$17,I217),1)*IF(Upgrades!$T$18="Microlensing",POWER(Upgrades!$U$18,J217),1)*IF(Upgrades!$T$19="Microlensing",POWER(Upgrades!$U$19,K217),1)*IF(Upgrades!$T$20="Microlensing",POWER(Upgrades!$U$20,L217),1)*IF(Upgrades!$T$21="Microlensing",POWER(Upgrades!$U$21,M217),1))+(IF(H217=0,0,(Upgrades!$M$16+H217*Upgrades!$N$16)*POWER(Upgrades!$O$16,H217)))*(IF(Upgrades!$T$13="Roche Lobe Overflow",POWER(Upgrades!$U$13,E217),1)*IF(Upgrades!$T$14="Roche Lobe Overflow",POWER(Upgrades!$U$14,F217),1)*IF(Upgrades!$T$15="Roche Lobe Overflow",POWER(Upgrades!$U$15,G217),1)*IF(Upgrades!$T$17="Roche Lobe Overflow",POWER(Upgrades!$U$17,I217),1)*IF(Upgrades!$T$18="Roche Lobe Overflow",POWER(Upgrades!$U$18,J217),1)*IF(Upgrades!$T$19="Roche Lobe Overflow",POWER(Upgrades!$U$19,K217),1)*IF(Upgrades!$T$20="Roche Lobe Overflow",POWER(Upgrades!$U$20,L217),1)*IF(Upgrades!$T$21="Roche Lobe Overflow",POWER(Upgrades!$U$21,M217),1))+(IF(I217=0,0,(Upgrades!$M$17+I217*Upgrades!$N$17)*POWER(Upgrades!$O$17,I217)))*(IF(Upgrades!$T$13="Brown Dwarf",POWER(Upgrades!$U$13,E217),1)*IF(Upgrades!$T$14="Brown Dwarf",POWER(Upgrades!$U$14,F217),1)*IF(Upgrades!$T$15="Brown Dwarf",POWER(Upgrades!$U$15,G217),1)*IF(Upgrades!$T$16="Brown Dwarf",POWER(Upgrades!$U$16,H217),1)*IF(Upgrades!$T$18="Brown Dwarf",POWER(Upgrades!$U$18,J217),1)*IF(Upgrades!$T$19="Brown Dwarf",POWER(Upgrades!$U$19,K217),1)*IF(Upgrades!$T$20="Brown Dwarf",POWER(Upgrades!$U$20,L217),1)*IF(Upgrades!$T$21="Brown Dwarf",POWER(Upgrades!$U$21,M217),1))+(IF(J217=0,0,(Upgrades!$M$18+J217*Upgrades!$N$18)*POWER(Upgrades!$O$18,J217)))*(IF(Upgrades!$T$13="Binary Partner",POWER(Upgrades!$U$13,E217),1)*IF(Upgrades!$T$14="Binary Partner",POWER(Upgrades!$U$14,F217),1)*IF(Upgrades!$T$15="Binary Partner",POWER(Upgrades!$U$15,G217),1)*IF(Upgrades!$T$16="Binary Partner",POWER(Upgrades!$U$16,H217),1)*IF(Upgrades!$T$17="Binary Partner",POWER(Upgrades!$U$17,I217),1)*IF(Upgrades!$T$19="Binary Partner",POWER(Upgrades!$U$19,K217),1)*IF(Upgrades!$T$20="Binary Partner",POWER(Upgrades!$U$20,L217),1)*IF(Upgrades!$T$21="Binary Partner",POWER(Upgrades!$U$21,M217),1))+(IF(K217=0,0,(Upgrades!$M$19+K217*Upgrades!$N$19)*POWER(Upgrades!$O$19,K217)))*(IF(Upgrades!$T$13="Peculiar Velocity",POWER(Upgrades!$U$13,E217),1)*IF(Upgrades!$T$14="Peculiar Velocity",POWER(Upgrades!$U$14,F217),1)*IF(Upgrades!$T$15="Peculiar Velocity",POWER(Upgrades!$U$15,G217),1)*IF(Upgrades!$T$16="Peculiar Velocity",POWER(Upgrades!$U$16,H217),1)*IF(Upgrades!$T$17="Peculiar Velocity",POWER(Upgrades!$U$17,I217),1)*IF(Upgrades!$T$18="Peculiar Velocity",POWER(Upgrades!$U$18,J217),1)*IF(Upgrades!$T$20="Peculiar Velocity",POWER(Upgrades!$U$20,L217),1)*IF(Upgrades!$T$21="Peculiar Velocity",POWER(Upgrades!$U$21,M217),1))+(IF(L217=0,0,(Upgrades!$M$20+L217*Upgrades!$N$20)*POWER(Upgrades!$O$20,L217)))*(IF(Upgrades!$T$13="Open Cluster",POWER(Upgrades!$U$13,E217),1)*IF(Upgrades!$T$14="Open Cluster",POWER(Upgrades!$U$14,F217),1)*IF(Upgrades!$T$15="Open Cluster",POWER(Upgrades!$U$15,G217),1)*IF(Upgrades!$T$16="Open Cluster",POWER(Upgrades!$U$16,H217),1)*IF(Upgrades!$T$17="Open Cluster",POWER(Upgrades!$U$17,I217),1)*IF(Upgrades!$T$18="Open Cluster",POWER(Upgrades!$U$18,J217),1)*IF(Upgrades!$T$19="Open Cluster",POWER(Upgrades!$U$19,K217),1)*IF(Upgrades!$T$21="Open Cluster",POWER(Upgrades!$U$21,M217),1))+(IF(M217=0,0,(Upgrades!$M$21+M217*Upgrades!$N$21)*POWER(Upgrades!$O$21,M217)))*(IF(Upgrades!$T$13="Moving Group",POWER(Upgrades!$U$13,E217),1)*IF(Upgrades!$T$14="Moving Group",POWER(Upgrades!$U$14,F217),1)*IF(Upgrades!$T$15="Moving Group",POWER(Upgrades!$U$15,G217),1)*IF(Upgrades!$T$16="Moving Group",POWER(Upgrades!$U$16,H217),1)*IF(Upgrades!$T$17="Moving Group",POWER(Upgrades!$U$17,I217),1)*IF(Upgrades!$T$18="Moving Group",POWER(Upgrades!$U$18,J217),1)*IF(Upgrades!$T$19="Moving Group",POWER(Upgrades!$U$19,K217),1)*IF(Upgrades!$T$20="Moving Group",POWER(Upgrades!$U$20,L217),1)))*POWER(Upgrades!$R$13,E217)*POWER(Upgrades!$R$14,F217)*POWER(Upgrades!$R$15,G217)*POWER(Upgrades!$R$16,H217)*POWER(Upgrades!$R$17,I217)*POWER(Upgrades!$R$18,J217)*POWER(Upgrades!$R$19,K217)*POWER(Upgrades!$R$20,L217)*POWER(Upgrades!$R$21,M217)*$H$6+$E$6</f>
        <v/>
      </c>
      <c r="R217" s="27">
        <f>IF(N217=1,0,O217*Parameters!$B$10/60*Parameters!$B$11*10)</f>
        <v/>
      </c>
      <c r="S217" s="27">
        <f>IF(N217=1,0,Q217*O217*10)</f>
        <v/>
      </c>
      <c r="T217" s="27">
        <f>IF(N217=1,0,R217+S217+P217*10)</f>
        <v/>
      </c>
      <c r="U217" s="33">
        <f>BE217</f>
        <v/>
      </c>
      <c r="V217" s="22">
        <f>IF(U217="",0,IF(U217="transition",0,IF(U217="SK",AK217,IF(U217="LB",AL217,IF(U217="ML",AM217,IF(U217="RLO",AN217,IF(U217="BD",AO217,IF(U217="BiP",AP217,IF(U217="PV",AQ217,IF(U217="OC",AR217,IF(U217="MG",AS217,0))))))))))</f>
        <v/>
      </c>
      <c r="W217" s="27">
        <f>IF(U217="BiP",Upgrades!$F$18,IF(U217="PV",Upgrades!$F$19,IF(U217="OC",Upgrades!$F$20,IF(U217="MG",Upgrades!$F$21,IF(U217="transition",-Parameters!$B$18*Parameters!$B$19,0)))))</f>
        <v/>
      </c>
      <c r="X217" s="22">
        <f>C217+T217-V217</f>
        <v/>
      </c>
      <c r="Y217" s="30">
        <f>O217*Parameters!$B$10/60*Parameters!$B$11+Q217*O217+P217</f>
        <v/>
      </c>
      <c r="Z217" s="34">
        <f>IF(U217="transition","→ Tier 3 (Galactic Arm)",IF(U217="MG","Moving Group — pocket drifts together",IF(U217="OC","Open Cluster acquired",IF(U217="PV","Peculiar Velocity — passive multiplier active",IF(U217="BiP","Binary Partner — pair bond formed",IF(AND(AU217=1,N217=0,AT217&lt;&gt;1),"Cohesion ready (waiting on completionists)","")))))) </f>
        <v/>
      </c>
      <c r="AA217" s="27">
        <f>(IF(E217=0,0,(Upgrades!$G$13+E217*Upgrades!$H$13)*POWER(Upgrades!$I$13,E217)))*(IF(Upgrades!$T$14="Stellar Kinematics",POWER(Upgrades!$U$14,F217),1)*IF(Upgrades!$T$15="Stellar Kinematics",POWER(Upgrades!$U$15,G217),1)*IF(Upgrades!$T$16="Stellar Kinematics",POWER(Upgrades!$U$16,H217),1)*IF(Upgrades!$T$17="Stellar Kinematics",POWER(Upgrades!$U$17,I217),1)*IF(Upgrades!$T$18="Stellar Kinematics",POWER(Upgrades!$U$18,J217),1)*IF(Upgrades!$T$19="Stellar Kinematics",POWER(Upgrades!$U$19,K217),1)*IF(Upgrades!$T$20="Stellar Kinematics",POWER(Upgrades!$U$20,L217),1)*IF(Upgrades!$T$21="Stellar Kinematics",POWER(Upgrades!$U$21,M217),1))*POWER(Upgrades!$P$13,E217)*POWER(Upgrades!$P$14,F217)*POWER(Upgrades!$P$15,G217)*POWER(Upgrades!$P$16,H217)*POWER(Upgrades!$P$17,I217)*POWER(Upgrades!$P$18,J217)*POWER(Upgrades!$P$19,K217)*POWER(Upgrades!$P$20,L217)*POWER(Upgrades!$P$21,M217)*$F$6*60</f>
        <v/>
      </c>
      <c r="AB217" s="27">
        <f>(IF(F217=0,0,(Upgrades!$G$14+F217*Upgrades!$H$14)*POWER(Upgrades!$I$14,F217)))*(IF(Upgrades!$T$13="Local Bubble",POWER(Upgrades!$U$13,E217),1)*IF(Upgrades!$T$15="Local Bubble",POWER(Upgrades!$U$15,G217),1)*IF(Upgrades!$T$16="Local Bubble",POWER(Upgrades!$U$16,H217),1)*IF(Upgrades!$T$17="Local Bubble",POWER(Upgrades!$U$17,I217),1)*IF(Upgrades!$T$18="Local Bubble",POWER(Upgrades!$U$18,J217),1)*IF(Upgrades!$T$19="Local Bubble",POWER(Upgrades!$U$19,K217),1)*IF(Upgrades!$T$20="Local Bubble",POWER(Upgrades!$U$20,L217),1)*IF(Upgrades!$T$21="Local Bubble",POWER(Upgrades!$U$21,M217),1))*POWER(Upgrades!$P$13,E217)*POWER(Upgrades!$P$14,F217)*POWER(Upgrades!$P$15,G217)*POWER(Upgrades!$P$16,H217)*POWER(Upgrades!$P$17,I217)*POWER(Upgrades!$P$18,J217)*POWER(Upgrades!$P$19,K217)*POWER(Upgrades!$P$20,L217)*POWER(Upgrades!$P$21,M217)*$F$6*60</f>
        <v/>
      </c>
      <c r="AC217" s="27">
        <f>(IF(G217=0,0,(Upgrades!$J$15+G217*Upgrades!$K$15)*POWER(Upgrades!$L$15,G217)))*(IF(Upgrades!$T$13="Microlensing",POWER(Upgrades!$U$13,E217),1)*IF(Upgrades!$T$14="Microlensing",POWER(Upgrades!$U$14,F217),1)*IF(Upgrades!$T$16="Microlensing",POWER(Upgrades!$U$16,H217),1)*IF(Upgrades!$T$17="Microlensing",POWER(Upgrades!$U$17,I217),1)*IF(Upgrades!$T$18="Microlensing",POWER(Upgrades!$U$18,J217),1)*IF(Upgrades!$T$19="Microlensing",POWER(Upgrades!$U$19,K217),1)*IF(Upgrades!$T$20="Microlensing",POWER(Upgrades!$U$20,L217),1)*IF(Upgrades!$T$21="Microlensing",POWER(Upgrades!$U$21,M217),1))*POWER(Upgrades!$Q$13,E217)*POWER(Upgrades!$Q$14,F217)*POWER(Upgrades!$Q$15,G217)*POWER(Upgrades!$Q$16,H217)*POWER(Upgrades!$Q$17,I217)*POWER(Upgrades!$Q$18,J217)*POWER(Upgrades!$Q$19,K217)*POWER(Upgrades!$Q$20,L217)*POWER(Upgrades!$Q$21,M217)*$G$6*(Parameters!$B$10*Parameters!$B$11+Q217*60)</f>
        <v/>
      </c>
      <c r="AD217" s="27">
        <f>(IF(H217=0,0,(Upgrades!$M$16+H217*Upgrades!$N$16)*POWER(Upgrades!$O$16,H217)))*(IF(Upgrades!$T$13="Roche Lobe Overflow",POWER(Upgrades!$U$13,E217),1)*IF(Upgrades!$T$14="Roche Lobe Overflow",POWER(Upgrades!$U$14,F217),1)*IF(Upgrades!$T$15="Roche Lobe Overflow",POWER(Upgrades!$U$15,G217),1)*IF(Upgrades!$T$17="Roche Lobe Overflow",POWER(Upgrades!$U$17,I217),1)*IF(Upgrades!$T$18="Roche Lobe Overflow",POWER(Upgrades!$U$18,J217),1)*IF(Upgrades!$T$19="Roche Lobe Overflow",POWER(Upgrades!$U$19,K217),1)*IF(Upgrades!$T$20="Roche Lobe Overflow",POWER(Upgrades!$U$20,L217),1)*IF(Upgrades!$T$21="Roche Lobe Overflow",POWER(Upgrades!$U$21,M217),1))*POWER(Upgrades!$R$13,E217)*POWER(Upgrades!$R$14,F217)*POWER(Upgrades!$R$15,G217)*POWER(Upgrades!$R$16,H217)*POWER(Upgrades!$R$17,I217)*POWER(Upgrades!$R$18,J217)*POWER(Upgrades!$R$19,K217)*POWER(Upgrades!$R$20,L217)*POWER(Upgrades!$R$21,M217)*$H$6*O217*60</f>
        <v/>
      </c>
      <c r="AE217" s="27">
        <f>(IF(I217=0,0,(Upgrades!$G$17+I217*Upgrades!$H$17)*POWER(Upgrades!$I$17,I217)))*(IF(Upgrades!$T$13="Brown Dwarf",POWER(Upgrades!$U$13,E217),1)*IF(Upgrades!$T$14="Brown Dwarf",POWER(Upgrades!$U$14,F217),1)*IF(Upgrades!$T$15="Brown Dwarf",POWER(Upgrades!$U$15,G217),1)*IF(Upgrades!$T$16="Brown Dwarf",POWER(Upgrades!$U$16,H217),1)*IF(Upgrades!$T$18="Brown Dwarf",POWER(Upgrades!$U$18,J217),1)*IF(Upgrades!$T$19="Brown Dwarf",POWER(Upgrades!$U$19,K217),1)*IF(Upgrades!$T$20="Brown Dwarf",POWER(Upgrades!$U$20,L217),1)*IF(Upgrades!$T$21="Brown Dwarf",POWER(Upgrades!$U$21,M217),1))*POWER(Upgrades!$P$13,E217)*POWER(Upgrades!$P$14,F217)*POWER(Upgrades!$P$15,G217)*POWER(Upgrades!$P$16,H217)*POWER(Upgrades!$P$17,I217)*POWER(Upgrades!$P$18,J217)*POWER(Upgrades!$P$19,K217)*POWER(Upgrades!$P$20,L217)*POWER(Upgrades!$P$21,M217)*$F$6*60</f>
        <v/>
      </c>
      <c r="AF217" s="27" t="n">
        <v>0</v>
      </c>
      <c r="AG217" s="27" t="n">
        <v>0</v>
      </c>
      <c r="AH217" s="27" t="n">
        <v>0</v>
      </c>
      <c r="AI217" s="27">
        <f>(IF(M217=0,0,(Upgrades!$G$21+M217*Upgrades!$H$21)*POWER(Upgrades!$I$21,M217)))*(IF(Upgrades!$T$13="Moving Group",POWER(Upgrades!$U$13,E217),1)*IF(Upgrades!$T$14="Moving Group",POWER(Upgrades!$U$14,F217),1)*IF(Upgrades!$T$15="Moving Group",POWER(Upgrades!$U$15,G217),1)*IF(Upgrades!$T$16="Moving Group",POWER(Upgrades!$U$16,H217),1)*IF(Upgrades!$T$17="Moving Group",POWER(Upgrades!$U$17,I217),1)*IF(Upgrades!$T$18="Moving Group",POWER(Upgrades!$U$18,J217),1)*IF(Upgrades!$T$19="Moving Group",POWER(Upgrades!$U$19,K217),1)*IF(Upgrades!$T$20="Moving Group",POWER(Upgrades!$U$20,L217),1))*POWER(Upgrades!$P$13,E217)*POWER(Upgrades!$P$14,F217)*POWER(Upgrades!$P$15,G217)*POWER(Upgrades!$P$16,H217)*POWER(Upgrades!$P$17,I217)*POWER(Upgrades!$P$18,J217)*POWER(Upgrades!$P$19,K217)*POWER(Upgrades!$P$20,L217)*POWER(Upgrades!$P$21,M217)*$F$6*60</f>
        <v/>
      </c>
      <c r="AJ217" s="27">
        <f>$C$6*60</f>
        <v/>
      </c>
      <c r="AK217" s="22">
        <f>IF(E217&gt;=Upgrades!$E$13,"",Upgrades!$C$13*POWER(Upgrades!$D$13,E217))</f>
        <v/>
      </c>
      <c r="AL217" s="22">
        <f>IF(F217&gt;=Upgrades!$E$14,"",Upgrades!$C$14*POWER(Upgrades!$D$14,F217))</f>
        <v/>
      </c>
      <c r="AM217" s="22">
        <f>IF(G217&gt;=Upgrades!$E$15,"",Upgrades!$C$15*POWER(Upgrades!$D$15,G217))</f>
        <v/>
      </c>
      <c r="AN217" s="22">
        <f>IF(H217&gt;=Upgrades!$E$16,"",Upgrades!$C$16*POWER(Upgrades!$D$16,H217))</f>
        <v/>
      </c>
      <c r="AO217" s="22">
        <f>IF(I217&gt;=Upgrades!$E$17,"",Upgrades!$C$17*POWER(Upgrades!$D$17,I217))</f>
        <v/>
      </c>
      <c r="AP217" s="22">
        <f>IF(J217&gt;=Upgrades!$E$18,"",Upgrades!$C$18*POWER(Upgrades!$D$18,J217))</f>
        <v/>
      </c>
      <c r="AQ217" s="22">
        <f>IF(K217&gt;=Upgrades!$E$19,"",Upgrades!$C$19*POWER(Upgrades!$D$19,K217))</f>
        <v/>
      </c>
      <c r="AR217" s="22">
        <f>IF(L217&gt;=Upgrades!$E$20,"",Upgrades!$C$20*POWER(Upgrades!$D$20,L217))</f>
        <v/>
      </c>
      <c r="AS217" s="22">
        <f>IF(M217&gt;=Upgrades!$E$21,"",Upgrades!$C$21*POWER(Upgrades!$D$21,M217))</f>
        <v/>
      </c>
      <c r="AT217" s="26">
        <f>IF(AND(D217&gt;=Parameters!$B$18*Parameters!$B$19,(I217&gt;=Upgrades!$E$17)*(M217&gt;=Upgrades!$E$21)=1,N217=0),1,"")</f>
        <v/>
      </c>
      <c r="AU217" s="26">
        <f>IF(AND(D217&gt;=Parameters!$B$18*Parameters!$B$19,N217=0),1,"")</f>
        <v/>
      </c>
      <c r="AV217" s="22">
        <f>MIN(IF(ISNUMBER(AP217),AP217,9E15),IF(ISNUMBER(AQ217),AQ217,9E15),IF(ISNUMBER(AR217),AR217,9E15),IF(ISNUMBER(AS217),AS217,9E15))</f>
        <v/>
      </c>
      <c r="AW217" s="22">
        <f>MIN(IF(ISNUMBER(AK217),AK217,9E15),IF(ISNUMBER(AL217),AL217,9E15),IF(ISNUMBER(AM217),AM217,9E15),IF(ISNUMBER(AN217),AN217,9E15),IF(ISNUMBER(AO217),AO217,9E15))</f>
        <v/>
      </c>
      <c r="AX217" s="29">
        <f>IF(BD217&gt;Parameters!$B$21*(MAX(IF(AND(NOT(AND(AU217=1,AT217&lt;&gt;1)),ISNUMBER(AK217),AK217&lt;=(C217+T217)),AY217,0),IF(AND(NOT(AND(AU217=1,AT217&lt;&gt;1)),ISNUMBER(AL217),AL217&lt;=(C217+T217)),AZ217,0),IF(AND(NOT(AND(AU217=1,AT217&lt;&gt;1)),ISNUMBER(AM217),AM217&lt;=(C217+T217)),BA217,0),IF(AND(NOT(AND(AU217=1,AT217&lt;&gt;1)),ISNUMBER(AN217),AN217&lt;=(C217+T217)),BB217,0),IF(AND(ISNUMBER(AO217),AO217&lt;=(C217+T217)),BC217,0))),TRUE,FALSE)</f>
        <v/>
      </c>
      <c r="AY217" s="32">
        <f>IFERROR(Upgrades!$H$13*(POWER(Upgrades!$P$13,E217)*POWER(Upgrades!$P$14,F217)*POWER(Upgrades!$P$15,G217)*POWER(Upgrades!$P$16,H217)*POWER(Upgrades!$P$17,I217)*POWER(Upgrades!$P$18,J217)*POWER(Upgrades!$P$19,K217)*POWER(Upgrades!$P$20,L217)*POWER(Upgrades!$P$21,M217))*(IF(Upgrades!$T$14="Stellar Kinematics",POWER(Upgrades!$U$14,F217),1)*IF(Upgrades!$T$15="Stellar Kinematics",POWER(Upgrades!$U$15,G217),1)*IF(Upgrades!$T$16="Stellar Kinematics",POWER(Upgrades!$U$16,H217),1)*IF(Upgrades!$T$17="Stellar Kinematics",POWER(Upgrades!$U$17,I217),1)*IF(Upgrades!$T$18="Stellar Kinematics",POWER(Upgrades!$U$18,J217),1)*IF(Upgrades!$T$19="Stellar Kinematics",POWER(Upgrades!$U$19,K217),1)*IF(Upgrades!$T$20="Stellar Kinematics",POWER(Upgrades!$U$20,L217),1)*IF(Upgrades!$T$21="Stellar Kinematics",POWER(Upgrades!$U$21,M217),1))*$F$6/AK217,0)</f>
        <v/>
      </c>
      <c r="AZ217" s="32">
        <f>IFERROR(Upgrades!$H$14*(POWER(Upgrades!$P$13,E217)*POWER(Upgrades!$P$14,F217)*POWER(Upgrades!$P$15,G217)*POWER(Upgrades!$P$16,H217)*POWER(Upgrades!$P$17,I217)*POWER(Upgrades!$P$18,J217)*POWER(Upgrades!$P$19,K217)*POWER(Upgrades!$P$20,L217)*POWER(Upgrades!$P$21,M217))*(IF(Upgrades!$T$13="Local Bubble",POWER(Upgrades!$U$13,E217),1)*IF(Upgrades!$T$15="Local Bubble",POWER(Upgrades!$U$15,G217),1)*IF(Upgrades!$T$16="Local Bubble",POWER(Upgrades!$U$16,H217),1)*IF(Upgrades!$T$17="Local Bubble",POWER(Upgrades!$U$17,I217),1)*IF(Upgrades!$T$18="Local Bubble",POWER(Upgrades!$U$18,J217),1)*IF(Upgrades!$T$19="Local Bubble",POWER(Upgrades!$U$19,K217),1)*IF(Upgrades!$T$20="Local Bubble",POWER(Upgrades!$U$20,L217),1)*IF(Upgrades!$T$21="Local Bubble",POWER(Upgrades!$U$21,M217),1))*$F$6/AL217,0)</f>
        <v/>
      </c>
      <c r="BA217" s="32">
        <f>IFERROR(Upgrades!$K$15*(POWER(Upgrades!$Q$13,E217)*POWER(Upgrades!$Q$14,F217)*POWER(Upgrades!$Q$15,G217)*POWER(Upgrades!$Q$16,H217)*POWER(Upgrades!$Q$17,I217)*POWER(Upgrades!$Q$18,J217)*POWER(Upgrades!$Q$19,K217)*POWER(Upgrades!$Q$20,L217)*POWER(Upgrades!$Q$21,M217))*(IF(Upgrades!$T$13="Microlensing",POWER(Upgrades!$U$13,E217),1)*IF(Upgrades!$T$14="Microlensing",POWER(Upgrades!$U$14,F217),1)*IF(Upgrades!$T$16="Microlensing",POWER(Upgrades!$U$16,H217),1)*IF(Upgrades!$T$17="Microlensing",POWER(Upgrades!$U$17,I217),1)*IF(Upgrades!$T$18="Microlensing",POWER(Upgrades!$U$18,J217),1)*IF(Upgrades!$T$19="Microlensing",POWER(Upgrades!$U$19,K217),1)*IF(Upgrades!$T$20="Microlensing",POWER(Upgrades!$U$20,L217),1)*IF(Upgrades!$T$21="Microlensing",POWER(Upgrades!$U$21,M217),1))*$G$6*(Parameters!$B$10/60*Parameters!$B$11+Q217)/AM217,0)</f>
        <v/>
      </c>
      <c r="BB217" s="32">
        <f>IFERROR((Upgrades!$N$16*(POWER(Upgrades!$R$13,E217)*POWER(Upgrades!$R$14,F217)*POWER(Upgrades!$R$15,G217)*POWER(Upgrades!$R$16,H217)*POWER(Upgrades!$R$17,I217)*POWER(Upgrades!$R$18,J217)*POWER(Upgrades!$R$19,K217)*POWER(Upgrades!$R$20,L217)*POWER(Upgrades!$R$21,M217))*(IF(Upgrades!$T$13="Roche Lobe Overflow",POWER(Upgrades!$U$13,E217),1)*IF(Upgrades!$T$14="Roche Lobe Overflow",POWER(Upgrades!$U$14,F217),1)*IF(Upgrades!$T$15="Roche Lobe Overflow",POWER(Upgrades!$U$15,G217),1)*IF(Upgrades!$T$17="Roche Lobe Overflow",POWER(Upgrades!$U$17,I217),1)*IF(Upgrades!$T$18="Roche Lobe Overflow",POWER(Upgrades!$U$18,J217),1)*IF(Upgrades!$T$19="Roche Lobe Overflow",POWER(Upgrades!$U$19,K217),1)*IF(Upgrades!$T$20="Roche Lobe Overflow",POWER(Upgrades!$U$20,L217),1)*IF(Upgrades!$T$21="Roche Lobe Overflow",POWER(Upgrades!$U$21,M217),1))*$H$6*O217+((IF(F217=0,0,(Upgrades!$G$14+F217*Upgrades!$H$14)*POWER(Upgrades!$I$14,F217)))*(IF(Upgrades!$T$13="Local Bubble",POWER(Upgrades!$U$13,E217),1)*IF(Upgrades!$T$15="Local Bubble",POWER(Upgrades!$U$15,G217),1)*IF(Upgrades!$T$16="Local Bubble",POWER(Upgrades!$U$16,H217),1)*IF(Upgrades!$T$17="Local Bubble",POWER(Upgrades!$U$17,I217),1)*IF(Upgrades!$T$18="Local Bubble",POWER(Upgrades!$U$18,J217),1)*IF(Upgrades!$T$19="Local Bubble",POWER(Upgrades!$U$19,K217),1)*IF(Upgrades!$T$20="Local Bubble",POWER(Upgrades!$U$20,L217),1)*IF(Upgrades!$T$21="Local Bubble",POWER(Upgrades!$U$21,M217),1))*POWER(Upgrades!$P$13,E217)*POWER(Upgrades!$P$14,F217)*POWER(Upgrades!$P$15,G217)*POWER(Upgrades!$P$16,H217)*POWER(Upgrades!$P$17,I217)*POWER(Upgrades!$P$18,J217)*POWER(Upgrades!$P$19,K217)*POWER(Upgrades!$P$20,L217)*POWER(Upgrades!$P$21,M217)*$F$6)*0.05)/AN217,0)</f>
        <v/>
      </c>
      <c r="BC217" s="32">
        <f>IFERROR((Upgrades!$H$17*(POWER(Upgrades!$P$13,E217)*POWER(Upgrades!$P$14,F217)*POWER(Upgrades!$P$15,G217)*POWER(Upgrades!$P$16,H217)*POWER(Upgrades!$P$17,I217)*POWER(Upgrades!$P$18,J217)*POWER(Upgrades!$P$19,K217)*POWER(Upgrades!$P$20,L217)*POWER(Upgrades!$P$21,M217))*(IF(Upgrades!$T$13="Brown Dwarf",POWER(Upgrades!$U$13,E217),1)*IF(Upgrades!$T$14="Brown Dwarf",POWER(Upgrades!$U$14,F217),1)*IF(Upgrades!$T$15="Brown Dwarf",POWER(Upgrades!$U$15,G217),1)*IF(Upgrades!$T$16="Brown Dwarf",POWER(Upgrades!$U$16,H217),1)*IF(Upgrades!$T$18="Brown Dwarf",POWER(Upgrades!$U$18,J217),1)*IF(Upgrades!$T$19="Brown Dwarf",POWER(Upgrades!$U$19,K217),1)*IF(Upgrades!$T$20="Brown Dwarf",POWER(Upgrades!$U$20,L217),1)*IF(Upgrades!$T$21="Brown Dwarf",POWER(Upgrades!$U$21,M217),1))*$F$6+(((IF(H217=0,0,(Upgrades!$M$16+H217*Upgrades!$N$16)*POWER(Upgrades!$O$16,H217)))*(IF(Upgrades!$T$13="Roche Lobe Overflow",POWER(Upgrades!$U$13,E217),1)*IF(Upgrades!$T$14="Roche Lobe Overflow",POWER(Upgrades!$U$14,F217),1)*IF(Upgrades!$T$15="Roche Lobe Overflow",POWER(Upgrades!$U$15,G217),1)*IF(Upgrades!$T$17="Roche Lobe Overflow",POWER(Upgrades!$U$17,I217),1)*IF(Upgrades!$T$18="Roche Lobe Overflow",POWER(Upgrades!$U$18,J217),1)*IF(Upgrades!$T$19="Roche Lobe Overflow",POWER(Upgrades!$U$19,K217),1)*IF(Upgrades!$T$20="Roche Lobe Overflow",POWER(Upgrades!$U$20,L217),1)*IF(Upgrades!$T$21="Roche Lobe Overflow",POWER(Upgrades!$U$21,M217),1))*POWER(Upgrades!$R$13,E217)*POWER(Upgrades!$R$14,F217)*POWER(Upgrades!$R$15,G217)*POWER(Upgrades!$R$16,H217)*POWER(Upgrades!$R$17,I217)*POWER(Upgrades!$R$18,J217)*POWER(Upgrades!$R$19,K217)*POWER(Upgrades!$R$20,L217)*POWER(Upgrades!$R$21,M217)*$H$6)*O217)*0.10)/AO217,0)</f>
        <v/>
      </c>
      <c r="BD217" s="32">
        <f>MAX(IF(J217&gt;0,0,IFERROR(0.5*((IF(G217=0,0,(Upgrades!$J$15+G217*Upgrades!$K$15)*POWER(Upgrades!$L$15,G217)))*(IF(Upgrades!$T$13="Microlensing",POWER(Upgrades!$U$13,E217),1)*IF(Upgrades!$T$14="Microlensing",POWER(Upgrades!$U$14,F217),1)*IF(Upgrades!$T$16="Microlensing",POWER(Upgrades!$U$16,H217),1)*IF(Upgrades!$T$17="Microlensing",POWER(Upgrades!$U$17,I217),1)*IF(Upgrades!$T$18="Microlensing",POWER(Upgrades!$U$18,J217),1)*IF(Upgrades!$T$19="Microlensing",POWER(Upgrades!$U$19,K217),1)*IF(Upgrades!$T$20="Microlensing",POWER(Upgrades!$U$20,L217),1)*IF(Upgrades!$T$21="Microlensing",POWER(Upgrades!$U$21,M217),1))*(POWER(Upgrades!$Q$13,E217)*POWER(Upgrades!$Q$14,F217)*POWER(Upgrades!$Q$15,G217)*POWER(Upgrades!$Q$16,H217)*POWER(Upgrades!$Q$17,I217)*POWER(Upgrades!$Q$18,J217)*POWER(Upgrades!$Q$19,K217)*POWER(Upgrades!$Q$20,L217)*POWER(Upgrades!$Q$21,M217))*$G$6*(Parameters!$B$10/60*Parameters!$B$11+Q217))/Upgrades!$C$18,0)),IF(K217&gt;0,0,IFERROR(0.30*P217/Upgrades!$C$19,0)),IF(L217&gt;0,0,IFERROR(0.0001/Upgrades!$C$20,0)),IF(M217&gt;0,0,IFERROR((6.0*(POWER(Upgrades!$P$13,E217)*POWER(Upgrades!$P$14,F217)*POWER(Upgrades!$P$15,G217)*POWER(Upgrades!$P$16,H217)*POWER(Upgrades!$P$17,I217)*POWER(Upgrades!$P$18,J217)*POWER(Upgrades!$P$19,K217)*POWER(Upgrades!$P$20,L217)*POWER(Upgrades!$P$21,M217))*$F$6+0.20*O217*(Parameters!$B$10/60*Parameters!$B$11+Q217))/Upgrades!$C$21,0)),IF(AND(ISNUMBER(AK217),AK217&gt;(C217+T217)),AY217,0),IF(AND(ISNUMBER(AL217),AL217&gt;(C217+T217)),AZ217,0),IF(AND(ISNUMBER(AM217),AM217&gt;(C217+T217)),BA217,0),IF(AND(ISNUMBER(AN217),AN217&gt;(C217+T217)),BB217,0),IF(AND(ISNUMBER(AO217),AO217&gt;(C217+T217)),BC217,0))</f>
        <v/>
      </c>
      <c r="BE217" s="29">
        <f>IF(AT217=1,"transition",IF(MIN(IF(AND(J217=0,ISNUMBER(AP217),AP217&lt;=(C217+T217)),AP217,9E15),IF(AND(K217=0,ISNUMBER(AQ217),AQ217&lt;=(C217+T217)),AQ217,9E15),IF(AND(L217=0,ISNUMBER(AR217),AR217&lt;=(C217+T217)),AR217,9E15),IF(AND(M217=0,ISNUMBER(AS217),AS217&lt;=(C217+T217)),AS217,9E15))&lt;9E15,IF(AND(AND(J217=0,ISNUMBER(AP217),AP217&lt;=(C217+T217)),AP217=MIN(IF(AND(J217=0,ISNUMBER(AP217),AP217&lt;=(C217+T217)),AP217,9E15),IF(AND(K217=0,ISNUMBER(AQ217),AQ217&lt;=(C217+T217)),AQ217,9E15),IF(AND(L217=0,ISNUMBER(AR217),AR217&lt;=(C217+T217)),AR217,9E15),IF(AND(M217=0,ISNUMBER(AS217),AS217&lt;=(C217+T217)),AS217,9E15))),"BiP",IF(AND(AND(K217=0,ISNUMBER(AQ217),AQ217&lt;=(C217+T217)),AQ217=MIN(IF(AND(J217=0,ISNUMBER(AP217),AP217&lt;=(C217+T217)),AP217,9E15),IF(AND(K217=0,ISNUMBER(AQ217),AQ217&lt;=(C217+T217)),AQ217,9E15),IF(AND(L217=0,ISNUMBER(AR217),AR217&lt;=(C217+T217)),AR217,9E15),IF(AND(M217=0,ISNUMBER(AS217),AS217&lt;=(C217+T217)),AS217,9E15))),"PV",IF(AND(AND(L217=0,ISNUMBER(AR217),AR217&lt;=(C217+T217)),AR217=MIN(IF(AND(J217=0,ISNUMBER(AP217),AP217&lt;=(C217+T217)),AP217,9E15),IF(AND(K217=0,ISNUMBER(AQ217),AQ217&lt;=(C217+T217)),AQ217,9E15),IF(AND(L217=0,ISNUMBER(AR217),AR217&lt;=(C217+T217)),AR217,9E15),IF(AND(M217=0,ISNUMBER(AS217),AS217&lt;=(C217+T217)),AS217,9E15))),"OC","MG"))),IF(AX217=TRUE,"",IF(MAX(IF(AND(NOT(AND(AU217=1,AT217&lt;&gt;1)),ISNUMBER(AK217),AK217&lt;=(C217+T217)),AY217,0),IF(AND(NOT(AND(AU217=1,AT217&lt;&gt;1)),ISNUMBER(AL217),AL217&lt;=(C217+T217)),AZ217,0),IF(AND(NOT(AND(AU217=1,AT217&lt;&gt;1)),ISNUMBER(AM217),AM217&lt;=(C217+T217)),BA217,0),IF(AND(NOT(AND(AU217=1,AT217&lt;&gt;1)),ISNUMBER(AN217),AN217&lt;=(C217+T217)),BB217,0),IF(AND(ISNUMBER(AO217),AO217&lt;=(C217+T217)),BC217,0))&lt;=0,"",IF(AND(IF(AND(NOT(AND(AU217=1,AT217&lt;&gt;1)),ISNUMBER(AK217),AK217&lt;=(C217+T217)),AY217,0)&gt;0,IF(AND(NOT(AND(AU217=1,AT217&lt;&gt;1)),ISNUMBER(AK217),AK217&lt;=(C217+T217)),AY217,0)=MAX(IF(AND(NOT(AND(AU217=1,AT217&lt;&gt;1)),ISNUMBER(AK217),AK217&lt;=(C217+T217)),AY217,0),IF(AND(NOT(AND(AU217=1,AT217&lt;&gt;1)),ISNUMBER(AL217),AL217&lt;=(C217+T217)),AZ217,0),IF(AND(NOT(AND(AU217=1,AT217&lt;&gt;1)),ISNUMBER(AM217),AM217&lt;=(C217+T217)),BA217,0),IF(AND(NOT(AND(AU217=1,AT217&lt;&gt;1)),ISNUMBER(AN217),AN217&lt;=(C217+T217)),BB217,0),IF(AND(ISNUMBER(AO217),AO217&lt;=(C217+T217)),BC217,0))),"SK",IF(AND(IF(AND(NOT(AND(AU217=1,AT217&lt;&gt;1)),ISNUMBER(AL217),AL217&lt;=(C217+T217)),AZ217,0)&gt;0,IF(AND(NOT(AND(AU217=1,AT217&lt;&gt;1)),ISNUMBER(AL217),AL217&lt;=(C217+T217)),AZ217,0)=MAX(IF(AND(NOT(AND(AU217=1,AT217&lt;&gt;1)),ISNUMBER(AK217),AK217&lt;=(C217+T217)),AY217,0),IF(AND(NOT(AND(AU217=1,AT217&lt;&gt;1)),ISNUMBER(AL217),AL217&lt;=(C217+T217)),AZ217,0),IF(AND(NOT(AND(AU217=1,AT217&lt;&gt;1)),ISNUMBER(AM217),AM217&lt;=(C217+T217)),BA217,0),IF(AND(NOT(AND(AU217=1,AT217&lt;&gt;1)),ISNUMBER(AN217),AN217&lt;=(C217+T217)),BB217,0),IF(AND(ISNUMBER(AO217),AO217&lt;=(C217+T217)),BC217,0))),"LB",IF(AND(IF(AND(NOT(AND(AU217=1,AT217&lt;&gt;1)),ISNUMBER(AM217),AM217&lt;=(C217+T217)),BA217,0)&gt;0,IF(AND(NOT(AND(AU217=1,AT217&lt;&gt;1)),ISNUMBER(AM217),AM217&lt;=(C217+T217)),BA217,0)=MAX(IF(AND(NOT(AND(AU217=1,AT217&lt;&gt;1)),ISNUMBER(AK217),AK217&lt;=(C217+T217)),AY217,0),IF(AND(NOT(AND(AU217=1,AT217&lt;&gt;1)),ISNUMBER(AL217),AL217&lt;=(C217+T217)),AZ217,0),IF(AND(NOT(AND(AU217=1,AT217&lt;&gt;1)),ISNUMBER(AM217),AM217&lt;=(C217+T217)),BA217,0),IF(AND(NOT(AND(AU217=1,AT217&lt;&gt;1)),ISNUMBER(AN217),AN217&lt;=(C217+T217)),BB217,0),IF(AND(ISNUMBER(AO217),AO217&lt;=(C217+T217)),BC217,0))),"ML",IF(AND(IF(AND(NOT(AND(AU217=1,AT217&lt;&gt;1)),ISNUMBER(AN217),AN217&lt;=(C217+T217)),BB217,0)&gt;0,IF(AND(NOT(AND(AU217=1,AT217&lt;&gt;1)),ISNUMBER(AN217),AN217&lt;=(C217+T217)),BB217,0)=MAX(IF(AND(NOT(AND(AU217=1,AT217&lt;&gt;1)),ISNUMBER(AK217),AK217&lt;=(C217+T217)),AY217,0),IF(AND(NOT(AND(AU217=1,AT217&lt;&gt;1)),ISNUMBER(AL217),AL217&lt;=(C217+T217)),AZ217,0),IF(AND(NOT(AND(AU217=1,AT217&lt;&gt;1)),ISNUMBER(AM217),AM217&lt;=(C217+T217)),BA217,0),IF(AND(NOT(AND(AU217=1,AT217&lt;&gt;1)),ISNUMBER(AN217),AN217&lt;=(C217+T217)),BB217,0),IF(AND(ISNUMBER(AO217),AO217&lt;=(C217+T217)),BC217,0))),"RLO","BD"))))))))</f>
        <v/>
      </c>
    </row>
    <row r="218">
      <c r="A218" s="26" t="n">
        <v>207</v>
      </c>
      <c r="B218" s="27">
        <f>A218*10/60</f>
        <v/>
      </c>
      <c r="C218" s="22">
        <f>X217</f>
        <v/>
      </c>
      <c r="D218" s="27">
        <f>D217+W217</f>
        <v/>
      </c>
      <c r="E218" s="26">
        <f>E217+IF(U217="SK",1,0)</f>
        <v/>
      </c>
      <c r="F218" s="26">
        <f>F217+IF(U217="LB",1,0)</f>
        <v/>
      </c>
      <c r="G218" s="26">
        <f>G217+IF(U217="ML",1,0)</f>
        <v/>
      </c>
      <c r="H218" s="26">
        <f>H217+IF(U217="RLO",1,0)</f>
        <v/>
      </c>
      <c r="I218" s="26">
        <f>I217+IF(U217="BD",1,0)</f>
        <v/>
      </c>
      <c r="J218" s="26">
        <f>MAX(J217,IF(U217="BiP",1,0))</f>
        <v/>
      </c>
      <c r="K218" s="26">
        <f>MAX(K217,IF(U217="PV",1,0))</f>
        <v/>
      </c>
      <c r="L218" s="26">
        <f>MAX(L217,IF(U217="OC",1,0))</f>
        <v/>
      </c>
      <c r="M218" s="26">
        <f>MAX(M217,IF(U217="MG",1,0))</f>
        <v/>
      </c>
      <c r="N218" s="26">
        <f>MAX(N217,IF(U217="transition",1,0))</f>
        <v/>
      </c>
      <c r="O218" s="28">
        <f>(Parameters!$B$9+(IF(E218=0,0,(Upgrades!$J$13+E218*Upgrades!$K$13)*POWER(Upgrades!$L$13,E218)))*(IF(Upgrades!$T$14="Stellar Kinematics",POWER(Upgrades!$U$14,F218),1)*IF(Upgrades!$T$15="Stellar Kinematics",POWER(Upgrades!$U$15,G218),1)*IF(Upgrades!$T$16="Stellar Kinematics",POWER(Upgrades!$U$16,H218),1)*IF(Upgrades!$T$17="Stellar Kinematics",POWER(Upgrades!$U$17,I218),1)*IF(Upgrades!$T$18="Stellar Kinematics",POWER(Upgrades!$U$18,J218),1)*IF(Upgrades!$T$19="Stellar Kinematics",POWER(Upgrades!$U$19,K218),1)*IF(Upgrades!$T$20="Stellar Kinematics",POWER(Upgrades!$U$20,L218),1)*IF(Upgrades!$T$21="Stellar Kinematics",POWER(Upgrades!$U$21,M218),1))+(IF(F218=0,0,(Upgrades!$J$14+F218*Upgrades!$K$14)*POWER(Upgrades!$L$14,F218)))*(IF(Upgrades!$T$13="Local Bubble",POWER(Upgrades!$U$13,E218),1)*IF(Upgrades!$T$15="Local Bubble",POWER(Upgrades!$U$15,G218),1)*IF(Upgrades!$T$16="Local Bubble",POWER(Upgrades!$U$16,H218),1)*IF(Upgrades!$T$17="Local Bubble",POWER(Upgrades!$U$17,I218),1)*IF(Upgrades!$T$18="Local Bubble",POWER(Upgrades!$U$18,J218),1)*IF(Upgrades!$T$19="Local Bubble",POWER(Upgrades!$U$19,K218),1)*IF(Upgrades!$T$20="Local Bubble",POWER(Upgrades!$U$20,L218),1)*IF(Upgrades!$T$21="Local Bubble",POWER(Upgrades!$U$21,M218),1))+(IF(G218=0,0,(Upgrades!$J$15+G218*Upgrades!$K$15)*POWER(Upgrades!$L$15,G218)))*(IF(Upgrades!$T$13="Microlensing",POWER(Upgrades!$U$13,E218),1)*IF(Upgrades!$T$14="Microlensing",POWER(Upgrades!$U$14,F218),1)*IF(Upgrades!$T$16="Microlensing",POWER(Upgrades!$U$16,H218),1)*IF(Upgrades!$T$17="Microlensing",POWER(Upgrades!$U$17,I218),1)*IF(Upgrades!$T$18="Microlensing",POWER(Upgrades!$U$18,J218),1)*IF(Upgrades!$T$19="Microlensing",POWER(Upgrades!$U$19,K218),1)*IF(Upgrades!$T$20="Microlensing",POWER(Upgrades!$U$20,L218),1)*IF(Upgrades!$T$21="Microlensing",POWER(Upgrades!$U$21,M218),1))+(IF(H218=0,0,(Upgrades!$J$16+H218*Upgrades!$K$16)*POWER(Upgrades!$L$16,H218)))*(IF(Upgrades!$T$13="Roche Lobe Overflow",POWER(Upgrades!$U$13,E218),1)*IF(Upgrades!$T$14="Roche Lobe Overflow",POWER(Upgrades!$U$14,F218),1)*IF(Upgrades!$T$15="Roche Lobe Overflow",POWER(Upgrades!$U$15,G218),1)*IF(Upgrades!$T$17="Roche Lobe Overflow",POWER(Upgrades!$U$17,I218),1)*IF(Upgrades!$T$18="Roche Lobe Overflow",POWER(Upgrades!$U$18,J218),1)*IF(Upgrades!$T$19="Roche Lobe Overflow",POWER(Upgrades!$U$19,K218),1)*IF(Upgrades!$T$20="Roche Lobe Overflow",POWER(Upgrades!$U$20,L218),1)*IF(Upgrades!$T$21="Roche Lobe Overflow",POWER(Upgrades!$U$21,M218),1))+(IF(I218=0,0,(Upgrades!$J$17+I218*Upgrades!$K$17)*POWER(Upgrades!$L$17,I218)))*(IF(Upgrades!$T$13="Brown Dwarf",POWER(Upgrades!$U$13,E218),1)*IF(Upgrades!$T$14="Brown Dwarf",POWER(Upgrades!$U$14,F218),1)*IF(Upgrades!$T$15="Brown Dwarf",POWER(Upgrades!$U$15,G218),1)*IF(Upgrades!$T$16="Brown Dwarf",POWER(Upgrades!$U$16,H218),1)*IF(Upgrades!$T$18="Brown Dwarf",POWER(Upgrades!$U$18,J218),1)*IF(Upgrades!$T$19="Brown Dwarf",POWER(Upgrades!$U$19,K218),1)*IF(Upgrades!$T$20="Brown Dwarf",POWER(Upgrades!$U$20,L218),1)*IF(Upgrades!$T$21="Brown Dwarf",POWER(Upgrades!$U$21,M218),1))+(IF(J218=0,0,(Upgrades!$J$18+J218*Upgrades!$K$18)*POWER(Upgrades!$L$18,J218)))*(IF(Upgrades!$T$13="Binary Partner",POWER(Upgrades!$U$13,E218),1)*IF(Upgrades!$T$14="Binary Partner",POWER(Upgrades!$U$14,F218),1)*IF(Upgrades!$T$15="Binary Partner",POWER(Upgrades!$U$15,G218),1)*IF(Upgrades!$T$16="Binary Partner",POWER(Upgrades!$U$16,H218),1)*IF(Upgrades!$T$17="Binary Partner",POWER(Upgrades!$U$17,I218),1)*IF(Upgrades!$T$19="Binary Partner",POWER(Upgrades!$U$19,K218),1)*IF(Upgrades!$T$20="Binary Partner",POWER(Upgrades!$U$20,L218),1)*IF(Upgrades!$T$21="Binary Partner",POWER(Upgrades!$U$21,M218),1))+(IF(K218=0,0,(Upgrades!$J$19+K218*Upgrades!$K$19)*POWER(Upgrades!$L$19,K218)))*(IF(Upgrades!$T$13="Peculiar Velocity",POWER(Upgrades!$U$13,E218),1)*IF(Upgrades!$T$14="Peculiar Velocity",POWER(Upgrades!$U$14,F218),1)*IF(Upgrades!$T$15="Peculiar Velocity",POWER(Upgrades!$U$15,G218),1)*IF(Upgrades!$T$16="Peculiar Velocity",POWER(Upgrades!$U$16,H218),1)*IF(Upgrades!$T$17="Peculiar Velocity",POWER(Upgrades!$U$17,I218),1)*IF(Upgrades!$T$18="Peculiar Velocity",POWER(Upgrades!$U$18,J218),1)*IF(Upgrades!$T$20="Peculiar Velocity",POWER(Upgrades!$U$20,L218),1)*IF(Upgrades!$T$21="Peculiar Velocity",POWER(Upgrades!$U$21,M218),1))+(IF(L218=0,0,(Upgrades!$J$20+L218*Upgrades!$K$20)*POWER(Upgrades!$L$20,L218)))*(IF(Upgrades!$T$13="Open Cluster",POWER(Upgrades!$U$13,E218),1)*IF(Upgrades!$T$14="Open Cluster",POWER(Upgrades!$U$14,F218),1)*IF(Upgrades!$T$15="Open Cluster",POWER(Upgrades!$U$15,G218),1)*IF(Upgrades!$T$16="Open Cluster",POWER(Upgrades!$U$16,H218),1)*IF(Upgrades!$T$17="Open Cluster",POWER(Upgrades!$U$17,I218),1)*IF(Upgrades!$T$18="Open Cluster",POWER(Upgrades!$U$18,J218),1)*IF(Upgrades!$T$19="Open Cluster",POWER(Upgrades!$U$19,K218),1)*IF(Upgrades!$T$21="Open Cluster",POWER(Upgrades!$U$21,M218),1))+(IF(M218=0,0,(Upgrades!$J$21+M218*Upgrades!$K$21)*POWER(Upgrades!$L$21,M218)))*(IF(Upgrades!$T$13="Moving Group",POWER(Upgrades!$U$13,E218),1)*IF(Upgrades!$T$14="Moving Group",POWER(Upgrades!$U$14,F218),1)*IF(Upgrades!$T$15="Moving Group",POWER(Upgrades!$U$15,G218),1)*IF(Upgrades!$T$16="Moving Group",POWER(Upgrades!$U$16,H218),1)*IF(Upgrades!$T$17="Moving Group",POWER(Upgrades!$U$17,I218),1)*IF(Upgrades!$T$18="Moving Group",POWER(Upgrades!$U$18,J218),1)*IF(Upgrades!$T$19="Moving Group",POWER(Upgrades!$U$19,K218),1)*IF(Upgrades!$T$20="Moving Group",POWER(Upgrades!$U$20,L218),1)))*POWER(Upgrades!$Q$13,E218)*POWER(Upgrades!$Q$14,F218)*POWER(Upgrades!$Q$15,G218)*POWER(Upgrades!$Q$16,H218)*POWER(Upgrades!$Q$17,I218)*POWER(Upgrades!$Q$18,J218)*POWER(Upgrades!$Q$19,K218)*POWER(Upgrades!$Q$20,L218)*POWER(Upgrades!$Q$21,M218)*$G$6+$D$6</f>
        <v/>
      </c>
      <c r="P218" s="28">
        <f>((IF(E218=0,0,(Upgrades!$G$13+E218*Upgrades!$H$13)*POWER(Upgrades!$I$13,E218)))*(IF(Upgrades!$T$14="Stellar Kinematics",POWER(Upgrades!$U$14,F218),1)*IF(Upgrades!$T$15="Stellar Kinematics",POWER(Upgrades!$U$15,G218),1)*IF(Upgrades!$T$16="Stellar Kinematics",POWER(Upgrades!$U$16,H218),1)*IF(Upgrades!$T$17="Stellar Kinematics",POWER(Upgrades!$U$17,I218),1)*IF(Upgrades!$T$18="Stellar Kinematics",POWER(Upgrades!$U$18,J218),1)*IF(Upgrades!$T$19="Stellar Kinematics",POWER(Upgrades!$U$19,K218),1)*IF(Upgrades!$T$20="Stellar Kinematics",POWER(Upgrades!$U$20,L218),1)*IF(Upgrades!$T$21="Stellar Kinematics",POWER(Upgrades!$U$21,M218),1))+(IF(F218=0,0,(Upgrades!$G$14+F218*Upgrades!$H$14)*POWER(Upgrades!$I$14,F218)))*(IF(Upgrades!$T$13="Local Bubble",POWER(Upgrades!$U$13,E218),1)*IF(Upgrades!$T$15="Local Bubble",POWER(Upgrades!$U$15,G218),1)*IF(Upgrades!$T$16="Local Bubble",POWER(Upgrades!$U$16,H218),1)*IF(Upgrades!$T$17="Local Bubble",POWER(Upgrades!$U$17,I218),1)*IF(Upgrades!$T$18="Local Bubble",POWER(Upgrades!$U$18,J218),1)*IF(Upgrades!$T$19="Local Bubble",POWER(Upgrades!$U$19,K218),1)*IF(Upgrades!$T$20="Local Bubble",POWER(Upgrades!$U$20,L218),1)*IF(Upgrades!$T$21="Local Bubble",POWER(Upgrades!$U$21,M218),1))+(IF(G218=0,0,(Upgrades!$G$15+G218*Upgrades!$H$15)*POWER(Upgrades!$I$15,G218)))*(IF(Upgrades!$T$13="Microlensing",POWER(Upgrades!$U$13,E218),1)*IF(Upgrades!$T$14="Microlensing",POWER(Upgrades!$U$14,F218),1)*IF(Upgrades!$T$16="Microlensing",POWER(Upgrades!$U$16,H218),1)*IF(Upgrades!$T$17="Microlensing",POWER(Upgrades!$U$17,I218),1)*IF(Upgrades!$T$18="Microlensing",POWER(Upgrades!$U$18,J218),1)*IF(Upgrades!$T$19="Microlensing",POWER(Upgrades!$U$19,K218),1)*IF(Upgrades!$T$20="Microlensing",POWER(Upgrades!$U$20,L218),1)*IF(Upgrades!$T$21="Microlensing",POWER(Upgrades!$U$21,M218),1))+(IF(H218=0,0,(Upgrades!$G$16+H218*Upgrades!$H$16)*POWER(Upgrades!$I$16,H218)))*(IF(Upgrades!$T$13="Roche Lobe Overflow",POWER(Upgrades!$U$13,E218),1)*IF(Upgrades!$T$14="Roche Lobe Overflow",POWER(Upgrades!$U$14,F218),1)*IF(Upgrades!$T$15="Roche Lobe Overflow",POWER(Upgrades!$U$15,G218),1)*IF(Upgrades!$T$17="Roche Lobe Overflow",POWER(Upgrades!$U$17,I218),1)*IF(Upgrades!$T$18="Roche Lobe Overflow",POWER(Upgrades!$U$18,J218),1)*IF(Upgrades!$T$19="Roche Lobe Overflow",POWER(Upgrades!$U$19,K218),1)*IF(Upgrades!$T$20="Roche Lobe Overflow",POWER(Upgrades!$U$20,L218),1)*IF(Upgrades!$T$21="Roche Lobe Overflow",POWER(Upgrades!$U$21,M218),1))+(IF(I218=0,0,(Upgrades!$G$17+I218*Upgrades!$H$17)*POWER(Upgrades!$I$17,I218)))*(IF(Upgrades!$T$13="Brown Dwarf",POWER(Upgrades!$U$13,E218),1)*IF(Upgrades!$T$14="Brown Dwarf",POWER(Upgrades!$U$14,F218),1)*IF(Upgrades!$T$15="Brown Dwarf",POWER(Upgrades!$U$15,G218),1)*IF(Upgrades!$T$16="Brown Dwarf",POWER(Upgrades!$U$16,H218),1)*IF(Upgrades!$T$18="Brown Dwarf",POWER(Upgrades!$U$18,J218),1)*IF(Upgrades!$T$19="Brown Dwarf",POWER(Upgrades!$U$19,K218),1)*IF(Upgrades!$T$20="Brown Dwarf",POWER(Upgrades!$U$20,L218),1)*IF(Upgrades!$T$21="Brown Dwarf",POWER(Upgrades!$U$21,M218),1))+(IF(J218=0,0,(Upgrades!$G$18+J218*Upgrades!$H$18)*POWER(Upgrades!$I$18,J218)))*(IF(Upgrades!$T$13="Binary Partner",POWER(Upgrades!$U$13,E218),1)*IF(Upgrades!$T$14="Binary Partner",POWER(Upgrades!$U$14,F218),1)*IF(Upgrades!$T$15="Binary Partner",POWER(Upgrades!$U$15,G218),1)*IF(Upgrades!$T$16="Binary Partner",POWER(Upgrades!$U$16,H218),1)*IF(Upgrades!$T$17="Binary Partner",POWER(Upgrades!$U$17,I218),1)*IF(Upgrades!$T$19="Binary Partner",POWER(Upgrades!$U$19,K218),1)*IF(Upgrades!$T$20="Binary Partner",POWER(Upgrades!$U$20,L218),1)*IF(Upgrades!$T$21="Binary Partner",POWER(Upgrades!$U$21,M218),1))+(IF(K218=0,0,(Upgrades!$G$19+K218*Upgrades!$H$19)*POWER(Upgrades!$I$19,K218)))*(IF(Upgrades!$T$13="Peculiar Velocity",POWER(Upgrades!$U$13,E218),1)*IF(Upgrades!$T$14="Peculiar Velocity",POWER(Upgrades!$U$14,F218),1)*IF(Upgrades!$T$15="Peculiar Velocity",POWER(Upgrades!$U$15,G218),1)*IF(Upgrades!$T$16="Peculiar Velocity",POWER(Upgrades!$U$16,H218),1)*IF(Upgrades!$T$17="Peculiar Velocity",POWER(Upgrades!$U$17,I218),1)*IF(Upgrades!$T$18="Peculiar Velocity",POWER(Upgrades!$U$18,J218),1)*IF(Upgrades!$T$20="Peculiar Velocity",POWER(Upgrades!$U$20,L218),1)*IF(Upgrades!$T$21="Peculiar Velocity",POWER(Upgrades!$U$21,M218),1))+(IF(L218=0,0,(Upgrades!$G$20+L218*Upgrades!$H$20)*POWER(Upgrades!$I$20,L218)))*(IF(Upgrades!$T$13="Open Cluster",POWER(Upgrades!$U$13,E218),1)*IF(Upgrades!$T$14="Open Cluster",POWER(Upgrades!$U$14,F218),1)*IF(Upgrades!$T$15="Open Cluster",POWER(Upgrades!$U$15,G218),1)*IF(Upgrades!$T$16="Open Cluster",POWER(Upgrades!$U$16,H218),1)*IF(Upgrades!$T$17="Open Cluster",POWER(Upgrades!$U$17,I218),1)*IF(Upgrades!$T$18="Open Cluster",POWER(Upgrades!$U$18,J218),1)*IF(Upgrades!$T$19="Open Cluster",POWER(Upgrades!$U$19,K218),1)*IF(Upgrades!$T$21="Open Cluster",POWER(Upgrades!$U$21,M218),1))+(IF(M218=0,0,(Upgrades!$G$21+M218*Upgrades!$H$21)*POWER(Upgrades!$I$21,M218)))*(IF(Upgrades!$T$13="Moving Group",POWER(Upgrades!$U$13,E218),1)*IF(Upgrades!$T$14="Moving Group",POWER(Upgrades!$U$14,F218),1)*IF(Upgrades!$T$15="Moving Group",POWER(Upgrades!$U$15,G218),1)*IF(Upgrades!$T$16="Moving Group",POWER(Upgrades!$U$16,H218),1)*IF(Upgrades!$T$17="Moving Group",POWER(Upgrades!$U$17,I218),1)*IF(Upgrades!$T$18="Moving Group",POWER(Upgrades!$U$18,J218),1)*IF(Upgrades!$T$19="Moving Group",POWER(Upgrades!$U$19,K218),1)*IF(Upgrades!$T$20="Moving Group",POWER(Upgrades!$U$20,L218),1)))*POWER(Upgrades!$P$13,E218)*POWER(Upgrades!$P$14,F218)*POWER(Upgrades!$P$15,G218)*POWER(Upgrades!$P$16,H218)*POWER(Upgrades!$P$17,I218)*POWER(Upgrades!$P$18,J218)*POWER(Upgrades!$P$19,K218)*POWER(Upgrades!$P$20,L218)*POWER(Upgrades!$P$21,M218)*$F$6+$C$6</f>
        <v/>
      </c>
      <c r="Q218" s="28">
        <f>((IF(E218=0,0,(Upgrades!$M$13+E218*Upgrades!$N$13)*POWER(Upgrades!$O$13,E218)))*(IF(Upgrades!$T$14="Stellar Kinematics",POWER(Upgrades!$U$14,F218),1)*IF(Upgrades!$T$15="Stellar Kinematics",POWER(Upgrades!$U$15,G218),1)*IF(Upgrades!$T$16="Stellar Kinematics",POWER(Upgrades!$U$16,H218),1)*IF(Upgrades!$T$17="Stellar Kinematics",POWER(Upgrades!$U$17,I218),1)*IF(Upgrades!$T$18="Stellar Kinematics",POWER(Upgrades!$U$18,J218),1)*IF(Upgrades!$T$19="Stellar Kinematics",POWER(Upgrades!$U$19,K218),1)*IF(Upgrades!$T$20="Stellar Kinematics",POWER(Upgrades!$U$20,L218),1)*IF(Upgrades!$T$21="Stellar Kinematics",POWER(Upgrades!$U$21,M218),1))+(IF(F218=0,0,(Upgrades!$M$14+F218*Upgrades!$N$14)*POWER(Upgrades!$O$14,F218)))*(IF(Upgrades!$T$13="Local Bubble",POWER(Upgrades!$U$13,E218),1)*IF(Upgrades!$T$15="Local Bubble",POWER(Upgrades!$U$15,G218),1)*IF(Upgrades!$T$16="Local Bubble",POWER(Upgrades!$U$16,H218),1)*IF(Upgrades!$T$17="Local Bubble",POWER(Upgrades!$U$17,I218),1)*IF(Upgrades!$T$18="Local Bubble",POWER(Upgrades!$U$18,J218),1)*IF(Upgrades!$T$19="Local Bubble",POWER(Upgrades!$U$19,K218),1)*IF(Upgrades!$T$20="Local Bubble",POWER(Upgrades!$U$20,L218),1)*IF(Upgrades!$T$21="Local Bubble",POWER(Upgrades!$U$21,M218),1))+(IF(G218=0,0,(Upgrades!$M$15+G218*Upgrades!$N$15)*POWER(Upgrades!$O$15,G218)))*(IF(Upgrades!$T$13="Microlensing",POWER(Upgrades!$U$13,E218),1)*IF(Upgrades!$T$14="Microlensing",POWER(Upgrades!$U$14,F218),1)*IF(Upgrades!$T$16="Microlensing",POWER(Upgrades!$U$16,H218),1)*IF(Upgrades!$T$17="Microlensing",POWER(Upgrades!$U$17,I218),1)*IF(Upgrades!$T$18="Microlensing",POWER(Upgrades!$U$18,J218),1)*IF(Upgrades!$T$19="Microlensing",POWER(Upgrades!$U$19,K218),1)*IF(Upgrades!$T$20="Microlensing",POWER(Upgrades!$U$20,L218),1)*IF(Upgrades!$T$21="Microlensing",POWER(Upgrades!$U$21,M218),1))+(IF(H218=0,0,(Upgrades!$M$16+H218*Upgrades!$N$16)*POWER(Upgrades!$O$16,H218)))*(IF(Upgrades!$T$13="Roche Lobe Overflow",POWER(Upgrades!$U$13,E218),1)*IF(Upgrades!$T$14="Roche Lobe Overflow",POWER(Upgrades!$U$14,F218),1)*IF(Upgrades!$T$15="Roche Lobe Overflow",POWER(Upgrades!$U$15,G218),1)*IF(Upgrades!$T$17="Roche Lobe Overflow",POWER(Upgrades!$U$17,I218),1)*IF(Upgrades!$T$18="Roche Lobe Overflow",POWER(Upgrades!$U$18,J218),1)*IF(Upgrades!$T$19="Roche Lobe Overflow",POWER(Upgrades!$U$19,K218),1)*IF(Upgrades!$T$20="Roche Lobe Overflow",POWER(Upgrades!$U$20,L218),1)*IF(Upgrades!$T$21="Roche Lobe Overflow",POWER(Upgrades!$U$21,M218),1))+(IF(I218=0,0,(Upgrades!$M$17+I218*Upgrades!$N$17)*POWER(Upgrades!$O$17,I218)))*(IF(Upgrades!$T$13="Brown Dwarf",POWER(Upgrades!$U$13,E218),1)*IF(Upgrades!$T$14="Brown Dwarf",POWER(Upgrades!$U$14,F218),1)*IF(Upgrades!$T$15="Brown Dwarf",POWER(Upgrades!$U$15,G218),1)*IF(Upgrades!$T$16="Brown Dwarf",POWER(Upgrades!$U$16,H218),1)*IF(Upgrades!$T$18="Brown Dwarf",POWER(Upgrades!$U$18,J218),1)*IF(Upgrades!$T$19="Brown Dwarf",POWER(Upgrades!$U$19,K218),1)*IF(Upgrades!$T$20="Brown Dwarf",POWER(Upgrades!$U$20,L218),1)*IF(Upgrades!$T$21="Brown Dwarf",POWER(Upgrades!$U$21,M218),1))+(IF(J218=0,0,(Upgrades!$M$18+J218*Upgrades!$N$18)*POWER(Upgrades!$O$18,J218)))*(IF(Upgrades!$T$13="Binary Partner",POWER(Upgrades!$U$13,E218),1)*IF(Upgrades!$T$14="Binary Partner",POWER(Upgrades!$U$14,F218),1)*IF(Upgrades!$T$15="Binary Partner",POWER(Upgrades!$U$15,G218),1)*IF(Upgrades!$T$16="Binary Partner",POWER(Upgrades!$U$16,H218),1)*IF(Upgrades!$T$17="Binary Partner",POWER(Upgrades!$U$17,I218),1)*IF(Upgrades!$T$19="Binary Partner",POWER(Upgrades!$U$19,K218),1)*IF(Upgrades!$T$20="Binary Partner",POWER(Upgrades!$U$20,L218),1)*IF(Upgrades!$T$21="Binary Partner",POWER(Upgrades!$U$21,M218),1))+(IF(K218=0,0,(Upgrades!$M$19+K218*Upgrades!$N$19)*POWER(Upgrades!$O$19,K218)))*(IF(Upgrades!$T$13="Peculiar Velocity",POWER(Upgrades!$U$13,E218),1)*IF(Upgrades!$T$14="Peculiar Velocity",POWER(Upgrades!$U$14,F218),1)*IF(Upgrades!$T$15="Peculiar Velocity",POWER(Upgrades!$U$15,G218),1)*IF(Upgrades!$T$16="Peculiar Velocity",POWER(Upgrades!$U$16,H218),1)*IF(Upgrades!$T$17="Peculiar Velocity",POWER(Upgrades!$U$17,I218),1)*IF(Upgrades!$T$18="Peculiar Velocity",POWER(Upgrades!$U$18,J218),1)*IF(Upgrades!$T$20="Peculiar Velocity",POWER(Upgrades!$U$20,L218),1)*IF(Upgrades!$T$21="Peculiar Velocity",POWER(Upgrades!$U$21,M218),1))+(IF(L218=0,0,(Upgrades!$M$20+L218*Upgrades!$N$20)*POWER(Upgrades!$O$20,L218)))*(IF(Upgrades!$T$13="Open Cluster",POWER(Upgrades!$U$13,E218),1)*IF(Upgrades!$T$14="Open Cluster",POWER(Upgrades!$U$14,F218),1)*IF(Upgrades!$T$15="Open Cluster",POWER(Upgrades!$U$15,G218),1)*IF(Upgrades!$T$16="Open Cluster",POWER(Upgrades!$U$16,H218),1)*IF(Upgrades!$T$17="Open Cluster",POWER(Upgrades!$U$17,I218),1)*IF(Upgrades!$T$18="Open Cluster",POWER(Upgrades!$U$18,J218),1)*IF(Upgrades!$T$19="Open Cluster",POWER(Upgrades!$U$19,K218),1)*IF(Upgrades!$T$21="Open Cluster",POWER(Upgrades!$U$21,M218),1))+(IF(M218=0,0,(Upgrades!$M$21+M218*Upgrades!$N$21)*POWER(Upgrades!$O$21,M218)))*(IF(Upgrades!$T$13="Moving Group",POWER(Upgrades!$U$13,E218),1)*IF(Upgrades!$T$14="Moving Group",POWER(Upgrades!$U$14,F218),1)*IF(Upgrades!$T$15="Moving Group",POWER(Upgrades!$U$15,G218),1)*IF(Upgrades!$T$16="Moving Group",POWER(Upgrades!$U$16,H218),1)*IF(Upgrades!$T$17="Moving Group",POWER(Upgrades!$U$17,I218),1)*IF(Upgrades!$T$18="Moving Group",POWER(Upgrades!$U$18,J218),1)*IF(Upgrades!$T$19="Moving Group",POWER(Upgrades!$U$19,K218),1)*IF(Upgrades!$T$20="Moving Group",POWER(Upgrades!$U$20,L218),1)))*POWER(Upgrades!$R$13,E218)*POWER(Upgrades!$R$14,F218)*POWER(Upgrades!$R$15,G218)*POWER(Upgrades!$R$16,H218)*POWER(Upgrades!$R$17,I218)*POWER(Upgrades!$R$18,J218)*POWER(Upgrades!$R$19,K218)*POWER(Upgrades!$R$20,L218)*POWER(Upgrades!$R$21,M218)*$H$6+$E$6</f>
        <v/>
      </c>
      <c r="R218" s="27">
        <f>IF(N218=1,0,O218*Parameters!$B$10/60*Parameters!$B$11*10)</f>
        <v/>
      </c>
      <c r="S218" s="27">
        <f>IF(N218=1,0,Q218*O218*10)</f>
        <v/>
      </c>
      <c r="T218" s="27">
        <f>IF(N218=1,0,R218+S218+P218*10)</f>
        <v/>
      </c>
      <c r="U218" s="33">
        <f>BE218</f>
        <v/>
      </c>
      <c r="V218" s="22">
        <f>IF(U218="",0,IF(U218="transition",0,IF(U218="SK",AK218,IF(U218="LB",AL218,IF(U218="ML",AM218,IF(U218="RLO",AN218,IF(U218="BD",AO218,IF(U218="BiP",AP218,IF(U218="PV",AQ218,IF(U218="OC",AR218,IF(U218="MG",AS218,0))))))))))</f>
        <v/>
      </c>
      <c r="W218" s="27">
        <f>IF(U218="BiP",Upgrades!$F$18,IF(U218="PV",Upgrades!$F$19,IF(U218="OC",Upgrades!$F$20,IF(U218="MG",Upgrades!$F$21,IF(U218="transition",-Parameters!$B$18*Parameters!$B$19,0)))))</f>
        <v/>
      </c>
      <c r="X218" s="22">
        <f>C218+T218-V218</f>
        <v/>
      </c>
      <c r="Y218" s="30">
        <f>O218*Parameters!$B$10/60*Parameters!$B$11+Q218*O218+P218</f>
        <v/>
      </c>
      <c r="Z218" s="34">
        <f>IF(U218="transition","→ Tier 3 (Galactic Arm)",IF(U218="MG","Moving Group — pocket drifts together",IF(U218="OC","Open Cluster acquired",IF(U218="PV","Peculiar Velocity — passive multiplier active",IF(U218="BiP","Binary Partner — pair bond formed",IF(AND(AU218=1,N218=0,AT218&lt;&gt;1),"Cohesion ready (waiting on completionists)","")))))) </f>
        <v/>
      </c>
      <c r="AA218" s="27">
        <f>(IF(E218=0,0,(Upgrades!$G$13+E218*Upgrades!$H$13)*POWER(Upgrades!$I$13,E218)))*(IF(Upgrades!$T$14="Stellar Kinematics",POWER(Upgrades!$U$14,F218),1)*IF(Upgrades!$T$15="Stellar Kinematics",POWER(Upgrades!$U$15,G218),1)*IF(Upgrades!$T$16="Stellar Kinematics",POWER(Upgrades!$U$16,H218),1)*IF(Upgrades!$T$17="Stellar Kinematics",POWER(Upgrades!$U$17,I218),1)*IF(Upgrades!$T$18="Stellar Kinematics",POWER(Upgrades!$U$18,J218),1)*IF(Upgrades!$T$19="Stellar Kinematics",POWER(Upgrades!$U$19,K218),1)*IF(Upgrades!$T$20="Stellar Kinematics",POWER(Upgrades!$U$20,L218),1)*IF(Upgrades!$T$21="Stellar Kinematics",POWER(Upgrades!$U$21,M218),1))*POWER(Upgrades!$P$13,E218)*POWER(Upgrades!$P$14,F218)*POWER(Upgrades!$P$15,G218)*POWER(Upgrades!$P$16,H218)*POWER(Upgrades!$P$17,I218)*POWER(Upgrades!$P$18,J218)*POWER(Upgrades!$P$19,K218)*POWER(Upgrades!$P$20,L218)*POWER(Upgrades!$P$21,M218)*$F$6*60</f>
        <v/>
      </c>
      <c r="AB218" s="27">
        <f>(IF(F218=0,0,(Upgrades!$G$14+F218*Upgrades!$H$14)*POWER(Upgrades!$I$14,F218)))*(IF(Upgrades!$T$13="Local Bubble",POWER(Upgrades!$U$13,E218),1)*IF(Upgrades!$T$15="Local Bubble",POWER(Upgrades!$U$15,G218),1)*IF(Upgrades!$T$16="Local Bubble",POWER(Upgrades!$U$16,H218),1)*IF(Upgrades!$T$17="Local Bubble",POWER(Upgrades!$U$17,I218),1)*IF(Upgrades!$T$18="Local Bubble",POWER(Upgrades!$U$18,J218),1)*IF(Upgrades!$T$19="Local Bubble",POWER(Upgrades!$U$19,K218),1)*IF(Upgrades!$T$20="Local Bubble",POWER(Upgrades!$U$20,L218),1)*IF(Upgrades!$T$21="Local Bubble",POWER(Upgrades!$U$21,M218),1))*POWER(Upgrades!$P$13,E218)*POWER(Upgrades!$P$14,F218)*POWER(Upgrades!$P$15,G218)*POWER(Upgrades!$P$16,H218)*POWER(Upgrades!$P$17,I218)*POWER(Upgrades!$P$18,J218)*POWER(Upgrades!$P$19,K218)*POWER(Upgrades!$P$20,L218)*POWER(Upgrades!$P$21,M218)*$F$6*60</f>
        <v/>
      </c>
      <c r="AC218" s="27">
        <f>(IF(G218=0,0,(Upgrades!$J$15+G218*Upgrades!$K$15)*POWER(Upgrades!$L$15,G218)))*(IF(Upgrades!$T$13="Microlensing",POWER(Upgrades!$U$13,E218),1)*IF(Upgrades!$T$14="Microlensing",POWER(Upgrades!$U$14,F218),1)*IF(Upgrades!$T$16="Microlensing",POWER(Upgrades!$U$16,H218),1)*IF(Upgrades!$T$17="Microlensing",POWER(Upgrades!$U$17,I218),1)*IF(Upgrades!$T$18="Microlensing",POWER(Upgrades!$U$18,J218),1)*IF(Upgrades!$T$19="Microlensing",POWER(Upgrades!$U$19,K218),1)*IF(Upgrades!$T$20="Microlensing",POWER(Upgrades!$U$20,L218),1)*IF(Upgrades!$T$21="Microlensing",POWER(Upgrades!$U$21,M218),1))*POWER(Upgrades!$Q$13,E218)*POWER(Upgrades!$Q$14,F218)*POWER(Upgrades!$Q$15,G218)*POWER(Upgrades!$Q$16,H218)*POWER(Upgrades!$Q$17,I218)*POWER(Upgrades!$Q$18,J218)*POWER(Upgrades!$Q$19,K218)*POWER(Upgrades!$Q$20,L218)*POWER(Upgrades!$Q$21,M218)*$G$6*(Parameters!$B$10*Parameters!$B$11+Q218*60)</f>
        <v/>
      </c>
      <c r="AD218" s="27">
        <f>(IF(H218=0,0,(Upgrades!$M$16+H218*Upgrades!$N$16)*POWER(Upgrades!$O$16,H218)))*(IF(Upgrades!$T$13="Roche Lobe Overflow",POWER(Upgrades!$U$13,E218),1)*IF(Upgrades!$T$14="Roche Lobe Overflow",POWER(Upgrades!$U$14,F218),1)*IF(Upgrades!$T$15="Roche Lobe Overflow",POWER(Upgrades!$U$15,G218),1)*IF(Upgrades!$T$17="Roche Lobe Overflow",POWER(Upgrades!$U$17,I218),1)*IF(Upgrades!$T$18="Roche Lobe Overflow",POWER(Upgrades!$U$18,J218),1)*IF(Upgrades!$T$19="Roche Lobe Overflow",POWER(Upgrades!$U$19,K218),1)*IF(Upgrades!$T$20="Roche Lobe Overflow",POWER(Upgrades!$U$20,L218),1)*IF(Upgrades!$T$21="Roche Lobe Overflow",POWER(Upgrades!$U$21,M218),1))*POWER(Upgrades!$R$13,E218)*POWER(Upgrades!$R$14,F218)*POWER(Upgrades!$R$15,G218)*POWER(Upgrades!$R$16,H218)*POWER(Upgrades!$R$17,I218)*POWER(Upgrades!$R$18,J218)*POWER(Upgrades!$R$19,K218)*POWER(Upgrades!$R$20,L218)*POWER(Upgrades!$R$21,M218)*$H$6*O218*60</f>
        <v/>
      </c>
      <c r="AE218" s="27">
        <f>(IF(I218=0,0,(Upgrades!$G$17+I218*Upgrades!$H$17)*POWER(Upgrades!$I$17,I218)))*(IF(Upgrades!$T$13="Brown Dwarf",POWER(Upgrades!$U$13,E218),1)*IF(Upgrades!$T$14="Brown Dwarf",POWER(Upgrades!$U$14,F218),1)*IF(Upgrades!$T$15="Brown Dwarf",POWER(Upgrades!$U$15,G218),1)*IF(Upgrades!$T$16="Brown Dwarf",POWER(Upgrades!$U$16,H218),1)*IF(Upgrades!$T$18="Brown Dwarf",POWER(Upgrades!$U$18,J218),1)*IF(Upgrades!$T$19="Brown Dwarf",POWER(Upgrades!$U$19,K218),1)*IF(Upgrades!$T$20="Brown Dwarf",POWER(Upgrades!$U$20,L218),1)*IF(Upgrades!$T$21="Brown Dwarf",POWER(Upgrades!$U$21,M218),1))*POWER(Upgrades!$P$13,E218)*POWER(Upgrades!$P$14,F218)*POWER(Upgrades!$P$15,G218)*POWER(Upgrades!$P$16,H218)*POWER(Upgrades!$P$17,I218)*POWER(Upgrades!$P$18,J218)*POWER(Upgrades!$P$19,K218)*POWER(Upgrades!$P$20,L218)*POWER(Upgrades!$P$21,M218)*$F$6*60</f>
        <v/>
      </c>
      <c r="AF218" s="27" t="n">
        <v>0</v>
      </c>
      <c r="AG218" s="27" t="n">
        <v>0</v>
      </c>
      <c r="AH218" s="27" t="n">
        <v>0</v>
      </c>
      <c r="AI218" s="27">
        <f>(IF(M218=0,0,(Upgrades!$G$21+M218*Upgrades!$H$21)*POWER(Upgrades!$I$21,M218)))*(IF(Upgrades!$T$13="Moving Group",POWER(Upgrades!$U$13,E218),1)*IF(Upgrades!$T$14="Moving Group",POWER(Upgrades!$U$14,F218),1)*IF(Upgrades!$T$15="Moving Group",POWER(Upgrades!$U$15,G218),1)*IF(Upgrades!$T$16="Moving Group",POWER(Upgrades!$U$16,H218),1)*IF(Upgrades!$T$17="Moving Group",POWER(Upgrades!$U$17,I218),1)*IF(Upgrades!$T$18="Moving Group",POWER(Upgrades!$U$18,J218),1)*IF(Upgrades!$T$19="Moving Group",POWER(Upgrades!$U$19,K218),1)*IF(Upgrades!$T$20="Moving Group",POWER(Upgrades!$U$20,L218),1))*POWER(Upgrades!$P$13,E218)*POWER(Upgrades!$P$14,F218)*POWER(Upgrades!$P$15,G218)*POWER(Upgrades!$P$16,H218)*POWER(Upgrades!$P$17,I218)*POWER(Upgrades!$P$18,J218)*POWER(Upgrades!$P$19,K218)*POWER(Upgrades!$P$20,L218)*POWER(Upgrades!$P$21,M218)*$F$6*60</f>
        <v/>
      </c>
      <c r="AJ218" s="27">
        <f>$C$6*60</f>
        <v/>
      </c>
      <c r="AK218" s="22">
        <f>IF(E218&gt;=Upgrades!$E$13,"",Upgrades!$C$13*POWER(Upgrades!$D$13,E218))</f>
        <v/>
      </c>
      <c r="AL218" s="22">
        <f>IF(F218&gt;=Upgrades!$E$14,"",Upgrades!$C$14*POWER(Upgrades!$D$14,F218))</f>
        <v/>
      </c>
      <c r="AM218" s="22">
        <f>IF(G218&gt;=Upgrades!$E$15,"",Upgrades!$C$15*POWER(Upgrades!$D$15,G218))</f>
        <v/>
      </c>
      <c r="AN218" s="22">
        <f>IF(H218&gt;=Upgrades!$E$16,"",Upgrades!$C$16*POWER(Upgrades!$D$16,H218))</f>
        <v/>
      </c>
      <c r="AO218" s="22">
        <f>IF(I218&gt;=Upgrades!$E$17,"",Upgrades!$C$17*POWER(Upgrades!$D$17,I218))</f>
        <v/>
      </c>
      <c r="AP218" s="22">
        <f>IF(J218&gt;=Upgrades!$E$18,"",Upgrades!$C$18*POWER(Upgrades!$D$18,J218))</f>
        <v/>
      </c>
      <c r="AQ218" s="22">
        <f>IF(K218&gt;=Upgrades!$E$19,"",Upgrades!$C$19*POWER(Upgrades!$D$19,K218))</f>
        <v/>
      </c>
      <c r="AR218" s="22">
        <f>IF(L218&gt;=Upgrades!$E$20,"",Upgrades!$C$20*POWER(Upgrades!$D$20,L218))</f>
        <v/>
      </c>
      <c r="AS218" s="22">
        <f>IF(M218&gt;=Upgrades!$E$21,"",Upgrades!$C$21*POWER(Upgrades!$D$21,M218))</f>
        <v/>
      </c>
      <c r="AT218" s="26">
        <f>IF(AND(D218&gt;=Parameters!$B$18*Parameters!$B$19,(I218&gt;=Upgrades!$E$17)*(M218&gt;=Upgrades!$E$21)=1,N218=0),1,"")</f>
        <v/>
      </c>
      <c r="AU218" s="26">
        <f>IF(AND(D218&gt;=Parameters!$B$18*Parameters!$B$19,N218=0),1,"")</f>
        <v/>
      </c>
      <c r="AV218" s="22">
        <f>MIN(IF(ISNUMBER(AP218),AP218,9E15),IF(ISNUMBER(AQ218),AQ218,9E15),IF(ISNUMBER(AR218),AR218,9E15),IF(ISNUMBER(AS218),AS218,9E15))</f>
        <v/>
      </c>
      <c r="AW218" s="22">
        <f>MIN(IF(ISNUMBER(AK218),AK218,9E15),IF(ISNUMBER(AL218),AL218,9E15),IF(ISNUMBER(AM218),AM218,9E15),IF(ISNUMBER(AN218),AN218,9E15),IF(ISNUMBER(AO218),AO218,9E15))</f>
        <v/>
      </c>
      <c r="AX218" s="29">
        <f>IF(BD218&gt;Parameters!$B$21*(MAX(IF(AND(NOT(AND(AU218=1,AT218&lt;&gt;1)),ISNUMBER(AK218),AK218&lt;=(C218+T218)),AY218,0),IF(AND(NOT(AND(AU218=1,AT218&lt;&gt;1)),ISNUMBER(AL218),AL218&lt;=(C218+T218)),AZ218,0),IF(AND(NOT(AND(AU218=1,AT218&lt;&gt;1)),ISNUMBER(AM218),AM218&lt;=(C218+T218)),BA218,0),IF(AND(NOT(AND(AU218=1,AT218&lt;&gt;1)),ISNUMBER(AN218),AN218&lt;=(C218+T218)),BB218,0),IF(AND(ISNUMBER(AO218),AO218&lt;=(C218+T218)),BC218,0))),TRUE,FALSE)</f>
        <v/>
      </c>
      <c r="AY218" s="32">
        <f>IFERROR(Upgrades!$H$13*(POWER(Upgrades!$P$13,E218)*POWER(Upgrades!$P$14,F218)*POWER(Upgrades!$P$15,G218)*POWER(Upgrades!$P$16,H218)*POWER(Upgrades!$P$17,I218)*POWER(Upgrades!$P$18,J218)*POWER(Upgrades!$P$19,K218)*POWER(Upgrades!$P$20,L218)*POWER(Upgrades!$P$21,M218))*(IF(Upgrades!$T$14="Stellar Kinematics",POWER(Upgrades!$U$14,F218),1)*IF(Upgrades!$T$15="Stellar Kinematics",POWER(Upgrades!$U$15,G218),1)*IF(Upgrades!$T$16="Stellar Kinematics",POWER(Upgrades!$U$16,H218),1)*IF(Upgrades!$T$17="Stellar Kinematics",POWER(Upgrades!$U$17,I218),1)*IF(Upgrades!$T$18="Stellar Kinematics",POWER(Upgrades!$U$18,J218),1)*IF(Upgrades!$T$19="Stellar Kinematics",POWER(Upgrades!$U$19,K218),1)*IF(Upgrades!$T$20="Stellar Kinematics",POWER(Upgrades!$U$20,L218),1)*IF(Upgrades!$T$21="Stellar Kinematics",POWER(Upgrades!$U$21,M218),1))*$F$6/AK218,0)</f>
        <v/>
      </c>
      <c r="AZ218" s="32">
        <f>IFERROR(Upgrades!$H$14*(POWER(Upgrades!$P$13,E218)*POWER(Upgrades!$P$14,F218)*POWER(Upgrades!$P$15,G218)*POWER(Upgrades!$P$16,H218)*POWER(Upgrades!$P$17,I218)*POWER(Upgrades!$P$18,J218)*POWER(Upgrades!$P$19,K218)*POWER(Upgrades!$P$20,L218)*POWER(Upgrades!$P$21,M218))*(IF(Upgrades!$T$13="Local Bubble",POWER(Upgrades!$U$13,E218),1)*IF(Upgrades!$T$15="Local Bubble",POWER(Upgrades!$U$15,G218),1)*IF(Upgrades!$T$16="Local Bubble",POWER(Upgrades!$U$16,H218),1)*IF(Upgrades!$T$17="Local Bubble",POWER(Upgrades!$U$17,I218),1)*IF(Upgrades!$T$18="Local Bubble",POWER(Upgrades!$U$18,J218),1)*IF(Upgrades!$T$19="Local Bubble",POWER(Upgrades!$U$19,K218),1)*IF(Upgrades!$T$20="Local Bubble",POWER(Upgrades!$U$20,L218),1)*IF(Upgrades!$T$21="Local Bubble",POWER(Upgrades!$U$21,M218),1))*$F$6/AL218,0)</f>
        <v/>
      </c>
      <c r="BA218" s="32">
        <f>IFERROR(Upgrades!$K$15*(POWER(Upgrades!$Q$13,E218)*POWER(Upgrades!$Q$14,F218)*POWER(Upgrades!$Q$15,G218)*POWER(Upgrades!$Q$16,H218)*POWER(Upgrades!$Q$17,I218)*POWER(Upgrades!$Q$18,J218)*POWER(Upgrades!$Q$19,K218)*POWER(Upgrades!$Q$20,L218)*POWER(Upgrades!$Q$21,M218))*(IF(Upgrades!$T$13="Microlensing",POWER(Upgrades!$U$13,E218),1)*IF(Upgrades!$T$14="Microlensing",POWER(Upgrades!$U$14,F218),1)*IF(Upgrades!$T$16="Microlensing",POWER(Upgrades!$U$16,H218),1)*IF(Upgrades!$T$17="Microlensing",POWER(Upgrades!$U$17,I218),1)*IF(Upgrades!$T$18="Microlensing",POWER(Upgrades!$U$18,J218),1)*IF(Upgrades!$T$19="Microlensing",POWER(Upgrades!$U$19,K218),1)*IF(Upgrades!$T$20="Microlensing",POWER(Upgrades!$U$20,L218),1)*IF(Upgrades!$T$21="Microlensing",POWER(Upgrades!$U$21,M218),1))*$G$6*(Parameters!$B$10/60*Parameters!$B$11+Q218)/AM218,0)</f>
        <v/>
      </c>
      <c r="BB218" s="32">
        <f>IFERROR((Upgrades!$N$16*(POWER(Upgrades!$R$13,E218)*POWER(Upgrades!$R$14,F218)*POWER(Upgrades!$R$15,G218)*POWER(Upgrades!$R$16,H218)*POWER(Upgrades!$R$17,I218)*POWER(Upgrades!$R$18,J218)*POWER(Upgrades!$R$19,K218)*POWER(Upgrades!$R$20,L218)*POWER(Upgrades!$R$21,M218))*(IF(Upgrades!$T$13="Roche Lobe Overflow",POWER(Upgrades!$U$13,E218),1)*IF(Upgrades!$T$14="Roche Lobe Overflow",POWER(Upgrades!$U$14,F218),1)*IF(Upgrades!$T$15="Roche Lobe Overflow",POWER(Upgrades!$U$15,G218),1)*IF(Upgrades!$T$17="Roche Lobe Overflow",POWER(Upgrades!$U$17,I218),1)*IF(Upgrades!$T$18="Roche Lobe Overflow",POWER(Upgrades!$U$18,J218),1)*IF(Upgrades!$T$19="Roche Lobe Overflow",POWER(Upgrades!$U$19,K218),1)*IF(Upgrades!$T$20="Roche Lobe Overflow",POWER(Upgrades!$U$20,L218),1)*IF(Upgrades!$T$21="Roche Lobe Overflow",POWER(Upgrades!$U$21,M218),1))*$H$6*O218+((IF(F218=0,0,(Upgrades!$G$14+F218*Upgrades!$H$14)*POWER(Upgrades!$I$14,F218)))*(IF(Upgrades!$T$13="Local Bubble",POWER(Upgrades!$U$13,E218),1)*IF(Upgrades!$T$15="Local Bubble",POWER(Upgrades!$U$15,G218),1)*IF(Upgrades!$T$16="Local Bubble",POWER(Upgrades!$U$16,H218),1)*IF(Upgrades!$T$17="Local Bubble",POWER(Upgrades!$U$17,I218),1)*IF(Upgrades!$T$18="Local Bubble",POWER(Upgrades!$U$18,J218),1)*IF(Upgrades!$T$19="Local Bubble",POWER(Upgrades!$U$19,K218),1)*IF(Upgrades!$T$20="Local Bubble",POWER(Upgrades!$U$20,L218),1)*IF(Upgrades!$T$21="Local Bubble",POWER(Upgrades!$U$21,M218),1))*POWER(Upgrades!$P$13,E218)*POWER(Upgrades!$P$14,F218)*POWER(Upgrades!$P$15,G218)*POWER(Upgrades!$P$16,H218)*POWER(Upgrades!$P$17,I218)*POWER(Upgrades!$P$18,J218)*POWER(Upgrades!$P$19,K218)*POWER(Upgrades!$P$20,L218)*POWER(Upgrades!$P$21,M218)*$F$6)*0.05)/AN218,0)</f>
        <v/>
      </c>
      <c r="BC218" s="32">
        <f>IFERROR((Upgrades!$H$17*(POWER(Upgrades!$P$13,E218)*POWER(Upgrades!$P$14,F218)*POWER(Upgrades!$P$15,G218)*POWER(Upgrades!$P$16,H218)*POWER(Upgrades!$P$17,I218)*POWER(Upgrades!$P$18,J218)*POWER(Upgrades!$P$19,K218)*POWER(Upgrades!$P$20,L218)*POWER(Upgrades!$P$21,M218))*(IF(Upgrades!$T$13="Brown Dwarf",POWER(Upgrades!$U$13,E218),1)*IF(Upgrades!$T$14="Brown Dwarf",POWER(Upgrades!$U$14,F218),1)*IF(Upgrades!$T$15="Brown Dwarf",POWER(Upgrades!$U$15,G218),1)*IF(Upgrades!$T$16="Brown Dwarf",POWER(Upgrades!$U$16,H218),1)*IF(Upgrades!$T$18="Brown Dwarf",POWER(Upgrades!$U$18,J218),1)*IF(Upgrades!$T$19="Brown Dwarf",POWER(Upgrades!$U$19,K218),1)*IF(Upgrades!$T$20="Brown Dwarf",POWER(Upgrades!$U$20,L218),1)*IF(Upgrades!$T$21="Brown Dwarf",POWER(Upgrades!$U$21,M218),1))*$F$6+(((IF(H218=0,0,(Upgrades!$M$16+H218*Upgrades!$N$16)*POWER(Upgrades!$O$16,H218)))*(IF(Upgrades!$T$13="Roche Lobe Overflow",POWER(Upgrades!$U$13,E218),1)*IF(Upgrades!$T$14="Roche Lobe Overflow",POWER(Upgrades!$U$14,F218),1)*IF(Upgrades!$T$15="Roche Lobe Overflow",POWER(Upgrades!$U$15,G218),1)*IF(Upgrades!$T$17="Roche Lobe Overflow",POWER(Upgrades!$U$17,I218),1)*IF(Upgrades!$T$18="Roche Lobe Overflow",POWER(Upgrades!$U$18,J218),1)*IF(Upgrades!$T$19="Roche Lobe Overflow",POWER(Upgrades!$U$19,K218),1)*IF(Upgrades!$T$20="Roche Lobe Overflow",POWER(Upgrades!$U$20,L218),1)*IF(Upgrades!$T$21="Roche Lobe Overflow",POWER(Upgrades!$U$21,M218),1))*POWER(Upgrades!$R$13,E218)*POWER(Upgrades!$R$14,F218)*POWER(Upgrades!$R$15,G218)*POWER(Upgrades!$R$16,H218)*POWER(Upgrades!$R$17,I218)*POWER(Upgrades!$R$18,J218)*POWER(Upgrades!$R$19,K218)*POWER(Upgrades!$R$20,L218)*POWER(Upgrades!$R$21,M218)*$H$6)*O218)*0.10)/AO218,0)</f>
        <v/>
      </c>
      <c r="BD218" s="32">
        <f>MAX(IF(J218&gt;0,0,IFERROR(0.5*((IF(G218=0,0,(Upgrades!$J$15+G218*Upgrades!$K$15)*POWER(Upgrades!$L$15,G218)))*(IF(Upgrades!$T$13="Microlensing",POWER(Upgrades!$U$13,E218),1)*IF(Upgrades!$T$14="Microlensing",POWER(Upgrades!$U$14,F218),1)*IF(Upgrades!$T$16="Microlensing",POWER(Upgrades!$U$16,H218),1)*IF(Upgrades!$T$17="Microlensing",POWER(Upgrades!$U$17,I218),1)*IF(Upgrades!$T$18="Microlensing",POWER(Upgrades!$U$18,J218),1)*IF(Upgrades!$T$19="Microlensing",POWER(Upgrades!$U$19,K218),1)*IF(Upgrades!$T$20="Microlensing",POWER(Upgrades!$U$20,L218),1)*IF(Upgrades!$T$21="Microlensing",POWER(Upgrades!$U$21,M218),1))*(POWER(Upgrades!$Q$13,E218)*POWER(Upgrades!$Q$14,F218)*POWER(Upgrades!$Q$15,G218)*POWER(Upgrades!$Q$16,H218)*POWER(Upgrades!$Q$17,I218)*POWER(Upgrades!$Q$18,J218)*POWER(Upgrades!$Q$19,K218)*POWER(Upgrades!$Q$20,L218)*POWER(Upgrades!$Q$21,M218))*$G$6*(Parameters!$B$10/60*Parameters!$B$11+Q218))/Upgrades!$C$18,0)),IF(K218&gt;0,0,IFERROR(0.30*P218/Upgrades!$C$19,0)),IF(L218&gt;0,0,IFERROR(0.0001/Upgrades!$C$20,0)),IF(M218&gt;0,0,IFERROR((6.0*(POWER(Upgrades!$P$13,E218)*POWER(Upgrades!$P$14,F218)*POWER(Upgrades!$P$15,G218)*POWER(Upgrades!$P$16,H218)*POWER(Upgrades!$P$17,I218)*POWER(Upgrades!$P$18,J218)*POWER(Upgrades!$P$19,K218)*POWER(Upgrades!$P$20,L218)*POWER(Upgrades!$P$21,M218))*$F$6+0.20*O218*(Parameters!$B$10/60*Parameters!$B$11+Q218))/Upgrades!$C$21,0)),IF(AND(ISNUMBER(AK218),AK218&gt;(C218+T218)),AY218,0),IF(AND(ISNUMBER(AL218),AL218&gt;(C218+T218)),AZ218,0),IF(AND(ISNUMBER(AM218),AM218&gt;(C218+T218)),BA218,0),IF(AND(ISNUMBER(AN218),AN218&gt;(C218+T218)),BB218,0),IF(AND(ISNUMBER(AO218),AO218&gt;(C218+T218)),BC218,0))</f>
        <v/>
      </c>
      <c r="BE218" s="29">
        <f>IF(AT218=1,"transition",IF(MIN(IF(AND(J218=0,ISNUMBER(AP218),AP218&lt;=(C218+T218)),AP218,9E15),IF(AND(K218=0,ISNUMBER(AQ218),AQ218&lt;=(C218+T218)),AQ218,9E15),IF(AND(L218=0,ISNUMBER(AR218),AR218&lt;=(C218+T218)),AR218,9E15),IF(AND(M218=0,ISNUMBER(AS218),AS218&lt;=(C218+T218)),AS218,9E15))&lt;9E15,IF(AND(AND(J218=0,ISNUMBER(AP218),AP218&lt;=(C218+T218)),AP218=MIN(IF(AND(J218=0,ISNUMBER(AP218),AP218&lt;=(C218+T218)),AP218,9E15),IF(AND(K218=0,ISNUMBER(AQ218),AQ218&lt;=(C218+T218)),AQ218,9E15),IF(AND(L218=0,ISNUMBER(AR218),AR218&lt;=(C218+T218)),AR218,9E15),IF(AND(M218=0,ISNUMBER(AS218),AS218&lt;=(C218+T218)),AS218,9E15))),"BiP",IF(AND(AND(K218=0,ISNUMBER(AQ218),AQ218&lt;=(C218+T218)),AQ218=MIN(IF(AND(J218=0,ISNUMBER(AP218),AP218&lt;=(C218+T218)),AP218,9E15),IF(AND(K218=0,ISNUMBER(AQ218),AQ218&lt;=(C218+T218)),AQ218,9E15),IF(AND(L218=0,ISNUMBER(AR218),AR218&lt;=(C218+T218)),AR218,9E15),IF(AND(M218=0,ISNUMBER(AS218),AS218&lt;=(C218+T218)),AS218,9E15))),"PV",IF(AND(AND(L218=0,ISNUMBER(AR218),AR218&lt;=(C218+T218)),AR218=MIN(IF(AND(J218=0,ISNUMBER(AP218),AP218&lt;=(C218+T218)),AP218,9E15),IF(AND(K218=0,ISNUMBER(AQ218),AQ218&lt;=(C218+T218)),AQ218,9E15),IF(AND(L218=0,ISNUMBER(AR218),AR218&lt;=(C218+T218)),AR218,9E15),IF(AND(M218=0,ISNUMBER(AS218),AS218&lt;=(C218+T218)),AS218,9E15))),"OC","MG"))),IF(AX218=TRUE,"",IF(MAX(IF(AND(NOT(AND(AU218=1,AT218&lt;&gt;1)),ISNUMBER(AK218),AK218&lt;=(C218+T218)),AY218,0),IF(AND(NOT(AND(AU218=1,AT218&lt;&gt;1)),ISNUMBER(AL218),AL218&lt;=(C218+T218)),AZ218,0),IF(AND(NOT(AND(AU218=1,AT218&lt;&gt;1)),ISNUMBER(AM218),AM218&lt;=(C218+T218)),BA218,0),IF(AND(NOT(AND(AU218=1,AT218&lt;&gt;1)),ISNUMBER(AN218),AN218&lt;=(C218+T218)),BB218,0),IF(AND(ISNUMBER(AO218),AO218&lt;=(C218+T218)),BC218,0))&lt;=0,"",IF(AND(IF(AND(NOT(AND(AU218=1,AT218&lt;&gt;1)),ISNUMBER(AK218),AK218&lt;=(C218+T218)),AY218,0)&gt;0,IF(AND(NOT(AND(AU218=1,AT218&lt;&gt;1)),ISNUMBER(AK218),AK218&lt;=(C218+T218)),AY218,0)=MAX(IF(AND(NOT(AND(AU218=1,AT218&lt;&gt;1)),ISNUMBER(AK218),AK218&lt;=(C218+T218)),AY218,0),IF(AND(NOT(AND(AU218=1,AT218&lt;&gt;1)),ISNUMBER(AL218),AL218&lt;=(C218+T218)),AZ218,0),IF(AND(NOT(AND(AU218=1,AT218&lt;&gt;1)),ISNUMBER(AM218),AM218&lt;=(C218+T218)),BA218,0),IF(AND(NOT(AND(AU218=1,AT218&lt;&gt;1)),ISNUMBER(AN218),AN218&lt;=(C218+T218)),BB218,0),IF(AND(ISNUMBER(AO218),AO218&lt;=(C218+T218)),BC218,0))),"SK",IF(AND(IF(AND(NOT(AND(AU218=1,AT218&lt;&gt;1)),ISNUMBER(AL218),AL218&lt;=(C218+T218)),AZ218,0)&gt;0,IF(AND(NOT(AND(AU218=1,AT218&lt;&gt;1)),ISNUMBER(AL218),AL218&lt;=(C218+T218)),AZ218,0)=MAX(IF(AND(NOT(AND(AU218=1,AT218&lt;&gt;1)),ISNUMBER(AK218),AK218&lt;=(C218+T218)),AY218,0),IF(AND(NOT(AND(AU218=1,AT218&lt;&gt;1)),ISNUMBER(AL218),AL218&lt;=(C218+T218)),AZ218,0),IF(AND(NOT(AND(AU218=1,AT218&lt;&gt;1)),ISNUMBER(AM218),AM218&lt;=(C218+T218)),BA218,0),IF(AND(NOT(AND(AU218=1,AT218&lt;&gt;1)),ISNUMBER(AN218),AN218&lt;=(C218+T218)),BB218,0),IF(AND(ISNUMBER(AO218),AO218&lt;=(C218+T218)),BC218,0))),"LB",IF(AND(IF(AND(NOT(AND(AU218=1,AT218&lt;&gt;1)),ISNUMBER(AM218),AM218&lt;=(C218+T218)),BA218,0)&gt;0,IF(AND(NOT(AND(AU218=1,AT218&lt;&gt;1)),ISNUMBER(AM218),AM218&lt;=(C218+T218)),BA218,0)=MAX(IF(AND(NOT(AND(AU218=1,AT218&lt;&gt;1)),ISNUMBER(AK218),AK218&lt;=(C218+T218)),AY218,0),IF(AND(NOT(AND(AU218=1,AT218&lt;&gt;1)),ISNUMBER(AL218),AL218&lt;=(C218+T218)),AZ218,0),IF(AND(NOT(AND(AU218=1,AT218&lt;&gt;1)),ISNUMBER(AM218),AM218&lt;=(C218+T218)),BA218,0),IF(AND(NOT(AND(AU218=1,AT218&lt;&gt;1)),ISNUMBER(AN218),AN218&lt;=(C218+T218)),BB218,0),IF(AND(ISNUMBER(AO218),AO218&lt;=(C218+T218)),BC218,0))),"ML",IF(AND(IF(AND(NOT(AND(AU218=1,AT218&lt;&gt;1)),ISNUMBER(AN218),AN218&lt;=(C218+T218)),BB218,0)&gt;0,IF(AND(NOT(AND(AU218=1,AT218&lt;&gt;1)),ISNUMBER(AN218),AN218&lt;=(C218+T218)),BB218,0)=MAX(IF(AND(NOT(AND(AU218=1,AT218&lt;&gt;1)),ISNUMBER(AK218),AK218&lt;=(C218+T218)),AY218,0),IF(AND(NOT(AND(AU218=1,AT218&lt;&gt;1)),ISNUMBER(AL218),AL218&lt;=(C218+T218)),AZ218,0),IF(AND(NOT(AND(AU218=1,AT218&lt;&gt;1)),ISNUMBER(AM218),AM218&lt;=(C218+T218)),BA218,0),IF(AND(NOT(AND(AU218=1,AT218&lt;&gt;1)),ISNUMBER(AN218),AN218&lt;=(C218+T218)),BB218,0),IF(AND(ISNUMBER(AO218),AO218&lt;=(C218+T218)),BC218,0))),"RLO","BD"))))))))</f>
        <v/>
      </c>
    </row>
    <row r="219">
      <c r="A219" s="26" t="n">
        <v>208</v>
      </c>
      <c r="B219" s="27">
        <f>A219*10/60</f>
        <v/>
      </c>
      <c r="C219" s="22">
        <f>X218</f>
        <v/>
      </c>
      <c r="D219" s="27">
        <f>D218+W218</f>
        <v/>
      </c>
      <c r="E219" s="26">
        <f>E218+IF(U218="SK",1,0)</f>
        <v/>
      </c>
      <c r="F219" s="26">
        <f>F218+IF(U218="LB",1,0)</f>
        <v/>
      </c>
      <c r="G219" s="26">
        <f>G218+IF(U218="ML",1,0)</f>
        <v/>
      </c>
      <c r="H219" s="26">
        <f>H218+IF(U218="RLO",1,0)</f>
        <v/>
      </c>
      <c r="I219" s="26">
        <f>I218+IF(U218="BD",1,0)</f>
        <v/>
      </c>
      <c r="J219" s="26">
        <f>MAX(J218,IF(U218="BiP",1,0))</f>
        <v/>
      </c>
      <c r="K219" s="26">
        <f>MAX(K218,IF(U218="PV",1,0))</f>
        <v/>
      </c>
      <c r="L219" s="26">
        <f>MAX(L218,IF(U218="OC",1,0))</f>
        <v/>
      </c>
      <c r="M219" s="26">
        <f>MAX(M218,IF(U218="MG",1,0))</f>
        <v/>
      </c>
      <c r="N219" s="26">
        <f>MAX(N218,IF(U218="transition",1,0))</f>
        <v/>
      </c>
      <c r="O219" s="28">
        <f>(Parameters!$B$9+(IF(E219=0,0,(Upgrades!$J$13+E219*Upgrades!$K$13)*POWER(Upgrades!$L$13,E219)))*(IF(Upgrades!$T$14="Stellar Kinematics",POWER(Upgrades!$U$14,F219),1)*IF(Upgrades!$T$15="Stellar Kinematics",POWER(Upgrades!$U$15,G219),1)*IF(Upgrades!$T$16="Stellar Kinematics",POWER(Upgrades!$U$16,H219),1)*IF(Upgrades!$T$17="Stellar Kinematics",POWER(Upgrades!$U$17,I219),1)*IF(Upgrades!$T$18="Stellar Kinematics",POWER(Upgrades!$U$18,J219),1)*IF(Upgrades!$T$19="Stellar Kinematics",POWER(Upgrades!$U$19,K219),1)*IF(Upgrades!$T$20="Stellar Kinematics",POWER(Upgrades!$U$20,L219),1)*IF(Upgrades!$T$21="Stellar Kinematics",POWER(Upgrades!$U$21,M219),1))+(IF(F219=0,0,(Upgrades!$J$14+F219*Upgrades!$K$14)*POWER(Upgrades!$L$14,F219)))*(IF(Upgrades!$T$13="Local Bubble",POWER(Upgrades!$U$13,E219),1)*IF(Upgrades!$T$15="Local Bubble",POWER(Upgrades!$U$15,G219),1)*IF(Upgrades!$T$16="Local Bubble",POWER(Upgrades!$U$16,H219),1)*IF(Upgrades!$T$17="Local Bubble",POWER(Upgrades!$U$17,I219),1)*IF(Upgrades!$T$18="Local Bubble",POWER(Upgrades!$U$18,J219),1)*IF(Upgrades!$T$19="Local Bubble",POWER(Upgrades!$U$19,K219),1)*IF(Upgrades!$T$20="Local Bubble",POWER(Upgrades!$U$20,L219),1)*IF(Upgrades!$T$21="Local Bubble",POWER(Upgrades!$U$21,M219),1))+(IF(G219=0,0,(Upgrades!$J$15+G219*Upgrades!$K$15)*POWER(Upgrades!$L$15,G219)))*(IF(Upgrades!$T$13="Microlensing",POWER(Upgrades!$U$13,E219),1)*IF(Upgrades!$T$14="Microlensing",POWER(Upgrades!$U$14,F219),1)*IF(Upgrades!$T$16="Microlensing",POWER(Upgrades!$U$16,H219),1)*IF(Upgrades!$T$17="Microlensing",POWER(Upgrades!$U$17,I219),1)*IF(Upgrades!$T$18="Microlensing",POWER(Upgrades!$U$18,J219),1)*IF(Upgrades!$T$19="Microlensing",POWER(Upgrades!$U$19,K219),1)*IF(Upgrades!$T$20="Microlensing",POWER(Upgrades!$U$20,L219),1)*IF(Upgrades!$T$21="Microlensing",POWER(Upgrades!$U$21,M219),1))+(IF(H219=0,0,(Upgrades!$J$16+H219*Upgrades!$K$16)*POWER(Upgrades!$L$16,H219)))*(IF(Upgrades!$T$13="Roche Lobe Overflow",POWER(Upgrades!$U$13,E219),1)*IF(Upgrades!$T$14="Roche Lobe Overflow",POWER(Upgrades!$U$14,F219),1)*IF(Upgrades!$T$15="Roche Lobe Overflow",POWER(Upgrades!$U$15,G219),1)*IF(Upgrades!$T$17="Roche Lobe Overflow",POWER(Upgrades!$U$17,I219),1)*IF(Upgrades!$T$18="Roche Lobe Overflow",POWER(Upgrades!$U$18,J219),1)*IF(Upgrades!$T$19="Roche Lobe Overflow",POWER(Upgrades!$U$19,K219),1)*IF(Upgrades!$T$20="Roche Lobe Overflow",POWER(Upgrades!$U$20,L219),1)*IF(Upgrades!$T$21="Roche Lobe Overflow",POWER(Upgrades!$U$21,M219),1))+(IF(I219=0,0,(Upgrades!$J$17+I219*Upgrades!$K$17)*POWER(Upgrades!$L$17,I219)))*(IF(Upgrades!$T$13="Brown Dwarf",POWER(Upgrades!$U$13,E219),1)*IF(Upgrades!$T$14="Brown Dwarf",POWER(Upgrades!$U$14,F219),1)*IF(Upgrades!$T$15="Brown Dwarf",POWER(Upgrades!$U$15,G219),1)*IF(Upgrades!$T$16="Brown Dwarf",POWER(Upgrades!$U$16,H219),1)*IF(Upgrades!$T$18="Brown Dwarf",POWER(Upgrades!$U$18,J219),1)*IF(Upgrades!$T$19="Brown Dwarf",POWER(Upgrades!$U$19,K219),1)*IF(Upgrades!$T$20="Brown Dwarf",POWER(Upgrades!$U$20,L219),1)*IF(Upgrades!$T$21="Brown Dwarf",POWER(Upgrades!$U$21,M219),1))+(IF(J219=0,0,(Upgrades!$J$18+J219*Upgrades!$K$18)*POWER(Upgrades!$L$18,J219)))*(IF(Upgrades!$T$13="Binary Partner",POWER(Upgrades!$U$13,E219),1)*IF(Upgrades!$T$14="Binary Partner",POWER(Upgrades!$U$14,F219),1)*IF(Upgrades!$T$15="Binary Partner",POWER(Upgrades!$U$15,G219),1)*IF(Upgrades!$T$16="Binary Partner",POWER(Upgrades!$U$16,H219),1)*IF(Upgrades!$T$17="Binary Partner",POWER(Upgrades!$U$17,I219),1)*IF(Upgrades!$T$19="Binary Partner",POWER(Upgrades!$U$19,K219),1)*IF(Upgrades!$T$20="Binary Partner",POWER(Upgrades!$U$20,L219),1)*IF(Upgrades!$T$21="Binary Partner",POWER(Upgrades!$U$21,M219),1))+(IF(K219=0,0,(Upgrades!$J$19+K219*Upgrades!$K$19)*POWER(Upgrades!$L$19,K219)))*(IF(Upgrades!$T$13="Peculiar Velocity",POWER(Upgrades!$U$13,E219),1)*IF(Upgrades!$T$14="Peculiar Velocity",POWER(Upgrades!$U$14,F219),1)*IF(Upgrades!$T$15="Peculiar Velocity",POWER(Upgrades!$U$15,G219),1)*IF(Upgrades!$T$16="Peculiar Velocity",POWER(Upgrades!$U$16,H219),1)*IF(Upgrades!$T$17="Peculiar Velocity",POWER(Upgrades!$U$17,I219),1)*IF(Upgrades!$T$18="Peculiar Velocity",POWER(Upgrades!$U$18,J219),1)*IF(Upgrades!$T$20="Peculiar Velocity",POWER(Upgrades!$U$20,L219),1)*IF(Upgrades!$T$21="Peculiar Velocity",POWER(Upgrades!$U$21,M219),1))+(IF(L219=0,0,(Upgrades!$J$20+L219*Upgrades!$K$20)*POWER(Upgrades!$L$20,L219)))*(IF(Upgrades!$T$13="Open Cluster",POWER(Upgrades!$U$13,E219),1)*IF(Upgrades!$T$14="Open Cluster",POWER(Upgrades!$U$14,F219),1)*IF(Upgrades!$T$15="Open Cluster",POWER(Upgrades!$U$15,G219),1)*IF(Upgrades!$T$16="Open Cluster",POWER(Upgrades!$U$16,H219),1)*IF(Upgrades!$T$17="Open Cluster",POWER(Upgrades!$U$17,I219),1)*IF(Upgrades!$T$18="Open Cluster",POWER(Upgrades!$U$18,J219),1)*IF(Upgrades!$T$19="Open Cluster",POWER(Upgrades!$U$19,K219),1)*IF(Upgrades!$T$21="Open Cluster",POWER(Upgrades!$U$21,M219),1))+(IF(M219=0,0,(Upgrades!$J$21+M219*Upgrades!$K$21)*POWER(Upgrades!$L$21,M219)))*(IF(Upgrades!$T$13="Moving Group",POWER(Upgrades!$U$13,E219),1)*IF(Upgrades!$T$14="Moving Group",POWER(Upgrades!$U$14,F219),1)*IF(Upgrades!$T$15="Moving Group",POWER(Upgrades!$U$15,G219),1)*IF(Upgrades!$T$16="Moving Group",POWER(Upgrades!$U$16,H219),1)*IF(Upgrades!$T$17="Moving Group",POWER(Upgrades!$U$17,I219),1)*IF(Upgrades!$T$18="Moving Group",POWER(Upgrades!$U$18,J219),1)*IF(Upgrades!$T$19="Moving Group",POWER(Upgrades!$U$19,K219),1)*IF(Upgrades!$T$20="Moving Group",POWER(Upgrades!$U$20,L219),1)))*POWER(Upgrades!$Q$13,E219)*POWER(Upgrades!$Q$14,F219)*POWER(Upgrades!$Q$15,G219)*POWER(Upgrades!$Q$16,H219)*POWER(Upgrades!$Q$17,I219)*POWER(Upgrades!$Q$18,J219)*POWER(Upgrades!$Q$19,K219)*POWER(Upgrades!$Q$20,L219)*POWER(Upgrades!$Q$21,M219)*$G$6+$D$6</f>
        <v/>
      </c>
      <c r="P219" s="28">
        <f>((IF(E219=0,0,(Upgrades!$G$13+E219*Upgrades!$H$13)*POWER(Upgrades!$I$13,E219)))*(IF(Upgrades!$T$14="Stellar Kinematics",POWER(Upgrades!$U$14,F219),1)*IF(Upgrades!$T$15="Stellar Kinematics",POWER(Upgrades!$U$15,G219),1)*IF(Upgrades!$T$16="Stellar Kinematics",POWER(Upgrades!$U$16,H219),1)*IF(Upgrades!$T$17="Stellar Kinematics",POWER(Upgrades!$U$17,I219),1)*IF(Upgrades!$T$18="Stellar Kinematics",POWER(Upgrades!$U$18,J219),1)*IF(Upgrades!$T$19="Stellar Kinematics",POWER(Upgrades!$U$19,K219),1)*IF(Upgrades!$T$20="Stellar Kinematics",POWER(Upgrades!$U$20,L219),1)*IF(Upgrades!$T$21="Stellar Kinematics",POWER(Upgrades!$U$21,M219),1))+(IF(F219=0,0,(Upgrades!$G$14+F219*Upgrades!$H$14)*POWER(Upgrades!$I$14,F219)))*(IF(Upgrades!$T$13="Local Bubble",POWER(Upgrades!$U$13,E219),1)*IF(Upgrades!$T$15="Local Bubble",POWER(Upgrades!$U$15,G219),1)*IF(Upgrades!$T$16="Local Bubble",POWER(Upgrades!$U$16,H219),1)*IF(Upgrades!$T$17="Local Bubble",POWER(Upgrades!$U$17,I219),1)*IF(Upgrades!$T$18="Local Bubble",POWER(Upgrades!$U$18,J219),1)*IF(Upgrades!$T$19="Local Bubble",POWER(Upgrades!$U$19,K219),1)*IF(Upgrades!$T$20="Local Bubble",POWER(Upgrades!$U$20,L219),1)*IF(Upgrades!$T$21="Local Bubble",POWER(Upgrades!$U$21,M219),1))+(IF(G219=0,0,(Upgrades!$G$15+G219*Upgrades!$H$15)*POWER(Upgrades!$I$15,G219)))*(IF(Upgrades!$T$13="Microlensing",POWER(Upgrades!$U$13,E219),1)*IF(Upgrades!$T$14="Microlensing",POWER(Upgrades!$U$14,F219),1)*IF(Upgrades!$T$16="Microlensing",POWER(Upgrades!$U$16,H219),1)*IF(Upgrades!$T$17="Microlensing",POWER(Upgrades!$U$17,I219),1)*IF(Upgrades!$T$18="Microlensing",POWER(Upgrades!$U$18,J219),1)*IF(Upgrades!$T$19="Microlensing",POWER(Upgrades!$U$19,K219),1)*IF(Upgrades!$T$20="Microlensing",POWER(Upgrades!$U$20,L219),1)*IF(Upgrades!$T$21="Microlensing",POWER(Upgrades!$U$21,M219),1))+(IF(H219=0,0,(Upgrades!$G$16+H219*Upgrades!$H$16)*POWER(Upgrades!$I$16,H219)))*(IF(Upgrades!$T$13="Roche Lobe Overflow",POWER(Upgrades!$U$13,E219),1)*IF(Upgrades!$T$14="Roche Lobe Overflow",POWER(Upgrades!$U$14,F219),1)*IF(Upgrades!$T$15="Roche Lobe Overflow",POWER(Upgrades!$U$15,G219),1)*IF(Upgrades!$T$17="Roche Lobe Overflow",POWER(Upgrades!$U$17,I219),1)*IF(Upgrades!$T$18="Roche Lobe Overflow",POWER(Upgrades!$U$18,J219),1)*IF(Upgrades!$T$19="Roche Lobe Overflow",POWER(Upgrades!$U$19,K219),1)*IF(Upgrades!$T$20="Roche Lobe Overflow",POWER(Upgrades!$U$20,L219),1)*IF(Upgrades!$T$21="Roche Lobe Overflow",POWER(Upgrades!$U$21,M219),1))+(IF(I219=0,0,(Upgrades!$G$17+I219*Upgrades!$H$17)*POWER(Upgrades!$I$17,I219)))*(IF(Upgrades!$T$13="Brown Dwarf",POWER(Upgrades!$U$13,E219),1)*IF(Upgrades!$T$14="Brown Dwarf",POWER(Upgrades!$U$14,F219),1)*IF(Upgrades!$T$15="Brown Dwarf",POWER(Upgrades!$U$15,G219),1)*IF(Upgrades!$T$16="Brown Dwarf",POWER(Upgrades!$U$16,H219),1)*IF(Upgrades!$T$18="Brown Dwarf",POWER(Upgrades!$U$18,J219),1)*IF(Upgrades!$T$19="Brown Dwarf",POWER(Upgrades!$U$19,K219),1)*IF(Upgrades!$T$20="Brown Dwarf",POWER(Upgrades!$U$20,L219),1)*IF(Upgrades!$T$21="Brown Dwarf",POWER(Upgrades!$U$21,M219),1))+(IF(J219=0,0,(Upgrades!$G$18+J219*Upgrades!$H$18)*POWER(Upgrades!$I$18,J219)))*(IF(Upgrades!$T$13="Binary Partner",POWER(Upgrades!$U$13,E219),1)*IF(Upgrades!$T$14="Binary Partner",POWER(Upgrades!$U$14,F219),1)*IF(Upgrades!$T$15="Binary Partner",POWER(Upgrades!$U$15,G219),1)*IF(Upgrades!$T$16="Binary Partner",POWER(Upgrades!$U$16,H219),1)*IF(Upgrades!$T$17="Binary Partner",POWER(Upgrades!$U$17,I219),1)*IF(Upgrades!$T$19="Binary Partner",POWER(Upgrades!$U$19,K219),1)*IF(Upgrades!$T$20="Binary Partner",POWER(Upgrades!$U$20,L219),1)*IF(Upgrades!$T$21="Binary Partner",POWER(Upgrades!$U$21,M219),1))+(IF(K219=0,0,(Upgrades!$G$19+K219*Upgrades!$H$19)*POWER(Upgrades!$I$19,K219)))*(IF(Upgrades!$T$13="Peculiar Velocity",POWER(Upgrades!$U$13,E219),1)*IF(Upgrades!$T$14="Peculiar Velocity",POWER(Upgrades!$U$14,F219),1)*IF(Upgrades!$T$15="Peculiar Velocity",POWER(Upgrades!$U$15,G219),1)*IF(Upgrades!$T$16="Peculiar Velocity",POWER(Upgrades!$U$16,H219),1)*IF(Upgrades!$T$17="Peculiar Velocity",POWER(Upgrades!$U$17,I219),1)*IF(Upgrades!$T$18="Peculiar Velocity",POWER(Upgrades!$U$18,J219),1)*IF(Upgrades!$T$20="Peculiar Velocity",POWER(Upgrades!$U$20,L219),1)*IF(Upgrades!$T$21="Peculiar Velocity",POWER(Upgrades!$U$21,M219),1))+(IF(L219=0,0,(Upgrades!$G$20+L219*Upgrades!$H$20)*POWER(Upgrades!$I$20,L219)))*(IF(Upgrades!$T$13="Open Cluster",POWER(Upgrades!$U$13,E219),1)*IF(Upgrades!$T$14="Open Cluster",POWER(Upgrades!$U$14,F219),1)*IF(Upgrades!$T$15="Open Cluster",POWER(Upgrades!$U$15,G219),1)*IF(Upgrades!$T$16="Open Cluster",POWER(Upgrades!$U$16,H219),1)*IF(Upgrades!$T$17="Open Cluster",POWER(Upgrades!$U$17,I219),1)*IF(Upgrades!$T$18="Open Cluster",POWER(Upgrades!$U$18,J219),1)*IF(Upgrades!$T$19="Open Cluster",POWER(Upgrades!$U$19,K219),1)*IF(Upgrades!$T$21="Open Cluster",POWER(Upgrades!$U$21,M219),1))+(IF(M219=0,0,(Upgrades!$G$21+M219*Upgrades!$H$21)*POWER(Upgrades!$I$21,M219)))*(IF(Upgrades!$T$13="Moving Group",POWER(Upgrades!$U$13,E219),1)*IF(Upgrades!$T$14="Moving Group",POWER(Upgrades!$U$14,F219),1)*IF(Upgrades!$T$15="Moving Group",POWER(Upgrades!$U$15,G219),1)*IF(Upgrades!$T$16="Moving Group",POWER(Upgrades!$U$16,H219),1)*IF(Upgrades!$T$17="Moving Group",POWER(Upgrades!$U$17,I219),1)*IF(Upgrades!$T$18="Moving Group",POWER(Upgrades!$U$18,J219),1)*IF(Upgrades!$T$19="Moving Group",POWER(Upgrades!$U$19,K219),1)*IF(Upgrades!$T$20="Moving Group",POWER(Upgrades!$U$20,L219),1)))*POWER(Upgrades!$P$13,E219)*POWER(Upgrades!$P$14,F219)*POWER(Upgrades!$P$15,G219)*POWER(Upgrades!$P$16,H219)*POWER(Upgrades!$P$17,I219)*POWER(Upgrades!$P$18,J219)*POWER(Upgrades!$P$19,K219)*POWER(Upgrades!$P$20,L219)*POWER(Upgrades!$P$21,M219)*$F$6+$C$6</f>
        <v/>
      </c>
      <c r="Q219" s="28">
        <f>((IF(E219=0,0,(Upgrades!$M$13+E219*Upgrades!$N$13)*POWER(Upgrades!$O$13,E219)))*(IF(Upgrades!$T$14="Stellar Kinematics",POWER(Upgrades!$U$14,F219),1)*IF(Upgrades!$T$15="Stellar Kinematics",POWER(Upgrades!$U$15,G219),1)*IF(Upgrades!$T$16="Stellar Kinematics",POWER(Upgrades!$U$16,H219),1)*IF(Upgrades!$T$17="Stellar Kinematics",POWER(Upgrades!$U$17,I219),1)*IF(Upgrades!$T$18="Stellar Kinematics",POWER(Upgrades!$U$18,J219),1)*IF(Upgrades!$T$19="Stellar Kinematics",POWER(Upgrades!$U$19,K219),1)*IF(Upgrades!$T$20="Stellar Kinematics",POWER(Upgrades!$U$20,L219),1)*IF(Upgrades!$T$21="Stellar Kinematics",POWER(Upgrades!$U$21,M219),1))+(IF(F219=0,0,(Upgrades!$M$14+F219*Upgrades!$N$14)*POWER(Upgrades!$O$14,F219)))*(IF(Upgrades!$T$13="Local Bubble",POWER(Upgrades!$U$13,E219),1)*IF(Upgrades!$T$15="Local Bubble",POWER(Upgrades!$U$15,G219),1)*IF(Upgrades!$T$16="Local Bubble",POWER(Upgrades!$U$16,H219),1)*IF(Upgrades!$T$17="Local Bubble",POWER(Upgrades!$U$17,I219),1)*IF(Upgrades!$T$18="Local Bubble",POWER(Upgrades!$U$18,J219),1)*IF(Upgrades!$T$19="Local Bubble",POWER(Upgrades!$U$19,K219),1)*IF(Upgrades!$T$20="Local Bubble",POWER(Upgrades!$U$20,L219),1)*IF(Upgrades!$T$21="Local Bubble",POWER(Upgrades!$U$21,M219),1))+(IF(G219=0,0,(Upgrades!$M$15+G219*Upgrades!$N$15)*POWER(Upgrades!$O$15,G219)))*(IF(Upgrades!$T$13="Microlensing",POWER(Upgrades!$U$13,E219),1)*IF(Upgrades!$T$14="Microlensing",POWER(Upgrades!$U$14,F219),1)*IF(Upgrades!$T$16="Microlensing",POWER(Upgrades!$U$16,H219),1)*IF(Upgrades!$T$17="Microlensing",POWER(Upgrades!$U$17,I219),1)*IF(Upgrades!$T$18="Microlensing",POWER(Upgrades!$U$18,J219),1)*IF(Upgrades!$T$19="Microlensing",POWER(Upgrades!$U$19,K219),1)*IF(Upgrades!$T$20="Microlensing",POWER(Upgrades!$U$20,L219),1)*IF(Upgrades!$T$21="Microlensing",POWER(Upgrades!$U$21,M219),1))+(IF(H219=0,0,(Upgrades!$M$16+H219*Upgrades!$N$16)*POWER(Upgrades!$O$16,H219)))*(IF(Upgrades!$T$13="Roche Lobe Overflow",POWER(Upgrades!$U$13,E219),1)*IF(Upgrades!$T$14="Roche Lobe Overflow",POWER(Upgrades!$U$14,F219),1)*IF(Upgrades!$T$15="Roche Lobe Overflow",POWER(Upgrades!$U$15,G219),1)*IF(Upgrades!$T$17="Roche Lobe Overflow",POWER(Upgrades!$U$17,I219),1)*IF(Upgrades!$T$18="Roche Lobe Overflow",POWER(Upgrades!$U$18,J219),1)*IF(Upgrades!$T$19="Roche Lobe Overflow",POWER(Upgrades!$U$19,K219),1)*IF(Upgrades!$T$20="Roche Lobe Overflow",POWER(Upgrades!$U$20,L219),1)*IF(Upgrades!$T$21="Roche Lobe Overflow",POWER(Upgrades!$U$21,M219),1))+(IF(I219=0,0,(Upgrades!$M$17+I219*Upgrades!$N$17)*POWER(Upgrades!$O$17,I219)))*(IF(Upgrades!$T$13="Brown Dwarf",POWER(Upgrades!$U$13,E219),1)*IF(Upgrades!$T$14="Brown Dwarf",POWER(Upgrades!$U$14,F219),1)*IF(Upgrades!$T$15="Brown Dwarf",POWER(Upgrades!$U$15,G219),1)*IF(Upgrades!$T$16="Brown Dwarf",POWER(Upgrades!$U$16,H219),1)*IF(Upgrades!$T$18="Brown Dwarf",POWER(Upgrades!$U$18,J219),1)*IF(Upgrades!$T$19="Brown Dwarf",POWER(Upgrades!$U$19,K219),1)*IF(Upgrades!$T$20="Brown Dwarf",POWER(Upgrades!$U$20,L219),1)*IF(Upgrades!$T$21="Brown Dwarf",POWER(Upgrades!$U$21,M219),1))+(IF(J219=0,0,(Upgrades!$M$18+J219*Upgrades!$N$18)*POWER(Upgrades!$O$18,J219)))*(IF(Upgrades!$T$13="Binary Partner",POWER(Upgrades!$U$13,E219),1)*IF(Upgrades!$T$14="Binary Partner",POWER(Upgrades!$U$14,F219),1)*IF(Upgrades!$T$15="Binary Partner",POWER(Upgrades!$U$15,G219),1)*IF(Upgrades!$T$16="Binary Partner",POWER(Upgrades!$U$16,H219),1)*IF(Upgrades!$T$17="Binary Partner",POWER(Upgrades!$U$17,I219),1)*IF(Upgrades!$T$19="Binary Partner",POWER(Upgrades!$U$19,K219),1)*IF(Upgrades!$T$20="Binary Partner",POWER(Upgrades!$U$20,L219),1)*IF(Upgrades!$T$21="Binary Partner",POWER(Upgrades!$U$21,M219),1))+(IF(K219=0,0,(Upgrades!$M$19+K219*Upgrades!$N$19)*POWER(Upgrades!$O$19,K219)))*(IF(Upgrades!$T$13="Peculiar Velocity",POWER(Upgrades!$U$13,E219),1)*IF(Upgrades!$T$14="Peculiar Velocity",POWER(Upgrades!$U$14,F219),1)*IF(Upgrades!$T$15="Peculiar Velocity",POWER(Upgrades!$U$15,G219),1)*IF(Upgrades!$T$16="Peculiar Velocity",POWER(Upgrades!$U$16,H219),1)*IF(Upgrades!$T$17="Peculiar Velocity",POWER(Upgrades!$U$17,I219),1)*IF(Upgrades!$T$18="Peculiar Velocity",POWER(Upgrades!$U$18,J219),1)*IF(Upgrades!$T$20="Peculiar Velocity",POWER(Upgrades!$U$20,L219),1)*IF(Upgrades!$T$21="Peculiar Velocity",POWER(Upgrades!$U$21,M219),1))+(IF(L219=0,0,(Upgrades!$M$20+L219*Upgrades!$N$20)*POWER(Upgrades!$O$20,L219)))*(IF(Upgrades!$T$13="Open Cluster",POWER(Upgrades!$U$13,E219),1)*IF(Upgrades!$T$14="Open Cluster",POWER(Upgrades!$U$14,F219),1)*IF(Upgrades!$T$15="Open Cluster",POWER(Upgrades!$U$15,G219),1)*IF(Upgrades!$T$16="Open Cluster",POWER(Upgrades!$U$16,H219),1)*IF(Upgrades!$T$17="Open Cluster",POWER(Upgrades!$U$17,I219),1)*IF(Upgrades!$T$18="Open Cluster",POWER(Upgrades!$U$18,J219),1)*IF(Upgrades!$T$19="Open Cluster",POWER(Upgrades!$U$19,K219),1)*IF(Upgrades!$T$21="Open Cluster",POWER(Upgrades!$U$21,M219),1))+(IF(M219=0,0,(Upgrades!$M$21+M219*Upgrades!$N$21)*POWER(Upgrades!$O$21,M219)))*(IF(Upgrades!$T$13="Moving Group",POWER(Upgrades!$U$13,E219),1)*IF(Upgrades!$T$14="Moving Group",POWER(Upgrades!$U$14,F219),1)*IF(Upgrades!$T$15="Moving Group",POWER(Upgrades!$U$15,G219),1)*IF(Upgrades!$T$16="Moving Group",POWER(Upgrades!$U$16,H219),1)*IF(Upgrades!$T$17="Moving Group",POWER(Upgrades!$U$17,I219),1)*IF(Upgrades!$T$18="Moving Group",POWER(Upgrades!$U$18,J219),1)*IF(Upgrades!$T$19="Moving Group",POWER(Upgrades!$U$19,K219),1)*IF(Upgrades!$T$20="Moving Group",POWER(Upgrades!$U$20,L219),1)))*POWER(Upgrades!$R$13,E219)*POWER(Upgrades!$R$14,F219)*POWER(Upgrades!$R$15,G219)*POWER(Upgrades!$R$16,H219)*POWER(Upgrades!$R$17,I219)*POWER(Upgrades!$R$18,J219)*POWER(Upgrades!$R$19,K219)*POWER(Upgrades!$R$20,L219)*POWER(Upgrades!$R$21,M219)*$H$6+$E$6</f>
        <v/>
      </c>
      <c r="R219" s="27">
        <f>IF(N219=1,0,O219*Parameters!$B$10/60*Parameters!$B$11*10)</f>
        <v/>
      </c>
      <c r="S219" s="27">
        <f>IF(N219=1,0,Q219*O219*10)</f>
        <v/>
      </c>
      <c r="T219" s="27">
        <f>IF(N219=1,0,R219+S219+P219*10)</f>
        <v/>
      </c>
      <c r="U219" s="33">
        <f>BE219</f>
        <v/>
      </c>
      <c r="V219" s="22">
        <f>IF(U219="",0,IF(U219="transition",0,IF(U219="SK",AK219,IF(U219="LB",AL219,IF(U219="ML",AM219,IF(U219="RLO",AN219,IF(U219="BD",AO219,IF(U219="BiP",AP219,IF(U219="PV",AQ219,IF(U219="OC",AR219,IF(U219="MG",AS219,0))))))))))</f>
        <v/>
      </c>
      <c r="W219" s="27">
        <f>IF(U219="BiP",Upgrades!$F$18,IF(U219="PV",Upgrades!$F$19,IF(U219="OC",Upgrades!$F$20,IF(U219="MG",Upgrades!$F$21,IF(U219="transition",-Parameters!$B$18*Parameters!$B$19,0)))))</f>
        <v/>
      </c>
      <c r="X219" s="22">
        <f>C219+T219-V219</f>
        <v/>
      </c>
      <c r="Y219" s="30">
        <f>O219*Parameters!$B$10/60*Parameters!$B$11+Q219*O219+P219</f>
        <v/>
      </c>
      <c r="Z219" s="34">
        <f>IF(U219="transition","→ Tier 3 (Galactic Arm)",IF(U219="MG","Moving Group — pocket drifts together",IF(U219="OC","Open Cluster acquired",IF(U219="PV","Peculiar Velocity — passive multiplier active",IF(U219="BiP","Binary Partner — pair bond formed",IF(AND(AU219=1,N219=0,AT219&lt;&gt;1),"Cohesion ready (waiting on completionists)","")))))) </f>
        <v/>
      </c>
      <c r="AA219" s="27">
        <f>(IF(E219=0,0,(Upgrades!$G$13+E219*Upgrades!$H$13)*POWER(Upgrades!$I$13,E219)))*(IF(Upgrades!$T$14="Stellar Kinematics",POWER(Upgrades!$U$14,F219),1)*IF(Upgrades!$T$15="Stellar Kinematics",POWER(Upgrades!$U$15,G219),1)*IF(Upgrades!$T$16="Stellar Kinematics",POWER(Upgrades!$U$16,H219),1)*IF(Upgrades!$T$17="Stellar Kinematics",POWER(Upgrades!$U$17,I219),1)*IF(Upgrades!$T$18="Stellar Kinematics",POWER(Upgrades!$U$18,J219),1)*IF(Upgrades!$T$19="Stellar Kinematics",POWER(Upgrades!$U$19,K219),1)*IF(Upgrades!$T$20="Stellar Kinematics",POWER(Upgrades!$U$20,L219),1)*IF(Upgrades!$T$21="Stellar Kinematics",POWER(Upgrades!$U$21,M219),1))*POWER(Upgrades!$P$13,E219)*POWER(Upgrades!$P$14,F219)*POWER(Upgrades!$P$15,G219)*POWER(Upgrades!$P$16,H219)*POWER(Upgrades!$P$17,I219)*POWER(Upgrades!$P$18,J219)*POWER(Upgrades!$P$19,K219)*POWER(Upgrades!$P$20,L219)*POWER(Upgrades!$P$21,M219)*$F$6*60</f>
        <v/>
      </c>
      <c r="AB219" s="27">
        <f>(IF(F219=0,0,(Upgrades!$G$14+F219*Upgrades!$H$14)*POWER(Upgrades!$I$14,F219)))*(IF(Upgrades!$T$13="Local Bubble",POWER(Upgrades!$U$13,E219),1)*IF(Upgrades!$T$15="Local Bubble",POWER(Upgrades!$U$15,G219),1)*IF(Upgrades!$T$16="Local Bubble",POWER(Upgrades!$U$16,H219),1)*IF(Upgrades!$T$17="Local Bubble",POWER(Upgrades!$U$17,I219),1)*IF(Upgrades!$T$18="Local Bubble",POWER(Upgrades!$U$18,J219),1)*IF(Upgrades!$T$19="Local Bubble",POWER(Upgrades!$U$19,K219),1)*IF(Upgrades!$T$20="Local Bubble",POWER(Upgrades!$U$20,L219),1)*IF(Upgrades!$T$21="Local Bubble",POWER(Upgrades!$U$21,M219),1))*POWER(Upgrades!$P$13,E219)*POWER(Upgrades!$P$14,F219)*POWER(Upgrades!$P$15,G219)*POWER(Upgrades!$P$16,H219)*POWER(Upgrades!$P$17,I219)*POWER(Upgrades!$P$18,J219)*POWER(Upgrades!$P$19,K219)*POWER(Upgrades!$P$20,L219)*POWER(Upgrades!$P$21,M219)*$F$6*60</f>
        <v/>
      </c>
      <c r="AC219" s="27">
        <f>(IF(G219=0,0,(Upgrades!$J$15+G219*Upgrades!$K$15)*POWER(Upgrades!$L$15,G219)))*(IF(Upgrades!$T$13="Microlensing",POWER(Upgrades!$U$13,E219),1)*IF(Upgrades!$T$14="Microlensing",POWER(Upgrades!$U$14,F219),1)*IF(Upgrades!$T$16="Microlensing",POWER(Upgrades!$U$16,H219),1)*IF(Upgrades!$T$17="Microlensing",POWER(Upgrades!$U$17,I219),1)*IF(Upgrades!$T$18="Microlensing",POWER(Upgrades!$U$18,J219),1)*IF(Upgrades!$T$19="Microlensing",POWER(Upgrades!$U$19,K219),1)*IF(Upgrades!$T$20="Microlensing",POWER(Upgrades!$U$20,L219),1)*IF(Upgrades!$T$21="Microlensing",POWER(Upgrades!$U$21,M219),1))*POWER(Upgrades!$Q$13,E219)*POWER(Upgrades!$Q$14,F219)*POWER(Upgrades!$Q$15,G219)*POWER(Upgrades!$Q$16,H219)*POWER(Upgrades!$Q$17,I219)*POWER(Upgrades!$Q$18,J219)*POWER(Upgrades!$Q$19,K219)*POWER(Upgrades!$Q$20,L219)*POWER(Upgrades!$Q$21,M219)*$G$6*(Parameters!$B$10*Parameters!$B$11+Q219*60)</f>
        <v/>
      </c>
      <c r="AD219" s="27">
        <f>(IF(H219=0,0,(Upgrades!$M$16+H219*Upgrades!$N$16)*POWER(Upgrades!$O$16,H219)))*(IF(Upgrades!$T$13="Roche Lobe Overflow",POWER(Upgrades!$U$13,E219),1)*IF(Upgrades!$T$14="Roche Lobe Overflow",POWER(Upgrades!$U$14,F219),1)*IF(Upgrades!$T$15="Roche Lobe Overflow",POWER(Upgrades!$U$15,G219),1)*IF(Upgrades!$T$17="Roche Lobe Overflow",POWER(Upgrades!$U$17,I219),1)*IF(Upgrades!$T$18="Roche Lobe Overflow",POWER(Upgrades!$U$18,J219),1)*IF(Upgrades!$T$19="Roche Lobe Overflow",POWER(Upgrades!$U$19,K219),1)*IF(Upgrades!$T$20="Roche Lobe Overflow",POWER(Upgrades!$U$20,L219),1)*IF(Upgrades!$T$21="Roche Lobe Overflow",POWER(Upgrades!$U$21,M219),1))*POWER(Upgrades!$R$13,E219)*POWER(Upgrades!$R$14,F219)*POWER(Upgrades!$R$15,G219)*POWER(Upgrades!$R$16,H219)*POWER(Upgrades!$R$17,I219)*POWER(Upgrades!$R$18,J219)*POWER(Upgrades!$R$19,K219)*POWER(Upgrades!$R$20,L219)*POWER(Upgrades!$R$21,M219)*$H$6*O219*60</f>
        <v/>
      </c>
      <c r="AE219" s="27">
        <f>(IF(I219=0,0,(Upgrades!$G$17+I219*Upgrades!$H$17)*POWER(Upgrades!$I$17,I219)))*(IF(Upgrades!$T$13="Brown Dwarf",POWER(Upgrades!$U$13,E219),1)*IF(Upgrades!$T$14="Brown Dwarf",POWER(Upgrades!$U$14,F219),1)*IF(Upgrades!$T$15="Brown Dwarf",POWER(Upgrades!$U$15,G219),1)*IF(Upgrades!$T$16="Brown Dwarf",POWER(Upgrades!$U$16,H219),1)*IF(Upgrades!$T$18="Brown Dwarf",POWER(Upgrades!$U$18,J219),1)*IF(Upgrades!$T$19="Brown Dwarf",POWER(Upgrades!$U$19,K219),1)*IF(Upgrades!$T$20="Brown Dwarf",POWER(Upgrades!$U$20,L219),1)*IF(Upgrades!$T$21="Brown Dwarf",POWER(Upgrades!$U$21,M219),1))*POWER(Upgrades!$P$13,E219)*POWER(Upgrades!$P$14,F219)*POWER(Upgrades!$P$15,G219)*POWER(Upgrades!$P$16,H219)*POWER(Upgrades!$P$17,I219)*POWER(Upgrades!$P$18,J219)*POWER(Upgrades!$P$19,K219)*POWER(Upgrades!$P$20,L219)*POWER(Upgrades!$P$21,M219)*$F$6*60</f>
        <v/>
      </c>
      <c r="AF219" s="27" t="n">
        <v>0</v>
      </c>
      <c r="AG219" s="27" t="n">
        <v>0</v>
      </c>
      <c r="AH219" s="27" t="n">
        <v>0</v>
      </c>
      <c r="AI219" s="27">
        <f>(IF(M219=0,0,(Upgrades!$G$21+M219*Upgrades!$H$21)*POWER(Upgrades!$I$21,M219)))*(IF(Upgrades!$T$13="Moving Group",POWER(Upgrades!$U$13,E219),1)*IF(Upgrades!$T$14="Moving Group",POWER(Upgrades!$U$14,F219),1)*IF(Upgrades!$T$15="Moving Group",POWER(Upgrades!$U$15,G219),1)*IF(Upgrades!$T$16="Moving Group",POWER(Upgrades!$U$16,H219),1)*IF(Upgrades!$T$17="Moving Group",POWER(Upgrades!$U$17,I219),1)*IF(Upgrades!$T$18="Moving Group",POWER(Upgrades!$U$18,J219),1)*IF(Upgrades!$T$19="Moving Group",POWER(Upgrades!$U$19,K219),1)*IF(Upgrades!$T$20="Moving Group",POWER(Upgrades!$U$20,L219),1))*POWER(Upgrades!$P$13,E219)*POWER(Upgrades!$P$14,F219)*POWER(Upgrades!$P$15,G219)*POWER(Upgrades!$P$16,H219)*POWER(Upgrades!$P$17,I219)*POWER(Upgrades!$P$18,J219)*POWER(Upgrades!$P$19,K219)*POWER(Upgrades!$P$20,L219)*POWER(Upgrades!$P$21,M219)*$F$6*60</f>
        <v/>
      </c>
      <c r="AJ219" s="27">
        <f>$C$6*60</f>
        <v/>
      </c>
      <c r="AK219" s="22">
        <f>IF(E219&gt;=Upgrades!$E$13,"",Upgrades!$C$13*POWER(Upgrades!$D$13,E219))</f>
        <v/>
      </c>
      <c r="AL219" s="22">
        <f>IF(F219&gt;=Upgrades!$E$14,"",Upgrades!$C$14*POWER(Upgrades!$D$14,F219))</f>
        <v/>
      </c>
      <c r="AM219" s="22">
        <f>IF(G219&gt;=Upgrades!$E$15,"",Upgrades!$C$15*POWER(Upgrades!$D$15,G219))</f>
        <v/>
      </c>
      <c r="AN219" s="22">
        <f>IF(H219&gt;=Upgrades!$E$16,"",Upgrades!$C$16*POWER(Upgrades!$D$16,H219))</f>
        <v/>
      </c>
      <c r="AO219" s="22">
        <f>IF(I219&gt;=Upgrades!$E$17,"",Upgrades!$C$17*POWER(Upgrades!$D$17,I219))</f>
        <v/>
      </c>
      <c r="AP219" s="22">
        <f>IF(J219&gt;=Upgrades!$E$18,"",Upgrades!$C$18*POWER(Upgrades!$D$18,J219))</f>
        <v/>
      </c>
      <c r="AQ219" s="22">
        <f>IF(K219&gt;=Upgrades!$E$19,"",Upgrades!$C$19*POWER(Upgrades!$D$19,K219))</f>
        <v/>
      </c>
      <c r="AR219" s="22">
        <f>IF(L219&gt;=Upgrades!$E$20,"",Upgrades!$C$20*POWER(Upgrades!$D$20,L219))</f>
        <v/>
      </c>
      <c r="AS219" s="22">
        <f>IF(M219&gt;=Upgrades!$E$21,"",Upgrades!$C$21*POWER(Upgrades!$D$21,M219))</f>
        <v/>
      </c>
      <c r="AT219" s="26">
        <f>IF(AND(D219&gt;=Parameters!$B$18*Parameters!$B$19,(I219&gt;=Upgrades!$E$17)*(M219&gt;=Upgrades!$E$21)=1,N219=0),1,"")</f>
        <v/>
      </c>
      <c r="AU219" s="26">
        <f>IF(AND(D219&gt;=Parameters!$B$18*Parameters!$B$19,N219=0),1,"")</f>
        <v/>
      </c>
      <c r="AV219" s="22">
        <f>MIN(IF(ISNUMBER(AP219),AP219,9E15),IF(ISNUMBER(AQ219),AQ219,9E15),IF(ISNUMBER(AR219),AR219,9E15),IF(ISNUMBER(AS219),AS219,9E15))</f>
        <v/>
      </c>
      <c r="AW219" s="22">
        <f>MIN(IF(ISNUMBER(AK219),AK219,9E15),IF(ISNUMBER(AL219),AL219,9E15),IF(ISNUMBER(AM219),AM219,9E15),IF(ISNUMBER(AN219),AN219,9E15),IF(ISNUMBER(AO219),AO219,9E15))</f>
        <v/>
      </c>
      <c r="AX219" s="29">
        <f>IF(BD219&gt;Parameters!$B$21*(MAX(IF(AND(NOT(AND(AU219=1,AT219&lt;&gt;1)),ISNUMBER(AK219),AK219&lt;=(C219+T219)),AY219,0),IF(AND(NOT(AND(AU219=1,AT219&lt;&gt;1)),ISNUMBER(AL219),AL219&lt;=(C219+T219)),AZ219,0),IF(AND(NOT(AND(AU219=1,AT219&lt;&gt;1)),ISNUMBER(AM219),AM219&lt;=(C219+T219)),BA219,0),IF(AND(NOT(AND(AU219=1,AT219&lt;&gt;1)),ISNUMBER(AN219),AN219&lt;=(C219+T219)),BB219,0),IF(AND(ISNUMBER(AO219),AO219&lt;=(C219+T219)),BC219,0))),TRUE,FALSE)</f>
        <v/>
      </c>
      <c r="AY219" s="32">
        <f>IFERROR(Upgrades!$H$13*(POWER(Upgrades!$P$13,E219)*POWER(Upgrades!$P$14,F219)*POWER(Upgrades!$P$15,G219)*POWER(Upgrades!$P$16,H219)*POWER(Upgrades!$P$17,I219)*POWER(Upgrades!$P$18,J219)*POWER(Upgrades!$P$19,K219)*POWER(Upgrades!$P$20,L219)*POWER(Upgrades!$P$21,M219))*(IF(Upgrades!$T$14="Stellar Kinematics",POWER(Upgrades!$U$14,F219),1)*IF(Upgrades!$T$15="Stellar Kinematics",POWER(Upgrades!$U$15,G219),1)*IF(Upgrades!$T$16="Stellar Kinematics",POWER(Upgrades!$U$16,H219),1)*IF(Upgrades!$T$17="Stellar Kinematics",POWER(Upgrades!$U$17,I219),1)*IF(Upgrades!$T$18="Stellar Kinematics",POWER(Upgrades!$U$18,J219),1)*IF(Upgrades!$T$19="Stellar Kinematics",POWER(Upgrades!$U$19,K219),1)*IF(Upgrades!$T$20="Stellar Kinematics",POWER(Upgrades!$U$20,L219),1)*IF(Upgrades!$T$21="Stellar Kinematics",POWER(Upgrades!$U$21,M219),1))*$F$6/AK219,0)</f>
        <v/>
      </c>
      <c r="AZ219" s="32">
        <f>IFERROR(Upgrades!$H$14*(POWER(Upgrades!$P$13,E219)*POWER(Upgrades!$P$14,F219)*POWER(Upgrades!$P$15,G219)*POWER(Upgrades!$P$16,H219)*POWER(Upgrades!$P$17,I219)*POWER(Upgrades!$P$18,J219)*POWER(Upgrades!$P$19,K219)*POWER(Upgrades!$P$20,L219)*POWER(Upgrades!$P$21,M219))*(IF(Upgrades!$T$13="Local Bubble",POWER(Upgrades!$U$13,E219),1)*IF(Upgrades!$T$15="Local Bubble",POWER(Upgrades!$U$15,G219),1)*IF(Upgrades!$T$16="Local Bubble",POWER(Upgrades!$U$16,H219),1)*IF(Upgrades!$T$17="Local Bubble",POWER(Upgrades!$U$17,I219),1)*IF(Upgrades!$T$18="Local Bubble",POWER(Upgrades!$U$18,J219),1)*IF(Upgrades!$T$19="Local Bubble",POWER(Upgrades!$U$19,K219),1)*IF(Upgrades!$T$20="Local Bubble",POWER(Upgrades!$U$20,L219),1)*IF(Upgrades!$T$21="Local Bubble",POWER(Upgrades!$U$21,M219),1))*$F$6/AL219,0)</f>
        <v/>
      </c>
      <c r="BA219" s="32">
        <f>IFERROR(Upgrades!$K$15*(POWER(Upgrades!$Q$13,E219)*POWER(Upgrades!$Q$14,F219)*POWER(Upgrades!$Q$15,G219)*POWER(Upgrades!$Q$16,H219)*POWER(Upgrades!$Q$17,I219)*POWER(Upgrades!$Q$18,J219)*POWER(Upgrades!$Q$19,K219)*POWER(Upgrades!$Q$20,L219)*POWER(Upgrades!$Q$21,M219))*(IF(Upgrades!$T$13="Microlensing",POWER(Upgrades!$U$13,E219),1)*IF(Upgrades!$T$14="Microlensing",POWER(Upgrades!$U$14,F219),1)*IF(Upgrades!$T$16="Microlensing",POWER(Upgrades!$U$16,H219),1)*IF(Upgrades!$T$17="Microlensing",POWER(Upgrades!$U$17,I219),1)*IF(Upgrades!$T$18="Microlensing",POWER(Upgrades!$U$18,J219),1)*IF(Upgrades!$T$19="Microlensing",POWER(Upgrades!$U$19,K219),1)*IF(Upgrades!$T$20="Microlensing",POWER(Upgrades!$U$20,L219),1)*IF(Upgrades!$T$21="Microlensing",POWER(Upgrades!$U$21,M219),1))*$G$6*(Parameters!$B$10/60*Parameters!$B$11+Q219)/AM219,0)</f>
        <v/>
      </c>
      <c r="BB219" s="32">
        <f>IFERROR((Upgrades!$N$16*(POWER(Upgrades!$R$13,E219)*POWER(Upgrades!$R$14,F219)*POWER(Upgrades!$R$15,G219)*POWER(Upgrades!$R$16,H219)*POWER(Upgrades!$R$17,I219)*POWER(Upgrades!$R$18,J219)*POWER(Upgrades!$R$19,K219)*POWER(Upgrades!$R$20,L219)*POWER(Upgrades!$R$21,M219))*(IF(Upgrades!$T$13="Roche Lobe Overflow",POWER(Upgrades!$U$13,E219),1)*IF(Upgrades!$T$14="Roche Lobe Overflow",POWER(Upgrades!$U$14,F219),1)*IF(Upgrades!$T$15="Roche Lobe Overflow",POWER(Upgrades!$U$15,G219),1)*IF(Upgrades!$T$17="Roche Lobe Overflow",POWER(Upgrades!$U$17,I219),1)*IF(Upgrades!$T$18="Roche Lobe Overflow",POWER(Upgrades!$U$18,J219),1)*IF(Upgrades!$T$19="Roche Lobe Overflow",POWER(Upgrades!$U$19,K219),1)*IF(Upgrades!$T$20="Roche Lobe Overflow",POWER(Upgrades!$U$20,L219),1)*IF(Upgrades!$T$21="Roche Lobe Overflow",POWER(Upgrades!$U$21,M219),1))*$H$6*O219+((IF(F219=0,0,(Upgrades!$G$14+F219*Upgrades!$H$14)*POWER(Upgrades!$I$14,F219)))*(IF(Upgrades!$T$13="Local Bubble",POWER(Upgrades!$U$13,E219),1)*IF(Upgrades!$T$15="Local Bubble",POWER(Upgrades!$U$15,G219),1)*IF(Upgrades!$T$16="Local Bubble",POWER(Upgrades!$U$16,H219),1)*IF(Upgrades!$T$17="Local Bubble",POWER(Upgrades!$U$17,I219),1)*IF(Upgrades!$T$18="Local Bubble",POWER(Upgrades!$U$18,J219),1)*IF(Upgrades!$T$19="Local Bubble",POWER(Upgrades!$U$19,K219),1)*IF(Upgrades!$T$20="Local Bubble",POWER(Upgrades!$U$20,L219),1)*IF(Upgrades!$T$21="Local Bubble",POWER(Upgrades!$U$21,M219),1))*POWER(Upgrades!$P$13,E219)*POWER(Upgrades!$P$14,F219)*POWER(Upgrades!$P$15,G219)*POWER(Upgrades!$P$16,H219)*POWER(Upgrades!$P$17,I219)*POWER(Upgrades!$P$18,J219)*POWER(Upgrades!$P$19,K219)*POWER(Upgrades!$P$20,L219)*POWER(Upgrades!$P$21,M219)*$F$6)*0.05)/AN219,0)</f>
        <v/>
      </c>
      <c r="BC219" s="32">
        <f>IFERROR((Upgrades!$H$17*(POWER(Upgrades!$P$13,E219)*POWER(Upgrades!$P$14,F219)*POWER(Upgrades!$P$15,G219)*POWER(Upgrades!$P$16,H219)*POWER(Upgrades!$P$17,I219)*POWER(Upgrades!$P$18,J219)*POWER(Upgrades!$P$19,K219)*POWER(Upgrades!$P$20,L219)*POWER(Upgrades!$P$21,M219))*(IF(Upgrades!$T$13="Brown Dwarf",POWER(Upgrades!$U$13,E219),1)*IF(Upgrades!$T$14="Brown Dwarf",POWER(Upgrades!$U$14,F219),1)*IF(Upgrades!$T$15="Brown Dwarf",POWER(Upgrades!$U$15,G219),1)*IF(Upgrades!$T$16="Brown Dwarf",POWER(Upgrades!$U$16,H219),1)*IF(Upgrades!$T$18="Brown Dwarf",POWER(Upgrades!$U$18,J219),1)*IF(Upgrades!$T$19="Brown Dwarf",POWER(Upgrades!$U$19,K219),1)*IF(Upgrades!$T$20="Brown Dwarf",POWER(Upgrades!$U$20,L219),1)*IF(Upgrades!$T$21="Brown Dwarf",POWER(Upgrades!$U$21,M219),1))*$F$6+(((IF(H219=0,0,(Upgrades!$M$16+H219*Upgrades!$N$16)*POWER(Upgrades!$O$16,H219)))*(IF(Upgrades!$T$13="Roche Lobe Overflow",POWER(Upgrades!$U$13,E219),1)*IF(Upgrades!$T$14="Roche Lobe Overflow",POWER(Upgrades!$U$14,F219),1)*IF(Upgrades!$T$15="Roche Lobe Overflow",POWER(Upgrades!$U$15,G219),1)*IF(Upgrades!$T$17="Roche Lobe Overflow",POWER(Upgrades!$U$17,I219),1)*IF(Upgrades!$T$18="Roche Lobe Overflow",POWER(Upgrades!$U$18,J219),1)*IF(Upgrades!$T$19="Roche Lobe Overflow",POWER(Upgrades!$U$19,K219),1)*IF(Upgrades!$T$20="Roche Lobe Overflow",POWER(Upgrades!$U$20,L219),1)*IF(Upgrades!$T$21="Roche Lobe Overflow",POWER(Upgrades!$U$21,M219),1))*POWER(Upgrades!$R$13,E219)*POWER(Upgrades!$R$14,F219)*POWER(Upgrades!$R$15,G219)*POWER(Upgrades!$R$16,H219)*POWER(Upgrades!$R$17,I219)*POWER(Upgrades!$R$18,J219)*POWER(Upgrades!$R$19,K219)*POWER(Upgrades!$R$20,L219)*POWER(Upgrades!$R$21,M219)*$H$6)*O219)*0.10)/AO219,0)</f>
        <v/>
      </c>
      <c r="BD219" s="32">
        <f>MAX(IF(J219&gt;0,0,IFERROR(0.5*((IF(G219=0,0,(Upgrades!$J$15+G219*Upgrades!$K$15)*POWER(Upgrades!$L$15,G219)))*(IF(Upgrades!$T$13="Microlensing",POWER(Upgrades!$U$13,E219),1)*IF(Upgrades!$T$14="Microlensing",POWER(Upgrades!$U$14,F219),1)*IF(Upgrades!$T$16="Microlensing",POWER(Upgrades!$U$16,H219),1)*IF(Upgrades!$T$17="Microlensing",POWER(Upgrades!$U$17,I219),1)*IF(Upgrades!$T$18="Microlensing",POWER(Upgrades!$U$18,J219),1)*IF(Upgrades!$T$19="Microlensing",POWER(Upgrades!$U$19,K219),1)*IF(Upgrades!$T$20="Microlensing",POWER(Upgrades!$U$20,L219),1)*IF(Upgrades!$T$21="Microlensing",POWER(Upgrades!$U$21,M219),1))*(POWER(Upgrades!$Q$13,E219)*POWER(Upgrades!$Q$14,F219)*POWER(Upgrades!$Q$15,G219)*POWER(Upgrades!$Q$16,H219)*POWER(Upgrades!$Q$17,I219)*POWER(Upgrades!$Q$18,J219)*POWER(Upgrades!$Q$19,K219)*POWER(Upgrades!$Q$20,L219)*POWER(Upgrades!$Q$21,M219))*$G$6*(Parameters!$B$10/60*Parameters!$B$11+Q219))/Upgrades!$C$18,0)),IF(K219&gt;0,0,IFERROR(0.30*P219/Upgrades!$C$19,0)),IF(L219&gt;0,0,IFERROR(0.0001/Upgrades!$C$20,0)),IF(M219&gt;0,0,IFERROR((6.0*(POWER(Upgrades!$P$13,E219)*POWER(Upgrades!$P$14,F219)*POWER(Upgrades!$P$15,G219)*POWER(Upgrades!$P$16,H219)*POWER(Upgrades!$P$17,I219)*POWER(Upgrades!$P$18,J219)*POWER(Upgrades!$P$19,K219)*POWER(Upgrades!$P$20,L219)*POWER(Upgrades!$P$21,M219))*$F$6+0.20*O219*(Parameters!$B$10/60*Parameters!$B$11+Q219))/Upgrades!$C$21,0)),IF(AND(ISNUMBER(AK219),AK219&gt;(C219+T219)),AY219,0),IF(AND(ISNUMBER(AL219),AL219&gt;(C219+T219)),AZ219,0),IF(AND(ISNUMBER(AM219),AM219&gt;(C219+T219)),BA219,0),IF(AND(ISNUMBER(AN219),AN219&gt;(C219+T219)),BB219,0),IF(AND(ISNUMBER(AO219),AO219&gt;(C219+T219)),BC219,0))</f>
        <v/>
      </c>
      <c r="BE219" s="29">
        <f>IF(AT219=1,"transition",IF(MIN(IF(AND(J219=0,ISNUMBER(AP219),AP219&lt;=(C219+T219)),AP219,9E15),IF(AND(K219=0,ISNUMBER(AQ219),AQ219&lt;=(C219+T219)),AQ219,9E15),IF(AND(L219=0,ISNUMBER(AR219),AR219&lt;=(C219+T219)),AR219,9E15),IF(AND(M219=0,ISNUMBER(AS219),AS219&lt;=(C219+T219)),AS219,9E15))&lt;9E15,IF(AND(AND(J219=0,ISNUMBER(AP219),AP219&lt;=(C219+T219)),AP219=MIN(IF(AND(J219=0,ISNUMBER(AP219),AP219&lt;=(C219+T219)),AP219,9E15),IF(AND(K219=0,ISNUMBER(AQ219),AQ219&lt;=(C219+T219)),AQ219,9E15),IF(AND(L219=0,ISNUMBER(AR219),AR219&lt;=(C219+T219)),AR219,9E15),IF(AND(M219=0,ISNUMBER(AS219),AS219&lt;=(C219+T219)),AS219,9E15))),"BiP",IF(AND(AND(K219=0,ISNUMBER(AQ219),AQ219&lt;=(C219+T219)),AQ219=MIN(IF(AND(J219=0,ISNUMBER(AP219),AP219&lt;=(C219+T219)),AP219,9E15),IF(AND(K219=0,ISNUMBER(AQ219),AQ219&lt;=(C219+T219)),AQ219,9E15),IF(AND(L219=0,ISNUMBER(AR219),AR219&lt;=(C219+T219)),AR219,9E15),IF(AND(M219=0,ISNUMBER(AS219),AS219&lt;=(C219+T219)),AS219,9E15))),"PV",IF(AND(AND(L219=0,ISNUMBER(AR219),AR219&lt;=(C219+T219)),AR219=MIN(IF(AND(J219=0,ISNUMBER(AP219),AP219&lt;=(C219+T219)),AP219,9E15),IF(AND(K219=0,ISNUMBER(AQ219),AQ219&lt;=(C219+T219)),AQ219,9E15),IF(AND(L219=0,ISNUMBER(AR219),AR219&lt;=(C219+T219)),AR219,9E15),IF(AND(M219=0,ISNUMBER(AS219),AS219&lt;=(C219+T219)),AS219,9E15))),"OC","MG"))),IF(AX219=TRUE,"",IF(MAX(IF(AND(NOT(AND(AU219=1,AT219&lt;&gt;1)),ISNUMBER(AK219),AK219&lt;=(C219+T219)),AY219,0),IF(AND(NOT(AND(AU219=1,AT219&lt;&gt;1)),ISNUMBER(AL219),AL219&lt;=(C219+T219)),AZ219,0),IF(AND(NOT(AND(AU219=1,AT219&lt;&gt;1)),ISNUMBER(AM219),AM219&lt;=(C219+T219)),BA219,0),IF(AND(NOT(AND(AU219=1,AT219&lt;&gt;1)),ISNUMBER(AN219),AN219&lt;=(C219+T219)),BB219,0),IF(AND(ISNUMBER(AO219),AO219&lt;=(C219+T219)),BC219,0))&lt;=0,"",IF(AND(IF(AND(NOT(AND(AU219=1,AT219&lt;&gt;1)),ISNUMBER(AK219),AK219&lt;=(C219+T219)),AY219,0)&gt;0,IF(AND(NOT(AND(AU219=1,AT219&lt;&gt;1)),ISNUMBER(AK219),AK219&lt;=(C219+T219)),AY219,0)=MAX(IF(AND(NOT(AND(AU219=1,AT219&lt;&gt;1)),ISNUMBER(AK219),AK219&lt;=(C219+T219)),AY219,0),IF(AND(NOT(AND(AU219=1,AT219&lt;&gt;1)),ISNUMBER(AL219),AL219&lt;=(C219+T219)),AZ219,0),IF(AND(NOT(AND(AU219=1,AT219&lt;&gt;1)),ISNUMBER(AM219),AM219&lt;=(C219+T219)),BA219,0),IF(AND(NOT(AND(AU219=1,AT219&lt;&gt;1)),ISNUMBER(AN219),AN219&lt;=(C219+T219)),BB219,0),IF(AND(ISNUMBER(AO219),AO219&lt;=(C219+T219)),BC219,0))),"SK",IF(AND(IF(AND(NOT(AND(AU219=1,AT219&lt;&gt;1)),ISNUMBER(AL219),AL219&lt;=(C219+T219)),AZ219,0)&gt;0,IF(AND(NOT(AND(AU219=1,AT219&lt;&gt;1)),ISNUMBER(AL219),AL219&lt;=(C219+T219)),AZ219,0)=MAX(IF(AND(NOT(AND(AU219=1,AT219&lt;&gt;1)),ISNUMBER(AK219),AK219&lt;=(C219+T219)),AY219,0),IF(AND(NOT(AND(AU219=1,AT219&lt;&gt;1)),ISNUMBER(AL219),AL219&lt;=(C219+T219)),AZ219,0),IF(AND(NOT(AND(AU219=1,AT219&lt;&gt;1)),ISNUMBER(AM219),AM219&lt;=(C219+T219)),BA219,0),IF(AND(NOT(AND(AU219=1,AT219&lt;&gt;1)),ISNUMBER(AN219),AN219&lt;=(C219+T219)),BB219,0),IF(AND(ISNUMBER(AO219),AO219&lt;=(C219+T219)),BC219,0))),"LB",IF(AND(IF(AND(NOT(AND(AU219=1,AT219&lt;&gt;1)),ISNUMBER(AM219),AM219&lt;=(C219+T219)),BA219,0)&gt;0,IF(AND(NOT(AND(AU219=1,AT219&lt;&gt;1)),ISNUMBER(AM219),AM219&lt;=(C219+T219)),BA219,0)=MAX(IF(AND(NOT(AND(AU219=1,AT219&lt;&gt;1)),ISNUMBER(AK219),AK219&lt;=(C219+T219)),AY219,0),IF(AND(NOT(AND(AU219=1,AT219&lt;&gt;1)),ISNUMBER(AL219),AL219&lt;=(C219+T219)),AZ219,0),IF(AND(NOT(AND(AU219=1,AT219&lt;&gt;1)),ISNUMBER(AM219),AM219&lt;=(C219+T219)),BA219,0),IF(AND(NOT(AND(AU219=1,AT219&lt;&gt;1)),ISNUMBER(AN219),AN219&lt;=(C219+T219)),BB219,0),IF(AND(ISNUMBER(AO219),AO219&lt;=(C219+T219)),BC219,0))),"ML",IF(AND(IF(AND(NOT(AND(AU219=1,AT219&lt;&gt;1)),ISNUMBER(AN219),AN219&lt;=(C219+T219)),BB219,0)&gt;0,IF(AND(NOT(AND(AU219=1,AT219&lt;&gt;1)),ISNUMBER(AN219),AN219&lt;=(C219+T219)),BB219,0)=MAX(IF(AND(NOT(AND(AU219=1,AT219&lt;&gt;1)),ISNUMBER(AK219),AK219&lt;=(C219+T219)),AY219,0),IF(AND(NOT(AND(AU219=1,AT219&lt;&gt;1)),ISNUMBER(AL219),AL219&lt;=(C219+T219)),AZ219,0),IF(AND(NOT(AND(AU219=1,AT219&lt;&gt;1)),ISNUMBER(AM219),AM219&lt;=(C219+T219)),BA219,0),IF(AND(NOT(AND(AU219=1,AT219&lt;&gt;1)),ISNUMBER(AN219),AN219&lt;=(C219+T219)),BB219,0),IF(AND(ISNUMBER(AO219),AO219&lt;=(C219+T219)),BC219,0))),"RLO","BD"))))))))</f>
        <v/>
      </c>
    </row>
    <row r="220">
      <c r="A220" s="26" t="n">
        <v>209</v>
      </c>
      <c r="B220" s="27">
        <f>A220*10/60</f>
        <v/>
      </c>
      <c r="C220" s="22">
        <f>X219</f>
        <v/>
      </c>
      <c r="D220" s="27">
        <f>D219+W219</f>
        <v/>
      </c>
      <c r="E220" s="26">
        <f>E219+IF(U219="SK",1,0)</f>
        <v/>
      </c>
      <c r="F220" s="26">
        <f>F219+IF(U219="LB",1,0)</f>
        <v/>
      </c>
      <c r="G220" s="26">
        <f>G219+IF(U219="ML",1,0)</f>
        <v/>
      </c>
      <c r="H220" s="26">
        <f>H219+IF(U219="RLO",1,0)</f>
        <v/>
      </c>
      <c r="I220" s="26">
        <f>I219+IF(U219="BD",1,0)</f>
        <v/>
      </c>
      <c r="J220" s="26">
        <f>MAX(J219,IF(U219="BiP",1,0))</f>
        <v/>
      </c>
      <c r="K220" s="26">
        <f>MAX(K219,IF(U219="PV",1,0))</f>
        <v/>
      </c>
      <c r="L220" s="26">
        <f>MAX(L219,IF(U219="OC",1,0))</f>
        <v/>
      </c>
      <c r="M220" s="26">
        <f>MAX(M219,IF(U219="MG",1,0))</f>
        <v/>
      </c>
      <c r="N220" s="26">
        <f>MAX(N219,IF(U219="transition",1,0))</f>
        <v/>
      </c>
      <c r="O220" s="28">
        <f>(Parameters!$B$9+(IF(E220=0,0,(Upgrades!$J$13+E220*Upgrades!$K$13)*POWER(Upgrades!$L$13,E220)))*(IF(Upgrades!$T$14="Stellar Kinematics",POWER(Upgrades!$U$14,F220),1)*IF(Upgrades!$T$15="Stellar Kinematics",POWER(Upgrades!$U$15,G220),1)*IF(Upgrades!$T$16="Stellar Kinematics",POWER(Upgrades!$U$16,H220),1)*IF(Upgrades!$T$17="Stellar Kinematics",POWER(Upgrades!$U$17,I220),1)*IF(Upgrades!$T$18="Stellar Kinematics",POWER(Upgrades!$U$18,J220),1)*IF(Upgrades!$T$19="Stellar Kinematics",POWER(Upgrades!$U$19,K220),1)*IF(Upgrades!$T$20="Stellar Kinematics",POWER(Upgrades!$U$20,L220),1)*IF(Upgrades!$T$21="Stellar Kinematics",POWER(Upgrades!$U$21,M220),1))+(IF(F220=0,0,(Upgrades!$J$14+F220*Upgrades!$K$14)*POWER(Upgrades!$L$14,F220)))*(IF(Upgrades!$T$13="Local Bubble",POWER(Upgrades!$U$13,E220),1)*IF(Upgrades!$T$15="Local Bubble",POWER(Upgrades!$U$15,G220),1)*IF(Upgrades!$T$16="Local Bubble",POWER(Upgrades!$U$16,H220),1)*IF(Upgrades!$T$17="Local Bubble",POWER(Upgrades!$U$17,I220),1)*IF(Upgrades!$T$18="Local Bubble",POWER(Upgrades!$U$18,J220),1)*IF(Upgrades!$T$19="Local Bubble",POWER(Upgrades!$U$19,K220),1)*IF(Upgrades!$T$20="Local Bubble",POWER(Upgrades!$U$20,L220),1)*IF(Upgrades!$T$21="Local Bubble",POWER(Upgrades!$U$21,M220),1))+(IF(G220=0,0,(Upgrades!$J$15+G220*Upgrades!$K$15)*POWER(Upgrades!$L$15,G220)))*(IF(Upgrades!$T$13="Microlensing",POWER(Upgrades!$U$13,E220),1)*IF(Upgrades!$T$14="Microlensing",POWER(Upgrades!$U$14,F220),1)*IF(Upgrades!$T$16="Microlensing",POWER(Upgrades!$U$16,H220),1)*IF(Upgrades!$T$17="Microlensing",POWER(Upgrades!$U$17,I220),1)*IF(Upgrades!$T$18="Microlensing",POWER(Upgrades!$U$18,J220),1)*IF(Upgrades!$T$19="Microlensing",POWER(Upgrades!$U$19,K220),1)*IF(Upgrades!$T$20="Microlensing",POWER(Upgrades!$U$20,L220),1)*IF(Upgrades!$T$21="Microlensing",POWER(Upgrades!$U$21,M220),1))+(IF(H220=0,0,(Upgrades!$J$16+H220*Upgrades!$K$16)*POWER(Upgrades!$L$16,H220)))*(IF(Upgrades!$T$13="Roche Lobe Overflow",POWER(Upgrades!$U$13,E220),1)*IF(Upgrades!$T$14="Roche Lobe Overflow",POWER(Upgrades!$U$14,F220),1)*IF(Upgrades!$T$15="Roche Lobe Overflow",POWER(Upgrades!$U$15,G220),1)*IF(Upgrades!$T$17="Roche Lobe Overflow",POWER(Upgrades!$U$17,I220),1)*IF(Upgrades!$T$18="Roche Lobe Overflow",POWER(Upgrades!$U$18,J220),1)*IF(Upgrades!$T$19="Roche Lobe Overflow",POWER(Upgrades!$U$19,K220),1)*IF(Upgrades!$T$20="Roche Lobe Overflow",POWER(Upgrades!$U$20,L220),1)*IF(Upgrades!$T$21="Roche Lobe Overflow",POWER(Upgrades!$U$21,M220),1))+(IF(I220=0,0,(Upgrades!$J$17+I220*Upgrades!$K$17)*POWER(Upgrades!$L$17,I220)))*(IF(Upgrades!$T$13="Brown Dwarf",POWER(Upgrades!$U$13,E220),1)*IF(Upgrades!$T$14="Brown Dwarf",POWER(Upgrades!$U$14,F220),1)*IF(Upgrades!$T$15="Brown Dwarf",POWER(Upgrades!$U$15,G220),1)*IF(Upgrades!$T$16="Brown Dwarf",POWER(Upgrades!$U$16,H220),1)*IF(Upgrades!$T$18="Brown Dwarf",POWER(Upgrades!$U$18,J220),1)*IF(Upgrades!$T$19="Brown Dwarf",POWER(Upgrades!$U$19,K220),1)*IF(Upgrades!$T$20="Brown Dwarf",POWER(Upgrades!$U$20,L220),1)*IF(Upgrades!$T$21="Brown Dwarf",POWER(Upgrades!$U$21,M220),1))+(IF(J220=0,0,(Upgrades!$J$18+J220*Upgrades!$K$18)*POWER(Upgrades!$L$18,J220)))*(IF(Upgrades!$T$13="Binary Partner",POWER(Upgrades!$U$13,E220),1)*IF(Upgrades!$T$14="Binary Partner",POWER(Upgrades!$U$14,F220),1)*IF(Upgrades!$T$15="Binary Partner",POWER(Upgrades!$U$15,G220),1)*IF(Upgrades!$T$16="Binary Partner",POWER(Upgrades!$U$16,H220),1)*IF(Upgrades!$T$17="Binary Partner",POWER(Upgrades!$U$17,I220),1)*IF(Upgrades!$T$19="Binary Partner",POWER(Upgrades!$U$19,K220),1)*IF(Upgrades!$T$20="Binary Partner",POWER(Upgrades!$U$20,L220),1)*IF(Upgrades!$T$21="Binary Partner",POWER(Upgrades!$U$21,M220),1))+(IF(K220=0,0,(Upgrades!$J$19+K220*Upgrades!$K$19)*POWER(Upgrades!$L$19,K220)))*(IF(Upgrades!$T$13="Peculiar Velocity",POWER(Upgrades!$U$13,E220),1)*IF(Upgrades!$T$14="Peculiar Velocity",POWER(Upgrades!$U$14,F220),1)*IF(Upgrades!$T$15="Peculiar Velocity",POWER(Upgrades!$U$15,G220),1)*IF(Upgrades!$T$16="Peculiar Velocity",POWER(Upgrades!$U$16,H220),1)*IF(Upgrades!$T$17="Peculiar Velocity",POWER(Upgrades!$U$17,I220),1)*IF(Upgrades!$T$18="Peculiar Velocity",POWER(Upgrades!$U$18,J220),1)*IF(Upgrades!$T$20="Peculiar Velocity",POWER(Upgrades!$U$20,L220),1)*IF(Upgrades!$T$21="Peculiar Velocity",POWER(Upgrades!$U$21,M220),1))+(IF(L220=0,0,(Upgrades!$J$20+L220*Upgrades!$K$20)*POWER(Upgrades!$L$20,L220)))*(IF(Upgrades!$T$13="Open Cluster",POWER(Upgrades!$U$13,E220),1)*IF(Upgrades!$T$14="Open Cluster",POWER(Upgrades!$U$14,F220),1)*IF(Upgrades!$T$15="Open Cluster",POWER(Upgrades!$U$15,G220),1)*IF(Upgrades!$T$16="Open Cluster",POWER(Upgrades!$U$16,H220),1)*IF(Upgrades!$T$17="Open Cluster",POWER(Upgrades!$U$17,I220),1)*IF(Upgrades!$T$18="Open Cluster",POWER(Upgrades!$U$18,J220),1)*IF(Upgrades!$T$19="Open Cluster",POWER(Upgrades!$U$19,K220),1)*IF(Upgrades!$T$21="Open Cluster",POWER(Upgrades!$U$21,M220),1))+(IF(M220=0,0,(Upgrades!$J$21+M220*Upgrades!$K$21)*POWER(Upgrades!$L$21,M220)))*(IF(Upgrades!$T$13="Moving Group",POWER(Upgrades!$U$13,E220),1)*IF(Upgrades!$T$14="Moving Group",POWER(Upgrades!$U$14,F220),1)*IF(Upgrades!$T$15="Moving Group",POWER(Upgrades!$U$15,G220),1)*IF(Upgrades!$T$16="Moving Group",POWER(Upgrades!$U$16,H220),1)*IF(Upgrades!$T$17="Moving Group",POWER(Upgrades!$U$17,I220),1)*IF(Upgrades!$T$18="Moving Group",POWER(Upgrades!$U$18,J220),1)*IF(Upgrades!$T$19="Moving Group",POWER(Upgrades!$U$19,K220),1)*IF(Upgrades!$T$20="Moving Group",POWER(Upgrades!$U$20,L220),1)))*POWER(Upgrades!$Q$13,E220)*POWER(Upgrades!$Q$14,F220)*POWER(Upgrades!$Q$15,G220)*POWER(Upgrades!$Q$16,H220)*POWER(Upgrades!$Q$17,I220)*POWER(Upgrades!$Q$18,J220)*POWER(Upgrades!$Q$19,K220)*POWER(Upgrades!$Q$20,L220)*POWER(Upgrades!$Q$21,M220)*$G$6+$D$6</f>
        <v/>
      </c>
      <c r="P220" s="28">
        <f>((IF(E220=0,0,(Upgrades!$G$13+E220*Upgrades!$H$13)*POWER(Upgrades!$I$13,E220)))*(IF(Upgrades!$T$14="Stellar Kinematics",POWER(Upgrades!$U$14,F220),1)*IF(Upgrades!$T$15="Stellar Kinematics",POWER(Upgrades!$U$15,G220),1)*IF(Upgrades!$T$16="Stellar Kinematics",POWER(Upgrades!$U$16,H220),1)*IF(Upgrades!$T$17="Stellar Kinematics",POWER(Upgrades!$U$17,I220),1)*IF(Upgrades!$T$18="Stellar Kinematics",POWER(Upgrades!$U$18,J220),1)*IF(Upgrades!$T$19="Stellar Kinematics",POWER(Upgrades!$U$19,K220),1)*IF(Upgrades!$T$20="Stellar Kinematics",POWER(Upgrades!$U$20,L220),1)*IF(Upgrades!$T$21="Stellar Kinematics",POWER(Upgrades!$U$21,M220),1))+(IF(F220=0,0,(Upgrades!$G$14+F220*Upgrades!$H$14)*POWER(Upgrades!$I$14,F220)))*(IF(Upgrades!$T$13="Local Bubble",POWER(Upgrades!$U$13,E220),1)*IF(Upgrades!$T$15="Local Bubble",POWER(Upgrades!$U$15,G220),1)*IF(Upgrades!$T$16="Local Bubble",POWER(Upgrades!$U$16,H220),1)*IF(Upgrades!$T$17="Local Bubble",POWER(Upgrades!$U$17,I220),1)*IF(Upgrades!$T$18="Local Bubble",POWER(Upgrades!$U$18,J220),1)*IF(Upgrades!$T$19="Local Bubble",POWER(Upgrades!$U$19,K220),1)*IF(Upgrades!$T$20="Local Bubble",POWER(Upgrades!$U$20,L220),1)*IF(Upgrades!$T$21="Local Bubble",POWER(Upgrades!$U$21,M220),1))+(IF(G220=0,0,(Upgrades!$G$15+G220*Upgrades!$H$15)*POWER(Upgrades!$I$15,G220)))*(IF(Upgrades!$T$13="Microlensing",POWER(Upgrades!$U$13,E220),1)*IF(Upgrades!$T$14="Microlensing",POWER(Upgrades!$U$14,F220),1)*IF(Upgrades!$T$16="Microlensing",POWER(Upgrades!$U$16,H220),1)*IF(Upgrades!$T$17="Microlensing",POWER(Upgrades!$U$17,I220),1)*IF(Upgrades!$T$18="Microlensing",POWER(Upgrades!$U$18,J220),1)*IF(Upgrades!$T$19="Microlensing",POWER(Upgrades!$U$19,K220),1)*IF(Upgrades!$T$20="Microlensing",POWER(Upgrades!$U$20,L220),1)*IF(Upgrades!$T$21="Microlensing",POWER(Upgrades!$U$21,M220),1))+(IF(H220=0,0,(Upgrades!$G$16+H220*Upgrades!$H$16)*POWER(Upgrades!$I$16,H220)))*(IF(Upgrades!$T$13="Roche Lobe Overflow",POWER(Upgrades!$U$13,E220),1)*IF(Upgrades!$T$14="Roche Lobe Overflow",POWER(Upgrades!$U$14,F220),1)*IF(Upgrades!$T$15="Roche Lobe Overflow",POWER(Upgrades!$U$15,G220),1)*IF(Upgrades!$T$17="Roche Lobe Overflow",POWER(Upgrades!$U$17,I220),1)*IF(Upgrades!$T$18="Roche Lobe Overflow",POWER(Upgrades!$U$18,J220),1)*IF(Upgrades!$T$19="Roche Lobe Overflow",POWER(Upgrades!$U$19,K220),1)*IF(Upgrades!$T$20="Roche Lobe Overflow",POWER(Upgrades!$U$20,L220),1)*IF(Upgrades!$T$21="Roche Lobe Overflow",POWER(Upgrades!$U$21,M220),1))+(IF(I220=0,0,(Upgrades!$G$17+I220*Upgrades!$H$17)*POWER(Upgrades!$I$17,I220)))*(IF(Upgrades!$T$13="Brown Dwarf",POWER(Upgrades!$U$13,E220),1)*IF(Upgrades!$T$14="Brown Dwarf",POWER(Upgrades!$U$14,F220),1)*IF(Upgrades!$T$15="Brown Dwarf",POWER(Upgrades!$U$15,G220),1)*IF(Upgrades!$T$16="Brown Dwarf",POWER(Upgrades!$U$16,H220),1)*IF(Upgrades!$T$18="Brown Dwarf",POWER(Upgrades!$U$18,J220),1)*IF(Upgrades!$T$19="Brown Dwarf",POWER(Upgrades!$U$19,K220),1)*IF(Upgrades!$T$20="Brown Dwarf",POWER(Upgrades!$U$20,L220),1)*IF(Upgrades!$T$21="Brown Dwarf",POWER(Upgrades!$U$21,M220),1))+(IF(J220=0,0,(Upgrades!$G$18+J220*Upgrades!$H$18)*POWER(Upgrades!$I$18,J220)))*(IF(Upgrades!$T$13="Binary Partner",POWER(Upgrades!$U$13,E220),1)*IF(Upgrades!$T$14="Binary Partner",POWER(Upgrades!$U$14,F220),1)*IF(Upgrades!$T$15="Binary Partner",POWER(Upgrades!$U$15,G220),1)*IF(Upgrades!$T$16="Binary Partner",POWER(Upgrades!$U$16,H220),1)*IF(Upgrades!$T$17="Binary Partner",POWER(Upgrades!$U$17,I220),1)*IF(Upgrades!$T$19="Binary Partner",POWER(Upgrades!$U$19,K220),1)*IF(Upgrades!$T$20="Binary Partner",POWER(Upgrades!$U$20,L220),1)*IF(Upgrades!$T$21="Binary Partner",POWER(Upgrades!$U$21,M220),1))+(IF(K220=0,0,(Upgrades!$G$19+K220*Upgrades!$H$19)*POWER(Upgrades!$I$19,K220)))*(IF(Upgrades!$T$13="Peculiar Velocity",POWER(Upgrades!$U$13,E220),1)*IF(Upgrades!$T$14="Peculiar Velocity",POWER(Upgrades!$U$14,F220),1)*IF(Upgrades!$T$15="Peculiar Velocity",POWER(Upgrades!$U$15,G220),1)*IF(Upgrades!$T$16="Peculiar Velocity",POWER(Upgrades!$U$16,H220),1)*IF(Upgrades!$T$17="Peculiar Velocity",POWER(Upgrades!$U$17,I220),1)*IF(Upgrades!$T$18="Peculiar Velocity",POWER(Upgrades!$U$18,J220),1)*IF(Upgrades!$T$20="Peculiar Velocity",POWER(Upgrades!$U$20,L220),1)*IF(Upgrades!$T$21="Peculiar Velocity",POWER(Upgrades!$U$21,M220),1))+(IF(L220=0,0,(Upgrades!$G$20+L220*Upgrades!$H$20)*POWER(Upgrades!$I$20,L220)))*(IF(Upgrades!$T$13="Open Cluster",POWER(Upgrades!$U$13,E220),1)*IF(Upgrades!$T$14="Open Cluster",POWER(Upgrades!$U$14,F220),1)*IF(Upgrades!$T$15="Open Cluster",POWER(Upgrades!$U$15,G220),1)*IF(Upgrades!$T$16="Open Cluster",POWER(Upgrades!$U$16,H220),1)*IF(Upgrades!$T$17="Open Cluster",POWER(Upgrades!$U$17,I220),1)*IF(Upgrades!$T$18="Open Cluster",POWER(Upgrades!$U$18,J220),1)*IF(Upgrades!$T$19="Open Cluster",POWER(Upgrades!$U$19,K220),1)*IF(Upgrades!$T$21="Open Cluster",POWER(Upgrades!$U$21,M220),1))+(IF(M220=0,0,(Upgrades!$G$21+M220*Upgrades!$H$21)*POWER(Upgrades!$I$21,M220)))*(IF(Upgrades!$T$13="Moving Group",POWER(Upgrades!$U$13,E220),1)*IF(Upgrades!$T$14="Moving Group",POWER(Upgrades!$U$14,F220),1)*IF(Upgrades!$T$15="Moving Group",POWER(Upgrades!$U$15,G220),1)*IF(Upgrades!$T$16="Moving Group",POWER(Upgrades!$U$16,H220),1)*IF(Upgrades!$T$17="Moving Group",POWER(Upgrades!$U$17,I220),1)*IF(Upgrades!$T$18="Moving Group",POWER(Upgrades!$U$18,J220),1)*IF(Upgrades!$T$19="Moving Group",POWER(Upgrades!$U$19,K220),1)*IF(Upgrades!$T$20="Moving Group",POWER(Upgrades!$U$20,L220),1)))*POWER(Upgrades!$P$13,E220)*POWER(Upgrades!$P$14,F220)*POWER(Upgrades!$P$15,G220)*POWER(Upgrades!$P$16,H220)*POWER(Upgrades!$P$17,I220)*POWER(Upgrades!$P$18,J220)*POWER(Upgrades!$P$19,K220)*POWER(Upgrades!$P$20,L220)*POWER(Upgrades!$P$21,M220)*$F$6+$C$6</f>
        <v/>
      </c>
      <c r="Q220" s="28">
        <f>((IF(E220=0,0,(Upgrades!$M$13+E220*Upgrades!$N$13)*POWER(Upgrades!$O$13,E220)))*(IF(Upgrades!$T$14="Stellar Kinematics",POWER(Upgrades!$U$14,F220),1)*IF(Upgrades!$T$15="Stellar Kinematics",POWER(Upgrades!$U$15,G220),1)*IF(Upgrades!$T$16="Stellar Kinematics",POWER(Upgrades!$U$16,H220),1)*IF(Upgrades!$T$17="Stellar Kinematics",POWER(Upgrades!$U$17,I220),1)*IF(Upgrades!$T$18="Stellar Kinematics",POWER(Upgrades!$U$18,J220),1)*IF(Upgrades!$T$19="Stellar Kinematics",POWER(Upgrades!$U$19,K220),1)*IF(Upgrades!$T$20="Stellar Kinematics",POWER(Upgrades!$U$20,L220),1)*IF(Upgrades!$T$21="Stellar Kinematics",POWER(Upgrades!$U$21,M220),1))+(IF(F220=0,0,(Upgrades!$M$14+F220*Upgrades!$N$14)*POWER(Upgrades!$O$14,F220)))*(IF(Upgrades!$T$13="Local Bubble",POWER(Upgrades!$U$13,E220),1)*IF(Upgrades!$T$15="Local Bubble",POWER(Upgrades!$U$15,G220),1)*IF(Upgrades!$T$16="Local Bubble",POWER(Upgrades!$U$16,H220),1)*IF(Upgrades!$T$17="Local Bubble",POWER(Upgrades!$U$17,I220),1)*IF(Upgrades!$T$18="Local Bubble",POWER(Upgrades!$U$18,J220),1)*IF(Upgrades!$T$19="Local Bubble",POWER(Upgrades!$U$19,K220),1)*IF(Upgrades!$T$20="Local Bubble",POWER(Upgrades!$U$20,L220),1)*IF(Upgrades!$T$21="Local Bubble",POWER(Upgrades!$U$21,M220),1))+(IF(G220=0,0,(Upgrades!$M$15+G220*Upgrades!$N$15)*POWER(Upgrades!$O$15,G220)))*(IF(Upgrades!$T$13="Microlensing",POWER(Upgrades!$U$13,E220),1)*IF(Upgrades!$T$14="Microlensing",POWER(Upgrades!$U$14,F220),1)*IF(Upgrades!$T$16="Microlensing",POWER(Upgrades!$U$16,H220),1)*IF(Upgrades!$T$17="Microlensing",POWER(Upgrades!$U$17,I220),1)*IF(Upgrades!$T$18="Microlensing",POWER(Upgrades!$U$18,J220),1)*IF(Upgrades!$T$19="Microlensing",POWER(Upgrades!$U$19,K220),1)*IF(Upgrades!$T$20="Microlensing",POWER(Upgrades!$U$20,L220),1)*IF(Upgrades!$T$21="Microlensing",POWER(Upgrades!$U$21,M220),1))+(IF(H220=0,0,(Upgrades!$M$16+H220*Upgrades!$N$16)*POWER(Upgrades!$O$16,H220)))*(IF(Upgrades!$T$13="Roche Lobe Overflow",POWER(Upgrades!$U$13,E220),1)*IF(Upgrades!$T$14="Roche Lobe Overflow",POWER(Upgrades!$U$14,F220),1)*IF(Upgrades!$T$15="Roche Lobe Overflow",POWER(Upgrades!$U$15,G220),1)*IF(Upgrades!$T$17="Roche Lobe Overflow",POWER(Upgrades!$U$17,I220),1)*IF(Upgrades!$T$18="Roche Lobe Overflow",POWER(Upgrades!$U$18,J220),1)*IF(Upgrades!$T$19="Roche Lobe Overflow",POWER(Upgrades!$U$19,K220),1)*IF(Upgrades!$T$20="Roche Lobe Overflow",POWER(Upgrades!$U$20,L220),1)*IF(Upgrades!$T$21="Roche Lobe Overflow",POWER(Upgrades!$U$21,M220),1))+(IF(I220=0,0,(Upgrades!$M$17+I220*Upgrades!$N$17)*POWER(Upgrades!$O$17,I220)))*(IF(Upgrades!$T$13="Brown Dwarf",POWER(Upgrades!$U$13,E220),1)*IF(Upgrades!$T$14="Brown Dwarf",POWER(Upgrades!$U$14,F220),1)*IF(Upgrades!$T$15="Brown Dwarf",POWER(Upgrades!$U$15,G220),1)*IF(Upgrades!$T$16="Brown Dwarf",POWER(Upgrades!$U$16,H220),1)*IF(Upgrades!$T$18="Brown Dwarf",POWER(Upgrades!$U$18,J220),1)*IF(Upgrades!$T$19="Brown Dwarf",POWER(Upgrades!$U$19,K220),1)*IF(Upgrades!$T$20="Brown Dwarf",POWER(Upgrades!$U$20,L220),1)*IF(Upgrades!$T$21="Brown Dwarf",POWER(Upgrades!$U$21,M220),1))+(IF(J220=0,0,(Upgrades!$M$18+J220*Upgrades!$N$18)*POWER(Upgrades!$O$18,J220)))*(IF(Upgrades!$T$13="Binary Partner",POWER(Upgrades!$U$13,E220),1)*IF(Upgrades!$T$14="Binary Partner",POWER(Upgrades!$U$14,F220),1)*IF(Upgrades!$T$15="Binary Partner",POWER(Upgrades!$U$15,G220),1)*IF(Upgrades!$T$16="Binary Partner",POWER(Upgrades!$U$16,H220),1)*IF(Upgrades!$T$17="Binary Partner",POWER(Upgrades!$U$17,I220),1)*IF(Upgrades!$T$19="Binary Partner",POWER(Upgrades!$U$19,K220),1)*IF(Upgrades!$T$20="Binary Partner",POWER(Upgrades!$U$20,L220),1)*IF(Upgrades!$T$21="Binary Partner",POWER(Upgrades!$U$21,M220),1))+(IF(K220=0,0,(Upgrades!$M$19+K220*Upgrades!$N$19)*POWER(Upgrades!$O$19,K220)))*(IF(Upgrades!$T$13="Peculiar Velocity",POWER(Upgrades!$U$13,E220),1)*IF(Upgrades!$T$14="Peculiar Velocity",POWER(Upgrades!$U$14,F220),1)*IF(Upgrades!$T$15="Peculiar Velocity",POWER(Upgrades!$U$15,G220),1)*IF(Upgrades!$T$16="Peculiar Velocity",POWER(Upgrades!$U$16,H220),1)*IF(Upgrades!$T$17="Peculiar Velocity",POWER(Upgrades!$U$17,I220),1)*IF(Upgrades!$T$18="Peculiar Velocity",POWER(Upgrades!$U$18,J220),1)*IF(Upgrades!$T$20="Peculiar Velocity",POWER(Upgrades!$U$20,L220),1)*IF(Upgrades!$T$21="Peculiar Velocity",POWER(Upgrades!$U$21,M220),1))+(IF(L220=0,0,(Upgrades!$M$20+L220*Upgrades!$N$20)*POWER(Upgrades!$O$20,L220)))*(IF(Upgrades!$T$13="Open Cluster",POWER(Upgrades!$U$13,E220),1)*IF(Upgrades!$T$14="Open Cluster",POWER(Upgrades!$U$14,F220),1)*IF(Upgrades!$T$15="Open Cluster",POWER(Upgrades!$U$15,G220),1)*IF(Upgrades!$T$16="Open Cluster",POWER(Upgrades!$U$16,H220),1)*IF(Upgrades!$T$17="Open Cluster",POWER(Upgrades!$U$17,I220),1)*IF(Upgrades!$T$18="Open Cluster",POWER(Upgrades!$U$18,J220),1)*IF(Upgrades!$T$19="Open Cluster",POWER(Upgrades!$U$19,K220),1)*IF(Upgrades!$T$21="Open Cluster",POWER(Upgrades!$U$21,M220),1))+(IF(M220=0,0,(Upgrades!$M$21+M220*Upgrades!$N$21)*POWER(Upgrades!$O$21,M220)))*(IF(Upgrades!$T$13="Moving Group",POWER(Upgrades!$U$13,E220),1)*IF(Upgrades!$T$14="Moving Group",POWER(Upgrades!$U$14,F220),1)*IF(Upgrades!$T$15="Moving Group",POWER(Upgrades!$U$15,G220),1)*IF(Upgrades!$T$16="Moving Group",POWER(Upgrades!$U$16,H220),1)*IF(Upgrades!$T$17="Moving Group",POWER(Upgrades!$U$17,I220),1)*IF(Upgrades!$T$18="Moving Group",POWER(Upgrades!$U$18,J220),1)*IF(Upgrades!$T$19="Moving Group",POWER(Upgrades!$U$19,K220),1)*IF(Upgrades!$T$20="Moving Group",POWER(Upgrades!$U$20,L220),1)))*POWER(Upgrades!$R$13,E220)*POWER(Upgrades!$R$14,F220)*POWER(Upgrades!$R$15,G220)*POWER(Upgrades!$R$16,H220)*POWER(Upgrades!$R$17,I220)*POWER(Upgrades!$R$18,J220)*POWER(Upgrades!$R$19,K220)*POWER(Upgrades!$R$20,L220)*POWER(Upgrades!$R$21,M220)*$H$6+$E$6</f>
        <v/>
      </c>
      <c r="R220" s="27">
        <f>IF(N220=1,0,O220*Parameters!$B$10/60*Parameters!$B$11*10)</f>
        <v/>
      </c>
      <c r="S220" s="27">
        <f>IF(N220=1,0,Q220*O220*10)</f>
        <v/>
      </c>
      <c r="T220" s="27">
        <f>IF(N220=1,0,R220+S220+P220*10)</f>
        <v/>
      </c>
      <c r="U220" s="33">
        <f>BE220</f>
        <v/>
      </c>
      <c r="V220" s="22">
        <f>IF(U220="",0,IF(U220="transition",0,IF(U220="SK",AK220,IF(U220="LB",AL220,IF(U220="ML",AM220,IF(U220="RLO",AN220,IF(U220="BD",AO220,IF(U220="BiP",AP220,IF(U220="PV",AQ220,IF(U220="OC",AR220,IF(U220="MG",AS220,0))))))))))</f>
        <v/>
      </c>
      <c r="W220" s="27">
        <f>IF(U220="BiP",Upgrades!$F$18,IF(U220="PV",Upgrades!$F$19,IF(U220="OC",Upgrades!$F$20,IF(U220="MG",Upgrades!$F$21,IF(U220="transition",-Parameters!$B$18*Parameters!$B$19,0)))))</f>
        <v/>
      </c>
      <c r="X220" s="22">
        <f>C220+T220-V220</f>
        <v/>
      </c>
      <c r="Y220" s="30">
        <f>O220*Parameters!$B$10/60*Parameters!$B$11+Q220*O220+P220</f>
        <v/>
      </c>
      <c r="Z220" s="34">
        <f>IF(U220="transition","→ Tier 3 (Galactic Arm)",IF(U220="MG","Moving Group — pocket drifts together",IF(U220="OC","Open Cluster acquired",IF(U220="PV","Peculiar Velocity — passive multiplier active",IF(U220="BiP","Binary Partner — pair bond formed",IF(AND(AU220=1,N220=0,AT220&lt;&gt;1),"Cohesion ready (waiting on completionists)","")))))) </f>
        <v/>
      </c>
      <c r="AA220" s="27">
        <f>(IF(E220=0,0,(Upgrades!$G$13+E220*Upgrades!$H$13)*POWER(Upgrades!$I$13,E220)))*(IF(Upgrades!$T$14="Stellar Kinematics",POWER(Upgrades!$U$14,F220),1)*IF(Upgrades!$T$15="Stellar Kinematics",POWER(Upgrades!$U$15,G220),1)*IF(Upgrades!$T$16="Stellar Kinematics",POWER(Upgrades!$U$16,H220),1)*IF(Upgrades!$T$17="Stellar Kinematics",POWER(Upgrades!$U$17,I220),1)*IF(Upgrades!$T$18="Stellar Kinematics",POWER(Upgrades!$U$18,J220),1)*IF(Upgrades!$T$19="Stellar Kinematics",POWER(Upgrades!$U$19,K220),1)*IF(Upgrades!$T$20="Stellar Kinematics",POWER(Upgrades!$U$20,L220),1)*IF(Upgrades!$T$21="Stellar Kinematics",POWER(Upgrades!$U$21,M220),1))*POWER(Upgrades!$P$13,E220)*POWER(Upgrades!$P$14,F220)*POWER(Upgrades!$P$15,G220)*POWER(Upgrades!$P$16,H220)*POWER(Upgrades!$P$17,I220)*POWER(Upgrades!$P$18,J220)*POWER(Upgrades!$P$19,K220)*POWER(Upgrades!$P$20,L220)*POWER(Upgrades!$P$21,M220)*$F$6*60</f>
        <v/>
      </c>
      <c r="AB220" s="27">
        <f>(IF(F220=0,0,(Upgrades!$G$14+F220*Upgrades!$H$14)*POWER(Upgrades!$I$14,F220)))*(IF(Upgrades!$T$13="Local Bubble",POWER(Upgrades!$U$13,E220),1)*IF(Upgrades!$T$15="Local Bubble",POWER(Upgrades!$U$15,G220),1)*IF(Upgrades!$T$16="Local Bubble",POWER(Upgrades!$U$16,H220),1)*IF(Upgrades!$T$17="Local Bubble",POWER(Upgrades!$U$17,I220),1)*IF(Upgrades!$T$18="Local Bubble",POWER(Upgrades!$U$18,J220),1)*IF(Upgrades!$T$19="Local Bubble",POWER(Upgrades!$U$19,K220),1)*IF(Upgrades!$T$20="Local Bubble",POWER(Upgrades!$U$20,L220),1)*IF(Upgrades!$T$21="Local Bubble",POWER(Upgrades!$U$21,M220),1))*POWER(Upgrades!$P$13,E220)*POWER(Upgrades!$P$14,F220)*POWER(Upgrades!$P$15,G220)*POWER(Upgrades!$P$16,H220)*POWER(Upgrades!$P$17,I220)*POWER(Upgrades!$P$18,J220)*POWER(Upgrades!$P$19,K220)*POWER(Upgrades!$P$20,L220)*POWER(Upgrades!$P$21,M220)*$F$6*60</f>
        <v/>
      </c>
      <c r="AC220" s="27">
        <f>(IF(G220=0,0,(Upgrades!$J$15+G220*Upgrades!$K$15)*POWER(Upgrades!$L$15,G220)))*(IF(Upgrades!$T$13="Microlensing",POWER(Upgrades!$U$13,E220),1)*IF(Upgrades!$T$14="Microlensing",POWER(Upgrades!$U$14,F220),1)*IF(Upgrades!$T$16="Microlensing",POWER(Upgrades!$U$16,H220),1)*IF(Upgrades!$T$17="Microlensing",POWER(Upgrades!$U$17,I220),1)*IF(Upgrades!$T$18="Microlensing",POWER(Upgrades!$U$18,J220),1)*IF(Upgrades!$T$19="Microlensing",POWER(Upgrades!$U$19,K220),1)*IF(Upgrades!$T$20="Microlensing",POWER(Upgrades!$U$20,L220),1)*IF(Upgrades!$T$21="Microlensing",POWER(Upgrades!$U$21,M220),1))*POWER(Upgrades!$Q$13,E220)*POWER(Upgrades!$Q$14,F220)*POWER(Upgrades!$Q$15,G220)*POWER(Upgrades!$Q$16,H220)*POWER(Upgrades!$Q$17,I220)*POWER(Upgrades!$Q$18,J220)*POWER(Upgrades!$Q$19,K220)*POWER(Upgrades!$Q$20,L220)*POWER(Upgrades!$Q$21,M220)*$G$6*(Parameters!$B$10*Parameters!$B$11+Q220*60)</f>
        <v/>
      </c>
      <c r="AD220" s="27">
        <f>(IF(H220=0,0,(Upgrades!$M$16+H220*Upgrades!$N$16)*POWER(Upgrades!$O$16,H220)))*(IF(Upgrades!$T$13="Roche Lobe Overflow",POWER(Upgrades!$U$13,E220),1)*IF(Upgrades!$T$14="Roche Lobe Overflow",POWER(Upgrades!$U$14,F220),1)*IF(Upgrades!$T$15="Roche Lobe Overflow",POWER(Upgrades!$U$15,G220),1)*IF(Upgrades!$T$17="Roche Lobe Overflow",POWER(Upgrades!$U$17,I220),1)*IF(Upgrades!$T$18="Roche Lobe Overflow",POWER(Upgrades!$U$18,J220),1)*IF(Upgrades!$T$19="Roche Lobe Overflow",POWER(Upgrades!$U$19,K220),1)*IF(Upgrades!$T$20="Roche Lobe Overflow",POWER(Upgrades!$U$20,L220),1)*IF(Upgrades!$T$21="Roche Lobe Overflow",POWER(Upgrades!$U$21,M220),1))*POWER(Upgrades!$R$13,E220)*POWER(Upgrades!$R$14,F220)*POWER(Upgrades!$R$15,G220)*POWER(Upgrades!$R$16,H220)*POWER(Upgrades!$R$17,I220)*POWER(Upgrades!$R$18,J220)*POWER(Upgrades!$R$19,K220)*POWER(Upgrades!$R$20,L220)*POWER(Upgrades!$R$21,M220)*$H$6*O220*60</f>
        <v/>
      </c>
      <c r="AE220" s="27">
        <f>(IF(I220=0,0,(Upgrades!$G$17+I220*Upgrades!$H$17)*POWER(Upgrades!$I$17,I220)))*(IF(Upgrades!$T$13="Brown Dwarf",POWER(Upgrades!$U$13,E220),1)*IF(Upgrades!$T$14="Brown Dwarf",POWER(Upgrades!$U$14,F220),1)*IF(Upgrades!$T$15="Brown Dwarf",POWER(Upgrades!$U$15,G220),1)*IF(Upgrades!$T$16="Brown Dwarf",POWER(Upgrades!$U$16,H220),1)*IF(Upgrades!$T$18="Brown Dwarf",POWER(Upgrades!$U$18,J220),1)*IF(Upgrades!$T$19="Brown Dwarf",POWER(Upgrades!$U$19,K220),1)*IF(Upgrades!$T$20="Brown Dwarf",POWER(Upgrades!$U$20,L220),1)*IF(Upgrades!$T$21="Brown Dwarf",POWER(Upgrades!$U$21,M220),1))*POWER(Upgrades!$P$13,E220)*POWER(Upgrades!$P$14,F220)*POWER(Upgrades!$P$15,G220)*POWER(Upgrades!$P$16,H220)*POWER(Upgrades!$P$17,I220)*POWER(Upgrades!$P$18,J220)*POWER(Upgrades!$P$19,K220)*POWER(Upgrades!$P$20,L220)*POWER(Upgrades!$P$21,M220)*$F$6*60</f>
        <v/>
      </c>
      <c r="AF220" s="27" t="n">
        <v>0</v>
      </c>
      <c r="AG220" s="27" t="n">
        <v>0</v>
      </c>
      <c r="AH220" s="27" t="n">
        <v>0</v>
      </c>
      <c r="AI220" s="27">
        <f>(IF(M220=0,0,(Upgrades!$G$21+M220*Upgrades!$H$21)*POWER(Upgrades!$I$21,M220)))*(IF(Upgrades!$T$13="Moving Group",POWER(Upgrades!$U$13,E220),1)*IF(Upgrades!$T$14="Moving Group",POWER(Upgrades!$U$14,F220),1)*IF(Upgrades!$T$15="Moving Group",POWER(Upgrades!$U$15,G220),1)*IF(Upgrades!$T$16="Moving Group",POWER(Upgrades!$U$16,H220),1)*IF(Upgrades!$T$17="Moving Group",POWER(Upgrades!$U$17,I220),1)*IF(Upgrades!$T$18="Moving Group",POWER(Upgrades!$U$18,J220),1)*IF(Upgrades!$T$19="Moving Group",POWER(Upgrades!$U$19,K220),1)*IF(Upgrades!$T$20="Moving Group",POWER(Upgrades!$U$20,L220),1))*POWER(Upgrades!$P$13,E220)*POWER(Upgrades!$P$14,F220)*POWER(Upgrades!$P$15,G220)*POWER(Upgrades!$P$16,H220)*POWER(Upgrades!$P$17,I220)*POWER(Upgrades!$P$18,J220)*POWER(Upgrades!$P$19,K220)*POWER(Upgrades!$P$20,L220)*POWER(Upgrades!$P$21,M220)*$F$6*60</f>
        <v/>
      </c>
      <c r="AJ220" s="27">
        <f>$C$6*60</f>
        <v/>
      </c>
      <c r="AK220" s="22">
        <f>IF(E220&gt;=Upgrades!$E$13,"",Upgrades!$C$13*POWER(Upgrades!$D$13,E220))</f>
        <v/>
      </c>
      <c r="AL220" s="22">
        <f>IF(F220&gt;=Upgrades!$E$14,"",Upgrades!$C$14*POWER(Upgrades!$D$14,F220))</f>
        <v/>
      </c>
      <c r="AM220" s="22">
        <f>IF(G220&gt;=Upgrades!$E$15,"",Upgrades!$C$15*POWER(Upgrades!$D$15,G220))</f>
        <v/>
      </c>
      <c r="AN220" s="22">
        <f>IF(H220&gt;=Upgrades!$E$16,"",Upgrades!$C$16*POWER(Upgrades!$D$16,H220))</f>
        <v/>
      </c>
      <c r="AO220" s="22">
        <f>IF(I220&gt;=Upgrades!$E$17,"",Upgrades!$C$17*POWER(Upgrades!$D$17,I220))</f>
        <v/>
      </c>
      <c r="AP220" s="22">
        <f>IF(J220&gt;=Upgrades!$E$18,"",Upgrades!$C$18*POWER(Upgrades!$D$18,J220))</f>
        <v/>
      </c>
      <c r="AQ220" s="22">
        <f>IF(K220&gt;=Upgrades!$E$19,"",Upgrades!$C$19*POWER(Upgrades!$D$19,K220))</f>
        <v/>
      </c>
      <c r="AR220" s="22">
        <f>IF(L220&gt;=Upgrades!$E$20,"",Upgrades!$C$20*POWER(Upgrades!$D$20,L220))</f>
        <v/>
      </c>
      <c r="AS220" s="22">
        <f>IF(M220&gt;=Upgrades!$E$21,"",Upgrades!$C$21*POWER(Upgrades!$D$21,M220))</f>
        <v/>
      </c>
      <c r="AT220" s="26">
        <f>IF(AND(D220&gt;=Parameters!$B$18*Parameters!$B$19,(I220&gt;=Upgrades!$E$17)*(M220&gt;=Upgrades!$E$21)=1,N220=0),1,"")</f>
        <v/>
      </c>
      <c r="AU220" s="26">
        <f>IF(AND(D220&gt;=Parameters!$B$18*Parameters!$B$19,N220=0),1,"")</f>
        <v/>
      </c>
      <c r="AV220" s="22">
        <f>MIN(IF(ISNUMBER(AP220),AP220,9E15),IF(ISNUMBER(AQ220),AQ220,9E15),IF(ISNUMBER(AR220),AR220,9E15),IF(ISNUMBER(AS220),AS220,9E15))</f>
        <v/>
      </c>
      <c r="AW220" s="22">
        <f>MIN(IF(ISNUMBER(AK220),AK220,9E15),IF(ISNUMBER(AL220),AL220,9E15),IF(ISNUMBER(AM220),AM220,9E15),IF(ISNUMBER(AN220),AN220,9E15),IF(ISNUMBER(AO220),AO220,9E15))</f>
        <v/>
      </c>
      <c r="AX220" s="29">
        <f>IF(BD220&gt;Parameters!$B$21*(MAX(IF(AND(NOT(AND(AU220=1,AT220&lt;&gt;1)),ISNUMBER(AK220),AK220&lt;=(C220+T220)),AY220,0),IF(AND(NOT(AND(AU220=1,AT220&lt;&gt;1)),ISNUMBER(AL220),AL220&lt;=(C220+T220)),AZ220,0),IF(AND(NOT(AND(AU220=1,AT220&lt;&gt;1)),ISNUMBER(AM220),AM220&lt;=(C220+T220)),BA220,0),IF(AND(NOT(AND(AU220=1,AT220&lt;&gt;1)),ISNUMBER(AN220),AN220&lt;=(C220+T220)),BB220,0),IF(AND(ISNUMBER(AO220),AO220&lt;=(C220+T220)),BC220,0))),TRUE,FALSE)</f>
        <v/>
      </c>
      <c r="AY220" s="32">
        <f>IFERROR(Upgrades!$H$13*(POWER(Upgrades!$P$13,E220)*POWER(Upgrades!$P$14,F220)*POWER(Upgrades!$P$15,G220)*POWER(Upgrades!$P$16,H220)*POWER(Upgrades!$P$17,I220)*POWER(Upgrades!$P$18,J220)*POWER(Upgrades!$P$19,K220)*POWER(Upgrades!$P$20,L220)*POWER(Upgrades!$P$21,M220))*(IF(Upgrades!$T$14="Stellar Kinematics",POWER(Upgrades!$U$14,F220),1)*IF(Upgrades!$T$15="Stellar Kinematics",POWER(Upgrades!$U$15,G220),1)*IF(Upgrades!$T$16="Stellar Kinematics",POWER(Upgrades!$U$16,H220),1)*IF(Upgrades!$T$17="Stellar Kinematics",POWER(Upgrades!$U$17,I220),1)*IF(Upgrades!$T$18="Stellar Kinematics",POWER(Upgrades!$U$18,J220),1)*IF(Upgrades!$T$19="Stellar Kinematics",POWER(Upgrades!$U$19,K220),1)*IF(Upgrades!$T$20="Stellar Kinematics",POWER(Upgrades!$U$20,L220),1)*IF(Upgrades!$T$21="Stellar Kinematics",POWER(Upgrades!$U$21,M220),1))*$F$6/AK220,0)</f>
        <v/>
      </c>
      <c r="AZ220" s="32">
        <f>IFERROR(Upgrades!$H$14*(POWER(Upgrades!$P$13,E220)*POWER(Upgrades!$P$14,F220)*POWER(Upgrades!$P$15,G220)*POWER(Upgrades!$P$16,H220)*POWER(Upgrades!$P$17,I220)*POWER(Upgrades!$P$18,J220)*POWER(Upgrades!$P$19,K220)*POWER(Upgrades!$P$20,L220)*POWER(Upgrades!$P$21,M220))*(IF(Upgrades!$T$13="Local Bubble",POWER(Upgrades!$U$13,E220),1)*IF(Upgrades!$T$15="Local Bubble",POWER(Upgrades!$U$15,G220),1)*IF(Upgrades!$T$16="Local Bubble",POWER(Upgrades!$U$16,H220),1)*IF(Upgrades!$T$17="Local Bubble",POWER(Upgrades!$U$17,I220),1)*IF(Upgrades!$T$18="Local Bubble",POWER(Upgrades!$U$18,J220),1)*IF(Upgrades!$T$19="Local Bubble",POWER(Upgrades!$U$19,K220),1)*IF(Upgrades!$T$20="Local Bubble",POWER(Upgrades!$U$20,L220),1)*IF(Upgrades!$T$21="Local Bubble",POWER(Upgrades!$U$21,M220),1))*$F$6/AL220,0)</f>
        <v/>
      </c>
      <c r="BA220" s="32">
        <f>IFERROR(Upgrades!$K$15*(POWER(Upgrades!$Q$13,E220)*POWER(Upgrades!$Q$14,F220)*POWER(Upgrades!$Q$15,G220)*POWER(Upgrades!$Q$16,H220)*POWER(Upgrades!$Q$17,I220)*POWER(Upgrades!$Q$18,J220)*POWER(Upgrades!$Q$19,K220)*POWER(Upgrades!$Q$20,L220)*POWER(Upgrades!$Q$21,M220))*(IF(Upgrades!$T$13="Microlensing",POWER(Upgrades!$U$13,E220),1)*IF(Upgrades!$T$14="Microlensing",POWER(Upgrades!$U$14,F220),1)*IF(Upgrades!$T$16="Microlensing",POWER(Upgrades!$U$16,H220),1)*IF(Upgrades!$T$17="Microlensing",POWER(Upgrades!$U$17,I220),1)*IF(Upgrades!$T$18="Microlensing",POWER(Upgrades!$U$18,J220),1)*IF(Upgrades!$T$19="Microlensing",POWER(Upgrades!$U$19,K220),1)*IF(Upgrades!$T$20="Microlensing",POWER(Upgrades!$U$20,L220),1)*IF(Upgrades!$T$21="Microlensing",POWER(Upgrades!$U$21,M220),1))*$G$6*(Parameters!$B$10/60*Parameters!$B$11+Q220)/AM220,0)</f>
        <v/>
      </c>
      <c r="BB220" s="32">
        <f>IFERROR((Upgrades!$N$16*(POWER(Upgrades!$R$13,E220)*POWER(Upgrades!$R$14,F220)*POWER(Upgrades!$R$15,G220)*POWER(Upgrades!$R$16,H220)*POWER(Upgrades!$R$17,I220)*POWER(Upgrades!$R$18,J220)*POWER(Upgrades!$R$19,K220)*POWER(Upgrades!$R$20,L220)*POWER(Upgrades!$R$21,M220))*(IF(Upgrades!$T$13="Roche Lobe Overflow",POWER(Upgrades!$U$13,E220),1)*IF(Upgrades!$T$14="Roche Lobe Overflow",POWER(Upgrades!$U$14,F220),1)*IF(Upgrades!$T$15="Roche Lobe Overflow",POWER(Upgrades!$U$15,G220),1)*IF(Upgrades!$T$17="Roche Lobe Overflow",POWER(Upgrades!$U$17,I220),1)*IF(Upgrades!$T$18="Roche Lobe Overflow",POWER(Upgrades!$U$18,J220),1)*IF(Upgrades!$T$19="Roche Lobe Overflow",POWER(Upgrades!$U$19,K220),1)*IF(Upgrades!$T$20="Roche Lobe Overflow",POWER(Upgrades!$U$20,L220),1)*IF(Upgrades!$T$21="Roche Lobe Overflow",POWER(Upgrades!$U$21,M220),1))*$H$6*O220+((IF(F220=0,0,(Upgrades!$G$14+F220*Upgrades!$H$14)*POWER(Upgrades!$I$14,F220)))*(IF(Upgrades!$T$13="Local Bubble",POWER(Upgrades!$U$13,E220),1)*IF(Upgrades!$T$15="Local Bubble",POWER(Upgrades!$U$15,G220),1)*IF(Upgrades!$T$16="Local Bubble",POWER(Upgrades!$U$16,H220),1)*IF(Upgrades!$T$17="Local Bubble",POWER(Upgrades!$U$17,I220),1)*IF(Upgrades!$T$18="Local Bubble",POWER(Upgrades!$U$18,J220),1)*IF(Upgrades!$T$19="Local Bubble",POWER(Upgrades!$U$19,K220),1)*IF(Upgrades!$T$20="Local Bubble",POWER(Upgrades!$U$20,L220),1)*IF(Upgrades!$T$21="Local Bubble",POWER(Upgrades!$U$21,M220),1))*POWER(Upgrades!$P$13,E220)*POWER(Upgrades!$P$14,F220)*POWER(Upgrades!$P$15,G220)*POWER(Upgrades!$P$16,H220)*POWER(Upgrades!$P$17,I220)*POWER(Upgrades!$P$18,J220)*POWER(Upgrades!$P$19,K220)*POWER(Upgrades!$P$20,L220)*POWER(Upgrades!$P$21,M220)*$F$6)*0.05)/AN220,0)</f>
        <v/>
      </c>
      <c r="BC220" s="32">
        <f>IFERROR((Upgrades!$H$17*(POWER(Upgrades!$P$13,E220)*POWER(Upgrades!$P$14,F220)*POWER(Upgrades!$P$15,G220)*POWER(Upgrades!$P$16,H220)*POWER(Upgrades!$P$17,I220)*POWER(Upgrades!$P$18,J220)*POWER(Upgrades!$P$19,K220)*POWER(Upgrades!$P$20,L220)*POWER(Upgrades!$P$21,M220))*(IF(Upgrades!$T$13="Brown Dwarf",POWER(Upgrades!$U$13,E220),1)*IF(Upgrades!$T$14="Brown Dwarf",POWER(Upgrades!$U$14,F220),1)*IF(Upgrades!$T$15="Brown Dwarf",POWER(Upgrades!$U$15,G220),1)*IF(Upgrades!$T$16="Brown Dwarf",POWER(Upgrades!$U$16,H220),1)*IF(Upgrades!$T$18="Brown Dwarf",POWER(Upgrades!$U$18,J220),1)*IF(Upgrades!$T$19="Brown Dwarf",POWER(Upgrades!$U$19,K220),1)*IF(Upgrades!$T$20="Brown Dwarf",POWER(Upgrades!$U$20,L220),1)*IF(Upgrades!$T$21="Brown Dwarf",POWER(Upgrades!$U$21,M220),1))*$F$6+(((IF(H220=0,0,(Upgrades!$M$16+H220*Upgrades!$N$16)*POWER(Upgrades!$O$16,H220)))*(IF(Upgrades!$T$13="Roche Lobe Overflow",POWER(Upgrades!$U$13,E220),1)*IF(Upgrades!$T$14="Roche Lobe Overflow",POWER(Upgrades!$U$14,F220),1)*IF(Upgrades!$T$15="Roche Lobe Overflow",POWER(Upgrades!$U$15,G220),1)*IF(Upgrades!$T$17="Roche Lobe Overflow",POWER(Upgrades!$U$17,I220),1)*IF(Upgrades!$T$18="Roche Lobe Overflow",POWER(Upgrades!$U$18,J220),1)*IF(Upgrades!$T$19="Roche Lobe Overflow",POWER(Upgrades!$U$19,K220),1)*IF(Upgrades!$T$20="Roche Lobe Overflow",POWER(Upgrades!$U$20,L220),1)*IF(Upgrades!$T$21="Roche Lobe Overflow",POWER(Upgrades!$U$21,M220),1))*POWER(Upgrades!$R$13,E220)*POWER(Upgrades!$R$14,F220)*POWER(Upgrades!$R$15,G220)*POWER(Upgrades!$R$16,H220)*POWER(Upgrades!$R$17,I220)*POWER(Upgrades!$R$18,J220)*POWER(Upgrades!$R$19,K220)*POWER(Upgrades!$R$20,L220)*POWER(Upgrades!$R$21,M220)*$H$6)*O220)*0.10)/AO220,0)</f>
        <v/>
      </c>
      <c r="BD220" s="32">
        <f>MAX(IF(J220&gt;0,0,IFERROR(0.5*((IF(G220=0,0,(Upgrades!$J$15+G220*Upgrades!$K$15)*POWER(Upgrades!$L$15,G220)))*(IF(Upgrades!$T$13="Microlensing",POWER(Upgrades!$U$13,E220),1)*IF(Upgrades!$T$14="Microlensing",POWER(Upgrades!$U$14,F220),1)*IF(Upgrades!$T$16="Microlensing",POWER(Upgrades!$U$16,H220),1)*IF(Upgrades!$T$17="Microlensing",POWER(Upgrades!$U$17,I220),1)*IF(Upgrades!$T$18="Microlensing",POWER(Upgrades!$U$18,J220),1)*IF(Upgrades!$T$19="Microlensing",POWER(Upgrades!$U$19,K220),1)*IF(Upgrades!$T$20="Microlensing",POWER(Upgrades!$U$20,L220),1)*IF(Upgrades!$T$21="Microlensing",POWER(Upgrades!$U$21,M220),1))*(POWER(Upgrades!$Q$13,E220)*POWER(Upgrades!$Q$14,F220)*POWER(Upgrades!$Q$15,G220)*POWER(Upgrades!$Q$16,H220)*POWER(Upgrades!$Q$17,I220)*POWER(Upgrades!$Q$18,J220)*POWER(Upgrades!$Q$19,K220)*POWER(Upgrades!$Q$20,L220)*POWER(Upgrades!$Q$21,M220))*$G$6*(Parameters!$B$10/60*Parameters!$B$11+Q220))/Upgrades!$C$18,0)),IF(K220&gt;0,0,IFERROR(0.30*P220/Upgrades!$C$19,0)),IF(L220&gt;0,0,IFERROR(0.0001/Upgrades!$C$20,0)),IF(M220&gt;0,0,IFERROR((6.0*(POWER(Upgrades!$P$13,E220)*POWER(Upgrades!$P$14,F220)*POWER(Upgrades!$P$15,G220)*POWER(Upgrades!$P$16,H220)*POWER(Upgrades!$P$17,I220)*POWER(Upgrades!$P$18,J220)*POWER(Upgrades!$P$19,K220)*POWER(Upgrades!$P$20,L220)*POWER(Upgrades!$P$21,M220))*$F$6+0.20*O220*(Parameters!$B$10/60*Parameters!$B$11+Q220))/Upgrades!$C$21,0)),IF(AND(ISNUMBER(AK220),AK220&gt;(C220+T220)),AY220,0),IF(AND(ISNUMBER(AL220),AL220&gt;(C220+T220)),AZ220,0),IF(AND(ISNUMBER(AM220),AM220&gt;(C220+T220)),BA220,0),IF(AND(ISNUMBER(AN220),AN220&gt;(C220+T220)),BB220,0),IF(AND(ISNUMBER(AO220),AO220&gt;(C220+T220)),BC220,0))</f>
        <v/>
      </c>
      <c r="BE220" s="29">
        <f>IF(AT220=1,"transition",IF(MIN(IF(AND(J220=0,ISNUMBER(AP220),AP220&lt;=(C220+T220)),AP220,9E15),IF(AND(K220=0,ISNUMBER(AQ220),AQ220&lt;=(C220+T220)),AQ220,9E15),IF(AND(L220=0,ISNUMBER(AR220),AR220&lt;=(C220+T220)),AR220,9E15),IF(AND(M220=0,ISNUMBER(AS220),AS220&lt;=(C220+T220)),AS220,9E15))&lt;9E15,IF(AND(AND(J220=0,ISNUMBER(AP220),AP220&lt;=(C220+T220)),AP220=MIN(IF(AND(J220=0,ISNUMBER(AP220),AP220&lt;=(C220+T220)),AP220,9E15),IF(AND(K220=0,ISNUMBER(AQ220),AQ220&lt;=(C220+T220)),AQ220,9E15),IF(AND(L220=0,ISNUMBER(AR220),AR220&lt;=(C220+T220)),AR220,9E15),IF(AND(M220=0,ISNUMBER(AS220),AS220&lt;=(C220+T220)),AS220,9E15))),"BiP",IF(AND(AND(K220=0,ISNUMBER(AQ220),AQ220&lt;=(C220+T220)),AQ220=MIN(IF(AND(J220=0,ISNUMBER(AP220),AP220&lt;=(C220+T220)),AP220,9E15),IF(AND(K220=0,ISNUMBER(AQ220),AQ220&lt;=(C220+T220)),AQ220,9E15),IF(AND(L220=0,ISNUMBER(AR220),AR220&lt;=(C220+T220)),AR220,9E15),IF(AND(M220=0,ISNUMBER(AS220),AS220&lt;=(C220+T220)),AS220,9E15))),"PV",IF(AND(AND(L220=0,ISNUMBER(AR220),AR220&lt;=(C220+T220)),AR220=MIN(IF(AND(J220=0,ISNUMBER(AP220),AP220&lt;=(C220+T220)),AP220,9E15),IF(AND(K220=0,ISNUMBER(AQ220),AQ220&lt;=(C220+T220)),AQ220,9E15),IF(AND(L220=0,ISNUMBER(AR220),AR220&lt;=(C220+T220)),AR220,9E15),IF(AND(M220=0,ISNUMBER(AS220),AS220&lt;=(C220+T220)),AS220,9E15))),"OC","MG"))),IF(AX220=TRUE,"",IF(MAX(IF(AND(NOT(AND(AU220=1,AT220&lt;&gt;1)),ISNUMBER(AK220),AK220&lt;=(C220+T220)),AY220,0),IF(AND(NOT(AND(AU220=1,AT220&lt;&gt;1)),ISNUMBER(AL220),AL220&lt;=(C220+T220)),AZ220,0),IF(AND(NOT(AND(AU220=1,AT220&lt;&gt;1)),ISNUMBER(AM220),AM220&lt;=(C220+T220)),BA220,0),IF(AND(NOT(AND(AU220=1,AT220&lt;&gt;1)),ISNUMBER(AN220),AN220&lt;=(C220+T220)),BB220,0),IF(AND(ISNUMBER(AO220),AO220&lt;=(C220+T220)),BC220,0))&lt;=0,"",IF(AND(IF(AND(NOT(AND(AU220=1,AT220&lt;&gt;1)),ISNUMBER(AK220),AK220&lt;=(C220+T220)),AY220,0)&gt;0,IF(AND(NOT(AND(AU220=1,AT220&lt;&gt;1)),ISNUMBER(AK220),AK220&lt;=(C220+T220)),AY220,0)=MAX(IF(AND(NOT(AND(AU220=1,AT220&lt;&gt;1)),ISNUMBER(AK220),AK220&lt;=(C220+T220)),AY220,0),IF(AND(NOT(AND(AU220=1,AT220&lt;&gt;1)),ISNUMBER(AL220),AL220&lt;=(C220+T220)),AZ220,0),IF(AND(NOT(AND(AU220=1,AT220&lt;&gt;1)),ISNUMBER(AM220),AM220&lt;=(C220+T220)),BA220,0),IF(AND(NOT(AND(AU220=1,AT220&lt;&gt;1)),ISNUMBER(AN220),AN220&lt;=(C220+T220)),BB220,0),IF(AND(ISNUMBER(AO220),AO220&lt;=(C220+T220)),BC220,0))),"SK",IF(AND(IF(AND(NOT(AND(AU220=1,AT220&lt;&gt;1)),ISNUMBER(AL220),AL220&lt;=(C220+T220)),AZ220,0)&gt;0,IF(AND(NOT(AND(AU220=1,AT220&lt;&gt;1)),ISNUMBER(AL220),AL220&lt;=(C220+T220)),AZ220,0)=MAX(IF(AND(NOT(AND(AU220=1,AT220&lt;&gt;1)),ISNUMBER(AK220),AK220&lt;=(C220+T220)),AY220,0),IF(AND(NOT(AND(AU220=1,AT220&lt;&gt;1)),ISNUMBER(AL220),AL220&lt;=(C220+T220)),AZ220,0),IF(AND(NOT(AND(AU220=1,AT220&lt;&gt;1)),ISNUMBER(AM220),AM220&lt;=(C220+T220)),BA220,0),IF(AND(NOT(AND(AU220=1,AT220&lt;&gt;1)),ISNUMBER(AN220),AN220&lt;=(C220+T220)),BB220,0),IF(AND(ISNUMBER(AO220),AO220&lt;=(C220+T220)),BC220,0))),"LB",IF(AND(IF(AND(NOT(AND(AU220=1,AT220&lt;&gt;1)),ISNUMBER(AM220),AM220&lt;=(C220+T220)),BA220,0)&gt;0,IF(AND(NOT(AND(AU220=1,AT220&lt;&gt;1)),ISNUMBER(AM220),AM220&lt;=(C220+T220)),BA220,0)=MAX(IF(AND(NOT(AND(AU220=1,AT220&lt;&gt;1)),ISNUMBER(AK220),AK220&lt;=(C220+T220)),AY220,0),IF(AND(NOT(AND(AU220=1,AT220&lt;&gt;1)),ISNUMBER(AL220),AL220&lt;=(C220+T220)),AZ220,0),IF(AND(NOT(AND(AU220=1,AT220&lt;&gt;1)),ISNUMBER(AM220),AM220&lt;=(C220+T220)),BA220,0),IF(AND(NOT(AND(AU220=1,AT220&lt;&gt;1)),ISNUMBER(AN220),AN220&lt;=(C220+T220)),BB220,0),IF(AND(ISNUMBER(AO220),AO220&lt;=(C220+T220)),BC220,0))),"ML",IF(AND(IF(AND(NOT(AND(AU220=1,AT220&lt;&gt;1)),ISNUMBER(AN220),AN220&lt;=(C220+T220)),BB220,0)&gt;0,IF(AND(NOT(AND(AU220=1,AT220&lt;&gt;1)),ISNUMBER(AN220),AN220&lt;=(C220+T220)),BB220,0)=MAX(IF(AND(NOT(AND(AU220=1,AT220&lt;&gt;1)),ISNUMBER(AK220),AK220&lt;=(C220+T220)),AY220,0),IF(AND(NOT(AND(AU220=1,AT220&lt;&gt;1)),ISNUMBER(AL220),AL220&lt;=(C220+T220)),AZ220,0),IF(AND(NOT(AND(AU220=1,AT220&lt;&gt;1)),ISNUMBER(AM220),AM220&lt;=(C220+T220)),BA220,0),IF(AND(NOT(AND(AU220=1,AT220&lt;&gt;1)),ISNUMBER(AN220),AN220&lt;=(C220+T220)),BB220,0),IF(AND(ISNUMBER(AO220),AO220&lt;=(C220+T220)),BC220,0))),"RLO","BD"))))))))</f>
        <v/>
      </c>
    </row>
    <row r="221">
      <c r="A221" s="26" t="n">
        <v>210</v>
      </c>
      <c r="B221" s="27">
        <f>A221*10/60</f>
        <v/>
      </c>
      <c r="C221" s="22">
        <f>X220</f>
        <v/>
      </c>
      <c r="D221" s="27">
        <f>D220+W220</f>
        <v/>
      </c>
      <c r="E221" s="26">
        <f>E220+IF(U220="SK",1,0)</f>
        <v/>
      </c>
      <c r="F221" s="26">
        <f>F220+IF(U220="LB",1,0)</f>
        <v/>
      </c>
      <c r="G221" s="26">
        <f>G220+IF(U220="ML",1,0)</f>
        <v/>
      </c>
      <c r="H221" s="26">
        <f>H220+IF(U220="RLO",1,0)</f>
        <v/>
      </c>
      <c r="I221" s="26">
        <f>I220+IF(U220="BD",1,0)</f>
        <v/>
      </c>
      <c r="J221" s="26">
        <f>MAX(J220,IF(U220="BiP",1,0))</f>
        <v/>
      </c>
      <c r="K221" s="26">
        <f>MAX(K220,IF(U220="PV",1,0))</f>
        <v/>
      </c>
      <c r="L221" s="26">
        <f>MAX(L220,IF(U220="OC",1,0))</f>
        <v/>
      </c>
      <c r="M221" s="26">
        <f>MAX(M220,IF(U220="MG",1,0))</f>
        <v/>
      </c>
      <c r="N221" s="26">
        <f>MAX(N220,IF(U220="transition",1,0))</f>
        <v/>
      </c>
      <c r="O221" s="28">
        <f>(Parameters!$B$9+(IF(E221=0,0,(Upgrades!$J$13+E221*Upgrades!$K$13)*POWER(Upgrades!$L$13,E221)))*(IF(Upgrades!$T$14="Stellar Kinematics",POWER(Upgrades!$U$14,F221),1)*IF(Upgrades!$T$15="Stellar Kinematics",POWER(Upgrades!$U$15,G221),1)*IF(Upgrades!$T$16="Stellar Kinematics",POWER(Upgrades!$U$16,H221),1)*IF(Upgrades!$T$17="Stellar Kinematics",POWER(Upgrades!$U$17,I221),1)*IF(Upgrades!$T$18="Stellar Kinematics",POWER(Upgrades!$U$18,J221),1)*IF(Upgrades!$T$19="Stellar Kinematics",POWER(Upgrades!$U$19,K221),1)*IF(Upgrades!$T$20="Stellar Kinematics",POWER(Upgrades!$U$20,L221),1)*IF(Upgrades!$T$21="Stellar Kinematics",POWER(Upgrades!$U$21,M221),1))+(IF(F221=0,0,(Upgrades!$J$14+F221*Upgrades!$K$14)*POWER(Upgrades!$L$14,F221)))*(IF(Upgrades!$T$13="Local Bubble",POWER(Upgrades!$U$13,E221),1)*IF(Upgrades!$T$15="Local Bubble",POWER(Upgrades!$U$15,G221),1)*IF(Upgrades!$T$16="Local Bubble",POWER(Upgrades!$U$16,H221),1)*IF(Upgrades!$T$17="Local Bubble",POWER(Upgrades!$U$17,I221),1)*IF(Upgrades!$T$18="Local Bubble",POWER(Upgrades!$U$18,J221),1)*IF(Upgrades!$T$19="Local Bubble",POWER(Upgrades!$U$19,K221),1)*IF(Upgrades!$T$20="Local Bubble",POWER(Upgrades!$U$20,L221),1)*IF(Upgrades!$T$21="Local Bubble",POWER(Upgrades!$U$21,M221),1))+(IF(G221=0,0,(Upgrades!$J$15+G221*Upgrades!$K$15)*POWER(Upgrades!$L$15,G221)))*(IF(Upgrades!$T$13="Microlensing",POWER(Upgrades!$U$13,E221),1)*IF(Upgrades!$T$14="Microlensing",POWER(Upgrades!$U$14,F221),1)*IF(Upgrades!$T$16="Microlensing",POWER(Upgrades!$U$16,H221),1)*IF(Upgrades!$T$17="Microlensing",POWER(Upgrades!$U$17,I221),1)*IF(Upgrades!$T$18="Microlensing",POWER(Upgrades!$U$18,J221),1)*IF(Upgrades!$T$19="Microlensing",POWER(Upgrades!$U$19,K221),1)*IF(Upgrades!$T$20="Microlensing",POWER(Upgrades!$U$20,L221),1)*IF(Upgrades!$T$21="Microlensing",POWER(Upgrades!$U$21,M221),1))+(IF(H221=0,0,(Upgrades!$J$16+H221*Upgrades!$K$16)*POWER(Upgrades!$L$16,H221)))*(IF(Upgrades!$T$13="Roche Lobe Overflow",POWER(Upgrades!$U$13,E221),1)*IF(Upgrades!$T$14="Roche Lobe Overflow",POWER(Upgrades!$U$14,F221),1)*IF(Upgrades!$T$15="Roche Lobe Overflow",POWER(Upgrades!$U$15,G221),1)*IF(Upgrades!$T$17="Roche Lobe Overflow",POWER(Upgrades!$U$17,I221),1)*IF(Upgrades!$T$18="Roche Lobe Overflow",POWER(Upgrades!$U$18,J221),1)*IF(Upgrades!$T$19="Roche Lobe Overflow",POWER(Upgrades!$U$19,K221),1)*IF(Upgrades!$T$20="Roche Lobe Overflow",POWER(Upgrades!$U$20,L221),1)*IF(Upgrades!$T$21="Roche Lobe Overflow",POWER(Upgrades!$U$21,M221),1))+(IF(I221=0,0,(Upgrades!$J$17+I221*Upgrades!$K$17)*POWER(Upgrades!$L$17,I221)))*(IF(Upgrades!$T$13="Brown Dwarf",POWER(Upgrades!$U$13,E221),1)*IF(Upgrades!$T$14="Brown Dwarf",POWER(Upgrades!$U$14,F221),1)*IF(Upgrades!$T$15="Brown Dwarf",POWER(Upgrades!$U$15,G221),1)*IF(Upgrades!$T$16="Brown Dwarf",POWER(Upgrades!$U$16,H221),1)*IF(Upgrades!$T$18="Brown Dwarf",POWER(Upgrades!$U$18,J221),1)*IF(Upgrades!$T$19="Brown Dwarf",POWER(Upgrades!$U$19,K221),1)*IF(Upgrades!$T$20="Brown Dwarf",POWER(Upgrades!$U$20,L221),1)*IF(Upgrades!$T$21="Brown Dwarf",POWER(Upgrades!$U$21,M221),1))+(IF(J221=0,0,(Upgrades!$J$18+J221*Upgrades!$K$18)*POWER(Upgrades!$L$18,J221)))*(IF(Upgrades!$T$13="Binary Partner",POWER(Upgrades!$U$13,E221),1)*IF(Upgrades!$T$14="Binary Partner",POWER(Upgrades!$U$14,F221),1)*IF(Upgrades!$T$15="Binary Partner",POWER(Upgrades!$U$15,G221),1)*IF(Upgrades!$T$16="Binary Partner",POWER(Upgrades!$U$16,H221),1)*IF(Upgrades!$T$17="Binary Partner",POWER(Upgrades!$U$17,I221),1)*IF(Upgrades!$T$19="Binary Partner",POWER(Upgrades!$U$19,K221),1)*IF(Upgrades!$T$20="Binary Partner",POWER(Upgrades!$U$20,L221),1)*IF(Upgrades!$T$21="Binary Partner",POWER(Upgrades!$U$21,M221),1))+(IF(K221=0,0,(Upgrades!$J$19+K221*Upgrades!$K$19)*POWER(Upgrades!$L$19,K221)))*(IF(Upgrades!$T$13="Peculiar Velocity",POWER(Upgrades!$U$13,E221),1)*IF(Upgrades!$T$14="Peculiar Velocity",POWER(Upgrades!$U$14,F221),1)*IF(Upgrades!$T$15="Peculiar Velocity",POWER(Upgrades!$U$15,G221),1)*IF(Upgrades!$T$16="Peculiar Velocity",POWER(Upgrades!$U$16,H221),1)*IF(Upgrades!$T$17="Peculiar Velocity",POWER(Upgrades!$U$17,I221),1)*IF(Upgrades!$T$18="Peculiar Velocity",POWER(Upgrades!$U$18,J221),1)*IF(Upgrades!$T$20="Peculiar Velocity",POWER(Upgrades!$U$20,L221),1)*IF(Upgrades!$T$21="Peculiar Velocity",POWER(Upgrades!$U$21,M221),1))+(IF(L221=0,0,(Upgrades!$J$20+L221*Upgrades!$K$20)*POWER(Upgrades!$L$20,L221)))*(IF(Upgrades!$T$13="Open Cluster",POWER(Upgrades!$U$13,E221),1)*IF(Upgrades!$T$14="Open Cluster",POWER(Upgrades!$U$14,F221),1)*IF(Upgrades!$T$15="Open Cluster",POWER(Upgrades!$U$15,G221),1)*IF(Upgrades!$T$16="Open Cluster",POWER(Upgrades!$U$16,H221),1)*IF(Upgrades!$T$17="Open Cluster",POWER(Upgrades!$U$17,I221),1)*IF(Upgrades!$T$18="Open Cluster",POWER(Upgrades!$U$18,J221),1)*IF(Upgrades!$T$19="Open Cluster",POWER(Upgrades!$U$19,K221),1)*IF(Upgrades!$T$21="Open Cluster",POWER(Upgrades!$U$21,M221),1))+(IF(M221=0,0,(Upgrades!$J$21+M221*Upgrades!$K$21)*POWER(Upgrades!$L$21,M221)))*(IF(Upgrades!$T$13="Moving Group",POWER(Upgrades!$U$13,E221),1)*IF(Upgrades!$T$14="Moving Group",POWER(Upgrades!$U$14,F221),1)*IF(Upgrades!$T$15="Moving Group",POWER(Upgrades!$U$15,G221),1)*IF(Upgrades!$T$16="Moving Group",POWER(Upgrades!$U$16,H221),1)*IF(Upgrades!$T$17="Moving Group",POWER(Upgrades!$U$17,I221),1)*IF(Upgrades!$T$18="Moving Group",POWER(Upgrades!$U$18,J221),1)*IF(Upgrades!$T$19="Moving Group",POWER(Upgrades!$U$19,K221),1)*IF(Upgrades!$T$20="Moving Group",POWER(Upgrades!$U$20,L221),1)))*POWER(Upgrades!$Q$13,E221)*POWER(Upgrades!$Q$14,F221)*POWER(Upgrades!$Q$15,G221)*POWER(Upgrades!$Q$16,H221)*POWER(Upgrades!$Q$17,I221)*POWER(Upgrades!$Q$18,J221)*POWER(Upgrades!$Q$19,K221)*POWER(Upgrades!$Q$20,L221)*POWER(Upgrades!$Q$21,M221)*$G$6+$D$6</f>
        <v/>
      </c>
      <c r="P221" s="28">
        <f>((IF(E221=0,0,(Upgrades!$G$13+E221*Upgrades!$H$13)*POWER(Upgrades!$I$13,E221)))*(IF(Upgrades!$T$14="Stellar Kinematics",POWER(Upgrades!$U$14,F221),1)*IF(Upgrades!$T$15="Stellar Kinematics",POWER(Upgrades!$U$15,G221),1)*IF(Upgrades!$T$16="Stellar Kinematics",POWER(Upgrades!$U$16,H221),1)*IF(Upgrades!$T$17="Stellar Kinematics",POWER(Upgrades!$U$17,I221),1)*IF(Upgrades!$T$18="Stellar Kinematics",POWER(Upgrades!$U$18,J221),1)*IF(Upgrades!$T$19="Stellar Kinematics",POWER(Upgrades!$U$19,K221),1)*IF(Upgrades!$T$20="Stellar Kinematics",POWER(Upgrades!$U$20,L221),1)*IF(Upgrades!$T$21="Stellar Kinematics",POWER(Upgrades!$U$21,M221),1))+(IF(F221=0,0,(Upgrades!$G$14+F221*Upgrades!$H$14)*POWER(Upgrades!$I$14,F221)))*(IF(Upgrades!$T$13="Local Bubble",POWER(Upgrades!$U$13,E221),1)*IF(Upgrades!$T$15="Local Bubble",POWER(Upgrades!$U$15,G221),1)*IF(Upgrades!$T$16="Local Bubble",POWER(Upgrades!$U$16,H221),1)*IF(Upgrades!$T$17="Local Bubble",POWER(Upgrades!$U$17,I221),1)*IF(Upgrades!$T$18="Local Bubble",POWER(Upgrades!$U$18,J221),1)*IF(Upgrades!$T$19="Local Bubble",POWER(Upgrades!$U$19,K221),1)*IF(Upgrades!$T$20="Local Bubble",POWER(Upgrades!$U$20,L221),1)*IF(Upgrades!$T$21="Local Bubble",POWER(Upgrades!$U$21,M221),1))+(IF(G221=0,0,(Upgrades!$G$15+G221*Upgrades!$H$15)*POWER(Upgrades!$I$15,G221)))*(IF(Upgrades!$T$13="Microlensing",POWER(Upgrades!$U$13,E221),1)*IF(Upgrades!$T$14="Microlensing",POWER(Upgrades!$U$14,F221),1)*IF(Upgrades!$T$16="Microlensing",POWER(Upgrades!$U$16,H221),1)*IF(Upgrades!$T$17="Microlensing",POWER(Upgrades!$U$17,I221),1)*IF(Upgrades!$T$18="Microlensing",POWER(Upgrades!$U$18,J221),1)*IF(Upgrades!$T$19="Microlensing",POWER(Upgrades!$U$19,K221),1)*IF(Upgrades!$T$20="Microlensing",POWER(Upgrades!$U$20,L221),1)*IF(Upgrades!$T$21="Microlensing",POWER(Upgrades!$U$21,M221),1))+(IF(H221=0,0,(Upgrades!$G$16+H221*Upgrades!$H$16)*POWER(Upgrades!$I$16,H221)))*(IF(Upgrades!$T$13="Roche Lobe Overflow",POWER(Upgrades!$U$13,E221),1)*IF(Upgrades!$T$14="Roche Lobe Overflow",POWER(Upgrades!$U$14,F221),1)*IF(Upgrades!$T$15="Roche Lobe Overflow",POWER(Upgrades!$U$15,G221),1)*IF(Upgrades!$T$17="Roche Lobe Overflow",POWER(Upgrades!$U$17,I221),1)*IF(Upgrades!$T$18="Roche Lobe Overflow",POWER(Upgrades!$U$18,J221),1)*IF(Upgrades!$T$19="Roche Lobe Overflow",POWER(Upgrades!$U$19,K221),1)*IF(Upgrades!$T$20="Roche Lobe Overflow",POWER(Upgrades!$U$20,L221),1)*IF(Upgrades!$T$21="Roche Lobe Overflow",POWER(Upgrades!$U$21,M221),1))+(IF(I221=0,0,(Upgrades!$G$17+I221*Upgrades!$H$17)*POWER(Upgrades!$I$17,I221)))*(IF(Upgrades!$T$13="Brown Dwarf",POWER(Upgrades!$U$13,E221),1)*IF(Upgrades!$T$14="Brown Dwarf",POWER(Upgrades!$U$14,F221),1)*IF(Upgrades!$T$15="Brown Dwarf",POWER(Upgrades!$U$15,G221),1)*IF(Upgrades!$T$16="Brown Dwarf",POWER(Upgrades!$U$16,H221),1)*IF(Upgrades!$T$18="Brown Dwarf",POWER(Upgrades!$U$18,J221),1)*IF(Upgrades!$T$19="Brown Dwarf",POWER(Upgrades!$U$19,K221),1)*IF(Upgrades!$T$20="Brown Dwarf",POWER(Upgrades!$U$20,L221),1)*IF(Upgrades!$T$21="Brown Dwarf",POWER(Upgrades!$U$21,M221),1))+(IF(J221=0,0,(Upgrades!$G$18+J221*Upgrades!$H$18)*POWER(Upgrades!$I$18,J221)))*(IF(Upgrades!$T$13="Binary Partner",POWER(Upgrades!$U$13,E221),1)*IF(Upgrades!$T$14="Binary Partner",POWER(Upgrades!$U$14,F221),1)*IF(Upgrades!$T$15="Binary Partner",POWER(Upgrades!$U$15,G221),1)*IF(Upgrades!$T$16="Binary Partner",POWER(Upgrades!$U$16,H221),1)*IF(Upgrades!$T$17="Binary Partner",POWER(Upgrades!$U$17,I221),1)*IF(Upgrades!$T$19="Binary Partner",POWER(Upgrades!$U$19,K221),1)*IF(Upgrades!$T$20="Binary Partner",POWER(Upgrades!$U$20,L221),1)*IF(Upgrades!$T$21="Binary Partner",POWER(Upgrades!$U$21,M221),1))+(IF(K221=0,0,(Upgrades!$G$19+K221*Upgrades!$H$19)*POWER(Upgrades!$I$19,K221)))*(IF(Upgrades!$T$13="Peculiar Velocity",POWER(Upgrades!$U$13,E221),1)*IF(Upgrades!$T$14="Peculiar Velocity",POWER(Upgrades!$U$14,F221),1)*IF(Upgrades!$T$15="Peculiar Velocity",POWER(Upgrades!$U$15,G221),1)*IF(Upgrades!$T$16="Peculiar Velocity",POWER(Upgrades!$U$16,H221),1)*IF(Upgrades!$T$17="Peculiar Velocity",POWER(Upgrades!$U$17,I221),1)*IF(Upgrades!$T$18="Peculiar Velocity",POWER(Upgrades!$U$18,J221),1)*IF(Upgrades!$T$20="Peculiar Velocity",POWER(Upgrades!$U$20,L221),1)*IF(Upgrades!$T$21="Peculiar Velocity",POWER(Upgrades!$U$21,M221),1))+(IF(L221=0,0,(Upgrades!$G$20+L221*Upgrades!$H$20)*POWER(Upgrades!$I$20,L221)))*(IF(Upgrades!$T$13="Open Cluster",POWER(Upgrades!$U$13,E221),1)*IF(Upgrades!$T$14="Open Cluster",POWER(Upgrades!$U$14,F221),1)*IF(Upgrades!$T$15="Open Cluster",POWER(Upgrades!$U$15,G221),1)*IF(Upgrades!$T$16="Open Cluster",POWER(Upgrades!$U$16,H221),1)*IF(Upgrades!$T$17="Open Cluster",POWER(Upgrades!$U$17,I221),1)*IF(Upgrades!$T$18="Open Cluster",POWER(Upgrades!$U$18,J221),1)*IF(Upgrades!$T$19="Open Cluster",POWER(Upgrades!$U$19,K221),1)*IF(Upgrades!$T$21="Open Cluster",POWER(Upgrades!$U$21,M221),1))+(IF(M221=0,0,(Upgrades!$G$21+M221*Upgrades!$H$21)*POWER(Upgrades!$I$21,M221)))*(IF(Upgrades!$T$13="Moving Group",POWER(Upgrades!$U$13,E221),1)*IF(Upgrades!$T$14="Moving Group",POWER(Upgrades!$U$14,F221),1)*IF(Upgrades!$T$15="Moving Group",POWER(Upgrades!$U$15,G221),1)*IF(Upgrades!$T$16="Moving Group",POWER(Upgrades!$U$16,H221),1)*IF(Upgrades!$T$17="Moving Group",POWER(Upgrades!$U$17,I221),1)*IF(Upgrades!$T$18="Moving Group",POWER(Upgrades!$U$18,J221),1)*IF(Upgrades!$T$19="Moving Group",POWER(Upgrades!$U$19,K221),1)*IF(Upgrades!$T$20="Moving Group",POWER(Upgrades!$U$20,L221),1)))*POWER(Upgrades!$P$13,E221)*POWER(Upgrades!$P$14,F221)*POWER(Upgrades!$P$15,G221)*POWER(Upgrades!$P$16,H221)*POWER(Upgrades!$P$17,I221)*POWER(Upgrades!$P$18,J221)*POWER(Upgrades!$P$19,K221)*POWER(Upgrades!$P$20,L221)*POWER(Upgrades!$P$21,M221)*$F$6+$C$6</f>
        <v/>
      </c>
      <c r="Q221" s="28">
        <f>((IF(E221=0,0,(Upgrades!$M$13+E221*Upgrades!$N$13)*POWER(Upgrades!$O$13,E221)))*(IF(Upgrades!$T$14="Stellar Kinematics",POWER(Upgrades!$U$14,F221),1)*IF(Upgrades!$T$15="Stellar Kinematics",POWER(Upgrades!$U$15,G221),1)*IF(Upgrades!$T$16="Stellar Kinematics",POWER(Upgrades!$U$16,H221),1)*IF(Upgrades!$T$17="Stellar Kinematics",POWER(Upgrades!$U$17,I221),1)*IF(Upgrades!$T$18="Stellar Kinematics",POWER(Upgrades!$U$18,J221),1)*IF(Upgrades!$T$19="Stellar Kinematics",POWER(Upgrades!$U$19,K221),1)*IF(Upgrades!$T$20="Stellar Kinematics",POWER(Upgrades!$U$20,L221),1)*IF(Upgrades!$T$21="Stellar Kinematics",POWER(Upgrades!$U$21,M221),1))+(IF(F221=0,0,(Upgrades!$M$14+F221*Upgrades!$N$14)*POWER(Upgrades!$O$14,F221)))*(IF(Upgrades!$T$13="Local Bubble",POWER(Upgrades!$U$13,E221),1)*IF(Upgrades!$T$15="Local Bubble",POWER(Upgrades!$U$15,G221),1)*IF(Upgrades!$T$16="Local Bubble",POWER(Upgrades!$U$16,H221),1)*IF(Upgrades!$T$17="Local Bubble",POWER(Upgrades!$U$17,I221),1)*IF(Upgrades!$T$18="Local Bubble",POWER(Upgrades!$U$18,J221),1)*IF(Upgrades!$T$19="Local Bubble",POWER(Upgrades!$U$19,K221),1)*IF(Upgrades!$T$20="Local Bubble",POWER(Upgrades!$U$20,L221),1)*IF(Upgrades!$T$21="Local Bubble",POWER(Upgrades!$U$21,M221),1))+(IF(G221=0,0,(Upgrades!$M$15+G221*Upgrades!$N$15)*POWER(Upgrades!$O$15,G221)))*(IF(Upgrades!$T$13="Microlensing",POWER(Upgrades!$U$13,E221),1)*IF(Upgrades!$T$14="Microlensing",POWER(Upgrades!$U$14,F221),1)*IF(Upgrades!$T$16="Microlensing",POWER(Upgrades!$U$16,H221),1)*IF(Upgrades!$T$17="Microlensing",POWER(Upgrades!$U$17,I221),1)*IF(Upgrades!$T$18="Microlensing",POWER(Upgrades!$U$18,J221),1)*IF(Upgrades!$T$19="Microlensing",POWER(Upgrades!$U$19,K221),1)*IF(Upgrades!$T$20="Microlensing",POWER(Upgrades!$U$20,L221),1)*IF(Upgrades!$T$21="Microlensing",POWER(Upgrades!$U$21,M221),1))+(IF(H221=0,0,(Upgrades!$M$16+H221*Upgrades!$N$16)*POWER(Upgrades!$O$16,H221)))*(IF(Upgrades!$T$13="Roche Lobe Overflow",POWER(Upgrades!$U$13,E221),1)*IF(Upgrades!$T$14="Roche Lobe Overflow",POWER(Upgrades!$U$14,F221),1)*IF(Upgrades!$T$15="Roche Lobe Overflow",POWER(Upgrades!$U$15,G221),1)*IF(Upgrades!$T$17="Roche Lobe Overflow",POWER(Upgrades!$U$17,I221),1)*IF(Upgrades!$T$18="Roche Lobe Overflow",POWER(Upgrades!$U$18,J221),1)*IF(Upgrades!$T$19="Roche Lobe Overflow",POWER(Upgrades!$U$19,K221),1)*IF(Upgrades!$T$20="Roche Lobe Overflow",POWER(Upgrades!$U$20,L221),1)*IF(Upgrades!$T$21="Roche Lobe Overflow",POWER(Upgrades!$U$21,M221),1))+(IF(I221=0,0,(Upgrades!$M$17+I221*Upgrades!$N$17)*POWER(Upgrades!$O$17,I221)))*(IF(Upgrades!$T$13="Brown Dwarf",POWER(Upgrades!$U$13,E221),1)*IF(Upgrades!$T$14="Brown Dwarf",POWER(Upgrades!$U$14,F221),1)*IF(Upgrades!$T$15="Brown Dwarf",POWER(Upgrades!$U$15,G221),1)*IF(Upgrades!$T$16="Brown Dwarf",POWER(Upgrades!$U$16,H221),1)*IF(Upgrades!$T$18="Brown Dwarf",POWER(Upgrades!$U$18,J221),1)*IF(Upgrades!$T$19="Brown Dwarf",POWER(Upgrades!$U$19,K221),1)*IF(Upgrades!$T$20="Brown Dwarf",POWER(Upgrades!$U$20,L221),1)*IF(Upgrades!$T$21="Brown Dwarf",POWER(Upgrades!$U$21,M221),1))+(IF(J221=0,0,(Upgrades!$M$18+J221*Upgrades!$N$18)*POWER(Upgrades!$O$18,J221)))*(IF(Upgrades!$T$13="Binary Partner",POWER(Upgrades!$U$13,E221),1)*IF(Upgrades!$T$14="Binary Partner",POWER(Upgrades!$U$14,F221),1)*IF(Upgrades!$T$15="Binary Partner",POWER(Upgrades!$U$15,G221),1)*IF(Upgrades!$T$16="Binary Partner",POWER(Upgrades!$U$16,H221),1)*IF(Upgrades!$T$17="Binary Partner",POWER(Upgrades!$U$17,I221),1)*IF(Upgrades!$T$19="Binary Partner",POWER(Upgrades!$U$19,K221),1)*IF(Upgrades!$T$20="Binary Partner",POWER(Upgrades!$U$20,L221),1)*IF(Upgrades!$T$21="Binary Partner",POWER(Upgrades!$U$21,M221),1))+(IF(K221=0,0,(Upgrades!$M$19+K221*Upgrades!$N$19)*POWER(Upgrades!$O$19,K221)))*(IF(Upgrades!$T$13="Peculiar Velocity",POWER(Upgrades!$U$13,E221),1)*IF(Upgrades!$T$14="Peculiar Velocity",POWER(Upgrades!$U$14,F221),1)*IF(Upgrades!$T$15="Peculiar Velocity",POWER(Upgrades!$U$15,G221),1)*IF(Upgrades!$T$16="Peculiar Velocity",POWER(Upgrades!$U$16,H221),1)*IF(Upgrades!$T$17="Peculiar Velocity",POWER(Upgrades!$U$17,I221),1)*IF(Upgrades!$T$18="Peculiar Velocity",POWER(Upgrades!$U$18,J221),1)*IF(Upgrades!$T$20="Peculiar Velocity",POWER(Upgrades!$U$20,L221),1)*IF(Upgrades!$T$21="Peculiar Velocity",POWER(Upgrades!$U$21,M221),1))+(IF(L221=0,0,(Upgrades!$M$20+L221*Upgrades!$N$20)*POWER(Upgrades!$O$20,L221)))*(IF(Upgrades!$T$13="Open Cluster",POWER(Upgrades!$U$13,E221),1)*IF(Upgrades!$T$14="Open Cluster",POWER(Upgrades!$U$14,F221),1)*IF(Upgrades!$T$15="Open Cluster",POWER(Upgrades!$U$15,G221),1)*IF(Upgrades!$T$16="Open Cluster",POWER(Upgrades!$U$16,H221),1)*IF(Upgrades!$T$17="Open Cluster",POWER(Upgrades!$U$17,I221),1)*IF(Upgrades!$T$18="Open Cluster",POWER(Upgrades!$U$18,J221),1)*IF(Upgrades!$T$19="Open Cluster",POWER(Upgrades!$U$19,K221),1)*IF(Upgrades!$T$21="Open Cluster",POWER(Upgrades!$U$21,M221),1))+(IF(M221=0,0,(Upgrades!$M$21+M221*Upgrades!$N$21)*POWER(Upgrades!$O$21,M221)))*(IF(Upgrades!$T$13="Moving Group",POWER(Upgrades!$U$13,E221),1)*IF(Upgrades!$T$14="Moving Group",POWER(Upgrades!$U$14,F221),1)*IF(Upgrades!$T$15="Moving Group",POWER(Upgrades!$U$15,G221),1)*IF(Upgrades!$T$16="Moving Group",POWER(Upgrades!$U$16,H221),1)*IF(Upgrades!$T$17="Moving Group",POWER(Upgrades!$U$17,I221),1)*IF(Upgrades!$T$18="Moving Group",POWER(Upgrades!$U$18,J221),1)*IF(Upgrades!$T$19="Moving Group",POWER(Upgrades!$U$19,K221),1)*IF(Upgrades!$T$20="Moving Group",POWER(Upgrades!$U$20,L221),1)))*POWER(Upgrades!$R$13,E221)*POWER(Upgrades!$R$14,F221)*POWER(Upgrades!$R$15,G221)*POWER(Upgrades!$R$16,H221)*POWER(Upgrades!$R$17,I221)*POWER(Upgrades!$R$18,J221)*POWER(Upgrades!$R$19,K221)*POWER(Upgrades!$R$20,L221)*POWER(Upgrades!$R$21,M221)*$H$6+$E$6</f>
        <v/>
      </c>
      <c r="R221" s="27">
        <f>IF(N221=1,0,O221*Parameters!$B$10/60*Parameters!$B$11*10)</f>
        <v/>
      </c>
      <c r="S221" s="27">
        <f>IF(N221=1,0,Q221*O221*10)</f>
        <v/>
      </c>
      <c r="T221" s="27">
        <f>IF(N221=1,0,R221+S221+P221*10)</f>
        <v/>
      </c>
      <c r="U221" s="33">
        <f>BE221</f>
        <v/>
      </c>
      <c r="V221" s="22">
        <f>IF(U221="",0,IF(U221="transition",0,IF(U221="SK",AK221,IF(U221="LB",AL221,IF(U221="ML",AM221,IF(U221="RLO",AN221,IF(U221="BD",AO221,IF(U221="BiP",AP221,IF(U221="PV",AQ221,IF(U221="OC",AR221,IF(U221="MG",AS221,0))))))))))</f>
        <v/>
      </c>
      <c r="W221" s="27">
        <f>IF(U221="BiP",Upgrades!$F$18,IF(U221="PV",Upgrades!$F$19,IF(U221="OC",Upgrades!$F$20,IF(U221="MG",Upgrades!$F$21,IF(U221="transition",-Parameters!$B$18*Parameters!$B$19,0)))))</f>
        <v/>
      </c>
      <c r="X221" s="22">
        <f>C221+T221-V221</f>
        <v/>
      </c>
      <c r="Y221" s="30">
        <f>O221*Parameters!$B$10/60*Parameters!$B$11+Q221*O221+P221</f>
        <v/>
      </c>
      <c r="Z221" s="34">
        <f>IF(U221="transition","→ Tier 3 (Galactic Arm)",IF(U221="MG","Moving Group — pocket drifts together",IF(U221="OC","Open Cluster acquired",IF(U221="PV","Peculiar Velocity — passive multiplier active",IF(U221="BiP","Binary Partner — pair bond formed",IF(AND(AU221=1,N221=0,AT221&lt;&gt;1),"Cohesion ready (waiting on completionists)","")))))) </f>
        <v/>
      </c>
      <c r="AA221" s="27">
        <f>(IF(E221=0,0,(Upgrades!$G$13+E221*Upgrades!$H$13)*POWER(Upgrades!$I$13,E221)))*(IF(Upgrades!$T$14="Stellar Kinematics",POWER(Upgrades!$U$14,F221),1)*IF(Upgrades!$T$15="Stellar Kinematics",POWER(Upgrades!$U$15,G221),1)*IF(Upgrades!$T$16="Stellar Kinematics",POWER(Upgrades!$U$16,H221),1)*IF(Upgrades!$T$17="Stellar Kinematics",POWER(Upgrades!$U$17,I221),1)*IF(Upgrades!$T$18="Stellar Kinematics",POWER(Upgrades!$U$18,J221),1)*IF(Upgrades!$T$19="Stellar Kinematics",POWER(Upgrades!$U$19,K221),1)*IF(Upgrades!$T$20="Stellar Kinematics",POWER(Upgrades!$U$20,L221),1)*IF(Upgrades!$T$21="Stellar Kinematics",POWER(Upgrades!$U$21,M221),1))*POWER(Upgrades!$P$13,E221)*POWER(Upgrades!$P$14,F221)*POWER(Upgrades!$P$15,G221)*POWER(Upgrades!$P$16,H221)*POWER(Upgrades!$P$17,I221)*POWER(Upgrades!$P$18,J221)*POWER(Upgrades!$P$19,K221)*POWER(Upgrades!$P$20,L221)*POWER(Upgrades!$P$21,M221)*$F$6*60</f>
        <v/>
      </c>
      <c r="AB221" s="27">
        <f>(IF(F221=0,0,(Upgrades!$G$14+F221*Upgrades!$H$14)*POWER(Upgrades!$I$14,F221)))*(IF(Upgrades!$T$13="Local Bubble",POWER(Upgrades!$U$13,E221),1)*IF(Upgrades!$T$15="Local Bubble",POWER(Upgrades!$U$15,G221),1)*IF(Upgrades!$T$16="Local Bubble",POWER(Upgrades!$U$16,H221),1)*IF(Upgrades!$T$17="Local Bubble",POWER(Upgrades!$U$17,I221),1)*IF(Upgrades!$T$18="Local Bubble",POWER(Upgrades!$U$18,J221),1)*IF(Upgrades!$T$19="Local Bubble",POWER(Upgrades!$U$19,K221),1)*IF(Upgrades!$T$20="Local Bubble",POWER(Upgrades!$U$20,L221),1)*IF(Upgrades!$T$21="Local Bubble",POWER(Upgrades!$U$21,M221),1))*POWER(Upgrades!$P$13,E221)*POWER(Upgrades!$P$14,F221)*POWER(Upgrades!$P$15,G221)*POWER(Upgrades!$P$16,H221)*POWER(Upgrades!$P$17,I221)*POWER(Upgrades!$P$18,J221)*POWER(Upgrades!$P$19,K221)*POWER(Upgrades!$P$20,L221)*POWER(Upgrades!$P$21,M221)*$F$6*60</f>
        <v/>
      </c>
      <c r="AC221" s="27">
        <f>(IF(G221=0,0,(Upgrades!$J$15+G221*Upgrades!$K$15)*POWER(Upgrades!$L$15,G221)))*(IF(Upgrades!$T$13="Microlensing",POWER(Upgrades!$U$13,E221),1)*IF(Upgrades!$T$14="Microlensing",POWER(Upgrades!$U$14,F221),1)*IF(Upgrades!$T$16="Microlensing",POWER(Upgrades!$U$16,H221),1)*IF(Upgrades!$T$17="Microlensing",POWER(Upgrades!$U$17,I221),1)*IF(Upgrades!$T$18="Microlensing",POWER(Upgrades!$U$18,J221),1)*IF(Upgrades!$T$19="Microlensing",POWER(Upgrades!$U$19,K221),1)*IF(Upgrades!$T$20="Microlensing",POWER(Upgrades!$U$20,L221),1)*IF(Upgrades!$T$21="Microlensing",POWER(Upgrades!$U$21,M221),1))*POWER(Upgrades!$Q$13,E221)*POWER(Upgrades!$Q$14,F221)*POWER(Upgrades!$Q$15,G221)*POWER(Upgrades!$Q$16,H221)*POWER(Upgrades!$Q$17,I221)*POWER(Upgrades!$Q$18,J221)*POWER(Upgrades!$Q$19,K221)*POWER(Upgrades!$Q$20,L221)*POWER(Upgrades!$Q$21,M221)*$G$6*(Parameters!$B$10*Parameters!$B$11+Q221*60)</f>
        <v/>
      </c>
      <c r="AD221" s="27">
        <f>(IF(H221=0,0,(Upgrades!$M$16+H221*Upgrades!$N$16)*POWER(Upgrades!$O$16,H221)))*(IF(Upgrades!$T$13="Roche Lobe Overflow",POWER(Upgrades!$U$13,E221),1)*IF(Upgrades!$T$14="Roche Lobe Overflow",POWER(Upgrades!$U$14,F221),1)*IF(Upgrades!$T$15="Roche Lobe Overflow",POWER(Upgrades!$U$15,G221),1)*IF(Upgrades!$T$17="Roche Lobe Overflow",POWER(Upgrades!$U$17,I221),1)*IF(Upgrades!$T$18="Roche Lobe Overflow",POWER(Upgrades!$U$18,J221),1)*IF(Upgrades!$T$19="Roche Lobe Overflow",POWER(Upgrades!$U$19,K221),1)*IF(Upgrades!$T$20="Roche Lobe Overflow",POWER(Upgrades!$U$20,L221),1)*IF(Upgrades!$T$21="Roche Lobe Overflow",POWER(Upgrades!$U$21,M221),1))*POWER(Upgrades!$R$13,E221)*POWER(Upgrades!$R$14,F221)*POWER(Upgrades!$R$15,G221)*POWER(Upgrades!$R$16,H221)*POWER(Upgrades!$R$17,I221)*POWER(Upgrades!$R$18,J221)*POWER(Upgrades!$R$19,K221)*POWER(Upgrades!$R$20,L221)*POWER(Upgrades!$R$21,M221)*$H$6*O221*60</f>
        <v/>
      </c>
      <c r="AE221" s="27">
        <f>(IF(I221=0,0,(Upgrades!$G$17+I221*Upgrades!$H$17)*POWER(Upgrades!$I$17,I221)))*(IF(Upgrades!$T$13="Brown Dwarf",POWER(Upgrades!$U$13,E221),1)*IF(Upgrades!$T$14="Brown Dwarf",POWER(Upgrades!$U$14,F221),1)*IF(Upgrades!$T$15="Brown Dwarf",POWER(Upgrades!$U$15,G221),1)*IF(Upgrades!$T$16="Brown Dwarf",POWER(Upgrades!$U$16,H221),1)*IF(Upgrades!$T$18="Brown Dwarf",POWER(Upgrades!$U$18,J221),1)*IF(Upgrades!$T$19="Brown Dwarf",POWER(Upgrades!$U$19,K221),1)*IF(Upgrades!$T$20="Brown Dwarf",POWER(Upgrades!$U$20,L221),1)*IF(Upgrades!$T$21="Brown Dwarf",POWER(Upgrades!$U$21,M221),1))*POWER(Upgrades!$P$13,E221)*POWER(Upgrades!$P$14,F221)*POWER(Upgrades!$P$15,G221)*POWER(Upgrades!$P$16,H221)*POWER(Upgrades!$P$17,I221)*POWER(Upgrades!$P$18,J221)*POWER(Upgrades!$P$19,K221)*POWER(Upgrades!$P$20,L221)*POWER(Upgrades!$P$21,M221)*$F$6*60</f>
        <v/>
      </c>
      <c r="AF221" s="27" t="n">
        <v>0</v>
      </c>
      <c r="AG221" s="27" t="n">
        <v>0</v>
      </c>
      <c r="AH221" s="27" t="n">
        <v>0</v>
      </c>
      <c r="AI221" s="27">
        <f>(IF(M221=0,0,(Upgrades!$G$21+M221*Upgrades!$H$21)*POWER(Upgrades!$I$21,M221)))*(IF(Upgrades!$T$13="Moving Group",POWER(Upgrades!$U$13,E221),1)*IF(Upgrades!$T$14="Moving Group",POWER(Upgrades!$U$14,F221),1)*IF(Upgrades!$T$15="Moving Group",POWER(Upgrades!$U$15,G221),1)*IF(Upgrades!$T$16="Moving Group",POWER(Upgrades!$U$16,H221),1)*IF(Upgrades!$T$17="Moving Group",POWER(Upgrades!$U$17,I221),1)*IF(Upgrades!$T$18="Moving Group",POWER(Upgrades!$U$18,J221),1)*IF(Upgrades!$T$19="Moving Group",POWER(Upgrades!$U$19,K221),1)*IF(Upgrades!$T$20="Moving Group",POWER(Upgrades!$U$20,L221),1))*POWER(Upgrades!$P$13,E221)*POWER(Upgrades!$P$14,F221)*POWER(Upgrades!$P$15,G221)*POWER(Upgrades!$P$16,H221)*POWER(Upgrades!$P$17,I221)*POWER(Upgrades!$P$18,J221)*POWER(Upgrades!$P$19,K221)*POWER(Upgrades!$P$20,L221)*POWER(Upgrades!$P$21,M221)*$F$6*60</f>
        <v/>
      </c>
      <c r="AJ221" s="27">
        <f>$C$6*60</f>
        <v/>
      </c>
      <c r="AK221" s="22">
        <f>IF(E221&gt;=Upgrades!$E$13,"",Upgrades!$C$13*POWER(Upgrades!$D$13,E221))</f>
        <v/>
      </c>
      <c r="AL221" s="22">
        <f>IF(F221&gt;=Upgrades!$E$14,"",Upgrades!$C$14*POWER(Upgrades!$D$14,F221))</f>
        <v/>
      </c>
      <c r="AM221" s="22">
        <f>IF(G221&gt;=Upgrades!$E$15,"",Upgrades!$C$15*POWER(Upgrades!$D$15,G221))</f>
        <v/>
      </c>
      <c r="AN221" s="22">
        <f>IF(H221&gt;=Upgrades!$E$16,"",Upgrades!$C$16*POWER(Upgrades!$D$16,H221))</f>
        <v/>
      </c>
      <c r="AO221" s="22">
        <f>IF(I221&gt;=Upgrades!$E$17,"",Upgrades!$C$17*POWER(Upgrades!$D$17,I221))</f>
        <v/>
      </c>
      <c r="AP221" s="22">
        <f>IF(J221&gt;=Upgrades!$E$18,"",Upgrades!$C$18*POWER(Upgrades!$D$18,J221))</f>
        <v/>
      </c>
      <c r="AQ221" s="22">
        <f>IF(K221&gt;=Upgrades!$E$19,"",Upgrades!$C$19*POWER(Upgrades!$D$19,K221))</f>
        <v/>
      </c>
      <c r="AR221" s="22">
        <f>IF(L221&gt;=Upgrades!$E$20,"",Upgrades!$C$20*POWER(Upgrades!$D$20,L221))</f>
        <v/>
      </c>
      <c r="AS221" s="22">
        <f>IF(M221&gt;=Upgrades!$E$21,"",Upgrades!$C$21*POWER(Upgrades!$D$21,M221))</f>
        <v/>
      </c>
      <c r="AT221" s="26">
        <f>IF(AND(D221&gt;=Parameters!$B$18*Parameters!$B$19,(I221&gt;=Upgrades!$E$17)*(M221&gt;=Upgrades!$E$21)=1,N221=0),1,"")</f>
        <v/>
      </c>
      <c r="AU221" s="26">
        <f>IF(AND(D221&gt;=Parameters!$B$18*Parameters!$B$19,N221=0),1,"")</f>
        <v/>
      </c>
      <c r="AV221" s="22">
        <f>MIN(IF(ISNUMBER(AP221),AP221,9E15),IF(ISNUMBER(AQ221),AQ221,9E15),IF(ISNUMBER(AR221),AR221,9E15),IF(ISNUMBER(AS221),AS221,9E15))</f>
        <v/>
      </c>
      <c r="AW221" s="22">
        <f>MIN(IF(ISNUMBER(AK221),AK221,9E15),IF(ISNUMBER(AL221),AL221,9E15),IF(ISNUMBER(AM221),AM221,9E15),IF(ISNUMBER(AN221),AN221,9E15),IF(ISNUMBER(AO221),AO221,9E15))</f>
        <v/>
      </c>
      <c r="AX221" s="29">
        <f>IF(BD221&gt;Parameters!$B$21*(MAX(IF(AND(NOT(AND(AU221=1,AT221&lt;&gt;1)),ISNUMBER(AK221),AK221&lt;=(C221+T221)),AY221,0),IF(AND(NOT(AND(AU221=1,AT221&lt;&gt;1)),ISNUMBER(AL221),AL221&lt;=(C221+T221)),AZ221,0),IF(AND(NOT(AND(AU221=1,AT221&lt;&gt;1)),ISNUMBER(AM221),AM221&lt;=(C221+T221)),BA221,0),IF(AND(NOT(AND(AU221=1,AT221&lt;&gt;1)),ISNUMBER(AN221),AN221&lt;=(C221+T221)),BB221,0),IF(AND(ISNUMBER(AO221),AO221&lt;=(C221+T221)),BC221,0))),TRUE,FALSE)</f>
        <v/>
      </c>
      <c r="AY221" s="32">
        <f>IFERROR(Upgrades!$H$13*(POWER(Upgrades!$P$13,E221)*POWER(Upgrades!$P$14,F221)*POWER(Upgrades!$P$15,G221)*POWER(Upgrades!$P$16,H221)*POWER(Upgrades!$P$17,I221)*POWER(Upgrades!$P$18,J221)*POWER(Upgrades!$P$19,K221)*POWER(Upgrades!$P$20,L221)*POWER(Upgrades!$P$21,M221))*(IF(Upgrades!$T$14="Stellar Kinematics",POWER(Upgrades!$U$14,F221),1)*IF(Upgrades!$T$15="Stellar Kinematics",POWER(Upgrades!$U$15,G221),1)*IF(Upgrades!$T$16="Stellar Kinematics",POWER(Upgrades!$U$16,H221),1)*IF(Upgrades!$T$17="Stellar Kinematics",POWER(Upgrades!$U$17,I221),1)*IF(Upgrades!$T$18="Stellar Kinematics",POWER(Upgrades!$U$18,J221),1)*IF(Upgrades!$T$19="Stellar Kinematics",POWER(Upgrades!$U$19,K221),1)*IF(Upgrades!$T$20="Stellar Kinematics",POWER(Upgrades!$U$20,L221),1)*IF(Upgrades!$T$21="Stellar Kinematics",POWER(Upgrades!$U$21,M221),1))*$F$6/AK221,0)</f>
        <v/>
      </c>
      <c r="AZ221" s="32">
        <f>IFERROR(Upgrades!$H$14*(POWER(Upgrades!$P$13,E221)*POWER(Upgrades!$P$14,F221)*POWER(Upgrades!$P$15,G221)*POWER(Upgrades!$P$16,H221)*POWER(Upgrades!$P$17,I221)*POWER(Upgrades!$P$18,J221)*POWER(Upgrades!$P$19,K221)*POWER(Upgrades!$P$20,L221)*POWER(Upgrades!$P$21,M221))*(IF(Upgrades!$T$13="Local Bubble",POWER(Upgrades!$U$13,E221),1)*IF(Upgrades!$T$15="Local Bubble",POWER(Upgrades!$U$15,G221),1)*IF(Upgrades!$T$16="Local Bubble",POWER(Upgrades!$U$16,H221),1)*IF(Upgrades!$T$17="Local Bubble",POWER(Upgrades!$U$17,I221),1)*IF(Upgrades!$T$18="Local Bubble",POWER(Upgrades!$U$18,J221),1)*IF(Upgrades!$T$19="Local Bubble",POWER(Upgrades!$U$19,K221),1)*IF(Upgrades!$T$20="Local Bubble",POWER(Upgrades!$U$20,L221),1)*IF(Upgrades!$T$21="Local Bubble",POWER(Upgrades!$U$21,M221),1))*$F$6/AL221,0)</f>
        <v/>
      </c>
      <c r="BA221" s="32">
        <f>IFERROR(Upgrades!$K$15*(POWER(Upgrades!$Q$13,E221)*POWER(Upgrades!$Q$14,F221)*POWER(Upgrades!$Q$15,G221)*POWER(Upgrades!$Q$16,H221)*POWER(Upgrades!$Q$17,I221)*POWER(Upgrades!$Q$18,J221)*POWER(Upgrades!$Q$19,K221)*POWER(Upgrades!$Q$20,L221)*POWER(Upgrades!$Q$21,M221))*(IF(Upgrades!$T$13="Microlensing",POWER(Upgrades!$U$13,E221),1)*IF(Upgrades!$T$14="Microlensing",POWER(Upgrades!$U$14,F221),1)*IF(Upgrades!$T$16="Microlensing",POWER(Upgrades!$U$16,H221),1)*IF(Upgrades!$T$17="Microlensing",POWER(Upgrades!$U$17,I221),1)*IF(Upgrades!$T$18="Microlensing",POWER(Upgrades!$U$18,J221),1)*IF(Upgrades!$T$19="Microlensing",POWER(Upgrades!$U$19,K221),1)*IF(Upgrades!$T$20="Microlensing",POWER(Upgrades!$U$20,L221),1)*IF(Upgrades!$T$21="Microlensing",POWER(Upgrades!$U$21,M221),1))*$G$6*(Parameters!$B$10/60*Parameters!$B$11+Q221)/AM221,0)</f>
        <v/>
      </c>
      <c r="BB221" s="32">
        <f>IFERROR((Upgrades!$N$16*(POWER(Upgrades!$R$13,E221)*POWER(Upgrades!$R$14,F221)*POWER(Upgrades!$R$15,G221)*POWER(Upgrades!$R$16,H221)*POWER(Upgrades!$R$17,I221)*POWER(Upgrades!$R$18,J221)*POWER(Upgrades!$R$19,K221)*POWER(Upgrades!$R$20,L221)*POWER(Upgrades!$R$21,M221))*(IF(Upgrades!$T$13="Roche Lobe Overflow",POWER(Upgrades!$U$13,E221),1)*IF(Upgrades!$T$14="Roche Lobe Overflow",POWER(Upgrades!$U$14,F221),1)*IF(Upgrades!$T$15="Roche Lobe Overflow",POWER(Upgrades!$U$15,G221),1)*IF(Upgrades!$T$17="Roche Lobe Overflow",POWER(Upgrades!$U$17,I221),1)*IF(Upgrades!$T$18="Roche Lobe Overflow",POWER(Upgrades!$U$18,J221),1)*IF(Upgrades!$T$19="Roche Lobe Overflow",POWER(Upgrades!$U$19,K221),1)*IF(Upgrades!$T$20="Roche Lobe Overflow",POWER(Upgrades!$U$20,L221),1)*IF(Upgrades!$T$21="Roche Lobe Overflow",POWER(Upgrades!$U$21,M221),1))*$H$6*O221+((IF(F221=0,0,(Upgrades!$G$14+F221*Upgrades!$H$14)*POWER(Upgrades!$I$14,F221)))*(IF(Upgrades!$T$13="Local Bubble",POWER(Upgrades!$U$13,E221),1)*IF(Upgrades!$T$15="Local Bubble",POWER(Upgrades!$U$15,G221),1)*IF(Upgrades!$T$16="Local Bubble",POWER(Upgrades!$U$16,H221),1)*IF(Upgrades!$T$17="Local Bubble",POWER(Upgrades!$U$17,I221),1)*IF(Upgrades!$T$18="Local Bubble",POWER(Upgrades!$U$18,J221),1)*IF(Upgrades!$T$19="Local Bubble",POWER(Upgrades!$U$19,K221),1)*IF(Upgrades!$T$20="Local Bubble",POWER(Upgrades!$U$20,L221),1)*IF(Upgrades!$T$21="Local Bubble",POWER(Upgrades!$U$21,M221),1))*POWER(Upgrades!$P$13,E221)*POWER(Upgrades!$P$14,F221)*POWER(Upgrades!$P$15,G221)*POWER(Upgrades!$P$16,H221)*POWER(Upgrades!$P$17,I221)*POWER(Upgrades!$P$18,J221)*POWER(Upgrades!$P$19,K221)*POWER(Upgrades!$P$20,L221)*POWER(Upgrades!$P$21,M221)*$F$6)*0.05)/AN221,0)</f>
        <v/>
      </c>
      <c r="BC221" s="32">
        <f>IFERROR((Upgrades!$H$17*(POWER(Upgrades!$P$13,E221)*POWER(Upgrades!$P$14,F221)*POWER(Upgrades!$P$15,G221)*POWER(Upgrades!$P$16,H221)*POWER(Upgrades!$P$17,I221)*POWER(Upgrades!$P$18,J221)*POWER(Upgrades!$P$19,K221)*POWER(Upgrades!$P$20,L221)*POWER(Upgrades!$P$21,M221))*(IF(Upgrades!$T$13="Brown Dwarf",POWER(Upgrades!$U$13,E221),1)*IF(Upgrades!$T$14="Brown Dwarf",POWER(Upgrades!$U$14,F221),1)*IF(Upgrades!$T$15="Brown Dwarf",POWER(Upgrades!$U$15,G221),1)*IF(Upgrades!$T$16="Brown Dwarf",POWER(Upgrades!$U$16,H221),1)*IF(Upgrades!$T$18="Brown Dwarf",POWER(Upgrades!$U$18,J221),1)*IF(Upgrades!$T$19="Brown Dwarf",POWER(Upgrades!$U$19,K221),1)*IF(Upgrades!$T$20="Brown Dwarf",POWER(Upgrades!$U$20,L221),1)*IF(Upgrades!$T$21="Brown Dwarf",POWER(Upgrades!$U$21,M221),1))*$F$6+(((IF(H221=0,0,(Upgrades!$M$16+H221*Upgrades!$N$16)*POWER(Upgrades!$O$16,H221)))*(IF(Upgrades!$T$13="Roche Lobe Overflow",POWER(Upgrades!$U$13,E221),1)*IF(Upgrades!$T$14="Roche Lobe Overflow",POWER(Upgrades!$U$14,F221),1)*IF(Upgrades!$T$15="Roche Lobe Overflow",POWER(Upgrades!$U$15,G221),1)*IF(Upgrades!$T$17="Roche Lobe Overflow",POWER(Upgrades!$U$17,I221),1)*IF(Upgrades!$T$18="Roche Lobe Overflow",POWER(Upgrades!$U$18,J221),1)*IF(Upgrades!$T$19="Roche Lobe Overflow",POWER(Upgrades!$U$19,K221),1)*IF(Upgrades!$T$20="Roche Lobe Overflow",POWER(Upgrades!$U$20,L221),1)*IF(Upgrades!$T$21="Roche Lobe Overflow",POWER(Upgrades!$U$21,M221),1))*POWER(Upgrades!$R$13,E221)*POWER(Upgrades!$R$14,F221)*POWER(Upgrades!$R$15,G221)*POWER(Upgrades!$R$16,H221)*POWER(Upgrades!$R$17,I221)*POWER(Upgrades!$R$18,J221)*POWER(Upgrades!$R$19,K221)*POWER(Upgrades!$R$20,L221)*POWER(Upgrades!$R$21,M221)*$H$6)*O221)*0.10)/AO221,0)</f>
        <v/>
      </c>
      <c r="BD221" s="32">
        <f>MAX(IF(J221&gt;0,0,IFERROR(0.5*((IF(G221=0,0,(Upgrades!$J$15+G221*Upgrades!$K$15)*POWER(Upgrades!$L$15,G221)))*(IF(Upgrades!$T$13="Microlensing",POWER(Upgrades!$U$13,E221),1)*IF(Upgrades!$T$14="Microlensing",POWER(Upgrades!$U$14,F221),1)*IF(Upgrades!$T$16="Microlensing",POWER(Upgrades!$U$16,H221),1)*IF(Upgrades!$T$17="Microlensing",POWER(Upgrades!$U$17,I221),1)*IF(Upgrades!$T$18="Microlensing",POWER(Upgrades!$U$18,J221),1)*IF(Upgrades!$T$19="Microlensing",POWER(Upgrades!$U$19,K221),1)*IF(Upgrades!$T$20="Microlensing",POWER(Upgrades!$U$20,L221),1)*IF(Upgrades!$T$21="Microlensing",POWER(Upgrades!$U$21,M221),1))*(POWER(Upgrades!$Q$13,E221)*POWER(Upgrades!$Q$14,F221)*POWER(Upgrades!$Q$15,G221)*POWER(Upgrades!$Q$16,H221)*POWER(Upgrades!$Q$17,I221)*POWER(Upgrades!$Q$18,J221)*POWER(Upgrades!$Q$19,K221)*POWER(Upgrades!$Q$20,L221)*POWER(Upgrades!$Q$21,M221))*$G$6*(Parameters!$B$10/60*Parameters!$B$11+Q221))/Upgrades!$C$18,0)),IF(K221&gt;0,0,IFERROR(0.30*P221/Upgrades!$C$19,0)),IF(L221&gt;0,0,IFERROR(0.0001/Upgrades!$C$20,0)),IF(M221&gt;0,0,IFERROR((6.0*(POWER(Upgrades!$P$13,E221)*POWER(Upgrades!$P$14,F221)*POWER(Upgrades!$P$15,G221)*POWER(Upgrades!$P$16,H221)*POWER(Upgrades!$P$17,I221)*POWER(Upgrades!$P$18,J221)*POWER(Upgrades!$P$19,K221)*POWER(Upgrades!$P$20,L221)*POWER(Upgrades!$P$21,M221))*$F$6+0.20*O221*(Parameters!$B$10/60*Parameters!$B$11+Q221))/Upgrades!$C$21,0)),IF(AND(ISNUMBER(AK221),AK221&gt;(C221+T221)),AY221,0),IF(AND(ISNUMBER(AL221),AL221&gt;(C221+T221)),AZ221,0),IF(AND(ISNUMBER(AM221),AM221&gt;(C221+T221)),BA221,0),IF(AND(ISNUMBER(AN221),AN221&gt;(C221+T221)),BB221,0),IF(AND(ISNUMBER(AO221),AO221&gt;(C221+T221)),BC221,0))</f>
        <v/>
      </c>
      <c r="BE221" s="29">
        <f>IF(AT221=1,"transition",IF(MIN(IF(AND(J221=0,ISNUMBER(AP221),AP221&lt;=(C221+T221)),AP221,9E15),IF(AND(K221=0,ISNUMBER(AQ221),AQ221&lt;=(C221+T221)),AQ221,9E15),IF(AND(L221=0,ISNUMBER(AR221),AR221&lt;=(C221+T221)),AR221,9E15),IF(AND(M221=0,ISNUMBER(AS221),AS221&lt;=(C221+T221)),AS221,9E15))&lt;9E15,IF(AND(AND(J221=0,ISNUMBER(AP221),AP221&lt;=(C221+T221)),AP221=MIN(IF(AND(J221=0,ISNUMBER(AP221),AP221&lt;=(C221+T221)),AP221,9E15),IF(AND(K221=0,ISNUMBER(AQ221),AQ221&lt;=(C221+T221)),AQ221,9E15),IF(AND(L221=0,ISNUMBER(AR221),AR221&lt;=(C221+T221)),AR221,9E15),IF(AND(M221=0,ISNUMBER(AS221),AS221&lt;=(C221+T221)),AS221,9E15))),"BiP",IF(AND(AND(K221=0,ISNUMBER(AQ221),AQ221&lt;=(C221+T221)),AQ221=MIN(IF(AND(J221=0,ISNUMBER(AP221),AP221&lt;=(C221+T221)),AP221,9E15),IF(AND(K221=0,ISNUMBER(AQ221),AQ221&lt;=(C221+T221)),AQ221,9E15),IF(AND(L221=0,ISNUMBER(AR221),AR221&lt;=(C221+T221)),AR221,9E15),IF(AND(M221=0,ISNUMBER(AS221),AS221&lt;=(C221+T221)),AS221,9E15))),"PV",IF(AND(AND(L221=0,ISNUMBER(AR221),AR221&lt;=(C221+T221)),AR221=MIN(IF(AND(J221=0,ISNUMBER(AP221),AP221&lt;=(C221+T221)),AP221,9E15),IF(AND(K221=0,ISNUMBER(AQ221),AQ221&lt;=(C221+T221)),AQ221,9E15),IF(AND(L221=0,ISNUMBER(AR221),AR221&lt;=(C221+T221)),AR221,9E15),IF(AND(M221=0,ISNUMBER(AS221),AS221&lt;=(C221+T221)),AS221,9E15))),"OC","MG"))),IF(AX221=TRUE,"",IF(MAX(IF(AND(NOT(AND(AU221=1,AT221&lt;&gt;1)),ISNUMBER(AK221),AK221&lt;=(C221+T221)),AY221,0),IF(AND(NOT(AND(AU221=1,AT221&lt;&gt;1)),ISNUMBER(AL221),AL221&lt;=(C221+T221)),AZ221,0),IF(AND(NOT(AND(AU221=1,AT221&lt;&gt;1)),ISNUMBER(AM221),AM221&lt;=(C221+T221)),BA221,0),IF(AND(NOT(AND(AU221=1,AT221&lt;&gt;1)),ISNUMBER(AN221),AN221&lt;=(C221+T221)),BB221,0),IF(AND(ISNUMBER(AO221),AO221&lt;=(C221+T221)),BC221,0))&lt;=0,"",IF(AND(IF(AND(NOT(AND(AU221=1,AT221&lt;&gt;1)),ISNUMBER(AK221),AK221&lt;=(C221+T221)),AY221,0)&gt;0,IF(AND(NOT(AND(AU221=1,AT221&lt;&gt;1)),ISNUMBER(AK221),AK221&lt;=(C221+T221)),AY221,0)=MAX(IF(AND(NOT(AND(AU221=1,AT221&lt;&gt;1)),ISNUMBER(AK221),AK221&lt;=(C221+T221)),AY221,0),IF(AND(NOT(AND(AU221=1,AT221&lt;&gt;1)),ISNUMBER(AL221),AL221&lt;=(C221+T221)),AZ221,0),IF(AND(NOT(AND(AU221=1,AT221&lt;&gt;1)),ISNUMBER(AM221),AM221&lt;=(C221+T221)),BA221,0),IF(AND(NOT(AND(AU221=1,AT221&lt;&gt;1)),ISNUMBER(AN221),AN221&lt;=(C221+T221)),BB221,0),IF(AND(ISNUMBER(AO221),AO221&lt;=(C221+T221)),BC221,0))),"SK",IF(AND(IF(AND(NOT(AND(AU221=1,AT221&lt;&gt;1)),ISNUMBER(AL221),AL221&lt;=(C221+T221)),AZ221,0)&gt;0,IF(AND(NOT(AND(AU221=1,AT221&lt;&gt;1)),ISNUMBER(AL221),AL221&lt;=(C221+T221)),AZ221,0)=MAX(IF(AND(NOT(AND(AU221=1,AT221&lt;&gt;1)),ISNUMBER(AK221),AK221&lt;=(C221+T221)),AY221,0),IF(AND(NOT(AND(AU221=1,AT221&lt;&gt;1)),ISNUMBER(AL221),AL221&lt;=(C221+T221)),AZ221,0),IF(AND(NOT(AND(AU221=1,AT221&lt;&gt;1)),ISNUMBER(AM221),AM221&lt;=(C221+T221)),BA221,0),IF(AND(NOT(AND(AU221=1,AT221&lt;&gt;1)),ISNUMBER(AN221),AN221&lt;=(C221+T221)),BB221,0),IF(AND(ISNUMBER(AO221),AO221&lt;=(C221+T221)),BC221,0))),"LB",IF(AND(IF(AND(NOT(AND(AU221=1,AT221&lt;&gt;1)),ISNUMBER(AM221),AM221&lt;=(C221+T221)),BA221,0)&gt;0,IF(AND(NOT(AND(AU221=1,AT221&lt;&gt;1)),ISNUMBER(AM221),AM221&lt;=(C221+T221)),BA221,0)=MAX(IF(AND(NOT(AND(AU221=1,AT221&lt;&gt;1)),ISNUMBER(AK221),AK221&lt;=(C221+T221)),AY221,0),IF(AND(NOT(AND(AU221=1,AT221&lt;&gt;1)),ISNUMBER(AL221),AL221&lt;=(C221+T221)),AZ221,0),IF(AND(NOT(AND(AU221=1,AT221&lt;&gt;1)),ISNUMBER(AM221),AM221&lt;=(C221+T221)),BA221,0),IF(AND(NOT(AND(AU221=1,AT221&lt;&gt;1)),ISNUMBER(AN221),AN221&lt;=(C221+T221)),BB221,0),IF(AND(ISNUMBER(AO221),AO221&lt;=(C221+T221)),BC221,0))),"ML",IF(AND(IF(AND(NOT(AND(AU221=1,AT221&lt;&gt;1)),ISNUMBER(AN221),AN221&lt;=(C221+T221)),BB221,0)&gt;0,IF(AND(NOT(AND(AU221=1,AT221&lt;&gt;1)),ISNUMBER(AN221),AN221&lt;=(C221+T221)),BB221,0)=MAX(IF(AND(NOT(AND(AU221=1,AT221&lt;&gt;1)),ISNUMBER(AK221),AK221&lt;=(C221+T221)),AY221,0),IF(AND(NOT(AND(AU221=1,AT221&lt;&gt;1)),ISNUMBER(AL221),AL221&lt;=(C221+T221)),AZ221,0),IF(AND(NOT(AND(AU221=1,AT221&lt;&gt;1)),ISNUMBER(AM221),AM221&lt;=(C221+T221)),BA221,0),IF(AND(NOT(AND(AU221=1,AT221&lt;&gt;1)),ISNUMBER(AN221),AN221&lt;=(C221+T221)),BB221,0),IF(AND(ISNUMBER(AO221),AO221&lt;=(C221+T221)),BC221,0))),"RLO","BD"))))))))</f>
        <v/>
      </c>
    </row>
    <row r="222">
      <c r="A222" s="26" t="n">
        <v>211</v>
      </c>
      <c r="B222" s="27">
        <f>A222*10/60</f>
        <v/>
      </c>
      <c r="C222" s="22">
        <f>X221</f>
        <v/>
      </c>
      <c r="D222" s="27">
        <f>D221+W221</f>
        <v/>
      </c>
      <c r="E222" s="26">
        <f>E221+IF(U221="SK",1,0)</f>
        <v/>
      </c>
      <c r="F222" s="26">
        <f>F221+IF(U221="LB",1,0)</f>
        <v/>
      </c>
      <c r="G222" s="26">
        <f>G221+IF(U221="ML",1,0)</f>
        <v/>
      </c>
      <c r="H222" s="26">
        <f>H221+IF(U221="RLO",1,0)</f>
        <v/>
      </c>
      <c r="I222" s="26">
        <f>I221+IF(U221="BD",1,0)</f>
        <v/>
      </c>
      <c r="J222" s="26">
        <f>MAX(J221,IF(U221="BiP",1,0))</f>
        <v/>
      </c>
      <c r="K222" s="26">
        <f>MAX(K221,IF(U221="PV",1,0))</f>
        <v/>
      </c>
      <c r="L222" s="26">
        <f>MAX(L221,IF(U221="OC",1,0))</f>
        <v/>
      </c>
      <c r="M222" s="26">
        <f>MAX(M221,IF(U221="MG",1,0))</f>
        <v/>
      </c>
      <c r="N222" s="26">
        <f>MAX(N221,IF(U221="transition",1,0))</f>
        <v/>
      </c>
      <c r="O222" s="28">
        <f>(Parameters!$B$9+(IF(E222=0,0,(Upgrades!$J$13+E222*Upgrades!$K$13)*POWER(Upgrades!$L$13,E222)))*(IF(Upgrades!$T$14="Stellar Kinematics",POWER(Upgrades!$U$14,F222),1)*IF(Upgrades!$T$15="Stellar Kinematics",POWER(Upgrades!$U$15,G222),1)*IF(Upgrades!$T$16="Stellar Kinematics",POWER(Upgrades!$U$16,H222),1)*IF(Upgrades!$T$17="Stellar Kinematics",POWER(Upgrades!$U$17,I222),1)*IF(Upgrades!$T$18="Stellar Kinematics",POWER(Upgrades!$U$18,J222),1)*IF(Upgrades!$T$19="Stellar Kinematics",POWER(Upgrades!$U$19,K222),1)*IF(Upgrades!$T$20="Stellar Kinematics",POWER(Upgrades!$U$20,L222),1)*IF(Upgrades!$T$21="Stellar Kinematics",POWER(Upgrades!$U$21,M222),1))+(IF(F222=0,0,(Upgrades!$J$14+F222*Upgrades!$K$14)*POWER(Upgrades!$L$14,F222)))*(IF(Upgrades!$T$13="Local Bubble",POWER(Upgrades!$U$13,E222),1)*IF(Upgrades!$T$15="Local Bubble",POWER(Upgrades!$U$15,G222),1)*IF(Upgrades!$T$16="Local Bubble",POWER(Upgrades!$U$16,H222),1)*IF(Upgrades!$T$17="Local Bubble",POWER(Upgrades!$U$17,I222),1)*IF(Upgrades!$T$18="Local Bubble",POWER(Upgrades!$U$18,J222),1)*IF(Upgrades!$T$19="Local Bubble",POWER(Upgrades!$U$19,K222),1)*IF(Upgrades!$T$20="Local Bubble",POWER(Upgrades!$U$20,L222),1)*IF(Upgrades!$T$21="Local Bubble",POWER(Upgrades!$U$21,M222),1))+(IF(G222=0,0,(Upgrades!$J$15+G222*Upgrades!$K$15)*POWER(Upgrades!$L$15,G222)))*(IF(Upgrades!$T$13="Microlensing",POWER(Upgrades!$U$13,E222),1)*IF(Upgrades!$T$14="Microlensing",POWER(Upgrades!$U$14,F222),1)*IF(Upgrades!$T$16="Microlensing",POWER(Upgrades!$U$16,H222),1)*IF(Upgrades!$T$17="Microlensing",POWER(Upgrades!$U$17,I222),1)*IF(Upgrades!$T$18="Microlensing",POWER(Upgrades!$U$18,J222),1)*IF(Upgrades!$T$19="Microlensing",POWER(Upgrades!$U$19,K222),1)*IF(Upgrades!$T$20="Microlensing",POWER(Upgrades!$U$20,L222),1)*IF(Upgrades!$T$21="Microlensing",POWER(Upgrades!$U$21,M222),1))+(IF(H222=0,0,(Upgrades!$J$16+H222*Upgrades!$K$16)*POWER(Upgrades!$L$16,H222)))*(IF(Upgrades!$T$13="Roche Lobe Overflow",POWER(Upgrades!$U$13,E222),1)*IF(Upgrades!$T$14="Roche Lobe Overflow",POWER(Upgrades!$U$14,F222),1)*IF(Upgrades!$T$15="Roche Lobe Overflow",POWER(Upgrades!$U$15,G222),1)*IF(Upgrades!$T$17="Roche Lobe Overflow",POWER(Upgrades!$U$17,I222),1)*IF(Upgrades!$T$18="Roche Lobe Overflow",POWER(Upgrades!$U$18,J222),1)*IF(Upgrades!$T$19="Roche Lobe Overflow",POWER(Upgrades!$U$19,K222),1)*IF(Upgrades!$T$20="Roche Lobe Overflow",POWER(Upgrades!$U$20,L222),1)*IF(Upgrades!$T$21="Roche Lobe Overflow",POWER(Upgrades!$U$21,M222),1))+(IF(I222=0,0,(Upgrades!$J$17+I222*Upgrades!$K$17)*POWER(Upgrades!$L$17,I222)))*(IF(Upgrades!$T$13="Brown Dwarf",POWER(Upgrades!$U$13,E222),1)*IF(Upgrades!$T$14="Brown Dwarf",POWER(Upgrades!$U$14,F222),1)*IF(Upgrades!$T$15="Brown Dwarf",POWER(Upgrades!$U$15,G222),1)*IF(Upgrades!$T$16="Brown Dwarf",POWER(Upgrades!$U$16,H222),1)*IF(Upgrades!$T$18="Brown Dwarf",POWER(Upgrades!$U$18,J222),1)*IF(Upgrades!$T$19="Brown Dwarf",POWER(Upgrades!$U$19,K222),1)*IF(Upgrades!$T$20="Brown Dwarf",POWER(Upgrades!$U$20,L222),1)*IF(Upgrades!$T$21="Brown Dwarf",POWER(Upgrades!$U$21,M222),1))+(IF(J222=0,0,(Upgrades!$J$18+J222*Upgrades!$K$18)*POWER(Upgrades!$L$18,J222)))*(IF(Upgrades!$T$13="Binary Partner",POWER(Upgrades!$U$13,E222),1)*IF(Upgrades!$T$14="Binary Partner",POWER(Upgrades!$U$14,F222),1)*IF(Upgrades!$T$15="Binary Partner",POWER(Upgrades!$U$15,G222),1)*IF(Upgrades!$T$16="Binary Partner",POWER(Upgrades!$U$16,H222),1)*IF(Upgrades!$T$17="Binary Partner",POWER(Upgrades!$U$17,I222),1)*IF(Upgrades!$T$19="Binary Partner",POWER(Upgrades!$U$19,K222),1)*IF(Upgrades!$T$20="Binary Partner",POWER(Upgrades!$U$20,L222),1)*IF(Upgrades!$T$21="Binary Partner",POWER(Upgrades!$U$21,M222),1))+(IF(K222=0,0,(Upgrades!$J$19+K222*Upgrades!$K$19)*POWER(Upgrades!$L$19,K222)))*(IF(Upgrades!$T$13="Peculiar Velocity",POWER(Upgrades!$U$13,E222),1)*IF(Upgrades!$T$14="Peculiar Velocity",POWER(Upgrades!$U$14,F222),1)*IF(Upgrades!$T$15="Peculiar Velocity",POWER(Upgrades!$U$15,G222),1)*IF(Upgrades!$T$16="Peculiar Velocity",POWER(Upgrades!$U$16,H222),1)*IF(Upgrades!$T$17="Peculiar Velocity",POWER(Upgrades!$U$17,I222),1)*IF(Upgrades!$T$18="Peculiar Velocity",POWER(Upgrades!$U$18,J222),1)*IF(Upgrades!$T$20="Peculiar Velocity",POWER(Upgrades!$U$20,L222),1)*IF(Upgrades!$T$21="Peculiar Velocity",POWER(Upgrades!$U$21,M222),1))+(IF(L222=0,0,(Upgrades!$J$20+L222*Upgrades!$K$20)*POWER(Upgrades!$L$20,L222)))*(IF(Upgrades!$T$13="Open Cluster",POWER(Upgrades!$U$13,E222),1)*IF(Upgrades!$T$14="Open Cluster",POWER(Upgrades!$U$14,F222),1)*IF(Upgrades!$T$15="Open Cluster",POWER(Upgrades!$U$15,G222),1)*IF(Upgrades!$T$16="Open Cluster",POWER(Upgrades!$U$16,H222),1)*IF(Upgrades!$T$17="Open Cluster",POWER(Upgrades!$U$17,I222),1)*IF(Upgrades!$T$18="Open Cluster",POWER(Upgrades!$U$18,J222),1)*IF(Upgrades!$T$19="Open Cluster",POWER(Upgrades!$U$19,K222),1)*IF(Upgrades!$T$21="Open Cluster",POWER(Upgrades!$U$21,M222),1))+(IF(M222=0,0,(Upgrades!$J$21+M222*Upgrades!$K$21)*POWER(Upgrades!$L$21,M222)))*(IF(Upgrades!$T$13="Moving Group",POWER(Upgrades!$U$13,E222),1)*IF(Upgrades!$T$14="Moving Group",POWER(Upgrades!$U$14,F222),1)*IF(Upgrades!$T$15="Moving Group",POWER(Upgrades!$U$15,G222),1)*IF(Upgrades!$T$16="Moving Group",POWER(Upgrades!$U$16,H222),1)*IF(Upgrades!$T$17="Moving Group",POWER(Upgrades!$U$17,I222),1)*IF(Upgrades!$T$18="Moving Group",POWER(Upgrades!$U$18,J222),1)*IF(Upgrades!$T$19="Moving Group",POWER(Upgrades!$U$19,K222),1)*IF(Upgrades!$T$20="Moving Group",POWER(Upgrades!$U$20,L222),1)))*POWER(Upgrades!$Q$13,E222)*POWER(Upgrades!$Q$14,F222)*POWER(Upgrades!$Q$15,G222)*POWER(Upgrades!$Q$16,H222)*POWER(Upgrades!$Q$17,I222)*POWER(Upgrades!$Q$18,J222)*POWER(Upgrades!$Q$19,K222)*POWER(Upgrades!$Q$20,L222)*POWER(Upgrades!$Q$21,M222)*$G$6+$D$6</f>
        <v/>
      </c>
      <c r="P222" s="28">
        <f>((IF(E222=0,0,(Upgrades!$G$13+E222*Upgrades!$H$13)*POWER(Upgrades!$I$13,E222)))*(IF(Upgrades!$T$14="Stellar Kinematics",POWER(Upgrades!$U$14,F222),1)*IF(Upgrades!$T$15="Stellar Kinematics",POWER(Upgrades!$U$15,G222),1)*IF(Upgrades!$T$16="Stellar Kinematics",POWER(Upgrades!$U$16,H222),1)*IF(Upgrades!$T$17="Stellar Kinematics",POWER(Upgrades!$U$17,I222),1)*IF(Upgrades!$T$18="Stellar Kinematics",POWER(Upgrades!$U$18,J222),1)*IF(Upgrades!$T$19="Stellar Kinematics",POWER(Upgrades!$U$19,K222),1)*IF(Upgrades!$T$20="Stellar Kinematics",POWER(Upgrades!$U$20,L222),1)*IF(Upgrades!$T$21="Stellar Kinematics",POWER(Upgrades!$U$21,M222),1))+(IF(F222=0,0,(Upgrades!$G$14+F222*Upgrades!$H$14)*POWER(Upgrades!$I$14,F222)))*(IF(Upgrades!$T$13="Local Bubble",POWER(Upgrades!$U$13,E222),1)*IF(Upgrades!$T$15="Local Bubble",POWER(Upgrades!$U$15,G222),1)*IF(Upgrades!$T$16="Local Bubble",POWER(Upgrades!$U$16,H222),1)*IF(Upgrades!$T$17="Local Bubble",POWER(Upgrades!$U$17,I222),1)*IF(Upgrades!$T$18="Local Bubble",POWER(Upgrades!$U$18,J222),1)*IF(Upgrades!$T$19="Local Bubble",POWER(Upgrades!$U$19,K222),1)*IF(Upgrades!$T$20="Local Bubble",POWER(Upgrades!$U$20,L222),1)*IF(Upgrades!$T$21="Local Bubble",POWER(Upgrades!$U$21,M222),1))+(IF(G222=0,0,(Upgrades!$G$15+G222*Upgrades!$H$15)*POWER(Upgrades!$I$15,G222)))*(IF(Upgrades!$T$13="Microlensing",POWER(Upgrades!$U$13,E222),1)*IF(Upgrades!$T$14="Microlensing",POWER(Upgrades!$U$14,F222),1)*IF(Upgrades!$T$16="Microlensing",POWER(Upgrades!$U$16,H222),1)*IF(Upgrades!$T$17="Microlensing",POWER(Upgrades!$U$17,I222),1)*IF(Upgrades!$T$18="Microlensing",POWER(Upgrades!$U$18,J222),1)*IF(Upgrades!$T$19="Microlensing",POWER(Upgrades!$U$19,K222),1)*IF(Upgrades!$T$20="Microlensing",POWER(Upgrades!$U$20,L222),1)*IF(Upgrades!$T$21="Microlensing",POWER(Upgrades!$U$21,M222),1))+(IF(H222=0,0,(Upgrades!$G$16+H222*Upgrades!$H$16)*POWER(Upgrades!$I$16,H222)))*(IF(Upgrades!$T$13="Roche Lobe Overflow",POWER(Upgrades!$U$13,E222),1)*IF(Upgrades!$T$14="Roche Lobe Overflow",POWER(Upgrades!$U$14,F222),1)*IF(Upgrades!$T$15="Roche Lobe Overflow",POWER(Upgrades!$U$15,G222),1)*IF(Upgrades!$T$17="Roche Lobe Overflow",POWER(Upgrades!$U$17,I222),1)*IF(Upgrades!$T$18="Roche Lobe Overflow",POWER(Upgrades!$U$18,J222),1)*IF(Upgrades!$T$19="Roche Lobe Overflow",POWER(Upgrades!$U$19,K222),1)*IF(Upgrades!$T$20="Roche Lobe Overflow",POWER(Upgrades!$U$20,L222),1)*IF(Upgrades!$T$21="Roche Lobe Overflow",POWER(Upgrades!$U$21,M222),1))+(IF(I222=0,0,(Upgrades!$G$17+I222*Upgrades!$H$17)*POWER(Upgrades!$I$17,I222)))*(IF(Upgrades!$T$13="Brown Dwarf",POWER(Upgrades!$U$13,E222),1)*IF(Upgrades!$T$14="Brown Dwarf",POWER(Upgrades!$U$14,F222),1)*IF(Upgrades!$T$15="Brown Dwarf",POWER(Upgrades!$U$15,G222),1)*IF(Upgrades!$T$16="Brown Dwarf",POWER(Upgrades!$U$16,H222),1)*IF(Upgrades!$T$18="Brown Dwarf",POWER(Upgrades!$U$18,J222),1)*IF(Upgrades!$T$19="Brown Dwarf",POWER(Upgrades!$U$19,K222),1)*IF(Upgrades!$T$20="Brown Dwarf",POWER(Upgrades!$U$20,L222),1)*IF(Upgrades!$T$21="Brown Dwarf",POWER(Upgrades!$U$21,M222),1))+(IF(J222=0,0,(Upgrades!$G$18+J222*Upgrades!$H$18)*POWER(Upgrades!$I$18,J222)))*(IF(Upgrades!$T$13="Binary Partner",POWER(Upgrades!$U$13,E222),1)*IF(Upgrades!$T$14="Binary Partner",POWER(Upgrades!$U$14,F222),1)*IF(Upgrades!$T$15="Binary Partner",POWER(Upgrades!$U$15,G222),1)*IF(Upgrades!$T$16="Binary Partner",POWER(Upgrades!$U$16,H222),1)*IF(Upgrades!$T$17="Binary Partner",POWER(Upgrades!$U$17,I222),1)*IF(Upgrades!$T$19="Binary Partner",POWER(Upgrades!$U$19,K222),1)*IF(Upgrades!$T$20="Binary Partner",POWER(Upgrades!$U$20,L222),1)*IF(Upgrades!$T$21="Binary Partner",POWER(Upgrades!$U$21,M222),1))+(IF(K222=0,0,(Upgrades!$G$19+K222*Upgrades!$H$19)*POWER(Upgrades!$I$19,K222)))*(IF(Upgrades!$T$13="Peculiar Velocity",POWER(Upgrades!$U$13,E222),1)*IF(Upgrades!$T$14="Peculiar Velocity",POWER(Upgrades!$U$14,F222),1)*IF(Upgrades!$T$15="Peculiar Velocity",POWER(Upgrades!$U$15,G222),1)*IF(Upgrades!$T$16="Peculiar Velocity",POWER(Upgrades!$U$16,H222),1)*IF(Upgrades!$T$17="Peculiar Velocity",POWER(Upgrades!$U$17,I222),1)*IF(Upgrades!$T$18="Peculiar Velocity",POWER(Upgrades!$U$18,J222),1)*IF(Upgrades!$T$20="Peculiar Velocity",POWER(Upgrades!$U$20,L222),1)*IF(Upgrades!$T$21="Peculiar Velocity",POWER(Upgrades!$U$21,M222),1))+(IF(L222=0,0,(Upgrades!$G$20+L222*Upgrades!$H$20)*POWER(Upgrades!$I$20,L222)))*(IF(Upgrades!$T$13="Open Cluster",POWER(Upgrades!$U$13,E222),1)*IF(Upgrades!$T$14="Open Cluster",POWER(Upgrades!$U$14,F222),1)*IF(Upgrades!$T$15="Open Cluster",POWER(Upgrades!$U$15,G222),1)*IF(Upgrades!$T$16="Open Cluster",POWER(Upgrades!$U$16,H222),1)*IF(Upgrades!$T$17="Open Cluster",POWER(Upgrades!$U$17,I222),1)*IF(Upgrades!$T$18="Open Cluster",POWER(Upgrades!$U$18,J222),1)*IF(Upgrades!$T$19="Open Cluster",POWER(Upgrades!$U$19,K222),1)*IF(Upgrades!$T$21="Open Cluster",POWER(Upgrades!$U$21,M222),1))+(IF(M222=0,0,(Upgrades!$G$21+M222*Upgrades!$H$21)*POWER(Upgrades!$I$21,M222)))*(IF(Upgrades!$T$13="Moving Group",POWER(Upgrades!$U$13,E222),1)*IF(Upgrades!$T$14="Moving Group",POWER(Upgrades!$U$14,F222),1)*IF(Upgrades!$T$15="Moving Group",POWER(Upgrades!$U$15,G222),1)*IF(Upgrades!$T$16="Moving Group",POWER(Upgrades!$U$16,H222),1)*IF(Upgrades!$T$17="Moving Group",POWER(Upgrades!$U$17,I222),1)*IF(Upgrades!$T$18="Moving Group",POWER(Upgrades!$U$18,J222),1)*IF(Upgrades!$T$19="Moving Group",POWER(Upgrades!$U$19,K222),1)*IF(Upgrades!$T$20="Moving Group",POWER(Upgrades!$U$20,L222),1)))*POWER(Upgrades!$P$13,E222)*POWER(Upgrades!$P$14,F222)*POWER(Upgrades!$P$15,G222)*POWER(Upgrades!$P$16,H222)*POWER(Upgrades!$P$17,I222)*POWER(Upgrades!$P$18,J222)*POWER(Upgrades!$P$19,K222)*POWER(Upgrades!$P$20,L222)*POWER(Upgrades!$P$21,M222)*$F$6+$C$6</f>
        <v/>
      </c>
      <c r="Q222" s="28">
        <f>((IF(E222=0,0,(Upgrades!$M$13+E222*Upgrades!$N$13)*POWER(Upgrades!$O$13,E222)))*(IF(Upgrades!$T$14="Stellar Kinematics",POWER(Upgrades!$U$14,F222),1)*IF(Upgrades!$T$15="Stellar Kinematics",POWER(Upgrades!$U$15,G222),1)*IF(Upgrades!$T$16="Stellar Kinematics",POWER(Upgrades!$U$16,H222),1)*IF(Upgrades!$T$17="Stellar Kinematics",POWER(Upgrades!$U$17,I222),1)*IF(Upgrades!$T$18="Stellar Kinematics",POWER(Upgrades!$U$18,J222),1)*IF(Upgrades!$T$19="Stellar Kinematics",POWER(Upgrades!$U$19,K222),1)*IF(Upgrades!$T$20="Stellar Kinematics",POWER(Upgrades!$U$20,L222),1)*IF(Upgrades!$T$21="Stellar Kinematics",POWER(Upgrades!$U$21,M222),1))+(IF(F222=0,0,(Upgrades!$M$14+F222*Upgrades!$N$14)*POWER(Upgrades!$O$14,F222)))*(IF(Upgrades!$T$13="Local Bubble",POWER(Upgrades!$U$13,E222),1)*IF(Upgrades!$T$15="Local Bubble",POWER(Upgrades!$U$15,G222),1)*IF(Upgrades!$T$16="Local Bubble",POWER(Upgrades!$U$16,H222),1)*IF(Upgrades!$T$17="Local Bubble",POWER(Upgrades!$U$17,I222),1)*IF(Upgrades!$T$18="Local Bubble",POWER(Upgrades!$U$18,J222),1)*IF(Upgrades!$T$19="Local Bubble",POWER(Upgrades!$U$19,K222),1)*IF(Upgrades!$T$20="Local Bubble",POWER(Upgrades!$U$20,L222),1)*IF(Upgrades!$T$21="Local Bubble",POWER(Upgrades!$U$21,M222),1))+(IF(G222=0,0,(Upgrades!$M$15+G222*Upgrades!$N$15)*POWER(Upgrades!$O$15,G222)))*(IF(Upgrades!$T$13="Microlensing",POWER(Upgrades!$U$13,E222),1)*IF(Upgrades!$T$14="Microlensing",POWER(Upgrades!$U$14,F222),1)*IF(Upgrades!$T$16="Microlensing",POWER(Upgrades!$U$16,H222),1)*IF(Upgrades!$T$17="Microlensing",POWER(Upgrades!$U$17,I222),1)*IF(Upgrades!$T$18="Microlensing",POWER(Upgrades!$U$18,J222),1)*IF(Upgrades!$T$19="Microlensing",POWER(Upgrades!$U$19,K222),1)*IF(Upgrades!$T$20="Microlensing",POWER(Upgrades!$U$20,L222),1)*IF(Upgrades!$T$21="Microlensing",POWER(Upgrades!$U$21,M222),1))+(IF(H222=0,0,(Upgrades!$M$16+H222*Upgrades!$N$16)*POWER(Upgrades!$O$16,H222)))*(IF(Upgrades!$T$13="Roche Lobe Overflow",POWER(Upgrades!$U$13,E222),1)*IF(Upgrades!$T$14="Roche Lobe Overflow",POWER(Upgrades!$U$14,F222),1)*IF(Upgrades!$T$15="Roche Lobe Overflow",POWER(Upgrades!$U$15,G222),1)*IF(Upgrades!$T$17="Roche Lobe Overflow",POWER(Upgrades!$U$17,I222),1)*IF(Upgrades!$T$18="Roche Lobe Overflow",POWER(Upgrades!$U$18,J222),1)*IF(Upgrades!$T$19="Roche Lobe Overflow",POWER(Upgrades!$U$19,K222),1)*IF(Upgrades!$T$20="Roche Lobe Overflow",POWER(Upgrades!$U$20,L222),1)*IF(Upgrades!$T$21="Roche Lobe Overflow",POWER(Upgrades!$U$21,M222),1))+(IF(I222=0,0,(Upgrades!$M$17+I222*Upgrades!$N$17)*POWER(Upgrades!$O$17,I222)))*(IF(Upgrades!$T$13="Brown Dwarf",POWER(Upgrades!$U$13,E222),1)*IF(Upgrades!$T$14="Brown Dwarf",POWER(Upgrades!$U$14,F222),1)*IF(Upgrades!$T$15="Brown Dwarf",POWER(Upgrades!$U$15,G222),1)*IF(Upgrades!$T$16="Brown Dwarf",POWER(Upgrades!$U$16,H222),1)*IF(Upgrades!$T$18="Brown Dwarf",POWER(Upgrades!$U$18,J222),1)*IF(Upgrades!$T$19="Brown Dwarf",POWER(Upgrades!$U$19,K222),1)*IF(Upgrades!$T$20="Brown Dwarf",POWER(Upgrades!$U$20,L222),1)*IF(Upgrades!$T$21="Brown Dwarf",POWER(Upgrades!$U$21,M222),1))+(IF(J222=0,0,(Upgrades!$M$18+J222*Upgrades!$N$18)*POWER(Upgrades!$O$18,J222)))*(IF(Upgrades!$T$13="Binary Partner",POWER(Upgrades!$U$13,E222),1)*IF(Upgrades!$T$14="Binary Partner",POWER(Upgrades!$U$14,F222),1)*IF(Upgrades!$T$15="Binary Partner",POWER(Upgrades!$U$15,G222),1)*IF(Upgrades!$T$16="Binary Partner",POWER(Upgrades!$U$16,H222),1)*IF(Upgrades!$T$17="Binary Partner",POWER(Upgrades!$U$17,I222),1)*IF(Upgrades!$T$19="Binary Partner",POWER(Upgrades!$U$19,K222),1)*IF(Upgrades!$T$20="Binary Partner",POWER(Upgrades!$U$20,L222),1)*IF(Upgrades!$T$21="Binary Partner",POWER(Upgrades!$U$21,M222),1))+(IF(K222=0,0,(Upgrades!$M$19+K222*Upgrades!$N$19)*POWER(Upgrades!$O$19,K222)))*(IF(Upgrades!$T$13="Peculiar Velocity",POWER(Upgrades!$U$13,E222),1)*IF(Upgrades!$T$14="Peculiar Velocity",POWER(Upgrades!$U$14,F222),1)*IF(Upgrades!$T$15="Peculiar Velocity",POWER(Upgrades!$U$15,G222),1)*IF(Upgrades!$T$16="Peculiar Velocity",POWER(Upgrades!$U$16,H222),1)*IF(Upgrades!$T$17="Peculiar Velocity",POWER(Upgrades!$U$17,I222),1)*IF(Upgrades!$T$18="Peculiar Velocity",POWER(Upgrades!$U$18,J222),1)*IF(Upgrades!$T$20="Peculiar Velocity",POWER(Upgrades!$U$20,L222),1)*IF(Upgrades!$T$21="Peculiar Velocity",POWER(Upgrades!$U$21,M222),1))+(IF(L222=0,0,(Upgrades!$M$20+L222*Upgrades!$N$20)*POWER(Upgrades!$O$20,L222)))*(IF(Upgrades!$T$13="Open Cluster",POWER(Upgrades!$U$13,E222),1)*IF(Upgrades!$T$14="Open Cluster",POWER(Upgrades!$U$14,F222),1)*IF(Upgrades!$T$15="Open Cluster",POWER(Upgrades!$U$15,G222),1)*IF(Upgrades!$T$16="Open Cluster",POWER(Upgrades!$U$16,H222),1)*IF(Upgrades!$T$17="Open Cluster",POWER(Upgrades!$U$17,I222),1)*IF(Upgrades!$T$18="Open Cluster",POWER(Upgrades!$U$18,J222),1)*IF(Upgrades!$T$19="Open Cluster",POWER(Upgrades!$U$19,K222),1)*IF(Upgrades!$T$21="Open Cluster",POWER(Upgrades!$U$21,M222),1))+(IF(M222=0,0,(Upgrades!$M$21+M222*Upgrades!$N$21)*POWER(Upgrades!$O$21,M222)))*(IF(Upgrades!$T$13="Moving Group",POWER(Upgrades!$U$13,E222),1)*IF(Upgrades!$T$14="Moving Group",POWER(Upgrades!$U$14,F222),1)*IF(Upgrades!$T$15="Moving Group",POWER(Upgrades!$U$15,G222),1)*IF(Upgrades!$T$16="Moving Group",POWER(Upgrades!$U$16,H222),1)*IF(Upgrades!$T$17="Moving Group",POWER(Upgrades!$U$17,I222),1)*IF(Upgrades!$T$18="Moving Group",POWER(Upgrades!$U$18,J222),1)*IF(Upgrades!$T$19="Moving Group",POWER(Upgrades!$U$19,K222),1)*IF(Upgrades!$T$20="Moving Group",POWER(Upgrades!$U$20,L222),1)))*POWER(Upgrades!$R$13,E222)*POWER(Upgrades!$R$14,F222)*POWER(Upgrades!$R$15,G222)*POWER(Upgrades!$R$16,H222)*POWER(Upgrades!$R$17,I222)*POWER(Upgrades!$R$18,J222)*POWER(Upgrades!$R$19,K222)*POWER(Upgrades!$R$20,L222)*POWER(Upgrades!$R$21,M222)*$H$6+$E$6</f>
        <v/>
      </c>
      <c r="R222" s="27">
        <f>IF(N222=1,0,O222*Parameters!$B$10/60*Parameters!$B$11*10)</f>
        <v/>
      </c>
      <c r="S222" s="27">
        <f>IF(N222=1,0,Q222*O222*10)</f>
        <v/>
      </c>
      <c r="T222" s="27">
        <f>IF(N222=1,0,R222+S222+P222*10)</f>
        <v/>
      </c>
      <c r="U222" s="33">
        <f>BE222</f>
        <v/>
      </c>
      <c r="V222" s="22">
        <f>IF(U222="",0,IF(U222="transition",0,IF(U222="SK",AK222,IF(U222="LB",AL222,IF(U222="ML",AM222,IF(U222="RLO",AN222,IF(U222="BD",AO222,IF(U222="BiP",AP222,IF(U222="PV",AQ222,IF(U222="OC",AR222,IF(U222="MG",AS222,0))))))))))</f>
        <v/>
      </c>
      <c r="W222" s="27">
        <f>IF(U222="BiP",Upgrades!$F$18,IF(U222="PV",Upgrades!$F$19,IF(U222="OC",Upgrades!$F$20,IF(U222="MG",Upgrades!$F$21,IF(U222="transition",-Parameters!$B$18*Parameters!$B$19,0)))))</f>
        <v/>
      </c>
      <c r="X222" s="22">
        <f>C222+T222-V222</f>
        <v/>
      </c>
      <c r="Y222" s="30">
        <f>O222*Parameters!$B$10/60*Parameters!$B$11+Q222*O222+P222</f>
        <v/>
      </c>
      <c r="Z222" s="34">
        <f>IF(U222="transition","→ Tier 3 (Galactic Arm)",IF(U222="MG","Moving Group — pocket drifts together",IF(U222="OC","Open Cluster acquired",IF(U222="PV","Peculiar Velocity — passive multiplier active",IF(U222="BiP","Binary Partner — pair bond formed",IF(AND(AU222=1,N222=0,AT222&lt;&gt;1),"Cohesion ready (waiting on completionists)","")))))) </f>
        <v/>
      </c>
      <c r="AA222" s="27">
        <f>(IF(E222=0,0,(Upgrades!$G$13+E222*Upgrades!$H$13)*POWER(Upgrades!$I$13,E222)))*(IF(Upgrades!$T$14="Stellar Kinematics",POWER(Upgrades!$U$14,F222),1)*IF(Upgrades!$T$15="Stellar Kinematics",POWER(Upgrades!$U$15,G222),1)*IF(Upgrades!$T$16="Stellar Kinematics",POWER(Upgrades!$U$16,H222),1)*IF(Upgrades!$T$17="Stellar Kinematics",POWER(Upgrades!$U$17,I222),1)*IF(Upgrades!$T$18="Stellar Kinematics",POWER(Upgrades!$U$18,J222),1)*IF(Upgrades!$T$19="Stellar Kinematics",POWER(Upgrades!$U$19,K222),1)*IF(Upgrades!$T$20="Stellar Kinematics",POWER(Upgrades!$U$20,L222),1)*IF(Upgrades!$T$21="Stellar Kinematics",POWER(Upgrades!$U$21,M222),1))*POWER(Upgrades!$P$13,E222)*POWER(Upgrades!$P$14,F222)*POWER(Upgrades!$P$15,G222)*POWER(Upgrades!$P$16,H222)*POWER(Upgrades!$P$17,I222)*POWER(Upgrades!$P$18,J222)*POWER(Upgrades!$P$19,K222)*POWER(Upgrades!$P$20,L222)*POWER(Upgrades!$P$21,M222)*$F$6*60</f>
        <v/>
      </c>
      <c r="AB222" s="27">
        <f>(IF(F222=0,0,(Upgrades!$G$14+F222*Upgrades!$H$14)*POWER(Upgrades!$I$14,F222)))*(IF(Upgrades!$T$13="Local Bubble",POWER(Upgrades!$U$13,E222),1)*IF(Upgrades!$T$15="Local Bubble",POWER(Upgrades!$U$15,G222),1)*IF(Upgrades!$T$16="Local Bubble",POWER(Upgrades!$U$16,H222),1)*IF(Upgrades!$T$17="Local Bubble",POWER(Upgrades!$U$17,I222),1)*IF(Upgrades!$T$18="Local Bubble",POWER(Upgrades!$U$18,J222),1)*IF(Upgrades!$T$19="Local Bubble",POWER(Upgrades!$U$19,K222),1)*IF(Upgrades!$T$20="Local Bubble",POWER(Upgrades!$U$20,L222),1)*IF(Upgrades!$T$21="Local Bubble",POWER(Upgrades!$U$21,M222),1))*POWER(Upgrades!$P$13,E222)*POWER(Upgrades!$P$14,F222)*POWER(Upgrades!$P$15,G222)*POWER(Upgrades!$P$16,H222)*POWER(Upgrades!$P$17,I222)*POWER(Upgrades!$P$18,J222)*POWER(Upgrades!$P$19,K222)*POWER(Upgrades!$P$20,L222)*POWER(Upgrades!$P$21,M222)*$F$6*60</f>
        <v/>
      </c>
      <c r="AC222" s="27">
        <f>(IF(G222=0,0,(Upgrades!$J$15+G222*Upgrades!$K$15)*POWER(Upgrades!$L$15,G222)))*(IF(Upgrades!$T$13="Microlensing",POWER(Upgrades!$U$13,E222),1)*IF(Upgrades!$T$14="Microlensing",POWER(Upgrades!$U$14,F222),1)*IF(Upgrades!$T$16="Microlensing",POWER(Upgrades!$U$16,H222),1)*IF(Upgrades!$T$17="Microlensing",POWER(Upgrades!$U$17,I222),1)*IF(Upgrades!$T$18="Microlensing",POWER(Upgrades!$U$18,J222),1)*IF(Upgrades!$T$19="Microlensing",POWER(Upgrades!$U$19,K222),1)*IF(Upgrades!$T$20="Microlensing",POWER(Upgrades!$U$20,L222),1)*IF(Upgrades!$T$21="Microlensing",POWER(Upgrades!$U$21,M222),1))*POWER(Upgrades!$Q$13,E222)*POWER(Upgrades!$Q$14,F222)*POWER(Upgrades!$Q$15,G222)*POWER(Upgrades!$Q$16,H222)*POWER(Upgrades!$Q$17,I222)*POWER(Upgrades!$Q$18,J222)*POWER(Upgrades!$Q$19,K222)*POWER(Upgrades!$Q$20,L222)*POWER(Upgrades!$Q$21,M222)*$G$6*(Parameters!$B$10*Parameters!$B$11+Q222*60)</f>
        <v/>
      </c>
      <c r="AD222" s="27">
        <f>(IF(H222=0,0,(Upgrades!$M$16+H222*Upgrades!$N$16)*POWER(Upgrades!$O$16,H222)))*(IF(Upgrades!$T$13="Roche Lobe Overflow",POWER(Upgrades!$U$13,E222),1)*IF(Upgrades!$T$14="Roche Lobe Overflow",POWER(Upgrades!$U$14,F222),1)*IF(Upgrades!$T$15="Roche Lobe Overflow",POWER(Upgrades!$U$15,G222),1)*IF(Upgrades!$T$17="Roche Lobe Overflow",POWER(Upgrades!$U$17,I222),1)*IF(Upgrades!$T$18="Roche Lobe Overflow",POWER(Upgrades!$U$18,J222),1)*IF(Upgrades!$T$19="Roche Lobe Overflow",POWER(Upgrades!$U$19,K222),1)*IF(Upgrades!$T$20="Roche Lobe Overflow",POWER(Upgrades!$U$20,L222),1)*IF(Upgrades!$T$21="Roche Lobe Overflow",POWER(Upgrades!$U$21,M222),1))*POWER(Upgrades!$R$13,E222)*POWER(Upgrades!$R$14,F222)*POWER(Upgrades!$R$15,G222)*POWER(Upgrades!$R$16,H222)*POWER(Upgrades!$R$17,I222)*POWER(Upgrades!$R$18,J222)*POWER(Upgrades!$R$19,K222)*POWER(Upgrades!$R$20,L222)*POWER(Upgrades!$R$21,M222)*$H$6*O222*60</f>
        <v/>
      </c>
      <c r="AE222" s="27">
        <f>(IF(I222=0,0,(Upgrades!$G$17+I222*Upgrades!$H$17)*POWER(Upgrades!$I$17,I222)))*(IF(Upgrades!$T$13="Brown Dwarf",POWER(Upgrades!$U$13,E222),1)*IF(Upgrades!$T$14="Brown Dwarf",POWER(Upgrades!$U$14,F222),1)*IF(Upgrades!$T$15="Brown Dwarf",POWER(Upgrades!$U$15,G222),1)*IF(Upgrades!$T$16="Brown Dwarf",POWER(Upgrades!$U$16,H222),1)*IF(Upgrades!$T$18="Brown Dwarf",POWER(Upgrades!$U$18,J222),1)*IF(Upgrades!$T$19="Brown Dwarf",POWER(Upgrades!$U$19,K222),1)*IF(Upgrades!$T$20="Brown Dwarf",POWER(Upgrades!$U$20,L222),1)*IF(Upgrades!$T$21="Brown Dwarf",POWER(Upgrades!$U$21,M222),1))*POWER(Upgrades!$P$13,E222)*POWER(Upgrades!$P$14,F222)*POWER(Upgrades!$P$15,G222)*POWER(Upgrades!$P$16,H222)*POWER(Upgrades!$P$17,I222)*POWER(Upgrades!$P$18,J222)*POWER(Upgrades!$P$19,K222)*POWER(Upgrades!$P$20,L222)*POWER(Upgrades!$P$21,M222)*$F$6*60</f>
        <v/>
      </c>
      <c r="AF222" s="27" t="n">
        <v>0</v>
      </c>
      <c r="AG222" s="27" t="n">
        <v>0</v>
      </c>
      <c r="AH222" s="27" t="n">
        <v>0</v>
      </c>
      <c r="AI222" s="27">
        <f>(IF(M222=0,0,(Upgrades!$G$21+M222*Upgrades!$H$21)*POWER(Upgrades!$I$21,M222)))*(IF(Upgrades!$T$13="Moving Group",POWER(Upgrades!$U$13,E222),1)*IF(Upgrades!$T$14="Moving Group",POWER(Upgrades!$U$14,F222),1)*IF(Upgrades!$T$15="Moving Group",POWER(Upgrades!$U$15,G222),1)*IF(Upgrades!$T$16="Moving Group",POWER(Upgrades!$U$16,H222),1)*IF(Upgrades!$T$17="Moving Group",POWER(Upgrades!$U$17,I222),1)*IF(Upgrades!$T$18="Moving Group",POWER(Upgrades!$U$18,J222),1)*IF(Upgrades!$T$19="Moving Group",POWER(Upgrades!$U$19,K222),1)*IF(Upgrades!$T$20="Moving Group",POWER(Upgrades!$U$20,L222),1))*POWER(Upgrades!$P$13,E222)*POWER(Upgrades!$P$14,F222)*POWER(Upgrades!$P$15,G222)*POWER(Upgrades!$P$16,H222)*POWER(Upgrades!$P$17,I222)*POWER(Upgrades!$P$18,J222)*POWER(Upgrades!$P$19,K222)*POWER(Upgrades!$P$20,L222)*POWER(Upgrades!$P$21,M222)*$F$6*60</f>
        <v/>
      </c>
      <c r="AJ222" s="27">
        <f>$C$6*60</f>
        <v/>
      </c>
      <c r="AK222" s="22">
        <f>IF(E222&gt;=Upgrades!$E$13,"",Upgrades!$C$13*POWER(Upgrades!$D$13,E222))</f>
        <v/>
      </c>
      <c r="AL222" s="22">
        <f>IF(F222&gt;=Upgrades!$E$14,"",Upgrades!$C$14*POWER(Upgrades!$D$14,F222))</f>
        <v/>
      </c>
      <c r="AM222" s="22">
        <f>IF(G222&gt;=Upgrades!$E$15,"",Upgrades!$C$15*POWER(Upgrades!$D$15,G222))</f>
        <v/>
      </c>
      <c r="AN222" s="22">
        <f>IF(H222&gt;=Upgrades!$E$16,"",Upgrades!$C$16*POWER(Upgrades!$D$16,H222))</f>
        <v/>
      </c>
      <c r="AO222" s="22">
        <f>IF(I222&gt;=Upgrades!$E$17,"",Upgrades!$C$17*POWER(Upgrades!$D$17,I222))</f>
        <v/>
      </c>
      <c r="AP222" s="22">
        <f>IF(J222&gt;=Upgrades!$E$18,"",Upgrades!$C$18*POWER(Upgrades!$D$18,J222))</f>
        <v/>
      </c>
      <c r="AQ222" s="22">
        <f>IF(K222&gt;=Upgrades!$E$19,"",Upgrades!$C$19*POWER(Upgrades!$D$19,K222))</f>
        <v/>
      </c>
      <c r="AR222" s="22">
        <f>IF(L222&gt;=Upgrades!$E$20,"",Upgrades!$C$20*POWER(Upgrades!$D$20,L222))</f>
        <v/>
      </c>
      <c r="AS222" s="22">
        <f>IF(M222&gt;=Upgrades!$E$21,"",Upgrades!$C$21*POWER(Upgrades!$D$21,M222))</f>
        <v/>
      </c>
      <c r="AT222" s="26">
        <f>IF(AND(D222&gt;=Parameters!$B$18*Parameters!$B$19,(I222&gt;=Upgrades!$E$17)*(M222&gt;=Upgrades!$E$21)=1,N222=0),1,"")</f>
        <v/>
      </c>
      <c r="AU222" s="26">
        <f>IF(AND(D222&gt;=Parameters!$B$18*Parameters!$B$19,N222=0),1,"")</f>
        <v/>
      </c>
      <c r="AV222" s="22">
        <f>MIN(IF(ISNUMBER(AP222),AP222,9E15),IF(ISNUMBER(AQ222),AQ222,9E15),IF(ISNUMBER(AR222),AR222,9E15),IF(ISNUMBER(AS222),AS222,9E15))</f>
        <v/>
      </c>
      <c r="AW222" s="22">
        <f>MIN(IF(ISNUMBER(AK222),AK222,9E15),IF(ISNUMBER(AL222),AL222,9E15),IF(ISNUMBER(AM222),AM222,9E15),IF(ISNUMBER(AN222),AN222,9E15),IF(ISNUMBER(AO222),AO222,9E15))</f>
        <v/>
      </c>
      <c r="AX222" s="29">
        <f>IF(BD222&gt;Parameters!$B$21*(MAX(IF(AND(NOT(AND(AU222=1,AT222&lt;&gt;1)),ISNUMBER(AK222),AK222&lt;=(C222+T222)),AY222,0),IF(AND(NOT(AND(AU222=1,AT222&lt;&gt;1)),ISNUMBER(AL222),AL222&lt;=(C222+T222)),AZ222,0),IF(AND(NOT(AND(AU222=1,AT222&lt;&gt;1)),ISNUMBER(AM222),AM222&lt;=(C222+T222)),BA222,0),IF(AND(NOT(AND(AU222=1,AT222&lt;&gt;1)),ISNUMBER(AN222),AN222&lt;=(C222+T222)),BB222,0),IF(AND(ISNUMBER(AO222),AO222&lt;=(C222+T222)),BC222,0))),TRUE,FALSE)</f>
        <v/>
      </c>
      <c r="AY222" s="32">
        <f>IFERROR(Upgrades!$H$13*(POWER(Upgrades!$P$13,E222)*POWER(Upgrades!$P$14,F222)*POWER(Upgrades!$P$15,G222)*POWER(Upgrades!$P$16,H222)*POWER(Upgrades!$P$17,I222)*POWER(Upgrades!$P$18,J222)*POWER(Upgrades!$P$19,K222)*POWER(Upgrades!$P$20,L222)*POWER(Upgrades!$P$21,M222))*(IF(Upgrades!$T$14="Stellar Kinematics",POWER(Upgrades!$U$14,F222),1)*IF(Upgrades!$T$15="Stellar Kinematics",POWER(Upgrades!$U$15,G222),1)*IF(Upgrades!$T$16="Stellar Kinematics",POWER(Upgrades!$U$16,H222),1)*IF(Upgrades!$T$17="Stellar Kinematics",POWER(Upgrades!$U$17,I222),1)*IF(Upgrades!$T$18="Stellar Kinematics",POWER(Upgrades!$U$18,J222),1)*IF(Upgrades!$T$19="Stellar Kinematics",POWER(Upgrades!$U$19,K222),1)*IF(Upgrades!$T$20="Stellar Kinematics",POWER(Upgrades!$U$20,L222),1)*IF(Upgrades!$T$21="Stellar Kinematics",POWER(Upgrades!$U$21,M222),1))*$F$6/AK222,0)</f>
        <v/>
      </c>
      <c r="AZ222" s="32">
        <f>IFERROR(Upgrades!$H$14*(POWER(Upgrades!$P$13,E222)*POWER(Upgrades!$P$14,F222)*POWER(Upgrades!$P$15,G222)*POWER(Upgrades!$P$16,H222)*POWER(Upgrades!$P$17,I222)*POWER(Upgrades!$P$18,J222)*POWER(Upgrades!$P$19,K222)*POWER(Upgrades!$P$20,L222)*POWER(Upgrades!$P$21,M222))*(IF(Upgrades!$T$13="Local Bubble",POWER(Upgrades!$U$13,E222),1)*IF(Upgrades!$T$15="Local Bubble",POWER(Upgrades!$U$15,G222),1)*IF(Upgrades!$T$16="Local Bubble",POWER(Upgrades!$U$16,H222),1)*IF(Upgrades!$T$17="Local Bubble",POWER(Upgrades!$U$17,I222),1)*IF(Upgrades!$T$18="Local Bubble",POWER(Upgrades!$U$18,J222),1)*IF(Upgrades!$T$19="Local Bubble",POWER(Upgrades!$U$19,K222),1)*IF(Upgrades!$T$20="Local Bubble",POWER(Upgrades!$U$20,L222),1)*IF(Upgrades!$T$21="Local Bubble",POWER(Upgrades!$U$21,M222),1))*$F$6/AL222,0)</f>
        <v/>
      </c>
      <c r="BA222" s="32">
        <f>IFERROR(Upgrades!$K$15*(POWER(Upgrades!$Q$13,E222)*POWER(Upgrades!$Q$14,F222)*POWER(Upgrades!$Q$15,G222)*POWER(Upgrades!$Q$16,H222)*POWER(Upgrades!$Q$17,I222)*POWER(Upgrades!$Q$18,J222)*POWER(Upgrades!$Q$19,K222)*POWER(Upgrades!$Q$20,L222)*POWER(Upgrades!$Q$21,M222))*(IF(Upgrades!$T$13="Microlensing",POWER(Upgrades!$U$13,E222),1)*IF(Upgrades!$T$14="Microlensing",POWER(Upgrades!$U$14,F222),1)*IF(Upgrades!$T$16="Microlensing",POWER(Upgrades!$U$16,H222),1)*IF(Upgrades!$T$17="Microlensing",POWER(Upgrades!$U$17,I222),1)*IF(Upgrades!$T$18="Microlensing",POWER(Upgrades!$U$18,J222),1)*IF(Upgrades!$T$19="Microlensing",POWER(Upgrades!$U$19,K222),1)*IF(Upgrades!$T$20="Microlensing",POWER(Upgrades!$U$20,L222),1)*IF(Upgrades!$T$21="Microlensing",POWER(Upgrades!$U$21,M222),1))*$G$6*(Parameters!$B$10/60*Parameters!$B$11+Q222)/AM222,0)</f>
        <v/>
      </c>
      <c r="BB222" s="32">
        <f>IFERROR((Upgrades!$N$16*(POWER(Upgrades!$R$13,E222)*POWER(Upgrades!$R$14,F222)*POWER(Upgrades!$R$15,G222)*POWER(Upgrades!$R$16,H222)*POWER(Upgrades!$R$17,I222)*POWER(Upgrades!$R$18,J222)*POWER(Upgrades!$R$19,K222)*POWER(Upgrades!$R$20,L222)*POWER(Upgrades!$R$21,M222))*(IF(Upgrades!$T$13="Roche Lobe Overflow",POWER(Upgrades!$U$13,E222),1)*IF(Upgrades!$T$14="Roche Lobe Overflow",POWER(Upgrades!$U$14,F222),1)*IF(Upgrades!$T$15="Roche Lobe Overflow",POWER(Upgrades!$U$15,G222),1)*IF(Upgrades!$T$17="Roche Lobe Overflow",POWER(Upgrades!$U$17,I222),1)*IF(Upgrades!$T$18="Roche Lobe Overflow",POWER(Upgrades!$U$18,J222),1)*IF(Upgrades!$T$19="Roche Lobe Overflow",POWER(Upgrades!$U$19,K222),1)*IF(Upgrades!$T$20="Roche Lobe Overflow",POWER(Upgrades!$U$20,L222),1)*IF(Upgrades!$T$21="Roche Lobe Overflow",POWER(Upgrades!$U$21,M222),1))*$H$6*O222+((IF(F222=0,0,(Upgrades!$G$14+F222*Upgrades!$H$14)*POWER(Upgrades!$I$14,F222)))*(IF(Upgrades!$T$13="Local Bubble",POWER(Upgrades!$U$13,E222),1)*IF(Upgrades!$T$15="Local Bubble",POWER(Upgrades!$U$15,G222),1)*IF(Upgrades!$T$16="Local Bubble",POWER(Upgrades!$U$16,H222),1)*IF(Upgrades!$T$17="Local Bubble",POWER(Upgrades!$U$17,I222),1)*IF(Upgrades!$T$18="Local Bubble",POWER(Upgrades!$U$18,J222),1)*IF(Upgrades!$T$19="Local Bubble",POWER(Upgrades!$U$19,K222),1)*IF(Upgrades!$T$20="Local Bubble",POWER(Upgrades!$U$20,L222),1)*IF(Upgrades!$T$21="Local Bubble",POWER(Upgrades!$U$21,M222),1))*POWER(Upgrades!$P$13,E222)*POWER(Upgrades!$P$14,F222)*POWER(Upgrades!$P$15,G222)*POWER(Upgrades!$P$16,H222)*POWER(Upgrades!$P$17,I222)*POWER(Upgrades!$P$18,J222)*POWER(Upgrades!$P$19,K222)*POWER(Upgrades!$P$20,L222)*POWER(Upgrades!$P$21,M222)*$F$6)*0.05)/AN222,0)</f>
        <v/>
      </c>
      <c r="BC222" s="32">
        <f>IFERROR((Upgrades!$H$17*(POWER(Upgrades!$P$13,E222)*POWER(Upgrades!$P$14,F222)*POWER(Upgrades!$P$15,G222)*POWER(Upgrades!$P$16,H222)*POWER(Upgrades!$P$17,I222)*POWER(Upgrades!$P$18,J222)*POWER(Upgrades!$P$19,K222)*POWER(Upgrades!$P$20,L222)*POWER(Upgrades!$P$21,M222))*(IF(Upgrades!$T$13="Brown Dwarf",POWER(Upgrades!$U$13,E222),1)*IF(Upgrades!$T$14="Brown Dwarf",POWER(Upgrades!$U$14,F222),1)*IF(Upgrades!$T$15="Brown Dwarf",POWER(Upgrades!$U$15,G222),1)*IF(Upgrades!$T$16="Brown Dwarf",POWER(Upgrades!$U$16,H222),1)*IF(Upgrades!$T$18="Brown Dwarf",POWER(Upgrades!$U$18,J222),1)*IF(Upgrades!$T$19="Brown Dwarf",POWER(Upgrades!$U$19,K222),1)*IF(Upgrades!$T$20="Brown Dwarf",POWER(Upgrades!$U$20,L222),1)*IF(Upgrades!$T$21="Brown Dwarf",POWER(Upgrades!$U$21,M222),1))*$F$6+(((IF(H222=0,0,(Upgrades!$M$16+H222*Upgrades!$N$16)*POWER(Upgrades!$O$16,H222)))*(IF(Upgrades!$T$13="Roche Lobe Overflow",POWER(Upgrades!$U$13,E222),1)*IF(Upgrades!$T$14="Roche Lobe Overflow",POWER(Upgrades!$U$14,F222),1)*IF(Upgrades!$T$15="Roche Lobe Overflow",POWER(Upgrades!$U$15,G222),1)*IF(Upgrades!$T$17="Roche Lobe Overflow",POWER(Upgrades!$U$17,I222),1)*IF(Upgrades!$T$18="Roche Lobe Overflow",POWER(Upgrades!$U$18,J222),1)*IF(Upgrades!$T$19="Roche Lobe Overflow",POWER(Upgrades!$U$19,K222),1)*IF(Upgrades!$T$20="Roche Lobe Overflow",POWER(Upgrades!$U$20,L222),1)*IF(Upgrades!$T$21="Roche Lobe Overflow",POWER(Upgrades!$U$21,M222),1))*POWER(Upgrades!$R$13,E222)*POWER(Upgrades!$R$14,F222)*POWER(Upgrades!$R$15,G222)*POWER(Upgrades!$R$16,H222)*POWER(Upgrades!$R$17,I222)*POWER(Upgrades!$R$18,J222)*POWER(Upgrades!$R$19,K222)*POWER(Upgrades!$R$20,L222)*POWER(Upgrades!$R$21,M222)*$H$6)*O222)*0.10)/AO222,0)</f>
        <v/>
      </c>
      <c r="BD222" s="32">
        <f>MAX(IF(J222&gt;0,0,IFERROR(0.5*((IF(G222=0,0,(Upgrades!$J$15+G222*Upgrades!$K$15)*POWER(Upgrades!$L$15,G222)))*(IF(Upgrades!$T$13="Microlensing",POWER(Upgrades!$U$13,E222),1)*IF(Upgrades!$T$14="Microlensing",POWER(Upgrades!$U$14,F222),1)*IF(Upgrades!$T$16="Microlensing",POWER(Upgrades!$U$16,H222),1)*IF(Upgrades!$T$17="Microlensing",POWER(Upgrades!$U$17,I222),1)*IF(Upgrades!$T$18="Microlensing",POWER(Upgrades!$U$18,J222),1)*IF(Upgrades!$T$19="Microlensing",POWER(Upgrades!$U$19,K222),1)*IF(Upgrades!$T$20="Microlensing",POWER(Upgrades!$U$20,L222),1)*IF(Upgrades!$T$21="Microlensing",POWER(Upgrades!$U$21,M222),1))*(POWER(Upgrades!$Q$13,E222)*POWER(Upgrades!$Q$14,F222)*POWER(Upgrades!$Q$15,G222)*POWER(Upgrades!$Q$16,H222)*POWER(Upgrades!$Q$17,I222)*POWER(Upgrades!$Q$18,J222)*POWER(Upgrades!$Q$19,K222)*POWER(Upgrades!$Q$20,L222)*POWER(Upgrades!$Q$21,M222))*$G$6*(Parameters!$B$10/60*Parameters!$B$11+Q222))/Upgrades!$C$18,0)),IF(K222&gt;0,0,IFERROR(0.30*P222/Upgrades!$C$19,0)),IF(L222&gt;0,0,IFERROR(0.0001/Upgrades!$C$20,0)),IF(M222&gt;0,0,IFERROR((6.0*(POWER(Upgrades!$P$13,E222)*POWER(Upgrades!$P$14,F222)*POWER(Upgrades!$P$15,G222)*POWER(Upgrades!$P$16,H222)*POWER(Upgrades!$P$17,I222)*POWER(Upgrades!$P$18,J222)*POWER(Upgrades!$P$19,K222)*POWER(Upgrades!$P$20,L222)*POWER(Upgrades!$P$21,M222))*$F$6+0.20*O222*(Parameters!$B$10/60*Parameters!$B$11+Q222))/Upgrades!$C$21,0)),IF(AND(ISNUMBER(AK222),AK222&gt;(C222+T222)),AY222,0),IF(AND(ISNUMBER(AL222),AL222&gt;(C222+T222)),AZ222,0),IF(AND(ISNUMBER(AM222),AM222&gt;(C222+T222)),BA222,0),IF(AND(ISNUMBER(AN222),AN222&gt;(C222+T222)),BB222,0),IF(AND(ISNUMBER(AO222),AO222&gt;(C222+T222)),BC222,0))</f>
        <v/>
      </c>
      <c r="BE222" s="29">
        <f>IF(AT222=1,"transition",IF(MIN(IF(AND(J222=0,ISNUMBER(AP222),AP222&lt;=(C222+T222)),AP222,9E15),IF(AND(K222=0,ISNUMBER(AQ222),AQ222&lt;=(C222+T222)),AQ222,9E15),IF(AND(L222=0,ISNUMBER(AR222),AR222&lt;=(C222+T222)),AR222,9E15),IF(AND(M222=0,ISNUMBER(AS222),AS222&lt;=(C222+T222)),AS222,9E15))&lt;9E15,IF(AND(AND(J222=0,ISNUMBER(AP222),AP222&lt;=(C222+T222)),AP222=MIN(IF(AND(J222=0,ISNUMBER(AP222),AP222&lt;=(C222+T222)),AP222,9E15),IF(AND(K222=0,ISNUMBER(AQ222),AQ222&lt;=(C222+T222)),AQ222,9E15),IF(AND(L222=0,ISNUMBER(AR222),AR222&lt;=(C222+T222)),AR222,9E15),IF(AND(M222=0,ISNUMBER(AS222),AS222&lt;=(C222+T222)),AS222,9E15))),"BiP",IF(AND(AND(K222=0,ISNUMBER(AQ222),AQ222&lt;=(C222+T222)),AQ222=MIN(IF(AND(J222=0,ISNUMBER(AP222),AP222&lt;=(C222+T222)),AP222,9E15),IF(AND(K222=0,ISNUMBER(AQ222),AQ222&lt;=(C222+T222)),AQ222,9E15),IF(AND(L222=0,ISNUMBER(AR222),AR222&lt;=(C222+T222)),AR222,9E15),IF(AND(M222=0,ISNUMBER(AS222),AS222&lt;=(C222+T222)),AS222,9E15))),"PV",IF(AND(AND(L222=0,ISNUMBER(AR222),AR222&lt;=(C222+T222)),AR222=MIN(IF(AND(J222=0,ISNUMBER(AP222),AP222&lt;=(C222+T222)),AP222,9E15),IF(AND(K222=0,ISNUMBER(AQ222),AQ222&lt;=(C222+T222)),AQ222,9E15),IF(AND(L222=0,ISNUMBER(AR222),AR222&lt;=(C222+T222)),AR222,9E15),IF(AND(M222=0,ISNUMBER(AS222),AS222&lt;=(C222+T222)),AS222,9E15))),"OC","MG"))),IF(AX222=TRUE,"",IF(MAX(IF(AND(NOT(AND(AU222=1,AT222&lt;&gt;1)),ISNUMBER(AK222),AK222&lt;=(C222+T222)),AY222,0),IF(AND(NOT(AND(AU222=1,AT222&lt;&gt;1)),ISNUMBER(AL222),AL222&lt;=(C222+T222)),AZ222,0),IF(AND(NOT(AND(AU222=1,AT222&lt;&gt;1)),ISNUMBER(AM222),AM222&lt;=(C222+T222)),BA222,0),IF(AND(NOT(AND(AU222=1,AT222&lt;&gt;1)),ISNUMBER(AN222),AN222&lt;=(C222+T222)),BB222,0),IF(AND(ISNUMBER(AO222),AO222&lt;=(C222+T222)),BC222,0))&lt;=0,"",IF(AND(IF(AND(NOT(AND(AU222=1,AT222&lt;&gt;1)),ISNUMBER(AK222),AK222&lt;=(C222+T222)),AY222,0)&gt;0,IF(AND(NOT(AND(AU222=1,AT222&lt;&gt;1)),ISNUMBER(AK222),AK222&lt;=(C222+T222)),AY222,0)=MAX(IF(AND(NOT(AND(AU222=1,AT222&lt;&gt;1)),ISNUMBER(AK222),AK222&lt;=(C222+T222)),AY222,0),IF(AND(NOT(AND(AU222=1,AT222&lt;&gt;1)),ISNUMBER(AL222),AL222&lt;=(C222+T222)),AZ222,0),IF(AND(NOT(AND(AU222=1,AT222&lt;&gt;1)),ISNUMBER(AM222),AM222&lt;=(C222+T222)),BA222,0),IF(AND(NOT(AND(AU222=1,AT222&lt;&gt;1)),ISNUMBER(AN222),AN222&lt;=(C222+T222)),BB222,0),IF(AND(ISNUMBER(AO222),AO222&lt;=(C222+T222)),BC222,0))),"SK",IF(AND(IF(AND(NOT(AND(AU222=1,AT222&lt;&gt;1)),ISNUMBER(AL222),AL222&lt;=(C222+T222)),AZ222,0)&gt;0,IF(AND(NOT(AND(AU222=1,AT222&lt;&gt;1)),ISNUMBER(AL222),AL222&lt;=(C222+T222)),AZ222,0)=MAX(IF(AND(NOT(AND(AU222=1,AT222&lt;&gt;1)),ISNUMBER(AK222),AK222&lt;=(C222+T222)),AY222,0),IF(AND(NOT(AND(AU222=1,AT222&lt;&gt;1)),ISNUMBER(AL222),AL222&lt;=(C222+T222)),AZ222,0),IF(AND(NOT(AND(AU222=1,AT222&lt;&gt;1)),ISNUMBER(AM222),AM222&lt;=(C222+T222)),BA222,0),IF(AND(NOT(AND(AU222=1,AT222&lt;&gt;1)),ISNUMBER(AN222),AN222&lt;=(C222+T222)),BB222,0),IF(AND(ISNUMBER(AO222),AO222&lt;=(C222+T222)),BC222,0))),"LB",IF(AND(IF(AND(NOT(AND(AU222=1,AT222&lt;&gt;1)),ISNUMBER(AM222),AM222&lt;=(C222+T222)),BA222,0)&gt;0,IF(AND(NOT(AND(AU222=1,AT222&lt;&gt;1)),ISNUMBER(AM222),AM222&lt;=(C222+T222)),BA222,0)=MAX(IF(AND(NOT(AND(AU222=1,AT222&lt;&gt;1)),ISNUMBER(AK222),AK222&lt;=(C222+T222)),AY222,0),IF(AND(NOT(AND(AU222=1,AT222&lt;&gt;1)),ISNUMBER(AL222),AL222&lt;=(C222+T222)),AZ222,0),IF(AND(NOT(AND(AU222=1,AT222&lt;&gt;1)),ISNUMBER(AM222),AM222&lt;=(C222+T222)),BA222,0),IF(AND(NOT(AND(AU222=1,AT222&lt;&gt;1)),ISNUMBER(AN222),AN222&lt;=(C222+T222)),BB222,0),IF(AND(ISNUMBER(AO222),AO222&lt;=(C222+T222)),BC222,0))),"ML",IF(AND(IF(AND(NOT(AND(AU222=1,AT222&lt;&gt;1)),ISNUMBER(AN222),AN222&lt;=(C222+T222)),BB222,0)&gt;0,IF(AND(NOT(AND(AU222=1,AT222&lt;&gt;1)),ISNUMBER(AN222),AN222&lt;=(C222+T222)),BB222,0)=MAX(IF(AND(NOT(AND(AU222=1,AT222&lt;&gt;1)),ISNUMBER(AK222),AK222&lt;=(C222+T222)),AY222,0),IF(AND(NOT(AND(AU222=1,AT222&lt;&gt;1)),ISNUMBER(AL222),AL222&lt;=(C222+T222)),AZ222,0),IF(AND(NOT(AND(AU222=1,AT222&lt;&gt;1)),ISNUMBER(AM222),AM222&lt;=(C222+T222)),BA222,0),IF(AND(NOT(AND(AU222=1,AT222&lt;&gt;1)),ISNUMBER(AN222),AN222&lt;=(C222+T222)),BB222,0),IF(AND(ISNUMBER(AO222),AO222&lt;=(C222+T222)),BC222,0))),"RLO","BD"))))))))</f>
        <v/>
      </c>
    </row>
    <row r="223">
      <c r="A223" s="26" t="n">
        <v>212</v>
      </c>
      <c r="B223" s="27">
        <f>A223*10/60</f>
        <v/>
      </c>
      <c r="C223" s="22">
        <f>X222</f>
        <v/>
      </c>
      <c r="D223" s="27">
        <f>D222+W222</f>
        <v/>
      </c>
      <c r="E223" s="26">
        <f>E222+IF(U222="SK",1,0)</f>
        <v/>
      </c>
      <c r="F223" s="26">
        <f>F222+IF(U222="LB",1,0)</f>
        <v/>
      </c>
      <c r="G223" s="26">
        <f>G222+IF(U222="ML",1,0)</f>
        <v/>
      </c>
      <c r="H223" s="26">
        <f>H222+IF(U222="RLO",1,0)</f>
        <v/>
      </c>
      <c r="I223" s="26">
        <f>I222+IF(U222="BD",1,0)</f>
        <v/>
      </c>
      <c r="J223" s="26">
        <f>MAX(J222,IF(U222="BiP",1,0))</f>
        <v/>
      </c>
      <c r="K223" s="26">
        <f>MAX(K222,IF(U222="PV",1,0))</f>
        <v/>
      </c>
      <c r="L223" s="26">
        <f>MAX(L222,IF(U222="OC",1,0))</f>
        <v/>
      </c>
      <c r="M223" s="26">
        <f>MAX(M222,IF(U222="MG",1,0))</f>
        <v/>
      </c>
      <c r="N223" s="26">
        <f>MAX(N222,IF(U222="transition",1,0))</f>
        <v/>
      </c>
      <c r="O223" s="28">
        <f>(Parameters!$B$9+(IF(E223=0,0,(Upgrades!$J$13+E223*Upgrades!$K$13)*POWER(Upgrades!$L$13,E223)))*(IF(Upgrades!$T$14="Stellar Kinematics",POWER(Upgrades!$U$14,F223),1)*IF(Upgrades!$T$15="Stellar Kinematics",POWER(Upgrades!$U$15,G223),1)*IF(Upgrades!$T$16="Stellar Kinematics",POWER(Upgrades!$U$16,H223),1)*IF(Upgrades!$T$17="Stellar Kinematics",POWER(Upgrades!$U$17,I223),1)*IF(Upgrades!$T$18="Stellar Kinematics",POWER(Upgrades!$U$18,J223),1)*IF(Upgrades!$T$19="Stellar Kinematics",POWER(Upgrades!$U$19,K223),1)*IF(Upgrades!$T$20="Stellar Kinematics",POWER(Upgrades!$U$20,L223),1)*IF(Upgrades!$T$21="Stellar Kinematics",POWER(Upgrades!$U$21,M223),1))+(IF(F223=0,0,(Upgrades!$J$14+F223*Upgrades!$K$14)*POWER(Upgrades!$L$14,F223)))*(IF(Upgrades!$T$13="Local Bubble",POWER(Upgrades!$U$13,E223),1)*IF(Upgrades!$T$15="Local Bubble",POWER(Upgrades!$U$15,G223),1)*IF(Upgrades!$T$16="Local Bubble",POWER(Upgrades!$U$16,H223),1)*IF(Upgrades!$T$17="Local Bubble",POWER(Upgrades!$U$17,I223),1)*IF(Upgrades!$T$18="Local Bubble",POWER(Upgrades!$U$18,J223),1)*IF(Upgrades!$T$19="Local Bubble",POWER(Upgrades!$U$19,K223),1)*IF(Upgrades!$T$20="Local Bubble",POWER(Upgrades!$U$20,L223),1)*IF(Upgrades!$T$21="Local Bubble",POWER(Upgrades!$U$21,M223),1))+(IF(G223=0,0,(Upgrades!$J$15+G223*Upgrades!$K$15)*POWER(Upgrades!$L$15,G223)))*(IF(Upgrades!$T$13="Microlensing",POWER(Upgrades!$U$13,E223),1)*IF(Upgrades!$T$14="Microlensing",POWER(Upgrades!$U$14,F223),1)*IF(Upgrades!$T$16="Microlensing",POWER(Upgrades!$U$16,H223),1)*IF(Upgrades!$T$17="Microlensing",POWER(Upgrades!$U$17,I223),1)*IF(Upgrades!$T$18="Microlensing",POWER(Upgrades!$U$18,J223),1)*IF(Upgrades!$T$19="Microlensing",POWER(Upgrades!$U$19,K223),1)*IF(Upgrades!$T$20="Microlensing",POWER(Upgrades!$U$20,L223),1)*IF(Upgrades!$T$21="Microlensing",POWER(Upgrades!$U$21,M223),1))+(IF(H223=0,0,(Upgrades!$J$16+H223*Upgrades!$K$16)*POWER(Upgrades!$L$16,H223)))*(IF(Upgrades!$T$13="Roche Lobe Overflow",POWER(Upgrades!$U$13,E223),1)*IF(Upgrades!$T$14="Roche Lobe Overflow",POWER(Upgrades!$U$14,F223),1)*IF(Upgrades!$T$15="Roche Lobe Overflow",POWER(Upgrades!$U$15,G223),1)*IF(Upgrades!$T$17="Roche Lobe Overflow",POWER(Upgrades!$U$17,I223),1)*IF(Upgrades!$T$18="Roche Lobe Overflow",POWER(Upgrades!$U$18,J223),1)*IF(Upgrades!$T$19="Roche Lobe Overflow",POWER(Upgrades!$U$19,K223),1)*IF(Upgrades!$T$20="Roche Lobe Overflow",POWER(Upgrades!$U$20,L223),1)*IF(Upgrades!$T$21="Roche Lobe Overflow",POWER(Upgrades!$U$21,M223),1))+(IF(I223=0,0,(Upgrades!$J$17+I223*Upgrades!$K$17)*POWER(Upgrades!$L$17,I223)))*(IF(Upgrades!$T$13="Brown Dwarf",POWER(Upgrades!$U$13,E223),1)*IF(Upgrades!$T$14="Brown Dwarf",POWER(Upgrades!$U$14,F223),1)*IF(Upgrades!$T$15="Brown Dwarf",POWER(Upgrades!$U$15,G223),1)*IF(Upgrades!$T$16="Brown Dwarf",POWER(Upgrades!$U$16,H223),1)*IF(Upgrades!$T$18="Brown Dwarf",POWER(Upgrades!$U$18,J223),1)*IF(Upgrades!$T$19="Brown Dwarf",POWER(Upgrades!$U$19,K223),1)*IF(Upgrades!$T$20="Brown Dwarf",POWER(Upgrades!$U$20,L223),1)*IF(Upgrades!$T$21="Brown Dwarf",POWER(Upgrades!$U$21,M223),1))+(IF(J223=0,0,(Upgrades!$J$18+J223*Upgrades!$K$18)*POWER(Upgrades!$L$18,J223)))*(IF(Upgrades!$T$13="Binary Partner",POWER(Upgrades!$U$13,E223),1)*IF(Upgrades!$T$14="Binary Partner",POWER(Upgrades!$U$14,F223),1)*IF(Upgrades!$T$15="Binary Partner",POWER(Upgrades!$U$15,G223),1)*IF(Upgrades!$T$16="Binary Partner",POWER(Upgrades!$U$16,H223),1)*IF(Upgrades!$T$17="Binary Partner",POWER(Upgrades!$U$17,I223),1)*IF(Upgrades!$T$19="Binary Partner",POWER(Upgrades!$U$19,K223),1)*IF(Upgrades!$T$20="Binary Partner",POWER(Upgrades!$U$20,L223),1)*IF(Upgrades!$T$21="Binary Partner",POWER(Upgrades!$U$21,M223),1))+(IF(K223=0,0,(Upgrades!$J$19+K223*Upgrades!$K$19)*POWER(Upgrades!$L$19,K223)))*(IF(Upgrades!$T$13="Peculiar Velocity",POWER(Upgrades!$U$13,E223),1)*IF(Upgrades!$T$14="Peculiar Velocity",POWER(Upgrades!$U$14,F223),1)*IF(Upgrades!$T$15="Peculiar Velocity",POWER(Upgrades!$U$15,G223),1)*IF(Upgrades!$T$16="Peculiar Velocity",POWER(Upgrades!$U$16,H223),1)*IF(Upgrades!$T$17="Peculiar Velocity",POWER(Upgrades!$U$17,I223),1)*IF(Upgrades!$T$18="Peculiar Velocity",POWER(Upgrades!$U$18,J223),1)*IF(Upgrades!$T$20="Peculiar Velocity",POWER(Upgrades!$U$20,L223),1)*IF(Upgrades!$T$21="Peculiar Velocity",POWER(Upgrades!$U$21,M223),1))+(IF(L223=0,0,(Upgrades!$J$20+L223*Upgrades!$K$20)*POWER(Upgrades!$L$20,L223)))*(IF(Upgrades!$T$13="Open Cluster",POWER(Upgrades!$U$13,E223),1)*IF(Upgrades!$T$14="Open Cluster",POWER(Upgrades!$U$14,F223),1)*IF(Upgrades!$T$15="Open Cluster",POWER(Upgrades!$U$15,G223),1)*IF(Upgrades!$T$16="Open Cluster",POWER(Upgrades!$U$16,H223),1)*IF(Upgrades!$T$17="Open Cluster",POWER(Upgrades!$U$17,I223),1)*IF(Upgrades!$T$18="Open Cluster",POWER(Upgrades!$U$18,J223),1)*IF(Upgrades!$T$19="Open Cluster",POWER(Upgrades!$U$19,K223),1)*IF(Upgrades!$T$21="Open Cluster",POWER(Upgrades!$U$21,M223),1))+(IF(M223=0,0,(Upgrades!$J$21+M223*Upgrades!$K$21)*POWER(Upgrades!$L$21,M223)))*(IF(Upgrades!$T$13="Moving Group",POWER(Upgrades!$U$13,E223),1)*IF(Upgrades!$T$14="Moving Group",POWER(Upgrades!$U$14,F223),1)*IF(Upgrades!$T$15="Moving Group",POWER(Upgrades!$U$15,G223),1)*IF(Upgrades!$T$16="Moving Group",POWER(Upgrades!$U$16,H223),1)*IF(Upgrades!$T$17="Moving Group",POWER(Upgrades!$U$17,I223),1)*IF(Upgrades!$T$18="Moving Group",POWER(Upgrades!$U$18,J223),1)*IF(Upgrades!$T$19="Moving Group",POWER(Upgrades!$U$19,K223),1)*IF(Upgrades!$T$20="Moving Group",POWER(Upgrades!$U$20,L223),1)))*POWER(Upgrades!$Q$13,E223)*POWER(Upgrades!$Q$14,F223)*POWER(Upgrades!$Q$15,G223)*POWER(Upgrades!$Q$16,H223)*POWER(Upgrades!$Q$17,I223)*POWER(Upgrades!$Q$18,J223)*POWER(Upgrades!$Q$19,K223)*POWER(Upgrades!$Q$20,L223)*POWER(Upgrades!$Q$21,M223)*$G$6+$D$6</f>
        <v/>
      </c>
      <c r="P223" s="28">
        <f>((IF(E223=0,0,(Upgrades!$G$13+E223*Upgrades!$H$13)*POWER(Upgrades!$I$13,E223)))*(IF(Upgrades!$T$14="Stellar Kinematics",POWER(Upgrades!$U$14,F223),1)*IF(Upgrades!$T$15="Stellar Kinematics",POWER(Upgrades!$U$15,G223),1)*IF(Upgrades!$T$16="Stellar Kinematics",POWER(Upgrades!$U$16,H223),1)*IF(Upgrades!$T$17="Stellar Kinematics",POWER(Upgrades!$U$17,I223),1)*IF(Upgrades!$T$18="Stellar Kinematics",POWER(Upgrades!$U$18,J223),1)*IF(Upgrades!$T$19="Stellar Kinematics",POWER(Upgrades!$U$19,K223),1)*IF(Upgrades!$T$20="Stellar Kinematics",POWER(Upgrades!$U$20,L223),1)*IF(Upgrades!$T$21="Stellar Kinematics",POWER(Upgrades!$U$21,M223),1))+(IF(F223=0,0,(Upgrades!$G$14+F223*Upgrades!$H$14)*POWER(Upgrades!$I$14,F223)))*(IF(Upgrades!$T$13="Local Bubble",POWER(Upgrades!$U$13,E223),1)*IF(Upgrades!$T$15="Local Bubble",POWER(Upgrades!$U$15,G223),1)*IF(Upgrades!$T$16="Local Bubble",POWER(Upgrades!$U$16,H223),1)*IF(Upgrades!$T$17="Local Bubble",POWER(Upgrades!$U$17,I223),1)*IF(Upgrades!$T$18="Local Bubble",POWER(Upgrades!$U$18,J223),1)*IF(Upgrades!$T$19="Local Bubble",POWER(Upgrades!$U$19,K223),1)*IF(Upgrades!$T$20="Local Bubble",POWER(Upgrades!$U$20,L223),1)*IF(Upgrades!$T$21="Local Bubble",POWER(Upgrades!$U$21,M223),1))+(IF(G223=0,0,(Upgrades!$G$15+G223*Upgrades!$H$15)*POWER(Upgrades!$I$15,G223)))*(IF(Upgrades!$T$13="Microlensing",POWER(Upgrades!$U$13,E223),1)*IF(Upgrades!$T$14="Microlensing",POWER(Upgrades!$U$14,F223),1)*IF(Upgrades!$T$16="Microlensing",POWER(Upgrades!$U$16,H223),1)*IF(Upgrades!$T$17="Microlensing",POWER(Upgrades!$U$17,I223),1)*IF(Upgrades!$T$18="Microlensing",POWER(Upgrades!$U$18,J223),1)*IF(Upgrades!$T$19="Microlensing",POWER(Upgrades!$U$19,K223),1)*IF(Upgrades!$T$20="Microlensing",POWER(Upgrades!$U$20,L223),1)*IF(Upgrades!$T$21="Microlensing",POWER(Upgrades!$U$21,M223),1))+(IF(H223=0,0,(Upgrades!$G$16+H223*Upgrades!$H$16)*POWER(Upgrades!$I$16,H223)))*(IF(Upgrades!$T$13="Roche Lobe Overflow",POWER(Upgrades!$U$13,E223),1)*IF(Upgrades!$T$14="Roche Lobe Overflow",POWER(Upgrades!$U$14,F223),1)*IF(Upgrades!$T$15="Roche Lobe Overflow",POWER(Upgrades!$U$15,G223),1)*IF(Upgrades!$T$17="Roche Lobe Overflow",POWER(Upgrades!$U$17,I223),1)*IF(Upgrades!$T$18="Roche Lobe Overflow",POWER(Upgrades!$U$18,J223),1)*IF(Upgrades!$T$19="Roche Lobe Overflow",POWER(Upgrades!$U$19,K223),1)*IF(Upgrades!$T$20="Roche Lobe Overflow",POWER(Upgrades!$U$20,L223),1)*IF(Upgrades!$T$21="Roche Lobe Overflow",POWER(Upgrades!$U$21,M223),1))+(IF(I223=0,0,(Upgrades!$G$17+I223*Upgrades!$H$17)*POWER(Upgrades!$I$17,I223)))*(IF(Upgrades!$T$13="Brown Dwarf",POWER(Upgrades!$U$13,E223),1)*IF(Upgrades!$T$14="Brown Dwarf",POWER(Upgrades!$U$14,F223),1)*IF(Upgrades!$T$15="Brown Dwarf",POWER(Upgrades!$U$15,G223),1)*IF(Upgrades!$T$16="Brown Dwarf",POWER(Upgrades!$U$16,H223),1)*IF(Upgrades!$T$18="Brown Dwarf",POWER(Upgrades!$U$18,J223),1)*IF(Upgrades!$T$19="Brown Dwarf",POWER(Upgrades!$U$19,K223),1)*IF(Upgrades!$T$20="Brown Dwarf",POWER(Upgrades!$U$20,L223),1)*IF(Upgrades!$T$21="Brown Dwarf",POWER(Upgrades!$U$21,M223),1))+(IF(J223=0,0,(Upgrades!$G$18+J223*Upgrades!$H$18)*POWER(Upgrades!$I$18,J223)))*(IF(Upgrades!$T$13="Binary Partner",POWER(Upgrades!$U$13,E223),1)*IF(Upgrades!$T$14="Binary Partner",POWER(Upgrades!$U$14,F223),1)*IF(Upgrades!$T$15="Binary Partner",POWER(Upgrades!$U$15,G223),1)*IF(Upgrades!$T$16="Binary Partner",POWER(Upgrades!$U$16,H223),1)*IF(Upgrades!$T$17="Binary Partner",POWER(Upgrades!$U$17,I223),1)*IF(Upgrades!$T$19="Binary Partner",POWER(Upgrades!$U$19,K223),1)*IF(Upgrades!$T$20="Binary Partner",POWER(Upgrades!$U$20,L223),1)*IF(Upgrades!$T$21="Binary Partner",POWER(Upgrades!$U$21,M223),1))+(IF(K223=0,0,(Upgrades!$G$19+K223*Upgrades!$H$19)*POWER(Upgrades!$I$19,K223)))*(IF(Upgrades!$T$13="Peculiar Velocity",POWER(Upgrades!$U$13,E223),1)*IF(Upgrades!$T$14="Peculiar Velocity",POWER(Upgrades!$U$14,F223),1)*IF(Upgrades!$T$15="Peculiar Velocity",POWER(Upgrades!$U$15,G223),1)*IF(Upgrades!$T$16="Peculiar Velocity",POWER(Upgrades!$U$16,H223),1)*IF(Upgrades!$T$17="Peculiar Velocity",POWER(Upgrades!$U$17,I223),1)*IF(Upgrades!$T$18="Peculiar Velocity",POWER(Upgrades!$U$18,J223),1)*IF(Upgrades!$T$20="Peculiar Velocity",POWER(Upgrades!$U$20,L223),1)*IF(Upgrades!$T$21="Peculiar Velocity",POWER(Upgrades!$U$21,M223),1))+(IF(L223=0,0,(Upgrades!$G$20+L223*Upgrades!$H$20)*POWER(Upgrades!$I$20,L223)))*(IF(Upgrades!$T$13="Open Cluster",POWER(Upgrades!$U$13,E223),1)*IF(Upgrades!$T$14="Open Cluster",POWER(Upgrades!$U$14,F223),1)*IF(Upgrades!$T$15="Open Cluster",POWER(Upgrades!$U$15,G223),1)*IF(Upgrades!$T$16="Open Cluster",POWER(Upgrades!$U$16,H223),1)*IF(Upgrades!$T$17="Open Cluster",POWER(Upgrades!$U$17,I223),1)*IF(Upgrades!$T$18="Open Cluster",POWER(Upgrades!$U$18,J223),1)*IF(Upgrades!$T$19="Open Cluster",POWER(Upgrades!$U$19,K223),1)*IF(Upgrades!$T$21="Open Cluster",POWER(Upgrades!$U$21,M223),1))+(IF(M223=0,0,(Upgrades!$G$21+M223*Upgrades!$H$21)*POWER(Upgrades!$I$21,M223)))*(IF(Upgrades!$T$13="Moving Group",POWER(Upgrades!$U$13,E223),1)*IF(Upgrades!$T$14="Moving Group",POWER(Upgrades!$U$14,F223),1)*IF(Upgrades!$T$15="Moving Group",POWER(Upgrades!$U$15,G223),1)*IF(Upgrades!$T$16="Moving Group",POWER(Upgrades!$U$16,H223),1)*IF(Upgrades!$T$17="Moving Group",POWER(Upgrades!$U$17,I223),1)*IF(Upgrades!$T$18="Moving Group",POWER(Upgrades!$U$18,J223),1)*IF(Upgrades!$T$19="Moving Group",POWER(Upgrades!$U$19,K223),1)*IF(Upgrades!$T$20="Moving Group",POWER(Upgrades!$U$20,L223),1)))*POWER(Upgrades!$P$13,E223)*POWER(Upgrades!$P$14,F223)*POWER(Upgrades!$P$15,G223)*POWER(Upgrades!$P$16,H223)*POWER(Upgrades!$P$17,I223)*POWER(Upgrades!$P$18,J223)*POWER(Upgrades!$P$19,K223)*POWER(Upgrades!$P$20,L223)*POWER(Upgrades!$P$21,M223)*$F$6+$C$6</f>
        <v/>
      </c>
      <c r="Q223" s="28">
        <f>((IF(E223=0,0,(Upgrades!$M$13+E223*Upgrades!$N$13)*POWER(Upgrades!$O$13,E223)))*(IF(Upgrades!$T$14="Stellar Kinematics",POWER(Upgrades!$U$14,F223),1)*IF(Upgrades!$T$15="Stellar Kinematics",POWER(Upgrades!$U$15,G223),1)*IF(Upgrades!$T$16="Stellar Kinematics",POWER(Upgrades!$U$16,H223),1)*IF(Upgrades!$T$17="Stellar Kinematics",POWER(Upgrades!$U$17,I223),1)*IF(Upgrades!$T$18="Stellar Kinematics",POWER(Upgrades!$U$18,J223),1)*IF(Upgrades!$T$19="Stellar Kinematics",POWER(Upgrades!$U$19,K223),1)*IF(Upgrades!$T$20="Stellar Kinematics",POWER(Upgrades!$U$20,L223),1)*IF(Upgrades!$T$21="Stellar Kinematics",POWER(Upgrades!$U$21,M223),1))+(IF(F223=0,0,(Upgrades!$M$14+F223*Upgrades!$N$14)*POWER(Upgrades!$O$14,F223)))*(IF(Upgrades!$T$13="Local Bubble",POWER(Upgrades!$U$13,E223),1)*IF(Upgrades!$T$15="Local Bubble",POWER(Upgrades!$U$15,G223),1)*IF(Upgrades!$T$16="Local Bubble",POWER(Upgrades!$U$16,H223),1)*IF(Upgrades!$T$17="Local Bubble",POWER(Upgrades!$U$17,I223),1)*IF(Upgrades!$T$18="Local Bubble",POWER(Upgrades!$U$18,J223),1)*IF(Upgrades!$T$19="Local Bubble",POWER(Upgrades!$U$19,K223),1)*IF(Upgrades!$T$20="Local Bubble",POWER(Upgrades!$U$20,L223),1)*IF(Upgrades!$T$21="Local Bubble",POWER(Upgrades!$U$21,M223),1))+(IF(G223=0,0,(Upgrades!$M$15+G223*Upgrades!$N$15)*POWER(Upgrades!$O$15,G223)))*(IF(Upgrades!$T$13="Microlensing",POWER(Upgrades!$U$13,E223),1)*IF(Upgrades!$T$14="Microlensing",POWER(Upgrades!$U$14,F223),1)*IF(Upgrades!$T$16="Microlensing",POWER(Upgrades!$U$16,H223),1)*IF(Upgrades!$T$17="Microlensing",POWER(Upgrades!$U$17,I223),1)*IF(Upgrades!$T$18="Microlensing",POWER(Upgrades!$U$18,J223),1)*IF(Upgrades!$T$19="Microlensing",POWER(Upgrades!$U$19,K223),1)*IF(Upgrades!$T$20="Microlensing",POWER(Upgrades!$U$20,L223),1)*IF(Upgrades!$T$21="Microlensing",POWER(Upgrades!$U$21,M223),1))+(IF(H223=0,0,(Upgrades!$M$16+H223*Upgrades!$N$16)*POWER(Upgrades!$O$16,H223)))*(IF(Upgrades!$T$13="Roche Lobe Overflow",POWER(Upgrades!$U$13,E223),1)*IF(Upgrades!$T$14="Roche Lobe Overflow",POWER(Upgrades!$U$14,F223),1)*IF(Upgrades!$T$15="Roche Lobe Overflow",POWER(Upgrades!$U$15,G223),1)*IF(Upgrades!$T$17="Roche Lobe Overflow",POWER(Upgrades!$U$17,I223),1)*IF(Upgrades!$T$18="Roche Lobe Overflow",POWER(Upgrades!$U$18,J223),1)*IF(Upgrades!$T$19="Roche Lobe Overflow",POWER(Upgrades!$U$19,K223),1)*IF(Upgrades!$T$20="Roche Lobe Overflow",POWER(Upgrades!$U$20,L223),1)*IF(Upgrades!$T$21="Roche Lobe Overflow",POWER(Upgrades!$U$21,M223),1))+(IF(I223=0,0,(Upgrades!$M$17+I223*Upgrades!$N$17)*POWER(Upgrades!$O$17,I223)))*(IF(Upgrades!$T$13="Brown Dwarf",POWER(Upgrades!$U$13,E223),1)*IF(Upgrades!$T$14="Brown Dwarf",POWER(Upgrades!$U$14,F223),1)*IF(Upgrades!$T$15="Brown Dwarf",POWER(Upgrades!$U$15,G223),1)*IF(Upgrades!$T$16="Brown Dwarf",POWER(Upgrades!$U$16,H223),1)*IF(Upgrades!$T$18="Brown Dwarf",POWER(Upgrades!$U$18,J223),1)*IF(Upgrades!$T$19="Brown Dwarf",POWER(Upgrades!$U$19,K223),1)*IF(Upgrades!$T$20="Brown Dwarf",POWER(Upgrades!$U$20,L223),1)*IF(Upgrades!$T$21="Brown Dwarf",POWER(Upgrades!$U$21,M223),1))+(IF(J223=0,0,(Upgrades!$M$18+J223*Upgrades!$N$18)*POWER(Upgrades!$O$18,J223)))*(IF(Upgrades!$T$13="Binary Partner",POWER(Upgrades!$U$13,E223),1)*IF(Upgrades!$T$14="Binary Partner",POWER(Upgrades!$U$14,F223),1)*IF(Upgrades!$T$15="Binary Partner",POWER(Upgrades!$U$15,G223),1)*IF(Upgrades!$T$16="Binary Partner",POWER(Upgrades!$U$16,H223),1)*IF(Upgrades!$T$17="Binary Partner",POWER(Upgrades!$U$17,I223),1)*IF(Upgrades!$T$19="Binary Partner",POWER(Upgrades!$U$19,K223),1)*IF(Upgrades!$T$20="Binary Partner",POWER(Upgrades!$U$20,L223),1)*IF(Upgrades!$T$21="Binary Partner",POWER(Upgrades!$U$21,M223),1))+(IF(K223=0,0,(Upgrades!$M$19+K223*Upgrades!$N$19)*POWER(Upgrades!$O$19,K223)))*(IF(Upgrades!$T$13="Peculiar Velocity",POWER(Upgrades!$U$13,E223),1)*IF(Upgrades!$T$14="Peculiar Velocity",POWER(Upgrades!$U$14,F223),1)*IF(Upgrades!$T$15="Peculiar Velocity",POWER(Upgrades!$U$15,G223),1)*IF(Upgrades!$T$16="Peculiar Velocity",POWER(Upgrades!$U$16,H223),1)*IF(Upgrades!$T$17="Peculiar Velocity",POWER(Upgrades!$U$17,I223),1)*IF(Upgrades!$T$18="Peculiar Velocity",POWER(Upgrades!$U$18,J223),1)*IF(Upgrades!$T$20="Peculiar Velocity",POWER(Upgrades!$U$20,L223),1)*IF(Upgrades!$T$21="Peculiar Velocity",POWER(Upgrades!$U$21,M223),1))+(IF(L223=0,0,(Upgrades!$M$20+L223*Upgrades!$N$20)*POWER(Upgrades!$O$20,L223)))*(IF(Upgrades!$T$13="Open Cluster",POWER(Upgrades!$U$13,E223),1)*IF(Upgrades!$T$14="Open Cluster",POWER(Upgrades!$U$14,F223),1)*IF(Upgrades!$T$15="Open Cluster",POWER(Upgrades!$U$15,G223),1)*IF(Upgrades!$T$16="Open Cluster",POWER(Upgrades!$U$16,H223),1)*IF(Upgrades!$T$17="Open Cluster",POWER(Upgrades!$U$17,I223),1)*IF(Upgrades!$T$18="Open Cluster",POWER(Upgrades!$U$18,J223),1)*IF(Upgrades!$T$19="Open Cluster",POWER(Upgrades!$U$19,K223),1)*IF(Upgrades!$T$21="Open Cluster",POWER(Upgrades!$U$21,M223),1))+(IF(M223=0,0,(Upgrades!$M$21+M223*Upgrades!$N$21)*POWER(Upgrades!$O$21,M223)))*(IF(Upgrades!$T$13="Moving Group",POWER(Upgrades!$U$13,E223),1)*IF(Upgrades!$T$14="Moving Group",POWER(Upgrades!$U$14,F223),1)*IF(Upgrades!$T$15="Moving Group",POWER(Upgrades!$U$15,G223),1)*IF(Upgrades!$T$16="Moving Group",POWER(Upgrades!$U$16,H223),1)*IF(Upgrades!$T$17="Moving Group",POWER(Upgrades!$U$17,I223),1)*IF(Upgrades!$T$18="Moving Group",POWER(Upgrades!$U$18,J223),1)*IF(Upgrades!$T$19="Moving Group",POWER(Upgrades!$U$19,K223),1)*IF(Upgrades!$T$20="Moving Group",POWER(Upgrades!$U$20,L223),1)))*POWER(Upgrades!$R$13,E223)*POWER(Upgrades!$R$14,F223)*POWER(Upgrades!$R$15,G223)*POWER(Upgrades!$R$16,H223)*POWER(Upgrades!$R$17,I223)*POWER(Upgrades!$R$18,J223)*POWER(Upgrades!$R$19,K223)*POWER(Upgrades!$R$20,L223)*POWER(Upgrades!$R$21,M223)*$H$6+$E$6</f>
        <v/>
      </c>
      <c r="R223" s="27">
        <f>IF(N223=1,0,O223*Parameters!$B$10/60*Parameters!$B$11*10)</f>
        <v/>
      </c>
      <c r="S223" s="27">
        <f>IF(N223=1,0,Q223*O223*10)</f>
        <v/>
      </c>
      <c r="T223" s="27">
        <f>IF(N223=1,0,R223+S223+P223*10)</f>
        <v/>
      </c>
      <c r="U223" s="33">
        <f>BE223</f>
        <v/>
      </c>
      <c r="V223" s="22">
        <f>IF(U223="",0,IF(U223="transition",0,IF(U223="SK",AK223,IF(U223="LB",AL223,IF(U223="ML",AM223,IF(U223="RLO",AN223,IF(U223="BD",AO223,IF(U223="BiP",AP223,IF(U223="PV",AQ223,IF(U223="OC",AR223,IF(U223="MG",AS223,0))))))))))</f>
        <v/>
      </c>
      <c r="W223" s="27">
        <f>IF(U223="BiP",Upgrades!$F$18,IF(U223="PV",Upgrades!$F$19,IF(U223="OC",Upgrades!$F$20,IF(U223="MG",Upgrades!$F$21,IF(U223="transition",-Parameters!$B$18*Parameters!$B$19,0)))))</f>
        <v/>
      </c>
      <c r="X223" s="22">
        <f>C223+T223-V223</f>
        <v/>
      </c>
      <c r="Y223" s="30">
        <f>O223*Parameters!$B$10/60*Parameters!$B$11+Q223*O223+P223</f>
        <v/>
      </c>
      <c r="Z223" s="34">
        <f>IF(U223="transition","→ Tier 3 (Galactic Arm)",IF(U223="MG","Moving Group — pocket drifts together",IF(U223="OC","Open Cluster acquired",IF(U223="PV","Peculiar Velocity — passive multiplier active",IF(U223="BiP","Binary Partner — pair bond formed",IF(AND(AU223=1,N223=0,AT223&lt;&gt;1),"Cohesion ready (waiting on completionists)","")))))) </f>
        <v/>
      </c>
      <c r="AA223" s="27">
        <f>(IF(E223=0,0,(Upgrades!$G$13+E223*Upgrades!$H$13)*POWER(Upgrades!$I$13,E223)))*(IF(Upgrades!$T$14="Stellar Kinematics",POWER(Upgrades!$U$14,F223),1)*IF(Upgrades!$T$15="Stellar Kinematics",POWER(Upgrades!$U$15,G223),1)*IF(Upgrades!$T$16="Stellar Kinematics",POWER(Upgrades!$U$16,H223),1)*IF(Upgrades!$T$17="Stellar Kinematics",POWER(Upgrades!$U$17,I223),1)*IF(Upgrades!$T$18="Stellar Kinematics",POWER(Upgrades!$U$18,J223),1)*IF(Upgrades!$T$19="Stellar Kinematics",POWER(Upgrades!$U$19,K223),1)*IF(Upgrades!$T$20="Stellar Kinematics",POWER(Upgrades!$U$20,L223),1)*IF(Upgrades!$T$21="Stellar Kinematics",POWER(Upgrades!$U$21,M223),1))*POWER(Upgrades!$P$13,E223)*POWER(Upgrades!$P$14,F223)*POWER(Upgrades!$P$15,G223)*POWER(Upgrades!$P$16,H223)*POWER(Upgrades!$P$17,I223)*POWER(Upgrades!$P$18,J223)*POWER(Upgrades!$P$19,K223)*POWER(Upgrades!$P$20,L223)*POWER(Upgrades!$P$21,M223)*$F$6*60</f>
        <v/>
      </c>
      <c r="AB223" s="27">
        <f>(IF(F223=0,0,(Upgrades!$G$14+F223*Upgrades!$H$14)*POWER(Upgrades!$I$14,F223)))*(IF(Upgrades!$T$13="Local Bubble",POWER(Upgrades!$U$13,E223),1)*IF(Upgrades!$T$15="Local Bubble",POWER(Upgrades!$U$15,G223),1)*IF(Upgrades!$T$16="Local Bubble",POWER(Upgrades!$U$16,H223),1)*IF(Upgrades!$T$17="Local Bubble",POWER(Upgrades!$U$17,I223),1)*IF(Upgrades!$T$18="Local Bubble",POWER(Upgrades!$U$18,J223),1)*IF(Upgrades!$T$19="Local Bubble",POWER(Upgrades!$U$19,K223),1)*IF(Upgrades!$T$20="Local Bubble",POWER(Upgrades!$U$20,L223),1)*IF(Upgrades!$T$21="Local Bubble",POWER(Upgrades!$U$21,M223),1))*POWER(Upgrades!$P$13,E223)*POWER(Upgrades!$P$14,F223)*POWER(Upgrades!$P$15,G223)*POWER(Upgrades!$P$16,H223)*POWER(Upgrades!$P$17,I223)*POWER(Upgrades!$P$18,J223)*POWER(Upgrades!$P$19,K223)*POWER(Upgrades!$P$20,L223)*POWER(Upgrades!$P$21,M223)*$F$6*60</f>
        <v/>
      </c>
      <c r="AC223" s="27">
        <f>(IF(G223=0,0,(Upgrades!$J$15+G223*Upgrades!$K$15)*POWER(Upgrades!$L$15,G223)))*(IF(Upgrades!$T$13="Microlensing",POWER(Upgrades!$U$13,E223),1)*IF(Upgrades!$T$14="Microlensing",POWER(Upgrades!$U$14,F223),1)*IF(Upgrades!$T$16="Microlensing",POWER(Upgrades!$U$16,H223),1)*IF(Upgrades!$T$17="Microlensing",POWER(Upgrades!$U$17,I223),1)*IF(Upgrades!$T$18="Microlensing",POWER(Upgrades!$U$18,J223),1)*IF(Upgrades!$T$19="Microlensing",POWER(Upgrades!$U$19,K223),1)*IF(Upgrades!$T$20="Microlensing",POWER(Upgrades!$U$20,L223),1)*IF(Upgrades!$T$21="Microlensing",POWER(Upgrades!$U$21,M223),1))*POWER(Upgrades!$Q$13,E223)*POWER(Upgrades!$Q$14,F223)*POWER(Upgrades!$Q$15,G223)*POWER(Upgrades!$Q$16,H223)*POWER(Upgrades!$Q$17,I223)*POWER(Upgrades!$Q$18,J223)*POWER(Upgrades!$Q$19,K223)*POWER(Upgrades!$Q$20,L223)*POWER(Upgrades!$Q$21,M223)*$G$6*(Parameters!$B$10*Parameters!$B$11+Q223*60)</f>
        <v/>
      </c>
      <c r="AD223" s="27">
        <f>(IF(H223=0,0,(Upgrades!$M$16+H223*Upgrades!$N$16)*POWER(Upgrades!$O$16,H223)))*(IF(Upgrades!$T$13="Roche Lobe Overflow",POWER(Upgrades!$U$13,E223),1)*IF(Upgrades!$T$14="Roche Lobe Overflow",POWER(Upgrades!$U$14,F223),1)*IF(Upgrades!$T$15="Roche Lobe Overflow",POWER(Upgrades!$U$15,G223),1)*IF(Upgrades!$T$17="Roche Lobe Overflow",POWER(Upgrades!$U$17,I223),1)*IF(Upgrades!$T$18="Roche Lobe Overflow",POWER(Upgrades!$U$18,J223),1)*IF(Upgrades!$T$19="Roche Lobe Overflow",POWER(Upgrades!$U$19,K223),1)*IF(Upgrades!$T$20="Roche Lobe Overflow",POWER(Upgrades!$U$20,L223),1)*IF(Upgrades!$T$21="Roche Lobe Overflow",POWER(Upgrades!$U$21,M223),1))*POWER(Upgrades!$R$13,E223)*POWER(Upgrades!$R$14,F223)*POWER(Upgrades!$R$15,G223)*POWER(Upgrades!$R$16,H223)*POWER(Upgrades!$R$17,I223)*POWER(Upgrades!$R$18,J223)*POWER(Upgrades!$R$19,K223)*POWER(Upgrades!$R$20,L223)*POWER(Upgrades!$R$21,M223)*$H$6*O223*60</f>
        <v/>
      </c>
      <c r="AE223" s="27">
        <f>(IF(I223=0,0,(Upgrades!$G$17+I223*Upgrades!$H$17)*POWER(Upgrades!$I$17,I223)))*(IF(Upgrades!$T$13="Brown Dwarf",POWER(Upgrades!$U$13,E223),1)*IF(Upgrades!$T$14="Brown Dwarf",POWER(Upgrades!$U$14,F223),1)*IF(Upgrades!$T$15="Brown Dwarf",POWER(Upgrades!$U$15,G223),1)*IF(Upgrades!$T$16="Brown Dwarf",POWER(Upgrades!$U$16,H223),1)*IF(Upgrades!$T$18="Brown Dwarf",POWER(Upgrades!$U$18,J223),1)*IF(Upgrades!$T$19="Brown Dwarf",POWER(Upgrades!$U$19,K223),1)*IF(Upgrades!$T$20="Brown Dwarf",POWER(Upgrades!$U$20,L223),1)*IF(Upgrades!$T$21="Brown Dwarf",POWER(Upgrades!$U$21,M223),1))*POWER(Upgrades!$P$13,E223)*POWER(Upgrades!$P$14,F223)*POWER(Upgrades!$P$15,G223)*POWER(Upgrades!$P$16,H223)*POWER(Upgrades!$P$17,I223)*POWER(Upgrades!$P$18,J223)*POWER(Upgrades!$P$19,K223)*POWER(Upgrades!$P$20,L223)*POWER(Upgrades!$P$21,M223)*$F$6*60</f>
        <v/>
      </c>
      <c r="AF223" s="27" t="n">
        <v>0</v>
      </c>
      <c r="AG223" s="27" t="n">
        <v>0</v>
      </c>
      <c r="AH223" s="27" t="n">
        <v>0</v>
      </c>
      <c r="AI223" s="27">
        <f>(IF(M223=0,0,(Upgrades!$G$21+M223*Upgrades!$H$21)*POWER(Upgrades!$I$21,M223)))*(IF(Upgrades!$T$13="Moving Group",POWER(Upgrades!$U$13,E223),1)*IF(Upgrades!$T$14="Moving Group",POWER(Upgrades!$U$14,F223),1)*IF(Upgrades!$T$15="Moving Group",POWER(Upgrades!$U$15,G223),1)*IF(Upgrades!$T$16="Moving Group",POWER(Upgrades!$U$16,H223),1)*IF(Upgrades!$T$17="Moving Group",POWER(Upgrades!$U$17,I223),1)*IF(Upgrades!$T$18="Moving Group",POWER(Upgrades!$U$18,J223),1)*IF(Upgrades!$T$19="Moving Group",POWER(Upgrades!$U$19,K223),1)*IF(Upgrades!$T$20="Moving Group",POWER(Upgrades!$U$20,L223),1))*POWER(Upgrades!$P$13,E223)*POWER(Upgrades!$P$14,F223)*POWER(Upgrades!$P$15,G223)*POWER(Upgrades!$P$16,H223)*POWER(Upgrades!$P$17,I223)*POWER(Upgrades!$P$18,J223)*POWER(Upgrades!$P$19,K223)*POWER(Upgrades!$P$20,L223)*POWER(Upgrades!$P$21,M223)*$F$6*60</f>
        <v/>
      </c>
      <c r="AJ223" s="27">
        <f>$C$6*60</f>
        <v/>
      </c>
      <c r="AK223" s="22">
        <f>IF(E223&gt;=Upgrades!$E$13,"",Upgrades!$C$13*POWER(Upgrades!$D$13,E223))</f>
        <v/>
      </c>
      <c r="AL223" s="22">
        <f>IF(F223&gt;=Upgrades!$E$14,"",Upgrades!$C$14*POWER(Upgrades!$D$14,F223))</f>
        <v/>
      </c>
      <c r="AM223" s="22">
        <f>IF(G223&gt;=Upgrades!$E$15,"",Upgrades!$C$15*POWER(Upgrades!$D$15,G223))</f>
        <v/>
      </c>
      <c r="AN223" s="22">
        <f>IF(H223&gt;=Upgrades!$E$16,"",Upgrades!$C$16*POWER(Upgrades!$D$16,H223))</f>
        <v/>
      </c>
      <c r="AO223" s="22">
        <f>IF(I223&gt;=Upgrades!$E$17,"",Upgrades!$C$17*POWER(Upgrades!$D$17,I223))</f>
        <v/>
      </c>
      <c r="AP223" s="22">
        <f>IF(J223&gt;=Upgrades!$E$18,"",Upgrades!$C$18*POWER(Upgrades!$D$18,J223))</f>
        <v/>
      </c>
      <c r="AQ223" s="22">
        <f>IF(K223&gt;=Upgrades!$E$19,"",Upgrades!$C$19*POWER(Upgrades!$D$19,K223))</f>
        <v/>
      </c>
      <c r="AR223" s="22">
        <f>IF(L223&gt;=Upgrades!$E$20,"",Upgrades!$C$20*POWER(Upgrades!$D$20,L223))</f>
        <v/>
      </c>
      <c r="AS223" s="22">
        <f>IF(M223&gt;=Upgrades!$E$21,"",Upgrades!$C$21*POWER(Upgrades!$D$21,M223))</f>
        <v/>
      </c>
      <c r="AT223" s="26">
        <f>IF(AND(D223&gt;=Parameters!$B$18*Parameters!$B$19,(I223&gt;=Upgrades!$E$17)*(M223&gt;=Upgrades!$E$21)=1,N223=0),1,"")</f>
        <v/>
      </c>
      <c r="AU223" s="26">
        <f>IF(AND(D223&gt;=Parameters!$B$18*Parameters!$B$19,N223=0),1,"")</f>
        <v/>
      </c>
      <c r="AV223" s="22">
        <f>MIN(IF(ISNUMBER(AP223),AP223,9E15),IF(ISNUMBER(AQ223),AQ223,9E15),IF(ISNUMBER(AR223),AR223,9E15),IF(ISNUMBER(AS223),AS223,9E15))</f>
        <v/>
      </c>
      <c r="AW223" s="22">
        <f>MIN(IF(ISNUMBER(AK223),AK223,9E15),IF(ISNUMBER(AL223),AL223,9E15),IF(ISNUMBER(AM223),AM223,9E15),IF(ISNUMBER(AN223),AN223,9E15),IF(ISNUMBER(AO223),AO223,9E15))</f>
        <v/>
      </c>
      <c r="AX223" s="29">
        <f>IF(BD223&gt;Parameters!$B$21*(MAX(IF(AND(NOT(AND(AU223=1,AT223&lt;&gt;1)),ISNUMBER(AK223),AK223&lt;=(C223+T223)),AY223,0),IF(AND(NOT(AND(AU223=1,AT223&lt;&gt;1)),ISNUMBER(AL223),AL223&lt;=(C223+T223)),AZ223,0),IF(AND(NOT(AND(AU223=1,AT223&lt;&gt;1)),ISNUMBER(AM223),AM223&lt;=(C223+T223)),BA223,0),IF(AND(NOT(AND(AU223=1,AT223&lt;&gt;1)),ISNUMBER(AN223),AN223&lt;=(C223+T223)),BB223,0),IF(AND(ISNUMBER(AO223),AO223&lt;=(C223+T223)),BC223,0))),TRUE,FALSE)</f>
        <v/>
      </c>
      <c r="AY223" s="32">
        <f>IFERROR(Upgrades!$H$13*(POWER(Upgrades!$P$13,E223)*POWER(Upgrades!$P$14,F223)*POWER(Upgrades!$P$15,G223)*POWER(Upgrades!$P$16,H223)*POWER(Upgrades!$P$17,I223)*POWER(Upgrades!$P$18,J223)*POWER(Upgrades!$P$19,K223)*POWER(Upgrades!$P$20,L223)*POWER(Upgrades!$P$21,M223))*(IF(Upgrades!$T$14="Stellar Kinematics",POWER(Upgrades!$U$14,F223),1)*IF(Upgrades!$T$15="Stellar Kinematics",POWER(Upgrades!$U$15,G223),1)*IF(Upgrades!$T$16="Stellar Kinematics",POWER(Upgrades!$U$16,H223),1)*IF(Upgrades!$T$17="Stellar Kinematics",POWER(Upgrades!$U$17,I223),1)*IF(Upgrades!$T$18="Stellar Kinematics",POWER(Upgrades!$U$18,J223),1)*IF(Upgrades!$T$19="Stellar Kinematics",POWER(Upgrades!$U$19,K223),1)*IF(Upgrades!$T$20="Stellar Kinematics",POWER(Upgrades!$U$20,L223),1)*IF(Upgrades!$T$21="Stellar Kinematics",POWER(Upgrades!$U$21,M223),1))*$F$6/AK223,0)</f>
        <v/>
      </c>
      <c r="AZ223" s="32">
        <f>IFERROR(Upgrades!$H$14*(POWER(Upgrades!$P$13,E223)*POWER(Upgrades!$P$14,F223)*POWER(Upgrades!$P$15,G223)*POWER(Upgrades!$P$16,H223)*POWER(Upgrades!$P$17,I223)*POWER(Upgrades!$P$18,J223)*POWER(Upgrades!$P$19,K223)*POWER(Upgrades!$P$20,L223)*POWER(Upgrades!$P$21,M223))*(IF(Upgrades!$T$13="Local Bubble",POWER(Upgrades!$U$13,E223),1)*IF(Upgrades!$T$15="Local Bubble",POWER(Upgrades!$U$15,G223),1)*IF(Upgrades!$T$16="Local Bubble",POWER(Upgrades!$U$16,H223),1)*IF(Upgrades!$T$17="Local Bubble",POWER(Upgrades!$U$17,I223),1)*IF(Upgrades!$T$18="Local Bubble",POWER(Upgrades!$U$18,J223),1)*IF(Upgrades!$T$19="Local Bubble",POWER(Upgrades!$U$19,K223),1)*IF(Upgrades!$T$20="Local Bubble",POWER(Upgrades!$U$20,L223),1)*IF(Upgrades!$T$21="Local Bubble",POWER(Upgrades!$U$21,M223),1))*$F$6/AL223,0)</f>
        <v/>
      </c>
      <c r="BA223" s="32">
        <f>IFERROR(Upgrades!$K$15*(POWER(Upgrades!$Q$13,E223)*POWER(Upgrades!$Q$14,F223)*POWER(Upgrades!$Q$15,G223)*POWER(Upgrades!$Q$16,H223)*POWER(Upgrades!$Q$17,I223)*POWER(Upgrades!$Q$18,J223)*POWER(Upgrades!$Q$19,K223)*POWER(Upgrades!$Q$20,L223)*POWER(Upgrades!$Q$21,M223))*(IF(Upgrades!$T$13="Microlensing",POWER(Upgrades!$U$13,E223),1)*IF(Upgrades!$T$14="Microlensing",POWER(Upgrades!$U$14,F223),1)*IF(Upgrades!$T$16="Microlensing",POWER(Upgrades!$U$16,H223),1)*IF(Upgrades!$T$17="Microlensing",POWER(Upgrades!$U$17,I223),1)*IF(Upgrades!$T$18="Microlensing",POWER(Upgrades!$U$18,J223),1)*IF(Upgrades!$T$19="Microlensing",POWER(Upgrades!$U$19,K223),1)*IF(Upgrades!$T$20="Microlensing",POWER(Upgrades!$U$20,L223),1)*IF(Upgrades!$T$21="Microlensing",POWER(Upgrades!$U$21,M223),1))*$G$6*(Parameters!$B$10/60*Parameters!$B$11+Q223)/AM223,0)</f>
        <v/>
      </c>
      <c r="BB223" s="32">
        <f>IFERROR((Upgrades!$N$16*(POWER(Upgrades!$R$13,E223)*POWER(Upgrades!$R$14,F223)*POWER(Upgrades!$R$15,G223)*POWER(Upgrades!$R$16,H223)*POWER(Upgrades!$R$17,I223)*POWER(Upgrades!$R$18,J223)*POWER(Upgrades!$R$19,K223)*POWER(Upgrades!$R$20,L223)*POWER(Upgrades!$R$21,M223))*(IF(Upgrades!$T$13="Roche Lobe Overflow",POWER(Upgrades!$U$13,E223),1)*IF(Upgrades!$T$14="Roche Lobe Overflow",POWER(Upgrades!$U$14,F223),1)*IF(Upgrades!$T$15="Roche Lobe Overflow",POWER(Upgrades!$U$15,G223),1)*IF(Upgrades!$T$17="Roche Lobe Overflow",POWER(Upgrades!$U$17,I223),1)*IF(Upgrades!$T$18="Roche Lobe Overflow",POWER(Upgrades!$U$18,J223),1)*IF(Upgrades!$T$19="Roche Lobe Overflow",POWER(Upgrades!$U$19,K223),1)*IF(Upgrades!$T$20="Roche Lobe Overflow",POWER(Upgrades!$U$20,L223),1)*IF(Upgrades!$T$21="Roche Lobe Overflow",POWER(Upgrades!$U$21,M223),1))*$H$6*O223+((IF(F223=0,0,(Upgrades!$G$14+F223*Upgrades!$H$14)*POWER(Upgrades!$I$14,F223)))*(IF(Upgrades!$T$13="Local Bubble",POWER(Upgrades!$U$13,E223),1)*IF(Upgrades!$T$15="Local Bubble",POWER(Upgrades!$U$15,G223),1)*IF(Upgrades!$T$16="Local Bubble",POWER(Upgrades!$U$16,H223),1)*IF(Upgrades!$T$17="Local Bubble",POWER(Upgrades!$U$17,I223),1)*IF(Upgrades!$T$18="Local Bubble",POWER(Upgrades!$U$18,J223),1)*IF(Upgrades!$T$19="Local Bubble",POWER(Upgrades!$U$19,K223),1)*IF(Upgrades!$T$20="Local Bubble",POWER(Upgrades!$U$20,L223),1)*IF(Upgrades!$T$21="Local Bubble",POWER(Upgrades!$U$21,M223),1))*POWER(Upgrades!$P$13,E223)*POWER(Upgrades!$P$14,F223)*POWER(Upgrades!$P$15,G223)*POWER(Upgrades!$P$16,H223)*POWER(Upgrades!$P$17,I223)*POWER(Upgrades!$P$18,J223)*POWER(Upgrades!$P$19,K223)*POWER(Upgrades!$P$20,L223)*POWER(Upgrades!$P$21,M223)*$F$6)*0.05)/AN223,0)</f>
        <v/>
      </c>
      <c r="BC223" s="32">
        <f>IFERROR((Upgrades!$H$17*(POWER(Upgrades!$P$13,E223)*POWER(Upgrades!$P$14,F223)*POWER(Upgrades!$P$15,G223)*POWER(Upgrades!$P$16,H223)*POWER(Upgrades!$P$17,I223)*POWER(Upgrades!$P$18,J223)*POWER(Upgrades!$P$19,K223)*POWER(Upgrades!$P$20,L223)*POWER(Upgrades!$P$21,M223))*(IF(Upgrades!$T$13="Brown Dwarf",POWER(Upgrades!$U$13,E223),1)*IF(Upgrades!$T$14="Brown Dwarf",POWER(Upgrades!$U$14,F223),1)*IF(Upgrades!$T$15="Brown Dwarf",POWER(Upgrades!$U$15,G223),1)*IF(Upgrades!$T$16="Brown Dwarf",POWER(Upgrades!$U$16,H223),1)*IF(Upgrades!$T$18="Brown Dwarf",POWER(Upgrades!$U$18,J223),1)*IF(Upgrades!$T$19="Brown Dwarf",POWER(Upgrades!$U$19,K223),1)*IF(Upgrades!$T$20="Brown Dwarf",POWER(Upgrades!$U$20,L223),1)*IF(Upgrades!$T$21="Brown Dwarf",POWER(Upgrades!$U$21,M223),1))*$F$6+(((IF(H223=0,0,(Upgrades!$M$16+H223*Upgrades!$N$16)*POWER(Upgrades!$O$16,H223)))*(IF(Upgrades!$T$13="Roche Lobe Overflow",POWER(Upgrades!$U$13,E223),1)*IF(Upgrades!$T$14="Roche Lobe Overflow",POWER(Upgrades!$U$14,F223),1)*IF(Upgrades!$T$15="Roche Lobe Overflow",POWER(Upgrades!$U$15,G223),1)*IF(Upgrades!$T$17="Roche Lobe Overflow",POWER(Upgrades!$U$17,I223),1)*IF(Upgrades!$T$18="Roche Lobe Overflow",POWER(Upgrades!$U$18,J223),1)*IF(Upgrades!$T$19="Roche Lobe Overflow",POWER(Upgrades!$U$19,K223),1)*IF(Upgrades!$T$20="Roche Lobe Overflow",POWER(Upgrades!$U$20,L223),1)*IF(Upgrades!$T$21="Roche Lobe Overflow",POWER(Upgrades!$U$21,M223),1))*POWER(Upgrades!$R$13,E223)*POWER(Upgrades!$R$14,F223)*POWER(Upgrades!$R$15,G223)*POWER(Upgrades!$R$16,H223)*POWER(Upgrades!$R$17,I223)*POWER(Upgrades!$R$18,J223)*POWER(Upgrades!$R$19,K223)*POWER(Upgrades!$R$20,L223)*POWER(Upgrades!$R$21,M223)*$H$6)*O223)*0.10)/AO223,0)</f>
        <v/>
      </c>
      <c r="BD223" s="32">
        <f>MAX(IF(J223&gt;0,0,IFERROR(0.5*((IF(G223=0,0,(Upgrades!$J$15+G223*Upgrades!$K$15)*POWER(Upgrades!$L$15,G223)))*(IF(Upgrades!$T$13="Microlensing",POWER(Upgrades!$U$13,E223),1)*IF(Upgrades!$T$14="Microlensing",POWER(Upgrades!$U$14,F223),1)*IF(Upgrades!$T$16="Microlensing",POWER(Upgrades!$U$16,H223),1)*IF(Upgrades!$T$17="Microlensing",POWER(Upgrades!$U$17,I223),1)*IF(Upgrades!$T$18="Microlensing",POWER(Upgrades!$U$18,J223),1)*IF(Upgrades!$T$19="Microlensing",POWER(Upgrades!$U$19,K223),1)*IF(Upgrades!$T$20="Microlensing",POWER(Upgrades!$U$20,L223),1)*IF(Upgrades!$T$21="Microlensing",POWER(Upgrades!$U$21,M223),1))*(POWER(Upgrades!$Q$13,E223)*POWER(Upgrades!$Q$14,F223)*POWER(Upgrades!$Q$15,G223)*POWER(Upgrades!$Q$16,H223)*POWER(Upgrades!$Q$17,I223)*POWER(Upgrades!$Q$18,J223)*POWER(Upgrades!$Q$19,K223)*POWER(Upgrades!$Q$20,L223)*POWER(Upgrades!$Q$21,M223))*$G$6*(Parameters!$B$10/60*Parameters!$B$11+Q223))/Upgrades!$C$18,0)),IF(K223&gt;0,0,IFERROR(0.30*P223/Upgrades!$C$19,0)),IF(L223&gt;0,0,IFERROR(0.0001/Upgrades!$C$20,0)),IF(M223&gt;0,0,IFERROR((6.0*(POWER(Upgrades!$P$13,E223)*POWER(Upgrades!$P$14,F223)*POWER(Upgrades!$P$15,G223)*POWER(Upgrades!$P$16,H223)*POWER(Upgrades!$P$17,I223)*POWER(Upgrades!$P$18,J223)*POWER(Upgrades!$P$19,K223)*POWER(Upgrades!$P$20,L223)*POWER(Upgrades!$P$21,M223))*$F$6+0.20*O223*(Parameters!$B$10/60*Parameters!$B$11+Q223))/Upgrades!$C$21,0)),IF(AND(ISNUMBER(AK223),AK223&gt;(C223+T223)),AY223,0),IF(AND(ISNUMBER(AL223),AL223&gt;(C223+T223)),AZ223,0),IF(AND(ISNUMBER(AM223),AM223&gt;(C223+T223)),BA223,0),IF(AND(ISNUMBER(AN223),AN223&gt;(C223+T223)),BB223,0),IF(AND(ISNUMBER(AO223),AO223&gt;(C223+T223)),BC223,0))</f>
        <v/>
      </c>
      <c r="BE223" s="29">
        <f>IF(AT223=1,"transition",IF(MIN(IF(AND(J223=0,ISNUMBER(AP223),AP223&lt;=(C223+T223)),AP223,9E15),IF(AND(K223=0,ISNUMBER(AQ223),AQ223&lt;=(C223+T223)),AQ223,9E15),IF(AND(L223=0,ISNUMBER(AR223),AR223&lt;=(C223+T223)),AR223,9E15),IF(AND(M223=0,ISNUMBER(AS223),AS223&lt;=(C223+T223)),AS223,9E15))&lt;9E15,IF(AND(AND(J223=0,ISNUMBER(AP223),AP223&lt;=(C223+T223)),AP223=MIN(IF(AND(J223=0,ISNUMBER(AP223),AP223&lt;=(C223+T223)),AP223,9E15),IF(AND(K223=0,ISNUMBER(AQ223),AQ223&lt;=(C223+T223)),AQ223,9E15),IF(AND(L223=0,ISNUMBER(AR223),AR223&lt;=(C223+T223)),AR223,9E15),IF(AND(M223=0,ISNUMBER(AS223),AS223&lt;=(C223+T223)),AS223,9E15))),"BiP",IF(AND(AND(K223=0,ISNUMBER(AQ223),AQ223&lt;=(C223+T223)),AQ223=MIN(IF(AND(J223=0,ISNUMBER(AP223),AP223&lt;=(C223+T223)),AP223,9E15),IF(AND(K223=0,ISNUMBER(AQ223),AQ223&lt;=(C223+T223)),AQ223,9E15),IF(AND(L223=0,ISNUMBER(AR223),AR223&lt;=(C223+T223)),AR223,9E15),IF(AND(M223=0,ISNUMBER(AS223),AS223&lt;=(C223+T223)),AS223,9E15))),"PV",IF(AND(AND(L223=0,ISNUMBER(AR223),AR223&lt;=(C223+T223)),AR223=MIN(IF(AND(J223=0,ISNUMBER(AP223),AP223&lt;=(C223+T223)),AP223,9E15),IF(AND(K223=0,ISNUMBER(AQ223),AQ223&lt;=(C223+T223)),AQ223,9E15),IF(AND(L223=0,ISNUMBER(AR223),AR223&lt;=(C223+T223)),AR223,9E15),IF(AND(M223=0,ISNUMBER(AS223),AS223&lt;=(C223+T223)),AS223,9E15))),"OC","MG"))),IF(AX223=TRUE,"",IF(MAX(IF(AND(NOT(AND(AU223=1,AT223&lt;&gt;1)),ISNUMBER(AK223),AK223&lt;=(C223+T223)),AY223,0),IF(AND(NOT(AND(AU223=1,AT223&lt;&gt;1)),ISNUMBER(AL223),AL223&lt;=(C223+T223)),AZ223,0),IF(AND(NOT(AND(AU223=1,AT223&lt;&gt;1)),ISNUMBER(AM223),AM223&lt;=(C223+T223)),BA223,0),IF(AND(NOT(AND(AU223=1,AT223&lt;&gt;1)),ISNUMBER(AN223),AN223&lt;=(C223+T223)),BB223,0),IF(AND(ISNUMBER(AO223),AO223&lt;=(C223+T223)),BC223,0))&lt;=0,"",IF(AND(IF(AND(NOT(AND(AU223=1,AT223&lt;&gt;1)),ISNUMBER(AK223),AK223&lt;=(C223+T223)),AY223,0)&gt;0,IF(AND(NOT(AND(AU223=1,AT223&lt;&gt;1)),ISNUMBER(AK223),AK223&lt;=(C223+T223)),AY223,0)=MAX(IF(AND(NOT(AND(AU223=1,AT223&lt;&gt;1)),ISNUMBER(AK223),AK223&lt;=(C223+T223)),AY223,0),IF(AND(NOT(AND(AU223=1,AT223&lt;&gt;1)),ISNUMBER(AL223),AL223&lt;=(C223+T223)),AZ223,0),IF(AND(NOT(AND(AU223=1,AT223&lt;&gt;1)),ISNUMBER(AM223),AM223&lt;=(C223+T223)),BA223,0),IF(AND(NOT(AND(AU223=1,AT223&lt;&gt;1)),ISNUMBER(AN223),AN223&lt;=(C223+T223)),BB223,0),IF(AND(ISNUMBER(AO223),AO223&lt;=(C223+T223)),BC223,0))),"SK",IF(AND(IF(AND(NOT(AND(AU223=1,AT223&lt;&gt;1)),ISNUMBER(AL223),AL223&lt;=(C223+T223)),AZ223,0)&gt;0,IF(AND(NOT(AND(AU223=1,AT223&lt;&gt;1)),ISNUMBER(AL223),AL223&lt;=(C223+T223)),AZ223,0)=MAX(IF(AND(NOT(AND(AU223=1,AT223&lt;&gt;1)),ISNUMBER(AK223),AK223&lt;=(C223+T223)),AY223,0),IF(AND(NOT(AND(AU223=1,AT223&lt;&gt;1)),ISNUMBER(AL223),AL223&lt;=(C223+T223)),AZ223,0),IF(AND(NOT(AND(AU223=1,AT223&lt;&gt;1)),ISNUMBER(AM223),AM223&lt;=(C223+T223)),BA223,0),IF(AND(NOT(AND(AU223=1,AT223&lt;&gt;1)),ISNUMBER(AN223),AN223&lt;=(C223+T223)),BB223,0),IF(AND(ISNUMBER(AO223),AO223&lt;=(C223+T223)),BC223,0))),"LB",IF(AND(IF(AND(NOT(AND(AU223=1,AT223&lt;&gt;1)),ISNUMBER(AM223),AM223&lt;=(C223+T223)),BA223,0)&gt;0,IF(AND(NOT(AND(AU223=1,AT223&lt;&gt;1)),ISNUMBER(AM223),AM223&lt;=(C223+T223)),BA223,0)=MAX(IF(AND(NOT(AND(AU223=1,AT223&lt;&gt;1)),ISNUMBER(AK223),AK223&lt;=(C223+T223)),AY223,0),IF(AND(NOT(AND(AU223=1,AT223&lt;&gt;1)),ISNUMBER(AL223),AL223&lt;=(C223+T223)),AZ223,0),IF(AND(NOT(AND(AU223=1,AT223&lt;&gt;1)),ISNUMBER(AM223),AM223&lt;=(C223+T223)),BA223,0),IF(AND(NOT(AND(AU223=1,AT223&lt;&gt;1)),ISNUMBER(AN223),AN223&lt;=(C223+T223)),BB223,0),IF(AND(ISNUMBER(AO223),AO223&lt;=(C223+T223)),BC223,0))),"ML",IF(AND(IF(AND(NOT(AND(AU223=1,AT223&lt;&gt;1)),ISNUMBER(AN223),AN223&lt;=(C223+T223)),BB223,0)&gt;0,IF(AND(NOT(AND(AU223=1,AT223&lt;&gt;1)),ISNUMBER(AN223),AN223&lt;=(C223+T223)),BB223,0)=MAX(IF(AND(NOT(AND(AU223=1,AT223&lt;&gt;1)),ISNUMBER(AK223),AK223&lt;=(C223+T223)),AY223,0),IF(AND(NOT(AND(AU223=1,AT223&lt;&gt;1)),ISNUMBER(AL223),AL223&lt;=(C223+T223)),AZ223,0),IF(AND(NOT(AND(AU223=1,AT223&lt;&gt;1)),ISNUMBER(AM223),AM223&lt;=(C223+T223)),BA223,0),IF(AND(NOT(AND(AU223=1,AT223&lt;&gt;1)),ISNUMBER(AN223),AN223&lt;=(C223+T223)),BB223,0),IF(AND(ISNUMBER(AO223),AO223&lt;=(C223+T223)),BC223,0))),"RLO","BD"))))))))</f>
        <v/>
      </c>
    </row>
    <row r="224">
      <c r="A224" s="26" t="n">
        <v>213</v>
      </c>
      <c r="B224" s="27">
        <f>A224*10/60</f>
        <v/>
      </c>
      <c r="C224" s="22">
        <f>X223</f>
        <v/>
      </c>
      <c r="D224" s="27">
        <f>D223+W223</f>
        <v/>
      </c>
      <c r="E224" s="26">
        <f>E223+IF(U223="SK",1,0)</f>
        <v/>
      </c>
      <c r="F224" s="26">
        <f>F223+IF(U223="LB",1,0)</f>
        <v/>
      </c>
      <c r="G224" s="26">
        <f>G223+IF(U223="ML",1,0)</f>
        <v/>
      </c>
      <c r="H224" s="26">
        <f>H223+IF(U223="RLO",1,0)</f>
        <v/>
      </c>
      <c r="I224" s="26">
        <f>I223+IF(U223="BD",1,0)</f>
        <v/>
      </c>
      <c r="J224" s="26">
        <f>MAX(J223,IF(U223="BiP",1,0))</f>
        <v/>
      </c>
      <c r="K224" s="26">
        <f>MAX(K223,IF(U223="PV",1,0))</f>
        <v/>
      </c>
      <c r="L224" s="26">
        <f>MAX(L223,IF(U223="OC",1,0))</f>
        <v/>
      </c>
      <c r="M224" s="26">
        <f>MAX(M223,IF(U223="MG",1,0))</f>
        <v/>
      </c>
      <c r="N224" s="26">
        <f>MAX(N223,IF(U223="transition",1,0))</f>
        <v/>
      </c>
      <c r="O224" s="28">
        <f>(Parameters!$B$9+(IF(E224=0,0,(Upgrades!$J$13+E224*Upgrades!$K$13)*POWER(Upgrades!$L$13,E224)))*(IF(Upgrades!$T$14="Stellar Kinematics",POWER(Upgrades!$U$14,F224),1)*IF(Upgrades!$T$15="Stellar Kinematics",POWER(Upgrades!$U$15,G224),1)*IF(Upgrades!$T$16="Stellar Kinematics",POWER(Upgrades!$U$16,H224),1)*IF(Upgrades!$T$17="Stellar Kinematics",POWER(Upgrades!$U$17,I224),1)*IF(Upgrades!$T$18="Stellar Kinematics",POWER(Upgrades!$U$18,J224),1)*IF(Upgrades!$T$19="Stellar Kinematics",POWER(Upgrades!$U$19,K224),1)*IF(Upgrades!$T$20="Stellar Kinematics",POWER(Upgrades!$U$20,L224),1)*IF(Upgrades!$T$21="Stellar Kinematics",POWER(Upgrades!$U$21,M224),1))+(IF(F224=0,0,(Upgrades!$J$14+F224*Upgrades!$K$14)*POWER(Upgrades!$L$14,F224)))*(IF(Upgrades!$T$13="Local Bubble",POWER(Upgrades!$U$13,E224),1)*IF(Upgrades!$T$15="Local Bubble",POWER(Upgrades!$U$15,G224),1)*IF(Upgrades!$T$16="Local Bubble",POWER(Upgrades!$U$16,H224),1)*IF(Upgrades!$T$17="Local Bubble",POWER(Upgrades!$U$17,I224),1)*IF(Upgrades!$T$18="Local Bubble",POWER(Upgrades!$U$18,J224),1)*IF(Upgrades!$T$19="Local Bubble",POWER(Upgrades!$U$19,K224),1)*IF(Upgrades!$T$20="Local Bubble",POWER(Upgrades!$U$20,L224),1)*IF(Upgrades!$T$21="Local Bubble",POWER(Upgrades!$U$21,M224),1))+(IF(G224=0,0,(Upgrades!$J$15+G224*Upgrades!$K$15)*POWER(Upgrades!$L$15,G224)))*(IF(Upgrades!$T$13="Microlensing",POWER(Upgrades!$U$13,E224),1)*IF(Upgrades!$T$14="Microlensing",POWER(Upgrades!$U$14,F224),1)*IF(Upgrades!$T$16="Microlensing",POWER(Upgrades!$U$16,H224),1)*IF(Upgrades!$T$17="Microlensing",POWER(Upgrades!$U$17,I224),1)*IF(Upgrades!$T$18="Microlensing",POWER(Upgrades!$U$18,J224),1)*IF(Upgrades!$T$19="Microlensing",POWER(Upgrades!$U$19,K224),1)*IF(Upgrades!$T$20="Microlensing",POWER(Upgrades!$U$20,L224),1)*IF(Upgrades!$T$21="Microlensing",POWER(Upgrades!$U$21,M224),1))+(IF(H224=0,0,(Upgrades!$J$16+H224*Upgrades!$K$16)*POWER(Upgrades!$L$16,H224)))*(IF(Upgrades!$T$13="Roche Lobe Overflow",POWER(Upgrades!$U$13,E224),1)*IF(Upgrades!$T$14="Roche Lobe Overflow",POWER(Upgrades!$U$14,F224),1)*IF(Upgrades!$T$15="Roche Lobe Overflow",POWER(Upgrades!$U$15,G224),1)*IF(Upgrades!$T$17="Roche Lobe Overflow",POWER(Upgrades!$U$17,I224),1)*IF(Upgrades!$T$18="Roche Lobe Overflow",POWER(Upgrades!$U$18,J224),1)*IF(Upgrades!$T$19="Roche Lobe Overflow",POWER(Upgrades!$U$19,K224),1)*IF(Upgrades!$T$20="Roche Lobe Overflow",POWER(Upgrades!$U$20,L224),1)*IF(Upgrades!$T$21="Roche Lobe Overflow",POWER(Upgrades!$U$21,M224),1))+(IF(I224=0,0,(Upgrades!$J$17+I224*Upgrades!$K$17)*POWER(Upgrades!$L$17,I224)))*(IF(Upgrades!$T$13="Brown Dwarf",POWER(Upgrades!$U$13,E224),1)*IF(Upgrades!$T$14="Brown Dwarf",POWER(Upgrades!$U$14,F224),1)*IF(Upgrades!$T$15="Brown Dwarf",POWER(Upgrades!$U$15,G224),1)*IF(Upgrades!$T$16="Brown Dwarf",POWER(Upgrades!$U$16,H224),1)*IF(Upgrades!$T$18="Brown Dwarf",POWER(Upgrades!$U$18,J224),1)*IF(Upgrades!$T$19="Brown Dwarf",POWER(Upgrades!$U$19,K224),1)*IF(Upgrades!$T$20="Brown Dwarf",POWER(Upgrades!$U$20,L224),1)*IF(Upgrades!$T$21="Brown Dwarf",POWER(Upgrades!$U$21,M224),1))+(IF(J224=0,0,(Upgrades!$J$18+J224*Upgrades!$K$18)*POWER(Upgrades!$L$18,J224)))*(IF(Upgrades!$T$13="Binary Partner",POWER(Upgrades!$U$13,E224),1)*IF(Upgrades!$T$14="Binary Partner",POWER(Upgrades!$U$14,F224),1)*IF(Upgrades!$T$15="Binary Partner",POWER(Upgrades!$U$15,G224),1)*IF(Upgrades!$T$16="Binary Partner",POWER(Upgrades!$U$16,H224),1)*IF(Upgrades!$T$17="Binary Partner",POWER(Upgrades!$U$17,I224),1)*IF(Upgrades!$T$19="Binary Partner",POWER(Upgrades!$U$19,K224),1)*IF(Upgrades!$T$20="Binary Partner",POWER(Upgrades!$U$20,L224),1)*IF(Upgrades!$T$21="Binary Partner",POWER(Upgrades!$U$21,M224),1))+(IF(K224=0,0,(Upgrades!$J$19+K224*Upgrades!$K$19)*POWER(Upgrades!$L$19,K224)))*(IF(Upgrades!$T$13="Peculiar Velocity",POWER(Upgrades!$U$13,E224),1)*IF(Upgrades!$T$14="Peculiar Velocity",POWER(Upgrades!$U$14,F224),1)*IF(Upgrades!$T$15="Peculiar Velocity",POWER(Upgrades!$U$15,G224),1)*IF(Upgrades!$T$16="Peculiar Velocity",POWER(Upgrades!$U$16,H224),1)*IF(Upgrades!$T$17="Peculiar Velocity",POWER(Upgrades!$U$17,I224),1)*IF(Upgrades!$T$18="Peculiar Velocity",POWER(Upgrades!$U$18,J224),1)*IF(Upgrades!$T$20="Peculiar Velocity",POWER(Upgrades!$U$20,L224),1)*IF(Upgrades!$T$21="Peculiar Velocity",POWER(Upgrades!$U$21,M224),1))+(IF(L224=0,0,(Upgrades!$J$20+L224*Upgrades!$K$20)*POWER(Upgrades!$L$20,L224)))*(IF(Upgrades!$T$13="Open Cluster",POWER(Upgrades!$U$13,E224),1)*IF(Upgrades!$T$14="Open Cluster",POWER(Upgrades!$U$14,F224),1)*IF(Upgrades!$T$15="Open Cluster",POWER(Upgrades!$U$15,G224),1)*IF(Upgrades!$T$16="Open Cluster",POWER(Upgrades!$U$16,H224),1)*IF(Upgrades!$T$17="Open Cluster",POWER(Upgrades!$U$17,I224),1)*IF(Upgrades!$T$18="Open Cluster",POWER(Upgrades!$U$18,J224),1)*IF(Upgrades!$T$19="Open Cluster",POWER(Upgrades!$U$19,K224),1)*IF(Upgrades!$T$21="Open Cluster",POWER(Upgrades!$U$21,M224),1))+(IF(M224=0,0,(Upgrades!$J$21+M224*Upgrades!$K$21)*POWER(Upgrades!$L$21,M224)))*(IF(Upgrades!$T$13="Moving Group",POWER(Upgrades!$U$13,E224),1)*IF(Upgrades!$T$14="Moving Group",POWER(Upgrades!$U$14,F224),1)*IF(Upgrades!$T$15="Moving Group",POWER(Upgrades!$U$15,G224),1)*IF(Upgrades!$T$16="Moving Group",POWER(Upgrades!$U$16,H224),1)*IF(Upgrades!$T$17="Moving Group",POWER(Upgrades!$U$17,I224),1)*IF(Upgrades!$T$18="Moving Group",POWER(Upgrades!$U$18,J224),1)*IF(Upgrades!$T$19="Moving Group",POWER(Upgrades!$U$19,K224),1)*IF(Upgrades!$T$20="Moving Group",POWER(Upgrades!$U$20,L224),1)))*POWER(Upgrades!$Q$13,E224)*POWER(Upgrades!$Q$14,F224)*POWER(Upgrades!$Q$15,G224)*POWER(Upgrades!$Q$16,H224)*POWER(Upgrades!$Q$17,I224)*POWER(Upgrades!$Q$18,J224)*POWER(Upgrades!$Q$19,K224)*POWER(Upgrades!$Q$20,L224)*POWER(Upgrades!$Q$21,M224)*$G$6+$D$6</f>
        <v/>
      </c>
      <c r="P224" s="28">
        <f>((IF(E224=0,0,(Upgrades!$G$13+E224*Upgrades!$H$13)*POWER(Upgrades!$I$13,E224)))*(IF(Upgrades!$T$14="Stellar Kinematics",POWER(Upgrades!$U$14,F224),1)*IF(Upgrades!$T$15="Stellar Kinematics",POWER(Upgrades!$U$15,G224),1)*IF(Upgrades!$T$16="Stellar Kinematics",POWER(Upgrades!$U$16,H224),1)*IF(Upgrades!$T$17="Stellar Kinematics",POWER(Upgrades!$U$17,I224),1)*IF(Upgrades!$T$18="Stellar Kinematics",POWER(Upgrades!$U$18,J224),1)*IF(Upgrades!$T$19="Stellar Kinematics",POWER(Upgrades!$U$19,K224),1)*IF(Upgrades!$T$20="Stellar Kinematics",POWER(Upgrades!$U$20,L224),1)*IF(Upgrades!$T$21="Stellar Kinematics",POWER(Upgrades!$U$21,M224),1))+(IF(F224=0,0,(Upgrades!$G$14+F224*Upgrades!$H$14)*POWER(Upgrades!$I$14,F224)))*(IF(Upgrades!$T$13="Local Bubble",POWER(Upgrades!$U$13,E224),1)*IF(Upgrades!$T$15="Local Bubble",POWER(Upgrades!$U$15,G224),1)*IF(Upgrades!$T$16="Local Bubble",POWER(Upgrades!$U$16,H224),1)*IF(Upgrades!$T$17="Local Bubble",POWER(Upgrades!$U$17,I224),1)*IF(Upgrades!$T$18="Local Bubble",POWER(Upgrades!$U$18,J224),1)*IF(Upgrades!$T$19="Local Bubble",POWER(Upgrades!$U$19,K224),1)*IF(Upgrades!$T$20="Local Bubble",POWER(Upgrades!$U$20,L224),1)*IF(Upgrades!$T$21="Local Bubble",POWER(Upgrades!$U$21,M224),1))+(IF(G224=0,0,(Upgrades!$G$15+G224*Upgrades!$H$15)*POWER(Upgrades!$I$15,G224)))*(IF(Upgrades!$T$13="Microlensing",POWER(Upgrades!$U$13,E224),1)*IF(Upgrades!$T$14="Microlensing",POWER(Upgrades!$U$14,F224),1)*IF(Upgrades!$T$16="Microlensing",POWER(Upgrades!$U$16,H224),1)*IF(Upgrades!$T$17="Microlensing",POWER(Upgrades!$U$17,I224),1)*IF(Upgrades!$T$18="Microlensing",POWER(Upgrades!$U$18,J224),1)*IF(Upgrades!$T$19="Microlensing",POWER(Upgrades!$U$19,K224),1)*IF(Upgrades!$T$20="Microlensing",POWER(Upgrades!$U$20,L224),1)*IF(Upgrades!$T$21="Microlensing",POWER(Upgrades!$U$21,M224),1))+(IF(H224=0,0,(Upgrades!$G$16+H224*Upgrades!$H$16)*POWER(Upgrades!$I$16,H224)))*(IF(Upgrades!$T$13="Roche Lobe Overflow",POWER(Upgrades!$U$13,E224),1)*IF(Upgrades!$T$14="Roche Lobe Overflow",POWER(Upgrades!$U$14,F224),1)*IF(Upgrades!$T$15="Roche Lobe Overflow",POWER(Upgrades!$U$15,G224),1)*IF(Upgrades!$T$17="Roche Lobe Overflow",POWER(Upgrades!$U$17,I224),1)*IF(Upgrades!$T$18="Roche Lobe Overflow",POWER(Upgrades!$U$18,J224),1)*IF(Upgrades!$T$19="Roche Lobe Overflow",POWER(Upgrades!$U$19,K224),1)*IF(Upgrades!$T$20="Roche Lobe Overflow",POWER(Upgrades!$U$20,L224),1)*IF(Upgrades!$T$21="Roche Lobe Overflow",POWER(Upgrades!$U$21,M224),1))+(IF(I224=0,0,(Upgrades!$G$17+I224*Upgrades!$H$17)*POWER(Upgrades!$I$17,I224)))*(IF(Upgrades!$T$13="Brown Dwarf",POWER(Upgrades!$U$13,E224),1)*IF(Upgrades!$T$14="Brown Dwarf",POWER(Upgrades!$U$14,F224),1)*IF(Upgrades!$T$15="Brown Dwarf",POWER(Upgrades!$U$15,G224),1)*IF(Upgrades!$T$16="Brown Dwarf",POWER(Upgrades!$U$16,H224),1)*IF(Upgrades!$T$18="Brown Dwarf",POWER(Upgrades!$U$18,J224),1)*IF(Upgrades!$T$19="Brown Dwarf",POWER(Upgrades!$U$19,K224),1)*IF(Upgrades!$T$20="Brown Dwarf",POWER(Upgrades!$U$20,L224),1)*IF(Upgrades!$T$21="Brown Dwarf",POWER(Upgrades!$U$21,M224),1))+(IF(J224=0,0,(Upgrades!$G$18+J224*Upgrades!$H$18)*POWER(Upgrades!$I$18,J224)))*(IF(Upgrades!$T$13="Binary Partner",POWER(Upgrades!$U$13,E224),1)*IF(Upgrades!$T$14="Binary Partner",POWER(Upgrades!$U$14,F224),1)*IF(Upgrades!$T$15="Binary Partner",POWER(Upgrades!$U$15,G224),1)*IF(Upgrades!$T$16="Binary Partner",POWER(Upgrades!$U$16,H224),1)*IF(Upgrades!$T$17="Binary Partner",POWER(Upgrades!$U$17,I224),1)*IF(Upgrades!$T$19="Binary Partner",POWER(Upgrades!$U$19,K224),1)*IF(Upgrades!$T$20="Binary Partner",POWER(Upgrades!$U$20,L224),1)*IF(Upgrades!$T$21="Binary Partner",POWER(Upgrades!$U$21,M224),1))+(IF(K224=0,0,(Upgrades!$G$19+K224*Upgrades!$H$19)*POWER(Upgrades!$I$19,K224)))*(IF(Upgrades!$T$13="Peculiar Velocity",POWER(Upgrades!$U$13,E224),1)*IF(Upgrades!$T$14="Peculiar Velocity",POWER(Upgrades!$U$14,F224),1)*IF(Upgrades!$T$15="Peculiar Velocity",POWER(Upgrades!$U$15,G224),1)*IF(Upgrades!$T$16="Peculiar Velocity",POWER(Upgrades!$U$16,H224),1)*IF(Upgrades!$T$17="Peculiar Velocity",POWER(Upgrades!$U$17,I224),1)*IF(Upgrades!$T$18="Peculiar Velocity",POWER(Upgrades!$U$18,J224),1)*IF(Upgrades!$T$20="Peculiar Velocity",POWER(Upgrades!$U$20,L224),1)*IF(Upgrades!$T$21="Peculiar Velocity",POWER(Upgrades!$U$21,M224),1))+(IF(L224=0,0,(Upgrades!$G$20+L224*Upgrades!$H$20)*POWER(Upgrades!$I$20,L224)))*(IF(Upgrades!$T$13="Open Cluster",POWER(Upgrades!$U$13,E224),1)*IF(Upgrades!$T$14="Open Cluster",POWER(Upgrades!$U$14,F224),1)*IF(Upgrades!$T$15="Open Cluster",POWER(Upgrades!$U$15,G224),1)*IF(Upgrades!$T$16="Open Cluster",POWER(Upgrades!$U$16,H224),1)*IF(Upgrades!$T$17="Open Cluster",POWER(Upgrades!$U$17,I224),1)*IF(Upgrades!$T$18="Open Cluster",POWER(Upgrades!$U$18,J224),1)*IF(Upgrades!$T$19="Open Cluster",POWER(Upgrades!$U$19,K224),1)*IF(Upgrades!$T$21="Open Cluster",POWER(Upgrades!$U$21,M224),1))+(IF(M224=0,0,(Upgrades!$G$21+M224*Upgrades!$H$21)*POWER(Upgrades!$I$21,M224)))*(IF(Upgrades!$T$13="Moving Group",POWER(Upgrades!$U$13,E224),1)*IF(Upgrades!$T$14="Moving Group",POWER(Upgrades!$U$14,F224),1)*IF(Upgrades!$T$15="Moving Group",POWER(Upgrades!$U$15,G224),1)*IF(Upgrades!$T$16="Moving Group",POWER(Upgrades!$U$16,H224),1)*IF(Upgrades!$T$17="Moving Group",POWER(Upgrades!$U$17,I224),1)*IF(Upgrades!$T$18="Moving Group",POWER(Upgrades!$U$18,J224),1)*IF(Upgrades!$T$19="Moving Group",POWER(Upgrades!$U$19,K224),1)*IF(Upgrades!$T$20="Moving Group",POWER(Upgrades!$U$20,L224),1)))*POWER(Upgrades!$P$13,E224)*POWER(Upgrades!$P$14,F224)*POWER(Upgrades!$P$15,G224)*POWER(Upgrades!$P$16,H224)*POWER(Upgrades!$P$17,I224)*POWER(Upgrades!$P$18,J224)*POWER(Upgrades!$P$19,K224)*POWER(Upgrades!$P$20,L224)*POWER(Upgrades!$P$21,M224)*$F$6+$C$6</f>
        <v/>
      </c>
      <c r="Q224" s="28">
        <f>((IF(E224=0,0,(Upgrades!$M$13+E224*Upgrades!$N$13)*POWER(Upgrades!$O$13,E224)))*(IF(Upgrades!$T$14="Stellar Kinematics",POWER(Upgrades!$U$14,F224),1)*IF(Upgrades!$T$15="Stellar Kinematics",POWER(Upgrades!$U$15,G224),1)*IF(Upgrades!$T$16="Stellar Kinematics",POWER(Upgrades!$U$16,H224),1)*IF(Upgrades!$T$17="Stellar Kinematics",POWER(Upgrades!$U$17,I224),1)*IF(Upgrades!$T$18="Stellar Kinematics",POWER(Upgrades!$U$18,J224),1)*IF(Upgrades!$T$19="Stellar Kinematics",POWER(Upgrades!$U$19,K224),1)*IF(Upgrades!$T$20="Stellar Kinematics",POWER(Upgrades!$U$20,L224),1)*IF(Upgrades!$T$21="Stellar Kinematics",POWER(Upgrades!$U$21,M224),1))+(IF(F224=0,0,(Upgrades!$M$14+F224*Upgrades!$N$14)*POWER(Upgrades!$O$14,F224)))*(IF(Upgrades!$T$13="Local Bubble",POWER(Upgrades!$U$13,E224),1)*IF(Upgrades!$T$15="Local Bubble",POWER(Upgrades!$U$15,G224),1)*IF(Upgrades!$T$16="Local Bubble",POWER(Upgrades!$U$16,H224),1)*IF(Upgrades!$T$17="Local Bubble",POWER(Upgrades!$U$17,I224),1)*IF(Upgrades!$T$18="Local Bubble",POWER(Upgrades!$U$18,J224),1)*IF(Upgrades!$T$19="Local Bubble",POWER(Upgrades!$U$19,K224),1)*IF(Upgrades!$T$20="Local Bubble",POWER(Upgrades!$U$20,L224),1)*IF(Upgrades!$T$21="Local Bubble",POWER(Upgrades!$U$21,M224),1))+(IF(G224=0,0,(Upgrades!$M$15+G224*Upgrades!$N$15)*POWER(Upgrades!$O$15,G224)))*(IF(Upgrades!$T$13="Microlensing",POWER(Upgrades!$U$13,E224),1)*IF(Upgrades!$T$14="Microlensing",POWER(Upgrades!$U$14,F224),1)*IF(Upgrades!$T$16="Microlensing",POWER(Upgrades!$U$16,H224),1)*IF(Upgrades!$T$17="Microlensing",POWER(Upgrades!$U$17,I224),1)*IF(Upgrades!$T$18="Microlensing",POWER(Upgrades!$U$18,J224),1)*IF(Upgrades!$T$19="Microlensing",POWER(Upgrades!$U$19,K224),1)*IF(Upgrades!$T$20="Microlensing",POWER(Upgrades!$U$20,L224),1)*IF(Upgrades!$T$21="Microlensing",POWER(Upgrades!$U$21,M224),1))+(IF(H224=0,0,(Upgrades!$M$16+H224*Upgrades!$N$16)*POWER(Upgrades!$O$16,H224)))*(IF(Upgrades!$T$13="Roche Lobe Overflow",POWER(Upgrades!$U$13,E224),1)*IF(Upgrades!$T$14="Roche Lobe Overflow",POWER(Upgrades!$U$14,F224),1)*IF(Upgrades!$T$15="Roche Lobe Overflow",POWER(Upgrades!$U$15,G224),1)*IF(Upgrades!$T$17="Roche Lobe Overflow",POWER(Upgrades!$U$17,I224),1)*IF(Upgrades!$T$18="Roche Lobe Overflow",POWER(Upgrades!$U$18,J224),1)*IF(Upgrades!$T$19="Roche Lobe Overflow",POWER(Upgrades!$U$19,K224),1)*IF(Upgrades!$T$20="Roche Lobe Overflow",POWER(Upgrades!$U$20,L224),1)*IF(Upgrades!$T$21="Roche Lobe Overflow",POWER(Upgrades!$U$21,M224),1))+(IF(I224=0,0,(Upgrades!$M$17+I224*Upgrades!$N$17)*POWER(Upgrades!$O$17,I224)))*(IF(Upgrades!$T$13="Brown Dwarf",POWER(Upgrades!$U$13,E224),1)*IF(Upgrades!$T$14="Brown Dwarf",POWER(Upgrades!$U$14,F224),1)*IF(Upgrades!$T$15="Brown Dwarf",POWER(Upgrades!$U$15,G224),1)*IF(Upgrades!$T$16="Brown Dwarf",POWER(Upgrades!$U$16,H224),1)*IF(Upgrades!$T$18="Brown Dwarf",POWER(Upgrades!$U$18,J224),1)*IF(Upgrades!$T$19="Brown Dwarf",POWER(Upgrades!$U$19,K224),1)*IF(Upgrades!$T$20="Brown Dwarf",POWER(Upgrades!$U$20,L224),1)*IF(Upgrades!$T$21="Brown Dwarf",POWER(Upgrades!$U$21,M224),1))+(IF(J224=0,0,(Upgrades!$M$18+J224*Upgrades!$N$18)*POWER(Upgrades!$O$18,J224)))*(IF(Upgrades!$T$13="Binary Partner",POWER(Upgrades!$U$13,E224),1)*IF(Upgrades!$T$14="Binary Partner",POWER(Upgrades!$U$14,F224),1)*IF(Upgrades!$T$15="Binary Partner",POWER(Upgrades!$U$15,G224),1)*IF(Upgrades!$T$16="Binary Partner",POWER(Upgrades!$U$16,H224),1)*IF(Upgrades!$T$17="Binary Partner",POWER(Upgrades!$U$17,I224),1)*IF(Upgrades!$T$19="Binary Partner",POWER(Upgrades!$U$19,K224),1)*IF(Upgrades!$T$20="Binary Partner",POWER(Upgrades!$U$20,L224),1)*IF(Upgrades!$T$21="Binary Partner",POWER(Upgrades!$U$21,M224),1))+(IF(K224=0,0,(Upgrades!$M$19+K224*Upgrades!$N$19)*POWER(Upgrades!$O$19,K224)))*(IF(Upgrades!$T$13="Peculiar Velocity",POWER(Upgrades!$U$13,E224),1)*IF(Upgrades!$T$14="Peculiar Velocity",POWER(Upgrades!$U$14,F224),1)*IF(Upgrades!$T$15="Peculiar Velocity",POWER(Upgrades!$U$15,G224),1)*IF(Upgrades!$T$16="Peculiar Velocity",POWER(Upgrades!$U$16,H224),1)*IF(Upgrades!$T$17="Peculiar Velocity",POWER(Upgrades!$U$17,I224),1)*IF(Upgrades!$T$18="Peculiar Velocity",POWER(Upgrades!$U$18,J224),1)*IF(Upgrades!$T$20="Peculiar Velocity",POWER(Upgrades!$U$20,L224),1)*IF(Upgrades!$T$21="Peculiar Velocity",POWER(Upgrades!$U$21,M224),1))+(IF(L224=0,0,(Upgrades!$M$20+L224*Upgrades!$N$20)*POWER(Upgrades!$O$20,L224)))*(IF(Upgrades!$T$13="Open Cluster",POWER(Upgrades!$U$13,E224),1)*IF(Upgrades!$T$14="Open Cluster",POWER(Upgrades!$U$14,F224),1)*IF(Upgrades!$T$15="Open Cluster",POWER(Upgrades!$U$15,G224),1)*IF(Upgrades!$T$16="Open Cluster",POWER(Upgrades!$U$16,H224),1)*IF(Upgrades!$T$17="Open Cluster",POWER(Upgrades!$U$17,I224),1)*IF(Upgrades!$T$18="Open Cluster",POWER(Upgrades!$U$18,J224),1)*IF(Upgrades!$T$19="Open Cluster",POWER(Upgrades!$U$19,K224),1)*IF(Upgrades!$T$21="Open Cluster",POWER(Upgrades!$U$21,M224),1))+(IF(M224=0,0,(Upgrades!$M$21+M224*Upgrades!$N$21)*POWER(Upgrades!$O$21,M224)))*(IF(Upgrades!$T$13="Moving Group",POWER(Upgrades!$U$13,E224),1)*IF(Upgrades!$T$14="Moving Group",POWER(Upgrades!$U$14,F224),1)*IF(Upgrades!$T$15="Moving Group",POWER(Upgrades!$U$15,G224),1)*IF(Upgrades!$T$16="Moving Group",POWER(Upgrades!$U$16,H224),1)*IF(Upgrades!$T$17="Moving Group",POWER(Upgrades!$U$17,I224),1)*IF(Upgrades!$T$18="Moving Group",POWER(Upgrades!$U$18,J224),1)*IF(Upgrades!$T$19="Moving Group",POWER(Upgrades!$U$19,K224),1)*IF(Upgrades!$T$20="Moving Group",POWER(Upgrades!$U$20,L224),1)))*POWER(Upgrades!$R$13,E224)*POWER(Upgrades!$R$14,F224)*POWER(Upgrades!$R$15,G224)*POWER(Upgrades!$R$16,H224)*POWER(Upgrades!$R$17,I224)*POWER(Upgrades!$R$18,J224)*POWER(Upgrades!$R$19,K224)*POWER(Upgrades!$R$20,L224)*POWER(Upgrades!$R$21,M224)*$H$6+$E$6</f>
        <v/>
      </c>
      <c r="R224" s="27">
        <f>IF(N224=1,0,O224*Parameters!$B$10/60*Parameters!$B$11*10)</f>
        <v/>
      </c>
      <c r="S224" s="27">
        <f>IF(N224=1,0,Q224*O224*10)</f>
        <v/>
      </c>
      <c r="T224" s="27">
        <f>IF(N224=1,0,R224+S224+P224*10)</f>
        <v/>
      </c>
      <c r="U224" s="33">
        <f>BE224</f>
        <v/>
      </c>
      <c r="V224" s="22">
        <f>IF(U224="",0,IF(U224="transition",0,IF(U224="SK",AK224,IF(U224="LB",AL224,IF(U224="ML",AM224,IF(U224="RLO",AN224,IF(U224="BD",AO224,IF(U224="BiP",AP224,IF(U224="PV",AQ224,IF(U224="OC",AR224,IF(U224="MG",AS224,0))))))))))</f>
        <v/>
      </c>
      <c r="W224" s="27">
        <f>IF(U224="BiP",Upgrades!$F$18,IF(U224="PV",Upgrades!$F$19,IF(U224="OC",Upgrades!$F$20,IF(U224="MG",Upgrades!$F$21,IF(U224="transition",-Parameters!$B$18*Parameters!$B$19,0)))))</f>
        <v/>
      </c>
      <c r="X224" s="22">
        <f>C224+T224-V224</f>
        <v/>
      </c>
      <c r="Y224" s="30">
        <f>O224*Parameters!$B$10/60*Parameters!$B$11+Q224*O224+P224</f>
        <v/>
      </c>
      <c r="Z224" s="34">
        <f>IF(U224="transition","→ Tier 3 (Galactic Arm)",IF(U224="MG","Moving Group — pocket drifts together",IF(U224="OC","Open Cluster acquired",IF(U224="PV","Peculiar Velocity — passive multiplier active",IF(U224="BiP","Binary Partner — pair bond formed",IF(AND(AU224=1,N224=0,AT224&lt;&gt;1),"Cohesion ready (waiting on completionists)","")))))) </f>
        <v/>
      </c>
      <c r="AA224" s="27">
        <f>(IF(E224=0,0,(Upgrades!$G$13+E224*Upgrades!$H$13)*POWER(Upgrades!$I$13,E224)))*(IF(Upgrades!$T$14="Stellar Kinematics",POWER(Upgrades!$U$14,F224),1)*IF(Upgrades!$T$15="Stellar Kinematics",POWER(Upgrades!$U$15,G224),1)*IF(Upgrades!$T$16="Stellar Kinematics",POWER(Upgrades!$U$16,H224),1)*IF(Upgrades!$T$17="Stellar Kinematics",POWER(Upgrades!$U$17,I224),1)*IF(Upgrades!$T$18="Stellar Kinematics",POWER(Upgrades!$U$18,J224),1)*IF(Upgrades!$T$19="Stellar Kinematics",POWER(Upgrades!$U$19,K224),1)*IF(Upgrades!$T$20="Stellar Kinematics",POWER(Upgrades!$U$20,L224),1)*IF(Upgrades!$T$21="Stellar Kinematics",POWER(Upgrades!$U$21,M224),1))*POWER(Upgrades!$P$13,E224)*POWER(Upgrades!$P$14,F224)*POWER(Upgrades!$P$15,G224)*POWER(Upgrades!$P$16,H224)*POWER(Upgrades!$P$17,I224)*POWER(Upgrades!$P$18,J224)*POWER(Upgrades!$P$19,K224)*POWER(Upgrades!$P$20,L224)*POWER(Upgrades!$P$21,M224)*$F$6*60</f>
        <v/>
      </c>
      <c r="AB224" s="27">
        <f>(IF(F224=0,0,(Upgrades!$G$14+F224*Upgrades!$H$14)*POWER(Upgrades!$I$14,F224)))*(IF(Upgrades!$T$13="Local Bubble",POWER(Upgrades!$U$13,E224),1)*IF(Upgrades!$T$15="Local Bubble",POWER(Upgrades!$U$15,G224),1)*IF(Upgrades!$T$16="Local Bubble",POWER(Upgrades!$U$16,H224),1)*IF(Upgrades!$T$17="Local Bubble",POWER(Upgrades!$U$17,I224),1)*IF(Upgrades!$T$18="Local Bubble",POWER(Upgrades!$U$18,J224),1)*IF(Upgrades!$T$19="Local Bubble",POWER(Upgrades!$U$19,K224),1)*IF(Upgrades!$T$20="Local Bubble",POWER(Upgrades!$U$20,L224),1)*IF(Upgrades!$T$21="Local Bubble",POWER(Upgrades!$U$21,M224),1))*POWER(Upgrades!$P$13,E224)*POWER(Upgrades!$P$14,F224)*POWER(Upgrades!$P$15,G224)*POWER(Upgrades!$P$16,H224)*POWER(Upgrades!$P$17,I224)*POWER(Upgrades!$P$18,J224)*POWER(Upgrades!$P$19,K224)*POWER(Upgrades!$P$20,L224)*POWER(Upgrades!$P$21,M224)*$F$6*60</f>
        <v/>
      </c>
      <c r="AC224" s="27">
        <f>(IF(G224=0,0,(Upgrades!$J$15+G224*Upgrades!$K$15)*POWER(Upgrades!$L$15,G224)))*(IF(Upgrades!$T$13="Microlensing",POWER(Upgrades!$U$13,E224),1)*IF(Upgrades!$T$14="Microlensing",POWER(Upgrades!$U$14,F224),1)*IF(Upgrades!$T$16="Microlensing",POWER(Upgrades!$U$16,H224),1)*IF(Upgrades!$T$17="Microlensing",POWER(Upgrades!$U$17,I224),1)*IF(Upgrades!$T$18="Microlensing",POWER(Upgrades!$U$18,J224),1)*IF(Upgrades!$T$19="Microlensing",POWER(Upgrades!$U$19,K224),1)*IF(Upgrades!$T$20="Microlensing",POWER(Upgrades!$U$20,L224),1)*IF(Upgrades!$T$21="Microlensing",POWER(Upgrades!$U$21,M224),1))*POWER(Upgrades!$Q$13,E224)*POWER(Upgrades!$Q$14,F224)*POWER(Upgrades!$Q$15,G224)*POWER(Upgrades!$Q$16,H224)*POWER(Upgrades!$Q$17,I224)*POWER(Upgrades!$Q$18,J224)*POWER(Upgrades!$Q$19,K224)*POWER(Upgrades!$Q$20,L224)*POWER(Upgrades!$Q$21,M224)*$G$6*(Parameters!$B$10*Parameters!$B$11+Q224*60)</f>
        <v/>
      </c>
      <c r="AD224" s="27">
        <f>(IF(H224=0,0,(Upgrades!$M$16+H224*Upgrades!$N$16)*POWER(Upgrades!$O$16,H224)))*(IF(Upgrades!$T$13="Roche Lobe Overflow",POWER(Upgrades!$U$13,E224),1)*IF(Upgrades!$T$14="Roche Lobe Overflow",POWER(Upgrades!$U$14,F224),1)*IF(Upgrades!$T$15="Roche Lobe Overflow",POWER(Upgrades!$U$15,G224),1)*IF(Upgrades!$T$17="Roche Lobe Overflow",POWER(Upgrades!$U$17,I224),1)*IF(Upgrades!$T$18="Roche Lobe Overflow",POWER(Upgrades!$U$18,J224),1)*IF(Upgrades!$T$19="Roche Lobe Overflow",POWER(Upgrades!$U$19,K224),1)*IF(Upgrades!$T$20="Roche Lobe Overflow",POWER(Upgrades!$U$20,L224),1)*IF(Upgrades!$T$21="Roche Lobe Overflow",POWER(Upgrades!$U$21,M224),1))*POWER(Upgrades!$R$13,E224)*POWER(Upgrades!$R$14,F224)*POWER(Upgrades!$R$15,G224)*POWER(Upgrades!$R$16,H224)*POWER(Upgrades!$R$17,I224)*POWER(Upgrades!$R$18,J224)*POWER(Upgrades!$R$19,K224)*POWER(Upgrades!$R$20,L224)*POWER(Upgrades!$R$21,M224)*$H$6*O224*60</f>
        <v/>
      </c>
      <c r="AE224" s="27">
        <f>(IF(I224=0,0,(Upgrades!$G$17+I224*Upgrades!$H$17)*POWER(Upgrades!$I$17,I224)))*(IF(Upgrades!$T$13="Brown Dwarf",POWER(Upgrades!$U$13,E224),1)*IF(Upgrades!$T$14="Brown Dwarf",POWER(Upgrades!$U$14,F224),1)*IF(Upgrades!$T$15="Brown Dwarf",POWER(Upgrades!$U$15,G224),1)*IF(Upgrades!$T$16="Brown Dwarf",POWER(Upgrades!$U$16,H224),1)*IF(Upgrades!$T$18="Brown Dwarf",POWER(Upgrades!$U$18,J224),1)*IF(Upgrades!$T$19="Brown Dwarf",POWER(Upgrades!$U$19,K224),1)*IF(Upgrades!$T$20="Brown Dwarf",POWER(Upgrades!$U$20,L224),1)*IF(Upgrades!$T$21="Brown Dwarf",POWER(Upgrades!$U$21,M224),1))*POWER(Upgrades!$P$13,E224)*POWER(Upgrades!$P$14,F224)*POWER(Upgrades!$P$15,G224)*POWER(Upgrades!$P$16,H224)*POWER(Upgrades!$P$17,I224)*POWER(Upgrades!$P$18,J224)*POWER(Upgrades!$P$19,K224)*POWER(Upgrades!$P$20,L224)*POWER(Upgrades!$P$21,M224)*$F$6*60</f>
        <v/>
      </c>
      <c r="AF224" s="27" t="n">
        <v>0</v>
      </c>
      <c r="AG224" s="27" t="n">
        <v>0</v>
      </c>
      <c r="AH224" s="27" t="n">
        <v>0</v>
      </c>
      <c r="AI224" s="27">
        <f>(IF(M224=0,0,(Upgrades!$G$21+M224*Upgrades!$H$21)*POWER(Upgrades!$I$21,M224)))*(IF(Upgrades!$T$13="Moving Group",POWER(Upgrades!$U$13,E224),1)*IF(Upgrades!$T$14="Moving Group",POWER(Upgrades!$U$14,F224),1)*IF(Upgrades!$T$15="Moving Group",POWER(Upgrades!$U$15,G224),1)*IF(Upgrades!$T$16="Moving Group",POWER(Upgrades!$U$16,H224),1)*IF(Upgrades!$T$17="Moving Group",POWER(Upgrades!$U$17,I224),1)*IF(Upgrades!$T$18="Moving Group",POWER(Upgrades!$U$18,J224),1)*IF(Upgrades!$T$19="Moving Group",POWER(Upgrades!$U$19,K224),1)*IF(Upgrades!$T$20="Moving Group",POWER(Upgrades!$U$20,L224),1))*POWER(Upgrades!$P$13,E224)*POWER(Upgrades!$P$14,F224)*POWER(Upgrades!$P$15,G224)*POWER(Upgrades!$P$16,H224)*POWER(Upgrades!$P$17,I224)*POWER(Upgrades!$P$18,J224)*POWER(Upgrades!$P$19,K224)*POWER(Upgrades!$P$20,L224)*POWER(Upgrades!$P$21,M224)*$F$6*60</f>
        <v/>
      </c>
      <c r="AJ224" s="27">
        <f>$C$6*60</f>
        <v/>
      </c>
      <c r="AK224" s="22">
        <f>IF(E224&gt;=Upgrades!$E$13,"",Upgrades!$C$13*POWER(Upgrades!$D$13,E224))</f>
        <v/>
      </c>
      <c r="AL224" s="22">
        <f>IF(F224&gt;=Upgrades!$E$14,"",Upgrades!$C$14*POWER(Upgrades!$D$14,F224))</f>
        <v/>
      </c>
      <c r="AM224" s="22">
        <f>IF(G224&gt;=Upgrades!$E$15,"",Upgrades!$C$15*POWER(Upgrades!$D$15,G224))</f>
        <v/>
      </c>
      <c r="AN224" s="22">
        <f>IF(H224&gt;=Upgrades!$E$16,"",Upgrades!$C$16*POWER(Upgrades!$D$16,H224))</f>
        <v/>
      </c>
      <c r="AO224" s="22">
        <f>IF(I224&gt;=Upgrades!$E$17,"",Upgrades!$C$17*POWER(Upgrades!$D$17,I224))</f>
        <v/>
      </c>
      <c r="AP224" s="22">
        <f>IF(J224&gt;=Upgrades!$E$18,"",Upgrades!$C$18*POWER(Upgrades!$D$18,J224))</f>
        <v/>
      </c>
      <c r="AQ224" s="22">
        <f>IF(K224&gt;=Upgrades!$E$19,"",Upgrades!$C$19*POWER(Upgrades!$D$19,K224))</f>
        <v/>
      </c>
      <c r="AR224" s="22">
        <f>IF(L224&gt;=Upgrades!$E$20,"",Upgrades!$C$20*POWER(Upgrades!$D$20,L224))</f>
        <v/>
      </c>
      <c r="AS224" s="22">
        <f>IF(M224&gt;=Upgrades!$E$21,"",Upgrades!$C$21*POWER(Upgrades!$D$21,M224))</f>
        <v/>
      </c>
      <c r="AT224" s="26">
        <f>IF(AND(D224&gt;=Parameters!$B$18*Parameters!$B$19,(I224&gt;=Upgrades!$E$17)*(M224&gt;=Upgrades!$E$21)=1,N224=0),1,"")</f>
        <v/>
      </c>
      <c r="AU224" s="26">
        <f>IF(AND(D224&gt;=Parameters!$B$18*Parameters!$B$19,N224=0),1,"")</f>
        <v/>
      </c>
      <c r="AV224" s="22">
        <f>MIN(IF(ISNUMBER(AP224),AP224,9E15),IF(ISNUMBER(AQ224),AQ224,9E15),IF(ISNUMBER(AR224),AR224,9E15),IF(ISNUMBER(AS224),AS224,9E15))</f>
        <v/>
      </c>
      <c r="AW224" s="22">
        <f>MIN(IF(ISNUMBER(AK224),AK224,9E15),IF(ISNUMBER(AL224),AL224,9E15),IF(ISNUMBER(AM224),AM224,9E15),IF(ISNUMBER(AN224),AN224,9E15),IF(ISNUMBER(AO224),AO224,9E15))</f>
        <v/>
      </c>
      <c r="AX224" s="29">
        <f>IF(BD224&gt;Parameters!$B$21*(MAX(IF(AND(NOT(AND(AU224=1,AT224&lt;&gt;1)),ISNUMBER(AK224),AK224&lt;=(C224+T224)),AY224,0),IF(AND(NOT(AND(AU224=1,AT224&lt;&gt;1)),ISNUMBER(AL224),AL224&lt;=(C224+T224)),AZ224,0),IF(AND(NOT(AND(AU224=1,AT224&lt;&gt;1)),ISNUMBER(AM224),AM224&lt;=(C224+T224)),BA224,0),IF(AND(NOT(AND(AU224=1,AT224&lt;&gt;1)),ISNUMBER(AN224),AN224&lt;=(C224+T224)),BB224,0),IF(AND(ISNUMBER(AO224),AO224&lt;=(C224+T224)),BC224,0))),TRUE,FALSE)</f>
        <v/>
      </c>
      <c r="AY224" s="32">
        <f>IFERROR(Upgrades!$H$13*(POWER(Upgrades!$P$13,E224)*POWER(Upgrades!$P$14,F224)*POWER(Upgrades!$P$15,G224)*POWER(Upgrades!$P$16,H224)*POWER(Upgrades!$P$17,I224)*POWER(Upgrades!$P$18,J224)*POWER(Upgrades!$P$19,K224)*POWER(Upgrades!$P$20,L224)*POWER(Upgrades!$P$21,M224))*(IF(Upgrades!$T$14="Stellar Kinematics",POWER(Upgrades!$U$14,F224),1)*IF(Upgrades!$T$15="Stellar Kinematics",POWER(Upgrades!$U$15,G224),1)*IF(Upgrades!$T$16="Stellar Kinematics",POWER(Upgrades!$U$16,H224),1)*IF(Upgrades!$T$17="Stellar Kinematics",POWER(Upgrades!$U$17,I224),1)*IF(Upgrades!$T$18="Stellar Kinematics",POWER(Upgrades!$U$18,J224),1)*IF(Upgrades!$T$19="Stellar Kinematics",POWER(Upgrades!$U$19,K224),1)*IF(Upgrades!$T$20="Stellar Kinematics",POWER(Upgrades!$U$20,L224),1)*IF(Upgrades!$T$21="Stellar Kinematics",POWER(Upgrades!$U$21,M224),1))*$F$6/AK224,0)</f>
        <v/>
      </c>
      <c r="AZ224" s="32">
        <f>IFERROR(Upgrades!$H$14*(POWER(Upgrades!$P$13,E224)*POWER(Upgrades!$P$14,F224)*POWER(Upgrades!$P$15,G224)*POWER(Upgrades!$P$16,H224)*POWER(Upgrades!$P$17,I224)*POWER(Upgrades!$P$18,J224)*POWER(Upgrades!$P$19,K224)*POWER(Upgrades!$P$20,L224)*POWER(Upgrades!$P$21,M224))*(IF(Upgrades!$T$13="Local Bubble",POWER(Upgrades!$U$13,E224),1)*IF(Upgrades!$T$15="Local Bubble",POWER(Upgrades!$U$15,G224),1)*IF(Upgrades!$T$16="Local Bubble",POWER(Upgrades!$U$16,H224),1)*IF(Upgrades!$T$17="Local Bubble",POWER(Upgrades!$U$17,I224),1)*IF(Upgrades!$T$18="Local Bubble",POWER(Upgrades!$U$18,J224),1)*IF(Upgrades!$T$19="Local Bubble",POWER(Upgrades!$U$19,K224),1)*IF(Upgrades!$T$20="Local Bubble",POWER(Upgrades!$U$20,L224),1)*IF(Upgrades!$T$21="Local Bubble",POWER(Upgrades!$U$21,M224),1))*$F$6/AL224,0)</f>
        <v/>
      </c>
      <c r="BA224" s="32">
        <f>IFERROR(Upgrades!$K$15*(POWER(Upgrades!$Q$13,E224)*POWER(Upgrades!$Q$14,F224)*POWER(Upgrades!$Q$15,G224)*POWER(Upgrades!$Q$16,H224)*POWER(Upgrades!$Q$17,I224)*POWER(Upgrades!$Q$18,J224)*POWER(Upgrades!$Q$19,K224)*POWER(Upgrades!$Q$20,L224)*POWER(Upgrades!$Q$21,M224))*(IF(Upgrades!$T$13="Microlensing",POWER(Upgrades!$U$13,E224),1)*IF(Upgrades!$T$14="Microlensing",POWER(Upgrades!$U$14,F224),1)*IF(Upgrades!$T$16="Microlensing",POWER(Upgrades!$U$16,H224),1)*IF(Upgrades!$T$17="Microlensing",POWER(Upgrades!$U$17,I224),1)*IF(Upgrades!$T$18="Microlensing",POWER(Upgrades!$U$18,J224),1)*IF(Upgrades!$T$19="Microlensing",POWER(Upgrades!$U$19,K224),1)*IF(Upgrades!$T$20="Microlensing",POWER(Upgrades!$U$20,L224),1)*IF(Upgrades!$T$21="Microlensing",POWER(Upgrades!$U$21,M224),1))*$G$6*(Parameters!$B$10/60*Parameters!$B$11+Q224)/AM224,0)</f>
        <v/>
      </c>
      <c r="BB224" s="32">
        <f>IFERROR((Upgrades!$N$16*(POWER(Upgrades!$R$13,E224)*POWER(Upgrades!$R$14,F224)*POWER(Upgrades!$R$15,G224)*POWER(Upgrades!$R$16,H224)*POWER(Upgrades!$R$17,I224)*POWER(Upgrades!$R$18,J224)*POWER(Upgrades!$R$19,K224)*POWER(Upgrades!$R$20,L224)*POWER(Upgrades!$R$21,M224))*(IF(Upgrades!$T$13="Roche Lobe Overflow",POWER(Upgrades!$U$13,E224),1)*IF(Upgrades!$T$14="Roche Lobe Overflow",POWER(Upgrades!$U$14,F224),1)*IF(Upgrades!$T$15="Roche Lobe Overflow",POWER(Upgrades!$U$15,G224),1)*IF(Upgrades!$T$17="Roche Lobe Overflow",POWER(Upgrades!$U$17,I224),1)*IF(Upgrades!$T$18="Roche Lobe Overflow",POWER(Upgrades!$U$18,J224),1)*IF(Upgrades!$T$19="Roche Lobe Overflow",POWER(Upgrades!$U$19,K224),1)*IF(Upgrades!$T$20="Roche Lobe Overflow",POWER(Upgrades!$U$20,L224),1)*IF(Upgrades!$T$21="Roche Lobe Overflow",POWER(Upgrades!$U$21,M224),1))*$H$6*O224+((IF(F224=0,0,(Upgrades!$G$14+F224*Upgrades!$H$14)*POWER(Upgrades!$I$14,F224)))*(IF(Upgrades!$T$13="Local Bubble",POWER(Upgrades!$U$13,E224),1)*IF(Upgrades!$T$15="Local Bubble",POWER(Upgrades!$U$15,G224),1)*IF(Upgrades!$T$16="Local Bubble",POWER(Upgrades!$U$16,H224),1)*IF(Upgrades!$T$17="Local Bubble",POWER(Upgrades!$U$17,I224),1)*IF(Upgrades!$T$18="Local Bubble",POWER(Upgrades!$U$18,J224),1)*IF(Upgrades!$T$19="Local Bubble",POWER(Upgrades!$U$19,K224),1)*IF(Upgrades!$T$20="Local Bubble",POWER(Upgrades!$U$20,L224),1)*IF(Upgrades!$T$21="Local Bubble",POWER(Upgrades!$U$21,M224),1))*POWER(Upgrades!$P$13,E224)*POWER(Upgrades!$P$14,F224)*POWER(Upgrades!$P$15,G224)*POWER(Upgrades!$P$16,H224)*POWER(Upgrades!$P$17,I224)*POWER(Upgrades!$P$18,J224)*POWER(Upgrades!$P$19,K224)*POWER(Upgrades!$P$20,L224)*POWER(Upgrades!$P$21,M224)*$F$6)*0.05)/AN224,0)</f>
        <v/>
      </c>
      <c r="BC224" s="32">
        <f>IFERROR((Upgrades!$H$17*(POWER(Upgrades!$P$13,E224)*POWER(Upgrades!$P$14,F224)*POWER(Upgrades!$P$15,G224)*POWER(Upgrades!$P$16,H224)*POWER(Upgrades!$P$17,I224)*POWER(Upgrades!$P$18,J224)*POWER(Upgrades!$P$19,K224)*POWER(Upgrades!$P$20,L224)*POWER(Upgrades!$P$21,M224))*(IF(Upgrades!$T$13="Brown Dwarf",POWER(Upgrades!$U$13,E224),1)*IF(Upgrades!$T$14="Brown Dwarf",POWER(Upgrades!$U$14,F224),1)*IF(Upgrades!$T$15="Brown Dwarf",POWER(Upgrades!$U$15,G224),1)*IF(Upgrades!$T$16="Brown Dwarf",POWER(Upgrades!$U$16,H224),1)*IF(Upgrades!$T$18="Brown Dwarf",POWER(Upgrades!$U$18,J224),1)*IF(Upgrades!$T$19="Brown Dwarf",POWER(Upgrades!$U$19,K224),1)*IF(Upgrades!$T$20="Brown Dwarf",POWER(Upgrades!$U$20,L224),1)*IF(Upgrades!$T$21="Brown Dwarf",POWER(Upgrades!$U$21,M224),1))*$F$6+(((IF(H224=0,0,(Upgrades!$M$16+H224*Upgrades!$N$16)*POWER(Upgrades!$O$16,H224)))*(IF(Upgrades!$T$13="Roche Lobe Overflow",POWER(Upgrades!$U$13,E224),1)*IF(Upgrades!$T$14="Roche Lobe Overflow",POWER(Upgrades!$U$14,F224),1)*IF(Upgrades!$T$15="Roche Lobe Overflow",POWER(Upgrades!$U$15,G224),1)*IF(Upgrades!$T$17="Roche Lobe Overflow",POWER(Upgrades!$U$17,I224),1)*IF(Upgrades!$T$18="Roche Lobe Overflow",POWER(Upgrades!$U$18,J224),1)*IF(Upgrades!$T$19="Roche Lobe Overflow",POWER(Upgrades!$U$19,K224),1)*IF(Upgrades!$T$20="Roche Lobe Overflow",POWER(Upgrades!$U$20,L224),1)*IF(Upgrades!$T$21="Roche Lobe Overflow",POWER(Upgrades!$U$21,M224),1))*POWER(Upgrades!$R$13,E224)*POWER(Upgrades!$R$14,F224)*POWER(Upgrades!$R$15,G224)*POWER(Upgrades!$R$16,H224)*POWER(Upgrades!$R$17,I224)*POWER(Upgrades!$R$18,J224)*POWER(Upgrades!$R$19,K224)*POWER(Upgrades!$R$20,L224)*POWER(Upgrades!$R$21,M224)*$H$6)*O224)*0.10)/AO224,0)</f>
        <v/>
      </c>
      <c r="BD224" s="32">
        <f>MAX(IF(J224&gt;0,0,IFERROR(0.5*((IF(G224=0,0,(Upgrades!$J$15+G224*Upgrades!$K$15)*POWER(Upgrades!$L$15,G224)))*(IF(Upgrades!$T$13="Microlensing",POWER(Upgrades!$U$13,E224),1)*IF(Upgrades!$T$14="Microlensing",POWER(Upgrades!$U$14,F224),1)*IF(Upgrades!$T$16="Microlensing",POWER(Upgrades!$U$16,H224),1)*IF(Upgrades!$T$17="Microlensing",POWER(Upgrades!$U$17,I224),1)*IF(Upgrades!$T$18="Microlensing",POWER(Upgrades!$U$18,J224),1)*IF(Upgrades!$T$19="Microlensing",POWER(Upgrades!$U$19,K224),1)*IF(Upgrades!$T$20="Microlensing",POWER(Upgrades!$U$20,L224),1)*IF(Upgrades!$T$21="Microlensing",POWER(Upgrades!$U$21,M224),1))*(POWER(Upgrades!$Q$13,E224)*POWER(Upgrades!$Q$14,F224)*POWER(Upgrades!$Q$15,G224)*POWER(Upgrades!$Q$16,H224)*POWER(Upgrades!$Q$17,I224)*POWER(Upgrades!$Q$18,J224)*POWER(Upgrades!$Q$19,K224)*POWER(Upgrades!$Q$20,L224)*POWER(Upgrades!$Q$21,M224))*$G$6*(Parameters!$B$10/60*Parameters!$B$11+Q224))/Upgrades!$C$18,0)),IF(K224&gt;0,0,IFERROR(0.30*P224/Upgrades!$C$19,0)),IF(L224&gt;0,0,IFERROR(0.0001/Upgrades!$C$20,0)),IF(M224&gt;0,0,IFERROR((6.0*(POWER(Upgrades!$P$13,E224)*POWER(Upgrades!$P$14,F224)*POWER(Upgrades!$P$15,G224)*POWER(Upgrades!$P$16,H224)*POWER(Upgrades!$P$17,I224)*POWER(Upgrades!$P$18,J224)*POWER(Upgrades!$P$19,K224)*POWER(Upgrades!$P$20,L224)*POWER(Upgrades!$P$21,M224))*$F$6+0.20*O224*(Parameters!$B$10/60*Parameters!$B$11+Q224))/Upgrades!$C$21,0)),IF(AND(ISNUMBER(AK224),AK224&gt;(C224+T224)),AY224,0),IF(AND(ISNUMBER(AL224),AL224&gt;(C224+T224)),AZ224,0),IF(AND(ISNUMBER(AM224),AM224&gt;(C224+T224)),BA224,0),IF(AND(ISNUMBER(AN224),AN224&gt;(C224+T224)),BB224,0),IF(AND(ISNUMBER(AO224),AO224&gt;(C224+T224)),BC224,0))</f>
        <v/>
      </c>
      <c r="BE224" s="29">
        <f>IF(AT224=1,"transition",IF(MIN(IF(AND(J224=0,ISNUMBER(AP224),AP224&lt;=(C224+T224)),AP224,9E15),IF(AND(K224=0,ISNUMBER(AQ224),AQ224&lt;=(C224+T224)),AQ224,9E15),IF(AND(L224=0,ISNUMBER(AR224),AR224&lt;=(C224+T224)),AR224,9E15),IF(AND(M224=0,ISNUMBER(AS224),AS224&lt;=(C224+T224)),AS224,9E15))&lt;9E15,IF(AND(AND(J224=0,ISNUMBER(AP224),AP224&lt;=(C224+T224)),AP224=MIN(IF(AND(J224=0,ISNUMBER(AP224),AP224&lt;=(C224+T224)),AP224,9E15),IF(AND(K224=0,ISNUMBER(AQ224),AQ224&lt;=(C224+T224)),AQ224,9E15),IF(AND(L224=0,ISNUMBER(AR224),AR224&lt;=(C224+T224)),AR224,9E15),IF(AND(M224=0,ISNUMBER(AS224),AS224&lt;=(C224+T224)),AS224,9E15))),"BiP",IF(AND(AND(K224=0,ISNUMBER(AQ224),AQ224&lt;=(C224+T224)),AQ224=MIN(IF(AND(J224=0,ISNUMBER(AP224),AP224&lt;=(C224+T224)),AP224,9E15),IF(AND(K224=0,ISNUMBER(AQ224),AQ224&lt;=(C224+T224)),AQ224,9E15),IF(AND(L224=0,ISNUMBER(AR224),AR224&lt;=(C224+T224)),AR224,9E15),IF(AND(M224=0,ISNUMBER(AS224),AS224&lt;=(C224+T224)),AS224,9E15))),"PV",IF(AND(AND(L224=0,ISNUMBER(AR224),AR224&lt;=(C224+T224)),AR224=MIN(IF(AND(J224=0,ISNUMBER(AP224),AP224&lt;=(C224+T224)),AP224,9E15),IF(AND(K224=0,ISNUMBER(AQ224),AQ224&lt;=(C224+T224)),AQ224,9E15),IF(AND(L224=0,ISNUMBER(AR224),AR224&lt;=(C224+T224)),AR224,9E15),IF(AND(M224=0,ISNUMBER(AS224),AS224&lt;=(C224+T224)),AS224,9E15))),"OC","MG"))),IF(AX224=TRUE,"",IF(MAX(IF(AND(NOT(AND(AU224=1,AT224&lt;&gt;1)),ISNUMBER(AK224),AK224&lt;=(C224+T224)),AY224,0),IF(AND(NOT(AND(AU224=1,AT224&lt;&gt;1)),ISNUMBER(AL224),AL224&lt;=(C224+T224)),AZ224,0),IF(AND(NOT(AND(AU224=1,AT224&lt;&gt;1)),ISNUMBER(AM224),AM224&lt;=(C224+T224)),BA224,0),IF(AND(NOT(AND(AU224=1,AT224&lt;&gt;1)),ISNUMBER(AN224),AN224&lt;=(C224+T224)),BB224,0),IF(AND(ISNUMBER(AO224),AO224&lt;=(C224+T224)),BC224,0))&lt;=0,"",IF(AND(IF(AND(NOT(AND(AU224=1,AT224&lt;&gt;1)),ISNUMBER(AK224),AK224&lt;=(C224+T224)),AY224,0)&gt;0,IF(AND(NOT(AND(AU224=1,AT224&lt;&gt;1)),ISNUMBER(AK224),AK224&lt;=(C224+T224)),AY224,0)=MAX(IF(AND(NOT(AND(AU224=1,AT224&lt;&gt;1)),ISNUMBER(AK224),AK224&lt;=(C224+T224)),AY224,0),IF(AND(NOT(AND(AU224=1,AT224&lt;&gt;1)),ISNUMBER(AL224),AL224&lt;=(C224+T224)),AZ224,0),IF(AND(NOT(AND(AU224=1,AT224&lt;&gt;1)),ISNUMBER(AM224),AM224&lt;=(C224+T224)),BA224,0),IF(AND(NOT(AND(AU224=1,AT224&lt;&gt;1)),ISNUMBER(AN224),AN224&lt;=(C224+T224)),BB224,0),IF(AND(ISNUMBER(AO224),AO224&lt;=(C224+T224)),BC224,0))),"SK",IF(AND(IF(AND(NOT(AND(AU224=1,AT224&lt;&gt;1)),ISNUMBER(AL224),AL224&lt;=(C224+T224)),AZ224,0)&gt;0,IF(AND(NOT(AND(AU224=1,AT224&lt;&gt;1)),ISNUMBER(AL224),AL224&lt;=(C224+T224)),AZ224,0)=MAX(IF(AND(NOT(AND(AU224=1,AT224&lt;&gt;1)),ISNUMBER(AK224),AK224&lt;=(C224+T224)),AY224,0),IF(AND(NOT(AND(AU224=1,AT224&lt;&gt;1)),ISNUMBER(AL224),AL224&lt;=(C224+T224)),AZ224,0),IF(AND(NOT(AND(AU224=1,AT224&lt;&gt;1)),ISNUMBER(AM224),AM224&lt;=(C224+T224)),BA224,0),IF(AND(NOT(AND(AU224=1,AT224&lt;&gt;1)),ISNUMBER(AN224),AN224&lt;=(C224+T224)),BB224,0),IF(AND(ISNUMBER(AO224),AO224&lt;=(C224+T224)),BC224,0))),"LB",IF(AND(IF(AND(NOT(AND(AU224=1,AT224&lt;&gt;1)),ISNUMBER(AM224),AM224&lt;=(C224+T224)),BA224,0)&gt;0,IF(AND(NOT(AND(AU224=1,AT224&lt;&gt;1)),ISNUMBER(AM224),AM224&lt;=(C224+T224)),BA224,0)=MAX(IF(AND(NOT(AND(AU224=1,AT224&lt;&gt;1)),ISNUMBER(AK224),AK224&lt;=(C224+T224)),AY224,0),IF(AND(NOT(AND(AU224=1,AT224&lt;&gt;1)),ISNUMBER(AL224),AL224&lt;=(C224+T224)),AZ224,0),IF(AND(NOT(AND(AU224=1,AT224&lt;&gt;1)),ISNUMBER(AM224),AM224&lt;=(C224+T224)),BA224,0),IF(AND(NOT(AND(AU224=1,AT224&lt;&gt;1)),ISNUMBER(AN224),AN224&lt;=(C224+T224)),BB224,0),IF(AND(ISNUMBER(AO224),AO224&lt;=(C224+T224)),BC224,0))),"ML",IF(AND(IF(AND(NOT(AND(AU224=1,AT224&lt;&gt;1)),ISNUMBER(AN224),AN224&lt;=(C224+T224)),BB224,0)&gt;0,IF(AND(NOT(AND(AU224=1,AT224&lt;&gt;1)),ISNUMBER(AN224),AN224&lt;=(C224+T224)),BB224,0)=MAX(IF(AND(NOT(AND(AU224=1,AT224&lt;&gt;1)),ISNUMBER(AK224),AK224&lt;=(C224+T224)),AY224,0),IF(AND(NOT(AND(AU224=1,AT224&lt;&gt;1)),ISNUMBER(AL224),AL224&lt;=(C224+T224)),AZ224,0),IF(AND(NOT(AND(AU224=1,AT224&lt;&gt;1)),ISNUMBER(AM224),AM224&lt;=(C224+T224)),BA224,0),IF(AND(NOT(AND(AU224=1,AT224&lt;&gt;1)),ISNUMBER(AN224),AN224&lt;=(C224+T224)),BB224,0),IF(AND(ISNUMBER(AO224),AO224&lt;=(C224+T224)),BC224,0))),"RLO","BD"))))))))</f>
        <v/>
      </c>
    </row>
    <row r="225">
      <c r="A225" s="26" t="n">
        <v>214</v>
      </c>
      <c r="B225" s="27">
        <f>A225*10/60</f>
        <v/>
      </c>
      <c r="C225" s="22">
        <f>X224</f>
        <v/>
      </c>
      <c r="D225" s="27">
        <f>D224+W224</f>
        <v/>
      </c>
      <c r="E225" s="26">
        <f>E224+IF(U224="SK",1,0)</f>
        <v/>
      </c>
      <c r="F225" s="26">
        <f>F224+IF(U224="LB",1,0)</f>
        <v/>
      </c>
      <c r="G225" s="26">
        <f>G224+IF(U224="ML",1,0)</f>
        <v/>
      </c>
      <c r="H225" s="26">
        <f>H224+IF(U224="RLO",1,0)</f>
        <v/>
      </c>
      <c r="I225" s="26">
        <f>I224+IF(U224="BD",1,0)</f>
        <v/>
      </c>
      <c r="J225" s="26">
        <f>MAX(J224,IF(U224="BiP",1,0))</f>
        <v/>
      </c>
      <c r="K225" s="26">
        <f>MAX(K224,IF(U224="PV",1,0))</f>
        <v/>
      </c>
      <c r="L225" s="26">
        <f>MAX(L224,IF(U224="OC",1,0))</f>
        <v/>
      </c>
      <c r="M225" s="26">
        <f>MAX(M224,IF(U224="MG",1,0))</f>
        <v/>
      </c>
      <c r="N225" s="26">
        <f>MAX(N224,IF(U224="transition",1,0))</f>
        <v/>
      </c>
      <c r="O225" s="28">
        <f>(Parameters!$B$9+(IF(E225=0,0,(Upgrades!$J$13+E225*Upgrades!$K$13)*POWER(Upgrades!$L$13,E225)))*(IF(Upgrades!$T$14="Stellar Kinematics",POWER(Upgrades!$U$14,F225),1)*IF(Upgrades!$T$15="Stellar Kinematics",POWER(Upgrades!$U$15,G225),1)*IF(Upgrades!$T$16="Stellar Kinematics",POWER(Upgrades!$U$16,H225),1)*IF(Upgrades!$T$17="Stellar Kinematics",POWER(Upgrades!$U$17,I225),1)*IF(Upgrades!$T$18="Stellar Kinematics",POWER(Upgrades!$U$18,J225),1)*IF(Upgrades!$T$19="Stellar Kinematics",POWER(Upgrades!$U$19,K225),1)*IF(Upgrades!$T$20="Stellar Kinematics",POWER(Upgrades!$U$20,L225),1)*IF(Upgrades!$T$21="Stellar Kinematics",POWER(Upgrades!$U$21,M225),1))+(IF(F225=0,0,(Upgrades!$J$14+F225*Upgrades!$K$14)*POWER(Upgrades!$L$14,F225)))*(IF(Upgrades!$T$13="Local Bubble",POWER(Upgrades!$U$13,E225),1)*IF(Upgrades!$T$15="Local Bubble",POWER(Upgrades!$U$15,G225),1)*IF(Upgrades!$T$16="Local Bubble",POWER(Upgrades!$U$16,H225),1)*IF(Upgrades!$T$17="Local Bubble",POWER(Upgrades!$U$17,I225),1)*IF(Upgrades!$T$18="Local Bubble",POWER(Upgrades!$U$18,J225),1)*IF(Upgrades!$T$19="Local Bubble",POWER(Upgrades!$U$19,K225),1)*IF(Upgrades!$T$20="Local Bubble",POWER(Upgrades!$U$20,L225),1)*IF(Upgrades!$T$21="Local Bubble",POWER(Upgrades!$U$21,M225),1))+(IF(G225=0,0,(Upgrades!$J$15+G225*Upgrades!$K$15)*POWER(Upgrades!$L$15,G225)))*(IF(Upgrades!$T$13="Microlensing",POWER(Upgrades!$U$13,E225),1)*IF(Upgrades!$T$14="Microlensing",POWER(Upgrades!$U$14,F225),1)*IF(Upgrades!$T$16="Microlensing",POWER(Upgrades!$U$16,H225),1)*IF(Upgrades!$T$17="Microlensing",POWER(Upgrades!$U$17,I225),1)*IF(Upgrades!$T$18="Microlensing",POWER(Upgrades!$U$18,J225),1)*IF(Upgrades!$T$19="Microlensing",POWER(Upgrades!$U$19,K225),1)*IF(Upgrades!$T$20="Microlensing",POWER(Upgrades!$U$20,L225),1)*IF(Upgrades!$T$21="Microlensing",POWER(Upgrades!$U$21,M225),1))+(IF(H225=0,0,(Upgrades!$J$16+H225*Upgrades!$K$16)*POWER(Upgrades!$L$16,H225)))*(IF(Upgrades!$T$13="Roche Lobe Overflow",POWER(Upgrades!$U$13,E225),1)*IF(Upgrades!$T$14="Roche Lobe Overflow",POWER(Upgrades!$U$14,F225),1)*IF(Upgrades!$T$15="Roche Lobe Overflow",POWER(Upgrades!$U$15,G225),1)*IF(Upgrades!$T$17="Roche Lobe Overflow",POWER(Upgrades!$U$17,I225),1)*IF(Upgrades!$T$18="Roche Lobe Overflow",POWER(Upgrades!$U$18,J225),1)*IF(Upgrades!$T$19="Roche Lobe Overflow",POWER(Upgrades!$U$19,K225),1)*IF(Upgrades!$T$20="Roche Lobe Overflow",POWER(Upgrades!$U$20,L225),1)*IF(Upgrades!$T$21="Roche Lobe Overflow",POWER(Upgrades!$U$21,M225),1))+(IF(I225=0,0,(Upgrades!$J$17+I225*Upgrades!$K$17)*POWER(Upgrades!$L$17,I225)))*(IF(Upgrades!$T$13="Brown Dwarf",POWER(Upgrades!$U$13,E225),1)*IF(Upgrades!$T$14="Brown Dwarf",POWER(Upgrades!$U$14,F225),1)*IF(Upgrades!$T$15="Brown Dwarf",POWER(Upgrades!$U$15,G225),1)*IF(Upgrades!$T$16="Brown Dwarf",POWER(Upgrades!$U$16,H225),1)*IF(Upgrades!$T$18="Brown Dwarf",POWER(Upgrades!$U$18,J225),1)*IF(Upgrades!$T$19="Brown Dwarf",POWER(Upgrades!$U$19,K225),1)*IF(Upgrades!$T$20="Brown Dwarf",POWER(Upgrades!$U$20,L225),1)*IF(Upgrades!$T$21="Brown Dwarf",POWER(Upgrades!$U$21,M225),1))+(IF(J225=0,0,(Upgrades!$J$18+J225*Upgrades!$K$18)*POWER(Upgrades!$L$18,J225)))*(IF(Upgrades!$T$13="Binary Partner",POWER(Upgrades!$U$13,E225),1)*IF(Upgrades!$T$14="Binary Partner",POWER(Upgrades!$U$14,F225),1)*IF(Upgrades!$T$15="Binary Partner",POWER(Upgrades!$U$15,G225),1)*IF(Upgrades!$T$16="Binary Partner",POWER(Upgrades!$U$16,H225),1)*IF(Upgrades!$T$17="Binary Partner",POWER(Upgrades!$U$17,I225),1)*IF(Upgrades!$T$19="Binary Partner",POWER(Upgrades!$U$19,K225),1)*IF(Upgrades!$T$20="Binary Partner",POWER(Upgrades!$U$20,L225),1)*IF(Upgrades!$T$21="Binary Partner",POWER(Upgrades!$U$21,M225),1))+(IF(K225=0,0,(Upgrades!$J$19+K225*Upgrades!$K$19)*POWER(Upgrades!$L$19,K225)))*(IF(Upgrades!$T$13="Peculiar Velocity",POWER(Upgrades!$U$13,E225),1)*IF(Upgrades!$T$14="Peculiar Velocity",POWER(Upgrades!$U$14,F225),1)*IF(Upgrades!$T$15="Peculiar Velocity",POWER(Upgrades!$U$15,G225),1)*IF(Upgrades!$T$16="Peculiar Velocity",POWER(Upgrades!$U$16,H225),1)*IF(Upgrades!$T$17="Peculiar Velocity",POWER(Upgrades!$U$17,I225),1)*IF(Upgrades!$T$18="Peculiar Velocity",POWER(Upgrades!$U$18,J225),1)*IF(Upgrades!$T$20="Peculiar Velocity",POWER(Upgrades!$U$20,L225),1)*IF(Upgrades!$T$21="Peculiar Velocity",POWER(Upgrades!$U$21,M225),1))+(IF(L225=0,0,(Upgrades!$J$20+L225*Upgrades!$K$20)*POWER(Upgrades!$L$20,L225)))*(IF(Upgrades!$T$13="Open Cluster",POWER(Upgrades!$U$13,E225),1)*IF(Upgrades!$T$14="Open Cluster",POWER(Upgrades!$U$14,F225),1)*IF(Upgrades!$T$15="Open Cluster",POWER(Upgrades!$U$15,G225),1)*IF(Upgrades!$T$16="Open Cluster",POWER(Upgrades!$U$16,H225),1)*IF(Upgrades!$T$17="Open Cluster",POWER(Upgrades!$U$17,I225),1)*IF(Upgrades!$T$18="Open Cluster",POWER(Upgrades!$U$18,J225),1)*IF(Upgrades!$T$19="Open Cluster",POWER(Upgrades!$U$19,K225),1)*IF(Upgrades!$T$21="Open Cluster",POWER(Upgrades!$U$21,M225),1))+(IF(M225=0,0,(Upgrades!$J$21+M225*Upgrades!$K$21)*POWER(Upgrades!$L$21,M225)))*(IF(Upgrades!$T$13="Moving Group",POWER(Upgrades!$U$13,E225),1)*IF(Upgrades!$T$14="Moving Group",POWER(Upgrades!$U$14,F225),1)*IF(Upgrades!$T$15="Moving Group",POWER(Upgrades!$U$15,G225),1)*IF(Upgrades!$T$16="Moving Group",POWER(Upgrades!$U$16,H225),1)*IF(Upgrades!$T$17="Moving Group",POWER(Upgrades!$U$17,I225),1)*IF(Upgrades!$T$18="Moving Group",POWER(Upgrades!$U$18,J225),1)*IF(Upgrades!$T$19="Moving Group",POWER(Upgrades!$U$19,K225),1)*IF(Upgrades!$T$20="Moving Group",POWER(Upgrades!$U$20,L225),1)))*POWER(Upgrades!$Q$13,E225)*POWER(Upgrades!$Q$14,F225)*POWER(Upgrades!$Q$15,G225)*POWER(Upgrades!$Q$16,H225)*POWER(Upgrades!$Q$17,I225)*POWER(Upgrades!$Q$18,J225)*POWER(Upgrades!$Q$19,K225)*POWER(Upgrades!$Q$20,L225)*POWER(Upgrades!$Q$21,M225)*$G$6+$D$6</f>
        <v/>
      </c>
      <c r="P225" s="28">
        <f>((IF(E225=0,0,(Upgrades!$G$13+E225*Upgrades!$H$13)*POWER(Upgrades!$I$13,E225)))*(IF(Upgrades!$T$14="Stellar Kinematics",POWER(Upgrades!$U$14,F225),1)*IF(Upgrades!$T$15="Stellar Kinematics",POWER(Upgrades!$U$15,G225),1)*IF(Upgrades!$T$16="Stellar Kinematics",POWER(Upgrades!$U$16,H225),1)*IF(Upgrades!$T$17="Stellar Kinematics",POWER(Upgrades!$U$17,I225),1)*IF(Upgrades!$T$18="Stellar Kinematics",POWER(Upgrades!$U$18,J225),1)*IF(Upgrades!$T$19="Stellar Kinematics",POWER(Upgrades!$U$19,K225),1)*IF(Upgrades!$T$20="Stellar Kinematics",POWER(Upgrades!$U$20,L225),1)*IF(Upgrades!$T$21="Stellar Kinematics",POWER(Upgrades!$U$21,M225),1))+(IF(F225=0,0,(Upgrades!$G$14+F225*Upgrades!$H$14)*POWER(Upgrades!$I$14,F225)))*(IF(Upgrades!$T$13="Local Bubble",POWER(Upgrades!$U$13,E225),1)*IF(Upgrades!$T$15="Local Bubble",POWER(Upgrades!$U$15,G225),1)*IF(Upgrades!$T$16="Local Bubble",POWER(Upgrades!$U$16,H225),1)*IF(Upgrades!$T$17="Local Bubble",POWER(Upgrades!$U$17,I225),1)*IF(Upgrades!$T$18="Local Bubble",POWER(Upgrades!$U$18,J225),1)*IF(Upgrades!$T$19="Local Bubble",POWER(Upgrades!$U$19,K225),1)*IF(Upgrades!$T$20="Local Bubble",POWER(Upgrades!$U$20,L225),1)*IF(Upgrades!$T$21="Local Bubble",POWER(Upgrades!$U$21,M225),1))+(IF(G225=0,0,(Upgrades!$G$15+G225*Upgrades!$H$15)*POWER(Upgrades!$I$15,G225)))*(IF(Upgrades!$T$13="Microlensing",POWER(Upgrades!$U$13,E225),1)*IF(Upgrades!$T$14="Microlensing",POWER(Upgrades!$U$14,F225),1)*IF(Upgrades!$T$16="Microlensing",POWER(Upgrades!$U$16,H225),1)*IF(Upgrades!$T$17="Microlensing",POWER(Upgrades!$U$17,I225),1)*IF(Upgrades!$T$18="Microlensing",POWER(Upgrades!$U$18,J225),1)*IF(Upgrades!$T$19="Microlensing",POWER(Upgrades!$U$19,K225),1)*IF(Upgrades!$T$20="Microlensing",POWER(Upgrades!$U$20,L225),1)*IF(Upgrades!$T$21="Microlensing",POWER(Upgrades!$U$21,M225),1))+(IF(H225=0,0,(Upgrades!$G$16+H225*Upgrades!$H$16)*POWER(Upgrades!$I$16,H225)))*(IF(Upgrades!$T$13="Roche Lobe Overflow",POWER(Upgrades!$U$13,E225),1)*IF(Upgrades!$T$14="Roche Lobe Overflow",POWER(Upgrades!$U$14,F225),1)*IF(Upgrades!$T$15="Roche Lobe Overflow",POWER(Upgrades!$U$15,G225),1)*IF(Upgrades!$T$17="Roche Lobe Overflow",POWER(Upgrades!$U$17,I225),1)*IF(Upgrades!$T$18="Roche Lobe Overflow",POWER(Upgrades!$U$18,J225),1)*IF(Upgrades!$T$19="Roche Lobe Overflow",POWER(Upgrades!$U$19,K225),1)*IF(Upgrades!$T$20="Roche Lobe Overflow",POWER(Upgrades!$U$20,L225),1)*IF(Upgrades!$T$21="Roche Lobe Overflow",POWER(Upgrades!$U$21,M225),1))+(IF(I225=0,0,(Upgrades!$G$17+I225*Upgrades!$H$17)*POWER(Upgrades!$I$17,I225)))*(IF(Upgrades!$T$13="Brown Dwarf",POWER(Upgrades!$U$13,E225),1)*IF(Upgrades!$T$14="Brown Dwarf",POWER(Upgrades!$U$14,F225),1)*IF(Upgrades!$T$15="Brown Dwarf",POWER(Upgrades!$U$15,G225),1)*IF(Upgrades!$T$16="Brown Dwarf",POWER(Upgrades!$U$16,H225),1)*IF(Upgrades!$T$18="Brown Dwarf",POWER(Upgrades!$U$18,J225),1)*IF(Upgrades!$T$19="Brown Dwarf",POWER(Upgrades!$U$19,K225),1)*IF(Upgrades!$T$20="Brown Dwarf",POWER(Upgrades!$U$20,L225),1)*IF(Upgrades!$T$21="Brown Dwarf",POWER(Upgrades!$U$21,M225),1))+(IF(J225=0,0,(Upgrades!$G$18+J225*Upgrades!$H$18)*POWER(Upgrades!$I$18,J225)))*(IF(Upgrades!$T$13="Binary Partner",POWER(Upgrades!$U$13,E225),1)*IF(Upgrades!$T$14="Binary Partner",POWER(Upgrades!$U$14,F225),1)*IF(Upgrades!$T$15="Binary Partner",POWER(Upgrades!$U$15,G225),1)*IF(Upgrades!$T$16="Binary Partner",POWER(Upgrades!$U$16,H225),1)*IF(Upgrades!$T$17="Binary Partner",POWER(Upgrades!$U$17,I225),1)*IF(Upgrades!$T$19="Binary Partner",POWER(Upgrades!$U$19,K225),1)*IF(Upgrades!$T$20="Binary Partner",POWER(Upgrades!$U$20,L225),1)*IF(Upgrades!$T$21="Binary Partner",POWER(Upgrades!$U$21,M225),1))+(IF(K225=0,0,(Upgrades!$G$19+K225*Upgrades!$H$19)*POWER(Upgrades!$I$19,K225)))*(IF(Upgrades!$T$13="Peculiar Velocity",POWER(Upgrades!$U$13,E225),1)*IF(Upgrades!$T$14="Peculiar Velocity",POWER(Upgrades!$U$14,F225),1)*IF(Upgrades!$T$15="Peculiar Velocity",POWER(Upgrades!$U$15,G225),1)*IF(Upgrades!$T$16="Peculiar Velocity",POWER(Upgrades!$U$16,H225),1)*IF(Upgrades!$T$17="Peculiar Velocity",POWER(Upgrades!$U$17,I225),1)*IF(Upgrades!$T$18="Peculiar Velocity",POWER(Upgrades!$U$18,J225),1)*IF(Upgrades!$T$20="Peculiar Velocity",POWER(Upgrades!$U$20,L225),1)*IF(Upgrades!$T$21="Peculiar Velocity",POWER(Upgrades!$U$21,M225),1))+(IF(L225=0,0,(Upgrades!$G$20+L225*Upgrades!$H$20)*POWER(Upgrades!$I$20,L225)))*(IF(Upgrades!$T$13="Open Cluster",POWER(Upgrades!$U$13,E225),1)*IF(Upgrades!$T$14="Open Cluster",POWER(Upgrades!$U$14,F225),1)*IF(Upgrades!$T$15="Open Cluster",POWER(Upgrades!$U$15,G225),1)*IF(Upgrades!$T$16="Open Cluster",POWER(Upgrades!$U$16,H225),1)*IF(Upgrades!$T$17="Open Cluster",POWER(Upgrades!$U$17,I225),1)*IF(Upgrades!$T$18="Open Cluster",POWER(Upgrades!$U$18,J225),1)*IF(Upgrades!$T$19="Open Cluster",POWER(Upgrades!$U$19,K225),1)*IF(Upgrades!$T$21="Open Cluster",POWER(Upgrades!$U$21,M225),1))+(IF(M225=0,0,(Upgrades!$G$21+M225*Upgrades!$H$21)*POWER(Upgrades!$I$21,M225)))*(IF(Upgrades!$T$13="Moving Group",POWER(Upgrades!$U$13,E225),1)*IF(Upgrades!$T$14="Moving Group",POWER(Upgrades!$U$14,F225),1)*IF(Upgrades!$T$15="Moving Group",POWER(Upgrades!$U$15,G225),1)*IF(Upgrades!$T$16="Moving Group",POWER(Upgrades!$U$16,H225),1)*IF(Upgrades!$T$17="Moving Group",POWER(Upgrades!$U$17,I225),1)*IF(Upgrades!$T$18="Moving Group",POWER(Upgrades!$U$18,J225),1)*IF(Upgrades!$T$19="Moving Group",POWER(Upgrades!$U$19,K225),1)*IF(Upgrades!$T$20="Moving Group",POWER(Upgrades!$U$20,L225),1)))*POWER(Upgrades!$P$13,E225)*POWER(Upgrades!$P$14,F225)*POWER(Upgrades!$P$15,G225)*POWER(Upgrades!$P$16,H225)*POWER(Upgrades!$P$17,I225)*POWER(Upgrades!$P$18,J225)*POWER(Upgrades!$P$19,K225)*POWER(Upgrades!$P$20,L225)*POWER(Upgrades!$P$21,M225)*$F$6+$C$6</f>
        <v/>
      </c>
      <c r="Q225" s="28">
        <f>((IF(E225=0,0,(Upgrades!$M$13+E225*Upgrades!$N$13)*POWER(Upgrades!$O$13,E225)))*(IF(Upgrades!$T$14="Stellar Kinematics",POWER(Upgrades!$U$14,F225),1)*IF(Upgrades!$T$15="Stellar Kinematics",POWER(Upgrades!$U$15,G225),1)*IF(Upgrades!$T$16="Stellar Kinematics",POWER(Upgrades!$U$16,H225),1)*IF(Upgrades!$T$17="Stellar Kinematics",POWER(Upgrades!$U$17,I225),1)*IF(Upgrades!$T$18="Stellar Kinematics",POWER(Upgrades!$U$18,J225),1)*IF(Upgrades!$T$19="Stellar Kinematics",POWER(Upgrades!$U$19,K225),1)*IF(Upgrades!$T$20="Stellar Kinematics",POWER(Upgrades!$U$20,L225),1)*IF(Upgrades!$T$21="Stellar Kinematics",POWER(Upgrades!$U$21,M225),1))+(IF(F225=0,0,(Upgrades!$M$14+F225*Upgrades!$N$14)*POWER(Upgrades!$O$14,F225)))*(IF(Upgrades!$T$13="Local Bubble",POWER(Upgrades!$U$13,E225),1)*IF(Upgrades!$T$15="Local Bubble",POWER(Upgrades!$U$15,G225),1)*IF(Upgrades!$T$16="Local Bubble",POWER(Upgrades!$U$16,H225),1)*IF(Upgrades!$T$17="Local Bubble",POWER(Upgrades!$U$17,I225),1)*IF(Upgrades!$T$18="Local Bubble",POWER(Upgrades!$U$18,J225),1)*IF(Upgrades!$T$19="Local Bubble",POWER(Upgrades!$U$19,K225),1)*IF(Upgrades!$T$20="Local Bubble",POWER(Upgrades!$U$20,L225),1)*IF(Upgrades!$T$21="Local Bubble",POWER(Upgrades!$U$21,M225),1))+(IF(G225=0,0,(Upgrades!$M$15+G225*Upgrades!$N$15)*POWER(Upgrades!$O$15,G225)))*(IF(Upgrades!$T$13="Microlensing",POWER(Upgrades!$U$13,E225),1)*IF(Upgrades!$T$14="Microlensing",POWER(Upgrades!$U$14,F225),1)*IF(Upgrades!$T$16="Microlensing",POWER(Upgrades!$U$16,H225),1)*IF(Upgrades!$T$17="Microlensing",POWER(Upgrades!$U$17,I225),1)*IF(Upgrades!$T$18="Microlensing",POWER(Upgrades!$U$18,J225),1)*IF(Upgrades!$T$19="Microlensing",POWER(Upgrades!$U$19,K225),1)*IF(Upgrades!$T$20="Microlensing",POWER(Upgrades!$U$20,L225),1)*IF(Upgrades!$T$21="Microlensing",POWER(Upgrades!$U$21,M225),1))+(IF(H225=0,0,(Upgrades!$M$16+H225*Upgrades!$N$16)*POWER(Upgrades!$O$16,H225)))*(IF(Upgrades!$T$13="Roche Lobe Overflow",POWER(Upgrades!$U$13,E225),1)*IF(Upgrades!$T$14="Roche Lobe Overflow",POWER(Upgrades!$U$14,F225),1)*IF(Upgrades!$T$15="Roche Lobe Overflow",POWER(Upgrades!$U$15,G225),1)*IF(Upgrades!$T$17="Roche Lobe Overflow",POWER(Upgrades!$U$17,I225),1)*IF(Upgrades!$T$18="Roche Lobe Overflow",POWER(Upgrades!$U$18,J225),1)*IF(Upgrades!$T$19="Roche Lobe Overflow",POWER(Upgrades!$U$19,K225),1)*IF(Upgrades!$T$20="Roche Lobe Overflow",POWER(Upgrades!$U$20,L225),1)*IF(Upgrades!$T$21="Roche Lobe Overflow",POWER(Upgrades!$U$21,M225),1))+(IF(I225=0,0,(Upgrades!$M$17+I225*Upgrades!$N$17)*POWER(Upgrades!$O$17,I225)))*(IF(Upgrades!$T$13="Brown Dwarf",POWER(Upgrades!$U$13,E225),1)*IF(Upgrades!$T$14="Brown Dwarf",POWER(Upgrades!$U$14,F225),1)*IF(Upgrades!$T$15="Brown Dwarf",POWER(Upgrades!$U$15,G225),1)*IF(Upgrades!$T$16="Brown Dwarf",POWER(Upgrades!$U$16,H225),1)*IF(Upgrades!$T$18="Brown Dwarf",POWER(Upgrades!$U$18,J225),1)*IF(Upgrades!$T$19="Brown Dwarf",POWER(Upgrades!$U$19,K225),1)*IF(Upgrades!$T$20="Brown Dwarf",POWER(Upgrades!$U$20,L225),1)*IF(Upgrades!$T$21="Brown Dwarf",POWER(Upgrades!$U$21,M225),1))+(IF(J225=0,0,(Upgrades!$M$18+J225*Upgrades!$N$18)*POWER(Upgrades!$O$18,J225)))*(IF(Upgrades!$T$13="Binary Partner",POWER(Upgrades!$U$13,E225),1)*IF(Upgrades!$T$14="Binary Partner",POWER(Upgrades!$U$14,F225),1)*IF(Upgrades!$T$15="Binary Partner",POWER(Upgrades!$U$15,G225),1)*IF(Upgrades!$T$16="Binary Partner",POWER(Upgrades!$U$16,H225),1)*IF(Upgrades!$T$17="Binary Partner",POWER(Upgrades!$U$17,I225),1)*IF(Upgrades!$T$19="Binary Partner",POWER(Upgrades!$U$19,K225),1)*IF(Upgrades!$T$20="Binary Partner",POWER(Upgrades!$U$20,L225),1)*IF(Upgrades!$T$21="Binary Partner",POWER(Upgrades!$U$21,M225),1))+(IF(K225=0,0,(Upgrades!$M$19+K225*Upgrades!$N$19)*POWER(Upgrades!$O$19,K225)))*(IF(Upgrades!$T$13="Peculiar Velocity",POWER(Upgrades!$U$13,E225),1)*IF(Upgrades!$T$14="Peculiar Velocity",POWER(Upgrades!$U$14,F225),1)*IF(Upgrades!$T$15="Peculiar Velocity",POWER(Upgrades!$U$15,G225),1)*IF(Upgrades!$T$16="Peculiar Velocity",POWER(Upgrades!$U$16,H225),1)*IF(Upgrades!$T$17="Peculiar Velocity",POWER(Upgrades!$U$17,I225),1)*IF(Upgrades!$T$18="Peculiar Velocity",POWER(Upgrades!$U$18,J225),1)*IF(Upgrades!$T$20="Peculiar Velocity",POWER(Upgrades!$U$20,L225),1)*IF(Upgrades!$T$21="Peculiar Velocity",POWER(Upgrades!$U$21,M225),1))+(IF(L225=0,0,(Upgrades!$M$20+L225*Upgrades!$N$20)*POWER(Upgrades!$O$20,L225)))*(IF(Upgrades!$T$13="Open Cluster",POWER(Upgrades!$U$13,E225),1)*IF(Upgrades!$T$14="Open Cluster",POWER(Upgrades!$U$14,F225),1)*IF(Upgrades!$T$15="Open Cluster",POWER(Upgrades!$U$15,G225),1)*IF(Upgrades!$T$16="Open Cluster",POWER(Upgrades!$U$16,H225),1)*IF(Upgrades!$T$17="Open Cluster",POWER(Upgrades!$U$17,I225),1)*IF(Upgrades!$T$18="Open Cluster",POWER(Upgrades!$U$18,J225),1)*IF(Upgrades!$T$19="Open Cluster",POWER(Upgrades!$U$19,K225),1)*IF(Upgrades!$T$21="Open Cluster",POWER(Upgrades!$U$21,M225),1))+(IF(M225=0,0,(Upgrades!$M$21+M225*Upgrades!$N$21)*POWER(Upgrades!$O$21,M225)))*(IF(Upgrades!$T$13="Moving Group",POWER(Upgrades!$U$13,E225),1)*IF(Upgrades!$T$14="Moving Group",POWER(Upgrades!$U$14,F225),1)*IF(Upgrades!$T$15="Moving Group",POWER(Upgrades!$U$15,G225),1)*IF(Upgrades!$T$16="Moving Group",POWER(Upgrades!$U$16,H225),1)*IF(Upgrades!$T$17="Moving Group",POWER(Upgrades!$U$17,I225),1)*IF(Upgrades!$T$18="Moving Group",POWER(Upgrades!$U$18,J225),1)*IF(Upgrades!$T$19="Moving Group",POWER(Upgrades!$U$19,K225),1)*IF(Upgrades!$T$20="Moving Group",POWER(Upgrades!$U$20,L225),1)))*POWER(Upgrades!$R$13,E225)*POWER(Upgrades!$R$14,F225)*POWER(Upgrades!$R$15,G225)*POWER(Upgrades!$R$16,H225)*POWER(Upgrades!$R$17,I225)*POWER(Upgrades!$R$18,J225)*POWER(Upgrades!$R$19,K225)*POWER(Upgrades!$R$20,L225)*POWER(Upgrades!$R$21,M225)*$H$6+$E$6</f>
        <v/>
      </c>
      <c r="R225" s="27">
        <f>IF(N225=1,0,O225*Parameters!$B$10/60*Parameters!$B$11*10)</f>
        <v/>
      </c>
      <c r="S225" s="27">
        <f>IF(N225=1,0,Q225*O225*10)</f>
        <v/>
      </c>
      <c r="T225" s="27">
        <f>IF(N225=1,0,R225+S225+P225*10)</f>
        <v/>
      </c>
      <c r="U225" s="33">
        <f>BE225</f>
        <v/>
      </c>
      <c r="V225" s="22">
        <f>IF(U225="",0,IF(U225="transition",0,IF(U225="SK",AK225,IF(U225="LB",AL225,IF(U225="ML",AM225,IF(U225="RLO",AN225,IF(U225="BD",AO225,IF(U225="BiP",AP225,IF(U225="PV",AQ225,IF(U225="OC",AR225,IF(U225="MG",AS225,0))))))))))</f>
        <v/>
      </c>
      <c r="W225" s="27">
        <f>IF(U225="BiP",Upgrades!$F$18,IF(U225="PV",Upgrades!$F$19,IF(U225="OC",Upgrades!$F$20,IF(U225="MG",Upgrades!$F$21,IF(U225="transition",-Parameters!$B$18*Parameters!$B$19,0)))))</f>
        <v/>
      </c>
      <c r="X225" s="22">
        <f>C225+T225-V225</f>
        <v/>
      </c>
      <c r="Y225" s="30">
        <f>O225*Parameters!$B$10/60*Parameters!$B$11+Q225*O225+P225</f>
        <v/>
      </c>
      <c r="Z225" s="34">
        <f>IF(U225="transition","→ Tier 3 (Galactic Arm)",IF(U225="MG","Moving Group — pocket drifts together",IF(U225="OC","Open Cluster acquired",IF(U225="PV","Peculiar Velocity — passive multiplier active",IF(U225="BiP","Binary Partner — pair bond formed",IF(AND(AU225=1,N225=0,AT225&lt;&gt;1),"Cohesion ready (waiting on completionists)","")))))) </f>
        <v/>
      </c>
      <c r="AA225" s="27">
        <f>(IF(E225=0,0,(Upgrades!$G$13+E225*Upgrades!$H$13)*POWER(Upgrades!$I$13,E225)))*(IF(Upgrades!$T$14="Stellar Kinematics",POWER(Upgrades!$U$14,F225),1)*IF(Upgrades!$T$15="Stellar Kinematics",POWER(Upgrades!$U$15,G225),1)*IF(Upgrades!$T$16="Stellar Kinematics",POWER(Upgrades!$U$16,H225),1)*IF(Upgrades!$T$17="Stellar Kinematics",POWER(Upgrades!$U$17,I225),1)*IF(Upgrades!$T$18="Stellar Kinematics",POWER(Upgrades!$U$18,J225),1)*IF(Upgrades!$T$19="Stellar Kinematics",POWER(Upgrades!$U$19,K225),1)*IF(Upgrades!$T$20="Stellar Kinematics",POWER(Upgrades!$U$20,L225),1)*IF(Upgrades!$T$21="Stellar Kinematics",POWER(Upgrades!$U$21,M225),1))*POWER(Upgrades!$P$13,E225)*POWER(Upgrades!$P$14,F225)*POWER(Upgrades!$P$15,G225)*POWER(Upgrades!$P$16,H225)*POWER(Upgrades!$P$17,I225)*POWER(Upgrades!$P$18,J225)*POWER(Upgrades!$P$19,K225)*POWER(Upgrades!$P$20,L225)*POWER(Upgrades!$P$21,M225)*$F$6*60</f>
        <v/>
      </c>
      <c r="AB225" s="27">
        <f>(IF(F225=0,0,(Upgrades!$G$14+F225*Upgrades!$H$14)*POWER(Upgrades!$I$14,F225)))*(IF(Upgrades!$T$13="Local Bubble",POWER(Upgrades!$U$13,E225),1)*IF(Upgrades!$T$15="Local Bubble",POWER(Upgrades!$U$15,G225),1)*IF(Upgrades!$T$16="Local Bubble",POWER(Upgrades!$U$16,H225),1)*IF(Upgrades!$T$17="Local Bubble",POWER(Upgrades!$U$17,I225),1)*IF(Upgrades!$T$18="Local Bubble",POWER(Upgrades!$U$18,J225),1)*IF(Upgrades!$T$19="Local Bubble",POWER(Upgrades!$U$19,K225),1)*IF(Upgrades!$T$20="Local Bubble",POWER(Upgrades!$U$20,L225),1)*IF(Upgrades!$T$21="Local Bubble",POWER(Upgrades!$U$21,M225),1))*POWER(Upgrades!$P$13,E225)*POWER(Upgrades!$P$14,F225)*POWER(Upgrades!$P$15,G225)*POWER(Upgrades!$P$16,H225)*POWER(Upgrades!$P$17,I225)*POWER(Upgrades!$P$18,J225)*POWER(Upgrades!$P$19,K225)*POWER(Upgrades!$P$20,L225)*POWER(Upgrades!$P$21,M225)*$F$6*60</f>
        <v/>
      </c>
      <c r="AC225" s="27">
        <f>(IF(G225=0,0,(Upgrades!$J$15+G225*Upgrades!$K$15)*POWER(Upgrades!$L$15,G225)))*(IF(Upgrades!$T$13="Microlensing",POWER(Upgrades!$U$13,E225),1)*IF(Upgrades!$T$14="Microlensing",POWER(Upgrades!$U$14,F225),1)*IF(Upgrades!$T$16="Microlensing",POWER(Upgrades!$U$16,H225),1)*IF(Upgrades!$T$17="Microlensing",POWER(Upgrades!$U$17,I225),1)*IF(Upgrades!$T$18="Microlensing",POWER(Upgrades!$U$18,J225),1)*IF(Upgrades!$T$19="Microlensing",POWER(Upgrades!$U$19,K225),1)*IF(Upgrades!$T$20="Microlensing",POWER(Upgrades!$U$20,L225),1)*IF(Upgrades!$T$21="Microlensing",POWER(Upgrades!$U$21,M225),1))*POWER(Upgrades!$Q$13,E225)*POWER(Upgrades!$Q$14,F225)*POWER(Upgrades!$Q$15,G225)*POWER(Upgrades!$Q$16,H225)*POWER(Upgrades!$Q$17,I225)*POWER(Upgrades!$Q$18,J225)*POWER(Upgrades!$Q$19,K225)*POWER(Upgrades!$Q$20,L225)*POWER(Upgrades!$Q$21,M225)*$G$6*(Parameters!$B$10*Parameters!$B$11+Q225*60)</f>
        <v/>
      </c>
      <c r="AD225" s="27">
        <f>(IF(H225=0,0,(Upgrades!$M$16+H225*Upgrades!$N$16)*POWER(Upgrades!$O$16,H225)))*(IF(Upgrades!$T$13="Roche Lobe Overflow",POWER(Upgrades!$U$13,E225),1)*IF(Upgrades!$T$14="Roche Lobe Overflow",POWER(Upgrades!$U$14,F225),1)*IF(Upgrades!$T$15="Roche Lobe Overflow",POWER(Upgrades!$U$15,G225),1)*IF(Upgrades!$T$17="Roche Lobe Overflow",POWER(Upgrades!$U$17,I225),1)*IF(Upgrades!$T$18="Roche Lobe Overflow",POWER(Upgrades!$U$18,J225),1)*IF(Upgrades!$T$19="Roche Lobe Overflow",POWER(Upgrades!$U$19,K225),1)*IF(Upgrades!$T$20="Roche Lobe Overflow",POWER(Upgrades!$U$20,L225),1)*IF(Upgrades!$T$21="Roche Lobe Overflow",POWER(Upgrades!$U$21,M225),1))*POWER(Upgrades!$R$13,E225)*POWER(Upgrades!$R$14,F225)*POWER(Upgrades!$R$15,G225)*POWER(Upgrades!$R$16,H225)*POWER(Upgrades!$R$17,I225)*POWER(Upgrades!$R$18,J225)*POWER(Upgrades!$R$19,K225)*POWER(Upgrades!$R$20,L225)*POWER(Upgrades!$R$21,M225)*$H$6*O225*60</f>
        <v/>
      </c>
      <c r="AE225" s="27">
        <f>(IF(I225=0,0,(Upgrades!$G$17+I225*Upgrades!$H$17)*POWER(Upgrades!$I$17,I225)))*(IF(Upgrades!$T$13="Brown Dwarf",POWER(Upgrades!$U$13,E225),1)*IF(Upgrades!$T$14="Brown Dwarf",POWER(Upgrades!$U$14,F225),1)*IF(Upgrades!$T$15="Brown Dwarf",POWER(Upgrades!$U$15,G225),1)*IF(Upgrades!$T$16="Brown Dwarf",POWER(Upgrades!$U$16,H225),1)*IF(Upgrades!$T$18="Brown Dwarf",POWER(Upgrades!$U$18,J225),1)*IF(Upgrades!$T$19="Brown Dwarf",POWER(Upgrades!$U$19,K225),1)*IF(Upgrades!$T$20="Brown Dwarf",POWER(Upgrades!$U$20,L225),1)*IF(Upgrades!$T$21="Brown Dwarf",POWER(Upgrades!$U$21,M225),1))*POWER(Upgrades!$P$13,E225)*POWER(Upgrades!$P$14,F225)*POWER(Upgrades!$P$15,G225)*POWER(Upgrades!$P$16,H225)*POWER(Upgrades!$P$17,I225)*POWER(Upgrades!$P$18,J225)*POWER(Upgrades!$P$19,K225)*POWER(Upgrades!$P$20,L225)*POWER(Upgrades!$P$21,M225)*$F$6*60</f>
        <v/>
      </c>
      <c r="AF225" s="27" t="n">
        <v>0</v>
      </c>
      <c r="AG225" s="27" t="n">
        <v>0</v>
      </c>
      <c r="AH225" s="27" t="n">
        <v>0</v>
      </c>
      <c r="AI225" s="27">
        <f>(IF(M225=0,0,(Upgrades!$G$21+M225*Upgrades!$H$21)*POWER(Upgrades!$I$21,M225)))*(IF(Upgrades!$T$13="Moving Group",POWER(Upgrades!$U$13,E225),1)*IF(Upgrades!$T$14="Moving Group",POWER(Upgrades!$U$14,F225),1)*IF(Upgrades!$T$15="Moving Group",POWER(Upgrades!$U$15,G225),1)*IF(Upgrades!$T$16="Moving Group",POWER(Upgrades!$U$16,H225),1)*IF(Upgrades!$T$17="Moving Group",POWER(Upgrades!$U$17,I225),1)*IF(Upgrades!$T$18="Moving Group",POWER(Upgrades!$U$18,J225),1)*IF(Upgrades!$T$19="Moving Group",POWER(Upgrades!$U$19,K225),1)*IF(Upgrades!$T$20="Moving Group",POWER(Upgrades!$U$20,L225),1))*POWER(Upgrades!$P$13,E225)*POWER(Upgrades!$P$14,F225)*POWER(Upgrades!$P$15,G225)*POWER(Upgrades!$P$16,H225)*POWER(Upgrades!$P$17,I225)*POWER(Upgrades!$P$18,J225)*POWER(Upgrades!$P$19,K225)*POWER(Upgrades!$P$20,L225)*POWER(Upgrades!$P$21,M225)*$F$6*60</f>
        <v/>
      </c>
      <c r="AJ225" s="27">
        <f>$C$6*60</f>
        <v/>
      </c>
      <c r="AK225" s="22">
        <f>IF(E225&gt;=Upgrades!$E$13,"",Upgrades!$C$13*POWER(Upgrades!$D$13,E225))</f>
        <v/>
      </c>
      <c r="AL225" s="22">
        <f>IF(F225&gt;=Upgrades!$E$14,"",Upgrades!$C$14*POWER(Upgrades!$D$14,F225))</f>
        <v/>
      </c>
      <c r="AM225" s="22">
        <f>IF(G225&gt;=Upgrades!$E$15,"",Upgrades!$C$15*POWER(Upgrades!$D$15,G225))</f>
        <v/>
      </c>
      <c r="AN225" s="22">
        <f>IF(H225&gt;=Upgrades!$E$16,"",Upgrades!$C$16*POWER(Upgrades!$D$16,H225))</f>
        <v/>
      </c>
      <c r="AO225" s="22">
        <f>IF(I225&gt;=Upgrades!$E$17,"",Upgrades!$C$17*POWER(Upgrades!$D$17,I225))</f>
        <v/>
      </c>
      <c r="AP225" s="22">
        <f>IF(J225&gt;=Upgrades!$E$18,"",Upgrades!$C$18*POWER(Upgrades!$D$18,J225))</f>
        <v/>
      </c>
      <c r="AQ225" s="22">
        <f>IF(K225&gt;=Upgrades!$E$19,"",Upgrades!$C$19*POWER(Upgrades!$D$19,K225))</f>
        <v/>
      </c>
      <c r="AR225" s="22">
        <f>IF(L225&gt;=Upgrades!$E$20,"",Upgrades!$C$20*POWER(Upgrades!$D$20,L225))</f>
        <v/>
      </c>
      <c r="AS225" s="22">
        <f>IF(M225&gt;=Upgrades!$E$21,"",Upgrades!$C$21*POWER(Upgrades!$D$21,M225))</f>
        <v/>
      </c>
      <c r="AT225" s="26">
        <f>IF(AND(D225&gt;=Parameters!$B$18*Parameters!$B$19,(I225&gt;=Upgrades!$E$17)*(M225&gt;=Upgrades!$E$21)=1,N225=0),1,"")</f>
        <v/>
      </c>
      <c r="AU225" s="26">
        <f>IF(AND(D225&gt;=Parameters!$B$18*Parameters!$B$19,N225=0),1,"")</f>
        <v/>
      </c>
      <c r="AV225" s="22">
        <f>MIN(IF(ISNUMBER(AP225),AP225,9E15),IF(ISNUMBER(AQ225),AQ225,9E15),IF(ISNUMBER(AR225),AR225,9E15),IF(ISNUMBER(AS225),AS225,9E15))</f>
        <v/>
      </c>
      <c r="AW225" s="22">
        <f>MIN(IF(ISNUMBER(AK225),AK225,9E15),IF(ISNUMBER(AL225),AL225,9E15),IF(ISNUMBER(AM225),AM225,9E15),IF(ISNUMBER(AN225),AN225,9E15),IF(ISNUMBER(AO225),AO225,9E15))</f>
        <v/>
      </c>
      <c r="AX225" s="29">
        <f>IF(BD225&gt;Parameters!$B$21*(MAX(IF(AND(NOT(AND(AU225=1,AT225&lt;&gt;1)),ISNUMBER(AK225),AK225&lt;=(C225+T225)),AY225,0),IF(AND(NOT(AND(AU225=1,AT225&lt;&gt;1)),ISNUMBER(AL225),AL225&lt;=(C225+T225)),AZ225,0),IF(AND(NOT(AND(AU225=1,AT225&lt;&gt;1)),ISNUMBER(AM225),AM225&lt;=(C225+T225)),BA225,0),IF(AND(NOT(AND(AU225=1,AT225&lt;&gt;1)),ISNUMBER(AN225),AN225&lt;=(C225+T225)),BB225,0),IF(AND(ISNUMBER(AO225),AO225&lt;=(C225+T225)),BC225,0))),TRUE,FALSE)</f>
        <v/>
      </c>
      <c r="AY225" s="32">
        <f>IFERROR(Upgrades!$H$13*(POWER(Upgrades!$P$13,E225)*POWER(Upgrades!$P$14,F225)*POWER(Upgrades!$P$15,G225)*POWER(Upgrades!$P$16,H225)*POWER(Upgrades!$P$17,I225)*POWER(Upgrades!$P$18,J225)*POWER(Upgrades!$P$19,K225)*POWER(Upgrades!$P$20,L225)*POWER(Upgrades!$P$21,M225))*(IF(Upgrades!$T$14="Stellar Kinematics",POWER(Upgrades!$U$14,F225),1)*IF(Upgrades!$T$15="Stellar Kinematics",POWER(Upgrades!$U$15,G225),1)*IF(Upgrades!$T$16="Stellar Kinematics",POWER(Upgrades!$U$16,H225),1)*IF(Upgrades!$T$17="Stellar Kinematics",POWER(Upgrades!$U$17,I225),1)*IF(Upgrades!$T$18="Stellar Kinematics",POWER(Upgrades!$U$18,J225),1)*IF(Upgrades!$T$19="Stellar Kinematics",POWER(Upgrades!$U$19,K225),1)*IF(Upgrades!$T$20="Stellar Kinematics",POWER(Upgrades!$U$20,L225),1)*IF(Upgrades!$T$21="Stellar Kinematics",POWER(Upgrades!$U$21,M225),1))*$F$6/AK225,0)</f>
        <v/>
      </c>
      <c r="AZ225" s="32">
        <f>IFERROR(Upgrades!$H$14*(POWER(Upgrades!$P$13,E225)*POWER(Upgrades!$P$14,F225)*POWER(Upgrades!$P$15,G225)*POWER(Upgrades!$P$16,H225)*POWER(Upgrades!$P$17,I225)*POWER(Upgrades!$P$18,J225)*POWER(Upgrades!$P$19,K225)*POWER(Upgrades!$P$20,L225)*POWER(Upgrades!$P$21,M225))*(IF(Upgrades!$T$13="Local Bubble",POWER(Upgrades!$U$13,E225),1)*IF(Upgrades!$T$15="Local Bubble",POWER(Upgrades!$U$15,G225),1)*IF(Upgrades!$T$16="Local Bubble",POWER(Upgrades!$U$16,H225),1)*IF(Upgrades!$T$17="Local Bubble",POWER(Upgrades!$U$17,I225),1)*IF(Upgrades!$T$18="Local Bubble",POWER(Upgrades!$U$18,J225),1)*IF(Upgrades!$T$19="Local Bubble",POWER(Upgrades!$U$19,K225),1)*IF(Upgrades!$T$20="Local Bubble",POWER(Upgrades!$U$20,L225),1)*IF(Upgrades!$T$21="Local Bubble",POWER(Upgrades!$U$21,M225),1))*$F$6/AL225,0)</f>
        <v/>
      </c>
      <c r="BA225" s="32">
        <f>IFERROR(Upgrades!$K$15*(POWER(Upgrades!$Q$13,E225)*POWER(Upgrades!$Q$14,F225)*POWER(Upgrades!$Q$15,G225)*POWER(Upgrades!$Q$16,H225)*POWER(Upgrades!$Q$17,I225)*POWER(Upgrades!$Q$18,J225)*POWER(Upgrades!$Q$19,K225)*POWER(Upgrades!$Q$20,L225)*POWER(Upgrades!$Q$21,M225))*(IF(Upgrades!$T$13="Microlensing",POWER(Upgrades!$U$13,E225),1)*IF(Upgrades!$T$14="Microlensing",POWER(Upgrades!$U$14,F225),1)*IF(Upgrades!$T$16="Microlensing",POWER(Upgrades!$U$16,H225),1)*IF(Upgrades!$T$17="Microlensing",POWER(Upgrades!$U$17,I225),1)*IF(Upgrades!$T$18="Microlensing",POWER(Upgrades!$U$18,J225),1)*IF(Upgrades!$T$19="Microlensing",POWER(Upgrades!$U$19,K225),1)*IF(Upgrades!$T$20="Microlensing",POWER(Upgrades!$U$20,L225),1)*IF(Upgrades!$T$21="Microlensing",POWER(Upgrades!$U$21,M225),1))*$G$6*(Parameters!$B$10/60*Parameters!$B$11+Q225)/AM225,0)</f>
        <v/>
      </c>
      <c r="BB225" s="32">
        <f>IFERROR((Upgrades!$N$16*(POWER(Upgrades!$R$13,E225)*POWER(Upgrades!$R$14,F225)*POWER(Upgrades!$R$15,G225)*POWER(Upgrades!$R$16,H225)*POWER(Upgrades!$R$17,I225)*POWER(Upgrades!$R$18,J225)*POWER(Upgrades!$R$19,K225)*POWER(Upgrades!$R$20,L225)*POWER(Upgrades!$R$21,M225))*(IF(Upgrades!$T$13="Roche Lobe Overflow",POWER(Upgrades!$U$13,E225),1)*IF(Upgrades!$T$14="Roche Lobe Overflow",POWER(Upgrades!$U$14,F225),1)*IF(Upgrades!$T$15="Roche Lobe Overflow",POWER(Upgrades!$U$15,G225),1)*IF(Upgrades!$T$17="Roche Lobe Overflow",POWER(Upgrades!$U$17,I225),1)*IF(Upgrades!$T$18="Roche Lobe Overflow",POWER(Upgrades!$U$18,J225),1)*IF(Upgrades!$T$19="Roche Lobe Overflow",POWER(Upgrades!$U$19,K225),1)*IF(Upgrades!$T$20="Roche Lobe Overflow",POWER(Upgrades!$U$20,L225),1)*IF(Upgrades!$T$21="Roche Lobe Overflow",POWER(Upgrades!$U$21,M225),1))*$H$6*O225+((IF(F225=0,0,(Upgrades!$G$14+F225*Upgrades!$H$14)*POWER(Upgrades!$I$14,F225)))*(IF(Upgrades!$T$13="Local Bubble",POWER(Upgrades!$U$13,E225),1)*IF(Upgrades!$T$15="Local Bubble",POWER(Upgrades!$U$15,G225),1)*IF(Upgrades!$T$16="Local Bubble",POWER(Upgrades!$U$16,H225),1)*IF(Upgrades!$T$17="Local Bubble",POWER(Upgrades!$U$17,I225),1)*IF(Upgrades!$T$18="Local Bubble",POWER(Upgrades!$U$18,J225),1)*IF(Upgrades!$T$19="Local Bubble",POWER(Upgrades!$U$19,K225),1)*IF(Upgrades!$T$20="Local Bubble",POWER(Upgrades!$U$20,L225),1)*IF(Upgrades!$T$21="Local Bubble",POWER(Upgrades!$U$21,M225),1))*POWER(Upgrades!$P$13,E225)*POWER(Upgrades!$P$14,F225)*POWER(Upgrades!$P$15,G225)*POWER(Upgrades!$P$16,H225)*POWER(Upgrades!$P$17,I225)*POWER(Upgrades!$P$18,J225)*POWER(Upgrades!$P$19,K225)*POWER(Upgrades!$P$20,L225)*POWER(Upgrades!$P$21,M225)*$F$6)*0.05)/AN225,0)</f>
        <v/>
      </c>
      <c r="BC225" s="32">
        <f>IFERROR((Upgrades!$H$17*(POWER(Upgrades!$P$13,E225)*POWER(Upgrades!$P$14,F225)*POWER(Upgrades!$P$15,G225)*POWER(Upgrades!$P$16,H225)*POWER(Upgrades!$P$17,I225)*POWER(Upgrades!$P$18,J225)*POWER(Upgrades!$P$19,K225)*POWER(Upgrades!$P$20,L225)*POWER(Upgrades!$P$21,M225))*(IF(Upgrades!$T$13="Brown Dwarf",POWER(Upgrades!$U$13,E225),1)*IF(Upgrades!$T$14="Brown Dwarf",POWER(Upgrades!$U$14,F225),1)*IF(Upgrades!$T$15="Brown Dwarf",POWER(Upgrades!$U$15,G225),1)*IF(Upgrades!$T$16="Brown Dwarf",POWER(Upgrades!$U$16,H225),1)*IF(Upgrades!$T$18="Brown Dwarf",POWER(Upgrades!$U$18,J225),1)*IF(Upgrades!$T$19="Brown Dwarf",POWER(Upgrades!$U$19,K225),1)*IF(Upgrades!$T$20="Brown Dwarf",POWER(Upgrades!$U$20,L225),1)*IF(Upgrades!$T$21="Brown Dwarf",POWER(Upgrades!$U$21,M225),1))*$F$6+(((IF(H225=0,0,(Upgrades!$M$16+H225*Upgrades!$N$16)*POWER(Upgrades!$O$16,H225)))*(IF(Upgrades!$T$13="Roche Lobe Overflow",POWER(Upgrades!$U$13,E225),1)*IF(Upgrades!$T$14="Roche Lobe Overflow",POWER(Upgrades!$U$14,F225),1)*IF(Upgrades!$T$15="Roche Lobe Overflow",POWER(Upgrades!$U$15,G225),1)*IF(Upgrades!$T$17="Roche Lobe Overflow",POWER(Upgrades!$U$17,I225),1)*IF(Upgrades!$T$18="Roche Lobe Overflow",POWER(Upgrades!$U$18,J225),1)*IF(Upgrades!$T$19="Roche Lobe Overflow",POWER(Upgrades!$U$19,K225),1)*IF(Upgrades!$T$20="Roche Lobe Overflow",POWER(Upgrades!$U$20,L225),1)*IF(Upgrades!$T$21="Roche Lobe Overflow",POWER(Upgrades!$U$21,M225),1))*POWER(Upgrades!$R$13,E225)*POWER(Upgrades!$R$14,F225)*POWER(Upgrades!$R$15,G225)*POWER(Upgrades!$R$16,H225)*POWER(Upgrades!$R$17,I225)*POWER(Upgrades!$R$18,J225)*POWER(Upgrades!$R$19,K225)*POWER(Upgrades!$R$20,L225)*POWER(Upgrades!$R$21,M225)*$H$6)*O225)*0.10)/AO225,0)</f>
        <v/>
      </c>
      <c r="BD225" s="32">
        <f>MAX(IF(J225&gt;0,0,IFERROR(0.5*((IF(G225=0,0,(Upgrades!$J$15+G225*Upgrades!$K$15)*POWER(Upgrades!$L$15,G225)))*(IF(Upgrades!$T$13="Microlensing",POWER(Upgrades!$U$13,E225),1)*IF(Upgrades!$T$14="Microlensing",POWER(Upgrades!$U$14,F225),1)*IF(Upgrades!$T$16="Microlensing",POWER(Upgrades!$U$16,H225),1)*IF(Upgrades!$T$17="Microlensing",POWER(Upgrades!$U$17,I225),1)*IF(Upgrades!$T$18="Microlensing",POWER(Upgrades!$U$18,J225),1)*IF(Upgrades!$T$19="Microlensing",POWER(Upgrades!$U$19,K225),1)*IF(Upgrades!$T$20="Microlensing",POWER(Upgrades!$U$20,L225),1)*IF(Upgrades!$T$21="Microlensing",POWER(Upgrades!$U$21,M225),1))*(POWER(Upgrades!$Q$13,E225)*POWER(Upgrades!$Q$14,F225)*POWER(Upgrades!$Q$15,G225)*POWER(Upgrades!$Q$16,H225)*POWER(Upgrades!$Q$17,I225)*POWER(Upgrades!$Q$18,J225)*POWER(Upgrades!$Q$19,K225)*POWER(Upgrades!$Q$20,L225)*POWER(Upgrades!$Q$21,M225))*$G$6*(Parameters!$B$10/60*Parameters!$B$11+Q225))/Upgrades!$C$18,0)),IF(K225&gt;0,0,IFERROR(0.30*P225/Upgrades!$C$19,0)),IF(L225&gt;0,0,IFERROR(0.0001/Upgrades!$C$20,0)),IF(M225&gt;0,0,IFERROR((6.0*(POWER(Upgrades!$P$13,E225)*POWER(Upgrades!$P$14,F225)*POWER(Upgrades!$P$15,G225)*POWER(Upgrades!$P$16,H225)*POWER(Upgrades!$P$17,I225)*POWER(Upgrades!$P$18,J225)*POWER(Upgrades!$P$19,K225)*POWER(Upgrades!$P$20,L225)*POWER(Upgrades!$P$21,M225))*$F$6+0.20*O225*(Parameters!$B$10/60*Parameters!$B$11+Q225))/Upgrades!$C$21,0)),IF(AND(ISNUMBER(AK225),AK225&gt;(C225+T225)),AY225,0),IF(AND(ISNUMBER(AL225),AL225&gt;(C225+T225)),AZ225,0),IF(AND(ISNUMBER(AM225),AM225&gt;(C225+T225)),BA225,0),IF(AND(ISNUMBER(AN225),AN225&gt;(C225+T225)),BB225,0),IF(AND(ISNUMBER(AO225),AO225&gt;(C225+T225)),BC225,0))</f>
        <v/>
      </c>
      <c r="BE225" s="29">
        <f>IF(AT225=1,"transition",IF(MIN(IF(AND(J225=0,ISNUMBER(AP225),AP225&lt;=(C225+T225)),AP225,9E15),IF(AND(K225=0,ISNUMBER(AQ225),AQ225&lt;=(C225+T225)),AQ225,9E15),IF(AND(L225=0,ISNUMBER(AR225),AR225&lt;=(C225+T225)),AR225,9E15),IF(AND(M225=0,ISNUMBER(AS225),AS225&lt;=(C225+T225)),AS225,9E15))&lt;9E15,IF(AND(AND(J225=0,ISNUMBER(AP225),AP225&lt;=(C225+T225)),AP225=MIN(IF(AND(J225=0,ISNUMBER(AP225),AP225&lt;=(C225+T225)),AP225,9E15),IF(AND(K225=0,ISNUMBER(AQ225),AQ225&lt;=(C225+T225)),AQ225,9E15),IF(AND(L225=0,ISNUMBER(AR225),AR225&lt;=(C225+T225)),AR225,9E15),IF(AND(M225=0,ISNUMBER(AS225),AS225&lt;=(C225+T225)),AS225,9E15))),"BiP",IF(AND(AND(K225=0,ISNUMBER(AQ225),AQ225&lt;=(C225+T225)),AQ225=MIN(IF(AND(J225=0,ISNUMBER(AP225),AP225&lt;=(C225+T225)),AP225,9E15),IF(AND(K225=0,ISNUMBER(AQ225),AQ225&lt;=(C225+T225)),AQ225,9E15),IF(AND(L225=0,ISNUMBER(AR225),AR225&lt;=(C225+T225)),AR225,9E15),IF(AND(M225=0,ISNUMBER(AS225),AS225&lt;=(C225+T225)),AS225,9E15))),"PV",IF(AND(AND(L225=0,ISNUMBER(AR225),AR225&lt;=(C225+T225)),AR225=MIN(IF(AND(J225=0,ISNUMBER(AP225),AP225&lt;=(C225+T225)),AP225,9E15),IF(AND(K225=0,ISNUMBER(AQ225),AQ225&lt;=(C225+T225)),AQ225,9E15),IF(AND(L225=0,ISNUMBER(AR225),AR225&lt;=(C225+T225)),AR225,9E15),IF(AND(M225=0,ISNUMBER(AS225),AS225&lt;=(C225+T225)),AS225,9E15))),"OC","MG"))),IF(AX225=TRUE,"",IF(MAX(IF(AND(NOT(AND(AU225=1,AT225&lt;&gt;1)),ISNUMBER(AK225),AK225&lt;=(C225+T225)),AY225,0),IF(AND(NOT(AND(AU225=1,AT225&lt;&gt;1)),ISNUMBER(AL225),AL225&lt;=(C225+T225)),AZ225,0),IF(AND(NOT(AND(AU225=1,AT225&lt;&gt;1)),ISNUMBER(AM225),AM225&lt;=(C225+T225)),BA225,0),IF(AND(NOT(AND(AU225=1,AT225&lt;&gt;1)),ISNUMBER(AN225),AN225&lt;=(C225+T225)),BB225,0),IF(AND(ISNUMBER(AO225),AO225&lt;=(C225+T225)),BC225,0))&lt;=0,"",IF(AND(IF(AND(NOT(AND(AU225=1,AT225&lt;&gt;1)),ISNUMBER(AK225),AK225&lt;=(C225+T225)),AY225,0)&gt;0,IF(AND(NOT(AND(AU225=1,AT225&lt;&gt;1)),ISNUMBER(AK225),AK225&lt;=(C225+T225)),AY225,0)=MAX(IF(AND(NOT(AND(AU225=1,AT225&lt;&gt;1)),ISNUMBER(AK225),AK225&lt;=(C225+T225)),AY225,0),IF(AND(NOT(AND(AU225=1,AT225&lt;&gt;1)),ISNUMBER(AL225),AL225&lt;=(C225+T225)),AZ225,0),IF(AND(NOT(AND(AU225=1,AT225&lt;&gt;1)),ISNUMBER(AM225),AM225&lt;=(C225+T225)),BA225,0),IF(AND(NOT(AND(AU225=1,AT225&lt;&gt;1)),ISNUMBER(AN225),AN225&lt;=(C225+T225)),BB225,0),IF(AND(ISNUMBER(AO225),AO225&lt;=(C225+T225)),BC225,0))),"SK",IF(AND(IF(AND(NOT(AND(AU225=1,AT225&lt;&gt;1)),ISNUMBER(AL225),AL225&lt;=(C225+T225)),AZ225,0)&gt;0,IF(AND(NOT(AND(AU225=1,AT225&lt;&gt;1)),ISNUMBER(AL225),AL225&lt;=(C225+T225)),AZ225,0)=MAX(IF(AND(NOT(AND(AU225=1,AT225&lt;&gt;1)),ISNUMBER(AK225),AK225&lt;=(C225+T225)),AY225,0),IF(AND(NOT(AND(AU225=1,AT225&lt;&gt;1)),ISNUMBER(AL225),AL225&lt;=(C225+T225)),AZ225,0),IF(AND(NOT(AND(AU225=1,AT225&lt;&gt;1)),ISNUMBER(AM225),AM225&lt;=(C225+T225)),BA225,0),IF(AND(NOT(AND(AU225=1,AT225&lt;&gt;1)),ISNUMBER(AN225),AN225&lt;=(C225+T225)),BB225,0),IF(AND(ISNUMBER(AO225),AO225&lt;=(C225+T225)),BC225,0))),"LB",IF(AND(IF(AND(NOT(AND(AU225=1,AT225&lt;&gt;1)),ISNUMBER(AM225),AM225&lt;=(C225+T225)),BA225,0)&gt;0,IF(AND(NOT(AND(AU225=1,AT225&lt;&gt;1)),ISNUMBER(AM225),AM225&lt;=(C225+T225)),BA225,0)=MAX(IF(AND(NOT(AND(AU225=1,AT225&lt;&gt;1)),ISNUMBER(AK225),AK225&lt;=(C225+T225)),AY225,0),IF(AND(NOT(AND(AU225=1,AT225&lt;&gt;1)),ISNUMBER(AL225),AL225&lt;=(C225+T225)),AZ225,0),IF(AND(NOT(AND(AU225=1,AT225&lt;&gt;1)),ISNUMBER(AM225),AM225&lt;=(C225+T225)),BA225,0),IF(AND(NOT(AND(AU225=1,AT225&lt;&gt;1)),ISNUMBER(AN225),AN225&lt;=(C225+T225)),BB225,0),IF(AND(ISNUMBER(AO225),AO225&lt;=(C225+T225)),BC225,0))),"ML",IF(AND(IF(AND(NOT(AND(AU225=1,AT225&lt;&gt;1)),ISNUMBER(AN225),AN225&lt;=(C225+T225)),BB225,0)&gt;0,IF(AND(NOT(AND(AU225=1,AT225&lt;&gt;1)),ISNUMBER(AN225),AN225&lt;=(C225+T225)),BB225,0)=MAX(IF(AND(NOT(AND(AU225=1,AT225&lt;&gt;1)),ISNUMBER(AK225),AK225&lt;=(C225+T225)),AY225,0),IF(AND(NOT(AND(AU225=1,AT225&lt;&gt;1)),ISNUMBER(AL225),AL225&lt;=(C225+T225)),AZ225,0),IF(AND(NOT(AND(AU225=1,AT225&lt;&gt;1)),ISNUMBER(AM225),AM225&lt;=(C225+T225)),BA225,0),IF(AND(NOT(AND(AU225=1,AT225&lt;&gt;1)),ISNUMBER(AN225),AN225&lt;=(C225+T225)),BB225,0),IF(AND(ISNUMBER(AO225),AO225&lt;=(C225+T225)),BC225,0))),"RLO","BD"))))))))</f>
        <v/>
      </c>
    </row>
    <row r="226">
      <c r="A226" s="26" t="n">
        <v>215</v>
      </c>
      <c r="B226" s="27">
        <f>A226*10/60</f>
        <v/>
      </c>
      <c r="C226" s="22">
        <f>X225</f>
        <v/>
      </c>
      <c r="D226" s="27">
        <f>D225+W225</f>
        <v/>
      </c>
      <c r="E226" s="26">
        <f>E225+IF(U225="SK",1,0)</f>
        <v/>
      </c>
      <c r="F226" s="26">
        <f>F225+IF(U225="LB",1,0)</f>
        <v/>
      </c>
      <c r="G226" s="26">
        <f>G225+IF(U225="ML",1,0)</f>
        <v/>
      </c>
      <c r="H226" s="26">
        <f>H225+IF(U225="RLO",1,0)</f>
        <v/>
      </c>
      <c r="I226" s="26">
        <f>I225+IF(U225="BD",1,0)</f>
        <v/>
      </c>
      <c r="J226" s="26">
        <f>MAX(J225,IF(U225="BiP",1,0))</f>
        <v/>
      </c>
      <c r="K226" s="26">
        <f>MAX(K225,IF(U225="PV",1,0))</f>
        <v/>
      </c>
      <c r="L226" s="26">
        <f>MAX(L225,IF(U225="OC",1,0))</f>
        <v/>
      </c>
      <c r="M226" s="26">
        <f>MAX(M225,IF(U225="MG",1,0))</f>
        <v/>
      </c>
      <c r="N226" s="26">
        <f>MAX(N225,IF(U225="transition",1,0))</f>
        <v/>
      </c>
      <c r="O226" s="28">
        <f>(Parameters!$B$9+(IF(E226=0,0,(Upgrades!$J$13+E226*Upgrades!$K$13)*POWER(Upgrades!$L$13,E226)))*(IF(Upgrades!$T$14="Stellar Kinematics",POWER(Upgrades!$U$14,F226),1)*IF(Upgrades!$T$15="Stellar Kinematics",POWER(Upgrades!$U$15,G226),1)*IF(Upgrades!$T$16="Stellar Kinematics",POWER(Upgrades!$U$16,H226),1)*IF(Upgrades!$T$17="Stellar Kinematics",POWER(Upgrades!$U$17,I226),1)*IF(Upgrades!$T$18="Stellar Kinematics",POWER(Upgrades!$U$18,J226),1)*IF(Upgrades!$T$19="Stellar Kinematics",POWER(Upgrades!$U$19,K226),1)*IF(Upgrades!$T$20="Stellar Kinematics",POWER(Upgrades!$U$20,L226),1)*IF(Upgrades!$T$21="Stellar Kinematics",POWER(Upgrades!$U$21,M226),1))+(IF(F226=0,0,(Upgrades!$J$14+F226*Upgrades!$K$14)*POWER(Upgrades!$L$14,F226)))*(IF(Upgrades!$T$13="Local Bubble",POWER(Upgrades!$U$13,E226),1)*IF(Upgrades!$T$15="Local Bubble",POWER(Upgrades!$U$15,G226),1)*IF(Upgrades!$T$16="Local Bubble",POWER(Upgrades!$U$16,H226),1)*IF(Upgrades!$T$17="Local Bubble",POWER(Upgrades!$U$17,I226),1)*IF(Upgrades!$T$18="Local Bubble",POWER(Upgrades!$U$18,J226),1)*IF(Upgrades!$T$19="Local Bubble",POWER(Upgrades!$U$19,K226),1)*IF(Upgrades!$T$20="Local Bubble",POWER(Upgrades!$U$20,L226),1)*IF(Upgrades!$T$21="Local Bubble",POWER(Upgrades!$U$21,M226),1))+(IF(G226=0,0,(Upgrades!$J$15+G226*Upgrades!$K$15)*POWER(Upgrades!$L$15,G226)))*(IF(Upgrades!$T$13="Microlensing",POWER(Upgrades!$U$13,E226),1)*IF(Upgrades!$T$14="Microlensing",POWER(Upgrades!$U$14,F226),1)*IF(Upgrades!$T$16="Microlensing",POWER(Upgrades!$U$16,H226),1)*IF(Upgrades!$T$17="Microlensing",POWER(Upgrades!$U$17,I226),1)*IF(Upgrades!$T$18="Microlensing",POWER(Upgrades!$U$18,J226),1)*IF(Upgrades!$T$19="Microlensing",POWER(Upgrades!$U$19,K226),1)*IF(Upgrades!$T$20="Microlensing",POWER(Upgrades!$U$20,L226),1)*IF(Upgrades!$T$21="Microlensing",POWER(Upgrades!$U$21,M226),1))+(IF(H226=0,0,(Upgrades!$J$16+H226*Upgrades!$K$16)*POWER(Upgrades!$L$16,H226)))*(IF(Upgrades!$T$13="Roche Lobe Overflow",POWER(Upgrades!$U$13,E226),1)*IF(Upgrades!$T$14="Roche Lobe Overflow",POWER(Upgrades!$U$14,F226),1)*IF(Upgrades!$T$15="Roche Lobe Overflow",POWER(Upgrades!$U$15,G226),1)*IF(Upgrades!$T$17="Roche Lobe Overflow",POWER(Upgrades!$U$17,I226),1)*IF(Upgrades!$T$18="Roche Lobe Overflow",POWER(Upgrades!$U$18,J226),1)*IF(Upgrades!$T$19="Roche Lobe Overflow",POWER(Upgrades!$U$19,K226),1)*IF(Upgrades!$T$20="Roche Lobe Overflow",POWER(Upgrades!$U$20,L226),1)*IF(Upgrades!$T$21="Roche Lobe Overflow",POWER(Upgrades!$U$21,M226),1))+(IF(I226=0,0,(Upgrades!$J$17+I226*Upgrades!$K$17)*POWER(Upgrades!$L$17,I226)))*(IF(Upgrades!$T$13="Brown Dwarf",POWER(Upgrades!$U$13,E226),1)*IF(Upgrades!$T$14="Brown Dwarf",POWER(Upgrades!$U$14,F226),1)*IF(Upgrades!$T$15="Brown Dwarf",POWER(Upgrades!$U$15,G226),1)*IF(Upgrades!$T$16="Brown Dwarf",POWER(Upgrades!$U$16,H226),1)*IF(Upgrades!$T$18="Brown Dwarf",POWER(Upgrades!$U$18,J226),1)*IF(Upgrades!$T$19="Brown Dwarf",POWER(Upgrades!$U$19,K226),1)*IF(Upgrades!$T$20="Brown Dwarf",POWER(Upgrades!$U$20,L226),1)*IF(Upgrades!$T$21="Brown Dwarf",POWER(Upgrades!$U$21,M226),1))+(IF(J226=0,0,(Upgrades!$J$18+J226*Upgrades!$K$18)*POWER(Upgrades!$L$18,J226)))*(IF(Upgrades!$T$13="Binary Partner",POWER(Upgrades!$U$13,E226),1)*IF(Upgrades!$T$14="Binary Partner",POWER(Upgrades!$U$14,F226),1)*IF(Upgrades!$T$15="Binary Partner",POWER(Upgrades!$U$15,G226),1)*IF(Upgrades!$T$16="Binary Partner",POWER(Upgrades!$U$16,H226),1)*IF(Upgrades!$T$17="Binary Partner",POWER(Upgrades!$U$17,I226),1)*IF(Upgrades!$T$19="Binary Partner",POWER(Upgrades!$U$19,K226),1)*IF(Upgrades!$T$20="Binary Partner",POWER(Upgrades!$U$20,L226),1)*IF(Upgrades!$T$21="Binary Partner",POWER(Upgrades!$U$21,M226),1))+(IF(K226=0,0,(Upgrades!$J$19+K226*Upgrades!$K$19)*POWER(Upgrades!$L$19,K226)))*(IF(Upgrades!$T$13="Peculiar Velocity",POWER(Upgrades!$U$13,E226),1)*IF(Upgrades!$T$14="Peculiar Velocity",POWER(Upgrades!$U$14,F226),1)*IF(Upgrades!$T$15="Peculiar Velocity",POWER(Upgrades!$U$15,G226),1)*IF(Upgrades!$T$16="Peculiar Velocity",POWER(Upgrades!$U$16,H226),1)*IF(Upgrades!$T$17="Peculiar Velocity",POWER(Upgrades!$U$17,I226),1)*IF(Upgrades!$T$18="Peculiar Velocity",POWER(Upgrades!$U$18,J226),1)*IF(Upgrades!$T$20="Peculiar Velocity",POWER(Upgrades!$U$20,L226),1)*IF(Upgrades!$T$21="Peculiar Velocity",POWER(Upgrades!$U$21,M226),1))+(IF(L226=0,0,(Upgrades!$J$20+L226*Upgrades!$K$20)*POWER(Upgrades!$L$20,L226)))*(IF(Upgrades!$T$13="Open Cluster",POWER(Upgrades!$U$13,E226),1)*IF(Upgrades!$T$14="Open Cluster",POWER(Upgrades!$U$14,F226),1)*IF(Upgrades!$T$15="Open Cluster",POWER(Upgrades!$U$15,G226),1)*IF(Upgrades!$T$16="Open Cluster",POWER(Upgrades!$U$16,H226),1)*IF(Upgrades!$T$17="Open Cluster",POWER(Upgrades!$U$17,I226),1)*IF(Upgrades!$T$18="Open Cluster",POWER(Upgrades!$U$18,J226),1)*IF(Upgrades!$T$19="Open Cluster",POWER(Upgrades!$U$19,K226),1)*IF(Upgrades!$T$21="Open Cluster",POWER(Upgrades!$U$21,M226),1))+(IF(M226=0,0,(Upgrades!$J$21+M226*Upgrades!$K$21)*POWER(Upgrades!$L$21,M226)))*(IF(Upgrades!$T$13="Moving Group",POWER(Upgrades!$U$13,E226),1)*IF(Upgrades!$T$14="Moving Group",POWER(Upgrades!$U$14,F226),1)*IF(Upgrades!$T$15="Moving Group",POWER(Upgrades!$U$15,G226),1)*IF(Upgrades!$T$16="Moving Group",POWER(Upgrades!$U$16,H226),1)*IF(Upgrades!$T$17="Moving Group",POWER(Upgrades!$U$17,I226),1)*IF(Upgrades!$T$18="Moving Group",POWER(Upgrades!$U$18,J226),1)*IF(Upgrades!$T$19="Moving Group",POWER(Upgrades!$U$19,K226),1)*IF(Upgrades!$T$20="Moving Group",POWER(Upgrades!$U$20,L226),1)))*POWER(Upgrades!$Q$13,E226)*POWER(Upgrades!$Q$14,F226)*POWER(Upgrades!$Q$15,G226)*POWER(Upgrades!$Q$16,H226)*POWER(Upgrades!$Q$17,I226)*POWER(Upgrades!$Q$18,J226)*POWER(Upgrades!$Q$19,K226)*POWER(Upgrades!$Q$20,L226)*POWER(Upgrades!$Q$21,M226)*$G$6+$D$6</f>
        <v/>
      </c>
      <c r="P226" s="28">
        <f>((IF(E226=0,0,(Upgrades!$G$13+E226*Upgrades!$H$13)*POWER(Upgrades!$I$13,E226)))*(IF(Upgrades!$T$14="Stellar Kinematics",POWER(Upgrades!$U$14,F226),1)*IF(Upgrades!$T$15="Stellar Kinematics",POWER(Upgrades!$U$15,G226),1)*IF(Upgrades!$T$16="Stellar Kinematics",POWER(Upgrades!$U$16,H226),1)*IF(Upgrades!$T$17="Stellar Kinematics",POWER(Upgrades!$U$17,I226),1)*IF(Upgrades!$T$18="Stellar Kinematics",POWER(Upgrades!$U$18,J226),1)*IF(Upgrades!$T$19="Stellar Kinematics",POWER(Upgrades!$U$19,K226),1)*IF(Upgrades!$T$20="Stellar Kinematics",POWER(Upgrades!$U$20,L226),1)*IF(Upgrades!$T$21="Stellar Kinematics",POWER(Upgrades!$U$21,M226),1))+(IF(F226=0,0,(Upgrades!$G$14+F226*Upgrades!$H$14)*POWER(Upgrades!$I$14,F226)))*(IF(Upgrades!$T$13="Local Bubble",POWER(Upgrades!$U$13,E226),1)*IF(Upgrades!$T$15="Local Bubble",POWER(Upgrades!$U$15,G226),1)*IF(Upgrades!$T$16="Local Bubble",POWER(Upgrades!$U$16,H226),1)*IF(Upgrades!$T$17="Local Bubble",POWER(Upgrades!$U$17,I226),1)*IF(Upgrades!$T$18="Local Bubble",POWER(Upgrades!$U$18,J226),1)*IF(Upgrades!$T$19="Local Bubble",POWER(Upgrades!$U$19,K226),1)*IF(Upgrades!$T$20="Local Bubble",POWER(Upgrades!$U$20,L226),1)*IF(Upgrades!$T$21="Local Bubble",POWER(Upgrades!$U$21,M226),1))+(IF(G226=0,0,(Upgrades!$G$15+G226*Upgrades!$H$15)*POWER(Upgrades!$I$15,G226)))*(IF(Upgrades!$T$13="Microlensing",POWER(Upgrades!$U$13,E226),1)*IF(Upgrades!$T$14="Microlensing",POWER(Upgrades!$U$14,F226),1)*IF(Upgrades!$T$16="Microlensing",POWER(Upgrades!$U$16,H226),1)*IF(Upgrades!$T$17="Microlensing",POWER(Upgrades!$U$17,I226),1)*IF(Upgrades!$T$18="Microlensing",POWER(Upgrades!$U$18,J226),1)*IF(Upgrades!$T$19="Microlensing",POWER(Upgrades!$U$19,K226),1)*IF(Upgrades!$T$20="Microlensing",POWER(Upgrades!$U$20,L226),1)*IF(Upgrades!$T$21="Microlensing",POWER(Upgrades!$U$21,M226),1))+(IF(H226=0,0,(Upgrades!$G$16+H226*Upgrades!$H$16)*POWER(Upgrades!$I$16,H226)))*(IF(Upgrades!$T$13="Roche Lobe Overflow",POWER(Upgrades!$U$13,E226),1)*IF(Upgrades!$T$14="Roche Lobe Overflow",POWER(Upgrades!$U$14,F226),1)*IF(Upgrades!$T$15="Roche Lobe Overflow",POWER(Upgrades!$U$15,G226),1)*IF(Upgrades!$T$17="Roche Lobe Overflow",POWER(Upgrades!$U$17,I226),1)*IF(Upgrades!$T$18="Roche Lobe Overflow",POWER(Upgrades!$U$18,J226),1)*IF(Upgrades!$T$19="Roche Lobe Overflow",POWER(Upgrades!$U$19,K226),1)*IF(Upgrades!$T$20="Roche Lobe Overflow",POWER(Upgrades!$U$20,L226),1)*IF(Upgrades!$T$21="Roche Lobe Overflow",POWER(Upgrades!$U$21,M226),1))+(IF(I226=0,0,(Upgrades!$G$17+I226*Upgrades!$H$17)*POWER(Upgrades!$I$17,I226)))*(IF(Upgrades!$T$13="Brown Dwarf",POWER(Upgrades!$U$13,E226),1)*IF(Upgrades!$T$14="Brown Dwarf",POWER(Upgrades!$U$14,F226),1)*IF(Upgrades!$T$15="Brown Dwarf",POWER(Upgrades!$U$15,G226),1)*IF(Upgrades!$T$16="Brown Dwarf",POWER(Upgrades!$U$16,H226),1)*IF(Upgrades!$T$18="Brown Dwarf",POWER(Upgrades!$U$18,J226),1)*IF(Upgrades!$T$19="Brown Dwarf",POWER(Upgrades!$U$19,K226),1)*IF(Upgrades!$T$20="Brown Dwarf",POWER(Upgrades!$U$20,L226),1)*IF(Upgrades!$T$21="Brown Dwarf",POWER(Upgrades!$U$21,M226),1))+(IF(J226=0,0,(Upgrades!$G$18+J226*Upgrades!$H$18)*POWER(Upgrades!$I$18,J226)))*(IF(Upgrades!$T$13="Binary Partner",POWER(Upgrades!$U$13,E226),1)*IF(Upgrades!$T$14="Binary Partner",POWER(Upgrades!$U$14,F226),1)*IF(Upgrades!$T$15="Binary Partner",POWER(Upgrades!$U$15,G226),1)*IF(Upgrades!$T$16="Binary Partner",POWER(Upgrades!$U$16,H226),1)*IF(Upgrades!$T$17="Binary Partner",POWER(Upgrades!$U$17,I226),1)*IF(Upgrades!$T$19="Binary Partner",POWER(Upgrades!$U$19,K226),1)*IF(Upgrades!$T$20="Binary Partner",POWER(Upgrades!$U$20,L226),1)*IF(Upgrades!$T$21="Binary Partner",POWER(Upgrades!$U$21,M226),1))+(IF(K226=0,0,(Upgrades!$G$19+K226*Upgrades!$H$19)*POWER(Upgrades!$I$19,K226)))*(IF(Upgrades!$T$13="Peculiar Velocity",POWER(Upgrades!$U$13,E226),1)*IF(Upgrades!$T$14="Peculiar Velocity",POWER(Upgrades!$U$14,F226),1)*IF(Upgrades!$T$15="Peculiar Velocity",POWER(Upgrades!$U$15,G226),1)*IF(Upgrades!$T$16="Peculiar Velocity",POWER(Upgrades!$U$16,H226),1)*IF(Upgrades!$T$17="Peculiar Velocity",POWER(Upgrades!$U$17,I226),1)*IF(Upgrades!$T$18="Peculiar Velocity",POWER(Upgrades!$U$18,J226),1)*IF(Upgrades!$T$20="Peculiar Velocity",POWER(Upgrades!$U$20,L226),1)*IF(Upgrades!$T$21="Peculiar Velocity",POWER(Upgrades!$U$21,M226),1))+(IF(L226=0,0,(Upgrades!$G$20+L226*Upgrades!$H$20)*POWER(Upgrades!$I$20,L226)))*(IF(Upgrades!$T$13="Open Cluster",POWER(Upgrades!$U$13,E226),1)*IF(Upgrades!$T$14="Open Cluster",POWER(Upgrades!$U$14,F226),1)*IF(Upgrades!$T$15="Open Cluster",POWER(Upgrades!$U$15,G226),1)*IF(Upgrades!$T$16="Open Cluster",POWER(Upgrades!$U$16,H226),1)*IF(Upgrades!$T$17="Open Cluster",POWER(Upgrades!$U$17,I226),1)*IF(Upgrades!$T$18="Open Cluster",POWER(Upgrades!$U$18,J226),1)*IF(Upgrades!$T$19="Open Cluster",POWER(Upgrades!$U$19,K226),1)*IF(Upgrades!$T$21="Open Cluster",POWER(Upgrades!$U$21,M226),1))+(IF(M226=0,0,(Upgrades!$G$21+M226*Upgrades!$H$21)*POWER(Upgrades!$I$21,M226)))*(IF(Upgrades!$T$13="Moving Group",POWER(Upgrades!$U$13,E226),1)*IF(Upgrades!$T$14="Moving Group",POWER(Upgrades!$U$14,F226),1)*IF(Upgrades!$T$15="Moving Group",POWER(Upgrades!$U$15,G226),1)*IF(Upgrades!$T$16="Moving Group",POWER(Upgrades!$U$16,H226),1)*IF(Upgrades!$T$17="Moving Group",POWER(Upgrades!$U$17,I226),1)*IF(Upgrades!$T$18="Moving Group",POWER(Upgrades!$U$18,J226),1)*IF(Upgrades!$T$19="Moving Group",POWER(Upgrades!$U$19,K226),1)*IF(Upgrades!$T$20="Moving Group",POWER(Upgrades!$U$20,L226),1)))*POWER(Upgrades!$P$13,E226)*POWER(Upgrades!$P$14,F226)*POWER(Upgrades!$P$15,G226)*POWER(Upgrades!$P$16,H226)*POWER(Upgrades!$P$17,I226)*POWER(Upgrades!$P$18,J226)*POWER(Upgrades!$P$19,K226)*POWER(Upgrades!$P$20,L226)*POWER(Upgrades!$P$21,M226)*$F$6+$C$6</f>
        <v/>
      </c>
      <c r="Q226" s="28">
        <f>((IF(E226=0,0,(Upgrades!$M$13+E226*Upgrades!$N$13)*POWER(Upgrades!$O$13,E226)))*(IF(Upgrades!$T$14="Stellar Kinematics",POWER(Upgrades!$U$14,F226),1)*IF(Upgrades!$T$15="Stellar Kinematics",POWER(Upgrades!$U$15,G226),1)*IF(Upgrades!$T$16="Stellar Kinematics",POWER(Upgrades!$U$16,H226),1)*IF(Upgrades!$T$17="Stellar Kinematics",POWER(Upgrades!$U$17,I226),1)*IF(Upgrades!$T$18="Stellar Kinematics",POWER(Upgrades!$U$18,J226),1)*IF(Upgrades!$T$19="Stellar Kinematics",POWER(Upgrades!$U$19,K226),1)*IF(Upgrades!$T$20="Stellar Kinematics",POWER(Upgrades!$U$20,L226),1)*IF(Upgrades!$T$21="Stellar Kinematics",POWER(Upgrades!$U$21,M226),1))+(IF(F226=0,0,(Upgrades!$M$14+F226*Upgrades!$N$14)*POWER(Upgrades!$O$14,F226)))*(IF(Upgrades!$T$13="Local Bubble",POWER(Upgrades!$U$13,E226),1)*IF(Upgrades!$T$15="Local Bubble",POWER(Upgrades!$U$15,G226),1)*IF(Upgrades!$T$16="Local Bubble",POWER(Upgrades!$U$16,H226),1)*IF(Upgrades!$T$17="Local Bubble",POWER(Upgrades!$U$17,I226),1)*IF(Upgrades!$T$18="Local Bubble",POWER(Upgrades!$U$18,J226),1)*IF(Upgrades!$T$19="Local Bubble",POWER(Upgrades!$U$19,K226),1)*IF(Upgrades!$T$20="Local Bubble",POWER(Upgrades!$U$20,L226),1)*IF(Upgrades!$T$21="Local Bubble",POWER(Upgrades!$U$21,M226),1))+(IF(G226=0,0,(Upgrades!$M$15+G226*Upgrades!$N$15)*POWER(Upgrades!$O$15,G226)))*(IF(Upgrades!$T$13="Microlensing",POWER(Upgrades!$U$13,E226),1)*IF(Upgrades!$T$14="Microlensing",POWER(Upgrades!$U$14,F226),1)*IF(Upgrades!$T$16="Microlensing",POWER(Upgrades!$U$16,H226),1)*IF(Upgrades!$T$17="Microlensing",POWER(Upgrades!$U$17,I226),1)*IF(Upgrades!$T$18="Microlensing",POWER(Upgrades!$U$18,J226),1)*IF(Upgrades!$T$19="Microlensing",POWER(Upgrades!$U$19,K226),1)*IF(Upgrades!$T$20="Microlensing",POWER(Upgrades!$U$20,L226),1)*IF(Upgrades!$T$21="Microlensing",POWER(Upgrades!$U$21,M226),1))+(IF(H226=0,0,(Upgrades!$M$16+H226*Upgrades!$N$16)*POWER(Upgrades!$O$16,H226)))*(IF(Upgrades!$T$13="Roche Lobe Overflow",POWER(Upgrades!$U$13,E226),1)*IF(Upgrades!$T$14="Roche Lobe Overflow",POWER(Upgrades!$U$14,F226),1)*IF(Upgrades!$T$15="Roche Lobe Overflow",POWER(Upgrades!$U$15,G226),1)*IF(Upgrades!$T$17="Roche Lobe Overflow",POWER(Upgrades!$U$17,I226),1)*IF(Upgrades!$T$18="Roche Lobe Overflow",POWER(Upgrades!$U$18,J226),1)*IF(Upgrades!$T$19="Roche Lobe Overflow",POWER(Upgrades!$U$19,K226),1)*IF(Upgrades!$T$20="Roche Lobe Overflow",POWER(Upgrades!$U$20,L226),1)*IF(Upgrades!$T$21="Roche Lobe Overflow",POWER(Upgrades!$U$21,M226),1))+(IF(I226=0,0,(Upgrades!$M$17+I226*Upgrades!$N$17)*POWER(Upgrades!$O$17,I226)))*(IF(Upgrades!$T$13="Brown Dwarf",POWER(Upgrades!$U$13,E226),1)*IF(Upgrades!$T$14="Brown Dwarf",POWER(Upgrades!$U$14,F226),1)*IF(Upgrades!$T$15="Brown Dwarf",POWER(Upgrades!$U$15,G226),1)*IF(Upgrades!$T$16="Brown Dwarf",POWER(Upgrades!$U$16,H226),1)*IF(Upgrades!$T$18="Brown Dwarf",POWER(Upgrades!$U$18,J226),1)*IF(Upgrades!$T$19="Brown Dwarf",POWER(Upgrades!$U$19,K226),1)*IF(Upgrades!$T$20="Brown Dwarf",POWER(Upgrades!$U$20,L226),1)*IF(Upgrades!$T$21="Brown Dwarf",POWER(Upgrades!$U$21,M226),1))+(IF(J226=0,0,(Upgrades!$M$18+J226*Upgrades!$N$18)*POWER(Upgrades!$O$18,J226)))*(IF(Upgrades!$T$13="Binary Partner",POWER(Upgrades!$U$13,E226),1)*IF(Upgrades!$T$14="Binary Partner",POWER(Upgrades!$U$14,F226),1)*IF(Upgrades!$T$15="Binary Partner",POWER(Upgrades!$U$15,G226),1)*IF(Upgrades!$T$16="Binary Partner",POWER(Upgrades!$U$16,H226),1)*IF(Upgrades!$T$17="Binary Partner",POWER(Upgrades!$U$17,I226),1)*IF(Upgrades!$T$19="Binary Partner",POWER(Upgrades!$U$19,K226),1)*IF(Upgrades!$T$20="Binary Partner",POWER(Upgrades!$U$20,L226),1)*IF(Upgrades!$T$21="Binary Partner",POWER(Upgrades!$U$21,M226),1))+(IF(K226=0,0,(Upgrades!$M$19+K226*Upgrades!$N$19)*POWER(Upgrades!$O$19,K226)))*(IF(Upgrades!$T$13="Peculiar Velocity",POWER(Upgrades!$U$13,E226),1)*IF(Upgrades!$T$14="Peculiar Velocity",POWER(Upgrades!$U$14,F226),1)*IF(Upgrades!$T$15="Peculiar Velocity",POWER(Upgrades!$U$15,G226),1)*IF(Upgrades!$T$16="Peculiar Velocity",POWER(Upgrades!$U$16,H226),1)*IF(Upgrades!$T$17="Peculiar Velocity",POWER(Upgrades!$U$17,I226),1)*IF(Upgrades!$T$18="Peculiar Velocity",POWER(Upgrades!$U$18,J226),1)*IF(Upgrades!$T$20="Peculiar Velocity",POWER(Upgrades!$U$20,L226),1)*IF(Upgrades!$T$21="Peculiar Velocity",POWER(Upgrades!$U$21,M226),1))+(IF(L226=0,0,(Upgrades!$M$20+L226*Upgrades!$N$20)*POWER(Upgrades!$O$20,L226)))*(IF(Upgrades!$T$13="Open Cluster",POWER(Upgrades!$U$13,E226),1)*IF(Upgrades!$T$14="Open Cluster",POWER(Upgrades!$U$14,F226),1)*IF(Upgrades!$T$15="Open Cluster",POWER(Upgrades!$U$15,G226),1)*IF(Upgrades!$T$16="Open Cluster",POWER(Upgrades!$U$16,H226),1)*IF(Upgrades!$T$17="Open Cluster",POWER(Upgrades!$U$17,I226),1)*IF(Upgrades!$T$18="Open Cluster",POWER(Upgrades!$U$18,J226),1)*IF(Upgrades!$T$19="Open Cluster",POWER(Upgrades!$U$19,K226),1)*IF(Upgrades!$T$21="Open Cluster",POWER(Upgrades!$U$21,M226),1))+(IF(M226=0,0,(Upgrades!$M$21+M226*Upgrades!$N$21)*POWER(Upgrades!$O$21,M226)))*(IF(Upgrades!$T$13="Moving Group",POWER(Upgrades!$U$13,E226),1)*IF(Upgrades!$T$14="Moving Group",POWER(Upgrades!$U$14,F226),1)*IF(Upgrades!$T$15="Moving Group",POWER(Upgrades!$U$15,G226),1)*IF(Upgrades!$T$16="Moving Group",POWER(Upgrades!$U$16,H226),1)*IF(Upgrades!$T$17="Moving Group",POWER(Upgrades!$U$17,I226),1)*IF(Upgrades!$T$18="Moving Group",POWER(Upgrades!$U$18,J226),1)*IF(Upgrades!$T$19="Moving Group",POWER(Upgrades!$U$19,K226),1)*IF(Upgrades!$T$20="Moving Group",POWER(Upgrades!$U$20,L226),1)))*POWER(Upgrades!$R$13,E226)*POWER(Upgrades!$R$14,F226)*POWER(Upgrades!$R$15,G226)*POWER(Upgrades!$R$16,H226)*POWER(Upgrades!$R$17,I226)*POWER(Upgrades!$R$18,J226)*POWER(Upgrades!$R$19,K226)*POWER(Upgrades!$R$20,L226)*POWER(Upgrades!$R$21,M226)*$H$6+$E$6</f>
        <v/>
      </c>
      <c r="R226" s="27">
        <f>IF(N226=1,0,O226*Parameters!$B$10/60*Parameters!$B$11*10)</f>
        <v/>
      </c>
      <c r="S226" s="27">
        <f>IF(N226=1,0,Q226*O226*10)</f>
        <v/>
      </c>
      <c r="T226" s="27">
        <f>IF(N226=1,0,R226+S226+P226*10)</f>
        <v/>
      </c>
      <c r="U226" s="33">
        <f>BE226</f>
        <v/>
      </c>
      <c r="V226" s="22">
        <f>IF(U226="",0,IF(U226="transition",0,IF(U226="SK",AK226,IF(U226="LB",AL226,IF(U226="ML",AM226,IF(U226="RLO",AN226,IF(U226="BD",AO226,IF(U226="BiP",AP226,IF(U226="PV",AQ226,IF(U226="OC",AR226,IF(U226="MG",AS226,0))))))))))</f>
        <v/>
      </c>
      <c r="W226" s="27">
        <f>IF(U226="BiP",Upgrades!$F$18,IF(U226="PV",Upgrades!$F$19,IF(U226="OC",Upgrades!$F$20,IF(U226="MG",Upgrades!$F$21,IF(U226="transition",-Parameters!$B$18*Parameters!$B$19,0)))))</f>
        <v/>
      </c>
      <c r="X226" s="22">
        <f>C226+T226-V226</f>
        <v/>
      </c>
      <c r="Y226" s="30">
        <f>O226*Parameters!$B$10/60*Parameters!$B$11+Q226*O226+P226</f>
        <v/>
      </c>
      <c r="Z226" s="34">
        <f>IF(U226="transition","→ Tier 3 (Galactic Arm)",IF(U226="MG","Moving Group — pocket drifts together",IF(U226="OC","Open Cluster acquired",IF(U226="PV","Peculiar Velocity — passive multiplier active",IF(U226="BiP","Binary Partner — pair bond formed",IF(AND(AU226=1,N226=0,AT226&lt;&gt;1),"Cohesion ready (waiting on completionists)","")))))) </f>
        <v/>
      </c>
      <c r="AA226" s="27">
        <f>(IF(E226=0,0,(Upgrades!$G$13+E226*Upgrades!$H$13)*POWER(Upgrades!$I$13,E226)))*(IF(Upgrades!$T$14="Stellar Kinematics",POWER(Upgrades!$U$14,F226),1)*IF(Upgrades!$T$15="Stellar Kinematics",POWER(Upgrades!$U$15,G226),1)*IF(Upgrades!$T$16="Stellar Kinematics",POWER(Upgrades!$U$16,H226),1)*IF(Upgrades!$T$17="Stellar Kinematics",POWER(Upgrades!$U$17,I226),1)*IF(Upgrades!$T$18="Stellar Kinematics",POWER(Upgrades!$U$18,J226),1)*IF(Upgrades!$T$19="Stellar Kinematics",POWER(Upgrades!$U$19,K226),1)*IF(Upgrades!$T$20="Stellar Kinematics",POWER(Upgrades!$U$20,L226),1)*IF(Upgrades!$T$21="Stellar Kinematics",POWER(Upgrades!$U$21,M226),1))*POWER(Upgrades!$P$13,E226)*POWER(Upgrades!$P$14,F226)*POWER(Upgrades!$P$15,G226)*POWER(Upgrades!$P$16,H226)*POWER(Upgrades!$P$17,I226)*POWER(Upgrades!$P$18,J226)*POWER(Upgrades!$P$19,K226)*POWER(Upgrades!$P$20,L226)*POWER(Upgrades!$P$21,M226)*$F$6*60</f>
        <v/>
      </c>
      <c r="AB226" s="27">
        <f>(IF(F226=0,0,(Upgrades!$G$14+F226*Upgrades!$H$14)*POWER(Upgrades!$I$14,F226)))*(IF(Upgrades!$T$13="Local Bubble",POWER(Upgrades!$U$13,E226),1)*IF(Upgrades!$T$15="Local Bubble",POWER(Upgrades!$U$15,G226),1)*IF(Upgrades!$T$16="Local Bubble",POWER(Upgrades!$U$16,H226),1)*IF(Upgrades!$T$17="Local Bubble",POWER(Upgrades!$U$17,I226),1)*IF(Upgrades!$T$18="Local Bubble",POWER(Upgrades!$U$18,J226),1)*IF(Upgrades!$T$19="Local Bubble",POWER(Upgrades!$U$19,K226),1)*IF(Upgrades!$T$20="Local Bubble",POWER(Upgrades!$U$20,L226),1)*IF(Upgrades!$T$21="Local Bubble",POWER(Upgrades!$U$21,M226),1))*POWER(Upgrades!$P$13,E226)*POWER(Upgrades!$P$14,F226)*POWER(Upgrades!$P$15,G226)*POWER(Upgrades!$P$16,H226)*POWER(Upgrades!$P$17,I226)*POWER(Upgrades!$P$18,J226)*POWER(Upgrades!$P$19,K226)*POWER(Upgrades!$P$20,L226)*POWER(Upgrades!$P$21,M226)*$F$6*60</f>
        <v/>
      </c>
      <c r="AC226" s="27">
        <f>(IF(G226=0,0,(Upgrades!$J$15+G226*Upgrades!$K$15)*POWER(Upgrades!$L$15,G226)))*(IF(Upgrades!$T$13="Microlensing",POWER(Upgrades!$U$13,E226),1)*IF(Upgrades!$T$14="Microlensing",POWER(Upgrades!$U$14,F226),1)*IF(Upgrades!$T$16="Microlensing",POWER(Upgrades!$U$16,H226),1)*IF(Upgrades!$T$17="Microlensing",POWER(Upgrades!$U$17,I226),1)*IF(Upgrades!$T$18="Microlensing",POWER(Upgrades!$U$18,J226),1)*IF(Upgrades!$T$19="Microlensing",POWER(Upgrades!$U$19,K226),1)*IF(Upgrades!$T$20="Microlensing",POWER(Upgrades!$U$20,L226),1)*IF(Upgrades!$T$21="Microlensing",POWER(Upgrades!$U$21,M226),1))*POWER(Upgrades!$Q$13,E226)*POWER(Upgrades!$Q$14,F226)*POWER(Upgrades!$Q$15,G226)*POWER(Upgrades!$Q$16,H226)*POWER(Upgrades!$Q$17,I226)*POWER(Upgrades!$Q$18,J226)*POWER(Upgrades!$Q$19,K226)*POWER(Upgrades!$Q$20,L226)*POWER(Upgrades!$Q$21,M226)*$G$6*(Parameters!$B$10*Parameters!$B$11+Q226*60)</f>
        <v/>
      </c>
      <c r="AD226" s="27">
        <f>(IF(H226=0,0,(Upgrades!$M$16+H226*Upgrades!$N$16)*POWER(Upgrades!$O$16,H226)))*(IF(Upgrades!$T$13="Roche Lobe Overflow",POWER(Upgrades!$U$13,E226),1)*IF(Upgrades!$T$14="Roche Lobe Overflow",POWER(Upgrades!$U$14,F226),1)*IF(Upgrades!$T$15="Roche Lobe Overflow",POWER(Upgrades!$U$15,G226),1)*IF(Upgrades!$T$17="Roche Lobe Overflow",POWER(Upgrades!$U$17,I226),1)*IF(Upgrades!$T$18="Roche Lobe Overflow",POWER(Upgrades!$U$18,J226),1)*IF(Upgrades!$T$19="Roche Lobe Overflow",POWER(Upgrades!$U$19,K226),1)*IF(Upgrades!$T$20="Roche Lobe Overflow",POWER(Upgrades!$U$20,L226),1)*IF(Upgrades!$T$21="Roche Lobe Overflow",POWER(Upgrades!$U$21,M226),1))*POWER(Upgrades!$R$13,E226)*POWER(Upgrades!$R$14,F226)*POWER(Upgrades!$R$15,G226)*POWER(Upgrades!$R$16,H226)*POWER(Upgrades!$R$17,I226)*POWER(Upgrades!$R$18,J226)*POWER(Upgrades!$R$19,K226)*POWER(Upgrades!$R$20,L226)*POWER(Upgrades!$R$21,M226)*$H$6*O226*60</f>
        <v/>
      </c>
      <c r="AE226" s="27">
        <f>(IF(I226=0,0,(Upgrades!$G$17+I226*Upgrades!$H$17)*POWER(Upgrades!$I$17,I226)))*(IF(Upgrades!$T$13="Brown Dwarf",POWER(Upgrades!$U$13,E226),1)*IF(Upgrades!$T$14="Brown Dwarf",POWER(Upgrades!$U$14,F226),1)*IF(Upgrades!$T$15="Brown Dwarf",POWER(Upgrades!$U$15,G226),1)*IF(Upgrades!$T$16="Brown Dwarf",POWER(Upgrades!$U$16,H226),1)*IF(Upgrades!$T$18="Brown Dwarf",POWER(Upgrades!$U$18,J226),1)*IF(Upgrades!$T$19="Brown Dwarf",POWER(Upgrades!$U$19,K226),1)*IF(Upgrades!$T$20="Brown Dwarf",POWER(Upgrades!$U$20,L226),1)*IF(Upgrades!$T$21="Brown Dwarf",POWER(Upgrades!$U$21,M226),1))*POWER(Upgrades!$P$13,E226)*POWER(Upgrades!$P$14,F226)*POWER(Upgrades!$P$15,G226)*POWER(Upgrades!$P$16,H226)*POWER(Upgrades!$P$17,I226)*POWER(Upgrades!$P$18,J226)*POWER(Upgrades!$P$19,K226)*POWER(Upgrades!$P$20,L226)*POWER(Upgrades!$P$21,M226)*$F$6*60</f>
        <v/>
      </c>
      <c r="AF226" s="27" t="n">
        <v>0</v>
      </c>
      <c r="AG226" s="27" t="n">
        <v>0</v>
      </c>
      <c r="AH226" s="27" t="n">
        <v>0</v>
      </c>
      <c r="AI226" s="27">
        <f>(IF(M226=0,0,(Upgrades!$G$21+M226*Upgrades!$H$21)*POWER(Upgrades!$I$21,M226)))*(IF(Upgrades!$T$13="Moving Group",POWER(Upgrades!$U$13,E226),1)*IF(Upgrades!$T$14="Moving Group",POWER(Upgrades!$U$14,F226),1)*IF(Upgrades!$T$15="Moving Group",POWER(Upgrades!$U$15,G226),1)*IF(Upgrades!$T$16="Moving Group",POWER(Upgrades!$U$16,H226),1)*IF(Upgrades!$T$17="Moving Group",POWER(Upgrades!$U$17,I226),1)*IF(Upgrades!$T$18="Moving Group",POWER(Upgrades!$U$18,J226),1)*IF(Upgrades!$T$19="Moving Group",POWER(Upgrades!$U$19,K226),1)*IF(Upgrades!$T$20="Moving Group",POWER(Upgrades!$U$20,L226),1))*POWER(Upgrades!$P$13,E226)*POWER(Upgrades!$P$14,F226)*POWER(Upgrades!$P$15,G226)*POWER(Upgrades!$P$16,H226)*POWER(Upgrades!$P$17,I226)*POWER(Upgrades!$P$18,J226)*POWER(Upgrades!$P$19,K226)*POWER(Upgrades!$P$20,L226)*POWER(Upgrades!$P$21,M226)*$F$6*60</f>
        <v/>
      </c>
      <c r="AJ226" s="27">
        <f>$C$6*60</f>
        <v/>
      </c>
      <c r="AK226" s="22">
        <f>IF(E226&gt;=Upgrades!$E$13,"",Upgrades!$C$13*POWER(Upgrades!$D$13,E226))</f>
        <v/>
      </c>
      <c r="AL226" s="22">
        <f>IF(F226&gt;=Upgrades!$E$14,"",Upgrades!$C$14*POWER(Upgrades!$D$14,F226))</f>
        <v/>
      </c>
      <c r="AM226" s="22">
        <f>IF(G226&gt;=Upgrades!$E$15,"",Upgrades!$C$15*POWER(Upgrades!$D$15,G226))</f>
        <v/>
      </c>
      <c r="AN226" s="22">
        <f>IF(H226&gt;=Upgrades!$E$16,"",Upgrades!$C$16*POWER(Upgrades!$D$16,H226))</f>
        <v/>
      </c>
      <c r="AO226" s="22">
        <f>IF(I226&gt;=Upgrades!$E$17,"",Upgrades!$C$17*POWER(Upgrades!$D$17,I226))</f>
        <v/>
      </c>
      <c r="AP226" s="22">
        <f>IF(J226&gt;=Upgrades!$E$18,"",Upgrades!$C$18*POWER(Upgrades!$D$18,J226))</f>
        <v/>
      </c>
      <c r="AQ226" s="22">
        <f>IF(K226&gt;=Upgrades!$E$19,"",Upgrades!$C$19*POWER(Upgrades!$D$19,K226))</f>
        <v/>
      </c>
      <c r="AR226" s="22">
        <f>IF(L226&gt;=Upgrades!$E$20,"",Upgrades!$C$20*POWER(Upgrades!$D$20,L226))</f>
        <v/>
      </c>
      <c r="AS226" s="22">
        <f>IF(M226&gt;=Upgrades!$E$21,"",Upgrades!$C$21*POWER(Upgrades!$D$21,M226))</f>
        <v/>
      </c>
      <c r="AT226" s="26">
        <f>IF(AND(D226&gt;=Parameters!$B$18*Parameters!$B$19,(I226&gt;=Upgrades!$E$17)*(M226&gt;=Upgrades!$E$21)=1,N226=0),1,"")</f>
        <v/>
      </c>
      <c r="AU226" s="26">
        <f>IF(AND(D226&gt;=Parameters!$B$18*Parameters!$B$19,N226=0),1,"")</f>
        <v/>
      </c>
      <c r="AV226" s="22">
        <f>MIN(IF(ISNUMBER(AP226),AP226,9E15),IF(ISNUMBER(AQ226),AQ226,9E15),IF(ISNUMBER(AR226),AR226,9E15),IF(ISNUMBER(AS226),AS226,9E15))</f>
        <v/>
      </c>
      <c r="AW226" s="22">
        <f>MIN(IF(ISNUMBER(AK226),AK226,9E15),IF(ISNUMBER(AL226),AL226,9E15),IF(ISNUMBER(AM226),AM226,9E15),IF(ISNUMBER(AN226),AN226,9E15),IF(ISNUMBER(AO226),AO226,9E15))</f>
        <v/>
      </c>
      <c r="AX226" s="29">
        <f>IF(BD226&gt;Parameters!$B$21*(MAX(IF(AND(NOT(AND(AU226=1,AT226&lt;&gt;1)),ISNUMBER(AK226),AK226&lt;=(C226+T226)),AY226,0),IF(AND(NOT(AND(AU226=1,AT226&lt;&gt;1)),ISNUMBER(AL226),AL226&lt;=(C226+T226)),AZ226,0),IF(AND(NOT(AND(AU226=1,AT226&lt;&gt;1)),ISNUMBER(AM226),AM226&lt;=(C226+T226)),BA226,0),IF(AND(NOT(AND(AU226=1,AT226&lt;&gt;1)),ISNUMBER(AN226),AN226&lt;=(C226+T226)),BB226,0),IF(AND(ISNUMBER(AO226),AO226&lt;=(C226+T226)),BC226,0))),TRUE,FALSE)</f>
        <v/>
      </c>
      <c r="AY226" s="32">
        <f>IFERROR(Upgrades!$H$13*(POWER(Upgrades!$P$13,E226)*POWER(Upgrades!$P$14,F226)*POWER(Upgrades!$P$15,G226)*POWER(Upgrades!$P$16,H226)*POWER(Upgrades!$P$17,I226)*POWER(Upgrades!$P$18,J226)*POWER(Upgrades!$P$19,K226)*POWER(Upgrades!$P$20,L226)*POWER(Upgrades!$P$21,M226))*(IF(Upgrades!$T$14="Stellar Kinematics",POWER(Upgrades!$U$14,F226),1)*IF(Upgrades!$T$15="Stellar Kinematics",POWER(Upgrades!$U$15,G226),1)*IF(Upgrades!$T$16="Stellar Kinematics",POWER(Upgrades!$U$16,H226),1)*IF(Upgrades!$T$17="Stellar Kinematics",POWER(Upgrades!$U$17,I226),1)*IF(Upgrades!$T$18="Stellar Kinematics",POWER(Upgrades!$U$18,J226),1)*IF(Upgrades!$T$19="Stellar Kinematics",POWER(Upgrades!$U$19,K226),1)*IF(Upgrades!$T$20="Stellar Kinematics",POWER(Upgrades!$U$20,L226),1)*IF(Upgrades!$T$21="Stellar Kinematics",POWER(Upgrades!$U$21,M226),1))*$F$6/AK226,0)</f>
        <v/>
      </c>
      <c r="AZ226" s="32">
        <f>IFERROR(Upgrades!$H$14*(POWER(Upgrades!$P$13,E226)*POWER(Upgrades!$P$14,F226)*POWER(Upgrades!$P$15,G226)*POWER(Upgrades!$P$16,H226)*POWER(Upgrades!$P$17,I226)*POWER(Upgrades!$P$18,J226)*POWER(Upgrades!$P$19,K226)*POWER(Upgrades!$P$20,L226)*POWER(Upgrades!$P$21,M226))*(IF(Upgrades!$T$13="Local Bubble",POWER(Upgrades!$U$13,E226),1)*IF(Upgrades!$T$15="Local Bubble",POWER(Upgrades!$U$15,G226),1)*IF(Upgrades!$T$16="Local Bubble",POWER(Upgrades!$U$16,H226),1)*IF(Upgrades!$T$17="Local Bubble",POWER(Upgrades!$U$17,I226),1)*IF(Upgrades!$T$18="Local Bubble",POWER(Upgrades!$U$18,J226),1)*IF(Upgrades!$T$19="Local Bubble",POWER(Upgrades!$U$19,K226),1)*IF(Upgrades!$T$20="Local Bubble",POWER(Upgrades!$U$20,L226),1)*IF(Upgrades!$T$21="Local Bubble",POWER(Upgrades!$U$21,M226),1))*$F$6/AL226,0)</f>
        <v/>
      </c>
      <c r="BA226" s="32">
        <f>IFERROR(Upgrades!$K$15*(POWER(Upgrades!$Q$13,E226)*POWER(Upgrades!$Q$14,F226)*POWER(Upgrades!$Q$15,G226)*POWER(Upgrades!$Q$16,H226)*POWER(Upgrades!$Q$17,I226)*POWER(Upgrades!$Q$18,J226)*POWER(Upgrades!$Q$19,K226)*POWER(Upgrades!$Q$20,L226)*POWER(Upgrades!$Q$21,M226))*(IF(Upgrades!$T$13="Microlensing",POWER(Upgrades!$U$13,E226),1)*IF(Upgrades!$T$14="Microlensing",POWER(Upgrades!$U$14,F226),1)*IF(Upgrades!$T$16="Microlensing",POWER(Upgrades!$U$16,H226),1)*IF(Upgrades!$T$17="Microlensing",POWER(Upgrades!$U$17,I226),1)*IF(Upgrades!$T$18="Microlensing",POWER(Upgrades!$U$18,J226),1)*IF(Upgrades!$T$19="Microlensing",POWER(Upgrades!$U$19,K226),1)*IF(Upgrades!$T$20="Microlensing",POWER(Upgrades!$U$20,L226),1)*IF(Upgrades!$T$21="Microlensing",POWER(Upgrades!$U$21,M226),1))*$G$6*(Parameters!$B$10/60*Parameters!$B$11+Q226)/AM226,0)</f>
        <v/>
      </c>
      <c r="BB226" s="32">
        <f>IFERROR((Upgrades!$N$16*(POWER(Upgrades!$R$13,E226)*POWER(Upgrades!$R$14,F226)*POWER(Upgrades!$R$15,G226)*POWER(Upgrades!$R$16,H226)*POWER(Upgrades!$R$17,I226)*POWER(Upgrades!$R$18,J226)*POWER(Upgrades!$R$19,K226)*POWER(Upgrades!$R$20,L226)*POWER(Upgrades!$R$21,M226))*(IF(Upgrades!$T$13="Roche Lobe Overflow",POWER(Upgrades!$U$13,E226),1)*IF(Upgrades!$T$14="Roche Lobe Overflow",POWER(Upgrades!$U$14,F226),1)*IF(Upgrades!$T$15="Roche Lobe Overflow",POWER(Upgrades!$U$15,G226),1)*IF(Upgrades!$T$17="Roche Lobe Overflow",POWER(Upgrades!$U$17,I226),1)*IF(Upgrades!$T$18="Roche Lobe Overflow",POWER(Upgrades!$U$18,J226),1)*IF(Upgrades!$T$19="Roche Lobe Overflow",POWER(Upgrades!$U$19,K226),1)*IF(Upgrades!$T$20="Roche Lobe Overflow",POWER(Upgrades!$U$20,L226),1)*IF(Upgrades!$T$21="Roche Lobe Overflow",POWER(Upgrades!$U$21,M226),1))*$H$6*O226+((IF(F226=0,0,(Upgrades!$G$14+F226*Upgrades!$H$14)*POWER(Upgrades!$I$14,F226)))*(IF(Upgrades!$T$13="Local Bubble",POWER(Upgrades!$U$13,E226),1)*IF(Upgrades!$T$15="Local Bubble",POWER(Upgrades!$U$15,G226),1)*IF(Upgrades!$T$16="Local Bubble",POWER(Upgrades!$U$16,H226),1)*IF(Upgrades!$T$17="Local Bubble",POWER(Upgrades!$U$17,I226),1)*IF(Upgrades!$T$18="Local Bubble",POWER(Upgrades!$U$18,J226),1)*IF(Upgrades!$T$19="Local Bubble",POWER(Upgrades!$U$19,K226),1)*IF(Upgrades!$T$20="Local Bubble",POWER(Upgrades!$U$20,L226),1)*IF(Upgrades!$T$21="Local Bubble",POWER(Upgrades!$U$21,M226),1))*POWER(Upgrades!$P$13,E226)*POWER(Upgrades!$P$14,F226)*POWER(Upgrades!$P$15,G226)*POWER(Upgrades!$P$16,H226)*POWER(Upgrades!$P$17,I226)*POWER(Upgrades!$P$18,J226)*POWER(Upgrades!$P$19,K226)*POWER(Upgrades!$P$20,L226)*POWER(Upgrades!$P$21,M226)*$F$6)*0.05)/AN226,0)</f>
        <v/>
      </c>
      <c r="BC226" s="32">
        <f>IFERROR((Upgrades!$H$17*(POWER(Upgrades!$P$13,E226)*POWER(Upgrades!$P$14,F226)*POWER(Upgrades!$P$15,G226)*POWER(Upgrades!$P$16,H226)*POWER(Upgrades!$P$17,I226)*POWER(Upgrades!$P$18,J226)*POWER(Upgrades!$P$19,K226)*POWER(Upgrades!$P$20,L226)*POWER(Upgrades!$P$21,M226))*(IF(Upgrades!$T$13="Brown Dwarf",POWER(Upgrades!$U$13,E226),1)*IF(Upgrades!$T$14="Brown Dwarf",POWER(Upgrades!$U$14,F226),1)*IF(Upgrades!$T$15="Brown Dwarf",POWER(Upgrades!$U$15,G226),1)*IF(Upgrades!$T$16="Brown Dwarf",POWER(Upgrades!$U$16,H226),1)*IF(Upgrades!$T$18="Brown Dwarf",POWER(Upgrades!$U$18,J226),1)*IF(Upgrades!$T$19="Brown Dwarf",POWER(Upgrades!$U$19,K226),1)*IF(Upgrades!$T$20="Brown Dwarf",POWER(Upgrades!$U$20,L226),1)*IF(Upgrades!$T$21="Brown Dwarf",POWER(Upgrades!$U$21,M226),1))*$F$6+(((IF(H226=0,0,(Upgrades!$M$16+H226*Upgrades!$N$16)*POWER(Upgrades!$O$16,H226)))*(IF(Upgrades!$T$13="Roche Lobe Overflow",POWER(Upgrades!$U$13,E226),1)*IF(Upgrades!$T$14="Roche Lobe Overflow",POWER(Upgrades!$U$14,F226),1)*IF(Upgrades!$T$15="Roche Lobe Overflow",POWER(Upgrades!$U$15,G226),1)*IF(Upgrades!$T$17="Roche Lobe Overflow",POWER(Upgrades!$U$17,I226),1)*IF(Upgrades!$T$18="Roche Lobe Overflow",POWER(Upgrades!$U$18,J226),1)*IF(Upgrades!$T$19="Roche Lobe Overflow",POWER(Upgrades!$U$19,K226),1)*IF(Upgrades!$T$20="Roche Lobe Overflow",POWER(Upgrades!$U$20,L226),1)*IF(Upgrades!$T$21="Roche Lobe Overflow",POWER(Upgrades!$U$21,M226),1))*POWER(Upgrades!$R$13,E226)*POWER(Upgrades!$R$14,F226)*POWER(Upgrades!$R$15,G226)*POWER(Upgrades!$R$16,H226)*POWER(Upgrades!$R$17,I226)*POWER(Upgrades!$R$18,J226)*POWER(Upgrades!$R$19,K226)*POWER(Upgrades!$R$20,L226)*POWER(Upgrades!$R$21,M226)*$H$6)*O226)*0.10)/AO226,0)</f>
        <v/>
      </c>
      <c r="BD226" s="32">
        <f>MAX(IF(J226&gt;0,0,IFERROR(0.5*((IF(G226=0,0,(Upgrades!$J$15+G226*Upgrades!$K$15)*POWER(Upgrades!$L$15,G226)))*(IF(Upgrades!$T$13="Microlensing",POWER(Upgrades!$U$13,E226),1)*IF(Upgrades!$T$14="Microlensing",POWER(Upgrades!$U$14,F226),1)*IF(Upgrades!$T$16="Microlensing",POWER(Upgrades!$U$16,H226),1)*IF(Upgrades!$T$17="Microlensing",POWER(Upgrades!$U$17,I226),1)*IF(Upgrades!$T$18="Microlensing",POWER(Upgrades!$U$18,J226),1)*IF(Upgrades!$T$19="Microlensing",POWER(Upgrades!$U$19,K226),1)*IF(Upgrades!$T$20="Microlensing",POWER(Upgrades!$U$20,L226),1)*IF(Upgrades!$T$21="Microlensing",POWER(Upgrades!$U$21,M226),1))*(POWER(Upgrades!$Q$13,E226)*POWER(Upgrades!$Q$14,F226)*POWER(Upgrades!$Q$15,G226)*POWER(Upgrades!$Q$16,H226)*POWER(Upgrades!$Q$17,I226)*POWER(Upgrades!$Q$18,J226)*POWER(Upgrades!$Q$19,K226)*POWER(Upgrades!$Q$20,L226)*POWER(Upgrades!$Q$21,M226))*$G$6*(Parameters!$B$10/60*Parameters!$B$11+Q226))/Upgrades!$C$18,0)),IF(K226&gt;0,0,IFERROR(0.30*P226/Upgrades!$C$19,0)),IF(L226&gt;0,0,IFERROR(0.0001/Upgrades!$C$20,0)),IF(M226&gt;0,0,IFERROR((6.0*(POWER(Upgrades!$P$13,E226)*POWER(Upgrades!$P$14,F226)*POWER(Upgrades!$P$15,G226)*POWER(Upgrades!$P$16,H226)*POWER(Upgrades!$P$17,I226)*POWER(Upgrades!$P$18,J226)*POWER(Upgrades!$P$19,K226)*POWER(Upgrades!$P$20,L226)*POWER(Upgrades!$P$21,M226))*$F$6+0.20*O226*(Parameters!$B$10/60*Parameters!$B$11+Q226))/Upgrades!$C$21,0)),IF(AND(ISNUMBER(AK226),AK226&gt;(C226+T226)),AY226,0),IF(AND(ISNUMBER(AL226),AL226&gt;(C226+T226)),AZ226,0),IF(AND(ISNUMBER(AM226),AM226&gt;(C226+T226)),BA226,0),IF(AND(ISNUMBER(AN226),AN226&gt;(C226+T226)),BB226,0),IF(AND(ISNUMBER(AO226),AO226&gt;(C226+T226)),BC226,0))</f>
        <v/>
      </c>
      <c r="BE226" s="29">
        <f>IF(AT226=1,"transition",IF(MIN(IF(AND(J226=0,ISNUMBER(AP226),AP226&lt;=(C226+T226)),AP226,9E15),IF(AND(K226=0,ISNUMBER(AQ226),AQ226&lt;=(C226+T226)),AQ226,9E15),IF(AND(L226=0,ISNUMBER(AR226),AR226&lt;=(C226+T226)),AR226,9E15),IF(AND(M226=0,ISNUMBER(AS226),AS226&lt;=(C226+T226)),AS226,9E15))&lt;9E15,IF(AND(AND(J226=0,ISNUMBER(AP226),AP226&lt;=(C226+T226)),AP226=MIN(IF(AND(J226=0,ISNUMBER(AP226),AP226&lt;=(C226+T226)),AP226,9E15),IF(AND(K226=0,ISNUMBER(AQ226),AQ226&lt;=(C226+T226)),AQ226,9E15),IF(AND(L226=0,ISNUMBER(AR226),AR226&lt;=(C226+T226)),AR226,9E15),IF(AND(M226=0,ISNUMBER(AS226),AS226&lt;=(C226+T226)),AS226,9E15))),"BiP",IF(AND(AND(K226=0,ISNUMBER(AQ226),AQ226&lt;=(C226+T226)),AQ226=MIN(IF(AND(J226=0,ISNUMBER(AP226),AP226&lt;=(C226+T226)),AP226,9E15),IF(AND(K226=0,ISNUMBER(AQ226),AQ226&lt;=(C226+T226)),AQ226,9E15),IF(AND(L226=0,ISNUMBER(AR226),AR226&lt;=(C226+T226)),AR226,9E15),IF(AND(M226=0,ISNUMBER(AS226),AS226&lt;=(C226+T226)),AS226,9E15))),"PV",IF(AND(AND(L226=0,ISNUMBER(AR226),AR226&lt;=(C226+T226)),AR226=MIN(IF(AND(J226=0,ISNUMBER(AP226),AP226&lt;=(C226+T226)),AP226,9E15),IF(AND(K226=0,ISNUMBER(AQ226),AQ226&lt;=(C226+T226)),AQ226,9E15),IF(AND(L226=0,ISNUMBER(AR226),AR226&lt;=(C226+T226)),AR226,9E15),IF(AND(M226=0,ISNUMBER(AS226),AS226&lt;=(C226+T226)),AS226,9E15))),"OC","MG"))),IF(AX226=TRUE,"",IF(MAX(IF(AND(NOT(AND(AU226=1,AT226&lt;&gt;1)),ISNUMBER(AK226),AK226&lt;=(C226+T226)),AY226,0),IF(AND(NOT(AND(AU226=1,AT226&lt;&gt;1)),ISNUMBER(AL226),AL226&lt;=(C226+T226)),AZ226,0),IF(AND(NOT(AND(AU226=1,AT226&lt;&gt;1)),ISNUMBER(AM226),AM226&lt;=(C226+T226)),BA226,0),IF(AND(NOT(AND(AU226=1,AT226&lt;&gt;1)),ISNUMBER(AN226),AN226&lt;=(C226+T226)),BB226,0),IF(AND(ISNUMBER(AO226),AO226&lt;=(C226+T226)),BC226,0))&lt;=0,"",IF(AND(IF(AND(NOT(AND(AU226=1,AT226&lt;&gt;1)),ISNUMBER(AK226),AK226&lt;=(C226+T226)),AY226,0)&gt;0,IF(AND(NOT(AND(AU226=1,AT226&lt;&gt;1)),ISNUMBER(AK226),AK226&lt;=(C226+T226)),AY226,0)=MAX(IF(AND(NOT(AND(AU226=1,AT226&lt;&gt;1)),ISNUMBER(AK226),AK226&lt;=(C226+T226)),AY226,0),IF(AND(NOT(AND(AU226=1,AT226&lt;&gt;1)),ISNUMBER(AL226),AL226&lt;=(C226+T226)),AZ226,0),IF(AND(NOT(AND(AU226=1,AT226&lt;&gt;1)),ISNUMBER(AM226),AM226&lt;=(C226+T226)),BA226,0),IF(AND(NOT(AND(AU226=1,AT226&lt;&gt;1)),ISNUMBER(AN226),AN226&lt;=(C226+T226)),BB226,0),IF(AND(ISNUMBER(AO226),AO226&lt;=(C226+T226)),BC226,0))),"SK",IF(AND(IF(AND(NOT(AND(AU226=1,AT226&lt;&gt;1)),ISNUMBER(AL226),AL226&lt;=(C226+T226)),AZ226,0)&gt;0,IF(AND(NOT(AND(AU226=1,AT226&lt;&gt;1)),ISNUMBER(AL226),AL226&lt;=(C226+T226)),AZ226,0)=MAX(IF(AND(NOT(AND(AU226=1,AT226&lt;&gt;1)),ISNUMBER(AK226),AK226&lt;=(C226+T226)),AY226,0),IF(AND(NOT(AND(AU226=1,AT226&lt;&gt;1)),ISNUMBER(AL226),AL226&lt;=(C226+T226)),AZ226,0),IF(AND(NOT(AND(AU226=1,AT226&lt;&gt;1)),ISNUMBER(AM226),AM226&lt;=(C226+T226)),BA226,0),IF(AND(NOT(AND(AU226=1,AT226&lt;&gt;1)),ISNUMBER(AN226),AN226&lt;=(C226+T226)),BB226,0),IF(AND(ISNUMBER(AO226),AO226&lt;=(C226+T226)),BC226,0))),"LB",IF(AND(IF(AND(NOT(AND(AU226=1,AT226&lt;&gt;1)),ISNUMBER(AM226),AM226&lt;=(C226+T226)),BA226,0)&gt;0,IF(AND(NOT(AND(AU226=1,AT226&lt;&gt;1)),ISNUMBER(AM226),AM226&lt;=(C226+T226)),BA226,0)=MAX(IF(AND(NOT(AND(AU226=1,AT226&lt;&gt;1)),ISNUMBER(AK226),AK226&lt;=(C226+T226)),AY226,0),IF(AND(NOT(AND(AU226=1,AT226&lt;&gt;1)),ISNUMBER(AL226),AL226&lt;=(C226+T226)),AZ226,0),IF(AND(NOT(AND(AU226=1,AT226&lt;&gt;1)),ISNUMBER(AM226),AM226&lt;=(C226+T226)),BA226,0),IF(AND(NOT(AND(AU226=1,AT226&lt;&gt;1)),ISNUMBER(AN226),AN226&lt;=(C226+T226)),BB226,0),IF(AND(ISNUMBER(AO226),AO226&lt;=(C226+T226)),BC226,0))),"ML",IF(AND(IF(AND(NOT(AND(AU226=1,AT226&lt;&gt;1)),ISNUMBER(AN226),AN226&lt;=(C226+T226)),BB226,0)&gt;0,IF(AND(NOT(AND(AU226=1,AT226&lt;&gt;1)),ISNUMBER(AN226),AN226&lt;=(C226+T226)),BB226,0)=MAX(IF(AND(NOT(AND(AU226=1,AT226&lt;&gt;1)),ISNUMBER(AK226),AK226&lt;=(C226+T226)),AY226,0),IF(AND(NOT(AND(AU226=1,AT226&lt;&gt;1)),ISNUMBER(AL226),AL226&lt;=(C226+T226)),AZ226,0),IF(AND(NOT(AND(AU226=1,AT226&lt;&gt;1)),ISNUMBER(AM226),AM226&lt;=(C226+T226)),BA226,0),IF(AND(NOT(AND(AU226=1,AT226&lt;&gt;1)),ISNUMBER(AN226),AN226&lt;=(C226+T226)),BB226,0),IF(AND(ISNUMBER(AO226),AO226&lt;=(C226+T226)),BC226,0))),"RLO","BD"))))))))</f>
        <v/>
      </c>
    </row>
    <row r="227">
      <c r="A227" s="26" t="n">
        <v>216</v>
      </c>
      <c r="B227" s="27">
        <f>A227*10/60</f>
        <v/>
      </c>
      <c r="C227" s="22">
        <f>X226</f>
        <v/>
      </c>
      <c r="D227" s="27">
        <f>D226+W226</f>
        <v/>
      </c>
      <c r="E227" s="26">
        <f>E226+IF(U226="SK",1,0)</f>
        <v/>
      </c>
      <c r="F227" s="26">
        <f>F226+IF(U226="LB",1,0)</f>
        <v/>
      </c>
      <c r="G227" s="26">
        <f>G226+IF(U226="ML",1,0)</f>
        <v/>
      </c>
      <c r="H227" s="26">
        <f>H226+IF(U226="RLO",1,0)</f>
        <v/>
      </c>
      <c r="I227" s="26">
        <f>I226+IF(U226="BD",1,0)</f>
        <v/>
      </c>
      <c r="J227" s="26">
        <f>MAX(J226,IF(U226="BiP",1,0))</f>
        <v/>
      </c>
      <c r="K227" s="26">
        <f>MAX(K226,IF(U226="PV",1,0))</f>
        <v/>
      </c>
      <c r="L227" s="26">
        <f>MAX(L226,IF(U226="OC",1,0))</f>
        <v/>
      </c>
      <c r="M227" s="26">
        <f>MAX(M226,IF(U226="MG",1,0))</f>
        <v/>
      </c>
      <c r="N227" s="26">
        <f>MAX(N226,IF(U226="transition",1,0))</f>
        <v/>
      </c>
      <c r="O227" s="28">
        <f>(Parameters!$B$9+(IF(E227=0,0,(Upgrades!$J$13+E227*Upgrades!$K$13)*POWER(Upgrades!$L$13,E227)))*(IF(Upgrades!$T$14="Stellar Kinematics",POWER(Upgrades!$U$14,F227),1)*IF(Upgrades!$T$15="Stellar Kinematics",POWER(Upgrades!$U$15,G227),1)*IF(Upgrades!$T$16="Stellar Kinematics",POWER(Upgrades!$U$16,H227),1)*IF(Upgrades!$T$17="Stellar Kinematics",POWER(Upgrades!$U$17,I227),1)*IF(Upgrades!$T$18="Stellar Kinematics",POWER(Upgrades!$U$18,J227),1)*IF(Upgrades!$T$19="Stellar Kinematics",POWER(Upgrades!$U$19,K227),1)*IF(Upgrades!$T$20="Stellar Kinematics",POWER(Upgrades!$U$20,L227),1)*IF(Upgrades!$T$21="Stellar Kinematics",POWER(Upgrades!$U$21,M227),1))+(IF(F227=0,0,(Upgrades!$J$14+F227*Upgrades!$K$14)*POWER(Upgrades!$L$14,F227)))*(IF(Upgrades!$T$13="Local Bubble",POWER(Upgrades!$U$13,E227),1)*IF(Upgrades!$T$15="Local Bubble",POWER(Upgrades!$U$15,G227),1)*IF(Upgrades!$T$16="Local Bubble",POWER(Upgrades!$U$16,H227),1)*IF(Upgrades!$T$17="Local Bubble",POWER(Upgrades!$U$17,I227),1)*IF(Upgrades!$T$18="Local Bubble",POWER(Upgrades!$U$18,J227),1)*IF(Upgrades!$T$19="Local Bubble",POWER(Upgrades!$U$19,K227),1)*IF(Upgrades!$T$20="Local Bubble",POWER(Upgrades!$U$20,L227),1)*IF(Upgrades!$T$21="Local Bubble",POWER(Upgrades!$U$21,M227),1))+(IF(G227=0,0,(Upgrades!$J$15+G227*Upgrades!$K$15)*POWER(Upgrades!$L$15,G227)))*(IF(Upgrades!$T$13="Microlensing",POWER(Upgrades!$U$13,E227),1)*IF(Upgrades!$T$14="Microlensing",POWER(Upgrades!$U$14,F227),1)*IF(Upgrades!$T$16="Microlensing",POWER(Upgrades!$U$16,H227),1)*IF(Upgrades!$T$17="Microlensing",POWER(Upgrades!$U$17,I227),1)*IF(Upgrades!$T$18="Microlensing",POWER(Upgrades!$U$18,J227),1)*IF(Upgrades!$T$19="Microlensing",POWER(Upgrades!$U$19,K227),1)*IF(Upgrades!$T$20="Microlensing",POWER(Upgrades!$U$20,L227),1)*IF(Upgrades!$T$21="Microlensing",POWER(Upgrades!$U$21,M227),1))+(IF(H227=0,0,(Upgrades!$J$16+H227*Upgrades!$K$16)*POWER(Upgrades!$L$16,H227)))*(IF(Upgrades!$T$13="Roche Lobe Overflow",POWER(Upgrades!$U$13,E227),1)*IF(Upgrades!$T$14="Roche Lobe Overflow",POWER(Upgrades!$U$14,F227),1)*IF(Upgrades!$T$15="Roche Lobe Overflow",POWER(Upgrades!$U$15,G227),1)*IF(Upgrades!$T$17="Roche Lobe Overflow",POWER(Upgrades!$U$17,I227),1)*IF(Upgrades!$T$18="Roche Lobe Overflow",POWER(Upgrades!$U$18,J227),1)*IF(Upgrades!$T$19="Roche Lobe Overflow",POWER(Upgrades!$U$19,K227),1)*IF(Upgrades!$T$20="Roche Lobe Overflow",POWER(Upgrades!$U$20,L227),1)*IF(Upgrades!$T$21="Roche Lobe Overflow",POWER(Upgrades!$U$21,M227),1))+(IF(I227=0,0,(Upgrades!$J$17+I227*Upgrades!$K$17)*POWER(Upgrades!$L$17,I227)))*(IF(Upgrades!$T$13="Brown Dwarf",POWER(Upgrades!$U$13,E227),1)*IF(Upgrades!$T$14="Brown Dwarf",POWER(Upgrades!$U$14,F227),1)*IF(Upgrades!$T$15="Brown Dwarf",POWER(Upgrades!$U$15,G227),1)*IF(Upgrades!$T$16="Brown Dwarf",POWER(Upgrades!$U$16,H227),1)*IF(Upgrades!$T$18="Brown Dwarf",POWER(Upgrades!$U$18,J227),1)*IF(Upgrades!$T$19="Brown Dwarf",POWER(Upgrades!$U$19,K227),1)*IF(Upgrades!$T$20="Brown Dwarf",POWER(Upgrades!$U$20,L227),1)*IF(Upgrades!$T$21="Brown Dwarf",POWER(Upgrades!$U$21,M227),1))+(IF(J227=0,0,(Upgrades!$J$18+J227*Upgrades!$K$18)*POWER(Upgrades!$L$18,J227)))*(IF(Upgrades!$T$13="Binary Partner",POWER(Upgrades!$U$13,E227),1)*IF(Upgrades!$T$14="Binary Partner",POWER(Upgrades!$U$14,F227),1)*IF(Upgrades!$T$15="Binary Partner",POWER(Upgrades!$U$15,G227),1)*IF(Upgrades!$T$16="Binary Partner",POWER(Upgrades!$U$16,H227),1)*IF(Upgrades!$T$17="Binary Partner",POWER(Upgrades!$U$17,I227),1)*IF(Upgrades!$T$19="Binary Partner",POWER(Upgrades!$U$19,K227),1)*IF(Upgrades!$T$20="Binary Partner",POWER(Upgrades!$U$20,L227),1)*IF(Upgrades!$T$21="Binary Partner",POWER(Upgrades!$U$21,M227),1))+(IF(K227=0,0,(Upgrades!$J$19+K227*Upgrades!$K$19)*POWER(Upgrades!$L$19,K227)))*(IF(Upgrades!$T$13="Peculiar Velocity",POWER(Upgrades!$U$13,E227),1)*IF(Upgrades!$T$14="Peculiar Velocity",POWER(Upgrades!$U$14,F227),1)*IF(Upgrades!$T$15="Peculiar Velocity",POWER(Upgrades!$U$15,G227),1)*IF(Upgrades!$T$16="Peculiar Velocity",POWER(Upgrades!$U$16,H227),1)*IF(Upgrades!$T$17="Peculiar Velocity",POWER(Upgrades!$U$17,I227),1)*IF(Upgrades!$T$18="Peculiar Velocity",POWER(Upgrades!$U$18,J227),1)*IF(Upgrades!$T$20="Peculiar Velocity",POWER(Upgrades!$U$20,L227),1)*IF(Upgrades!$T$21="Peculiar Velocity",POWER(Upgrades!$U$21,M227),1))+(IF(L227=0,0,(Upgrades!$J$20+L227*Upgrades!$K$20)*POWER(Upgrades!$L$20,L227)))*(IF(Upgrades!$T$13="Open Cluster",POWER(Upgrades!$U$13,E227),1)*IF(Upgrades!$T$14="Open Cluster",POWER(Upgrades!$U$14,F227),1)*IF(Upgrades!$T$15="Open Cluster",POWER(Upgrades!$U$15,G227),1)*IF(Upgrades!$T$16="Open Cluster",POWER(Upgrades!$U$16,H227),1)*IF(Upgrades!$T$17="Open Cluster",POWER(Upgrades!$U$17,I227),1)*IF(Upgrades!$T$18="Open Cluster",POWER(Upgrades!$U$18,J227),1)*IF(Upgrades!$T$19="Open Cluster",POWER(Upgrades!$U$19,K227),1)*IF(Upgrades!$T$21="Open Cluster",POWER(Upgrades!$U$21,M227),1))+(IF(M227=0,0,(Upgrades!$J$21+M227*Upgrades!$K$21)*POWER(Upgrades!$L$21,M227)))*(IF(Upgrades!$T$13="Moving Group",POWER(Upgrades!$U$13,E227),1)*IF(Upgrades!$T$14="Moving Group",POWER(Upgrades!$U$14,F227),1)*IF(Upgrades!$T$15="Moving Group",POWER(Upgrades!$U$15,G227),1)*IF(Upgrades!$T$16="Moving Group",POWER(Upgrades!$U$16,H227),1)*IF(Upgrades!$T$17="Moving Group",POWER(Upgrades!$U$17,I227),1)*IF(Upgrades!$T$18="Moving Group",POWER(Upgrades!$U$18,J227),1)*IF(Upgrades!$T$19="Moving Group",POWER(Upgrades!$U$19,K227),1)*IF(Upgrades!$T$20="Moving Group",POWER(Upgrades!$U$20,L227),1)))*POWER(Upgrades!$Q$13,E227)*POWER(Upgrades!$Q$14,F227)*POWER(Upgrades!$Q$15,G227)*POWER(Upgrades!$Q$16,H227)*POWER(Upgrades!$Q$17,I227)*POWER(Upgrades!$Q$18,J227)*POWER(Upgrades!$Q$19,K227)*POWER(Upgrades!$Q$20,L227)*POWER(Upgrades!$Q$21,M227)*$G$6+$D$6</f>
        <v/>
      </c>
      <c r="P227" s="28">
        <f>((IF(E227=0,0,(Upgrades!$G$13+E227*Upgrades!$H$13)*POWER(Upgrades!$I$13,E227)))*(IF(Upgrades!$T$14="Stellar Kinematics",POWER(Upgrades!$U$14,F227),1)*IF(Upgrades!$T$15="Stellar Kinematics",POWER(Upgrades!$U$15,G227),1)*IF(Upgrades!$T$16="Stellar Kinematics",POWER(Upgrades!$U$16,H227),1)*IF(Upgrades!$T$17="Stellar Kinematics",POWER(Upgrades!$U$17,I227),1)*IF(Upgrades!$T$18="Stellar Kinematics",POWER(Upgrades!$U$18,J227),1)*IF(Upgrades!$T$19="Stellar Kinematics",POWER(Upgrades!$U$19,K227),1)*IF(Upgrades!$T$20="Stellar Kinematics",POWER(Upgrades!$U$20,L227),1)*IF(Upgrades!$T$21="Stellar Kinematics",POWER(Upgrades!$U$21,M227),1))+(IF(F227=0,0,(Upgrades!$G$14+F227*Upgrades!$H$14)*POWER(Upgrades!$I$14,F227)))*(IF(Upgrades!$T$13="Local Bubble",POWER(Upgrades!$U$13,E227),1)*IF(Upgrades!$T$15="Local Bubble",POWER(Upgrades!$U$15,G227),1)*IF(Upgrades!$T$16="Local Bubble",POWER(Upgrades!$U$16,H227),1)*IF(Upgrades!$T$17="Local Bubble",POWER(Upgrades!$U$17,I227),1)*IF(Upgrades!$T$18="Local Bubble",POWER(Upgrades!$U$18,J227),1)*IF(Upgrades!$T$19="Local Bubble",POWER(Upgrades!$U$19,K227),1)*IF(Upgrades!$T$20="Local Bubble",POWER(Upgrades!$U$20,L227),1)*IF(Upgrades!$T$21="Local Bubble",POWER(Upgrades!$U$21,M227),1))+(IF(G227=0,0,(Upgrades!$G$15+G227*Upgrades!$H$15)*POWER(Upgrades!$I$15,G227)))*(IF(Upgrades!$T$13="Microlensing",POWER(Upgrades!$U$13,E227),1)*IF(Upgrades!$T$14="Microlensing",POWER(Upgrades!$U$14,F227),1)*IF(Upgrades!$T$16="Microlensing",POWER(Upgrades!$U$16,H227),1)*IF(Upgrades!$T$17="Microlensing",POWER(Upgrades!$U$17,I227),1)*IF(Upgrades!$T$18="Microlensing",POWER(Upgrades!$U$18,J227),1)*IF(Upgrades!$T$19="Microlensing",POWER(Upgrades!$U$19,K227),1)*IF(Upgrades!$T$20="Microlensing",POWER(Upgrades!$U$20,L227),1)*IF(Upgrades!$T$21="Microlensing",POWER(Upgrades!$U$21,M227),1))+(IF(H227=0,0,(Upgrades!$G$16+H227*Upgrades!$H$16)*POWER(Upgrades!$I$16,H227)))*(IF(Upgrades!$T$13="Roche Lobe Overflow",POWER(Upgrades!$U$13,E227),1)*IF(Upgrades!$T$14="Roche Lobe Overflow",POWER(Upgrades!$U$14,F227),1)*IF(Upgrades!$T$15="Roche Lobe Overflow",POWER(Upgrades!$U$15,G227),1)*IF(Upgrades!$T$17="Roche Lobe Overflow",POWER(Upgrades!$U$17,I227),1)*IF(Upgrades!$T$18="Roche Lobe Overflow",POWER(Upgrades!$U$18,J227),1)*IF(Upgrades!$T$19="Roche Lobe Overflow",POWER(Upgrades!$U$19,K227),1)*IF(Upgrades!$T$20="Roche Lobe Overflow",POWER(Upgrades!$U$20,L227),1)*IF(Upgrades!$T$21="Roche Lobe Overflow",POWER(Upgrades!$U$21,M227),1))+(IF(I227=0,0,(Upgrades!$G$17+I227*Upgrades!$H$17)*POWER(Upgrades!$I$17,I227)))*(IF(Upgrades!$T$13="Brown Dwarf",POWER(Upgrades!$U$13,E227),1)*IF(Upgrades!$T$14="Brown Dwarf",POWER(Upgrades!$U$14,F227),1)*IF(Upgrades!$T$15="Brown Dwarf",POWER(Upgrades!$U$15,G227),1)*IF(Upgrades!$T$16="Brown Dwarf",POWER(Upgrades!$U$16,H227),1)*IF(Upgrades!$T$18="Brown Dwarf",POWER(Upgrades!$U$18,J227),1)*IF(Upgrades!$T$19="Brown Dwarf",POWER(Upgrades!$U$19,K227),1)*IF(Upgrades!$T$20="Brown Dwarf",POWER(Upgrades!$U$20,L227),1)*IF(Upgrades!$T$21="Brown Dwarf",POWER(Upgrades!$U$21,M227),1))+(IF(J227=0,0,(Upgrades!$G$18+J227*Upgrades!$H$18)*POWER(Upgrades!$I$18,J227)))*(IF(Upgrades!$T$13="Binary Partner",POWER(Upgrades!$U$13,E227),1)*IF(Upgrades!$T$14="Binary Partner",POWER(Upgrades!$U$14,F227),1)*IF(Upgrades!$T$15="Binary Partner",POWER(Upgrades!$U$15,G227),1)*IF(Upgrades!$T$16="Binary Partner",POWER(Upgrades!$U$16,H227),1)*IF(Upgrades!$T$17="Binary Partner",POWER(Upgrades!$U$17,I227),1)*IF(Upgrades!$T$19="Binary Partner",POWER(Upgrades!$U$19,K227),1)*IF(Upgrades!$T$20="Binary Partner",POWER(Upgrades!$U$20,L227),1)*IF(Upgrades!$T$21="Binary Partner",POWER(Upgrades!$U$21,M227),1))+(IF(K227=0,0,(Upgrades!$G$19+K227*Upgrades!$H$19)*POWER(Upgrades!$I$19,K227)))*(IF(Upgrades!$T$13="Peculiar Velocity",POWER(Upgrades!$U$13,E227),1)*IF(Upgrades!$T$14="Peculiar Velocity",POWER(Upgrades!$U$14,F227),1)*IF(Upgrades!$T$15="Peculiar Velocity",POWER(Upgrades!$U$15,G227),1)*IF(Upgrades!$T$16="Peculiar Velocity",POWER(Upgrades!$U$16,H227),1)*IF(Upgrades!$T$17="Peculiar Velocity",POWER(Upgrades!$U$17,I227),1)*IF(Upgrades!$T$18="Peculiar Velocity",POWER(Upgrades!$U$18,J227),1)*IF(Upgrades!$T$20="Peculiar Velocity",POWER(Upgrades!$U$20,L227),1)*IF(Upgrades!$T$21="Peculiar Velocity",POWER(Upgrades!$U$21,M227),1))+(IF(L227=0,0,(Upgrades!$G$20+L227*Upgrades!$H$20)*POWER(Upgrades!$I$20,L227)))*(IF(Upgrades!$T$13="Open Cluster",POWER(Upgrades!$U$13,E227),1)*IF(Upgrades!$T$14="Open Cluster",POWER(Upgrades!$U$14,F227),1)*IF(Upgrades!$T$15="Open Cluster",POWER(Upgrades!$U$15,G227),1)*IF(Upgrades!$T$16="Open Cluster",POWER(Upgrades!$U$16,H227),1)*IF(Upgrades!$T$17="Open Cluster",POWER(Upgrades!$U$17,I227),1)*IF(Upgrades!$T$18="Open Cluster",POWER(Upgrades!$U$18,J227),1)*IF(Upgrades!$T$19="Open Cluster",POWER(Upgrades!$U$19,K227),1)*IF(Upgrades!$T$21="Open Cluster",POWER(Upgrades!$U$21,M227),1))+(IF(M227=0,0,(Upgrades!$G$21+M227*Upgrades!$H$21)*POWER(Upgrades!$I$21,M227)))*(IF(Upgrades!$T$13="Moving Group",POWER(Upgrades!$U$13,E227),1)*IF(Upgrades!$T$14="Moving Group",POWER(Upgrades!$U$14,F227),1)*IF(Upgrades!$T$15="Moving Group",POWER(Upgrades!$U$15,G227),1)*IF(Upgrades!$T$16="Moving Group",POWER(Upgrades!$U$16,H227),1)*IF(Upgrades!$T$17="Moving Group",POWER(Upgrades!$U$17,I227),1)*IF(Upgrades!$T$18="Moving Group",POWER(Upgrades!$U$18,J227),1)*IF(Upgrades!$T$19="Moving Group",POWER(Upgrades!$U$19,K227),1)*IF(Upgrades!$T$20="Moving Group",POWER(Upgrades!$U$20,L227),1)))*POWER(Upgrades!$P$13,E227)*POWER(Upgrades!$P$14,F227)*POWER(Upgrades!$P$15,G227)*POWER(Upgrades!$P$16,H227)*POWER(Upgrades!$P$17,I227)*POWER(Upgrades!$P$18,J227)*POWER(Upgrades!$P$19,K227)*POWER(Upgrades!$P$20,L227)*POWER(Upgrades!$P$21,M227)*$F$6+$C$6</f>
        <v/>
      </c>
      <c r="Q227" s="28">
        <f>((IF(E227=0,0,(Upgrades!$M$13+E227*Upgrades!$N$13)*POWER(Upgrades!$O$13,E227)))*(IF(Upgrades!$T$14="Stellar Kinematics",POWER(Upgrades!$U$14,F227),1)*IF(Upgrades!$T$15="Stellar Kinematics",POWER(Upgrades!$U$15,G227),1)*IF(Upgrades!$T$16="Stellar Kinematics",POWER(Upgrades!$U$16,H227),1)*IF(Upgrades!$T$17="Stellar Kinematics",POWER(Upgrades!$U$17,I227),1)*IF(Upgrades!$T$18="Stellar Kinematics",POWER(Upgrades!$U$18,J227),1)*IF(Upgrades!$T$19="Stellar Kinematics",POWER(Upgrades!$U$19,K227),1)*IF(Upgrades!$T$20="Stellar Kinematics",POWER(Upgrades!$U$20,L227),1)*IF(Upgrades!$T$21="Stellar Kinematics",POWER(Upgrades!$U$21,M227),1))+(IF(F227=0,0,(Upgrades!$M$14+F227*Upgrades!$N$14)*POWER(Upgrades!$O$14,F227)))*(IF(Upgrades!$T$13="Local Bubble",POWER(Upgrades!$U$13,E227),1)*IF(Upgrades!$T$15="Local Bubble",POWER(Upgrades!$U$15,G227),1)*IF(Upgrades!$T$16="Local Bubble",POWER(Upgrades!$U$16,H227),1)*IF(Upgrades!$T$17="Local Bubble",POWER(Upgrades!$U$17,I227),1)*IF(Upgrades!$T$18="Local Bubble",POWER(Upgrades!$U$18,J227),1)*IF(Upgrades!$T$19="Local Bubble",POWER(Upgrades!$U$19,K227),1)*IF(Upgrades!$T$20="Local Bubble",POWER(Upgrades!$U$20,L227),1)*IF(Upgrades!$T$21="Local Bubble",POWER(Upgrades!$U$21,M227),1))+(IF(G227=0,0,(Upgrades!$M$15+G227*Upgrades!$N$15)*POWER(Upgrades!$O$15,G227)))*(IF(Upgrades!$T$13="Microlensing",POWER(Upgrades!$U$13,E227),1)*IF(Upgrades!$T$14="Microlensing",POWER(Upgrades!$U$14,F227),1)*IF(Upgrades!$T$16="Microlensing",POWER(Upgrades!$U$16,H227),1)*IF(Upgrades!$T$17="Microlensing",POWER(Upgrades!$U$17,I227),1)*IF(Upgrades!$T$18="Microlensing",POWER(Upgrades!$U$18,J227),1)*IF(Upgrades!$T$19="Microlensing",POWER(Upgrades!$U$19,K227),1)*IF(Upgrades!$T$20="Microlensing",POWER(Upgrades!$U$20,L227),1)*IF(Upgrades!$T$21="Microlensing",POWER(Upgrades!$U$21,M227),1))+(IF(H227=0,0,(Upgrades!$M$16+H227*Upgrades!$N$16)*POWER(Upgrades!$O$16,H227)))*(IF(Upgrades!$T$13="Roche Lobe Overflow",POWER(Upgrades!$U$13,E227),1)*IF(Upgrades!$T$14="Roche Lobe Overflow",POWER(Upgrades!$U$14,F227),1)*IF(Upgrades!$T$15="Roche Lobe Overflow",POWER(Upgrades!$U$15,G227),1)*IF(Upgrades!$T$17="Roche Lobe Overflow",POWER(Upgrades!$U$17,I227),1)*IF(Upgrades!$T$18="Roche Lobe Overflow",POWER(Upgrades!$U$18,J227),1)*IF(Upgrades!$T$19="Roche Lobe Overflow",POWER(Upgrades!$U$19,K227),1)*IF(Upgrades!$T$20="Roche Lobe Overflow",POWER(Upgrades!$U$20,L227),1)*IF(Upgrades!$T$21="Roche Lobe Overflow",POWER(Upgrades!$U$21,M227),1))+(IF(I227=0,0,(Upgrades!$M$17+I227*Upgrades!$N$17)*POWER(Upgrades!$O$17,I227)))*(IF(Upgrades!$T$13="Brown Dwarf",POWER(Upgrades!$U$13,E227),1)*IF(Upgrades!$T$14="Brown Dwarf",POWER(Upgrades!$U$14,F227),1)*IF(Upgrades!$T$15="Brown Dwarf",POWER(Upgrades!$U$15,G227),1)*IF(Upgrades!$T$16="Brown Dwarf",POWER(Upgrades!$U$16,H227),1)*IF(Upgrades!$T$18="Brown Dwarf",POWER(Upgrades!$U$18,J227),1)*IF(Upgrades!$T$19="Brown Dwarf",POWER(Upgrades!$U$19,K227),1)*IF(Upgrades!$T$20="Brown Dwarf",POWER(Upgrades!$U$20,L227),1)*IF(Upgrades!$T$21="Brown Dwarf",POWER(Upgrades!$U$21,M227),1))+(IF(J227=0,0,(Upgrades!$M$18+J227*Upgrades!$N$18)*POWER(Upgrades!$O$18,J227)))*(IF(Upgrades!$T$13="Binary Partner",POWER(Upgrades!$U$13,E227),1)*IF(Upgrades!$T$14="Binary Partner",POWER(Upgrades!$U$14,F227),1)*IF(Upgrades!$T$15="Binary Partner",POWER(Upgrades!$U$15,G227),1)*IF(Upgrades!$T$16="Binary Partner",POWER(Upgrades!$U$16,H227),1)*IF(Upgrades!$T$17="Binary Partner",POWER(Upgrades!$U$17,I227),1)*IF(Upgrades!$T$19="Binary Partner",POWER(Upgrades!$U$19,K227),1)*IF(Upgrades!$T$20="Binary Partner",POWER(Upgrades!$U$20,L227),1)*IF(Upgrades!$T$21="Binary Partner",POWER(Upgrades!$U$21,M227),1))+(IF(K227=0,0,(Upgrades!$M$19+K227*Upgrades!$N$19)*POWER(Upgrades!$O$19,K227)))*(IF(Upgrades!$T$13="Peculiar Velocity",POWER(Upgrades!$U$13,E227),1)*IF(Upgrades!$T$14="Peculiar Velocity",POWER(Upgrades!$U$14,F227),1)*IF(Upgrades!$T$15="Peculiar Velocity",POWER(Upgrades!$U$15,G227),1)*IF(Upgrades!$T$16="Peculiar Velocity",POWER(Upgrades!$U$16,H227),1)*IF(Upgrades!$T$17="Peculiar Velocity",POWER(Upgrades!$U$17,I227),1)*IF(Upgrades!$T$18="Peculiar Velocity",POWER(Upgrades!$U$18,J227),1)*IF(Upgrades!$T$20="Peculiar Velocity",POWER(Upgrades!$U$20,L227),1)*IF(Upgrades!$T$21="Peculiar Velocity",POWER(Upgrades!$U$21,M227),1))+(IF(L227=0,0,(Upgrades!$M$20+L227*Upgrades!$N$20)*POWER(Upgrades!$O$20,L227)))*(IF(Upgrades!$T$13="Open Cluster",POWER(Upgrades!$U$13,E227),1)*IF(Upgrades!$T$14="Open Cluster",POWER(Upgrades!$U$14,F227),1)*IF(Upgrades!$T$15="Open Cluster",POWER(Upgrades!$U$15,G227),1)*IF(Upgrades!$T$16="Open Cluster",POWER(Upgrades!$U$16,H227),1)*IF(Upgrades!$T$17="Open Cluster",POWER(Upgrades!$U$17,I227),1)*IF(Upgrades!$T$18="Open Cluster",POWER(Upgrades!$U$18,J227),1)*IF(Upgrades!$T$19="Open Cluster",POWER(Upgrades!$U$19,K227),1)*IF(Upgrades!$T$21="Open Cluster",POWER(Upgrades!$U$21,M227),1))+(IF(M227=0,0,(Upgrades!$M$21+M227*Upgrades!$N$21)*POWER(Upgrades!$O$21,M227)))*(IF(Upgrades!$T$13="Moving Group",POWER(Upgrades!$U$13,E227),1)*IF(Upgrades!$T$14="Moving Group",POWER(Upgrades!$U$14,F227),1)*IF(Upgrades!$T$15="Moving Group",POWER(Upgrades!$U$15,G227),1)*IF(Upgrades!$T$16="Moving Group",POWER(Upgrades!$U$16,H227),1)*IF(Upgrades!$T$17="Moving Group",POWER(Upgrades!$U$17,I227),1)*IF(Upgrades!$T$18="Moving Group",POWER(Upgrades!$U$18,J227),1)*IF(Upgrades!$T$19="Moving Group",POWER(Upgrades!$U$19,K227),1)*IF(Upgrades!$T$20="Moving Group",POWER(Upgrades!$U$20,L227),1)))*POWER(Upgrades!$R$13,E227)*POWER(Upgrades!$R$14,F227)*POWER(Upgrades!$R$15,G227)*POWER(Upgrades!$R$16,H227)*POWER(Upgrades!$R$17,I227)*POWER(Upgrades!$R$18,J227)*POWER(Upgrades!$R$19,K227)*POWER(Upgrades!$R$20,L227)*POWER(Upgrades!$R$21,M227)*$H$6+$E$6</f>
        <v/>
      </c>
      <c r="R227" s="27">
        <f>IF(N227=1,0,O227*Parameters!$B$10/60*Parameters!$B$11*10)</f>
        <v/>
      </c>
      <c r="S227" s="27">
        <f>IF(N227=1,0,Q227*O227*10)</f>
        <v/>
      </c>
      <c r="T227" s="27">
        <f>IF(N227=1,0,R227+S227+P227*10)</f>
        <v/>
      </c>
      <c r="U227" s="33">
        <f>BE227</f>
        <v/>
      </c>
      <c r="V227" s="22">
        <f>IF(U227="",0,IF(U227="transition",0,IF(U227="SK",AK227,IF(U227="LB",AL227,IF(U227="ML",AM227,IF(U227="RLO",AN227,IF(U227="BD",AO227,IF(U227="BiP",AP227,IF(U227="PV",AQ227,IF(U227="OC",AR227,IF(U227="MG",AS227,0))))))))))</f>
        <v/>
      </c>
      <c r="W227" s="27">
        <f>IF(U227="BiP",Upgrades!$F$18,IF(U227="PV",Upgrades!$F$19,IF(U227="OC",Upgrades!$F$20,IF(U227="MG",Upgrades!$F$21,IF(U227="transition",-Parameters!$B$18*Parameters!$B$19,0)))))</f>
        <v/>
      </c>
      <c r="X227" s="22">
        <f>C227+T227-V227</f>
        <v/>
      </c>
      <c r="Y227" s="30">
        <f>O227*Parameters!$B$10/60*Parameters!$B$11+Q227*O227+P227</f>
        <v/>
      </c>
      <c r="Z227" s="34">
        <f>IF(U227="transition","→ Tier 3 (Galactic Arm)",IF(U227="MG","Moving Group — pocket drifts together",IF(U227="OC","Open Cluster acquired",IF(U227="PV","Peculiar Velocity — passive multiplier active",IF(U227="BiP","Binary Partner — pair bond formed",IF(AND(AU227=1,N227=0,AT227&lt;&gt;1),"Cohesion ready (waiting on completionists)","")))))) </f>
        <v/>
      </c>
      <c r="AA227" s="27">
        <f>(IF(E227=0,0,(Upgrades!$G$13+E227*Upgrades!$H$13)*POWER(Upgrades!$I$13,E227)))*(IF(Upgrades!$T$14="Stellar Kinematics",POWER(Upgrades!$U$14,F227),1)*IF(Upgrades!$T$15="Stellar Kinematics",POWER(Upgrades!$U$15,G227),1)*IF(Upgrades!$T$16="Stellar Kinematics",POWER(Upgrades!$U$16,H227),1)*IF(Upgrades!$T$17="Stellar Kinematics",POWER(Upgrades!$U$17,I227),1)*IF(Upgrades!$T$18="Stellar Kinematics",POWER(Upgrades!$U$18,J227),1)*IF(Upgrades!$T$19="Stellar Kinematics",POWER(Upgrades!$U$19,K227),1)*IF(Upgrades!$T$20="Stellar Kinematics",POWER(Upgrades!$U$20,L227),1)*IF(Upgrades!$T$21="Stellar Kinematics",POWER(Upgrades!$U$21,M227),1))*POWER(Upgrades!$P$13,E227)*POWER(Upgrades!$P$14,F227)*POWER(Upgrades!$P$15,G227)*POWER(Upgrades!$P$16,H227)*POWER(Upgrades!$P$17,I227)*POWER(Upgrades!$P$18,J227)*POWER(Upgrades!$P$19,K227)*POWER(Upgrades!$P$20,L227)*POWER(Upgrades!$P$21,M227)*$F$6*60</f>
        <v/>
      </c>
      <c r="AB227" s="27">
        <f>(IF(F227=0,0,(Upgrades!$G$14+F227*Upgrades!$H$14)*POWER(Upgrades!$I$14,F227)))*(IF(Upgrades!$T$13="Local Bubble",POWER(Upgrades!$U$13,E227),1)*IF(Upgrades!$T$15="Local Bubble",POWER(Upgrades!$U$15,G227),1)*IF(Upgrades!$T$16="Local Bubble",POWER(Upgrades!$U$16,H227),1)*IF(Upgrades!$T$17="Local Bubble",POWER(Upgrades!$U$17,I227),1)*IF(Upgrades!$T$18="Local Bubble",POWER(Upgrades!$U$18,J227),1)*IF(Upgrades!$T$19="Local Bubble",POWER(Upgrades!$U$19,K227),1)*IF(Upgrades!$T$20="Local Bubble",POWER(Upgrades!$U$20,L227),1)*IF(Upgrades!$T$21="Local Bubble",POWER(Upgrades!$U$21,M227),1))*POWER(Upgrades!$P$13,E227)*POWER(Upgrades!$P$14,F227)*POWER(Upgrades!$P$15,G227)*POWER(Upgrades!$P$16,H227)*POWER(Upgrades!$P$17,I227)*POWER(Upgrades!$P$18,J227)*POWER(Upgrades!$P$19,K227)*POWER(Upgrades!$P$20,L227)*POWER(Upgrades!$P$21,M227)*$F$6*60</f>
        <v/>
      </c>
      <c r="AC227" s="27">
        <f>(IF(G227=0,0,(Upgrades!$J$15+G227*Upgrades!$K$15)*POWER(Upgrades!$L$15,G227)))*(IF(Upgrades!$T$13="Microlensing",POWER(Upgrades!$U$13,E227),1)*IF(Upgrades!$T$14="Microlensing",POWER(Upgrades!$U$14,F227),1)*IF(Upgrades!$T$16="Microlensing",POWER(Upgrades!$U$16,H227),1)*IF(Upgrades!$T$17="Microlensing",POWER(Upgrades!$U$17,I227),1)*IF(Upgrades!$T$18="Microlensing",POWER(Upgrades!$U$18,J227),1)*IF(Upgrades!$T$19="Microlensing",POWER(Upgrades!$U$19,K227),1)*IF(Upgrades!$T$20="Microlensing",POWER(Upgrades!$U$20,L227),1)*IF(Upgrades!$T$21="Microlensing",POWER(Upgrades!$U$21,M227),1))*POWER(Upgrades!$Q$13,E227)*POWER(Upgrades!$Q$14,F227)*POWER(Upgrades!$Q$15,G227)*POWER(Upgrades!$Q$16,H227)*POWER(Upgrades!$Q$17,I227)*POWER(Upgrades!$Q$18,J227)*POWER(Upgrades!$Q$19,K227)*POWER(Upgrades!$Q$20,L227)*POWER(Upgrades!$Q$21,M227)*$G$6*(Parameters!$B$10*Parameters!$B$11+Q227*60)</f>
        <v/>
      </c>
      <c r="AD227" s="27">
        <f>(IF(H227=0,0,(Upgrades!$M$16+H227*Upgrades!$N$16)*POWER(Upgrades!$O$16,H227)))*(IF(Upgrades!$T$13="Roche Lobe Overflow",POWER(Upgrades!$U$13,E227),1)*IF(Upgrades!$T$14="Roche Lobe Overflow",POWER(Upgrades!$U$14,F227),1)*IF(Upgrades!$T$15="Roche Lobe Overflow",POWER(Upgrades!$U$15,G227),1)*IF(Upgrades!$T$17="Roche Lobe Overflow",POWER(Upgrades!$U$17,I227),1)*IF(Upgrades!$T$18="Roche Lobe Overflow",POWER(Upgrades!$U$18,J227),1)*IF(Upgrades!$T$19="Roche Lobe Overflow",POWER(Upgrades!$U$19,K227),1)*IF(Upgrades!$T$20="Roche Lobe Overflow",POWER(Upgrades!$U$20,L227),1)*IF(Upgrades!$T$21="Roche Lobe Overflow",POWER(Upgrades!$U$21,M227),1))*POWER(Upgrades!$R$13,E227)*POWER(Upgrades!$R$14,F227)*POWER(Upgrades!$R$15,G227)*POWER(Upgrades!$R$16,H227)*POWER(Upgrades!$R$17,I227)*POWER(Upgrades!$R$18,J227)*POWER(Upgrades!$R$19,K227)*POWER(Upgrades!$R$20,L227)*POWER(Upgrades!$R$21,M227)*$H$6*O227*60</f>
        <v/>
      </c>
      <c r="AE227" s="27">
        <f>(IF(I227=0,0,(Upgrades!$G$17+I227*Upgrades!$H$17)*POWER(Upgrades!$I$17,I227)))*(IF(Upgrades!$T$13="Brown Dwarf",POWER(Upgrades!$U$13,E227),1)*IF(Upgrades!$T$14="Brown Dwarf",POWER(Upgrades!$U$14,F227),1)*IF(Upgrades!$T$15="Brown Dwarf",POWER(Upgrades!$U$15,G227),1)*IF(Upgrades!$T$16="Brown Dwarf",POWER(Upgrades!$U$16,H227),1)*IF(Upgrades!$T$18="Brown Dwarf",POWER(Upgrades!$U$18,J227),1)*IF(Upgrades!$T$19="Brown Dwarf",POWER(Upgrades!$U$19,K227),1)*IF(Upgrades!$T$20="Brown Dwarf",POWER(Upgrades!$U$20,L227),1)*IF(Upgrades!$T$21="Brown Dwarf",POWER(Upgrades!$U$21,M227),1))*POWER(Upgrades!$P$13,E227)*POWER(Upgrades!$P$14,F227)*POWER(Upgrades!$P$15,G227)*POWER(Upgrades!$P$16,H227)*POWER(Upgrades!$P$17,I227)*POWER(Upgrades!$P$18,J227)*POWER(Upgrades!$P$19,K227)*POWER(Upgrades!$P$20,L227)*POWER(Upgrades!$P$21,M227)*$F$6*60</f>
        <v/>
      </c>
      <c r="AF227" s="27" t="n">
        <v>0</v>
      </c>
      <c r="AG227" s="27" t="n">
        <v>0</v>
      </c>
      <c r="AH227" s="27" t="n">
        <v>0</v>
      </c>
      <c r="AI227" s="27">
        <f>(IF(M227=0,0,(Upgrades!$G$21+M227*Upgrades!$H$21)*POWER(Upgrades!$I$21,M227)))*(IF(Upgrades!$T$13="Moving Group",POWER(Upgrades!$U$13,E227),1)*IF(Upgrades!$T$14="Moving Group",POWER(Upgrades!$U$14,F227),1)*IF(Upgrades!$T$15="Moving Group",POWER(Upgrades!$U$15,G227),1)*IF(Upgrades!$T$16="Moving Group",POWER(Upgrades!$U$16,H227),1)*IF(Upgrades!$T$17="Moving Group",POWER(Upgrades!$U$17,I227),1)*IF(Upgrades!$T$18="Moving Group",POWER(Upgrades!$U$18,J227),1)*IF(Upgrades!$T$19="Moving Group",POWER(Upgrades!$U$19,K227),1)*IF(Upgrades!$T$20="Moving Group",POWER(Upgrades!$U$20,L227),1))*POWER(Upgrades!$P$13,E227)*POWER(Upgrades!$P$14,F227)*POWER(Upgrades!$P$15,G227)*POWER(Upgrades!$P$16,H227)*POWER(Upgrades!$P$17,I227)*POWER(Upgrades!$P$18,J227)*POWER(Upgrades!$P$19,K227)*POWER(Upgrades!$P$20,L227)*POWER(Upgrades!$P$21,M227)*$F$6*60</f>
        <v/>
      </c>
      <c r="AJ227" s="27">
        <f>$C$6*60</f>
        <v/>
      </c>
      <c r="AK227" s="22">
        <f>IF(E227&gt;=Upgrades!$E$13,"",Upgrades!$C$13*POWER(Upgrades!$D$13,E227))</f>
        <v/>
      </c>
      <c r="AL227" s="22">
        <f>IF(F227&gt;=Upgrades!$E$14,"",Upgrades!$C$14*POWER(Upgrades!$D$14,F227))</f>
        <v/>
      </c>
      <c r="AM227" s="22">
        <f>IF(G227&gt;=Upgrades!$E$15,"",Upgrades!$C$15*POWER(Upgrades!$D$15,G227))</f>
        <v/>
      </c>
      <c r="AN227" s="22">
        <f>IF(H227&gt;=Upgrades!$E$16,"",Upgrades!$C$16*POWER(Upgrades!$D$16,H227))</f>
        <v/>
      </c>
      <c r="AO227" s="22">
        <f>IF(I227&gt;=Upgrades!$E$17,"",Upgrades!$C$17*POWER(Upgrades!$D$17,I227))</f>
        <v/>
      </c>
      <c r="AP227" s="22">
        <f>IF(J227&gt;=Upgrades!$E$18,"",Upgrades!$C$18*POWER(Upgrades!$D$18,J227))</f>
        <v/>
      </c>
      <c r="AQ227" s="22">
        <f>IF(K227&gt;=Upgrades!$E$19,"",Upgrades!$C$19*POWER(Upgrades!$D$19,K227))</f>
        <v/>
      </c>
      <c r="AR227" s="22">
        <f>IF(L227&gt;=Upgrades!$E$20,"",Upgrades!$C$20*POWER(Upgrades!$D$20,L227))</f>
        <v/>
      </c>
      <c r="AS227" s="22">
        <f>IF(M227&gt;=Upgrades!$E$21,"",Upgrades!$C$21*POWER(Upgrades!$D$21,M227))</f>
        <v/>
      </c>
      <c r="AT227" s="26">
        <f>IF(AND(D227&gt;=Parameters!$B$18*Parameters!$B$19,(I227&gt;=Upgrades!$E$17)*(M227&gt;=Upgrades!$E$21)=1,N227=0),1,"")</f>
        <v/>
      </c>
      <c r="AU227" s="26">
        <f>IF(AND(D227&gt;=Parameters!$B$18*Parameters!$B$19,N227=0),1,"")</f>
        <v/>
      </c>
      <c r="AV227" s="22">
        <f>MIN(IF(ISNUMBER(AP227),AP227,9E15),IF(ISNUMBER(AQ227),AQ227,9E15),IF(ISNUMBER(AR227),AR227,9E15),IF(ISNUMBER(AS227),AS227,9E15))</f>
        <v/>
      </c>
      <c r="AW227" s="22">
        <f>MIN(IF(ISNUMBER(AK227),AK227,9E15),IF(ISNUMBER(AL227),AL227,9E15),IF(ISNUMBER(AM227),AM227,9E15),IF(ISNUMBER(AN227),AN227,9E15),IF(ISNUMBER(AO227),AO227,9E15))</f>
        <v/>
      </c>
      <c r="AX227" s="29">
        <f>IF(BD227&gt;Parameters!$B$21*(MAX(IF(AND(NOT(AND(AU227=1,AT227&lt;&gt;1)),ISNUMBER(AK227),AK227&lt;=(C227+T227)),AY227,0),IF(AND(NOT(AND(AU227=1,AT227&lt;&gt;1)),ISNUMBER(AL227),AL227&lt;=(C227+T227)),AZ227,0),IF(AND(NOT(AND(AU227=1,AT227&lt;&gt;1)),ISNUMBER(AM227),AM227&lt;=(C227+T227)),BA227,0),IF(AND(NOT(AND(AU227=1,AT227&lt;&gt;1)),ISNUMBER(AN227),AN227&lt;=(C227+T227)),BB227,0),IF(AND(ISNUMBER(AO227),AO227&lt;=(C227+T227)),BC227,0))),TRUE,FALSE)</f>
        <v/>
      </c>
      <c r="AY227" s="32">
        <f>IFERROR(Upgrades!$H$13*(POWER(Upgrades!$P$13,E227)*POWER(Upgrades!$P$14,F227)*POWER(Upgrades!$P$15,G227)*POWER(Upgrades!$P$16,H227)*POWER(Upgrades!$P$17,I227)*POWER(Upgrades!$P$18,J227)*POWER(Upgrades!$P$19,K227)*POWER(Upgrades!$P$20,L227)*POWER(Upgrades!$P$21,M227))*(IF(Upgrades!$T$14="Stellar Kinematics",POWER(Upgrades!$U$14,F227),1)*IF(Upgrades!$T$15="Stellar Kinematics",POWER(Upgrades!$U$15,G227),1)*IF(Upgrades!$T$16="Stellar Kinematics",POWER(Upgrades!$U$16,H227),1)*IF(Upgrades!$T$17="Stellar Kinematics",POWER(Upgrades!$U$17,I227),1)*IF(Upgrades!$T$18="Stellar Kinematics",POWER(Upgrades!$U$18,J227),1)*IF(Upgrades!$T$19="Stellar Kinematics",POWER(Upgrades!$U$19,K227),1)*IF(Upgrades!$T$20="Stellar Kinematics",POWER(Upgrades!$U$20,L227),1)*IF(Upgrades!$T$21="Stellar Kinematics",POWER(Upgrades!$U$21,M227),1))*$F$6/AK227,0)</f>
        <v/>
      </c>
      <c r="AZ227" s="32">
        <f>IFERROR(Upgrades!$H$14*(POWER(Upgrades!$P$13,E227)*POWER(Upgrades!$P$14,F227)*POWER(Upgrades!$P$15,G227)*POWER(Upgrades!$P$16,H227)*POWER(Upgrades!$P$17,I227)*POWER(Upgrades!$P$18,J227)*POWER(Upgrades!$P$19,K227)*POWER(Upgrades!$P$20,L227)*POWER(Upgrades!$P$21,M227))*(IF(Upgrades!$T$13="Local Bubble",POWER(Upgrades!$U$13,E227),1)*IF(Upgrades!$T$15="Local Bubble",POWER(Upgrades!$U$15,G227),1)*IF(Upgrades!$T$16="Local Bubble",POWER(Upgrades!$U$16,H227),1)*IF(Upgrades!$T$17="Local Bubble",POWER(Upgrades!$U$17,I227),1)*IF(Upgrades!$T$18="Local Bubble",POWER(Upgrades!$U$18,J227),1)*IF(Upgrades!$T$19="Local Bubble",POWER(Upgrades!$U$19,K227),1)*IF(Upgrades!$T$20="Local Bubble",POWER(Upgrades!$U$20,L227),1)*IF(Upgrades!$T$21="Local Bubble",POWER(Upgrades!$U$21,M227),1))*$F$6/AL227,0)</f>
        <v/>
      </c>
      <c r="BA227" s="32">
        <f>IFERROR(Upgrades!$K$15*(POWER(Upgrades!$Q$13,E227)*POWER(Upgrades!$Q$14,F227)*POWER(Upgrades!$Q$15,G227)*POWER(Upgrades!$Q$16,H227)*POWER(Upgrades!$Q$17,I227)*POWER(Upgrades!$Q$18,J227)*POWER(Upgrades!$Q$19,K227)*POWER(Upgrades!$Q$20,L227)*POWER(Upgrades!$Q$21,M227))*(IF(Upgrades!$T$13="Microlensing",POWER(Upgrades!$U$13,E227),1)*IF(Upgrades!$T$14="Microlensing",POWER(Upgrades!$U$14,F227),1)*IF(Upgrades!$T$16="Microlensing",POWER(Upgrades!$U$16,H227),1)*IF(Upgrades!$T$17="Microlensing",POWER(Upgrades!$U$17,I227),1)*IF(Upgrades!$T$18="Microlensing",POWER(Upgrades!$U$18,J227),1)*IF(Upgrades!$T$19="Microlensing",POWER(Upgrades!$U$19,K227),1)*IF(Upgrades!$T$20="Microlensing",POWER(Upgrades!$U$20,L227),1)*IF(Upgrades!$T$21="Microlensing",POWER(Upgrades!$U$21,M227),1))*$G$6*(Parameters!$B$10/60*Parameters!$B$11+Q227)/AM227,0)</f>
        <v/>
      </c>
      <c r="BB227" s="32">
        <f>IFERROR((Upgrades!$N$16*(POWER(Upgrades!$R$13,E227)*POWER(Upgrades!$R$14,F227)*POWER(Upgrades!$R$15,G227)*POWER(Upgrades!$R$16,H227)*POWER(Upgrades!$R$17,I227)*POWER(Upgrades!$R$18,J227)*POWER(Upgrades!$R$19,K227)*POWER(Upgrades!$R$20,L227)*POWER(Upgrades!$R$21,M227))*(IF(Upgrades!$T$13="Roche Lobe Overflow",POWER(Upgrades!$U$13,E227),1)*IF(Upgrades!$T$14="Roche Lobe Overflow",POWER(Upgrades!$U$14,F227),1)*IF(Upgrades!$T$15="Roche Lobe Overflow",POWER(Upgrades!$U$15,G227),1)*IF(Upgrades!$T$17="Roche Lobe Overflow",POWER(Upgrades!$U$17,I227),1)*IF(Upgrades!$T$18="Roche Lobe Overflow",POWER(Upgrades!$U$18,J227),1)*IF(Upgrades!$T$19="Roche Lobe Overflow",POWER(Upgrades!$U$19,K227),1)*IF(Upgrades!$T$20="Roche Lobe Overflow",POWER(Upgrades!$U$20,L227),1)*IF(Upgrades!$T$21="Roche Lobe Overflow",POWER(Upgrades!$U$21,M227),1))*$H$6*O227+((IF(F227=0,0,(Upgrades!$G$14+F227*Upgrades!$H$14)*POWER(Upgrades!$I$14,F227)))*(IF(Upgrades!$T$13="Local Bubble",POWER(Upgrades!$U$13,E227),1)*IF(Upgrades!$T$15="Local Bubble",POWER(Upgrades!$U$15,G227),1)*IF(Upgrades!$T$16="Local Bubble",POWER(Upgrades!$U$16,H227),1)*IF(Upgrades!$T$17="Local Bubble",POWER(Upgrades!$U$17,I227),1)*IF(Upgrades!$T$18="Local Bubble",POWER(Upgrades!$U$18,J227),1)*IF(Upgrades!$T$19="Local Bubble",POWER(Upgrades!$U$19,K227),1)*IF(Upgrades!$T$20="Local Bubble",POWER(Upgrades!$U$20,L227),1)*IF(Upgrades!$T$21="Local Bubble",POWER(Upgrades!$U$21,M227),1))*POWER(Upgrades!$P$13,E227)*POWER(Upgrades!$P$14,F227)*POWER(Upgrades!$P$15,G227)*POWER(Upgrades!$P$16,H227)*POWER(Upgrades!$P$17,I227)*POWER(Upgrades!$P$18,J227)*POWER(Upgrades!$P$19,K227)*POWER(Upgrades!$P$20,L227)*POWER(Upgrades!$P$21,M227)*$F$6)*0.05)/AN227,0)</f>
        <v/>
      </c>
      <c r="BC227" s="32">
        <f>IFERROR((Upgrades!$H$17*(POWER(Upgrades!$P$13,E227)*POWER(Upgrades!$P$14,F227)*POWER(Upgrades!$P$15,G227)*POWER(Upgrades!$P$16,H227)*POWER(Upgrades!$P$17,I227)*POWER(Upgrades!$P$18,J227)*POWER(Upgrades!$P$19,K227)*POWER(Upgrades!$P$20,L227)*POWER(Upgrades!$P$21,M227))*(IF(Upgrades!$T$13="Brown Dwarf",POWER(Upgrades!$U$13,E227),1)*IF(Upgrades!$T$14="Brown Dwarf",POWER(Upgrades!$U$14,F227),1)*IF(Upgrades!$T$15="Brown Dwarf",POWER(Upgrades!$U$15,G227),1)*IF(Upgrades!$T$16="Brown Dwarf",POWER(Upgrades!$U$16,H227),1)*IF(Upgrades!$T$18="Brown Dwarf",POWER(Upgrades!$U$18,J227),1)*IF(Upgrades!$T$19="Brown Dwarf",POWER(Upgrades!$U$19,K227),1)*IF(Upgrades!$T$20="Brown Dwarf",POWER(Upgrades!$U$20,L227),1)*IF(Upgrades!$T$21="Brown Dwarf",POWER(Upgrades!$U$21,M227),1))*$F$6+(((IF(H227=0,0,(Upgrades!$M$16+H227*Upgrades!$N$16)*POWER(Upgrades!$O$16,H227)))*(IF(Upgrades!$T$13="Roche Lobe Overflow",POWER(Upgrades!$U$13,E227),1)*IF(Upgrades!$T$14="Roche Lobe Overflow",POWER(Upgrades!$U$14,F227),1)*IF(Upgrades!$T$15="Roche Lobe Overflow",POWER(Upgrades!$U$15,G227),1)*IF(Upgrades!$T$17="Roche Lobe Overflow",POWER(Upgrades!$U$17,I227),1)*IF(Upgrades!$T$18="Roche Lobe Overflow",POWER(Upgrades!$U$18,J227),1)*IF(Upgrades!$T$19="Roche Lobe Overflow",POWER(Upgrades!$U$19,K227),1)*IF(Upgrades!$T$20="Roche Lobe Overflow",POWER(Upgrades!$U$20,L227),1)*IF(Upgrades!$T$21="Roche Lobe Overflow",POWER(Upgrades!$U$21,M227),1))*POWER(Upgrades!$R$13,E227)*POWER(Upgrades!$R$14,F227)*POWER(Upgrades!$R$15,G227)*POWER(Upgrades!$R$16,H227)*POWER(Upgrades!$R$17,I227)*POWER(Upgrades!$R$18,J227)*POWER(Upgrades!$R$19,K227)*POWER(Upgrades!$R$20,L227)*POWER(Upgrades!$R$21,M227)*$H$6)*O227)*0.10)/AO227,0)</f>
        <v/>
      </c>
      <c r="BD227" s="32">
        <f>MAX(IF(J227&gt;0,0,IFERROR(0.5*((IF(G227=0,0,(Upgrades!$J$15+G227*Upgrades!$K$15)*POWER(Upgrades!$L$15,G227)))*(IF(Upgrades!$T$13="Microlensing",POWER(Upgrades!$U$13,E227),1)*IF(Upgrades!$T$14="Microlensing",POWER(Upgrades!$U$14,F227),1)*IF(Upgrades!$T$16="Microlensing",POWER(Upgrades!$U$16,H227),1)*IF(Upgrades!$T$17="Microlensing",POWER(Upgrades!$U$17,I227),1)*IF(Upgrades!$T$18="Microlensing",POWER(Upgrades!$U$18,J227),1)*IF(Upgrades!$T$19="Microlensing",POWER(Upgrades!$U$19,K227),1)*IF(Upgrades!$T$20="Microlensing",POWER(Upgrades!$U$20,L227),1)*IF(Upgrades!$T$21="Microlensing",POWER(Upgrades!$U$21,M227),1))*(POWER(Upgrades!$Q$13,E227)*POWER(Upgrades!$Q$14,F227)*POWER(Upgrades!$Q$15,G227)*POWER(Upgrades!$Q$16,H227)*POWER(Upgrades!$Q$17,I227)*POWER(Upgrades!$Q$18,J227)*POWER(Upgrades!$Q$19,K227)*POWER(Upgrades!$Q$20,L227)*POWER(Upgrades!$Q$21,M227))*$G$6*(Parameters!$B$10/60*Parameters!$B$11+Q227))/Upgrades!$C$18,0)),IF(K227&gt;0,0,IFERROR(0.30*P227/Upgrades!$C$19,0)),IF(L227&gt;0,0,IFERROR(0.0001/Upgrades!$C$20,0)),IF(M227&gt;0,0,IFERROR((6.0*(POWER(Upgrades!$P$13,E227)*POWER(Upgrades!$P$14,F227)*POWER(Upgrades!$P$15,G227)*POWER(Upgrades!$P$16,H227)*POWER(Upgrades!$P$17,I227)*POWER(Upgrades!$P$18,J227)*POWER(Upgrades!$P$19,K227)*POWER(Upgrades!$P$20,L227)*POWER(Upgrades!$P$21,M227))*$F$6+0.20*O227*(Parameters!$B$10/60*Parameters!$B$11+Q227))/Upgrades!$C$21,0)),IF(AND(ISNUMBER(AK227),AK227&gt;(C227+T227)),AY227,0),IF(AND(ISNUMBER(AL227),AL227&gt;(C227+T227)),AZ227,0),IF(AND(ISNUMBER(AM227),AM227&gt;(C227+T227)),BA227,0),IF(AND(ISNUMBER(AN227),AN227&gt;(C227+T227)),BB227,0),IF(AND(ISNUMBER(AO227),AO227&gt;(C227+T227)),BC227,0))</f>
        <v/>
      </c>
      <c r="BE227" s="29">
        <f>IF(AT227=1,"transition",IF(MIN(IF(AND(J227=0,ISNUMBER(AP227),AP227&lt;=(C227+T227)),AP227,9E15),IF(AND(K227=0,ISNUMBER(AQ227),AQ227&lt;=(C227+T227)),AQ227,9E15),IF(AND(L227=0,ISNUMBER(AR227),AR227&lt;=(C227+T227)),AR227,9E15),IF(AND(M227=0,ISNUMBER(AS227),AS227&lt;=(C227+T227)),AS227,9E15))&lt;9E15,IF(AND(AND(J227=0,ISNUMBER(AP227),AP227&lt;=(C227+T227)),AP227=MIN(IF(AND(J227=0,ISNUMBER(AP227),AP227&lt;=(C227+T227)),AP227,9E15),IF(AND(K227=0,ISNUMBER(AQ227),AQ227&lt;=(C227+T227)),AQ227,9E15),IF(AND(L227=0,ISNUMBER(AR227),AR227&lt;=(C227+T227)),AR227,9E15),IF(AND(M227=0,ISNUMBER(AS227),AS227&lt;=(C227+T227)),AS227,9E15))),"BiP",IF(AND(AND(K227=0,ISNUMBER(AQ227),AQ227&lt;=(C227+T227)),AQ227=MIN(IF(AND(J227=0,ISNUMBER(AP227),AP227&lt;=(C227+T227)),AP227,9E15),IF(AND(K227=0,ISNUMBER(AQ227),AQ227&lt;=(C227+T227)),AQ227,9E15),IF(AND(L227=0,ISNUMBER(AR227),AR227&lt;=(C227+T227)),AR227,9E15),IF(AND(M227=0,ISNUMBER(AS227),AS227&lt;=(C227+T227)),AS227,9E15))),"PV",IF(AND(AND(L227=0,ISNUMBER(AR227),AR227&lt;=(C227+T227)),AR227=MIN(IF(AND(J227=0,ISNUMBER(AP227),AP227&lt;=(C227+T227)),AP227,9E15),IF(AND(K227=0,ISNUMBER(AQ227),AQ227&lt;=(C227+T227)),AQ227,9E15),IF(AND(L227=0,ISNUMBER(AR227),AR227&lt;=(C227+T227)),AR227,9E15),IF(AND(M227=0,ISNUMBER(AS227),AS227&lt;=(C227+T227)),AS227,9E15))),"OC","MG"))),IF(AX227=TRUE,"",IF(MAX(IF(AND(NOT(AND(AU227=1,AT227&lt;&gt;1)),ISNUMBER(AK227),AK227&lt;=(C227+T227)),AY227,0),IF(AND(NOT(AND(AU227=1,AT227&lt;&gt;1)),ISNUMBER(AL227),AL227&lt;=(C227+T227)),AZ227,0),IF(AND(NOT(AND(AU227=1,AT227&lt;&gt;1)),ISNUMBER(AM227),AM227&lt;=(C227+T227)),BA227,0),IF(AND(NOT(AND(AU227=1,AT227&lt;&gt;1)),ISNUMBER(AN227),AN227&lt;=(C227+T227)),BB227,0),IF(AND(ISNUMBER(AO227),AO227&lt;=(C227+T227)),BC227,0))&lt;=0,"",IF(AND(IF(AND(NOT(AND(AU227=1,AT227&lt;&gt;1)),ISNUMBER(AK227),AK227&lt;=(C227+T227)),AY227,0)&gt;0,IF(AND(NOT(AND(AU227=1,AT227&lt;&gt;1)),ISNUMBER(AK227),AK227&lt;=(C227+T227)),AY227,0)=MAX(IF(AND(NOT(AND(AU227=1,AT227&lt;&gt;1)),ISNUMBER(AK227),AK227&lt;=(C227+T227)),AY227,0),IF(AND(NOT(AND(AU227=1,AT227&lt;&gt;1)),ISNUMBER(AL227),AL227&lt;=(C227+T227)),AZ227,0),IF(AND(NOT(AND(AU227=1,AT227&lt;&gt;1)),ISNUMBER(AM227),AM227&lt;=(C227+T227)),BA227,0),IF(AND(NOT(AND(AU227=1,AT227&lt;&gt;1)),ISNUMBER(AN227),AN227&lt;=(C227+T227)),BB227,0),IF(AND(ISNUMBER(AO227),AO227&lt;=(C227+T227)),BC227,0))),"SK",IF(AND(IF(AND(NOT(AND(AU227=1,AT227&lt;&gt;1)),ISNUMBER(AL227),AL227&lt;=(C227+T227)),AZ227,0)&gt;0,IF(AND(NOT(AND(AU227=1,AT227&lt;&gt;1)),ISNUMBER(AL227),AL227&lt;=(C227+T227)),AZ227,0)=MAX(IF(AND(NOT(AND(AU227=1,AT227&lt;&gt;1)),ISNUMBER(AK227),AK227&lt;=(C227+T227)),AY227,0),IF(AND(NOT(AND(AU227=1,AT227&lt;&gt;1)),ISNUMBER(AL227),AL227&lt;=(C227+T227)),AZ227,0),IF(AND(NOT(AND(AU227=1,AT227&lt;&gt;1)),ISNUMBER(AM227),AM227&lt;=(C227+T227)),BA227,0),IF(AND(NOT(AND(AU227=1,AT227&lt;&gt;1)),ISNUMBER(AN227),AN227&lt;=(C227+T227)),BB227,0),IF(AND(ISNUMBER(AO227),AO227&lt;=(C227+T227)),BC227,0))),"LB",IF(AND(IF(AND(NOT(AND(AU227=1,AT227&lt;&gt;1)),ISNUMBER(AM227),AM227&lt;=(C227+T227)),BA227,0)&gt;0,IF(AND(NOT(AND(AU227=1,AT227&lt;&gt;1)),ISNUMBER(AM227),AM227&lt;=(C227+T227)),BA227,0)=MAX(IF(AND(NOT(AND(AU227=1,AT227&lt;&gt;1)),ISNUMBER(AK227),AK227&lt;=(C227+T227)),AY227,0),IF(AND(NOT(AND(AU227=1,AT227&lt;&gt;1)),ISNUMBER(AL227),AL227&lt;=(C227+T227)),AZ227,0),IF(AND(NOT(AND(AU227=1,AT227&lt;&gt;1)),ISNUMBER(AM227),AM227&lt;=(C227+T227)),BA227,0),IF(AND(NOT(AND(AU227=1,AT227&lt;&gt;1)),ISNUMBER(AN227),AN227&lt;=(C227+T227)),BB227,0),IF(AND(ISNUMBER(AO227),AO227&lt;=(C227+T227)),BC227,0))),"ML",IF(AND(IF(AND(NOT(AND(AU227=1,AT227&lt;&gt;1)),ISNUMBER(AN227),AN227&lt;=(C227+T227)),BB227,0)&gt;0,IF(AND(NOT(AND(AU227=1,AT227&lt;&gt;1)),ISNUMBER(AN227),AN227&lt;=(C227+T227)),BB227,0)=MAX(IF(AND(NOT(AND(AU227=1,AT227&lt;&gt;1)),ISNUMBER(AK227),AK227&lt;=(C227+T227)),AY227,0),IF(AND(NOT(AND(AU227=1,AT227&lt;&gt;1)),ISNUMBER(AL227),AL227&lt;=(C227+T227)),AZ227,0),IF(AND(NOT(AND(AU227=1,AT227&lt;&gt;1)),ISNUMBER(AM227),AM227&lt;=(C227+T227)),BA227,0),IF(AND(NOT(AND(AU227=1,AT227&lt;&gt;1)),ISNUMBER(AN227),AN227&lt;=(C227+T227)),BB227,0),IF(AND(ISNUMBER(AO227),AO227&lt;=(C227+T227)),BC227,0))),"RLO","BD"))))))))</f>
        <v/>
      </c>
    </row>
    <row r="228">
      <c r="A228" s="26" t="n">
        <v>217</v>
      </c>
      <c r="B228" s="27">
        <f>A228*10/60</f>
        <v/>
      </c>
      <c r="C228" s="22">
        <f>X227</f>
        <v/>
      </c>
      <c r="D228" s="27">
        <f>D227+W227</f>
        <v/>
      </c>
      <c r="E228" s="26">
        <f>E227+IF(U227="SK",1,0)</f>
        <v/>
      </c>
      <c r="F228" s="26">
        <f>F227+IF(U227="LB",1,0)</f>
        <v/>
      </c>
      <c r="G228" s="26">
        <f>G227+IF(U227="ML",1,0)</f>
        <v/>
      </c>
      <c r="H228" s="26">
        <f>H227+IF(U227="RLO",1,0)</f>
        <v/>
      </c>
      <c r="I228" s="26">
        <f>I227+IF(U227="BD",1,0)</f>
        <v/>
      </c>
      <c r="J228" s="26">
        <f>MAX(J227,IF(U227="BiP",1,0))</f>
        <v/>
      </c>
      <c r="K228" s="26">
        <f>MAX(K227,IF(U227="PV",1,0))</f>
        <v/>
      </c>
      <c r="L228" s="26">
        <f>MAX(L227,IF(U227="OC",1,0))</f>
        <v/>
      </c>
      <c r="M228" s="26">
        <f>MAX(M227,IF(U227="MG",1,0))</f>
        <v/>
      </c>
      <c r="N228" s="26">
        <f>MAX(N227,IF(U227="transition",1,0))</f>
        <v/>
      </c>
      <c r="O228" s="28">
        <f>(Parameters!$B$9+(IF(E228=0,0,(Upgrades!$J$13+E228*Upgrades!$K$13)*POWER(Upgrades!$L$13,E228)))*(IF(Upgrades!$T$14="Stellar Kinematics",POWER(Upgrades!$U$14,F228),1)*IF(Upgrades!$T$15="Stellar Kinematics",POWER(Upgrades!$U$15,G228),1)*IF(Upgrades!$T$16="Stellar Kinematics",POWER(Upgrades!$U$16,H228),1)*IF(Upgrades!$T$17="Stellar Kinematics",POWER(Upgrades!$U$17,I228),1)*IF(Upgrades!$T$18="Stellar Kinematics",POWER(Upgrades!$U$18,J228),1)*IF(Upgrades!$T$19="Stellar Kinematics",POWER(Upgrades!$U$19,K228),1)*IF(Upgrades!$T$20="Stellar Kinematics",POWER(Upgrades!$U$20,L228),1)*IF(Upgrades!$T$21="Stellar Kinematics",POWER(Upgrades!$U$21,M228),1))+(IF(F228=0,0,(Upgrades!$J$14+F228*Upgrades!$K$14)*POWER(Upgrades!$L$14,F228)))*(IF(Upgrades!$T$13="Local Bubble",POWER(Upgrades!$U$13,E228),1)*IF(Upgrades!$T$15="Local Bubble",POWER(Upgrades!$U$15,G228),1)*IF(Upgrades!$T$16="Local Bubble",POWER(Upgrades!$U$16,H228),1)*IF(Upgrades!$T$17="Local Bubble",POWER(Upgrades!$U$17,I228),1)*IF(Upgrades!$T$18="Local Bubble",POWER(Upgrades!$U$18,J228),1)*IF(Upgrades!$T$19="Local Bubble",POWER(Upgrades!$U$19,K228),1)*IF(Upgrades!$T$20="Local Bubble",POWER(Upgrades!$U$20,L228),1)*IF(Upgrades!$T$21="Local Bubble",POWER(Upgrades!$U$21,M228),1))+(IF(G228=0,0,(Upgrades!$J$15+G228*Upgrades!$K$15)*POWER(Upgrades!$L$15,G228)))*(IF(Upgrades!$T$13="Microlensing",POWER(Upgrades!$U$13,E228),1)*IF(Upgrades!$T$14="Microlensing",POWER(Upgrades!$U$14,F228),1)*IF(Upgrades!$T$16="Microlensing",POWER(Upgrades!$U$16,H228),1)*IF(Upgrades!$T$17="Microlensing",POWER(Upgrades!$U$17,I228),1)*IF(Upgrades!$T$18="Microlensing",POWER(Upgrades!$U$18,J228),1)*IF(Upgrades!$T$19="Microlensing",POWER(Upgrades!$U$19,K228),1)*IF(Upgrades!$T$20="Microlensing",POWER(Upgrades!$U$20,L228),1)*IF(Upgrades!$T$21="Microlensing",POWER(Upgrades!$U$21,M228),1))+(IF(H228=0,0,(Upgrades!$J$16+H228*Upgrades!$K$16)*POWER(Upgrades!$L$16,H228)))*(IF(Upgrades!$T$13="Roche Lobe Overflow",POWER(Upgrades!$U$13,E228),1)*IF(Upgrades!$T$14="Roche Lobe Overflow",POWER(Upgrades!$U$14,F228),1)*IF(Upgrades!$T$15="Roche Lobe Overflow",POWER(Upgrades!$U$15,G228),1)*IF(Upgrades!$T$17="Roche Lobe Overflow",POWER(Upgrades!$U$17,I228),1)*IF(Upgrades!$T$18="Roche Lobe Overflow",POWER(Upgrades!$U$18,J228),1)*IF(Upgrades!$T$19="Roche Lobe Overflow",POWER(Upgrades!$U$19,K228),1)*IF(Upgrades!$T$20="Roche Lobe Overflow",POWER(Upgrades!$U$20,L228),1)*IF(Upgrades!$T$21="Roche Lobe Overflow",POWER(Upgrades!$U$21,M228),1))+(IF(I228=0,0,(Upgrades!$J$17+I228*Upgrades!$K$17)*POWER(Upgrades!$L$17,I228)))*(IF(Upgrades!$T$13="Brown Dwarf",POWER(Upgrades!$U$13,E228),1)*IF(Upgrades!$T$14="Brown Dwarf",POWER(Upgrades!$U$14,F228),1)*IF(Upgrades!$T$15="Brown Dwarf",POWER(Upgrades!$U$15,G228),1)*IF(Upgrades!$T$16="Brown Dwarf",POWER(Upgrades!$U$16,H228),1)*IF(Upgrades!$T$18="Brown Dwarf",POWER(Upgrades!$U$18,J228),1)*IF(Upgrades!$T$19="Brown Dwarf",POWER(Upgrades!$U$19,K228),1)*IF(Upgrades!$T$20="Brown Dwarf",POWER(Upgrades!$U$20,L228),1)*IF(Upgrades!$T$21="Brown Dwarf",POWER(Upgrades!$U$21,M228),1))+(IF(J228=0,0,(Upgrades!$J$18+J228*Upgrades!$K$18)*POWER(Upgrades!$L$18,J228)))*(IF(Upgrades!$T$13="Binary Partner",POWER(Upgrades!$U$13,E228),1)*IF(Upgrades!$T$14="Binary Partner",POWER(Upgrades!$U$14,F228),1)*IF(Upgrades!$T$15="Binary Partner",POWER(Upgrades!$U$15,G228),1)*IF(Upgrades!$T$16="Binary Partner",POWER(Upgrades!$U$16,H228),1)*IF(Upgrades!$T$17="Binary Partner",POWER(Upgrades!$U$17,I228),1)*IF(Upgrades!$T$19="Binary Partner",POWER(Upgrades!$U$19,K228),1)*IF(Upgrades!$T$20="Binary Partner",POWER(Upgrades!$U$20,L228),1)*IF(Upgrades!$T$21="Binary Partner",POWER(Upgrades!$U$21,M228),1))+(IF(K228=0,0,(Upgrades!$J$19+K228*Upgrades!$K$19)*POWER(Upgrades!$L$19,K228)))*(IF(Upgrades!$T$13="Peculiar Velocity",POWER(Upgrades!$U$13,E228),1)*IF(Upgrades!$T$14="Peculiar Velocity",POWER(Upgrades!$U$14,F228),1)*IF(Upgrades!$T$15="Peculiar Velocity",POWER(Upgrades!$U$15,G228),1)*IF(Upgrades!$T$16="Peculiar Velocity",POWER(Upgrades!$U$16,H228),1)*IF(Upgrades!$T$17="Peculiar Velocity",POWER(Upgrades!$U$17,I228),1)*IF(Upgrades!$T$18="Peculiar Velocity",POWER(Upgrades!$U$18,J228),1)*IF(Upgrades!$T$20="Peculiar Velocity",POWER(Upgrades!$U$20,L228),1)*IF(Upgrades!$T$21="Peculiar Velocity",POWER(Upgrades!$U$21,M228),1))+(IF(L228=0,0,(Upgrades!$J$20+L228*Upgrades!$K$20)*POWER(Upgrades!$L$20,L228)))*(IF(Upgrades!$T$13="Open Cluster",POWER(Upgrades!$U$13,E228),1)*IF(Upgrades!$T$14="Open Cluster",POWER(Upgrades!$U$14,F228),1)*IF(Upgrades!$T$15="Open Cluster",POWER(Upgrades!$U$15,G228),1)*IF(Upgrades!$T$16="Open Cluster",POWER(Upgrades!$U$16,H228),1)*IF(Upgrades!$T$17="Open Cluster",POWER(Upgrades!$U$17,I228),1)*IF(Upgrades!$T$18="Open Cluster",POWER(Upgrades!$U$18,J228),1)*IF(Upgrades!$T$19="Open Cluster",POWER(Upgrades!$U$19,K228),1)*IF(Upgrades!$T$21="Open Cluster",POWER(Upgrades!$U$21,M228),1))+(IF(M228=0,0,(Upgrades!$J$21+M228*Upgrades!$K$21)*POWER(Upgrades!$L$21,M228)))*(IF(Upgrades!$T$13="Moving Group",POWER(Upgrades!$U$13,E228),1)*IF(Upgrades!$T$14="Moving Group",POWER(Upgrades!$U$14,F228),1)*IF(Upgrades!$T$15="Moving Group",POWER(Upgrades!$U$15,G228),1)*IF(Upgrades!$T$16="Moving Group",POWER(Upgrades!$U$16,H228),1)*IF(Upgrades!$T$17="Moving Group",POWER(Upgrades!$U$17,I228),1)*IF(Upgrades!$T$18="Moving Group",POWER(Upgrades!$U$18,J228),1)*IF(Upgrades!$T$19="Moving Group",POWER(Upgrades!$U$19,K228),1)*IF(Upgrades!$T$20="Moving Group",POWER(Upgrades!$U$20,L228),1)))*POWER(Upgrades!$Q$13,E228)*POWER(Upgrades!$Q$14,F228)*POWER(Upgrades!$Q$15,G228)*POWER(Upgrades!$Q$16,H228)*POWER(Upgrades!$Q$17,I228)*POWER(Upgrades!$Q$18,J228)*POWER(Upgrades!$Q$19,K228)*POWER(Upgrades!$Q$20,L228)*POWER(Upgrades!$Q$21,M228)*$G$6+$D$6</f>
        <v/>
      </c>
      <c r="P228" s="28">
        <f>((IF(E228=0,0,(Upgrades!$G$13+E228*Upgrades!$H$13)*POWER(Upgrades!$I$13,E228)))*(IF(Upgrades!$T$14="Stellar Kinematics",POWER(Upgrades!$U$14,F228),1)*IF(Upgrades!$T$15="Stellar Kinematics",POWER(Upgrades!$U$15,G228),1)*IF(Upgrades!$T$16="Stellar Kinematics",POWER(Upgrades!$U$16,H228),1)*IF(Upgrades!$T$17="Stellar Kinematics",POWER(Upgrades!$U$17,I228),1)*IF(Upgrades!$T$18="Stellar Kinematics",POWER(Upgrades!$U$18,J228),1)*IF(Upgrades!$T$19="Stellar Kinematics",POWER(Upgrades!$U$19,K228),1)*IF(Upgrades!$T$20="Stellar Kinematics",POWER(Upgrades!$U$20,L228),1)*IF(Upgrades!$T$21="Stellar Kinematics",POWER(Upgrades!$U$21,M228),1))+(IF(F228=0,0,(Upgrades!$G$14+F228*Upgrades!$H$14)*POWER(Upgrades!$I$14,F228)))*(IF(Upgrades!$T$13="Local Bubble",POWER(Upgrades!$U$13,E228),1)*IF(Upgrades!$T$15="Local Bubble",POWER(Upgrades!$U$15,G228),1)*IF(Upgrades!$T$16="Local Bubble",POWER(Upgrades!$U$16,H228),1)*IF(Upgrades!$T$17="Local Bubble",POWER(Upgrades!$U$17,I228),1)*IF(Upgrades!$T$18="Local Bubble",POWER(Upgrades!$U$18,J228),1)*IF(Upgrades!$T$19="Local Bubble",POWER(Upgrades!$U$19,K228),1)*IF(Upgrades!$T$20="Local Bubble",POWER(Upgrades!$U$20,L228),1)*IF(Upgrades!$T$21="Local Bubble",POWER(Upgrades!$U$21,M228),1))+(IF(G228=0,0,(Upgrades!$G$15+G228*Upgrades!$H$15)*POWER(Upgrades!$I$15,G228)))*(IF(Upgrades!$T$13="Microlensing",POWER(Upgrades!$U$13,E228),1)*IF(Upgrades!$T$14="Microlensing",POWER(Upgrades!$U$14,F228),1)*IF(Upgrades!$T$16="Microlensing",POWER(Upgrades!$U$16,H228),1)*IF(Upgrades!$T$17="Microlensing",POWER(Upgrades!$U$17,I228),1)*IF(Upgrades!$T$18="Microlensing",POWER(Upgrades!$U$18,J228),1)*IF(Upgrades!$T$19="Microlensing",POWER(Upgrades!$U$19,K228),1)*IF(Upgrades!$T$20="Microlensing",POWER(Upgrades!$U$20,L228),1)*IF(Upgrades!$T$21="Microlensing",POWER(Upgrades!$U$21,M228),1))+(IF(H228=0,0,(Upgrades!$G$16+H228*Upgrades!$H$16)*POWER(Upgrades!$I$16,H228)))*(IF(Upgrades!$T$13="Roche Lobe Overflow",POWER(Upgrades!$U$13,E228),1)*IF(Upgrades!$T$14="Roche Lobe Overflow",POWER(Upgrades!$U$14,F228),1)*IF(Upgrades!$T$15="Roche Lobe Overflow",POWER(Upgrades!$U$15,G228),1)*IF(Upgrades!$T$17="Roche Lobe Overflow",POWER(Upgrades!$U$17,I228),1)*IF(Upgrades!$T$18="Roche Lobe Overflow",POWER(Upgrades!$U$18,J228),1)*IF(Upgrades!$T$19="Roche Lobe Overflow",POWER(Upgrades!$U$19,K228),1)*IF(Upgrades!$T$20="Roche Lobe Overflow",POWER(Upgrades!$U$20,L228),1)*IF(Upgrades!$T$21="Roche Lobe Overflow",POWER(Upgrades!$U$21,M228),1))+(IF(I228=0,0,(Upgrades!$G$17+I228*Upgrades!$H$17)*POWER(Upgrades!$I$17,I228)))*(IF(Upgrades!$T$13="Brown Dwarf",POWER(Upgrades!$U$13,E228),1)*IF(Upgrades!$T$14="Brown Dwarf",POWER(Upgrades!$U$14,F228),1)*IF(Upgrades!$T$15="Brown Dwarf",POWER(Upgrades!$U$15,G228),1)*IF(Upgrades!$T$16="Brown Dwarf",POWER(Upgrades!$U$16,H228),1)*IF(Upgrades!$T$18="Brown Dwarf",POWER(Upgrades!$U$18,J228),1)*IF(Upgrades!$T$19="Brown Dwarf",POWER(Upgrades!$U$19,K228),1)*IF(Upgrades!$T$20="Brown Dwarf",POWER(Upgrades!$U$20,L228),1)*IF(Upgrades!$T$21="Brown Dwarf",POWER(Upgrades!$U$21,M228),1))+(IF(J228=0,0,(Upgrades!$G$18+J228*Upgrades!$H$18)*POWER(Upgrades!$I$18,J228)))*(IF(Upgrades!$T$13="Binary Partner",POWER(Upgrades!$U$13,E228),1)*IF(Upgrades!$T$14="Binary Partner",POWER(Upgrades!$U$14,F228),1)*IF(Upgrades!$T$15="Binary Partner",POWER(Upgrades!$U$15,G228),1)*IF(Upgrades!$T$16="Binary Partner",POWER(Upgrades!$U$16,H228),1)*IF(Upgrades!$T$17="Binary Partner",POWER(Upgrades!$U$17,I228),1)*IF(Upgrades!$T$19="Binary Partner",POWER(Upgrades!$U$19,K228),1)*IF(Upgrades!$T$20="Binary Partner",POWER(Upgrades!$U$20,L228),1)*IF(Upgrades!$T$21="Binary Partner",POWER(Upgrades!$U$21,M228),1))+(IF(K228=0,0,(Upgrades!$G$19+K228*Upgrades!$H$19)*POWER(Upgrades!$I$19,K228)))*(IF(Upgrades!$T$13="Peculiar Velocity",POWER(Upgrades!$U$13,E228),1)*IF(Upgrades!$T$14="Peculiar Velocity",POWER(Upgrades!$U$14,F228),1)*IF(Upgrades!$T$15="Peculiar Velocity",POWER(Upgrades!$U$15,G228),1)*IF(Upgrades!$T$16="Peculiar Velocity",POWER(Upgrades!$U$16,H228),1)*IF(Upgrades!$T$17="Peculiar Velocity",POWER(Upgrades!$U$17,I228),1)*IF(Upgrades!$T$18="Peculiar Velocity",POWER(Upgrades!$U$18,J228),1)*IF(Upgrades!$T$20="Peculiar Velocity",POWER(Upgrades!$U$20,L228),1)*IF(Upgrades!$T$21="Peculiar Velocity",POWER(Upgrades!$U$21,M228),1))+(IF(L228=0,0,(Upgrades!$G$20+L228*Upgrades!$H$20)*POWER(Upgrades!$I$20,L228)))*(IF(Upgrades!$T$13="Open Cluster",POWER(Upgrades!$U$13,E228),1)*IF(Upgrades!$T$14="Open Cluster",POWER(Upgrades!$U$14,F228),1)*IF(Upgrades!$T$15="Open Cluster",POWER(Upgrades!$U$15,G228),1)*IF(Upgrades!$T$16="Open Cluster",POWER(Upgrades!$U$16,H228),1)*IF(Upgrades!$T$17="Open Cluster",POWER(Upgrades!$U$17,I228),1)*IF(Upgrades!$T$18="Open Cluster",POWER(Upgrades!$U$18,J228),1)*IF(Upgrades!$T$19="Open Cluster",POWER(Upgrades!$U$19,K228),1)*IF(Upgrades!$T$21="Open Cluster",POWER(Upgrades!$U$21,M228),1))+(IF(M228=0,0,(Upgrades!$G$21+M228*Upgrades!$H$21)*POWER(Upgrades!$I$21,M228)))*(IF(Upgrades!$T$13="Moving Group",POWER(Upgrades!$U$13,E228),1)*IF(Upgrades!$T$14="Moving Group",POWER(Upgrades!$U$14,F228),1)*IF(Upgrades!$T$15="Moving Group",POWER(Upgrades!$U$15,G228),1)*IF(Upgrades!$T$16="Moving Group",POWER(Upgrades!$U$16,H228),1)*IF(Upgrades!$T$17="Moving Group",POWER(Upgrades!$U$17,I228),1)*IF(Upgrades!$T$18="Moving Group",POWER(Upgrades!$U$18,J228),1)*IF(Upgrades!$T$19="Moving Group",POWER(Upgrades!$U$19,K228),1)*IF(Upgrades!$T$20="Moving Group",POWER(Upgrades!$U$20,L228),1)))*POWER(Upgrades!$P$13,E228)*POWER(Upgrades!$P$14,F228)*POWER(Upgrades!$P$15,G228)*POWER(Upgrades!$P$16,H228)*POWER(Upgrades!$P$17,I228)*POWER(Upgrades!$P$18,J228)*POWER(Upgrades!$P$19,K228)*POWER(Upgrades!$P$20,L228)*POWER(Upgrades!$P$21,M228)*$F$6+$C$6</f>
        <v/>
      </c>
      <c r="Q228" s="28">
        <f>((IF(E228=0,0,(Upgrades!$M$13+E228*Upgrades!$N$13)*POWER(Upgrades!$O$13,E228)))*(IF(Upgrades!$T$14="Stellar Kinematics",POWER(Upgrades!$U$14,F228),1)*IF(Upgrades!$T$15="Stellar Kinematics",POWER(Upgrades!$U$15,G228),1)*IF(Upgrades!$T$16="Stellar Kinematics",POWER(Upgrades!$U$16,H228),1)*IF(Upgrades!$T$17="Stellar Kinematics",POWER(Upgrades!$U$17,I228),1)*IF(Upgrades!$T$18="Stellar Kinematics",POWER(Upgrades!$U$18,J228),1)*IF(Upgrades!$T$19="Stellar Kinematics",POWER(Upgrades!$U$19,K228),1)*IF(Upgrades!$T$20="Stellar Kinematics",POWER(Upgrades!$U$20,L228),1)*IF(Upgrades!$T$21="Stellar Kinematics",POWER(Upgrades!$U$21,M228),1))+(IF(F228=0,0,(Upgrades!$M$14+F228*Upgrades!$N$14)*POWER(Upgrades!$O$14,F228)))*(IF(Upgrades!$T$13="Local Bubble",POWER(Upgrades!$U$13,E228),1)*IF(Upgrades!$T$15="Local Bubble",POWER(Upgrades!$U$15,G228),1)*IF(Upgrades!$T$16="Local Bubble",POWER(Upgrades!$U$16,H228),1)*IF(Upgrades!$T$17="Local Bubble",POWER(Upgrades!$U$17,I228),1)*IF(Upgrades!$T$18="Local Bubble",POWER(Upgrades!$U$18,J228),1)*IF(Upgrades!$T$19="Local Bubble",POWER(Upgrades!$U$19,K228),1)*IF(Upgrades!$T$20="Local Bubble",POWER(Upgrades!$U$20,L228),1)*IF(Upgrades!$T$21="Local Bubble",POWER(Upgrades!$U$21,M228),1))+(IF(G228=0,0,(Upgrades!$M$15+G228*Upgrades!$N$15)*POWER(Upgrades!$O$15,G228)))*(IF(Upgrades!$T$13="Microlensing",POWER(Upgrades!$U$13,E228),1)*IF(Upgrades!$T$14="Microlensing",POWER(Upgrades!$U$14,F228),1)*IF(Upgrades!$T$16="Microlensing",POWER(Upgrades!$U$16,H228),1)*IF(Upgrades!$T$17="Microlensing",POWER(Upgrades!$U$17,I228),1)*IF(Upgrades!$T$18="Microlensing",POWER(Upgrades!$U$18,J228),1)*IF(Upgrades!$T$19="Microlensing",POWER(Upgrades!$U$19,K228),1)*IF(Upgrades!$T$20="Microlensing",POWER(Upgrades!$U$20,L228),1)*IF(Upgrades!$T$21="Microlensing",POWER(Upgrades!$U$21,M228),1))+(IF(H228=0,0,(Upgrades!$M$16+H228*Upgrades!$N$16)*POWER(Upgrades!$O$16,H228)))*(IF(Upgrades!$T$13="Roche Lobe Overflow",POWER(Upgrades!$U$13,E228),1)*IF(Upgrades!$T$14="Roche Lobe Overflow",POWER(Upgrades!$U$14,F228),1)*IF(Upgrades!$T$15="Roche Lobe Overflow",POWER(Upgrades!$U$15,G228),1)*IF(Upgrades!$T$17="Roche Lobe Overflow",POWER(Upgrades!$U$17,I228),1)*IF(Upgrades!$T$18="Roche Lobe Overflow",POWER(Upgrades!$U$18,J228),1)*IF(Upgrades!$T$19="Roche Lobe Overflow",POWER(Upgrades!$U$19,K228),1)*IF(Upgrades!$T$20="Roche Lobe Overflow",POWER(Upgrades!$U$20,L228),1)*IF(Upgrades!$T$21="Roche Lobe Overflow",POWER(Upgrades!$U$21,M228),1))+(IF(I228=0,0,(Upgrades!$M$17+I228*Upgrades!$N$17)*POWER(Upgrades!$O$17,I228)))*(IF(Upgrades!$T$13="Brown Dwarf",POWER(Upgrades!$U$13,E228),1)*IF(Upgrades!$T$14="Brown Dwarf",POWER(Upgrades!$U$14,F228),1)*IF(Upgrades!$T$15="Brown Dwarf",POWER(Upgrades!$U$15,G228),1)*IF(Upgrades!$T$16="Brown Dwarf",POWER(Upgrades!$U$16,H228),1)*IF(Upgrades!$T$18="Brown Dwarf",POWER(Upgrades!$U$18,J228),1)*IF(Upgrades!$T$19="Brown Dwarf",POWER(Upgrades!$U$19,K228),1)*IF(Upgrades!$T$20="Brown Dwarf",POWER(Upgrades!$U$20,L228),1)*IF(Upgrades!$T$21="Brown Dwarf",POWER(Upgrades!$U$21,M228),1))+(IF(J228=0,0,(Upgrades!$M$18+J228*Upgrades!$N$18)*POWER(Upgrades!$O$18,J228)))*(IF(Upgrades!$T$13="Binary Partner",POWER(Upgrades!$U$13,E228),1)*IF(Upgrades!$T$14="Binary Partner",POWER(Upgrades!$U$14,F228),1)*IF(Upgrades!$T$15="Binary Partner",POWER(Upgrades!$U$15,G228),1)*IF(Upgrades!$T$16="Binary Partner",POWER(Upgrades!$U$16,H228),1)*IF(Upgrades!$T$17="Binary Partner",POWER(Upgrades!$U$17,I228),1)*IF(Upgrades!$T$19="Binary Partner",POWER(Upgrades!$U$19,K228),1)*IF(Upgrades!$T$20="Binary Partner",POWER(Upgrades!$U$20,L228),1)*IF(Upgrades!$T$21="Binary Partner",POWER(Upgrades!$U$21,M228),1))+(IF(K228=0,0,(Upgrades!$M$19+K228*Upgrades!$N$19)*POWER(Upgrades!$O$19,K228)))*(IF(Upgrades!$T$13="Peculiar Velocity",POWER(Upgrades!$U$13,E228),1)*IF(Upgrades!$T$14="Peculiar Velocity",POWER(Upgrades!$U$14,F228),1)*IF(Upgrades!$T$15="Peculiar Velocity",POWER(Upgrades!$U$15,G228),1)*IF(Upgrades!$T$16="Peculiar Velocity",POWER(Upgrades!$U$16,H228),1)*IF(Upgrades!$T$17="Peculiar Velocity",POWER(Upgrades!$U$17,I228),1)*IF(Upgrades!$T$18="Peculiar Velocity",POWER(Upgrades!$U$18,J228),1)*IF(Upgrades!$T$20="Peculiar Velocity",POWER(Upgrades!$U$20,L228),1)*IF(Upgrades!$T$21="Peculiar Velocity",POWER(Upgrades!$U$21,M228),1))+(IF(L228=0,0,(Upgrades!$M$20+L228*Upgrades!$N$20)*POWER(Upgrades!$O$20,L228)))*(IF(Upgrades!$T$13="Open Cluster",POWER(Upgrades!$U$13,E228),1)*IF(Upgrades!$T$14="Open Cluster",POWER(Upgrades!$U$14,F228),1)*IF(Upgrades!$T$15="Open Cluster",POWER(Upgrades!$U$15,G228),1)*IF(Upgrades!$T$16="Open Cluster",POWER(Upgrades!$U$16,H228),1)*IF(Upgrades!$T$17="Open Cluster",POWER(Upgrades!$U$17,I228),1)*IF(Upgrades!$T$18="Open Cluster",POWER(Upgrades!$U$18,J228),1)*IF(Upgrades!$T$19="Open Cluster",POWER(Upgrades!$U$19,K228),1)*IF(Upgrades!$T$21="Open Cluster",POWER(Upgrades!$U$21,M228),1))+(IF(M228=0,0,(Upgrades!$M$21+M228*Upgrades!$N$21)*POWER(Upgrades!$O$21,M228)))*(IF(Upgrades!$T$13="Moving Group",POWER(Upgrades!$U$13,E228),1)*IF(Upgrades!$T$14="Moving Group",POWER(Upgrades!$U$14,F228),1)*IF(Upgrades!$T$15="Moving Group",POWER(Upgrades!$U$15,G228),1)*IF(Upgrades!$T$16="Moving Group",POWER(Upgrades!$U$16,H228),1)*IF(Upgrades!$T$17="Moving Group",POWER(Upgrades!$U$17,I228),1)*IF(Upgrades!$T$18="Moving Group",POWER(Upgrades!$U$18,J228),1)*IF(Upgrades!$T$19="Moving Group",POWER(Upgrades!$U$19,K228),1)*IF(Upgrades!$T$20="Moving Group",POWER(Upgrades!$U$20,L228),1)))*POWER(Upgrades!$R$13,E228)*POWER(Upgrades!$R$14,F228)*POWER(Upgrades!$R$15,G228)*POWER(Upgrades!$R$16,H228)*POWER(Upgrades!$R$17,I228)*POWER(Upgrades!$R$18,J228)*POWER(Upgrades!$R$19,K228)*POWER(Upgrades!$R$20,L228)*POWER(Upgrades!$R$21,M228)*$H$6+$E$6</f>
        <v/>
      </c>
      <c r="R228" s="27">
        <f>IF(N228=1,0,O228*Parameters!$B$10/60*Parameters!$B$11*10)</f>
        <v/>
      </c>
      <c r="S228" s="27">
        <f>IF(N228=1,0,Q228*O228*10)</f>
        <v/>
      </c>
      <c r="T228" s="27">
        <f>IF(N228=1,0,R228+S228+P228*10)</f>
        <v/>
      </c>
      <c r="U228" s="33">
        <f>BE228</f>
        <v/>
      </c>
      <c r="V228" s="22">
        <f>IF(U228="",0,IF(U228="transition",0,IF(U228="SK",AK228,IF(U228="LB",AL228,IF(U228="ML",AM228,IF(U228="RLO",AN228,IF(U228="BD",AO228,IF(U228="BiP",AP228,IF(U228="PV",AQ228,IF(U228="OC",AR228,IF(U228="MG",AS228,0))))))))))</f>
        <v/>
      </c>
      <c r="W228" s="27">
        <f>IF(U228="BiP",Upgrades!$F$18,IF(U228="PV",Upgrades!$F$19,IF(U228="OC",Upgrades!$F$20,IF(U228="MG",Upgrades!$F$21,IF(U228="transition",-Parameters!$B$18*Parameters!$B$19,0)))))</f>
        <v/>
      </c>
      <c r="X228" s="22">
        <f>C228+T228-V228</f>
        <v/>
      </c>
      <c r="Y228" s="30">
        <f>O228*Parameters!$B$10/60*Parameters!$B$11+Q228*O228+P228</f>
        <v/>
      </c>
      <c r="Z228" s="34">
        <f>IF(U228="transition","→ Tier 3 (Galactic Arm)",IF(U228="MG","Moving Group — pocket drifts together",IF(U228="OC","Open Cluster acquired",IF(U228="PV","Peculiar Velocity — passive multiplier active",IF(U228="BiP","Binary Partner — pair bond formed",IF(AND(AU228=1,N228=0,AT228&lt;&gt;1),"Cohesion ready (waiting on completionists)","")))))) </f>
        <v/>
      </c>
      <c r="AA228" s="27">
        <f>(IF(E228=0,0,(Upgrades!$G$13+E228*Upgrades!$H$13)*POWER(Upgrades!$I$13,E228)))*(IF(Upgrades!$T$14="Stellar Kinematics",POWER(Upgrades!$U$14,F228),1)*IF(Upgrades!$T$15="Stellar Kinematics",POWER(Upgrades!$U$15,G228),1)*IF(Upgrades!$T$16="Stellar Kinematics",POWER(Upgrades!$U$16,H228),1)*IF(Upgrades!$T$17="Stellar Kinematics",POWER(Upgrades!$U$17,I228),1)*IF(Upgrades!$T$18="Stellar Kinematics",POWER(Upgrades!$U$18,J228),1)*IF(Upgrades!$T$19="Stellar Kinematics",POWER(Upgrades!$U$19,K228),1)*IF(Upgrades!$T$20="Stellar Kinematics",POWER(Upgrades!$U$20,L228),1)*IF(Upgrades!$T$21="Stellar Kinematics",POWER(Upgrades!$U$21,M228),1))*POWER(Upgrades!$P$13,E228)*POWER(Upgrades!$P$14,F228)*POWER(Upgrades!$P$15,G228)*POWER(Upgrades!$P$16,H228)*POWER(Upgrades!$P$17,I228)*POWER(Upgrades!$P$18,J228)*POWER(Upgrades!$P$19,K228)*POWER(Upgrades!$P$20,L228)*POWER(Upgrades!$P$21,M228)*$F$6*60</f>
        <v/>
      </c>
      <c r="AB228" s="27">
        <f>(IF(F228=0,0,(Upgrades!$G$14+F228*Upgrades!$H$14)*POWER(Upgrades!$I$14,F228)))*(IF(Upgrades!$T$13="Local Bubble",POWER(Upgrades!$U$13,E228),1)*IF(Upgrades!$T$15="Local Bubble",POWER(Upgrades!$U$15,G228),1)*IF(Upgrades!$T$16="Local Bubble",POWER(Upgrades!$U$16,H228),1)*IF(Upgrades!$T$17="Local Bubble",POWER(Upgrades!$U$17,I228),1)*IF(Upgrades!$T$18="Local Bubble",POWER(Upgrades!$U$18,J228),1)*IF(Upgrades!$T$19="Local Bubble",POWER(Upgrades!$U$19,K228),1)*IF(Upgrades!$T$20="Local Bubble",POWER(Upgrades!$U$20,L228),1)*IF(Upgrades!$T$21="Local Bubble",POWER(Upgrades!$U$21,M228),1))*POWER(Upgrades!$P$13,E228)*POWER(Upgrades!$P$14,F228)*POWER(Upgrades!$P$15,G228)*POWER(Upgrades!$P$16,H228)*POWER(Upgrades!$P$17,I228)*POWER(Upgrades!$P$18,J228)*POWER(Upgrades!$P$19,K228)*POWER(Upgrades!$P$20,L228)*POWER(Upgrades!$P$21,M228)*$F$6*60</f>
        <v/>
      </c>
      <c r="AC228" s="27">
        <f>(IF(G228=0,0,(Upgrades!$J$15+G228*Upgrades!$K$15)*POWER(Upgrades!$L$15,G228)))*(IF(Upgrades!$T$13="Microlensing",POWER(Upgrades!$U$13,E228),1)*IF(Upgrades!$T$14="Microlensing",POWER(Upgrades!$U$14,F228),1)*IF(Upgrades!$T$16="Microlensing",POWER(Upgrades!$U$16,H228),1)*IF(Upgrades!$T$17="Microlensing",POWER(Upgrades!$U$17,I228),1)*IF(Upgrades!$T$18="Microlensing",POWER(Upgrades!$U$18,J228),1)*IF(Upgrades!$T$19="Microlensing",POWER(Upgrades!$U$19,K228),1)*IF(Upgrades!$T$20="Microlensing",POWER(Upgrades!$U$20,L228),1)*IF(Upgrades!$T$21="Microlensing",POWER(Upgrades!$U$21,M228),1))*POWER(Upgrades!$Q$13,E228)*POWER(Upgrades!$Q$14,F228)*POWER(Upgrades!$Q$15,G228)*POWER(Upgrades!$Q$16,H228)*POWER(Upgrades!$Q$17,I228)*POWER(Upgrades!$Q$18,J228)*POWER(Upgrades!$Q$19,K228)*POWER(Upgrades!$Q$20,L228)*POWER(Upgrades!$Q$21,M228)*$G$6*(Parameters!$B$10*Parameters!$B$11+Q228*60)</f>
        <v/>
      </c>
      <c r="AD228" s="27">
        <f>(IF(H228=0,0,(Upgrades!$M$16+H228*Upgrades!$N$16)*POWER(Upgrades!$O$16,H228)))*(IF(Upgrades!$T$13="Roche Lobe Overflow",POWER(Upgrades!$U$13,E228),1)*IF(Upgrades!$T$14="Roche Lobe Overflow",POWER(Upgrades!$U$14,F228),1)*IF(Upgrades!$T$15="Roche Lobe Overflow",POWER(Upgrades!$U$15,G228),1)*IF(Upgrades!$T$17="Roche Lobe Overflow",POWER(Upgrades!$U$17,I228),1)*IF(Upgrades!$T$18="Roche Lobe Overflow",POWER(Upgrades!$U$18,J228),1)*IF(Upgrades!$T$19="Roche Lobe Overflow",POWER(Upgrades!$U$19,K228),1)*IF(Upgrades!$T$20="Roche Lobe Overflow",POWER(Upgrades!$U$20,L228),1)*IF(Upgrades!$T$21="Roche Lobe Overflow",POWER(Upgrades!$U$21,M228),1))*POWER(Upgrades!$R$13,E228)*POWER(Upgrades!$R$14,F228)*POWER(Upgrades!$R$15,G228)*POWER(Upgrades!$R$16,H228)*POWER(Upgrades!$R$17,I228)*POWER(Upgrades!$R$18,J228)*POWER(Upgrades!$R$19,K228)*POWER(Upgrades!$R$20,L228)*POWER(Upgrades!$R$21,M228)*$H$6*O228*60</f>
        <v/>
      </c>
      <c r="AE228" s="27">
        <f>(IF(I228=0,0,(Upgrades!$G$17+I228*Upgrades!$H$17)*POWER(Upgrades!$I$17,I228)))*(IF(Upgrades!$T$13="Brown Dwarf",POWER(Upgrades!$U$13,E228),1)*IF(Upgrades!$T$14="Brown Dwarf",POWER(Upgrades!$U$14,F228),1)*IF(Upgrades!$T$15="Brown Dwarf",POWER(Upgrades!$U$15,G228),1)*IF(Upgrades!$T$16="Brown Dwarf",POWER(Upgrades!$U$16,H228),1)*IF(Upgrades!$T$18="Brown Dwarf",POWER(Upgrades!$U$18,J228),1)*IF(Upgrades!$T$19="Brown Dwarf",POWER(Upgrades!$U$19,K228),1)*IF(Upgrades!$T$20="Brown Dwarf",POWER(Upgrades!$U$20,L228),1)*IF(Upgrades!$T$21="Brown Dwarf",POWER(Upgrades!$U$21,M228),1))*POWER(Upgrades!$P$13,E228)*POWER(Upgrades!$P$14,F228)*POWER(Upgrades!$P$15,G228)*POWER(Upgrades!$P$16,H228)*POWER(Upgrades!$P$17,I228)*POWER(Upgrades!$P$18,J228)*POWER(Upgrades!$P$19,K228)*POWER(Upgrades!$P$20,L228)*POWER(Upgrades!$P$21,M228)*$F$6*60</f>
        <v/>
      </c>
      <c r="AF228" s="27" t="n">
        <v>0</v>
      </c>
      <c r="AG228" s="27" t="n">
        <v>0</v>
      </c>
      <c r="AH228" s="27" t="n">
        <v>0</v>
      </c>
      <c r="AI228" s="27">
        <f>(IF(M228=0,0,(Upgrades!$G$21+M228*Upgrades!$H$21)*POWER(Upgrades!$I$21,M228)))*(IF(Upgrades!$T$13="Moving Group",POWER(Upgrades!$U$13,E228),1)*IF(Upgrades!$T$14="Moving Group",POWER(Upgrades!$U$14,F228),1)*IF(Upgrades!$T$15="Moving Group",POWER(Upgrades!$U$15,G228),1)*IF(Upgrades!$T$16="Moving Group",POWER(Upgrades!$U$16,H228),1)*IF(Upgrades!$T$17="Moving Group",POWER(Upgrades!$U$17,I228),1)*IF(Upgrades!$T$18="Moving Group",POWER(Upgrades!$U$18,J228),1)*IF(Upgrades!$T$19="Moving Group",POWER(Upgrades!$U$19,K228),1)*IF(Upgrades!$T$20="Moving Group",POWER(Upgrades!$U$20,L228),1))*POWER(Upgrades!$P$13,E228)*POWER(Upgrades!$P$14,F228)*POWER(Upgrades!$P$15,G228)*POWER(Upgrades!$P$16,H228)*POWER(Upgrades!$P$17,I228)*POWER(Upgrades!$P$18,J228)*POWER(Upgrades!$P$19,K228)*POWER(Upgrades!$P$20,L228)*POWER(Upgrades!$P$21,M228)*$F$6*60</f>
        <v/>
      </c>
      <c r="AJ228" s="27">
        <f>$C$6*60</f>
        <v/>
      </c>
      <c r="AK228" s="22">
        <f>IF(E228&gt;=Upgrades!$E$13,"",Upgrades!$C$13*POWER(Upgrades!$D$13,E228))</f>
        <v/>
      </c>
      <c r="AL228" s="22">
        <f>IF(F228&gt;=Upgrades!$E$14,"",Upgrades!$C$14*POWER(Upgrades!$D$14,F228))</f>
        <v/>
      </c>
      <c r="AM228" s="22">
        <f>IF(G228&gt;=Upgrades!$E$15,"",Upgrades!$C$15*POWER(Upgrades!$D$15,G228))</f>
        <v/>
      </c>
      <c r="AN228" s="22">
        <f>IF(H228&gt;=Upgrades!$E$16,"",Upgrades!$C$16*POWER(Upgrades!$D$16,H228))</f>
        <v/>
      </c>
      <c r="AO228" s="22">
        <f>IF(I228&gt;=Upgrades!$E$17,"",Upgrades!$C$17*POWER(Upgrades!$D$17,I228))</f>
        <v/>
      </c>
      <c r="AP228" s="22">
        <f>IF(J228&gt;=Upgrades!$E$18,"",Upgrades!$C$18*POWER(Upgrades!$D$18,J228))</f>
        <v/>
      </c>
      <c r="AQ228" s="22">
        <f>IF(K228&gt;=Upgrades!$E$19,"",Upgrades!$C$19*POWER(Upgrades!$D$19,K228))</f>
        <v/>
      </c>
      <c r="AR228" s="22">
        <f>IF(L228&gt;=Upgrades!$E$20,"",Upgrades!$C$20*POWER(Upgrades!$D$20,L228))</f>
        <v/>
      </c>
      <c r="AS228" s="22">
        <f>IF(M228&gt;=Upgrades!$E$21,"",Upgrades!$C$21*POWER(Upgrades!$D$21,M228))</f>
        <v/>
      </c>
      <c r="AT228" s="26">
        <f>IF(AND(D228&gt;=Parameters!$B$18*Parameters!$B$19,(I228&gt;=Upgrades!$E$17)*(M228&gt;=Upgrades!$E$21)=1,N228=0),1,"")</f>
        <v/>
      </c>
      <c r="AU228" s="26">
        <f>IF(AND(D228&gt;=Parameters!$B$18*Parameters!$B$19,N228=0),1,"")</f>
        <v/>
      </c>
      <c r="AV228" s="22">
        <f>MIN(IF(ISNUMBER(AP228),AP228,9E15),IF(ISNUMBER(AQ228),AQ228,9E15),IF(ISNUMBER(AR228),AR228,9E15),IF(ISNUMBER(AS228),AS228,9E15))</f>
        <v/>
      </c>
      <c r="AW228" s="22">
        <f>MIN(IF(ISNUMBER(AK228),AK228,9E15),IF(ISNUMBER(AL228),AL228,9E15),IF(ISNUMBER(AM228),AM228,9E15),IF(ISNUMBER(AN228),AN228,9E15),IF(ISNUMBER(AO228),AO228,9E15))</f>
        <v/>
      </c>
      <c r="AX228" s="29">
        <f>IF(BD228&gt;Parameters!$B$21*(MAX(IF(AND(NOT(AND(AU228=1,AT228&lt;&gt;1)),ISNUMBER(AK228),AK228&lt;=(C228+T228)),AY228,0),IF(AND(NOT(AND(AU228=1,AT228&lt;&gt;1)),ISNUMBER(AL228),AL228&lt;=(C228+T228)),AZ228,0),IF(AND(NOT(AND(AU228=1,AT228&lt;&gt;1)),ISNUMBER(AM228),AM228&lt;=(C228+T228)),BA228,0),IF(AND(NOT(AND(AU228=1,AT228&lt;&gt;1)),ISNUMBER(AN228),AN228&lt;=(C228+T228)),BB228,0),IF(AND(ISNUMBER(AO228),AO228&lt;=(C228+T228)),BC228,0))),TRUE,FALSE)</f>
        <v/>
      </c>
      <c r="AY228" s="32">
        <f>IFERROR(Upgrades!$H$13*(POWER(Upgrades!$P$13,E228)*POWER(Upgrades!$P$14,F228)*POWER(Upgrades!$P$15,G228)*POWER(Upgrades!$P$16,H228)*POWER(Upgrades!$P$17,I228)*POWER(Upgrades!$P$18,J228)*POWER(Upgrades!$P$19,K228)*POWER(Upgrades!$P$20,L228)*POWER(Upgrades!$P$21,M228))*(IF(Upgrades!$T$14="Stellar Kinematics",POWER(Upgrades!$U$14,F228),1)*IF(Upgrades!$T$15="Stellar Kinematics",POWER(Upgrades!$U$15,G228),1)*IF(Upgrades!$T$16="Stellar Kinematics",POWER(Upgrades!$U$16,H228),1)*IF(Upgrades!$T$17="Stellar Kinematics",POWER(Upgrades!$U$17,I228),1)*IF(Upgrades!$T$18="Stellar Kinematics",POWER(Upgrades!$U$18,J228),1)*IF(Upgrades!$T$19="Stellar Kinematics",POWER(Upgrades!$U$19,K228),1)*IF(Upgrades!$T$20="Stellar Kinematics",POWER(Upgrades!$U$20,L228),1)*IF(Upgrades!$T$21="Stellar Kinematics",POWER(Upgrades!$U$21,M228),1))*$F$6/AK228,0)</f>
        <v/>
      </c>
      <c r="AZ228" s="32">
        <f>IFERROR(Upgrades!$H$14*(POWER(Upgrades!$P$13,E228)*POWER(Upgrades!$P$14,F228)*POWER(Upgrades!$P$15,G228)*POWER(Upgrades!$P$16,H228)*POWER(Upgrades!$P$17,I228)*POWER(Upgrades!$P$18,J228)*POWER(Upgrades!$P$19,K228)*POWER(Upgrades!$P$20,L228)*POWER(Upgrades!$P$21,M228))*(IF(Upgrades!$T$13="Local Bubble",POWER(Upgrades!$U$13,E228),1)*IF(Upgrades!$T$15="Local Bubble",POWER(Upgrades!$U$15,G228),1)*IF(Upgrades!$T$16="Local Bubble",POWER(Upgrades!$U$16,H228),1)*IF(Upgrades!$T$17="Local Bubble",POWER(Upgrades!$U$17,I228),1)*IF(Upgrades!$T$18="Local Bubble",POWER(Upgrades!$U$18,J228),1)*IF(Upgrades!$T$19="Local Bubble",POWER(Upgrades!$U$19,K228),1)*IF(Upgrades!$T$20="Local Bubble",POWER(Upgrades!$U$20,L228),1)*IF(Upgrades!$T$21="Local Bubble",POWER(Upgrades!$U$21,M228),1))*$F$6/AL228,0)</f>
        <v/>
      </c>
      <c r="BA228" s="32">
        <f>IFERROR(Upgrades!$K$15*(POWER(Upgrades!$Q$13,E228)*POWER(Upgrades!$Q$14,F228)*POWER(Upgrades!$Q$15,G228)*POWER(Upgrades!$Q$16,H228)*POWER(Upgrades!$Q$17,I228)*POWER(Upgrades!$Q$18,J228)*POWER(Upgrades!$Q$19,K228)*POWER(Upgrades!$Q$20,L228)*POWER(Upgrades!$Q$21,M228))*(IF(Upgrades!$T$13="Microlensing",POWER(Upgrades!$U$13,E228),1)*IF(Upgrades!$T$14="Microlensing",POWER(Upgrades!$U$14,F228),1)*IF(Upgrades!$T$16="Microlensing",POWER(Upgrades!$U$16,H228),1)*IF(Upgrades!$T$17="Microlensing",POWER(Upgrades!$U$17,I228),1)*IF(Upgrades!$T$18="Microlensing",POWER(Upgrades!$U$18,J228),1)*IF(Upgrades!$T$19="Microlensing",POWER(Upgrades!$U$19,K228),1)*IF(Upgrades!$T$20="Microlensing",POWER(Upgrades!$U$20,L228),1)*IF(Upgrades!$T$21="Microlensing",POWER(Upgrades!$U$21,M228),1))*$G$6*(Parameters!$B$10/60*Parameters!$B$11+Q228)/AM228,0)</f>
        <v/>
      </c>
      <c r="BB228" s="32">
        <f>IFERROR((Upgrades!$N$16*(POWER(Upgrades!$R$13,E228)*POWER(Upgrades!$R$14,F228)*POWER(Upgrades!$R$15,G228)*POWER(Upgrades!$R$16,H228)*POWER(Upgrades!$R$17,I228)*POWER(Upgrades!$R$18,J228)*POWER(Upgrades!$R$19,K228)*POWER(Upgrades!$R$20,L228)*POWER(Upgrades!$R$21,M228))*(IF(Upgrades!$T$13="Roche Lobe Overflow",POWER(Upgrades!$U$13,E228),1)*IF(Upgrades!$T$14="Roche Lobe Overflow",POWER(Upgrades!$U$14,F228),1)*IF(Upgrades!$T$15="Roche Lobe Overflow",POWER(Upgrades!$U$15,G228),1)*IF(Upgrades!$T$17="Roche Lobe Overflow",POWER(Upgrades!$U$17,I228),1)*IF(Upgrades!$T$18="Roche Lobe Overflow",POWER(Upgrades!$U$18,J228),1)*IF(Upgrades!$T$19="Roche Lobe Overflow",POWER(Upgrades!$U$19,K228),1)*IF(Upgrades!$T$20="Roche Lobe Overflow",POWER(Upgrades!$U$20,L228),1)*IF(Upgrades!$T$21="Roche Lobe Overflow",POWER(Upgrades!$U$21,M228),1))*$H$6*O228+((IF(F228=0,0,(Upgrades!$G$14+F228*Upgrades!$H$14)*POWER(Upgrades!$I$14,F228)))*(IF(Upgrades!$T$13="Local Bubble",POWER(Upgrades!$U$13,E228),1)*IF(Upgrades!$T$15="Local Bubble",POWER(Upgrades!$U$15,G228),1)*IF(Upgrades!$T$16="Local Bubble",POWER(Upgrades!$U$16,H228),1)*IF(Upgrades!$T$17="Local Bubble",POWER(Upgrades!$U$17,I228),1)*IF(Upgrades!$T$18="Local Bubble",POWER(Upgrades!$U$18,J228),1)*IF(Upgrades!$T$19="Local Bubble",POWER(Upgrades!$U$19,K228),1)*IF(Upgrades!$T$20="Local Bubble",POWER(Upgrades!$U$20,L228),1)*IF(Upgrades!$T$21="Local Bubble",POWER(Upgrades!$U$21,M228),1))*POWER(Upgrades!$P$13,E228)*POWER(Upgrades!$P$14,F228)*POWER(Upgrades!$P$15,G228)*POWER(Upgrades!$P$16,H228)*POWER(Upgrades!$P$17,I228)*POWER(Upgrades!$P$18,J228)*POWER(Upgrades!$P$19,K228)*POWER(Upgrades!$P$20,L228)*POWER(Upgrades!$P$21,M228)*$F$6)*0.05)/AN228,0)</f>
        <v/>
      </c>
      <c r="BC228" s="32">
        <f>IFERROR((Upgrades!$H$17*(POWER(Upgrades!$P$13,E228)*POWER(Upgrades!$P$14,F228)*POWER(Upgrades!$P$15,G228)*POWER(Upgrades!$P$16,H228)*POWER(Upgrades!$P$17,I228)*POWER(Upgrades!$P$18,J228)*POWER(Upgrades!$P$19,K228)*POWER(Upgrades!$P$20,L228)*POWER(Upgrades!$P$21,M228))*(IF(Upgrades!$T$13="Brown Dwarf",POWER(Upgrades!$U$13,E228),1)*IF(Upgrades!$T$14="Brown Dwarf",POWER(Upgrades!$U$14,F228),1)*IF(Upgrades!$T$15="Brown Dwarf",POWER(Upgrades!$U$15,G228),1)*IF(Upgrades!$T$16="Brown Dwarf",POWER(Upgrades!$U$16,H228),1)*IF(Upgrades!$T$18="Brown Dwarf",POWER(Upgrades!$U$18,J228),1)*IF(Upgrades!$T$19="Brown Dwarf",POWER(Upgrades!$U$19,K228),1)*IF(Upgrades!$T$20="Brown Dwarf",POWER(Upgrades!$U$20,L228),1)*IF(Upgrades!$T$21="Brown Dwarf",POWER(Upgrades!$U$21,M228),1))*$F$6+(((IF(H228=0,0,(Upgrades!$M$16+H228*Upgrades!$N$16)*POWER(Upgrades!$O$16,H228)))*(IF(Upgrades!$T$13="Roche Lobe Overflow",POWER(Upgrades!$U$13,E228),1)*IF(Upgrades!$T$14="Roche Lobe Overflow",POWER(Upgrades!$U$14,F228),1)*IF(Upgrades!$T$15="Roche Lobe Overflow",POWER(Upgrades!$U$15,G228),1)*IF(Upgrades!$T$17="Roche Lobe Overflow",POWER(Upgrades!$U$17,I228),1)*IF(Upgrades!$T$18="Roche Lobe Overflow",POWER(Upgrades!$U$18,J228),1)*IF(Upgrades!$T$19="Roche Lobe Overflow",POWER(Upgrades!$U$19,K228),1)*IF(Upgrades!$T$20="Roche Lobe Overflow",POWER(Upgrades!$U$20,L228),1)*IF(Upgrades!$T$21="Roche Lobe Overflow",POWER(Upgrades!$U$21,M228),1))*POWER(Upgrades!$R$13,E228)*POWER(Upgrades!$R$14,F228)*POWER(Upgrades!$R$15,G228)*POWER(Upgrades!$R$16,H228)*POWER(Upgrades!$R$17,I228)*POWER(Upgrades!$R$18,J228)*POWER(Upgrades!$R$19,K228)*POWER(Upgrades!$R$20,L228)*POWER(Upgrades!$R$21,M228)*$H$6)*O228)*0.10)/AO228,0)</f>
        <v/>
      </c>
      <c r="BD228" s="32">
        <f>MAX(IF(J228&gt;0,0,IFERROR(0.5*((IF(G228=0,0,(Upgrades!$J$15+G228*Upgrades!$K$15)*POWER(Upgrades!$L$15,G228)))*(IF(Upgrades!$T$13="Microlensing",POWER(Upgrades!$U$13,E228),1)*IF(Upgrades!$T$14="Microlensing",POWER(Upgrades!$U$14,F228),1)*IF(Upgrades!$T$16="Microlensing",POWER(Upgrades!$U$16,H228),1)*IF(Upgrades!$T$17="Microlensing",POWER(Upgrades!$U$17,I228),1)*IF(Upgrades!$T$18="Microlensing",POWER(Upgrades!$U$18,J228),1)*IF(Upgrades!$T$19="Microlensing",POWER(Upgrades!$U$19,K228),1)*IF(Upgrades!$T$20="Microlensing",POWER(Upgrades!$U$20,L228),1)*IF(Upgrades!$T$21="Microlensing",POWER(Upgrades!$U$21,M228),1))*(POWER(Upgrades!$Q$13,E228)*POWER(Upgrades!$Q$14,F228)*POWER(Upgrades!$Q$15,G228)*POWER(Upgrades!$Q$16,H228)*POWER(Upgrades!$Q$17,I228)*POWER(Upgrades!$Q$18,J228)*POWER(Upgrades!$Q$19,K228)*POWER(Upgrades!$Q$20,L228)*POWER(Upgrades!$Q$21,M228))*$G$6*(Parameters!$B$10/60*Parameters!$B$11+Q228))/Upgrades!$C$18,0)),IF(K228&gt;0,0,IFERROR(0.30*P228/Upgrades!$C$19,0)),IF(L228&gt;0,0,IFERROR(0.0001/Upgrades!$C$20,0)),IF(M228&gt;0,0,IFERROR((6.0*(POWER(Upgrades!$P$13,E228)*POWER(Upgrades!$P$14,F228)*POWER(Upgrades!$P$15,G228)*POWER(Upgrades!$P$16,H228)*POWER(Upgrades!$P$17,I228)*POWER(Upgrades!$P$18,J228)*POWER(Upgrades!$P$19,K228)*POWER(Upgrades!$P$20,L228)*POWER(Upgrades!$P$21,M228))*$F$6+0.20*O228*(Parameters!$B$10/60*Parameters!$B$11+Q228))/Upgrades!$C$21,0)),IF(AND(ISNUMBER(AK228),AK228&gt;(C228+T228)),AY228,0),IF(AND(ISNUMBER(AL228),AL228&gt;(C228+T228)),AZ228,0),IF(AND(ISNUMBER(AM228),AM228&gt;(C228+T228)),BA228,0),IF(AND(ISNUMBER(AN228),AN228&gt;(C228+T228)),BB228,0),IF(AND(ISNUMBER(AO228),AO228&gt;(C228+T228)),BC228,0))</f>
        <v/>
      </c>
      <c r="BE228" s="29">
        <f>IF(AT228=1,"transition",IF(MIN(IF(AND(J228=0,ISNUMBER(AP228),AP228&lt;=(C228+T228)),AP228,9E15),IF(AND(K228=0,ISNUMBER(AQ228),AQ228&lt;=(C228+T228)),AQ228,9E15),IF(AND(L228=0,ISNUMBER(AR228),AR228&lt;=(C228+T228)),AR228,9E15),IF(AND(M228=0,ISNUMBER(AS228),AS228&lt;=(C228+T228)),AS228,9E15))&lt;9E15,IF(AND(AND(J228=0,ISNUMBER(AP228),AP228&lt;=(C228+T228)),AP228=MIN(IF(AND(J228=0,ISNUMBER(AP228),AP228&lt;=(C228+T228)),AP228,9E15),IF(AND(K228=0,ISNUMBER(AQ228),AQ228&lt;=(C228+T228)),AQ228,9E15),IF(AND(L228=0,ISNUMBER(AR228),AR228&lt;=(C228+T228)),AR228,9E15),IF(AND(M228=0,ISNUMBER(AS228),AS228&lt;=(C228+T228)),AS228,9E15))),"BiP",IF(AND(AND(K228=0,ISNUMBER(AQ228),AQ228&lt;=(C228+T228)),AQ228=MIN(IF(AND(J228=0,ISNUMBER(AP228),AP228&lt;=(C228+T228)),AP228,9E15),IF(AND(K228=0,ISNUMBER(AQ228),AQ228&lt;=(C228+T228)),AQ228,9E15),IF(AND(L228=0,ISNUMBER(AR228),AR228&lt;=(C228+T228)),AR228,9E15),IF(AND(M228=0,ISNUMBER(AS228),AS228&lt;=(C228+T228)),AS228,9E15))),"PV",IF(AND(AND(L228=0,ISNUMBER(AR228),AR228&lt;=(C228+T228)),AR228=MIN(IF(AND(J228=0,ISNUMBER(AP228),AP228&lt;=(C228+T228)),AP228,9E15),IF(AND(K228=0,ISNUMBER(AQ228),AQ228&lt;=(C228+T228)),AQ228,9E15),IF(AND(L228=0,ISNUMBER(AR228),AR228&lt;=(C228+T228)),AR228,9E15),IF(AND(M228=0,ISNUMBER(AS228),AS228&lt;=(C228+T228)),AS228,9E15))),"OC","MG"))),IF(AX228=TRUE,"",IF(MAX(IF(AND(NOT(AND(AU228=1,AT228&lt;&gt;1)),ISNUMBER(AK228),AK228&lt;=(C228+T228)),AY228,0),IF(AND(NOT(AND(AU228=1,AT228&lt;&gt;1)),ISNUMBER(AL228),AL228&lt;=(C228+T228)),AZ228,0),IF(AND(NOT(AND(AU228=1,AT228&lt;&gt;1)),ISNUMBER(AM228),AM228&lt;=(C228+T228)),BA228,0),IF(AND(NOT(AND(AU228=1,AT228&lt;&gt;1)),ISNUMBER(AN228),AN228&lt;=(C228+T228)),BB228,0),IF(AND(ISNUMBER(AO228),AO228&lt;=(C228+T228)),BC228,0))&lt;=0,"",IF(AND(IF(AND(NOT(AND(AU228=1,AT228&lt;&gt;1)),ISNUMBER(AK228),AK228&lt;=(C228+T228)),AY228,0)&gt;0,IF(AND(NOT(AND(AU228=1,AT228&lt;&gt;1)),ISNUMBER(AK228),AK228&lt;=(C228+T228)),AY228,0)=MAX(IF(AND(NOT(AND(AU228=1,AT228&lt;&gt;1)),ISNUMBER(AK228),AK228&lt;=(C228+T228)),AY228,0),IF(AND(NOT(AND(AU228=1,AT228&lt;&gt;1)),ISNUMBER(AL228),AL228&lt;=(C228+T228)),AZ228,0),IF(AND(NOT(AND(AU228=1,AT228&lt;&gt;1)),ISNUMBER(AM228),AM228&lt;=(C228+T228)),BA228,0),IF(AND(NOT(AND(AU228=1,AT228&lt;&gt;1)),ISNUMBER(AN228),AN228&lt;=(C228+T228)),BB228,0),IF(AND(ISNUMBER(AO228),AO228&lt;=(C228+T228)),BC228,0))),"SK",IF(AND(IF(AND(NOT(AND(AU228=1,AT228&lt;&gt;1)),ISNUMBER(AL228),AL228&lt;=(C228+T228)),AZ228,0)&gt;0,IF(AND(NOT(AND(AU228=1,AT228&lt;&gt;1)),ISNUMBER(AL228),AL228&lt;=(C228+T228)),AZ228,0)=MAX(IF(AND(NOT(AND(AU228=1,AT228&lt;&gt;1)),ISNUMBER(AK228),AK228&lt;=(C228+T228)),AY228,0),IF(AND(NOT(AND(AU228=1,AT228&lt;&gt;1)),ISNUMBER(AL228),AL228&lt;=(C228+T228)),AZ228,0),IF(AND(NOT(AND(AU228=1,AT228&lt;&gt;1)),ISNUMBER(AM228),AM228&lt;=(C228+T228)),BA228,0),IF(AND(NOT(AND(AU228=1,AT228&lt;&gt;1)),ISNUMBER(AN228),AN228&lt;=(C228+T228)),BB228,0),IF(AND(ISNUMBER(AO228),AO228&lt;=(C228+T228)),BC228,0))),"LB",IF(AND(IF(AND(NOT(AND(AU228=1,AT228&lt;&gt;1)),ISNUMBER(AM228),AM228&lt;=(C228+T228)),BA228,0)&gt;0,IF(AND(NOT(AND(AU228=1,AT228&lt;&gt;1)),ISNUMBER(AM228),AM228&lt;=(C228+T228)),BA228,0)=MAX(IF(AND(NOT(AND(AU228=1,AT228&lt;&gt;1)),ISNUMBER(AK228),AK228&lt;=(C228+T228)),AY228,0),IF(AND(NOT(AND(AU228=1,AT228&lt;&gt;1)),ISNUMBER(AL228),AL228&lt;=(C228+T228)),AZ228,0),IF(AND(NOT(AND(AU228=1,AT228&lt;&gt;1)),ISNUMBER(AM228),AM228&lt;=(C228+T228)),BA228,0),IF(AND(NOT(AND(AU228=1,AT228&lt;&gt;1)),ISNUMBER(AN228),AN228&lt;=(C228+T228)),BB228,0),IF(AND(ISNUMBER(AO228),AO228&lt;=(C228+T228)),BC228,0))),"ML",IF(AND(IF(AND(NOT(AND(AU228=1,AT228&lt;&gt;1)),ISNUMBER(AN228),AN228&lt;=(C228+T228)),BB228,0)&gt;0,IF(AND(NOT(AND(AU228=1,AT228&lt;&gt;1)),ISNUMBER(AN228),AN228&lt;=(C228+T228)),BB228,0)=MAX(IF(AND(NOT(AND(AU228=1,AT228&lt;&gt;1)),ISNUMBER(AK228),AK228&lt;=(C228+T228)),AY228,0),IF(AND(NOT(AND(AU228=1,AT228&lt;&gt;1)),ISNUMBER(AL228),AL228&lt;=(C228+T228)),AZ228,0),IF(AND(NOT(AND(AU228=1,AT228&lt;&gt;1)),ISNUMBER(AM228),AM228&lt;=(C228+T228)),BA228,0),IF(AND(NOT(AND(AU228=1,AT228&lt;&gt;1)),ISNUMBER(AN228),AN228&lt;=(C228+T228)),BB228,0),IF(AND(ISNUMBER(AO228),AO228&lt;=(C228+T228)),BC228,0))),"RLO","BD"))))))))</f>
        <v/>
      </c>
    </row>
    <row r="229">
      <c r="A229" s="26" t="n">
        <v>218</v>
      </c>
      <c r="B229" s="27">
        <f>A229*10/60</f>
        <v/>
      </c>
      <c r="C229" s="22">
        <f>X228</f>
        <v/>
      </c>
      <c r="D229" s="27">
        <f>D228+W228</f>
        <v/>
      </c>
      <c r="E229" s="26">
        <f>E228+IF(U228="SK",1,0)</f>
        <v/>
      </c>
      <c r="F229" s="26">
        <f>F228+IF(U228="LB",1,0)</f>
        <v/>
      </c>
      <c r="G229" s="26">
        <f>G228+IF(U228="ML",1,0)</f>
        <v/>
      </c>
      <c r="H229" s="26">
        <f>H228+IF(U228="RLO",1,0)</f>
        <v/>
      </c>
      <c r="I229" s="26">
        <f>I228+IF(U228="BD",1,0)</f>
        <v/>
      </c>
      <c r="J229" s="26">
        <f>MAX(J228,IF(U228="BiP",1,0))</f>
        <v/>
      </c>
      <c r="K229" s="26">
        <f>MAX(K228,IF(U228="PV",1,0))</f>
        <v/>
      </c>
      <c r="L229" s="26">
        <f>MAX(L228,IF(U228="OC",1,0))</f>
        <v/>
      </c>
      <c r="M229" s="26">
        <f>MAX(M228,IF(U228="MG",1,0))</f>
        <v/>
      </c>
      <c r="N229" s="26">
        <f>MAX(N228,IF(U228="transition",1,0))</f>
        <v/>
      </c>
      <c r="O229" s="28">
        <f>(Parameters!$B$9+(IF(E229=0,0,(Upgrades!$J$13+E229*Upgrades!$K$13)*POWER(Upgrades!$L$13,E229)))*(IF(Upgrades!$T$14="Stellar Kinematics",POWER(Upgrades!$U$14,F229),1)*IF(Upgrades!$T$15="Stellar Kinematics",POWER(Upgrades!$U$15,G229),1)*IF(Upgrades!$T$16="Stellar Kinematics",POWER(Upgrades!$U$16,H229),1)*IF(Upgrades!$T$17="Stellar Kinematics",POWER(Upgrades!$U$17,I229),1)*IF(Upgrades!$T$18="Stellar Kinematics",POWER(Upgrades!$U$18,J229),1)*IF(Upgrades!$T$19="Stellar Kinematics",POWER(Upgrades!$U$19,K229),1)*IF(Upgrades!$T$20="Stellar Kinematics",POWER(Upgrades!$U$20,L229),1)*IF(Upgrades!$T$21="Stellar Kinematics",POWER(Upgrades!$U$21,M229),1))+(IF(F229=0,0,(Upgrades!$J$14+F229*Upgrades!$K$14)*POWER(Upgrades!$L$14,F229)))*(IF(Upgrades!$T$13="Local Bubble",POWER(Upgrades!$U$13,E229),1)*IF(Upgrades!$T$15="Local Bubble",POWER(Upgrades!$U$15,G229),1)*IF(Upgrades!$T$16="Local Bubble",POWER(Upgrades!$U$16,H229),1)*IF(Upgrades!$T$17="Local Bubble",POWER(Upgrades!$U$17,I229),1)*IF(Upgrades!$T$18="Local Bubble",POWER(Upgrades!$U$18,J229),1)*IF(Upgrades!$T$19="Local Bubble",POWER(Upgrades!$U$19,K229),1)*IF(Upgrades!$T$20="Local Bubble",POWER(Upgrades!$U$20,L229),1)*IF(Upgrades!$T$21="Local Bubble",POWER(Upgrades!$U$21,M229),1))+(IF(G229=0,0,(Upgrades!$J$15+G229*Upgrades!$K$15)*POWER(Upgrades!$L$15,G229)))*(IF(Upgrades!$T$13="Microlensing",POWER(Upgrades!$U$13,E229),1)*IF(Upgrades!$T$14="Microlensing",POWER(Upgrades!$U$14,F229),1)*IF(Upgrades!$T$16="Microlensing",POWER(Upgrades!$U$16,H229),1)*IF(Upgrades!$T$17="Microlensing",POWER(Upgrades!$U$17,I229),1)*IF(Upgrades!$T$18="Microlensing",POWER(Upgrades!$U$18,J229),1)*IF(Upgrades!$T$19="Microlensing",POWER(Upgrades!$U$19,K229),1)*IF(Upgrades!$T$20="Microlensing",POWER(Upgrades!$U$20,L229),1)*IF(Upgrades!$T$21="Microlensing",POWER(Upgrades!$U$21,M229),1))+(IF(H229=0,0,(Upgrades!$J$16+H229*Upgrades!$K$16)*POWER(Upgrades!$L$16,H229)))*(IF(Upgrades!$T$13="Roche Lobe Overflow",POWER(Upgrades!$U$13,E229),1)*IF(Upgrades!$T$14="Roche Lobe Overflow",POWER(Upgrades!$U$14,F229),1)*IF(Upgrades!$T$15="Roche Lobe Overflow",POWER(Upgrades!$U$15,G229),1)*IF(Upgrades!$T$17="Roche Lobe Overflow",POWER(Upgrades!$U$17,I229),1)*IF(Upgrades!$T$18="Roche Lobe Overflow",POWER(Upgrades!$U$18,J229),1)*IF(Upgrades!$T$19="Roche Lobe Overflow",POWER(Upgrades!$U$19,K229),1)*IF(Upgrades!$T$20="Roche Lobe Overflow",POWER(Upgrades!$U$20,L229),1)*IF(Upgrades!$T$21="Roche Lobe Overflow",POWER(Upgrades!$U$21,M229),1))+(IF(I229=0,0,(Upgrades!$J$17+I229*Upgrades!$K$17)*POWER(Upgrades!$L$17,I229)))*(IF(Upgrades!$T$13="Brown Dwarf",POWER(Upgrades!$U$13,E229),1)*IF(Upgrades!$T$14="Brown Dwarf",POWER(Upgrades!$U$14,F229),1)*IF(Upgrades!$T$15="Brown Dwarf",POWER(Upgrades!$U$15,G229),1)*IF(Upgrades!$T$16="Brown Dwarf",POWER(Upgrades!$U$16,H229),1)*IF(Upgrades!$T$18="Brown Dwarf",POWER(Upgrades!$U$18,J229),1)*IF(Upgrades!$T$19="Brown Dwarf",POWER(Upgrades!$U$19,K229),1)*IF(Upgrades!$T$20="Brown Dwarf",POWER(Upgrades!$U$20,L229),1)*IF(Upgrades!$T$21="Brown Dwarf",POWER(Upgrades!$U$21,M229),1))+(IF(J229=0,0,(Upgrades!$J$18+J229*Upgrades!$K$18)*POWER(Upgrades!$L$18,J229)))*(IF(Upgrades!$T$13="Binary Partner",POWER(Upgrades!$U$13,E229),1)*IF(Upgrades!$T$14="Binary Partner",POWER(Upgrades!$U$14,F229),1)*IF(Upgrades!$T$15="Binary Partner",POWER(Upgrades!$U$15,G229),1)*IF(Upgrades!$T$16="Binary Partner",POWER(Upgrades!$U$16,H229),1)*IF(Upgrades!$T$17="Binary Partner",POWER(Upgrades!$U$17,I229),1)*IF(Upgrades!$T$19="Binary Partner",POWER(Upgrades!$U$19,K229),1)*IF(Upgrades!$T$20="Binary Partner",POWER(Upgrades!$U$20,L229),1)*IF(Upgrades!$T$21="Binary Partner",POWER(Upgrades!$U$21,M229),1))+(IF(K229=0,0,(Upgrades!$J$19+K229*Upgrades!$K$19)*POWER(Upgrades!$L$19,K229)))*(IF(Upgrades!$T$13="Peculiar Velocity",POWER(Upgrades!$U$13,E229),1)*IF(Upgrades!$T$14="Peculiar Velocity",POWER(Upgrades!$U$14,F229),1)*IF(Upgrades!$T$15="Peculiar Velocity",POWER(Upgrades!$U$15,G229),1)*IF(Upgrades!$T$16="Peculiar Velocity",POWER(Upgrades!$U$16,H229),1)*IF(Upgrades!$T$17="Peculiar Velocity",POWER(Upgrades!$U$17,I229),1)*IF(Upgrades!$T$18="Peculiar Velocity",POWER(Upgrades!$U$18,J229),1)*IF(Upgrades!$T$20="Peculiar Velocity",POWER(Upgrades!$U$20,L229),1)*IF(Upgrades!$T$21="Peculiar Velocity",POWER(Upgrades!$U$21,M229),1))+(IF(L229=0,0,(Upgrades!$J$20+L229*Upgrades!$K$20)*POWER(Upgrades!$L$20,L229)))*(IF(Upgrades!$T$13="Open Cluster",POWER(Upgrades!$U$13,E229),1)*IF(Upgrades!$T$14="Open Cluster",POWER(Upgrades!$U$14,F229),1)*IF(Upgrades!$T$15="Open Cluster",POWER(Upgrades!$U$15,G229),1)*IF(Upgrades!$T$16="Open Cluster",POWER(Upgrades!$U$16,H229),1)*IF(Upgrades!$T$17="Open Cluster",POWER(Upgrades!$U$17,I229),1)*IF(Upgrades!$T$18="Open Cluster",POWER(Upgrades!$U$18,J229),1)*IF(Upgrades!$T$19="Open Cluster",POWER(Upgrades!$U$19,K229),1)*IF(Upgrades!$T$21="Open Cluster",POWER(Upgrades!$U$21,M229),1))+(IF(M229=0,0,(Upgrades!$J$21+M229*Upgrades!$K$21)*POWER(Upgrades!$L$21,M229)))*(IF(Upgrades!$T$13="Moving Group",POWER(Upgrades!$U$13,E229),1)*IF(Upgrades!$T$14="Moving Group",POWER(Upgrades!$U$14,F229),1)*IF(Upgrades!$T$15="Moving Group",POWER(Upgrades!$U$15,G229),1)*IF(Upgrades!$T$16="Moving Group",POWER(Upgrades!$U$16,H229),1)*IF(Upgrades!$T$17="Moving Group",POWER(Upgrades!$U$17,I229),1)*IF(Upgrades!$T$18="Moving Group",POWER(Upgrades!$U$18,J229),1)*IF(Upgrades!$T$19="Moving Group",POWER(Upgrades!$U$19,K229),1)*IF(Upgrades!$T$20="Moving Group",POWER(Upgrades!$U$20,L229),1)))*POWER(Upgrades!$Q$13,E229)*POWER(Upgrades!$Q$14,F229)*POWER(Upgrades!$Q$15,G229)*POWER(Upgrades!$Q$16,H229)*POWER(Upgrades!$Q$17,I229)*POWER(Upgrades!$Q$18,J229)*POWER(Upgrades!$Q$19,K229)*POWER(Upgrades!$Q$20,L229)*POWER(Upgrades!$Q$21,M229)*$G$6+$D$6</f>
        <v/>
      </c>
      <c r="P229" s="28">
        <f>((IF(E229=0,0,(Upgrades!$G$13+E229*Upgrades!$H$13)*POWER(Upgrades!$I$13,E229)))*(IF(Upgrades!$T$14="Stellar Kinematics",POWER(Upgrades!$U$14,F229),1)*IF(Upgrades!$T$15="Stellar Kinematics",POWER(Upgrades!$U$15,G229),1)*IF(Upgrades!$T$16="Stellar Kinematics",POWER(Upgrades!$U$16,H229),1)*IF(Upgrades!$T$17="Stellar Kinematics",POWER(Upgrades!$U$17,I229),1)*IF(Upgrades!$T$18="Stellar Kinematics",POWER(Upgrades!$U$18,J229),1)*IF(Upgrades!$T$19="Stellar Kinematics",POWER(Upgrades!$U$19,K229),1)*IF(Upgrades!$T$20="Stellar Kinematics",POWER(Upgrades!$U$20,L229),1)*IF(Upgrades!$T$21="Stellar Kinematics",POWER(Upgrades!$U$21,M229),1))+(IF(F229=0,0,(Upgrades!$G$14+F229*Upgrades!$H$14)*POWER(Upgrades!$I$14,F229)))*(IF(Upgrades!$T$13="Local Bubble",POWER(Upgrades!$U$13,E229),1)*IF(Upgrades!$T$15="Local Bubble",POWER(Upgrades!$U$15,G229),1)*IF(Upgrades!$T$16="Local Bubble",POWER(Upgrades!$U$16,H229),1)*IF(Upgrades!$T$17="Local Bubble",POWER(Upgrades!$U$17,I229),1)*IF(Upgrades!$T$18="Local Bubble",POWER(Upgrades!$U$18,J229),1)*IF(Upgrades!$T$19="Local Bubble",POWER(Upgrades!$U$19,K229),1)*IF(Upgrades!$T$20="Local Bubble",POWER(Upgrades!$U$20,L229),1)*IF(Upgrades!$T$21="Local Bubble",POWER(Upgrades!$U$21,M229),1))+(IF(G229=0,0,(Upgrades!$G$15+G229*Upgrades!$H$15)*POWER(Upgrades!$I$15,G229)))*(IF(Upgrades!$T$13="Microlensing",POWER(Upgrades!$U$13,E229),1)*IF(Upgrades!$T$14="Microlensing",POWER(Upgrades!$U$14,F229),1)*IF(Upgrades!$T$16="Microlensing",POWER(Upgrades!$U$16,H229),1)*IF(Upgrades!$T$17="Microlensing",POWER(Upgrades!$U$17,I229),1)*IF(Upgrades!$T$18="Microlensing",POWER(Upgrades!$U$18,J229),1)*IF(Upgrades!$T$19="Microlensing",POWER(Upgrades!$U$19,K229),1)*IF(Upgrades!$T$20="Microlensing",POWER(Upgrades!$U$20,L229),1)*IF(Upgrades!$T$21="Microlensing",POWER(Upgrades!$U$21,M229),1))+(IF(H229=0,0,(Upgrades!$G$16+H229*Upgrades!$H$16)*POWER(Upgrades!$I$16,H229)))*(IF(Upgrades!$T$13="Roche Lobe Overflow",POWER(Upgrades!$U$13,E229),1)*IF(Upgrades!$T$14="Roche Lobe Overflow",POWER(Upgrades!$U$14,F229),1)*IF(Upgrades!$T$15="Roche Lobe Overflow",POWER(Upgrades!$U$15,G229),1)*IF(Upgrades!$T$17="Roche Lobe Overflow",POWER(Upgrades!$U$17,I229),1)*IF(Upgrades!$T$18="Roche Lobe Overflow",POWER(Upgrades!$U$18,J229),1)*IF(Upgrades!$T$19="Roche Lobe Overflow",POWER(Upgrades!$U$19,K229),1)*IF(Upgrades!$T$20="Roche Lobe Overflow",POWER(Upgrades!$U$20,L229),1)*IF(Upgrades!$T$21="Roche Lobe Overflow",POWER(Upgrades!$U$21,M229),1))+(IF(I229=0,0,(Upgrades!$G$17+I229*Upgrades!$H$17)*POWER(Upgrades!$I$17,I229)))*(IF(Upgrades!$T$13="Brown Dwarf",POWER(Upgrades!$U$13,E229),1)*IF(Upgrades!$T$14="Brown Dwarf",POWER(Upgrades!$U$14,F229),1)*IF(Upgrades!$T$15="Brown Dwarf",POWER(Upgrades!$U$15,G229),1)*IF(Upgrades!$T$16="Brown Dwarf",POWER(Upgrades!$U$16,H229),1)*IF(Upgrades!$T$18="Brown Dwarf",POWER(Upgrades!$U$18,J229),1)*IF(Upgrades!$T$19="Brown Dwarf",POWER(Upgrades!$U$19,K229),1)*IF(Upgrades!$T$20="Brown Dwarf",POWER(Upgrades!$U$20,L229),1)*IF(Upgrades!$T$21="Brown Dwarf",POWER(Upgrades!$U$21,M229),1))+(IF(J229=0,0,(Upgrades!$G$18+J229*Upgrades!$H$18)*POWER(Upgrades!$I$18,J229)))*(IF(Upgrades!$T$13="Binary Partner",POWER(Upgrades!$U$13,E229),1)*IF(Upgrades!$T$14="Binary Partner",POWER(Upgrades!$U$14,F229),1)*IF(Upgrades!$T$15="Binary Partner",POWER(Upgrades!$U$15,G229),1)*IF(Upgrades!$T$16="Binary Partner",POWER(Upgrades!$U$16,H229),1)*IF(Upgrades!$T$17="Binary Partner",POWER(Upgrades!$U$17,I229),1)*IF(Upgrades!$T$19="Binary Partner",POWER(Upgrades!$U$19,K229),1)*IF(Upgrades!$T$20="Binary Partner",POWER(Upgrades!$U$20,L229),1)*IF(Upgrades!$T$21="Binary Partner",POWER(Upgrades!$U$21,M229),1))+(IF(K229=0,0,(Upgrades!$G$19+K229*Upgrades!$H$19)*POWER(Upgrades!$I$19,K229)))*(IF(Upgrades!$T$13="Peculiar Velocity",POWER(Upgrades!$U$13,E229),1)*IF(Upgrades!$T$14="Peculiar Velocity",POWER(Upgrades!$U$14,F229),1)*IF(Upgrades!$T$15="Peculiar Velocity",POWER(Upgrades!$U$15,G229),1)*IF(Upgrades!$T$16="Peculiar Velocity",POWER(Upgrades!$U$16,H229),1)*IF(Upgrades!$T$17="Peculiar Velocity",POWER(Upgrades!$U$17,I229),1)*IF(Upgrades!$T$18="Peculiar Velocity",POWER(Upgrades!$U$18,J229),1)*IF(Upgrades!$T$20="Peculiar Velocity",POWER(Upgrades!$U$20,L229),1)*IF(Upgrades!$T$21="Peculiar Velocity",POWER(Upgrades!$U$21,M229),1))+(IF(L229=0,0,(Upgrades!$G$20+L229*Upgrades!$H$20)*POWER(Upgrades!$I$20,L229)))*(IF(Upgrades!$T$13="Open Cluster",POWER(Upgrades!$U$13,E229),1)*IF(Upgrades!$T$14="Open Cluster",POWER(Upgrades!$U$14,F229),1)*IF(Upgrades!$T$15="Open Cluster",POWER(Upgrades!$U$15,G229),1)*IF(Upgrades!$T$16="Open Cluster",POWER(Upgrades!$U$16,H229),1)*IF(Upgrades!$T$17="Open Cluster",POWER(Upgrades!$U$17,I229),1)*IF(Upgrades!$T$18="Open Cluster",POWER(Upgrades!$U$18,J229),1)*IF(Upgrades!$T$19="Open Cluster",POWER(Upgrades!$U$19,K229),1)*IF(Upgrades!$T$21="Open Cluster",POWER(Upgrades!$U$21,M229),1))+(IF(M229=0,0,(Upgrades!$G$21+M229*Upgrades!$H$21)*POWER(Upgrades!$I$21,M229)))*(IF(Upgrades!$T$13="Moving Group",POWER(Upgrades!$U$13,E229),1)*IF(Upgrades!$T$14="Moving Group",POWER(Upgrades!$U$14,F229),1)*IF(Upgrades!$T$15="Moving Group",POWER(Upgrades!$U$15,G229),1)*IF(Upgrades!$T$16="Moving Group",POWER(Upgrades!$U$16,H229),1)*IF(Upgrades!$T$17="Moving Group",POWER(Upgrades!$U$17,I229),1)*IF(Upgrades!$T$18="Moving Group",POWER(Upgrades!$U$18,J229),1)*IF(Upgrades!$T$19="Moving Group",POWER(Upgrades!$U$19,K229),1)*IF(Upgrades!$T$20="Moving Group",POWER(Upgrades!$U$20,L229),1)))*POWER(Upgrades!$P$13,E229)*POWER(Upgrades!$P$14,F229)*POWER(Upgrades!$P$15,G229)*POWER(Upgrades!$P$16,H229)*POWER(Upgrades!$P$17,I229)*POWER(Upgrades!$P$18,J229)*POWER(Upgrades!$P$19,K229)*POWER(Upgrades!$P$20,L229)*POWER(Upgrades!$P$21,M229)*$F$6+$C$6</f>
        <v/>
      </c>
      <c r="Q229" s="28">
        <f>((IF(E229=0,0,(Upgrades!$M$13+E229*Upgrades!$N$13)*POWER(Upgrades!$O$13,E229)))*(IF(Upgrades!$T$14="Stellar Kinematics",POWER(Upgrades!$U$14,F229),1)*IF(Upgrades!$T$15="Stellar Kinematics",POWER(Upgrades!$U$15,G229),1)*IF(Upgrades!$T$16="Stellar Kinematics",POWER(Upgrades!$U$16,H229),1)*IF(Upgrades!$T$17="Stellar Kinematics",POWER(Upgrades!$U$17,I229),1)*IF(Upgrades!$T$18="Stellar Kinematics",POWER(Upgrades!$U$18,J229),1)*IF(Upgrades!$T$19="Stellar Kinematics",POWER(Upgrades!$U$19,K229),1)*IF(Upgrades!$T$20="Stellar Kinematics",POWER(Upgrades!$U$20,L229),1)*IF(Upgrades!$T$21="Stellar Kinematics",POWER(Upgrades!$U$21,M229),1))+(IF(F229=0,0,(Upgrades!$M$14+F229*Upgrades!$N$14)*POWER(Upgrades!$O$14,F229)))*(IF(Upgrades!$T$13="Local Bubble",POWER(Upgrades!$U$13,E229),1)*IF(Upgrades!$T$15="Local Bubble",POWER(Upgrades!$U$15,G229),1)*IF(Upgrades!$T$16="Local Bubble",POWER(Upgrades!$U$16,H229),1)*IF(Upgrades!$T$17="Local Bubble",POWER(Upgrades!$U$17,I229),1)*IF(Upgrades!$T$18="Local Bubble",POWER(Upgrades!$U$18,J229),1)*IF(Upgrades!$T$19="Local Bubble",POWER(Upgrades!$U$19,K229),1)*IF(Upgrades!$T$20="Local Bubble",POWER(Upgrades!$U$20,L229),1)*IF(Upgrades!$T$21="Local Bubble",POWER(Upgrades!$U$21,M229),1))+(IF(G229=0,0,(Upgrades!$M$15+G229*Upgrades!$N$15)*POWER(Upgrades!$O$15,G229)))*(IF(Upgrades!$T$13="Microlensing",POWER(Upgrades!$U$13,E229),1)*IF(Upgrades!$T$14="Microlensing",POWER(Upgrades!$U$14,F229),1)*IF(Upgrades!$T$16="Microlensing",POWER(Upgrades!$U$16,H229),1)*IF(Upgrades!$T$17="Microlensing",POWER(Upgrades!$U$17,I229),1)*IF(Upgrades!$T$18="Microlensing",POWER(Upgrades!$U$18,J229),1)*IF(Upgrades!$T$19="Microlensing",POWER(Upgrades!$U$19,K229),1)*IF(Upgrades!$T$20="Microlensing",POWER(Upgrades!$U$20,L229),1)*IF(Upgrades!$T$21="Microlensing",POWER(Upgrades!$U$21,M229),1))+(IF(H229=0,0,(Upgrades!$M$16+H229*Upgrades!$N$16)*POWER(Upgrades!$O$16,H229)))*(IF(Upgrades!$T$13="Roche Lobe Overflow",POWER(Upgrades!$U$13,E229),1)*IF(Upgrades!$T$14="Roche Lobe Overflow",POWER(Upgrades!$U$14,F229),1)*IF(Upgrades!$T$15="Roche Lobe Overflow",POWER(Upgrades!$U$15,G229),1)*IF(Upgrades!$T$17="Roche Lobe Overflow",POWER(Upgrades!$U$17,I229),1)*IF(Upgrades!$T$18="Roche Lobe Overflow",POWER(Upgrades!$U$18,J229),1)*IF(Upgrades!$T$19="Roche Lobe Overflow",POWER(Upgrades!$U$19,K229),1)*IF(Upgrades!$T$20="Roche Lobe Overflow",POWER(Upgrades!$U$20,L229),1)*IF(Upgrades!$T$21="Roche Lobe Overflow",POWER(Upgrades!$U$21,M229),1))+(IF(I229=0,0,(Upgrades!$M$17+I229*Upgrades!$N$17)*POWER(Upgrades!$O$17,I229)))*(IF(Upgrades!$T$13="Brown Dwarf",POWER(Upgrades!$U$13,E229),1)*IF(Upgrades!$T$14="Brown Dwarf",POWER(Upgrades!$U$14,F229),1)*IF(Upgrades!$T$15="Brown Dwarf",POWER(Upgrades!$U$15,G229),1)*IF(Upgrades!$T$16="Brown Dwarf",POWER(Upgrades!$U$16,H229),1)*IF(Upgrades!$T$18="Brown Dwarf",POWER(Upgrades!$U$18,J229),1)*IF(Upgrades!$T$19="Brown Dwarf",POWER(Upgrades!$U$19,K229),1)*IF(Upgrades!$T$20="Brown Dwarf",POWER(Upgrades!$U$20,L229),1)*IF(Upgrades!$T$21="Brown Dwarf",POWER(Upgrades!$U$21,M229),1))+(IF(J229=0,0,(Upgrades!$M$18+J229*Upgrades!$N$18)*POWER(Upgrades!$O$18,J229)))*(IF(Upgrades!$T$13="Binary Partner",POWER(Upgrades!$U$13,E229),1)*IF(Upgrades!$T$14="Binary Partner",POWER(Upgrades!$U$14,F229),1)*IF(Upgrades!$T$15="Binary Partner",POWER(Upgrades!$U$15,G229),1)*IF(Upgrades!$T$16="Binary Partner",POWER(Upgrades!$U$16,H229),1)*IF(Upgrades!$T$17="Binary Partner",POWER(Upgrades!$U$17,I229),1)*IF(Upgrades!$T$19="Binary Partner",POWER(Upgrades!$U$19,K229),1)*IF(Upgrades!$T$20="Binary Partner",POWER(Upgrades!$U$20,L229),1)*IF(Upgrades!$T$21="Binary Partner",POWER(Upgrades!$U$21,M229),1))+(IF(K229=0,0,(Upgrades!$M$19+K229*Upgrades!$N$19)*POWER(Upgrades!$O$19,K229)))*(IF(Upgrades!$T$13="Peculiar Velocity",POWER(Upgrades!$U$13,E229),1)*IF(Upgrades!$T$14="Peculiar Velocity",POWER(Upgrades!$U$14,F229),1)*IF(Upgrades!$T$15="Peculiar Velocity",POWER(Upgrades!$U$15,G229),1)*IF(Upgrades!$T$16="Peculiar Velocity",POWER(Upgrades!$U$16,H229),1)*IF(Upgrades!$T$17="Peculiar Velocity",POWER(Upgrades!$U$17,I229),1)*IF(Upgrades!$T$18="Peculiar Velocity",POWER(Upgrades!$U$18,J229),1)*IF(Upgrades!$T$20="Peculiar Velocity",POWER(Upgrades!$U$20,L229),1)*IF(Upgrades!$T$21="Peculiar Velocity",POWER(Upgrades!$U$21,M229),1))+(IF(L229=0,0,(Upgrades!$M$20+L229*Upgrades!$N$20)*POWER(Upgrades!$O$20,L229)))*(IF(Upgrades!$T$13="Open Cluster",POWER(Upgrades!$U$13,E229),1)*IF(Upgrades!$T$14="Open Cluster",POWER(Upgrades!$U$14,F229),1)*IF(Upgrades!$T$15="Open Cluster",POWER(Upgrades!$U$15,G229),1)*IF(Upgrades!$T$16="Open Cluster",POWER(Upgrades!$U$16,H229),1)*IF(Upgrades!$T$17="Open Cluster",POWER(Upgrades!$U$17,I229),1)*IF(Upgrades!$T$18="Open Cluster",POWER(Upgrades!$U$18,J229),1)*IF(Upgrades!$T$19="Open Cluster",POWER(Upgrades!$U$19,K229),1)*IF(Upgrades!$T$21="Open Cluster",POWER(Upgrades!$U$21,M229),1))+(IF(M229=0,0,(Upgrades!$M$21+M229*Upgrades!$N$21)*POWER(Upgrades!$O$21,M229)))*(IF(Upgrades!$T$13="Moving Group",POWER(Upgrades!$U$13,E229),1)*IF(Upgrades!$T$14="Moving Group",POWER(Upgrades!$U$14,F229),1)*IF(Upgrades!$T$15="Moving Group",POWER(Upgrades!$U$15,G229),1)*IF(Upgrades!$T$16="Moving Group",POWER(Upgrades!$U$16,H229),1)*IF(Upgrades!$T$17="Moving Group",POWER(Upgrades!$U$17,I229),1)*IF(Upgrades!$T$18="Moving Group",POWER(Upgrades!$U$18,J229),1)*IF(Upgrades!$T$19="Moving Group",POWER(Upgrades!$U$19,K229),1)*IF(Upgrades!$T$20="Moving Group",POWER(Upgrades!$U$20,L229),1)))*POWER(Upgrades!$R$13,E229)*POWER(Upgrades!$R$14,F229)*POWER(Upgrades!$R$15,G229)*POWER(Upgrades!$R$16,H229)*POWER(Upgrades!$R$17,I229)*POWER(Upgrades!$R$18,J229)*POWER(Upgrades!$R$19,K229)*POWER(Upgrades!$R$20,L229)*POWER(Upgrades!$R$21,M229)*$H$6+$E$6</f>
        <v/>
      </c>
      <c r="R229" s="27">
        <f>IF(N229=1,0,O229*Parameters!$B$10/60*Parameters!$B$11*10)</f>
        <v/>
      </c>
      <c r="S229" s="27">
        <f>IF(N229=1,0,Q229*O229*10)</f>
        <v/>
      </c>
      <c r="T229" s="27">
        <f>IF(N229=1,0,R229+S229+P229*10)</f>
        <v/>
      </c>
      <c r="U229" s="33">
        <f>BE229</f>
        <v/>
      </c>
      <c r="V229" s="22">
        <f>IF(U229="",0,IF(U229="transition",0,IF(U229="SK",AK229,IF(U229="LB",AL229,IF(U229="ML",AM229,IF(U229="RLO",AN229,IF(U229="BD",AO229,IF(U229="BiP",AP229,IF(U229="PV",AQ229,IF(U229="OC",AR229,IF(U229="MG",AS229,0))))))))))</f>
        <v/>
      </c>
      <c r="W229" s="27">
        <f>IF(U229="BiP",Upgrades!$F$18,IF(U229="PV",Upgrades!$F$19,IF(U229="OC",Upgrades!$F$20,IF(U229="MG",Upgrades!$F$21,IF(U229="transition",-Parameters!$B$18*Parameters!$B$19,0)))))</f>
        <v/>
      </c>
      <c r="X229" s="22">
        <f>C229+T229-V229</f>
        <v/>
      </c>
      <c r="Y229" s="30">
        <f>O229*Parameters!$B$10/60*Parameters!$B$11+Q229*O229+P229</f>
        <v/>
      </c>
      <c r="Z229" s="34">
        <f>IF(U229="transition","→ Tier 3 (Galactic Arm)",IF(U229="MG","Moving Group — pocket drifts together",IF(U229="OC","Open Cluster acquired",IF(U229="PV","Peculiar Velocity — passive multiplier active",IF(U229="BiP","Binary Partner — pair bond formed",IF(AND(AU229=1,N229=0,AT229&lt;&gt;1),"Cohesion ready (waiting on completionists)","")))))) </f>
        <v/>
      </c>
      <c r="AA229" s="27">
        <f>(IF(E229=0,0,(Upgrades!$G$13+E229*Upgrades!$H$13)*POWER(Upgrades!$I$13,E229)))*(IF(Upgrades!$T$14="Stellar Kinematics",POWER(Upgrades!$U$14,F229),1)*IF(Upgrades!$T$15="Stellar Kinematics",POWER(Upgrades!$U$15,G229),1)*IF(Upgrades!$T$16="Stellar Kinematics",POWER(Upgrades!$U$16,H229),1)*IF(Upgrades!$T$17="Stellar Kinematics",POWER(Upgrades!$U$17,I229),1)*IF(Upgrades!$T$18="Stellar Kinematics",POWER(Upgrades!$U$18,J229),1)*IF(Upgrades!$T$19="Stellar Kinematics",POWER(Upgrades!$U$19,K229),1)*IF(Upgrades!$T$20="Stellar Kinematics",POWER(Upgrades!$U$20,L229),1)*IF(Upgrades!$T$21="Stellar Kinematics",POWER(Upgrades!$U$21,M229),1))*POWER(Upgrades!$P$13,E229)*POWER(Upgrades!$P$14,F229)*POWER(Upgrades!$P$15,G229)*POWER(Upgrades!$P$16,H229)*POWER(Upgrades!$P$17,I229)*POWER(Upgrades!$P$18,J229)*POWER(Upgrades!$P$19,K229)*POWER(Upgrades!$P$20,L229)*POWER(Upgrades!$P$21,M229)*$F$6*60</f>
        <v/>
      </c>
      <c r="AB229" s="27">
        <f>(IF(F229=0,0,(Upgrades!$G$14+F229*Upgrades!$H$14)*POWER(Upgrades!$I$14,F229)))*(IF(Upgrades!$T$13="Local Bubble",POWER(Upgrades!$U$13,E229),1)*IF(Upgrades!$T$15="Local Bubble",POWER(Upgrades!$U$15,G229),1)*IF(Upgrades!$T$16="Local Bubble",POWER(Upgrades!$U$16,H229),1)*IF(Upgrades!$T$17="Local Bubble",POWER(Upgrades!$U$17,I229),1)*IF(Upgrades!$T$18="Local Bubble",POWER(Upgrades!$U$18,J229),1)*IF(Upgrades!$T$19="Local Bubble",POWER(Upgrades!$U$19,K229),1)*IF(Upgrades!$T$20="Local Bubble",POWER(Upgrades!$U$20,L229),1)*IF(Upgrades!$T$21="Local Bubble",POWER(Upgrades!$U$21,M229),1))*POWER(Upgrades!$P$13,E229)*POWER(Upgrades!$P$14,F229)*POWER(Upgrades!$P$15,G229)*POWER(Upgrades!$P$16,H229)*POWER(Upgrades!$P$17,I229)*POWER(Upgrades!$P$18,J229)*POWER(Upgrades!$P$19,K229)*POWER(Upgrades!$P$20,L229)*POWER(Upgrades!$P$21,M229)*$F$6*60</f>
        <v/>
      </c>
      <c r="AC229" s="27">
        <f>(IF(G229=0,0,(Upgrades!$J$15+G229*Upgrades!$K$15)*POWER(Upgrades!$L$15,G229)))*(IF(Upgrades!$T$13="Microlensing",POWER(Upgrades!$U$13,E229),1)*IF(Upgrades!$T$14="Microlensing",POWER(Upgrades!$U$14,F229),1)*IF(Upgrades!$T$16="Microlensing",POWER(Upgrades!$U$16,H229),1)*IF(Upgrades!$T$17="Microlensing",POWER(Upgrades!$U$17,I229),1)*IF(Upgrades!$T$18="Microlensing",POWER(Upgrades!$U$18,J229),1)*IF(Upgrades!$T$19="Microlensing",POWER(Upgrades!$U$19,K229),1)*IF(Upgrades!$T$20="Microlensing",POWER(Upgrades!$U$20,L229),1)*IF(Upgrades!$T$21="Microlensing",POWER(Upgrades!$U$21,M229),1))*POWER(Upgrades!$Q$13,E229)*POWER(Upgrades!$Q$14,F229)*POWER(Upgrades!$Q$15,G229)*POWER(Upgrades!$Q$16,H229)*POWER(Upgrades!$Q$17,I229)*POWER(Upgrades!$Q$18,J229)*POWER(Upgrades!$Q$19,K229)*POWER(Upgrades!$Q$20,L229)*POWER(Upgrades!$Q$21,M229)*$G$6*(Parameters!$B$10*Parameters!$B$11+Q229*60)</f>
        <v/>
      </c>
      <c r="AD229" s="27">
        <f>(IF(H229=0,0,(Upgrades!$M$16+H229*Upgrades!$N$16)*POWER(Upgrades!$O$16,H229)))*(IF(Upgrades!$T$13="Roche Lobe Overflow",POWER(Upgrades!$U$13,E229),1)*IF(Upgrades!$T$14="Roche Lobe Overflow",POWER(Upgrades!$U$14,F229),1)*IF(Upgrades!$T$15="Roche Lobe Overflow",POWER(Upgrades!$U$15,G229),1)*IF(Upgrades!$T$17="Roche Lobe Overflow",POWER(Upgrades!$U$17,I229),1)*IF(Upgrades!$T$18="Roche Lobe Overflow",POWER(Upgrades!$U$18,J229),1)*IF(Upgrades!$T$19="Roche Lobe Overflow",POWER(Upgrades!$U$19,K229),1)*IF(Upgrades!$T$20="Roche Lobe Overflow",POWER(Upgrades!$U$20,L229),1)*IF(Upgrades!$T$21="Roche Lobe Overflow",POWER(Upgrades!$U$21,M229),1))*POWER(Upgrades!$R$13,E229)*POWER(Upgrades!$R$14,F229)*POWER(Upgrades!$R$15,G229)*POWER(Upgrades!$R$16,H229)*POWER(Upgrades!$R$17,I229)*POWER(Upgrades!$R$18,J229)*POWER(Upgrades!$R$19,K229)*POWER(Upgrades!$R$20,L229)*POWER(Upgrades!$R$21,M229)*$H$6*O229*60</f>
        <v/>
      </c>
      <c r="AE229" s="27">
        <f>(IF(I229=0,0,(Upgrades!$G$17+I229*Upgrades!$H$17)*POWER(Upgrades!$I$17,I229)))*(IF(Upgrades!$T$13="Brown Dwarf",POWER(Upgrades!$U$13,E229),1)*IF(Upgrades!$T$14="Brown Dwarf",POWER(Upgrades!$U$14,F229),1)*IF(Upgrades!$T$15="Brown Dwarf",POWER(Upgrades!$U$15,G229),1)*IF(Upgrades!$T$16="Brown Dwarf",POWER(Upgrades!$U$16,H229),1)*IF(Upgrades!$T$18="Brown Dwarf",POWER(Upgrades!$U$18,J229),1)*IF(Upgrades!$T$19="Brown Dwarf",POWER(Upgrades!$U$19,K229),1)*IF(Upgrades!$T$20="Brown Dwarf",POWER(Upgrades!$U$20,L229),1)*IF(Upgrades!$T$21="Brown Dwarf",POWER(Upgrades!$U$21,M229),1))*POWER(Upgrades!$P$13,E229)*POWER(Upgrades!$P$14,F229)*POWER(Upgrades!$P$15,G229)*POWER(Upgrades!$P$16,H229)*POWER(Upgrades!$P$17,I229)*POWER(Upgrades!$P$18,J229)*POWER(Upgrades!$P$19,K229)*POWER(Upgrades!$P$20,L229)*POWER(Upgrades!$P$21,M229)*$F$6*60</f>
        <v/>
      </c>
      <c r="AF229" s="27" t="n">
        <v>0</v>
      </c>
      <c r="AG229" s="27" t="n">
        <v>0</v>
      </c>
      <c r="AH229" s="27" t="n">
        <v>0</v>
      </c>
      <c r="AI229" s="27">
        <f>(IF(M229=0,0,(Upgrades!$G$21+M229*Upgrades!$H$21)*POWER(Upgrades!$I$21,M229)))*(IF(Upgrades!$T$13="Moving Group",POWER(Upgrades!$U$13,E229),1)*IF(Upgrades!$T$14="Moving Group",POWER(Upgrades!$U$14,F229),1)*IF(Upgrades!$T$15="Moving Group",POWER(Upgrades!$U$15,G229),1)*IF(Upgrades!$T$16="Moving Group",POWER(Upgrades!$U$16,H229),1)*IF(Upgrades!$T$17="Moving Group",POWER(Upgrades!$U$17,I229),1)*IF(Upgrades!$T$18="Moving Group",POWER(Upgrades!$U$18,J229),1)*IF(Upgrades!$T$19="Moving Group",POWER(Upgrades!$U$19,K229),1)*IF(Upgrades!$T$20="Moving Group",POWER(Upgrades!$U$20,L229),1))*POWER(Upgrades!$P$13,E229)*POWER(Upgrades!$P$14,F229)*POWER(Upgrades!$P$15,G229)*POWER(Upgrades!$P$16,H229)*POWER(Upgrades!$P$17,I229)*POWER(Upgrades!$P$18,J229)*POWER(Upgrades!$P$19,K229)*POWER(Upgrades!$P$20,L229)*POWER(Upgrades!$P$21,M229)*$F$6*60</f>
        <v/>
      </c>
      <c r="AJ229" s="27">
        <f>$C$6*60</f>
        <v/>
      </c>
      <c r="AK229" s="22">
        <f>IF(E229&gt;=Upgrades!$E$13,"",Upgrades!$C$13*POWER(Upgrades!$D$13,E229))</f>
        <v/>
      </c>
      <c r="AL229" s="22">
        <f>IF(F229&gt;=Upgrades!$E$14,"",Upgrades!$C$14*POWER(Upgrades!$D$14,F229))</f>
        <v/>
      </c>
      <c r="AM229" s="22">
        <f>IF(G229&gt;=Upgrades!$E$15,"",Upgrades!$C$15*POWER(Upgrades!$D$15,G229))</f>
        <v/>
      </c>
      <c r="AN229" s="22">
        <f>IF(H229&gt;=Upgrades!$E$16,"",Upgrades!$C$16*POWER(Upgrades!$D$16,H229))</f>
        <v/>
      </c>
      <c r="AO229" s="22">
        <f>IF(I229&gt;=Upgrades!$E$17,"",Upgrades!$C$17*POWER(Upgrades!$D$17,I229))</f>
        <v/>
      </c>
      <c r="AP229" s="22">
        <f>IF(J229&gt;=Upgrades!$E$18,"",Upgrades!$C$18*POWER(Upgrades!$D$18,J229))</f>
        <v/>
      </c>
      <c r="AQ229" s="22">
        <f>IF(K229&gt;=Upgrades!$E$19,"",Upgrades!$C$19*POWER(Upgrades!$D$19,K229))</f>
        <v/>
      </c>
      <c r="AR229" s="22">
        <f>IF(L229&gt;=Upgrades!$E$20,"",Upgrades!$C$20*POWER(Upgrades!$D$20,L229))</f>
        <v/>
      </c>
      <c r="AS229" s="22">
        <f>IF(M229&gt;=Upgrades!$E$21,"",Upgrades!$C$21*POWER(Upgrades!$D$21,M229))</f>
        <v/>
      </c>
      <c r="AT229" s="26">
        <f>IF(AND(D229&gt;=Parameters!$B$18*Parameters!$B$19,(I229&gt;=Upgrades!$E$17)*(M229&gt;=Upgrades!$E$21)=1,N229=0),1,"")</f>
        <v/>
      </c>
      <c r="AU229" s="26">
        <f>IF(AND(D229&gt;=Parameters!$B$18*Parameters!$B$19,N229=0),1,"")</f>
        <v/>
      </c>
      <c r="AV229" s="22">
        <f>MIN(IF(ISNUMBER(AP229),AP229,9E15),IF(ISNUMBER(AQ229),AQ229,9E15),IF(ISNUMBER(AR229),AR229,9E15),IF(ISNUMBER(AS229),AS229,9E15))</f>
        <v/>
      </c>
      <c r="AW229" s="22">
        <f>MIN(IF(ISNUMBER(AK229),AK229,9E15),IF(ISNUMBER(AL229),AL229,9E15),IF(ISNUMBER(AM229),AM229,9E15),IF(ISNUMBER(AN229),AN229,9E15),IF(ISNUMBER(AO229),AO229,9E15))</f>
        <v/>
      </c>
      <c r="AX229" s="29">
        <f>IF(BD229&gt;Parameters!$B$21*(MAX(IF(AND(NOT(AND(AU229=1,AT229&lt;&gt;1)),ISNUMBER(AK229),AK229&lt;=(C229+T229)),AY229,0),IF(AND(NOT(AND(AU229=1,AT229&lt;&gt;1)),ISNUMBER(AL229),AL229&lt;=(C229+T229)),AZ229,0),IF(AND(NOT(AND(AU229=1,AT229&lt;&gt;1)),ISNUMBER(AM229),AM229&lt;=(C229+T229)),BA229,0),IF(AND(NOT(AND(AU229=1,AT229&lt;&gt;1)),ISNUMBER(AN229),AN229&lt;=(C229+T229)),BB229,0),IF(AND(ISNUMBER(AO229),AO229&lt;=(C229+T229)),BC229,0))),TRUE,FALSE)</f>
        <v/>
      </c>
      <c r="AY229" s="32">
        <f>IFERROR(Upgrades!$H$13*(POWER(Upgrades!$P$13,E229)*POWER(Upgrades!$P$14,F229)*POWER(Upgrades!$P$15,G229)*POWER(Upgrades!$P$16,H229)*POWER(Upgrades!$P$17,I229)*POWER(Upgrades!$P$18,J229)*POWER(Upgrades!$P$19,K229)*POWER(Upgrades!$P$20,L229)*POWER(Upgrades!$P$21,M229))*(IF(Upgrades!$T$14="Stellar Kinematics",POWER(Upgrades!$U$14,F229),1)*IF(Upgrades!$T$15="Stellar Kinematics",POWER(Upgrades!$U$15,G229),1)*IF(Upgrades!$T$16="Stellar Kinematics",POWER(Upgrades!$U$16,H229),1)*IF(Upgrades!$T$17="Stellar Kinematics",POWER(Upgrades!$U$17,I229),1)*IF(Upgrades!$T$18="Stellar Kinematics",POWER(Upgrades!$U$18,J229),1)*IF(Upgrades!$T$19="Stellar Kinematics",POWER(Upgrades!$U$19,K229),1)*IF(Upgrades!$T$20="Stellar Kinematics",POWER(Upgrades!$U$20,L229),1)*IF(Upgrades!$T$21="Stellar Kinematics",POWER(Upgrades!$U$21,M229),1))*$F$6/AK229,0)</f>
        <v/>
      </c>
      <c r="AZ229" s="32">
        <f>IFERROR(Upgrades!$H$14*(POWER(Upgrades!$P$13,E229)*POWER(Upgrades!$P$14,F229)*POWER(Upgrades!$P$15,G229)*POWER(Upgrades!$P$16,H229)*POWER(Upgrades!$P$17,I229)*POWER(Upgrades!$P$18,J229)*POWER(Upgrades!$P$19,K229)*POWER(Upgrades!$P$20,L229)*POWER(Upgrades!$P$21,M229))*(IF(Upgrades!$T$13="Local Bubble",POWER(Upgrades!$U$13,E229),1)*IF(Upgrades!$T$15="Local Bubble",POWER(Upgrades!$U$15,G229),1)*IF(Upgrades!$T$16="Local Bubble",POWER(Upgrades!$U$16,H229),1)*IF(Upgrades!$T$17="Local Bubble",POWER(Upgrades!$U$17,I229),1)*IF(Upgrades!$T$18="Local Bubble",POWER(Upgrades!$U$18,J229),1)*IF(Upgrades!$T$19="Local Bubble",POWER(Upgrades!$U$19,K229),1)*IF(Upgrades!$T$20="Local Bubble",POWER(Upgrades!$U$20,L229),1)*IF(Upgrades!$T$21="Local Bubble",POWER(Upgrades!$U$21,M229),1))*$F$6/AL229,0)</f>
        <v/>
      </c>
      <c r="BA229" s="32">
        <f>IFERROR(Upgrades!$K$15*(POWER(Upgrades!$Q$13,E229)*POWER(Upgrades!$Q$14,F229)*POWER(Upgrades!$Q$15,G229)*POWER(Upgrades!$Q$16,H229)*POWER(Upgrades!$Q$17,I229)*POWER(Upgrades!$Q$18,J229)*POWER(Upgrades!$Q$19,K229)*POWER(Upgrades!$Q$20,L229)*POWER(Upgrades!$Q$21,M229))*(IF(Upgrades!$T$13="Microlensing",POWER(Upgrades!$U$13,E229),1)*IF(Upgrades!$T$14="Microlensing",POWER(Upgrades!$U$14,F229),1)*IF(Upgrades!$T$16="Microlensing",POWER(Upgrades!$U$16,H229),1)*IF(Upgrades!$T$17="Microlensing",POWER(Upgrades!$U$17,I229),1)*IF(Upgrades!$T$18="Microlensing",POWER(Upgrades!$U$18,J229),1)*IF(Upgrades!$T$19="Microlensing",POWER(Upgrades!$U$19,K229),1)*IF(Upgrades!$T$20="Microlensing",POWER(Upgrades!$U$20,L229),1)*IF(Upgrades!$T$21="Microlensing",POWER(Upgrades!$U$21,M229),1))*$G$6*(Parameters!$B$10/60*Parameters!$B$11+Q229)/AM229,0)</f>
        <v/>
      </c>
      <c r="BB229" s="32">
        <f>IFERROR((Upgrades!$N$16*(POWER(Upgrades!$R$13,E229)*POWER(Upgrades!$R$14,F229)*POWER(Upgrades!$R$15,G229)*POWER(Upgrades!$R$16,H229)*POWER(Upgrades!$R$17,I229)*POWER(Upgrades!$R$18,J229)*POWER(Upgrades!$R$19,K229)*POWER(Upgrades!$R$20,L229)*POWER(Upgrades!$R$21,M229))*(IF(Upgrades!$T$13="Roche Lobe Overflow",POWER(Upgrades!$U$13,E229),1)*IF(Upgrades!$T$14="Roche Lobe Overflow",POWER(Upgrades!$U$14,F229),1)*IF(Upgrades!$T$15="Roche Lobe Overflow",POWER(Upgrades!$U$15,G229),1)*IF(Upgrades!$T$17="Roche Lobe Overflow",POWER(Upgrades!$U$17,I229),1)*IF(Upgrades!$T$18="Roche Lobe Overflow",POWER(Upgrades!$U$18,J229),1)*IF(Upgrades!$T$19="Roche Lobe Overflow",POWER(Upgrades!$U$19,K229),1)*IF(Upgrades!$T$20="Roche Lobe Overflow",POWER(Upgrades!$U$20,L229),1)*IF(Upgrades!$T$21="Roche Lobe Overflow",POWER(Upgrades!$U$21,M229),1))*$H$6*O229+((IF(F229=0,0,(Upgrades!$G$14+F229*Upgrades!$H$14)*POWER(Upgrades!$I$14,F229)))*(IF(Upgrades!$T$13="Local Bubble",POWER(Upgrades!$U$13,E229),1)*IF(Upgrades!$T$15="Local Bubble",POWER(Upgrades!$U$15,G229),1)*IF(Upgrades!$T$16="Local Bubble",POWER(Upgrades!$U$16,H229),1)*IF(Upgrades!$T$17="Local Bubble",POWER(Upgrades!$U$17,I229),1)*IF(Upgrades!$T$18="Local Bubble",POWER(Upgrades!$U$18,J229),1)*IF(Upgrades!$T$19="Local Bubble",POWER(Upgrades!$U$19,K229),1)*IF(Upgrades!$T$20="Local Bubble",POWER(Upgrades!$U$20,L229),1)*IF(Upgrades!$T$21="Local Bubble",POWER(Upgrades!$U$21,M229),1))*POWER(Upgrades!$P$13,E229)*POWER(Upgrades!$P$14,F229)*POWER(Upgrades!$P$15,G229)*POWER(Upgrades!$P$16,H229)*POWER(Upgrades!$P$17,I229)*POWER(Upgrades!$P$18,J229)*POWER(Upgrades!$P$19,K229)*POWER(Upgrades!$P$20,L229)*POWER(Upgrades!$P$21,M229)*$F$6)*0.05)/AN229,0)</f>
        <v/>
      </c>
      <c r="BC229" s="32">
        <f>IFERROR((Upgrades!$H$17*(POWER(Upgrades!$P$13,E229)*POWER(Upgrades!$P$14,F229)*POWER(Upgrades!$P$15,G229)*POWER(Upgrades!$P$16,H229)*POWER(Upgrades!$P$17,I229)*POWER(Upgrades!$P$18,J229)*POWER(Upgrades!$P$19,K229)*POWER(Upgrades!$P$20,L229)*POWER(Upgrades!$P$21,M229))*(IF(Upgrades!$T$13="Brown Dwarf",POWER(Upgrades!$U$13,E229),1)*IF(Upgrades!$T$14="Brown Dwarf",POWER(Upgrades!$U$14,F229),1)*IF(Upgrades!$T$15="Brown Dwarf",POWER(Upgrades!$U$15,G229),1)*IF(Upgrades!$T$16="Brown Dwarf",POWER(Upgrades!$U$16,H229),1)*IF(Upgrades!$T$18="Brown Dwarf",POWER(Upgrades!$U$18,J229),1)*IF(Upgrades!$T$19="Brown Dwarf",POWER(Upgrades!$U$19,K229),1)*IF(Upgrades!$T$20="Brown Dwarf",POWER(Upgrades!$U$20,L229),1)*IF(Upgrades!$T$21="Brown Dwarf",POWER(Upgrades!$U$21,M229),1))*$F$6+(((IF(H229=0,0,(Upgrades!$M$16+H229*Upgrades!$N$16)*POWER(Upgrades!$O$16,H229)))*(IF(Upgrades!$T$13="Roche Lobe Overflow",POWER(Upgrades!$U$13,E229),1)*IF(Upgrades!$T$14="Roche Lobe Overflow",POWER(Upgrades!$U$14,F229),1)*IF(Upgrades!$T$15="Roche Lobe Overflow",POWER(Upgrades!$U$15,G229),1)*IF(Upgrades!$T$17="Roche Lobe Overflow",POWER(Upgrades!$U$17,I229),1)*IF(Upgrades!$T$18="Roche Lobe Overflow",POWER(Upgrades!$U$18,J229),1)*IF(Upgrades!$T$19="Roche Lobe Overflow",POWER(Upgrades!$U$19,K229),1)*IF(Upgrades!$T$20="Roche Lobe Overflow",POWER(Upgrades!$U$20,L229),1)*IF(Upgrades!$T$21="Roche Lobe Overflow",POWER(Upgrades!$U$21,M229),1))*POWER(Upgrades!$R$13,E229)*POWER(Upgrades!$R$14,F229)*POWER(Upgrades!$R$15,G229)*POWER(Upgrades!$R$16,H229)*POWER(Upgrades!$R$17,I229)*POWER(Upgrades!$R$18,J229)*POWER(Upgrades!$R$19,K229)*POWER(Upgrades!$R$20,L229)*POWER(Upgrades!$R$21,M229)*$H$6)*O229)*0.10)/AO229,0)</f>
        <v/>
      </c>
      <c r="BD229" s="32">
        <f>MAX(IF(J229&gt;0,0,IFERROR(0.5*((IF(G229=0,0,(Upgrades!$J$15+G229*Upgrades!$K$15)*POWER(Upgrades!$L$15,G229)))*(IF(Upgrades!$T$13="Microlensing",POWER(Upgrades!$U$13,E229),1)*IF(Upgrades!$T$14="Microlensing",POWER(Upgrades!$U$14,F229),1)*IF(Upgrades!$T$16="Microlensing",POWER(Upgrades!$U$16,H229),1)*IF(Upgrades!$T$17="Microlensing",POWER(Upgrades!$U$17,I229),1)*IF(Upgrades!$T$18="Microlensing",POWER(Upgrades!$U$18,J229),1)*IF(Upgrades!$T$19="Microlensing",POWER(Upgrades!$U$19,K229),1)*IF(Upgrades!$T$20="Microlensing",POWER(Upgrades!$U$20,L229),1)*IF(Upgrades!$T$21="Microlensing",POWER(Upgrades!$U$21,M229),1))*(POWER(Upgrades!$Q$13,E229)*POWER(Upgrades!$Q$14,F229)*POWER(Upgrades!$Q$15,G229)*POWER(Upgrades!$Q$16,H229)*POWER(Upgrades!$Q$17,I229)*POWER(Upgrades!$Q$18,J229)*POWER(Upgrades!$Q$19,K229)*POWER(Upgrades!$Q$20,L229)*POWER(Upgrades!$Q$21,M229))*$G$6*(Parameters!$B$10/60*Parameters!$B$11+Q229))/Upgrades!$C$18,0)),IF(K229&gt;0,0,IFERROR(0.30*P229/Upgrades!$C$19,0)),IF(L229&gt;0,0,IFERROR(0.0001/Upgrades!$C$20,0)),IF(M229&gt;0,0,IFERROR((6.0*(POWER(Upgrades!$P$13,E229)*POWER(Upgrades!$P$14,F229)*POWER(Upgrades!$P$15,G229)*POWER(Upgrades!$P$16,H229)*POWER(Upgrades!$P$17,I229)*POWER(Upgrades!$P$18,J229)*POWER(Upgrades!$P$19,K229)*POWER(Upgrades!$P$20,L229)*POWER(Upgrades!$P$21,M229))*$F$6+0.20*O229*(Parameters!$B$10/60*Parameters!$B$11+Q229))/Upgrades!$C$21,0)),IF(AND(ISNUMBER(AK229),AK229&gt;(C229+T229)),AY229,0),IF(AND(ISNUMBER(AL229),AL229&gt;(C229+T229)),AZ229,0),IF(AND(ISNUMBER(AM229),AM229&gt;(C229+T229)),BA229,0),IF(AND(ISNUMBER(AN229),AN229&gt;(C229+T229)),BB229,0),IF(AND(ISNUMBER(AO229),AO229&gt;(C229+T229)),BC229,0))</f>
        <v/>
      </c>
      <c r="BE229" s="29">
        <f>IF(AT229=1,"transition",IF(MIN(IF(AND(J229=0,ISNUMBER(AP229),AP229&lt;=(C229+T229)),AP229,9E15),IF(AND(K229=0,ISNUMBER(AQ229),AQ229&lt;=(C229+T229)),AQ229,9E15),IF(AND(L229=0,ISNUMBER(AR229),AR229&lt;=(C229+T229)),AR229,9E15),IF(AND(M229=0,ISNUMBER(AS229),AS229&lt;=(C229+T229)),AS229,9E15))&lt;9E15,IF(AND(AND(J229=0,ISNUMBER(AP229),AP229&lt;=(C229+T229)),AP229=MIN(IF(AND(J229=0,ISNUMBER(AP229),AP229&lt;=(C229+T229)),AP229,9E15),IF(AND(K229=0,ISNUMBER(AQ229),AQ229&lt;=(C229+T229)),AQ229,9E15),IF(AND(L229=0,ISNUMBER(AR229),AR229&lt;=(C229+T229)),AR229,9E15),IF(AND(M229=0,ISNUMBER(AS229),AS229&lt;=(C229+T229)),AS229,9E15))),"BiP",IF(AND(AND(K229=0,ISNUMBER(AQ229),AQ229&lt;=(C229+T229)),AQ229=MIN(IF(AND(J229=0,ISNUMBER(AP229),AP229&lt;=(C229+T229)),AP229,9E15),IF(AND(K229=0,ISNUMBER(AQ229),AQ229&lt;=(C229+T229)),AQ229,9E15),IF(AND(L229=0,ISNUMBER(AR229),AR229&lt;=(C229+T229)),AR229,9E15),IF(AND(M229=0,ISNUMBER(AS229),AS229&lt;=(C229+T229)),AS229,9E15))),"PV",IF(AND(AND(L229=0,ISNUMBER(AR229),AR229&lt;=(C229+T229)),AR229=MIN(IF(AND(J229=0,ISNUMBER(AP229),AP229&lt;=(C229+T229)),AP229,9E15),IF(AND(K229=0,ISNUMBER(AQ229),AQ229&lt;=(C229+T229)),AQ229,9E15),IF(AND(L229=0,ISNUMBER(AR229),AR229&lt;=(C229+T229)),AR229,9E15),IF(AND(M229=0,ISNUMBER(AS229),AS229&lt;=(C229+T229)),AS229,9E15))),"OC","MG"))),IF(AX229=TRUE,"",IF(MAX(IF(AND(NOT(AND(AU229=1,AT229&lt;&gt;1)),ISNUMBER(AK229),AK229&lt;=(C229+T229)),AY229,0),IF(AND(NOT(AND(AU229=1,AT229&lt;&gt;1)),ISNUMBER(AL229),AL229&lt;=(C229+T229)),AZ229,0),IF(AND(NOT(AND(AU229=1,AT229&lt;&gt;1)),ISNUMBER(AM229),AM229&lt;=(C229+T229)),BA229,0),IF(AND(NOT(AND(AU229=1,AT229&lt;&gt;1)),ISNUMBER(AN229),AN229&lt;=(C229+T229)),BB229,0),IF(AND(ISNUMBER(AO229),AO229&lt;=(C229+T229)),BC229,0))&lt;=0,"",IF(AND(IF(AND(NOT(AND(AU229=1,AT229&lt;&gt;1)),ISNUMBER(AK229),AK229&lt;=(C229+T229)),AY229,0)&gt;0,IF(AND(NOT(AND(AU229=1,AT229&lt;&gt;1)),ISNUMBER(AK229),AK229&lt;=(C229+T229)),AY229,0)=MAX(IF(AND(NOT(AND(AU229=1,AT229&lt;&gt;1)),ISNUMBER(AK229),AK229&lt;=(C229+T229)),AY229,0),IF(AND(NOT(AND(AU229=1,AT229&lt;&gt;1)),ISNUMBER(AL229),AL229&lt;=(C229+T229)),AZ229,0),IF(AND(NOT(AND(AU229=1,AT229&lt;&gt;1)),ISNUMBER(AM229),AM229&lt;=(C229+T229)),BA229,0),IF(AND(NOT(AND(AU229=1,AT229&lt;&gt;1)),ISNUMBER(AN229),AN229&lt;=(C229+T229)),BB229,0),IF(AND(ISNUMBER(AO229),AO229&lt;=(C229+T229)),BC229,0))),"SK",IF(AND(IF(AND(NOT(AND(AU229=1,AT229&lt;&gt;1)),ISNUMBER(AL229),AL229&lt;=(C229+T229)),AZ229,0)&gt;0,IF(AND(NOT(AND(AU229=1,AT229&lt;&gt;1)),ISNUMBER(AL229),AL229&lt;=(C229+T229)),AZ229,0)=MAX(IF(AND(NOT(AND(AU229=1,AT229&lt;&gt;1)),ISNUMBER(AK229),AK229&lt;=(C229+T229)),AY229,0),IF(AND(NOT(AND(AU229=1,AT229&lt;&gt;1)),ISNUMBER(AL229),AL229&lt;=(C229+T229)),AZ229,0),IF(AND(NOT(AND(AU229=1,AT229&lt;&gt;1)),ISNUMBER(AM229),AM229&lt;=(C229+T229)),BA229,0),IF(AND(NOT(AND(AU229=1,AT229&lt;&gt;1)),ISNUMBER(AN229),AN229&lt;=(C229+T229)),BB229,0),IF(AND(ISNUMBER(AO229),AO229&lt;=(C229+T229)),BC229,0))),"LB",IF(AND(IF(AND(NOT(AND(AU229=1,AT229&lt;&gt;1)),ISNUMBER(AM229),AM229&lt;=(C229+T229)),BA229,0)&gt;0,IF(AND(NOT(AND(AU229=1,AT229&lt;&gt;1)),ISNUMBER(AM229),AM229&lt;=(C229+T229)),BA229,0)=MAX(IF(AND(NOT(AND(AU229=1,AT229&lt;&gt;1)),ISNUMBER(AK229),AK229&lt;=(C229+T229)),AY229,0),IF(AND(NOT(AND(AU229=1,AT229&lt;&gt;1)),ISNUMBER(AL229),AL229&lt;=(C229+T229)),AZ229,0),IF(AND(NOT(AND(AU229=1,AT229&lt;&gt;1)),ISNUMBER(AM229),AM229&lt;=(C229+T229)),BA229,0),IF(AND(NOT(AND(AU229=1,AT229&lt;&gt;1)),ISNUMBER(AN229),AN229&lt;=(C229+T229)),BB229,0),IF(AND(ISNUMBER(AO229),AO229&lt;=(C229+T229)),BC229,0))),"ML",IF(AND(IF(AND(NOT(AND(AU229=1,AT229&lt;&gt;1)),ISNUMBER(AN229),AN229&lt;=(C229+T229)),BB229,0)&gt;0,IF(AND(NOT(AND(AU229=1,AT229&lt;&gt;1)),ISNUMBER(AN229),AN229&lt;=(C229+T229)),BB229,0)=MAX(IF(AND(NOT(AND(AU229=1,AT229&lt;&gt;1)),ISNUMBER(AK229),AK229&lt;=(C229+T229)),AY229,0),IF(AND(NOT(AND(AU229=1,AT229&lt;&gt;1)),ISNUMBER(AL229),AL229&lt;=(C229+T229)),AZ229,0),IF(AND(NOT(AND(AU229=1,AT229&lt;&gt;1)),ISNUMBER(AM229),AM229&lt;=(C229+T229)),BA229,0),IF(AND(NOT(AND(AU229=1,AT229&lt;&gt;1)),ISNUMBER(AN229),AN229&lt;=(C229+T229)),BB229,0),IF(AND(ISNUMBER(AO229),AO229&lt;=(C229+T229)),BC229,0))),"RLO","BD"))))))))</f>
        <v/>
      </c>
    </row>
    <row r="230">
      <c r="A230" s="26" t="n">
        <v>219</v>
      </c>
      <c r="B230" s="27">
        <f>A230*10/60</f>
        <v/>
      </c>
      <c r="C230" s="22">
        <f>X229</f>
        <v/>
      </c>
      <c r="D230" s="27">
        <f>D229+W229</f>
        <v/>
      </c>
      <c r="E230" s="26">
        <f>E229+IF(U229="SK",1,0)</f>
        <v/>
      </c>
      <c r="F230" s="26">
        <f>F229+IF(U229="LB",1,0)</f>
        <v/>
      </c>
      <c r="G230" s="26">
        <f>G229+IF(U229="ML",1,0)</f>
        <v/>
      </c>
      <c r="H230" s="26">
        <f>H229+IF(U229="RLO",1,0)</f>
        <v/>
      </c>
      <c r="I230" s="26">
        <f>I229+IF(U229="BD",1,0)</f>
        <v/>
      </c>
      <c r="J230" s="26">
        <f>MAX(J229,IF(U229="BiP",1,0))</f>
        <v/>
      </c>
      <c r="K230" s="26">
        <f>MAX(K229,IF(U229="PV",1,0))</f>
        <v/>
      </c>
      <c r="L230" s="26">
        <f>MAX(L229,IF(U229="OC",1,0))</f>
        <v/>
      </c>
      <c r="M230" s="26">
        <f>MAX(M229,IF(U229="MG",1,0))</f>
        <v/>
      </c>
      <c r="N230" s="26">
        <f>MAX(N229,IF(U229="transition",1,0))</f>
        <v/>
      </c>
      <c r="O230" s="28">
        <f>(Parameters!$B$9+(IF(E230=0,0,(Upgrades!$J$13+E230*Upgrades!$K$13)*POWER(Upgrades!$L$13,E230)))*(IF(Upgrades!$T$14="Stellar Kinematics",POWER(Upgrades!$U$14,F230),1)*IF(Upgrades!$T$15="Stellar Kinematics",POWER(Upgrades!$U$15,G230),1)*IF(Upgrades!$T$16="Stellar Kinematics",POWER(Upgrades!$U$16,H230),1)*IF(Upgrades!$T$17="Stellar Kinematics",POWER(Upgrades!$U$17,I230),1)*IF(Upgrades!$T$18="Stellar Kinematics",POWER(Upgrades!$U$18,J230),1)*IF(Upgrades!$T$19="Stellar Kinematics",POWER(Upgrades!$U$19,K230),1)*IF(Upgrades!$T$20="Stellar Kinematics",POWER(Upgrades!$U$20,L230),1)*IF(Upgrades!$T$21="Stellar Kinematics",POWER(Upgrades!$U$21,M230),1))+(IF(F230=0,0,(Upgrades!$J$14+F230*Upgrades!$K$14)*POWER(Upgrades!$L$14,F230)))*(IF(Upgrades!$T$13="Local Bubble",POWER(Upgrades!$U$13,E230),1)*IF(Upgrades!$T$15="Local Bubble",POWER(Upgrades!$U$15,G230),1)*IF(Upgrades!$T$16="Local Bubble",POWER(Upgrades!$U$16,H230),1)*IF(Upgrades!$T$17="Local Bubble",POWER(Upgrades!$U$17,I230),1)*IF(Upgrades!$T$18="Local Bubble",POWER(Upgrades!$U$18,J230),1)*IF(Upgrades!$T$19="Local Bubble",POWER(Upgrades!$U$19,K230),1)*IF(Upgrades!$T$20="Local Bubble",POWER(Upgrades!$U$20,L230),1)*IF(Upgrades!$T$21="Local Bubble",POWER(Upgrades!$U$21,M230),1))+(IF(G230=0,0,(Upgrades!$J$15+G230*Upgrades!$K$15)*POWER(Upgrades!$L$15,G230)))*(IF(Upgrades!$T$13="Microlensing",POWER(Upgrades!$U$13,E230),1)*IF(Upgrades!$T$14="Microlensing",POWER(Upgrades!$U$14,F230),1)*IF(Upgrades!$T$16="Microlensing",POWER(Upgrades!$U$16,H230),1)*IF(Upgrades!$T$17="Microlensing",POWER(Upgrades!$U$17,I230),1)*IF(Upgrades!$T$18="Microlensing",POWER(Upgrades!$U$18,J230),1)*IF(Upgrades!$T$19="Microlensing",POWER(Upgrades!$U$19,K230),1)*IF(Upgrades!$T$20="Microlensing",POWER(Upgrades!$U$20,L230),1)*IF(Upgrades!$T$21="Microlensing",POWER(Upgrades!$U$21,M230),1))+(IF(H230=0,0,(Upgrades!$J$16+H230*Upgrades!$K$16)*POWER(Upgrades!$L$16,H230)))*(IF(Upgrades!$T$13="Roche Lobe Overflow",POWER(Upgrades!$U$13,E230),1)*IF(Upgrades!$T$14="Roche Lobe Overflow",POWER(Upgrades!$U$14,F230),1)*IF(Upgrades!$T$15="Roche Lobe Overflow",POWER(Upgrades!$U$15,G230),1)*IF(Upgrades!$T$17="Roche Lobe Overflow",POWER(Upgrades!$U$17,I230),1)*IF(Upgrades!$T$18="Roche Lobe Overflow",POWER(Upgrades!$U$18,J230),1)*IF(Upgrades!$T$19="Roche Lobe Overflow",POWER(Upgrades!$U$19,K230),1)*IF(Upgrades!$T$20="Roche Lobe Overflow",POWER(Upgrades!$U$20,L230),1)*IF(Upgrades!$T$21="Roche Lobe Overflow",POWER(Upgrades!$U$21,M230),1))+(IF(I230=0,0,(Upgrades!$J$17+I230*Upgrades!$K$17)*POWER(Upgrades!$L$17,I230)))*(IF(Upgrades!$T$13="Brown Dwarf",POWER(Upgrades!$U$13,E230),1)*IF(Upgrades!$T$14="Brown Dwarf",POWER(Upgrades!$U$14,F230),1)*IF(Upgrades!$T$15="Brown Dwarf",POWER(Upgrades!$U$15,G230),1)*IF(Upgrades!$T$16="Brown Dwarf",POWER(Upgrades!$U$16,H230),1)*IF(Upgrades!$T$18="Brown Dwarf",POWER(Upgrades!$U$18,J230),1)*IF(Upgrades!$T$19="Brown Dwarf",POWER(Upgrades!$U$19,K230),1)*IF(Upgrades!$T$20="Brown Dwarf",POWER(Upgrades!$U$20,L230),1)*IF(Upgrades!$T$21="Brown Dwarf",POWER(Upgrades!$U$21,M230),1))+(IF(J230=0,0,(Upgrades!$J$18+J230*Upgrades!$K$18)*POWER(Upgrades!$L$18,J230)))*(IF(Upgrades!$T$13="Binary Partner",POWER(Upgrades!$U$13,E230),1)*IF(Upgrades!$T$14="Binary Partner",POWER(Upgrades!$U$14,F230),1)*IF(Upgrades!$T$15="Binary Partner",POWER(Upgrades!$U$15,G230),1)*IF(Upgrades!$T$16="Binary Partner",POWER(Upgrades!$U$16,H230),1)*IF(Upgrades!$T$17="Binary Partner",POWER(Upgrades!$U$17,I230),1)*IF(Upgrades!$T$19="Binary Partner",POWER(Upgrades!$U$19,K230),1)*IF(Upgrades!$T$20="Binary Partner",POWER(Upgrades!$U$20,L230),1)*IF(Upgrades!$T$21="Binary Partner",POWER(Upgrades!$U$21,M230),1))+(IF(K230=0,0,(Upgrades!$J$19+K230*Upgrades!$K$19)*POWER(Upgrades!$L$19,K230)))*(IF(Upgrades!$T$13="Peculiar Velocity",POWER(Upgrades!$U$13,E230),1)*IF(Upgrades!$T$14="Peculiar Velocity",POWER(Upgrades!$U$14,F230),1)*IF(Upgrades!$T$15="Peculiar Velocity",POWER(Upgrades!$U$15,G230),1)*IF(Upgrades!$T$16="Peculiar Velocity",POWER(Upgrades!$U$16,H230),1)*IF(Upgrades!$T$17="Peculiar Velocity",POWER(Upgrades!$U$17,I230),1)*IF(Upgrades!$T$18="Peculiar Velocity",POWER(Upgrades!$U$18,J230),1)*IF(Upgrades!$T$20="Peculiar Velocity",POWER(Upgrades!$U$20,L230),1)*IF(Upgrades!$T$21="Peculiar Velocity",POWER(Upgrades!$U$21,M230),1))+(IF(L230=0,0,(Upgrades!$J$20+L230*Upgrades!$K$20)*POWER(Upgrades!$L$20,L230)))*(IF(Upgrades!$T$13="Open Cluster",POWER(Upgrades!$U$13,E230),1)*IF(Upgrades!$T$14="Open Cluster",POWER(Upgrades!$U$14,F230),1)*IF(Upgrades!$T$15="Open Cluster",POWER(Upgrades!$U$15,G230),1)*IF(Upgrades!$T$16="Open Cluster",POWER(Upgrades!$U$16,H230),1)*IF(Upgrades!$T$17="Open Cluster",POWER(Upgrades!$U$17,I230),1)*IF(Upgrades!$T$18="Open Cluster",POWER(Upgrades!$U$18,J230),1)*IF(Upgrades!$T$19="Open Cluster",POWER(Upgrades!$U$19,K230),1)*IF(Upgrades!$T$21="Open Cluster",POWER(Upgrades!$U$21,M230),1))+(IF(M230=0,0,(Upgrades!$J$21+M230*Upgrades!$K$21)*POWER(Upgrades!$L$21,M230)))*(IF(Upgrades!$T$13="Moving Group",POWER(Upgrades!$U$13,E230),1)*IF(Upgrades!$T$14="Moving Group",POWER(Upgrades!$U$14,F230),1)*IF(Upgrades!$T$15="Moving Group",POWER(Upgrades!$U$15,G230),1)*IF(Upgrades!$T$16="Moving Group",POWER(Upgrades!$U$16,H230),1)*IF(Upgrades!$T$17="Moving Group",POWER(Upgrades!$U$17,I230),1)*IF(Upgrades!$T$18="Moving Group",POWER(Upgrades!$U$18,J230),1)*IF(Upgrades!$T$19="Moving Group",POWER(Upgrades!$U$19,K230),1)*IF(Upgrades!$T$20="Moving Group",POWER(Upgrades!$U$20,L230),1)))*POWER(Upgrades!$Q$13,E230)*POWER(Upgrades!$Q$14,F230)*POWER(Upgrades!$Q$15,G230)*POWER(Upgrades!$Q$16,H230)*POWER(Upgrades!$Q$17,I230)*POWER(Upgrades!$Q$18,J230)*POWER(Upgrades!$Q$19,K230)*POWER(Upgrades!$Q$20,L230)*POWER(Upgrades!$Q$21,M230)*$G$6+$D$6</f>
        <v/>
      </c>
      <c r="P230" s="28">
        <f>((IF(E230=0,0,(Upgrades!$G$13+E230*Upgrades!$H$13)*POWER(Upgrades!$I$13,E230)))*(IF(Upgrades!$T$14="Stellar Kinematics",POWER(Upgrades!$U$14,F230),1)*IF(Upgrades!$T$15="Stellar Kinematics",POWER(Upgrades!$U$15,G230),1)*IF(Upgrades!$T$16="Stellar Kinematics",POWER(Upgrades!$U$16,H230),1)*IF(Upgrades!$T$17="Stellar Kinematics",POWER(Upgrades!$U$17,I230),1)*IF(Upgrades!$T$18="Stellar Kinematics",POWER(Upgrades!$U$18,J230),1)*IF(Upgrades!$T$19="Stellar Kinematics",POWER(Upgrades!$U$19,K230),1)*IF(Upgrades!$T$20="Stellar Kinematics",POWER(Upgrades!$U$20,L230),1)*IF(Upgrades!$T$21="Stellar Kinematics",POWER(Upgrades!$U$21,M230),1))+(IF(F230=0,0,(Upgrades!$G$14+F230*Upgrades!$H$14)*POWER(Upgrades!$I$14,F230)))*(IF(Upgrades!$T$13="Local Bubble",POWER(Upgrades!$U$13,E230),1)*IF(Upgrades!$T$15="Local Bubble",POWER(Upgrades!$U$15,G230),1)*IF(Upgrades!$T$16="Local Bubble",POWER(Upgrades!$U$16,H230),1)*IF(Upgrades!$T$17="Local Bubble",POWER(Upgrades!$U$17,I230),1)*IF(Upgrades!$T$18="Local Bubble",POWER(Upgrades!$U$18,J230),1)*IF(Upgrades!$T$19="Local Bubble",POWER(Upgrades!$U$19,K230),1)*IF(Upgrades!$T$20="Local Bubble",POWER(Upgrades!$U$20,L230),1)*IF(Upgrades!$T$21="Local Bubble",POWER(Upgrades!$U$21,M230),1))+(IF(G230=0,0,(Upgrades!$G$15+G230*Upgrades!$H$15)*POWER(Upgrades!$I$15,G230)))*(IF(Upgrades!$T$13="Microlensing",POWER(Upgrades!$U$13,E230),1)*IF(Upgrades!$T$14="Microlensing",POWER(Upgrades!$U$14,F230),1)*IF(Upgrades!$T$16="Microlensing",POWER(Upgrades!$U$16,H230),1)*IF(Upgrades!$T$17="Microlensing",POWER(Upgrades!$U$17,I230),1)*IF(Upgrades!$T$18="Microlensing",POWER(Upgrades!$U$18,J230),1)*IF(Upgrades!$T$19="Microlensing",POWER(Upgrades!$U$19,K230),1)*IF(Upgrades!$T$20="Microlensing",POWER(Upgrades!$U$20,L230),1)*IF(Upgrades!$T$21="Microlensing",POWER(Upgrades!$U$21,M230),1))+(IF(H230=0,0,(Upgrades!$G$16+H230*Upgrades!$H$16)*POWER(Upgrades!$I$16,H230)))*(IF(Upgrades!$T$13="Roche Lobe Overflow",POWER(Upgrades!$U$13,E230),1)*IF(Upgrades!$T$14="Roche Lobe Overflow",POWER(Upgrades!$U$14,F230),1)*IF(Upgrades!$T$15="Roche Lobe Overflow",POWER(Upgrades!$U$15,G230),1)*IF(Upgrades!$T$17="Roche Lobe Overflow",POWER(Upgrades!$U$17,I230),1)*IF(Upgrades!$T$18="Roche Lobe Overflow",POWER(Upgrades!$U$18,J230),1)*IF(Upgrades!$T$19="Roche Lobe Overflow",POWER(Upgrades!$U$19,K230),1)*IF(Upgrades!$T$20="Roche Lobe Overflow",POWER(Upgrades!$U$20,L230),1)*IF(Upgrades!$T$21="Roche Lobe Overflow",POWER(Upgrades!$U$21,M230),1))+(IF(I230=0,0,(Upgrades!$G$17+I230*Upgrades!$H$17)*POWER(Upgrades!$I$17,I230)))*(IF(Upgrades!$T$13="Brown Dwarf",POWER(Upgrades!$U$13,E230),1)*IF(Upgrades!$T$14="Brown Dwarf",POWER(Upgrades!$U$14,F230),1)*IF(Upgrades!$T$15="Brown Dwarf",POWER(Upgrades!$U$15,G230),1)*IF(Upgrades!$T$16="Brown Dwarf",POWER(Upgrades!$U$16,H230),1)*IF(Upgrades!$T$18="Brown Dwarf",POWER(Upgrades!$U$18,J230),1)*IF(Upgrades!$T$19="Brown Dwarf",POWER(Upgrades!$U$19,K230),1)*IF(Upgrades!$T$20="Brown Dwarf",POWER(Upgrades!$U$20,L230),1)*IF(Upgrades!$T$21="Brown Dwarf",POWER(Upgrades!$U$21,M230),1))+(IF(J230=0,0,(Upgrades!$G$18+J230*Upgrades!$H$18)*POWER(Upgrades!$I$18,J230)))*(IF(Upgrades!$T$13="Binary Partner",POWER(Upgrades!$U$13,E230),1)*IF(Upgrades!$T$14="Binary Partner",POWER(Upgrades!$U$14,F230),1)*IF(Upgrades!$T$15="Binary Partner",POWER(Upgrades!$U$15,G230),1)*IF(Upgrades!$T$16="Binary Partner",POWER(Upgrades!$U$16,H230),1)*IF(Upgrades!$T$17="Binary Partner",POWER(Upgrades!$U$17,I230),1)*IF(Upgrades!$T$19="Binary Partner",POWER(Upgrades!$U$19,K230),1)*IF(Upgrades!$T$20="Binary Partner",POWER(Upgrades!$U$20,L230),1)*IF(Upgrades!$T$21="Binary Partner",POWER(Upgrades!$U$21,M230),1))+(IF(K230=0,0,(Upgrades!$G$19+K230*Upgrades!$H$19)*POWER(Upgrades!$I$19,K230)))*(IF(Upgrades!$T$13="Peculiar Velocity",POWER(Upgrades!$U$13,E230),1)*IF(Upgrades!$T$14="Peculiar Velocity",POWER(Upgrades!$U$14,F230),1)*IF(Upgrades!$T$15="Peculiar Velocity",POWER(Upgrades!$U$15,G230),1)*IF(Upgrades!$T$16="Peculiar Velocity",POWER(Upgrades!$U$16,H230),1)*IF(Upgrades!$T$17="Peculiar Velocity",POWER(Upgrades!$U$17,I230),1)*IF(Upgrades!$T$18="Peculiar Velocity",POWER(Upgrades!$U$18,J230),1)*IF(Upgrades!$T$20="Peculiar Velocity",POWER(Upgrades!$U$20,L230),1)*IF(Upgrades!$T$21="Peculiar Velocity",POWER(Upgrades!$U$21,M230),1))+(IF(L230=0,0,(Upgrades!$G$20+L230*Upgrades!$H$20)*POWER(Upgrades!$I$20,L230)))*(IF(Upgrades!$T$13="Open Cluster",POWER(Upgrades!$U$13,E230),1)*IF(Upgrades!$T$14="Open Cluster",POWER(Upgrades!$U$14,F230),1)*IF(Upgrades!$T$15="Open Cluster",POWER(Upgrades!$U$15,G230),1)*IF(Upgrades!$T$16="Open Cluster",POWER(Upgrades!$U$16,H230),1)*IF(Upgrades!$T$17="Open Cluster",POWER(Upgrades!$U$17,I230),1)*IF(Upgrades!$T$18="Open Cluster",POWER(Upgrades!$U$18,J230),1)*IF(Upgrades!$T$19="Open Cluster",POWER(Upgrades!$U$19,K230),1)*IF(Upgrades!$T$21="Open Cluster",POWER(Upgrades!$U$21,M230),1))+(IF(M230=0,0,(Upgrades!$G$21+M230*Upgrades!$H$21)*POWER(Upgrades!$I$21,M230)))*(IF(Upgrades!$T$13="Moving Group",POWER(Upgrades!$U$13,E230),1)*IF(Upgrades!$T$14="Moving Group",POWER(Upgrades!$U$14,F230),1)*IF(Upgrades!$T$15="Moving Group",POWER(Upgrades!$U$15,G230),1)*IF(Upgrades!$T$16="Moving Group",POWER(Upgrades!$U$16,H230),1)*IF(Upgrades!$T$17="Moving Group",POWER(Upgrades!$U$17,I230),1)*IF(Upgrades!$T$18="Moving Group",POWER(Upgrades!$U$18,J230),1)*IF(Upgrades!$T$19="Moving Group",POWER(Upgrades!$U$19,K230),1)*IF(Upgrades!$T$20="Moving Group",POWER(Upgrades!$U$20,L230),1)))*POWER(Upgrades!$P$13,E230)*POWER(Upgrades!$P$14,F230)*POWER(Upgrades!$P$15,G230)*POWER(Upgrades!$P$16,H230)*POWER(Upgrades!$P$17,I230)*POWER(Upgrades!$P$18,J230)*POWER(Upgrades!$P$19,K230)*POWER(Upgrades!$P$20,L230)*POWER(Upgrades!$P$21,M230)*$F$6+$C$6</f>
        <v/>
      </c>
      <c r="Q230" s="28">
        <f>((IF(E230=0,0,(Upgrades!$M$13+E230*Upgrades!$N$13)*POWER(Upgrades!$O$13,E230)))*(IF(Upgrades!$T$14="Stellar Kinematics",POWER(Upgrades!$U$14,F230),1)*IF(Upgrades!$T$15="Stellar Kinematics",POWER(Upgrades!$U$15,G230),1)*IF(Upgrades!$T$16="Stellar Kinematics",POWER(Upgrades!$U$16,H230),1)*IF(Upgrades!$T$17="Stellar Kinematics",POWER(Upgrades!$U$17,I230),1)*IF(Upgrades!$T$18="Stellar Kinematics",POWER(Upgrades!$U$18,J230),1)*IF(Upgrades!$T$19="Stellar Kinematics",POWER(Upgrades!$U$19,K230),1)*IF(Upgrades!$T$20="Stellar Kinematics",POWER(Upgrades!$U$20,L230),1)*IF(Upgrades!$T$21="Stellar Kinematics",POWER(Upgrades!$U$21,M230),1))+(IF(F230=0,0,(Upgrades!$M$14+F230*Upgrades!$N$14)*POWER(Upgrades!$O$14,F230)))*(IF(Upgrades!$T$13="Local Bubble",POWER(Upgrades!$U$13,E230),1)*IF(Upgrades!$T$15="Local Bubble",POWER(Upgrades!$U$15,G230),1)*IF(Upgrades!$T$16="Local Bubble",POWER(Upgrades!$U$16,H230),1)*IF(Upgrades!$T$17="Local Bubble",POWER(Upgrades!$U$17,I230),1)*IF(Upgrades!$T$18="Local Bubble",POWER(Upgrades!$U$18,J230),1)*IF(Upgrades!$T$19="Local Bubble",POWER(Upgrades!$U$19,K230),1)*IF(Upgrades!$T$20="Local Bubble",POWER(Upgrades!$U$20,L230),1)*IF(Upgrades!$T$21="Local Bubble",POWER(Upgrades!$U$21,M230),1))+(IF(G230=0,0,(Upgrades!$M$15+G230*Upgrades!$N$15)*POWER(Upgrades!$O$15,G230)))*(IF(Upgrades!$T$13="Microlensing",POWER(Upgrades!$U$13,E230),1)*IF(Upgrades!$T$14="Microlensing",POWER(Upgrades!$U$14,F230),1)*IF(Upgrades!$T$16="Microlensing",POWER(Upgrades!$U$16,H230),1)*IF(Upgrades!$T$17="Microlensing",POWER(Upgrades!$U$17,I230),1)*IF(Upgrades!$T$18="Microlensing",POWER(Upgrades!$U$18,J230),1)*IF(Upgrades!$T$19="Microlensing",POWER(Upgrades!$U$19,K230),1)*IF(Upgrades!$T$20="Microlensing",POWER(Upgrades!$U$20,L230),1)*IF(Upgrades!$T$21="Microlensing",POWER(Upgrades!$U$21,M230),1))+(IF(H230=0,0,(Upgrades!$M$16+H230*Upgrades!$N$16)*POWER(Upgrades!$O$16,H230)))*(IF(Upgrades!$T$13="Roche Lobe Overflow",POWER(Upgrades!$U$13,E230),1)*IF(Upgrades!$T$14="Roche Lobe Overflow",POWER(Upgrades!$U$14,F230),1)*IF(Upgrades!$T$15="Roche Lobe Overflow",POWER(Upgrades!$U$15,G230),1)*IF(Upgrades!$T$17="Roche Lobe Overflow",POWER(Upgrades!$U$17,I230),1)*IF(Upgrades!$T$18="Roche Lobe Overflow",POWER(Upgrades!$U$18,J230),1)*IF(Upgrades!$T$19="Roche Lobe Overflow",POWER(Upgrades!$U$19,K230),1)*IF(Upgrades!$T$20="Roche Lobe Overflow",POWER(Upgrades!$U$20,L230),1)*IF(Upgrades!$T$21="Roche Lobe Overflow",POWER(Upgrades!$U$21,M230),1))+(IF(I230=0,0,(Upgrades!$M$17+I230*Upgrades!$N$17)*POWER(Upgrades!$O$17,I230)))*(IF(Upgrades!$T$13="Brown Dwarf",POWER(Upgrades!$U$13,E230),1)*IF(Upgrades!$T$14="Brown Dwarf",POWER(Upgrades!$U$14,F230),1)*IF(Upgrades!$T$15="Brown Dwarf",POWER(Upgrades!$U$15,G230),1)*IF(Upgrades!$T$16="Brown Dwarf",POWER(Upgrades!$U$16,H230),1)*IF(Upgrades!$T$18="Brown Dwarf",POWER(Upgrades!$U$18,J230),1)*IF(Upgrades!$T$19="Brown Dwarf",POWER(Upgrades!$U$19,K230),1)*IF(Upgrades!$T$20="Brown Dwarf",POWER(Upgrades!$U$20,L230),1)*IF(Upgrades!$T$21="Brown Dwarf",POWER(Upgrades!$U$21,M230),1))+(IF(J230=0,0,(Upgrades!$M$18+J230*Upgrades!$N$18)*POWER(Upgrades!$O$18,J230)))*(IF(Upgrades!$T$13="Binary Partner",POWER(Upgrades!$U$13,E230),1)*IF(Upgrades!$T$14="Binary Partner",POWER(Upgrades!$U$14,F230),1)*IF(Upgrades!$T$15="Binary Partner",POWER(Upgrades!$U$15,G230),1)*IF(Upgrades!$T$16="Binary Partner",POWER(Upgrades!$U$16,H230),1)*IF(Upgrades!$T$17="Binary Partner",POWER(Upgrades!$U$17,I230),1)*IF(Upgrades!$T$19="Binary Partner",POWER(Upgrades!$U$19,K230),1)*IF(Upgrades!$T$20="Binary Partner",POWER(Upgrades!$U$20,L230),1)*IF(Upgrades!$T$21="Binary Partner",POWER(Upgrades!$U$21,M230),1))+(IF(K230=0,0,(Upgrades!$M$19+K230*Upgrades!$N$19)*POWER(Upgrades!$O$19,K230)))*(IF(Upgrades!$T$13="Peculiar Velocity",POWER(Upgrades!$U$13,E230),1)*IF(Upgrades!$T$14="Peculiar Velocity",POWER(Upgrades!$U$14,F230),1)*IF(Upgrades!$T$15="Peculiar Velocity",POWER(Upgrades!$U$15,G230),1)*IF(Upgrades!$T$16="Peculiar Velocity",POWER(Upgrades!$U$16,H230),1)*IF(Upgrades!$T$17="Peculiar Velocity",POWER(Upgrades!$U$17,I230),1)*IF(Upgrades!$T$18="Peculiar Velocity",POWER(Upgrades!$U$18,J230),1)*IF(Upgrades!$T$20="Peculiar Velocity",POWER(Upgrades!$U$20,L230),1)*IF(Upgrades!$T$21="Peculiar Velocity",POWER(Upgrades!$U$21,M230),1))+(IF(L230=0,0,(Upgrades!$M$20+L230*Upgrades!$N$20)*POWER(Upgrades!$O$20,L230)))*(IF(Upgrades!$T$13="Open Cluster",POWER(Upgrades!$U$13,E230),1)*IF(Upgrades!$T$14="Open Cluster",POWER(Upgrades!$U$14,F230),1)*IF(Upgrades!$T$15="Open Cluster",POWER(Upgrades!$U$15,G230),1)*IF(Upgrades!$T$16="Open Cluster",POWER(Upgrades!$U$16,H230),1)*IF(Upgrades!$T$17="Open Cluster",POWER(Upgrades!$U$17,I230),1)*IF(Upgrades!$T$18="Open Cluster",POWER(Upgrades!$U$18,J230),1)*IF(Upgrades!$T$19="Open Cluster",POWER(Upgrades!$U$19,K230),1)*IF(Upgrades!$T$21="Open Cluster",POWER(Upgrades!$U$21,M230),1))+(IF(M230=0,0,(Upgrades!$M$21+M230*Upgrades!$N$21)*POWER(Upgrades!$O$21,M230)))*(IF(Upgrades!$T$13="Moving Group",POWER(Upgrades!$U$13,E230),1)*IF(Upgrades!$T$14="Moving Group",POWER(Upgrades!$U$14,F230),1)*IF(Upgrades!$T$15="Moving Group",POWER(Upgrades!$U$15,G230),1)*IF(Upgrades!$T$16="Moving Group",POWER(Upgrades!$U$16,H230),1)*IF(Upgrades!$T$17="Moving Group",POWER(Upgrades!$U$17,I230),1)*IF(Upgrades!$T$18="Moving Group",POWER(Upgrades!$U$18,J230),1)*IF(Upgrades!$T$19="Moving Group",POWER(Upgrades!$U$19,K230),1)*IF(Upgrades!$T$20="Moving Group",POWER(Upgrades!$U$20,L230),1)))*POWER(Upgrades!$R$13,E230)*POWER(Upgrades!$R$14,F230)*POWER(Upgrades!$R$15,G230)*POWER(Upgrades!$R$16,H230)*POWER(Upgrades!$R$17,I230)*POWER(Upgrades!$R$18,J230)*POWER(Upgrades!$R$19,K230)*POWER(Upgrades!$R$20,L230)*POWER(Upgrades!$R$21,M230)*$H$6+$E$6</f>
        <v/>
      </c>
      <c r="R230" s="27">
        <f>IF(N230=1,0,O230*Parameters!$B$10/60*Parameters!$B$11*10)</f>
        <v/>
      </c>
      <c r="S230" s="27">
        <f>IF(N230=1,0,Q230*O230*10)</f>
        <v/>
      </c>
      <c r="T230" s="27">
        <f>IF(N230=1,0,R230+S230+P230*10)</f>
        <v/>
      </c>
      <c r="U230" s="33">
        <f>BE230</f>
        <v/>
      </c>
      <c r="V230" s="22">
        <f>IF(U230="",0,IF(U230="transition",0,IF(U230="SK",AK230,IF(U230="LB",AL230,IF(U230="ML",AM230,IF(U230="RLO",AN230,IF(U230="BD",AO230,IF(U230="BiP",AP230,IF(U230="PV",AQ230,IF(U230="OC",AR230,IF(U230="MG",AS230,0))))))))))</f>
        <v/>
      </c>
      <c r="W230" s="27">
        <f>IF(U230="BiP",Upgrades!$F$18,IF(U230="PV",Upgrades!$F$19,IF(U230="OC",Upgrades!$F$20,IF(U230="MG",Upgrades!$F$21,IF(U230="transition",-Parameters!$B$18*Parameters!$B$19,0)))))</f>
        <v/>
      </c>
      <c r="X230" s="22">
        <f>C230+T230-V230</f>
        <v/>
      </c>
      <c r="Y230" s="30">
        <f>O230*Parameters!$B$10/60*Parameters!$B$11+Q230*O230+P230</f>
        <v/>
      </c>
      <c r="Z230" s="34">
        <f>IF(U230="transition","→ Tier 3 (Galactic Arm)",IF(U230="MG","Moving Group — pocket drifts together",IF(U230="OC","Open Cluster acquired",IF(U230="PV","Peculiar Velocity — passive multiplier active",IF(U230="BiP","Binary Partner — pair bond formed",IF(AND(AU230=1,N230=0,AT230&lt;&gt;1),"Cohesion ready (waiting on completionists)","")))))) </f>
        <v/>
      </c>
      <c r="AA230" s="27">
        <f>(IF(E230=0,0,(Upgrades!$G$13+E230*Upgrades!$H$13)*POWER(Upgrades!$I$13,E230)))*(IF(Upgrades!$T$14="Stellar Kinematics",POWER(Upgrades!$U$14,F230),1)*IF(Upgrades!$T$15="Stellar Kinematics",POWER(Upgrades!$U$15,G230),1)*IF(Upgrades!$T$16="Stellar Kinematics",POWER(Upgrades!$U$16,H230),1)*IF(Upgrades!$T$17="Stellar Kinematics",POWER(Upgrades!$U$17,I230),1)*IF(Upgrades!$T$18="Stellar Kinematics",POWER(Upgrades!$U$18,J230),1)*IF(Upgrades!$T$19="Stellar Kinematics",POWER(Upgrades!$U$19,K230),1)*IF(Upgrades!$T$20="Stellar Kinematics",POWER(Upgrades!$U$20,L230),1)*IF(Upgrades!$T$21="Stellar Kinematics",POWER(Upgrades!$U$21,M230),1))*POWER(Upgrades!$P$13,E230)*POWER(Upgrades!$P$14,F230)*POWER(Upgrades!$P$15,G230)*POWER(Upgrades!$P$16,H230)*POWER(Upgrades!$P$17,I230)*POWER(Upgrades!$P$18,J230)*POWER(Upgrades!$P$19,K230)*POWER(Upgrades!$P$20,L230)*POWER(Upgrades!$P$21,M230)*$F$6*60</f>
        <v/>
      </c>
      <c r="AB230" s="27">
        <f>(IF(F230=0,0,(Upgrades!$G$14+F230*Upgrades!$H$14)*POWER(Upgrades!$I$14,F230)))*(IF(Upgrades!$T$13="Local Bubble",POWER(Upgrades!$U$13,E230),1)*IF(Upgrades!$T$15="Local Bubble",POWER(Upgrades!$U$15,G230),1)*IF(Upgrades!$T$16="Local Bubble",POWER(Upgrades!$U$16,H230),1)*IF(Upgrades!$T$17="Local Bubble",POWER(Upgrades!$U$17,I230),1)*IF(Upgrades!$T$18="Local Bubble",POWER(Upgrades!$U$18,J230),1)*IF(Upgrades!$T$19="Local Bubble",POWER(Upgrades!$U$19,K230),1)*IF(Upgrades!$T$20="Local Bubble",POWER(Upgrades!$U$20,L230),1)*IF(Upgrades!$T$21="Local Bubble",POWER(Upgrades!$U$21,M230),1))*POWER(Upgrades!$P$13,E230)*POWER(Upgrades!$P$14,F230)*POWER(Upgrades!$P$15,G230)*POWER(Upgrades!$P$16,H230)*POWER(Upgrades!$P$17,I230)*POWER(Upgrades!$P$18,J230)*POWER(Upgrades!$P$19,K230)*POWER(Upgrades!$P$20,L230)*POWER(Upgrades!$P$21,M230)*$F$6*60</f>
        <v/>
      </c>
      <c r="AC230" s="27">
        <f>(IF(G230=0,0,(Upgrades!$J$15+G230*Upgrades!$K$15)*POWER(Upgrades!$L$15,G230)))*(IF(Upgrades!$T$13="Microlensing",POWER(Upgrades!$U$13,E230),1)*IF(Upgrades!$T$14="Microlensing",POWER(Upgrades!$U$14,F230),1)*IF(Upgrades!$T$16="Microlensing",POWER(Upgrades!$U$16,H230),1)*IF(Upgrades!$T$17="Microlensing",POWER(Upgrades!$U$17,I230),1)*IF(Upgrades!$T$18="Microlensing",POWER(Upgrades!$U$18,J230),1)*IF(Upgrades!$T$19="Microlensing",POWER(Upgrades!$U$19,K230),1)*IF(Upgrades!$T$20="Microlensing",POWER(Upgrades!$U$20,L230),1)*IF(Upgrades!$T$21="Microlensing",POWER(Upgrades!$U$21,M230),1))*POWER(Upgrades!$Q$13,E230)*POWER(Upgrades!$Q$14,F230)*POWER(Upgrades!$Q$15,G230)*POWER(Upgrades!$Q$16,H230)*POWER(Upgrades!$Q$17,I230)*POWER(Upgrades!$Q$18,J230)*POWER(Upgrades!$Q$19,K230)*POWER(Upgrades!$Q$20,L230)*POWER(Upgrades!$Q$21,M230)*$G$6*(Parameters!$B$10*Parameters!$B$11+Q230*60)</f>
        <v/>
      </c>
      <c r="AD230" s="27">
        <f>(IF(H230=0,0,(Upgrades!$M$16+H230*Upgrades!$N$16)*POWER(Upgrades!$O$16,H230)))*(IF(Upgrades!$T$13="Roche Lobe Overflow",POWER(Upgrades!$U$13,E230),1)*IF(Upgrades!$T$14="Roche Lobe Overflow",POWER(Upgrades!$U$14,F230),1)*IF(Upgrades!$T$15="Roche Lobe Overflow",POWER(Upgrades!$U$15,G230),1)*IF(Upgrades!$T$17="Roche Lobe Overflow",POWER(Upgrades!$U$17,I230),1)*IF(Upgrades!$T$18="Roche Lobe Overflow",POWER(Upgrades!$U$18,J230),1)*IF(Upgrades!$T$19="Roche Lobe Overflow",POWER(Upgrades!$U$19,K230),1)*IF(Upgrades!$T$20="Roche Lobe Overflow",POWER(Upgrades!$U$20,L230),1)*IF(Upgrades!$T$21="Roche Lobe Overflow",POWER(Upgrades!$U$21,M230),1))*POWER(Upgrades!$R$13,E230)*POWER(Upgrades!$R$14,F230)*POWER(Upgrades!$R$15,G230)*POWER(Upgrades!$R$16,H230)*POWER(Upgrades!$R$17,I230)*POWER(Upgrades!$R$18,J230)*POWER(Upgrades!$R$19,K230)*POWER(Upgrades!$R$20,L230)*POWER(Upgrades!$R$21,M230)*$H$6*O230*60</f>
        <v/>
      </c>
      <c r="AE230" s="27">
        <f>(IF(I230=0,0,(Upgrades!$G$17+I230*Upgrades!$H$17)*POWER(Upgrades!$I$17,I230)))*(IF(Upgrades!$T$13="Brown Dwarf",POWER(Upgrades!$U$13,E230),1)*IF(Upgrades!$T$14="Brown Dwarf",POWER(Upgrades!$U$14,F230),1)*IF(Upgrades!$T$15="Brown Dwarf",POWER(Upgrades!$U$15,G230),1)*IF(Upgrades!$T$16="Brown Dwarf",POWER(Upgrades!$U$16,H230),1)*IF(Upgrades!$T$18="Brown Dwarf",POWER(Upgrades!$U$18,J230),1)*IF(Upgrades!$T$19="Brown Dwarf",POWER(Upgrades!$U$19,K230),1)*IF(Upgrades!$T$20="Brown Dwarf",POWER(Upgrades!$U$20,L230),1)*IF(Upgrades!$T$21="Brown Dwarf",POWER(Upgrades!$U$21,M230),1))*POWER(Upgrades!$P$13,E230)*POWER(Upgrades!$P$14,F230)*POWER(Upgrades!$P$15,G230)*POWER(Upgrades!$P$16,H230)*POWER(Upgrades!$P$17,I230)*POWER(Upgrades!$P$18,J230)*POWER(Upgrades!$P$19,K230)*POWER(Upgrades!$P$20,L230)*POWER(Upgrades!$P$21,M230)*$F$6*60</f>
        <v/>
      </c>
      <c r="AF230" s="27" t="n">
        <v>0</v>
      </c>
      <c r="AG230" s="27" t="n">
        <v>0</v>
      </c>
      <c r="AH230" s="27" t="n">
        <v>0</v>
      </c>
      <c r="AI230" s="27">
        <f>(IF(M230=0,0,(Upgrades!$G$21+M230*Upgrades!$H$21)*POWER(Upgrades!$I$21,M230)))*(IF(Upgrades!$T$13="Moving Group",POWER(Upgrades!$U$13,E230),1)*IF(Upgrades!$T$14="Moving Group",POWER(Upgrades!$U$14,F230),1)*IF(Upgrades!$T$15="Moving Group",POWER(Upgrades!$U$15,G230),1)*IF(Upgrades!$T$16="Moving Group",POWER(Upgrades!$U$16,H230),1)*IF(Upgrades!$T$17="Moving Group",POWER(Upgrades!$U$17,I230),1)*IF(Upgrades!$T$18="Moving Group",POWER(Upgrades!$U$18,J230),1)*IF(Upgrades!$T$19="Moving Group",POWER(Upgrades!$U$19,K230),1)*IF(Upgrades!$T$20="Moving Group",POWER(Upgrades!$U$20,L230),1))*POWER(Upgrades!$P$13,E230)*POWER(Upgrades!$P$14,F230)*POWER(Upgrades!$P$15,G230)*POWER(Upgrades!$P$16,H230)*POWER(Upgrades!$P$17,I230)*POWER(Upgrades!$P$18,J230)*POWER(Upgrades!$P$19,K230)*POWER(Upgrades!$P$20,L230)*POWER(Upgrades!$P$21,M230)*$F$6*60</f>
        <v/>
      </c>
      <c r="AJ230" s="27">
        <f>$C$6*60</f>
        <v/>
      </c>
      <c r="AK230" s="22">
        <f>IF(E230&gt;=Upgrades!$E$13,"",Upgrades!$C$13*POWER(Upgrades!$D$13,E230))</f>
        <v/>
      </c>
      <c r="AL230" s="22">
        <f>IF(F230&gt;=Upgrades!$E$14,"",Upgrades!$C$14*POWER(Upgrades!$D$14,F230))</f>
        <v/>
      </c>
      <c r="AM230" s="22">
        <f>IF(G230&gt;=Upgrades!$E$15,"",Upgrades!$C$15*POWER(Upgrades!$D$15,G230))</f>
        <v/>
      </c>
      <c r="AN230" s="22">
        <f>IF(H230&gt;=Upgrades!$E$16,"",Upgrades!$C$16*POWER(Upgrades!$D$16,H230))</f>
        <v/>
      </c>
      <c r="AO230" s="22">
        <f>IF(I230&gt;=Upgrades!$E$17,"",Upgrades!$C$17*POWER(Upgrades!$D$17,I230))</f>
        <v/>
      </c>
      <c r="AP230" s="22">
        <f>IF(J230&gt;=Upgrades!$E$18,"",Upgrades!$C$18*POWER(Upgrades!$D$18,J230))</f>
        <v/>
      </c>
      <c r="AQ230" s="22">
        <f>IF(K230&gt;=Upgrades!$E$19,"",Upgrades!$C$19*POWER(Upgrades!$D$19,K230))</f>
        <v/>
      </c>
      <c r="AR230" s="22">
        <f>IF(L230&gt;=Upgrades!$E$20,"",Upgrades!$C$20*POWER(Upgrades!$D$20,L230))</f>
        <v/>
      </c>
      <c r="AS230" s="22">
        <f>IF(M230&gt;=Upgrades!$E$21,"",Upgrades!$C$21*POWER(Upgrades!$D$21,M230))</f>
        <v/>
      </c>
      <c r="AT230" s="26">
        <f>IF(AND(D230&gt;=Parameters!$B$18*Parameters!$B$19,(I230&gt;=Upgrades!$E$17)*(M230&gt;=Upgrades!$E$21)=1,N230=0),1,"")</f>
        <v/>
      </c>
      <c r="AU230" s="26">
        <f>IF(AND(D230&gt;=Parameters!$B$18*Parameters!$B$19,N230=0),1,"")</f>
        <v/>
      </c>
      <c r="AV230" s="22">
        <f>MIN(IF(ISNUMBER(AP230),AP230,9E15),IF(ISNUMBER(AQ230),AQ230,9E15),IF(ISNUMBER(AR230),AR230,9E15),IF(ISNUMBER(AS230),AS230,9E15))</f>
        <v/>
      </c>
      <c r="AW230" s="22">
        <f>MIN(IF(ISNUMBER(AK230),AK230,9E15),IF(ISNUMBER(AL230),AL230,9E15),IF(ISNUMBER(AM230),AM230,9E15),IF(ISNUMBER(AN230),AN230,9E15),IF(ISNUMBER(AO230),AO230,9E15))</f>
        <v/>
      </c>
      <c r="AX230" s="29">
        <f>IF(BD230&gt;Parameters!$B$21*(MAX(IF(AND(NOT(AND(AU230=1,AT230&lt;&gt;1)),ISNUMBER(AK230),AK230&lt;=(C230+T230)),AY230,0),IF(AND(NOT(AND(AU230=1,AT230&lt;&gt;1)),ISNUMBER(AL230),AL230&lt;=(C230+T230)),AZ230,0),IF(AND(NOT(AND(AU230=1,AT230&lt;&gt;1)),ISNUMBER(AM230),AM230&lt;=(C230+T230)),BA230,0),IF(AND(NOT(AND(AU230=1,AT230&lt;&gt;1)),ISNUMBER(AN230),AN230&lt;=(C230+T230)),BB230,0),IF(AND(ISNUMBER(AO230),AO230&lt;=(C230+T230)),BC230,0))),TRUE,FALSE)</f>
        <v/>
      </c>
      <c r="AY230" s="32">
        <f>IFERROR(Upgrades!$H$13*(POWER(Upgrades!$P$13,E230)*POWER(Upgrades!$P$14,F230)*POWER(Upgrades!$P$15,G230)*POWER(Upgrades!$P$16,H230)*POWER(Upgrades!$P$17,I230)*POWER(Upgrades!$P$18,J230)*POWER(Upgrades!$P$19,K230)*POWER(Upgrades!$P$20,L230)*POWER(Upgrades!$P$21,M230))*(IF(Upgrades!$T$14="Stellar Kinematics",POWER(Upgrades!$U$14,F230),1)*IF(Upgrades!$T$15="Stellar Kinematics",POWER(Upgrades!$U$15,G230),1)*IF(Upgrades!$T$16="Stellar Kinematics",POWER(Upgrades!$U$16,H230),1)*IF(Upgrades!$T$17="Stellar Kinematics",POWER(Upgrades!$U$17,I230),1)*IF(Upgrades!$T$18="Stellar Kinematics",POWER(Upgrades!$U$18,J230),1)*IF(Upgrades!$T$19="Stellar Kinematics",POWER(Upgrades!$U$19,K230),1)*IF(Upgrades!$T$20="Stellar Kinematics",POWER(Upgrades!$U$20,L230),1)*IF(Upgrades!$T$21="Stellar Kinematics",POWER(Upgrades!$U$21,M230),1))*$F$6/AK230,0)</f>
        <v/>
      </c>
      <c r="AZ230" s="32">
        <f>IFERROR(Upgrades!$H$14*(POWER(Upgrades!$P$13,E230)*POWER(Upgrades!$P$14,F230)*POWER(Upgrades!$P$15,G230)*POWER(Upgrades!$P$16,H230)*POWER(Upgrades!$P$17,I230)*POWER(Upgrades!$P$18,J230)*POWER(Upgrades!$P$19,K230)*POWER(Upgrades!$P$20,L230)*POWER(Upgrades!$P$21,M230))*(IF(Upgrades!$T$13="Local Bubble",POWER(Upgrades!$U$13,E230),1)*IF(Upgrades!$T$15="Local Bubble",POWER(Upgrades!$U$15,G230),1)*IF(Upgrades!$T$16="Local Bubble",POWER(Upgrades!$U$16,H230),1)*IF(Upgrades!$T$17="Local Bubble",POWER(Upgrades!$U$17,I230),1)*IF(Upgrades!$T$18="Local Bubble",POWER(Upgrades!$U$18,J230),1)*IF(Upgrades!$T$19="Local Bubble",POWER(Upgrades!$U$19,K230),1)*IF(Upgrades!$T$20="Local Bubble",POWER(Upgrades!$U$20,L230),1)*IF(Upgrades!$T$21="Local Bubble",POWER(Upgrades!$U$21,M230),1))*$F$6/AL230,0)</f>
        <v/>
      </c>
      <c r="BA230" s="32">
        <f>IFERROR(Upgrades!$K$15*(POWER(Upgrades!$Q$13,E230)*POWER(Upgrades!$Q$14,F230)*POWER(Upgrades!$Q$15,G230)*POWER(Upgrades!$Q$16,H230)*POWER(Upgrades!$Q$17,I230)*POWER(Upgrades!$Q$18,J230)*POWER(Upgrades!$Q$19,K230)*POWER(Upgrades!$Q$20,L230)*POWER(Upgrades!$Q$21,M230))*(IF(Upgrades!$T$13="Microlensing",POWER(Upgrades!$U$13,E230),1)*IF(Upgrades!$T$14="Microlensing",POWER(Upgrades!$U$14,F230),1)*IF(Upgrades!$T$16="Microlensing",POWER(Upgrades!$U$16,H230),1)*IF(Upgrades!$T$17="Microlensing",POWER(Upgrades!$U$17,I230),1)*IF(Upgrades!$T$18="Microlensing",POWER(Upgrades!$U$18,J230),1)*IF(Upgrades!$T$19="Microlensing",POWER(Upgrades!$U$19,K230),1)*IF(Upgrades!$T$20="Microlensing",POWER(Upgrades!$U$20,L230),1)*IF(Upgrades!$T$21="Microlensing",POWER(Upgrades!$U$21,M230),1))*$G$6*(Parameters!$B$10/60*Parameters!$B$11+Q230)/AM230,0)</f>
        <v/>
      </c>
      <c r="BB230" s="32">
        <f>IFERROR((Upgrades!$N$16*(POWER(Upgrades!$R$13,E230)*POWER(Upgrades!$R$14,F230)*POWER(Upgrades!$R$15,G230)*POWER(Upgrades!$R$16,H230)*POWER(Upgrades!$R$17,I230)*POWER(Upgrades!$R$18,J230)*POWER(Upgrades!$R$19,K230)*POWER(Upgrades!$R$20,L230)*POWER(Upgrades!$R$21,M230))*(IF(Upgrades!$T$13="Roche Lobe Overflow",POWER(Upgrades!$U$13,E230),1)*IF(Upgrades!$T$14="Roche Lobe Overflow",POWER(Upgrades!$U$14,F230),1)*IF(Upgrades!$T$15="Roche Lobe Overflow",POWER(Upgrades!$U$15,G230),1)*IF(Upgrades!$T$17="Roche Lobe Overflow",POWER(Upgrades!$U$17,I230),1)*IF(Upgrades!$T$18="Roche Lobe Overflow",POWER(Upgrades!$U$18,J230),1)*IF(Upgrades!$T$19="Roche Lobe Overflow",POWER(Upgrades!$U$19,K230),1)*IF(Upgrades!$T$20="Roche Lobe Overflow",POWER(Upgrades!$U$20,L230),1)*IF(Upgrades!$T$21="Roche Lobe Overflow",POWER(Upgrades!$U$21,M230),1))*$H$6*O230+((IF(F230=0,0,(Upgrades!$G$14+F230*Upgrades!$H$14)*POWER(Upgrades!$I$14,F230)))*(IF(Upgrades!$T$13="Local Bubble",POWER(Upgrades!$U$13,E230),1)*IF(Upgrades!$T$15="Local Bubble",POWER(Upgrades!$U$15,G230),1)*IF(Upgrades!$T$16="Local Bubble",POWER(Upgrades!$U$16,H230),1)*IF(Upgrades!$T$17="Local Bubble",POWER(Upgrades!$U$17,I230),1)*IF(Upgrades!$T$18="Local Bubble",POWER(Upgrades!$U$18,J230),1)*IF(Upgrades!$T$19="Local Bubble",POWER(Upgrades!$U$19,K230),1)*IF(Upgrades!$T$20="Local Bubble",POWER(Upgrades!$U$20,L230),1)*IF(Upgrades!$T$21="Local Bubble",POWER(Upgrades!$U$21,M230),1))*POWER(Upgrades!$P$13,E230)*POWER(Upgrades!$P$14,F230)*POWER(Upgrades!$P$15,G230)*POWER(Upgrades!$P$16,H230)*POWER(Upgrades!$P$17,I230)*POWER(Upgrades!$P$18,J230)*POWER(Upgrades!$P$19,K230)*POWER(Upgrades!$P$20,L230)*POWER(Upgrades!$P$21,M230)*$F$6)*0.05)/AN230,0)</f>
        <v/>
      </c>
      <c r="BC230" s="32">
        <f>IFERROR((Upgrades!$H$17*(POWER(Upgrades!$P$13,E230)*POWER(Upgrades!$P$14,F230)*POWER(Upgrades!$P$15,G230)*POWER(Upgrades!$P$16,H230)*POWER(Upgrades!$P$17,I230)*POWER(Upgrades!$P$18,J230)*POWER(Upgrades!$P$19,K230)*POWER(Upgrades!$P$20,L230)*POWER(Upgrades!$P$21,M230))*(IF(Upgrades!$T$13="Brown Dwarf",POWER(Upgrades!$U$13,E230),1)*IF(Upgrades!$T$14="Brown Dwarf",POWER(Upgrades!$U$14,F230),1)*IF(Upgrades!$T$15="Brown Dwarf",POWER(Upgrades!$U$15,G230),1)*IF(Upgrades!$T$16="Brown Dwarf",POWER(Upgrades!$U$16,H230),1)*IF(Upgrades!$T$18="Brown Dwarf",POWER(Upgrades!$U$18,J230),1)*IF(Upgrades!$T$19="Brown Dwarf",POWER(Upgrades!$U$19,K230),1)*IF(Upgrades!$T$20="Brown Dwarf",POWER(Upgrades!$U$20,L230),1)*IF(Upgrades!$T$21="Brown Dwarf",POWER(Upgrades!$U$21,M230),1))*$F$6+(((IF(H230=0,0,(Upgrades!$M$16+H230*Upgrades!$N$16)*POWER(Upgrades!$O$16,H230)))*(IF(Upgrades!$T$13="Roche Lobe Overflow",POWER(Upgrades!$U$13,E230),1)*IF(Upgrades!$T$14="Roche Lobe Overflow",POWER(Upgrades!$U$14,F230),1)*IF(Upgrades!$T$15="Roche Lobe Overflow",POWER(Upgrades!$U$15,G230),1)*IF(Upgrades!$T$17="Roche Lobe Overflow",POWER(Upgrades!$U$17,I230),1)*IF(Upgrades!$T$18="Roche Lobe Overflow",POWER(Upgrades!$U$18,J230),1)*IF(Upgrades!$T$19="Roche Lobe Overflow",POWER(Upgrades!$U$19,K230),1)*IF(Upgrades!$T$20="Roche Lobe Overflow",POWER(Upgrades!$U$20,L230),1)*IF(Upgrades!$T$21="Roche Lobe Overflow",POWER(Upgrades!$U$21,M230),1))*POWER(Upgrades!$R$13,E230)*POWER(Upgrades!$R$14,F230)*POWER(Upgrades!$R$15,G230)*POWER(Upgrades!$R$16,H230)*POWER(Upgrades!$R$17,I230)*POWER(Upgrades!$R$18,J230)*POWER(Upgrades!$R$19,K230)*POWER(Upgrades!$R$20,L230)*POWER(Upgrades!$R$21,M230)*$H$6)*O230)*0.10)/AO230,0)</f>
        <v/>
      </c>
      <c r="BD230" s="32">
        <f>MAX(IF(J230&gt;0,0,IFERROR(0.5*((IF(G230=0,0,(Upgrades!$J$15+G230*Upgrades!$K$15)*POWER(Upgrades!$L$15,G230)))*(IF(Upgrades!$T$13="Microlensing",POWER(Upgrades!$U$13,E230),1)*IF(Upgrades!$T$14="Microlensing",POWER(Upgrades!$U$14,F230),1)*IF(Upgrades!$T$16="Microlensing",POWER(Upgrades!$U$16,H230),1)*IF(Upgrades!$T$17="Microlensing",POWER(Upgrades!$U$17,I230),1)*IF(Upgrades!$T$18="Microlensing",POWER(Upgrades!$U$18,J230),1)*IF(Upgrades!$T$19="Microlensing",POWER(Upgrades!$U$19,K230),1)*IF(Upgrades!$T$20="Microlensing",POWER(Upgrades!$U$20,L230),1)*IF(Upgrades!$T$21="Microlensing",POWER(Upgrades!$U$21,M230),1))*(POWER(Upgrades!$Q$13,E230)*POWER(Upgrades!$Q$14,F230)*POWER(Upgrades!$Q$15,G230)*POWER(Upgrades!$Q$16,H230)*POWER(Upgrades!$Q$17,I230)*POWER(Upgrades!$Q$18,J230)*POWER(Upgrades!$Q$19,K230)*POWER(Upgrades!$Q$20,L230)*POWER(Upgrades!$Q$21,M230))*$G$6*(Parameters!$B$10/60*Parameters!$B$11+Q230))/Upgrades!$C$18,0)),IF(K230&gt;0,0,IFERROR(0.30*P230/Upgrades!$C$19,0)),IF(L230&gt;0,0,IFERROR(0.0001/Upgrades!$C$20,0)),IF(M230&gt;0,0,IFERROR((6.0*(POWER(Upgrades!$P$13,E230)*POWER(Upgrades!$P$14,F230)*POWER(Upgrades!$P$15,G230)*POWER(Upgrades!$P$16,H230)*POWER(Upgrades!$P$17,I230)*POWER(Upgrades!$P$18,J230)*POWER(Upgrades!$P$19,K230)*POWER(Upgrades!$P$20,L230)*POWER(Upgrades!$P$21,M230))*$F$6+0.20*O230*(Parameters!$B$10/60*Parameters!$B$11+Q230))/Upgrades!$C$21,0)),IF(AND(ISNUMBER(AK230),AK230&gt;(C230+T230)),AY230,0),IF(AND(ISNUMBER(AL230),AL230&gt;(C230+T230)),AZ230,0),IF(AND(ISNUMBER(AM230),AM230&gt;(C230+T230)),BA230,0),IF(AND(ISNUMBER(AN230),AN230&gt;(C230+T230)),BB230,0),IF(AND(ISNUMBER(AO230),AO230&gt;(C230+T230)),BC230,0))</f>
        <v/>
      </c>
      <c r="BE230" s="29">
        <f>IF(AT230=1,"transition",IF(MIN(IF(AND(J230=0,ISNUMBER(AP230),AP230&lt;=(C230+T230)),AP230,9E15),IF(AND(K230=0,ISNUMBER(AQ230),AQ230&lt;=(C230+T230)),AQ230,9E15),IF(AND(L230=0,ISNUMBER(AR230),AR230&lt;=(C230+T230)),AR230,9E15),IF(AND(M230=0,ISNUMBER(AS230),AS230&lt;=(C230+T230)),AS230,9E15))&lt;9E15,IF(AND(AND(J230=0,ISNUMBER(AP230),AP230&lt;=(C230+T230)),AP230=MIN(IF(AND(J230=0,ISNUMBER(AP230),AP230&lt;=(C230+T230)),AP230,9E15),IF(AND(K230=0,ISNUMBER(AQ230),AQ230&lt;=(C230+T230)),AQ230,9E15),IF(AND(L230=0,ISNUMBER(AR230),AR230&lt;=(C230+T230)),AR230,9E15),IF(AND(M230=0,ISNUMBER(AS230),AS230&lt;=(C230+T230)),AS230,9E15))),"BiP",IF(AND(AND(K230=0,ISNUMBER(AQ230),AQ230&lt;=(C230+T230)),AQ230=MIN(IF(AND(J230=0,ISNUMBER(AP230),AP230&lt;=(C230+T230)),AP230,9E15),IF(AND(K230=0,ISNUMBER(AQ230),AQ230&lt;=(C230+T230)),AQ230,9E15),IF(AND(L230=0,ISNUMBER(AR230),AR230&lt;=(C230+T230)),AR230,9E15),IF(AND(M230=0,ISNUMBER(AS230),AS230&lt;=(C230+T230)),AS230,9E15))),"PV",IF(AND(AND(L230=0,ISNUMBER(AR230),AR230&lt;=(C230+T230)),AR230=MIN(IF(AND(J230=0,ISNUMBER(AP230),AP230&lt;=(C230+T230)),AP230,9E15),IF(AND(K230=0,ISNUMBER(AQ230),AQ230&lt;=(C230+T230)),AQ230,9E15),IF(AND(L230=0,ISNUMBER(AR230),AR230&lt;=(C230+T230)),AR230,9E15),IF(AND(M230=0,ISNUMBER(AS230),AS230&lt;=(C230+T230)),AS230,9E15))),"OC","MG"))),IF(AX230=TRUE,"",IF(MAX(IF(AND(NOT(AND(AU230=1,AT230&lt;&gt;1)),ISNUMBER(AK230),AK230&lt;=(C230+T230)),AY230,0),IF(AND(NOT(AND(AU230=1,AT230&lt;&gt;1)),ISNUMBER(AL230),AL230&lt;=(C230+T230)),AZ230,0),IF(AND(NOT(AND(AU230=1,AT230&lt;&gt;1)),ISNUMBER(AM230),AM230&lt;=(C230+T230)),BA230,0),IF(AND(NOT(AND(AU230=1,AT230&lt;&gt;1)),ISNUMBER(AN230),AN230&lt;=(C230+T230)),BB230,0),IF(AND(ISNUMBER(AO230),AO230&lt;=(C230+T230)),BC230,0))&lt;=0,"",IF(AND(IF(AND(NOT(AND(AU230=1,AT230&lt;&gt;1)),ISNUMBER(AK230),AK230&lt;=(C230+T230)),AY230,0)&gt;0,IF(AND(NOT(AND(AU230=1,AT230&lt;&gt;1)),ISNUMBER(AK230),AK230&lt;=(C230+T230)),AY230,0)=MAX(IF(AND(NOT(AND(AU230=1,AT230&lt;&gt;1)),ISNUMBER(AK230),AK230&lt;=(C230+T230)),AY230,0),IF(AND(NOT(AND(AU230=1,AT230&lt;&gt;1)),ISNUMBER(AL230),AL230&lt;=(C230+T230)),AZ230,0),IF(AND(NOT(AND(AU230=1,AT230&lt;&gt;1)),ISNUMBER(AM230),AM230&lt;=(C230+T230)),BA230,0),IF(AND(NOT(AND(AU230=1,AT230&lt;&gt;1)),ISNUMBER(AN230),AN230&lt;=(C230+T230)),BB230,0),IF(AND(ISNUMBER(AO230),AO230&lt;=(C230+T230)),BC230,0))),"SK",IF(AND(IF(AND(NOT(AND(AU230=1,AT230&lt;&gt;1)),ISNUMBER(AL230),AL230&lt;=(C230+T230)),AZ230,0)&gt;0,IF(AND(NOT(AND(AU230=1,AT230&lt;&gt;1)),ISNUMBER(AL230),AL230&lt;=(C230+T230)),AZ230,0)=MAX(IF(AND(NOT(AND(AU230=1,AT230&lt;&gt;1)),ISNUMBER(AK230),AK230&lt;=(C230+T230)),AY230,0),IF(AND(NOT(AND(AU230=1,AT230&lt;&gt;1)),ISNUMBER(AL230),AL230&lt;=(C230+T230)),AZ230,0),IF(AND(NOT(AND(AU230=1,AT230&lt;&gt;1)),ISNUMBER(AM230),AM230&lt;=(C230+T230)),BA230,0),IF(AND(NOT(AND(AU230=1,AT230&lt;&gt;1)),ISNUMBER(AN230),AN230&lt;=(C230+T230)),BB230,0),IF(AND(ISNUMBER(AO230),AO230&lt;=(C230+T230)),BC230,0))),"LB",IF(AND(IF(AND(NOT(AND(AU230=1,AT230&lt;&gt;1)),ISNUMBER(AM230),AM230&lt;=(C230+T230)),BA230,0)&gt;0,IF(AND(NOT(AND(AU230=1,AT230&lt;&gt;1)),ISNUMBER(AM230),AM230&lt;=(C230+T230)),BA230,0)=MAX(IF(AND(NOT(AND(AU230=1,AT230&lt;&gt;1)),ISNUMBER(AK230),AK230&lt;=(C230+T230)),AY230,0),IF(AND(NOT(AND(AU230=1,AT230&lt;&gt;1)),ISNUMBER(AL230),AL230&lt;=(C230+T230)),AZ230,0),IF(AND(NOT(AND(AU230=1,AT230&lt;&gt;1)),ISNUMBER(AM230),AM230&lt;=(C230+T230)),BA230,0),IF(AND(NOT(AND(AU230=1,AT230&lt;&gt;1)),ISNUMBER(AN230),AN230&lt;=(C230+T230)),BB230,0),IF(AND(ISNUMBER(AO230),AO230&lt;=(C230+T230)),BC230,0))),"ML",IF(AND(IF(AND(NOT(AND(AU230=1,AT230&lt;&gt;1)),ISNUMBER(AN230),AN230&lt;=(C230+T230)),BB230,0)&gt;0,IF(AND(NOT(AND(AU230=1,AT230&lt;&gt;1)),ISNUMBER(AN230),AN230&lt;=(C230+T230)),BB230,0)=MAX(IF(AND(NOT(AND(AU230=1,AT230&lt;&gt;1)),ISNUMBER(AK230),AK230&lt;=(C230+T230)),AY230,0),IF(AND(NOT(AND(AU230=1,AT230&lt;&gt;1)),ISNUMBER(AL230),AL230&lt;=(C230+T230)),AZ230,0),IF(AND(NOT(AND(AU230=1,AT230&lt;&gt;1)),ISNUMBER(AM230),AM230&lt;=(C230+T230)),BA230,0),IF(AND(NOT(AND(AU230=1,AT230&lt;&gt;1)),ISNUMBER(AN230),AN230&lt;=(C230+T230)),BB230,0),IF(AND(ISNUMBER(AO230),AO230&lt;=(C230+T230)),BC230,0))),"RLO","BD"))))))))</f>
        <v/>
      </c>
    </row>
    <row r="231">
      <c r="A231" s="26" t="n">
        <v>220</v>
      </c>
      <c r="B231" s="27">
        <f>A231*10/60</f>
        <v/>
      </c>
      <c r="C231" s="22">
        <f>X230</f>
        <v/>
      </c>
      <c r="D231" s="27">
        <f>D230+W230</f>
        <v/>
      </c>
      <c r="E231" s="26">
        <f>E230+IF(U230="SK",1,0)</f>
        <v/>
      </c>
      <c r="F231" s="26">
        <f>F230+IF(U230="LB",1,0)</f>
        <v/>
      </c>
      <c r="G231" s="26">
        <f>G230+IF(U230="ML",1,0)</f>
        <v/>
      </c>
      <c r="H231" s="26">
        <f>H230+IF(U230="RLO",1,0)</f>
        <v/>
      </c>
      <c r="I231" s="26">
        <f>I230+IF(U230="BD",1,0)</f>
        <v/>
      </c>
      <c r="J231" s="26">
        <f>MAX(J230,IF(U230="BiP",1,0))</f>
        <v/>
      </c>
      <c r="K231" s="26">
        <f>MAX(K230,IF(U230="PV",1,0))</f>
        <v/>
      </c>
      <c r="L231" s="26">
        <f>MAX(L230,IF(U230="OC",1,0))</f>
        <v/>
      </c>
      <c r="M231" s="26">
        <f>MAX(M230,IF(U230="MG",1,0))</f>
        <v/>
      </c>
      <c r="N231" s="26">
        <f>MAX(N230,IF(U230="transition",1,0))</f>
        <v/>
      </c>
      <c r="O231" s="28">
        <f>(Parameters!$B$9+(IF(E231=0,0,(Upgrades!$J$13+E231*Upgrades!$K$13)*POWER(Upgrades!$L$13,E231)))*(IF(Upgrades!$T$14="Stellar Kinematics",POWER(Upgrades!$U$14,F231),1)*IF(Upgrades!$T$15="Stellar Kinematics",POWER(Upgrades!$U$15,G231),1)*IF(Upgrades!$T$16="Stellar Kinematics",POWER(Upgrades!$U$16,H231),1)*IF(Upgrades!$T$17="Stellar Kinematics",POWER(Upgrades!$U$17,I231),1)*IF(Upgrades!$T$18="Stellar Kinematics",POWER(Upgrades!$U$18,J231),1)*IF(Upgrades!$T$19="Stellar Kinematics",POWER(Upgrades!$U$19,K231),1)*IF(Upgrades!$T$20="Stellar Kinematics",POWER(Upgrades!$U$20,L231),1)*IF(Upgrades!$T$21="Stellar Kinematics",POWER(Upgrades!$U$21,M231),1))+(IF(F231=0,0,(Upgrades!$J$14+F231*Upgrades!$K$14)*POWER(Upgrades!$L$14,F231)))*(IF(Upgrades!$T$13="Local Bubble",POWER(Upgrades!$U$13,E231),1)*IF(Upgrades!$T$15="Local Bubble",POWER(Upgrades!$U$15,G231),1)*IF(Upgrades!$T$16="Local Bubble",POWER(Upgrades!$U$16,H231),1)*IF(Upgrades!$T$17="Local Bubble",POWER(Upgrades!$U$17,I231),1)*IF(Upgrades!$T$18="Local Bubble",POWER(Upgrades!$U$18,J231),1)*IF(Upgrades!$T$19="Local Bubble",POWER(Upgrades!$U$19,K231),1)*IF(Upgrades!$T$20="Local Bubble",POWER(Upgrades!$U$20,L231),1)*IF(Upgrades!$T$21="Local Bubble",POWER(Upgrades!$U$21,M231),1))+(IF(G231=0,0,(Upgrades!$J$15+G231*Upgrades!$K$15)*POWER(Upgrades!$L$15,G231)))*(IF(Upgrades!$T$13="Microlensing",POWER(Upgrades!$U$13,E231),1)*IF(Upgrades!$T$14="Microlensing",POWER(Upgrades!$U$14,F231),1)*IF(Upgrades!$T$16="Microlensing",POWER(Upgrades!$U$16,H231),1)*IF(Upgrades!$T$17="Microlensing",POWER(Upgrades!$U$17,I231),1)*IF(Upgrades!$T$18="Microlensing",POWER(Upgrades!$U$18,J231),1)*IF(Upgrades!$T$19="Microlensing",POWER(Upgrades!$U$19,K231),1)*IF(Upgrades!$T$20="Microlensing",POWER(Upgrades!$U$20,L231),1)*IF(Upgrades!$T$21="Microlensing",POWER(Upgrades!$U$21,M231),1))+(IF(H231=0,0,(Upgrades!$J$16+H231*Upgrades!$K$16)*POWER(Upgrades!$L$16,H231)))*(IF(Upgrades!$T$13="Roche Lobe Overflow",POWER(Upgrades!$U$13,E231),1)*IF(Upgrades!$T$14="Roche Lobe Overflow",POWER(Upgrades!$U$14,F231),1)*IF(Upgrades!$T$15="Roche Lobe Overflow",POWER(Upgrades!$U$15,G231),1)*IF(Upgrades!$T$17="Roche Lobe Overflow",POWER(Upgrades!$U$17,I231),1)*IF(Upgrades!$T$18="Roche Lobe Overflow",POWER(Upgrades!$U$18,J231),1)*IF(Upgrades!$T$19="Roche Lobe Overflow",POWER(Upgrades!$U$19,K231),1)*IF(Upgrades!$T$20="Roche Lobe Overflow",POWER(Upgrades!$U$20,L231),1)*IF(Upgrades!$T$21="Roche Lobe Overflow",POWER(Upgrades!$U$21,M231),1))+(IF(I231=0,0,(Upgrades!$J$17+I231*Upgrades!$K$17)*POWER(Upgrades!$L$17,I231)))*(IF(Upgrades!$T$13="Brown Dwarf",POWER(Upgrades!$U$13,E231),1)*IF(Upgrades!$T$14="Brown Dwarf",POWER(Upgrades!$U$14,F231),1)*IF(Upgrades!$T$15="Brown Dwarf",POWER(Upgrades!$U$15,G231),1)*IF(Upgrades!$T$16="Brown Dwarf",POWER(Upgrades!$U$16,H231),1)*IF(Upgrades!$T$18="Brown Dwarf",POWER(Upgrades!$U$18,J231),1)*IF(Upgrades!$T$19="Brown Dwarf",POWER(Upgrades!$U$19,K231),1)*IF(Upgrades!$T$20="Brown Dwarf",POWER(Upgrades!$U$20,L231),1)*IF(Upgrades!$T$21="Brown Dwarf",POWER(Upgrades!$U$21,M231),1))+(IF(J231=0,0,(Upgrades!$J$18+J231*Upgrades!$K$18)*POWER(Upgrades!$L$18,J231)))*(IF(Upgrades!$T$13="Binary Partner",POWER(Upgrades!$U$13,E231),1)*IF(Upgrades!$T$14="Binary Partner",POWER(Upgrades!$U$14,F231),1)*IF(Upgrades!$T$15="Binary Partner",POWER(Upgrades!$U$15,G231),1)*IF(Upgrades!$T$16="Binary Partner",POWER(Upgrades!$U$16,H231),1)*IF(Upgrades!$T$17="Binary Partner",POWER(Upgrades!$U$17,I231),1)*IF(Upgrades!$T$19="Binary Partner",POWER(Upgrades!$U$19,K231),1)*IF(Upgrades!$T$20="Binary Partner",POWER(Upgrades!$U$20,L231),1)*IF(Upgrades!$T$21="Binary Partner",POWER(Upgrades!$U$21,M231),1))+(IF(K231=0,0,(Upgrades!$J$19+K231*Upgrades!$K$19)*POWER(Upgrades!$L$19,K231)))*(IF(Upgrades!$T$13="Peculiar Velocity",POWER(Upgrades!$U$13,E231),1)*IF(Upgrades!$T$14="Peculiar Velocity",POWER(Upgrades!$U$14,F231),1)*IF(Upgrades!$T$15="Peculiar Velocity",POWER(Upgrades!$U$15,G231),1)*IF(Upgrades!$T$16="Peculiar Velocity",POWER(Upgrades!$U$16,H231),1)*IF(Upgrades!$T$17="Peculiar Velocity",POWER(Upgrades!$U$17,I231),1)*IF(Upgrades!$T$18="Peculiar Velocity",POWER(Upgrades!$U$18,J231),1)*IF(Upgrades!$T$20="Peculiar Velocity",POWER(Upgrades!$U$20,L231),1)*IF(Upgrades!$T$21="Peculiar Velocity",POWER(Upgrades!$U$21,M231),1))+(IF(L231=0,0,(Upgrades!$J$20+L231*Upgrades!$K$20)*POWER(Upgrades!$L$20,L231)))*(IF(Upgrades!$T$13="Open Cluster",POWER(Upgrades!$U$13,E231),1)*IF(Upgrades!$T$14="Open Cluster",POWER(Upgrades!$U$14,F231),1)*IF(Upgrades!$T$15="Open Cluster",POWER(Upgrades!$U$15,G231),1)*IF(Upgrades!$T$16="Open Cluster",POWER(Upgrades!$U$16,H231),1)*IF(Upgrades!$T$17="Open Cluster",POWER(Upgrades!$U$17,I231),1)*IF(Upgrades!$T$18="Open Cluster",POWER(Upgrades!$U$18,J231),1)*IF(Upgrades!$T$19="Open Cluster",POWER(Upgrades!$U$19,K231),1)*IF(Upgrades!$T$21="Open Cluster",POWER(Upgrades!$U$21,M231),1))+(IF(M231=0,0,(Upgrades!$J$21+M231*Upgrades!$K$21)*POWER(Upgrades!$L$21,M231)))*(IF(Upgrades!$T$13="Moving Group",POWER(Upgrades!$U$13,E231),1)*IF(Upgrades!$T$14="Moving Group",POWER(Upgrades!$U$14,F231),1)*IF(Upgrades!$T$15="Moving Group",POWER(Upgrades!$U$15,G231),1)*IF(Upgrades!$T$16="Moving Group",POWER(Upgrades!$U$16,H231),1)*IF(Upgrades!$T$17="Moving Group",POWER(Upgrades!$U$17,I231),1)*IF(Upgrades!$T$18="Moving Group",POWER(Upgrades!$U$18,J231),1)*IF(Upgrades!$T$19="Moving Group",POWER(Upgrades!$U$19,K231),1)*IF(Upgrades!$T$20="Moving Group",POWER(Upgrades!$U$20,L231),1)))*POWER(Upgrades!$Q$13,E231)*POWER(Upgrades!$Q$14,F231)*POWER(Upgrades!$Q$15,G231)*POWER(Upgrades!$Q$16,H231)*POWER(Upgrades!$Q$17,I231)*POWER(Upgrades!$Q$18,J231)*POWER(Upgrades!$Q$19,K231)*POWER(Upgrades!$Q$20,L231)*POWER(Upgrades!$Q$21,M231)*$G$6+$D$6</f>
        <v/>
      </c>
      <c r="P231" s="28">
        <f>((IF(E231=0,0,(Upgrades!$G$13+E231*Upgrades!$H$13)*POWER(Upgrades!$I$13,E231)))*(IF(Upgrades!$T$14="Stellar Kinematics",POWER(Upgrades!$U$14,F231),1)*IF(Upgrades!$T$15="Stellar Kinematics",POWER(Upgrades!$U$15,G231),1)*IF(Upgrades!$T$16="Stellar Kinematics",POWER(Upgrades!$U$16,H231),1)*IF(Upgrades!$T$17="Stellar Kinematics",POWER(Upgrades!$U$17,I231),1)*IF(Upgrades!$T$18="Stellar Kinematics",POWER(Upgrades!$U$18,J231),1)*IF(Upgrades!$T$19="Stellar Kinematics",POWER(Upgrades!$U$19,K231),1)*IF(Upgrades!$T$20="Stellar Kinematics",POWER(Upgrades!$U$20,L231),1)*IF(Upgrades!$T$21="Stellar Kinematics",POWER(Upgrades!$U$21,M231),1))+(IF(F231=0,0,(Upgrades!$G$14+F231*Upgrades!$H$14)*POWER(Upgrades!$I$14,F231)))*(IF(Upgrades!$T$13="Local Bubble",POWER(Upgrades!$U$13,E231),1)*IF(Upgrades!$T$15="Local Bubble",POWER(Upgrades!$U$15,G231),1)*IF(Upgrades!$T$16="Local Bubble",POWER(Upgrades!$U$16,H231),1)*IF(Upgrades!$T$17="Local Bubble",POWER(Upgrades!$U$17,I231),1)*IF(Upgrades!$T$18="Local Bubble",POWER(Upgrades!$U$18,J231),1)*IF(Upgrades!$T$19="Local Bubble",POWER(Upgrades!$U$19,K231),1)*IF(Upgrades!$T$20="Local Bubble",POWER(Upgrades!$U$20,L231),1)*IF(Upgrades!$T$21="Local Bubble",POWER(Upgrades!$U$21,M231),1))+(IF(G231=0,0,(Upgrades!$G$15+G231*Upgrades!$H$15)*POWER(Upgrades!$I$15,G231)))*(IF(Upgrades!$T$13="Microlensing",POWER(Upgrades!$U$13,E231),1)*IF(Upgrades!$T$14="Microlensing",POWER(Upgrades!$U$14,F231),1)*IF(Upgrades!$T$16="Microlensing",POWER(Upgrades!$U$16,H231),1)*IF(Upgrades!$T$17="Microlensing",POWER(Upgrades!$U$17,I231),1)*IF(Upgrades!$T$18="Microlensing",POWER(Upgrades!$U$18,J231),1)*IF(Upgrades!$T$19="Microlensing",POWER(Upgrades!$U$19,K231),1)*IF(Upgrades!$T$20="Microlensing",POWER(Upgrades!$U$20,L231),1)*IF(Upgrades!$T$21="Microlensing",POWER(Upgrades!$U$21,M231),1))+(IF(H231=0,0,(Upgrades!$G$16+H231*Upgrades!$H$16)*POWER(Upgrades!$I$16,H231)))*(IF(Upgrades!$T$13="Roche Lobe Overflow",POWER(Upgrades!$U$13,E231),1)*IF(Upgrades!$T$14="Roche Lobe Overflow",POWER(Upgrades!$U$14,F231),1)*IF(Upgrades!$T$15="Roche Lobe Overflow",POWER(Upgrades!$U$15,G231),1)*IF(Upgrades!$T$17="Roche Lobe Overflow",POWER(Upgrades!$U$17,I231),1)*IF(Upgrades!$T$18="Roche Lobe Overflow",POWER(Upgrades!$U$18,J231),1)*IF(Upgrades!$T$19="Roche Lobe Overflow",POWER(Upgrades!$U$19,K231),1)*IF(Upgrades!$T$20="Roche Lobe Overflow",POWER(Upgrades!$U$20,L231),1)*IF(Upgrades!$T$21="Roche Lobe Overflow",POWER(Upgrades!$U$21,M231),1))+(IF(I231=0,0,(Upgrades!$G$17+I231*Upgrades!$H$17)*POWER(Upgrades!$I$17,I231)))*(IF(Upgrades!$T$13="Brown Dwarf",POWER(Upgrades!$U$13,E231),1)*IF(Upgrades!$T$14="Brown Dwarf",POWER(Upgrades!$U$14,F231),1)*IF(Upgrades!$T$15="Brown Dwarf",POWER(Upgrades!$U$15,G231),1)*IF(Upgrades!$T$16="Brown Dwarf",POWER(Upgrades!$U$16,H231),1)*IF(Upgrades!$T$18="Brown Dwarf",POWER(Upgrades!$U$18,J231),1)*IF(Upgrades!$T$19="Brown Dwarf",POWER(Upgrades!$U$19,K231),1)*IF(Upgrades!$T$20="Brown Dwarf",POWER(Upgrades!$U$20,L231),1)*IF(Upgrades!$T$21="Brown Dwarf",POWER(Upgrades!$U$21,M231),1))+(IF(J231=0,0,(Upgrades!$G$18+J231*Upgrades!$H$18)*POWER(Upgrades!$I$18,J231)))*(IF(Upgrades!$T$13="Binary Partner",POWER(Upgrades!$U$13,E231),1)*IF(Upgrades!$T$14="Binary Partner",POWER(Upgrades!$U$14,F231),1)*IF(Upgrades!$T$15="Binary Partner",POWER(Upgrades!$U$15,G231),1)*IF(Upgrades!$T$16="Binary Partner",POWER(Upgrades!$U$16,H231),1)*IF(Upgrades!$T$17="Binary Partner",POWER(Upgrades!$U$17,I231),1)*IF(Upgrades!$T$19="Binary Partner",POWER(Upgrades!$U$19,K231),1)*IF(Upgrades!$T$20="Binary Partner",POWER(Upgrades!$U$20,L231),1)*IF(Upgrades!$T$21="Binary Partner",POWER(Upgrades!$U$21,M231),1))+(IF(K231=0,0,(Upgrades!$G$19+K231*Upgrades!$H$19)*POWER(Upgrades!$I$19,K231)))*(IF(Upgrades!$T$13="Peculiar Velocity",POWER(Upgrades!$U$13,E231),1)*IF(Upgrades!$T$14="Peculiar Velocity",POWER(Upgrades!$U$14,F231),1)*IF(Upgrades!$T$15="Peculiar Velocity",POWER(Upgrades!$U$15,G231),1)*IF(Upgrades!$T$16="Peculiar Velocity",POWER(Upgrades!$U$16,H231),1)*IF(Upgrades!$T$17="Peculiar Velocity",POWER(Upgrades!$U$17,I231),1)*IF(Upgrades!$T$18="Peculiar Velocity",POWER(Upgrades!$U$18,J231),1)*IF(Upgrades!$T$20="Peculiar Velocity",POWER(Upgrades!$U$20,L231),1)*IF(Upgrades!$T$21="Peculiar Velocity",POWER(Upgrades!$U$21,M231),1))+(IF(L231=0,0,(Upgrades!$G$20+L231*Upgrades!$H$20)*POWER(Upgrades!$I$20,L231)))*(IF(Upgrades!$T$13="Open Cluster",POWER(Upgrades!$U$13,E231),1)*IF(Upgrades!$T$14="Open Cluster",POWER(Upgrades!$U$14,F231),1)*IF(Upgrades!$T$15="Open Cluster",POWER(Upgrades!$U$15,G231),1)*IF(Upgrades!$T$16="Open Cluster",POWER(Upgrades!$U$16,H231),1)*IF(Upgrades!$T$17="Open Cluster",POWER(Upgrades!$U$17,I231),1)*IF(Upgrades!$T$18="Open Cluster",POWER(Upgrades!$U$18,J231),1)*IF(Upgrades!$T$19="Open Cluster",POWER(Upgrades!$U$19,K231),1)*IF(Upgrades!$T$21="Open Cluster",POWER(Upgrades!$U$21,M231),1))+(IF(M231=0,0,(Upgrades!$G$21+M231*Upgrades!$H$21)*POWER(Upgrades!$I$21,M231)))*(IF(Upgrades!$T$13="Moving Group",POWER(Upgrades!$U$13,E231),1)*IF(Upgrades!$T$14="Moving Group",POWER(Upgrades!$U$14,F231),1)*IF(Upgrades!$T$15="Moving Group",POWER(Upgrades!$U$15,G231),1)*IF(Upgrades!$T$16="Moving Group",POWER(Upgrades!$U$16,H231),1)*IF(Upgrades!$T$17="Moving Group",POWER(Upgrades!$U$17,I231),1)*IF(Upgrades!$T$18="Moving Group",POWER(Upgrades!$U$18,J231),1)*IF(Upgrades!$T$19="Moving Group",POWER(Upgrades!$U$19,K231),1)*IF(Upgrades!$T$20="Moving Group",POWER(Upgrades!$U$20,L231),1)))*POWER(Upgrades!$P$13,E231)*POWER(Upgrades!$P$14,F231)*POWER(Upgrades!$P$15,G231)*POWER(Upgrades!$P$16,H231)*POWER(Upgrades!$P$17,I231)*POWER(Upgrades!$P$18,J231)*POWER(Upgrades!$P$19,K231)*POWER(Upgrades!$P$20,L231)*POWER(Upgrades!$P$21,M231)*$F$6+$C$6</f>
        <v/>
      </c>
      <c r="Q231" s="28">
        <f>((IF(E231=0,0,(Upgrades!$M$13+E231*Upgrades!$N$13)*POWER(Upgrades!$O$13,E231)))*(IF(Upgrades!$T$14="Stellar Kinematics",POWER(Upgrades!$U$14,F231),1)*IF(Upgrades!$T$15="Stellar Kinematics",POWER(Upgrades!$U$15,G231),1)*IF(Upgrades!$T$16="Stellar Kinematics",POWER(Upgrades!$U$16,H231),1)*IF(Upgrades!$T$17="Stellar Kinematics",POWER(Upgrades!$U$17,I231),1)*IF(Upgrades!$T$18="Stellar Kinematics",POWER(Upgrades!$U$18,J231),1)*IF(Upgrades!$T$19="Stellar Kinematics",POWER(Upgrades!$U$19,K231),1)*IF(Upgrades!$T$20="Stellar Kinematics",POWER(Upgrades!$U$20,L231),1)*IF(Upgrades!$T$21="Stellar Kinematics",POWER(Upgrades!$U$21,M231),1))+(IF(F231=0,0,(Upgrades!$M$14+F231*Upgrades!$N$14)*POWER(Upgrades!$O$14,F231)))*(IF(Upgrades!$T$13="Local Bubble",POWER(Upgrades!$U$13,E231),1)*IF(Upgrades!$T$15="Local Bubble",POWER(Upgrades!$U$15,G231),1)*IF(Upgrades!$T$16="Local Bubble",POWER(Upgrades!$U$16,H231),1)*IF(Upgrades!$T$17="Local Bubble",POWER(Upgrades!$U$17,I231),1)*IF(Upgrades!$T$18="Local Bubble",POWER(Upgrades!$U$18,J231),1)*IF(Upgrades!$T$19="Local Bubble",POWER(Upgrades!$U$19,K231),1)*IF(Upgrades!$T$20="Local Bubble",POWER(Upgrades!$U$20,L231),1)*IF(Upgrades!$T$21="Local Bubble",POWER(Upgrades!$U$21,M231),1))+(IF(G231=0,0,(Upgrades!$M$15+G231*Upgrades!$N$15)*POWER(Upgrades!$O$15,G231)))*(IF(Upgrades!$T$13="Microlensing",POWER(Upgrades!$U$13,E231),1)*IF(Upgrades!$T$14="Microlensing",POWER(Upgrades!$U$14,F231),1)*IF(Upgrades!$T$16="Microlensing",POWER(Upgrades!$U$16,H231),1)*IF(Upgrades!$T$17="Microlensing",POWER(Upgrades!$U$17,I231),1)*IF(Upgrades!$T$18="Microlensing",POWER(Upgrades!$U$18,J231),1)*IF(Upgrades!$T$19="Microlensing",POWER(Upgrades!$U$19,K231),1)*IF(Upgrades!$T$20="Microlensing",POWER(Upgrades!$U$20,L231),1)*IF(Upgrades!$T$21="Microlensing",POWER(Upgrades!$U$21,M231),1))+(IF(H231=0,0,(Upgrades!$M$16+H231*Upgrades!$N$16)*POWER(Upgrades!$O$16,H231)))*(IF(Upgrades!$T$13="Roche Lobe Overflow",POWER(Upgrades!$U$13,E231),1)*IF(Upgrades!$T$14="Roche Lobe Overflow",POWER(Upgrades!$U$14,F231),1)*IF(Upgrades!$T$15="Roche Lobe Overflow",POWER(Upgrades!$U$15,G231),1)*IF(Upgrades!$T$17="Roche Lobe Overflow",POWER(Upgrades!$U$17,I231),1)*IF(Upgrades!$T$18="Roche Lobe Overflow",POWER(Upgrades!$U$18,J231),1)*IF(Upgrades!$T$19="Roche Lobe Overflow",POWER(Upgrades!$U$19,K231),1)*IF(Upgrades!$T$20="Roche Lobe Overflow",POWER(Upgrades!$U$20,L231),1)*IF(Upgrades!$T$21="Roche Lobe Overflow",POWER(Upgrades!$U$21,M231),1))+(IF(I231=0,0,(Upgrades!$M$17+I231*Upgrades!$N$17)*POWER(Upgrades!$O$17,I231)))*(IF(Upgrades!$T$13="Brown Dwarf",POWER(Upgrades!$U$13,E231),1)*IF(Upgrades!$T$14="Brown Dwarf",POWER(Upgrades!$U$14,F231),1)*IF(Upgrades!$T$15="Brown Dwarf",POWER(Upgrades!$U$15,G231),1)*IF(Upgrades!$T$16="Brown Dwarf",POWER(Upgrades!$U$16,H231),1)*IF(Upgrades!$T$18="Brown Dwarf",POWER(Upgrades!$U$18,J231),1)*IF(Upgrades!$T$19="Brown Dwarf",POWER(Upgrades!$U$19,K231),1)*IF(Upgrades!$T$20="Brown Dwarf",POWER(Upgrades!$U$20,L231),1)*IF(Upgrades!$T$21="Brown Dwarf",POWER(Upgrades!$U$21,M231),1))+(IF(J231=0,0,(Upgrades!$M$18+J231*Upgrades!$N$18)*POWER(Upgrades!$O$18,J231)))*(IF(Upgrades!$T$13="Binary Partner",POWER(Upgrades!$U$13,E231),1)*IF(Upgrades!$T$14="Binary Partner",POWER(Upgrades!$U$14,F231),1)*IF(Upgrades!$T$15="Binary Partner",POWER(Upgrades!$U$15,G231),1)*IF(Upgrades!$T$16="Binary Partner",POWER(Upgrades!$U$16,H231),1)*IF(Upgrades!$T$17="Binary Partner",POWER(Upgrades!$U$17,I231),1)*IF(Upgrades!$T$19="Binary Partner",POWER(Upgrades!$U$19,K231),1)*IF(Upgrades!$T$20="Binary Partner",POWER(Upgrades!$U$20,L231),1)*IF(Upgrades!$T$21="Binary Partner",POWER(Upgrades!$U$21,M231),1))+(IF(K231=0,0,(Upgrades!$M$19+K231*Upgrades!$N$19)*POWER(Upgrades!$O$19,K231)))*(IF(Upgrades!$T$13="Peculiar Velocity",POWER(Upgrades!$U$13,E231),1)*IF(Upgrades!$T$14="Peculiar Velocity",POWER(Upgrades!$U$14,F231),1)*IF(Upgrades!$T$15="Peculiar Velocity",POWER(Upgrades!$U$15,G231),1)*IF(Upgrades!$T$16="Peculiar Velocity",POWER(Upgrades!$U$16,H231),1)*IF(Upgrades!$T$17="Peculiar Velocity",POWER(Upgrades!$U$17,I231),1)*IF(Upgrades!$T$18="Peculiar Velocity",POWER(Upgrades!$U$18,J231),1)*IF(Upgrades!$T$20="Peculiar Velocity",POWER(Upgrades!$U$20,L231),1)*IF(Upgrades!$T$21="Peculiar Velocity",POWER(Upgrades!$U$21,M231),1))+(IF(L231=0,0,(Upgrades!$M$20+L231*Upgrades!$N$20)*POWER(Upgrades!$O$20,L231)))*(IF(Upgrades!$T$13="Open Cluster",POWER(Upgrades!$U$13,E231),1)*IF(Upgrades!$T$14="Open Cluster",POWER(Upgrades!$U$14,F231),1)*IF(Upgrades!$T$15="Open Cluster",POWER(Upgrades!$U$15,G231),1)*IF(Upgrades!$T$16="Open Cluster",POWER(Upgrades!$U$16,H231),1)*IF(Upgrades!$T$17="Open Cluster",POWER(Upgrades!$U$17,I231),1)*IF(Upgrades!$T$18="Open Cluster",POWER(Upgrades!$U$18,J231),1)*IF(Upgrades!$T$19="Open Cluster",POWER(Upgrades!$U$19,K231),1)*IF(Upgrades!$T$21="Open Cluster",POWER(Upgrades!$U$21,M231),1))+(IF(M231=0,0,(Upgrades!$M$21+M231*Upgrades!$N$21)*POWER(Upgrades!$O$21,M231)))*(IF(Upgrades!$T$13="Moving Group",POWER(Upgrades!$U$13,E231),1)*IF(Upgrades!$T$14="Moving Group",POWER(Upgrades!$U$14,F231),1)*IF(Upgrades!$T$15="Moving Group",POWER(Upgrades!$U$15,G231),1)*IF(Upgrades!$T$16="Moving Group",POWER(Upgrades!$U$16,H231),1)*IF(Upgrades!$T$17="Moving Group",POWER(Upgrades!$U$17,I231),1)*IF(Upgrades!$T$18="Moving Group",POWER(Upgrades!$U$18,J231),1)*IF(Upgrades!$T$19="Moving Group",POWER(Upgrades!$U$19,K231),1)*IF(Upgrades!$T$20="Moving Group",POWER(Upgrades!$U$20,L231),1)))*POWER(Upgrades!$R$13,E231)*POWER(Upgrades!$R$14,F231)*POWER(Upgrades!$R$15,G231)*POWER(Upgrades!$R$16,H231)*POWER(Upgrades!$R$17,I231)*POWER(Upgrades!$R$18,J231)*POWER(Upgrades!$R$19,K231)*POWER(Upgrades!$R$20,L231)*POWER(Upgrades!$R$21,M231)*$H$6+$E$6</f>
        <v/>
      </c>
      <c r="R231" s="27">
        <f>IF(N231=1,0,O231*Parameters!$B$10/60*Parameters!$B$11*10)</f>
        <v/>
      </c>
      <c r="S231" s="27">
        <f>IF(N231=1,0,Q231*O231*10)</f>
        <v/>
      </c>
      <c r="T231" s="27">
        <f>IF(N231=1,0,R231+S231+P231*10)</f>
        <v/>
      </c>
      <c r="U231" s="33">
        <f>BE231</f>
        <v/>
      </c>
      <c r="V231" s="22">
        <f>IF(U231="",0,IF(U231="transition",0,IF(U231="SK",AK231,IF(U231="LB",AL231,IF(U231="ML",AM231,IF(U231="RLO",AN231,IF(U231="BD",AO231,IF(U231="BiP",AP231,IF(U231="PV",AQ231,IF(U231="OC",AR231,IF(U231="MG",AS231,0))))))))))</f>
        <v/>
      </c>
      <c r="W231" s="27">
        <f>IF(U231="BiP",Upgrades!$F$18,IF(U231="PV",Upgrades!$F$19,IF(U231="OC",Upgrades!$F$20,IF(U231="MG",Upgrades!$F$21,IF(U231="transition",-Parameters!$B$18*Parameters!$B$19,0)))))</f>
        <v/>
      </c>
      <c r="X231" s="22">
        <f>C231+T231-V231</f>
        <v/>
      </c>
      <c r="Y231" s="30">
        <f>O231*Parameters!$B$10/60*Parameters!$B$11+Q231*O231+P231</f>
        <v/>
      </c>
      <c r="Z231" s="34">
        <f>IF(U231="transition","→ Tier 3 (Galactic Arm)",IF(U231="MG","Moving Group — pocket drifts together",IF(U231="OC","Open Cluster acquired",IF(U231="PV","Peculiar Velocity — passive multiplier active",IF(U231="BiP","Binary Partner — pair bond formed",IF(AND(AU231=1,N231=0,AT231&lt;&gt;1),"Cohesion ready (waiting on completionists)","")))))) </f>
        <v/>
      </c>
      <c r="AA231" s="27">
        <f>(IF(E231=0,0,(Upgrades!$G$13+E231*Upgrades!$H$13)*POWER(Upgrades!$I$13,E231)))*(IF(Upgrades!$T$14="Stellar Kinematics",POWER(Upgrades!$U$14,F231),1)*IF(Upgrades!$T$15="Stellar Kinematics",POWER(Upgrades!$U$15,G231),1)*IF(Upgrades!$T$16="Stellar Kinematics",POWER(Upgrades!$U$16,H231),1)*IF(Upgrades!$T$17="Stellar Kinematics",POWER(Upgrades!$U$17,I231),1)*IF(Upgrades!$T$18="Stellar Kinematics",POWER(Upgrades!$U$18,J231),1)*IF(Upgrades!$T$19="Stellar Kinematics",POWER(Upgrades!$U$19,K231),1)*IF(Upgrades!$T$20="Stellar Kinematics",POWER(Upgrades!$U$20,L231),1)*IF(Upgrades!$T$21="Stellar Kinematics",POWER(Upgrades!$U$21,M231),1))*POWER(Upgrades!$P$13,E231)*POWER(Upgrades!$P$14,F231)*POWER(Upgrades!$P$15,G231)*POWER(Upgrades!$P$16,H231)*POWER(Upgrades!$P$17,I231)*POWER(Upgrades!$P$18,J231)*POWER(Upgrades!$P$19,K231)*POWER(Upgrades!$P$20,L231)*POWER(Upgrades!$P$21,M231)*$F$6*60</f>
        <v/>
      </c>
      <c r="AB231" s="27">
        <f>(IF(F231=0,0,(Upgrades!$G$14+F231*Upgrades!$H$14)*POWER(Upgrades!$I$14,F231)))*(IF(Upgrades!$T$13="Local Bubble",POWER(Upgrades!$U$13,E231),1)*IF(Upgrades!$T$15="Local Bubble",POWER(Upgrades!$U$15,G231),1)*IF(Upgrades!$T$16="Local Bubble",POWER(Upgrades!$U$16,H231),1)*IF(Upgrades!$T$17="Local Bubble",POWER(Upgrades!$U$17,I231),1)*IF(Upgrades!$T$18="Local Bubble",POWER(Upgrades!$U$18,J231),1)*IF(Upgrades!$T$19="Local Bubble",POWER(Upgrades!$U$19,K231),1)*IF(Upgrades!$T$20="Local Bubble",POWER(Upgrades!$U$20,L231),1)*IF(Upgrades!$T$21="Local Bubble",POWER(Upgrades!$U$21,M231),1))*POWER(Upgrades!$P$13,E231)*POWER(Upgrades!$P$14,F231)*POWER(Upgrades!$P$15,G231)*POWER(Upgrades!$P$16,H231)*POWER(Upgrades!$P$17,I231)*POWER(Upgrades!$P$18,J231)*POWER(Upgrades!$P$19,K231)*POWER(Upgrades!$P$20,L231)*POWER(Upgrades!$P$21,M231)*$F$6*60</f>
        <v/>
      </c>
      <c r="AC231" s="27">
        <f>(IF(G231=0,0,(Upgrades!$J$15+G231*Upgrades!$K$15)*POWER(Upgrades!$L$15,G231)))*(IF(Upgrades!$T$13="Microlensing",POWER(Upgrades!$U$13,E231),1)*IF(Upgrades!$T$14="Microlensing",POWER(Upgrades!$U$14,F231),1)*IF(Upgrades!$T$16="Microlensing",POWER(Upgrades!$U$16,H231),1)*IF(Upgrades!$T$17="Microlensing",POWER(Upgrades!$U$17,I231),1)*IF(Upgrades!$T$18="Microlensing",POWER(Upgrades!$U$18,J231),1)*IF(Upgrades!$T$19="Microlensing",POWER(Upgrades!$U$19,K231),1)*IF(Upgrades!$T$20="Microlensing",POWER(Upgrades!$U$20,L231),1)*IF(Upgrades!$T$21="Microlensing",POWER(Upgrades!$U$21,M231),1))*POWER(Upgrades!$Q$13,E231)*POWER(Upgrades!$Q$14,F231)*POWER(Upgrades!$Q$15,G231)*POWER(Upgrades!$Q$16,H231)*POWER(Upgrades!$Q$17,I231)*POWER(Upgrades!$Q$18,J231)*POWER(Upgrades!$Q$19,K231)*POWER(Upgrades!$Q$20,L231)*POWER(Upgrades!$Q$21,M231)*$G$6*(Parameters!$B$10*Parameters!$B$11+Q231*60)</f>
        <v/>
      </c>
      <c r="AD231" s="27">
        <f>(IF(H231=0,0,(Upgrades!$M$16+H231*Upgrades!$N$16)*POWER(Upgrades!$O$16,H231)))*(IF(Upgrades!$T$13="Roche Lobe Overflow",POWER(Upgrades!$U$13,E231),1)*IF(Upgrades!$T$14="Roche Lobe Overflow",POWER(Upgrades!$U$14,F231),1)*IF(Upgrades!$T$15="Roche Lobe Overflow",POWER(Upgrades!$U$15,G231),1)*IF(Upgrades!$T$17="Roche Lobe Overflow",POWER(Upgrades!$U$17,I231),1)*IF(Upgrades!$T$18="Roche Lobe Overflow",POWER(Upgrades!$U$18,J231),1)*IF(Upgrades!$T$19="Roche Lobe Overflow",POWER(Upgrades!$U$19,K231),1)*IF(Upgrades!$T$20="Roche Lobe Overflow",POWER(Upgrades!$U$20,L231),1)*IF(Upgrades!$T$21="Roche Lobe Overflow",POWER(Upgrades!$U$21,M231),1))*POWER(Upgrades!$R$13,E231)*POWER(Upgrades!$R$14,F231)*POWER(Upgrades!$R$15,G231)*POWER(Upgrades!$R$16,H231)*POWER(Upgrades!$R$17,I231)*POWER(Upgrades!$R$18,J231)*POWER(Upgrades!$R$19,K231)*POWER(Upgrades!$R$20,L231)*POWER(Upgrades!$R$21,M231)*$H$6*O231*60</f>
        <v/>
      </c>
      <c r="AE231" s="27">
        <f>(IF(I231=0,0,(Upgrades!$G$17+I231*Upgrades!$H$17)*POWER(Upgrades!$I$17,I231)))*(IF(Upgrades!$T$13="Brown Dwarf",POWER(Upgrades!$U$13,E231),1)*IF(Upgrades!$T$14="Brown Dwarf",POWER(Upgrades!$U$14,F231),1)*IF(Upgrades!$T$15="Brown Dwarf",POWER(Upgrades!$U$15,G231),1)*IF(Upgrades!$T$16="Brown Dwarf",POWER(Upgrades!$U$16,H231),1)*IF(Upgrades!$T$18="Brown Dwarf",POWER(Upgrades!$U$18,J231),1)*IF(Upgrades!$T$19="Brown Dwarf",POWER(Upgrades!$U$19,K231),1)*IF(Upgrades!$T$20="Brown Dwarf",POWER(Upgrades!$U$20,L231),1)*IF(Upgrades!$T$21="Brown Dwarf",POWER(Upgrades!$U$21,M231),1))*POWER(Upgrades!$P$13,E231)*POWER(Upgrades!$P$14,F231)*POWER(Upgrades!$P$15,G231)*POWER(Upgrades!$P$16,H231)*POWER(Upgrades!$P$17,I231)*POWER(Upgrades!$P$18,J231)*POWER(Upgrades!$P$19,K231)*POWER(Upgrades!$P$20,L231)*POWER(Upgrades!$P$21,M231)*$F$6*60</f>
        <v/>
      </c>
      <c r="AF231" s="27" t="n">
        <v>0</v>
      </c>
      <c r="AG231" s="27" t="n">
        <v>0</v>
      </c>
      <c r="AH231" s="27" t="n">
        <v>0</v>
      </c>
      <c r="AI231" s="27">
        <f>(IF(M231=0,0,(Upgrades!$G$21+M231*Upgrades!$H$21)*POWER(Upgrades!$I$21,M231)))*(IF(Upgrades!$T$13="Moving Group",POWER(Upgrades!$U$13,E231),1)*IF(Upgrades!$T$14="Moving Group",POWER(Upgrades!$U$14,F231),1)*IF(Upgrades!$T$15="Moving Group",POWER(Upgrades!$U$15,G231),1)*IF(Upgrades!$T$16="Moving Group",POWER(Upgrades!$U$16,H231),1)*IF(Upgrades!$T$17="Moving Group",POWER(Upgrades!$U$17,I231),1)*IF(Upgrades!$T$18="Moving Group",POWER(Upgrades!$U$18,J231),1)*IF(Upgrades!$T$19="Moving Group",POWER(Upgrades!$U$19,K231),1)*IF(Upgrades!$T$20="Moving Group",POWER(Upgrades!$U$20,L231),1))*POWER(Upgrades!$P$13,E231)*POWER(Upgrades!$P$14,F231)*POWER(Upgrades!$P$15,G231)*POWER(Upgrades!$P$16,H231)*POWER(Upgrades!$P$17,I231)*POWER(Upgrades!$P$18,J231)*POWER(Upgrades!$P$19,K231)*POWER(Upgrades!$P$20,L231)*POWER(Upgrades!$P$21,M231)*$F$6*60</f>
        <v/>
      </c>
      <c r="AJ231" s="27">
        <f>$C$6*60</f>
        <v/>
      </c>
      <c r="AK231" s="22">
        <f>IF(E231&gt;=Upgrades!$E$13,"",Upgrades!$C$13*POWER(Upgrades!$D$13,E231))</f>
        <v/>
      </c>
      <c r="AL231" s="22">
        <f>IF(F231&gt;=Upgrades!$E$14,"",Upgrades!$C$14*POWER(Upgrades!$D$14,F231))</f>
        <v/>
      </c>
      <c r="AM231" s="22">
        <f>IF(G231&gt;=Upgrades!$E$15,"",Upgrades!$C$15*POWER(Upgrades!$D$15,G231))</f>
        <v/>
      </c>
      <c r="AN231" s="22">
        <f>IF(H231&gt;=Upgrades!$E$16,"",Upgrades!$C$16*POWER(Upgrades!$D$16,H231))</f>
        <v/>
      </c>
      <c r="AO231" s="22">
        <f>IF(I231&gt;=Upgrades!$E$17,"",Upgrades!$C$17*POWER(Upgrades!$D$17,I231))</f>
        <v/>
      </c>
      <c r="AP231" s="22">
        <f>IF(J231&gt;=Upgrades!$E$18,"",Upgrades!$C$18*POWER(Upgrades!$D$18,J231))</f>
        <v/>
      </c>
      <c r="AQ231" s="22">
        <f>IF(K231&gt;=Upgrades!$E$19,"",Upgrades!$C$19*POWER(Upgrades!$D$19,K231))</f>
        <v/>
      </c>
      <c r="AR231" s="22">
        <f>IF(L231&gt;=Upgrades!$E$20,"",Upgrades!$C$20*POWER(Upgrades!$D$20,L231))</f>
        <v/>
      </c>
      <c r="AS231" s="22">
        <f>IF(M231&gt;=Upgrades!$E$21,"",Upgrades!$C$21*POWER(Upgrades!$D$21,M231))</f>
        <v/>
      </c>
      <c r="AT231" s="26">
        <f>IF(AND(D231&gt;=Parameters!$B$18*Parameters!$B$19,(I231&gt;=Upgrades!$E$17)*(M231&gt;=Upgrades!$E$21)=1,N231=0),1,"")</f>
        <v/>
      </c>
      <c r="AU231" s="26">
        <f>IF(AND(D231&gt;=Parameters!$B$18*Parameters!$B$19,N231=0),1,"")</f>
        <v/>
      </c>
      <c r="AV231" s="22">
        <f>MIN(IF(ISNUMBER(AP231),AP231,9E15),IF(ISNUMBER(AQ231),AQ231,9E15),IF(ISNUMBER(AR231),AR231,9E15),IF(ISNUMBER(AS231),AS231,9E15))</f>
        <v/>
      </c>
      <c r="AW231" s="22">
        <f>MIN(IF(ISNUMBER(AK231),AK231,9E15),IF(ISNUMBER(AL231),AL231,9E15),IF(ISNUMBER(AM231),AM231,9E15),IF(ISNUMBER(AN231),AN231,9E15),IF(ISNUMBER(AO231),AO231,9E15))</f>
        <v/>
      </c>
      <c r="AX231" s="29">
        <f>IF(BD231&gt;Parameters!$B$21*(MAX(IF(AND(NOT(AND(AU231=1,AT231&lt;&gt;1)),ISNUMBER(AK231),AK231&lt;=(C231+T231)),AY231,0),IF(AND(NOT(AND(AU231=1,AT231&lt;&gt;1)),ISNUMBER(AL231),AL231&lt;=(C231+T231)),AZ231,0),IF(AND(NOT(AND(AU231=1,AT231&lt;&gt;1)),ISNUMBER(AM231),AM231&lt;=(C231+T231)),BA231,0),IF(AND(NOT(AND(AU231=1,AT231&lt;&gt;1)),ISNUMBER(AN231),AN231&lt;=(C231+T231)),BB231,0),IF(AND(ISNUMBER(AO231),AO231&lt;=(C231+T231)),BC231,0))),TRUE,FALSE)</f>
        <v/>
      </c>
      <c r="AY231" s="32">
        <f>IFERROR(Upgrades!$H$13*(POWER(Upgrades!$P$13,E231)*POWER(Upgrades!$P$14,F231)*POWER(Upgrades!$P$15,G231)*POWER(Upgrades!$P$16,H231)*POWER(Upgrades!$P$17,I231)*POWER(Upgrades!$P$18,J231)*POWER(Upgrades!$P$19,K231)*POWER(Upgrades!$P$20,L231)*POWER(Upgrades!$P$21,M231))*(IF(Upgrades!$T$14="Stellar Kinematics",POWER(Upgrades!$U$14,F231),1)*IF(Upgrades!$T$15="Stellar Kinematics",POWER(Upgrades!$U$15,G231),1)*IF(Upgrades!$T$16="Stellar Kinematics",POWER(Upgrades!$U$16,H231),1)*IF(Upgrades!$T$17="Stellar Kinematics",POWER(Upgrades!$U$17,I231),1)*IF(Upgrades!$T$18="Stellar Kinematics",POWER(Upgrades!$U$18,J231),1)*IF(Upgrades!$T$19="Stellar Kinematics",POWER(Upgrades!$U$19,K231),1)*IF(Upgrades!$T$20="Stellar Kinematics",POWER(Upgrades!$U$20,L231),1)*IF(Upgrades!$T$21="Stellar Kinematics",POWER(Upgrades!$U$21,M231),1))*$F$6/AK231,0)</f>
        <v/>
      </c>
      <c r="AZ231" s="32">
        <f>IFERROR(Upgrades!$H$14*(POWER(Upgrades!$P$13,E231)*POWER(Upgrades!$P$14,F231)*POWER(Upgrades!$P$15,G231)*POWER(Upgrades!$P$16,H231)*POWER(Upgrades!$P$17,I231)*POWER(Upgrades!$P$18,J231)*POWER(Upgrades!$P$19,K231)*POWER(Upgrades!$P$20,L231)*POWER(Upgrades!$P$21,M231))*(IF(Upgrades!$T$13="Local Bubble",POWER(Upgrades!$U$13,E231),1)*IF(Upgrades!$T$15="Local Bubble",POWER(Upgrades!$U$15,G231),1)*IF(Upgrades!$T$16="Local Bubble",POWER(Upgrades!$U$16,H231),1)*IF(Upgrades!$T$17="Local Bubble",POWER(Upgrades!$U$17,I231),1)*IF(Upgrades!$T$18="Local Bubble",POWER(Upgrades!$U$18,J231),1)*IF(Upgrades!$T$19="Local Bubble",POWER(Upgrades!$U$19,K231),1)*IF(Upgrades!$T$20="Local Bubble",POWER(Upgrades!$U$20,L231),1)*IF(Upgrades!$T$21="Local Bubble",POWER(Upgrades!$U$21,M231),1))*$F$6/AL231,0)</f>
        <v/>
      </c>
      <c r="BA231" s="32">
        <f>IFERROR(Upgrades!$K$15*(POWER(Upgrades!$Q$13,E231)*POWER(Upgrades!$Q$14,F231)*POWER(Upgrades!$Q$15,G231)*POWER(Upgrades!$Q$16,H231)*POWER(Upgrades!$Q$17,I231)*POWER(Upgrades!$Q$18,J231)*POWER(Upgrades!$Q$19,K231)*POWER(Upgrades!$Q$20,L231)*POWER(Upgrades!$Q$21,M231))*(IF(Upgrades!$T$13="Microlensing",POWER(Upgrades!$U$13,E231),1)*IF(Upgrades!$T$14="Microlensing",POWER(Upgrades!$U$14,F231),1)*IF(Upgrades!$T$16="Microlensing",POWER(Upgrades!$U$16,H231),1)*IF(Upgrades!$T$17="Microlensing",POWER(Upgrades!$U$17,I231),1)*IF(Upgrades!$T$18="Microlensing",POWER(Upgrades!$U$18,J231),1)*IF(Upgrades!$T$19="Microlensing",POWER(Upgrades!$U$19,K231),1)*IF(Upgrades!$T$20="Microlensing",POWER(Upgrades!$U$20,L231),1)*IF(Upgrades!$T$21="Microlensing",POWER(Upgrades!$U$21,M231),1))*$G$6*(Parameters!$B$10/60*Parameters!$B$11+Q231)/AM231,0)</f>
        <v/>
      </c>
      <c r="BB231" s="32">
        <f>IFERROR((Upgrades!$N$16*(POWER(Upgrades!$R$13,E231)*POWER(Upgrades!$R$14,F231)*POWER(Upgrades!$R$15,G231)*POWER(Upgrades!$R$16,H231)*POWER(Upgrades!$R$17,I231)*POWER(Upgrades!$R$18,J231)*POWER(Upgrades!$R$19,K231)*POWER(Upgrades!$R$20,L231)*POWER(Upgrades!$R$21,M231))*(IF(Upgrades!$T$13="Roche Lobe Overflow",POWER(Upgrades!$U$13,E231),1)*IF(Upgrades!$T$14="Roche Lobe Overflow",POWER(Upgrades!$U$14,F231),1)*IF(Upgrades!$T$15="Roche Lobe Overflow",POWER(Upgrades!$U$15,G231),1)*IF(Upgrades!$T$17="Roche Lobe Overflow",POWER(Upgrades!$U$17,I231),1)*IF(Upgrades!$T$18="Roche Lobe Overflow",POWER(Upgrades!$U$18,J231),1)*IF(Upgrades!$T$19="Roche Lobe Overflow",POWER(Upgrades!$U$19,K231),1)*IF(Upgrades!$T$20="Roche Lobe Overflow",POWER(Upgrades!$U$20,L231),1)*IF(Upgrades!$T$21="Roche Lobe Overflow",POWER(Upgrades!$U$21,M231),1))*$H$6*O231+((IF(F231=0,0,(Upgrades!$G$14+F231*Upgrades!$H$14)*POWER(Upgrades!$I$14,F231)))*(IF(Upgrades!$T$13="Local Bubble",POWER(Upgrades!$U$13,E231),1)*IF(Upgrades!$T$15="Local Bubble",POWER(Upgrades!$U$15,G231),1)*IF(Upgrades!$T$16="Local Bubble",POWER(Upgrades!$U$16,H231),1)*IF(Upgrades!$T$17="Local Bubble",POWER(Upgrades!$U$17,I231),1)*IF(Upgrades!$T$18="Local Bubble",POWER(Upgrades!$U$18,J231),1)*IF(Upgrades!$T$19="Local Bubble",POWER(Upgrades!$U$19,K231),1)*IF(Upgrades!$T$20="Local Bubble",POWER(Upgrades!$U$20,L231),1)*IF(Upgrades!$T$21="Local Bubble",POWER(Upgrades!$U$21,M231),1))*POWER(Upgrades!$P$13,E231)*POWER(Upgrades!$P$14,F231)*POWER(Upgrades!$P$15,G231)*POWER(Upgrades!$P$16,H231)*POWER(Upgrades!$P$17,I231)*POWER(Upgrades!$P$18,J231)*POWER(Upgrades!$P$19,K231)*POWER(Upgrades!$P$20,L231)*POWER(Upgrades!$P$21,M231)*$F$6)*0.05)/AN231,0)</f>
        <v/>
      </c>
      <c r="BC231" s="32">
        <f>IFERROR((Upgrades!$H$17*(POWER(Upgrades!$P$13,E231)*POWER(Upgrades!$P$14,F231)*POWER(Upgrades!$P$15,G231)*POWER(Upgrades!$P$16,H231)*POWER(Upgrades!$P$17,I231)*POWER(Upgrades!$P$18,J231)*POWER(Upgrades!$P$19,K231)*POWER(Upgrades!$P$20,L231)*POWER(Upgrades!$P$21,M231))*(IF(Upgrades!$T$13="Brown Dwarf",POWER(Upgrades!$U$13,E231),1)*IF(Upgrades!$T$14="Brown Dwarf",POWER(Upgrades!$U$14,F231),1)*IF(Upgrades!$T$15="Brown Dwarf",POWER(Upgrades!$U$15,G231),1)*IF(Upgrades!$T$16="Brown Dwarf",POWER(Upgrades!$U$16,H231),1)*IF(Upgrades!$T$18="Brown Dwarf",POWER(Upgrades!$U$18,J231),1)*IF(Upgrades!$T$19="Brown Dwarf",POWER(Upgrades!$U$19,K231),1)*IF(Upgrades!$T$20="Brown Dwarf",POWER(Upgrades!$U$20,L231),1)*IF(Upgrades!$T$21="Brown Dwarf",POWER(Upgrades!$U$21,M231),1))*$F$6+(((IF(H231=0,0,(Upgrades!$M$16+H231*Upgrades!$N$16)*POWER(Upgrades!$O$16,H231)))*(IF(Upgrades!$T$13="Roche Lobe Overflow",POWER(Upgrades!$U$13,E231),1)*IF(Upgrades!$T$14="Roche Lobe Overflow",POWER(Upgrades!$U$14,F231),1)*IF(Upgrades!$T$15="Roche Lobe Overflow",POWER(Upgrades!$U$15,G231),1)*IF(Upgrades!$T$17="Roche Lobe Overflow",POWER(Upgrades!$U$17,I231),1)*IF(Upgrades!$T$18="Roche Lobe Overflow",POWER(Upgrades!$U$18,J231),1)*IF(Upgrades!$T$19="Roche Lobe Overflow",POWER(Upgrades!$U$19,K231),1)*IF(Upgrades!$T$20="Roche Lobe Overflow",POWER(Upgrades!$U$20,L231),1)*IF(Upgrades!$T$21="Roche Lobe Overflow",POWER(Upgrades!$U$21,M231),1))*POWER(Upgrades!$R$13,E231)*POWER(Upgrades!$R$14,F231)*POWER(Upgrades!$R$15,G231)*POWER(Upgrades!$R$16,H231)*POWER(Upgrades!$R$17,I231)*POWER(Upgrades!$R$18,J231)*POWER(Upgrades!$R$19,K231)*POWER(Upgrades!$R$20,L231)*POWER(Upgrades!$R$21,M231)*$H$6)*O231)*0.10)/AO231,0)</f>
        <v/>
      </c>
      <c r="BD231" s="32">
        <f>MAX(IF(J231&gt;0,0,IFERROR(0.5*((IF(G231=0,0,(Upgrades!$J$15+G231*Upgrades!$K$15)*POWER(Upgrades!$L$15,G231)))*(IF(Upgrades!$T$13="Microlensing",POWER(Upgrades!$U$13,E231),1)*IF(Upgrades!$T$14="Microlensing",POWER(Upgrades!$U$14,F231),1)*IF(Upgrades!$T$16="Microlensing",POWER(Upgrades!$U$16,H231),1)*IF(Upgrades!$T$17="Microlensing",POWER(Upgrades!$U$17,I231),1)*IF(Upgrades!$T$18="Microlensing",POWER(Upgrades!$U$18,J231),1)*IF(Upgrades!$T$19="Microlensing",POWER(Upgrades!$U$19,K231),1)*IF(Upgrades!$T$20="Microlensing",POWER(Upgrades!$U$20,L231),1)*IF(Upgrades!$T$21="Microlensing",POWER(Upgrades!$U$21,M231),1))*(POWER(Upgrades!$Q$13,E231)*POWER(Upgrades!$Q$14,F231)*POWER(Upgrades!$Q$15,G231)*POWER(Upgrades!$Q$16,H231)*POWER(Upgrades!$Q$17,I231)*POWER(Upgrades!$Q$18,J231)*POWER(Upgrades!$Q$19,K231)*POWER(Upgrades!$Q$20,L231)*POWER(Upgrades!$Q$21,M231))*$G$6*(Parameters!$B$10/60*Parameters!$B$11+Q231))/Upgrades!$C$18,0)),IF(K231&gt;0,0,IFERROR(0.30*P231/Upgrades!$C$19,0)),IF(L231&gt;0,0,IFERROR(0.0001/Upgrades!$C$20,0)),IF(M231&gt;0,0,IFERROR((6.0*(POWER(Upgrades!$P$13,E231)*POWER(Upgrades!$P$14,F231)*POWER(Upgrades!$P$15,G231)*POWER(Upgrades!$P$16,H231)*POWER(Upgrades!$P$17,I231)*POWER(Upgrades!$P$18,J231)*POWER(Upgrades!$P$19,K231)*POWER(Upgrades!$P$20,L231)*POWER(Upgrades!$P$21,M231))*$F$6+0.20*O231*(Parameters!$B$10/60*Parameters!$B$11+Q231))/Upgrades!$C$21,0)),IF(AND(ISNUMBER(AK231),AK231&gt;(C231+T231)),AY231,0),IF(AND(ISNUMBER(AL231),AL231&gt;(C231+T231)),AZ231,0),IF(AND(ISNUMBER(AM231),AM231&gt;(C231+T231)),BA231,0),IF(AND(ISNUMBER(AN231),AN231&gt;(C231+T231)),BB231,0),IF(AND(ISNUMBER(AO231),AO231&gt;(C231+T231)),BC231,0))</f>
        <v/>
      </c>
      <c r="BE231" s="29">
        <f>IF(AT231=1,"transition",IF(MIN(IF(AND(J231=0,ISNUMBER(AP231),AP231&lt;=(C231+T231)),AP231,9E15),IF(AND(K231=0,ISNUMBER(AQ231),AQ231&lt;=(C231+T231)),AQ231,9E15),IF(AND(L231=0,ISNUMBER(AR231),AR231&lt;=(C231+T231)),AR231,9E15),IF(AND(M231=0,ISNUMBER(AS231),AS231&lt;=(C231+T231)),AS231,9E15))&lt;9E15,IF(AND(AND(J231=0,ISNUMBER(AP231),AP231&lt;=(C231+T231)),AP231=MIN(IF(AND(J231=0,ISNUMBER(AP231),AP231&lt;=(C231+T231)),AP231,9E15),IF(AND(K231=0,ISNUMBER(AQ231),AQ231&lt;=(C231+T231)),AQ231,9E15),IF(AND(L231=0,ISNUMBER(AR231),AR231&lt;=(C231+T231)),AR231,9E15),IF(AND(M231=0,ISNUMBER(AS231),AS231&lt;=(C231+T231)),AS231,9E15))),"BiP",IF(AND(AND(K231=0,ISNUMBER(AQ231),AQ231&lt;=(C231+T231)),AQ231=MIN(IF(AND(J231=0,ISNUMBER(AP231),AP231&lt;=(C231+T231)),AP231,9E15),IF(AND(K231=0,ISNUMBER(AQ231),AQ231&lt;=(C231+T231)),AQ231,9E15),IF(AND(L231=0,ISNUMBER(AR231),AR231&lt;=(C231+T231)),AR231,9E15),IF(AND(M231=0,ISNUMBER(AS231),AS231&lt;=(C231+T231)),AS231,9E15))),"PV",IF(AND(AND(L231=0,ISNUMBER(AR231),AR231&lt;=(C231+T231)),AR231=MIN(IF(AND(J231=0,ISNUMBER(AP231),AP231&lt;=(C231+T231)),AP231,9E15),IF(AND(K231=0,ISNUMBER(AQ231),AQ231&lt;=(C231+T231)),AQ231,9E15),IF(AND(L231=0,ISNUMBER(AR231),AR231&lt;=(C231+T231)),AR231,9E15),IF(AND(M231=0,ISNUMBER(AS231),AS231&lt;=(C231+T231)),AS231,9E15))),"OC","MG"))),IF(AX231=TRUE,"",IF(MAX(IF(AND(NOT(AND(AU231=1,AT231&lt;&gt;1)),ISNUMBER(AK231),AK231&lt;=(C231+T231)),AY231,0),IF(AND(NOT(AND(AU231=1,AT231&lt;&gt;1)),ISNUMBER(AL231),AL231&lt;=(C231+T231)),AZ231,0),IF(AND(NOT(AND(AU231=1,AT231&lt;&gt;1)),ISNUMBER(AM231),AM231&lt;=(C231+T231)),BA231,0),IF(AND(NOT(AND(AU231=1,AT231&lt;&gt;1)),ISNUMBER(AN231),AN231&lt;=(C231+T231)),BB231,0),IF(AND(ISNUMBER(AO231),AO231&lt;=(C231+T231)),BC231,0))&lt;=0,"",IF(AND(IF(AND(NOT(AND(AU231=1,AT231&lt;&gt;1)),ISNUMBER(AK231),AK231&lt;=(C231+T231)),AY231,0)&gt;0,IF(AND(NOT(AND(AU231=1,AT231&lt;&gt;1)),ISNUMBER(AK231),AK231&lt;=(C231+T231)),AY231,0)=MAX(IF(AND(NOT(AND(AU231=1,AT231&lt;&gt;1)),ISNUMBER(AK231),AK231&lt;=(C231+T231)),AY231,0),IF(AND(NOT(AND(AU231=1,AT231&lt;&gt;1)),ISNUMBER(AL231),AL231&lt;=(C231+T231)),AZ231,0),IF(AND(NOT(AND(AU231=1,AT231&lt;&gt;1)),ISNUMBER(AM231),AM231&lt;=(C231+T231)),BA231,0),IF(AND(NOT(AND(AU231=1,AT231&lt;&gt;1)),ISNUMBER(AN231),AN231&lt;=(C231+T231)),BB231,0),IF(AND(ISNUMBER(AO231),AO231&lt;=(C231+T231)),BC231,0))),"SK",IF(AND(IF(AND(NOT(AND(AU231=1,AT231&lt;&gt;1)),ISNUMBER(AL231),AL231&lt;=(C231+T231)),AZ231,0)&gt;0,IF(AND(NOT(AND(AU231=1,AT231&lt;&gt;1)),ISNUMBER(AL231),AL231&lt;=(C231+T231)),AZ231,0)=MAX(IF(AND(NOT(AND(AU231=1,AT231&lt;&gt;1)),ISNUMBER(AK231),AK231&lt;=(C231+T231)),AY231,0),IF(AND(NOT(AND(AU231=1,AT231&lt;&gt;1)),ISNUMBER(AL231),AL231&lt;=(C231+T231)),AZ231,0),IF(AND(NOT(AND(AU231=1,AT231&lt;&gt;1)),ISNUMBER(AM231),AM231&lt;=(C231+T231)),BA231,0),IF(AND(NOT(AND(AU231=1,AT231&lt;&gt;1)),ISNUMBER(AN231),AN231&lt;=(C231+T231)),BB231,0),IF(AND(ISNUMBER(AO231),AO231&lt;=(C231+T231)),BC231,0))),"LB",IF(AND(IF(AND(NOT(AND(AU231=1,AT231&lt;&gt;1)),ISNUMBER(AM231),AM231&lt;=(C231+T231)),BA231,0)&gt;0,IF(AND(NOT(AND(AU231=1,AT231&lt;&gt;1)),ISNUMBER(AM231),AM231&lt;=(C231+T231)),BA231,0)=MAX(IF(AND(NOT(AND(AU231=1,AT231&lt;&gt;1)),ISNUMBER(AK231),AK231&lt;=(C231+T231)),AY231,0),IF(AND(NOT(AND(AU231=1,AT231&lt;&gt;1)),ISNUMBER(AL231),AL231&lt;=(C231+T231)),AZ231,0),IF(AND(NOT(AND(AU231=1,AT231&lt;&gt;1)),ISNUMBER(AM231),AM231&lt;=(C231+T231)),BA231,0),IF(AND(NOT(AND(AU231=1,AT231&lt;&gt;1)),ISNUMBER(AN231),AN231&lt;=(C231+T231)),BB231,0),IF(AND(ISNUMBER(AO231),AO231&lt;=(C231+T231)),BC231,0))),"ML",IF(AND(IF(AND(NOT(AND(AU231=1,AT231&lt;&gt;1)),ISNUMBER(AN231),AN231&lt;=(C231+T231)),BB231,0)&gt;0,IF(AND(NOT(AND(AU231=1,AT231&lt;&gt;1)),ISNUMBER(AN231),AN231&lt;=(C231+T231)),BB231,0)=MAX(IF(AND(NOT(AND(AU231=1,AT231&lt;&gt;1)),ISNUMBER(AK231),AK231&lt;=(C231+T231)),AY231,0),IF(AND(NOT(AND(AU231=1,AT231&lt;&gt;1)),ISNUMBER(AL231),AL231&lt;=(C231+T231)),AZ231,0),IF(AND(NOT(AND(AU231=1,AT231&lt;&gt;1)),ISNUMBER(AM231),AM231&lt;=(C231+T231)),BA231,0),IF(AND(NOT(AND(AU231=1,AT231&lt;&gt;1)),ISNUMBER(AN231),AN231&lt;=(C231+T231)),BB231,0),IF(AND(ISNUMBER(AO231),AO231&lt;=(C231+T231)),BC231,0))),"RLO","BD"))))))))</f>
        <v/>
      </c>
    </row>
    <row r="232">
      <c r="A232" s="26" t="n">
        <v>221</v>
      </c>
      <c r="B232" s="27">
        <f>A232*10/60</f>
        <v/>
      </c>
      <c r="C232" s="22">
        <f>X231</f>
        <v/>
      </c>
      <c r="D232" s="27">
        <f>D231+W231</f>
        <v/>
      </c>
      <c r="E232" s="26">
        <f>E231+IF(U231="SK",1,0)</f>
        <v/>
      </c>
      <c r="F232" s="26">
        <f>F231+IF(U231="LB",1,0)</f>
        <v/>
      </c>
      <c r="G232" s="26">
        <f>G231+IF(U231="ML",1,0)</f>
        <v/>
      </c>
      <c r="H232" s="26">
        <f>H231+IF(U231="RLO",1,0)</f>
        <v/>
      </c>
      <c r="I232" s="26">
        <f>I231+IF(U231="BD",1,0)</f>
        <v/>
      </c>
      <c r="J232" s="26">
        <f>MAX(J231,IF(U231="BiP",1,0))</f>
        <v/>
      </c>
      <c r="K232" s="26">
        <f>MAX(K231,IF(U231="PV",1,0))</f>
        <v/>
      </c>
      <c r="L232" s="26">
        <f>MAX(L231,IF(U231="OC",1,0))</f>
        <v/>
      </c>
      <c r="M232" s="26">
        <f>MAX(M231,IF(U231="MG",1,0))</f>
        <v/>
      </c>
      <c r="N232" s="26">
        <f>MAX(N231,IF(U231="transition",1,0))</f>
        <v/>
      </c>
      <c r="O232" s="28">
        <f>(Parameters!$B$9+(IF(E232=0,0,(Upgrades!$J$13+E232*Upgrades!$K$13)*POWER(Upgrades!$L$13,E232)))*(IF(Upgrades!$T$14="Stellar Kinematics",POWER(Upgrades!$U$14,F232),1)*IF(Upgrades!$T$15="Stellar Kinematics",POWER(Upgrades!$U$15,G232),1)*IF(Upgrades!$T$16="Stellar Kinematics",POWER(Upgrades!$U$16,H232),1)*IF(Upgrades!$T$17="Stellar Kinematics",POWER(Upgrades!$U$17,I232),1)*IF(Upgrades!$T$18="Stellar Kinematics",POWER(Upgrades!$U$18,J232),1)*IF(Upgrades!$T$19="Stellar Kinematics",POWER(Upgrades!$U$19,K232),1)*IF(Upgrades!$T$20="Stellar Kinematics",POWER(Upgrades!$U$20,L232),1)*IF(Upgrades!$T$21="Stellar Kinematics",POWER(Upgrades!$U$21,M232),1))+(IF(F232=0,0,(Upgrades!$J$14+F232*Upgrades!$K$14)*POWER(Upgrades!$L$14,F232)))*(IF(Upgrades!$T$13="Local Bubble",POWER(Upgrades!$U$13,E232),1)*IF(Upgrades!$T$15="Local Bubble",POWER(Upgrades!$U$15,G232),1)*IF(Upgrades!$T$16="Local Bubble",POWER(Upgrades!$U$16,H232),1)*IF(Upgrades!$T$17="Local Bubble",POWER(Upgrades!$U$17,I232),1)*IF(Upgrades!$T$18="Local Bubble",POWER(Upgrades!$U$18,J232),1)*IF(Upgrades!$T$19="Local Bubble",POWER(Upgrades!$U$19,K232),1)*IF(Upgrades!$T$20="Local Bubble",POWER(Upgrades!$U$20,L232),1)*IF(Upgrades!$T$21="Local Bubble",POWER(Upgrades!$U$21,M232),1))+(IF(G232=0,0,(Upgrades!$J$15+G232*Upgrades!$K$15)*POWER(Upgrades!$L$15,G232)))*(IF(Upgrades!$T$13="Microlensing",POWER(Upgrades!$U$13,E232),1)*IF(Upgrades!$T$14="Microlensing",POWER(Upgrades!$U$14,F232),1)*IF(Upgrades!$T$16="Microlensing",POWER(Upgrades!$U$16,H232),1)*IF(Upgrades!$T$17="Microlensing",POWER(Upgrades!$U$17,I232),1)*IF(Upgrades!$T$18="Microlensing",POWER(Upgrades!$U$18,J232),1)*IF(Upgrades!$T$19="Microlensing",POWER(Upgrades!$U$19,K232),1)*IF(Upgrades!$T$20="Microlensing",POWER(Upgrades!$U$20,L232),1)*IF(Upgrades!$T$21="Microlensing",POWER(Upgrades!$U$21,M232),1))+(IF(H232=0,0,(Upgrades!$J$16+H232*Upgrades!$K$16)*POWER(Upgrades!$L$16,H232)))*(IF(Upgrades!$T$13="Roche Lobe Overflow",POWER(Upgrades!$U$13,E232),1)*IF(Upgrades!$T$14="Roche Lobe Overflow",POWER(Upgrades!$U$14,F232),1)*IF(Upgrades!$T$15="Roche Lobe Overflow",POWER(Upgrades!$U$15,G232),1)*IF(Upgrades!$T$17="Roche Lobe Overflow",POWER(Upgrades!$U$17,I232),1)*IF(Upgrades!$T$18="Roche Lobe Overflow",POWER(Upgrades!$U$18,J232),1)*IF(Upgrades!$T$19="Roche Lobe Overflow",POWER(Upgrades!$U$19,K232),1)*IF(Upgrades!$T$20="Roche Lobe Overflow",POWER(Upgrades!$U$20,L232),1)*IF(Upgrades!$T$21="Roche Lobe Overflow",POWER(Upgrades!$U$21,M232),1))+(IF(I232=0,0,(Upgrades!$J$17+I232*Upgrades!$K$17)*POWER(Upgrades!$L$17,I232)))*(IF(Upgrades!$T$13="Brown Dwarf",POWER(Upgrades!$U$13,E232),1)*IF(Upgrades!$T$14="Brown Dwarf",POWER(Upgrades!$U$14,F232),1)*IF(Upgrades!$T$15="Brown Dwarf",POWER(Upgrades!$U$15,G232),1)*IF(Upgrades!$T$16="Brown Dwarf",POWER(Upgrades!$U$16,H232),1)*IF(Upgrades!$T$18="Brown Dwarf",POWER(Upgrades!$U$18,J232),1)*IF(Upgrades!$T$19="Brown Dwarf",POWER(Upgrades!$U$19,K232),1)*IF(Upgrades!$T$20="Brown Dwarf",POWER(Upgrades!$U$20,L232),1)*IF(Upgrades!$T$21="Brown Dwarf",POWER(Upgrades!$U$21,M232),1))+(IF(J232=0,0,(Upgrades!$J$18+J232*Upgrades!$K$18)*POWER(Upgrades!$L$18,J232)))*(IF(Upgrades!$T$13="Binary Partner",POWER(Upgrades!$U$13,E232),1)*IF(Upgrades!$T$14="Binary Partner",POWER(Upgrades!$U$14,F232),1)*IF(Upgrades!$T$15="Binary Partner",POWER(Upgrades!$U$15,G232),1)*IF(Upgrades!$T$16="Binary Partner",POWER(Upgrades!$U$16,H232),1)*IF(Upgrades!$T$17="Binary Partner",POWER(Upgrades!$U$17,I232),1)*IF(Upgrades!$T$19="Binary Partner",POWER(Upgrades!$U$19,K232),1)*IF(Upgrades!$T$20="Binary Partner",POWER(Upgrades!$U$20,L232),1)*IF(Upgrades!$T$21="Binary Partner",POWER(Upgrades!$U$21,M232),1))+(IF(K232=0,0,(Upgrades!$J$19+K232*Upgrades!$K$19)*POWER(Upgrades!$L$19,K232)))*(IF(Upgrades!$T$13="Peculiar Velocity",POWER(Upgrades!$U$13,E232),1)*IF(Upgrades!$T$14="Peculiar Velocity",POWER(Upgrades!$U$14,F232),1)*IF(Upgrades!$T$15="Peculiar Velocity",POWER(Upgrades!$U$15,G232),1)*IF(Upgrades!$T$16="Peculiar Velocity",POWER(Upgrades!$U$16,H232),1)*IF(Upgrades!$T$17="Peculiar Velocity",POWER(Upgrades!$U$17,I232),1)*IF(Upgrades!$T$18="Peculiar Velocity",POWER(Upgrades!$U$18,J232),1)*IF(Upgrades!$T$20="Peculiar Velocity",POWER(Upgrades!$U$20,L232),1)*IF(Upgrades!$T$21="Peculiar Velocity",POWER(Upgrades!$U$21,M232),1))+(IF(L232=0,0,(Upgrades!$J$20+L232*Upgrades!$K$20)*POWER(Upgrades!$L$20,L232)))*(IF(Upgrades!$T$13="Open Cluster",POWER(Upgrades!$U$13,E232),1)*IF(Upgrades!$T$14="Open Cluster",POWER(Upgrades!$U$14,F232),1)*IF(Upgrades!$T$15="Open Cluster",POWER(Upgrades!$U$15,G232),1)*IF(Upgrades!$T$16="Open Cluster",POWER(Upgrades!$U$16,H232),1)*IF(Upgrades!$T$17="Open Cluster",POWER(Upgrades!$U$17,I232),1)*IF(Upgrades!$T$18="Open Cluster",POWER(Upgrades!$U$18,J232),1)*IF(Upgrades!$T$19="Open Cluster",POWER(Upgrades!$U$19,K232),1)*IF(Upgrades!$T$21="Open Cluster",POWER(Upgrades!$U$21,M232),1))+(IF(M232=0,0,(Upgrades!$J$21+M232*Upgrades!$K$21)*POWER(Upgrades!$L$21,M232)))*(IF(Upgrades!$T$13="Moving Group",POWER(Upgrades!$U$13,E232),1)*IF(Upgrades!$T$14="Moving Group",POWER(Upgrades!$U$14,F232),1)*IF(Upgrades!$T$15="Moving Group",POWER(Upgrades!$U$15,G232),1)*IF(Upgrades!$T$16="Moving Group",POWER(Upgrades!$U$16,H232),1)*IF(Upgrades!$T$17="Moving Group",POWER(Upgrades!$U$17,I232),1)*IF(Upgrades!$T$18="Moving Group",POWER(Upgrades!$U$18,J232),1)*IF(Upgrades!$T$19="Moving Group",POWER(Upgrades!$U$19,K232),1)*IF(Upgrades!$T$20="Moving Group",POWER(Upgrades!$U$20,L232),1)))*POWER(Upgrades!$Q$13,E232)*POWER(Upgrades!$Q$14,F232)*POWER(Upgrades!$Q$15,G232)*POWER(Upgrades!$Q$16,H232)*POWER(Upgrades!$Q$17,I232)*POWER(Upgrades!$Q$18,J232)*POWER(Upgrades!$Q$19,K232)*POWER(Upgrades!$Q$20,L232)*POWER(Upgrades!$Q$21,M232)*$G$6+$D$6</f>
        <v/>
      </c>
      <c r="P232" s="28">
        <f>((IF(E232=0,0,(Upgrades!$G$13+E232*Upgrades!$H$13)*POWER(Upgrades!$I$13,E232)))*(IF(Upgrades!$T$14="Stellar Kinematics",POWER(Upgrades!$U$14,F232),1)*IF(Upgrades!$T$15="Stellar Kinematics",POWER(Upgrades!$U$15,G232),1)*IF(Upgrades!$T$16="Stellar Kinematics",POWER(Upgrades!$U$16,H232),1)*IF(Upgrades!$T$17="Stellar Kinematics",POWER(Upgrades!$U$17,I232),1)*IF(Upgrades!$T$18="Stellar Kinematics",POWER(Upgrades!$U$18,J232),1)*IF(Upgrades!$T$19="Stellar Kinematics",POWER(Upgrades!$U$19,K232),1)*IF(Upgrades!$T$20="Stellar Kinematics",POWER(Upgrades!$U$20,L232),1)*IF(Upgrades!$T$21="Stellar Kinematics",POWER(Upgrades!$U$21,M232),1))+(IF(F232=0,0,(Upgrades!$G$14+F232*Upgrades!$H$14)*POWER(Upgrades!$I$14,F232)))*(IF(Upgrades!$T$13="Local Bubble",POWER(Upgrades!$U$13,E232),1)*IF(Upgrades!$T$15="Local Bubble",POWER(Upgrades!$U$15,G232),1)*IF(Upgrades!$T$16="Local Bubble",POWER(Upgrades!$U$16,H232),1)*IF(Upgrades!$T$17="Local Bubble",POWER(Upgrades!$U$17,I232),1)*IF(Upgrades!$T$18="Local Bubble",POWER(Upgrades!$U$18,J232),1)*IF(Upgrades!$T$19="Local Bubble",POWER(Upgrades!$U$19,K232),1)*IF(Upgrades!$T$20="Local Bubble",POWER(Upgrades!$U$20,L232),1)*IF(Upgrades!$T$21="Local Bubble",POWER(Upgrades!$U$21,M232),1))+(IF(G232=0,0,(Upgrades!$G$15+G232*Upgrades!$H$15)*POWER(Upgrades!$I$15,G232)))*(IF(Upgrades!$T$13="Microlensing",POWER(Upgrades!$U$13,E232),1)*IF(Upgrades!$T$14="Microlensing",POWER(Upgrades!$U$14,F232),1)*IF(Upgrades!$T$16="Microlensing",POWER(Upgrades!$U$16,H232),1)*IF(Upgrades!$T$17="Microlensing",POWER(Upgrades!$U$17,I232),1)*IF(Upgrades!$T$18="Microlensing",POWER(Upgrades!$U$18,J232),1)*IF(Upgrades!$T$19="Microlensing",POWER(Upgrades!$U$19,K232),1)*IF(Upgrades!$T$20="Microlensing",POWER(Upgrades!$U$20,L232),1)*IF(Upgrades!$T$21="Microlensing",POWER(Upgrades!$U$21,M232),1))+(IF(H232=0,0,(Upgrades!$G$16+H232*Upgrades!$H$16)*POWER(Upgrades!$I$16,H232)))*(IF(Upgrades!$T$13="Roche Lobe Overflow",POWER(Upgrades!$U$13,E232),1)*IF(Upgrades!$T$14="Roche Lobe Overflow",POWER(Upgrades!$U$14,F232),1)*IF(Upgrades!$T$15="Roche Lobe Overflow",POWER(Upgrades!$U$15,G232),1)*IF(Upgrades!$T$17="Roche Lobe Overflow",POWER(Upgrades!$U$17,I232),1)*IF(Upgrades!$T$18="Roche Lobe Overflow",POWER(Upgrades!$U$18,J232),1)*IF(Upgrades!$T$19="Roche Lobe Overflow",POWER(Upgrades!$U$19,K232),1)*IF(Upgrades!$T$20="Roche Lobe Overflow",POWER(Upgrades!$U$20,L232),1)*IF(Upgrades!$T$21="Roche Lobe Overflow",POWER(Upgrades!$U$21,M232),1))+(IF(I232=0,0,(Upgrades!$G$17+I232*Upgrades!$H$17)*POWER(Upgrades!$I$17,I232)))*(IF(Upgrades!$T$13="Brown Dwarf",POWER(Upgrades!$U$13,E232),1)*IF(Upgrades!$T$14="Brown Dwarf",POWER(Upgrades!$U$14,F232),1)*IF(Upgrades!$T$15="Brown Dwarf",POWER(Upgrades!$U$15,G232),1)*IF(Upgrades!$T$16="Brown Dwarf",POWER(Upgrades!$U$16,H232),1)*IF(Upgrades!$T$18="Brown Dwarf",POWER(Upgrades!$U$18,J232),1)*IF(Upgrades!$T$19="Brown Dwarf",POWER(Upgrades!$U$19,K232),1)*IF(Upgrades!$T$20="Brown Dwarf",POWER(Upgrades!$U$20,L232),1)*IF(Upgrades!$T$21="Brown Dwarf",POWER(Upgrades!$U$21,M232),1))+(IF(J232=0,0,(Upgrades!$G$18+J232*Upgrades!$H$18)*POWER(Upgrades!$I$18,J232)))*(IF(Upgrades!$T$13="Binary Partner",POWER(Upgrades!$U$13,E232),1)*IF(Upgrades!$T$14="Binary Partner",POWER(Upgrades!$U$14,F232),1)*IF(Upgrades!$T$15="Binary Partner",POWER(Upgrades!$U$15,G232),1)*IF(Upgrades!$T$16="Binary Partner",POWER(Upgrades!$U$16,H232),1)*IF(Upgrades!$T$17="Binary Partner",POWER(Upgrades!$U$17,I232),1)*IF(Upgrades!$T$19="Binary Partner",POWER(Upgrades!$U$19,K232),1)*IF(Upgrades!$T$20="Binary Partner",POWER(Upgrades!$U$20,L232),1)*IF(Upgrades!$T$21="Binary Partner",POWER(Upgrades!$U$21,M232),1))+(IF(K232=0,0,(Upgrades!$G$19+K232*Upgrades!$H$19)*POWER(Upgrades!$I$19,K232)))*(IF(Upgrades!$T$13="Peculiar Velocity",POWER(Upgrades!$U$13,E232),1)*IF(Upgrades!$T$14="Peculiar Velocity",POWER(Upgrades!$U$14,F232),1)*IF(Upgrades!$T$15="Peculiar Velocity",POWER(Upgrades!$U$15,G232),1)*IF(Upgrades!$T$16="Peculiar Velocity",POWER(Upgrades!$U$16,H232),1)*IF(Upgrades!$T$17="Peculiar Velocity",POWER(Upgrades!$U$17,I232),1)*IF(Upgrades!$T$18="Peculiar Velocity",POWER(Upgrades!$U$18,J232),1)*IF(Upgrades!$T$20="Peculiar Velocity",POWER(Upgrades!$U$20,L232),1)*IF(Upgrades!$T$21="Peculiar Velocity",POWER(Upgrades!$U$21,M232),1))+(IF(L232=0,0,(Upgrades!$G$20+L232*Upgrades!$H$20)*POWER(Upgrades!$I$20,L232)))*(IF(Upgrades!$T$13="Open Cluster",POWER(Upgrades!$U$13,E232),1)*IF(Upgrades!$T$14="Open Cluster",POWER(Upgrades!$U$14,F232),1)*IF(Upgrades!$T$15="Open Cluster",POWER(Upgrades!$U$15,G232),1)*IF(Upgrades!$T$16="Open Cluster",POWER(Upgrades!$U$16,H232),1)*IF(Upgrades!$T$17="Open Cluster",POWER(Upgrades!$U$17,I232),1)*IF(Upgrades!$T$18="Open Cluster",POWER(Upgrades!$U$18,J232),1)*IF(Upgrades!$T$19="Open Cluster",POWER(Upgrades!$U$19,K232),1)*IF(Upgrades!$T$21="Open Cluster",POWER(Upgrades!$U$21,M232),1))+(IF(M232=0,0,(Upgrades!$G$21+M232*Upgrades!$H$21)*POWER(Upgrades!$I$21,M232)))*(IF(Upgrades!$T$13="Moving Group",POWER(Upgrades!$U$13,E232),1)*IF(Upgrades!$T$14="Moving Group",POWER(Upgrades!$U$14,F232),1)*IF(Upgrades!$T$15="Moving Group",POWER(Upgrades!$U$15,G232),1)*IF(Upgrades!$T$16="Moving Group",POWER(Upgrades!$U$16,H232),1)*IF(Upgrades!$T$17="Moving Group",POWER(Upgrades!$U$17,I232),1)*IF(Upgrades!$T$18="Moving Group",POWER(Upgrades!$U$18,J232),1)*IF(Upgrades!$T$19="Moving Group",POWER(Upgrades!$U$19,K232),1)*IF(Upgrades!$T$20="Moving Group",POWER(Upgrades!$U$20,L232),1)))*POWER(Upgrades!$P$13,E232)*POWER(Upgrades!$P$14,F232)*POWER(Upgrades!$P$15,G232)*POWER(Upgrades!$P$16,H232)*POWER(Upgrades!$P$17,I232)*POWER(Upgrades!$P$18,J232)*POWER(Upgrades!$P$19,K232)*POWER(Upgrades!$P$20,L232)*POWER(Upgrades!$P$21,M232)*$F$6+$C$6</f>
        <v/>
      </c>
      <c r="Q232" s="28">
        <f>((IF(E232=0,0,(Upgrades!$M$13+E232*Upgrades!$N$13)*POWER(Upgrades!$O$13,E232)))*(IF(Upgrades!$T$14="Stellar Kinematics",POWER(Upgrades!$U$14,F232),1)*IF(Upgrades!$T$15="Stellar Kinematics",POWER(Upgrades!$U$15,G232),1)*IF(Upgrades!$T$16="Stellar Kinematics",POWER(Upgrades!$U$16,H232),1)*IF(Upgrades!$T$17="Stellar Kinematics",POWER(Upgrades!$U$17,I232),1)*IF(Upgrades!$T$18="Stellar Kinematics",POWER(Upgrades!$U$18,J232),1)*IF(Upgrades!$T$19="Stellar Kinematics",POWER(Upgrades!$U$19,K232),1)*IF(Upgrades!$T$20="Stellar Kinematics",POWER(Upgrades!$U$20,L232),1)*IF(Upgrades!$T$21="Stellar Kinematics",POWER(Upgrades!$U$21,M232),1))+(IF(F232=0,0,(Upgrades!$M$14+F232*Upgrades!$N$14)*POWER(Upgrades!$O$14,F232)))*(IF(Upgrades!$T$13="Local Bubble",POWER(Upgrades!$U$13,E232),1)*IF(Upgrades!$T$15="Local Bubble",POWER(Upgrades!$U$15,G232),1)*IF(Upgrades!$T$16="Local Bubble",POWER(Upgrades!$U$16,H232),1)*IF(Upgrades!$T$17="Local Bubble",POWER(Upgrades!$U$17,I232),1)*IF(Upgrades!$T$18="Local Bubble",POWER(Upgrades!$U$18,J232),1)*IF(Upgrades!$T$19="Local Bubble",POWER(Upgrades!$U$19,K232),1)*IF(Upgrades!$T$20="Local Bubble",POWER(Upgrades!$U$20,L232),1)*IF(Upgrades!$T$21="Local Bubble",POWER(Upgrades!$U$21,M232),1))+(IF(G232=0,0,(Upgrades!$M$15+G232*Upgrades!$N$15)*POWER(Upgrades!$O$15,G232)))*(IF(Upgrades!$T$13="Microlensing",POWER(Upgrades!$U$13,E232),1)*IF(Upgrades!$T$14="Microlensing",POWER(Upgrades!$U$14,F232),1)*IF(Upgrades!$T$16="Microlensing",POWER(Upgrades!$U$16,H232),1)*IF(Upgrades!$T$17="Microlensing",POWER(Upgrades!$U$17,I232),1)*IF(Upgrades!$T$18="Microlensing",POWER(Upgrades!$U$18,J232),1)*IF(Upgrades!$T$19="Microlensing",POWER(Upgrades!$U$19,K232),1)*IF(Upgrades!$T$20="Microlensing",POWER(Upgrades!$U$20,L232),1)*IF(Upgrades!$T$21="Microlensing",POWER(Upgrades!$U$21,M232),1))+(IF(H232=0,0,(Upgrades!$M$16+H232*Upgrades!$N$16)*POWER(Upgrades!$O$16,H232)))*(IF(Upgrades!$T$13="Roche Lobe Overflow",POWER(Upgrades!$U$13,E232),1)*IF(Upgrades!$T$14="Roche Lobe Overflow",POWER(Upgrades!$U$14,F232),1)*IF(Upgrades!$T$15="Roche Lobe Overflow",POWER(Upgrades!$U$15,G232),1)*IF(Upgrades!$T$17="Roche Lobe Overflow",POWER(Upgrades!$U$17,I232),1)*IF(Upgrades!$T$18="Roche Lobe Overflow",POWER(Upgrades!$U$18,J232),1)*IF(Upgrades!$T$19="Roche Lobe Overflow",POWER(Upgrades!$U$19,K232),1)*IF(Upgrades!$T$20="Roche Lobe Overflow",POWER(Upgrades!$U$20,L232),1)*IF(Upgrades!$T$21="Roche Lobe Overflow",POWER(Upgrades!$U$21,M232),1))+(IF(I232=0,0,(Upgrades!$M$17+I232*Upgrades!$N$17)*POWER(Upgrades!$O$17,I232)))*(IF(Upgrades!$T$13="Brown Dwarf",POWER(Upgrades!$U$13,E232),1)*IF(Upgrades!$T$14="Brown Dwarf",POWER(Upgrades!$U$14,F232),1)*IF(Upgrades!$T$15="Brown Dwarf",POWER(Upgrades!$U$15,G232),1)*IF(Upgrades!$T$16="Brown Dwarf",POWER(Upgrades!$U$16,H232),1)*IF(Upgrades!$T$18="Brown Dwarf",POWER(Upgrades!$U$18,J232),1)*IF(Upgrades!$T$19="Brown Dwarf",POWER(Upgrades!$U$19,K232),1)*IF(Upgrades!$T$20="Brown Dwarf",POWER(Upgrades!$U$20,L232),1)*IF(Upgrades!$T$21="Brown Dwarf",POWER(Upgrades!$U$21,M232),1))+(IF(J232=0,0,(Upgrades!$M$18+J232*Upgrades!$N$18)*POWER(Upgrades!$O$18,J232)))*(IF(Upgrades!$T$13="Binary Partner",POWER(Upgrades!$U$13,E232),1)*IF(Upgrades!$T$14="Binary Partner",POWER(Upgrades!$U$14,F232),1)*IF(Upgrades!$T$15="Binary Partner",POWER(Upgrades!$U$15,G232),1)*IF(Upgrades!$T$16="Binary Partner",POWER(Upgrades!$U$16,H232),1)*IF(Upgrades!$T$17="Binary Partner",POWER(Upgrades!$U$17,I232),1)*IF(Upgrades!$T$19="Binary Partner",POWER(Upgrades!$U$19,K232),1)*IF(Upgrades!$T$20="Binary Partner",POWER(Upgrades!$U$20,L232),1)*IF(Upgrades!$T$21="Binary Partner",POWER(Upgrades!$U$21,M232),1))+(IF(K232=0,0,(Upgrades!$M$19+K232*Upgrades!$N$19)*POWER(Upgrades!$O$19,K232)))*(IF(Upgrades!$T$13="Peculiar Velocity",POWER(Upgrades!$U$13,E232),1)*IF(Upgrades!$T$14="Peculiar Velocity",POWER(Upgrades!$U$14,F232),1)*IF(Upgrades!$T$15="Peculiar Velocity",POWER(Upgrades!$U$15,G232),1)*IF(Upgrades!$T$16="Peculiar Velocity",POWER(Upgrades!$U$16,H232),1)*IF(Upgrades!$T$17="Peculiar Velocity",POWER(Upgrades!$U$17,I232),1)*IF(Upgrades!$T$18="Peculiar Velocity",POWER(Upgrades!$U$18,J232),1)*IF(Upgrades!$T$20="Peculiar Velocity",POWER(Upgrades!$U$20,L232),1)*IF(Upgrades!$T$21="Peculiar Velocity",POWER(Upgrades!$U$21,M232),1))+(IF(L232=0,0,(Upgrades!$M$20+L232*Upgrades!$N$20)*POWER(Upgrades!$O$20,L232)))*(IF(Upgrades!$T$13="Open Cluster",POWER(Upgrades!$U$13,E232),1)*IF(Upgrades!$T$14="Open Cluster",POWER(Upgrades!$U$14,F232),1)*IF(Upgrades!$T$15="Open Cluster",POWER(Upgrades!$U$15,G232),1)*IF(Upgrades!$T$16="Open Cluster",POWER(Upgrades!$U$16,H232),1)*IF(Upgrades!$T$17="Open Cluster",POWER(Upgrades!$U$17,I232),1)*IF(Upgrades!$T$18="Open Cluster",POWER(Upgrades!$U$18,J232),1)*IF(Upgrades!$T$19="Open Cluster",POWER(Upgrades!$U$19,K232),1)*IF(Upgrades!$T$21="Open Cluster",POWER(Upgrades!$U$21,M232),1))+(IF(M232=0,0,(Upgrades!$M$21+M232*Upgrades!$N$21)*POWER(Upgrades!$O$21,M232)))*(IF(Upgrades!$T$13="Moving Group",POWER(Upgrades!$U$13,E232),1)*IF(Upgrades!$T$14="Moving Group",POWER(Upgrades!$U$14,F232),1)*IF(Upgrades!$T$15="Moving Group",POWER(Upgrades!$U$15,G232),1)*IF(Upgrades!$T$16="Moving Group",POWER(Upgrades!$U$16,H232),1)*IF(Upgrades!$T$17="Moving Group",POWER(Upgrades!$U$17,I232),1)*IF(Upgrades!$T$18="Moving Group",POWER(Upgrades!$U$18,J232),1)*IF(Upgrades!$T$19="Moving Group",POWER(Upgrades!$U$19,K232),1)*IF(Upgrades!$T$20="Moving Group",POWER(Upgrades!$U$20,L232),1)))*POWER(Upgrades!$R$13,E232)*POWER(Upgrades!$R$14,F232)*POWER(Upgrades!$R$15,G232)*POWER(Upgrades!$R$16,H232)*POWER(Upgrades!$R$17,I232)*POWER(Upgrades!$R$18,J232)*POWER(Upgrades!$R$19,K232)*POWER(Upgrades!$R$20,L232)*POWER(Upgrades!$R$21,M232)*$H$6+$E$6</f>
        <v/>
      </c>
      <c r="R232" s="27">
        <f>IF(N232=1,0,O232*Parameters!$B$10/60*Parameters!$B$11*10)</f>
        <v/>
      </c>
      <c r="S232" s="27">
        <f>IF(N232=1,0,Q232*O232*10)</f>
        <v/>
      </c>
      <c r="T232" s="27">
        <f>IF(N232=1,0,R232+S232+P232*10)</f>
        <v/>
      </c>
      <c r="U232" s="33">
        <f>BE232</f>
        <v/>
      </c>
      <c r="V232" s="22">
        <f>IF(U232="",0,IF(U232="transition",0,IF(U232="SK",AK232,IF(U232="LB",AL232,IF(U232="ML",AM232,IF(U232="RLO",AN232,IF(U232="BD",AO232,IF(U232="BiP",AP232,IF(U232="PV",AQ232,IF(U232="OC",AR232,IF(U232="MG",AS232,0))))))))))</f>
        <v/>
      </c>
      <c r="W232" s="27">
        <f>IF(U232="BiP",Upgrades!$F$18,IF(U232="PV",Upgrades!$F$19,IF(U232="OC",Upgrades!$F$20,IF(U232="MG",Upgrades!$F$21,IF(U232="transition",-Parameters!$B$18*Parameters!$B$19,0)))))</f>
        <v/>
      </c>
      <c r="X232" s="22">
        <f>C232+T232-V232</f>
        <v/>
      </c>
      <c r="Y232" s="30">
        <f>O232*Parameters!$B$10/60*Parameters!$B$11+Q232*O232+P232</f>
        <v/>
      </c>
      <c r="Z232" s="34">
        <f>IF(U232="transition","→ Tier 3 (Galactic Arm)",IF(U232="MG","Moving Group — pocket drifts together",IF(U232="OC","Open Cluster acquired",IF(U232="PV","Peculiar Velocity — passive multiplier active",IF(U232="BiP","Binary Partner — pair bond formed",IF(AND(AU232=1,N232=0,AT232&lt;&gt;1),"Cohesion ready (waiting on completionists)","")))))) </f>
        <v/>
      </c>
      <c r="AA232" s="27">
        <f>(IF(E232=0,0,(Upgrades!$G$13+E232*Upgrades!$H$13)*POWER(Upgrades!$I$13,E232)))*(IF(Upgrades!$T$14="Stellar Kinematics",POWER(Upgrades!$U$14,F232),1)*IF(Upgrades!$T$15="Stellar Kinematics",POWER(Upgrades!$U$15,G232),1)*IF(Upgrades!$T$16="Stellar Kinematics",POWER(Upgrades!$U$16,H232),1)*IF(Upgrades!$T$17="Stellar Kinematics",POWER(Upgrades!$U$17,I232),1)*IF(Upgrades!$T$18="Stellar Kinematics",POWER(Upgrades!$U$18,J232),1)*IF(Upgrades!$T$19="Stellar Kinematics",POWER(Upgrades!$U$19,K232),1)*IF(Upgrades!$T$20="Stellar Kinematics",POWER(Upgrades!$U$20,L232),1)*IF(Upgrades!$T$21="Stellar Kinematics",POWER(Upgrades!$U$21,M232),1))*POWER(Upgrades!$P$13,E232)*POWER(Upgrades!$P$14,F232)*POWER(Upgrades!$P$15,G232)*POWER(Upgrades!$P$16,H232)*POWER(Upgrades!$P$17,I232)*POWER(Upgrades!$P$18,J232)*POWER(Upgrades!$P$19,K232)*POWER(Upgrades!$P$20,L232)*POWER(Upgrades!$P$21,M232)*$F$6*60</f>
        <v/>
      </c>
      <c r="AB232" s="27">
        <f>(IF(F232=0,0,(Upgrades!$G$14+F232*Upgrades!$H$14)*POWER(Upgrades!$I$14,F232)))*(IF(Upgrades!$T$13="Local Bubble",POWER(Upgrades!$U$13,E232),1)*IF(Upgrades!$T$15="Local Bubble",POWER(Upgrades!$U$15,G232),1)*IF(Upgrades!$T$16="Local Bubble",POWER(Upgrades!$U$16,H232),1)*IF(Upgrades!$T$17="Local Bubble",POWER(Upgrades!$U$17,I232),1)*IF(Upgrades!$T$18="Local Bubble",POWER(Upgrades!$U$18,J232),1)*IF(Upgrades!$T$19="Local Bubble",POWER(Upgrades!$U$19,K232),1)*IF(Upgrades!$T$20="Local Bubble",POWER(Upgrades!$U$20,L232),1)*IF(Upgrades!$T$21="Local Bubble",POWER(Upgrades!$U$21,M232),1))*POWER(Upgrades!$P$13,E232)*POWER(Upgrades!$P$14,F232)*POWER(Upgrades!$P$15,G232)*POWER(Upgrades!$P$16,H232)*POWER(Upgrades!$P$17,I232)*POWER(Upgrades!$P$18,J232)*POWER(Upgrades!$P$19,K232)*POWER(Upgrades!$P$20,L232)*POWER(Upgrades!$P$21,M232)*$F$6*60</f>
        <v/>
      </c>
      <c r="AC232" s="27">
        <f>(IF(G232=0,0,(Upgrades!$J$15+G232*Upgrades!$K$15)*POWER(Upgrades!$L$15,G232)))*(IF(Upgrades!$T$13="Microlensing",POWER(Upgrades!$U$13,E232),1)*IF(Upgrades!$T$14="Microlensing",POWER(Upgrades!$U$14,F232),1)*IF(Upgrades!$T$16="Microlensing",POWER(Upgrades!$U$16,H232),1)*IF(Upgrades!$T$17="Microlensing",POWER(Upgrades!$U$17,I232),1)*IF(Upgrades!$T$18="Microlensing",POWER(Upgrades!$U$18,J232),1)*IF(Upgrades!$T$19="Microlensing",POWER(Upgrades!$U$19,K232),1)*IF(Upgrades!$T$20="Microlensing",POWER(Upgrades!$U$20,L232),1)*IF(Upgrades!$T$21="Microlensing",POWER(Upgrades!$U$21,M232),1))*POWER(Upgrades!$Q$13,E232)*POWER(Upgrades!$Q$14,F232)*POWER(Upgrades!$Q$15,G232)*POWER(Upgrades!$Q$16,H232)*POWER(Upgrades!$Q$17,I232)*POWER(Upgrades!$Q$18,J232)*POWER(Upgrades!$Q$19,K232)*POWER(Upgrades!$Q$20,L232)*POWER(Upgrades!$Q$21,M232)*$G$6*(Parameters!$B$10*Parameters!$B$11+Q232*60)</f>
        <v/>
      </c>
      <c r="AD232" s="27">
        <f>(IF(H232=0,0,(Upgrades!$M$16+H232*Upgrades!$N$16)*POWER(Upgrades!$O$16,H232)))*(IF(Upgrades!$T$13="Roche Lobe Overflow",POWER(Upgrades!$U$13,E232),1)*IF(Upgrades!$T$14="Roche Lobe Overflow",POWER(Upgrades!$U$14,F232),1)*IF(Upgrades!$T$15="Roche Lobe Overflow",POWER(Upgrades!$U$15,G232),1)*IF(Upgrades!$T$17="Roche Lobe Overflow",POWER(Upgrades!$U$17,I232),1)*IF(Upgrades!$T$18="Roche Lobe Overflow",POWER(Upgrades!$U$18,J232),1)*IF(Upgrades!$T$19="Roche Lobe Overflow",POWER(Upgrades!$U$19,K232),1)*IF(Upgrades!$T$20="Roche Lobe Overflow",POWER(Upgrades!$U$20,L232),1)*IF(Upgrades!$T$21="Roche Lobe Overflow",POWER(Upgrades!$U$21,M232),1))*POWER(Upgrades!$R$13,E232)*POWER(Upgrades!$R$14,F232)*POWER(Upgrades!$R$15,G232)*POWER(Upgrades!$R$16,H232)*POWER(Upgrades!$R$17,I232)*POWER(Upgrades!$R$18,J232)*POWER(Upgrades!$R$19,K232)*POWER(Upgrades!$R$20,L232)*POWER(Upgrades!$R$21,M232)*$H$6*O232*60</f>
        <v/>
      </c>
      <c r="AE232" s="27">
        <f>(IF(I232=0,0,(Upgrades!$G$17+I232*Upgrades!$H$17)*POWER(Upgrades!$I$17,I232)))*(IF(Upgrades!$T$13="Brown Dwarf",POWER(Upgrades!$U$13,E232),1)*IF(Upgrades!$T$14="Brown Dwarf",POWER(Upgrades!$U$14,F232),1)*IF(Upgrades!$T$15="Brown Dwarf",POWER(Upgrades!$U$15,G232),1)*IF(Upgrades!$T$16="Brown Dwarf",POWER(Upgrades!$U$16,H232),1)*IF(Upgrades!$T$18="Brown Dwarf",POWER(Upgrades!$U$18,J232),1)*IF(Upgrades!$T$19="Brown Dwarf",POWER(Upgrades!$U$19,K232),1)*IF(Upgrades!$T$20="Brown Dwarf",POWER(Upgrades!$U$20,L232),1)*IF(Upgrades!$T$21="Brown Dwarf",POWER(Upgrades!$U$21,M232),1))*POWER(Upgrades!$P$13,E232)*POWER(Upgrades!$P$14,F232)*POWER(Upgrades!$P$15,G232)*POWER(Upgrades!$P$16,H232)*POWER(Upgrades!$P$17,I232)*POWER(Upgrades!$P$18,J232)*POWER(Upgrades!$P$19,K232)*POWER(Upgrades!$P$20,L232)*POWER(Upgrades!$P$21,M232)*$F$6*60</f>
        <v/>
      </c>
      <c r="AF232" s="27" t="n">
        <v>0</v>
      </c>
      <c r="AG232" s="27" t="n">
        <v>0</v>
      </c>
      <c r="AH232" s="27" t="n">
        <v>0</v>
      </c>
      <c r="AI232" s="27">
        <f>(IF(M232=0,0,(Upgrades!$G$21+M232*Upgrades!$H$21)*POWER(Upgrades!$I$21,M232)))*(IF(Upgrades!$T$13="Moving Group",POWER(Upgrades!$U$13,E232),1)*IF(Upgrades!$T$14="Moving Group",POWER(Upgrades!$U$14,F232),1)*IF(Upgrades!$T$15="Moving Group",POWER(Upgrades!$U$15,G232),1)*IF(Upgrades!$T$16="Moving Group",POWER(Upgrades!$U$16,H232),1)*IF(Upgrades!$T$17="Moving Group",POWER(Upgrades!$U$17,I232),1)*IF(Upgrades!$T$18="Moving Group",POWER(Upgrades!$U$18,J232),1)*IF(Upgrades!$T$19="Moving Group",POWER(Upgrades!$U$19,K232),1)*IF(Upgrades!$T$20="Moving Group",POWER(Upgrades!$U$20,L232),1))*POWER(Upgrades!$P$13,E232)*POWER(Upgrades!$P$14,F232)*POWER(Upgrades!$P$15,G232)*POWER(Upgrades!$P$16,H232)*POWER(Upgrades!$P$17,I232)*POWER(Upgrades!$P$18,J232)*POWER(Upgrades!$P$19,K232)*POWER(Upgrades!$P$20,L232)*POWER(Upgrades!$P$21,M232)*$F$6*60</f>
        <v/>
      </c>
      <c r="AJ232" s="27">
        <f>$C$6*60</f>
        <v/>
      </c>
      <c r="AK232" s="22">
        <f>IF(E232&gt;=Upgrades!$E$13,"",Upgrades!$C$13*POWER(Upgrades!$D$13,E232))</f>
        <v/>
      </c>
      <c r="AL232" s="22">
        <f>IF(F232&gt;=Upgrades!$E$14,"",Upgrades!$C$14*POWER(Upgrades!$D$14,F232))</f>
        <v/>
      </c>
      <c r="AM232" s="22">
        <f>IF(G232&gt;=Upgrades!$E$15,"",Upgrades!$C$15*POWER(Upgrades!$D$15,G232))</f>
        <v/>
      </c>
      <c r="AN232" s="22">
        <f>IF(H232&gt;=Upgrades!$E$16,"",Upgrades!$C$16*POWER(Upgrades!$D$16,H232))</f>
        <v/>
      </c>
      <c r="AO232" s="22">
        <f>IF(I232&gt;=Upgrades!$E$17,"",Upgrades!$C$17*POWER(Upgrades!$D$17,I232))</f>
        <v/>
      </c>
      <c r="AP232" s="22">
        <f>IF(J232&gt;=Upgrades!$E$18,"",Upgrades!$C$18*POWER(Upgrades!$D$18,J232))</f>
        <v/>
      </c>
      <c r="AQ232" s="22">
        <f>IF(K232&gt;=Upgrades!$E$19,"",Upgrades!$C$19*POWER(Upgrades!$D$19,K232))</f>
        <v/>
      </c>
      <c r="AR232" s="22">
        <f>IF(L232&gt;=Upgrades!$E$20,"",Upgrades!$C$20*POWER(Upgrades!$D$20,L232))</f>
        <v/>
      </c>
      <c r="AS232" s="22">
        <f>IF(M232&gt;=Upgrades!$E$21,"",Upgrades!$C$21*POWER(Upgrades!$D$21,M232))</f>
        <v/>
      </c>
      <c r="AT232" s="26">
        <f>IF(AND(D232&gt;=Parameters!$B$18*Parameters!$B$19,(I232&gt;=Upgrades!$E$17)*(M232&gt;=Upgrades!$E$21)=1,N232=0),1,"")</f>
        <v/>
      </c>
      <c r="AU232" s="26">
        <f>IF(AND(D232&gt;=Parameters!$B$18*Parameters!$B$19,N232=0),1,"")</f>
        <v/>
      </c>
      <c r="AV232" s="22">
        <f>MIN(IF(ISNUMBER(AP232),AP232,9E15),IF(ISNUMBER(AQ232),AQ232,9E15),IF(ISNUMBER(AR232),AR232,9E15),IF(ISNUMBER(AS232),AS232,9E15))</f>
        <v/>
      </c>
      <c r="AW232" s="22">
        <f>MIN(IF(ISNUMBER(AK232),AK232,9E15),IF(ISNUMBER(AL232),AL232,9E15),IF(ISNUMBER(AM232),AM232,9E15),IF(ISNUMBER(AN232),AN232,9E15),IF(ISNUMBER(AO232),AO232,9E15))</f>
        <v/>
      </c>
      <c r="AX232" s="29">
        <f>IF(BD232&gt;Parameters!$B$21*(MAX(IF(AND(NOT(AND(AU232=1,AT232&lt;&gt;1)),ISNUMBER(AK232),AK232&lt;=(C232+T232)),AY232,0),IF(AND(NOT(AND(AU232=1,AT232&lt;&gt;1)),ISNUMBER(AL232),AL232&lt;=(C232+T232)),AZ232,0),IF(AND(NOT(AND(AU232=1,AT232&lt;&gt;1)),ISNUMBER(AM232),AM232&lt;=(C232+T232)),BA232,0),IF(AND(NOT(AND(AU232=1,AT232&lt;&gt;1)),ISNUMBER(AN232),AN232&lt;=(C232+T232)),BB232,0),IF(AND(ISNUMBER(AO232),AO232&lt;=(C232+T232)),BC232,0))),TRUE,FALSE)</f>
        <v/>
      </c>
      <c r="AY232" s="32">
        <f>IFERROR(Upgrades!$H$13*(POWER(Upgrades!$P$13,E232)*POWER(Upgrades!$P$14,F232)*POWER(Upgrades!$P$15,G232)*POWER(Upgrades!$P$16,H232)*POWER(Upgrades!$P$17,I232)*POWER(Upgrades!$P$18,J232)*POWER(Upgrades!$P$19,K232)*POWER(Upgrades!$P$20,L232)*POWER(Upgrades!$P$21,M232))*(IF(Upgrades!$T$14="Stellar Kinematics",POWER(Upgrades!$U$14,F232),1)*IF(Upgrades!$T$15="Stellar Kinematics",POWER(Upgrades!$U$15,G232),1)*IF(Upgrades!$T$16="Stellar Kinematics",POWER(Upgrades!$U$16,H232),1)*IF(Upgrades!$T$17="Stellar Kinematics",POWER(Upgrades!$U$17,I232),1)*IF(Upgrades!$T$18="Stellar Kinematics",POWER(Upgrades!$U$18,J232),1)*IF(Upgrades!$T$19="Stellar Kinematics",POWER(Upgrades!$U$19,K232),1)*IF(Upgrades!$T$20="Stellar Kinematics",POWER(Upgrades!$U$20,L232),1)*IF(Upgrades!$T$21="Stellar Kinematics",POWER(Upgrades!$U$21,M232),1))*$F$6/AK232,0)</f>
        <v/>
      </c>
      <c r="AZ232" s="32">
        <f>IFERROR(Upgrades!$H$14*(POWER(Upgrades!$P$13,E232)*POWER(Upgrades!$P$14,F232)*POWER(Upgrades!$P$15,G232)*POWER(Upgrades!$P$16,H232)*POWER(Upgrades!$P$17,I232)*POWER(Upgrades!$P$18,J232)*POWER(Upgrades!$P$19,K232)*POWER(Upgrades!$P$20,L232)*POWER(Upgrades!$P$21,M232))*(IF(Upgrades!$T$13="Local Bubble",POWER(Upgrades!$U$13,E232),1)*IF(Upgrades!$T$15="Local Bubble",POWER(Upgrades!$U$15,G232),1)*IF(Upgrades!$T$16="Local Bubble",POWER(Upgrades!$U$16,H232),1)*IF(Upgrades!$T$17="Local Bubble",POWER(Upgrades!$U$17,I232),1)*IF(Upgrades!$T$18="Local Bubble",POWER(Upgrades!$U$18,J232),1)*IF(Upgrades!$T$19="Local Bubble",POWER(Upgrades!$U$19,K232),1)*IF(Upgrades!$T$20="Local Bubble",POWER(Upgrades!$U$20,L232),1)*IF(Upgrades!$T$21="Local Bubble",POWER(Upgrades!$U$21,M232),1))*$F$6/AL232,0)</f>
        <v/>
      </c>
      <c r="BA232" s="32">
        <f>IFERROR(Upgrades!$K$15*(POWER(Upgrades!$Q$13,E232)*POWER(Upgrades!$Q$14,F232)*POWER(Upgrades!$Q$15,G232)*POWER(Upgrades!$Q$16,H232)*POWER(Upgrades!$Q$17,I232)*POWER(Upgrades!$Q$18,J232)*POWER(Upgrades!$Q$19,K232)*POWER(Upgrades!$Q$20,L232)*POWER(Upgrades!$Q$21,M232))*(IF(Upgrades!$T$13="Microlensing",POWER(Upgrades!$U$13,E232),1)*IF(Upgrades!$T$14="Microlensing",POWER(Upgrades!$U$14,F232),1)*IF(Upgrades!$T$16="Microlensing",POWER(Upgrades!$U$16,H232),1)*IF(Upgrades!$T$17="Microlensing",POWER(Upgrades!$U$17,I232),1)*IF(Upgrades!$T$18="Microlensing",POWER(Upgrades!$U$18,J232),1)*IF(Upgrades!$T$19="Microlensing",POWER(Upgrades!$U$19,K232),1)*IF(Upgrades!$T$20="Microlensing",POWER(Upgrades!$U$20,L232),1)*IF(Upgrades!$T$21="Microlensing",POWER(Upgrades!$U$21,M232),1))*$G$6*(Parameters!$B$10/60*Parameters!$B$11+Q232)/AM232,0)</f>
        <v/>
      </c>
      <c r="BB232" s="32">
        <f>IFERROR((Upgrades!$N$16*(POWER(Upgrades!$R$13,E232)*POWER(Upgrades!$R$14,F232)*POWER(Upgrades!$R$15,G232)*POWER(Upgrades!$R$16,H232)*POWER(Upgrades!$R$17,I232)*POWER(Upgrades!$R$18,J232)*POWER(Upgrades!$R$19,K232)*POWER(Upgrades!$R$20,L232)*POWER(Upgrades!$R$21,M232))*(IF(Upgrades!$T$13="Roche Lobe Overflow",POWER(Upgrades!$U$13,E232),1)*IF(Upgrades!$T$14="Roche Lobe Overflow",POWER(Upgrades!$U$14,F232),1)*IF(Upgrades!$T$15="Roche Lobe Overflow",POWER(Upgrades!$U$15,G232),1)*IF(Upgrades!$T$17="Roche Lobe Overflow",POWER(Upgrades!$U$17,I232),1)*IF(Upgrades!$T$18="Roche Lobe Overflow",POWER(Upgrades!$U$18,J232),1)*IF(Upgrades!$T$19="Roche Lobe Overflow",POWER(Upgrades!$U$19,K232),1)*IF(Upgrades!$T$20="Roche Lobe Overflow",POWER(Upgrades!$U$20,L232),1)*IF(Upgrades!$T$21="Roche Lobe Overflow",POWER(Upgrades!$U$21,M232),1))*$H$6*O232+((IF(F232=0,0,(Upgrades!$G$14+F232*Upgrades!$H$14)*POWER(Upgrades!$I$14,F232)))*(IF(Upgrades!$T$13="Local Bubble",POWER(Upgrades!$U$13,E232),1)*IF(Upgrades!$T$15="Local Bubble",POWER(Upgrades!$U$15,G232),1)*IF(Upgrades!$T$16="Local Bubble",POWER(Upgrades!$U$16,H232),1)*IF(Upgrades!$T$17="Local Bubble",POWER(Upgrades!$U$17,I232),1)*IF(Upgrades!$T$18="Local Bubble",POWER(Upgrades!$U$18,J232),1)*IF(Upgrades!$T$19="Local Bubble",POWER(Upgrades!$U$19,K232),1)*IF(Upgrades!$T$20="Local Bubble",POWER(Upgrades!$U$20,L232),1)*IF(Upgrades!$T$21="Local Bubble",POWER(Upgrades!$U$21,M232),1))*POWER(Upgrades!$P$13,E232)*POWER(Upgrades!$P$14,F232)*POWER(Upgrades!$P$15,G232)*POWER(Upgrades!$P$16,H232)*POWER(Upgrades!$P$17,I232)*POWER(Upgrades!$P$18,J232)*POWER(Upgrades!$P$19,K232)*POWER(Upgrades!$P$20,L232)*POWER(Upgrades!$P$21,M232)*$F$6)*0.05)/AN232,0)</f>
        <v/>
      </c>
      <c r="BC232" s="32">
        <f>IFERROR((Upgrades!$H$17*(POWER(Upgrades!$P$13,E232)*POWER(Upgrades!$P$14,F232)*POWER(Upgrades!$P$15,G232)*POWER(Upgrades!$P$16,H232)*POWER(Upgrades!$P$17,I232)*POWER(Upgrades!$P$18,J232)*POWER(Upgrades!$P$19,K232)*POWER(Upgrades!$P$20,L232)*POWER(Upgrades!$P$21,M232))*(IF(Upgrades!$T$13="Brown Dwarf",POWER(Upgrades!$U$13,E232),1)*IF(Upgrades!$T$14="Brown Dwarf",POWER(Upgrades!$U$14,F232),1)*IF(Upgrades!$T$15="Brown Dwarf",POWER(Upgrades!$U$15,G232),1)*IF(Upgrades!$T$16="Brown Dwarf",POWER(Upgrades!$U$16,H232),1)*IF(Upgrades!$T$18="Brown Dwarf",POWER(Upgrades!$U$18,J232),1)*IF(Upgrades!$T$19="Brown Dwarf",POWER(Upgrades!$U$19,K232),1)*IF(Upgrades!$T$20="Brown Dwarf",POWER(Upgrades!$U$20,L232),1)*IF(Upgrades!$T$21="Brown Dwarf",POWER(Upgrades!$U$21,M232),1))*$F$6+(((IF(H232=0,0,(Upgrades!$M$16+H232*Upgrades!$N$16)*POWER(Upgrades!$O$16,H232)))*(IF(Upgrades!$T$13="Roche Lobe Overflow",POWER(Upgrades!$U$13,E232),1)*IF(Upgrades!$T$14="Roche Lobe Overflow",POWER(Upgrades!$U$14,F232),1)*IF(Upgrades!$T$15="Roche Lobe Overflow",POWER(Upgrades!$U$15,G232),1)*IF(Upgrades!$T$17="Roche Lobe Overflow",POWER(Upgrades!$U$17,I232),1)*IF(Upgrades!$T$18="Roche Lobe Overflow",POWER(Upgrades!$U$18,J232),1)*IF(Upgrades!$T$19="Roche Lobe Overflow",POWER(Upgrades!$U$19,K232),1)*IF(Upgrades!$T$20="Roche Lobe Overflow",POWER(Upgrades!$U$20,L232),1)*IF(Upgrades!$T$21="Roche Lobe Overflow",POWER(Upgrades!$U$21,M232),1))*POWER(Upgrades!$R$13,E232)*POWER(Upgrades!$R$14,F232)*POWER(Upgrades!$R$15,G232)*POWER(Upgrades!$R$16,H232)*POWER(Upgrades!$R$17,I232)*POWER(Upgrades!$R$18,J232)*POWER(Upgrades!$R$19,K232)*POWER(Upgrades!$R$20,L232)*POWER(Upgrades!$R$21,M232)*$H$6)*O232)*0.10)/AO232,0)</f>
        <v/>
      </c>
      <c r="BD232" s="32">
        <f>MAX(IF(J232&gt;0,0,IFERROR(0.5*((IF(G232=0,0,(Upgrades!$J$15+G232*Upgrades!$K$15)*POWER(Upgrades!$L$15,G232)))*(IF(Upgrades!$T$13="Microlensing",POWER(Upgrades!$U$13,E232),1)*IF(Upgrades!$T$14="Microlensing",POWER(Upgrades!$U$14,F232),1)*IF(Upgrades!$T$16="Microlensing",POWER(Upgrades!$U$16,H232),1)*IF(Upgrades!$T$17="Microlensing",POWER(Upgrades!$U$17,I232),1)*IF(Upgrades!$T$18="Microlensing",POWER(Upgrades!$U$18,J232),1)*IF(Upgrades!$T$19="Microlensing",POWER(Upgrades!$U$19,K232),1)*IF(Upgrades!$T$20="Microlensing",POWER(Upgrades!$U$20,L232),1)*IF(Upgrades!$T$21="Microlensing",POWER(Upgrades!$U$21,M232),1))*(POWER(Upgrades!$Q$13,E232)*POWER(Upgrades!$Q$14,F232)*POWER(Upgrades!$Q$15,G232)*POWER(Upgrades!$Q$16,H232)*POWER(Upgrades!$Q$17,I232)*POWER(Upgrades!$Q$18,J232)*POWER(Upgrades!$Q$19,K232)*POWER(Upgrades!$Q$20,L232)*POWER(Upgrades!$Q$21,M232))*$G$6*(Parameters!$B$10/60*Parameters!$B$11+Q232))/Upgrades!$C$18,0)),IF(K232&gt;0,0,IFERROR(0.30*P232/Upgrades!$C$19,0)),IF(L232&gt;0,0,IFERROR(0.0001/Upgrades!$C$20,0)),IF(M232&gt;0,0,IFERROR((6.0*(POWER(Upgrades!$P$13,E232)*POWER(Upgrades!$P$14,F232)*POWER(Upgrades!$P$15,G232)*POWER(Upgrades!$P$16,H232)*POWER(Upgrades!$P$17,I232)*POWER(Upgrades!$P$18,J232)*POWER(Upgrades!$P$19,K232)*POWER(Upgrades!$P$20,L232)*POWER(Upgrades!$P$21,M232))*$F$6+0.20*O232*(Parameters!$B$10/60*Parameters!$B$11+Q232))/Upgrades!$C$21,0)),IF(AND(ISNUMBER(AK232),AK232&gt;(C232+T232)),AY232,0),IF(AND(ISNUMBER(AL232),AL232&gt;(C232+T232)),AZ232,0),IF(AND(ISNUMBER(AM232),AM232&gt;(C232+T232)),BA232,0),IF(AND(ISNUMBER(AN232),AN232&gt;(C232+T232)),BB232,0),IF(AND(ISNUMBER(AO232),AO232&gt;(C232+T232)),BC232,0))</f>
        <v/>
      </c>
      <c r="BE232" s="29">
        <f>IF(AT232=1,"transition",IF(MIN(IF(AND(J232=0,ISNUMBER(AP232),AP232&lt;=(C232+T232)),AP232,9E15),IF(AND(K232=0,ISNUMBER(AQ232),AQ232&lt;=(C232+T232)),AQ232,9E15),IF(AND(L232=0,ISNUMBER(AR232),AR232&lt;=(C232+T232)),AR232,9E15),IF(AND(M232=0,ISNUMBER(AS232),AS232&lt;=(C232+T232)),AS232,9E15))&lt;9E15,IF(AND(AND(J232=0,ISNUMBER(AP232),AP232&lt;=(C232+T232)),AP232=MIN(IF(AND(J232=0,ISNUMBER(AP232),AP232&lt;=(C232+T232)),AP232,9E15),IF(AND(K232=0,ISNUMBER(AQ232),AQ232&lt;=(C232+T232)),AQ232,9E15),IF(AND(L232=0,ISNUMBER(AR232),AR232&lt;=(C232+T232)),AR232,9E15),IF(AND(M232=0,ISNUMBER(AS232),AS232&lt;=(C232+T232)),AS232,9E15))),"BiP",IF(AND(AND(K232=0,ISNUMBER(AQ232),AQ232&lt;=(C232+T232)),AQ232=MIN(IF(AND(J232=0,ISNUMBER(AP232),AP232&lt;=(C232+T232)),AP232,9E15),IF(AND(K232=0,ISNUMBER(AQ232),AQ232&lt;=(C232+T232)),AQ232,9E15),IF(AND(L232=0,ISNUMBER(AR232),AR232&lt;=(C232+T232)),AR232,9E15),IF(AND(M232=0,ISNUMBER(AS232),AS232&lt;=(C232+T232)),AS232,9E15))),"PV",IF(AND(AND(L232=0,ISNUMBER(AR232),AR232&lt;=(C232+T232)),AR232=MIN(IF(AND(J232=0,ISNUMBER(AP232),AP232&lt;=(C232+T232)),AP232,9E15),IF(AND(K232=0,ISNUMBER(AQ232),AQ232&lt;=(C232+T232)),AQ232,9E15),IF(AND(L232=0,ISNUMBER(AR232),AR232&lt;=(C232+T232)),AR232,9E15),IF(AND(M232=0,ISNUMBER(AS232),AS232&lt;=(C232+T232)),AS232,9E15))),"OC","MG"))),IF(AX232=TRUE,"",IF(MAX(IF(AND(NOT(AND(AU232=1,AT232&lt;&gt;1)),ISNUMBER(AK232),AK232&lt;=(C232+T232)),AY232,0),IF(AND(NOT(AND(AU232=1,AT232&lt;&gt;1)),ISNUMBER(AL232),AL232&lt;=(C232+T232)),AZ232,0),IF(AND(NOT(AND(AU232=1,AT232&lt;&gt;1)),ISNUMBER(AM232),AM232&lt;=(C232+T232)),BA232,0),IF(AND(NOT(AND(AU232=1,AT232&lt;&gt;1)),ISNUMBER(AN232),AN232&lt;=(C232+T232)),BB232,0),IF(AND(ISNUMBER(AO232),AO232&lt;=(C232+T232)),BC232,0))&lt;=0,"",IF(AND(IF(AND(NOT(AND(AU232=1,AT232&lt;&gt;1)),ISNUMBER(AK232),AK232&lt;=(C232+T232)),AY232,0)&gt;0,IF(AND(NOT(AND(AU232=1,AT232&lt;&gt;1)),ISNUMBER(AK232),AK232&lt;=(C232+T232)),AY232,0)=MAX(IF(AND(NOT(AND(AU232=1,AT232&lt;&gt;1)),ISNUMBER(AK232),AK232&lt;=(C232+T232)),AY232,0),IF(AND(NOT(AND(AU232=1,AT232&lt;&gt;1)),ISNUMBER(AL232),AL232&lt;=(C232+T232)),AZ232,0),IF(AND(NOT(AND(AU232=1,AT232&lt;&gt;1)),ISNUMBER(AM232),AM232&lt;=(C232+T232)),BA232,0),IF(AND(NOT(AND(AU232=1,AT232&lt;&gt;1)),ISNUMBER(AN232),AN232&lt;=(C232+T232)),BB232,0),IF(AND(ISNUMBER(AO232),AO232&lt;=(C232+T232)),BC232,0))),"SK",IF(AND(IF(AND(NOT(AND(AU232=1,AT232&lt;&gt;1)),ISNUMBER(AL232),AL232&lt;=(C232+T232)),AZ232,0)&gt;0,IF(AND(NOT(AND(AU232=1,AT232&lt;&gt;1)),ISNUMBER(AL232),AL232&lt;=(C232+T232)),AZ232,0)=MAX(IF(AND(NOT(AND(AU232=1,AT232&lt;&gt;1)),ISNUMBER(AK232),AK232&lt;=(C232+T232)),AY232,0),IF(AND(NOT(AND(AU232=1,AT232&lt;&gt;1)),ISNUMBER(AL232),AL232&lt;=(C232+T232)),AZ232,0),IF(AND(NOT(AND(AU232=1,AT232&lt;&gt;1)),ISNUMBER(AM232),AM232&lt;=(C232+T232)),BA232,0),IF(AND(NOT(AND(AU232=1,AT232&lt;&gt;1)),ISNUMBER(AN232),AN232&lt;=(C232+T232)),BB232,0),IF(AND(ISNUMBER(AO232),AO232&lt;=(C232+T232)),BC232,0))),"LB",IF(AND(IF(AND(NOT(AND(AU232=1,AT232&lt;&gt;1)),ISNUMBER(AM232),AM232&lt;=(C232+T232)),BA232,0)&gt;0,IF(AND(NOT(AND(AU232=1,AT232&lt;&gt;1)),ISNUMBER(AM232),AM232&lt;=(C232+T232)),BA232,0)=MAX(IF(AND(NOT(AND(AU232=1,AT232&lt;&gt;1)),ISNUMBER(AK232),AK232&lt;=(C232+T232)),AY232,0),IF(AND(NOT(AND(AU232=1,AT232&lt;&gt;1)),ISNUMBER(AL232),AL232&lt;=(C232+T232)),AZ232,0),IF(AND(NOT(AND(AU232=1,AT232&lt;&gt;1)),ISNUMBER(AM232),AM232&lt;=(C232+T232)),BA232,0),IF(AND(NOT(AND(AU232=1,AT232&lt;&gt;1)),ISNUMBER(AN232),AN232&lt;=(C232+T232)),BB232,0),IF(AND(ISNUMBER(AO232),AO232&lt;=(C232+T232)),BC232,0))),"ML",IF(AND(IF(AND(NOT(AND(AU232=1,AT232&lt;&gt;1)),ISNUMBER(AN232),AN232&lt;=(C232+T232)),BB232,0)&gt;0,IF(AND(NOT(AND(AU232=1,AT232&lt;&gt;1)),ISNUMBER(AN232),AN232&lt;=(C232+T232)),BB232,0)=MAX(IF(AND(NOT(AND(AU232=1,AT232&lt;&gt;1)),ISNUMBER(AK232),AK232&lt;=(C232+T232)),AY232,0),IF(AND(NOT(AND(AU232=1,AT232&lt;&gt;1)),ISNUMBER(AL232),AL232&lt;=(C232+T232)),AZ232,0),IF(AND(NOT(AND(AU232=1,AT232&lt;&gt;1)),ISNUMBER(AM232),AM232&lt;=(C232+T232)),BA232,0),IF(AND(NOT(AND(AU232=1,AT232&lt;&gt;1)),ISNUMBER(AN232),AN232&lt;=(C232+T232)),BB232,0),IF(AND(ISNUMBER(AO232),AO232&lt;=(C232+T232)),BC232,0))),"RLO","BD"))))))))</f>
        <v/>
      </c>
    </row>
    <row r="233">
      <c r="A233" s="26" t="n">
        <v>222</v>
      </c>
      <c r="B233" s="27">
        <f>A233*10/60</f>
        <v/>
      </c>
      <c r="C233" s="22">
        <f>X232</f>
        <v/>
      </c>
      <c r="D233" s="27">
        <f>D232+W232</f>
        <v/>
      </c>
      <c r="E233" s="26">
        <f>E232+IF(U232="SK",1,0)</f>
        <v/>
      </c>
      <c r="F233" s="26">
        <f>F232+IF(U232="LB",1,0)</f>
        <v/>
      </c>
      <c r="G233" s="26">
        <f>G232+IF(U232="ML",1,0)</f>
        <v/>
      </c>
      <c r="H233" s="26">
        <f>H232+IF(U232="RLO",1,0)</f>
        <v/>
      </c>
      <c r="I233" s="26">
        <f>I232+IF(U232="BD",1,0)</f>
        <v/>
      </c>
      <c r="J233" s="26">
        <f>MAX(J232,IF(U232="BiP",1,0))</f>
        <v/>
      </c>
      <c r="K233" s="26">
        <f>MAX(K232,IF(U232="PV",1,0))</f>
        <v/>
      </c>
      <c r="L233" s="26">
        <f>MAX(L232,IF(U232="OC",1,0))</f>
        <v/>
      </c>
      <c r="M233" s="26">
        <f>MAX(M232,IF(U232="MG",1,0))</f>
        <v/>
      </c>
      <c r="N233" s="26">
        <f>MAX(N232,IF(U232="transition",1,0))</f>
        <v/>
      </c>
      <c r="O233" s="28">
        <f>(Parameters!$B$9+(IF(E233=0,0,(Upgrades!$J$13+E233*Upgrades!$K$13)*POWER(Upgrades!$L$13,E233)))*(IF(Upgrades!$T$14="Stellar Kinematics",POWER(Upgrades!$U$14,F233),1)*IF(Upgrades!$T$15="Stellar Kinematics",POWER(Upgrades!$U$15,G233),1)*IF(Upgrades!$T$16="Stellar Kinematics",POWER(Upgrades!$U$16,H233),1)*IF(Upgrades!$T$17="Stellar Kinematics",POWER(Upgrades!$U$17,I233),1)*IF(Upgrades!$T$18="Stellar Kinematics",POWER(Upgrades!$U$18,J233),1)*IF(Upgrades!$T$19="Stellar Kinematics",POWER(Upgrades!$U$19,K233),1)*IF(Upgrades!$T$20="Stellar Kinematics",POWER(Upgrades!$U$20,L233),1)*IF(Upgrades!$T$21="Stellar Kinematics",POWER(Upgrades!$U$21,M233),1))+(IF(F233=0,0,(Upgrades!$J$14+F233*Upgrades!$K$14)*POWER(Upgrades!$L$14,F233)))*(IF(Upgrades!$T$13="Local Bubble",POWER(Upgrades!$U$13,E233),1)*IF(Upgrades!$T$15="Local Bubble",POWER(Upgrades!$U$15,G233),1)*IF(Upgrades!$T$16="Local Bubble",POWER(Upgrades!$U$16,H233),1)*IF(Upgrades!$T$17="Local Bubble",POWER(Upgrades!$U$17,I233),1)*IF(Upgrades!$T$18="Local Bubble",POWER(Upgrades!$U$18,J233),1)*IF(Upgrades!$T$19="Local Bubble",POWER(Upgrades!$U$19,K233),1)*IF(Upgrades!$T$20="Local Bubble",POWER(Upgrades!$U$20,L233),1)*IF(Upgrades!$T$21="Local Bubble",POWER(Upgrades!$U$21,M233),1))+(IF(G233=0,0,(Upgrades!$J$15+G233*Upgrades!$K$15)*POWER(Upgrades!$L$15,G233)))*(IF(Upgrades!$T$13="Microlensing",POWER(Upgrades!$U$13,E233),1)*IF(Upgrades!$T$14="Microlensing",POWER(Upgrades!$U$14,F233),1)*IF(Upgrades!$T$16="Microlensing",POWER(Upgrades!$U$16,H233),1)*IF(Upgrades!$T$17="Microlensing",POWER(Upgrades!$U$17,I233),1)*IF(Upgrades!$T$18="Microlensing",POWER(Upgrades!$U$18,J233),1)*IF(Upgrades!$T$19="Microlensing",POWER(Upgrades!$U$19,K233),1)*IF(Upgrades!$T$20="Microlensing",POWER(Upgrades!$U$20,L233),1)*IF(Upgrades!$T$21="Microlensing",POWER(Upgrades!$U$21,M233),1))+(IF(H233=0,0,(Upgrades!$J$16+H233*Upgrades!$K$16)*POWER(Upgrades!$L$16,H233)))*(IF(Upgrades!$T$13="Roche Lobe Overflow",POWER(Upgrades!$U$13,E233),1)*IF(Upgrades!$T$14="Roche Lobe Overflow",POWER(Upgrades!$U$14,F233),1)*IF(Upgrades!$T$15="Roche Lobe Overflow",POWER(Upgrades!$U$15,G233),1)*IF(Upgrades!$T$17="Roche Lobe Overflow",POWER(Upgrades!$U$17,I233),1)*IF(Upgrades!$T$18="Roche Lobe Overflow",POWER(Upgrades!$U$18,J233),1)*IF(Upgrades!$T$19="Roche Lobe Overflow",POWER(Upgrades!$U$19,K233),1)*IF(Upgrades!$T$20="Roche Lobe Overflow",POWER(Upgrades!$U$20,L233),1)*IF(Upgrades!$T$21="Roche Lobe Overflow",POWER(Upgrades!$U$21,M233),1))+(IF(I233=0,0,(Upgrades!$J$17+I233*Upgrades!$K$17)*POWER(Upgrades!$L$17,I233)))*(IF(Upgrades!$T$13="Brown Dwarf",POWER(Upgrades!$U$13,E233),1)*IF(Upgrades!$T$14="Brown Dwarf",POWER(Upgrades!$U$14,F233),1)*IF(Upgrades!$T$15="Brown Dwarf",POWER(Upgrades!$U$15,G233),1)*IF(Upgrades!$T$16="Brown Dwarf",POWER(Upgrades!$U$16,H233),1)*IF(Upgrades!$T$18="Brown Dwarf",POWER(Upgrades!$U$18,J233),1)*IF(Upgrades!$T$19="Brown Dwarf",POWER(Upgrades!$U$19,K233),1)*IF(Upgrades!$T$20="Brown Dwarf",POWER(Upgrades!$U$20,L233),1)*IF(Upgrades!$T$21="Brown Dwarf",POWER(Upgrades!$U$21,M233),1))+(IF(J233=0,0,(Upgrades!$J$18+J233*Upgrades!$K$18)*POWER(Upgrades!$L$18,J233)))*(IF(Upgrades!$T$13="Binary Partner",POWER(Upgrades!$U$13,E233),1)*IF(Upgrades!$T$14="Binary Partner",POWER(Upgrades!$U$14,F233),1)*IF(Upgrades!$T$15="Binary Partner",POWER(Upgrades!$U$15,G233),1)*IF(Upgrades!$T$16="Binary Partner",POWER(Upgrades!$U$16,H233),1)*IF(Upgrades!$T$17="Binary Partner",POWER(Upgrades!$U$17,I233),1)*IF(Upgrades!$T$19="Binary Partner",POWER(Upgrades!$U$19,K233),1)*IF(Upgrades!$T$20="Binary Partner",POWER(Upgrades!$U$20,L233),1)*IF(Upgrades!$T$21="Binary Partner",POWER(Upgrades!$U$21,M233),1))+(IF(K233=0,0,(Upgrades!$J$19+K233*Upgrades!$K$19)*POWER(Upgrades!$L$19,K233)))*(IF(Upgrades!$T$13="Peculiar Velocity",POWER(Upgrades!$U$13,E233),1)*IF(Upgrades!$T$14="Peculiar Velocity",POWER(Upgrades!$U$14,F233),1)*IF(Upgrades!$T$15="Peculiar Velocity",POWER(Upgrades!$U$15,G233),1)*IF(Upgrades!$T$16="Peculiar Velocity",POWER(Upgrades!$U$16,H233),1)*IF(Upgrades!$T$17="Peculiar Velocity",POWER(Upgrades!$U$17,I233),1)*IF(Upgrades!$T$18="Peculiar Velocity",POWER(Upgrades!$U$18,J233),1)*IF(Upgrades!$T$20="Peculiar Velocity",POWER(Upgrades!$U$20,L233),1)*IF(Upgrades!$T$21="Peculiar Velocity",POWER(Upgrades!$U$21,M233),1))+(IF(L233=0,0,(Upgrades!$J$20+L233*Upgrades!$K$20)*POWER(Upgrades!$L$20,L233)))*(IF(Upgrades!$T$13="Open Cluster",POWER(Upgrades!$U$13,E233),1)*IF(Upgrades!$T$14="Open Cluster",POWER(Upgrades!$U$14,F233),1)*IF(Upgrades!$T$15="Open Cluster",POWER(Upgrades!$U$15,G233),1)*IF(Upgrades!$T$16="Open Cluster",POWER(Upgrades!$U$16,H233),1)*IF(Upgrades!$T$17="Open Cluster",POWER(Upgrades!$U$17,I233),1)*IF(Upgrades!$T$18="Open Cluster",POWER(Upgrades!$U$18,J233),1)*IF(Upgrades!$T$19="Open Cluster",POWER(Upgrades!$U$19,K233),1)*IF(Upgrades!$T$21="Open Cluster",POWER(Upgrades!$U$21,M233),1))+(IF(M233=0,0,(Upgrades!$J$21+M233*Upgrades!$K$21)*POWER(Upgrades!$L$21,M233)))*(IF(Upgrades!$T$13="Moving Group",POWER(Upgrades!$U$13,E233),1)*IF(Upgrades!$T$14="Moving Group",POWER(Upgrades!$U$14,F233),1)*IF(Upgrades!$T$15="Moving Group",POWER(Upgrades!$U$15,G233),1)*IF(Upgrades!$T$16="Moving Group",POWER(Upgrades!$U$16,H233),1)*IF(Upgrades!$T$17="Moving Group",POWER(Upgrades!$U$17,I233),1)*IF(Upgrades!$T$18="Moving Group",POWER(Upgrades!$U$18,J233),1)*IF(Upgrades!$T$19="Moving Group",POWER(Upgrades!$U$19,K233),1)*IF(Upgrades!$T$20="Moving Group",POWER(Upgrades!$U$20,L233),1)))*POWER(Upgrades!$Q$13,E233)*POWER(Upgrades!$Q$14,F233)*POWER(Upgrades!$Q$15,G233)*POWER(Upgrades!$Q$16,H233)*POWER(Upgrades!$Q$17,I233)*POWER(Upgrades!$Q$18,J233)*POWER(Upgrades!$Q$19,K233)*POWER(Upgrades!$Q$20,L233)*POWER(Upgrades!$Q$21,M233)*$G$6+$D$6</f>
        <v/>
      </c>
      <c r="P233" s="28">
        <f>((IF(E233=0,0,(Upgrades!$G$13+E233*Upgrades!$H$13)*POWER(Upgrades!$I$13,E233)))*(IF(Upgrades!$T$14="Stellar Kinematics",POWER(Upgrades!$U$14,F233),1)*IF(Upgrades!$T$15="Stellar Kinematics",POWER(Upgrades!$U$15,G233),1)*IF(Upgrades!$T$16="Stellar Kinematics",POWER(Upgrades!$U$16,H233),1)*IF(Upgrades!$T$17="Stellar Kinematics",POWER(Upgrades!$U$17,I233),1)*IF(Upgrades!$T$18="Stellar Kinematics",POWER(Upgrades!$U$18,J233),1)*IF(Upgrades!$T$19="Stellar Kinematics",POWER(Upgrades!$U$19,K233),1)*IF(Upgrades!$T$20="Stellar Kinematics",POWER(Upgrades!$U$20,L233),1)*IF(Upgrades!$T$21="Stellar Kinematics",POWER(Upgrades!$U$21,M233),1))+(IF(F233=0,0,(Upgrades!$G$14+F233*Upgrades!$H$14)*POWER(Upgrades!$I$14,F233)))*(IF(Upgrades!$T$13="Local Bubble",POWER(Upgrades!$U$13,E233),1)*IF(Upgrades!$T$15="Local Bubble",POWER(Upgrades!$U$15,G233),1)*IF(Upgrades!$T$16="Local Bubble",POWER(Upgrades!$U$16,H233),1)*IF(Upgrades!$T$17="Local Bubble",POWER(Upgrades!$U$17,I233),1)*IF(Upgrades!$T$18="Local Bubble",POWER(Upgrades!$U$18,J233),1)*IF(Upgrades!$T$19="Local Bubble",POWER(Upgrades!$U$19,K233),1)*IF(Upgrades!$T$20="Local Bubble",POWER(Upgrades!$U$20,L233),1)*IF(Upgrades!$T$21="Local Bubble",POWER(Upgrades!$U$21,M233),1))+(IF(G233=0,0,(Upgrades!$G$15+G233*Upgrades!$H$15)*POWER(Upgrades!$I$15,G233)))*(IF(Upgrades!$T$13="Microlensing",POWER(Upgrades!$U$13,E233),1)*IF(Upgrades!$T$14="Microlensing",POWER(Upgrades!$U$14,F233),1)*IF(Upgrades!$T$16="Microlensing",POWER(Upgrades!$U$16,H233),1)*IF(Upgrades!$T$17="Microlensing",POWER(Upgrades!$U$17,I233),1)*IF(Upgrades!$T$18="Microlensing",POWER(Upgrades!$U$18,J233),1)*IF(Upgrades!$T$19="Microlensing",POWER(Upgrades!$U$19,K233),1)*IF(Upgrades!$T$20="Microlensing",POWER(Upgrades!$U$20,L233),1)*IF(Upgrades!$T$21="Microlensing",POWER(Upgrades!$U$21,M233),1))+(IF(H233=0,0,(Upgrades!$G$16+H233*Upgrades!$H$16)*POWER(Upgrades!$I$16,H233)))*(IF(Upgrades!$T$13="Roche Lobe Overflow",POWER(Upgrades!$U$13,E233),1)*IF(Upgrades!$T$14="Roche Lobe Overflow",POWER(Upgrades!$U$14,F233),1)*IF(Upgrades!$T$15="Roche Lobe Overflow",POWER(Upgrades!$U$15,G233),1)*IF(Upgrades!$T$17="Roche Lobe Overflow",POWER(Upgrades!$U$17,I233),1)*IF(Upgrades!$T$18="Roche Lobe Overflow",POWER(Upgrades!$U$18,J233),1)*IF(Upgrades!$T$19="Roche Lobe Overflow",POWER(Upgrades!$U$19,K233),1)*IF(Upgrades!$T$20="Roche Lobe Overflow",POWER(Upgrades!$U$20,L233),1)*IF(Upgrades!$T$21="Roche Lobe Overflow",POWER(Upgrades!$U$21,M233),1))+(IF(I233=0,0,(Upgrades!$G$17+I233*Upgrades!$H$17)*POWER(Upgrades!$I$17,I233)))*(IF(Upgrades!$T$13="Brown Dwarf",POWER(Upgrades!$U$13,E233),1)*IF(Upgrades!$T$14="Brown Dwarf",POWER(Upgrades!$U$14,F233),1)*IF(Upgrades!$T$15="Brown Dwarf",POWER(Upgrades!$U$15,G233),1)*IF(Upgrades!$T$16="Brown Dwarf",POWER(Upgrades!$U$16,H233),1)*IF(Upgrades!$T$18="Brown Dwarf",POWER(Upgrades!$U$18,J233),1)*IF(Upgrades!$T$19="Brown Dwarf",POWER(Upgrades!$U$19,K233),1)*IF(Upgrades!$T$20="Brown Dwarf",POWER(Upgrades!$U$20,L233),1)*IF(Upgrades!$T$21="Brown Dwarf",POWER(Upgrades!$U$21,M233),1))+(IF(J233=0,0,(Upgrades!$G$18+J233*Upgrades!$H$18)*POWER(Upgrades!$I$18,J233)))*(IF(Upgrades!$T$13="Binary Partner",POWER(Upgrades!$U$13,E233),1)*IF(Upgrades!$T$14="Binary Partner",POWER(Upgrades!$U$14,F233),1)*IF(Upgrades!$T$15="Binary Partner",POWER(Upgrades!$U$15,G233),1)*IF(Upgrades!$T$16="Binary Partner",POWER(Upgrades!$U$16,H233),1)*IF(Upgrades!$T$17="Binary Partner",POWER(Upgrades!$U$17,I233),1)*IF(Upgrades!$T$19="Binary Partner",POWER(Upgrades!$U$19,K233),1)*IF(Upgrades!$T$20="Binary Partner",POWER(Upgrades!$U$20,L233),1)*IF(Upgrades!$T$21="Binary Partner",POWER(Upgrades!$U$21,M233),1))+(IF(K233=0,0,(Upgrades!$G$19+K233*Upgrades!$H$19)*POWER(Upgrades!$I$19,K233)))*(IF(Upgrades!$T$13="Peculiar Velocity",POWER(Upgrades!$U$13,E233),1)*IF(Upgrades!$T$14="Peculiar Velocity",POWER(Upgrades!$U$14,F233),1)*IF(Upgrades!$T$15="Peculiar Velocity",POWER(Upgrades!$U$15,G233),1)*IF(Upgrades!$T$16="Peculiar Velocity",POWER(Upgrades!$U$16,H233),1)*IF(Upgrades!$T$17="Peculiar Velocity",POWER(Upgrades!$U$17,I233),1)*IF(Upgrades!$T$18="Peculiar Velocity",POWER(Upgrades!$U$18,J233),1)*IF(Upgrades!$T$20="Peculiar Velocity",POWER(Upgrades!$U$20,L233),1)*IF(Upgrades!$T$21="Peculiar Velocity",POWER(Upgrades!$U$21,M233),1))+(IF(L233=0,0,(Upgrades!$G$20+L233*Upgrades!$H$20)*POWER(Upgrades!$I$20,L233)))*(IF(Upgrades!$T$13="Open Cluster",POWER(Upgrades!$U$13,E233),1)*IF(Upgrades!$T$14="Open Cluster",POWER(Upgrades!$U$14,F233),1)*IF(Upgrades!$T$15="Open Cluster",POWER(Upgrades!$U$15,G233),1)*IF(Upgrades!$T$16="Open Cluster",POWER(Upgrades!$U$16,H233),1)*IF(Upgrades!$T$17="Open Cluster",POWER(Upgrades!$U$17,I233),1)*IF(Upgrades!$T$18="Open Cluster",POWER(Upgrades!$U$18,J233),1)*IF(Upgrades!$T$19="Open Cluster",POWER(Upgrades!$U$19,K233),1)*IF(Upgrades!$T$21="Open Cluster",POWER(Upgrades!$U$21,M233),1))+(IF(M233=0,0,(Upgrades!$G$21+M233*Upgrades!$H$21)*POWER(Upgrades!$I$21,M233)))*(IF(Upgrades!$T$13="Moving Group",POWER(Upgrades!$U$13,E233),1)*IF(Upgrades!$T$14="Moving Group",POWER(Upgrades!$U$14,F233),1)*IF(Upgrades!$T$15="Moving Group",POWER(Upgrades!$U$15,G233),1)*IF(Upgrades!$T$16="Moving Group",POWER(Upgrades!$U$16,H233),1)*IF(Upgrades!$T$17="Moving Group",POWER(Upgrades!$U$17,I233),1)*IF(Upgrades!$T$18="Moving Group",POWER(Upgrades!$U$18,J233),1)*IF(Upgrades!$T$19="Moving Group",POWER(Upgrades!$U$19,K233),1)*IF(Upgrades!$T$20="Moving Group",POWER(Upgrades!$U$20,L233),1)))*POWER(Upgrades!$P$13,E233)*POWER(Upgrades!$P$14,F233)*POWER(Upgrades!$P$15,G233)*POWER(Upgrades!$P$16,H233)*POWER(Upgrades!$P$17,I233)*POWER(Upgrades!$P$18,J233)*POWER(Upgrades!$P$19,K233)*POWER(Upgrades!$P$20,L233)*POWER(Upgrades!$P$21,M233)*$F$6+$C$6</f>
        <v/>
      </c>
      <c r="Q233" s="28">
        <f>((IF(E233=0,0,(Upgrades!$M$13+E233*Upgrades!$N$13)*POWER(Upgrades!$O$13,E233)))*(IF(Upgrades!$T$14="Stellar Kinematics",POWER(Upgrades!$U$14,F233),1)*IF(Upgrades!$T$15="Stellar Kinematics",POWER(Upgrades!$U$15,G233),1)*IF(Upgrades!$T$16="Stellar Kinematics",POWER(Upgrades!$U$16,H233),1)*IF(Upgrades!$T$17="Stellar Kinematics",POWER(Upgrades!$U$17,I233),1)*IF(Upgrades!$T$18="Stellar Kinematics",POWER(Upgrades!$U$18,J233),1)*IF(Upgrades!$T$19="Stellar Kinematics",POWER(Upgrades!$U$19,K233),1)*IF(Upgrades!$T$20="Stellar Kinematics",POWER(Upgrades!$U$20,L233),1)*IF(Upgrades!$T$21="Stellar Kinematics",POWER(Upgrades!$U$21,M233),1))+(IF(F233=0,0,(Upgrades!$M$14+F233*Upgrades!$N$14)*POWER(Upgrades!$O$14,F233)))*(IF(Upgrades!$T$13="Local Bubble",POWER(Upgrades!$U$13,E233),1)*IF(Upgrades!$T$15="Local Bubble",POWER(Upgrades!$U$15,G233),1)*IF(Upgrades!$T$16="Local Bubble",POWER(Upgrades!$U$16,H233),1)*IF(Upgrades!$T$17="Local Bubble",POWER(Upgrades!$U$17,I233),1)*IF(Upgrades!$T$18="Local Bubble",POWER(Upgrades!$U$18,J233),1)*IF(Upgrades!$T$19="Local Bubble",POWER(Upgrades!$U$19,K233),1)*IF(Upgrades!$T$20="Local Bubble",POWER(Upgrades!$U$20,L233),1)*IF(Upgrades!$T$21="Local Bubble",POWER(Upgrades!$U$21,M233),1))+(IF(G233=0,0,(Upgrades!$M$15+G233*Upgrades!$N$15)*POWER(Upgrades!$O$15,G233)))*(IF(Upgrades!$T$13="Microlensing",POWER(Upgrades!$U$13,E233),1)*IF(Upgrades!$T$14="Microlensing",POWER(Upgrades!$U$14,F233),1)*IF(Upgrades!$T$16="Microlensing",POWER(Upgrades!$U$16,H233),1)*IF(Upgrades!$T$17="Microlensing",POWER(Upgrades!$U$17,I233),1)*IF(Upgrades!$T$18="Microlensing",POWER(Upgrades!$U$18,J233),1)*IF(Upgrades!$T$19="Microlensing",POWER(Upgrades!$U$19,K233),1)*IF(Upgrades!$T$20="Microlensing",POWER(Upgrades!$U$20,L233),1)*IF(Upgrades!$T$21="Microlensing",POWER(Upgrades!$U$21,M233),1))+(IF(H233=0,0,(Upgrades!$M$16+H233*Upgrades!$N$16)*POWER(Upgrades!$O$16,H233)))*(IF(Upgrades!$T$13="Roche Lobe Overflow",POWER(Upgrades!$U$13,E233),1)*IF(Upgrades!$T$14="Roche Lobe Overflow",POWER(Upgrades!$U$14,F233),1)*IF(Upgrades!$T$15="Roche Lobe Overflow",POWER(Upgrades!$U$15,G233),1)*IF(Upgrades!$T$17="Roche Lobe Overflow",POWER(Upgrades!$U$17,I233),1)*IF(Upgrades!$T$18="Roche Lobe Overflow",POWER(Upgrades!$U$18,J233),1)*IF(Upgrades!$T$19="Roche Lobe Overflow",POWER(Upgrades!$U$19,K233),1)*IF(Upgrades!$T$20="Roche Lobe Overflow",POWER(Upgrades!$U$20,L233),1)*IF(Upgrades!$T$21="Roche Lobe Overflow",POWER(Upgrades!$U$21,M233),1))+(IF(I233=0,0,(Upgrades!$M$17+I233*Upgrades!$N$17)*POWER(Upgrades!$O$17,I233)))*(IF(Upgrades!$T$13="Brown Dwarf",POWER(Upgrades!$U$13,E233),1)*IF(Upgrades!$T$14="Brown Dwarf",POWER(Upgrades!$U$14,F233),1)*IF(Upgrades!$T$15="Brown Dwarf",POWER(Upgrades!$U$15,G233),1)*IF(Upgrades!$T$16="Brown Dwarf",POWER(Upgrades!$U$16,H233),1)*IF(Upgrades!$T$18="Brown Dwarf",POWER(Upgrades!$U$18,J233),1)*IF(Upgrades!$T$19="Brown Dwarf",POWER(Upgrades!$U$19,K233),1)*IF(Upgrades!$T$20="Brown Dwarf",POWER(Upgrades!$U$20,L233),1)*IF(Upgrades!$T$21="Brown Dwarf",POWER(Upgrades!$U$21,M233),1))+(IF(J233=0,0,(Upgrades!$M$18+J233*Upgrades!$N$18)*POWER(Upgrades!$O$18,J233)))*(IF(Upgrades!$T$13="Binary Partner",POWER(Upgrades!$U$13,E233),1)*IF(Upgrades!$T$14="Binary Partner",POWER(Upgrades!$U$14,F233),1)*IF(Upgrades!$T$15="Binary Partner",POWER(Upgrades!$U$15,G233),1)*IF(Upgrades!$T$16="Binary Partner",POWER(Upgrades!$U$16,H233),1)*IF(Upgrades!$T$17="Binary Partner",POWER(Upgrades!$U$17,I233),1)*IF(Upgrades!$T$19="Binary Partner",POWER(Upgrades!$U$19,K233),1)*IF(Upgrades!$T$20="Binary Partner",POWER(Upgrades!$U$20,L233),1)*IF(Upgrades!$T$21="Binary Partner",POWER(Upgrades!$U$21,M233),1))+(IF(K233=0,0,(Upgrades!$M$19+K233*Upgrades!$N$19)*POWER(Upgrades!$O$19,K233)))*(IF(Upgrades!$T$13="Peculiar Velocity",POWER(Upgrades!$U$13,E233),1)*IF(Upgrades!$T$14="Peculiar Velocity",POWER(Upgrades!$U$14,F233),1)*IF(Upgrades!$T$15="Peculiar Velocity",POWER(Upgrades!$U$15,G233),1)*IF(Upgrades!$T$16="Peculiar Velocity",POWER(Upgrades!$U$16,H233),1)*IF(Upgrades!$T$17="Peculiar Velocity",POWER(Upgrades!$U$17,I233),1)*IF(Upgrades!$T$18="Peculiar Velocity",POWER(Upgrades!$U$18,J233),1)*IF(Upgrades!$T$20="Peculiar Velocity",POWER(Upgrades!$U$20,L233),1)*IF(Upgrades!$T$21="Peculiar Velocity",POWER(Upgrades!$U$21,M233),1))+(IF(L233=0,0,(Upgrades!$M$20+L233*Upgrades!$N$20)*POWER(Upgrades!$O$20,L233)))*(IF(Upgrades!$T$13="Open Cluster",POWER(Upgrades!$U$13,E233),1)*IF(Upgrades!$T$14="Open Cluster",POWER(Upgrades!$U$14,F233),1)*IF(Upgrades!$T$15="Open Cluster",POWER(Upgrades!$U$15,G233),1)*IF(Upgrades!$T$16="Open Cluster",POWER(Upgrades!$U$16,H233),1)*IF(Upgrades!$T$17="Open Cluster",POWER(Upgrades!$U$17,I233),1)*IF(Upgrades!$T$18="Open Cluster",POWER(Upgrades!$U$18,J233),1)*IF(Upgrades!$T$19="Open Cluster",POWER(Upgrades!$U$19,K233),1)*IF(Upgrades!$T$21="Open Cluster",POWER(Upgrades!$U$21,M233),1))+(IF(M233=0,0,(Upgrades!$M$21+M233*Upgrades!$N$21)*POWER(Upgrades!$O$21,M233)))*(IF(Upgrades!$T$13="Moving Group",POWER(Upgrades!$U$13,E233),1)*IF(Upgrades!$T$14="Moving Group",POWER(Upgrades!$U$14,F233),1)*IF(Upgrades!$T$15="Moving Group",POWER(Upgrades!$U$15,G233),1)*IF(Upgrades!$T$16="Moving Group",POWER(Upgrades!$U$16,H233),1)*IF(Upgrades!$T$17="Moving Group",POWER(Upgrades!$U$17,I233),1)*IF(Upgrades!$T$18="Moving Group",POWER(Upgrades!$U$18,J233),1)*IF(Upgrades!$T$19="Moving Group",POWER(Upgrades!$U$19,K233),1)*IF(Upgrades!$T$20="Moving Group",POWER(Upgrades!$U$20,L233),1)))*POWER(Upgrades!$R$13,E233)*POWER(Upgrades!$R$14,F233)*POWER(Upgrades!$R$15,G233)*POWER(Upgrades!$R$16,H233)*POWER(Upgrades!$R$17,I233)*POWER(Upgrades!$R$18,J233)*POWER(Upgrades!$R$19,K233)*POWER(Upgrades!$R$20,L233)*POWER(Upgrades!$R$21,M233)*$H$6+$E$6</f>
        <v/>
      </c>
      <c r="R233" s="27">
        <f>IF(N233=1,0,O233*Parameters!$B$10/60*Parameters!$B$11*10)</f>
        <v/>
      </c>
      <c r="S233" s="27">
        <f>IF(N233=1,0,Q233*O233*10)</f>
        <v/>
      </c>
      <c r="T233" s="27">
        <f>IF(N233=1,0,R233+S233+P233*10)</f>
        <v/>
      </c>
      <c r="U233" s="33">
        <f>BE233</f>
        <v/>
      </c>
      <c r="V233" s="22">
        <f>IF(U233="",0,IF(U233="transition",0,IF(U233="SK",AK233,IF(U233="LB",AL233,IF(U233="ML",AM233,IF(U233="RLO",AN233,IF(U233="BD",AO233,IF(U233="BiP",AP233,IF(U233="PV",AQ233,IF(U233="OC",AR233,IF(U233="MG",AS233,0))))))))))</f>
        <v/>
      </c>
      <c r="W233" s="27">
        <f>IF(U233="BiP",Upgrades!$F$18,IF(U233="PV",Upgrades!$F$19,IF(U233="OC",Upgrades!$F$20,IF(U233="MG",Upgrades!$F$21,IF(U233="transition",-Parameters!$B$18*Parameters!$B$19,0)))))</f>
        <v/>
      </c>
      <c r="X233" s="22">
        <f>C233+T233-V233</f>
        <v/>
      </c>
      <c r="Y233" s="30">
        <f>O233*Parameters!$B$10/60*Parameters!$B$11+Q233*O233+P233</f>
        <v/>
      </c>
      <c r="Z233" s="34">
        <f>IF(U233="transition","→ Tier 3 (Galactic Arm)",IF(U233="MG","Moving Group — pocket drifts together",IF(U233="OC","Open Cluster acquired",IF(U233="PV","Peculiar Velocity — passive multiplier active",IF(U233="BiP","Binary Partner — pair bond formed",IF(AND(AU233=1,N233=0,AT233&lt;&gt;1),"Cohesion ready (waiting on completionists)","")))))) </f>
        <v/>
      </c>
      <c r="AA233" s="27">
        <f>(IF(E233=0,0,(Upgrades!$G$13+E233*Upgrades!$H$13)*POWER(Upgrades!$I$13,E233)))*(IF(Upgrades!$T$14="Stellar Kinematics",POWER(Upgrades!$U$14,F233),1)*IF(Upgrades!$T$15="Stellar Kinematics",POWER(Upgrades!$U$15,G233),1)*IF(Upgrades!$T$16="Stellar Kinematics",POWER(Upgrades!$U$16,H233),1)*IF(Upgrades!$T$17="Stellar Kinematics",POWER(Upgrades!$U$17,I233),1)*IF(Upgrades!$T$18="Stellar Kinematics",POWER(Upgrades!$U$18,J233),1)*IF(Upgrades!$T$19="Stellar Kinematics",POWER(Upgrades!$U$19,K233),1)*IF(Upgrades!$T$20="Stellar Kinematics",POWER(Upgrades!$U$20,L233),1)*IF(Upgrades!$T$21="Stellar Kinematics",POWER(Upgrades!$U$21,M233),1))*POWER(Upgrades!$P$13,E233)*POWER(Upgrades!$P$14,F233)*POWER(Upgrades!$P$15,G233)*POWER(Upgrades!$P$16,H233)*POWER(Upgrades!$P$17,I233)*POWER(Upgrades!$P$18,J233)*POWER(Upgrades!$P$19,K233)*POWER(Upgrades!$P$20,L233)*POWER(Upgrades!$P$21,M233)*$F$6*60</f>
        <v/>
      </c>
      <c r="AB233" s="27">
        <f>(IF(F233=0,0,(Upgrades!$G$14+F233*Upgrades!$H$14)*POWER(Upgrades!$I$14,F233)))*(IF(Upgrades!$T$13="Local Bubble",POWER(Upgrades!$U$13,E233),1)*IF(Upgrades!$T$15="Local Bubble",POWER(Upgrades!$U$15,G233),1)*IF(Upgrades!$T$16="Local Bubble",POWER(Upgrades!$U$16,H233),1)*IF(Upgrades!$T$17="Local Bubble",POWER(Upgrades!$U$17,I233),1)*IF(Upgrades!$T$18="Local Bubble",POWER(Upgrades!$U$18,J233),1)*IF(Upgrades!$T$19="Local Bubble",POWER(Upgrades!$U$19,K233),1)*IF(Upgrades!$T$20="Local Bubble",POWER(Upgrades!$U$20,L233),1)*IF(Upgrades!$T$21="Local Bubble",POWER(Upgrades!$U$21,M233),1))*POWER(Upgrades!$P$13,E233)*POWER(Upgrades!$P$14,F233)*POWER(Upgrades!$P$15,G233)*POWER(Upgrades!$P$16,H233)*POWER(Upgrades!$P$17,I233)*POWER(Upgrades!$P$18,J233)*POWER(Upgrades!$P$19,K233)*POWER(Upgrades!$P$20,L233)*POWER(Upgrades!$P$21,M233)*$F$6*60</f>
        <v/>
      </c>
      <c r="AC233" s="27">
        <f>(IF(G233=0,0,(Upgrades!$J$15+G233*Upgrades!$K$15)*POWER(Upgrades!$L$15,G233)))*(IF(Upgrades!$T$13="Microlensing",POWER(Upgrades!$U$13,E233),1)*IF(Upgrades!$T$14="Microlensing",POWER(Upgrades!$U$14,F233),1)*IF(Upgrades!$T$16="Microlensing",POWER(Upgrades!$U$16,H233),1)*IF(Upgrades!$T$17="Microlensing",POWER(Upgrades!$U$17,I233),1)*IF(Upgrades!$T$18="Microlensing",POWER(Upgrades!$U$18,J233),1)*IF(Upgrades!$T$19="Microlensing",POWER(Upgrades!$U$19,K233),1)*IF(Upgrades!$T$20="Microlensing",POWER(Upgrades!$U$20,L233),1)*IF(Upgrades!$T$21="Microlensing",POWER(Upgrades!$U$21,M233),1))*POWER(Upgrades!$Q$13,E233)*POWER(Upgrades!$Q$14,F233)*POWER(Upgrades!$Q$15,G233)*POWER(Upgrades!$Q$16,H233)*POWER(Upgrades!$Q$17,I233)*POWER(Upgrades!$Q$18,J233)*POWER(Upgrades!$Q$19,K233)*POWER(Upgrades!$Q$20,L233)*POWER(Upgrades!$Q$21,M233)*$G$6*(Parameters!$B$10*Parameters!$B$11+Q233*60)</f>
        <v/>
      </c>
      <c r="AD233" s="27">
        <f>(IF(H233=0,0,(Upgrades!$M$16+H233*Upgrades!$N$16)*POWER(Upgrades!$O$16,H233)))*(IF(Upgrades!$T$13="Roche Lobe Overflow",POWER(Upgrades!$U$13,E233),1)*IF(Upgrades!$T$14="Roche Lobe Overflow",POWER(Upgrades!$U$14,F233),1)*IF(Upgrades!$T$15="Roche Lobe Overflow",POWER(Upgrades!$U$15,G233),1)*IF(Upgrades!$T$17="Roche Lobe Overflow",POWER(Upgrades!$U$17,I233),1)*IF(Upgrades!$T$18="Roche Lobe Overflow",POWER(Upgrades!$U$18,J233),1)*IF(Upgrades!$T$19="Roche Lobe Overflow",POWER(Upgrades!$U$19,K233),1)*IF(Upgrades!$T$20="Roche Lobe Overflow",POWER(Upgrades!$U$20,L233),1)*IF(Upgrades!$T$21="Roche Lobe Overflow",POWER(Upgrades!$U$21,M233),1))*POWER(Upgrades!$R$13,E233)*POWER(Upgrades!$R$14,F233)*POWER(Upgrades!$R$15,G233)*POWER(Upgrades!$R$16,H233)*POWER(Upgrades!$R$17,I233)*POWER(Upgrades!$R$18,J233)*POWER(Upgrades!$R$19,K233)*POWER(Upgrades!$R$20,L233)*POWER(Upgrades!$R$21,M233)*$H$6*O233*60</f>
        <v/>
      </c>
      <c r="AE233" s="27">
        <f>(IF(I233=0,0,(Upgrades!$G$17+I233*Upgrades!$H$17)*POWER(Upgrades!$I$17,I233)))*(IF(Upgrades!$T$13="Brown Dwarf",POWER(Upgrades!$U$13,E233),1)*IF(Upgrades!$T$14="Brown Dwarf",POWER(Upgrades!$U$14,F233),1)*IF(Upgrades!$T$15="Brown Dwarf",POWER(Upgrades!$U$15,G233),1)*IF(Upgrades!$T$16="Brown Dwarf",POWER(Upgrades!$U$16,H233),1)*IF(Upgrades!$T$18="Brown Dwarf",POWER(Upgrades!$U$18,J233),1)*IF(Upgrades!$T$19="Brown Dwarf",POWER(Upgrades!$U$19,K233),1)*IF(Upgrades!$T$20="Brown Dwarf",POWER(Upgrades!$U$20,L233),1)*IF(Upgrades!$T$21="Brown Dwarf",POWER(Upgrades!$U$21,M233),1))*POWER(Upgrades!$P$13,E233)*POWER(Upgrades!$P$14,F233)*POWER(Upgrades!$P$15,G233)*POWER(Upgrades!$P$16,H233)*POWER(Upgrades!$P$17,I233)*POWER(Upgrades!$P$18,J233)*POWER(Upgrades!$P$19,K233)*POWER(Upgrades!$P$20,L233)*POWER(Upgrades!$P$21,M233)*$F$6*60</f>
        <v/>
      </c>
      <c r="AF233" s="27" t="n">
        <v>0</v>
      </c>
      <c r="AG233" s="27" t="n">
        <v>0</v>
      </c>
      <c r="AH233" s="27" t="n">
        <v>0</v>
      </c>
      <c r="AI233" s="27">
        <f>(IF(M233=0,0,(Upgrades!$G$21+M233*Upgrades!$H$21)*POWER(Upgrades!$I$21,M233)))*(IF(Upgrades!$T$13="Moving Group",POWER(Upgrades!$U$13,E233),1)*IF(Upgrades!$T$14="Moving Group",POWER(Upgrades!$U$14,F233),1)*IF(Upgrades!$T$15="Moving Group",POWER(Upgrades!$U$15,G233),1)*IF(Upgrades!$T$16="Moving Group",POWER(Upgrades!$U$16,H233),1)*IF(Upgrades!$T$17="Moving Group",POWER(Upgrades!$U$17,I233),1)*IF(Upgrades!$T$18="Moving Group",POWER(Upgrades!$U$18,J233),1)*IF(Upgrades!$T$19="Moving Group",POWER(Upgrades!$U$19,K233),1)*IF(Upgrades!$T$20="Moving Group",POWER(Upgrades!$U$20,L233),1))*POWER(Upgrades!$P$13,E233)*POWER(Upgrades!$P$14,F233)*POWER(Upgrades!$P$15,G233)*POWER(Upgrades!$P$16,H233)*POWER(Upgrades!$P$17,I233)*POWER(Upgrades!$P$18,J233)*POWER(Upgrades!$P$19,K233)*POWER(Upgrades!$P$20,L233)*POWER(Upgrades!$P$21,M233)*$F$6*60</f>
        <v/>
      </c>
      <c r="AJ233" s="27">
        <f>$C$6*60</f>
        <v/>
      </c>
      <c r="AK233" s="22">
        <f>IF(E233&gt;=Upgrades!$E$13,"",Upgrades!$C$13*POWER(Upgrades!$D$13,E233))</f>
        <v/>
      </c>
      <c r="AL233" s="22">
        <f>IF(F233&gt;=Upgrades!$E$14,"",Upgrades!$C$14*POWER(Upgrades!$D$14,F233))</f>
        <v/>
      </c>
      <c r="AM233" s="22">
        <f>IF(G233&gt;=Upgrades!$E$15,"",Upgrades!$C$15*POWER(Upgrades!$D$15,G233))</f>
        <v/>
      </c>
      <c r="AN233" s="22">
        <f>IF(H233&gt;=Upgrades!$E$16,"",Upgrades!$C$16*POWER(Upgrades!$D$16,H233))</f>
        <v/>
      </c>
      <c r="AO233" s="22">
        <f>IF(I233&gt;=Upgrades!$E$17,"",Upgrades!$C$17*POWER(Upgrades!$D$17,I233))</f>
        <v/>
      </c>
      <c r="AP233" s="22">
        <f>IF(J233&gt;=Upgrades!$E$18,"",Upgrades!$C$18*POWER(Upgrades!$D$18,J233))</f>
        <v/>
      </c>
      <c r="AQ233" s="22">
        <f>IF(K233&gt;=Upgrades!$E$19,"",Upgrades!$C$19*POWER(Upgrades!$D$19,K233))</f>
        <v/>
      </c>
      <c r="AR233" s="22">
        <f>IF(L233&gt;=Upgrades!$E$20,"",Upgrades!$C$20*POWER(Upgrades!$D$20,L233))</f>
        <v/>
      </c>
      <c r="AS233" s="22">
        <f>IF(M233&gt;=Upgrades!$E$21,"",Upgrades!$C$21*POWER(Upgrades!$D$21,M233))</f>
        <v/>
      </c>
      <c r="AT233" s="26">
        <f>IF(AND(D233&gt;=Parameters!$B$18*Parameters!$B$19,(I233&gt;=Upgrades!$E$17)*(M233&gt;=Upgrades!$E$21)=1,N233=0),1,"")</f>
        <v/>
      </c>
      <c r="AU233" s="26">
        <f>IF(AND(D233&gt;=Parameters!$B$18*Parameters!$B$19,N233=0),1,"")</f>
        <v/>
      </c>
      <c r="AV233" s="22">
        <f>MIN(IF(ISNUMBER(AP233),AP233,9E15),IF(ISNUMBER(AQ233),AQ233,9E15),IF(ISNUMBER(AR233),AR233,9E15),IF(ISNUMBER(AS233),AS233,9E15))</f>
        <v/>
      </c>
      <c r="AW233" s="22">
        <f>MIN(IF(ISNUMBER(AK233),AK233,9E15),IF(ISNUMBER(AL233),AL233,9E15),IF(ISNUMBER(AM233),AM233,9E15),IF(ISNUMBER(AN233),AN233,9E15),IF(ISNUMBER(AO233),AO233,9E15))</f>
        <v/>
      </c>
      <c r="AX233" s="29">
        <f>IF(BD233&gt;Parameters!$B$21*(MAX(IF(AND(NOT(AND(AU233=1,AT233&lt;&gt;1)),ISNUMBER(AK233),AK233&lt;=(C233+T233)),AY233,0),IF(AND(NOT(AND(AU233=1,AT233&lt;&gt;1)),ISNUMBER(AL233),AL233&lt;=(C233+T233)),AZ233,0),IF(AND(NOT(AND(AU233=1,AT233&lt;&gt;1)),ISNUMBER(AM233),AM233&lt;=(C233+T233)),BA233,0),IF(AND(NOT(AND(AU233=1,AT233&lt;&gt;1)),ISNUMBER(AN233),AN233&lt;=(C233+T233)),BB233,0),IF(AND(ISNUMBER(AO233),AO233&lt;=(C233+T233)),BC233,0))),TRUE,FALSE)</f>
        <v/>
      </c>
      <c r="AY233" s="32">
        <f>IFERROR(Upgrades!$H$13*(POWER(Upgrades!$P$13,E233)*POWER(Upgrades!$P$14,F233)*POWER(Upgrades!$P$15,G233)*POWER(Upgrades!$P$16,H233)*POWER(Upgrades!$P$17,I233)*POWER(Upgrades!$P$18,J233)*POWER(Upgrades!$P$19,K233)*POWER(Upgrades!$P$20,L233)*POWER(Upgrades!$P$21,M233))*(IF(Upgrades!$T$14="Stellar Kinematics",POWER(Upgrades!$U$14,F233),1)*IF(Upgrades!$T$15="Stellar Kinematics",POWER(Upgrades!$U$15,G233),1)*IF(Upgrades!$T$16="Stellar Kinematics",POWER(Upgrades!$U$16,H233),1)*IF(Upgrades!$T$17="Stellar Kinematics",POWER(Upgrades!$U$17,I233),1)*IF(Upgrades!$T$18="Stellar Kinematics",POWER(Upgrades!$U$18,J233),1)*IF(Upgrades!$T$19="Stellar Kinematics",POWER(Upgrades!$U$19,K233),1)*IF(Upgrades!$T$20="Stellar Kinematics",POWER(Upgrades!$U$20,L233),1)*IF(Upgrades!$T$21="Stellar Kinematics",POWER(Upgrades!$U$21,M233),1))*$F$6/AK233,0)</f>
        <v/>
      </c>
      <c r="AZ233" s="32">
        <f>IFERROR(Upgrades!$H$14*(POWER(Upgrades!$P$13,E233)*POWER(Upgrades!$P$14,F233)*POWER(Upgrades!$P$15,G233)*POWER(Upgrades!$P$16,H233)*POWER(Upgrades!$P$17,I233)*POWER(Upgrades!$P$18,J233)*POWER(Upgrades!$P$19,K233)*POWER(Upgrades!$P$20,L233)*POWER(Upgrades!$P$21,M233))*(IF(Upgrades!$T$13="Local Bubble",POWER(Upgrades!$U$13,E233),1)*IF(Upgrades!$T$15="Local Bubble",POWER(Upgrades!$U$15,G233),1)*IF(Upgrades!$T$16="Local Bubble",POWER(Upgrades!$U$16,H233),1)*IF(Upgrades!$T$17="Local Bubble",POWER(Upgrades!$U$17,I233),1)*IF(Upgrades!$T$18="Local Bubble",POWER(Upgrades!$U$18,J233),1)*IF(Upgrades!$T$19="Local Bubble",POWER(Upgrades!$U$19,K233),1)*IF(Upgrades!$T$20="Local Bubble",POWER(Upgrades!$U$20,L233),1)*IF(Upgrades!$T$21="Local Bubble",POWER(Upgrades!$U$21,M233),1))*$F$6/AL233,0)</f>
        <v/>
      </c>
      <c r="BA233" s="32">
        <f>IFERROR(Upgrades!$K$15*(POWER(Upgrades!$Q$13,E233)*POWER(Upgrades!$Q$14,F233)*POWER(Upgrades!$Q$15,G233)*POWER(Upgrades!$Q$16,H233)*POWER(Upgrades!$Q$17,I233)*POWER(Upgrades!$Q$18,J233)*POWER(Upgrades!$Q$19,K233)*POWER(Upgrades!$Q$20,L233)*POWER(Upgrades!$Q$21,M233))*(IF(Upgrades!$T$13="Microlensing",POWER(Upgrades!$U$13,E233),1)*IF(Upgrades!$T$14="Microlensing",POWER(Upgrades!$U$14,F233),1)*IF(Upgrades!$T$16="Microlensing",POWER(Upgrades!$U$16,H233),1)*IF(Upgrades!$T$17="Microlensing",POWER(Upgrades!$U$17,I233),1)*IF(Upgrades!$T$18="Microlensing",POWER(Upgrades!$U$18,J233),1)*IF(Upgrades!$T$19="Microlensing",POWER(Upgrades!$U$19,K233),1)*IF(Upgrades!$T$20="Microlensing",POWER(Upgrades!$U$20,L233),1)*IF(Upgrades!$T$21="Microlensing",POWER(Upgrades!$U$21,M233),1))*$G$6*(Parameters!$B$10/60*Parameters!$B$11+Q233)/AM233,0)</f>
        <v/>
      </c>
      <c r="BB233" s="32">
        <f>IFERROR((Upgrades!$N$16*(POWER(Upgrades!$R$13,E233)*POWER(Upgrades!$R$14,F233)*POWER(Upgrades!$R$15,G233)*POWER(Upgrades!$R$16,H233)*POWER(Upgrades!$R$17,I233)*POWER(Upgrades!$R$18,J233)*POWER(Upgrades!$R$19,K233)*POWER(Upgrades!$R$20,L233)*POWER(Upgrades!$R$21,M233))*(IF(Upgrades!$T$13="Roche Lobe Overflow",POWER(Upgrades!$U$13,E233),1)*IF(Upgrades!$T$14="Roche Lobe Overflow",POWER(Upgrades!$U$14,F233),1)*IF(Upgrades!$T$15="Roche Lobe Overflow",POWER(Upgrades!$U$15,G233),1)*IF(Upgrades!$T$17="Roche Lobe Overflow",POWER(Upgrades!$U$17,I233),1)*IF(Upgrades!$T$18="Roche Lobe Overflow",POWER(Upgrades!$U$18,J233),1)*IF(Upgrades!$T$19="Roche Lobe Overflow",POWER(Upgrades!$U$19,K233),1)*IF(Upgrades!$T$20="Roche Lobe Overflow",POWER(Upgrades!$U$20,L233),1)*IF(Upgrades!$T$21="Roche Lobe Overflow",POWER(Upgrades!$U$21,M233),1))*$H$6*O233+((IF(F233=0,0,(Upgrades!$G$14+F233*Upgrades!$H$14)*POWER(Upgrades!$I$14,F233)))*(IF(Upgrades!$T$13="Local Bubble",POWER(Upgrades!$U$13,E233),1)*IF(Upgrades!$T$15="Local Bubble",POWER(Upgrades!$U$15,G233),1)*IF(Upgrades!$T$16="Local Bubble",POWER(Upgrades!$U$16,H233),1)*IF(Upgrades!$T$17="Local Bubble",POWER(Upgrades!$U$17,I233),1)*IF(Upgrades!$T$18="Local Bubble",POWER(Upgrades!$U$18,J233),1)*IF(Upgrades!$T$19="Local Bubble",POWER(Upgrades!$U$19,K233),1)*IF(Upgrades!$T$20="Local Bubble",POWER(Upgrades!$U$20,L233),1)*IF(Upgrades!$T$21="Local Bubble",POWER(Upgrades!$U$21,M233),1))*POWER(Upgrades!$P$13,E233)*POWER(Upgrades!$P$14,F233)*POWER(Upgrades!$P$15,G233)*POWER(Upgrades!$P$16,H233)*POWER(Upgrades!$P$17,I233)*POWER(Upgrades!$P$18,J233)*POWER(Upgrades!$P$19,K233)*POWER(Upgrades!$P$20,L233)*POWER(Upgrades!$P$21,M233)*$F$6)*0.05)/AN233,0)</f>
        <v/>
      </c>
      <c r="BC233" s="32">
        <f>IFERROR((Upgrades!$H$17*(POWER(Upgrades!$P$13,E233)*POWER(Upgrades!$P$14,F233)*POWER(Upgrades!$P$15,G233)*POWER(Upgrades!$P$16,H233)*POWER(Upgrades!$P$17,I233)*POWER(Upgrades!$P$18,J233)*POWER(Upgrades!$P$19,K233)*POWER(Upgrades!$P$20,L233)*POWER(Upgrades!$P$21,M233))*(IF(Upgrades!$T$13="Brown Dwarf",POWER(Upgrades!$U$13,E233),1)*IF(Upgrades!$T$14="Brown Dwarf",POWER(Upgrades!$U$14,F233),1)*IF(Upgrades!$T$15="Brown Dwarf",POWER(Upgrades!$U$15,G233),1)*IF(Upgrades!$T$16="Brown Dwarf",POWER(Upgrades!$U$16,H233),1)*IF(Upgrades!$T$18="Brown Dwarf",POWER(Upgrades!$U$18,J233),1)*IF(Upgrades!$T$19="Brown Dwarf",POWER(Upgrades!$U$19,K233),1)*IF(Upgrades!$T$20="Brown Dwarf",POWER(Upgrades!$U$20,L233),1)*IF(Upgrades!$T$21="Brown Dwarf",POWER(Upgrades!$U$21,M233),1))*$F$6+(((IF(H233=0,0,(Upgrades!$M$16+H233*Upgrades!$N$16)*POWER(Upgrades!$O$16,H233)))*(IF(Upgrades!$T$13="Roche Lobe Overflow",POWER(Upgrades!$U$13,E233),1)*IF(Upgrades!$T$14="Roche Lobe Overflow",POWER(Upgrades!$U$14,F233),1)*IF(Upgrades!$T$15="Roche Lobe Overflow",POWER(Upgrades!$U$15,G233),1)*IF(Upgrades!$T$17="Roche Lobe Overflow",POWER(Upgrades!$U$17,I233),1)*IF(Upgrades!$T$18="Roche Lobe Overflow",POWER(Upgrades!$U$18,J233),1)*IF(Upgrades!$T$19="Roche Lobe Overflow",POWER(Upgrades!$U$19,K233),1)*IF(Upgrades!$T$20="Roche Lobe Overflow",POWER(Upgrades!$U$20,L233),1)*IF(Upgrades!$T$21="Roche Lobe Overflow",POWER(Upgrades!$U$21,M233),1))*POWER(Upgrades!$R$13,E233)*POWER(Upgrades!$R$14,F233)*POWER(Upgrades!$R$15,G233)*POWER(Upgrades!$R$16,H233)*POWER(Upgrades!$R$17,I233)*POWER(Upgrades!$R$18,J233)*POWER(Upgrades!$R$19,K233)*POWER(Upgrades!$R$20,L233)*POWER(Upgrades!$R$21,M233)*$H$6)*O233)*0.10)/AO233,0)</f>
        <v/>
      </c>
      <c r="BD233" s="32">
        <f>MAX(IF(J233&gt;0,0,IFERROR(0.5*((IF(G233=0,0,(Upgrades!$J$15+G233*Upgrades!$K$15)*POWER(Upgrades!$L$15,G233)))*(IF(Upgrades!$T$13="Microlensing",POWER(Upgrades!$U$13,E233),1)*IF(Upgrades!$T$14="Microlensing",POWER(Upgrades!$U$14,F233),1)*IF(Upgrades!$T$16="Microlensing",POWER(Upgrades!$U$16,H233),1)*IF(Upgrades!$T$17="Microlensing",POWER(Upgrades!$U$17,I233),1)*IF(Upgrades!$T$18="Microlensing",POWER(Upgrades!$U$18,J233),1)*IF(Upgrades!$T$19="Microlensing",POWER(Upgrades!$U$19,K233),1)*IF(Upgrades!$T$20="Microlensing",POWER(Upgrades!$U$20,L233),1)*IF(Upgrades!$T$21="Microlensing",POWER(Upgrades!$U$21,M233),1))*(POWER(Upgrades!$Q$13,E233)*POWER(Upgrades!$Q$14,F233)*POWER(Upgrades!$Q$15,G233)*POWER(Upgrades!$Q$16,H233)*POWER(Upgrades!$Q$17,I233)*POWER(Upgrades!$Q$18,J233)*POWER(Upgrades!$Q$19,K233)*POWER(Upgrades!$Q$20,L233)*POWER(Upgrades!$Q$21,M233))*$G$6*(Parameters!$B$10/60*Parameters!$B$11+Q233))/Upgrades!$C$18,0)),IF(K233&gt;0,0,IFERROR(0.30*P233/Upgrades!$C$19,0)),IF(L233&gt;0,0,IFERROR(0.0001/Upgrades!$C$20,0)),IF(M233&gt;0,0,IFERROR((6.0*(POWER(Upgrades!$P$13,E233)*POWER(Upgrades!$P$14,F233)*POWER(Upgrades!$P$15,G233)*POWER(Upgrades!$P$16,H233)*POWER(Upgrades!$P$17,I233)*POWER(Upgrades!$P$18,J233)*POWER(Upgrades!$P$19,K233)*POWER(Upgrades!$P$20,L233)*POWER(Upgrades!$P$21,M233))*$F$6+0.20*O233*(Parameters!$B$10/60*Parameters!$B$11+Q233))/Upgrades!$C$21,0)),IF(AND(ISNUMBER(AK233),AK233&gt;(C233+T233)),AY233,0),IF(AND(ISNUMBER(AL233),AL233&gt;(C233+T233)),AZ233,0),IF(AND(ISNUMBER(AM233),AM233&gt;(C233+T233)),BA233,0),IF(AND(ISNUMBER(AN233),AN233&gt;(C233+T233)),BB233,0),IF(AND(ISNUMBER(AO233),AO233&gt;(C233+T233)),BC233,0))</f>
        <v/>
      </c>
      <c r="BE233" s="29">
        <f>IF(AT233=1,"transition",IF(MIN(IF(AND(J233=0,ISNUMBER(AP233),AP233&lt;=(C233+T233)),AP233,9E15),IF(AND(K233=0,ISNUMBER(AQ233),AQ233&lt;=(C233+T233)),AQ233,9E15),IF(AND(L233=0,ISNUMBER(AR233),AR233&lt;=(C233+T233)),AR233,9E15),IF(AND(M233=0,ISNUMBER(AS233),AS233&lt;=(C233+T233)),AS233,9E15))&lt;9E15,IF(AND(AND(J233=0,ISNUMBER(AP233),AP233&lt;=(C233+T233)),AP233=MIN(IF(AND(J233=0,ISNUMBER(AP233),AP233&lt;=(C233+T233)),AP233,9E15),IF(AND(K233=0,ISNUMBER(AQ233),AQ233&lt;=(C233+T233)),AQ233,9E15),IF(AND(L233=0,ISNUMBER(AR233),AR233&lt;=(C233+T233)),AR233,9E15),IF(AND(M233=0,ISNUMBER(AS233),AS233&lt;=(C233+T233)),AS233,9E15))),"BiP",IF(AND(AND(K233=0,ISNUMBER(AQ233),AQ233&lt;=(C233+T233)),AQ233=MIN(IF(AND(J233=0,ISNUMBER(AP233),AP233&lt;=(C233+T233)),AP233,9E15),IF(AND(K233=0,ISNUMBER(AQ233),AQ233&lt;=(C233+T233)),AQ233,9E15),IF(AND(L233=0,ISNUMBER(AR233),AR233&lt;=(C233+T233)),AR233,9E15),IF(AND(M233=0,ISNUMBER(AS233),AS233&lt;=(C233+T233)),AS233,9E15))),"PV",IF(AND(AND(L233=0,ISNUMBER(AR233),AR233&lt;=(C233+T233)),AR233=MIN(IF(AND(J233=0,ISNUMBER(AP233),AP233&lt;=(C233+T233)),AP233,9E15),IF(AND(K233=0,ISNUMBER(AQ233),AQ233&lt;=(C233+T233)),AQ233,9E15),IF(AND(L233=0,ISNUMBER(AR233),AR233&lt;=(C233+T233)),AR233,9E15),IF(AND(M233=0,ISNUMBER(AS233),AS233&lt;=(C233+T233)),AS233,9E15))),"OC","MG"))),IF(AX233=TRUE,"",IF(MAX(IF(AND(NOT(AND(AU233=1,AT233&lt;&gt;1)),ISNUMBER(AK233),AK233&lt;=(C233+T233)),AY233,0),IF(AND(NOT(AND(AU233=1,AT233&lt;&gt;1)),ISNUMBER(AL233),AL233&lt;=(C233+T233)),AZ233,0),IF(AND(NOT(AND(AU233=1,AT233&lt;&gt;1)),ISNUMBER(AM233),AM233&lt;=(C233+T233)),BA233,0),IF(AND(NOT(AND(AU233=1,AT233&lt;&gt;1)),ISNUMBER(AN233),AN233&lt;=(C233+T233)),BB233,0),IF(AND(ISNUMBER(AO233),AO233&lt;=(C233+T233)),BC233,0))&lt;=0,"",IF(AND(IF(AND(NOT(AND(AU233=1,AT233&lt;&gt;1)),ISNUMBER(AK233),AK233&lt;=(C233+T233)),AY233,0)&gt;0,IF(AND(NOT(AND(AU233=1,AT233&lt;&gt;1)),ISNUMBER(AK233),AK233&lt;=(C233+T233)),AY233,0)=MAX(IF(AND(NOT(AND(AU233=1,AT233&lt;&gt;1)),ISNUMBER(AK233),AK233&lt;=(C233+T233)),AY233,0),IF(AND(NOT(AND(AU233=1,AT233&lt;&gt;1)),ISNUMBER(AL233),AL233&lt;=(C233+T233)),AZ233,0),IF(AND(NOT(AND(AU233=1,AT233&lt;&gt;1)),ISNUMBER(AM233),AM233&lt;=(C233+T233)),BA233,0),IF(AND(NOT(AND(AU233=1,AT233&lt;&gt;1)),ISNUMBER(AN233),AN233&lt;=(C233+T233)),BB233,0),IF(AND(ISNUMBER(AO233),AO233&lt;=(C233+T233)),BC233,0))),"SK",IF(AND(IF(AND(NOT(AND(AU233=1,AT233&lt;&gt;1)),ISNUMBER(AL233),AL233&lt;=(C233+T233)),AZ233,0)&gt;0,IF(AND(NOT(AND(AU233=1,AT233&lt;&gt;1)),ISNUMBER(AL233),AL233&lt;=(C233+T233)),AZ233,0)=MAX(IF(AND(NOT(AND(AU233=1,AT233&lt;&gt;1)),ISNUMBER(AK233),AK233&lt;=(C233+T233)),AY233,0),IF(AND(NOT(AND(AU233=1,AT233&lt;&gt;1)),ISNUMBER(AL233),AL233&lt;=(C233+T233)),AZ233,0),IF(AND(NOT(AND(AU233=1,AT233&lt;&gt;1)),ISNUMBER(AM233),AM233&lt;=(C233+T233)),BA233,0),IF(AND(NOT(AND(AU233=1,AT233&lt;&gt;1)),ISNUMBER(AN233),AN233&lt;=(C233+T233)),BB233,0),IF(AND(ISNUMBER(AO233),AO233&lt;=(C233+T233)),BC233,0))),"LB",IF(AND(IF(AND(NOT(AND(AU233=1,AT233&lt;&gt;1)),ISNUMBER(AM233),AM233&lt;=(C233+T233)),BA233,0)&gt;0,IF(AND(NOT(AND(AU233=1,AT233&lt;&gt;1)),ISNUMBER(AM233),AM233&lt;=(C233+T233)),BA233,0)=MAX(IF(AND(NOT(AND(AU233=1,AT233&lt;&gt;1)),ISNUMBER(AK233),AK233&lt;=(C233+T233)),AY233,0),IF(AND(NOT(AND(AU233=1,AT233&lt;&gt;1)),ISNUMBER(AL233),AL233&lt;=(C233+T233)),AZ233,0),IF(AND(NOT(AND(AU233=1,AT233&lt;&gt;1)),ISNUMBER(AM233),AM233&lt;=(C233+T233)),BA233,0),IF(AND(NOT(AND(AU233=1,AT233&lt;&gt;1)),ISNUMBER(AN233),AN233&lt;=(C233+T233)),BB233,0),IF(AND(ISNUMBER(AO233),AO233&lt;=(C233+T233)),BC233,0))),"ML",IF(AND(IF(AND(NOT(AND(AU233=1,AT233&lt;&gt;1)),ISNUMBER(AN233),AN233&lt;=(C233+T233)),BB233,0)&gt;0,IF(AND(NOT(AND(AU233=1,AT233&lt;&gt;1)),ISNUMBER(AN233),AN233&lt;=(C233+T233)),BB233,0)=MAX(IF(AND(NOT(AND(AU233=1,AT233&lt;&gt;1)),ISNUMBER(AK233),AK233&lt;=(C233+T233)),AY233,0),IF(AND(NOT(AND(AU233=1,AT233&lt;&gt;1)),ISNUMBER(AL233),AL233&lt;=(C233+T233)),AZ233,0),IF(AND(NOT(AND(AU233=1,AT233&lt;&gt;1)),ISNUMBER(AM233),AM233&lt;=(C233+T233)),BA233,0),IF(AND(NOT(AND(AU233=1,AT233&lt;&gt;1)),ISNUMBER(AN233),AN233&lt;=(C233+T233)),BB233,0),IF(AND(ISNUMBER(AO233),AO233&lt;=(C233+T233)),BC233,0))),"RLO","BD"))))))))</f>
        <v/>
      </c>
    </row>
    <row r="234">
      <c r="A234" s="26" t="n">
        <v>223</v>
      </c>
      <c r="B234" s="27">
        <f>A234*10/60</f>
        <v/>
      </c>
      <c r="C234" s="22">
        <f>X233</f>
        <v/>
      </c>
      <c r="D234" s="27">
        <f>D233+W233</f>
        <v/>
      </c>
      <c r="E234" s="26">
        <f>E233+IF(U233="SK",1,0)</f>
        <v/>
      </c>
      <c r="F234" s="26">
        <f>F233+IF(U233="LB",1,0)</f>
        <v/>
      </c>
      <c r="G234" s="26">
        <f>G233+IF(U233="ML",1,0)</f>
        <v/>
      </c>
      <c r="H234" s="26">
        <f>H233+IF(U233="RLO",1,0)</f>
        <v/>
      </c>
      <c r="I234" s="26">
        <f>I233+IF(U233="BD",1,0)</f>
        <v/>
      </c>
      <c r="J234" s="26">
        <f>MAX(J233,IF(U233="BiP",1,0))</f>
        <v/>
      </c>
      <c r="K234" s="26">
        <f>MAX(K233,IF(U233="PV",1,0))</f>
        <v/>
      </c>
      <c r="L234" s="26">
        <f>MAX(L233,IF(U233="OC",1,0))</f>
        <v/>
      </c>
      <c r="M234" s="26">
        <f>MAX(M233,IF(U233="MG",1,0))</f>
        <v/>
      </c>
      <c r="N234" s="26">
        <f>MAX(N233,IF(U233="transition",1,0))</f>
        <v/>
      </c>
      <c r="O234" s="28">
        <f>(Parameters!$B$9+(IF(E234=0,0,(Upgrades!$J$13+E234*Upgrades!$K$13)*POWER(Upgrades!$L$13,E234)))*(IF(Upgrades!$T$14="Stellar Kinematics",POWER(Upgrades!$U$14,F234),1)*IF(Upgrades!$T$15="Stellar Kinematics",POWER(Upgrades!$U$15,G234),1)*IF(Upgrades!$T$16="Stellar Kinematics",POWER(Upgrades!$U$16,H234),1)*IF(Upgrades!$T$17="Stellar Kinematics",POWER(Upgrades!$U$17,I234),1)*IF(Upgrades!$T$18="Stellar Kinematics",POWER(Upgrades!$U$18,J234),1)*IF(Upgrades!$T$19="Stellar Kinematics",POWER(Upgrades!$U$19,K234),1)*IF(Upgrades!$T$20="Stellar Kinematics",POWER(Upgrades!$U$20,L234),1)*IF(Upgrades!$T$21="Stellar Kinematics",POWER(Upgrades!$U$21,M234),1))+(IF(F234=0,0,(Upgrades!$J$14+F234*Upgrades!$K$14)*POWER(Upgrades!$L$14,F234)))*(IF(Upgrades!$T$13="Local Bubble",POWER(Upgrades!$U$13,E234),1)*IF(Upgrades!$T$15="Local Bubble",POWER(Upgrades!$U$15,G234),1)*IF(Upgrades!$T$16="Local Bubble",POWER(Upgrades!$U$16,H234),1)*IF(Upgrades!$T$17="Local Bubble",POWER(Upgrades!$U$17,I234),1)*IF(Upgrades!$T$18="Local Bubble",POWER(Upgrades!$U$18,J234),1)*IF(Upgrades!$T$19="Local Bubble",POWER(Upgrades!$U$19,K234),1)*IF(Upgrades!$T$20="Local Bubble",POWER(Upgrades!$U$20,L234),1)*IF(Upgrades!$T$21="Local Bubble",POWER(Upgrades!$U$21,M234),1))+(IF(G234=0,0,(Upgrades!$J$15+G234*Upgrades!$K$15)*POWER(Upgrades!$L$15,G234)))*(IF(Upgrades!$T$13="Microlensing",POWER(Upgrades!$U$13,E234),1)*IF(Upgrades!$T$14="Microlensing",POWER(Upgrades!$U$14,F234),1)*IF(Upgrades!$T$16="Microlensing",POWER(Upgrades!$U$16,H234),1)*IF(Upgrades!$T$17="Microlensing",POWER(Upgrades!$U$17,I234),1)*IF(Upgrades!$T$18="Microlensing",POWER(Upgrades!$U$18,J234),1)*IF(Upgrades!$T$19="Microlensing",POWER(Upgrades!$U$19,K234),1)*IF(Upgrades!$T$20="Microlensing",POWER(Upgrades!$U$20,L234),1)*IF(Upgrades!$T$21="Microlensing",POWER(Upgrades!$U$21,M234),1))+(IF(H234=0,0,(Upgrades!$J$16+H234*Upgrades!$K$16)*POWER(Upgrades!$L$16,H234)))*(IF(Upgrades!$T$13="Roche Lobe Overflow",POWER(Upgrades!$U$13,E234),1)*IF(Upgrades!$T$14="Roche Lobe Overflow",POWER(Upgrades!$U$14,F234),1)*IF(Upgrades!$T$15="Roche Lobe Overflow",POWER(Upgrades!$U$15,G234),1)*IF(Upgrades!$T$17="Roche Lobe Overflow",POWER(Upgrades!$U$17,I234),1)*IF(Upgrades!$T$18="Roche Lobe Overflow",POWER(Upgrades!$U$18,J234),1)*IF(Upgrades!$T$19="Roche Lobe Overflow",POWER(Upgrades!$U$19,K234),1)*IF(Upgrades!$T$20="Roche Lobe Overflow",POWER(Upgrades!$U$20,L234),1)*IF(Upgrades!$T$21="Roche Lobe Overflow",POWER(Upgrades!$U$21,M234),1))+(IF(I234=0,0,(Upgrades!$J$17+I234*Upgrades!$K$17)*POWER(Upgrades!$L$17,I234)))*(IF(Upgrades!$T$13="Brown Dwarf",POWER(Upgrades!$U$13,E234),1)*IF(Upgrades!$T$14="Brown Dwarf",POWER(Upgrades!$U$14,F234),1)*IF(Upgrades!$T$15="Brown Dwarf",POWER(Upgrades!$U$15,G234),1)*IF(Upgrades!$T$16="Brown Dwarf",POWER(Upgrades!$U$16,H234),1)*IF(Upgrades!$T$18="Brown Dwarf",POWER(Upgrades!$U$18,J234),1)*IF(Upgrades!$T$19="Brown Dwarf",POWER(Upgrades!$U$19,K234),1)*IF(Upgrades!$T$20="Brown Dwarf",POWER(Upgrades!$U$20,L234),1)*IF(Upgrades!$T$21="Brown Dwarf",POWER(Upgrades!$U$21,M234),1))+(IF(J234=0,0,(Upgrades!$J$18+J234*Upgrades!$K$18)*POWER(Upgrades!$L$18,J234)))*(IF(Upgrades!$T$13="Binary Partner",POWER(Upgrades!$U$13,E234),1)*IF(Upgrades!$T$14="Binary Partner",POWER(Upgrades!$U$14,F234),1)*IF(Upgrades!$T$15="Binary Partner",POWER(Upgrades!$U$15,G234),1)*IF(Upgrades!$T$16="Binary Partner",POWER(Upgrades!$U$16,H234),1)*IF(Upgrades!$T$17="Binary Partner",POWER(Upgrades!$U$17,I234),1)*IF(Upgrades!$T$19="Binary Partner",POWER(Upgrades!$U$19,K234),1)*IF(Upgrades!$T$20="Binary Partner",POWER(Upgrades!$U$20,L234),1)*IF(Upgrades!$T$21="Binary Partner",POWER(Upgrades!$U$21,M234),1))+(IF(K234=0,0,(Upgrades!$J$19+K234*Upgrades!$K$19)*POWER(Upgrades!$L$19,K234)))*(IF(Upgrades!$T$13="Peculiar Velocity",POWER(Upgrades!$U$13,E234),1)*IF(Upgrades!$T$14="Peculiar Velocity",POWER(Upgrades!$U$14,F234),1)*IF(Upgrades!$T$15="Peculiar Velocity",POWER(Upgrades!$U$15,G234),1)*IF(Upgrades!$T$16="Peculiar Velocity",POWER(Upgrades!$U$16,H234),1)*IF(Upgrades!$T$17="Peculiar Velocity",POWER(Upgrades!$U$17,I234),1)*IF(Upgrades!$T$18="Peculiar Velocity",POWER(Upgrades!$U$18,J234),1)*IF(Upgrades!$T$20="Peculiar Velocity",POWER(Upgrades!$U$20,L234),1)*IF(Upgrades!$T$21="Peculiar Velocity",POWER(Upgrades!$U$21,M234),1))+(IF(L234=0,0,(Upgrades!$J$20+L234*Upgrades!$K$20)*POWER(Upgrades!$L$20,L234)))*(IF(Upgrades!$T$13="Open Cluster",POWER(Upgrades!$U$13,E234),1)*IF(Upgrades!$T$14="Open Cluster",POWER(Upgrades!$U$14,F234),1)*IF(Upgrades!$T$15="Open Cluster",POWER(Upgrades!$U$15,G234),1)*IF(Upgrades!$T$16="Open Cluster",POWER(Upgrades!$U$16,H234),1)*IF(Upgrades!$T$17="Open Cluster",POWER(Upgrades!$U$17,I234),1)*IF(Upgrades!$T$18="Open Cluster",POWER(Upgrades!$U$18,J234),1)*IF(Upgrades!$T$19="Open Cluster",POWER(Upgrades!$U$19,K234),1)*IF(Upgrades!$T$21="Open Cluster",POWER(Upgrades!$U$21,M234),1))+(IF(M234=0,0,(Upgrades!$J$21+M234*Upgrades!$K$21)*POWER(Upgrades!$L$21,M234)))*(IF(Upgrades!$T$13="Moving Group",POWER(Upgrades!$U$13,E234),1)*IF(Upgrades!$T$14="Moving Group",POWER(Upgrades!$U$14,F234),1)*IF(Upgrades!$T$15="Moving Group",POWER(Upgrades!$U$15,G234),1)*IF(Upgrades!$T$16="Moving Group",POWER(Upgrades!$U$16,H234),1)*IF(Upgrades!$T$17="Moving Group",POWER(Upgrades!$U$17,I234),1)*IF(Upgrades!$T$18="Moving Group",POWER(Upgrades!$U$18,J234),1)*IF(Upgrades!$T$19="Moving Group",POWER(Upgrades!$U$19,K234),1)*IF(Upgrades!$T$20="Moving Group",POWER(Upgrades!$U$20,L234),1)))*POWER(Upgrades!$Q$13,E234)*POWER(Upgrades!$Q$14,F234)*POWER(Upgrades!$Q$15,G234)*POWER(Upgrades!$Q$16,H234)*POWER(Upgrades!$Q$17,I234)*POWER(Upgrades!$Q$18,J234)*POWER(Upgrades!$Q$19,K234)*POWER(Upgrades!$Q$20,L234)*POWER(Upgrades!$Q$21,M234)*$G$6+$D$6</f>
        <v/>
      </c>
      <c r="P234" s="28">
        <f>((IF(E234=0,0,(Upgrades!$G$13+E234*Upgrades!$H$13)*POWER(Upgrades!$I$13,E234)))*(IF(Upgrades!$T$14="Stellar Kinematics",POWER(Upgrades!$U$14,F234),1)*IF(Upgrades!$T$15="Stellar Kinematics",POWER(Upgrades!$U$15,G234),1)*IF(Upgrades!$T$16="Stellar Kinematics",POWER(Upgrades!$U$16,H234),1)*IF(Upgrades!$T$17="Stellar Kinematics",POWER(Upgrades!$U$17,I234),1)*IF(Upgrades!$T$18="Stellar Kinematics",POWER(Upgrades!$U$18,J234),1)*IF(Upgrades!$T$19="Stellar Kinematics",POWER(Upgrades!$U$19,K234),1)*IF(Upgrades!$T$20="Stellar Kinematics",POWER(Upgrades!$U$20,L234),1)*IF(Upgrades!$T$21="Stellar Kinematics",POWER(Upgrades!$U$21,M234),1))+(IF(F234=0,0,(Upgrades!$G$14+F234*Upgrades!$H$14)*POWER(Upgrades!$I$14,F234)))*(IF(Upgrades!$T$13="Local Bubble",POWER(Upgrades!$U$13,E234),1)*IF(Upgrades!$T$15="Local Bubble",POWER(Upgrades!$U$15,G234),1)*IF(Upgrades!$T$16="Local Bubble",POWER(Upgrades!$U$16,H234),1)*IF(Upgrades!$T$17="Local Bubble",POWER(Upgrades!$U$17,I234),1)*IF(Upgrades!$T$18="Local Bubble",POWER(Upgrades!$U$18,J234),1)*IF(Upgrades!$T$19="Local Bubble",POWER(Upgrades!$U$19,K234),1)*IF(Upgrades!$T$20="Local Bubble",POWER(Upgrades!$U$20,L234),1)*IF(Upgrades!$T$21="Local Bubble",POWER(Upgrades!$U$21,M234),1))+(IF(G234=0,0,(Upgrades!$G$15+G234*Upgrades!$H$15)*POWER(Upgrades!$I$15,G234)))*(IF(Upgrades!$T$13="Microlensing",POWER(Upgrades!$U$13,E234),1)*IF(Upgrades!$T$14="Microlensing",POWER(Upgrades!$U$14,F234),1)*IF(Upgrades!$T$16="Microlensing",POWER(Upgrades!$U$16,H234),1)*IF(Upgrades!$T$17="Microlensing",POWER(Upgrades!$U$17,I234),1)*IF(Upgrades!$T$18="Microlensing",POWER(Upgrades!$U$18,J234),1)*IF(Upgrades!$T$19="Microlensing",POWER(Upgrades!$U$19,K234),1)*IF(Upgrades!$T$20="Microlensing",POWER(Upgrades!$U$20,L234),1)*IF(Upgrades!$T$21="Microlensing",POWER(Upgrades!$U$21,M234),1))+(IF(H234=0,0,(Upgrades!$G$16+H234*Upgrades!$H$16)*POWER(Upgrades!$I$16,H234)))*(IF(Upgrades!$T$13="Roche Lobe Overflow",POWER(Upgrades!$U$13,E234),1)*IF(Upgrades!$T$14="Roche Lobe Overflow",POWER(Upgrades!$U$14,F234),1)*IF(Upgrades!$T$15="Roche Lobe Overflow",POWER(Upgrades!$U$15,G234),1)*IF(Upgrades!$T$17="Roche Lobe Overflow",POWER(Upgrades!$U$17,I234),1)*IF(Upgrades!$T$18="Roche Lobe Overflow",POWER(Upgrades!$U$18,J234),1)*IF(Upgrades!$T$19="Roche Lobe Overflow",POWER(Upgrades!$U$19,K234),1)*IF(Upgrades!$T$20="Roche Lobe Overflow",POWER(Upgrades!$U$20,L234),1)*IF(Upgrades!$T$21="Roche Lobe Overflow",POWER(Upgrades!$U$21,M234),1))+(IF(I234=0,0,(Upgrades!$G$17+I234*Upgrades!$H$17)*POWER(Upgrades!$I$17,I234)))*(IF(Upgrades!$T$13="Brown Dwarf",POWER(Upgrades!$U$13,E234),1)*IF(Upgrades!$T$14="Brown Dwarf",POWER(Upgrades!$U$14,F234),1)*IF(Upgrades!$T$15="Brown Dwarf",POWER(Upgrades!$U$15,G234),1)*IF(Upgrades!$T$16="Brown Dwarf",POWER(Upgrades!$U$16,H234),1)*IF(Upgrades!$T$18="Brown Dwarf",POWER(Upgrades!$U$18,J234),1)*IF(Upgrades!$T$19="Brown Dwarf",POWER(Upgrades!$U$19,K234),1)*IF(Upgrades!$T$20="Brown Dwarf",POWER(Upgrades!$U$20,L234),1)*IF(Upgrades!$T$21="Brown Dwarf",POWER(Upgrades!$U$21,M234),1))+(IF(J234=0,0,(Upgrades!$G$18+J234*Upgrades!$H$18)*POWER(Upgrades!$I$18,J234)))*(IF(Upgrades!$T$13="Binary Partner",POWER(Upgrades!$U$13,E234),1)*IF(Upgrades!$T$14="Binary Partner",POWER(Upgrades!$U$14,F234),1)*IF(Upgrades!$T$15="Binary Partner",POWER(Upgrades!$U$15,G234),1)*IF(Upgrades!$T$16="Binary Partner",POWER(Upgrades!$U$16,H234),1)*IF(Upgrades!$T$17="Binary Partner",POWER(Upgrades!$U$17,I234),1)*IF(Upgrades!$T$19="Binary Partner",POWER(Upgrades!$U$19,K234),1)*IF(Upgrades!$T$20="Binary Partner",POWER(Upgrades!$U$20,L234),1)*IF(Upgrades!$T$21="Binary Partner",POWER(Upgrades!$U$21,M234),1))+(IF(K234=0,0,(Upgrades!$G$19+K234*Upgrades!$H$19)*POWER(Upgrades!$I$19,K234)))*(IF(Upgrades!$T$13="Peculiar Velocity",POWER(Upgrades!$U$13,E234),1)*IF(Upgrades!$T$14="Peculiar Velocity",POWER(Upgrades!$U$14,F234),1)*IF(Upgrades!$T$15="Peculiar Velocity",POWER(Upgrades!$U$15,G234),1)*IF(Upgrades!$T$16="Peculiar Velocity",POWER(Upgrades!$U$16,H234),1)*IF(Upgrades!$T$17="Peculiar Velocity",POWER(Upgrades!$U$17,I234),1)*IF(Upgrades!$T$18="Peculiar Velocity",POWER(Upgrades!$U$18,J234),1)*IF(Upgrades!$T$20="Peculiar Velocity",POWER(Upgrades!$U$20,L234),1)*IF(Upgrades!$T$21="Peculiar Velocity",POWER(Upgrades!$U$21,M234),1))+(IF(L234=0,0,(Upgrades!$G$20+L234*Upgrades!$H$20)*POWER(Upgrades!$I$20,L234)))*(IF(Upgrades!$T$13="Open Cluster",POWER(Upgrades!$U$13,E234),1)*IF(Upgrades!$T$14="Open Cluster",POWER(Upgrades!$U$14,F234),1)*IF(Upgrades!$T$15="Open Cluster",POWER(Upgrades!$U$15,G234),1)*IF(Upgrades!$T$16="Open Cluster",POWER(Upgrades!$U$16,H234),1)*IF(Upgrades!$T$17="Open Cluster",POWER(Upgrades!$U$17,I234),1)*IF(Upgrades!$T$18="Open Cluster",POWER(Upgrades!$U$18,J234),1)*IF(Upgrades!$T$19="Open Cluster",POWER(Upgrades!$U$19,K234),1)*IF(Upgrades!$T$21="Open Cluster",POWER(Upgrades!$U$21,M234),1))+(IF(M234=0,0,(Upgrades!$G$21+M234*Upgrades!$H$21)*POWER(Upgrades!$I$21,M234)))*(IF(Upgrades!$T$13="Moving Group",POWER(Upgrades!$U$13,E234),1)*IF(Upgrades!$T$14="Moving Group",POWER(Upgrades!$U$14,F234),1)*IF(Upgrades!$T$15="Moving Group",POWER(Upgrades!$U$15,G234),1)*IF(Upgrades!$T$16="Moving Group",POWER(Upgrades!$U$16,H234),1)*IF(Upgrades!$T$17="Moving Group",POWER(Upgrades!$U$17,I234),1)*IF(Upgrades!$T$18="Moving Group",POWER(Upgrades!$U$18,J234),1)*IF(Upgrades!$T$19="Moving Group",POWER(Upgrades!$U$19,K234),1)*IF(Upgrades!$T$20="Moving Group",POWER(Upgrades!$U$20,L234),1)))*POWER(Upgrades!$P$13,E234)*POWER(Upgrades!$P$14,F234)*POWER(Upgrades!$P$15,G234)*POWER(Upgrades!$P$16,H234)*POWER(Upgrades!$P$17,I234)*POWER(Upgrades!$P$18,J234)*POWER(Upgrades!$P$19,K234)*POWER(Upgrades!$P$20,L234)*POWER(Upgrades!$P$21,M234)*$F$6+$C$6</f>
        <v/>
      </c>
      <c r="Q234" s="28">
        <f>((IF(E234=0,0,(Upgrades!$M$13+E234*Upgrades!$N$13)*POWER(Upgrades!$O$13,E234)))*(IF(Upgrades!$T$14="Stellar Kinematics",POWER(Upgrades!$U$14,F234),1)*IF(Upgrades!$T$15="Stellar Kinematics",POWER(Upgrades!$U$15,G234),1)*IF(Upgrades!$T$16="Stellar Kinematics",POWER(Upgrades!$U$16,H234),1)*IF(Upgrades!$T$17="Stellar Kinematics",POWER(Upgrades!$U$17,I234),1)*IF(Upgrades!$T$18="Stellar Kinematics",POWER(Upgrades!$U$18,J234),1)*IF(Upgrades!$T$19="Stellar Kinematics",POWER(Upgrades!$U$19,K234),1)*IF(Upgrades!$T$20="Stellar Kinematics",POWER(Upgrades!$U$20,L234),1)*IF(Upgrades!$T$21="Stellar Kinematics",POWER(Upgrades!$U$21,M234),1))+(IF(F234=0,0,(Upgrades!$M$14+F234*Upgrades!$N$14)*POWER(Upgrades!$O$14,F234)))*(IF(Upgrades!$T$13="Local Bubble",POWER(Upgrades!$U$13,E234),1)*IF(Upgrades!$T$15="Local Bubble",POWER(Upgrades!$U$15,G234),1)*IF(Upgrades!$T$16="Local Bubble",POWER(Upgrades!$U$16,H234),1)*IF(Upgrades!$T$17="Local Bubble",POWER(Upgrades!$U$17,I234),1)*IF(Upgrades!$T$18="Local Bubble",POWER(Upgrades!$U$18,J234),1)*IF(Upgrades!$T$19="Local Bubble",POWER(Upgrades!$U$19,K234),1)*IF(Upgrades!$T$20="Local Bubble",POWER(Upgrades!$U$20,L234),1)*IF(Upgrades!$T$21="Local Bubble",POWER(Upgrades!$U$21,M234),1))+(IF(G234=0,0,(Upgrades!$M$15+G234*Upgrades!$N$15)*POWER(Upgrades!$O$15,G234)))*(IF(Upgrades!$T$13="Microlensing",POWER(Upgrades!$U$13,E234),1)*IF(Upgrades!$T$14="Microlensing",POWER(Upgrades!$U$14,F234),1)*IF(Upgrades!$T$16="Microlensing",POWER(Upgrades!$U$16,H234),1)*IF(Upgrades!$T$17="Microlensing",POWER(Upgrades!$U$17,I234),1)*IF(Upgrades!$T$18="Microlensing",POWER(Upgrades!$U$18,J234),1)*IF(Upgrades!$T$19="Microlensing",POWER(Upgrades!$U$19,K234),1)*IF(Upgrades!$T$20="Microlensing",POWER(Upgrades!$U$20,L234),1)*IF(Upgrades!$T$21="Microlensing",POWER(Upgrades!$U$21,M234),1))+(IF(H234=0,0,(Upgrades!$M$16+H234*Upgrades!$N$16)*POWER(Upgrades!$O$16,H234)))*(IF(Upgrades!$T$13="Roche Lobe Overflow",POWER(Upgrades!$U$13,E234),1)*IF(Upgrades!$T$14="Roche Lobe Overflow",POWER(Upgrades!$U$14,F234),1)*IF(Upgrades!$T$15="Roche Lobe Overflow",POWER(Upgrades!$U$15,G234),1)*IF(Upgrades!$T$17="Roche Lobe Overflow",POWER(Upgrades!$U$17,I234),1)*IF(Upgrades!$T$18="Roche Lobe Overflow",POWER(Upgrades!$U$18,J234),1)*IF(Upgrades!$T$19="Roche Lobe Overflow",POWER(Upgrades!$U$19,K234),1)*IF(Upgrades!$T$20="Roche Lobe Overflow",POWER(Upgrades!$U$20,L234),1)*IF(Upgrades!$T$21="Roche Lobe Overflow",POWER(Upgrades!$U$21,M234),1))+(IF(I234=0,0,(Upgrades!$M$17+I234*Upgrades!$N$17)*POWER(Upgrades!$O$17,I234)))*(IF(Upgrades!$T$13="Brown Dwarf",POWER(Upgrades!$U$13,E234),1)*IF(Upgrades!$T$14="Brown Dwarf",POWER(Upgrades!$U$14,F234),1)*IF(Upgrades!$T$15="Brown Dwarf",POWER(Upgrades!$U$15,G234),1)*IF(Upgrades!$T$16="Brown Dwarf",POWER(Upgrades!$U$16,H234),1)*IF(Upgrades!$T$18="Brown Dwarf",POWER(Upgrades!$U$18,J234),1)*IF(Upgrades!$T$19="Brown Dwarf",POWER(Upgrades!$U$19,K234),1)*IF(Upgrades!$T$20="Brown Dwarf",POWER(Upgrades!$U$20,L234),1)*IF(Upgrades!$T$21="Brown Dwarf",POWER(Upgrades!$U$21,M234),1))+(IF(J234=0,0,(Upgrades!$M$18+J234*Upgrades!$N$18)*POWER(Upgrades!$O$18,J234)))*(IF(Upgrades!$T$13="Binary Partner",POWER(Upgrades!$U$13,E234),1)*IF(Upgrades!$T$14="Binary Partner",POWER(Upgrades!$U$14,F234),1)*IF(Upgrades!$T$15="Binary Partner",POWER(Upgrades!$U$15,G234),1)*IF(Upgrades!$T$16="Binary Partner",POWER(Upgrades!$U$16,H234),1)*IF(Upgrades!$T$17="Binary Partner",POWER(Upgrades!$U$17,I234),1)*IF(Upgrades!$T$19="Binary Partner",POWER(Upgrades!$U$19,K234),1)*IF(Upgrades!$T$20="Binary Partner",POWER(Upgrades!$U$20,L234),1)*IF(Upgrades!$T$21="Binary Partner",POWER(Upgrades!$U$21,M234),1))+(IF(K234=0,0,(Upgrades!$M$19+K234*Upgrades!$N$19)*POWER(Upgrades!$O$19,K234)))*(IF(Upgrades!$T$13="Peculiar Velocity",POWER(Upgrades!$U$13,E234),1)*IF(Upgrades!$T$14="Peculiar Velocity",POWER(Upgrades!$U$14,F234),1)*IF(Upgrades!$T$15="Peculiar Velocity",POWER(Upgrades!$U$15,G234),1)*IF(Upgrades!$T$16="Peculiar Velocity",POWER(Upgrades!$U$16,H234),1)*IF(Upgrades!$T$17="Peculiar Velocity",POWER(Upgrades!$U$17,I234),1)*IF(Upgrades!$T$18="Peculiar Velocity",POWER(Upgrades!$U$18,J234),1)*IF(Upgrades!$T$20="Peculiar Velocity",POWER(Upgrades!$U$20,L234),1)*IF(Upgrades!$T$21="Peculiar Velocity",POWER(Upgrades!$U$21,M234),1))+(IF(L234=0,0,(Upgrades!$M$20+L234*Upgrades!$N$20)*POWER(Upgrades!$O$20,L234)))*(IF(Upgrades!$T$13="Open Cluster",POWER(Upgrades!$U$13,E234),1)*IF(Upgrades!$T$14="Open Cluster",POWER(Upgrades!$U$14,F234),1)*IF(Upgrades!$T$15="Open Cluster",POWER(Upgrades!$U$15,G234),1)*IF(Upgrades!$T$16="Open Cluster",POWER(Upgrades!$U$16,H234),1)*IF(Upgrades!$T$17="Open Cluster",POWER(Upgrades!$U$17,I234),1)*IF(Upgrades!$T$18="Open Cluster",POWER(Upgrades!$U$18,J234),1)*IF(Upgrades!$T$19="Open Cluster",POWER(Upgrades!$U$19,K234),1)*IF(Upgrades!$T$21="Open Cluster",POWER(Upgrades!$U$21,M234),1))+(IF(M234=0,0,(Upgrades!$M$21+M234*Upgrades!$N$21)*POWER(Upgrades!$O$21,M234)))*(IF(Upgrades!$T$13="Moving Group",POWER(Upgrades!$U$13,E234),1)*IF(Upgrades!$T$14="Moving Group",POWER(Upgrades!$U$14,F234),1)*IF(Upgrades!$T$15="Moving Group",POWER(Upgrades!$U$15,G234),1)*IF(Upgrades!$T$16="Moving Group",POWER(Upgrades!$U$16,H234),1)*IF(Upgrades!$T$17="Moving Group",POWER(Upgrades!$U$17,I234),1)*IF(Upgrades!$T$18="Moving Group",POWER(Upgrades!$U$18,J234),1)*IF(Upgrades!$T$19="Moving Group",POWER(Upgrades!$U$19,K234),1)*IF(Upgrades!$T$20="Moving Group",POWER(Upgrades!$U$20,L234),1)))*POWER(Upgrades!$R$13,E234)*POWER(Upgrades!$R$14,F234)*POWER(Upgrades!$R$15,G234)*POWER(Upgrades!$R$16,H234)*POWER(Upgrades!$R$17,I234)*POWER(Upgrades!$R$18,J234)*POWER(Upgrades!$R$19,K234)*POWER(Upgrades!$R$20,L234)*POWER(Upgrades!$R$21,M234)*$H$6+$E$6</f>
        <v/>
      </c>
      <c r="R234" s="27">
        <f>IF(N234=1,0,O234*Parameters!$B$10/60*Parameters!$B$11*10)</f>
        <v/>
      </c>
      <c r="S234" s="27">
        <f>IF(N234=1,0,Q234*O234*10)</f>
        <v/>
      </c>
      <c r="T234" s="27">
        <f>IF(N234=1,0,R234+S234+P234*10)</f>
        <v/>
      </c>
      <c r="U234" s="33">
        <f>BE234</f>
        <v/>
      </c>
      <c r="V234" s="22">
        <f>IF(U234="",0,IF(U234="transition",0,IF(U234="SK",AK234,IF(U234="LB",AL234,IF(U234="ML",AM234,IF(U234="RLO",AN234,IF(U234="BD",AO234,IF(U234="BiP",AP234,IF(U234="PV",AQ234,IF(U234="OC",AR234,IF(U234="MG",AS234,0))))))))))</f>
        <v/>
      </c>
      <c r="W234" s="27">
        <f>IF(U234="BiP",Upgrades!$F$18,IF(U234="PV",Upgrades!$F$19,IF(U234="OC",Upgrades!$F$20,IF(U234="MG",Upgrades!$F$21,IF(U234="transition",-Parameters!$B$18*Parameters!$B$19,0)))))</f>
        <v/>
      </c>
      <c r="X234" s="22">
        <f>C234+T234-V234</f>
        <v/>
      </c>
      <c r="Y234" s="30">
        <f>O234*Parameters!$B$10/60*Parameters!$B$11+Q234*O234+P234</f>
        <v/>
      </c>
      <c r="Z234" s="34">
        <f>IF(U234="transition","→ Tier 3 (Galactic Arm)",IF(U234="MG","Moving Group — pocket drifts together",IF(U234="OC","Open Cluster acquired",IF(U234="PV","Peculiar Velocity — passive multiplier active",IF(U234="BiP","Binary Partner — pair bond formed",IF(AND(AU234=1,N234=0,AT234&lt;&gt;1),"Cohesion ready (waiting on completionists)","")))))) </f>
        <v/>
      </c>
      <c r="AA234" s="27">
        <f>(IF(E234=0,0,(Upgrades!$G$13+E234*Upgrades!$H$13)*POWER(Upgrades!$I$13,E234)))*(IF(Upgrades!$T$14="Stellar Kinematics",POWER(Upgrades!$U$14,F234),1)*IF(Upgrades!$T$15="Stellar Kinematics",POWER(Upgrades!$U$15,G234),1)*IF(Upgrades!$T$16="Stellar Kinematics",POWER(Upgrades!$U$16,H234),1)*IF(Upgrades!$T$17="Stellar Kinematics",POWER(Upgrades!$U$17,I234),1)*IF(Upgrades!$T$18="Stellar Kinematics",POWER(Upgrades!$U$18,J234),1)*IF(Upgrades!$T$19="Stellar Kinematics",POWER(Upgrades!$U$19,K234),1)*IF(Upgrades!$T$20="Stellar Kinematics",POWER(Upgrades!$U$20,L234),1)*IF(Upgrades!$T$21="Stellar Kinematics",POWER(Upgrades!$U$21,M234),1))*POWER(Upgrades!$P$13,E234)*POWER(Upgrades!$P$14,F234)*POWER(Upgrades!$P$15,G234)*POWER(Upgrades!$P$16,H234)*POWER(Upgrades!$P$17,I234)*POWER(Upgrades!$P$18,J234)*POWER(Upgrades!$P$19,K234)*POWER(Upgrades!$P$20,L234)*POWER(Upgrades!$P$21,M234)*$F$6*60</f>
        <v/>
      </c>
      <c r="AB234" s="27">
        <f>(IF(F234=0,0,(Upgrades!$G$14+F234*Upgrades!$H$14)*POWER(Upgrades!$I$14,F234)))*(IF(Upgrades!$T$13="Local Bubble",POWER(Upgrades!$U$13,E234),1)*IF(Upgrades!$T$15="Local Bubble",POWER(Upgrades!$U$15,G234),1)*IF(Upgrades!$T$16="Local Bubble",POWER(Upgrades!$U$16,H234),1)*IF(Upgrades!$T$17="Local Bubble",POWER(Upgrades!$U$17,I234),1)*IF(Upgrades!$T$18="Local Bubble",POWER(Upgrades!$U$18,J234),1)*IF(Upgrades!$T$19="Local Bubble",POWER(Upgrades!$U$19,K234),1)*IF(Upgrades!$T$20="Local Bubble",POWER(Upgrades!$U$20,L234),1)*IF(Upgrades!$T$21="Local Bubble",POWER(Upgrades!$U$21,M234),1))*POWER(Upgrades!$P$13,E234)*POWER(Upgrades!$P$14,F234)*POWER(Upgrades!$P$15,G234)*POWER(Upgrades!$P$16,H234)*POWER(Upgrades!$P$17,I234)*POWER(Upgrades!$P$18,J234)*POWER(Upgrades!$P$19,K234)*POWER(Upgrades!$P$20,L234)*POWER(Upgrades!$P$21,M234)*$F$6*60</f>
        <v/>
      </c>
      <c r="AC234" s="27">
        <f>(IF(G234=0,0,(Upgrades!$J$15+G234*Upgrades!$K$15)*POWER(Upgrades!$L$15,G234)))*(IF(Upgrades!$T$13="Microlensing",POWER(Upgrades!$U$13,E234),1)*IF(Upgrades!$T$14="Microlensing",POWER(Upgrades!$U$14,F234),1)*IF(Upgrades!$T$16="Microlensing",POWER(Upgrades!$U$16,H234),1)*IF(Upgrades!$T$17="Microlensing",POWER(Upgrades!$U$17,I234),1)*IF(Upgrades!$T$18="Microlensing",POWER(Upgrades!$U$18,J234),1)*IF(Upgrades!$T$19="Microlensing",POWER(Upgrades!$U$19,K234),1)*IF(Upgrades!$T$20="Microlensing",POWER(Upgrades!$U$20,L234),1)*IF(Upgrades!$T$21="Microlensing",POWER(Upgrades!$U$21,M234),1))*POWER(Upgrades!$Q$13,E234)*POWER(Upgrades!$Q$14,F234)*POWER(Upgrades!$Q$15,G234)*POWER(Upgrades!$Q$16,H234)*POWER(Upgrades!$Q$17,I234)*POWER(Upgrades!$Q$18,J234)*POWER(Upgrades!$Q$19,K234)*POWER(Upgrades!$Q$20,L234)*POWER(Upgrades!$Q$21,M234)*$G$6*(Parameters!$B$10*Parameters!$B$11+Q234*60)</f>
        <v/>
      </c>
      <c r="AD234" s="27">
        <f>(IF(H234=0,0,(Upgrades!$M$16+H234*Upgrades!$N$16)*POWER(Upgrades!$O$16,H234)))*(IF(Upgrades!$T$13="Roche Lobe Overflow",POWER(Upgrades!$U$13,E234),1)*IF(Upgrades!$T$14="Roche Lobe Overflow",POWER(Upgrades!$U$14,F234),1)*IF(Upgrades!$T$15="Roche Lobe Overflow",POWER(Upgrades!$U$15,G234),1)*IF(Upgrades!$T$17="Roche Lobe Overflow",POWER(Upgrades!$U$17,I234),1)*IF(Upgrades!$T$18="Roche Lobe Overflow",POWER(Upgrades!$U$18,J234),1)*IF(Upgrades!$T$19="Roche Lobe Overflow",POWER(Upgrades!$U$19,K234),1)*IF(Upgrades!$T$20="Roche Lobe Overflow",POWER(Upgrades!$U$20,L234),1)*IF(Upgrades!$T$21="Roche Lobe Overflow",POWER(Upgrades!$U$21,M234),1))*POWER(Upgrades!$R$13,E234)*POWER(Upgrades!$R$14,F234)*POWER(Upgrades!$R$15,G234)*POWER(Upgrades!$R$16,H234)*POWER(Upgrades!$R$17,I234)*POWER(Upgrades!$R$18,J234)*POWER(Upgrades!$R$19,K234)*POWER(Upgrades!$R$20,L234)*POWER(Upgrades!$R$21,M234)*$H$6*O234*60</f>
        <v/>
      </c>
      <c r="AE234" s="27">
        <f>(IF(I234=0,0,(Upgrades!$G$17+I234*Upgrades!$H$17)*POWER(Upgrades!$I$17,I234)))*(IF(Upgrades!$T$13="Brown Dwarf",POWER(Upgrades!$U$13,E234),1)*IF(Upgrades!$T$14="Brown Dwarf",POWER(Upgrades!$U$14,F234),1)*IF(Upgrades!$T$15="Brown Dwarf",POWER(Upgrades!$U$15,G234),1)*IF(Upgrades!$T$16="Brown Dwarf",POWER(Upgrades!$U$16,H234),1)*IF(Upgrades!$T$18="Brown Dwarf",POWER(Upgrades!$U$18,J234),1)*IF(Upgrades!$T$19="Brown Dwarf",POWER(Upgrades!$U$19,K234),1)*IF(Upgrades!$T$20="Brown Dwarf",POWER(Upgrades!$U$20,L234),1)*IF(Upgrades!$T$21="Brown Dwarf",POWER(Upgrades!$U$21,M234),1))*POWER(Upgrades!$P$13,E234)*POWER(Upgrades!$P$14,F234)*POWER(Upgrades!$P$15,G234)*POWER(Upgrades!$P$16,H234)*POWER(Upgrades!$P$17,I234)*POWER(Upgrades!$P$18,J234)*POWER(Upgrades!$P$19,K234)*POWER(Upgrades!$P$20,L234)*POWER(Upgrades!$P$21,M234)*$F$6*60</f>
        <v/>
      </c>
      <c r="AF234" s="27" t="n">
        <v>0</v>
      </c>
      <c r="AG234" s="27" t="n">
        <v>0</v>
      </c>
      <c r="AH234" s="27" t="n">
        <v>0</v>
      </c>
      <c r="AI234" s="27">
        <f>(IF(M234=0,0,(Upgrades!$G$21+M234*Upgrades!$H$21)*POWER(Upgrades!$I$21,M234)))*(IF(Upgrades!$T$13="Moving Group",POWER(Upgrades!$U$13,E234),1)*IF(Upgrades!$T$14="Moving Group",POWER(Upgrades!$U$14,F234),1)*IF(Upgrades!$T$15="Moving Group",POWER(Upgrades!$U$15,G234),1)*IF(Upgrades!$T$16="Moving Group",POWER(Upgrades!$U$16,H234),1)*IF(Upgrades!$T$17="Moving Group",POWER(Upgrades!$U$17,I234),1)*IF(Upgrades!$T$18="Moving Group",POWER(Upgrades!$U$18,J234),1)*IF(Upgrades!$T$19="Moving Group",POWER(Upgrades!$U$19,K234),1)*IF(Upgrades!$T$20="Moving Group",POWER(Upgrades!$U$20,L234),1))*POWER(Upgrades!$P$13,E234)*POWER(Upgrades!$P$14,F234)*POWER(Upgrades!$P$15,G234)*POWER(Upgrades!$P$16,H234)*POWER(Upgrades!$P$17,I234)*POWER(Upgrades!$P$18,J234)*POWER(Upgrades!$P$19,K234)*POWER(Upgrades!$P$20,L234)*POWER(Upgrades!$P$21,M234)*$F$6*60</f>
        <v/>
      </c>
      <c r="AJ234" s="27">
        <f>$C$6*60</f>
        <v/>
      </c>
      <c r="AK234" s="22">
        <f>IF(E234&gt;=Upgrades!$E$13,"",Upgrades!$C$13*POWER(Upgrades!$D$13,E234))</f>
        <v/>
      </c>
      <c r="AL234" s="22">
        <f>IF(F234&gt;=Upgrades!$E$14,"",Upgrades!$C$14*POWER(Upgrades!$D$14,F234))</f>
        <v/>
      </c>
      <c r="AM234" s="22">
        <f>IF(G234&gt;=Upgrades!$E$15,"",Upgrades!$C$15*POWER(Upgrades!$D$15,G234))</f>
        <v/>
      </c>
      <c r="AN234" s="22">
        <f>IF(H234&gt;=Upgrades!$E$16,"",Upgrades!$C$16*POWER(Upgrades!$D$16,H234))</f>
        <v/>
      </c>
      <c r="AO234" s="22">
        <f>IF(I234&gt;=Upgrades!$E$17,"",Upgrades!$C$17*POWER(Upgrades!$D$17,I234))</f>
        <v/>
      </c>
      <c r="AP234" s="22">
        <f>IF(J234&gt;=Upgrades!$E$18,"",Upgrades!$C$18*POWER(Upgrades!$D$18,J234))</f>
        <v/>
      </c>
      <c r="AQ234" s="22">
        <f>IF(K234&gt;=Upgrades!$E$19,"",Upgrades!$C$19*POWER(Upgrades!$D$19,K234))</f>
        <v/>
      </c>
      <c r="AR234" s="22">
        <f>IF(L234&gt;=Upgrades!$E$20,"",Upgrades!$C$20*POWER(Upgrades!$D$20,L234))</f>
        <v/>
      </c>
      <c r="AS234" s="22">
        <f>IF(M234&gt;=Upgrades!$E$21,"",Upgrades!$C$21*POWER(Upgrades!$D$21,M234))</f>
        <v/>
      </c>
      <c r="AT234" s="26">
        <f>IF(AND(D234&gt;=Parameters!$B$18*Parameters!$B$19,(I234&gt;=Upgrades!$E$17)*(M234&gt;=Upgrades!$E$21)=1,N234=0),1,"")</f>
        <v/>
      </c>
      <c r="AU234" s="26">
        <f>IF(AND(D234&gt;=Parameters!$B$18*Parameters!$B$19,N234=0),1,"")</f>
        <v/>
      </c>
      <c r="AV234" s="22">
        <f>MIN(IF(ISNUMBER(AP234),AP234,9E15),IF(ISNUMBER(AQ234),AQ234,9E15),IF(ISNUMBER(AR234),AR234,9E15),IF(ISNUMBER(AS234),AS234,9E15))</f>
        <v/>
      </c>
      <c r="AW234" s="22">
        <f>MIN(IF(ISNUMBER(AK234),AK234,9E15),IF(ISNUMBER(AL234),AL234,9E15),IF(ISNUMBER(AM234),AM234,9E15),IF(ISNUMBER(AN234),AN234,9E15),IF(ISNUMBER(AO234),AO234,9E15))</f>
        <v/>
      </c>
      <c r="AX234" s="29">
        <f>IF(BD234&gt;Parameters!$B$21*(MAX(IF(AND(NOT(AND(AU234=1,AT234&lt;&gt;1)),ISNUMBER(AK234),AK234&lt;=(C234+T234)),AY234,0),IF(AND(NOT(AND(AU234=1,AT234&lt;&gt;1)),ISNUMBER(AL234),AL234&lt;=(C234+T234)),AZ234,0),IF(AND(NOT(AND(AU234=1,AT234&lt;&gt;1)),ISNUMBER(AM234),AM234&lt;=(C234+T234)),BA234,0),IF(AND(NOT(AND(AU234=1,AT234&lt;&gt;1)),ISNUMBER(AN234),AN234&lt;=(C234+T234)),BB234,0),IF(AND(ISNUMBER(AO234),AO234&lt;=(C234+T234)),BC234,0))),TRUE,FALSE)</f>
        <v/>
      </c>
      <c r="AY234" s="32">
        <f>IFERROR(Upgrades!$H$13*(POWER(Upgrades!$P$13,E234)*POWER(Upgrades!$P$14,F234)*POWER(Upgrades!$P$15,G234)*POWER(Upgrades!$P$16,H234)*POWER(Upgrades!$P$17,I234)*POWER(Upgrades!$P$18,J234)*POWER(Upgrades!$P$19,K234)*POWER(Upgrades!$P$20,L234)*POWER(Upgrades!$P$21,M234))*(IF(Upgrades!$T$14="Stellar Kinematics",POWER(Upgrades!$U$14,F234),1)*IF(Upgrades!$T$15="Stellar Kinematics",POWER(Upgrades!$U$15,G234),1)*IF(Upgrades!$T$16="Stellar Kinematics",POWER(Upgrades!$U$16,H234),1)*IF(Upgrades!$T$17="Stellar Kinematics",POWER(Upgrades!$U$17,I234),1)*IF(Upgrades!$T$18="Stellar Kinematics",POWER(Upgrades!$U$18,J234),1)*IF(Upgrades!$T$19="Stellar Kinematics",POWER(Upgrades!$U$19,K234),1)*IF(Upgrades!$T$20="Stellar Kinematics",POWER(Upgrades!$U$20,L234),1)*IF(Upgrades!$T$21="Stellar Kinematics",POWER(Upgrades!$U$21,M234),1))*$F$6/AK234,0)</f>
        <v/>
      </c>
      <c r="AZ234" s="32">
        <f>IFERROR(Upgrades!$H$14*(POWER(Upgrades!$P$13,E234)*POWER(Upgrades!$P$14,F234)*POWER(Upgrades!$P$15,G234)*POWER(Upgrades!$P$16,H234)*POWER(Upgrades!$P$17,I234)*POWER(Upgrades!$P$18,J234)*POWER(Upgrades!$P$19,K234)*POWER(Upgrades!$P$20,L234)*POWER(Upgrades!$P$21,M234))*(IF(Upgrades!$T$13="Local Bubble",POWER(Upgrades!$U$13,E234),1)*IF(Upgrades!$T$15="Local Bubble",POWER(Upgrades!$U$15,G234),1)*IF(Upgrades!$T$16="Local Bubble",POWER(Upgrades!$U$16,H234),1)*IF(Upgrades!$T$17="Local Bubble",POWER(Upgrades!$U$17,I234),1)*IF(Upgrades!$T$18="Local Bubble",POWER(Upgrades!$U$18,J234),1)*IF(Upgrades!$T$19="Local Bubble",POWER(Upgrades!$U$19,K234),1)*IF(Upgrades!$T$20="Local Bubble",POWER(Upgrades!$U$20,L234),1)*IF(Upgrades!$T$21="Local Bubble",POWER(Upgrades!$U$21,M234),1))*$F$6/AL234,0)</f>
        <v/>
      </c>
      <c r="BA234" s="32">
        <f>IFERROR(Upgrades!$K$15*(POWER(Upgrades!$Q$13,E234)*POWER(Upgrades!$Q$14,F234)*POWER(Upgrades!$Q$15,G234)*POWER(Upgrades!$Q$16,H234)*POWER(Upgrades!$Q$17,I234)*POWER(Upgrades!$Q$18,J234)*POWER(Upgrades!$Q$19,K234)*POWER(Upgrades!$Q$20,L234)*POWER(Upgrades!$Q$21,M234))*(IF(Upgrades!$T$13="Microlensing",POWER(Upgrades!$U$13,E234),1)*IF(Upgrades!$T$14="Microlensing",POWER(Upgrades!$U$14,F234),1)*IF(Upgrades!$T$16="Microlensing",POWER(Upgrades!$U$16,H234),1)*IF(Upgrades!$T$17="Microlensing",POWER(Upgrades!$U$17,I234),1)*IF(Upgrades!$T$18="Microlensing",POWER(Upgrades!$U$18,J234),1)*IF(Upgrades!$T$19="Microlensing",POWER(Upgrades!$U$19,K234),1)*IF(Upgrades!$T$20="Microlensing",POWER(Upgrades!$U$20,L234),1)*IF(Upgrades!$T$21="Microlensing",POWER(Upgrades!$U$21,M234),1))*$G$6*(Parameters!$B$10/60*Parameters!$B$11+Q234)/AM234,0)</f>
        <v/>
      </c>
      <c r="BB234" s="32">
        <f>IFERROR((Upgrades!$N$16*(POWER(Upgrades!$R$13,E234)*POWER(Upgrades!$R$14,F234)*POWER(Upgrades!$R$15,G234)*POWER(Upgrades!$R$16,H234)*POWER(Upgrades!$R$17,I234)*POWER(Upgrades!$R$18,J234)*POWER(Upgrades!$R$19,K234)*POWER(Upgrades!$R$20,L234)*POWER(Upgrades!$R$21,M234))*(IF(Upgrades!$T$13="Roche Lobe Overflow",POWER(Upgrades!$U$13,E234),1)*IF(Upgrades!$T$14="Roche Lobe Overflow",POWER(Upgrades!$U$14,F234),1)*IF(Upgrades!$T$15="Roche Lobe Overflow",POWER(Upgrades!$U$15,G234),1)*IF(Upgrades!$T$17="Roche Lobe Overflow",POWER(Upgrades!$U$17,I234),1)*IF(Upgrades!$T$18="Roche Lobe Overflow",POWER(Upgrades!$U$18,J234),1)*IF(Upgrades!$T$19="Roche Lobe Overflow",POWER(Upgrades!$U$19,K234),1)*IF(Upgrades!$T$20="Roche Lobe Overflow",POWER(Upgrades!$U$20,L234),1)*IF(Upgrades!$T$21="Roche Lobe Overflow",POWER(Upgrades!$U$21,M234),1))*$H$6*O234+((IF(F234=0,0,(Upgrades!$G$14+F234*Upgrades!$H$14)*POWER(Upgrades!$I$14,F234)))*(IF(Upgrades!$T$13="Local Bubble",POWER(Upgrades!$U$13,E234),1)*IF(Upgrades!$T$15="Local Bubble",POWER(Upgrades!$U$15,G234),1)*IF(Upgrades!$T$16="Local Bubble",POWER(Upgrades!$U$16,H234),1)*IF(Upgrades!$T$17="Local Bubble",POWER(Upgrades!$U$17,I234),1)*IF(Upgrades!$T$18="Local Bubble",POWER(Upgrades!$U$18,J234),1)*IF(Upgrades!$T$19="Local Bubble",POWER(Upgrades!$U$19,K234),1)*IF(Upgrades!$T$20="Local Bubble",POWER(Upgrades!$U$20,L234),1)*IF(Upgrades!$T$21="Local Bubble",POWER(Upgrades!$U$21,M234),1))*POWER(Upgrades!$P$13,E234)*POWER(Upgrades!$P$14,F234)*POWER(Upgrades!$P$15,G234)*POWER(Upgrades!$P$16,H234)*POWER(Upgrades!$P$17,I234)*POWER(Upgrades!$P$18,J234)*POWER(Upgrades!$P$19,K234)*POWER(Upgrades!$P$20,L234)*POWER(Upgrades!$P$21,M234)*$F$6)*0.05)/AN234,0)</f>
        <v/>
      </c>
      <c r="BC234" s="32">
        <f>IFERROR((Upgrades!$H$17*(POWER(Upgrades!$P$13,E234)*POWER(Upgrades!$P$14,F234)*POWER(Upgrades!$P$15,G234)*POWER(Upgrades!$P$16,H234)*POWER(Upgrades!$P$17,I234)*POWER(Upgrades!$P$18,J234)*POWER(Upgrades!$P$19,K234)*POWER(Upgrades!$P$20,L234)*POWER(Upgrades!$P$21,M234))*(IF(Upgrades!$T$13="Brown Dwarf",POWER(Upgrades!$U$13,E234),1)*IF(Upgrades!$T$14="Brown Dwarf",POWER(Upgrades!$U$14,F234),1)*IF(Upgrades!$T$15="Brown Dwarf",POWER(Upgrades!$U$15,G234),1)*IF(Upgrades!$T$16="Brown Dwarf",POWER(Upgrades!$U$16,H234),1)*IF(Upgrades!$T$18="Brown Dwarf",POWER(Upgrades!$U$18,J234),1)*IF(Upgrades!$T$19="Brown Dwarf",POWER(Upgrades!$U$19,K234),1)*IF(Upgrades!$T$20="Brown Dwarf",POWER(Upgrades!$U$20,L234),1)*IF(Upgrades!$T$21="Brown Dwarf",POWER(Upgrades!$U$21,M234),1))*$F$6+(((IF(H234=0,0,(Upgrades!$M$16+H234*Upgrades!$N$16)*POWER(Upgrades!$O$16,H234)))*(IF(Upgrades!$T$13="Roche Lobe Overflow",POWER(Upgrades!$U$13,E234),1)*IF(Upgrades!$T$14="Roche Lobe Overflow",POWER(Upgrades!$U$14,F234),1)*IF(Upgrades!$T$15="Roche Lobe Overflow",POWER(Upgrades!$U$15,G234),1)*IF(Upgrades!$T$17="Roche Lobe Overflow",POWER(Upgrades!$U$17,I234),1)*IF(Upgrades!$T$18="Roche Lobe Overflow",POWER(Upgrades!$U$18,J234),1)*IF(Upgrades!$T$19="Roche Lobe Overflow",POWER(Upgrades!$U$19,K234),1)*IF(Upgrades!$T$20="Roche Lobe Overflow",POWER(Upgrades!$U$20,L234),1)*IF(Upgrades!$T$21="Roche Lobe Overflow",POWER(Upgrades!$U$21,M234),1))*POWER(Upgrades!$R$13,E234)*POWER(Upgrades!$R$14,F234)*POWER(Upgrades!$R$15,G234)*POWER(Upgrades!$R$16,H234)*POWER(Upgrades!$R$17,I234)*POWER(Upgrades!$R$18,J234)*POWER(Upgrades!$R$19,K234)*POWER(Upgrades!$R$20,L234)*POWER(Upgrades!$R$21,M234)*$H$6)*O234)*0.10)/AO234,0)</f>
        <v/>
      </c>
      <c r="BD234" s="32">
        <f>MAX(IF(J234&gt;0,0,IFERROR(0.5*((IF(G234=0,0,(Upgrades!$J$15+G234*Upgrades!$K$15)*POWER(Upgrades!$L$15,G234)))*(IF(Upgrades!$T$13="Microlensing",POWER(Upgrades!$U$13,E234),1)*IF(Upgrades!$T$14="Microlensing",POWER(Upgrades!$U$14,F234),1)*IF(Upgrades!$T$16="Microlensing",POWER(Upgrades!$U$16,H234),1)*IF(Upgrades!$T$17="Microlensing",POWER(Upgrades!$U$17,I234),1)*IF(Upgrades!$T$18="Microlensing",POWER(Upgrades!$U$18,J234),1)*IF(Upgrades!$T$19="Microlensing",POWER(Upgrades!$U$19,K234),1)*IF(Upgrades!$T$20="Microlensing",POWER(Upgrades!$U$20,L234),1)*IF(Upgrades!$T$21="Microlensing",POWER(Upgrades!$U$21,M234),1))*(POWER(Upgrades!$Q$13,E234)*POWER(Upgrades!$Q$14,F234)*POWER(Upgrades!$Q$15,G234)*POWER(Upgrades!$Q$16,H234)*POWER(Upgrades!$Q$17,I234)*POWER(Upgrades!$Q$18,J234)*POWER(Upgrades!$Q$19,K234)*POWER(Upgrades!$Q$20,L234)*POWER(Upgrades!$Q$21,M234))*$G$6*(Parameters!$B$10/60*Parameters!$B$11+Q234))/Upgrades!$C$18,0)),IF(K234&gt;0,0,IFERROR(0.30*P234/Upgrades!$C$19,0)),IF(L234&gt;0,0,IFERROR(0.0001/Upgrades!$C$20,0)),IF(M234&gt;0,0,IFERROR((6.0*(POWER(Upgrades!$P$13,E234)*POWER(Upgrades!$P$14,F234)*POWER(Upgrades!$P$15,G234)*POWER(Upgrades!$P$16,H234)*POWER(Upgrades!$P$17,I234)*POWER(Upgrades!$P$18,J234)*POWER(Upgrades!$P$19,K234)*POWER(Upgrades!$P$20,L234)*POWER(Upgrades!$P$21,M234))*$F$6+0.20*O234*(Parameters!$B$10/60*Parameters!$B$11+Q234))/Upgrades!$C$21,0)),IF(AND(ISNUMBER(AK234),AK234&gt;(C234+T234)),AY234,0),IF(AND(ISNUMBER(AL234),AL234&gt;(C234+T234)),AZ234,0),IF(AND(ISNUMBER(AM234),AM234&gt;(C234+T234)),BA234,0),IF(AND(ISNUMBER(AN234),AN234&gt;(C234+T234)),BB234,0),IF(AND(ISNUMBER(AO234),AO234&gt;(C234+T234)),BC234,0))</f>
        <v/>
      </c>
      <c r="BE234" s="29">
        <f>IF(AT234=1,"transition",IF(MIN(IF(AND(J234=0,ISNUMBER(AP234),AP234&lt;=(C234+T234)),AP234,9E15),IF(AND(K234=0,ISNUMBER(AQ234),AQ234&lt;=(C234+T234)),AQ234,9E15),IF(AND(L234=0,ISNUMBER(AR234),AR234&lt;=(C234+T234)),AR234,9E15),IF(AND(M234=0,ISNUMBER(AS234),AS234&lt;=(C234+T234)),AS234,9E15))&lt;9E15,IF(AND(AND(J234=0,ISNUMBER(AP234),AP234&lt;=(C234+T234)),AP234=MIN(IF(AND(J234=0,ISNUMBER(AP234),AP234&lt;=(C234+T234)),AP234,9E15),IF(AND(K234=0,ISNUMBER(AQ234),AQ234&lt;=(C234+T234)),AQ234,9E15),IF(AND(L234=0,ISNUMBER(AR234),AR234&lt;=(C234+T234)),AR234,9E15),IF(AND(M234=0,ISNUMBER(AS234),AS234&lt;=(C234+T234)),AS234,9E15))),"BiP",IF(AND(AND(K234=0,ISNUMBER(AQ234),AQ234&lt;=(C234+T234)),AQ234=MIN(IF(AND(J234=0,ISNUMBER(AP234),AP234&lt;=(C234+T234)),AP234,9E15),IF(AND(K234=0,ISNUMBER(AQ234),AQ234&lt;=(C234+T234)),AQ234,9E15),IF(AND(L234=0,ISNUMBER(AR234),AR234&lt;=(C234+T234)),AR234,9E15),IF(AND(M234=0,ISNUMBER(AS234),AS234&lt;=(C234+T234)),AS234,9E15))),"PV",IF(AND(AND(L234=0,ISNUMBER(AR234),AR234&lt;=(C234+T234)),AR234=MIN(IF(AND(J234=0,ISNUMBER(AP234),AP234&lt;=(C234+T234)),AP234,9E15),IF(AND(K234=0,ISNUMBER(AQ234),AQ234&lt;=(C234+T234)),AQ234,9E15),IF(AND(L234=0,ISNUMBER(AR234),AR234&lt;=(C234+T234)),AR234,9E15),IF(AND(M234=0,ISNUMBER(AS234),AS234&lt;=(C234+T234)),AS234,9E15))),"OC","MG"))),IF(AX234=TRUE,"",IF(MAX(IF(AND(NOT(AND(AU234=1,AT234&lt;&gt;1)),ISNUMBER(AK234),AK234&lt;=(C234+T234)),AY234,0),IF(AND(NOT(AND(AU234=1,AT234&lt;&gt;1)),ISNUMBER(AL234),AL234&lt;=(C234+T234)),AZ234,0),IF(AND(NOT(AND(AU234=1,AT234&lt;&gt;1)),ISNUMBER(AM234),AM234&lt;=(C234+T234)),BA234,0),IF(AND(NOT(AND(AU234=1,AT234&lt;&gt;1)),ISNUMBER(AN234),AN234&lt;=(C234+T234)),BB234,0),IF(AND(ISNUMBER(AO234),AO234&lt;=(C234+T234)),BC234,0))&lt;=0,"",IF(AND(IF(AND(NOT(AND(AU234=1,AT234&lt;&gt;1)),ISNUMBER(AK234),AK234&lt;=(C234+T234)),AY234,0)&gt;0,IF(AND(NOT(AND(AU234=1,AT234&lt;&gt;1)),ISNUMBER(AK234),AK234&lt;=(C234+T234)),AY234,0)=MAX(IF(AND(NOT(AND(AU234=1,AT234&lt;&gt;1)),ISNUMBER(AK234),AK234&lt;=(C234+T234)),AY234,0),IF(AND(NOT(AND(AU234=1,AT234&lt;&gt;1)),ISNUMBER(AL234),AL234&lt;=(C234+T234)),AZ234,0),IF(AND(NOT(AND(AU234=1,AT234&lt;&gt;1)),ISNUMBER(AM234),AM234&lt;=(C234+T234)),BA234,0),IF(AND(NOT(AND(AU234=1,AT234&lt;&gt;1)),ISNUMBER(AN234),AN234&lt;=(C234+T234)),BB234,0),IF(AND(ISNUMBER(AO234),AO234&lt;=(C234+T234)),BC234,0))),"SK",IF(AND(IF(AND(NOT(AND(AU234=1,AT234&lt;&gt;1)),ISNUMBER(AL234),AL234&lt;=(C234+T234)),AZ234,0)&gt;0,IF(AND(NOT(AND(AU234=1,AT234&lt;&gt;1)),ISNUMBER(AL234),AL234&lt;=(C234+T234)),AZ234,0)=MAX(IF(AND(NOT(AND(AU234=1,AT234&lt;&gt;1)),ISNUMBER(AK234),AK234&lt;=(C234+T234)),AY234,0),IF(AND(NOT(AND(AU234=1,AT234&lt;&gt;1)),ISNUMBER(AL234),AL234&lt;=(C234+T234)),AZ234,0),IF(AND(NOT(AND(AU234=1,AT234&lt;&gt;1)),ISNUMBER(AM234),AM234&lt;=(C234+T234)),BA234,0),IF(AND(NOT(AND(AU234=1,AT234&lt;&gt;1)),ISNUMBER(AN234),AN234&lt;=(C234+T234)),BB234,0),IF(AND(ISNUMBER(AO234),AO234&lt;=(C234+T234)),BC234,0))),"LB",IF(AND(IF(AND(NOT(AND(AU234=1,AT234&lt;&gt;1)),ISNUMBER(AM234),AM234&lt;=(C234+T234)),BA234,0)&gt;0,IF(AND(NOT(AND(AU234=1,AT234&lt;&gt;1)),ISNUMBER(AM234),AM234&lt;=(C234+T234)),BA234,0)=MAX(IF(AND(NOT(AND(AU234=1,AT234&lt;&gt;1)),ISNUMBER(AK234),AK234&lt;=(C234+T234)),AY234,0),IF(AND(NOT(AND(AU234=1,AT234&lt;&gt;1)),ISNUMBER(AL234),AL234&lt;=(C234+T234)),AZ234,0),IF(AND(NOT(AND(AU234=1,AT234&lt;&gt;1)),ISNUMBER(AM234),AM234&lt;=(C234+T234)),BA234,0),IF(AND(NOT(AND(AU234=1,AT234&lt;&gt;1)),ISNUMBER(AN234),AN234&lt;=(C234+T234)),BB234,0),IF(AND(ISNUMBER(AO234),AO234&lt;=(C234+T234)),BC234,0))),"ML",IF(AND(IF(AND(NOT(AND(AU234=1,AT234&lt;&gt;1)),ISNUMBER(AN234),AN234&lt;=(C234+T234)),BB234,0)&gt;0,IF(AND(NOT(AND(AU234=1,AT234&lt;&gt;1)),ISNUMBER(AN234),AN234&lt;=(C234+T234)),BB234,0)=MAX(IF(AND(NOT(AND(AU234=1,AT234&lt;&gt;1)),ISNUMBER(AK234),AK234&lt;=(C234+T234)),AY234,0),IF(AND(NOT(AND(AU234=1,AT234&lt;&gt;1)),ISNUMBER(AL234),AL234&lt;=(C234+T234)),AZ234,0),IF(AND(NOT(AND(AU234=1,AT234&lt;&gt;1)),ISNUMBER(AM234),AM234&lt;=(C234+T234)),BA234,0),IF(AND(NOT(AND(AU234=1,AT234&lt;&gt;1)),ISNUMBER(AN234),AN234&lt;=(C234+T234)),BB234,0),IF(AND(ISNUMBER(AO234),AO234&lt;=(C234+T234)),BC234,0))),"RLO","BD"))))))))</f>
        <v/>
      </c>
    </row>
    <row r="235">
      <c r="A235" s="26" t="n">
        <v>224</v>
      </c>
      <c r="B235" s="27">
        <f>A235*10/60</f>
        <v/>
      </c>
      <c r="C235" s="22">
        <f>X234</f>
        <v/>
      </c>
      <c r="D235" s="27">
        <f>D234+W234</f>
        <v/>
      </c>
      <c r="E235" s="26">
        <f>E234+IF(U234="SK",1,0)</f>
        <v/>
      </c>
      <c r="F235" s="26">
        <f>F234+IF(U234="LB",1,0)</f>
        <v/>
      </c>
      <c r="G235" s="26">
        <f>G234+IF(U234="ML",1,0)</f>
        <v/>
      </c>
      <c r="H235" s="26">
        <f>H234+IF(U234="RLO",1,0)</f>
        <v/>
      </c>
      <c r="I235" s="26">
        <f>I234+IF(U234="BD",1,0)</f>
        <v/>
      </c>
      <c r="J235" s="26">
        <f>MAX(J234,IF(U234="BiP",1,0))</f>
        <v/>
      </c>
      <c r="K235" s="26">
        <f>MAX(K234,IF(U234="PV",1,0))</f>
        <v/>
      </c>
      <c r="L235" s="26">
        <f>MAX(L234,IF(U234="OC",1,0))</f>
        <v/>
      </c>
      <c r="M235" s="26">
        <f>MAX(M234,IF(U234="MG",1,0))</f>
        <v/>
      </c>
      <c r="N235" s="26">
        <f>MAX(N234,IF(U234="transition",1,0))</f>
        <v/>
      </c>
      <c r="O235" s="28">
        <f>(Parameters!$B$9+(IF(E235=0,0,(Upgrades!$J$13+E235*Upgrades!$K$13)*POWER(Upgrades!$L$13,E235)))*(IF(Upgrades!$T$14="Stellar Kinematics",POWER(Upgrades!$U$14,F235),1)*IF(Upgrades!$T$15="Stellar Kinematics",POWER(Upgrades!$U$15,G235),1)*IF(Upgrades!$T$16="Stellar Kinematics",POWER(Upgrades!$U$16,H235),1)*IF(Upgrades!$T$17="Stellar Kinematics",POWER(Upgrades!$U$17,I235),1)*IF(Upgrades!$T$18="Stellar Kinematics",POWER(Upgrades!$U$18,J235),1)*IF(Upgrades!$T$19="Stellar Kinematics",POWER(Upgrades!$U$19,K235),1)*IF(Upgrades!$T$20="Stellar Kinematics",POWER(Upgrades!$U$20,L235),1)*IF(Upgrades!$T$21="Stellar Kinematics",POWER(Upgrades!$U$21,M235),1))+(IF(F235=0,0,(Upgrades!$J$14+F235*Upgrades!$K$14)*POWER(Upgrades!$L$14,F235)))*(IF(Upgrades!$T$13="Local Bubble",POWER(Upgrades!$U$13,E235),1)*IF(Upgrades!$T$15="Local Bubble",POWER(Upgrades!$U$15,G235),1)*IF(Upgrades!$T$16="Local Bubble",POWER(Upgrades!$U$16,H235),1)*IF(Upgrades!$T$17="Local Bubble",POWER(Upgrades!$U$17,I235),1)*IF(Upgrades!$T$18="Local Bubble",POWER(Upgrades!$U$18,J235),1)*IF(Upgrades!$T$19="Local Bubble",POWER(Upgrades!$U$19,K235),1)*IF(Upgrades!$T$20="Local Bubble",POWER(Upgrades!$U$20,L235),1)*IF(Upgrades!$T$21="Local Bubble",POWER(Upgrades!$U$21,M235),1))+(IF(G235=0,0,(Upgrades!$J$15+G235*Upgrades!$K$15)*POWER(Upgrades!$L$15,G235)))*(IF(Upgrades!$T$13="Microlensing",POWER(Upgrades!$U$13,E235),1)*IF(Upgrades!$T$14="Microlensing",POWER(Upgrades!$U$14,F235),1)*IF(Upgrades!$T$16="Microlensing",POWER(Upgrades!$U$16,H235),1)*IF(Upgrades!$T$17="Microlensing",POWER(Upgrades!$U$17,I235),1)*IF(Upgrades!$T$18="Microlensing",POWER(Upgrades!$U$18,J235),1)*IF(Upgrades!$T$19="Microlensing",POWER(Upgrades!$U$19,K235),1)*IF(Upgrades!$T$20="Microlensing",POWER(Upgrades!$U$20,L235),1)*IF(Upgrades!$T$21="Microlensing",POWER(Upgrades!$U$21,M235),1))+(IF(H235=0,0,(Upgrades!$J$16+H235*Upgrades!$K$16)*POWER(Upgrades!$L$16,H235)))*(IF(Upgrades!$T$13="Roche Lobe Overflow",POWER(Upgrades!$U$13,E235),1)*IF(Upgrades!$T$14="Roche Lobe Overflow",POWER(Upgrades!$U$14,F235),1)*IF(Upgrades!$T$15="Roche Lobe Overflow",POWER(Upgrades!$U$15,G235),1)*IF(Upgrades!$T$17="Roche Lobe Overflow",POWER(Upgrades!$U$17,I235),1)*IF(Upgrades!$T$18="Roche Lobe Overflow",POWER(Upgrades!$U$18,J235),1)*IF(Upgrades!$T$19="Roche Lobe Overflow",POWER(Upgrades!$U$19,K235),1)*IF(Upgrades!$T$20="Roche Lobe Overflow",POWER(Upgrades!$U$20,L235),1)*IF(Upgrades!$T$21="Roche Lobe Overflow",POWER(Upgrades!$U$21,M235),1))+(IF(I235=0,0,(Upgrades!$J$17+I235*Upgrades!$K$17)*POWER(Upgrades!$L$17,I235)))*(IF(Upgrades!$T$13="Brown Dwarf",POWER(Upgrades!$U$13,E235),1)*IF(Upgrades!$T$14="Brown Dwarf",POWER(Upgrades!$U$14,F235),1)*IF(Upgrades!$T$15="Brown Dwarf",POWER(Upgrades!$U$15,G235),1)*IF(Upgrades!$T$16="Brown Dwarf",POWER(Upgrades!$U$16,H235),1)*IF(Upgrades!$T$18="Brown Dwarf",POWER(Upgrades!$U$18,J235),1)*IF(Upgrades!$T$19="Brown Dwarf",POWER(Upgrades!$U$19,K235),1)*IF(Upgrades!$T$20="Brown Dwarf",POWER(Upgrades!$U$20,L235),1)*IF(Upgrades!$T$21="Brown Dwarf",POWER(Upgrades!$U$21,M235),1))+(IF(J235=0,0,(Upgrades!$J$18+J235*Upgrades!$K$18)*POWER(Upgrades!$L$18,J235)))*(IF(Upgrades!$T$13="Binary Partner",POWER(Upgrades!$U$13,E235),1)*IF(Upgrades!$T$14="Binary Partner",POWER(Upgrades!$U$14,F235),1)*IF(Upgrades!$T$15="Binary Partner",POWER(Upgrades!$U$15,G235),1)*IF(Upgrades!$T$16="Binary Partner",POWER(Upgrades!$U$16,H235),1)*IF(Upgrades!$T$17="Binary Partner",POWER(Upgrades!$U$17,I235),1)*IF(Upgrades!$T$19="Binary Partner",POWER(Upgrades!$U$19,K235),1)*IF(Upgrades!$T$20="Binary Partner",POWER(Upgrades!$U$20,L235),1)*IF(Upgrades!$T$21="Binary Partner",POWER(Upgrades!$U$21,M235),1))+(IF(K235=0,0,(Upgrades!$J$19+K235*Upgrades!$K$19)*POWER(Upgrades!$L$19,K235)))*(IF(Upgrades!$T$13="Peculiar Velocity",POWER(Upgrades!$U$13,E235),1)*IF(Upgrades!$T$14="Peculiar Velocity",POWER(Upgrades!$U$14,F235),1)*IF(Upgrades!$T$15="Peculiar Velocity",POWER(Upgrades!$U$15,G235),1)*IF(Upgrades!$T$16="Peculiar Velocity",POWER(Upgrades!$U$16,H235),1)*IF(Upgrades!$T$17="Peculiar Velocity",POWER(Upgrades!$U$17,I235),1)*IF(Upgrades!$T$18="Peculiar Velocity",POWER(Upgrades!$U$18,J235),1)*IF(Upgrades!$T$20="Peculiar Velocity",POWER(Upgrades!$U$20,L235),1)*IF(Upgrades!$T$21="Peculiar Velocity",POWER(Upgrades!$U$21,M235),1))+(IF(L235=0,0,(Upgrades!$J$20+L235*Upgrades!$K$20)*POWER(Upgrades!$L$20,L235)))*(IF(Upgrades!$T$13="Open Cluster",POWER(Upgrades!$U$13,E235),1)*IF(Upgrades!$T$14="Open Cluster",POWER(Upgrades!$U$14,F235),1)*IF(Upgrades!$T$15="Open Cluster",POWER(Upgrades!$U$15,G235),1)*IF(Upgrades!$T$16="Open Cluster",POWER(Upgrades!$U$16,H235),1)*IF(Upgrades!$T$17="Open Cluster",POWER(Upgrades!$U$17,I235),1)*IF(Upgrades!$T$18="Open Cluster",POWER(Upgrades!$U$18,J235),1)*IF(Upgrades!$T$19="Open Cluster",POWER(Upgrades!$U$19,K235),1)*IF(Upgrades!$T$21="Open Cluster",POWER(Upgrades!$U$21,M235),1))+(IF(M235=0,0,(Upgrades!$J$21+M235*Upgrades!$K$21)*POWER(Upgrades!$L$21,M235)))*(IF(Upgrades!$T$13="Moving Group",POWER(Upgrades!$U$13,E235),1)*IF(Upgrades!$T$14="Moving Group",POWER(Upgrades!$U$14,F235),1)*IF(Upgrades!$T$15="Moving Group",POWER(Upgrades!$U$15,G235),1)*IF(Upgrades!$T$16="Moving Group",POWER(Upgrades!$U$16,H235),1)*IF(Upgrades!$T$17="Moving Group",POWER(Upgrades!$U$17,I235),1)*IF(Upgrades!$T$18="Moving Group",POWER(Upgrades!$U$18,J235),1)*IF(Upgrades!$T$19="Moving Group",POWER(Upgrades!$U$19,K235),1)*IF(Upgrades!$T$20="Moving Group",POWER(Upgrades!$U$20,L235),1)))*POWER(Upgrades!$Q$13,E235)*POWER(Upgrades!$Q$14,F235)*POWER(Upgrades!$Q$15,G235)*POWER(Upgrades!$Q$16,H235)*POWER(Upgrades!$Q$17,I235)*POWER(Upgrades!$Q$18,J235)*POWER(Upgrades!$Q$19,K235)*POWER(Upgrades!$Q$20,L235)*POWER(Upgrades!$Q$21,M235)*$G$6+$D$6</f>
        <v/>
      </c>
      <c r="P235" s="28">
        <f>((IF(E235=0,0,(Upgrades!$G$13+E235*Upgrades!$H$13)*POWER(Upgrades!$I$13,E235)))*(IF(Upgrades!$T$14="Stellar Kinematics",POWER(Upgrades!$U$14,F235),1)*IF(Upgrades!$T$15="Stellar Kinematics",POWER(Upgrades!$U$15,G235),1)*IF(Upgrades!$T$16="Stellar Kinematics",POWER(Upgrades!$U$16,H235),1)*IF(Upgrades!$T$17="Stellar Kinematics",POWER(Upgrades!$U$17,I235),1)*IF(Upgrades!$T$18="Stellar Kinematics",POWER(Upgrades!$U$18,J235),1)*IF(Upgrades!$T$19="Stellar Kinematics",POWER(Upgrades!$U$19,K235),1)*IF(Upgrades!$T$20="Stellar Kinematics",POWER(Upgrades!$U$20,L235),1)*IF(Upgrades!$T$21="Stellar Kinematics",POWER(Upgrades!$U$21,M235),1))+(IF(F235=0,0,(Upgrades!$G$14+F235*Upgrades!$H$14)*POWER(Upgrades!$I$14,F235)))*(IF(Upgrades!$T$13="Local Bubble",POWER(Upgrades!$U$13,E235),1)*IF(Upgrades!$T$15="Local Bubble",POWER(Upgrades!$U$15,G235),1)*IF(Upgrades!$T$16="Local Bubble",POWER(Upgrades!$U$16,H235),1)*IF(Upgrades!$T$17="Local Bubble",POWER(Upgrades!$U$17,I235),1)*IF(Upgrades!$T$18="Local Bubble",POWER(Upgrades!$U$18,J235),1)*IF(Upgrades!$T$19="Local Bubble",POWER(Upgrades!$U$19,K235),1)*IF(Upgrades!$T$20="Local Bubble",POWER(Upgrades!$U$20,L235),1)*IF(Upgrades!$T$21="Local Bubble",POWER(Upgrades!$U$21,M235),1))+(IF(G235=0,0,(Upgrades!$G$15+G235*Upgrades!$H$15)*POWER(Upgrades!$I$15,G235)))*(IF(Upgrades!$T$13="Microlensing",POWER(Upgrades!$U$13,E235),1)*IF(Upgrades!$T$14="Microlensing",POWER(Upgrades!$U$14,F235),1)*IF(Upgrades!$T$16="Microlensing",POWER(Upgrades!$U$16,H235),1)*IF(Upgrades!$T$17="Microlensing",POWER(Upgrades!$U$17,I235),1)*IF(Upgrades!$T$18="Microlensing",POWER(Upgrades!$U$18,J235),1)*IF(Upgrades!$T$19="Microlensing",POWER(Upgrades!$U$19,K235),1)*IF(Upgrades!$T$20="Microlensing",POWER(Upgrades!$U$20,L235),1)*IF(Upgrades!$T$21="Microlensing",POWER(Upgrades!$U$21,M235),1))+(IF(H235=0,0,(Upgrades!$G$16+H235*Upgrades!$H$16)*POWER(Upgrades!$I$16,H235)))*(IF(Upgrades!$T$13="Roche Lobe Overflow",POWER(Upgrades!$U$13,E235),1)*IF(Upgrades!$T$14="Roche Lobe Overflow",POWER(Upgrades!$U$14,F235),1)*IF(Upgrades!$T$15="Roche Lobe Overflow",POWER(Upgrades!$U$15,G235),1)*IF(Upgrades!$T$17="Roche Lobe Overflow",POWER(Upgrades!$U$17,I235),1)*IF(Upgrades!$T$18="Roche Lobe Overflow",POWER(Upgrades!$U$18,J235),1)*IF(Upgrades!$T$19="Roche Lobe Overflow",POWER(Upgrades!$U$19,K235),1)*IF(Upgrades!$T$20="Roche Lobe Overflow",POWER(Upgrades!$U$20,L235),1)*IF(Upgrades!$T$21="Roche Lobe Overflow",POWER(Upgrades!$U$21,M235),1))+(IF(I235=0,0,(Upgrades!$G$17+I235*Upgrades!$H$17)*POWER(Upgrades!$I$17,I235)))*(IF(Upgrades!$T$13="Brown Dwarf",POWER(Upgrades!$U$13,E235),1)*IF(Upgrades!$T$14="Brown Dwarf",POWER(Upgrades!$U$14,F235),1)*IF(Upgrades!$T$15="Brown Dwarf",POWER(Upgrades!$U$15,G235),1)*IF(Upgrades!$T$16="Brown Dwarf",POWER(Upgrades!$U$16,H235),1)*IF(Upgrades!$T$18="Brown Dwarf",POWER(Upgrades!$U$18,J235),1)*IF(Upgrades!$T$19="Brown Dwarf",POWER(Upgrades!$U$19,K235),1)*IF(Upgrades!$T$20="Brown Dwarf",POWER(Upgrades!$U$20,L235),1)*IF(Upgrades!$T$21="Brown Dwarf",POWER(Upgrades!$U$21,M235),1))+(IF(J235=0,0,(Upgrades!$G$18+J235*Upgrades!$H$18)*POWER(Upgrades!$I$18,J235)))*(IF(Upgrades!$T$13="Binary Partner",POWER(Upgrades!$U$13,E235),1)*IF(Upgrades!$T$14="Binary Partner",POWER(Upgrades!$U$14,F235),1)*IF(Upgrades!$T$15="Binary Partner",POWER(Upgrades!$U$15,G235),1)*IF(Upgrades!$T$16="Binary Partner",POWER(Upgrades!$U$16,H235),1)*IF(Upgrades!$T$17="Binary Partner",POWER(Upgrades!$U$17,I235),1)*IF(Upgrades!$T$19="Binary Partner",POWER(Upgrades!$U$19,K235),1)*IF(Upgrades!$T$20="Binary Partner",POWER(Upgrades!$U$20,L235),1)*IF(Upgrades!$T$21="Binary Partner",POWER(Upgrades!$U$21,M235),1))+(IF(K235=0,0,(Upgrades!$G$19+K235*Upgrades!$H$19)*POWER(Upgrades!$I$19,K235)))*(IF(Upgrades!$T$13="Peculiar Velocity",POWER(Upgrades!$U$13,E235),1)*IF(Upgrades!$T$14="Peculiar Velocity",POWER(Upgrades!$U$14,F235),1)*IF(Upgrades!$T$15="Peculiar Velocity",POWER(Upgrades!$U$15,G235),1)*IF(Upgrades!$T$16="Peculiar Velocity",POWER(Upgrades!$U$16,H235),1)*IF(Upgrades!$T$17="Peculiar Velocity",POWER(Upgrades!$U$17,I235),1)*IF(Upgrades!$T$18="Peculiar Velocity",POWER(Upgrades!$U$18,J235),1)*IF(Upgrades!$T$20="Peculiar Velocity",POWER(Upgrades!$U$20,L235),1)*IF(Upgrades!$T$21="Peculiar Velocity",POWER(Upgrades!$U$21,M235),1))+(IF(L235=0,0,(Upgrades!$G$20+L235*Upgrades!$H$20)*POWER(Upgrades!$I$20,L235)))*(IF(Upgrades!$T$13="Open Cluster",POWER(Upgrades!$U$13,E235),1)*IF(Upgrades!$T$14="Open Cluster",POWER(Upgrades!$U$14,F235),1)*IF(Upgrades!$T$15="Open Cluster",POWER(Upgrades!$U$15,G235),1)*IF(Upgrades!$T$16="Open Cluster",POWER(Upgrades!$U$16,H235),1)*IF(Upgrades!$T$17="Open Cluster",POWER(Upgrades!$U$17,I235),1)*IF(Upgrades!$T$18="Open Cluster",POWER(Upgrades!$U$18,J235),1)*IF(Upgrades!$T$19="Open Cluster",POWER(Upgrades!$U$19,K235),1)*IF(Upgrades!$T$21="Open Cluster",POWER(Upgrades!$U$21,M235),1))+(IF(M235=0,0,(Upgrades!$G$21+M235*Upgrades!$H$21)*POWER(Upgrades!$I$21,M235)))*(IF(Upgrades!$T$13="Moving Group",POWER(Upgrades!$U$13,E235),1)*IF(Upgrades!$T$14="Moving Group",POWER(Upgrades!$U$14,F235),1)*IF(Upgrades!$T$15="Moving Group",POWER(Upgrades!$U$15,G235),1)*IF(Upgrades!$T$16="Moving Group",POWER(Upgrades!$U$16,H235),1)*IF(Upgrades!$T$17="Moving Group",POWER(Upgrades!$U$17,I235),1)*IF(Upgrades!$T$18="Moving Group",POWER(Upgrades!$U$18,J235),1)*IF(Upgrades!$T$19="Moving Group",POWER(Upgrades!$U$19,K235),1)*IF(Upgrades!$T$20="Moving Group",POWER(Upgrades!$U$20,L235),1)))*POWER(Upgrades!$P$13,E235)*POWER(Upgrades!$P$14,F235)*POWER(Upgrades!$P$15,G235)*POWER(Upgrades!$P$16,H235)*POWER(Upgrades!$P$17,I235)*POWER(Upgrades!$P$18,J235)*POWER(Upgrades!$P$19,K235)*POWER(Upgrades!$P$20,L235)*POWER(Upgrades!$P$21,M235)*$F$6+$C$6</f>
        <v/>
      </c>
      <c r="Q235" s="28">
        <f>((IF(E235=0,0,(Upgrades!$M$13+E235*Upgrades!$N$13)*POWER(Upgrades!$O$13,E235)))*(IF(Upgrades!$T$14="Stellar Kinematics",POWER(Upgrades!$U$14,F235),1)*IF(Upgrades!$T$15="Stellar Kinematics",POWER(Upgrades!$U$15,G235),1)*IF(Upgrades!$T$16="Stellar Kinematics",POWER(Upgrades!$U$16,H235),1)*IF(Upgrades!$T$17="Stellar Kinematics",POWER(Upgrades!$U$17,I235),1)*IF(Upgrades!$T$18="Stellar Kinematics",POWER(Upgrades!$U$18,J235),1)*IF(Upgrades!$T$19="Stellar Kinematics",POWER(Upgrades!$U$19,K235),1)*IF(Upgrades!$T$20="Stellar Kinematics",POWER(Upgrades!$U$20,L235),1)*IF(Upgrades!$T$21="Stellar Kinematics",POWER(Upgrades!$U$21,M235),1))+(IF(F235=0,0,(Upgrades!$M$14+F235*Upgrades!$N$14)*POWER(Upgrades!$O$14,F235)))*(IF(Upgrades!$T$13="Local Bubble",POWER(Upgrades!$U$13,E235),1)*IF(Upgrades!$T$15="Local Bubble",POWER(Upgrades!$U$15,G235),1)*IF(Upgrades!$T$16="Local Bubble",POWER(Upgrades!$U$16,H235),1)*IF(Upgrades!$T$17="Local Bubble",POWER(Upgrades!$U$17,I235),1)*IF(Upgrades!$T$18="Local Bubble",POWER(Upgrades!$U$18,J235),1)*IF(Upgrades!$T$19="Local Bubble",POWER(Upgrades!$U$19,K235),1)*IF(Upgrades!$T$20="Local Bubble",POWER(Upgrades!$U$20,L235),1)*IF(Upgrades!$T$21="Local Bubble",POWER(Upgrades!$U$21,M235),1))+(IF(G235=0,0,(Upgrades!$M$15+G235*Upgrades!$N$15)*POWER(Upgrades!$O$15,G235)))*(IF(Upgrades!$T$13="Microlensing",POWER(Upgrades!$U$13,E235),1)*IF(Upgrades!$T$14="Microlensing",POWER(Upgrades!$U$14,F235),1)*IF(Upgrades!$T$16="Microlensing",POWER(Upgrades!$U$16,H235),1)*IF(Upgrades!$T$17="Microlensing",POWER(Upgrades!$U$17,I235),1)*IF(Upgrades!$T$18="Microlensing",POWER(Upgrades!$U$18,J235),1)*IF(Upgrades!$T$19="Microlensing",POWER(Upgrades!$U$19,K235),1)*IF(Upgrades!$T$20="Microlensing",POWER(Upgrades!$U$20,L235),1)*IF(Upgrades!$T$21="Microlensing",POWER(Upgrades!$U$21,M235),1))+(IF(H235=0,0,(Upgrades!$M$16+H235*Upgrades!$N$16)*POWER(Upgrades!$O$16,H235)))*(IF(Upgrades!$T$13="Roche Lobe Overflow",POWER(Upgrades!$U$13,E235),1)*IF(Upgrades!$T$14="Roche Lobe Overflow",POWER(Upgrades!$U$14,F235),1)*IF(Upgrades!$T$15="Roche Lobe Overflow",POWER(Upgrades!$U$15,G235),1)*IF(Upgrades!$T$17="Roche Lobe Overflow",POWER(Upgrades!$U$17,I235),1)*IF(Upgrades!$T$18="Roche Lobe Overflow",POWER(Upgrades!$U$18,J235),1)*IF(Upgrades!$T$19="Roche Lobe Overflow",POWER(Upgrades!$U$19,K235),1)*IF(Upgrades!$T$20="Roche Lobe Overflow",POWER(Upgrades!$U$20,L235),1)*IF(Upgrades!$T$21="Roche Lobe Overflow",POWER(Upgrades!$U$21,M235),1))+(IF(I235=0,0,(Upgrades!$M$17+I235*Upgrades!$N$17)*POWER(Upgrades!$O$17,I235)))*(IF(Upgrades!$T$13="Brown Dwarf",POWER(Upgrades!$U$13,E235),1)*IF(Upgrades!$T$14="Brown Dwarf",POWER(Upgrades!$U$14,F235),1)*IF(Upgrades!$T$15="Brown Dwarf",POWER(Upgrades!$U$15,G235),1)*IF(Upgrades!$T$16="Brown Dwarf",POWER(Upgrades!$U$16,H235),1)*IF(Upgrades!$T$18="Brown Dwarf",POWER(Upgrades!$U$18,J235),1)*IF(Upgrades!$T$19="Brown Dwarf",POWER(Upgrades!$U$19,K235),1)*IF(Upgrades!$T$20="Brown Dwarf",POWER(Upgrades!$U$20,L235),1)*IF(Upgrades!$T$21="Brown Dwarf",POWER(Upgrades!$U$21,M235),1))+(IF(J235=0,0,(Upgrades!$M$18+J235*Upgrades!$N$18)*POWER(Upgrades!$O$18,J235)))*(IF(Upgrades!$T$13="Binary Partner",POWER(Upgrades!$U$13,E235),1)*IF(Upgrades!$T$14="Binary Partner",POWER(Upgrades!$U$14,F235),1)*IF(Upgrades!$T$15="Binary Partner",POWER(Upgrades!$U$15,G235),1)*IF(Upgrades!$T$16="Binary Partner",POWER(Upgrades!$U$16,H235),1)*IF(Upgrades!$T$17="Binary Partner",POWER(Upgrades!$U$17,I235),1)*IF(Upgrades!$T$19="Binary Partner",POWER(Upgrades!$U$19,K235),1)*IF(Upgrades!$T$20="Binary Partner",POWER(Upgrades!$U$20,L235),1)*IF(Upgrades!$T$21="Binary Partner",POWER(Upgrades!$U$21,M235),1))+(IF(K235=0,0,(Upgrades!$M$19+K235*Upgrades!$N$19)*POWER(Upgrades!$O$19,K235)))*(IF(Upgrades!$T$13="Peculiar Velocity",POWER(Upgrades!$U$13,E235),1)*IF(Upgrades!$T$14="Peculiar Velocity",POWER(Upgrades!$U$14,F235),1)*IF(Upgrades!$T$15="Peculiar Velocity",POWER(Upgrades!$U$15,G235),1)*IF(Upgrades!$T$16="Peculiar Velocity",POWER(Upgrades!$U$16,H235),1)*IF(Upgrades!$T$17="Peculiar Velocity",POWER(Upgrades!$U$17,I235),1)*IF(Upgrades!$T$18="Peculiar Velocity",POWER(Upgrades!$U$18,J235),1)*IF(Upgrades!$T$20="Peculiar Velocity",POWER(Upgrades!$U$20,L235),1)*IF(Upgrades!$T$21="Peculiar Velocity",POWER(Upgrades!$U$21,M235),1))+(IF(L235=0,0,(Upgrades!$M$20+L235*Upgrades!$N$20)*POWER(Upgrades!$O$20,L235)))*(IF(Upgrades!$T$13="Open Cluster",POWER(Upgrades!$U$13,E235),1)*IF(Upgrades!$T$14="Open Cluster",POWER(Upgrades!$U$14,F235),1)*IF(Upgrades!$T$15="Open Cluster",POWER(Upgrades!$U$15,G235),1)*IF(Upgrades!$T$16="Open Cluster",POWER(Upgrades!$U$16,H235),1)*IF(Upgrades!$T$17="Open Cluster",POWER(Upgrades!$U$17,I235),1)*IF(Upgrades!$T$18="Open Cluster",POWER(Upgrades!$U$18,J235),1)*IF(Upgrades!$T$19="Open Cluster",POWER(Upgrades!$U$19,K235),1)*IF(Upgrades!$T$21="Open Cluster",POWER(Upgrades!$U$21,M235),1))+(IF(M235=0,0,(Upgrades!$M$21+M235*Upgrades!$N$21)*POWER(Upgrades!$O$21,M235)))*(IF(Upgrades!$T$13="Moving Group",POWER(Upgrades!$U$13,E235),1)*IF(Upgrades!$T$14="Moving Group",POWER(Upgrades!$U$14,F235),1)*IF(Upgrades!$T$15="Moving Group",POWER(Upgrades!$U$15,G235),1)*IF(Upgrades!$T$16="Moving Group",POWER(Upgrades!$U$16,H235),1)*IF(Upgrades!$T$17="Moving Group",POWER(Upgrades!$U$17,I235),1)*IF(Upgrades!$T$18="Moving Group",POWER(Upgrades!$U$18,J235),1)*IF(Upgrades!$T$19="Moving Group",POWER(Upgrades!$U$19,K235),1)*IF(Upgrades!$T$20="Moving Group",POWER(Upgrades!$U$20,L235),1)))*POWER(Upgrades!$R$13,E235)*POWER(Upgrades!$R$14,F235)*POWER(Upgrades!$R$15,G235)*POWER(Upgrades!$R$16,H235)*POWER(Upgrades!$R$17,I235)*POWER(Upgrades!$R$18,J235)*POWER(Upgrades!$R$19,K235)*POWER(Upgrades!$R$20,L235)*POWER(Upgrades!$R$21,M235)*$H$6+$E$6</f>
        <v/>
      </c>
      <c r="R235" s="27">
        <f>IF(N235=1,0,O235*Parameters!$B$10/60*Parameters!$B$11*10)</f>
        <v/>
      </c>
      <c r="S235" s="27">
        <f>IF(N235=1,0,Q235*O235*10)</f>
        <v/>
      </c>
      <c r="T235" s="27">
        <f>IF(N235=1,0,R235+S235+P235*10)</f>
        <v/>
      </c>
      <c r="U235" s="33">
        <f>BE235</f>
        <v/>
      </c>
      <c r="V235" s="22">
        <f>IF(U235="",0,IF(U235="transition",0,IF(U235="SK",AK235,IF(U235="LB",AL235,IF(U235="ML",AM235,IF(U235="RLO",AN235,IF(U235="BD",AO235,IF(U235="BiP",AP235,IF(U235="PV",AQ235,IF(U235="OC",AR235,IF(U235="MG",AS235,0))))))))))</f>
        <v/>
      </c>
      <c r="W235" s="27">
        <f>IF(U235="BiP",Upgrades!$F$18,IF(U235="PV",Upgrades!$F$19,IF(U235="OC",Upgrades!$F$20,IF(U235="MG",Upgrades!$F$21,IF(U235="transition",-Parameters!$B$18*Parameters!$B$19,0)))))</f>
        <v/>
      </c>
      <c r="X235" s="22">
        <f>C235+T235-V235</f>
        <v/>
      </c>
      <c r="Y235" s="30">
        <f>O235*Parameters!$B$10/60*Parameters!$B$11+Q235*O235+P235</f>
        <v/>
      </c>
      <c r="Z235" s="34">
        <f>IF(U235="transition","→ Tier 3 (Galactic Arm)",IF(U235="MG","Moving Group — pocket drifts together",IF(U235="OC","Open Cluster acquired",IF(U235="PV","Peculiar Velocity — passive multiplier active",IF(U235="BiP","Binary Partner — pair bond formed",IF(AND(AU235=1,N235=0,AT235&lt;&gt;1),"Cohesion ready (waiting on completionists)","")))))) </f>
        <v/>
      </c>
      <c r="AA235" s="27">
        <f>(IF(E235=0,0,(Upgrades!$G$13+E235*Upgrades!$H$13)*POWER(Upgrades!$I$13,E235)))*(IF(Upgrades!$T$14="Stellar Kinematics",POWER(Upgrades!$U$14,F235),1)*IF(Upgrades!$T$15="Stellar Kinematics",POWER(Upgrades!$U$15,G235),1)*IF(Upgrades!$T$16="Stellar Kinematics",POWER(Upgrades!$U$16,H235),1)*IF(Upgrades!$T$17="Stellar Kinematics",POWER(Upgrades!$U$17,I235),1)*IF(Upgrades!$T$18="Stellar Kinematics",POWER(Upgrades!$U$18,J235),1)*IF(Upgrades!$T$19="Stellar Kinematics",POWER(Upgrades!$U$19,K235),1)*IF(Upgrades!$T$20="Stellar Kinematics",POWER(Upgrades!$U$20,L235),1)*IF(Upgrades!$T$21="Stellar Kinematics",POWER(Upgrades!$U$21,M235),1))*POWER(Upgrades!$P$13,E235)*POWER(Upgrades!$P$14,F235)*POWER(Upgrades!$P$15,G235)*POWER(Upgrades!$P$16,H235)*POWER(Upgrades!$P$17,I235)*POWER(Upgrades!$P$18,J235)*POWER(Upgrades!$P$19,K235)*POWER(Upgrades!$P$20,L235)*POWER(Upgrades!$P$21,M235)*$F$6*60</f>
        <v/>
      </c>
      <c r="AB235" s="27">
        <f>(IF(F235=0,0,(Upgrades!$G$14+F235*Upgrades!$H$14)*POWER(Upgrades!$I$14,F235)))*(IF(Upgrades!$T$13="Local Bubble",POWER(Upgrades!$U$13,E235),1)*IF(Upgrades!$T$15="Local Bubble",POWER(Upgrades!$U$15,G235),1)*IF(Upgrades!$T$16="Local Bubble",POWER(Upgrades!$U$16,H235),1)*IF(Upgrades!$T$17="Local Bubble",POWER(Upgrades!$U$17,I235),1)*IF(Upgrades!$T$18="Local Bubble",POWER(Upgrades!$U$18,J235),1)*IF(Upgrades!$T$19="Local Bubble",POWER(Upgrades!$U$19,K235),1)*IF(Upgrades!$T$20="Local Bubble",POWER(Upgrades!$U$20,L235),1)*IF(Upgrades!$T$21="Local Bubble",POWER(Upgrades!$U$21,M235),1))*POWER(Upgrades!$P$13,E235)*POWER(Upgrades!$P$14,F235)*POWER(Upgrades!$P$15,G235)*POWER(Upgrades!$P$16,H235)*POWER(Upgrades!$P$17,I235)*POWER(Upgrades!$P$18,J235)*POWER(Upgrades!$P$19,K235)*POWER(Upgrades!$P$20,L235)*POWER(Upgrades!$P$21,M235)*$F$6*60</f>
        <v/>
      </c>
      <c r="AC235" s="27">
        <f>(IF(G235=0,0,(Upgrades!$J$15+G235*Upgrades!$K$15)*POWER(Upgrades!$L$15,G235)))*(IF(Upgrades!$T$13="Microlensing",POWER(Upgrades!$U$13,E235),1)*IF(Upgrades!$T$14="Microlensing",POWER(Upgrades!$U$14,F235),1)*IF(Upgrades!$T$16="Microlensing",POWER(Upgrades!$U$16,H235),1)*IF(Upgrades!$T$17="Microlensing",POWER(Upgrades!$U$17,I235),1)*IF(Upgrades!$T$18="Microlensing",POWER(Upgrades!$U$18,J235),1)*IF(Upgrades!$T$19="Microlensing",POWER(Upgrades!$U$19,K235),1)*IF(Upgrades!$T$20="Microlensing",POWER(Upgrades!$U$20,L235),1)*IF(Upgrades!$T$21="Microlensing",POWER(Upgrades!$U$21,M235),1))*POWER(Upgrades!$Q$13,E235)*POWER(Upgrades!$Q$14,F235)*POWER(Upgrades!$Q$15,G235)*POWER(Upgrades!$Q$16,H235)*POWER(Upgrades!$Q$17,I235)*POWER(Upgrades!$Q$18,J235)*POWER(Upgrades!$Q$19,K235)*POWER(Upgrades!$Q$20,L235)*POWER(Upgrades!$Q$21,M235)*$G$6*(Parameters!$B$10*Parameters!$B$11+Q235*60)</f>
        <v/>
      </c>
      <c r="AD235" s="27">
        <f>(IF(H235=0,0,(Upgrades!$M$16+H235*Upgrades!$N$16)*POWER(Upgrades!$O$16,H235)))*(IF(Upgrades!$T$13="Roche Lobe Overflow",POWER(Upgrades!$U$13,E235),1)*IF(Upgrades!$T$14="Roche Lobe Overflow",POWER(Upgrades!$U$14,F235),1)*IF(Upgrades!$T$15="Roche Lobe Overflow",POWER(Upgrades!$U$15,G235),1)*IF(Upgrades!$T$17="Roche Lobe Overflow",POWER(Upgrades!$U$17,I235),1)*IF(Upgrades!$T$18="Roche Lobe Overflow",POWER(Upgrades!$U$18,J235),1)*IF(Upgrades!$T$19="Roche Lobe Overflow",POWER(Upgrades!$U$19,K235),1)*IF(Upgrades!$T$20="Roche Lobe Overflow",POWER(Upgrades!$U$20,L235),1)*IF(Upgrades!$T$21="Roche Lobe Overflow",POWER(Upgrades!$U$21,M235),1))*POWER(Upgrades!$R$13,E235)*POWER(Upgrades!$R$14,F235)*POWER(Upgrades!$R$15,G235)*POWER(Upgrades!$R$16,H235)*POWER(Upgrades!$R$17,I235)*POWER(Upgrades!$R$18,J235)*POWER(Upgrades!$R$19,K235)*POWER(Upgrades!$R$20,L235)*POWER(Upgrades!$R$21,M235)*$H$6*O235*60</f>
        <v/>
      </c>
      <c r="AE235" s="27">
        <f>(IF(I235=0,0,(Upgrades!$G$17+I235*Upgrades!$H$17)*POWER(Upgrades!$I$17,I235)))*(IF(Upgrades!$T$13="Brown Dwarf",POWER(Upgrades!$U$13,E235),1)*IF(Upgrades!$T$14="Brown Dwarf",POWER(Upgrades!$U$14,F235),1)*IF(Upgrades!$T$15="Brown Dwarf",POWER(Upgrades!$U$15,G235),1)*IF(Upgrades!$T$16="Brown Dwarf",POWER(Upgrades!$U$16,H235),1)*IF(Upgrades!$T$18="Brown Dwarf",POWER(Upgrades!$U$18,J235),1)*IF(Upgrades!$T$19="Brown Dwarf",POWER(Upgrades!$U$19,K235),1)*IF(Upgrades!$T$20="Brown Dwarf",POWER(Upgrades!$U$20,L235),1)*IF(Upgrades!$T$21="Brown Dwarf",POWER(Upgrades!$U$21,M235),1))*POWER(Upgrades!$P$13,E235)*POWER(Upgrades!$P$14,F235)*POWER(Upgrades!$P$15,G235)*POWER(Upgrades!$P$16,H235)*POWER(Upgrades!$P$17,I235)*POWER(Upgrades!$P$18,J235)*POWER(Upgrades!$P$19,K235)*POWER(Upgrades!$P$20,L235)*POWER(Upgrades!$P$21,M235)*$F$6*60</f>
        <v/>
      </c>
      <c r="AF235" s="27" t="n">
        <v>0</v>
      </c>
      <c r="AG235" s="27" t="n">
        <v>0</v>
      </c>
      <c r="AH235" s="27" t="n">
        <v>0</v>
      </c>
      <c r="AI235" s="27">
        <f>(IF(M235=0,0,(Upgrades!$G$21+M235*Upgrades!$H$21)*POWER(Upgrades!$I$21,M235)))*(IF(Upgrades!$T$13="Moving Group",POWER(Upgrades!$U$13,E235),1)*IF(Upgrades!$T$14="Moving Group",POWER(Upgrades!$U$14,F235),1)*IF(Upgrades!$T$15="Moving Group",POWER(Upgrades!$U$15,G235),1)*IF(Upgrades!$T$16="Moving Group",POWER(Upgrades!$U$16,H235),1)*IF(Upgrades!$T$17="Moving Group",POWER(Upgrades!$U$17,I235),1)*IF(Upgrades!$T$18="Moving Group",POWER(Upgrades!$U$18,J235),1)*IF(Upgrades!$T$19="Moving Group",POWER(Upgrades!$U$19,K235),1)*IF(Upgrades!$T$20="Moving Group",POWER(Upgrades!$U$20,L235),1))*POWER(Upgrades!$P$13,E235)*POWER(Upgrades!$P$14,F235)*POWER(Upgrades!$P$15,G235)*POWER(Upgrades!$P$16,H235)*POWER(Upgrades!$P$17,I235)*POWER(Upgrades!$P$18,J235)*POWER(Upgrades!$P$19,K235)*POWER(Upgrades!$P$20,L235)*POWER(Upgrades!$P$21,M235)*$F$6*60</f>
        <v/>
      </c>
      <c r="AJ235" s="27">
        <f>$C$6*60</f>
        <v/>
      </c>
      <c r="AK235" s="22">
        <f>IF(E235&gt;=Upgrades!$E$13,"",Upgrades!$C$13*POWER(Upgrades!$D$13,E235))</f>
        <v/>
      </c>
      <c r="AL235" s="22">
        <f>IF(F235&gt;=Upgrades!$E$14,"",Upgrades!$C$14*POWER(Upgrades!$D$14,F235))</f>
        <v/>
      </c>
      <c r="AM235" s="22">
        <f>IF(G235&gt;=Upgrades!$E$15,"",Upgrades!$C$15*POWER(Upgrades!$D$15,G235))</f>
        <v/>
      </c>
      <c r="AN235" s="22">
        <f>IF(H235&gt;=Upgrades!$E$16,"",Upgrades!$C$16*POWER(Upgrades!$D$16,H235))</f>
        <v/>
      </c>
      <c r="AO235" s="22">
        <f>IF(I235&gt;=Upgrades!$E$17,"",Upgrades!$C$17*POWER(Upgrades!$D$17,I235))</f>
        <v/>
      </c>
      <c r="AP235" s="22">
        <f>IF(J235&gt;=Upgrades!$E$18,"",Upgrades!$C$18*POWER(Upgrades!$D$18,J235))</f>
        <v/>
      </c>
      <c r="AQ235" s="22">
        <f>IF(K235&gt;=Upgrades!$E$19,"",Upgrades!$C$19*POWER(Upgrades!$D$19,K235))</f>
        <v/>
      </c>
      <c r="AR235" s="22">
        <f>IF(L235&gt;=Upgrades!$E$20,"",Upgrades!$C$20*POWER(Upgrades!$D$20,L235))</f>
        <v/>
      </c>
      <c r="AS235" s="22">
        <f>IF(M235&gt;=Upgrades!$E$21,"",Upgrades!$C$21*POWER(Upgrades!$D$21,M235))</f>
        <v/>
      </c>
      <c r="AT235" s="26">
        <f>IF(AND(D235&gt;=Parameters!$B$18*Parameters!$B$19,(I235&gt;=Upgrades!$E$17)*(M235&gt;=Upgrades!$E$21)=1,N235=0),1,"")</f>
        <v/>
      </c>
      <c r="AU235" s="26">
        <f>IF(AND(D235&gt;=Parameters!$B$18*Parameters!$B$19,N235=0),1,"")</f>
        <v/>
      </c>
      <c r="AV235" s="22">
        <f>MIN(IF(ISNUMBER(AP235),AP235,9E15),IF(ISNUMBER(AQ235),AQ235,9E15),IF(ISNUMBER(AR235),AR235,9E15),IF(ISNUMBER(AS235),AS235,9E15))</f>
        <v/>
      </c>
      <c r="AW235" s="22">
        <f>MIN(IF(ISNUMBER(AK235),AK235,9E15),IF(ISNUMBER(AL235),AL235,9E15),IF(ISNUMBER(AM235),AM235,9E15),IF(ISNUMBER(AN235),AN235,9E15),IF(ISNUMBER(AO235),AO235,9E15))</f>
        <v/>
      </c>
      <c r="AX235" s="29">
        <f>IF(BD235&gt;Parameters!$B$21*(MAX(IF(AND(NOT(AND(AU235=1,AT235&lt;&gt;1)),ISNUMBER(AK235),AK235&lt;=(C235+T235)),AY235,0),IF(AND(NOT(AND(AU235=1,AT235&lt;&gt;1)),ISNUMBER(AL235),AL235&lt;=(C235+T235)),AZ235,0),IF(AND(NOT(AND(AU235=1,AT235&lt;&gt;1)),ISNUMBER(AM235),AM235&lt;=(C235+T235)),BA235,0),IF(AND(NOT(AND(AU235=1,AT235&lt;&gt;1)),ISNUMBER(AN235),AN235&lt;=(C235+T235)),BB235,0),IF(AND(ISNUMBER(AO235),AO235&lt;=(C235+T235)),BC235,0))),TRUE,FALSE)</f>
        <v/>
      </c>
      <c r="AY235" s="32">
        <f>IFERROR(Upgrades!$H$13*(POWER(Upgrades!$P$13,E235)*POWER(Upgrades!$P$14,F235)*POWER(Upgrades!$P$15,G235)*POWER(Upgrades!$P$16,H235)*POWER(Upgrades!$P$17,I235)*POWER(Upgrades!$P$18,J235)*POWER(Upgrades!$P$19,K235)*POWER(Upgrades!$P$20,L235)*POWER(Upgrades!$P$21,M235))*(IF(Upgrades!$T$14="Stellar Kinematics",POWER(Upgrades!$U$14,F235),1)*IF(Upgrades!$T$15="Stellar Kinematics",POWER(Upgrades!$U$15,G235),1)*IF(Upgrades!$T$16="Stellar Kinematics",POWER(Upgrades!$U$16,H235),1)*IF(Upgrades!$T$17="Stellar Kinematics",POWER(Upgrades!$U$17,I235),1)*IF(Upgrades!$T$18="Stellar Kinematics",POWER(Upgrades!$U$18,J235),1)*IF(Upgrades!$T$19="Stellar Kinematics",POWER(Upgrades!$U$19,K235),1)*IF(Upgrades!$T$20="Stellar Kinematics",POWER(Upgrades!$U$20,L235),1)*IF(Upgrades!$T$21="Stellar Kinematics",POWER(Upgrades!$U$21,M235),1))*$F$6/AK235,0)</f>
        <v/>
      </c>
      <c r="AZ235" s="32">
        <f>IFERROR(Upgrades!$H$14*(POWER(Upgrades!$P$13,E235)*POWER(Upgrades!$P$14,F235)*POWER(Upgrades!$P$15,G235)*POWER(Upgrades!$P$16,H235)*POWER(Upgrades!$P$17,I235)*POWER(Upgrades!$P$18,J235)*POWER(Upgrades!$P$19,K235)*POWER(Upgrades!$P$20,L235)*POWER(Upgrades!$P$21,M235))*(IF(Upgrades!$T$13="Local Bubble",POWER(Upgrades!$U$13,E235),1)*IF(Upgrades!$T$15="Local Bubble",POWER(Upgrades!$U$15,G235),1)*IF(Upgrades!$T$16="Local Bubble",POWER(Upgrades!$U$16,H235),1)*IF(Upgrades!$T$17="Local Bubble",POWER(Upgrades!$U$17,I235),1)*IF(Upgrades!$T$18="Local Bubble",POWER(Upgrades!$U$18,J235),1)*IF(Upgrades!$T$19="Local Bubble",POWER(Upgrades!$U$19,K235),1)*IF(Upgrades!$T$20="Local Bubble",POWER(Upgrades!$U$20,L235),1)*IF(Upgrades!$T$21="Local Bubble",POWER(Upgrades!$U$21,M235),1))*$F$6/AL235,0)</f>
        <v/>
      </c>
      <c r="BA235" s="32">
        <f>IFERROR(Upgrades!$K$15*(POWER(Upgrades!$Q$13,E235)*POWER(Upgrades!$Q$14,F235)*POWER(Upgrades!$Q$15,G235)*POWER(Upgrades!$Q$16,H235)*POWER(Upgrades!$Q$17,I235)*POWER(Upgrades!$Q$18,J235)*POWER(Upgrades!$Q$19,K235)*POWER(Upgrades!$Q$20,L235)*POWER(Upgrades!$Q$21,M235))*(IF(Upgrades!$T$13="Microlensing",POWER(Upgrades!$U$13,E235),1)*IF(Upgrades!$T$14="Microlensing",POWER(Upgrades!$U$14,F235),1)*IF(Upgrades!$T$16="Microlensing",POWER(Upgrades!$U$16,H235),1)*IF(Upgrades!$T$17="Microlensing",POWER(Upgrades!$U$17,I235),1)*IF(Upgrades!$T$18="Microlensing",POWER(Upgrades!$U$18,J235),1)*IF(Upgrades!$T$19="Microlensing",POWER(Upgrades!$U$19,K235),1)*IF(Upgrades!$T$20="Microlensing",POWER(Upgrades!$U$20,L235),1)*IF(Upgrades!$T$21="Microlensing",POWER(Upgrades!$U$21,M235),1))*$G$6*(Parameters!$B$10/60*Parameters!$B$11+Q235)/AM235,0)</f>
        <v/>
      </c>
      <c r="BB235" s="32">
        <f>IFERROR((Upgrades!$N$16*(POWER(Upgrades!$R$13,E235)*POWER(Upgrades!$R$14,F235)*POWER(Upgrades!$R$15,G235)*POWER(Upgrades!$R$16,H235)*POWER(Upgrades!$R$17,I235)*POWER(Upgrades!$R$18,J235)*POWER(Upgrades!$R$19,K235)*POWER(Upgrades!$R$20,L235)*POWER(Upgrades!$R$21,M235))*(IF(Upgrades!$T$13="Roche Lobe Overflow",POWER(Upgrades!$U$13,E235),1)*IF(Upgrades!$T$14="Roche Lobe Overflow",POWER(Upgrades!$U$14,F235),1)*IF(Upgrades!$T$15="Roche Lobe Overflow",POWER(Upgrades!$U$15,G235),1)*IF(Upgrades!$T$17="Roche Lobe Overflow",POWER(Upgrades!$U$17,I235),1)*IF(Upgrades!$T$18="Roche Lobe Overflow",POWER(Upgrades!$U$18,J235),1)*IF(Upgrades!$T$19="Roche Lobe Overflow",POWER(Upgrades!$U$19,K235),1)*IF(Upgrades!$T$20="Roche Lobe Overflow",POWER(Upgrades!$U$20,L235),1)*IF(Upgrades!$T$21="Roche Lobe Overflow",POWER(Upgrades!$U$21,M235),1))*$H$6*O235+((IF(F235=0,0,(Upgrades!$G$14+F235*Upgrades!$H$14)*POWER(Upgrades!$I$14,F235)))*(IF(Upgrades!$T$13="Local Bubble",POWER(Upgrades!$U$13,E235),1)*IF(Upgrades!$T$15="Local Bubble",POWER(Upgrades!$U$15,G235),1)*IF(Upgrades!$T$16="Local Bubble",POWER(Upgrades!$U$16,H235),1)*IF(Upgrades!$T$17="Local Bubble",POWER(Upgrades!$U$17,I235),1)*IF(Upgrades!$T$18="Local Bubble",POWER(Upgrades!$U$18,J235),1)*IF(Upgrades!$T$19="Local Bubble",POWER(Upgrades!$U$19,K235),1)*IF(Upgrades!$T$20="Local Bubble",POWER(Upgrades!$U$20,L235),1)*IF(Upgrades!$T$21="Local Bubble",POWER(Upgrades!$U$21,M235),1))*POWER(Upgrades!$P$13,E235)*POWER(Upgrades!$P$14,F235)*POWER(Upgrades!$P$15,G235)*POWER(Upgrades!$P$16,H235)*POWER(Upgrades!$P$17,I235)*POWER(Upgrades!$P$18,J235)*POWER(Upgrades!$P$19,K235)*POWER(Upgrades!$P$20,L235)*POWER(Upgrades!$P$21,M235)*$F$6)*0.05)/AN235,0)</f>
        <v/>
      </c>
      <c r="BC235" s="32">
        <f>IFERROR((Upgrades!$H$17*(POWER(Upgrades!$P$13,E235)*POWER(Upgrades!$P$14,F235)*POWER(Upgrades!$P$15,G235)*POWER(Upgrades!$P$16,H235)*POWER(Upgrades!$P$17,I235)*POWER(Upgrades!$P$18,J235)*POWER(Upgrades!$P$19,K235)*POWER(Upgrades!$P$20,L235)*POWER(Upgrades!$P$21,M235))*(IF(Upgrades!$T$13="Brown Dwarf",POWER(Upgrades!$U$13,E235),1)*IF(Upgrades!$T$14="Brown Dwarf",POWER(Upgrades!$U$14,F235),1)*IF(Upgrades!$T$15="Brown Dwarf",POWER(Upgrades!$U$15,G235),1)*IF(Upgrades!$T$16="Brown Dwarf",POWER(Upgrades!$U$16,H235),1)*IF(Upgrades!$T$18="Brown Dwarf",POWER(Upgrades!$U$18,J235),1)*IF(Upgrades!$T$19="Brown Dwarf",POWER(Upgrades!$U$19,K235),1)*IF(Upgrades!$T$20="Brown Dwarf",POWER(Upgrades!$U$20,L235),1)*IF(Upgrades!$T$21="Brown Dwarf",POWER(Upgrades!$U$21,M235),1))*$F$6+(((IF(H235=0,0,(Upgrades!$M$16+H235*Upgrades!$N$16)*POWER(Upgrades!$O$16,H235)))*(IF(Upgrades!$T$13="Roche Lobe Overflow",POWER(Upgrades!$U$13,E235),1)*IF(Upgrades!$T$14="Roche Lobe Overflow",POWER(Upgrades!$U$14,F235),1)*IF(Upgrades!$T$15="Roche Lobe Overflow",POWER(Upgrades!$U$15,G235),1)*IF(Upgrades!$T$17="Roche Lobe Overflow",POWER(Upgrades!$U$17,I235),1)*IF(Upgrades!$T$18="Roche Lobe Overflow",POWER(Upgrades!$U$18,J235),1)*IF(Upgrades!$T$19="Roche Lobe Overflow",POWER(Upgrades!$U$19,K235),1)*IF(Upgrades!$T$20="Roche Lobe Overflow",POWER(Upgrades!$U$20,L235),1)*IF(Upgrades!$T$21="Roche Lobe Overflow",POWER(Upgrades!$U$21,M235),1))*POWER(Upgrades!$R$13,E235)*POWER(Upgrades!$R$14,F235)*POWER(Upgrades!$R$15,G235)*POWER(Upgrades!$R$16,H235)*POWER(Upgrades!$R$17,I235)*POWER(Upgrades!$R$18,J235)*POWER(Upgrades!$R$19,K235)*POWER(Upgrades!$R$20,L235)*POWER(Upgrades!$R$21,M235)*$H$6)*O235)*0.10)/AO235,0)</f>
        <v/>
      </c>
      <c r="BD235" s="32">
        <f>MAX(IF(J235&gt;0,0,IFERROR(0.5*((IF(G235=0,0,(Upgrades!$J$15+G235*Upgrades!$K$15)*POWER(Upgrades!$L$15,G235)))*(IF(Upgrades!$T$13="Microlensing",POWER(Upgrades!$U$13,E235),1)*IF(Upgrades!$T$14="Microlensing",POWER(Upgrades!$U$14,F235),1)*IF(Upgrades!$T$16="Microlensing",POWER(Upgrades!$U$16,H235),1)*IF(Upgrades!$T$17="Microlensing",POWER(Upgrades!$U$17,I235),1)*IF(Upgrades!$T$18="Microlensing",POWER(Upgrades!$U$18,J235),1)*IF(Upgrades!$T$19="Microlensing",POWER(Upgrades!$U$19,K235),1)*IF(Upgrades!$T$20="Microlensing",POWER(Upgrades!$U$20,L235),1)*IF(Upgrades!$T$21="Microlensing",POWER(Upgrades!$U$21,M235),1))*(POWER(Upgrades!$Q$13,E235)*POWER(Upgrades!$Q$14,F235)*POWER(Upgrades!$Q$15,G235)*POWER(Upgrades!$Q$16,H235)*POWER(Upgrades!$Q$17,I235)*POWER(Upgrades!$Q$18,J235)*POWER(Upgrades!$Q$19,K235)*POWER(Upgrades!$Q$20,L235)*POWER(Upgrades!$Q$21,M235))*$G$6*(Parameters!$B$10/60*Parameters!$B$11+Q235))/Upgrades!$C$18,0)),IF(K235&gt;0,0,IFERROR(0.30*P235/Upgrades!$C$19,0)),IF(L235&gt;0,0,IFERROR(0.0001/Upgrades!$C$20,0)),IF(M235&gt;0,0,IFERROR((6.0*(POWER(Upgrades!$P$13,E235)*POWER(Upgrades!$P$14,F235)*POWER(Upgrades!$P$15,G235)*POWER(Upgrades!$P$16,H235)*POWER(Upgrades!$P$17,I235)*POWER(Upgrades!$P$18,J235)*POWER(Upgrades!$P$19,K235)*POWER(Upgrades!$P$20,L235)*POWER(Upgrades!$P$21,M235))*$F$6+0.20*O235*(Parameters!$B$10/60*Parameters!$B$11+Q235))/Upgrades!$C$21,0)),IF(AND(ISNUMBER(AK235),AK235&gt;(C235+T235)),AY235,0),IF(AND(ISNUMBER(AL235),AL235&gt;(C235+T235)),AZ235,0),IF(AND(ISNUMBER(AM235),AM235&gt;(C235+T235)),BA235,0),IF(AND(ISNUMBER(AN235),AN235&gt;(C235+T235)),BB235,0),IF(AND(ISNUMBER(AO235),AO235&gt;(C235+T235)),BC235,0))</f>
        <v/>
      </c>
      <c r="BE235" s="29">
        <f>IF(AT235=1,"transition",IF(MIN(IF(AND(J235=0,ISNUMBER(AP235),AP235&lt;=(C235+T235)),AP235,9E15),IF(AND(K235=0,ISNUMBER(AQ235),AQ235&lt;=(C235+T235)),AQ235,9E15),IF(AND(L235=0,ISNUMBER(AR235),AR235&lt;=(C235+T235)),AR235,9E15),IF(AND(M235=0,ISNUMBER(AS235),AS235&lt;=(C235+T235)),AS235,9E15))&lt;9E15,IF(AND(AND(J235=0,ISNUMBER(AP235),AP235&lt;=(C235+T235)),AP235=MIN(IF(AND(J235=0,ISNUMBER(AP235),AP235&lt;=(C235+T235)),AP235,9E15),IF(AND(K235=0,ISNUMBER(AQ235),AQ235&lt;=(C235+T235)),AQ235,9E15),IF(AND(L235=0,ISNUMBER(AR235),AR235&lt;=(C235+T235)),AR235,9E15),IF(AND(M235=0,ISNUMBER(AS235),AS235&lt;=(C235+T235)),AS235,9E15))),"BiP",IF(AND(AND(K235=0,ISNUMBER(AQ235),AQ235&lt;=(C235+T235)),AQ235=MIN(IF(AND(J235=0,ISNUMBER(AP235),AP235&lt;=(C235+T235)),AP235,9E15),IF(AND(K235=0,ISNUMBER(AQ235),AQ235&lt;=(C235+T235)),AQ235,9E15),IF(AND(L235=0,ISNUMBER(AR235),AR235&lt;=(C235+T235)),AR235,9E15),IF(AND(M235=0,ISNUMBER(AS235),AS235&lt;=(C235+T235)),AS235,9E15))),"PV",IF(AND(AND(L235=0,ISNUMBER(AR235),AR235&lt;=(C235+T235)),AR235=MIN(IF(AND(J235=0,ISNUMBER(AP235),AP235&lt;=(C235+T235)),AP235,9E15),IF(AND(K235=0,ISNUMBER(AQ235),AQ235&lt;=(C235+T235)),AQ235,9E15),IF(AND(L235=0,ISNUMBER(AR235),AR235&lt;=(C235+T235)),AR235,9E15),IF(AND(M235=0,ISNUMBER(AS235),AS235&lt;=(C235+T235)),AS235,9E15))),"OC","MG"))),IF(AX235=TRUE,"",IF(MAX(IF(AND(NOT(AND(AU235=1,AT235&lt;&gt;1)),ISNUMBER(AK235),AK235&lt;=(C235+T235)),AY235,0),IF(AND(NOT(AND(AU235=1,AT235&lt;&gt;1)),ISNUMBER(AL235),AL235&lt;=(C235+T235)),AZ235,0),IF(AND(NOT(AND(AU235=1,AT235&lt;&gt;1)),ISNUMBER(AM235),AM235&lt;=(C235+T235)),BA235,0),IF(AND(NOT(AND(AU235=1,AT235&lt;&gt;1)),ISNUMBER(AN235),AN235&lt;=(C235+T235)),BB235,0),IF(AND(ISNUMBER(AO235),AO235&lt;=(C235+T235)),BC235,0))&lt;=0,"",IF(AND(IF(AND(NOT(AND(AU235=1,AT235&lt;&gt;1)),ISNUMBER(AK235),AK235&lt;=(C235+T235)),AY235,0)&gt;0,IF(AND(NOT(AND(AU235=1,AT235&lt;&gt;1)),ISNUMBER(AK235),AK235&lt;=(C235+T235)),AY235,0)=MAX(IF(AND(NOT(AND(AU235=1,AT235&lt;&gt;1)),ISNUMBER(AK235),AK235&lt;=(C235+T235)),AY235,0),IF(AND(NOT(AND(AU235=1,AT235&lt;&gt;1)),ISNUMBER(AL235),AL235&lt;=(C235+T235)),AZ235,0),IF(AND(NOT(AND(AU235=1,AT235&lt;&gt;1)),ISNUMBER(AM235),AM235&lt;=(C235+T235)),BA235,0),IF(AND(NOT(AND(AU235=1,AT235&lt;&gt;1)),ISNUMBER(AN235),AN235&lt;=(C235+T235)),BB235,0),IF(AND(ISNUMBER(AO235),AO235&lt;=(C235+T235)),BC235,0))),"SK",IF(AND(IF(AND(NOT(AND(AU235=1,AT235&lt;&gt;1)),ISNUMBER(AL235),AL235&lt;=(C235+T235)),AZ235,0)&gt;0,IF(AND(NOT(AND(AU235=1,AT235&lt;&gt;1)),ISNUMBER(AL235),AL235&lt;=(C235+T235)),AZ235,0)=MAX(IF(AND(NOT(AND(AU235=1,AT235&lt;&gt;1)),ISNUMBER(AK235),AK235&lt;=(C235+T235)),AY235,0),IF(AND(NOT(AND(AU235=1,AT235&lt;&gt;1)),ISNUMBER(AL235),AL235&lt;=(C235+T235)),AZ235,0),IF(AND(NOT(AND(AU235=1,AT235&lt;&gt;1)),ISNUMBER(AM235),AM235&lt;=(C235+T235)),BA235,0),IF(AND(NOT(AND(AU235=1,AT235&lt;&gt;1)),ISNUMBER(AN235),AN235&lt;=(C235+T235)),BB235,0),IF(AND(ISNUMBER(AO235),AO235&lt;=(C235+T235)),BC235,0))),"LB",IF(AND(IF(AND(NOT(AND(AU235=1,AT235&lt;&gt;1)),ISNUMBER(AM235),AM235&lt;=(C235+T235)),BA235,0)&gt;0,IF(AND(NOT(AND(AU235=1,AT235&lt;&gt;1)),ISNUMBER(AM235),AM235&lt;=(C235+T235)),BA235,0)=MAX(IF(AND(NOT(AND(AU235=1,AT235&lt;&gt;1)),ISNUMBER(AK235),AK235&lt;=(C235+T235)),AY235,0),IF(AND(NOT(AND(AU235=1,AT235&lt;&gt;1)),ISNUMBER(AL235),AL235&lt;=(C235+T235)),AZ235,0),IF(AND(NOT(AND(AU235=1,AT235&lt;&gt;1)),ISNUMBER(AM235),AM235&lt;=(C235+T235)),BA235,0),IF(AND(NOT(AND(AU235=1,AT235&lt;&gt;1)),ISNUMBER(AN235),AN235&lt;=(C235+T235)),BB235,0),IF(AND(ISNUMBER(AO235),AO235&lt;=(C235+T235)),BC235,0))),"ML",IF(AND(IF(AND(NOT(AND(AU235=1,AT235&lt;&gt;1)),ISNUMBER(AN235),AN235&lt;=(C235+T235)),BB235,0)&gt;0,IF(AND(NOT(AND(AU235=1,AT235&lt;&gt;1)),ISNUMBER(AN235),AN235&lt;=(C235+T235)),BB235,0)=MAX(IF(AND(NOT(AND(AU235=1,AT235&lt;&gt;1)),ISNUMBER(AK235),AK235&lt;=(C235+T235)),AY235,0),IF(AND(NOT(AND(AU235=1,AT235&lt;&gt;1)),ISNUMBER(AL235),AL235&lt;=(C235+T235)),AZ235,0),IF(AND(NOT(AND(AU235=1,AT235&lt;&gt;1)),ISNUMBER(AM235),AM235&lt;=(C235+T235)),BA235,0),IF(AND(NOT(AND(AU235=1,AT235&lt;&gt;1)),ISNUMBER(AN235),AN235&lt;=(C235+T235)),BB235,0),IF(AND(ISNUMBER(AO235),AO235&lt;=(C235+T235)),BC235,0))),"RLO","BD"))))))))</f>
        <v/>
      </c>
    </row>
    <row r="236">
      <c r="A236" s="26" t="n">
        <v>225</v>
      </c>
      <c r="B236" s="27">
        <f>A236*10/60</f>
        <v/>
      </c>
      <c r="C236" s="22">
        <f>X235</f>
        <v/>
      </c>
      <c r="D236" s="27">
        <f>D235+W235</f>
        <v/>
      </c>
      <c r="E236" s="26">
        <f>E235+IF(U235="SK",1,0)</f>
        <v/>
      </c>
      <c r="F236" s="26">
        <f>F235+IF(U235="LB",1,0)</f>
        <v/>
      </c>
      <c r="G236" s="26">
        <f>G235+IF(U235="ML",1,0)</f>
        <v/>
      </c>
      <c r="H236" s="26">
        <f>H235+IF(U235="RLO",1,0)</f>
        <v/>
      </c>
      <c r="I236" s="26">
        <f>I235+IF(U235="BD",1,0)</f>
        <v/>
      </c>
      <c r="J236" s="26">
        <f>MAX(J235,IF(U235="BiP",1,0))</f>
        <v/>
      </c>
      <c r="K236" s="26">
        <f>MAX(K235,IF(U235="PV",1,0))</f>
        <v/>
      </c>
      <c r="L236" s="26">
        <f>MAX(L235,IF(U235="OC",1,0))</f>
        <v/>
      </c>
      <c r="M236" s="26">
        <f>MAX(M235,IF(U235="MG",1,0))</f>
        <v/>
      </c>
      <c r="N236" s="26">
        <f>MAX(N235,IF(U235="transition",1,0))</f>
        <v/>
      </c>
      <c r="O236" s="28">
        <f>(Parameters!$B$9+(IF(E236=0,0,(Upgrades!$J$13+E236*Upgrades!$K$13)*POWER(Upgrades!$L$13,E236)))*(IF(Upgrades!$T$14="Stellar Kinematics",POWER(Upgrades!$U$14,F236),1)*IF(Upgrades!$T$15="Stellar Kinematics",POWER(Upgrades!$U$15,G236),1)*IF(Upgrades!$T$16="Stellar Kinematics",POWER(Upgrades!$U$16,H236),1)*IF(Upgrades!$T$17="Stellar Kinematics",POWER(Upgrades!$U$17,I236),1)*IF(Upgrades!$T$18="Stellar Kinematics",POWER(Upgrades!$U$18,J236),1)*IF(Upgrades!$T$19="Stellar Kinematics",POWER(Upgrades!$U$19,K236),1)*IF(Upgrades!$T$20="Stellar Kinematics",POWER(Upgrades!$U$20,L236),1)*IF(Upgrades!$T$21="Stellar Kinematics",POWER(Upgrades!$U$21,M236),1))+(IF(F236=0,0,(Upgrades!$J$14+F236*Upgrades!$K$14)*POWER(Upgrades!$L$14,F236)))*(IF(Upgrades!$T$13="Local Bubble",POWER(Upgrades!$U$13,E236),1)*IF(Upgrades!$T$15="Local Bubble",POWER(Upgrades!$U$15,G236),1)*IF(Upgrades!$T$16="Local Bubble",POWER(Upgrades!$U$16,H236),1)*IF(Upgrades!$T$17="Local Bubble",POWER(Upgrades!$U$17,I236),1)*IF(Upgrades!$T$18="Local Bubble",POWER(Upgrades!$U$18,J236),1)*IF(Upgrades!$T$19="Local Bubble",POWER(Upgrades!$U$19,K236),1)*IF(Upgrades!$T$20="Local Bubble",POWER(Upgrades!$U$20,L236),1)*IF(Upgrades!$T$21="Local Bubble",POWER(Upgrades!$U$21,M236),1))+(IF(G236=0,0,(Upgrades!$J$15+G236*Upgrades!$K$15)*POWER(Upgrades!$L$15,G236)))*(IF(Upgrades!$T$13="Microlensing",POWER(Upgrades!$U$13,E236),1)*IF(Upgrades!$T$14="Microlensing",POWER(Upgrades!$U$14,F236),1)*IF(Upgrades!$T$16="Microlensing",POWER(Upgrades!$U$16,H236),1)*IF(Upgrades!$T$17="Microlensing",POWER(Upgrades!$U$17,I236),1)*IF(Upgrades!$T$18="Microlensing",POWER(Upgrades!$U$18,J236),1)*IF(Upgrades!$T$19="Microlensing",POWER(Upgrades!$U$19,K236),1)*IF(Upgrades!$T$20="Microlensing",POWER(Upgrades!$U$20,L236),1)*IF(Upgrades!$T$21="Microlensing",POWER(Upgrades!$U$21,M236),1))+(IF(H236=0,0,(Upgrades!$J$16+H236*Upgrades!$K$16)*POWER(Upgrades!$L$16,H236)))*(IF(Upgrades!$T$13="Roche Lobe Overflow",POWER(Upgrades!$U$13,E236),1)*IF(Upgrades!$T$14="Roche Lobe Overflow",POWER(Upgrades!$U$14,F236),1)*IF(Upgrades!$T$15="Roche Lobe Overflow",POWER(Upgrades!$U$15,G236),1)*IF(Upgrades!$T$17="Roche Lobe Overflow",POWER(Upgrades!$U$17,I236),1)*IF(Upgrades!$T$18="Roche Lobe Overflow",POWER(Upgrades!$U$18,J236),1)*IF(Upgrades!$T$19="Roche Lobe Overflow",POWER(Upgrades!$U$19,K236),1)*IF(Upgrades!$T$20="Roche Lobe Overflow",POWER(Upgrades!$U$20,L236),1)*IF(Upgrades!$T$21="Roche Lobe Overflow",POWER(Upgrades!$U$21,M236),1))+(IF(I236=0,0,(Upgrades!$J$17+I236*Upgrades!$K$17)*POWER(Upgrades!$L$17,I236)))*(IF(Upgrades!$T$13="Brown Dwarf",POWER(Upgrades!$U$13,E236),1)*IF(Upgrades!$T$14="Brown Dwarf",POWER(Upgrades!$U$14,F236),1)*IF(Upgrades!$T$15="Brown Dwarf",POWER(Upgrades!$U$15,G236),1)*IF(Upgrades!$T$16="Brown Dwarf",POWER(Upgrades!$U$16,H236),1)*IF(Upgrades!$T$18="Brown Dwarf",POWER(Upgrades!$U$18,J236),1)*IF(Upgrades!$T$19="Brown Dwarf",POWER(Upgrades!$U$19,K236),1)*IF(Upgrades!$T$20="Brown Dwarf",POWER(Upgrades!$U$20,L236),1)*IF(Upgrades!$T$21="Brown Dwarf",POWER(Upgrades!$U$21,M236),1))+(IF(J236=0,0,(Upgrades!$J$18+J236*Upgrades!$K$18)*POWER(Upgrades!$L$18,J236)))*(IF(Upgrades!$T$13="Binary Partner",POWER(Upgrades!$U$13,E236),1)*IF(Upgrades!$T$14="Binary Partner",POWER(Upgrades!$U$14,F236),1)*IF(Upgrades!$T$15="Binary Partner",POWER(Upgrades!$U$15,G236),1)*IF(Upgrades!$T$16="Binary Partner",POWER(Upgrades!$U$16,H236),1)*IF(Upgrades!$T$17="Binary Partner",POWER(Upgrades!$U$17,I236),1)*IF(Upgrades!$T$19="Binary Partner",POWER(Upgrades!$U$19,K236),1)*IF(Upgrades!$T$20="Binary Partner",POWER(Upgrades!$U$20,L236),1)*IF(Upgrades!$T$21="Binary Partner",POWER(Upgrades!$U$21,M236),1))+(IF(K236=0,0,(Upgrades!$J$19+K236*Upgrades!$K$19)*POWER(Upgrades!$L$19,K236)))*(IF(Upgrades!$T$13="Peculiar Velocity",POWER(Upgrades!$U$13,E236),1)*IF(Upgrades!$T$14="Peculiar Velocity",POWER(Upgrades!$U$14,F236),1)*IF(Upgrades!$T$15="Peculiar Velocity",POWER(Upgrades!$U$15,G236),1)*IF(Upgrades!$T$16="Peculiar Velocity",POWER(Upgrades!$U$16,H236),1)*IF(Upgrades!$T$17="Peculiar Velocity",POWER(Upgrades!$U$17,I236),1)*IF(Upgrades!$T$18="Peculiar Velocity",POWER(Upgrades!$U$18,J236),1)*IF(Upgrades!$T$20="Peculiar Velocity",POWER(Upgrades!$U$20,L236),1)*IF(Upgrades!$T$21="Peculiar Velocity",POWER(Upgrades!$U$21,M236),1))+(IF(L236=0,0,(Upgrades!$J$20+L236*Upgrades!$K$20)*POWER(Upgrades!$L$20,L236)))*(IF(Upgrades!$T$13="Open Cluster",POWER(Upgrades!$U$13,E236),1)*IF(Upgrades!$T$14="Open Cluster",POWER(Upgrades!$U$14,F236),1)*IF(Upgrades!$T$15="Open Cluster",POWER(Upgrades!$U$15,G236),1)*IF(Upgrades!$T$16="Open Cluster",POWER(Upgrades!$U$16,H236),1)*IF(Upgrades!$T$17="Open Cluster",POWER(Upgrades!$U$17,I236),1)*IF(Upgrades!$T$18="Open Cluster",POWER(Upgrades!$U$18,J236),1)*IF(Upgrades!$T$19="Open Cluster",POWER(Upgrades!$U$19,K236),1)*IF(Upgrades!$T$21="Open Cluster",POWER(Upgrades!$U$21,M236),1))+(IF(M236=0,0,(Upgrades!$J$21+M236*Upgrades!$K$21)*POWER(Upgrades!$L$21,M236)))*(IF(Upgrades!$T$13="Moving Group",POWER(Upgrades!$U$13,E236),1)*IF(Upgrades!$T$14="Moving Group",POWER(Upgrades!$U$14,F236),1)*IF(Upgrades!$T$15="Moving Group",POWER(Upgrades!$U$15,G236),1)*IF(Upgrades!$T$16="Moving Group",POWER(Upgrades!$U$16,H236),1)*IF(Upgrades!$T$17="Moving Group",POWER(Upgrades!$U$17,I236),1)*IF(Upgrades!$T$18="Moving Group",POWER(Upgrades!$U$18,J236),1)*IF(Upgrades!$T$19="Moving Group",POWER(Upgrades!$U$19,K236),1)*IF(Upgrades!$T$20="Moving Group",POWER(Upgrades!$U$20,L236),1)))*POWER(Upgrades!$Q$13,E236)*POWER(Upgrades!$Q$14,F236)*POWER(Upgrades!$Q$15,G236)*POWER(Upgrades!$Q$16,H236)*POWER(Upgrades!$Q$17,I236)*POWER(Upgrades!$Q$18,J236)*POWER(Upgrades!$Q$19,K236)*POWER(Upgrades!$Q$20,L236)*POWER(Upgrades!$Q$21,M236)*$G$6+$D$6</f>
        <v/>
      </c>
      <c r="P236" s="28">
        <f>((IF(E236=0,0,(Upgrades!$G$13+E236*Upgrades!$H$13)*POWER(Upgrades!$I$13,E236)))*(IF(Upgrades!$T$14="Stellar Kinematics",POWER(Upgrades!$U$14,F236),1)*IF(Upgrades!$T$15="Stellar Kinematics",POWER(Upgrades!$U$15,G236),1)*IF(Upgrades!$T$16="Stellar Kinematics",POWER(Upgrades!$U$16,H236),1)*IF(Upgrades!$T$17="Stellar Kinematics",POWER(Upgrades!$U$17,I236),1)*IF(Upgrades!$T$18="Stellar Kinematics",POWER(Upgrades!$U$18,J236),1)*IF(Upgrades!$T$19="Stellar Kinematics",POWER(Upgrades!$U$19,K236),1)*IF(Upgrades!$T$20="Stellar Kinematics",POWER(Upgrades!$U$20,L236),1)*IF(Upgrades!$T$21="Stellar Kinematics",POWER(Upgrades!$U$21,M236),1))+(IF(F236=0,0,(Upgrades!$G$14+F236*Upgrades!$H$14)*POWER(Upgrades!$I$14,F236)))*(IF(Upgrades!$T$13="Local Bubble",POWER(Upgrades!$U$13,E236),1)*IF(Upgrades!$T$15="Local Bubble",POWER(Upgrades!$U$15,G236),1)*IF(Upgrades!$T$16="Local Bubble",POWER(Upgrades!$U$16,H236),1)*IF(Upgrades!$T$17="Local Bubble",POWER(Upgrades!$U$17,I236),1)*IF(Upgrades!$T$18="Local Bubble",POWER(Upgrades!$U$18,J236),1)*IF(Upgrades!$T$19="Local Bubble",POWER(Upgrades!$U$19,K236),1)*IF(Upgrades!$T$20="Local Bubble",POWER(Upgrades!$U$20,L236),1)*IF(Upgrades!$T$21="Local Bubble",POWER(Upgrades!$U$21,M236),1))+(IF(G236=0,0,(Upgrades!$G$15+G236*Upgrades!$H$15)*POWER(Upgrades!$I$15,G236)))*(IF(Upgrades!$T$13="Microlensing",POWER(Upgrades!$U$13,E236),1)*IF(Upgrades!$T$14="Microlensing",POWER(Upgrades!$U$14,F236),1)*IF(Upgrades!$T$16="Microlensing",POWER(Upgrades!$U$16,H236),1)*IF(Upgrades!$T$17="Microlensing",POWER(Upgrades!$U$17,I236),1)*IF(Upgrades!$T$18="Microlensing",POWER(Upgrades!$U$18,J236),1)*IF(Upgrades!$T$19="Microlensing",POWER(Upgrades!$U$19,K236),1)*IF(Upgrades!$T$20="Microlensing",POWER(Upgrades!$U$20,L236),1)*IF(Upgrades!$T$21="Microlensing",POWER(Upgrades!$U$21,M236),1))+(IF(H236=0,0,(Upgrades!$G$16+H236*Upgrades!$H$16)*POWER(Upgrades!$I$16,H236)))*(IF(Upgrades!$T$13="Roche Lobe Overflow",POWER(Upgrades!$U$13,E236),1)*IF(Upgrades!$T$14="Roche Lobe Overflow",POWER(Upgrades!$U$14,F236),1)*IF(Upgrades!$T$15="Roche Lobe Overflow",POWER(Upgrades!$U$15,G236),1)*IF(Upgrades!$T$17="Roche Lobe Overflow",POWER(Upgrades!$U$17,I236),1)*IF(Upgrades!$T$18="Roche Lobe Overflow",POWER(Upgrades!$U$18,J236),1)*IF(Upgrades!$T$19="Roche Lobe Overflow",POWER(Upgrades!$U$19,K236),1)*IF(Upgrades!$T$20="Roche Lobe Overflow",POWER(Upgrades!$U$20,L236),1)*IF(Upgrades!$T$21="Roche Lobe Overflow",POWER(Upgrades!$U$21,M236),1))+(IF(I236=0,0,(Upgrades!$G$17+I236*Upgrades!$H$17)*POWER(Upgrades!$I$17,I236)))*(IF(Upgrades!$T$13="Brown Dwarf",POWER(Upgrades!$U$13,E236),1)*IF(Upgrades!$T$14="Brown Dwarf",POWER(Upgrades!$U$14,F236),1)*IF(Upgrades!$T$15="Brown Dwarf",POWER(Upgrades!$U$15,G236),1)*IF(Upgrades!$T$16="Brown Dwarf",POWER(Upgrades!$U$16,H236),1)*IF(Upgrades!$T$18="Brown Dwarf",POWER(Upgrades!$U$18,J236),1)*IF(Upgrades!$T$19="Brown Dwarf",POWER(Upgrades!$U$19,K236),1)*IF(Upgrades!$T$20="Brown Dwarf",POWER(Upgrades!$U$20,L236),1)*IF(Upgrades!$T$21="Brown Dwarf",POWER(Upgrades!$U$21,M236),1))+(IF(J236=0,0,(Upgrades!$G$18+J236*Upgrades!$H$18)*POWER(Upgrades!$I$18,J236)))*(IF(Upgrades!$T$13="Binary Partner",POWER(Upgrades!$U$13,E236),1)*IF(Upgrades!$T$14="Binary Partner",POWER(Upgrades!$U$14,F236),1)*IF(Upgrades!$T$15="Binary Partner",POWER(Upgrades!$U$15,G236),1)*IF(Upgrades!$T$16="Binary Partner",POWER(Upgrades!$U$16,H236),1)*IF(Upgrades!$T$17="Binary Partner",POWER(Upgrades!$U$17,I236),1)*IF(Upgrades!$T$19="Binary Partner",POWER(Upgrades!$U$19,K236),1)*IF(Upgrades!$T$20="Binary Partner",POWER(Upgrades!$U$20,L236),1)*IF(Upgrades!$T$21="Binary Partner",POWER(Upgrades!$U$21,M236),1))+(IF(K236=0,0,(Upgrades!$G$19+K236*Upgrades!$H$19)*POWER(Upgrades!$I$19,K236)))*(IF(Upgrades!$T$13="Peculiar Velocity",POWER(Upgrades!$U$13,E236),1)*IF(Upgrades!$T$14="Peculiar Velocity",POWER(Upgrades!$U$14,F236),1)*IF(Upgrades!$T$15="Peculiar Velocity",POWER(Upgrades!$U$15,G236),1)*IF(Upgrades!$T$16="Peculiar Velocity",POWER(Upgrades!$U$16,H236),1)*IF(Upgrades!$T$17="Peculiar Velocity",POWER(Upgrades!$U$17,I236),1)*IF(Upgrades!$T$18="Peculiar Velocity",POWER(Upgrades!$U$18,J236),1)*IF(Upgrades!$T$20="Peculiar Velocity",POWER(Upgrades!$U$20,L236),1)*IF(Upgrades!$T$21="Peculiar Velocity",POWER(Upgrades!$U$21,M236),1))+(IF(L236=0,0,(Upgrades!$G$20+L236*Upgrades!$H$20)*POWER(Upgrades!$I$20,L236)))*(IF(Upgrades!$T$13="Open Cluster",POWER(Upgrades!$U$13,E236),1)*IF(Upgrades!$T$14="Open Cluster",POWER(Upgrades!$U$14,F236),1)*IF(Upgrades!$T$15="Open Cluster",POWER(Upgrades!$U$15,G236),1)*IF(Upgrades!$T$16="Open Cluster",POWER(Upgrades!$U$16,H236),1)*IF(Upgrades!$T$17="Open Cluster",POWER(Upgrades!$U$17,I236),1)*IF(Upgrades!$T$18="Open Cluster",POWER(Upgrades!$U$18,J236),1)*IF(Upgrades!$T$19="Open Cluster",POWER(Upgrades!$U$19,K236),1)*IF(Upgrades!$T$21="Open Cluster",POWER(Upgrades!$U$21,M236),1))+(IF(M236=0,0,(Upgrades!$G$21+M236*Upgrades!$H$21)*POWER(Upgrades!$I$21,M236)))*(IF(Upgrades!$T$13="Moving Group",POWER(Upgrades!$U$13,E236),1)*IF(Upgrades!$T$14="Moving Group",POWER(Upgrades!$U$14,F236),1)*IF(Upgrades!$T$15="Moving Group",POWER(Upgrades!$U$15,G236),1)*IF(Upgrades!$T$16="Moving Group",POWER(Upgrades!$U$16,H236),1)*IF(Upgrades!$T$17="Moving Group",POWER(Upgrades!$U$17,I236),1)*IF(Upgrades!$T$18="Moving Group",POWER(Upgrades!$U$18,J236),1)*IF(Upgrades!$T$19="Moving Group",POWER(Upgrades!$U$19,K236),1)*IF(Upgrades!$T$20="Moving Group",POWER(Upgrades!$U$20,L236),1)))*POWER(Upgrades!$P$13,E236)*POWER(Upgrades!$P$14,F236)*POWER(Upgrades!$P$15,G236)*POWER(Upgrades!$P$16,H236)*POWER(Upgrades!$P$17,I236)*POWER(Upgrades!$P$18,J236)*POWER(Upgrades!$P$19,K236)*POWER(Upgrades!$P$20,L236)*POWER(Upgrades!$P$21,M236)*$F$6+$C$6</f>
        <v/>
      </c>
      <c r="Q236" s="28">
        <f>((IF(E236=0,0,(Upgrades!$M$13+E236*Upgrades!$N$13)*POWER(Upgrades!$O$13,E236)))*(IF(Upgrades!$T$14="Stellar Kinematics",POWER(Upgrades!$U$14,F236),1)*IF(Upgrades!$T$15="Stellar Kinematics",POWER(Upgrades!$U$15,G236),1)*IF(Upgrades!$T$16="Stellar Kinematics",POWER(Upgrades!$U$16,H236),1)*IF(Upgrades!$T$17="Stellar Kinematics",POWER(Upgrades!$U$17,I236),1)*IF(Upgrades!$T$18="Stellar Kinematics",POWER(Upgrades!$U$18,J236),1)*IF(Upgrades!$T$19="Stellar Kinematics",POWER(Upgrades!$U$19,K236),1)*IF(Upgrades!$T$20="Stellar Kinematics",POWER(Upgrades!$U$20,L236),1)*IF(Upgrades!$T$21="Stellar Kinematics",POWER(Upgrades!$U$21,M236),1))+(IF(F236=0,0,(Upgrades!$M$14+F236*Upgrades!$N$14)*POWER(Upgrades!$O$14,F236)))*(IF(Upgrades!$T$13="Local Bubble",POWER(Upgrades!$U$13,E236),1)*IF(Upgrades!$T$15="Local Bubble",POWER(Upgrades!$U$15,G236),1)*IF(Upgrades!$T$16="Local Bubble",POWER(Upgrades!$U$16,H236),1)*IF(Upgrades!$T$17="Local Bubble",POWER(Upgrades!$U$17,I236),1)*IF(Upgrades!$T$18="Local Bubble",POWER(Upgrades!$U$18,J236),1)*IF(Upgrades!$T$19="Local Bubble",POWER(Upgrades!$U$19,K236),1)*IF(Upgrades!$T$20="Local Bubble",POWER(Upgrades!$U$20,L236),1)*IF(Upgrades!$T$21="Local Bubble",POWER(Upgrades!$U$21,M236),1))+(IF(G236=0,0,(Upgrades!$M$15+G236*Upgrades!$N$15)*POWER(Upgrades!$O$15,G236)))*(IF(Upgrades!$T$13="Microlensing",POWER(Upgrades!$U$13,E236),1)*IF(Upgrades!$T$14="Microlensing",POWER(Upgrades!$U$14,F236),1)*IF(Upgrades!$T$16="Microlensing",POWER(Upgrades!$U$16,H236),1)*IF(Upgrades!$T$17="Microlensing",POWER(Upgrades!$U$17,I236),1)*IF(Upgrades!$T$18="Microlensing",POWER(Upgrades!$U$18,J236),1)*IF(Upgrades!$T$19="Microlensing",POWER(Upgrades!$U$19,K236),1)*IF(Upgrades!$T$20="Microlensing",POWER(Upgrades!$U$20,L236),1)*IF(Upgrades!$T$21="Microlensing",POWER(Upgrades!$U$21,M236),1))+(IF(H236=0,0,(Upgrades!$M$16+H236*Upgrades!$N$16)*POWER(Upgrades!$O$16,H236)))*(IF(Upgrades!$T$13="Roche Lobe Overflow",POWER(Upgrades!$U$13,E236),1)*IF(Upgrades!$T$14="Roche Lobe Overflow",POWER(Upgrades!$U$14,F236),1)*IF(Upgrades!$T$15="Roche Lobe Overflow",POWER(Upgrades!$U$15,G236),1)*IF(Upgrades!$T$17="Roche Lobe Overflow",POWER(Upgrades!$U$17,I236),1)*IF(Upgrades!$T$18="Roche Lobe Overflow",POWER(Upgrades!$U$18,J236),1)*IF(Upgrades!$T$19="Roche Lobe Overflow",POWER(Upgrades!$U$19,K236),1)*IF(Upgrades!$T$20="Roche Lobe Overflow",POWER(Upgrades!$U$20,L236),1)*IF(Upgrades!$T$21="Roche Lobe Overflow",POWER(Upgrades!$U$21,M236),1))+(IF(I236=0,0,(Upgrades!$M$17+I236*Upgrades!$N$17)*POWER(Upgrades!$O$17,I236)))*(IF(Upgrades!$T$13="Brown Dwarf",POWER(Upgrades!$U$13,E236),1)*IF(Upgrades!$T$14="Brown Dwarf",POWER(Upgrades!$U$14,F236),1)*IF(Upgrades!$T$15="Brown Dwarf",POWER(Upgrades!$U$15,G236),1)*IF(Upgrades!$T$16="Brown Dwarf",POWER(Upgrades!$U$16,H236),1)*IF(Upgrades!$T$18="Brown Dwarf",POWER(Upgrades!$U$18,J236),1)*IF(Upgrades!$T$19="Brown Dwarf",POWER(Upgrades!$U$19,K236),1)*IF(Upgrades!$T$20="Brown Dwarf",POWER(Upgrades!$U$20,L236),1)*IF(Upgrades!$T$21="Brown Dwarf",POWER(Upgrades!$U$21,M236),1))+(IF(J236=0,0,(Upgrades!$M$18+J236*Upgrades!$N$18)*POWER(Upgrades!$O$18,J236)))*(IF(Upgrades!$T$13="Binary Partner",POWER(Upgrades!$U$13,E236),1)*IF(Upgrades!$T$14="Binary Partner",POWER(Upgrades!$U$14,F236),1)*IF(Upgrades!$T$15="Binary Partner",POWER(Upgrades!$U$15,G236),1)*IF(Upgrades!$T$16="Binary Partner",POWER(Upgrades!$U$16,H236),1)*IF(Upgrades!$T$17="Binary Partner",POWER(Upgrades!$U$17,I236),1)*IF(Upgrades!$T$19="Binary Partner",POWER(Upgrades!$U$19,K236),1)*IF(Upgrades!$T$20="Binary Partner",POWER(Upgrades!$U$20,L236),1)*IF(Upgrades!$T$21="Binary Partner",POWER(Upgrades!$U$21,M236),1))+(IF(K236=0,0,(Upgrades!$M$19+K236*Upgrades!$N$19)*POWER(Upgrades!$O$19,K236)))*(IF(Upgrades!$T$13="Peculiar Velocity",POWER(Upgrades!$U$13,E236),1)*IF(Upgrades!$T$14="Peculiar Velocity",POWER(Upgrades!$U$14,F236),1)*IF(Upgrades!$T$15="Peculiar Velocity",POWER(Upgrades!$U$15,G236),1)*IF(Upgrades!$T$16="Peculiar Velocity",POWER(Upgrades!$U$16,H236),1)*IF(Upgrades!$T$17="Peculiar Velocity",POWER(Upgrades!$U$17,I236),1)*IF(Upgrades!$T$18="Peculiar Velocity",POWER(Upgrades!$U$18,J236),1)*IF(Upgrades!$T$20="Peculiar Velocity",POWER(Upgrades!$U$20,L236),1)*IF(Upgrades!$T$21="Peculiar Velocity",POWER(Upgrades!$U$21,M236),1))+(IF(L236=0,0,(Upgrades!$M$20+L236*Upgrades!$N$20)*POWER(Upgrades!$O$20,L236)))*(IF(Upgrades!$T$13="Open Cluster",POWER(Upgrades!$U$13,E236),1)*IF(Upgrades!$T$14="Open Cluster",POWER(Upgrades!$U$14,F236),1)*IF(Upgrades!$T$15="Open Cluster",POWER(Upgrades!$U$15,G236),1)*IF(Upgrades!$T$16="Open Cluster",POWER(Upgrades!$U$16,H236),1)*IF(Upgrades!$T$17="Open Cluster",POWER(Upgrades!$U$17,I236),1)*IF(Upgrades!$T$18="Open Cluster",POWER(Upgrades!$U$18,J236),1)*IF(Upgrades!$T$19="Open Cluster",POWER(Upgrades!$U$19,K236),1)*IF(Upgrades!$T$21="Open Cluster",POWER(Upgrades!$U$21,M236),1))+(IF(M236=0,0,(Upgrades!$M$21+M236*Upgrades!$N$21)*POWER(Upgrades!$O$21,M236)))*(IF(Upgrades!$T$13="Moving Group",POWER(Upgrades!$U$13,E236),1)*IF(Upgrades!$T$14="Moving Group",POWER(Upgrades!$U$14,F236),1)*IF(Upgrades!$T$15="Moving Group",POWER(Upgrades!$U$15,G236),1)*IF(Upgrades!$T$16="Moving Group",POWER(Upgrades!$U$16,H236),1)*IF(Upgrades!$T$17="Moving Group",POWER(Upgrades!$U$17,I236),1)*IF(Upgrades!$T$18="Moving Group",POWER(Upgrades!$U$18,J236),1)*IF(Upgrades!$T$19="Moving Group",POWER(Upgrades!$U$19,K236),1)*IF(Upgrades!$T$20="Moving Group",POWER(Upgrades!$U$20,L236),1)))*POWER(Upgrades!$R$13,E236)*POWER(Upgrades!$R$14,F236)*POWER(Upgrades!$R$15,G236)*POWER(Upgrades!$R$16,H236)*POWER(Upgrades!$R$17,I236)*POWER(Upgrades!$R$18,J236)*POWER(Upgrades!$R$19,K236)*POWER(Upgrades!$R$20,L236)*POWER(Upgrades!$R$21,M236)*$H$6+$E$6</f>
        <v/>
      </c>
      <c r="R236" s="27">
        <f>IF(N236=1,0,O236*Parameters!$B$10/60*Parameters!$B$11*10)</f>
        <v/>
      </c>
      <c r="S236" s="27">
        <f>IF(N236=1,0,Q236*O236*10)</f>
        <v/>
      </c>
      <c r="T236" s="27">
        <f>IF(N236=1,0,R236+S236+P236*10)</f>
        <v/>
      </c>
      <c r="U236" s="33">
        <f>BE236</f>
        <v/>
      </c>
      <c r="V236" s="22">
        <f>IF(U236="",0,IF(U236="transition",0,IF(U236="SK",AK236,IF(U236="LB",AL236,IF(U236="ML",AM236,IF(U236="RLO",AN236,IF(U236="BD",AO236,IF(U236="BiP",AP236,IF(U236="PV",AQ236,IF(U236="OC",AR236,IF(U236="MG",AS236,0))))))))))</f>
        <v/>
      </c>
      <c r="W236" s="27">
        <f>IF(U236="BiP",Upgrades!$F$18,IF(U236="PV",Upgrades!$F$19,IF(U236="OC",Upgrades!$F$20,IF(U236="MG",Upgrades!$F$21,IF(U236="transition",-Parameters!$B$18*Parameters!$B$19,0)))))</f>
        <v/>
      </c>
      <c r="X236" s="22">
        <f>C236+T236-V236</f>
        <v/>
      </c>
      <c r="Y236" s="30">
        <f>O236*Parameters!$B$10/60*Parameters!$B$11+Q236*O236+P236</f>
        <v/>
      </c>
      <c r="Z236" s="34">
        <f>IF(U236="transition","→ Tier 3 (Galactic Arm)",IF(U236="MG","Moving Group — pocket drifts together",IF(U236="OC","Open Cluster acquired",IF(U236="PV","Peculiar Velocity — passive multiplier active",IF(U236="BiP","Binary Partner — pair bond formed",IF(AND(AU236=1,N236=0,AT236&lt;&gt;1),"Cohesion ready (waiting on completionists)","")))))) </f>
        <v/>
      </c>
      <c r="AA236" s="27">
        <f>(IF(E236=0,0,(Upgrades!$G$13+E236*Upgrades!$H$13)*POWER(Upgrades!$I$13,E236)))*(IF(Upgrades!$T$14="Stellar Kinematics",POWER(Upgrades!$U$14,F236),1)*IF(Upgrades!$T$15="Stellar Kinematics",POWER(Upgrades!$U$15,G236),1)*IF(Upgrades!$T$16="Stellar Kinematics",POWER(Upgrades!$U$16,H236),1)*IF(Upgrades!$T$17="Stellar Kinematics",POWER(Upgrades!$U$17,I236),1)*IF(Upgrades!$T$18="Stellar Kinematics",POWER(Upgrades!$U$18,J236),1)*IF(Upgrades!$T$19="Stellar Kinematics",POWER(Upgrades!$U$19,K236),1)*IF(Upgrades!$T$20="Stellar Kinematics",POWER(Upgrades!$U$20,L236),1)*IF(Upgrades!$T$21="Stellar Kinematics",POWER(Upgrades!$U$21,M236),1))*POWER(Upgrades!$P$13,E236)*POWER(Upgrades!$P$14,F236)*POWER(Upgrades!$P$15,G236)*POWER(Upgrades!$P$16,H236)*POWER(Upgrades!$P$17,I236)*POWER(Upgrades!$P$18,J236)*POWER(Upgrades!$P$19,K236)*POWER(Upgrades!$P$20,L236)*POWER(Upgrades!$P$21,M236)*$F$6*60</f>
        <v/>
      </c>
      <c r="AB236" s="27">
        <f>(IF(F236=0,0,(Upgrades!$G$14+F236*Upgrades!$H$14)*POWER(Upgrades!$I$14,F236)))*(IF(Upgrades!$T$13="Local Bubble",POWER(Upgrades!$U$13,E236),1)*IF(Upgrades!$T$15="Local Bubble",POWER(Upgrades!$U$15,G236),1)*IF(Upgrades!$T$16="Local Bubble",POWER(Upgrades!$U$16,H236),1)*IF(Upgrades!$T$17="Local Bubble",POWER(Upgrades!$U$17,I236),1)*IF(Upgrades!$T$18="Local Bubble",POWER(Upgrades!$U$18,J236),1)*IF(Upgrades!$T$19="Local Bubble",POWER(Upgrades!$U$19,K236),1)*IF(Upgrades!$T$20="Local Bubble",POWER(Upgrades!$U$20,L236),1)*IF(Upgrades!$T$21="Local Bubble",POWER(Upgrades!$U$21,M236),1))*POWER(Upgrades!$P$13,E236)*POWER(Upgrades!$P$14,F236)*POWER(Upgrades!$P$15,G236)*POWER(Upgrades!$P$16,H236)*POWER(Upgrades!$P$17,I236)*POWER(Upgrades!$P$18,J236)*POWER(Upgrades!$P$19,K236)*POWER(Upgrades!$P$20,L236)*POWER(Upgrades!$P$21,M236)*$F$6*60</f>
        <v/>
      </c>
      <c r="AC236" s="27">
        <f>(IF(G236=0,0,(Upgrades!$J$15+G236*Upgrades!$K$15)*POWER(Upgrades!$L$15,G236)))*(IF(Upgrades!$T$13="Microlensing",POWER(Upgrades!$U$13,E236),1)*IF(Upgrades!$T$14="Microlensing",POWER(Upgrades!$U$14,F236),1)*IF(Upgrades!$T$16="Microlensing",POWER(Upgrades!$U$16,H236),1)*IF(Upgrades!$T$17="Microlensing",POWER(Upgrades!$U$17,I236),1)*IF(Upgrades!$T$18="Microlensing",POWER(Upgrades!$U$18,J236),1)*IF(Upgrades!$T$19="Microlensing",POWER(Upgrades!$U$19,K236),1)*IF(Upgrades!$T$20="Microlensing",POWER(Upgrades!$U$20,L236),1)*IF(Upgrades!$T$21="Microlensing",POWER(Upgrades!$U$21,M236),1))*POWER(Upgrades!$Q$13,E236)*POWER(Upgrades!$Q$14,F236)*POWER(Upgrades!$Q$15,G236)*POWER(Upgrades!$Q$16,H236)*POWER(Upgrades!$Q$17,I236)*POWER(Upgrades!$Q$18,J236)*POWER(Upgrades!$Q$19,K236)*POWER(Upgrades!$Q$20,L236)*POWER(Upgrades!$Q$21,M236)*$G$6*(Parameters!$B$10*Parameters!$B$11+Q236*60)</f>
        <v/>
      </c>
      <c r="AD236" s="27">
        <f>(IF(H236=0,0,(Upgrades!$M$16+H236*Upgrades!$N$16)*POWER(Upgrades!$O$16,H236)))*(IF(Upgrades!$T$13="Roche Lobe Overflow",POWER(Upgrades!$U$13,E236),1)*IF(Upgrades!$T$14="Roche Lobe Overflow",POWER(Upgrades!$U$14,F236),1)*IF(Upgrades!$T$15="Roche Lobe Overflow",POWER(Upgrades!$U$15,G236),1)*IF(Upgrades!$T$17="Roche Lobe Overflow",POWER(Upgrades!$U$17,I236),1)*IF(Upgrades!$T$18="Roche Lobe Overflow",POWER(Upgrades!$U$18,J236),1)*IF(Upgrades!$T$19="Roche Lobe Overflow",POWER(Upgrades!$U$19,K236),1)*IF(Upgrades!$T$20="Roche Lobe Overflow",POWER(Upgrades!$U$20,L236),1)*IF(Upgrades!$T$21="Roche Lobe Overflow",POWER(Upgrades!$U$21,M236),1))*POWER(Upgrades!$R$13,E236)*POWER(Upgrades!$R$14,F236)*POWER(Upgrades!$R$15,G236)*POWER(Upgrades!$R$16,H236)*POWER(Upgrades!$R$17,I236)*POWER(Upgrades!$R$18,J236)*POWER(Upgrades!$R$19,K236)*POWER(Upgrades!$R$20,L236)*POWER(Upgrades!$R$21,M236)*$H$6*O236*60</f>
        <v/>
      </c>
      <c r="AE236" s="27">
        <f>(IF(I236=0,0,(Upgrades!$G$17+I236*Upgrades!$H$17)*POWER(Upgrades!$I$17,I236)))*(IF(Upgrades!$T$13="Brown Dwarf",POWER(Upgrades!$U$13,E236),1)*IF(Upgrades!$T$14="Brown Dwarf",POWER(Upgrades!$U$14,F236),1)*IF(Upgrades!$T$15="Brown Dwarf",POWER(Upgrades!$U$15,G236),1)*IF(Upgrades!$T$16="Brown Dwarf",POWER(Upgrades!$U$16,H236),1)*IF(Upgrades!$T$18="Brown Dwarf",POWER(Upgrades!$U$18,J236),1)*IF(Upgrades!$T$19="Brown Dwarf",POWER(Upgrades!$U$19,K236),1)*IF(Upgrades!$T$20="Brown Dwarf",POWER(Upgrades!$U$20,L236),1)*IF(Upgrades!$T$21="Brown Dwarf",POWER(Upgrades!$U$21,M236),1))*POWER(Upgrades!$P$13,E236)*POWER(Upgrades!$P$14,F236)*POWER(Upgrades!$P$15,G236)*POWER(Upgrades!$P$16,H236)*POWER(Upgrades!$P$17,I236)*POWER(Upgrades!$P$18,J236)*POWER(Upgrades!$P$19,K236)*POWER(Upgrades!$P$20,L236)*POWER(Upgrades!$P$21,M236)*$F$6*60</f>
        <v/>
      </c>
      <c r="AF236" s="27" t="n">
        <v>0</v>
      </c>
      <c r="AG236" s="27" t="n">
        <v>0</v>
      </c>
      <c r="AH236" s="27" t="n">
        <v>0</v>
      </c>
      <c r="AI236" s="27">
        <f>(IF(M236=0,0,(Upgrades!$G$21+M236*Upgrades!$H$21)*POWER(Upgrades!$I$21,M236)))*(IF(Upgrades!$T$13="Moving Group",POWER(Upgrades!$U$13,E236),1)*IF(Upgrades!$T$14="Moving Group",POWER(Upgrades!$U$14,F236),1)*IF(Upgrades!$T$15="Moving Group",POWER(Upgrades!$U$15,G236),1)*IF(Upgrades!$T$16="Moving Group",POWER(Upgrades!$U$16,H236),1)*IF(Upgrades!$T$17="Moving Group",POWER(Upgrades!$U$17,I236),1)*IF(Upgrades!$T$18="Moving Group",POWER(Upgrades!$U$18,J236),1)*IF(Upgrades!$T$19="Moving Group",POWER(Upgrades!$U$19,K236),1)*IF(Upgrades!$T$20="Moving Group",POWER(Upgrades!$U$20,L236),1))*POWER(Upgrades!$P$13,E236)*POWER(Upgrades!$P$14,F236)*POWER(Upgrades!$P$15,G236)*POWER(Upgrades!$P$16,H236)*POWER(Upgrades!$P$17,I236)*POWER(Upgrades!$P$18,J236)*POWER(Upgrades!$P$19,K236)*POWER(Upgrades!$P$20,L236)*POWER(Upgrades!$P$21,M236)*$F$6*60</f>
        <v/>
      </c>
      <c r="AJ236" s="27">
        <f>$C$6*60</f>
        <v/>
      </c>
      <c r="AK236" s="22">
        <f>IF(E236&gt;=Upgrades!$E$13,"",Upgrades!$C$13*POWER(Upgrades!$D$13,E236))</f>
        <v/>
      </c>
      <c r="AL236" s="22">
        <f>IF(F236&gt;=Upgrades!$E$14,"",Upgrades!$C$14*POWER(Upgrades!$D$14,F236))</f>
        <v/>
      </c>
      <c r="AM236" s="22">
        <f>IF(G236&gt;=Upgrades!$E$15,"",Upgrades!$C$15*POWER(Upgrades!$D$15,G236))</f>
        <v/>
      </c>
      <c r="AN236" s="22">
        <f>IF(H236&gt;=Upgrades!$E$16,"",Upgrades!$C$16*POWER(Upgrades!$D$16,H236))</f>
        <v/>
      </c>
      <c r="AO236" s="22">
        <f>IF(I236&gt;=Upgrades!$E$17,"",Upgrades!$C$17*POWER(Upgrades!$D$17,I236))</f>
        <v/>
      </c>
      <c r="AP236" s="22">
        <f>IF(J236&gt;=Upgrades!$E$18,"",Upgrades!$C$18*POWER(Upgrades!$D$18,J236))</f>
        <v/>
      </c>
      <c r="AQ236" s="22">
        <f>IF(K236&gt;=Upgrades!$E$19,"",Upgrades!$C$19*POWER(Upgrades!$D$19,K236))</f>
        <v/>
      </c>
      <c r="AR236" s="22">
        <f>IF(L236&gt;=Upgrades!$E$20,"",Upgrades!$C$20*POWER(Upgrades!$D$20,L236))</f>
        <v/>
      </c>
      <c r="AS236" s="22">
        <f>IF(M236&gt;=Upgrades!$E$21,"",Upgrades!$C$21*POWER(Upgrades!$D$21,M236))</f>
        <v/>
      </c>
      <c r="AT236" s="26">
        <f>IF(AND(D236&gt;=Parameters!$B$18*Parameters!$B$19,(I236&gt;=Upgrades!$E$17)*(M236&gt;=Upgrades!$E$21)=1,N236=0),1,"")</f>
        <v/>
      </c>
      <c r="AU236" s="26">
        <f>IF(AND(D236&gt;=Parameters!$B$18*Parameters!$B$19,N236=0),1,"")</f>
        <v/>
      </c>
      <c r="AV236" s="22">
        <f>MIN(IF(ISNUMBER(AP236),AP236,9E15),IF(ISNUMBER(AQ236),AQ236,9E15),IF(ISNUMBER(AR236),AR236,9E15),IF(ISNUMBER(AS236),AS236,9E15))</f>
        <v/>
      </c>
      <c r="AW236" s="22">
        <f>MIN(IF(ISNUMBER(AK236),AK236,9E15),IF(ISNUMBER(AL236),AL236,9E15),IF(ISNUMBER(AM236),AM236,9E15),IF(ISNUMBER(AN236),AN236,9E15),IF(ISNUMBER(AO236),AO236,9E15))</f>
        <v/>
      </c>
      <c r="AX236" s="29">
        <f>IF(BD236&gt;Parameters!$B$21*(MAX(IF(AND(NOT(AND(AU236=1,AT236&lt;&gt;1)),ISNUMBER(AK236),AK236&lt;=(C236+T236)),AY236,0),IF(AND(NOT(AND(AU236=1,AT236&lt;&gt;1)),ISNUMBER(AL236),AL236&lt;=(C236+T236)),AZ236,0),IF(AND(NOT(AND(AU236=1,AT236&lt;&gt;1)),ISNUMBER(AM236),AM236&lt;=(C236+T236)),BA236,0),IF(AND(NOT(AND(AU236=1,AT236&lt;&gt;1)),ISNUMBER(AN236),AN236&lt;=(C236+T236)),BB236,0),IF(AND(ISNUMBER(AO236),AO236&lt;=(C236+T236)),BC236,0))),TRUE,FALSE)</f>
        <v/>
      </c>
      <c r="AY236" s="32">
        <f>IFERROR(Upgrades!$H$13*(POWER(Upgrades!$P$13,E236)*POWER(Upgrades!$P$14,F236)*POWER(Upgrades!$P$15,G236)*POWER(Upgrades!$P$16,H236)*POWER(Upgrades!$P$17,I236)*POWER(Upgrades!$P$18,J236)*POWER(Upgrades!$P$19,K236)*POWER(Upgrades!$P$20,L236)*POWER(Upgrades!$P$21,M236))*(IF(Upgrades!$T$14="Stellar Kinematics",POWER(Upgrades!$U$14,F236),1)*IF(Upgrades!$T$15="Stellar Kinematics",POWER(Upgrades!$U$15,G236),1)*IF(Upgrades!$T$16="Stellar Kinematics",POWER(Upgrades!$U$16,H236),1)*IF(Upgrades!$T$17="Stellar Kinematics",POWER(Upgrades!$U$17,I236),1)*IF(Upgrades!$T$18="Stellar Kinematics",POWER(Upgrades!$U$18,J236),1)*IF(Upgrades!$T$19="Stellar Kinematics",POWER(Upgrades!$U$19,K236),1)*IF(Upgrades!$T$20="Stellar Kinematics",POWER(Upgrades!$U$20,L236),1)*IF(Upgrades!$T$21="Stellar Kinematics",POWER(Upgrades!$U$21,M236),1))*$F$6/AK236,0)</f>
        <v/>
      </c>
      <c r="AZ236" s="32">
        <f>IFERROR(Upgrades!$H$14*(POWER(Upgrades!$P$13,E236)*POWER(Upgrades!$P$14,F236)*POWER(Upgrades!$P$15,G236)*POWER(Upgrades!$P$16,H236)*POWER(Upgrades!$P$17,I236)*POWER(Upgrades!$P$18,J236)*POWER(Upgrades!$P$19,K236)*POWER(Upgrades!$P$20,L236)*POWER(Upgrades!$P$21,M236))*(IF(Upgrades!$T$13="Local Bubble",POWER(Upgrades!$U$13,E236),1)*IF(Upgrades!$T$15="Local Bubble",POWER(Upgrades!$U$15,G236),1)*IF(Upgrades!$T$16="Local Bubble",POWER(Upgrades!$U$16,H236),1)*IF(Upgrades!$T$17="Local Bubble",POWER(Upgrades!$U$17,I236),1)*IF(Upgrades!$T$18="Local Bubble",POWER(Upgrades!$U$18,J236),1)*IF(Upgrades!$T$19="Local Bubble",POWER(Upgrades!$U$19,K236),1)*IF(Upgrades!$T$20="Local Bubble",POWER(Upgrades!$U$20,L236),1)*IF(Upgrades!$T$21="Local Bubble",POWER(Upgrades!$U$21,M236),1))*$F$6/AL236,0)</f>
        <v/>
      </c>
      <c r="BA236" s="32">
        <f>IFERROR(Upgrades!$K$15*(POWER(Upgrades!$Q$13,E236)*POWER(Upgrades!$Q$14,F236)*POWER(Upgrades!$Q$15,G236)*POWER(Upgrades!$Q$16,H236)*POWER(Upgrades!$Q$17,I236)*POWER(Upgrades!$Q$18,J236)*POWER(Upgrades!$Q$19,K236)*POWER(Upgrades!$Q$20,L236)*POWER(Upgrades!$Q$21,M236))*(IF(Upgrades!$T$13="Microlensing",POWER(Upgrades!$U$13,E236),1)*IF(Upgrades!$T$14="Microlensing",POWER(Upgrades!$U$14,F236),1)*IF(Upgrades!$T$16="Microlensing",POWER(Upgrades!$U$16,H236),1)*IF(Upgrades!$T$17="Microlensing",POWER(Upgrades!$U$17,I236),1)*IF(Upgrades!$T$18="Microlensing",POWER(Upgrades!$U$18,J236),1)*IF(Upgrades!$T$19="Microlensing",POWER(Upgrades!$U$19,K236),1)*IF(Upgrades!$T$20="Microlensing",POWER(Upgrades!$U$20,L236),1)*IF(Upgrades!$T$21="Microlensing",POWER(Upgrades!$U$21,M236),1))*$G$6*(Parameters!$B$10/60*Parameters!$B$11+Q236)/AM236,0)</f>
        <v/>
      </c>
      <c r="BB236" s="32">
        <f>IFERROR((Upgrades!$N$16*(POWER(Upgrades!$R$13,E236)*POWER(Upgrades!$R$14,F236)*POWER(Upgrades!$R$15,G236)*POWER(Upgrades!$R$16,H236)*POWER(Upgrades!$R$17,I236)*POWER(Upgrades!$R$18,J236)*POWER(Upgrades!$R$19,K236)*POWER(Upgrades!$R$20,L236)*POWER(Upgrades!$R$21,M236))*(IF(Upgrades!$T$13="Roche Lobe Overflow",POWER(Upgrades!$U$13,E236),1)*IF(Upgrades!$T$14="Roche Lobe Overflow",POWER(Upgrades!$U$14,F236),1)*IF(Upgrades!$T$15="Roche Lobe Overflow",POWER(Upgrades!$U$15,G236),1)*IF(Upgrades!$T$17="Roche Lobe Overflow",POWER(Upgrades!$U$17,I236),1)*IF(Upgrades!$T$18="Roche Lobe Overflow",POWER(Upgrades!$U$18,J236),1)*IF(Upgrades!$T$19="Roche Lobe Overflow",POWER(Upgrades!$U$19,K236),1)*IF(Upgrades!$T$20="Roche Lobe Overflow",POWER(Upgrades!$U$20,L236),1)*IF(Upgrades!$T$21="Roche Lobe Overflow",POWER(Upgrades!$U$21,M236),1))*$H$6*O236+((IF(F236=0,0,(Upgrades!$G$14+F236*Upgrades!$H$14)*POWER(Upgrades!$I$14,F236)))*(IF(Upgrades!$T$13="Local Bubble",POWER(Upgrades!$U$13,E236),1)*IF(Upgrades!$T$15="Local Bubble",POWER(Upgrades!$U$15,G236),1)*IF(Upgrades!$T$16="Local Bubble",POWER(Upgrades!$U$16,H236),1)*IF(Upgrades!$T$17="Local Bubble",POWER(Upgrades!$U$17,I236),1)*IF(Upgrades!$T$18="Local Bubble",POWER(Upgrades!$U$18,J236),1)*IF(Upgrades!$T$19="Local Bubble",POWER(Upgrades!$U$19,K236),1)*IF(Upgrades!$T$20="Local Bubble",POWER(Upgrades!$U$20,L236),1)*IF(Upgrades!$T$21="Local Bubble",POWER(Upgrades!$U$21,M236),1))*POWER(Upgrades!$P$13,E236)*POWER(Upgrades!$P$14,F236)*POWER(Upgrades!$P$15,G236)*POWER(Upgrades!$P$16,H236)*POWER(Upgrades!$P$17,I236)*POWER(Upgrades!$P$18,J236)*POWER(Upgrades!$P$19,K236)*POWER(Upgrades!$P$20,L236)*POWER(Upgrades!$P$21,M236)*$F$6)*0.05)/AN236,0)</f>
        <v/>
      </c>
      <c r="BC236" s="32">
        <f>IFERROR((Upgrades!$H$17*(POWER(Upgrades!$P$13,E236)*POWER(Upgrades!$P$14,F236)*POWER(Upgrades!$P$15,G236)*POWER(Upgrades!$P$16,H236)*POWER(Upgrades!$P$17,I236)*POWER(Upgrades!$P$18,J236)*POWER(Upgrades!$P$19,K236)*POWER(Upgrades!$P$20,L236)*POWER(Upgrades!$P$21,M236))*(IF(Upgrades!$T$13="Brown Dwarf",POWER(Upgrades!$U$13,E236),1)*IF(Upgrades!$T$14="Brown Dwarf",POWER(Upgrades!$U$14,F236),1)*IF(Upgrades!$T$15="Brown Dwarf",POWER(Upgrades!$U$15,G236),1)*IF(Upgrades!$T$16="Brown Dwarf",POWER(Upgrades!$U$16,H236),1)*IF(Upgrades!$T$18="Brown Dwarf",POWER(Upgrades!$U$18,J236),1)*IF(Upgrades!$T$19="Brown Dwarf",POWER(Upgrades!$U$19,K236),1)*IF(Upgrades!$T$20="Brown Dwarf",POWER(Upgrades!$U$20,L236),1)*IF(Upgrades!$T$21="Brown Dwarf",POWER(Upgrades!$U$21,M236),1))*$F$6+(((IF(H236=0,0,(Upgrades!$M$16+H236*Upgrades!$N$16)*POWER(Upgrades!$O$16,H236)))*(IF(Upgrades!$T$13="Roche Lobe Overflow",POWER(Upgrades!$U$13,E236),1)*IF(Upgrades!$T$14="Roche Lobe Overflow",POWER(Upgrades!$U$14,F236),1)*IF(Upgrades!$T$15="Roche Lobe Overflow",POWER(Upgrades!$U$15,G236),1)*IF(Upgrades!$T$17="Roche Lobe Overflow",POWER(Upgrades!$U$17,I236),1)*IF(Upgrades!$T$18="Roche Lobe Overflow",POWER(Upgrades!$U$18,J236),1)*IF(Upgrades!$T$19="Roche Lobe Overflow",POWER(Upgrades!$U$19,K236),1)*IF(Upgrades!$T$20="Roche Lobe Overflow",POWER(Upgrades!$U$20,L236),1)*IF(Upgrades!$T$21="Roche Lobe Overflow",POWER(Upgrades!$U$21,M236),1))*POWER(Upgrades!$R$13,E236)*POWER(Upgrades!$R$14,F236)*POWER(Upgrades!$R$15,G236)*POWER(Upgrades!$R$16,H236)*POWER(Upgrades!$R$17,I236)*POWER(Upgrades!$R$18,J236)*POWER(Upgrades!$R$19,K236)*POWER(Upgrades!$R$20,L236)*POWER(Upgrades!$R$21,M236)*$H$6)*O236)*0.10)/AO236,0)</f>
        <v/>
      </c>
      <c r="BD236" s="32">
        <f>MAX(IF(J236&gt;0,0,IFERROR(0.5*((IF(G236=0,0,(Upgrades!$J$15+G236*Upgrades!$K$15)*POWER(Upgrades!$L$15,G236)))*(IF(Upgrades!$T$13="Microlensing",POWER(Upgrades!$U$13,E236),1)*IF(Upgrades!$T$14="Microlensing",POWER(Upgrades!$U$14,F236),1)*IF(Upgrades!$T$16="Microlensing",POWER(Upgrades!$U$16,H236),1)*IF(Upgrades!$T$17="Microlensing",POWER(Upgrades!$U$17,I236),1)*IF(Upgrades!$T$18="Microlensing",POWER(Upgrades!$U$18,J236),1)*IF(Upgrades!$T$19="Microlensing",POWER(Upgrades!$U$19,K236),1)*IF(Upgrades!$T$20="Microlensing",POWER(Upgrades!$U$20,L236),1)*IF(Upgrades!$T$21="Microlensing",POWER(Upgrades!$U$21,M236),1))*(POWER(Upgrades!$Q$13,E236)*POWER(Upgrades!$Q$14,F236)*POWER(Upgrades!$Q$15,G236)*POWER(Upgrades!$Q$16,H236)*POWER(Upgrades!$Q$17,I236)*POWER(Upgrades!$Q$18,J236)*POWER(Upgrades!$Q$19,K236)*POWER(Upgrades!$Q$20,L236)*POWER(Upgrades!$Q$21,M236))*$G$6*(Parameters!$B$10/60*Parameters!$B$11+Q236))/Upgrades!$C$18,0)),IF(K236&gt;0,0,IFERROR(0.30*P236/Upgrades!$C$19,0)),IF(L236&gt;0,0,IFERROR(0.0001/Upgrades!$C$20,0)),IF(M236&gt;0,0,IFERROR((6.0*(POWER(Upgrades!$P$13,E236)*POWER(Upgrades!$P$14,F236)*POWER(Upgrades!$P$15,G236)*POWER(Upgrades!$P$16,H236)*POWER(Upgrades!$P$17,I236)*POWER(Upgrades!$P$18,J236)*POWER(Upgrades!$P$19,K236)*POWER(Upgrades!$P$20,L236)*POWER(Upgrades!$P$21,M236))*$F$6+0.20*O236*(Parameters!$B$10/60*Parameters!$B$11+Q236))/Upgrades!$C$21,0)),IF(AND(ISNUMBER(AK236),AK236&gt;(C236+T236)),AY236,0),IF(AND(ISNUMBER(AL236),AL236&gt;(C236+T236)),AZ236,0),IF(AND(ISNUMBER(AM236),AM236&gt;(C236+T236)),BA236,0),IF(AND(ISNUMBER(AN236),AN236&gt;(C236+T236)),BB236,0),IF(AND(ISNUMBER(AO236),AO236&gt;(C236+T236)),BC236,0))</f>
        <v/>
      </c>
      <c r="BE236" s="29">
        <f>IF(AT236=1,"transition",IF(MIN(IF(AND(J236=0,ISNUMBER(AP236),AP236&lt;=(C236+T236)),AP236,9E15),IF(AND(K236=0,ISNUMBER(AQ236),AQ236&lt;=(C236+T236)),AQ236,9E15),IF(AND(L236=0,ISNUMBER(AR236),AR236&lt;=(C236+T236)),AR236,9E15),IF(AND(M236=0,ISNUMBER(AS236),AS236&lt;=(C236+T236)),AS236,9E15))&lt;9E15,IF(AND(AND(J236=0,ISNUMBER(AP236),AP236&lt;=(C236+T236)),AP236=MIN(IF(AND(J236=0,ISNUMBER(AP236),AP236&lt;=(C236+T236)),AP236,9E15),IF(AND(K236=0,ISNUMBER(AQ236),AQ236&lt;=(C236+T236)),AQ236,9E15),IF(AND(L236=0,ISNUMBER(AR236),AR236&lt;=(C236+T236)),AR236,9E15),IF(AND(M236=0,ISNUMBER(AS236),AS236&lt;=(C236+T236)),AS236,9E15))),"BiP",IF(AND(AND(K236=0,ISNUMBER(AQ236),AQ236&lt;=(C236+T236)),AQ236=MIN(IF(AND(J236=0,ISNUMBER(AP236),AP236&lt;=(C236+T236)),AP236,9E15),IF(AND(K236=0,ISNUMBER(AQ236),AQ236&lt;=(C236+T236)),AQ236,9E15),IF(AND(L236=0,ISNUMBER(AR236),AR236&lt;=(C236+T236)),AR236,9E15),IF(AND(M236=0,ISNUMBER(AS236),AS236&lt;=(C236+T236)),AS236,9E15))),"PV",IF(AND(AND(L236=0,ISNUMBER(AR236),AR236&lt;=(C236+T236)),AR236=MIN(IF(AND(J236=0,ISNUMBER(AP236),AP236&lt;=(C236+T236)),AP236,9E15),IF(AND(K236=0,ISNUMBER(AQ236),AQ236&lt;=(C236+T236)),AQ236,9E15),IF(AND(L236=0,ISNUMBER(AR236),AR236&lt;=(C236+T236)),AR236,9E15),IF(AND(M236=0,ISNUMBER(AS236),AS236&lt;=(C236+T236)),AS236,9E15))),"OC","MG"))),IF(AX236=TRUE,"",IF(MAX(IF(AND(NOT(AND(AU236=1,AT236&lt;&gt;1)),ISNUMBER(AK236),AK236&lt;=(C236+T236)),AY236,0),IF(AND(NOT(AND(AU236=1,AT236&lt;&gt;1)),ISNUMBER(AL236),AL236&lt;=(C236+T236)),AZ236,0),IF(AND(NOT(AND(AU236=1,AT236&lt;&gt;1)),ISNUMBER(AM236),AM236&lt;=(C236+T236)),BA236,0),IF(AND(NOT(AND(AU236=1,AT236&lt;&gt;1)),ISNUMBER(AN236),AN236&lt;=(C236+T236)),BB236,0),IF(AND(ISNUMBER(AO236),AO236&lt;=(C236+T236)),BC236,0))&lt;=0,"",IF(AND(IF(AND(NOT(AND(AU236=1,AT236&lt;&gt;1)),ISNUMBER(AK236),AK236&lt;=(C236+T236)),AY236,0)&gt;0,IF(AND(NOT(AND(AU236=1,AT236&lt;&gt;1)),ISNUMBER(AK236),AK236&lt;=(C236+T236)),AY236,0)=MAX(IF(AND(NOT(AND(AU236=1,AT236&lt;&gt;1)),ISNUMBER(AK236),AK236&lt;=(C236+T236)),AY236,0),IF(AND(NOT(AND(AU236=1,AT236&lt;&gt;1)),ISNUMBER(AL236),AL236&lt;=(C236+T236)),AZ236,0),IF(AND(NOT(AND(AU236=1,AT236&lt;&gt;1)),ISNUMBER(AM236),AM236&lt;=(C236+T236)),BA236,0),IF(AND(NOT(AND(AU236=1,AT236&lt;&gt;1)),ISNUMBER(AN236),AN236&lt;=(C236+T236)),BB236,0),IF(AND(ISNUMBER(AO236),AO236&lt;=(C236+T236)),BC236,0))),"SK",IF(AND(IF(AND(NOT(AND(AU236=1,AT236&lt;&gt;1)),ISNUMBER(AL236),AL236&lt;=(C236+T236)),AZ236,0)&gt;0,IF(AND(NOT(AND(AU236=1,AT236&lt;&gt;1)),ISNUMBER(AL236),AL236&lt;=(C236+T236)),AZ236,0)=MAX(IF(AND(NOT(AND(AU236=1,AT236&lt;&gt;1)),ISNUMBER(AK236),AK236&lt;=(C236+T236)),AY236,0),IF(AND(NOT(AND(AU236=1,AT236&lt;&gt;1)),ISNUMBER(AL236),AL236&lt;=(C236+T236)),AZ236,0),IF(AND(NOT(AND(AU236=1,AT236&lt;&gt;1)),ISNUMBER(AM236),AM236&lt;=(C236+T236)),BA236,0),IF(AND(NOT(AND(AU236=1,AT236&lt;&gt;1)),ISNUMBER(AN236),AN236&lt;=(C236+T236)),BB236,0),IF(AND(ISNUMBER(AO236),AO236&lt;=(C236+T236)),BC236,0))),"LB",IF(AND(IF(AND(NOT(AND(AU236=1,AT236&lt;&gt;1)),ISNUMBER(AM236),AM236&lt;=(C236+T236)),BA236,0)&gt;0,IF(AND(NOT(AND(AU236=1,AT236&lt;&gt;1)),ISNUMBER(AM236),AM236&lt;=(C236+T236)),BA236,0)=MAX(IF(AND(NOT(AND(AU236=1,AT236&lt;&gt;1)),ISNUMBER(AK236),AK236&lt;=(C236+T236)),AY236,0),IF(AND(NOT(AND(AU236=1,AT236&lt;&gt;1)),ISNUMBER(AL236),AL236&lt;=(C236+T236)),AZ236,0),IF(AND(NOT(AND(AU236=1,AT236&lt;&gt;1)),ISNUMBER(AM236),AM236&lt;=(C236+T236)),BA236,0),IF(AND(NOT(AND(AU236=1,AT236&lt;&gt;1)),ISNUMBER(AN236),AN236&lt;=(C236+T236)),BB236,0),IF(AND(ISNUMBER(AO236),AO236&lt;=(C236+T236)),BC236,0))),"ML",IF(AND(IF(AND(NOT(AND(AU236=1,AT236&lt;&gt;1)),ISNUMBER(AN236),AN236&lt;=(C236+T236)),BB236,0)&gt;0,IF(AND(NOT(AND(AU236=1,AT236&lt;&gt;1)),ISNUMBER(AN236),AN236&lt;=(C236+T236)),BB236,0)=MAX(IF(AND(NOT(AND(AU236=1,AT236&lt;&gt;1)),ISNUMBER(AK236),AK236&lt;=(C236+T236)),AY236,0),IF(AND(NOT(AND(AU236=1,AT236&lt;&gt;1)),ISNUMBER(AL236),AL236&lt;=(C236+T236)),AZ236,0),IF(AND(NOT(AND(AU236=1,AT236&lt;&gt;1)),ISNUMBER(AM236),AM236&lt;=(C236+T236)),BA236,0),IF(AND(NOT(AND(AU236=1,AT236&lt;&gt;1)),ISNUMBER(AN236),AN236&lt;=(C236+T236)),BB236,0),IF(AND(ISNUMBER(AO236),AO236&lt;=(C236+T236)),BC236,0))),"RLO","BD"))))))))</f>
        <v/>
      </c>
    </row>
    <row r="237">
      <c r="A237" s="26" t="n">
        <v>226</v>
      </c>
      <c r="B237" s="27">
        <f>A237*10/60</f>
        <v/>
      </c>
      <c r="C237" s="22">
        <f>X236</f>
        <v/>
      </c>
      <c r="D237" s="27">
        <f>D236+W236</f>
        <v/>
      </c>
      <c r="E237" s="26">
        <f>E236+IF(U236="SK",1,0)</f>
        <v/>
      </c>
      <c r="F237" s="26">
        <f>F236+IF(U236="LB",1,0)</f>
        <v/>
      </c>
      <c r="G237" s="26">
        <f>G236+IF(U236="ML",1,0)</f>
        <v/>
      </c>
      <c r="H237" s="26">
        <f>H236+IF(U236="RLO",1,0)</f>
        <v/>
      </c>
      <c r="I237" s="26">
        <f>I236+IF(U236="BD",1,0)</f>
        <v/>
      </c>
      <c r="J237" s="26">
        <f>MAX(J236,IF(U236="BiP",1,0))</f>
        <v/>
      </c>
      <c r="K237" s="26">
        <f>MAX(K236,IF(U236="PV",1,0))</f>
        <v/>
      </c>
      <c r="L237" s="26">
        <f>MAX(L236,IF(U236="OC",1,0))</f>
        <v/>
      </c>
      <c r="M237" s="26">
        <f>MAX(M236,IF(U236="MG",1,0))</f>
        <v/>
      </c>
      <c r="N237" s="26">
        <f>MAX(N236,IF(U236="transition",1,0))</f>
        <v/>
      </c>
      <c r="O237" s="28">
        <f>(Parameters!$B$9+(IF(E237=0,0,(Upgrades!$J$13+E237*Upgrades!$K$13)*POWER(Upgrades!$L$13,E237)))*(IF(Upgrades!$T$14="Stellar Kinematics",POWER(Upgrades!$U$14,F237),1)*IF(Upgrades!$T$15="Stellar Kinematics",POWER(Upgrades!$U$15,G237),1)*IF(Upgrades!$T$16="Stellar Kinematics",POWER(Upgrades!$U$16,H237),1)*IF(Upgrades!$T$17="Stellar Kinematics",POWER(Upgrades!$U$17,I237),1)*IF(Upgrades!$T$18="Stellar Kinematics",POWER(Upgrades!$U$18,J237),1)*IF(Upgrades!$T$19="Stellar Kinematics",POWER(Upgrades!$U$19,K237),1)*IF(Upgrades!$T$20="Stellar Kinematics",POWER(Upgrades!$U$20,L237),1)*IF(Upgrades!$T$21="Stellar Kinematics",POWER(Upgrades!$U$21,M237),1))+(IF(F237=0,0,(Upgrades!$J$14+F237*Upgrades!$K$14)*POWER(Upgrades!$L$14,F237)))*(IF(Upgrades!$T$13="Local Bubble",POWER(Upgrades!$U$13,E237),1)*IF(Upgrades!$T$15="Local Bubble",POWER(Upgrades!$U$15,G237),1)*IF(Upgrades!$T$16="Local Bubble",POWER(Upgrades!$U$16,H237),1)*IF(Upgrades!$T$17="Local Bubble",POWER(Upgrades!$U$17,I237),1)*IF(Upgrades!$T$18="Local Bubble",POWER(Upgrades!$U$18,J237),1)*IF(Upgrades!$T$19="Local Bubble",POWER(Upgrades!$U$19,K237),1)*IF(Upgrades!$T$20="Local Bubble",POWER(Upgrades!$U$20,L237),1)*IF(Upgrades!$T$21="Local Bubble",POWER(Upgrades!$U$21,M237),1))+(IF(G237=0,0,(Upgrades!$J$15+G237*Upgrades!$K$15)*POWER(Upgrades!$L$15,G237)))*(IF(Upgrades!$T$13="Microlensing",POWER(Upgrades!$U$13,E237),1)*IF(Upgrades!$T$14="Microlensing",POWER(Upgrades!$U$14,F237),1)*IF(Upgrades!$T$16="Microlensing",POWER(Upgrades!$U$16,H237),1)*IF(Upgrades!$T$17="Microlensing",POWER(Upgrades!$U$17,I237),1)*IF(Upgrades!$T$18="Microlensing",POWER(Upgrades!$U$18,J237),1)*IF(Upgrades!$T$19="Microlensing",POWER(Upgrades!$U$19,K237),1)*IF(Upgrades!$T$20="Microlensing",POWER(Upgrades!$U$20,L237),1)*IF(Upgrades!$T$21="Microlensing",POWER(Upgrades!$U$21,M237),1))+(IF(H237=0,0,(Upgrades!$J$16+H237*Upgrades!$K$16)*POWER(Upgrades!$L$16,H237)))*(IF(Upgrades!$T$13="Roche Lobe Overflow",POWER(Upgrades!$U$13,E237),1)*IF(Upgrades!$T$14="Roche Lobe Overflow",POWER(Upgrades!$U$14,F237),1)*IF(Upgrades!$T$15="Roche Lobe Overflow",POWER(Upgrades!$U$15,G237),1)*IF(Upgrades!$T$17="Roche Lobe Overflow",POWER(Upgrades!$U$17,I237),1)*IF(Upgrades!$T$18="Roche Lobe Overflow",POWER(Upgrades!$U$18,J237),1)*IF(Upgrades!$T$19="Roche Lobe Overflow",POWER(Upgrades!$U$19,K237),1)*IF(Upgrades!$T$20="Roche Lobe Overflow",POWER(Upgrades!$U$20,L237),1)*IF(Upgrades!$T$21="Roche Lobe Overflow",POWER(Upgrades!$U$21,M237),1))+(IF(I237=0,0,(Upgrades!$J$17+I237*Upgrades!$K$17)*POWER(Upgrades!$L$17,I237)))*(IF(Upgrades!$T$13="Brown Dwarf",POWER(Upgrades!$U$13,E237),1)*IF(Upgrades!$T$14="Brown Dwarf",POWER(Upgrades!$U$14,F237),1)*IF(Upgrades!$T$15="Brown Dwarf",POWER(Upgrades!$U$15,G237),1)*IF(Upgrades!$T$16="Brown Dwarf",POWER(Upgrades!$U$16,H237),1)*IF(Upgrades!$T$18="Brown Dwarf",POWER(Upgrades!$U$18,J237),1)*IF(Upgrades!$T$19="Brown Dwarf",POWER(Upgrades!$U$19,K237),1)*IF(Upgrades!$T$20="Brown Dwarf",POWER(Upgrades!$U$20,L237),1)*IF(Upgrades!$T$21="Brown Dwarf",POWER(Upgrades!$U$21,M237),1))+(IF(J237=0,0,(Upgrades!$J$18+J237*Upgrades!$K$18)*POWER(Upgrades!$L$18,J237)))*(IF(Upgrades!$T$13="Binary Partner",POWER(Upgrades!$U$13,E237),1)*IF(Upgrades!$T$14="Binary Partner",POWER(Upgrades!$U$14,F237),1)*IF(Upgrades!$T$15="Binary Partner",POWER(Upgrades!$U$15,G237),1)*IF(Upgrades!$T$16="Binary Partner",POWER(Upgrades!$U$16,H237),1)*IF(Upgrades!$T$17="Binary Partner",POWER(Upgrades!$U$17,I237),1)*IF(Upgrades!$T$19="Binary Partner",POWER(Upgrades!$U$19,K237),1)*IF(Upgrades!$T$20="Binary Partner",POWER(Upgrades!$U$20,L237),1)*IF(Upgrades!$T$21="Binary Partner",POWER(Upgrades!$U$21,M237),1))+(IF(K237=0,0,(Upgrades!$J$19+K237*Upgrades!$K$19)*POWER(Upgrades!$L$19,K237)))*(IF(Upgrades!$T$13="Peculiar Velocity",POWER(Upgrades!$U$13,E237),1)*IF(Upgrades!$T$14="Peculiar Velocity",POWER(Upgrades!$U$14,F237),1)*IF(Upgrades!$T$15="Peculiar Velocity",POWER(Upgrades!$U$15,G237),1)*IF(Upgrades!$T$16="Peculiar Velocity",POWER(Upgrades!$U$16,H237),1)*IF(Upgrades!$T$17="Peculiar Velocity",POWER(Upgrades!$U$17,I237),1)*IF(Upgrades!$T$18="Peculiar Velocity",POWER(Upgrades!$U$18,J237),1)*IF(Upgrades!$T$20="Peculiar Velocity",POWER(Upgrades!$U$20,L237),1)*IF(Upgrades!$T$21="Peculiar Velocity",POWER(Upgrades!$U$21,M237),1))+(IF(L237=0,0,(Upgrades!$J$20+L237*Upgrades!$K$20)*POWER(Upgrades!$L$20,L237)))*(IF(Upgrades!$T$13="Open Cluster",POWER(Upgrades!$U$13,E237),1)*IF(Upgrades!$T$14="Open Cluster",POWER(Upgrades!$U$14,F237),1)*IF(Upgrades!$T$15="Open Cluster",POWER(Upgrades!$U$15,G237),1)*IF(Upgrades!$T$16="Open Cluster",POWER(Upgrades!$U$16,H237),1)*IF(Upgrades!$T$17="Open Cluster",POWER(Upgrades!$U$17,I237),1)*IF(Upgrades!$T$18="Open Cluster",POWER(Upgrades!$U$18,J237),1)*IF(Upgrades!$T$19="Open Cluster",POWER(Upgrades!$U$19,K237),1)*IF(Upgrades!$T$21="Open Cluster",POWER(Upgrades!$U$21,M237),1))+(IF(M237=0,0,(Upgrades!$J$21+M237*Upgrades!$K$21)*POWER(Upgrades!$L$21,M237)))*(IF(Upgrades!$T$13="Moving Group",POWER(Upgrades!$U$13,E237),1)*IF(Upgrades!$T$14="Moving Group",POWER(Upgrades!$U$14,F237),1)*IF(Upgrades!$T$15="Moving Group",POWER(Upgrades!$U$15,G237),1)*IF(Upgrades!$T$16="Moving Group",POWER(Upgrades!$U$16,H237),1)*IF(Upgrades!$T$17="Moving Group",POWER(Upgrades!$U$17,I237),1)*IF(Upgrades!$T$18="Moving Group",POWER(Upgrades!$U$18,J237),1)*IF(Upgrades!$T$19="Moving Group",POWER(Upgrades!$U$19,K237),1)*IF(Upgrades!$T$20="Moving Group",POWER(Upgrades!$U$20,L237),1)))*POWER(Upgrades!$Q$13,E237)*POWER(Upgrades!$Q$14,F237)*POWER(Upgrades!$Q$15,G237)*POWER(Upgrades!$Q$16,H237)*POWER(Upgrades!$Q$17,I237)*POWER(Upgrades!$Q$18,J237)*POWER(Upgrades!$Q$19,K237)*POWER(Upgrades!$Q$20,L237)*POWER(Upgrades!$Q$21,M237)*$G$6+$D$6</f>
        <v/>
      </c>
      <c r="P237" s="28">
        <f>((IF(E237=0,0,(Upgrades!$G$13+E237*Upgrades!$H$13)*POWER(Upgrades!$I$13,E237)))*(IF(Upgrades!$T$14="Stellar Kinematics",POWER(Upgrades!$U$14,F237),1)*IF(Upgrades!$T$15="Stellar Kinematics",POWER(Upgrades!$U$15,G237),1)*IF(Upgrades!$T$16="Stellar Kinematics",POWER(Upgrades!$U$16,H237),1)*IF(Upgrades!$T$17="Stellar Kinematics",POWER(Upgrades!$U$17,I237),1)*IF(Upgrades!$T$18="Stellar Kinematics",POWER(Upgrades!$U$18,J237),1)*IF(Upgrades!$T$19="Stellar Kinematics",POWER(Upgrades!$U$19,K237),1)*IF(Upgrades!$T$20="Stellar Kinematics",POWER(Upgrades!$U$20,L237),1)*IF(Upgrades!$T$21="Stellar Kinematics",POWER(Upgrades!$U$21,M237),1))+(IF(F237=0,0,(Upgrades!$G$14+F237*Upgrades!$H$14)*POWER(Upgrades!$I$14,F237)))*(IF(Upgrades!$T$13="Local Bubble",POWER(Upgrades!$U$13,E237),1)*IF(Upgrades!$T$15="Local Bubble",POWER(Upgrades!$U$15,G237),1)*IF(Upgrades!$T$16="Local Bubble",POWER(Upgrades!$U$16,H237),1)*IF(Upgrades!$T$17="Local Bubble",POWER(Upgrades!$U$17,I237),1)*IF(Upgrades!$T$18="Local Bubble",POWER(Upgrades!$U$18,J237),1)*IF(Upgrades!$T$19="Local Bubble",POWER(Upgrades!$U$19,K237),1)*IF(Upgrades!$T$20="Local Bubble",POWER(Upgrades!$U$20,L237),1)*IF(Upgrades!$T$21="Local Bubble",POWER(Upgrades!$U$21,M237),1))+(IF(G237=0,0,(Upgrades!$G$15+G237*Upgrades!$H$15)*POWER(Upgrades!$I$15,G237)))*(IF(Upgrades!$T$13="Microlensing",POWER(Upgrades!$U$13,E237),1)*IF(Upgrades!$T$14="Microlensing",POWER(Upgrades!$U$14,F237),1)*IF(Upgrades!$T$16="Microlensing",POWER(Upgrades!$U$16,H237),1)*IF(Upgrades!$T$17="Microlensing",POWER(Upgrades!$U$17,I237),1)*IF(Upgrades!$T$18="Microlensing",POWER(Upgrades!$U$18,J237),1)*IF(Upgrades!$T$19="Microlensing",POWER(Upgrades!$U$19,K237),1)*IF(Upgrades!$T$20="Microlensing",POWER(Upgrades!$U$20,L237),1)*IF(Upgrades!$T$21="Microlensing",POWER(Upgrades!$U$21,M237),1))+(IF(H237=0,0,(Upgrades!$G$16+H237*Upgrades!$H$16)*POWER(Upgrades!$I$16,H237)))*(IF(Upgrades!$T$13="Roche Lobe Overflow",POWER(Upgrades!$U$13,E237),1)*IF(Upgrades!$T$14="Roche Lobe Overflow",POWER(Upgrades!$U$14,F237),1)*IF(Upgrades!$T$15="Roche Lobe Overflow",POWER(Upgrades!$U$15,G237),1)*IF(Upgrades!$T$17="Roche Lobe Overflow",POWER(Upgrades!$U$17,I237),1)*IF(Upgrades!$T$18="Roche Lobe Overflow",POWER(Upgrades!$U$18,J237),1)*IF(Upgrades!$T$19="Roche Lobe Overflow",POWER(Upgrades!$U$19,K237),1)*IF(Upgrades!$T$20="Roche Lobe Overflow",POWER(Upgrades!$U$20,L237),1)*IF(Upgrades!$T$21="Roche Lobe Overflow",POWER(Upgrades!$U$21,M237),1))+(IF(I237=0,0,(Upgrades!$G$17+I237*Upgrades!$H$17)*POWER(Upgrades!$I$17,I237)))*(IF(Upgrades!$T$13="Brown Dwarf",POWER(Upgrades!$U$13,E237),1)*IF(Upgrades!$T$14="Brown Dwarf",POWER(Upgrades!$U$14,F237),1)*IF(Upgrades!$T$15="Brown Dwarf",POWER(Upgrades!$U$15,G237),1)*IF(Upgrades!$T$16="Brown Dwarf",POWER(Upgrades!$U$16,H237),1)*IF(Upgrades!$T$18="Brown Dwarf",POWER(Upgrades!$U$18,J237),1)*IF(Upgrades!$T$19="Brown Dwarf",POWER(Upgrades!$U$19,K237),1)*IF(Upgrades!$T$20="Brown Dwarf",POWER(Upgrades!$U$20,L237),1)*IF(Upgrades!$T$21="Brown Dwarf",POWER(Upgrades!$U$21,M237),1))+(IF(J237=0,0,(Upgrades!$G$18+J237*Upgrades!$H$18)*POWER(Upgrades!$I$18,J237)))*(IF(Upgrades!$T$13="Binary Partner",POWER(Upgrades!$U$13,E237),1)*IF(Upgrades!$T$14="Binary Partner",POWER(Upgrades!$U$14,F237),1)*IF(Upgrades!$T$15="Binary Partner",POWER(Upgrades!$U$15,G237),1)*IF(Upgrades!$T$16="Binary Partner",POWER(Upgrades!$U$16,H237),1)*IF(Upgrades!$T$17="Binary Partner",POWER(Upgrades!$U$17,I237),1)*IF(Upgrades!$T$19="Binary Partner",POWER(Upgrades!$U$19,K237),1)*IF(Upgrades!$T$20="Binary Partner",POWER(Upgrades!$U$20,L237),1)*IF(Upgrades!$T$21="Binary Partner",POWER(Upgrades!$U$21,M237),1))+(IF(K237=0,0,(Upgrades!$G$19+K237*Upgrades!$H$19)*POWER(Upgrades!$I$19,K237)))*(IF(Upgrades!$T$13="Peculiar Velocity",POWER(Upgrades!$U$13,E237),1)*IF(Upgrades!$T$14="Peculiar Velocity",POWER(Upgrades!$U$14,F237),1)*IF(Upgrades!$T$15="Peculiar Velocity",POWER(Upgrades!$U$15,G237),1)*IF(Upgrades!$T$16="Peculiar Velocity",POWER(Upgrades!$U$16,H237),1)*IF(Upgrades!$T$17="Peculiar Velocity",POWER(Upgrades!$U$17,I237),1)*IF(Upgrades!$T$18="Peculiar Velocity",POWER(Upgrades!$U$18,J237),1)*IF(Upgrades!$T$20="Peculiar Velocity",POWER(Upgrades!$U$20,L237),1)*IF(Upgrades!$T$21="Peculiar Velocity",POWER(Upgrades!$U$21,M237),1))+(IF(L237=0,0,(Upgrades!$G$20+L237*Upgrades!$H$20)*POWER(Upgrades!$I$20,L237)))*(IF(Upgrades!$T$13="Open Cluster",POWER(Upgrades!$U$13,E237),1)*IF(Upgrades!$T$14="Open Cluster",POWER(Upgrades!$U$14,F237),1)*IF(Upgrades!$T$15="Open Cluster",POWER(Upgrades!$U$15,G237),1)*IF(Upgrades!$T$16="Open Cluster",POWER(Upgrades!$U$16,H237),1)*IF(Upgrades!$T$17="Open Cluster",POWER(Upgrades!$U$17,I237),1)*IF(Upgrades!$T$18="Open Cluster",POWER(Upgrades!$U$18,J237),1)*IF(Upgrades!$T$19="Open Cluster",POWER(Upgrades!$U$19,K237),1)*IF(Upgrades!$T$21="Open Cluster",POWER(Upgrades!$U$21,M237),1))+(IF(M237=0,0,(Upgrades!$G$21+M237*Upgrades!$H$21)*POWER(Upgrades!$I$21,M237)))*(IF(Upgrades!$T$13="Moving Group",POWER(Upgrades!$U$13,E237),1)*IF(Upgrades!$T$14="Moving Group",POWER(Upgrades!$U$14,F237),1)*IF(Upgrades!$T$15="Moving Group",POWER(Upgrades!$U$15,G237),1)*IF(Upgrades!$T$16="Moving Group",POWER(Upgrades!$U$16,H237),1)*IF(Upgrades!$T$17="Moving Group",POWER(Upgrades!$U$17,I237),1)*IF(Upgrades!$T$18="Moving Group",POWER(Upgrades!$U$18,J237),1)*IF(Upgrades!$T$19="Moving Group",POWER(Upgrades!$U$19,K237),1)*IF(Upgrades!$T$20="Moving Group",POWER(Upgrades!$U$20,L237),1)))*POWER(Upgrades!$P$13,E237)*POWER(Upgrades!$P$14,F237)*POWER(Upgrades!$P$15,G237)*POWER(Upgrades!$P$16,H237)*POWER(Upgrades!$P$17,I237)*POWER(Upgrades!$P$18,J237)*POWER(Upgrades!$P$19,K237)*POWER(Upgrades!$P$20,L237)*POWER(Upgrades!$P$21,M237)*$F$6+$C$6</f>
        <v/>
      </c>
      <c r="Q237" s="28">
        <f>((IF(E237=0,0,(Upgrades!$M$13+E237*Upgrades!$N$13)*POWER(Upgrades!$O$13,E237)))*(IF(Upgrades!$T$14="Stellar Kinematics",POWER(Upgrades!$U$14,F237),1)*IF(Upgrades!$T$15="Stellar Kinematics",POWER(Upgrades!$U$15,G237),1)*IF(Upgrades!$T$16="Stellar Kinematics",POWER(Upgrades!$U$16,H237),1)*IF(Upgrades!$T$17="Stellar Kinematics",POWER(Upgrades!$U$17,I237),1)*IF(Upgrades!$T$18="Stellar Kinematics",POWER(Upgrades!$U$18,J237),1)*IF(Upgrades!$T$19="Stellar Kinematics",POWER(Upgrades!$U$19,K237),1)*IF(Upgrades!$T$20="Stellar Kinematics",POWER(Upgrades!$U$20,L237),1)*IF(Upgrades!$T$21="Stellar Kinematics",POWER(Upgrades!$U$21,M237),1))+(IF(F237=0,0,(Upgrades!$M$14+F237*Upgrades!$N$14)*POWER(Upgrades!$O$14,F237)))*(IF(Upgrades!$T$13="Local Bubble",POWER(Upgrades!$U$13,E237),1)*IF(Upgrades!$T$15="Local Bubble",POWER(Upgrades!$U$15,G237),1)*IF(Upgrades!$T$16="Local Bubble",POWER(Upgrades!$U$16,H237),1)*IF(Upgrades!$T$17="Local Bubble",POWER(Upgrades!$U$17,I237),1)*IF(Upgrades!$T$18="Local Bubble",POWER(Upgrades!$U$18,J237),1)*IF(Upgrades!$T$19="Local Bubble",POWER(Upgrades!$U$19,K237),1)*IF(Upgrades!$T$20="Local Bubble",POWER(Upgrades!$U$20,L237),1)*IF(Upgrades!$T$21="Local Bubble",POWER(Upgrades!$U$21,M237),1))+(IF(G237=0,0,(Upgrades!$M$15+G237*Upgrades!$N$15)*POWER(Upgrades!$O$15,G237)))*(IF(Upgrades!$T$13="Microlensing",POWER(Upgrades!$U$13,E237),1)*IF(Upgrades!$T$14="Microlensing",POWER(Upgrades!$U$14,F237),1)*IF(Upgrades!$T$16="Microlensing",POWER(Upgrades!$U$16,H237),1)*IF(Upgrades!$T$17="Microlensing",POWER(Upgrades!$U$17,I237),1)*IF(Upgrades!$T$18="Microlensing",POWER(Upgrades!$U$18,J237),1)*IF(Upgrades!$T$19="Microlensing",POWER(Upgrades!$U$19,K237),1)*IF(Upgrades!$T$20="Microlensing",POWER(Upgrades!$U$20,L237),1)*IF(Upgrades!$T$21="Microlensing",POWER(Upgrades!$U$21,M237),1))+(IF(H237=0,0,(Upgrades!$M$16+H237*Upgrades!$N$16)*POWER(Upgrades!$O$16,H237)))*(IF(Upgrades!$T$13="Roche Lobe Overflow",POWER(Upgrades!$U$13,E237),1)*IF(Upgrades!$T$14="Roche Lobe Overflow",POWER(Upgrades!$U$14,F237),1)*IF(Upgrades!$T$15="Roche Lobe Overflow",POWER(Upgrades!$U$15,G237),1)*IF(Upgrades!$T$17="Roche Lobe Overflow",POWER(Upgrades!$U$17,I237),1)*IF(Upgrades!$T$18="Roche Lobe Overflow",POWER(Upgrades!$U$18,J237),1)*IF(Upgrades!$T$19="Roche Lobe Overflow",POWER(Upgrades!$U$19,K237),1)*IF(Upgrades!$T$20="Roche Lobe Overflow",POWER(Upgrades!$U$20,L237),1)*IF(Upgrades!$T$21="Roche Lobe Overflow",POWER(Upgrades!$U$21,M237),1))+(IF(I237=0,0,(Upgrades!$M$17+I237*Upgrades!$N$17)*POWER(Upgrades!$O$17,I237)))*(IF(Upgrades!$T$13="Brown Dwarf",POWER(Upgrades!$U$13,E237),1)*IF(Upgrades!$T$14="Brown Dwarf",POWER(Upgrades!$U$14,F237),1)*IF(Upgrades!$T$15="Brown Dwarf",POWER(Upgrades!$U$15,G237),1)*IF(Upgrades!$T$16="Brown Dwarf",POWER(Upgrades!$U$16,H237),1)*IF(Upgrades!$T$18="Brown Dwarf",POWER(Upgrades!$U$18,J237),1)*IF(Upgrades!$T$19="Brown Dwarf",POWER(Upgrades!$U$19,K237),1)*IF(Upgrades!$T$20="Brown Dwarf",POWER(Upgrades!$U$20,L237),1)*IF(Upgrades!$T$21="Brown Dwarf",POWER(Upgrades!$U$21,M237),1))+(IF(J237=0,0,(Upgrades!$M$18+J237*Upgrades!$N$18)*POWER(Upgrades!$O$18,J237)))*(IF(Upgrades!$T$13="Binary Partner",POWER(Upgrades!$U$13,E237),1)*IF(Upgrades!$T$14="Binary Partner",POWER(Upgrades!$U$14,F237),1)*IF(Upgrades!$T$15="Binary Partner",POWER(Upgrades!$U$15,G237),1)*IF(Upgrades!$T$16="Binary Partner",POWER(Upgrades!$U$16,H237),1)*IF(Upgrades!$T$17="Binary Partner",POWER(Upgrades!$U$17,I237),1)*IF(Upgrades!$T$19="Binary Partner",POWER(Upgrades!$U$19,K237),1)*IF(Upgrades!$T$20="Binary Partner",POWER(Upgrades!$U$20,L237),1)*IF(Upgrades!$T$21="Binary Partner",POWER(Upgrades!$U$21,M237),1))+(IF(K237=0,0,(Upgrades!$M$19+K237*Upgrades!$N$19)*POWER(Upgrades!$O$19,K237)))*(IF(Upgrades!$T$13="Peculiar Velocity",POWER(Upgrades!$U$13,E237),1)*IF(Upgrades!$T$14="Peculiar Velocity",POWER(Upgrades!$U$14,F237),1)*IF(Upgrades!$T$15="Peculiar Velocity",POWER(Upgrades!$U$15,G237),1)*IF(Upgrades!$T$16="Peculiar Velocity",POWER(Upgrades!$U$16,H237),1)*IF(Upgrades!$T$17="Peculiar Velocity",POWER(Upgrades!$U$17,I237),1)*IF(Upgrades!$T$18="Peculiar Velocity",POWER(Upgrades!$U$18,J237),1)*IF(Upgrades!$T$20="Peculiar Velocity",POWER(Upgrades!$U$20,L237),1)*IF(Upgrades!$T$21="Peculiar Velocity",POWER(Upgrades!$U$21,M237),1))+(IF(L237=0,0,(Upgrades!$M$20+L237*Upgrades!$N$20)*POWER(Upgrades!$O$20,L237)))*(IF(Upgrades!$T$13="Open Cluster",POWER(Upgrades!$U$13,E237),1)*IF(Upgrades!$T$14="Open Cluster",POWER(Upgrades!$U$14,F237),1)*IF(Upgrades!$T$15="Open Cluster",POWER(Upgrades!$U$15,G237),1)*IF(Upgrades!$T$16="Open Cluster",POWER(Upgrades!$U$16,H237),1)*IF(Upgrades!$T$17="Open Cluster",POWER(Upgrades!$U$17,I237),1)*IF(Upgrades!$T$18="Open Cluster",POWER(Upgrades!$U$18,J237),1)*IF(Upgrades!$T$19="Open Cluster",POWER(Upgrades!$U$19,K237),1)*IF(Upgrades!$T$21="Open Cluster",POWER(Upgrades!$U$21,M237),1))+(IF(M237=0,0,(Upgrades!$M$21+M237*Upgrades!$N$21)*POWER(Upgrades!$O$21,M237)))*(IF(Upgrades!$T$13="Moving Group",POWER(Upgrades!$U$13,E237),1)*IF(Upgrades!$T$14="Moving Group",POWER(Upgrades!$U$14,F237),1)*IF(Upgrades!$T$15="Moving Group",POWER(Upgrades!$U$15,G237),1)*IF(Upgrades!$T$16="Moving Group",POWER(Upgrades!$U$16,H237),1)*IF(Upgrades!$T$17="Moving Group",POWER(Upgrades!$U$17,I237),1)*IF(Upgrades!$T$18="Moving Group",POWER(Upgrades!$U$18,J237),1)*IF(Upgrades!$T$19="Moving Group",POWER(Upgrades!$U$19,K237),1)*IF(Upgrades!$T$20="Moving Group",POWER(Upgrades!$U$20,L237),1)))*POWER(Upgrades!$R$13,E237)*POWER(Upgrades!$R$14,F237)*POWER(Upgrades!$R$15,G237)*POWER(Upgrades!$R$16,H237)*POWER(Upgrades!$R$17,I237)*POWER(Upgrades!$R$18,J237)*POWER(Upgrades!$R$19,K237)*POWER(Upgrades!$R$20,L237)*POWER(Upgrades!$R$21,M237)*$H$6+$E$6</f>
        <v/>
      </c>
      <c r="R237" s="27">
        <f>IF(N237=1,0,O237*Parameters!$B$10/60*Parameters!$B$11*10)</f>
        <v/>
      </c>
      <c r="S237" s="27">
        <f>IF(N237=1,0,Q237*O237*10)</f>
        <v/>
      </c>
      <c r="T237" s="27">
        <f>IF(N237=1,0,R237+S237+P237*10)</f>
        <v/>
      </c>
      <c r="U237" s="33">
        <f>BE237</f>
        <v/>
      </c>
      <c r="V237" s="22">
        <f>IF(U237="",0,IF(U237="transition",0,IF(U237="SK",AK237,IF(U237="LB",AL237,IF(U237="ML",AM237,IF(U237="RLO",AN237,IF(U237="BD",AO237,IF(U237="BiP",AP237,IF(U237="PV",AQ237,IF(U237="OC",AR237,IF(U237="MG",AS237,0))))))))))</f>
        <v/>
      </c>
      <c r="W237" s="27">
        <f>IF(U237="BiP",Upgrades!$F$18,IF(U237="PV",Upgrades!$F$19,IF(U237="OC",Upgrades!$F$20,IF(U237="MG",Upgrades!$F$21,IF(U237="transition",-Parameters!$B$18*Parameters!$B$19,0)))))</f>
        <v/>
      </c>
      <c r="X237" s="22">
        <f>C237+T237-V237</f>
        <v/>
      </c>
      <c r="Y237" s="30">
        <f>O237*Parameters!$B$10/60*Parameters!$B$11+Q237*O237+P237</f>
        <v/>
      </c>
      <c r="Z237" s="34">
        <f>IF(U237="transition","→ Tier 3 (Galactic Arm)",IF(U237="MG","Moving Group — pocket drifts together",IF(U237="OC","Open Cluster acquired",IF(U237="PV","Peculiar Velocity — passive multiplier active",IF(U237="BiP","Binary Partner — pair bond formed",IF(AND(AU237=1,N237=0,AT237&lt;&gt;1),"Cohesion ready (waiting on completionists)","")))))) </f>
        <v/>
      </c>
      <c r="AA237" s="27">
        <f>(IF(E237=0,0,(Upgrades!$G$13+E237*Upgrades!$H$13)*POWER(Upgrades!$I$13,E237)))*(IF(Upgrades!$T$14="Stellar Kinematics",POWER(Upgrades!$U$14,F237),1)*IF(Upgrades!$T$15="Stellar Kinematics",POWER(Upgrades!$U$15,G237),1)*IF(Upgrades!$T$16="Stellar Kinematics",POWER(Upgrades!$U$16,H237),1)*IF(Upgrades!$T$17="Stellar Kinematics",POWER(Upgrades!$U$17,I237),1)*IF(Upgrades!$T$18="Stellar Kinematics",POWER(Upgrades!$U$18,J237),1)*IF(Upgrades!$T$19="Stellar Kinematics",POWER(Upgrades!$U$19,K237),1)*IF(Upgrades!$T$20="Stellar Kinematics",POWER(Upgrades!$U$20,L237),1)*IF(Upgrades!$T$21="Stellar Kinematics",POWER(Upgrades!$U$21,M237),1))*POWER(Upgrades!$P$13,E237)*POWER(Upgrades!$P$14,F237)*POWER(Upgrades!$P$15,G237)*POWER(Upgrades!$P$16,H237)*POWER(Upgrades!$P$17,I237)*POWER(Upgrades!$P$18,J237)*POWER(Upgrades!$P$19,K237)*POWER(Upgrades!$P$20,L237)*POWER(Upgrades!$P$21,M237)*$F$6*60</f>
        <v/>
      </c>
      <c r="AB237" s="27">
        <f>(IF(F237=0,0,(Upgrades!$G$14+F237*Upgrades!$H$14)*POWER(Upgrades!$I$14,F237)))*(IF(Upgrades!$T$13="Local Bubble",POWER(Upgrades!$U$13,E237),1)*IF(Upgrades!$T$15="Local Bubble",POWER(Upgrades!$U$15,G237),1)*IF(Upgrades!$T$16="Local Bubble",POWER(Upgrades!$U$16,H237),1)*IF(Upgrades!$T$17="Local Bubble",POWER(Upgrades!$U$17,I237),1)*IF(Upgrades!$T$18="Local Bubble",POWER(Upgrades!$U$18,J237),1)*IF(Upgrades!$T$19="Local Bubble",POWER(Upgrades!$U$19,K237),1)*IF(Upgrades!$T$20="Local Bubble",POWER(Upgrades!$U$20,L237),1)*IF(Upgrades!$T$21="Local Bubble",POWER(Upgrades!$U$21,M237),1))*POWER(Upgrades!$P$13,E237)*POWER(Upgrades!$P$14,F237)*POWER(Upgrades!$P$15,G237)*POWER(Upgrades!$P$16,H237)*POWER(Upgrades!$P$17,I237)*POWER(Upgrades!$P$18,J237)*POWER(Upgrades!$P$19,K237)*POWER(Upgrades!$P$20,L237)*POWER(Upgrades!$P$21,M237)*$F$6*60</f>
        <v/>
      </c>
      <c r="AC237" s="27">
        <f>(IF(G237=0,0,(Upgrades!$J$15+G237*Upgrades!$K$15)*POWER(Upgrades!$L$15,G237)))*(IF(Upgrades!$T$13="Microlensing",POWER(Upgrades!$U$13,E237),1)*IF(Upgrades!$T$14="Microlensing",POWER(Upgrades!$U$14,F237),1)*IF(Upgrades!$T$16="Microlensing",POWER(Upgrades!$U$16,H237),1)*IF(Upgrades!$T$17="Microlensing",POWER(Upgrades!$U$17,I237),1)*IF(Upgrades!$T$18="Microlensing",POWER(Upgrades!$U$18,J237),1)*IF(Upgrades!$T$19="Microlensing",POWER(Upgrades!$U$19,K237),1)*IF(Upgrades!$T$20="Microlensing",POWER(Upgrades!$U$20,L237),1)*IF(Upgrades!$T$21="Microlensing",POWER(Upgrades!$U$21,M237),1))*POWER(Upgrades!$Q$13,E237)*POWER(Upgrades!$Q$14,F237)*POWER(Upgrades!$Q$15,G237)*POWER(Upgrades!$Q$16,H237)*POWER(Upgrades!$Q$17,I237)*POWER(Upgrades!$Q$18,J237)*POWER(Upgrades!$Q$19,K237)*POWER(Upgrades!$Q$20,L237)*POWER(Upgrades!$Q$21,M237)*$G$6*(Parameters!$B$10*Parameters!$B$11+Q237*60)</f>
        <v/>
      </c>
      <c r="AD237" s="27">
        <f>(IF(H237=0,0,(Upgrades!$M$16+H237*Upgrades!$N$16)*POWER(Upgrades!$O$16,H237)))*(IF(Upgrades!$T$13="Roche Lobe Overflow",POWER(Upgrades!$U$13,E237),1)*IF(Upgrades!$T$14="Roche Lobe Overflow",POWER(Upgrades!$U$14,F237),1)*IF(Upgrades!$T$15="Roche Lobe Overflow",POWER(Upgrades!$U$15,G237),1)*IF(Upgrades!$T$17="Roche Lobe Overflow",POWER(Upgrades!$U$17,I237),1)*IF(Upgrades!$T$18="Roche Lobe Overflow",POWER(Upgrades!$U$18,J237),1)*IF(Upgrades!$T$19="Roche Lobe Overflow",POWER(Upgrades!$U$19,K237),1)*IF(Upgrades!$T$20="Roche Lobe Overflow",POWER(Upgrades!$U$20,L237),1)*IF(Upgrades!$T$21="Roche Lobe Overflow",POWER(Upgrades!$U$21,M237),1))*POWER(Upgrades!$R$13,E237)*POWER(Upgrades!$R$14,F237)*POWER(Upgrades!$R$15,G237)*POWER(Upgrades!$R$16,H237)*POWER(Upgrades!$R$17,I237)*POWER(Upgrades!$R$18,J237)*POWER(Upgrades!$R$19,K237)*POWER(Upgrades!$R$20,L237)*POWER(Upgrades!$R$21,M237)*$H$6*O237*60</f>
        <v/>
      </c>
      <c r="AE237" s="27">
        <f>(IF(I237=0,0,(Upgrades!$G$17+I237*Upgrades!$H$17)*POWER(Upgrades!$I$17,I237)))*(IF(Upgrades!$T$13="Brown Dwarf",POWER(Upgrades!$U$13,E237),1)*IF(Upgrades!$T$14="Brown Dwarf",POWER(Upgrades!$U$14,F237),1)*IF(Upgrades!$T$15="Brown Dwarf",POWER(Upgrades!$U$15,G237),1)*IF(Upgrades!$T$16="Brown Dwarf",POWER(Upgrades!$U$16,H237),1)*IF(Upgrades!$T$18="Brown Dwarf",POWER(Upgrades!$U$18,J237),1)*IF(Upgrades!$T$19="Brown Dwarf",POWER(Upgrades!$U$19,K237),1)*IF(Upgrades!$T$20="Brown Dwarf",POWER(Upgrades!$U$20,L237),1)*IF(Upgrades!$T$21="Brown Dwarf",POWER(Upgrades!$U$21,M237),1))*POWER(Upgrades!$P$13,E237)*POWER(Upgrades!$P$14,F237)*POWER(Upgrades!$P$15,G237)*POWER(Upgrades!$P$16,H237)*POWER(Upgrades!$P$17,I237)*POWER(Upgrades!$P$18,J237)*POWER(Upgrades!$P$19,K237)*POWER(Upgrades!$P$20,L237)*POWER(Upgrades!$P$21,M237)*$F$6*60</f>
        <v/>
      </c>
      <c r="AF237" s="27" t="n">
        <v>0</v>
      </c>
      <c r="AG237" s="27" t="n">
        <v>0</v>
      </c>
      <c r="AH237" s="27" t="n">
        <v>0</v>
      </c>
      <c r="AI237" s="27">
        <f>(IF(M237=0,0,(Upgrades!$G$21+M237*Upgrades!$H$21)*POWER(Upgrades!$I$21,M237)))*(IF(Upgrades!$T$13="Moving Group",POWER(Upgrades!$U$13,E237),1)*IF(Upgrades!$T$14="Moving Group",POWER(Upgrades!$U$14,F237),1)*IF(Upgrades!$T$15="Moving Group",POWER(Upgrades!$U$15,G237),1)*IF(Upgrades!$T$16="Moving Group",POWER(Upgrades!$U$16,H237),1)*IF(Upgrades!$T$17="Moving Group",POWER(Upgrades!$U$17,I237),1)*IF(Upgrades!$T$18="Moving Group",POWER(Upgrades!$U$18,J237),1)*IF(Upgrades!$T$19="Moving Group",POWER(Upgrades!$U$19,K237),1)*IF(Upgrades!$T$20="Moving Group",POWER(Upgrades!$U$20,L237),1))*POWER(Upgrades!$P$13,E237)*POWER(Upgrades!$P$14,F237)*POWER(Upgrades!$P$15,G237)*POWER(Upgrades!$P$16,H237)*POWER(Upgrades!$P$17,I237)*POWER(Upgrades!$P$18,J237)*POWER(Upgrades!$P$19,K237)*POWER(Upgrades!$P$20,L237)*POWER(Upgrades!$P$21,M237)*$F$6*60</f>
        <v/>
      </c>
      <c r="AJ237" s="27">
        <f>$C$6*60</f>
        <v/>
      </c>
      <c r="AK237" s="22">
        <f>IF(E237&gt;=Upgrades!$E$13,"",Upgrades!$C$13*POWER(Upgrades!$D$13,E237))</f>
        <v/>
      </c>
      <c r="AL237" s="22">
        <f>IF(F237&gt;=Upgrades!$E$14,"",Upgrades!$C$14*POWER(Upgrades!$D$14,F237))</f>
        <v/>
      </c>
      <c r="AM237" s="22">
        <f>IF(G237&gt;=Upgrades!$E$15,"",Upgrades!$C$15*POWER(Upgrades!$D$15,G237))</f>
        <v/>
      </c>
      <c r="AN237" s="22">
        <f>IF(H237&gt;=Upgrades!$E$16,"",Upgrades!$C$16*POWER(Upgrades!$D$16,H237))</f>
        <v/>
      </c>
      <c r="AO237" s="22">
        <f>IF(I237&gt;=Upgrades!$E$17,"",Upgrades!$C$17*POWER(Upgrades!$D$17,I237))</f>
        <v/>
      </c>
      <c r="AP237" s="22">
        <f>IF(J237&gt;=Upgrades!$E$18,"",Upgrades!$C$18*POWER(Upgrades!$D$18,J237))</f>
        <v/>
      </c>
      <c r="AQ237" s="22">
        <f>IF(K237&gt;=Upgrades!$E$19,"",Upgrades!$C$19*POWER(Upgrades!$D$19,K237))</f>
        <v/>
      </c>
      <c r="AR237" s="22">
        <f>IF(L237&gt;=Upgrades!$E$20,"",Upgrades!$C$20*POWER(Upgrades!$D$20,L237))</f>
        <v/>
      </c>
      <c r="AS237" s="22">
        <f>IF(M237&gt;=Upgrades!$E$21,"",Upgrades!$C$21*POWER(Upgrades!$D$21,M237))</f>
        <v/>
      </c>
      <c r="AT237" s="26">
        <f>IF(AND(D237&gt;=Parameters!$B$18*Parameters!$B$19,(I237&gt;=Upgrades!$E$17)*(M237&gt;=Upgrades!$E$21)=1,N237=0),1,"")</f>
        <v/>
      </c>
      <c r="AU237" s="26">
        <f>IF(AND(D237&gt;=Parameters!$B$18*Parameters!$B$19,N237=0),1,"")</f>
        <v/>
      </c>
      <c r="AV237" s="22">
        <f>MIN(IF(ISNUMBER(AP237),AP237,9E15),IF(ISNUMBER(AQ237),AQ237,9E15),IF(ISNUMBER(AR237),AR237,9E15),IF(ISNUMBER(AS237),AS237,9E15))</f>
        <v/>
      </c>
      <c r="AW237" s="22">
        <f>MIN(IF(ISNUMBER(AK237),AK237,9E15),IF(ISNUMBER(AL237),AL237,9E15),IF(ISNUMBER(AM237),AM237,9E15),IF(ISNUMBER(AN237),AN237,9E15),IF(ISNUMBER(AO237),AO237,9E15))</f>
        <v/>
      </c>
      <c r="AX237" s="29">
        <f>IF(BD237&gt;Parameters!$B$21*(MAX(IF(AND(NOT(AND(AU237=1,AT237&lt;&gt;1)),ISNUMBER(AK237),AK237&lt;=(C237+T237)),AY237,0),IF(AND(NOT(AND(AU237=1,AT237&lt;&gt;1)),ISNUMBER(AL237),AL237&lt;=(C237+T237)),AZ237,0),IF(AND(NOT(AND(AU237=1,AT237&lt;&gt;1)),ISNUMBER(AM237),AM237&lt;=(C237+T237)),BA237,0),IF(AND(NOT(AND(AU237=1,AT237&lt;&gt;1)),ISNUMBER(AN237),AN237&lt;=(C237+T237)),BB237,0),IF(AND(ISNUMBER(AO237),AO237&lt;=(C237+T237)),BC237,0))),TRUE,FALSE)</f>
        <v/>
      </c>
      <c r="AY237" s="32">
        <f>IFERROR(Upgrades!$H$13*(POWER(Upgrades!$P$13,E237)*POWER(Upgrades!$P$14,F237)*POWER(Upgrades!$P$15,G237)*POWER(Upgrades!$P$16,H237)*POWER(Upgrades!$P$17,I237)*POWER(Upgrades!$P$18,J237)*POWER(Upgrades!$P$19,K237)*POWER(Upgrades!$P$20,L237)*POWER(Upgrades!$P$21,M237))*(IF(Upgrades!$T$14="Stellar Kinematics",POWER(Upgrades!$U$14,F237),1)*IF(Upgrades!$T$15="Stellar Kinematics",POWER(Upgrades!$U$15,G237),1)*IF(Upgrades!$T$16="Stellar Kinematics",POWER(Upgrades!$U$16,H237),1)*IF(Upgrades!$T$17="Stellar Kinematics",POWER(Upgrades!$U$17,I237),1)*IF(Upgrades!$T$18="Stellar Kinematics",POWER(Upgrades!$U$18,J237),1)*IF(Upgrades!$T$19="Stellar Kinematics",POWER(Upgrades!$U$19,K237),1)*IF(Upgrades!$T$20="Stellar Kinematics",POWER(Upgrades!$U$20,L237),1)*IF(Upgrades!$T$21="Stellar Kinematics",POWER(Upgrades!$U$21,M237),1))*$F$6/AK237,0)</f>
        <v/>
      </c>
      <c r="AZ237" s="32">
        <f>IFERROR(Upgrades!$H$14*(POWER(Upgrades!$P$13,E237)*POWER(Upgrades!$P$14,F237)*POWER(Upgrades!$P$15,G237)*POWER(Upgrades!$P$16,H237)*POWER(Upgrades!$P$17,I237)*POWER(Upgrades!$P$18,J237)*POWER(Upgrades!$P$19,K237)*POWER(Upgrades!$P$20,L237)*POWER(Upgrades!$P$21,M237))*(IF(Upgrades!$T$13="Local Bubble",POWER(Upgrades!$U$13,E237),1)*IF(Upgrades!$T$15="Local Bubble",POWER(Upgrades!$U$15,G237),1)*IF(Upgrades!$T$16="Local Bubble",POWER(Upgrades!$U$16,H237),1)*IF(Upgrades!$T$17="Local Bubble",POWER(Upgrades!$U$17,I237),1)*IF(Upgrades!$T$18="Local Bubble",POWER(Upgrades!$U$18,J237),1)*IF(Upgrades!$T$19="Local Bubble",POWER(Upgrades!$U$19,K237),1)*IF(Upgrades!$T$20="Local Bubble",POWER(Upgrades!$U$20,L237),1)*IF(Upgrades!$T$21="Local Bubble",POWER(Upgrades!$U$21,M237),1))*$F$6/AL237,0)</f>
        <v/>
      </c>
      <c r="BA237" s="32">
        <f>IFERROR(Upgrades!$K$15*(POWER(Upgrades!$Q$13,E237)*POWER(Upgrades!$Q$14,F237)*POWER(Upgrades!$Q$15,G237)*POWER(Upgrades!$Q$16,H237)*POWER(Upgrades!$Q$17,I237)*POWER(Upgrades!$Q$18,J237)*POWER(Upgrades!$Q$19,K237)*POWER(Upgrades!$Q$20,L237)*POWER(Upgrades!$Q$21,M237))*(IF(Upgrades!$T$13="Microlensing",POWER(Upgrades!$U$13,E237),1)*IF(Upgrades!$T$14="Microlensing",POWER(Upgrades!$U$14,F237),1)*IF(Upgrades!$T$16="Microlensing",POWER(Upgrades!$U$16,H237),1)*IF(Upgrades!$T$17="Microlensing",POWER(Upgrades!$U$17,I237),1)*IF(Upgrades!$T$18="Microlensing",POWER(Upgrades!$U$18,J237),1)*IF(Upgrades!$T$19="Microlensing",POWER(Upgrades!$U$19,K237),1)*IF(Upgrades!$T$20="Microlensing",POWER(Upgrades!$U$20,L237),1)*IF(Upgrades!$T$21="Microlensing",POWER(Upgrades!$U$21,M237),1))*$G$6*(Parameters!$B$10/60*Parameters!$B$11+Q237)/AM237,0)</f>
        <v/>
      </c>
      <c r="BB237" s="32">
        <f>IFERROR((Upgrades!$N$16*(POWER(Upgrades!$R$13,E237)*POWER(Upgrades!$R$14,F237)*POWER(Upgrades!$R$15,G237)*POWER(Upgrades!$R$16,H237)*POWER(Upgrades!$R$17,I237)*POWER(Upgrades!$R$18,J237)*POWER(Upgrades!$R$19,K237)*POWER(Upgrades!$R$20,L237)*POWER(Upgrades!$R$21,M237))*(IF(Upgrades!$T$13="Roche Lobe Overflow",POWER(Upgrades!$U$13,E237),1)*IF(Upgrades!$T$14="Roche Lobe Overflow",POWER(Upgrades!$U$14,F237),1)*IF(Upgrades!$T$15="Roche Lobe Overflow",POWER(Upgrades!$U$15,G237),1)*IF(Upgrades!$T$17="Roche Lobe Overflow",POWER(Upgrades!$U$17,I237),1)*IF(Upgrades!$T$18="Roche Lobe Overflow",POWER(Upgrades!$U$18,J237),1)*IF(Upgrades!$T$19="Roche Lobe Overflow",POWER(Upgrades!$U$19,K237),1)*IF(Upgrades!$T$20="Roche Lobe Overflow",POWER(Upgrades!$U$20,L237),1)*IF(Upgrades!$T$21="Roche Lobe Overflow",POWER(Upgrades!$U$21,M237),1))*$H$6*O237+((IF(F237=0,0,(Upgrades!$G$14+F237*Upgrades!$H$14)*POWER(Upgrades!$I$14,F237)))*(IF(Upgrades!$T$13="Local Bubble",POWER(Upgrades!$U$13,E237),1)*IF(Upgrades!$T$15="Local Bubble",POWER(Upgrades!$U$15,G237),1)*IF(Upgrades!$T$16="Local Bubble",POWER(Upgrades!$U$16,H237),1)*IF(Upgrades!$T$17="Local Bubble",POWER(Upgrades!$U$17,I237),1)*IF(Upgrades!$T$18="Local Bubble",POWER(Upgrades!$U$18,J237),1)*IF(Upgrades!$T$19="Local Bubble",POWER(Upgrades!$U$19,K237),1)*IF(Upgrades!$T$20="Local Bubble",POWER(Upgrades!$U$20,L237),1)*IF(Upgrades!$T$21="Local Bubble",POWER(Upgrades!$U$21,M237),1))*POWER(Upgrades!$P$13,E237)*POWER(Upgrades!$P$14,F237)*POWER(Upgrades!$P$15,G237)*POWER(Upgrades!$P$16,H237)*POWER(Upgrades!$P$17,I237)*POWER(Upgrades!$P$18,J237)*POWER(Upgrades!$P$19,K237)*POWER(Upgrades!$P$20,L237)*POWER(Upgrades!$P$21,M237)*$F$6)*0.05)/AN237,0)</f>
        <v/>
      </c>
      <c r="BC237" s="32">
        <f>IFERROR((Upgrades!$H$17*(POWER(Upgrades!$P$13,E237)*POWER(Upgrades!$P$14,F237)*POWER(Upgrades!$P$15,G237)*POWER(Upgrades!$P$16,H237)*POWER(Upgrades!$P$17,I237)*POWER(Upgrades!$P$18,J237)*POWER(Upgrades!$P$19,K237)*POWER(Upgrades!$P$20,L237)*POWER(Upgrades!$P$21,M237))*(IF(Upgrades!$T$13="Brown Dwarf",POWER(Upgrades!$U$13,E237),1)*IF(Upgrades!$T$14="Brown Dwarf",POWER(Upgrades!$U$14,F237),1)*IF(Upgrades!$T$15="Brown Dwarf",POWER(Upgrades!$U$15,G237),1)*IF(Upgrades!$T$16="Brown Dwarf",POWER(Upgrades!$U$16,H237),1)*IF(Upgrades!$T$18="Brown Dwarf",POWER(Upgrades!$U$18,J237),1)*IF(Upgrades!$T$19="Brown Dwarf",POWER(Upgrades!$U$19,K237),1)*IF(Upgrades!$T$20="Brown Dwarf",POWER(Upgrades!$U$20,L237),1)*IF(Upgrades!$T$21="Brown Dwarf",POWER(Upgrades!$U$21,M237),1))*$F$6+(((IF(H237=0,0,(Upgrades!$M$16+H237*Upgrades!$N$16)*POWER(Upgrades!$O$16,H237)))*(IF(Upgrades!$T$13="Roche Lobe Overflow",POWER(Upgrades!$U$13,E237),1)*IF(Upgrades!$T$14="Roche Lobe Overflow",POWER(Upgrades!$U$14,F237),1)*IF(Upgrades!$T$15="Roche Lobe Overflow",POWER(Upgrades!$U$15,G237),1)*IF(Upgrades!$T$17="Roche Lobe Overflow",POWER(Upgrades!$U$17,I237),1)*IF(Upgrades!$T$18="Roche Lobe Overflow",POWER(Upgrades!$U$18,J237),1)*IF(Upgrades!$T$19="Roche Lobe Overflow",POWER(Upgrades!$U$19,K237),1)*IF(Upgrades!$T$20="Roche Lobe Overflow",POWER(Upgrades!$U$20,L237),1)*IF(Upgrades!$T$21="Roche Lobe Overflow",POWER(Upgrades!$U$21,M237),1))*POWER(Upgrades!$R$13,E237)*POWER(Upgrades!$R$14,F237)*POWER(Upgrades!$R$15,G237)*POWER(Upgrades!$R$16,H237)*POWER(Upgrades!$R$17,I237)*POWER(Upgrades!$R$18,J237)*POWER(Upgrades!$R$19,K237)*POWER(Upgrades!$R$20,L237)*POWER(Upgrades!$R$21,M237)*$H$6)*O237)*0.10)/AO237,0)</f>
        <v/>
      </c>
      <c r="BD237" s="32">
        <f>MAX(IF(J237&gt;0,0,IFERROR(0.5*((IF(G237=0,0,(Upgrades!$J$15+G237*Upgrades!$K$15)*POWER(Upgrades!$L$15,G237)))*(IF(Upgrades!$T$13="Microlensing",POWER(Upgrades!$U$13,E237),1)*IF(Upgrades!$T$14="Microlensing",POWER(Upgrades!$U$14,F237),1)*IF(Upgrades!$T$16="Microlensing",POWER(Upgrades!$U$16,H237),1)*IF(Upgrades!$T$17="Microlensing",POWER(Upgrades!$U$17,I237),1)*IF(Upgrades!$T$18="Microlensing",POWER(Upgrades!$U$18,J237),1)*IF(Upgrades!$T$19="Microlensing",POWER(Upgrades!$U$19,K237),1)*IF(Upgrades!$T$20="Microlensing",POWER(Upgrades!$U$20,L237),1)*IF(Upgrades!$T$21="Microlensing",POWER(Upgrades!$U$21,M237),1))*(POWER(Upgrades!$Q$13,E237)*POWER(Upgrades!$Q$14,F237)*POWER(Upgrades!$Q$15,G237)*POWER(Upgrades!$Q$16,H237)*POWER(Upgrades!$Q$17,I237)*POWER(Upgrades!$Q$18,J237)*POWER(Upgrades!$Q$19,K237)*POWER(Upgrades!$Q$20,L237)*POWER(Upgrades!$Q$21,M237))*$G$6*(Parameters!$B$10/60*Parameters!$B$11+Q237))/Upgrades!$C$18,0)),IF(K237&gt;0,0,IFERROR(0.30*P237/Upgrades!$C$19,0)),IF(L237&gt;0,0,IFERROR(0.0001/Upgrades!$C$20,0)),IF(M237&gt;0,0,IFERROR((6.0*(POWER(Upgrades!$P$13,E237)*POWER(Upgrades!$P$14,F237)*POWER(Upgrades!$P$15,G237)*POWER(Upgrades!$P$16,H237)*POWER(Upgrades!$P$17,I237)*POWER(Upgrades!$P$18,J237)*POWER(Upgrades!$P$19,K237)*POWER(Upgrades!$P$20,L237)*POWER(Upgrades!$P$21,M237))*$F$6+0.20*O237*(Parameters!$B$10/60*Parameters!$B$11+Q237))/Upgrades!$C$21,0)),IF(AND(ISNUMBER(AK237),AK237&gt;(C237+T237)),AY237,0),IF(AND(ISNUMBER(AL237),AL237&gt;(C237+T237)),AZ237,0),IF(AND(ISNUMBER(AM237),AM237&gt;(C237+T237)),BA237,0),IF(AND(ISNUMBER(AN237),AN237&gt;(C237+T237)),BB237,0),IF(AND(ISNUMBER(AO237),AO237&gt;(C237+T237)),BC237,0))</f>
        <v/>
      </c>
      <c r="BE237" s="29">
        <f>IF(AT237=1,"transition",IF(MIN(IF(AND(J237=0,ISNUMBER(AP237),AP237&lt;=(C237+T237)),AP237,9E15),IF(AND(K237=0,ISNUMBER(AQ237),AQ237&lt;=(C237+T237)),AQ237,9E15),IF(AND(L237=0,ISNUMBER(AR237),AR237&lt;=(C237+T237)),AR237,9E15),IF(AND(M237=0,ISNUMBER(AS237),AS237&lt;=(C237+T237)),AS237,9E15))&lt;9E15,IF(AND(AND(J237=0,ISNUMBER(AP237),AP237&lt;=(C237+T237)),AP237=MIN(IF(AND(J237=0,ISNUMBER(AP237),AP237&lt;=(C237+T237)),AP237,9E15),IF(AND(K237=0,ISNUMBER(AQ237),AQ237&lt;=(C237+T237)),AQ237,9E15),IF(AND(L237=0,ISNUMBER(AR237),AR237&lt;=(C237+T237)),AR237,9E15),IF(AND(M237=0,ISNUMBER(AS237),AS237&lt;=(C237+T237)),AS237,9E15))),"BiP",IF(AND(AND(K237=0,ISNUMBER(AQ237),AQ237&lt;=(C237+T237)),AQ237=MIN(IF(AND(J237=0,ISNUMBER(AP237),AP237&lt;=(C237+T237)),AP237,9E15),IF(AND(K237=0,ISNUMBER(AQ237),AQ237&lt;=(C237+T237)),AQ237,9E15),IF(AND(L237=0,ISNUMBER(AR237),AR237&lt;=(C237+T237)),AR237,9E15),IF(AND(M237=0,ISNUMBER(AS237),AS237&lt;=(C237+T237)),AS237,9E15))),"PV",IF(AND(AND(L237=0,ISNUMBER(AR237),AR237&lt;=(C237+T237)),AR237=MIN(IF(AND(J237=0,ISNUMBER(AP237),AP237&lt;=(C237+T237)),AP237,9E15),IF(AND(K237=0,ISNUMBER(AQ237),AQ237&lt;=(C237+T237)),AQ237,9E15),IF(AND(L237=0,ISNUMBER(AR237),AR237&lt;=(C237+T237)),AR237,9E15),IF(AND(M237=0,ISNUMBER(AS237),AS237&lt;=(C237+T237)),AS237,9E15))),"OC","MG"))),IF(AX237=TRUE,"",IF(MAX(IF(AND(NOT(AND(AU237=1,AT237&lt;&gt;1)),ISNUMBER(AK237),AK237&lt;=(C237+T237)),AY237,0),IF(AND(NOT(AND(AU237=1,AT237&lt;&gt;1)),ISNUMBER(AL237),AL237&lt;=(C237+T237)),AZ237,0),IF(AND(NOT(AND(AU237=1,AT237&lt;&gt;1)),ISNUMBER(AM237),AM237&lt;=(C237+T237)),BA237,0),IF(AND(NOT(AND(AU237=1,AT237&lt;&gt;1)),ISNUMBER(AN237),AN237&lt;=(C237+T237)),BB237,0),IF(AND(ISNUMBER(AO237),AO237&lt;=(C237+T237)),BC237,0))&lt;=0,"",IF(AND(IF(AND(NOT(AND(AU237=1,AT237&lt;&gt;1)),ISNUMBER(AK237),AK237&lt;=(C237+T237)),AY237,0)&gt;0,IF(AND(NOT(AND(AU237=1,AT237&lt;&gt;1)),ISNUMBER(AK237),AK237&lt;=(C237+T237)),AY237,0)=MAX(IF(AND(NOT(AND(AU237=1,AT237&lt;&gt;1)),ISNUMBER(AK237),AK237&lt;=(C237+T237)),AY237,0),IF(AND(NOT(AND(AU237=1,AT237&lt;&gt;1)),ISNUMBER(AL237),AL237&lt;=(C237+T237)),AZ237,0),IF(AND(NOT(AND(AU237=1,AT237&lt;&gt;1)),ISNUMBER(AM237),AM237&lt;=(C237+T237)),BA237,0),IF(AND(NOT(AND(AU237=1,AT237&lt;&gt;1)),ISNUMBER(AN237),AN237&lt;=(C237+T237)),BB237,0),IF(AND(ISNUMBER(AO237),AO237&lt;=(C237+T237)),BC237,0))),"SK",IF(AND(IF(AND(NOT(AND(AU237=1,AT237&lt;&gt;1)),ISNUMBER(AL237),AL237&lt;=(C237+T237)),AZ237,0)&gt;0,IF(AND(NOT(AND(AU237=1,AT237&lt;&gt;1)),ISNUMBER(AL237),AL237&lt;=(C237+T237)),AZ237,0)=MAX(IF(AND(NOT(AND(AU237=1,AT237&lt;&gt;1)),ISNUMBER(AK237),AK237&lt;=(C237+T237)),AY237,0),IF(AND(NOT(AND(AU237=1,AT237&lt;&gt;1)),ISNUMBER(AL237),AL237&lt;=(C237+T237)),AZ237,0),IF(AND(NOT(AND(AU237=1,AT237&lt;&gt;1)),ISNUMBER(AM237),AM237&lt;=(C237+T237)),BA237,0),IF(AND(NOT(AND(AU237=1,AT237&lt;&gt;1)),ISNUMBER(AN237),AN237&lt;=(C237+T237)),BB237,0),IF(AND(ISNUMBER(AO237),AO237&lt;=(C237+T237)),BC237,0))),"LB",IF(AND(IF(AND(NOT(AND(AU237=1,AT237&lt;&gt;1)),ISNUMBER(AM237),AM237&lt;=(C237+T237)),BA237,0)&gt;0,IF(AND(NOT(AND(AU237=1,AT237&lt;&gt;1)),ISNUMBER(AM237),AM237&lt;=(C237+T237)),BA237,0)=MAX(IF(AND(NOT(AND(AU237=1,AT237&lt;&gt;1)),ISNUMBER(AK237),AK237&lt;=(C237+T237)),AY237,0),IF(AND(NOT(AND(AU237=1,AT237&lt;&gt;1)),ISNUMBER(AL237),AL237&lt;=(C237+T237)),AZ237,0),IF(AND(NOT(AND(AU237=1,AT237&lt;&gt;1)),ISNUMBER(AM237),AM237&lt;=(C237+T237)),BA237,0),IF(AND(NOT(AND(AU237=1,AT237&lt;&gt;1)),ISNUMBER(AN237),AN237&lt;=(C237+T237)),BB237,0),IF(AND(ISNUMBER(AO237),AO237&lt;=(C237+T237)),BC237,0))),"ML",IF(AND(IF(AND(NOT(AND(AU237=1,AT237&lt;&gt;1)),ISNUMBER(AN237),AN237&lt;=(C237+T237)),BB237,0)&gt;0,IF(AND(NOT(AND(AU237=1,AT237&lt;&gt;1)),ISNUMBER(AN237),AN237&lt;=(C237+T237)),BB237,0)=MAX(IF(AND(NOT(AND(AU237=1,AT237&lt;&gt;1)),ISNUMBER(AK237),AK237&lt;=(C237+T237)),AY237,0),IF(AND(NOT(AND(AU237=1,AT237&lt;&gt;1)),ISNUMBER(AL237),AL237&lt;=(C237+T237)),AZ237,0),IF(AND(NOT(AND(AU237=1,AT237&lt;&gt;1)),ISNUMBER(AM237),AM237&lt;=(C237+T237)),BA237,0),IF(AND(NOT(AND(AU237=1,AT237&lt;&gt;1)),ISNUMBER(AN237),AN237&lt;=(C237+T237)),BB237,0),IF(AND(ISNUMBER(AO237),AO237&lt;=(C237+T237)),BC237,0))),"RLO","BD"))))))))</f>
        <v/>
      </c>
    </row>
    <row r="238">
      <c r="A238" s="26" t="n">
        <v>227</v>
      </c>
      <c r="B238" s="27">
        <f>A238*10/60</f>
        <v/>
      </c>
      <c r="C238" s="22">
        <f>X237</f>
        <v/>
      </c>
      <c r="D238" s="27">
        <f>D237+W237</f>
        <v/>
      </c>
      <c r="E238" s="26">
        <f>E237+IF(U237="SK",1,0)</f>
        <v/>
      </c>
      <c r="F238" s="26">
        <f>F237+IF(U237="LB",1,0)</f>
        <v/>
      </c>
      <c r="G238" s="26">
        <f>G237+IF(U237="ML",1,0)</f>
        <v/>
      </c>
      <c r="H238" s="26">
        <f>H237+IF(U237="RLO",1,0)</f>
        <v/>
      </c>
      <c r="I238" s="26">
        <f>I237+IF(U237="BD",1,0)</f>
        <v/>
      </c>
      <c r="J238" s="26">
        <f>MAX(J237,IF(U237="BiP",1,0))</f>
        <v/>
      </c>
      <c r="K238" s="26">
        <f>MAX(K237,IF(U237="PV",1,0))</f>
        <v/>
      </c>
      <c r="L238" s="26">
        <f>MAX(L237,IF(U237="OC",1,0))</f>
        <v/>
      </c>
      <c r="M238" s="26">
        <f>MAX(M237,IF(U237="MG",1,0))</f>
        <v/>
      </c>
      <c r="N238" s="26">
        <f>MAX(N237,IF(U237="transition",1,0))</f>
        <v/>
      </c>
      <c r="O238" s="28">
        <f>(Parameters!$B$9+(IF(E238=0,0,(Upgrades!$J$13+E238*Upgrades!$K$13)*POWER(Upgrades!$L$13,E238)))*(IF(Upgrades!$T$14="Stellar Kinematics",POWER(Upgrades!$U$14,F238),1)*IF(Upgrades!$T$15="Stellar Kinematics",POWER(Upgrades!$U$15,G238),1)*IF(Upgrades!$T$16="Stellar Kinematics",POWER(Upgrades!$U$16,H238),1)*IF(Upgrades!$T$17="Stellar Kinematics",POWER(Upgrades!$U$17,I238),1)*IF(Upgrades!$T$18="Stellar Kinematics",POWER(Upgrades!$U$18,J238),1)*IF(Upgrades!$T$19="Stellar Kinematics",POWER(Upgrades!$U$19,K238),1)*IF(Upgrades!$T$20="Stellar Kinematics",POWER(Upgrades!$U$20,L238),1)*IF(Upgrades!$T$21="Stellar Kinematics",POWER(Upgrades!$U$21,M238),1))+(IF(F238=0,0,(Upgrades!$J$14+F238*Upgrades!$K$14)*POWER(Upgrades!$L$14,F238)))*(IF(Upgrades!$T$13="Local Bubble",POWER(Upgrades!$U$13,E238),1)*IF(Upgrades!$T$15="Local Bubble",POWER(Upgrades!$U$15,G238),1)*IF(Upgrades!$T$16="Local Bubble",POWER(Upgrades!$U$16,H238),1)*IF(Upgrades!$T$17="Local Bubble",POWER(Upgrades!$U$17,I238),1)*IF(Upgrades!$T$18="Local Bubble",POWER(Upgrades!$U$18,J238),1)*IF(Upgrades!$T$19="Local Bubble",POWER(Upgrades!$U$19,K238),1)*IF(Upgrades!$T$20="Local Bubble",POWER(Upgrades!$U$20,L238),1)*IF(Upgrades!$T$21="Local Bubble",POWER(Upgrades!$U$21,M238),1))+(IF(G238=0,0,(Upgrades!$J$15+G238*Upgrades!$K$15)*POWER(Upgrades!$L$15,G238)))*(IF(Upgrades!$T$13="Microlensing",POWER(Upgrades!$U$13,E238),1)*IF(Upgrades!$T$14="Microlensing",POWER(Upgrades!$U$14,F238),1)*IF(Upgrades!$T$16="Microlensing",POWER(Upgrades!$U$16,H238),1)*IF(Upgrades!$T$17="Microlensing",POWER(Upgrades!$U$17,I238),1)*IF(Upgrades!$T$18="Microlensing",POWER(Upgrades!$U$18,J238),1)*IF(Upgrades!$T$19="Microlensing",POWER(Upgrades!$U$19,K238),1)*IF(Upgrades!$T$20="Microlensing",POWER(Upgrades!$U$20,L238),1)*IF(Upgrades!$T$21="Microlensing",POWER(Upgrades!$U$21,M238),1))+(IF(H238=0,0,(Upgrades!$J$16+H238*Upgrades!$K$16)*POWER(Upgrades!$L$16,H238)))*(IF(Upgrades!$T$13="Roche Lobe Overflow",POWER(Upgrades!$U$13,E238),1)*IF(Upgrades!$T$14="Roche Lobe Overflow",POWER(Upgrades!$U$14,F238),1)*IF(Upgrades!$T$15="Roche Lobe Overflow",POWER(Upgrades!$U$15,G238),1)*IF(Upgrades!$T$17="Roche Lobe Overflow",POWER(Upgrades!$U$17,I238),1)*IF(Upgrades!$T$18="Roche Lobe Overflow",POWER(Upgrades!$U$18,J238),1)*IF(Upgrades!$T$19="Roche Lobe Overflow",POWER(Upgrades!$U$19,K238),1)*IF(Upgrades!$T$20="Roche Lobe Overflow",POWER(Upgrades!$U$20,L238),1)*IF(Upgrades!$T$21="Roche Lobe Overflow",POWER(Upgrades!$U$21,M238),1))+(IF(I238=0,0,(Upgrades!$J$17+I238*Upgrades!$K$17)*POWER(Upgrades!$L$17,I238)))*(IF(Upgrades!$T$13="Brown Dwarf",POWER(Upgrades!$U$13,E238),1)*IF(Upgrades!$T$14="Brown Dwarf",POWER(Upgrades!$U$14,F238),1)*IF(Upgrades!$T$15="Brown Dwarf",POWER(Upgrades!$U$15,G238),1)*IF(Upgrades!$T$16="Brown Dwarf",POWER(Upgrades!$U$16,H238),1)*IF(Upgrades!$T$18="Brown Dwarf",POWER(Upgrades!$U$18,J238),1)*IF(Upgrades!$T$19="Brown Dwarf",POWER(Upgrades!$U$19,K238),1)*IF(Upgrades!$T$20="Brown Dwarf",POWER(Upgrades!$U$20,L238),1)*IF(Upgrades!$T$21="Brown Dwarf",POWER(Upgrades!$U$21,M238),1))+(IF(J238=0,0,(Upgrades!$J$18+J238*Upgrades!$K$18)*POWER(Upgrades!$L$18,J238)))*(IF(Upgrades!$T$13="Binary Partner",POWER(Upgrades!$U$13,E238),1)*IF(Upgrades!$T$14="Binary Partner",POWER(Upgrades!$U$14,F238),1)*IF(Upgrades!$T$15="Binary Partner",POWER(Upgrades!$U$15,G238),1)*IF(Upgrades!$T$16="Binary Partner",POWER(Upgrades!$U$16,H238),1)*IF(Upgrades!$T$17="Binary Partner",POWER(Upgrades!$U$17,I238),1)*IF(Upgrades!$T$19="Binary Partner",POWER(Upgrades!$U$19,K238),1)*IF(Upgrades!$T$20="Binary Partner",POWER(Upgrades!$U$20,L238),1)*IF(Upgrades!$T$21="Binary Partner",POWER(Upgrades!$U$21,M238),1))+(IF(K238=0,0,(Upgrades!$J$19+K238*Upgrades!$K$19)*POWER(Upgrades!$L$19,K238)))*(IF(Upgrades!$T$13="Peculiar Velocity",POWER(Upgrades!$U$13,E238),1)*IF(Upgrades!$T$14="Peculiar Velocity",POWER(Upgrades!$U$14,F238),1)*IF(Upgrades!$T$15="Peculiar Velocity",POWER(Upgrades!$U$15,G238),1)*IF(Upgrades!$T$16="Peculiar Velocity",POWER(Upgrades!$U$16,H238),1)*IF(Upgrades!$T$17="Peculiar Velocity",POWER(Upgrades!$U$17,I238),1)*IF(Upgrades!$T$18="Peculiar Velocity",POWER(Upgrades!$U$18,J238),1)*IF(Upgrades!$T$20="Peculiar Velocity",POWER(Upgrades!$U$20,L238),1)*IF(Upgrades!$T$21="Peculiar Velocity",POWER(Upgrades!$U$21,M238),1))+(IF(L238=0,0,(Upgrades!$J$20+L238*Upgrades!$K$20)*POWER(Upgrades!$L$20,L238)))*(IF(Upgrades!$T$13="Open Cluster",POWER(Upgrades!$U$13,E238),1)*IF(Upgrades!$T$14="Open Cluster",POWER(Upgrades!$U$14,F238),1)*IF(Upgrades!$T$15="Open Cluster",POWER(Upgrades!$U$15,G238),1)*IF(Upgrades!$T$16="Open Cluster",POWER(Upgrades!$U$16,H238),1)*IF(Upgrades!$T$17="Open Cluster",POWER(Upgrades!$U$17,I238),1)*IF(Upgrades!$T$18="Open Cluster",POWER(Upgrades!$U$18,J238),1)*IF(Upgrades!$T$19="Open Cluster",POWER(Upgrades!$U$19,K238),1)*IF(Upgrades!$T$21="Open Cluster",POWER(Upgrades!$U$21,M238),1))+(IF(M238=0,0,(Upgrades!$J$21+M238*Upgrades!$K$21)*POWER(Upgrades!$L$21,M238)))*(IF(Upgrades!$T$13="Moving Group",POWER(Upgrades!$U$13,E238),1)*IF(Upgrades!$T$14="Moving Group",POWER(Upgrades!$U$14,F238),1)*IF(Upgrades!$T$15="Moving Group",POWER(Upgrades!$U$15,G238),1)*IF(Upgrades!$T$16="Moving Group",POWER(Upgrades!$U$16,H238),1)*IF(Upgrades!$T$17="Moving Group",POWER(Upgrades!$U$17,I238),1)*IF(Upgrades!$T$18="Moving Group",POWER(Upgrades!$U$18,J238),1)*IF(Upgrades!$T$19="Moving Group",POWER(Upgrades!$U$19,K238),1)*IF(Upgrades!$T$20="Moving Group",POWER(Upgrades!$U$20,L238),1)))*POWER(Upgrades!$Q$13,E238)*POWER(Upgrades!$Q$14,F238)*POWER(Upgrades!$Q$15,G238)*POWER(Upgrades!$Q$16,H238)*POWER(Upgrades!$Q$17,I238)*POWER(Upgrades!$Q$18,J238)*POWER(Upgrades!$Q$19,K238)*POWER(Upgrades!$Q$20,L238)*POWER(Upgrades!$Q$21,M238)*$G$6+$D$6</f>
        <v/>
      </c>
      <c r="P238" s="28">
        <f>((IF(E238=0,0,(Upgrades!$G$13+E238*Upgrades!$H$13)*POWER(Upgrades!$I$13,E238)))*(IF(Upgrades!$T$14="Stellar Kinematics",POWER(Upgrades!$U$14,F238),1)*IF(Upgrades!$T$15="Stellar Kinematics",POWER(Upgrades!$U$15,G238),1)*IF(Upgrades!$T$16="Stellar Kinematics",POWER(Upgrades!$U$16,H238),1)*IF(Upgrades!$T$17="Stellar Kinematics",POWER(Upgrades!$U$17,I238),1)*IF(Upgrades!$T$18="Stellar Kinematics",POWER(Upgrades!$U$18,J238),1)*IF(Upgrades!$T$19="Stellar Kinematics",POWER(Upgrades!$U$19,K238),1)*IF(Upgrades!$T$20="Stellar Kinematics",POWER(Upgrades!$U$20,L238),1)*IF(Upgrades!$T$21="Stellar Kinematics",POWER(Upgrades!$U$21,M238),1))+(IF(F238=0,0,(Upgrades!$G$14+F238*Upgrades!$H$14)*POWER(Upgrades!$I$14,F238)))*(IF(Upgrades!$T$13="Local Bubble",POWER(Upgrades!$U$13,E238),1)*IF(Upgrades!$T$15="Local Bubble",POWER(Upgrades!$U$15,G238),1)*IF(Upgrades!$T$16="Local Bubble",POWER(Upgrades!$U$16,H238),1)*IF(Upgrades!$T$17="Local Bubble",POWER(Upgrades!$U$17,I238),1)*IF(Upgrades!$T$18="Local Bubble",POWER(Upgrades!$U$18,J238),1)*IF(Upgrades!$T$19="Local Bubble",POWER(Upgrades!$U$19,K238),1)*IF(Upgrades!$T$20="Local Bubble",POWER(Upgrades!$U$20,L238),1)*IF(Upgrades!$T$21="Local Bubble",POWER(Upgrades!$U$21,M238),1))+(IF(G238=0,0,(Upgrades!$G$15+G238*Upgrades!$H$15)*POWER(Upgrades!$I$15,G238)))*(IF(Upgrades!$T$13="Microlensing",POWER(Upgrades!$U$13,E238),1)*IF(Upgrades!$T$14="Microlensing",POWER(Upgrades!$U$14,F238),1)*IF(Upgrades!$T$16="Microlensing",POWER(Upgrades!$U$16,H238),1)*IF(Upgrades!$T$17="Microlensing",POWER(Upgrades!$U$17,I238),1)*IF(Upgrades!$T$18="Microlensing",POWER(Upgrades!$U$18,J238),1)*IF(Upgrades!$T$19="Microlensing",POWER(Upgrades!$U$19,K238),1)*IF(Upgrades!$T$20="Microlensing",POWER(Upgrades!$U$20,L238),1)*IF(Upgrades!$T$21="Microlensing",POWER(Upgrades!$U$21,M238),1))+(IF(H238=0,0,(Upgrades!$G$16+H238*Upgrades!$H$16)*POWER(Upgrades!$I$16,H238)))*(IF(Upgrades!$T$13="Roche Lobe Overflow",POWER(Upgrades!$U$13,E238),1)*IF(Upgrades!$T$14="Roche Lobe Overflow",POWER(Upgrades!$U$14,F238),1)*IF(Upgrades!$T$15="Roche Lobe Overflow",POWER(Upgrades!$U$15,G238),1)*IF(Upgrades!$T$17="Roche Lobe Overflow",POWER(Upgrades!$U$17,I238),1)*IF(Upgrades!$T$18="Roche Lobe Overflow",POWER(Upgrades!$U$18,J238),1)*IF(Upgrades!$T$19="Roche Lobe Overflow",POWER(Upgrades!$U$19,K238),1)*IF(Upgrades!$T$20="Roche Lobe Overflow",POWER(Upgrades!$U$20,L238),1)*IF(Upgrades!$T$21="Roche Lobe Overflow",POWER(Upgrades!$U$21,M238),1))+(IF(I238=0,0,(Upgrades!$G$17+I238*Upgrades!$H$17)*POWER(Upgrades!$I$17,I238)))*(IF(Upgrades!$T$13="Brown Dwarf",POWER(Upgrades!$U$13,E238),1)*IF(Upgrades!$T$14="Brown Dwarf",POWER(Upgrades!$U$14,F238),1)*IF(Upgrades!$T$15="Brown Dwarf",POWER(Upgrades!$U$15,G238),1)*IF(Upgrades!$T$16="Brown Dwarf",POWER(Upgrades!$U$16,H238),1)*IF(Upgrades!$T$18="Brown Dwarf",POWER(Upgrades!$U$18,J238),1)*IF(Upgrades!$T$19="Brown Dwarf",POWER(Upgrades!$U$19,K238),1)*IF(Upgrades!$T$20="Brown Dwarf",POWER(Upgrades!$U$20,L238),1)*IF(Upgrades!$T$21="Brown Dwarf",POWER(Upgrades!$U$21,M238),1))+(IF(J238=0,0,(Upgrades!$G$18+J238*Upgrades!$H$18)*POWER(Upgrades!$I$18,J238)))*(IF(Upgrades!$T$13="Binary Partner",POWER(Upgrades!$U$13,E238),1)*IF(Upgrades!$T$14="Binary Partner",POWER(Upgrades!$U$14,F238),1)*IF(Upgrades!$T$15="Binary Partner",POWER(Upgrades!$U$15,G238),1)*IF(Upgrades!$T$16="Binary Partner",POWER(Upgrades!$U$16,H238),1)*IF(Upgrades!$T$17="Binary Partner",POWER(Upgrades!$U$17,I238),1)*IF(Upgrades!$T$19="Binary Partner",POWER(Upgrades!$U$19,K238),1)*IF(Upgrades!$T$20="Binary Partner",POWER(Upgrades!$U$20,L238),1)*IF(Upgrades!$T$21="Binary Partner",POWER(Upgrades!$U$21,M238),1))+(IF(K238=0,0,(Upgrades!$G$19+K238*Upgrades!$H$19)*POWER(Upgrades!$I$19,K238)))*(IF(Upgrades!$T$13="Peculiar Velocity",POWER(Upgrades!$U$13,E238),1)*IF(Upgrades!$T$14="Peculiar Velocity",POWER(Upgrades!$U$14,F238),1)*IF(Upgrades!$T$15="Peculiar Velocity",POWER(Upgrades!$U$15,G238),1)*IF(Upgrades!$T$16="Peculiar Velocity",POWER(Upgrades!$U$16,H238),1)*IF(Upgrades!$T$17="Peculiar Velocity",POWER(Upgrades!$U$17,I238),1)*IF(Upgrades!$T$18="Peculiar Velocity",POWER(Upgrades!$U$18,J238),1)*IF(Upgrades!$T$20="Peculiar Velocity",POWER(Upgrades!$U$20,L238),1)*IF(Upgrades!$T$21="Peculiar Velocity",POWER(Upgrades!$U$21,M238),1))+(IF(L238=0,0,(Upgrades!$G$20+L238*Upgrades!$H$20)*POWER(Upgrades!$I$20,L238)))*(IF(Upgrades!$T$13="Open Cluster",POWER(Upgrades!$U$13,E238),1)*IF(Upgrades!$T$14="Open Cluster",POWER(Upgrades!$U$14,F238),1)*IF(Upgrades!$T$15="Open Cluster",POWER(Upgrades!$U$15,G238),1)*IF(Upgrades!$T$16="Open Cluster",POWER(Upgrades!$U$16,H238),1)*IF(Upgrades!$T$17="Open Cluster",POWER(Upgrades!$U$17,I238),1)*IF(Upgrades!$T$18="Open Cluster",POWER(Upgrades!$U$18,J238),1)*IF(Upgrades!$T$19="Open Cluster",POWER(Upgrades!$U$19,K238),1)*IF(Upgrades!$T$21="Open Cluster",POWER(Upgrades!$U$21,M238),1))+(IF(M238=0,0,(Upgrades!$G$21+M238*Upgrades!$H$21)*POWER(Upgrades!$I$21,M238)))*(IF(Upgrades!$T$13="Moving Group",POWER(Upgrades!$U$13,E238),1)*IF(Upgrades!$T$14="Moving Group",POWER(Upgrades!$U$14,F238),1)*IF(Upgrades!$T$15="Moving Group",POWER(Upgrades!$U$15,G238),1)*IF(Upgrades!$T$16="Moving Group",POWER(Upgrades!$U$16,H238),1)*IF(Upgrades!$T$17="Moving Group",POWER(Upgrades!$U$17,I238),1)*IF(Upgrades!$T$18="Moving Group",POWER(Upgrades!$U$18,J238),1)*IF(Upgrades!$T$19="Moving Group",POWER(Upgrades!$U$19,K238),1)*IF(Upgrades!$T$20="Moving Group",POWER(Upgrades!$U$20,L238),1)))*POWER(Upgrades!$P$13,E238)*POWER(Upgrades!$P$14,F238)*POWER(Upgrades!$P$15,G238)*POWER(Upgrades!$P$16,H238)*POWER(Upgrades!$P$17,I238)*POWER(Upgrades!$P$18,J238)*POWER(Upgrades!$P$19,K238)*POWER(Upgrades!$P$20,L238)*POWER(Upgrades!$P$21,M238)*$F$6+$C$6</f>
        <v/>
      </c>
      <c r="Q238" s="28">
        <f>((IF(E238=0,0,(Upgrades!$M$13+E238*Upgrades!$N$13)*POWER(Upgrades!$O$13,E238)))*(IF(Upgrades!$T$14="Stellar Kinematics",POWER(Upgrades!$U$14,F238),1)*IF(Upgrades!$T$15="Stellar Kinematics",POWER(Upgrades!$U$15,G238),1)*IF(Upgrades!$T$16="Stellar Kinematics",POWER(Upgrades!$U$16,H238),1)*IF(Upgrades!$T$17="Stellar Kinematics",POWER(Upgrades!$U$17,I238),1)*IF(Upgrades!$T$18="Stellar Kinematics",POWER(Upgrades!$U$18,J238),1)*IF(Upgrades!$T$19="Stellar Kinematics",POWER(Upgrades!$U$19,K238),1)*IF(Upgrades!$T$20="Stellar Kinematics",POWER(Upgrades!$U$20,L238),1)*IF(Upgrades!$T$21="Stellar Kinematics",POWER(Upgrades!$U$21,M238),1))+(IF(F238=0,0,(Upgrades!$M$14+F238*Upgrades!$N$14)*POWER(Upgrades!$O$14,F238)))*(IF(Upgrades!$T$13="Local Bubble",POWER(Upgrades!$U$13,E238),1)*IF(Upgrades!$T$15="Local Bubble",POWER(Upgrades!$U$15,G238),1)*IF(Upgrades!$T$16="Local Bubble",POWER(Upgrades!$U$16,H238),1)*IF(Upgrades!$T$17="Local Bubble",POWER(Upgrades!$U$17,I238),1)*IF(Upgrades!$T$18="Local Bubble",POWER(Upgrades!$U$18,J238),1)*IF(Upgrades!$T$19="Local Bubble",POWER(Upgrades!$U$19,K238),1)*IF(Upgrades!$T$20="Local Bubble",POWER(Upgrades!$U$20,L238),1)*IF(Upgrades!$T$21="Local Bubble",POWER(Upgrades!$U$21,M238),1))+(IF(G238=0,0,(Upgrades!$M$15+G238*Upgrades!$N$15)*POWER(Upgrades!$O$15,G238)))*(IF(Upgrades!$T$13="Microlensing",POWER(Upgrades!$U$13,E238),1)*IF(Upgrades!$T$14="Microlensing",POWER(Upgrades!$U$14,F238),1)*IF(Upgrades!$T$16="Microlensing",POWER(Upgrades!$U$16,H238),1)*IF(Upgrades!$T$17="Microlensing",POWER(Upgrades!$U$17,I238),1)*IF(Upgrades!$T$18="Microlensing",POWER(Upgrades!$U$18,J238),1)*IF(Upgrades!$T$19="Microlensing",POWER(Upgrades!$U$19,K238),1)*IF(Upgrades!$T$20="Microlensing",POWER(Upgrades!$U$20,L238),1)*IF(Upgrades!$T$21="Microlensing",POWER(Upgrades!$U$21,M238),1))+(IF(H238=0,0,(Upgrades!$M$16+H238*Upgrades!$N$16)*POWER(Upgrades!$O$16,H238)))*(IF(Upgrades!$T$13="Roche Lobe Overflow",POWER(Upgrades!$U$13,E238),1)*IF(Upgrades!$T$14="Roche Lobe Overflow",POWER(Upgrades!$U$14,F238),1)*IF(Upgrades!$T$15="Roche Lobe Overflow",POWER(Upgrades!$U$15,G238),1)*IF(Upgrades!$T$17="Roche Lobe Overflow",POWER(Upgrades!$U$17,I238),1)*IF(Upgrades!$T$18="Roche Lobe Overflow",POWER(Upgrades!$U$18,J238),1)*IF(Upgrades!$T$19="Roche Lobe Overflow",POWER(Upgrades!$U$19,K238),1)*IF(Upgrades!$T$20="Roche Lobe Overflow",POWER(Upgrades!$U$20,L238),1)*IF(Upgrades!$T$21="Roche Lobe Overflow",POWER(Upgrades!$U$21,M238),1))+(IF(I238=0,0,(Upgrades!$M$17+I238*Upgrades!$N$17)*POWER(Upgrades!$O$17,I238)))*(IF(Upgrades!$T$13="Brown Dwarf",POWER(Upgrades!$U$13,E238),1)*IF(Upgrades!$T$14="Brown Dwarf",POWER(Upgrades!$U$14,F238),1)*IF(Upgrades!$T$15="Brown Dwarf",POWER(Upgrades!$U$15,G238),1)*IF(Upgrades!$T$16="Brown Dwarf",POWER(Upgrades!$U$16,H238),1)*IF(Upgrades!$T$18="Brown Dwarf",POWER(Upgrades!$U$18,J238),1)*IF(Upgrades!$T$19="Brown Dwarf",POWER(Upgrades!$U$19,K238),1)*IF(Upgrades!$T$20="Brown Dwarf",POWER(Upgrades!$U$20,L238),1)*IF(Upgrades!$T$21="Brown Dwarf",POWER(Upgrades!$U$21,M238),1))+(IF(J238=0,0,(Upgrades!$M$18+J238*Upgrades!$N$18)*POWER(Upgrades!$O$18,J238)))*(IF(Upgrades!$T$13="Binary Partner",POWER(Upgrades!$U$13,E238),1)*IF(Upgrades!$T$14="Binary Partner",POWER(Upgrades!$U$14,F238),1)*IF(Upgrades!$T$15="Binary Partner",POWER(Upgrades!$U$15,G238),1)*IF(Upgrades!$T$16="Binary Partner",POWER(Upgrades!$U$16,H238),1)*IF(Upgrades!$T$17="Binary Partner",POWER(Upgrades!$U$17,I238),1)*IF(Upgrades!$T$19="Binary Partner",POWER(Upgrades!$U$19,K238),1)*IF(Upgrades!$T$20="Binary Partner",POWER(Upgrades!$U$20,L238),1)*IF(Upgrades!$T$21="Binary Partner",POWER(Upgrades!$U$21,M238),1))+(IF(K238=0,0,(Upgrades!$M$19+K238*Upgrades!$N$19)*POWER(Upgrades!$O$19,K238)))*(IF(Upgrades!$T$13="Peculiar Velocity",POWER(Upgrades!$U$13,E238),1)*IF(Upgrades!$T$14="Peculiar Velocity",POWER(Upgrades!$U$14,F238),1)*IF(Upgrades!$T$15="Peculiar Velocity",POWER(Upgrades!$U$15,G238),1)*IF(Upgrades!$T$16="Peculiar Velocity",POWER(Upgrades!$U$16,H238),1)*IF(Upgrades!$T$17="Peculiar Velocity",POWER(Upgrades!$U$17,I238),1)*IF(Upgrades!$T$18="Peculiar Velocity",POWER(Upgrades!$U$18,J238),1)*IF(Upgrades!$T$20="Peculiar Velocity",POWER(Upgrades!$U$20,L238),1)*IF(Upgrades!$T$21="Peculiar Velocity",POWER(Upgrades!$U$21,M238),1))+(IF(L238=0,0,(Upgrades!$M$20+L238*Upgrades!$N$20)*POWER(Upgrades!$O$20,L238)))*(IF(Upgrades!$T$13="Open Cluster",POWER(Upgrades!$U$13,E238),1)*IF(Upgrades!$T$14="Open Cluster",POWER(Upgrades!$U$14,F238),1)*IF(Upgrades!$T$15="Open Cluster",POWER(Upgrades!$U$15,G238),1)*IF(Upgrades!$T$16="Open Cluster",POWER(Upgrades!$U$16,H238),1)*IF(Upgrades!$T$17="Open Cluster",POWER(Upgrades!$U$17,I238),1)*IF(Upgrades!$T$18="Open Cluster",POWER(Upgrades!$U$18,J238),1)*IF(Upgrades!$T$19="Open Cluster",POWER(Upgrades!$U$19,K238),1)*IF(Upgrades!$T$21="Open Cluster",POWER(Upgrades!$U$21,M238),1))+(IF(M238=0,0,(Upgrades!$M$21+M238*Upgrades!$N$21)*POWER(Upgrades!$O$21,M238)))*(IF(Upgrades!$T$13="Moving Group",POWER(Upgrades!$U$13,E238),1)*IF(Upgrades!$T$14="Moving Group",POWER(Upgrades!$U$14,F238),1)*IF(Upgrades!$T$15="Moving Group",POWER(Upgrades!$U$15,G238),1)*IF(Upgrades!$T$16="Moving Group",POWER(Upgrades!$U$16,H238),1)*IF(Upgrades!$T$17="Moving Group",POWER(Upgrades!$U$17,I238),1)*IF(Upgrades!$T$18="Moving Group",POWER(Upgrades!$U$18,J238),1)*IF(Upgrades!$T$19="Moving Group",POWER(Upgrades!$U$19,K238),1)*IF(Upgrades!$T$20="Moving Group",POWER(Upgrades!$U$20,L238),1)))*POWER(Upgrades!$R$13,E238)*POWER(Upgrades!$R$14,F238)*POWER(Upgrades!$R$15,G238)*POWER(Upgrades!$R$16,H238)*POWER(Upgrades!$R$17,I238)*POWER(Upgrades!$R$18,J238)*POWER(Upgrades!$R$19,K238)*POWER(Upgrades!$R$20,L238)*POWER(Upgrades!$R$21,M238)*$H$6+$E$6</f>
        <v/>
      </c>
      <c r="R238" s="27">
        <f>IF(N238=1,0,O238*Parameters!$B$10/60*Parameters!$B$11*10)</f>
        <v/>
      </c>
      <c r="S238" s="27">
        <f>IF(N238=1,0,Q238*O238*10)</f>
        <v/>
      </c>
      <c r="T238" s="27">
        <f>IF(N238=1,0,R238+S238+P238*10)</f>
        <v/>
      </c>
      <c r="U238" s="33">
        <f>BE238</f>
        <v/>
      </c>
      <c r="V238" s="22">
        <f>IF(U238="",0,IF(U238="transition",0,IF(U238="SK",AK238,IF(U238="LB",AL238,IF(U238="ML",AM238,IF(U238="RLO",AN238,IF(U238="BD",AO238,IF(U238="BiP",AP238,IF(U238="PV",AQ238,IF(U238="OC",AR238,IF(U238="MG",AS238,0))))))))))</f>
        <v/>
      </c>
      <c r="W238" s="27">
        <f>IF(U238="BiP",Upgrades!$F$18,IF(U238="PV",Upgrades!$F$19,IF(U238="OC",Upgrades!$F$20,IF(U238="MG",Upgrades!$F$21,IF(U238="transition",-Parameters!$B$18*Parameters!$B$19,0)))))</f>
        <v/>
      </c>
      <c r="X238" s="22">
        <f>C238+T238-V238</f>
        <v/>
      </c>
      <c r="Y238" s="30">
        <f>O238*Parameters!$B$10/60*Parameters!$B$11+Q238*O238+P238</f>
        <v/>
      </c>
      <c r="Z238" s="34">
        <f>IF(U238="transition","→ Tier 3 (Galactic Arm)",IF(U238="MG","Moving Group — pocket drifts together",IF(U238="OC","Open Cluster acquired",IF(U238="PV","Peculiar Velocity — passive multiplier active",IF(U238="BiP","Binary Partner — pair bond formed",IF(AND(AU238=1,N238=0,AT238&lt;&gt;1),"Cohesion ready (waiting on completionists)","")))))) </f>
        <v/>
      </c>
      <c r="AA238" s="27">
        <f>(IF(E238=0,0,(Upgrades!$G$13+E238*Upgrades!$H$13)*POWER(Upgrades!$I$13,E238)))*(IF(Upgrades!$T$14="Stellar Kinematics",POWER(Upgrades!$U$14,F238),1)*IF(Upgrades!$T$15="Stellar Kinematics",POWER(Upgrades!$U$15,G238),1)*IF(Upgrades!$T$16="Stellar Kinematics",POWER(Upgrades!$U$16,H238),1)*IF(Upgrades!$T$17="Stellar Kinematics",POWER(Upgrades!$U$17,I238),1)*IF(Upgrades!$T$18="Stellar Kinematics",POWER(Upgrades!$U$18,J238),1)*IF(Upgrades!$T$19="Stellar Kinematics",POWER(Upgrades!$U$19,K238),1)*IF(Upgrades!$T$20="Stellar Kinematics",POWER(Upgrades!$U$20,L238),1)*IF(Upgrades!$T$21="Stellar Kinematics",POWER(Upgrades!$U$21,M238),1))*POWER(Upgrades!$P$13,E238)*POWER(Upgrades!$P$14,F238)*POWER(Upgrades!$P$15,G238)*POWER(Upgrades!$P$16,H238)*POWER(Upgrades!$P$17,I238)*POWER(Upgrades!$P$18,J238)*POWER(Upgrades!$P$19,K238)*POWER(Upgrades!$P$20,L238)*POWER(Upgrades!$P$21,M238)*$F$6*60</f>
        <v/>
      </c>
      <c r="AB238" s="27">
        <f>(IF(F238=0,0,(Upgrades!$G$14+F238*Upgrades!$H$14)*POWER(Upgrades!$I$14,F238)))*(IF(Upgrades!$T$13="Local Bubble",POWER(Upgrades!$U$13,E238),1)*IF(Upgrades!$T$15="Local Bubble",POWER(Upgrades!$U$15,G238),1)*IF(Upgrades!$T$16="Local Bubble",POWER(Upgrades!$U$16,H238),1)*IF(Upgrades!$T$17="Local Bubble",POWER(Upgrades!$U$17,I238),1)*IF(Upgrades!$T$18="Local Bubble",POWER(Upgrades!$U$18,J238),1)*IF(Upgrades!$T$19="Local Bubble",POWER(Upgrades!$U$19,K238),1)*IF(Upgrades!$T$20="Local Bubble",POWER(Upgrades!$U$20,L238),1)*IF(Upgrades!$T$21="Local Bubble",POWER(Upgrades!$U$21,M238),1))*POWER(Upgrades!$P$13,E238)*POWER(Upgrades!$P$14,F238)*POWER(Upgrades!$P$15,G238)*POWER(Upgrades!$P$16,H238)*POWER(Upgrades!$P$17,I238)*POWER(Upgrades!$P$18,J238)*POWER(Upgrades!$P$19,K238)*POWER(Upgrades!$P$20,L238)*POWER(Upgrades!$P$21,M238)*$F$6*60</f>
        <v/>
      </c>
      <c r="AC238" s="27">
        <f>(IF(G238=0,0,(Upgrades!$J$15+G238*Upgrades!$K$15)*POWER(Upgrades!$L$15,G238)))*(IF(Upgrades!$T$13="Microlensing",POWER(Upgrades!$U$13,E238),1)*IF(Upgrades!$T$14="Microlensing",POWER(Upgrades!$U$14,F238),1)*IF(Upgrades!$T$16="Microlensing",POWER(Upgrades!$U$16,H238),1)*IF(Upgrades!$T$17="Microlensing",POWER(Upgrades!$U$17,I238),1)*IF(Upgrades!$T$18="Microlensing",POWER(Upgrades!$U$18,J238),1)*IF(Upgrades!$T$19="Microlensing",POWER(Upgrades!$U$19,K238),1)*IF(Upgrades!$T$20="Microlensing",POWER(Upgrades!$U$20,L238),1)*IF(Upgrades!$T$21="Microlensing",POWER(Upgrades!$U$21,M238),1))*POWER(Upgrades!$Q$13,E238)*POWER(Upgrades!$Q$14,F238)*POWER(Upgrades!$Q$15,G238)*POWER(Upgrades!$Q$16,H238)*POWER(Upgrades!$Q$17,I238)*POWER(Upgrades!$Q$18,J238)*POWER(Upgrades!$Q$19,K238)*POWER(Upgrades!$Q$20,L238)*POWER(Upgrades!$Q$21,M238)*$G$6*(Parameters!$B$10*Parameters!$B$11+Q238*60)</f>
        <v/>
      </c>
      <c r="AD238" s="27">
        <f>(IF(H238=0,0,(Upgrades!$M$16+H238*Upgrades!$N$16)*POWER(Upgrades!$O$16,H238)))*(IF(Upgrades!$T$13="Roche Lobe Overflow",POWER(Upgrades!$U$13,E238),1)*IF(Upgrades!$T$14="Roche Lobe Overflow",POWER(Upgrades!$U$14,F238),1)*IF(Upgrades!$T$15="Roche Lobe Overflow",POWER(Upgrades!$U$15,G238),1)*IF(Upgrades!$T$17="Roche Lobe Overflow",POWER(Upgrades!$U$17,I238),1)*IF(Upgrades!$T$18="Roche Lobe Overflow",POWER(Upgrades!$U$18,J238),1)*IF(Upgrades!$T$19="Roche Lobe Overflow",POWER(Upgrades!$U$19,K238),1)*IF(Upgrades!$T$20="Roche Lobe Overflow",POWER(Upgrades!$U$20,L238),1)*IF(Upgrades!$T$21="Roche Lobe Overflow",POWER(Upgrades!$U$21,M238),1))*POWER(Upgrades!$R$13,E238)*POWER(Upgrades!$R$14,F238)*POWER(Upgrades!$R$15,G238)*POWER(Upgrades!$R$16,H238)*POWER(Upgrades!$R$17,I238)*POWER(Upgrades!$R$18,J238)*POWER(Upgrades!$R$19,K238)*POWER(Upgrades!$R$20,L238)*POWER(Upgrades!$R$21,M238)*$H$6*O238*60</f>
        <v/>
      </c>
      <c r="AE238" s="27">
        <f>(IF(I238=0,0,(Upgrades!$G$17+I238*Upgrades!$H$17)*POWER(Upgrades!$I$17,I238)))*(IF(Upgrades!$T$13="Brown Dwarf",POWER(Upgrades!$U$13,E238),1)*IF(Upgrades!$T$14="Brown Dwarf",POWER(Upgrades!$U$14,F238),1)*IF(Upgrades!$T$15="Brown Dwarf",POWER(Upgrades!$U$15,G238),1)*IF(Upgrades!$T$16="Brown Dwarf",POWER(Upgrades!$U$16,H238),1)*IF(Upgrades!$T$18="Brown Dwarf",POWER(Upgrades!$U$18,J238),1)*IF(Upgrades!$T$19="Brown Dwarf",POWER(Upgrades!$U$19,K238),1)*IF(Upgrades!$T$20="Brown Dwarf",POWER(Upgrades!$U$20,L238),1)*IF(Upgrades!$T$21="Brown Dwarf",POWER(Upgrades!$U$21,M238),1))*POWER(Upgrades!$P$13,E238)*POWER(Upgrades!$P$14,F238)*POWER(Upgrades!$P$15,G238)*POWER(Upgrades!$P$16,H238)*POWER(Upgrades!$P$17,I238)*POWER(Upgrades!$P$18,J238)*POWER(Upgrades!$P$19,K238)*POWER(Upgrades!$P$20,L238)*POWER(Upgrades!$P$21,M238)*$F$6*60</f>
        <v/>
      </c>
      <c r="AF238" s="27" t="n">
        <v>0</v>
      </c>
      <c r="AG238" s="27" t="n">
        <v>0</v>
      </c>
      <c r="AH238" s="27" t="n">
        <v>0</v>
      </c>
      <c r="AI238" s="27">
        <f>(IF(M238=0,0,(Upgrades!$G$21+M238*Upgrades!$H$21)*POWER(Upgrades!$I$21,M238)))*(IF(Upgrades!$T$13="Moving Group",POWER(Upgrades!$U$13,E238),1)*IF(Upgrades!$T$14="Moving Group",POWER(Upgrades!$U$14,F238),1)*IF(Upgrades!$T$15="Moving Group",POWER(Upgrades!$U$15,G238),1)*IF(Upgrades!$T$16="Moving Group",POWER(Upgrades!$U$16,H238),1)*IF(Upgrades!$T$17="Moving Group",POWER(Upgrades!$U$17,I238),1)*IF(Upgrades!$T$18="Moving Group",POWER(Upgrades!$U$18,J238),1)*IF(Upgrades!$T$19="Moving Group",POWER(Upgrades!$U$19,K238),1)*IF(Upgrades!$T$20="Moving Group",POWER(Upgrades!$U$20,L238),1))*POWER(Upgrades!$P$13,E238)*POWER(Upgrades!$P$14,F238)*POWER(Upgrades!$P$15,G238)*POWER(Upgrades!$P$16,H238)*POWER(Upgrades!$P$17,I238)*POWER(Upgrades!$P$18,J238)*POWER(Upgrades!$P$19,K238)*POWER(Upgrades!$P$20,L238)*POWER(Upgrades!$P$21,M238)*$F$6*60</f>
        <v/>
      </c>
      <c r="AJ238" s="27">
        <f>$C$6*60</f>
        <v/>
      </c>
      <c r="AK238" s="22">
        <f>IF(E238&gt;=Upgrades!$E$13,"",Upgrades!$C$13*POWER(Upgrades!$D$13,E238))</f>
        <v/>
      </c>
      <c r="AL238" s="22">
        <f>IF(F238&gt;=Upgrades!$E$14,"",Upgrades!$C$14*POWER(Upgrades!$D$14,F238))</f>
        <v/>
      </c>
      <c r="AM238" s="22">
        <f>IF(G238&gt;=Upgrades!$E$15,"",Upgrades!$C$15*POWER(Upgrades!$D$15,G238))</f>
        <v/>
      </c>
      <c r="AN238" s="22">
        <f>IF(H238&gt;=Upgrades!$E$16,"",Upgrades!$C$16*POWER(Upgrades!$D$16,H238))</f>
        <v/>
      </c>
      <c r="AO238" s="22">
        <f>IF(I238&gt;=Upgrades!$E$17,"",Upgrades!$C$17*POWER(Upgrades!$D$17,I238))</f>
        <v/>
      </c>
      <c r="AP238" s="22">
        <f>IF(J238&gt;=Upgrades!$E$18,"",Upgrades!$C$18*POWER(Upgrades!$D$18,J238))</f>
        <v/>
      </c>
      <c r="AQ238" s="22">
        <f>IF(K238&gt;=Upgrades!$E$19,"",Upgrades!$C$19*POWER(Upgrades!$D$19,K238))</f>
        <v/>
      </c>
      <c r="AR238" s="22">
        <f>IF(L238&gt;=Upgrades!$E$20,"",Upgrades!$C$20*POWER(Upgrades!$D$20,L238))</f>
        <v/>
      </c>
      <c r="AS238" s="22">
        <f>IF(M238&gt;=Upgrades!$E$21,"",Upgrades!$C$21*POWER(Upgrades!$D$21,M238))</f>
        <v/>
      </c>
      <c r="AT238" s="26">
        <f>IF(AND(D238&gt;=Parameters!$B$18*Parameters!$B$19,(I238&gt;=Upgrades!$E$17)*(M238&gt;=Upgrades!$E$21)=1,N238=0),1,"")</f>
        <v/>
      </c>
      <c r="AU238" s="26">
        <f>IF(AND(D238&gt;=Parameters!$B$18*Parameters!$B$19,N238=0),1,"")</f>
        <v/>
      </c>
      <c r="AV238" s="22">
        <f>MIN(IF(ISNUMBER(AP238),AP238,9E15),IF(ISNUMBER(AQ238),AQ238,9E15),IF(ISNUMBER(AR238),AR238,9E15),IF(ISNUMBER(AS238),AS238,9E15))</f>
        <v/>
      </c>
      <c r="AW238" s="22">
        <f>MIN(IF(ISNUMBER(AK238),AK238,9E15),IF(ISNUMBER(AL238),AL238,9E15),IF(ISNUMBER(AM238),AM238,9E15),IF(ISNUMBER(AN238),AN238,9E15),IF(ISNUMBER(AO238),AO238,9E15))</f>
        <v/>
      </c>
      <c r="AX238" s="29">
        <f>IF(BD238&gt;Parameters!$B$21*(MAX(IF(AND(NOT(AND(AU238=1,AT238&lt;&gt;1)),ISNUMBER(AK238),AK238&lt;=(C238+T238)),AY238,0),IF(AND(NOT(AND(AU238=1,AT238&lt;&gt;1)),ISNUMBER(AL238),AL238&lt;=(C238+T238)),AZ238,0),IF(AND(NOT(AND(AU238=1,AT238&lt;&gt;1)),ISNUMBER(AM238),AM238&lt;=(C238+T238)),BA238,0),IF(AND(NOT(AND(AU238=1,AT238&lt;&gt;1)),ISNUMBER(AN238),AN238&lt;=(C238+T238)),BB238,0),IF(AND(ISNUMBER(AO238),AO238&lt;=(C238+T238)),BC238,0))),TRUE,FALSE)</f>
        <v/>
      </c>
      <c r="AY238" s="32">
        <f>IFERROR(Upgrades!$H$13*(POWER(Upgrades!$P$13,E238)*POWER(Upgrades!$P$14,F238)*POWER(Upgrades!$P$15,G238)*POWER(Upgrades!$P$16,H238)*POWER(Upgrades!$P$17,I238)*POWER(Upgrades!$P$18,J238)*POWER(Upgrades!$P$19,K238)*POWER(Upgrades!$P$20,L238)*POWER(Upgrades!$P$21,M238))*(IF(Upgrades!$T$14="Stellar Kinematics",POWER(Upgrades!$U$14,F238),1)*IF(Upgrades!$T$15="Stellar Kinematics",POWER(Upgrades!$U$15,G238),1)*IF(Upgrades!$T$16="Stellar Kinematics",POWER(Upgrades!$U$16,H238),1)*IF(Upgrades!$T$17="Stellar Kinematics",POWER(Upgrades!$U$17,I238),1)*IF(Upgrades!$T$18="Stellar Kinematics",POWER(Upgrades!$U$18,J238),1)*IF(Upgrades!$T$19="Stellar Kinematics",POWER(Upgrades!$U$19,K238),1)*IF(Upgrades!$T$20="Stellar Kinematics",POWER(Upgrades!$U$20,L238),1)*IF(Upgrades!$T$21="Stellar Kinematics",POWER(Upgrades!$U$21,M238),1))*$F$6/AK238,0)</f>
        <v/>
      </c>
      <c r="AZ238" s="32">
        <f>IFERROR(Upgrades!$H$14*(POWER(Upgrades!$P$13,E238)*POWER(Upgrades!$P$14,F238)*POWER(Upgrades!$P$15,G238)*POWER(Upgrades!$P$16,H238)*POWER(Upgrades!$P$17,I238)*POWER(Upgrades!$P$18,J238)*POWER(Upgrades!$P$19,K238)*POWER(Upgrades!$P$20,L238)*POWER(Upgrades!$P$21,M238))*(IF(Upgrades!$T$13="Local Bubble",POWER(Upgrades!$U$13,E238),1)*IF(Upgrades!$T$15="Local Bubble",POWER(Upgrades!$U$15,G238),1)*IF(Upgrades!$T$16="Local Bubble",POWER(Upgrades!$U$16,H238),1)*IF(Upgrades!$T$17="Local Bubble",POWER(Upgrades!$U$17,I238),1)*IF(Upgrades!$T$18="Local Bubble",POWER(Upgrades!$U$18,J238),1)*IF(Upgrades!$T$19="Local Bubble",POWER(Upgrades!$U$19,K238),1)*IF(Upgrades!$T$20="Local Bubble",POWER(Upgrades!$U$20,L238),1)*IF(Upgrades!$T$21="Local Bubble",POWER(Upgrades!$U$21,M238),1))*$F$6/AL238,0)</f>
        <v/>
      </c>
      <c r="BA238" s="32">
        <f>IFERROR(Upgrades!$K$15*(POWER(Upgrades!$Q$13,E238)*POWER(Upgrades!$Q$14,F238)*POWER(Upgrades!$Q$15,G238)*POWER(Upgrades!$Q$16,H238)*POWER(Upgrades!$Q$17,I238)*POWER(Upgrades!$Q$18,J238)*POWER(Upgrades!$Q$19,K238)*POWER(Upgrades!$Q$20,L238)*POWER(Upgrades!$Q$21,M238))*(IF(Upgrades!$T$13="Microlensing",POWER(Upgrades!$U$13,E238),1)*IF(Upgrades!$T$14="Microlensing",POWER(Upgrades!$U$14,F238),1)*IF(Upgrades!$T$16="Microlensing",POWER(Upgrades!$U$16,H238),1)*IF(Upgrades!$T$17="Microlensing",POWER(Upgrades!$U$17,I238),1)*IF(Upgrades!$T$18="Microlensing",POWER(Upgrades!$U$18,J238),1)*IF(Upgrades!$T$19="Microlensing",POWER(Upgrades!$U$19,K238),1)*IF(Upgrades!$T$20="Microlensing",POWER(Upgrades!$U$20,L238),1)*IF(Upgrades!$T$21="Microlensing",POWER(Upgrades!$U$21,M238),1))*$G$6*(Parameters!$B$10/60*Parameters!$B$11+Q238)/AM238,0)</f>
        <v/>
      </c>
      <c r="BB238" s="32">
        <f>IFERROR((Upgrades!$N$16*(POWER(Upgrades!$R$13,E238)*POWER(Upgrades!$R$14,F238)*POWER(Upgrades!$R$15,G238)*POWER(Upgrades!$R$16,H238)*POWER(Upgrades!$R$17,I238)*POWER(Upgrades!$R$18,J238)*POWER(Upgrades!$R$19,K238)*POWER(Upgrades!$R$20,L238)*POWER(Upgrades!$R$21,M238))*(IF(Upgrades!$T$13="Roche Lobe Overflow",POWER(Upgrades!$U$13,E238),1)*IF(Upgrades!$T$14="Roche Lobe Overflow",POWER(Upgrades!$U$14,F238),1)*IF(Upgrades!$T$15="Roche Lobe Overflow",POWER(Upgrades!$U$15,G238),1)*IF(Upgrades!$T$17="Roche Lobe Overflow",POWER(Upgrades!$U$17,I238),1)*IF(Upgrades!$T$18="Roche Lobe Overflow",POWER(Upgrades!$U$18,J238),1)*IF(Upgrades!$T$19="Roche Lobe Overflow",POWER(Upgrades!$U$19,K238),1)*IF(Upgrades!$T$20="Roche Lobe Overflow",POWER(Upgrades!$U$20,L238),1)*IF(Upgrades!$T$21="Roche Lobe Overflow",POWER(Upgrades!$U$21,M238),1))*$H$6*O238+((IF(F238=0,0,(Upgrades!$G$14+F238*Upgrades!$H$14)*POWER(Upgrades!$I$14,F238)))*(IF(Upgrades!$T$13="Local Bubble",POWER(Upgrades!$U$13,E238),1)*IF(Upgrades!$T$15="Local Bubble",POWER(Upgrades!$U$15,G238),1)*IF(Upgrades!$T$16="Local Bubble",POWER(Upgrades!$U$16,H238),1)*IF(Upgrades!$T$17="Local Bubble",POWER(Upgrades!$U$17,I238),1)*IF(Upgrades!$T$18="Local Bubble",POWER(Upgrades!$U$18,J238),1)*IF(Upgrades!$T$19="Local Bubble",POWER(Upgrades!$U$19,K238),1)*IF(Upgrades!$T$20="Local Bubble",POWER(Upgrades!$U$20,L238),1)*IF(Upgrades!$T$21="Local Bubble",POWER(Upgrades!$U$21,M238),1))*POWER(Upgrades!$P$13,E238)*POWER(Upgrades!$P$14,F238)*POWER(Upgrades!$P$15,G238)*POWER(Upgrades!$P$16,H238)*POWER(Upgrades!$P$17,I238)*POWER(Upgrades!$P$18,J238)*POWER(Upgrades!$P$19,K238)*POWER(Upgrades!$P$20,L238)*POWER(Upgrades!$P$21,M238)*$F$6)*0.05)/AN238,0)</f>
        <v/>
      </c>
      <c r="BC238" s="32">
        <f>IFERROR((Upgrades!$H$17*(POWER(Upgrades!$P$13,E238)*POWER(Upgrades!$P$14,F238)*POWER(Upgrades!$P$15,G238)*POWER(Upgrades!$P$16,H238)*POWER(Upgrades!$P$17,I238)*POWER(Upgrades!$P$18,J238)*POWER(Upgrades!$P$19,K238)*POWER(Upgrades!$P$20,L238)*POWER(Upgrades!$P$21,M238))*(IF(Upgrades!$T$13="Brown Dwarf",POWER(Upgrades!$U$13,E238),1)*IF(Upgrades!$T$14="Brown Dwarf",POWER(Upgrades!$U$14,F238),1)*IF(Upgrades!$T$15="Brown Dwarf",POWER(Upgrades!$U$15,G238),1)*IF(Upgrades!$T$16="Brown Dwarf",POWER(Upgrades!$U$16,H238),1)*IF(Upgrades!$T$18="Brown Dwarf",POWER(Upgrades!$U$18,J238),1)*IF(Upgrades!$T$19="Brown Dwarf",POWER(Upgrades!$U$19,K238),1)*IF(Upgrades!$T$20="Brown Dwarf",POWER(Upgrades!$U$20,L238),1)*IF(Upgrades!$T$21="Brown Dwarf",POWER(Upgrades!$U$21,M238),1))*$F$6+(((IF(H238=0,0,(Upgrades!$M$16+H238*Upgrades!$N$16)*POWER(Upgrades!$O$16,H238)))*(IF(Upgrades!$T$13="Roche Lobe Overflow",POWER(Upgrades!$U$13,E238),1)*IF(Upgrades!$T$14="Roche Lobe Overflow",POWER(Upgrades!$U$14,F238),1)*IF(Upgrades!$T$15="Roche Lobe Overflow",POWER(Upgrades!$U$15,G238),1)*IF(Upgrades!$T$17="Roche Lobe Overflow",POWER(Upgrades!$U$17,I238),1)*IF(Upgrades!$T$18="Roche Lobe Overflow",POWER(Upgrades!$U$18,J238),1)*IF(Upgrades!$T$19="Roche Lobe Overflow",POWER(Upgrades!$U$19,K238),1)*IF(Upgrades!$T$20="Roche Lobe Overflow",POWER(Upgrades!$U$20,L238),1)*IF(Upgrades!$T$21="Roche Lobe Overflow",POWER(Upgrades!$U$21,M238),1))*POWER(Upgrades!$R$13,E238)*POWER(Upgrades!$R$14,F238)*POWER(Upgrades!$R$15,G238)*POWER(Upgrades!$R$16,H238)*POWER(Upgrades!$R$17,I238)*POWER(Upgrades!$R$18,J238)*POWER(Upgrades!$R$19,K238)*POWER(Upgrades!$R$20,L238)*POWER(Upgrades!$R$21,M238)*$H$6)*O238)*0.10)/AO238,0)</f>
        <v/>
      </c>
      <c r="BD238" s="32">
        <f>MAX(IF(J238&gt;0,0,IFERROR(0.5*((IF(G238=0,0,(Upgrades!$J$15+G238*Upgrades!$K$15)*POWER(Upgrades!$L$15,G238)))*(IF(Upgrades!$T$13="Microlensing",POWER(Upgrades!$U$13,E238),1)*IF(Upgrades!$T$14="Microlensing",POWER(Upgrades!$U$14,F238),1)*IF(Upgrades!$T$16="Microlensing",POWER(Upgrades!$U$16,H238),1)*IF(Upgrades!$T$17="Microlensing",POWER(Upgrades!$U$17,I238),1)*IF(Upgrades!$T$18="Microlensing",POWER(Upgrades!$U$18,J238),1)*IF(Upgrades!$T$19="Microlensing",POWER(Upgrades!$U$19,K238),1)*IF(Upgrades!$T$20="Microlensing",POWER(Upgrades!$U$20,L238),1)*IF(Upgrades!$T$21="Microlensing",POWER(Upgrades!$U$21,M238),1))*(POWER(Upgrades!$Q$13,E238)*POWER(Upgrades!$Q$14,F238)*POWER(Upgrades!$Q$15,G238)*POWER(Upgrades!$Q$16,H238)*POWER(Upgrades!$Q$17,I238)*POWER(Upgrades!$Q$18,J238)*POWER(Upgrades!$Q$19,K238)*POWER(Upgrades!$Q$20,L238)*POWER(Upgrades!$Q$21,M238))*$G$6*(Parameters!$B$10/60*Parameters!$B$11+Q238))/Upgrades!$C$18,0)),IF(K238&gt;0,0,IFERROR(0.30*P238/Upgrades!$C$19,0)),IF(L238&gt;0,0,IFERROR(0.0001/Upgrades!$C$20,0)),IF(M238&gt;0,0,IFERROR((6.0*(POWER(Upgrades!$P$13,E238)*POWER(Upgrades!$P$14,F238)*POWER(Upgrades!$P$15,G238)*POWER(Upgrades!$P$16,H238)*POWER(Upgrades!$P$17,I238)*POWER(Upgrades!$P$18,J238)*POWER(Upgrades!$P$19,K238)*POWER(Upgrades!$P$20,L238)*POWER(Upgrades!$P$21,M238))*$F$6+0.20*O238*(Parameters!$B$10/60*Parameters!$B$11+Q238))/Upgrades!$C$21,0)),IF(AND(ISNUMBER(AK238),AK238&gt;(C238+T238)),AY238,0),IF(AND(ISNUMBER(AL238),AL238&gt;(C238+T238)),AZ238,0),IF(AND(ISNUMBER(AM238),AM238&gt;(C238+T238)),BA238,0),IF(AND(ISNUMBER(AN238),AN238&gt;(C238+T238)),BB238,0),IF(AND(ISNUMBER(AO238),AO238&gt;(C238+T238)),BC238,0))</f>
        <v/>
      </c>
      <c r="BE238" s="29">
        <f>IF(AT238=1,"transition",IF(MIN(IF(AND(J238=0,ISNUMBER(AP238),AP238&lt;=(C238+T238)),AP238,9E15),IF(AND(K238=0,ISNUMBER(AQ238),AQ238&lt;=(C238+T238)),AQ238,9E15),IF(AND(L238=0,ISNUMBER(AR238),AR238&lt;=(C238+T238)),AR238,9E15),IF(AND(M238=0,ISNUMBER(AS238),AS238&lt;=(C238+T238)),AS238,9E15))&lt;9E15,IF(AND(AND(J238=0,ISNUMBER(AP238),AP238&lt;=(C238+T238)),AP238=MIN(IF(AND(J238=0,ISNUMBER(AP238),AP238&lt;=(C238+T238)),AP238,9E15),IF(AND(K238=0,ISNUMBER(AQ238),AQ238&lt;=(C238+T238)),AQ238,9E15),IF(AND(L238=0,ISNUMBER(AR238),AR238&lt;=(C238+T238)),AR238,9E15),IF(AND(M238=0,ISNUMBER(AS238),AS238&lt;=(C238+T238)),AS238,9E15))),"BiP",IF(AND(AND(K238=0,ISNUMBER(AQ238),AQ238&lt;=(C238+T238)),AQ238=MIN(IF(AND(J238=0,ISNUMBER(AP238),AP238&lt;=(C238+T238)),AP238,9E15),IF(AND(K238=0,ISNUMBER(AQ238),AQ238&lt;=(C238+T238)),AQ238,9E15),IF(AND(L238=0,ISNUMBER(AR238),AR238&lt;=(C238+T238)),AR238,9E15),IF(AND(M238=0,ISNUMBER(AS238),AS238&lt;=(C238+T238)),AS238,9E15))),"PV",IF(AND(AND(L238=0,ISNUMBER(AR238),AR238&lt;=(C238+T238)),AR238=MIN(IF(AND(J238=0,ISNUMBER(AP238),AP238&lt;=(C238+T238)),AP238,9E15),IF(AND(K238=0,ISNUMBER(AQ238),AQ238&lt;=(C238+T238)),AQ238,9E15),IF(AND(L238=0,ISNUMBER(AR238),AR238&lt;=(C238+T238)),AR238,9E15),IF(AND(M238=0,ISNUMBER(AS238),AS238&lt;=(C238+T238)),AS238,9E15))),"OC","MG"))),IF(AX238=TRUE,"",IF(MAX(IF(AND(NOT(AND(AU238=1,AT238&lt;&gt;1)),ISNUMBER(AK238),AK238&lt;=(C238+T238)),AY238,0),IF(AND(NOT(AND(AU238=1,AT238&lt;&gt;1)),ISNUMBER(AL238),AL238&lt;=(C238+T238)),AZ238,0),IF(AND(NOT(AND(AU238=1,AT238&lt;&gt;1)),ISNUMBER(AM238),AM238&lt;=(C238+T238)),BA238,0),IF(AND(NOT(AND(AU238=1,AT238&lt;&gt;1)),ISNUMBER(AN238),AN238&lt;=(C238+T238)),BB238,0),IF(AND(ISNUMBER(AO238),AO238&lt;=(C238+T238)),BC238,0))&lt;=0,"",IF(AND(IF(AND(NOT(AND(AU238=1,AT238&lt;&gt;1)),ISNUMBER(AK238),AK238&lt;=(C238+T238)),AY238,0)&gt;0,IF(AND(NOT(AND(AU238=1,AT238&lt;&gt;1)),ISNUMBER(AK238),AK238&lt;=(C238+T238)),AY238,0)=MAX(IF(AND(NOT(AND(AU238=1,AT238&lt;&gt;1)),ISNUMBER(AK238),AK238&lt;=(C238+T238)),AY238,0),IF(AND(NOT(AND(AU238=1,AT238&lt;&gt;1)),ISNUMBER(AL238),AL238&lt;=(C238+T238)),AZ238,0),IF(AND(NOT(AND(AU238=1,AT238&lt;&gt;1)),ISNUMBER(AM238),AM238&lt;=(C238+T238)),BA238,0),IF(AND(NOT(AND(AU238=1,AT238&lt;&gt;1)),ISNUMBER(AN238),AN238&lt;=(C238+T238)),BB238,0),IF(AND(ISNUMBER(AO238),AO238&lt;=(C238+T238)),BC238,0))),"SK",IF(AND(IF(AND(NOT(AND(AU238=1,AT238&lt;&gt;1)),ISNUMBER(AL238),AL238&lt;=(C238+T238)),AZ238,0)&gt;0,IF(AND(NOT(AND(AU238=1,AT238&lt;&gt;1)),ISNUMBER(AL238),AL238&lt;=(C238+T238)),AZ238,0)=MAX(IF(AND(NOT(AND(AU238=1,AT238&lt;&gt;1)),ISNUMBER(AK238),AK238&lt;=(C238+T238)),AY238,0),IF(AND(NOT(AND(AU238=1,AT238&lt;&gt;1)),ISNUMBER(AL238),AL238&lt;=(C238+T238)),AZ238,0),IF(AND(NOT(AND(AU238=1,AT238&lt;&gt;1)),ISNUMBER(AM238),AM238&lt;=(C238+T238)),BA238,0),IF(AND(NOT(AND(AU238=1,AT238&lt;&gt;1)),ISNUMBER(AN238),AN238&lt;=(C238+T238)),BB238,0),IF(AND(ISNUMBER(AO238),AO238&lt;=(C238+T238)),BC238,0))),"LB",IF(AND(IF(AND(NOT(AND(AU238=1,AT238&lt;&gt;1)),ISNUMBER(AM238),AM238&lt;=(C238+T238)),BA238,0)&gt;0,IF(AND(NOT(AND(AU238=1,AT238&lt;&gt;1)),ISNUMBER(AM238),AM238&lt;=(C238+T238)),BA238,0)=MAX(IF(AND(NOT(AND(AU238=1,AT238&lt;&gt;1)),ISNUMBER(AK238),AK238&lt;=(C238+T238)),AY238,0),IF(AND(NOT(AND(AU238=1,AT238&lt;&gt;1)),ISNUMBER(AL238),AL238&lt;=(C238+T238)),AZ238,0),IF(AND(NOT(AND(AU238=1,AT238&lt;&gt;1)),ISNUMBER(AM238),AM238&lt;=(C238+T238)),BA238,0),IF(AND(NOT(AND(AU238=1,AT238&lt;&gt;1)),ISNUMBER(AN238),AN238&lt;=(C238+T238)),BB238,0),IF(AND(ISNUMBER(AO238),AO238&lt;=(C238+T238)),BC238,0))),"ML",IF(AND(IF(AND(NOT(AND(AU238=1,AT238&lt;&gt;1)),ISNUMBER(AN238),AN238&lt;=(C238+T238)),BB238,0)&gt;0,IF(AND(NOT(AND(AU238=1,AT238&lt;&gt;1)),ISNUMBER(AN238),AN238&lt;=(C238+T238)),BB238,0)=MAX(IF(AND(NOT(AND(AU238=1,AT238&lt;&gt;1)),ISNUMBER(AK238),AK238&lt;=(C238+T238)),AY238,0),IF(AND(NOT(AND(AU238=1,AT238&lt;&gt;1)),ISNUMBER(AL238),AL238&lt;=(C238+T238)),AZ238,0),IF(AND(NOT(AND(AU238=1,AT238&lt;&gt;1)),ISNUMBER(AM238),AM238&lt;=(C238+T238)),BA238,0),IF(AND(NOT(AND(AU238=1,AT238&lt;&gt;1)),ISNUMBER(AN238),AN238&lt;=(C238+T238)),BB238,0),IF(AND(ISNUMBER(AO238),AO238&lt;=(C238+T238)),BC238,0))),"RLO","BD"))))))))</f>
        <v/>
      </c>
    </row>
    <row r="239">
      <c r="A239" s="26" t="n">
        <v>228</v>
      </c>
      <c r="B239" s="27">
        <f>A239*10/60</f>
        <v/>
      </c>
      <c r="C239" s="22">
        <f>X238</f>
        <v/>
      </c>
      <c r="D239" s="27">
        <f>D238+W238</f>
        <v/>
      </c>
      <c r="E239" s="26">
        <f>E238+IF(U238="SK",1,0)</f>
        <v/>
      </c>
      <c r="F239" s="26">
        <f>F238+IF(U238="LB",1,0)</f>
        <v/>
      </c>
      <c r="G239" s="26">
        <f>G238+IF(U238="ML",1,0)</f>
        <v/>
      </c>
      <c r="H239" s="26">
        <f>H238+IF(U238="RLO",1,0)</f>
        <v/>
      </c>
      <c r="I239" s="26">
        <f>I238+IF(U238="BD",1,0)</f>
        <v/>
      </c>
      <c r="J239" s="26">
        <f>MAX(J238,IF(U238="BiP",1,0))</f>
        <v/>
      </c>
      <c r="K239" s="26">
        <f>MAX(K238,IF(U238="PV",1,0))</f>
        <v/>
      </c>
      <c r="L239" s="26">
        <f>MAX(L238,IF(U238="OC",1,0))</f>
        <v/>
      </c>
      <c r="M239" s="26">
        <f>MAX(M238,IF(U238="MG",1,0))</f>
        <v/>
      </c>
      <c r="N239" s="26">
        <f>MAX(N238,IF(U238="transition",1,0))</f>
        <v/>
      </c>
      <c r="O239" s="28">
        <f>(Parameters!$B$9+(IF(E239=0,0,(Upgrades!$J$13+E239*Upgrades!$K$13)*POWER(Upgrades!$L$13,E239)))*(IF(Upgrades!$T$14="Stellar Kinematics",POWER(Upgrades!$U$14,F239),1)*IF(Upgrades!$T$15="Stellar Kinematics",POWER(Upgrades!$U$15,G239),1)*IF(Upgrades!$T$16="Stellar Kinematics",POWER(Upgrades!$U$16,H239),1)*IF(Upgrades!$T$17="Stellar Kinematics",POWER(Upgrades!$U$17,I239),1)*IF(Upgrades!$T$18="Stellar Kinematics",POWER(Upgrades!$U$18,J239),1)*IF(Upgrades!$T$19="Stellar Kinematics",POWER(Upgrades!$U$19,K239),1)*IF(Upgrades!$T$20="Stellar Kinematics",POWER(Upgrades!$U$20,L239),1)*IF(Upgrades!$T$21="Stellar Kinematics",POWER(Upgrades!$U$21,M239),1))+(IF(F239=0,0,(Upgrades!$J$14+F239*Upgrades!$K$14)*POWER(Upgrades!$L$14,F239)))*(IF(Upgrades!$T$13="Local Bubble",POWER(Upgrades!$U$13,E239),1)*IF(Upgrades!$T$15="Local Bubble",POWER(Upgrades!$U$15,G239),1)*IF(Upgrades!$T$16="Local Bubble",POWER(Upgrades!$U$16,H239),1)*IF(Upgrades!$T$17="Local Bubble",POWER(Upgrades!$U$17,I239),1)*IF(Upgrades!$T$18="Local Bubble",POWER(Upgrades!$U$18,J239),1)*IF(Upgrades!$T$19="Local Bubble",POWER(Upgrades!$U$19,K239),1)*IF(Upgrades!$T$20="Local Bubble",POWER(Upgrades!$U$20,L239),1)*IF(Upgrades!$T$21="Local Bubble",POWER(Upgrades!$U$21,M239),1))+(IF(G239=0,0,(Upgrades!$J$15+G239*Upgrades!$K$15)*POWER(Upgrades!$L$15,G239)))*(IF(Upgrades!$T$13="Microlensing",POWER(Upgrades!$U$13,E239),1)*IF(Upgrades!$T$14="Microlensing",POWER(Upgrades!$U$14,F239),1)*IF(Upgrades!$T$16="Microlensing",POWER(Upgrades!$U$16,H239),1)*IF(Upgrades!$T$17="Microlensing",POWER(Upgrades!$U$17,I239),1)*IF(Upgrades!$T$18="Microlensing",POWER(Upgrades!$U$18,J239),1)*IF(Upgrades!$T$19="Microlensing",POWER(Upgrades!$U$19,K239),1)*IF(Upgrades!$T$20="Microlensing",POWER(Upgrades!$U$20,L239),1)*IF(Upgrades!$T$21="Microlensing",POWER(Upgrades!$U$21,M239),1))+(IF(H239=0,0,(Upgrades!$J$16+H239*Upgrades!$K$16)*POWER(Upgrades!$L$16,H239)))*(IF(Upgrades!$T$13="Roche Lobe Overflow",POWER(Upgrades!$U$13,E239),1)*IF(Upgrades!$T$14="Roche Lobe Overflow",POWER(Upgrades!$U$14,F239),1)*IF(Upgrades!$T$15="Roche Lobe Overflow",POWER(Upgrades!$U$15,G239),1)*IF(Upgrades!$T$17="Roche Lobe Overflow",POWER(Upgrades!$U$17,I239),1)*IF(Upgrades!$T$18="Roche Lobe Overflow",POWER(Upgrades!$U$18,J239),1)*IF(Upgrades!$T$19="Roche Lobe Overflow",POWER(Upgrades!$U$19,K239),1)*IF(Upgrades!$T$20="Roche Lobe Overflow",POWER(Upgrades!$U$20,L239),1)*IF(Upgrades!$T$21="Roche Lobe Overflow",POWER(Upgrades!$U$21,M239),1))+(IF(I239=0,0,(Upgrades!$J$17+I239*Upgrades!$K$17)*POWER(Upgrades!$L$17,I239)))*(IF(Upgrades!$T$13="Brown Dwarf",POWER(Upgrades!$U$13,E239),1)*IF(Upgrades!$T$14="Brown Dwarf",POWER(Upgrades!$U$14,F239),1)*IF(Upgrades!$T$15="Brown Dwarf",POWER(Upgrades!$U$15,G239),1)*IF(Upgrades!$T$16="Brown Dwarf",POWER(Upgrades!$U$16,H239),1)*IF(Upgrades!$T$18="Brown Dwarf",POWER(Upgrades!$U$18,J239),1)*IF(Upgrades!$T$19="Brown Dwarf",POWER(Upgrades!$U$19,K239),1)*IF(Upgrades!$T$20="Brown Dwarf",POWER(Upgrades!$U$20,L239),1)*IF(Upgrades!$T$21="Brown Dwarf",POWER(Upgrades!$U$21,M239),1))+(IF(J239=0,0,(Upgrades!$J$18+J239*Upgrades!$K$18)*POWER(Upgrades!$L$18,J239)))*(IF(Upgrades!$T$13="Binary Partner",POWER(Upgrades!$U$13,E239),1)*IF(Upgrades!$T$14="Binary Partner",POWER(Upgrades!$U$14,F239),1)*IF(Upgrades!$T$15="Binary Partner",POWER(Upgrades!$U$15,G239),1)*IF(Upgrades!$T$16="Binary Partner",POWER(Upgrades!$U$16,H239),1)*IF(Upgrades!$T$17="Binary Partner",POWER(Upgrades!$U$17,I239),1)*IF(Upgrades!$T$19="Binary Partner",POWER(Upgrades!$U$19,K239),1)*IF(Upgrades!$T$20="Binary Partner",POWER(Upgrades!$U$20,L239),1)*IF(Upgrades!$T$21="Binary Partner",POWER(Upgrades!$U$21,M239),1))+(IF(K239=0,0,(Upgrades!$J$19+K239*Upgrades!$K$19)*POWER(Upgrades!$L$19,K239)))*(IF(Upgrades!$T$13="Peculiar Velocity",POWER(Upgrades!$U$13,E239),1)*IF(Upgrades!$T$14="Peculiar Velocity",POWER(Upgrades!$U$14,F239),1)*IF(Upgrades!$T$15="Peculiar Velocity",POWER(Upgrades!$U$15,G239),1)*IF(Upgrades!$T$16="Peculiar Velocity",POWER(Upgrades!$U$16,H239),1)*IF(Upgrades!$T$17="Peculiar Velocity",POWER(Upgrades!$U$17,I239),1)*IF(Upgrades!$T$18="Peculiar Velocity",POWER(Upgrades!$U$18,J239),1)*IF(Upgrades!$T$20="Peculiar Velocity",POWER(Upgrades!$U$20,L239),1)*IF(Upgrades!$T$21="Peculiar Velocity",POWER(Upgrades!$U$21,M239),1))+(IF(L239=0,0,(Upgrades!$J$20+L239*Upgrades!$K$20)*POWER(Upgrades!$L$20,L239)))*(IF(Upgrades!$T$13="Open Cluster",POWER(Upgrades!$U$13,E239),1)*IF(Upgrades!$T$14="Open Cluster",POWER(Upgrades!$U$14,F239),1)*IF(Upgrades!$T$15="Open Cluster",POWER(Upgrades!$U$15,G239),1)*IF(Upgrades!$T$16="Open Cluster",POWER(Upgrades!$U$16,H239),1)*IF(Upgrades!$T$17="Open Cluster",POWER(Upgrades!$U$17,I239),1)*IF(Upgrades!$T$18="Open Cluster",POWER(Upgrades!$U$18,J239),1)*IF(Upgrades!$T$19="Open Cluster",POWER(Upgrades!$U$19,K239),1)*IF(Upgrades!$T$21="Open Cluster",POWER(Upgrades!$U$21,M239),1))+(IF(M239=0,0,(Upgrades!$J$21+M239*Upgrades!$K$21)*POWER(Upgrades!$L$21,M239)))*(IF(Upgrades!$T$13="Moving Group",POWER(Upgrades!$U$13,E239),1)*IF(Upgrades!$T$14="Moving Group",POWER(Upgrades!$U$14,F239),1)*IF(Upgrades!$T$15="Moving Group",POWER(Upgrades!$U$15,G239),1)*IF(Upgrades!$T$16="Moving Group",POWER(Upgrades!$U$16,H239),1)*IF(Upgrades!$T$17="Moving Group",POWER(Upgrades!$U$17,I239),1)*IF(Upgrades!$T$18="Moving Group",POWER(Upgrades!$U$18,J239),1)*IF(Upgrades!$T$19="Moving Group",POWER(Upgrades!$U$19,K239),1)*IF(Upgrades!$T$20="Moving Group",POWER(Upgrades!$U$20,L239),1)))*POWER(Upgrades!$Q$13,E239)*POWER(Upgrades!$Q$14,F239)*POWER(Upgrades!$Q$15,G239)*POWER(Upgrades!$Q$16,H239)*POWER(Upgrades!$Q$17,I239)*POWER(Upgrades!$Q$18,J239)*POWER(Upgrades!$Q$19,K239)*POWER(Upgrades!$Q$20,L239)*POWER(Upgrades!$Q$21,M239)*$G$6+$D$6</f>
        <v/>
      </c>
      <c r="P239" s="28">
        <f>((IF(E239=0,0,(Upgrades!$G$13+E239*Upgrades!$H$13)*POWER(Upgrades!$I$13,E239)))*(IF(Upgrades!$T$14="Stellar Kinematics",POWER(Upgrades!$U$14,F239),1)*IF(Upgrades!$T$15="Stellar Kinematics",POWER(Upgrades!$U$15,G239),1)*IF(Upgrades!$T$16="Stellar Kinematics",POWER(Upgrades!$U$16,H239),1)*IF(Upgrades!$T$17="Stellar Kinematics",POWER(Upgrades!$U$17,I239),1)*IF(Upgrades!$T$18="Stellar Kinematics",POWER(Upgrades!$U$18,J239),1)*IF(Upgrades!$T$19="Stellar Kinematics",POWER(Upgrades!$U$19,K239),1)*IF(Upgrades!$T$20="Stellar Kinematics",POWER(Upgrades!$U$20,L239),1)*IF(Upgrades!$T$21="Stellar Kinematics",POWER(Upgrades!$U$21,M239),1))+(IF(F239=0,0,(Upgrades!$G$14+F239*Upgrades!$H$14)*POWER(Upgrades!$I$14,F239)))*(IF(Upgrades!$T$13="Local Bubble",POWER(Upgrades!$U$13,E239),1)*IF(Upgrades!$T$15="Local Bubble",POWER(Upgrades!$U$15,G239),1)*IF(Upgrades!$T$16="Local Bubble",POWER(Upgrades!$U$16,H239),1)*IF(Upgrades!$T$17="Local Bubble",POWER(Upgrades!$U$17,I239),1)*IF(Upgrades!$T$18="Local Bubble",POWER(Upgrades!$U$18,J239),1)*IF(Upgrades!$T$19="Local Bubble",POWER(Upgrades!$U$19,K239),1)*IF(Upgrades!$T$20="Local Bubble",POWER(Upgrades!$U$20,L239),1)*IF(Upgrades!$T$21="Local Bubble",POWER(Upgrades!$U$21,M239),1))+(IF(G239=0,0,(Upgrades!$G$15+G239*Upgrades!$H$15)*POWER(Upgrades!$I$15,G239)))*(IF(Upgrades!$T$13="Microlensing",POWER(Upgrades!$U$13,E239),1)*IF(Upgrades!$T$14="Microlensing",POWER(Upgrades!$U$14,F239),1)*IF(Upgrades!$T$16="Microlensing",POWER(Upgrades!$U$16,H239),1)*IF(Upgrades!$T$17="Microlensing",POWER(Upgrades!$U$17,I239),1)*IF(Upgrades!$T$18="Microlensing",POWER(Upgrades!$U$18,J239),1)*IF(Upgrades!$T$19="Microlensing",POWER(Upgrades!$U$19,K239),1)*IF(Upgrades!$T$20="Microlensing",POWER(Upgrades!$U$20,L239),1)*IF(Upgrades!$T$21="Microlensing",POWER(Upgrades!$U$21,M239),1))+(IF(H239=0,0,(Upgrades!$G$16+H239*Upgrades!$H$16)*POWER(Upgrades!$I$16,H239)))*(IF(Upgrades!$T$13="Roche Lobe Overflow",POWER(Upgrades!$U$13,E239),1)*IF(Upgrades!$T$14="Roche Lobe Overflow",POWER(Upgrades!$U$14,F239),1)*IF(Upgrades!$T$15="Roche Lobe Overflow",POWER(Upgrades!$U$15,G239),1)*IF(Upgrades!$T$17="Roche Lobe Overflow",POWER(Upgrades!$U$17,I239),1)*IF(Upgrades!$T$18="Roche Lobe Overflow",POWER(Upgrades!$U$18,J239),1)*IF(Upgrades!$T$19="Roche Lobe Overflow",POWER(Upgrades!$U$19,K239),1)*IF(Upgrades!$T$20="Roche Lobe Overflow",POWER(Upgrades!$U$20,L239),1)*IF(Upgrades!$T$21="Roche Lobe Overflow",POWER(Upgrades!$U$21,M239),1))+(IF(I239=0,0,(Upgrades!$G$17+I239*Upgrades!$H$17)*POWER(Upgrades!$I$17,I239)))*(IF(Upgrades!$T$13="Brown Dwarf",POWER(Upgrades!$U$13,E239),1)*IF(Upgrades!$T$14="Brown Dwarf",POWER(Upgrades!$U$14,F239),1)*IF(Upgrades!$T$15="Brown Dwarf",POWER(Upgrades!$U$15,G239),1)*IF(Upgrades!$T$16="Brown Dwarf",POWER(Upgrades!$U$16,H239),1)*IF(Upgrades!$T$18="Brown Dwarf",POWER(Upgrades!$U$18,J239),1)*IF(Upgrades!$T$19="Brown Dwarf",POWER(Upgrades!$U$19,K239),1)*IF(Upgrades!$T$20="Brown Dwarf",POWER(Upgrades!$U$20,L239),1)*IF(Upgrades!$T$21="Brown Dwarf",POWER(Upgrades!$U$21,M239),1))+(IF(J239=0,0,(Upgrades!$G$18+J239*Upgrades!$H$18)*POWER(Upgrades!$I$18,J239)))*(IF(Upgrades!$T$13="Binary Partner",POWER(Upgrades!$U$13,E239),1)*IF(Upgrades!$T$14="Binary Partner",POWER(Upgrades!$U$14,F239),1)*IF(Upgrades!$T$15="Binary Partner",POWER(Upgrades!$U$15,G239),1)*IF(Upgrades!$T$16="Binary Partner",POWER(Upgrades!$U$16,H239),1)*IF(Upgrades!$T$17="Binary Partner",POWER(Upgrades!$U$17,I239),1)*IF(Upgrades!$T$19="Binary Partner",POWER(Upgrades!$U$19,K239),1)*IF(Upgrades!$T$20="Binary Partner",POWER(Upgrades!$U$20,L239),1)*IF(Upgrades!$T$21="Binary Partner",POWER(Upgrades!$U$21,M239),1))+(IF(K239=0,0,(Upgrades!$G$19+K239*Upgrades!$H$19)*POWER(Upgrades!$I$19,K239)))*(IF(Upgrades!$T$13="Peculiar Velocity",POWER(Upgrades!$U$13,E239),1)*IF(Upgrades!$T$14="Peculiar Velocity",POWER(Upgrades!$U$14,F239),1)*IF(Upgrades!$T$15="Peculiar Velocity",POWER(Upgrades!$U$15,G239),1)*IF(Upgrades!$T$16="Peculiar Velocity",POWER(Upgrades!$U$16,H239),1)*IF(Upgrades!$T$17="Peculiar Velocity",POWER(Upgrades!$U$17,I239),1)*IF(Upgrades!$T$18="Peculiar Velocity",POWER(Upgrades!$U$18,J239),1)*IF(Upgrades!$T$20="Peculiar Velocity",POWER(Upgrades!$U$20,L239),1)*IF(Upgrades!$T$21="Peculiar Velocity",POWER(Upgrades!$U$21,M239),1))+(IF(L239=0,0,(Upgrades!$G$20+L239*Upgrades!$H$20)*POWER(Upgrades!$I$20,L239)))*(IF(Upgrades!$T$13="Open Cluster",POWER(Upgrades!$U$13,E239),1)*IF(Upgrades!$T$14="Open Cluster",POWER(Upgrades!$U$14,F239),1)*IF(Upgrades!$T$15="Open Cluster",POWER(Upgrades!$U$15,G239),1)*IF(Upgrades!$T$16="Open Cluster",POWER(Upgrades!$U$16,H239),1)*IF(Upgrades!$T$17="Open Cluster",POWER(Upgrades!$U$17,I239),1)*IF(Upgrades!$T$18="Open Cluster",POWER(Upgrades!$U$18,J239),1)*IF(Upgrades!$T$19="Open Cluster",POWER(Upgrades!$U$19,K239),1)*IF(Upgrades!$T$21="Open Cluster",POWER(Upgrades!$U$21,M239),1))+(IF(M239=0,0,(Upgrades!$G$21+M239*Upgrades!$H$21)*POWER(Upgrades!$I$21,M239)))*(IF(Upgrades!$T$13="Moving Group",POWER(Upgrades!$U$13,E239),1)*IF(Upgrades!$T$14="Moving Group",POWER(Upgrades!$U$14,F239),1)*IF(Upgrades!$T$15="Moving Group",POWER(Upgrades!$U$15,G239),1)*IF(Upgrades!$T$16="Moving Group",POWER(Upgrades!$U$16,H239),1)*IF(Upgrades!$T$17="Moving Group",POWER(Upgrades!$U$17,I239),1)*IF(Upgrades!$T$18="Moving Group",POWER(Upgrades!$U$18,J239),1)*IF(Upgrades!$T$19="Moving Group",POWER(Upgrades!$U$19,K239),1)*IF(Upgrades!$T$20="Moving Group",POWER(Upgrades!$U$20,L239),1)))*POWER(Upgrades!$P$13,E239)*POWER(Upgrades!$P$14,F239)*POWER(Upgrades!$P$15,G239)*POWER(Upgrades!$P$16,H239)*POWER(Upgrades!$P$17,I239)*POWER(Upgrades!$P$18,J239)*POWER(Upgrades!$P$19,K239)*POWER(Upgrades!$P$20,L239)*POWER(Upgrades!$P$21,M239)*$F$6+$C$6</f>
        <v/>
      </c>
      <c r="Q239" s="28">
        <f>((IF(E239=0,0,(Upgrades!$M$13+E239*Upgrades!$N$13)*POWER(Upgrades!$O$13,E239)))*(IF(Upgrades!$T$14="Stellar Kinematics",POWER(Upgrades!$U$14,F239),1)*IF(Upgrades!$T$15="Stellar Kinematics",POWER(Upgrades!$U$15,G239),1)*IF(Upgrades!$T$16="Stellar Kinematics",POWER(Upgrades!$U$16,H239),1)*IF(Upgrades!$T$17="Stellar Kinematics",POWER(Upgrades!$U$17,I239),1)*IF(Upgrades!$T$18="Stellar Kinematics",POWER(Upgrades!$U$18,J239),1)*IF(Upgrades!$T$19="Stellar Kinematics",POWER(Upgrades!$U$19,K239),1)*IF(Upgrades!$T$20="Stellar Kinematics",POWER(Upgrades!$U$20,L239),1)*IF(Upgrades!$T$21="Stellar Kinematics",POWER(Upgrades!$U$21,M239),1))+(IF(F239=0,0,(Upgrades!$M$14+F239*Upgrades!$N$14)*POWER(Upgrades!$O$14,F239)))*(IF(Upgrades!$T$13="Local Bubble",POWER(Upgrades!$U$13,E239),1)*IF(Upgrades!$T$15="Local Bubble",POWER(Upgrades!$U$15,G239),1)*IF(Upgrades!$T$16="Local Bubble",POWER(Upgrades!$U$16,H239),1)*IF(Upgrades!$T$17="Local Bubble",POWER(Upgrades!$U$17,I239),1)*IF(Upgrades!$T$18="Local Bubble",POWER(Upgrades!$U$18,J239),1)*IF(Upgrades!$T$19="Local Bubble",POWER(Upgrades!$U$19,K239),1)*IF(Upgrades!$T$20="Local Bubble",POWER(Upgrades!$U$20,L239),1)*IF(Upgrades!$T$21="Local Bubble",POWER(Upgrades!$U$21,M239),1))+(IF(G239=0,0,(Upgrades!$M$15+G239*Upgrades!$N$15)*POWER(Upgrades!$O$15,G239)))*(IF(Upgrades!$T$13="Microlensing",POWER(Upgrades!$U$13,E239),1)*IF(Upgrades!$T$14="Microlensing",POWER(Upgrades!$U$14,F239),1)*IF(Upgrades!$T$16="Microlensing",POWER(Upgrades!$U$16,H239),1)*IF(Upgrades!$T$17="Microlensing",POWER(Upgrades!$U$17,I239),1)*IF(Upgrades!$T$18="Microlensing",POWER(Upgrades!$U$18,J239),1)*IF(Upgrades!$T$19="Microlensing",POWER(Upgrades!$U$19,K239),1)*IF(Upgrades!$T$20="Microlensing",POWER(Upgrades!$U$20,L239),1)*IF(Upgrades!$T$21="Microlensing",POWER(Upgrades!$U$21,M239),1))+(IF(H239=0,0,(Upgrades!$M$16+H239*Upgrades!$N$16)*POWER(Upgrades!$O$16,H239)))*(IF(Upgrades!$T$13="Roche Lobe Overflow",POWER(Upgrades!$U$13,E239),1)*IF(Upgrades!$T$14="Roche Lobe Overflow",POWER(Upgrades!$U$14,F239),1)*IF(Upgrades!$T$15="Roche Lobe Overflow",POWER(Upgrades!$U$15,G239),1)*IF(Upgrades!$T$17="Roche Lobe Overflow",POWER(Upgrades!$U$17,I239),1)*IF(Upgrades!$T$18="Roche Lobe Overflow",POWER(Upgrades!$U$18,J239),1)*IF(Upgrades!$T$19="Roche Lobe Overflow",POWER(Upgrades!$U$19,K239),1)*IF(Upgrades!$T$20="Roche Lobe Overflow",POWER(Upgrades!$U$20,L239),1)*IF(Upgrades!$T$21="Roche Lobe Overflow",POWER(Upgrades!$U$21,M239),1))+(IF(I239=0,0,(Upgrades!$M$17+I239*Upgrades!$N$17)*POWER(Upgrades!$O$17,I239)))*(IF(Upgrades!$T$13="Brown Dwarf",POWER(Upgrades!$U$13,E239),1)*IF(Upgrades!$T$14="Brown Dwarf",POWER(Upgrades!$U$14,F239),1)*IF(Upgrades!$T$15="Brown Dwarf",POWER(Upgrades!$U$15,G239),1)*IF(Upgrades!$T$16="Brown Dwarf",POWER(Upgrades!$U$16,H239),1)*IF(Upgrades!$T$18="Brown Dwarf",POWER(Upgrades!$U$18,J239),1)*IF(Upgrades!$T$19="Brown Dwarf",POWER(Upgrades!$U$19,K239),1)*IF(Upgrades!$T$20="Brown Dwarf",POWER(Upgrades!$U$20,L239),1)*IF(Upgrades!$T$21="Brown Dwarf",POWER(Upgrades!$U$21,M239),1))+(IF(J239=0,0,(Upgrades!$M$18+J239*Upgrades!$N$18)*POWER(Upgrades!$O$18,J239)))*(IF(Upgrades!$T$13="Binary Partner",POWER(Upgrades!$U$13,E239),1)*IF(Upgrades!$T$14="Binary Partner",POWER(Upgrades!$U$14,F239),1)*IF(Upgrades!$T$15="Binary Partner",POWER(Upgrades!$U$15,G239),1)*IF(Upgrades!$T$16="Binary Partner",POWER(Upgrades!$U$16,H239),1)*IF(Upgrades!$T$17="Binary Partner",POWER(Upgrades!$U$17,I239),1)*IF(Upgrades!$T$19="Binary Partner",POWER(Upgrades!$U$19,K239),1)*IF(Upgrades!$T$20="Binary Partner",POWER(Upgrades!$U$20,L239),1)*IF(Upgrades!$T$21="Binary Partner",POWER(Upgrades!$U$21,M239),1))+(IF(K239=0,0,(Upgrades!$M$19+K239*Upgrades!$N$19)*POWER(Upgrades!$O$19,K239)))*(IF(Upgrades!$T$13="Peculiar Velocity",POWER(Upgrades!$U$13,E239),1)*IF(Upgrades!$T$14="Peculiar Velocity",POWER(Upgrades!$U$14,F239),1)*IF(Upgrades!$T$15="Peculiar Velocity",POWER(Upgrades!$U$15,G239),1)*IF(Upgrades!$T$16="Peculiar Velocity",POWER(Upgrades!$U$16,H239),1)*IF(Upgrades!$T$17="Peculiar Velocity",POWER(Upgrades!$U$17,I239),1)*IF(Upgrades!$T$18="Peculiar Velocity",POWER(Upgrades!$U$18,J239),1)*IF(Upgrades!$T$20="Peculiar Velocity",POWER(Upgrades!$U$20,L239),1)*IF(Upgrades!$T$21="Peculiar Velocity",POWER(Upgrades!$U$21,M239),1))+(IF(L239=0,0,(Upgrades!$M$20+L239*Upgrades!$N$20)*POWER(Upgrades!$O$20,L239)))*(IF(Upgrades!$T$13="Open Cluster",POWER(Upgrades!$U$13,E239),1)*IF(Upgrades!$T$14="Open Cluster",POWER(Upgrades!$U$14,F239),1)*IF(Upgrades!$T$15="Open Cluster",POWER(Upgrades!$U$15,G239),1)*IF(Upgrades!$T$16="Open Cluster",POWER(Upgrades!$U$16,H239),1)*IF(Upgrades!$T$17="Open Cluster",POWER(Upgrades!$U$17,I239),1)*IF(Upgrades!$T$18="Open Cluster",POWER(Upgrades!$U$18,J239),1)*IF(Upgrades!$T$19="Open Cluster",POWER(Upgrades!$U$19,K239),1)*IF(Upgrades!$T$21="Open Cluster",POWER(Upgrades!$U$21,M239),1))+(IF(M239=0,0,(Upgrades!$M$21+M239*Upgrades!$N$21)*POWER(Upgrades!$O$21,M239)))*(IF(Upgrades!$T$13="Moving Group",POWER(Upgrades!$U$13,E239),1)*IF(Upgrades!$T$14="Moving Group",POWER(Upgrades!$U$14,F239),1)*IF(Upgrades!$T$15="Moving Group",POWER(Upgrades!$U$15,G239),1)*IF(Upgrades!$T$16="Moving Group",POWER(Upgrades!$U$16,H239),1)*IF(Upgrades!$T$17="Moving Group",POWER(Upgrades!$U$17,I239),1)*IF(Upgrades!$T$18="Moving Group",POWER(Upgrades!$U$18,J239),1)*IF(Upgrades!$T$19="Moving Group",POWER(Upgrades!$U$19,K239),1)*IF(Upgrades!$T$20="Moving Group",POWER(Upgrades!$U$20,L239),1)))*POWER(Upgrades!$R$13,E239)*POWER(Upgrades!$R$14,F239)*POWER(Upgrades!$R$15,G239)*POWER(Upgrades!$R$16,H239)*POWER(Upgrades!$R$17,I239)*POWER(Upgrades!$R$18,J239)*POWER(Upgrades!$R$19,K239)*POWER(Upgrades!$R$20,L239)*POWER(Upgrades!$R$21,M239)*$H$6+$E$6</f>
        <v/>
      </c>
      <c r="R239" s="27">
        <f>IF(N239=1,0,O239*Parameters!$B$10/60*Parameters!$B$11*10)</f>
        <v/>
      </c>
      <c r="S239" s="27">
        <f>IF(N239=1,0,Q239*O239*10)</f>
        <v/>
      </c>
      <c r="T239" s="27">
        <f>IF(N239=1,0,R239+S239+P239*10)</f>
        <v/>
      </c>
      <c r="U239" s="33">
        <f>BE239</f>
        <v/>
      </c>
      <c r="V239" s="22">
        <f>IF(U239="",0,IF(U239="transition",0,IF(U239="SK",AK239,IF(U239="LB",AL239,IF(U239="ML",AM239,IF(U239="RLO",AN239,IF(U239="BD",AO239,IF(U239="BiP",AP239,IF(U239="PV",AQ239,IF(U239="OC",AR239,IF(U239="MG",AS239,0))))))))))</f>
        <v/>
      </c>
      <c r="W239" s="27">
        <f>IF(U239="BiP",Upgrades!$F$18,IF(U239="PV",Upgrades!$F$19,IF(U239="OC",Upgrades!$F$20,IF(U239="MG",Upgrades!$F$21,IF(U239="transition",-Parameters!$B$18*Parameters!$B$19,0)))))</f>
        <v/>
      </c>
      <c r="X239" s="22">
        <f>C239+T239-V239</f>
        <v/>
      </c>
      <c r="Y239" s="30">
        <f>O239*Parameters!$B$10/60*Parameters!$B$11+Q239*O239+P239</f>
        <v/>
      </c>
      <c r="Z239" s="34">
        <f>IF(U239="transition","→ Tier 3 (Galactic Arm)",IF(U239="MG","Moving Group — pocket drifts together",IF(U239="OC","Open Cluster acquired",IF(U239="PV","Peculiar Velocity — passive multiplier active",IF(U239="BiP","Binary Partner — pair bond formed",IF(AND(AU239=1,N239=0,AT239&lt;&gt;1),"Cohesion ready (waiting on completionists)","")))))) </f>
        <v/>
      </c>
      <c r="AA239" s="27">
        <f>(IF(E239=0,0,(Upgrades!$G$13+E239*Upgrades!$H$13)*POWER(Upgrades!$I$13,E239)))*(IF(Upgrades!$T$14="Stellar Kinematics",POWER(Upgrades!$U$14,F239),1)*IF(Upgrades!$T$15="Stellar Kinematics",POWER(Upgrades!$U$15,G239),1)*IF(Upgrades!$T$16="Stellar Kinematics",POWER(Upgrades!$U$16,H239),1)*IF(Upgrades!$T$17="Stellar Kinematics",POWER(Upgrades!$U$17,I239),1)*IF(Upgrades!$T$18="Stellar Kinematics",POWER(Upgrades!$U$18,J239),1)*IF(Upgrades!$T$19="Stellar Kinematics",POWER(Upgrades!$U$19,K239),1)*IF(Upgrades!$T$20="Stellar Kinematics",POWER(Upgrades!$U$20,L239),1)*IF(Upgrades!$T$21="Stellar Kinematics",POWER(Upgrades!$U$21,M239),1))*POWER(Upgrades!$P$13,E239)*POWER(Upgrades!$P$14,F239)*POWER(Upgrades!$P$15,G239)*POWER(Upgrades!$P$16,H239)*POWER(Upgrades!$P$17,I239)*POWER(Upgrades!$P$18,J239)*POWER(Upgrades!$P$19,K239)*POWER(Upgrades!$P$20,L239)*POWER(Upgrades!$P$21,M239)*$F$6*60</f>
        <v/>
      </c>
      <c r="AB239" s="27">
        <f>(IF(F239=0,0,(Upgrades!$G$14+F239*Upgrades!$H$14)*POWER(Upgrades!$I$14,F239)))*(IF(Upgrades!$T$13="Local Bubble",POWER(Upgrades!$U$13,E239),1)*IF(Upgrades!$T$15="Local Bubble",POWER(Upgrades!$U$15,G239),1)*IF(Upgrades!$T$16="Local Bubble",POWER(Upgrades!$U$16,H239),1)*IF(Upgrades!$T$17="Local Bubble",POWER(Upgrades!$U$17,I239),1)*IF(Upgrades!$T$18="Local Bubble",POWER(Upgrades!$U$18,J239),1)*IF(Upgrades!$T$19="Local Bubble",POWER(Upgrades!$U$19,K239),1)*IF(Upgrades!$T$20="Local Bubble",POWER(Upgrades!$U$20,L239),1)*IF(Upgrades!$T$21="Local Bubble",POWER(Upgrades!$U$21,M239),1))*POWER(Upgrades!$P$13,E239)*POWER(Upgrades!$P$14,F239)*POWER(Upgrades!$P$15,G239)*POWER(Upgrades!$P$16,H239)*POWER(Upgrades!$P$17,I239)*POWER(Upgrades!$P$18,J239)*POWER(Upgrades!$P$19,K239)*POWER(Upgrades!$P$20,L239)*POWER(Upgrades!$P$21,M239)*$F$6*60</f>
        <v/>
      </c>
      <c r="AC239" s="27">
        <f>(IF(G239=0,0,(Upgrades!$J$15+G239*Upgrades!$K$15)*POWER(Upgrades!$L$15,G239)))*(IF(Upgrades!$T$13="Microlensing",POWER(Upgrades!$U$13,E239),1)*IF(Upgrades!$T$14="Microlensing",POWER(Upgrades!$U$14,F239),1)*IF(Upgrades!$T$16="Microlensing",POWER(Upgrades!$U$16,H239),1)*IF(Upgrades!$T$17="Microlensing",POWER(Upgrades!$U$17,I239),1)*IF(Upgrades!$T$18="Microlensing",POWER(Upgrades!$U$18,J239),1)*IF(Upgrades!$T$19="Microlensing",POWER(Upgrades!$U$19,K239),1)*IF(Upgrades!$T$20="Microlensing",POWER(Upgrades!$U$20,L239),1)*IF(Upgrades!$T$21="Microlensing",POWER(Upgrades!$U$21,M239),1))*POWER(Upgrades!$Q$13,E239)*POWER(Upgrades!$Q$14,F239)*POWER(Upgrades!$Q$15,G239)*POWER(Upgrades!$Q$16,H239)*POWER(Upgrades!$Q$17,I239)*POWER(Upgrades!$Q$18,J239)*POWER(Upgrades!$Q$19,K239)*POWER(Upgrades!$Q$20,L239)*POWER(Upgrades!$Q$21,M239)*$G$6*(Parameters!$B$10*Parameters!$B$11+Q239*60)</f>
        <v/>
      </c>
      <c r="AD239" s="27">
        <f>(IF(H239=0,0,(Upgrades!$M$16+H239*Upgrades!$N$16)*POWER(Upgrades!$O$16,H239)))*(IF(Upgrades!$T$13="Roche Lobe Overflow",POWER(Upgrades!$U$13,E239),1)*IF(Upgrades!$T$14="Roche Lobe Overflow",POWER(Upgrades!$U$14,F239),1)*IF(Upgrades!$T$15="Roche Lobe Overflow",POWER(Upgrades!$U$15,G239),1)*IF(Upgrades!$T$17="Roche Lobe Overflow",POWER(Upgrades!$U$17,I239),1)*IF(Upgrades!$T$18="Roche Lobe Overflow",POWER(Upgrades!$U$18,J239),1)*IF(Upgrades!$T$19="Roche Lobe Overflow",POWER(Upgrades!$U$19,K239),1)*IF(Upgrades!$T$20="Roche Lobe Overflow",POWER(Upgrades!$U$20,L239),1)*IF(Upgrades!$T$21="Roche Lobe Overflow",POWER(Upgrades!$U$21,M239),1))*POWER(Upgrades!$R$13,E239)*POWER(Upgrades!$R$14,F239)*POWER(Upgrades!$R$15,G239)*POWER(Upgrades!$R$16,H239)*POWER(Upgrades!$R$17,I239)*POWER(Upgrades!$R$18,J239)*POWER(Upgrades!$R$19,K239)*POWER(Upgrades!$R$20,L239)*POWER(Upgrades!$R$21,M239)*$H$6*O239*60</f>
        <v/>
      </c>
      <c r="AE239" s="27">
        <f>(IF(I239=0,0,(Upgrades!$G$17+I239*Upgrades!$H$17)*POWER(Upgrades!$I$17,I239)))*(IF(Upgrades!$T$13="Brown Dwarf",POWER(Upgrades!$U$13,E239),1)*IF(Upgrades!$T$14="Brown Dwarf",POWER(Upgrades!$U$14,F239),1)*IF(Upgrades!$T$15="Brown Dwarf",POWER(Upgrades!$U$15,G239),1)*IF(Upgrades!$T$16="Brown Dwarf",POWER(Upgrades!$U$16,H239),1)*IF(Upgrades!$T$18="Brown Dwarf",POWER(Upgrades!$U$18,J239),1)*IF(Upgrades!$T$19="Brown Dwarf",POWER(Upgrades!$U$19,K239),1)*IF(Upgrades!$T$20="Brown Dwarf",POWER(Upgrades!$U$20,L239),1)*IF(Upgrades!$T$21="Brown Dwarf",POWER(Upgrades!$U$21,M239),1))*POWER(Upgrades!$P$13,E239)*POWER(Upgrades!$P$14,F239)*POWER(Upgrades!$P$15,G239)*POWER(Upgrades!$P$16,H239)*POWER(Upgrades!$P$17,I239)*POWER(Upgrades!$P$18,J239)*POWER(Upgrades!$P$19,K239)*POWER(Upgrades!$P$20,L239)*POWER(Upgrades!$P$21,M239)*$F$6*60</f>
        <v/>
      </c>
      <c r="AF239" s="27" t="n">
        <v>0</v>
      </c>
      <c r="AG239" s="27" t="n">
        <v>0</v>
      </c>
      <c r="AH239" s="27" t="n">
        <v>0</v>
      </c>
      <c r="AI239" s="27">
        <f>(IF(M239=0,0,(Upgrades!$G$21+M239*Upgrades!$H$21)*POWER(Upgrades!$I$21,M239)))*(IF(Upgrades!$T$13="Moving Group",POWER(Upgrades!$U$13,E239),1)*IF(Upgrades!$T$14="Moving Group",POWER(Upgrades!$U$14,F239),1)*IF(Upgrades!$T$15="Moving Group",POWER(Upgrades!$U$15,G239),1)*IF(Upgrades!$T$16="Moving Group",POWER(Upgrades!$U$16,H239),1)*IF(Upgrades!$T$17="Moving Group",POWER(Upgrades!$U$17,I239),1)*IF(Upgrades!$T$18="Moving Group",POWER(Upgrades!$U$18,J239),1)*IF(Upgrades!$T$19="Moving Group",POWER(Upgrades!$U$19,K239),1)*IF(Upgrades!$T$20="Moving Group",POWER(Upgrades!$U$20,L239),1))*POWER(Upgrades!$P$13,E239)*POWER(Upgrades!$P$14,F239)*POWER(Upgrades!$P$15,G239)*POWER(Upgrades!$P$16,H239)*POWER(Upgrades!$P$17,I239)*POWER(Upgrades!$P$18,J239)*POWER(Upgrades!$P$19,K239)*POWER(Upgrades!$P$20,L239)*POWER(Upgrades!$P$21,M239)*$F$6*60</f>
        <v/>
      </c>
      <c r="AJ239" s="27">
        <f>$C$6*60</f>
        <v/>
      </c>
      <c r="AK239" s="22">
        <f>IF(E239&gt;=Upgrades!$E$13,"",Upgrades!$C$13*POWER(Upgrades!$D$13,E239))</f>
        <v/>
      </c>
      <c r="AL239" s="22">
        <f>IF(F239&gt;=Upgrades!$E$14,"",Upgrades!$C$14*POWER(Upgrades!$D$14,F239))</f>
        <v/>
      </c>
      <c r="AM239" s="22">
        <f>IF(G239&gt;=Upgrades!$E$15,"",Upgrades!$C$15*POWER(Upgrades!$D$15,G239))</f>
        <v/>
      </c>
      <c r="AN239" s="22">
        <f>IF(H239&gt;=Upgrades!$E$16,"",Upgrades!$C$16*POWER(Upgrades!$D$16,H239))</f>
        <v/>
      </c>
      <c r="AO239" s="22">
        <f>IF(I239&gt;=Upgrades!$E$17,"",Upgrades!$C$17*POWER(Upgrades!$D$17,I239))</f>
        <v/>
      </c>
      <c r="AP239" s="22">
        <f>IF(J239&gt;=Upgrades!$E$18,"",Upgrades!$C$18*POWER(Upgrades!$D$18,J239))</f>
        <v/>
      </c>
      <c r="AQ239" s="22">
        <f>IF(K239&gt;=Upgrades!$E$19,"",Upgrades!$C$19*POWER(Upgrades!$D$19,K239))</f>
        <v/>
      </c>
      <c r="AR239" s="22">
        <f>IF(L239&gt;=Upgrades!$E$20,"",Upgrades!$C$20*POWER(Upgrades!$D$20,L239))</f>
        <v/>
      </c>
      <c r="AS239" s="22">
        <f>IF(M239&gt;=Upgrades!$E$21,"",Upgrades!$C$21*POWER(Upgrades!$D$21,M239))</f>
        <v/>
      </c>
      <c r="AT239" s="26">
        <f>IF(AND(D239&gt;=Parameters!$B$18*Parameters!$B$19,(I239&gt;=Upgrades!$E$17)*(M239&gt;=Upgrades!$E$21)=1,N239=0),1,"")</f>
        <v/>
      </c>
      <c r="AU239" s="26">
        <f>IF(AND(D239&gt;=Parameters!$B$18*Parameters!$B$19,N239=0),1,"")</f>
        <v/>
      </c>
      <c r="AV239" s="22">
        <f>MIN(IF(ISNUMBER(AP239),AP239,9E15),IF(ISNUMBER(AQ239),AQ239,9E15),IF(ISNUMBER(AR239),AR239,9E15),IF(ISNUMBER(AS239),AS239,9E15))</f>
        <v/>
      </c>
      <c r="AW239" s="22">
        <f>MIN(IF(ISNUMBER(AK239),AK239,9E15),IF(ISNUMBER(AL239),AL239,9E15),IF(ISNUMBER(AM239),AM239,9E15),IF(ISNUMBER(AN239),AN239,9E15),IF(ISNUMBER(AO239),AO239,9E15))</f>
        <v/>
      </c>
      <c r="AX239" s="29">
        <f>IF(BD239&gt;Parameters!$B$21*(MAX(IF(AND(NOT(AND(AU239=1,AT239&lt;&gt;1)),ISNUMBER(AK239),AK239&lt;=(C239+T239)),AY239,0),IF(AND(NOT(AND(AU239=1,AT239&lt;&gt;1)),ISNUMBER(AL239),AL239&lt;=(C239+T239)),AZ239,0),IF(AND(NOT(AND(AU239=1,AT239&lt;&gt;1)),ISNUMBER(AM239),AM239&lt;=(C239+T239)),BA239,0),IF(AND(NOT(AND(AU239=1,AT239&lt;&gt;1)),ISNUMBER(AN239),AN239&lt;=(C239+T239)),BB239,0),IF(AND(ISNUMBER(AO239),AO239&lt;=(C239+T239)),BC239,0))),TRUE,FALSE)</f>
        <v/>
      </c>
      <c r="AY239" s="32">
        <f>IFERROR(Upgrades!$H$13*(POWER(Upgrades!$P$13,E239)*POWER(Upgrades!$P$14,F239)*POWER(Upgrades!$P$15,G239)*POWER(Upgrades!$P$16,H239)*POWER(Upgrades!$P$17,I239)*POWER(Upgrades!$P$18,J239)*POWER(Upgrades!$P$19,K239)*POWER(Upgrades!$P$20,L239)*POWER(Upgrades!$P$21,M239))*(IF(Upgrades!$T$14="Stellar Kinematics",POWER(Upgrades!$U$14,F239),1)*IF(Upgrades!$T$15="Stellar Kinematics",POWER(Upgrades!$U$15,G239),1)*IF(Upgrades!$T$16="Stellar Kinematics",POWER(Upgrades!$U$16,H239),1)*IF(Upgrades!$T$17="Stellar Kinematics",POWER(Upgrades!$U$17,I239),1)*IF(Upgrades!$T$18="Stellar Kinematics",POWER(Upgrades!$U$18,J239),1)*IF(Upgrades!$T$19="Stellar Kinematics",POWER(Upgrades!$U$19,K239),1)*IF(Upgrades!$T$20="Stellar Kinematics",POWER(Upgrades!$U$20,L239),1)*IF(Upgrades!$T$21="Stellar Kinematics",POWER(Upgrades!$U$21,M239),1))*$F$6/AK239,0)</f>
        <v/>
      </c>
      <c r="AZ239" s="32">
        <f>IFERROR(Upgrades!$H$14*(POWER(Upgrades!$P$13,E239)*POWER(Upgrades!$P$14,F239)*POWER(Upgrades!$P$15,G239)*POWER(Upgrades!$P$16,H239)*POWER(Upgrades!$P$17,I239)*POWER(Upgrades!$P$18,J239)*POWER(Upgrades!$P$19,K239)*POWER(Upgrades!$P$20,L239)*POWER(Upgrades!$P$21,M239))*(IF(Upgrades!$T$13="Local Bubble",POWER(Upgrades!$U$13,E239),1)*IF(Upgrades!$T$15="Local Bubble",POWER(Upgrades!$U$15,G239),1)*IF(Upgrades!$T$16="Local Bubble",POWER(Upgrades!$U$16,H239),1)*IF(Upgrades!$T$17="Local Bubble",POWER(Upgrades!$U$17,I239),1)*IF(Upgrades!$T$18="Local Bubble",POWER(Upgrades!$U$18,J239),1)*IF(Upgrades!$T$19="Local Bubble",POWER(Upgrades!$U$19,K239),1)*IF(Upgrades!$T$20="Local Bubble",POWER(Upgrades!$U$20,L239),1)*IF(Upgrades!$T$21="Local Bubble",POWER(Upgrades!$U$21,M239),1))*$F$6/AL239,0)</f>
        <v/>
      </c>
      <c r="BA239" s="32">
        <f>IFERROR(Upgrades!$K$15*(POWER(Upgrades!$Q$13,E239)*POWER(Upgrades!$Q$14,F239)*POWER(Upgrades!$Q$15,G239)*POWER(Upgrades!$Q$16,H239)*POWER(Upgrades!$Q$17,I239)*POWER(Upgrades!$Q$18,J239)*POWER(Upgrades!$Q$19,K239)*POWER(Upgrades!$Q$20,L239)*POWER(Upgrades!$Q$21,M239))*(IF(Upgrades!$T$13="Microlensing",POWER(Upgrades!$U$13,E239),1)*IF(Upgrades!$T$14="Microlensing",POWER(Upgrades!$U$14,F239),1)*IF(Upgrades!$T$16="Microlensing",POWER(Upgrades!$U$16,H239),1)*IF(Upgrades!$T$17="Microlensing",POWER(Upgrades!$U$17,I239),1)*IF(Upgrades!$T$18="Microlensing",POWER(Upgrades!$U$18,J239),1)*IF(Upgrades!$T$19="Microlensing",POWER(Upgrades!$U$19,K239),1)*IF(Upgrades!$T$20="Microlensing",POWER(Upgrades!$U$20,L239),1)*IF(Upgrades!$T$21="Microlensing",POWER(Upgrades!$U$21,M239),1))*$G$6*(Parameters!$B$10/60*Parameters!$B$11+Q239)/AM239,0)</f>
        <v/>
      </c>
      <c r="BB239" s="32">
        <f>IFERROR((Upgrades!$N$16*(POWER(Upgrades!$R$13,E239)*POWER(Upgrades!$R$14,F239)*POWER(Upgrades!$R$15,G239)*POWER(Upgrades!$R$16,H239)*POWER(Upgrades!$R$17,I239)*POWER(Upgrades!$R$18,J239)*POWER(Upgrades!$R$19,K239)*POWER(Upgrades!$R$20,L239)*POWER(Upgrades!$R$21,M239))*(IF(Upgrades!$T$13="Roche Lobe Overflow",POWER(Upgrades!$U$13,E239),1)*IF(Upgrades!$T$14="Roche Lobe Overflow",POWER(Upgrades!$U$14,F239),1)*IF(Upgrades!$T$15="Roche Lobe Overflow",POWER(Upgrades!$U$15,G239),1)*IF(Upgrades!$T$17="Roche Lobe Overflow",POWER(Upgrades!$U$17,I239),1)*IF(Upgrades!$T$18="Roche Lobe Overflow",POWER(Upgrades!$U$18,J239),1)*IF(Upgrades!$T$19="Roche Lobe Overflow",POWER(Upgrades!$U$19,K239),1)*IF(Upgrades!$T$20="Roche Lobe Overflow",POWER(Upgrades!$U$20,L239),1)*IF(Upgrades!$T$21="Roche Lobe Overflow",POWER(Upgrades!$U$21,M239),1))*$H$6*O239+((IF(F239=0,0,(Upgrades!$G$14+F239*Upgrades!$H$14)*POWER(Upgrades!$I$14,F239)))*(IF(Upgrades!$T$13="Local Bubble",POWER(Upgrades!$U$13,E239),1)*IF(Upgrades!$T$15="Local Bubble",POWER(Upgrades!$U$15,G239),1)*IF(Upgrades!$T$16="Local Bubble",POWER(Upgrades!$U$16,H239),1)*IF(Upgrades!$T$17="Local Bubble",POWER(Upgrades!$U$17,I239),1)*IF(Upgrades!$T$18="Local Bubble",POWER(Upgrades!$U$18,J239),1)*IF(Upgrades!$T$19="Local Bubble",POWER(Upgrades!$U$19,K239),1)*IF(Upgrades!$T$20="Local Bubble",POWER(Upgrades!$U$20,L239),1)*IF(Upgrades!$T$21="Local Bubble",POWER(Upgrades!$U$21,M239),1))*POWER(Upgrades!$P$13,E239)*POWER(Upgrades!$P$14,F239)*POWER(Upgrades!$P$15,G239)*POWER(Upgrades!$P$16,H239)*POWER(Upgrades!$P$17,I239)*POWER(Upgrades!$P$18,J239)*POWER(Upgrades!$P$19,K239)*POWER(Upgrades!$P$20,L239)*POWER(Upgrades!$P$21,M239)*$F$6)*0.05)/AN239,0)</f>
        <v/>
      </c>
      <c r="BC239" s="32">
        <f>IFERROR((Upgrades!$H$17*(POWER(Upgrades!$P$13,E239)*POWER(Upgrades!$P$14,F239)*POWER(Upgrades!$P$15,G239)*POWER(Upgrades!$P$16,H239)*POWER(Upgrades!$P$17,I239)*POWER(Upgrades!$P$18,J239)*POWER(Upgrades!$P$19,K239)*POWER(Upgrades!$P$20,L239)*POWER(Upgrades!$P$21,M239))*(IF(Upgrades!$T$13="Brown Dwarf",POWER(Upgrades!$U$13,E239),1)*IF(Upgrades!$T$14="Brown Dwarf",POWER(Upgrades!$U$14,F239),1)*IF(Upgrades!$T$15="Brown Dwarf",POWER(Upgrades!$U$15,G239),1)*IF(Upgrades!$T$16="Brown Dwarf",POWER(Upgrades!$U$16,H239),1)*IF(Upgrades!$T$18="Brown Dwarf",POWER(Upgrades!$U$18,J239),1)*IF(Upgrades!$T$19="Brown Dwarf",POWER(Upgrades!$U$19,K239),1)*IF(Upgrades!$T$20="Brown Dwarf",POWER(Upgrades!$U$20,L239),1)*IF(Upgrades!$T$21="Brown Dwarf",POWER(Upgrades!$U$21,M239),1))*$F$6+(((IF(H239=0,0,(Upgrades!$M$16+H239*Upgrades!$N$16)*POWER(Upgrades!$O$16,H239)))*(IF(Upgrades!$T$13="Roche Lobe Overflow",POWER(Upgrades!$U$13,E239),1)*IF(Upgrades!$T$14="Roche Lobe Overflow",POWER(Upgrades!$U$14,F239),1)*IF(Upgrades!$T$15="Roche Lobe Overflow",POWER(Upgrades!$U$15,G239),1)*IF(Upgrades!$T$17="Roche Lobe Overflow",POWER(Upgrades!$U$17,I239),1)*IF(Upgrades!$T$18="Roche Lobe Overflow",POWER(Upgrades!$U$18,J239),1)*IF(Upgrades!$T$19="Roche Lobe Overflow",POWER(Upgrades!$U$19,K239),1)*IF(Upgrades!$T$20="Roche Lobe Overflow",POWER(Upgrades!$U$20,L239),1)*IF(Upgrades!$T$21="Roche Lobe Overflow",POWER(Upgrades!$U$21,M239),1))*POWER(Upgrades!$R$13,E239)*POWER(Upgrades!$R$14,F239)*POWER(Upgrades!$R$15,G239)*POWER(Upgrades!$R$16,H239)*POWER(Upgrades!$R$17,I239)*POWER(Upgrades!$R$18,J239)*POWER(Upgrades!$R$19,K239)*POWER(Upgrades!$R$20,L239)*POWER(Upgrades!$R$21,M239)*$H$6)*O239)*0.10)/AO239,0)</f>
        <v/>
      </c>
      <c r="BD239" s="32">
        <f>MAX(IF(J239&gt;0,0,IFERROR(0.5*((IF(G239=0,0,(Upgrades!$J$15+G239*Upgrades!$K$15)*POWER(Upgrades!$L$15,G239)))*(IF(Upgrades!$T$13="Microlensing",POWER(Upgrades!$U$13,E239),1)*IF(Upgrades!$T$14="Microlensing",POWER(Upgrades!$U$14,F239),1)*IF(Upgrades!$T$16="Microlensing",POWER(Upgrades!$U$16,H239),1)*IF(Upgrades!$T$17="Microlensing",POWER(Upgrades!$U$17,I239),1)*IF(Upgrades!$T$18="Microlensing",POWER(Upgrades!$U$18,J239),1)*IF(Upgrades!$T$19="Microlensing",POWER(Upgrades!$U$19,K239),1)*IF(Upgrades!$T$20="Microlensing",POWER(Upgrades!$U$20,L239),1)*IF(Upgrades!$T$21="Microlensing",POWER(Upgrades!$U$21,M239),1))*(POWER(Upgrades!$Q$13,E239)*POWER(Upgrades!$Q$14,F239)*POWER(Upgrades!$Q$15,G239)*POWER(Upgrades!$Q$16,H239)*POWER(Upgrades!$Q$17,I239)*POWER(Upgrades!$Q$18,J239)*POWER(Upgrades!$Q$19,K239)*POWER(Upgrades!$Q$20,L239)*POWER(Upgrades!$Q$21,M239))*$G$6*(Parameters!$B$10/60*Parameters!$B$11+Q239))/Upgrades!$C$18,0)),IF(K239&gt;0,0,IFERROR(0.30*P239/Upgrades!$C$19,0)),IF(L239&gt;0,0,IFERROR(0.0001/Upgrades!$C$20,0)),IF(M239&gt;0,0,IFERROR((6.0*(POWER(Upgrades!$P$13,E239)*POWER(Upgrades!$P$14,F239)*POWER(Upgrades!$P$15,G239)*POWER(Upgrades!$P$16,H239)*POWER(Upgrades!$P$17,I239)*POWER(Upgrades!$P$18,J239)*POWER(Upgrades!$P$19,K239)*POWER(Upgrades!$P$20,L239)*POWER(Upgrades!$P$21,M239))*$F$6+0.20*O239*(Parameters!$B$10/60*Parameters!$B$11+Q239))/Upgrades!$C$21,0)),IF(AND(ISNUMBER(AK239),AK239&gt;(C239+T239)),AY239,0),IF(AND(ISNUMBER(AL239),AL239&gt;(C239+T239)),AZ239,0),IF(AND(ISNUMBER(AM239),AM239&gt;(C239+T239)),BA239,0),IF(AND(ISNUMBER(AN239),AN239&gt;(C239+T239)),BB239,0),IF(AND(ISNUMBER(AO239),AO239&gt;(C239+T239)),BC239,0))</f>
        <v/>
      </c>
      <c r="BE239" s="29">
        <f>IF(AT239=1,"transition",IF(MIN(IF(AND(J239=0,ISNUMBER(AP239),AP239&lt;=(C239+T239)),AP239,9E15),IF(AND(K239=0,ISNUMBER(AQ239),AQ239&lt;=(C239+T239)),AQ239,9E15),IF(AND(L239=0,ISNUMBER(AR239),AR239&lt;=(C239+T239)),AR239,9E15),IF(AND(M239=0,ISNUMBER(AS239),AS239&lt;=(C239+T239)),AS239,9E15))&lt;9E15,IF(AND(AND(J239=0,ISNUMBER(AP239),AP239&lt;=(C239+T239)),AP239=MIN(IF(AND(J239=0,ISNUMBER(AP239),AP239&lt;=(C239+T239)),AP239,9E15),IF(AND(K239=0,ISNUMBER(AQ239),AQ239&lt;=(C239+T239)),AQ239,9E15),IF(AND(L239=0,ISNUMBER(AR239),AR239&lt;=(C239+T239)),AR239,9E15),IF(AND(M239=0,ISNUMBER(AS239),AS239&lt;=(C239+T239)),AS239,9E15))),"BiP",IF(AND(AND(K239=0,ISNUMBER(AQ239),AQ239&lt;=(C239+T239)),AQ239=MIN(IF(AND(J239=0,ISNUMBER(AP239),AP239&lt;=(C239+T239)),AP239,9E15),IF(AND(K239=0,ISNUMBER(AQ239),AQ239&lt;=(C239+T239)),AQ239,9E15),IF(AND(L239=0,ISNUMBER(AR239),AR239&lt;=(C239+T239)),AR239,9E15),IF(AND(M239=0,ISNUMBER(AS239),AS239&lt;=(C239+T239)),AS239,9E15))),"PV",IF(AND(AND(L239=0,ISNUMBER(AR239),AR239&lt;=(C239+T239)),AR239=MIN(IF(AND(J239=0,ISNUMBER(AP239),AP239&lt;=(C239+T239)),AP239,9E15),IF(AND(K239=0,ISNUMBER(AQ239),AQ239&lt;=(C239+T239)),AQ239,9E15),IF(AND(L239=0,ISNUMBER(AR239),AR239&lt;=(C239+T239)),AR239,9E15),IF(AND(M239=0,ISNUMBER(AS239),AS239&lt;=(C239+T239)),AS239,9E15))),"OC","MG"))),IF(AX239=TRUE,"",IF(MAX(IF(AND(NOT(AND(AU239=1,AT239&lt;&gt;1)),ISNUMBER(AK239),AK239&lt;=(C239+T239)),AY239,0),IF(AND(NOT(AND(AU239=1,AT239&lt;&gt;1)),ISNUMBER(AL239),AL239&lt;=(C239+T239)),AZ239,0),IF(AND(NOT(AND(AU239=1,AT239&lt;&gt;1)),ISNUMBER(AM239),AM239&lt;=(C239+T239)),BA239,0),IF(AND(NOT(AND(AU239=1,AT239&lt;&gt;1)),ISNUMBER(AN239),AN239&lt;=(C239+T239)),BB239,0),IF(AND(ISNUMBER(AO239),AO239&lt;=(C239+T239)),BC239,0))&lt;=0,"",IF(AND(IF(AND(NOT(AND(AU239=1,AT239&lt;&gt;1)),ISNUMBER(AK239),AK239&lt;=(C239+T239)),AY239,0)&gt;0,IF(AND(NOT(AND(AU239=1,AT239&lt;&gt;1)),ISNUMBER(AK239),AK239&lt;=(C239+T239)),AY239,0)=MAX(IF(AND(NOT(AND(AU239=1,AT239&lt;&gt;1)),ISNUMBER(AK239),AK239&lt;=(C239+T239)),AY239,0),IF(AND(NOT(AND(AU239=1,AT239&lt;&gt;1)),ISNUMBER(AL239),AL239&lt;=(C239+T239)),AZ239,0),IF(AND(NOT(AND(AU239=1,AT239&lt;&gt;1)),ISNUMBER(AM239),AM239&lt;=(C239+T239)),BA239,0),IF(AND(NOT(AND(AU239=1,AT239&lt;&gt;1)),ISNUMBER(AN239),AN239&lt;=(C239+T239)),BB239,0),IF(AND(ISNUMBER(AO239),AO239&lt;=(C239+T239)),BC239,0))),"SK",IF(AND(IF(AND(NOT(AND(AU239=1,AT239&lt;&gt;1)),ISNUMBER(AL239),AL239&lt;=(C239+T239)),AZ239,0)&gt;0,IF(AND(NOT(AND(AU239=1,AT239&lt;&gt;1)),ISNUMBER(AL239),AL239&lt;=(C239+T239)),AZ239,0)=MAX(IF(AND(NOT(AND(AU239=1,AT239&lt;&gt;1)),ISNUMBER(AK239),AK239&lt;=(C239+T239)),AY239,0),IF(AND(NOT(AND(AU239=1,AT239&lt;&gt;1)),ISNUMBER(AL239),AL239&lt;=(C239+T239)),AZ239,0),IF(AND(NOT(AND(AU239=1,AT239&lt;&gt;1)),ISNUMBER(AM239),AM239&lt;=(C239+T239)),BA239,0),IF(AND(NOT(AND(AU239=1,AT239&lt;&gt;1)),ISNUMBER(AN239),AN239&lt;=(C239+T239)),BB239,0),IF(AND(ISNUMBER(AO239),AO239&lt;=(C239+T239)),BC239,0))),"LB",IF(AND(IF(AND(NOT(AND(AU239=1,AT239&lt;&gt;1)),ISNUMBER(AM239),AM239&lt;=(C239+T239)),BA239,0)&gt;0,IF(AND(NOT(AND(AU239=1,AT239&lt;&gt;1)),ISNUMBER(AM239),AM239&lt;=(C239+T239)),BA239,0)=MAX(IF(AND(NOT(AND(AU239=1,AT239&lt;&gt;1)),ISNUMBER(AK239),AK239&lt;=(C239+T239)),AY239,0),IF(AND(NOT(AND(AU239=1,AT239&lt;&gt;1)),ISNUMBER(AL239),AL239&lt;=(C239+T239)),AZ239,0),IF(AND(NOT(AND(AU239=1,AT239&lt;&gt;1)),ISNUMBER(AM239),AM239&lt;=(C239+T239)),BA239,0),IF(AND(NOT(AND(AU239=1,AT239&lt;&gt;1)),ISNUMBER(AN239),AN239&lt;=(C239+T239)),BB239,0),IF(AND(ISNUMBER(AO239),AO239&lt;=(C239+T239)),BC239,0))),"ML",IF(AND(IF(AND(NOT(AND(AU239=1,AT239&lt;&gt;1)),ISNUMBER(AN239),AN239&lt;=(C239+T239)),BB239,0)&gt;0,IF(AND(NOT(AND(AU239=1,AT239&lt;&gt;1)),ISNUMBER(AN239),AN239&lt;=(C239+T239)),BB239,0)=MAX(IF(AND(NOT(AND(AU239=1,AT239&lt;&gt;1)),ISNUMBER(AK239),AK239&lt;=(C239+T239)),AY239,0),IF(AND(NOT(AND(AU239=1,AT239&lt;&gt;1)),ISNUMBER(AL239),AL239&lt;=(C239+T239)),AZ239,0),IF(AND(NOT(AND(AU239=1,AT239&lt;&gt;1)),ISNUMBER(AM239),AM239&lt;=(C239+T239)),BA239,0),IF(AND(NOT(AND(AU239=1,AT239&lt;&gt;1)),ISNUMBER(AN239),AN239&lt;=(C239+T239)),BB239,0),IF(AND(ISNUMBER(AO239),AO239&lt;=(C239+T239)),BC239,0))),"RLO","BD"))))))))</f>
        <v/>
      </c>
    </row>
    <row r="240">
      <c r="A240" s="26" t="n">
        <v>229</v>
      </c>
      <c r="B240" s="27">
        <f>A240*10/60</f>
        <v/>
      </c>
      <c r="C240" s="22">
        <f>X239</f>
        <v/>
      </c>
      <c r="D240" s="27">
        <f>D239+W239</f>
        <v/>
      </c>
      <c r="E240" s="26">
        <f>E239+IF(U239="SK",1,0)</f>
        <v/>
      </c>
      <c r="F240" s="26">
        <f>F239+IF(U239="LB",1,0)</f>
        <v/>
      </c>
      <c r="G240" s="26">
        <f>G239+IF(U239="ML",1,0)</f>
        <v/>
      </c>
      <c r="H240" s="26">
        <f>H239+IF(U239="RLO",1,0)</f>
        <v/>
      </c>
      <c r="I240" s="26">
        <f>I239+IF(U239="BD",1,0)</f>
        <v/>
      </c>
      <c r="J240" s="26">
        <f>MAX(J239,IF(U239="BiP",1,0))</f>
        <v/>
      </c>
      <c r="K240" s="26">
        <f>MAX(K239,IF(U239="PV",1,0))</f>
        <v/>
      </c>
      <c r="L240" s="26">
        <f>MAX(L239,IF(U239="OC",1,0))</f>
        <v/>
      </c>
      <c r="M240" s="26">
        <f>MAX(M239,IF(U239="MG",1,0))</f>
        <v/>
      </c>
      <c r="N240" s="26">
        <f>MAX(N239,IF(U239="transition",1,0))</f>
        <v/>
      </c>
      <c r="O240" s="28">
        <f>(Parameters!$B$9+(IF(E240=0,0,(Upgrades!$J$13+E240*Upgrades!$K$13)*POWER(Upgrades!$L$13,E240)))*(IF(Upgrades!$T$14="Stellar Kinematics",POWER(Upgrades!$U$14,F240),1)*IF(Upgrades!$T$15="Stellar Kinematics",POWER(Upgrades!$U$15,G240),1)*IF(Upgrades!$T$16="Stellar Kinematics",POWER(Upgrades!$U$16,H240),1)*IF(Upgrades!$T$17="Stellar Kinematics",POWER(Upgrades!$U$17,I240),1)*IF(Upgrades!$T$18="Stellar Kinematics",POWER(Upgrades!$U$18,J240),1)*IF(Upgrades!$T$19="Stellar Kinematics",POWER(Upgrades!$U$19,K240),1)*IF(Upgrades!$T$20="Stellar Kinematics",POWER(Upgrades!$U$20,L240),1)*IF(Upgrades!$T$21="Stellar Kinematics",POWER(Upgrades!$U$21,M240),1))+(IF(F240=0,0,(Upgrades!$J$14+F240*Upgrades!$K$14)*POWER(Upgrades!$L$14,F240)))*(IF(Upgrades!$T$13="Local Bubble",POWER(Upgrades!$U$13,E240),1)*IF(Upgrades!$T$15="Local Bubble",POWER(Upgrades!$U$15,G240),1)*IF(Upgrades!$T$16="Local Bubble",POWER(Upgrades!$U$16,H240),1)*IF(Upgrades!$T$17="Local Bubble",POWER(Upgrades!$U$17,I240),1)*IF(Upgrades!$T$18="Local Bubble",POWER(Upgrades!$U$18,J240),1)*IF(Upgrades!$T$19="Local Bubble",POWER(Upgrades!$U$19,K240),1)*IF(Upgrades!$T$20="Local Bubble",POWER(Upgrades!$U$20,L240),1)*IF(Upgrades!$T$21="Local Bubble",POWER(Upgrades!$U$21,M240),1))+(IF(G240=0,0,(Upgrades!$J$15+G240*Upgrades!$K$15)*POWER(Upgrades!$L$15,G240)))*(IF(Upgrades!$T$13="Microlensing",POWER(Upgrades!$U$13,E240),1)*IF(Upgrades!$T$14="Microlensing",POWER(Upgrades!$U$14,F240),1)*IF(Upgrades!$T$16="Microlensing",POWER(Upgrades!$U$16,H240),1)*IF(Upgrades!$T$17="Microlensing",POWER(Upgrades!$U$17,I240),1)*IF(Upgrades!$T$18="Microlensing",POWER(Upgrades!$U$18,J240),1)*IF(Upgrades!$T$19="Microlensing",POWER(Upgrades!$U$19,K240),1)*IF(Upgrades!$T$20="Microlensing",POWER(Upgrades!$U$20,L240),1)*IF(Upgrades!$T$21="Microlensing",POWER(Upgrades!$U$21,M240),1))+(IF(H240=0,0,(Upgrades!$J$16+H240*Upgrades!$K$16)*POWER(Upgrades!$L$16,H240)))*(IF(Upgrades!$T$13="Roche Lobe Overflow",POWER(Upgrades!$U$13,E240),1)*IF(Upgrades!$T$14="Roche Lobe Overflow",POWER(Upgrades!$U$14,F240),1)*IF(Upgrades!$T$15="Roche Lobe Overflow",POWER(Upgrades!$U$15,G240),1)*IF(Upgrades!$T$17="Roche Lobe Overflow",POWER(Upgrades!$U$17,I240),1)*IF(Upgrades!$T$18="Roche Lobe Overflow",POWER(Upgrades!$U$18,J240),1)*IF(Upgrades!$T$19="Roche Lobe Overflow",POWER(Upgrades!$U$19,K240),1)*IF(Upgrades!$T$20="Roche Lobe Overflow",POWER(Upgrades!$U$20,L240),1)*IF(Upgrades!$T$21="Roche Lobe Overflow",POWER(Upgrades!$U$21,M240),1))+(IF(I240=0,0,(Upgrades!$J$17+I240*Upgrades!$K$17)*POWER(Upgrades!$L$17,I240)))*(IF(Upgrades!$T$13="Brown Dwarf",POWER(Upgrades!$U$13,E240),1)*IF(Upgrades!$T$14="Brown Dwarf",POWER(Upgrades!$U$14,F240),1)*IF(Upgrades!$T$15="Brown Dwarf",POWER(Upgrades!$U$15,G240),1)*IF(Upgrades!$T$16="Brown Dwarf",POWER(Upgrades!$U$16,H240),1)*IF(Upgrades!$T$18="Brown Dwarf",POWER(Upgrades!$U$18,J240),1)*IF(Upgrades!$T$19="Brown Dwarf",POWER(Upgrades!$U$19,K240),1)*IF(Upgrades!$T$20="Brown Dwarf",POWER(Upgrades!$U$20,L240),1)*IF(Upgrades!$T$21="Brown Dwarf",POWER(Upgrades!$U$21,M240),1))+(IF(J240=0,0,(Upgrades!$J$18+J240*Upgrades!$K$18)*POWER(Upgrades!$L$18,J240)))*(IF(Upgrades!$T$13="Binary Partner",POWER(Upgrades!$U$13,E240),1)*IF(Upgrades!$T$14="Binary Partner",POWER(Upgrades!$U$14,F240),1)*IF(Upgrades!$T$15="Binary Partner",POWER(Upgrades!$U$15,G240),1)*IF(Upgrades!$T$16="Binary Partner",POWER(Upgrades!$U$16,H240),1)*IF(Upgrades!$T$17="Binary Partner",POWER(Upgrades!$U$17,I240),1)*IF(Upgrades!$T$19="Binary Partner",POWER(Upgrades!$U$19,K240),1)*IF(Upgrades!$T$20="Binary Partner",POWER(Upgrades!$U$20,L240),1)*IF(Upgrades!$T$21="Binary Partner",POWER(Upgrades!$U$21,M240),1))+(IF(K240=0,0,(Upgrades!$J$19+K240*Upgrades!$K$19)*POWER(Upgrades!$L$19,K240)))*(IF(Upgrades!$T$13="Peculiar Velocity",POWER(Upgrades!$U$13,E240),1)*IF(Upgrades!$T$14="Peculiar Velocity",POWER(Upgrades!$U$14,F240),1)*IF(Upgrades!$T$15="Peculiar Velocity",POWER(Upgrades!$U$15,G240),1)*IF(Upgrades!$T$16="Peculiar Velocity",POWER(Upgrades!$U$16,H240),1)*IF(Upgrades!$T$17="Peculiar Velocity",POWER(Upgrades!$U$17,I240),1)*IF(Upgrades!$T$18="Peculiar Velocity",POWER(Upgrades!$U$18,J240),1)*IF(Upgrades!$T$20="Peculiar Velocity",POWER(Upgrades!$U$20,L240),1)*IF(Upgrades!$T$21="Peculiar Velocity",POWER(Upgrades!$U$21,M240),1))+(IF(L240=0,0,(Upgrades!$J$20+L240*Upgrades!$K$20)*POWER(Upgrades!$L$20,L240)))*(IF(Upgrades!$T$13="Open Cluster",POWER(Upgrades!$U$13,E240),1)*IF(Upgrades!$T$14="Open Cluster",POWER(Upgrades!$U$14,F240),1)*IF(Upgrades!$T$15="Open Cluster",POWER(Upgrades!$U$15,G240),1)*IF(Upgrades!$T$16="Open Cluster",POWER(Upgrades!$U$16,H240),1)*IF(Upgrades!$T$17="Open Cluster",POWER(Upgrades!$U$17,I240),1)*IF(Upgrades!$T$18="Open Cluster",POWER(Upgrades!$U$18,J240),1)*IF(Upgrades!$T$19="Open Cluster",POWER(Upgrades!$U$19,K240),1)*IF(Upgrades!$T$21="Open Cluster",POWER(Upgrades!$U$21,M240),1))+(IF(M240=0,0,(Upgrades!$J$21+M240*Upgrades!$K$21)*POWER(Upgrades!$L$21,M240)))*(IF(Upgrades!$T$13="Moving Group",POWER(Upgrades!$U$13,E240),1)*IF(Upgrades!$T$14="Moving Group",POWER(Upgrades!$U$14,F240),1)*IF(Upgrades!$T$15="Moving Group",POWER(Upgrades!$U$15,G240),1)*IF(Upgrades!$T$16="Moving Group",POWER(Upgrades!$U$16,H240),1)*IF(Upgrades!$T$17="Moving Group",POWER(Upgrades!$U$17,I240),1)*IF(Upgrades!$T$18="Moving Group",POWER(Upgrades!$U$18,J240),1)*IF(Upgrades!$T$19="Moving Group",POWER(Upgrades!$U$19,K240),1)*IF(Upgrades!$T$20="Moving Group",POWER(Upgrades!$U$20,L240),1)))*POWER(Upgrades!$Q$13,E240)*POWER(Upgrades!$Q$14,F240)*POWER(Upgrades!$Q$15,G240)*POWER(Upgrades!$Q$16,H240)*POWER(Upgrades!$Q$17,I240)*POWER(Upgrades!$Q$18,J240)*POWER(Upgrades!$Q$19,K240)*POWER(Upgrades!$Q$20,L240)*POWER(Upgrades!$Q$21,M240)*$G$6+$D$6</f>
        <v/>
      </c>
      <c r="P240" s="28">
        <f>((IF(E240=0,0,(Upgrades!$G$13+E240*Upgrades!$H$13)*POWER(Upgrades!$I$13,E240)))*(IF(Upgrades!$T$14="Stellar Kinematics",POWER(Upgrades!$U$14,F240),1)*IF(Upgrades!$T$15="Stellar Kinematics",POWER(Upgrades!$U$15,G240),1)*IF(Upgrades!$T$16="Stellar Kinematics",POWER(Upgrades!$U$16,H240),1)*IF(Upgrades!$T$17="Stellar Kinematics",POWER(Upgrades!$U$17,I240),1)*IF(Upgrades!$T$18="Stellar Kinematics",POWER(Upgrades!$U$18,J240),1)*IF(Upgrades!$T$19="Stellar Kinematics",POWER(Upgrades!$U$19,K240),1)*IF(Upgrades!$T$20="Stellar Kinematics",POWER(Upgrades!$U$20,L240),1)*IF(Upgrades!$T$21="Stellar Kinematics",POWER(Upgrades!$U$21,M240),1))+(IF(F240=0,0,(Upgrades!$G$14+F240*Upgrades!$H$14)*POWER(Upgrades!$I$14,F240)))*(IF(Upgrades!$T$13="Local Bubble",POWER(Upgrades!$U$13,E240),1)*IF(Upgrades!$T$15="Local Bubble",POWER(Upgrades!$U$15,G240),1)*IF(Upgrades!$T$16="Local Bubble",POWER(Upgrades!$U$16,H240),1)*IF(Upgrades!$T$17="Local Bubble",POWER(Upgrades!$U$17,I240),1)*IF(Upgrades!$T$18="Local Bubble",POWER(Upgrades!$U$18,J240),1)*IF(Upgrades!$T$19="Local Bubble",POWER(Upgrades!$U$19,K240),1)*IF(Upgrades!$T$20="Local Bubble",POWER(Upgrades!$U$20,L240),1)*IF(Upgrades!$T$21="Local Bubble",POWER(Upgrades!$U$21,M240),1))+(IF(G240=0,0,(Upgrades!$G$15+G240*Upgrades!$H$15)*POWER(Upgrades!$I$15,G240)))*(IF(Upgrades!$T$13="Microlensing",POWER(Upgrades!$U$13,E240),1)*IF(Upgrades!$T$14="Microlensing",POWER(Upgrades!$U$14,F240),1)*IF(Upgrades!$T$16="Microlensing",POWER(Upgrades!$U$16,H240),1)*IF(Upgrades!$T$17="Microlensing",POWER(Upgrades!$U$17,I240),1)*IF(Upgrades!$T$18="Microlensing",POWER(Upgrades!$U$18,J240),1)*IF(Upgrades!$T$19="Microlensing",POWER(Upgrades!$U$19,K240),1)*IF(Upgrades!$T$20="Microlensing",POWER(Upgrades!$U$20,L240),1)*IF(Upgrades!$T$21="Microlensing",POWER(Upgrades!$U$21,M240),1))+(IF(H240=0,0,(Upgrades!$G$16+H240*Upgrades!$H$16)*POWER(Upgrades!$I$16,H240)))*(IF(Upgrades!$T$13="Roche Lobe Overflow",POWER(Upgrades!$U$13,E240),1)*IF(Upgrades!$T$14="Roche Lobe Overflow",POWER(Upgrades!$U$14,F240),1)*IF(Upgrades!$T$15="Roche Lobe Overflow",POWER(Upgrades!$U$15,G240),1)*IF(Upgrades!$T$17="Roche Lobe Overflow",POWER(Upgrades!$U$17,I240),1)*IF(Upgrades!$T$18="Roche Lobe Overflow",POWER(Upgrades!$U$18,J240),1)*IF(Upgrades!$T$19="Roche Lobe Overflow",POWER(Upgrades!$U$19,K240),1)*IF(Upgrades!$T$20="Roche Lobe Overflow",POWER(Upgrades!$U$20,L240),1)*IF(Upgrades!$T$21="Roche Lobe Overflow",POWER(Upgrades!$U$21,M240),1))+(IF(I240=0,0,(Upgrades!$G$17+I240*Upgrades!$H$17)*POWER(Upgrades!$I$17,I240)))*(IF(Upgrades!$T$13="Brown Dwarf",POWER(Upgrades!$U$13,E240),1)*IF(Upgrades!$T$14="Brown Dwarf",POWER(Upgrades!$U$14,F240),1)*IF(Upgrades!$T$15="Brown Dwarf",POWER(Upgrades!$U$15,G240),1)*IF(Upgrades!$T$16="Brown Dwarf",POWER(Upgrades!$U$16,H240),1)*IF(Upgrades!$T$18="Brown Dwarf",POWER(Upgrades!$U$18,J240),1)*IF(Upgrades!$T$19="Brown Dwarf",POWER(Upgrades!$U$19,K240),1)*IF(Upgrades!$T$20="Brown Dwarf",POWER(Upgrades!$U$20,L240),1)*IF(Upgrades!$T$21="Brown Dwarf",POWER(Upgrades!$U$21,M240),1))+(IF(J240=0,0,(Upgrades!$G$18+J240*Upgrades!$H$18)*POWER(Upgrades!$I$18,J240)))*(IF(Upgrades!$T$13="Binary Partner",POWER(Upgrades!$U$13,E240),1)*IF(Upgrades!$T$14="Binary Partner",POWER(Upgrades!$U$14,F240),1)*IF(Upgrades!$T$15="Binary Partner",POWER(Upgrades!$U$15,G240),1)*IF(Upgrades!$T$16="Binary Partner",POWER(Upgrades!$U$16,H240),1)*IF(Upgrades!$T$17="Binary Partner",POWER(Upgrades!$U$17,I240),1)*IF(Upgrades!$T$19="Binary Partner",POWER(Upgrades!$U$19,K240),1)*IF(Upgrades!$T$20="Binary Partner",POWER(Upgrades!$U$20,L240),1)*IF(Upgrades!$T$21="Binary Partner",POWER(Upgrades!$U$21,M240),1))+(IF(K240=0,0,(Upgrades!$G$19+K240*Upgrades!$H$19)*POWER(Upgrades!$I$19,K240)))*(IF(Upgrades!$T$13="Peculiar Velocity",POWER(Upgrades!$U$13,E240),1)*IF(Upgrades!$T$14="Peculiar Velocity",POWER(Upgrades!$U$14,F240),1)*IF(Upgrades!$T$15="Peculiar Velocity",POWER(Upgrades!$U$15,G240),1)*IF(Upgrades!$T$16="Peculiar Velocity",POWER(Upgrades!$U$16,H240),1)*IF(Upgrades!$T$17="Peculiar Velocity",POWER(Upgrades!$U$17,I240),1)*IF(Upgrades!$T$18="Peculiar Velocity",POWER(Upgrades!$U$18,J240),1)*IF(Upgrades!$T$20="Peculiar Velocity",POWER(Upgrades!$U$20,L240),1)*IF(Upgrades!$T$21="Peculiar Velocity",POWER(Upgrades!$U$21,M240),1))+(IF(L240=0,0,(Upgrades!$G$20+L240*Upgrades!$H$20)*POWER(Upgrades!$I$20,L240)))*(IF(Upgrades!$T$13="Open Cluster",POWER(Upgrades!$U$13,E240),1)*IF(Upgrades!$T$14="Open Cluster",POWER(Upgrades!$U$14,F240),1)*IF(Upgrades!$T$15="Open Cluster",POWER(Upgrades!$U$15,G240),1)*IF(Upgrades!$T$16="Open Cluster",POWER(Upgrades!$U$16,H240),1)*IF(Upgrades!$T$17="Open Cluster",POWER(Upgrades!$U$17,I240),1)*IF(Upgrades!$T$18="Open Cluster",POWER(Upgrades!$U$18,J240),1)*IF(Upgrades!$T$19="Open Cluster",POWER(Upgrades!$U$19,K240),1)*IF(Upgrades!$T$21="Open Cluster",POWER(Upgrades!$U$21,M240),1))+(IF(M240=0,0,(Upgrades!$G$21+M240*Upgrades!$H$21)*POWER(Upgrades!$I$21,M240)))*(IF(Upgrades!$T$13="Moving Group",POWER(Upgrades!$U$13,E240),1)*IF(Upgrades!$T$14="Moving Group",POWER(Upgrades!$U$14,F240),1)*IF(Upgrades!$T$15="Moving Group",POWER(Upgrades!$U$15,G240),1)*IF(Upgrades!$T$16="Moving Group",POWER(Upgrades!$U$16,H240),1)*IF(Upgrades!$T$17="Moving Group",POWER(Upgrades!$U$17,I240),1)*IF(Upgrades!$T$18="Moving Group",POWER(Upgrades!$U$18,J240),1)*IF(Upgrades!$T$19="Moving Group",POWER(Upgrades!$U$19,K240),1)*IF(Upgrades!$T$20="Moving Group",POWER(Upgrades!$U$20,L240),1)))*POWER(Upgrades!$P$13,E240)*POWER(Upgrades!$P$14,F240)*POWER(Upgrades!$P$15,G240)*POWER(Upgrades!$P$16,H240)*POWER(Upgrades!$P$17,I240)*POWER(Upgrades!$P$18,J240)*POWER(Upgrades!$P$19,K240)*POWER(Upgrades!$P$20,L240)*POWER(Upgrades!$P$21,M240)*$F$6+$C$6</f>
        <v/>
      </c>
      <c r="Q240" s="28">
        <f>((IF(E240=0,0,(Upgrades!$M$13+E240*Upgrades!$N$13)*POWER(Upgrades!$O$13,E240)))*(IF(Upgrades!$T$14="Stellar Kinematics",POWER(Upgrades!$U$14,F240),1)*IF(Upgrades!$T$15="Stellar Kinematics",POWER(Upgrades!$U$15,G240),1)*IF(Upgrades!$T$16="Stellar Kinematics",POWER(Upgrades!$U$16,H240),1)*IF(Upgrades!$T$17="Stellar Kinematics",POWER(Upgrades!$U$17,I240),1)*IF(Upgrades!$T$18="Stellar Kinematics",POWER(Upgrades!$U$18,J240),1)*IF(Upgrades!$T$19="Stellar Kinematics",POWER(Upgrades!$U$19,K240),1)*IF(Upgrades!$T$20="Stellar Kinematics",POWER(Upgrades!$U$20,L240),1)*IF(Upgrades!$T$21="Stellar Kinematics",POWER(Upgrades!$U$21,M240),1))+(IF(F240=0,0,(Upgrades!$M$14+F240*Upgrades!$N$14)*POWER(Upgrades!$O$14,F240)))*(IF(Upgrades!$T$13="Local Bubble",POWER(Upgrades!$U$13,E240),1)*IF(Upgrades!$T$15="Local Bubble",POWER(Upgrades!$U$15,G240),1)*IF(Upgrades!$T$16="Local Bubble",POWER(Upgrades!$U$16,H240),1)*IF(Upgrades!$T$17="Local Bubble",POWER(Upgrades!$U$17,I240),1)*IF(Upgrades!$T$18="Local Bubble",POWER(Upgrades!$U$18,J240),1)*IF(Upgrades!$T$19="Local Bubble",POWER(Upgrades!$U$19,K240),1)*IF(Upgrades!$T$20="Local Bubble",POWER(Upgrades!$U$20,L240),1)*IF(Upgrades!$T$21="Local Bubble",POWER(Upgrades!$U$21,M240),1))+(IF(G240=0,0,(Upgrades!$M$15+G240*Upgrades!$N$15)*POWER(Upgrades!$O$15,G240)))*(IF(Upgrades!$T$13="Microlensing",POWER(Upgrades!$U$13,E240),1)*IF(Upgrades!$T$14="Microlensing",POWER(Upgrades!$U$14,F240),1)*IF(Upgrades!$T$16="Microlensing",POWER(Upgrades!$U$16,H240),1)*IF(Upgrades!$T$17="Microlensing",POWER(Upgrades!$U$17,I240),1)*IF(Upgrades!$T$18="Microlensing",POWER(Upgrades!$U$18,J240),1)*IF(Upgrades!$T$19="Microlensing",POWER(Upgrades!$U$19,K240),1)*IF(Upgrades!$T$20="Microlensing",POWER(Upgrades!$U$20,L240),1)*IF(Upgrades!$T$21="Microlensing",POWER(Upgrades!$U$21,M240),1))+(IF(H240=0,0,(Upgrades!$M$16+H240*Upgrades!$N$16)*POWER(Upgrades!$O$16,H240)))*(IF(Upgrades!$T$13="Roche Lobe Overflow",POWER(Upgrades!$U$13,E240),1)*IF(Upgrades!$T$14="Roche Lobe Overflow",POWER(Upgrades!$U$14,F240),1)*IF(Upgrades!$T$15="Roche Lobe Overflow",POWER(Upgrades!$U$15,G240),1)*IF(Upgrades!$T$17="Roche Lobe Overflow",POWER(Upgrades!$U$17,I240),1)*IF(Upgrades!$T$18="Roche Lobe Overflow",POWER(Upgrades!$U$18,J240),1)*IF(Upgrades!$T$19="Roche Lobe Overflow",POWER(Upgrades!$U$19,K240),1)*IF(Upgrades!$T$20="Roche Lobe Overflow",POWER(Upgrades!$U$20,L240),1)*IF(Upgrades!$T$21="Roche Lobe Overflow",POWER(Upgrades!$U$21,M240),1))+(IF(I240=0,0,(Upgrades!$M$17+I240*Upgrades!$N$17)*POWER(Upgrades!$O$17,I240)))*(IF(Upgrades!$T$13="Brown Dwarf",POWER(Upgrades!$U$13,E240),1)*IF(Upgrades!$T$14="Brown Dwarf",POWER(Upgrades!$U$14,F240),1)*IF(Upgrades!$T$15="Brown Dwarf",POWER(Upgrades!$U$15,G240),1)*IF(Upgrades!$T$16="Brown Dwarf",POWER(Upgrades!$U$16,H240),1)*IF(Upgrades!$T$18="Brown Dwarf",POWER(Upgrades!$U$18,J240),1)*IF(Upgrades!$T$19="Brown Dwarf",POWER(Upgrades!$U$19,K240),1)*IF(Upgrades!$T$20="Brown Dwarf",POWER(Upgrades!$U$20,L240),1)*IF(Upgrades!$T$21="Brown Dwarf",POWER(Upgrades!$U$21,M240),1))+(IF(J240=0,0,(Upgrades!$M$18+J240*Upgrades!$N$18)*POWER(Upgrades!$O$18,J240)))*(IF(Upgrades!$T$13="Binary Partner",POWER(Upgrades!$U$13,E240),1)*IF(Upgrades!$T$14="Binary Partner",POWER(Upgrades!$U$14,F240),1)*IF(Upgrades!$T$15="Binary Partner",POWER(Upgrades!$U$15,G240),1)*IF(Upgrades!$T$16="Binary Partner",POWER(Upgrades!$U$16,H240),1)*IF(Upgrades!$T$17="Binary Partner",POWER(Upgrades!$U$17,I240),1)*IF(Upgrades!$T$19="Binary Partner",POWER(Upgrades!$U$19,K240),1)*IF(Upgrades!$T$20="Binary Partner",POWER(Upgrades!$U$20,L240),1)*IF(Upgrades!$T$21="Binary Partner",POWER(Upgrades!$U$21,M240),1))+(IF(K240=0,0,(Upgrades!$M$19+K240*Upgrades!$N$19)*POWER(Upgrades!$O$19,K240)))*(IF(Upgrades!$T$13="Peculiar Velocity",POWER(Upgrades!$U$13,E240),1)*IF(Upgrades!$T$14="Peculiar Velocity",POWER(Upgrades!$U$14,F240),1)*IF(Upgrades!$T$15="Peculiar Velocity",POWER(Upgrades!$U$15,G240),1)*IF(Upgrades!$T$16="Peculiar Velocity",POWER(Upgrades!$U$16,H240),1)*IF(Upgrades!$T$17="Peculiar Velocity",POWER(Upgrades!$U$17,I240),1)*IF(Upgrades!$T$18="Peculiar Velocity",POWER(Upgrades!$U$18,J240),1)*IF(Upgrades!$T$20="Peculiar Velocity",POWER(Upgrades!$U$20,L240),1)*IF(Upgrades!$T$21="Peculiar Velocity",POWER(Upgrades!$U$21,M240),1))+(IF(L240=0,0,(Upgrades!$M$20+L240*Upgrades!$N$20)*POWER(Upgrades!$O$20,L240)))*(IF(Upgrades!$T$13="Open Cluster",POWER(Upgrades!$U$13,E240),1)*IF(Upgrades!$T$14="Open Cluster",POWER(Upgrades!$U$14,F240),1)*IF(Upgrades!$T$15="Open Cluster",POWER(Upgrades!$U$15,G240),1)*IF(Upgrades!$T$16="Open Cluster",POWER(Upgrades!$U$16,H240),1)*IF(Upgrades!$T$17="Open Cluster",POWER(Upgrades!$U$17,I240),1)*IF(Upgrades!$T$18="Open Cluster",POWER(Upgrades!$U$18,J240),1)*IF(Upgrades!$T$19="Open Cluster",POWER(Upgrades!$U$19,K240),1)*IF(Upgrades!$T$21="Open Cluster",POWER(Upgrades!$U$21,M240),1))+(IF(M240=0,0,(Upgrades!$M$21+M240*Upgrades!$N$21)*POWER(Upgrades!$O$21,M240)))*(IF(Upgrades!$T$13="Moving Group",POWER(Upgrades!$U$13,E240),1)*IF(Upgrades!$T$14="Moving Group",POWER(Upgrades!$U$14,F240),1)*IF(Upgrades!$T$15="Moving Group",POWER(Upgrades!$U$15,G240),1)*IF(Upgrades!$T$16="Moving Group",POWER(Upgrades!$U$16,H240),1)*IF(Upgrades!$T$17="Moving Group",POWER(Upgrades!$U$17,I240),1)*IF(Upgrades!$T$18="Moving Group",POWER(Upgrades!$U$18,J240),1)*IF(Upgrades!$T$19="Moving Group",POWER(Upgrades!$U$19,K240),1)*IF(Upgrades!$T$20="Moving Group",POWER(Upgrades!$U$20,L240),1)))*POWER(Upgrades!$R$13,E240)*POWER(Upgrades!$R$14,F240)*POWER(Upgrades!$R$15,G240)*POWER(Upgrades!$R$16,H240)*POWER(Upgrades!$R$17,I240)*POWER(Upgrades!$R$18,J240)*POWER(Upgrades!$R$19,K240)*POWER(Upgrades!$R$20,L240)*POWER(Upgrades!$R$21,M240)*$H$6+$E$6</f>
        <v/>
      </c>
      <c r="R240" s="27">
        <f>IF(N240=1,0,O240*Parameters!$B$10/60*Parameters!$B$11*10)</f>
        <v/>
      </c>
      <c r="S240" s="27">
        <f>IF(N240=1,0,Q240*O240*10)</f>
        <v/>
      </c>
      <c r="T240" s="27">
        <f>IF(N240=1,0,R240+S240+P240*10)</f>
        <v/>
      </c>
      <c r="U240" s="33">
        <f>BE240</f>
        <v/>
      </c>
      <c r="V240" s="22">
        <f>IF(U240="",0,IF(U240="transition",0,IF(U240="SK",AK240,IF(U240="LB",AL240,IF(U240="ML",AM240,IF(U240="RLO",AN240,IF(U240="BD",AO240,IF(U240="BiP",AP240,IF(U240="PV",AQ240,IF(U240="OC",AR240,IF(U240="MG",AS240,0))))))))))</f>
        <v/>
      </c>
      <c r="W240" s="27">
        <f>IF(U240="BiP",Upgrades!$F$18,IF(U240="PV",Upgrades!$F$19,IF(U240="OC",Upgrades!$F$20,IF(U240="MG",Upgrades!$F$21,IF(U240="transition",-Parameters!$B$18*Parameters!$B$19,0)))))</f>
        <v/>
      </c>
      <c r="X240" s="22">
        <f>C240+T240-V240</f>
        <v/>
      </c>
      <c r="Y240" s="30">
        <f>O240*Parameters!$B$10/60*Parameters!$B$11+Q240*O240+P240</f>
        <v/>
      </c>
      <c r="Z240" s="34">
        <f>IF(U240="transition","→ Tier 3 (Galactic Arm)",IF(U240="MG","Moving Group — pocket drifts together",IF(U240="OC","Open Cluster acquired",IF(U240="PV","Peculiar Velocity — passive multiplier active",IF(U240="BiP","Binary Partner — pair bond formed",IF(AND(AU240=1,N240=0,AT240&lt;&gt;1),"Cohesion ready (waiting on completionists)","")))))) </f>
        <v/>
      </c>
      <c r="AA240" s="27">
        <f>(IF(E240=0,0,(Upgrades!$G$13+E240*Upgrades!$H$13)*POWER(Upgrades!$I$13,E240)))*(IF(Upgrades!$T$14="Stellar Kinematics",POWER(Upgrades!$U$14,F240),1)*IF(Upgrades!$T$15="Stellar Kinematics",POWER(Upgrades!$U$15,G240),1)*IF(Upgrades!$T$16="Stellar Kinematics",POWER(Upgrades!$U$16,H240),1)*IF(Upgrades!$T$17="Stellar Kinematics",POWER(Upgrades!$U$17,I240),1)*IF(Upgrades!$T$18="Stellar Kinematics",POWER(Upgrades!$U$18,J240),1)*IF(Upgrades!$T$19="Stellar Kinematics",POWER(Upgrades!$U$19,K240),1)*IF(Upgrades!$T$20="Stellar Kinematics",POWER(Upgrades!$U$20,L240),1)*IF(Upgrades!$T$21="Stellar Kinematics",POWER(Upgrades!$U$21,M240),1))*POWER(Upgrades!$P$13,E240)*POWER(Upgrades!$P$14,F240)*POWER(Upgrades!$P$15,G240)*POWER(Upgrades!$P$16,H240)*POWER(Upgrades!$P$17,I240)*POWER(Upgrades!$P$18,J240)*POWER(Upgrades!$P$19,K240)*POWER(Upgrades!$P$20,L240)*POWER(Upgrades!$P$21,M240)*$F$6*60</f>
        <v/>
      </c>
      <c r="AB240" s="27">
        <f>(IF(F240=0,0,(Upgrades!$G$14+F240*Upgrades!$H$14)*POWER(Upgrades!$I$14,F240)))*(IF(Upgrades!$T$13="Local Bubble",POWER(Upgrades!$U$13,E240),1)*IF(Upgrades!$T$15="Local Bubble",POWER(Upgrades!$U$15,G240),1)*IF(Upgrades!$T$16="Local Bubble",POWER(Upgrades!$U$16,H240),1)*IF(Upgrades!$T$17="Local Bubble",POWER(Upgrades!$U$17,I240),1)*IF(Upgrades!$T$18="Local Bubble",POWER(Upgrades!$U$18,J240),1)*IF(Upgrades!$T$19="Local Bubble",POWER(Upgrades!$U$19,K240),1)*IF(Upgrades!$T$20="Local Bubble",POWER(Upgrades!$U$20,L240),1)*IF(Upgrades!$T$21="Local Bubble",POWER(Upgrades!$U$21,M240),1))*POWER(Upgrades!$P$13,E240)*POWER(Upgrades!$P$14,F240)*POWER(Upgrades!$P$15,G240)*POWER(Upgrades!$P$16,H240)*POWER(Upgrades!$P$17,I240)*POWER(Upgrades!$P$18,J240)*POWER(Upgrades!$P$19,K240)*POWER(Upgrades!$P$20,L240)*POWER(Upgrades!$P$21,M240)*$F$6*60</f>
        <v/>
      </c>
      <c r="AC240" s="27">
        <f>(IF(G240=0,0,(Upgrades!$J$15+G240*Upgrades!$K$15)*POWER(Upgrades!$L$15,G240)))*(IF(Upgrades!$T$13="Microlensing",POWER(Upgrades!$U$13,E240),1)*IF(Upgrades!$T$14="Microlensing",POWER(Upgrades!$U$14,F240),1)*IF(Upgrades!$T$16="Microlensing",POWER(Upgrades!$U$16,H240),1)*IF(Upgrades!$T$17="Microlensing",POWER(Upgrades!$U$17,I240),1)*IF(Upgrades!$T$18="Microlensing",POWER(Upgrades!$U$18,J240),1)*IF(Upgrades!$T$19="Microlensing",POWER(Upgrades!$U$19,K240),1)*IF(Upgrades!$T$20="Microlensing",POWER(Upgrades!$U$20,L240),1)*IF(Upgrades!$T$21="Microlensing",POWER(Upgrades!$U$21,M240),1))*POWER(Upgrades!$Q$13,E240)*POWER(Upgrades!$Q$14,F240)*POWER(Upgrades!$Q$15,G240)*POWER(Upgrades!$Q$16,H240)*POWER(Upgrades!$Q$17,I240)*POWER(Upgrades!$Q$18,J240)*POWER(Upgrades!$Q$19,K240)*POWER(Upgrades!$Q$20,L240)*POWER(Upgrades!$Q$21,M240)*$G$6*(Parameters!$B$10*Parameters!$B$11+Q240*60)</f>
        <v/>
      </c>
      <c r="AD240" s="27">
        <f>(IF(H240=0,0,(Upgrades!$M$16+H240*Upgrades!$N$16)*POWER(Upgrades!$O$16,H240)))*(IF(Upgrades!$T$13="Roche Lobe Overflow",POWER(Upgrades!$U$13,E240),1)*IF(Upgrades!$T$14="Roche Lobe Overflow",POWER(Upgrades!$U$14,F240),1)*IF(Upgrades!$T$15="Roche Lobe Overflow",POWER(Upgrades!$U$15,G240),1)*IF(Upgrades!$T$17="Roche Lobe Overflow",POWER(Upgrades!$U$17,I240),1)*IF(Upgrades!$T$18="Roche Lobe Overflow",POWER(Upgrades!$U$18,J240),1)*IF(Upgrades!$T$19="Roche Lobe Overflow",POWER(Upgrades!$U$19,K240),1)*IF(Upgrades!$T$20="Roche Lobe Overflow",POWER(Upgrades!$U$20,L240),1)*IF(Upgrades!$T$21="Roche Lobe Overflow",POWER(Upgrades!$U$21,M240),1))*POWER(Upgrades!$R$13,E240)*POWER(Upgrades!$R$14,F240)*POWER(Upgrades!$R$15,G240)*POWER(Upgrades!$R$16,H240)*POWER(Upgrades!$R$17,I240)*POWER(Upgrades!$R$18,J240)*POWER(Upgrades!$R$19,K240)*POWER(Upgrades!$R$20,L240)*POWER(Upgrades!$R$21,M240)*$H$6*O240*60</f>
        <v/>
      </c>
      <c r="AE240" s="27">
        <f>(IF(I240=0,0,(Upgrades!$G$17+I240*Upgrades!$H$17)*POWER(Upgrades!$I$17,I240)))*(IF(Upgrades!$T$13="Brown Dwarf",POWER(Upgrades!$U$13,E240),1)*IF(Upgrades!$T$14="Brown Dwarf",POWER(Upgrades!$U$14,F240),1)*IF(Upgrades!$T$15="Brown Dwarf",POWER(Upgrades!$U$15,G240),1)*IF(Upgrades!$T$16="Brown Dwarf",POWER(Upgrades!$U$16,H240),1)*IF(Upgrades!$T$18="Brown Dwarf",POWER(Upgrades!$U$18,J240),1)*IF(Upgrades!$T$19="Brown Dwarf",POWER(Upgrades!$U$19,K240),1)*IF(Upgrades!$T$20="Brown Dwarf",POWER(Upgrades!$U$20,L240),1)*IF(Upgrades!$T$21="Brown Dwarf",POWER(Upgrades!$U$21,M240),1))*POWER(Upgrades!$P$13,E240)*POWER(Upgrades!$P$14,F240)*POWER(Upgrades!$P$15,G240)*POWER(Upgrades!$P$16,H240)*POWER(Upgrades!$P$17,I240)*POWER(Upgrades!$P$18,J240)*POWER(Upgrades!$P$19,K240)*POWER(Upgrades!$P$20,L240)*POWER(Upgrades!$P$21,M240)*$F$6*60</f>
        <v/>
      </c>
      <c r="AF240" s="27" t="n">
        <v>0</v>
      </c>
      <c r="AG240" s="27" t="n">
        <v>0</v>
      </c>
      <c r="AH240" s="27" t="n">
        <v>0</v>
      </c>
      <c r="AI240" s="27">
        <f>(IF(M240=0,0,(Upgrades!$G$21+M240*Upgrades!$H$21)*POWER(Upgrades!$I$21,M240)))*(IF(Upgrades!$T$13="Moving Group",POWER(Upgrades!$U$13,E240),1)*IF(Upgrades!$T$14="Moving Group",POWER(Upgrades!$U$14,F240),1)*IF(Upgrades!$T$15="Moving Group",POWER(Upgrades!$U$15,G240),1)*IF(Upgrades!$T$16="Moving Group",POWER(Upgrades!$U$16,H240),1)*IF(Upgrades!$T$17="Moving Group",POWER(Upgrades!$U$17,I240),1)*IF(Upgrades!$T$18="Moving Group",POWER(Upgrades!$U$18,J240),1)*IF(Upgrades!$T$19="Moving Group",POWER(Upgrades!$U$19,K240),1)*IF(Upgrades!$T$20="Moving Group",POWER(Upgrades!$U$20,L240),1))*POWER(Upgrades!$P$13,E240)*POWER(Upgrades!$P$14,F240)*POWER(Upgrades!$P$15,G240)*POWER(Upgrades!$P$16,H240)*POWER(Upgrades!$P$17,I240)*POWER(Upgrades!$P$18,J240)*POWER(Upgrades!$P$19,K240)*POWER(Upgrades!$P$20,L240)*POWER(Upgrades!$P$21,M240)*$F$6*60</f>
        <v/>
      </c>
      <c r="AJ240" s="27">
        <f>$C$6*60</f>
        <v/>
      </c>
      <c r="AK240" s="22">
        <f>IF(E240&gt;=Upgrades!$E$13,"",Upgrades!$C$13*POWER(Upgrades!$D$13,E240))</f>
        <v/>
      </c>
      <c r="AL240" s="22">
        <f>IF(F240&gt;=Upgrades!$E$14,"",Upgrades!$C$14*POWER(Upgrades!$D$14,F240))</f>
        <v/>
      </c>
      <c r="AM240" s="22">
        <f>IF(G240&gt;=Upgrades!$E$15,"",Upgrades!$C$15*POWER(Upgrades!$D$15,G240))</f>
        <v/>
      </c>
      <c r="AN240" s="22">
        <f>IF(H240&gt;=Upgrades!$E$16,"",Upgrades!$C$16*POWER(Upgrades!$D$16,H240))</f>
        <v/>
      </c>
      <c r="AO240" s="22">
        <f>IF(I240&gt;=Upgrades!$E$17,"",Upgrades!$C$17*POWER(Upgrades!$D$17,I240))</f>
        <v/>
      </c>
      <c r="AP240" s="22">
        <f>IF(J240&gt;=Upgrades!$E$18,"",Upgrades!$C$18*POWER(Upgrades!$D$18,J240))</f>
        <v/>
      </c>
      <c r="AQ240" s="22">
        <f>IF(K240&gt;=Upgrades!$E$19,"",Upgrades!$C$19*POWER(Upgrades!$D$19,K240))</f>
        <v/>
      </c>
      <c r="AR240" s="22">
        <f>IF(L240&gt;=Upgrades!$E$20,"",Upgrades!$C$20*POWER(Upgrades!$D$20,L240))</f>
        <v/>
      </c>
      <c r="AS240" s="22">
        <f>IF(M240&gt;=Upgrades!$E$21,"",Upgrades!$C$21*POWER(Upgrades!$D$21,M240))</f>
        <v/>
      </c>
      <c r="AT240" s="26">
        <f>IF(AND(D240&gt;=Parameters!$B$18*Parameters!$B$19,(I240&gt;=Upgrades!$E$17)*(M240&gt;=Upgrades!$E$21)=1,N240=0),1,"")</f>
        <v/>
      </c>
      <c r="AU240" s="26">
        <f>IF(AND(D240&gt;=Parameters!$B$18*Parameters!$B$19,N240=0),1,"")</f>
        <v/>
      </c>
      <c r="AV240" s="22">
        <f>MIN(IF(ISNUMBER(AP240),AP240,9E15),IF(ISNUMBER(AQ240),AQ240,9E15),IF(ISNUMBER(AR240),AR240,9E15),IF(ISNUMBER(AS240),AS240,9E15))</f>
        <v/>
      </c>
      <c r="AW240" s="22">
        <f>MIN(IF(ISNUMBER(AK240),AK240,9E15),IF(ISNUMBER(AL240),AL240,9E15),IF(ISNUMBER(AM240),AM240,9E15),IF(ISNUMBER(AN240),AN240,9E15),IF(ISNUMBER(AO240),AO240,9E15))</f>
        <v/>
      </c>
      <c r="AX240" s="29">
        <f>IF(BD240&gt;Parameters!$B$21*(MAX(IF(AND(NOT(AND(AU240=1,AT240&lt;&gt;1)),ISNUMBER(AK240),AK240&lt;=(C240+T240)),AY240,0),IF(AND(NOT(AND(AU240=1,AT240&lt;&gt;1)),ISNUMBER(AL240),AL240&lt;=(C240+T240)),AZ240,0),IF(AND(NOT(AND(AU240=1,AT240&lt;&gt;1)),ISNUMBER(AM240),AM240&lt;=(C240+T240)),BA240,0),IF(AND(NOT(AND(AU240=1,AT240&lt;&gt;1)),ISNUMBER(AN240),AN240&lt;=(C240+T240)),BB240,0),IF(AND(ISNUMBER(AO240),AO240&lt;=(C240+T240)),BC240,0))),TRUE,FALSE)</f>
        <v/>
      </c>
      <c r="AY240" s="32">
        <f>IFERROR(Upgrades!$H$13*(POWER(Upgrades!$P$13,E240)*POWER(Upgrades!$P$14,F240)*POWER(Upgrades!$P$15,G240)*POWER(Upgrades!$P$16,H240)*POWER(Upgrades!$P$17,I240)*POWER(Upgrades!$P$18,J240)*POWER(Upgrades!$P$19,K240)*POWER(Upgrades!$P$20,L240)*POWER(Upgrades!$P$21,M240))*(IF(Upgrades!$T$14="Stellar Kinematics",POWER(Upgrades!$U$14,F240),1)*IF(Upgrades!$T$15="Stellar Kinematics",POWER(Upgrades!$U$15,G240),1)*IF(Upgrades!$T$16="Stellar Kinematics",POWER(Upgrades!$U$16,H240),1)*IF(Upgrades!$T$17="Stellar Kinematics",POWER(Upgrades!$U$17,I240),1)*IF(Upgrades!$T$18="Stellar Kinematics",POWER(Upgrades!$U$18,J240),1)*IF(Upgrades!$T$19="Stellar Kinematics",POWER(Upgrades!$U$19,K240),1)*IF(Upgrades!$T$20="Stellar Kinematics",POWER(Upgrades!$U$20,L240),1)*IF(Upgrades!$T$21="Stellar Kinematics",POWER(Upgrades!$U$21,M240),1))*$F$6/AK240,0)</f>
        <v/>
      </c>
      <c r="AZ240" s="32">
        <f>IFERROR(Upgrades!$H$14*(POWER(Upgrades!$P$13,E240)*POWER(Upgrades!$P$14,F240)*POWER(Upgrades!$P$15,G240)*POWER(Upgrades!$P$16,H240)*POWER(Upgrades!$P$17,I240)*POWER(Upgrades!$P$18,J240)*POWER(Upgrades!$P$19,K240)*POWER(Upgrades!$P$20,L240)*POWER(Upgrades!$P$21,M240))*(IF(Upgrades!$T$13="Local Bubble",POWER(Upgrades!$U$13,E240),1)*IF(Upgrades!$T$15="Local Bubble",POWER(Upgrades!$U$15,G240),1)*IF(Upgrades!$T$16="Local Bubble",POWER(Upgrades!$U$16,H240),1)*IF(Upgrades!$T$17="Local Bubble",POWER(Upgrades!$U$17,I240),1)*IF(Upgrades!$T$18="Local Bubble",POWER(Upgrades!$U$18,J240),1)*IF(Upgrades!$T$19="Local Bubble",POWER(Upgrades!$U$19,K240),1)*IF(Upgrades!$T$20="Local Bubble",POWER(Upgrades!$U$20,L240),1)*IF(Upgrades!$T$21="Local Bubble",POWER(Upgrades!$U$21,M240),1))*$F$6/AL240,0)</f>
        <v/>
      </c>
      <c r="BA240" s="32">
        <f>IFERROR(Upgrades!$K$15*(POWER(Upgrades!$Q$13,E240)*POWER(Upgrades!$Q$14,F240)*POWER(Upgrades!$Q$15,G240)*POWER(Upgrades!$Q$16,H240)*POWER(Upgrades!$Q$17,I240)*POWER(Upgrades!$Q$18,J240)*POWER(Upgrades!$Q$19,K240)*POWER(Upgrades!$Q$20,L240)*POWER(Upgrades!$Q$21,M240))*(IF(Upgrades!$T$13="Microlensing",POWER(Upgrades!$U$13,E240),1)*IF(Upgrades!$T$14="Microlensing",POWER(Upgrades!$U$14,F240),1)*IF(Upgrades!$T$16="Microlensing",POWER(Upgrades!$U$16,H240),1)*IF(Upgrades!$T$17="Microlensing",POWER(Upgrades!$U$17,I240),1)*IF(Upgrades!$T$18="Microlensing",POWER(Upgrades!$U$18,J240),1)*IF(Upgrades!$T$19="Microlensing",POWER(Upgrades!$U$19,K240),1)*IF(Upgrades!$T$20="Microlensing",POWER(Upgrades!$U$20,L240),1)*IF(Upgrades!$T$21="Microlensing",POWER(Upgrades!$U$21,M240),1))*$G$6*(Parameters!$B$10/60*Parameters!$B$11+Q240)/AM240,0)</f>
        <v/>
      </c>
      <c r="BB240" s="32">
        <f>IFERROR((Upgrades!$N$16*(POWER(Upgrades!$R$13,E240)*POWER(Upgrades!$R$14,F240)*POWER(Upgrades!$R$15,G240)*POWER(Upgrades!$R$16,H240)*POWER(Upgrades!$R$17,I240)*POWER(Upgrades!$R$18,J240)*POWER(Upgrades!$R$19,K240)*POWER(Upgrades!$R$20,L240)*POWER(Upgrades!$R$21,M240))*(IF(Upgrades!$T$13="Roche Lobe Overflow",POWER(Upgrades!$U$13,E240),1)*IF(Upgrades!$T$14="Roche Lobe Overflow",POWER(Upgrades!$U$14,F240),1)*IF(Upgrades!$T$15="Roche Lobe Overflow",POWER(Upgrades!$U$15,G240),1)*IF(Upgrades!$T$17="Roche Lobe Overflow",POWER(Upgrades!$U$17,I240),1)*IF(Upgrades!$T$18="Roche Lobe Overflow",POWER(Upgrades!$U$18,J240),1)*IF(Upgrades!$T$19="Roche Lobe Overflow",POWER(Upgrades!$U$19,K240),1)*IF(Upgrades!$T$20="Roche Lobe Overflow",POWER(Upgrades!$U$20,L240),1)*IF(Upgrades!$T$21="Roche Lobe Overflow",POWER(Upgrades!$U$21,M240),1))*$H$6*O240+((IF(F240=0,0,(Upgrades!$G$14+F240*Upgrades!$H$14)*POWER(Upgrades!$I$14,F240)))*(IF(Upgrades!$T$13="Local Bubble",POWER(Upgrades!$U$13,E240),1)*IF(Upgrades!$T$15="Local Bubble",POWER(Upgrades!$U$15,G240),1)*IF(Upgrades!$T$16="Local Bubble",POWER(Upgrades!$U$16,H240),1)*IF(Upgrades!$T$17="Local Bubble",POWER(Upgrades!$U$17,I240),1)*IF(Upgrades!$T$18="Local Bubble",POWER(Upgrades!$U$18,J240),1)*IF(Upgrades!$T$19="Local Bubble",POWER(Upgrades!$U$19,K240),1)*IF(Upgrades!$T$20="Local Bubble",POWER(Upgrades!$U$20,L240),1)*IF(Upgrades!$T$21="Local Bubble",POWER(Upgrades!$U$21,M240),1))*POWER(Upgrades!$P$13,E240)*POWER(Upgrades!$P$14,F240)*POWER(Upgrades!$P$15,G240)*POWER(Upgrades!$P$16,H240)*POWER(Upgrades!$P$17,I240)*POWER(Upgrades!$P$18,J240)*POWER(Upgrades!$P$19,K240)*POWER(Upgrades!$P$20,L240)*POWER(Upgrades!$P$21,M240)*$F$6)*0.05)/AN240,0)</f>
        <v/>
      </c>
      <c r="BC240" s="32">
        <f>IFERROR((Upgrades!$H$17*(POWER(Upgrades!$P$13,E240)*POWER(Upgrades!$P$14,F240)*POWER(Upgrades!$P$15,G240)*POWER(Upgrades!$P$16,H240)*POWER(Upgrades!$P$17,I240)*POWER(Upgrades!$P$18,J240)*POWER(Upgrades!$P$19,K240)*POWER(Upgrades!$P$20,L240)*POWER(Upgrades!$P$21,M240))*(IF(Upgrades!$T$13="Brown Dwarf",POWER(Upgrades!$U$13,E240),1)*IF(Upgrades!$T$14="Brown Dwarf",POWER(Upgrades!$U$14,F240),1)*IF(Upgrades!$T$15="Brown Dwarf",POWER(Upgrades!$U$15,G240),1)*IF(Upgrades!$T$16="Brown Dwarf",POWER(Upgrades!$U$16,H240),1)*IF(Upgrades!$T$18="Brown Dwarf",POWER(Upgrades!$U$18,J240),1)*IF(Upgrades!$T$19="Brown Dwarf",POWER(Upgrades!$U$19,K240),1)*IF(Upgrades!$T$20="Brown Dwarf",POWER(Upgrades!$U$20,L240),1)*IF(Upgrades!$T$21="Brown Dwarf",POWER(Upgrades!$U$21,M240),1))*$F$6+(((IF(H240=0,0,(Upgrades!$M$16+H240*Upgrades!$N$16)*POWER(Upgrades!$O$16,H240)))*(IF(Upgrades!$T$13="Roche Lobe Overflow",POWER(Upgrades!$U$13,E240),1)*IF(Upgrades!$T$14="Roche Lobe Overflow",POWER(Upgrades!$U$14,F240),1)*IF(Upgrades!$T$15="Roche Lobe Overflow",POWER(Upgrades!$U$15,G240),1)*IF(Upgrades!$T$17="Roche Lobe Overflow",POWER(Upgrades!$U$17,I240),1)*IF(Upgrades!$T$18="Roche Lobe Overflow",POWER(Upgrades!$U$18,J240),1)*IF(Upgrades!$T$19="Roche Lobe Overflow",POWER(Upgrades!$U$19,K240),1)*IF(Upgrades!$T$20="Roche Lobe Overflow",POWER(Upgrades!$U$20,L240),1)*IF(Upgrades!$T$21="Roche Lobe Overflow",POWER(Upgrades!$U$21,M240),1))*POWER(Upgrades!$R$13,E240)*POWER(Upgrades!$R$14,F240)*POWER(Upgrades!$R$15,G240)*POWER(Upgrades!$R$16,H240)*POWER(Upgrades!$R$17,I240)*POWER(Upgrades!$R$18,J240)*POWER(Upgrades!$R$19,K240)*POWER(Upgrades!$R$20,L240)*POWER(Upgrades!$R$21,M240)*$H$6)*O240)*0.10)/AO240,0)</f>
        <v/>
      </c>
      <c r="BD240" s="32">
        <f>MAX(IF(J240&gt;0,0,IFERROR(0.5*((IF(G240=0,0,(Upgrades!$J$15+G240*Upgrades!$K$15)*POWER(Upgrades!$L$15,G240)))*(IF(Upgrades!$T$13="Microlensing",POWER(Upgrades!$U$13,E240),1)*IF(Upgrades!$T$14="Microlensing",POWER(Upgrades!$U$14,F240),1)*IF(Upgrades!$T$16="Microlensing",POWER(Upgrades!$U$16,H240),1)*IF(Upgrades!$T$17="Microlensing",POWER(Upgrades!$U$17,I240),1)*IF(Upgrades!$T$18="Microlensing",POWER(Upgrades!$U$18,J240),1)*IF(Upgrades!$T$19="Microlensing",POWER(Upgrades!$U$19,K240),1)*IF(Upgrades!$T$20="Microlensing",POWER(Upgrades!$U$20,L240),1)*IF(Upgrades!$T$21="Microlensing",POWER(Upgrades!$U$21,M240),1))*(POWER(Upgrades!$Q$13,E240)*POWER(Upgrades!$Q$14,F240)*POWER(Upgrades!$Q$15,G240)*POWER(Upgrades!$Q$16,H240)*POWER(Upgrades!$Q$17,I240)*POWER(Upgrades!$Q$18,J240)*POWER(Upgrades!$Q$19,K240)*POWER(Upgrades!$Q$20,L240)*POWER(Upgrades!$Q$21,M240))*$G$6*(Parameters!$B$10/60*Parameters!$B$11+Q240))/Upgrades!$C$18,0)),IF(K240&gt;0,0,IFERROR(0.30*P240/Upgrades!$C$19,0)),IF(L240&gt;0,0,IFERROR(0.0001/Upgrades!$C$20,0)),IF(M240&gt;0,0,IFERROR((6.0*(POWER(Upgrades!$P$13,E240)*POWER(Upgrades!$P$14,F240)*POWER(Upgrades!$P$15,G240)*POWER(Upgrades!$P$16,H240)*POWER(Upgrades!$P$17,I240)*POWER(Upgrades!$P$18,J240)*POWER(Upgrades!$P$19,K240)*POWER(Upgrades!$P$20,L240)*POWER(Upgrades!$P$21,M240))*$F$6+0.20*O240*(Parameters!$B$10/60*Parameters!$B$11+Q240))/Upgrades!$C$21,0)),IF(AND(ISNUMBER(AK240),AK240&gt;(C240+T240)),AY240,0),IF(AND(ISNUMBER(AL240),AL240&gt;(C240+T240)),AZ240,0),IF(AND(ISNUMBER(AM240),AM240&gt;(C240+T240)),BA240,0),IF(AND(ISNUMBER(AN240),AN240&gt;(C240+T240)),BB240,0),IF(AND(ISNUMBER(AO240),AO240&gt;(C240+T240)),BC240,0))</f>
        <v/>
      </c>
      <c r="BE240" s="29">
        <f>IF(AT240=1,"transition",IF(MIN(IF(AND(J240=0,ISNUMBER(AP240),AP240&lt;=(C240+T240)),AP240,9E15),IF(AND(K240=0,ISNUMBER(AQ240),AQ240&lt;=(C240+T240)),AQ240,9E15),IF(AND(L240=0,ISNUMBER(AR240),AR240&lt;=(C240+T240)),AR240,9E15),IF(AND(M240=0,ISNUMBER(AS240),AS240&lt;=(C240+T240)),AS240,9E15))&lt;9E15,IF(AND(AND(J240=0,ISNUMBER(AP240),AP240&lt;=(C240+T240)),AP240=MIN(IF(AND(J240=0,ISNUMBER(AP240),AP240&lt;=(C240+T240)),AP240,9E15),IF(AND(K240=0,ISNUMBER(AQ240),AQ240&lt;=(C240+T240)),AQ240,9E15),IF(AND(L240=0,ISNUMBER(AR240),AR240&lt;=(C240+T240)),AR240,9E15),IF(AND(M240=0,ISNUMBER(AS240),AS240&lt;=(C240+T240)),AS240,9E15))),"BiP",IF(AND(AND(K240=0,ISNUMBER(AQ240),AQ240&lt;=(C240+T240)),AQ240=MIN(IF(AND(J240=0,ISNUMBER(AP240),AP240&lt;=(C240+T240)),AP240,9E15),IF(AND(K240=0,ISNUMBER(AQ240),AQ240&lt;=(C240+T240)),AQ240,9E15),IF(AND(L240=0,ISNUMBER(AR240),AR240&lt;=(C240+T240)),AR240,9E15),IF(AND(M240=0,ISNUMBER(AS240),AS240&lt;=(C240+T240)),AS240,9E15))),"PV",IF(AND(AND(L240=0,ISNUMBER(AR240),AR240&lt;=(C240+T240)),AR240=MIN(IF(AND(J240=0,ISNUMBER(AP240),AP240&lt;=(C240+T240)),AP240,9E15),IF(AND(K240=0,ISNUMBER(AQ240),AQ240&lt;=(C240+T240)),AQ240,9E15),IF(AND(L240=0,ISNUMBER(AR240),AR240&lt;=(C240+T240)),AR240,9E15),IF(AND(M240=0,ISNUMBER(AS240),AS240&lt;=(C240+T240)),AS240,9E15))),"OC","MG"))),IF(AX240=TRUE,"",IF(MAX(IF(AND(NOT(AND(AU240=1,AT240&lt;&gt;1)),ISNUMBER(AK240),AK240&lt;=(C240+T240)),AY240,0),IF(AND(NOT(AND(AU240=1,AT240&lt;&gt;1)),ISNUMBER(AL240),AL240&lt;=(C240+T240)),AZ240,0),IF(AND(NOT(AND(AU240=1,AT240&lt;&gt;1)),ISNUMBER(AM240),AM240&lt;=(C240+T240)),BA240,0),IF(AND(NOT(AND(AU240=1,AT240&lt;&gt;1)),ISNUMBER(AN240),AN240&lt;=(C240+T240)),BB240,0),IF(AND(ISNUMBER(AO240),AO240&lt;=(C240+T240)),BC240,0))&lt;=0,"",IF(AND(IF(AND(NOT(AND(AU240=1,AT240&lt;&gt;1)),ISNUMBER(AK240),AK240&lt;=(C240+T240)),AY240,0)&gt;0,IF(AND(NOT(AND(AU240=1,AT240&lt;&gt;1)),ISNUMBER(AK240),AK240&lt;=(C240+T240)),AY240,0)=MAX(IF(AND(NOT(AND(AU240=1,AT240&lt;&gt;1)),ISNUMBER(AK240),AK240&lt;=(C240+T240)),AY240,0),IF(AND(NOT(AND(AU240=1,AT240&lt;&gt;1)),ISNUMBER(AL240),AL240&lt;=(C240+T240)),AZ240,0),IF(AND(NOT(AND(AU240=1,AT240&lt;&gt;1)),ISNUMBER(AM240),AM240&lt;=(C240+T240)),BA240,0),IF(AND(NOT(AND(AU240=1,AT240&lt;&gt;1)),ISNUMBER(AN240),AN240&lt;=(C240+T240)),BB240,0),IF(AND(ISNUMBER(AO240),AO240&lt;=(C240+T240)),BC240,0))),"SK",IF(AND(IF(AND(NOT(AND(AU240=1,AT240&lt;&gt;1)),ISNUMBER(AL240),AL240&lt;=(C240+T240)),AZ240,0)&gt;0,IF(AND(NOT(AND(AU240=1,AT240&lt;&gt;1)),ISNUMBER(AL240),AL240&lt;=(C240+T240)),AZ240,0)=MAX(IF(AND(NOT(AND(AU240=1,AT240&lt;&gt;1)),ISNUMBER(AK240),AK240&lt;=(C240+T240)),AY240,0),IF(AND(NOT(AND(AU240=1,AT240&lt;&gt;1)),ISNUMBER(AL240),AL240&lt;=(C240+T240)),AZ240,0),IF(AND(NOT(AND(AU240=1,AT240&lt;&gt;1)),ISNUMBER(AM240),AM240&lt;=(C240+T240)),BA240,0),IF(AND(NOT(AND(AU240=1,AT240&lt;&gt;1)),ISNUMBER(AN240),AN240&lt;=(C240+T240)),BB240,0),IF(AND(ISNUMBER(AO240),AO240&lt;=(C240+T240)),BC240,0))),"LB",IF(AND(IF(AND(NOT(AND(AU240=1,AT240&lt;&gt;1)),ISNUMBER(AM240),AM240&lt;=(C240+T240)),BA240,0)&gt;0,IF(AND(NOT(AND(AU240=1,AT240&lt;&gt;1)),ISNUMBER(AM240),AM240&lt;=(C240+T240)),BA240,0)=MAX(IF(AND(NOT(AND(AU240=1,AT240&lt;&gt;1)),ISNUMBER(AK240),AK240&lt;=(C240+T240)),AY240,0),IF(AND(NOT(AND(AU240=1,AT240&lt;&gt;1)),ISNUMBER(AL240),AL240&lt;=(C240+T240)),AZ240,0),IF(AND(NOT(AND(AU240=1,AT240&lt;&gt;1)),ISNUMBER(AM240),AM240&lt;=(C240+T240)),BA240,0),IF(AND(NOT(AND(AU240=1,AT240&lt;&gt;1)),ISNUMBER(AN240),AN240&lt;=(C240+T240)),BB240,0),IF(AND(ISNUMBER(AO240),AO240&lt;=(C240+T240)),BC240,0))),"ML",IF(AND(IF(AND(NOT(AND(AU240=1,AT240&lt;&gt;1)),ISNUMBER(AN240),AN240&lt;=(C240+T240)),BB240,0)&gt;0,IF(AND(NOT(AND(AU240=1,AT240&lt;&gt;1)),ISNUMBER(AN240),AN240&lt;=(C240+T240)),BB240,0)=MAX(IF(AND(NOT(AND(AU240=1,AT240&lt;&gt;1)),ISNUMBER(AK240),AK240&lt;=(C240+T240)),AY240,0),IF(AND(NOT(AND(AU240=1,AT240&lt;&gt;1)),ISNUMBER(AL240),AL240&lt;=(C240+T240)),AZ240,0),IF(AND(NOT(AND(AU240=1,AT240&lt;&gt;1)),ISNUMBER(AM240),AM240&lt;=(C240+T240)),BA240,0),IF(AND(NOT(AND(AU240=1,AT240&lt;&gt;1)),ISNUMBER(AN240),AN240&lt;=(C240+T240)),BB240,0),IF(AND(ISNUMBER(AO240),AO240&lt;=(C240+T240)),BC240,0))),"RLO","BD"))))))))</f>
        <v/>
      </c>
    </row>
    <row r="241">
      <c r="A241" s="26" t="n">
        <v>230</v>
      </c>
      <c r="B241" s="27">
        <f>A241*10/60</f>
        <v/>
      </c>
      <c r="C241" s="22">
        <f>X240</f>
        <v/>
      </c>
      <c r="D241" s="27">
        <f>D240+W240</f>
        <v/>
      </c>
      <c r="E241" s="26">
        <f>E240+IF(U240="SK",1,0)</f>
        <v/>
      </c>
      <c r="F241" s="26">
        <f>F240+IF(U240="LB",1,0)</f>
        <v/>
      </c>
      <c r="G241" s="26">
        <f>G240+IF(U240="ML",1,0)</f>
        <v/>
      </c>
      <c r="H241" s="26">
        <f>H240+IF(U240="RLO",1,0)</f>
        <v/>
      </c>
      <c r="I241" s="26">
        <f>I240+IF(U240="BD",1,0)</f>
        <v/>
      </c>
      <c r="J241" s="26">
        <f>MAX(J240,IF(U240="BiP",1,0))</f>
        <v/>
      </c>
      <c r="K241" s="26">
        <f>MAX(K240,IF(U240="PV",1,0))</f>
        <v/>
      </c>
      <c r="L241" s="26">
        <f>MAX(L240,IF(U240="OC",1,0))</f>
        <v/>
      </c>
      <c r="M241" s="26">
        <f>MAX(M240,IF(U240="MG",1,0))</f>
        <v/>
      </c>
      <c r="N241" s="26">
        <f>MAX(N240,IF(U240="transition",1,0))</f>
        <v/>
      </c>
      <c r="O241" s="28">
        <f>(Parameters!$B$9+(IF(E241=0,0,(Upgrades!$J$13+E241*Upgrades!$K$13)*POWER(Upgrades!$L$13,E241)))*(IF(Upgrades!$T$14="Stellar Kinematics",POWER(Upgrades!$U$14,F241),1)*IF(Upgrades!$T$15="Stellar Kinematics",POWER(Upgrades!$U$15,G241),1)*IF(Upgrades!$T$16="Stellar Kinematics",POWER(Upgrades!$U$16,H241),1)*IF(Upgrades!$T$17="Stellar Kinematics",POWER(Upgrades!$U$17,I241),1)*IF(Upgrades!$T$18="Stellar Kinematics",POWER(Upgrades!$U$18,J241),1)*IF(Upgrades!$T$19="Stellar Kinematics",POWER(Upgrades!$U$19,K241),1)*IF(Upgrades!$T$20="Stellar Kinematics",POWER(Upgrades!$U$20,L241),1)*IF(Upgrades!$T$21="Stellar Kinematics",POWER(Upgrades!$U$21,M241),1))+(IF(F241=0,0,(Upgrades!$J$14+F241*Upgrades!$K$14)*POWER(Upgrades!$L$14,F241)))*(IF(Upgrades!$T$13="Local Bubble",POWER(Upgrades!$U$13,E241),1)*IF(Upgrades!$T$15="Local Bubble",POWER(Upgrades!$U$15,G241),1)*IF(Upgrades!$T$16="Local Bubble",POWER(Upgrades!$U$16,H241),1)*IF(Upgrades!$T$17="Local Bubble",POWER(Upgrades!$U$17,I241),1)*IF(Upgrades!$T$18="Local Bubble",POWER(Upgrades!$U$18,J241),1)*IF(Upgrades!$T$19="Local Bubble",POWER(Upgrades!$U$19,K241),1)*IF(Upgrades!$T$20="Local Bubble",POWER(Upgrades!$U$20,L241),1)*IF(Upgrades!$T$21="Local Bubble",POWER(Upgrades!$U$21,M241),1))+(IF(G241=0,0,(Upgrades!$J$15+G241*Upgrades!$K$15)*POWER(Upgrades!$L$15,G241)))*(IF(Upgrades!$T$13="Microlensing",POWER(Upgrades!$U$13,E241),1)*IF(Upgrades!$T$14="Microlensing",POWER(Upgrades!$U$14,F241),1)*IF(Upgrades!$T$16="Microlensing",POWER(Upgrades!$U$16,H241),1)*IF(Upgrades!$T$17="Microlensing",POWER(Upgrades!$U$17,I241),1)*IF(Upgrades!$T$18="Microlensing",POWER(Upgrades!$U$18,J241),1)*IF(Upgrades!$T$19="Microlensing",POWER(Upgrades!$U$19,K241),1)*IF(Upgrades!$T$20="Microlensing",POWER(Upgrades!$U$20,L241),1)*IF(Upgrades!$T$21="Microlensing",POWER(Upgrades!$U$21,M241),1))+(IF(H241=0,0,(Upgrades!$J$16+H241*Upgrades!$K$16)*POWER(Upgrades!$L$16,H241)))*(IF(Upgrades!$T$13="Roche Lobe Overflow",POWER(Upgrades!$U$13,E241),1)*IF(Upgrades!$T$14="Roche Lobe Overflow",POWER(Upgrades!$U$14,F241),1)*IF(Upgrades!$T$15="Roche Lobe Overflow",POWER(Upgrades!$U$15,G241),1)*IF(Upgrades!$T$17="Roche Lobe Overflow",POWER(Upgrades!$U$17,I241),1)*IF(Upgrades!$T$18="Roche Lobe Overflow",POWER(Upgrades!$U$18,J241),1)*IF(Upgrades!$T$19="Roche Lobe Overflow",POWER(Upgrades!$U$19,K241),1)*IF(Upgrades!$T$20="Roche Lobe Overflow",POWER(Upgrades!$U$20,L241),1)*IF(Upgrades!$T$21="Roche Lobe Overflow",POWER(Upgrades!$U$21,M241),1))+(IF(I241=0,0,(Upgrades!$J$17+I241*Upgrades!$K$17)*POWER(Upgrades!$L$17,I241)))*(IF(Upgrades!$T$13="Brown Dwarf",POWER(Upgrades!$U$13,E241),1)*IF(Upgrades!$T$14="Brown Dwarf",POWER(Upgrades!$U$14,F241),1)*IF(Upgrades!$T$15="Brown Dwarf",POWER(Upgrades!$U$15,G241),1)*IF(Upgrades!$T$16="Brown Dwarf",POWER(Upgrades!$U$16,H241),1)*IF(Upgrades!$T$18="Brown Dwarf",POWER(Upgrades!$U$18,J241),1)*IF(Upgrades!$T$19="Brown Dwarf",POWER(Upgrades!$U$19,K241),1)*IF(Upgrades!$T$20="Brown Dwarf",POWER(Upgrades!$U$20,L241),1)*IF(Upgrades!$T$21="Brown Dwarf",POWER(Upgrades!$U$21,M241),1))+(IF(J241=0,0,(Upgrades!$J$18+J241*Upgrades!$K$18)*POWER(Upgrades!$L$18,J241)))*(IF(Upgrades!$T$13="Binary Partner",POWER(Upgrades!$U$13,E241),1)*IF(Upgrades!$T$14="Binary Partner",POWER(Upgrades!$U$14,F241),1)*IF(Upgrades!$T$15="Binary Partner",POWER(Upgrades!$U$15,G241),1)*IF(Upgrades!$T$16="Binary Partner",POWER(Upgrades!$U$16,H241),1)*IF(Upgrades!$T$17="Binary Partner",POWER(Upgrades!$U$17,I241),1)*IF(Upgrades!$T$19="Binary Partner",POWER(Upgrades!$U$19,K241),1)*IF(Upgrades!$T$20="Binary Partner",POWER(Upgrades!$U$20,L241),1)*IF(Upgrades!$T$21="Binary Partner",POWER(Upgrades!$U$21,M241),1))+(IF(K241=0,0,(Upgrades!$J$19+K241*Upgrades!$K$19)*POWER(Upgrades!$L$19,K241)))*(IF(Upgrades!$T$13="Peculiar Velocity",POWER(Upgrades!$U$13,E241),1)*IF(Upgrades!$T$14="Peculiar Velocity",POWER(Upgrades!$U$14,F241),1)*IF(Upgrades!$T$15="Peculiar Velocity",POWER(Upgrades!$U$15,G241),1)*IF(Upgrades!$T$16="Peculiar Velocity",POWER(Upgrades!$U$16,H241),1)*IF(Upgrades!$T$17="Peculiar Velocity",POWER(Upgrades!$U$17,I241),1)*IF(Upgrades!$T$18="Peculiar Velocity",POWER(Upgrades!$U$18,J241),1)*IF(Upgrades!$T$20="Peculiar Velocity",POWER(Upgrades!$U$20,L241),1)*IF(Upgrades!$T$21="Peculiar Velocity",POWER(Upgrades!$U$21,M241),1))+(IF(L241=0,0,(Upgrades!$J$20+L241*Upgrades!$K$20)*POWER(Upgrades!$L$20,L241)))*(IF(Upgrades!$T$13="Open Cluster",POWER(Upgrades!$U$13,E241),1)*IF(Upgrades!$T$14="Open Cluster",POWER(Upgrades!$U$14,F241),1)*IF(Upgrades!$T$15="Open Cluster",POWER(Upgrades!$U$15,G241),1)*IF(Upgrades!$T$16="Open Cluster",POWER(Upgrades!$U$16,H241),1)*IF(Upgrades!$T$17="Open Cluster",POWER(Upgrades!$U$17,I241),1)*IF(Upgrades!$T$18="Open Cluster",POWER(Upgrades!$U$18,J241),1)*IF(Upgrades!$T$19="Open Cluster",POWER(Upgrades!$U$19,K241),1)*IF(Upgrades!$T$21="Open Cluster",POWER(Upgrades!$U$21,M241),1))+(IF(M241=0,0,(Upgrades!$J$21+M241*Upgrades!$K$21)*POWER(Upgrades!$L$21,M241)))*(IF(Upgrades!$T$13="Moving Group",POWER(Upgrades!$U$13,E241),1)*IF(Upgrades!$T$14="Moving Group",POWER(Upgrades!$U$14,F241),1)*IF(Upgrades!$T$15="Moving Group",POWER(Upgrades!$U$15,G241),1)*IF(Upgrades!$T$16="Moving Group",POWER(Upgrades!$U$16,H241),1)*IF(Upgrades!$T$17="Moving Group",POWER(Upgrades!$U$17,I241),1)*IF(Upgrades!$T$18="Moving Group",POWER(Upgrades!$U$18,J241),1)*IF(Upgrades!$T$19="Moving Group",POWER(Upgrades!$U$19,K241),1)*IF(Upgrades!$T$20="Moving Group",POWER(Upgrades!$U$20,L241),1)))*POWER(Upgrades!$Q$13,E241)*POWER(Upgrades!$Q$14,F241)*POWER(Upgrades!$Q$15,G241)*POWER(Upgrades!$Q$16,H241)*POWER(Upgrades!$Q$17,I241)*POWER(Upgrades!$Q$18,J241)*POWER(Upgrades!$Q$19,K241)*POWER(Upgrades!$Q$20,L241)*POWER(Upgrades!$Q$21,M241)*$G$6+$D$6</f>
        <v/>
      </c>
      <c r="P241" s="28">
        <f>((IF(E241=0,0,(Upgrades!$G$13+E241*Upgrades!$H$13)*POWER(Upgrades!$I$13,E241)))*(IF(Upgrades!$T$14="Stellar Kinematics",POWER(Upgrades!$U$14,F241),1)*IF(Upgrades!$T$15="Stellar Kinematics",POWER(Upgrades!$U$15,G241),1)*IF(Upgrades!$T$16="Stellar Kinematics",POWER(Upgrades!$U$16,H241),1)*IF(Upgrades!$T$17="Stellar Kinematics",POWER(Upgrades!$U$17,I241),1)*IF(Upgrades!$T$18="Stellar Kinematics",POWER(Upgrades!$U$18,J241),1)*IF(Upgrades!$T$19="Stellar Kinematics",POWER(Upgrades!$U$19,K241),1)*IF(Upgrades!$T$20="Stellar Kinematics",POWER(Upgrades!$U$20,L241),1)*IF(Upgrades!$T$21="Stellar Kinematics",POWER(Upgrades!$U$21,M241),1))+(IF(F241=0,0,(Upgrades!$G$14+F241*Upgrades!$H$14)*POWER(Upgrades!$I$14,F241)))*(IF(Upgrades!$T$13="Local Bubble",POWER(Upgrades!$U$13,E241),1)*IF(Upgrades!$T$15="Local Bubble",POWER(Upgrades!$U$15,G241),1)*IF(Upgrades!$T$16="Local Bubble",POWER(Upgrades!$U$16,H241),1)*IF(Upgrades!$T$17="Local Bubble",POWER(Upgrades!$U$17,I241),1)*IF(Upgrades!$T$18="Local Bubble",POWER(Upgrades!$U$18,J241),1)*IF(Upgrades!$T$19="Local Bubble",POWER(Upgrades!$U$19,K241),1)*IF(Upgrades!$T$20="Local Bubble",POWER(Upgrades!$U$20,L241),1)*IF(Upgrades!$T$21="Local Bubble",POWER(Upgrades!$U$21,M241),1))+(IF(G241=0,0,(Upgrades!$G$15+G241*Upgrades!$H$15)*POWER(Upgrades!$I$15,G241)))*(IF(Upgrades!$T$13="Microlensing",POWER(Upgrades!$U$13,E241),1)*IF(Upgrades!$T$14="Microlensing",POWER(Upgrades!$U$14,F241),1)*IF(Upgrades!$T$16="Microlensing",POWER(Upgrades!$U$16,H241),1)*IF(Upgrades!$T$17="Microlensing",POWER(Upgrades!$U$17,I241),1)*IF(Upgrades!$T$18="Microlensing",POWER(Upgrades!$U$18,J241),1)*IF(Upgrades!$T$19="Microlensing",POWER(Upgrades!$U$19,K241),1)*IF(Upgrades!$T$20="Microlensing",POWER(Upgrades!$U$20,L241),1)*IF(Upgrades!$T$21="Microlensing",POWER(Upgrades!$U$21,M241),1))+(IF(H241=0,0,(Upgrades!$G$16+H241*Upgrades!$H$16)*POWER(Upgrades!$I$16,H241)))*(IF(Upgrades!$T$13="Roche Lobe Overflow",POWER(Upgrades!$U$13,E241),1)*IF(Upgrades!$T$14="Roche Lobe Overflow",POWER(Upgrades!$U$14,F241),1)*IF(Upgrades!$T$15="Roche Lobe Overflow",POWER(Upgrades!$U$15,G241),1)*IF(Upgrades!$T$17="Roche Lobe Overflow",POWER(Upgrades!$U$17,I241),1)*IF(Upgrades!$T$18="Roche Lobe Overflow",POWER(Upgrades!$U$18,J241),1)*IF(Upgrades!$T$19="Roche Lobe Overflow",POWER(Upgrades!$U$19,K241),1)*IF(Upgrades!$T$20="Roche Lobe Overflow",POWER(Upgrades!$U$20,L241),1)*IF(Upgrades!$T$21="Roche Lobe Overflow",POWER(Upgrades!$U$21,M241),1))+(IF(I241=0,0,(Upgrades!$G$17+I241*Upgrades!$H$17)*POWER(Upgrades!$I$17,I241)))*(IF(Upgrades!$T$13="Brown Dwarf",POWER(Upgrades!$U$13,E241),1)*IF(Upgrades!$T$14="Brown Dwarf",POWER(Upgrades!$U$14,F241),1)*IF(Upgrades!$T$15="Brown Dwarf",POWER(Upgrades!$U$15,G241),1)*IF(Upgrades!$T$16="Brown Dwarf",POWER(Upgrades!$U$16,H241),1)*IF(Upgrades!$T$18="Brown Dwarf",POWER(Upgrades!$U$18,J241),1)*IF(Upgrades!$T$19="Brown Dwarf",POWER(Upgrades!$U$19,K241),1)*IF(Upgrades!$T$20="Brown Dwarf",POWER(Upgrades!$U$20,L241),1)*IF(Upgrades!$T$21="Brown Dwarf",POWER(Upgrades!$U$21,M241),1))+(IF(J241=0,0,(Upgrades!$G$18+J241*Upgrades!$H$18)*POWER(Upgrades!$I$18,J241)))*(IF(Upgrades!$T$13="Binary Partner",POWER(Upgrades!$U$13,E241),1)*IF(Upgrades!$T$14="Binary Partner",POWER(Upgrades!$U$14,F241),1)*IF(Upgrades!$T$15="Binary Partner",POWER(Upgrades!$U$15,G241),1)*IF(Upgrades!$T$16="Binary Partner",POWER(Upgrades!$U$16,H241),1)*IF(Upgrades!$T$17="Binary Partner",POWER(Upgrades!$U$17,I241),1)*IF(Upgrades!$T$19="Binary Partner",POWER(Upgrades!$U$19,K241),1)*IF(Upgrades!$T$20="Binary Partner",POWER(Upgrades!$U$20,L241),1)*IF(Upgrades!$T$21="Binary Partner",POWER(Upgrades!$U$21,M241),1))+(IF(K241=0,0,(Upgrades!$G$19+K241*Upgrades!$H$19)*POWER(Upgrades!$I$19,K241)))*(IF(Upgrades!$T$13="Peculiar Velocity",POWER(Upgrades!$U$13,E241),1)*IF(Upgrades!$T$14="Peculiar Velocity",POWER(Upgrades!$U$14,F241),1)*IF(Upgrades!$T$15="Peculiar Velocity",POWER(Upgrades!$U$15,G241),1)*IF(Upgrades!$T$16="Peculiar Velocity",POWER(Upgrades!$U$16,H241),1)*IF(Upgrades!$T$17="Peculiar Velocity",POWER(Upgrades!$U$17,I241),1)*IF(Upgrades!$T$18="Peculiar Velocity",POWER(Upgrades!$U$18,J241),1)*IF(Upgrades!$T$20="Peculiar Velocity",POWER(Upgrades!$U$20,L241),1)*IF(Upgrades!$T$21="Peculiar Velocity",POWER(Upgrades!$U$21,M241),1))+(IF(L241=0,0,(Upgrades!$G$20+L241*Upgrades!$H$20)*POWER(Upgrades!$I$20,L241)))*(IF(Upgrades!$T$13="Open Cluster",POWER(Upgrades!$U$13,E241),1)*IF(Upgrades!$T$14="Open Cluster",POWER(Upgrades!$U$14,F241),1)*IF(Upgrades!$T$15="Open Cluster",POWER(Upgrades!$U$15,G241),1)*IF(Upgrades!$T$16="Open Cluster",POWER(Upgrades!$U$16,H241),1)*IF(Upgrades!$T$17="Open Cluster",POWER(Upgrades!$U$17,I241),1)*IF(Upgrades!$T$18="Open Cluster",POWER(Upgrades!$U$18,J241),1)*IF(Upgrades!$T$19="Open Cluster",POWER(Upgrades!$U$19,K241),1)*IF(Upgrades!$T$21="Open Cluster",POWER(Upgrades!$U$21,M241),1))+(IF(M241=0,0,(Upgrades!$G$21+M241*Upgrades!$H$21)*POWER(Upgrades!$I$21,M241)))*(IF(Upgrades!$T$13="Moving Group",POWER(Upgrades!$U$13,E241),1)*IF(Upgrades!$T$14="Moving Group",POWER(Upgrades!$U$14,F241),1)*IF(Upgrades!$T$15="Moving Group",POWER(Upgrades!$U$15,G241),1)*IF(Upgrades!$T$16="Moving Group",POWER(Upgrades!$U$16,H241),1)*IF(Upgrades!$T$17="Moving Group",POWER(Upgrades!$U$17,I241),1)*IF(Upgrades!$T$18="Moving Group",POWER(Upgrades!$U$18,J241),1)*IF(Upgrades!$T$19="Moving Group",POWER(Upgrades!$U$19,K241),1)*IF(Upgrades!$T$20="Moving Group",POWER(Upgrades!$U$20,L241),1)))*POWER(Upgrades!$P$13,E241)*POWER(Upgrades!$P$14,F241)*POWER(Upgrades!$P$15,G241)*POWER(Upgrades!$P$16,H241)*POWER(Upgrades!$P$17,I241)*POWER(Upgrades!$P$18,J241)*POWER(Upgrades!$P$19,K241)*POWER(Upgrades!$P$20,L241)*POWER(Upgrades!$P$21,M241)*$F$6+$C$6</f>
        <v/>
      </c>
      <c r="Q241" s="28">
        <f>((IF(E241=0,0,(Upgrades!$M$13+E241*Upgrades!$N$13)*POWER(Upgrades!$O$13,E241)))*(IF(Upgrades!$T$14="Stellar Kinematics",POWER(Upgrades!$U$14,F241),1)*IF(Upgrades!$T$15="Stellar Kinematics",POWER(Upgrades!$U$15,G241),1)*IF(Upgrades!$T$16="Stellar Kinematics",POWER(Upgrades!$U$16,H241),1)*IF(Upgrades!$T$17="Stellar Kinematics",POWER(Upgrades!$U$17,I241),1)*IF(Upgrades!$T$18="Stellar Kinematics",POWER(Upgrades!$U$18,J241),1)*IF(Upgrades!$T$19="Stellar Kinematics",POWER(Upgrades!$U$19,K241),1)*IF(Upgrades!$T$20="Stellar Kinematics",POWER(Upgrades!$U$20,L241),1)*IF(Upgrades!$T$21="Stellar Kinematics",POWER(Upgrades!$U$21,M241),1))+(IF(F241=0,0,(Upgrades!$M$14+F241*Upgrades!$N$14)*POWER(Upgrades!$O$14,F241)))*(IF(Upgrades!$T$13="Local Bubble",POWER(Upgrades!$U$13,E241),1)*IF(Upgrades!$T$15="Local Bubble",POWER(Upgrades!$U$15,G241),1)*IF(Upgrades!$T$16="Local Bubble",POWER(Upgrades!$U$16,H241),1)*IF(Upgrades!$T$17="Local Bubble",POWER(Upgrades!$U$17,I241),1)*IF(Upgrades!$T$18="Local Bubble",POWER(Upgrades!$U$18,J241),1)*IF(Upgrades!$T$19="Local Bubble",POWER(Upgrades!$U$19,K241),1)*IF(Upgrades!$T$20="Local Bubble",POWER(Upgrades!$U$20,L241),1)*IF(Upgrades!$T$21="Local Bubble",POWER(Upgrades!$U$21,M241),1))+(IF(G241=0,0,(Upgrades!$M$15+G241*Upgrades!$N$15)*POWER(Upgrades!$O$15,G241)))*(IF(Upgrades!$T$13="Microlensing",POWER(Upgrades!$U$13,E241),1)*IF(Upgrades!$T$14="Microlensing",POWER(Upgrades!$U$14,F241),1)*IF(Upgrades!$T$16="Microlensing",POWER(Upgrades!$U$16,H241),1)*IF(Upgrades!$T$17="Microlensing",POWER(Upgrades!$U$17,I241),1)*IF(Upgrades!$T$18="Microlensing",POWER(Upgrades!$U$18,J241),1)*IF(Upgrades!$T$19="Microlensing",POWER(Upgrades!$U$19,K241),1)*IF(Upgrades!$T$20="Microlensing",POWER(Upgrades!$U$20,L241),1)*IF(Upgrades!$T$21="Microlensing",POWER(Upgrades!$U$21,M241),1))+(IF(H241=0,0,(Upgrades!$M$16+H241*Upgrades!$N$16)*POWER(Upgrades!$O$16,H241)))*(IF(Upgrades!$T$13="Roche Lobe Overflow",POWER(Upgrades!$U$13,E241),1)*IF(Upgrades!$T$14="Roche Lobe Overflow",POWER(Upgrades!$U$14,F241),1)*IF(Upgrades!$T$15="Roche Lobe Overflow",POWER(Upgrades!$U$15,G241),1)*IF(Upgrades!$T$17="Roche Lobe Overflow",POWER(Upgrades!$U$17,I241),1)*IF(Upgrades!$T$18="Roche Lobe Overflow",POWER(Upgrades!$U$18,J241),1)*IF(Upgrades!$T$19="Roche Lobe Overflow",POWER(Upgrades!$U$19,K241),1)*IF(Upgrades!$T$20="Roche Lobe Overflow",POWER(Upgrades!$U$20,L241),1)*IF(Upgrades!$T$21="Roche Lobe Overflow",POWER(Upgrades!$U$21,M241),1))+(IF(I241=0,0,(Upgrades!$M$17+I241*Upgrades!$N$17)*POWER(Upgrades!$O$17,I241)))*(IF(Upgrades!$T$13="Brown Dwarf",POWER(Upgrades!$U$13,E241),1)*IF(Upgrades!$T$14="Brown Dwarf",POWER(Upgrades!$U$14,F241),1)*IF(Upgrades!$T$15="Brown Dwarf",POWER(Upgrades!$U$15,G241),1)*IF(Upgrades!$T$16="Brown Dwarf",POWER(Upgrades!$U$16,H241),1)*IF(Upgrades!$T$18="Brown Dwarf",POWER(Upgrades!$U$18,J241),1)*IF(Upgrades!$T$19="Brown Dwarf",POWER(Upgrades!$U$19,K241),1)*IF(Upgrades!$T$20="Brown Dwarf",POWER(Upgrades!$U$20,L241),1)*IF(Upgrades!$T$21="Brown Dwarf",POWER(Upgrades!$U$21,M241),1))+(IF(J241=0,0,(Upgrades!$M$18+J241*Upgrades!$N$18)*POWER(Upgrades!$O$18,J241)))*(IF(Upgrades!$T$13="Binary Partner",POWER(Upgrades!$U$13,E241),1)*IF(Upgrades!$T$14="Binary Partner",POWER(Upgrades!$U$14,F241),1)*IF(Upgrades!$T$15="Binary Partner",POWER(Upgrades!$U$15,G241),1)*IF(Upgrades!$T$16="Binary Partner",POWER(Upgrades!$U$16,H241),1)*IF(Upgrades!$T$17="Binary Partner",POWER(Upgrades!$U$17,I241),1)*IF(Upgrades!$T$19="Binary Partner",POWER(Upgrades!$U$19,K241),1)*IF(Upgrades!$T$20="Binary Partner",POWER(Upgrades!$U$20,L241),1)*IF(Upgrades!$T$21="Binary Partner",POWER(Upgrades!$U$21,M241),1))+(IF(K241=0,0,(Upgrades!$M$19+K241*Upgrades!$N$19)*POWER(Upgrades!$O$19,K241)))*(IF(Upgrades!$T$13="Peculiar Velocity",POWER(Upgrades!$U$13,E241),1)*IF(Upgrades!$T$14="Peculiar Velocity",POWER(Upgrades!$U$14,F241),1)*IF(Upgrades!$T$15="Peculiar Velocity",POWER(Upgrades!$U$15,G241),1)*IF(Upgrades!$T$16="Peculiar Velocity",POWER(Upgrades!$U$16,H241),1)*IF(Upgrades!$T$17="Peculiar Velocity",POWER(Upgrades!$U$17,I241),1)*IF(Upgrades!$T$18="Peculiar Velocity",POWER(Upgrades!$U$18,J241),1)*IF(Upgrades!$T$20="Peculiar Velocity",POWER(Upgrades!$U$20,L241),1)*IF(Upgrades!$T$21="Peculiar Velocity",POWER(Upgrades!$U$21,M241),1))+(IF(L241=0,0,(Upgrades!$M$20+L241*Upgrades!$N$20)*POWER(Upgrades!$O$20,L241)))*(IF(Upgrades!$T$13="Open Cluster",POWER(Upgrades!$U$13,E241),1)*IF(Upgrades!$T$14="Open Cluster",POWER(Upgrades!$U$14,F241),1)*IF(Upgrades!$T$15="Open Cluster",POWER(Upgrades!$U$15,G241),1)*IF(Upgrades!$T$16="Open Cluster",POWER(Upgrades!$U$16,H241),1)*IF(Upgrades!$T$17="Open Cluster",POWER(Upgrades!$U$17,I241),1)*IF(Upgrades!$T$18="Open Cluster",POWER(Upgrades!$U$18,J241),1)*IF(Upgrades!$T$19="Open Cluster",POWER(Upgrades!$U$19,K241),1)*IF(Upgrades!$T$21="Open Cluster",POWER(Upgrades!$U$21,M241),1))+(IF(M241=0,0,(Upgrades!$M$21+M241*Upgrades!$N$21)*POWER(Upgrades!$O$21,M241)))*(IF(Upgrades!$T$13="Moving Group",POWER(Upgrades!$U$13,E241),1)*IF(Upgrades!$T$14="Moving Group",POWER(Upgrades!$U$14,F241),1)*IF(Upgrades!$T$15="Moving Group",POWER(Upgrades!$U$15,G241),1)*IF(Upgrades!$T$16="Moving Group",POWER(Upgrades!$U$16,H241),1)*IF(Upgrades!$T$17="Moving Group",POWER(Upgrades!$U$17,I241),1)*IF(Upgrades!$T$18="Moving Group",POWER(Upgrades!$U$18,J241),1)*IF(Upgrades!$T$19="Moving Group",POWER(Upgrades!$U$19,K241),1)*IF(Upgrades!$T$20="Moving Group",POWER(Upgrades!$U$20,L241),1)))*POWER(Upgrades!$R$13,E241)*POWER(Upgrades!$R$14,F241)*POWER(Upgrades!$R$15,G241)*POWER(Upgrades!$R$16,H241)*POWER(Upgrades!$R$17,I241)*POWER(Upgrades!$R$18,J241)*POWER(Upgrades!$R$19,K241)*POWER(Upgrades!$R$20,L241)*POWER(Upgrades!$R$21,M241)*$H$6+$E$6</f>
        <v/>
      </c>
      <c r="R241" s="27">
        <f>IF(N241=1,0,O241*Parameters!$B$10/60*Parameters!$B$11*10)</f>
        <v/>
      </c>
      <c r="S241" s="27">
        <f>IF(N241=1,0,Q241*O241*10)</f>
        <v/>
      </c>
      <c r="T241" s="27">
        <f>IF(N241=1,0,R241+S241+P241*10)</f>
        <v/>
      </c>
      <c r="U241" s="33">
        <f>BE241</f>
        <v/>
      </c>
      <c r="V241" s="22">
        <f>IF(U241="",0,IF(U241="transition",0,IF(U241="SK",AK241,IF(U241="LB",AL241,IF(U241="ML",AM241,IF(U241="RLO",AN241,IF(U241="BD",AO241,IF(U241="BiP",AP241,IF(U241="PV",AQ241,IF(U241="OC",AR241,IF(U241="MG",AS241,0))))))))))</f>
        <v/>
      </c>
      <c r="W241" s="27">
        <f>IF(U241="BiP",Upgrades!$F$18,IF(U241="PV",Upgrades!$F$19,IF(U241="OC",Upgrades!$F$20,IF(U241="MG",Upgrades!$F$21,IF(U241="transition",-Parameters!$B$18*Parameters!$B$19,0)))))</f>
        <v/>
      </c>
      <c r="X241" s="22">
        <f>C241+T241-V241</f>
        <v/>
      </c>
      <c r="Y241" s="30">
        <f>O241*Parameters!$B$10/60*Parameters!$B$11+Q241*O241+P241</f>
        <v/>
      </c>
      <c r="Z241" s="34">
        <f>IF(U241="transition","→ Tier 3 (Galactic Arm)",IF(U241="MG","Moving Group — pocket drifts together",IF(U241="OC","Open Cluster acquired",IF(U241="PV","Peculiar Velocity — passive multiplier active",IF(U241="BiP","Binary Partner — pair bond formed",IF(AND(AU241=1,N241=0,AT241&lt;&gt;1),"Cohesion ready (waiting on completionists)","")))))) </f>
        <v/>
      </c>
      <c r="AA241" s="27">
        <f>(IF(E241=0,0,(Upgrades!$G$13+E241*Upgrades!$H$13)*POWER(Upgrades!$I$13,E241)))*(IF(Upgrades!$T$14="Stellar Kinematics",POWER(Upgrades!$U$14,F241),1)*IF(Upgrades!$T$15="Stellar Kinematics",POWER(Upgrades!$U$15,G241),1)*IF(Upgrades!$T$16="Stellar Kinematics",POWER(Upgrades!$U$16,H241),1)*IF(Upgrades!$T$17="Stellar Kinematics",POWER(Upgrades!$U$17,I241),1)*IF(Upgrades!$T$18="Stellar Kinematics",POWER(Upgrades!$U$18,J241),1)*IF(Upgrades!$T$19="Stellar Kinematics",POWER(Upgrades!$U$19,K241),1)*IF(Upgrades!$T$20="Stellar Kinematics",POWER(Upgrades!$U$20,L241),1)*IF(Upgrades!$T$21="Stellar Kinematics",POWER(Upgrades!$U$21,M241),1))*POWER(Upgrades!$P$13,E241)*POWER(Upgrades!$P$14,F241)*POWER(Upgrades!$P$15,G241)*POWER(Upgrades!$P$16,H241)*POWER(Upgrades!$P$17,I241)*POWER(Upgrades!$P$18,J241)*POWER(Upgrades!$P$19,K241)*POWER(Upgrades!$P$20,L241)*POWER(Upgrades!$P$21,M241)*$F$6*60</f>
        <v/>
      </c>
      <c r="AB241" s="27">
        <f>(IF(F241=0,0,(Upgrades!$G$14+F241*Upgrades!$H$14)*POWER(Upgrades!$I$14,F241)))*(IF(Upgrades!$T$13="Local Bubble",POWER(Upgrades!$U$13,E241),1)*IF(Upgrades!$T$15="Local Bubble",POWER(Upgrades!$U$15,G241),1)*IF(Upgrades!$T$16="Local Bubble",POWER(Upgrades!$U$16,H241),1)*IF(Upgrades!$T$17="Local Bubble",POWER(Upgrades!$U$17,I241),1)*IF(Upgrades!$T$18="Local Bubble",POWER(Upgrades!$U$18,J241),1)*IF(Upgrades!$T$19="Local Bubble",POWER(Upgrades!$U$19,K241),1)*IF(Upgrades!$T$20="Local Bubble",POWER(Upgrades!$U$20,L241),1)*IF(Upgrades!$T$21="Local Bubble",POWER(Upgrades!$U$21,M241),1))*POWER(Upgrades!$P$13,E241)*POWER(Upgrades!$P$14,F241)*POWER(Upgrades!$P$15,G241)*POWER(Upgrades!$P$16,H241)*POWER(Upgrades!$P$17,I241)*POWER(Upgrades!$P$18,J241)*POWER(Upgrades!$P$19,K241)*POWER(Upgrades!$P$20,L241)*POWER(Upgrades!$P$21,M241)*$F$6*60</f>
        <v/>
      </c>
      <c r="AC241" s="27">
        <f>(IF(G241=0,0,(Upgrades!$J$15+G241*Upgrades!$K$15)*POWER(Upgrades!$L$15,G241)))*(IF(Upgrades!$T$13="Microlensing",POWER(Upgrades!$U$13,E241),1)*IF(Upgrades!$T$14="Microlensing",POWER(Upgrades!$U$14,F241),1)*IF(Upgrades!$T$16="Microlensing",POWER(Upgrades!$U$16,H241),1)*IF(Upgrades!$T$17="Microlensing",POWER(Upgrades!$U$17,I241),1)*IF(Upgrades!$T$18="Microlensing",POWER(Upgrades!$U$18,J241),1)*IF(Upgrades!$T$19="Microlensing",POWER(Upgrades!$U$19,K241),1)*IF(Upgrades!$T$20="Microlensing",POWER(Upgrades!$U$20,L241),1)*IF(Upgrades!$T$21="Microlensing",POWER(Upgrades!$U$21,M241),1))*POWER(Upgrades!$Q$13,E241)*POWER(Upgrades!$Q$14,F241)*POWER(Upgrades!$Q$15,G241)*POWER(Upgrades!$Q$16,H241)*POWER(Upgrades!$Q$17,I241)*POWER(Upgrades!$Q$18,J241)*POWER(Upgrades!$Q$19,K241)*POWER(Upgrades!$Q$20,L241)*POWER(Upgrades!$Q$21,M241)*$G$6*(Parameters!$B$10*Parameters!$B$11+Q241*60)</f>
        <v/>
      </c>
      <c r="AD241" s="27">
        <f>(IF(H241=0,0,(Upgrades!$M$16+H241*Upgrades!$N$16)*POWER(Upgrades!$O$16,H241)))*(IF(Upgrades!$T$13="Roche Lobe Overflow",POWER(Upgrades!$U$13,E241),1)*IF(Upgrades!$T$14="Roche Lobe Overflow",POWER(Upgrades!$U$14,F241),1)*IF(Upgrades!$T$15="Roche Lobe Overflow",POWER(Upgrades!$U$15,G241),1)*IF(Upgrades!$T$17="Roche Lobe Overflow",POWER(Upgrades!$U$17,I241),1)*IF(Upgrades!$T$18="Roche Lobe Overflow",POWER(Upgrades!$U$18,J241),1)*IF(Upgrades!$T$19="Roche Lobe Overflow",POWER(Upgrades!$U$19,K241),1)*IF(Upgrades!$T$20="Roche Lobe Overflow",POWER(Upgrades!$U$20,L241),1)*IF(Upgrades!$T$21="Roche Lobe Overflow",POWER(Upgrades!$U$21,M241),1))*POWER(Upgrades!$R$13,E241)*POWER(Upgrades!$R$14,F241)*POWER(Upgrades!$R$15,G241)*POWER(Upgrades!$R$16,H241)*POWER(Upgrades!$R$17,I241)*POWER(Upgrades!$R$18,J241)*POWER(Upgrades!$R$19,K241)*POWER(Upgrades!$R$20,L241)*POWER(Upgrades!$R$21,M241)*$H$6*O241*60</f>
        <v/>
      </c>
      <c r="AE241" s="27">
        <f>(IF(I241=0,0,(Upgrades!$G$17+I241*Upgrades!$H$17)*POWER(Upgrades!$I$17,I241)))*(IF(Upgrades!$T$13="Brown Dwarf",POWER(Upgrades!$U$13,E241),1)*IF(Upgrades!$T$14="Brown Dwarf",POWER(Upgrades!$U$14,F241),1)*IF(Upgrades!$T$15="Brown Dwarf",POWER(Upgrades!$U$15,G241),1)*IF(Upgrades!$T$16="Brown Dwarf",POWER(Upgrades!$U$16,H241),1)*IF(Upgrades!$T$18="Brown Dwarf",POWER(Upgrades!$U$18,J241),1)*IF(Upgrades!$T$19="Brown Dwarf",POWER(Upgrades!$U$19,K241),1)*IF(Upgrades!$T$20="Brown Dwarf",POWER(Upgrades!$U$20,L241),1)*IF(Upgrades!$T$21="Brown Dwarf",POWER(Upgrades!$U$21,M241),1))*POWER(Upgrades!$P$13,E241)*POWER(Upgrades!$P$14,F241)*POWER(Upgrades!$P$15,G241)*POWER(Upgrades!$P$16,H241)*POWER(Upgrades!$P$17,I241)*POWER(Upgrades!$P$18,J241)*POWER(Upgrades!$P$19,K241)*POWER(Upgrades!$P$20,L241)*POWER(Upgrades!$P$21,M241)*$F$6*60</f>
        <v/>
      </c>
      <c r="AF241" s="27" t="n">
        <v>0</v>
      </c>
      <c r="AG241" s="27" t="n">
        <v>0</v>
      </c>
      <c r="AH241" s="27" t="n">
        <v>0</v>
      </c>
      <c r="AI241" s="27">
        <f>(IF(M241=0,0,(Upgrades!$G$21+M241*Upgrades!$H$21)*POWER(Upgrades!$I$21,M241)))*(IF(Upgrades!$T$13="Moving Group",POWER(Upgrades!$U$13,E241),1)*IF(Upgrades!$T$14="Moving Group",POWER(Upgrades!$U$14,F241),1)*IF(Upgrades!$T$15="Moving Group",POWER(Upgrades!$U$15,G241),1)*IF(Upgrades!$T$16="Moving Group",POWER(Upgrades!$U$16,H241),1)*IF(Upgrades!$T$17="Moving Group",POWER(Upgrades!$U$17,I241),1)*IF(Upgrades!$T$18="Moving Group",POWER(Upgrades!$U$18,J241),1)*IF(Upgrades!$T$19="Moving Group",POWER(Upgrades!$U$19,K241),1)*IF(Upgrades!$T$20="Moving Group",POWER(Upgrades!$U$20,L241),1))*POWER(Upgrades!$P$13,E241)*POWER(Upgrades!$P$14,F241)*POWER(Upgrades!$P$15,G241)*POWER(Upgrades!$P$16,H241)*POWER(Upgrades!$P$17,I241)*POWER(Upgrades!$P$18,J241)*POWER(Upgrades!$P$19,K241)*POWER(Upgrades!$P$20,L241)*POWER(Upgrades!$P$21,M241)*$F$6*60</f>
        <v/>
      </c>
      <c r="AJ241" s="27">
        <f>$C$6*60</f>
        <v/>
      </c>
      <c r="AK241" s="22">
        <f>IF(E241&gt;=Upgrades!$E$13,"",Upgrades!$C$13*POWER(Upgrades!$D$13,E241))</f>
        <v/>
      </c>
      <c r="AL241" s="22">
        <f>IF(F241&gt;=Upgrades!$E$14,"",Upgrades!$C$14*POWER(Upgrades!$D$14,F241))</f>
        <v/>
      </c>
      <c r="AM241" s="22">
        <f>IF(G241&gt;=Upgrades!$E$15,"",Upgrades!$C$15*POWER(Upgrades!$D$15,G241))</f>
        <v/>
      </c>
      <c r="AN241" s="22">
        <f>IF(H241&gt;=Upgrades!$E$16,"",Upgrades!$C$16*POWER(Upgrades!$D$16,H241))</f>
        <v/>
      </c>
      <c r="AO241" s="22">
        <f>IF(I241&gt;=Upgrades!$E$17,"",Upgrades!$C$17*POWER(Upgrades!$D$17,I241))</f>
        <v/>
      </c>
      <c r="AP241" s="22">
        <f>IF(J241&gt;=Upgrades!$E$18,"",Upgrades!$C$18*POWER(Upgrades!$D$18,J241))</f>
        <v/>
      </c>
      <c r="AQ241" s="22">
        <f>IF(K241&gt;=Upgrades!$E$19,"",Upgrades!$C$19*POWER(Upgrades!$D$19,K241))</f>
        <v/>
      </c>
      <c r="AR241" s="22">
        <f>IF(L241&gt;=Upgrades!$E$20,"",Upgrades!$C$20*POWER(Upgrades!$D$20,L241))</f>
        <v/>
      </c>
      <c r="AS241" s="22">
        <f>IF(M241&gt;=Upgrades!$E$21,"",Upgrades!$C$21*POWER(Upgrades!$D$21,M241))</f>
        <v/>
      </c>
      <c r="AT241" s="26">
        <f>IF(AND(D241&gt;=Parameters!$B$18*Parameters!$B$19,(I241&gt;=Upgrades!$E$17)*(M241&gt;=Upgrades!$E$21)=1,N241=0),1,"")</f>
        <v/>
      </c>
      <c r="AU241" s="26">
        <f>IF(AND(D241&gt;=Parameters!$B$18*Parameters!$B$19,N241=0),1,"")</f>
        <v/>
      </c>
      <c r="AV241" s="22">
        <f>MIN(IF(ISNUMBER(AP241),AP241,9E15),IF(ISNUMBER(AQ241),AQ241,9E15),IF(ISNUMBER(AR241),AR241,9E15),IF(ISNUMBER(AS241),AS241,9E15))</f>
        <v/>
      </c>
      <c r="AW241" s="22">
        <f>MIN(IF(ISNUMBER(AK241),AK241,9E15),IF(ISNUMBER(AL241),AL241,9E15),IF(ISNUMBER(AM241),AM241,9E15),IF(ISNUMBER(AN241),AN241,9E15),IF(ISNUMBER(AO241),AO241,9E15))</f>
        <v/>
      </c>
      <c r="AX241" s="29">
        <f>IF(BD241&gt;Parameters!$B$21*(MAX(IF(AND(NOT(AND(AU241=1,AT241&lt;&gt;1)),ISNUMBER(AK241),AK241&lt;=(C241+T241)),AY241,0),IF(AND(NOT(AND(AU241=1,AT241&lt;&gt;1)),ISNUMBER(AL241),AL241&lt;=(C241+T241)),AZ241,0),IF(AND(NOT(AND(AU241=1,AT241&lt;&gt;1)),ISNUMBER(AM241),AM241&lt;=(C241+T241)),BA241,0),IF(AND(NOT(AND(AU241=1,AT241&lt;&gt;1)),ISNUMBER(AN241),AN241&lt;=(C241+T241)),BB241,0),IF(AND(ISNUMBER(AO241),AO241&lt;=(C241+T241)),BC241,0))),TRUE,FALSE)</f>
        <v/>
      </c>
      <c r="AY241" s="32">
        <f>IFERROR(Upgrades!$H$13*(POWER(Upgrades!$P$13,E241)*POWER(Upgrades!$P$14,F241)*POWER(Upgrades!$P$15,G241)*POWER(Upgrades!$P$16,H241)*POWER(Upgrades!$P$17,I241)*POWER(Upgrades!$P$18,J241)*POWER(Upgrades!$P$19,K241)*POWER(Upgrades!$P$20,L241)*POWER(Upgrades!$P$21,M241))*(IF(Upgrades!$T$14="Stellar Kinematics",POWER(Upgrades!$U$14,F241),1)*IF(Upgrades!$T$15="Stellar Kinematics",POWER(Upgrades!$U$15,G241),1)*IF(Upgrades!$T$16="Stellar Kinematics",POWER(Upgrades!$U$16,H241),1)*IF(Upgrades!$T$17="Stellar Kinematics",POWER(Upgrades!$U$17,I241),1)*IF(Upgrades!$T$18="Stellar Kinematics",POWER(Upgrades!$U$18,J241),1)*IF(Upgrades!$T$19="Stellar Kinematics",POWER(Upgrades!$U$19,K241),1)*IF(Upgrades!$T$20="Stellar Kinematics",POWER(Upgrades!$U$20,L241),1)*IF(Upgrades!$T$21="Stellar Kinematics",POWER(Upgrades!$U$21,M241),1))*$F$6/AK241,0)</f>
        <v/>
      </c>
      <c r="AZ241" s="32">
        <f>IFERROR(Upgrades!$H$14*(POWER(Upgrades!$P$13,E241)*POWER(Upgrades!$P$14,F241)*POWER(Upgrades!$P$15,G241)*POWER(Upgrades!$P$16,H241)*POWER(Upgrades!$P$17,I241)*POWER(Upgrades!$P$18,J241)*POWER(Upgrades!$P$19,K241)*POWER(Upgrades!$P$20,L241)*POWER(Upgrades!$P$21,M241))*(IF(Upgrades!$T$13="Local Bubble",POWER(Upgrades!$U$13,E241),1)*IF(Upgrades!$T$15="Local Bubble",POWER(Upgrades!$U$15,G241),1)*IF(Upgrades!$T$16="Local Bubble",POWER(Upgrades!$U$16,H241),1)*IF(Upgrades!$T$17="Local Bubble",POWER(Upgrades!$U$17,I241),1)*IF(Upgrades!$T$18="Local Bubble",POWER(Upgrades!$U$18,J241),1)*IF(Upgrades!$T$19="Local Bubble",POWER(Upgrades!$U$19,K241),1)*IF(Upgrades!$T$20="Local Bubble",POWER(Upgrades!$U$20,L241),1)*IF(Upgrades!$T$21="Local Bubble",POWER(Upgrades!$U$21,M241),1))*$F$6/AL241,0)</f>
        <v/>
      </c>
      <c r="BA241" s="32">
        <f>IFERROR(Upgrades!$K$15*(POWER(Upgrades!$Q$13,E241)*POWER(Upgrades!$Q$14,F241)*POWER(Upgrades!$Q$15,G241)*POWER(Upgrades!$Q$16,H241)*POWER(Upgrades!$Q$17,I241)*POWER(Upgrades!$Q$18,J241)*POWER(Upgrades!$Q$19,K241)*POWER(Upgrades!$Q$20,L241)*POWER(Upgrades!$Q$21,M241))*(IF(Upgrades!$T$13="Microlensing",POWER(Upgrades!$U$13,E241),1)*IF(Upgrades!$T$14="Microlensing",POWER(Upgrades!$U$14,F241),1)*IF(Upgrades!$T$16="Microlensing",POWER(Upgrades!$U$16,H241),1)*IF(Upgrades!$T$17="Microlensing",POWER(Upgrades!$U$17,I241),1)*IF(Upgrades!$T$18="Microlensing",POWER(Upgrades!$U$18,J241),1)*IF(Upgrades!$T$19="Microlensing",POWER(Upgrades!$U$19,K241),1)*IF(Upgrades!$T$20="Microlensing",POWER(Upgrades!$U$20,L241),1)*IF(Upgrades!$T$21="Microlensing",POWER(Upgrades!$U$21,M241),1))*$G$6*(Parameters!$B$10/60*Parameters!$B$11+Q241)/AM241,0)</f>
        <v/>
      </c>
      <c r="BB241" s="32">
        <f>IFERROR((Upgrades!$N$16*(POWER(Upgrades!$R$13,E241)*POWER(Upgrades!$R$14,F241)*POWER(Upgrades!$R$15,G241)*POWER(Upgrades!$R$16,H241)*POWER(Upgrades!$R$17,I241)*POWER(Upgrades!$R$18,J241)*POWER(Upgrades!$R$19,K241)*POWER(Upgrades!$R$20,L241)*POWER(Upgrades!$R$21,M241))*(IF(Upgrades!$T$13="Roche Lobe Overflow",POWER(Upgrades!$U$13,E241),1)*IF(Upgrades!$T$14="Roche Lobe Overflow",POWER(Upgrades!$U$14,F241),1)*IF(Upgrades!$T$15="Roche Lobe Overflow",POWER(Upgrades!$U$15,G241),1)*IF(Upgrades!$T$17="Roche Lobe Overflow",POWER(Upgrades!$U$17,I241),1)*IF(Upgrades!$T$18="Roche Lobe Overflow",POWER(Upgrades!$U$18,J241),1)*IF(Upgrades!$T$19="Roche Lobe Overflow",POWER(Upgrades!$U$19,K241),1)*IF(Upgrades!$T$20="Roche Lobe Overflow",POWER(Upgrades!$U$20,L241),1)*IF(Upgrades!$T$21="Roche Lobe Overflow",POWER(Upgrades!$U$21,M241),1))*$H$6*O241+((IF(F241=0,0,(Upgrades!$G$14+F241*Upgrades!$H$14)*POWER(Upgrades!$I$14,F241)))*(IF(Upgrades!$T$13="Local Bubble",POWER(Upgrades!$U$13,E241),1)*IF(Upgrades!$T$15="Local Bubble",POWER(Upgrades!$U$15,G241),1)*IF(Upgrades!$T$16="Local Bubble",POWER(Upgrades!$U$16,H241),1)*IF(Upgrades!$T$17="Local Bubble",POWER(Upgrades!$U$17,I241),1)*IF(Upgrades!$T$18="Local Bubble",POWER(Upgrades!$U$18,J241),1)*IF(Upgrades!$T$19="Local Bubble",POWER(Upgrades!$U$19,K241),1)*IF(Upgrades!$T$20="Local Bubble",POWER(Upgrades!$U$20,L241),1)*IF(Upgrades!$T$21="Local Bubble",POWER(Upgrades!$U$21,M241),1))*POWER(Upgrades!$P$13,E241)*POWER(Upgrades!$P$14,F241)*POWER(Upgrades!$P$15,G241)*POWER(Upgrades!$P$16,H241)*POWER(Upgrades!$P$17,I241)*POWER(Upgrades!$P$18,J241)*POWER(Upgrades!$P$19,K241)*POWER(Upgrades!$P$20,L241)*POWER(Upgrades!$P$21,M241)*$F$6)*0.05)/AN241,0)</f>
        <v/>
      </c>
      <c r="BC241" s="32">
        <f>IFERROR((Upgrades!$H$17*(POWER(Upgrades!$P$13,E241)*POWER(Upgrades!$P$14,F241)*POWER(Upgrades!$P$15,G241)*POWER(Upgrades!$P$16,H241)*POWER(Upgrades!$P$17,I241)*POWER(Upgrades!$P$18,J241)*POWER(Upgrades!$P$19,K241)*POWER(Upgrades!$P$20,L241)*POWER(Upgrades!$P$21,M241))*(IF(Upgrades!$T$13="Brown Dwarf",POWER(Upgrades!$U$13,E241),1)*IF(Upgrades!$T$14="Brown Dwarf",POWER(Upgrades!$U$14,F241),1)*IF(Upgrades!$T$15="Brown Dwarf",POWER(Upgrades!$U$15,G241),1)*IF(Upgrades!$T$16="Brown Dwarf",POWER(Upgrades!$U$16,H241),1)*IF(Upgrades!$T$18="Brown Dwarf",POWER(Upgrades!$U$18,J241),1)*IF(Upgrades!$T$19="Brown Dwarf",POWER(Upgrades!$U$19,K241),1)*IF(Upgrades!$T$20="Brown Dwarf",POWER(Upgrades!$U$20,L241),1)*IF(Upgrades!$T$21="Brown Dwarf",POWER(Upgrades!$U$21,M241),1))*$F$6+(((IF(H241=0,0,(Upgrades!$M$16+H241*Upgrades!$N$16)*POWER(Upgrades!$O$16,H241)))*(IF(Upgrades!$T$13="Roche Lobe Overflow",POWER(Upgrades!$U$13,E241),1)*IF(Upgrades!$T$14="Roche Lobe Overflow",POWER(Upgrades!$U$14,F241),1)*IF(Upgrades!$T$15="Roche Lobe Overflow",POWER(Upgrades!$U$15,G241),1)*IF(Upgrades!$T$17="Roche Lobe Overflow",POWER(Upgrades!$U$17,I241),1)*IF(Upgrades!$T$18="Roche Lobe Overflow",POWER(Upgrades!$U$18,J241),1)*IF(Upgrades!$T$19="Roche Lobe Overflow",POWER(Upgrades!$U$19,K241),1)*IF(Upgrades!$T$20="Roche Lobe Overflow",POWER(Upgrades!$U$20,L241),1)*IF(Upgrades!$T$21="Roche Lobe Overflow",POWER(Upgrades!$U$21,M241),1))*POWER(Upgrades!$R$13,E241)*POWER(Upgrades!$R$14,F241)*POWER(Upgrades!$R$15,G241)*POWER(Upgrades!$R$16,H241)*POWER(Upgrades!$R$17,I241)*POWER(Upgrades!$R$18,J241)*POWER(Upgrades!$R$19,K241)*POWER(Upgrades!$R$20,L241)*POWER(Upgrades!$R$21,M241)*$H$6)*O241)*0.10)/AO241,0)</f>
        <v/>
      </c>
      <c r="BD241" s="32">
        <f>MAX(IF(J241&gt;0,0,IFERROR(0.5*((IF(G241=0,0,(Upgrades!$J$15+G241*Upgrades!$K$15)*POWER(Upgrades!$L$15,G241)))*(IF(Upgrades!$T$13="Microlensing",POWER(Upgrades!$U$13,E241),1)*IF(Upgrades!$T$14="Microlensing",POWER(Upgrades!$U$14,F241),1)*IF(Upgrades!$T$16="Microlensing",POWER(Upgrades!$U$16,H241),1)*IF(Upgrades!$T$17="Microlensing",POWER(Upgrades!$U$17,I241),1)*IF(Upgrades!$T$18="Microlensing",POWER(Upgrades!$U$18,J241),1)*IF(Upgrades!$T$19="Microlensing",POWER(Upgrades!$U$19,K241),1)*IF(Upgrades!$T$20="Microlensing",POWER(Upgrades!$U$20,L241),1)*IF(Upgrades!$T$21="Microlensing",POWER(Upgrades!$U$21,M241),1))*(POWER(Upgrades!$Q$13,E241)*POWER(Upgrades!$Q$14,F241)*POWER(Upgrades!$Q$15,G241)*POWER(Upgrades!$Q$16,H241)*POWER(Upgrades!$Q$17,I241)*POWER(Upgrades!$Q$18,J241)*POWER(Upgrades!$Q$19,K241)*POWER(Upgrades!$Q$20,L241)*POWER(Upgrades!$Q$21,M241))*$G$6*(Parameters!$B$10/60*Parameters!$B$11+Q241))/Upgrades!$C$18,0)),IF(K241&gt;0,0,IFERROR(0.30*P241/Upgrades!$C$19,0)),IF(L241&gt;0,0,IFERROR(0.0001/Upgrades!$C$20,0)),IF(M241&gt;0,0,IFERROR((6.0*(POWER(Upgrades!$P$13,E241)*POWER(Upgrades!$P$14,F241)*POWER(Upgrades!$P$15,G241)*POWER(Upgrades!$P$16,H241)*POWER(Upgrades!$P$17,I241)*POWER(Upgrades!$P$18,J241)*POWER(Upgrades!$P$19,K241)*POWER(Upgrades!$P$20,L241)*POWER(Upgrades!$P$21,M241))*$F$6+0.20*O241*(Parameters!$B$10/60*Parameters!$B$11+Q241))/Upgrades!$C$21,0)),IF(AND(ISNUMBER(AK241),AK241&gt;(C241+T241)),AY241,0),IF(AND(ISNUMBER(AL241),AL241&gt;(C241+T241)),AZ241,0),IF(AND(ISNUMBER(AM241),AM241&gt;(C241+T241)),BA241,0),IF(AND(ISNUMBER(AN241),AN241&gt;(C241+T241)),BB241,0),IF(AND(ISNUMBER(AO241),AO241&gt;(C241+T241)),BC241,0))</f>
        <v/>
      </c>
      <c r="BE241" s="29">
        <f>IF(AT241=1,"transition",IF(MIN(IF(AND(J241=0,ISNUMBER(AP241),AP241&lt;=(C241+T241)),AP241,9E15),IF(AND(K241=0,ISNUMBER(AQ241),AQ241&lt;=(C241+T241)),AQ241,9E15),IF(AND(L241=0,ISNUMBER(AR241),AR241&lt;=(C241+T241)),AR241,9E15),IF(AND(M241=0,ISNUMBER(AS241),AS241&lt;=(C241+T241)),AS241,9E15))&lt;9E15,IF(AND(AND(J241=0,ISNUMBER(AP241),AP241&lt;=(C241+T241)),AP241=MIN(IF(AND(J241=0,ISNUMBER(AP241),AP241&lt;=(C241+T241)),AP241,9E15),IF(AND(K241=0,ISNUMBER(AQ241),AQ241&lt;=(C241+T241)),AQ241,9E15),IF(AND(L241=0,ISNUMBER(AR241),AR241&lt;=(C241+T241)),AR241,9E15),IF(AND(M241=0,ISNUMBER(AS241),AS241&lt;=(C241+T241)),AS241,9E15))),"BiP",IF(AND(AND(K241=0,ISNUMBER(AQ241),AQ241&lt;=(C241+T241)),AQ241=MIN(IF(AND(J241=0,ISNUMBER(AP241),AP241&lt;=(C241+T241)),AP241,9E15),IF(AND(K241=0,ISNUMBER(AQ241),AQ241&lt;=(C241+T241)),AQ241,9E15),IF(AND(L241=0,ISNUMBER(AR241),AR241&lt;=(C241+T241)),AR241,9E15),IF(AND(M241=0,ISNUMBER(AS241),AS241&lt;=(C241+T241)),AS241,9E15))),"PV",IF(AND(AND(L241=0,ISNUMBER(AR241),AR241&lt;=(C241+T241)),AR241=MIN(IF(AND(J241=0,ISNUMBER(AP241),AP241&lt;=(C241+T241)),AP241,9E15),IF(AND(K241=0,ISNUMBER(AQ241),AQ241&lt;=(C241+T241)),AQ241,9E15),IF(AND(L241=0,ISNUMBER(AR241),AR241&lt;=(C241+T241)),AR241,9E15),IF(AND(M241=0,ISNUMBER(AS241),AS241&lt;=(C241+T241)),AS241,9E15))),"OC","MG"))),IF(AX241=TRUE,"",IF(MAX(IF(AND(NOT(AND(AU241=1,AT241&lt;&gt;1)),ISNUMBER(AK241),AK241&lt;=(C241+T241)),AY241,0),IF(AND(NOT(AND(AU241=1,AT241&lt;&gt;1)),ISNUMBER(AL241),AL241&lt;=(C241+T241)),AZ241,0),IF(AND(NOT(AND(AU241=1,AT241&lt;&gt;1)),ISNUMBER(AM241),AM241&lt;=(C241+T241)),BA241,0),IF(AND(NOT(AND(AU241=1,AT241&lt;&gt;1)),ISNUMBER(AN241),AN241&lt;=(C241+T241)),BB241,0),IF(AND(ISNUMBER(AO241),AO241&lt;=(C241+T241)),BC241,0))&lt;=0,"",IF(AND(IF(AND(NOT(AND(AU241=1,AT241&lt;&gt;1)),ISNUMBER(AK241),AK241&lt;=(C241+T241)),AY241,0)&gt;0,IF(AND(NOT(AND(AU241=1,AT241&lt;&gt;1)),ISNUMBER(AK241),AK241&lt;=(C241+T241)),AY241,0)=MAX(IF(AND(NOT(AND(AU241=1,AT241&lt;&gt;1)),ISNUMBER(AK241),AK241&lt;=(C241+T241)),AY241,0),IF(AND(NOT(AND(AU241=1,AT241&lt;&gt;1)),ISNUMBER(AL241),AL241&lt;=(C241+T241)),AZ241,0),IF(AND(NOT(AND(AU241=1,AT241&lt;&gt;1)),ISNUMBER(AM241),AM241&lt;=(C241+T241)),BA241,0),IF(AND(NOT(AND(AU241=1,AT241&lt;&gt;1)),ISNUMBER(AN241),AN241&lt;=(C241+T241)),BB241,0),IF(AND(ISNUMBER(AO241),AO241&lt;=(C241+T241)),BC241,0))),"SK",IF(AND(IF(AND(NOT(AND(AU241=1,AT241&lt;&gt;1)),ISNUMBER(AL241),AL241&lt;=(C241+T241)),AZ241,0)&gt;0,IF(AND(NOT(AND(AU241=1,AT241&lt;&gt;1)),ISNUMBER(AL241),AL241&lt;=(C241+T241)),AZ241,0)=MAX(IF(AND(NOT(AND(AU241=1,AT241&lt;&gt;1)),ISNUMBER(AK241),AK241&lt;=(C241+T241)),AY241,0),IF(AND(NOT(AND(AU241=1,AT241&lt;&gt;1)),ISNUMBER(AL241),AL241&lt;=(C241+T241)),AZ241,0),IF(AND(NOT(AND(AU241=1,AT241&lt;&gt;1)),ISNUMBER(AM241),AM241&lt;=(C241+T241)),BA241,0),IF(AND(NOT(AND(AU241=1,AT241&lt;&gt;1)),ISNUMBER(AN241),AN241&lt;=(C241+T241)),BB241,0),IF(AND(ISNUMBER(AO241),AO241&lt;=(C241+T241)),BC241,0))),"LB",IF(AND(IF(AND(NOT(AND(AU241=1,AT241&lt;&gt;1)),ISNUMBER(AM241),AM241&lt;=(C241+T241)),BA241,0)&gt;0,IF(AND(NOT(AND(AU241=1,AT241&lt;&gt;1)),ISNUMBER(AM241),AM241&lt;=(C241+T241)),BA241,0)=MAX(IF(AND(NOT(AND(AU241=1,AT241&lt;&gt;1)),ISNUMBER(AK241),AK241&lt;=(C241+T241)),AY241,0),IF(AND(NOT(AND(AU241=1,AT241&lt;&gt;1)),ISNUMBER(AL241),AL241&lt;=(C241+T241)),AZ241,0),IF(AND(NOT(AND(AU241=1,AT241&lt;&gt;1)),ISNUMBER(AM241),AM241&lt;=(C241+T241)),BA241,0),IF(AND(NOT(AND(AU241=1,AT241&lt;&gt;1)),ISNUMBER(AN241),AN241&lt;=(C241+T241)),BB241,0),IF(AND(ISNUMBER(AO241),AO241&lt;=(C241+T241)),BC241,0))),"ML",IF(AND(IF(AND(NOT(AND(AU241=1,AT241&lt;&gt;1)),ISNUMBER(AN241),AN241&lt;=(C241+T241)),BB241,0)&gt;0,IF(AND(NOT(AND(AU241=1,AT241&lt;&gt;1)),ISNUMBER(AN241),AN241&lt;=(C241+T241)),BB241,0)=MAX(IF(AND(NOT(AND(AU241=1,AT241&lt;&gt;1)),ISNUMBER(AK241),AK241&lt;=(C241+T241)),AY241,0),IF(AND(NOT(AND(AU241=1,AT241&lt;&gt;1)),ISNUMBER(AL241),AL241&lt;=(C241+T241)),AZ241,0),IF(AND(NOT(AND(AU241=1,AT241&lt;&gt;1)),ISNUMBER(AM241),AM241&lt;=(C241+T241)),BA241,0),IF(AND(NOT(AND(AU241=1,AT241&lt;&gt;1)),ISNUMBER(AN241),AN241&lt;=(C241+T241)),BB241,0),IF(AND(ISNUMBER(AO241),AO241&lt;=(C241+T241)),BC241,0))),"RLO","BD"))))))))</f>
        <v/>
      </c>
    </row>
    <row r="242">
      <c r="A242" s="26" t="n">
        <v>231</v>
      </c>
      <c r="B242" s="27">
        <f>A242*10/60</f>
        <v/>
      </c>
      <c r="C242" s="22">
        <f>X241</f>
        <v/>
      </c>
      <c r="D242" s="27">
        <f>D241+W241</f>
        <v/>
      </c>
      <c r="E242" s="26">
        <f>E241+IF(U241="SK",1,0)</f>
        <v/>
      </c>
      <c r="F242" s="26">
        <f>F241+IF(U241="LB",1,0)</f>
        <v/>
      </c>
      <c r="G242" s="26">
        <f>G241+IF(U241="ML",1,0)</f>
        <v/>
      </c>
      <c r="H242" s="26">
        <f>H241+IF(U241="RLO",1,0)</f>
        <v/>
      </c>
      <c r="I242" s="26">
        <f>I241+IF(U241="BD",1,0)</f>
        <v/>
      </c>
      <c r="J242" s="26">
        <f>MAX(J241,IF(U241="BiP",1,0))</f>
        <v/>
      </c>
      <c r="K242" s="26">
        <f>MAX(K241,IF(U241="PV",1,0))</f>
        <v/>
      </c>
      <c r="L242" s="26">
        <f>MAX(L241,IF(U241="OC",1,0))</f>
        <v/>
      </c>
      <c r="M242" s="26">
        <f>MAX(M241,IF(U241="MG",1,0))</f>
        <v/>
      </c>
      <c r="N242" s="26">
        <f>MAX(N241,IF(U241="transition",1,0))</f>
        <v/>
      </c>
      <c r="O242" s="28">
        <f>(Parameters!$B$9+(IF(E242=0,0,(Upgrades!$J$13+E242*Upgrades!$K$13)*POWER(Upgrades!$L$13,E242)))*(IF(Upgrades!$T$14="Stellar Kinematics",POWER(Upgrades!$U$14,F242),1)*IF(Upgrades!$T$15="Stellar Kinematics",POWER(Upgrades!$U$15,G242),1)*IF(Upgrades!$T$16="Stellar Kinematics",POWER(Upgrades!$U$16,H242),1)*IF(Upgrades!$T$17="Stellar Kinematics",POWER(Upgrades!$U$17,I242),1)*IF(Upgrades!$T$18="Stellar Kinematics",POWER(Upgrades!$U$18,J242),1)*IF(Upgrades!$T$19="Stellar Kinematics",POWER(Upgrades!$U$19,K242),1)*IF(Upgrades!$T$20="Stellar Kinematics",POWER(Upgrades!$U$20,L242),1)*IF(Upgrades!$T$21="Stellar Kinematics",POWER(Upgrades!$U$21,M242),1))+(IF(F242=0,0,(Upgrades!$J$14+F242*Upgrades!$K$14)*POWER(Upgrades!$L$14,F242)))*(IF(Upgrades!$T$13="Local Bubble",POWER(Upgrades!$U$13,E242),1)*IF(Upgrades!$T$15="Local Bubble",POWER(Upgrades!$U$15,G242),1)*IF(Upgrades!$T$16="Local Bubble",POWER(Upgrades!$U$16,H242),1)*IF(Upgrades!$T$17="Local Bubble",POWER(Upgrades!$U$17,I242),1)*IF(Upgrades!$T$18="Local Bubble",POWER(Upgrades!$U$18,J242),1)*IF(Upgrades!$T$19="Local Bubble",POWER(Upgrades!$U$19,K242),1)*IF(Upgrades!$T$20="Local Bubble",POWER(Upgrades!$U$20,L242),1)*IF(Upgrades!$T$21="Local Bubble",POWER(Upgrades!$U$21,M242),1))+(IF(G242=0,0,(Upgrades!$J$15+G242*Upgrades!$K$15)*POWER(Upgrades!$L$15,G242)))*(IF(Upgrades!$T$13="Microlensing",POWER(Upgrades!$U$13,E242),1)*IF(Upgrades!$T$14="Microlensing",POWER(Upgrades!$U$14,F242),1)*IF(Upgrades!$T$16="Microlensing",POWER(Upgrades!$U$16,H242),1)*IF(Upgrades!$T$17="Microlensing",POWER(Upgrades!$U$17,I242),1)*IF(Upgrades!$T$18="Microlensing",POWER(Upgrades!$U$18,J242),1)*IF(Upgrades!$T$19="Microlensing",POWER(Upgrades!$U$19,K242),1)*IF(Upgrades!$T$20="Microlensing",POWER(Upgrades!$U$20,L242),1)*IF(Upgrades!$T$21="Microlensing",POWER(Upgrades!$U$21,M242),1))+(IF(H242=0,0,(Upgrades!$J$16+H242*Upgrades!$K$16)*POWER(Upgrades!$L$16,H242)))*(IF(Upgrades!$T$13="Roche Lobe Overflow",POWER(Upgrades!$U$13,E242),1)*IF(Upgrades!$T$14="Roche Lobe Overflow",POWER(Upgrades!$U$14,F242),1)*IF(Upgrades!$T$15="Roche Lobe Overflow",POWER(Upgrades!$U$15,G242),1)*IF(Upgrades!$T$17="Roche Lobe Overflow",POWER(Upgrades!$U$17,I242),1)*IF(Upgrades!$T$18="Roche Lobe Overflow",POWER(Upgrades!$U$18,J242),1)*IF(Upgrades!$T$19="Roche Lobe Overflow",POWER(Upgrades!$U$19,K242),1)*IF(Upgrades!$T$20="Roche Lobe Overflow",POWER(Upgrades!$U$20,L242),1)*IF(Upgrades!$T$21="Roche Lobe Overflow",POWER(Upgrades!$U$21,M242),1))+(IF(I242=0,0,(Upgrades!$J$17+I242*Upgrades!$K$17)*POWER(Upgrades!$L$17,I242)))*(IF(Upgrades!$T$13="Brown Dwarf",POWER(Upgrades!$U$13,E242),1)*IF(Upgrades!$T$14="Brown Dwarf",POWER(Upgrades!$U$14,F242),1)*IF(Upgrades!$T$15="Brown Dwarf",POWER(Upgrades!$U$15,G242),1)*IF(Upgrades!$T$16="Brown Dwarf",POWER(Upgrades!$U$16,H242),1)*IF(Upgrades!$T$18="Brown Dwarf",POWER(Upgrades!$U$18,J242),1)*IF(Upgrades!$T$19="Brown Dwarf",POWER(Upgrades!$U$19,K242),1)*IF(Upgrades!$T$20="Brown Dwarf",POWER(Upgrades!$U$20,L242),1)*IF(Upgrades!$T$21="Brown Dwarf",POWER(Upgrades!$U$21,M242),1))+(IF(J242=0,0,(Upgrades!$J$18+J242*Upgrades!$K$18)*POWER(Upgrades!$L$18,J242)))*(IF(Upgrades!$T$13="Binary Partner",POWER(Upgrades!$U$13,E242),1)*IF(Upgrades!$T$14="Binary Partner",POWER(Upgrades!$U$14,F242),1)*IF(Upgrades!$T$15="Binary Partner",POWER(Upgrades!$U$15,G242),1)*IF(Upgrades!$T$16="Binary Partner",POWER(Upgrades!$U$16,H242),1)*IF(Upgrades!$T$17="Binary Partner",POWER(Upgrades!$U$17,I242),1)*IF(Upgrades!$T$19="Binary Partner",POWER(Upgrades!$U$19,K242),1)*IF(Upgrades!$T$20="Binary Partner",POWER(Upgrades!$U$20,L242),1)*IF(Upgrades!$T$21="Binary Partner",POWER(Upgrades!$U$21,M242),1))+(IF(K242=0,0,(Upgrades!$J$19+K242*Upgrades!$K$19)*POWER(Upgrades!$L$19,K242)))*(IF(Upgrades!$T$13="Peculiar Velocity",POWER(Upgrades!$U$13,E242),1)*IF(Upgrades!$T$14="Peculiar Velocity",POWER(Upgrades!$U$14,F242),1)*IF(Upgrades!$T$15="Peculiar Velocity",POWER(Upgrades!$U$15,G242),1)*IF(Upgrades!$T$16="Peculiar Velocity",POWER(Upgrades!$U$16,H242),1)*IF(Upgrades!$T$17="Peculiar Velocity",POWER(Upgrades!$U$17,I242),1)*IF(Upgrades!$T$18="Peculiar Velocity",POWER(Upgrades!$U$18,J242),1)*IF(Upgrades!$T$20="Peculiar Velocity",POWER(Upgrades!$U$20,L242),1)*IF(Upgrades!$T$21="Peculiar Velocity",POWER(Upgrades!$U$21,M242),1))+(IF(L242=0,0,(Upgrades!$J$20+L242*Upgrades!$K$20)*POWER(Upgrades!$L$20,L242)))*(IF(Upgrades!$T$13="Open Cluster",POWER(Upgrades!$U$13,E242),1)*IF(Upgrades!$T$14="Open Cluster",POWER(Upgrades!$U$14,F242),1)*IF(Upgrades!$T$15="Open Cluster",POWER(Upgrades!$U$15,G242),1)*IF(Upgrades!$T$16="Open Cluster",POWER(Upgrades!$U$16,H242),1)*IF(Upgrades!$T$17="Open Cluster",POWER(Upgrades!$U$17,I242),1)*IF(Upgrades!$T$18="Open Cluster",POWER(Upgrades!$U$18,J242),1)*IF(Upgrades!$T$19="Open Cluster",POWER(Upgrades!$U$19,K242),1)*IF(Upgrades!$T$21="Open Cluster",POWER(Upgrades!$U$21,M242),1))+(IF(M242=0,0,(Upgrades!$J$21+M242*Upgrades!$K$21)*POWER(Upgrades!$L$21,M242)))*(IF(Upgrades!$T$13="Moving Group",POWER(Upgrades!$U$13,E242),1)*IF(Upgrades!$T$14="Moving Group",POWER(Upgrades!$U$14,F242),1)*IF(Upgrades!$T$15="Moving Group",POWER(Upgrades!$U$15,G242),1)*IF(Upgrades!$T$16="Moving Group",POWER(Upgrades!$U$16,H242),1)*IF(Upgrades!$T$17="Moving Group",POWER(Upgrades!$U$17,I242),1)*IF(Upgrades!$T$18="Moving Group",POWER(Upgrades!$U$18,J242),1)*IF(Upgrades!$T$19="Moving Group",POWER(Upgrades!$U$19,K242),1)*IF(Upgrades!$T$20="Moving Group",POWER(Upgrades!$U$20,L242),1)))*POWER(Upgrades!$Q$13,E242)*POWER(Upgrades!$Q$14,F242)*POWER(Upgrades!$Q$15,G242)*POWER(Upgrades!$Q$16,H242)*POWER(Upgrades!$Q$17,I242)*POWER(Upgrades!$Q$18,J242)*POWER(Upgrades!$Q$19,K242)*POWER(Upgrades!$Q$20,L242)*POWER(Upgrades!$Q$21,M242)*$G$6+$D$6</f>
        <v/>
      </c>
      <c r="P242" s="28">
        <f>((IF(E242=0,0,(Upgrades!$G$13+E242*Upgrades!$H$13)*POWER(Upgrades!$I$13,E242)))*(IF(Upgrades!$T$14="Stellar Kinematics",POWER(Upgrades!$U$14,F242),1)*IF(Upgrades!$T$15="Stellar Kinematics",POWER(Upgrades!$U$15,G242),1)*IF(Upgrades!$T$16="Stellar Kinematics",POWER(Upgrades!$U$16,H242),1)*IF(Upgrades!$T$17="Stellar Kinematics",POWER(Upgrades!$U$17,I242),1)*IF(Upgrades!$T$18="Stellar Kinematics",POWER(Upgrades!$U$18,J242),1)*IF(Upgrades!$T$19="Stellar Kinematics",POWER(Upgrades!$U$19,K242),1)*IF(Upgrades!$T$20="Stellar Kinematics",POWER(Upgrades!$U$20,L242),1)*IF(Upgrades!$T$21="Stellar Kinematics",POWER(Upgrades!$U$21,M242),1))+(IF(F242=0,0,(Upgrades!$G$14+F242*Upgrades!$H$14)*POWER(Upgrades!$I$14,F242)))*(IF(Upgrades!$T$13="Local Bubble",POWER(Upgrades!$U$13,E242),1)*IF(Upgrades!$T$15="Local Bubble",POWER(Upgrades!$U$15,G242),1)*IF(Upgrades!$T$16="Local Bubble",POWER(Upgrades!$U$16,H242),1)*IF(Upgrades!$T$17="Local Bubble",POWER(Upgrades!$U$17,I242),1)*IF(Upgrades!$T$18="Local Bubble",POWER(Upgrades!$U$18,J242),1)*IF(Upgrades!$T$19="Local Bubble",POWER(Upgrades!$U$19,K242),1)*IF(Upgrades!$T$20="Local Bubble",POWER(Upgrades!$U$20,L242),1)*IF(Upgrades!$T$21="Local Bubble",POWER(Upgrades!$U$21,M242),1))+(IF(G242=0,0,(Upgrades!$G$15+G242*Upgrades!$H$15)*POWER(Upgrades!$I$15,G242)))*(IF(Upgrades!$T$13="Microlensing",POWER(Upgrades!$U$13,E242),1)*IF(Upgrades!$T$14="Microlensing",POWER(Upgrades!$U$14,F242),1)*IF(Upgrades!$T$16="Microlensing",POWER(Upgrades!$U$16,H242),1)*IF(Upgrades!$T$17="Microlensing",POWER(Upgrades!$U$17,I242),1)*IF(Upgrades!$T$18="Microlensing",POWER(Upgrades!$U$18,J242),1)*IF(Upgrades!$T$19="Microlensing",POWER(Upgrades!$U$19,K242),1)*IF(Upgrades!$T$20="Microlensing",POWER(Upgrades!$U$20,L242),1)*IF(Upgrades!$T$21="Microlensing",POWER(Upgrades!$U$21,M242),1))+(IF(H242=0,0,(Upgrades!$G$16+H242*Upgrades!$H$16)*POWER(Upgrades!$I$16,H242)))*(IF(Upgrades!$T$13="Roche Lobe Overflow",POWER(Upgrades!$U$13,E242),1)*IF(Upgrades!$T$14="Roche Lobe Overflow",POWER(Upgrades!$U$14,F242),1)*IF(Upgrades!$T$15="Roche Lobe Overflow",POWER(Upgrades!$U$15,G242),1)*IF(Upgrades!$T$17="Roche Lobe Overflow",POWER(Upgrades!$U$17,I242),1)*IF(Upgrades!$T$18="Roche Lobe Overflow",POWER(Upgrades!$U$18,J242),1)*IF(Upgrades!$T$19="Roche Lobe Overflow",POWER(Upgrades!$U$19,K242),1)*IF(Upgrades!$T$20="Roche Lobe Overflow",POWER(Upgrades!$U$20,L242),1)*IF(Upgrades!$T$21="Roche Lobe Overflow",POWER(Upgrades!$U$21,M242),1))+(IF(I242=0,0,(Upgrades!$G$17+I242*Upgrades!$H$17)*POWER(Upgrades!$I$17,I242)))*(IF(Upgrades!$T$13="Brown Dwarf",POWER(Upgrades!$U$13,E242),1)*IF(Upgrades!$T$14="Brown Dwarf",POWER(Upgrades!$U$14,F242),1)*IF(Upgrades!$T$15="Brown Dwarf",POWER(Upgrades!$U$15,G242),1)*IF(Upgrades!$T$16="Brown Dwarf",POWER(Upgrades!$U$16,H242),1)*IF(Upgrades!$T$18="Brown Dwarf",POWER(Upgrades!$U$18,J242),1)*IF(Upgrades!$T$19="Brown Dwarf",POWER(Upgrades!$U$19,K242),1)*IF(Upgrades!$T$20="Brown Dwarf",POWER(Upgrades!$U$20,L242),1)*IF(Upgrades!$T$21="Brown Dwarf",POWER(Upgrades!$U$21,M242),1))+(IF(J242=0,0,(Upgrades!$G$18+J242*Upgrades!$H$18)*POWER(Upgrades!$I$18,J242)))*(IF(Upgrades!$T$13="Binary Partner",POWER(Upgrades!$U$13,E242),1)*IF(Upgrades!$T$14="Binary Partner",POWER(Upgrades!$U$14,F242),1)*IF(Upgrades!$T$15="Binary Partner",POWER(Upgrades!$U$15,G242),1)*IF(Upgrades!$T$16="Binary Partner",POWER(Upgrades!$U$16,H242),1)*IF(Upgrades!$T$17="Binary Partner",POWER(Upgrades!$U$17,I242),1)*IF(Upgrades!$T$19="Binary Partner",POWER(Upgrades!$U$19,K242),1)*IF(Upgrades!$T$20="Binary Partner",POWER(Upgrades!$U$20,L242),1)*IF(Upgrades!$T$21="Binary Partner",POWER(Upgrades!$U$21,M242),1))+(IF(K242=0,0,(Upgrades!$G$19+K242*Upgrades!$H$19)*POWER(Upgrades!$I$19,K242)))*(IF(Upgrades!$T$13="Peculiar Velocity",POWER(Upgrades!$U$13,E242),1)*IF(Upgrades!$T$14="Peculiar Velocity",POWER(Upgrades!$U$14,F242),1)*IF(Upgrades!$T$15="Peculiar Velocity",POWER(Upgrades!$U$15,G242),1)*IF(Upgrades!$T$16="Peculiar Velocity",POWER(Upgrades!$U$16,H242),1)*IF(Upgrades!$T$17="Peculiar Velocity",POWER(Upgrades!$U$17,I242),1)*IF(Upgrades!$T$18="Peculiar Velocity",POWER(Upgrades!$U$18,J242),1)*IF(Upgrades!$T$20="Peculiar Velocity",POWER(Upgrades!$U$20,L242),1)*IF(Upgrades!$T$21="Peculiar Velocity",POWER(Upgrades!$U$21,M242),1))+(IF(L242=0,0,(Upgrades!$G$20+L242*Upgrades!$H$20)*POWER(Upgrades!$I$20,L242)))*(IF(Upgrades!$T$13="Open Cluster",POWER(Upgrades!$U$13,E242),1)*IF(Upgrades!$T$14="Open Cluster",POWER(Upgrades!$U$14,F242),1)*IF(Upgrades!$T$15="Open Cluster",POWER(Upgrades!$U$15,G242),1)*IF(Upgrades!$T$16="Open Cluster",POWER(Upgrades!$U$16,H242),1)*IF(Upgrades!$T$17="Open Cluster",POWER(Upgrades!$U$17,I242),1)*IF(Upgrades!$T$18="Open Cluster",POWER(Upgrades!$U$18,J242),1)*IF(Upgrades!$T$19="Open Cluster",POWER(Upgrades!$U$19,K242),1)*IF(Upgrades!$T$21="Open Cluster",POWER(Upgrades!$U$21,M242),1))+(IF(M242=0,0,(Upgrades!$G$21+M242*Upgrades!$H$21)*POWER(Upgrades!$I$21,M242)))*(IF(Upgrades!$T$13="Moving Group",POWER(Upgrades!$U$13,E242),1)*IF(Upgrades!$T$14="Moving Group",POWER(Upgrades!$U$14,F242),1)*IF(Upgrades!$T$15="Moving Group",POWER(Upgrades!$U$15,G242),1)*IF(Upgrades!$T$16="Moving Group",POWER(Upgrades!$U$16,H242),1)*IF(Upgrades!$T$17="Moving Group",POWER(Upgrades!$U$17,I242),1)*IF(Upgrades!$T$18="Moving Group",POWER(Upgrades!$U$18,J242),1)*IF(Upgrades!$T$19="Moving Group",POWER(Upgrades!$U$19,K242),1)*IF(Upgrades!$T$20="Moving Group",POWER(Upgrades!$U$20,L242),1)))*POWER(Upgrades!$P$13,E242)*POWER(Upgrades!$P$14,F242)*POWER(Upgrades!$P$15,G242)*POWER(Upgrades!$P$16,H242)*POWER(Upgrades!$P$17,I242)*POWER(Upgrades!$P$18,J242)*POWER(Upgrades!$P$19,K242)*POWER(Upgrades!$P$20,L242)*POWER(Upgrades!$P$21,M242)*$F$6+$C$6</f>
        <v/>
      </c>
      <c r="Q242" s="28">
        <f>((IF(E242=0,0,(Upgrades!$M$13+E242*Upgrades!$N$13)*POWER(Upgrades!$O$13,E242)))*(IF(Upgrades!$T$14="Stellar Kinematics",POWER(Upgrades!$U$14,F242),1)*IF(Upgrades!$T$15="Stellar Kinematics",POWER(Upgrades!$U$15,G242),1)*IF(Upgrades!$T$16="Stellar Kinematics",POWER(Upgrades!$U$16,H242),1)*IF(Upgrades!$T$17="Stellar Kinematics",POWER(Upgrades!$U$17,I242),1)*IF(Upgrades!$T$18="Stellar Kinematics",POWER(Upgrades!$U$18,J242),1)*IF(Upgrades!$T$19="Stellar Kinematics",POWER(Upgrades!$U$19,K242),1)*IF(Upgrades!$T$20="Stellar Kinematics",POWER(Upgrades!$U$20,L242),1)*IF(Upgrades!$T$21="Stellar Kinematics",POWER(Upgrades!$U$21,M242),1))+(IF(F242=0,0,(Upgrades!$M$14+F242*Upgrades!$N$14)*POWER(Upgrades!$O$14,F242)))*(IF(Upgrades!$T$13="Local Bubble",POWER(Upgrades!$U$13,E242),1)*IF(Upgrades!$T$15="Local Bubble",POWER(Upgrades!$U$15,G242),1)*IF(Upgrades!$T$16="Local Bubble",POWER(Upgrades!$U$16,H242),1)*IF(Upgrades!$T$17="Local Bubble",POWER(Upgrades!$U$17,I242),1)*IF(Upgrades!$T$18="Local Bubble",POWER(Upgrades!$U$18,J242),1)*IF(Upgrades!$T$19="Local Bubble",POWER(Upgrades!$U$19,K242),1)*IF(Upgrades!$T$20="Local Bubble",POWER(Upgrades!$U$20,L242),1)*IF(Upgrades!$T$21="Local Bubble",POWER(Upgrades!$U$21,M242),1))+(IF(G242=0,0,(Upgrades!$M$15+G242*Upgrades!$N$15)*POWER(Upgrades!$O$15,G242)))*(IF(Upgrades!$T$13="Microlensing",POWER(Upgrades!$U$13,E242),1)*IF(Upgrades!$T$14="Microlensing",POWER(Upgrades!$U$14,F242),1)*IF(Upgrades!$T$16="Microlensing",POWER(Upgrades!$U$16,H242),1)*IF(Upgrades!$T$17="Microlensing",POWER(Upgrades!$U$17,I242),1)*IF(Upgrades!$T$18="Microlensing",POWER(Upgrades!$U$18,J242),1)*IF(Upgrades!$T$19="Microlensing",POWER(Upgrades!$U$19,K242),1)*IF(Upgrades!$T$20="Microlensing",POWER(Upgrades!$U$20,L242),1)*IF(Upgrades!$T$21="Microlensing",POWER(Upgrades!$U$21,M242),1))+(IF(H242=0,0,(Upgrades!$M$16+H242*Upgrades!$N$16)*POWER(Upgrades!$O$16,H242)))*(IF(Upgrades!$T$13="Roche Lobe Overflow",POWER(Upgrades!$U$13,E242),1)*IF(Upgrades!$T$14="Roche Lobe Overflow",POWER(Upgrades!$U$14,F242),1)*IF(Upgrades!$T$15="Roche Lobe Overflow",POWER(Upgrades!$U$15,G242),1)*IF(Upgrades!$T$17="Roche Lobe Overflow",POWER(Upgrades!$U$17,I242),1)*IF(Upgrades!$T$18="Roche Lobe Overflow",POWER(Upgrades!$U$18,J242),1)*IF(Upgrades!$T$19="Roche Lobe Overflow",POWER(Upgrades!$U$19,K242),1)*IF(Upgrades!$T$20="Roche Lobe Overflow",POWER(Upgrades!$U$20,L242),1)*IF(Upgrades!$T$21="Roche Lobe Overflow",POWER(Upgrades!$U$21,M242),1))+(IF(I242=0,0,(Upgrades!$M$17+I242*Upgrades!$N$17)*POWER(Upgrades!$O$17,I242)))*(IF(Upgrades!$T$13="Brown Dwarf",POWER(Upgrades!$U$13,E242),1)*IF(Upgrades!$T$14="Brown Dwarf",POWER(Upgrades!$U$14,F242),1)*IF(Upgrades!$T$15="Brown Dwarf",POWER(Upgrades!$U$15,G242),1)*IF(Upgrades!$T$16="Brown Dwarf",POWER(Upgrades!$U$16,H242),1)*IF(Upgrades!$T$18="Brown Dwarf",POWER(Upgrades!$U$18,J242),1)*IF(Upgrades!$T$19="Brown Dwarf",POWER(Upgrades!$U$19,K242),1)*IF(Upgrades!$T$20="Brown Dwarf",POWER(Upgrades!$U$20,L242),1)*IF(Upgrades!$T$21="Brown Dwarf",POWER(Upgrades!$U$21,M242),1))+(IF(J242=0,0,(Upgrades!$M$18+J242*Upgrades!$N$18)*POWER(Upgrades!$O$18,J242)))*(IF(Upgrades!$T$13="Binary Partner",POWER(Upgrades!$U$13,E242),1)*IF(Upgrades!$T$14="Binary Partner",POWER(Upgrades!$U$14,F242),1)*IF(Upgrades!$T$15="Binary Partner",POWER(Upgrades!$U$15,G242),1)*IF(Upgrades!$T$16="Binary Partner",POWER(Upgrades!$U$16,H242),1)*IF(Upgrades!$T$17="Binary Partner",POWER(Upgrades!$U$17,I242),1)*IF(Upgrades!$T$19="Binary Partner",POWER(Upgrades!$U$19,K242),1)*IF(Upgrades!$T$20="Binary Partner",POWER(Upgrades!$U$20,L242),1)*IF(Upgrades!$T$21="Binary Partner",POWER(Upgrades!$U$21,M242),1))+(IF(K242=0,0,(Upgrades!$M$19+K242*Upgrades!$N$19)*POWER(Upgrades!$O$19,K242)))*(IF(Upgrades!$T$13="Peculiar Velocity",POWER(Upgrades!$U$13,E242),1)*IF(Upgrades!$T$14="Peculiar Velocity",POWER(Upgrades!$U$14,F242),1)*IF(Upgrades!$T$15="Peculiar Velocity",POWER(Upgrades!$U$15,G242),1)*IF(Upgrades!$T$16="Peculiar Velocity",POWER(Upgrades!$U$16,H242),1)*IF(Upgrades!$T$17="Peculiar Velocity",POWER(Upgrades!$U$17,I242),1)*IF(Upgrades!$T$18="Peculiar Velocity",POWER(Upgrades!$U$18,J242),1)*IF(Upgrades!$T$20="Peculiar Velocity",POWER(Upgrades!$U$20,L242),1)*IF(Upgrades!$T$21="Peculiar Velocity",POWER(Upgrades!$U$21,M242),1))+(IF(L242=0,0,(Upgrades!$M$20+L242*Upgrades!$N$20)*POWER(Upgrades!$O$20,L242)))*(IF(Upgrades!$T$13="Open Cluster",POWER(Upgrades!$U$13,E242),1)*IF(Upgrades!$T$14="Open Cluster",POWER(Upgrades!$U$14,F242),1)*IF(Upgrades!$T$15="Open Cluster",POWER(Upgrades!$U$15,G242),1)*IF(Upgrades!$T$16="Open Cluster",POWER(Upgrades!$U$16,H242),1)*IF(Upgrades!$T$17="Open Cluster",POWER(Upgrades!$U$17,I242),1)*IF(Upgrades!$T$18="Open Cluster",POWER(Upgrades!$U$18,J242),1)*IF(Upgrades!$T$19="Open Cluster",POWER(Upgrades!$U$19,K242),1)*IF(Upgrades!$T$21="Open Cluster",POWER(Upgrades!$U$21,M242),1))+(IF(M242=0,0,(Upgrades!$M$21+M242*Upgrades!$N$21)*POWER(Upgrades!$O$21,M242)))*(IF(Upgrades!$T$13="Moving Group",POWER(Upgrades!$U$13,E242),1)*IF(Upgrades!$T$14="Moving Group",POWER(Upgrades!$U$14,F242),1)*IF(Upgrades!$T$15="Moving Group",POWER(Upgrades!$U$15,G242),1)*IF(Upgrades!$T$16="Moving Group",POWER(Upgrades!$U$16,H242),1)*IF(Upgrades!$T$17="Moving Group",POWER(Upgrades!$U$17,I242),1)*IF(Upgrades!$T$18="Moving Group",POWER(Upgrades!$U$18,J242),1)*IF(Upgrades!$T$19="Moving Group",POWER(Upgrades!$U$19,K242),1)*IF(Upgrades!$T$20="Moving Group",POWER(Upgrades!$U$20,L242),1)))*POWER(Upgrades!$R$13,E242)*POWER(Upgrades!$R$14,F242)*POWER(Upgrades!$R$15,G242)*POWER(Upgrades!$R$16,H242)*POWER(Upgrades!$R$17,I242)*POWER(Upgrades!$R$18,J242)*POWER(Upgrades!$R$19,K242)*POWER(Upgrades!$R$20,L242)*POWER(Upgrades!$R$21,M242)*$H$6+$E$6</f>
        <v/>
      </c>
      <c r="R242" s="27">
        <f>IF(N242=1,0,O242*Parameters!$B$10/60*Parameters!$B$11*10)</f>
        <v/>
      </c>
      <c r="S242" s="27">
        <f>IF(N242=1,0,Q242*O242*10)</f>
        <v/>
      </c>
      <c r="T242" s="27">
        <f>IF(N242=1,0,R242+S242+P242*10)</f>
        <v/>
      </c>
      <c r="U242" s="33">
        <f>BE242</f>
        <v/>
      </c>
      <c r="V242" s="22">
        <f>IF(U242="",0,IF(U242="transition",0,IF(U242="SK",AK242,IF(U242="LB",AL242,IF(U242="ML",AM242,IF(U242="RLO",AN242,IF(U242="BD",AO242,IF(U242="BiP",AP242,IF(U242="PV",AQ242,IF(U242="OC",AR242,IF(U242="MG",AS242,0))))))))))</f>
        <v/>
      </c>
      <c r="W242" s="27">
        <f>IF(U242="BiP",Upgrades!$F$18,IF(U242="PV",Upgrades!$F$19,IF(U242="OC",Upgrades!$F$20,IF(U242="MG",Upgrades!$F$21,IF(U242="transition",-Parameters!$B$18*Parameters!$B$19,0)))))</f>
        <v/>
      </c>
      <c r="X242" s="22">
        <f>C242+T242-V242</f>
        <v/>
      </c>
      <c r="Y242" s="30">
        <f>O242*Parameters!$B$10/60*Parameters!$B$11+Q242*O242+P242</f>
        <v/>
      </c>
      <c r="Z242" s="34">
        <f>IF(U242="transition","→ Tier 3 (Galactic Arm)",IF(U242="MG","Moving Group — pocket drifts together",IF(U242="OC","Open Cluster acquired",IF(U242="PV","Peculiar Velocity — passive multiplier active",IF(U242="BiP","Binary Partner — pair bond formed",IF(AND(AU242=1,N242=0,AT242&lt;&gt;1),"Cohesion ready (waiting on completionists)","")))))) </f>
        <v/>
      </c>
      <c r="AA242" s="27">
        <f>(IF(E242=0,0,(Upgrades!$G$13+E242*Upgrades!$H$13)*POWER(Upgrades!$I$13,E242)))*(IF(Upgrades!$T$14="Stellar Kinematics",POWER(Upgrades!$U$14,F242),1)*IF(Upgrades!$T$15="Stellar Kinematics",POWER(Upgrades!$U$15,G242),1)*IF(Upgrades!$T$16="Stellar Kinematics",POWER(Upgrades!$U$16,H242),1)*IF(Upgrades!$T$17="Stellar Kinematics",POWER(Upgrades!$U$17,I242),1)*IF(Upgrades!$T$18="Stellar Kinematics",POWER(Upgrades!$U$18,J242),1)*IF(Upgrades!$T$19="Stellar Kinematics",POWER(Upgrades!$U$19,K242),1)*IF(Upgrades!$T$20="Stellar Kinematics",POWER(Upgrades!$U$20,L242),1)*IF(Upgrades!$T$21="Stellar Kinematics",POWER(Upgrades!$U$21,M242),1))*POWER(Upgrades!$P$13,E242)*POWER(Upgrades!$P$14,F242)*POWER(Upgrades!$P$15,G242)*POWER(Upgrades!$P$16,H242)*POWER(Upgrades!$P$17,I242)*POWER(Upgrades!$P$18,J242)*POWER(Upgrades!$P$19,K242)*POWER(Upgrades!$P$20,L242)*POWER(Upgrades!$P$21,M242)*$F$6*60</f>
        <v/>
      </c>
      <c r="AB242" s="27">
        <f>(IF(F242=0,0,(Upgrades!$G$14+F242*Upgrades!$H$14)*POWER(Upgrades!$I$14,F242)))*(IF(Upgrades!$T$13="Local Bubble",POWER(Upgrades!$U$13,E242),1)*IF(Upgrades!$T$15="Local Bubble",POWER(Upgrades!$U$15,G242),1)*IF(Upgrades!$T$16="Local Bubble",POWER(Upgrades!$U$16,H242),1)*IF(Upgrades!$T$17="Local Bubble",POWER(Upgrades!$U$17,I242),1)*IF(Upgrades!$T$18="Local Bubble",POWER(Upgrades!$U$18,J242),1)*IF(Upgrades!$T$19="Local Bubble",POWER(Upgrades!$U$19,K242),1)*IF(Upgrades!$T$20="Local Bubble",POWER(Upgrades!$U$20,L242),1)*IF(Upgrades!$T$21="Local Bubble",POWER(Upgrades!$U$21,M242),1))*POWER(Upgrades!$P$13,E242)*POWER(Upgrades!$P$14,F242)*POWER(Upgrades!$P$15,G242)*POWER(Upgrades!$P$16,H242)*POWER(Upgrades!$P$17,I242)*POWER(Upgrades!$P$18,J242)*POWER(Upgrades!$P$19,K242)*POWER(Upgrades!$P$20,L242)*POWER(Upgrades!$P$21,M242)*$F$6*60</f>
        <v/>
      </c>
      <c r="AC242" s="27">
        <f>(IF(G242=0,0,(Upgrades!$J$15+G242*Upgrades!$K$15)*POWER(Upgrades!$L$15,G242)))*(IF(Upgrades!$T$13="Microlensing",POWER(Upgrades!$U$13,E242),1)*IF(Upgrades!$T$14="Microlensing",POWER(Upgrades!$U$14,F242),1)*IF(Upgrades!$T$16="Microlensing",POWER(Upgrades!$U$16,H242),1)*IF(Upgrades!$T$17="Microlensing",POWER(Upgrades!$U$17,I242),1)*IF(Upgrades!$T$18="Microlensing",POWER(Upgrades!$U$18,J242),1)*IF(Upgrades!$T$19="Microlensing",POWER(Upgrades!$U$19,K242),1)*IF(Upgrades!$T$20="Microlensing",POWER(Upgrades!$U$20,L242),1)*IF(Upgrades!$T$21="Microlensing",POWER(Upgrades!$U$21,M242),1))*POWER(Upgrades!$Q$13,E242)*POWER(Upgrades!$Q$14,F242)*POWER(Upgrades!$Q$15,G242)*POWER(Upgrades!$Q$16,H242)*POWER(Upgrades!$Q$17,I242)*POWER(Upgrades!$Q$18,J242)*POWER(Upgrades!$Q$19,K242)*POWER(Upgrades!$Q$20,L242)*POWER(Upgrades!$Q$21,M242)*$G$6*(Parameters!$B$10*Parameters!$B$11+Q242*60)</f>
        <v/>
      </c>
      <c r="AD242" s="27">
        <f>(IF(H242=0,0,(Upgrades!$M$16+H242*Upgrades!$N$16)*POWER(Upgrades!$O$16,H242)))*(IF(Upgrades!$T$13="Roche Lobe Overflow",POWER(Upgrades!$U$13,E242),1)*IF(Upgrades!$T$14="Roche Lobe Overflow",POWER(Upgrades!$U$14,F242),1)*IF(Upgrades!$T$15="Roche Lobe Overflow",POWER(Upgrades!$U$15,G242),1)*IF(Upgrades!$T$17="Roche Lobe Overflow",POWER(Upgrades!$U$17,I242),1)*IF(Upgrades!$T$18="Roche Lobe Overflow",POWER(Upgrades!$U$18,J242),1)*IF(Upgrades!$T$19="Roche Lobe Overflow",POWER(Upgrades!$U$19,K242),1)*IF(Upgrades!$T$20="Roche Lobe Overflow",POWER(Upgrades!$U$20,L242),1)*IF(Upgrades!$T$21="Roche Lobe Overflow",POWER(Upgrades!$U$21,M242),1))*POWER(Upgrades!$R$13,E242)*POWER(Upgrades!$R$14,F242)*POWER(Upgrades!$R$15,G242)*POWER(Upgrades!$R$16,H242)*POWER(Upgrades!$R$17,I242)*POWER(Upgrades!$R$18,J242)*POWER(Upgrades!$R$19,K242)*POWER(Upgrades!$R$20,L242)*POWER(Upgrades!$R$21,M242)*$H$6*O242*60</f>
        <v/>
      </c>
      <c r="AE242" s="27">
        <f>(IF(I242=0,0,(Upgrades!$G$17+I242*Upgrades!$H$17)*POWER(Upgrades!$I$17,I242)))*(IF(Upgrades!$T$13="Brown Dwarf",POWER(Upgrades!$U$13,E242),1)*IF(Upgrades!$T$14="Brown Dwarf",POWER(Upgrades!$U$14,F242),1)*IF(Upgrades!$T$15="Brown Dwarf",POWER(Upgrades!$U$15,G242),1)*IF(Upgrades!$T$16="Brown Dwarf",POWER(Upgrades!$U$16,H242),1)*IF(Upgrades!$T$18="Brown Dwarf",POWER(Upgrades!$U$18,J242),1)*IF(Upgrades!$T$19="Brown Dwarf",POWER(Upgrades!$U$19,K242),1)*IF(Upgrades!$T$20="Brown Dwarf",POWER(Upgrades!$U$20,L242),1)*IF(Upgrades!$T$21="Brown Dwarf",POWER(Upgrades!$U$21,M242),1))*POWER(Upgrades!$P$13,E242)*POWER(Upgrades!$P$14,F242)*POWER(Upgrades!$P$15,G242)*POWER(Upgrades!$P$16,H242)*POWER(Upgrades!$P$17,I242)*POWER(Upgrades!$P$18,J242)*POWER(Upgrades!$P$19,K242)*POWER(Upgrades!$P$20,L242)*POWER(Upgrades!$P$21,M242)*$F$6*60</f>
        <v/>
      </c>
      <c r="AF242" s="27" t="n">
        <v>0</v>
      </c>
      <c r="AG242" s="27" t="n">
        <v>0</v>
      </c>
      <c r="AH242" s="27" t="n">
        <v>0</v>
      </c>
      <c r="AI242" s="27">
        <f>(IF(M242=0,0,(Upgrades!$G$21+M242*Upgrades!$H$21)*POWER(Upgrades!$I$21,M242)))*(IF(Upgrades!$T$13="Moving Group",POWER(Upgrades!$U$13,E242),1)*IF(Upgrades!$T$14="Moving Group",POWER(Upgrades!$U$14,F242),1)*IF(Upgrades!$T$15="Moving Group",POWER(Upgrades!$U$15,G242),1)*IF(Upgrades!$T$16="Moving Group",POWER(Upgrades!$U$16,H242),1)*IF(Upgrades!$T$17="Moving Group",POWER(Upgrades!$U$17,I242),1)*IF(Upgrades!$T$18="Moving Group",POWER(Upgrades!$U$18,J242),1)*IF(Upgrades!$T$19="Moving Group",POWER(Upgrades!$U$19,K242),1)*IF(Upgrades!$T$20="Moving Group",POWER(Upgrades!$U$20,L242),1))*POWER(Upgrades!$P$13,E242)*POWER(Upgrades!$P$14,F242)*POWER(Upgrades!$P$15,G242)*POWER(Upgrades!$P$16,H242)*POWER(Upgrades!$P$17,I242)*POWER(Upgrades!$P$18,J242)*POWER(Upgrades!$P$19,K242)*POWER(Upgrades!$P$20,L242)*POWER(Upgrades!$P$21,M242)*$F$6*60</f>
        <v/>
      </c>
      <c r="AJ242" s="27">
        <f>$C$6*60</f>
        <v/>
      </c>
      <c r="AK242" s="22">
        <f>IF(E242&gt;=Upgrades!$E$13,"",Upgrades!$C$13*POWER(Upgrades!$D$13,E242))</f>
        <v/>
      </c>
      <c r="AL242" s="22">
        <f>IF(F242&gt;=Upgrades!$E$14,"",Upgrades!$C$14*POWER(Upgrades!$D$14,F242))</f>
        <v/>
      </c>
      <c r="AM242" s="22">
        <f>IF(G242&gt;=Upgrades!$E$15,"",Upgrades!$C$15*POWER(Upgrades!$D$15,G242))</f>
        <v/>
      </c>
      <c r="AN242" s="22">
        <f>IF(H242&gt;=Upgrades!$E$16,"",Upgrades!$C$16*POWER(Upgrades!$D$16,H242))</f>
        <v/>
      </c>
      <c r="AO242" s="22">
        <f>IF(I242&gt;=Upgrades!$E$17,"",Upgrades!$C$17*POWER(Upgrades!$D$17,I242))</f>
        <v/>
      </c>
      <c r="AP242" s="22">
        <f>IF(J242&gt;=Upgrades!$E$18,"",Upgrades!$C$18*POWER(Upgrades!$D$18,J242))</f>
        <v/>
      </c>
      <c r="AQ242" s="22">
        <f>IF(K242&gt;=Upgrades!$E$19,"",Upgrades!$C$19*POWER(Upgrades!$D$19,K242))</f>
        <v/>
      </c>
      <c r="AR242" s="22">
        <f>IF(L242&gt;=Upgrades!$E$20,"",Upgrades!$C$20*POWER(Upgrades!$D$20,L242))</f>
        <v/>
      </c>
      <c r="AS242" s="22">
        <f>IF(M242&gt;=Upgrades!$E$21,"",Upgrades!$C$21*POWER(Upgrades!$D$21,M242))</f>
        <v/>
      </c>
      <c r="AT242" s="26">
        <f>IF(AND(D242&gt;=Parameters!$B$18*Parameters!$B$19,(I242&gt;=Upgrades!$E$17)*(M242&gt;=Upgrades!$E$21)=1,N242=0),1,"")</f>
        <v/>
      </c>
      <c r="AU242" s="26">
        <f>IF(AND(D242&gt;=Parameters!$B$18*Parameters!$B$19,N242=0),1,"")</f>
        <v/>
      </c>
      <c r="AV242" s="22">
        <f>MIN(IF(ISNUMBER(AP242),AP242,9E15),IF(ISNUMBER(AQ242),AQ242,9E15),IF(ISNUMBER(AR242),AR242,9E15),IF(ISNUMBER(AS242),AS242,9E15))</f>
        <v/>
      </c>
      <c r="AW242" s="22">
        <f>MIN(IF(ISNUMBER(AK242),AK242,9E15),IF(ISNUMBER(AL242),AL242,9E15),IF(ISNUMBER(AM242),AM242,9E15),IF(ISNUMBER(AN242),AN242,9E15),IF(ISNUMBER(AO242),AO242,9E15))</f>
        <v/>
      </c>
      <c r="AX242" s="29">
        <f>IF(BD242&gt;Parameters!$B$21*(MAX(IF(AND(NOT(AND(AU242=1,AT242&lt;&gt;1)),ISNUMBER(AK242),AK242&lt;=(C242+T242)),AY242,0),IF(AND(NOT(AND(AU242=1,AT242&lt;&gt;1)),ISNUMBER(AL242),AL242&lt;=(C242+T242)),AZ242,0),IF(AND(NOT(AND(AU242=1,AT242&lt;&gt;1)),ISNUMBER(AM242),AM242&lt;=(C242+T242)),BA242,0),IF(AND(NOT(AND(AU242=1,AT242&lt;&gt;1)),ISNUMBER(AN242),AN242&lt;=(C242+T242)),BB242,0),IF(AND(ISNUMBER(AO242),AO242&lt;=(C242+T242)),BC242,0))),TRUE,FALSE)</f>
        <v/>
      </c>
      <c r="AY242" s="32">
        <f>IFERROR(Upgrades!$H$13*(POWER(Upgrades!$P$13,E242)*POWER(Upgrades!$P$14,F242)*POWER(Upgrades!$P$15,G242)*POWER(Upgrades!$P$16,H242)*POWER(Upgrades!$P$17,I242)*POWER(Upgrades!$P$18,J242)*POWER(Upgrades!$P$19,K242)*POWER(Upgrades!$P$20,L242)*POWER(Upgrades!$P$21,M242))*(IF(Upgrades!$T$14="Stellar Kinematics",POWER(Upgrades!$U$14,F242),1)*IF(Upgrades!$T$15="Stellar Kinematics",POWER(Upgrades!$U$15,G242),1)*IF(Upgrades!$T$16="Stellar Kinematics",POWER(Upgrades!$U$16,H242),1)*IF(Upgrades!$T$17="Stellar Kinematics",POWER(Upgrades!$U$17,I242),1)*IF(Upgrades!$T$18="Stellar Kinematics",POWER(Upgrades!$U$18,J242),1)*IF(Upgrades!$T$19="Stellar Kinematics",POWER(Upgrades!$U$19,K242),1)*IF(Upgrades!$T$20="Stellar Kinematics",POWER(Upgrades!$U$20,L242),1)*IF(Upgrades!$T$21="Stellar Kinematics",POWER(Upgrades!$U$21,M242),1))*$F$6/AK242,0)</f>
        <v/>
      </c>
      <c r="AZ242" s="32">
        <f>IFERROR(Upgrades!$H$14*(POWER(Upgrades!$P$13,E242)*POWER(Upgrades!$P$14,F242)*POWER(Upgrades!$P$15,G242)*POWER(Upgrades!$P$16,H242)*POWER(Upgrades!$P$17,I242)*POWER(Upgrades!$P$18,J242)*POWER(Upgrades!$P$19,K242)*POWER(Upgrades!$P$20,L242)*POWER(Upgrades!$P$21,M242))*(IF(Upgrades!$T$13="Local Bubble",POWER(Upgrades!$U$13,E242),1)*IF(Upgrades!$T$15="Local Bubble",POWER(Upgrades!$U$15,G242),1)*IF(Upgrades!$T$16="Local Bubble",POWER(Upgrades!$U$16,H242),1)*IF(Upgrades!$T$17="Local Bubble",POWER(Upgrades!$U$17,I242),1)*IF(Upgrades!$T$18="Local Bubble",POWER(Upgrades!$U$18,J242),1)*IF(Upgrades!$T$19="Local Bubble",POWER(Upgrades!$U$19,K242),1)*IF(Upgrades!$T$20="Local Bubble",POWER(Upgrades!$U$20,L242),1)*IF(Upgrades!$T$21="Local Bubble",POWER(Upgrades!$U$21,M242),1))*$F$6/AL242,0)</f>
        <v/>
      </c>
      <c r="BA242" s="32">
        <f>IFERROR(Upgrades!$K$15*(POWER(Upgrades!$Q$13,E242)*POWER(Upgrades!$Q$14,F242)*POWER(Upgrades!$Q$15,G242)*POWER(Upgrades!$Q$16,H242)*POWER(Upgrades!$Q$17,I242)*POWER(Upgrades!$Q$18,J242)*POWER(Upgrades!$Q$19,K242)*POWER(Upgrades!$Q$20,L242)*POWER(Upgrades!$Q$21,M242))*(IF(Upgrades!$T$13="Microlensing",POWER(Upgrades!$U$13,E242),1)*IF(Upgrades!$T$14="Microlensing",POWER(Upgrades!$U$14,F242),1)*IF(Upgrades!$T$16="Microlensing",POWER(Upgrades!$U$16,H242),1)*IF(Upgrades!$T$17="Microlensing",POWER(Upgrades!$U$17,I242),1)*IF(Upgrades!$T$18="Microlensing",POWER(Upgrades!$U$18,J242),1)*IF(Upgrades!$T$19="Microlensing",POWER(Upgrades!$U$19,K242),1)*IF(Upgrades!$T$20="Microlensing",POWER(Upgrades!$U$20,L242),1)*IF(Upgrades!$T$21="Microlensing",POWER(Upgrades!$U$21,M242),1))*$G$6*(Parameters!$B$10/60*Parameters!$B$11+Q242)/AM242,0)</f>
        <v/>
      </c>
      <c r="BB242" s="32">
        <f>IFERROR((Upgrades!$N$16*(POWER(Upgrades!$R$13,E242)*POWER(Upgrades!$R$14,F242)*POWER(Upgrades!$R$15,G242)*POWER(Upgrades!$R$16,H242)*POWER(Upgrades!$R$17,I242)*POWER(Upgrades!$R$18,J242)*POWER(Upgrades!$R$19,K242)*POWER(Upgrades!$R$20,L242)*POWER(Upgrades!$R$21,M242))*(IF(Upgrades!$T$13="Roche Lobe Overflow",POWER(Upgrades!$U$13,E242),1)*IF(Upgrades!$T$14="Roche Lobe Overflow",POWER(Upgrades!$U$14,F242),1)*IF(Upgrades!$T$15="Roche Lobe Overflow",POWER(Upgrades!$U$15,G242),1)*IF(Upgrades!$T$17="Roche Lobe Overflow",POWER(Upgrades!$U$17,I242),1)*IF(Upgrades!$T$18="Roche Lobe Overflow",POWER(Upgrades!$U$18,J242),1)*IF(Upgrades!$T$19="Roche Lobe Overflow",POWER(Upgrades!$U$19,K242),1)*IF(Upgrades!$T$20="Roche Lobe Overflow",POWER(Upgrades!$U$20,L242),1)*IF(Upgrades!$T$21="Roche Lobe Overflow",POWER(Upgrades!$U$21,M242),1))*$H$6*O242+((IF(F242=0,0,(Upgrades!$G$14+F242*Upgrades!$H$14)*POWER(Upgrades!$I$14,F242)))*(IF(Upgrades!$T$13="Local Bubble",POWER(Upgrades!$U$13,E242),1)*IF(Upgrades!$T$15="Local Bubble",POWER(Upgrades!$U$15,G242),1)*IF(Upgrades!$T$16="Local Bubble",POWER(Upgrades!$U$16,H242),1)*IF(Upgrades!$T$17="Local Bubble",POWER(Upgrades!$U$17,I242),1)*IF(Upgrades!$T$18="Local Bubble",POWER(Upgrades!$U$18,J242),1)*IF(Upgrades!$T$19="Local Bubble",POWER(Upgrades!$U$19,K242),1)*IF(Upgrades!$T$20="Local Bubble",POWER(Upgrades!$U$20,L242),1)*IF(Upgrades!$T$21="Local Bubble",POWER(Upgrades!$U$21,M242),1))*POWER(Upgrades!$P$13,E242)*POWER(Upgrades!$P$14,F242)*POWER(Upgrades!$P$15,G242)*POWER(Upgrades!$P$16,H242)*POWER(Upgrades!$P$17,I242)*POWER(Upgrades!$P$18,J242)*POWER(Upgrades!$P$19,K242)*POWER(Upgrades!$P$20,L242)*POWER(Upgrades!$P$21,M242)*$F$6)*0.05)/AN242,0)</f>
        <v/>
      </c>
      <c r="BC242" s="32">
        <f>IFERROR((Upgrades!$H$17*(POWER(Upgrades!$P$13,E242)*POWER(Upgrades!$P$14,F242)*POWER(Upgrades!$P$15,G242)*POWER(Upgrades!$P$16,H242)*POWER(Upgrades!$P$17,I242)*POWER(Upgrades!$P$18,J242)*POWER(Upgrades!$P$19,K242)*POWER(Upgrades!$P$20,L242)*POWER(Upgrades!$P$21,M242))*(IF(Upgrades!$T$13="Brown Dwarf",POWER(Upgrades!$U$13,E242),1)*IF(Upgrades!$T$14="Brown Dwarf",POWER(Upgrades!$U$14,F242),1)*IF(Upgrades!$T$15="Brown Dwarf",POWER(Upgrades!$U$15,G242),1)*IF(Upgrades!$T$16="Brown Dwarf",POWER(Upgrades!$U$16,H242),1)*IF(Upgrades!$T$18="Brown Dwarf",POWER(Upgrades!$U$18,J242),1)*IF(Upgrades!$T$19="Brown Dwarf",POWER(Upgrades!$U$19,K242),1)*IF(Upgrades!$T$20="Brown Dwarf",POWER(Upgrades!$U$20,L242),1)*IF(Upgrades!$T$21="Brown Dwarf",POWER(Upgrades!$U$21,M242),1))*$F$6+(((IF(H242=0,0,(Upgrades!$M$16+H242*Upgrades!$N$16)*POWER(Upgrades!$O$16,H242)))*(IF(Upgrades!$T$13="Roche Lobe Overflow",POWER(Upgrades!$U$13,E242),1)*IF(Upgrades!$T$14="Roche Lobe Overflow",POWER(Upgrades!$U$14,F242),1)*IF(Upgrades!$T$15="Roche Lobe Overflow",POWER(Upgrades!$U$15,G242),1)*IF(Upgrades!$T$17="Roche Lobe Overflow",POWER(Upgrades!$U$17,I242),1)*IF(Upgrades!$T$18="Roche Lobe Overflow",POWER(Upgrades!$U$18,J242),1)*IF(Upgrades!$T$19="Roche Lobe Overflow",POWER(Upgrades!$U$19,K242),1)*IF(Upgrades!$T$20="Roche Lobe Overflow",POWER(Upgrades!$U$20,L242),1)*IF(Upgrades!$T$21="Roche Lobe Overflow",POWER(Upgrades!$U$21,M242),1))*POWER(Upgrades!$R$13,E242)*POWER(Upgrades!$R$14,F242)*POWER(Upgrades!$R$15,G242)*POWER(Upgrades!$R$16,H242)*POWER(Upgrades!$R$17,I242)*POWER(Upgrades!$R$18,J242)*POWER(Upgrades!$R$19,K242)*POWER(Upgrades!$R$20,L242)*POWER(Upgrades!$R$21,M242)*$H$6)*O242)*0.10)/AO242,0)</f>
        <v/>
      </c>
      <c r="BD242" s="32">
        <f>MAX(IF(J242&gt;0,0,IFERROR(0.5*((IF(G242=0,0,(Upgrades!$J$15+G242*Upgrades!$K$15)*POWER(Upgrades!$L$15,G242)))*(IF(Upgrades!$T$13="Microlensing",POWER(Upgrades!$U$13,E242),1)*IF(Upgrades!$T$14="Microlensing",POWER(Upgrades!$U$14,F242),1)*IF(Upgrades!$T$16="Microlensing",POWER(Upgrades!$U$16,H242),1)*IF(Upgrades!$T$17="Microlensing",POWER(Upgrades!$U$17,I242),1)*IF(Upgrades!$T$18="Microlensing",POWER(Upgrades!$U$18,J242),1)*IF(Upgrades!$T$19="Microlensing",POWER(Upgrades!$U$19,K242),1)*IF(Upgrades!$T$20="Microlensing",POWER(Upgrades!$U$20,L242),1)*IF(Upgrades!$T$21="Microlensing",POWER(Upgrades!$U$21,M242),1))*(POWER(Upgrades!$Q$13,E242)*POWER(Upgrades!$Q$14,F242)*POWER(Upgrades!$Q$15,G242)*POWER(Upgrades!$Q$16,H242)*POWER(Upgrades!$Q$17,I242)*POWER(Upgrades!$Q$18,J242)*POWER(Upgrades!$Q$19,K242)*POWER(Upgrades!$Q$20,L242)*POWER(Upgrades!$Q$21,M242))*$G$6*(Parameters!$B$10/60*Parameters!$B$11+Q242))/Upgrades!$C$18,0)),IF(K242&gt;0,0,IFERROR(0.30*P242/Upgrades!$C$19,0)),IF(L242&gt;0,0,IFERROR(0.0001/Upgrades!$C$20,0)),IF(M242&gt;0,0,IFERROR((6.0*(POWER(Upgrades!$P$13,E242)*POWER(Upgrades!$P$14,F242)*POWER(Upgrades!$P$15,G242)*POWER(Upgrades!$P$16,H242)*POWER(Upgrades!$P$17,I242)*POWER(Upgrades!$P$18,J242)*POWER(Upgrades!$P$19,K242)*POWER(Upgrades!$P$20,L242)*POWER(Upgrades!$P$21,M242))*$F$6+0.20*O242*(Parameters!$B$10/60*Parameters!$B$11+Q242))/Upgrades!$C$21,0)),IF(AND(ISNUMBER(AK242),AK242&gt;(C242+T242)),AY242,0),IF(AND(ISNUMBER(AL242),AL242&gt;(C242+T242)),AZ242,0),IF(AND(ISNUMBER(AM242),AM242&gt;(C242+T242)),BA242,0),IF(AND(ISNUMBER(AN242),AN242&gt;(C242+T242)),BB242,0),IF(AND(ISNUMBER(AO242),AO242&gt;(C242+T242)),BC242,0))</f>
        <v/>
      </c>
      <c r="BE242" s="29">
        <f>IF(AT242=1,"transition",IF(MIN(IF(AND(J242=0,ISNUMBER(AP242),AP242&lt;=(C242+T242)),AP242,9E15),IF(AND(K242=0,ISNUMBER(AQ242),AQ242&lt;=(C242+T242)),AQ242,9E15),IF(AND(L242=0,ISNUMBER(AR242),AR242&lt;=(C242+T242)),AR242,9E15),IF(AND(M242=0,ISNUMBER(AS242),AS242&lt;=(C242+T242)),AS242,9E15))&lt;9E15,IF(AND(AND(J242=0,ISNUMBER(AP242),AP242&lt;=(C242+T242)),AP242=MIN(IF(AND(J242=0,ISNUMBER(AP242),AP242&lt;=(C242+T242)),AP242,9E15),IF(AND(K242=0,ISNUMBER(AQ242),AQ242&lt;=(C242+T242)),AQ242,9E15),IF(AND(L242=0,ISNUMBER(AR242),AR242&lt;=(C242+T242)),AR242,9E15),IF(AND(M242=0,ISNUMBER(AS242),AS242&lt;=(C242+T242)),AS242,9E15))),"BiP",IF(AND(AND(K242=0,ISNUMBER(AQ242),AQ242&lt;=(C242+T242)),AQ242=MIN(IF(AND(J242=0,ISNUMBER(AP242),AP242&lt;=(C242+T242)),AP242,9E15),IF(AND(K242=0,ISNUMBER(AQ242),AQ242&lt;=(C242+T242)),AQ242,9E15),IF(AND(L242=0,ISNUMBER(AR242),AR242&lt;=(C242+T242)),AR242,9E15),IF(AND(M242=0,ISNUMBER(AS242),AS242&lt;=(C242+T242)),AS242,9E15))),"PV",IF(AND(AND(L242=0,ISNUMBER(AR242),AR242&lt;=(C242+T242)),AR242=MIN(IF(AND(J242=0,ISNUMBER(AP242),AP242&lt;=(C242+T242)),AP242,9E15),IF(AND(K242=0,ISNUMBER(AQ242),AQ242&lt;=(C242+T242)),AQ242,9E15),IF(AND(L242=0,ISNUMBER(AR242),AR242&lt;=(C242+T242)),AR242,9E15),IF(AND(M242=0,ISNUMBER(AS242),AS242&lt;=(C242+T242)),AS242,9E15))),"OC","MG"))),IF(AX242=TRUE,"",IF(MAX(IF(AND(NOT(AND(AU242=1,AT242&lt;&gt;1)),ISNUMBER(AK242),AK242&lt;=(C242+T242)),AY242,0),IF(AND(NOT(AND(AU242=1,AT242&lt;&gt;1)),ISNUMBER(AL242),AL242&lt;=(C242+T242)),AZ242,0),IF(AND(NOT(AND(AU242=1,AT242&lt;&gt;1)),ISNUMBER(AM242),AM242&lt;=(C242+T242)),BA242,0),IF(AND(NOT(AND(AU242=1,AT242&lt;&gt;1)),ISNUMBER(AN242),AN242&lt;=(C242+T242)),BB242,0),IF(AND(ISNUMBER(AO242),AO242&lt;=(C242+T242)),BC242,0))&lt;=0,"",IF(AND(IF(AND(NOT(AND(AU242=1,AT242&lt;&gt;1)),ISNUMBER(AK242),AK242&lt;=(C242+T242)),AY242,0)&gt;0,IF(AND(NOT(AND(AU242=1,AT242&lt;&gt;1)),ISNUMBER(AK242),AK242&lt;=(C242+T242)),AY242,0)=MAX(IF(AND(NOT(AND(AU242=1,AT242&lt;&gt;1)),ISNUMBER(AK242),AK242&lt;=(C242+T242)),AY242,0),IF(AND(NOT(AND(AU242=1,AT242&lt;&gt;1)),ISNUMBER(AL242),AL242&lt;=(C242+T242)),AZ242,0),IF(AND(NOT(AND(AU242=1,AT242&lt;&gt;1)),ISNUMBER(AM242),AM242&lt;=(C242+T242)),BA242,0),IF(AND(NOT(AND(AU242=1,AT242&lt;&gt;1)),ISNUMBER(AN242),AN242&lt;=(C242+T242)),BB242,0),IF(AND(ISNUMBER(AO242),AO242&lt;=(C242+T242)),BC242,0))),"SK",IF(AND(IF(AND(NOT(AND(AU242=1,AT242&lt;&gt;1)),ISNUMBER(AL242),AL242&lt;=(C242+T242)),AZ242,0)&gt;0,IF(AND(NOT(AND(AU242=1,AT242&lt;&gt;1)),ISNUMBER(AL242),AL242&lt;=(C242+T242)),AZ242,0)=MAX(IF(AND(NOT(AND(AU242=1,AT242&lt;&gt;1)),ISNUMBER(AK242),AK242&lt;=(C242+T242)),AY242,0),IF(AND(NOT(AND(AU242=1,AT242&lt;&gt;1)),ISNUMBER(AL242),AL242&lt;=(C242+T242)),AZ242,0),IF(AND(NOT(AND(AU242=1,AT242&lt;&gt;1)),ISNUMBER(AM242),AM242&lt;=(C242+T242)),BA242,0),IF(AND(NOT(AND(AU242=1,AT242&lt;&gt;1)),ISNUMBER(AN242),AN242&lt;=(C242+T242)),BB242,0),IF(AND(ISNUMBER(AO242),AO242&lt;=(C242+T242)),BC242,0))),"LB",IF(AND(IF(AND(NOT(AND(AU242=1,AT242&lt;&gt;1)),ISNUMBER(AM242),AM242&lt;=(C242+T242)),BA242,0)&gt;0,IF(AND(NOT(AND(AU242=1,AT242&lt;&gt;1)),ISNUMBER(AM242),AM242&lt;=(C242+T242)),BA242,0)=MAX(IF(AND(NOT(AND(AU242=1,AT242&lt;&gt;1)),ISNUMBER(AK242),AK242&lt;=(C242+T242)),AY242,0),IF(AND(NOT(AND(AU242=1,AT242&lt;&gt;1)),ISNUMBER(AL242),AL242&lt;=(C242+T242)),AZ242,0),IF(AND(NOT(AND(AU242=1,AT242&lt;&gt;1)),ISNUMBER(AM242),AM242&lt;=(C242+T242)),BA242,0),IF(AND(NOT(AND(AU242=1,AT242&lt;&gt;1)),ISNUMBER(AN242),AN242&lt;=(C242+T242)),BB242,0),IF(AND(ISNUMBER(AO242),AO242&lt;=(C242+T242)),BC242,0))),"ML",IF(AND(IF(AND(NOT(AND(AU242=1,AT242&lt;&gt;1)),ISNUMBER(AN242),AN242&lt;=(C242+T242)),BB242,0)&gt;0,IF(AND(NOT(AND(AU242=1,AT242&lt;&gt;1)),ISNUMBER(AN242),AN242&lt;=(C242+T242)),BB242,0)=MAX(IF(AND(NOT(AND(AU242=1,AT242&lt;&gt;1)),ISNUMBER(AK242),AK242&lt;=(C242+T242)),AY242,0),IF(AND(NOT(AND(AU242=1,AT242&lt;&gt;1)),ISNUMBER(AL242),AL242&lt;=(C242+T242)),AZ242,0),IF(AND(NOT(AND(AU242=1,AT242&lt;&gt;1)),ISNUMBER(AM242),AM242&lt;=(C242+T242)),BA242,0),IF(AND(NOT(AND(AU242=1,AT242&lt;&gt;1)),ISNUMBER(AN242),AN242&lt;=(C242+T242)),BB242,0),IF(AND(ISNUMBER(AO242),AO242&lt;=(C242+T242)),BC242,0))),"RLO","BD"))))))))</f>
        <v/>
      </c>
    </row>
    <row r="243">
      <c r="A243" s="26" t="n">
        <v>232</v>
      </c>
      <c r="B243" s="27">
        <f>A243*10/60</f>
        <v/>
      </c>
      <c r="C243" s="22">
        <f>X242</f>
        <v/>
      </c>
      <c r="D243" s="27">
        <f>D242+W242</f>
        <v/>
      </c>
      <c r="E243" s="26">
        <f>E242+IF(U242="SK",1,0)</f>
        <v/>
      </c>
      <c r="F243" s="26">
        <f>F242+IF(U242="LB",1,0)</f>
        <v/>
      </c>
      <c r="G243" s="26">
        <f>G242+IF(U242="ML",1,0)</f>
        <v/>
      </c>
      <c r="H243" s="26">
        <f>H242+IF(U242="RLO",1,0)</f>
        <v/>
      </c>
      <c r="I243" s="26">
        <f>I242+IF(U242="BD",1,0)</f>
        <v/>
      </c>
      <c r="J243" s="26">
        <f>MAX(J242,IF(U242="BiP",1,0))</f>
        <v/>
      </c>
      <c r="K243" s="26">
        <f>MAX(K242,IF(U242="PV",1,0))</f>
        <v/>
      </c>
      <c r="L243" s="26">
        <f>MAX(L242,IF(U242="OC",1,0))</f>
        <v/>
      </c>
      <c r="M243" s="26">
        <f>MAX(M242,IF(U242="MG",1,0))</f>
        <v/>
      </c>
      <c r="N243" s="26">
        <f>MAX(N242,IF(U242="transition",1,0))</f>
        <v/>
      </c>
      <c r="O243" s="28">
        <f>(Parameters!$B$9+(IF(E243=0,0,(Upgrades!$J$13+E243*Upgrades!$K$13)*POWER(Upgrades!$L$13,E243)))*(IF(Upgrades!$T$14="Stellar Kinematics",POWER(Upgrades!$U$14,F243),1)*IF(Upgrades!$T$15="Stellar Kinematics",POWER(Upgrades!$U$15,G243),1)*IF(Upgrades!$T$16="Stellar Kinematics",POWER(Upgrades!$U$16,H243),1)*IF(Upgrades!$T$17="Stellar Kinematics",POWER(Upgrades!$U$17,I243),1)*IF(Upgrades!$T$18="Stellar Kinematics",POWER(Upgrades!$U$18,J243),1)*IF(Upgrades!$T$19="Stellar Kinematics",POWER(Upgrades!$U$19,K243),1)*IF(Upgrades!$T$20="Stellar Kinematics",POWER(Upgrades!$U$20,L243),1)*IF(Upgrades!$T$21="Stellar Kinematics",POWER(Upgrades!$U$21,M243),1))+(IF(F243=0,0,(Upgrades!$J$14+F243*Upgrades!$K$14)*POWER(Upgrades!$L$14,F243)))*(IF(Upgrades!$T$13="Local Bubble",POWER(Upgrades!$U$13,E243),1)*IF(Upgrades!$T$15="Local Bubble",POWER(Upgrades!$U$15,G243),1)*IF(Upgrades!$T$16="Local Bubble",POWER(Upgrades!$U$16,H243),1)*IF(Upgrades!$T$17="Local Bubble",POWER(Upgrades!$U$17,I243),1)*IF(Upgrades!$T$18="Local Bubble",POWER(Upgrades!$U$18,J243),1)*IF(Upgrades!$T$19="Local Bubble",POWER(Upgrades!$U$19,K243),1)*IF(Upgrades!$T$20="Local Bubble",POWER(Upgrades!$U$20,L243),1)*IF(Upgrades!$T$21="Local Bubble",POWER(Upgrades!$U$21,M243),1))+(IF(G243=0,0,(Upgrades!$J$15+G243*Upgrades!$K$15)*POWER(Upgrades!$L$15,G243)))*(IF(Upgrades!$T$13="Microlensing",POWER(Upgrades!$U$13,E243),1)*IF(Upgrades!$T$14="Microlensing",POWER(Upgrades!$U$14,F243),1)*IF(Upgrades!$T$16="Microlensing",POWER(Upgrades!$U$16,H243),1)*IF(Upgrades!$T$17="Microlensing",POWER(Upgrades!$U$17,I243),1)*IF(Upgrades!$T$18="Microlensing",POWER(Upgrades!$U$18,J243),1)*IF(Upgrades!$T$19="Microlensing",POWER(Upgrades!$U$19,K243),1)*IF(Upgrades!$T$20="Microlensing",POWER(Upgrades!$U$20,L243),1)*IF(Upgrades!$T$21="Microlensing",POWER(Upgrades!$U$21,M243),1))+(IF(H243=0,0,(Upgrades!$J$16+H243*Upgrades!$K$16)*POWER(Upgrades!$L$16,H243)))*(IF(Upgrades!$T$13="Roche Lobe Overflow",POWER(Upgrades!$U$13,E243),1)*IF(Upgrades!$T$14="Roche Lobe Overflow",POWER(Upgrades!$U$14,F243),1)*IF(Upgrades!$T$15="Roche Lobe Overflow",POWER(Upgrades!$U$15,G243),1)*IF(Upgrades!$T$17="Roche Lobe Overflow",POWER(Upgrades!$U$17,I243),1)*IF(Upgrades!$T$18="Roche Lobe Overflow",POWER(Upgrades!$U$18,J243),1)*IF(Upgrades!$T$19="Roche Lobe Overflow",POWER(Upgrades!$U$19,K243),1)*IF(Upgrades!$T$20="Roche Lobe Overflow",POWER(Upgrades!$U$20,L243),1)*IF(Upgrades!$T$21="Roche Lobe Overflow",POWER(Upgrades!$U$21,M243),1))+(IF(I243=0,0,(Upgrades!$J$17+I243*Upgrades!$K$17)*POWER(Upgrades!$L$17,I243)))*(IF(Upgrades!$T$13="Brown Dwarf",POWER(Upgrades!$U$13,E243),1)*IF(Upgrades!$T$14="Brown Dwarf",POWER(Upgrades!$U$14,F243),1)*IF(Upgrades!$T$15="Brown Dwarf",POWER(Upgrades!$U$15,G243),1)*IF(Upgrades!$T$16="Brown Dwarf",POWER(Upgrades!$U$16,H243),1)*IF(Upgrades!$T$18="Brown Dwarf",POWER(Upgrades!$U$18,J243),1)*IF(Upgrades!$T$19="Brown Dwarf",POWER(Upgrades!$U$19,K243),1)*IF(Upgrades!$T$20="Brown Dwarf",POWER(Upgrades!$U$20,L243),1)*IF(Upgrades!$T$21="Brown Dwarf",POWER(Upgrades!$U$21,M243),1))+(IF(J243=0,0,(Upgrades!$J$18+J243*Upgrades!$K$18)*POWER(Upgrades!$L$18,J243)))*(IF(Upgrades!$T$13="Binary Partner",POWER(Upgrades!$U$13,E243),1)*IF(Upgrades!$T$14="Binary Partner",POWER(Upgrades!$U$14,F243),1)*IF(Upgrades!$T$15="Binary Partner",POWER(Upgrades!$U$15,G243),1)*IF(Upgrades!$T$16="Binary Partner",POWER(Upgrades!$U$16,H243),1)*IF(Upgrades!$T$17="Binary Partner",POWER(Upgrades!$U$17,I243),1)*IF(Upgrades!$T$19="Binary Partner",POWER(Upgrades!$U$19,K243),1)*IF(Upgrades!$T$20="Binary Partner",POWER(Upgrades!$U$20,L243),1)*IF(Upgrades!$T$21="Binary Partner",POWER(Upgrades!$U$21,M243),1))+(IF(K243=0,0,(Upgrades!$J$19+K243*Upgrades!$K$19)*POWER(Upgrades!$L$19,K243)))*(IF(Upgrades!$T$13="Peculiar Velocity",POWER(Upgrades!$U$13,E243),1)*IF(Upgrades!$T$14="Peculiar Velocity",POWER(Upgrades!$U$14,F243),1)*IF(Upgrades!$T$15="Peculiar Velocity",POWER(Upgrades!$U$15,G243),1)*IF(Upgrades!$T$16="Peculiar Velocity",POWER(Upgrades!$U$16,H243),1)*IF(Upgrades!$T$17="Peculiar Velocity",POWER(Upgrades!$U$17,I243),1)*IF(Upgrades!$T$18="Peculiar Velocity",POWER(Upgrades!$U$18,J243),1)*IF(Upgrades!$T$20="Peculiar Velocity",POWER(Upgrades!$U$20,L243),1)*IF(Upgrades!$T$21="Peculiar Velocity",POWER(Upgrades!$U$21,M243),1))+(IF(L243=0,0,(Upgrades!$J$20+L243*Upgrades!$K$20)*POWER(Upgrades!$L$20,L243)))*(IF(Upgrades!$T$13="Open Cluster",POWER(Upgrades!$U$13,E243),1)*IF(Upgrades!$T$14="Open Cluster",POWER(Upgrades!$U$14,F243),1)*IF(Upgrades!$T$15="Open Cluster",POWER(Upgrades!$U$15,G243),1)*IF(Upgrades!$T$16="Open Cluster",POWER(Upgrades!$U$16,H243),1)*IF(Upgrades!$T$17="Open Cluster",POWER(Upgrades!$U$17,I243),1)*IF(Upgrades!$T$18="Open Cluster",POWER(Upgrades!$U$18,J243),1)*IF(Upgrades!$T$19="Open Cluster",POWER(Upgrades!$U$19,K243),1)*IF(Upgrades!$T$21="Open Cluster",POWER(Upgrades!$U$21,M243),1))+(IF(M243=0,0,(Upgrades!$J$21+M243*Upgrades!$K$21)*POWER(Upgrades!$L$21,M243)))*(IF(Upgrades!$T$13="Moving Group",POWER(Upgrades!$U$13,E243),1)*IF(Upgrades!$T$14="Moving Group",POWER(Upgrades!$U$14,F243),1)*IF(Upgrades!$T$15="Moving Group",POWER(Upgrades!$U$15,G243),1)*IF(Upgrades!$T$16="Moving Group",POWER(Upgrades!$U$16,H243),1)*IF(Upgrades!$T$17="Moving Group",POWER(Upgrades!$U$17,I243),1)*IF(Upgrades!$T$18="Moving Group",POWER(Upgrades!$U$18,J243),1)*IF(Upgrades!$T$19="Moving Group",POWER(Upgrades!$U$19,K243),1)*IF(Upgrades!$T$20="Moving Group",POWER(Upgrades!$U$20,L243),1)))*POWER(Upgrades!$Q$13,E243)*POWER(Upgrades!$Q$14,F243)*POWER(Upgrades!$Q$15,G243)*POWER(Upgrades!$Q$16,H243)*POWER(Upgrades!$Q$17,I243)*POWER(Upgrades!$Q$18,J243)*POWER(Upgrades!$Q$19,K243)*POWER(Upgrades!$Q$20,L243)*POWER(Upgrades!$Q$21,M243)*$G$6+$D$6</f>
        <v/>
      </c>
      <c r="P243" s="28">
        <f>((IF(E243=0,0,(Upgrades!$G$13+E243*Upgrades!$H$13)*POWER(Upgrades!$I$13,E243)))*(IF(Upgrades!$T$14="Stellar Kinematics",POWER(Upgrades!$U$14,F243),1)*IF(Upgrades!$T$15="Stellar Kinematics",POWER(Upgrades!$U$15,G243),1)*IF(Upgrades!$T$16="Stellar Kinematics",POWER(Upgrades!$U$16,H243),1)*IF(Upgrades!$T$17="Stellar Kinematics",POWER(Upgrades!$U$17,I243),1)*IF(Upgrades!$T$18="Stellar Kinematics",POWER(Upgrades!$U$18,J243),1)*IF(Upgrades!$T$19="Stellar Kinematics",POWER(Upgrades!$U$19,K243),1)*IF(Upgrades!$T$20="Stellar Kinematics",POWER(Upgrades!$U$20,L243),1)*IF(Upgrades!$T$21="Stellar Kinematics",POWER(Upgrades!$U$21,M243),1))+(IF(F243=0,0,(Upgrades!$G$14+F243*Upgrades!$H$14)*POWER(Upgrades!$I$14,F243)))*(IF(Upgrades!$T$13="Local Bubble",POWER(Upgrades!$U$13,E243),1)*IF(Upgrades!$T$15="Local Bubble",POWER(Upgrades!$U$15,G243),1)*IF(Upgrades!$T$16="Local Bubble",POWER(Upgrades!$U$16,H243),1)*IF(Upgrades!$T$17="Local Bubble",POWER(Upgrades!$U$17,I243),1)*IF(Upgrades!$T$18="Local Bubble",POWER(Upgrades!$U$18,J243),1)*IF(Upgrades!$T$19="Local Bubble",POWER(Upgrades!$U$19,K243),1)*IF(Upgrades!$T$20="Local Bubble",POWER(Upgrades!$U$20,L243),1)*IF(Upgrades!$T$21="Local Bubble",POWER(Upgrades!$U$21,M243),1))+(IF(G243=0,0,(Upgrades!$G$15+G243*Upgrades!$H$15)*POWER(Upgrades!$I$15,G243)))*(IF(Upgrades!$T$13="Microlensing",POWER(Upgrades!$U$13,E243),1)*IF(Upgrades!$T$14="Microlensing",POWER(Upgrades!$U$14,F243),1)*IF(Upgrades!$T$16="Microlensing",POWER(Upgrades!$U$16,H243),1)*IF(Upgrades!$T$17="Microlensing",POWER(Upgrades!$U$17,I243),1)*IF(Upgrades!$T$18="Microlensing",POWER(Upgrades!$U$18,J243),1)*IF(Upgrades!$T$19="Microlensing",POWER(Upgrades!$U$19,K243),1)*IF(Upgrades!$T$20="Microlensing",POWER(Upgrades!$U$20,L243),1)*IF(Upgrades!$T$21="Microlensing",POWER(Upgrades!$U$21,M243),1))+(IF(H243=0,0,(Upgrades!$G$16+H243*Upgrades!$H$16)*POWER(Upgrades!$I$16,H243)))*(IF(Upgrades!$T$13="Roche Lobe Overflow",POWER(Upgrades!$U$13,E243),1)*IF(Upgrades!$T$14="Roche Lobe Overflow",POWER(Upgrades!$U$14,F243),1)*IF(Upgrades!$T$15="Roche Lobe Overflow",POWER(Upgrades!$U$15,G243),1)*IF(Upgrades!$T$17="Roche Lobe Overflow",POWER(Upgrades!$U$17,I243),1)*IF(Upgrades!$T$18="Roche Lobe Overflow",POWER(Upgrades!$U$18,J243),1)*IF(Upgrades!$T$19="Roche Lobe Overflow",POWER(Upgrades!$U$19,K243),1)*IF(Upgrades!$T$20="Roche Lobe Overflow",POWER(Upgrades!$U$20,L243),1)*IF(Upgrades!$T$21="Roche Lobe Overflow",POWER(Upgrades!$U$21,M243),1))+(IF(I243=0,0,(Upgrades!$G$17+I243*Upgrades!$H$17)*POWER(Upgrades!$I$17,I243)))*(IF(Upgrades!$T$13="Brown Dwarf",POWER(Upgrades!$U$13,E243),1)*IF(Upgrades!$T$14="Brown Dwarf",POWER(Upgrades!$U$14,F243),1)*IF(Upgrades!$T$15="Brown Dwarf",POWER(Upgrades!$U$15,G243),1)*IF(Upgrades!$T$16="Brown Dwarf",POWER(Upgrades!$U$16,H243),1)*IF(Upgrades!$T$18="Brown Dwarf",POWER(Upgrades!$U$18,J243),1)*IF(Upgrades!$T$19="Brown Dwarf",POWER(Upgrades!$U$19,K243),1)*IF(Upgrades!$T$20="Brown Dwarf",POWER(Upgrades!$U$20,L243),1)*IF(Upgrades!$T$21="Brown Dwarf",POWER(Upgrades!$U$21,M243),1))+(IF(J243=0,0,(Upgrades!$G$18+J243*Upgrades!$H$18)*POWER(Upgrades!$I$18,J243)))*(IF(Upgrades!$T$13="Binary Partner",POWER(Upgrades!$U$13,E243),1)*IF(Upgrades!$T$14="Binary Partner",POWER(Upgrades!$U$14,F243),1)*IF(Upgrades!$T$15="Binary Partner",POWER(Upgrades!$U$15,G243),1)*IF(Upgrades!$T$16="Binary Partner",POWER(Upgrades!$U$16,H243),1)*IF(Upgrades!$T$17="Binary Partner",POWER(Upgrades!$U$17,I243),1)*IF(Upgrades!$T$19="Binary Partner",POWER(Upgrades!$U$19,K243),1)*IF(Upgrades!$T$20="Binary Partner",POWER(Upgrades!$U$20,L243),1)*IF(Upgrades!$T$21="Binary Partner",POWER(Upgrades!$U$21,M243),1))+(IF(K243=0,0,(Upgrades!$G$19+K243*Upgrades!$H$19)*POWER(Upgrades!$I$19,K243)))*(IF(Upgrades!$T$13="Peculiar Velocity",POWER(Upgrades!$U$13,E243),1)*IF(Upgrades!$T$14="Peculiar Velocity",POWER(Upgrades!$U$14,F243),1)*IF(Upgrades!$T$15="Peculiar Velocity",POWER(Upgrades!$U$15,G243),1)*IF(Upgrades!$T$16="Peculiar Velocity",POWER(Upgrades!$U$16,H243),1)*IF(Upgrades!$T$17="Peculiar Velocity",POWER(Upgrades!$U$17,I243),1)*IF(Upgrades!$T$18="Peculiar Velocity",POWER(Upgrades!$U$18,J243),1)*IF(Upgrades!$T$20="Peculiar Velocity",POWER(Upgrades!$U$20,L243),1)*IF(Upgrades!$T$21="Peculiar Velocity",POWER(Upgrades!$U$21,M243),1))+(IF(L243=0,0,(Upgrades!$G$20+L243*Upgrades!$H$20)*POWER(Upgrades!$I$20,L243)))*(IF(Upgrades!$T$13="Open Cluster",POWER(Upgrades!$U$13,E243),1)*IF(Upgrades!$T$14="Open Cluster",POWER(Upgrades!$U$14,F243),1)*IF(Upgrades!$T$15="Open Cluster",POWER(Upgrades!$U$15,G243),1)*IF(Upgrades!$T$16="Open Cluster",POWER(Upgrades!$U$16,H243),1)*IF(Upgrades!$T$17="Open Cluster",POWER(Upgrades!$U$17,I243),1)*IF(Upgrades!$T$18="Open Cluster",POWER(Upgrades!$U$18,J243),1)*IF(Upgrades!$T$19="Open Cluster",POWER(Upgrades!$U$19,K243),1)*IF(Upgrades!$T$21="Open Cluster",POWER(Upgrades!$U$21,M243),1))+(IF(M243=0,0,(Upgrades!$G$21+M243*Upgrades!$H$21)*POWER(Upgrades!$I$21,M243)))*(IF(Upgrades!$T$13="Moving Group",POWER(Upgrades!$U$13,E243),1)*IF(Upgrades!$T$14="Moving Group",POWER(Upgrades!$U$14,F243),1)*IF(Upgrades!$T$15="Moving Group",POWER(Upgrades!$U$15,G243),1)*IF(Upgrades!$T$16="Moving Group",POWER(Upgrades!$U$16,H243),1)*IF(Upgrades!$T$17="Moving Group",POWER(Upgrades!$U$17,I243),1)*IF(Upgrades!$T$18="Moving Group",POWER(Upgrades!$U$18,J243),1)*IF(Upgrades!$T$19="Moving Group",POWER(Upgrades!$U$19,K243),1)*IF(Upgrades!$T$20="Moving Group",POWER(Upgrades!$U$20,L243),1)))*POWER(Upgrades!$P$13,E243)*POWER(Upgrades!$P$14,F243)*POWER(Upgrades!$P$15,G243)*POWER(Upgrades!$P$16,H243)*POWER(Upgrades!$P$17,I243)*POWER(Upgrades!$P$18,J243)*POWER(Upgrades!$P$19,K243)*POWER(Upgrades!$P$20,L243)*POWER(Upgrades!$P$21,M243)*$F$6+$C$6</f>
        <v/>
      </c>
      <c r="Q243" s="28">
        <f>((IF(E243=0,0,(Upgrades!$M$13+E243*Upgrades!$N$13)*POWER(Upgrades!$O$13,E243)))*(IF(Upgrades!$T$14="Stellar Kinematics",POWER(Upgrades!$U$14,F243),1)*IF(Upgrades!$T$15="Stellar Kinematics",POWER(Upgrades!$U$15,G243),1)*IF(Upgrades!$T$16="Stellar Kinematics",POWER(Upgrades!$U$16,H243),1)*IF(Upgrades!$T$17="Stellar Kinematics",POWER(Upgrades!$U$17,I243),1)*IF(Upgrades!$T$18="Stellar Kinematics",POWER(Upgrades!$U$18,J243),1)*IF(Upgrades!$T$19="Stellar Kinematics",POWER(Upgrades!$U$19,K243),1)*IF(Upgrades!$T$20="Stellar Kinematics",POWER(Upgrades!$U$20,L243),1)*IF(Upgrades!$T$21="Stellar Kinematics",POWER(Upgrades!$U$21,M243),1))+(IF(F243=0,0,(Upgrades!$M$14+F243*Upgrades!$N$14)*POWER(Upgrades!$O$14,F243)))*(IF(Upgrades!$T$13="Local Bubble",POWER(Upgrades!$U$13,E243),1)*IF(Upgrades!$T$15="Local Bubble",POWER(Upgrades!$U$15,G243),1)*IF(Upgrades!$T$16="Local Bubble",POWER(Upgrades!$U$16,H243),1)*IF(Upgrades!$T$17="Local Bubble",POWER(Upgrades!$U$17,I243),1)*IF(Upgrades!$T$18="Local Bubble",POWER(Upgrades!$U$18,J243),1)*IF(Upgrades!$T$19="Local Bubble",POWER(Upgrades!$U$19,K243),1)*IF(Upgrades!$T$20="Local Bubble",POWER(Upgrades!$U$20,L243),1)*IF(Upgrades!$T$21="Local Bubble",POWER(Upgrades!$U$21,M243),1))+(IF(G243=0,0,(Upgrades!$M$15+G243*Upgrades!$N$15)*POWER(Upgrades!$O$15,G243)))*(IF(Upgrades!$T$13="Microlensing",POWER(Upgrades!$U$13,E243),1)*IF(Upgrades!$T$14="Microlensing",POWER(Upgrades!$U$14,F243),1)*IF(Upgrades!$T$16="Microlensing",POWER(Upgrades!$U$16,H243),1)*IF(Upgrades!$T$17="Microlensing",POWER(Upgrades!$U$17,I243),1)*IF(Upgrades!$T$18="Microlensing",POWER(Upgrades!$U$18,J243),1)*IF(Upgrades!$T$19="Microlensing",POWER(Upgrades!$U$19,K243),1)*IF(Upgrades!$T$20="Microlensing",POWER(Upgrades!$U$20,L243),1)*IF(Upgrades!$T$21="Microlensing",POWER(Upgrades!$U$21,M243),1))+(IF(H243=0,0,(Upgrades!$M$16+H243*Upgrades!$N$16)*POWER(Upgrades!$O$16,H243)))*(IF(Upgrades!$T$13="Roche Lobe Overflow",POWER(Upgrades!$U$13,E243),1)*IF(Upgrades!$T$14="Roche Lobe Overflow",POWER(Upgrades!$U$14,F243),1)*IF(Upgrades!$T$15="Roche Lobe Overflow",POWER(Upgrades!$U$15,G243),1)*IF(Upgrades!$T$17="Roche Lobe Overflow",POWER(Upgrades!$U$17,I243),1)*IF(Upgrades!$T$18="Roche Lobe Overflow",POWER(Upgrades!$U$18,J243),1)*IF(Upgrades!$T$19="Roche Lobe Overflow",POWER(Upgrades!$U$19,K243),1)*IF(Upgrades!$T$20="Roche Lobe Overflow",POWER(Upgrades!$U$20,L243),1)*IF(Upgrades!$T$21="Roche Lobe Overflow",POWER(Upgrades!$U$21,M243),1))+(IF(I243=0,0,(Upgrades!$M$17+I243*Upgrades!$N$17)*POWER(Upgrades!$O$17,I243)))*(IF(Upgrades!$T$13="Brown Dwarf",POWER(Upgrades!$U$13,E243),1)*IF(Upgrades!$T$14="Brown Dwarf",POWER(Upgrades!$U$14,F243),1)*IF(Upgrades!$T$15="Brown Dwarf",POWER(Upgrades!$U$15,G243),1)*IF(Upgrades!$T$16="Brown Dwarf",POWER(Upgrades!$U$16,H243),1)*IF(Upgrades!$T$18="Brown Dwarf",POWER(Upgrades!$U$18,J243),1)*IF(Upgrades!$T$19="Brown Dwarf",POWER(Upgrades!$U$19,K243),1)*IF(Upgrades!$T$20="Brown Dwarf",POWER(Upgrades!$U$20,L243),1)*IF(Upgrades!$T$21="Brown Dwarf",POWER(Upgrades!$U$21,M243),1))+(IF(J243=0,0,(Upgrades!$M$18+J243*Upgrades!$N$18)*POWER(Upgrades!$O$18,J243)))*(IF(Upgrades!$T$13="Binary Partner",POWER(Upgrades!$U$13,E243),1)*IF(Upgrades!$T$14="Binary Partner",POWER(Upgrades!$U$14,F243),1)*IF(Upgrades!$T$15="Binary Partner",POWER(Upgrades!$U$15,G243),1)*IF(Upgrades!$T$16="Binary Partner",POWER(Upgrades!$U$16,H243),1)*IF(Upgrades!$T$17="Binary Partner",POWER(Upgrades!$U$17,I243),1)*IF(Upgrades!$T$19="Binary Partner",POWER(Upgrades!$U$19,K243),1)*IF(Upgrades!$T$20="Binary Partner",POWER(Upgrades!$U$20,L243),1)*IF(Upgrades!$T$21="Binary Partner",POWER(Upgrades!$U$21,M243),1))+(IF(K243=0,0,(Upgrades!$M$19+K243*Upgrades!$N$19)*POWER(Upgrades!$O$19,K243)))*(IF(Upgrades!$T$13="Peculiar Velocity",POWER(Upgrades!$U$13,E243),1)*IF(Upgrades!$T$14="Peculiar Velocity",POWER(Upgrades!$U$14,F243),1)*IF(Upgrades!$T$15="Peculiar Velocity",POWER(Upgrades!$U$15,G243),1)*IF(Upgrades!$T$16="Peculiar Velocity",POWER(Upgrades!$U$16,H243),1)*IF(Upgrades!$T$17="Peculiar Velocity",POWER(Upgrades!$U$17,I243),1)*IF(Upgrades!$T$18="Peculiar Velocity",POWER(Upgrades!$U$18,J243),1)*IF(Upgrades!$T$20="Peculiar Velocity",POWER(Upgrades!$U$20,L243),1)*IF(Upgrades!$T$21="Peculiar Velocity",POWER(Upgrades!$U$21,M243),1))+(IF(L243=0,0,(Upgrades!$M$20+L243*Upgrades!$N$20)*POWER(Upgrades!$O$20,L243)))*(IF(Upgrades!$T$13="Open Cluster",POWER(Upgrades!$U$13,E243),1)*IF(Upgrades!$T$14="Open Cluster",POWER(Upgrades!$U$14,F243),1)*IF(Upgrades!$T$15="Open Cluster",POWER(Upgrades!$U$15,G243),1)*IF(Upgrades!$T$16="Open Cluster",POWER(Upgrades!$U$16,H243),1)*IF(Upgrades!$T$17="Open Cluster",POWER(Upgrades!$U$17,I243),1)*IF(Upgrades!$T$18="Open Cluster",POWER(Upgrades!$U$18,J243),1)*IF(Upgrades!$T$19="Open Cluster",POWER(Upgrades!$U$19,K243),1)*IF(Upgrades!$T$21="Open Cluster",POWER(Upgrades!$U$21,M243),1))+(IF(M243=0,0,(Upgrades!$M$21+M243*Upgrades!$N$21)*POWER(Upgrades!$O$21,M243)))*(IF(Upgrades!$T$13="Moving Group",POWER(Upgrades!$U$13,E243),1)*IF(Upgrades!$T$14="Moving Group",POWER(Upgrades!$U$14,F243),1)*IF(Upgrades!$T$15="Moving Group",POWER(Upgrades!$U$15,G243),1)*IF(Upgrades!$T$16="Moving Group",POWER(Upgrades!$U$16,H243),1)*IF(Upgrades!$T$17="Moving Group",POWER(Upgrades!$U$17,I243),1)*IF(Upgrades!$T$18="Moving Group",POWER(Upgrades!$U$18,J243),1)*IF(Upgrades!$T$19="Moving Group",POWER(Upgrades!$U$19,K243),1)*IF(Upgrades!$T$20="Moving Group",POWER(Upgrades!$U$20,L243),1)))*POWER(Upgrades!$R$13,E243)*POWER(Upgrades!$R$14,F243)*POWER(Upgrades!$R$15,G243)*POWER(Upgrades!$R$16,H243)*POWER(Upgrades!$R$17,I243)*POWER(Upgrades!$R$18,J243)*POWER(Upgrades!$R$19,K243)*POWER(Upgrades!$R$20,L243)*POWER(Upgrades!$R$21,M243)*$H$6+$E$6</f>
        <v/>
      </c>
      <c r="R243" s="27">
        <f>IF(N243=1,0,O243*Parameters!$B$10/60*Parameters!$B$11*10)</f>
        <v/>
      </c>
      <c r="S243" s="27">
        <f>IF(N243=1,0,Q243*O243*10)</f>
        <v/>
      </c>
      <c r="T243" s="27">
        <f>IF(N243=1,0,R243+S243+P243*10)</f>
        <v/>
      </c>
      <c r="U243" s="33">
        <f>BE243</f>
        <v/>
      </c>
      <c r="V243" s="22">
        <f>IF(U243="",0,IF(U243="transition",0,IF(U243="SK",AK243,IF(U243="LB",AL243,IF(U243="ML",AM243,IF(U243="RLO",AN243,IF(U243="BD",AO243,IF(U243="BiP",AP243,IF(U243="PV",AQ243,IF(U243="OC",AR243,IF(U243="MG",AS243,0))))))))))</f>
        <v/>
      </c>
      <c r="W243" s="27">
        <f>IF(U243="BiP",Upgrades!$F$18,IF(U243="PV",Upgrades!$F$19,IF(U243="OC",Upgrades!$F$20,IF(U243="MG",Upgrades!$F$21,IF(U243="transition",-Parameters!$B$18*Parameters!$B$19,0)))))</f>
        <v/>
      </c>
      <c r="X243" s="22">
        <f>C243+T243-V243</f>
        <v/>
      </c>
      <c r="Y243" s="30">
        <f>O243*Parameters!$B$10/60*Parameters!$B$11+Q243*O243+P243</f>
        <v/>
      </c>
      <c r="Z243" s="34">
        <f>IF(U243="transition","→ Tier 3 (Galactic Arm)",IF(U243="MG","Moving Group — pocket drifts together",IF(U243="OC","Open Cluster acquired",IF(U243="PV","Peculiar Velocity — passive multiplier active",IF(U243="BiP","Binary Partner — pair bond formed",IF(AND(AU243=1,N243=0,AT243&lt;&gt;1),"Cohesion ready (waiting on completionists)","")))))) </f>
        <v/>
      </c>
      <c r="AA243" s="27">
        <f>(IF(E243=0,0,(Upgrades!$G$13+E243*Upgrades!$H$13)*POWER(Upgrades!$I$13,E243)))*(IF(Upgrades!$T$14="Stellar Kinematics",POWER(Upgrades!$U$14,F243),1)*IF(Upgrades!$T$15="Stellar Kinematics",POWER(Upgrades!$U$15,G243),1)*IF(Upgrades!$T$16="Stellar Kinematics",POWER(Upgrades!$U$16,H243),1)*IF(Upgrades!$T$17="Stellar Kinematics",POWER(Upgrades!$U$17,I243),1)*IF(Upgrades!$T$18="Stellar Kinematics",POWER(Upgrades!$U$18,J243),1)*IF(Upgrades!$T$19="Stellar Kinematics",POWER(Upgrades!$U$19,K243),1)*IF(Upgrades!$T$20="Stellar Kinematics",POWER(Upgrades!$U$20,L243),1)*IF(Upgrades!$T$21="Stellar Kinematics",POWER(Upgrades!$U$21,M243),1))*POWER(Upgrades!$P$13,E243)*POWER(Upgrades!$P$14,F243)*POWER(Upgrades!$P$15,G243)*POWER(Upgrades!$P$16,H243)*POWER(Upgrades!$P$17,I243)*POWER(Upgrades!$P$18,J243)*POWER(Upgrades!$P$19,K243)*POWER(Upgrades!$P$20,L243)*POWER(Upgrades!$P$21,M243)*$F$6*60</f>
        <v/>
      </c>
      <c r="AB243" s="27">
        <f>(IF(F243=0,0,(Upgrades!$G$14+F243*Upgrades!$H$14)*POWER(Upgrades!$I$14,F243)))*(IF(Upgrades!$T$13="Local Bubble",POWER(Upgrades!$U$13,E243),1)*IF(Upgrades!$T$15="Local Bubble",POWER(Upgrades!$U$15,G243),1)*IF(Upgrades!$T$16="Local Bubble",POWER(Upgrades!$U$16,H243),1)*IF(Upgrades!$T$17="Local Bubble",POWER(Upgrades!$U$17,I243),1)*IF(Upgrades!$T$18="Local Bubble",POWER(Upgrades!$U$18,J243),1)*IF(Upgrades!$T$19="Local Bubble",POWER(Upgrades!$U$19,K243),1)*IF(Upgrades!$T$20="Local Bubble",POWER(Upgrades!$U$20,L243),1)*IF(Upgrades!$T$21="Local Bubble",POWER(Upgrades!$U$21,M243),1))*POWER(Upgrades!$P$13,E243)*POWER(Upgrades!$P$14,F243)*POWER(Upgrades!$P$15,G243)*POWER(Upgrades!$P$16,H243)*POWER(Upgrades!$P$17,I243)*POWER(Upgrades!$P$18,J243)*POWER(Upgrades!$P$19,K243)*POWER(Upgrades!$P$20,L243)*POWER(Upgrades!$P$21,M243)*$F$6*60</f>
        <v/>
      </c>
      <c r="AC243" s="27">
        <f>(IF(G243=0,0,(Upgrades!$J$15+G243*Upgrades!$K$15)*POWER(Upgrades!$L$15,G243)))*(IF(Upgrades!$T$13="Microlensing",POWER(Upgrades!$U$13,E243),1)*IF(Upgrades!$T$14="Microlensing",POWER(Upgrades!$U$14,F243),1)*IF(Upgrades!$T$16="Microlensing",POWER(Upgrades!$U$16,H243),1)*IF(Upgrades!$T$17="Microlensing",POWER(Upgrades!$U$17,I243),1)*IF(Upgrades!$T$18="Microlensing",POWER(Upgrades!$U$18,J243),1)*IF(Upgrades!$T$19="Microlensing",POWER(Upgrades!$U$19,K243),1)*IF(Upgrades!$T$20="Microlensing",POWER(Upgrades!$U$20,L243),1)*IF(Upgrades!$T$21="Microlensing",POWER(Upgrades!$U$21,M243),1))*POWER(Upgrades!$Q$13,E243)*POWER(Upgrades!$Q$14,F243)*POWER(Upgrades!$Q$15,G243)*POWER(Upgrades!$Q$16,H243)*POWER(Upgrades!$Q$17,I243)*POWER(Upgrades!$Q$18,J243)*POWER(Upgrades!$Q$19,K243)*POWER(Upgrades!$Q$20,L243)*POWER(Upgrades!$Q$21,M243)*$G$6*(Parameters!$B$10*Parameters!$B$11+Q243*60)</f>
        <v/>
      </c>
      <c r="AD243" s="27">
        <f>(IF(H243=0,0,(Upgrades!$M$16+H243*Upgrades!$N$16)*POWER(Upgrades!$O$16,H243)))*(IF(Upgrades!$T$13="Roche Lobe Overflow",POWER(Upgrades!$U$13,E243),1)*IF(Upgrades!$T$14="Roche Lobe Overflow",POWER(Upgrades!$U$14,F243),1)*IF(Upgrades!$T$15="Roche Lobe Overflow",POWER(Upgrades!$U$15,G243),1)*IF(Upgrades!$T$17="Roche Lobe Overflow",POWER(Upgrades!$U$17,I243),1)*IF(Upgrades!$T$18="Roche Lobe Overflow",POWER(Upgrades!$U$18,J243),1)*IF(Upgrades!$T$19="Roche Lobe Overflow",POWER(Upgrades!$U$19,K243),1)*IF(Upgrades!$T$20="Roche Lobe Overflow",POWER(Upgrades!$U$20,L243),1)*IF(Upgrades!$T$21="Roche Lobe Overflow",POWER(Upgrades!$U$21,M243),1))*POWER(Upgrades!$R$13,E243)*POWER(Upgrades!$R$14,F243)*POWER(Upgrades!$R$15,G243)*POWER(Upgrades!$R$16,H243)*POWER(Upgrades!$R$17,I243)*POWER(Upgrades!$R$18,J243)*POWER(Upgrades!$R$19,K243)*POWER(Upgrades!$R$20,L243)*POWER(Upgrades!$R$21,M243)*$H$6*O243*60</f>
        <v/>
      </c>
      <c r="AE243" s="27">
        <f>(IF(I243=0,0,(Upgrades!$G$17+I243*Upgrades!$H$17)*POWER(Upgrades!$I$17,I243)))*(IF(Upgrades!$T$13="Brown Dwarf",POWER(Upgrades!$U$13,E243),1)*IF(Upgrades!$T$14="Brown Dwarf",POWER(Upgrades!$U$14,F243),1)*IF(Upgrades!$T$15="Brown Dwarf",POWER(Upgrades!$U$15,G243),1)*IF(Upgrades!$T$16="Brown Dwarf",POWER(Upgrades!$U$16,H243),1)*IF(Upgrades!$T$18="Brown Dwarf",POWER(Upgrades!$U$18,J243),1)*IF(Upgrades!$T$19="Brown Dwarf",POWER(Upgrades!$U$19,K243),1)*IF(Upgrades!$T$20="Brown Dwarf",POWER(Upgrades!$U$20,L243),1)*IF(Upgrades!$T$21="Brown Dwarf",POWER(Upgrades!$U$21,M243),1))*POWER(Upgrades!$P$13,E243)*POWER(Upgrades!$P$14,F243)*POWER(Upgrades!$P$15,G243)*POWER(Upgrades!$P$16,H243)*POWER(Upgrades!$P$17,I243)*POWER(Upgrades!$P$18,J243)*POWER(Upgrades!$P$19,K243)*POWER(Upgrades!$P$20,L243)*POWER(Upgrades!$P$21,M243)*$F$6*60</f>
        <v/>
      </c>
      <c r="AF243" s="27" t="n">
        <v>0</v>
      </c>
      <c r="AG243" s="27" t="n">
        <v>0</v>
      </c>
      <c r="AH243" s="27" t="n">
        <v>0</v>
      </c>
      <c r="AI243" s="27">
        <f>(IF(M243=0,0,(Upgrades!$G$21+M243*Upgrades!$H$21)*POWER(Upgrades!$I$21,M243)))*(IF(Upgrades!$T$13="Moving Group",POWER(Upgrades!$U$13,E243),1)*IF(Upgrades!$T$14="Moving Group",POWER(Upgrades!$U$14,F243),1)*IF(Upgrades!$T$15="Moving Group",POWER(Upgrades!$U$15,G243),1)*IF(Upgrades!$T$16="Moving Group",POWER(Upgrades!$U$16,H243),1)*IF(Upgrades!$T$17="Moving Group",POWER(Upgrades!$U$17,I243),1)*IF(Upgrades!$T$18="Moving Group",POWER(Upgrades!$U$18,J243),1)*IF(Upgrades!$T$19="Moving Group",POWER(Upgrades!$U$19,K243),1)*IF(Upgrades!$T$20="Moving Group",POWER(Upgrades!$U$20,L243),1))*POWER(Upgrades!$P$13,E243)*POWER(Upgrades!$P$14,F243)*POWER(Upgrades!$P$15,G243)*POWER(Upgrades!$P$16,H243)*POWER(Upgrades!$P$17,I243)*POWER(Upgrades!$P$18,J243)*POWER(Upgrades!$P$19,K243)*POWER(Upgrades!$P$20,L243)*POWER(Upgrades!$P$21,M243)*$F$6*60</f>
        <v/>
      </c>
      <c r="AJ243" s="27">
        <f>$C$6*60</f>
        <v/>
      </c>
      <c r="AK243" s="22">
        <f>IF(E243&gt;=Upgrades!$E$13,"",Upgrades!$C$13*POWER(Upgrades!$D$13,E243))</f>
        <v/>
      </c>
      <c r="AL243" s="22">
        <f>IF(F243&gt;=Upgrades!$E$14,"",Upgrades!$C$14*POWER(Upgrades!$D$14,F243))</f>
        <v/>
      </c>
      <c r="AM243" s="22">
        <f>IF(G243&gt;=Upgrades!$E$15,"",Upgrades!$C$15*POWER(Upgrades!$D$15,G243))</f>
        <v/>
      </c>
      <c r="AN243" s="22">
        <f>IF(H243&gt;=Upgrades!$E$16,"",Upgrades!$C$16*POWER(Upgrades!$D$16,H243))</f>
        <v/>
      </c>
      <c r="AO243" s="22">
        <f>IF(I243&gt;=Upgrades!$E$17,"",Upgrades!$C$17*POWER(Upgrades!$D$17,I243))</f>
        <v/>
      </c>
      <c r="AP243" s="22">
        <f>IF(J243&gt;=Upgrades!$E$18,"",Upgrades!$C$18*POWER(Upgrades!$D$18,J243))</f>
        <v/>
      </c>
      <c r="AQ243" s="22">
        <f>IF(K243&gt;=Upgrades!$E$19,"",Upgrades!$C$19*POWER(Upgrades!$D$19,K243))</f>
        <v/>
      </c>
      <c r="AR243" s="22">
        <f>IF(L243&gt;=Upgrades!$E$20,"",Upgrades!$C$20*POWER(Upgrades!$D$20,L243))</f>
        <v/>
      </c>
      <c r="AS243" s="22">
        <f>IF(M243&gt;=Upgrades!$E$21,"",Upgrades!$C$21*POWER(Upgrades!$D$21,M243))</f>
        <v/>
      </c>
      <c r="AT243" s="26">
        <f>IF(AND(D243&gt;=Parameters!$B$18*Parameters!$B$19,(I243&gt;=Upgrades!$E$17)*(M243&gt;=Upgrades!$E$21)=1,N243=0),1,"")</f>
        <v/>
      </c>
      <c r="AU243" s="26">
        <f>IF(AND(D243&gt;=Parameters!$B$18*Parameters!$B$19,N243=0),1,"")</f>
        <v/>
      </c>
      <c r="AV243" s="22">
        <f>MIN(IF(ISNUMBER(AP243),AP243,9E15),IF(ISNUMBER(AQ243),AQ243,9E15),IF(ISNUMBER(AR243),AR243,9E15),IF(ISNUMBER(AS243),AS243,9E15))</f>
        <v/>
      </c>
      <c r="AW243" s="22">
        <f>MIN(IF(ISNUMBER(AK243),AK243,9E15),IF(ISNUMBER(AL243),AL243,9E15),IF(ISNUMBER(AM243),AM243,9E15),IF(ISNUMBER(AN243),AN243,9E15),IF(ISNUMBER(AO243),AO243,9E15))</f>
        <v/>
      </c>
      <c r="AX243" s="29">
        <f>IF(BD243&gt;Parameters!$B$21*(MAX(IF(AND(NOT(AND(AU243=1,AT243&lt;&gt;1)),ISNUMBER(AK243),AK243&lt;=(C243+T243)),AY243,0),IF(AND(NOT(AND(AU243=1,AT243&lt;&gt;1)),ISNUMBER(AL243),AL243&lt;=(C243+T243)),AZ243,0),IF(AND(NOT(AND(AU243=1,AT243&lt;&gt;1)),ISNUMBER(AM243),AM243&lt;=(C243+T243)),BA243,0),IF(AND(NOT(AND(AU243=1,AT243&lt;&gt;1)),ISNUMBER(AN243),AN243&lt;=(C243+T243)),BB243,0),IF(AND(ISNUMBER(AO243),AO243&lt;=(C243+T243)),BC243,0))),TRUE,FALSE)</f>
        <v/>
      </c>
      <c r="AY243" s="32">
        <f>IFERROR(Upgrades!$H$13*(POWER(Upgrades!$P$13,E243)*POWER(Upgrades!$P$14,F243)*POWER(Upgrades!$P$15,G243)*POWER(Upgrades!$P$16,H243)*POWER(Upgrades!$P$17,I243)*POWER(Upgrades!$P$18,J243)*POWER(Upgrades!$P$19,K243)*POWER(Upgrades!$P$20,L243)*POWER(Upgrades!$P$21,M243))*(IF(Upgrades!$T$14="Stellar Kinematics",POWER(Upgrades!$U$14,F243),1)*IF(Upgrades!$T$15="Stellar Kinematics",POWER(Upgrades!$U$15,G243),1)*IF(Upgrades!$T$16="Stellar Kinematics",POWER(Upgrades!$U$16,H243),1)*IF(Upgrades!$T$17="Stellar Kinematics",POWER(Upgrades!$U$17,I243),1)*IF(Upgrades!$T$18="Stellar Kinematics",POWER(Upgrades!$U$18,J243),1)*IF(Upgrades!$T$19="Stellar Kinematics",POWER(Upgrades!$U$19,K243),1)*IF(Upgrades!$T$20="Stellar Kinematics",POWER(Upgrades!$U$20,L243),1)*IF(Upgrades!$T$21="Stellar Kinematics",POWER(Upgrades!$U$21,M243),1))*$F$6/AK243,0)</f>
        <v/>
      </c>
      <c r="AZ243" s="32">
        <f>IFERROR(Upgrades!$H$14*(POWER(Upgrades!$P$13,E243)*POWER(Upgrades!$P$14,F243)*POWER(Upgrades!$P$15,G243)*POWER(Upgrades!$P$16,H243)*POWER(Upgrades!$P$17,I243)*POWER(Upgrades!$P$18,J243)*POWER(Upgrades!$P$19,K243)*POWER(Upgrades!$P$20,L243)*POWER(Upgrades!$P$21,M243))*(IF(Upgrades!$T$13="Local Bubble",POWER(Upgrades!$U$13,E243),1)*IF(Upgrades!$T$15="Local Bubble",POWER(Upgrades!$U$15,G243),1)*IF(Upgrades!$T$16="Local Bubble",POWER(Upgrades!$U$16,H243),1)*IF(Upgrades!$T$17="Local Bubble",POWER(Upgrades!$U$17,I243),1)*IF(Upgrades!$T$18="Local Bubble",POWER(Upgrades!$U$18,J243),1)*IF(Upgrades!$T$19="Local Bubble",POWER(Upgrades!$U$19,K243),1)*IF(Upgrades!$T$20="Local Bubble",POWER(Upgrades!$U$20,L243),1)*IF(Upgrades!$T$21="Local Bubble",POWER(Upgrades!$U$21,M243),1))*$F$6/AL243,0)</f>
        <v/>
      </c>
      <c r="BA243" s="32">
        <f>IFERROR(Upgrades!$K$15*(POWER(Upgrades!$Q$13,E243)*POWER(Upgrades!$Q$14,F243)*POWER(Upgrades!$Q$15,G243)*POWER(Upgrades!$Q$16,H243)*POWER(Upgrades!$Q$17,I243)*POWER(Upgrades!$Q$18,J243)*POWER(Upgrades!$Q$19,K243)*POWER(Upgrades!$Q$20,L243)*POWER(Upgrades!$Q$21,M243))*(IF(Upgrades!$T$13="Microlensing",POWER(Upgrades!$U$13,E243),1)*IF(Upgrades!$T$14="Microlensing",POWER(Upgrades!$U$14,F243),1)*IF(Upgrades!$T$16="Microlensing",POWER(Upgrades!$U$16,H243),1)*IF(Upgrades!$T$17="Microlensing",POWER(Upgrades!$U$17,I243),1)*IF(Upgrades!$T$18="Microlensing",POWER(Upgrades!$U$18,J243),1)*IF(Upgrades!$T$19="Microlensing",POWER(Upgrades!$U$19,K243),1)*IF(Upgrades!$T$20="Microlensing",POWER(Upgrades!$U$20,L243),1)*IF(Upgrades!$T$21="Microlensing",POWER(Upgrades!$U$21,M243),1))*$G$6*(Parameters!$B$10/60*Parameters!$B$11+Q243)/AM243,0)</f>
        <v/>
      </c>
      <c r="BB243" s="32">
        <f>IFERROR((Upgrades!$N$16*(POWER(Upgrades!$R$13,E243)*POWER(Upgrades!$R$14,F243)*POWER(Upgrades!$R$15,G243)*POWER(Upgrades!$R$16,H243)*POWER(Upgrades!$R$17,I243)*POWER(Upgrades!$R$18,J243)*POWER(Upgrades!$R$19,K243)*POWER(Upgrades!$R$20,L243)*POWER(Upgrades!$R$21,M243))*(IF(Upgrades!$T$13="Roche Lobe Overflow",POWER(Upgrades!$U$13,E243),1)*IF(Upgrades!$T$14="Roche Lobe Overflow",POWER(Upgrades!$U$14,F243),1)*IF(Upgrades!$T$15="Roche Lobe Overflow",POWER(Upgrades!$U$15,G243),1)*IF(Upgrades!$T$17="Roche Lobe Overflow",POWER(Upgrades!$U$17,I243),1)*IF(Upgrades!$T$18="Roche Lobe Overflow",POWER(Upgrades!$U$18,J243),1)*IF(Upgrades!$T$19="Roche Lobe Overflow",POWER(Upgrades!$U$19,K243),1)*IF(Upgrades!$T$20="Roche Lobe Overflow",POWER(Upgrades!$U$20,L243),1)*IF(Upgrades!$T$21="Roche Lobe Overflow",POWER(Upgrades!$U$21,M243),1))*$H$6*O243+((IF(F243=0,0,(Upgrades!$G$14+F243*Upgrades!$H$14)*POWER(Upgrades!$I$14,F243)))*(IF(Upgrades!$T$13="Local Bubble",POWER(Upgrades!$U$13,E243),1)*IF(Upgrades!$T$15="Local Bubble",POWER(Upgrades!$U$15,G243),1)*IF(Upgrades!$T$16="Local Bubble",POWER(Upgrades!$U$16,H243),1)*IF(Upgrades!$T$17="Local Bubble",POWER(Upgrades!$U$17,I243),1)*IF(Upgrades!$T$18="Local Bubble",POWER(Upgrades!$U$18,J243),1)*IF(Upgrades!$T$19="Local Bubble",POWER(Upgrades!$U$19,K243),1)*IF(Upgrades!$T$20="Local Bubble",POWER(Upgrades!$U$20,L243),1)*IF(Upgrades!$T$21="Local Bubble",POWER(Upgrades!$U$21,M243),1))*POWER(Upgrades!$P$13,E243)*POWER(Upgrades!$P$14,F243)*POWER(Upgrades!$P$15,G243)*POWER(Upgrades!$P$16,H243)*POWER(Upgrades!$P$17,I243)*POWER(Upgrades!$P$18,J243)*POWER(Upgrades!$P$19,K243)*POWER(Upgrades!$P$20,L243)*POWER(Upgrades!$P$21,M243)*$F$6)*0.05)/AN243,0)</f>
        <v/>
      </c>
      <c r="BC243" s="32">
        <f>IFERROR((Upgrades!$H$17*(POWER(Upgrades!$P$13,E243)*POWER(Upgrades!$P$14,F243)*POWER(Upgrades!$P$15,G243)*POWER(Upgrades!$P$16,H243)*POWER(Upgrades!$P$17,I243)*POWER(Upgrades!$P$18,J243)*POWER(Upgrades!$P$19,K243)*POWER(Upgrades!$P$20,L243)*POWER(Upgrades!$P$21,M243))*(IF(Upgrades!$T$13="Brown Dwarf",POWER(Upgrades!$U$13,E243),1)*IF(Upgrades!$T$14="Brown Dwarf",POWER(Upgrades!$U$14,F243),1)*IF(Upgrades!$T$15="Brown Dwarf",POWER(Upgrades!$U$15,G243),1)*IF(Upgrades!$T$16="Brown Dwarf",POWER(Upgrades!$U$16,H243),1)*IF(Upgrades!$T$18="Brown Dwarf",POWER(Upgrades!$U$18,J243),1)*IF(Upgrades!$T$19="Brown Dwarf",POWER(Upgrades!$U$19,K243),1)*IF(Upgrades!$T$20="Brown Dwarf",POWER(Upgrades!$U$20,L243),1)*IF(Upgrades!$T$21="Brown Dwarf",POWER(Upgrades!$U$21,M243),1))*$F$6+(((IF(H243=0,0,(Upgrades!$M$16+H243*Upgrades!$N$16)*POWER(Upgrades!$O$16,H243)))*(IF(Upgrades!$T$13="Roche Lobe Overflow",POWER(Upgrades!$U$13,E243),1)*IF(Upgrades!$T$14="Roche Lobe Overflow",POWER(Upgrades!$U$14,F243),1)*IF(Upgrades!$T$15="Roche Lobe Overflow",POWER(Upgrades!$U$15,G243),1)*IF(Upgrades!$T$17="Roche Lobe Overflow",POWER(Upgrades!$U$17,I243),1)*IF(Upgrades!$T$18="Roche Lobe Overflow",POWER(Upgrades!$U$18,J243),1)*IF(Upgrades!$T$19="Roche Lobe Overflow",POWER(Upgrades!$U$19,K243),1)*IF(Upgrades!$T$20="Roche Lobe Overflow",POWER(Upgrades!$U$20,L243),1)*IF(Upgrades!$T$21="Roche Lobe Overflow",POWER(Upgrades!$U$21,M243),1))*POWER(Upgrades!$R$13,E243)*POWER(Upgrades!$R$14,F243)*POWER(Upgrades!$R$15,G243)*POWER(Upgrades!$R$16,H243)*POWER(Upgrades!$R$17,I243)*POWER(Upgrades!$R$18,J243)*POWER(Upgrades!$R$19,K243)*POWER(Upgrades!$R$20,L243)*POWER(Upgrades!$R$21,M243)*$H$6)*O243)*0.10)/AO243,0)</f>
        <v/>
      </c>
      <c r="BD243" s="32">
        <f>MAX(IF(J243&gt;0,0,IFERROR(0.5*((IF(G243=0,0,(Upgrades!$J$15+G243*Upgrades!$K$15)*POWER(Upgrades!$L$15,G243)))*(IF(Upgrades!$T$13="Microlensing",POWER(Upgrades!$U$13,E243),1)*IF(Upgrades!$T$14="Microlensing",POWER(Upgrades!$U$14,F243),1)*IF(Upgrades!$T$16="Microlensing",POWER(Upgrades!$U$16,H243),1)*IF(Upgrades!$T$17="Microlensing",POWER(Upgrades!$U$17,I243),1)*IF(Upgrades!$T$18="Microlensing",POWER(Upgrades!$U$18,J243),1)*IF(Upgrades!$T$19="Microlensing",POWER(Upgrades!$U$19,K243),1)*IF(Upgrades!$T$20="Microlensing",POWER(Upgrades!$U$20,L243),1)*IF(Upgrades!$T$21="Microlensing",POWER(Upgrades!$U$21,M243),1))*(POWER(Upgrades!$Q$13,E243)*POWER(Upgrades!$Q$14,F243)*POWER(Upgrades!$Q$15,G243)*POWER(Upgrades!$Q$16,H243)*POWER(Upgrades!$Q$17,I243)*POWER(Upgrades!$Q$18,J243)*POWER(Upgrades!$Q$19,K243)*POWER(Upgrades!$Q$20,L243)*POWER(Upgrades!$Q$21,M243))*$G$6*(Parameters!$B$10/60*Parameters!$B$11+Q243))/Upgrades!$C$18,0)),IF(K243&gt;0,0,IFERROR(0.30*P243/Upgrades!$C$19,0)),IF(L243&gt;0,0,IFERROR(0.0001/Upgrades!$C$20,0)),IF(M243&gt;0,0,IFERROR((6.0*(POWER(Upgrades!$P$13,E243)*POWER(Upgrades!$P$14,F243)*POWER(Upgrades!$P$15,G243)*POWER(Upgrades!$P$16,H243)*POWER(Upgrades!$P$17,I243)*POWER(Upgrades!$P$18,J243)*POWER(Upgrades!$P$19,K243)*POWER(Upgrades!$P$20,L243)*POWER(Upgrades!$P$21,M243))*$F$6+0.20*O243*(Parameters!$B$10/60*Parameters!$B$11+Q243))/Upgrades!$C$21,0)),IF(AND(ISNUMBER(AK243),AK243&gt;(C243+T243)),AY243,0),IF(AND(ISNUMBER(AL243),AL243&gt;(C243+T243)),AZ243,0),IF(AND(ISNUMBER(AM243),AM243&gt;(C243+T243)),BA243,0),IF(AND(ISNUMBER(AN243),AN243&gt;(C243+T243)),BB243,0),IF(AND(ISNUMBER(AO243),AO243&gt;(C243+T243)),BC243,0))</f>
        <v/>
      </c>
      <c r="BE243" s="29">
        <f>IF(AT243=1,"transition",IF(MIN(IF(AND(J243=0,ISNUMBER(AP243),AP243&lt;=(C243+T243)),AP243,9E15),IF(AND(K243=0,ISNUMBER(AQ243),AQ243&lt;=(C243+T243)),AQ243,9E15),IF(AND(L243=0,ISNUMBER(AR243),AR243&lt;=(C243+T243)),AR243,9E15),IF(AND(M243=0,ISNUMBER(AS243),AS243&lt;=(C243+T243)),AS243,9E15))&lt;9E15,IF(AND(AND(J243=0,ISNUMBER(AP243),AP243&lt;=(C243+T243)),AP243=MIN(IF(AND(J243=0,ISNUMBER(AP243),AP243&lt;=(C243+T243)),AP243,9E15),IF(AND(K243=0,ISNUMBER(AQ243),AQ243&lt;=(C243+T243)),AQ243,9E15),IF(AND(L243=0,ISNUMBER(AR243),AR243&lt;=(C243+T243)),AR243,9E15),IF(AND(M243=0,ISNUMBER(AS243),AS243&lt;=(C243+T243)),AS243,9E15))),"BiP",IF(AND(AND(K243=0,ISNUMBER(AQ243),AQ243&lt;=(C243+T243)),AQ243=MIN(IF(AND(J243=0,ISNUMBER(AP243),AP243&lt;=(C243+T243)),AP243,9E15),IF(AND(K243=0,ISNUMBER(AQ243),AQ243&lt;=(C243+T243)),AQ243,9E15),IF(AND(L243=0,ISNUMBER(AR243),AR243&lt;=(C243+T243)),AR243,9E15),IF(AND(M243=0,ISNUMBER(AS243),AS243&lt;=(C243+T243)),AS243,9E15))),"PV",IF(AND(AND(L243=0,ISNUMBER(AR243),AR243&lt;=(C243+T243)),AR243=MIN(IF(AND(J243=0,ISNUMBER(AP243),AP243&lt;=(C243+T243)),AP243,9E15),IF(AND(K243=0,ISNUMBER(AQ243),AQ243&lt;=(C243+T243)),AQ243,9E15),IF(AND(L243=0,ISNUMBER(AR243),AR243&lt;=(C243+T243)),AR243,9E15),IF(AND(M243=0,ISNUMBER(AS243),AS243&lt;=(C243+T243)),AS243,9E15))),"OC","MG"))),IF(AX243=TRUE,"",IF(MAX(IF(AND(NOT(AND(AU243=1,AT243&lt;&gt;1)),ISNUMBER(AK243),AK243&lt;=(C243+T243)),AY243,0),IF(AND(NOT(AND(AU243=1,AT243&lt;&gt;1)),ISNUMBER(AL243),AL243&lt;=(C243+T243)),AZ243,0),IF(AND(NOT(AND(AU243=1,AT243&lt;&gt;1)),ISNUMBER(AM243),AM243&lt;=(C243+T243)),BA243,0),IF(AND(NOT(AND(AU243=1,AT243&lt;&gt;1)),ISNUMBER(AN243),AN243&lt;=(C243+T243)),BB243,0),IF(AND(ISNUMBER(AO243),AO243&lt;=(C243+T243)),BC243,0))&lt;=0,"",IF(AND(IF(AND(NOT(AND(AU243=1,AT243&lt;&gt;1)),ISNUMBER(AK243),AK243&lt;=(C243+T243)),AY243,0)&gt;0,IF(AND(NOT(AND(AU243=1,AT243&lt;&gt;1)),ISNUMBER(AK243),AK243&lt;=(C243+T243)),AY243,0)=MAX(IF(AND(NOT(AND(AU243=1,AT243&lt;&gt;1)),ISNUMBER(AK243),AK243&lt;=(C243+T243)),AY243,0),IF(AND(NOT(AND(AU243=1,AT243&lt;&gt;1)),ISNUMBER(AL243),AL243&lt;=(C243+T243)),AZ243,0),IF(AND(NOT(AND(AU243=1,AT243&lt;&gt;1)),ISNUMBER(AM243),AM243&lt;=(C243+T243)),BA243,0),IF(AND(NOT(AND(AU243=1,AT243&lt;&gt;1)),ISNUMBER(AN243),AN243&lt;=(C243+T243)),BB243,0),IF(AND(ISNUMBER(AO243),AO243&lt;=(C243+T243)),BC243,0))),"SK",IF(AND(IF(AND(NOT(AND(AU243=1,AT243&lt;&gt;1)),ISNUMBER(AL243),AL243&lt;=(C243+T243)),AZ243,0)&gt;0,IF(AND(NOT(AND(AU243=1,AT243&lt;&gt;1)),ISNUMBER(AL243),AL243&lt;=(C243+T243)),AZ243,0)=MAX(IF(AND(NOT(AND(AU243=1,AT243&lt;&gt;1)),ISNUMBER(AK243),AK243&lt;=(C243+T243)),AY243,0),IF(AND(NOT(AND(AU243=1,AT243&lt;&gt;1)),ISNUMBER(AL243),AL243&lt;=(C243+T243)),AZ243,0),IF(AND(NOT(AND(AU243=1,AT243&lt;&gt;1)),ISNUMBER(AM243),AM243&lt;=(C243+T243)),BA243,0),IF(AND(NOT(AND(AU243=1,AT243&lt;&gt;1)),ISNUMBER(AN243),AN243&lt;=(C243+T243)),BB243,0),IF(AND(ISNUMBER(AO243),AO243&lt;=(C243+T243)),BC243,0))),"LB",IF(AND(IF(AND(NOT(AND(AU243=1,AT243&lt;&gt;1)),ISNUMBER(AM243),AM243&lt;=(C243+T243)),BA243,0)&gt;0,IF(AND(NOT(AND(AU243=1,AT243&lt;&gt;1)),ISNUMBER(AM243),AM243&lt;=(C243+T243)),BA243,0)=MAX(IF(AND(NOT(AND(AU243=1,AT243&lt;&gt;1)),ISNUMBER(AK243),AK243&lt;=(C243+T243)),AY243,0),IF(AND(NOT(AND(AU243=1,AT243&lt;&gt;1)),ISNUMBER(AL243),AL243&lt;=(C243+T243)),AZ243,0),IF(AND(NOT(AND(AU243=1,AT243&lt;&gt;1)),ISNUMBER(AM243),AM243&lt;=(C243+T243)),BA243,0),IF(AND(NOT(AND(AU243=1,AT243&lt;&gt;1)),ISNUMBER(AN243),AN243&lt;=(C243+T243)),BB243,0),IF(AND(ISNUMBER(AO243),AO243&lt;=(C243+T243)),BC243,0))),"ML",IF(AND(IF(AND(NOT(AND(AU243=1,AT243&lt;&gt;1)),ISNUMBER(AN243),AN243&lt;=(C243+T243)),BB243,0)&gt;0,IF(AND(NOT(AND(AU243=1,AT243&lt;&gt;1)),ISNUMBER(AN243),AN243&lt;=(C243+T243)),BB243,0)=MAX(IF(AND(NOT(AND(AU243=1,AT243&lt;&gt;1)),ISNUMBER(AK243),AK243&lt;=(C243+T243)),AY243,0),IF(AND(NOT(AND(AU243=1,AT243&lt;&gt;1)),ISNUMBER(AL243),AL243&lt;=(C243+T243)),AZ243,0),IF(AND(NOT(AND(AU243=1,AT243&lt;&gt;1)),ISNUMBER(AM243),AM243&lt;=(C243+T243)),BA243,0),IF(AND(NOT(AND(AU243=1,AT243&lt;&gt;1)),ISNUMBER(AN243),AN243&lt;=(C243+T243)),BB243,0),IF(AND(ISNUMBER(AO243),AO243&lt;=(C243+T243)),BC243,0))),"RLO","BD"))))))))</f>
        <v/>
      </c>
    </row>
    <row r="244">
      <c r="A244" s="26" t="n">
        <v>233</v>
      </c>
      <c r="B244" s="27">
        <f>A244*10/60</f>
        <v/>
      </c>
      <c r="C244" s="22">
        <f>X243</f>
        <v/>
      </c>
      <c r="D244" s="27">
        <f>D243+W243</f>
        <v/>
      </c>
      <c r="E244" s="26">
        <f>E243+IF(U243="SK",1,0)</f>
        <v/>
      </c>
      <c r="F244" s="26">
        <f>F243+IF(U243="LB",1,0)</f>
        <v/>
      </c>
      <c r="G244" s="26">
        <f>G243+IF(U243="ML",1,0)</f>
        <v/>
      </c>
      <c r="H244" s="26">
        <f>H243+IF(U243="RLO",1,0)</f>
        <v/>
      </c>
      <c r="I244" s="26">
        <f>I243+IF(U243="BD",1,0)</f>
        <v/>
      </c>
      <c r="J244" s="26">
        <f>MAX(J243,IF(U243="BiP",1,0))</f>
        <v/>
      </c>
      <c r="K244" s="26">
        <f>MAX(K243,IF(U243="PV",1,0))</f>
        <v/>
      </c>
      <c r="L244" s="26">
        <f>MAX(L243,IF(U243="OC",1,0))</f>
        <v/>
      </c>
      <c r="M244" s="26">
        <f>MAX(M243,IF(U243="MG",1,0))</f>
        <v/>
      </c>
      <c r="N244" s="26">
        <f>MAX(N243,IF(U243="transition",1,0))</f>
        <v/>
      </c>
      <c r="O244" s="28">
        <f>(Parameters!$B$9+(IF(E244=0,0,(Upgrades!$J$13+E244*Upgrades!$K$13)*POWER(Upgrades!$L$13,E244)))*(IF(Upgrades!$T$14="Stellar Kinematics",POWER(Upgrades!$U$14,F244),1)*IF(Upgrades!$T$15="Stellar Kinematics",POWER(Upgrades!$U$15,G244),1)*IF(Upgrades!$T$16="Stellar Kinematics",POWER(Upgrades!$U$16,H244),1)*IF(Upgrades!$T$17="Stellar Kinematics",POWER(Upgrades!$U$17,I244),1)*IF(Upgrades!$T$18="Stellar Kinematics",POWER(Upgrades!$U$18,J244),1)*IF(Upgrades!$T$19="Stellar Kinematics",POWER(Upgrades!$U$19,K244),1)*IF(Upgrades!$T$20="Stellar Kinematics",POWER(Upgrades!$U$20,L244),1)*IF(Upgrades!$T$21="Stellar Kinematics",POWER(Upgrades!$U$21,M244),1))+(IF(F244=0,0,(Upgrades!$J$14+F244*Upgrades!$K$14)*POWER(Upgrades!$L$14,F244)))*(IF(Upgrades!$T$13="Local Bubble",POWER(Upgrades!$U$13,E244),1)*IF(Upgrades!$T$15="Local Bubble",POWER(Upgrades!$U$15,G244),1)*IF(Upgrades!$T$16="Local Bubble",POWER(Upgrades!$U$16,H244),1)*IF(Upgrades!$T$17="Local Bubble",POWER(Upgrades!$U$17,I244),1)*IF(Upgrades!$T$18="Local Bubble",POWER(Upgrades!$U$18,J244),1)*IF(Upgrades!$T$19="Local Bubble",POWER(Upgrades!$U$19,K244),1)*IF(Upgrades!$T$20="Local Bubble",POWER(Upgrades!$U$20,L244),1)*IF(Upgrades!$T$21="Local Bubble",POWER(Upgrades!$U$21,M244),1))+(IF(G244=0,0,(Upgrades!$J$15+G244*Upgrades!$K$15)*POWER(Upgrades!$L$15,G244)))*(IF(Upgrades!$T$13="Microlensing",POWER(Upgrades!$U$13,E244),1)*IF(Upgrades!$T$14="Microlensing",POWER(Upgrades!$U$14,F244),1)*IF(Upgrades!$T$16="Microlensing",POWER(Upgrades!$U$16,H244),1)*IF(Upgrades!$T$17="Microlensing",POWER(Upgrades!$U$17,I244),1)*IF(Upgrades!$T$18="Microlensing",POWER(Upgrades!$U$18,J244),1)*IF(Upgrades!$T$19="Microlensing",POWER(Upgrades!$U$19,K244),1)*IF(Upgrades!$T$20="Microlensing",POWER(Upgrades!$U$20,L244),1)*IF(Upgrades!$T$21="Microlensing",POWER(Upgrades!$U$21,M244),1))+(IF(H244=0,0,(Upgrades!$J$16+H244*Upgrades!$K$16)*POWER(Upgrades!$L$16,H244)))*(IF(Upgrades!$T$13="Roche Lobe Overflow",POWER(Upgrades!$U$13,E244),1)*IF(Upgrades!$T$14="Roche Lobe Overflow",POWER(Upgrades!$U$14,F244),1)*IF(Upgrades!$T$15="Roche Lobe Overflow",POWER(Upgrades!$U$15,G244),1)*IF(Upgrades!$T$17="Roche Lobe Overflow",POWER(Upgrades!$U$17,I244),1)*IF(Upgrades!$T$18="Roche Lobe Overflow",POWER(Upgrades!$U$18,J244),1)*IF(Upgrades!$T$19="Roche Lobe Overflow",POWER(Upgrades!$U$19,K244),1)*IF(Upgrades!$T$20="Roche Lobe Overflow",POWER(Upgrades!$U$20,L244),1)*IF(Upgrades!$T$21="Roche Lobe Overflow",POWER(Upgrades!$U$21,M244),1))+(IF(I244=0,0,(Upgrades!$J$17+I244*Upgrades!$K$17)*POWER(Upgrades!$L$17,I244)))*(IF(Upgrades!$T$13="Brown Dwarf",POWER(Upgrades!$U$13,E244),1)*IF(Upgrades!$T$14="Brown Dwarf",POWER(Upgrades!$U$14,F244),1)*IF(Upgrades!$T$15="Brown Dwarf",POWER(Upgrades!$U$15,G244),1)*IF(Upgrades!$T$16="Brown Dwarf",POWER(Upgrades!$U$16,H244),1)*IF(Upgrades!$T$18="Brown Dwarf",POWER(Upgrades!$U$18,J244),1)*IF(Upgrades!$T$19="Brown Dwarf",POWER(Upgrades!$U$19,K244),1)*IF(Upgrades!$T$20="Brown Dwarf",POWER(Upgrades!$U$20,L244),1)*IF(Upgrades!$T$21="Brown Dwarf",POWER(Upgrades!$U$21,M244),1))+(IF(J244=0,0,(Upgrades!$J$18+J244*Upgrades!$K$18)*POWER(Upgrades!$L$18,J244)))*(IF(Upgrades!$T$13="Binary Partner",POWER(Upgrades!$U$13,E244),1)*IF(Upgrades!$T$14="Binary Partner",POWER(Upgrades!$U$14,F244),1)*IF(Upgrades!$T$15="Binary Partner",POWER(Upgrades!$U$15,G244),1)*IF(Upgrades!$T$16="Binary Partner",POWER(Upgrades!$U$16,H244),1)*IF(Upgrades!$T$17="Binary Partner",POWER(Upgrades!$U$17,I244),1)*IF(Upgrades!$T$19="Binary Partner",POWER(Upgrades!$U$19,K244),1)*IF(Upgrades!$T$20="Binary Partner",POWER(Upgrades!$U$20,L244),1)*IF(Upgrades!$T$21="Binary Partner",POWER(Upgrades!$U$21,M244),1))+(IF(K244=0,0,(Upgrades!$J$19+K244*Upgrades!$K$19)*POWER(Upgrades!$L$19,K244)))*(IF(Upgrades!$T$13="Peculiar Velocity",POWER(Upgrades!$U$13,E244),1)*IF(Upgrades!$T$14="Peculiar Velocity",POWER(Upgrades!$U$14,F244),1)*IF(Upgrades!$T$15="Peculiar Velocity",POWER(Upgrades!$U$15,G244),1)*IF(Upgrades!$T$16="Peculiar Velocity",POWER(Upgrades!$U$16,H244),1)*IF(Upgrades!$T$17="Peculiar Velocity",POWER(Upgrades!$U$17,I244),1)*IF(Upgrades!$T$18="Peculiar Velocity",POWER(Upgrades!$U$18,J244),1)*IF(Upgrades!$T$20="Peculiar Velocity",POWER(Upgrades!$U$20,L244),1)*IF(Upgrades!$T$21="Peculiar Velocity",POWER(Upgrades!$U$21,M244),1))+(IF(L244=0,0,(Upgrades!$J$20+L244*Upgrades!$K$20)*POWER(Upgrades!$L$20,L244)))*(IF(Upgrades!$T$13="Open Cluster",POWER(Upgrades!$U$13,E244),1)*IF(Upgrades!$T$14="Open Cluster",POWER(Upgrades!$U$14,F244),1)*IF(Upgrades!$T$15="Open Cluster",POWER(Upgrades!$U$15,G244),1)*IF(Upgrades!$T$16="Open Cluster",POWER(Upgrades!$U$16,H244),1)*IF(Upgrades!$T$17="Open Cluster",POWER(Upgrades!$U$17,I244),1)*IF(Upgrades!$T$18="Open Cluster",POWER(Upgrades!$U$18,J244),1)*IF(Upgrades!$T$19="Open Cluster",POWER(Upgrades!$U$19,K244),1)*IF(Upgrades!$T$21="Open Cluster",POWER(Upgrades!$U$21,M244),1))+(IF(M244=0,0,(Upgrades!$J$21+M244*Upgrades!$K$21)*POWER(Upgrades!$L$21,M244)))*(IF(Upgrades!$T$13="Moving Group",POWER(Upgrades!$U$13,E244),1)*IF(Upgrades!$T$14="Moving Group",POWER(Upgrades!$U$14,F244),1)*IF(Upgrades!$T$15="Moving Group",POWER(Upgrades!$U$15,G244),1)*IF(Upgrades!$T$16="Moving Group",POWER(Upgrades!$U$16,H244),1)*IF(Upgrades!$T$17="Moving Group",POWER(Upgrades!$U$17,I244),1)*IF(Upgrades!$T$18="Moving Group",POWER(Upgrades!$U$18,J244),1)*IF(Upgrades!$T$19="Moving Group",POWER(Upgrades!$U$19,K244),1)*IF(Upgrades!$T$20="Moving Group",POWER(Upgrades!$U$20,L244),1)))*POWER(Upgrades!$Q$13,E244)*POWER(Upgrades!$Q$14,F244)*POWER(Upgrades!$Q$15,G244)*POWER(Upgrades!$Q$16,H244)*POWER(Upgrades!$Q$17,I244)*POWER(Upgrades!$Q$18,J244)*POWER(Upgrades!$Q$19,K244)*POWER(Upgrades!$Q$20,L244)*POWER(Upgrades!$Q$21,M244)*$G$6+$D$6</f>
        <v/>
      </c>
      <c r="P244" s="28">
        <f>((IF(E244=0,0,(Upgrades!$G$13+E244*Upgrades!$H$13)*POWER(Upgrades!$I$13,E244)))*(IF(Upgrades!$T$14="Stellar Kinematics",POWER(Upgrades!$U$14,F244),1)*IF(Upgrades!$T$15="Stellar Kinematics",POWER(Upgrades!$U$15,G244),1)*IF(Upgrades!$T$16="Stellar Kinematics",POWER(Upgrades!$U$16,H244),1)*IF(Upgrades!$T$17="Stellar Kinematics",POWER(Upgrades!$U$17,I244),1)*IF(Upgrades!$T$18="Stellar Kinematics",POWER(Upgrades!$U$18,J244),1)*IF(Upgrades!$T$19="Stellar Kinematics",POWER(Upgrades!$U$19,K244),1)*IF(Upgrades!$T$20="Stellar Kinematics",POWER(Upgrades!$U$20,L244),1)*IF(Upgrades!$T$21="Stellar Kinematics",POWER(Upgrades!$U$21,M244),1))+(IF(F244=0,0,(Upgrades!$G$14+F244*Upgrades!$H$14)*POWER(Upgrades!$I$14,F244)))*(IF(Upgrades!$T$13="Local Bubble",POWER(Upgrades!$U$13,E244),1)*IF(Upgrades!$T$15="Local Bubble",POWER(Upgrades!$U$15,G244),1)*IF(Upgrades!$T$16="Local Bubble",POWER(Upgrades!$U$16,H244),1)*IF(Upgrades!$T$17="Local Bubble",POWER(Upgrades!$U$17,I244),1)*IF(Upgrades!$T$18="Local Bubble",POWER(Upgrades!$U$18,J244),1)*IF(Upgrades!$T$19="Local Bubble",POWER(Upgrades!$U$19,K244),1)*IF(Upgrades!$T$20="Local Bubble",POWER(Upgrades!$U$20,L244),1)*IF(Upgrades!$T$21="Local Bubble",POWER(Upgrades!$U$21,M244),1))+(IF(G244=0,0,(Upgrades!$G$15+G244*Upgrades!$H$15)*POWER(Upgrades!$I$15,G244)))*(IF(Upgrades!$T$13="Microlensing",POWER(Upgrades!$U$13,E244),1)*IF(Upgrades!$T$14="Microlensing",POWER(Upgrades!$U$14,F244),1)*IF(Upgrades!$T$16="Microlensing",POWER(Upgrades!$U$16,H244),1)*IF(Upgrades!$T$17="Microlensing",POWER(Upgrades!$U$17,I244),1)*IF(Upgrades!$T$18="Microlensing",POWER(Upgrades!$U$18,J244),1)*IF(Upgrades!$T$19="Microlensing",POWER(Upgrades!$U$19,K244),1)*IF(Upgrades!$T$20="Microlensing",POWER(Upgrades!$U$20,L244),1)*IF(Upgrades!$T$21="Microlensing",POWER(Upgrades!$U$21,M244),1))+(IF(H244=0,0,(Upgrades!$G$16+H244*Upgrades!$H$16)*POWER(Upgrades!$I$16,H244)))*(IF(Upgrades!$T$13="Roche Lobe Overflow",POWER(Upgrades!$U$13,E244),1)*IF(Upgrades!$T$14="Roche Lobe Overflow",POWER(Upgrades!$U$14,F244),1)*IF(Upgrades!$T$15="Roche Lobe Overflow",POWER(Upgrades!$U$15,G244),1)*IF(Upgrades!$T$17="Roche Lobe Overflow",POWER(Upgrades!$U$17,I244),1)*IF(Upgrades!$T$18="Roche Lobe Overflow",POWER(Upgrades!$U$18,J244),1)*IF(Upgrades!$T$19="Roche Lobe Overflow",POWER(Upgrades!$U$19,K244),1)*IF(Upgrades!$T$20="Roche Lobe Overflow",POWER(Upgrades!$U$20,L244),1)*IF(Upgrades!$T$21="Roche Lobe Overflow",POWER(Upgrades!$U$21,M244),1))+(IF(I244=0,0,(Upgrades!$G$17+I244*Upgrades!$H$17)*POWER(Upgrades!$I$17,I244)))*(IF(Upgrades!$T$13="Brown Dwarf",POWER(Upgrades!$U$13,E244),1)*IF(Upgrades!$T$14="Brown Dwarf",POWER(Upgrades!$U$14,F244),1)*IF(Upgrades!$T$15="Brown Dwarf",POWER(Upgrades!$U$15,G244),1)*IF(Upgrades!$T$16="Brown Dwarf",POWER(Upgrades!$U$16,H244),1)*IF(Upgrades!$T$18="Brown Dwarf",POWER(Upgrades!$U$18,J244),1)*IF(Upgrades!$T$19="Brown Dwarf",POWER(Upgrades!$U$19,K244),1)*IF(Upgrades!$T$20="Brown Dwarf",POWER(Upgrades!$U$20,L244),1)*IF(Upgrades!$T$21="Brown Dwarf",POWER(Upgrades!$U$21,M244),1))+(IF(J244=0,0,(Upgrades!$G$18+J244*Upgrades!$H$18)*POWER(Upgrades!$I$18,J244)))*(IF(Upgrades!$T$13="Binary Partner",POWER(Upgrades!$U$13,E244),1)*IF(Upgrades!$T$14="Binary Partner",POWER(Upgrades!$U$14,F244),1)*IF(Upgrades!$T$15="Binary Partner",POWER(Upgrades!$U$15,G244),1)*IF(Upgrades!$T$16="Binary Partner",POWER(Upgrades!$U$16,H244),1)*IF(Upgrades!$T$17="Binary Partner",POWER(Upgrades!$U$17,I244),1)*IF(Upgrades!$T$19="Binary Partner",POWER(Upgrades!$U$19,K244),1)*IF(Upgrades!$T$20="Binary Partner",POWER(Upgrades!$U$20,L244),1)*IF(Upgrades!$T$21="Binary Partner",POWER(Upgrades!$U$21,M244),1))+(IF(K244=0,0,(Upgrades!$G$19+K244*Upgrades!$H$19)*POWER(Upgrades!$I$19,K244)))*(IF(Upgrades!$T$13="Peculiar Velocity",POWER(Upgrades!$U$13,E244),1)*IF(Upgrades!$T$14="Peculiar Velocity",POWER(Upgrades!$U$14,F244),1)*IF(Upgrades!$T$15="Peculiar Velocity",POWER(Upgrades!$U$15,G244),1)*IF(Upgrades!$T$16="Peculiar Velocity",POWER(Upgrades!$U$16,H244),1)*IF(Upgrades!$T$17="Peculiar Velocity",POWER(Upgrades!$U$17,I244),1)*IF(Upgrades!$T$18="Peculiar Velocity",POWER(Upgrades!$U$18,J244),1)*IF(Upgrades!$T$20="Peculiar Velocity",POWER(Upgrades!$U$20,L244),1)*IF(Upgrades!$T$21="Peculiar Velocity",POWER(Upgrades!$U$21,M244),1))+(IF(L244=0,0,(Upgrades!$G$20+L244*Upgrades!$H$20)*POWER(Upgrades!$I$20,L244)))*(IF(Upgrades!$T$13="Open Cluster",POWER(Upgrades!$U$13,E244),1)*IF(Upgrades!$T$14="Open Cluster",POWER(Upgrades!$U$14,F244),1)*IF(Upgrades!$T$15="Open Cluster",POWER(Upgrades!$U$15,G244),1)*IF(Upgrades!$T$16="Open Cluster",POWER(Upgrades!$U$16,H244),1)*IF(Upgrades!$T$17="Open Cluster",POWER(Upgrades!$U$17,I244),1)*IF(Upgrades!$T$18="Open Cluster",POWER(Upgrades!$U$18,J244),1)*IF(Upgrades!$T$19="Open Cluster",POWER(Upgrades!$U$19,K244),1)*IF(Upgrades!$T$21="Open Cluster",POWER(Upgrades!$U$21,M244),1))+(IF(M244=0,0,(Upgrades!$G$21+M244*Upgrades!$H$21)*POWER(Upgrades!$I$21,M244)))*(IF(Upgrades!$T$13="Moving Group",POWER(Upgrades!$U$13,E244),1)*IF(Upgrades!$T$14="Moving Group",POWER(Upgrades!$U$14,F244),1)*IF(Upgrades!$T$15="Moving Group",POWER(Upgrades!$U$15,G244),1)*IF(Upgrades!$T$16="Moving Group",POWER(Upgrades!$U$16,H244),1)*IF(Upgrades!$T$17="Moving Group",POWER(Upgrades!$U$17,I244),1)*IF(Upgrades!$T$18="Moving Group",POWER(Upgrades!$U$18,J244),1)*IF(Upgrades!$T$19="Moving Group",POWER(Upgrades!$U$19,K244),1)*IF(Upgrades!$T$20="Moving Group",POWER(Upgrades!$U$20,L244),1)))*POWER(Upgrades!$P$13,E244)*POWER(Upgrades!$P$14,F244)*POWER(Upgrades!$P$15,G244)*POWER(Upgrades!$P$16,H244)*POWER(Upgrades!$P$17,I244)*POWER(Upgrades!$P$18,J244)*POWER(Upgrades!$P$19,K244)*POWER(Upgrades!$P$20,L244)*POWER(Upgrades!$P$21,M244)*$F$6+$C$6</f>
        <v/>
      </c>
      <c r="Q244" s="28">
        <f>((IF(E244=0,0,(Upgrades!$M$13+E244*Upgrades!$N$13)*POWER(Upgrades!$O$13,E244)))*(IF(Upgrades!$T$14="Stellar Kinematics",POWER(Upgrades!$U$14,F244),1)*IF(Upgrades!$T$15="Stellar Kinematics",POWER(Upgrades!$U$15,G244),1)*IF(Upgrades!$T$16="Stellar Kinematics",POWER(Upgrades!$U$16,H244),1)*IF(Upgrades!$T$17="Stellar Kinematics",POWER(Upgrades!$U$17,I244),1)*IF(Upgrades!$T$18="Stellar Kinematics",POWER(Upgrades!$U$18,J244),1)*IF(Upgrades!$T$19="Stellar Kinematics",POWER(Upgrades!$U$19,K244),1)*IF(Upgrades!$T$20="Stellar Kinematics",POWER(Upgrades!$U$20,L244),1)*IF(Upgrades!$T$21="Stellar Kinematics",POWER(Upgrades!$U$21,M244),1))+(IF(F244=0,0,(Upgrades!$M$14+F244*Upgrades!$N$14)*POWER(Upgrades!$O$14,F244)))*(IF(Upgrades!$T$13="Local Bubble",POWER(Upgrades!$U$13,E244),1)*IF(Upgrades!$T$15="Local Bubble",POWER(Upgrades!$U$15,G244),1)*IF(Upgrades!$T$16="Local Bubble",POWER(Upgrades!$U$16,H244),1)*IF(Upgrades!$T$17="Local Bubble",POWER(Upgrades!$U$17,I244),1)*IF(Upgrades!$T$18="Local Bubble",POWER(Upgrades!$U$18,J244),1)*IF(Upgrades!$T$19="Local Bubble",POWER(Upgrades!$U$19,K244),1)*IF(Upgrades!$T$20="Local Bubble",POWER(Upgrades!$U$20,L244),1)*IF(Upgrades!$T$21="Local Bubble",POWER(Upgrades!$U$21,M244),1))+(IF(G244=0,0,(Upgrades!$M$15+G244*Upgrades!$N$15)*POWER(Upgrades!$O$15,G244)))*(IF(Upgrades!$T$13="Microlensing",POWER(Upgrades!$U$13,E244),1)*IF(Upgrades!$T$14="Microlensing",POWER(Upgrades!$U$14,F244),1)*IF(Upgrades!$T$16="Microlensing",POWER(Upgrades!$U$16,H244),1)*IF(Upgrades!$T$17="Microlensing",POWER(Upgrades!$U$17,I244),1)*IF(Upgrades!$T$18="Microlensing",POWER(Upgrades!$U$18,J244),1)*IF(Upgrades!$T$19="Microlensing",POWER(Upgrades!$U$19,K244),1)*IF(Upgrades!$T$20="Microlensing",POWER(Upgrades!$U$20,L244),1)*IF(Upgrades!$T$21="Microlensing",POWER(Upgrades!$U$21,M244),1))+(IF(H244=0,0,(Upgrades!$M$16+H244*Upgrades!$N$16)*POWER(Upgrades!$O$16,H244)))*(IF(Upgrades!$T$13="Roche Lobe Overflow",POWER(Upgrades!$U$13,E244),1)*IF(Upgrades!$T$14="Roche Lobe Overflow",POWER(Upgrades!$U$14,F244),1)*IF(Upgrades!$T$15="Roche Lobe Overflow",POWER(Upgrades!$U$15,G244),1)*IF(Upgrades!$T$17="Roche Lobe Overflow",POWER(Upgrades!$U$17,I244),1)*IF(Upgrades!$T$18="Roche Lobe Overflow",POWER(Upgrades!$U$18,J244),1)*IF(Upgrades!$T$19="Roche Lobe Overflow",POWER(Upgrades!$U$19,K244),1)*IF(Upgrades!$T$20="Roche Lobe Overflow",POWER(Upgrades!$U$20,L244),1)*IF(Upgrades!$T$21="Roche Lobe Overflow",POWER(Upgrades!$U$21,M244),1))+(IF(I244=0,0,(Upgrades!$M$17+I244*Upgrades!$N$17)*POWER(Upgrades!$O$17,I244)))*(IF(Upgrades!$T$13="Brown Dwarf",POWER(Upgrades!$U$13,E244),1)*IF(Upgrades!$T$14="Brown Dwarf",POWER(Upgrades!$U$14,F244),1)*IF(Upgrades!$T$15="Brown Dwarf",POWER(Upgrades!$U$15,G244),1)*IF(Upgrades!$T$16="Brown Dwarf",POWER(Upgrades!$U$16,H244),1)*IF(Upgrades!$T$18="Brown Dwarf",POWER(Upgrades!$U$18,J244),1)*IF(Upgrades!$T$19="Brown Dwarf",POWER(Upgrades!$U$19,K244),1)*IF(Upgrades!$T$20="Brown Dwarf",POWER(Upgrades!$U$20,L244),1)*IF(Upgrades!$T$21="Brown Dwarf",POWER(Upgrades!$U$21,M244),1))+(IF(J244=0,0,(Upgrades!$M$18+J244*Upgrades!$N$18)*POWER(Upgrades!$O$18,J244)))*(IF(Upgrades!$T$13="Binary Partner",POWER(Upgrades!$U$13,E244),1)*IF(Upgrades!$T$14="Binary Partner",POWER(Upgrades!$U$14,F244),1)*IF(Upgrades!$T$15="Binary Partner",POWER(Upgrades!$U$15,G244),1)*IF(Upgrades!$T$16="Binary Partner",POWER(Upgrades!$U$16,H244),1)*IF(Upgrades!$T$17="Binary Partner",POWER(Upgrades!$U$17,I244),1)*IF(Upgrades!$T$19="Binary Partner",POWER(Upgrades!$U$19,K244),1)*IF(Upgrades!$T$20="Binary Partner",POWER(Upgrades!$U$20,L244),1)*IF(Upgrades!$T$21="Binary Partner",POWER(Upgrades!$U$21,M244),1))+(IF(K244=0,0,(Upgrades!$M$19+K244*Upgrades!$N$19)*POWER(Upgrades!$O$19,K244)))*(IF(Upgrades!$T$13="Peculiar Velocity",POWER(Upgrades!$U$13,E244),1)*IF(Upgrades!$T$14="Peculiar Velocity",POWER(Upgrades!$U$14,F244),1)*IF(Upgrades!$T$15="Peculiar Velocity",POWER(Upgrades!$U$15,G244),1)*IF(Upgrades!$T$16="Peculiar Velocity",POWER(Upgrades!$U$16,H244),1)*IF(Upgrades!$T$17="Peculiar Velocity",POWER(Upgrades!$U$17,I244),1)*IF(Upgrades!$T$18="Peculiar Velocity",POWER(Upgrades!$U$18,J244),1)*IF(Upgrades!$T$20="Peculiar Velocity",POWER(Upgrades!$U$20,L244),1)*IF(Upgrades!$T$21="Peculiar Velocity",POWER(Upgrades!$U$21,M244),1))+(IF(L244=0,0,(Upgrades!$M$20+L244*Upgrades!$N$20)*POWER(Upgrades!$O$20,L244)))*(IF(Upgrades!$T$13="Open Cluster",POWER(Upgrades!$U$13,E244),1)*IF(Upgrades!$T$14="Open Cluster",POWER(Upgrades!$U$14,F244),1)*IF(Upgrades!$T$15="Open Cluster",POWER(Upgrades!$U$15,G244),1)*IF(Upgrades!$T$16="Open Cluster",POWER(Upgrades!$U$16,H244),1)*IF(Upgrades!$T$17="Open Cluster",POWER(Upgrades!$U$17,I244),1)*IF(Upgrades!$T$18="Open Cluster",POWER(Upgrades!$U$18,J244),1)*IF(Upgrades!$T$19="Open Cluster",POWER(Upgrades!$U$19,K244),1)*IF(Upgrades!$T$21="Open Cluster",POWER(Upgrades!$U$21,M244),1))+(IF(M244=0,0,(Upgrades!$M$21+M244*Upgrades!$N$21)*POWER(Upgrades!$O$21,M244)))*(IF(Upgrades!$T$13="Moving Group",POWER(Upgrades!$U$13,E244),1)*IF(Upgrades!$T$14="Moving Group",POWER(Upgrades!$U$14,F244),1)*IF(Upgrades!$T$15="Moving Group",POWER(Upgrades!$U$15,G244),1)*IF(Upgrades!$T$16="Moving Group",POWER(Upgrades!$U$16,H244),1)*IF(Upgrades!$T$17="Moving Group",POWER(Upgrades!$U$17,I244),1)*IF(Upgrades!$T$18="Moving Group",POWER(Upgrades!$U$18,J244),1)*IF(Upgrades!$T$19="Moving Group",POWER(Upgrades!$U$19,K244),1)*IF(Upgrades!$T$20="Moving Group",POWER(Upgrades!$U$20,L244),1)))*POWER(Upgrades!$R$13,E244)*POWER(Upgrades!$R$14,F244)*POWER(Upgrades!$R$15,G244)*POWER(Upgrades!$R$16,H244)*POWER(Upgrades!$R$17,I244)*POWER(Upgrades!$R$18,J244)*POWER(Upgrades!$R$19,K244)*POWER(Upgrades!$R$20,L244)*POWER(Upgrades!$R$21,M244)*$H$6+$E$6</f>
        <v/>
      </c>
      <c r="R244" s="27">
        <f>IF(N244=1,0,O244*Parameters!$B$10/60*Parameters!$B$11*10)</f>
        <v/>
      </c>
      <c r="S244" s="27">
        <f>IF(N244=1,0,Q244*O244*10)</f>
        <v/>
      </c>
      <c r="T244" s="27">
        <f>IF(N244=1,0,R244+S244+P244*10)</f>
        <v/>
      </c>
      <c r="U244" s="33">
        <f>BE244</f>
        <v/>
      </c>
      <c r="V244" s="22">
        <f>IF(U244="",0,IF(U244="transition",0,IF(U244="SK",AK244,IF(U244="LB",AL244,IF(U244="ML",AM244,IF(U244="RLO",AN244,IF(U244="BD",AO244,IF(U244="BiP",AP244,IF(U244="PV",AQ244,IF(U244="OC",AR244,IF(U244="MG",AS244,0))))))))))</f>
        <v/>
      </c>
      <c r="W244" s="27">
        <f>IF(U244="BiP",Upgrades!$F$18,IF(U244="PV",Upgrades!$F$19,IF(U244="OC",Upgrades!$F$20,IF(U244="MG",Upgrades!$F$21,IF(U244="transition",-Parameters!$B$18*Parameters!$B$19,0)))))</f>
        <v/>
      </c>
      <c r="X244" s="22">
        <f>C244+T244-V244</f>
        <v/>
      </c>
      <c r="Y244" s="30">
        <f>O244*Parameters!$B$10/60*Parameters!$B$11+Q244*O244+P244</f>
        <v/>
      </c>
      <c r="Z244" s="34">
        <f>IF(U244="transition","→ Tier 3 (Galactic Arm)",IF(U244="MG","Moving Group — pocket drifts together",IF(U244="OC","Open Cluster acquired",IF(U244="PV","Peculiar Velocity — passive multiplier active",IF(U244="BiP","Binary Partner — pair bond formed",IF(AND(AU244=1,N244=0,AT244&lt;&gt;1),"Cohesion ready (waiting on completionists)","")))))) </f>
        <v/>
      </c>
      <c r="AA244" s="27">
        <f>(IF(E244=0,0,(Upgrades!$G$13+E244*Upgrades!$H$13)*POWER(Upgrades!$I$13,E244)))*(IF(Upgrades!$T$14="Stellar Kinematics",POWER(Upgrades!$U$14,F244),1)*IF(Upgrades!$T$15="Stellar Kinematics",POWER(Upgrades!$U$15,G244),1)*IF(Upgrades!$T$16="Stellar Kinematics",POWER(Upgrades!$U$16,H244),1)*IF(Upgrades!$T$17="Stellar Kinematics",POWER(Upgrades!$U$17,I244),1)*IF(Upgrades!$T$18="Stellar Kinematics",POWER(Upgrades!$U$18,J244),1)*IF(Upgrades!$T$19="Stellar Kinematics",POWER(Upgrades!$U$19,K244),1)*IF(Upgrades!$T$20="Stellar Kinematics",POWER(Upgrades!$U$20,L244),1)*IF(Upgrades!$T$21="Stellar Kinematics",POWER(Upgrades!$U$21,M244),1))*POWER(Upgrades!$P$13,E244)*POWER(Upgrades!$P$14,F244)*POWER(Upgrades!$P$15,G244)*POWER(Upgrades!$P$16,H244)*POWER(Upgrades!$P$17,I244)*POWER(Upgrades!$P$18,J244)*POWER(Upgrades!$P$19,K244)*POWER(Upgrades!$P$20,L244)*POWER(Upgrades!$P$21,M244)*$F$6*60</f>
        <v/>
      </c>
      <c r="AB244" s="27">
        <f>(IF(F244=0,0,(Upgrades!$G$14+F244*Upgrades!$H$14)*POWER(Upgrades!$I$14,F244)))*(IF(Upgrades!$T$13="Local Bubble",POWER(Upgrades!$U$13,E244),1)*IF(Upgrades!$T$15="Local Bubble",POWER(Upgrades!$U$15,G244),1)*IF(Upgrades!$T$16="Local Bubble",POWER(Upgrades!$U$16,H244),1)*IF(Upgrades!$T$17="Local Bubble",POWER(Upgrades!$U$17,I244),1)*IF(Upgrades!$T$18="Local Bubble",POWER(Upgrades!$U$18,J244),1)*IF(Upgrades!$T$19="Local Bubble",POWER(Upgrades!$U$19,K244),1)*IF(Upgrades!$T$20="Local Bubble",POWER(Upgrades!$U$20,L244),1)*IF(Upgrades!$T$21="Local Bubble",POWER(Upgrades!$U$21,M244),1))*POWER(Upgrades!$P$13,E244)*POWER(Upgrades!$P$14,F244)*POWER(Upgrades!$P$15,G244)*POWER(Upgrades!$P$16,H244)*POWER(Upgrades!$P$17,I244)*POWER(Upgrades!$P$18,J244)*POWER(Upgrades!$P$19,K244)*POWER(Upgrades!$P$20,L244)*POWER(Upgrades!$P$21,M244)*$F$6*60</f>
        <v/>
      </c>
      <c r="AC244" s="27">
        <f>(IF(G244=0,0,(Upgrades!$J$15+G244*Upgrades!$K$15)*POWER(Upgrades!$L$15,G244)))*(IF(Upgrades!$T$13="Microlensing",POWER(Upgrades!$U$13,E244),1)*IF(Upgrades!$T$14="Microlensing",POWER(Upgrades!$U$14,F244),1)*IF(Upgrades!$T$16="Microlensing",POWER(Upgrades!$U$16,H244),1)*IF(Upgrades!$T$17="Microlensing",POWER(Upgrades!$U$17,I244),1)*IF(Upgrades!$T$18="Microlensing",POWER(Upgrades!$U$18,J244),1)*IF(Upgrades!$T$19="Microlensing",POWER(Upgrades!$U$19,K244),1)*IF(Upgrades!$T$20="Microlensing",POWER(Upgrades!$U$20,L244),1)*IF(Upgrades!$T$21="Microlensing",POWER(Upgrades!$U$21,M244),1))*POWER(Upgrades!$Q$13,E244)*POWER(Upgrades!$Q$14,F244)*POWER(Upgrades!$Q$15,G244)*POWER(Upgrades!$Q$16,H244)*POWER(Upgrades!$Q$17,I244)*POWER(Upgrades!$Q$18,J244)*POWER(Upgrades!$Q$19,K244)*POWER(Upgrades!$Q$20,L244)*POWER(Upgrades!$Q$21,M244)*$G$6*(Parameters!$B$10*Parameters!$B$11+Q244*60)</f>
        <v/>
      </c>
      <c r="AD244" s="27">
        <f>(IF(H244=0,0,(Upgrades!$M$16+H244*Upgrades!$N$16)*POWER(Upgrades!$O$16,H244)))*(IF(Upgrades!$T$13="Roche Lobe Overflow",POWER(Upgrades!$U$13,E244),1)*IF(Upgrades!$T$14="Roche Lobe Overflow",POWER(Upgrades!$U$14,F244),1)*IF(Upgrades!$T$15="Roche Lobe Overflow",POWER(Upgrades!$U$15,G244),1)*IF(Upgrades!$T$17="Roche Lobe Overflow",POWER(Upgrades!$U$17,I244),1)*IF(Upgrades!$T$18="Roche Lobe Overflow",POWER(Upgrades!$U$18,J244),1)*IF(Upgrades!$T$19="Roche Lobe Overflow",POWER(Upgrades!$U$19,K244),1)*IF(Upgrades!$T$20="Roche Lobe Overflow",POWER(Upgrades!$U$20,L244),1)*IF(Upgrades!$T$21="Roche Lobe Overflow",POWER(Upgrades!$U$21,M244),1))*POWER(Upgrades!$R$13,E244)*POWER(Upgrades!$R$14,F244)*POWER(Upgrades!$R$15,G244)*POWER(Upgrades!$R$16,H244)*POWER(Upgrades!$R$17,I244)*POWER(Upgrades!$R$18,J244)*POWER(Upgrades!$R$19,K244)*POWER(Upgrades!$R$20,L244)*POWER(Upgrades!$R$21,M244)*$H$6*O244*60</f>
        <v/>
      </c>
      <c r="AE244" s="27">
        <f>(IF(I244=0,0,(Upgrades!$G$17+I244*Upgrades!$H$17)*POWER(Upgrades!$I$17,I244)))*(IF(Upgrades!$T$13="Brown Dwarf",POWER(Upgrades!$U$13,E244),1)*IF(Upgrades!$T$14="Brown Dwarf",POWER(Upgrades!$U$14,F244),1)*IF(Upgrades!$T$15="Brown Dwarf",POWER(Upgrades!$U$15,G244),1)*IF(Upgrades!$T$16="Brown Dwarf",POWER(Upgrades!$U$16,H244),1)*IF(Upgrades!$T$18="Brown Dwarf",POWER(Upgrades!$U$18,J244),1)*IF(Upgrades!$T$19="Brown Dwarf",POWER(Upgrades!$U$19,K244),1)*IF(Upgrades!$T$20="Brown Dwarf",POWER(Upgrades!$U$20,L244),1)*IF(Upgrades!$T$21="Brown Dwarf",POWER(Upgrades!$U$21,M244),1))*POWER(Upgrades!$P$13,E244)*POWER(Upgrades!$P$14,F244)*POWER(Upgrades!$P$15,G244)*POWER(Upgrades!$P$16,H244)*POWER(Upgrades!$P$17,I244)*POWER(Upgrades!$P$18,J244)*POWER(Upgrades!$P$19,K244)*POWER(Upgrades!$P$20,L244)*POWER(Upgrades!$P$21,M244)*$F$6*60</f>
        <v/>
      </c>
      <c r="AF244" s="27" t="n">
        <v>0</v>
      </c>
      <c r="AG244" s="27" t="n">
        <v>0</v>
      </c>
      <c r="AH244" s="27" t="n">
        <v>0</v>
      </c>
      <c r="AI244" s="27">
        <f>(IF(M244=0,0,(Upgrades!$G$21+M244*Upgrades!$H$21)*POWER(Upgrades!$I$21,M244)))*(IF(Upgrades!$T$13="Moving Group",POWER(Upgrades!$U$13,E244),1)*IF(Upgrades!$T$14="Moving Group",POWER(Upgrades!$U$14,F244),1)*IF(Upgrades!$T$15="Moving Group",POWER(Upgrades!$U$15,G244),1)*IF(Upgrades!$T$16="Moving Group",POWER(Upgrades!$U$16,H244),1)*IF(Upgrades!$T$17="Moving Group",POWER(Upgrades!$U$17,I244),1)*IF(Upgrades!$T$18="Moving Group",POWER(Upgrades!$U$18,J244),1)*IF(Upgrades!$T$19="Moving Group",POWER(Upgrades!$U$19,K244),1)*IF(Upgrades!$T$20="Moving Group",POWER(Upgrades!$U$20,L244),1))*POWER(Upgrades!$P$13,E244)*POWER(Upgrades!$P$14,F244)*POWER(Upgrades!$P$15,G244)*POWER(Upgrades!$P$16,H244)*POWER(Upgrades!$P$17,I244)*POWER(Upgrades!$P$18,J244)*POWER(Upgrades!$P$19,K244)*POWER(Upgrades!$P$20,L244)*POWER(Upgrades!$P$21,M244)*$F$6*60</f>
        <v/>
      </c>
      <c r="AJ244" s="27">
        <f>$C$6*60</f>
        <v/>
      </c>
      <c r="AK244" s="22">
        <f>IF(E244&gt;=Upgrades!$E$13,"",Upgrades!$C$13*POWER(Upgrades!$D$13,E244))</f>
        <v/>
      </c>
      <c r="AL244" s="22">
        <f>IF(F244&gt;=Upgrades!$E$14,"",Upgrades!$C$14*POWER(Upgrades!$D$14,F244))</f>
        <v/>
      </c>
      <c r="AM244" s="22">
        <f>IF(G244&gt;=Upgrades!$E$15,"",Upgrades!$C$15*POWER(Upgrades!$D$15,G244))</f>
        <v/>
      </c>
      <c r="AN244" s="22">
        <f>IF(H244&gt;=Upgrades!$E$16,"",Upgrades!$C$16*POWER(Upgrades!$D$16,H244))</f>
        <v/>
      </c>
      <c r="AO244" s="22">
        <f>IF(I244&gt;=Upgrades!$E$17,"",Upgrades!$C$17*POWER(Upgrades!$D$17,I244))</f>
        <v/>
      </c>
      <c r="AP244" s="22">
        <f>IF(J244&gt;=Upgrades!$E$18,"",Upgrades!$C$18*POWER(Upgrades!$D$18,J244))</f>
        <v/>
      </c>
      <c r="AQ244" s="22">
        <f>IF(K244&gt;=Upgrades!$E$19,"",Upgrades!$C$19*POWER(Upgrades!$D$19,K244))</f>
        <v/>
      </c>
      <c r="AR244" s="22">
        <f>IF(L244&gt;=Upgrades!$E$20,"",Upgrades!$C$20*POWER(Upgrades!$D$20,L244))</f>
        <v/>
      </c>
      <c r="AS244" s="22">
        <f>IF(M244&gt;=Upgrades!$E$21,"",Upgrades!$C$21*POWER(Upgrades!$D$21,M244))</f>
        <v/>
      </c>
      <c r="AT244" s="26">
        <f>IF(AND(D244&gt;=Parameters!$B$18*Parameters!$B$19,(I244&gt;=Upgrades!$E$17)*(M244&gt;=Upgrades!$E$21)=1,N244=0),1,"")</f>
        <v/>
      </c>
      <c r="AU244" s="26">
        <f>IF(AND(D244&gt;=Parameters!$B$18*Parameters!$B$19,N244=0),1,"")</f>
        <v/>
      </c>
      <c r="AV244" s="22">
        <f>MIN(IF(ISNUMBER(AP244),AP244,9E15),IF(ISNUMBER(AQ244),AQ244,9E15),IF(ISNUMBER(AR244),AR244,9E15),IF(ISNUMBER(AS244),AS244,9E15))</f>
        <v/>
      </c>
      <c r="AW244" s="22">
        <f>MIN(IF(ISNUMBER(AK244),AK244,9E15),IF(ISNUMBER(AL244),AL244,9E15),IF(ISNUMBER(AM244),AM244,9E15),IF(ISNUMBER(AN244),AN244,9E15),IF(ISNUMBER(AO244),AO244,9E15))</f>
        <v/>
      </c>
      <c r="AX244" s="29">
        <f>IF(BD244&gt;Parameters!$B$21*(MAX(IF(AND(NOT(AND(AU244=1,AT244&lt;&gt;1)),ISNUMBER(AK244),AK244&lt;=(C244+T244)),AY244,0),IF(AND(NOT(AND(AU244=1,AT244&lt;&gt;1)),ISNUMBER(AL244),AL244&lt;=(C244+T244)),AZ244,0),IF(AND(NOT(AND(AU244=1,AT244&lt;&gt;1)),ISNUMBER(AM244),AM244&lt;=(C244+T244)),BA244,0),IF(AND(NOT(AND(AU244=1,AT244&lt;&gt;1)),ISNUMBER(AN244),AN244&lt;=(C244+T244)),BB244,0),IF(AND(ISNUMBER(AO244),AO244&lt;=(C244+T244)),BC244,0))),TRUE,FALSE)</f>
        <v/>
      </c>
      <c r="AY244" s="32">
        <f>IFERROR(Upgrades!$H$13*(POWER(Upgrades!$P$13,E244)*POWER(Upgrades!$P$14,F244)*POWER(Upgrades!$P$15,G244)*POWER(Upgrades!$P$16,H244)*POWER(Upgrades!$P$17,I244)*POWER(Upgrades!$P$18,J244)*POWER(Upgrades!$P$19,K244)*POWER(Upgrades!$P$20,L244)*POWER(Upgrades!$P$21,M244))*(IF(Upgrades!$T$14="Stellar Kinematics",POWER(Upgrades!$U$14,F244),1)*IF(Upgrades!$T$15="Stellar Kinematics",POWER(Upgrades!$U$15,G244),1)*IF(Upgrades!$T$16="Stellar Kinematics",POWER(Upgrades!$U$16,H244),1)*IF(Upgrades!$T$17="Stellar Kinematics",POWER(Upgrades!$U$17,I244),1)*IF(Upgrades!$T$18="Stellar Kinematics",POWER(Upgrades!$U$18,J244),1)*IF(Upgrades!$T$19="Stellar Kinematics",POWER(Upgrades!$U$19,K244),1)*IF(Upgrades!$T$20="Stellar Kinematics",POWER(Upgrades!$U$20,L244),1)*IF(Upgrades!$T$21="Stellar Kinematics",POWER(Upgrades!$U$21,M244),1))*$F$6/AK244,0)</f>
        <v/>
      </c>
      <c r="AZ244" s="32">
        <f>IFERROR(Upgrades!$H$14*(POWER(Upgrades!$P$13,E244)*POWER(Upgrades!$P$14,F244)*POWER(Upgrades!$P$15,G244)*POWER(Upgrades!$P$16,H244)*POWER(Upgrades!$P$17,I244)*POWER(Upgrades!$P$18,J244)*POWER(Upgrades!$P$19,K244)*POWER(Upgrades!$P$20,L244)*POWER(Upgrades!$P$21,M244))*(IF(Upgrades!$T$13="Local Bubble",POWER(Upgrades!$U$13,E244),1)*IF(Upgrades!$T$15="Local Bubble",POWER(Upgrades!$U$15,G244),1)*IF(Upgrades!$T$16="Local Bubble",POWER(Upgrades!$U$16,H244),1)*IF(Upgrades!$T$17="Local Bubble",POWER(Upgrades!$U$17,I244),1)*IF(Upgrades!$T$18="Local Bubble",POWER(Upgrades!$U$18,J244),1)*IF(Upgrades!$T$19="Local Bubble",POWER(Upgrades!$U$19,K244),1)*IF(Upgrades!$T$20="Local Bubble",POWER(Upgrades!$U$20,L244),1)*IF(Upgrades!$T$21="Local Bubble",POWER(Upgrades!$U$21,M244),1))*$F$6/AL244,0)</f>
        <v/>
      </c>
      <c r="BA244" s="32">
        <f>IFERROR(Upgrades!$K$15*(POWER(Upgrades!$Q$13,E244)*POWER(Upgrades!$Q$14,F244)*POWER(Upgrades!$Q$15,G244)*POWER(Upgrades!$Q$16,H244)*POWER(Upgrades!$Q$17,I244)*POWER(Upgrades!$Q$18,J244)*POWER(Upgrades!$Q$19,K244)*POWER(Upgrades!$Q$20,L244)*POWER(Upgrades!$Q$21,M244))*(IF(Upgrades!$T$13="Microlensing",POWER(Upgrades!$U$13,E244),1)*IF(Upgrades!$T$14="Microlensing",POWER(Upgrades!$U$14,F244),1)*IF(Upgrades!$T$16="Microlensing",POWER(Upgrades!$U$16,H244),1)*IF(Upgrades!$T$17="Microlensing",POWER(Upgrades!$U$17,I244),1)*IF(Upgrades!$T$18="Microlensing",POWER(Upgrades!$U$18,J244),1)*IF(Upgrades!$T$19="Microlensing",POWER(Upgrades!$U$19,K244),1)*IF(Upgrades!$T$20="Microlensing",POWER(Upgrades!$U$20,L244),1)*IF(Upgrades!$T$21="Microlensing",POWER(Upgrades!$U$21,M244),1))*$G$6*(Parameters!$B$10/60*Parameters!$B$11+Q244)/AM244,0)</f>
        <v/>
      </c>
      <c r="BB244" s="32">
        <f>IFERROR((Upgrades!$N$16*(POWER(Upgrades!$R$13,E244)*POWER(Upgrades!$R$14,F244)*POWER(Upgrades!$R$15,G244)*POWER(Upgrades!$R$16,H244)*POWER(Upgrades!$R$17,I244)*POWER(Upgrades!$R$18,J244)*POWER(Upgrades!$R$19,K244)*POWER(Upgrades!$R$20,L244)*POWER(Upgrades!$R$21,M244))*(IF(Upgrades!$T$13="Roche Lobe Overflow",POWER(Upgrades!$U$13,E244),1)*IF(Upgrades!$T$14="Roche Lobe Overflow",POWER(Upgrades!$U$14,F244),1)*IF(Upgrades!$T$15="Roche Lobe Overflow",POWER(Upgrades!$U$15,G244),1)*IF(Upgrades!$T$17="Roche Lobe Overflow",POWER(Upgrades!$U$17,I244),1)*IF(Upgrades!$T$18="Roche Lobe Overflow",POWER(Upgrades!$U$18,J244),1)*IF(Upgrades!$T$19="Roche Lobe Overflow",POWER(Upgrades!$U$19,K244),1)*IF(Upgrades!$T$20="Roche Lobe Overflow",POWER(Upgrades!$U$20,L244),1)*IF(Upgrades!$T$21="Roche Lobe Overflow",POWER(Upgrades!$U$21,M244),1))*$H$6*O244+((IF(F244=0,0,(Upgrades!$G$14+F244*Upgrades!$H$14)*POWER(Upgrades!$I$14,F244)))*(IF(Upgrades!$T$13="Local Bubble",POWER(Upgrades!$U$13,E244),1)*IF(Upgrades!$T$15="Local Bubble",POWER(Upgrades!$U$15,G244),1)*IF(Upgrades!$T$16="Local Bubble",POWER(Upgrades!$U$16,H244),1)*IF(Upgrades!$T$17="Local Bubble",POWER(Upgrades!$U$17,I244),1)*IF(Upgrades!$T$18="Local Bubble",POWER(Upgrades!$U$18,J244),1)*IF(Upgrades!$T$19="Local Bubble",POWER(Upgrades!$U$19,K244),1)*IF(Upgrades!$T$20="Local Bubble",POWER(Upgrades!$U$20,L244),1)*IF(Upgrades!$T$21="Local Bubble",POWER(Upgrades!$U$21,M244),1))*POWER(Upgrades!$P$13,E244)*POWER(Upgrades!$P$14,F244)*POWER(Upgrades!$P$15,G244)*POWER(Upgrades!$P$16,H244)*POWER(Upgrades!$P$17,I244)*POWER(Upgrades!$P$18,J244)*POWER(Upgrades!$P$19,K244)*POWER(Upgrades!$P$20,L244)*POWER(Upgrades!$P$21,M244)*$F$6)*0.05)/AN244,0)</f>
        <v/>
      </c>
      <c r="BC244" s="32">
        <f>IFERROR((Upgrades!$H$17*(POWER(Upgrades!$P$13,E244)*POWER(Upgrades!$P$14,F244)*POWER(Upgrades!$P$15,G244)*POWER(Upgrades!$P$16,H244)*POWER(Upgrades!$P$17,I244)*POWER(Upgrades!$P$18,J244)*POWER(Upgrades!$P$19,K244)*POWER(Upgrades!$P$20,L244)*POWER(Upgrades!$P$21,M244))*(IF(Upgrades!$T$13="Brown Dwarf",POWER(Upgrades!$U$13,E244),1)*IF(Upgrades!$T$14="Brown Dwarf",POWER(Upgrades!$U$14,F244),1)*IF(Upgrades!$T$15="Brown Dwarf",POWER(Upgrades!$U$15,G244),1)*IF(Upgrades!$T$16="Brown Dwarf",POWER(Upgrades!$U$16,H244),1)*IF(Upgrades!$T$18="Brown Dwarf",POWER(Upgrades!$U$18,J244),1)*IF(Upgrades!$T$19="Brown Dwarf",POWER(Upgrades!$U$19,K244),1)*IF(Upgrades!$T$20="Brown Dwarf",POWER(Upgrades!$U$20,L244),1)*IF(Upgrades!$T$21="Brown Dwarf",POWER(Upgrades!$U$21,M244),1))*$F$6+(((IF(H244=0,0,(Upgrades!$M$16+H244*Upgrades!$N$16)*POWER(Upgrades!$O$16,H244)))*(IF(Upgrades!$T$13="Roche Lobe Overflow",POWER(Upgrades!$U$13,E244),1)*IF(Upgrades!$T$14="Roche Lobe Overflow",POWER(Upgrades!$U$14,F244),1)*IF(Upgrades!$T$15="Roche Lobe Overflow",POWER(Upgrades!$U$15,G244),1)*IF(Upgrades!$T$17="Roche Lobe Overflow",POWER(Upgrades!$U$17,I244),1)*IF(Upgrades!$T$18="Roche Lobe Overflow",POWER(Upgrades!$U$18,J244),1)*IF(Upgrades!$T$19="Roche Lobe Overflow",POWER(Upgrades!$U$19,K244),1)*IF(Upgrades!$T$20="Roche Lobe Overflow",POWER(Upgrades!$U$20,L244),1)*IF(Upgrades!$T$21="Roche Lobe Overflow",POWER(Upgrades!$U$21,M244),1))*POWER(Upgrades!$R$13,E244)*POWER(Upgrades!$R$14,F244)*POWER(Upgrades!$R$15,G244)*POWER(Upgrades!$R$16,H244)*POWER(Upgrades!$R$17,I244)*POWER(Upgrades!$R$18,J244)*POWER(Upgrades!$R$19,K244)*POWER(Upgrades!$R$20,L244)*POWER(Upgrades!$R$21,M244)*$H$6)*O244)*0.10)/AO244,0)</f>
        <v/>
      </c>
      <c r="BD244" s="32">
        <f>MAX(IF(J244&gt;0,0,IFERROR(0.5*((IF(G244=0,0,(Upgrades!$J$15+G244*Upgrades!$K$15)*POWER(Upgrades!$L$15,G244)))*(IF(Upgrades!$T$13="Microlensing",POWER(Upgrades!$U$13,E244),1)*IF(Upgrades!$T$14="Microlensing",POWER(Upgrades!$U$14,F244),1)*IF(Upgrades!$T$16="Microlensing",POWER(Upgrades!$U$16,H244),1)*IF(Upgrades!$T$17="Microlensing",POWER(Upgrades!$U$17,I244),1)*IF(Upgrades!$T$18="Microlensing",POWER(Upgrades!$U$18,J244),1)*IF(Upgrades!$T$19="Microlensing",POWER(Upgrades!$U$19,K244),1)*IF(Upgrades!$T$20="Microlensing",POWER(Upgrades!$U$20,L244),1)*IF(Upgrades!$T$21="Microlensing",POWER(Upgrades!$U$21,M244),1))*(POWER(Upgrades!$Q$13,E244)*POWER(Upgrades!$Q$14,F244)*POWER(Upgrades!$Q$15,G244)*POWER(Upgrades!$Q$16,H244)*POWER(Upgrades!$Q$17,I244)*POWER(Upgrades!$Q$18,J244)*POWER(Upgrades!$Q$19,K244)*POWER(Upgrades!$Q$20,L244)*POWER(Upgrades!$Q$21,M244))*$G$6*(Parameters!$B$10/60*Parameters!$B$11+Q244))/Upgrades!$C$18,0)),IF(K244&gt;0,0,IFERROR(0.30*P244/Upgrades!$C$19,0)),IF(L244&gt;0,0,IFERROR(0.0001/Upgrades!$C$20,0)),IF(M244&gt;0,0,IFERROR((6.0*(POWER(Upgrades!$P$13,E244)*POWER(Upgrades!$P$14,F244)*POWER(Upgrades!$P$15,G244)*POWER(Upgrades!$P$16,H244)*POWER(Upgrades!$P$17,I244)*POWER(Upgrades!$P$18,J244)*POWER(Upgrades!$P$19,K244)*POWER(Upgrades!$P$20,L244)*POWER(Upgrades!$P$21,M244))*$F$6+0.20*O244*(Parameters!$B$10/60*Parameters!$B$11+Q244))/Upgrades!$C$21,0)),IF(AND(ISNUMBER(AK244),AK244&gt;(C244+T244)),AY244,0),IF(AND(ISNUMBER(AL244),AL244&gt;(C244+T244)),AZ244,0),IF(AND(ISNUMBER(AM244),AM244&gt;(C244+T244)),BA244,0),IF(AND(ISNUMBER(AN244),AN244&gt;(C244+T244)),BB244,0),IF(AND(ISNUMBER(AO244),AO244&gt;(C244+T244)),BC244,0))</f>
        <v/>
      </c>
      <c r="BE244" s="29">
        <f>IF(AT244=1,"transition",IF(MIN(IF(AND(J244=0,ISNUMBER(AP244),AP244&lt;=(C244+T244)),AP244,9E15),IF(AND(K244=0,ISNUMBER(AQ244),AQ244&lt;=(C244+T244)),AQ244,9E15),IF(AND(L244=0,ISNUMBER(AR244),AR244&lt;=(C244+T244)),AR244,9E15),IF(AND(M244=0,ISNUMBER(AS244),AS244&lt;=(C244+T244)),AS244,9E15))&lt;9E15,IF(AND(AND(J244=0,ISNUMBER(AP244),AP244&lt;=(C244+T244)),AP244=MIN(IF(AND(J244=0,ISNUMBER(AP244),AP244&lt;=(C244+T244)),AP244,9E15),IF(AND(K244=0,ISNUMBER(AQ244),AQ244&lt;=(C244+T244)),AQ244,9E15),IF(AND(L244=0,ISNUMBER(AR244),AR244&lt;=(C244+T244)),AR244,9E15),IF(AND(M244=0,ISNUMBER(AS244),AS244&lt;=(C244+T244)),AS244,9E15))),"BiP",IF(AND(AND(K244=0,ISNUMBER(AQ244),AQ244&lt;=(C244+T244)),AQ244=MIN(IF(AND(J244=0,ISNUMBER(AP244),AP244&lt;=(C244+T244)),AP244,9E15),IF(AND(K244=0,ISNUMBER(AQ244),AQ244&lt;=(C244+T244)),AQ244,9E15),IF(AND(L244=0,ISNUMBER(AR244),AR244&lt;=(C244+T244)),AR244,9E15),IF(AND(M244=0,ISNUMBER(AS244),AS244&lt;=(C244+T244)),AS244,9E15))),"PV",IF(AND(AND(L244=0,ISNUMBER(AR244),AR244&lt;=(C244+T244)),AR244=MIN(IF(AND(J244=0,ISNUMBER(AP244),AP244&lt;=(C244+T244)),AP244,9E15),IF(AND(K244=0,ISNUMBER(AQ244),AQ244&lt;=(C244+T244)),AQ244,9E15),IF(AND(L244=0,ISNUMBER(AR244),AR244&lt;=(C244+T244)),AR244,9E15),IF(AND(M244=0,ISNUMBER(AS244),AS244&lt;=(C244+T244)),AS244,9E15))),"OC","MG"))),IF(AX244=TRUE,"",IF(MAX(IF(AND(NOT(AND(AU244=1,AT244&lt;&gt;1)),ISNUMBER(AK244),AK244&lt;=(C244+T244)),AY244,0),IF(AND(NOT(AND(AU244=1,AT244&lt;&gt;1)),ISNUMBER(AL244),AL244&lt;=(C244+T244)),AZ244,0),IF(AND(NOT(AND(AU244=1,AT244&lt;&gt;1)),ISNUMBER(AM244),AM244&lt;=(C244+T244)),BA244,0),IF(AND(NOT(AND(AU244=1,AT244&lt;&gt;1)),ISNUMBER(AN244),AN244&lt;=(C244+T244)),BB244,0),IF(AND(ISNUMBER(AO244),AO244&lt;=(C244+T244)),BC244,0))&lt;=0,"",IF(AND(IF(AND(NOT(AND(AU244=1,AT244&lt;&gt;1)),ISNUMBER(AK244),AK244&lt;=(C244+T244)),AY244,0)&gt;0,IF(AND(NOT(AND(AU244=1,AT244&lt;&gt;1)),ISNUMBER(AK244),AK244&lt;=(C244+T244)),AY244,0)=MAX(IF(AND(NOT(AND(AU244=1,AT244&lt;&gt;1)),ISNUMBER(AK244),AK244&lt;=(C244+T244)),AY244,0),IF(AND(NOT(AND(AU244=1,AT244&lt;&gt;1)),ISNUMBER(AL244),AL244&lt;=(C244+T244)),AZ244,0),IF(AND(NOT(AND(AU244=1,AT244&lt;&gt;1)),ISNUMBER(AM244),AM244&lt;=(C244+T244)),BA244,0),IF(AND(NOT(AND(AU244=1,AT244&lt;&gt;1)),ISNUMBER(AN244),AN244&lt;=(C244+T244)),BB244,0),IF(AND(ISNUMBER(AO244),AO244&lt;=(C244+T244)),BC244,0))),"SK",IF(AND(IF(AND(NOT(AND(AU244=1,AT244&lt;&gt;1)),ISNUMBER(AL244),AL244&lt;=(C244+T244)),AZ244,0)&gt;0,IF(AND(NOT(AND(AU244=1,AT244&lt;&gt;1)),ISNUMBER(AL244),AL244&lt;=(C244+T244)),AZ244,0)=MAX(IF(AND(NOT(AND(AU244=1,AT244&lt;&gt;1)),ISNUMBER(AK244),AK244&lt;=(C244+T244)),AY244,0),IF(AND(NOT(AND(AU244=1,AT244&lt;&gt;1)),ISNUMBER(AL244),AL244&lt;=(C244+T244)),AZ244,0),IF(AND(NOT(AND(AU244=1,AT244&lt;&gt;1)),ISNUMBER(AM244),AM244&lt;=(C244+T244)),BA244,0),IF(AND(NOT(AND(AU244=1,AT244&lt;&gt;1)),ISNUMBER(AN244),AN244&lt;=(C244+T244)),BB244,0),IF(AND(ISNUMBER(AO244),AO244&lt;=(C244+T244)),BC244,0))),"LB",IF(AND(IF(AND(NOT(AND(AU244=1,AT244&lt;&gt;1)),ISNUMBER(AM244),AM244&lt;=(C244+T244)),BA244,0)&gt;0,IF(AND(NOT(AND(AU244=1,AT244&lt;&gt;1)),ISNUMBER(AM244),AM244&lt;=(C244+T244)),BA244,0)=MAX(IF(AND(NOT(AND(AU244=1,AT244&lt;&gt;1)),ISNUMBER(AK244),AK244&lt;=(C244+T244)),AY244,0),IF(AND(NOT(AND(AU244=1,AT244&lt;&gt;1)),ISNUMBER(AL244),AL244&lt;=(C244+T244)),AZ244,0),IF(AND(NOT(AND(AU244=1,AT244&lt;&gt;1)),ISNUMBER(AM244),AM244&lt;=(C244+T244)),BA244,0),IF(AND(NOT(AND(AU244=1,AT244&lt;&gt;1)),ISNUMBER(AN244),AN244&lt;=(C244+T244)),BB244,0),IF(AND(ISNUMBER(AO244),AO244&lt;=(C244+T244)),BC244,0))),"ML",IF(AND(IF(AND(NOT(AND(AU244=1,AT244&lt;&gt;1)),ISNUMBER(AN244),AN244&lt;=(C244+T244)),BB244,0)&gt;0,IF(AND(NOT(AND(AU244=1,AT244&lt;&gt;1)),ISNUMBER(AN244),AN244&lt;=(C244+T244)),BB244,0)=MAX(IF(AND(NOT(AND(AU244=1,AT244&lt;&gt;1)),ISNUMBER(AK244),AK244&lt;=(C244+T244)),AY244,0),IF(AND(NOT(AND(AU244=1,AT244&lt;&gt;1)),ISNUMBER(AL244),AL244&lt;=(C244+T244)),AZ244,0),IF(AND(NOT(AND(AU244=1,AT244&lt;&gt;1)),ISNUMBER(AM244),AM244&lt;=(C244+T244)),BA244,0),IF(AND(NOT(AND(AU244=1,AT244&lt;&gt;1)),ISNUMBER(AN244),AN244&lt;=(C244+T244)),BB244,0),IF(AND(ISNUMBER(AO244),AO244&lt;=(C244+T244)),BC244,0))),"RLO","BD"))))))))</f>
        <v/>
      </c>
    </row>
    <row r="245">
      <c r="A245" s="26" t="n">
        <v>234</v>
      </c>
      <c r="B245" s="27">
        <f>A245*10/60</f>
        <v/>
      </c>
      <c r="C245" s="22">
        <f>X244</f>
        <v/>
      </c>
      <c r="D245" s="27">
        <f>D244+W244</f>
        <v/>
      </c>
      <c r="E245" s="26">
        <f>E244+IF(U244="SK",1,0)</f>
        <v/>
      </c>
      <c r="F245" s="26">
        <f>F244+IF(U244="LB",1,0)</f>
        <v/>
      </c>
      <c r="G245" s="26">
        <f>G244+IF(U244="ML",1,0)</f>
        <v/>
      </c>
      <c r="H245" s="26">
        <f>H244+IF(U244="RLO",1,0)</f>
        <v/>
      </c>
      <c r="I245" s="26">
        <f>I244+IF(U244="BD",1,0)</f>
        <v/>
      </c>
      <c r="J245" s="26">
        <f>MAX(J244,IF(U244="BiP",1,0))</f>
        <v/>
      </c>
      <c r="K245" s="26">
        <f>MAX(K244,IF(U244="PV",1,0))</f>
        <v/>
      </c>
      <c r="L245" s="26">
        <f>MAX(L244,IF(U244="OC",1,0))</f>
        <v/>
      </c>
      <c r="M245" s="26">
        <f>MAX(M244,IF(U244="MG",1,0))</f>
        <v/>
      </c>
      <c r="N245" s="26">
        <f>MAX(N244,IF(U244="transition",1,0))</f>
        <v/>
      </c>
      <c r="O245" s="28">
        <f>(Parameters!$B$9+(IF(E245=0,0,(Upgrades!$J$13+E245*Upgrades!$K$13)*POWER(Upgrades!$L$13,E245)))*(IF(Upgrades!$T$14="Stellar Kinematics",POWER(Upgrades!$U$14,F245),1)*IF(Upgrades!$T$15="Stellar Kinematics",POWER(Upgrades!$U$15,G245),1)*IF(Upgrades!$T$16="Stellar Kinematics",POWER(Upgrades!$U$16,H245),1)*IF(Upgrades!$T$17="Stellar Kinematics",POWER(Upgrades!$U$17,I245),1)*IF(Upgrades!$T$18="Stellar Kinematics",POWER(Upgrades!$U$18,J245),1)*IF(Upgrades!$T$19="Stellar Kinematics",POWER(Upgrades!$U$19,K245),1)*IF(Upgrades!$T$20="Stellar Kinematics",POWER(Upgrades!$U$20,L245),1)*IF(Upgrades!$T$21="Stellar Kinematics",POWER(Upgrades!$U$21,M245),1))+(IF(F245=0,0,(Upgrades!$J$14+F245*Upgrades!$K$14)*POWER(Upgrades!$L$14,F245)))*(IF(Upgrades!$T$13="Local Bubble",POWER(Upgrades!$U$13,E245),1)*IF(Upgrades!$T$15="Local Bubble",POWER(Upgrades!$U$15,G245),1)*IF(Upgrades!$T$16="Local Bubble",POWER(Upgrades!$U$16,H245),1)*IF(Upgrades!$T$17="Local Bubble",POWER(Upgrades!$U$17,I245),1)*IF(Upgrades!$T$18="Local Bubble",POWER(Upgrades!$U$18,J245),1)*IF(Upgrades!$T$19="Local Bubble",POWER(Upgrades!$U$19,K245),1)*IF(Upgrades!$T$20="Local Bubble",POWER(Upgrades!$U$20,L245),1)*IF(Upgrades!$T$21="Local Bubble",POWER(Upgrades!$U$21,M245),1))+(IF(G245=0,0,(Upgrades!$J$15+G245*Upgrades!$K$15)*POWER(Upgrades!$L$15,G245)))*(IF(Upgrades!$T$13="Microlensing",POWER(Upgrades!$U$13,E245),1)*IF(Upgrades!$T$14="Microlensing",POWER(Upgrades!$U$14,F245),1)*IF(Upgrades!$T$16="Microlensing",POWER(Upgrades!$U$16,H245),1)*IF(Upgrades!$T$17="Microlensing",POWER(Upgrades!$U$17,I245),1)*IF(Upgrades!$T$18="Microlensing",POWER(Upgrades!$U$18,J245),1)*IF(Upgrades!$T$19="Microlensing",POWER(Upgrades!$U$19,K245),1)*IF(Upgrades!$T$20="Microlensing",POWER(Upgrades!$U$20,L245),1)*IF(Upgrades!$T$21="Microlensing",POWER(Upgrades!$U$21,M245),1))+(IF(H245=0,0,(Upgrades!$J$16+H245*Upgrades!$K$16)*POWER(Upgrades!$L$16,H245)))*(IF(Upgrades!$T$13="Roche Lobe Overflow",POWER(Upgrades!$U$13,E245),1)*IF(Upgrades!$T$14="Roche Lobe Overflow",POWER(Upgrades!$U$14,F245),1)*IF(Upgrades!$T$15="Roche Lobe Overflow",POWER(Upgrades!$U$15,G245),1)*IF(Upgrades!$T$17="Roche Lobe Overflow",POWER(Upgrades!$U$17,I245),1)*IF(Upgrades!$T$18="Roche Lobe Overflow",POWER(Upgrades!$U$18,J245),1)*IF(Upgrades!$T$19="Roche Lobe Overflow",POWER(Upgrades!$U$19,K245),1)*IF(Upgrades!$T$20="Roche Lobe Overflow",POWER(Upgrades!$U$20,L245),1)*IF(Upgrades!$T$21="Roche Lobe Overflow",POWER(Upgrades!$U$21,M245),1))+(IF(I245=0,0,(Upgrades!$J$17+I245*Upgrades!$K$17)*POWER(Upgrades!$L$17,I245)))*(IF(Upgrades!$T$13="Brown Dwarf",POWER(Upgrades!$U$13,E245),1)*IF(Upgrades!$T$14="Brown Dwarf",POWER(Upgrades!$U$14,F245),1)*IF(Upgrades!$T$15="Brown Dwarf",POWER(Upgrades!$U$15,G245),1)*IF(Upgrades!$T$16="Brown Dwarf",POWER(Upgrades!$U$16,H245),1)*IF(Upgrades!$T$18="Brown Dwarf",POWER(Upgrades!$U$18,J245),1)*IF(Upgrades!$T$19="Brown Dwarf",POWER(Upgrades!$U$19,K245),1)*IF(Upgrades!$T$20="Brown Dwarf",POWER(Upgrades!$U$20,L245),1)*IF(Upgrades!$T$21="Brown Dwarf",POWER(Upgrades!$U$21,M245),1))+(IF(J245=0,0,(Upgrades!$J$18+J245*Upgrades!$K$18)*POWER(Upgrades!$L$18,J245)))*(IF(Upgrades!$T$13="Binary Partner",POWER(Upgrades!$U$13,E245),1)*IF(Upgrades!$T$14="Binary Partner",POWER(Upgrades!$U$14,F245),1)*IF(Upgrades!$T$15="Binary Partner",POWER(Upgrades!$U$15,G245),1)*IF(Upgrades!$T$16="Binary Partner",POWER(Upgrades!$U$16,H245),1)*IF(Upgrades!$T$17="Binary Partner",POWER(Upgrades!$U$17,I245),1)*IF(Upgrades!$T$19="Binary Partner",POWER(Upgrades!$U$19,K245),1)*IF(Upgrades!$T$20="Binary Partner",POWER(Upgrades!$U$20,L245),1)*IF(Upgrades!$T$21="Binary Partner",POWER(Upgrades!$U$21,M245),1))+(IF(K245=0,0,(Upgrades!$J$19+K245*Upgrades!$K$19)*POWER(Upgrades!$L$19,K245)))*(IF(Upgrades!$T$13="Peculiar Velocity",POWER(Upgrades!$U$13,E245),1)*IF(Upgrades!$T$14="Peculiar Velocity",POWER(Upgrades!$U$14,F245),1)*IF(Upgrades!$T$15="Peculiar Velocity",POWER(Upgrades!$U$15,G245),1)*IF(Upgrades!$T$16="Peculiar Velocity",POWER(Upgrades!$U$16,H245),1)*IF(Upgrades!$T$17="Peculiar Velocity",POWER(Upgrades!$U$17,I245),1)*IF(Upgrades!$T$18="Peculiar Velocity",POWER(Upgrades!$U$18,J245),1)*IF(Upgrades!$T$20="Peculiar Velocity",POWER(Upgrades!$U$20,L245),1)*IF(Upgrades!$T$21="Peculiar Velocity",POWER(Upgrades!$U$21,M245),1))+(IF(L245=0,0,(Upgrades!$J$20+L245*Upgrades!$K$20)*POWER(Upgrades!$L$20,L245)))*(IF(Upgrades!$T$13="Open Cluster",POWER(Upgrades!$U$13,E245),1)*IF(Upgrades!$T$14="Open Cluster",POWER(Upgrades!$U$14,F245),1)*IF(Upgrades!$T$15="Open Cluster",POWER(Upgrades!$U$15,G245),1)*IF(Upgrades!$T$16="Open Cluster",POWER(Upgrades!$U$16,H245),1)*IF(Upgrades!$T$17="Open Cluster",POWER(Upgrades!$U$17,I245),1)*IF(Upgrades!$T$18="Open Cluster",POWER(Upgrades!$U$18,J245),1)*IF(Upgrades!$T$19="Open Cluster",POWER(Upgrades!$U$19,K245),1)*IF(Upgrades!$T$21="Open Cluster",POWER(Upgrades!$U$21,M245),1))+(IF(M245=0,0,(Upgrades!$J$21+M245*Upgrades!$K$21)*POWER(Upgrades!$L$21,M245)))*(IF(Upgrades!$T$13="Moving Group",POWER(Upgrades!$U$13,E245),1)*IF(Upgrades!$T$14="Moving Group",POWER(Upgrades!$U$14,F245),1)*IF(Upgrades!$T$15="Moving Group",POWER(Upgrades!$U$15,G245),1)*IF(Upgrades!$T$16="Moving Group",POWER(Upgrades!$U$16,H245),1)*IF(Upgrades!$T$17="Moving Group",POWER(Upgrades!$U$17,I245),1)*IF(Upgrades!$T$18="Moving Group",POWER(Upgrades!$U$18,J245),1)*IF(Upgrades!$T$19="Moving Group",POWER(Upgrades!$U$19,K245),1)*IF(Upgrades!$T$20="Moving Group",POWER(Upgrades!$U$20,L245),1)))*POWER(Upgrades!$Q$13,E245)*POWER(Upgrades!$Q$14,F245)*POWER(Upgrades!$Q$15,G245)*POWER(Upgrades!$Q$16,H245)*POWER(Upgrades!$Q$17,I245)*POWER(Upgrades!$Q$18,J245)*POWER(Upgrades!$Q$19,K245)*POWER(Upgrades!$Q$20,L245)*POWER(Upgrades!$Q$21,M245)*$G$6+$D$6</f>
        <v/>
      </c>
      <c r="P245" s="28">
        <f>((IF(E245=0,0,(Upgrades!$G$13+E245*Upgrades!$H$13)*POWER(Upgrades!$I$13,E245)))*(IF(Upgrades!$T$14="Stellar Kinematics",POWER(Upgrades!$U$14,F245),1)*IF(Upgrades!$T$15="Stellar Kinematics",POWER(Upgrades!$U$15,G245),1)*IF(Upgrades!$T$16="Stellar Kinematics",POWER(Upgrades!$U$16,H245),1)*IF(Upgrades!$T$17="Stellar Kinematics",POWER(Upgrades!$U$17,I245),1)*IF(Upgrades!$T$18="Stellar Kinematics",POWER(Upgrades!$U$18,J245),1)*IF(Upgrades!$T$19="Stellar Kinematics",POWER(Upgrades!$U$19,K245),1)*IF(Upgrades!$T$20="Stellar Kinematics",POWER(Upgrades!$U$20,L245),1)*IF(Upgrades!$T$21="Stellar Kinematics",POWER(Upgrades!$U$21,M245),1))+(IF(F245=0,0,(Upgrades!$G$14+F245*Upgrades!$H$14)*POWER(Upgrades!$I$14,F245)))*(IF(Upgrades!$T$13="Local Bubble",POWER(Upgrades!$U$13,E245),1)*IF(Upgrades!$T$15="Local Bubble",POWER(Upgrades!$U$15,G245),1)*IF(Upgrades!$T$16="Local Bubble",POWER(Upgrades!$U$16,H245),1)*IF(Upgrades!$T$17="Local Bubble",POWER(Upgrades!$U$17,I245),1)*IF(Upgrades!$T$18="Local Bubble",POWER(Upgrades!$U$18,J245),1)*IF(Upgrades!$T$19="Local Bubble",POWER(Upgrades!$U$19,K245),1)*IF(Upgrades!$T$20="Local Bubble",POWER(Upgrades!$U$20,L245),1)*IF(Upgrades!$T$21="Local Bubble",POWER(Upgrades!$U$21,M245),1))+(IF(G245=0,0,(Upgrades!$G$15+G245*Upgrades!$H$15)*POWER(Upgrades!$I$15,G245)))*(IF(Upgrades!$T$13="Microlensing",POWER(Upgrades!$U$13,E245),1)*IF(Upgrades!$T$14="Microlensing",POWER(Upgrades!$U$14,F245),1)*IF(Upgrades!$T$16="Microlensing",POWER(Upgrades!$U$16,H245),1)*IF(Upgrades!$T$17="Microlensing",POWER(Upgrades!$U$17,I245),1)*IF(Upgrades!$T$18="Microlensing",POWER(Upgrades!$U$18,J245),1)*IF(Upgrades!$T$19="Microlensing",POWER(Upgrades!$U$19,K245),1)*IF(Upgrades!$T$20="Microlensing",POWER(Upgrades!$U$20,L245),1)*IF(Upgrades!$T$21="Microlensing",POWER(Upgrades!$U$21,M245),1))+(IF(H245=0,0,(Upgrades!$G$16+H245*Upgrades!$H$16)*POWER(Upgrades!$I$16,H245)))*(IF(Upgrades!$T$13="Roche Lobe Overflow",POWER(Upgrades!$U$13,E245),1)*IF(Upgrades!$T$14="Roche Lobe Overflow",POWER(Upgrades!$U$14,F245),1)*IF(Upgrades!$T$15="Roche Lobe Overflow",POWER(Upgrades!$U$15,G245),1)*IF(Upgrades!$T$17="Roche Lobe Overflow",POWER(Upgrades!$U$17,I245),1)*IF(Upgrades!$T$18="Roche Lobe Overflow",POWER(Upgrades!$U$18,J245),1)*IF(Upgrades!$T$19="Roche Lobe Overflow",POWER(Upgrades!$U$19,K245),1)*IF(Upgrades!$T$20="Roche Lobe Overflow",POWER(Upgrades!$U$20,L245),1)*IF(Upgrades!$T$21="Roche Lobe Overflow",POWER(Upgrades!$U$21,M245),1))+(IF(I245=0,0,(Upgrades!$G$17+I245*Upgrades!$H$17)*POWER(Upgrades!$I$17,I245)))*(IF(Upgrades!$T$13="Brown Dwarf",POWER(Upgrades!$U$13,E245),1)*IF(Upgrades!$T$14="Brown Dwarf",POWER(Upgrades!$U$14,F245),1)*IF(Upgrades!$T$15="Brown Dwarf",POWER(Upgrades!$U$15,G245),1)*IF(Upgrades!$T$16="Brown Dwarf",POWER(Upgrades!$U$16,H245),1)*IF(Upgrades!$T$18="Brown Dwarf",POWER(Upgrades!$U$18,J245),1)*IF(Upgrades!$T$19="Brown Dwarf",POWER(Upgrades!$U$19,K245),1)*IF(Upgrades!$T$20="Brown Dwarf",POWER(Upgrades!$U$20,L245),1)*IF(Upgrades!$T$21="Brown Dwarf",POWER(Upgrades!$U$21,M245),1))+(IF(J245=0,0,(Upgrades!$G$18+J245*Upgrades!$H$18)*POWER(Upgrades!$I$18,J245)))*(IF(Upgrades!$T$13="Binary Partner",POWER(Upgrades!$U$13,E245),1)*IF(Upgrades!$T$14="Binary Partner",POWER(Upgrades!$U$14,F245),1)*IF(Upgrades!$T$15="Binary Partner",POWER(Upgrades!$U$15,G245),1)*IF(Upgrades!$T$16="Binary Partner",POWER(Upgrades!$U$16,H245),1)*IF(Upgrades!$T$17="Binary Partner",POWER(Upgrades!$U$17,I245),1)*IF(Upgrades!$T$19="Binary Partner",POWER(Upgrades!$U$19,K245),1)*IF(Upgrades!$T$20="Binary Partner",POWER(Upgrades!$U$20,L245),1)*IF(Upgrades!$T$21="Binary Partner",POWER(Upgrades!$U$21,M245),1))+(IF(K245=0,0,(Upgrades!$G$19+K245*Upgrades!$H$19)*POWER(Upgrades!$I$19,K245)))*(IF(Upgrades!$T$13="Peculiar Velocity",POWER(Upgrades!$U$13,E245),1)*IF(Upgrades!$T$14="Peculiar Velocity",POWER(Upgrades!$U$14,F245),1)*IF(Upgrades!$T$15="Peculiar Velocity",POWER(Upgrades!$U$15,G245),1)*IF(Upgrades!$T$16="Peculiar Velocity",POWER(Upgrades!$U$16,H245),1)*IF(Upgrades!$T$17="Peculiar Velocity",POWER(Upgrades!$U$17,I245),1)*IF(Upgrades!$T$18="Peculiar Velocity",POWER(Upgrades!$U$18,J245),1)*IF(Upgrades!$T$20="Peculiar Velocity",POWER(Upgrades!$U$20,L245),1)*IF(Upgrades!$T$21="Peculiar Velocity",POWER(Upgrades!$U$21,M245),1))+(IF(L245=0,0,(Upgrades!$G$20+L245*Upgrades!$H$20)*POWER(Upgrades!$I$20,L245)))*(IF(Upgrades!$T$13="Open Cluster",POWER(Upgrades!$U$13,E245),1)*IF(Upgrades!$T$14="Open Cluster",POWER(Upgrades!$U$14,F245),1)*IF(Upgrades!$T$15="Open Cluster",POWER(Upgrades!$U$15,G245),1)*IF(Upgrades!$T$16="Open Cluster",POWER(Upgrades!$U$16,H245),1)*IF(Upgrades!$T$17="Open Cluster",POWER(Upgrades!$U$17,I245),1)*IF(Upgrades!$T$18="Open Cluster",POWER(Upgrades!$U$18,J245),1)*IF(Upgrades!$T$19="Open Cluster",POWER(Upgrades!$U$19,K245),1)*IF(Upgrades!$T$21="Open Cluster",POWER(Upgrades!$U$21,M245),1))+(IF(M245=0,0,(Upgrades!$G$21+M245*Upgrades!$H$21)*POWER(Upgrades!$I$21,M245)))*(IF(Upgrades!$T$13="Moving Group",POWER(Upgrades!$U$13,E245),1)*IF(Upgrades!$T$14="Moving Group",POWER(Upgrades!$U$14,F245),1)*IF(Upgrades!$T$15="Moving Group",POWER(Upgrades!$U$15,G245),1)*IF(Upgrades!$T$16="Moving Group",POWER(Upgrades!$U$16,H245),1)*IF(Upgrades!$T$17="Moving Group",POWER(Upgrades!$U$17,I245),1)*IF(Upgrades!$T$18="Moving Group",POWER(Upgrades!$U$18,J245),1)*IF(Upgrades!$T$19="Moving Group",POWER(Upgrades!$U$19,K245),1)*IF(Upgrades!$T$20="Moving Group",POWER(Upgrades!$U$20,L245),1)))*POWER(Upgrades!$P$13,E245)*POWER(Upgrades!$P$14,F245)*POWER(Upgrades!$P$15,G245)*POWER(Upgrades!$P$16,H245)*POWER(Upgrades!$P$17,I245)*POWER(Upgrades!$P$18,J245)*POWER(Upgrades!$P$19,K245)*POWER(Upgrades!$P$20,L245)*POWER(Upgrades!$P$21,M245)*$F$6+$C$6</f>
        <v/>
      </c>
      <c r="Q245" s="28">
        <f>((IF(E245=0,0,(Upgrades!$M$13+E245*Upgrades!$N$13)*POWER(Upgrades!$O$13,E245)))*(IF(Upgrades!$T$14="Stellar Kinematics",POWER(Upgrades!$U$14,F245),1)*IF(Upgrades!$T$15="Stellar Kinematics",POWER(Upgrades!$U$15,G245),1)*IF(Upgrades!$T$16="Stellar Kinematics",POWER(Upgrades!$U$16,H245),1)*IF(Upgrades!$T$17="Stellar Kinematics",POWER(Upgrades!$U$17,I245),1)*IF(Upgrades!$T$18="Stellar Kinematics",POWER(Upgrades!$U$18,J245),1)*IF(Upgrades!$T$19="Stellar Kinematics",POWER(Upgrades!$U$19,K245),1)*IF(Upgrades!$T$20="Stellar Kinematics",POWER(Upgrades!$U$20,L245),1)*IF(Upgrades!$T$21="Stellar Kinematics",POWER(Upgrades!$U$21,M245),1))+(IF(F245=0,0,(Upgrades!$M$14+F245*Upgrades!$N$14)*POWER(Upgrades!$O$14,F245)))*(IF(Upgrades!$T$13="Local Bubble",POWER(Upgrades!$U$13,E245),1)*IF(Upgrades!$T$15="Local Bubble",POWER(Upgrades!$U$15,G245),1)*IF(Upgrades!$T$16="Local Bubble",POWER(Upgrades!$U$16,H245),1)*IF(Upgrades!$T$17="Local Bubble",POWER(Upgrades!$U$17,I245),1)*IF(Upgrades!$T$18="Local Bubble",POWER(Upgrades!$U$18,J245),1)*IF(Upgrades!$T$19="Local Bubble",POWER(Upgrades!$U$19,K245),1)*IF(Upgrades!$T$20="Local Bubble",POWER(Upgrades!$U$20,L245),1)*IF(Upgrades!$T$21="Local Bubble",POWER(Upgrades!$U$21,M245),1))+(IF(G245=0,0,(Upgrades!$M$15+G245*Upgrades!$N$15)*POWER(Upgrades!$O$15,G245)))*(IF(Upgrades!$T$13="Microlensing",POWER(Upgrades!$U$13,E245),1)*IF(Upgrades!$T$14="Microlensing",POWER(Upgrades!$U$14,F245),1)*IF(Upgrades!$T$16="Microlensing",POWER(Upgrades!$U$16,H245),1)*IF(Upgrades!$T$17="Microlensing",POWER(Upgrades!$U$17,I245),1)*IF(Upgrades!$T$18="Microlensing",POWER(Upgrades!$U$18,J245),1)*IF(Upgrades!$T$19="Microlensing",POWER(Upgrades!$U$19,K245),1)*IF(Upgrades!$T$20="Microlensing",POWER(Upgrades!$U$20,L245),1)*IF(Upgrades!$T$21="Microlensing",POWER(Upgrades!$U$21,M245),1))+(IF(H245=0,0,(Upgrades!$M$16+H245*Upgrades!$N$16)*POWER(Upgrades!$O$16,H245)))*(IF(Upgrades!$T$13="Roche Lobe Overflow",POWER(Upgrades!$U$13,E245),1)*IF(Upgrades!$T$14="Roche Lobe Overflow",POWER(Upgrades!$U$14,F245),1)*IF(Upgrades!$T$15="Roche Lobe Overflow",POWER(Upgrades!$U$15,G245),1)*IF(Upgrades!$T$17="Roche Lobe Overflow",POWER(Upgrades!$U$17,I245),1)*IF(Upgrades!$T$18="Roche Lobe Overflow",POWER(Upgrades!$U$18,J245),1)*IF(Upgrades!$T$19="Roche Lobe Overflow",POWER(Upgrades!$U$19,K245),1)*IF(Upgrades!$T$20="Roche Lobe Overflow",POWER(Upgrades!$U$20,L245),1)*IF(Upgrades!$T$21="Roche Lobe Overflow",POWER(Upgrades!$U$21,M245),1))+(IF(I245=0,0,(Upgrades!$M$17+I245*Upgrades!$N$17)*POWER(Upgrades!$O$17,I245)))*(IF(Upgrades!$T$13="Brown Dwarf",POWER(Upgrades!$U$13,E245),1)*IF(Upgrades!$T$14="Brown Dwarf",POWER(Upgrades!$U$14,F245),1)*IF(Upgrades!$T$15="Brown Dwarf",POWER(Upgrades!$U$15,G245),1)*IF(Upgrades!$T$16="Brown Dwarf",POWER(Upgrades!$U$16,H245),1)*IF(Upgrades!$T$18="Brown Dwarf",POWER(Upgrades!$U$18,J245),1)*IF(Upgrades!$T$19="Brown Dwarf",POWER(Upgrades!$U$19,K245),1)*IF(Upgrades!$T$20="Brown Dwarf",POWER(Upgrades!$U$20,L245),1)*IF(Upgrades!$T$21="Brown Dwarf",POWER(Upgrades!$U$21,M245),1))+(IF(J245=0,0,(Upgrades!$M$18+J245*Upgrades!$N$18)*POWER(Upgrades!$O$18,J245)))*(IF(Upgrades!$T$13="Binary Partner",POWER(Upgrades!$U$13,E245),1)*IF(Upgrades!$T$14="Binary Partner",POWER(Upgrades!$U$14,F245),1)*IF(Upgrades!$T$15="Binary Partner",POWER(Upgrades!$U$15,G245),1)*IF(Upgrades!$T$16="Binary Partner",POWER(Upgrades!$U$16,H245),1)*IF(Upgrades!$T$17="Binary Partner",POWER(Upgrades!$U$17,I245),1)*IF(Upgrades!$T$19="Binary Partner",POWER(Upgrades!$U$19,K245),1)*IF(Upgrades!$T$20="Binary Partner",POWER(Upgrades!$U$20,L245),1)*IF(Upgrades!$T$21="Binary Partner",POWER(Upgrades!$U$21,M245),1))+(IF(K245=0,0,(Upgrades!$M$19+K245*Upgrades!$N$19)*POWER(Upgrades!$O$19,K245)))*(IF(Upgrades!$T$13="Peculiar Velocity",POWER(Upgrades!$U$13,E245),1)*IF(Upgrades!$T$14="Peculiar Velocity",POWER(Upgrades!$U$14,F245),1)*IF(Upgrades!$T$15="Peculiar Velocity",POWER(Upgrades!$U$15,G245),1)*IF(Upgrades!$T$16="Peculiar Velocity",POWER(Upgrades!$U$16,H245),1)*IF(Upgrades!$T$17="Peculiar Velocity",POWER(Upgrades!$U$17,I245),1)*IF(Upgrades!$T$18="Peculiar Velocity",POWER(Upgrades!$U$18,J245),1)*IF(Upgrades!$T$20="Peculiar Velocity",POWER(Upgrades!$U$20,L245),1)*IF(Upgrades!$T$21="Peculiar Velocity",POWER(Upgrades!$U$21,M245),1))+(IF(L245=0,0,(Upgrades!$M$20+L245*Upgrades!$N$20)*POWER(Upgrades!$O$20,L245)))*(IF(Upgrades!$T$13="Open Cluster",POWER(Upgrades!$U$13,E245),1)*IF(Upgrades!$T$14="Open Cluster",POWER(Upgrades!$U$14,F245),1)*IF(Upgrades!$T$15="Open Cluster",POWER(Upgrades!$U$15,G245),1)*IF(Upgrades!$T$16="Open Cluster",POWER(Upgrades!$U$16,H245),1)*IF(Upgrades!$T$17="Open Cluster",POWER(Upgrades!$U$17,I245),1)*IF(Upgrades!$T$18="Open Cluster",POWER(Upgrades!$U$18,J245),1)*IF(Upgrades!$T$19="Open Cluster",POWER(Upgrades!$U$19,K245),1)*IF(Upgrades!$T$21="Open Cluster",POWER(Upgrades!$U$21,M245),1))+(IF(M245=0,0,(Upgrades!$M$21+M245*Upgrades!$N$21)*POWER(Upgrades!$O$21,M245)))*(IF(Upgrades!$T$13="Moving Group",POWER(Upgrades!$U$13,E245),1)*IF(Upgrades!$T$14="Moving Group",POWER(Upgrades!$U$14,F245),1)*IF(Upgrades!$T$15="Moving Group",POWER(Upgrades!$U$15,G245),1)*IF(Upgrades!$T$16="Moving Group",POWER(Upgrades!$U$16,H245),1)*IF(Upgrades!$T$17="Moving Group",POWER(Upgrades!$U$17,I245),1)*IF(Upgrades!$T$18="Moving Group",POWER(Upgrades!$U$18,J245),1)*IF(Upgrades!$T$19="Moving Group",POWER(Upgrades!$U$19,K245),1)*IF(Upgrades!$T$20="Moving Group",POWER(Upgrades!$U$20,L245),1)))*POWER(Upgrades!$R$13,E245)*POWER(Upgrades!$R$14,F245)*POWER(Upgrades!$R$15,G245)*POWER(Upgrades!$R$16,H245)*POWER(Upgrades!$R$17,I245)*POWER(Upgrades!$R$18,J245)*POWER(Upgrades!$R$19,K245)*POWER(Upgrades!$R$20,L245)*POWER(Upgrades!$R$21,M245)*$H$6+$E$6</f>
        <v/>
      </c>
      <c r="R245" s="27">
        <f>IF(N245=1,0,O245*Parameters!$B$10/60*Parameters!$B$11*10)</f>
        <v/>
      </c>
      <c r="S245" s="27">
        <f>IF(N245=1,0,Q245*O245*10)</f>
        <v/>
      </c>
      <c r="T245" s="27">
        <f>IF(N245=1,0,R245+S245+P245*10)</f>
        <v/>
      </c>
      <c r="U245" s="33">
        <f>BE245</f>
        <v/>
      </c>
      <c r="V245" s="22">
        <f>IF(U245="",0,IF(U245="transition",0,IF(U245="SK",AK245,IF(U245="LB",AL245,IF(U245="ML",AM245,IF(U245="RLO",AN245,IF(U245="BD",AO245,IF(U245="BiP",AP245,IF(U245="PV",AQ245,IF(U245="OC",AR245,IF(U245="MG",AS245,0))))))))))</f>
        <v/>
      </c>
      <c r="W245" s="27">
        <f>IF(U245="BiP",Upgrades!$F$18,IF(U245="PV",Upgrades!$F$19,IF(U245="OC",Upgrades!$F$20,IF(U245="MG",Upgrades!$F$21,IF(U245="transition",-Parameters!$B$18*Parameters!$B$19,0)))))</f>
        <v/>
      </c>
      <c r="X245" s="22">
        <f>C245+T245-V245</f>
        <v/>
      </c>
      <c r="Y245" s="30">
        <f>O245*Parameters!$B$10/60*Parameters!$B$11+Q245*O245+P245</f>
        <v/>
      </c>
      <c r="Z245" s="34">
        <f>IF(U245="transition","→ Tier 3 (Galactic Arm)",IF(U245="MG","Moving Group — pocket drifts together",IF(U245="OC","Open Cluster acquired",IF(U245="PV","Peculiar Velocity — passive multiplier active",IF(U245="BiP","Binary Partner — pair bond formed",IF(AND(AU245=1,N245=0,AT245&lt;&gt;1),"Cohesion ready (waiting on completionists)","")))))) </f>
        <v/>
      </c>
      <c r="AA245" s="27">
        <f>(IF(E245=0,0,(Upgrades!$G$13+E245*Upgrades!$H$13)*POWER(Upgrades!$I$13,E245)))*(IF(Upgrades!$T$14="Stellar Kinematics",POWER(Upgrades!$U$14,F245),1)*IF(Upgrades!$T$15="Stellar Kinematics",POWER(Upgrades!$U$15,G245),1)*IF(Upgrades!$T$16="Stellar Kinematics",POWER(Upgrades!$U$16,H245),1)*IF(Upgrades!$T$17="Stellar Kinematics",POWER(Upgrades!$U$17,I245),1)*IF(Upgrades!$T$18="Stellar Kinematics",POWER(Upgrades!$U$18,J245),1)*IF(Upgrades!$T$19="Stellar Kinematics",POWER(Upgrades!$U$19,K245),1)*IF(Upgrades!$T$20="Stellar Kinematics",POWER(Upgrades!$U$20,L245),1)*IF(Upgrades!$T$21="Stellar Kinematics",POWER(Upgrades!$U$21,M245),1))*POWER(Upgrades!$P$13,E245)*POWER(Upgrades!$P$14,F245)*POWER(Upgrades!$P$15,G245)*POWER(Upgrades!$P$16,H245)*POWER(Upgrades!$P$17,I245)*POWER(Upgrades!$P$18,J245)*POWER(Upgrades!$P$19,K245)*POWER(Upgrades!$P$20,L245)*POWER(Upgrades!$P$21,M245)*$F$6*60</f>
        <v/>
      </c>
      <c r="AB245" s="27">
        <f>(IF(F245=0,0,(Upgrades!$G$14+F245*Upgrades!$H$14)*POWER(Upgrades!$I$14,F245)))*(IF(Upgrades!$T$13="Local Bubble",POWER(Upgrades!$U$13,E245),1)*IF(Upgrades!$T$15="Local Bubble",POWER(Upgrades!$U$15,G245),1)*IF(Upgrades!$T$16="Local Bubble",POWER(Upgrades!$U$16,H245),1)*IF(Upgrades!$T$17="Local Bubble",POWER(Upgrades!$U$17,I245),1)*IF(Upgrades!$T$18="Local Bubble",POWER(Upgrades!$U$18,J245),1)*IF(Upgrades!$T$19="Local Bubble",POWER(Upgrades!$U$19,K245),1)*IF(Upgrades!$T$20="Local Bubble",POWER(Upgrades!$U$20,L245),1)*IF(Upgrades!$T$21="Local Bubble",POWER(Upgrades!$U$21,M245),1))*POWER(Upgrades!$P$13,E245)*POWER(Upgrades!$P$14,F245)*POWER(Upgrades!$P$15,G245)*POWER(Upgrades!$P$16,H245)*POWER(Upgrades!$P$17,I245)*POWER(Upgrades!$P$18,J245)*POWER(Upgrades!$P$19,K245)*POWER(Upgrades!$P$20,L245)*POWER(Upgrades!$P$21,M245)*$F$6*60</f>
        <v/>
      </c>
      <c r="AC245" s="27">
        <f>(IF(G245=0,0,(Upgrades!$J$15+G245*Upgrades!$K$15)*POWER(Upgrades!$L$15,G245)))*(IF(Upgrades!$T$13="Microlensing",POWER(Upgrades!$U$13,E245),1)*IF(Upgrades!$T$14="Microlensing",POWER(Upgrades!$U$14,F245),1)*IF(Upgrades!$T$16="Microlensing",POWER(Upgrades!$U$16,H245),1)*IF(Upgrades!$T$17="Microlensing",POWER(Upgrades!$U$17,I245),1)*IF(Upgrades!$T$18="Microlensing",POWER(Upgrades!$U$18,J245),1)*IF(Upgrades!$T$19="Microlensing",POWER(Upgrades!$U$19,K245),1)*IF(Upgrades!$T$20="Microlensing",POWER(Upgrades!$U$20,L245),1)*IF(Upgrades!$T$21="Microlensing",POWER(Upgrades!$U$21,M245),1))*POWER(Upgrades!$Q$13,E245)*POWER(Upgrades!$Q$14,F245)*POWER(Upgrades!$Q$15,G245)*POWER(Upgrades!$Q$16,H245)*POWER(Upgrades!$Q$17,I245)*POWER(Upgrades!$Q$18,J245)*POWER(Upgrades!$Q$19,K245)*POWER(Upgrades!$Q$20,L245)*POWER(Upgrades!$Q$21,M245)*$G$6*(Parameters!$B$10*Parameters!$B$11+Q245*60)</f>
        <v/>
      </c>
      <c r="AD245" s="27">
        <f>(IF(H245=0,0,(Upgrades!$M$16+H245*Upgrades!$N$16)*POWER(Upgrades!$O$16,H245)))*(IF(Upgrades!$T$13="Roche Lobe Overflow",POWER(Upgrades!$U$13,E245),1)*IF(Upgrades!$T$14="Roche Lobe Overflow",POWER(Upgrades!$U$14,F245),1)*IF(Upgrades!$T$15="Roche Lobe Overflow",POWER(Upgrades!$U$15,G245),1)*IF(Upgrades!$T$17="Roche Lobe Overflow",POWER(Upgrades!$U$17,I245),1)*IF(Upgrades!$T$18="Roche Lobe Overflow",POWER(Upgrades!$U$18,J245),1)*IF(Upgrades!$T$19="Roche Lobe Overflow",POWER(Upgrades!$U$19,K245),1)*IF(Upgrades!$T$20="Roche Lobe Overflow",POWER(Upgrades!$U$20,L245),1)*IF(Upgrades!$T$21="Roche Lobe Overflow",POWER(Upgrades!$U$21,M245),1))*POWER(Upgrades!$R$13,E245)*POWER(Upgrades!$R$14,F245)*POWER(Upgrades!$R$15,G245)*POWER(Upgrades!$R$16,H245)*POWER(Upgrades!$R$17,I245)*POWER(Upgrades!$R$18,J245)*POWER(Upgrades!$R$19,K245)*POWER(Upgrades!$R$20,L245)*POWER(Upgrades!$R$21,M245)*$H$6*O245*60</f>
        <v/>
      </c>
      <c r="AE245" s="27">
        <f>(IF(I245=0,0,(Upgrades!$G$17+I245*Upgrades!$H$17)*POWER(Upgrades!$I$17,I245)))*(IF(Upgrades!$T$13="Brown Dwarf",POWER(Upgrades!$U$13,E245),1)*IF(Upgrades!$T$14="Brown Dwarf",POWER(Upgrades!$U$14,F245),1)*IF(Upgrades!$T$15="Brown Dwarf",POWER(Upgrades!$U$15,G245),1)*IF(Upgrades!$T$16="Brown Dwarf",POWER(Upgrades!$U$16,H245),1)*IF(Upgrades!$T$18="Brown Dwarf",POWER(Upgrades!$U$18,J245),1)*IF(Upgrades!$T$19="Brown Dwarf",POWER(Upgrades!$U$19,K245),1)*IF(Upgrades!$T$20="Brown Dwarf",POWER(Upgrades!$U$20,L245),1)*IF(Upgrades!$T$21="Brown Dwarf",POWER(Upgrades!$U$21,M245),1))*POWER(Upgrades!$P$13,E245)*POWER(Upgrades!$P$14,F245)*POWER(Upgrades!$P$15,G245)*POWER(Upgrades!$P$16,H245)*POWER(Upgrades!$P$17,I245)*POWER(Upgrades!$P$18,J245)*POWER(Upgrades!$P$19,K245)*POWER(Upgrades!$P$20,L245)*POWER(Upgrades!$P$21,M245)*$F$6*60</f>
        <v/>
      </c>
      <c r="AF245" s="27" t="n">
        <v>0</v>
      </c>
      <c r="AG245" s="27" t="n">
        <v>0</v>
      </c>
      <c r="AH245" s="27" t="n">
        <v>0</v>
      </c>
      <c r="AI245" s="27">
        <f>(IF(M245=0,0,(Upgrades!$G$21+M245*Upgrades!$H$21)*POWER(Upgrades!$I$21,M245)))*(IF(Upgrades!$T$13="Moving Group",POWER(Upgrades!$U$13,E245),1)*IF(Upgrades!$T$14="Moving Group",POWER(Upgrades!$U$14,F245),1)*IF(Upgrades!$T$15="Moving Group",POWER(Upgrades!$U$15,G245),1)*IF(Upgrades!$T$16="Moving Group",POWER(Upgrades!$U$16,H245),1)*IF(Upgrades!$T$17="Moving Group",POWER(Upgrades!$U$17,I245),1)*IF(Upgrades!$T$18="Moving Group",POWER(Upgrades!$U$18,J245),1)*IF(Upgrades!$T$19="Moving Group",POWER(Upgrades!$U$19,K245),1)*IF(Upgrades!$T$20="Moving Group",POWER(Upgrades!$U$20,L245),1))*POWER(Upgrades!$P$13,E245)*POWER(Upgrades!$P$14,F245)*POWER(Upgrades!$P$15,G245)*POWER(Upgrades!$P$16,H245)*POWER(Upgrades!$P$17,I245)*POWER(Upgrades!$P$18,J245)*POWER(Upgrades!$P$19,K245)*POWER(Upgrades!$P$20,L245)*POWER(Upgrades!$P$21,M245)*$F$6*60</f>
        <v/>
      </c>
      <c r="AJ245" s="27">
        <f>$C$6*60</f>
        <v/>
      </c>
      <c r="AK245" s="22">
        <f>IF(E245&gt;=Upgrades!$E$13,"",Upgrades!$C$13*POWER(Upgrades!$D$13,E245))</f>
        <v/>
      </c>
      <c r="AL245" s="22">
        <f>IF(F245&gt;=Upgrades!$E$14,"",Upgrades!$C$14*POWER(Upgrades!$D$14,F245))</f>
        <v/>
      </c>
      <c r="AM245" s="22">
        <f>IF(G245&gt;=Upgrades!$E$15,"",Upgrades!$C$15*POWER(Upgrades!$D$15,G245))</f>
        <v/>
      </c>
      <c r="AN245" s="22">
        <f>IF(H245&gt;=Upgrades!$E$16,"",Upgrades!$C$16*POWER(Upgrades!$D$16,H245))</f>
        <v/>
      </c>
      <c r="AO245" s="22">
        <f>IF(I245&gt;=Upgrades!$E$17,"",Upgrades!$C$17*POWER(Upgrades!$D$17,I245))</f>
        <v/>
      </c>
      <c r="AP245" s="22">
        <f>IF(J245&gt;=Upgrades!$E$18,"",Upgrades!$C$18*POWER(Upgrades!$D$18,J245))</f>
        <v/>
      </c>
      <c r="AQ245" s="22">
        <f>IF(K245&gt;=Upgrades!$E$19,"",Upgrades!$C$19*POWER(Upgrades!$D$19,K245))</f>
        <v/>
      </c>
      <c r="AR245" s="22">
        <f>IF(L245&gt;=Upgrades!$E$20,"",Upgrades!$C$20*POWER(Upgrades!$D$20,L245))</f>
        <v/>
      </c>
      <c r="AS245" s="22">
        <f>IF(M245&gt;=Upgrades!$E$21,"",Upgrades!$C$21*POWER(Upgrades!$D$21,M245))</f>
        <v/>
      </c>
      <c r="AT245" s="26">
        <f>IF(AND(D245&gt;=Parameters!$B$18*Parameters!$B$19,(I245&gt;=Upgrades!$E$17)*(M245&gt;=Upgrades!$E$21)=1,N245=0),1,"")</f>
        <v/>
      </c>
      <c r="AU245" s="26">
        <f>IF(AND(D245&gt;=Parameters!$B$18*Parameters!$B$19,N245=0),1,"")</f>
        <v/>
      </c>
      <c r="AV245" s="22">
        <f>MIN(IF(ISNUMBER(AP245),AP245,9E15),IF(ISNUMBER(AQ245),AQ245,9E15),IF(ISNUMBER(AR245),AR245,9E15),IF(ISNUMBER(AS245),AS245,9E15))</f>
        <v/>
      </c>
      <c r="AW245" s="22">
        <f>MIN(IF(ISNUMBER(AK245),AK245,9E15),IF(ISNUMBER(AL245),AL245,9E15),IF(ISNUMBER(AM245),AM245,9E15),IF(ISNUMBER(AN245),AN245,9E15),IF(ISNUMBER(AO245),AO245,9E15))</f>
        <v/>
      </c>
      <c r="AX245" s="29">
        <f>IF(BD245&gt;Parameters!$B$21*(MAX(IF(AND(NOT(AND(AU245=1,AT245&lt;&gt;1)),ISNUMBER(AK245),AK245&lt;=(C245+T245)),AY245,0),IF(AND(NOT(AND(AU245=1,AT245&lt;&gt;1)),ISNUMBER(AL245),AL245&lt;=(C245+T245)),AZ245,0),IF(AND(NOT(AND(AU245=1,AT245&lt;&gt;1)),ISNUMBER(AM245),AM245&lt;=(C245+T245)),BA245,0),IF(AND(NOT(AND(AU245=1,AT245&lt;&gt;1)),ISNUMBER(AN245),AN245&lt;=(C245+T245)),BB245,0),IF(AND(ISNUMBER(AO245),AO245&lt;=(C245+T245)),BC245,0))),TRUE,FALSE)</f>
        <v/>
      </c>
      <c r="AY245" s="32">
        <f>IFERROR(Upgrades!$H$13*(POWER(Upgrades!$P$13,E245)*POWER(Upgrades!$P$14,F245)*POWER(Upgrades!$P$15,G245)*POWER(Upgrades!$P$16,H245)*POWER(Upgrades!$P$17,I245)*POWER(Upgrades!$P$18,J245)*POWER(Upgrades!$P$19,K245)*POWER(Upgrades!$P$20,L245)*POWER(Upgrades!$P$21,M245))*(IF(Upgrades!$T$14="Stellar Kinematics",POWER(Upgrades!$U$14,F245),1)*IF(Upgrades!$T$15="Stellar Kinematics",POWER(Upgrades!$U$15,G245),1)*IF(Upgrades!$T$16="Stellar Kinematics",POWER(Upgrades!$U$16,H245),1)*IF(Upgrades!$T$17="Stellar Kinematics",POWER(Upgrades!$U$17,I245),1)*IF(Upgrades!$T$18="Stellar Kinematics",POWER(Upgrades!$U$18,J245),1)*IF(Upgrades!$T$19="Stellar Kinematics",POWER(Upgrades!$U$19,K245),1)*IF(Upgrades!$T$20="Stellar Kinematics",POWER(Upgrades!$U$20,L245),1)*IF(Upgrades!$T$21="Stellar Kinematics",POWER(Upgrades!$U$21,M245),1))*$F$6/AK245,0)</f>
        <v/>
      </c>
      <c r="AZ245" s="32">
        <f>IFERROR(Upgrades!$H$14*(POWER(Upgrades!$P$13,E245)*POWER(Upgrades!$P$14,F245)*POWER(Upgrades!$P$15,G245)*POWER(Upgrades!$P$16,H245)*POWER(Upgrades!$P$17,I245)*POWER(Upgrades!$P$18,J245)*POWER(Upgrades!$P$19,K245)*POWER(Upgrades!$P$20,L245)*POWER(Upgrades!$P$21,M245))*(IF(Upgrades!$T$13="Local Bubble",POWER(Upgrades!$U$13,E245),1)*IF(Upgrades!$T$15="Local Bubble",POWER(Upgrades!$U$15,G245),1)*IF(Upgrades!$T$16="Local Bubble",POWER(Upgrades!$U$16,H245),1)*IF(Upgrades!$T$17="Local Bubble",POWER(Upgrades!$U$17,I245),1)*IF(Upgrades!$T$18="Local Bubble",POWER(Upgrades!$U$18,J245),1)*IF(Upgrades!$T$19="Local Bubble",POWER(Upgrades!$U$19,K245),1)*IF(Upgrades!$T$20="Local Bubble",POWER(Upgrades!$U$20,L245),1)*IF(Upgrades!$T$21="Local Bubble",POWER(Upgrades!$U$21,M245),1))*$F$6/AL245,0)</f>
        <v/>
      </c>
      <c r="BA245" s="32">
        <f>IFERROR(Upgrades!$K$15*(POWER(Upgrades!$Q$13,E245)*POWER(Upgrades!$Q$14,F245)*POWER(Upgrades!$Q$15,G245)*POWER(Upgrades!$Q$16,H245)*POWER(Upgrades!$Q$17,I245)*POWER(Upgrades!$Q$18,J245)*POWER(Upgrades!$Q$19,K245)*POWER(Upgrades!$Q$20,L245)*POWER(Upgrades!$Q$21,M245))*(IF(Upgrades!$T$13="Microlensing",POWER(Upgrades!$U$13,E245),1)*IF(Upgrades!$T$14="Microlensing",POWER(Upgrades!$U$14,F245),1)*IF(Upgrades!$T$16="Microlensing",POWER(Upgrades!$U$16,H245),1)*IF(Upgrades!$T$17="Microlensing",POWER(Upgrades!$U$17,I245),1)*IF(Upgrades!$T$18="Microlensing",POWER(Upgrades!$U$18,J245),1)*IF(Upgrades!$T$19="Microlensing",POWER(Upgrades!$U$19,K245),1)*IF(Upgrades!$T$20="Microlensing",POWER(Upgrades!$U$20,L245),1)*IF(Upgrades!$T$21="Microlensing",POWER(Upgrades!$U$21,M245),1))*$G$6*(Parameters!$B$10/60*Parameters!$B$11+Q245)/AM245,0)</f>
        <v/>
      </c>
      <c r="BB245" s="32">
        <f>IFERROR((Upgrades!$N$16*(POWER(Upgrades!$R$13,E245)*POWER(Upgrades!$R$14,F245)*POWER(Upgrades!$R$15,G245)*POWER(Upgrades!$R$16,H245)*POWER(Upgrades!$R$17,I245)*POWER(Upgrades!$R$18,J245)*POWER(Upgrades!$R$19,K245)*POWER(Upgrades!$R$20,L245)*POWER(Upgrades!$R$21,M245))*(IF(Upgrades!$T$13="Roche Lobe Overflow",POWER(Upgrades!$U$13,E245),1)*IF(Upgrades!$T$14="Roche Lobe Overflow",POWER(Upgrades!$U$14,F245),1)*IF(Upgrades!$T$15="Roche Lobe Overflow",POWER(Upgrades!$U$15,G245),1)*IF(Upgrades!$T$17="Roche Lobe Overflow",POWER(Upgrades!$U$17,I245),1)*IF(Upgrades!$T$18="Roche Lobe Overflow",POWER(Upgrades!$U$18,J245),1)*IF(Upgrades!$T$19="Roche Lobe Overflow",POWER(Upgrades!$U$19,K245),1)*IF(Upgrades!$T$20="Roche Lobe Overflow",POWER(Upgrades!$U$20,L245),1)*IF(Upgrades!$T$21="Roche Lobe Overflow",POWER(Upgrades!$U$21,M245),1))*$H$6*O245+((IF(F245=0,0,(Upgrades!$G$14+F245*Upgrades!$H$14)*POWER(Upgrades!$I$14,F245)))*(IF(Upgrades!$T$13="Local Bubble",POWER(Upgrades!$U$13,E245),1)*IF(Upgrades!$T$15="Local Bubble",POWER(Upgrades!$U$15,G245),1)*IF(Upgrades!$T$16="Local Bubble",POWER(Upgrades!$U$16,H245),1)*IF(Upgrades!$T$17="Local Bubble",POWER(Upgrades!$U$17,I245),1)*IF(Upgrades!$T$18="Local Bubble",POWER(Upgrades!$U$18,J245),1)*IF(Upgrades!$T$19="Local Bubble",POWER(Upgrades!$U$19,K245),1)*IF(Upgrades!$T$20="Local Bubble",POWER(Upgrades!$U$20,L245),1)*IF(Upgrades!$T$21="Local Bubble",POWER(Upgrades!$U$21,M245),1))*POWER(Upgrades!$P$13,E245)*POWER(Upgrades!$P$14,F245)*POWER(Upgrades!$P$15,G245)*POWER(Upgrades!$P$16,H245)*POWER(Upgrades!$P$17,I245)*POWER(Upgrades!$P$18,J245)*POWER(Upgrades!$P$19,K245)*POWER(Upgrades!$P$20,L245)*POWER(Upgrades!$P$21,M245)*$F$6)*0.05)/AN245,0)</f>
        <v/>
      </c>
      <c r="BC245" s="32">
        <f>IFERROR((Upgrades!$H$17*(POWER(Upgrades!$P$13,E245)*POWER(Upgrades!$P$14,F245)*POWER(Upgrades!$P$15,G245)*POWER(Upgrades!$P$16,H245)*POWER(Upgrades!$P$17,I245)*POWER(Upgrades!$P$18,J245)*POWER(Upgrades!$P$19,K245)*POWER(Upgrades!$P$20,L245)*POWER(Upgrades!$P$21,M245))*(IF(Upgrades!$T$13="Brown Dwarf",POWER(Upgrades!$U$13,E245),1)*IF(Upgrades!$T$14="Brown Dwarf",POWER(Upgrades!$U$14,F245),1)*IF(Upgrades!$T$15="Brown Dwarf",POWER(Upgrades!$U$15,G245),1)*IF(Upgrades!$T$16="Brown Dwarf",POWER(Upgrades!$U$16,H245),1)*IF(Upgrades!$T$18="Brown Dwarf",POWER(Upgrades!$U$18,J245),1)*IF(Upgrades!$T$19="Brown Dwarf",POWER(Upgrades!$U$19,K245),1)*IF(Upgrades!$T$20="Brown Dwarf",POWER(Upgrades!$U$20,L245),1)*IF(Upgrades!$T$21="Brown Dwarf",POWER(Upgrades!$U$21,M245),1))*$F$6+(((IF(H245=0,0,(Upgrades!$M$16+H245*Upgrades!$N$16)*POWER(Upgrades!$O$16,H245)))*(IF(Upgrades!$T$13="Roche Lobe Overflow",POWER(Upgrades!$U$13,E245),1)*IF(Upgrades!$T$14="Roche Lobe Overflow",POWER(Upgrades!$U$14,F245),1)*IF(Upgrades!$T$15="Roche Lobe Overflow",POWER(Upgrades!$U$15,G245),1)*IF(Upgrades!$T$17="Roche Lobe Overflow",POWER(Upgrades!$U$17,I245),1)*IF(Upgrades!$T$18="Roche Lobe Overflow",POWER(Upgrades!$U$18,J245),1)*IF(Upgrades!$T$19="Roche Lobe Overflow",POWER(Upgrades!$U$19,K245),1)*IF(Upgrades!$T$20="Roche Lobe Overflow",POWER(Upgrades!$U$20,L245),1)*IF(Upgrades!$T$21="Roche Lobe Overflow",POWER(Upgrades!$U$21,M245),1))*POWER(Upgrades!$R$13,E245)*POWER(Upgrades!$R$14,F245)*POWER(Upgrades!$R$15,G245)*POWER(Upgrades!$R$16,H245)*POWER(Upgrades!$R$17,I245)*POWER(Upgrades!$R$18,J245)*POWER(Upgrades!$R$19,K245)*POWER(Upgrades!$R$20,L245)*POWER(Upgrades!$R$21,M245)*$H$6)*O245)*0.10)/AO245,0)</f>
        <v/>
      </c>
      <c r="BD245" s="32">
        <f>MAX(IF(J245&gt;0,0,IFERROR(0.5*((IF(G245=0,0,(Upgrades!$J$15+G245*Upgrades!$K$15)*POWER(Upgrades!$L$15,G245)))*(IF(Upgrades!$T$13="Microlensing",POWER(Upgrades!$U$13,E245),1)*IF(Upgrades!$T$14="Microlensing",POWER(Upgrades!$U$14,F245),1)*IF(Upgrades!$T$16="Microlensing",POWER(Upgrades!$U$16,H245),1)*IF(Upgrades!$T$17="Microlensing",POWER(Upgrades!$U$17,I245),1)*IF(Upgrades!$T$18="Microlensing",POWER(Upgrades!$U$18,J245),1)*IF(Upgrades!$T$19="Microlensing",POWER(Upgrades!$U$19,K245),1)*IF(Upgrades!$T$20="Microlensing",POWER(Upgrades!$U$20,L245),1)*IF(Upgrades!$T$21="Microlensing",POWER(Upgrades!$U$21,M245),1))*(POWER(Upgrades!$Q$13,E245)*POWER(Upgrades!$Q$14,F245)*POWER(Upgrades!$Q$15,G245)*POWER(Upgrades!$Q$16,H245)*POWER(Upgrades!$Q$17,I245)*POWER(Upgrades!$Q$18,J245)*POWER(Upgrades!$Q$19,K245)*POWER(Upgrades!$Q$20,L245)*POWER(Upgrades!$Q$21,M245))*$G$6*(Parameters!$B$10/60*Parameters!$B$11+Q245))/Upgrades!$C$18,0)),IF(K245&gt;0,0,IFERROR(0.30*P245/Upgrades!$C$19,0)),IF(L245&gt;0,0,IFERROR(0.0001/Upgrades!$C$20,0)),IF(M245&gt;0,0,IFERROR((6.0*(POWER(Upgrades!$P$13,E245)*POWER(Upgrades!$P$14,F245)*POWER(Upgrades!$P$15,G245)*POWER(Upgrades!$P$16,H245)*POWER(Upgrades!$P$17,I245)*POWER(Upgrades!$P$18,J245)*POWER(Upgrades!$P$19,K245)*POWER(Upgrades!$P$20,L245)*POWER(Upgrades!$P$21,M245))*$F$6+0.20*O245*(Parameters!$B$10/60*Parameters!$B$11+Q245))/Upgrades!$C$21,0)),IF(AND(ISNUMBER(AK245),AK245&gt;(C245+T245)),AY245,0),IF(AND(ISNUMBER(AL245),AL245&gt;(C245+T245)),AZ245,0),IF(AND(ISNUMBER(AM245),AM245&gt;(C245+T245)),BA245,0),IF(AND(ISNUMBER(AN245),AN245&gt;(C245+T245)),BB245,0),IF(AND(ISNUMBER(AO245),AO245&gt;(C245+T245)),BC245,0))</f>
        <v/>
      </c>
      <c r="BE245" s="29">
        <f>IF(AT245=1,"transition",IF(MIN(IF(AND(J245=0,ISNUMBER(AP245),AP245&lt;=(C245+T245)),AP245,9E15),IF(AND(K245=0,ISNUMBER(AQ245),AQ245&lt;=(C245+T245)),AQ245,9E15),IF(AND(L245=0,ISNUMBER(AR245),AR245&lt;=(C245+T245)),AR245,9E15),IF(AND(M245=0,ISNUMBER(AS245),AS245&lt;=(C245+T245)),AS245,9E15))&lt;9E15,IF(AND(AND(J245=0,ISNUMBER(AP245),AP245&lt;=(C245+T245)),AP245=MIN(IF(AND(J245=0,ISNUMBER(AP245),AP245&lt;=(C245+T245)),AP245,9E15),IF(AND(K245=0,ISNUMBER(AQ245),AQ245&lt;=(C245+T245)),AQ245,9E15),IF(AND(L245=0,ISNUMBER(AR245),AR245&lt;=(C245+T245)),AR245,9E15),IF(AND(M245=0,ISNUMBER(AS245),AS245&lt;=(C245+T245)),AS245,9E15))),"BiP",IF(AND(AND(K245=0,ISNUMBER(AQ245),AQ245&lt;=(C245+T245)),AQ245=MIN(IF(AND(J245=0,ISNUMBER(AP245),AP245&lt;=(C245+T245)),AP245,9E15),IF(AND(K245=0,ISNUMBER(AQ245),AQ245&lt;=(C245+T245)),AQ245,9E15),IF(AND(L245=0,ISNUMBER(AR245),AR245&lt;=(C245+T245)),AR245,9E15),IF(AND(M245=0,ISNUMBER(AS245),AS245&lt;=(C245+T245)),AS245,9E15))),"PV",IF(AND(AND(L245=0,ISNUMBER(AR245),AR245&lt;=(C245+T245)),AR245=MIN(IF(AND(J245=0,ISNUMBER(AP245),AP245&lt;=(C245+T245)),AP245,9E15),IF(AND(K245=0,ISNUMBER(AQ245),AQ245&lt;=(C245+T245)),AQ245,9E15),IF(AND(L245=0,ISNUMBER(AR245),AR245&lt;=(C245+T245)),AR245,9E15),IF(AND(M245=0,ISNUMBER(AS245),AS245&lt;=(C245+T245)),AS245,9E15))),"OC","MG"))),IF(AX245=TRUE,"",IF(MAX(IF(AND(NOT(AND(AU245=1,AT245&lt;&gt;1)),ISNUMBER(AK245),AK245&lt;=(C245+T245)),AY245,0),IF(AND(NOT(AND(AU245=1,AT245&lt;&gt;1)),ISNUMBER(AL245),AL245&lt;=(C245+T245)),AZ245,0),IF(AND(NOT(AND(AU245=1,AT245&lt;&gt;1)),ISNUMBER(AM245),AM245&lt;=(C245+T245)),BA245,0),IF(AND(NOT(AND(AU245=1,AT245&lt;&gt;1)),ISNUMBER(AN245),AN245&lt;=(C245+T245)),BB245,0),IF(AND(ISNUMBER(AO245),AO245&lt;=(C245+T245)),BC245,0))&lt;=0,"",IF(AND(IF(AND(NOT(AND(AU245=1,AT245&lt;&gt;1)),ISNUMBER(AK245),AK245&lt;=(C245+T245)),AY245,0)&gt;0,IF(AND(NOT(AND(AU245=1,AT245&lt;&gt;1)),ISNUMBER(AK245),AK245&lt;=(C245+T245)),AY245,0)=MAX(IF(AND(NOT(AND(AU245=1,AT245&lt;&gt;1)),ISNUMBER(AK245),AK245&lt;=(C245+T245)),AY245,0),IF(AND(NOT(AND(AU245=1,AT245&lt;&gt;1)),ISNUMBER(AL245),AL245&lt;=(C245+T245)),AZ245,0),IF(AND(NOT(AND(AU245=1,AT245&lt;&gt;1)),ISNUMBER(AM245),AM245&lt;=(C245+T245)),BA245,0),IF(AND(NOT(AND(AU245=1,AT245&lt;&gt;1)),ISNUMBER(AN245),AN245&lt;=(C245+T245)),BB245,0),IF(AND(ISNUMBER(AO245),AO245&lt;=(C245+T245)),BC245,0))),"SK",IF(AND(IF(AND(NOT(AND(AU245=1,AT245&lt;&gt;1)),ISNUMBER(AL245),AL245&lt;=(C245+T245)),AZ245,0)&gt;0,IF(AND(NOT(AND(AU245=1,AT245&lt;&gt;1)),ISNUMBER(AL245),AL245&lt;=(C245+T245)),AZ245,0)=MAX(IF(AND(NOT(AND(AU245=1,AT245&lt;&gt;1)),ISNUMBER(AK245),AK245&lt;=(C245+T245)),AY245,0),IF(AND(NOT(AND(AU245=1,AT245&lt;&gt;1)),ISNUMBER(AL245),AL245&lt;=(C245+T245)),AZ245,0),IF(AND(NOT(AND(AU245=1,AT245&lt;&gt;1)),ISNUMBER(AM245),AM245&lt;=(C245+T245)),BA245,0),IF(AND(NOT(AND(AU245=1,AT245&lt;&gt;1)),ISNUMBER(AN245),AN245&lt;=(C245+T245)),BB245,0),IF(AND(ISNUMBER(AO245),AO245&lt;=(C245+T245)),BC245,0))),"LB",IF(AND(IF(AND(NOT(AND(AU245=1,AT245&lt;&gt;1)),ISNUMBER(AM245),AM245&lt;=(C245+T245)),BA245,0)&gt;0,IF(AND(NOT(AND(AU245=1,AT245&lt;&gt;1)),ISNUMBER(AM245),AM245&lt;=(C245+T245)),BA245,0)=MAX(IF(AND(NOT(AND(AU245=1,AT245&lt;&gt;1)),ISNUMBER(AK245),AK245&lt;=(C245+T245)),AY245,0),IF(AND(NOT(AND(AU245=1,AT245&lt;&gt;1)),ISNUMBER(AL245),AL245&lt;=(C245+T245)),AZ245,0),IF(AND(NOT(AND(AU245=1,AT245&lt;&gt;1)),ISNUMBER(AM245),AM245&lt;=(C245+T245)),BA245,0),IF(AND(NOT(AND(AU245=1,AT245&lt;&gt;1)),ISNUMBER(AN245),AN245&lt;=(C245+T245)),BB245,0),IF(AND(ISNUMBER(AO245),AO245&lt;=(C245+T245)),BC245,0))),"ML",IF(AND(IF(AND(NOT(AND(AU245=1,AT245&lt;&gt;1)),ISNUMBER(AN245),AN245&lt;=(C245+T245)),BB245,0)&gt;0,IF(AND(NOT(AND(AU245=1,AT245&lt;&gt;1)),ISNUMBER(AN245),AN245&lt;=(C245+T245)),BB245,0)=MAX(IF(AND(NOT(AND(AU245=1,AT245&lt;&gt;1)),ISNUMBER(AK245),AK245&lt;=(C245+T245)),AY245,0),IF(AND(NOT(AND(AU245=1,AT245&lt;&gt;1)),ISNUMBER(AL245),AL245&lt;=(C245+T245)),AZ245,0),IF(AND(NOT(AND(AU245=1,AT245&lt;&gt;1)),ISNUMBER(AM245),AM245&lt;=(C245+T245)),BA245,0),IF(AND(NOT(AND(AU245=1,AT245&lt;&gt;1)),ISNUMBER(AN245),AN245&lt;=(C245+T245)),BB245,0),IF(AND(ISNUMBER(AO245),AO245&lt;=(C245+T245)),BC245,0))),"RLO","BD"))))))))</f>
        <v/>
      </c>
    </row>
    <row r="246">
      <c r="A246" s="26" t="n">
        <v>235</v>
      </c>
      <c r="B246" s="27">
        <f>A246*10/60</f>
        <v/>
      </c>
      <c r="C246" s="22">
        <f>X245</f>
        <v/>
      </c>
      <c r="D246" s="27">
        <f>D245+W245</f>
        <v/>
      </c>
      <c r="E246" s="26">
        <f>E245+IF(U245="SK",1,0)</f>
        <v/>
      </c>
      <c r="F246" s="26">
        <f>F245+IF(U245="LB",1,0)</f>
        <v/>
      </c>
      <c r="G246" s="26">
        <f>G245+IF(U245="ML",1,0)</f>
        <v/>
      </c>
      <c r="H246" s="26">
        <f>H245+IF(U245="RLO",1,0)</f>
        <v/>
      </c>
      <c r="I246" s="26">
        <f>I245+IF(U245="BD",1,0)</f>
        <v/>
      </c>
      <c r="J246" s="26">
        <f>MAX(J245,IF(U245="BiP",1,0))</f>
        <v/>
      </c>
      <c r="K246" s="26">
        <f>MAX(K245,IF(U245="PV",1,0))</f>
        <v/>
      </c>
      <c r="L246" s="26">
        <f>MAX(L245,IF(U245="OC",1,0))</f>
        <v/>
      </c>
      <c r="M246" s="26">
        <f>MAX(M245,IF(U245="MG",1,0))</f>
        <v/>
      </c>
      <c r="N246" s="26">
        <f>MAX(N245,IF(U245="transition",1,0))</f>
        <v/>
      </c>
      <c r="O246" s="28">
        <f>(Parameters!$B$9+(IF(E246=0,0,(Upgrades!$J$13+E246*Upgrades!$K$13)*POWER(Upgrades!$L$13,E246)))*(IF(Upgrades!$T$14="Stellar Kinematics",POWER(Upgrades!$U$14,F246),1)*IF(Upgrades!$T$15="Stellar Kinematics",POWER(Upgrades!$U$15,G246),1)*IF(Upgrades!$T$16="Stellar Kinematics",POWER(Upgrades!$U$16,H246),1)*IF(Upgrades!$T$17="Stellar Kinematics",POWER(Upgrades!$U$17,I246),1)*IF(Upgrades!$T$18="Stellar Kinematics",POWER(Upgrades!$U$18,J246),1)*IF(Upgrades!$T$19="Stellar Kinematics",POWER(Upgrades!$U$19,K246),1)*IF(Upgrades!$T$20="Stellar Kinematics",POWER(Upgrades!$U$20,L246),1)*IF(Upgrades!$T$21="Stellar Kinematics",POWER(Upgrades!$U$21,M246),1))+(IF(F246=0,0,(Upgrades!$J$14+F246*Upgrades!$K$14)*POWER(Upgrades!$L$14,F246)))*(IF(Upgrades!$T$13="Local Bubble",POWER(Upgrades!$U$13,E246),1)*IF(Upgrades!$T$15="Local Bubble",POWER(Upgrades!$U$15,G246),1)*IF(Upgrades!$T$16="Local Bubble",POWER(Upgrades!$U$16,H246),1)*IF(Upgrades!$T$17="Local Bubble",POWER(Upgrades!$U$17,I246),1)*IF(Upgrades!$T$18="Local Bubble",POWER(Upgrades!$U$18,J246),1)*IF(Upgrades!$T$19="Local Bubble",POWER(Upgrades!$U$19,K246),1)*IF(Upgrades!$T$20="Local Bubble",POWER(Upgrades!$U$20,L246),1)*IF(Upgrades!$T$21="Local Bubble",POWER(Upgrades!$U$21,M246),1))+(IF(G246=0,0,(Upgrades!$J$15+G246*Upgrades!$K$15)*POWER(Upgrades!$L$15,G246)))*(IF(Upgrades!$T$13="Microlensing",POWER(Upgrades!$U$13,E246),1)*IF(Upgrades!$T$14="Microlensing",POWER(Upgrades!$U$14,F246),1)*IF(Upgrades!$T$16="Microlensing",POWER(Upgrades!$U$16,H246),1)*IF(Upgrades!$T$17="Microlensing",POWER(Upgrades!$U$17,I246),1)*IF(Upgrades!$T$18="Microlensing",POWER(Upgrades!$U$18,J246),1)*IF(Upgrades!$T$19="Microlensing",POWER(Upgrades!$U$19,K246),1)*IF(Upgrades!$T$20="Microlensing",POWER(Upgrades!$U$20,L246),1)*IF(Upgrades!$T$21="Microlensing",POWER(Upgrades!$U$21,M246),1))+(IF(H246=0,0,(Upgrades!$J$16+H246*Upgrades!$K$16)*POWER(Upgrades!$L$16,H246)))*(IF(Upgrades!$T$13="Roche Lobe Overflow",POWER(Upgrades!$U$13,E246),1)*IF(Upgrades!$T$14="Roche Lobe Overflow",POWER(Upgrades!$U$14,F246),1)*IF(Upgrades!$T$15="Roche Lobe Overflow",POWER(Upgrades!$U$15,G246),1)*IF(Upgrades!$T$17="Roche Lobe Overflow",POWER(Upgrades!$U$17,I246),1)*IF(Upgrades!$T$18="Roche Lobe Overflow",POWER(Upgrades!$U$18,J246),1)*IF(Upgrades!$T$19="Roche Lobe Overflow",POWER(Upgrades!$U$19,K246),1)*IF(Upgrades!$T$20="Roche Lobe Overflow",POWER(Upgrades!$U$20,L246),1)*IF(Upgrades!$T$21="Roche Lobe Overflow",POWER(Upgrades!$U$21,M246),1))+(IF(I246=0,0,(Upgrades!$J$17+I246*Upgrades!$K$17)*POWER(Upgrades!$L$17,I246)))*(IF(Upgrades!$T$13="Brown Dwarf",POWER(Upgrades!$U$13,E246),1)*IF(Upgrades!$T$14="Brown Dwarf",POWER(Upgrades!$U$14,F246),1)*IF(Upgrades!$T$15="Brown Dwarf",POWER(Upgrades!$U$15,G246),1)*IF(Upgrades!$T$16="Brown Dwarf",POWER(Upgrades!$U$16,H246),1)*IF(Upgrades!$T$18="Brown Dwarf",POWER(Upgrades!$U$18,J246),1)*IF(Upgrades!$T$19="Brown Dwarf",POWER(Upgrades!$U$19,K246),1)*IF(Upgrades!$T$20="Brown Dwarf",POWER(Upgrades!$U$20,L246),1)*IF(Upgrades!$T$21="Brown Dwarf",POWER(Upgrades!$U$21,M246),1))+(IF(J246=0,0,(Upgrades!$J$18+J246*Upgrades!$K$18)*POWER(Upgrades!$L$18,J246)))*(IF(Upgrades!$T$13="Binary Partner",POWER(Upgrades!$U$13,E246),1)*IF(Upgrades!$T$14="Binary Partner",POWER(Upgrades!$U$14,F246),1)*IF(Upgrades!$T$15="Binary Partner",POWER(Upgrades!$U$15,G246),1)*IF(Upgrades!$T$16="Binary Partner",POWER(Upgrades!$U$16,H246),1)*IF(Upgrades!$T$17="Binary Partner",POWER(Upgrades!$U$17,I246),1)*IF(Upgrades!$T$19="Binary Partner",POWER(Upgrades!$U$19,K246),1)*IF(Upgrades!$T$20="Binary Partner",POWER(Upgrades!$U$20,L246),1)*IF(Upgrades!$T$21="Binary Partner",POWER(Upgrades!$U$21,M246),1))+(IF(K246=0,0,(Upgrades!$J$19+K246*Upgrades!$K$19)*POWER(Upgrades!$L$19,K246)))*(IF(Upgrades!$T$13="Peculiar Velocity",POWER(Upgrades!$U$13,E246),1)*IF(Upgrades!$T$14="Peculiar Velocity",POWER(Upgrades!$U$14,F246),1)*IF(Upgrades!$T$15="Peculiar Velocity",POWER(Upgrades!$U$15,G246),1)*IF(Upgrades!$T$16="Peculiar Velocity",POWER(Upgrades!$U$16,H246),1)*IF(Upgrades!$T$17="Peculiar Velocity",POWER(Upgrades!$U$17,I246),1)*IF(Upgrades!$T$18="Peculiar Velocity",POWER(Upgrades!$U$18,J246),1)*IF(Upgrades!$T$20="Peculiar Velocity",POWER(Upgrades!$U$20,L246),1)*IF(Upgrades!$T$21="Peculiar Velocity",POWER(Upgrades!$U$21,M246),1))+(IF(L246=0,0,(Upgrades!$J$20+L246*Upgrades!$K$20)*POWER(Upgrades!$L$20,L246)))*(IF(Upgrades!$T$13="Open Cluster",POWER(Upgrades!$U$13,E246),1)*IF(Upgrades!$T$14="Open Cluster",POWER(Upgrades!$U$14,F246),1)*IF(Upgrades!$T$15="Open Cluster",POWER(Upgrades!$U$15,G246),1)*IF(Upgrades!$T$16="Open Cluster",POWER(Upgrades!$U$16,H246),1)*IF(Upgrades!$T$17="Open Cluster",POWER(Upgrades!$U$17,I246),1)*IF(Upgrades!$T$18="Open Cluster",POWER(Upgrades!$U$18,J246),1)*IF(Upgrades!$T$19="Open Cluster",POWER(Upgrades!$U$19,K246),1)*IF(Upgrades!$T$21="Open Cluster",POWER(Upgrades!$U$21,M246),1))+(IF(M246=0,0,(Upgrades!$J$21+M246*Upgrades!$K$21)*POWER(Upgrades!$L$21,M246)))*(IF(Upgrades!$T$13="Moving Group",POWER(Upgrades!$U$13,E246),1)*IF(Upgrades!$T$14="Moving Group",POWER(Upgrades!$U$14,F246),1)*IF(Upgrades!$T$15="Moving Group",POWER(Upgrades!$U$15,G246),1)*IF(Upgrades!$T$16="Moving Group",POWER(Upgrades!$U$16,H246),1)*IF(Upgrades!$T$17="Moving Group",POWER(Upgrades!$U$17,I246),1)*IF(Upgrades!$T$18="Moving Group",POWER(Upgrades!$U$18,J246),1)*IF(Upgrades!$T$19="Moving Group",POWER(Upgrades!$U$19,K246),1)*IF(Upgrades!$T$20="Moving Group",POWER(Upgrades!$U$20,L246),1)))*POWER(Upgrades!$Q$13,E246)*POWER(Upgrades!$Q$14,F246)*POWER(Upgrades!$Q$15,G246)*POWER(Upgrades!$Q$16,H246)*POWER(Upgrades!$Q$17,I246)*POWER(Upgrades!$Q$18,J246)*POWER(Upgrades!$Q$19,K246)*POWER(Upgrades!$Q$20,L246)*POWER(Upgrades!$Q$21,M246)*$G$6+$D$6</f>
        <v/>
      </c>
      <c r="P246" s="28">
        <f>((IF(E246=0,0,(Upgrades!$G$13+E246*Upgrades!$H$13)*POWER(Upgrades!$I$13,E246)))*(IF(Upgrades!$T$14="Stellar Kinematics",POWER(Upgrades!$U$14,F246),1)*IF(Upgrades!$T$15="Stellar Kinematics",POWER(Upgrades!$U$15,G246),1)*IF(Upgrades!$T$16="Stellar Kinematics",POWER(Upgrades!$U$16,H246),1)*IF(Upgrades!$T$17="Stellar Kinematics",POWER(Upgrades!$U$17,I246),1)*IF(Upgrades!$T$18="Stellar Kinematics",POWER(Upgrades!$U$18,J246),1)*IF(Upgrades!$T$19="Stellar Kinematics",POWER(Upgrades!$U$19,K246),1)*IF(Upgrades!$T$20="Stellar Kinematics",POWER(Upgrades!$U$20,L246),1)*IF(Upgrades!$T$21="Stellar Kinematics",POWER(Upgrades!$U$21,M246),1))+(IF(F246=0,0,(Upgrades!$G$14+F246*Upgrades!$H$14)*POWER(Upgrades!$I$14,F246)))*(IF(Upgrades!$T$13="Local Bubble",POWER(Upgrades!$U$13,E246),1)*IF(Upgrades!$T$15="Local Bubble",POWER(Upgrades!$U$15,G246),1)*IF(Upgrades!$T$16="Local Bubble",POWER(Upgrades!$U$16,H246),1)*IF(Upgrades!$T$17="Local Bubble",POWER(Upgrades!$U$17,I246),1)*IF(Upgrades!$T$18="Local Bubble",POWER(Upgrades!$U$18,J246),1)*IF(Upgrades!$T$19="Local Bubble",POWER(Upgrades!$U$19,K246),1)*IF(Upgrades!$T$20="Local Bubble",POWER(Upgrades!$U$20,L246),1)*IF(Upgrades!$T$21="Local Bubble",POWER(Upgrades!$U$21,M246),1))+(IF(G246=0,0,(Upgrades!$G$15+G246*Upgrades!$H$15)*POWER(Upgrades!$I$15,G246)))*(IF(Upgrades!$T$13="Microlensing",POWER(Upgrades!$U$13,E246),1)*IF(Upgrades!$T$14="Microlensing",POWER(Upgrades!$U$14,F246),1)*IF(Upgrades!$T$16="Microlensing",POWER(Upgrades!$U$16,H246),1)*IF(Upgrades!$T$17="Microlensing",POWER(Upgrades!$U$17,I246),1)*IF(Upgrades!$T$18="Microlensing",POWER(Upgrades!$U$18,J246),1)*IF(Upgrades!$T$19="Microlensing",POWER(Upgrades!$U$19,K246),1)*IF(Upgrades!$T$20="Microlensing",POWER(Upgrades!$U$20,L246),1)*IF(Upgrades!$T$21="Microlensing",POWER(Upgrades!$U$21,M246),1))+(IF(H246=0,0,(Upgrades!$G$16+H246*Upgrades!$H$16)*POWER(Upgrades!$I$16,H246)))*(IF(Upgrades!$T$13="Roche Lobe Overflow",POWER(Upgrades!$U$13,E246),1)*IF(Upgrades!$T$14="Roche Lobe Overflow",POWER(Upgrades!$U$14,F246),1)*IF(Upgrades!$T$15="Roche Lobe Overflow",POWER(Upgrades!$U$15,G246),1)*IF(Upgrades!$T$17="Roche Lobe Overflow",POWER(Upgrades!$U$17,I246),1)*IF(Upgrades!$T$18="Roche Lobe Overflow",POWER(Upgrades!$U$18,J246),1)*IF(Upgrades!$T$19="Roche Lobe Overflow",POWER(Upgrades!$U$19,K246),1)*IF(Upgrades!$T$20="Roche Lobe Overflow",POWER(Upgrades!$U$20,L246),1)*IF(Upgrades!$T$21="Roche Lobe Overflow",POWER(Upgrades!$U$21,M246),1))+(IF(I246=0,0,(Upgrades!$G$17+I246*Upgrades!$H$17)*POWER(Upgrades!$I$17,I246)))*(IF(Upgrades!$T$13="Brown Dwarf",POWER(Upgrades!$U$13,E246),1)*IF(Upgrades!$T$14="Brown Dwarf",POWER(Upgrades!$U$14,F246),1)*IF(Upgrades!$T$15="Brown Dwarf",POWER(Upgrades!$U$15,G246),1)*IF(Upgrades!$T$16="Brown Dwarf",POWER(Upgrades!$U$16,H246),1)*IF(Upgrades!$T$18="Brown Dwarf",POWER(Upgrades!$U$18,J246),1)*IF(Upgrades!$T$19="Brown Dwarf",POWER(Upgrades!$U$19,K246),1)*IF(Upgrades!$T$20="Brown Dwarf",POWER(Upgrades!$U$20,L246),1)*IF(Upgrades!$T$21="Brown Dwarf",POWER(Upgrades!$U$21,M246),1))+(IF(J246=0,0,(Upgrades!$G$18+J246*Upgrades!$H$18)*POWER(Upgrades!$I$18,J246)))*(IF(Upgrades!$T$13="Binary Partner",POWER(Upgrades!$U$13,E246),1)*IF(Upgrades!$T$14="Binary Partner",POWER(Upgrades!$U$14,F246),1)*IF(Upgrades!$T$15="Binary Partner",POWER(Upgrades!$U$15,G246),1)*IF(Upgrades!$T$16="Binary Partner",POWER(Upgrades!$U$16,H246),1)*IF(Upgrades!$T$17="Binary Partner",POWER(Upgrades!$U$17,I246),1)*IF(Upgrades!$T$19="Binary Partner",POWER(Upgrades!$U$19,K246),1)*IF(Upgrades!$T$20="Binary Partner",POWER(Upgrades!$U$20,L246),1)*IF(Upgrades!$T$21="Binary Partner",POWER(Upgrades!$U$21,M246),1))+(IF(K246=0,0,(Upgrades!$G$19+K246*Upgrades!$H$19)*POWER(Upgrades!$I$19,K246)))*(IF(Upgrades!$T$13="Peculiar Velocity",POWER(Upgrades!$U$13,E246),1)*IF(Upgrades!$T$14="Peculiar Velocity",POWER(Upgrades!$U$14,F246),1)*IF(Upgrades!$T$15="Peculiar Velocity",POWER(Upgrades!$U$15,G246),1)*IF(Upgrades!$T$16="Peculiar Velocity",POWER(Upgrades!$U$16,H246),1)*IF(Upgrades!$T$17="Peculiar Velocity",POWER(Upgrades!$U$17,I246),1)*IF(Upgrades!$T$18="Peculiar Velocity",POWER(Upgrades!$U$18,J246),1)*IF(Upgrades!$T$20="Peculiar Velocity",POWER(Upgrades!$U$20,L246),1)*IF(Upgrades!$T$21="Peculiar Velocity",POWER(Upgrades!$U$21,M246),1))+(IF(L246=0,0,(Upgrades!$G$20+L246*Upgrades!$H$20)*POWER(Upgrades!$I$20,L246)))*(IF(Upgrades!$T$13="Open Cluster",POWER(Upgrades!$U$13,E246),1)*IF(Upgrades!$T$14="Open Cluster",POWER(Upgrades!$U$14,F246),1)*IF(Upgrades!$T$15="Open Cluster",POWER(Upgrades!$U$15,G246),1)*IF(Upgrades!$T$16="Open Cluster",POWER(Upgrades!$U$16,H246),1)*IF(Upgrades!$T$17="Open Cluster",POWER(Upgrades!$U$17,I246),1)*IF(Upgrades!$T$18="Open Cluster",POWER(Upgrades!$U$18,J246),1)*IF(Upgrades!$T$19="Open Cluster",POWER(Upgrades!$U$19,K246),1)*IF(Upgrades!$T$21="Open Cluster",POWER(Upgrades!$U$21,M246),1))+(IF(M246=0,0,(Upgrades!$G$21+M246*Upgrades!$H$21)*POWER(Upgrades!$I$21,M246)))*(IF(Upgrades!$T$13="Moving Group",POWER(Upgrades!$U$13,E246),1)*IF(Upgrades!$T$14="Moving Group",POWER(Upgrades!$U$14,F246),1)*IF(Upgrades!$T$15="Moving Group",POWER(Upgrades!$U$15,G246),1)*IF(Upgrades!$T$16="Moving Group",POWER(Upgrades!$U$16,H246),1)*IF(Upgrades!$T$17="Moving Group",POWER(Upgrades!$U$17,I246),1)*IF(Upgrades!$T$18="Moving Group",POWER(Upgrades!$U$18,J246),1)*IF(Upgrades!$T$19="Moving Group",POWER(Upgrades!$U$19,K246),1)*IF(Upgrades!$T$20="Moving Group",POWER(Upgrades!$U$20,L246),1)))*POWER(Upgrades!$P$13,E246)*POWER(Upgrades!$P$14,F246)*POWER(Upgrades!$P$15,G246)*POWER(Upgrades!$P$16,H246)*POWER(Upgrades!$P$17,I246)*POWER(Upgrades!$P$18,J246)*POWER(Upgrades!$P$19,K246)*POWER(Upgrades!$P$20,L246)*POWER(Upgrades!$P$21,M246)*$F$6+$C$6</f>
        <v/>
      </c>
      <c r="Q246" s="28">
        <f>((IF(E246=0,0,(Upgrades!$M$13+E246*Upgrades!$N$13)*POWER(Upgrades!$O$13,E246)))*(IF(Upgrades!$T$14="Stellar Kinematics",POWER(Upgrades!$U$14,F246),1)*IF(Upgrades!$T$15="Stellar Kinematics",POWER(Upgrades!$U$15,G246),1)*IF(Upgrades!$T$16="Stellar Kinematics",POWER(Upgrades!$U$16,H246),1)*IF(Upgrades!$T$17="Stellar Kinematics",POWER(Upgrades!$U$17,I246),1)*IF(Upgrades!$T$18="Stellar Kinematics",POWER(Upgrades!$U$18,J246),1)*IF(Upgrades!$T$19="Stellar Kinematics",POWER(Upgrades!$U$19,K246),1)*IF(Upgrades!$T$20="Stellar Kinematics",POWER(Upgrades!$U$20,L246),1)*IF(Upgrades!$T$21="Stellar Kinematics",POWER(Upgrades!$U$21,M246),1))+(IF(F246=0,0,(Upgrades!$M$14+F246*Upgrades!$N$14)*POWER(Upgrades!$O$14,F246)))*(IF(Upgrades!$T$13="Local Bubble",POWER(Upgrades!$U$13,E246),1)*IF(Upgrades!$T$15="Local Bubble",POWER(Upgrades!$U$15,G246),1)*IF(Upgrades!$T$16="Local Bubble",POWER(Upgrades!$U$16,H246),1)*IF(Upgrades!$T$17="Local Bubble",POWER(Upgrades!$U$17,I246),1)*IF(Upgrades!$T$18="Local Bubble",POWER(Upgrades!$U$18,J246),1)*IF(Upgrades!$T$19="Local Bubble",POWER(Upgrades!$U$19,K246),1)*IF(Upgrades!$T$20="Local Bubble",POWER(Upgrades!$U$20,L246),1)*IF(Upgrades!$T$21="Local Bubble",POWER(Upgrades!$U$21,M246),1))+(IF(G246=0,0,(Upgrades!$M$15+G246*Upgrades!$N$15)*POWER(Upgrades!$O$15,G246)))*(IF(Upgrades!$T$13="Microlensing",POWER(Upgrades!$U$13,E246),1)*IF(Upgrades!$T$14="Microlensing",POWER(Upgrades!$U$14,F246),1)*IF(Upgrades!$T$16="Microlensing",POWER(Upgrades!$U$16,H246),1)*IF(Upgrades!$T$17="Microlensing",POWER(Upgrades!$U$17,I246),1)*IF(Upgrades!$T$18="Microlensing",POWER(Upgrades!$U$18,J246),1)*IF(Upgrades!$T$19="Microlensing",POWER(Upgrades!$U$19,K246),1)*IF(Upgrades!$T$20="Microlensing",POWER(Upgrades!$U$20,L246),1)*IF(Upgrades!$T$21="Microlensing",POWER(Upgrades!$U$21,M246),1))+(IF(H246=0,0,(Upgrades!$M$16+H246*Upgrades!$N$16)*POWER(Upgrades!$O$16,H246)))*(IF(Upgrades!$T$13="Roche Lobe Overflow",POWER(Upgrades!$U$13,E246),1)*IF(Upgrades!$T$14="Roche Lobe Overflow",POWER(Upgrades!$U$14,F246),1)*IF(Upgrades!$T$15="Roche Lobe Overflow",POWER(Upgrades!$U$15,G246),1)*IF(Upgrades!$T$17="Roche Lobe Overflow",POWER(Upgrades!$U$17,I246),1)*IF(Upgrades!$T$18="Roche Lobe Overflow",POWER(Upgrades!$U$18,J246),1)*IF(Upgrades!$T$19="Roche Lobe Overflow",POWER(Upgrades!$U$19,K246),1)*IF(Upgrades!$T$20="Roche Lobe Overflow",POWER(Upgrades!$U$20,L246),1)*IF(Upgrades!$T$21="Roche Lobe Overflow",POWER(Upgrades!$U$21,M246),1))+(IF(I246=0,0,(Upgrades!$M$17+I246*Upgrades!$N$17)*POWER(Upgrades!$O$17,I246)))*(IF(Upgrades!$T$13="Brown Dwarf",POWER(Upgrades!$U$13,E246),1)*IF(Upgrades!$T$14="Brown Dwarf",POWER(Upgrades!$U$14,F246),1)*IF(Upgrades!$T$15="Brown Dwarf",POWER(Upgrades!$U$15,G246),1)*IF(Upgrades!$T$16="Brown Dwarf",POWER(Upgrades!$U$16,H246),1)*IF(Upgrades!$T$18="Brown Dwarf",POWER(Upgrades!$U$18,J246),1)*IF(Upgrades!$T$19="Brown Dwarf",POWER(Upgrades!$U$19,K246),1)*IF(Upgrades!$T$20="Brown Dwarf",POWER(Upgrades!$U$20,L246),1)*IF(Upgrades!$T$21="Brown Dwarf",POWER(Upgrades!$U$21,M246),1))+(IF(J246=0,0,(Upgrades!$M$18+J246*Upgrades!$N$18)*POWER(Upgrades!$O$18,J246)))*(IF(Upgrades!$T$13="Binary Partner",POWER(Upgrades!$U$13,E246),1)*IF(Upgrades!$T$14="Binary Partner",POWER(Upgrades!$U$14,F246),1)*IF(Upgrades!$T$15="Binary Partner",POWER(Upgrades!$U$15,G246),1)*IF(Upgrades!$T$16="Binary Partner",POWER(Upgrades!$U$16,H246),1)*IF(Upgrades!$T$17="Binary Partner",POWER(Upgrades!$U$17,I246),1)*IF(Upgrades!$T$19="Binary Partner",POWER(Upgrades!$U$19,K246),1)*IF(Upgrades!$T$20="Binary Partner",POWER(Upgrades!$U$20,L246),1)*IF(Upgrades!$T$21="Binary Partner",POWER(Upgrades!$U$21,M246),1))+(IF(K246=0,0,(Upgrades!$M$19+K246*Upgrades!$N$19)*POWER(Upgrades!$O$19,K246)))*(IF(Upgrades!$T$13="Peculiar Velocity",POWER(Upgrades!$U$13,E246),1)*IF(Upgrades!$T$14="Peculiar Velocity",POWER(Upgrades!$U$14,F246),1)*IF(Upgrades!$T$15="Peculiar Velocity",POWER(Upgrades!$U$15,G246),1)*IF(Upgrades!$T$16="Peculiar Velocity",POWER(Upgrades!$U$16,H246),1)*IF(Upgrades!$T$17="Peculiar Velocity",POWER(Upgrades!$U$17,I246),1)*IF(Upgrades!$T$18="Peculiar Velocity",POWER(Upgrades!$U$18,J246),1)*IF(Upgrades!$T$20="Peculiar Velocity",POWER(Upgrades!$U$20,L246),1)*IF(Upgrades!$T$21="Peculiar Velocity",POWER(Upgrades!$U$21,M246),1))+(IF(L246=0,0,(Upgrades!$M$20+L246*Upgrades!$N$20)*POWER(Upgrades!$O$20,L246)))*(IF(Upgrades!$T$13="Open Cluster",POWER(Upgrades!$U$13,E246),1)*IF(Upgrades!$T$14="Open Cluster",POWER(Upgrades!$U$14,F246),1)*IF(Upgrades!$T$15="Open Cluster",POWER(Upgrades!$U$15,G246),1)*IF(Upgrades!$T$16="Open Cluster",POWER(Upgrades!$U$16,H246),1)*IF(Upgrades!$T$17="Open Cluster",POWER(Upgrades!$U$17,I246),1)*IF(Upgrades!$T$18="Open Cluster",POWER(Upgrades!$U$18,J246),1)*IF(Upgrades!$T$19="Open Cluster",POWER(Upgrades!$U$19,K246),1)*IF(Upgrades!$T$21="Open Cluster",POWER(Upgrades!$U$21,M246),1))+(IF(M246=0,0,(Upgrades!$M$21+M246*Upgrades!$N$21)*POWER(Upgrades!$O$21,M246)))*(IF(Upgrades!$T$13="Moving Group",POWER(Upgrades!$U$13,E246),1)*IF(Upgrades!$T$14="Moving Group",POWER(Upgrades!$U$14,F246),1)*IF(Upgrades!$T$15="Moving Group",POWER(Upgrades!$U$15,G246),1)*IF(Upgrades!$T$16="Moving Group",POWER(Upgrades!$U$16,H246),1)*IF(Upgrades!$T$17="Moving Group",POWER(Upgrades!$U$17,I246),1)*IF(Upgrades!$T$18="Moving Group",POWER(Upgrades!$U$18,J246),1)*IF(Upgrades!$T$19="Moving Group",POWER(Upgrades!$U$19,K246),1)*IF(Upgrades!$T$20="Moving Group",POWER(Upgrades!$U$20,L246),1)))*POWER(Upgrades!$R$13,E246)*POWER(Upgrades!$R$14,F246)*POWER(Upgrades!$R$15,G246)*POWER(Upgrades!$R$16,H246)*POWER(Upgrades!$R$17,I246)*POWER(Upgrades!$R$18,J246)*POWER(Upgrades!$R$19,K246)*POWER(Upgrades!$R$20,L246)*POWER(Upgrades!$R$21,M246)*$H$6+$E$6</f>
        <v/>
      </c>
      <c r="R246" s="27">
        <f>IF(N246=1,0,O246*Parameters!$B$10/60*Parameters!$B$11*10)</f>
        <v/>
      </c>
      <c r="S246" s="27">
        <f>IF(N246=1,0,Q246*O246*10)</f>
        <v/>
      </c>
      <c r="T246" s="27">
        <f>IF(N246=1,0,R246+S246+P246*10)</f>
        <v/>
      </c>
      <c r="U246" s="33">
        <f>BE246</f>
        <v/>
      </c>
      <c r="V246" s="22">
        <f>IF(U246="",0,IF(U246="transition",0,IF(U246="SK",AK246,IF(U246="LB",AL246,IF(U246="ML",AM246,IF(U246="RLO",AN246,IF(U246="BD",AO246,IF(U246="BiP",AP246,IF(U246="PV",AQ246,IF(U246="OC",AR246,IF(U246="MG",AS246,0))))))))))</f>
        <v/>
      </c>
      <c r="W246" s="27">
        <f>IF(U246="BiP",Upgrades!$F$18,IF(U246="PV",Upgrades!$F$19,IF(U246="OC",Upgrades!$F$20,IF(U246="MG",Upgrades!$F$21,IF(U246="transition",-Parameters!$B$18*Parameters!$B$19,0)))))</f>
        <v/>
      </c>
      <c r="X246" s="22">
        <f>C246+T246-V246</f>
        <v/>
      </c>
      <c r="Y246" s="30">
        <f>O246*Parameters!$B$10/60*Parameters!$B$11+Q246*O246+P246</f>
        <v/>
      </c>
      <c r="Z246" s="34">
        <f>IF(U246="transition","→ Tier 3 (Galactic Arm)",IF(U246="MG","Moving Group — pocket drifts together",IF(U246="OC","Open Cluster acquired",IF(U246="PV","Peculiar Velocity — passive multiplier active",IF(U246="BiP","Binary Partner — pair bond formed",IF(AND(AU246=1,N246=0,AT246&lt;&gt;1),"Cohesion ready (waiting on completionists)","")))))) </f>
        <v/>
      </c>
      <c r="AA246" s="27">
        <f>(IF(E246=0,0,(Upgrades!$G$13+E246*Upgrades!$H$13)*POWER(Upgrades!$I$13,E246)))*(IF(Upgrades!$T$14="Stellar Kinematics",POWER(Upgrades!$U$14,F246),1)*IF(Upgrades!$T$15="Stellar Kinematics",POWER(Upgrades!$U$15,G246),1)*IF(Upgrades!$T$16="Stellar Kinematics",POWER(Upgrades!$U$16,H246),1)*IF(Upgrades!$T$17="Stellar Kinematics",POWER(Upgrades!$U$17,I246),1)*IF(Upgrades!$T$18="Stellar Kinematics",POWER(Upgrades!$U$18,J246),1)*IF(Upgrades!$T$19="Stellar Kinematics",POWER(Upgrades!$U$19,K246),1)*IF(Upgrades!$T$20="Stellar Kinematics",POWER(Upgrades!$U$20,L246),1)*IF(Upgrades!$T$21="Stellar Kinematics",POWER(Upgrades!$U$21,M246),1))*POWER(Upgrades!$P$13,E246)*POWER(Upgrades!$P$14,F246)*POWER(Upgrades!$P$15,G246)*POWER(Upgrades!$P$16,H246)*POWER(Upgrades!$P$17,I246)*POWER(Upgrades!$P$18,J246)*POWER(Upgrades!$P$19,K246)*POWER(Upgrades!$P$20,L246)*POWER(Upgrades!$P$21,M246)*$F$6*60</f>
        <v/>
      </c>
      <c r="AB246" s="27">
        <f>(IF(F246=0,0,(Upgrades!$G$14+F246*Upgrades!$H$14)*POWER(Upgrades!$I$14,F246)))*(IF(Upgrades!$T$13="Local Bubble",POWER(Upgrades!$U$13,E246),1)*IF(Upgrades!$T$15="Local Bubble",POWER(Upgrades!$U$15,G246),1)*IF(Upgrades!$T$16="Local Bubble",POWER(Upgrades!$U$16,H246),1)*IF(Upgrades!$T$17="Local Bubble",POWER(Upgrades!$U$17,I246),1)*IF(Upgrades!$T$18="Local Bubble",POWER(Upgrades!$U$18,J246),1)*IF(Upgrades!$T$19="Local Bubble",POWER(Upgrades!$U$19,K246),1)*IF(Upgrades!$T$20="Local Bubble",POWER(Upgrades!$U$20,L246),1)*IF(Upgrades!$T$21="Local Bubble",POWER(Upgrades!$U$21,M246),1))*POWER(Upgrades!$P$13,E246)*POWER(Upgrades!$P$14,F246)*POWER(Upgrades!$P$15,G246)*POWER(Upgrades!$P$16,H246)*POWER(Upgrades!$P$17,I246)*POWER(Upgrades!$P$18,J246)*POWER(Upgrades!$P$19,K246)*POWER(Upgrades!$P$20,L246)*POWER(Upgrades!$P$21,M246)*$F$6*60</f>
        <v/>
      </c>
      <c r="AC246" s="27">
        <f>(IF(G246=0,0,(Upgrades!$J$15+G246*Upgrades!$K$15)*POWER(Upgrades!$L$15,G246)))*(IF(Upgrades!$T$13="Microlensing",POWER(Upgrades!$U$13,E246),1)*IF(Upgrades!$T$14="Microlensing",POWER(Upgrades!$U$14,F246),1)*IF(Upgrades!$T$16="Microlensing",POWER(Upgrades!$U$16,H246),1)*IF(Upgrades!$T$17="Microlensing",POWER(Upgrades!$U$17,I246),1)*IF(Upgrades!$T$18="Microlensing",POWER(Upgrades!$U$18,J246),1)*IF(Upgrades!$T$19="Microlensing",POWER(Upgrades!$U$19,K246),1)*IF(Upgrades!$T$20="Microlensing",POWER(Upgrades!$U$20,L246),1)*IF(Upgrades!$T$21="Microlensing",POWER(Upgrades!$U$21,M246),1))*POWER(Upgrades!$Q$13,E246)*POWER(Upgrades!$Q$14,F246)*POWER(Upgrades!$Q$15,G246)*POWER(Upgrades!$Q$16,H246)*POWER(Upgrades!$Q$17,I246)*POWER(Upgrades!$Q$18,J246)*POWER(Upgrades!$Q$19,K246)*POWER(Upgrades!$Q$20,L246)*POWER(Upgrades!$Q$21,M246)*$G$6*(Parameters!$B$10*Parameters!$B$11+Q246*60)</f>
        <v/>
      </c>
      <c r="AD246" s="27">
        <f>(IF(H246=0,0,(Upgrades!$M$16+H246*Upgrades!$N$16)*POWER(Upgrades!$O$16,H246)))*(IF(Upgrades!$T$13="Roche Lobe Overflow",POWER(Upgrades!$U$13,E246),1)*IF(Upgrades!$T$14="Roche Lobe Overflow",POWER(Upgrades!$U$14,F246),1)*IF(Upgrades!$T$15="Roche Lobe Overflow",POWER(Upgrades!$U$15,G246),1)*IF(Upgrades!$T$17="Roche Lobe Overflow",POWER(Upgrades!$U$17,I246),1)*IF(Upgrades!$T$18="Roche Lobe Overflow",POWER(Upgrades!$U$18,J246),1)*IF(Upgrades!$T$19="Roche Lobe Overflow",POWER(Upgrades!$U$19,K246),1)*IF(Upgrades!$T$20="Roche Lobe Overflow",POWER(Upgrades!$U$20,L246),1)*IF(Upgrades!$T$21="Roche Lobe Overflow",POWER(Upgrades!$U$21,M246),1))*POWER(Upgrades!$R$13,E246)*POWER(Upgrades!$R$14,F246)*POWER(Upgrades!$R$15,G246)*POWER(Upgrades!$R$16,H246)*POWER(Upgrades!$R$17,I246)*POWER(Upgrades!$R$18,J246)*POWER(Upgrades!$R$19,K246)*POWER(Upgrades!$R$20,L246)*POWER(Upgrades!$R$21,M246)*$H$6*O246*60</f>
        <v/>
      </c>
      <c r="AE246" s="27">
        <f>(IF(I246=0,0,(Upgrades!$G$17+I246*Upgrades!$H$17)*POWER(Upgrades!$I$17,I246)))*(IF(Upgrades!$T$13="Brown Dwarf",POWER(Upgrades!$U$13,E246),1)*IF(Upgrades!$T$14="Brown Dwarf",POWER(Upgrades!$U$14,F246),1)*IF(Upgrades!$T$15="Brown Dwarf",POWER(Upgrades!$U$15,G246),1)*IF(Upgrades!$T$16="Brown Dwarf",POWER(Upgrades!$U$16,H246),1)*IF(Upgrades!$T$18="Brown Dwarf",POWER(Upgrades!$U$18,J246),1)*IF(Upgrades!$T$19="Brown Dwarf",POWER(Upgrades!$U$19,K246),1)*IF(Upgrades!$T$20="Brown Dwarf",POWER(Upgrades!$U$20,L246),1)*IF(Upgrades!$T$21="Brown Dwarf",POWER(Upgrades!$U$21,M246),1))*POWER(Upgrades!$P$13,E246)*POWER(Upgrades!$P$14,F246)*POWER(Upgrades!$P$15,G246)*POWER(Upgrades!$P$16,H246)*POWER(Upgrades!$P$17,I246)*POWER(Upgrades!$P$18,J246)*POWER(Upgrades!$P$19,K246)*POWER(Upgrades!$P$20,L246)*POWER(Upgrades!$P$21,M246)*$F$6*60</f>
        <v/>
      </c>
      <c r="AF246" s="27" t="n">
        <v>0</v>
      </c>
      <c r="AG246" s="27" t="n">
        <v>0</v>
      </c>
      <c r="AH246" s="27" t="n">
        <v>0</v>
      </c>
      <c r="AI246" s="27">
        <f>(IF(M246=0,0,(Upgrades!$G$21+M246*Upgrades!$H$21)*POWER(Upgrades!$I$21,M246)))*(IF(Upgrades!$T$13="Moving Group",POWER(Upgrades!$U$13,E246),1)*IF(Upgrades!$T$14="Moving Group",POWER(Upgrades!$U$14,F246),1)*IF(Upgrades!$T$15="Moving Group",POWER(Upgrades!$U$15,G246),1)*IF(Upgrades!$T$16="Moving Group",POWER(Upgrades!$U$16,H246),1)*IF(Upgrades!$T$17="Moving Group",POWER(Upgrades!$U$17,I246),1)*IF(Upgrades!$T$18="Moving Group",POWER(Upgrades!$U$18,J246),1)*IF(Upgrades!$T$19="Moving Group",POWER(Upgrades!$U$19,K246),1)*IF(Upgrades!$T$20="Moving Group",POWER(Upgrades!$U$20,L246),1))*POWER(Upgrades!$P$13,E246)*POWER(Upgrades!$P$14,F246)*POWER(Upgrades!$P$15,G246)*POWER(Upgrades!$P$16,H246)*POWER(Upgrades!$P$17,I246)*POWER(Upgrades!$P$18,J246)*POWER(Upgrades!$P$19,K246)*POWER(Upgrades!$P$20,L246)*POWER(Upgrades!$P$21,M246)*$F$6*60</f>
        <v/>
      </c>
      <c r="AJ246" s="27">
        <f>$C$6*60</f>
        <v/>
      </c>
      <c r="AK246" s="22">
        <f>IF(E246&gt;=Upgrades!$E$13,"",Upgrades!$C$13*POWER(Upgrades!$D$13,E246))</f>
        <v/>
      </c>
      <c r="AL246" s="22">
        <f>IF(F246&gt;=Upgrades!$E$14,"",Upgrades!$C$14*POWER(Upgrades!$D$14,F246))</f>
        <v/>
      </c>
      <c r="AM246" s="22">
        <f>IF(G246&gt;=Upgrades!$E$15,"",Upgrades!$C$15*POWER(Upgrades!$D$15,G246))</f>
        <v/>
      </c>
      <c r="AN246" s="22">
        <f>IF(H246&gt;=Upgrades!$E$16,"",Upgrades!$C$16*POWER(Upgrades!$D$16,H246))</f>
        <v/>
      </c>
      <c r="AO246" s="22">
        <f>IF(I246&gt;=Upgrades!$E$17,"",Upgrades!$C$17*POWER(Upgrades!$D$17,I246))</f>
        <v/>
      </c>
      <c r="AP246" s="22">
        <f>IF(J246&gt;=Upgrades!$E$18,"",Upgrades!$C$18*POWER(Upgrades!$D$18,J246))</f>
        <v/>
      </c>
      <c r="AQ246" s="22">
        <f>IF(K246&gt;=Upgrades!$E$19,"",Upgrades!$C$19*POWER(Upgrades!$D$19,K246))</f>
        <v/>
      </c>
      <c r="AR246" s="22">
        <f>IF(L246&gt;=Upgrades!$E$20,"",Upgrades!$C$20*POWER(Upgrades!$D$20,L246))</f>
        <v/>
      </c>
      <c r="AS246" s="22">
        <f>IF(M246&gt;=Upgrades!$E$21,"",Upgrades!$C$21*POWER(Upgrades!$D$21,M246))</f>
        <v/>
      </c>
      <c r="AT246" s="26">
        <f>IF(AND(D246&gt;=Parameters!$B$18*Parameters!$B$19,(I246&gt;=Upgrades!$E$17)*(M246&gt;=Upgrades!$E$21)=1,N246=0),1,"")</f>
        <v/>
      </c>
      <c r="AU246" s="26">
        <f>IF(AND(D246&gt;=Parameters!$B$18*Parameters!$B$19,N246=0),1,"")</f>
        <v/>
      </c>
      <c r="AV246" s="22">
        <f>MIN(IF(ISNUMBER(AP246),AP246,9E15),IF(ISNUMBER(AQ246),AQ246,9E15),IF(ISNUMBER(AR246),AR246,9E15),IF(ISNUMBER(AS246),AS246,9E15))</f>
        <v/>
      </c>
      <c r="AW246" s="22">
        <f>MIN(IF(ISNUMBER(AK246),AK246,9E15),IF(ISNUMBER(AL246),AL246,9E15),IF(ISNUMBER(AM246),AM246,9E15),IF(ISNUMBER(AN246),AN246,9E15),IF(ISNUMBER(AO246),AO246,9E15))</f>
        <v/>
      </c>
      <c r="AX246" s="29">
        <f>IF(BD246&gt;Parameters!$B$21*(MAX(IF(AND(NOT(AND(AU246=1,AT246&lt;&gt;1)),ISNUMBER(AK246),AK246&lt;=(C246+T246)),AY246,0),IF(AND(NOT(AND(AU246=1,AT246&lt;&gt;1)),ISNUMBER(AL246),AL246&lt;=(C246+T246)),AZ246,0),IF(AND(NOT(AND(AU246=1,AT246&lt;&gt;1)),ISNUMBER(AM246),AM246&lt;=(C246+T246)),BA246,0),IF(AND(NOT(AND(AU246=1,AT246&lt;&gt;1)),ISNUMBER(AN246),AN246&lt;=(C246+T246)),BB246,0),IF(AND(ISNUMBER(AO246),AO246&lt;=(C246+T246)),BC246,0))),TRUE,FALSE)</f>
        <v/>
      </c>
      <c r="AY246" s="32">
        <f>IFERROR(Upgrades!$H$13*(POWER(Upgrades!$P$13,E246)*POWER(Upgrades!$P$14,F246)*POWER(Upgrades!$P$15,G246)*POWER(Upgrades!$P$16,H246)*POWER(Upgrades!$P$17,I246)*POWER(Upgrades!$P$18,J246)*POWER(Upgrades!$P$19,K246)*POWER(Upgrades!$P$20,L246)*POWER(Upgrades!$P$21,M246))*(IF(Upgrades!$T$14="Stellar Kinematics",POWER(Upgrades!$U$14,F246),1)*IF(Upgrades!$T$15="Stellar Kinematics",POWER(Upgrades!$U$15,G246),1)*IF(Upgrades!$T$16="Stellar Kinematics",POWER(Upgrades!$U$16,H246),1)*IF(Upgrades!$T$17="Stellar Kinematics",POWER(Upgrades!$U$17,I246),1)*IF(Upgrades!$T$18="Stellar Kinematics",POWER(Upgrades!$U$18,J246),1)*IF(Upgrades!$T$19="Stellar Kinematics",POWER(Upgrades!$U$19,K246),1)*IF(Upgrades!$T$20="Stellar Kinematics",POWER(Upgrades!$U$20,L246),1)*IF(Upgrades!$T$21="Stellar Kinematics",POWER(Upgrades!$U$21,M246),1))*$F$6/AK246,0)</f>
        <v/>
      </c>
      <c r="AZ246" s="32">
        <f>IFERROR(Upgrades!$H$14*(POWER(Upgrades!$P$13,E246)*POWER(Upgrades!$P$14,F246)*POWER(Upgrades!$P$15,G246)*POWER(Upgrades!$P$16,H246)*POWER(Upgrades!$P$17,I246)*POWER(Upgrades!$P$18,J246)*POWER(Upgrades!$P$19,K246)*POWER(Upgrades!$P$20,L246)*POWER(Upgrades!$P$21,M246))*(IF(Upgrades!$T$13="Local Bubble",POWER(Upgrades!$U$13,E246),1)*IF(Upgrades!$T$15="Local Bubble",POWER(Upgrades!$U$15,G246),1)*IF(Upgrades!$T$16="Local Bubble",POWER(Upgrades!$U$16,H246),1)*IF(Upgrades!$T$17="Local Bubble",POWER(Upgrades!$U$17,I246),1)*IF(Upgrades!$T$18="Local Bubble",POWER(Upgrades!$U$18,J246),1)*IF(Upgrades!$T$19="Local Bubble",POWER(Upgrades!$U$19,K246),1)*IF(Upgrades!$T$20="Local Bubble",POWER(Upgrades!$U$20,L246),1)*IF(Upgrades!$T$21="Local Bubble",POWER(Upgrades!$U$21,M246),1))*$F$6/AL246,0)</f>
        <v/>
      </c>
      <c r="BA246" s="32">
        <f>IFERROR(Upgrades!$K$15*(POWER(Upgrades!$Q$13,E246)*POWER(Upgrades!$Q$14,F246)*POWER(Upgrades!$Q$15,G246)*POWER(Upgrades!$Q$16,H246)*POWER(Upgrades!$Q$17,I246)*POWER(Upgrades!$Q$18,J246)*POWER(Upgrades!$Q$19,K246)*POWER(Upgrades!$Q$20,L246)*POWER(Upgrades!$Q$21,M246))*(IF(Upgrades!$T$13="Microlensing",POWER(Upgrades!$U$13,E246),1)*IF(Upgrades!$T$14="Microlensing",POWER(Upgrades!$U$14,F246),1)*IF(Upgrades!$T$16="Microlensing",POWER(Upgrades!$U$16,H246),1)*IF(Upgrades!$T$17="Microlensing",POWER(Upgrades!$U$17,I246),1)*IF(Upgrades!$T$18="Microlensing",POWER(Upgrades!$U$18,J246),1)*IF(Upgrades!$T$19="Microlensing",POWER(Upgrades!$U$19,K246),1)*IF(Upgrades!$T$20="Microlensing",POWER(Upgrades!$U$20,L246),1)*IF(Upgrades!$T$21="Microlensing",POWER(Upgrades!$U$21,M246),1))*$G$6*(Parameters!$B$10/60*Parameters!$B$11+Q246)/AM246,0)</f>
        <v/>
      </c>
      <c r="BB246" s="32">
        <f>IFERROR((Upgrades!$N$16*(POWER(Upgrades!$R$13,E246)*POWER(Upgrades!$R$14,F246)*POWER(Upgrades!$R$15,G246)*POWER(Upgrades!$R$16,H246)*POWER(Upgrades!$R$17,I246)*POWER(Upgrades!$R$18,J246)*POWER(Upgrades!$R$19,K246)*POWER(Upgrades!$R$20,L246)*POWER(Upgrades!$R$21,M246))*(IF(Upgrades!$T$13="Roche Lobe Overflow",POWER(Upgrades!$U$13,E246),1)*IF(Upgrades!$T$14="Roche Lobe Overflow",POWER(Upgrades!$U$14,F246),1)*IF(Upgrades!$T$15="Roche Lobe Overflow",POWER(Upgrades!$U$15,G246),1)*IF(Upgrades!$T$17="Roche Lobe Overflow",POWER(Upgrades!$U$17,I246),1)*IF(Upgrades!$T$18="Roche Lobe Overflow",POWER(Upgrades!$U$18,J246),1)*IF(Upgrades!$T$19="Roche Lobe Overflow",POWER(Upgrades!$U$19,K246),1)*IF(Upgrades!$T$20="Roche Lobe Overflow",POWER(Upgrades!$U$20,L246),1)*IF(Upgrades!$T$21="Roche Lobe Overflow",POWER(Upgrades!$U$21,M246),1))*$H$6*O246+((IF(F246=0,0,(Upgrades!$G$14+F246*Upgrades!$H$14)*POWER(Upgrades!$I$14,F246)))*(IF(Upgrades!$T$13="Local Bubble",POWER(Upgrades!$U$13,E246),1)*IF(Upgrades!$T$15="Local Bubble",POWER(Upgrades!$U$15,G246),1)*IF(Upgrades!$T$16="Local Bubble",POWER(Upgrades!$U$16,H246),1)*IF(Upgrades!$T$17="Local Bubble",POWER(Upgrades!$U$17,I246),1)*IF(Upgrades!$T$18="Local Bubble",POWER(Upgrades!$U$18,J246),1)*IF(Upgrades!$T$19="Local Bubble",POWER(Upgrades!$U$19,K246),1)*IF(Upgrades!$T$20="Local Bubble",POWER(Upgrades!$U$20,L246),1)*IF(Upgrades!$T$21="Local Bubble",POWER(Upgrades!$U$21,M246),1))*POWER(Upgrades!$P$13,E246)*POWER(Upgrades!$P$14,F246)*POWER(Upgrades!$P$15,G246)*POWER(Upgrades!$P$16,H246)*POWER(Upgrades!$P$17,I246)*POWER(Upgrades!$P$18,J246)*POWER(Upgrades!$P$19,K246)*POWER(Upgrades!$P$20,L246)*POWER(Upgrades!$P$21,M246)*$F$6)*0.05)/AN246,0)</f>
        <v/>
      </c>
      <c r="BC246" s="32">
        <f>IFERROR((Upgrades!$H$17*(POWER(Upgrades!$P$13,E246)*POWER(Upgrades!$P$14,F246)*POWER(Upgrades!$P$15,G246)*POWER(Upgrades!$P$16,H246)*POWER(Upgrades!$P$17,I246)*POWER(Upgrades!$P$18,J246)*POWER(Upgrades!$P$19,K246)*POWER(Upgrades!$P$20,L246)*POWER(Upgrades!$P$21,M246))*(IF(Upgrades!$T$13="Brown Dwarf",POWER(Upgrades!$U$13,E246),1)*IF(Upgrades!$T$14="Brown Dwarf",POWER(Upgrades!$U$14,F246),1)*IF(Upgrades!$T$15="Brown Dwarf",POWER(Upgrades!$U$15,G246),1)*IF(Upgrades!$T$16="Brown Dwarf",POWER(Upgrades!$U$16,H246),1)*IF(Upgrades!$T$18="Brown Dwarf",POWER(Upgrades!$U$18,J246),1)*IF(Upgrades!$T$19="Brown Dwarf",POWER(Upgrades!$U$19,K246),1)*IF(Upgrades!$T$20="Brown Dwarf",POWER(Upgrades!$U$20,L246),1)*IF(Upgrades!$T$21="Brown Dwarf",POWER(Upgrades!$U$21,M246),1))*$F$6+(((IF(H246=0,0,(Upgrades!$M$16+H246*Upgrades!$N$16)*POWER(Upgrades!$O$16,H246)))*(IF(Upgrades!$T$13="Roche Lobe Overflow",POWER(Upgrades!$U$13,E246),1)*IF(Upgrades!$T$14="Roche Lobe Overflow",POWER(Upgrades!$U$14,F246),1)*IF(Upgrades!$T$15="Roche Lobe Overflow",POWER(Upgrades!$U$15,G246),1)*IF(Upgrades!$T$17="Roche Lobe Overflow",POWER(Upgrades!$U$17,I246),1)*IF(Upgrades!$T$18="Roche Lobe Overflow",POWER(Upgrades!$U$18,J246),1)*IF(Upgrades!$T$19="Roche Lobe Overflow",POWER(Upgrades!$U$19,K246),1)*IF(Upgrades!$T$20="Roche Lobe Overflow",POWER(Upgrades!$U$20,L246),1)*IF(Upgrades!$T$21="Roche Lobe Overflow",POWER(Upgrades!$U$21,M246),1))*POWER(Upgrades!$R$13,E246)*POWER(Upgrades!$R$14,F246)*POWER(Upgrades!$R$15,G246)*POWER(Upgrades!$R$16,H246)*POWER(Upgrades!$R$17,I246)*POWER(Upgrades!$R$18,J246)*POWER(Upgrades!$R$19,K246)*POWER(Upgrades!$R$20,L246)*POWER(Upgrades!$R$21,M246)*$H$6)*O246)*0.10)/AO246,0)</f>
        <v/>
      </c>
      <c r="BD246" s="32">
        <f>MAX(IF(J246&gt;0,0,IFERROR(0.5*((IF(G246=0,0,(Upgrades!$J$15+G246*Upgrades!$K$15)*POWER(Upgrades!$L$15,G246)))*(IF(Upgrades!$T$13="Microlensing",POWER(Upgrades!$U$13,E246),1)*IF(Upgrades!$T$14="Microlensing",POWER(Upgrades!$U$14,F246),1)*IF(Upgrades!$T$16="Microlensing",POWER(Upgrades!$U$16,H246),1)*IF(Upgrades!$T$17="Microlensing",POWER(Upgrades!$U$17,I246),1)*IF(Upgrades!$T$18="Microlensing",POWER(Upgrades!$U$18,J246),1)*IF(Upgrades!$T$19="Microlensing",POWER(Upgrades!$U$19,K246),1)*IF(Upgrades!$T$20="Microlensing",POWER(Upgrades!$U$20,L246),1)*IF(Upgrades!$T$21="Microlensing",POWER(Upgrades!$U$21,M246),1))*(POWER(Upgrades!$Q$13,E246)*POWER(Upgrades!$Q$14,F246)*POWER(Upgrades!$Q$15,G246)*POWER(Upgrades!$Q$16,H246)*POWER(Upgrades!$Q$17,I246)*POWER(Upgrades!$Q$18,J246)*POWER(Upgrades!$Q$19,K246)*POWER(Upgrades!$Q$20,L246)*POWER(Upgrades!$Q$21,M246))*$G$6*(Parameters!$B$10/60*Parameters!$B$11+Q246))/Upgrades!$C$18,0)),IF(K246&gt;0,0,IFERROR(0.30*P246/Upgrades!$C$19,0)),IF(L246&gt;0,0,IFERROR(0.0001/Upgrades!$C$20,0)),IF(M246&gt;0,0,IFERROR((6.0*(POWER(Upgrades!$P$13,E246)*POWER(Upgrades!$P$14,F246)*POWER(Upgrades!$P$15,G246)*POWER(Upgrades!$P$16,H246)*POWER(Upgrades!$P$17,I246)*POWER(Upgrades!$P$18,J246)*POWER(Upgrades!$P$19,K246)*POWER(Upgrades!$P$20,L246)*POWER(Upgrades!$P$21,M246))*$F$6+0.20*O246*(Parameters!$B$10/60*Parameters!$B$11+Q246))/Upgrades!$C$21,0)),IF(AND(ISNUMBER(AK246),AK246&gt;(C246+T246)),AY246,0),IF(AND(ISNUMBER(AL246),AL246&gt;(C246+T246)),AZ246,0),IF(AND(ISNUMBER(AM246),AM246&gt;(C246+T246)),BA246,0),IF(AND(ISNUMBER(AN246),AN246&gt;(C246+T246)),BB246,0),IF(AND(ISNUMBER(AO246),AO246&gt;(C246+T246)),BC246,0))</f>
        <v/>
      </c>
      <c r="BE246" s="29">
        <f>IF(AT246=1,"transition",IF(MIN(IF(AND(J246=0,ISNUMBER(AP246),AP246&lt;=(C246+T246)),AP246,9E15),IF(AND(K246=0,ISNUMBER(AQ246),AQ246&lt;=(C246+T246)),AQ246,9E15),IF(AND(L246=0,ISNUMBER(AR246),AR246&lt;=(C246+T246)),AR246,9E15),IF(AND(M246=0,ISNUMBER(AS246),AS246&lt;=(C246+T246)),AS246,9E15))&lt;9E15,IF(AND(AND(J246=0,ISNUMBER(AP246),AP246&lt;=(C246+T246)),AP246=MIN(IF(AND(J246=0,ISNUMBER(AP246),AP246&lt;=(C246+T246)),AP246,9E15),IF(AND(K246=0,ISNUMBER(AQ246),AQ246&lt;=(C246+T246)),AQ246,9E15),IF(AND(L246=0,ISNUMBER(AR246),AR246&lt;=(C246+T246)),AR246,9E15),IF(AND(M246=0,ISNUMBER(AS246),AS246&lt;=(C246+T246)),AS246,9E15))),"BiP",IF(AND(AND(K246=0,ISNUMBER(AQ246),AQ246&lt;=(C246+T246)),AQ246=MIN(IF(AND(J246=0,ISNUMBER(AP246),AP246&lt;=(C246+T246)),AP246,9E15),IF(AND(K246=0,ISNUMBER(AQ246),AQ246&lt;=(C246+T246)),AQ246,9E15),IF(AND(L246=0,ISNUMBER(AR246),AR246&lt;=(C246+T246)),AR246,9E15),IF(AND(M246=0,ISNUMBER(AS246),AS246&lt;=(C246+T246)),AS246,9E15))),"PV",IF(AND(AND(L246=0,ISNUMBER(AR246),AR246&lt;=(C246+T246)),AR246=MIN(IF(AND(J246=0,ISNUMBER(AP246),AP246&lt;=(C246+T246)),AP246,9E15),IF(AND(K246=0,ISNUMBER(AQ246),AQ246&lt;=(C246+T246)),AQ246,9E15),IF(AND(L246=0,ISNUMBER(AR246),AR246&lt;=(C246+T246)),AR246,9E15),IF(AND(M246=0,ISNUMBER(AS246),AS246&lt;=(C246+T246)),AS246,9E15))),"OC","MG"))),IF(AX246=TRUE,"",IF(MAX(IF(AND(NOT(AND(AU246=1,AT246&lt;&gt;1)),ISNUMBER(AK246),AK246&lt;=(C246+T246)),AY246,0),IF(AND(NOT(AND(AU246=1,AT246&lt;&gt;1)),ISNUMBER(AL246),AL246&lt;=(C246+T246)),AZ246,0),IF(AND(NOT(AND(AU246=1,AT246&lt;&gt;1)),ISNUMBER(AM246),AM246&lt;=(C246+T246)),BA246,0),IF(AND(NOT(AND(AU246=1,AT246&lt;&gt;1)),ISNUMBER(AN246),AN246&lt;=(C246+T246)),BB246,0),IF(AND(ISNUMBER(AO246),AO246&lt;=(C246+T246)),BC246,0))&lt;=0,"",IF(AND(IF(AND(NOT(AND(AU246=1,AT246&lt;&gt;1)),ISNUMBER(AK246),AK246&lt;=(C246+T246)),AY246,0)&gt;0,IF(AND(NOT(AND(AU246=1,AT246&lt;&gt;1)),ISNUMBER(AK246),AK246&lt;=(C246+T246)),AY246,0)=MAX(IF(AND(NOT(AND(AU246=1,AT246&lt;&gt;1)),ISNUMBER(AK246),AK246&lt;=(C246+T246)),AY246,0),IF(AND(NOT(AND(AU246=1,AT246&lt;&gt;1)),ISNUMBER(AL246),AL246&lt;=(C246+T246)),AZ246,0),IF(AND(NOT(AND(AU246=1,AT246&lt;&gt;1)),ISNUMBER(AM246),AM246&lt;=(C246+T246)),BA246,0),IF(AND(NOT(AND(AU246=1,AT246&lt;&gt;1)),ISNUMBER(AN246),AN246&lt;=(C246+T246)),BB246,0),IF(AND(ISNUMBER(AO246),AO246&lt;=(C246+T246)),BC246,0))),"SK",IF(AND(IF(AND(NOT(AND(AU246=1,AT246&lt;&gt;1)),ISNUMBER(AL246),AL246&lt;=(C246+T246)),AZ246,0)&gt;0,IF(AND(NOT(AND(AU246=1,AT246&lt;&gt;1)),ISNUMBER(AL246),AL246&lt;=(C246+T246)),AZ246,0)=MAX(IF(AND(NOT(AND(AU246=1,AT246&lt;&gt;1)),ISNUMBER(AK246),AK246&lt;=(C246+T246)),AY246,0),IF(AND(NOT(AND(AU246=1,AT246&lt;&gt;1)),ISNUMBER(AL246),AL246&lt;=(C246+T246)),AZ246,0),IF(AND(NOT(AND(AU246=1,AT246&lt;&gt;1)),ISNUMBER(AM246),AM246&lt;=(C246+T246)),BA246,0),IF(AND(NOT(AND(AU246=1,AT246&lt;&gt;1)),ISNUMBER(AN246),AN246&lt;=(C246+T246)),BB246,0),IF(AND(ISNUMBER(AO246),AO246&lt;=(C246+T246)),BC246,0))),"LB",IF(AND(IF(AND(NOT(AND(AU246=1,AT246&lt;&gt;1)),ISNUMBER(AM246),AM246&lt;=(C246+T246)),BA246,0)&gt;0,IF(AND(NOT(AND(AU246=1,AT246&lt;&gt;1)),ISNUMBER(AM246),AM246&lt;=(C246+T246)),BA246,0)=MAX(IF(AND(NOT(AND(AU246=1,AT246&lt;&gt;1)),ISNUMBER(AK246),AK246&lt;=(C246+T246)),AY246,0),IF(AND(NOT(AND(AU246=1,AT246&lt;&gt;1)),ISNUMBER(AL246),AL246&lt;=(C246+T246)),AZ246,0),IF(AND(NOT(AND(AU246=1,AT246&lt;&gt;1)),ISNUMBER(AM246),AM246&lt;=(C246+T246)),BA246,0),IF(AND(NOT(AND(AU246=1,AT246&lt;&gt;1)),ISNUMBER(AN246),AN246&lt;=(C246+T246)),BB246,0),IF(AND(ISNUMBER(AO246),AO246&lt;=(C246+T246)),BC246,0))),"ML",IF(AND(IF(AND(NOT(AND(AU246=1,AT246&lt;&gt;1)),ISNUMBER(AN246),AN246&lt;=(C246+T246)),BB246,0)&gt;0,IF(AND(NOT(AND(AU246=1,AT246&lt;&gt;1)),ISNUMBER(AN246),AN246&lt;=(C246+T246)),BB246,0)=MAX(IF(AND(NOT(AND(AU246=1,AT246&lt;&gt;1)),ISNUMBER(AK246),AK246&lt;=(C246+T246)),AY246,0),IF(AND(NOT(AND(AU246=1,AT246&lt;&gt;1)),ISNUMBER(AL246),AL246&lt;=(C246+T246)),AZ246,0),IF(AND(NOT(AND(AU246=1,AT246&lt;&gt;1)),ISNUMBER(AM246),AM246&lt;=(C246+T246)),BA246,0),IF(AND(NOT(AND(AU246=1,AT246&lt;&gt;1)),ISNUMBER(AN246),AN246&lt;=(C246+T246)),BB246,0),IF(AND(ISNUMBER(AO246),AO246&lt;=(C246+T246)),BC246,0))),"RLO","BD"))))))))</f>
        <v/>
      </c>
    </row>
    <row r="247">
      <c r="A247" s="26" t="n">
        <v>236</v>
      </c>
      <c r="B247" s="27">
        <f>A247*10/60</f>
        <v/>
      </c>
      <c r="C247" s="22">
        <f>X246</f>
        <v/>
      </c>
      <c r="D247" s="27">
        <f>D246+W246</f>
        <v/>
      </c>
      <c r="E247" s="26">
        <f>E246+IF(U246="SK",1,0)</f>
        <v/>
      </c>
      <c r="F247" s="26">
        <f>F246+IF(U246="LB",1,0)</f>
        <v/>
      </c>
      <c r="G247" s="26">
        <f>G246+IF(U246="ML",1,0)</f>
        <v/>
      </c>
      <c r="H247" s="26">
        <f>H246+IF(U246="RLO",1,0)</f>
        <v/>
      </c>
      <c r="I247" s="26">
        <f>I246+IF(U246="BD",1,0)</f>
        <v/>
      </c>
      <c r="J247" s="26">
        <f>MAX(J246,IF(U246="BiP",1,0))</f>
        <v/>
      </c>
      <c r="K247" s="26">
        <f>MAX(K246,IF(U246="PV",1,0))</f>
        <v/>
      </c>
      <c r="L247" s="26">
        <f>MAX(L246,IF(U246="OC",1,0))</f>
        <v/>
      </c>
      <c r="M247" s="26">
        <f>MAX(M246,IF(U246="MG",1,0))</f>
        <v/>
      </c>
      <c r="N247" s="26">
        <f>MAX(N246,IF(U246="transition",1,0))</f>
        <v/>
      </c>
      <c r="O247" s="28">
        <f>(Parameters!$B$9+(IF(E247=0,0,(Upgrades!$J$13+E247*Upgrades!$K$13)*POWER(Upgrades!$L$13,E247)))*(IF(Upgrades!$T$14="Stellar Kinematics",POWER(Upgrades!$U$14,F247),1)*IF(Upgrades!$T$15="Stellar Kinematics",POWER(Upgrades!$U$15,G247),1)*IF(Upgrades!$T$16="Stellar Kinematics",POWER(Upgrades!$U$16,H247),1)*IF(Upgrades!$T$17="Stellar Kinematics",POWER(Upgrades!$U$17,I247),1)*IF(Upgrades!$T$18="Stellar Kinematics",POWER(Upgrades!$U$18,J247),1)*IF(Upgrades!$T$19="Stellar Kinematics",POWER(Upgrades!$U$19,K247),1)*IF(Upgrades!$T$20="Stellar Kinematics",POWER(Upgrades!$U$20,L247),1)*IF(Upgrades!$T$21="Stellar Kinematics",POWER(Upgrades!$U$21,M247),1))+(IF(F247=0,0,(Upgrades!$J$14+F247*Upgrades!$K$14)*POWER(Upgrades!$L$14,F247)))*(IF(Upgrades!$T$13="Local Bubble",POWER(Upgrades!$U$13,E247),1)*IF(Upgrades!$T$15="Local Bubble",POWER(Upgrades!$U$15,G247),1)*IF(Upgrades!$T$16="Local Bubble",POWER(Upgrades!$U$16,H247),1)*IF(Upgrades!$T$17="Local Bubble",POWER(Upgrades!$U$17,I247),1)*IF(Upgrades!$T$18="Local Bubble",POWER(Upgrades!$U$18,J247),1)*IF(Upgrades!$T$19="Local Bubble",POWER(Upgrades!$U$19,K247),1)*IF(Upgrades!$T$20="Local Bubble",POWER(Upgrades!$U$20,L247),1)*IF(Upgrades!$T$21="Local Bubble",POWER(Upgrades!$U$21,M247),1))+(IF(G247=0,0,(Upgrades!$J$15+G247*Upgrades!$K$15)*POWER(Upgrades!$L$15,G247)))*(IF(Upgrades!$T$13="Microlensing",POWER(Upgrades!$U$13,E247),1)*IF(Upgrades!$T$14="Microlensing",POWER(Upgrades!$U$14,F247),1)*IF(Upgrades!$T$16="Microlensing",POWER(Upgrades!$U$16,H247),1)*IF(Upgrades!$T$17="Microlensing",POWER(Upgrades!$U$17,I247),1)*IF(Upgrades!$T$18="Microlensing",POWER(Upgrades!$U$18,J247),1)*IF(Upgrades!$T$19="Microlensing",POWER(Upgrades!$U$19,K247),1)*IF(Upgrades!$T$20="Microlensing",POWER(Upgrades!$U$20,L247),1)*IF(Upgrades!$T$21="Microlensing",POWER(Upgrades!$U$21,M247),1))+(IF(H247=0,0,(Upgrades!$J$16+H247*Upgrades!$K$16)*POWER(Upgrades!$L$16,H247)))*(IF(Upgrades!$T$13="Roche Lobe Overflow",POWER(Upgrades!$U$13,E247),1)*IF(Upgrades!$T$14="Roche Lobe Overflow",POWER(Upgrades!$U$14,F247),1)*IF(Upgrades!$T$15="Roche Lobe Overflow",POWER(Upgrades!$U$15,G247),1)*IF(Upgrades!$T$17="Roche Lobe Overflow",POWER(Upgrades!$U$17,I247),1)*IF(Upgrades!$T$18="Roche Lobe Overflow",POWER(Upgrades!$U$18,J247),1)*IF(Upgrades!$T$19="Roche Lobe Overflow",POWER(Upgrades!$U$19,K247),1)*IF(Upgrades!$T$20="Roche Lobe Overflow",POWER(Upgrades!$U$20,L247),1)*IF(Upgrades!$T$21="Roche Lobe Overflow",POWER(Upgrades!$U$21,M247),1))+(IF(I247=0,0,(Upgrades!$J$17+I247*Upgrades!$K$17)*POWER(Upgrades!$L$17,I247)))*(IF(Upgrades!$T$13="Brown Dwarf",POWER(Upgrades!$U$13,E247),1)*IF(Upgrades!$T$14="Brown Dwarf",POWER(Upgrades!$U$14,F247),1)*IF(Upgrades!$T$15="Brown Dwarf",POWER(Upgrades!$U$15,G247),1)*IF(Upgrades!$T$16="Brown Dwarf",POWER(Upgrades!$U$16,H247),1)*IF(Upgrades!$T$18="Brown Dwarf",POWER(Upgrades!$U$18,J247),1)*IF(Upgrades!$T$19="Brown Dwarf",POWER(Upgrades!$U$19,K247),1)*IF(Upgrades!$T$20="Brown Dwarf",POWER(Upgrades!$U$20,L247),1)*IF(Upgrades!$T$21="Brown Dwarf",POWER(Upgrades!$U$21,M247),1))+(IF(J247=0,0,(Upgrades!$J$18+J247*Upgrades!$K$18)*POWER(Upgrades!$L$18,J247)))*(IF(Upgrades!$T$13="Binary Partner",POWER(Upgrades!$U$13,E247),1)*IF(Upgrades!$T$14="Binary Partner",POWER(Upgrades!$U$14,F247),1)*IF(Upgrades!$T$15="Binary Partner",POWER(Upgrades!$U$15,G247),1)*IF(Upgrades!$T$16="Binary Partner",POWER(Upgrades!$U$16,H247),1)*IF(Upgrades!$T$17="Binary Partner",POWER(Upgrades!$U$17,I247),1)*IF(Upgrades!$T$19="Binary Partner",POWER(Upgrades!$U$19,K247),1)*IF(Upgrades!$T$20="Binary Partner",POWER(Upgrades!$U$20,L247),1)*IF(Upgrades!$T$21="Binary Partner",POWER(Upgrades!$U$21,M247),1))+(IF(K247=0,0,(Upgrades!$J$19+K247*Upgrades!$K$19)*POWER(Upgrades!$L$19,K247)))*(IF(Upgrades!$T$13="Peculiar Velocity",POWER(Upgrades!$U$13,E247),1)*IF(Upgrades!$T$14="Peculiar Velocity",POWER(Upgrades!$U$14,F247),1)*IF(Upgrades!$T$15="Peculiar Velocity",POWER(Upgrades!$U$15,G247),1)*IF(Upgrades!$T$16="Peculiar Velocity",POWER(Upgrades!$U$16,H247),1)*IF(Upgrades!$T$17="Peculiar Velocity",POWER(Upgrades!$U$17,I247),1)*IF(Upgrades!$T$18="Peculiar Velocity",POWER(Upgrades!$U$18,J247),1)*IF(Upgrades!$T$20="Peculiar Velocity",POWER(Upgrades!$U$20,L247),1)*IF(Upgrades!$T$21="Peculiar Velocity",POWER(Upgrades!$U$21,M247),1))+(IF(L247=0,0,(Upgrades!$J$20+L247*Upgrades!$K$20)*POWER(Upgrades!$L$20,L247)))*(IF(Upgrades!$T$13="Open Cluster",POWER(Upgrades!$U$13,E247),1)*IF(Upgrades!$T$14="Open Cluster",POWER(Upgrades!$U$14,F247),1)*IF(Upgrades!$T$15="Open Cluster",POWER(Upgrades!$U$15,G247),1)*IF(Upgrades!$T$16="Open Cluster",POWER(Upgrades!$U$16,H247),1)*IF(Upgrades!$T$17="Open Cluster",POWER(Upgrades!$U$17,I247),1)*IF(Upgrades!$T$18="Open Cluster",POWER(Upgrades!$U$18,J247),1)*IF(Upgrades!$T$19="Open Cluster",POWER(Upgrades!$U$19,K247),1)*IF(Upgrades!$T$21="Open Cluster",POWER(Upgrades!$U$21,M247),1))+(IF(M247=0,0,(Upgrades!$J$21+M247*Upgrades!$K$21)*POWER(Upgrades!$L$21,M247)))*(IF(Upgrades!$T$13="Moving Group",POWER(Upgrades!$U$13,E247),1)*IF(Upgrades!$T$14="Moving Group",POWER(Upgrades!$U$14,F247),1)*IF(Upgrades!$T$15="Moving Group",POWER(Upgrades!$U$15,G247),1)*IF(Upgrades!$T$16="Moving Group",POWER(Upgrades!$U$16,H247),1)*IF(Upgrades!$T$17="Moving Group",POWER(Upgrades!$U$17,I247),1)*IF(Upgrades!$T$18="Moving Group",POWER(Upgrades!$U$18,J247),1)*IF(Upgrades!$T$19="Moving Group",POWER(Upgrades!$U$19,K247),1)*IF(Upgrades!$T$20="Moving Group",POWER(Upgrades!$U$20,L247),1)))*POWER(Upgrades!$Q$13,E247)*POWER(Upgrades!$Q$14,F247)*POWER(Upgrades!$Q$15,G247)*POWER(Upgrades!$Q$16,H247)*POWER(Upgrades!$Q$17,I247)*POWER(Upgrades!$Q$18,J247)*POWER(Upgrades!$Q$19,K247)*POWER(Upgrades!$Q$20,L247)*POWER(Upgrades!$Q$21,M247)*$G$6+$D$6</f>
        <v/>
      </c>
      <c r="P247" s="28">
        <f>((IF(E247=0,0,(Upgrades!$G$13+E247*Upgrades!$H$13)*POWER(Upgrades!$I$13,E247)))*(IF(Upgrades!$T$14="Stellar Kinematics",POWER(Upgrades!$U$14,F247),1)*IF(Upgrades!$T$15="Stellar Kinematics",POWER(Upgrades!$U$15,G247),1)*IF(Upgrades!$T$16="Stellar Kinematics",POWER(Upgrades!$U$16,H247),1)*IF(Upgrades!$T$17="Stellar Kinematics",POWER(Upgrades!$U$17,I247),1)*IF(Upgrades!$T$18="Stellar Kinematics",POWER(Upgrades!$U$18,J247),1)*IF(Upgrades!$T$19="Stellar Kinematics",POWER(Upgrades!$U$19,K247),1)*IF(Upgrades!$T$20="Stellar Kinematics",POWER(Upgrades!$U$20,L247),1)*IF(Upgrades!$T$21="Stellar Kinematics",POWER(Upgrades!$U$21,M247),1))+(IF(F247=0,0,(Upgrades!$G$14+F247*Upgrades!$H$14)*POWER(Upgrades!$I$14,F247)))*(IF(Upgrades!$T$13="Local Bubble",POWER(Upgrades!$U$13,E247),1)*IF(Upgrades!$T$15="Local Bubble",POWER(Upgrades!$U$15,G247),1)*IF(Upgrades!$T$16="Local Bubble",POWER(Upgrades!$U$16,H247),1)*IF(Upgrades!$T$17="Local Bubble",POWER(Upgrades!$U$17,I247),1)*IF(Upgrades!$T$18="Local Bubble",POWER(Upgrades!$U$18,J247),1)*IF(Upgrades!$T$19="Local Bubble",POWER(Upgrades!$U$19,K247),1)*IF(Upgrades!$T$20="Local Bubble",POWER(Upgrades!$U$20,L247),1)*IF(Upgrades!$T$21="Local Bubble",POWER(Upgrades!$U$21,M247),1))+(IF(G247=0,0,(Upgrades!$G$15+G247*Upgrades!$H$15)*POWER(Upgrades!$I$15,G247)))*(IF(Upgrades!$T$13="Microlensing",POWER(Upgrades!$U$13,E247),1)*IF(Upgrades!$T$14="Microlensing",POWER(Upgrades!$U$14,F247),1)*IF(Upgrades!$T$16="Microlensing",POWER(Upgrades!$U$16,H247),1)*IF(Upgrades!$T$17="Microlensing",POWER(Upgrades!$U$17,I247),1)*IF(Upgrades!$T$18="Microlensing",POWER(Upgrades!$U$18,J247),1)*IF(Upgrades!$T$19="Microlensing",POWER(Upgrades!$U$19,K247),1)*IF(Upgrades!$T$20="Microlensing",POWER(Upgrades!$U$20,L247),1)*IF(Upgrades!$T$21="Microlensing",POWER(Upgrades!$U$21,M247),1))+(IF(H247=0,0,(Upgrades!$G$16+H247*Upgrades!$H$16)*POWER(Upgrades!$I$16,H247)))*(IF(Upgrades!$T$13="Roche Lobe Overflow",POWER(Upgrades!$U$13,E247),1)*IF(Upgrades!$T$14="Roche Lobe Overflow",POWER(Upgrades!$U$14,F247),1)*IF(Upgrades!$T$15="Roche Lobe Overflow",POWER(Upgrades!$U$15,G247),1)*IF(Upgrades!$T$17="Roche Lobe Overflow",POWER(Upgrades!$U$17,I247),1)*IF(Upgrades!$T$18="Roche Lobe Overflow",POWER(Upgrades!$U$18,J247),1)*IF(Upgrades!$T$19="Roche Lobe Overflow",POWER(Upgrades!$U$19,K247),1)*IF(Upgrades!$T$20="Roche Lobe Overflow",POWER(Upgrades!$U$20,L247),1)*IF(Upgrades!$T$21="Roche Lobe Overflow",POWER(Upgrades!$U$21,M247),1))+(IF(I247=0,0,(Upgrades!$G$17+I247*Upgrades!$H$17)*POWER(Upgrades!$I$17,I247)))*(IF(Upgrades!$T$13="Brown Dwarf",POWER(Upgrades!$U$13,E247),1)*IF(Upgrades!$T$14="Brown Dwarf",POWER(Upgrades!$U$14,F247),1)*IF(Upgrades!$T$15="Brown Dwarf",POWER(Upgrades!$U$15,G247),1)*IF(Upgrades!$T$16="Brown Dwarf",POWER(Upgrades!$U$16,H247),1)*IF(Upgrades!$T$18="Brown Dwarf",POWER(Upgrades!$U$18,J247),1)*IF(Upgrades!$T$19="Brown Dwarf",POWER(Upgrades!$U$19,K247),1)*IF(Upgrades!$T$20="Brown Dwarf",POWER(Upgrades!$U$20,L247),1)*IF(Upgrades!$T$21="Brown Dwarf",POWER(Upgrades!$U$21,M247),1))+(IF(J247=0,0,(Upgrades!$G$18+J247*Upgrades!$H$18)*POWER(Upgrades!$I$18,J247)))*(IF(Upgrades!$T$13="Binary Partner",POWER(Upgrades!$U$13,E247),1)*IF(Upgrades!$T$14="Binary Partner",POWER(Upgrades!$U$14,F247),1)*IF(Upgrades!$T$15="Binary Partner",POWER(Upgrades!$U$15,G247),1)*IF(Upgrades!$T$16="Binary Partner",POWER(Upgrades!$U$16,H247),1)*IF(Upgrades!$T$17="Binary Partner",POWER(Upgrades!$U$17,I247),1)*IF(Upgrades!$T$19="Binary Partner",POWER(Upgrades!$U$19,K247),1)*IF(Upgrades!$T$20="Binary Partner",POWER(Upgrades!$U$20,L247),1)*IF(Upgrades!$T$21="Binary Partner",POWER(Upgrades!$U$21,M247),1))+(IF(K247=0,0,(Upgrades!$G$19+K247*Upgrades!$H$19)*POWER(Upgrades!$I$19,K247)))*(IF(Upgrades!$T$13="Peculiar Velocity",POWER(Upgrades!$U$13,E247),1)*IF(Upgrades!$T$14="Peculiar Velocity",POWER(Upgrades!$U$14,F247),1)*IF(Upgrades!$T$15="Peculiar Velocity",POWER(Upgrades!$U$15,G247),1)*IF(Upgrades!$T$16="Peculiar Velocity",POWER(Upgrades!$U$16,H247),1)*IF(Upgrades!$T$17="Peculiar Velocity",POWER(Upgrades!$U$17,I247),1)*IF(Upgrades!$T$18="Peculiar Velocity",POWER(Upgrades!$U$18,J247),1)*IF(Upgrades!$T$20="Peculiar Velocity",POWER(Upgrades!$U$20,L247),1)*IF(Upgrades!$T$21="Peculiar Velocity",POWER(Upgrades!$U$21,M247),1))+(IF(L247=0,0,(Upgrades!$G$20+L247*Upgrades!$H$20)*POWER(Upgrades!$I$20,L247)))*(IF(Upgrades!$T$13="Open Cluster",POWER(Upgrades!$U$13,E247),1)*IF(Upgrades!$T$14="Open Cluster",POWER(Upgrades!$U$14,F247),1)*IF(Upgrades!$T$15="Open Cluster",POWER(Upgrades!$U$15,G247),1)*IF(Upgrades!$T$16="Open Cluster",POWER(Upgrades!$U$16,H247),1)*IF(Upgrades!$T$17="Open Cluster",POWER(Upgrades!$U$17,I247),1)*IF(Upgrades!$T$18="Open Cluster",POWER(Upgrades!$U$18,J247),1)*IF(Upgrades!$T$19="Open Cluster",POWER(Upgrades!$U$19,K247),1)*IF(Upgrades!$T$21="Open Cluster",POWER(Upgrades!$U$21,M247),1))+(IF(M247=0,0,(Upgrades!$G$21+M247*Upgrades!$H$21)*POWER(Upgrades!$I$21,M247)))*(IF(Upgrades!$T$13="Moving Group",POWER(Upgrades!$U$13,E247),1)*IF(Upgrades!$T$14="Moving Group",POWER(Upgrades!$U$14,F247),1)*IF(Upgrades!$T$15="Moving Group",POWER(Upgrades!$U$15,G247),1)*IF(Upgrades!$T$16="Moving Group",POWER(Upgrades!$U$16,H247),1)*IF(Upgrades!$T$17="Moving Group",POWER(Upgrades!$U$17,I247),1)*IF(Upgrades!$T$18="Moving Group",POWER(Upgrades!$U$18,J247),1)*IF(Upgrades!$T$19="Moving Group",POWER(Upgrades!$U$19,K247),1)*IF(Upgrades!$T$20="Moving Group",POWER(Upgrades!$U$20,L247),1)))*POWER(Upgrades!$P$13,E247)*POWER(Upgrades!$P$14,F247)*POWER(Upgrades!$P$15,G247)*POWER(Upgrades!$P$16,H247)*POWER(Upgrades!$P$17,I247)*POWER(Upgrades!$P$18,J247)*POWER(Upgrades!$P$19,K247)*POWER(Upgrades!$P$20,L247)*POWER(Upgrades!$P$21,M247)*$F$6+$C$6</f>
        <v/>
      </c>
      <c r="Q247" s="28">
        <f>((IF(E247=0,0,(Upgrades!$M$13+E247*Upgrades!$N$13)*POWER(Upgrades!$O$13,E247)))*(IF(Upgrades!$T$14="Stellar Kinematics",POWER(Upgrades!$U$14,F247),1)*IF(Upgrades!$T$15="Stellar Kinematics",POWER(Upgrades!$U$15,G247),1)*IF(Upgrades!$T$16="Stellar Kinematics",POWER(Upgrades!$U$16,H247),1)*IF(Upgrades!$T$17="Stellar Kinematics",POWER(Upgrades!$U$17,I247),1)*IF(Upgrades!$T$18="Stellar Kinematics",POWER(Upgrades!$U$18,J247),1)*IF(Upgrades!$T$19="Stellar Kinematics",POWER(Upgrades!$U$19,K247),1)*IF(Upgrades!$T$20="Stellar Kinematics",POWER(Upgrades!$U$20,L247),1)*IF(Upgrades!$T$21="Stellar Kinematics",POWER(Upgrades!$U$21,M247),1))+(IF(F247=0,0,(Upgrades!$M$14+F247*Upgrades!$N$14)*POWER(Upgrades!$O$14,F247)))*(IF(Upgrades!$T$13="Local Bubble",POWER(Upgrades!$U$13,E247),1)*IF(Upgrades!$T$15="Local Bubble",POWER(Upgrades!$U$15,G247),1)*IF(Upgrades!$T$16="Local Bubble",POWER(Upgrades!$U$16,H247),1)*IF(Upgrades!$T$17="Local Bubble",POWER(Upgrades!$U$17,I247),1)*IF(Upgrades!$T$18="Local Bubble",POWER(Upgrades!$U$18,J247),1)*IF(Upgrades!$T$19="Local Bubble",POWER(Upgrades!$U$19,K247),1)*IF(Upgrades!$T$20="Local Bubble",POWER(Upgrades!$U$20,L247),1)*IF(Upgrades!$T$21="Local Bubble",POWER(Upgrades!$U$21,M247),1))+(IF(G247=0,0,(Upgrades!$M$15+G247*Upgrades!$N$15)*POWER(Upgrades!$O$15,G247)))*(IF(Upgrades!$T$13="Microlensing",POWER(Upgrades!$U$13,E247),1)*IF(Upgrades!$T$14="Microlensing",POWER(Upgrades!$U$14,F247),1)*IF(Upgrades!$T$16="Microlensing",POWER(Upgrades!$U$16,H247),1)*IF(Upgrades!$T$17="Microlensing",POWER(Upgrades!$U$17,I247),1)*IF(Upgrades!$T$18="Microlensing",POWER(Upgrades!$U$18,J247),1)*IF(Upgrades!$T$19="Microlensing",POWER(Upgrades!$U$19,K247),1)*IF(Upgrades!$T$20="Microlensing",POWER(Upgrades!$U$20,L247),1)*IF(Upgrades!$T$21="Microlensing",POWER(Upgrades!$U$21,M247),1))+(IF(H247=0,0,(Upgrades!$M$16+H247*Upgrades!$N$16)*POWER(Upgrades!$O$16,H247)))*(IF(Upgrades!$T$13="Roche Lobe Overflow",POWER(Upgrades!$U$13,E247),1)*IF(Upgrades!$T$14="Roche Lobe Overflow",POWER(Upgrades!$U$14,F247),1)*IF(Upgrades!$T$15="Roche Lobe Overflow",POWER(Upgrades!$U$15,G247),1)*IF(Upgrades!$T$17="Roche Lobe Overflow",POWER(Upgrades!$U$17,I247),1)*IF(Upgrades!$T$18="Roche Lobe Overflow",POWER(Upgrades!$U$18,J247),1)*IF(Upgrades!$T$19="Roche Lobe Overflow",POWER(Upgrades!$U$19,K247),1)*IF(Upgrades!$T$20="Roche Lobe Overflow",POWER(Upgrades!$U$20,L247),1)*IF(Upgrades!$T$21="Roche Lobe Overflow",POWER(Upgrades!$U$21,M247),1))+(IF(I247=0,0,(Upgrades!$M$17+I247*Upgrades!$N$17)*POWER(Upgrades!$O$17,I247)))*(IF(Upgrades!$T$13="Brown Dwarf",POWER(Upgrades!$U$13,E247),1)*IF(Upgrades!$T$14="Brown Dwarf",POWER(Upgrades!$U$14,F247),1)*IF(Upgrades!$T$15="Brown Dwarf",POWER(Upgrades!$U$15,G247),1)*IF(Upgrades!$T$16="Brown Dwarf",POWER(Upgrades!$U$16,H247),1)*IF(Upgrades!$T$18="Brown Dwarf",POWER(Upgrades!$U$18,J247),1)*IF(Upgrades!$T$19="Brown Dwarf",POWER(Upgrades!$U$19,K247),1)*IF(Upgrades!$T$20="Brown Dwarf",POWER(Upgrades!$U$20,L247),1)*IF(Upgrades!$T$21="Brown Dwarf",POWER(Upgrades!$U$21,M247),1))+(IF(J247=0,0,(Upgrades!$M$18+J247*Upgrades!$N$18)*POWER(Upgrades!$O$18,J247)))*(IF(Upgrades!$T$13="Binary Partner",POWER(Upgrades!$U$13,E247),1)*IF(Upgrades!$T$14="Binary Partner",POWER(Upgrades!$U$14,F247),1)*IF(Upgrades!$T$15="Binary Partner",POWER(Upgrades!$U$15,G247),1)*IF(Upgrades!$T$16="Binary Partner",POWER(Upgrades!$U$16,H247),1)*IF(Upgrades!$T$17="Binary Partner",POWER(Upgrades!$U$17,I247),1)*IF(Upgrades!$T$19="Binary Partner",POWER(Upgrades!$U$19,K247),1)*IF(Upgrades!$T$20="Binary Partner",POWER(Upgrades!$U$20,L247),1)*IF(Upgrades!$T$21="Binary Partner",POWER(Upgrades!$U$21,M247),1))+(IF(K247=0,0,(Upgrades!$M$19+K247*Upgrades!$N$19)*POWER(Upgrades!$O$19,K247)))*(IF(Upgrades!$T$13="Peculiar Velocity",POWER(Upgrades!$U$13,E247),1)*IF(Upgrades!$T$14="Peculiar Velocity",POWER(Upgrades!$U$14,F247),1)*IF(Upgrades!$T$15="Peculiar Velocity",POWER(Upgrades!$U$15,G247),1)*IF(Upgrades!$T$16="Peculiar Velocity",POWER(Upgrades!$U$16,H247),1)*IF(Upgrades!$T$17="Peculiar Velocity",POWER(Upgrades!$U$17,I247),1)*IF(Upgrades!$T$18="Peculiar Velocity",POWER(Upgrades!$U$18,J247),1)*IF(Upgrades!$T$20="Peculiar Velocity",POWER(Upgrades!$U$20,L247),1)*IF(Upgrades!$T$21="Peculiar Velocity",POWER(Upgrades!$U$21,M247),1))+(IF(L247=0,0,(Upgrades!$M$20+L247*Upgrades!$N$20)*POWER(Upgrades!$O$20,L247)))*(IF(Upgrades!$T$13="Open Cluster",POWER(Upgrades!$U$13,E247),1)*IF(Upgrades!$T$14="Open Cluster",POWER(Upgrades!$U$14,F247),1)*IF(Upgrades!$T$15="Open Cluster",POWER(Upgrades!$U$15,G247),1)*IF(Upgrades!$T$16="Open Cluster",POWER(Upgrades!$U$16,H247),1)*IF(Upgrades!$T$17="Open Cluster",POWER(Upgrades!$U$17,I247),1)*IF(Upgrades!$T$18="Open Cluster",POWER(Upgrades!$U$18,J247),1)*IF(Upgrades!$T$19="Open Cluster",POWER(Upgrades!$U$19,K247),1)*IF(Upgrades!$T$21="Open Cluster",POWER(Upgrades!$U$21,M247),1))+(IF(M247=0,0,(Upgrades!$M$21+M247*Upgrades!$N$21)*POWER(Upgrades!$O$21,M247)))*(IF(Upgrades!$T$13="Moving Group",POWER(Upgrades!$U$13,E247),1)*IF(Upgrades!$T$14="Moving Group",POWER(Upgrades!$U$14,F247),1)*IF(Upgrades!$T$15="Moving Group",POWER(Upgrades!$U$15,G247),1)*IF(Upgrades!$T$16="Moving Group",POWER(Upgrades!$U$16,H247),1)*IF(Upgrades!$T$17="Moving Group",POWER(Upgrades!$U$17,I247),1)*IF(Upgrades!$T$18="Moving Group",POWER(Upgrades!$U$18,J247),1)*IF(Upgrades!$T$19="Moving Group",POWER(Upgrades!$U$19,K247),1)*IF(Upgrades!$T$20="Moving Group",POWER(Upgrades!$U$20,L247),1)))*POWER(Upgrades!$R$13,E247)*POWER(Upgrades!$R$14,F247)*POWER(Upgrades!$R$15,G247)*POWER(Upgrades!$R$16,H247)*POWER(Upgrades!$R$17,I247)*POWER(Upgrades!$R$18,J247)*POWER(Upgrades!$R$19,K247)*POWER(Upgrades!$R$20,L247)*POWER(Upgrades!$R$21,M247)*$H$6+$E$6</f>
        <v/>
      </c>
      <c r="R247" s="27">
        <f>IF(N247=1,0,O247*Parameters!$B$10/60*Parameters!$B$11*10)</f>
        <v/>
      </c>
      <c r="S247" s="27">
        <f>IF(N247=1,0,Q247*O247*10)</f>
        <v/>
      </c>
      <c r="T247" s="27">
        <f>IF(N247=1,0,R247+S247+P247*10)</f>
        <v/>
      </c>
      <c r="U247" s="33">
        <f>BE247</f>
        <v/>
      </c>
      <c r="V247" s="22">
        <f>IF(U247="",0,IF(U247="transition",0,IF(U247="SK",AK247,IF(U247="LB",AL247,IF(U247="ML",AM247,IF(U247="RLO",AN247,IF(U247="BD",AO247,IF(U247="BiP",AP247,IF(U247="PV",AQ247,IF(U247="OC",AR247,IF(U247="MG",AS247,0))))))))))</f>
        <v/>
      </c>
      <c r="W247" s="27">
        <f>IF(U247="BiP",Upgrades!$F$18,IF(U247="PV",Upgrades!$F$19,IF(U247="OC",Upgrades!$F$20,IF(U247="MG",Upgrades!$F$21,IF(U247="transition",-Parameters!$B$18*Parameters!$B$19,0)))))</f>
        <v/>
      </c>
      <c r="X247" s="22">
        <f>C247+T247-V247</f>
        <v/>
      </c>
      <c r="Y247" s="30">
        <f>O247*Parameters!$B$10/60*Parameters!$B$11+Q247*O247+P247</f>
        <v/>
      </c>
      <c r="Z247" s="34">
        <f>IF(U247="transition","→ Tier 3 (Galactic Arm)",IF(U247="MG","Moving Group — pocket drifts together",IF(U247="OC","Open Cluster acquired",IF(U247="PV","Peculiar Velocity — passive multiplier active",IF(U247="BiP","Binary Partner — pair bond formed",IF(AND(AU247=1,N247=0,AT247&lt;&gt;1),"Cohesion ready (waiting on completionists)","")))))) </f>
        <v/>
      </c>
      <c r="AA247" s="27">
        <f>(IF(E247=0,0,(Upgrades!$G$13+E247*Upgrades!$H$13)*POWER(Upgrades!$I$13,E247)))*(IF(Upgrades!$T$14="Stellar Kinematics",POWER(Upgrades!$U$14,F247),1)*IF(Upgrades!$T$15="Stellar Kinematics",POWER(Upgrades!$U$15,G247),1)*IF(Upgrades!$T$16="Stellar Kinematics",POWER(Upgrades!$U$16,H247),1)*IF(Upgrades!$T$17="Stellar Kinematics",POWER(Upgrades!$U$17,I247),1)*IF(Upgrades!$T$18="Stellar Kinematics",POWER(Upgrades!$U$18,J247),1)*IF(Upgrades!$T$19="Stellar Kinematics",POWER(Upgrades!$U$19,K247),1)*IF(Upgrades!$T$20="Stellar Kinematics",POWER(Upgrades!$U$20,L247),1)*IF(Upgrades!$T$21="Stellar Kinematics",POWER(Upgrades!$U$21,M247),1))*POWER(Upgrades!$P$13,E247)*POWER(Upgrades!$P$14,F247)*POWER(Upgrades!$P$15,G247)*POWER(Upgrades!$P$16,H247)*POWER(Upgrades!$P$17,I247)*POWER(Upgrades!$P$18,J247)*POWER(Upgrades!$P$19,K247)*POWER(Upgrades!$P$20,L247)*POWER(Upgrades!$P$21,M247)*$F$6*60</f>
        <v/>
      </c>
      <c r="AB247" s="27">
        <f>(IF(F247=0,0,(Upgrades!$G$14+F247*Upgrades!$H$14)*POWER(Upgrades!$I$14,F247)))*(IF(Upgrades!$T$13="Local Bubble",POWER(Upgrades!$U$13,E247),1)*IF(Upgrades!$T$15="Local Bubble",POWER(Upgrades!$U$15,G247),1)*IF(Upgrades!$T$16="Local Bubble",POWER(Upgrades!$U$16,H247),1)*IF(Upgrades!$T$17="Local Bubble",POWER(Upgrades!$U$17,I247),1)*IF(Upgrades!$T$18="Local Bubble",POWER(Upgrades!$U$18,J247),1)*IF(Upgrades!$T$19="Local Bubble",POWER(Upgrades!$U$19,K247),1)*IF(Upgrades!$T$20="Local Bubble",POWER(Upgrades!$U$20,L247),1)*IF(Upgrades!$T$21="Local Bubble",POWER(Upgrades!$U$21,M247),1))*POWER(Upgrades!$P$13,E247)*POWER(Upgrades!$P$14,F247)*POWER(Upgrades!$P$15,G247)*POWER(Upgrades!$P$16,H247)*POWER(Upgrades!$P$17,I247)*POWER(Upgrades!$P$18,J247)*POWER(Upgrades!$P$19,K247)*POWER(Upgrades!$P$20,L247)*POWER(Upgrades!$P$21,M247)*$F$6*60</f>
        <v/>
      </c>
      <c r="AC247" s="27">
        <f>(IF(G247=0,0,(Upgrades!$J$15+G247*Upgrades!$K$15)*POWER(Upgrades!$L$15,G247)))*(IF(Upgrades!$T$13="Microlensing",POWER(Upgrades!$U$13,E247),1)*IF(Upgrades!$T$14="Microlensing",POWER(Upgrades!$U$14,F247),1)*IF(Upgrades!$T$16="Microlensing",POWER(Upgrades!$U$16,H247),1)*IF(Upgrades!$T$17="Microlensing",POWER(Upgrades!$U$17,I247),1)*IF(Upgrades!$T$18="Microlensing",POWER(Upgrades!$U$18,J247),1)*IF(Upgrades!$T$19="Microlensing",POWER(Upgrades!$U$19,K247),1)*IF(Upgrades!$T$20="Microlensing",POWER(Upgrades!$U$20,L247),1)*IF(Upgrades!$T$21="Microlensing",POWER(Upgrades!$U$21,M247),1))*POWER(Upgrades!$Q$13,E247)*POWER(Upgrades!$Q$14,F247)*POWER(Upgrades!$Q$15,G247)*POWER(Upgrades!$Q$16,H247)*POWER(Upgrades!$Q$17,I247)*POWER(Upgrades!$Q$18,J247)*POWER(Upgrades!$Q$19,K247)*POWER(Upgrades!$Q$20,L247)*POWER(Upgrades!$Q$21,M247)*$G$6*(Parameters!$B$10*Parameters!$B$11+Q247*60)</f>
        <v/>
      </c>
      <c r="AD247" s="27">
        <f>(IF(H247=0,0,(Upgrades!$M$16+H247*Upgrades!$N$16)*POWER(Upgrades!$O$16,H247)))*(IF(Upgrades!$T$13="Roche Lobe Overflow",POWER(Upgrades!$U$13,E247),1)*IF(Upgrades!$T$14="Roche Lobe Overflow",POWER(Upgrades!$U$14,F247),1)*IF(Upgrades!$T$15="Roche Lobe Overflow",POWER(Upgrades!$U$15,G247),1)*IF(Upgrades!$T$17="Roche Lobe Overflow",POWER(Upgrades!$U$17,I247),1)*IF(Upgrades!$T$18="Roche Lobe Overflow",POWER(Upgrades!$U$18,J247),1)*IF(Upgrades!$T$19="Roche Lobe Overflow",POWER(Upgrades!$U$19,K247),1)*IF(Upgrades!$T$20="Roche Lobe Overflow",POWER(Upgrades!$U$20,L247),1)*IF(Upgrades!$T$21="Roche Lobe Overflow",POWER(Upgrades!$U$21,M247),1))*POWER(Upgrades!$R$13,E247)*POWER(Upgrades!$R$14,F247)*POWER(Upgrades!$R$15,G247)*POWER(Upgrades!$R$16,H247)*POWER(Upgrades!$R$17,I247)*POWER(Upgrades!$R$18,J247)*POWER(Upgrades!$R$19,K247)*POWER(Upgrades!$R$20,L247)*POWER(Upgrades!$R$21,M247)*$H$6*O247*60</f>
        <v/>
      </c>
      <c r="AE247" s="27">
        <f>(IF(I247=0,0,(Upgrades!$G$17+I247*Upgrades!$H$17)*POWER(Upgrades!$I$17,I247)))*(IF(Upgrades!$T$13="Brown Dwarf",POWER(Upgrades!$U$13,E247),1)*IF(Upgrades!$T$14="Brown Dwarf",POWER(Upgrades!$U$14,F247),1)*IF(Upgrades!$T$15="Brown Dwarf",POWER(Upgrades!$U$15,G247),1)*IF(Upgrades!$T$16="Brown Dwarf",POWER(Upgrades!$U$16,H247),1)*IF(Upgrades!$T$18="Brown Dwarf",POWER(Upgrades!$U$18,J247),1)*IF(Upgrades!$T$19="Brown Dwarf",POWER(Upgrades!$U$19,K247),1)*IF(Upgrades!$T$20="Brown Dwarf",POWER(Upgrades!$U$20,L247),1)*IF(Upgrades!$T$21="Brown Dwarf",POWER(Upgrades!$U$21,M247),1))*POWER(Upgrades!$P$13,E247)*POWER(Upgrades!$P$14,F247)*POWER(Upgrades!$P$15,G247)*POWER(Upgrades!$P$16,H247)*POWER(Upgrades!$P$17,I247)*POWER(Upgrades!$P$18,J247)*POWER(Upgrades!$P$19,K247)*POWER(Upgrades!$P$20,L247)*POWER(Upgrades!$P$21,M247)*$F$6*60</f>
        <v/>
      </c>
      <c r="AF247" s="27" t="n">
        <v>0</v>
      </c>
      <c r="AG247" s="27" t="n">
        <v>0</v>
      </c>
      <c r="AH247" s="27" t="n">
        <v>0</v>
      </c>
      <c r="AI247" s="27">
        <f>(IF(M247=0,0,(Upgrades!$G$21+M247*Upgrades!$H$21)*POWER(Upgrades!$I$21,M247)))*(IF(Upgrades!$T$13="Moving Group",POWER(Upgrades!$U$13,E247),1)*IF(Upgrades!$T$14="Moving Group",POWER(Upgrades!$U$14,F247),1)*IF(Upgrades!$T$15="Moving Group",POWER(Upgrades!$U$15,G247),1)*IF(Upgrades!$T$16="Moving Group",POWER(Upgrades!$U$16,H247),1)*IF(Upgrades!$T$17="Moving Group",POWER(Upgrades!$U$17,I247),1)*IF(Upgrades!$T$18="Moving Group",POWER(Upgrades!$U$18,J247),1)*IF(Upgrades!$T$19="Moving Group",POWER(Upgrades!$U$19,K247),1)*IF(Upgrades!$T$20="Moving Group",POWER(Upgrades!$U$20,L247),1))*POWER(Upgrades!$P$13,E247)*POWER(Upgrades!$P$14,F247)*POWER(Upgrades!$P$15,G247)*POWER(Upgrades!$P$16,H247)*POWER(Upgrades!$P$17,I247)*POWER(Upgrades!$P$18,J247)*POWER(Upgrades!$P$19,K247)*POWER(Upgrades!$P$20,L247)*POWER(Upgrades!$P$21,M247)*$F$6*60</f>
        <v/>
      </c>
      <c r="AJ247" s="27">
        <f>$C$6*60</f>
        <v/>
      </c>
      <c r="AK247" s="22">
        <f>IF(E247&gt;=Upgrades!$E$13,"",Upgrades!$C$13*POWER(Upgrades!$D$13,E247))</f>
        <v/>
      </c>
      <c r="AL247" s="22">
        <f>IF(F247&gt;=Upgrades!$E$14,"",Upgrades!$C$14*POWER(Upgrades!$D$14,F247))</f>
        <v/>
      </c>
      <c r="AM247" s="22">
        <f>IF(G247&gt;=Upgrades!$E$15,"",Upgrades!$C$15*POWER(Upgrades!$D$15,G247))</f>
        <v/>
      </c>
      <c r="AN247" s="22">
        <f>IF(H247&gt;=Upgrades!$E$16,"",Upgrades!$C$16*POWER(Upgrades!$D$16,H247))</f>
        <v/>
      </c>
      <c r="AO247" s="22">
        <f>IF(I247&gt;=Upgrades!$E$17,"",Upgrades!$C$17*POWER(Upgrades!$D$17,I247))</f>
        <v/>
      </c>
      <c r="AP247" s="22">
        <f>IF(J247&gt;=Upgrades!$E$18,"",Upgrades!$C$18*POWER(Upgrades!$D$18,J247))</f>
        <v/>
      </c>
      <c r="AQ247" s="22">
        <f>IF(K247&gt;=Upgrades!$E$19,"",Upgrades!$C$19*POWER(Upgrades!$D$19,K247))</f>
        <v/>
      </c>
      <c r="AR247" s="22">
        <f>IF(L247&gt;=Upgrades!$E$20,"",Upgrades!$C$20*POWER(Upgrades!$D$20,L247))</f>
        <v/>
      </c>
      <c r="AS247" s="22">
        <f>IF(M247&gt;=Upgrades!$E$21,"",Upgrades!$C$21*POWER(Upgrades!$D$21,M247))</f>
        <v/>
      </c>
      <c r="AT247" s="26">
        <f>IF(AND(D247&gt;=Parameters!$B$18*Parameters!$B$19,(I247&gt;=Upgrades!$E$17)*(M247&gt;=Upgrades!$E$21)=1,N247=0),1,"")</f>
        <v/>
      </c>
      <c r="AU247" s="26">
        <f>IF(AND(D247&gt;=Parameters!$B$18*Parameters!$B$19,N247=0),1,"")</f>
        <v/>
      </c>
      <c r="AV247" s="22">
        <f>MIN(IF(ISNUMBER(AP247),AP247,9E15),IF(ISNUMBER(AQ247),AQ247,9E15),IF(ISNUMBER(AR247),AR247,9E15),IF(ISNUMBER(AS247),AS247,9E15))</f>
        <v/>
      </c>
      <c r="AW247" s="22">
        <f>MIN(IF(ISNUMBER(AK247),AK247,9E15),IF(ISNUMBER(AL247),AL247,9E15),IF(ISNUMBER(AM247),AM247,9E15),IF(ISNUMBER(AN247),AN247,9E15),IF(ISNUMBER(AO247),AO247,9E15))</f>
        <v/>
      </c>
      <c r="AX247" s="29">
        <f>IF(BD247&gt;Parameters!$B$21*(MAX(IF(AND(NOT(AND(AU247=1,AT247&lt;&gt;1)),ISNUMBER(AK247),AK247&lt;=(C247+T247)),AY247,0),IF(AND(NOT(AND(AU247=1,AT247&lt;&gt;1)),ISNUMBER(AL247),AL247&lt;=(C247+T247)),AZ247,0),IF(AND(NOT(AND(AU247=1,AT247&lt;&gt;1)),ISNUMBER(AM247),AM247&lt;=(C247+T247)),BA247,0),IF(AND(NOT(AND(AU247=1,AT247&lt;&gt;1)),ISNUMBER(AN247),AN247&lt;=(C247+T247)),BB247,0),IF(AND(ISNUMBER(AO247),AO247&lt;=(C247+T247)),BC247,0))),TRUE,FALSE)</f>
        <v/>
      </c>
      <c r="AY247" s="32">
        <f>IFERROR(Upgrades!$H$13*(POWER(Upgrades!$P$13,E247)*POWER(Upgrades!$P$14,F247)*POWER(Upgrades!$P$15,G247)*POWER(Upgrades!$P$16,H247)*POWER(Upgrades!$P$17,I247)*POWER(Upgrades!$P$18,J247)*POWER(Upgrades!$P$19,K247)*POWER(Upgrades!$P$20,L247)*POWER(Upgrades!$P$21,M247))*(IF(Upgrades!$T$14="Stellar Kinematics",POWER(Upgrades!$U$14,F247),1)*IF(Upgrades!$T$15="Stellar Kinematics",POWER(Upgrades!$U$15,G247),1)*IF(Upgrades!$T$16="Stellar Kinematics",POWER(Upgrades!$U$16,H247),1)*IF(Upgrades!$T$17="Stellar Kinematics",POWER(Upgrades!$U$17,I247),1)*IF(Upgrades!$T$18="Stellar Kinematics",POWER(Upgrades!$U$18,J247),1)*IF(Upgrades!$T$19="Stellar Kinematics",POWER(Upgrades!$U$19,K247),1)*IF(Upgrades!$T$20="Stellar Kinematics",POWER(Upgrades!$U$20,L247),1)*IF(Upgrades!$T$21="Stellar Kinematics",POWER(Upgrades!$U$21,M247),1))*$F$6/AK247,0)</f>
        <v/>
      </c>
      <c r="AZ247" s="32">
        <f>IFERROR(Upgrades!$H$14*(POWER(Upgrades!$P$13,E247)*POWER(Upgrades!$P$14,F247)*POWER(Upgrades!$P$15,G247)*POWER(Upgrades!$P$16,H247)*POWER(Upgrades!$P$17,I247)*POWER(Upgrades!$P$18,J247)*POWER(Upgrades!$P$19,K247)*POWER(Upgrades!$P$20,L247)*POWER(Upgrades!$P$21,M247))*(IF(Upgrades!$T$13="Local Bubble",POWER(Upgrades!$U$13,E247),1)*IF(Upgrades!$T$15="Local Bubble",POWER(Upgrades!$U$15,G247),1)*IF(Upgrades!$T$16="Local Bubble",POWER(Upgrades!$U$16,H247),1)*IF(Upgrades!$T$17="Local Bubble",POWER(Upgrades!$U$17,I247),1)*IF(Upgrades!$T$18="Local Bubble",POWER(Upgrades!$U$18,J247),1)*IF(Upgrades!$T$19="Local Bubble",POWER(Upgrades!$U$19,K247),1)*IF(Upgrades!$T$20="Local Bubble",POWER(Upgrades!$U$20,L247),1)*IF(Upgrades!$T$21="Local Bubble",POWER(Upgrades!$U$21,M247),1))*$F$6/AL247,0)</f>
        <v/>
      </c>
      <c r="BA247" s="32">
        <f>IFERROR(Upgrades!$K$15*(POWER(Upgrades!$Q$13,E247)*POWER(Upgrades!$Q$14,F247)*POWER(Upgrades!$Q$15,G247)*POWER(Upgrades!$Q$16,H247)*POWER(Upgrades!$Q$17,I247)*POWER(Upgrades!$Q$18,J247)*POWER(Upgrades!$Q$19,K247)*POWER(Upgrades!$Q$20,L247)*POWER(Upgrades!$Q$21,M247))*(IF(Upgrades!$T$13="Microlensing",POWER(Upgrades!$U$13,E247),1)*IF(Upgrades!$T$14="Microlensing",POWER(Upgrades!$U$14,F247),1)*IF(Upgrades!$T$16="Microlensing",POWER(Upgrades!$U$16,H247),1)*IF(Upgrades!$T$17="Microlensing",POWER(Upgrades!$U$17,I247),1)*IF(Upgrades!$T$18="Microlensing",POWER(Upgrades!$U$18,J247),1)*IF(Upgrades!$T$19="Microlensing",POWER(Upgrades!$U$19,K247),1)*IF(Upgrades!$T$20="Microlensing",POWER(Upgrades!$U$20,L247),1)*IF(Upgrades!$T$21="Microlensing",POWER(Upgrades!$U$21,M247),1))*$G$6*(Parameters!$B$10/60*Parameters!$B$11+Q247)/AM247,0)</f>
        <v/>
      </c>
      <c r="BB247" s="32">
        <f>IFERROR((Upgrades!$N$16*(POWER(Upgrades!$R$13,E247)*POWER(Upgrades!$R$14,F247)*POWER(Upgrades!$R$15,G247)*POWER(Upgrades!$R$16,H247)*POWER(Upgrades!$R$17,I247)*POWER(Upgrades!$R$18,J247)*POWER(Upgrades!$R$19,K247)*POWER(Upgrades!$R$20,L247)*POWER(Upgrades!$R$21,M247))*(IF(Upgrades!$T$13="Roche Lobe Overflow",POWER(Upgrades!$U$13,E247),1)*IF(Upgrades!$T$14="Roche Lobe Overflow",POWER(Upgrades!$U$14,F247),1)*IF(Upgrades!$T$15="Roche Lobe Overflow",POWER(Upgrades!$U$15,G247),1)*IF(Upgrades!$T$17="Roche Lobe Overflow",POWER(Upgrades!$U$17,I247),1)*IF(Upgrades!$T$18="Roche Lobe Overflow",POWER(Upgrades!$U$18,J247),1)*IF(Upgrades!$T$19="Roche Lobe Overflow",POWER(Upgrades!$U$19,K247),1)*IF(Upgrades!$T$20="Roche Lobe Overflow",POWER(Upgrades!$U$20,L247),1)*IF(Upgrades!$T$21="Roche Lobe Overflow",POWER(Upgrades!$U$21,M247),1))*$H$6*O247+((IF(F247=0,0,(Upgrades!$G$14+F247*Upgrades!$H$14)*POWER(Upgrades!$I$14,F247)))*(IF(Upgrades!$T$13="Local Bubble",POWER(Upgrades!$U$13,E247),1)*IF(Upgrades!$T$15="Local Bubble",POWER(Upgrades!$U$15,G247),1)*IF(Upgrades!$T$16="Local Bubble",POWER(Upgrades!$U$16,H247),1)*IF(Upgrades!$T$17="Local Bubble",POWER(Upgrades!$U$17,I247),1)*IF(Upgrades!$T$18="Local Bubble",POWER(Upgrades!$U$18,J247),1)*IF(Upgrades!$T$19="Local Bubble",POWER(Upgrades!$U$19,K247),1)*IF(Upgrades!$T$20="Local Bubble",POWER(Upgrades!$U$20,L247),1)*IF(Upgrades!$T$21="Local Bubble",POWER(Upgrades!$U$21,M247),1))*POWER(Upgrades!$P$13,E247)*POWER(Upgrades!$P$14,F247)*POWER(Upgrades!$P$15,G247)*POWER(Upgrades!$P$16,H247)*POWER(Upgrades!$P$17,I247)*POWER(Upgrades!$P$18,J247)*POWER(Upgrades!$P$19,K247)*POWER(Upgrades!$P$20,L247)*POWER(Upgrades!$P$21,M247)*$F$6)*0.05)/AN247,0)</f>
        <v/>
      </c>
      <c r="BC247" s="32">
        <f>IFERROR((Upgrades!$H$17*(POWER(Upgrades!$P$13,E247)*POWER(Upgrades!$P$14,F247)*POWER(Upgrades!$P$15,G247)*POWER(Upgrades!$P$16,H247)*POWER(Upgrades!$P$17,I247)*POWER(Upgrades!$P$18,J247)*POWER(Upgrades!$P$19,K247)*POWER(Upgrades!$P$20,L247)*POWER(Upgrades!$P$21,M247))*(IF(Upgrades!$T$13="Brown Dwarf",POWER(Upgrades!$U$13,E247),1)*IF(Upgrades!$T$14="Brown Dwarf",POWER(Upgrades!$U$14,F247),1)*IF(Upgrades!$T$15="Brown Dwarf",POWER(Upgrades!$U$15,G247),1)*IF(Upgrades!$T$16="Brown Dwarf",POWER(Upgrades!$U$16,H247),1)*IF(Upgrades!$T$18="Brown Dwarf",POWER(Upgrades!$U$18,J247),1)*IF(Upgrades!$T$19="Brown Dwarf",POWER(Upgrades!$U$19,K247),1)*IF(Upgrades!$T$20="Brown Dwarf",POWER(Upgrades!$U$20,L247),1)*IF(Upgrades!$T$21="Brown Dwarf",POWER(Upgrades!$U$21,M247),1))*$F$6+(((IF(H247=0,0,(Upgrades!$M$16+H247*Upgrades!$N$16)*POWER(Upgrades!$O$16,H247)))*(IF(Upgrades!$T$13="Roche Lobe Overflow",POWER(Upgrades!$U$13,E247),1)*IF(Upgrades!$T$14="Roche Lobe Overflow",POWER(Upgrades!$U$14,F247),1)*IF(Upgrades!$T$15="Roche Lobe Overflow",POWER(Upgrades!$U$15,G247),1)*IF(Upgrades!$T$17="Roche Lobe Overflow",POWER(Upgrades!$U$17,I247),1)*IF(Upgrades!$T$18="Roche Lobe Overflow",POWER(Upgrades!$U$18,J247),1)*IF(Upgrades!$T$19="Roche Lobe Overflow",POWER(Upgrades!$U$19,K247),1)*IF(Upgrades!$T$20="Roche Lobe Overflow",POWER(Upgrades!$U$20,L247),1)*IF(Upgrades!$T$21="Roche Lobe Overflow",POWER(Upgrades!$U$21,M247),1))*POWER(Upgrades!$R$13,E247)*POWER(Upgrades!$R$14,F247)*POWER(Upgrades!$R$15,G247)*POWER(Upgrades!$R$16,H247)*POWER(Upgrades!$R$17,I247)*POWER(Upgrades!$R$18,J247)*POWER(Upgrades!$R$19,K247)*POWER(Upgrades!$R$20,L247)*POWER(Upgrades!$R$21,M247)*$H$6)*O247)*0.10)/AO247,0)</f>
        <v/>
      </c>
      <c r="BD247" s="32">
        <f>MAX(IF(J247&gt;0,0,IFERROR(0.5*((IF(G247=0,0,(Upgrades!$J$15+G247*Upgrades!$K$15)*POWER(Upgrades!$L$15,G247)))*(IF(Upgrades!$T$13="Microlensing",POWER(Upgrades!$U$13,E247),1)*IF(Upgrades!$T$14="Microlensing",POWER(Upgrades!$U$14,F247),1)*IF(Upgrades!$T$16="Microlensing",POWER(Upgrades!$U$16,H247),1)*IF(Upgrades!$T$17="Microlensing",POWER(Upgrades!$U$17,I247),1)*IF(Upgrades!$T$18="Microlensing",POWER(Upgrades!$U$18,J247),1)*IF(Upgrades!$T$19="Microlensing",POWER(Upgrades!$U$19,K247),1)*IF(Upgrades!$T$20="Microlensing",POWER(Upgrades!$U$20,L247),1)*IF(Upgrades!$T$21="Microlensing",POWER(Upgrades!$U$21,M247),1))*(POWER(Upgrades!$Q$13,E247)*POWER(Upgrades!$Q$14,F247)*POWER(Upgrades!$Q$15,G247)*POWER(Upgrades!$Q$16,H247)*POWER(Upgrades!$Q$17,I247)*POWER(Upgrades!$Q$18,J247)*POWER(Upgrades!$Q$19,K247)*POWER(Upgrades!$Q$20,L247)*POWER(Upgrades!$Q$21,M247))*$G$6*(Parameters!$B$10/60*Parameters!$B$11+Q247))/Upgrades!$C$18,0)),IF(K247&gt;0,0,IFERROR(0.30*P247/Upgrades!$C$19,0)),IF(L247&gt;0,0,IFERROR(0.0001/Upgrades!$C$20,0)),IF(M247&gt;0,0,IFERROR((6.0*(POWER(Upgrades!$P$13,E247)*POWER(Upgrades!$P$14,F247)*POWER(Upgrades!$P$15,G247)*POWER(Upgrades!$P$16,H247)*POWER(Upgrades!$P$17,I247)*POWER(Upgrades!$P$18,J247)*POWER(Upgrades!$P$19,K247)*POWER(Upgrades!$P$20,L247)*POWER(Upgrades!$P$21,M247))*$F$6+0.20*O247*(Parameters!$B$10/60*Parameters!$B$11+Q247))/Upgrades!$C$21,0)),IF(AND(ISNUMBER(AK247),AK247&gt;(C247+T247)),AY247,0),IF(AND(ISNUMBER(AL247),AL247&gt;(C247+T247)),AZ247,0),IF(AND(ISNUMBER(AM247),AM247&gt;(C247+T247)),BA247,0),IF(AND(ISNUMBER(AN247),AN247&gt;(C247+T247)),BB247,0),IF(AND(ISNUMBER(AO247),AO247&gt;(C247+T247)),BC247,0))</f>
        <v/>
      </c>
      <c r="BE247" s="29">
        <f>IF(AT247=1,"transition",IF(MIN(IF(AND(J247=0,ISNUMBER(AP247),AP247&lt;=(C247+T247)),AP247,9E15),IF(AND(K247=0,ISNUMBER(AQ247),AQ247&lt;=(C247+T247)),AQ247,9E15),IF(AND(L247=0,ISNUMBER(AR247),AR247&lt;=(C247+T247)),AR247,9E15),IF(AND(M247=0,ISNUMBER(AS247),AS247&lt;=(C247+T247)),AS247,9E15))&lt;9E15,IF(AND(AND(J247=0,ISNUMBER(AP247),AP247&lt;=(C247+T247)),AP247=MIN(IF(AND(J247=0,ISNUMBER(AP247),AP247&lt;=(C247+T247)),AP247,9E15),IF(AND(K247=0,ISNUMBER(AQ247),AQ247&lt;=(C247+T247)),AQ247,9E15),IF(AND(L247=0,ISNUMBER(AR247),AR247&lt;=(C247+T247)),AR247,9E15),IF(AND(M247=0,ISNUMBER(AS247),AS247&lt;=(C247+T247)),AS247,9E15))),"BiP",IF(AND(AND(K247=0,ISNUMBER(AQ247),AQ247&lt;=(C247+T247)),AQ247=MIN(IF(AND(J247=0,ISNUMBER(AP247),AP247&lt;=(C247+T247)),AP247,9E15),IF(AND(K247=0,ISNUMBER(AQ247),AQ247&lt;=(C247+T247)),AQ247,9E15),IF(AND(L247=0,ISNUMBER(AR247),AR247&lt;=(C247+T247)),AR247,9E15),IF(AND(M247=0,ISNUMBER(AS247),AS247&lt;=(C247+T247)),AS247,9E15))),"PV",IF(AND(AND(L247=0,ISNUMBER(AR247),AR247&lt;=(C247+T247)),AR247=MIN(IF(AND(J247=0,ISNUMBER(AP247),AP247&lt;=(C247+T247)),AP247,9E15),IF(AND(K247=0,ISNUMBER(AQ247),AQ247&lt;=(C247+T247)),AQ247,9E15),IF(AND(L247=0,ISNUMBER(AR247),AR247&lt;=(C247+T247)),AR247,9E15),IF(AND(M247=0,ISNUMBER(AS247),AS247&lt;=(C247+T247)),AS247,9E15))),"OC","MG"))),IF(AX247=TRUE,"",IF(MAX(IF(AND(NOT(AND(AU247=1,AT247&lt;&gt;1)),ISNUMBER(AK247),AK247&lt;=(C247+T247)),AY247,0),IF(AND(NOT(AND(AU247=1,AT247&lt;&gt;1)),ISNUMBER(AL247),AL247&lt;=(C247+T247)),AZ247,0),IF(AND(NOT(AND(AU247=1,AT247&lt;&gt;1)),ISNUMBER(AM247),AM247&lt;=(C247+T247)),BA247,0),IF(AND(NOT(AND(AU247=1,AT247&lt;&gt;1)),ISNUMBER(AN247),AN247&lt;=(C247+T247)),BB247,0),IF(AND(ISNUMBER(AO247),AO247&lt;=(C247+T247)),BC247,0))&lt;=0,"",IF(AND(IF(AND(NOT(AND(AU247=1,AT247&lt;&gt;1)),ISNUMBER(AK247),AK247&lt;=(C247+T247)),AY247,0)&gt;0,IF(AND(NOT(AND(AU247=1,AT247&lt;&gt;1)),ISNUMBER(AK247),AK247&lt;=(C247+T247)),AY247,0)=MAX(IF(AND(NOT(AND(AU247=1,AT247&lt;&gt;1)),ISNUMBER(AK247),AK247&lt;=(C247+T247)),AY247,0),IF(AND(NOT(AND(AU247=1,AT247&lt;&gt;1)),ISNUMBER(AL247),AL247&lt;=(C247+T247)),AZ247,0),IF(AND(NOT(AND(AU247=1,AT247&lt;&gt;1)),ISNUMBER(AM247),AM247&lt;=(C247+T247)),BA247,0),IF(AND(NOT(AND(AU247=1,AT247&lt;&gt;1)),ISNUMBER(AN247),AN247&lt;=(C247+T247)),BB247,0),IF(AND(ISNUMBER(AO247),AO247&lt;=(C247+T247)),BC247,0))),"SK",IF(AND(IF(AND(NOT(AND(AU247=1,AT247&lt;&gt;1)),ISNUMBER(AL247),AL247&lt;=(C247+T247)),AZ247,0)&gt;0,IF(AND(NOT(AND(AU247=1,AT247&lt;&gt;1)),ISNUMBER(AL247),AL247&lt;=(C247+T247)),AZ247,0)=MAX(IF(AND(NOT(AND(AU247=1,AT247&lt;&gt;1)),ISNUMBER(AK247),AK247&lt;=(C247+T247)),AY247,0),IF(AND(NOT(AND(AU247=1,AT247&lt;&gt;1)),ISNUMBER(AL247),AL247&lt;=(C247+T247)),AZ247,0),IF(AND(NOT(AND(AU247=1,AT247&lt;&gt;1)),ISNUMBER(AM247),AM247&lt;=(C247+T247)),BA247,0),IF(AND(NOT(AND(AU247=1,AT247&lt;&gt;1)),ISNUMBER(AN247),AN247&lt;=(C247+T247)),BB247,0),IF(AND(ISNUMBER(AO247),AO247&lt;=(C247+T247)),BC247,0))),"LB",IF(AND(IF(AND(NOT(AND(AU247=1,AT247&lt;&gt;1)),ISNUMBER(AM247),AM247&lt;=(C247+T247)),BA247,0)&gt;0,IF(AND(NOT(AND(AU247=1,AT247&lt;&gt;1)),ISNUMBER(AM247),AM247&lt;=(C247+T247)),BA247,0)=MAX(IF(AND(NOT(AND(AU247=1,AT247&lt;&gt;1)),ISNUMBER(AK247),AK247&lt;=(C247+T247)),AY247,0),IF(AND(NOT(AND(AU247=1,AT247&lt;&gt;1)),ISNUMBER(AL247),AL247&lt;=(C247+T247)),AZ247,0),IF(AND(NOT(AND(AU247=1,AT247&lt;&gt;1)),ISNUMBER(AM247),AM247&lt;=(C247+T247)),BA247,0),IF(AND(NOT(AND(AU247=1,AT247&lt;&gt;1)),ISNUMBER(AN247),AN247&lt;=(C247+T247)),BB247,0),IF(AND(ISNUMBER(AO247),AO247&lt;=(C247+T247)),BC247,0))),"ML",IF(AND(IF(AND(NOT(AND(AU247=1,AT247&lt;&gt;1)),ISNUMBER(AN247),AN247&lt;=(C247+T247)),BB247,0)&gt;0,IF(AND(NOT(AND(AU247=1,AT247&lt;&gt;1)),ISNUMBER(AN247),AN247&lt;=(C247+T247)),BB247,0)=MAX(IF(AND(NOT(AND(AU247=1,AT247&lt;&gt;1)),ISNUMBER(AK247),AK247&lt;=(C247+T247)),AY247,0),IF(AND(NOT(AND(AU247=1,AT247&lt;&gt;1)),ISNUMBER(AL247),AL247&lt;=(C247+T247)),AZ247,0),IF(AND(NOT(AND(AU247=1,AT247&lt;&gt;1)),ISNUMBER(AM247),AM247&lt;=(C247+T247)),BA247,0),IF(AND(NOT(AND(AU247=1,AT247&lt;&gt;1)),ISNUMBER(AN247),AN247&lt;=(C247+T247)),BB247,0),IF(AND(ISNUMBER(AO247),AO247&lt;=(C247+T247)),BC247,0))),"RLO","BD"))))))))</f>
        <v/>
      </c>
    </row>
    <row r="248">
      <c r="A248" s="26" t="n">
        <v>237</v>
      </c>
      <c r="B248" s="27">
        <f>A248*10/60</f>
        <v/>
      </c>
      <c r="C248" s="22">
        <f>X247</f>
        <v/>
      </c>
      <c r="D248" s="27">
        <f>D247+W247</f>
        <v/>
      </c>
      <c r="E248" s="26">
        <f>E247+IF(U247="SK",1,0)</f>
        <v/>
      </c>
      <c r="F248" s="26">
        <f>F247+IF(U247="LB",1,0)</f>
        <v/>
      </c>
      <c r="G248" s="26">
        <f>G247+IF(U247="ML",1,0)</f>
        <v/>
      </c>
      <c r="H248" s="26">
        <f>H247+IF(U247="RLO",1,0)</f>
        <v/>
      </c>
      <c r="I248" s="26">
        <f>I247+IF(U247="BD",1,0)</f>
        <v/>
      </c>
      <c r="J248" s="26">
        <f>MAX(J247,IF(U247="BiP",1,0))</f>
        <v/>
      </c>
      <c r="K248" s="26">
        <f>MAX(K247,IF(U247="PV",1,0))</f>
        <v/>
      </c>
      <c r="L248" s="26">
        <f>MAX(L247,IF(U247="OC",1,0))</f>
        <v/>
      </c>
      <c r="M248" s="26">
        <f>MAX(M247,IF(U247="MG",1,0))</f>
        <v/>
      </c>
      <c r="N248" s="26">
        <f>MAX(N247,IF(U247="transition",1,0))</f>
        <v/>
      </c>
      <c r="O248" s="28">
        <f>(Parameters!$B$9+(IF(E248=0,0,(Upgrades!$J$13+E248*Upgrades!$K$13)*POWER(Upgrades!$L$13,E248)))*(IF(Upgrades!$T$14="Stellar Kinematics",POWER(Upgrades!$U$14,F248),1)*IF(Upgrades!$T$15="Stellar Kinematics",POWER(Upgrades!$U$15,G248),1)*IF(Upgrades!$T$16="Stellar Kinematics",POWER(Upgrades!$U$16,H248),1)*IF(Upgrades!$T$17="Stellar Kinematics",POWER(Upgrades!$U$17,I248),1)*IF(Upgrades!$T$18="Stellar Kinematics",POWER(Upgrades!$U$18,J248),1)*IF(Upgrades!$T$19="Stellar Kinematics",POWER(Upgrades!$U$19,K248),1)*IF(Upgrades!$T$20="Stellar Kinematics",POWER(Upgrades!$U$20,L248),1)*IF(Upgrades!$T$21="Stellar Kinematics",POWER(Upgrades!$U$21,M248),1))+(IF(F248=0,0,(Upgrades!$J$14+F248*Upgrades!$K$14)*POWER(Upgrades!$L$14,F248)))*(IF(Upgrades!$T$13="Local Bubble",POWER(Upgrades!$U$13,E248),1)*IF(Upgrades!$T$15="Local Bubble",POWER(Upgrades!$U$15,G248),1)*IF(Upgrades!$T$16="Local Bubble",POWER(Upgrades!$U$16,H248),1)*IF(Upgrades!$T$17="Local Bubble",POWER(Upgrades!$U$17,I248),1)*IF(Upgrades!$T$18="Local Bubble",POWER(Upgrades!$U$18,J248),1)*IF(Upgrades!$T$19="Local Bubble",POWER(Upgrades!$U$19,K248),1)*IF(Upgrades!$T$20="Local Bubble",POWER(Upgrades!$U$20,L248),1)*IF(Upgrades!$T$21="Local Bubble",POWER(Upgrades!$U$21,M248),1))+(IF(G248=0,0,(Upgrades!$J$15+G248*Upgrades!$K$15)*POWER(Upgrades!$L$15,G248)))*(IF(Upgrades!$T$13="Microlensing",POWER(Upgrades!$U$13,E248),1)*IF(Upgrades!$T$14="Microlensing",POWER(Upgrades!$U$14,F248),1)*IF(Upgrades!$T$16="Microlensing",POWER(Upgrades!$U$16,H248),1)*IF(Upgrades!$T$17="Microlensing",POWER(Upgrades!$U$17,I248),1)*IF(Upgrades!$T$18="Microlensing",POWER(Upgrades!$U$18,J248),1)*IF(Upgrades!$T$19="Microlensing",POWER(Upgrades!$U$19,K248),1)*IF(Upgrades!$T$20="Microlensing",POWER(Upgrades!$U$20,L248),1)*IF(Upgrades!$T$21="Microlensing",POWER(Upgrades!$U$21,M248),1))+(IF(H248=0,0,(Upgrades!$J$16+H248*Upgrades!$K$16)*POWER(Upgrades!$L$16,H248)))*(IF(Upgrades!$T$13="Roche Lobe Overflow",POWER(Upgrades!$U$13,E248),1)*IF(Upgrades!$T$14="Roche Lobe Overflow",POWER(Upgrades!$U$14,F248),1)*IF(Upgrades!$T$15="Roche Lobe Overflow",POWER(Upgrades!$U$15,G248),1)*IF(Upgrades!$T$17="Roche Lobe Overflow",POWER(Upgrades!$U$17,I248),1)*IF(Upgrades!$T$18="Roche Lobe Overflow",POWER(Upgrades!$U$18,J248),1)*IF(Upgrades!$T$19="Roche Lobe Overflow",POWER(Upgrades!$U$19,K248),1)*IF(Upgrades!$T$20="Roche Lobe Overflow",POWER(Upgrades!$U$20,L248),1)*IF(Upgrades!$T$21="Roche Lobe Overflow",POWER(Upgrades!$U$21,M248),1))+(IF(I248=0,0,(Upgrades!$J$17+I248*Upgrades!$K$17)*POWER(Upgrades!$L$17,I248)))*(IF(Upgrades!$T$13="Brown Dwarf",POWER(Upgrades!$U$13,E248),1)*IF(Upgrades!$T$14="Brown Dwarf",POWER(Upgrades!$U$14,F248),1)*IF(Upgrades!$T$15="Brown Dwarf",POWER(Upgrades!$U$15,G248),1)*IF(Upgrades!$T$16="Brown Dwarf",POWER(Upgrades!$U$16,H248),1)*IF(Upgrades!$T$18="Brown Dwarf",POWER(Upgrades!$U$18,J248),1)*IF(Upgrades!$T$19="Brown Dwarf",POWER(Upgrades!$U$19,K248),1)*IF(Upgrades!$T$20="Brown Dwarf",POWER(Upgrades!$U$20,L248),1)*IF(Upgrades!$T$21="Brown Dwarf",POWER(Upgrades!$U$21,M248),1))+(IF(J248=0,0,(Upgrades!$J$18+J248*Upgrades!$K$18)*POWER(Upgrades!$L$18,J248)))*(IF(Upgrades!$T$13="Binary Partner",POWER(Upgrades!$U$13,E248),1)*IF(Upgrades!$T$14="Binary Partner",POWER(Upgrades!$U$14,F248),1)*IF(Upgrades!$T$15="Binary Partner",POWER(Upgrades!$U$15,G248),1)*IF(Upgrades!$T$16="Binary Partner",POWER(Upgrades!$U$16,H248),1)*IF(Upgrades!$T$17="Binary Partner",POWER(Upgrades!$U$17,I248),1)*IF(Upgrades!$T$19="Binary Partner",POWER(Upgrades!$U$19,K248),1)*IF(Upgrades!$T$20="Binary Partner",POWER(Upgrades!$U$20,L248),1)*IF(Upgrades!$T$21="Binary Partner",POWER(Upgrades!$U$21,M248),1))+(IF(K248=0,0,(Upgrades!$J$19+K248*Upgrades!$K$19)*POWER(Upgrades!$L$19,K248)))*(IF(Upgrades!$T$13="Peculiar Velocity",POWER(Upgrades!$U$13,E248),1)*IF(Upgrades!$T$14="Peculiar Velocity",POWER(Upgrades!$U$14,F248),1)*IF(Upgrades!$T$15="Peculiar Velocity",POWER(Upgrades!$U$15,G248),1)*IF(Upgrades!$T$16="Peculiar Velocity",POWER(Upgrades!$U$16,H248),1)*IF(Upgrades!$T$17="Peculiar Velocity",POWER(Upgrades!$U$17,I248),1)*IF(Upgrades!$T$18="Peculiar Velocity",POWER(Upgrades!$U$18,J248),1)*IF(Upgrades!$T$20="Peculiar Velocity",POWER(Upgrades!$U$20,L248),1)*IF(Upgrades!$T$21="Peculiar Velocity",POWER(Upgrades!$U$21,M248),1))+(IF(L248=0,0,(Upgrades!$J$20+L248*Upgrades!$K$20)*POWER(Upgrades!$L$20,L248)))*(IF(Upgrades!$T$13="Open Cluster",POWER(Upgrades!$U$13,E248),1)*IF(Upgrades!$T$14="Open Cluster",POWER(Upgrades!$U$14,F248),1)*IF(Upgrades!$T$15="Open Cluster",POWER(Upgrades!$U$15,G248),1)*IF(Upgrades!$T$16="Open Cluster",POWER(Upgrades!$U$16,H248),1)*IF(Upgrades!$T$17="Open Cluster",POWER(Upgrades!$U$17,I248),1)*IF(Upgrades!$T$18="Open Cluster",POWER(Upgrades!$U$18,J248),1)*IF(Upgrades!$T$19="Open Cluster",POWER(Upgrades!$U$19,K248),1)*IF(Upgrades!$T$21="Open Cluster",POWER(Upgrades!$U$21,M248),1))+(IF(M248=0,0,(Upgrades!$J$21+M248*Upgrades!$K$21)*POWER(Upgrades!$L$21,M248)))*(IF(Upgrades!$T$13="Moving Group",POWER(Upgrades!$U$13,E248),1)*IF(Upgrades!$T$14="Moving Group",POWER(Upgrades!$U$14,F248),1)*IF(Upgrades!$T$15="Moving Group",POWER(Upgrades!$U$15,G248),1)*IF(Upgrades!$T$16="Moving Group",POWER(Upgrades!$U$16,H248),1)*IF(Upgrades!$T$17="Moving Group",POWER(Upgrades!$U$17,I248),1)*IF(Upgrades!$T$18="Moving Group",POWER(Upgrades!$U$18,J248),1)*IF(Upgrades!$T$19="Moving Group",POWER(Upgrades!$U$19,K248),1)*IF(Upgrades!$T$20="Moving Group",POWER(Upgrades!$U$20,L248),1)))*POWER(Upgrades!$Q$13,E248)*POWER(Upgrades!$Q$14,F248)*POWER(Upgrades!$Q$15,G248)*POWER(Upgrades!$Q$16,H248)*POWER(Upgrades!$Q$17,I248)*POWER(Upgrades!$Q$18,J248)*POWER(Upgrades!$Q$19,K248)*POWER(Upgrades!$Q$20,L248)*POWER(Upgrades!$Q$21,M248)*$G$6+$D$6</f>
        <v/>
      </c>
      <c r="P248" s="28">
        <f>((IF(E248=0,0,(Upgrades!$G$13+E248*Upgrades!$H$13)*POWER(Upgrades!$I$13,E248)))*(IF(Upgrades!$T$14="Stellar Kinematics",POWER(Upgrades!$U$14,F248),1)*IF(Upgrades!$T$15="Stellar Kinematics",POWER(Upgrades!$U$15,G248),1)*IF(Upgrades!$T$16="Stellar Kinematics",POWER(Upgrades!$U$16,H248),1)*IF(Upgrades!$T$17="Stellar Kinematics",POWER(Upgrades!$U$17,I248),1)*IF(Upgrades!$T$18="Stellar Kinematics",POWER(Upgrades!$U$18,J248),1)*IF(Upgrades!$T$19="Stellar Kinematics",POWER(Upgrades!$U$19,K248),1)*IF(Upgrades!$T$20="Stellar Kinematics",POWER(Upgrades!$U$20,L248),1)*IF(Upgrades!$T$21="Stellar Kinematics",POWER(Upgrades!$U$21,M248),1))+(IF(F248=0,0,(Upgrades!$G$14+F248*Upgrades!$H$14)*POWER(Upgrades!$I$14,F248)))*(IF(Upgrades!$T$13="Local Bubble",POWER(Upgrades!$U$13,E248),1)*IF(Upgrades!$T$15="Local Bubble",POWER(Upgrades!$U$15,G248),1)*IF(Upgrades!$T$16="Local Bubble",POWER(Upgrades!$U$16,H248),1)*IF(Upgrades!$T$17="Local Bubble",POWER(Upgrades!$U$17,I248),1)*IF(Upgrades!$T$18="Local Bubble",POWER(Upgrades!$U$18,J248),1)*IF(Upgrades!$T$19="Local Bubble",POWER(Upgrades!$U$19,K248),1)*IF(Upgrades!$T$20="Local Bubble",POWER(Upgrades!$U$20,L248),1)*IF(Upgrades!$T$21="Local Bubble",POWER(Upgrades!$U$21,M248),1))+(IF(G248=0,0,(Upgrades!$G$15+G248*Upgrades!$H$15)*POWER(Upgrades!$I$15,G248)))*(IF(Upgrades!$T$13="Microlensing",POWER(Upgrades!$U$13,E248),1)*IF(Upgrades!$T$14="Microlensing",POWER(Upgrades!$U$14,F248),1)*IF(Upgrades!$T$16="Microlensing",POWER(Upgrades!$U$16,H248),1)*IF(Upgrades!$T$17="Microlensing",POWER(Upgrades!$U$17,I248),1)*IF(Upgrades!$T$18="Microlensing",POWER(Upgrades!$U$18,J248),1)*IF(Upgrades!$T$19="Microlensing",POWER(Upgrades!$U$19,K248),1)*IF(Upgrades!$T$20="Microlensing",POWER(Upgrades!$U$20,L248),1)*IF(Upgrades!$T$21="Microlensing",POWER(Upgrades!$U$21,M248),1))+(IF(H248=0,0,(Upgrades!$G$16+H248*Upgrades!$H$16)*POWER(Upgrades!$I$16,H248)))*(IF(Upgrades!$T$13="Roche Lobe Overflow",POWER(Upgrades!$U$13,E248),1)*IF(Upgrades!$T$14="Roche Lobe Overflow",POWER(Upgrades!$U$14,F248),1)*IF(Upgrades!$T$15="Roche Lobe Overflow",POWER(Upgrades!$U$15,G248),1)*IF(Upgrades!$T$17="Roche Lobe Overflow",POWER(Upgrades!$U$17,I248),1)*IF(Upgrades!$T$18="Roche Lobe Overflow",POWER(Upgrades!$U$18,J248),1)*IF(Upgrades!$T$19="Roche Lobe Overflow",POWER(Upgrades!$U$19,K248),1)*IF(Upgrades!$T$20="Roche Lobe Overflow",POWER(Upgrades!$U$20,L248),1)*IF(Upgrades!$T$21="Roche Lobe Overflow",POWER(Upgrades!$U$21,M248),1))+(IF(I248=0,0,(Upgrades!$G$17+I248*Upgrades!$H$17)*POWER(Upgrades!$I$17,I248)))*(IF(Upgrades!$T$13="Brown Dwarf",POWER(Upgrades!$U$13,E248),1)*IF(Upgrades!$T$14="Brown Dwarf",POWER(Upgrades!$U$14,F248),1)*IF(Upgrades!$T$15="Brown Dwarf",POWER(Upgrades!$U$15,G248),1)*IF(Upgrades!$T$16="Brown Dwarf",POWER(Upgrades!$U$16,H248),1)*IF(Upgrades!$T$18="Brown Dwarf",POWER(Upgrades!$U$18,J248),1)*IF(Upgrades!$T$19="Brown Dwarf",POWER(Upgrades!$U$19,K248),1)*IF(Upgrades!$T$20="Brown Dwarf",POWER(Upgrades!$U$20,L248),1)*IF(Upgrades!$T$21="Brown Dwarf",POWER(Upgrades!$U$21,M248),1))+(IF(J248=0,0,(Upgrades!$G$18+J248*Upgrades!$H$18)*POWER(Upgrades!$I$18,J248)))*(IF(Upgrades!$T$13="Binary Partner",POWER(Upgrades!$U$13,E248),1)*IF(Upgrades!$T$14="Binary Partner",POWER(Upgrades!$U$14,F248),1)*IF(Upgrades!$T$15="Binary Partner",POWER(Upgrades!$U$15,G248),1)*IF(Upgrades!$T$16="Binary Partner",POWER(Upgrades!$U$16,H248),1)*IF(Upgrades!$T$17="Binary Partner",POWER(Upgrades!$U$17,I248),1)*IF(Upgrades!$T$19="Binary Partner",POWER(Upgrades!$U$19,K248),1)*IF(Upgrades!$T$20="Binary Partner",POWER(Upgrades!$U$20,L248),1)*IF(Upgrades!$T$21="Binary Partner",POWER(Upgrades!$U$21,M248),1))+(IF(K248=0,0,(Upgrades!$G$19+K248*Upgrades!$H$19)*POWER(Upgrades!$I$19,K248)))*(IF(Upgrades!$T$13="Peculiar Velocity",POWER(Upgrades!$U$13,E248),1)*IF(Upgrades!$T$14="Peculiar Velocity",POWER(Upgrades!$U$14,F248),1)*IF(Upgrades!$T$15="Peculiar Velocity",POWER(Upgrades!$U$15,G248),1)*IF(Upgrades!$T$16="Peculiar Velocity",POWER(Upgrades!$U$16,H248),1)*IF(Upgrades!$T$17="Peculiar Velocity",POWER(Upgrades!$U$17,I248),1)*IF(Upgrades!$T$18="Peculiar Velocity",POWER(Upgrades!$U$18,J248),1)*IF(Upgrades!$T$20="Peculiar Velocity",POWER(Upgrades!$U$20,L248),1)*IF(Upgrades!$T$21="Peculiar Velocity",POWER(Upgrades!$U$21,M248),1))+(IF(L248=0,0,(Upgrades!$G$20+L248*Upgrades!$H$20)*POWER(Upgrades!$I$20,L248)))*(IF(Upgrades!$T$13="Open Cluster",POWER(Upgrades!$U$13,E248),1)*IF(Upgrades!$T$14="Open Cluster",POWER(Upgrades!$U$14,F248),1)*IF(Upgrades!$T$15="Open Cluster",POWER(Upgrades!$U$15,G248),1)*IF(Upgrades!$T$16="Open Cluster",POWER(Upgrades!$U$16,H248),1)*IF(Upgrades!$T$17="Open Cluster",POWER(Upgrades!$U$17,I248),1)*IF(Upgrades!$T$18="Open Cluster",POWER(Upgrades!$U$18,J248),1)*IF(Upgrades!$T$19="Open Cluster",POWER(Upgrades!$U$19,K248),1)*IF(Upgrades!$T$21="Open Cluster",POWER(Upgrades!$U$21,M248),1))+(IF(M248=0,0,(Upgrades!$G$21+M248*Upgrades!$H$21)*POWER(Upgrades!$I$21,M248)))*(IF(Upgrades!$T$13="Moving Group",POWER(Upgrades!$U$13,E248),1)*IF(Upgrades!$T$14="Moving Group",POWER(Upgrades!$U$14,F248),1)*IF(Upgrades!$T$15="Moving Group",POWER(Upgrades!$U$15,G248),1)*IF(Upgrades!$T$16="Moving Group",POWER(Upgrades!$U$16,H248),1)*IF(Upgrades!$T$17="Moving Group",POWER(Upgrades!$U$17,I248),1)*IF(Upgrades!$T$18="Moving Group",POWER(Upgrades!$U$18,J248),1)*IF(Upgrades!$T$19="Moving Group",POWER(Upgrades!$U$19,K248),1)*IF(Upgrades!$T$20="Moving Group",POWER(Upgrades!$U$20,L248),1)))*POWER(Upgrades!$P$13,E248)*POWER(Upgrades!$P$14,F248)*POWER(Upgrades!$P$15,G248)*POWER(Upgrades!$P$16,H248)*POWER(Upgrades!$P$17,I248)*POWER(Upgrades!$P$18,J248)*POWER(Upgrades!$P$19,K248)*POWER(Upgrades!$P$20,L248)*POWER(Upgrades!$P$21,M248)*$F$6+$C$6</f>
        <v/>
      </c>
      <c r="Q248" s="28">
        <f>((IF(E248=0,0,(Upgrades!$M$13+E248*Upgrades!$N$13)*POWER(Upgrades!$O$13,E248)))*(IF(Upgrades!$T$14="Stellar Kinematics",POWER(Upgrades!$U$14,F248),1)*IF(Upgrades!$T$15="Stellar Kinematics",POWER(Upgrades!$U$15,G248),1)*IF(Upgrades!$T$16="Stellar Kinematics",POWER(Upgrades!$U$16,H248),1)*IF(Upgrades!$T$17="Stellar Kinematics",POWER(Upgrades!$U$17,I248),1)*IF(Upgrades!$T$18="Stellar Kinematics",POWER(Upgrades!$U$18,J248),1)*IF(Upgrades!$T$19="Stellar Kinematics",POWER(Upgrades!$U$19,K248),1)*IF(Upgrades!$T$20="Stellar Kinematics",POWER(Upgrades!$U$20,L248),1)*IF(Upgrades!$T$21="Stellar Kinematics",POWER(Upgrades!$U$21,M248),1))+(IF(F248=0,0,(Upgrades!$M$14+F248*Upgrades!$N$14)*POWER(Upgrades!$O$14,F248)))*(IF(Upgrades!$T$13="Local Bubble",POWER(Upgrades!$U$13,E248),1)*IF(Upgrades!$T$15="Local Bubble",POWER(Upgrades!$U$15,G248),1)*IF(Upgrades!$T$16="Local Bubble",POWER(Upgrades!$U$16,H248),1)*IF(Upgrades!$T$17="Local Bubble",POWER(Upgrades!$U$17,I248),1)*IF(Upgrades!$T$18="Local Bubble",POWER(Upgrades!$U$18,J248),1)*IF(Upgrades!$T$19="Local Bubble",POWER(Upgrades!$U$19,K248),1)*IF(Upgrades!$T$20="Local Bubble",POWER(Upgrades!$U$20,L248),1)*IF(Upgrades!$T$21="Local Bubble",POWER(Upgrades!$U$21,M248),1))+(IF(G248=0,0,(Upgrades!$M$15+G248*Upgrades!$N$15)*POWER(Upgrades!$O$15,G248)))*(IF(Upgrades!$T$13="Microlensing",POWER(Upgrades!$U$13,E248),1)*IF(Upgrades!$T$14="Microlensing",POWER(Upgrades!$U$14,F248),1)*IF(Upgrades!$T$16="Microlensing",POWER(Upgrades!$U$16,H248),1)*IF(Upgrades!$T$17="Microlensing",POWER(Upgrades!$U$17,I248),1)*IF(Upgrades!$T$18="Microlensing",POWER(Upgrades!$U$18,J248),1)*IF(Upgrades!$T$19="Microlensing",POWER(Upgrades!$U$19,K248),1)*IF(Upgrades!$T$20="Microlensing",POWER(Upgrades!$U$20,L248),1)*IF(Upgrades!$T$21="Microlensing",POWER(Upgrades!$U$21,M248),1))+(IF(H248=0,0,(Upgrades!$M$16+H248*Upgrades!$N$16)*POWER(Upgrades!$O$16,H248)))*(IF(Upgrades!$T$13="Roche Lobe Overflow",POWER(Upgrades!$U$13,E248),1)*IF(Upgrades!$T$14="Roche Lobe Overflow",POWER(Upgrades!$U$14,F248),1)*IF(Upgrades!$T$15="Roche Lobe Overflow",POWER(Upgrades!$U$15,G248),1)*IF(Upgrades!$T$17="Roche Lobe Overflow",POWER(Upgrades!$U$17,I248),1)*IF(Upgrades!$T$18="Roche Lobe Overflow",POWER(Upgrades!$U$18,J248),1)*IF(Upgrades!$T$19="Roche Lobe Overflow",POWER(Upgrades!$U$19,K248),1)*IF(Upgrades!$T$20="Roche Lobe Overflow",POWER(Upgrades!$U$20,L248),1)*IF(Upgrades!$T$21="Roche Lobe Overflow",POWER(Upgrades!$U$21,M248),1))+(IF(I248=0,0,(Upgrades!$M$17+I248*Upgrades!$N$17)*POWER(Upgrades!$O$17,I248)))*(IF(Upgrades!$T$13="Brown Dwarf",POWER(Upgrades!$U$13,E248),1)*IF(Upgrades!$T$14="Brown Dwarf",POWER(Upgrades!$U$14,F248),1)*IF(Upgrades!$T$15="Brown Dwarf",POWER(Upgrades!$U$15,G248),1)*IF(Upgrades!$T$16="Brown Dwarf",POWER(Upgrades!$U$16,H248),1)*IF(Upgrades!$T$18="Brown Dwarf",POWER(Upgrades!$U$18,J248),1)*IF(Upgrades!$T$19="Brown Dwarf",POWER(Upgrades!$U$19,K248),1)*IF(Upgrades!$T$20="Brown Dwarf",POWER(Upgrades!$U$20,L248),1)*IF(Upgrades!$T$21="Brown Dwarf",POWER(Upgrades!$U$21,M248),1))+(IF(J248=0,0,(Upgrades!$M$18+J248*Upgrades!$N$18)*POWER(Upgrades!$O$18,J248)))*(IF(Upgrades!$T$13="Binary Partner",POWER(Upgrades!$U$13,E248),1)*IF(Upgrades!$T$14="Binary Partner",POWER(Upgrades!$U$14,F248),1)*IF(Upgrades!$T$15="Binary Partner",POWER(Upgrades!$U$15,G248),1)*IF(Upgrades!$T$16="Binary Partner",POWER(Upgrades!$U$16,H248),1)*IF(Upgrades!$T$17="Binary Partner",POWER(Upgrades!$U$17,I248),1)*IF(Upgrades!$T$19="Binary Partner",POWER(Upgrades!$U$19,K248),1)*IF(Upgrades!$T$20="Binary Partner",POWER(Upgrades!$U$20,L248),1)*IF(Upgrades!$T$21="Binary Partner",POWER(Upgrades!$U$21,M248),1))+(IF(K248=0,0,(Upgrades!$M$19+K248*Upgrades!$N$19)*POWER(Upgrades!$O$19,K248)))*(IF(Upgrades!$T$13="Peculiar Velocity",POWER(Upgrades!$U$13,E248),1)*IF(Upgrades!$T$14="Peculiar Velocity",POWER(Upgrades!$U$14,F248),1)*IF(Upgrades!$T$15="Peculiar Velocity",POWER(Upgrades!$U$15,G248),1)*IF(Upgrades!$T$16="Peculiar Velocity",POWER(Upgrades!$U$16,H248),1)*IF(Upgrades!$T$17="Peculiar Velocity",POWER(Upgrades!$U$17,I248),1)*IF(Upgrades!$T$18="Peculiar Velocity",POWER(Upgrades!$U$18,J248),1)*IF(Upgrades!$T$20="Peculiar Velocity",POWER(Upgrades!$U$20,L248),1)*IF(Upgrades!$T$21="Peculiar Velocity",POWER(Upgrades!$U$21,M248),1))+(IF(L248=0,0,(Upgrades!$M$20+L248*Upgrades!$N$20)*POWER(Upgrades!$O$20,L248)))*(IF(Upgrades!$T$13="Open Cluster",POWER(Upgrades!$U$13,E248),1)*IF(Upgrades!$T$14="Open Cluster",POWER(Upgrades!$U$14,F248),1)*IF(Upgrades!$T$15="Open Cluster",POWER(Upgrades!$U$15,G248),1)*IF(Upgrades!$T$16="Open Cluster",POWER(Upgrades!$U$16,H248),1)*IF(Upgrades!$T$17="Open Cluster",POWER(Upgrades!$U$17,I248),1)*IF(Upgrades!$T$18="Open Cluster",POWER(Upgrades!$U$18,J248),1)*IF(Upgrades!$T$19="Open Cluster",POWER(Upgrades!$U$19,K248),1)*IF(Upgrades!$T$21="Open Cluster",POWER(Upgrades!$U$21,M248),1))+(IF(M248=0,0,(Upgrades!$M$21+M248*Upgrades!$N$21)*POWER(Upgrades!$O$21,M248)))*(IF(Upgrades!$T$13="Moving Group",POWER(Upgrades!$U$13,E248),1)*IF(Upgrades!$T$14="Moving Group",POWER(Upgrades!$U$14,F248),1)*IF(Upgrades!$T$15="Moving Group",POWER(Upgrades!$U$15,G248),1)*IF(Upgrades!$T$16="Moving Group",POWER(Upgrades!$U$16,H248),1)*IF(Upgrades!$T$17="Moving Group",POWER(Upgrades!$U$17,I248),1)*IF(Upgrades!$T$18="Moving Group",POWER(Upgrades!$U$18,J248),1)*IF(Upgrades!$T$19="Moving Group",POWER(Upgrades!$U$19,K248),1)*IF(Upgrades!$T$20="Moving Group",POWER(Upgrades!$U$20,L248),1)))*POWER(Upgrades!$R$13,E248)*POWER(Upgrades!$R$14,F248)*POWER(Upgrades!$R$15,G248)*POWER(Upgrades!$R$16,H248)*POWER(Upgrades!$R$17,I248)*POWER(Upgrades!$R$18,J248)*POWER(Upgrades!$R$19,K248)*POWER(Upgrades!$R$20,L248)*POWER(Upgrades!$R$21,M248)*$H$6+$E$6</f>
        <v/>
      </c>
      <c r="R248" s="27">
        <f>IF(N248=1,0,O248*Parameters!$B$10/60*Parameters!$B$11*10)</f>
        <v/>
      </c>
      <c r="S248" s="27">
        <f>IF(N248=1,0,Q248*O248*10)</f>
        <v/>
      </c>
      <c r="T248" s="27">
        <f>IF(N248=1,0,R248+S248+P248*10)</f>
        <v/>
      </c>
      <c r="U248" s="33">
        <f>BE248</f>
        <v/>
      </c>
      <c r="V248" s="22">
        <f>IF(U248="",0,IF(U248="transition",0,IF(U248="SK",AK248,IF(U248="LB",AL248,IF(U248="ML",AM248,IF(U248="RLO",AN248,IF(U248="BD",AO248,IF(U248="BiP",AP248,IF(U248="PV",AQ248,IF(U248="OC",AR248,IF(U248="MG",AS248,0))))))))))</f>
        <v/>
      </c>
      <c r="W248" s="27">
        <f>IF(U248="BiP",Upgrades!$F$18,IF(U248="PV",Upgrades!$F$19,IF(U248="OC",Upgrades!$F$20,IF(U248="MG",Upgrades!$F$21,IF(U248="transition",-Parameters!$B$18*Parameters!$B$19,0)))))</f>
        <v/>
      </c>
      <c r="X248" s="22">
        <f>C248+T248-V248</f>
        <v/>
      </c>
      <c r="Y248" s="30">
        <f>O248*Parameters!$B$10/60*Parameters!$B$11+Q248*O248+P248</f>
        <v/>
      </c>
      <c r="Z248" s="34">
        <f>IF(U248="transition","→ Tier 3 (Galactic Arm)",IF(U248="MG","Moving Group — pocket drifts together",IF(U248="OC","Open Cluster acquired",IF(U248="PV","Peculiar Velocity — passive multiplier active",IF(U248="BiP","Binary Partner — pair bond formed",IF(AND(AU248=1,N248=0,AT248&lt;&gt;1),"Cohesion ready (waiting on completionists)","")))))) </f>
        <v/>
      </c>
      <c r="AA248" s="27">
        <f>(IF(E248=0,0,(Upgrades!$G$13+E248*Upgrades!$H$13)*POWER(Upgrades!$I$13,E248)))*(IF(Upgrades!$T$14="Stellar Kinematics",POWER(Upgrades!$U$14,F248),1)*IF(Upgrades!$T$15="Stellar Kinematics",POWER(Upgrades!$U$15,G248),1)*IF(Upgrades!$T$16="Stellar Kinematics",POWER(Upgrades!$U$16,H248),1)*IF(Upgrades!$T$17="Stellar Kinematics",POWER(Upgrades!$U$17,I248),1)*IF(Upgrades!$T$18="Stellar Kinematics",POWER(Upgrades!$U$18,J248),1)*IF(Upgrades!$T$19="Stellar Kinematics",POWER(Upgrades!$U$19,K248),1)*IF(Upgrades!$T$20="Stellar Kinematics",POWER(Upgrades!$U$20,L248),1)*IF(Upgrades!$T$21="Stellar Kinematics",POWER(Upgrades!$U$21,M248),1))*POWER(Upgrades!$P$13,E248)*POWER(Upgrades!$P$14,F248)*POWER(Upgrades!$P$15,G248)*POWER(Upgrades!$P$16,H248)*POWER(Upgrades!$P$17,I248)*POWER(Upgrades!$P$18,J248)*POWER(Upgrades!$P$19,K248)*POWER(Upgrades!$P$20,L248)*POWER(Upgrades!$P$21,M248)*$F$6*60</f>
        <v/>
      </c>
      <c r="AB248" s="27">
        <f>(IF(F248=0,0,(Upgrades!$G$14+F248*Upgrades!$H$14)*POWER(Upgrades!$I$14,F248)))*(IF(Upgrades!$T$13="Local Bubble",POWER(Upgrades!$U$13,E248),1)*IF(Upgrades!$T$15="Local Bubble",POWER(Upgrades!$U$15,G248),1)*IF(Upgrades!$T$16="Local Bubble",POWER(Upgrades!$U$16,H248),1)*IF(Upgrades!$T$17="Local Bubble",POWER(Upgrades!$U$17,I248),1)*IF(Upgrades!$T$18="Local Bubble",POWER(Upgrades!$U$18,J248),1)*IF(Upgrades!$T$19="Local Bubble",POWER(Upgrades!$U$19,K248),1)*IF(Upgrades!$T$20="Local Bubble",POWER(Upgrades!$U$20,L248),1)*IF(Upgrades!$T$21="Local Bubble",POWER(Upgrades!$U$21,M248),1))*POWER(Upgrades!$P$13,E248)*POWER(Upgrades!$P$14,F248)*POWER(Upgrades!$P$15,G248)*POWER(Upgrades!$P$16,H248)*POWER(Upgrades!$P$17,I248)*POWER(Upgrades!$P$18,J248)*POWER(Upgrades!$P$19,K248)*POWER(Upgrades!$P$20,L248)*POWER(Upgrades!$P$21,M248)*$F$6*60</f>
        <v/>
      </c>
      <c r="AC248" s="27">
        <f>(IF(G248=0,0,(Upgrades!$J$15+G248*Upgrades!$K$15)*POWER(Upgrades!$L$15,G248)))*(IF(Upgrades!$T$13="Microlensing",POWER(Upgrades!$U$13,E248),1)*IF(Upgrades!$T$14="Microlensing",POWER(Upgrades!$U$14,F248),1)*IF(Upgrades!$T$16="Microlensing",POWER(Upgrades!$U$16,H248),1)*IF(Upgrades!$T$17="Microlensing",POWER(Upgrades!$U$17,I248),1)*IF(Upgrades!$T$18="Microlensing",POWER(Upgrades!$U$18,J248),1)*IF(Upgrades!$T$19="Microlensing",POWER(Upgrades!$U$19,K248),1)*IF(Upgrades!$T$20="Microlensing",POWER(Upgrades!$U$20,L248),1)*IF(Upgrades!$T$21="Microlensing",POWER(Upgrades!$U$21,M248),1))*POWER(Upgrades!$Q$13,E248)*POWER(Upgrades!$Q$14,F248)*POWER(Upgrades!$Q$15,G248)*POWER(Upgrades!$Q$16,H248)*POWER(Upgrades!$Q$17,I248)*POWER(Upgrades!$Q$18,J248)*POWER(Upgrades!$Q$19,K248)*POWER(Upgrades!$Q$20,L248)*POWER(Upgrades!$Q$21,M248)*$G$6*(Parameters!$B$10*Parameters!$B$11+Q248*60)</f>
        <v/>
      </c>
      <c r="AD248" s="27">
        <f>(IF(H248=0,0,(Upgrades!$M$16+H248*Upgrades!$N$16)*POWER(Upgrades!$O$16,H248)))*(IF(Upgrades!$T$13="Roche Lobe Overflow",POWER(Upgrades!$U$13,E248),1)*IF(Upgrades!$T$14="Roche Lobe Overflow",POWER(Upgrades!$U$14,F248),1)*IF(Upgrades!$T$15="Roche Lobe Overflow",POWER(Upgrades!$U$15,G248),1)*IF(Upgrades!$T$17="Roche Lobe Overflow",POWER(Upgrades!$U$17,I248),1)*IF(Upgrades!$T$18="Roche Lobe Overflow",POWER(Upgrades!$U$18,J248),1)*IF(Upgrades!$T$19="Roche Lobe Overflow",POWER(Upgrades!$U$19,K248),1)*IF(Upgrades!$T$20="Roche Lobe Overflow",POWER(Upgrades!$U$20,L248),1)*IF(Upgrades!$T$21="Roche Lobe Overflow",POWER(Upgrades!$U$21,M248),1))*POWER(Upgrades!$R$13,E248)*POWER(Upgrades!$R$14,F248)*POWER(Upgrades!$R$15,G248)*POWER(Upgrades!$R$16,H248)*POWER(Upgrades!$R$17,I248)*POWER(Upgrades!$R$18,J248)*POWER(Upgrades!$R$19,K248)*POWER(Upgrades!$R$20,L248)*POWER(Upgrades!$R$21,M248)*$H$6*O248*60</f>
        <v/>
      </c>
      <c r="AE248" s="27">
        <f>(IF(I248=0,0,(Upgrades!$G$17+I248*Upgrades!$H$17)*POWER(Upgrades!$I$17,I248)))*(IF(Upgrades!$T$13="Brown Dwarf",POWER(Upgrades!$U$13,E248),1)*IF(Upgrades!$T$14="Brown Dwarf",POWER(Upgrades!$U$14,F248),1)*IF(Upgrades!$T$15="Brown Dwarf",POWER(Upgrades!$U$15,G248),1)*IF(Upgrades!$T$16="Brown Dwarf",POWER(Upgrades!$U$16,H248),1)*IF(Upgrades!$T$18="Brown Dwarf",POWER(Upgrades!$U$18,J248),1)*IF(Upgrades!$T$19="Brown Dwarf",POWER(Upgrades!$U$19,K248),1)*IF(Upgrades!$T$20="Brown Dwarf",POWER(Upgrades!$U$20,L248),1)*IF(Upgrades!$T$21="Brown Dwarf",POWER(Upgrades!$U$21,M248),1))*POWER(Upgrades!$P$13,E248)*POWER(Upgrades!$P$14,F248)*POWER(Upgrades!$P$15,G248)*POWER(Upgrades!$P$16,H248)*POWER(Upgrades!$P$17,I248)*POWER(Upgrades!$P$18,J248)*POWER(Upgrades!$P$19,K248)*POWER(Upgrades!$P$20,L248)*POWER(Upgrades!$P$21,M248)*$F$6*60</f>
        <v/>
      </c>
      <c r="AF248" s="27" t="n">
        <v>0</v>
      </c>
      <c r="AG248" s="27" t="n">
        <v>0</v>
      </c>
      <c r="AH248" s="27" t="n">
        <v>0</v>
      </c>
      <c r="AI248" s="27">
        <f>(IF(M248=0,0,(Upgrades!$G$21+M248*Upgrades!$H$21)*POWER(Upgrades!$I$21,M248)))*(IF(Upgrades!$T$13="Moving Group",POWER(Upgrades!$U$13,E248),1)*IF(Upgrades!$T$14="Moving Group",POWER(Upgrades!$U$14,F248),1)*IF(Upgrades!$T$15="Moving Group",POWER(Upgrades!$U$15,G248),1)*IF(Upgrades!$T$16="Moving Group",POWER(Upgrades!$U$16,H248),1)*IF(Upgrades!$T$17="Moving Group",POWER(Upgrades!$U$17,I248),1)*IF(Upgrades!$T$18="Moving Group",POWER(Upgrades!$U$18,J248),1)*IF(Upgrades!$T$19="Moving Group",POWER(Upgrades!$U$19,K248),1)*IF(Upgrades!$T$20="Moving Group",POWER(Upgrades!$U$20,L248),1))*POWER(Upgrades!$P$13,E248)*POWER(Upgrades!$P$14,F248)*POWER(Upgrades!$P$15,G248)*POWER(Upgrades!$P$16,H248)*POWER(Upgrades!$P$17,I248)*POWER(Upgrades!$P$18,J248)*POWER(Upgrades!$P$19,K248)*POWER(Upgrades!$P$20,L248)*POWER(Upgrades!$P$21,M248)*$F$6*60</f>
        <v/>
      </c>
      <c r="AJ248" s="27">
        <f>$C$6*60</f>
        <v/>
      </c>
      <c r="AK248" s="22">
        <f>IF(E248&gt;=Upgrades!$E$13,"",Upgrades!$C$13*POWER(Upgrades!$D$13,E248))</f>
        <v/>
      </c>
      <c r="AL248" s="22">
        <f>IF(F248&gt;=Upgrades!$E$14,"",Upgrades!$C$14*POWER(Upgrades!$D$14,F248))</f>
        <v/>
      </c>
      <c r="AM248" s="22">
        <f>IF(G248&gt;=Upgrades!$E$15,"",Upgrades!$C$15*POWER(Upgrades!$D$15,G248))</f>
        <v/>
      </c>
      <c r="AN248" s="22">
        <f>IF(H248&gt;=Upgrades!$E$16,"",Upgrades!$C$16*POWER(Upgrades!$D$16,H248))</f>
        <v/>
      </c>
      <c r="AO248" s="22">
        <f>IF(I248&gt;=Upgrades!$E$17,"",Upgrades!$C$17*POWER(Upgrades!$D$17,I248))</f>
        <v/>
      </c>
      <c r="AP248" s="22">
        <f>IF(J248&gt;=Upgrades!$E$18,"",Upgrades!$C$18*POWER(Upgrades!$D$18,J248))</f>
        <v/>
      </c>
      <c r="AQ248" s="22">
        <f>IF(K248&gt;=Upgrades!$E$19,"",Upgrades!$C$19*POWER(Upgrades!$D$19,K248))</f>
        <v/>
      </c>
      <c r="AR248" s="22">
        <f>IF(L248&gt;=Upgrades!$E$20,"",Upgrades!$C$20*POWER(Upgrades!$D$20,L248))</f>
        <v/>
      </c>
      <c r="AS248" s="22">
        <f>IF(M248&gt;=Upgrades!$E$21,"",Upgrades!$C$21*POWER(Upgrades!$D$21,M248))</f>
        <v/>
      </c>
      <c r="AT248" s="26">
        <f>IF(AND(D248&gt;=Parameters!$B$18*Parameters!$B$19,(I248&gt;=Upgrades!$E$17)*(M248&gt;=Upgrades!$E$21)=1,N248=0),1,"")</f>
        <v/>
      </c>
      <c r="AU248" s="26">
        <f>IF(AND(D248&gt;=Parameters!$B$18*Parameters!$B$19,N248=0),1,"")</f>
        <v/>
      </c>
      <c r="AV248" s="22">
        <f>MIN(IF(ISNUMBER(AP248),AP248,9E15),IF(ISNUMBER(AQ248),AQ248,9E15),IF(ISNUMBER(AR248),AR248,9E15),IF(ISNUMBER(AS248),AS248,9E15))</f>
        <v/>
      </c>
      <c r="AW248" s="22">
        <f>MIN(IF(ISNUMBER(AK248),AK248,9E15),IF(ISNUMBER(AL248),AL248,9E15),IF(ISNUMBER(AM248),AM248,9E15),IF(ISNUMBER(AN248),AN248,9E15),IF(ISNUMBER(AO248),AO248,9E15))</f>
        <v/>
      </c>
      <c r="AX248" s="29">
        <f>IF(BD248&gt;Parameters!$B$21*(MAX(IF(AND(NOT(AND(AU248=1,AT248&lt;&gt;1)),ISNUMBER(AK248),AK248&lt;=(C248+T248)),AY248,0),IF(AND(NOT(AND(AU248=1,AT248&lt;&gt;1)),ISNUMBER(AL248),AL248&lt;=(C248+T248)),AZ248,0),IF(AND(NOT(AND(AU248=1,AT248&lt;&gt;1)),ISNUMBER(AM248),AM248&lt;=(C248+T248)),BA248,0),IF(AND(NOT(AND(AU248=1,AT248&lt;&gt;1)),ISNUMBER(AN248),AN248&lt;=(C248+T248)),BB248,0),IF(AND(ISNUMBER(AO248),AO248&lt;=(C248+T248)),BC248,0))),TRUE,FALSE)</f>
        <v/>
      </c>
      <c r="AY248" s="32">
        <f>IFERROR(Upgrades!$H$13*(POWER(Upgrades!$P$13,E248)*POWER(Upgrades!$P$14,F248)*POWER(Upgrades!$P$15,G248)*POWER(Upgrades!$P$16,H248)*POWER(Upgrades!$P$17,I248)*POWER(Upgrades!$P$18,J248)*POWER(Upgrades!$P$19,K248)*POWER(Upgrades!$P$20,L248)*POWER(Upgrades!$P$21,M248))*(IF(Upgrades!$T$14="Stellar Kinematics",POWER(Upgrades!$U$14,F248),1)*IF(Upgrades!$T$15="Stellar Kinematics",POWER(Upgrades!$U$15,G248),1)*IF(Upgrades!$T$16="Stellar Kinematics",POWER(Upgrades!$U$16,H248),1)*IF(Upgrades!$T$17="Stellar Kinematics",POWER(Upgrades!$U$17,I248),1)*IF(Upgrades!$T$18="Stellar Kinematics",POWER(Upgrades!$U$18,J248),1)*IF(Upgrades!$T$19="Stellar Kinematics",POWER(Upgrades!$U$19,K248),1)*IF(Upgrades!$T$20="Stellar Kinematics",POWER(Upgrades!$U$20,L248),1)*IF(Upgrades!$T$21="Stellar Kinematics",POWER(Upgrades!$U$21,M248),1))*$F$6/AK248,0)</f>
        <v/>
      </c>
      <c r="AZ248" s="32">
        <f>IFERROR(Upgrades!$H$14*(POWER(Upgrades!$P$13,E248)*POWER(Upgrades!$P$14,F248)*POWER(Upgrades!$P$15,G248)*POWER(Upgrades!$P$16,H248)*POWER(Upgrades!$P$17,I248)*POWER(Upgrades!$P$18,J248)*POWER(Upgrades!$P$19,K248)*POWER(Upgrades!$P$20,L248)*POWER(Upgrades!$P$21,M248))*(IF(Upgrades!$T$13="Local Bubble",POWER(Upgrades!$U$13,E248),1)*IF(Upgrades!$T$15="Local Bubble",POWER(Upgrades!$U$15,G248),1)*IF(Upgrades!$T$16="Local Bubble",POWER(Upgrades!$U$16,H248),1)*IF(Upgrades!$T$17="Local Bubble",POWER(Upgrades!$U$17,I248),1)*IF(Upgrades!$T$18="Local Bubble",POWER(Upgrades!$U$18,J248),1)*IF(Upgrades!$T$19="Local Bubble",POWER(Upgrades!$U$19,K248),1)*IF(Upgrades!$T$20="Local Bubble",POWER(Upgrades!$U$20,L248),1)*IF(Upgrades!$T$21="Local Bubble",POWER(Upgrades!$U$21,M248),1))*$F$6/AL248,0)</f>
        <v/>
      </c>
      <c r="BA248" s="32">
        <f>IFERROR(Upgrades!$K$15*(POWER(Upgrades!$Q$13,E248)*POWER(Upgrades!$Q$14,F248)*POWER(Upgrades!$Q$15,G248)*POWER(Upgrades!$Q$16,H248)*POWER(Upgrades!$Q$17,I248)*POWER(Upgrades!$Q$18,J248)*POWER(Upgrades!$Q$19,K248)*POWER(Upgrades!$Q$20,L248)*POWER(Upgrades!$Q$21,M248))*(IF(Upgrades!$T$13="Microlensing",POWER(Upgrades!$U$13,E248),1)*IF(Upgrades!$T$14="Microlensing",POWER(Upgrades!$U$14,F248),1)*IF(Upgrades!$T$16="Microlensing",POWER(Upgrades!$U$16,H248),1)*IF(Upgrades!$T$17="Microlensing",POWER(Upgrades!$U$17,I248),1)*IF(Upgrades!$T$18="Microlensing",POWER(Upgrades!$U$18,J248),1)*IF(Upgrades!$T$19="Microlensing",POWER(Upgrades!$U$19,K248),1)*IF(Upgrades!$T$20="Microlensing",POWER(Upgrades!$U$20,L248),1)*IF(Upgrades!$T$21="Microlensing",POWER(Upgrades!$U$21,M248),1))*$G$6*(Parameters!$B$10/60*Parameters!$B$11+Q248)/AM248,0)</f>
        <v/>
      </c>
      <c r="BB248" s="32">
        <f>IFERROR((Upgrades!$N$16*(POWER(Upgrades!$R$13,E248)*POWER(Upgrades!$R$14,F248)*POWER(Upgrades!$R$15,G248)*POWER(Upgrades!$R$16,H248)*POWER(Upgrades!$R$17,I248)*POWER(Upgrades!$R$18,J248)*POWER(Upgrades!$R$19,K248)*POWER(Upgrades!$R$20,L248)*POWER(Upgrades!$R$21,M248))*(IF(Upgrades!$T$13="Roche Lobe Overflow",POWER(Upgrades!$U$13,E248),1)*IF(Upgrades!$T$14="Roche Lobe Overflow",POWER(Upgrades!$U$14,F248),1)*IF(Upgrades!$T$15="Roche Lobe Overflow",POWER(Upgrades!$U$15,G248),1)*IF(Upgrades!$T$17="Roche Lobe Overflow",POWER(Upgrades!$U$17,I248),1)*IF(Upgrades!$T$18="Roche Lobe Overflow",POWER(Upgrades!$U$18,J248),1)*IF(Upgrades!$T$19="Roche Lobe Overflow",POWER(Upgrades!$U$19,K248),1)*IF(Upgrades!$T$20="Roche Lobe Overflow",POWER(Upgrades!$U$20,L248),1)*IF(Upgrades!$T$21="Roche Lobe Overflow",POWER(Upgrades!$U$21,M248),1))*$H$6*O248+((IF(F248=0,0,(Upgrades!$G$14+F248*Upgrades!$H$14)*POWER(Upgrades!$I$14,F248)))*(IF(Upgrades!$T$13="Local Bubble",POWER(Upgrades!$U$13,E248),1)*IF(Upgrades!$T$15="Local Bubble",POWER(Upgrades!$U$15,G248),1)*IF(Upgrades!$T$16="Local Bubble",POWER(Upgrades!$U$16,H248),1)*IF(Upgrades!$T$17="Local Bubble",POWER(Upgrades!$U$17,I248),1)*IF(Upgrades!$T$18="Local Bubble",POWER(Upgrades!$U$18,J248),1)*IF(Upgrades!$T$19="Local Bubble",POWER(Upgrades!$U$19,K248),1)*IF(Upgrades!$T$20="Local Bubble",POWER(Upgrades!$U$20,L248),1)*IF(Upgrades!$T$21="Local Bubble",POWER(Upgrades!$U$21,M248),1))*POWER(Upgrades!$P$13,E248)*POWER(Upgrades!$P$14,F248)*POWER(Upgrades!$P$15,G248)*POWER(Upgrades!$P$16,H248)*POWER(Upgrades!$P$17,I248)*POWER(Upgrades!$P$18,J248)*POWER(Upgrades!$P$19,K248)*POWER(Upgrades!$P$20,L248)*POWER(Upgrades!$P$21,M248)*$F$6)*0.05)/AN248,0)</f>
        <v/>
      </c>
      <c r="BC248" s="32">
        <f>IFERROR((Upgrades!$H$17*(POWER(Upgrades!$P$13,E248)*POWER(Upgrades!$P$14,F248)*POWER(Upgrades!$P$15,G248)*POWER(Upgrades!$P$16,H248)*POWER(Upgrades!$P$17,I248)*POWER(Upgrades!$P$18,J248)*POWER(Upgrades!$P$19,K248)*POWER(Upgrades!$P$20,L248)*POWER(Upgrades!$P$21,M248))*(IF(Upgrades!$T$13="Brown Dwarf",POWER(Upgrades!$U$13,E248),1)*IF(Upgrades!$T$14="Brown Dwarf",POWER(Upgrades!$U$14,F248),1)*IF(Upgrades!$T$15="Brown Dwarf",POWER(Upgrades!$U$15,G248),1)*IF(Upgrades!$T$16="Brown Dwarf",POWER(Upgrades!$U$16,H248),1)*IF(Upgrades!$T$18="Brown Dwarf",POWER(Upgrades!$U$18,J248),1)*IF(Upgrades!$T$19="Brown Dwarf",POWER(Upgrades!$U$19,K248),1)*IF(Upgrades!$T$20="Brown Dwarf",POWER(Upgrades!$U$20,L248),1)*IF(Upgrades!$T$21="Brown Dwarf",POWER(Upgrades!$U$21,M248),1))*$F$6+(((IF(H248=0,0,(Upgrades!$M$16+H248*Upgrades!$N$16)*POWER(Upgrades!$O$16,H248)))*(IF(Upgrades!$T$13="Roche Lobe Overflow",POWER(Upgrades!$U$13,E248),1)*IF(Upgrades!$T$14="Roche Lobe Overflow",POWER(Upgrades!$U$14,F248),1)*IF(Upgrades!$T$15="Roche Lobe Overflow",POWER(Upgrades!$U$15,G248),1)*IF(Upgrades!$T$17="Roche Lobe Overflow",POWER(Upgrades!$U$17,I248),1)*IF(Upgrades!$T$18="Roche Lobe Overflow",POWER(Upgrades!$U$18,J248),1)*IF(Upgrades!$T$19="Roche Lobe Overflow",POWER(Upgrades!$U$19,K248),1)*IF(Upgrades!$T$20="Roche Lobe Overflow",POWER(Upgrades!$U$20,L248),1)*IF(Upgrades!$T$21="Roche Lobe Overflow",POWER(Upgrades!$U$21,M248),1))*POWER(Upgrades!$R$13,E248)*POWER(Upgrades!$R$14,F248)*POWER(Upgrades!$R$15,G248)*POWER(Upgrades!$R$16,H248)*POWER(Upgrades!$R$17,I248)*POWER(Upgrades!$R$18,J248)*POWER(Upgrades!$R$19,K248)*POWER(Upgrades!$R$20,L248)*POWER(Upgrades!$R$21,M248)*$H$6)*O248)*0.10)/AO248,0)</f>
        <v/>
      </c>
      <c r="BD248" s="32">
        <f>MAX(IF(J248&gt;0,0,IFERROR(0.5*((IF(G248=0,0,(Upgrades!$J$15+G248*Upgrades!$K$15)*POWER(Upgrades!$L$15,G248)))*(IF(Upgrades!$T$13="Microlensing",POWER(Upgrades!$U$13,E248),1)*IF(Upgrades!$T$14="Microlensing",POWER(Upgrades!$U$14,F248),1)*IF(Upgrades!$T$16="Microlensing",POWER(Upgrades!$U$16,H248),1)*IF(Upgrades!$T$17="Microlensing",POWER(Upgrades!$U$17,I248),1)*IF(Upgrades!$T$18="Microlensing",POWER(Upgrades!$U$18,J248),1)*IF(Upgrades!$T$19="Microlensing",POWER(Upgrades!$U$19,K248),1)*IF(Upgrades!$T$20="Microlensing",POWER(Upgrades!$U$20,L248),1)*IF(Upgrades!$T$21="Microlensing",POWER(Upgrades!$U$21,M248),1))*(POWER(Upgrades!$Q$13,E248)*POWER(Upgrades!$Q$14,F248)*POWER(Upgrades!$Q$15,G248)*POWER(Upgrades!$Q$16,H248)*POWER(Upgrades!$Q$17,I248)*POWER(Upgrades!$Q$18,J248)*POWER(Upgrades!$Q$19,K248)*POWER(Upgrades!$Q$20,L248)*POWER(Upgrades!$Q$21,M248))*$G$6*(Parameters!$B$10/60*Parameters!$B$11+Q248))/Upgrades!$C$18,0)),IF(K248&gt;0,0,IFERROR(0.30*P248/Upgrades!$C$19,0)),IF(L248&gt;0,0,IFERROR(0.0001/Upgrades!$C$20,0)),IF(M248&gt;0,0,IFERROR((6.0*(POWER(Upgrades!$P$13,E248)*POWER(Upgrades!$P$14,F248)*POWER(Upgrades!$P$15,G248)*POWER(Upgrades!$P$16,H248)*POWER(Upgrades!$P$17,I248)*POWER(Upgrades!$P$18,J248)*POWER(Upgrades!$P$19,K248)*POWER(Upgrades!$P$20,L248)*POWER(Upgrades!$P$21,M248))*$F$6+0.20*O248*(Parameters!$B$10/60*Parameters!$B$11+Q248))/Upgrades!$C$21,0)),IF(AND(ISNUMBER(AK248),AK248&gt;(C248+T248)),AY248,0),IF(AND(ISNUMBER(AL248),AL248&gt;(C248+T248)),AZ248,0),IF(AND(ISNUMBER(AM248),AM248&gt;(C248+T248)),BA248,0),IF(AND(ISNUMBER(AN248),AN248&gt;(C248+T248)),BB248,0),IF(AND(ISNUMBER(AO248),AO248&gt;(C248+T248)),BC248,0))</f>
        <v/>
      </c>
      <c r="BE248" s="29">
        <f>IF(AT248=1,"transition",IF(MIN(IF(AND(J248=0,ISNUMBER(AP248),AP248&lt;=(C248+T248)),AP248,9E15),IF(AND(K248=0,ISNUMBER(AQ248),AQ248&lt;=(C248+T248)),AQ248,9E15),IF(AND(L248=0,ISNUMBER(AR248),AR248&lt;=(C248+T248)),AR248,9E15),IF(AND(M248=0,ISNUMBER(AS248),AS248&lt;=(C248+T248)),AS248,9E15))&lt;9E15,IF(AND(AND(J248=0,ISNUMBER(AP248),AP248&lt;=(C248+T248)),AP248=MIN(IF(AND(J248=0,ISNUMBER(AP248),AP248&lt;=(C248+T248)),AP248,9E15),IF(AND(K248=0,ISNUMBER(AQ248),AQ248&lt;=(C248+T248)),AQ248,9E15),IF(AND(L248=0,ISNUMBER(AR248),AR248&lt;=(C248+T248)),AR248,9E15),IF(AND(M248=0,ISNUMBER(AS248),AS248&lt;=(C248+T248)),AS248,9E15))),"BiP",IF(AND(AND(K248=0,ISNUMBER(AQ248),AQ248&lt;=(C248+T248)),AQ248=MIN(IF(AND(J248=0,ISNUMBER(AP248),AP248&lt;=(C248+T248)),AP248,9E15),IF(AND(K248=0,ISNUMBER(AQ248),AQ248&lt;=(C248+T248)),AQ248,9E15),IF(AND(L248=0,ISNUMBER(AR248),AR248&lt;=(C248+T248)),AR248,9E15),IF(AND(M248=0,ISNUMBER(AS248),AS248&lt;=(C248+T248)),AS248,9E15))),"PV",IF(AND(AND(L248=0,ISNUMBER(AR248),AR248&lt;=(C248+T248)),AR248=MIN(IF(AND(J248=0,ISNUMBER(AP248),AP248&lt;=(C248+T248)),AP248,9E15),IF(AND(K248=0,ISNUMBER(AQ248),AQ248&lt;=(C248+T248)),AQ248,9E15),IF(AND(L248=0,ISNUMBER(AR248),AR248&lt;=(C248+T248)),AR248,9E15),IF(AND(M248=0,ISNUMBER(AS248),AS248&lt;=(C248+T248)),AS248,9E15))),"OC","MG"))),IF(AX248=TRUE,"",IF(MAX(IF(AND(NOT(AND(AU248=1,AT248&lt;&gt;1)),ISNUMBER(AK248),AK248&lt;=(C248+T248)),AY248,0),IF(AND(NOT(AND(AU248=1,AT248&lt;&gt;1)),ISNUMBER(AL248),AL248&lt;=(C248+T248)),AZ248,0),IF(AND(NOT(AND(AU248=1,AT248&lt;&gt;1)),ISNUMBER(AM248),AM248&lt;=(C248+T248)),BA248,0),IF(AND(NOT(AND(AU248=1,AT248&lt;&gt;1)),ISNUMBER(AN248),AN248&lt;=(C248+T248)),BB248,0),IF(AND(ISNUMBER(AO248),AO248&lt;=(C248+T248)),BC248,0))&lt;=0,"",IF(AND(IF(AND(NOT(AND(AU248=1,AT248&lt;&gt;1)),ISNUMBER(AK248),AK248&lt;=(C248+T248)),AY248,0)&gt;0,IF(AND(NOT(AND(AU248=1,AT248&lt;&gt;1)),ISNUMBER(AK248),AK248&lt;=(C248+T248)),AY248,0)=MAX(IF(AND(NOT(AND(AU248=1,AT248&lt;&gt;1)),ISNUMBER(AK248),AK248&lt;=(C248+T248)),AY248,0),IF(AND(NOT(AND(AU248=1,AT248&lt;&gt;1)),ISNUMBER(AL248),AL248&lt;=(C248+T248)),AZ248,0),IF(AND(NOT(AND(AU248=1,AT248&lt;&gt;1)),ISNUMBER(AM248),AM248&lt;=(C248+T248)),BA248,0),IF(AND(NOT(AND(AU248=1,AT248&lt;&gt;1)),ISNUMBER(AN248),AN248&lt;=(C248+T248)),BB248,0),IF(AND(ISNUMBER(AO248),AO248&lt;=(C248+T248)),BC248,0))),"SK",IF(AND(IF(AND(NOT(AND(AU248=1,AT248&lt;&gt;1)),ISNUMBER(AL248),AL248&lt;=(C248+T248)),AZ248,0)&gt;0,IF(AND(NOT(AND(AU248=1,AT248&lt;&gt;1)),ISNUMBER(AL248),AL248&lt;=(C248+T248)),AZ248,0)=MAX(IF(AND(NOT(AND(AU248=1,AT248&lt;&gt;1)),ISNUMBER(AK248),AK248&lt;=(C248+T248)),AY248,0),IF(AND(NOT(AND(AU248=1,AT248&lt;&gt;1)),ISNUMBER(AL248),AL248&lt;=(C248+T248)),AZ248,0),IF(AND(NOT(AND(AU248=1,AT248&lt;&gt;1)),ISNUMBER(AM248),AM248&lt;=(C248+T248)),BA248,0),IF(AND(NOT(AND(AU248=1,AT248&lt;&gt;1)),ISNUMBER(AN248),AN248&lt;=(C248+T248)),BB248,0),IF(AND(ISNUMBER(AO248),AO248&lt;=(C248+T248)),BC248,0))),"LB",IF(AND(IF(AND(NOT(AND(AU248=1,AT248&lt;&gt;1)),ISNUMBER(AM248),AM248&lt;=(C248+T248)),BA248,0)&gt;0,IF(AND(NOT(AND(AU248=1,AT248&lt;&gt;1)),ISNUMBER(AM248),AM248&lt;=(C248+T248)),BA248,0)=MAX(IF(AND(NOT(AND(AU248=1,AT248&lt;&gt;1)),ISNUMBER(AK248),AK248&lt;=(C248+T248)),AY248,0),IF(AND(NOT(AND(AU248=1,AT248&lt;&gt;1)),ISNUMBER(AL248),AL248&lt;=(C248+T248)),AZ248,0),IF(AND(NOT(AND(AU248=1,AT248&lt;&gt;1)),ISNUMBER(AM248),AM248&lt;=(C248+T248)),BA248,0),IF(AND(NOT(AND(AU248=1,AT248&lt;&gt;1)),ISNUMBER(AN248),AN248&lt;=(C248+T248)),BB248,0),IF(AND(ISNUMBER(AO248),AO248&lt;=(C248+T248)),BC248,0))),"ML",IF(AND(IF(AND(NOT(AND(AU248=1,AT248&lt;&gt;1)),ISNUMBER(AN248),AN248&lt;=(C248+T248)),BB248,0)&gt;0,IF(AND(NOT(AND(AU248=1,AT248&lt;&gt;1)),ISNUMBER(AN248),AN248&lt;=(C248+T248)),BB248,0)=MAX(IF(AND(NOT(AND(AU248=1,AT248&lt;&gt;1)),ISNUMBER(AK248),AK248&lt;=(C248+T248)),AY248,0),IF(AND(NOT(AND(AU248=1,AT248&lt;&gt;1)),ISNUMBER(AL248),AL248&lt;=(C248+T248)),AZ248,0),IF(AND(NOT(AND(AU248=1,AT248&lt;&gt;1)),ISNUMBER(AM248),AM248&lt;=(C248+T248)),BA248,0),IF(AND(NOT(AND(AU248=1,AT248&lt;&gt;1)),ISNUMBER(AN248),AN248&lt;=(C248+T248)),BB248,0),IF(AND(ISNUMBER(AO248),AO248&lt;=(C248+T248)),BC248,0))),"RLO","BD"))))))))</f>
        <v/>
      </c>
    </row>
    <row r="249">
      <c r="A249" s="26" t="n">
        <v>238</v>
      </c>
      <c r="B249" s="27">
        <f>A249*10/60</f>
        <v/>
      </c>
      <c r="C249" s="22">
        <f>X248</f>
        <v/>
      </c>
      <c r="D249" s="27">
        <f>D248+W248</f>
        <v/>
      </c>
      <c r="E249" s="26">
        <f>E248+IF(U248="SK",1,0)</f>
        <v/>
      </c>
      <c r="F249" s="26">
        <f>F248+IF(U248="LB",1,0)</f>
        <v/>
      </c>
      <c r="G249" s="26">
        <f>G248+IF(U248="ML",1,0)</f>
        <v/>
      </c>
      <c r="H249" s="26">
        <f>H248+IF(U248="RLO",1,0)</f>
        <v/>
      </c>
      <c r="I249" s="26">
        <f>I248+IF(U248="BD",1,0)</f>
        <v/>
      </c>
      <c r="J249" s="26">
        <f>MAX(J248,IF(U248="BiP",1,0))</f>
        <v/>
      </c>
      <c r="K249" s="26">
        <f>MAX(K248,IF(U248="PV",1,0))</f>
        <v/>
      </c>
      <c r="L249" s="26">
        <f>MAX(L248,IF(U248="OC",1,0))</f>
        <v/>
      </c>
      <c r="M249" s="26">
        <f>MAX(M248,IF(U248="MG",1,0))</f>
        <v/>
      </c>
      <c r="N249" s="26">
        <f>MAX(N248,IF(U248="transition",1,0))</f>
        <v/>
      </c>
      <c r="O249" s="28">
        <f>(Parameters!$B$9+(IF(E249=0,0,(Upgrades!$J$13+E249*Upgrades!$K$13)*POWER(Upgrades!$L$13,E249)))*(IF(Upgrades!$T$14="Stellar Kinematics",POWER(Upgrades!$U$14,F249),1)*IF(Upgrades!$T$15="Stellar Kinematics",POWER(Upgrades!$U$15,G249),1)*IF(Upgrades!$T$16="Stellar Kinematics",POWER(Upgrades!$U$16,H249),1)*IF(Upgrades!$T$17="Stellar Kinematics",POWER(Upgrades!$U$17,I249),1)*IF(Upgrades!$T$18="Stellar Kinematics",POWER(Upgrades!$U$18,J249),1)*IF(Upgrades!$T$19="Stellar Kinematics",POWER(Upgrades!$U$19,K249),1)*IF(Upgrades!$T$20="Stellar Kinematics",POWER(Upgrades!$U$20,L249),1)*IF(Upgrades!$T$21="Stellar Kinematics",POWER(Upgrades!$U$21,M249),1))+(IF(F249=0,0,(Upgrades!$J$14+F249*Upgrades!$K$14)*POWER(Upgrades!$L$14,F249)))*(IF(Upgrades!$T$13="Local Bubble",POWER(Upgrades!$U$13,E249),1)*IF(Upgrades!$T$15="Local Bubble",POWER(Upgrades!$U$15,G249),1)*IF(Upgrades!$T$16="Local Bubble",POWER(Upgrades!$U$16,H249),1)*IF(Upgrades!$T$17="Local Bubble",POWER(Upgrades!$U$17,I249),1)*IF(Upgrades!$T$18="Local Bubble",POWER(Upgrades!$U$18,J249),1)*IF(Upgrades!$T$19="Local Bubble",POWER(Upgrades!$U$19,K249),1)*IF(Upgrades!$T$20="Local Bubble",POWER(Upgrades!$U$20,L249),1)*IF(Upgrades!$T$21="Local Bubble",POWER(Upgrades!$U$21,M249),1))+(IF(G249=0,0,(Upgrades!$J$15+G249*Upgrades!$K$15)*POWER(Upgrades!$L$15,G249)))*(IF(Upgrades!$T$13="Microlensing",POWER(Upgrades!$U$13,E249),1)*IF(Upgrades!$T$14="Microlensing",POWER(Upgrades!$U$14,F249),1)*IF(Upgrades!$T$16="Microlensing",POWER(Upgrades!$U$16,H249),1)*IF(Upgrades!$T$17="Microlensing",POWER(Upgrades!$U$17,I249),1)*IF(Upgrades!$T$18="Microlensing",POWER(Upgrades!$U$18,J249),1)*IF(Upgrades!$T$19="Microlensing",POWER(Upgrades!$U$19,K249),1)*IF(Upgrades!$T$20="Microlensing",POWER(Upgrades!$U$20,L249),1)*IF(Upgrades!$T$21="Microlensing",POWER(Upgrades!$U$21,M249),1))+(IF(H249=0,0,(Upgrades!$J$16+H249*Upgrades!$K$16)*POWER(Upgrades!$L$16,H249)))*(IF(Upgrades!$T$13="Roche Lobe Overflow",POWER(Upgrades!$U$13,E249),1)*IF(Upgrades!$T$14="Roche Lobe Overflow",POWER(Upgrades!$U$14,F249),1)*IF(Upgrades!$T$15="Roche Lobe Overflow",POWER(Upgrades!$U$15,G249),1)*IF(Upgrades!$T$17="Roche Lobe Overflow",POWER(Upgrades!$U$17,I249),1)*IF(Upgrades!$T$18="Roche Lobe Overflow",POWER(Upgrades!$U$18,J249),1)*IF(Upgrades!$T$19="Roche Lobe Overflow",POWER(Upgrades!$U$19,K249),1)*IF(Upgrades!$T$20="Roche Lobe Overflow",POWER(Upgrades!$U$20,L249),1)*IF(Upgrades!$T$21="Roche Lobe Overflow",POWER(Upgrades!$U$21,M249),1))+(IF(I249=0,0,(Upgrades!$J$17+I249*Upgrades!$K$17)*POWER(Upgrades!$L$17,I249)))*(IF(Upgrades!$T$13="Brown Dwarf",POWER(Upgrades!$U$13,E249),1)*IF(Upgrades!$T$14="Brown Dwarf",POWER(Upgrades!$U$14,F249),1)*IF(Upgrades!$T$15="Brown Dwarf",POWER(Upgrades!$U$15,G249),1)*IF(Upgrades!$T$16="Brown Dwarf",POWER(Upgrades!$U$16,H249),1)*IF(Upgrades!$T$18="Brown Dwarf",POWER(Upgrades!$U$18,J249),1)*IF(Upgrades!$T$19="Brown Dwarf",POWER(Upgrades!$U$19,K249),1)*IF(Upgrades!$T$20="Brown Dwarf",POWER(Upgrades!$U$20,L249),1)*IF(Upgrades!$T$21="Brown Dwarf",POWER(Upgrades!$U$21,M249),1))+(IF(J249=0,0,(Upgrades!$J$18+J249*Upgrades!$K$18)*POWER(Upgrades!$L$18,J249)))*(IF(Upgrades!$T$13="Binary Partner",POWER(Upgrades!$U$13,E249),1)*IF(Upgrades!$T$14="Binary Partner",POWER(Upgrades!$U$14,F249),1)*IF(Upgrades!$T$15="Binary Partner",POWER(Upgrades!$U$15,G249),1)*IF(Upgrades!$T$16="Binary Partner",POWER(Upgrades!$U$16,H249),1)*IF(Upgrades!$T$17="Binary Partner",POWER(Upgrades!$U$17,I249),1)*IF(Upgrades!$T$19="Binary Partner",POWER(Upgrades!$U$19,K249),1)*IF(Upgrades!$T$20="Binary Partner",POWER(Upgrades!$U$20,L249),1)*IF(Upgrades!$T$21="Binary Partner",POWER(Upgrades!$U$21,M249),1))+(IF(K249=0,0,(Upgrades!$J$19+K249*Upgrades!$K$19)*POWER(Upgrades!$L$19,K249)))*(IF(Upgrades!$T$13="Peculiar Velocity",POWER(Upgrades!$U$13,E249),1)*IF(Upgrades!$T$14="Peculiar Velocity",POWER(Upgrades!$U$14,F249),1)*IF(Upgrades!$T$15="Peculiar Velocity",POWER(Upgrades!$U$15,G249),1)*IF(Upgrades!$T$16="Peculiar Velocity",POWER(Upgrades!$U$16,H249),1)*IF(Upgrades!$T$17="Peculiar Velocity",POWER(Upgrades!$U$17,I249),1)*IF(Upgrades!$T$18="Peculiar Velocity",POWER(Upgrades!$U$18,J249),1)*IF(Upgrades!$T$20="Peculiar Velocity",POWER(Upgrades!$U$20,L249),1)*IF(Upgrades!$T$21="Peculiar Velocity",POWER(Upgrades!$U$21,M249),1))+(IF(L249=0,0,(Upgrades!$J$20+L249*Upgrades!$K$20)*POWER(Upgrades!$L$20,L249)))*(IF(Upgrades!$T$13="Open Cluster",POWER(Upgrades!$U$13,E249),1)*IF(Upgrades!$T$14="Open Cluster",POWER(Upgrades!$U$14,F249),1)*IF(Upgrades!$T$15="Open Cluster",POWER(Upgrades!$U$15,G249),1)*IF(Upgrades!$T$16="Open Cluster",POWER(Upgrades!$U$16,H249),1)*IF(Upgrades!$T$17="Open Cluster",POWER(Upgrades!$U$17,I249),1)*IF(Upgrades!$T$18="Open Cluster",POWER(Upgrades!$U$18,J249),1)*IF(Upgrades!$T$19="Open Cluster",POWER(Upgrades!$U$19,K249),1)*IF(Upgrades!$T$21="Open Cluster",POWER(Upgrades!$U$21,M249),1))+(IF(M249=0,0,(Upgrades!$J$21+M249*Upgrades!$K$21)*POWER(Upgrades!$L$21,M249)))*(IF(Upgrades!$T$13="Moving Group",POWER(Upgrades!$U$13,E249),1)*IF(Upgrades!$T$14="Moving Group",POWER(Upgrades!$U$14,F249),1)*IF(Upgrades!$T$15="Moving Group",POWER(Upgrades!$U$15,G249),1)*IF(Upgrades!$T$16="Moving Group",POWER(Upgrades!$U$16,H249),1)*IF(Upgrades!$T$17="Moving Group",POWER(Upgrades!$U$17,I249),1)*IF(Upgrades!$T$18="Moving Group",POWER(Upgrades!$U$18,J249),1)*IF(Upgrades!$T$19="Moving Group",POWER(Upgrades!$U$19,K249),1)*IF(Upgrades!$T$20="Moving Group",POWER(Upgrades!$U$20,L249),1)))*POWER(Upgrades!$Q$13,E249)*POWER(Upgrades!$Q$14,F249)*POWER(Upgrades!$Q$15,G249)*POWER(Upgrades!$Q$16,H249)*POWER(Upgrades!$Q$17,I249)*POWER(Upgrades!$Q$18,J249)*POWER(Upgrades!$Q$19,K249)*POWER(Upgrades!$Q$20,L249)*POWER(Upgrades!$Q$21,M249)*$G$6+$D$6</f>
        <v/>
      </c>
      <c r="P249" s="28">
        <f>((IF(E249=0,0,(Upgrades!$G$13+E249*Upgrades!$H$13)*POWER(Upgrades!$I$13,E249)))*(IF(Upgrades!$T$14="Stellar Kinematics",POWER(Upgrades!$U$14,F249),1)*IF(Upgrades!$T$15="Stellar Kinematics",POWER(Upgrades!$U$15,G249),1)*IF(Upgrades!$T$16="Stellar Kinematics",POWER(Upgrades!$U$16,H249),1)*IF(Upgrades!$T$17="Stellar Kinematics",POWER(Upgrades!$U$17,I249),1)*IF(Upgrades!$T$18="Stellar Kinematics",POWER(Upgrades!$U$18,J249),1)*IF(Upgrades!$T$19="Stellar Kinematics",POWER(Upgrades!$U$19,K249),1)*IF(Upgrades!$T$20="Stellar Kinematics",POWER(Upgrades!$U$20,L249),1)*IF(Upgrades!$T$21="Stellar Kinematics",POWER(Upgrades!$U$21,M249),1))+(IF(F249=0,0,(Upgrades!$G$14+F249*Upgrades!$H$14)*POWER(Upgrades!$I$14,F249)))*(IF(Upgrades!$T$13="Local Bubble",POWER(Upgrades!$U$13,E249),1)*IF(Upgrades!$T$15="Local Bubble",POWER(Upgrades!$U$15,G249),1)*IF(Upgrades!$T$16="Local Bubble",POWER(Upgrades!$U$16,H249),1)*IF(Upgrades!$T$17="Local Bubble",POWER(Upgrades!$U$17,I249),1)*IF(Upgrades!$T$18="Local Bubble",POWER(Upgrades!$U$18,J249),1)*IF(Upgrades!$T$19="Local Bubble",POWER(Upgrades!$U$19,K249),1)*IF(Upgrades!$T$20="Local Bubble",POWER(Upgrades!$U$20,L249),1)*IF(Upgrades!$T$21="Local Bubble",POWER(Upgrades!$U$21,M249),1))+(IF(G249=0,0,(Upgrades!$G$15+G249*Upgrades!$H$15)*POWER(Upgrades!$I$15,G249)))*(IF(Upgrades!$T$13="Microlensing",POWER(Upgrades!$U$13,E249),1)*IF(Upgrades!$T$14="Microlensing",POWER(Upgrades!$U$14,F249),1)*IF(Upgrades!$T$16="Microlensing",POWER(Upgrades!$U$16,H249),1)*IF(Upgrades!$T$17="Microlensing",POWER(Upgrades!$U$17,I249),1)*IF(Upgrades!$T$18="Microlensing",POWER(Upgrades!$U$18,J249),1)*IF(Upgrades!$T$19="Microlensing",POWER(Upgrades!$U$19,K249),1)*IF(Upgrades!$T$20="Microlensing",POWER(Upgrades!$U$20,L249),1)*IF(Upgrades!$T$21="Microlensing",POWER(Upgrades!$U$21,M249),1))+(IF(H249=0,0,(Upgrades!$G$16+H249*Upgrades!$H$16)*POWER(Upgrades!$I$16,H249)))*(IF(Upgrades!$T$13="Roche Lobe Overflow",POWER(Upgrades!$U$13,E249),1)*IF(Upgrades!$T$14="Roche Lobe Overflow",POWER(Upgrades!$U$14,F249),1)*IF(Upgrades!$T$15="Roche Lobe Overflow",POWER(Upgrades!$U$15,G249),1)*IF(Upgrades!$T$17="Roche Lobe Overflow",POWER(Upgrades!$U$17,I249),1)*IF(Upgrades!$T$18="Roche Lobe Overflow",POWER(Upgrades!$U$18,J249),1)*IF(Upgrades!$T$19="Roche Lobe Overflow",POWER(Upgrades!$U$19,K249),1)*IF(Upgrades!$T$20="Roche Lobe Overflow",POWER(Upgrades!$U$20,L249),1)*IF(Upgrades!$T$21="Roche Lobe Overflow",POWER(Upgrades!$U$21,M249),1))+(IF(I249=0,0,(Upgrades!$G$17+I249*Upgrades!$H$17)*POWER(Upgrades!$I$17,I249)))*(IF(Upgrades!$T$13="Brown Dwarf",POWER(Upgrades!$U$13,E249),1)*IF(Upgrades!$T$14="Brown Dwarf",POWER(Upgrades!$U$14,F249),1)*IF(Upgrades!$T$15="Brown Dwarf",POWER(Upgrades!$U$15,G249),1)*IF(Upgrades!$T$16="Brown Dwarf",POWER(Upgrades!$U$16,H249),1)*IF(Upgrades!$T$18="Brown Dwarf",POWER(Upgrades!$U$18,J249),1)*IF(Upgrades!$T$19="Brown Dwarf",POWER(Upgrades!$U$19,K249),1)*IF(Upgrades!$T$20="Brown Dwarf",POWER(Upgrades!$U$20,L249),1)*IF(Upgrades!$T$21="Brown Dwarf",POWER(Upgrades!$U$21,M249),1))+(IF(J249=0,0,(Upgrades!$G$18+J249*Upgrades!$H$18)*POWER(Upgrades!$I$18,J249)))*(IF(Upgrades!$T$13="Binary Partner",POWER(Upgrades!$U$13,E249),1)*IF(Upgrades!$T$14="Binary Partner",POWER(Upgrades!$U$14,F249),1)*IF(Upgrades!$T$15="Binary Partner",POWER(Upgrades!$U$15,G249),1)*IF(Upgrades!$T$16="Binary Partner",POWER(Upgrades!$U$16,H249),1)*IF(Upgrades!$T$17="Binary Partner",POWER(Upgrades!$U$17,I249),1)*IF(Upgrades!$T$19="Binary Partner",POWER(Upgrades!$U$19,K249),1)*IF(Upgrades!$T$20="Binary Partner",POWER(Upgrades!$U$20,L249),1)*IF(Upgrades!$T$21="Binary Partner",POWER(Upgrades!$U$21,M249),1))+(IF(K249=0,0,(Upgrades!$G$19+K249*Upgrades!$H$19)*POWER(Upgrades!$I$19,K249)))*(IF(Upgrades!$T$13="Peculiar Velocity",POWER(Upgrades!$U$13,E249),1)*IF(Upgrades!$T$14="Peculiar Velocity",POWER(Upgrades!$U$14,F249),1)*IF(Upgrades!$T$15="Peculiar Velocity",POWER(Upgrades!$U$15,G249),1)*IF(Upgrades!$T$16="Peculiar Velocity",POWER(Upgrades!$U$16,H249),1)*IF(Upgrades!$T$17="Peculiar Velocity",POWER(Upgrades!$U$17,I249),1)*IF(Upgrades!$T$18="Peculiar Velocity",POWER(Upgrades!$U$18,J249),1)*IF(Upgrades!$T$20="Peculiar Velocity",POWER(Upgrades!$U$20,L249),1)*IF(Upgrades!$T$21="Peculiar Velocity",POWER(Upgrades!$U$21,M249),1))+(IF(L249=0,0,(Upgrades!$G$20+L249*Upgrades!$H$20)*POWER(Upgrades!$I$20,L249)))*(IF(Upgrades!$T$13="Open Cluster",POWER(Upgrades!$U$13,E249),1)*IF(Upgrades!$T$14="Open Cluster",POWER(Upgrades!$U$14,F249),1)*IF(Upgrades!$T$15="Open Cluster",POWER(Upgrades!$U$15,G249),1)*IF(Upgrades!$T$16="Open Cluster",POWER(Upgrades!$U$16,H249),1)*IF(Upgrades!$T$17="Open Cluster",POWER(Upgrades!$U$17,I249),1)*IF(Upgrades!$T$18="Open Cluster",POWER(Upgrades!$U$18,J249),1)*IF(Upgrades!$T$19="Open Cluster",POWER(Upgrades!$U$19,K249),1)*IF(Upgrades!$T$21="Open Cluster",POWER(Upgrades!$U$21,M249),1))+(IF(M249=0,0,(Upgrades!$G$21+M249*Upgrades!$H$21)*POWER(Upgrades!$I$21,M249)))*(IF(Upgrades!$T$13="Moving Group",POWER(Upgrades!$U$13,E249),1)*IF(Upgrades!$T$14="Moving Group",POWER(Upgrades!$U$14,F249),1)*IF(Upgrades!$T$15="Moving Group",POWER(Upgrades!$U$15,G249),1)*IF(Upgrades!$T$16="Moving Group",POWER(Upgrades!$U$16,H249),1)*IF(Upgrades!$T$17="Moving Group",POWER(Upgrades!$U$17,I249),1)*IF(Upgrades!$T$18="Moving Group",POWER(Upgrades!$U$18,J249),1)*IF(Upgrades!$T$19="Moving Group",POWER(Upgrades!$U$19,K249),1)*IF(Upgrades!$T$20="Moving Group",POWER(Upgrades!$U$20,L249),1)))*POWER(Upgrades!$P$13,E249)*POWER(Upgrades!$P$14,F249)*POWER(Upgrades!$P$15,G249)*POWER(Upgrades!$P$16,H249)*POWER(Upgrades!$P$17,I249)*POWER(Upgrades!$P$18,J249)*POWER(Upgrades!$P$19,K249)*POWER(Upgrades!$P$20,L249)*POWER(Upgrades!$P$21,M249)*$F$6+$C$6</f>
        <v/>
      </c>
      <c r="Q249" s="28">
        <f>((IF(E249=0,0,(Upgrades!$M$13+E249*Upgrades!$N$13)*POWER(Upgrades!$O$13,E249)))*(IF(Upgrades!$T$14="Stellar Kinematics",POWER(Upgrades!$U$14,F249),1)*IF(Upgrades!$T$15="Stellar Kinematics",POWER(Upgrades!$U$15,G249),1)*IF(Upgrades!$T$16="Stellar Kinematics",POWER(Upgrades!$U$16,H249),1)*IF(Upgrades!$T$17="Stellar Kinematics",POWER(Upgrades!$U$17,I249),1)*IF(Upgrades!$T$18="Stellar Kinematics",POWER(Upgrades!$U$18,J249),1)*IF(Upgrades!$T$19="Stellar Kinematics",POWER(Upgrades!$U$19,K249),1)*IF(Upgrades!$T$20="Stellar Kinematics",POWER(Upgrades!$U$20,L249),1)*IF(Upgrades!$T$21="Stellar Kinematics",POWER(Upgrades!$U$21,M249),1))+(IF(F249=0,0,(Upgrades!$M$14+F249*Upgrades!$N$14)*POWER(Upgrades!$O$14,F249)))*(IF(Upgrades!$T$13="Local Bubble",POWER(Upgrades!$U$13,E249),1)*IF(Upgrades!$T$15="Local Bubble",POWER(Upgrades!$U$15,G249),1)*IF(Upgrades!$T$16="Local Bubble",POWER(Upgrades!$U$16,H249),1)*IF(Upgrades!$T$17="Local Bubble",POWER(Upgrades!$U$17,I249),1)*IF(Upgrades!$T$18="Local Bubble",POWER(Upgrades!$U$18,J249),1)*IF(Upgrades!$T$19="Local Bubble",POWER(Upgrades!$U$19,K249),1)*IF(Upgrades!$T$20="Local Bubble",POWER(Upgrades!$U$20,L249),1)*IF(Upgrades!$T$21="Local Bubble",POWER(Upgrades!$U$21,M249),1))+(IF(G249=0,0,(Upgrades!$M$15+G249*Upgrades!$N$15)*POWER(Upgrades!$O$15,G249)))*(IF(Upgrades!$T$13="Microlensing",POWER(Upgrades!$U$13,E249),1)*IF(Upgrades!$T$14="Microlensing",POWER(Upgrades!$U$14,F249),1)*IF(Upgrades!$T$16="Microlensing",POWER(Upgrades!$U$16,H249),1)*IF(Upgrades!$T$17="Microlensing",POWER(Upgrades!$U$17,I249),1)*IF(Upgrades!$T$18="Microlensing",POWER(Upgrades!$U$18,J249),1)*IF(Upgrades!$T$19="Microlensing",POWER(Upgrades!$U$19,K249),1)*IF(Upgrades!$T$20="Microlensing",POWER(Upgrades!$U$20,L249),1)*IF(Upgrades!$T$21="Microlensing",POWER(Upgrades!$U$21,M249),1))+(IF(H249=0,0,(Upgrades!$M$16+H249*Upgrades!$N$16)*POWER(Upgrades!$O$16,H249)))*(IF(Upgrades!$T$13="Roche Lobe Overflow",POWER(Upgrades!$U$13,E249),1)*IF(Upgrades!$T$14="Roche Lobe Overflow",POWER(Upgrades!$U$14,F249),1)*IF(Upgrades!$T$15="Roche Lobe Overflow",POWER(Upgrades!$U$15,G249),1)*IF(Upgrades!$T$17="Roche Lobe Overflow",POWER(Upgrades!$U$17,I249),1)*IF(Upgrades!$T$18="Roche Lobe Overflow",POWER(Upgrades!$U$18,J249),1)*IF(Upgrades!$T$19="Roche Lobe Overflow",POWER(Upgrades!$U$19,K249),1)*IF(Upgrades!$T$20="Roche Lobe Overflow",POWER(Upgrades!$U$20,L249),1)*IF(Upgrades!$T$21="Roche Lobe Overflow",POWER(Upgrades!$U$21,M249),1))+(IF(I249=0,0,(Upgrades!$M$17+I249*Upgrades!$N$17)*POWER(Upgrades!$O$17,I249)))*(IF(Upgrades!$T$13="Brown Dwarf",POWER(Upgrades!$U$13,E249),1)*IF(Upgrades!$T$14="Brown Dwarf",POWER(Upgrades!$U$14,F249),1)*IF(Upgrades!$T$15="Brown Dwarf",POWER(Upgrades!$U$15,G249),1)*IF(Upgrades!$T$16="Brown Dwarf",POWER(Upgrades!$U$16,H249),1)*IF(Upgrades!$T$18="Brown Dwarf",POWER(Upgrades!$U$18,J249),1)*IF(Upgrades!$T$19="Brown Dwarf",POWER(Upgrades!$U$19,K249),1)*IF(Upgrades!$T$20="Brown Dwarf",POWER(Upgrades!$U$20,L249),1)*IF(Upgrades!$T$21="Brown Dwarf",POWER(Upgrades!$U$21,M249),1))+(IF(J249=0,0,(Upgrades!$M$18+J249*Upgrades!$N$18)*POWER(Upgrades!$O$18,J249)))*(IF(Upgrades!$T$13="Binary Partner",POWER(Upgrades!$U$13,E249),1)*IF(Upgrades!$T$14="Binary Partner",POWER(Upgrades!$U$14,F249),1)*IF(Upgrades!$T$15="Binary Partner",POWER(Upgrades!$U$15,G249),1)*IF(Upgrades!$T$16="Binary Partner",POWER(Upgrades!$U$16,H249),1)*IF(Upgrades!$T$17="Binary Partner",POWER(Upgrades!$U$17,I249),1)*IF(Upgrades!$T$19="Binary Partner",POWER(Upgrades!$U$19,K249),1)*IF(Upgrades!$T$20="Binary Partner",POWER(Upgrades!$U$20,L249),1)*IF(Upgrades!$T$21="Binary Partner",POWER(Upgrades!$U$21,M249),1))+(IF(K249=0,0,(Upgrades!$M$19+K249*Upgrades!$N$19)*POWER(Upgrades!$O$19,K249)))*(IF(Upgrades!$T$13="Peculiar Velocity",POWER(Upgrades!$U$13,E249),1)*IF(Upgrades!$T$14="Peculiar Velocity",POWER(Upgrades!$U$14,F249),1)*IF(Upgrades!$T$15="Peculiar Velocity",POWER(Upgrades!$U$15,G249),1)*IF(Upgrades!$T$16="Peculiar Velocity",POWER(Upgrades!$U$16,H249),1)*IF(Upgrades!$T$17="Peculiar Velocity",POWER(Upgrades!$U$17,I249),1)*IF(Upgrades!$T$18="Peculiar Velocity",POWER(Upgrades!$U$18,J249),1)*IF(Upgrades!$T$20="Peculiar Velocity",POWER(Upgrades!$U$20,L249),1)*IF(Upgrades!$T$21="Peculiar Velocity",POWER(Upgrades!$U$21,M249),1))+(IF(L249=0,0,(Upgrades!$M$20+L249*Upgrades!$N$20)*POWER(Upgrades!$O$20,L249)))*(IF(Upgrades!$T$13="Open Cluster",POWER(Upgrades!$U$13,E249),1)*IF(Upgrades!$T$14="Open Cluster",POWER(Upgrades!$U$14,F249),1)*IF(Upgrades!$T$15="Open Cluster",POWER(Upgrades!$U$15,G249),1)*IF(Upgrades!$T$16="Open Cluster",POWER(Upgrades!$U$16,H249),1)*IF(Upgrades!$T$17="Open Cluster",POWER(Upgrades!$U$17,I249),1)*IF(Upgrades!$T$18="Open Cluster",POWER(Upgrades!$U$18,J249),1)*IF(Upgrades!$T$19="Open Cluster",POWER(Upgrades!$U$19,K249),1)*IF(Upgrades!$T$21="Open Cluster",POWER(Upgrades!$U$21,M249),1))+(IF(M249=0,0,(Upgrades!$M$21+M249*Upgrades!$N$21)*POWER(Upgrades!$O$21,M249)))*(IF(Upgrades!$T$13="Moving Group",POWER(Upgrades!$U$13,E249),1)*IF(Upgrades!$T$14="Moving Group",POWER(Upgrades!$U$14,F249),1)*IF(Upgrades!$T$15="Moving Group",POWER(Upgrades!$U$15,G249),1)*IF(Upgrades!$T$16="Moving Group",POWER(Upgrades!$U$16,H249),1)*IF(Upgrades!$T$17="Moving Group",POWER(Upgrades!$U$17,I249),1)*IF(Upgrades!$T$18="Moving Group",POWER(Upgrades!$U$18,J249),1)*IF(Upgrades!$T$19="Moving Group",POWER(Upgrades!$U$19,K249),1)*IF(Upgrades!$T$20="Moving Group",POWER(Upgrades!$U$20,L249),1)))*POWER(Upgrades!$R$13,E249)*POWER(Upgrades!$R$14,F249)*POWER(Upgrades!$R$15,G249)*POWER(Upgrades!$R$16,H249)*POWER(Upgrades!$R$17,I249)*POWER(Upgrades!$R$18,J249)*POWER(Upgrades!$R$19,K249)*POWER(Upgrades!$R$20,L249)*POWER(Upgrades!$R$21,M249)*$H$6+$E$6</f>
        <v/>
      </c>
      <c r="R249" s="27">
        <f>IF(N249=1,0,O249*Parameters!$B$10/60*Parameters!$B$11*10)</f>
        <v/>
      </c>
      <c r="S249" s="27">
        <f>IF(N249=1,0,Q249*O249*10)</f>
        <v/>
      </c>
      <c r="T249" s="27">
        <f>IF(N249=1,0,R249+S249+P249*10)</f>
        <v/>
      </c>
      <c r="U249" s="33">
        <f>BE249</f>
        <v/>
      </c>
      <c r="V249" s="22">
        <f>IF(U249="",0,IF(U249="transition",0,IF(U249="SK",AK249,IF(U249="LB",AL249,IF(U249="ML",AM249,IF(U249="RLO",AN249,IF(U249="BD",AO249,IF(U249="BiP",AP249,IF(U249="PV",AQ249,IF(U249="OC",AR249,IF(U249="MG",AS249,0))))))))))</f>
        <v/>
      </c>
      <c r="W249" s="27">
        <f>IF(U249="BiP",Upgrades!$F$18,IF(U249="PV",Upgrades!$F$19,IF(U249="OC",Upgrades!$F$20,IF(U249="MG",Upgrades!$F$21,IF(U249="transition",-Parameters!$B$18*Parameters!$B$19,0)))))</f>
        <v/>
      </c>
      <c r="X249" s="22">
        <f>C249+T249-V249</f>
        <v/>
      </c>
      <c r="Y249" s="30">
        <f>O249*Parameters!$B$10/60*Parameters!$B$11+Q249*O249+P249</f>
        <v/>
      </c>
      <c r="Z249" s="34">
        <f>IF(U249="transition","→ Tier 3 (Galactic Arm)",IF(U249="MG","Moving Group — pocket drifts together",IF(U249="OC","Open Cluster acquired",IF(U249="PV","Peculiar Velocity — passive multiplier active",IF(U249="BiP","Binary Partner — pair bond formed",IF(AND(AU249=1,N249=0,AT249&lt;&gt;1),"Cohesion ready (waiting on completionists)","")))))) </f>
        <v/>
      </c>
      <c r="AA249" s="27">
        <f>(IF(E249=0,0,(Upgrades!$G$13+E249*Upgrades!$H$13)*POWER(Upgrades!$I$13,E249)))*(IF(Upgrades!$T$14="Stellar Kinematics",POWER(Upgrades!$U$14,F249),1)*IF(Upgrades!$T$15="Stellar Kinematics",POWER(Upgrades!$U$15,G249),1)*IF(Upgrades!$T$16="Stellar Kinematics",POWER(Upgrades!$U$16,H249),1)*IF(Upgrades!$T$17="Stellar Kinematics",POWER(Upgrades!$U$17,I249),1)*IF(Upgrades!$T$18="Stellar Kinematics",POWER(Upgrades!$U$18,J249),1)*IF(Upgrades!$T$19="Stellar Kinematics",POWER(Upgrades!$U$19,K249),1)*IF(Upgrades!$T$20="Stellar Kinematics",POWER(Upgrades!$U$20,L249),1)*IF(Upgrades!$T$21="Stellar Kinematics",POWER(Upgrades!$U$21,M249),1))*POWER(Upgrades!$P$13,E249)*POWER(Upgrades!$P$14,F249)*POWER(Upgrades!$P$15,G249)*POWER(Upgrades!$P$16,H249)*POWER(Upgrades!$P$17,I249)*POWER(Upgrades!$P$18,J249)*POWER(Upgrades!$P$19,K249)*POWER(Upgrades!$P$20,L249)*POWER(Upgrades!$P$21,M249)*$F$6*60</f>
        <v/>
      </c>
      <c r="AB249" s="27">
        <f>(IF(F249=0,0,(Upgrades!$G$14+F249*Upgrades!$H$14)*POWER(Upgrades!$I$14,F249)))*(IF(Upgrades!$T$13="Local Bubble",POWER(Upgrades!$U$13,E249),1)*IF(Upgrades!$T$15="Local Bubble",POWER(Upgrades!$U$15,G249),1)*IF(Upgrades!$T$16="Local Bubble",POWER(Upgrades!$U$16,H249),1)*IF(Upgrades!$T$17="Local Bubble",POWER(Upgrades!$U$17,I249),1)*IF(Upgrades!$T$18="Local Bubble",POWER(Upgrades!$U$18,J249),1)*IF(Upgrades!$T$19="Local Bubble",POWER(Upgrades!$U$19,K249),1)*IF(Upgrades!$T$20="Local Bubble",POWER(Upgrades!$U$20,L249),1)*IF(Upgrades!$T$21="Local Bubble",POWER(Upgrades!$U$21,M249),1))*POWER(Upgrades!$P$13,E249)*POWER(Upgrades!$P$14,F249)*POWER(Upgrades!$P$15,G249)*POWER(Upgrades!$P$16,H249)*POWER(Upgrades!$P$17,I249)*POWER(Upgrades!$P$18,J249)*POWER(Upgrades!$P$19,K249)*POWER(Upgrades!$P$20,L249)*POWER(Upgrades!$P$21,M249)*$F$6*60</f>
        <v/>
      </c>
      <c r="AC249" s="27">
        <f>(IF(G249=0,0,(Upgrades!$J$15+G249*Upgrades!$K$15)*POWER(Upgrades!$L$15,G249)))*(IF(Upgrades!$T$13="Microlensing",POWER(Upgrades!$U$13,E249),1)*IF(Upgrades!$T$14="Microlensing",POWER(Upgrades!$U$14,F249),1)*IF(Upgrades!$T$16="Microlensing",POWER(Upgrades!$U$16,H249),1)*IF(Upgrades!$T$17="Microlensing",POWER(Upgrades!$U$17,I249),1)*IF(Upgrades!$T$18="Microlensing",POWER(Upgrades!$U$18,J249),1)*IF(Upgrades!$T$19="Microlensing",POWER(Upgrades!$U$19,K249),1)*IF(Upgrades!$T$20="Microlensing",POWER(Upgrades!$U$20,L249),1)*IF(Upgrades!$T$21="Microlensing",POWER(Upgrades!$U$21,M249),1))*POWER(Upgrades!$Q$13,E249)*POWER(Upgrades!$Q$14,F249)*POWER(Upgrades!$Q$15,G249)*POWER(Upgrades!$Q$16,H249)*POWER(Upgrades!$Q$17,I249)*POWER(Upgrades!$Q$18,J249)*POWER(Upgrades!$Q$19,K249)*POWER(Upgrades!$Q$20,L249)*POWER(Upgrades!$Q$21,M249)*$G$6*(Parameters!$B$10*Parameters!$B$11+Q249*60)</f>
        <v/>
      </c>
      <c r="AD249" s="27">
        <f>(IF(H249=0,0,(Upgrades!$M$16+H249*Upgrades!$N$16)*POWER(Upgrades!$O$16,H249)))*(IF(Upgrades!$T$13="Roche Lobe Overflow",POWER(Upgrades!$U$13,E249),1)*IF(Upgrades!$T$14="Roche Lobe Overflow",POWER(Upgrades!$U$14,F249),1)*IF(Upgrades!$T$15="Roche Lobe Overflow",POWER(Upgrades!$U$15,G249),1)*IF(Upgrades!$T$17="Roche Lobe Overflow",POWER(Upgrades!$U$17,I249),1)*IF(Upgrades!$T$18="Roche Lobe Overflow",POWER(Upgrades!$U$18,J249),1)*IF(Upgrades!$T$19="Roche Lobe Overflow",POWER(Upgrades!$U$19,K249),1)*IF(Upgrades!$T$20="Roche Lobe Overflow",POWER(Upgrades!$U$20,L249),1)*IF(Upgrades!$T$21="Roche Lobe Overflow",POWER(Upgrades!$U$21,M249),1))*POWER(Upgrades!$R$13,E249)*POWER(Upgrades!$R$14,F249)*POWER(Upgrades!$R$15,G249)*POWER(Upgrades!$R$16,H249)*POWER(Upgrades!$R$17,I249)*POWER(Upgrades!$R$18,J249)*POWER(Upgrades!$R$19,K249)*POWER(Upgrades!$R$20,L249)*POWER(Upgrades!$R$21,M249)*$H$6*O249*60</f>
        <v/>
      </c>
      <c r="AE249" s="27">
        <f>(IF(I249=0,0,(Upgrades!$G$17+I249*Upgrades!$H$17)*POWER(Upgrades!$I$17,I249)))*(IF(Upgrades!$T$13="Brown Dwarf",POWER(Upgrades!$U$13,E249),1)*IF(Upgrades!$T$14="Brown Dwarf",POWER(Upgrades!$U$14,F249),1)*IF(Upgrades!$T$15="Brown Dwarf",POWER(Upgrades!$U$15,G249),1)*IF(Upgrades!$T$16="Brown Dwarf",POWER(Upgrades!$U$16,H249),1)*IF(Upgrades!$T$18="Brown Dwarf",POWER(Upgrades!$U$18,J249),1)*IF(Upgrades!$T$19="Brown Dwarf",POWER(Upgrades!$U$19,K249),1)*IF(Upgrades!$T$20="Brown Dwarf",POWER(Upgrades!$U$20,L249),1)*IF(Upgrades!$T$21="Brown Dwarf",POWER(Upgrades!$U$21,M249),1))*POWER(Upgrades!$P$13,E249)*POWER(Upgrades!$P$14,F249)*POWER(Upgrades!$P$15,G249)*POWER(Upgrades!$P$16,H249)*POWER(Upgrades!$P$17,I249)*POWER(Upgrades!$P$18,J249)*POWER(Upgrades!$P$19,K249)*POWER(Upgrades!$P$20,L249)*POWER(Upgrades!$P$21,M249)*$F$6*60</f>
        <v/>
      </c>
      <c r="AF249" s="27" t="n">
        <v>0</v>
      </c>
      <c r="AG249" s="27" t="n">
        <v>0</v>
      </c>
      <c r="AH249" s="27" t="n">
        <v>0</v>
      </c>
      <c r="AI249" s="27">
        <f>(IF(M249=0,0,(Upgrades!$G$21+M249*Upgrades!$H$21)*POWER(Upgrades!$I$21,M249)))*(IF(Upgrades!$T$13="Moving Group",POWER(Upgrades!$U$13,E249),1)*IF(Upgrades!$T$14="Moving Group",POWER(Upgrades!$U$14,F249),1)*IF(Upgrades!$T$15="Moving Group",POWER(Upgrades!$U$15,G249),1)*IF(Upgrades!$T$16="Moving Group",POWER(Upgrades!$U$16,H249),1)*IF(Upgrades!$T$17="Moving Group",POWER(Upgrades!$U$17,I249),1)*IF(Upgrades!$T$18="Moving Group",POWER(Upgrades!$U$18,J249),1)*IF(Upgrades!$T$19="Moving Group",POWER(Upgrades!$U$19,K249),1)*IF(Upgrades!$T$20="Moving Group",POWER(Upgrades!$U$20,L249),1))*POWER(Upgrades!$P$13,E249)*POWER(Upgrades!$P$14,F249)*POWER(Upgrades!$P$15,G249)*POWER(Upgrades!$P$16,H249)*POWER(Upgrades!$P$17,I249)*POWER(Upgrades!$P$18,J249)*POWER(Upgrades!$P$19,K249)*POWER(Upgrades!$P$20,L249)*POWER(Upgrades!$P$21,M249)*$F$6*60</f>
        <v/>
      </c>
      <c r="AJ249" s="27">
        <f>$C$6*60</f>
        <v/>
      </c>
      <c r="AK249" s="22">
        <f>IF(E249&gt;=Upgrades!$E$13,"",Upgrades!$C$13*POWER(Upgrades!$D$13,E249))</f>
        <v/>
      </c>
      <c r="AL249" s="22">
        <f>IF(F249&gt;=Upgrades!$E$14,"",Upgrades!$C$14*POWER(Upgrades!$D$14,F249))</f>
        <v/>
      </c>
      <c r="AM249" s="22">
        <f>IF(G249&gt;=Upgrades!$E$15,"",Upgrades!$C$15*POWER(Upgrades!$D$15,G249))</f>
        <v/>
      </c>
      <c r="AN249" s="22">
        <f>IF(H249&gt;=Upgrades!$E$16,"",Upgrades!$C$16*POWER(Upgrades!$D$16,H249))</f>
        <v/>
      </c>
      <c r="AO249" s="22">
        <f>IF(I249&gt;=Upgrades!$E$17,"",Upgrades!$C$17*POWER(Upgrades!$D$17,I249))</f>
        <v/>
      </c>
      <c r="AP249" s="22">
        <f>IF(J249&gt;=Upgrades!$E$18,"",Upgrades!$C$18*POWER(Upgrades!$D$18,J249))</f>
        <v/>
      </c>
      <c r="AQ249" s="22">
        <f>IF(K249&gt;=Upgrades!$E$19,"",Upgrades!$C$19*POWER(Upgrades!$D$19,K249))</f>
        <v/>
      </c>
      <c r="AR249" s="22">
        <f>IF(L249&gt;=Upgrades!$E$20,"",Upgrades!$C$20*POWER(Upgrades!$D$20,L249))</f>
        <v/>
      </c>
      <c r="AS249" s="22">
        <f>IF(M249&gt;=Upgrades!$E$21,"",Upgrades!$C$21*POWER(Upgrades!$D$21,M249))</f>
        <v/>
      </c>
      <c r="AT249" s="26">
        <f>IF(AND(D249&gt;=Parameters!$B$18*Parameters!$B$19,(I249&gt;=Upgrades!$E$17)*(M249&gt;=Upgrades!$E$21)=1,N249=0),1,"")</f>
        <v/>
      </c>
      <c r="AU249" s="26">
        <f>IF(AND(D249&gt;=Parameters!$B$18*Parameters!$B$19,N249=0),1,"")</f>
        <v/>
      </c>
      <c r="AV249" s="22">
        <f>MIN(IF(ISNUMBER(AP249),AP249,9E15),IF(ISNUMBER(AQ249),AQ249,9E15),IF(ISNUMBER(AR249),AR249,9E15),IF(ISNUMBER(AS249),AS249,9E15))</f>
        <v/>
      </c>
      <c r="AW249" s="22">
        <f>MIN(IF(ISNUMBER(AK249),AK249,9E15),IF(ISNUMBER(AL249),AL249,9E15),IF(ISNUMBER(AM249),AM249,9E15),IF(ISNUMBER(AN249),AN249,9E15),IF(ISNUMBER(AO249),AO249,9E15))</f>
        <v/>
      </c>
      <c r="AX249" s="29">
        <f>IF(BD249&gt;Parameters!$B$21*(MAX(IF(AND(NOT(AND(AU249=1,AT249&lt;&gt;1)),ISNUMBER(AK249),AK249&lt;=(C249+T249)),AY249,0),IF(AND(NOT(AND(AU249=1,AT249&lt;&gt;1)),ISNUMBER(AL249),AL249&lt;=(C249+T249)),AZ249,0),IF(AND(NOT(AND(AU249=1,AT249&lt;&gt;1)),ISNUMBER(AM249),AM249&lt;=(C249+T249)),BA249,0),IF(AND(NOT(AND(AU249=1,AT249&lt;&gt;1)),ISNUMBER(AN249),AN249&lt;=(C249+T249)),BB249,0),IF(AND(ISNUMBER(AO249),AO249&lt;=(C249+T249)),BC249,0))),TRUE,FALSE)</f>
        <v/>
      </c>
      <c r="AY249" s="32">
        <f>IFERROR(Upgrades!$H$13*(POWER(Upgrades!$P$13,E249)*POWER(Upgrades!$P$14,F249)*POWER(Upgrades!$P$15,G249)*POWER(Upgrades!$P$16,H249)*POWER(Upgrades!$P$17,I249)*POWER(Upgrades!$P$18,J249)*POWER(Upgrades!$P$19,K249)*POWER(Upgrades!$P$20,L249)*POWER(Upgrades!$P$21,M249))*(IF(Upgrades!$T$14="Stellar Kinematics",POWER(Upgrades!$U$14,F249),1)*IF(Upgrades!$T$15="Stellar Kinematics",POWER(Upgrades!$U$15,G249),1)*IF(Upgrades!$T$16="Stellar Kinematics",POWER(Upgrades!$U$16,H249),1)*IF(Upgrades!$T$17="Stellar Kinematics",POWER(Upgrades!$U$17,I249),1)*IF(Upgrades!$T$18="Stellar Kinematics",POWER(Upgrades!$U$18,J249),1)*IF(Upgrades!$T$19="Stellar Kinematics",POWER(Upgrades!$U$19,K249),1)*IF(Upgrades!$T$20="Stellar Kinematics",POWER(Upgrades!$U$20,L249),1)*IF(Upgrades!$T$21="Stellar Kinematics",POWER(Upgrades!$U$21,M249),1))*$F$6/AK249,0)</f>
        <v/>
      </c>
      <c r="AZ249" s="32">
        <f>IFERROR(Upgrades!$H$14*(POWER(Upgrades!$P$13,E249)*POWER(Upgrades!$P$14,F249)*POWER(Upgrades!$P$15,G249)*POWER(Upgrades!$P$16,H249)*POWER(Upgrades!$P$17,I249)*POWER(Upgrades!$P$18,J249)*POWER(Upgrades!$P$19,K249)*POWER(Upgrades!$P$20,L249)*POWER(Upgrades!$P$21,M249))*(IF(Upgrades!$T$13="Local Bubble",POWER(Upgrades!$U$13,E249),1)*IF(Upgrades!$T$15="Local Bubble",POWER(Upgrades!$U$15,G249),1)*IF(Upgrades!$T$16="Local Bubble",POWER(Upgrades!$U$16,H249),1)*IF(Upgrades!$T$17="Local Bubble",POWER(Upgrades!$U$17,I249),1)*IF(Upgrades!$T$18="Local Bubble",POWER(Upgrades!$U$18,J249),1)*IF(Upgrades!$T$19="Local Bubble",POWER(Upgrades!$U$19,K249),1)*IF(Upgrades!$T$20="Local Bubble",POWER(Upgrades!$U$20,L249),1)*IF(Upgrades!$T$21="Local Bubble",POWER(Upgrades!$U$21,M249),1))*$F$6/AL249,0)</f>
        <v/>
      </c>
      <c r="BA249" s="32">
        <f>IFERROR(Upgrades!$K$15*(POWER(Upgrades!$Q$13,E249)*POWER(Upgrades!$Q$14,F249)*POWER(Upgrades!$Q$15,G249)*POWER(Upgrades!$Q$16,H249)*POWER(Upgrades!$Q$17,I249)*POWER(Upgrades!$Q$18,J249)*POWER(Upgrades!$Q$19,K249)*POWER(Upgrades!$Q$20,L249)*POWER(Upgrades!$Q$21,M249))*(IF(Upgrades!$T$13="Microlensing",POWER(Upgrades!$U$13,E249),1)*IF(Upgrades!$T$14="Microlensing",POWER(Upgrades!$U$14,F249),1)*IF(Upgrades!$T$16="Microlensing",POWER(Upgrades!$U$16,H249),1)*IF(Upgrades!$T$17="Microlensing",POWER(Upgrades!$U$17,I249),1)*IF(Upgrades!$T$18="Microlensing",POWER(Upgrades!$U$18,J249),1)*IF(Upgrades!$T$19="Microlensing",POWER(Upgrades!$U$19,K249),1)*IF(Upgrades!$T$20="Microlensing",POWER(Upgrades!$U$20,L249),1)*IF(Upgrades!$T$21="Microlensing",POWER(Upgrades!$U$21,M249),1))*$G$6*(Parameters!$B$10/60*Parameters!$B$11+Q249)/AM249,0)</f>
        <v/>
      </c>
      <c r="BB249" s="32">
        <f>IFERROR((Upgrades!$N$16*(POWER(Upgrades!$R$13,E249)*POWER(Upgrades!$R$14,F249)*POWER(Upgrades!$R$15,G249)*POWER(Upgrades!$R$16,H249)*POWER(Upgrades!$R$17,I249)*POWER(Upgrades!$R$18,J249)*POWER(Upgrades!$R$19,K249)*POWER(Upgrades!$R$20,L249)*POWER(Upgrades!$R$21,M249))*(IF(Upgrades!$T$13="Roche Lobe Overflow",POWER(Upgrades!$U$13,E249),1)*IF(Upgrades!$T$14="Roche Lobe Overflow",POWER(Upgrades!$U$14,F249),1)*IF(Upgrades!$T$15="Roche Lobe Overflow",POWER(Upgrades!$U$15,G249),1)*IF(Upgrades!$T$17="Roche Lobe Overflow",POWER(Upgrades!$U$17,I249),1)*IF(Upgrades!$T$18="Roche Lobe Overflow",POWER(Upgrades!$U$18,J249),1)*IF(Upgrades!$T$19="Roche Lobe Overflow",POWER(Upgrades!$U$19,K249),1)*IF(Upgrades!$T$20="Roche Lobe Overflow",POWER(Upgrades!$U$20,L249),1)*IF(Upgrades!$T$21="Roche Lobe Overflow",POWER(Upgrades!$U$21,M249),1))*$H$6*O249+((IF(F249=0,0,(Upgrades!$G$14+F249*Upgrades!$H$14)*POWER(Upgrades!$I$14,F249)))*(IF(Upgrades!$T$13="Local Bubble",POWER(Upgrades!$U$13,E249),1)*IF(Upgrades!$T$15="Local Bubble",POWER(Upgrades!$U$15,G249),1)*IF(Upgrades!$T$16="Local Bubble",POWER(Upgrades!$U$16,H249),1)*IF(Upgrades!$T$17="Local Bubble",POWER(Upgrades!$U$17,I249),1)*IF(Upgrades!$T$18="Local Bubble",POWER(Upgrades!$U$18,J249),1)*IF(Upgrades!$T$19="Local Bubble",POWER(Upgrades!$U$19,K249),1)*IF(Upgrades!$T$20="Local Bubble",POWER(Upgrades!$U$20,L249),1)*IF(Upgrades!$T$21="Local Bubble",POWER(Upgrades!$U$21,M249),1))*POWER(Upgrades!$P$13,E249)*POWER(Upgrades!$P$14,F249)*POWER(Upgrades!$P$15,G249)*POWER(Upgrades!$P$16,H249)*POWER(Upgrades!$P$17,I249)*POWER(Upgrades!$P$18,J249)*POWER(Upgrades!$P$19,K249)*POWER(Upgrades!$P$20,L249)*POWER(Upgrades!$P$21,M249)*$F$6)*0.05)/AN249,0)</f>
        <v/>
      </c>
      <c r="BC249" s="32">
        <f>IFERROR((Upgrades!$H$17*(POWER(Upgrades!$P$13,E249)*POWER(Upgrades!$P$14,F249)*POWER(Upgrades!$P$15,G249)*POWER(Upgrades!$P$16,H249)*POWER(Upgrades!$P$17,I249)*POWER(Upgrades!$P$18,J249)*POWER(Upgrades!$P$19,K249)*POWER(Upgrades!$P$20,L249)*POWER(Upgrades!$P$21,M249))*(IF(Upgrades!$T$13="Brown Dwarf",POWER(Upgrades!$U$13,E249),1)*IF(Upgrades!$T$14="Brown Dwarf",POWER(Upgrades!$U$14,F249),1)*IF(Upgrades!$T$15="Brown Dwarf",POWER(Upgrades!$U$15,G249),1)*IF(Upgrades!$T$16="Brown Dwarf",POWER(Upgrades!$U$16,H249),1)*IF(Upgrades!$T$18="Brown Dwarf",POWER(Upgrades!$U$18,J249),1)*IF(Upgrades!$T$19="Brown Dwarf",POWER(Upgrades!$U$19,K249),1)*IF(Upgrades!$T$20="Brown Dwarf",POWER(Upgrades!$U$20,L249),1)*IF(Upgrades!$T$21="Brown Dwarf",POWER(Upgrades!$U$21,M249),1))*$F$6+(((IF(H249=0,0,(Upgrades!$M$16+H249*Upgrades!$N$16)*POWER(Upgrades!$O$16,H249)))*(IF(Upgrades!$T$13="Roche Lobe Overflow",POWER(Upgrades!$U$13,E249),1)*IF(Upgrades!$T$14="Roche Lobe Overflow",POWER(Upgrades!$U$14,F249),1)*IF(Upgrades!$T$15="Roche Lobe Overflow",POWER(Upgrades!$U$15,G249),1)*IF(Upgrades!$T$17="Roche Lobe Overflow",POWER(Upgrades!$U$17,I249),1)*IF(Upgrades!$T$18="Roche Lobe Overflow",POWER(Upgrades!$U$18,J249),1)*IF(Upgrades!$T$19="Roche Lobe Overflow",POWER(Upgrades!$U$19,K249),1)*IF(Upgrades!$T$20="Roche Lobe Overflow",POWER(Upgrades!$U$20,L249),1)*IF(Upgrades!$T$21="Roche Lobe Overflow",POWER(Upgrades!$U$21,M249),1))*POWER(Upgrades!$R$13,E249)*POWER(Upgrades!$R$14,F249)*POWER(Upgrades!$R$15,G249)*POWER(Upgrades!$R$16,H249)*POWER(Upgrades!$R$17,I249)*POWER(Upgrades!$R$18,J249)*POWER(Upgrades!$R$19,K249)*POWER(Upgrades!$R$20,L249)*POWER(Upgrades!$R$21,M249)*$H$6)*O249)*0.10)/AO249,0)</f>
        <v/>
      </c>
      <c r="BD249" s="32">
        <f>MAX(IF(J249&gt;0,0,IFERROR(0.5*((IF(G249=0,0,(Upgrades!$J$15+G249*Upgrades!$K$15)*POWER(Upgrades!$L$15,G249)))*(IF(Upgrades!$T$13="Microlensing",POWER(Upgrades!$U$13,E249),1)*IF(Upgrades!$T$14="Microlensing",POWER(Upgrades!$U$14,F249),1)*IF(Upgrades!$T$16="Microlensing",POWER(Upgrades!$U$16,H249),1)*IF(Upgrades!$T$17="Microlensing",POWER(Upgrades!$U$17,I249),1)*IF(Upgrades!$T$18="Microlensing",POWER(Upgrades!$U$18,J249),1)*IF(Upgrades!$T$19="Microlensing",POWER(Upgrades!$U$19,K249),1)*IF(Upgrades!$T$20="Microlensing",POWER(Upgrades!$U$20,L249),1)*IF(Upgrades!$T$21="Microlensing",POWER(Upgrades!$U$21,M249),1))*(POWER(Upgrades!$Q$13,E249)*POWER(Upgrades!$Q$14,F249)*POWER(Upgrades!$Q$15,G249)*POWER(Upgrades!$Q$16,H249)*POWER(Upgrades!$Q$17,I249)*POWER(Upgrades!$Q$18,J249)*POWER(Upgrades!$Q$19,K249)*POWER(Upgrades!$Q$20,L249)*POWER(Upgrades!$Q$21,M249))*$G$6*(Parameters!$B$10/60*Parameters!$B$11+Q249))/Upgrades!$C$18,0)),IF(K249&gt;0,0,IFERROR(0.30*P249/Upgrades!$C$19,0)),IF(L249&gt;0,0,IFERROR(0.0001/Upgrades!$C$20,0)),IF(M249&gt;0,0,IFERROR((6.0*(POWER(Upgrades!$P$13,E249)*POWER(Upgrades!$P$14,F249)*POWER(Upgrades!$P$15,G249)*POWER(Upgrades!$P$16,H249)*POWER(Upgrades!$P$17,I249)*POWER(Upgrades!$P$18,J249)*POWER(Upgrades!$P$19,K249)*POWER(Upgrades!$P$20,L249)*POWER(Upgrades!$P$21,M249))*$F$6+0.20*O249*(Parameters!$B$10/60*Parameters!$B$11+Q249))/Upgrades!$C$21,0)),IF(AND(ISNUMBER(AK249),AK249&gt;(C249+T249)),AY249,0),IF(AND(ISNUMBER(AL249),AL249&gt;(C249+T249)),AZ249,0),IF(AND(ISNUMBER(AM249),AM249&gt;(C249+T249)),BA249,0),IF(AND(ISNUMBER(AN249),AN249&gt;(C249+T249)),BB249,0),IF(AND(ISNUMBER(AO249),AO249&gt;(C249+T249)),BC249,0))</f>
        <v/>
      </c>
      <c r="BE249" s="29">
        <f>IF(AT249=1,"transition",IF(MIN(IF(AND(J249=0,ISNUMBER(AP249),AP249&lt;=(C249+T249)),AP249,9E15),IF(AND(K249=0,ISNUMBER(AQ249),AQ249&lt;=(C249+T249)),AQ249,9E15),IF(AND(L249=0,ISNUMBER(AR249),AR249&lt;=(C249+T249)),AR249,9E15),IF(AND(M249=0,ISNUMBER(AS249),AS249&lt;=(C249+T249)),AS249,9E15))&lt;9E15,IF(AND(AND(J249=0,ISNUMBER(AP249),AP249&lt;=(C249+T249)),AP249=MIN(IF(AND(J249=0,ISNUMBER(AP249),AP249&lt;=(C249+T249)),AP249,9E15),IF(AND(K249=0,ISNUMBER(AQ249),AQ249&lt;=(C249+T249)),AQ249,9E15),IF(AND(L249=0,ISNUMBER(AR249),AR249&lt;=(C249+T249)),AR249,9E15),IF(AND(M249=0,ISNUMBER(AS249),AS249&lt;=(C249+T249)),AS249,9E15))),"BiP",IF(AND(AND(K249=0,ISNUMBER(AQ249),AQ249&lt;=(C249+T249)),AQ249=MIN(IF(AND(J249=0,ISNUMBER(AP249),AP249&lt;=(C249+T249)),AP249,9E15),IF(AND(K249=0,ISNUMBER(AQ249),AQ249&lt;=(C249+T249)),AQ249,9E15),IF(AND(L249=0,ISNUMBER(AR249),AR249&lt;=(C249+T249)),AR249,9E15),IF(AND(M249=0,ISNUMBER(AS249),AS249&lt;=(C249+T249)),AS249,9E15))),"PV",IF(AND(AND(L249=0,ISNUMBER(AR249),AR249&lt;=(C249+T249)),AR249=MIN(IF(AND(J249=0,ISNUMBER(AP249),AP249&lt;=(C249+T249)),AP249,9E15),IF(AND(K249=0,ISNUMBER(AQ249),AQ249&lt;=(C249+T249)),AQ249,9E15),IF(AND(L249=0,ISNUMBER(AR249),AR249&lt;=(C249+T249)),AR249,9E15),IF(AND(M249=0,ISNUMBER(AS249),AS249&lt;=(C249+T249)),AS249,9E15))),"OC","MG"))),IF(AX249=TRUE,"",IF(MAX(IF(AND(NOT(AND(AU249=1,AT249&lt;&gt;1)),ISNUMBER(AK249),AK249&lt;=(C249+T249)),AY249,0),IF(AND(NOT(AND(AU249=1,AT249&lt;&gt;1)),ISNUMBER(AL249),AL249&lt;=(C249+T249)),AZ249,0),IF(AND(NOT(AND(AU249=1,AT249&lt;&gt;1)),ISNUMBER(AM249),AM249&lt;=(C249+T249)),BA249,0),IF(AND(NOT(AND(AU249=1,AT249&lt;&gt;1)),ISNUMBER(AN249),AN249&lt;=(C249+T249)),BB249,0),IF(AND(ISNUMBER(AO249),AO249&lt;=(C249+T249)),BC249,0))&lt;=0,"",IF(AND(IF(AND(NOT(AND(AU249=1,AT249&lt;&gt;1)),ISNUMBER(AK249),AK249&lt;=(C249+T249)),AY249,0)&gt;0,IF(AND(NOT(AND(AU249=1,AT249&lt;&gt;1)),ISNUMBER(AK249),AK249&lt;=(C249+T249)),AY249,0)=MAX(IF(AND(NOT(AND(AU249=1,AT249&lt;&gt;1)),ISNUMBER(AK249),AK249&lt;=(C249+T249)),AY249,0),IF(AND(NOT(AND(AU249=1,AT249&lt;&gt;1)),ISNUMBER(AL249),AL249&lt;=(C249+T249)),AZ249,0),IF(AND(NOT(AND(AU249=1,AT249&lt;&gt;1)),ISNUMBER(AM249),AM249&lt;=(C249+T249)),BA249,0),IF(AND(NOT(AND(AU249=1,AT249&lt;&gt;1)),ISNUMBER(AN249),AN249&lt;=(C249+T249)),BB249,0),IF(AND(ISNUMBER(AO249),AO249&lt;=(C249+T249)),BC249,0))),"SK",IF(AND(IF(AND(NOT(AND(AU249=1,AT249&lt;&gt;1)),ISNUMBER(AL249),AL249&lt;=(C249+T249)),AZ249,0)&gt;0,IF(AND(NOT(AND(AU249=1,AT249&lt;&gt;1)),ISNUMBER(AL249),AL249&lt;=(C249+T249)),AZ249,0)=MAX(IF(AND(NOT(AND(AU249=1,AT249&lt;&gt;1)),ISNUMBER(AK249),AK249&lt;=(C249+T249)),AY249,0),IF(AND(NOT(AND(AU249=1,AT249&lt;&gt;1)),ISNUMBER(AL249),AL249&lt;=(C249+T249)),AZ249,0),IF(AND(NOT(AND(AU249=1,AT249&lt;&gt;1)),ISNUMBER(AM249),AM249&lt;=(C249+T249)),BA249,0),IF(AND(NOT(AND(AU249=1,AT249&lt;&gt;1)),ISNUMBER(AN249),AN249&lt;=(C249+T249)),BB249,0),IF(AND(ISNUMBER(AO249),AO249&lt;=(C249+T249)),BC249,0))),"LB",IF(AND(IF(AND(NOT(AND(AU249=1,AT249&lt;&gt;1)),ISNUMBER(AM249),AM249&lt;=(C249+T249)),BA249,0)&gt;0,IF(AND(NOT(AND(AU249=1,AT249&lt;&gt;1)),ISNUMBER(AM249),AM249&lt;=(C249+T249)),BA249,0)=MAX(IF(AND(NOT(AND(AU249=1,AT249&lt;&gt;1)),ISNUMBER(AK249),AK249&lt;=(C249+T249)),AY249,0),IF(AND(NOT(AND(AU249=1,AT249&lt;&gt;1)),ISNUMBER(AL249),AL249&lt;=(C249+T249)),AZ249,0),IF(AND(NOT(AND(AU249=1,AT249&lt;&gt;1)),ISNUMBER(AM249),AM249&lt;=(C249+T249)),BA249,0),IF(AND(NOT(AND(AU249=1,AT249&lt;&gt;1)),ISNUMBER(AN249),AN249&lt;=(C249+T249)),BB249,0),IF(AND(ISNUMBER(AO249),AO249&lt;=(C249+T249)),BC249,0))),"ML",IF(AND(IF(AND(NOT(AND(AU249=1,AT249&lt;&gt;1)),ISNUMBER(AN249),AN249&lt;=(C249+T249)),BB249,0)&gt;0,IF(AND(NOT(AND(AU249=1,AT249&lt;&gt;1)),ISNUMBER(AN249),AN249&lt;=(C249+T249)),BB249,0)=MAX(IF(AND(NOT(AND(AU249=1,AT249&lt;&gt;1)),ISNUMBER(AK249),AK249&lt;=(C249+T249)),AY249,0),IF(AND(NOT(AND(AU249=1,AT249&lt;&gt;1)),ISNUMBER(AL249),AL249&lt;=(C249+T249)),AZ249,0),IF(AND(NOT(AND(AU249=1,AT249&lt;&gt;1)),ISNUMBER(AM249),AM249&lt;=(C249+T249)),BA249,0),IF(AND(NOT(AND(AU249=1,AT249&lt;&gt;1)),ISNUMBER(AN249),AN249&lt;=(C249+T249)),BB249,0),IF(AND(ISNUMBER(AO249),AO249&lt;=(C249+T249)),BC249,0))),"RLO","BD"))))))))</f>
        <v/>
      </c>
    </row>
    <row r="250">
      <c r="A250" s="26" t="n">
        <v>239</v>
      </c>
      <c r="B250" s="27">
        <f>A250*10/60</f>
        <v/>
      </c>
      <c r="C250" s="22">
        <f>X249</f>
        <v/>
      </c>
      <c r="D250" s="27">
        <f>D249+W249</f>
        <v/>
      </c>
      <c r="E250" s="26">
        <f>E249+IF(U249="SK",1,0)</f>
        <v/>
      </c>
      <c r="F250" s="26">
        <f>F249+IF(U249="LB",1,0)</f>
        <v/>
      </c>
      <c r="G250" s="26">
        <f>G249+IF(U249="ML",1,0)</f>
        <v/>
      </c>
      <c r="H250" s="26">
        <f>H249+IF(U249="RLO",1,0)</f>
        <v/>
      </c>
      <c r="I250" s="26">
        <f>I249+IF(U249="BD",1,0)</f>
        <v/>
      </c>
      <c r="J250" s="26">
        <f>MAX(J249,IF(U249="BiP",1,0))</f>
        <v/>
      </c>
      <c r="K250" s="26">
        <f>MAX(K249,IF(U249="PV",1,0))</f>
        <v/>
      </c>
      <c r="L250" s="26">
        <f>MAX(L249,IF(U249="OC",1,0))</f>
        <v/>
      </c>
      <c r="M250" s="26">
        <f>MAX(M249,IF(U249="MG",1,0))</f>
        <v/>
      </c>
      <c r="N250" s="26">
        <f>MAX(N249,IF(U249="transition",1,0))</f>
        <v/>
      </c>
      <c r="O250" s="28">
        <f>(Parameters!$B$9+(IF(E250=0,0,(Upgrades!$J$13+E250*Upgrades!$K$13)*POWER(Upgrades!$L$13,E250)))*(IF(Upgrades!$T$14="Stellar Kinematics",POWER(Upgrades!$U$14,F250),1)*IF(Upgrades!$T$15="Stellar Kinematics",POWER(Upgrades!$U$15,G250),1)*IF(Upgrades!$T$16="Stellar Kinematics",POWER(Upgrades!$U$16,H250),1)*IF(Upgrades!$T$17="Stellar Kinematics",POWER(Upgrades!$U$17,I250),1)*IF(Upgrades!$T$18="Stellar Kinematics",POWER(Upgrades!$U$18,J250),1)*IF(Upgrades!$T$19="Stellar Kinematics",POWER(Upgrades!$U$19,K250),1)*IF(Upgrades!$T$20="Stellar Kinematics",POWER(Upgrades!$U$20,L250),1)*IF(Upgrades!$T$21="Stellar Kinematics",POWER(Upgrades!$U$21,M250),1))+(IF(F250=0,0,(Upgrades!$J$14+F250*Upgrades!$K$14)*POWER(Upgrades!$L$14,F250)))*(IF(Upgrades!$T$13="Local Bubble",POWER(Upgrades!$U$13,E250),1)*IF(Upgrades!$T$15="Local Bubble",POWER(Upgrades!$U$15,G250),1)*IF(Upgrades!$T$16="Local Bubble",POWER(Upgrades!$U$16,H250),1)*IF(Upgrades!$T$17="Local Bubble",POWER(Upgrades!$U$17,I250),1)*IF(Upgrades!$T$18="Local Bubble",POWER(Upgrades!$U$18,J250),1)*IF(Upgrades!$T$19="Local Bubble",POWER(Upgrades!$U$19,K250),1)*IF(Upgrades!$T$20="Local Bubble",POWER(Upgrades!$U$20,L250),1)*IF(Upgrades!$T$21="Local Bubble",POWER(Upgrades!$U$21,M250),1))+(IF(G250=0,0,(Upgrades!$J$15+G250*Upgrades!$K$15)*POWER(Upgrades!$L$15,G250)))*(IF(Upgrades!$T$13="Microlensing",POWER(Upgrades!$U$13,E250),1)*IF(Upgrades!$T$14="Microlensing",POWER(Upgrades!$U$14,F250),1)*IF(Upgrades!$T$16="Microlensing",POWER(Upgrades!$U$16,H250),1)*IF(Upgrades!$T$17="Microlensing",POWER(Upgrades!$U$17,I250),1)*IF(Upgrades!$T$18="Microlensing",POWER(Upgrades!$U$18,J250),1)*IF(Upgrades!$T$19="Microlensing",POWER(Upgrades!$U$19,K250),1)*IF(Upgrades!$T$20="Microlensing",POWER(Upgrades!$U$20,L250),1)*IF(Upgrades!$T$21="Microlensing",POWER(Upgrades!$U$21,M250),1))+(IF(H250=0,0,(Upgrades!$J$16+H250*Upgrades!$K$16)*POWER(Upgrades!$L$16,H250)))*(IF(Upgrades!$T$13="Roche Lobe Overflow",POWER(Upgrades!$U$13,E250),1)*IF(Upgrades!$T$14="Roche Lobe Overflow",POWER(Upgrades!$U$14,F250),1)*IF(Upgrades!$T$15="Roche Lobe Overflow",POWER(Upgrades!$U$15,G250),1)*IF(Upgrades!$T$17="Roche Lobe Overflow",POWER(Upgrades!$U$17,I250),1)*IF(Upgrades!$T$18="Roche Lobe Overflow",POWER(Upgrades!$U$18,J250),1)*IF(Upgrades!$T$19="Roche Lobe Overflow",POWER(Upgrades!$U$19,K250),1)*IF(Upgrades!$T$20="Roche Lobe Overflow",POWER(Upgrades!$U$20,L250),1)*IF(Upgrades!$T$21="Roche Lobe Overflow",POWER(Upgrades!$U$21,M250),1))+(IF(I250=0,0,(Upgrades!$J$17+I250*Upgrades!$K$17)*POWER(Upgrades!$L$17,I250)))*(IF(Upgrades!$T$13="Brown Dwarf",POWER(Upgrades!$U$13,E250),1)*IF(Upgrades!$T$14="Brown Dwarf",POWER(Upgrades!$U$14,F250),1)*IF(Upgrades!$T$15="Brown Dwarf",POWER(Upgrades!$U$15,G250),1)*IF(Upgrades!$T$16="Brown Dwarf",POWER(Upgrades!$U$16,H250),1)*IF(Upgrades!$T$18="Brown Dwarf",POWER(Upgrades!$U$18,J250),1)*IF(Upgrades!$T$19="Brown Dwarf",POWER(Upgrades!$U$19,K250),1)*IF(Upgrades!$T$20="Brown Dwarf",POWER(Upgrades!$U$20,L250),1)*IF(Upgrades!$T$21="Brown Dwarf",POWER(Upgrades!$U$21,M250),1))+(IF(J250=0,0,(Upgrades!$J$18+J250*Upgrades!$K$18)*POWER(Upgrades!$L$18,J250)))*(IF(Upgrades!$T$13="Binary Partner",POWER(Upgrades!$U$13,E250),1)*IF(Upgrades!$T$14="Binary Partner",POWER(Upgrades!$U$14,F250),1)*IF(Upgrades!$T$15="Binary Partner",POWER(Upgrades!$U$15,G250),1)*IF(Upgrades!$T$16="Binary Partner",POWER(Upgrades!$U$16,H250),1)*IF(Upgrades!$T$17="Binary Partner",POWER(Upgrades!$U$17,I250),1)*IF(Upgrades!$T$19="Binary Partner",POWER(Upgrades!$U$19,K250),1)*IF(Upgrades!$T$20="Binary Partner",POWER(Upgrades!$U$20,L250),1)*IF(Upgrades!$T$21="Binary Partner",POWER(Upgrades!$U$21,M250),1))+(IF(K250=0,0,(Upgrades!$J$19+K250*Upgrades!$K$19)*POWER(Upgrades!$L$19,K250)))*(IF(Upgrades!$T$13="Peculiar Velocity",POWER(Upgrades!$U$13,E250),1)*IF(Upgrades!$T$14="Peculiar Velocity",POWER(Upgrades!$U$14,F250),1)*IF(Upgrades!$T$15="Peculiar Velocity",POWER(Upgrades!$U$15,G250),1)*IF(Upgrades!$T$16="Peculiar Velocity",POWER(Upgrades!$U$16,H250),1)*IF(Upgrades!$T$17="Peculiar Velocity",POWER(Upgrades!$U$17,I250),1)*IF(Upgrades!$T$18="Peculiar Velocity",POWER(Upgrades!$U$18,J250),1)*IF(Upgrades!$T$20="Peculiar Velocity",POWER(Upgrades!$U$20,L250),1)*IF(Upgrades!$T$21="Peculiar Velocity",POWER(Upgrades!$U$21,M250),1))+(IF(L250=0,0,(Upgrades!$J$20+L250*Upgrades!$K$20)*POWER(Upgrades!$L$20,L250)))*(IF(Upgrades!$T$13="Open Cluster",POWER(Upgrades!$U$13,E250),1)*IF(Upgrades!$T$14="Open Cluster",POWER(Upgrades!$U$14,F250),1)*IF(Upgrades!$T$15="Open Cluster",POWER(Upgrades!$U$15,G250),1)*IF(Upgrades!$T$16="Open Cluster",POWER(Upgrades!$U$16,H250),1)*IF(Upgrades!$T$17="Open Cluster",POWER(Upgrades!$U$17,I250),1)*IF(Upgrades!$T$18="Open Cluster",POWER(Upgrades!$U$18,J250),1)*IF(Upgrades!$T$19="Open Cluster",POWER(Upgrades!$U$19,K250),1)*IF(Upgrades!$T$21="Open Cluster",POWER(Upgrades!$U$21,M250),1))+(IF(M250=0,0,(Upgrades!$J$21+M250*Upgrades!$K$21)*POWER(Upgrades!$L$21,M250)))*(IF(Upgrades!$T$13="Moving Group",POWER(Upgrades!$U$13,E250),1)*IF(Upgrades!$T$14="Moving Group",POWER(Upgrades!$U$14,F250),1)*IF(Upgrades!$T$15="Moving Group",POWER(Upgrades!$U$15,G250),1)*IF(Upgrades!$T$16="Moving Group",POWER(Upgrades!$U$16,H250),1)*IF(Upgrades!$T$17="Moving Group",POWER(Upgrades!$U$17,I250),1)*IF(Upgrades!$T$18="Moving Group",POWER(Upgrades!$U$18,J250),1)*IF(Upgrades!$T$19="Moving Group",POWER(Upgrades!$U$19,K250),1)*IF(Upgrades!$T$20="Moving Group",POWER(Upgrades!$U$20,L250),1)))*POWER(Upgrades!$Q$13,E250)*POWER(Upgrades!$Q$14,F250)*POWER(Upgrades!$Q$15,G250)*POWER(Upgrades!$Q$16,H250)*POWER(Upgrades!$Q$17,I250)*POWER(Upgrades!$Q$18,J250)*POWER(Upgrades!$Q$19,K250)*POWER(Upgrades!$Q$20,L250)*POWER(Upgrades!$Q$21,M250)*$G$6+$D$6</f>
        <v/>
      </c>
      <c r="P250" s="28">
        <f>((IF(E250=0,0,(Upgrades!$G$13+E250*Upgrades!$H$13)*POWER(Upgrades!$I$13,E250)))*(IF(Upgrades!$T$14="Stellar Kinematics",POWER(Upgrades!$U$14,F250),1)*IF(Upgrades!$T$15="Stellar Kinematics",POWER(Upgrades!$U$15,G250),1)*IF(Upgrades!$T$16="Stellar Kinematics",POWER(Upgrades!$U$16,H250),1)*IF(Upgrades!$T$17="Stellar Kinematics",POWER(Upgrades!$U$17,I250),1)*IF(Upgrades!$T$18="Stellar Kinematics",POWER(Upgrades!$U$18,J250),1)*IF(Upgrades!$T$19="Stellar Kinematics",POWER(Upgrades!$U$19,K250),1)*IF(Upgrades!$T$20="Stellar Kinematics",POWER(Upgrades!$U$20,L250),1)*IF(Upgrades!$T$21="Stellar Kinematics",POWER(Upgrades!$U$21,M250),1))+(IF(F250=0,0,(Upgrades!$G$14+F250*Upgrades!$H$14)*POWER(Upgrades!$I$14,F250)))*(IF(Upgrades!$T$13="Local Bubble",POWER(Upgrades!$U$13,E250),1)*IF(Upgrades!$T$15="Local Bubble",POWER(Upgrades!$U$15,G250),1)*IF(Upgrades!$T$16="Local Bubble",POWER(Upgrades!$U$16,H250),1)*IF(Upgrades!$T$17="Local Bubble",POWER(Upgrades!$U$17,I250),1)*IF(Upgrades!$T$18="Local Bubble",POWER(Upgrades!$U$18,J250),1)*IF(Upgrades!$T$19="Local Bubble",POWER(Upgrades!$U$19,K250),1)*IF(Upgrades!$T$20="Local Bubble",POWER(Upgrades!$U$20,L250),1)*IF(Upgrades!$T$21="Local Bubble",POWER(Upgrades!$U$21,M250),1))+(IF(G250=0,0,(Upgrades!$G$15+G250*Upgrades!$H$15)*POWER(Upgrades!$I$15,G250)))*(IF(Upgrades!$T$13="Microlensing",POWER(Upgrades!$U$13,E250),1)*IF(Upgrades!$T$14="Microlensing",POWER(Upgrades!$U$14,F250),1)*IF(Upgrades!$T$16="Microlensing",POWER(Upgrades!$U$16,H250),1)*IF(Upgrades!$T$17="Microlensing",POWER(Upgrades!$U$17,I250),1)*IF(Upgrades!$T$18="Microlensing",POWER(Upgrades!$U$18,J250),1)*IF(Upgrades!$T$19="Microlensing",POWER(Upgrades!$U$19,K250),1)*IF(Upgrades!$T$20="Microlensing",POWER(Upgrades!$U$20,L250),1)*IF(Upgrades!$T$21="Microlensing",POWER(Upgrades!$U$21,M250),1))+(IF(H250=0,0,(Upgrades!$G$16+H250*Upgrades!$H$16)*POWER(Upgrades!$I$16,H250)))*(IF(Upgrades!$T$13="Roche Lobe Overflow",POWER(Upgrades!$U$13,E250),1)*IF(Upgrades!$T$14="Roche Lobe Overflow",POWER(Upgrades!$U$14,F250),1)*IF(Upgrades!$T$15="Roche Lobe Overflow",POWER(Upgrades!$U$15,G250),1)*IF(Upgrades!$T$17="Roche Lobe Overflow",POWER(Upgrades!$U$17,I250),1)*IF(Upgrades!$T$18="Roche Lobe Overflow",POWER(Upgrades!$U$18,J250),1)*IF(Upgrades!$T$19="Roche Lobe Overflow",POWER(Upgrades!$U$19,K250),1)*IF(Upgrades!$T$20="Roche Lobe Overflow",POWER(Upgrades!$U$20,L250),1)*IF(Upgrades!$T$21="Roche Lobe Overflow",POWER(Upgrades!$U$21,M250),1))+(IF(I250=0,0,(Upgrades!$G$17+I250*Upgrades!$H$17)*POWER(Upgrades!$I$17,I250)))*(IF(Upgrades!$T$13="Brown Dwarf",POWER(Upgrades!$U$13,E250),1)*IF(Upgrades!$T$14="Brown Dwarf",POWER(Upgrades!$U$14,F250),1)*IF(Upgrades!$T$15="Brown Dwarf",POWER(Upgrades!$U$15,G250),1)*IF(Upgrades!$T$16="Brown Dwarf",POWER(Upgrades!$U$16,H250),1)*IF(Upgrades!$T$18="Brown Dwarf",POWER(Upgrades!$U$18,J250),1)*IF(Upgrades!$T$19="Brown Dwarf",POWER(Upgrades!$U$19,K250),1)*IF(Upgrades!$T$20="Brown Dwarf",POWER(Upgrades!$U$20,L250),1)*IF(Upgrades!$T$21="Brown Dwarf",POWER(Upgrades!$U$21,M250),1))+(IF(J250=0,0,(Upgrades!$G$18+J250*Upgrades!$H$18)*POWER(Upgrades!$I$18,J250)))*(IF(Upgrades!$T$13="Binary Partner",POWER(Upgrades!$U$13,E250),1)*IF(Upgrades!$T$14="Binary Partner",POWER(Upgrades!$U$14,F250),1)*IF(Upgrades!$T$15="Binary Partner",POWER(Upgrades!$U$15,G250),1)*IF(Upgrades!$T$16="Binary Partner",POWER(Upgrades!$U$16,H250),1)*IF(Upgrades!$T$17="Binary Partner",POWER(Upgrades!$U$17,I250),1)*IF(Upgrades!$T$19="Binary Partner",POWER(Upgrades!$U$19,K250),1)*IF(Upgrades!$T$20="Binary Partner",POWER(Upgrades!$U$20,L250),1)*IF(Upgrades!$T$21="Binary Partner",POWER(Upgrades!$U$21,M250),1))+(IF(K250=0,0,(Upgrades!$G$19+K250*Upgrades!$H$19)*POWER(Upgrades!$I$19,K250)))*(IF(Upgrades!$T$13="Peculiar Velocity",POWER(Upgrades!$U$13,E250),1)*IF(Upgrades!$T$14="Peculiar Velocity",POWER(Upgrades!$U$14,F250),1)*IF(Upgrades!$T$15="Peculiar Velocity",POWER(Upgrades!$U$15,G250),1)*IF(Upgrades!$T$16="Peculiar Velocity",POWER(Upgrades!$U$16,H250),1)*IF(Upgrades!$T$17="Peculiar Velocity",POWER(Upgrades!$U$17,I250),1)*IF(Upgrades!$T$18="Peculiar Velocity",POWER(Upgrades!$U$18,J250),1)*IF(Upgrades!$T$20="Peculiar Velocity",POWER(Upgrades!$U$20,L250),1)*IF(Upgrades!$T$21="Peculiar Velocity",POWER(Upgrades!$U$21,M250),1))+(IF(L250=0,0,(Upgrades!$G$20+L250*Upgrades!$H$20)*POWER(Upgrades!$I$20,L250)))*(IF(Upgrades!$T$13="Open Cluster",POWER(Upgrades!$U$13,E250),1)*IF(Upgrades!$T$14="Open Cluster",POWER(Upgrades!$U$14,F250),1)*IF(Upgrades!$T$15="Open Cluster",POWER(Upgrades!$U$15,G250),1)*IF(Upgrades!$T$16="Open Cluster",POWER(Upgrades!$U$16,H250),1)*IF(Upgrades!$T$17="Open Cluster",POWER(Upgrades!$U$17,I250),1)*IF(Upgrades!$T$18="Open Cluster",POWER(Upgrades!$U$18,J250),1)*IF(Upgrades!$T$19="Open Cluster",POWER(Upgrades!$U$19,K250),1)*IF(Upgrades!$T$21="Open Cluster",POWER(Upgrades!$U$21,M250),1))+(IF(M250=0,0,(Upgrades!$G$21+M250*Upgrades!$H$21)*POWER(Upgrades!$I$21,M250)))*(IF(Upgrades!$T$13="Moving Group",POWER(Upgrades!$U$13,E250),1)*IF(Upgrades!$T$14="Moving Group",POWER(Upgrades!$U$14,F250),1)*IF(Upgrades!$T$15="Moving Group",POWER(Upgrades!$U$15,G250),1)*IF(Upgrades!$T$16="Moving Group",POWER(Upgrades!$U$16,H250),1)*IF(Upgrades!$T$17="Moving Group",POWER(Upgrades!$U$17,I250),1)*IF(Upgrades!$T$18="Moving Group",POWER(Upgrades!$U$18,J250),1)*IF(Upgrades!$T$19="Moving Group",POWER(Upgrades!$U$19,K250),1)*IF(Upgrades!$T$20="Moving Group",POWER(Upgrades!$U$20,L250),1)))*POWER(Upgrades!$P$13,E250)*POWER(Upgrades!$P$14,F250)*POWER(Upgrades!$P$15,G250)*POWER(Upgrades!$P$16,H250)*POWER(Upgrades!$P$17,I250)*POWER(Upgrades!$P$18,J250)*POWER(Upgrades!$P$19,K250)*POWER(Upgrades!$P$20,L250)*POWER(Upgrades!$P$21,M250)*$F$6+$C$6</f>
        <v/>
      </c>
      <c r="Q250" s="28">
        <f>((IF(E250=0,0,(Upgrades!$M$13+E250*Upgrades!$N$13)*POWER(Upgrades!$O$13,E250)))*(IF(Upgrades!$T$14="Stellar Kinematics",POWER(Upgrades!$U$14,F250),1)*IF(Upgrades!$T$15="Stellar Kinematics",POWER(Upgrades!$U$15,G250),1)*IF(Upgrades!$T$16="Stellar Kinematics",POWER(Upgrades!$U$16,H250),1)*IF(Upgrades!$T$17="Stellar Kinematics",POWER(Upgrades!$U$17,I250),1)*IF(Upgrades!$T$18="Stellar Kinematics",POWER(Upgrades!$U$18,J250),1)*IF(Upgrades!$T$19="Stellar Kinematics",POWER(Upgrades!$U$19,K250),1)*IF(Upgrades!$T$20="Stellar Kinematics",POWER(Upgrades!$U$20,L250),1)*IF(Upgrades!$T$21="Stellar Kinematics",POWER(Upgrades!$U$21,M250),1))+(IF(F250=0,0,(Upgrades!$M$14+F250*Upgrades!$N$14)*POWER(Upgrades!$O$14,F250)))*(IF(Upgrades!$T$13="Local Bubble",POWER(Upgrades!$U$13,E250),1)*IF(Upgrades!$T$15="Local Bubble",POWER(Upgrades!$U$15,G250),1)*IF(Upgrades!$T$16="Local Bubble",POWER(Upgrades!$U$16,H250),1)*IF(Upgrades!$T$17="Local Bubble",POWER(Upgrades!$U$17,I250),1)*IF(Upgrades!$T$18="Local Bubble",POWER(Upgrades!$U$18,J250),1)*IF(Upgrades!$T$19="Local Bubble",POWER(Upgrades!$U$19,K250),1)*IF(Upgrades!$T$20="Local Bubble",POWER(Upgrades!$U$20,L250),1)*IF(Upgrades!$T$21="Local Bubble",POWER(Upgrades!$U$21,M250),1))+(IF(G250=0,0,(Upgrades!$M$15+G250*Upgrades!$N$15)*POWER(Upgrades!$O$15,G250)))*(IF(Upgrades!$T$13="Microlensing",POWER(Upgrades!$U$13,E250),1)*IF(Upgrades!$T$14="Microlensing",POWER(Upgrades!$U$14,F250),1)*IF(Upgrades!$T$16="Microlensing",POWER(Upgrades!$U$16,H250),1)*IF(Upgrades!$T$17="Microlensing",POWER(Upgrades!$U$17,I250),1)*IF(Upgrades!$T$18="Microlensing",POWER(Upgrades!$U$18,J250),1)*IF(Upgrades!$T$19="Microlensing",POWER(Upgrades!$U$19,K250),1)*IF(Upgrades!$T$20="Microlensing",POWER(Upgrades!$U$20,L250),1)*IF(Upgrades!$T$21="Microlensing",POWER(Upgrades!$U$21,M250),1))+(IF(H250=0,0,(Upgrades!$M$16+H250*Upgrades!$N$16)*POWER(Upgrades!$O$16,H250)))*(IF(Upgrades!$T$13="Roche Lobe Overflow",POWER(Upgrades!$U$13,E250),1)*IF(Upgrades!$T$14="Roche Lobe Overflow",POWER(Upgrades!$U$14,F250),1)*IF(Upgrades!$T$15="Roche Lobe Overflow",POWER(Upgrades!$U$15,G250),1)*IF(Upgrades!$T$17="Roche Lobe Overflow",POWER(Upgrades!$U$17,I250),1)*IF(Upgrades!$T$18="Roche Lobe Overflow",POWER(Upgrades!$U$18,J250),1)*IF(Upgrades!$T$19="Roche Lobe Overflow",POWER(Upgrades!$U$19,K250),1)*IF(Upgrades!$T$20="Roche Lobe Overflow",POWER(Upgrades!$U$20,L250),1)*IF(Upgrades!$T$21="Roche Lobe Overflow",POWER(Upgrades!$U$21,M250),1))+(IF(I250=0,0,(Upgrades!$M$17+I250*Upgrades!$N$17)*POWER(Upgrades!$O$17,I250)))*(IF(Upgrades!$T$13="Brown Dwarf",POWER(Upgrades!$U$13,E250),1)*IF(Upgrades!$T$14="Brown Dwarf",POWER(Upgrades!$U$14,F250),1)*IF(Upgrades!$T$15="Brown Dwarf",POWER(Upgrades!$U$15,G250),1)*IF(Upgrades!$T$16="Brown Dwarf",POWER(Upgrades!$U$16,H250),1)*IF(Upgrades!$T$18="Brown Dwarf",POWER(Upgrades!$U$18,J250),1)*IF(Upgrades!$T$19="Brown Dwarf",POWER(Upgrades!$U$19,K250),1)*IF(Upgrades!$T$20="Brown Dwarf",POWER(Upgrades!$U$20,L250),1)*IF(Upgrades!$T$21="Brown Dwarf",POWER(Upgrades!$U$21,M250),1))+(IF(J250=0,0,(Upgrades!$M$18+J250*Upgrades!$N$18)*POWER(Upgrades!$O$18,J250)))*(IF(Upgrades!$T$13="Binary Partner",POWER(Upgrades!$U$13,E250),1)*IF(Upgrades!$T$14="Binary Partner",POWER(Upgrades!$U$14,F250),1)*IF(Upgrades!$T$15="Binary Partner",POWER(Upgrades!$U$15,G250),1)*IF(Upgrades!$T$16="Binary Partner",POWER(Upgrades!$U$16,H250),1)*IF(Upgrades!$T$17="Binary Partner",POWER(Upgrades!$U$17,I250),1)*IF(Upgrades!$T$19="Binary Partner",POWER(Upgrades!$U$19,K250),1)*IF(Upgrades!$T$20="Binary Partner",POWER(Upgrades!$U$20,L250),1)*IF(Upgrades!$T$21="Binary Partner",POWER(Upgrades!$U$21,M250),1))+(IF(K250=0,0,(Upgrades!$M$19+K250*Upgrades!$N$19)*POWER(Upgrades!$O$19,K250)))*(IF(Upgrades!$T$13="Peculiar Velocity",POWER(Upgrades!$U$13,E250),1)*IF(Upgrades!$T$14="Peculiar Velocity",POWER(Upgrades!$U$14,F250),1)*IF(Upgrades!$T$15="Peculiar Velocity",POWER(Upgrades!$U$15,G250),1)*IF(Upgrades!$T$16="Peculiar Velocity",POWER(Upgrades!$U$16,H250),1)*IF(Upgrades!$T$17="Peculiar Velocity",POWER(Upgrades!$U$17,I250),1)*IF(Upgrades!$T$18="Peculiar Velocity",POWER(Upgrades!$U$18,J250),1)*IF(Upgrades!$T$20="Peculiar Velocity",POWER(Upgrades!$U$20,L250),1)*IF(Upgrades!$T$21="Peculiar Velocity",POWER(Upgrades!$U$21,M250),1))+(IF(L250=0,0,(Upgrades!$M$20+L250*Upgrades!$N$20)*POWER(Upgrades!$O$20,L250)))*(IF(Upgrades!$T$13="Open Cluster",POWER(Upgrades!$U$13,E250),1)*IF(Upgrades!$T$14="Open Cluster",POWER(Upgrades!$U$14,F250),1)*IF(Upgrades!$T$15="Open Cluster",POWER(Upgrades!$U$15,G250),1)*IF(Upgrades!$T$16="Open Cluster",POWER(Upgrades!$U$16,H250),1)*IF(Upgrades!$T$17="Open Cluster",POWER(Upgrades!$U$17,I250),1)*IF(Upgrades!$T$18="Open Cluster",POWER(Upgrades!$U$18,J250),1)*IF(Upgrades!$T$19="Open Cluster",POWER(Upgrades!$U$19,K250),1)*IF(Upgrades!$T$21="Open Cluster",POWER(Upgrades!$U$21,M250),1))+(IF(M250=0,0,(Upgrades!$M$21+M250*Upgrades!$N$21)*POWER(Upgrades!$O$21,M250)))*(IF(Upgrades!$T$13="Moving Group",POWER(Upgrades!$U$13,E250),1)*IF(Upgrades!$T$14="Moving Group",POWER(Upgrades!$U$14,F250),1)*IF(Upgrades!$T$15="Moving Group",POWER(Upgrades!$U$15,G250),1)*IF(Upgrades!$T$16="Moving Group",POWER(Upgrades!$U$16,H250),1)*IF(Upgrades!$T$17="Moving Group",POWER(Upgrades!$U$17,I250),1)*IF(Upgrades!$T$18="Moving Group",POWER(Upgrades!$U$18,J250),1)*IF(Upgrades!$T$19="Moving Group",POWER(Upgrades!$U$19,K250),1)*IF(Upgrades!$T$20="Moving Group",POWER(Upgrades!$U$20,L250),1)))*POWER(Upgrades!$R$13,E250)*POWER(Upgrades!$R$14,F250)*POWER(Upgrades!$R$15,G250)*POWER(Upgrades!$R$16,H250)*POWER(Upgrades!$R$17,I250)*POWER(Upgrades!$R$18,J250)*POWER(Upgrades!$R$19,K250)*POWER(Upgrades!$R$20,L250)*POWER(Upgrades!$R$21,M250)*$H$6+$E$6</f>
        <v/>
      </c>
      <c r="R250" s="27">
        <f>IF(N250=1,0,O250*Parameters!$B$10/60*Parameters!$B$11*10)</f>
        <v/>
      </c>
      <c r="S250" s="27">
        <f>IF(N250=1,0,Q250*O250*10)</f>
        <v/>
      </c>
      <c r="T250" s="27">
        <f>IF(N250=1,0,R250+S250+P250*10)</f>
        <v/>
      </c>
      <c r="U250" s="33">
        <f>BE250</f>
        <v/>
      </c>
      <c r="V250" s="22">
        <f>IF(U250="",0,IF(U250="transition",0,IF(U250="SK",AK250,IF(U250="LB",AL250,IF(U250="ML",AM250,IF(U250="RLO",AN250,IF(U250="BD",AO250,IF(U250="BiP",AP250,IF(U250="PV",AQ250,IF(U250="OC",AR250,IF(U250="MG",AS250,0))))))))))</f>
        <v/>
      </c>
      <c r="W250" s="27">
        <f>IF(U250="BiP",Upgrades!$F$18,IF(U250="PV",Upgrades!$F$19,IF(U250="OC",Upgrades!$F$20,IF(U250="MG",Upgrades!$F$21,IF(U250="transition",-Parameters!$B$18*Parameters!$B$19,0)))))</f>
        <v/>
      </c>
      <c r="X250" s="22">
        <f>C250+T250-V250</f>
        <v/>
      </c>
      <c r="Y250" s="30">
        <f>O250*Parameters!$B$10/60*Parameters!$B$11+Q250*O250+P250</f>
        <v/>
      </c>
      <c r="Z250" s="34">
        <f>IF(U250="transition","→ Tier 3 (Galactic Arm)",IF(U250="MG","Moving Group — pocket drifts together",IF(U250="OC","Open Cluster acquired",IF(U250="PV","Peculiar Velocity — passive multiplier active",IF(U250="BiP","Binary Partner — pair bond formed",IF(AND(AU250=1,N250=0,AT250&lt;&gt;1),"Cohesion ready (waiting on completionists)","")))))) </f>
        <v/>
      </c>
      <c r="AA250" s="27">
        <f>(IF(E250=0,0,(Upgrades!$G$13+E250*Upgrades!$H$13)*POWER(Upgrades!$I$13,E250)))*(IF(Upgrades!$T$14="Stellar Kinematics",POWER(Upgrades!$U$14,F250),1)*IF(Upgrades!$T$15="Stellar Kinematics",POWER(Upgrades!$U$15,G250),1)*IF(Upgrades!$T$16="Stellar Kinematics",POWER(Upgrades!$U$16,H250),1)*IF(Upgrades!$T$17="Stellar Kinematics",POWER(Upgrades!$U$17,I250),1)*IF(Upgrades!$T$18="Stellar Kinematics",POWER(Upgrades!$U$18,J250),1)*IF(Upgrades!$T$19="Stellar Kinematics",POWER(Upgrades!$U$19,K250),1)*IF(Upgrades!$T$20="Stellar Kinematics",POWER(Upgrades!$U$20,L250),1)*IF(Upgrades!$T$21="Stellar Kinematics",POWER(Upgrades!$U$21,M250),1))*POWER(Upgrades!$P$13,E250)*POWER(Upgrades!$P$14,F250)*POWER(Upgrades!$P$15,G250)*POWER(Upgrades!$P$16,H250)*POWER(Upgrades!$P$17,I250)*POWER(Upgrades!$P$18,J250)*POWER(Upgrades!$P$19,K250)*POWER(Upgrades!$P$20,L250)*POWER(Upgrades!$P$21,M250)*$F$6*60</f>
        <v/>
      </c>
      <c r="AB250" s="27">
        <f>(IF(F250=0,0,(Upgrades!$G$14+F250*Upgrades!$H$14)*POWER(Upgrades!$I$14,F250)))*(IF(Upgrades!$T$13="Local Bubble",POWER(Upgrades!$U$13,E250),1)*IF(Upgrades!$T$15="Local Bubble",POWER(Upgrades!$U$15,G250),1)*IF(Upgrades!$T$16="Local Bubble",POWER(Upgrades!$U$16,H250),1)*IF(Upgrades!$T$17="Local Bubble",POWER(Upgrades!$U$17,I250),1)*IF(Upgrades!$T$18="Local Bubble",POWER(Upgrades!$U$18,J250),1)*IF(Upgrades!$T$19="Local Bubble",POWER(Upgrades!$U$19,K250),1)*IF(Upgrades!$T$20="Local Bubble",POWER(Upgrades!$U$20,L250),1)*IF(Upgrades!$T$21="Local Bubble",POWER(Upgrades!$U$21,M250),1))*POWER(Upgrades!$P$13,E250)*POWER(Upgrades!$P$14,F250)*POWER(Upgrades!$P$15,G250)*POWER(Upgrades!$P$16,H250)*POWER(Upgrades!$P$17,I250)*POWER(Upgrades!$P$18,J250)*POWER(Upgrades!$P$19,K250)*POWER(Upgrades!$P$20,L250)*POWER(Upgrades!$P$21,M250)*$F$6*60</f>
        <v/>
      </c>
      <c r="AC250" s="27">
        <f>(IF(G250=0,0,(Upgrades!$J$15+G250*Upgrades!$K$15)*POWER(Upgrades!$L$15,G250)))*(IF(Upgrades!$T$13="Microlensing",POWER(Upgrades!$U$13,E250),1)*IF(Upgrades!$T$14="Microlensing",POWER(Upgrades!$U$14,F250),1)*IF(Upgrades!$T$16="Microlensing",POWER(Upgrades!$U$16,H250),1)*IF(Upgrades!$T$17="Microlensing",POWER(Upgrades!$U$17,I250),1)*IF(Upgrades!$T$18="Microlensing",POWER(Upgrades!$U$18,J250),1)*IF(Upgrades!$T$19="Microlensing",POWER(Upgrades!$U$19,K250),1)*IF(Upgrades!$T$20="Microlensing",POWER(Upgrades!$U$20,L250),1)*IF(Upgrades!$T$21="Microlensing",POWER(Upgrades!$U$21,M250),1))*POWER(Upgrades!$Q$13,E250)*POWER(Upgrades!$Q$14,F250)*POWER(Upgrades!$Q$15,G250)*POWER(Upgrades!$Q$16,H250)*POWER(Upgrades!$Q$17,I250)*POWER(Upgrades!$Q$18,J250)*POWER(Upgrades!$Q$19,K250)*POWER(Upgrades!$Q$20,L250)*POWER(Upgrades!$Q$21,M250)*$G$6*(Parameters!$B$10*Parameters!$B$11+Q250*60)</f>
        <v/>
      </c>
      <c r="AD250" s="27">
        <f>(IF(H250=0,0,(Upgrades!$M$16+H250*Upgrades!$N$16)*POWER(Upgrades!$O$16,H250)))*(IF(Upgrades!$T$13="Roche Lobe Overflow",POWER(Upgrades!$U$13,E250),1)*IF(Upgrades!$T$14="Roche Lobe Overflow",POWER(Upgrades!$U$14,F250),1)*IF(Upgrades!$T$15="Roche Lobe Overflow",POWER(Upgrades!$U$15,G250),1)*IF(Upgrades!$T$17="Roche Lobe Overflow",POWER(Upgrades!$U$17,I250),1)*IF(Upgrades!$T$18="Roche Lobe Overflow",POWER(Upgrades!$U$18,J250),1)*IF(Upgrades!$T$19="Roche Lobe Overflow",POWER(Upgrades!$U$19,K250),1)*IF(Upgrades!$T$20="Roche Lobe Overflow",POWER(Upgrades!$U$20,L250),1)*IF(Upgrades!$T$21="Roche Lobe Overflow",POWER(Upgrades!$U$21,M250),1))*POWER(Upgrades!$R$13,E250)*POWER(Upgrades!$R$14,F250)*POWER(Upgrades!$R$15,G250)*POWER(Upgrades!$R$16,H250)*POWER(Upgrades!$R$17,I250)*POWER(Upgrades!$R$18,J250)*POWER(Upgrades!$R$19,K250)*POWER(Upgrades!$R$20,L250)*POWER(Upgrades!$R$21,M250)*$H$6*O250*60</f>
        <v/>
      </c>
      <c r="AE250" s="27">
        <f>(IF(I250=0,0,(Upgrades!$G$17+I250*Upgrades!$H$17)*POWER(Upgrades!$I$17,I250)))*(IF(Upgrades!$T$13="Brown Dwarf",POWER(Upgrades!$U$13,E250),1)*IF(Upgrades!$T$14="Brown Dwarf",POWER(Upgrades!$U$14,F250),1)*IF(Upgrades!$T$15="Brown Dwarf",POWER(Upgrades!$U$15,G250),1)*IF(Upgrades!$T$16="Brown Dwarf",POWER(Upgrades!$U$16,H250),1)*IF(Upgrades!$T$18="Brown Dwarf",POWER(Upgrades!$U$18,J250),1)*IF(Upgrades!$T$19="Brown Dwarf",POWER(Upgrades!$U$19,K250),1)*IF(Upgrades!$T$20="Brown Dwarf",POWER(Upgrades!$U$20,L250),1)*IF(Upgrades!$T$21="Brown Dwarf",POWER(Upgrades!$U$21,M250),1))*POWER(Upgrades!$P$13,E250)*POWER(Upgrades!$P$14,F250)*POWER(Upgrades!$P$15,G250)*POWER(Upgrades!$P$16,H250)*POWER(Upgrades!$P$17,I250)*POWER(Upgrades!$P$18,J250)*POWER(Upgrades!$P$19,K250)*POWER(Upgrades!$P$20,L250)*POWER(Upgrades!$P$21,M250)*$F$6*60</f>
        <v/>
      </c>
      <c r="AF250" s="27" t="n">
        <v>0</v>
      </c>
      <c r="AG250" s="27" t="n">
        <v>0</v>
      </c>
      <c r="AH250" s="27" t="n">
        <v>0</v>
      </c>
      <c r="AI250" s="27">
        <f>(IF(M250=0,0,(Upgrades!$G$21+M250*Upgrades!$H$21)*POWER(Upgrades!$I$21,M250)))*(IF(Upgrades!$T$13="Moving Group",POWER(Upgrades!$U$13,E250),1)*IF(Upgrades!$T$14="Moving Group",POWER(Upgrades!$U$14,F250),1)*IF(Upgrades!$T$15="Moving Group",POWER(Upgrades!$U$15,G250),1)*IF(Upgrades!$T$16="Moving Group",POWER(Upgrades!$U$16,H250),1)*IF(Upgrades!$T$17="Moving Group",POWER(Upgrades!$U$17,I250),1)*IF(Upgrades!$T$18="Moving Group",POWER(Upgrades!$U$18,J250),1)*IF(Upgrades!$T$19="Moving Group",POWER(Upgrades!$U$19,K250),1)*IF(Upgrades!$T$20="Moving Group",POWER(Upgrades!$U$20,L250),1))*POWER(Upgrades!$P$13,E250)*POWER(Upgrades!$P$14,F250)*POWER(Upgrades!$P$15,G250)*POWER(Upgrades!$P$16,H250)*POWER(Upgrades!$P$17,I250)*POWER(Upgrades!$P$18,J250)*POWER(Upgrades!$P$19,K250)*POWER(Upgrades!$P$20,L250)*POWER(Upgrades!$P$21,M250)*$F$6*60</f>
        <v/>
      </c>
      <c r="AJ250" s="27">
        <f>$C$6*60</f>
        <v/>
      </c>
      <c r="AK250" s="22">
        <f>IF(E250&gt;=Upgrades!$E$13,"",Upgrades!$C$13*POWER(Upgrades!$D$13,E250))</f>
        <v/>
      </c>
      <c r="AL250" s="22">
        <f>IF(F250&gt;=Upgrades!$E$14,"",Upgrades!$C$14*POWER(Upgrades!$D$14,F250))</f>
        <v/>
      </c>
      <c r="AM250" s="22">
        <f>IF(G250&gt;=Upgrades!$E$15,"",Upgrades!$C$15*POWER(Upgrades!$D$15,G250))</f>
        <v/>
      </c>
      <c r="AN250" s="22">
        <f>IF(H250&gt;=Upgrades!$E$16,"",Upgrades!$C$16*POWER(Upgrades!$D$16,H250))</f>
        <v/>
      </c>
      <c r="AO250" s="22">
        <f>IF(I250&gt;=Upgrades!$E$17,"",Upgrades!$C$17*POWER(Upgrades!$D$17,I250))</f>
        <v/>
      </c>
      <c r="AP250" s="22">
        <f>IF(J250&gt;=Upgrades!$E$18,"",Upgrades!$C$18*POWER(Upgrades!$D$18,J250))</f>
        <v/>
      </c>
      <c r="AQ250" s="22">
        <f>IF(K250&gt;=Upgrades!$E$19,"",Upgrades!$C$19*POWER(Upgrades!$D$19,K250))</f>
        <v/>
      </c>
      <c r="AR250" s="22">
        <f>IF(L250&gt;=Upgrades!$E$20,"",Upgrades!$C$20*POWER(Upgrades!$D$20,L250))</f>
        <v/>
      </c>
      <c r="AS250" s="22">
        <f>IF(M250&gt;=Upgrades!$E$21,"",Upgrades!$C$21*POWER(Upgrades!$D$21,M250))</f>
        <v/>
      </c>
      <c r="AT250" s="26">
        <f>IF(AND(D250&gt;=Parameters!$B$18*Parameters!$B$19,(I250&gt;=Upgrades!$E$17)*(M250&gt;=Upgrades!$E$21)=1,N250=0),1,"")</f>
        <v/>
      </c>
      <c r="AU250" s="26">
        <f>IF(AND(D250&gt;=Parameters!$B$18*Parameters!$B$19,N250=0),1,"")</f>
        <v/>
      </c>
      <c r="AV250" s="22">
        <f>MIN(IF(ISNUMBER(AP250),AP250,9E15),IF(ISNUMBER(AQ250),AQ250,9E15),IF(ISNUMBER(AR250),AR250,9E15),IF(ISNUMBER(AS250),AS250,9E15))</f>
        <v/>
      </c>
      <c r="AW250" s="22">
        <f>MIN(IF(ISNUMBER(AK250),AK250,9E15),IF(ISNUMBER(AL250),AL250,9E15),IF(ISNUMBER(AM250),AM250,9E15),IF(ISNUMBER(AN250),AN250,9E15),IF(ISNUMBER(AO250),AO250,9E15))</f>
        <v/>
      </c>
      <c r="AX250" s="29">
        <f>IF(BD250&gt;Parameters!$B$21*(MAX(IF(AND(NOT(AND(AU250=1,AT250&lt;&gt;1)),ISNUMBER(AK250),AK250&lt;=(C250+T250)),AY250,0),IF(AND(NOT(AND(AU250=1,AT250&lt;&gt;1)),ISNUMBER(AL250),AL250&lt;=(C250+T250)),AZ250,0),IF(AND(NOT(AND(AU250=1,AT250&lt;&gt;1)),ISNUMBER(AM250),AM250&lt;=(C250+T250)),BA250,0),IF(AND(NOT(AND(AU250=1,AT250&lt;&gt;1)),ISNUMBER(AN250),AN250&lt;=(C250+T250)),BB250,0),IF(AND(ISNUMBER(AO250),AO250&lt;=(C250+T250)),BC250,0))),TRUE,FALSE)</f>
        <v/>
      </c>
      <c r="AY250" s="32">
        <f>IFERROR(Upgrades!$H$13*(POWER(Upgrades!$P$13,E250)*POWER(Upgrades!$P$14,F250)*POWER(Upgrades!$P$15,G250)*POWER(Upgrades!$P$16,H250)*POWER(Upgrades!$P$17,I250)*POWER(Upgrades!$P$18,J250)*POWER(Upgrades!$P$19,K250)*POWER(Upgrades!$P$20,L250)*POWER(Upgrades!$P$21,M250))*(IF(Upgrades!$T$14="Stellar Kinematics",POWER(Upgrades!$U$14,F250),1)*IF(Upgrades!$T$15="Stellar Kinematics",POWER(Upgrades!$U$15,G250),1)*IF(Upgrades!$T$16="Stellar Kinematics",POWER(Upgrades!$U$16,H250),1)*IF(Upgrades!$T$17="Stellar Kinematics",POWER(Upgrades!$U$17,I250),1)*IF(Upgrades!$T$18="Stellar Kinematics",POWER(Upgrades!$U$18,J250),1)*IF(Upgrades!$T$19="Stellar Kinematics",POWER(Upgrades!$U$19,K250),1)*IF(Upgrades!$T$20="Stellar Kinematics",POWER(Upgrades!$U$20,L250),1)*IF(Upgrades!$T$21="Stellar Kinematics",POWER(Upgrades!$U$21,M250),1))*$F$6/AK250,0)</f>
        <v/>
      </c>
      <c r="AZ250" s="32">
        <f>IFERROR(Upgrades!$H$14*(POWER(Upgrades!$P$13,E250)*POWER(Upgrades!$P$14,F250)*POWER(Upgrades!$P$15,G250)*POWER(Upgrades!$P$16,H250)*POWER(Upgrades!$P$17,I250)*POWER(Upgrades!$P$18,J250)*POWER(Upgrades!$P$19,K250)*POWER(Upgrades!$P$20,L250)*POWER(Upgrades!$P$21,M250))*(IF(Upgrades!$T$13="Local Bubble",POWER(Upgrades!$U$13,E250),1)*IF(Upgrades!$T$15="Local Bubble",POWER(Upgrades!$U$15,G250),1)*IF(Upgrades!$T$16="Local Bubble",POWER(Upgrades!$U$16,H250),1)*IF(Upgrades!$T$17="Local Bubble",POWER(Upgrades!$U$17,I250),1)*IF(Upgrades!$T$18="Local Bubble",POWER(Upgrades!$U$18,J250),1)*IF(Upgrades!$T$19="Local Bubble",POWER(Upgrades!$U$19,K250),1)*IF(Upgrades!$T$20="Local Bubble",POWER(Upgrades!$U$20,L250),1)*IF(Upgrades!$T$21="Local Bubble",POWER(Upgrades!$U$21,M250),1))*$F$6/AL250,0)</f>
        <v/>
      </c>
      <c r="BA250" s="32">
        <f>IFERROR(Upgrades!$K$15*(POWER(Upgrades!$Q$13,E250)*POWER(Upgrades!$Q$14,F250)*POWER(Upgrades!$Q$15,G250)*POWER(Upgrades!$Q$16,H250)*POWER(Upgrades!$Q$17,I250)*POWER(Upgrades!$Q$18,J250)*POWER(Upgrades!$Q$19,K250)*POWER(Upgrades!$Q$20,L250)*POWER(Upgrades!$Q$21,M250))*(IF(Upgrades!$T$13="Microlensing",POWER(Upgrades!$U$13,E250),1)*IF(Upgrades!$T$14="Microlensing",POWER(Upgrades!$U$14,F250),1)*IF(Upgrades!$T$16="Microlensing",POWER(Upgrades!$U$16,H250),1)*IF(Upgrades!$T$17="Microlensing",POWER(Upgrades!$U$17,I250),1)*IF(Upgrades!$T$18="Microlensing",POWER(Upgrades!$U$18,J250),1)*IF(Upgrades!$T$19="Microlensing",POWER(Upgrades!$U$19,K250),1)*IF(Upgrades!$T$20="Microlensing",POWER(Upgrades!$U$20,L250),1)*IF(Upgrades!$T$21="Microlensing",POWER(Upgrades!$U$21,M250),1))*$G$6*(Parameters!$B$10/60*Parameters!$B$11+Q250)/AM250,0)</f>
        <v/>
      </c>
      <c r="BB250" s="32">
        <f>IFERROR((Upgrades!$N$16*(POWER(Upgrades!$R$13,E250)*POWER(Upgrades!$R$14,F250)*POWER(Upgrades!$R$15,G250)*POWER(Upgrades!$R$16,H250)*POWER(Upgrades!$R$17,I250)*POWER(Upgrades!$R$18,J250)*POWER(Upgrades!$R$19,K250)*POWER(Upgrades!$R$20,L250)*POWER(Upgrades!$R$21,M250))*(IF(Upgrades!$T$13="Roche Lobe Overflow",POWER(Upgrades!$U$13,E250),1)*IF(Upgrades!$T$14="Roche Lobe Overflow",POWER(Upgrades!$U$14,F250),1)*IF(Upgrades!$T$15="Roche Lobe Overflow",POWER(Upgrades!$U$15,G250),1)*IF(Upgrades!$T$17="Roche Lobe Overflow",POWER(Upgrades!$U$17,I250),1)*IF(Upgrades!$T$18="Roche Lobe Overflow",POWER(Upgrades!$U$18,J250),1)*IF(Upgrades!$T$19="Roche Lobe Overflow",POWER(Upgrades!$U$19,K250),1)*IF(Upgrades!$T$20="Roche Lobe Overflow",POWER(Upgrades!$U$20,L250),1)*IF(Upgrades!$T$21="Roche Lobe Overflow",POWER(Upgrades!$U$21,M250),1))*$H$6*O250+((IF(F250=0,0,(Upgrades!$G$14+F250*Upgrades!$H$14)*POWER(Upgrades!$I$14,F250)))*(IF(Upgrades!$T$13="Local Bubble",POWER(Upgrades!$U$13,E250),1)*IF(Upgrades!$T$15="Local Bubble",POWER(Upgrades!$U$15,G250),1)*IF(Upgrades!$T$16="Local Bubble",POWER(Upgrades!$U$16,H250),1)*IF(Upgrades!$T$17="Local Bubble",POWER(Upgrades!$U$17,I250),1)*IF(Upgrades!$T$18="Local Bubble",POWER(Upgrades!$U$18,J250),1)*IF(Upgrades!$T$19="Local Bubble",POWER(Upgrades!$U$19,K250),1)*IF(Upgrades!$T$20="Local Bubble",POWER(Upgrades!$U$20,L250),1)*IF(Upgrades!$T$21="Local Bubble",POWER(Upgrades!$U$21,M250),1))*POWER(Upgrades!$P$13,E250)*POWER(Upgrades!$P$14,F250)*POWER(Upgrades!$P$15,G250)*POWER(Upgrades!$P$16,H250)*POWER(Upgrades!$P$17,I250)*POWER(Upgrades!$P$18,J250)*POWER(Upgrades!$P$19,K250)*POWER(Upgrades!$P$20,L250)*POWER(Upgrades!$P$21,M250)*$F$6)*0.05)/AN250,0)</f>
        <v/>
      </c>
      <c r="BC250" s="32">
        <f>IFERROR((Upgrades!$H$17*(POWER(Upgrades!$P$13,E250)*POWER(Upgrades!$P$14,F250)*POWER(Upgrades!$P$15,G250)*POWER(Upgrades!$P$16,H250)*POWER(Upgrades!$P$17,I250)*POWER(Upgrades!$P$18,J250)*POWER(Upgrades!$P$19,K250)*POWER(Upgrades!$P$20,L250)*POWER(Upgrades!$P$21,M250))*(IF(Upgrades!$T$13="Brown Dwarf",POWER(Upgrades!$U$13,E250),1)*IF(Upgrades!$T$14="Brown Dwarf",POWER(Upgrades!$U$14,F250),1)*IF(Upgrades!$T$15="Brown Dwarf",POWER(Upgrades!$U$15,G250),1)*IF(Upgrades!$T$16="Brown Dwarf",POWER(Upgrades!$U$16,H250),1)*IF(Upgrades!$T$18="Brown Dwarf",POWER(Upgrades!$U$18,J250),1)*IF(Upgrades!$T$19="Brown Dwarf",POWER(Upgrades!$U$19,K250),1)*IF(Upgrades!$T$20="Brown Dwarf",POWER(Upgrades!$U$20,L250),1)*IF(Upgrades!$T$21="Brown Dwarf",POWER(Upgrades!$U$21,M250),1))*$F$6+(((IF(H250=0,0,(Upgrades!$M$16+H250*Upgrades!$N$16)*POWER(Upgrades!$O$16,H250)))*(IF(Upgrades!$T$13="Roche Lobe Overflow",POWER(Upgrades!$U$13,E250),1)*IF(Upgrades!$T$14="Roche Lobe Overflow",POWER(Upgrades!$U$14,F250),1)*IF(Upgrades!$T$15="Roche Lobe Overflow",POWER(Upgrades!$U$15,G250),1)*IF(Upgrades!$T$17="Roche Lobe Overflow",POWER(Upgrades!$U$17,I250),1)*IF(Upgrades!$T$18="Roche Lobe Overflow",POWER(Upgrades!$U$18,J250),1)*IF(Upgrades!$T$19="Roche Lobe Overflow",POWER(Upgrades!$U$19,K250),1)*IF(Upgrades!$T$20="Roche Lobe Overflow",POWER(Upgrades!$U$20,L250),1)*IF(Upgrades!$T$21="Roche Lobe Overflow",POWER(Upgrades!$U$21,M250),1))*POWER(Upgrades!$R$13,E250)*POWER(Upgrades!$R$14,F250)*POWER(Upgrades!$R$15,G250)*POWER(Upgrades!$R$16,H250)*POWER(Upgrades!$R$17,I250)*POWER(Upgrades!$R$18,J250)*POWER(Upgrades!$R$19,K250)*POWER(Upgrades!$R$20,L250)*POWER(Upgrades!$R$21,M250)*$H$6)*O250)*0.10)/AO250,0)</f>
        <v/>
      </c>
      <c r="BD250" s="32">
        <f>MAX(IF(J250&gt;0,0,IFERROR(0.5*((IF(G250=0,0,(Upgrades!$J$15+G250*Upgrades!$K$15)*POWER(Upgrades!$L$15,G250)))*(IF(Upgrades!$T$13="Microlensing",POWER(Upgrades!$U$13,E250),1)*IF(Upgrades!$T$14="Microlensing",POWER(Upgrades!$U$14,F250),1)*IF(Upgrades!$T$16="Microlensing",POWER(Upgrades!$U$16,H250),1)*IF(Upgrades!$T$17="Microlensing",POWER(Upgrades!$U$17,I250),1)*IF(Upgrades!$T$18="Microlensing",POWER(Upgrades!$U$18,J250),1)*IF(Upgrades!$T$19="Microlensing",POWER(Upgrades!$U$19,K250),1)*IF(Upgrades!$T$20="Microlensing",POWER(Upgrades!$U$20,L250),1)*IF(Upgrades!$T$21="Microlensing",POWER(Upgrades!$U$21,M250),1))*(POWER(Upgrades!$Q$13,E250)*POWER(Upgrades!$Q$14,F250)*POWER(Upgrades!$Q$15,G250)*POWER(Upgrades!$Q$16,H250)*POWER(Upgrades!$Q$17,I250)*POWER(Upgrades!$Q$18,J250)*POWER(Upgrades!$Q$19,K250)*POWER(Upgrades!$Q$20,L250)*POWER(Upgrades!$Q$21,M250))*$G$6*(Parameters!$B$10/60*Parameters!$B$11+Q250))/Upgrades!$C$18,0)),IF(K250&gt;0,0,IFERROR(0.30*P250/Upgrades!$C$19,0)),IF(L250&gt;0,0,IFERROR(0.0001/Upgrades!$C$20,0)),IF(M250&gt;0,0,IFERROR((6.0*(POWER(Upgrades!$P$13,E250)*POWER(Upgrades!$P$14,F250)*POWER(Upgrades!$P$15,G250)*POWER(Upgrades!$P$16,H250)*POWER(Upgrades!$P$17,I250)*POWER(Upgrades!$P$18,J250)*POWER(Upgrades!$P$19,K250)*POWER(Upgrades!$P$20,L250)*POWER(Upgrades!$P$21,M250))*$F$6+0.20*O250*(Parameters!$B$10/60*Parameters!$B$11+Q250))/Upgrades!$C$21,0)),IF(AND(ISNUMBER(AK250),AK250&gt;(C250+T250)),AY250,0),IF(AND(ISNUMBER(AL250),AL250&gt;(C250+T250)),AZ250,0),IF(AND(ISNUMBER(AM250),AM250&gt;(C250+T250)),BA250,0),IF(AND(ISNUMBER(AN250),AN250&gt;(C250+T250)),BB250,0),IF(AND(ISNUMBER(AO250),AO250&gt;(C250+T250)),BC250,0))</f>
        <v/>
      </c>
      <c r="BE250" s="29">
        <f>IF(AT250=1,"transition",IF(MIN(IF(AND(J250=0,ISNUMBER(AP250),AP250&lt;=(C250+T250)),AP250,9E15),IF(AND(K250=0,ISNUMBER(AQ250),AQ250&lt;=(C250+T250)),AQ250,9E15),IF(AND(L250=0,ISNUMBER(AR250),AR250&lt;=(C250+T250)),AR250,9E15),IF(AND(M250=0,ISNUMBER(AS250),AS250&lt;=(C250+T250)),AS250,9E15))&lt;9E15,IF(AND(AND(J250=0,ISNUMBER(AP250),AP250&lt;=(C250+T250)),AP250=MIN(IF(AND(J250=0,ISNUMBER(AP250),AP250&lt;=(C250+T250)),AP250,9E15),IF(AND(K250=0,ISNUMBER(AQ250),AQ250&lt;=(C250+T250)),AQ250,9E15),IF(AND(L250=0,ISNUMBER(AR250),AR250&lt;=(C250+T250)),AR250,9E15),IF(AND(M250=0,ISNUMBER(AS250),AS250&lt;=(C250+T250)),AS250,9E15))),"BiP",IF(AND(AND(K250=0,ISNUMBER(AQ250),AQ250&lt;=(C250+T250)),AQ250=MIN(IF(AND(J250=0,ISNUMBER(AP250),AP250&lt;=(C250+T250)),AP250,9E15),IF(AND(K250=0,ISNUMBER(AQ250),AQ250&lt;=(C250+T250)),AQ250,9E15),IF(AND(L250=0,ISNUMBER(AR250),AR250&lt;=(C250+T250)),AR250,9E15),IF(AND(M250=0,ISNUMBER(AS250),AS250&lt;=(C250+T250)),AS250,9E15))),"PV",IF(AND(AND(L250=0,ISNUMBER(AR250),AR250&lt;=(C250+T250)),AR250=MIN(IF(AND(J250=0,ISNUMBER(AP250),AP250&lt;=(C250+T250)),AP250,9E15),IF(AND(K250=0,ISNUMBER(AQ250),AQ250&lt;=(C250+T250)),AQ250,9E15),IF(AND(L250=0,ISNUMBER(AR250),AR250&lt;=(C250+T250)),AR250,9E15),IF(AND(M250=0,ISNUMBER(AS250),AS250&lt;=(C250+T250)),AS250,9E15))),"OC","MG"))),IF(AX250=TRUE,"",IF(MAX(IF(AND(NOT(AND(AU250=1,AT250&lt;&gt;1)),ISNUMBER(AK250),AK250&lt;=(C250+T250)),AY250,0),IF(AND(NOT(AND(AU250=1,AT250&lt;&gt;1)),ISNUMBER(AL250),AL250&lt;=(C250+T250)),AZ250,0),IF(AND(NOT(AND(AU250=1,AT250&lt;&gt;1)),ISNUMBER(AM250),AM250&lt;=(C250+T250)),BA250,0),IF(AND(NOT(AND(AU250=1,AT250&lt;&gt;1)),ISNUMBER(AN250),AN250&lt;=(C250+T250)),BB250,0),IF(AND(ISNUMBER(AO250),AO250&lt;=(C250+T250)),BC250,0))&lt;=0,"",IF(AND(IF(AND(NOT(AND(AU250=1,AT250&lt;&gt;1)),ISNUMBER(AK250),AK250&lt;=(C250+T250)),AY250,0)&gt;0,IF(AND(NOT(AND(AU250=1,AT250&lt;&gt;1)),ISNUMBER(AK250),AK250&lt;=(C250+T250)),AY250,0)=MAX(IF(AND(NOT(AND(AU250=1,AT250&lt;&gt;1)),ISNUMBER(AK250),AK250&lt;=(C250+T250)),AY250,0),IF(AND(NOT(AND(AU250=1,AT250&lt;&gt;1)),ISNUMBER(AL250),AL250&lt;=(C250+T250)),AZ250,0),IF(AND(NOT(AND(AU250=1,AT250&lt;&gt;1)),ISNUMBER(AM250),AM250&lt;=(C250+T250)),BA250,0),IF(AND(NOT(AND(AU250=1,AT250&lt;&gt;1)),ISNUMBER(AN250),AN250&lt;=(C250+T250)),BB250,0),IF(AND(ISNUMBER(AO250),AO250&lt;=(C250+T250)),BC250,0))),"SK",IF(AND(IF(AND(NOT(AND(AU250=1,AT250&lt;&gt;1)),ISNUMBER(AL250),AL250&lt;=(C250+T250)),AZ250,0)&gt;0,IF(AND(NOT(AND(AU250=1,AT250&lt;&gt;1)),ISNUMBER(AL250),AL250&lt;=(C250+T250)),AZ250,0)=MAX(IF(AND(NOT(AND(AU250=1,AT250&lt;&gt;1)),ISNUMBER(AK250),AK250&lt;=(C250+T250)),AY250,0),IF(AND(NOT(AND(AU250=1,AT250&lt;&gt;1)),ISNUMBER(AL250),AL250&lt;=(C250+T250)),AZ250,0),IF(AND(NOT(AND(AU250=1,AT250&lt;&gt;1)),ISNUMBER(AM250),AM250&lt;=(C250+T250)),BA250,0),IF(AND(NOT(AND(AU250=1,AT250&lt;&gt;1)),ISNUMBER(AN250),AN250&lt;=(C250+T250)),BB250,0),IF(AND(ISNUMBER(AO250),AO250&lt;=(C250+T250)),BC250,0))),"LB",IF(AND(IF(AND(NOT(AND(AU250=1,AT250&lt;&gt;1)),ISNUMBER(AM250),AM250&lt;=(C250+T250)),BA250,0)&gt;0,IF(AND(NOT(AND(AU250=1,AT250&lt;&gt;1)),ISNUMBER(AM250),AM250&lt;=(C250+T250)),BA250,0)=MAX(IF(AND(NOT(AND(AU250=1,AT250&lt;&gt;1)),ISNUMBER(AK250),AK250&lt;=(C250+T250)),AY250,0),IF(AND(NOT(AND(AU250=1,AT250&lt;&gt;1)),ISNUMBER(AL250),AL250&lt;=(C250+T250)),AZ250,0),IF(AND(NOT(AND(AU250=1,AT250&lt;&gt;1)),ISNUMBER(AM250),AM250&lt;=(C250+T250)),BA250,0),IF(AND(NOT(AND(AU250=1,AT250&lt;&gt;1)),ISNUMBER(AN250),AN250&lt;=(C250+T250)),BB250,0),IF(AND(ISNUMBER(AO250),AO250&lt;=(C250+T250)),BC250,0))),"ML",IF(AND(IF(AND(NOT(AND(AU250=1,AT250&lt;&gt;1)),ISNUMBER(AN250),AN250&lt;=(C250+T250)),BB250,0)&gt;0,IF(AND(NOT(AND(AU250=1,AT250&lt;&gt;1)),ISNUMBER(AN250),AN250&lt;=(C250+T250)),BB250,0)=MAX(IF(AND(NOT(AND(AU250=1,AT250&lt;&gt;1)),ISNUMBER(AK250),AK250&lt;=(C250+T250)),AY250,0),IF(AND(NOT(AND(AU250=1,AT250&lt;&gt;1)),ISNUMBER(AL250),AL250&lt;=(C250+T250)),AZ250,0),IF(AND(NOT(AND(AU250=1,AT250&lt;&gt;1)),ISNUMBER(AM250),AM250&lt;=(C250+T250)),BA250,0),IF(AND(NOT(AND(AU250=1,AT250&lt;&gt;1)),ISNUMBER(AN250),AN250&lt;=(C250+T250)),BB250,0),IF(AND(ISNUMBER(AO250),AO250&lt;=(C250+T250)),BC250,0))),"RLO","BD"))))))))</f>
        <v/>
      </c>
    </row>
    <row r="251">
      <c r="A251" s="26" t="n">
        <v>240</v>
      </c>
      <c r="B251" s="27">
        <f>A251*10/60</f>
        <v/>
      </c>
      <c r="C251" s="22">
        <f>X250</f>
        <v/>
      </c>
      <c r="D251" s="27">
        <f>D250+W250</f>
        <v/>
      </c>
      <c r="E251" s="26">
        <f>E250+IF(U250="SK",1,0)</f>
        <v/>
      </c>
      <c r="F251" s="26">
        <f>F250+IF(U250="LB",1,0)</f>
        <v/>
      </c>
      <c r="G251" s="26">
        <f>G250+IF(U250="ML",1,0)</f>
        <v/>
      </c>
      <c r="H251" s="26">
        <f>H250+IF(U250="RLO",1,0)</f>
        <v/>
      </c>
      <c r="I251" s="26">
        <f>I250+IF(U250="BD",1,0)</f>
        <v/>
      </c>
      <c r="J251" s="26">
        <f>MAX(J250,IF(U250="BiP",1,0))</f>
        <v/>
      </c>
      <c r="K251" s="26">
        <f>MAX(K250,IF(U250="PV",1,0))</f>
        <v/>
      </c>
      <c r="L251" s="26">
        <f>MAX(L250,IF(U250="OC",1,0))</f>
        <v/>
      </c>
      <c r="M251" s="26">
        <f>MAX(M250,IF(U250="MG",1,0))</f>
        <v/>
      </c>
      <c r="N251" s="26">
        <f>MAX(N250,IF(U250="transition",1,0))</f>
        <v/>
      </c>
      <c r="O251" s="28">
        <f>(Parameters!$B$9+(IF(E251=0,0,(Upgrades!$J$13+E251*Upgrades!$K$13)*POWER(Upgrades!$L$13,E251)))*(IF(Upgrades!$T$14="Stellar Kinematics",POWER(Upgrades!$U$14,F251),1)*IF(Upgrades!$T$15="Stellar Kinematics",POWER(Upgrades!$U$15,G251),1)*IF(Upgrades!$T$16="Stellar Kinematics",POWER(Upgrades!$U$16,H251),1)*IF(Upgrades!$T$17="Stellar Kinematics",POWER(Upgrades!$U$17,I251),1)*IF(Upgrades!$T$18="Stellar Kinematics",POWER(Upgrades!$U$18,J251),1)*IF(Upgrades!$T$19="Stellar Kinematics",POWER(Upgrades!$U$19,K251),1)*IF(Upgrades!$T$20="Stellar Kinematics",POWER(Upgrades!$U$20,L251),1)*IF(Upgrades!$T$21="Stellar Kinematics",POWER(Upgrades!$U$21,M251),1))+(IF(F251=0,0,(Upgrades!$J$14+F251*Upgrades!$K$14)*POWER(Upgrades!$L$14,F251)))*(IF(Upgrades!$T$13="Local Bubble",POWER(Upgrades!$U$13,E251),1)*IF(Upgrades!$T$15="Local Bubble",POWER(Upgrades!$U$15,G251),1)*IF(Upgrades!$T$16="Local Bubble",POWER(Upgrades!$U$16,H251),1)*IF(Upgrades!$T$17="Local Bubble",POWER(Upgrades!$U$17,I251),1)*IF(Upgrades!$T$18="Local Bubble",POWER(Upgrades!$U$18,J251),1)*IF(Upgrades!$T$19="Local Bubble",POWER(Upgrades!$U$19,K251),1)*IF(Upgrades!$T$20="Local Bubble",POWER(Upgrades!$U$20,L251),1)*IF(Upgrades!$T$21="Local Bubble",POWER(Upgrades!$U$21,M251),1))+(IF(G251=0,0,(Upgrades!$J$15+G251*Upgrades!$K$15)*POWER(Upgrades!$L$15,G251)))*(IF(Upgrades!$T$13="Microlensing",POWER(Upgrades!$U$13,E251),1)*IF(Upgrades!$T$14="Microlensing",POWER(Upgrades!$U$14,F251),1)*IF(Upgrades!$T$16="Microlensing",POWER(Upgrades!$U$16,H251),1)*IF(Upgrades!$T$17="Microlensing",POWER(Upgrades!$U$17,I251),1)*IF(Upgrades!$T$18="Microlensing",POWER(Upgrades!$U$18,J251),1)*IF(Upgrades!$T$19="Microlensing",POWER(Upgrades!$U$19,K251),1)*IF(Upgrades!$T$20="Microlensing",POWER(Upgrades!$U$20,L251),1)*IF(Upgrades!$T$21="Microlensing",POWER(Upgrades!$U$21,M251),1))+(IF(H251=0,0,(Upgrades!$J$16+H251*Upgrades!$K$16)*POWER(Upgrades!$L$16,H251)))*(IF(Upgrades!$T$13="Roche Lobe Overflow",POWER(Upgrades!$U$13,E251),1)*IF(Upgrades!$T$14="Roche Lobe Overflow",POWER(Upgrades!$U$14,F251),1)*IF(Upgrades!$T$15="Roche Lobe Overflow",POWER(Upgrades!$U$15,G251),1)*IF(Upgrades!$T$17="Roche Lobe Overflow",POWER(Upgrades!$U$17,I251),1)*IF(Upgrades!$T$18="Roche Lobe Overflow",POWER(Upgrades!$U$18,J251),1)*IF(Upgrades!$T$19="Roche Lobe Overflow",POWER(Upgrades!$U$19,K251),1)*IF(Upgrades!$T$20="Roche Lobe Overflow",POWER(Upgrades!$U$20,L251),1)*IF(Upgrades!$T$21="Roche Lobe Overflow",POWER(Upgrades!$U$21,M251),1))+(IF(I251=0,0,(Upgrades!$J$17+I251*Upgrades!$K$17)*POWER(Upgrades!$L$17,I251)))*(IF(Upgrades!$T$13="Brown Dwarf",POWER(Upgrades!$U$13,E251),1)*IF(Upgrades!$T$14="Brown Dwarf",POWER(Upgrades!$U$14,F251),1)*IF(Upgrades!$T$15="Brown Dwarf",POWER(Upgrades!$U$15,G251),1)*IF(Upgrades!$T$16="Brown Dwarf",POWER(Upgrades!$U$16,H251),1)*IF(Upgrades!$T$18="Brown Dwarf",POWER(Upgrades!$U$18,J251),1)*IF(Upgrades!$T$19="Brown Dwarf",POWER(Upgrades!$U$19,K251),1)*IF(Upgrades!$T$20="Brown Dwarf",POWER(Upgrades!$U$20,L251),1)*IF(Upgrades!$T$21="Brown Dwarf",POWER(Upgrades!$U$21,M251),1))+(IF(J251=0,0,(Upgrades!$J$18+J251*Upgrades!$K$18)*POWER(Upgrades!$L$18,J251)))*(IF(Upgrades!$T$13="Binary Partner",POWER(Upgrades!$U$13,E251),1)*IF(Upgrades!$T$14="Binary Partner",POWER(Upgrades!$U$14,F251),1)*IF(Upgrades!$T$15="Binary Partner",POWER(Upgrades!$U$15,G251),1)*IF(Upgrades!$T$16="Binary Partner",POWER(Upgrades!$U$16,H251),1)*IF(Upgrades!$T$17="Binary Partner",POWER(Upgrades!$U$17,I251),1)*IF(Upgrades!$T$19="Binary Partner",POWER(Upgrades!$U$19,K251),1)*IF(Upgrades!$T$20="Binary Partner",POWER(Upgrades!$U$20,L251),1)*IF(Upgrades!$T$21="Binary Partner",POWER(Upgrades!$U$21,M251),1))+(IF(K251=0,0,(Upgrades!$J$19+K251*Upgrades!$K$19)*POWER(Upgrades!$L$19,K251)))*(IF(Upgrades!$T$13="Peculiar Velocity",POWER(Upgrades!$U$13,E251),1)*IF(Upgrades!$T$14="Peculiar Velocity",POWER(Upgrades!$U$14,F251),1)*IF(Upgrades!$T$15="Peculiar Velocity",POWER(Upgrades!$U$15,G251),1)*IF(Upgrades!$T$16="Peculiar Velocity",POWER(Upgrades!$U$16,H251),1)*IF(Upgrades!$T$17="Peculiar Velocity",POWER(Upgrades!$U$17,I251),1)*IF(Upgrades!$T$18="Peculiar Velocity",POWER(Upgrades!$U$18,J251),1)*IF(Upgrades!$T$20="Peculiar Velocity",POWER(Upgrades!$U$20,L251),1)*IF(Upgrades!$T$21="Peculiar Velocity",POWER(Upgrades!$U$21,M251),1))+(IF(L251=0,0,(Upgrades!$J$20+L251*Upgrades!$K$20)*POWER(Upgrades!$L$20,L251)))*(IF(Upgrades!$T$13="Open Cluster",POWER(Upgrades!$U$13,E251),1)*IF(Upgrades!$T$14="Open Cluster",POWER(Upgrades!$U$14,F251),1)*IF(Upgrades!$T$15="Open Cluster",POWER(Upgrades!$U$15,G251),1)*IF(Upgrades!$T$16="Open Cluster",POWER(Upgrades!$U$16,H251),1)*IF(Upgrades!$T$17="Open Cluster",POWER(Upgrades!$U$17,I251),1)*IF(Upgrades!$T$18="Open Cluster",POWER(Upgrades!$U$18,J251),1)*IF(Upgrades!$T$19="Open Cluster",POWER(Upgrades!$U$19,K251),1)*IF(Upgrades!$T$21="Open Cluster",POWER(Upgrades!$U$21,M251),1))+(IF(M251=0,0,(Upgrades!$J$21+M251*Upgrades!$K$21)*POWER(Upgrades!$L$21,M251)))*(IF(Upgrades!$T$13="Moving Group",POWER(Upgrades!$U$13,E251),1)*IF(Upgrades!$T$14="Moving Group",POWER(Upgrades!$U$14,F251),1)*IF(Upgrades!$T$15="Moving Group",POWER(Upgrades!$U$15,G251),1)*IF(Upgrades!$T$16="Moving Group",POWER(Upgrades!$U$16,H251),1)*IF(Upgrades!$T$17="Moving Group",POWER(Upgrades!$U$17,I251),1)*IF(Upgrades!$T$18="Moving Group",POWER(Upgrades!$U$18,J251),1)*IF(Upgrades!$T$19="Moving Group",POWER(Upgrades!$U$19,K251),1)*IF(Upgrades!$T$20="Moving Group",POWER(Upgrades!$U$20,L251),1)))*POWER(Upgrades!$Q$13,E251)*POWER(Upgrades!$Q$14,F251)*POWER(Upgrades!$Q$15,G251)*POWER(Upgrades!$Q$16,H251)*POWER(Upgrades!$Q$17,I251)*POWER(Upgrades!$Q$18,J251)*POWER(Upgrades!$Q$19,K251)*POWER(Upgrades!$Q$20,L251)*POWER(Upgrades!$Q$21,M251)*$G$6+$D$6</f>
        <v/>
      </c>
      <c r="P251" s="28">
        <f>((IF(E251=0,0,(Upgrades!$G$13+E251*Upgrades!$H$13)*POWER(Upgrades!$I$13,E251)))*(IF(Upgrades!$T$14="Stellar Kinematics",POWER(Upgrades!$U$14,F251),1)*IF(Upgrades!$T$15="Stellar Kinematics",POWER(Upgrades!$U$15,G251),1)*IF(Upgrades!$T$16="Stellar Kinematics",POWER(Upgrades!$U$16,H251),1)*IF(Upgrades!$T$17="Stellar Kinematics",POWER(Upgrades!$U$17,I251),1)*IF(Upgrades!$T$18="Stellar Kinematics",POWER(Upgrades!$U$18,J251),1)*IF(Upgrades!$T$19="Stellar Kinematics",POWER(Upgrades!$U$19,K251),1)*IF(Upgrades!$T$20="Stellar Kinematics",POWER(Upgrades!$U$20,L251),1)*IF(Upgrades!$T$21="Stellar Kinematics",POWER(Upgrades!$U$21,M251),1))+(IF(F251=0,0,(Upgrades!$G$14+F251*Upgrades!$H$14)*POWER(Upgrades!$I$14,F251)))*(IF(Upgrades!$T$13="Local Bubble",POWER(Upgrades!$U$13,E251),1)*IF(Upgrades!$T$15="Local Bubble",POWER(Upgrades!$U$15,G251),1)*IF(Upgrades!$T$16="Local Bubble",POWER(Upgrades!$U$16,H251),1)*IF(Upgrades!$T$17="Local Bubble",POWER(Upgrades!$U$17,I251),1)*IF(Upgrades!$T$18="Local Bubble",POWER(Upgrades!$U$18,J251),1)*IF(Upgrades!$T$19="Local Bubble",POWER(Upgrades!$U$19,K251),1)*IF(Upgrades!$T$20="Local Bubble",POWER(Upgrades!$U$20,L251),1)*IF(Upgrades!$T$21="Local Bubble",POWER(Upgrades!$U$21,M251),1))+(IF(G251=0,0,(Upgrades!$G$15+G251*Upgrades!$H$15)*POWER(Upgrades!$I$15,G251)))*(IF(Upgrades!$T$13="Microlensing",POWER(Upgrades!$U$13,E251),1)*IF(Upgrades!$T$14="Microlensing",POWER(Upgrades!$U$14,F251),1)*IF(Upgrades!$T$16="Microlensing",POWER(Upgrades!$U$16,H251),1)*IF(Upgrades!$T$17="Microlensing",POWER(Upgrades!$U$17,I251),1)*IF(Upgrades!$T$18="Microlensing",POWER(Upgrades!$U$18,J251),1)*IF(Upgrades!$T$19="Microlensing",POWER(Upgrades!$U$19,K251),1)*IF(Upgrades!$T$20="Microlensing",POWER(Upgrades!$U$20,L251),1)*IF(Upgrades!$T$21="Microlensing",POWER(Upgrades!$U$21,M251),1))+(IF(H251=0,0,(Upgrades!$G$16+H251*Upgrades!$H$16)*POWER(Upgrades!$I$16,H251)))*(IF(Upgrades!$T$13="Roche Lobe Overflow",POWER(Upgrades!$U$13,E251),1)*IF(Upgrades!$T$14="Roche Lobe Overflow",POWER(Upgrades!$U$14,F251),1)*IF(Upgrades!$T$15="Roche Lobe Overflow",POWER(Upgrades!$U$15,G251),1)*IF(Upgrades!$T$17="Roche Lobe Overflow",POWER(Upgrades!$U$17,I251),1)*IF(Upgrades!$T$18="Roche Lobe Overflow",POWER(Upgrades!$U$18,J251),1)*IF(Upgrades!$T$19="Roche Lobe Overflow",POWER(Upgrades!$U$19,K251),1)*IF(Upgrades!$T$20="Roche Lobe Overflow",POWER(Upgrades!$U$20,L251),1)*IF(Upgrades!$T$21="Roche Lobe Overflow",POWER(Upgrades!$U$21,M251),1))+(IF(I251=0,0,(Upgrades!$G$17+I251*Upgrades!$H$17)*POWER(Upgrades!$I$17,I251)))*(IF(Upgrades!$T$13="Brown Dwarf",POWER(Upgrades!$U$13,E251),1)*IF(Upgrades!$T$14="Brown Dwarf",POWER(Upgrades!$U$14,F251),1)*IF(Upgrades!$T$15="Brown Dwarf",POWER(Upgrades!$U$15,G251),1)*IF(Upgrades!$T$16="Brown Dwarf",POWER(Upgrades!$U$16,H251),1)*IF(Upgrades!$T$18="Brown Dwarf",POWER(Upgrades!$U$18,J251),1)*IF(Upgrades!$T$19="Brown Dwarf",POWER(Upgrades!$U$19,K251),1)*IF(Upgrades!$T$20="Brown Dwarf",POWER(Upgrades!$U$20,L251),1)*IF(Upgrades!$T$21="Brown Dwarf",POWER(Upgrades!$U$21,M251),1))+(IF(J251=0,0,(Upgrades!$G$18+J251*Upgrades!$H$18)*POWER(Upgrades!$I$18,J251)))*(IF(Upgrades!$T$13="Binary Partner",POWER(Upgrades!$U$13,E251),1)*IF(Upgrades!$T$14="Binary Partner",POWER(Upgrades!$U$14,F251),1)*IF(Upgrades!$T$15="Binary Partner",POWER(Upgrades!$U$15,G251),1)*IF(Upgrades!$T$16="Binary Partner",POWER(Upgrades!$U$16,H251),1)*IF(Upgrades!$T$17="Binary Partner",POWER(Upgrades!$U$17,I251),1)*IF(Upgrades!$T$19="Binary Partner",POWER(Upgrades!$U$19,K251),1)*IF(Upgrades!$T$20="Binary Partner",POWER(Upgrades!$U$20,L251),1)*IF(Upgrades!$T$21="Binary Partner",POWER(Upgrades!$U$21,M251),1))+(IF(K251=0,0,(Upgrades!$G$19+K251*Upgrades!$H$19)*POWER(Upgrades!$I$19,K251)))*(IF(Upgrades!$T$13="Peculiar Velocity",POWER(Upgrades!$U$13,E251),1)*IF(Upgrades!$T$14="Peculiar Velocity",POWER(Upgrades!$U$14,F251),1)*IF(Upgrades!$T$15="Peculiar Velocity",POWER(Upgrades!$U$15,G251),1)*IF(Upgrades!$T$16="Peculiar Velocity",POWER(Upgrades!$U$16,H251),1)*IF(Upgrades!$T$17="Peculiar Velocity",POWER(Upgrades!$U$17,I251),1)*IF(Upgrades!$T$18="Peculiar Velocity",POWER(Upgrades!$U$18,J251),1)*IF(Upgrades!$T$20="Peculiar Velocity",POWER(Upgrades!$U$20,L251),1)*IF(Upgrades!$T$21="Peculiar Velocity",POWER(Upgrades!$U$21,M251),1))+(IF(L251=0,0,(Upgrades!$G$20+L251*Upgrades!$H$20)*POWER(Upgrades!$I$20,L251)))*(IF(Upgrades!$T$13="Open Cluster",POWER(Upgrades!$U$13,E251),1)*IF(Upgrades!$T$14="Open Cluster",POWER(Upgrades!$U$14,F251),1)*IF(Upgrades!$T$15="Open Cluster",POWER(Upgrades!$U$15,G251),1)*IF(Upgrades!$T$16="Open Cluster",POWER(Upgrades!$U$16,H251),1)*IF(Upgrades!$T$17="Open Cluster",POWER(Upgrades!$U$17,I251),1)*IF(Upgrades!$T$18="Open Cluster",POWER(Upgrades!$U$18,J251),1)*IF(Upgrades!$T$19="Open Cluster",POWER(Upgrades!$U$19,K251),1)*IF(Upgrades!$T$21="Open Cluster",POWER(Upgrades!$U$21,M251),1))+(IF(M251=0,0,(Upgrades!$G$21+M251*Upgrades!$H$21)*POWER(Upgrades!$I$21,M251)))*(IF(Upgrades!$T$13="Moving Group",POWER(Upgrades!$U$13,E251),1)*IF(Upgrades!$T$14="Moving Group",POWER(Upgrades!$U$14,F251),1)*IF(Upgrades!$T$15="Moving Group",POWER(Upgrades!$U$15,G251),1)*IF(Upgrades!$T$16="Moving Group",POWER(Upgrades!$U$16,H251),1)*IF(Upgrades!$T$17="Moving Group",POWER(Upgrades!$U$17,I251),1)*IF(Upgrades!$T$18="Moving Group",POWER(Upgrades!$U$18,J251),1)*IF(Upgrades!$T$19="Moving Group",POWER(Upgrades!$U$19,K251),1)*IF(Upgrades!$T$20="Moving Group",POWER(Upgrades!$U$20,L251),1)))*POWER(Upgrades!$P$13,E251)*POWER(Upgrades!$P$14,F251)*POWER(Upgrades!$P$15,G251)*POWER(Upgrades!$P$16,H251)*POWER(Upgrades!$P$17,I251)*POWER(Upgrades!$P$18,J251)*POWER(Upgrades!$P$19,K251)*POWER(Upgrades!$P$20,L251)*POWER(Upgrades!$P$21,M251)*$F$6+$C$6</f>
        <v/>
      </c>
      <c r="Q251" s="28">
        <f>((IF(E251=0,0,(Upgrades!$M$13+E251*Upgrades!$N$13)*POWER(Upgrades!$O$13,E251)))*(IF(Upgrades!$T$14="Stellar Kinematics",POWER(Upgrades!$U$14,F251),1)*IF(Upgrades!$T$15="Stellar Kinematics",POWER(Upgrades!$U$15,G251),1)*IF(Upgrades!$T$16="Stellar Kinematics",POWER(Upgrades!$U$16,H251),1)*IF(Upgrades!$T$17="Stellar Kinematics",POWER(Upgrades!$U$17,I251),1)*IF(Upgrades!$T$18="Stellar Kinematics",POWER(Upgrades!$U$18,J251),1)*IF(Upgrades!$T$19="Stellar Kinematics",POWER(Upgrades!$U$19,K251),1)*IF(Upgrades!$T$20="Stellar Kinematics",POWER(Upgrades!$U$20,L251),1)*IF(Upgrades!$T$21="Stellar Kinematics",POWER(Upgrades!$U$21,M251),1))+(IF(F251=0,0,(Upgrades!$M$14+F251*Upgrades!$N$14)*POWER(Upgrades!$O$14,F251)))*(IF(Upgrades!$T$13="Local Bubble",POWER(Upgrades!$U$13,E251),1)*IF(Upgrades!$T$15="Local Bubble",POWER(Upgrades!$U$15,G251),1)*IF(Upgrades!$T$16="Local Bubble",POWER(Upgrades!$U$16,H251),1)*IF(Upgrades!$T$17="Local Bubble",POWER(Upgrades!$U$17,I251),1)*IF(Upgrades!$T$18="Local Bubble",POWER(Upgrades!$U$18,J251),1)*IF(Upgrades!$T$19="Local Bubble",POWER(Upgrades!$U$19,K251),1)*IF(Upgrades!$T$20="Local Bubble",POWER(Upgrades!$U$20,L251),1)*IF(Upgrades!$T$21="Local Bubble",POWER(Upgrades!$U$21,M251),1))+(IF(G251=0,0,(Upgrades!$M$15+G251*Upgrades!$N$15)*POWER(Upgrades!$O$15,G251)))*(IF(Upgrades!$T$13="Microlensing",POWER(Upgrades!$U$13,E251),1)*IF(Upgrades!$T$14="Microlensing",POWER(Upgrades!$U$14,F251),1)*IF(Upgrades!$T$16="Microlensing",POWER(Upgrades!$U$16,H251),1)*IF(Upgrades!$T$17="Microlensing",POWER(Upgrades!$U$17,I251),1)*IF(Upgrades!$T$18="Microlensing",POWER(Upgrades!$U$18,J251),1)*IF(Upgrades!$T$19="Microlensing",POWER(Upgrades!$U$19,K251),1)*IF(Upgrades!$T$20="Microlensing",POWER(Upgrades!$U$20,L251),1)*IF(Upgrades!$T$21="Microlensing",POWER(Upgrades!$U$21,M251),1))+(IF(H251=0,0,(Upgrades!$M$16+H251*Upgrades!$N$16)*POWER(Upgrades!$O$16,H251)))*(IF(Upgrades!$T$13="Roche Lobe Overflow",POWER(Upgrades!$U$13,E251),1)*IF(Upgrades!$T$14="Roche Lobe Overflow",POWER(Upgrades!$U$14,F251),1)*IF(Upgrades!$T$15="Roche Lobe Overflow",POWER(Upgrades!$U$15,G251),1)*IF(Upgrades!$T$17="Roche Lobe Overflow",POWER(Upgrades!$U$17,I251),1)*IF(Upgrades!$T$18="Roche Lobe Overflow",POWER(Upgrades!$U$18,J251),1)*IF(Upgrades!$T$19="Roche Lobe Overflow",POWER(Upgrades!$U$19,K251),1)*IF(Upgrades!$T$20="Roche Lobe Overflow",POWER(Upgrades!$U$20,L251),1)*IF(Upgrades!$T$21="Roche Lobe Overflow",POWER(Upgrades!$U$21,M251),1))+(IF(I251=0,0,(Upgrades!$M$17+I251*Upgrades!$N$17)*POWER(Upgrades!$O$17,I251)))*(IF(Upgrades!$T$13="Brown Dwarf",POWER(Upgrades!$U$13,E251),1)*IF(Upgrades!$T$14="Brown Dwarf",POWER(Upgrades!$U$14,F251),1)*IF(Upgrades!$T$15="Brown Dwarf",POWER(Upgrades!$U$15,G251),1)*IF(Upgrades!$T$16="Brown Dwarf",POWER(Upgrades!$U$16,H251),1)*IF(Upgrades!$T$18="Brown Dwarf",POWER(Upgrades!$U$18,J251),1)*IF(Upgrades!$T$19="Brown Dwarf",POWER(Upgrades!$U$19,K251),1)*IF(Upgrades!$T$20="Brown Dwarf",POWER(Upgrades!$U$20,L251),1)*IF(Upgrades!$T$21="Brown Dwarf",POWER(Upgrades!$U$21,M251),1))+(IF(J251=0,0,(Upgrades!$M$18+J251*Upgrades!$N$18)*POWER(Upgrades!$O$18,J251)))*(IF(Upgrades!$T$13="Binary Partner",POWER(Upgrades!$U$13,E251),1)*IF(Upgrades!$T$14="Binary Partner",POWER(Upgrades!$U$14,F251),1)*IF(Upgrades!$T$15="Binary Partner",POWER(Upgrades!$U$15,G251),1)*IF(Upgrades!$T$16="Binary Partner",POWER(Upgrades!$U$16,H251),1)*IF(Upgrades!$T$17="Binary Partner",POWER(Upgrades!$U$17,I251),1)*IF(Upgrades!$T$19="Binary Partner",POWER(Upgrades!$U$19,K251),1)*IF(Upgrades!$T$20="Binary Partner",POWER(Upgrades!$U$20,L251),1)*IF(Upgrades!$T$21="Binary Partner",POWER(Upgrades!$U$21,M251),1))+(IF(K251=0,0,(Upgrades!$M$19+K251*Upgrades!$N$19)*POWER(Upgrades!$O$19,K251)))*(IF(Upgrades!$T$13="Peculiar Velocity",POWER(Upgrades!$U$13,E251),1)*IF(Upgrades!$T$14="Peculiar Velocity",POWER(Upgrades!$U$14,F251),1)*IF(Upgrades!$T$15="Peculiar Velocity",POWER(Upgrades!$U$15,G251),1)*IF(Upgrades!$T$16="Peculiar Velocity",POWER(Upgrades!$U$16,H251),1)*IF(Upgrades!$T$17="Peculiar Velocity",POWER(Upgrades!$U$17,I251),1)*IF(Upgrades!$T$18="Peculiar Velocity",POWER(Upgrades!$U$18,J251),1)*IF(Upgrades!$T$20="Peculiar Velocity",POWER(Upgrades!$U$20,L251),1)*IF(Upgrades!$T$21="Peculiar Velocity",POWER(Upgrades!$U$21,M251),1))+(IF(L251=0,0,(Upgrades!$M$20+L251*Upgrades!$N$20)*POWER(Upgrades!$O$20,L251)))*(IF(Upgrades!$T$13="Open Cluster",POWER(Upgrades!$U$13,E251),1)*IF(Upgrades!$T$14="Open Cluster",POWER(Upgrades!$U$14,F251),1)*IF(Upgrades!$T$15="Open Cluster",POWER(Upgrades!$U$15,G251),1)*IF(Upgrades!$T$16="Open Cluster",POWER(Upgrades!$U$16,H251),1)*IF(Upgrades!$T$17="Open Cluster",POWER(Upgrades!$U$17,I251),1)*IF(Upgrades!$T$18="Open Cluster",POWER(Upgrades!$U$18,J251),1)*IF(Upgrades!$T$19="Open Cluster",POWER(Upgrades!$U$19,K251),1)*IF(Upgrades!$T$21="Open Cluster",POWER(Upgrades!$U$21,M251),1))+(IF(M251=0,0,(Upgrades!$M$21+M251*Upgrades!$N$21)*POWER(Upgrades!$O$21,M251)))*(IF(Upgrades!$T$13="Moving Group",POWER(Upgrades!$U$13,E251),1)*IF(Upgrades!$T$14="Moving Group",POWER(Upgrades!$U$14,F251),1)*IF(Upgrades!$T$15="Moving Group",POWER(Upgrades!$U$15,G251),1)*IF(Upgrades!$T$16="Moving Group",POWER(Upgrades!$U$16,H251),1)*IF(Upgrades!$T$17="Moving Group",POWER(Upgrades!$U$17,I251),1)*IF(Upgrades!$T$18="Moving Group",POWER(Upgrades!$U$18,J251),1)*IF(Upgrades!$T$19="Moving Group",POWER(Upgrades!$U$19,K251),1)*IF(Upgrades!$T$20="Moving Group",POWER(Upgrades!$U$20,L251),1)))*POWER(Upgrades!$R$13,E251)*POWER(Upgrades!$R$14,F251)*POWER(Upgrades!$R$15,G251)*POWER(Upgrades!$R$16,H251)*POWER(Upgrades!$R$17,I251)*POWER(Upgrades!$R$18,J251)*POWER(Upgrades!$R$19,K251)*POWER(Upgrades!$R$20,L251)*POWER(Upgrades!$R$21,M251)*$H$6+$E$6</f>
        <v/>
      </c>
      <c r="R251" s="27">
        <f>IF(N251=1,0,O251*Parameters!$B$10/60*Parameters!$B$11*10)</f>
        <v/>
      </c>
      <c r="S251" s="27">
        <f>IF(N251=1,0,Q251*O251*10)</f>
        <v/>
      </c>
      <c r="T251" s="27">
        <f>IF(N251=1,0,R251+S251+P251*10)</f>
        <v/>
      </c>
      <c r="U251" s="33">
        <f>BE251</f>
        <v/>
      </c>
      <c r="V251" s="22">
        <f>IF(U251="",0,IF(U251="transition",0,IF(U251="SK",AK251,IF(U251="LB",AL251,IF(U251="ML",AM251,IF(U251="RLO",AN251,IF(U251="BD",AO251,IF(U251="BiP",AP251,IF(U251="PV",AQ251,IF(U251="OC",AR251,IF(U251="MG",AS251,0))))))))))</f>
        <v/>
      </c>
      <c r="W251" s="27">
        <f>IF(U251="BiP",Upgrades!$F$18,IF(U251="PV",Upgrades!$F$19,IF(U251="OC",Upgrades!$F$20,IF(U251="MG",Upgrades!$F$21,IF(U251="transition",-Parameters!$B$18*Parameters!$B$19,0)))))</f>
        <v/>
      </c>
      <c r="X251" s="22">
        <f>C251+T251-V251</f>
        <v/>
      </c>
      <c r="Y251" s="30">
        <f>O251*Parameters!$B$10/60*Parameters!$B$11+Q251*O251+P251</f>
        <v/>
      </c>
      <c r="Z251" s="34">
        <f>IF(U251="transition","→ Tier 3 (Galactic Arm)",IF(U251="MG","Moving Group — pocket drifts together",IF(U251="OC","Open Cluster acquired",IF(U251="PV","Peculiar Velocity — passive multiplier active",IF(U251="BiP","Binary Partner — pair bond formed",IF(AND(AU251=1,N251=0,AT251&lt;&gt;1),"Cohesion ready (waiting on completionists)","")))))) </f>
        <v/>
      </c>
      <c r="AA251" s="27">
        <f>(IF(E251=0,0,(Upgrades!$G$13+E251*Upgrades!$H$13)*POWER(Upgrades!$I$13,E251)))*(IF(Upgrades!$T$14="Stellar Kinematics",POWER(Upgrades!$U$14,F251),1)*IF(Upgrades!$T$15="Stellar Kinematics",POWER(Upgrades!$U$15,G251),1)*IF(Upgrades!$T$16="Stellar Kinematics",POWER(Upgrades!$U$16,H251),1)*IF(Upgrades!$T$17="Stellar Kinematics",POWER(Upgrades!$U$17,I251),1)*IF(Upgrades!$T$18="Stellar Kinematics",POWER(Upgrades!$U$18,J251),1)*IF(Upgrades!$T$19="Stellar Kinematics",POWER(Upgrades!$U$19,K251),1)*IF(Upgrades!$T$20="Stellar Kinematics",POWER(Upgrades!$U$20,L251),1)*IF(Upgrades!$T$21="Stellar Kinematics",POWER(Upgrades!$U$21,M251),1))*POWER(Upgrades!$P$13,E251)*POWER(Upgrades!$P$14,F251)*POWER(Upgrades!$P$15,G251)*POWER(Upgrades!$P$16,H251)*POWER(Upgrades!$P$17,I251)*POWER(Upgrades!$P$18,J251)*POWER(Upgrades!$P$19,K251)*POWER(Upgrades!$P$20,L251)*POWER(Upgrades!$P$21,M251)*$F$6*60</f>
        <v/>
      </c>
      <c r="AB251" s="27">
        <f>(IF(F251=0,0,(Upgrades!$G$14+F251*Upgrades!$H$14)*POWER(Upgrades!$I$14,F251)))*(IF(Upgrades!$T$13="Local Bubble",POWER(Upgrades!$U$13,E251),1)*IF(Upgrades!$T$15="Local Bubble",POWER(Upgrades!$U$15,G251),1)*IF(Upgrades!$T$16="Local Bubble",POWER(Upgrades!$U$16,H251),1)*IF(Upgrades!$T$17="Local Bubble",POWER(Upgrades!$U$17,I251),1)*IF(Upgrades!$T$18="Local Bubble",POWER(Upgrades!$U$18,J251),1)*IF(Upgrades!$T$19="Local Bubble",POWER(Upgrades!$U$19,K251),1)*IF(Upgrades!$T$20="Local Bubble",POWER(Upgrades!$U$20,L251),1)*IF(Upgrades!$T$21="Local Bubble",POWER(Upgrades!$U$21,M251),1))*POWER(Upgrades!$P$13,E251)*POWER(Upgrades!$P$14,F251)*POWER(Upgrades!$P$15,G251)*POWER(Upgrades!$P$16,H251)*POWER(Upgrades!$P$17,I251)*POWER(Upgrades!$P$18,J251)*POWER(Upgrades!$P$19,K251)*POWER(Upgrades!$P$20,L251)*POWER(Upgrades!$P$21,M251)*$F$6*60</f>
        <v/>
      </c>
      <c r="AC251" s="27">
        <f>(IF(G251=0,0,(Upgrades!$J$15+G251*Upgrades!$K$15)*POWER(Upgrades!$L$15,G251)))*(IF(Upgrades!$T$13="Microlensing",POWER(Upgrades!$U$13,E251),1)*IF(Upgrades!$T$14="Microlensing",POWER(Upgrades!$U$14,F251),1)*IF(Upgrades!$T$16="Microlensing",POWER(Upgrades!$U$16,H251),1)*IF(Upgrades!$T$17="Microlensing",POWER(Upgrades!$U$17,I251),1)*IF(Upgrades!$T$18="Microlensing",POWER(Upgrades!$U$18,J251),1)*IF(Upgrades!$T$19="Microlensing",POWER(Upgrades!$U$19,K251),1)*IF(Upgrades!$T$20="Microlensing",POWER(Upgrades!$U$20,L251),1)*IF(Upgrades!$T$21="Microlensing",POWER(Upgrades!$U$21,M251),1))*POWER(Upgrades!$Q$13,E251)*POWER(Upgrades!$Q$14,F251)*POWER(Upgrades!$Q$15,G251)*POWER(Upgrades!$Q$16,H251)*POWER(Upgrades!$Q$17,I251)*POWER(Upgrades!$Q$18,J251)*POWER(Upgrades!$Q$19,K251)*POWER(Upgrades!$Q$20,L251)*POWER(Upgrades!$Q$21,M251)*$G$6*(Parameters!$B$10*Parameters!$B$11+Q251*60)</f>
        <v/>
      </c>
      <c r="AD251" s="27">
        <f>(IF(H251=0,0,(Upgrades!$M$16+H251*Upgrades!$N$16)*POWER(Upgrades!$O$16,H251)))*(IF(Upgrades!$T$13="Roche Lobe Overflow",POWER(Upgrades!$U$13,E251),1)*IF(Upgrades!$T$14="Roche Lobe Overflow",POWER(Upgrades!$U$14,F251),1)*IF(Upgrades!$T$15="Roche Lobe Overflow",POWER(Upgrades!$U$15,G251),1)*IF(Upgrades!$T$17="Roche Lobe Overflow",POWER(Upgrades!$U$17,I251),1)*IF(Upgrades!$T$18="Roche Lobe Overflow",POWER(Upgrades!$U$18,J251),1)*IF(Upgrades!$T$19="Roche Lobe Overflow",POWER(Upgrades!$U$19,K251),1)*IF(Upgrades!$T$20="Roche Lobe Overflow",POWER(Upgrades!$U$20,L251),1)*IF(Upgrades!$T$21="Roche Lobe Overflow",POWER(Upgrades!$U$21,M251),1))*POWER(Upgrades!$R$13,E251)*POWER(Upgrades!$R$14,F251)*POWER(Upgrades!$R$15,G251)*POWER(Upgrades!$R$16,H251)*POWER(Upgrades!$R$17,I251)*POWER(Upgrades!$R$18,J251)*POWER(Upgrades!$R$19,K251)*POWER(Upgrades!$R$20,L251)*POWER(Upgrades!$R$21,M251)*$H$6*O251*60</f>
        <v/>
      </c>
      <c r="AE251" s="27">
        <f>(IF(I251=0,0,(Upgrades!$G$17+I251*Upgrades!$H$17)*POWER(Upgrades!$I$17,I251)))*(IF(Upgrades!$T$13="Brown Dwarf",POWER(Upgrades!$U$13,E251),1)*IF(Upgrades!$T$14="Brown Dwarf",POWER(Upgrades!$U$14,F251),1)*IF(Upgrades!$T$15="Brown Dwarf",POWER(Upgrades!$U$15,G251),1)*IF(Upgrades!$T$16="Brown Dwarf",POWER(Upgrades!$U$16,H251),1)*IF(Upgrades!$T$18="Brown Dwarf",POWER(Upgrades!$U$18,J251),1)*IF(Upgrades!$T$19="Brown Dwarf",POWER(Upgrades!$U$19,K251),1)*IF(Upgrades!$T$20="Brown Dwarf",POWER(Upgrades!$U$20,L251),1)*IF(Upgrades!$T$21="Brown Dwarf",POWER(Upgrades!$U$21,M251),1))*POWER(Upgrades!$P$13,E251)*POWER(Upgrades!$P$14,F251)*POWER(Upgrades!$P$15,G251)*POWER(Upgrades!$P$16,H251)*POWER(Upgrades!$P$17,I251)*POWER(Upgrades!$P$18,J251)*POWER(Upgrades!$P$19,K251)*POWER(Upgrades!$P$20,L251)*POWER(Upgrades!$P$21,M251)*$F$6*60</f>
        <v/>
      </c>
      <c r="AF251" s="27" t="n">
        <v>0</v>
      </c>
      <c r="AG251" s="27" t="n">
        <v>0</v>
      </c>
      <c r="AH251" s="27" t="n">
        <v>0</v>
      </c>
      <c r="AI251" s="27">
        <f>(IF(M251=0,0,(Upgrades!$G$21+M251*Upgrades!$H$21)*POWER(Upgrades!$I$21,M251)))*(IF(Upgrades!$T$13="Moving Group",POWER(Upgrades!$U$13,E251),1)*IF(Upgrades!$T$14="Moving Group",POWER(Upgrades!$U$14,F251),1)*IF(Upgrades!$T$15="Moving Group",POWER(Upgrades!$U$15,G251),1)*IF(Upgrades!$T$16="Moving Group",POWER(Upgrades!$U$16,H251),1)*IF(Upgrades!$T$17="Moving Group",POWER(Upgrades!$U$17,I251),1)*IF(Upgrades!$T$18="Moving Group",POWER(Upgrades!$U$18,J251),1)*IF(Upgrades!$T$19="Moving Group",POWER(Upgrades!$U$19,K251),1)*IF(Upgrades!$T$20="Moving Group",POWER(Upgrades!$U$20,L251),1))*POWER(Upgrades!$P$13,E251)*POWER(Upgrades!$P$14,F251)*POWER(Upgrades!$P$15,G251)*POWER(Upgrades!$P$16,H251)*POWER(Upgrades!$P$17,I251)*POWER(Upgrades!$P$18,J251)*POWER(Upgrades!$P$19,K251)*POWER(Upgrades!$P$20,L251)*POWER(Upgrades!$P$21,M251)*$F$6*60</f>
        <v/>
      </c>
      <c r="AJ251" s="27">
        <f>$C$6*60</f>
        <v/>
      </c>
      <c r="AK251" s="22">
        <f>IF(E251&gt;=Upgrades!$E$13,"",Upgrades!$C$13*POWER(Upgrades!$D$13,E251))</f>
        <v/>
      </c>
      <c r="AL251" s="22">
        <f>IF(F251&gt;=Upgrades!$E$14,"",Upgrades!$C$14*POWER(Upgrades!$D$14,F251))</f>
        <v/>
      </c>
      <c r="AM251" s="22">
        <f>IF(G251&gt;=Upgrades!$E$15,"",Upgrades!$C$15*POWER(Upgrades!$D$15,G251))</f>
        <v/>
      </c>
      <c r="AN251" s="22">
        <f>IF(H251&gt;=Upgrades!$E$16,"",Upgrades!$C$16*POWER(Upgrades!$D$16,H251))</f>
        <v/>
      </c>
      <c r="AO251" s="22">
        <f>IF(I251&gt;=Upgrades!$E$17,"",Upgrades!$C$17*POWER(Upgrades!$D$17,I251))</f>
        <v/>
      </c>
      <c r="AP251" s="22">
        <f>IF(J251&gt;=Upgrades!$E$18,"",Upgrades!$C$18*POWER(Upgrades!$D$18,J251))</f>
        <v/>
      </c>
      <c r="AQ251" s="22">
        <f>IF(K251&gt;=Upgrades!$E$19,"",Upgrades!$C$19*POWER(Upgrades!$D$19,K251))</f>
        <v/>
      </c>
      <c r="AR251" s="22">
        <f>IF(L251&gt;=Upgrades!$E$20,"",Upgrades!$C$20*POWER(Upgrades!$D$20,L251))</f>
        <v/>
      </c>
      <c r="AS251" s="22">
        <f>IF(M251&gt;=Upgrades!$E$21,"",Upgrades!$C$21*POWER(Upgrades!$D$21,M251))</f>
        <v/>
      </c>
      <c r="AT251" s="26">
        <f>IF(AND(D251&gt;=Parameters!$B$18*Parameters!$B$19,(I251&gt;=Upgrades!$E$17)*(M251&gt;=Upgrades!$E$21)=1,N251=0),1,"")</f>
        <v/>
      </c>
      <c r="AU251" s="26">
        <f>IF(AND(D251&gt;=Parameters!$B$18*Parameters!$B$19,N251=0),1,"")</f>
        <v/>
      </c>
      <c r="AV251" s="22">
        <f>MIN(IF(ISNUMBER(AP251),AP251,9E15),IF(ISNUMBER(AQ251),AQ251,9E15),IF(ISNUMBER(AR251),AR251,9E15),IF(ISNUMBER(AS251),AS251,9E15))</f>
        <v/>
      </c>
      <c r="AW251" s="22">
        <f>MIN(IF(ISNUMBER(AK251),AK251,9E15),IF(ISNUMBER(AL251),AL251,9E15),IF(ISNUMBER(AM251),AM251,9E15),IF(ISNUMBER(AN251),AN251,9E15),IF(ISNUMBER(AO251),AO251,9E15))</f>
        <v/>
      </c>
      <c r="AX251" s="29">
        <f>IF(BD251&gt;Parameters!$B$21*(MAX(IF(AND(NOT(AND(AU251=1,AT251&lt;&gt;1)),ISNUMBER(AK251),AK251&lt;=(C251+T251)),AY251,0),IF(AND(NOT(AND(AU251=1,AT251&lt;&gt;1)),ISNUMBER(AL251),AL251&lt;=(C251+T251)),AZ251,0),IF(AND(NOT(AND(AU251=1,AT251&lt;&gt;1)),ISNUMBER(AM251),AM251&lt;=(C251+T251)),BA251,0),IF(AND(NOT(AND(AU251=1,AT251&lt;&gt;1)),ISNUMBER(AN251),AN251&lt;=(C251+T251)),BB251,0),IF(AND(ISNUMBER(AO251),AO251&lt;=(C251+T251)),BC251,0))),TRUE,FALSE)</f>
        <v/>
      </c>
      <c r="AY251" s="32">
        <f>IFERROR(Upgrades!$H$13*(POWER(Upgrades!$P$13,E251)*POWER(Upgrades!$P$14,F251)*POWER(Upgrades!$P$15,G251)*POWER(Upgrades!$P$16,H251)*POWER(Upgrades!$P$17,I251)*POWER(Upgrades!$P$18,J251)*POWER(Upgrades!$P$19,K251)*POWER(Upgrades!$P$20,L251)*POWER(Upgrades!$P$21,M251))*(IF(Upgrades!$T$14="Stellar Kinematics",POWER(Upgrades!$U$14,F251),1)*IF(Upgrades!$T$15="Stellar Kinematics",POWER(Upgrades!$U$15,G251),1)*IF(Upgrades!$T$16="Stellar Kinematics",POWER(Upgrades!$U$16,H251),1)*IF(Upgrades!$T$17="Stellar Kinematics",POWER(Upgrades!$U$17,I251),1)*IF(Upgrades!$T$18="Stellar Kinematics",POWER(Upgrades!$U$18,J251),1)*IF(Upgrades!$T$19="Stellar Kinematics",POWER(Upgrades!$U$19,K251),1)*IF(Upgrades!$T$20="Stellar Kinematics",POWER(Upgrades!$U$20,L251),1)*IF(Upgrades!$T$21="Stellar Kinematics",POWER(Upgrades!$U$21,M251),1))*$F$6/AK251,0)</f>
        <v/>
      </c>
      <c r="AZ251" s="32">
        <f>IFERROR(Upgrades!$H$14*(POWER(Upgrades!$P$13,E251)*POWER(Upgrades!$P$14,F251)*POWER(Upgrades!$P$15,G251)*POWER(Upgrades!$P$16,H251)*POWER(Upgrades!$P$17,I251)*POWER(Upgrades!$P$18,J251)*POWER(Upgrades!$P$19,K251)*POWER(Upgrades!$P$20,L251)*POWER(Upgrades!$P$21,M251))*(IF(Upgrades!$T$13="Local Bubble",POWER(Upgrades!$U$13,E251),1)*IF(Upgrades!$T$15="Local Bubble",POWER(Upgrades!$U$15,G251),1)*IF(Upgrades!$T$16="Local Bubble",POWER(Upgrades!$U$16,H251),1)*IF(Upgrades!$T$17="Local Bubble",POWER(Upgrades!$U$17,I251),1)*IF(Upgrades!$T$18="Local Bubble",POWER(Upgrades!$U$18,J251),1)*IF(Upgrades!$T$19="Local Bubble",POWER(Upgrades!$U$19,K251),1)*IF(Upgrades!$T$20="Local Bubble",POWER(Upgrades!$U$20,L251),1)*IF(Upgrades!$T$21="Local Bubble",POWER(Upgrades!$U$21,M251),1))*$F$6/AL251,0)</f>
        <v/>
      </c>
      <c r="BA251" s="32">
        <f>IFERROR(Upgrades!$K$15*(POWER(Upgrades!$Q$13,E251)*POWER(Upgrades!$Q$14,F251)*POWER(Upgrades!$Q$15,G251)*POWER(Upgrades!$Q$16,H251)*POWER(Upgrades!$Q$17,I251)*POWER(Upgrades!$Q$18,J251)*POWER(Upgrades!$Q$19,K251)*POWER(Upgrades!$Q$20,L251)*POWER(Upgrades!$Q$21,M251))*(IF(Upgrades!$T$13="Microlensing",POWER(Upgrades!$U$13,E251),1)*IF(Upgrades!$T$14="Microlensing",POWER(Upgrades!$U$14,F251),1)*IF(Upgrades!$T$16="Microlensing",POWER(Upgrades!$U$16,H251),1)*IF(Upgrades!$T$17="Microlensing",POWER(Upgrades!$U$17,I251),1)*IF(Upgrades!$T$18="Microlensing",POWER(Upgrades!$U$18,J251),1)*IF(Upgrades!$T$19="Microlensing",POWER(Upgrades!$U$19,K251),1)*IF(Upgrades!$T$20="Microlensing",POWER(Upgrades!$U$20,L251),1)*IF(Upgrades!$T$21="Microlensing",POWER(Upgrades!$U$21,M251),1))*$G$6*(Parameters!$B$10/60*Parameters!$B$11+Q251)/AM251,0)</f>
        <v/>
      </c>
      <c r="BB251" s="32">
        <f>IFERROR((Upgrades!$N$16*(POWER(Upgrades!$R$13,E251)*POWER(Upgrades!$R$14,F251)*POWER(Upgrades!$R$15,G251)*POWER(Upgrades!$R$16,H251)*POWER(Upgrades!$R$17,I251)*POWER(Upgrades!$R$18,J251)*POWER(Upgrades!$R$19,K251)*POWER(Upgrades!$R$20,L251)*POWER(Upgrades!$R$21,M251))*(IF(Upgrades!$T$13="Roche Lobe Overflow",POWER(Upgrades!$U$13,E251),1)*IF(Upgrades!$T$14="Roche Lobe Overflow",POWER(Upgrades!$U$14,F251),1)*IF(Upgrades!$T$15="Roche Lobe Overflow",POWER(Upgrades!$U$15,G251),1)*IF(Upgrades!$T$17="Roche Lobe Overflow",POWER(Upgrades!$U$17,I251),1)*IF(Upgrades!$T$18="Roche Lobe Overflow",POWER(Upgrades!$U$18,J251),1)*IF(Upgrades!$T$19="Roche Lobe Overflow",POWER(Upgrades!$U$19,K251),1)*IF(Upgrades!$T$20="Roche Lobe Overflow",POWER(Upgrades!$U$20,L251),1)*IF(Upgrades!$T$21="Roche Lobe Overflow",POWER(Upgrades!$U$21,M251),1))*$H$6*O251+((IF(F251=0,0,(Upgrades!$G$14+F251*Upgrades!$H$14)*POWER(Upgrades!$I$14,F251)))*(IF(Upgrades!$T$13="Local Bubble",POWER(Upgrades!$U$13,E251),1)*IF(Upgrades!$T$15="Local Bubble",POWER(Upgrades!$U$15,G251),1)*IF(Upgrades!$T$16="Local Bubble",POWER(Upgrades!$U$16,H251),1)*IF(Upgrades!$T$17="Local Bubble",POWER(Upgrades!$U$17,I251),1)*IF(Upgrades!$T$18="Local Bubble",POWER(Upgrades!$U$18,J251),1)*IF(Upgrades!$T$19="Local Bubble",POWER(Upgrades!$U$19,K251),1)*IF(Upgrades!$T$20="Local Bubble",POWER(Upgrades!$U$20,L251),1)*IF(Upgrades!$T$21="Local Bubble",POWER(Upgrades!$U$21,M251),1))*POWER(Upgrades!$P$13,E251)*POWER(Upgrades!$P$14,F251)*POWER(Upgrades!$P$15,G251)*POWER(Upgrades!$P$16,H251)*POWER(Upgrades!$P$17,I251)*POWER(Upgrades!$P$18,J251)*POWER(Upgrades!$P$19,K251)*POWER(Upgrades!$P$20,L251)*POWER(Upgrades!$P$21,M251)*$F$6)*0.05)/AN251,0)</f>
        <v/>
      </c>
      <c r="BC251" s="32">
        <f>IFERROR((Upgrades!$H$17*(POWER(Upgrades!$P$13,E251)*POWER(Upgrades!$P$14,F251)*POWER(Upgrades!$P$15,G251)*POWER(Upgrades!$P$16,H251)*POWER(Upgrades!$P$17,I251)*POWER(Upgrades!$P$18,J251)*POWER(Upgrades!$P$19,K251)*POWER(Upgrades!$P$20,L251)*POWER(Upgrades!$P$21,M251))*(IF(Upgrades!$T$13="Brown Dwarf",POWER(Upgrades!$U$13,E251),1)*IF(Upgrades!$T$14="Brown Dwarf",POWER(Upgrades!$U$14,F251),1)*IF(Upgrades!$T$15="Brown Dwarf",POWER(Upgrades!$U$15,G251),1)*IF(Upgrades!$T$16="Brown Dwarf",POWER(Upgrades!$U$16,H251),1)*IF(Upgrades!$T$18="Brown Dwarf",POWER(Upgrades!$U$18,J251),1)*IF(Upgrades!$T$19="Brown Dwarf",POWER(Upgrades!$U$19,K251),1)*IF(Upgrades!$T$20="Brown Dwarf",POWER(Upgrades!$U$20,L251),1)*IF(Upgrades!$T$21="Brown Dwarf",POWER(Upgrades!$U$21,M251),1))*$F$6+(((IF(H251=0,0,(Upgrades!$M$16+H251*Upgrades!$N$16)*POWER(Upgrades!$O$16,H251)))*(IF(Upgrades!$T$13="Roche Lobe Overflow",POWER(Upgrades!$U$13,E251),1)*IF(Upgrades!$T$14="Roche Lobe Overflow",POWER(Upgrades!$U$14,F251),1)*IF(Upgrades!$T$15="Roche Lobe Overflow",POWER(Upgrades!$U$15,G251),1)*IF(Upgrades!$T$17="Roche Lobe Overflow",POWER(Upgrades!$U$17,I251),1)*IF(Upgrades!$T$18="Roche Lobe Overflow",POWER(Upgrades!$U$18,J251),1)*IF(Upgrades!$T$19="Roche Lobe Overflow",POWER(Upgrades!$U$19,K251),1)*IF(Upgrades!$T$20="Roche Lobe Overflow",POWER(Upgrades!$U$20,L251),1)*IF(Upgrades!$T$21="Roche Lobe Overflow",POWER(Upgrades!$U$21,M251),1))*POWER(Upgrades!$R$13,E251)*POWER(Upgrades!$R$14,F251)*POWER(Upgrades!$R$15,G251)*POWER(Upgrades!$R$16,H251)*POWER(Upgrades!$R$17,I251)*POWER(Upgrades!$R$18,J251)*POWER(Upgrades!$R$19,K251)*POWER(Upgrades!$R$20,L251)*POWER(Upgrades!$R$21,M251)*$H$6)*O251)*0.10)/AO251,0)</f>
        <v/>
      </c>
      <c r="BD251" s="32">
        <f>MAX(IF(J251&gt;0,0,IFERROR(0.5*((IF(G251=0,0,(Upgrades!$J$15+G251*Upgrades!$K$15)*POWER(Upgrades!$L$15,G251)))*(IF(Upgrades!$T$13="Microlensing",POWER(Upgrades!$U$13,E251),1)*IF(Upgrades!$T$14="Microlensing",POWER(Upgrades!$U$14,F251),1)*IF(Upgrades!$T$16="Microlensing",POWER(Upgrades!$U$16,H251),1)*IF(Upgrades!$T$17="Microlensing",POWER(Upgrades!$U$17,I251),1)*IF(Upgrades!$T$18="Microlensing",POWER(Upgrades!$U$18,J251),1)*IF(Upgrades!$T$19="Microlensing",POWER(Upgrades!$U$19,K251),1)*IF(Upgrades!$T$20="Microlensing",POWER(Upgrades!$U$20,L251),1)*IF(Upgrades!$T$21="Microlensing",POWER(Upgrades!$U$21,M251),1))*(POWER(Upgrades!$Q$13,E251)*POWER(Upgrades!$Q$14,F251)*POWER(Upgrades!$Q$15,G251)*POWER(Upgrades!$Q$16,H251)*POWER(Upgrades!$Q$17,I251)*POWER(Upgrades!$Q$18,J251)*POWER(Upgrades!$Q$19,K251)*POWER(Upgrades!$Q$20,L251)*POWER(Upgrades!$Q$21,M251))*$G$6*(Parameters!$B$10/60*Parameters!$B$11+Q251))/Upgrades!$C$18,0)),IF(K251&gt;0,0,IFERROR(0.30*P251/Upgrades!$C$19,0)),IF(L251&gt;0,0,IFERROR(0.0001/Upgrades!$C$20,0)),IF(M251&gt;0,0,IFERROR((6.0*(POWER(Upgrades!$P$13,E251)*POWER(Upgrades!$P$14,F251)*POWER(Upgrades!$P$15,G251)*POWER(Upgrades!$P$16,H251)*POWER(Upgrades!$P$17,I251)*POWER(Upgrades!$P$18,J251)*POWER(Upgrades!$P$19,K251)*POWER(Upgrades!$P$20,L251)*POWER(Upgrades!$P$21,M251))*$F$6+0.20*O251*(Parameters!$B$10/60*Parameters!$B$11+Q251))/Upgrades!$C$21,0)),IF(AND(ISNUMBER(AK251),AK251&gt;(C251+T251)),AY251,0),IF(AND(ISNUMBER(AL251),AL251&gt;(C251+T251)),AZ251,0),IF(AND(ISNUMBER(AM251),AM251&gt;(C251+T251)),BA251,0),IF(AND(ISNUMBER(AN251),AN251&gt;(C251+T251)),BB251,0),IF(AND(ISNUMBER(AO251),AO251&gt;(C251+T251)),BC251,0))</f>
        <v/>
      </c>
      <c r="BE251" s="29">
        <f>IF(AT251=1,"transition",IF(MIN(IF(AND(J251=0,ISNUMBER(AP251),AP251&lt;=(C251+T251)),AP251,9E15),IF(AND(K251=0,ISNUMBER(AQ251),AQ251&lt;=(C251+T251)),AQ251,9E15),IF(AND(L251=0,ISNUMBER(AR251),AR251&lt;=(C251+T251)),AR251,9E15),IF(AND(M251=0,ISNUMBER(AS251),AS251&lt;=(C251+T251)),AS251,9E15))&lt;9E15,IF(AND(AND(J251=0,ISNUMBER(AP251),AP251&lt;=(C251+T251)),AP251=MIN(IF(AND(J251=0,ISNUMBER(AP251),AP251&lt;=(C251+T251)),AP251,9E15),IF(AND(K251=0,ISNUMBER(AQ251),AQ251&lt;=(C251+T251)),AQ251,9E15),IF(AND(L251=0,ISNUMBER(AR251),AR251&lt;=(C251+T251)),AR251,9E15),IF(AND(M251=0,ISNUMBER(AS251),AS251&lt;=(C251+T251)),AS251,9E15))),"BiP",IF(AND(AND(K251=0,ISNUMBER(AQ251),AQ251&lt;=(C251+T251)),AQ251=MIN(IF(AND(J251=0,ISNUMBER(AP251),AP251&lt;=(C251+T251)),AP251,9E15),IF(AND(K251=0,ISNUMBER(AQ251),AQ251&lt;=(C251+T251)),AQ251,9E15),IF(AND(L251=0,ISNUMBER(AR251),AR251&lt;=(C251+T251)),AR251,9E15),IF(AND(M251=0,ISNUMBER(AS251),AS251&lt;=(C251+T251)),AS251,9E15))),"PV",IF(AND(AND(L251=0,ISNUMBER(AR251),AR251&lt;=(C251+T251)),AR251=MIN(IF(AND(J251=0,ISNUMBER(AP251),AP251&lt;=(C251+T251)),AP251,9E15),IF(AND(K251=0,ISNUMBER(AQ251),AQ251&lt;=(C251+T251)),AQ251,9E15),IF(AND(L251=0,ISNUMBER(AR251),AR251&lt;=(C251+T251)),AR251,9E15),IF(AND(M251=0,ISNUMBER(AS251),AS251&lt;=(C251+T251)),AS251,9E15))),"OC","MG"))),IF(AX251=TRUE,"",IF(MAX(IF(AND(NOT(AND(AU251=1,AT251&lt;&gt;1)),ISNUMBER(AK251),AK251&lt;=(C251+T251)),AY251,0),IF(AND(NOT(AND(AU251=1,AT251&lt;&gt;1)),ISNUMBER(AL251),AL251&lt;=(C251+T251)),AZ251,0),IF(AND(NOT(AND(AU251=1,AT251&lt;&gt;1)),ISNUMBER(AM251),AM251&lt;=(C251+T251)),BA251,0),IF(AND(NOT(AND(AU251=1,AT251&lt;&gt;1)),ISNUMBER(AN251),AN251&lt;=(C251+T251)),BB251,0),IF(AND(ISNUMBER(AO251),AO251&lt;=(C251+T251)),BC251,0))&lt;=0,"",IF(AND(IF(AND(NOT(AND(AU251=1,AT251&lt;&gt;1)),ISNUMBER(AK251),AK251&lt;=(C251+T251)),AY251,0)&gt;0,IF(AND(NOT(AND(AU251=1,AT251&lt;&gt;1)),ISNUMBER(AK251),AK251&lt;=(C251+T251)),AY251,0)=MAX(IF(AND(NOT(AND(AU251=1,AT251&lt;&gt;1)),ISNUMBER(AK251),AK251&lt;=(C251+T251)),AY251,0),IF(AND(NOT(AND(AU251=1,AT251&lt;&gt;1)),ISNUMBER(AL251),AL251&lt;=(C251+T251)),AZ251,0),IF(AND(NOT(AND(AU251=1,AT251&lt;&gt;1)),ISNUMBER(AM251),AM251&lt;=(C251+T251)),BA251,0),IF(AND(NOT(AND(AU251=1,AT251&lt;&gt;1)),ISNUMBER(AN251),AN251&lt;=(C251+T251)),BB251,0),IF(AND(ISNUMBER(AO251),AO251&lt;=(C251+T251)),BC251,0))),"SK",IF(AND(IF(AND(NOT(AND(AU251=1,AT251&lt;&gt;1)),ISNUMBER(AL251),AL251&lt;=(C251+T251)),AZ251,0)&gt;0,IF(AND(NOT(AND(AU251=1,AT251&lt;&gt;1)),ISNUMBER(AL251),AL251&lt;=(C251+T251)),AZ251,0)=MAX(IF(AND(NOT(AND(AU251=1,AT251&lt;&gt;1)),ISNUMBER(AK251),AK251&lt;=(C251+T251)),AY251,0),IF(AND(NOT(AND(AU251=1,AT251&lt;&gt;1)),ISNUMBER(AL251),AL251&lt;=(C251+T251)),AZ251,0),IF(AND(NOT(AND(AU251=1,AT251&lt;&gt;1)),ISNUMBER(AM251),AM251&lt;=(C251+T251)),BA251,0),IF(AND(NOT(AND(AU251=1,AT251&lt;&gt;1)),ISNUMBER(AN251),AN251&lt;=(C251+T251)),BB251,0),IF(AND(ISNUMBER(AO251),AO251&lt;=(C251+T251)),BC251,0))),"LB",IF(AND(IF(AND(NOT(AND(AU251=1,AT251&lt;&gt;1)),ISNUMBER(AM251),AM251&lt;=(C251+T251)),BA251,0)&gt;0,IF(AND(NOT(AND(AU251=1,AT251&lt;&gt;1)),ISNUMBER(AM251),AM251&lt;=(C251+T251)),BA251,0)=MAX(IF(AND(NOT(AND(AU251=1,AT251&lt;&gt;1)),ISNUMBER(AK251),AK251&lt;=(C251+T251)),AY251,0),IF(AND(NOT(AND(AU251=1,AT251&lt;&gt;1)),ISNUMBER(AL251),AL251&lt;=(C251+T251)),AZ251,0),IF(AND(NOT(AND(AU251=1,AT251&lt;&gt;1)),ISNUMBER(AM251),AM251&lt;=(C251+T251)),BA251,0),IF(AND(NOT(AND(AU251=1,AT251&lt;&gt;1)),ISNUMBER(AN251),AN251&lt;=(C251+T251)),BB251,0),IF(AND(ISNUMBER(AO251),AO251&lt;=(C251+T251)),BC251,0))),"ML",IF(AND(IF(AND(NOT(AND(AU251=1,AT251&lt;&gt;1)),ISNUMBER(AN251),AN251&lt;=(C251+T251)),BB251,0)&gt;0,IF(AND(NOT(AND(AU251=1,AT251&lt;&gt;1)),ISNUMBER(AN251),AN251&lt;=(C251+T251)),BB251,0)=MAX(IF(AND(NOT(AND(AU251=1,AT251&lt;&gt;1)),ISNUMBER(AK251),AK251&lt;=(C251+T251)),AY251,0),IF(AND(NOT(AND(AU251=1,AT251&lt;&gt;1)),ISNUMBER(AL251),AL251&lt;=(C251+T251)),AZ251,0),IF(AND(NOT(AND(AU251=1,AT251&lt;&gt;1)),ISNUMBER(AM251),AM251&lt;=(C251+T251)),BA251,0),IF(AND(NOT(AND(AU251=1,AT251&lt;&gt;1)),ISNUMBER(AN251),AN251&lt;=(C251+T251)),BB251,0),IF(AND(ISNUMBER(AO251),AO251&lt;=(C251+T251)),BC251,0))),"RLO","BD"))))))))</f>
        <v/>
      </c>
    </row>
    <row r="252">
      <c r="A252" s="26" t="n">
        <v>241</v>
      </c>
      <c r="B252" s="27">
        <f>A252*10/60</f>
        <v/>
      </c>
      <c r="C252" s="22">
        <f>X251</f>
        <v/>
      </c>
      <c r="D252" s="27">
        <f>D251+W251</f>
        <v/>
      </c>
      <c r="E252" s="26">
        <f>E251+IF(U251="SK",1,0)</f>
        <v/>
      </c>
      <c r="F252" s="26">
        <f>F251+IF(U251="LB",1,0)</f>
        <v/>
      </c>
      <c r="G252" s="26">
        <f>G251+IF(U251="ML",1,0)</f>
        <v/>
      </c>
      <c r="H252" s="26">
        <f>H251+IF(U251="RLO",1,0)</f>
        <v/>
      </c>
      <c r="I252" s="26">
        <f>I251+IF(U251="BD",1,0)</f>
        <v/>
      </c>
      <c r="J252" s="26">
        <f>MAX(J251,IF(U251="BiP",1,0))</f>
        <v/>
      </c>
      <c r="K252" s="26">
        <f>MAX(K251,IF(U251="PV",1,0))</f>
        <v/>
      </c>
      <c r="L252" s="26">
        <f>MAX(L251,IF(U251="OC",1,0))</f>
        <v/>
      </c>
      <c r="M252" s="26">
        <f>MAX(M251,IF(U251="MG",1,0))</f>
        <v/>
      </c>
      <c r="N252" s="26">
        <f>MAX(N251,IF(U251="transition",1,0))</f>
        <v/>
      </c>
      <c r="O252" s="28">
        <f>(Parameters!$B$9+(IF(E252=0,0,(Upgrades!$J$13+E252*Upgrades!$K$13)*POWER(Upgrades!$L$13,E252)))*(IF(Upgrades!$T$14="Stellar Kinematics",POWER(Upgrades!$U$14,F252),1)*IF(Upgrades!$T$15="Stellar Kinematics",POWER(Upgrades!$U$15,G252),1)*IF(Upgrades!$T$16="Stellar Kinematics",POWER(Upgrades!$U$16,H252),1)*IF(Upgrades!$T$17="Stellar Kinematics",POWER(Upgrades!$U$17,I252),1)*IF(Upgrades!$T$18="Stellar Kinematics",POWER(Upgrades!$U$18,J252),1)*IF(Upgrades!$T$19="Stellar Kinematics",POWER(Upgrades!$U$19,K252),1)*IF(Upgrades!$T$20="Stellar Kinematics",POWER(Upgrades!$U$20,L252),1)*IF(Upgrades!$T$21="Stellar Kinematics",POWER(Upgrades!$U$21,M252),1))+(IF(F252=0,0,(Upgrades!$J$14+F252*Upgrades!$K$14)*POWER(Upgrades!$L$14,F252)))*(IF(Upgrades!$T$13="Local Bubble",POWER(Upgrades!$U$13,E252),1)*IF(Upgrades!$T$15="Local Bubble",POWER(Upgrades!$U$15,G252),1)*IF(Upgrades!$T$16="Local Bubble",POWER(Upgrades!$U$16,H252),1)*IF(Upgrades!$T$17="Local Bubble",POWER(Upgrades!$U$17,I252),1)*IF(Upgrades!$T$18="Local Bubble",POWER(Upgrades!$U$18,J252),1)*IF(Upgrades!$T$19="Local Bubble",POWER(Upgrades!$U$19,K252),1)*IF(Upgrades!$T$20="Local Bubble",POWER(Upgrades!$U$20,L252),1)*IF(Upgrades!$T$21="Local Bubble",POWER(Upgrades!$U$21,M252),1))+(IF(G252=0,0,(Upgrades!$J$15+G252*Upgrades!$K$15)*POWER(Upgrades!$L$15,G252)))*(IF(Upgrades!$T$13="Microlensing",POWER(Upgrades!$U$13,E252),1)*IF(Upgrades!$T$14="Microlensing",POWER(Upgrades!$U$14,F252),1)*IF(Upgrades!$T$16="Microlensing",POWER(Upgrades!$U$16,H252),1)*IF(Upgrades!$T$17="Microlensing",POWER(Upgrades!$U$17,I252),1)*IF(Upgrades!$T$18="Microlensing",POWER(Upgrades!$U$18,J252),1)*IF(Upgrades!$T$19="Microlensing",POWER(Upgrades!$U$19,K252),1)*IF(Upgrades!$T$20="Microlensing",POWER(Upgrades!$U$20,L252),1)*IF(Upgrades!$T$21="Microlensing",POWER(Upgrades!$U$21,M252),1))+(IF(H252=0,0,(Upgrades!$J$16+H252*Upgrades!$K$16)*POWER(Upgrades!$L$16,H252)))*(IF(Upgrades!$T$13="Roche Lobe Overflow",POWER(Upgrades!$U$13,E252),1)*IF(Upgrades!$T$14="Roche Lobe Overflow",POWER(Upgrades!$U$14,F252),1)*IF(Upgrades!$T$15="Roche Lobe Overflow",POWER(Upgrades!$U$15,G252),1)*IF(Upgrades!$T$17="Roche Lobe Overflow",POWER(Upgrades!$U$17,I252),1)*IF(Upgrades!$T$18="Roche Lobe Overflow",POWER(Upgrades!$U$18,J252),1)*IF(Upgrades!$T$19="Roche Lobe Overflow",POWER(Upgrades!$U$19,K252),1)*IF(Upgrades!$T$20="Roche Lobe Overflow",POWER(Upgrades!$U$20,L252),1)*IF(Upgrades!$T$21="Roche Lobe Overflow",POWER(Upgrades!$U$21,M252),1))+(IF(I252=0,0,(Upgrades!$J$17+I252*Upgrades!$K$17)*POWER(Upgrades!$L$17,I252)))*(IF(Upgrades!$T$13="Brown Dwarf",POWER(Upgrades!$U$13,E252),1)*IF(Upgrades!$T$14="Brown Dwarf",POWER(Upgrades!$U$14,F252),1)*IF(Upgrades!$T$15="Brown Dwarf",POWER(Upgrades!$U$15,G252),1)*IF(Upgrades!$T$16="Brown Dwarf",POWER(Upgrades!$U$16,H252),1)*IF(Upgrades!$T$18="Brown Dwarf",POWER(Upgrades!$U$18,J252),1)*IF(Upgrades!$T$19="Brown Dwarf",POWER(Upgrades!$U$19,K252),1)*IF(Upgrades!$T$20="Brown Dwarf",POWER(Upgrades!$U$20,L252),1)*IF(Upgrades!$T$21="Brown Dwarf",POWER(Upgrades!$U$21,M252),1))+(IF(J252=0,0,(Upgrades!$J$18+J252*Upgrades!$K$18)*POWER(Upgrades!$L$18,J252)))*(IF(Upgrades!$T$13="Binary Partner",POWER(Upgrades!$U$13,E252),1)*IF(Upgrades!$T$14="Binary Partner",POWER(Upgrades!$U$14,F252),1)*IF(Upgrades!$T$15="Binary Partner",POWER(Upgrades!$U$15,G252),1)*IF(Upgrades!$T$16="Binary Partner",POWER(Upgrades!$U$16,H252),1)*IF(Upgrades!$T$17="Binary Partner",POWER(Upgrades!$U$17,I252),1)*IF(Upgrades!$T$19="Binary Partner",POWER(Upgrades!$U$19,K252),1)*IF(Upgrades!$T$20="Binary Partner",POWER(Upgrades!$U$20,L252),1)*IF(Upgrades!$T$21="Binary Partner",POWER(Upgrades!$U$21,M252),1))+(IF(K252=0,0,(Upgrades!$J$19+K252*Upgrades!$K$19)*POWER(Upgrades!$L$19,K252)))*(IF(Upgrades!$T$13="Peculiar Velocity",POWER(Upgrades!$U$13,E252),1)*IF(Upgrades!$T$14="Peculiar Velocity",POWER(Upgrades!$U$14,F252),1)*IF(Upgrades!$T$15="Peculiar Velocity",POWER(Upgrades!$U$15,G252),1)*IF(Upgrades!$T$16="Peculiar Velocity",POWER(Upgrades!$U$16,H252),1)*IF(Upgrades!$T$17="Peculiar Velocity",POWER(Upgrades!$U$17,I252),1)*IF(Upgrades!$T$18="Peculiar Velocity",POWER(Upgrades!$U$18,J252),1)*IF(Upgrades!$T$20="Peculiar Velocity",POWER(Upgrades!$U$20,L252),1)*IF(Upgrades!$T$21="Peculiar Velocity",POWER(Upgrades!$U$21,M252),1))+(IF(L252=0,0,(Upgrades!$J$20+L252*Upgrades!$K$20)*POWER(Upgrades!$L$20,L252)))*(IF(Upgrades!$T$13="Open Cluster",POWER(Upgrades!$U$13,E252),1)*IF(Upgrades!$T$14="Open Cluster",POWER(Upgrades!$U$14,F252),1)*IF(Upgrades!$T$15="Open Cluster",POWER(Upgrades!$U$15,G252),1)*IF(Upgrades!$T$16="Open Cluster",POWER(Upgrades!$U$16,H252),1)*IF(Upgrades!$T$17="Open Cluster",POWER(Upgrades!$U$17,I252),1)*IF(Upgrades!$T$18="Open Cluster",POWER(Upgrades!$U$18,J252),1)*IF(Upgrades!$T$19="Open Cluster",POWER(Upgrades!$U$19,K252),1)*IF(Upgrades!$T$21="Open Cluster",POWER(Upgrades!$U$21,M252),1))+(IF(M252=0,0,(Upgrades!$J$21+M252*Upgrades!$K$21)*POWER(Upgrades!$L$21,M252)))*(IF(Upgrades!$T$13="Moving Group",POWER(Upgrades!$U$13,E252),1)*IF(Upgrades!$T$14="Moving Group",POWER(Upgrades!$U$14,F252),1)*IF(Upgrades!$T$15="Moving Group",POWER(Upgrades!$U$15,G252),1)*IF(Upgrades!$T$16="Moving Group",POWER(Upgrades!$U$16,H252),1)*IF(Upgrades!$T$17="Moving Group",POWER(Upgrades!$U$17,I252),1)*IF(Upgrades!$T$18="Moving Group",POWER(Upgrades!$U$18,J252),1)*IF(Upgrades!$T$19="Moving Group",POWER(Upgrades!$U$19,K252),1)*IF(Upgrades!$T$20="Moving Group",POWER(Upgrades!$U$20,L252),1)))*POWER(Upgrades!$Q$13,E252)*POWER(Upgrades!$Q$14,F252)*POWER(Upgrades!$Q$15,G252)*POWER(Upgrades!$Q$16,H252)*POWER(Upgrades!$Q$17,I252)*POWER(Upgrades!$Q$18,J252)*POWER(Upgrades!$Q$19,K252)*POWER(Upgrades!$Q$20,L252)*POWER(Upgrades!$Q$21,M252)*$G$6+$D$6</f>
        <v/>
      </c>
      <c r="P252" s="28">
        <f>((IF(E252=0,0,(Upgrades!$G$13+E252*Upgrades!$H$13)*POWER(Upgrades!$I$13,E252)))*(IF(Upgrades!$T$14="Stellar Kinematics",POWER(Upgrades!$U$14,F252),1)*IF(Upgrades!$T$15="Stellar Kinematics",POWER(Upgrades!$U$15,G252),1)*IF(Upgrades!$T$16="Stellar Kinematics",POWER(Upgrades!$U$16,H252),1)*IF(Upgrades!$T$17="Stellar Kinematics",POWER(Upgrades!$U$17,I252),1)*IF(Upgrades!$T$18="Stellar Kinematics",POWER(Upgrades!$U$18,J252),1)*IF(Upgrades!$T$19="Stellar Kinematics",POWER(Upgrades!$U$19,K252),1)*IF(Upgrades!$T$20="Stellar Kinematics",POWER(Upgrades!$U$20,L252),1)*IF(Upgrades!$T$21="Stellar Kinematics",POWER(Upgrades!$U$21,M252),1))+(IF(F252=0,0,(Upgrades!$G$14+F252*Upgrades!$H$14)*POWER(Upgrades!$I$14,F252)))*(IF(Upgrades!$T$13="Local Bubble",POWER(Upgrades!$U$13,E252),1)*IF(Upgrades!$T$15="Local Bubble",POWER(Upgrades!$U$15,G252),1)*IF(Upgrades!$T$16="Local Bubble",POWER(Upgrades!$U$16,H252),1)*IF(Upgrades!$T$17="Local Bubble",POWER(Upgrades!$U$17,I252),1)*IF(Upgrades!$T$18="Local Bubble",POWER(Upgrades!$U$18,J252),1)*IF(Upgrades!$T$19="Local Bubble",POWER(Upgrades!$U$19,K252),1)*IF(Upgrades!$T$20="Local Bubble",POWER(Upgrades!$U$20,L252),1)*IF(Upgrades!$T$21="Local Bubble",POWER(Upgrades!$U$21,M252),1))+(IF(G252=0,0,(Upgrades!$G$15+G252*Upgrades!$H$15)*POWER(Upgrades!$I$15,G252)))*(IF(Upgrades!$T$13="Microlensing",POWER(Upgrades!$U$13,E252),1)*IF(Upgrades!$T$14="Microlensing",POWER(Upgrades!$U$14,F252),1)*IF(Upgrades!$T$16="Microlensing",POWER(Upgrades!$U$16,H252),1)*IF(Upgrades!$T$17="Microlensing",POWER(Upgrades!$U$17,I252),1)*IF(Upgrades!$T$18="Microlensing",POWER(Upgrades!$U$18,J252),1)*IF(Upgrades!$T$19="Microlensing",POWER(Upgrades!$U$19,K252),1)*IF(Upgrades!$T$20="Microlensing",POWER(Upgrades!$U$20,L252),1)*IF(Upgrades!$T$21="Microlensing",POWER(Upgrades!$U$21,M252),1))+(IF(H252=0,0,(Upgrades!$G$16+H252*Upgrades!$H$16)*POWER(Upgrades!$I$16,H252)))*(IF(Upgrades!$T$13="Roche Lobe Overflow",POWER(Upgrades!$U$13,E252),1)*IF(Upgrades!$T$14="Roche Lobe Overflow",POWER(Upgrades!$U$14,F252),1)*IF(Upgrades!$T$15="Roche Lobe Overflow",POWER(Upgrades!$U$15,G252),1)*IF(Upgrades!$T$17="Roche Lobe Overflow",POWER(Upgrades!$U$17,I252),1)*IF(Upgrades!$T$18="Roche Lobe Overflow",POWER(Upgrades!$U$18,J252),1)*IF(Upgrades!$T$19="Roche Lobe Overflow",POWER(Upgrades!$U$19,K252),1)*IF(Upgrades!$T$20="Roche Lobe Overflow",POWER(Upgrades!$U$20,L252),1)*IF(Upgrades!$T$21="Roche Lobe Overflow",POWER(Upgrades!$U$21,M252),1))+(IF(I252=0,0,(Upgrades!$G$17+I252*Upgrades!$H$17)*POWER(Upgrades!$I$17,I252)))*(IF(Upgrades!$T$13="Brown Dwarf",POWER(Upgrades!$U$13,E252),1)*IF(Upgrades!$T$14="Brown Dwarf",POWER(Upgrades!$U$14,F252),1)*IF(Upgrades!$T$15="Brown Dwarf",POWER(Upgrades!$U$15,G252),1)*IF(Upgrades!$T$16="Brown Dwarf",POWER(Upgrades!$U$16,H252),1)*IF(Upgrades!$T$18="Brown Dwarf",POWER(Upgrades!$U$18,J252),1)*IF(Upgrades!$T$19="Brown Dwarf",POWER(Upgrades!$U$19,K252),1)*IF(Upgrades!$T$20="Brown Dwarf",POWER(Upgrades!$U$20,L252),1)*IF(Upgrades!$T$21="Brown Dwarf",POWER(Upgrades!$U$21,M252),1))+(IF(J252=0,0,(Upgrades!$G$18+J252*Upgrades!$H$18)*POWER(Upgrades!$I$18,J252)))*(IF(Upgrades!$T$13="Binary Partner",POWER(Upgrades!$U$13,E252),1)*IF(Upgrades!$T$14="Binary Partner",POWER(Upgrades!$U$14,F252),1)*IF(Upgrades!$T$15="Binary Partner",POWER(Upgrades!$U$15,G252),1)*IF(Upgrades!$T$16="Binary Partner",POWER(Upgrades!$U$16,H252),1)*IF(Upgrades!$T$17="Binary Partner",POWER(Upgrades!$U$17,I252),1)*IF(Upgrades!$T$19="Binary Partner",POWER(Upgrades!$U$19,K252),1)*IF(Upgrades!$T$20="Binary Partner",POWER(Upgrades!$U$20,L252),1)*IF(Upgrades!$T$21="Binary Partner",POWER(Upgrades!$U$21,M252),1))+(IF(K252=0,0,(Upgrades!$G$19+K252*Upgrades!$H$19)*POWER(Upgrades!$I$19,K252)))*(IF(Upgrades!$T$13="Peculiar Velocity",POWER(Upgrades!$U$13,E252),1)*IF(Upgrades!$T$14="Peculiar Velocity",POWER(Upgrades!$U$14,F252),1)*IF(Upgrades!$T$15="Peculiar Velocity",POWER(Upgrades!$U$15,G252),1)*IF(Upgrades!$T$16="Peculiar Velocity",POWER(Upgrades!$U$16,H252),1)*IF(Upgrades!$T$17="Peculiar Velocity",POWER(Upgrades!$U$17,I252),1)*IF(Upgrades!$T$18="Peculiar Velocity",POWER(Upgrades!$U$18,J252),1)*IF(Upgrades!$T$20="Peculiar Velocity",POWER(Upgrades!$U$20,L252),1)*IF(Upgrades!$T$21="Peculiar Velocity",POWER(Upgrades!$U$21,M252),1))+(IF(L252=0,0,(Upgrades!$G$20+L252*Upgrades!$H$20)*POWER(Upgrades!$I$20,L252)))*(IF(Upgrades!$T$13="Open Cluster",POWER(Upgrades!$U$13,E252),1)*IF(Upgrades!$T$14="Open Cluster",POWER(Upgrades!$U$14,F252),1)*IF(Upgrades!$T$15="Open Cluster",POWER(Upgrades!$U$15,G252),1)*IF(Upgrades!$T$16="Open Cluster",POWER(Upgrades!$U$16,H252),1)*IF(Upgrades!$T$17="Open Cluster",POWER(Upgrades!$U$17,I252),1)*IF(Upgrades!$T$18="Open Cluster",POWER(Upgrades!$U$18,J252),1)*IF(Upgrades!$T$19="Open Cluster",POWER(Upgrades!$U$19,K252),1)*IF(Upgrades!$T$21="Open Cluster",POWER(Upgrades!$U$21,M252),1))+(IF(M252=0,0,(Upgrades!$G$21+M252*Upgrades!$H$21)*POWER(Upgrades!$I$21,M252)))*(IF(Upgrades!$T$13="Moving Group",POWER(Upgrades!$U$13,E252),1)*IF(Upgrades!$T$14="Moving Group",POWER(Upgrades!$U$14,F252),1)*IF(Upgrades!$T$15="Moving Group",POWER(Upgrades!$U$15,G252),1)*IF(Upgrades!$T$16="Moving Group",POWER(Upgrades!$U$16,H252),1)*IF(Upgrades!$T$17="Moving Group",POWER(Upgrades!$U$17,I252),1)*IF(Upgrades!$T$18="Moving Group",POWER(Upgrades!$U$18,J252),1)*IF(Upgrades!$T$19="Moving Group",POWER(Upgrades!$U$19,K252),1)*IF(Upgrades!$T$20="Moving Group",POWER(Upgrades!$U$20,L252),1)))*POWER(Upgrades!$P$13,E252)*POWER(Upgrades!$P$14,F252)*POWER(Upgrades!$P$15,G252)*POWER(Upgrades!$P$16,H252)*POWER(Upgrades!$P$17,I252)*POWER(Upgrades!$P$18,J252)*POWER(Upgrades!$P$19,K252)*POWER(Upgrades!$P$20,L252)*POWER(Upgrades!$P$21,M252)*$F$6+$C$6</f>
        <v/>
      </c>
      <c r="Q252" s="28">
        <f>((IF(E252=0,0,(Upgrades!$M$13+E252*Upgrades!$N$13)*POWER(Upgrades!$O$13,E252)))*(IF(Upgrades!$T$14="Stellar Kinematics",POWER(Upgrades!$U$14,F252),1)*IF(Upgrades!$T$15="Stellar Kinematics",POWER(Upgrades!$U$15,G252),1)*IF(Upgrades!$T$16="Stellar Kinematics",POWER(Upgrades!$U$16,H252),1)*IF(Upgrades!$T$17="Stellar Kinematics",POWER(Upgrades!$U$17,I252),1)*IF(Upgrades!$T$18="Stellar Kinematics",POWER(Upgrades!$U$18,J252),1)*IF(Upgrades!$T$19="Stellar Kinematics",POWER(Upgrades!$U$19,K252),1)*IF(Upgrades!$T$20="Stellar Kinematics",POWER(Upgrades!$U$20,L252),1)*IF(Upgrades!$T$21="Stellar Kinematics",POWER(Upgrades!$U$21,M252),1))+(IF(F252=0,0,(Upgrades!$M$14+F252*Upgrades!$N$14)*POWER(Upgrades!$O$14,F252)))*(IF(Upgrades!$T$13="Local Bubble",POWER(Upgrades!$U$13,E252),1)*IF(Upgrades!$T$15="Local Bubble",POWER(Upgrades!$U$15,G252),1)*IF(Upgrades!$T$16="Local Bubble",POWER(Upgrades!$U$16,H252),1)*IF(Upgrades!$T$17="Local Bubble",POWER(Upgrades!$U$17,I252),1)*IF(Upgrades!$T$18="Local Bubble",POWER(Upgrades!$U$18,J252),1)*IF(Upgrades!$T$19="Local Bubble",POWER(Upgrades!$U$19,K252),1)*IF(Upgrades!$T$20="Local Bubble",POWER(Upgrades!$U$20,L252),1)*IF(Upgrades!$T$21="Local Bubble",POWER(Upgrades!$U$21,M252),1))+(IF(G252=0,0,(Upgrades!$M$15+G252*Upgrades!$N$15)*POWER(Upgrades!$O$15,G252)))*(IF(Upgrades!$T$13="Microlensing",POWER(Upgrades!$U$13,E252),1)*IF(Upgrades!$T$14="Microlensing",POWER(Upgrades!$U$14,F252),1)*IF(Upgrades!$T$16="Microlensing",POWER(Upgrades!$U$16,H252),1)*IF(Upgrades!$T$17="Microlensing",POWER(Upgrades!$U$17,I252),1)*IF(Upgrades!$T$18="Microlensing",POWER(Upgrades!$U$18,J252),1)*IF(Upgrades!$T$19="Microlensing",POWER(Upgrades!$U$19,K252),1)*IF(Upgrades!$T$20="Microlensing",POWER(Upgrades!$U$20,L252),1)*IF(Upgrades!$T$21="Microlensing",POWER(Upgrades!$U$21,M252),1))+(IF(H252=0,0,(Upgrades!$M$16+H252*Upgrades!$N$16)*POWER(Upgrades!$O$16,H252)))*(IF(Upgrades!$T$13="Roche Lobe Overflow",POWER(Upgrades!$U$13,E252),1)*IF(Upgrades!$T$14="Roche Lobe Overflow",POWER(Upgrades!$U$14,F252),1)*IF(Upgrades!$T$15="Roche Lobe Overflow",POWER(Upgrades!$U$15,G252),1)*IF(Upgrades!$T$17="Roche Lobe Overflow",POWER(Upgrades!$U$17,I252),1)*IF(Upgrades!$T$18="Roche Lobe Overflow",POWER(Upgrades!$U$18,J252),1)*IF(Upgrades!$T$19="Roche Lobe Overflow",POWER(Upgrades!$U$19,K252),1)*IF(Upgrades!$T$20="Roche Lobe Overflow",POWER(Upgrades!$U$20,L252),1)*IF(Upgrades!$T$21="Roche Lobe Overflow",POWER(Upgrades!$U$21,M252),1))+(IF(I252=0,0,(Upgrades!$M$17+I252*Upgrades!$N$17)*POWER(Upgrades!$O$17,I252)))*(IF(Upgrades!$T$13="Brown Dwarf",POWER(Upgrades!$U$13,E252),1)*IF(Upgrades!$T$14="Brown Dwarf",POWER(Upgrades!$U$14,F252),1)*IF(Upgrades!$T$15="Brown Dwarf",POWER(Upgrades!$U$15,G252),1)*IF(Upgrades!$T$16="Brown Dwarf",POWER(Upgrades!$U$16,H252),1)*IF(Upgrades!$T$18="Brown Dwarf",POWER(Upgrades!$U$18,J252),1)*IF(Upgrades!$T$19="Brown Dwarf",POWER(Upgrades!$U$19,K252),1)*IF(Upgrades!$T$20="Brown Dwarf",POWER(Upgrades!$U$20,L252),1)*IF(Upgrades!$T$21="Brown Dwarf",POWER(Upgrades!$U$21,M252),1))+(IF(J252=0,0,(Upgrades!$M$18+J252*Upgrades!$N$18)*POWER(Upgrades!$O$18,J252)))*(IF(Upgrades!$T$13="Binary Partner",POWER(Upgrades!$U$13,E252),1)*IF(Upgrades!$T$14="Binary Partner",POWER(Upgrades!$U$14,F252),1)*IF(Upgrades!$T$15="Binary Partner",POWER(Upgrades!$U$15,G252),1)*IF(Upgrades!$T$16="Binary Partner",POWER(Upgrades!$U$16,H252),1)*IF(Upgrades!$T$17="Binary Partner",POWER(Upgrades!$U$17,I252),1)*IF(Upgrades!$T$19="Binary Partner",POWER(Upgrades!$U$19,K252),1)*IF(Upgrades!$T$20="Binary Partner",POWER(Upgrades!$U$20,L252),1)*IF(Upgrades!$T$21="Binary Partner",POWER(Upgrades!$U$21,M252),1))+(IF(K252=0,0,(Upgrades!$M$19+K252*Upgrades!$N$19)*POWER(Upgrades!$O$19,K252)))*(IF(Upgrades!$T$13="Peculiar Velocity",POWER(Upgrades!$U$13,E252),1)*IF(Upgrades!$T$14="Peculiar Velocity",POWER(Upgrades!$U$14,F252),1)*IF(Upgrades!$T$15="Peculiar Velocity",POWER(Upgrades!$U$15,G252),1)*IF(Upgrades!$T$16="Peculiar Velocity",POWER(Upgrades!$U$16,H252),1)*IF(Upgrades!$T$17="Peculiar Velocity",POWER(Upgrades!$U$17,I252),1)*IF(Upgrades!$T$18="Peculiar Velocity",POWER(Upgrades!$U$18,J252),1)*IF(Upgrades!$T$20="Peculiar Velocity",POWER(Upgrades!$U$20,L252),1)*IF(Upgrades!$T$21="Peculiar Velocity",POWER(Upgrades!$U$21,M252),1))+(IF(L252=0,0,(Upgrades!$M$20+L252*Upgrades!$N$20)*POWER(Upgrades!$O$20,L252)))*(IF(Upgrades!$T$13="Open Cluster",POWER(Upgrades!$U$13,E252),1)*IF(Upgrades!$T$14="Open Cluster",POWER(Upgrades!$U$14,F252),1)*IF(Upgrades!$T$15="Open Cluster",POWER(Upgrades!$U$15,G252),1)*IF(Upgrades!$T$16="Open Cluster",POWER(Upgrades!$U$16,H252),1)*IF(Upgrades!$T$17="Open Cluster",POWER(Upgrades!$U$17,I252),1)*IF(Upgrades!$T$18="Open Cluster",POWER(Upgrades!$U$18,J252),1)*IF(Upgrades!$T$19="Open Cluster",POWER(Upgrades!$U$19,K252),1)*IF(Upgrades!$T$21="Open Cluster",POWER(Upgrades!$U$21,M252),1))+(IF(M252=0,0,(Upgrades!$M$21+M252*Upgrades!$N$21)*POWER(Upgrades!$O$21,M252)))*(IF(Upgrades!$T$13="Moving Group",POWER(Upgrades!$U$13,E252),1)*IF(Upgrades!$T$14="Moving Group",POWER(Upgrades!$U$14,F252),1)*IF(Upgrades!$T$15="Moving Group",POWER(Upgrades!$U$15,G252),1)*IF(Upgrades!$T$16="Moving Group",POWER(Upgrades!$U$16,H252),1)*IF(Upgrades!$T$17="Moving Group",POWER(Upgrades!$U$17,I252),1)*IF(Upgrades!$T$18="Moving Group",POWER(Upgrades!$U$18,J252),1)*IF(Upgrades!$T$19="Moving Group",POWER(Upgrades!$U$19,K252),1)*IF(Upgrades!$T$20="Moving Group",POWER(Upgrades!$U$20,L252),1)))*POWER(Upgrades!$R$13,E252)*POWER(Upgrades!$R$14,F252)*POWER(Upgrades!$R$15,G252)*POWER(Upgrades!$R$16,H252)*POWER(Upgrades!$R$17,I252)*POWER(Upgrades!$R$18,J252)*POWER(Upgrades!$R$19,K252)*POWER(Upgrades!$R$20,L252)*POWER(Upgrades!$R$21,M252)*$H$6+$E$6</f>
        <v/>
      </c>
      <c r="R252" s="27">
        <f>IF(N252=1,0,O252*Parameters!$B$10/60*Parameters!$B$11*10)</f>
        <v/>
      </c>
      <c r="S252" s="27">
        <f>IF(N252=1,0,Q252*O252*10)</f>
        <v/>
      </c>
      <c r="T252" s="27">
        <f>IF(N252=1,0,R252+S252+P252*10)</f>
        <v/>
      </c>
      <c r="U252" s="33">
        <f>BE252</f>
        <v/>
      </c>
      <c r="V252" s="22">
        <f>IF(U252="",0,IF(U252="transition",0,IF(U252="SK",AK252,IF(U252="LB",AL252,IF(U252="ML",AM252,IF(U252="RLO",AN252,IF(U252="BD",AO252,IF(U252="BiP",AP252,IF(U252="PV",AQ252,IF(U252="OC",AR252,IF(U252="MG",AS252,0))))))))))</f>
        <v/>
      </c>
      <c r="W252" s="27">
        <f>IF(U252="BiP",Upgrades!$F$18,IF(U252="PV",Upgrades!$F$19,IF(U252="OC",Upgrades!$F$20,IF(U252="MG",Upgrades!$F$21,IF(U252="transition",-Parameters!$B$18*Parameters!$B$19,0)))))</f>
        <v/>
      </c>
      <c r="X252" s="22">
        <f>C252+T252-V252</f>
        <v/>
      </c>
      <c r="Y252" s="30">
        <f>O252*Parameters!$B$10/60*Parameters!$B$11+Q252*O252+P252</f>
        <v/>
      </c>
      <c r="Z252" s="34">
        <f>IF(U252="transition","→ Tier 3 (Galactic Arm)",IF(U252="MG","Moving Group — pocket drifts together",IF(U252="OC","Open Cluster acquired",IF(U252="PV","Peculiar Velocity — passive multiplier active",IF(U252="BiP","Binary Partner — pair bond formed",IF(AND(AU252=1,N252=0,AT252&lt;&gt;1),"Cohesion ready (waiting on completionists)","")))))) </f>
        <v/>
      </c>
      <c r="AA252" s="27">
        <f>(IF(E252=0,0,(Upgrades!$G$13+E252*Upgrades!$H$13)*POWER(Upgrades!$I$13,E252)))*(IF(Upgrades!$T$14="Stellar Kinematics",POWER(Upgrades!$U$14,F252),1)*IF(Upgrades!$T$15="Stellar Kinematics",POWER(Upgrades!$U$15,G252),1)*IF(Upgrades!$T$16="Stellar Kinematics",POWER(Upgrades!$U$16,H252),1)*IF(Upgrades!$T$17="Stellar Kinematics",POWER(Upgrades!$U$17,I252),1)*IF(Upgrades!$T$18="Stellar Kinematics",POWER(Upgrades!$U$18,J252),1)*IF(Upgrades!$T$19="Stellar Kinematics",POWER(Upgrades!$U$19,K252),1)*IF(Upgrades!$T$20="Stellar Kinematics",POWER(Upgrades!$U$20,L252),1)*IF(Upgrades!$T$21="Stellar Kinematics",POWER(Upgrades!$U$21,M252),1))*POWER(Upgrades!$P$13,E252)*POWER(Upgrades!$P$14,F252)*POWER(Upgrades!$P$15,G252)*POWER(Upgrades!$P$16,H252)*POWER(Upgrades!$P$17,I252)*POWER(Upgrades!$P$18,J252)*POWER(Upgrades!$P$19,K252)*POWER(Upgrades!$P$20,L252)*POWER(Upgrades!$P$21,M252)*$F$6*60</f>
        <v/>
      </c>
      <c r="AB252" s="27">
        <f>(IF(F252=0,0,(Upgrades!$G$14+F252*Upgrades!$H$14)*POWER(Upgrades!$I$14,F252)))*(IF(Upgrades!$T$13="Local Bubble",POWER(Upgrades!$U$13,E252),1)*IF(Upgrades!$T$15="Local Bubble",POWER(Upgrades!$U$15,G252),1)*IF(Upgrades!$T$16="Local Bubble",POWER(Upgrades!$U$16,H252),1)*IF(Upgrades!$T$17="Local Bubble",POWER(Upgrades!$U$17,I252),1)*IF(Upgrades!$T$18="Local Bubble",POWER(Upgrades!$U$18,J252),1)*IF(Upgrades!$T$19="Local Bubble",POWER(Upgrades!$U$19,K252),1)*IF(Upgrades!$T$20="Local Bubble",POWER(Upgrades!$U$20,L252),1)*IF(Upgrades!$T$21="Local Bubble",POWER(Upgrades!$U$21,M252),1))*POWER(Upgrades!$P$13,E252)*POWER(Upgrades!$P$14,F252)*POWER(Upgrades!$P$15,G252)*POWER(Upgrades!$P$16,H252)*POWER(Upgrades!$P$17,I252)*POWER(Upgrades!$P$18,J252)*POWER(Upgrades!$P$19,K252)*POWER(Upgrades!$P$20,L252)*POWER(Upgrades!$P$21,M252)*$F$6*60</f>
        <v/>
      </c>
      <c r="AC252" s="27">
        <f>(IF(G252=0,0,(Upgrades!$J$15+G252*Upgrades!$K$15)*POWER(Upgrades!$L$15,G252)))*(IF(Upgrades!$T$13="Microlensing",POWER(Upgrades!$U$13,E252),1)*IF(Upgrades!$T$14="Microlensing",POWER(Upgrades!$U$14,F252),1)*IF(Upgrades!$T$16="Microlensing",POWER(Upgrades!$U$16,H252),1)*IF(Upgrades!$T$17="Microlensing",POWER(Upgrades!$U$17,I252),1)*IF(Upgrades!$T$18="Microlensing",POWER(Upgrades!$U$18,J252),1)*IF(Upgrades!$T$19="Microlensing",POWER(Upgrades!$U$19,K252),1)*IF(Upgrades!$T$20="Microlensing",POWER(Upgrades!$U$20,L252),1)*IF(Upgrades!$T$21="Microlensing",POWER(Upgrades!$U$21,M252),1))*POWER(Upgrades!$Q$13,E252)*POWER(Upgrades!$Q$14,F252)*POWER(Upgrades!$Q$15,G252)*POWER(Upgrades!$Q$16,H252)*POWER(Upgrades!$Q$17,I252)*POWER(Upgrades!$Q$18,J252)*POWER(Upgrades!$Q$19,K252)*POWER(Upgrades!$Q$20,L252)*POWER(Upgrades!$Q$21,M252)*$G$6*(Parameters!$B$10*Parameters!$B$11+Q252*60)</f>
        <v/>
      </c>
      <c r="AD252" s="27">
        <f>(IF(H252=0,0,(Upgrades!$M$16+H252*Upgrades!$N$16)*POWER(Upgrades!$O$16,H252)))*(IF(Upgrades!$T$13="Roche Lobe Overflow",POWER(Upgrades!$U$13,E252),1)*IF(Upgrades!$T$14="Roche Lobe Overflow",POWER(Upgrades!$U$14,F252),1)*IF(Upgrades!$T$15="Roche Lobe Overflow",POWER(Upgrades!$U$15,G252),1)*IF(Upgrades!$T$17="Roche Lobe Overflow",POWER(Upgrades!$U$17,I252),1)*IF(Upgrades!$T$18="Roche Lobe Overflow",POWER(Upgrades!$U$18,J252),1)*IF(Upgrades!$T$19="Roche Lobe Overflow",POWER(Upgrades!$U$19,K252),1)*IF(Upgrades!$T$20="Roche Lobe Overflow",POWER(Upgrades!$U$20,L252),1)*IF(Upgrades!$T$21="Roche Lobe Overflow",POWER(Upgrades!$U$21,M252),1))*POWER(Upgrades!$R$13,E252)*POWER(Upgrades!$R$14,F252)*POWER(Upgrades!$R$15,G252)*POWER(Upgrades!$R$16,H252)*POWER(Upgrades!$R$17,I252)*POWER(Upgrades!$R$18,J252)*POWER(Upgrades!$R$19,K252)*POWER(Upgrades!$R$20,L252)*POWER(Upgrades!$R$21,M252)*$H$6*O252*60</f>
        <v/>
      </c>
      <c r="AE252" s="27">
        <f>(IF(I252=0,0,(Upgrades!$G$17+I252*Upgrades!$H$17)*POWER(Upgrades!$I$17,I252)))*(IF(Upgrades!$T$13="Brown Dwarf",POWER(Upgrades!$U$13,E252),1)*IF(Upgrades!$T$14="Brown Dwarf",POWER(Upgrades!$U$14,F252),1)*IF(Upgrades!$T$15="Brown Dwarf",POWER(Upgrades!$U$15,G252),1)*IF(Upgrades!$T$16="Brown Dwarf",POWER(Upgrades!$U$16,H252),1)*IF(Upgrades!$T$18="Brown Dwarf",POWER(Upgrades!$U$18,J252),1)*IF(Upgrades!$T$19="Brown Dwarf",POWER(Upgrades!$U$19,K252),1)*IF(Upgrades!$T$20="Brown Dwarf",POWER(Upgrades!$U$20,L252),1)*IF(Upgrades!$T$21="Brown Dwarf",POWER(Upgrades!$U$21,M252),1))*POWER(Upgrades!$P$13,E252)*POWER(Upgrades!$P$14,F252)*POWER(Upgrades!$P$15,G252)*POWER(Upgrades!$P$16,H252)*POWER(Upgrades!$P$17,I252)*POWER(Upgrades!$P$18,J252)*POWER(Upgrades!$P$19,K252)*POWER(Upgrades!$P$20,L252)*POWER(Upgrades!$P$21,M252)*$F$6*60</f>
        <v/>
      </c>
      <c r="AF252" s="27" t="n">
        <v>0</v>
      </c>
      <c r="AG252" s="27" t="n">
        <v>0</v>
      </c>
      <c r="AH252" s="27" t="n">
        <v>0</v>
      </c>
      <c r="AI252" s="27">
        <f>(IF(M252=0,0,(Upgrades!$G$21+M252*Upgrades!$H$21)*POWER(Upgrades!$I$21,M252)))*(IF(Upgrades!$T$13="Moving Group",POWER(Upgrades!$U$13,E252),1)*IF(Upgrades!$T$14="Moving Group",POWER(Upgrades!$U$14,F252),1)*IF(Upgrades!$T$15="Moving Group",POWER(Upgrades!$U$15,G252),1)*IF(Upgrades!$T$16="Moving Group",POWER(Upgrades!$U$16,H252),1)*IF(Upgrades!$T$17="Moving Group",POWER(Upgrades!$U$17,I252),1)*IF(Upgrades!$T$18="Moving Group",POWER(Upgrades!$U$18,J252),1)*IF(Upgrades!$T$19="Moving Group",POWER(Upgrades!$U$19,K252),1)*IF(Upgrades!$T$20="Moving Group",POWER(Upgrades!$U$20,L252),1))*POWER(Upgrades!$P$13,E252)*POWER(Upgrades!$P$14,F252)*POWER(Upgrades!$P$15,G252)*POWER(Upgrades!$P$16,H252)*POWER(Upgrades!$P$17,I252)*POWER(Upgrades!$P$18,J252)*POWER(Upgrades!$P$19,K252)*POWER(Upgrades!$P$20,L252)*POWER(Upgrades!$P$21,M252)*$F$6*60</f>
        <v/>
      </c>
      <c r="AJ252" s="27">
        <f>$C$6*60</f>
        <v/>
      </c>
      <c r="AK252" s="22">
        <f>IF(E252&gt;=Upgrades!$E$13,"",Upgrades!$C$13*POWER(Upgrades!$D$13,E252))</f>
        <v/>
      </c>
      <c r="AL252" s="22">
        <f>IF(F252&gt;=Upgrades!$E$14,"",Upgrades!$C$14*POWER(Upgrades!$D$14,F252))</f>
        <v/>
      </c>
      <c r="AM252" s="22">
        <f>IF(G252&gt;=Upgrades!$E$15,"",Upgrades!$C$15*POWER(Upgrades!$D$15,G252))</f>
        <v/>
      </c>
      <c r="AN252" s="22">
        <f>IF(H252&gt;=Upgrades!$E$16,"",Upgrades!$C$16*POWER(Upgrades!$D$16,H252))</f>
        <v/>
      </c>
      <c r="AO252" s="22">
        <f>IF(I252&gt;=Upgrades!$E$17,"",Upgrades!$C$17*POWER(Upgrades!$D$17,I252))</f>
        <v/>
      </c>
      <c r="AP252" s="22">
        <f>IF(J252&gt;=Upgrades!$E$18,"",Upgrades!$C$18*POWER(Upgrades!$D$18,J252))</f>
        <v/>
      </c>
      <c r="AQ252" s="22">
        <f>IF(K252&gt;=Upgrades!$E$19,"",Upgrades!$C$19*POWER(Upgrades!$D$19,K252))</f>
        <v/>
      </c>
      <c r="AR252" s="22">
        <f>IF(L252&gt;=Upgrades!$E$20,"",Upgrades!$C$20*POWER(Upgrades!$D$20,L252))</f>
        <v/>
      </c>
      <c r="AS252" s="22">
        <f>IF(M252&gt;=Upgrades!$E$21,"",Upgrades!$C$21*POWER(Upgrades!$D$21,M252))</f>
        <v/>
      </c>
      <c r="AT252" s="26">
        <f>IF(AND(D252&gt;=Parameters!$B$18*Parameters!$B$19,(I252&gt;=Upgrades!$E$17)*(M252&gt;=Upgrades!$E$21)=1,N252=0),1,"")</f>
        <v/>
      </c>
      <c r="AU252" s="26">
        <f>IF(AND(D252&gt;=Parameters!$B$18*Parameters!$B$19,N252=0),1,"")</f>
        <v/>
      </c>
      <c r="AV252" s="22">
        <f>MIN(IF(ISNUMBER(AP252),AP252,9E15),IF(ISNUMBER(AQ252),AQ252,9E15),IF(ISNUMBER(AR252),AR252,9E15),IF(ISNUMBER(AS252),AS252,9E15))</f>
        <v/>
      </c>
      <c r="AW252" s="22">
        <f>MIN(IF(ISNUMBER(AK252),AK252,9E15),IF(ISNUMBER(AL252),AL252,9E15),IF(ISNUMBER(AM252),AM252,9E15),IF(ISNUMBER(AN252),AN252,9E15),IF(ISNUMBER(AO252),AO252,9E15))</f>
        <v/>
      </c>
      <c r="AX252" s="29">
        <f>IF(BD252&gt;Parameters!$B$21*(MAX(IF(AND(NOT(AND(AU252=1,AT252&lt;&gt;1)),ISNUMBER(AK252),AK252&lt;=(C252+T252)),AY252,0),IF(AND(NOT(AND(AU252=1,AT252&lt;&gt;1)),ISNUMBER(AL252),AL252&lt;=(C252+T252)),AZ252,0),IF(AND(NOT(AND(AU252=1,AT252&lt;&gt;1)),ISNUMBER(AM252),AM252&lt;=(C252+T252)),BA252,0),IF(AND(NOT(AND(AU252=1,AT252&lt;&gt;1)),ISNUMBER(AN252),AN252&lt;=(C252+T252)),BB252,0),IF(AND(ISNUMBER(AO252),AO252&lt;=(C252+T252)),BC252,0))),TRUE,FALSE)</f>
        <v/>
      </c>
      <c r="AY252" s="32">
        <f>IFERROR(Upgrades!$H$13*(POWER(Upgrades!$P$13,E252)*POWER(Upgrades!$P$14,F252)*POWER(Upgrades!$P$15,G252)*POWER(Upgrades!$P$16,H252)*POWER(Upgrades!$P$17,I252)*POWER(Upgrades!$P$18,J252)*POWER(Upgrades!$P$19,K252)*POWER(Upgrades!$P$20,L252)*POWER(Upgrades!$P$21,M252))*(IF(Upgrades!$T$14="Stellar Kinematics",POWER(Upgrades!$U$14,F252),1)*IF(Upgrades!$T$15="Stellar Kinematics",POWER(Upgrades!$U$15,G252),1)*IF(Upgrades!$T$16="Stellar Kinematics",POWER(Upgrades!$U$16,H252),1)*IF(Upgrades!$T$17="Stellar Kinematics",POWER(Upgrades!$U$17,I252),1)*IF(Upgrades!$T$18="Stellar Kinematics",POWER(Upgrades!$U$18,J252),1)*IF(Upgrades!$T$19="Stellar Kinematics",POWER(Upgrades!$U$19,K252),1)*IF(Upgrades!$T$20="Stellar Kinematics",POWER(Upgrades!$U$20,L252),1)*IF(Upgrades!$T$21="Stellar Kinematics",POWER(Upgrades!$U$21,M252),1))*$F$6/AK252,0)</f>
        <v/>
      </c>
      <c r="AZ252" s="32">
        <f>IFERROR(Upgrades!$H$14*(POWER(Upgrades!$P$13,E252)*POWER(Upgrades!$P$14,F252)*POWER(Upgrades!$P$15,G252)*POWER(Upgrades!$P$16,H252)*POWER(Upgrades!$P$17,I252)*POWER(Upgrades!$P$18,J252)*POWER(Upgrades!$P$19,K252)*POWER(Upgrades!$P$20,L252)*POWER(Upgrades!$P$21,M252))*(IF(Upgrades!$T$13="Local Bubble",POWER(Upgrades!$U$13,E252),1)*IF(Upgrades!$T$15="Local Bubble",POWER(Upgrades!$U$15,G252),1)*IF(Upgrades!$T$16="Local Bubble",POWER(Upgrades!$U$16,H252),1)*IF(Upgrades!$T$17="Local Bubble",POWER(Upgrades!$U$17,I252),1)*IF(Upgrades!$T$18="Local Bubble",POWER(Upgrades!$U$18,J252),1)*IF(Upgrades!$T$19="Local Bubble",POWER(Upgrades!$U$19,K252),1)*IF(Upgrades!$T$20="Local Bubble",POWER(Upgrades!$U$20,L252),1)*IF(Upgrades!$T$21="Local Bubble",POWER(Upgrades!$U$21,M252),1))*$F$6/AL252,0)</f>
        <v/>
      </c>
      <c r="BA252" s="32">
        <f>IFERROR(Upgrades!$K$15*(POWER(Upgrades!$Q$13,E252)*POWER(Upgrades!$Q$14,F252)*POWER(Upgrades!$Q$15,G252)*POWER(Upgrades!$Q$16,H252)*POWER(Upgrades!$Q$17,I252)*POWER(Upgrades!$Q$18,J252)*POWER(Upgrades!$Q$19,K252)*POWER(Upgrades!$Q$20,L252)*POWER(Upgrades!$Q$21,M252))*(IF(Upgrades!$T$13="Microlensing",POWER(Upgrades!$U$13,E252),1)*IF(Upgrades!$T$14="Microlensing",POWER(Upgrades!$U$14,F252),1)*IF(Upgrades!$T$16="Microlensing",POWER(Upgrades!$U$16,H252),1)*IF(Upgrades!$T$17="Microlensing",POWER(Upgrades!$U$17,I252),1)*IF(Upgrades!$T$18="Microlensing",POWER(Upgrades!$U$18,J252),1)*IF(Upgrades!$T$19="Microlensing",POWER(Upgrades!$U$19,K252),1)*IF(Upgrades!$T$20="Microlensing",POWER(Upgrades!$U$20,L252),1)*IF(Upgrades!$T$21="Microlensing",POWER(Upgrades!$U$21,M252),1))*$G$6*(Parameters!$B$10/60*Parameters!$B$11+Q252)/AM252,0)</f>
        <v/>
      </c>
      <c r="BB252" s="32">
        <f>IFERROR((Upgrades!$N$16*(POWER(Upgrades!$R$13,E252)*POWER(Upgrades!$R$14,F252)*POWER(Upgrades!$R$15,G252)*POWER(Upgrades!$R$16,H252)*POWER(Upgrades!$R$17,I252)*POWER(Upgrades!$R$18,J252)*POWER(Upgrades!$R$19,K252)*POWER(Upgrades!$R$20,L252)*POWER(Upgrades!$R$21,M252))*(IF(Upgrades!$T$13="Roche Lobe Overflow",POWER(Upgrades!$U$13,E252),1)*IF(Upgrades!$T$14="Roche Lobe Overflow",POWER(Upgrades!$U$14,F252),1)*IF(Upgrades!$T$15="Roche Lobe Overflow",POWER(Upgrades!$U$15,G252),1)*IF(Upgrades!$T$17="Roche Lobe Overflow",POWER(Upgrades!$U$17,I252),1)*IF(Upgrades!$T$18="Roche Lobe Overflow",POWER(Upgrades!$U$18,J252),1)*IF(Upgrades!$T$19="Roche Lobe Overflow",POWER(Upgrades!$U$19,K252),1)*IF(Upgrades!$T$20="Roche Lobe Overflow",POWER(Upgrades!$U$20,L252),1)*IF(Upgrades!$T$21="Roche Lobe Overflow",POWER(Upgrades!$U$21,M252),1))*$H$6*O252+((IF(F252=0,0,(Upgrades!$G$14+F252*Upgrades!$H$14)*POWER(Upgrades!$I$14,F252)))*(IF(Upgrades!$T$13="Local Bubble",POWER(Upgrades!$U$13,E252),1)*IF(Upgrades!$T$15="Local Bubble",POWER(Upgrades!$U$15,G252),1)*IF(Upgrades!$T$16="Local Bubble",POWER(Upgrades!$U$16,H252),1)*IF(Upgrades!$T$17="Local Bubble",POWER(Upgrades!$U$17,I252),1)*IF(Upgrades!$T$18="Local Bubble",POWER(Upgrades!$U$18,J252),1)*IF(Upgrades!$T$19="Local Bubble",POWER(Upgrades!$U$19,K252),1)*IF(Upgrades!$T$20="Local Bubble",POWER(Upgrades!$U$20,L252),1)*IF(Upgrades!$T$21="Local Bubble",POWER(Upgrades!$U$21,M252),1))*POWER(Upgrades!$P$13,E252)*POWER(Upgrades!$P$14,F252)*POWER(Upgrades!$P$15,G252)*POWER(Upgrades!$P$16,H252)*POWER(Upgrades!$P$17,I252)*POWER(Upgrades!$P$18,J252)*POWER(Upgrades!$P$19,K252)*POWER(Upgrades!$P$20,L252)*POWER(Upgrades!$P$21,M252)*$F$6)*0.05)/AN252,0)</f>
        <v/>
      </c>
      <c r="BC252" s="32">
        <f>IFERROR((Upgrades!$H$17*(POWER(Upgrades!$P$13,E252)*POWER(Upgrades!$P$14,F252)*POWER(Upgrades!$P$15,G252)*POWER(Upgrades!$P$16,H252)*POWER(Upgrades!$P$17,I252)*POWER(Upgrades!$P$18,J252)*POWER(Upgrades!$P$19,K252)*POWER(Upgrades!$P$20,L252)*POWER(Upgrades!$P$21,M252))*(IF(Upgrades!$T$13="Brown Dwarf",POWER(Upgrades!$U$13,E252),1)*IF(Upgrades!$T$14="Brown Dwarf",POWER(Upgrades!$U$14,F252),1)*IF(Upgrades!$T$15="Brown Dwarf",POWER(Upgrades!$U$15,G252),1)*IF(Upgrades!$T$16="Brown Dwarf",POWER(Upgrades!$U$16,H252),1)*IF(Upgrades!$T$18="Brown Dwarf",POWER(Upgrades!$U$18,J252),1)*IF(Upgrades!$T$19="Brown Dwarf",POWER(Upgrades!$U$19,K252),1)*IF(Upgrades!$T$20="Brown Dwarf",POWER(Upgrades!$U$20,L252),1)*IF(Upgrades!$T$21="Brown Dwarf",POWER(Upgrades!$U$21,M252),1))*$F$6+(((IF(H252=0,0,(Upgrades!$M$16+H252*Upgrades!$N$16)*POWER(Upgrades!$O$16,H252)))*(IF(Upgrades!$T$13="Roche Lobe Overflow",POWER(Upgrades!$U$13,E252),1)*IF(Upgrades!$T$14="Roche Lobe Overflow",POWER(Upgrades!$U$14,F252),1)*IF(Upgrades!$T$15="Roche Lobe Overflow",POWER(Upgrades!$U$15,G252),1)*IF(Upgrades!$T$17="Roche Lobe Overflow",POWER(Upgrades!$U$17,I252),1)*IF(Upgrades!$T$18="Roche Lobe Overflow",POWER(Upgrades!$U$18,J252),1)*IF(Upgrades!$T$19="Roche Lobe Overflow",POWER(Upgrades!$U$19,K252),1)*IF(Upgrades!$T$20="Roche Lobe Overflow",POWER(Upgrades!$U$20,L252),1)*IF(Upgrades!$T$21="Roche Lobe Overflow",POWER(Upgrades!$U$21,M252),1))*POWER(Upgrades!$R$13,E252)*POWER(Upgrades!$R$14,F252)*POWER(Upgrades!$R$15,G252)*POWER(Upgrades!$R$16,H252)*POWER(Upgrades!$R$17,I252)*POWER(Upgrades!$R$18,J252)*POWER(Upgrades!$R$19,K252)*POWER(Upgrades!$R$20,L252)*POWER(Upgrades!$R$21,M252)*$H$6)*O252)*0.10)/AO252,0)</f>
        <v/>
      </c>
      <c r="BD252" s="32">
        <f>MAX(IF(J252&gt;0,0,IFERROR(0.5*((IF(G252=0,0,(Upgrades!$J$15+G252*Upgrades!$K$15)*POWER(Upgrades!$L$15,G252)))*(IF(Upgrades!$T$13="Microlensing",POWER(Upgrades!$U$13,E252),1)*IF(Upgrades!$T$14="Microlensing",POWER(Upgrades!$U$14,F252),1)*IF(Upgrades!$T$16="Microlensing",POWER(Upgrades!$U$16,H252),1)*IF(Upgrades!$T$17="Microlensing",POWER(Upgrades!$U$17,I252),1)*IF(Upgrades!$T$18="Microlensing",POWER(Upgrades!$U$18,J252),1)*IF(Upgrades!$T$19="Microlensing",POWER(Upgrades!$U$19,K252),1)*IF(Upgrades!$T$20="Microlensing",POWER(Upgrades!$U$20,L252),1)*IF(Upgrades!$T$21="Microlensing",POWER(Upgrades!$U$21,M252),1))*(POWER(Upgrades!$Q$13,E252)*POWER(Upgrades!$Q$14,F252)*POWER(Upgrades!$Q$15,G252)*POWER(Upgrades!$Q$16,H252)*POWER(Upgrades!$Q$17,I252)*POWER(Upgrades!$Q$18,J252)*POWER(Upgrades!$Q$19,K252)*POWER(Upgrades!$Q$20,L252)*POWER(Upgrades!$Q$21,M252))*$G$6*(Parameters!$B$10/60*Parameters!$B$11+Q252))/Upgrades!$C$18,0)),IF(K252&gt;0,0,IFERROR(0.30*P252/Upgrades!$C$19,0)),IF(L252&gt;0,0,IFERROR(0.0001/Upgrades!$C$20,0)),IF(M252&gt;0,0,IFERROR((6.0*(POWER(Upgrades!$P$13,E252)*POWER(Upgrades!$P$14,F252)*POWER(Upgrades!$P$15,G252)*POWER(Upgrades!$P$16,H252)*POWER(Upgrades!$P$17,I252)*POWER(Upgrades!$P$18,J252)*POWER(Upgrades!$P$19,K252)*POWER(Upgrades!$P$20,L252)*POWER(Upgrades!$P$21,M252))*$F$6+0.20*O252*(Parameters!$B$10/60*Parameters!$B$11+Q252))/Upgrades!$C$21,0)),IF(AND(ISNUMBER(AK252),AK252&gt;(C252+T252)),AY252,0),IF(AND(ISNUMBER(AL252),AL252&gt;(C252+T252)),AZ252,0),IF(AND(ISNUMBER(AM252),AM252&gt;(C252+T252)),BA252,0),IF(AND(ISNUMBER(AN252),AN252&gt;(C252+T252)),BB252,0),IF(AND(ISNUMBER(AO252),AO252&gt;(C252+T252)),BC252,0))</f>
        <v/>
      </c>
      <c r="BE252" s="29">
        <f>IF(AT252=1,"transition",IF(MIN(IF(AND(J252=0,ISNUMBER(AP252),AP252&lt;=(C252+T252)),AP252,9E15),IF(AND(K252=0,ISNUMBER(AQ252),AQ252&lt;=(C252+T252)),AQ252,9E15),IF(AND(L252=0,ISNUMBER(AR252),AR252&lt;=(C252+T252)),AR252,9E15),IF(AND(M252=0,ISNUMBER(AS252),AS252&lt;=(C252+T252)),AS252,9E15))&lt;9E15,IF(AND(AND(J252=0,ISNUMBER(AP252),AP252&lt;=(C252+T252)),AP252=MIN(IF(AND(J252=0,ISNUMBER(AP252),AP252&lt;=(C252+T252)),AP252,9E15),IF(AND(K252=0,ISNUMBER(AQ252),AQ252&lt;=(C252+T252)),AQ252,9E15),IF(AND(L252=0,ISNUMBER(AR252),AR252&lt;=(C252+T252)),AR252,9E15),IF(AND(M252=0,ISNUMBER(AS252),AS252&lt;=(C252+T252)),AS252,9E15))),"BiP",IF(AND(AND(K252=0,ISNUMBER(AQ252),AQ252&lt;=(C252+T252)),AQ252=MIN(IF(AND(J252=0,ISNUMBER(AP252),AP252&lt;=(C252+T252)),AP252,9E15),IF(AND(K252=0,ISNUMBER(AQ252),AQ252&lt;=(C252+T252)),AQ252,9E15),IF(AND(L252=0,ISNUMBER(AR252),AR252&lt;=(C252+T252)),AR252,9E15),IF(AND(M252=0,ISNUMBER(AS252),AS252&lt;=(C252+T252)),AS252,9E15))),"PV",IF(AND(AND(L252=0,ISNUMBER(AR252),AR252&lt;=(C252+T252)),AR252=MIN(IF(AND(J252=0,ISNUMBER(AP252),AP252&lt;=(C252+T252)),AP252,9E15),IF(AND(K252=0,ISNUMBER(AQ252),AQ252&lt;=(C252+T252)),AQ252,9E15),IF(AND(L252=0,ISNUMBER(AR252),AR252&lt;=(C252+T252)),AR252,9E15),IF(AND(M252=0,ISNUMBER(AS252),AS252&lt;=(C252+T252)),AS252,9E15))),"OC","MG"))),IF(AX252=TRUE,"",IF(MAX(IF(AND(NOT(AND(AU252=1,AT252&lt;&gt;1)),ISNUMBER(AK252),AK252&lt;=(C252+T252)),AY252,0),IF(AND(NOT(AND(AU252=1,AT252&lt;&gt;1)),ISNUMBER(AL252),AL252&lt;=(C252+T252)),AZ252,0),IF(AND(NOT(AND(AU252=1,AT252&lt;&gt;1)),ISNUMBER(AM252),AM252&lt;=(C252+T252)),BA252,0),IF(AND(NOT(AND(AU252=1,AT252&lt;&gt;1)),ISNUMBER(AN252),AN252&lt;=(C252+T252)),BB252,0),IF(AND(ISNUMBER(AO252),AO252&lt;=(C252+T252)),BC252,0))&lt;=0,"",IF(AND(IF(AND(NOT(AND(AU252=1,AT252&lt;&gt;1)),ISNUMBER(AK252),AK252&lt;=(C252+T252)),AY252,0)&gt;0,IF(AND(NOT(AND(AU252=1,AT252&lt;&gt;1)),ISNUMBER(AK252),AK252&lt;=(C252+T252)),AY252,0)=MAX(IF(AND(NOT(AND(AU252=1,AT252&lt;&gt;1)),ISNUMBER(AK252),AK252&lt;=(C252+T252)),AY252,0),IF(AND(NOT(AND(AU252=1,AT252&lt;&gt;1)),ISNUMBER(AL252),AL252&lt;=(C252+T252)),AZ252,0),IF(AND(NOT(AND(AU252=1,AT252&lt;&gt;1)),ISNUMBER(AM252),AM252&lt;=(C252+T252)),BA252,0),IF(AND(NOT(AND(AU252=1,AT252&lt;&gt;1)),ISNUMBER(AN252),AN252&lt;=(C252+T252)),BB252,0),IF(AND(ISNUMBER(AO252),AO252&lt;=(C252+T252)),BC252,0))),"SK",IF(AND(IF(AND(NOT(AND(AU252=1,AT252&lt;&gt;1)),ISNUMBER(AL252),AL252&lt;=(C252+T252)),AZ252,0)&gt;0,IF(AND(NOT(AND(AU252=1,AT252&lt;&gt;1)),ISNUMBER(AL252),AL252&lt;=(C252+T252)),AZ252,0)=MAX(IF(AND(NOT(AND(AU252=1,AT252&lt;&gt;1)),ISNUMBER(AK252),AK252&lt;=(C252+T252)),AY252,0),IF(AND(NOT(AND(AU252=1,AT252&lt;&gt;1)),ISNUMBER(AL252),AL252&lt;=(C252+T252)),AZ252,0),IF(AND(NOT(AND(AU252=1,AT252&lt;&gt;1)),ISNUMBER(AM252),AM252&lt;=(C252+T252)),BA252,0),IF(AND(NOT(AND(AU252=1,AT252&lt;&gt;1)),ISNUMBER(AN252),AN252&lt;=(C252+T252)),BB252,0),IF(AND(ISNUMBER(AO252),AO252&lt;=(C252+T252)),BC252,0))),"LB",IF(AND(IF(AND(NOT(AND(AU252=1,AT252&lt;&gt;1)),ISNUMBER(AM252),AM252&lt;=(C252+T252)),BA252,0)&gt;0,IF(AND(NOT(AND(AU252=1,AT252&lt;&gt;1)),ISNUMBER(AM252),AM252&lt;=(C252+T252)),BA252,0)=MAX(IF(AND(NOT(AND(AU252=1,AT252&lt;&gt;1)),ISNUMBER(AK252),AK252&lt;=(C252+T252)),AY252,0),IF(AND(NOT(AND(AU252=1,AT252&lt;&gt;1)),ISNUMBER(AL252),AL252&lt;=(C252+T252)),AZ252,0),IF(AND(NOT(AND(AU252=1,AT252&lt;&gt;1)),ISNUMBER(AM252),AM252&lt;=(C252+T252)),BA252,0),IF(AND(NOT(AND(AU252=1,AT252&lt;&gt;1)),ISNUMBER(AN252),AN252&lt;=(C252+T252)),BB252,0),IF(AND(ISNUMBER(AO252),AO252&lt;=(C252+T252)),BC252,0))),"ML",IF(AND(IF(AND(NOT(AND(AU252=1,AT252&lt;&gt;1)),ISNUMBER(AN252),AN252&lt;=(C252+T252)),BB252,0)&gt;0,IF(AND(NOT(AND(AU252=1,AT252&lt;&gt;1)),ISNUMBER(AN252),AN252&lt;=(C252+T252)),BB252,0)=MAX(IF(AND(NOT(AND(AU252=1,AT252&lt;&gt;1)),ISNUMBER(AK252),AK252&lt;=(C252+T252)),AY252,0),IF(AND(NOT(AND(AU252=1,AT252&lt;&gt;1)),ISNUMBER(AL252),AL252&lt;=(C252+T252)),AZ252,0),IF(AND(NOT(AND(AU252=1,AT252&lt;&gt;1)),ISNUMBER(AM252),AM252&lt;=(C252+T252)),BA252,0),IF(AND(NOT(AND(AU252=1,AT252&lt;&gt;1)),ISNUMBER(AN252),AN252&lt;=(C252+T252)),BB252,0),IF(AND(ISNUMBER(AO252),AO252&lt;=(C252+T252)),BC252,0))),"RLO","BD"))))))))</f>
        <v/>
      </c>
    </row>
    <row r="253">
      <c r="A253" s="26" t="n">
        <v>242</v>
      </c>
      <c r="B253" s="27">
        <f>A253*10/60</f>
        <v/>
      </c>
      <c r="C253" s="22">
        <f>X252</f>
        <v/>
      </c>
      <c r="D253" s="27">
        <f>D252+W252</f>
        <v/>
      </c>
      <c r="E253" s="26">
        <f>E252+IF(U252="SK",1,0)</f>
        <v/>
      </c>
      <c r="F253" s="26">
        <f>F252+IF(U252="LB",1,0)</f>
        <v/>
      </c>
      <c r="G253" s="26">
        <f>G252+IF(U252="ML",1,0)</f>
        <v/>
      </c>
      <c r="H253" s="26">
        <f>H252+IF(U252="RLO",1,0)</f>
        <v/>
      </c>
      <c r="I253" s="26">
        <f>I252+IF(U252="BD",1,0)</f>
        <v/>
      </c>
      <c r="J253" s="26">
        <f>MAX(J252,IF(U252="BiP",1,0))</f>
        <v/>
      </c>
      <c r="K253" s="26">
        <f>MAX(K252,IF(U252="PV",1,0))</f>
        <v/>
      </c>
      <c r="L253" s="26">
        <f>MAX(L252,IF(U252="OC",1,0))</f>
        <v/>
      </c>
      <c r="M253" s="26">
        <f>MAX(M252,IF(U252="MG",1,0))</f>
        <v/>
      </c>
      <c r="N253" s="26">
        <f>MAX(N252,IF(U252="transition",1,0))</f>
        <v/>
      </c>
      <c r="O253" s="28">
        <f>(Parameters!$B$9+(IF(E253=0,0,(Upgrades!$J$13+E253*Upgrades!$K$13)*POWER(Upgrades!$L$13,E253)))*(IF(Upgrades!$T$14="Stellar Kinematics",POWER(Upgrades!$U$14,F253),1)*IF(Upgrades!$T$15="Stellar Kinematics",POWER(Upgrades!$U$15,G253),1)*IF(Upgrades!$T$16="Stellar Kinematics",POWER(Upgrades!$U$16,H253),1)*IF(Upgrades!$T$17="Stellar Kinematics",POWER(Upgrades!$U$17,I253),1)*IF(Upgrades!$T$18="Stellar Kinematics",POWER(Upgrades!$U$18,J253),1)*IF(Upgrades!$T$19="Stellar Kinematics",POWER(Upgrades!$U$19,K253),1)*IF(Upgrades!$T$20="Stellar Kinematics",POWER(Upgrades!$U$20,L253),1)*IF(Upgrades!$T$21="Stellar Kinematics",POWER(Upgrades!$U$21,M253),1))+(IF(F253=0,0,(Upgrades!$J$14+F253*Upgrades!$K$14)*POWER(Upgrades!$L$14,F253)))*(IF(Upgrades!$T$13="Local Bubble",POWER(Upgrades!$U$13,E253),1)*IF(Upgrades!$T$15="Local Bubble",POWER(Upgrades!$U$15,G253),1)*IF(Upgrades!$T$16="Local Bubble",POWER(Upgrades!$U$16,H253),1)*IF(Upgrades!$T$17="Local Bubble",POWER(Upgrades!$U$17,I253),1)*IF(Upgrades!$T$18="Local Bubble",POWER(Upgrades!$U$18,J253),1)*IF(Upgrades!$T$19="Local Bubble",POWER(Upgrades!$U$19,K253),1)*IF(Upgrades!$T$20="Local Bubble",POWER(Upgrades!$U$20,L253),1)*IF(Upgrades!$T$21="Local Bubble",POWER(Upgrades!$U$21,M253),1))+(IF(G253=0,0,(Upgrades!$J$15+G253*Upgrades!$K$15)*POWER(Upgrades!$L$15,G253)))*(IF(Upgrades!$T$13="Microlensing",POWER(Upgrades!$U$13,E253),1)*IF(Upgrades!$T$14="Microlensing",POWER(Upgrades!$U$14,F253),1)*IF(Upgrades!$T$16="Microlensing",POWER(Upgrades!$U$16,H253),1)*IF(Upgrades!$T$17="Microlensing",POWER(Upgrades!$U$17,I253),1)*IF(Upgrades!$T$18="Microlensing",POWER(Upgrades!$U$18,J253),1)*IF(Upgrades!$T$19="Microlensing",POWER(Upgrades!$U$19,K253),1)*IF(Upgrades!$T$20="Microlensing",POWER(Upgrades!$U$20,L253),1)*IF(Upgrades!$T$21="Microlensing",POWER(Upgrades!$U$21,M253),1))+(IF(H253=0,0,(Upgrades!$J$16+H253*Upgrades!$K$16)*POWER(Upgrades!$L$16,H253)))*(IF(Upgrades!$T$13="Roche Lobe Overflow",POWER(Upgrades!$U$13,E253),1)*IF(Upgrades!$T$14="Roche Lobe Overflow",POWER(Upgrades!$U$14,F253),1)*IF(Upgrades!$T$15="Roche Lobe Overflow",POWER(Upgrades!$U$15,G253),1)*IF(Upgrades!$T$17="Roche Lobe Overflow",POWER(Upgrades!$U$17,I253),1)*IF(Upgrades!$T$18="Roche Lobe Overflow",POWER(Upgrades!$U$18,J253),1)*IF(Upgrades!$T$19="Roche Lobe Overflow",POWER(Upgrades!$U$19,K253),1)*IF(Upgrades!$T$20="Roche Lobe Overflow",POWER(Upgrades!$U$20,L253),1)*IF(Upgrades!$T$21="Roche Lobe Overflow",POWER(Upgrades!$U$21,M253),1))+(IF(I253=0,0,(Upgrades!$J$17+I253*Upgrades!$K$17)*POWER(Upgrades!$L$17,I253)))*(IF(Upgrades!$T$13="Brown Dwarf",POWER(Upgrades!$U$13,E253),1)*IF(Upgrades!$T$14="Brown Dwarf",POWER(Upgrades!$U$14,F253),1)*IF(Upgrades!$T$15="Brown Dwarf",POWER(Upgrades!$U$15,G253),1)*IF(Upgrades!$T$16="Brown Dwarf",POWER(Upgrades!$U$16,H253),1)*IF(Upgrades!$T$18="Brown Dwarf",POWER(Upgrades!$U$18,J253),1)*IF(Upgrades!$T$19="Brown Dwarf",POWER(Upgrades!$U$19,K253),1)*IF(Upgrades!$T$20="Brown Dwarf",POWER(Upgrades!$U$20,L253),1)*IF(Upgrades!$T$21="Brown Dwarf",POWER(Upgrades!$U$21,M253),1))+(IF(J253=0,0,(Upgrades!$J$18+J253*Upgrades!$K$18)*POWER(Upgrades!$L$18,J253)))*(IF(Upgrades!$T$13="Binary Partner",POWER(Upgrades!$U$13,E253),1)*IF(Upgrades!$T$14="Binary Partner",POWER(Upgrades!$U$14,F253),1)*IF(Upgrades!$T$15="Binary Partner",POWER(Upgrades!$U$15,G253),1)*IF(Upgrades!$T$16="Binary Partner",POWER(Upgrades!$U$16,H253),1)*IF(Upgrades!$T$17="Binary Partner",POWER(Upgrades!$U$17,I253),1)*IF(Upgrades!$T$19="Binary Partner",POWER(Upgrades!$U$19,K253),1)*IF(Upgrades!$T$20="Binary Partner",POWER(Upgrades!$U$20,L253),1)*IF(Upgrades!$T$21="Binary Partner",POWER(Upgrades!$U$21,M253),1))+(IF(K253=0,0,(Upgrades!$J$19+K253*Upgrades!$K$19)*POWER(Upgrades!$L$19,K253)))*(IF(Upgrades!$T$13="Peculiar Velocity",POWER(Upgrades!$U$13,E253),1)*IF(Upgrades!$T$14="Peculiar Velocity",POWER(Upgrades!$U$14,F253),1)*IF(Upgrades!$T$15="Peculiar Velocity",POWER(Upgrades!$U$15,G253),1)*IF(Upgrades!$T$16="Peculiar Velocity",POWER(Upgrades!$U$16,H253),1)*IF(Upgrades!$T$17="Peculiar Velocity",POWER(Upgrades!$U$17,I253),1)*IF(Upgrades!$T$18="Peculiar Velocity",POWER(Upgrades!$U$18,J253),1)*IF(Upgrades!$T$20="Peculiar Velocity",POWER(Upgrades!$U$20,L253),1)*IF(Upgrades!$T$21="Peculiar Velocity",POWER(Upgrades!$U$21,M253),1))+(IF(L253=0,0,(Upgrades!$J$20+L253*Upgrades!$K$20)*POWER(Upgrades!$L$20,L253)))*(IF(Upgrades!$T$13="Open Cluster",POWER(Upgrades!$U$13,E253),1)*IF(Upgrades!$T$14="Open Cluster",POWER(Upgrades!$U$14,F253),1)*IF(Upgrades!$T$15="Open Cluster",POWER(Upgrades!$U$15,G253),1)*IF(Upgrades!$T$16="Open Cluster",POWER(Upgrades!$U$16,H253),1)*IF(Upgrades!$T$17="Open Cluster",POWER(Upgrades!$U$17,I253),1)*IF(Upgrades!$T$18="Open Cluster",POWER(Upgrades!$U$18,J253),1)*IF(Upgrades!$T$19="Open Cluster",POWER(Upgrades!$U$19,K253),1)*IF(Upgrades!$T$21="Open Cluster",POWER(Upgrades!$U$21,M253),1))+(IF(M253=0,0,(Upgrades!$J$21+M253*Upgrades!$K$21)*POWER(Upgrades!$L$21,M253)))*(IF(Upgrades!$T$13="Moving Group",POWER(Upgrades!$U$13,E253),1)*IF(Upgrades!$T$14="Moving Group",POWER(Upgrades!$U$14,F253),1)*IF(Upgrades!$T$15="Moving Group",POWER(Upgrades!$U$15,G253),1)*IF(Upgrades!$T$16="Moving Group",POWER(Upgrades!$U$16,H253),1)*IF(Upgrades!$T$17="Moving Group",POWER(Upgrades!$U$17,I253),1)*IF(Upgrades!$T$18="Moving Group",POWER(Upgrades!$U$18,J253),1)*IF(Upgrades!$T$19="Moving Group",POWER(Upgrades!$U$19,K253),1)*IF(Upgrades!$T$20="Moving Group",POWER(Upgrades!$U$20,L253),1)))*POWER(Upgrades!$Q$13,E253)*POWER(Upgrades!$Q$14,F253)*POWER(Upgrades!$Q$15,G253)*POWER(Upgrades!$Q$16,H253)*POWER(Upgrades!$Q$17,I253)*POWER(Upgrades!$Q$18,J253)*POWER(Upgrades!$Q$19,K253)*POWER(Upgrades!$Q$20,L253)*POWER(Upgrades!$Q$21,M253)*$G$6+$D$6</f>
        <v/>
      </c>
      <c r="P253" s="28">
        <f>((IF(E253=0,0,(Upgrades!$G$13+E253*Upgrades!$H$13)*POWER(Upgrades!$I$13,E253)))*(IF(Upgrades!$T$14="Stellar Kinematics",POWER(Upgrades!$U$14,F253),1)*IF(Upgrades!$T$15="Stellar Kinematics",POWER(Upgrades!$U$15,G253),1)*IF(Upgrades!$T$16="Stellar Kinematics",POWER(Upgrades!$U$16,H253),1)*IF(Upgrades!$T$17="Stellar Kinematics",POWER(Upgrades!$U$17,I253),1)*IF(Upgrades!$T$18="Stellar Kinematics",POWER(Upgrades!$U$18,J253),1)*IF(Upgrades!$T$19="Stellar Kinematics",POWER(Upgrades!$U$19,K253),1)*IF(Upgrades!$T$20="Stellar Kinematics",POWER(Upgrades!$U$20,L253),1)*IF(Upgrades!$T$21="Stellar Kinematics",POWER(Upgrades!$U$21,M253),1))+(IF(F253=0,0,(Upgrades!$G$14+F253*Upgrades!$H$14)*POWER(Upgrades!$I$14,F253)))*(IF(Upgrades!$T$13="Local Bubble",POWER(Upgrades!$U$13,E253),1)*IF(Upgrades!$T$15="Local Bubble",POWER(Upgrades!$U$15,G253),1)*IF(Upgrades!$T$16="Local Bubble",POWER(Upgrades!$U$16,H253),1)*IF(Upgrades!$T$17="Local Bubble",POWER(Upgrades!$U$17,I253),1)*IF(Upgrades!$T$18="Local Bubble",POWER(Upgrades!$U$18,J253),1)*IF(Upgrades!$T$19="Local Bubble",POWER(Upgrades!$U$19,K253),1)*IF(Upgrades!$T$20="Local Bubble",POWER(Upgrades!$U$20,L253),1)*IF(Upgrades!$T$21="Local Bubble",POWER(Upgrades!$U$21,M253),1))+(IF(G253=0,0,(Upgrades!$G$15+G253*Upgrades!$H$15)*POWER(Upgrades!$I$15,G253)))*(IF(Upgrades!$T$13="Microlensing",POWER(Upgrades!$U$13,E253),1)*IF(Upgrades!$T$14="Microlensing",POWER(Upgrades!$U$14,F253),1)*IF(Upgrades!$T$16="Microlensing",POWER(Upgrades!$U$16,H253),1)*IF(Upgrades!$T$17="Microlensing",POWER(Upgrades!$U$17,I253),1)*IF(Upgrades!$T$18="Microlensing",POWER(Upgrades!$U$18,J253),1)*IF(Upgrades!$T$19="Microlensing",POWER(Upgrades!$U$19,K253),1)*IF(Upgrades!$T$20="Microlensing",POWER(Upgrades!$U$20,L253),1)*IF(Upgrades!$T$21="Microlensing",POWER(Upgrades!$U$21,M253),1))+(IF(H253=0,0,(Upgrades!$G$16+H253*Upgrades!$H$16)*POWER(Upgrades!$I$16,H253)))*(IF(Upgrades!$T$13="Roche Lobe Overflow",POWER(Upgrades!$U$13,E253),1)*IF(Upgrades!$T$14="Roche Lobe Overflow",POWER(Upgrades!$U$14,F253),1)*IF(Upgrades!$T$15="Roche Lobe Overflow",POWER(Upgrades!$U$15,G253),1)*IF(Upgrades!$T$17="Roche Lobe Overflow",POWER(Upgrades!$U$17,I253),1)*IF(Upgrades!$T$18="Roche Lobe Overflow",POWER(Upgrades!$U$18,J253),1)*IF(Upgrades!$T$19="Roche Lobe Overflow",POWER(Upgrades!$U$19,K253),1)*IF(Upgrades!$T$20="Roche Lobe Overflow",POWER(Upgrades!$U$20,L253),1)*IF(Upgrades!$T$21="Roche Lobe Overflow",POWER(Upgrades!$U$21,M253),1))+(IF(I253=0,0,(Upgrades!$G$17+I253*Upgrades!$H$17)*POWER(Upgrades!$I$17,I253)))*(IF(Upgrades!$T$13="Brown Dwarf",POWER(Upgrades!$U$13,E253),1)*IF(Upgrades!$T$14="Brown Dwarf",POWER(Upgrades!$U$14,F253),1)*IF(Upgrades!$T$15="Brown Dwarf",POWER(Upgrades!$U$15,G253),1)*IF(Upgrades!$T$16="Brown Dwarf",POWER(Upgrades!$U$16,H253),1)*IF(Upgrades!$T$18="Brown Dwarf",POWER(Upgrades!$U$18,J253),1)*IF(Upgrades!$T$19="Brown Dwarf",POWER(Upgrades!$U$19,K253),1)*IF(Upgrades!$T$20="Brown Dwarf",POWER(Upgrades!$U$20,L253),1)*IF(Upgrades!$T$21="Brown Dwarf",POWER(Upgrades!$U$21,M253),1))+(IF(J253=0,0,(Upgrades!$G$18+J253*Upgrades!$H$18)*POWER(Upgrades!$I$18,J253)))*(IF(Upgrades!$T$13="Binary Partner",POWER(Upgrades!$U$13,E253),1)*IF(Upgrades!$T$14="Binary Partner",POWER(Upgrades!$U$14,F253),1)*IF(Upgrades!$T$15="Binary Partner",POWER(Upgrades!$U$15,G253),1)*IF(Upgrades!$T$16="Binary Partner",POWER(Upgrades!$U$16,H253),1)*IF(Upgrades!$T$17="Binary Partner",POWER(Upgrades!$U$17,I253),1)*IF(Upgrades!$T$19="Binary Partner",POWER(Upgrades!$U$19,K253),1)*IF(Upgrades!$T$20="Binary Partner",POWER(Upgrades!$U$20,L253),1)*IF(Upgrades!$T$21="Binary Partner",POWER(Upgrades!$U$21,M253),1))+(IF(K253=0,0,(Upgrades!$G$19+K253*Upgrades!$H$19)*POWER(Upgrades!$I$19,K253)))*(IF(Upgrades!$T$13="Peculiar Velocity",POWER(Upgrades!$U$13,E253),1)*IF(Upgrades!$T$14="Peculiar Velocity",POWER(Upgrades!$U$14,F253),1)*IF(Upgrades!$T$15="Peculiar Velocity",POWER(Upgrades!$U$15,G253),1)*IF(Upgrades!$T$16="Peculiar Velocity",POWER(Upgrades!$U$16,H253),1)*IF(Upgrades!$T$17="Peculiar Velocity",POWER(Upgrades!$U$17,I253),1)*IF(Upgrades!$T$18="Peculiar Velocity",POWER(Upgrades!$U$18,J253),1)*IF(Upgrades!$T$20="Peculiar Velocity",POWER(Upgrades!$U$20,L253),1)*IF(Upgrades!$T$21="Peculiar Velocity",POWER(Upgrades!$U$21,M253),1))+(IF(L253=0,0,(Upgrades!$G$20+L253*Upgrades!$H$20)*POWER(Upgrades!$I$20,L253)))*(IF(Upgrades!$T$13="Open Cluster",POWER(Upgrades!$U$13,E253),1)*IF(Upgrades!$T$14="Open Cluster",POWER(Upgrades!$U$14,F253),1)*IF(Upgrades!$T$15="Open Cluster",POWER(Upgrades!$U$15,G253),1)*IF(Upgrades!$T$16="Open Cluster",POWER(Upgrades!$U$16,H253),1)*IF(Upgrades!$T$17="Open Cluster",POWER(Upgrades!$U$17,I253),1)*IF(Upgrades!$T$18="Open Cluster",POWER(Upgrades!$U$18,J253),1)*IF(Upgrades!$T$19="Open Cluster",POWER(Upgrades!$U$19,K253),1)*IF(Upgrades!$T$21="Open Cluster",POWER(Upgrades!$U$21,M253),1))+(IF(M253=0,0,(Upgrades!$G$21+M253*Upgrades!$H$21)*POWER(Upgrades!$I$21,M253)))*(IF(Upgrades!$T$13="Moving Group",POWER(Upgrades!$U$13,E253),1)*IF(Upgrades!$T$14="Moving Group",POWER(Upgrades!$U$14,F253),1)*IF(Upgrades!$T$15="Moving Group",POWER(Upgrades!$U$15,G253),1)*IF(Upgrades!$T$16="Moving Group",POWER(Upgrades!$U$16,H253),1)*IF(Upgrades!$T$17="Moving Group",POWER(Upgrades!$U$17,I253),1)*IF(Upgrades!$T$18="Moving Group",POWER(Upgrades!$U$18,J253),1)*IF(Upgrades!$T$19="Moving Group",POWER(Upgrades!$U$19,K253),1)*IF(Upgrades!$T$20="Moving Group",POWER(Upgrades!$U$20,L253),1)))*POWER(Upgrades!$P$13,E253)*POWER(Upgrades!$P$14,F253)*POWER(Upgrades!$P$15,G253)*POWER(Upgrades!$P$16,H253)*POWER(Upgrades!$P$17,I253)*POWER(Upgrades!$P$18,J253)*POWER(Upgrades!$P$19,K253)*POWER(Upgrades!$P$20,L253)*POWER(Upgrades!$P$21,M253)*$F$6+$C$6</f>
        <v/>
      </c>
      <c r="Q253" s="28">
        <f>((IF(E253=0,0,(Upgrades!$M$13+E253*Upgrades!$N$13)*POWER(Upgrades!$O$13,E253)))*(IF(Upgrades!$T$14="Stellar Kinematics",POWER(Upgrades!$U$14,F253),1)*IF(Upgrades!$T$15="Stellar Kinematics",POWER(Upgrades!$U$15,G253),1)*IF(Upgrades!$T$16="Stellar Kinematics",POWER(Upgrades!$U$16,H253),1)*IF(Upgrades!$T$17="Stellar Kinematics",POWER(Upgrades!$U$17,I253),1)*IF(Upgrades!$T$18="Stellar Kinematics",POWER(Upgrades!$U$18,J253),1)*IF(Upgrades!$T$19="Stellar Kinematics",POWER(Upgrades!$U$19,K253),1)*IF(Upgrades!$T$20="Stellar Kinematics",POWER(Upgrades!$U$20,L253),1)*IF(Upgrades!$T$21="Stellar Kinematics",POWER(Upgrades!$U$21,M253),1))+(IF(F253=0,0,(Upgrades!$M$14+F253*Upgrades!$N$14)*POWER(Upgrades!$O$14,F253)))*(IF(Upgrades!$T$13="Local Bubble",POWER(Upgrades!$U$13,E253),1)*IF(Upgrades!$T$15="Local Bubble",POWER(Upgrades!$U$15,G253),1)*IF(Upgrades!$T$16="Local Bubble",POWER(Upgrades!$U$16,H253),1)*IF(Upgrades!$T$17="Local Bubble",POWER(Upgrades!$U$17,I253),1)*IF(Upgrades!$T$18="Local Bubble",POWER(Upgrades!$U$18,J253),1)*IF(Upgrades!$T$19="Local Bubble",POWER(Upgrades!$U$19,K253),1)*IF(Upgrades!$T$20="Local Bubble",POWER(Upgrades!$U$20,L253),1)*IF(Upgrades!$T$21="Local Bubble",POWER(Upgrades!$U$21,M253),1))+(IF(G253=0,0,(Upgrades!$M$15+G253*Upgrades!$N$15)*POWER(Upgrades!$O$15,G253)))*(IF(Upgrades!$T$13="Microlensing",POWER(Upgrades!$U$13,E253),1)*IF(Upgrades!$T$14="Microlensing",POWER(Upgrades!$U$14,F253),1)*IF(Upgrades!$T$16="Microlensing",POWER(Upgrades!$U$16,H253),1)*IF(Upgrades!$T$17="Microlensing",POWER(Upgrades!$U$17,I253),1)*IF(Upgrades!$T$18="Microlensing",POWER(Upgrades!$U$18,J253),1)*IF(Upgrades!$T$19="Microlensing",POWER(Upgrades!$U$19,K253),1)*IF(Upgrades!$T$20="Microlensing",POWER(Upgrades!$U$20,L253),1)*IF(Upgrades!$T$21="Microlensing",POWER(Upgrades!$U$21,M253),1))+(IF(H253=0,0,(Upgrades!$M$16+H253*Upgrades!$N$16)*POWER(Upgrades!$O$16,H253)))*(IF(Upgrades!$T$13="Roche Lobe Overflow",POWER(Upgrades!$U$13,E253),1)*IF(Upgrades!$T$14="Roche Lobe Overflow",POWER(Upgrades!$U$14,F253),1)*IF(Upgrades!$T$15="Roche Lobe Overflow",POWER(Upgrades!$U$15,G253),1)*IF(Upgrades!$T$17="Roche Lobe Overflow",POWER(Upgrades!$U$17,I253),1)*IF(Upgrades!$T$18="Roche Lobe Overflow",POWER(Upgrades!$U$18,J253),1)*IF(Upgrades!$T$19="Roche Lobe Overflow",POWER(Upgrades!$U$19,K253),1)*IF(Upgrades!$T$20="Roche Lobe Overflow",POWER(Upgrades!$U$20,L253),1)*IF(Upgrades!$T$21="Roche Lobe Overflow",POWER(Upgrades!$U$21,M253),1))+(IF(I253=0,0,(Upgrades!$M$17+I253*Upgrades!$N$17)*POWER(Upgrades!$O$17,I253)))*(IF(Upgrades!$T$13="Brown Dwarf",POWER(Upgrades!$U$13,E253),1)*IF(Upgrades!$T$14="Brown Dwarf",POWER(Upgrades!$U$14,F253),1)*IF(Upgrades!$T$15="Brown Dwarf",POWER(Upgrades!$U$15,G253),1)*IF(Upgrades!$T$16="Brown Dwarf",POWER(Upgrades!$U$16,H253),1)*IF(Upgrades!$T$18="Brown Dwarf",POWER(Upgrades!$U$18,J253),1)*IF(Upgrades!$T$19="Brown Dwarf",POWER(Upgrades!$U$19,K253),1)*IF(Upgrades!$T$20="Brown Dwarf",POWER(Upgrades!$U$20,L253),1)*IF(Upgrades!$T$21="Brown Dwarf",POWER(Upgrades!$U$21,M253),1))+(IF(J253=0,0,(Upgrades!$M$18+J253*Upgrades!$N$18)*POWER(Upgrades!$O$18,J253)))*(IF(Upgrades!$T$13="Binary Partner",POWER(Upgrades!$U$13,E253),1)*IF(Upgrades!$T$14="Binary Partner",POWER(Upgrades!$U$14,F253),1)*IF(Upgrades!$T$15="Binary Partner",POWER(Upgrades!$U$15,G253),1)*IF(Upgrades!$T$16="Binary Partner",POWER(Upgrades!$U$16,H253),1)*IF(Upgrades!$T$17="Binary Partner",POWER(Upgrades!$U$17,I253),1)*IF(Upgrades!$T$19="Binary Partner",POWER(Upgrades!$U$19,K253),1)*IF(Upgrades!$T$20="Binary Partner",POWER(Upgrades!$U$20,L253),1)*IF(Upgrades!$T$21="Binary Partner",POWER(Upgrades!$U$21,M253),1))+(IF(K253=0,0,(Upgrades!$M$19+K253*Upgrades!$N$19)*POWER(Upgrades!$O$19,K253)))*(IF(Upgrades!$T$13="Peculiar Velocity",POWER(Upgrades!$U$13,E253),1)*IF(Upgrades!$T$14="Peculiar Velocity",POWER(Upgrades!$U$14,F253),1)*IF(Upgrades!$T$15="Peculiar Velocity",POWER(Upgrades!$U$15,G253),1)*IF(Upgrades!$T$16="Peculiar Velocity",POWER(Upgrades!$U$16,H253),1)*IF(Upgrades!$T$17="Peculiar Velocity",POWER(Upgrades!$U$17,I253),1)*IF(Upgrades!$T$18="Peculiar Velocity",POWER(Upgrades!$U$18,J253),1)*IF(Upgrades!$T$20="Peculiar Velocity",POWER(Upgrades!$U$20,L253),1)*IF(Upgrades!$T$21="Peculiar Velocity",POWER(Upgrades!$U$21,M253),1))+(IF(L253=0,0,(Upgrades!$M$20+L253*Upgrades!$N$20)*POWER(Upgrades!$O$20,L253)))*(IF(Upgrades!$T$13="Open Cluster",POWER(Upgrades!$U$13,E253),1)*IF(Upgrades!$T$14="Open Cluster",POWER(Upgrades!$U$14,F253),1)*IF(Upgrades!$T$15="Open Cluster",POWER(Upgrades!$U$15,G253),1)*IF(Upgrades!$T$16="Open Cluster",POWER(Upgrades!$U$16,H253),1)*IF(Upgrades!$T$17="Open Cluster",POWER(Upgrades!$U$17,I253),1)*IF(Upgrades!$T$18="Open Cluster",POWER(Upgrades!$U$18,J253),1)*IF(Upgrades!$T$19="Open Cluster",POWER(Upgrades!$U$19,K253),1)*IF(Upgrades!$T$21="Open Cluster",POWER(Upgrades!$U$21,M253),1))+(IF(M253=0,0,(Upgrades!$M$21+M253*Upgrades!$N$21)*POWER(Upgrades!$O$21,M253)))*(IF(Upgrades!$T$13="Moving Group",POWER(Upgrades!$U$13,E253),1)*IF(Upgrades!$T$14="Moving Group",POWER(Upgrades!$U$14,F253),1)*IF(Upgrades!$T$15="Moving Group",POWER(Upgrades!$U$15,G253),1)*IF(Upgrades!$T$16="Moving Group",POWER(Upgrades!$U$16,H253),1)*IF(Upgrades!$T$17="Moving Group",POWER(Upgrades!$U$17,I253),1)*IF(Upgrades!$T$18="Moving Group",POWER(Upgrades!$U$18,J253),1)*IF(Upgrades!$T$19="Moving Group",POWER(Upgrades!$U$19,K253),1)*IF(Upgrades!$T$20="Moving Group",POWER(Upgrades!$U$20,L253),1)))*POWER(Upgrades!$R$13,E253)*POWER(Upgrades!$R$14,F253)*POWER(Upgrades!$R$15,G253)*POWER(Upgrades!$R$16,H253)*POWER(Upgrades!$R$17,I253)*POWER(Upgrades!$R$18,J253)*POWER(Upgrades!$R$19,K253)*POWER(Upgrades!$R$20,L253)*POWER(Upgrades!$R$21,M253)*$H$6+$E$6</f>
        <v/>
      </c>
      <c r="R253" s="27">
        <f>IF(N253=1,0,O253*Parameters!$B$10/60*Parameters!$B$11*10)</f>
        <v/>
      </c>
      <c r="S253" s="27">
        <f>IF(N253=1,0,Q253*O253*10)</f>
        <v/>
      </c>
      <c r="T253" s="27">
        <f>IF(N253=1,0,R253+S253+P253*10)</f>
        <v/>
      </c>
      <c r="U253" s="33">
        <f>BE253</f>
        <v/>
      </c>
      <c r="V253" s="22">
        <f>IF(U253="",0,IF(U253="transition",0,IF(U253="SK",AK253,IF(U253="LB",AL253,IF(U253="ML",AM253,IF(U253="RLO",AN253,IF(U253="BD",AO253,IF(U253="BiP",AP253,IF(U253="PV",AQ253,IF(U253="OC",AR253,IF(U253="MG",AS253,0))))))))))</f>
        <v/>
      </c>
      <c r="W253" s="27">
        <f>IF(U253="BiP",Upgrades!$F$18,IF(U253="PV",Upgrades!$F$19,IF(U253="OC",Upgrades!$F$20,IF(U253="MG",Upgrades!$F$21,IF(U253="transition",-Parameters!$B$18*Parameters!$B$19,0)))))</f>
        <v/>
      </c>
      <c r="X253" s="22">
        <f>C253+T253-V253</f>
        <v/>
      </c>
      <c r="Y253" s="30">
        <f>O253*Parameters!$B$10/60*Parameters!$B$11+Q253*O253+P253</f>
        <v/>
      </c>
      <c r="Z253" s="34">
        <f>IF(U253="transition","→ Tier 3 (Galactic Arm)",IF(U253="MG","Moving Group — pocket drifts together",IF(U253="OC","Open Cluster acquired",IF(U253="PV","Peculiar Velocity — passive multiplier active",IF(U253="BiP","Binary Partner — pair bond formed",IF(AND(AU253=1,N253=0,AT253&lt;&gt;1),"Cohesion ready (waiting on completionists)","")))))) </f>
        <v/>
      </c>
      <c r="AA253" s="27">
        <f>(IF(E253=0,0,(Upgrades!$G$13+E253*Upgrades!$H$13)*POWER(Upgrades!$I$13,E253)))*(IF(Upgrades!$T$14="Stellar Kinematics",POWER(Upgrades!$U$14,F253),1)*IF(Upgrades!$T$15="Stellar Kinematics",POWER(Upgrades!$U$15,G253),1)*IF(Upgrades!$T$16="Stellar Kinematics",POWER(Upgrades!$U$16,H253),1)*IF(Upgrades!$T$17="Stellar Kinematics",POWER(Upgrades!$U$17,I253),1)*IF(Upgrades!$T$18="Stellar Kinematics",POWER(Upgrades!$U$18,J253),1)*IF(Upgrades!$T$19="Stellar Kinematics",POWER(Upgrades!$U$19,K253),1)*IF(Upgrades!$T$20="Stellar Kinematics",POWER(Upgrades!$U$20,L253),1)*IF(Upgrades!$T$21="Stellar Kinematics",POWER(Upgrades!$U$21,M253),1))*POWER(Upgrades!$P$13,E253)*POWER(Upgrades!$P$14,F253)*POWER(Upgrades!$P$15,G253)*POWER(Upgrades!$P$16,H253)*POWER(Upgrades!$P$17,I253)*POWER(Upgrades!$P$18,J253)*POWER(Upgrades!$P$19,K253)*POWER(Upgrades!$P$20,L253)*POWER(Upgrades!$P$21,M253)*$F$6*60</f>
        <v/>
      </c>
      <c r="AB253" s="27">
        <f>(IF(F253=0,0,(Upgrades!$G$14+F253*Upgrades!$H$14)*POWER(Upgrades!$I$14,F253)))*(IF(Upgrades!$T$13="Local Bubble",POWER(Upgrades!$U$13,E253),1)*IF(Upgrades!$T$15="Local Bubble",POWER(Upgrades!$U$15,G253),1)*IF(Upgrades!$T$16="Local Bubble",POWER(Upgrades!$U$16,H253),1)*IF(Upgrades!$T$17="Local Bubble",POWER(Upgrades!$U$17,I253),1)*IF(Upgrades!$T$18="Local Bubble",POWER(Upgrades!$U$18,J253),1)*IF(Upgrades!$T$19="Local Bubble",POWER(Upgrades!$U$19,K253),1)*IF(Upgrades!$T$20="Local Bubble",POWER(Upgrades!$U$20,L253),1)*IF(Upgrades!$T$21="Local Bubble",POWER(Upgrades!$U$21,M253),1))*POWER(Upgrades!$P$13,E253)*POWER(Upgrades!$P$14,F253)*POWER(Upgrades!$P$15,G253)*POWER(Upgrades!$P$16,H253)*POWER(Upgrades!$P$17,I253)*POWER(Upgrades!$P$18,J253)*POWER(Upgrades!$P$19,K253)*POWER(Upgrades!$P$20,L253)*POWER(Upgrades!$P$21,M253)*$F$6*60</f>
        <v/>
      </c>
      <c r="AC253" s="27">
        <f>(IF(G253=0,0,(Upgrades!$J$15+G253*Upgrades!$K$15)*POWER(Upgrades!$L$15,G253)))*(IF(Upgrades!$T$13="Microlensing",POWER(Upgrades!$U$13,E253),1)*IF(Upgrades!$T$14="Microlensing",POWER(Upgrades!$U$14,F253),1)*IF(Upgrades!$T$16="Microlensing",POWER(Upgrades!$U$16,H253),1)*IF(Upgrades!$T$17="Microlensing",POWER(Upgrades!$U$17,I253),1)*IF(Upgrades!$T$18="Microlensing",POWER(Upgrades!$U$18,J253),1)*IF(Upgrades!$T$19="Microlensing",POWER(Upgrades!$U$19,K253),1)*IF(Upgrades!$T$20="Microlensing",POWER(Upgrades!$U$20,L253),1)*IF(Upgrades!$T$21="Microlensing",POWER(Upgrades!$U$21,M253),1))*POWER(Upgrades!$Q$13,E253)*POWER(Upgrades!$Q$14,F253)*POWER(Upgrades!$Q$15,G253)*POWER(Upgrades!$Q$16,H253)*POWER(Upgrades!$Q$17,I253)*POWER(Upgrades!$Q$18,J253)*POWER(Upgrades!$Q$19,K253)*POWER(Upgrades!$Q$20,L253)*POWER(Upgrades!$Q$21,M253)*$G$6*(Parameters!$B$10*Parameters!$B$11+Q253*60)</f>
        <v/>
      </c>
      <c r="AD253" s="27">
        <f>(IF(H253=0,0,(Upgrades!$M$16+H253*Upgrades!$N$16)*POWER(Upgrades!$O$16,H253)))*(IF(Upgrades!$T$13="Roche Lobe Overflow",POWER(Upgrades!$U$13,E253),1)*IF(Upgrades!$T$14="Roche Lobe Overflow",POWER(Upgrades!$U$14,F253),1)*IF(Upgrades!$T$15="Roche Lobe Overflow",POWER(Upgrades!$U$15,G253),1)*IF(Upgrades!$T$17="Roche Lobe Overflow",POWER(Upgrades!$U$17,I253),1)*IF(Upgrades!$T$18="Roche Lobe Overflow",POWER(Upgrades!$U$18,J253),1)*IF(Upgrades!$T$19="Roche Lobe Overflow",POWER(Upgrades!$U$19,K253),1)*IF(Upgrades!$T$20="Roche Lobe Overflow",POWER(Upgrades!$U$20,L253),1)*IF(Upgrades!$T$21="Roche Lobe Overflow",POWER(Upgrades!$U$21,M253),1))*POWER(Upgrades!$R$13,E253)*POWER(Upgrades!$R$14,F253)*POWER(Upgrades!$R$15,G253)*POWER(Upgrades!$R$16,H253)*POWER(Upgrades!$R$17,I253)*POWER(Upgrades!$R$18,J253)*POWER(Upgrades!$R$19,K253)*POWER(Upgrades!$R$20,L253)*POWER(Upgrades!$R$21,M253)*$H$6*O253*60</f>
        <v/>
      </c>
      <c r="AE253" s="27">
        <f>(IF(I253=0,0,(Upgrades!$G$17+I253*Upgrades!$H$17)*POWER(Upgrades!$I$17,I253)))*(IF(Upgrades!$T$13="Brown Dwarf",POWER(Upgrades!$U$13,E253),1)*IF(Upgrades!$T$14="Brown Dwarf",POWER(Upgrades!$U$14,F253),1)*IF(Upgrades!$T$15="Brown Dwarf",POWER(Upgrades!$U$15,G253),1)*IF(Upgrades!$T$16="Brown Dwarf",POWER(Upgrades!$U$16,H253),1)*IF(Upgrades!$T$18="Brown Dwarf",POWER(Upgrades!$U$18,J253),1)*IF(Upgrades!$T$19="Brown Dwarf",POWER(Upgrades!$U$19,K253),1)*IF(Upgrades!$T$20="Brown Dwarf",POWER(Upgrades!$U$20,L253),1)*IF(Upgrades!$T$21="Brown Dwarf",POWER(Upgrades!$U$21,M253),1))*POWER(Upgrades!$P$13,E253)*POWER(Upgrades!$P$14,F253)*POWER(Upgrades!$P$15,G253)*POWER(Upgrades!$P$16,H253)*POWER(Upgrades!$P$17,I253)*POWER(Upgrades!$P$18,J253)*POWER(Upgrades!$P$19,K253)*POWER(Upgrades!$P$20,L253)*POWER(Upgrades!$P$21,M253)*$F$6*60</f>
        <v/>
      </c>
      <c r="AF253" s="27" t="n">
        <v>0</v>
      </c>
      <c r="AG253" s="27" t="n">
        <v>0</v>
      </c>
      <c r="AH253" s="27" t="n">
        <v>0</v>
      </c>
      <c r="AI253" s="27">
        <f>(IF(M253=0,0,(Upgrades!$G$21+M253*Upgrades!$H$21)*POWER(Upgrades!$I$21,M253)))*(IF(Upgrades!$T$13="Moving Group",POWER(Upgrades!$U$13,E253),1)*IF(Upgrades!$T$14="Moving Group",POWER(Upgrades!$U$14,F253),1)*IF(Upgrades!$T$15="Moving Group",POWER(Upgrades!$U$15,G253),1)*IF(Upgrades!$T$16="Moving Group",POWER(Upgrades!$U$16,H253),1)*IF(Upgrades!$T$17="Moving Group",POWER(Upgrades!$U$17,I253),1)*IF(Upgrades!$T$18="Moving Group",POWER(Upgrades!$U$18,J253),1)*IF(Upgrades!$T$19="Moving Group",POWER(Upgrades!$U$19,K253),1)*IF(Upgrades!$T$20="Moving Group",POWER(Upgrades!$U$20,L253),1))*POWER(Upgrades!$P$13,E253)*POWER(Upgrades!$P$14,F253)*POWER(Upgrades!$P$15,G253)*POWER(Upgrades!$P$16,H253)*POWER(Upgrades!$P$17,I253)*POWER(Upgrades!$P$18,J253)*POWER(Upgrades!$P$19,K253)*POWER(Upgrades!$P$20,L253)*POWER(Upgrades!$P$21,M253)*$F$6*60</f>
        <v/>
      </c>
      <c r="AJ253" s="27">
        <f>$C$6*60</f>
        <v/>
      </c>
      <c r="AK253" s="22">
        <f>IF(E253&gt;=Upgrades!$E$13,"",Upgrades!$C$13*POWER(Upgrades!$D$13,E253))</f>
        <v/>
      </c>
      <c r="AL253" s="22">
        <f>IF(F253&gt;=Upgrades!$E$14,"",Upgrades!$C$14*POWER(Upgrades!$D$14,F253))</f>
        <v/>
      </c>
      <c r="AM253" s="22">
        <f>IF(G253&gt;=Upgrades!$E$15,"",Upgrades!$C$15*POWER(Upgrades!$D$15,G253))</f>
        <v/>
      </c>
      <c r="AN253" s="22">
        <f>IF(H253&gt;=Upgrades!$E$16,"",Upgrades!$C$16*POWER(Upgrades!$D$16,H253))</f>
        <v/>
      </c>
      <c r="AO253" s="22">
        <f>IF(I253&gt;=Upgrades!$E$17,"",Upgrades!$C$17*POWER(Upgrades!$D$17,I253))</f>
        <v/>
      </c>
      <c r="AP253" s="22">
        <f>IF(J253&gt;=Upgrades!$E$18,"",Upgrades!$C$18*POWER(Upgrades!$D$18,J253))</f>
        <v/>
      </c>
      <c r="AQ253" s="22">
        <f>IF(K253&gt;=Upgrades!$E$19,"",Upgrades!$C$19*POWER(Upgrades!$D$19,K253))</f>
        <v/>
      </c>
      <c r="AR253" s="22">
        <f>IF(L253&gt;=Upgrades!$E$20,"",Upgrades!$C$20*POWER(Upgrades!$D$20,L253))</f>
        <v/>
      </c>
      <c r="AS253" s="22">
        <f>IF(M253&gt;=Upgrades!$E$21,"",Upgrades!$C$21*POWER(Upgrades!$D$21,M253))</f>
        <v/>
      </c>
      <c r="AT253" s="26">
        <f>IF(AND(D253&gt;=Parameters!$B$18*Parameters!$B$19,(I253&gt;=Upgrades!$E$17)*(M253&gt;=Upgrades!$E$21)=1,N253=0),1,"")</f>
        <v/>
      </c>
      <c r="AU253" s="26">
        <f>IF(AND(D253&gt;=Parameters!$B$18*Parameters!$B$19,N253=0),1,"")</f>
        <v/>
      </c>
      <c r="AV253" s="22">
        <f>MIN(IF(ISNUMBER(AP253),AP253,9E15),IF(ISNUMBER(AQ253),AQ253,9E15),IF(ISNUMBER(AR253),AR253,9E15),IF(ISNUMBER(AS253),AS253,9E15))</f>
        <v/>
      </c>
      <c r="AW253" s="22">
        <f>MIN(IF(ISNUMBER(AK253),AK253,9E15),IF(ISNUMBER(AL253),AL253,9E15),IF(ISNUMBER(AM253),AM253,9E15),IF(ISNUMBER(AN253),AN253,9E15),IF(ISNUMBER(AO253),AO253,9E15))</f>
        <v/>
      </c>
      <c r="AX253" s="29">
        <f>IF(BD253&gt;Parameters!$B$21*(MAX(IF(AND(NOT(AND(AU253=1,AT253&lt;&gt;1)),ISNUMBER(AK253),AK253&lt;=(C253+T253)),AY253,0),IF(AND(NOT(AND(AU253=1,AT253&lt;&gt;1)),ISNUMBER(AL253),AL253&lt;=(C253+T253)),AZ253,0),IF(AND(NOT(AND(AU253=1,AT253&lt;&gt;1)),ISNUMBER(AM253),AM253&lt;=(C253+T253)),BA253,0),IF(AND(NOT(AND(AU253=1,AT253&lt;&gt;1)),ISNUMBER(AN253),AN253&lt;=(C253+T253)),BB253,0),IF(AND(ISNUMBER(AO253),AO253&lt;=(C253+T253)),BC253,0))),TRUE,FALSE)</f>
        <v/>
      </c>
      <c r="AY253" s="32">
        <f>IFERROR(Upgrades!$H$13*(POWER(Upgrades!$P$13,E253)*POWER(Upgrades!$P$14,F253)*POWER(Upgrades!$P$15,G253)*POWER(Upgrades!$P$16,H253)*POWER(Upgrades!$P$17,I253)*POWER(Upgrades!$P$18,J253)*POWER(Upgrades!$P$19,K253)*POWER(Upgrades!$P$20,L253)*POWER(Upgrades!$P$21,M253))*(IF(Upgrades!$T$14="Stellar Kinematics",POWER(Upgrades!$U$14,F253),1)*IF(Upgrades!$T$15="Stellar Kinematics",POWER(Upgrades!$U$15,G253),1)*IF(Upgrades!$T$16="Stellar Kinematics",POWER(Upgrades!$U$16,H253),1)*IF(Upgrades!$T$17="Stellar Kinematics",POWER(Upgrades!$U$17,I253),1)*IF(Upgrades!$T$18="Stellar Kinematics",POWER(Upgrades!$U$18,J253),1)*IF(Upgrades!$T$19="Stellar Kinematics",POWER(Upgrades!$U$19,K253),1)*IF(Upgrades!$T$20="Stellar Kinematics",POWER(Upgrades!$U$20,L253),1)*IF(Upgrades!$T$21="Stellar Kinematics",POWER(Upgrades!$U$21,M253),1))*$F$6/AK253,0)</f>
        <v/>
      </c>
      <c r="AZ253" s="32">
        <f>IFERROR(Upgrades!$H$14*(POWER(Upgrades!$P$13,E253)*POWER(Upgrades!$P$14,F253)*POWER(Upgrades!$P$15,G253)*POWER(Upgrades!$P$16,H253)*POWER(Upgrades!$P$17,I253)*POWER(Upgrades!$P$18,J253)*POWER(Upgrades!$P$19,K253)*POWER(Upgrades!$P$20,L253)*POWER(Upgrades!$P$21,M253))*(IF(Upgrades!$T$13="Local Bubble",POWER(Upgrades!$U$13,E253),1)*IF(Upgrades!$T$15="Local Bubble",POWER(Upgrades!$U$15,G253),1)*IF(Upgrades!$T$16="Local Bubble",POWER(Upgrades!$U$16,H253),1)*IF(Upgrades!$T$17="Local Bubble",POWER(Upgrades!$U$17,I253),1)*IF(Upgrades!$T$18="Local Bubble",POWER(Upgrades!$U$18,J253),1)*IF(Upgrades!$T$19="Local Bubble",POWER(Upgrades!$U$19,K253),1)*IF(Upgrades!$T$20="Local Bubble",POWER(Upgrades!$U$20,L253),1)*IF(Upgrades!$T$21="Local Bubble",POWER(Upgrades!$U$21,M253),1))*$F$6/AL253,0)</f>
        <v/>
      </c>
      <c r="BA253" s="32">
        <f>IFERROR(Upgrades!$K$15*(POWER(Upgrades!$Q$13,E253)*POWER(Upgrades!$Q$14,F253)*POWER(Upgrades!$Q$15,G253)*POWER(Upgrades!$Q$16,H253)*POWER(Upgrades!$Q$17,I253)*POWER(Upgrades!$Q$18,J253)*POWER(Upgrades!$Q$19,K253)*POWER(Upgrades!$Q$20,L253)*POWER(Upgrades!$Q$21,M253))*(IF(Upgrades!$T$13="Microlensing",POWER(Upgrades!$U$13,E253),1)*IF(Upgrades!$T$14="Microlensing",POWER(Upgrades!$U$14,F253),1)*IF(Upgrades!$T$16="Microlensing",POWER(Upgrades!$U$16,H253),1)*IF(Upgrades!$T$17="Microlensing",POWER(Upgrades!$U$17,I253),1)*IF(Upgrades!$T$18="Microlensing",POWER(Upgrades!$U$18,J253),1)*IF(Upgrades!$T$19="Microlensing",POWER(Upgrades!$U$19,K253),1)*IF(Upgrades!$T$20="Microlensing",POWER(Upgrades!$U$20,L253),1)*IF(Upgrades!$T$21="Microlensing",POWER(Upgrades!$U$21,M253),1))*$G$6*(Parameters!$B$10/60*Parameters!$B$11+Q253)/AM253,0)</f>
        <v/>
      </c>
      <c r="BB253" s="32">
        <f>IFERROR((Upgrades!$N$16*(POWER(Upgrades!$R$13,E253)*POWER(Upgrades!$R$14,F253)*POWER(Upgrades!$R$15,G253)*POWER(Upgrades!$R$16,H253)*POWER(Upgrades!$R$17,I253)*POWER(Upgrades!$R$18,J253)*POWER(Upgrades!$R$19,K253)*POWER(Upgrades!$R$20,L253)*POWER(Upgrades!$R$21,M253))*(IF(Upgrades!$T$13="Roche Lobe Overflow",POWER(Upgrades!$U$13,E253),1)*IF(Upgrades!$T$14="Roche Lobe Overflow",POWER(Upgrades!$U$14,F253),1)*IF(Upgrades!$T$15="Roche Lobe Overflow",POWER(Upgrades!$U$15,G253),1)*IF(Upgrades!$T$17="Roche Lobe Overflow",POWER(Upgrades!$U$17,I253),1)*IF(Upgrades!$T$18="Roche Lobe Overflow",POWER(Upgrades!$U$18,J253),1)*IF(Upgrades!$T$19="Roche Lobe Overflow",POWER(Upgrades!$U$19,K253),1)*IF(Upgrades!$T$20="Roche Lobe Overflow",POWER(Upgrades!$U$20,L253),1)*IF(Upgrades!$T$21="Roche Lobe Overflow",POWER(Upgrades!$U$21,M253),1))*$H$6*O253+((IF(F253=0,0,(Upgrades!$G$14+F253*Upgrades!$H$14)*POWER(Upgrades!$I$14,F253)))*(IF(Upgrades!$T$13="Local Bubble",POWER(Upgrades!$U$13,E253),1)*IF(Upgrades!$T$15="Local Bubble",POWER(Upgrades!$U$15,G253),1)*IF(Upgrades!$T$16="Local Bubble",POWER(Upgrades!$U$16,H253),1)*IF(Upgrades!$T$17="Local Bubble",POWER(Upgrades!$U$17,I253),1)*IF(Upgrades!$T$18="Local Bubble",POWER(Upgrades!$U$18,J253),1)*IF(Upgrades!$T$19="Local Bubble",POWER(Upgrades!$U$19,K253),1)*IF(Upgrades!$T$20="Local Bubble",POWER(Upgrades!$U$20,L253),1)*IF(Upgrades!$T$21="Local Bubble",POWER(Upgrades!$U$21,M253),1))*POWER(Upgrades!$P$13,E253)*POWER(Upgrades!$P$14,F253)*POWER(Upgrades!$P$15,G253)*POWER(Upgrades!$P$16,H253)*POWER(Upgrades!$P$17,I253)*POWER(Upgrades!$P$18,J253)*POWER(Upgrades!$P$19,K253)*POWER(Upgrades!$P$20,L253)*POWER(Upgrades!$P$21,M253)*$F$6)*0.05)/AN253,0)</f>
        <v/>
      </c>
      <c r="BC253" s="32">
        <f>IFERROR((Upgrades!$H$17*(POWER(Upgrades!$P$13,E253)*POWER(Upgrades!$P$14,F253)*POWER(Upgrades!$P$15,G253)*POWER(Upgrades!$P$16,H253)*POWER(Upgrades!$P$17,I253)*POWER(Upgrades!$P$18,J253)*POWER(Upgrades!$P$19,K253)*POWER(Upgrades!$P$20,L253)*POWER(Upgrades!$P$21,M253))*(IF(Upgrades!$T$13="Brown Dwarf",POWER(Upgrades!$U$13,E253),1)*IF(Upgrades!$T$14="Brown Dwarf",POWER(Upgrades!$U$14,F253),1)*IF(Upgrades!$T$15="Brown Dwarf",POWER(Upgrades!$U$15,G253),1)*IF(Upgrades!$T$16="Brown Dwarf",POWER(Upgrades!$U$16,H253),1)*IF(Upgrades!$T$18="Brown Dwarf",POWER(Upgrades!$U$18,J253),1)*IF(Upgrades!$T$19="Brown Dwarf",POWER(Upgrades!$U$19,K253),1)*IF(Upgrades!$T$20="Brown Dwarf",POWER(Upgrades!$U$20,L253),1)*IF(Upgrades!$T$21="Brown Dwarf",POWER(Upgrades!$U$21,M253),1))*$F$6+(((IF(H253=0,0,(Upgrades!$M$16+H253*Upgrades!$N$16)*POWER(Upgrades!$O$16,H253)))*(IF(Upgrades!$T$13="Roche Lobe Overflow",POWER(Upgrades!$U$13,E253),1)*IF(Upgrades!$T$14="Roche Lobe Overflow",POWER(Upgrades!$U$14,F253),1)*IF(Upgrades!$T$15="Roche Lobe Overflow",POWER(Upgrades!$U$15,G253),1)*IF(Upgrades!$T$17="Roche Lobe Overflow",POWER(Upgrades!$U$17,I253),1)*IF(Upgrades!$T$18="Roche Lobe Overflow",POWER(Upgrades!$U$18,J253),1)*IF(Upgrades!$T$19="Roche Lobe Overflow",POWER(Upgrades!$U$19,K253),1)*IF(Upgrades!$T$20="Roche Lobe Overflow",POWER(Upgrades!$U$20,L253),1)*IF(Upgrades!$T$21="Roche Lobe Overflow",POWER(Upgrades!$U$21,M253),1))*POWER(Upgrades!$R$13,E253)*POWER(Upgrades!$R$14,F253)*POWER(Upgrades!$R$15,G253)*POWER(Upgrades!$R$16,H253)*POWER(Upgrades!$R$17,I253)*POWER(Upgrades!$R$18,J253)*POWER(Upgrades!$R$19,K253)*POWER(Upgrades!$R$20,L253)*POWER(Upgrades!$R$21,M253)*$H$6)*O253)*0.10)/AO253,0)</f>
        <v/>
      </c>
      <c r="BD253" s="32">
        <f>MAX(IF(J253&gt;0,0,IFERROR(0.5*((IF(G253=0,0,(Upgrades!$J$15+G253*Upgrades!$K$15)*POWER(Upgrades!$L$15,G253)))*(IF(Upgrades!$T$13="Microlensing",POWER(Upgrades!$U$13,E253),1)*IF(Upgrades!$T$14="Microlensing",POWER(Upgrades!$U$14,F253),1)*IF(Upgrades!$T$16="Microlensing",POWER(Upgrades!$U$16,H253),1)*IF(Upgrades!$T$17="Microlensing",POWER(Upgrades!$U$17,I253),1)*IF(Upgrades!$T$18="Microlensing",POWER(Upgrades!$U$18,J253),1)*IF(Upgrades!$T$19="Microlensing",POWER(Upgrades!$U$19,K253),1)*IF(Upgrades!$T$20="Microlensing",POWER(Upgrades!$U$20,L253),1)*IF(Upgrades!$T$21="Microlensing",POWER(Upgrades!$U$21,M253),1))*(POWER(Upgrades!$Q$13,E253)*POWER(Upgrades!$Q$14,F253)*POWER(Upgrades!$Q$15,G253)*POWER(Upgrades!$Q$16,H253)*POWER(Upgrades!$Q$17,I253)*POWER(Upgrades!$Q$18,J253)*POWER(Upgrades!$Q$19,K253)*POWER(Upgrades!$Q$20,L253)*POWER(Upgrades!$Q$21,M253))*$G$6*(Parameters!$B$10/60*Parameters!$B$11+Q253))/Upgrades!$C$18,0)),IF(K253&gt;0,0,IFERROR(0.30*P253/Upgrades!$C$19,0)),IF(L253&gt;0,0,IFERROR(0.0001/Upgrades!$C$20,0)),IF(M253&gt;0,0,IFERROR((6.0*(POWER(Upgrades!$P$13,E253)*POWER(Upgrades!$P$14,F253)*POWER(Upgrades!$P$15,G253)*POWER(Upgrades!$P$16,H253)*POWER(Upgrades!$P$17,I253)*POWER(Upgrades!$P$18,J253)*POWER(Upgrades!$P$19,K253)*POWER(Upgrades!$P$20,L253)*POWER(Upgrades!$P$21,M253))*$F$6+0.20*O253*(Parameters!$B$10/60*Parameters!$B$11+Q253))/Upgrades!$C$21,0)),IF(AND(ISNUMBER(AK253),AK253&gt;(C253+T253)),AY253,0),IF(AND(ISNUMBER(AL253),AL253&gt;(C253+T253)),AZ253,0),IF(AND(ISNUMBER(AM253),AM253&gt;(C253+T253)),BA253,0),IF(AND(ISNUMBER(AN253),AN253&gt;(C253+T253)),BB253,0),IF(AND(ISNUMBER(AO253),AO253&gt;(C253+T253)),BC253,0))</f>
        <v/>
      </c>
      <c r="BE253" s="29">
        <f>IF(AT253=1,"transition",IF(MIN(IF(AND(J253=0,ISNUMBER(AP253),AP253&lt;=(C253+T253)),AP253,9E15),IF(AND(K253=0,ISNUMBER(AQ253),AQ253&lt;=(C253+T253)),AQ253,9E15),IF(AND(L253=0,ISNUMBER(AR253),AR253&lt;=(C253+T253)),AR253,9E15),IF(AND(M253=0,ISNUMBER(AS253),AS253&lt;=(C253+T253)),AS253,9E15))&lt;9E15,IF(AND(AND(J253=0,ISNUMBER(AP253),AP253&lt;=(C253+T253)),AP253=MIN(IF(AND(J253=0,ISNUMBER(AP253),AP253&lt;=(C253+T253)),AP253,9E15),IF(AND(K253=0,ISNUMBER(AQ253),AQ253&lt;=(C253+T253)),AQ253,9E15),IF(AND(L253=0,ISNUMBER(AR253),AR253&lt;=(C253+T253)),AR253,9E15),IF(AND(M253=0,ISNUMBER(AS253),AS253&lt;=(C253+T253)),AS253,9E15))),"BiP",IF(AND(AND(K253=0,ISNUMBER(AQ253),AQ253&lt;=(C253+T253)),AQ253=MIN(IF(AND(J253=0,ISNUMBER(AP253),AP253&lt;=(C253+T253)),AP253,9E15),IF(AND(K253=0,ISNUMBER(AQ253),AQ253&lt;=(C253+T253)),AQ253,9E15),IF(AND(L253=0,ISNUMBER(AR253),AR253&lt;=(C253+T253)),AR253,9E15),IF(AND(M253=0,ISNUMBER(AS253),AS253&lt;=(C253+T253)),AS253,9E15))),"PV",IF(AND(AND(L253=0,ISNUMBER(AR253),AR253&lt;=(C253+T253)),AR253=MIN(IF(AND(J253=0,ISNUMBER(AP253),AP253&lt;=(C253+T253)),AP253,9E15),IF(AND(K253=0,ISNUMBER(AQ253),AQ253&lt;=(C253+T253)),AQ253,9E15),IF(AND(L253=0,ISNUMBER(AR253),AR253&lt;=(C253+T253)),AR253,9E15),IF(AND(M253=0,ISNUMBER(AS253),AS253&lt;=(C253+T253)),AS253,9E15))),"OC","MG"))),IF(AX253=TRUE,"",IF(MAX(IF(AND(NOT(AND(AU253=1,AT253&lt;&gt;1)),ISNUMBER(AK253),AK253&lt;=(C253+T253)),AY253,0),IF(AND(NOT(AND(AU253=1,AT253&lt;&gt;1)),ISNUMBER(AL253),AL253&lt;=(C253+T253)),AZ253,0),IF(AND(NOT(AND(AU253=1,AT253&lt;&gt;1)),ISNUMBER(AM253),AM253&lt;=(C253+T253)),BA253,0),IF(AND(NOT(AND(AU253=1,AT253&lt;&gt;1)),ISNUMBER(AN253),AN253&lt;=(C253+T253)),BB253,0),IF(AND(ISNUMBER(AO253),AO253&lt;=(C253+T253)),BC253,0))&lt;=0,"",IF(AND(IF(AND(NOT(AND(AU253=1,AT253&lt;&gt;1)),ISNUMBER(AK253),AK253&lt;=(C253+T253)),AY253,0)&gt;0,IF(AND(NOT(AND(AU253=1,AT253&lt;&gt;1)),ISNUMBER(AK253),AK253&lt;=(C253+T253)),AY253,0)=MAX(IF(AND(NOT(AND(AU253=1,AT253&lt;&gt;1)),ISNUMBER(AK253),AK253&lt;=(C253+T253)),AY253,0),IF(AND(NOT(AND(AU253=1,AT253&lt;&gt;1)),ISNUMBER(AL253),AL253&lt;=(C253+T253)),AZ253,0),IF(AND(NOT(AND(AU253=1,AT253&lt;&gt;1)),ISNUMBER(AM253),AM253&lt;=(C253+T253)),BA253,0),IF(AND(NOT(AND(AU253=1,AT253&lt;&gt;1)),ISNUMBER(AN253),AN253&lt;=(C253+T253)),BB253,0),IF(AND(ISNUMBER(AO253),AO253&lt;=(C253+T253)),BC253,0))),"SK",IF(AND(IF(AND(NOT(AND(AU253=1,AT253&lt;&gt;1)),ISNUMBER(AL253),AL253&lt;=(C253+T253)),AZ253,0)&gt;0,IF(AND(NOT(AND(AU253=1,AT253&lt;&gt;1)),ISNUMBER(AL253),AL253&lt;=(C253+T253)),AZ253,0)=MAX(IF(AND(NOT(AND(AU253=1,AT253&lt;&gt;1)),ISNUMBER(AK253),AK253&lt;=(C253+T253)),AY253,0),IF(AND(NOT(AND(AU253=1,AT253&lt;&gt;1)),ISNUMBER(AL253),AL253&lt;=(C253+T253)),AZ253,0),IF(AND(NOT(AND(AU253=1,AT253&lt;&gt;1)),ISNUMBER(AM253),AM253&lt;=(C253+T253)),BA253,0),IF(AND(NOT(AND(AU253=1,AT253&lt;&gt;1)),ISNUMBER(AN253),AN253&lt;=(C253+T253)),BB253,0),IF(AND(ISNUMBER(AO253),AO253&lt;=(C253+T253)),BC253,0))),"LB",IF(AND(IF(AND(NOT(AND(AU253=1,AT253&lt;&gt;1)),ISNUMBER(AM253),AM253&lt;=(C253+T253)),BA253,0)&gt;0,IF(AND(NOT(AND(AU253=1,AT253&lt;&gt;1)),ISNUMBER(AM253),AM253&lt;=(C253+T253)),BA253,0)=MAX(IF(AND(NOT(AND(AU253=1,AT253&lt;&gt;1)),ISNUMBER(AK253),AK253&lt;=(C253+T253)),AY253,0),IF(AND(NOT(AND(AU253=1,AT253&lt;&gt;1)),ISNUMBER(AL253),AL253&lt;=(C253+T253)),AZ253,0),IF(AND(NOT(AND(AU253=1,AT253&lt;&gt;1)),ISNUMBER(AM253),AM253&lt;=(C253+T253)),BA253,0),IF(AND(NOT(AND(AU253=1,AT253&lt;&gt;1)),ISNUMBER(AN253),AN253&lt;=(C253+T253)),BB253,0),IF(AND(ISNUMBER(AO253),AO253&lt;=(C253+T253)),BC253,0))),"ML",IF(AND(IF(AND(NOT(AND(AU253=1,AT253&lt;&gt;1)),ISNUMBER(AN253),AN253&lt;=(C253+T253)),BB253,0)&gt;0,IF(AND(NOT(AND(AU253=1,AT253&lt;&gt;1)),ISNUMBER(AN253),AN253&lt;=(C253+T253)),BB253,0)=MAX(IF(AND(NOT(AND(AU253=1,AT253&lt;&gt;1)),ISNUMBER(AK253),AK253&lt;=(C253+T253)),AY253,0),IF(AND(NOT(AND(AU253=1,AT253&lt;&gt;1)),ISNUMBER(AL253),AL253&lt;=(C253+T253)),AZ253,0),IF(AND(NOT(AND(AU253=1,AT253&lt;&gt;1)),ISNUMBER(AM253),AM253&lt;=(C253+T253)),BA253,0),IF(AND(NOT(AND(AU253=1,AT253&lt;&gt;1)),ISNUMBER(AN253),AN253&lt;=(C253+T253)),BB253,0),IF(AND(ISNUMBER(AO253),AO253&lt;=(C253+T253)),BC253,0))),"RLO","BD"))))))))</f>
        <v/>
      </c>
    </row>
    <row r="254">
      <c r="A254" s="26" t="n">
        <v>243</v>
      </c>
      <c r="B254" s="27">
        <f>A254*10/60</f>
        <v/>
      </c>
      <c r="C254" s="22">
        <f>X253</f>
        <v/>
      </c>
      <c r="D254" s="27">
        <f>D253+W253</f>
        <v/>
      </c>
      <c r="E254" s="26">
        <f>E253+IF(U253="SK",1,0)</f>
        <v/>
      </c>
      <c r="F254" s="26">
        <f>F253+IF(U253="LB",1,0)</f>
        <v/>
      </c>
      <c r="G254" s="26">
        <f>G253+IF(U253="ML",1,0)</f>
        <v/>
      </c>
      <c r="H254" s="26">
        <f>H253+IF(U253="RLO",1,0)</f>
        <v/>
      </c>
      <c r="I254" s="26">
        <f>I253+IF(U253="BD",1,0)</f>
        <v/>
      </c>
      <c r="J254" s="26">
        <f>MAX(J253,IF(U253="BiP",1,0))</f>
        <v/>
      </c>
      <c r="K254" s="26">
        <f>MAX(K253,IF(U253="PV",1,0))</f>
        <v/>
      </c>
      <c r="L254" s="26">
        <f>MAX(L253,IF(U253="OC",1,0))</f>
        <v/>
      </c>
      <c r="M254" s="26">
        <f>MAX(M253,IF(U253="MG",1,0))</f>
        <v/>
      </c>
      <c r="N254" s="26">
        <f>MAX(N253,IF(U253="transition",1,0))</f>
        <v/>
      </c>
      <c r="O254" s="28">
        <f>(Parameters!$B$9+(IF(E254=0,0,(Upgrades!$J$13+E254*Upgrades!$K$13)*POWER(Upgrades!$L$13,E254)))*(IF(Upgrades!$T$14="Stellar Kinematics",POWER(Upgrades!$U$14,F254),1)*IF(Upgrades!$T$15="Stellar Kinematics",POWER(Upgrades!$U$15,G254),1)*IF(Upgrades!$T$16="Stellar Kinematics",POWER(Upgrades!$U$16,H254),1)*IF(Upgrades!$T$17="Stellar Kinematics",POWER(Upgrades!$U$17,I254),1)*IF(Upgrades!$T$18="Stellar Kinematics",POWER(Upgrades!$U$18,J254),1)*IF(Upgrades!$T$19="Stellar Kinematics",POWER(Upgrades!$U$19,K254),1)*IF(Upgrades!$T$20="Stellar Kinematics",POWER(Upgrades!$U$20,L254),1)*IF(Upgrades!$T$21="Stellar Kinematics",POWER(Upgrades!$U$21,M254),1))+(IF(F254=0,0,(Upgrades!$J$14+F254*Upgrades!$K$14)*POWER(Upgrades!$L$14,F254)))*(IF(Upgrades!$T$13="Local Bubble",POWER(Upgrades!$U$13,E254),1)*IF(Upgrades!$T$15="Local Bubble",POWER(Upgrades!$U$15,G254),1)*IF(Upgrades!$T$16="Local Bubble",POWER(Upgrades!$U$16,H254),1)*IF(Upgrades!$T$17="Local Bubble",POWER(Upgrades!$U$17,I254),1)*IF(Upgrades!$T$18="Local Bubble",POWER(Upgrades!$U$18,J254),1)*IF(Upgrades!$T$19="Local Bubble",POWER(Upgrades!$U$19,K254),1)*IF(Upgrades!$T$20="Local Bubble",POWER(Upgrades!$U$20,L254),1)*IF(Upgrades!$T$21="Local Bubble",POWER(Upgrades!$U$21,M254),1))+(IF(G254=0,0,(Upgrades!$J$15+G254*Upgrades!$K$15)*POWER(Upgrades!$L$15,G254)))*(IF(Upgrades!$T$13="Microlensing",POWER(Upgrades!$U$13,E254),1)*IF(Upgrades!$T$14="Microlensing",POWER(Upgrades!$U$14,F254),1)*IF(Upgrades!$T$16="Microlensing",POWER(Upgrades!$U$16,H254),1)*IF(Upgrades!$T$17="Microlensing",POWER(Upgrades!$U$17,I254),1)*IF(Upgrades!$T$18="Microlensing",POWER(Upgrades!$U$18,J254),1)*IF(Upgrades!$T$19="Microlensing",POWER(Upgrades!$U$19,K254),1)*IF(Upgrades!$T$20="Microlensing",POWER(Upgrades!$U$20,L254),1)*IF(Upgrades!$T$21="Microlensing",POWER(Upgrades!$U$21,M254),1))+(IF(H254=0,0,(Upgrades!$J$16+H254*Upgrades!$K$16)*POWER(Upgrades!$L$16,H254)))*(IF(Upgrades!$T$13="Roche Lobe Overflow",POWER(Upgrades!$U$13,E254),1)*IF(Upgrades!$T$14="Roche Lobe Overflow",POWER(Upgrades!$U$14,F254),1)*IF(Upgrades!$T$15="Roche Lobe Overflow",POWER(Upgrades!$U$15,G254),1)*IF(Upgrades!$T$17="Roche Lobe Overflow",POWER(Upgrades!$U$17,I254),1)*IF(Upgrades!$T$18="Roche Lobe Overflow",POWER(Upgrades!$U$18,J254),1)*IF(Upgrades!$T$19="Roche Lobe Overflow",POWER(Upgrades!$U$19,K254),1)*IF(Upgrades!$T$20="Roche Lobe Overflow",POWER(Upgrades!$U$20,L254),1)*IF(Upgrades!$T$21="Roche Lobe Overflow",POWER(Upgrades!$U$21,M254),1))+(IF(I254=0,0,(Upgrades!$J$17+I254*Upgrades!$K$17)*POWER(Upgrades!$L$17,I254)))*(IF(Upgrades!$T$13="Brown Dwarf",POWER(Upgrades!$U$13,E254),1)*IF(Upgrades!$T$14="Brown Dwarf",POWER(Upgrades!$U$14,F254),1)*IF(Upgrades!$T$15="Brown Dwarf",POWER(Upgrades!$U$15,G254),1)*IF(Upgrades!$T$16="Brown Dwarf",POWER(Upgrades!$U$16,H254),1)*IF(Upgrades!$T$18="Brown Dwarf",POWER(Upgrades!$U$18,J254),1)*IF(Upgrades!$T$19="Brown Dwarf",POWER(Upgrades!$U$19,K254),1)*IF(Upgrades!$T$20="Brown Dwarf",POWER(Upgrades!$U$20,L254),1)*IF(Upgrades!$T$21="Brown Dwarf",POWER(Upgrades!$U$21,M254),1))+(IF(J254=0,0,(Upgrades!$J$18+J254*Upgrades!$K$18)*POWER(Upgrades!$L$18,J254)))*(IF(Upgrades!$T$13="Binary Partner",POWER(Upgrades!$U$13,E254),1)*IF(Upgrades!$T$14="Binary Partner",POWER(Upgrades!$U$14,F254),1)*IF(Upgrades!$T$15="Binary Partner",POWER(Upgrades!$U$15,G254),1)*IF(Upgrades!$T$16="Binary Partner",POWER(Upgrades!$U$16,H254),1)*IF(Upgrades!$T$17="Binary Partner",POWER(Upgrades!$U$17,I254),1)*IF(Upgrades!$T$19="Binary Partner",POWER(Upgrades!$U$19,K254),1)*IF(Upgrades!$T$20="Binary Partner",POWER(Upgrades!$U$20,L254),1)*IF(Upgrades!$T$21="Binary Partner",POWER(Upgrades!$U$21,M254),1))+(IF(K254=0,0,(Upgrades!$J$19+K254*Upgrades!$K$19)*POWER(Upgrades!$L$19,K254)))*(IF(Upgrades!$T$13="Peculiar Velocity",POWER(Upgrades!$U$13,E254),1)*IF(Upgrades!$T$14="Peculiar Velocity",POWER(Upgrades!$U$14,F254),1)*IF(Upgrades!$T$15="Peculiar Velocity",POWER(Upgrades!$U$15,G254),1)*IF(Upgrades!$T$16="Peculiar Velocity",POWER(Upgrades!$U$16,H254),1)*IF(Upgrades!$T$17="Peculiar Velocity",POWER(Upgrades!$U$17,I254),1)*IF(Upgrades!$T$18="Peculiar Velocity",POWER(Upgrades!$U$18,J254),1)*IF(Upgrades!$T$20="Peculiar Velocity",POWER(Upgrades!$U$20,L254),1)*IF(Upgrades!$T$21="Peculiar Velocity",POWER(Upgrades!$U$21,M254),1))+(IF(L254=0,0,(Upgrades!$J$20+L254*Upgrades!$K$20)*POWER(Upgrades!$L$20,L254)))*(IF(Upgrades!$T$13="Open Cluster",POWER(Upgrades!$U$13,E254),1)*IF(Upgrades!$T$14="Open Cluster",POWER(Upgrades!$U$14,F254),1)*IF(Upgrades!$T$15="Open Cluster",POWER(Upgrades!$U$15,G254),1)*IF(Upgrades!$T$16="Open Cluster",POWER(Upgrades!$U$16,H254),1)*IF(Upgrades!$T$17="Open Cluster",POWER(Upgrades!$U$17,I254),1)*IF(Upgrades!$T$18="Open Cluster",POWER(Upgrades!$U$18,J254),1)*IF(Upgrades!$T$19="Open Cluster",POWER(Upgrades!$U$19,K254),1)*IF(Upgrades!$T$21="Open Cluster",POWER(Upgrades!$U$21,M254),1))+(IF(M254=0,0,(Upgrades!$J$21+M254*Upgrades!$K$21)*POWER(Upgrades!$L$21,M254)))*(IF(Upgrades!$T$13="Moving Group",POWER(Upgrades!$U$13,E254),1)*IF(Upgrades!$T$14="Moving Group",POWER(Upgrades!$U$14,F254),1)*IF(Upgrades!$T$15="Moving Group",POWER(Upgrades!$U$15,G254),1)*IF(Upgrades!$T$16="Moving Group",POWER(Upgrades!$U$16,H254),1)*IF(Upgrades!$T$17="Moving Group",POWER(Upgrades!$U$17,I254),1)*IF(Upgrades!$T$18="Moving Group",POWER(Upgrades!$U$18,J254),1)*IF(Upgrades!$T$19="Moving Group",POWER(Upgrades!$U$19,K254),1)*IF(Upgrades!$T$20="Moving Group",POWER(Upgrades!$U$20,L254),1)))*POWER(Upgrades!$Q$13,E254)*POWER(Upgrades!$Q$14,F254)*POWER(Upgrades!$Q$15,G254)*POWER(Upgrades!$Q$16,H254)*POWER(Upgrades!$Q$17,I254)*POWER(Upgrades!$Q$18,J254)*POWER(Upgrades!$Q$19,K254)*POWER(Upgrades!$Q$20,L254)*POWER(Upgrades!$Q$21,M254)*$G$6+$D$6</f>
        <v/>
      </c>
      <c r="P254" s="28">
        <f>((IF(E254=0,0,(Upgrades!$G$13+E254*Upgrades!$H$13)*POWER(Upgrades!$I$13,E254)))*(IF(Upgrades!$T$14="Stellar Kinematics",POWER(Upgrades!$U$14,F254),1)*IF(Upgrades!$T$15="Stellar Kinematics",POWER(Upgrades!$U$15,G254),1)*IF(Upgrades!$T$16="Stellar Kinematics",POWER(Upgrades!$U$16,H254),1)*IF(Upgrades!$T$17="Stellar Kinematics",POWER(Upgrades!$U$17,I254),1)*IF(Upgrades!$T$18="Stellar Kinematics",POWER(Upgrades!$U$18,J254),1)*IF(Upgrades!$T$19="Stellar Kinematics",POWER(Upgrades!$U$19,K254),1)*IF(Upgrades!$T$20="Stellar Kinematics",POWER(Upgrades!$U$20,L254),1)*IF(Upgrades!$T$21="Stellar Kinematics",POWER(Upgrades!$U$21,M254),1))+(IF(F254=0,0,(Upgrades!$G$14+F254*Upgrades!$H$14)*POWER(Upgrades!$I$14,F254)))*(IF(Upgrades!$T$13="Local Bubble",POWER(Upgrades!$U$13,E254),1)*IF(Upgrades!$T$15="Local Bubble",POWER(Upgrades!$U$15,G254),1)*IF(Upgrades!$T$16="Local Bubble",POWER(Upgrades!$U$16,H254),1)*IF(Upgrades!$T$17="Local Bubble",POWER(Upgrades!$U$17,I254),1)*IF(Upgrades!$T$18="Local Bubble",POWER(Upgrades!$U$18,J254),1)*IF(Upgrades!$T$19="Local Bubble",POWER(Upgrades!$U$19,K254),1)*IF(Upgrades!$T$20="Local Bubble",POWER(Upgrades!$U$20,L254),1)*IF(Upgrades!$T$21="Local Bubble",POWER(Upgrades!$U$21,M254),1))+(IF(G254=0,0,(Upgrades!$G$15+G254*Upgrades!$H$15)*POWER(Upgrades!$I$15,G254)))*(IF(Upgrades!$T$13="Microlensing",POWER(Upgrades!$U$13,E254),1)*IF(Upgrades!$T$14="Microlensing",POWER(Upgrades!$U$14,F254),1)*IF(Upgrades!$T$16="Microlensing",POWER(Upgrades!$U$16,H254),1)*IF(Upgrades!$T$17="Microlensing",POWER(Upgrades!$U$17,I254),1)*IF(Upgrades!$T$18="Microlensing",POWER(Upgrades!$U$18,J254),1)*IF(Upgrades!$T$19="Microlensing",POWER(Upgrades!$U$19,K254),1)*IF(Upgrades!$T$20="Microlensing",POWER(Upgrades!$U$20,L254),1)*IF(Upgrades!$T$21="Microlensing",POWER(Upgrades!$U$21,M254),1))+(IF(H254=0,0,(Upgrades!$G$16+H254*Upgrades!$H$16)*POWER(Upgrades!$I$16,H254)))*(IF(Upgrades!$T$13="Roche Lobe Overflow",POWER(Upgrades!$U$13,E254),1)*IF(Upgrades!$T$14="Roche Lobe Overflow",POWER(Upgrades!$U$14,F254),1)*IF(Upgrades!$T$15="Roche Lobe Overflow",POWER(Upgrades!$U$15,G254),1)*IF(Upgrades!$T$17="Roche Lobe Overflow",POWER(Upgrades!$U$17,I254),1)*IF(Upgrades!$T$18="Roche Lobe Overflow",POWER(Upgrades!$U$18,J254),1)*IF(Upgrades!$T$19="Roche Lobe Overflow",POWER(Upgrades!$U$19,K254),1)*IF(Upgrades!$T$20="Roche Lobe Overflow",POWER(Upgrades!$U$20,L254),1)*IF(Upgrades!$T$21="Roche Lobe Overflow",POWER(Upgrades!$U$21,M254),1))+(IF(I254=0,0,(Upgrades!$G$17+I254*Upgrades!$H$17)*POWER(Upgrades!$I$17,I254)))*(IF(Upgrades!$T$13="Brown Dwarf",POWER(Upgrades!$U$13,E254),1)*IF(Upgrades!$T$14="Brown Dwarf",POWER(Upgrades!$U$14,F254),1)*IF(Upgrades!$T$15="Brown Dwarf",POWER(Upgrades!$U$15,G254),1)*IF(Upgrades!$T$16="Brown Dwarf",POWER(Upgrades!$U$16,H254),1)*IF(Upgrades!$T$18="Brown Dwarf",POWER(Upgrades!$U$18,J254),1)*IF(Upgrades!$T$19="Brown Dwarf",POWER(Upgrades!$U$19,K254),1)*IF(Upgrades!$T$20="Brown Dwarf",POWER(Upgrades!$U$20,L254),1)*IF(Upgrades!$T$21="Brown Dwarf",POWER(Upgrades!$U$21,M254),1))+(IF(J254=0,0,(Upgrades!$G$18+J254*Upgrades!$H$18)*POWER(Upgrades!$I$18,J254)))*(IF(Upgrades!$T$13="Binary Partner",POWER(Upgrades!$U$13,E254),1)*IF(Upgrades!$T$14="Binary Partner",POWER(Upgrades!$U$14,F254),1)*IF(Upgrades!$T$15="Binary Partner",POWER(Upgrades!$U$15,G254),1)*IF(Upgrades!$T$16="Binary Partner",POWER(Upgrades!$U$16,H254),1)*IF(Upgrades!$T$17="Binary Partner",POWER(Upgrades!$U$17,I254),1)*IF(Upgrades!$T$19="Binary Partner",POWER(Upgrades!$U$19,K254),1)*IF(Upgrades!$T$20="Binary Partner",POWER(Upgrades!$U$20,L254),1)*IF(Upgrades!$T$21="Binary Partner",POWER(Upgrades!$U$21,M254),1))+(IF(K254=0,0,(Upgrades!$G$19+K254*Upgrades!$H$19)*POWER(Upgrades!$I$19,K254)))*(IF(Upgrades!$T$13="Peculiar Velocity",POWER(Upgrades!$U$13,E254),1)*IF(Upgrades!$T$14="Peculiar Velocity",POWER(Upgrades!$U$14,F254),1)*IF(Upgrades!$T$15="Peculiar Velocity",POWER(Upgrades!$U$15,G254),1)*IF(Upgrades!$T$16="Peculiar Velocity",POWER(Upgrades!$U$16,H254),1)*IF(Upgrades!$T$17="Peculiar Velocity",POWER(Upgrades!$U$17,I254),1)*IF(Upgrades!$T$18="Peculiar Velocity",POWER(Upgrades!$U$18,J254),1)*IF(Upgrades!$T$20="Peculiar Velocity",POWER(Upgrades!$U$20,L254),1)*IF(Upgrades!$T$21="Peculiar Velocity",POWER(Upgrades!$U$21,M254),1))+(IF(L254=0,0,(Upgrades!$G$20+L254*Upgrades!$H$20)*POWER(Upgrades!$I$20,L254)))*(IF(Upgrades!$T$13="Open Cluster",POWER(Upgrades!$U$13,E254),1)*IF(Upgrades!$T$14="Open Cluster",POWER(Upgrades!$U$14,F254),1)*IF(Upgrades!$T$15="Open Cluster",POWER(Upgrades!$U$15,G254),1)*IF(Upgrades!$T$16="Open Cluster",POWER(Upgrades!$U$16,H254),1)*IF(Upgrades!$T$17="Open Cluster",POWER(Upgrades!$U$17,I254),1)*IF(Upgrades!$T$18="Open Cluster",POWER(Upgrades!$U$18,J254),1)*IF(Upgrades!$T$19="Open Cluster",POWER(Upgrades!$U$19,K254),1)*IF(Upgrades!$T$21="Open Cluster",POWER(Upgrades!$U$21,M254),1))+(IF(M254=0,0,(Upgrades!$G$21+M254*Upgrades!$H$21)*POWER(Upgrades!$I$21,M254)))*(IF(Upgrades!$T$13="Moving Group",POWER(Upgrades!$U$13,E254),1)*IF(Upgrades!$T$14="Moving Group",POWER(Upgrades!$U$14,F254),1)*IF(Upgrades!$T$15="Moving Group",POWER(Upgrades!$U$15,G254),1)*IF(Upgrades!$T$16="Moving Group",POWER(Upgrades!$U$16,H254),1)*IF(Upgrades!$T$17="Moving Group",POWER(Upgrades!$U$17,I254),1)*IF(Upgrades!$T$18="Moving Group",POWER(Upgrades!$U$18,J254),1)*IF(Upgrades!$T$19="Moving Group",POWER(Upgrades!$U$19,K254),1)*IF(Upgrades!$T$20="Moving Group",POWER(Upgrades!$U$20,L254),1)))*POWER(Upgrades!$P$13,E254)*POWER(Upgrades!$P$14,F254)*POWER(Upgrades!$P$15,G254)*POWER(Upgrades!$P$16,H254)*POWER(Upgrades!$P$17,I254)*POWER(Upgrades!$P$18,J254)*POWER(Upgrades!$P$19,K254)*POWER(Upgrades!$P$20,L254)*POWER(Upgrades!$P$21,M254)*$F$6+$C$6</f>
        <v/>
      </c>
      <c r="Q254" s="28">
        <f>((IF(E254=0,0,(Upgrades!$M$13+E254*Upgrades!$N$13)*POWER(Upgrades!$O$13,E254)))*(IF(Upgrades!$T$14="Stellar Kinematics",POWER(Upgrades!$U$14,F254),1)*IF(Upgrades!$T$15="Stellar Kinematics",POWER(Upgrades!$U$15,G254),1)*IF(Upgrades!$T$16="Stellar Kinematics",POWER(Upgrades!$U$16,H254),1)*IF(Upgrades!$T$17="Stellar Kinematics",POWER(Upgrades!$U$17,I254),1)*IF(Upgrades!$T$18="Stellar Kinematics",POWER(Upgrades!$U$18,J254),1)*IF(Upgrades!$T$19="Stellar Kinematics",POWER(Upgrades!$U$19,K254),1)*IF(Upgrades!$T$20="Stellar Kinematics",POWER(Upgrades!$U$20,L254),1)*IF(Upgrades!$T$21="Stellar Kinematics",POWER(Upgrades!$U$21,M254),1))+(IF(F254=0,0,(Upgrades!$M$14+F254*Upgrades!$N$14)*POWER(Upgrades!$O$14,F254)))*(IF(Upgrades!$T$13="Local Bubble",POWER(Upgrades!$U$13,E254),1)*IF(Upgrades!$T$15="Local Bubble",POWER(Upgrades!$U$15,G254),1)*IF(Upgrades!$T$16="Local Bubble",POWER(Upgrades!$U$16,H254),1)*IF(Upgrades!$T$17="Local Bubble",POWER(Upgrades!$U$17,I254),1)*IF(Upgrades!$T$18="Local Bubble",POWER(Upgrades!$U$18,J254),1)*IF(Upgrades!$T$19="Local Bubble",POWER(Upgrades!$U$19,K254),1)*IF(Upgrades!$T$20="Local Bubble",POWER(Upgrades!$U$20,L254),1)*IF(Upgrades!$T$21="Local Bubble",POWER(Upgrades!$U$21,M254),1))+(IF(G254=0,0,(Upgrades!$M$15+G254*Upgrades!$N$15)*POWER(Upgrades!$O$15,G254)))*(IF(Upgrades!$T$13="Microlensing",POWER(Upgrades!$U$13,E254),1)*IF(Upgrades!$T$14="Microlensing",POWER(Upgrades!$U$14,F254),1)*IF(Upgrades!$T$16="Microlensing",POWER(Upgrades!$U$16,H254),1)*IF(Upgrades!$T$17="Microlensing",POWER(Upgrades!$U$17,I254),1)*IF(Upgrades!$T$18="Microlensing",POWER(Upgrades!$U$18,J254),1)*IF(Upgrades!$T$19="Microlensing",POWER(Upgrades!$U$19,K254),1)*IF(Upgrades!$T$20="Microlensing",POWER(Upgrades!$U$20,L254),1)*IF(Upgrades!$T$21="Microlensing",POWER(Upgrades!$U$21,M254),1))+(IF(H254=0,0,(Upgrades!$M$16+H254*Upgrades!$N$16)*POWER(Upgrades!$O$16,H254)))*(IF(Upgrades!$T$13="Roche Lobe Overflow",POWER(Upgrades!$U$13,E254),1)*IF(Upgrades!$T$14="Roche Lobe Overflow",POWER(Upgrades!$U$14,F254),1)*IF(Upgrades!$T$15="Roche Lobe Overflow",POWER(Upgrades!$U$15,G254),1)*IF(Upgrades!$T$17="Roche Lobe Overflow",POWER(Upgrades!$U$17,I254),1)*IF(Upgrades!$T$18="Roche Lobe Overflow",POWER(Upgrades!$U$18,J254),1)*IF(Upgrades!$T$19="Roche Lobe Overflow",POWER(Upgrades!$U$19,K254),1)*IF(Upgrades!$T$20="Roche Lobe Overflow",POWER(Upgrades!$U$20,L254),1)*IF(Upgrades!$T$21="Roche Lobe Overflow",POWER(Upgrades!$U$21,M254),1))+(IF(I254=0,0,(Upgrades!$M$17+I254*Upgrades!$N$17)*POWER(Upgrades!$O$17,I254)))*(IF(Upgrades!$T$13="Brown Dwarf",POWER(Upgrades!$U$13,E254),1)*IF(Upgrades!$T$14="Brown Dwarf",POWER(Upgrades!$U$14,F254),1)*IF(Upgrades!$T$15="Brown Dwarf",POWER(Upgrades!$U$15,G254),1)*IF(Upgrades!$T$16="Brown Dwarf",POWER(Upgrades!$U$16,H254),1)*IF(Upgrades!$T$18="Brown Dwarf",POWER(Upgrades!$U$18,J254),1)*IF(Upgrades!$T$19="Brown Dwarf",POWER(Upgrades!$U$19,K254),1)*IF(Upgrades!$T$20="Brown Dwarf",POWER(Upgrades!$U$20,L254),1)*IF(Upgrades!$T$21="Brown Dwarf",POWER(Upgrades!$U$21,M254),1))+(IF(J254=0,0,(Upgrades!$M$18+J254*Upgrades!$N$18)*POWER(Upgrades!$O$18,J254)))*(IF(Upgrades!$T$13="Binary Partner",POWER(Upgrades!$U$13,E254),1)*IF(Upgrades!$T$14="Binary Partner",POWER(Upgrades!$U$14,F254),1)*IF(Upgrades!$T$15="Binary Partner",POWER(Upgrades!$U$15,G254),1)*IF(Upgrades!$T$16="Binary Partner",POWER(Upgrades!$U$16,H254),1)*IF(Upgrades!$T$17="Binary Partner",POWER(Upgrades!$U$17,I254),1)*IF(Upgrades!$T$19="Binary Partner",POWER(Upgrades!$U$19,K254),1)*IF(Upgrades!$T$20="Binary Partner",POWER(Upgrades!$U$20,L254),1)*IF(Upgrades!$T$21="Binary Partner",POWER(Upgrades!$U$21,M254),1))+(IF(K254=0,0,(Upgrades!$M$19+K254*Upgrades!$N$19)*POWER(Upgrades!$O$19,K254)))*(IF(Upgrades!$T$13="Peculiar Velocity",POWER(Upgrades!$U$13,E254),1)*IF(Upgrades!$T$14="Peculiar Velocity",POWER(Upgrades!$U$14,F254),1)*IF(Upgrades!$T$15="Peculiar Velocity",POWER(Upgrades!$U$15,G254),1)*IF(Upgrades!$T$16="Peculiar Velocity",POWER(Upgrades!$U$16,H254),1)*IF(Upgrades!$T$17="Peculiar Velocity",POWER(Upgrades!$U$17,I254),1)*IF(Upgrades!$T$18="Peculiar Velocity",POWER(Upgrades!$U$18,J254),1)*IF(Upgrades!$T$20="Peculiar Velocity",POWER(Upgrades!$U$20,L254),1)*IF(Upgrades!$T$21="Peculiar Velocity",POWER(Upgrades!$U$21,M254),1))+(IF(L254=0,0,(Upgrades!$M$20+L254*Upgrades!$N$20)*POWER(Upgrades!$O$20,L254)))*(IF(Upgrades!$T$13="Open Cluster",POWER(Upgrades!$U$13,E254),1)*IF(Upgrades!$T$14="Open Cluster",POWER(Upgrades!$U$14,F254),1)*IF(Upgrades!$T$15="Open Cluster",POWER(Upgrades!$U$15,G254),1)*IF(Upgrades!$T$16="Open Cluster",POWER(Upgrades!$U$16,H254),1)*IF(Upgrades!$T$17="Open Cluster",POWER(Upgrades!$U$17,I254),1)*IF(Upgrades!$T$18="Open Cluster",POWER(Upgrades!$U$18,J254),1)*IF(Upgrades!$T$19="Open Cluster",POWER(Upgrades!$U$19,K254),1)*IF(Upgrades!$T$21="Open Cluster",POWER(Upgrades!$U$21,M254),1))+(IF(M254=0,0,(Upgrades!$M$21+M254*Upgrades!$N$21)*POWER(Upgrades!$O$21,M254)))*(IF(Upgrades!$T$13="Moving Group",POWER(Upgrades!$U$13,E254),1)*IF(Upgrades!$T$14="Moving Group",POWER(Upgrades!$U$14,F254),1)*IF(Upgrades!$T$15="Moving Group",POWER(Upgrades!$U$15,G254),1)*IF(Upgrades!$T$16="Moving Group",POWER(Upgrades!$U$16,H254),1)*IF(Upgrades!$T$17="Moving Group",POWER(Upgrades!$U$17,I254),1)*IF(Upgrades!$T$18="Moving Group",POWER(Upgrades!$U$18,J254),1)*IF(Upgrades!$T$19="Moving Group",POWER(Upgrades!$U$19,K254),1)*IF(Upgrades!$T$20="Moving Group",POWER(Upgrades!$U$20,L254),1)))*POWER(Upgrades!$R$13,E254)*POWER(Upgrades!$R$14,F254)*POWER(Upgrades!$R$15,G254)*POWER(Upgrades!$R$16,H254)*POWER(Upgrades!$R$17,I254)*POWER(Upgrades!$R$18,J254)*POWER(Upgrades!$R$19,K254)*POWER(Upgrades!$R$20,L254)*POWER(Upgrades!$R$21,M254)*$H$6+$E$6</f>
        <v/>
      </c>
      <c r="R254" s="27">
        <f>IF(N254=1,0,O254*Parameters!$B$10/60*Parameters!$B$11*10)</f>
        <v/>
      </c>
      <c r="S254" s="27">
        <f>IF(N254=1,0,Q254*O254*10)</f>
        <v/>
      </c>
      <c r="T254" s="27">
        <f>IF(N254=1,0,R254+S254+P254*10)</f>
        <v/>
      </c>
      <c r="U254" s="33">
        <f>BE254</f>
        <v/>
      </c>
      <c r="V254" s="22">
        <f>IF(U254="",0,IF(U254="transition",0,IF(U254="SK",AK254,IF(U254="LB",AL254,IF(U254="ML",AM254,IF(U254="RLO",AN254,IF(U254="BD",AO254,IF(U254="BiP",AP254,IF(U254="PV",AQ254,IF(U254="OC",AR254,IF(U254="MG",AS254,0))))))))))</f>
        <v/>
      </c>
      <c r="W254" s="27">
        <f>IF(U254="BiP",Upgrades!$F$18,IF(U254="PV",Upgrades!$F$19,IF(U254="OC",Upgrades!$F$20,IF(U254="MG",Upgrades!$F$21,IF(U254="transition",-Parameters!$B$18*Parameters!$B$19,0)))))</f>
        <v/>
      </c>
      <c r="X254" s="22">
        <f>C254+T254-V254</f>
        <v/>
      </c>
      <c r="Y254" s="30">
        <f>O254*Parameters!$B$10/60*Parameters!$B$11+Q254*O254+P254</f>
        <v/>
      </c>
      <c r="Z254" s="34">
        <f>IF(U254="transition","→ Tier 3 (Galactic Arm)",IF(U254="MG","Moving Group — pocket drifts together",IF(U254="OC","Open Cluster acquired",IF(U254="PV","Peculiar Velocity — passive multiplier active",IF(U254="BiP","Binary Partner — pair bond formed",IF(AND(AU254=1,N254=0,AT254&lt;&gt;1),"Cohesion ready (waiting on completionists)","")))))) </f>
        <v/>
      </c>
      <c r="AA254" s="27">
        <f>(IF(E254=0,0,(Upgrades!$G$13+E254*Upgrades!$H$13)*POWER(Upgrades!$I$13,E254)))*(IF(Upgrades!$T$14="Stellar Kinematics",POWER(Upgrades!$U$14,F254),1)*IF(Upgrades!$T$15="Stellar Kinematics",POWER(Upgrades!$U$15,G254),1)*IF(Upgrades!$T$16="Stellar Kinematics",POWER(Upgrades!$U$16,H254),1)*IF(Upgrades!$T$17="Stellar Kinematics",POWER(Upgrades!$U$17,I254),1)*IF(Upgrades!$T$18="Stellar Kinematics",POWER(Upgrades!$U$18,J254),1)*IF(Upgrades!$T$19="Stellar Kinematics",POWER(Upgrades!$U$19,K254),1)*IF(Upgrades!$T$20="Stellar Kinematics",POWER(Upgrades!$U$20,L254),1)*IF(Upgrades!$T$21="Stellar Kinematics",POWER(Upgrades!$U$21,M254),1))*POWER(Upgrades!$P$13,E254)*POWER(Upgrades!$P$14,F254)*POWER(Upgrades!$P$15,G254)*POWER(Upgrades!$P$16,H254)*POWER(Upgrades!$P$17,I254)*POWER(Upgrades!$P$18,J254)*POWER(Upgrades!$P$19,K254)*POWER(Upgrades!$P$20,L254)*POWER(Upgrades!$P$21,M254)*$F$6*60</f>
        <v/>
      </c>
      <c r="AB254" s="27">
        <f>(IF(F254=0,0,(Upgrades!$G$14+F254*Upgrades!$H$14)*POWER(Upgrades!$I$14,F254)))*(IF(Upgrades!$T$13="Local Bubble",POWER(Upgrades!$U$13,E254),1)*IF(Upgrades!$T$15="Local Bubble",POWER(Upgrades!$U$15,G254),1)*IF(Upgrades!$T$16="Local Bubble",POWER(Upgrades!$U$16,H254),1)*IF(Upgrades!$T$17="Local Bubble",POWER(Upgrades!$U$17,I254),1)*IF(Upgrades!$T$18="Local Bubble",POWER(Upgrades!$U$18,J254),1)*IF(Upgrades!$T$19="Local Bubble",POWER(Upgrades!$U$19,K254),1)*IF(Upgrades!$T$20="Local Bubble",POWER(Upgrades!$U$20,L254),1)*IF(Upgrades!$T$21="Local Bubble",POWER(Upgrades!$U$21,M254),1))*POWER(Upgrades!$P$13,E254)*POWER(Upgrades!$P$14,F254)*POWER(Upgrades!$P$15,G254)*POWER(Upgrades!$P$16,H254)*POWER(Upgrades!$P$17,I254)*POWER(Upgrades!$P$18,J254)*POWER(Upgrades!$P$19,K254)*POWER(Upgrades!$P$20,L254)*POWER(Upgrades!$P$21,M254)*$F$6*60</f>
        <v/>
      </c>
      <c r="AC254" s="27">
        <f>(IF(G254=0,0,(Upgrades!$J$15+G254*Upgrades!$K$15)*POWER(Upgrades!$L$15,G254)))*(IF(Upgrades!$T$13="Microlensing",POWER(Upgrades!$U$13,E254),1)*IF(Upgrades!$T$14="Microlensing",POWER(Upgrades!$U$14,F254),1)*IF(Upgrades!$T$16="Microlensing",POWER(Upgrades!$U$16,H254),1)*IF(Upgrades!$T$17="Microlensing",POWER(Upgrades!$U$17,I254),1)*IF(Upgrades!$T$18="Microlensing",POWER(Upgrades!$U$18,J254),1)*IF(Upgrades!$T$19="Microlensing",POWER(Upgrades!$U$19,K254),1)*IF(Upgrades!$T$20="Microlensing",POWER(Upgrades!$U$20,L254),1)*IF(Upgrades!$T$21="Microlensing",POWER(Upgrades!$U$21,M254),1))*POWER(Upgrades!$Q$13,E254)*POWER(Upgrades!$Q$14,F254)*POWER(Upgrades!$Q$15,G254)*POWER(Upgrades!$Q$16,H254)*POWER(Upgrades!$Q$17,I254)*POWER(Upgrades!$Q$18,J254)*POWER(Upgrades!$Q$19,K254)*POWER(Upgrades!$Q$20,L254)*POWER(Upgrades!$Q$21,M254)*$G$6*(Parameters!$B$10*Parameters!$B$11+Q254*60)</f>
        <v/>
      </c>
      <c r="AD254" s="27">
        <f>(IF(H254=0,0,(Upgrades!$M$16+H254*Upgrades!$N$16)*POWER(Upgrades!$O$16,H254)))*(IF(Upgrades!$T$13="Roche Lobe Overflow",POWER(Upgrades!$U$13,E254),1)*IF(Upgrades!$T$14="Roche Lobe Overflow",POWER(Upgrades!$U$14,F254),1)*IF(Upgrades!$T$15="Roche Lobe Overflow",POWER(Upgrades!$U$15,G254),1)*IF(Upgrades!$T$17="Roche Lobe Overflow",POWER(Upgrades!$U$17,I254),1)*IF(Upgrades!$T$18="Roche Lobe Overflow",POWER(Upgrades!$U$18,J254),1)*IF(Upgrades!$T$19="Roche Lobe Overflow",POWER(Upgrades!$U$19,K254),1)*IF(Upgrades!$T$20="Roche Lobe Overflow",POWER(Upgrades!$U$20,L254),1)*IF(Upgrades!$T$21="Roche Lobe Overflow",POWER(Upgrades!$U$21,M254),1))*POWER(Upgrades!$R$13,E254)*POWER(Upgrades!$R$14,F254)*POWER(Upgrades!$R$15,G254)*POWER(Upgrades!$R$16,H254)*POWER(Upgrades!$R$17,I254)*POWER(Upgrades!$R$18,J254)*POWER(Upgrades!$R$19,K254)*POWER(Upgrades!$R$20,L254)*POWER(Upgrades!$R$21,M254)*$H$6*O254*60</f>
        <v/>
      </c>
      <c r="AE254" s="27">
        <f>(IF(I254=0,0,(Upgrades!$G$17+I254*Upgrades!$H$17)*POWER(Upgrades!$I$17,I254)))*(IF(Upgrades!$T$13="Brown Dwarf",POWER(Upgrades!$U$13,E254),1)*IF(Upgrades!$T$14="Brown Dwarf",POWER(Upgrades!$U$14,F254),1)*IF(Upgrades!$T$15="Brown Dwarf",POWER(Upgrades!$U$15,G254),1)*IF(Upgrades!$T$16="Brown Dwarf",POWER(Upgrades!$U$16,H254),1)*IF(Upgrades!$T$18="Brown Dwarf",POWER(Upgrades!$U$18,J254),1)*IF(Upgrades!$T$19="Brown Dwarf",POWER(Upgrades!$U$19,K254),1)*IF(Upgrades!$T$20="Brown Dwarf",POWER(Upgrades!$U$20,L254),1)*IF(Upgrades!$T$21="Brown Dwarf",POWER(Upgrades!$U$21,M254),1))*POWER(Upgrades!$P$13,E254)*POWER(Upgrades!$P$14,F254)*POWER(Upgrades!$P$15,G254)*POWER(Upgrades!$P$16,H254)*POWER(Upgrades!$P$17,I254)*POWER(Upgrades!$P$18,J254)*POWER(Upgrades!$P$19,K254)*POWER(Upgrades!$P$20,L254)*POWER(Upgrades!$P$21,M254)*$F$6*60</f>
        <v/>
      </c>
      <c r="AF254" s="27" t="n">
        <v>0</v>
      </c>
      <c r="AG254" s="27" t="n">
        <v>0</v>
      </c>
      <c r="AH254" s="27" t="n">
        <v>0</v>
      </c>
      <c r="AI254" s="27">
        <f>(IF(M254=0,0,(Upgrades!$G$21+M254*Upgrades!$H$21)*POWER(Upgrades!$I$21,M254)))*(IF(Upgrades!$T$13="Moving Group",POWER(Upgrades!$U$13,E254),1)*IF(Upgrades!$T$14="Moving Group",POWER(Upgrades!$U$14,F254),1)*IF(Upgrades!$T$15="Moving Group",POWER(Upgrades!$U$15,G254),1)*IF(Upgrades!$T$16="Moving Group",POWER(Upgrades!$U$16,H254),1)*IF(Upgrades!$T$17="Moving Group",POWER(Upgrades!$U$17,I254),1)*IF(Upgrades!$T$18="Moving Group",POWER(Upgrades!$U$18,J254),1)*IF(Upgrades!$T$19="Moving Group",POWER(Upgrades!$U$19,K254),1)*IF(Upgrades!$T$20="Moving Group",POWER(Upgrades!$U$20,L254),1))*POWER(Upgrades!$P$13,E254)*POWER(Upgrades!$P$14,F254)*POWER(Upgrades!$P$15,G254)*POWER(Upgrades!$P$16,H254)*POWER(Upgrades!$P$17,I254)*POWER(Upgrades!$P$18,J254)*POWER(Upgrades!$P$19,K254)*POWER(Upgrades!$P$20,L254)*POWER(Upgrades!$P$21,M254)*$F$6*60</f>
        <v/>
      </c>
      <c r="AJ254" s="27">
        <f>$C$6*60</f>
        <v/>
      </c>
      <c r="AK254" s="22">
        <f>IF(E254&gt;=Upgrades!$E$13,"",Upgrades!$C$13*POWER(Upgrades!$D$13,E254))</f>
        <v/>
      </c>
      <c r="AL254" s="22">
        <f>IF(F254&gt;=Upgrades!$E$14,"",Upgrades!$C$14*POWER(Upgrades!$D$14,F254))</f>
        <v/>
      </c>
      <c r="AM254" s="22">
        <f>IF(G254&gt;=Upgrades!$E$15,"",Upgrades!$C$15*POWER(Upgrades!$D$15,G254))</f>
        <v/>
      </c>
      <c r="AN254" s="22">
        <f>IF(H254&gt;=Upgrades!$E$16,"",Upgrades!$C$16*POWER(Upgrades!$D$16,H254))</f>
        <v/>
      </c>
      <c r="AO254" s="22">
        <f>IF(I254&gt;=Upgrades!$E$17,"",Upgrades!$C$17*POWER(Upgrades!$D$17,I254))</f>
        <v/>
      </c>
      <c r="AP254" s="22">
        <f>IF(J254&gt;=Upgrades!$E$18,"",Upgrades!$C$18*POWER(Upgrades!$D$18,J254))</f>
        <v/>
      </c>
      <c r="AQ254" s="22">
        <f>IF(K254&gt;=Upgrades!$E$19,"",Upgrades!$C$19*POWER(Upgrades!$D$19,K254))</f>
        <v/>
      </c>
      <c r="AR254" s="22">
        <f>IF(L254&gt;=Upgrades!$E$20,"",Upgrades!$C$20*POWER(Upgrades!$D$20,L254))</f>
        <v/>
      </c>
      <c r="AS254" s="22">
        <f>IF(M254&gt;=Upgrades!$E$21,"",Upgrades!$C$21*POWER(Upgrades!$D$21,M254))</f>
        <v/>
      </c>
      <c r="AT254" s="26">
        <f>IF(AND(D254&gt;=Parameters!$B$18*Parameters!$B$19,(I254&gt;=Upgrades!$E$17)*(M254&gt;=Upgrades!$E$21)=1,N254=0),1,"")</f>
        <v/>
      </c>
      <c r="AU254" s="26">
        <f>IF(AND(D254&gt;=Parameters!$B$18*Parameters!$B$19,N254=0),1,"")</f>
        <v/>
      </c>
      <c r="AV254" s="22">
        <f>MIN(IF(ISNUMBER(AP254),AP254,9E15),IF(ISNUMBER(AQ254),AQ254,9E15),IF(ISNUMBER(AR254),AR254,9E15),IF(ISNUMBER(AS254),AS254,9E15))</f>
        <v/>
      </c>
      <c r="AW254" s="22">
        <f>MIN(IF(ISNUMBER(AK254),AK254,9E15),IF(ISNUMBER(AL254),AL254,9E15),IF(ISNUMBER(AM254),AM254,9E15),IF(ISNUMBER(AN254),AN254,9E15),IF(ISNUMBER(AO254),AO254,9E15))</f>
        <v/>
      </c>
      <c r="AX254" s="29">
        <f>IF(BD254&gt;Parameters!$B$21*(MAX(IF(AND(NOT(AND(AU254=1,AT254&lt;&gt;1)),ISNUMBER(AK254),AK254&lt;=(C254+T254)),AY254,0),IF(AND(NOT(AND(AU254=1,AT254&lt;&gt;1)),ISNUMBER(AL254),AL254&lt;=(C254+T254)),AZ254,0),IF(AND(NOT(AND(AU254=1,AT254&lt;&gt;1)),ISNUMBER(AM254),AM254&lt;=(C254+T254)),BA254,0),IF(AND(NOT(AND(AU254=1,AT254&lt;&gt;1)),ISNUMBER(AN254),AN254&lt;=(C254+T254)),BB254,0),IF(AND(ISNUMBER(AO254),AO254&lt;=(C254+T254)),BC254,0))),TRUE,FALSE)</f>
        <v/>
      </c>
      <c r="AY254" s="32">
        <f>IFERROR(Upgrades!$H$13*(POWER(Upgrades!$P$13,E254)*POWER(Upgrades!$P$14,F254)*POWER(Upgrades!$P$15,G254)*POWER(Upgrades!$P$16,H254)*POWER(Upgrades!$P$17,I254)*POWER(Upgrades!$P$18,J254)*POWER(Upgrades!$P$19,K254)*POWER(Upgrades!$P$20,L254)*POWER(Upgrades!$P$21,M254))*(IF(Upgrades!$T$14="Stellar Kinematics",POWER(Upgrades!$U$14,F254),1)*IF(Upgrades!$T$15="Stellar Kinematics",POWER(Upgrades!$U$15,G254),1)*IF(Upgrades!$T$16="Stellar Kinematics",POWER(Upgrades!$U$16,H254),1)*IF(Upgrades!$T$17="Stellar Kinematics",POWER(Upgrades!$U$17,I254),1)*IF(Upgrades!$T$18="Stellar Kinematics",POWER(Upgrades!$U$18,J254),1)*IF(Upgrades!$T$19="Stellar Kinematics",POWER(Upgrades!$U$19,K254),1)*IF(Upgrades!$T$20="Stellar Kinematics",POWER(Upgrades!$U$20,L254),1)*IF(Upgrades!$T$21="Stellar Kinematics",POWER(Upgrades!$U$21,M254),1))*$F$6/AK254,0)</f>
        <v/>
      </c>
      <c r="AZ254" s="32">
        <f>IFERROR(Upgrades!$H$14*(POWER(Upgrades!$P$13,E254)*POWER(Upgrades!$P$14,F254)*POWER(Upgrades!$P$15,G254)*POWER(Upgrades!$P$16,H254)*POWER(Upgrades!$P$17,I254)*POWER(Upgrades!$P$18,J254)*POWER(Upgrades!$P$19,K254)*POWER(Upgrades!$P$20,L254)*POWER(Upgrades!$P$21,M254))*(IF(Upgrades!$T$13="Local Bubble",POWER(Upgrades!$U$13,E254),1)*IF(Upgrades!$T$15="Local Bubble",POWER(Upgrades!$U$15,G254),1)*IF(Upgrades!$T$16="Local Bubble",POWER(Upgrades!$U$16,H254),1)*IF(Upgrades!$T$17="Local Bubble",POWER(Upgrades!$U$17,I254),1)*IF(Upgrades!$T$18="Local Bubble",POWER(Upgrades!$U$18,J254),1)*IF(Upgrades!$T$19="Local Bubble",POWER(Upgrades!$U$19,K254),1)*IF(Upgrades!$T$20="Local Bubble",POWER(Upgrades!$U$20,L254),1)*IF(Upgrades!$T$21="Local Bubble",POWER(Upgrades!$U$21,M254),1))*$F$6/AL254,0)</f>
        <v/>
      </c>
      <c r="BA254" s="32">
        <f>IFERROR(Upgrades!$K$15*(POWER(Upgrades!$Q$13,E254)*POWER(Upgrades!$Q$14,F254)*POWER(Upgrades!$Q$15,G254)*POWER(Upgrades!$Q$16,H254)*POWER(Upgrades!$Q$17,I254)*POWER(Upgrades!$Q$18,J254)*POWER(Upgrades!$Q$19,K254)*POWER(Upgrades!$Q$20,L254)*POWER(Upgrades!$Q$21,M254))*(IF(Upgrades!$T$13="Microlensing",POWER(Upgrades!$U$13,E254),1)*IF(Upgrades!$T$14="Microlensing",POWER(Upgrades!$U$14,F254),1)*IF(Upgrades!$T$16="Microlensing",POWER(Upgrades!$U$16,H254),1)*IF(Upgrades!$T$17="Microlensing",POWER(Upgrades!$U$17,I254),1)*IF(Upgrades!$T$18="Microlensing",POWER(Upgrades!$U$18,J254),1)*IF(Upgrades!$T$19="Microlensing",POWER(Upgrades!$U$19,K254),1)*IF(Upgrades!$T$20="Microlensing",POWER(Upgrades!$U$20,L254),1)*IF(Upgrades!$T$21="Microlensing",POWER(Upgrades!$U$21,M254),1))*$G$6*(Parameters!$B$10/60*Parameters!$B$11+Q254)/AM254,0)</f>
        <v/>
      </c>
      <c r="BB254" s="32">
        <f>IFERROR((Upgrades!$N$16*(POWER(Upgrades!$R$13,E254)*POWER(Upgrades!$R$14,F254)*POWER(Upgrades!$R$15,G254)*POWER(Upgrades!$R$16,H254)*POWER(Upgrades!$R$17,I254)*POWER(Upgrades!$R$18,J254)*POWER(Upgrades!$R$19,K254)*POWER(Upgrades!$R$20,L254)*POWER(Upgrades!$R$21,M254))*(IF(Upgrades!$T$13="Roche Lobe Overflow",POWER(Upgrades!$U$13,E254),1)*IF(Upgrades!$T$14="Roche Lobe Overflow",POWER(Upgrades!$U$14,F254),1)*IF(Upgrades!$T$15="Roche Lobe Overflow",POWER(Upgrades!$U$15,G254),1)*IF(Upgrades!$T$17="Roche Lobe Overflow",POWER(Upgrades!$U$17,I254),1)*IF(Upgrades!$T$18="Roche Lobe Overflow",POWER(Upgrades!$U$18,J254),1)*IF(Upgrades!$T$19="Roche Lobe Overflow",POWER(Upgrades!$U$19,K254),1)*IF(Upgrades!$T$20="Roche Lobe Overflow",POWER(Upgrades!$U$20,L254),1)*IF(Upgrades!$T$21="Roche Lobe Overflow",POWER(Upgrades!$U$21,M254),1))*$H$6*O254+((IF(F254=0,0,(Upgrades!$G$14+F254*Upgrades!$H$14)*POWER(Upgrades!$I$14,F254)))*(IF(Upgrades!$T$13="Local Bubble",POWER(Upgrades!$U$13,E254),1)*IF(Upgrades!$T$15="Local Bubble",POWER(Upgrades!$U$15,G254),1)*IF(Upgrades!$T$16="Local Bubble",POWER(Upgrades!$U$16,H254),1)*IF(Upgrades!$T$17="Local Bubble",POWER(Upgrades!$U$17,I254),1)*IF(Upgrades!$T$18="Local Bubble",POWER(Upgrades!$U$18,J254),1)*IF(Upgrades!$T$19="Local Bubble",POWER(Upgrades!$U$19,K254),1)*IF(Upgrades!$T$20="Local Bubble",POWER(Upgrades!$U$20,L254),1)*IF(Upgrades!$T$21="Local Bubble",POWER(Upgrades!$U$21,M254),1))*POWER(Upgrades!$P$13,E254)*POWER(Upgrades!$P$14,F254)*POWER(Upgrades!$P$15,G254)*POWER(Upgrades!$P$16,H254)*POWER(Upgrades!$P$17,I254)*POWER(Upgrades!$P$18,J254)*POWER(Upgrades!$P$19,K254)*POWER(Upgrades!$P$20,L254)*POWER(Upgrades!$P$21,M254)*$F$6)*0.05)/AN254,0)</f>
        <v/>
      </c>
      <c r="BC254" s="32">
        <f>IFERROR((Upgrades!$H$17*(POWER(Upgrades!$P$13,E254)*POWER(Upgrades!$P$14,F254)*POWER(Upgrades!$P$15,G254)*POWER(Upgrades!$P$16,H254)*POWER(Upgrades!$P$17,I254)*POWER(Upgrades!$P$18,J254)*POWER(Upgrades!$P$19,K254)*POWER(Upgrades!$P$20,L254)*POWER(Upgrades!$P$21,M254))*(IF(Upgrades!$T$13="Brown Dwarf",POWER(Upgrades!$U$13,E254),1)*IF(Upgrades!$T$14="Brown Dwarf",POWER(Upgrades!$U$14,F254),1)*IF(Upgrades!$T$15="Brown Dwarf",POWER(Upgrades!$U$15,G254),1)*IF(Upgrades!$T$16="Brown Dwarf",POWER(Upgrades!$U$16,H254),1)*IF(Upgrades!$T$18="Brown Dwarf",POWER(Upgrades!$U$18,J254),1)*IF(Upgrades!$T$19="Brown Dwarf",POWER(Upgrades!$U$19,K254),1)*IF(Upgrades!$T$20="Brown Dwarf",POWER(Upgrades!$U$20,L254),1)*IF(Upgrades!$T$21="Brown Dwarf",POWER(Upgrades!$U$21,M254),1))*$F$6+(((IF(H254=0,0,(Upgrades!$M$16+H254*Upgrades!$N$16)*POWER(Upgrades!$O$16,H254)))*(IF(Upgrades!$T$13="Roche Lobe Overflow",POWER(Upgrades!$U$13,E254),1)*IF(Upgrades!$T$14="Roche Lobe Overflow",POWER(Upgrades!$U$14,F254),1)*IF(Upgrades!$T$15="Roche Lobe Overflow",POWER(Upgrades!$U$15,G254),1)*IF(Upgrades!$T$17="Roche Lobe Overflow",POWER(Upgrades!$U$17,I254),1)*IF(Upgrades!$T$18="Roche Lobe Overflow",POWER(Upgrades!$U$18,J254),1)*IF(Upgrades!$T$19="Roche Lobe Overflow",POWER(Upgrades!$U$19,K254),1)*IF(Upgrades!$T$20="Roche Lobe Overflow",POWER(Upgrades!$U$20,L254),1)*IF(Upgrades!$T$21="Roche Lobe Overflow",POWER(Upgrades!$U$21,M254),1))*POWER(Upgrades!$R$13,E254)*POWER(Upgrades!$R$14,F254)*POWER(Upgrades!$R$15,G254)*POWER(Upgrades!$R$16,H254)*POWER(Upgrades!$R$17,I254)*POWER(Upgrades!$R$18,J254)*POWER(Upgrades!$R$19,K254)*POWER(Upgrades!$R$20,L254)*POWER(Upgrades!$R$21,M254)*$H$6)*O254)*0.10)/AO254,0)</f>
        <v/>
      </c>
      <c r="BD254" s="32">
        <f>MAX(IF(J254&gt;0,0,IFERROR(0.5*((IF(G254=0,0,(Upgrades!$J$15+G254*Upgrades!$K$15)*POWER(Upgrades!$L$15,G254)))*(IF(Upgrades!$T$13="Microlensing",POWER(Upgrades!$U$13,E254),1)*IF(Upgrades!$T$14="Microlensing",POWER(Upgrades!$U$14,F254),1)*IF(Upgrades!$T$16="Microlensing",POWER(Upgrades!$U$16,H254),1)*IF(Upgrades!$T$17="Microlensing",POWER(Upgrades!$U$17,I254),1)*IF(Upgrades!$T$18="Microlensing",POWER(Upgrades!$U$18,J254),1)*IF(Upgrades!$T$19="Microlensing",POWER(Upgrades!$U$19,K254),1)*IF(Upgrades!$T$20="Microlensing",POWER(Upgrades!$U$20,L254),1)*IF(Upgrades!$T$21="Microlensing",POWER(Upgrades!$U$21,M254),1))*(POWER(Upgrades!$Q$13,E254)*POWER(Upgrades!$Q$14,F254)*POWER(Upgrades!$Q$15,G254)*POWER(Upgrades!$Q$16,H254)*POWER(Upgrades!$Q$17,I254)*POWER(Upgrades!$Q$18,J254)*POWER(Upgrades!$Q$19,K254)*POWER(Upgrades!$Q$20,L254)*POWER(Upgrades!$Q$21,M254))*$G$6*(Parameters!$B$10/60*Parameters!$B$11+Q254))/Upgrades!$C$18,0)),IF(K254&gt;0,0,IFERROR(0.30*P254/Upgrades!$C$19,0)),IF(L254&gt;0,0,IFERROR(0.0001/Upgrades!$C$20,0)),IF(M254&gt;0,0,IFERROR((6.0*(POWER(Upgrades!$P$13,E254)*POWER(Upgrades!$P$14,F254)*POWER(Upgrades!$P$15,G254)*POWER(Upgrades!$P$16,H254)*POWER(Upgrades!$P$17,I254)*POWER(Upgrades!$P$18,J254)*POWER(Upgrades!$P$19,K254)*POWER(Upgrades!$P$20,L254)*POWER(Upgrades!$P$21,M254))*$F$6+0.20*O254*(Parameters!$B$10/60*Parameters!$B$11+Q254))/Upgrades!$C$21,0)),IF(AND(ISNUMBER(AK254),AK254&gt;(C254+T254)),AY254,0),IF(AND(ISNUMBER(AL254),AL254&gt;(C254+T254)),AZ254,0),IF(AND(ISNUMBER(AM254),AM254&gt;(C254+T254)),BA254,0),IF(AND(ISNUMBER(AN254),AN254&gt;(C254+T254)),BB254,0),IF(AND(ISNUMBER(AO254),AO254&gt;(C254+T254)),BC254,0))</f>
        <v/>
      </c>
      <c r="BE254" s="29">
        <f>IF(AT254=1,"transition",IF(MIN(IF(AND(J254=0,ISNUMBER(AP254),AP254&lt;=(C254+T254)),AP254,9E15),IF(AND(K254=0,ISNUMBER(AQ254),AQ254&lt;=(C254+T254)),AQ254,9E15),IF(AND(L254=0,ISNUMBER(AR254),AR254&lt;=(C254+T254)),AR254,9E15),IF(AND(M254=0,ISNUMBER(AS254),AS254&lt;=(C254+T254)),AS254,9E15))&lt;9E15,IF(AND(AND(J254=0,ISNUMBER(AP254),AP254&lt;=(C254+T254)),AP254=MIN(IF(AND(J254=0,ISNUMBER(AP254),AP254&lt;=(C254+T254)),AP254,9E15),IF(AND(K254=0,ISNUMBER(AQ254),AQ254&lt;=(C254+T254)),AQ254,9E15),IF(AND(L254=0,ISNUMBER(AR254),AR254&lt;=(C254+T254)),AR254,9E15),IF(AND(M254=0,ISNUMBER(AS254),AS254&lt;=(C254+T254)),AS254,9E15))),"BiP",IF(AND(AND(K254=0,ISNUMBER(AQ254),AQ254&lt;=(C254+T254)),AQ254=MIN(IF(AND(J254=0,ISNUMBER(AP254),AP254&lt;=(C254+T254)),AP254,9E15),IF(AND(K254=0,ISNUMBER(AQ254),AQ254&lt;=(C254+T254)),AQ254,9E15),IF(AND(L254=0,ISNUMBER(AR254),AR254&lt;=(C254+T254)),AR254,9E15),IF(AND(M254=0,ISNUMBER(AS254),AS254&lt;=(C254+T254)),AS254,9E15))),"PV",IF(AND(AND(L254=0,ISNUMBER(AR254),AR254&lt;=(C254+T254)),AR254=MIN(IF(AND(J254=0,ISNUMBER(AP254),AP254&lt;=(C254+T254)),AP254,9E15),IF(AND(K254=0,ISNUMBER(AQ254),AQ254&lt;=(C254+T254)),AQ254,9E15),IF(AND(L254=0,ISNUMBER(AR254),AR254&lt;=(C254+T254)),AR254,9E15),IF(AND(M254=0,ISNUMBER(AS254),AS254&lt;=(C254+T254)),AS254,9E15))),"OC","MG"))),IF(AX254=TRUE,"",IF(MAX(IF(AND(NOT(AND(AU254=1,AT254&lt;&gt;1)),ISNUMBER(AK254),AK254&lt;=(C254+T254)),AY254,0),IF(AND(NOT(AND(AU254=1,AT254&lt;&gt;1)),ISNUMBER(AL254),AL254&lt;=(C254+T254)),AZ254,0),IF(AND(NOT(AND(AU254=1,AT254&lt;&gt;1)),ISNUMBER(AM254),AM254&lt;=(C254+T254)),BA254,0),IF(AND(NOT(AND(AU254=1,AT254&lt;&gt;1)),ISNUMBER(AN254),AN254&lt;=(C254+T254)),BB254,0),IF(AND(ISNUMBER(AO254),AO254&lt;=(C254+T254)),BC254,0))&lt;=0,"",IF(AND(IF(AND(NOT(AND(AU254=1,AT254&lt;&gt;1)),ISNUMBER(AK254),AK254&lt;=(C254+T254)),AY254,0)&gt;0,IF(AND(NOT(AND(AU254=1,AT254&lt;&gt;1)),ISNUMBER(AK254),AK254&lt;=(C254+T254)),AY254,0)=MAX(IF(AND(NOT(AND(AU254=1,AT254&lt;&gt;1)),ISNUMBER(AK254),AK254&lt;=(C254+T254)),AY254,0),IF(AND(NOT(AND(AU254=1,AT254&lt;&gt;1)),ISNUMBER(AL254),AL254&lt;=(C254+T254)),AZ254,0),IF(AND(NOT(AND(AU254=1,AT254&lt;&gt;1)),ISNUMBER(AM254),AM254&lt;=(C254+T254)),BA254,0),IF(AND(NOT(AND(AU254=1,AT254&lt;&gt;1)),ISNUMBER(AN254),AN254&lt;=(C254+T254)),BB254,0),IF(AND(ISNUMBER(AO254),AO254&lt;=(C254+T254)),BC254,0))),"SK",IF(AND(IF(AND(NOT(AND(AU254=1,AT254&lt;&gt;1)),ISNUMBER(AL254),AL254&lt;=(C254+T254)),AZ254,0)&gt;0,IF(AND(NOT(AND(AU254=1,AT254&lt;&gt;1)),ISNUMBER(AL254),AL254&lt;=(C254+T254)),AZ254,0)=MAX(IF(AND(NOT(AND(AU254=1,AT254&lt;&gt;1)),ISNUMBER(AK254),AK254&lt;=(C254+T254)),AY254,0),IF(AND(NOT(AND(AU254=1,AT254&lt;&gt;1)),ISNUMBER(AL254),AL254&lt;=(C254+T254)),AZ254,0),IF(AND(NOT(AND(AU254=1,AT254&lt;&gt;1)),ISNUMBER(AM254),AM254&lt;=(C254+T254)),BA254,0),IF(AND(NOT(AND(AU254=1,AT254&lt;&gt;1)),ISNUMBER(AN254),AN254&lt;=(C254+T254)),BB254,0),IF(AND(ISNUMBER(AO254),AO254&lt;=(C254+T254)),BC254,0))),"LB",IF(AND(IF(AND(NOT(AND(AU254=1,AT254&lt;&gt;1)),ISNUMBER(AM254),AM254&lt;=(C254+T254)),BA254,0)&gt;0,IF(AND(NOT(AND(AU254=1,AT254&lt;&gt;1)),ISNUMBER(AM254),AM254&lt;=(C254+T254)),BA254,0)=MAX(IF(AND(NOT(AND(AU254=1,AT254&lt;&gt;1)),ISNUMBER(AK254),AK254&lt;=(C254+T254)),AY254,0),IF(AND(NOT(AND(AU254=1,AT254&lt;&gt;1)),ISNUMBER(AL254),AL254&lt;=(C254+T254)),AZ254,0),IF(AND(NOT(AND(AU254=1,AT254&lt;&gt;1)),ISNUMBER(AM254),AM254&lt;=(C254+T254)),BA254,0),IF(AND(NOT(AND(AU254=1,AT254&lt;&gt;1)),ISNUMBER(AN254),AN254&lt;=(C254+T254)),BB254,0),IF(AND(ISNUMBER(AO254),AO254&lt;=(C254+T254)),BC254,0))),"ML",IF(AND(IF(AND(NOT(AND(AU254=1,AT254&lt;&gt;1)),ISNUMBER(AN254),AN254&lt;=(C254+T254)),BB254,0)&gt;0,IF(AND(NOT(AND(AU254=1,AT254&lt;&gt;1)),ISNUMBER(AN254),AN254&lt;=(C254+T254)),BB254,0)=MAX(IF(AND(NOT(AND(AU254=1,AT254&lt;&gt;1)),ISNUMBER(AK254),AK254&lt;=(C254+T254)),AY254,0),IF(AND(NOT(AND(AU254=1,AT254&lt;&gt;1)),ISNUMBER(AL254),AL254&lt;=(C254+T254)),AZ254,0),IF(AND(NOT(AND(AU254=1,AT254&lt;&gt;1)),ISNUMBER(AM254),AM254&lt;=(C254+T254)),BA254,0),IF(AND(NOT(AND(AU254=1,AT254&lt;&gt;1)),ISNUMBER(AN254),AN254&lt;=(C254+T254)),BB254,0),IF(AND(ISNUMBER(AO254),AO254&lt;=(C254+T254)),BC254,0))),"RLO","BD"))))))))</f>
        <v/>
      </c>
    </row>
    <row r="255">
      <c r="A255" s="26" t="n">
        <v>244</v>
      </c>
      <c r="B255" s="27">
        <f>A255*10/60</f>
        <v/>
      </c>
      <c r="C255" s="22">
        <f>X254</f>
        <v/>
      </c>
      <c r="D255" s="27">
        <f>D254+W254</f>
        <v/>
      </c>
      <c r="E255" s="26">
        <f>E254+IF(U254="SK",1,0)</f>
        <v/>
      </c>
      <c r="F255" s="26">
        <f>F254+IF(U254="LB",1,0)</f>
        <v/>
      </c>
      <c r="G255" s="26">
        <f>G254+IF(U254="ML",1,0)</f>
        <v/>
      </c>
      <c r="H255" s="26">
        <f>H254+IF(U254="RLO",1,0)</f>
        <v/>
      </c>
      <c r="I255" s="26">
        <f>I254+IF(U254="BD",1,0)</f>
        <v/>
      </c>
      <c r="J255" s="26">
        <f>MAX(J254,IF(U254="BiP",1,0))</f>
        <v/>
      </c>
      <c r="K255" s="26">
        <f>MAX(K254,IF(U254="PV",1,0))</f>
        <v/>
      </c>
      <c r="L255" s="26">
        <f>MAX(L254,IF(U254="OC",1,0))</f>
        <v/>
      </c>
      <c r="M255" s="26">
        <f>MAX(M254,IF(U254="MG",1,0))</f>
        <v/>
      </c>
      <c r="N255" s="26">
        <f>MAX(N254,IF(U254="transition",1,0))</f>
        <v/>
      </c>
      <c r="O255" s="28">
        <f>(Parameters!$B$9+(IF(E255=0,0,(Upgrades!$J$13+E255*Upgrades!$K$13)*POWER(Upgrades!$L$13,E255)))*(IF(Upgrades!$T$14="Stellar Kinematics",POWER(Upgrades!$U$14,F255),1)*IF(Upgrades!$T$15="Stellar Kinematics",POWER(Upgrades!$U$15,G255),1)*IF(Upgrades!$T$16="Stellar Kinematics",POWER(Upgrades!$U$16,H255),1)*IF(Upgrades!$T$17="Stellar Kinematics",POWER(Upgrades!$U$17,I255),1)*IF(Upgrades!$T$18="Stellar Kinematics",POWER(Upgrades!$U$18,J255),1)*IF(Upgrades!$T$19="Stellar Kinematics",POWER(Upgrades!$U$19,K255),1)*IF(Upgrades!$T$20="Stellar Kinematics",POWER(Upgrades!$U$20,L255),1)*IF(Upgrades!$T$21="Stellar Kinematics",POWER(Upgrades!$U$21,M255),1))+(IF(F255=0,0,(Upgrades!$J$14+F255*Upgrades!$K$14)*POWER(Upgrades!$L$14,F255)))*(IF(Upgrades!$T$13="Local Bubble",POWER(Upgrades!$U$13,E255),1)*IF(Upgrades!$T$15="Local Bubble",POWER(Upgrades!$U$15,G255),1)*IF(Upgrades!$T$16="Local Bubble",POWER(Upgrades!$U$16,H255),1)*IF(Upgrades!$T$17="Local Bubble",POWER(Upgrades!$U$17,I255),1)*IF(Upgrades!$T$18="Local Bubble",POWER(Upgrades!$U$18,J255),1)*IF(Upgrades!$T$19="Local Bubble",POWER(Upgrades!$U$19,K255),1)*IF(Upgrades!$T$20="Local Bubble",POWER(Upgrades!$U$20,L255),1)*IF(Upgrades!$T$21="Local Bubble",POWER(Upgrades!$U$21,M255),1))+(IF(G255=0,0,(Upgrades!$J$15+G255*Upgrades!$K$15)*POWER(Upgrades!$L$15,G255)))*(IF(Upgrades!$T$13="Microlensing",POWER(Upgrades!$U$13,E255),1)*IF(Upgrades!$T$14="Microlensing",POWER(Upgrades!$U$14,F255),1)*IF(Upgrades!$T$16="Microlensing",POWER(Upgrades!$U$16,H255),1)*IF(Upgrades!$T$17="Microlensing",POWER(Upgrades!$U$17,I255),1)*IF(Upgrades!$T$18="Microlensing",POWER(Upgrades!$U$18,J255),1)*IF(Upgrades!$T$19="Microlensing",POWER(Upgrades!$U$19,K255),1)*IF(Upgrades!$T$20="Microlensing",POWER(Upgrades!$U$20,L255),1)*IF(Upgrades!$T$21="Microlensing",POWER(Upgrades!$U$21,M255),1))+(IF(H255=0,0,(Upgrades!$J$16+H255*Upgrades!$K$16)*POWER(Upgrades!$L$16,H255)))*(IF(Upgrades!$T$13="Roche Lobe Overflow",POWER(Upgrades!$U$13,E255),1)*IF(Upgrades!$T$14="Roche Lobe Overflow",POWER(Upgrades!$U$14,F255),1)*IF(Upgrades!$T$15="Roche Lobe Overflow",POWER(Upgrades!$U$15,G255),1)*IF(Upgrades!$T$17="Roche Lobe Overflow",POWER(Upgrades!$U$17,I255),1)*IF(Upgrades!$T$18="Roche Lobe Overflow",POWER(Upgrades!$U$18,J255),1)*IF(Upgrades!$T$19="Roche Lobe Overflow",POWER(Upgrades!$U$19,K255),1)*IF(Upgrades!$T$20="Roche Lobe Overflow",POWER(Upgrades!$U$20,L255),1)*IF(Upgrades!$T$21="Roche Lobe Overflow",POWER(Upgrades!$U$21,M255),1))+(IF(I255=0,0,(Upgrades!$J$17+I255*Upgrades!$K$17)*POWER(Upgrades!$L$17,I255)))*(IF(Upgrades!$T$13="Brown Dwarf",POWER(Upgrades!$U$13,E255),1)*IF(Upgrades!$T$14="Brown Dwarf",POWER(Upgrades!$U$14,F255),1)*IF(Upgrades!$T$15="Brown Dwarf",POWER(Upgrades!$U$15,G255),1)*IF(Upgrades!$T$16="Brown Dwarf",POWER(Upgrades!$U$16,H255),1)*IF(Upgrades!$T$18="Brown Dwarf",POWER(Upgrades!$U$18,J255),1)*IF(Upgrades!$T$19="Brown Dwarf",POWER(Upgrades!$U$19,K255),1)*IF(Upgrades!$T$20="Brown Dwarf",POWER(Upgrades!$U$20,L255),1)*IF(Upgrades!$T$21="Brown Dwarf",POWER(Upgrades!$U$21,M255),1))+(IF(J255=0,0,(Upgrades!$J$18+J255*Upgrades!$K$18)*POWER(Upgrades!$L$18,J255)))*(IF(Upgrades!$T$13="Binary Partner",POWER(Upgrades!$U$13,E255),1)*IF(Upgrades!$T$14="Binary Partner",POWER(Upgrades!$U$14,F255),1)*IF(Upgrades!$T$15="Binary Partner",POWER(Upgrades!$U$15,G255),1)*IF(Upgrades!$T$16="Binary Partner",POWER(Upgrades!$U$16,H255),1)*IF(Upgrades!$T$17="Binary Partner",POWER(Upgrades!$U$17,I255),1)*IF(Upgrades!$T$19="Binary Partner",POWER(Upgrades!$U$19,K255),1)*IF(Upgrades!$T$20="Binary Partner",POWER(Upgrades!$U$20,L255),1)*IF(Upgrades!$T$21="Binary Partner",POWER(Upgrades!$U$21,M255),1))+(IF(K255=0,0,(Upgrades!$J$19+K255*Upgrades!$K$19)*POWER(Upgrades!$L$19,K255)))*(IF(Upgrades!$T$13="Peculiar Velocity",POWER(Upgrades!$U$13,E255),1)*IF(Upgrades!$T$14="Peculiar Velocity",POWER(Upgrades!$U$14,F255),1)*IF(Upgrades!$T$15="Peculiar Velocity",POWER(Upgrades!$U$15,G255),1)*IF(Upgrades!$T$16="Peculiar Velocity",POWER(Upgrades!$U$16,H255),1)*IF(Upgrades!$T$17="Peculiar Velocity",POWER(Upgrades!$U$17,I255),1)*IF(Upgrades!$T$18="Peculiar Velocity",POWER(Upgrades!$U$18,J255),1)*IF(Upgrades!$T$20="Peculiar Velocity",POWER(Upgrades!$U$20,L255),1)*IF(Upgrades!$T$21="Peculiar Velocity",POWER(Upgrades!$U$21,M255),1))+(IF(L255=0,0,(Upgrades!$J$20+L255*Upgrades!$K$20)*POWER(Upgrades!$L$20,L255)))*(IF(Upgrades!$T$13="Open Cluster",POWER(Upgrades!$U$13,E255),1)*IF(Upgrades!$T$14="Open Cluster",POWER(Upgrades!$U$14,F255),1)*IF(Upgrades!$T$15="Open Cluster",POWER(Upgrades!$U$15,G255),1)*IF(Upgrades!$T$16="Open Cluster",POWER(Upgrades!$U$16,H255),1)*IF(Upgrades!$T$17="Open Cluster",POWER(Upgrades!$U$17,I255),1)*IF(Upgrades!$T$18="Open Cluster",POWER(Upgrades!$U$18,J255),1)*IF(Upgrades!$T$19="Open Cluster",POWER(Upgrades!$U$19,K255),1)*IF(Upgrades!$T$21="Open Cluster",POWER(Upgrades!$U$21,M255),1))+(IF(M255=0,0,(Upgrades!$J$21+M255*Upgrades!$K$21)*POWER(Upgrades!$L$21,M255)))*(IF(Upgrades!$T$13="Moving Group",POWER(Upgrades!$U$13,E255),1)*IF(Upgrades!$T$14="Moving Group",POWER(Upgrades!$U$14,F255),1)*IF(Upgrades!$T$15="Moving Group",POWER(Upgrades!$U$15,G255),1)*IF(Upgrades!$T$16="Moving Group",POWER(Upgrades!$U$16,H255),1)*IF(Upgrades!$T$17="Moving Group",POWER(Upgrades!$U$17,I255),1)*IF(Upgrades!$T$18="Moving Group",POWER(Upgrades!$U$18,J255),1)*IF(Upgrades!$T$19="Moving Group",POWER(Upgrades!$U$19,K255),1)*IF(Upgrades!$T$20="Moving Group",POWER(Upgrades!$U$20,L255),1)))*POWER(Upgrades!$Q$13,E255)*POWER(Upgrades!$Q$14,F255)*POWER(Upgrades!$Q$15,G255)*POWER(Upgrades!$Q$16,H255)*POWER(Upgrades!$Q$17,I255)*POWER(Upgrades!$Q$18,J255)*POWER(Upgrades!$Q$19,K255)*POWER(Upgrades!$Q$20,L255)*POWER(Upgrades!$Q$21,M255)*$G$6+$D$6</f>
        <v/>
      </c>
      <c r="P255" s="28">
        <f>((IF(E255=0,0,(Upgrades!$G$13+E255*Upgrades!$H$13)*POWER(Upgrades!$I$13,E255)))*(IF(Upgrades!$T$14="Stellar Kinematics",POWER(Upgrades!$U$14,F255),1)*IF(Upgrades!$T$15="Stellar Kinematics",POWER(Upgrades!$U$15,G255),1)*IF(Upgrades!$T$16="Stellar Kinematics",POWER(Upgrades!$U$16,H255),1)*IF(Upgrades!$T$17="Stellar Kinematics",POWER(Upgrades!$U$17,I255),1)*IF(Upgrades!$T$18="Stellar Kinematics",POWER(Upgrades!$U$18,J255),1)*IF(Upgrades!$T$19="Stellar Kinematics",POWER(Upgrades!$U$19,K255),1)*IF(Upgrades!$T$20="Stellar Kinematics",POWER(Upgrades!$U$20,L255),1)*IF(Upgrades!$T$21="Stellar Kinematics",POWER(Upgrades!$U$21,M255),1))+(IF(F255=0,0,(Upgrades!$G$14+F255*Upgrades!$H$14)*POWER(Upgrades!$I$14,F255)))*(IF(Upgrades!$T$13="Local Bubble",POWER(Upgrades!$U$13,E255),1)*IF(Upgrades!$T$15="Local Bubble",POWER(Upgrades!$U$15,G255),1)*IF(Upgrades!$T$16="Local Bubble",POWER(Upgrades!$U$16,H255),1)*IF(Upgrades!$T$17="Local Bubble",POWER(Upgrades!$U$17,I255),1)*IF(Upgrades!$T$18="Local Bubble",POWER(Upgrades!$U$18,J255),1)*IF(Upgrades!$T$19="Local Bubble",POWER(Upgrades!$U$19,K255),1)*IF(Upgrades!$T$20="Local Bubble",POWER(Upgrades!$U$20,L255),1)*IF(Upgrades!$T$21="Local Bubble",POWER(Upgrades!$U$21,M255),1))+(IF(G255=0,0,(Upgrades!$G$15+G255*Upgrades!$H$15)*POWER(Upgrades!$I$15,G255)))*(IF(Upgrades!$T$13="Microlensing",POWER(Upgrades!$U$13,E255),1)*IF(Upgrades!$T$14="Microlensing",POWER(Upgrades!$U$14,F255),1)*IF(Upgrades!$T$16="Microlensing",POWER(Upgrades!$U$16,H255),1)*IF(Upgrades!$T$17="Microlensing",POWER(Upgrades!$U$17,I255),1)*IF(Upgrades!$T$18="Microlensing",POWER(Upgrades!$U$18,J255),1)*IF(Upgrades!$T$19="Microlensing",POWER(Upgrades!$U$19,K255),1)*IF(Upgrades!$T$20="Microlensing",POWER(Upgrades!$U$20,L255),1)*IF(Upgrades!$T$21="Microlensing",POWER(Upgrades!$U$21,M255),1))+(IF(H255=0,0,(Upgrades!$G$16+H255*Upgrades!$H$16)*POWER(Upgrades!$I$16,H255)))*(IF(Upgrades!$T$13="Roche Lobe Overflow",POWER(Upgrades!$U$13,E255),1)*IF(Upgrades!$T$14="Roche Lobe Overflow",POWER(Upgrades!$U$14,F255),1)*IF(Upgrades!$T$15="Roche Lobe Overflow",POWER(Upgrades!$U$15,G255),1)*IF(Upgrades!$T$17="Roche Lobe Overflow",POWER(Upgrades!$U$17,I255),1)*IF(Upgrades!$T$18="Roche Lobe Overflow",POWER(Upgrades!$U$18,J255),1)*IF(Upgrades!$T$19="Roche Lobe Overflow",POWER(Upgrades!$U$19,K255),1)*IF(Upgrades!$T$20="Roche Lobe Overflow",POWER(Upgrades!$U$20,L255),1)*IF(Upgrades!$T$21="Roche Lobe Overflow",POWER(Upgrades!$U$21,M255),1))+(IF(I255=0,0,(Upgrades!$G$17+I255*Upgrades!$H$17)*POWER(Upgrades!$I$17,I255)))*(IF(Upgrades!$T$13="Brown Dwarf",POWER(Upgrades!$U$13,E255),1)*IF(Upgrades!$T$14="Brown Dwarf",POWER(Upgrades!$U$14,F255),1)*IF(Upgrades!$T$15="Brown Dwarf",POWER(Upgrades!$U$15,G255),1)*IF(Upgrades!$T$16="Brown Dwarf",POWER(Upgrades!$U$16,H255),1)*IF(Upgrades!$T$18="Brown Dwarf",POWER(Upgrades!$U$18,J255),1)*IF(Upgrades!$T$19="Brown Dwarf",POWER(Upgrades!$U$19,K255),1)*IF(Upgrades!$T$20="Brown Dwarf",POWER(Upgrades!$U$20,L255),1)*IF(Upgrades!$T$21="Brown Dwarf",POWER(Upgrades!$U$21,M255),1))+(IF(J255=0,0,(Upgrades!$G$18+J255*Upgrades!$H$18)*POWER(Upgrades!$I$18,J255)))*(IF(Upgrades!$T$13="Binary Partner",POWER(Upgrades!$U$13,E255),1)*IF(Upgrades!$T$14="Binary Partner",POWER(Upgrades!$U$14,F255),1)*IF(Upgrades!$T$15="Binary Partner",POWER(Upgrades!$U$15,G255),1)*IF(Upgrades!$T$16="Binary Partner",POWER(Upgrades!$U$16,H255),1)*IF(Upgrades!$T$17="Binary Partner",POWER(Upgrades!$U$17,I255),1)*IF(Upgrades!$T$19="Binary Partner",POWER(Upgrades!$U$19,K255),1)*IF(Upgrades!$T$20="Binary Partner",POWER(Upgrades!$U$20,L255),1)*IF(Upgrades!$T$21="Binary Partner",POWER(Upgrades!$U$21,M255),1))+(IF(K255=0,0,(Upgrades!$G$19+K255*Upgrades!$H$19)*POWER(Upgrades!$I$19,K255)))*(IF(Upgrades!$T$13="Peculiar Velocity",POWER(Upgrades!$U$13,E255),1)*IF(Upgrades!$T$14="Peculiar Velocity",POWER(Upgrades!$U$14,F255),1)*IF(Upgrades!$T$15="Peculiar Velocity",POWER(Upgrades!$U$15,G255),1)*IF(Upgrades!$T$16="Peculiar Velocity",POWER(Upgrades!$U$16,H255),1)*IF(Upgrades!$T$17="Peculiar Velocity",POWER(Upgrades!$U$17,I255),1)*IF(Upgrades!$T$18="Peculiar Velocity",POWER(Upgrades!$U$18,J255),1)*IF(Upgrades!$T$20="Peculiar Velocity",POWER(Upgrades!$U$20,L255),1)*IF(Upgrades!$T$21="Peculiar Velocity",POWER(Upgrades!$U$21,M255),1))+(IF(L255=0,0,(Upgrades!$G$20+L255*Upgrades!$H$20)*POWER(Upgrades!$I$20,L255)))*(IF(Upgrades!$T$13="Open Cluster",POWER(Upgrades!$U$13,E255),1)*IF(Upgrades!$T$14="Open Cluster",POWER(Upgrades!$U$14,F255),1)*IF(Upgrades!$T$15="Open Cluster",POWER(Upgrades!$U$15,G255),1)*IF(Upgrades!$T$16="Open Cluster",POWER(Upgrades!$U$16,H255),1)*IF(Upgrades!$T$17="Open Cluster",POWER(Upgrades!$U$17,I255),1)*IF(Upgrades!$T$18="Open Cluster",POWER(Upgrades!$U$18,J255),1)*IF(Upgrades!$T$19="Open Cluster",POWER(Upgrades!$U$19,K255),1)*IF(Upgrades!$T$21="Open Cluster",POWER(Upgrades!$U$21,M255),1))+(IF(M255=0,0,(Upgrades!$G$21+M255*Upgrades!$H$21)*POWER(Upgrades!$I$21,M255)))*(IF(Upgrades!$T$13="Moving Group",POWER(Upgrades!$U$13,E255),1)*IF(Upgrades!$T$14="Moving Group",POWER(Upgrades!$U$14,F255),1)*IF(Upgrades!$T$15="Moving Group",POWER(Upgrades!$U$15,G255),1)*IF(Upgrades!$T$16="Moving Group",POWER(Upgrades!$U$16,H255),1)*IF(Upgrades!$T$17="Moving Group",POWER(Upgrades!$U$17,I255),1)*IF(Upgrades!$T$18="Moving Group",POWER(Upgrades!$U$18,J255),1)*IF(Upgrades!$T$19="Moving Group",POWER(Upgrades!$U$19,K255),1)*IF(Upgrades!$T$20="Moving Group",POWER(Upgrades!$U$20,L255),1)))*POWER(Upgrades!$P$13,E255)*POWER(Upgrades!$P$14,F255)*POWER(Upgrades!$P$15,G255)*POWER(Upgrades!$P$16,H255)*POWER(Upgrades!$P$17,I255)*POWER(Upgrades!$P$18,J255)*POWER(Upgrades!$P$19,K255)*POWER(Upgrades!$P$20,L255)*POWER(Upgrades!$P$21,M255)*$F$6+$C$6</f>
        <v/>
      </c>
      <c r="Q255" s="28">
        <f>((IF(E255=0,0,(Upgrades!$M$13+E255*Upgrades!$N$13)*POWER(Upgrades!$O$13,E255)))*(IF(Upgrades!$T$14="Stellar Kinematics",POWER(Upgrades!$U$14,F255),1)*IF(Upgrades!$T$15="Stellar Kinematics",POWER(Upgrades!$U$15,G255),1)*IF(Upgrades!$T$16="Stellar Kinematics",POWER(Upgrades!$U$16,H255),1)*IF(Upgrades!$T$17="Stellar Kinematics",POWER(Upgrades!$U$17,I255),1)*IF(Upgrades!$T$18="Stellar Kinematics",POWER(Upgrades!$U$18,J255),1)*IF(Upgrades!$T$19="Stellar Kinematics",POWER(Upgrades!$U$19,K255),1)*IF(Upgrades!$T$20="Stellar Kinematics",POWER(Upgrades!$U$20,L255),1)*IF(Upgrades!$T$21="Stellar Kinematics",POWER(Upgrades!$U$21,M255),1))+(IF(F255=0,0,(Upgrades!$M$14+F255*Upgrades!$N$14)*POWER(Upgrades!$O$14,F255)))*(IF(Upgrades!$T$13="Local Bubble",POWER(Upgrades!$U$13,E255),1)*IF(Upgrades!$T$15="Local Bubble",POWER(Upgrades!$U$15,G255),1)*IF(Upgrades!$T$16="Local Bubble",POWER(Upgrades!$U$16,H255),1)*IF(Upgrades!$T$17="Local Bubble",POWER(Upgrades!$U$17,I255),1)*IF(Upgrades!$T$18="Local Bubble",POWER(Upgrades!$U$18,J255),1)*IF(Upgrades!$T$19="Local Bubble",POWER(Upgrades!$U$19,K255),1)*IF(Upgrades!$T$20="Local Bubble",POWER(Upgrades!$U$20,L255),1)*IF(Upgrades!$T$21="Local Bubble",POWER(Upgrades!$U$21,M255),1))+(IF(G255=0,0,(Upgrades!$M$15+G255*Upgrades!$N$15)*POWER(Upgrades!$O$15,G255)))*(IF(Upgrades!$T$13="Microlensing",POWER(Upgrades!$U$13,E255),1)*IF(Upgrades!$T$14="Microlensing",POWER(Upgrades!$U$14,F255),1)*IF(Upgrades!$T$16="Microlensing",POWER(Upgrades!$U$16,H255),1)*IF(Upgrades!$T$17="Microlensing",POWER(Upgrades!$U$17,I255),1)*IF(Upgrades!$T$18="Microlensing",POWER(Upgrades!$U$18,J255),1)*IF(Upgrades!$T$19="Microlensing",POWER(Upgrades!$U$19,K255),1)*IF(Upgrades!$T$20="Microlensing",POWER(Upgrades!$U$20,L255),1)*IF(Upgrades!$T$21="Microlensing",POWER(Upgrades!$U$21,M255),1))+(IF(H255=0,0,(Upgrades!$M$16+H255*Upgrades!$N$16)*POWER(Upgrades!$O$16,H255)))*(IF(Upgrades!$T$13="Roche Lobe Overflow",POWER(Upgrades!$U$13,E255),1)*IF(Upgrades!$T$14="Roche Lobe Overflow",POWER(Upgrades!$U$14,F255),1)*IF(Upgrades!$T$15="Roche Lobe Overflow",POWER(Upgrades!$U$15,G255),1)*IF(Upgrades!$T$17="Roche Lobe Overflow",POWER(Upgrades!$U$17,I255),1)*IF(Upgrades!$T$18="Roche Lobe Overflow",POWER(Upgrades!$U$18,J255),1)*IF(Upgrades!$T$19="Roche Lobe Overflow",POWER(Upgrades!$U$19,K255),1)*IF(Upgrades!$T$20="Roche Lobe Overflow",POWER(Upgrades!$U$20,L255),1)*IF(Upgrades!$T$21="Roche Lobe Overflow",POWER(Upgrades!$U$21,M255),1))+(IF(I255=0,0,(Upgrades!$M$17+I255*Upgrades!$N$17)*POWER(Upgrades!$O$17,I255)))*(IF(Upgrades!$T$13="Brown Dwarf",POWER(Upgrades!$U$13,E255),1)*IF(Upgrades!$T$14="Brown Dwarf",POWER(Upgrades!$U$14,F255),1)*IF(Upgrades!$T$15="Brown Dwarf",POWER(Upgrades!$U$15,G255),1)*IF(Upgrades!$T$16="Brown Dwarf",POWER(Upgrades!$U$16,H255),1)*IF(Upgrades!$T$18="Brown Dwarf",POWER(Upgrades!$U$18,J255),1)*IF(Upgrades!$T$19="Brown Dwarf",POWER(Upgrades!$U$19,K255),1)*IF(Upgrades!$T$20="Brown Dwarf",POWER(Upgrades!$U$20,L255),1)*IF(Upgrades!$T$21="Brown Dwarf",POWER(Upgrades!$U$21,M255),1))+(IF(J255=0,0,(Upgrades!$M$18+J255*Upgrades!$N$18)*POWER(Upgrades!$O$18,J255)))*(IF(Upgrades!$T$13="Binary Partner",POWER(Upgrades!$U$13,E255),1)*IF(Upgrades!$T$14="Binary Partner",POWER(Upgrades!$U$14,F255),1)*IF(Upgrades!$T$15="Binary Partner",POWER(Upgrades!$U$15,G255),1)*IF(Upgrades!$T$16="Binary Partner",POWER(Upgrades!$U$16,H255),1)*IF(Upgrades!$T$17="Binary Partner",POWER(Upgrades!$U$17,I255),1)*IF(Upgrades!$T$19="Binary Partner",POWER(Upgrades!$U$19,K255),1)*IF(Upgrades!$T$20="Binary Partner",POWER(Upgrades!$U$20,L255),1)*IF(Upgrades!$T$21="Binary Partner",POWER(Upgrades!$U$21,M255),1))+(IF(K255=0,0,(Upgrades!$M$19+K255*Upgrades!$N$19)*POWER(Upgrades!$O$19,K255)))*(IF(Upgrades!$T$13="Peculiar Velocity",POWER(Upgrades!$U$13,E255),1)*IF(Upgrades!$T$14="Peculiar Velocity",POWER(Upgrades!$U$14,F255),1)*IF(Upgrades!$T$15="Peculiar Velocity",POWER(Upgrades!$U$15,G255),1)*IF(Upgrades!$T$16="Peculiar Velocity",POWER(Upgrades!$U$16,H255),1)*IF(Upgrades!$T$17="Peculiar Velocity",POWER(Upgrades!$U$17,I255),1)*IF(Upgrades!$T$18="Peculiar Velocity",POWER(Upgrades!$U$18,J255),1)*IF(Upgrades!$T$20="Peculiar Velocity",POWER(Upgrades!$U$20,L255),1)*IF(Upgrades!$T$21="Peculiar Velocity",POWER(Upgrades!$U$21,M255),1))+(IF(L255=0,0,(Upgrades!$M$20+L255*Upgrades!$N$20)*POWER(Upgrades!$O$20,L255)))*(IF(Upgrades!$T$13="Open Cluster",POWER(Upgrades!$U$13,E255),1)*IF(Upgrades!$T$14="Open Cluster",POWER(Upgrades!$U$14,F255),1)*IF(Upgrades!$T$15="Open Cluster",POWER(Upgrades!$U$15,G255),1)*IF(Upgrades!$T$16="Open Cluster",POWER(Upgrades!$U$16,H255),1)*IF(Upgrades!$T$17="Open Cluster",POWER(Upgrades!$U$17,I255),1)*IF(Upgrades!$T$18="Open Cluster",POWER(Upgrades!$U$18,J255),1)*IF(Upgrades!$T$19="Open Cluster",POWER(Upgrades!$U$19,K255),1)*IF(Upgrades!$T$21="Open Cluster",POWER(Upgrades!$U$21,M255),1))+(IF(M255=0,0,(Upgrades!$M$21+M255*Upgrades!$N$21)*POWER(Upgrades!$O$21,M255)))*(IF(Upgrades!$T$13="Moving Group",POWER(Upgrades!$U$13,E255),1)*IF(Upgrades!$T$14="Moving Group",POWER(Upgrades!$U$14,F255),1)*IF(Upgrades!$T$15="Moving Group",POWER(Upgrades!$U$15,G255),1)*IF(Upgrades!$T$16="Moving Group",POWER(Upgrades!$U$16,H255),1)*IF(Upgrades!$T$17="Moving Group",POWER(Upgrades!$U$17,I255),1)*IF(Upgrades!$T$18="Moving Group",POWER(Upgrades!$U$18,J255),1)*IF(Upgrades!$T$19="Moving Group",POWER(Upgrades!$U$19,K255),1)*IF(Upgrades!$T$20="Moving Group",POWER(Upgrades!$U$20,L255),1)))*POWER(Upgrades!$R$13,E255)*POWER(Upgrades!$R$14,F255)*POWER(Upgrades!$R$15,G255)*POWER(Upgrades!$R$16,H255)*POWER(Upgrades!$R$17,I255)*POWER(Upgrades!$R$18,J255)*POWER(Upgrades!$R$19,K255)*POWER(Upgrades!$R$20,L255)*POWER(Upgrades!$R$21,M255)*$H$6+$E$6</f>
        <v/>
      </c>
      <c r="R255" s="27">
        <f>IF(N255=1,0,O255*Parameters!$B$10/60*Parameters!$B$11*10)</f>
        <v/>
      </c>
      <c r="S255" s="27">
        <f>IF(N255=1,0,Q255*O255*10)</f>
        <v/>
      </c>
      <c r="T255" s="27">
        <f>IF(N255=1,0,R255+S255+P255*10)</f>
        <v/>
      </c>
      <c r="U255" s="33">
        <f>BE255</f>
        <v/>
      </c>
      <c r="V255" s="22">
        <f>IF(U255="",0,IF(U255="transition",0,IF(U255="SK",AK255,IF(U255="LB",AL255,IF(U255="ML",AM255,IF(U255="RLO",AN255,IF(U255="BD",AO255,IF(U255="BiP",AP255,IF(U255="PV",AQ255,IF(U255="OC",AR255,IF(U255="MG",AS255,0))))))))))</f>
        <v/>
      </c>
      <c r="W255" s="27">
        <f>IF(U255="BiP",Upgrades!$F$18,IF(U255="PV",Upgrades!$F$19,IF(U255="OC",Upgrades!$F$20,IF(U255="MG",Upgrades!$F$21,IF(U255="transition",-Parameters!$B$18*Parameters!$B$19,0)))))</f>
        <v/>
      </c>
      <c r="X255" s="22">
        <f>C255+T255-V255</f>
        <v/>
      </c>
      <c r="Y255" s="30">
        <f>O255*Parameters!$B$10/60*Parameters!$B$11+Q255*O255+P255</f>
        <v/>
      </c>
      <c r="Z255" s="34">
        <f>IF(U255="transition","→ Tier 3 (Galactic Arm)",IF(U255="MG","Moving Group — pocket drifts together",IF(U255="OC","Open Cluster acquired",IF(U255="PV","Peculiar Velocity — passive multiplier active",IF(U255="BiP","Binary Partner — pair bond formed",IF(AND(AU255=1,N255=0,AT255&lt;&gt;1),"Cohesion ready (waiting on completionists)","")))))) </f>
        <v/>
      </c>
      <c r="AA255" s="27">
        <f>(IF(E255=0,0,(Upgrades!$G$13+E255*Upgrades!$H$13)*POWER(Upgrades!$I$13,E255)))*(IF(Upgrades!$T$14="Stellar Kinematics",POWER(Upgrades!$U$14,F255),1)*IF(Upgrades!$T$15="Stellar Kinematics",POWER(Upgrades!$U$15,G255),1)*IF(Upgrades!$T$16="Stellar Kinematics",POWER(Upgrades!$U$16,H255),1)*IF(Upgrades!$T$17="Stellar Kinematics",POWER(Upgrades!$U$17,I255),1)*IF(Upgrades!$T$18="Stellar Kinematics",POWER(Upgrades!$U$18,J255),1)*IF(Upgrades!$T$19="Stellar Kinematics",POWER(Upgrades!$U$19,K255),1)*IF(Upgrades!$T$20="Stellar Kinematics",POWER(Upgrades!$U$20,L255),1)*IF(Upgrades!$T$21="Stellar Kinematics",POWER(Upgrades!$U$21,M255),1))*POWER(Upgrades!$P$13,E255)*POWER(Upgrades!$P$14,F255)*POWER(Upgrades!$P$15,G255)*POWER(Upgrades!$P$16,H255)*POWER(Upgrades!$P$17,I255)*POWER(Upgrades!$P$18,J255)*POWER(Upgrades!$P$19,K255)*POWER(Upgrades!$P$20,L255)*POWER(Upgrades!$P$21,M255)*$F$6*60</f>
        <v/>
      </c>
      <c r="AB255" s="27">
        <f>(IF(F255=0,0,(Upgrades!$G$14+F255*Upgrades!$H$14)*POWER(Upgrades!$I$14,F255)))*(IF(Upgrades!$T$13="Local Bubble",POWER(Upgrades!$U$13,E255),1)*IF(Upgrades!$T$15="Local Bubble",POWER(Upgrades!$U$15,G255),1)*IF(Upgrades!$T$16="Local Bubble",POWER(Upgrades!$U$16,H255),1)*IF(Upgrades!$T$17="Local Bubble",POWER(Upgrades!$U$17,I255),1)*IF(Upgrades!$T$18="Local Bubble",POWER(Upgrades!$U$18,J255),1)*IF(Upgrades!$T$19="Local Bubble",POWER(Upgrades!$U$19,K255),1)*IF(Upgrades!$T$20="Local Bubble",POWER(Upgrades!$U$20,L255),1)*IF(Upgrades!$T$21="Local Bubble",POWER(Upgrades!$U$21,M255),1))*POWER(Upgrades!$P$13,E255)*POWER(Upgrades!$P$14,F255)*POWER(Upgrades!$P$15,G255)*POWER(Upgrades!$P$16,H255)*POWER(Upgrades!$P$17,I255)*POWER(Upgrades!$P$18,J255)*POWER(Upgrades!$P$19,K255)*POWER(Upgrades!$P$20,L255)*POWER(Upgrades!$P$21,M255)*$F$6*60</f>
        <v/>
      </c>
      <c r="AC255" s="27">
        <f>(IF(G255=0,0,(Upgrades!$J$15+G255*Upgrades!$K$15)*POWER(Upgrades!$L$15,G255)))*(IF(Upgrades!$T$13="Microlensing",POWER(Upgrades!$U$13,E255),1)*IF(Upgrades!$T$14="Microlensing",POWER(Upgrades!$U$14,F255),1)*IF(Upgrades!$T$16="Microlensing",POWER(Upgrades!$U$16,H255),1)*IF(Upgrades!$T$17="Microlensing",POWER(Upgrades!$U$17,I255),1)*IF(Upgrades!$T$18="Microlensing",POWER(Upgrades!$U$18,J255),1)*IF(Upgrades!$T$19="Microlensing",POWER(Upgrades!$U$19,K255),1)*IF(Upgrades!$T$20="Microlensing",POWER(Upgrades!$U$20,L255),1)*IF(Upgrades!$T$21="Microlensing",POWER(Upgrades!$U$21,M255),1))*POWER(Upgrades!$Q$13,E255)*POWER(Upgrades!$Q$14,F255)*POWER(Upgrades!$Q$15,G255)*POWER(Upgrades!$Q$16,H255)*POWER(Upgrades!$Q$17,I255)*POWER(Upgrades!$Q$18,J255)*POWER(Upgrades!$Q$19,K255)*POWER(Upgrades!$Q$20,L255)*POWER(Upgrades!$Q$21,M255)*$G$6*(Parameters!$B$10*Parameters!$B$11+Q255*60)</f>
        <v/>
      </c>
      <c r="AD255" s="27">
        <f>(IF(H255=0,0,(Upgrades!$M$16+H255*Upgrades!$N$16)*POWER(Upgrades!$O$16,H255)))*(IF(Upgrades!$T$13="Roche Lobe Overflow",POWER(Upgrades!$U$13,E255),1)*IF(Upgrades!$T$14="Roche Lobe Overflow",POWER(Upgrades!$U$14,F255),1)*IF(Upgrades!$T$15="Roche Lobe Overflow",POWER(Upgrades!$U$15,G255),1)*IF(Upgrades!$T$17="Roche Lobe Overflow",POWER(Upgrades!$U$17,I255),1)*IF(Upgrades!$T$18="Roche Lobe Overflow",POWER(Upgrades!$U$18,J255),1)*IF(Upgrades!$T$19="Roche Lobe Overflow",POWER(Upgrades!$U$19,K255),1)*IF(Upgrades!$T$20="Roche Lobe Overflow",POWER(Upgrades!$U$20,L255),1)*IF(Upgrades!$T$21="Roche Lobe Overflow",POWER(Upgrades!$U$21,M255),1))*POWER(Upgrades!$R$13,E255)*POWER(Upgrades!$R$14,F255)*POWER(Upgrades!$R$15,G255)*POWER(Upgrades!$R$16,H255)*POWER(Upgrades!$R$17,I255)*POWER(Upgrades!$R$18,J255)*POWER(Upgrades!$R$19,K255)*POWER(Upgrades!$R$20,L255)*POWER(Upgrades!$R$21,M255)*$H$6*O255*60</f>
        <v/>
      </c>
      <c r="AE255" s="27">
        <f>(IF(I255=0,0,(Upgrades!$G$17+I255*Upgrades!$H$17)*POWER(Upgrades!$I$17,I255)))*(IF(Upgrades!$T$13="Brown Dwarf",POWER(Upgrades!$U$13,E255),1)*IF(Upgrades!$T$14="Brown Dwarf",POWER(Upgrades!$U$14,F255),1)*IF(Upgrades!$T$15="Brown Dwarf",POWER(Upgrades!$U$15,G255),1)*IF(Upgrades!$T$16="Brown Dwarf",POWER(Upgrades!$U$16,H255),1)*IF(Upgrades!$T$18="Brown Dwarf",POWER(Upgrades!$U$18,J255),1)*IF(Upgrades!$T$19="Brown Dwarf",POWER(Upgrades!$U$19,K255),1)*IF(Upgrades!$T$20="Brown Dwarf",POWER(Upgrades!$U$20,L255),1)*IF(Upgrades!$T$21="Brown Dwarf",POWER(Upgrades!$U$21,M255),1))*POWER(Upgrades!$P$13,E255)*POWER(Upgrades!$P$14,F255)*POWER(Upgrades!$P$15,G255)*POWER(Upgrades!$P$16,H255)*POWER(Upgrades!$P$17,I255)*POWER(Upgrades!$P$18,J255)*POWER(Upgrades!$P$19,K255)*POWER(Upgrades!$P$20,L255)*POWER(Upgrades!$P$21,M255)*$F$6*60</f>
        <v/>
      </c>
      <c r="AF255" s="27" t="n">
        <v>0</v>
      </c>
      <c r="AG255" s="27" t="n">
        <v>0</v>
      </c>
      <c r="AH255" s="27" t="n">
        <v>0</v>
      </c>
      <c r="AI255" s="27">
        <f>(IF(M255=0,0,(Upgrades!$G$21+M255*Upgrades!$H$21)*POWER(Upgrades!$I$21,M255)))*(IF(Upgrades!$T$13="Moving Group",POWER(Upgrades!$U$13,E255),1)*IF(Upgrades!$T$14="Moving Group",POWER(Upgrades!$U$14,F255),1)*IF(Upgrades!$T$15="Moving Group",POWER(Upgrades!$U$15,G255),1)*IF(Upgrades!$T$16="Moving Group",POWER(Upgrades!$U$16,H255),1)*IF(Upgrades!$T$17="Moving Group",POWER(Upgrades!$U$17,I255),1)*IF(Upgrades!$T$18="Moving Group",POWER(Upgrades!$U$18,J255),1)*IF(Upgrades!$T$19="Moving Group",POWER(Upgrades!$U$19,K255),1)*IF(Upgrades!$T$20="Moving Group",POWER(Upgrades!$U$20,L255),1))*POWER(Upgrades!$P$13,E255)*POWER(Upgrades!$P$14,F255)*POWER(Upgrades!$P$15,G255)*POWER(Upgrades!$P$16,H255)*POWER(Upgrades!$P$17,I255)*POWER(Upgrades!$P$18,J255)*POWER(Upgrades!$P$19,K255)*POWER(Upgrades!$P$20,L255)*POWER(Upgrades!$P$21,M255)*$F$6*60</f>
        <v/>
      </c>
      <c r="AJ255" s="27">
        <f>$C$6*60</f>
        <v/>
      </c>
      <c r="AK255" s="22">
        <f>IF(E255&gt;=Upgrades!$E$13,"",Upgrades!$C$13*POWER(Upgrades!$D$13,E255))</f>
        <v/>
      </c>
      <c r="AL255" s="22">
        <f>IF(F255&gt;=Upgrades!$E$14,"",Upgrades!$C$14*POWER(Upgrades!$D$14,F255))</f>
        <v/>
      </c>
      <c r="AM255" s="22">
        <f>IF(G255&gt;=Upgrades!$E$15,"",Upgrades!$C$15*POWER(Upgrades!$D$15,G255))</f>
        <v/>
      </c>
      <c r="AN255" s="22">
        <f>IF(H255&gt;=Upgrades!$E$16,"",Upgrades!$C$16*POWER(Upgrades!$D$16,H255))</f>
        <v/>
      </c>
      <c r="AO255" s="22">
        <f>IF(I255&gt;=Upgrades!$E$17,"",Upgrades!$C$17*POWER(Upgrades!$D$17,I255))</f>
        <v/>
      </c>
      <c r="AP255" s="22">
        <f>IF(J255&gt;=Upgrades!$E$18,"",Upgrades!$C$18*POWER(Upgrades!$D$18,J255))</f>
        <v/>
      </c>
      <c r="AQ255" s="22">
        <f>IF(K255&gt;=Upgrades!$E$19,"",Upgrades!$C$19*POWER(Upgrades!$D$19,K255))</f>
        <v/>
      </c>
      <c r="AR255" s="22">
        <f>IF(L255&gt;=Upgrades!$E$20,"",Upgrades!$C$20*POWER(Upgrades!$D$20,L255))</f>
        <v/>
      </c>
      <c r="AS255" s="22">
        <f>IF(M255&gt;=Upgrades!$E$21,"",Upgrades!$C$21*POWER(Upgrades!$D$21,M255))</f>
        <v/>
      </c>
      <c r="AT255" s="26">
        <f>IF(AND(D255&gt;=Parameters!$B$18*Parameters!$B$19,(I255&gt;=Upgrades!$E$17)*(M255&gt;=Upgrades!$E$21)=1,N255=0),1,"")</f>
        <v/>
      </c>
      <c r="AU255" s="26">
        <f>IF(AND(D255&gt;=Parameters!$B$18*Parameters!$B$19,N255=0),1,"")</f>
        <v/>
      </c>
      <c r="AV255" s="22">
        <f>MIN(IF(ISNUMBER(AP255),AP255,9E15),IF(ISNUMBER(AQ255),AQ255,9E15),IF(ISNUMBER(AR255),AR255,9E15),IF(ISNUMBER(AS255),AS255,9E15))</f>
        <v/>
      </c>
      <c r="AW255" s="22">
        <f>MIN(IF(ISNUMBER(AK255),AK255,9E15),IF(ISNUMBER(AL255),AL255,9E15),IF(ISNUMBER(AM255),AM255,9E15),IF(ISNUMBER(AN255),AN255,9E15),IF(ISNUMBER(AO255),AO255,9E15))</f>
        <v/>
      </c>
      <c r="AX255" s="29">
        <f>IF(BD255&gt;Parameters!$B$21*(MAX(IF(AND(NOT(AND(AU255=1,AT255&lt;&gt;1)),ISNUMBER(AK255),AK255&lt;=(C255+T255)),AY255,0),IF(AND(NOT(AND(AU255=1,AT255&lt;&gt;1)),ISNUMBER(AL255),AL255&lt;=(C255+T255)),AZ255,0),IF(AND(NOT(AND(AU255=1,AT255&lt;&gt;1)),ISNUMBER(AM255),AM255&lt;=(C255+T255)),BA255,0),IF(AND(NOT(AND(AU255=1,AT255&lt;&gt;1)),ISNUMBER(AN255),AN255&lt;=(C255+T255)),BB255,0),IF(AND(ISNUMBER(AO255),AO255&lt;=(C255+T255)),BC255,0))),TRUE,FALSE)</f>
        <v/>
      </c>
      <c r="AY255" s="32">
        <f>IFERROR(Upgrades!$H$13*(POWER(Upgrades!$P$13,E255)*POWER(Upgrades!$P$14,F255)*POWER(Upgrades!$P$15,G255)*POWER(Upgrades!$P$16,H255)*POWER(Upgrades!$P$17,I255)*POWER(Upgrades!$P$18,J255)*POWER(Upgrades!$P$19,K255)*POWER(Upgrades!$P$20,L255)*POWER(Upgrades!$P$21,M255))*(IF(Upgrades!$T$14="Stellar Kinematics",POWER(Upgrades!$U$14,F255),1)*IF(Upgrades!$T$15="Stellar Kinematics",POWER(Upgrades!$U$15,G255),1)*IF(Upgrades!$T$16="Stellar Kinematics",POWER(Upgrades!$U$16,H255),1)*IF(Upgrades!$T$17="Stellar Kinematics",POWER(Upgrades!$U$17,I255),1)*IF(Upgrades!$T$18="Stellar Kinematics",POWER(Upgrades!$U$18,J255),1)*IF(Upgrades!$T$19="Stellar Kinematics",POWER(Upgrades!$U$19,K255),1)*IF(Upgrades!$T$20="Stellar Kinematics",POWER(Upgrades!$U$20,L255),1)*IF(Upgrades!$T$21="Stellar Kinematics",POWER(Upgrades!$U$21,M255),1))*$F$6/AK255,0)</f>
        <v/>
      </c>
      <c r="AZ255" s="32">
        <f>IFERROR(Upgrades!$H$14*(POWER(Upgrades!$P$13,E255)*POWER(Upgrades!$P$14,F255)*POWER(Upgrades!$P$15,G255)*POWER(Upgrades!$P$16,H255)*POWER(Upgrades!$P$17,I255)*POWER(Upgrades!$P$18,J255)*POWER(Upgrades!$P$19,K255)*POWER(Upgrades!$P$20,L255)*POWER(Upgrades!$P$21,M255))*(IF(Upgrades!$T$13="Local Bubble",POWER(Upgrades!$U$13,E255),1)*IF(Upgrades!$T$15="Local Bubble",POWER(Upgrades!$U$15,G255),1)*IF(Upgrades!$T$16="Local Bubble",POWER(Upgrades!$U$16,H255),1)*IF(Upgrades!$T$17="Local Bubble",POWER(Upgrades!$U$17,I255),1)*IF(Upgrades!$T$18="Local Bubble",POWER(Upgrades!$U$18,J255),1)*IF(Upgrades!$T$19="Local Bubble",POWER(Upgrades!$U$19,K255),1)*IF(Upgrades!$T$20="Local Bubble",POWER(Upgrades!$U$20,L255),1)*IF(Upgrades!$T$21="Local Bubble",POWER(Upgrades!$U$21,M255),1))*$F$6/AL255,0)</f>
        <v/>
      </c>
      <c r="BA255" s="32">
        <f>IFERROR(Upgrades!$K$15*(POWER(Upgrades!$Q$13,E255)*POWER(Upgrades!$Q$14,F255)*POWER(Upgrades!$Q$15,G255)*POWER(Upgrades!$Q$16,H255)*POWER(Upgrades!$Q$17,I255)*POWER(Upgrades!$Q$18,J255)*POWER(Upgrades!$Q$19,K255)*POWER(Upgrades!$Q$20,L255)*POWER(Upgrades!$Q$21,M255))*(IF(Upgrades!$T$13="Microlensing",POWER(Upgrades!$U$13,E255),1)*IF(Upgrades!$T$14="Microlensing",POWER(Upgrades!$U$14,F255),1)*IF(Upgrades!$T$16="Microlensing",POWER(Upgrades!$U$16,H255),1)*IF(Upgrades!$T$17="Microlensing",POWER(Upgrades!$U$17,I255),1)*IF(Upgrades!$T$18="Microlensing",POWER(Upgrades!$U$18,J255),1)*IF(Upgrades!$T$19="Microlensing",POWER(Upgrades!$U$19,K255),1)*IF(Upgrades!$T$20="Microlensing",POWER(Upgrades!$U$20,L255),1)*IF(Upgrades!$T$21="Microlensing",POWER(Upgrades!$U$21,M255),1))*$G$6*(Parameters!$B$10/60*Parameters!$B$11+Q255)/AM255,0)</f>
        <v/>
      </c>
      <c r="BB255" s="32">
        <f>IFERROR((Upgrades!$N$16*(POWER(Upgrades!$R$13,E255)*POWER(Upgrades!$R$14,F255)*POWER(Upgrades!$R$15,G255)*POWER(Upgrades!$R$16,H255)*POWER(Upgrades!$R$17,I255)*POWER(Upgrades!$R$18,J255)*POWER(Upgrades!$R$19,K255)*POWER(Upgrades!$R$20,L255)*POWER(Upgrades!$R$21,M255))*(IF(Upgrades!$T$13="Roche Lobe Overflow",POWER(Upgrades!$U$13,E255),1)*IF(Upgrades!$T$14="Roche Lobe Overflow",POWER(Upgrades!$U$14,F255),1)*IF(Upgrades!$T$15="Roche Lobe Overflow",POWER(Upgrades!$U$15,G255),1)*IF(Upgrades!$T$17="Roche Lobe Overflow",POWER(Upgrades!$U$17,I255),1)*IF(Upgrades!$T$18="Roche Lobe Overflow",POWER(Upgrades!$U$18,J255),1)*IF(Upgrades!$T$19="Roche Lobe Overflow",POWER(Upgrades!$U$19,K255),1)*IF(Upgrades!$T$20="Roche Lobe Overflow",POWER(Upgrades!$U$20,L255),1)*IF(Upgrades!$T$21="Roche Lobe Overflow",POWER(Upgrades!$U$21,M255),1))*$H$6*O255+((IF(F255=0,0,(Upgrades!$G$14+F255*Upgrades!$H$14)*POWER(Upgrades!$I$14,F255)))*(IF(Upgrades!$T$13="Local Bubble",POWER(Upgrades!$U$13,E255),1)*IF(Upgrades!$T$15="Local Bubble",POWER(Upgrades!$U$15,G255),1)*IF(Upgrades!$T$16="Local Bubble",POWER(Upgrades!$U$16,H255),1)*IF(Upgrades!$T$17="Local Bubble",POWER(Upgrades!$U$17,I255),1)*IF(Upgrades!$T$18="Local Bubble",POWER(Upgrades!$U$18,J255),1)*IF(Upgrades!$T$19="Local Bubble",POWER(Upgrades!$U$19,K255),1)*IF(Upgrades!$T$20="Local Bubble",POWER(Upgrades!$U$20,L255),1)*IF(Upgrades!$T$21="Local Bubble",POWER(Upgrades!$U$21,M255),1))*POWER(Upgrades!$P$13,E255)*POWER(Upgrades!$P$14,F255)*POWER(Upgrades!$P$15,G255)*POWER(Upgrades!$P$16,H255)*POWER(Upgrades!$P$17,I255)*POWER(Upgrades!$P$18,J255)*POWER(Upgrades!$P$19,K255)*POWER(Upgrades!$P$20,L255)*POWER(Upgrades!$P$21,M255)*$F$6)*0.05)/AN255,0)</f>
        <v/>
      </c>
      <c r="BC255" s="32">
        <f>IFERROR((Upgrades!$H$17*(POWER(Upgrades!$P$13,E255)*POWER(Upgrades!$P$14,F255)*POWER(Upgrades!$P$15,G255)*POWER(Upgrades!$P$16,H255)*POWER(Upgrades!$P$17,I255)*POWER(Upgrades!$P$18,J255)*POWER(Upgrades!$P$19,K255)*POWER(Upgrades!$P$20,L255)*POWER(Upgrades!$P$21,M255))*(IF(Upgrades!$T$13="Brown Dwarf",POWER(Upgrades!$U$13,E255),1)*IF(Upgrades!$T$14="Brown Dwarf",POWER(Upgrades!$U$14,F255),1)*IF(Upgrades!$T$15="Brown Dwarf",POWER(Upgrades!$U$15,G255),1)*IF(Upgrades!$T$16="Brown Dwarf",POWER(Upgrades!$U$16,H255),1)*IF(Upgrades!$T$18="Brown Dwarf",POWER(Upgrades!$U$18,J255),1)*IF(Upgrades!$T$19="Brown Dwarf",POWER(Upgrades!$U$19,K255),1)*IF(Upgrades!$T$20="Brown Dwarf",POWER(Upgrades!$U$20,L255),1)*IF(Upgrades!$T$21="Brown Dwarf",POWER(Upgrades!$U$21,M255),1))*$F$6+(((IF(H255=0,0,(Upgrades!$M$16+H255*Upgrades!$N$16)*POWER(Upgrades!$O$16,H255)))*(IF(Upgrades!$T$13="Roche Lobe Overflow",POWER(Upgrades!$U$13,E255),1)*IF(Upgrades!$T$14="Roche Lobe Overflow",POWER(Upgrades!$U$14,F255),1)*IF(Upgrades!$T$15="Roche Lobe Overflow",POWER(Upgrades!$U$15,G255),1)*IF(Upgrades!$T$17="Roche Lobe Overflow",POWER(Upgrades!$U$17,I255),1)*IF(Upgrades!$T$18="Roche Lobe Overflow",POWER(Upgrades!$U$18,J255),1)*IF(Upgrades!$T$19="Roche Lobe Overflow",POWER(Upgrades!$U$19,K255),1)*IF(Upgrades!$T$20="Roche Lobe Overflow",POWER(Upgrades!$U$20,L255),1)*IF(Upgrades!$T$21="Roche Lobe Overflow",POWER(Upgrades!$U$21,M255),1))*POWER(Upgrades!$R$13,E255)*POWER(Upgrades!$R$14,F255)*POWER(Upgrades!$R$15,G255)*POWER(Upgrades!$R$16,H255)*POWER(Upgrades!$R$17,I255)*POWER(Upgrades!$R$18,J255)*POWER(Upgrades!$R$19,K255)*POWER(Upgrades!$R$20,L255)*POWER(Upgrades!$R$21,M255)*$H$6)*O255)*0.10)/AO255,0)</f>
        <v/>
      </c>
      <c r="BD255" s="32">
        <f>MAX(IF(J255&gt;0,0,IFERROR(0.5*((IF(G255=0,0,(Upgrades!$J$15+G255*Upgrades!$K$15)*POWER(Upgrades!$L$15,G255)))*(IF(Upgrades!$T$13="Microlensing",POWER(Upgrades!$U$13,E255),1)*IF(Upgrades!$T$14="Microlensing",POWER(Upgrades!$U$14,F255),1)*IF(Upgrades!$T$16="Microlensing",POWER(Upgrades!$U$16,H255),1)*IF(Upgrades!$T$17="Microlensing",POWER(Upgrades!$U$17,I255),1)*IF(Upgrades!$T$18="Microlensing",POWER(Upgrades!$U$18,J255),1)*IF(Upgrades!$T$19="Microlensing",POWER(Upgrades!$U$19,K255),1)*IF(Upgrades!$T$20="Microlensing",POWER(Upgrades!$U$20,L255),1)*IF(Upgrades!$T$21="Microlensing",POWER(Upgrades!$U$21,M255),1))*(POWER(Upgrades!$Q$13,E255)*POWER(Upgrades!$Q$14,F255)*POWER(Upgrades!$Q$15,G255)*POWER(Upgrades!$Q$16,H255)*POWER(Upgrades!$Q$17,I255)*POWER(Upgrades!$Q$18,J255)*POWER(Upgrades!$Q$19,K255)*POWER(Upgrades!$Q$20,L255)*POWER(Upgrades!$Q$21,M255))*$G$6*(Parameters!$B$10/60*Parameters!$B$11+Q255))/Upgrades!$C$18,0)),IF(K255&gt;0,0,IFERROR(0.30*P255/Upgrades!$C$19,0)),IF(L255&gt;0,0,IFERROR(0.0001/Upgrades!$C$20,0)),IF(M255&gt;0,0,IFERROR((6.0*(POWER(Upgrades!$P$13,E255)*POWER(Upgrades!$P$14,F255)*POWER(Upgrades!$P$15,G255)*POWER(Upgrades!$P$16,H255)*POWER(Upgrades!$P$17,I255)*POWER(Upgrades!$P$18,J255)*POWER(Upgrades!$P$19,K255)*POWER(Upgrades!$P$20,L255)*POWER(Upgrades!$P$21,M255))*$F$6+0.20*O255*(Parameters!$B$10/60*Parameters!$B$11+Q255))/Upgrades!$C$21,0)),IF(AND(ISNUMBER(AK255),AK255&gt;(C255+T255)),AY255,0),IF(AND(ISNUMBER(AL255),AL255&gt;(C255+T255)),AZ255,0),IF(AND(ISNUMBER(AM255),AM255&gt;(C255+T255)),BA255,0),IF(AND(ISNUMBER(AN255),AN255&gt;(C255+T255)),BB255,0),IF(AND(ISNUMBER(AO255),AO255&gt;(C255+T255)),BC255,0))</f>
        <v/>
      </c>
      <c r="BE255" s="29">
        <f>IF(AT255=1,"transition",IF(MIN(IF(AND(J255=0,ISNUMBER(AP255),AP255&lt;=(C255+T255)),AP255,9E15),IF(AND(K255=0,ISNUMBER(AQ255),AQ255&lt;=(C255+T255)),AQ255,9E15),IF(AND(L255=0,ISNUMBER(AR255),AR255&lt;=(C255+T255)),AR255,9E15),IF(AND(M255=0,ISNUMBER(AS255),AS255&lt;=(C255+T255)),AS255,9E15))&lt;9E15,IF(AND(AND(J255=0,ISNUMBER(AP255),AP255&lt;=(C255+T255)),AP255=MIN(IF(AND(J255=0,ISNUMBER(AP255),AP255&lt;=(C255+T255)),AP255,9E15),IF(AND(K255=0,ISNUMBER(AQ255),AQ255&lt;=(C255+T255)),AQ255,9E15),IF(AND(L255=0,ISNUMBER(AR255),AR255&lt;=(C255+T255)),AR255,9E15),IF(AND(M255=0,ISNUMBER(AS255),AS255&lt;=(C255+T255)),AS255,9E15))),"BiP",IF(AND(AND(K255=0,ISNUMBER(AQ255),AQ255&lt;=(C255+T255)),AQ255=MIN(IF(AND(J255=0,ISNUMBER(AP255),AP255&lt;=(C255+T255)),AP255,9E15),IF(AND(K255=0,ISNUMBER(AQ255),AQ255&lt;=(C255+T255)),AQ255,9E15),IF(AND(L255=0,ISNUMBER(AR255),AR255&lt;=(C255+T255)),AR255,9E15),IF(AND(M255=0,ISNUMBER(AS255),AS255&lt;=(C255+T255)),AS255,9E15))),"PV",IF(AND(AND(L255=0,ISNUMBER(AR255),AR255&lt;=(C255+T255)),AR255=MIN(IF(AND(J255=0,ISNUMBER(AP255),AP255&lt;=(C255+T255)),AP255,9E15),IF(AND(K255=0,ISNUMBER(AQ255),AQ255&lt;=(C255+T255)),AQ255,9E15),IF(AND(L255=0,ISNUMBER(AR255),AR255&lt;=(C255+T255)),AR255,9E15),IF(AND(M255=0,ISNUMBER(AS255),AS255&lt;=(C255+T255)),AS255,9E15))),"OC","MG"))),IF(AX255=TRUE,"",IF(MAX(IF(AND(NOT(AND(AU255=1,AT255&lt;&gt;1)),ISNUMBER(AK255),AK255&lt;=(C255+T255)),AY255,0),IF(AND(NOT(AND(AU255=1,AT255&lt;&gt;1)),ISNUMBER(AL255),AL255&lt;=(C255+T255)),AZ255,0),IF(AND(NOT(AND(AU255=1,AT255&lt;&gt;1)),ISNUMBER(AM255),AM255&lt;=(C255+T255)),BA255,0),IF(AND(NOT(AND(AU255=1,AT255&lt;&gt;1)),ISNUMBER(AN255),AN255&lt;=(C255+T255)),BB255,0),IF(AND(ISNUMBER(AO255),AO255&lt;=(C255+T255)),BC255,0))&lt;=0,"",IF(AND(IF(AND(NOT(AND(AU255=1,AT255&lt;&gt;1)),ISNUMBER(AK255),AK255&lt;=(C255+T255)),AY255,0)&gt;0,IF(AND(NOT(AND(AU255=1,AT255&lt;&gt;1)),ISNUMBER(AK255),AK255&lt;=(C255+T255)),AY255,0)=MAX(IF(AND(NOT(AND(AU255=1,AT255&lt;&gt;1)),ISNUMBER(AK255),AK255&lt;=(C255+T255)),AY255,0),IF(AND(NOT(AND(AU255=1,AT255&lt;&gt;1)),ISNUMBER(AL255),AL255&lt;=(C255+T255)),AZ255,0),IF(AND(NOT(AND(AU255=1,AT255&lt;&gt;1)),ISNUMBER(AM255),AM255&lt;=(C255+T255)),BA255,0),IF(AND(NOT(AND(AU255=1,AT255&lt;&gt;1)),ISNUMBER(AN255),AN255&lt;=(C255+T255)),BB255,0),IF(AND(ISNUMBER(AO255),AO255&lt;=(C255+T255)),BC255,0))),"SK",IF(AND(IF(AND(NOT(AND(AU255=1,AT255&lt;&gt;1)),ISNUMBER(AL255),AL255&lt;=(C255+T255)),AZ255,0)&gt;0,IF(AND(NOT(AND(AU255=1,AT255&lt;&gt;1)),ISNUMBER(AL255),AL255&lt;=(C255+T255)),AZ255,0)=MAX(IF(AND(NOT(AND(AU255=1,AT255&lt;&gt;1)),ISNUMBER(AK255),AK255&lt;=(C255+T255)),AY255,0),IF(AND(NOT(AND(AU255=1,AT255&lt;&gt;1)),ISNUMBER(AL255),AL255&lt;=(C255+T255)),AZ255,0),IF(AND(NOT(AND(AU255=1,AT255&lt;&gt;1)),ISNUMBER(AM255),AM255&lt;=(C255+T255)),BA255,0),IF(AND(NOT(AND(AU255=1,AT255&lt;&gt;1)),ISNUMBER(AN255),AN255&lt;=(C255+T255)),BB255,0),IF(AND(ISNUMBER(AO255),AO255&lt;=(C255+T255)),BC255,0))),"LB",IF(AND(IF(AND(NOT(AND(AU255=1,AT255&lt;&gt;1)),ISNUMBER(AM255),AM255&lt;=(C255+T255)),BA255,0)&gt;0,IF(AND(NOT(AND(AU255=1,AT255&lt;&gt;1)),ISNUMBER(AM255),AM255&lt;=(C255+T255)),BA255,0)=MAX(IF(AND(NOT(AND(AU255=1,AT255&lt;&gt;1)),ISNUMBER(AK255),AK255&lt;=(C255+T255)),AY255,0),IF(AND(NOT(AND(AU255=1,AT255&lt;&gt;1)),ISNUMBER(AL255),AL255&lt;=(C255+T255)),AZ255,0),IF(AND(NOT(AND(AU255=1,AT255&lt;&gt;1)),ISNUMBER(AM255),AM255&lt;=(C255+T255)),BA255,0),IF(AND(NOT(AND(AU255=1,AT255&lt;&gt;1)),ISNUMBER(AN255),AN255&lt;=(C255+T255)),BB255,0),IF(AND(ISNUMBER(AO255),AO255&lt;=(C255+T255)),BC255,0))),"ML",IF(AND(IF(AND(NOT(AND(AU255=1,AT255&lt;&gt;1)),ISNUMBER(AN255),AN255&lt;=(C255+T255)),BB255,0)&gt;0,IF(AND(NOT(AND(AU255=1,AT255&lt;&gt;1)),ISNUMBER(AN255),AN255&lt;=(C255+T255)),BB255,0)=MAX(IF(AND(NOT(AND(AU255=1,AT255&lt;&gt;1)),ISNUMBER(AK255),AK255&lt;=(C255+T255)),AY255,0),IF(AND(NOT(AND(AU255=1,AT255&lt;&gt;1)),ISNUMBER(AL255),AL255&lt;=(C255+T255)),AZ255,0),IF(AND(NOT(AND(AU255=1,AT255&lt;&gt;1)),ISNUMBER(AM255),AM255&lt;=(C255+T255)),BA255,0),IF(AND(NOT(AND(AU255=1,AT255&lt;&gt;1)),ISNUMBER(AN255),AN255&lt;=(C255+T255)),BB255,0),IF(AND(ISNUMBER(AO255),AO255&lt;=(C255+T255)),BC255,0))),"RLO","BD"))))))))</f>
        <v/>
      </c>
    </row>
    <row r="256">
      <c r="A256" s="26" t="n">
        <v>245</v>
      </c>
      <c r="B256" s="27">
        <f>A256*10/60</f>
        <v/>
      </c>
      <c r="C256" s="22">
        <f>X255</f>
        <v/>
      </c>
      <c r="D256" s="27">
        <f>D255+W255</f>
        <v/>
      </c>
      <c r="E256" s="26">
        <f>E255+IF(U255="SK",1,0)</f>
        <v/>
      </c>
      <c r="F256" s="26">
        <f>F255+IF(U255="LB",1,0)</f>
        <v/>
      </c>
      <c r="G256" s="26">
        <f>G255+IF(U255="ML",1,0)</f>
        <v/>
      </c>
      <c r="H256" s="26">
        <f>H255+IF(U255="RLO",1,0)</f>
        <v/>
      </c>
      <c r="I256" s="26">
        <f>I255+IF(U255="BD",1,0)</f>
        <v/>
      </c>
      <c r="J256" s="26">
        <f>MAX(J255,IF(U255="BiP",1,0))</f>
        <v/>
      </c>
      <c r="K256" s="26">
        <f>MAX(K255,IF(U255="PV",1,0))</f>
        <v/>
      </c>
      <c r="L256" s="26">
        <f>MAX(L255,IF(U255="OC",1,0))</f>
        <v/>
      </c>
      <c r="M256" s="26">
        <f>MAX(M255,IF(U255="MG",1,0))</f>
        <v/>
      </c>
      <c r="N256" s="26">
        <f>MAX(N255,IF(U255="transition",1,0))</f>
        <v/>
      </c>
      <c r="O256" s="28">
        <f>(Parameters!$B$9+(IF(E256=0,0,(Upgrades!$J$13+E256*Upgrades!$K$13)*POWER(Upgrades!$L$13,E256)))*(IF(Upgrades!$T$14="Stellar Kinematics",POWER(Upgrades!$U$14,F256),1)*IF(Upgrades!$T$15="Stellar Kinematics",POWER(Upgrades!$U$15,G256),1)*IF(Upgrades!$T$16="Stellar Kinematics",POWER(Upgrades!$U$16,H256),1)*IF(Upgrades!$T$17="Stellar Kinematics",POWER(Upgrades!$U$17,I256),1)*IF(Upgrades!$T$18="Stellar Kinematics",POWER(Upgrades!$U$18,J256),1)*IF(Upgrades!$T$19="Stellar Kinematics",POWER(Upgrades!$U$19,K256),1)*IF(Upgrades!$T$20="Stellar Kinematics",POWER(Upgrades!$U$20,L256),1)*IF(Upgrades!$T$21="Stellar Kinematics",POWER(Upgrades!$U$21,M256),1))+(IF(F256=0,0,(Upgrades!$J$14+F256*Upgrades!$K$14)*POWER(Upgrades!$L$14,F256)))*(IF(Upgrades!$T$13="Local Bubble",POWER(Upgrades!$U$13,E256),1)*IF(Upgrades!$T$15="Local Bubble",POWER(Upgrades!$U$15,G256),1)*IF(Upgrades!$T$16="Local Bubble",POWER(Upgrades!$U$16,H256),1)*IF(Upgrades!$T$17="Local Bubble",POWER(Upgrades!$U$17,I256),1)*IF(Upgrades!$T$18="Local Bubble",POWER(Upgrades!$U$18,J256),1)*IF(Upgrades!$T$19="Local Bubble",POWER(Upgrades!$U$19,K256),1)*IF(Upgrades!$T$20="Local Bubble",POWER(Upgrades!$U$20,L256),1)*IF(Upgrades!$T$21="Local Bubble",POWER(Upgrades!$U$21,M256),1))+(IF(G256=0,0,(Upgrades!$J$15+G256*Upgrades!$K$15)*POWER(Upgrades!$L$15,G256)))*(IF(Upgrades!$T$13="Microlensing",POWER(Upgrades!$U$13,E256),1)*IF(Upgrades!$T$14="Microlensing",POWER(Upgrades!$U$14,F256),1)*IF(Upgrades!$T$16="Microlensing",POWER(Upgrades!$U$16,H256),1)*IF(Upgrades!$T$17="Microlensing",POWER(Upgrades!$U$17,I256),1)*IF(Upgrades!$T$18="Microlensing",POWER(Upgrades!$U$18,J256),1)*IF(Upgrades!$T$19="Microlensing",POWER(Upgrades!$U$19,K256),1)*IF(Upgrades!$T$20="Microlensing",POWER(Upgrades!$U$20,L256),1)*IF(Upgrades!$T$21="Microlensing",POWER(Upgrades!$U$21,M256),1))+(IF(H256=0,0,(Upgrades!$J$16+H256*Upgrades!$K$16)*POWER(Upgrades!$L$16,H256)))*(IF(Upgrades!$T$13="Roche Lobe Overflow",POWER(Upgrades!$U$13,E256),1)*IF(Upgrades!$T$14="Roche Lobe Overflow",POWER(Upgrades!$U$14,F256),1)*IF(Upgrades!$T$15="Roche Lobe Overflow",POWER(Upgrades!$U$15,G256),1)*IF(Upgrades!$T$17="Roche Lobe Overflow",POWER(Upgrades!$U$17,I256),1)*IF(Upgrades!$T$18="Roche Lobe Overflow",POWER(Upgrades!$U$18,J256),1)*IF(Upgrades!$T$19="Roche Lobe Overflow",POWER(Upgrades!$U$19,K256),1)*IF(Upgrades!$T$20="Roche Lobe Overflow",POWER(Upgrades!$U$20,L256),1)*IF(Upgrades!$T$21="Roche Lobe Overflow",POWER(Upgrades!$U$21,M256),1))+(IF(I256=0,0,(Upgrades!$J$17+I256*Upgrades!$K$17)*POWER(Upgrades!$L$17,I256)))*(IF(Upgrades!$T$13="Brown Dwarf",POWER(Upgrades!$U$13,E256),1)*IF(Upgrades!$T$14="Brown Dwarf",POWER(Upgrades!$U$14,F256),1)*IF(Upgrades!$T$15="Brown Dwarf",POWER(Upgrades!$U$15,G256),1)*IF(Upgrades!$T$16="Brown Dwarf",POWER(Upgrades!$U$16,H256),1)*IF(Upgrades!$T$18="Brown Dwarf",POWER(Upgrades!$U$18,J256),1)*IF(Upgrades!$T$19="Brown Dwarf",POWER(Upgrades!$U$19,K256),1)*IF(Upgrades!$T$20="Brown Dwarf",POWER(Upgrades!$U$20,L256),1)*IF(Upgrades!$T$21="Brown Dwarf",POWER(Upgrades!$U$21,M256),1))+(IF(J256=0,0,(Upgrades!$J$18+J256*Upgrades!$K$18)*POWER(Upgrades!$L$18,J256)))*(IF(Upgrades!$T$13="Binary Partner",POWER(Upgrades!$U$13,E256),1)*IF(Upgrades!$T$14="Binary Partner",POWER(Upgrades!$U$14,F256),1)*IF(Upgrades!$T$15="Binary Partner",POWER(Upgrades!$U$15,G256),1)*IF(Upgrades!$T$16="Binary Partner",POWER(Upgrades!$U$16,H256),1)*IF(Upgrades!$T$17="Binary Partner",POWER(Upgrades!$U$17,I256),1)*IF(Upgrades!$T$19="Binary Partner",POWER(Upgrades!$U$19,K256),1)*IF(Upgrades!$T$20="Binary Partner",POWER(Upgrades!$U$20,L256),1)*IF(Upgrades!$T$21="Binary Partner",POWER(Upgrades!$U$21,M256),1))+(IF(K256=0,0,(Upgrades!$J$19+K256*Upgrades!$K$19)*POWER(Upgrades!$L$19,K256)))*(IF(Upgrades!$T$13="Peculiar Velocity",POWER(Upgrades!$U$13,E256),1)*IF(Upgrades!$T$14="Peculiar Velocity",POWER(Upgrades!$U$14,F256),1)*IF(Upgrades!$T$15="Peculiar Velocity",POWER(Upgrades!$U$15,G256),1)*IF(Upgrades!$T$16="Peculiar Velocity",POWER(Upgrades!$U$16,H256),1)*IF(Upgrades!$T$17="Peculiar Velocity",POWER(Upgrades!$U$17,I256),1)*IF(Upgrades!$T$18="Peculiar Velocity",POWER(Upgrades!$U$18,J256),1)*IF(Upgrades!$T$20="Peculiar Velocity",POWER(Upgrades!$U$20,L256),1)*IF(Upgrades!$T$21="Peculiar Velocity",POWER(Upgrades!$U$21,M256),1))+(IF(L256=0,0,(Upgrades!$J$20+L256*Upgrades!$K$20)*POWER(Upgrades!$L$20,L256)))*(IF(Upgrades!$T$13="Open Cluster",POWER(Upgrades!$U$13,E256),1)*IF(Upgrades!$T$14="Open Cluster",POWER(Upgrades!$U$14,F256),1)*IF(Upgrades!$T$15="Open Cluster",POWER(Upgrades!$U$15,G256),1)*IF(Upgrades!$T$16="Open Cluster",POWER(Upgrades!$U$16,H256),1)*IF(Upgrades!$T$17="Open Cluster",POWER(Upgrades!$U$17,I256),1)*IF(Upgrades!$T$18="Open Cluster",POWER(Upgrades!$U$18,J256),1)*IF(Upgrades!$T$19="Open Cluster",POWER(Upgrades!$U$19,K256),1)*IF(Upgrades!$T$21="Open Cluster",POWER(Upgrades!$U$21,M256),1))+(IF(M256=0,0,(Upgrades!$J$21+M256*Upgrades!$K$21)*POWER(Upgrades!$L$21,M256)))*(IF(Upgrades!$T$13="Moving Group",POWER(Upgrades!$U$13,E256),1)*IF(Upgrades!$T$14="Moving Group",POWER(Upgrades!$U$14,F256),1)*IF(Upgrades!$T$15="Moving Group",POWER(Upgrades!$U$15,G256),1)*IF(Upgrades!$T$16="Moving Group",POWER(Upgrades!$U$16,H256),1)*IF(Upgrades!$T$17="Moving Group",POWER(Upgrades!$U$17,I256),1)*IF(Upgrades!$T$18="Moving Group",POWER(Upgrades!$U$18,J256),1)*IF(Upgrades!$T$19="Moving Group",POWER(Upgrades!$U$19,K256),1)*IF(Upgrades!$T$20="Moving Group",POWER(Upgrades!$U$20,L256),1)))*POWER(Upgrades!$Q$13,E256)*POWER(Upgrades!$Q$14,F256)*POWER(Upgrades!$Q$15,G256)*POWER(Upgrades!$Q$16,H256)*POWER(Upgrades!$Q$17,I256)*POWER(Upgrades!$Q$18,J256)*POWER(Upgrades!$Q$19,K256)*POWER(Upgrades!$Q$20,L256)*POWER(Upgrades!$Q$21,M256)*$G$6+$D$6</f>
        <v/>
      </c>
      <c r="P256" s="28">
        <f>((IF(E256=0,0,(Upgrades!$G$13+E256*Upgrades!$H$13)*POWER(Upgrades!$I$13,E256)))*(IF(Upgrades!$T$14="Stellar Kinematics",POWER(Upgrades!$U$14,F256),1)*IF(Upgrades!$T$15="Stellar Kinematics",POWER(Upgrades!$U$15,G256),1)*IF(Upgrades!$T$16="Stellar Kinematics",POWER(Upgrades!$U$16,H256),1)*IF(Upgrades!$T$17="Stellar Kinematics",POWER(Upgrades!$U$17,I256),1)*IF(Upgrades!$T$18="Stellar Kinematics",POWER(Upgrades!$U$18,J256),1)*IF(Upgrades!$T$19="Stellar Kinematics",POWER(Upgrades!$U$19,K256),1)*IF(Upgrades!$T$20="Stellar Kinematics",POWER(Upgrades!$U$20,L256),1)*IF(Upgrades!$T$21="Stellar Kinematics",POWER(Upgrades!$U$21,M256),1))+(IF(F256=0,0,(Upgrades!$G$14+F256*Upgrades!$H$14)*POWER(Upgrades!$I$14,F256)))*(IF(Upgrades!$T$13="Local Bubble",POWER(Upgrades!$U$13,E256),1)*IF(Upgrades!$T$15="Local Bubble",POWER(Upgrades!$U$15,G256),1)*IF(Upgrades!$T$16="Local Bubble",POWER(Upgrades!$U$16,H256),1)*IF(Upgrades!$T$17="Local Bubble",POWER(Upgrades!$U$17,I256),1)*IF(Upgrades!$T$18="Local Bubble",POWER(Upgrades!$U$18,J256),1)*IF(Upgrades!$T$19="Local Bubble",POWER(Upgrades!$U$19,K256),1)*IF(Upgrades!$T$20="Local Bubble",POWER(Upgrades!$U$20,L256),1)*IF(Upgrades!$T$21="Local Bubble",POWER(Upgrades!$U$21,M256),1))+(IF(G256=0,0,(Upgrades!$G$15+G256*Upgrades!$H$15)*POWER(Upgrades!$I$15,G256)))*(IF(Upgrades!$T$13="Microlensing",POWER(Upgrades!$U$13,E256),1)*IF(Upgrades!$T$14="Microlensing",POWER(Upgrades!$U$14,F256),1)*IF(Upgrades!$T$16="Microlensing",POWER(Upgrades!$U$16,H256),1)*IF(Upgrades!$T$17="Microlensing",POWER(Upgrades!$U$17,I256),1)*IF(Upgrades!$T$18="Microlensing",POWER(Upgrades!$U$18,J256),1)*IF(Upgrades!$T$19="Microlensing",POWER(Upgrades!$U$19,K256),1)*IF(Upgrades!$T$20="Microlensing",POWER(Upgrades!$U$20,L256),1)*IF(Upgrades!$T$21="Microlensing",POWER(Upgrades!$U$21,M256),1))+(IF(H256=0,0,(Upgrades!$G$16+H256*Upgrades!$H$16)*POWER(Upgrades!$I$16,H256)))*(IF(Upgrades!$T$13="Roche Lobe Overflow",POWER(Upgrades!$U$13,E256),1)*IF(Upgrades!$T$14="Roche Lobe Overflow",POWER(Upgrades!$U$14,F256),1)*IF(Upgrades!$T$15="Roche Lobe Overflow",POWER(Upgrades!$U$15,G256),1)*IF(Upgrades!$T$17="Roche Lobe Overflow",POWER(Upgrades!$U$17,I256),1)*IF(Upgrades!$T$18="Roche Lobe Overflow",POWER(Upgrades!$U$18,J256),1)*IF(Upgrades!$T$19="Roche Lobe Overflow",POWER(Upgrades!$U$19,K256),1)*IF(Upgrades!$T$20="Roche Lobe Overflow",POWER(Upgrades!$U$20,L256),1)*IF(Upgrades!$T$21="Roche Lobe Overflow",POWER(Upgrades!$U$21,M256),1))+(IF(I256=0,0,(Upgrades!$G$17+I256*Upgrades!$H$17)*POWER(Upgrades!$I$17,I256)))*(IF(Upgrades!$T$13="Brown Dwarf",POWER(Upgrades!$U$13,E256),1)*IF(Upgrades!$T$14="Brown Dwarf",POWER(Upgrades!$U$14,F256),1)*IF(Upgrades!$T$15="Brown Dwarf",POWER(Upgrades!$U$15,G256),1)*IF(Upgrades!$T$16="Brown Dwarf",POWER(Upgrades!$U$16,H256),1)*IF(Upgrades!$T$18="Brown Dwarf",POWER(Upgrades!$U$18,J256),1)*IF(Upgrades!$T$19="Brown Dwarf",POWER(Upgrades!$U$19,K256),1)*IF(Upgrades!$T$20="Brown Dwarf",POWER(Upgrades!$U$20,L256),1)*IF(Upgrades!$T$21="Brown Dwarf",POWER(Upgrades!$U$21,M256),1))+(IF(J256=0,0,(Upgrades!$G$18+J256*Upgrades!$H$18)*POWER(Upgrades!$I$18,J256)))*(IF(Upgrades!$T$13="Binary Partner",POWER(Upgrades!$U$13,E256),1)*IF(Upgrades!$T$14="Binary Partner",POWER(Upgrades!$U$14,F256),1)*IF(Upgrades!$T$15="Binary Partner",POWER(Upgrades!$U$15,G256),1)*IF(Upgrades!$T$16="Binary Partner",POWER(Upgrades!$U$16,H256),1)*IF(Upgrades!$T$17="Binary Partner",POWER(Upgrades!$U$17,I256),1)*IF(Upgrades!$T$19="Binary Partner",POWER(Upgrades!$U$19,K256),1)*IF(Upgrades!$T$20="Binary Partner",POWER(Upgrades!$U$20,L256),1)*IF(Upgrades!$T$21="Binary Partner",POWER(Upgrades!$U$21,M256),1))+(IF(K256=0,0,(Upgrades!$G$19+K256*Upgrades!$H$19)*POWER(Upgrades!$I$19,K256)))*(IF(Upgrades!$T$13="Peculiar Velocity",POWER(Upgrades!$U$13,E256),1)*IF(Upgrades!$T$14="Peculiar Velocity",POWER(Upgrades!$U$14,F256),1)*IF(Upgrades!$T$15="Peculiar Velocity",POWER(Upgrades!$U$15,G256),1)*IF(Upgrades!$T$16="Peculiar Velocity",POWER(Upgrades!$U$16,H256),1)*IF(Upgrades!$T$17="Peculiar Velocity",POWER(Upgrades!$U$17,I256),1)*IF(Upgrades!$T$18="Peculiar Velocity",POWER(Upgrades!$U$18,J256),1)*IF(Upgrades!$T$20="Peculiar Velocity",POWER(Upgrades!$U$20,L256),1)*IF(Upgrades!$T$21="Peculiar Velocity",POWER(Upgrades!$U$21,M256),1))+(IF(L256=0,0,(Upgrades!$G$20+L256*Upgrades!$H$20)*POWER(Upgrades!$I$20,L256)))*(IF(Upgrades!$T$13="Open Cluster",POWER(Upgrades!$U$13,E256),1)*IF(Upgrades!$T$14="Open Cluster",POWER(Upgrades!$U$14,F256),1)*IF(Upgrades!$T$15="Open Cluster",POWER(Upgrades!$U$15,G256),1)*IF(Upgrades!$T$16="Open Cluster",POWER(Upgrades!$U$16,H256),1)*IF(Upgrades!$T$17="Open Cluster",POWER(Upgrades!$U$17,I256),1)*IF(Upgrades!$T$18="Open Cluster",POWER(Upgrades!$U$18,J256),1)*IF(Upgrades!$T$19="Open Cluster",POWER(Upgrades!$U$19,K256),1)*IF(Upgrades!$T$21="Open Cluster",POWER(Upgrades!$U$21,M256),1))+(IF(M256=0,0,(Upgrades!$G$21+M256*Upgrades!$H$21)*POWER(Upgrades!$I$21,M256)))*(IF(Upgrades!$T$13="Moving Group",POWER(Upgrades!$U$13,E256),1)*IF(Upgrades!$T$14="Moving Group",POWER(Upgrades!$U$14,F256),1)*IF(Upgrades!$T$15="Moving Group",POWER(Upgrades!$U$15,G256),1)*IF(Upgrades!$T$16="Moving Group",POWER(Upgrades!$U$16,H256),1)*IF(Upgrades!$T$17="Moving Group",POWER(Upgrades!$U$17,I256),1)*IF(Upgrades!$T$18="Moving Group",POWER(Upgrades!$U$18,J256),1)*IF(Upgrades!$T$19="Moving Group",POWER(Upgrades!$U$19,K256),1)*IF(Upgrades!$T$20="Moving Group",POWER(Upgrades!$U$20,L256),1)))*POWER(Upgrades!$P$13,E256)*POWER(Upgrades!$P$14,F256)*POWER(Upgrades!$P$15,G256)*POWER(Upgrades!$P$16,H256)*POWER(Upgrades!$P$17,I256)*POWER(Upgrades!$P$18,J256)*POWER(Upgrades!$P$19,K256)*POWER(Upgrades!$P$20,L256)*POWER(Upgrades!$P$21,M256)*$F$6+$C$6</f>
        <v/>
      </c>
      <c r="Q256" s="28">
        <f>((IF(E256=0,0,(Upgrades!$M$13+E256*Upgrades!$N$13)*POWER(Upgrades!$O$13,E256)))*(IF(Upgrades!$T$14="Stellar Kinematics",POWER(Upgrades!$U$14,F256),1)*IF(Upgrades!$T$15="Stellar Kinematics",POWER(Upgrades!$U$15,G256),1)*IF(Upgrades!$T$16="Stellar Kinematics",POWER(Upgrades!$U$16,H256),1)*IF(Upgrades!$T$17="Stellar Kinematics",POWER(Upgrades!$U$17,I256),1)*IF(Upgrades!$T$18="Stellar Kinematics",POWER(Upgrades!$U$18,J256),1)*IF(Upgrades!$T$19="Stellar Kinematics",POWER(Upgrades!$U$19,K256),1)*IF(Upgrades!$T$20="Stellar Kinematics",POWER(Upgrades!$U$20,L256),1)*IF(Upgrades!$T$21="Stellar Kinematics",POWER(Upgrades!$U$21,M256),1))+(IF(F256=0,0,(Upgrades!$M$14+F256*Upgrades!$N$14)*POWER(Upgrades!$O$14,F256)))*(IF(Upgrades!$T$13="Local Bubble",POWER(Upgrades!$U$13,E256),1)*IF(Upgrades!$T$15="Local Bubble",POWER(Upgrades!$U$15,G256),1)*IF(Upgrades!$T$16="Local Bubble",POWER(Upgrades!$U$16,H256),1)*IF(Upgrades!$T$17="Local Bubble",POWER(Upgrades!$U$17,I256),1)*IF(Upgrades!$T$18="Local Bubble",POWER(Upgrades!$U$18,J256),1)*IF(Upgrades!$T$19="Local Bubble",POWER(Upgrades!$U$19,K256),1)*IF(Upgrades!$T$20="Local Bubble",POWER(Upgrades!$U$20,L256),1)*IF(Upgrades!$T$21="Local Bubble",POWER(Upgrades!$U$21,M256),1))+(IF(G256=0,0,(Upgrades!$M$15+G256*Upgrades!$N$15)*POWER(Upgrades!$O$15,G256)))*(IF(Upgrades!$T$13="Microlensing",POWER(Upgrades!$U$13,E256),1)*IF(Upgrades!$T$14="Microlensing",POWER(Upgrades!$U$14,F256),1)*IF(Upgrades!$T$16="Microlensing",POWER(Upgrades!$U$16,H256),1)*IF(Upgrades!$T$17="Microlensing",POWER(Upgrades!$U$17,I256),1)*IF(Upgrades!$T$18="Microlensing",POWER(Upgrades!$U$18,J256),1)*IF(Upgrades!$T$19="Microlensing",POWER(Upgrades!$U$19,K256),1)*IF(Upgrades!$T$20="Microlensing",POWER(Upgrades!$U$20,L256),1)*IF(Upgrades!$T$21="Microlensing",POWER(Upgrades!$U$21,M256),1))+(IF(H256=0,0,(Upgrades!$M$16+H256*Upgrades!$N$16)*POWER(Upgrades!$O$16,H256)))*(IF(Upgrades!$T$13="Roche Lobe Overflow",POWER(Upgrades!$U$13,E256),1)*IF(Upgrades!$T$14="Roche Lobe Overflow",POWER(Upgrades!$U$14,F256),1)*IF(Upgrades!$T$15="Roche Lobe Overflow",POWER(Upgrades!$U$15,G256),1)*IF(Upgrades!$T$17="Roche Lobe Overflow",POWER(Upgrades!$U$17,I256),1)*IF(Upgrades!$T$18="Roche Lobe Overflow",POWER(Upgrades!$U$18,J256),1)*IF(Upgrades!$T$19="Roche Lobe Overflow",POWER(Upgrades!$U$19,K256),1)*IF(Upgrades!$T$20="Roche Lobe Overflow",POWER(Upgrades!$U$20,L256),1)*IF(Upgrades!$T$21="Roche Lobe Overflow",POWER(Upgrades!$U$21,M256),1))+(IF(I256=0,0,(Upgrades!$M$17+I256*Upgrades!$N$17)*POWER(Upgrades!$O$17,I256)))*(IF(Upgrades!$T$13="Brown Dwarf",POWER(Upgrades!$U$13,E256),1)*IF(Upgrades!$T$14="Brown Dwarf",POWER(Upgrades!$U$14,F256),1)*IF(Upgrades!$T$15="Brown Dwarf",POWER(Upgrades!$U$15,G256),1)*IF(Upgrades!$T$16="Brown Dwarf",POWER(Upgrades!$U$16,H256),1)*IF(Upgrades!$T$18="Brown Dwarf",POWER(Upgrades!$U$18,J256),1)*IF(Upgrades!$T$19="Brown Dwarf",POWER(Upgrades!$U$19,K256),1)*IF(Upgrades!$T$20="Brown Dwarf",POWER(Upgrades!$U$20,L256),1)*IF(Upgrades!$T$21="Brown Dwarf",POWER(Upgrades!$U$21,M256),1))+(IF(J256=0,0,(Upgrades!$M$18+J256*Upgrades!$N$18)*POWER(Upgrades!$O$18,J256)))*(IF(Upgrades!$T$13="Binary Partner",POWER(Upgrades!$U$13,E256),1)*IF(Upgrades!$T$14="Binary Partner",POWER(Upgrades!$U$14,F256),1)*IF(Upgrades!$T$15="Binary Partner",POWER(Upgrades!$U$15,G256),1)*IF(Upgrades!$T$16="Binary Partner",POWER(Upgrades!$U$16,H256),1)*IF(Upgrades!$T$17="Binary Partner",POWER(Upgrades!$U$17,I256),1)*IF(Upgrades!$T$19="Binary Partner",POWER(Upgrades!$U$19,K256),1)*IF(Upgrades!$T$20="Binary Partner",POWER(Upgrades!$U$20,L256),1)*IF(Upgrades!$T$21="Binary Partner",POWER(Upgrades!$U$21,M256),1))+(IF(K256=0,0,(Upgrades!$M$19+K256*Upgrades!$N$19)*POWER(Upgrades!$O$19,K256)))*(IF(Upgrades!$T$13="Peculiar Velocity",POWER(Upgrades!$U$13,E256),1)*IF(Upgrades!$T$14="Peculiar Velocity",POWER(Upgrades!$U$14,F256),1)*IF(Upgrades!$T$15="Peculiar Velocity",POWER(Upgrades!$U$15,G256),1)*IF(Upgrades!$T$16="Peculiar Velocity",POWER(Upgrades!$U$16,H256),1)*IF(Upgrades!$T$17="Peculiar Velocity",POWER(Upgrades!$U$17,I256),1)*IF(Upgrades!$T$18="Peculiar Velocity",POWER(Upgrades!$U$18,J256),1)*IF(Upgrades!$T$20="Peculiar Velocity",POWER(Upgrades!$U$20,L256),1)*IF(Upgrades!$T$21="Peculiar Velocity",POWER(Upgrades!$U$21,M256),1))+(IF(L256=0,0,(Upgrades!$M$20+L256*Upgrades!$N$20)*POWER(Upgrades!$O$20,L256)))*(IF(Upgrades!$T$13="Open Cluster",POWER(Upgrades!$U$13,E256),1)*IF(Upgrades!$T$14="Open Cluster",POWER(Upgrades!$U$14,F256),1)*IF(Upgrades!$T$15="Open Cluster",POWER(Upgrades!$U$15,G256),1)*IF(Upgrades!$T$16="Open Cluster",POWER(Upgrades!$U$16,H256),1)*IF(Upgrades!$T$17="Open Cluster",POWER(Upgrades!$U$17,I256),1)*IF(Upgrades!$T$18="Open Cluster",POWER(Upgrades!$U$18,J256),1)*IF(Upgrades!$T$19="Open Cluster",POWER(Upgrades!$U$19,K256),1)*IF(Upgrades!$T$21="Open Cluster",POWER(Upgrades!$U$21,M256),1))+(IF(M256=0,0,(Upgrades!$M$21+M256*Upgrades!$N$21)*POWER(Upgrades!$O$21,M256)))*(IF(Upgrades!$T$13="Moving Group",POWER(Upgrades!$U$13,E256),1)*IF(Upgrades!$T$14="Moving Group",POWER(Upgrades!$U$14,F256),1)*IF(Upgrades!$T$15="Moving Group",POWER(Upgrades!$U$15,G256),1)*IF(Upgrades!$T$16="Moving Group",POWER(Upgrades!$U$16,H256),1)*IF(Upgrades!$T$17="Moving Group",POWER(Upgrades!$U$17,I256),1)*IF(Upgrades!$T$18="Moving Group",POWER(Upgrades!$U$18,J256),1)*IF(Upgrades!$T$19="Moving Group",POWER(Upgrades!$U$19,K256),1)*IF(Upgrades!$T$20="Moving Group",POWER(Upgrades!$U$20,L256),1)))*POWER(Upgrades!$R$13,E256)*POWER(Upgrades!$R$14,F256)*POWER(Upgrades!$R$15,G256)*POWER(Upgrades!$R$16,H256)*POWER(Upgrades!$R$17,I256)*POWER(Upgrades!$R$18,J256)*POWER(Upgrades!$R$19,K256)*POWER(Upgrades!$R$20,L256)*POWER(Upgrades!$R$21,M256)*$H$6+$E$6</f>
        <v/>
      </c>
      <c r="R256" s="27">
        <f>IF(N256=1,0,O256*Parameters!$B$10/60*Parameters!$B$11*10)</f>
        <v/>
      </c>
      <c r="S256" s="27">
        <f>IF(N256=1,0,Q256*O256*10)</f>
        <v/>
      </c>
      <c r="T256" s="27">
        <f>IF(N256=1,0,R256+S256+P256*10)</f>
        <v/>
      </c>
      <c r="U256" s="33">
        <f>BE256</f>
        <v/>
      </c>
      <c r="V256" s="22">
        <f>IF(U256="",0,IF(U256="transition",0,IF(U256="SK",AK256,IF(U256="LB",AL256,IF(U256="ML",AM256,IF(U256="RLO",AN256,IF(U256="BD",AO256,IF(U256="BiP",AP256,IF(U256="PV",AQ256,IF(U256="OC",AR256,IF(U256="MG",AS256,0))))))))))</f>
        <v/>
      </c>
      <c r="W256" s="27">
        <f>IF(U256="BiP",Upgrades!$F$18,IF(U256="PV",Upgrades!$F$19,IF(U256="OC",Upgrades!$F$20,IF(U256="MG",Upgrades!$F$21,IF(U256="transition",-Parameters!$B$18*Parameters!$B$19,0)))))</f>
        <v/>
      </c>
      <c r="X256" s="22">
        <f>C256+T256-V256</f>
        <v/>
      </c>
      <c r="Y256" s="30">
        <f>O256*Parameters!$B$10/60*Parameters!$B$11+Q256*O256+P256</f>
        <v/>
      </c>
      <c r="Z256" s="34">
        <f>IF(U256="transition","→ Tier 3 (Galactic Arm)",IF(U256="MG","Moving Group — pocket drifts together",IF(U256="OC","Open Cluster acquired",IF(U256="PV","Peculiar Velocity — passive multiplier active",IF(U256="BiP","Binary Partner — pair bond formed",IF(AND(AU256=1,N256=0,AT256&lt;&gt;1),"Cohesion ready (waiting on completionists)","")))))) </f>
        <v/>
      </c>
      <c r="AA256" s="27">
        <f>(IF(E256=0,0,(Upgrades!$G$13+E256*Upgrades!$H$13)*POWER(Upgrades!$I$13,E256)))*(IF(Upgrades!$T$14="Stellar Kinematics",POWER(Upgrades!$U$14,F256),1)*IF(Upgrades!$T$15="Stellar Kinematics",POWER(Upgrades!$U$15,G256),1)*IF(Upgrades!$T$16="Stellar Kinematics",POWER(Upgrades!$U$16,H256),1)*IF(Upgrades!$T$17="Stellar Kinematics",POWER(Upgrades!$U$17,I256),1)*IF(Upgrades!$T$18="Stellar Kinematics",POWER(Upgrades!$U$18,J256),1)*IF(Upgrades!$T$19="Stellar Kinematics",POWER(Upgrades!$U$19,K256),1)*IF(Upgrades!$T$20="Stellar Kinematics",POWER(Upgrades!$U$20,L256),1)*IF(Upgrades!$T$21="Stellar Kinematics",POWER(Upgrades!$U$21,M256),1))*POWER(Upgrades!$P$13,E256)*POWER(Upgrades!$P$14,F256)*POWER(Upgrades!$P$15,G256)*POWER(Upgrades!$P$16,H256)*POWER(Upgrades!$P$17,I256)*POWER(Upgrades!$P$18,J256)*POWER(Upgrades!$P$19,K256)*POWER(Upgrades!$P$20,L256)*POWER(Upgrades!$P$21,M256)*$F$6*60</f>
        <v/>
      </c>
      <c r="AB256" s="27">
        <f>(IF(F256=0,0,(Upgrades!$G$14+F256*Upgrades!$H$14)*POWER(Upgrades!$I$14,F256)))*(IF(Upgrades!$T$13="Local Bubble",POWER(Upgrades!$U$13,E256),1)*IF(Upgrades!$T$15="Local Bubble",POWER(Upgrades!$U$15,G256),1)*IF(Upgrades!$T$16="Local Bubble",POWER(Upgrades!$U$16,H256),1)*IF(Upgrades!$T$17="Local Bubble",POWER(Upgrades!$U$17,I256),1)*IF(Upgrades!$T$18="Local Bubble",POWER(Upgrades!$U$18,J256),1)*IF(Upgrades!$T$19="Local Bubble",POWER(Upgrades!$U$19,K256),1)*IF(Upgrades!$T$20="Local Bubble",POWER(Upgrades!$U$20,L256),1)*IF(Upgrades!$T$21="Local Bubble",POWER(Upgrades!$U$21,M256),1))*POWER(Upgrades!$P$13,E256)*POWER(Upgrades!$P$14,F256)*POWER(Upgrades!$P$15,G256)*POWER(Upgrades!$P$16,H256)*POWER(Upgrades!$P$17,I256)*POWER(Upgrades!$P$18,J256)*POWER(Upgrades!$P$19,K256)*POWER(Upgrades!$P$20,L256)*POWER(Upgrades!$P$21,M256)*$F$6*60</f>
        <v/>
      </c>
      <c r="AC256" s="27">
        <f>(IF(G256=0,0,(Upgrades!$J$15+G256*Upgrades!$K$15)*POWER(Upgrades!$L$15,G256)))*(IF(Upgrades!$T$13="Microlensing",POWER(Upgrades!$U$13,E256),1)*IF(Upgrades!$T$14="Microlensing",POWER(Upgrades!$U$14,F256),1)*IF(Upgrades!$T$16="Microlensing",POWER(Upgrades!$U$16,H256),1)*IF(Upgrades!$T$17="Microlensing",POWER(Upgrades!$U$17,I256),1)*IF(Upgrades!$T$18="Microlensing",POWER(Upgrades!$U$18,J256),1)*IF(Upgrades!$T$19="Microlensing",POWER(Upgrades!$U$19,K256),1)*IF(Upgrades!$T$20="Microlensing",POWER(Upgrades!$U$20,L256),1)*IF(Upgrades!$T$21="Microlensing",POWER(Upgrades!$U$21,M256),1))*POWER(Upgrades!$Q$13,E256)*POWER(Upgrades!$Q$14,F256)*POWER(Upgrades!$Q$15,G256)*POWER(Upgrades!$Q$16,H256)*POWER(Upgrades!$Q$17,I256)*POWER(Upgrades!$Q$18,J256)*POWER(Upgrades!$Q$19,K256)*POWER(Upgrades!$Q$20,L256)*POWER(Upgrades!$Q$21,M256)*$G$6*(Parameters!$B$10*Parameters!$B$11+Q256*60)</f>
        <v/>
      </c>
      <c r="AD256" s="27">
        <f>(IF(H256=0,0,(Upgrades!$M$16+H256*Upgrades!$N$16)*POWER(Upgrades!$O$16,H256)))*(IF(Upgrades!$T$13="Roche Lobe Overflow",POWER(Upgrades!$U$13,E256),1)*IF(Upgrades!$T$14="Roche Lobe Overflow",POWER(Upgrades!$U$14,F256),1)*IF(Upgrades!$T$15="Roche Lobe Overflow",POWER(Upgrades!$U$15,G256),1)*IF(Upgrades!$T$17="Roche Lobe Overflow",POWER(Upgrades!$U$17,I256),1)*IF(Upgrades!$T$18="Roche Lobe Overflow",POWER(Upgrades!$U$18,J256),1)*IF(Upgrades!$T$19="Roche Lobe Overflow",POWER(Upgrades!$U$19,K256),1)*IF(Upgrades!$T$20="Roche Lobe Overflow",POWER(Upgrades!$U$20,L256),1)*IF(Upgrades!$T$21="Roche Lobe Overflow",POWER(Upgrades!$U$21,M256),1))*POWER(Upgrades!$R$13,E256)*POWER(Upgrades!$R$14,F256)*POWER(Upgrades!$R$15,G256)*POWER(Upgrades!$R$16,H256)*POWER(Upgrades!$R$17,I256)*POWER(Upgrades!$R$18,J256)*POWER(Upgrades!$R$19,K256)*POWER(Upgrades!$R$20,L256)*POWER(Upgrades!$R$21,M256)*$H$6*O256*60</f>
        <v/>
      </c>
      <c r="AE256" s="27">
        <f>(IF(I256=0,0,(Upgrades!$G$17+I256*Upgrades!$H$17)*POWER(Upgrades!$I$17,I256)))*(IF(Upgrades!$T$13="Brown Dwarf",POWER(Upgrades!$U$13,E256),1)*IF(Upgrades!$T$14="Brown Dwarf",POWER(Upgrades!$U$14,F256),1)*IF(Upgrades!$T$15="Brown Dwarf",POWER(Upgrades!$U$15,G256),1)*IF(Upgrades!$T$16="Brown Dwarf",POWER(Upgrades!$U$16,H256),1)*IF(Upgrades!$T$18="Brown Dwarf",POWER(Upgrades!$U$18,J256),1)*IF(Upgrades!$T$19="Brown Dwarf",POWER(Upgrades!$U$19,K256),1)*IF(Upgrades!$T$20="Brown Dwarf",POWER(Upgrades!$U$20,L256),1)*IF(Upgrades!$T$21="Brown Dwarf",POWER(Upgrades!$U$21,M256),1))*POWER(Upgrades!$P$13,E256)*POWER(Upgrades!$P$14,F256)*POWER(Upgrades!$P$15,G256)*POWER(Upgrades!$P$16,H256)*POWER(Upgrades!$P$17,I256)*POWER(Upgrades!$P$18,J256)*POWER(Upgrades!$P$19,K256)*POWER(Upgrades!$P$20,L256)*POWER(Upgrades!$P$21,M256)*$F$6*60</f>
        <v/>
      </c>
      <c r="AF256" s="27" t="n">
        <v>0</v>
      </c>
      <c r="AG256" s="27" t="n">
        <v>0</v>
      </c>
      <c r="AH256" s="27" t="n">
        <v>0</v>
      </c>
      <c r="AI256" s="27">
        <f>(IF(M256=0,0,(Upgrades!$G$21+M256*Upgrades!$H$21)*POWER(Upgrades!$I$21,M256)))*(IF(Upgrades!$T$13="Moving Group",POWER(Upgrades!$U$13,E256),1)*IF(Upgrades!$T$14="Moving Group",POWER(Upgrades!$U$14,F256),1)*IF(Upgrades!$T$15="Moving Group",POWER(Upgrades!$U$15,G256),1)*IF(Upgrades!$T$16="Moving Group",POWER(Upgrades!$U$16,H256),1)*IF(Upgrades!$T$17="Moving Group",POWER(Upgrades!$U$17,I256),1)*IF(Upgrades!$T$18="Moving Group",POWER(Upgrades!$U$18,J256),1)*IF(Upgrades!$T$19="Moving Group",POWER(Upgrades!$U$19,K256),1)*IF(Upgrades!$T$20="Moving Group",POWER(Upgrades!$U$20,L256),1))*POWER(Upgrades!$P$13,E256)*POWER(Upgrades!$P$14,F256)*POWER(Upgrades!$P$15,G256)*POWER(Upgrades!$P$16,H256)*POWER(Upgrades!$P$17,I256)*POWER(Upgrades!$P$18,J256)*POWER(Upgrades!$P$19,K256)*POWER(Upgrades!$P$20,L256)*POWER(Upgrades!$P$21,M256)*$F$6*60</f>
        <v/>
      </c>
      <c r="AJ256" s="27">
        <f>$C$6*60</f>
        <v/>
      </c>
      <c r="AK256" s="22">
        <f>IF(E256&gt;=Upgrades!$E$13,"",Upgrades!$C$13*POWER(Upgrades!$D$13,E256))</f>
        <v/>
      </c>
      <c r="AL256" s="22">
        <f>IF(F256&gt;=Upgrades!$E$14,"",Upgrades!$C$14*POWER(Upgrades!$D$14,F256))</f>
        <v/>
      </c>
      <c r="AM256" s="22">
        <f>IF(G256&gt;=Upgrades!$E$15,"",Upgrades!$C$15*POWER(Upgrades!$D$15,G256))</f>
        <v/>
      </c>
      <c r="AN256" s="22">
        <f>IF(H256&gt;=Upgrades!$E$16,"",Upgrades!$C$16*POWER(Upgrades!$D$16,H256))</f>
        <v/>
      </c>
      <c r="AO256" s="22">
        <f>IF(I256&gt;=Upgrades!$E$17,"",Upgrades!$C$17*POWER(Upgrades!$D$17,I256))</f>
        <v/>
      </c>
      <c r="AP256" s="22">
        <f>IF(J256&gt;=Upgrades!$E$18,"",Upgrades!$C$18*POWER(Upgrades!$D$18,J256))</f>
        <v/>
      </c>
      <c r="AQ256" s="22">
        <f>IF(K256&gt;=Upgrades!$E$19,"",Upgrades!$C$19*POWER(Upgrades!$D$19,K256))</f>
        <v/>
      </c>
      <c r="AR256" s="22">
        <f>IF(L256&gt;=Upgrades!$E$20,"",Upgrades!$C$20*POWER(Upgrades!$D$20,L256))</f>
        <v/>
      </c>
      <c r="AS256" s="22">
        <f>IF(M256&gt;=Upgrades!$E$21,"",Upgrades!$C$21*POWER(Upgrades!$D$21,M256))</f>
        <v/>
      </c>
      <c r="AT256" s="26">
        <f>IF(AND(D256&gt;=Parameters!$B$18*Parameters!$B$19,(I256&gt;=Upgrades!$E$17)*(M256&gt;=Upgrades!$E$21)=1,N256=0),1,"")</f>
        <v/>
      </c>
      <c r="AU256" s="26">
        <f>IF(AND(D256&gt;=Parameters!$B$18*Parameters!$B$19,N256=0),1,"")</f>
        <v/>
      </c>
      <c r="AV256" s="22">
        <f>MIN(IF(ISNUMBER(AP256),AP256,9E15),IF(ISNUMBER(AQ256),AQ256,9E15),IF(ISNUMBER(AR256),AR256,9E15),IF(ISNUMBER(AS256),AS256,9E15))</f>
        <v/>
      </c>
      <c r="AW256" s="22">
        <f>MIN(IF(ISNUMBER(AK256),AK256,9E15),IF(ISNUMBER(AL256),AL256,9E15),IF(ISNUMBER(AM256),AM256,9E15),IF(ISNUMBER(AN256),AN256,9E15),IF(ISNUMBER(AO256),AO256,9E15))</f>
        <v/>
      </c>
      <c r="AX256" s="29">
        <f>IF(BD256&gt;Parameters!$B$21*(MAX(IF(AND(NOT(AND(AU256=1,AT256&lt;&gt;1)),ISNUMBER(AK256),AK256&lt;=(C256+T256)),AY256,0),IF(AND(NOT(AND(AU256=1,AT256&lt;&gt;1)),ISNUMBER(AL256),AL256&lt;=(C256+T256)),AZ256,0),IF(AND(NOT(AND(AU256=1,AT256&lt;&gt;1)),ISNUMBER(AM256),AM256&lt;=(C256+T256)),BA256,0),IF(AND(NOT(AND(AU256=1,AT256&lt;&gt;1)),ISNUMBER(AN256),AN256&lt;=(C256+T256)),BB256,0),IF(AND(ISNUMBER(AO256),AO256&lt;=(C256+T256)),BC256,0))),TRUE,FALSE)</f>
        <v/>
      </c>
      <c r="AY256" s="32">
        <f>IFERROR(Upgrades!$H$13*(POWER(Upgrades!$P$13,E256)*POWER(Upgrades!$P$14,F256)*POWER(Upgrades!$P$15,G256)*POWER(Upgrades!$P$16,H256)*POWER(Upgrades!$P$17,I256)*POWER(Upgrades!$P$18,J256)*POWER(Upgrades!$P$19,K256)*POWER(Upgrades!$P$20,L256)*POWER(Upgrades!$P$21,M256))*(IF(Upgrades!$T$14="Stellar Kinematics",POWER(Upgrades!$U$14,F256),1)*IF(Upgrades!$T$15="Stellar Kinematics",POWER(Upgrades!$U$15,G256),1)*IF(Upgrades!$T$16="Stellar Kinematics",POWER(Upgrades!$U$16,H256),1)*IF(Upgrades!$T$17="Stellar Kinematics",POWER(Upgrades!$U$17,I256),1)*IF(Upgrades!$T$18="Stellar Kinematics",POWER(Upgrades!$U$18,J256),1)*IF(Upgrades!$T$19="Stellar Kinematics",POWER(Upgrades!$U$19,K256),1)*IF(Upgrades!$T$20="Stellar Kinematics",POWER(Upgrades!$U$20,L256),1)*IF(Upgrades!$T$21="Stellar Kinematics",POWER(Upgrades!$U$21,M256),1))*$F$6/AK256,0)</f>
        <v/>
      </c>
      <c r="AZ256" s="32">
        <f>IFERROR(Upgrades!$H$14*(POWER(Upgrades!$P$13,E256)*POWER(Upgrades!$P$14,F256)*POWER(Upgrades!$P$15,G256)*POWER(Upgrades!$P$16,H256)*POWER(Upgrades!$P$17,I256)*POWER(Upgrades!$P$18,J256)*POWER(Upgrades!$P$19,K256)*POWER(Upgrades!$P$20,L256)*POWER(Upgrades!$P$21,M256))*(IF(Upgrades!$T$13="Local Bubble",POWER(Upgrades!$U$13,E256),1)*IF(Upgrades!$T$15="Local Bubble",POWER(Upgrades!$U$15,G256),1)*IF(Upgrades!$T$16="Local Bubble",POWER(Upgrades!$U$16,H256),1)*IF(Upgrades!$T$17="Local Bubble",POWER(Upgrades!$U$17,I256),1)*IF(Upgrades!$T$18="Local Bubble",POWER(Upgrades!$U$18,J256),1)*IF(Upgrades!$T$19="Local Bubble",POWER(Upgrades!$U$19,K256),1)*IF(Upgrades!$T$20="Local Bubble",POWER(Upgrades!$U$20,L256),1)*IF(Upgrades!$T$21="Local Bubble",POWER(Upgrades!$U$21,M256),1))*$F$6/AL256,0)</f>
        <v/>
      </c>
      <c r="BA256" s="32">
        <f>IFERROR(Upgrades!$K$15*(POWER(Upgrades!$Q$13,E256)*POWER(Upgrades!$Q$14,F256)*POWER(Upgrades!$Q$15,G256)*POWER(Upgrades!$Q$16,H256)*POWER(Upgrades!$Q$17,I256)*POWER(Upgrades!$Q$18,J256)*POWER(Upgrades!$Q$19,K256)*POWER(Upgrades!$Q$20,L256)*POWER(Upgrades!$Q$21,M256))*(IF(Upgrades!$T$13="Microlensing",POWER(Upgrades!$U$13,E256),1)*IF(Upgrades!$T$14="Microlensing",POWER(Upgrades!$U$14,F256),1)*IF(Upgrades!$T$16="Microlensing",POWER(Upgrades!$U$16,H256),1)*IF(Upgrades!$T$17="Microlensing",POWER(Upgrades!$U$17,I256),1)*IF(Upgrades!$T$18="Microlensing",POWER(Upgrades!$U$18,J256),1)*IF(Upgrades!$T$19="Microlensing",POWER(Upgrades!$U$19,K256),1)*IF(Upgrades!$T$20="Microlensing",POWER(Upgrades!$U$20,L256),1)*IF(Upgrades!$T$21="Microlensing",POWER(Upgrades!$U$21,M256),1))*$G$6*(Parameters!$B$10/60*Parameters!$B$11+Q256)/AM256,0)</f>
        <v/>
      </c>
      <c r="BB256" s="32">
        <f>IFERROR((Upgrades!$N$16*(POWER(Upgrades!$R$13,E256)*POWER(Upgrades!$R$14,F256)*POWER(Upgrades!$R$15,G256)*POWER(Upgrades!$R$16,H256)*POWER(Upgrades!$R$17,I256)*POWER(Upgrades!$R$18,J256)*POWER(Upgrades!$R$19,K256)*POWER(Upgrades!$R$20,L256)*POWER(Upgrades!$R$21,M256))*(IF(Upgrades!$T$13="Roche Lobe Overflow",POWER(Upgrades!$U$13,E256),1)*IF(Upgrades!$T$14="Roche Lobe Overflow",POWER(Upgrades!$U$14,F256),1)*IF(Upgrades!$T$15="Roche Lobe Overflow",POWER(Upgrades!$U$15,G256),1)*IF(Upgrades!$T$17="Roche Lobe Overflow",POWER(Upgrades!$U$17,I256),1)*IF(Upgrades!$T$18="Roche Lobe Overflow",POWER(Upgrades!$U$18,J256),1)*IF(Upgrades!$T$19="Roche Lobe Overflow",POWER(Upgrades!$U$19,K256),1)*IF(Upgrades!$T$20="Roche Lobe Overflow",POWER(Upgrades!$U$20,L256),1)*IF(Upgrades!$T$21="Roche Lobe Overflow",POWER(Upgrades!$U$21,M256),1))*$H$6*O256+((IF(F256=0,0,(Upgrades!$G$14+F256*Upgrades!$H$14)*POWER(Upgrades!$I$14,F256)))*(IF(Upgrades!$T$13="Local Bubble",POWER(Upgrades!$U$13,E256),1)*IF(Upgrades!$T$15="Local Bubble",POWER(Upgrades!$U$15,G256),1)*IF(Upgrades!$T$16="Local Bubble",POWER(Upgrades!$U$16,H256),1)*IF(Upgrades!$T$17="Local Bubble",POWER(Upgrades!$U$17,I256),1)*IF(Upgrades!$T$18="Local Bubble",POWER(Upgrades!$U$18,J256),1)*IF(Upgrades!$T$19="Local Bubble",POWER(Upgrades!$U$19,K256),1)*IF(Upgrades!$T$20="Local Bubble",POWER(Upgrades!$U$20,L256),1)*IF(Upgrades!$T$21="Local Bubble",POWER(Upgrades!$U$21,M256),1))*POWER(Upgrades!$P$13,E256)*POWER(Upgrades!$P$14,F256)*POWER(Upgrades!$P$15,G256)*POWER(Upgrades!$P$16,H256)*POWER(Upgrades!$P$17,I256)*POWER(Upgrades!$P$18,J256)*POWER(Upgrades!$P$19,K256)*POWER(Upgrades!$P$20,L256)*POWER(Upgrades!$P$21,M256)*$F$6)*0.05)/AN256,0)</f>
        <v/>
      </c>
      <c r="BC256" s="32">
        <f>IFERROR((Upgrades!$H$17*(POWER(Upgrades!$P$13,E256)*POWER(Upgrades!$P$14,F256)*POWER(Upgrades!$P$15,G256)*POWER(Upgrades!$P$16,H256)*POWER(Upgrades!$P$17,I256)*POWER(Upgrades!$P$18,J256)*POWER(Upgrades!$P$19,K256)*POWER(Upgrades!$P$20,L256)*POWER(Upgrades!$P$21,M256))*(IF(Upgrades!$T$13="Brown Dwarf",POWER(Upgrades!$U$13,E256),1)*IF(Upgrades!$T$14="Brown Dwarf",POWER(Upgrades!$U$14,F256),1)*IF(Upgrades!$T$15="Brown Dwarf",POWER(Upgrades!$U$15,G256),1)*IF(Upgrades!$T$16="Brown Dwarf",POWER(Upgrades!$U$16,H256),1)*IF(Upgrades!$T$18="Brown Dwarf",POWER(Upgrades!$U$18,J256),1)*IF(Upgrades!$T$19="Brown Dwarf",POWER(Upgrades!$U$19,K256),1)*IF(Upgrades!$T$20="Brown Dwarf",POWER(Upgrades!$U$20,L256),1)*IF(Upgrades!$T$21="Brown Dwarf",POWER(Upgrades!$U$21,M256),1))*$F$6+(((IF(H256=0,0,(Upgrades!$M$16+H256*Upgrades!$N$16)*POWER(Upgrades!$O$16,H256)))*(IF(Upgrades!$T$13="Roche Lobe Overflow",POWER(Upgrades!$U$13,E256),1)*IF(Upgrades!$T$14="Roche Lobe Overflow",POWER(Upgrades!$U$14,F256),1)*IF(Upgrades!$T$15="Roche Lobe Overflow",POWER(Upgrades!$U$15,G256),1)*IF(Upgrades!$T$17="Roche Lobe Overflow",POWER(Upgrades!$U$17,I256),1)*IF(Upgrades!$T$18="Roche Lobe Overflow",POWER(Upgrades!$U$18,J256),1)*IF(Upgrades!$T$19="Roche Lobe Overflow",POWER(Upgrades!$U$19,K256),1)*IF(Upgrades!$T$20="Roche Lobe Overflow",POWER(Upgrades!$U$20,L256),1)*IF(Upgrades!$T$21="Roche Lobe Overflow",POWER(Upgrades!$U$21,M256),1))*POWER(Upgrades!$R$13,E256)*POWER(Upgrades!$R$14,F256)*POWER(Upgrades!$R$15,G256)*POWER(Upgrades!$R$16,H256)*POWER(Upgrades!$R$17,I256)*POWER(Upgrades!$R$18,J256)*POWER(Upgrades!$R$19,K256)*POWER(Upgrades!$R$20,L256)*POWER(Upgrades!$R$21,M256)*$H$6)*O256)*0.10)/AO256,0)</f>
        <v/>
      </c>
      <c r="BD256" s="32">
        <f>MAX(IF(J256&gt;0,0,IFERROR(0.5*((IF(G256=0,0,(Upgrades!$J$15+G256*Upgrades!$K$15)*POWER(Upgrades!$L$15,G256)))*(IF(Upgrades!$T$13="Microlensing",POWER(Upgrades!$U$13,E256),1)*IF(Upgrades!$T$14="Microlensing",POWER(Upgrades!$U$14,F256),1)*IF(Upgrades!$T$16="Microlensing",POWER(Upgrades!$U$16,H256),1)*IF(Upgrades!$T$17="Microlensing",POWER(Upgrades!$U$17,I256),1)*IF(Upgrades!$T$18="Microlensing",POWER(Upgrades!$U$18,J256),1)*IF(Upgrades!$T$19="Microlensing",POWER(Upgrades!$U$19,K256),1)*IF(Upgrades!$T$20="Microlensing",POWER(Upgrades!$U$20,L256),1)*IF(Upgrades!$T$21="Microlensing",POWER(Upgrades!$U$21,M256),1))*(POWER(Upgrades!$Q$13,E256)*POWER(Upgrades!$Q$14,F256)*POWER(Upgrades!$Q$15,G256)*POWER(Upgrades!$Q$16,H256)*POWER(Upgrades!$Q$17,I256)*POWER(Upgrades!$Q$18,J256)*POWER(Upgrades!$Q$19,K256)*POWER(Upgrades!$Q$20,L256)*POWER(Upgrades!$Q$21,M256))*$G$6*(Parameters!$B$10/60*Parameters!$B$11+Q256))/Upgrades!$C$18,0)),IF(K256&gt;0,0,IFERROR(0.30*P256/Upgrades!$C$19,0)),IF(L256&gt;0,0,IFERROR(0.0001/Upgrades!$C$20,0)),IF(M256&gt;0,0,IFERROR((6.0*(POWER(Upgrades!$P$13,E256)*POWER(Upgrades!$P$14,F256)*POWER(Upgrades!$P$15,G256)*POWER(Upgrades!$P$16,H256)*POWER(Upgrades!$P$17,I256)*POWER(Upgrades!$P$18,J256)*POWER(Upgrades!$P$19,K256)*POWER(Upgrades!$P$20,L256)*POWER(Upgrades!$P$21,M256))*$F$6+0.20*O256*(Parameters!$B$10/60*Parameters!$B$11+Q256))/Upgrades!$C$21,0)),IF(AND(ISNUMBER(AK256),AK256&gt;(C256+T256)),AY256,0),IF(AND(ISNUMBER(AL256),AL256&gt;(C256+T256)),AZ256,0),IF(AND(ISNUMBER(AM256),AM256&gt;(C256+T256)),BA256,0),IF(AND(ISNUMBER(AN256),AN256&gt;(C256+T256)),BB256,0),IF(AND(ISNUMBER(AO256),AO256&gt;(C256+T256)),BC256,0))</f>
        <v/>
      </c>
      <c r="BE256" s="29">
        <f>IF(AT256=1,"transition",IF(MIN(IF(AND(J256=0,ISNUMBER(AP256),AP256&lt;=(C256+T256)),AP256,9E15),IF(AND(K256=0,ISNUMBER(AQ256),AQ256&lt;=(C256+T256)),AQ256,9E15),IF(AND(L256=0,ISNUMBER(AR256),AR256&lt;=(C256+T256)),AR256,9E15),IF(AND(M256=0,ISNUMBER(AS256),AS256&lt;=(C256+T256)),AS256,9E15))&lt;9E15,IF(AND(AND(J256=0,ISNUMBER(AP256),AP256&lt;=(C256+T256)),AP256=MIN(IF(AND(J256=0,ISNUMBER(AP256),AP256&lt;=(C256+T256)),AP256,9E15),IF(AND(K256=0,ISNUMBER(AQ256),AQ256&lt;=(C256+T256)),AQ256,9E15),IF(AND(L256=0,ISNUMBER(AR256),AR256&lt;=(C256+T256)),AR256,9E15),IF(AND(M256=0,ISNUMBER(AS256),AS256&lt;=(C256+T256)),AS256,9E15))),"BiP",IF(AND(AND(K256=0,ISNUMBER(AQ256),AQ256&lt;=(C256+T256)),AQ256=MIN(IF(AND(J256=0,ISNUMBER(AP256),AP256&lt;=(C256+T256)),AP256,9E15),IF(AND(K256=0,ISNUMBER(AQ256),AQ256&lt;=(C256+T256)),AQ256,9E15),IF(AND(L256=0,ISNUMBER(AR256),AR256&lt;=(C256+T256)),AR256,9E15),IF(AND(M256=0,ISNUMBER(AS256),AS256&lt;=(C256+T256)),AS256,9E15))),"PV",IF(AND(AND(L256=0,ISNUMBER(AR256),AR256&lt;=(C256+T256)),AR256=MIN(IF(AND(J256=0,ISNUMBER(AP256),AP256&lt;=(C256+T256)),AP256,9E15),IF(AND(K256=0,ISNUMBER(AQ256),AQ256&lt;=(C256+T256)),AQ256,9E15),IF(AND(L256=0,ISNUMBER(AR256),AR256&lt;=(C256+T256)),AR256,9E15),IF(AND(M256=0,ISNUMBER(AS256),AS256&lt;=(C256+T256)),AS256,9E15))),"OC","MG"))),IF(AX256=TRUE,"",IF(MAX(IF(AND(NOT(AND(AU256=1,AT256&lt;&gt;1)),ISNUMBER(AK256),AK256&lt;=(C256+T256)),AY256,0),IF(AND(NOT(AND(AU256=1,AT256&lt;&gt;1)),ISNUMBER(AL256),AL256&lt;=(C256+T256)),AZ256,0),IF(AND(NOT(AND(AU256=1,AT256&lt;&gt;1)),ISNUMBER(AM256),AM256&lt;=(C256+T256)),BA256,0),IF(AND(NOT(AND(AU256=1,AT256&lt;&gt;1)),ISNUMBER(AN256),AN256&lt;=(C256+T256)),BB256,0),IF(AND(ISNUMBER(AO256),AO256&lt;=(C256+T256)),BC256,0))&lt;=0,"",IF(AND(IF(AND(NOT(AND(AU256=1,AT256&lt;&gt;1)),ISNUMBER(AK256),AK256&lt;=(C256+T256)),AY256,0)&gt;0,IF(AND(NOT(AND(AU256=1,AT256&lt;&gt;1)),ISNUMBER(AK256),AK256&lt;=(C256+T256)),AY256,0)=MAX(IF(AND(NOT(AND(AU256=1,AT256&lt;&gt;1)),ISNUMBER(AK256),AK256&lt;=(C256+T256)),AY256,0),IF(AND(NOT(AND(AU256=1,AT256&lt;&gt;1)),ISNUMBER(AL256),AL256&lt;=(C256+T256)),AZ256,0),IF(AND(NOT(AND(AU256=1,AT256&lt;&gt;1)),ISNUMBER(AM256),AM256&lt;=(C256+T256)),BA256,0),IF(AND(NOT(AND(AU256=1,AT256&lt;&gt;1)),ISNUMBER(AN256),AN256&lt;=(C256+T256)),BB256,0),IF(AND(ISNUMBER(AO256),AO256&lt;=(C256+T256)),BC256,0))),"SK",IF(AND(IF(AND(NOT(AND(AU256=1,AT256&lt;&gt;1)),ISNUMBER(AL256),AL256&lt;=(C256+T256)),AZ256,0)&gt;0,IF(AND(NOT(AND(AU256=1,AT256&lt;&gt;1)),ISNUMBER(AL256),AL256&lt;=(C256+T256)),AZ256,0)=MAX(IF(AND(NOT(AND(AU256=1,AT256&lt;&gt;1)),ISNUMBER(AK256),AK256&lt;=(C256+T256)),AY256,0),IF(AND(NOT(AND(AU256=1,AT256&lt;&gt;1)),ISNUMBER(AL256),AL256&lt;=(C256+T256)),AZ256,0),IF(AND(NOT(AND(AU256=1,AT256&lt;&gt;1)),ISNUMBER(AM256),AM256&lt;=(C256+T256)),BA256,0),IF(AND(NOT(AND(AU256=1,AT256&lt;&gt;1)),ISNUMBER(AN256),AN256&lt;=(C256+T256)),BB256,0),IF(AND(ISNUMBER(AO256),AO256&lt;=(C256+T256)),BC256,0))),"LB",IF(AND(IF(AND(NOT(AND(AU256=1,AT256&lt;&gt;1)),ISNUMBER(AM256),AM256&lt;=(C256+T256)),BA256,0)&gt;0,IF(AND(NOT(AND(AU256=1,AT256&lt;&gt;1)),ISNUMBER(AM256),AM256&lt;=(C256+T256)),BA256,0)=MAX(IF(AND(NOT(AND(AU256=1,AT256&lt;&gt;1)),ISNUMBER(AK256),AK256&lt;=(C256+T256)),AY256,0),IF(AND(NOT(AND(AU256=1,AT256&lt;&gt;1)),ISNUMBER(AL256),AL256&lt;=(C256+T256)),AZ256,0),IF(AND(NOT(AND(AU256=1,AT256&lt;&gt;1)),ISNUMBER(AM256),AM256&lt;=(C256+T256)),BA256,0),IF(AND(NOT(AND(AU256=1,AT256&lt;&gt;1)),ISNUMBER(AN256),AN256&lt;=(C256+T256)),BB256,0),IF(AND(ISNUMBER(AO256),AO256&lt;=(C256+T256)),BC256,0))),"ML",IF(AND(IF(AND(NOT(AND(AU256=1,AT256&lt;&gt;1)),ISNUMBER(AN256),AN256&lt;=(C256+T256)),BB256,0)&gt;0,IF(AND(NOT(AND(AU256=1,AT256&lt;&gt;1)),ISNUMBER(AN256),AN256&lt;=(C256+T256)),BB256,0)=MAX(IF(AND(NOT(AND(AU256=1,AT256&lt;&gt;1)),ISNUMBER(AK256),AK256&lt;=(C256+T256)),AY256,0),IF(AND(NOT(AND(AU256=1,AT256&lt;&gt;1)),ISNUMBER(AL256),AL256&lt;=(C256+T256)),AZ256,0),IF(AND(NOT(AND(AU256=1,AT256&lt;&gt;1)),ISNUMBER(AM256),AM256&lt;=(C256+T256)),BA256,0),IF(AND(NOT(AND(AU256=1,AT256&lt;&gt;1)),ISNUMBER(AN256),AN256&lt;=(C256+T256)),BB256,0),IF(AND(ISNUMBER(AO256),AO256&lt;=(C256+T256)),BC256,0))),"RLO","BD"))))))))</f>
        <v/>
      </c>
    </row>
    <row r="257">
      <c r="A257" s="26" t="n">
        <v>246</v>
      </c>
      <c r="B257" s="27">
        <f>A257*10/60</f>
        <v/>
      </c>
      <c r="C257" s="22">
        <f>X256</f>
        <v/>
      </c>
      <c r="D257" s="27">
        <f>D256+W256</f>
        <v/>
      </c>
      <c r="E257" s="26">
        <f>E256+IF(U256="SK",1,0)</f>
        <v/>
      </c>
      <c r="F257" s="26">
        <f>F256+IF(U256="LB",1,0)</f>
        <v/>
      </c>
      <c r="G257" s="26">
        <f>G256+IF(U256="ML",1,0)</f>
        <v/>
      </c>
      <c r="H257" s="26">
        <f>H256+IF(U256="RLO",1,0)</f>
        <v/>
      </c>
      <c r="I257" s="26">
        <f>I256+IF(U256="BD",1,0)</f>
        <v/>
      </c>
      <c r="J257" s="26">
        <f>MAX(J256,IF(U256="BiP",1,0))</f>
        <v/>
      </c>
      <c r="K257" s="26">
        <f>MAX(K256,IF(U256="PV",1,0))</f>
        <v/>
      </c>
      <c r="L257" s="26">
        <f>MAX(L256,IF(U256="OC",1,0))</f>
        <v/>
      </c>
      <c r="M257" s="26">
        <f>MAX(M256,IF(U256="MG",1,0))</f>
        <v/>
      </c>
      <c r="N257" s="26">
        <f>MAX(N256,IF(U256="transition",1,0))</f>
        <v/>
      </c>
      <c r="O257" s="28">
        <f>(Parameters!$B$9+(IF(E257=0,0,(Upgrades!$J$13+E257*Upgrades!$K$13)*POWER(Upgrades!$L$13,E257)))*(IF(Upgrades!$T$14="Stellar Kinematics",POWER(Upgrades!$U$14,F257),1)*IF(Upgrades!$T$15="Stellar Kinematics",POWER(Upgrades!$U$15,G257),1)*IF(Upgrades!$T$16="Stellar Kinematics",POWER(Upgrades!$U$16,H257),1)*IF(Upgrades!$T$17="Stellar Kinematics",POWER(Upgrades!$U$17,I257),1)*IF(Upgrades!$T$18="Stellar Kinematics",POWER(Upgrades!$U$18,J257),1)*IF(Upgrades!$T$19="Stellar Kinematics",POWER(Upgrades!$U$19,K257),1)*IF(Upgrades!$T$20="Stellar Kinematics",POWER(Upgrades!$U$20,L257),1)*IF(Upgrades!$T$21="Stellar Kinematics",POWER(Upgrades!$U$21,M257),1))+(IF(F257=0,0,(Upgrades!$J$14+F257*Upgrades!$K$14)*POWER(Upgrades!$L$14,F257)))*(IF(Upgrades!$T$13="Local Bubble",POWER(Upgrades!$U$13,E257),1)*IF(Upgrades!$T$15="Local Bubble",POWER(Upgrades!$U$15,G257),1)*IF(Upgrades!$T$16="Local Bubble",POWER(Upgrades!$U$16,H257),1)*IF(Upgrades!$T$17="Local Bubble",POWER(Upgrades!$U$17,I257),1)*IF(Upgrades!$T$18="Local Bubble",POWER(Upgrades!$U$18,J257),1)*IF(Upgrades!$T$19="Local Bubble",POWER(Upgrades!$U$19,K257),1)*IF(Upgrades!$T$20="Local Bubble",POWER(Upgrades!$U$20,L257),1)*IF(Upgrades!$T$21="Local Bubble",POWER(Upgrades!$U$21,M257),1))+(IF(G257=0,0,(Upgrades!$J$15+G257*Upgrades!$K$15)*POWER(Upgrades!$L$15,G257)))*(IF(Upgrades!$T$13="Microlensing",POWER(Upgrades!$U$13,E257),1)*IF(Upgrades!$T$14="Microlensing",POWER(Upgrades!$U$14,F257),1)*IF(Upgrades!$T$16="Microlensing",POWER(Upgrades!$U$16,H257),1)*IF(Upgrades!$T$17="Microlensing",POWER(Upgrades!$U$17,I257),1)*IF(Upgrades!$T$18="Microlensing",POWER(Upgrades!$U$18,J257),1)*IF(Upgrades!$T$19="Microlensing",POWER(Upgrades!$U$19,K257),1)*IF(Upgrades!$T$20="Microlensing",POWER(Upgrades!$U$20,L257),1)*IF(Upgrades!$T$21="Microlensing",POWER(Upgrades!$U$21,M257),1))+(IF(H257=0,0,(Upgrades!$J$16+H257*Upgrades!$K$16)*POWER(Upgrades!$L$16,H257)))*(IF(Upgrades!$T$13="Roche Lobe Overflow",POWER(Upgrades!$U$13,E257),1)*IF(Upgrades!$T$14="Roche Lobe Overflow",POWER(Upgrades!$U$14,F257),1)*IF(Upgrades!$T$15="Roche Lobe Overflow",POWER(Upgrades!$U$15,G257),1)*IF(Upgrades!$T$17="Roche Lobe Overflow",POWER(Upgrades!$U$17,I257),1)*IF(Upgrades!$T$18="Roche Lobe Overflow",POWER(Upgrades!$U$18,J257),1)*IF(Upgrades!$T$19="Roche Lobe Overflow",POWER(Upgrades!$U$19,K257),1)*IF(Upgrades!$T$20="Roche Lobe Overflow",POWER(Upgrades!$U$20,L257),1)*IF(Upgrades!$T$21="Roche Lobe Overflow",POWER(Upgrades!$U$21,M257),1))+(IF(I257=0,0,(Upgrades!$J$17+I257*Upgrades!$K$17)*POWER(Upgrades!$L$17,I257)))*(IF(Upgrades!$T$13="Brown Dwarf",POWER(Upgrades!$U$13,E257),1)*IF(Upgrades!$T$14="Brown Dwarf",POWER(Upgrades!$U$14,F257),1)*IF(Upgrades!$T$15="Brown Dwarf",POWER(Upgrades!$U$15,G257),1)*IF(Upgrades!$T$16="Brown Dwarf",POWER(Upgrades!$U$16,H257),1)*IF(Upgrades!$T$18="Brown Dwarf",POWER(Upgrades!$U$18,J257),1)*IF(Upgrades!$T$19="Brown Dwarf",POWER(Upgrades!$U$19,K257),1)*IF(Upgrades!$T$20="Brown Dwarf",POWER(Upgrades!$U$20,L257),1)*IF(Upgrades!$T$21="Brown Dwarf",POWER(Upgrades!$U$21,M257),1))+(IF(J257=0,0,(Upgrades!$J$18+J257*Upgrades!$K$18)*POWER(Upgrades!$L$18,J257)))*(IF(Upgrades!$T$13="Binary Partner",POWER(Upgrades!$U$13,E257),1)*IF(Upgrades!$T$14="Binary Partner",POWER(Upgrades!$U$14,F257),1)*IF(Upgrades!$T$15="Binary Partner",POWER(Upgrades!$U$15,G257),1)*IF(Upgrades!$T$16="Binary Partner",POWER(Upgrades!$U$16,H257),1)*IF(Upgrades!$T$17="Binary Partner",POWER(Upgrades!$U$17,I257),1)*IF(Upgrades!$T$19="Binary Partner",POWER(Upgrades!$U$19,K257),1)*IF(Upgrades!$T$20="Binary Partner",POWER(Upgrades!$U$20,L257),1)*IF(Upgrades!$T$21="Binary Partner",POWER(Upgrades!$U$21,M257),1))+(IF(K257=0,0,(Upgrades!$J$19+K257*Upgrades!$K$19)*POWER(Upgrades!$L$19,K257)))*(IF(Upgrades!$T$13="Peculiar Velocity",POWER(Upgrades!$U$13,E257),1)*IF(Upgrades!$T$14="Peculiar Velocity",POWER(Upgrades!$U$14,F257),1)*IF(Upgrades!$T$15="Peculiar Velocity",POWER(Upgrades!$U$15,G257),1)*IF(Upgrades!$T$16="Peculiar Velocity",POWER(Upgrades!$U$16,H257),1)*IF(Upgrades!$T$17="Peculiar Velocity",POWER(Upgrades!$U$17,I257),1)*IF(Upgrades!$T$18="Peculiar Velocity",POWER(Upgrades!$U$18,J257),1)*IF(Upgrades!$T$20="Peculiar Velocity",POWER(Upgrades!$U$20,L257),1)*IF(Upgrades!$T$21="Peculiar Velocity",POWER(Upgrades!$U$21,M257),1))+(IF(L257=0,0,(Upgrades!$J$20+L257*Upgrades!$K$20)*POWER(Upgrades!$L$20,L257)))*(IF(Upgrades!$T$13="Open Cluster",POWER(Upgrades!$U$13,E257),1)*IF(Upgrades!$T$14="Open Cluster",POWER(Upgrades!$U$14,F257),1)*IF(Upgrades!$T$15="Open Cluster",POWER(Upgrades!$U$15,G257),1)*IF(Upgrades!$T$16="Open Cluster",POWER(Upgrades!$U$16,H257),1)*IF(Upgrades!$T$17="Open Cluster",POWER(Upgrades!$U$17,I257),1)*IF(Upgrades!$T$18="Open Cluster",POWER(Upgrades!$U$18,J257),1)*IF(Upgrades!$T$19="Open Cluster",POWER(Upgrades!$U$19,K257),1)*IF(Upgrades!$T$21="Open Cluster",POWER(Upgrades!$U$21,M257),1))+(IF(M257=0,0,(Upgrades!$J$21+M257*Upgrades!$K$21)*POWER(Upgrades!$L$21,M257)))*(IF(Upgrades!$T$13="Moving Group",POWER(Upgrades!$U$13,E257),1)*IF(Upgrades!$T$14="Moving Group",POWER(Upgrades!$U$14,F257),1)*IF(Upgrades!$T$15="Moving Group",POWER(Upgrades!$U$15,G257),1)*IF(Upgrades!$T$16="Moving Group",POWER(Upgrades!$U$16,H257),1)*IF(Upgrades!$T$17="Moving Group",POWER(Upgrades!$U$17,I257),1)*IF(Upgrades!$T$18="Moving Group",POWER(Upgrades!$U$18,J257),1)*IF(Upgrades!$T$19="Moving Group",POWER(Upgrades!$U$19,K257),1)*IF(Upgrades!$T$20="Moving Group",POWER(Upgrades!$U$20,L257),1)))*POWER(Upgrades!$Q$13,E257)*POWER(Upgrades!$Q$14,F257)*POWER(Upgrades!$Q$15,G257)*POWER(Upgrades!$Q$16,H257)*POWER(Upgrades!$Q$17,I257)*POWER(Upgrades!$Q$18,J257)*POWER(Upgrades!$Q$19,K257)*POWER(Upgrades!$Q$20,L257)*POWER(Upgrades!$Q$21,M257)*$G$6+$D$6</f>
        <v/>
      </c>
      <c r="P257" s="28">
        <f>((IF(E257=0,0,(Upgrades!$G$13+E257*Upgrades!$H$13)*POWER(Upgrades!$I$13,E257)))*(IF(Upgrades!$T$14="Stellar Kinematics",POWER(Upgrades!$U$14,F257),1)*IF(Upgrades!$T$15="Stellar Kinematics",POWER(Upgrades!$U$15,G257),1)*IF(Upgrades!$T$16="Stellar Kinematics",POWER(Upgrades!$U$16,H257),1)*IF(Upgrades!$T$17="Stellar Kinematics",POWER(Upgrades!$U$17,I257),1)*IF(Upgrades!$T$18="Stellar Kinematics",POWER(Upgrades!$U$18,J257),1)*IF(Upgrades!$T$19="Stellar Kinematics",POWER(Upgrades!$U$19,K257),1)*IF(Upgrades!$T$20="Stellar Kinematics",POWER(Upgrades!$U$20,L257),1)*IF(Upgrades!$T$21="Stellar Kinematics",POWER(Upgrades!$U$21,M257),1))+(IF(F257=0,0,(Upgrades!$G$14+F257*Upgrades!$H$14)*POWER(Upgrades!$I$14,F257)))*(IF(Upgrades!$T$13="Local Bubble",POWER(Upgrades!$U$13,E257),1)*IF(Upgrades!$T$15="Local Bubble",POWER(Upgrades!$U$15,G257),1)*IF(Upgrades!$T$16="Local Bubble",POWER(Upgrades!$U$16,H257),1)*IF(Upgrades!$T$17="Local Bubble",POWER(Upgrades!$U$17,I257),1)*IF(Upgrades!$T$18="Local Bubble",POWER(Upgrades!$U$18,J257),1)*IF(Upgrades!$T$19="Local Bubble",POWER(Upgrades!$U$19,K257),1)*IF(Upgrades!$T$20="Local Bubble",POWER(Upgrades!$U$20,L257),1)*IF(Upgrades!$T$21="Local Bubble",POWER(Upgrades!$U$21,M257),1))+(IF(G257=0,0,(Upgrades!$G$15+G257*Upgrades!$H$15)*POWER(Upgrades!$I$15,G257)))*(IF(Upgrades!$T$13="Microlensing",POWER(Upgrades!$U$13,E257),1)*IF(Upgrades!$T$14="Microlensing",POWER(Upgrades!$U$14,F257),1)*IF(Upgrades!$T$16="Microlensing",POWER(Upgrades!$U$16,H257),1)*IF(Upgrades!$T$17="Microlensing",POWER(Upgrades!$U$17,I257),1)*IF(Upgrades!$T$18="Microlensing",POWER(Upgrades!$U$18,J257),1)*IF(Upgrades!$T$19="Microlensing",POWER(Upgrades!$U$19,K257),1)*IF(Upgrades!$T$20="Microlensing",POWER(Upgrades!$U$20,L257),1)*IF(Upgrades!$T$21="Microlensing",POWER(Upgrades!$U$21,M257),1))+(IF(H257=0,0,(Upgrades!$G$16+H257*Upgrades!$H$16)*POWER(Upgrades!$I$16,H257)))*(IF(Upgrades!$T$13="Roche Lobe Overflow",POWER(Upgrades!$U$13,E257),1)*IF(Upgrades!$T$14="Roche Lobe Overflow",POWER(Upgrades!$U$14,F257),1)*IF(Upgrades!$T$15="Roche Lobe Overflow",POWER(Upgrades!$U$15,G257),1)*IF(Upgrades!$T$17="Roche Lobe Overflow",POWER(Upgrades!$U$17,I257),1)*IF(Upgrades!$T$18="Roche Lobe Overflow",POWER(Upgrades!$U$18,J257),1)*IF(Upgrades!$T$19="Roche Lobe Overflow",POWER(Upgrades!$U$19,K257),1)*IF(Upgrades!$T$20="Roche Lobe Overflow",POWER(Upgrades!$U$20,L257),1)*IF(Upgrades!$T$21="Roche Lobe Overflow",POWER(Upgrades!$U$21,M257),1))+(IF(I257=0,0,(Upgrades!$G$17+I257*Upgrades!$H$17)*POWER(Upgrades!$I$17,I257)))*(IF(Upgrades!$T$13="Brown Dwarf",POWER(Upgrades!$U$13,E257),1)*IF(Upgrades!$T$14="Brown Dwarf",POWER(Upgrades!$U$14,F257),1)*IF(Upgrades!$T$15="Brown Dwarf",POWER(Upgrades!$U$15,G257),1)*IF(Upgrades!$T$16="Brown Dwarf",POWER(Upgrades!$U$16,H257),1)*IF(Upgrades!$T$18="Brown Dwarf",POWER(Upgrades!$U$18,J257),1)*IF(Upgrades!$T$19="Brown Dwarf",POWER(Upgrades!$U$19,K257),1)*IF(Upgrades!$T$20="Brown Dwarf",POWER(Upgrades!$U$20,L257),1)*IF(Upgrades!$T$21="Brown Dwarf",POWER(Upgrades!$U$21,M257),1))+(IF(J257=0,0,(Upgrades!$G$18+J257*Upgrades!$H$18)*POWER(Upgrades!$I$18,J257)))*(IF(Upgrades!$T$13="Binary Partner",POWER(Upgrades!$U$13,E257),1)*IF(Upgrades!$T$14="Binary Partner",POWER(Upgrades!$U$14,F257),1)*IF(Upgrades!$T$15="Binary Partner",POWER(Upgrades!$U$15,G257),1)*IF(Upgrades!$T$16="Binary Partner",POWER(Upgrades!$U$16,H257),1)*IF(Upgrades!$T$17="Binary Partner",POWER(Upgrades!$U$17,I257),1)*IF(Upgrades!$T$19="Binary Partner",POWER(Upgrades!$U$19,K257),1)*IF(Upgrades!$T$20="Binary Partner",POWER(Upgrades!$U$20,L257),1)*IF(Upgrades!$T$21="Binary Partner",POWER(Upgrades!$U$21,M257),1))+(IF(K257=0,0,(Upgrades!$G$19+K257*Upgrades!$H$19)*POWER(Upgrades!$I$19,K257)))*(IF(Upgrades!$T$13="Peculiar Velocity",POWER(Upgrades!$U$13,E257),1)*IF(Upgrades!$T$14="Peculiar Velocity",POWER(Upgrades!$U$14,F257),1)*IF(Upgrades!$T$15="Peculiar Velocity",POWER(Upgrades!$U$15,G257),1)*IF(Upgrades!$T$16="Peculiar Velocity",POWER(Upgrades!$U$16,H257),1)*IF(Upgrades!$T$17="Peculiar Velocity",POWER(Upgrades!$U$17,I257),1)*IF(Upgrades!$T$18="Peculiar Velocity",POWER(Upgrades!$U$18,J257),1)*IF(Upgrades!$T$20="Peculiar Velocity",POWER(Upgrades!$U$20,L257),1)*IF(Upgrades!$T$21="Peculiar Velocity",POWER(Upgrades!$U$21,M257),1))+(IF(L257=0,0,(Upgrades!$G$20+L257*Upgrades!$H$20)*POWER(Upgrades!$I$20,L257)))*(IF(Upgrades!$T$13="Open Cluster",POWER(Upgrades!$U$13,E257),1)*IF(Upgrades!$T$14="Open Cluster",POWER(Upgrades!$U$14,F257),1)*IF(Upgrades!$T$15="Open Cluster",POWER(Upgrades!$U$15,G257),1)*IF(Upgrades!$T$16="Open Cluster",POWER(Upgrades!$U$16,H257),1)*IF(Upgrades!$T$17="Open Cluster",POWER(Upgrades!$U$17,I257),1)*IF(Upgrades!$T$18="Open Cluster",POWER(Upgrades!$U$18,J257),1)*IF(Upgrades!$T$19="Open Cluster",POWER(Upgrades!$U$19,K257),1)*IF(Upgrades!$T$21="Open Cluster",POWER(Upgrades!$U$21,M257),1))+(IF(M257=0,0,(Upgrades!$G$21+M257*Upgrades!$H$21)*POWER(Upgrades!$I$21,M257)))*(IF(Upgrades!$T$13="Moving Group",POWER(Upgrades!$U$13,E257),1)*IF(Upgrades!$T$14="Moving Group",POWER(Upgrades!$U$14,F257),1)*IF(Upgrades!$T$15="Moving Group",POWER(Upgrades!$U$15,G257),1)*IF(Upgrades!$T$16="Moving Group",POWER(Upgrades!$U$16,H257),1)*IF(Upgrades!$T$17="Moving Group",POWER(Upgrades!$U$17,I257),1)*IF(Upgrades!$T$18="Moving Group",POWER(Upgrades!$U$18,J257),1)*IF(Upgrades!$T$19="Moving Group",POWER(Upgrades!$U$19,K257),1)*IF(Upgrades!$T$20="Moving Group",POWER(Upgrades!$U$20,L257),1)))*POWER(Upgrades!$P$13,E257)*POWER(Upgrades!$P$14,F257)*POWER(Upgrades!$P$15,G257)*POWER(Upgrades!$P$16,H257)*POWER(Upgrades!$P$17,I257)*POWER(Upgrades!$P$18,J257)*POWER(Upgrades!$P$19,K257)*POWER(Upgrades!$P$20,L257)*POWER(Upgrades!$P$21,M257)*$F$6+$C$6</f>
        <v/>
      </c>
      <c r="Q257" s="28">
        <f>((IF(E257=0,0,(Upgrades!$M$13+E257*Upgrades!$N$13)*POWER(Upgrades!$O$13,E257)))*(IF(Upgrades!$T$14="Stellar Kinematics",POWER(Upgrades!$U$14,F257),1)*IF(Upgrades!$T$15="Stellar Kinematics",POWER(Upgrades!$U$15,G257),1)*IF(Upgrades!$T$16="Stellar Kinematics",POWER(Upgrades!$U$16,H257),1)*IF(Upgrades!$T$17="Stellar Kinematics",POWER(Upgrades!$U$17,I257),1)*IF(Upgrades!$T$18="Stellar Kinematics",POWER(Upgrades!$U$18,J257),1)*IF(Upgrades!$T$19="Stellar Kinematics",POWER(Upgrades!$U$19,K257),1)*IF(Upgrades!$T$20="Stellar Kinematics",POWER(Upgrades!$U$20,L257),1)*IF(Upgrades!$T$21="Stellar Kinematics",POWER(Upgrades!$U$21,M257),1))+(IF(F257=0,0,(Upgrades!$M$14+F257*Upgrades!$N$14)*POWER(Upgrades!$O$14,F257)))*(IF(Upgrades!$T$13="Local Bubble",POWER(Upgrades!$U$13,E257),1)*IF(Upgrades!$T$15="Local Bubble",POWER(Upgrades!$U$15,G257),1)*IF(Upgrades!$T$16="Local Bubble",POWER(Upgrades!$U$16,H257),1)*IF(Upgrades!$T$17="Local Bubble",POWER(Upgrades!$U$17,I257),1)*IF(Upgrades!$T$18="Local Bubble",POWER(Upgrades!$U$18,J257),1)*IF(Upgrades!$T$19="Local Bubble",POWER(Upgrades!$U$19,K257),1)*IF(Upgrades!$T$20="Local Bubble",POWER(Upgrades!$U$20,L257),1)*IF(Upgrades!$T$21="Local Bubble",POWER(Upgrades!$U$21,M257),1))+(IF(G257=0,0,(Upgrades!$M$15+G257*Upgrades!$N$15)*POWER(Upgrades!$O$15,G257)))*(IF(Upgrades!$T$13="Microlensing",POWER(Upgrades!$U$13,E257),1)*IF(Upgrades!$T$14="Microlensing",POWER(Upgrades!$U$14,F257),1)*IF(Upgrades!$T$16="Microlensing",POWER(Upgrades!$U$16,H257),1)*IF(Upgrades!$T$17="Microlensing",POWER(Upgrades!$U$17,I257),1)*IF(Upgrades!$T$18="Microlensing",POWER(Upgrades!$U$18,J257),1)*IF(Upgrades!$T$19="Microlensing",POWER(Upgrades!$U$19,K257),1)*IF(Upgrades!$T$20="Microlensing",POWER(Upgrades!$U$20,L257),1)*IF(Upgrades!$T$21="Microlensing",POWER(Upgrades!$U$21,M257),1))+(IF(H257=0,0,(Upgrades!$M$16+H257*Upgrades!$N$16)*POWER(Upgrades!$O$16,H257)))*(IF(Upgrades!$T$13="Roche Lobe Overflow",POWER(Upgrades!$U$13,E257),1)*IF(Upgrades!$T$14="Roche Lobe Overflow",POWER(Upgrades!$U$14,F257),1)*IF(Upgrades!$T$15="Roche Lobe Overflow",POWER(Upgrades!$U$15,G257),1)*IF(Upgrades!$T$17="Roche Lobe Overflow",POWER(Upgrades!$U$17,I257),1)*IF(Upgrades!$T$18="Roche Lobe Overflow",POWER(Upgrades!$U$18,J257),1)*IF(Upgrades!$T$19="Roche Lobe Overflow",POWER(Upgrades!$U$19,K257),1)*IF(Upgrades!$T$20="Roche Lobe Overflow",POWER(Upgrades!$U$20,L257),1)*IF(Upgrades!$T$21="Roche Lobe Overflow",POWER(Upgrades!$U$21,M257),1))+(IF(I257=0,0,(Upgrades!$M$17+I257*Upgrades!$N$17)*POWER(Upgrades!$O$17,I257)))*(IF(Upgrades!$T$13="Brown Dwarf",POWER(Upgrades!$U$13,E257),1)*IF(Upgrades!$T$14="Brown Dwarf",POWER(Upgrades!$U$14,F257),1)*IF(Upgrades!$T$15="Brown Dwarf",POWER(Upgrades!$U$15,G257),1)*IF(Upgrades!$T$16="Brown Dwarf",POWER(Upgrades!$U$16,H257),1)*IF(Upgrades!$T$18="Brown Dwarf",POWER(Upgrades!$U$18,J257),1)*IF(Upgrades!$T$19="Brown Dwarf",POWER(Upgrades!$U$19,K257),1)*IF(Upgrades!$T$20="Brown Dwarf",POWER(Upgrades!$U$20,L257),1)*IF(Upgrades!$T$21="Brown Dwarf",POWER(Upgrades!$U$21,M257),1))+(IF(J257=0,0,(Upgrades!$M$18+J257*Upgrades!$N$18)*POWER(Upgrades!$O$18,J257)))*(IF(Upgrades!$T$13="Binary Partner",POWER(Upgrades!$U$13,E257),1)*IF(Upgrades!$T$14="Binary Partner",POWER(Upgrades!$U$14,F257),1)*IF(Upgrades!$T$15="Binary Partner",POWER(Upgrades!$U$15,G257),1)*IF(Upgrades!$T$16="Binary Partner",POWER(Upgrades!$U$16,H257),1)*IF(Upgrades!$T$17="Binary Partner",POWER(Upgrades!$U$17,I257),1)*IF(Upgrades!$T$19="Binary Partner",POWER(Upgrades!$U$19,K257),1)*IF(Upgrades!$T$20="Binary Partner",POWER(Upgrades!$U$20,L257),1)*IF(Upgrades!$T$21="Binary Partner",POWER(Upgrades!$U$21,M257),1))+(IF(K257=0,0,(Upgrades!$M$19+K257*Upgrades!$N$19)*POWER(Upgrades!$O$19,K257)))*(IF(Upgrades!$T$13="Peculiar Velocity",POWER(Upgrades!$U$13,E257),1)*IF(Upgrades!$T$14="Peculiar Velocity",POWER(Upgrades!$U$14,F257),1)*IF(Upgrades!$T$15="Peculiar Velocity",POWER(Upgrades!$U$15,G257),1)*IF(Upgrades!$T$16="Peculiar Velocity",POWER(Upgrades!$U$16,H257),1)*IF(Upgrades!$T$17="Peculiar Velocity",POWER(Upgrades!$U$17,I257),1)*IF(Upgrades!$T$18="Peculiar Velocity",POWER(Upgrades!$U$18,J257),1)*IF(Upgrades!$T$20="Peculiar Velocity",POWER(Upgrades!$U$20,L257),1)*IF(Upgrades!$T$21="Peculiar Velocity",POWER(Upgrades!$U$21,M257),1))+(IF(L257=0,0,(Upgrades!$M$20+L257*Upgrades!$N$20)*POWER(Upgrades!$O$20,L257)))*(IF(Upgrades!$T$13="Open Cluster",POWER(Upgrades!$U$13,E257),1)*IF(Upgrades!$T$14="Open Cluster",POWER(Upgrades!$U$14,F257),1)*IF(Upgrades!$T$15="Open Cluster",POWER(Upgrades!$U$15,G257),1)*IF(Upgrades!$T$16="Open Cluster",POWER(Upgrades!$U$16,H257),1)*IF(Upgrades!$T$17="Open Cluster",POWER(Upgrades!$U$17,I257),1)*IF(Upgrades!$T$18="Open Cluster",POWER(Upgrades!$U$18,J257),1)*IF(Upgrades!$T$19="Open Cluster",POWER(Upgrades!$U$19,K257),1)*IF(Upgrades!$T$21="Open Cluster",POWER(Upgrades!$U$21,M257),1))+(IF(M257=0,0,(Upgrades!$M$21+M257*Upgrades!$N$21)*POWER(Upgrades!$O$21,M257)))*(IF(Upgrades!$T$13="Moving Group",POWER(Upgrades!$U$13,E257),1)*IF(Upgrades!$T$14="Moving Group",POWER(Upgrades!$U$14,F257),1)*IF(Upgrades!$T$15="Moving Group",POWER(Upgrades!$U$15,G257),1)*IF(Upgrades!$T$16="Moving Group",POWER(Upgrades!$U$16,H257),1)*IF(Upgrades!$T$17="Moving Group",POWER(Upgrades!$U$17,I257),1)*IF(Upgrades!$T$18="Moving Group",POWER(Upgrades!$U$18,J257),1)*IF(Upgrades!$T$19="Moving Group",POWER(Upgrades!$U$19,K257),1)*IF(Upgrades!$T$20="Moving Group",POWER(Upgrades!$U$20,L257),1)))*POWER(Upgrades!$R$13,E257)*POWER(Upgrades!$R$14,F257)*POWER(Upgrades!$R$15,G257)*POWER(Upgrades!$R$16,H257)*POWER(Upgrades!$R$17,I257)*POWER(Upgrades!$R$18,J257)*POWER(Upgrades!$R$19,K257)*POWER(Upgrades!$R$20,L257)*POWER(Upgrades!$R$21,M257)*$H$6+$E$6</f>
        <v/>
      </c>
      <c r="R257" s="27">
        <f>IF(N257=1,0,O257*Parameters!$B$10/60*Parameters!$B$11*10)</f>
        <v/>
      </c>
      <c r="S257" s="27">
        <f>IF(N257=1,0,Q257*O257*10)</f>
        <v/>
      </c>
      <c r="T257" s="27">
        <f>IF(N257=1,0,R257+S257+P257*10)</f>
        <v/>
      </c>
      <c r="U257" s="33">
        <f>BE257</f>
        <v/>
      </c>
      <c r="V257" s="22">
        <f>IF(U257="",0,IF(U257="transition",0,IF(U257="SK",AK257,IF(U257="LB",AL257,IF(U257="ML",AM257,IF(U257="RLO",AN257,IF(U257="BD",AO257,IF(U257="BiP",AP257,IF(U257="PV",AQ257,IF(U257="OC",AR257,IF(U257="MG",AS257,0))))))))))</f>
        <v/>
      </c>
      <c r="W257" s="27">
        <f>IF(U257="BiP",Upgrades!$F$18,IF(U257="PV",Upgrades!$F$19,IF(U257="OC",Upgrades!$F$20,IF(U257="MG",Upgrades!$F$21,IF(U257="transition",-Parameters!$B$18*Parameters!$B$19,0)))))</f>
        <v/>
      </c>
      <c r="X257" s="22">
        <f>C257+T257-V257</f>
        <v/>
      </c>
      <c r="Y257" s="30">
        <f>O257*Parameters!$B$10/60*Parameters!$B$11+Q257*O257+P257</f>
        <v/>
      </c>
      <c r="Z257" s="34">
        <f>IF(U257="transition","→ Tier 3 (Galactic Arm)",IF(U257="MG","Moving Group — pocket drifts together",IF(U257="OC","Open Cluster acquired",IF(U257="PV","Peculiar Velocity — passive multiplier active",IF(U257="BiP","Binary Partner — pair bond formed",IF(AND(AU257=1,N257=0,AT257&lt;&gt;1),"Cohesion ready (waiting on completionists)","")))))) </f>
        <v/>
      </c>
      <c r="AA257" s="27">
        <f>(IF(E257=0,0,(Upgrades!$G$13+E257*Upgrades!$H$13)*POWER(Upgrades!$I$13,E257)))*(IF(Upgrades!$T$14="Stellar Kinematics",POWER(Upgrades!$U$14,F257),1)*IF(Upgrades!$T$15="Stellar Kinematics",POWER(Upgrades!$U$15,G257),1)*IF(Upgrades!$T$16="Stellar Kinematics",POWER(Upgrades!$U$16,H257),1)*IF(Upgrades!$T$17="Stellar Kinematics",POWER(Upgrades!$U$17,I257),1)*IF(Upgrades!$T$18="Stellar Kinematics",POWER(Upgrades!$U$18,J257),1)*IF(Upgrades!$T$19="Stellar Kinematics",POWER(Upgrades!$U$19,K257),1)*IF(Upgrades!$T$20="Stellar Kinematics",POWER(Upgrades!$U$20,L257),1)*IF(Upgrades!$T$21="Stellar Kinematics",POWER(Upgrades!$U$21,M257),1))*POWER(Upgrades!$P$13,E257)*POWER(Upgrades!$P$14,F257)*POWER(Upgrades!$P$15,G257)*POWER(Upgrades!$P$16,H257)*POWER(Upgrades!$P$17,I257)*POWER(Upgrades!$P$18,J257)*POWER(Upgrades!$P$19,K257)*POWER(Upgrades!$P$20,L257)*POWER(Upgrades!$P$21,M257)*$F$6*60</f>
        <v/>
      </c>
      <c r="AB257" s="27">
        <f>(IF(F257=0,0,(Upgrades!$G$14+F257*Upgrades!$H$14)*POWER(Upgrades!$I$14,F257)))*(IF(Upgrades!$T$13="Local Bubble",POWER(Upgrades!$U$13,E257),1)*IF(Upgrades!$T$15="Local Bubble",POWER(Upgrades!$U$15,G257),1)*IF(Upgrades!$T$16="Local Bubble",POWER(Upgrades!$U$16,H257),1)*IF(Upgrades!$T$17="Local Bubble",POWER(Upgrades!$U$17,I257),1)*IF(Upgrades!$T$18="Local Bubble",POWER(Upgrades!$U$18,J257),1)*IF(Upgrades!$T$19="Local Bubble",POWER(Upgrades!$U$19,K257),1)*IF(Upgrades!$T$20="Local Bubble",POWER(Upgrades!$U$20,L257),1)*IF(Upgrades!$T$21="Local Bubble",POWER(Upgrades!$U$21,M257),1))*POWER(Upgrades!$P$13,E257)*POWER(Upgrades!$P$14,F257)*POWER(Upgrades!$P$15,G257)*POWER(Upgrades!$P$16,H257)*POWER(Upgrades!$P$17,I257)*POWER(Upgrades!$P$18,J257)*POWER(Upgrades!$P$19,K257)*POWER(Upgrades!$P$20,L257)*POWER(Upgrades!$P$21,M257)*$F$6*60</f>
        <v/>
      </c>
      <c r="AC257" s="27">
        <f>(IF(G257=0,0,(Upgrades!$J$15+G257*Upgrades!$K$15)*POWER(Upgrades!$L$15,G257)))*(IF(Upgrades!$T$13="Microlensing",POWER(Upgrades!$U$13,E257),1)*IF(Upgrades!$T$14="Microlensing",POWER(Upgrades!$U$14,F257),1)*IF(Upgrades!$T$16="Microlensing",POWER(Upgrades!$U$16,H257),1)*IF(Upgrades!$T$17="Microlensing",POWER(Upgrades!$U$17,I257),1)*IF(Upgrades!$T$18="Microlensing",POWER(Upgrades!$U$18,J257),1)*IF(Upgrades!$T$19="Microlensing",POWER(Upgrades!$U$19,K257),1)*IF(Upgrades!$T$20="Microlensing",POWER(Upgrades!$U$20,L257),1)*IF(Upgrades!$T$21="Microlensing",POWER(Upgrades!$U$21,M257),1))*POWER(Upgrades!$Q$13,E257)*POWER(Upgrades!$Q$14,F257)*POWER(Upgrades!$Q$15,G257)*POWER(Upgrades!$Q$16,H257)*POWER(Upgrades!$Q$17,I257)*POWER(Upgrades!$Q$18,J257)*POWER(Upgrades!$Q$19,K257)*POWER(Upgrades!$Q$20,L257)*POWER(Upgrades!$Q$21,M257)*$G$6*(Parameters!$B$10*Parameters!$B$11+Q257*60)</f>
        <v/>
      </c>
      <c r="AD257" s="27">
        <f>(IF(H257=0,0,(Upgrades!$M$16+H257*Upgrades!$N$16)*POWER(Upgrades!$O$16,H257)))*(IF(Upgrades!$T$13="Roche Lobe Overflow",POWER(Upgrades!$U$13,E257),1)*IF(Upgrades!$T$14="Roche Lobe Overflow",POWER(Upgrades!$U$14,F257),1)*IF(Upgrades!$T$15="Roche Lobe Overflow",POWER(Upgrades!$U$15,G257),1)*IF(Upgrades!$T$17="Roche Lobe Overflow",POWER(Upgrades!$U$17,I257),1)*IF(Upgrades!$T$18="Roche Lobe Overflow",POWER(Upgrades!$U$18,J257),1)*IF(Upgrades!$T$19="Roche Lobe Overflow",POWER(Upgrades!$U$19,K257),1)*IF(Upgrades!$T$20="Roche Lobe Overflow",POWER(Upgrades!$U$20,L257),1)*IF(Upgrades!$T$21="Roche Lobe Overflow",POWER(Upgrades!$U$21,M257),1))*POWER(Upgrades!$R$13,E257)*POWER(Upgrades!$R$14,F257)*POWER(Upgrades!$R$15,G257)*POWER(Upgrades!$R$16,H257)*POWER(Upgrades!$R$17,I257)*POWER(Upgrades!$R$18,J257)*POWER(Upgrades!$R$19,K257)*POWER(Upgrades!$R$20,L257)*POWER(Upgrades!$R$21,M257)*$H$6*O257*60</f>
        <v/>
      </c>
      <c r="AE257" s="27">
        <f>(IF(I257=0,0,(Upgrades!$G$17+I257*Upgrades!$H$17)*POWER(Upgrades!$I$17,I257)))*(IF(Upgrades!$T$13="Brown Dwarf",POWER(Upgrades!$U$13,E257),1)*IF(Upgrades!$T$14="Brown Dwarf",POWER(Upgrades!$U$14,F257),1)*IF(Upgrades!$T$15="Brown Dwarf",POWER(Upgrades!$U$15,G257),1)*IF(Upgrades!$T$16="Brown Dwarf",POWER(Upgrades!$U$16,H257),1)*IF(Upgrades!$T$18="Brown Dwarf",POWER(Upgrades!$U$18,J257),1)*IF(Upgrades!$T$19="Brown Dwarf",POWER(Upgrades!$U$19,K257),1)*IF(Upgrades!$T$20="Brown Dwarf",POWER(Upgrades!$U$20,L257),1)*IF(Upgrades!$T$21="Brown Dwarf",POWER(Upgrades!$U$21,M257),1))*POWER(Upgrades!$P$13,E257)*POWER(Upgrades!$P$14,F257)*POWER(Upgrades!$P$15,G257)*POWER(Upgrades!$P$16,H257)*POWER(Upgrades!$P$17,I257)*POWER(Upgrades!$P$18,J257)*POWER(Upgrades!$P$19,K257)*POWER(Upgrades!$P$20,L257)*POWER(Upgrades!$P$21,M257)*$F$6*60</f>
        <v/>
      </c>
      <c r="AF257" s="27" t="n">
        <v>0</v>
      </c>
      <c r="AG257" s="27" t="n">
        <v>0</v>
      </c>
      <c r="AH257" s="27" t="n">
        <v>0</v>
      </c>
      <c r="AI257" s="27">
        <f>(IF(M257=0,0,(Upgrades!$G$21+M257*Upgrades!$H$21)*POWER(Upgrades!$I$21,M257)))*(IF(Upgrades!$T$13="Moving Group",POWER(Upgrades!$U$13,E257),1)*IF(Upgrades!$T$14="Moving Group",POWER(Upgrades!$U$14,F257),1)*IF(Upgrades!$T$15="Moving Group",POWER(Upgrades!$U$15,G257),1)*IF(Upgrades!$T$16="Moving Group",POWER(Upgrades!$U$16,H257),1)*IF(Upgrades!$T$17="Moving Group",POWER(Upgrades!$U$17,I257),1)*IF(Upgrades!$T$18="Moving Group",POWER(Upgrades!$U$18,J257),1)*IF(Upgrades!$T$19="Moving Group",POWER(Upgrades!$U$19,K257),1)*IF(Upgrades!$T$20="Moving Group",POWER(Upgrades!$U$20,L257),1))*POWER(Upgrades!$P$13,E257)*POWER(Upgrades!$P$14,F257)*POWER(Upgrades!$P$15,G257)*POWER(Upgrades!$P$16,H257)*POWER(Upgrades!$P$17,I257)*POWER(Upgrades!$P$18,J257)*POWER(Upgrades!$P$19,K257)*POWER(Upgrades!$P$20,L257)*POWER(Upgrades!$P$21,M257)*$F$6*60</f>
        <v/>
      </c>
      <c r="AJ257" s="27">
        <f>$C$6*60</f>
        <v/>
      </c>
      <c r="AK257" s="22">
        <f>IF(E257&gt;=Upgrades!$E$13,"",Upgrades!$C$13*POWER(Upgrades!$D$13,E257))</f>
        <v/>
      </c>
      <c r="AL257" s="22">
        <f>IF(F257&gt;=Upgrades!$E$14,"",Upgrades!$C$14*POWER(Upgrades!$D$14,F257))</f>
        <v/>
      </c>
      <c r="AM257" s="22">
        <f>IF(G257&gt;=Upgrades!$E$15,"",Upgrades!$C$15*POWER(Upgrades!$D$15,G257))</f>
        <v/>
      </c>
      <c r="AN257" s="22">
        <f>IF(H257&gt;=Upgrades!$E$16,"",Upgrades!$C$16*POWER(Upgrades!$D$16,H257))</f>
        <v/>
      </c>
      <c r="AO257" s="22">
        <f>IF(I257&gt;=Upgrades!$E$17,"",Upgrades!$C$17*POWER(Upgrades!$D$17,I257))</f>
        <v/>
      </c>
      <c r="AP257" s="22">
        <f>IF(J257&gt;=Upgrades!$E$18,"",Upgrades!$C$18*POWER(Upgrades!$D$18,J257))</f>
        <v/>
      </c>
      <c r="AQ257" s="22">
        <f>IF(K257&gt;=Upgrades!$E$19,"",Upgrades!$C$19*POWER(Upgrades!$D$19,K257))</f>
        <v/>
      </c>
      <c r="AR257" s="22">
        <f>IF(L257&gt;=Upgrades!$E$20,"",Upgrades!$C$20*POWER(Upgrades!$D$20,L257))</f>
        <v/>
      </c>
      <c r="AS257" s="22">
        <f>IF(M257&gt;=Upgrades!$E$21,"",Upgrades!$C$21*POWER(Upgrades!$D$21,M257))</f>
        <v/>
      </c>
      <c r="AT257" s="26">
        <f>IF(AND(D257&gt;=Parameters!$B$18*Parameters!$B$19,(I257&gt;=Upgrades!$E$17)*(M257&gt;=Upgrades!$E$21)=1,N257=0),1,"")</f>
        <v/>
      </c>
      <c r="AU257" s="26">
        <f>IF(AND(D257&gt;=Parameters!$B$18*Parameters!$B$19,N257=0),1,"")</f>
        <v/>
      </c>
      <c r="AV257" s="22">
        <f>MIN(IF(ISNUMBER(AP257),AP257,9E15),IF(ISNUMBER(AQ257),AQ257,9E15),IF(ISNUMBER(AR257),AR257,9E15),IF(ISNUMBER(AS257),AS257,9E15))</f>
        <v/>
      </c>
      <c r="AW257" s="22">
        <f>MIN(IF(ISNUMBER(AK257),AK257,9E15),IF(ISNUMBER(AL257),AL257,9E15),IF(ISNUMBER(AM257),AM257,9E15),IF(ISNUMBER(AN257),AN257,9E15),IF(ISNUMBER(AO257),AO257,9E15))</f>
        <v/>
      </c>
      <c r="AX257" s="29">
        <f>IF(BD257&gt;Parameters!$B$21*(MAX(IF(AND(NOT(AND(AU257=1,AT257&lt;&gt;1)),ISNUMBER(AK257),AK257&lt;=(C257+T257)),AY257,0),IF(AND(NOT(AND(AU257=1,AT257&lt;&gt;1)),ISNUMBER(AL257),AL257&lt;=(C257+T257)),AZ257,0),IF(AND(NOT(AND(AU257=1,AT257&lt;&gt;1)),ISNUMBER(AM257),AM257&lt;=(C257+T257)),BA257,0),IF(AND(NOT(AND(AU257=1,AT257&lt;&gt;1)),ISNUMBER(AN257),AN257&lt;=(C257+T257)),BB257,0),IF(AND(ISNUMBER(AO257),AO257&lt;=(C257+T257)),BC257,0))),TRUE,FALSE)</f>
        <v/>
      </c>
      <c r="AY257" s="32">
        <f>IFERROR(Upgrades!$H$13*(POWER(Upgrades!$P$13,E257)*POWER(Upgrades!$P$14,F257)*POWER(Upgrades!$P$15,G257)*POWER(Upgrades!$P$16,H257)*POWER(Upgrades!$P$17,I257)*POWER(Upgrades!$P$18,J257)*POWER(Upgrades!$P$19,K257)*POWER(Upgrades!$P$20,L257)*POWER(Upgrades!$P$21,M257))*(IF(Upgrades!$T$14="Stellar Kinematics",POWER(Upgrades!$U$14,F257),1)*IF(Upgrades!$T$15="Stellar Kinematics",POWER(Upgrades!$U$15,G257),1)*IF(Upgrades!$T$16="Stellar Kinematics",POWER(Upgrades!$U$16,H257),1)*IF(Upgrades!$T$17="Stellar Kinematics",POWER(Upgrades!$U$17,I257),1)*IF(Upgrades!$T$18="Stellar Kinematics",POWER(Upgrades!$U$18,J257),1)*IF(Upgrades!$T$19="Stellar Kinematics",POWER(Upgrades!$U$19,K257),1)*IF(Upgrades!$T$20="Stellar Kinematics",POWER(Upgrades!$U$20,L257),1)*IF(Upgrades!$T$21="Stellar Kinematics",POWER(Upgrades!$U$21,M257),1))*$F$6/AK257,0)</f>
        <v/>
      </c>
      <c r="AZ257" s="32">
        <f>IFERROR(Upgrades!$H$14*(POWER(Upgrades!$P$13,E257)*POWER(Upgrades!$P$14,F257)*POWER(Upgrades!$P$15,G257)*POWER(Upgrades!$P$16,H257)*POWER(Upgrades!$P$17,I257)*POWER(Upgrades!$P$18,J257)*POWER(Upgrades!$P$19,K257)*POWER(Upgrades!$P$20,L257)*POWER(Upgrades!$P$21,M257))*(IF(Upgrades!$T$13="Local Bubble",POWER(Upgrades!$U$13,E257),1)*IF(Upgrades!$T$15="Local Bubble",POWER(Upgrades!$U$15,G257),1)*IF(Upgrades!$T$16="Local Bubble",POWER(Upgrades!$U$16,H257),1)*IF(Upgrades!$T$17="Local Bubble",POWER(Upgrades!$U$17,I257),1)*IF(Upgrades!$T$18="Local Bubble",POWER(Upgrades!$U$18,J257),1)*IF(Upgrades!$T$19="Local Bubble",POWER(Upgrades!$U$19,K257),1)*IF(Upgrades!$T$20="Local Bubble",POWER(Upgrades!$U$20,L257),1)*IF(Upgrades!$T$21="Local Bubble",POWER(Upgrades!$U$21,M257),1))*$F$6/AL257,0)</f>
        <v/>
      </c>
      <c r="BA257" s="32">
        <f>IFERROR(Upgrades!$K$15*(POWER(Upgrades!$Q$13,E257)*POWER(Upgrades!$Q$14,F257)*POWER(Upgrades!$Q$15,G257)*POWER(Upgrades!$Q$16,H257)*POWER(Upgrades!$Q$17,I257)*POWER(Upgrades!$Q$18,J257)*POWER(Upgrades!$Q$19,K257)*POWER(Upgrades!$Q$20,L257)*POWER(Upgrades!$Q$21,M257))*(IF(Upgrades!$T$13="Microlensing",POWER(Upgrades!$U$13,E257),1)*IF(Upgrades!$T$14="Microlensing",POWER(Upgrades!$U$14,F257),1)*IF(Upgrades!$T$16="Microlensing",POWER(Upgrades!$U$16,H257),1)*IF(Upgrades!$T$17="Microlensing",POWER(Upgrades!$U$17,I257),1)*IF(Upgrades!$T$18="Microlensing",POWER(Upgrades!$U$18,J257),1)*IF(Upgrades!$T$19="Microlensing",POWER(Upgrades!$U$19,K257),1)*IF(Upgrades!$T$20="Microlensing",POWER(Upgrades!$U$20,L257),1)*IF(Upgrades!$T$21="Microlensing",POWER(Upgrades!$U$21,M257),1))*$G$6*(Parameters!$B$10/60*Parameters!$B$11+Q257)/AM257,0)</f>
        <v/>
      </c>
      <c r="BB257" s="32">
        <f>IFERROR((Upgrades!$N$16*(POWER(Upgrades!$R$13,E257)*POWER(Upgrades!$R$14,F257)*POWER(Upgrades!$R$15,G257)*POWER(Upgrades!$R$16,H257)*POWER(Upgrades!$R$17,I257)*POWER(Upgrades!$R$18,J257)*POWER(Upgrades!$R$19,K257)*POWER(Upgrades!$R$20,L257)*POWER(Upgrades!$R$21,M257))*(IF(Upgrades!$T$13="Roche Lobe Overflow",POWER(Upgrades!$U$13,E257),1)*IF(Upgrades!$T$14="Roche Lobe Overflow",POWER(Upgrades!$U$14,F257),1)*IF(Upgrades!$T$15="Roche Lobe Overflow",POWER(Upgrades!$U$15,G257),1)*IF(Upgrades!$T$17="Roche Lobe Overflow",POWER(Upgrades!$U$17,I257),1)*IF(Upgrades!$T$18="Roche Lobe Overflow",POWER(Upgrades!$U$18,J257),1)*IF(Upgrades!$T$19="Roche Lobe Overflow",POWER(Upgrades!$U$19,K257),1)*IF(Upgrades!$T$20="Roche Lobe Overflow",POWER(Upgrades!$U$20,L257),1)*IF(Upgrades!$T$21="Roche Lobe Overflow",POWER(Upgrades!$U$21,M257),1))*$H$6*O257+((IF(F257=0,0,(Upgrades!$G$14+F257*Upgrades!$H$14)*POWER(Upgrades!$I$14,F257)))*(IF(Upgrades!$T$13="Local Bubble",POWER(Upgrades!$U$13,E257),1)*IF(Upgrades!$T$15="Local Bubble",POWER(Upgrades!$U$15,G257),1)*IF(Upgrades!$T$16="Local Bubble",POWER(Upgrades!$U$16,H257),1)*IF(Upgrades!$T$17="Local Bubble",POWER(Upgrades!$U$17,I257),1)*IF(Upgrades!$T$18="Local Bubble",POWER(Upgrades!$U$18,J257),1)*IF(Upgrades!$T$19="Local Bubble",POWER(Upgrades!$U$19,K257),1)*IF(Upgrades!$T$20="Local Bubble",POWER(Upgrades!$U$20,L257),1)*IF(Upgrades!$T$21="Local Bubble",POWER(Upgrades!$U$21,M257),1))*POWER(Upgrades!$P$13,E257)*POWER(Upgrades!$P$14,F257)*POWER(Upgrades!$P$15,G257)*POWER(Upgrades!$P$16,H257)*POWER(Upgrades!$P$17,I257)*POWER(Upgrades!$P$18,J257)*POWER(Upgrades!$P$19,K257)*POWER(Upgrades!$P$20,L257)*POWER(Upgrades!$P$21,M257)*$F$6)*0.05)/AN257,0)</f>
        <v/>
      </c>
      <c r="BC257" s="32">
        <f>IFERROR((Upgrades!$H$17*(POWER(Upgrades!$P$13,E257)*POWER(Upgrades!$P$14,F257)*POWER(Upgrades!$P$15,G257)*POWER(Upgrades!$P$16,H257)*POWER(Upgrades!$P$17,I257)*POWER(Upgrades!$P$18,J257)*POWER(Upgrades!$P$19,K257)*POWER(Upgrades!$P$20,L257)*POWER(Upgrades!$P$21,M257))*(IF(Upgrades!$T$13="Brown Dwarf",POWER(Upgrades!$U$13,E257),1)*IF(Upgrades!$T$14="Brown Dwarf",POWER(Upgrades!$U$14,F257),1)*IF(Upgrades!$T$15="Brown Dwarf",POWER(Upgrades!$U$15,G257),1)*IF(Upgrades!$T$16="Brown Dwarf",POWER(Upgrades!$U$16,H257),1)*IF(Upgrades!$T$18="Brown Dwarf",POWER(Upgrades!$U$18,J257),1)*IF(Upgrades!$T$19="Brown Dwarf",POWER(Upgrades!$U$19,K257),1)*IF(Upgrades!$T$20="Brown Dwarf",POWER(Upgrades!$U$20,L257),1)*IF(Upgrades!$T$21="Brown Dwarf",POWER(Upgrades!$U$21,M257),1))*$F$6+(((IF(H257=0,0,(Upgrades!$M$16+H257*Upgrades!$N$16)*POWER(Upgrades!$O$16,H257)))*(IF(Upgrades!$T$13="Roche Lobe Overflow",POWER(Upgrades!$U$13,E257),1)*IF(Upgrades!$T$14="Roche Lobe Overflow",POWER(Upgrades!$U$14,F257),1)*IF(Upgrades!$T$15="Roche Lobe Overflow",POWER(Upgrades!$U$15,G257),1)*IF(Upgrades!$T$17="Roche Lobe Overflow",POWER(Upgrades!$U$17,I257),1)*IF(Upgrades!$T$18="Roche Lobe Overflow",POWER(Upgrades!$U$18,J257),1)*IF(Upgrades!$T$19="Roche Lobe Overflow",POWER(Upgrades!$U$19,K257),1)*IF(Upgrades!$T$20="Roche Lobe Overflow",POWER(Upgrades!$U$20,L257),1)*IF(Upgrades!$T$21="Roche Lobe Overflow",POWER(Upgrades!$U$21,M257),1))*POWER(Upgrades!$R$13,E257)*POWER(Upgrades!$R$14,F257)*POWER(Upgrades!$R$15,G257)*POWER(Upgrades!$R$16,H257)*POWER(Upgrades!$R$17,I257)*POWER(Upgrades!$R$18,J257)*POWER(Upgrades!$R$19,K257)*POWER(Upgrades!$R$20,L257)*POWER(Upgrades!$R$21,M257)*$H$6)*O257)*0.10)/AO257,0)</f>
        <v/>
      </c>
      <c r="BD257" s="32">
        <f>MAX(IF(J257&gt;0,0,IFERROR(0.5*((IF(G257=0,0,(Upgrades!$J$15+G257*Upgrades!$K$15)*POWER(Upgrades!$L$15,G257)))*(IF(Upgrades!$T$13="Microlensing",POWER(Upgrades!$U$13,E257),1)*IF(Upgrades!$T$14="Microlensing",POWER(Upgrades!$U$14,F257),1)*IF(Upgrades!$T$16="Microlensing",POWER(Upgrades!$U$16,H257),1)*IF(Upgrades!$T$17="Microlensing",POWER(Upgrades!$U$17,I257),1)*IF(Upgrades!$T$18="Microlensing",POWER(Upgrades!$U$18,J257),1)*IF(Upgrades!$T$19="Microlensing",POWER(Upgrades!$U$19,K257),1)*IF(Upgrades!$T$20="Microlensing",POWER(Upgrades!$U$20,L257),1)*IF(Upgrades!$T$21="Microlensing",POWER(Upgrades!$U$21,M257),1))*(POWER(Upgrades!$Q$13,E257)*POWER(Upgrades!$Q$14,F257)*POWER(Upgrades!$Q$15,G257)*POWER(Upgrades!$Q$16,H257)*POWER(Upgrades!$Q$17,I257)*POWER(Upgrades!$Q$18,J257)*POWER(Upgrades!$Q$19,K257)*POWER(Upgrades!$Q$20,L257)*POWER(Upgrades!$Q$21,M257))*$G$6*(Parameters!$B$10/60*Parameters!$B$11+Q257))/Upgrades!$C$18,0)),IF(K257&gt;0,0,IFERROR(0.30*P257/Upgrades!$C$19,0)),IF(L257&gt;0,0,IFERROR(0.0001/Upgrades!$C$20,0)),IF(M257&gt;0,0,IFERROR((6.0*(POWER(Upgrades!$P$13,E257)*POWER(Upgrades!$P$14,F257)*POWER(Upgrades!$P$15,G257)*POWER(Upgrades!$P$16,H257)*POWER(Upgrades!$P$17,I257)*POWER(Upgrades!$P$18,J257)*POWER(Upgrades!$P$19,K257)*POWER(Upgrades!$P$20,L257)*POWER(Upgrades!$P$21,M257))*$F$6+0.20*O257*(Parameters!$B$10/60*Parameters!$B$11+Q257))/Upgrades!$C$21,0)),IF(AND(ISNUMBER(AK257),AK257&gt;(C257+T257)),AY257,0),IF(AND(ISNUMBER(AL257),AL257&gt;(C257+T257)),AZ257,0),IF(AND(ISNUMBER(AM257),AM257&gt;(C257+T257)),BA257,0),IF(AND(ISNUMBER(AN257),AN257&gt;(C257+T257)),BB257,0),IF(AND(ISNUMBER(AO257),AO257&gt;(C257+T257)),BC257,0))</f>
        <v/>
      </c>
      <c r="BE257" s="29">
        <f>IF(AT257=1,"transition",IF(MIN(IF(AND(J257=0,ISNUMBER(AP257),AP257&lt;=(C257+T257)),AP257,9E15),IF(AND(K257=0,ISNUMBER(AQ257),AQ257&lt;=(C257+T257)),AQ257,9E15),IF(AND(L257=0,ISNUMBER(AR257),AR257&lt;=(C257+T257)),AR257,9E15),IF(AND(M257=0,ISNUMBER(AS257),AS257&lt;=(C257+T257)),AS257,9E15))&lt;9E15,IF(AND(AND(J257=0,ISNUMBER(AP257),AP257&lt;=(C257+T257)),AP257=MIN(IF(AND(J257=0,ISNUMBER(AP257),AP257&lt;=(C257+T257)),AP257,9E15),IF(AND(K257=0,ISNUMBER(AQ257),AQ257&lt;=(C257+T257)),AQ257,9E15),IF(AND(L257=0,ISNUMBER(AR257),AR257&lt;=(C257+T257)),AR257,9E15),IF(AND(M257=0,ISNUMBER(AS257),AS257&lt;=(C257+T257)),AS257,9E15))),"BiP",IF(AND(AND(K257=0,ISNUMBER(AQ257),AQ257&lt;=(C257+T257)),AQ257=MIN(IF(AND(J257=0,ISNUMBER(AP257),AP257&lt;=(C257+T257)),AP257,9E15),IF(AND(K257=0,ISNUMBER(AQ257),AQ257&lt;=(C257+T257)),AQ257,9E15),IF(AND(L257=0,ISNUMBER(AR257),AR257&lt;=(C257+T257)),AR257,9E15),IF(AND(M257=0,ISNUMBER(AS257),AS257&lt;=(C257+T257)),AS257,9E15))),"PV",IF(AND(AND(L257=0,ISNUMBER(AR257),AR257&lt;=(C257+T257)),AR257=MIN(IF(AND(J257=0,ISNUMBER(AP257),AP257&lt;=(C257+T257)),AP257,9E15),IF(AND(K257=0,ISNUMBER(AQ257),AQ257&lt;=(C257+T257)),AQ257,9E15),IF(AND(L257=0,ISNUMBER(AR257),AR257&lt;=(C257+T257)),AR257,9E15),IF(AND(M257=0,ISNUMBER(AS257),AS257&lt;=(C257+T257)),AS257,9E15))),"OC","MG"))),IF(AX257=TRUE,"",IF(MAX(IF(AND(NOT(AND(AU257=1,AT257&lt;&gt;1)),ISNUMBER(AK257),AK257&lt;=(C257+T257)),AY257,0),IF(AND(NOT(AND(AU257=1,AT257&lt;&gt;1)),ISNUMBER(AL257),AL257&lt;=(C257+T257)),AZ257,0),IF(AND(NOT(AND(AU257=1,AT257&lt;&gt;1)),ISNUMBER(AM257),AM257&lt;=(C257+T257)),BA257,0),IF(AND(NOT(AND(AU257=1,AT257&lt;&gt;1)),ISNUMBER(AN257),AN257&lt;=(C257+T257)),BB257,0),IF(AND(ISNUMBER(AO257),AO257&lt;=(C257+T257)),BC257,0))&lt;=0,"",IF(AND(IF(AND(NOT(AND(AU257=1,AT257&lt;&gt;1)),ISNUMBER(AK257),AK257&lt;=(C257+T257)),AY257,0)&gt;0,IF(AND(NOT(AND(AU257=1,AT257&lt;&gt;1)),ISNUMBER(AK257),AK257&lt;=(C257+T257)),AY257,0)=MAX(IF(AND(NOT(AND(AU257=1,AT257&lt;&gt;1)),ISNUMBER(AK257),AK257&lt;=(C257+T257)),AY257,0),IF(AND(NOT(AND(AU257=1,AT257&lt;&gt;1)),ISNUMBER(AL257),AL257&lt;=(C257+T257)),AZ257,0),IF(AND(NOT(AND(AU257=1,AT257&lt;&gt;1)),ISNUMBER(AM257),AM257&lt;=(C257+T257)),BA257,0),IF(AND(NOT(AND(AU257=1,AT257&lt;&gt;1)),ISNUMBER(AN257),AN257&lt;=(C257+T257)),BB257,0),IF(AND(ISNUMBER(AO257),AO257&lt;=(C257+T257)),BC257,0))),"SK",IF(AND(IF(AND(NOT(AND(AU257=1,AT257&lt;&gt;1)),ISNUMBER(AL257),AL257&lt;=(C257+T257)),AZ257,0)&gt;0,IF(AND(NOT(AND(AU257=1,AT257&lt;&gt;1)),ISNUMBER(AL257),AL257&lt;=(C257+T257)),AZ257,0)=MAX(IF(AND(NOT(AND(AU257=1,AT257&lt;&gt;1)),ISNUMBER(AK257),AK257&lt;=(C257+T257)),AY257,0),IF(AND(NOT(AND(AU257=1,AT257&lt;&gt;1)),ISNUMBER(AL257),AL257&lt;=(C257+T257)),AZ257,0),IF(AND(NOT(AND(AU257=1,AT257&lt;&gt;1)),ISNUMBER(AM257),AM257&lt;=(C257+T257)),BA257,0),IF(AND(NOT(AND(AU257=1,AT257&lt;&gt;1)),ISNUMBER(AN257),AN257&lt;=(C257+T257)),BB257,0),IF(AND(ISNUMBER(AO257),AO257&lt;=(C257+T257)),BC257,0))),"LB",IF(AND(IF(AND(NOT(AND(AU257=1,AT257&lt;&gt;1)),ISNUMBER(AM257),AM257&lt;=(C257+T257)),BA257,0)&gt;0,IF(AND(NOT(AND(AU257=1,AT257&lt;&gt;1)),ISNUMBER(AM257),AM257&lt;=(C257+T257)),BA257,0)=MAX(IF(AND(NOT(AND(AU257=1,AT257&lt;&gt;1)),ISNUMBER(AK257),AK257&lt;=(C257+T257)),AY257,0),IF(AND(NOT(AND(AU257=1,AT257&lt;&gt;1)),ISNUMBER(AL257),AL257&lt;=(C257+T257)),AZ257,0),IF(AND(NOT(AND(AU257=1,AT257&lt;&gt;1)),ISNUMBER(AM257),AM257&lt;=(C257+T257)),BA257,0),IF(AND(NOT(AND(AU257=1,AT257&lt;&gt;1)),ISNUMBER(AN257),AN257&lt;=(C257+T257)),BB257,0),IF(AND(ISNUMBER(AO257),AO257&lt;=(C257+T257)),BC257,0))),"ML",IF(AND(IF(AND(NOT(AND(AU257=1,AT257&lt;&gt;1)),ISNUMBER(AN257),AN257&lt;=(C257+T257)),BB257,0)&gt;0,IF(AND(NOT(AND(AU257=1,AT257&lt;&gt;1)),ISNUMBER(AN257),AN257&lt;=(C257+T257)),BB257,0)=MAX(IF(AND(NOT(AND(AU257=1,AT257&lt;&gt;1)),ISNUMBER(AK257),AK257&lt;=(C257+T257)),AY257,0),IF(AND(NOT(AND(AU257=1,AT257&lt;&gt;1)),ISNUMBER(AL257),AL257&lt;=(C257+T257)),AZ257,0),IF(AND(NOT(AND(AU257=1,AT257&lt;&gt;1)),ISNUMBER(AM257),AM257&lt;=(C257+T257)),BA257,0),IF(AND(NOT(AND(AU257=1,AT257&lt;&gt;1)),ISNUMBER(AN257),AN257&lt;=(C257+T257)),BB257,0),IF(AND(ISNUMBER(AO257),AO257&lt;=(C257+T257)),BC257,0))),"RLO","BD"))))))))</f>
        <v/>
      </c>
    </row>
    <row r="258">
      <c r="A258" s="26" t="n">
        <v>247</v>
      </c>
      <c r="B258" s="27">
        <f>A258*10/60</f>
        <v/>
      </c>
      <c r="C258" s="22">
        <f>X257</f>
        <v/>
      </c>
      <c r="D258" s="27">
        <f>D257+W257</f>
        <v/>
      </c>
      <c r="E258" s="26">
        <f>E257+IF(U257="SK",1,0)</f>
        <v/>
      </c>
      <c r="F258" s="26">
        <f>F257+IF(U257="LB",1,0)</f>
        <v/>
      </c>
      <c r="G258" s="26">
        <f>G257+IF(U257="ML",1,0)</f>
        <v/>
      </c>
      <c r="H258" s="26">
        <f>H257+IF(U257="RLO",1,0)</f>
        <v/>
      </c>
      <c r="I258" s="26">
        <f>I257+IF(U257="BD",1,0)</f>
        <v/>
      </c>
      <c r="J258" s="26">
        <f>MAX(J257,IF(U257="BiP",1,0))</f>
        <v/>
      </c>
      <c r="K258" s="26">
        <f>MAX(K257,IF(U257="PV",1,0))</f>
        <v/>
      </c>
      <c r="L258" s="26">
        <f>MAX(L257,IF(U257="OC",1,0))</f>
        <v/>
      </c>
      <c r="M258" s="26">
        <f>MAX(M257,IF(U257="MG",1,0))</f>
        <v/>
      </c>
      <c r="N258" s="26">
        <f>MAX(N257,IF(U257="transition",1,0))</f>
        <v/>
      </c>
      <c r="O258" s="28">
        <f>(Parameters!$B$9+(IF(E258=0,0,(Upgrades!$J$13+E258*Upgrades!$K$13)*POWER(Upgrades!$L$13,E258)))*(IF(Upgrades!$T$14="Stellar Kinematics",POWER(Upgrades!$U$14,F258),1)*IF(Upgrades!$T$15="Stellar Kinematics",POWER(Upgrades!$U$15,G258),1)*IF(Upgrades!$T$16="Stellar Kinematics",POWER(Upgrades!$U$16,H258),1)*IF(Upgrades!$T$17="Stellar Kinematics",POWER(Upgrades!$U$17,I258),1)*IF(Upgrades!$T$18="Stellar Kinematics",POWER(Upgrades!$U$18,J258),1)*IF(Upgrades!$T$19="Stellar Kinematics",POWER(Upgrades!$U$19,K258),1)*IF(Upgrades!$T$20="Stellar Kinematics",POWER(Upgrades!$U$20,L258),1)*IF(Upgrades!$T$21="Stellar Kinematics",POWER(Upgrades!$U$21,M258),1))+(IF(F258=0,0,(Upgrades!$J$14+F258*Upgrades!$K$14)*POWER(Upgrades!$L$14,F258)))*(IF(Upgrades!$T$13="Local Bubble",POWER(Upgrades!$U$13,E258),1)*IF(Upgrades!$T$15="Local Bubble",POWER(Upgrades!$U$15,G258),1)*IF(Upgrades!$T$16="Local Bubble",POWER(Upgrades!$U$16,H258),1)*IF(Upgrades!$T$17="Local Bubble",POWER(Upgrades!$U$17,I258),1)*IF(Upgrades!$T$18="Local Bubble",POWER(Upgrades!$U$18,J258),1)*IF(Upgrades!$T$19="Local Bubble",POWER(Upgrades!$U$19,K258),1)*IF(Upgrades!$T$20="Local Bubble",POWER(Upgrades!$U$20,L258),1)*IF(Upgrades!$T$21="Local Bubble",POWER(Upgrades!$U$21,M258),1))+(IF(G258=0,0,(Upgrades!$J$15+G258*Upgrades!$K$15)*POWER(Upgrades!$L$15,G258)))*(IF(Upgrades!$T$13="Microlensing",POWER(Upgrades!$U$13,E258),1)*IF(Upgrades!$T$14="Microlensing",POWER(Upgrades!$U$14,F258),1)*IF(Upgrades!$T$16="Microlensing",POWER(Upgrades!$U$16,H258),1)*IF(Upgrades!$T$17="Microlensing",POWER(Upgrades!$U$17,I258),1)*IF(Upgrades!$T$18="Microlensing",POWER(Upgrades!$U$18,J258),1)*IF(Upgrades!$T$19="Microlensing",POWER(Upgrades!$U$19,K258),1)*IF(Upgrades!$T$20="Microlensing",POWER(Upgrades!$U$20,L258),1)*IF(Upgrades!$T$21="Microlensing",POWER(Upgrades!$U$21,M258),1))+(IF(H258=0,0,(Upgrades!$J$16+H258*Upgrades!$K$16)*POWER(Upgrades!$L$16,H258)))*(IF(Upgrades!$T$13="Roche Lobe Overflow",POWER(Upgrades!$U$13,E258),1)*IF(Upgrades!$T$14="Roche Lobe Overflow",POWER(Upgrades!$U$14,F258),1)*IF(Upgrades!$T$15="Roche Lobe Overflow",POWER(Upgrades!$U$15,G258),1)*IF(Upgrades!$T$17="Roche Lobe Overflow",POWER(Upgrades!$U$17,I258),1)*IF(Upgrades!$T$18="Roche Lobe Overflow",POWER(Upgrades!$U$18,J258),1)*IF(Upgrades!$T$19="Roche Lobe Overflow",POWER(Upgrades!$U$19,K258),1)*IF(Upgrades!$T$20="Roche Lobe Overflow",POWER(Upgrades!$U$20,L258),1)*IF(Upgrades!$T$21="Roche Lobe Overflow",POWER(Upgrades!$U$21,M258),1))+(IF(I258=0,0,(Upgrades!$J$17+I258*Upgrades!$K$17)*POWER(Upgrades!$L$17,I258)))*(IF(Upgrades!$T$13="Brown Dwarf",POWER(Upgrades!$U$13,E258),1)*IF(Upgrades!$T$14="Brown Dwarf",POWER(Upgrades!$U$14,F258),1)*IF(Upgrades!$T$15="Brown Dwarf",POWER(Upgrades!$U$15,G258),1)*IF(Upgrades!$T$16="Brown Dwarf",POWER(Upgrades!$U$16,H258),1)*IF(Upgrades!$T$18="Brown Dwarf",POWER(Upgrades!$U$18,J258),1)*IF(Upgrades!$T$19="Brown Dwarf",POWER(Upgrades!$U$19,K258),1)*IF(Upgrades!$T$20="Brown Dwarf",POWER(Upgrades!$U$20,L258),1)*IF(Upgrades!$T$21="Brown Dwarf",POWER(Upgrades!$U$21,M258),1))+(IF(J258=0,0,(Upgrades!$J$18+J258*Upgrades!$K$18)*POWER(Upgrades!$L$18,J258)))*(IF(Upgrades!$T$13="Binary Partner",POWER(Upgrades!$U$13,E258),1)*IF(Upgrades!$T$14="Binary Partner",POWER(Upgrades!$U$14,F258),1)*IF(Upgrades!$T$15="Binary Partner",POWER(Upgrades!$U$15,G258),1)*IF(Upgrades!$T$16="Binary Partner",POWER(Upgrades!$U$16,H258),1)*IF(Upgrades!$T$17="Binary Partner",POWER(Upgrades!$U$17,I258),1)*IF(Upgrades!$T$19="Binary Partner",POWER(Upgrades!$U$19,K258),1)*IF(Upgrades!$T$20="Binary Partner",POWER(Upgrades!$U$20,L258),1)*IF(Upgrades!$T$21="Binary Partner",POWER(Upgrades!$U$21,M258),1))+(IF(K258=0,0,(Upgrades!$J$19+K258*Upgrades!$K$19)*POWER(Upgrades!$L$19,K258)))*(IF(Upgrades!$T$13="Peculiar Velocity",POWER(Upgrades!$U$13,E258),1)*IF(Upgrades!$T$14="Peculiar Velocity",POWER(Upgrades!$U$14,F258),1)*IF(Upgrades!$T$15="Peculiar Velocity",POWER(Upgrades!$U$15,G258),1)*IF(Upgrades!$T$16="Peculiar Velocity",POWER(Upgrades!$U$16,H258),1)*IF(Upgrades!$T$17="Peculiar Velocity",POWER(Upgrades!$U$17,I258),1)*IF(Upgrades!$T$18="Peculiar Velocity",POWER(Upgrades!$U$18,J258),1)*IF(Upgrades!$T$20="Peculiar Velocity",POWER(Upgrades!$U$20,L258),1)*IF(Upgrades!$T$21="Peculiar Velocity",POWER(Upgrades!$U$21,M258),1))+(IF(L258=0,0,(Upgrades!$J$20+L258*Upgrades!$K$20)*POWER(Upgrades!$L$20,L258)))*(IF(Upgrades!$T$13="Open Cluster",POWER(Upgrades!$U$13,E258),1)*IF(Upgrades!$T$14="Open Cluster",POWER(Upgrades!$U$14,F258),1)*IF(Upgrades!$T$15="Open Cluster",POWER(Upgrades!$U$15,G258),1)*IF(Upgrades!$T$16="Open Cluster",POWER(Upgrades!$U$16,H258),1)*IF(Upgrades!$T$17="Open Cluster",POWER(Upgrades!$U$17,I258),1)*IF(Upgrades!$T$18="Open Cluster",POWER(Upgrades!$U$18,J258),1)*IF(Upgrades!$T$19="Open Cluster",POWER(Upgrades!$U$19,K258),1)*IF(Upgrades!$T$21="Open Cluster",POWER(Upgrades!$U$21,M258),1))+(IF(M258=0,0,(Upgrades!$J$21+M258*Upgrades!$K$21)*POWER(Upgrades!$L$21,M258)))*(IF(Upgrades!$T$13="Moving Group",POWER(Upgrades!$U$13,E258),1)*IF(Upgrades!$T$14="Moving Group",POWER(Upgrades!$U$14,F258),1)*IF(Upgrades!$T$15="Moving Group",POWER(Upgrades!$U$15,G258),1)*IF(Upgrades!$T$16="Moving Group",POWER(Upgrades!$U$16,H258),1)*IF(Upgrades!$T$17="Moving Group",POWER(Upgrades!$U$17,I258),1)*IF(Upgrades!$T$18="Moving Group",POWER(Upgrades!$U$18,J258),1)*IF(Upgrades!$T$19="Moving Group",POWER(Upgrades!$U$19,K258),1)*IF(Upgrades!$T$20="Moving Group",POWER(Upgrades!$U$20,L258),1)))*POWER(Upgrades!$Q$13,E258)*POWER(Upgrades!$Q$14,F258)*POWER(Upgrades!$Q$15,G258)*POWER(Upgrades!$Q$16,H258)*POWER(Upgrades!$Q$17,I258)*POWER(Upgrades!$Q$18,J258)*POWER(Upgrades!$Q$19,K258)*POWER(Upgrades!$Q$20,L258)*POWER(Upgrades!$Q$21,M258)*$G$6+$D$6</f>
        <v/>
      </c>
      <c r="P258" s="28">
        <f>((IF(E258=0,0,(Upgrades!$G$13+E258*Upgrades!$H$13)*POWER(Upgrades!$I$13,E258)))*(IF(Upgrades!$T$14="Stellar Kinematics",POWER(Upgrades!$U$14,F258),1)*IF(Upgrades!$T$15="Stellar Kinematics",POWER(Upgrades!$U$15,G258),1)*IF(Upgrades!$T$16="Stellar Kinematics",POWER(Upgrades!$U$16,H258),1)*IF(Upgrades!$T$17="Stellar Kinematics",POWER(Upgrades!$U$17,I258),1)*IF(Upgrades!$T$18="Stellar Kinematics",POWER(Upgrades!$U$18,J258),1)*IF(Upgrades!$T$19="Stellar Kinematics",POWER(Upgrades!$U$19,K258),1)*IF(Upgrades!$T$20="Stellar Kinematics",POWER(Upgrades!$U$20,L258),1)*IF(Upgrades!$T$21="Stellar Kinematics",POWER(Upgrades!$U$21,M258),1))+(IF(F258=0,0,(Upgrades!$G$14+F258*Upgrades!$H$14)*POWER(Upgrades!$I$14,F258)))*(IF(Upgrades!$T$13="Local Bubble",POWER(Upgrades!$U$13,E258),1)*IF(Upgrades!$T$15="Local Bubble",POWER(Upgrades!$U$15,G258),1)*IF(Upgrades!$T$16="Local Bubble",POWER(Upgrades!$U$16,H258),1)*IF(Upgrades!$T$17="Local Bubble",POWER(Upgrades!$U$17,I258),1)*IF(Upgrades!$T$18="Local Bubble",POWER(Upgrades!$U$18,J258),1)*IF(Upgrades!$T$19="Local Bubble",POWER(Upgrades!$U$19,K258),1)*IF(Upgrades!$T$20="Local Bubble",POWER(Upgrades!$U$20,L258),1)*IF(Upgrades!$T$21="Local Bubble",POWER(Upgrades!$U$21,M258),1))+(IF(G258=0,0,(Upgrades!$G$15+G258*Upgrades!$H$15)*POWER(Upgrades!$I$15,G258)))*(IF(Upgrades!$T$13="Microlensing",POWER(Upgrades!$U$13,E258),1)*IF(Upgrades!$T$14="Microlensing",POWER(Upgrades!$U$14,F258),1)*IF(Upgrades!$T$16="Microlensing",POWER(Upgrades!$U$16,H258),1)*IF(Upgrades!$T$17="Microlensing",POWER(Upgrades!$U$17,I258),1)*IF(Upgrades!$T$18="Microlensing",POWER(Upgrades!$U$18,J258),1)*IF(Upgrades!$T$19="Microlensing",POWER(Upgrades!$U$19,K258),1)*IF(Upgrades!$T$20="Microlensing",POWER(Upgrades!$U$20,L258),1)*IF(Upgrades!$T$21="Microlensing",POWER(Upgrades!$U$21,M258),1))+(IF(H258=0,0,(Upgrades!$G$16+H258*Upgrades!$H$16)*POWER(Upgrades!$I$16,H258)))*(IF(Upgrades!$T$13="Roche Lobe Overflow",POWER(Upgrades!$U$13,E258),1)*IF(Upgrades!$T$14="Roche Lobe Overflow",POWER(Upgrades!$U$14,F258),1)*IF(Upgrades!$T$15="Roche Lobe Overflow",POWER(Upgrades!$U$15,G258),1)*IF(Upgrades!$T$17="Roche Lobe Overflow",POWER(Upgrades!$U$17,I258),1)*IF(Upgrades!$T$18="Roche Lobe Overflow",POWER(Upgrades!$U$18,J258),1)*IF(Upgrades!$T$19="Roche Lobe Overflow",POWER(Upgrades!$U$19,K258),1)*IF(Upgrades!$T$20="Roche Lobe Overflow",POWER(Upgrades!$U$20,L258),1)*IF(Upgrades!$T$21="Roche Lobe Overflow",POWER(Upgrades!$U$21,M258),1))+(IF(I258=0,0,(Upgrades!$G$17+I258*Upgrades!$H$17)*POWER(Upgrades!$I$17,I258)))*(IF(Upgrades!$T$13="Brown Dwarf",POWER(Upgrades!$U$13,E258),1)*IF(Upgrades!$T$14="Brown Dwarf",POWER(Upgrades!$U$14,F258),1)*IF(Upgrades!$T$15="Brown Dwarf",POWER(Upgrades!$U$15,G258),1)*IF(Upgrades!$T$16="Brown Dwarf",POWER(Upgrades!$U$16,H258),1)*IF(Upgrades!$T$18="Brown Dwarf",POWER(Upgrades!$U$18,J258),1)*IF(Upgrades!$T$19="Brown Dwarf",POWER(Upgrades!$U$19,K258),1)*IF(Upgrades!$T$20="Brown Dwarf",POWER(Upgrades!$U$20,L258),1)*IF(Upgrades!$T$21="Brown Dwarf",POWER(Upgrades!$U$21,M258),1))+(IF(J258=0,0,(Upgrades!$G$18+J258*Upgrades!$H$18)*POWER(Upgrades!$I$18,J258)))*(IF(Upgrades!$T$13="Binary Partner",POWER(Upgrades!$U$13,E258),1)*IF(Upgrades!$T$14="Binary Partner",POWER(Upgrades!$U$14,F258),1)*IF(Upgrades!$T$15="Binary Partner",POWER(Upgrades!$U$15,G258),1)*IF(Upgrades!$T$16="Binary Partner",POWER(Upgrades!$U$16,H258),1)*IF(Upgrades!$T$17="Binary Partner",POWER(Upgrades!$U$17,I258),1)*IF(Upgrades!$T$19="Binary Partner",POWER(Upgrades!$U$19,K258),1)*IF(Upgrades!$T$20="Binary Partner",POWER(Upgrades!$U$20,L258),1)*IF(Upgrades!$T$21="Binary Partner",POWER(Upgrades!$U$21,M258),1))+(IF(K258=0,0,(Upgrades!$G$19+K258*Upgrades!$H$19)*POWER(Upgrades!$I$19,K258)))*(IF(Upgrades!$T$13="Peculiar Velocity",POWER(Upgrades!$U$13,E258),1)*IF(Upgrades!$T$14="Peculiar Velocity",POWER(Upgrades!$U$14,F258),1)*IF(Upgrades!$T$15="Peculiar Velocity",POWER(Upgrades!$U$15,G258),1)*IF(Upgrades!$T$16="Peculiar Velocity",POWER(Upgrades!$U$16,H258),1)*IF(Upgrades!$T$17="Peculiar Velocity",POWER(Upgrades!$U$17,I258),1)*IF(Upgrades!$T$18="Peculiar Velocity",POWER(Upgrades!$U$18,J258),1)*IF(Upgrades!$T$20="Peculiar Velocity",POWER(Upgrades!$U$20,L258),1)*IF(Upgrades!$T$21="Peculiar Velocity",POWER(Upgrades!$U$21,M258),1))+(IF(L258=0,0,(Upgrades!$G$20+L258*Upgrades!$H$20)*POWER(Upgrades!$I$20,L258)))*(IF(Upgrades!$T$13="Open Cluster",POWER(Upgrades!$U$13,E258),1)*IF(Upgrades!$T$14="Open Cluster",POWER(Upgrades!$U$14,F258),1)*IF(Upgrades!$T$15="Open Cluster",POWER(Upgrades!$U$15,G258),1)*IF(Upgrades!$T$16="Open Cluster",POWER(Upgrades!$U$16,H258),1)*IF(Upgrades!$T$17="Open Cluster",POWER(Upgrades!$U$17,I258),1)*IF(Upgrades!$T$18="Open Cluster",POWER(Upgrades!$U$18,J258),1)*IF(Upgrades!$T$19="Open Cluster",POWER(Upgrades!$U$19,K258),1)*IF(Upgrades!$T$21="Open Cluster",POWER(Upgrades!$U$21,M258),1))+(IF(M258=0,0,(Upgrades!$G$21+M258*Upgrades!$H$21)*POWER(Upgrades!$I$21,M258)))*(IF(Upgrades!$T$13="Moving Group",POWER(Upgrades!$U$13,E258),1)*IF(Upgrades!$T$14="Moving Group",POWER(Upgrades!$U$14,F258),1)*IF(Upgrades!$T$15="Moving Group",POWER(Upgrades!$U$15,G258),1)*IF(Upgrades!$T$16="Moving Group",POWER(Upgrades!$U$16,H258),1)*IF(Upgrades!$T$17="Moving Group",POWER(Upgrades!$U$17,I258),1)*IF(Upgrades!$T$18="Moving Group",POWER(Upgrades!$U$18,J258),1)*IF(Upgrades!$T$19="Moving Group",POWER(Upgrades!$U$19,K258),1)*IF(Upgrades!$T$20="Moving Group",POWER(Upgrades!$U$20,L258),1)))*POWER(Upgrades!$P$13,E258)*POWER(Upgrades!$P$14,F258)*POWER(Upgrades!$P$15,G258)*POWER(Upgrades!$P$16,H258)*POWER(Upgrades!$P$17,I258)*POWER(Upgrades!$P$18,J258)*POWER(Upgrades!$P$19,K258)*POWER(Upgrades!$P$20,L258)*POWER(Upgrades!$P$21,M258)*$F$6+$C$6</f>
        <v/>
      </c>
      <c r="Q258" s="28">
        <f>((IF(E258=0,0,(Upgrades!$M$13+E258*Upgrades!$N$13)*POWER(Upgrades!$O$13,E258)))*(IF(Upgrades!$T$14="Stellar Kinematics",POWER(Upgrades!$U$14,F258),1)*IF(Upgrades!$T$15="Stellar Kinematics",POWER(Upgrades!$U$15,G258),1)*IF(Upgrades!$T$16="Stellar Kinematics",POWER(Upgrades!$U$16,H258),1)*IF(Upgrades!$T$17="Stellar Kinematics",POWER(Upgrades!$U$17,I258),1)*IF(Upgrades!$T$18="Stellar Kinematics",POWER(Upgrades!$U$18,J258),1)*IF(Upgrades!$T$19="Stellar Kinematics",POWER(Upgrades!$U$19,K258),1)*IF(Upgrades!$T$20="Stellar Kinematics",POWER(Upgrades!$U$20,L258),1)*IF(Upgrades!$T$21="Stellar Kinematics",POWER(Upgrades!$U$21,M258),1))+(IF(F258=0,0,(Upgrades!$M$14+F258*Upgrades!$N$14)*POWER(Upgrades!$O$14,F258)))*(IF(Upgrades!$T$13="Local Bubble",POWER(Upgrades!$U$13,E258),1)*IF(Upgrades!$T$15="Local Bubble",POWER(Upgrades!$U$15,G258),1)*IF(Upgrades!$T$16="Local Bubble",POWER(Upgrades!$U$16,H258),1)*IF(Upgrades!$T$17="Local Bubble",POWER(Upgrades!$U$17,I258),1)*IF(Upgrades!$T$18="Local Bubble",POWER(Upgrades!$U$18,J258),1)*IF(Upgrades!$T$19="Local Bubble",POWER(Upgrades!$U$19,K258),1)*IF(Upgrades!$T$20="Local Bubble",POWER(Upgrades!$U$20,L258),1)*IF(Upgrades!$T$21="Local Bubble",POWER(Upgrades!$U$21,M258),1))+(IF(G258=0,0,(Upgrades!$M$15+G258*Upgrades!$N$15)*POWER(Upgrades!$O$15,G258)))*(IF(Upgrades!$T$13="Microlensing",POWER(Upgrades!$U$13,E258),1)*IF(Upgrades!$T$14="Microlensing",POWER(Upgrades!$U$14,F258),1)*IF(Upgrades!$T$16="Microlensing",POWER(Upgrades!$U$16,H258),1)*IF(Upgrades!$T$17="Microlensing",POWER(Upgrades!$U$17,I258),1)*IF(Upgrades!$T$18="Microlensing",POWER(Upgrades!$U$18,J258),1)*IF(Upgrades!$T$19="Microlensing",POWER(Upgrades!$U$19,K258),1)*IF(Upgrades!$T$20="Microlensing",POWER(Upgrades!$U$20,L258),1)*IF(Upgrades!$T$21="Microlensing",POWER(Upgrades!$U$21,M258),1))+(IF(H258=0,0,(Upgrades!$M$16+H258*Upgrades!$N$16)*POWER(Upgrades!$O$16,H258)))*(IF(Upgrades!$T$13="Roche Lobe Overflow",POWER(Upgrades!$U$13,E258),1)*IF(Upgrades!$T$14="Roche Lobe Overflow",POWER(Upgrades!$U$14,F258),1)*IF(Upgrades!$T$15="Roche Lobe Overflow",POWER(Upgrades!$U$15,G258),1)*IF(Upgrades!$T$17="Roche Lobe Overflow",POWER(Upgrades!$U$17,I258),1)*IF(Upgrades!$T$18="Roche Lobe Overflow",POWER(Upgrades!$U$18,J258),1)*IF(Upgrades!$T$19="Roche Lobe Overflow",POWER(Upgrades!$U$19,K258),1)*IF(Upgrades!$T$20="Roche Lobe Overflow",POWER(Upgrades!$U$20,L258),1)*IF(Upgrades!$T$21="Roche Lobe Overflow",POWER(Upgrades!$U$21,M258),1))+(IF(I258=0,0,(Upgrades!$M$17+I258*Upgrades!$N$17)*POWER(Upgrades!$O$17,I258)))*(IF(Upgrades!$T$13="Brown Dwarf",POWER(Upgrades!$U$13,E258),1)*IF(Upgrades!$T$14="Brown Dwarf",POWER(Upgrades!$U$14,F258),1)*IF(Upgrades!$T$15="Brown Dwarf",POWER(Upgrades!$U$15,G258),1)*IF(Upgrades!$T$16="Brown Dwarf",POWER(Upgrades!$U$16,H258),1)*IF(Upgrades!$T$18="Brown Dwarf",POWER(Upgrades!$U$18,J258),1)*IF(Upgrades!$T$19="Brown Dwarf",POWER(Upgrades!$U$19,K258),1)*IF(Upgrades!$T$20="Brown Dwarf",POWER(Upgrades!$U$20,L258),1)*IF(Upgrades!$T$21="Brown Dwarf",POWER(Upgrades!$U$21,M258),1))+(IF(J258=0,0,(Upgrades!$M$18+J258*Upgrades!$N$18)*POWER(Upgrades!$O$18,J258)))*(IF(Upgrades!$T$13="Binary Partner",POWER(Upgrades!$U$13,E258),1)*IF(Upgrades!$T$14="Binary Partner",POWER(Upgrades!$U$14,F258),1)*IF(Upgrades!$T$15="Binary Partner",POWER(Upgrades!$U$15,G258),1)*IF(Upgrades!$T$16="Binary Partner",POWER(Upgrades!$U$16,H258),1)*IF(Upgrades!$T$17="Binary Partner",POWER(Upgrades!$U$17,I258),1)*IF(Upgrades!$T$19="Binary Partner",POWER(Upgrades!$U$19,K258),1)*IF(Upgrades!$T$20="Binary Partner",POWER(Upgrades!$U$20,L258),1)*IF(Upgrades!$T$21="Binary Partner",POWER(Upgrades!$U$21,M258),1))+(IF(K258=0,0,(Upgrades!$M$19+K258*Upgrades!$N$19)*POWER(Upgrades!$O$19,K258)))*(IF(Upgrades!$T$13="Peculiar Velocity",POWER(Upgrades!$U$13,E258),1)*IF(Upgrades!$T$14="Peculiar Velocity",POWER(Upgrades!$U$14,F258),1)*IF(Upgrades!$T$15="Peculiar Velocity",POWER(Upgrades!$U$15,G258),1)*IF(Upgrades!$T$16="Peculiar Velocity",POWER(Upgrades!$U$16,H258),1)*IF(Upgrades!$T$17="Peculiar Velocity",POWER(Upgrades!$U$17,I258),1)*IF(Upgrades!$T$18="Peculiar Velocity",POWER(Upgrades!$U$18,J258),1)*IF(Upgrades!$T$20="Peculiar Velocity",POWER(Upgrades!$U$20,L258),1)*IF(Upgrades!$T$21="Peculiar Velocity",POWER(Upgrades!$U$21,M258),1))+(IF(L258=0,0,(Upgrades!$M$20+L258*Upgrades!$N$20)*POWER(Upgrades!$O$20,L258)))*(IF(Upgrades!$T$13="Open Cluster",POWER(Upgrades!$U$13,E258),1)*IF(Upgrades!$T$14="Open Cluster",POWER(Upgrades!$U$14,F258),1)*IF(Upgrades!$T$15="Open Cluster",POWER(Upgrades!$U$15,G258),1)*IF(Upgrades!$T$16="Open Cluster",POWER(Upgrades!$U$16,H258),1)*IF(Upgrades!$T$17="Open Cluster",POWER(Upgrades!$U$17,I258),1)*IF(Upgrades!$T$18="Open Cluster",POWER(Upgrades!$U$18,J258),1)*IF(Upgrades!$T$19="Open Cluster",POWER(Upgrades!$U$19,K258),1)*IF(Upgrades!$T$21="Open Cluster",POWER(Upgrades!$U$21,M258),1))+(IF(M258=0,0,(Upgrades!$M$21+M258*Upgrades!$N$21)*POWER(Upgrades!$O$21,M258)))*(IF(Upgrades!$T$13="Moving Group",POWER(Upgrades!$U$13,E258),1)*IF(Upgrades!$T$14="Moving Group",POWER(Upgrades!$U$14,F258),1)*IF(Upgrades!$T$15="Moving Group",POWER(Upgrades!$U$15,G258),1)*IF(Upgrades!$T$16="Moving Group",POWER(Upgrades!$U$16,H258),1)*IF(Upgrades!$T$17="Moving Group",POWER(Upgrades!$U$17,I258),1)*IF(Upgrades!$T$18="Moving Group",POWER(Upgrades!$U$18,J258),1)*IF(Upgrades!$T$19="Moving Group",POWER(Upgrades!$U$19,K258),1)*IF(Upgrades!$T$20="Moving Group",POWER(Upgrades!$U$20,L258),1)))*POWER(Upgrades!$R$13,E258)*POWER(Upgrades!$R$14,F258)*POWER(Upgrades!$R$15,G258)*POWER(Upgrades!$R$16,H258)*POWER(Upgrades!$R$17,I258)*POWER(Upgrades!$R$18,J258)*POWER(Upgrades!$R$19,K258)*POWER(Upgrades!$R$20,L258)*POWER(Upgrades!$R$21,M258)*$H$6+$E$6</f>
        <v/>
      </c>
      <c r="R258" s="27">
        <f>IF(N258=1,0,O258*Parameters!$B$10/60*Parameters!$B$11*10)</f>
        <v/>
      </c>
      <c r="S258" s="27">
        <f>IF(N258=1,0,Q258*O258*10)</f>
        <v/>
      </c>
      <c r="T258" s="27">
        <f>IF(N258=1,0,R258+S258+P258*10)</f>
        <v/>
      </c>
      <c r="U258" s="33">
        <f>BE258</f>
        <v/>
      </c>
      <c r="V258" s="22">
        <f>IF(U258="",0,IF(U258="transition",0,IF(U258="SK",AK258,IF(U258="LB",AL258,IF(U258="ML",AM258,IF(U258="RLO",AN258,IF(U258="BD",AO258,IF(U258="BiP",AP258,IF(U258="PV",AQ258,IF(U258="OC",AR258,IF(U258="MG",AS258,0))))))))))</f>
        <v/>
      </c>
      <c r="W258" s="27">
        <f>IF(U258="BiP",Upgrades!$F$18,IF(U258="PV",Upgrades!$F$19,IF(U258="OC",Upgrades!$F$20,IF(U258="MG",Upgrades!$F$21,IF(U258="transition",-Parameters!$B$18*Parameters!$B$19,0)))))</f>
        <v/>
      </c>
      <c r="X258" s="22">
        <f>C258+T258-V258</f>
        <v/>
      </c>
      <c r="Y258" s="30">
        <f>O258*Parameters!$B$10/60*Parameters!$B$11+Q258*O258+P258</f>
        <v/>
      </c>
      <c r="Z258" s="34">
        <f>IF(U258="transition","→ Tier 3 (Galactic Arm)",IF(U258="MG","Moving Group — pocket drifts together",IF(U258="OC","Open Cluster acquired",IF(U258="PV","Peculiar Velocity — passive multiplier active",IF(U258="BiP","Binary Partner — pair bond formed",IF(AND(AU258=1,N258=0,AT258&lt;&gt;1),"Cohesion ready (waiting on completionists)","")))))) </f>
        <v/>
      </c>
      <c r="AA258" s="27">
        <f>(IF(E258=0,0,(Upgrades!$G$13+E258*Upgrades!$H$13)*POWER(Upgrades!$I$13,E258)))*(IF(Upgrades!$T$14="Stellar Kinematics",POWER(Upgrades!$U$14,F258),1)*IF(Upgrades!$T$15="Stellar Kinematics",POWER(Upgrades!$U$15,G258),1)*IF(Upgrades!$T$16="Stellar Kinematics",POWER(Upgrades!$U$16,H258),1)*IF(Upgrades!$T$17="Stellar Kinematics",POWER(Upgrades!$U$17,I258),1)*IF(Upgrades!$T$18="Stellar Kinematics",POWER(Upgrades!$U$18,J258),1)*IF(Upgrades!$T$19="Stellar Kinematics",POWER(Upgrades!$U$19,K258),1)*IF(Upgrades!$T$20="Stellar Kinematics",POWER(Upgrades!$U$20,L258),1)*IF(Upgrades!$T$21="Stellar Kinematics",POWER(Upgrades!$U$21,M258),1))*POWER(Upgrades!$P$13,E258)*POWER(Upgrades!$P$14,F258)*POWER(Upgrades!$P$15,G258)*POWER(Upgrades!$P$16,H258)*POWER(Upgrades!$P$17,I258)*POWER(Upgrades!$P$18,J258)*POWER(Upgrades!$P$19,K258)*POWER(Upgrades!$P$20,L258)*POWER(Upgrades!$P$21,M258)*$F$6*60</f>
        <v/>
      </c>
      <c r="AB258" s="27">
        <f>(IF(F258=0,0,(Upgrades!$G$14+F258*Upgrades!$H$14)*POWER(Upgrades!$I$14,F258)))*(IF(Upgrades!$T$13="Local Bubble",POWER(Upgrades!$U$13,E258),1)*IF(Upgrades!$T$15="Local Bubble",POWER(Upgrades!$U$15,G258),1)*IF(Upgrades!$T$16="Local Bubble",POWER(Upgrades!$U$16,H258),1)*IF(Upgrades!$T$17="Local Bubble",POWER(Upgrades!$U$17,I258),1)*IF(Upgrades!$T$18="Local Bubble",POWER(Upgrades!$U$18,J258),1)*IF(Upgrades!$T$19="Local Bubble",POWER(Upgrades!$U$19,K258),1)*IF(Upgrades!$T$20="Local Bubble",POWER(Upgrades!$U$20,L258),1)*IF(Upgrades!$T$21="Local Bubble",POWER(Upgrades!$U$21,M258),1))*POWER(Upgrades!$P$13,E258)*POWER(Upgrades!$P$14,F258)*POWER(Upgrades!$P$15,G258)*POWER(Upgrades!$P$16,H258)*POWER(Upgrades!$P$17,I258)*POWER(Upgrades!$P$18,J258)*POWER(Upgrades!$P$19,K258)*POWER(Upgrades!$P$20,L258)*POWER(Upgrades!$P$21,M258)*$F$6*60</f>
        <v/>
      </c>
      <c r="AC258" s="27">
        <f>(IF(G258=0,0,(Upgrades!$J$15+G258*Upgrades!$K$15)*POWER(Upgrades!$L$15,G258)))*(IF(Upgrades!$T$13="Microlensing",POWER(Upgrades!$U$13,E258),1)*IF(Upgrades!$T$14="Microlensing",POWER(Upgrades!$U$14,F258),1)*IF(Upgrades!$T$16="Microlensing",POWER(Upgrades!$U$16,H258),1)*IF(Upgrades!$T$17="Microlensing",POWER(Upgrades!$U$17,I258),1)*IF(Upgrades!$T$18="Microlensing",POWER(Upgrades!$U$18,J258),1)*IF(Upgrades!$T$19="Microlensing",POWER(Upgrades!$U$19,K258),1)*IF(Upgrades!$T$20="Microlensing",POWER(Upgrades!$U$20,L258),1)*IF(Upgrades!$T$21="Microlensing",POWER(Upgrades!$U$21,M258),1))*POWER(Upgrades!$Q$13,E258)*POWER(Upgrades!$Q$14,F258)*POWER(Upgrades!$Q$15,G258)*POWER(Upgrades!$Q$16,H258)*POWER(Upgrades!$Q$17,I258)*POWER(Upgrades!$Q$18,J258)*POWER(Upgrades!$Q$19,K258)*POWER(Upgrades!$Q$20,L258)*POWER(Upgrades!$Q$21,M258)*$G$6*(Parameters!$B$10*Parameters!$B$11+Q258*60)</f>
        <v/>
      </c>
      <c r="AD258" s="27">
        <f>(IF(H258=0,0,(Upgrades!$M$16+H258*Upgrades!$N$16)*POWER(Upgrades!$O$16,H258)))*(IF(Upgrades!$T$13="Roche Lobe Overflow",POWER(Upgrades!$U$13,E258),1)*IF(Upgrades!$T$14="Roche Lobe Overflow",POWER(Upgrades!$U$14,F258),1)*IF(Upgrades!$T$15="Roche Lobe Overflow",POWER(Upgrades!$U$15,G258),1)*IF(Upgrades!$T$17="Roche Lobe Overflow",POWER(Upgrades!$U$17,I258),1)*IF(Upgrades!$T$18="Roche Lobe Overflow",POWER(Upgrades!$U$18,J258),1)*IF(Upgrades!$T$19="Roche Lobe Overflow",POWER(Upgrades!$U$19,K258),1)*IF(Upgrades!$T$20="Roche Lobe Overflow",POWER(Upgrades!$U$20,L258),1)*IF(Upgrades!$T$21="Roche Lobe Overflow",POWER(Upgrades!$U$21,M258),1))*POWER(Upgrades!$R$13,E258)*POWER(Upgrades!$R$14,F258)*POWER(Upgrades!$R$15,G258)*POWER(Upgrades!$R$16,H258)*POWER(Upgrades!$R$17,I258)*POWER(Upgrades!$R$18,J258)*POWER(Upgrades!$R$19,K258)*POWER(Upgrades!$R$20,L258)*POWER(Upgrades!$R$21,M258)*$H$6*O258*60</f>
        <v/>
      </c>
      <c r="AE258" s="27">
        <f>(IF(I258=0,0,(Upgrades!$G$17+I258*Upgrades!$H$17)*POWER(Upgrades!$I$17,I258)))*(IF(Upgrades!$T$13="Brown Dwarf",POWER(Upgrades!$U$13,E258),1)*IF(Upgrades!$T$14="Brown Dwarf",POWER(Upgrades!$U$14,F258),1)*IF(Upgrades!$T$15="Brown Dwarf",POWER(Upgrades!$U$15,G258),1)*IF(Upgrades!$T$16="Brown Dwarf",POWER(Upgrades!$U$16,H258),1)*IF(Upgrades!$T$18="Brown Dwarf",POWER(Upgrades!$U$18,J258),1)*IF(Upgrades!$T$19="Brown Dwarf",POWER(Upgrades!$U$19,K258),1)*IF(Upgrades!$T$20="Brown Dwarf",POWER(Upgrades!$U$20,L258),1)*IF(Upgrades!$T$21="Brown Dwarf",POWER(Upgrades!$U$21,M258),1))*POWER(Upgrades!$P$13,E258)*POWER(Upgrades!$P$14,F258)*POWER(Upgrades!$P$15,G258)*POWER(Upgrades!$P$16,H258)*POWER(Upgrades!$P$17,I258)*POWER(Upgrades!$P$18,J258)*POWER(Upgrades!$P$19,K258)*POWER(Upgrades!$P$20,L258)*POWER(Upgrades!$P$21,M258)*$F$6*60</f>
        <v/>
      </c>
      <c r="AF258" s="27" t="n">
        <v>0</v>
      </c>
      <c r="AG258" s="27" t="n">
        <v>0</v>
      </c>
      <c r="AH258" s="27" t="n">
        <v>0</v>
      </c>
      <c r="AI258" s="27">
        <f>(IF(M258=0,0,(Upgrades!$G$21+M258*Upgrades!$H$21)*POWER(Upgrades!$I$21,M258)))*(IF(Upgrades!$T$13="Moving Group",POWER(Upgrades!$U$13,E258),1)*IF(Upgrades!$T$14="Moving Group",POWER(Upgrades!$U$14,F258),1)*IF(Upgrades!$T$15="Moving Group",POWER(Upgrades!$U$15,G258),1)*IF(Upgrades!$T$16="Moving Group",POWER(Upgrades!$U$16,H258),1)*IF(Upgrades!$T$17="Moving Group",POWER(Upgrades!$U$17,I258),1)*IF(Upgrades!$T$18="Moving Group",POWER(Upgrades!$U$18,J258),1)*IF(Upgrades!$T$19="Moving Group",POWER(Upgrades!$U$19,K258),1)*IF(Upgrades!$T$20="Moving Group",POWER(Upgrades!$U$20,L258),1))*POWER(Upgrades!$P$13,E258)*POWER(Upgrades!$P$14,F258)*POWER(Upgrades!$P$15,G258)*POWER(Upgrades!$P$16,H258)*POWER(Upgrades!$P$17,I258)*POWER(Upgrades!$P$18,J258)*POWER(Upgrades!$P$19,K258)*POWER(Upgrades!$P$20,L258)*POWER(Upgrades!$P$21,M258)*$F$6*60</f>
        <v/>
      </c>
      <c r="AJ258" s="27">
        <f>$C$6*60</f>
        <v/>
      </c>
      <c r="AK258" s="22">
        <f>IF(E258&gt;=Upgrades!$E$13,"",Upgrades!$C$13*POWER(Upgrades!$D$13,E258))</f>
        <v/>
      </c>
      <c r="AL258" s="22">
        <f>IF(F258&gt;=Upgrades!$E$14,"",Upgrades!$C$14*POWER(Upgrades!$D$14,F258))</f>
        <v/>
      </c>
      <c r="AM258" s="22">
        <f>IF(G258&gt;=Upgrades!$E$15,"",Upgrades!$C$15*POWER(Upgrades!$D$15,G258))</f>
        <v/>
      </c>
      <c r="AN258" s="22">
        <f>IF(H258&gt;=Upgrades!$E$16,"",Upgrades!$C$16*POWER(Upgrades!$D$16,H258))</f>
        <v/>
      </c>
      <c r="AO258" s="22">
        <f>IF(I258&gt;=Upgrades!$E$17,"",Upgrades!$C$17*POWER(Upgrades!$D$17,I258))</f>
        <v/>
      </c>
      <c r="AP258" s="22">
        <f>IF(J258&gt;=Upgrades!$E$18,"",Upgrades!$C$18*POWER(Upgrades!$D$18,J258))</f>
        <v/>
      </c>
      <c r="AQ258" s="22">
        <f>IF(K258&gt;=Upgrades!$E$19,"",Upgrades!$C$19*POWER(Upgrades!$D$19,K258))</f>
        <v/>
      </c>
      <c r="AR258" s="22">
        <f>IF(L258&gt;=Upgrades!$E$20,"",Upgrades!$C$20*POWER(Upgrades!$D$20,L258))</f>
        <v/>
      </c>
      <c r="AS258" s="22">
        <f>IF(M258&gt;=Upgrades!$E$21,"",Upgrades!$C$21*POWER(Upgrades!$D$21,M258))</f>
        <v/>
      </c>
      <c r="AT258" s="26">
        <f>IF(AND(D258&gt;=Parameters!$B$18*Parameters!$B$19,(I258&gt;=Upgrades!$E$17)*(M258&gt;=Upgrades!$E$21)=1,N258=0),1,"")</f>
        <v/>
      </c>
      <c r="AU258" s="26">
        <f>IF(AND(D258&gt;=Parameters!$B$18*Parameters!$B$19,N258=0),1,"")</f>
        <v/>
      </c>
      <c r="AV258" s="22">
        <f>MIN(IF(ISNUMBER(AP258),AP258,9E15),IF(ISNUMBER(AQ258),AQ258,9E15),IF(ISNUMBER(AR258),AR258,9E15),IF(ISNUMBER(AS258),AS258,9E15))</f>
        <v/>
      </c>
      <c r="AW258" s="22">
        <f>MIN(IF(ISNUMBER(AK258),AK258,9E15),IF(ISNUMBER(AL258),AL258,9E15),IF(ISNUMBER(AM258),AM258,9E15),IF(ISNUMBER(AN258),AN258,9E15),IF(ISNUMBER(AO258),AO258,9E15))</f>
        <v/>
      </c>
      <c r="AX258" s="29">
        <f>IF(BD258&gt;Parameters!$B$21*(MAX(IF(AND(NOT(AND(AU258=1,AT258&lt;&gt;1)),ISNUMBER(AK258),AK258&lt;=(C258+T258)),AY258,0),IF(AND(NOT(AND(AU258=1,AT258&lt;&gt;1)),ISNUMBER(AL258),AL258&lt;=(C258+T258)),AZ258,0),IF(AND(NOT(AND(AU258=1,AT258&lt;&gt;1)),ISNUMBER(AM258),AM258&lt;=(C258+T258)),BA258,0),IF(AND(NOT(AND(AU258=1,AT258&lt;&gt;1)),ISNUMBER(AN258),AN258&lt;=(C258+T258)),BB258,0),IF(AND(ISNUMBER(AO258),AO258&lt;=(C258+T258)),BC258,0))),TRUE,FALSE)</f>
        <v/>
      </c>
      <c r="AY258" s="32">
        <f>IFERROR(Upgrades!$H$13*(POWER(Upgrades!$P$13,E258)*POWER(Upgrades!$P$14,F258)*POWER(Upgrades!$P$15,G258)*POWER(Upgrades!$P$16,H258)*POWER(Upgrades!$P$17,I258)*POWER(Upgrades!$P$18,J258)*POWER(Upgrades!$P$19,K258)*POWER(Upgrades!$P$20,L258)*POWER(Upgrades!$P$21,M258))*(IF(Upgrades!$T$14="Stellar Kinematics",POWER(Upgrades!$U$14,F258),1)*IF(Upgrades!$T$15="Stellar Kinematics",POWER(Upgrades!$U$15,G258),1)*IF(Upgrades!$T$16="Stellar Kinematics",POWER(Upgrades!$U$16,H258),1)*IF(Upgrades!$T$17="Stellar Kinematics",POWER(Upgrades!$U$17,I258),1)*IF(Upgrades!$T$18="Stellar Kinematics",POWER(Upgrades!$U$18,J258),1)*IF(Upgrades!$T$19="Stellar Kinematics",POWER(Upgrades!$U$19,K258),1)*IF(Upgrades!$T$20="Stellar Kinematics",POWER(Upgrades!$U$20,L258),1)*IF(Upgrades!$T$21="Stellar Kinematics",POWER(Upgrades!$U$21,M258),1))*$F$6/AK258,0)</f>
        <v/>
      </c>
      <c r="AZ258" s="32">
        <f>IFERROR(Upgrades!$H$14*(POWER(Upgrades!$P$13,E258)*POWER(Upgrades!$P$14,F258)*POWER(Upgrades!$P$15,G258)*POWER(Upgrades!$P$16,H258)*POWER(Upgrades!$P$17,I258)*POWER(Upgrades!$P$18,J258)*POWER(Upgrades!$P$19,K258)*POWER(Upgrades!$P$20,L258)*POWER(Upgrades!$P$21,M258))*(IF(Upgrades!$T$13="Local Bubble",POWER(Upgrades!$U$13,E258),1)*IF(Upgrades!$T$15="Local Bubble",POWER(Upgrades!$U$15,G258),1)*IF(Upgrades!$T$16="Local Bubble",POWER(Upgrades!$U$16,H258),1)*IF(Upgrades!$T$17="Local Bubble",POWER(Upgrades!$U$17,I258),1)*IF(Upgrades!$T$18="Local Bubble",POWER(Upgrades!$U$18,J258),1)*IF(Upgrades!$T$19="Local Bubble",POWER(Upgrades!$U$19,K258),1)*IF(Upgrades!$T$20="Local Bubble",POWER(Upgrades!$U$20,L258),1)*IF(Upgrades!$T$21="Local Bubble",POWER(Upgrades!$U$21,M258),1))*$F$6/AL258,0)</f>
        <v/>
      </c>
      <c r="BA258" s="32">
        <f>IFERROR(Upgrades!$K$15*(POWER(Upgrades!$Q$13,E258)*POWER(Upgrades!$Q$14,F258)*POWER(Upgrades!$Q$15,G258)*POWER(Upgrades!$Q$16,H258)*POWER(Upgrades!$Q$17,I258)*POWER(Upgrades!$Q$18,J258)*POWER(Upgrades!$Q$19,K258)*POWER(Upgrades!$Q$20,L258)*POWER(Upgrades!$Q$21,M258))*(IF(Upgrades!$T$13="Microlensing",POWER(Upgrades!$U$13,E258),1)*IF(Upgrades!$T$14="Microlensing",POWER(Upgrades!$U$14,F258),1)*IF(Upgrades!$T$16="Microlensing",POWER(Upgrades!$U$16,H258),1)*IF(Upgrades!$T$17="Microlensing",POWER(Upgrades!$U$17,I258),1)*IF(Upgrades!$T$18="Microlensing",POWER(Upgrades!$U$18,J258),1)*IF(Upgrades!$T$19="Microlensing",POWER(Upgrades!$U$19,K258),1)*IF(Upgrades!$T$20="Microlensing",POWER(Upgrades!$U$20,L258),1)*IF(Upgrades!$T$21="Microlensing",POWER(Upgrades!$U$21,M258),1))*$G$6*(Parameters!$B$10/60*Parameters!$B$11+Q258)/AM258,0)</f>
        <v/>
      </c>
      <c r="BB258" s="32">
        <f>IFERROR((Upgrades!$N$16*(POWER(Upgrades!$R$13,E258)*POWER(Upgrades!$R$14,F258)*POWER(Upgrades!$R$15,G258)*POWER(Upgrades!$R$16,H258)*POWER(Upgrades!$R$17,I258)*POWER(Upgrades!$R$18,J258)*POWER(Upgrades!$R$19,K258)*POWER(Upgrades!$R$20,L258)*POWER(Upgrades!$R$21,M258))*(IF(Upgrades!$T$13="Roche Lobe Overflow",POWER(Upgrades!$U$13,E258),1)*IF(Upgrades!$T$14="Roche Lobe Overflow",POWER(Upgrades!$U$14,F258),1)*IF(Upgrades!$T$15="Roche Lobe Overflow",POWER(Upgrades!$U$15,G258),1)*IF(Upgrades!$T$17="Roche Lobe Overflow",POWER(Upgrades!$U$17,I258),1)*IF(Upgrades!$T$18="Roche Lobe Overflow",POWER(Upgrades!$U$18,J258),1)*IF(Upgrades!$T$19="Roche Lobe Overflow",POWER(Upgrades!$U$19,K258),1)*IF(Upgrades!$T$20="Roche Lobe Overflow",POWER(Upgrades!$U$20,L258),1)*IF(Upgrades!$T$21="Roche Lobe Overflow",POWER(Upgrades!$U$21,M258),1))*$H$6*O258+((IF(F258=0,0,(Upgrades!$G$14+F258*Upgrades!$H$14)*POWER(Upgrades!$I$14,F258)))*(IF(Upgrades!$T$13="Local Bubble",POWER(Upgrades!$U$13,E258),1)*IF(Upgrades!$T$15="Local Bubble",POWER(Upgrades!$U$15,G258),1)*IF(Upgrades!$T$16="Local Bubble",POWER(Upgrades!$U$16,H258),1)*IF(Upgrades!$T$17="Local Bubble",POWER(Upgrades!$U$17,I258),1)*IF(Upgrades!$T$18="Local Bubble",POWER(Upgrades!$U$18,J258),1)*IF(Upgrades!$T$19="Local Bubble",POWER(Upgrades!$U$19,K258),1)*IF(Upgrades!$T$20="Local Bubble",POWER(Upgrades!$U$20,L258),1)*IF(Upgrades!$T$21="Local Bubble",POWER(Upgrades!$U$21,M258),1))*POWER(Upgrades!$P$13,E258)*POWER(Upgrades!$P$14,F258)*POWER(Upgrades!$P$15,G258)*POWER(Upgrades!$P$16,H258)*POWER(Upgrades!$P$17,I258)*POWER(Upgrades!$P$18,J258)*POWER(Upgrades!$P$19,K258)*POWER(Upgrades!$P$20,L258)*POWER(Upgrades!$P$21,M258)*$F$6)*0.05)/AN258,0)</f>
        <v/>
      </c>
      <c r="BC258" s="32">
        <f>IFERROR((Upgrades!$H$17*(POWER(Upgrades!$P$13,E258)*POWER(Upgrades!$P$14,F258)*POWER(Upgrades!$P$15,G258)*POWER(Upgrades!$P$16,H258)*POWER(Upgrades!$P$17,I258)*POWER(Upgrades!$P$18,J258)*POWER(Upgrades!$P$19,K258)*POWER(Upgrades!$P$20,L258)*POWER(Upgrades!$P$21,M258))*(IF(Upgrades!$T$13="Brown Dwarf",POWER(Upgrades!$U$13,E258),1)*IF(Upgrades!$T$14="Brown Dwarf",POWER(Upgrades!$U$14,F258),1)*IF(Upgrades!$T$15="Brown Dwarf",POWER(Upgrades!$U$15,G258),1)*IF(Upgrades!$T$16="Brown Dwarf",POWER(Upgrades!$U$16,H258),1)*IF(Upgrades!$T$18="Brown Dwarf",POWER(Upgrades!$U$18,J258),1)*IF(Upgrades!$T$19="Brown Dwarf",POWER(Upgrades!$U$19,K258),1)*IF(Upgrades!$T$20="Brown Dwarf",POWER(Upgrades!$U$20,L258),1)*IF(Upgrades!$T$21="Brown Dwarf",POWER(Upgrades!$U$21,M258),1))*$F$6+(((IF(H258=0,0,(Upgrades!$M$16+H258*Upgrades!$N$16)*POWER(Upgrades!$O$16,H258)))*(IF(Upgrades!$T$13="Roche Lobe Overflow",POWER(Upgrades!$U$13,E258),1)*IF(Upgrades!$T$14="Roche Lobe Overflow",POWER(Upgrades!$U$14,F258),1)*IF(Upgrades!$T$15="Roche Lobe Overflow",POWER(Upgrades!$U$15,G258),1)*IF(Upgrades!$T$17="Roche Lobe Overflow",POWER(Upgrades!$U$17,I258),1)*IF(Upgrades!$T$18="Roche Lobe Overflow",POWER(Upgrades!$U$18,J258),1)*IF(Upgrades!$T$19="Roche Lobe Overflow",POWER(Upgrades!$U$19,K258),1)*IF(Upgrades!$T$20="Roche Lobe Overflow",POWER(Upgrades!$U$20,L258),1)*IF(Upgrades!$T$21="Roche Lobe Overflow",POWER(Upgrades!$U$21,M258),1))*POWER(Upgrades!$R$13,E258)*POWER(Upgrades!$R$14,F258)*POWER(Upgrades!$R$15,G258)*POWER(Upgrades!$R$16,H258)*POWER(Upgrades!$R$17,I258)*POWER(Upgrades!$R$18,J258)*POWER(Upgrades!$R$19,K258)*POWER(Upgrades!$R$20,L258)*POWER(Upgrades!$R$21,M258)*$H$6)*O258)*0.10)/AO258,0)</f>
        <v/>
      </c>
      <c r="BD258" s="32">
        <f>MAX(IF(J258&gt;0,0,IFERROR(0.5*((IF(G258=0,0,(Upgrades!$J$15+G258*Upgrades!$K$15)*POWER(Upgrades!$L$15,G258)))*(IF(Upgrades!$T$13="Microlensing",POWER(Upgrades!$U$13,E258),1)*IF(Upgrades!$T$14="Microlensing",POWER(Upgrades!$U$14,F258),1)*IF(Upgrades!$T$16="Microlensing",POWER(Upgrades!$U$16,H258),1)*IF(Upgrades!$T$17="Microlensing",POWER(Upgrades!$U$17,I258),1)*IF(Upgrades!$T$18="Microlensing",POWER(Upgrades!$U$18,J258),1)*IF(Upgrades!$T$19="Microlensing",POWER(Upgrades!$U$19,K258),1)*IF(Upgrades!$T$20="Microlensing",POWER(Upgrades!$U$20,L258),1)*IF(Upgrades!$T$21="Microlensing",POWER(Upgrades!$U$21,M258),1))*(POWER(Upgrades!$Q$13,E258)*POWER(Upgrades!$Q$14,F258)*POWER(Upgrades!$Q$15,G258)*POWER(Upgrades!$Q$16,H258)*POWER(Upgrades!$Q$17,I258)*POWER(Upgrades!$Q$18,J258)*POWER(Upgrades!$Q$19,K258)*POWER(Upgrades!$Q$20,L258)*POWER(Upgrades!$Q$21,M258))*$G$6*(Parameters!$B$10/60*Parameters!$B$11+Q258))/Upgrades!$C$18,0)),IF(K258&gt;0,0,IFERROR(0.30*P258/Upgrades!$C$19,0)),IF(L258&gt;0,0,IFERROR(0.0001/Upgrades!$C$20,0)),IF(M258&gt;0,0,IFERROR((6.0*(POWER(Upgrades!$P$13,E258)*POWER(Upgrades!$P$14,F258)*POWER(Upgrades!$P$15,G258)*POWER(Upgrades!$P$16,H258)*POWER(Upgrades!$P$17,I258)*POWER(Upgrades!$P$18,J258)*POWER(Upgrades!$P$19,K258)*POWER(Upgrades!$P$20,L258)*POWER(Upgrades!$P$21,M258))*$F$6+0.20*O258*(Parameters!$B$10/60*Parameters!$B$11+Q258))/Upgrades!$C$21,0)),IF(AND(ISNUMBER(AK258),AK258&gt;(C258+T258)),AY258,0),IF(AND(ISNUMBER(AL258),AL258&gt;(C258+T258)),AZ258,0),IF(AND(ISNUMBER(AM258),AM258&gt;(C258+T258)),BA258,0),IF(AND(ISNUMBER(AN258),AN258&gt;(C258+T258)),BB258,0),IF(AND(ISNUMBER(AO258),AO258&gt;(C258+T258)),BC258,0))</f>
        <v/>
      </c>
      <c r="BE258" s="29">
        <f>IF(AT258=1,"transition",IF(MIN(IF(AND(J258=0,ISNUMBER(AP258),AP258&lt;=(C258+T258)),AP258,9E15),IF(AND(K258=0,ISNUMBER(AQ258),AQ258&lt;=(C258+T258)),AQ258,9E15),IF(AND(L258=0,ISNUMBER(AR258),AR258&lt;=(C258+T258)),AR258,9E15),IF(AND(M258=0,ISNUMBER(AS258),AS258&lt;=(C258+T258)),AS258,9E15))&lt;9E15,IF(AND(AND(J258=0,ISNUMBER(AP258),AP258&lt;=(C258+T258)),AP258=MIN(IF(AND(J258=0,ISNUMBER(AP258),AP258&lt;=(C258+T258)),AP258,9E15),IF(AND(K258=0,ISNUMBER(AQ258),AQ258&lt;=(C258+T258)),AQ258,9E15),IF(AND(L258=0,ISNUMBER(AR258),AR258&lt;=(C258+T258)),AR258,9E15),IF(AND(M258=0,ISNUMBER(AS258),AS258&lt;=(C258+T258)),AS258,9E15))),"BiP",IF(AND(AND(K258=0,ISNUMBER(AQ258),AQ258&lt;=(C258+T258)),AQ258=MIN(IF(AND(J258=0,ISNUMBER(AP258),AP258&lt;=(C258+T258)),AP258,9E15),IF(AND(K258=0,ISNUMBER(AQ258),AQ258&lt;=(C258+T258)),AQ258,9E15),IF(AND(L258=0,ISNUMBER(AR258),AR258&lt;=(C258+T258)),AR258,9E15),IF(AND(M258=0,ISNUMBER(AS258),AS258&lt;=(C258+T258)),AS258,9E15))),"PV",IF(AND(AND(L258=0,ISNUMBER(AR258),AR258&lt;=(C258+T258)),AR258=MIN(IF(AND(J258=0,ISNUMBER(AP258),AP258&lt;=(C258+T258)),AP258,9E15),IF(AND(K258=0,ISNUMBER(AQ258),AQ258&lt;=(C258+T258)),AQ258,9E15),IF(AND(L258=0,ISNUMBER(AR258),AR258&lt;=(C258+T258)),AR258,9E15),IF(AND(M258=0,ISNUMBER(AS258),AS258&lt;=(C258+T258)),AS258,9E15))),"OC","MG"))),IF(AX258=TRUE,"",IF(MAX(IF(AND(NOT(AND(AU258=1,AT258&lt;&gt;1)),ISNUMBER(AK258),AK258&lt;=(C258+T258)),AY258,0),IF(AND(NOT(AND(AU258=1,AT258&lt;&gt;1)),ISNUMBER(AL258),AL258&lt;=(C258+T258)),AZ258,0),IF(AND(NOT(AND(AU258=1,AT258&lt;&gt;1)),ISNUMBER(AM258),AM258&lt;=(C258+T258)),BA258,0),IF(AND(NOT(AND(AU258=1,AT258&lt;&gt;1)),ISNUMBER(AN258),AN258&lt;=(C258+T258)),BB258,0),IF(AND(ISNUMBER(AO258),AO258&lt;=(C258+T258)),BC258,0))&lt;=0,"",IF(AND(IF(AND(NOT(AND(AU258=1,AT258&lt;&gt;1)),ISNUMBER(AK258),AK258&lt;=(C258+T258)),AY258,0)&gt;0,IF(AND(NOT(AND(AU258=1,AT258&lt;&gt;1)),ISNUMBER(AK258),AK258&lt;=(C258+T258)),AY258,0)=MAX(IF(AND(NOT(AND(AU258=1,AT258&lt;&gt;1)),ISNUMBER(AK258),AK258&lt;=(C258+T258)),AY258,0),IF(AND(NOT(AND(AU258=1,AT258&lt;&gt;1)),ISNUMBER(AL258),AL258&lt;=(C258+T258)),AZ258,0),IF(AND(NOT(AND(AU258=1,AT258&lt;&gt;1)),ISNUMBER(AM258),AM258&lt;=(C258+T258)),BA258,0),IF(AND(NOT(AND(AU258=1,AT258&lt;&gt;1)),ISNUMBER(AN258),AN258&lt;=(C258+T258)),BB258,0),IF(AND(ISNUMBER(AO258),AO258&lt;=(C258+T258)),BC258,0))),"SK",IF(AND(IF(AND(NOT(AND(AU258=1,AT258&lt;&gt;1)),ISNUMBER(AL258),AL258&lt;=(C258+T258)),AZ258,0)&gt;0,IF(AND(NOT(AND(AU258=1,AT258&lt;&gt;1)),ISNUMBER(AL258),AL258&lt;=(C258+T258)),AZ258,0)=MAX(IF(AND(NOT(AND(AU258=1,AT258&lt;&gt;1)),ISNUMBER(AK258),AK258&lt;=(C258+T258)),AY258,0),IF(AND(NOT(AND(AU258=1,AT258&lt;&gt;1)),ISNUMBER(AL258),AL258&lt;=(C258+T258)),AZ258,0),IF(AND(NOT(AND(AU258=1,AT258&lt;&gt;1)),ISNUMBER(AM258),AM258&lt;=(C258+T258)),BA258,0),IF(AND(NOT(AND(AU258=1,AT258&lt;&gt;1)),ISNUMBER(AN258),AN258&lt;=(C258+T258)),BB258,0),IF(AND(ISNUMBER(AO258),AO258&lt;=(C258+T258)),BC258,0))),"LB",IF(AND(IF(AND(NOT(AND(AU258=1,AT258&lt;&gt;1)),ISNUMBER(AM258),AM258&lt;=(C258+T258)),BA258,0)&gt;0,IF(AND(NOT(AND(AU258=1,AT258&lt;&gt;1)),ISNUMBER(AM258),AM258&lt;=(C258+T258)),BA258,0)=MAX(IF(AND(NOT(AND(AU258=1,AT258&lt;&gt;1)),ISNUMBER(AK258),AK258&lt;=(C258+T258)),AY258,0),IF(AND(NOT(AND(AU258=1,AT258&lt;&gt;1)),ISNUMBER(AL258),AL258&lt;=(C258+T258)),AZ258,0),IF(AND(NOT(AND(AU258=1,AT258&lt;&gt;1)),ISNUMBER(AM258),AM258&lt;=(C258+T258)),BA258,0),IF(AND(NOT(AND(AU258=1,AT258&lt;&gt;1)),ISNUMBER(AN258),AN258&lt;=(C258+T258)),BB258,0),IF(AND(ISNUMBER(AO258),AO258&lt;=(C258+T258)),BC258,0))),"ML",IF(AND(IF(AND(NOT(AND(AU258=1,AT258&lt;&gt;1)),ISNUMBER(AN258),AN258&lt;=(C258+T258)),BB258,0)&gt;0,IF(AND(NOT(AND(AU258=1,AT258&lt;&gt;1)),ISNUMBER(AN258),AN258&lt;=(C258+T258)),BB258,0)=MAX(IF(AND(NOT(AND(AU258=1,AT258&lt;&gt;1)),ISNUMBER(AK258),AK258&lt;=(C258+T258)),AY258,0),IF(AND(NOT(AND(AU258=1,AT258&lt;&gt;1)),ISNUMBER(AL258),AL258&lt;=(C258+T258)),AZ258,0),IF(AND(NOT(AND(AU258=1,AT258&lt;&gt;1)),ISNUMBER(AM258),AM258&lt;=(C258+T258)),BA258,0),IF(AND(NOT(AND(AU258=1,AT258&lt;&gt;1)),ISNUMBER(AN258),AN258&lt;=(C258+T258)),BB258,0),IF(AND(ISNUMBER(AO258),AO258&lt;=(C258+T258)),BC258,0))),"RLO","BD"))))))))</f>
        <v/>
      </c>
    </row>
    <row r="259">
      <c r="A259" s="26" t="n">
        <v>248</v>
      </c>
      <c r="B259" s="27">
        <f>A259*10/60</f>
        <v/>
      </c>
      <c r="C259" s="22">
        <f>X258</f>
        <v/>
      </c>
      <c r="D259" s="27">
        <f>D258+W258</f>
        <v/>
      </c>
      <c r="E259" s="26">
        <f>E258+IF(U258="SK",1,0)</f>
        <v/>
      </c>
      <c r="F259" s="26">
        <f>F258+IF(U258="LB",1,0)</f>
        <v/>
      </c>
      <c r="G259" s="26">
        <f>G258+IF(U258="ML",1,0)</f>
        <v/>
      </c>
      <c r="H259" s="26">
        <f>H258+IF(U258="RLO",1,0)</f>
        <v/>
      </c>
      <c r="I259" s="26">
        <f>I258+IF(U258="BD",1,0)</f>
        <v/>
      </c>
      <c r="J259" s="26">
        <f>MAX(J258,IF(U258="BiP",1,0))</f>
        <v/>
      </c>
      <c r="K259" s="26">
        <f>MAX(K258,IF(U258="PV",1,0))</f>
        <v/>
      </c>
      <c r="L259" s="26">
        <f>MAX(L258,IF(U258="OC",1,0))</f>
        <v/>
      </c>
      <c r="M259" s="26">
        <f>MAX(M258,IF(U258="MG",1,0))</f>
        <v/>
      </c>
      <c r="N259" s="26">
        <f>MAX(N258,IF(U258="transition",1,0))</f>
        <v/>
      </c>
      <c r="O259" s="28">
        <f>(Parameters!$B$9+(IF(E259=0,0,(Upgrades!$J$13+E259*Upgrades!$K$13)*POWER(Upgrades!$L$13,E259)))*(IF(Upgrades!$T$14="Stellar Kinematics",POWER(Upgrades!$U$14,F259),1)*IF(Upgrades!$T$15="Stellar Kinematics",POWER(Upgrades!$U$15,G259),1)*IF(Upgrades!$T$16="Stellar Kinematics",POWER(Upgrades!$U$16,H259),1)*IF(Upgrades!$T$17="Stellar Kinematics",POWER(Upgrades!$U$17,I259),1)*IF(Upgrades!$T$18="Stellar Kinematics",POWER(Upgrades!$U$18,J259),1)*IF(Upgrades!$T$19="Stellar Kinematics",POWER(Upgrades!$U$19,K259),1)*IF(Upgrades!$T$20="Stellar Kinematics",POWER(Upgrades!$U$20,L259),1)*IF(Upgrades!$T$21="Stellar Kinematics",POWER(Upgrades!$U$21,M259),1))+(IF(F259=0,0,(Upgrades!$J$14+F259*Upgrades!$K$14)*POWER(Upgrades!$L$14,F259)))*(IF(Upgrades!$T$13="Local Bubble",POWER(Upgrades!$U$13,E259),1)*IF(Upgrades!$T$15="Local Bubble",POWER(Upgrades!$U$15,G259),1)*IF(Upgrades!$T$16="Local Bubble",POWER(Upgrades!$U$16,H259),1)*IF(Upgrades!$T$17="Local Bubble",POWER(Upgrades!$U$17,I259),1)*IF(Upgrades!$T$18="Local Bubble",POWER(Upgrades!$U$18,J259),1)*IF(Upgrades!$T$19="Local Bubble",POWER(Upgrades!$U$19,K259),1)*IF(Upgrades!$T$20="Local Bubble",POWER(Upgrades!$U$20,L259),1)*IF(Upgrades!$T$21="Local Bubble",POWER(Upgrades!$U$21,M259),1))+(IF(G259=0,0,(Upgrades!$J$15+G259*Upgrades!$K$15)*POWER(Upgrades!$L$15,G259)))*(IF(Upgrades!$T$13="Microlensing",POWER(Upgrades!$U$13,E259),1)*IF(Upgrades!$T$14="Microlensing",POWER(Upgrades!$U$14,F259),1)*IF(Upgrades!$T$16="Microlensing",POWER(Upgrades!$U$16,H259),1)*IF(Upgrades!$T$17="Microlensing",POWER(Upgrades!$U$17,I259),1)*IF(Upgrades!$T$18="Microlensing",POWER(Upgrades!$U$18,J259),1)*IF(Upgrades!$T$19="Microlensing",POWER(Upgrades!$U$19,K259),1)*IF(Upgrades!$T$20="Microlensing",POWER(Upgrades!$U$20,L259),1)*IF(Upgrades!$T$21="Microlensing",POWER(Upgrades!$U$21,M259),1))+(IF(H259=0,0,(Upgrades!$J$16+H259*Upgrades!$K$16)*POWER(Upgrades!$L$16,H259)))*(IF(Upgrades!$T$13="Roche Lobe Overflow",POWER(Upgrades!$U$13,E259),1)*IF(Upgrades!$T$14="Roche Lobe Overflow",POWER(Upgrades!$U$14,F259),1)*IF(Upgrades!$T$15="Roche Lobe Overflow",POWER(Upgrades!$U$15,G259),1)*IF(Upgrades!$T$17="Roche Lobe Overflow",POWER(Upgrades!$U$17,I259),1)*IF(Upgrades!$T$18="Roche Lobe Overflow",POWER(Upgrades!$U$18,J259),1)*IF(Upgrades!$T$19="Roche Lobe Overflow",POWER(Upgrades!$U$19,K259),1)*IF(Upgrades!$T$20="Roche Lobe Overflow",POWER(Upgrades!$U$20,L259),1)*IF(Upgrades!$T$21="Roche Lobe Overflow",POWER(Upgrades!$U$21,M259),1))+(IF(I259=0,0,(Upgrades!$J$17+I259*Upgrades!$K$17)*POWER(Upgrades!$L$17,I259)))*(IF(Upgrades!$T$13="Brown Dwarf",POWER(Upgrades!$U$13,E259),1)*IF(Upgrades!$T$14="Brown Dwarf",POWER(Upgrades!$U$14,F259),1)*IF(Upgrades!$T$15="Brown Dwarf",POWER(Upgrades!$U$15,G259),1)*IF(Upgrades!$T$16="Brown Dwarf",POWER(Upgrades!$U$16,H259),1)*IF(Upgrades!$T$18="Brown Dwarf",POWER(Upgrades!$U$18,J259),1)*IF(Upgrades!$T$19="Brown Dwarf",POWER(Upgrades!$U$19,K259),1)*IF(Upgrades!$T$20="Brown Dwarf",POWER(Upgrades!$U$20,L259),1)*IF(Upgrades!$T$21="Brown Dwarf",POWER(Upgrades!$U$21,M259),1))+(IF(J259=0,0,(Upgrades!$J$18+J259*Upgrades!$K$18)*POWER(Upgrades!$L$18,J259)))*(IF(Upgrades!$T$13="Binary Partner",POWER(Upgrades!$U$13,E259),1)*IF(Upgrades!$T$14="Binary Partner",POWER(Upgrades!$U$14,F259),1)*IF(Upgrades!$T$15="Binary Partner",POWER(Upgrades!$U$15,G259),1)*IF(Upgrades!$T$16="Binary Partner",POWER(Upgrades!$U$16,H259),1)*IF(Upgrades!$T$17="Binary Partner",POWER(Upgrades!$U$17,I259),1)*IF(Upgrades!$T$19="Binary Partner",POWER(Upgrades!$U$19,K259),1)*IF(Upgrades!$T$20="Binary Partner",POWER(Upgrades!$U$20,L259),1)*IF(Upgrades!$T$21="Binary Partner",POWER(Upgrades!$U$21,M259),1))+(IF(K259=0,0,(Upgrades!$J$19+K259*Upgrades!$K$19)*POWER(Upgrades!$L$19,K259)))*(IF(Upgrades!$T$13="Peculiar Velocity",POWER(Upgrades!$U$13,E259),1)*IF(Upgrades!$T$14="Peculiar Velocity",POWER(Upgrades!$U$14,F259),1)*IF(Upgrades!$T$15="Peculiar Velocity",POWER(Upgrades!$U$15,G259),1)*IF(Upgrades!$T$16="Peculiar Velocity",POWER(Upgrades!$U$16,H259),1)*IF(Upgrades!$T$17="Peculiar Velocity",POWER(Upgrades!$U$17,I259),1)*IF(Upgrades!$T$18="Peculiar Velocity",POWER(Upgrades!$U$18,J259),1)*IF(Upgrades!$T$20="Peculiar Velocity",POWER(Upgrades!$U$20,L259),1)*IF(Upgrades!$T$21="Peculiar Velocity",POWER(Upgrades!$U$21,M259),1))+(IF(L259=0,0,(Upgrades!$J$20+L259*Upgrades!$K$20)*POWER(Upgrades!$L$20,L259)))*(IF(Upgrades!$T$13="Open Cluster",POWER(Upgrades!$U$13,E259),1)*IF(Upgrades!$T$14="Open Cluster",POWER(Upgrades!$U$14,F259),1)*IF(Upgrades!$T$15="Open Cluster",POWER(Upgrades!$U$15,G259),1)*IF(Upgrades!$T$16="Open Cluster",POWER(Upgrades!$U$16,H259),1)*IF(Upgrades!$T$17="Open Cluster",POWER(Upgrades!$U$17,I259),1)*IF(Upgrades!$T$18="Open Cluster",POWER(Upgrades!$U$18,J259),1)*IF(Upgrades!$T$19="Open Cluster",POWER(Upgrades!$U$19,K259),1)*IF(Upgrades!$T$21="Open Cluster",POWER(Upgrades!$U$21,M259),1))+(IF(M259=0,0,(Upgrades!$J$21+M259*Upgrades!$K$21)*POWER(Upgrades!$L$21,M259)))*(IF(Upgrades!$T$13="Moving Group",POWER(Upgrades!$U$13,E259),1)*IF(Upgrades!$T$14="Moving Group",POWER(Upgrades!$U$14,F259),1)*IF(Upgrades!$T$15="Moving Group",POWER(Upgrades!$U$15,G259),1)*IF(Upgrades!$T$16="Moving Group",POWER(Upgrades!$U$16,H259),1)*IF(Upgrades!$T$17="Moving Group",POWER(Upgrades!$U$17,I259),1)*IF(Upgrades!$T$18="Moving Group",POWER(Upgrades!$U$18,J259),1)*IF(Upgrades!$T$19="Moving Group",POWER(Upgrades!$U$19,K259),1)*IF(Upgrades!$T$20="Moving Group",POWER(Upgrades!$U$20,L259),1)))*POWER(Upgrades!$Q$13,E259)*POWER(Upgrades!$Q$14,F259)*POWER(Upgrades!$Q$15,G259)*POWER(Upgrades!$Q$16,H259)*POWER(Upgrades!$Q$17,I259)*POWER(Upgrades!$Q$18,J259)*POWER(Upgrades!$Q$19,K259)*POWER(Upgrades!$Q$20,L259)*POWER(Upgrades!$Q$21,M259)*$G$6+$D$6</f>
        <v/>
      </c>
      <c r="P259" s="28">
        <f>((IF(E259=0,0,(Upgrades!$G$13+E259*Upgrades!$H$13)*POWER(Upgrades!$I$13,E259)))*(IF(Upgrades!$T$14="Stellar Kinematics",POWER(Upgrades!$U$14,F259),1)*IF(Upgrades!$T$15="Stellar Kinematics",POWER(Upgrades!$U$15,G259),1)*IF(Upgrades!$T$16="Stellar Kinematics",POWER(Upgrades!$U$16,H259),1)*IF(Upgrades!$T$17="Stellar Kinematics",POWER(Upgrades!$U$17,I259),1)*IF(Upgrades!$T$18="Stellar Kinematics",POWER(Upgrades!$U$18,J259),1)*IF(Upgrades!$T$19="Stellar Kinematics",POWER(Upgrades!$U$19,K259),1)*IF(Upgrades!$T$20="Stellar Kinematics",POWER(Upgrades!$U$20,L259),1)*IF(Upgrades!$T$21="Stellar Kinematics",POWER(Upgrades!$U$21,M259),1))+(IF(F259=0,0,(Upgrades!$G$14+F259*Upgrades!$H$14)*POWER(Upgrades!$I$14,F259)))*(IF(Upgrades!$T$13="Local Bubble",POWER(Upgrades!$U$13,E259),1)*IF(Upgrades!$T$15="Local Bubble",POWER(Upgrades!$U$15,G259),1)*IF(Upgrades!$T$16="Local Bubble",POWER(Upgrades!$U$16,H259),1)*IF(Upgrades!$T$17="Local Bubble",POWER(Upgrades!$U$17,I259),1)*IF(Upgrades!$T$18="Local Bubble",POWER(Upgrades!$U$18,J259),1)*IF(Upgrades!$T$19="Local Bubble",POWER(Upgrades!$U$19,K259),1)*IF(Upgrades!$T$20="Local Bubble",POWER(Upgrades!$U$20,L259),1)*IF(Upgrades!$T$21="Local Bubble",POWER(Upgrades!$U$21,M259),1))+(IF(G259=0,0,(Upgrades!$G$15+G259*Upgrades!$H$15)*POWER(Upgrades!$I$15,G259)))*(IF(Upgrades!$T$13="Microlensing",POWER(Upgrades!$U$13,E259),1)*IF(Upgrades!$T$14="Microlensing",POWER(Upgrades!$U$14,F259),1)*IF(Upgrades!$T$16="Microlensing",POWER(Upgrades!$U$16,H259),1)*IF(Upgrades!$T$17="Microlensing",POWER(Upgrades!$U$17,I259),1)*IF(Upgrades!$T$18="Microlensing",POWER(Upgrades!$U$18,J259),1)*IF(Upgrades!$T$19="Microlensing",POWER(Upgrades!$U$19,K259),1)*IF(Upgrades!$T$20="Microlensing",POWER(Upgrades!$U$20,L259),1)*IF(Upgrades!$T$21="Microlensing",POWER(Upgrades!$U$21,M259),1))+(IF(H259=0,0,(Upgrades!$G$16+H259*Upgrades!$H$16)*POWER(Upgrades!$I$16,H259)))*(IF(Upgrades!$T$13="Roche Lobe Overflow",POWER(Upgrades!$U$13,E259),1)*IF(Upgrades!$T$14="Roche Lobe Overflow",POWER(Upgrades!$U$14,F259),1)*IF(Upgrades!$T$15="Roche Lobe Overflow",POWER(Upgrades!$U$15,G259),1)*IF(Upgrades!$T$17="Roche Lobe Overflow",POWER(Upgrades!$U$17,I259),1)*IF(Upgrades!$T$18="Roche Lobe Overflow",POWER(Upgrades!$U$18,J259),1)*IF(Upgrades!$T$19="Roche Lobe Overflow",POWER(Upgrades!$U$19,K259),1)*IF(Upgrades!$T$20="Roche Lobe Overflow",POWER(Upgrades!$U$20,L259),1)*IF(Upgrades!$T$21="Roche Lobe Overflow",POWER(Upgrades!$U$21,M259),1))+(IF(I259=0,0,(Upgrades!$G$17+I259*Upgrades!$H$17)*POWER(Upgrades!$I$17,I259)))*(IF(Upgrades!$T$13="Brown Dwarf",POWER(Upgrades!$U$13,E259),1)*IF(Upgrades!$T$14="Brown Dwarf",POWER(Upgrades!$U$14,F259),1)*IF(Upgrades!$T$15="Brown Dwarf",POWER(Upgrades!$U$15,G259),1)*IF(Upgrades!$T$16="Brown Dwarf",POWER(Upgrades!$U$16,H259),1)*IF(Upgrades!$T$18="Brown Dwarf",POWER(Upgrades!$U$18,J259),1)*IF(Upgrades!$T$19="Brown Dwarf",POWER(Upgrades!$U$19,K259),1)*IF(Upgrades!$T$20="Brown Dwarf",POWER(Upgrades!$U$20,L259),1)*IF(Upgrades!$T$21="Brown Dwarf",POWER(Upgrades!$U$21,M259),1))+(IF(J259=0,0,(Upgrades!$G$18+J259*Upgrades!$H$18)*POWER(Upgrades!$I$18,J259)))*(IF(Upgrades!$T$13="Binary Partner",POWER(Upgrades!$U$13,E259),1)*IF(Upgrades!$T$14="Binary Partner",POWER(Upgrades!$U$14,F259),1)*IF(Upgrades!$T$15="Binary Partner",POWER(Upgrades!$U$15,G259),1)*IF(Upgrades!$T$16="Binary Partner",POWER(Upgrades!$U$16,H259),1)*IF(Upgrades!$T$17="Binary Partner",POWER(Upgrades!$U$17,I259),1)*IF(Upgrades!$T$19="Binary Partner",POWER(Upgrades!$U$19,K259),1)*IF(Upgrades!$T$20="Binary Partner",POWER(Upgrades!$U$20,L259),1)*IF(Upgrades!$T$21="Binary Partner",POWER(Upgrades!$U$21,M259),1))+(IF(K259=0,0,(Upgrades!$G$19+K259*Upgrades!$H$19)*POWER(Upgrades!$I$19,K259)))*(IF(Upgrades!$T$13="Peculiar Velocity",POWER(Upgrades!$U$13,E259),1)*IF(Upgrades!$T$14="Peculiar Velocity",POWER(Upgrades!$U$14,F259),1)*IF(Upgrades!$T$15="Peculiar Velocity",POWER(Upgrades!$U$15,G259),1)*IF(Upgrades!$T$16="Peculiar Velocity",POWER(Upgrades!$U$16,H259),1)*IF(Upgrades!$T$17="Peculiar Velocity",POWER(Upgrades!$U$17,I259),1)*IF(Upgrades!$T$18="Peculiar Velocity",POWER(Upgrades!$U$18,J259),1)*IF(Upgrades!$T$20="Peculiar Velocity",POWER(Upgrades!$U$20,L259),1)*IF(Upgrades!$T$21="Peculiar Velocity",POWER(Upgrades!$U$21,M259),1))+(IF(L259=0,0,(Upgrades!$G$20+L259*Upgrades!$H$20)*POWER(Upgrades!$I$20,L259)))*(IF(Upgrades!$T$13="Open Cluster",POWER(Upgrades!$U$13,E259),1)*IF(Upgrades!$T$14="Open Cluster",POWER(Upgrades!$U$14,F259),1)*IF(Upgrades!$T$15="Open Cluster",POWER(Upgrades!$U$15,G259),1)*IF(Upgrades!$T$16="Open Cluster",POWER(Upgrades!$U$16,H259),1)*IF(Upgrades!$T$17="Open Cluster",POWER(Upgrades!$U$17,I259),1)*IF(Upgrades!$T$18="Open Cluster",POWER(Upgrades!$U$18,J259),1)*IF(Upgrades!$T$19="Open Cluster",POWER(Upgrades!$U$19,K259),1)*IF(Upgrades!$T$21="Open Cluster",POWER(Upgrades!$U$21,M259),1))+(IF(M259=0,0,(Upgrades!$G$21+M259*Upgrades!$H$21)*POWER(Upgrades!$I$21,M259)))*(IF(Upgrades!$T$13="Moving Group",POWER(Upgrades!$U$13,E259),1)*IF(Upgrades!$T$14="Moving Group",POWER(Upgrades!$U$14,F259),1)*IF(Upgrades!$T$15="Moving Group",POWER(Upgrades!$U$15,G259),1)*IF(Upgrades!$T$16="Moving Group",POWER(Upgrades!$U$16,H259),1)*IF(Upgrades!$T$17="Moving Group",POWER(Upgrades!$U$17,I259),1)*IF(Upgrades!$T$18="Moving Group",POWER(Upgrades!$U$18,J259),1)*IF(Upgrades!$T$19="Moving Group",POWER(Upgrades!$U$19,K259),1)*IF(Upgrades!$T$20="Moving Group",POWER(Upgrades!$U$20,L259),1)))*POWER(Upgrades!$P$13,E259)*POWER(Upgrades!$P$14,F259)*POWER(Upgrades!$P$15,G259)*POWER(Upgrades!$P$16,H259)*POWER(Upgrades!$P$17,I259)*POWER(Upgrades!$P$18,J259)*POWER(Upgrades!$P$19,K259)*POWER(Upgrades!$P$20,L259)*POWER(Upgrades!$P$21,M259)*$F$6+$C$6</f>
        <v/>
      </c>
      <c r="Q259" s="28">
        <f>((IF(E259=0,0,(Upgrades!$M$13+E259*Upgrades!$N$13)*POWER(Upgrades!$O$13,E259)))*(IF(Upgrades!$T$14="Stellar Kinematics",POWER(Upgrades!$U$14,F259),1)*IF(Upgrades!$T$15="Stellar Kinematics",POWER(Upgrades!$U$15,G259),1)*IF(Upgrades!$T$16="Stellar Kinematics",POWER(Upgrades!$U$16,H259),1)*IF(Upgrades!$T$17="Stellar Kinematics",POWER(Upgrades!$U$17,I259),1)*IF(Upgrades!$T$18="Stellar Kinematics",POWER(Upgrades!$U$18,J259),1)*IF(Upgrades!$T$19="Stellar Kinematics",POWER(Upgrades!$U$19,K259),1)*IF(Upgrades!$T$20="Stellar Kinematics",POWER(Upgrades!$U$20,L259),1)*IF(Upgrades!$T$21="Stellar Kinematics",POWER(Upgrades!$U$21,M259),1))+(IF(F259=0,0,(Upgrades!$M$14+F259*Upgrades!$N$14)*POWER(Upgrades!$O$14,F259)))*(IF(Upgrades!$T$13="Local Bubble",POWER(Upgrades!$U$13,E259),1)*IF(Upgrades!$T$15="Local Bubble",POWER(Upgrades!$U$15,G259),1)*IF(Upgrades!$T$16="Local Bubble",POWER(Upgrades!$U$16,H259),1)*IF(Upgrades!$T$17="Local Bubble",POWER(Upgrades!$U$17,I259),1)*IF(Upgrades!$T$18="Local Bubble",POWER(Upgrades!$U$18,J259),1)*IF(Upgrades!$T$19="Local Bubble",POWER(Upgrades!$U$19,K259),1)*IF(Upgrades!$T$20="Local Bubble",POWER(Upgrades!$U$20,L259),1)*IF(Upgrades!$T$21="Local Bubble",POWER(Upgrades!$U$21,M259),1))+(IF(G259=0,0,(Upgrades!$M$15+G259*Upgrades!$N$15)*POWER(Upgrades!$O$15,G259)))*(IF(Upgrades!$T$13="Microlensing",POWER(Upgrades!$U$13,E259),1)*IF(Upgrades!$T$14="Microlensing",POWER(Upgrades!$U$14,F259),1)*IF(Upgrades!$T$16="Microlensing",POWER(Upgrades!$U$16,H259),1)*IF(Upgrades!$T$17="Microlensing",POWER(Upgrades!$U$17,I259),1)*IF(Upgrades!$T$18="Microlensing",POWER(Upgrades!$U$18,J259),1)*IF(Upgrades!$T$19="Microlensing",POWER(Upgrades!$U$19,K259),1)*IF(Upgrades!$T$20="Microlensing",POWER(Upgrades!$U$20,L259),1)*IF(Upgrades!$T$21="Microlensing",POWER(Upgrades!$U$21,M259),1))+(IF(H259=0,0,(Upgrades!$M$16+H259*Upgrades!$N$16)*POWER(Upgrades!$O$16,H259)))*(IF(Upgrades!$T$13="Roche Lobe Overflow",POWER(Upgrades!$U$13,E259),1)*IF(Upgrades!$T$14="Roche Lobe Overflow",POWER(Upgrades!$U$14,F259),1)*IF(Upgrades!$T$15="Roche Lobe Overflow",POWER(Upgrades!$U$15,G259),1)*IF(Upgrades!$T$17="Roche Lobe Overflow",POWER(Upgrades!$U$17,I259),1)*IF(Upgrades!$T$18="Roche Lobe Overflow",POWER(Upgrades!$U$18,J259),1)*IF(Upgrades!$T$19="Roche Lobe Overflow",POWER(Upgrades!$U$19,K259),1)*IF(Upgrades!$T$20="Roche Lobe Overflow",POWER(Upgrades!$U$20,L259),1)*IF(Upgrades!$T$21="Roche Lobe Overflow",POWER(Upgrades!$U$21,M259),1))+(IF(I259=0,0,(Upgrades!$M$17+I259*Upgrades!$N$17)*POWER(Upgrades!$O$17,I259)))*(IF(Upgrades!$T$13="Brown Dwarf",POWER(Upgrades!$U$13,E259),1)*IF(Upgrades!$T$14="Brown Dwarf",POWER(Upgrades!$U$14,F259),1)*IF(Upgrades!$T$15="Brown Dwarf",POWER(Upgrades!$U$15,G259),1)*IF(Upgrades!$T$16="Brown Dwarf",POWER(Upgrades!$U$16,H259),1)*IF(Upgrades!$T$18="Brown Dwarf",POWER(Upgrades!$U$18,J259),1)*IF(Upgrades!$T$19="Brown Dwarf",POWER(Upgrades!$U$19,K259),1)*IF(Upgrades!$T$20="Brown Dwarf",POWER(Upgrades!$U$20,L259),1)*IF(Upgrades!$T$21="Brown Dwarf",POWER(Upgrades!$U$21,M259),1))+(IF(J259=0,0,(Upgrades!$M$18+J259*Upgrades!$N$18)*POWER(Upgrades!$O$18,J259)))*(IF(Upgrades!$T$13="Binary Partner",POWER(Upgrades!$U$13,E259),1)*IF(Upgrades!$T$14="Binary Partner",POWER(Upgrades!$U$14,F259),1)*IF(Upgrades!$T$15="Binary Partner",POWER(Upgrades!$U$15,G259),1)*IF(Upgrades!$T$16="Binary Partner",POWER(Upgrades!$U$16,H259),1)*IF(Upgrades!$T$17="Binary Partner",POWER(Upgrades!$U$17,I259),1)*IF(Upgrades!$T$19="Binary Partner",POWER(Upgrades!$U$19,K259),1)*IF(Upgrades!$T$20="Binary Partner",POWER(Upgrades!$U$20,L259),1)*IF(Upgrades!$T$21="Binary Partner",POWER(Upgrades!$U$21,M259),1))+(IF(K259=0,0,(Upgrades!$M$19+K259*Upgrades!$N$19)*POWER(Upgrades!$O$19,K259)))*(IF(Upgrades!$T$13="Peculiar Velocity",POWER(Upgrades!$U$13,E259),1)*IF(Upgrades!$T$14="Peculiar Velocity",POWER(Upgrades!$U$14,F259),1)*IF(Upgrades!$T$15="Peculiar Velocity",POWER(Upgrades!$U$15,G259),1)*IF(Upgrades!$T$16="Peculiar Velocity",POWER(Upgrades!$U$16,H259),1)*IF(Upgrades!$T$17="Peculiar Velocity",POWER(Upgrades!$U$17,I259),1)*IF(Upgrades!$T$18="Peculiar Velocity",POWER(Upgrades!$U$18,J259),1)*IF(Upgrades!$T$20="Peculiar Velocity",POWER(Upgrades!$U$20,L259),1)*IF(Upgrades!$T$21="Peculiar Velocity",POWER(Upgrades!$U$21,M259),1))+(IF(L259=0,0,(Upgrades!$M$20+L259*Upgrades!$N$20)*POWER(Upgrades!$O$20,L259)))*(IF(Upgrades!$T$13="Open Cluster",POWER(Upgrades!$U$13,E259),1)*IF(Upgrades!$T$14="Open Cluster",POWER(Upgrades!$U$14,F259),1)*IF(Upgrades!$T$15="Open Cluster",POWER(Upgrades!$U$15,G259),1)*IF(Upgrades!$T$16="Open Cluster",POWER(Upgrades!$U$16,H259),1)*IF(Upgrades!$T$17="Open Cluster",POWER(Upgrades!$U$17,I259),1)*IF(Upgrades!$T$18="Open Cluster",POWER(Upgrades!$U$18,J259),1)*IF(Upgrades!$T$19="Open Cluster",POWER(Upgrades!$U$19,K259),1)*IF(Upgrades!$T$21="Open Cluster",POWER(Upgrades!$U$21,M259),1))+(IF(M259=0,0,(Upgrades!$M$21+M259*Upgrades!$N$21)*POWER(Upgrades!$O$21,M259)))*(IF(Upgrades!$T$13="Moving Group",POWER(Upgrades!$U$13,E259),1)*IF(Upgrades!$T$14="Moving Group",POWER(Upgrades!$U$14,F259),1)*IF(Upgrades!$T$15="Moving Group",POWER(Upgrades!$U$15,G259),1)*IF(Upgrades!$T$16="Moving Group",POWER(Upgrades!$U$16,H259),1)*IF(Upgrades!$T$17="Moving Group",POWER(Upgrades!$U$17,I259),1)*IF(Upgrades!$T$18="Moving Group",POWER(Upgrades!$U$18,J259),1)*IF(Upgrades!$T$19="Moving Group",POWER(Upgrades!$U$19,K259),1)*IF(Upgrades!$T$20="Moving Group",POWER(Upgrades!$U$20,L259),1)))*POWER(Upgrades!$R$13,E259)*POWER(Upgrades!$R$14,F259)*POWER(Upgrades!$R$15,G259)*POWER(Upgrades!$R$16,H259)*POWER(Upgrades!$R$17,I259)*POWER(Upgrades!$R$18,J259)*POWER(Upgrades!$R$19,K259)*POWER(Upgrades!$R$20,L259)*POWER(Upgrades!$R$21,M259)*$H$6+$E$6</f>
        <v/>
      </c>
      <c r="R259" s="27">
        <f>IF(N259=1,0,O259*Parameters!$B$10/60*Parameters!$B$11*10)</f>
        <v/>
      </c>
      <c r="S259" s="27">
        <f>IF(N259=1,0,Q259*O259*10)</f>
        <v/>
      </c>
      <c r="T259" s="27">
        <f>IF(N259=1,0,R259+S259+P259*10)</f>
        <v/>
      </c>
      <c r="U259" s="33">
        <f>BE259</f>
        <v/>
      </c>
      <c r="V259" s="22">
        <f>IF(U259="",0,IF(U259="transition",0,IF(U259="SK",AK259,IF(U259="LB",AL259,IF(U259="ML",AM259,IF(U259="RLO",AN259,IF(U259="BD",AO259,IF(U259="BiP",AP259,IF(U259="PV",AQ259,IF(U259="OC",AR259,IF(U259="MG",AS259,0))))))))))</f>
        <v/>
      </c>
      <c r="W259" s="27">
        <f>IF(U259="BiP",Upgrades!$F$18,IF(U259="PV",Upgrades!$F$19,IF(U259="OC",Upgrades!$F$20,IF(U259="MG",Upgrades!$F$21,IF(U259="transition",-Parameters!$B$18*Parameters!$B$19,0)))))</f>
        <v/>
      </c>
      <c r="X259" s="22">
        <f>C259+T259-V259</f>
        <v/>
      </c>
      <c r="Y259" s="30">
        <f>O259*Parameters!$B$10/60*Parameters!$B$11+Q259*O259+P259</f>
        <v/>
      </c>
      <c r="Z259" s="34">
        <f>IF(U259="transition","→ Tier 3 (Galactic Arm)",IF(U259="MG","Moving Group — pocket drifts together",IF(U259="OC","Open Cluster acquired",IF(U259="PV","Peculiar Velocity — passive multiplier active",IF(U259="BiP","Binary Partner — pair bond formed",IF(AND(AU259=1,N259=0,AT259&lt;&gt;1),"Cohesion ready (waiting on completionists)","")))))) </f>
        <v/>
      </c>
      <c r="AA259" s="27">
        <f>(IF(E259=0,0,(Upgrades!$G$13+E259*Upgrades!$H$13)*POWER(Upgrades!$I$13,E259)))*(IF(Upgrades!$T$14="Stellar Kinematics",POWER(Upgrades!$U$14,F259),1)*IF(Upgrades!$T$15="Stellar Kinematics",POWER(Upgrades!$U$15,G259),1)*IF(Upgrades!$T$16="Stellar Kinematics",POWER(Upgrades!$U$16,H259),1)*IF(Upgrades!$T$17="Stellar Kinematics",POWER(Upgrades!$U$17,I259),1)*IF(Upgrades!$T$18="Stellar Kinematics",POWER(Upgrades!$U$18,J259),1)*IF(Upgrades!$T$19="Stellar Kinematics",POWER(Upgrades!$U$19,K259),1)*IF(Upgrades!$T$20="Stellar Kinematics",POWER(Upgrades!$U$20,L259),1)*IF(Upgrades!$T$21="Stellar Kinematics",POWER(Upgrades!$U$21,M259),1))*POWER(Upgrades!$P$13,E259)*POWER(Upgrades!$P$14,F259)*POWER(Upgrades!$P$15,G259)*POWER(Upgrades!$P$16,H259)*POWER(Upgrades!$P$17,I259)*POWER(Upgrades!$P$18,J259)*POWER(Upgrades!$P$19,K259)*POWER(Upgrades!$P$20,L259)*POWER(Upgrades!$P$21,M259)*$F$6*60</f>
        <v/>
      </c>
      <c r="AB259" s="27">
        <f>(IF(F259=0,0,(Upgrades!$G$14+F259*Upgrades!$H$14)*POWER(Upgrades!$I$14,F259)))*(IF(Upgrades!$T$13="Local Bubble",POWER(Upgrades!$U$13,E259),1)*IF(Upgrades!$T$15="Local Bubble",POWER(Upgrades!$U$15,G259),1)*IF(Upgrades!$T$16="Local Bubble",POWER(Upgrades!$U$16,H259),1)*IF(Upgrades!$T$17="Local Bubble",POWER(Upgrades!$U$17,I259),1)*IF(Upgrades!$T$18="Local Bubble",POWER(Upgrades!$U$18,J259),1)*IF(Upgrades!$T$19="Local Bubble",POWER(Upgrades!$U$19,K259),1)*IF(Upgrades!$T$20="Local Bubble",POWER(Upgrades!$U$20,L259),1)*IF(Upgrades!$T$21="Local Bubble",POWER(Upgrades!$U$21,M259),1))*POWER(Upgrades!$P$13,E259)*POWER(Upgrades!$P$14,F259)*POWER(Upgrades!$P$15,G259)*POWER(Upgrades!$P$16,H259)*POWER(Upgrades!$P$17,I259)*POWER(Upgrades!$P$18,J259)*POWER(Upgrades!$P$19,K259)*POWER(Upgrades!$P$20,L259)*POWER(Upgrades!$P$21,M259)*$F$6*60</f>
        <v/>
      </c>
      <c r="AC259" s="27">
        <f>(IF(G259=0,0,(Upgrades!$J$15+G259*Upgrades!$K$15)*POWER(Upgrades!$L$15,G259)))*(IF(Upgrades!$T$13="Microlensing",POWER(Upgrades!$U$13,E259),1)*IF(Upgrades!$T$14="Microlensing",POWER(Upgrades!$U$14,F259),1)*IF(Upgrades!$T$16="Microlensing",POWER(Upgrades!$U$16,H259),1)*IF(Upgrades!$T$17="Microlensing",POWER(Upgrades!$U$17,I259),1)*IF(Upgrades!$T$18="Microlensing",POWER(Upgrades!$U$18,J259),1)*IF(Upgrades!$T$19="Microlensing",POWER(Upgrades!$U$19,K259),1)*IF(Upgrades!$T$20="Microlensing",POWER(Upgrades!$U$20,L259),1)*IF(Upgrades!$T$21="Microlensing",POWER(Upgrades!$U$21,M259),1))*POWER(Upgrades!$Q$13,E259)*POWER(Upgrades!$Q$14,F259)*POWER(Upgrades!$Q$15,G259)*POWER(Upgrades!$Q$16,H259)*POWER(Upgrades!$Q$17,I259)*POWER(Upgrades!$Q$18,J259)*POWER(Upgrades!$Q$19,K259)*POWER(Upgrades!$Q$20,L259)*POWER(Upgrades!$Q$21,M259)*$G$6*(Parameters!$B$10*Parameters!$B$11+Q259*60)</f>
        <v/>
      </c>
      <c r="AD259" s="27">
        <f>(IF(H259=0,0,(Upgrades!$M$16+H259*Upgrades!$N$16)*POWER(Upgrades!$O$16,H259)))*(IF(Upgrades!$T$13="Roche Lobe Overflow",POWER(Upgrades!$U$13,E259),1)*IF(Upgrades!$T$14="Roche Lobe Overflow",POWER(Upgrades!$U$14,F259),1)*IF(Upgrades!$T$15="Roche Lobe Overflow",POWER(Upgrades!$U$15,G259),1)*IF(Upgrades!$T$17="Roche Lobe Overflow",POWER(Upgrades!$U$17,I259),1)*IF(Upgrades!$T$18="Roche Lobe Overflow",POWER(Upgrades!$U$18,J259),1)*IF(Upgrades!$T$19="Roche Lobe Overflow",POWER(Upgrades!$U$19,K259),1)*IF(Upgrades!$T$20="Roche Lobe Overflow",POWER(Upgrades!$U$20,L259),1)*IF(Upgrades!$T$21="Roche Lobe Overflow",POWER(Upgrades!$U$21,M259),1))*POWER(Upgrades!$R$13,E259)*POWER(Upgrades!$R$14,F259)*POWER(Upgrades!$R$15,G259)*POWER(Upgrades!$R$16,H259)*POWER(Upgrades!$R$17,I259)*POWER(Upgrades!$R$18,J259)*POWER(Upgrades!$R$19,K259)*POWER(Upgrades!$R$20,L259)*POWER(Upgrades!$R$21,M259)*$H$6*O259*60</f>
        <v/>
      </c>
      <c r="AE259" s="27">
        <f>(IF(I259=0,0,(Upgrades!$G$17+I259*Upgrades!$H$17)*POWER(Upgrades!$I$17,I259)))*(IF(Upgrades!$T$13="Brown Dwarf",POWER(Upgrades!$U$13,E259),1)*IF(Upgrades!$T$14="Brown Dwarf",POWER(Upgrades!$U$14,F259),1)*IF(Upgrades!$T$15="Brown Dwarf",POWER(Upgrades!$U$15,G259),1)*IF(Upgrades!$T$16="Brown Dwarf",POWER(Upgrades!$U$16,H259),1)*IF(Upgrades!$T$18="Brown Dwarf",POWER(Upgrades!$U$18,J259),1)*IF(Upgrades!$T$19="Brown Dwarf",POWER(Upgrades!$U$19,K259),1)*IF(Upgrades!$T$20="Brown Dwarf",POWER(Upgrades!$U$20,L259),1)*IF(Upgrades!$T$21="Brown Dwarf",POWER(Upgrades!$U$21,M259),1))*POWER(Upgrades!$P$13,E259)*POWER(Upgrades!$P$14,F259)*POWER(Upgrades!$P$15,G259)*POWER(Upgrades!$P$16,H259)*POWER(Upgrades!$P$17,I259)*POWER(Upgrades!$P$18,J259)*POWER(Upgrades!$P$19,K259)*POWER(Upgrades!$P$20,L259)*POWER(Upgrades!$P$21,M259)*$F$6*60</f>
        <v/>
      </c>
      <c r="AF259" s="27" t="n">
        <v>0</v>
      </c>
      <c r="AG259" s="27" t="n">
        <v>0</v>
      </c>
      <c r="AH259" s="27" t="n">
        <v>0</v>
      </c>
      <c r="AI259" s="27">
        <f>(IF(M259=0,0,(Upgrades!$G$21+M259*Upgrades!$H$21)*POWER(Upgrades!$I$21,M259)))*(IF(Upgrades!$T$13="Moving Group",POWER(Upgrades!$U$13,E259),1)*IF(Upgrades!$T$14="Moving Group",POWER(Upgrades!$U$14,F259),1)*IF(Upgrades!$T$15="Moving Group",POWER(Upgrades!$U$15,G259),1)*IF(Upgrades!$T$16="Moving Group",POWER(Upgrades!$U$16,H259),1)*IF(Upgrades!$T$17="Moving Group",POWER(Upgrades!$U$17,I259),1)*IF(Upgrades!$T$18="Moving Group",POWER(Upgrades!$U$18,J259),1)*IF(Upgrades!$T$19="Moving Group",POWER(Upgrades!$U$19,K259),1)*IF(Upgrades!$T$20="Moving Group",POWER(Upgrades!$U$20,L259),1))*POWER(Upgrades!$P$13,E259)*POWER(Upgrades!$P$14,F259)*POWER(Upgrades!$P$15,G259)*POWER(Upgrades!$P$16,H259)*POWER(Upgrades!$P$17,I259)*POWER(Upgrades!$P$18,J259)*POWER(Upgrades!$P$19,K259)*POWER(Upgrades!$P$20,L259)*POWER(Upgrades!$P$21,M259)*$F$6*60</f>
        <v/>
      </c>
      <c r="AJ259" s="27">
        <f>$C$6*60</f>
        <v/>
      </c>
      <c r="AK259" s="22">
        <f>IF(E259&gt;=Upgrades!$E$13,"",Upgrades!$C$13*POWER(Upgrades!$D$13,E259))</f>
        <v/>
      </c>
      <c r="AL259" s="22">
        <f>IF(F259&gt;=Upgrades!$E$14,"",Upgrades!$C$14*POWER(Upgrades!$D$14,F259))</f>
        <v/>
      </c>
      <c r="AM259" s="22">
        <f>IF(G259&gt;=Upgrades!$E$15,"",Upgrades!$C$15*POWER(Upgrades!$D$15,G259))</f>
        <v/>
      </c>
      <c r="AN259" s="22">
        <f>IF(H259&gt;=Upgrades!$E$16,"",Upgrades!$C$16*POWER(Upgrades!$D$16,H259))</f>
        <v/>
      </c>
      <c r="AO259" s="22">
        <f>IF(I259&gt;=Upgrades!$E$17,"",Upgrades!$C$17*POWER(Upgrades!$D$17,I259))</f>
        <v/>
      </c>
      <c r="AP259" s="22">
        <f>IF(J259&gt;=Upgrades!$E$18,"",Upgrades!$C$18*POWER(Upgrades!$D$18,J259))</f>
        <v/>
      </c>
      <c r="AQ259" s="22">
        <f>IF(K259&gt;=Upgrades!$E$19,"",Upgrades!$C$19*POWER(Upgrades!$D$19,K259))</f>
        <v/>
      </c>
      <c r="AR259" s="22">
        <f>IF(L259&gt;=Upgrades!$E$20,"",Upgrades!$C$20*POWER(Upgrades!$D$20,L259))</f>
        <v/>
      </c>
      <c r="AS259" s="22">
        <f>IF(M259&gt;=Upgrades!$E$21,"",Upgrades!$C$21*POWER(Upgrades!$D$21,M259))</f>
        <v/>
      </c>
      <c r="AT259" s="26">
        <f>IF(AND(D259&gt;=Parameters!$B$18*Parameters!$B$19,(I259&gt;=Upgrades!$E$17)*(M259&gt;=Upgrades!$E$21)=1,N259=0),1,"")</f>
        <v/>
      </c>
      <c r="AU259" s="26">
        <f>IF(AND(D259&gt;=Parameters!$B$18*Parameters!$B$19,N259=0),1,"")</f>
        <v/>
      </c>
      <c r="AV259" s="22">
        <f>MIN(IF(ISNUMBER(AP259),AP259,9E15),IF(ISNUMBER(AQ259),AQ259,9E15),IF(ISNUMBER(AR259),AR259,9E15),IF(ISNUMBER(AS259),AS259,9E15))</f>
        <v/>
      </c>
      <c r="AW259" s="22">
        <f>MIN(IF(ISNUMBER(AK259),AK259,9E15),IF(ISNUMBER(AL259),AL259,9E15),IF(ISNUMBER(AM259),AM259,9E15),IF(ISNUMBER(AN259),AN259,9E15),IF(ISNUMBER(AO259),AO259,9E15))</f>
        <v/>
      </c>
      <c r="AX259" s="29">
        <f>IF(BD259&gt;Parameters!$B$21*(MAX(IF(AND(NOT(AND(AU259=1,AT259&lt;&gt;1)),ISNUMBER(AK259),AK259&lt;=(C259+T259)),AY259,0),IF(AND(NOT(AND(AU259=1,AT259&lt;&gt;1)),ISNUMBER(AL259),AL259&lt;=(C259+T259)),AZ259,0),IF(AND(NOT(AND(AU259=1,AT259&lt;&gt;1)),ISNUMBER(AM259),AM259&lt;=(C259+T259)),BA259,0),IF(AND(NOT(AND(AU259=1,AT259&lt;&gt;1)),ISNUMBER(AN259),AN259&lt;=(C259+T259)),BB259,0),IF(AND(ISNUMBER(AO259),AO259&lt;=(C259+T259)),BC259,0))),TRUE,FALSE)</f>
        <v/>
      </c>
      <c r="AY259" s="32">
        <f>IFERROR(Upgrades!$H$13*(POWER(Upgrades!$P$13,E259)*POWER(Upgrades!$P$14,F259)*POWER(Upgrades!$P$15,G259)*POWER(Upgrades!$P$16,H259)*POWER(Upgrades!$P$17,I259)*POWER(Upgrades!$P$18,J259)*POWER(Upgrades!$P$19,K259)*POWER(Upgrades!$P$20,L259)*POWER(Upgrades!$P$21,M259))*(IF(Upgrades!$T$14="Stellar Kinematics",POWER(Upgrades!$U$14,F259),1)*IF(Upgrades!$T$15="Stellar Kinematics",POWER(Upgrades!$U$15,G259),1)*IF(Upgrades!$T$16="Stellar Kinematics",POWER(Upgrades!$U$16,H259),1)*IF(Upgrades!$T$17="Stellar Kinematics",POWER(Upgrades!$U$17,I259),1)*IF(Upgrades!$T$18="Stellar Kinematics",POWER(Upgrades!$U$18,J259),1)*IF(Upgrades!$T$19="Stellar Kinematics",POWER(Upgrades!$U$19,K259),1)*IF(Upgrades!$T$20="Stellar Kinematics",POWER(Upgrades!$U$20,L259),1)*IF(Upgrades!$T$21="Stellar Kinematics",POWER(Upgrades!$U$21,M259),1))*$F$6/AK259,0)</f>
        <v/>
      </c>
      <c r="AZ259" s="32">
        <f>IFERROR(Upgrades!$H$14*(POWER(Upgrades!$P$13,E259)*POWER(Upgrades!$P$14,F259)*POWER(Upgrades!$P$15,G259)*POWER(Upgrades!$P$16,H259)*POWER(Upgrades!$P$17,I259)*POWER(Upgrades!$P$18,J259)*POWER(Upgrades!$P$19,K259)*POWER(Upgrades!$P$20,L259)*POWER(Upgrades!$P$21,M259))*(IF(Upgrades!$T$13="Local Bubble",POWER(Upgrades!$U$13,E259),1)*IF(Upgrades!$T$15="Local Bubble",POWER(Upgrades!$U$15,G259),1)*IF(Upgrades!$T$16="Local Bubble",POWER(Upgrades!$U$16,H259),1)*IF(Upgrades!$T$17="Local Bubble",POWER(Upgrades!$U$17,I259),1)*IF(Upgrades!$T$18="Local Bubble",POWER(Upgrades!$U$18,J259),1)*IF(Upgrades!$T$19="Local Bubble",POWER(Upgrades!$U$19,K259),1)*IF(Upgrades!$T$20="Local Bubble",POWER(Upgrades!$U$20,L259),1)*IF(Upgrades!$T$21="Local Bubble",POWER(Upgrades!$U$21,M259),1))*$F$6/AL259,0)</f>
        <v/>
      </c>
      <c r="BA259" s="32">
        <f>IFERROR(Upgrades!$K$15*(POWER(Upgrades!$Q$13,E259)*POWER(Upgrades!$Q$14,F259)*POWER(Upgrades!$Q$15,G259)*POWER(Upgrades!$Q$16,H259)*POWER(Upgrades!$Q$17,I259)*POWER(Upgrades!$Q$18,J259)*POWER(Upgrades!$Q$19,K259)*POWER(Upgrades!$Q$20,L259)*POWER(Upgrades!$Q$21,M259))*(IF(Upgrades!$T$13="Microlensing",POWER(Upgrades!$U$13,E259),1)*IF(Upgrades!$T$14="Microlensing",POWER(Upgrades!$U$14,F259),1)*IF(Upgrades!$T$16="Microlensing",POWER(Upgrades!$U$16,H259),1)*IF(Upgrades!$T$17="Microlensing",POWER(Upgrades!$U$17,I259),1)*IF(Upgrades!$T$18="Microlensing",POWER(Upgrades!$U$18,J259),1)*IF(Upgrades!$T$19="Microlensing",POWER(Upgrades!$U$19,K259),1)*IF(Upgrades!$T$20="Microlensing",POWER(Upgrades!$U$20,L259),1)*IF(Upgrades!$T$21="Microlensing",POWER(Upgrades!$U$21,M259),1))*$G$6*(Parameters!$B$10/60*Parameters!$B$11+Q259)/AM259,0)</f>
        <v/>
      </c>
      <c r="BB259" s="32">
        <f>IFERROR((Upgrades!$N$16*(POWER(Upgrades!$R$13,E259)*POWER(Upgrades!$R$14,F259)*POWER(Upgrades!$R$15,G259)*POWER(Upgrades!$R$16,H259)*POWER(Upgrades!$R$17,I259)*POWER(Upgrades!$R$18,J259)*POWER(Upgrades!$R$19,K259)*POWER(Upgrades!$R$20,L259)*POWER(Upgrades!$R$21,M259))*(IF(Upgrades!$T$13="Roche Lobe Overflow",POWER(Upgrades!$U$13,E259),1)*IF(Upgrades!$T$14="Roche Lobe Overflow",POWER(Upgrades!$U$14,F259),1)*IF(Upgrades!$T$15="Roche Lobe Overflow",POWER(Upgrades!$U$15,G259),1)*IF(Upgrades!$T$17="Roche Lobe Overflow",POWER(Upgrades!$U$17,I259),1)*IF(Upgrades!$T$18="Roche Lobe Overflow",POWER(Upgrades!$U$18,J259),1)*IF(Upgrades!$T$19="Roche Lobe Overflow",POWER(Upgrades!$U$19,K259),1)*IF(Upgrades!$T$20="Roche Lobe Overflow",POWER(Upgrades!$U$20,L259),1)*IF(Upgrades!$T$21="Roche Lobe Overflow",POWER(Upgrades!$U$21,M259),1))*$H$6*O259+((IF(F259=0,0,(Upgrades!$G$14+F259*Upgrades!$H$14)*POWER(Upgrades!$I$14,F259)))*(IF(Upgrades!$T$13="Local Bubble",POWER(Upgrades!$U$13,E259),1)*IF(Upgrades!$T$15="Local Bubble",POWER(Upgrades!$U$15,G259),1)*IF(Upgrades!$T$16="Local Bubble",POWER(Upgrades!$U$16,H259),1)*IF(Upgrades!$T$17="Local Bubble",POWER(Upgrades!$U$17,I259),1)*IF(Upgrades!$T$18="Local Bubble",POWER(Upgrades!$U$18,J259),1)*IF(Upgrades!$T$19="Local Bubble",POWER(Upgrades!$U$19,K259),1)*IF(Upgrades!$T$20="Local Bubble",POWER(Upgrades!$U$20,L259),1)*IF(Upgrades!$T$21="Local Bubble",POWER(Upgrades!$U$21,M259),1))*POWER(Upgrades!$P$13,E259)*POWER(Upgrades!$P$14,F259)*POWER(Upgrades!$P$15,G259)*POWER(Upgrades!$P$16,H259)*POWER(Upgrades!$P$17,I259)*POWER(Upgrades!$P$18,J259)*POWER(Upgrades!$P$19,K259)*POWER(Upgrades!$P$20,L259)*POWER(Upgrades!$P$21,M259)*$F$6)*0.05)/AN259,0)</f>
        <v/>
      </c>
      <c r="BC259" s="32">
        <f>IFERROR((Upgrades!$H$17*(POWER(Upgrades!$P$13,E259)*POWER(Upgrades!$P$14,F259)*POWER(Upgrades!$P$15,G259)*POWER(Upgrades!$P$16,H259)*POWER(Upgrades!$P$17,I259)*POWER(Upgrades!$P$18,J259)*POWER(Upgrades!$P$19,K259)*POWER(Upgrades!$P$20,L259)*POWER(Upgrades!$P$21,M259))*(IF(Upgrades!$T$13="Brown Dwarf",POWER(Upgrades!$U$13,E259),1)*IF(Upgrades!$T$14="Brown Dwarf",POWER(Upgrades!$U$14,F259),1)*IF(Upgrades!$T$15="Brown Dwarf",POWER(Upgrades!$U$15,G259),1)*IF(Upgrades!$T$16="Brown Dwarf",POWER(Upgrades!$U$16,H259),1)*IF(Upgrades!$T$18="Brown Dwarf",POWER(Upgrades!$U$18,J259),1)*IF(Upgrades!$T$19="Brown Dwarf",POWER(Upgrades!$U$19,K259),1)*IF(Upgrades!$T$20="Brown Dwarf",POWER(Upgrades!$U$20,L259),1)*IF(Upgrades!$T$21="Brown Dwarf",POWER(Upgrades!$U$21,M259),1))*$F$6+(((IF(H259=0,0,(Upgrades!$M$16+H259*Upgrades!$N$16)*POWER(Upgrades!$O$16,H259)))*(IF(Upgrades!$T$13="Roche Lobe Overflow",POWER(Upgrades!$U$13,E259),1)*IF(Upgrades!$T$14="Roche Lobe Overflow",POWER(Upgrades!$U$14,F259),1)*IF(Upgrades!$T$15="Roche Lobe Overflow",POWER(Upgrades!$U$15,G259),1)*IF(Upgrades!$T$17="Roche Lobe Overflow",POWER(Upgrades!$U$17,I259),1)*IF(Upgrades!$T$18="Roche Lobe Overflow",POWER(Upgrades!$U$18,J259),1)*IF(Upgrades!$T$19="Roche Lobe Overflow",POWER(Upgrades!$U$19,K259),1)*IF(Upgrades!$T$20="Roche Lobe Overflow",POWER(Upgrades!$U$20,L259),1)*IF(Upgrades!$T$21="Roche Lobe Overflow",POWER(Upgrades!$U$21,M259),1))*POWER(Upgrades!$R$13,E259)*POWER(Upgrades!$R$14,F259)*POWER(Upgrades!$R$15,G259)*POWER(Upgrades!$R$16,H259)*POWER(Upgrades!$R$17,I259)*POWER(Upgrades!$R$18,J259)*POWER(Upgrades!$R$19,K259)*POWER(Upgrades!$R$20,L259)*POWER(Upgrades!$R$21,M259)*$H$6)*O259)*0.10)/AO259,0)</f>
        <v/>
      </c>
      <c r="BD259" s="32">
        <f>MAX(IF(J259&gt;0,0,IFERROR(0.5*((IF(G259=0,0,(Upgrades!$J$15+G259*Upgrades!$K$15)*POWER(Upgrades!$L$15,G259)))*(IF(Upgrades!$T$13="Microlensing",POWER(Upgrades!$U$13,E259),1)*IF(Upgrades!$T$14="Microlensing",POWER(Upgrades!$U$14,F259),1)*IF(Upgrades!$T$16="Microlensing",POWER(Upgrades!$U$16,H259),1)*IF(Upgrades!$T$17="Microlensing",POWER(Upgrades!$U$17,I259),1)*IF(Upgrades!$T$18="Microlensing",POWER(Upgrades!$U$18,J259),1)*IF(Upgrades!$T$19="Microlensing",POWER(Upgrades!$U$19,K259),1)*IF(Upgrades!$T$20="Microlensing",POWER(Upgrades!$U$20,L259),1)*IF(Upgrades!$T$21="Microlensing",POWER(Upgrades!$U$21,M259),1))*(POWER(Upgrades!$Q$13,E259)*POWER(Upgrades!$Q$14,F259)*POWER(Upgrades!$Q$15,G259)*POWER(Upgrades!$Q$16,H259)*POWER(Upgrades!$Q$17,I259)*POWER(Upgrades!$Q$18,J259)*POWER(Upgrades!$Q$19,K259)*POWER(Upgrades!$Q$20,L259)*POWER(Upgrades!$Q$21,M259))*$G$6*(Parameters!$B$10/60*Parameters!$B$11+Q259))/Upgrades!$C$18,0)),IF(K259&gt;0,0,IFERROR(0.30*P259/Upgrades!$C$19,0)),IF(L259&gt;0,0,IFERROR(0.0001/Upgrades!$C$20,0)),IF(M259&gt;0,0,IFERROR((6.0*(POWER(Upgrades!$P$13,E259)*POWER(Upgrades!$P$14,F259)*POWER(Upgrades!$P$15,G259)*POWER(Upgrades!$P$16,H259)*POWER(Upgrades!$P$17,I259)*POWER(Upgrades!$P$18,J259)*POWER(Upgrades!$P$19,K259)*POWER(Upgrades!$P$20,L259)*POWER(Upgrades!$P$21,M259))*$F$6+0.20*O259*(Parameters!$B$10/60*Parameters!$B$11+Q259))/Upgrades!$C$21,0)),IF(AND(ISNUMBER(AK259),AK259&gt;(C259+T259)),AY259,0),IF(AND(ISNUMBER(AL259),AL259&gt;(C259+T259)),AZ259,0),IF(AND(ISNUMBER(AM259),AM259&gt;(C259+T259)),BA259,0),IF(AND(ISNUMBER(AN259),AN259&gt;(C259+T259)),BB259,0),IF(AND(ISNUMBER(AO259),AO259&gt;(C259+T259)),BC259,0))</f>
        <v/>
      </c>
      <c r="BE259" s="29">
        <f>IF(AT259=1,"transition",IF(MIN(IF(AND(J259=0,ISNUMBER(AP259),AP259&lt;=(C259+T259)),AP259,9E15),IF(AND(K259=0,ISNUMBER(AQ259),AQ259&lt;=(C259+T259)),AQ259,9E15),IF(AND(L259=0,ISNUMBER(AR259),AR259&lt;=(C259+T259)),AR259,9E15),IF(AND(M259=0,ISNUMBER(AS259),AS259&lt;=(C259+T259)),AS259,9E15))&lt;9E15,IF(AND(AND(J259=0,ISNUMBER(AP259),AP259&lt;=(C259+T259)),AP259=MIN(IF(AND(J259=0,ISNUMBER(AP259),AP259&lt;=(C259+T259)),AP259,9E15),IF(AND(K259=0,ISNUMBER(AQ259),AQ259&lt;=(C259+T259)),AQ259,9E15),IF(AND(L259=0,ISNUMBER(AR259),AR259&lt;=(C259+T259)),AR259,9E15),IF(AND(M259=0,ISNUMBER(AS259),AS259&lt;=(C259+T259)),AS259,9E15))),"BiP",IF(AND(AND(K259=0,ISNUMBER(AQ259),AQ259&lt;=(C259+T259)),AQ259=MIN(IF(AND(J259=0,ISNUMBER(AP259),AP259&lt;=(C259+T259)),AP259,9E15),IF(AND(K259=0,ISNUMBER(AQ259),AQ259&lt;=(C259+T259)),AQ259,9E15),IF(AND(L259=0,ISNUMBER(AR259),AR259&lt;=(C259+T259)),AR259,9E15),IF(AND(M259=0,ISNUMBER(AS259),AS259&lt;=(C259+T259)),AS259,9E15))),"PV",IF(AND(AND(L259=0,ISNUMBER(AR259),AR259&lt;=(C259+T259)),AR259=MIN(IF(AND(J259=0,ISNUMBER(AP259),AP259&lt;=(C259+T259)),AP259,9E15),IF(AND(K259=0,ISNUMBER(AQ259),AQ259&lt;=(C259+T259)),AQ259,9E15),IF(AND(L259=0,ISNUMBER(AR259),AR259&lt;=(C259+T259)),AR259,9E15),IF(AND(M259=0,ISNUMBER(AS259),AS259&lt;=(C259+T259)),AS259,9E15))),"OC","MG"))),IF(AX259=TRUE,"",IF(MAX(IF(AND(NOT(AND(AU259=1,AT259&lt;&gt;1)),ISNUMBER(AK259),AK259&lt;=(C259+T259)),AY259,0),IF(AND(NOT(AND(AU259=1,AT259&lt;&gt;1)),ISNUMBER(AL259),AL259&lt;=(C259+T259)),AZ259,0),IF(AND(NOT(AND(AU259=1,AT259&lt;&gt;1)),ISNUMBER(AM259),AM259&lt;=(C259+T259)),BA259,0),IF(AND(NOT(AND(AU259=1,AT259&lt;&gt;1)),ISNUMBER(AN259),AN259&lt;=(C259+T259)),BB259,0),IF(AND(ISNUMBER(AO259),AO259&lt;=(C259+T259)),BC259,0))&lt;=0,"",IF(AND(IF(AND(NOT(AND(AU259=1,AT259&lt;&gt;1)),ISNUMBER(AK259),AK259&lt;=(C259+T259)),AY259,0)&gt;0,IF(AND(NOT(AND(AU259=1,AT259&lt;&gt;1)),ISNUMBER(AK259),AK259&lt;=(C259+T259)),AY259,0)=MAX(IF(AND(NOT(AND(AU259=1,AT259&lt;&gt;1)),ISNUMBER(AK259),AK259&lt;=(C259+T259)),AY259,0),IF(AND(NOT(AND(AU259=1,AT259&lt;&gt;1)),ISNUMBER(AL259),AL259&lt;=(C259+T259)),AZ259,0),IF(AND(NOT(AND(AU259=1,AT259&lt;&gt;1)),ISNUMBER(AM259),AM259&lt;=(C259+T259)),BA259,0),IF(AND(NOT(AND(AU259=1,AT259&lt;&gt;1)),ISNUMBER(AN259),AN259&lt;=(C259+T259)),BB259,0),IF(AND(ISNUMBER(AO259),AO259&lt;=(C259+T259)),BC259,0))),"SK",IF(AND(IF(AND(NOT(AND(AU259=1,AT259&lt;&gt;1)),ISNUMBER(AL259),AL259&lt;=(C259+T259)),AZ259,0)&gt;0,IF(AND(NOT(AND(AU259=1,AT259&lt;&gt;1)),ISNUMBER(AL259),AL259&lt;=(C259+T259)),AZ259,0)=MAX(IF(AND(NOT(AND(AU259=1,AT259&lt;&gt;1)),ISNUMBER(AK259),AK259&lt;=(C259+T259)),AY259,0),IF(AND(NOT(AND(AU259=1,AT259&lt;&gt;1)),ISNUMBER(AL259),AL259&lt;=(C259+T259)),AZ259,0),IF(AND(NOT(AND(AU259=1,AT259&lt;&gt;1)),ISNUMBER(AM259),AM259&lt;=(C259+T259)),BA259,0),IF(AND(NOT(AND(AU259=1,AT259&lt;&gt;1)),ISNUMBER(AN259),AN259&lt;=(C259+T259)),BB259,0),IF(AND(ISNUMBER(AO259),AO259&lt;=(C259+T259)),BC259,0))),"LB",IF(AND(IF(AND(NOT(AND(AU259=1,AT259&lt;&gt;1)),ISNUMBER(AM259),AM259&lt;=(C259+T259)),BA259,0)&gt;0,IF(AND(NOT(AND(AU259=1,AT259&lt;&gt;1)),ISNUMBER(AM259),AM259&lt;=(C259+T259)),BA259,0)=MAX(IF(AND(NOT(AND(AU259=1,AT259&lt;&gt;1)),ISNUMBER(AK259),AK259&lt;=(C259+T259)),AY259,0),IF(AND(NOT(AND(AU259=1,AT259&lt;&gt;1)),ISNUMBER(AL259),AL259&lt;=(C259+T259)),AZ259,0),IF(AND(NOT(AND(AU259=1,AT259&lt;&gt;1)),ISNUMBER(AM259),AM259&lt;=(C259+T259)),BA259,0),IF(AND(NOT(AND(AU259=1,AT259&lt;&gt;1)),ISNUMBER(AN259),AN259&lt;=(C259+T259)),BB259,0),IF(AND(ISNUMBER(AO259),AO259&lt;=(C259+T259)),BC259,0))),"ML",IF(AND(IF(AND(NOT(AND(AU259=1,AT259&lt;&gt;1)),ISNUMBER(AN259),AN259&lt;=(C259+T259)),BB259,0)&gt;0,IF(AND(NOT(AND(AU259=1,AT259&lt;&gt;1)),ISNUMBER(AN259),AN259&lt;=(C259+T259)),BB259,0)=MAX(IF(AND(NOT(AND(AU259=1,AT259&lt;&gt;1)),ISNUMBER(AK259),AK259&lt;=(C259+T259)),AY259,0),IF(AND(NOT(AND(AU259=1,AT259&lt;&gt;1)),ISNUMBER(AL259),AL259&lt;=(C259+T259)),AZ259,0),IF(AND(NOT(AND(AU259=1,AT259&lt;&gt;1)),ISNUMBER(AM259),AM259&lt;=(C259+T259)),BA259,0),IF(AND(NOT(AND(AU259=1,AT259&lt;&gt;1)),ISNUMBER(AN259),AN259&lt;=(C259+T259)),BB259,0),IF(AND(ISNUMBER(AO259),AO259&lt;=(C259+T259)),BC259,0))),"RLO","BD"))))))))</f>
        <v/>
      </c>
    </row>
    <row r="260">
      <c r="A260" s="26" t="n">
        <v>249</v>
      </c>
      <c r="B260" s="27">
        <f>A260*10/60</f>
        <v/>
      </c>
      <c r="C260" s="22">
        <f>X259</f>
        <v/>
      </c>
      <c r="D260" s="27">
        <f>D259+W259</f>
        <v/>
      </c>
      <c r="E260" s="26">
        <f>E259+IF(U259="SK",1,0)</f>
        <v/>
      </c>
      <c r="F260" s="26">
        <f>F259+IF(U259="LB",1,0)</f>
        <v/>
      </c>
      <c r="G260" s="26">
        <f>G259+IF(U259="ML",1,0)</f>
        <v/>
      </c>
      <c r="H260" s="26">
        <f>H259+IF(U259="RLO",1,0)</f>
        <v/>
      </c>
      <c r="I260" s="26">
        <f>I259+IF(U259="BD",1,0)</f>
        <v/>
      </c>
      <c r="J260" s="26">
        <f>MAX(J259,IF(U259="BiP",1,0))</f>
        <v/>
      </c>
      <c r="K260" s="26">
        <f>MAX(K259,IF(U259="PV",1,0))</f>
        <v/>
      </c>
      <c r="L260" s="26">
        <f>MAX(L259,IF(U259="OC",1,0))</f>
        <v/>
      </c>
      <c r="M260" s="26">
        <f>MAX(M259,IF(U259="MG",1,0))</f>
        <v/>
      </c>
      <c r="N260" s="26">
        <f>MAX(N259,IF(U259="transition",1,0))</f>
        <v/>
      </c>
      <c r="O260" s="28">
        <f>(Parameters!$B$9+(IF(E260=0,0,(Upgrades!$J$13+E260*Upgrades!$K$13)*POWER(Upgrades!$L$13,E260)))*(IF(Upgrades!$T$14="Stellar Kinematics",POWER(Upgrades!$U$14,F260),1)*IF(Upgrades!$T$15="Stellar Kinematics",POWER(Upgrades!$U$15,G260),1)*IF(Upgrades!$T$16="Stellar Kinematics",POWER(Upgrades!$U$16,H260),1)*IF(Upgrades!$T$17="Stellar Kinematics",POWER(Upgrades!$U$17,I260),1)*IF(Upgrades!$T$18="Stellar Kinematics",POWER(Upgrades!$U$18,J260),1)*IF(Upgrades!$T$19="Stellar Kinematics",POWER(Upgrades!$U$19,K260),1)*IF(Upgrades!$T$20="Stellar Kinematics",POWER(Upgrades!$U$20,L260),1)*IF(Upgrades!$T$21="Stellar Kinematics",POWER(Upgrades!$U$21,M260),1))+(IF(F260=0,0,(Upgrades!$J$14+F260*Upgrades!$K$14)*POWER(Upgrades!$L$14,F260)))*(IF(Upgrades!$T$13="Local Bubble",POWER(Upgrades!$U$13,E260),1)*IF(Upgrades!$T$15="Local Bubble",POWER(Upgrades!$U$15,G260),1)*IF(Upgrades!$T$16="Local Bubble",POWER(Upgrades!$U$16,H260),1)*IF(Upgrades!$T$17="Local Bubble",POWER(Upgrades!$U$17,I260),1)*IF(Upgrades!$T$18="Local Bubble",POWER(Upgrades!$U$18,J260),1)*IF(Upgrades!$T$19="Local Bubble",POWER(Upgrades!$U$19,K260),1)*IF(Upgrades!$T$20="Local Bubble",POWER(Upgrades!$U$20,L260),1)*IF(Upgrades!$T$21="Local Bubble",POWER(Upgrades!$U$21,M260),1))+(IF(G260=0,0,(Upgrades!$J$15+G260*Upgrades!$K$15)*POWER(Upgrades!$L$15,G260)))*(IF(Upgrades!$T$13="Microlensing",POWER(Upgrades!$U$13,E260),1)*IF(Upgrades!$T$14="Microlensing",POWER(Upgrades!$U$14,F260),1)*IF(Upgrades!$T$16="Microlensing",POWER(Upgrades!$U$16,H260),1)*IF(Upgrades!$T$17="Microlensing",POWER(Upgrades!$U$17,I260),1)*IF(Upgrades!$T$18="Microlensing",POWER(Upgrades!$U$18,J260),1)*IF(Upgrades!$T$19="Microlensing",POWER(Upgrades!$U$19,K260),1)*IF(Upgrades!$T$20="Microlensing",POWER(Upgrades!$U$20,L260),1)*IF(Upgrades!$T$21="Microlensing",POWER(Upgrades!$U$21,M260),1))+(IF(H260=0,0,(Upgrades!$J$16+H260*Upgrades!$K$16)*POWER(Upgrades!$L$16,H260)))*(IF(Upgrades!$T$13="Roche Lobe Overflow",POWER(Upgrades!$U$13,E260),1)*IF(Upgrades!$T$14="Roche Lobe Overflow",POWER(Upgrades!$U$14,F260),1)*IF(Upgrades!$T$15="Roche Lobe Overflow",POWER(Upgrades!$U$15,G260),1)*IF(Upgrades!$T$17="Roche Lobe Overflow",POWER(Upgrades!$U$17,I260),1)*IF(Upgrades!$T$18="Roche Lobe Overflow",POWER(Upgrades!$U$18,J260),1)*IF(Upgrades!$T$19="Roche Lobe Overflow",POWER(Upgrades!$U$19,K260),1)*IF(Upgrades!$T$20="Roche Lobe Overflow",POWER(Upgrades!$U$20,L260),1)*IF(Upgrades!$T$21="Roche Lobe Overflow",POWER(Upgrades!$U$21,M260),1))+(IF(I260=0,0,(Upgrades!$J$17+I260*Upgrades!$K$17)*POWER(Upgrades!$L$17,I260)))*(IF(Upgrades!$T$13="Brown Dwarf",POWER(Upgrades!$U$13,E260),1)*IF(Upgrades!$T$14="Brown Dwarf",POWER(Upgrades!$U$14,F260),1)*IF(Upgrades!$T$15="Brown Dwarf",POWER(Upgrades!$U$15,G260),1)*IF(Upgrades!$T$16="Brown Dwarf",POWER(Upgrades!$U$16,H260),1)*IF(Upgrades!$T$18="Brown Dwarf",POWER(Upgrades!$U$18,J260),1)*IF(Upgrades!$T$19="Brown Dwarf",POWER(Upgrades!$U$19,K260),1)*IF(Upgrades!$T$20="Brown Dwarf",POWER(Upgrades!$U$20,L260),1)*IF(Upgrades!$T$21="Brown Dwarf",POWER(Upgrades!$U$21,M260),1))+(IF(J260=0,0,(Upgrades!$J$18+J260*Upgrades!$K$18)*POWER(Upgrades!$L$18,J260)))*(IF(Upgrades!$T$13="Binary Partner",POWER(Upgrades!$U$13,E260),1)*IF(Upgrades!$T$14="Binary Partner",POWER(Upgrades!$U$14,F260),1)*IF(Upgrades!$T$15="Binary Partner",POWER(Upgrades!$U$15,G260),1)*IF(Upgrades!$T$16="Binary Partner",POWER(Upgrades!$U$16,H260),1)*IF(Upgrades!$T$17="Binary Partner",POWER(Upgrades!$U$17,I260),1)*IF(Upgrades!$T$19="Binary Partner",POWER(Upgrades!$U$19,K260),1)*IF(Upgrades!$T$20="Binary Partner",POWER(Upgrades!$U$20,L260),1)*IF(Upgrades!$T$21="Binary Partner",POWER(Upgrades!$U$21,M260),1))+(IF(K260=0,0,(Upgrades!$J$19+K260*Upgrades!$K$19)*POWER(Upgrades!$L$19,K260)))*(IF(Upgrades!$T$13="Peculiar Velocity",POWER(Upgrades!$U$13,E260),1)*IF(Upgrades!$T$14="Peculiar Velocity",POWER(Upgrades!$U$14,F260),1)*IF(Upgrades!$T$15="Peculiar Velocity",POWER(Upgrades!$U$15,G260),1)*IF(Upgrades!$T$16="Peculiar Velocity",POWER(Upgrades!$U$16,H260),1)*IF(Upgrades!$T$17="Peculiar Velocity",POWER(Upgrades!$U$17,I260),1)*IF(Upgrades!$T$18="Peculiar Velocity",POWER(Upgrades!$U$18,J260),1)*IF(Upgrades!$T$20="Peculiar Velocity",POWER(Upgrades!$U$20,L260),1)*IF(Upgrades!$T$21="Peculiar Velocity",POWER(Upgrades!$U$21,M260),1))+(IF(L260=0,0,(Upgrades!$J$20+L260*Upgrades!$K$20)*POWER(Upgrades!$L$20,L260)))*(IF(Upgrades!$T$13="Open Cluster",POWER(Upgrades!$U$13,E260),1)*IF(Upgrades!$T$14="Open Cluster",POWER(Upgrades!$U$14,F260),1)*IF(Upgrades!$T$15="Open Cluster",POWER(Upgrades!$U$15,G260),1)*IF(Upgrades!$T$16="Open Cluster",POWER(Upgrades!$U$16,H260),1)*IF(Upgrades!$T$17="Open Cluster",POWER(Upgrades!$U$17,I260),1)*IF(Upgrades!$T$18="Open Cluster",POWER(Upgrades!$U$18,J260),1)*IF(Upgrades!$T$19="Open Cluster",POWER(Upgrades!$U$19,K260),1)*IF(Upgrades!$T$21="Open Cluster",POWER(Upgrades!$U$21,M260),1))+(IF(M260=0,0,(Upgrades!$J$21+M260*Upgrades!$K$21)*POWER(Upgrades!$L$21,M260)))*(IF(Upgrades!$T$13="Moving Group",POWER(Upgrades!$U$13,E260),1)*IF(Upgrades!$T$14="Moving Group",POWER(Upgrades!$U$14,F260),1)*IF(Upgrades!$T$15="Moving Group",POWER(Upgrades!$U$15,G260),1)*IF(Upgrades!$T$16="Moving Group",POWER(Upgrades!$U$16,H260),1)*IF(Upgrades!$T$17="Moving Group",POWER(Upgrades!$U$17,I260),1)*IF(Upgrades!$T$18="Moving Group",POWER(Upgrades!$U$18,J260),1)*IF(Upgrades!$T$19="Moving Group",POWER(Upgrades!$U$19,K260),1)*IF(Upgrades!$T$20="Moving Group",POWER(Upgrades!$U$20,L260),1)))*POWER(Upgrades!$Q$13,E260)*POWER(Upgrades!$Q$14,F260)*POWER(Upgrades!$Q$15,G260)*POWER(Upgrades!$Q$16,H260)*POWER(Upgrades!$Q$17,I260)*POWER(Upgrades!$Q$18,J260)*POWER(Upgrades!$Q$19,K260)*POWER(Upgrades!$Q$20,L260)*POWER(Upgrades!$Q$21,M260)*$G$6+$D$6</f>
        <v/>
      </c>
      <c r="P260" s="28">
        <f>((IF(E260=0,0,(Upgrades!$G$13+E260*Upgrades!$H$13)*POWER(Upgrades!$I$13,E260)))*(IF(Upgrades!$T$14="Stellar Kinematics",POWER(Upgrades!$U$14,F260),1)*IF(Upgrades!$T$15="Stellar Kinematics",POWER(Upgrades!$U$15,G260),1)*IF(Upgrades!$T$16="Stellar Kinematics",POWER(Upgrades!$U$16,H260),1)*IF(Upgrades!$T$17="Stellar Kinematics",POWER(Upgrades!$U$17,I260),1)*IF(Upgrades!$T$18="Stellar Kinematics",POWER(Upgrades!$U$18,J260),1)*IF(Upgrades!$T$19="Stellar Kinematics",POWER(Upgrades!$U$19,K260),1)*IF(Upgrades!$T$20="Stellar Kinematics",POWER(Upgrades!$U$20,L260),1)*IF(Upgrades!$T$21="Stellar Kinematics",POWER(Upgrades!$U$21,M260),1))+(IF(F260=0,0,(Upgrades!$G$14+F260*Upgrades!$H$14)*POWER(Upgrades!$I$14,F260)))*(IF(Upgrades!$T$13="Local Bubble",POWER(Upgrades!$U$13,E260),1)*IF(Upgrades!$T$15="Local Bubble",POWER(Upgrades!$U$15,G260),1)*IF(Upgrades!$T$16="Local Bubble",POWER(Upgrades!$U$16,H260),1)*IF(Upgrades!$T$17="Local Bubble",POWER(Upgrades!$U$17,I260),1)*IF(Upgrades!$T$18="Local Bubble",POWER(Upgrades!$U$18,J260),1)*IF(Upgrades!$T$19="Local Bubble",POWER(Upgrades!$U$19,K260),1)*IF(Upgrades!$T$20="Local Bubble",POWER(Upgrades!$U$20,L260),1)*IF(Upgrades!$T$21="Local Bubble",POWER(Upgrades!$U$21,M260),1))+(IF(G260=0,0,(Upgrades!$G$15+G260*Upgrades!$H$15)*POWER(Upgrades!$I$15,G260)))*(IF(Upgrades!$T$13="Microlensing",POWER(Upgrades!$U$13,E260),1)*IF(Upgrades!$T$14="Microlensing",POWER(Upgrades!$U$14,F260),1)*IF(Upgrades!$T$16="Microlensing",POWER(Upgrades!$U$16,H260),1)*IF(Upgrades!$T$17="Microlensing",POWER(Upgrades!$U$17,I260),1)*IF(Upgrades!$T$18="Microlensing",POWER(Upgrades!$U$18,J260),1)*IF(Upgrades!$T$19="Microlensing",POWER(Upgrades!$U$19,K260),1)*IF(Upgrades!$T$20="Microlensing",POWER(Upgrades!$U$20,L260),1)*IF(Upgrades!$T$21="Microlensing",POWER(Upgrades!$U$21,M260),1))+(IF(H260=0,0,(Upgrades!$G$16+H260*Upgrades!$H$16)*POWER(Upgrades!$I$16,H260)))*(IF(Upgrades!$T$13="Roche Lobe Overflow",POWER(Upgrades!$U$13,E260),1)*IF(Upgrades!$T$14="Roche Lobe Overflow",POWER(Upgrades!$U$14,F260),1)*IF(Upgrades!$T$15="Roche Lobe Overflow",POWER(Upgrades!$U$15,G260),1)*IF(Upgrades!$T$17="Roche Lobe Overflow",POWER(Upgrades!$U$17,I260),1)*IF(Upgrades!$T$18="Roche Lobe Overflow",POWER(Upgrades!$U$18,J260),1)*IF(Upgrades!$T$19="Roche Lobe Overflow",POWER(Upgrades!$U$19,K260),1)*IF(Upgrades!$T$20="Roche Lobe Overflow",POWER(Upgrades!$U$20,L260),1)*IF(Upgrades!$T$21="Roche Lobe Overflow",POWER(Upgrades!$U$21,M260),1))+(IF(I260=0,0,(Upgrades!$G$17+I260*Upgrades!$H$17)*POWER(Upgrades!$I$17,I260)))*(IF(Upgrades!$T$13="Brown Dwarf",POWER(Upgrades!$U$13,E260),1)*IF(Upgrades!$T$14="Brown Dwarf",POWER(Upgrades!$U$14,F260),1)*IF(Upgrades!$T$15="Brown Dwarf",POWER(Upgrades!$U$15,G260),1)*IF(Upgrades!$T$16="Brown Dwarf",POWER(Upgrades!$U$16,H260),1)*IF(Upgrades!$T$18="Brown Dwarf",POWER(Upgrades!$U$18,J260),1)*IF(Upgrades!$T$19="Brown Dwarf",POWER(Upgrades!$U$19,K260),1)*IF(Upgrades!$T$20="Brown Dwarf",POWER(Upgrades!$U$20,L260),1)*IF(Upgrades!$T$21="Brown Dwarf",POWER(Upgrades!$U$21,M260),1))+(IF(J260=0,0,(Upgrades!$G$18+J260*Upgrades!$H$18)*POWER(Upgrades!$I$18,J260)))*(IF(Upgrades!$T$13="Binary Partner",POWER(Upgrades!$U$13,E260),1)*IF(Upgrades!$T$14="Binary Partner",POWER(Upgrades!$U$14,F260),1)*IF(Upgrades!$T$15="Binary Partner",POWER(Upgrades!$U$15,G260),1)*IF(Upgrades!$T$16="Binary Partner",POWER(Upgrades!$U$16,H260),1)*IF(Upgrades!$T$17="Binary Partner",POWER(Upgrades!$U$17,I260),1)*IF(Upgrades!$T$19="Binary Partner",POWER(Upgrades!$U$19,K260),1)*IF(Upgrades!$T$20="Binary Partner",POWER(Upgrades!$U$20,L260),1)*IF(Upgrades!$T$21="Binary Partner",POWER(Upgrades!$U$21,M260),1))+(IF(K260=0,0,(Upgrades!$G$19+K260*Upgrades!$H$19)*POWER(Upgrades!$I$19,K260)))*(IF(Upgrades!$T$13="Peculiar Velocity",POWER(Upgrades!$U$13,E260),1)*IF(Upgrades!$T$14="Peculiar Velocity",POWER(Upgrades!$U$14,F260),1)*IF(Upgrades!$T$15="Peculiar Velocity",POWER(Upgrades!$U$15,G260),1)*IF(Upgrades!$T$16="Peculiar Velocity",POWER(Upgrades!$U$16,H260),1)*IF(Upgrades!$T$17="Peculiar Velocity",POWER(Upgrades!$U$17,I260),1)*IF(Upgrades!$T$18="Peculiar Velocity",POWER(Upgrades!$U$18,J260),1)*IF(Upgrades!$T$20="Peculiar Velocity",POWER(Upgrades!$U$20,L260),1)*IF(Upgrades!$T$21="Peculiar Velocity",POWER(Upgrades!$U$21,M260),1))+(IF(L260=0,0,(Upgrades!$G$20+L260*Upgrades!$H$20)*POWER(Upgrades!$I$20,L260)))*(IF(Upgrades!$T$13="Open Cluster",POWER(Upgrades!$U$13,E260),1)*IF(Upgrades!$T$14="Open Cluster",POWER(Upgrades!$U$14,F260),1)*IF(Upgrades!$T$15="Open Cluster",POWER(Upgrades!$U$15,G260),1)*IF(Upgrades!$T$16="Open Cluster",POWER(Upgrades!$U$16,H260),1)*IF(Upgrades!$T$17="Open Cluster",POWER(Upgrades!$U$17,I260),1)*IF(Upgrades!$T$18="Open Cluster",POWER(Upgrades!$U$18,J260),1)*IF(Upgrades!$T$19="Open Cluster",POWER(Upgrades!$U$19,K260),1)*IF(Upgrades!$T$21="Open Cluster",POWER(Upgrades!$U$21,M260),1))+(IF(M260=0,0,(Upgrades!$G$21+M260*Upgrades!$H$21)*POWER(Upgrades!$I$21,M260)))*(IF(Upgrades!$T$13="Moving Group",POWER(Upgrades!$U$13,E260),1)*IF(Upgrades!$T$14="Moving Group",POWER(Upgrades!$U$14,F260),1)*IF(Upgrades!$T$15="Moving Group",POWER(Upgrades!$U$15,G260),1)*IF(Upgrades!$T$16="Moving Group",POWER(Upgrades!$U$16,H260),1)*IF(Upgrades!$T$17="Moving Group",POWER(Upgrades!$U$17,I260),1)*IF(Upgrades!$T$18="Moving Group",POWER(Upgrades!$U$18,J260),1)*IF(Upgrades!$T$19="Moving Group",POWER(Upgrades!$U$19,K260),1)*IF(Upgrades!$T$20="Moving Group",POWER(Upgrades!$U$20,L260),1)))*POWER(Upgrades!$P$13,E260)*POWER(Upgrades!$P$14,F260)*POWER(Upgrades!$P$15,G260)*POWER(Upgrades!$P$16,H260)*POWER(Upgrades!$P$17,I260)*POWER(Upgrades!$P$18,J260)*POWER(Upgrades!$P$19,K260)*POWER(Upgrades!$P$20,L260)*POWER(Upgrades!$P$21,M260)*$F$6+$C$6</f>
        <v/>
      </c>
      <c r="Q260" s="28">
        <f>((IF(E260=0,0,(Upgrades!$M$13+E260*Upgrades!$N$13)*POWER(Upgrades!$O$13,E260)))*(IF(Upgrades!$T$14="Stellar Kinematics",POWER(Upgrades!$U$14,F260),1)*IF(Upgrades!$T$15="Stellar Kinematics",POWER(Upgrades!$U$15,G260),1)*IF(Upgrades!$T$16="Stellar Kinematics",POWER(Upgrades!$U$16,H260),1)*IF(Upgrades!$T$17="Stellar Kinematics",POWER(Upgrades!$U$17,I260),1)*IF(Upgrades!$T$18="Stellar Kinematics",POWER(Upgrades!$U$18,J260),1)*IF(Upgrades!$T$19="Stellar Kinematics",POWER(Upgrades!$U$19,K260),1)*IF(Upgrades!$T$20="Stellar Kinematics",POWER(Upgrades!$U$20,L260),1)*IF(Upgrades!$T$21="Stellar Kinematics",POWER(Upgrades!$U$21,M260),1))+(IF(F260=0,0,(Upgrades!$M$14+F260*Upgrades!$N$14)*POWER(Upgrades!$O$14,F260)))*(IF(Upgrades!$T$13="Local Bubble",POWER(Upgrades!$U$13,E260),1)*IF(Upgrades!$T$15="Local Bubble",POWER(Upgrades!$U$15,G260),1)*IF(Upgrades!$T$16="Local Bubble",POWER(Upgrades!$U$16,H260),1)*IF(Upgrades!$T$17="Local Bubble",POWER(Upgrades!$U$17,I260),1)*IF(Upgrades!$T$18="Local Bubble",POWER(Upgrades!$U$18,J260),1)*IF(Upgrades!$T$19="Local Bubble",POWER(Upgrades!$U$19,K260),1)*IF(Upgrades!$T$20="Local Bubble",POWER(Upgrades!$U$20,L260),1)*IF(Upgrades!$T$21="Local Bubble",POWER(Upgrades!$U$21,M260),1))+(IF(G260=0,0,(Upgrades!$M$15+G260*Upgrades!$N$15)*POWER(Upgrades!$O$15,G260)))*(IF(Upgrades!$T$13="Microlensing",POWER(Upgrades!$U$13,E260),1)*IF(Upgrades!$T$14="Microlensing",POWER(Upgrades!$U$14,F260),1)*IF(Upgrades!$T$16="Microlensing",POWER(Upgrades!$U$16,H260),1)*IF(Upgrades!$T$17="Microlensing",POWER(Upgrades!$U$17,I260),1)*IF(Upgrades!$T$18="Microlensing",POWER(Upgrades!$U$18,J260),1)*IF(Upgrades!$T$19="Microlensing",POWER(Upgrades!$U$19,K260),1)*IF(Upgrades!$T$20="Microlensing",POWER(Upgrades!$U$20,L260),1)*IF(Upgrades!$T$21="Microlensing",POWER(Upgrades!$U$21,M260),1))+(IF(H260=0,0,(Upgrades!$M$16+H260*Upgrades!$N$16)*POWER(Upgrades!$O$16,H260)))*(IF(Upgrades!$T$13="Roche Lobe Overflow",POWER(Upgrades!$U$13,E260),1)*IF(Upgrades!$T$14="Roche Lobe Overflow",POWER(Upgrades!$U$14,F260),1)*IF(Upgrades!$T$15="Roche Lobe Overflow",POWER(Upgrades!$U$15,G260),1)*IF(Upgrades!$T$17="Roche Lobe Overflow",POWER(Upgrades!$U$17,I260),1)*IF(Upgrades!$T$18="Roche Lobe Overflow",POWER(Upgrades!$U$18,J260),1)*IF(Upgrades!$T$19="Roche Lobe Overflow",POWER(Upgrades!$U$19,K260),1)*IF(Upgrades!$T$20="Roche Lobe Overflow",POWER(Upgrades!$U$20,L260),1)*IF(Upgrades!$T$21="Roche Lobe Overflow",POWER(Upgrades!$U$21,M260),1))+(IF(I260=0,0,(Upgrades!$M$17+I260*Upgrades!$N$17)*POWER(Upgrades!$O$17,I260)))*(IF(Upgrades!$T$13="Brown Dwarf",POWER(Upgrades!$U$13,E260),1)*IF(Upgrades!$T$14="Brown Dwarf",POWER(Upgrades!$U$14,F260),1)*IF(Upgrades!$T$15="Brown Dwarf",POWER(Upgrades!$U$15,G260),1)*IF(Upgrades!$T$16="Brown Dwarf",POWER(Upgrades!$U$16,H260),1)*IF(Upgrades!$T$18="Brown Dwarf",POWER(Upgrades!$U$18,J260),1)*IF(Upgrades!$T$19="Brown Dwarf",POWER(Upgrades!$U$19,K260),1)*IF(Upgrades!$T$20="Brown Dwarf",POWER(Upgrades!$U$20,L260),1)*IF(Upgrades!$T$21="Brown Dwarf",POWER(Upgrades!$U$21,M260),1))+(IF(J260=0,0,(Upgrades!$M$18+J260*Upgrades!$N$18)*POWER(Upgrades!$O$18,J260)))*(IF(Upgrades!$T$13="Binary Partner",POWER(Upgrades!$U$13,E260),1)*IF(Upgrades!$T$14="Binary Partner",POWER(Upgrades!$U$14,F260),1)*IF(Upgrades!$T$15="Binary Partner",POWER(Upgrades!$U$15,G260),1)*IF(Upgrades!$T$16="Binary Partner",POWER(Upgrades!$U$16,H260),1)*IF(Upgrades!$T$17="Binary Partner",POWER(Upgrades!$U$17,I260),1)*IF(Upgrades!$T$19="Binary Partner",POWER(Upgrades!$U$19,K260),1)*IF(Upgrades!$T$20="Binary Partner",POWER(Upgrades!$U$20,L260),1)*IF(Upgrades!$T$21="Binary Partner",POWER(Upgrades!$U$21,M260),1))+(IF(K260=0,0,(Upgrades!$M$19+K260*Upgrades!$N$19)*POWER(Upgrades!$O$19,K260)))*(IF(Upgrades!$T$13="Peculiar Velocity",POWER(Upgrades!$U$13,E260),1)*IF(Upgrades!$T$14="Peculiar Velocity",POWER(Upgrades!$U$14,F260),1)*IF(Upgrades!$T$15="Peculiar Velocity",POWER(Upgrades!$U$15,G260),1)*IF(Upgrades!$T$16="Peculiar Velocity",POWER(Upgrades!$U$16,H260),1)*IF(Upgrades!$T$17="Peculiar Velocity",POWER(Upgrades!$U$17,I260),1)*IF(Upgrades!$T$18="Peculiar Velocity",POWER(Upgrades!$U$18,J260),1)*IF(Upgrades!$T$20="Peculiar Velocity",POWER(Upgrades!$U$20,L260),1)*IF(Upgrades!$T$21="Peculiar Velocity",POWER(Upgrades!$U$21,M260),1))+(IF(L260=0,0,(Upgrades!$M$20+L260*Upgrades!$N$20)*POWER(Upgrades!$O$20,L260)))*(IF(Upgrades!$T$13="Open Cluster",POWER(Upgrades!$U$13,E260),1)*IF(Upgrades!$T$14="Open Cluster",POWER(Upgrades!$U$14,F260),1)*IF(Upgrades!$T$15="Open Cluster",POWER(Upgrades!$U$15,G260),1)*IF(Upgrades!$T$16="Open Cluster",POWER(Upgrades!$U$16,H260),1)*IF(Upgrades!$T$17="Open Cluster",POWER(Upgrades!$U$17,I260),1)*IF(Upgrades!$T$18="Open Cluster",POWER(Upgrades!$U$18,J260),1)*IF(Upgrades!$T$19="Open Cluster",POWER(Upgrades!$U$19,K260),1)*IF(Upgrades!$T$21="Open Cluster",POWER(Upgrades!$U$21,M260),1))+(IF(M260=0,0,(Upgrades!$M$21+M260*Upgrades!$N$21)*POWER(Upgrades!$O$21,M260)))*(IF(Upgrades!$T$13="Moving Group",POWER(Upgrades!$U$13,E260),1)*IF(Upgrades!$T$14="Moving Group",POWER(Upgrades!$U$14,F260),1)*IF(Upgrades!$T$15="Moving Group",POWER(Upgrades!$U$15,G260),1)*IF(Upgrades!$T$16="Moving Group",POWER(Upgrades!$U$16,H260),1)*IF(Upgrades!$T$17="Moving Group",POWER(Upgrades!$U$17,I260),1)*IF(Upgrades!$T$18="Moving Group",POWER(Upgrades!$U$18,J260),1)*IF(Upgrades!$T$19="Moving Group",POWER(Upgrades!$U$19,K260),1)*IF(Upgrades!$T$20="Moving Group",POWER(Upgrades!$U$20,L260),1)))*POWER(Upgrades!$R$13,E260)*POWER(Upgrades!$R$14,F260)*POWER(Upgrades!$R$15,G260)*POWER(Upgrades!$R$16,H260)*POWER(Upgrades!$R$17,I260)*POWER(Upgrades!$R$18,J260)*POWER(Upgrades!$R$19,K260)*POWER(Upgrades!$R$20,L260)*POWER(Upgrades!$R$21,M260)*$H$6+$E$6</f>
        <v/>
      </c>
      <c r="R260" s="27">
        <f>IF(N260=1,0,O260*Parameters!$B$10/60*Parameters!$B$11*10)</f>
        <v/>
      </c>
      <c r="S260" s="27">
        <f>IF(N260=1,0,Q260*O260*10)</f>
        <v/>
      </c>
      <c r="T260" s="27">
        <f>IF(N260=1,0,R260+S260+P260*10)</f>
        <v/>
      </c>
      <c r="U260" s="33">
        <f>BE260</f>
        <v/>
      </c>
      <c r="V260" s="22">
        <f>IF(U260="",0,IF(U260="transition",0,IF(U260="SK",AK260,IF(U260="LB",AL260,IF(U260="ML",AM260,IF(U260="RLO",AN260,IF(U260="BD",AO260,IF(U260="BiP",AP260,IF(U260="PV",AQ260,IF(U260="OC",AR260,IF(U260="MG",AS260,0))))))))))</f>
        <v/>
      </c>
      <c r="W260" s="27">
        <f>IF(U260="BiP",Upgrades!$F$18,IF(U260="PV",Upgrades!$F$19,IF(U260="OC",Upgrades!$F$20,IF(U260="MG",Upgrades!$F$21,IF(U260="transition",-Parameters!$B$18*Parameters!$B$19,0)))))</f>
        <v/>
      </c>
      <c r="X260" s="22">
        <f>C260+T260-V260</f>
        <v/>
      </c>
      <c r="Y260" s="30">
        <f>O260*Parameters!$B$10/60*Parameters!$B$11+Q260*O260+P260</f>
        <v/>
      </c>
      <c r="Z260" s="34">
        <f>IF(U260="transition","→ Tier 3 (Galactic Arm)",IF(U260="MG","Moving Group — pocket drifts together",IF(U260="OC","Open Cluster acquired",IF(U260="PV","Peculiar Velocity — passive multiplier active",IF(U260="BiP","Binary Partner — pair bond formed",IF(AND(AU260=1,N260=0,AT260&lt;&gt;1),"Cohesion ready (waiting on completionists)","")))))) </f>
        <v/>
      </c>
      <c r="AA260" s="27">
        <f>(IF(E260=0,0,(Upgrades!$G$13+E260*Upgrades!$H$13)*POWER(Upgrades!$I$13,E260)))*(IF(Upgrades!$T$14="Stellar Kinematics",POWER(Upgrades!$U$14,F260),1)*IF(Upgrades!$T$15="Stellar Kinematics",POWER(Upgrades!$U$15,G260),1)*IF(Upgrades!$T$16="Stellar Kinematics",POWER(Upgrades!$U$16,H260),1)*IF(Upgrades!$T$17="Stellar Kinematics",POWER(Upgrades!$U$17,I260),1)*IF(Upgrades!$T$18="Stellar Kinematics",POWER(Upgrades!$U$18,J260),1)*IF(Upgrades!$T$19="Stellar Kinematics",POWER(Upgrades!$U$19,K260),1)*IF(Upgrades!$T$20="Stellar Kinematics",POWER(Upgrades!$U$20,L260),1)*IF(Upgrades!$T$21="Stellar Kinematics",POWER(Upgrades!$U$21,M260),1))*POWER(Upgrades!$P$13,E260)*POWER(Upgrades!$P$14,F260)*POWER(Upgrades!$P$15,G260)*POWER(Upgrades!$P$16,H260)*POWER(Upgrades!$P$17,I260)*POWER(Upgrades!$P$18,J260)*POWER(Upgrades!$P$19,K260)*POWER(Upgrades!$P$20,L260)*POWER(Upgrades!$P$21,M260)*$F$6*60</f>
        <v/>
      </c>
      <c r="AB260" s="27">
        <f>(IF(F260=0,0,(Upgrades!$G$14+F260*Upgrades!$H$14)*POWER(Upgrades!$I$14,F260)))*(IF(Upgrades!$T$13="Local Bubble",POWER(Upgrades!$U$13,E260),1)*IF(Upgrades!$T$15="Local Bubble",POWER(Upgrades!$U$15,G260),1)*IF(Upgrades!$T$16="Local Bubble",POWER(Upgrades!$U$16,H260),1)*IF(Upgrades!$T$17="Local Bubble",POWER(Upgrades!$U$17,I260),1)*IF(Upgrades!$T$18="Local Bubble",POWER(Upgrades!$U$18,J260),1)*IF(Upgrades!$T$19="Local Bubble",POWER(Upgrades!$U$19,K260),1)*IF(Upgrades!$T$20="Local Bubble",POWER(Upgrades!$U$20,L260),1)*IF(Upgrades!$T$21="Local Bubble",POWER(Upgrades!$U$21,M260),1))*POWER(Upgrades!$P$13,E260)*POWER(Upgrades!$P$14,F260)*POWER(Upgrades!$P$15,G260)*POWER(Upgrades!$P$16,H260)*POWER(Upgrades!$P$17,I260)*POWER(Upgrades!$P$18,J260)*POWER(Upgrades!$P$19,K260)*POWER(Upgrades!$P$20,L260)*POWER(Upgrades!$P$21,M260)*$F$6*60</f>
        <v/>
      </c>
      <c r="AC260" s="27">
        <f>(IF(G260=0,0,(Upgrades!$J$15+G260*Upgrades!$K$15)*POWER(Upgrades!$L$15,G260)))*(IF(Upgrades!$T$13="Microlensing",POWER(Upgrades!$U$13,E260),1)*IF(Upgrades!$T$14="Microlensing",POWER(Upgrades!$U$14,F260),1)*IF(Upgrades!$T$16="Microlensing",POWER(Upgrades!$U$16,H260),1)*IF(Upgrades!$T$17="Microlensing",POWER(Upgrades!$U$17,I260),1)*IF(Upgrades!$T$18="Microlensing",POWER(Upgrades!$U$18,J260),1)*IF(Upgrades!$T$19="Microlensing",POWER(Upgrades!$U$19,K260),1)*IF(Upgrades!$T$20="Microlensing",POWER(Upgrades!$U$20,L260),1)*IF(Upgrades!$T$21="Microlensing",POWER(Upgrades!$U$21,M260),1))*POWER(Upgrades!$Q$13,E260)*POWER(Upgrades!$Q$14,F260)*POWER(Upgrades!$Q$15,G260)*POWER(Upgrades!$Q$16,H260)*POWER(Upgrades!$Q$17,I260)*POWER(Upgrades!$Q$18,J260)*POWER(Upgrades!$Q$19,K260)*POWER(Upgrades!$Q$20,L260)*POWER(Upgrades!$Q$21,M260)*$G$6*(Parameters!$B$10*Parameters!$B$11+Q260*60)</f>
        <v/>
      </c>
      <c r="AD260" s="27">
        <f>(IF(H260=0,0,(Upgrades!$M$16+H260*Upgrades!$N$16)*POWER(Upgrades!$O$16,H260)))*(IF(Upgrades!$T$13="Roche Lobe Overflow",POWER(Upgrades!$U$13,E260),1)*IF(Upgrades!$T$14="Roche Lobe Overflow",POWER(Upgrades!$U$14,F260),1)*IF(Upgrades!$T$15="Roche Lobe Overflow",POWER(Upgrades!$U$15,G260),1)*IF(Upgrades!$T$17="Roche Lobe Overflow",POWER(Upgrades!$U$17,I260),1)*IF(Upgrades!$T$18="Roche Lobe Overflow",POWER(Upgrades!$U$18,J260),1)*IF(Upgrades!$T$19="Roche Lobe Overflow",POWER(Upgrades!$U$19,K260),1)*IF(Upgrades!$T$20="Roche Lobe Overflow",POWER(Upgrades!$U$20,L260),1)*IF(Upgrades!$T$21="Roche Lobe Overflow",POWER(Upgrades!$U$21,M260),1))*POWER(Upgrades!$R$13,E260)*POWER(Upgrades!$R$14,F260)*POWER(Upgrades!$R$15,G260)*POWER(Upgrades!$R$16,H260)*POWER(Upgrades!$R$17,I260)*POWER(Upgrades!$R$18,J260)*POWER(Upgrades!$R$19,K260)*POWER(Upgrades!$R$20,L260)*POWER(Upgrades!$R$21,M260)*$H$6*O260*60</f>
        <v/>
      </c>
      <c r="AE260" s="27">
        <f>(IF(I260=0,0,(Upgrades!$G$17+I260*Upgrades!$H$17)*POWER(Upgrades!$I$17,I260)))*(IF(Upgrades!$T$13="Brown Dwarf",POWER(Upgrades!$U$13,E260),1)*IF(Upgrades!$T$14="Brown Dwarf",POWER(Upgrades!$U$14,F260),1)*IF(Upgrades!$T$15="Brown Dwarf",POWER(Upgrades!$U$15,G260),1)*IF(Upgrades!$T$16="Brown Dwarf",POWER(Upgrades!$U$16,H260),1)*IF(Upgrades!$T$18="Brown Dwarf",POWER(Upgrades!$U$18,J260),1)*IF(Upgrades!$T$19="Brown Dwarf",POWER(Upgrades!$U$19,K260),1)*IF(Upgrades!$T$20="Brown Dwarf",POWER(Upgrades!$U$20,L260),1)*IF(Upgrades!$T$21="Brown Dwarf",POWER(Upgrades!$U$21,M260),1))*POWER(Upgrades!$P$13,E260)*POWER(Upgrades!$P$14,F260)*POWER(Upgrades!$P$15,G260)*POWER(Upgrades!$P$16,H260)*POWER(Upgrades!$P$17,I260)*POWER(Upgrades!$P$18,J260)*POWER(Upgrades!$P$19,K260)*POWER(Upgrades!$P$20,L260)*POWER(Upgrades!$P$21,M260)*$F$6*60</f>
        <v/>
      </c>
      <c r="AF260" s="27" t="n">
        <v>0</v>
      </c>
      <c r="AG260" s="27" t="n">
        <v>0</v>
      </c>
      <c r="AH260" s="27" t="n">
        <v>0</v>
      </c>
      <c r="AI260" s="27">
        <f>(IF(M260=0,0,(Upgrades!$G$21+M260*Upgrades!$H$21)*POWER(Upgrades!$I$21,M260)))*(IF(Upgrades!$T$13="Moving Group",POWER(Upgrades!$U$13,E260),1)*IF(Upgrades!$T$14="Moving Group",POWER(Upgrades!$U$14,F260),1)*IF(Upgrades!$T$15="Moving Group",POWER(Upgrades!$U$15,G260),1)*IF(Upgrades!$T$16="Moving Group",POWER(Upgrades!$U$16,H260),1)*IF(Upgrades!$T$17="Moving Group",POWER(Upgrades!$U$17,I260),1)*IF(Upgrades!$T$18="Moving Group",POWER(Upgrades!$U$18,J260),1)*IF(Upgrades!$T$19="Moving Group",POWER(Upgrades!$U$19,K260),1)*IF(Upgrades!$T$20="Moving Group",POWER(Upgrades!$U$20,L260),1))*POWER(Upgrades!$P$13,E260)*POWER(Upgrades!$P$14,F260)*POWER(Upgrades!$P$15,G260)*POWER(Upgrades!$P$16,H260)*POWER(Upgrades!$P$17,I260)*POWER(Upgrades!$P$18,J260)*POWER(Upgrades!$P$19,K260)*POWER(Upgrades!$P$20,L260)*POWER(Upgrades!$P$21,M260)*$F$6*60</f>
        <v/>
      </c>
      <c r="AJ260" s="27">
        <f>$C$6*60</f>
        <v/>
      </c>
      <c r="AK260" s="22">
        <f>IF(E260&gt;=Upgrades!$E$13,"",Upgrades!$C$13*POWER(Upgrades!$D$13,E260))</f>
        <v/>
      </c>
      <c r="AL260" s="22">
        <f>IF(F260&gt;=Upgrades!$E$14,"",Upgrades!$C$14*POWER(Upgrades!$D$14,F260))</f>
        <v/>
      </c>
      <c r="AM260" s="22">
        <f>IF(G260&gt;=Upgrades!$E$15,"",Upgrades!$C$15*POWER(Upgrades!$D$15,G260))</f>
        <v/>
      </c>
      <c r="AN260" s="22">
        <f>IF(H260&gt;=Upgrades!$E$16,"",Upgrades!$C$16*POWER(Upgrades!$D$16,H260))</f>
        <v/>
      </c>
      <c r="AO260" s="22">
        <f>IF(I260&gt;=Upgrades!$E$17,"",Upgrades!$C$17*POWER(Upgrades!$D$17,I260))</f>
        <v/>
      </c>
      <c r="AP260" s="22">
        <f>IF(J260&gt;=Upgrades!$E$18,"",Upgrades!$C$18*POWER(Upgrades!$D$18,J260))</f>
        <v/>
      </c>
      <c r="AQ260" s="22">
        <f>IF(K260&gt;=Upgrades!$E$19,"",Upgrades!$C$19*POWER(Upgrades!$D$19,K260))</f>
        <v/>
      </c>
      <c r="AR260" s="22">
        <f>IF(L260&gt;=Upgrades!$E$20,"",Upgrades!$C$20*POWER(Upgrades!$D$20,L260))</f>
        <v/>
      </c>
      <c r="AS260" s="22">
        <f>IF(M260&gt;=Upgrades!$E$21,"",Upgrades!$C$21*POWER(Upgrades!$D$21,M260))</f>
        <v/>
      </c>
      <c r="AT260" s="26">
        <f>IF(AND(D260&gt;=Parameters!$B$18*Parameters!$B$19,(I260&gt;=Upgrades!$E$17)*(M260&gt;=Upgrades!$E$21)=1,N260=0),1,"")</f>
        <v/>
      </c>
      <c r="AU260" s="26">
        <f>IF(AND(D260&gt;=Parameters!$B$18*Parameters!$B$19,N260=0),1,"")</f>
        <v/>
      </c>
      <c r="AV260" s="22">
        <f>MIN(IF(ISNUMBER(AP260),AP260,9E15),IF(ISNUMBER(AQ260),AQ260,9E15),IF(ISNUMBER(AR260),AR260,9E15),IF(ISNUMBER(AS260),AS260,9E15))</f>
        <v/>
      </c>
      <c r="AW260" s="22">
        <f>MIN(IF(ISNUMBER(AK260),AK260,9E15),IF(ISNUMBER(AL260),AL260,9E15),IF(ISNUMBER(AM260),AM260,9E15),IF(ISNUMBER(AN260),AN260,9E15),IF(ISNUMBER(AO260),AO260,9E15))</f>
        <v/>
      </c>
      <c r="AX260" s="29">
        <f>IF(BD260&gt;Parameters!$B$21*(MAX(IF(AND(NOT(AND(AU260=1,AT260&lt;&gt;1)),ISNUMBER(AK260),AK260&lt;=(C260+T260)),AY260,0),IF(AND(NOT(AND(AU260=1,AT260&lt;&gt;1)),ISNUMBER(AL260),AL260&lt;=(C260+T260)),AZ260,0),IF(AND(NOT(AND(AU260=1,AT260&lt;&gt;1)),ISNUMBER(AM260),AM260&lt;=(C260+T260)),BA260,0),IF(AND(NOT(AND(AU260=1,AT260&lt;&gt;1)),ISNUMBER(AN260),AN260&lt;=(C260+T260)),BB260,0),IF(AND(ISNUMBER(AO260),AO260&lt;=(C260+T260)),BC260,0))),TRUE,FALSE)</f>
        <v/>
      </c>
      <c r="AY260" s="32">
        <f>IFERROR(Upgrades!$H$13*(POWER(Upgrades!$P$13,E260)*POWER(Upgrades!$P$14,F260)*POWER(Upgrades!$P$15,G260)*POWER(Upgrades!$P$16,H260)*POWER(Upgrades!$P$17,I260)*POWER(Upgrades!$P$18,J260)*POWER(Upgrades!$P$19,K260)*POWER(Upgrades!$P$20,L260)*POWER(Upgrades!$P$21,M260))*(IF(Upgrades!$T$14="Stellar Kinematics",POWER(Upgrades!$U$14,F260),1)*IF(Upgrades!$T$15="Stellar Kinematics",POWER(Upgrades!$U$15,G260),1)*IF(Upgrades!$T$16="Stellar Kinematics",POWER(Upgrades!$U$16,H260),1)*IF(Upgrades!$T$17="Stellar Kinematics",POWER(Upgrades!$U$17,I260),1)*IF(Upgrades!$T$18="Stellar Kinematics",POWER(Upgrades!$U$18,J260),1)*IF(Upgrades!$T$19="Stellar Kinematics",POWER(Upgrades!$U$19,K260),1)*IF(Upgrades!$T$20="Stellar Kinematics",POWER(Upgrades!$U$20,L260),1)*IF(Upgrades!$T$21="Stellar Kinematics",POWER(Upgrades!$U$21,M260),1))*$F$6/AK260,0)</f>
        <v/>
      </c>
      <c r="AZ260" s="32">
        <f>IFERROR(Upgrades!$H$14*(POWER(Upgrades!$P$13,E260)*POWER(Upgrades!$P$14,F260)*POWER(Upgrades!$P$15,G260)*POWER(Upgrades!$P$16,H260)*POWER(Upgrades!$P$17,I260)*POWER(Upgrades!$P$18,J260)*POWER(Upgrades!$P$19,K260)*POWER(Upgrades!$P$20,L260)*POWER(Upgrades!$P$21,M260))*(IF(Upgrades!$T$13="Local Bubble",POWER(Upgrades!$U$13,E260),1)*IF(Upgrades!$T$15="Local Bubble",POWER(Upgrades!$U$15,G260),1)*IF(Upgrades!$T$16="Local Bubble",POWER(Upgrades!$U$16,H260),1)*IF(Upgrades!$T$17="Local Bubble",POWER(Upgrades!$U$17,I260),1)*IF(Upgrades!$T$18="Local Bubble",POWER(Upgrades!$U$18,J260),1)*IF(Upgrades!$T$19="Local Bubble",POWER(Upgrades!$U$19,K260),1)*IF(Upgrades!$T$20="Local Bubble",POWER(Upgrades!$U$20,L260),1)*IF(Upgrades!$T$21="Local Bubble",POWER(Upgrades!$U$21,M260),1))*$F$6/AL260,0)</f>
        <v/>
      </c>
      <c r="BA260" s="32">
        <f>IFERROR(Upgrades!$K$15*(POWER(Upgrades!$Q$13,E260)*POWER(Upgrades!$Q$14,F260)*POWER(Upgrades!$Q$15,G260)*POWER(Upgrades!$Q$16,H260)*POWER(Upgrades!$Q$17,I260)*POWER(Upgrades!$Q$18,J260)*POWER(Upgrades!$Q$19,K260)*POWER(Upgrades!$Q$20,L260)*POWER(Upgrades!$Q$21,M260))*(IF(Upgrades!$T$13="Microlensing",POWER(Upgrades!$U$13,E260),1)*IF(Upgrades!$T$14="Microlensing",POWER(Upgrades!$U$14,F260),1)*IF(Upgrades!$T$16="Microlensing",POWER(Upgrades!$U$16,H260),1)*IF(Upgrades!$T$17="Microlensing",POWER(Upgrades!$U$17,I260),1)*IF(Upgrades!$T$18="Microlensing",POWER(Upgrades!$U$18,J260),1)*IF(Upgrades!$T$19="Microlensing",POWER(Upgrades!$U$19,K260),1)*IF(Upgrades!$T$20="Microlensing",POWER(Upgrades!$U$20,L260),1)*IF(Upgrades!$T$21="Microlensing",POWER(Upgrades!$U$21,M260),1))*$G$6*(Parameters!$B$10/60*Parameters!$B$11+Q260)/AM260,0)</f>
        <v/>
      </c>
      <c r="BB260" s="32">
        <f>IFERROR((Upgrades!$N$16*(POWER(Upgrades!$R$13,E260)*POWER(Upgrades!$R$14,F260)*POWER(Upgrades!$R$15,G260)*POWER(Upgrades!$R$16,H260)*POWER(Upgrades!$R$17,I260)*POWER(Upgrades!$R$18,J260)*POWER(Upgrades!$R$19,K260)*POWER(Upgrades!$R$20,L260)*POWER(Upgrades!$R$21,M260))*(IF(Upgrades!$T$13="Roche Lobe Overflow",POWER(Upgrades!$U$13,E260),1)*IF(Upgrades!$T$14="Roche Lobe Overflow",POWER(Upgrades!$U$14,F260),1)*IF(Upgrades!$T$15="Roche Lobe Overflow",POWER(Upgrades!$U$15,G260),1)*IF(Upgrades!$T$17="Roche Lobe Overflow",POWER(Upgrades!$U$17,I260),1)*IF(Upgrades!$T$18="Roche Lobe Overflow",POWER(Upgrades!$U$18,J260),1)*IF(Upgrades!$T$19="Roche Lobe Overflow",POWER(Upgrades!$U$19,K260),1)*IF(Upgrades!$T$20="Roche Lobe Overflow",POWER(Upgrades!$U$20,L260),1)*IF(Upgrades!$T$21="Roche Lobe Overflow",POWER(Upgrades!$U$21,M260),1))*$H$6*O260+((IF(F260=0,0,(Upgrades!$G$14+F260*Upgrades!$H$14)*POWER(Upgrades!$I$14,F260)))*(IF(Upgrades!$T$13="Local Bubble",POWER(Upgrades!$U$13,E260),1)*IF(Upgrades!$T$15="Local Bubble",POWER(Upgrades!$U$15,G260),1)*IF(Upgrades!$T$16="Local Bubble",POWER(Upgrades!$U$16,H260),1)*IF(Upgrades!$T$17="Local Bubble",POWER(Upgrades!$U$17,I260),1)*IF(Upgrades!$T$18="Local Bubble",POWER(Upgrades!$U$18,J260),1)*IF(Upgrades!$T$19="Local Bubble",POWER(Upgrades!$U$19,K260),1)*IF(Upgrades!$T$20="Local Bubble",POWER(Upgrades!$U$20,L260),1)*IF(Upgrades!$T$21="Local Bubble",POWER(Upgrades!$U$21,M260),1))*POWER(Upgrades!$P$13,E260)*POWER(Upgrades!$P$14,F260)*POWER(Upgrades!$P$15,G260)*POWER(Upgrades!$P$16,H260)*POWER(Upgrades!$P$17,I260)*POWER(Upgrades!$P$18,J260)*POWER(Upgrades!$P$19,K260)*POWER(Upgrades!$P$20,L260)*POWER(Upgrades!$P$21,M260)*$F$6)*0.05)/AN260,0)</f>
        <v/>
      </c>
      <c r="BC260" s="32">
        <f>IFERROR((Upgrades!$H$17*(POWER(Upgrades!$P$13,E260)*POWER(Upgrades!$P$14,F260)*POWER(Upgrades!$P$15,G260)*POWER(Upgrades!$P$16,H260)*POWER(Upgrades!$P$17,I260)*POWER(Upgrades!$P$18,J260)*POWER(Upgrades!$P$19,K260)*POWER(Upgrades!$P$20,L260)*POWER(Upgrades!$P$21,M260))*(IF(Upgrades!$T$13="Brown Dwarf",POWER(Upgrades!$U$13,E260),1)*IF(Upgrades!$T$14="Brown Dwarf",POWER(Upgrades!$U$14,F260),1)*IF(Upgrades!$T$15="Brown Dwarf",POWER(Upgrades!$U$15,G260),1)*IF(Upgrades!$T$16="Brown Dwarf",POWER(Upgrades!$U$16,H260),1)*IF(Upgrades!$T$18="Brown Dwarf",POWER(Upgrades!$U$18,J260),1)*IF(Upgrades!$T$19="Brown Dwarf",POWER(Upgrades!$U$19,K260),1)*IF(Upgrades!$T$20="Brown Dwarf",POWER(Upgrades!$U$20,L260),1)*IF(Upgrades!$T$21="Brown Dwarf",POWER(Upgrades!$U$21,M260),1))*$F$6+(((IF(H260=0,0,(Upgrades!$M$16+H260*Upgrades!$N$16)*POWER(Upgrades!$O$16,H260)))*(IF(Upgrades!$T$13="Roche Lobe Overflow",POWER(Upgrades!$U$13,E260),1)*IF(Upgrades!$T$14="Roche Lobe Overflow",POWER(Upgrades!$U$14,F260),1)*IF(Upgrades!$T$15="Roche Lobe Overflow",POWER(Upgrades!$U$15,G260),1)*IF(Upgrades!$T$17="Roche Lobe Overflow",POWER(Upgrades!$U$17,I260),1)*IF(Upgrades!$T$18="Roche Lobe Overflow",POWER(Upgrades!$U$18,J260),1)*IF(Upgrades!$T$19="Roche Lobe Overflow",POWER(Upgrades!$U$19,K260),1)*IF(Upgrades!$T$20="Roche Lobe Overflow",POWER(Upgrades!$U$20,L260),1)*IF(Upgrades!$T$21="Roche Lobe Overflow",POWER(Upgrades!$U$21,M260),1))*POWER(Upgrades!$R$13,E260)*POWER(Upgrades!$R$14,F260)*POWER(Upgrades!$R$15,G260)*POWER(Upgrades!$R$16,H260)*POWER(Upgrades!$R$17,I260)*POWER(Upgrades!$R$18,J260)*POWER(Upgrades!$R$19,K260)*POWER(Upgrades!$R$20,L260)*POWER(Upgrades!$R$21,M260)*$H$6)*O260)*0.10)/AO260,0)</f>
        <v/>
      </c>
      <c r="BD260" s="32">
        <f>MAX(IF(J260&gt;0,0,IFERROR(0.5*((IF(G260=0,0,(Upgrades!$J$15+G260*Upgrades!$K$15)*POWER(Upgrades!$L$15,G260)))*(IF(Upgrades!$T$13="Microlensing",POWER(Upgrades!$U$13,E260),1)*IF(Upgrades!$T$14="Microlensing",POWER(Upgrades!$U$14,F260),1)*IF(Upgrades!$T$16="Microlensing",POWER(Upgrades!$U$16,H260),1)*IF(Upgrades!$T$17="Microlensing",POWER(Upgrades!$U$17,I260),1)*IF(Upgrades!$T$18="Microlensing",POWER(Upgrades!$U$18,J260),1)*IF(Upgrades!$T$19="Microlensing",POWER(Upgrades!$U$19,K260),1)*IF(Upgrades!$T$20="Microlensing",POWER(Upgrades!$U$20,L260),1)*IF(Upgrades!$T$21="Microlensing",POWER(Upgrades!$U$21,M260),1))*(POWER(Upgrades!$Q$13,E260)*POWER(Upgrades!$Q$14,F260)*POWER(Upgrades!$Q$15,G260)*POWER(Upgrades!$Q$16,H260)*POWER(Upgrades!$Q$17,I260)*POWER(Upgrades!$Q$18,J260)*POWER(Upgrades!$Q$19,K260)*POWER(Upgrades!$Q$20,L260)*POWER(Upgrades!$Q$21,M260))*$G$6*(Parameters!$B$10/60*Parameters!$B$11+Q260))/Upgrades!$C$18,0)),IF(K260&gt;0,0,IFERROR(0.30*P260/Upgrades!$C$19,0)),IF(L260&gt;0,0,IFERROR(0.0001/Upgrades!$C$20,0)),IF(M260&gt;0,0,IFERROR((6.0*(POWER(Upgrades!$P$13,E260)*POWER(Upgrades!$P$14,F260)*POWER(Upgrades!$P$15,G260)*POWER(Upgrades!$P$16,H260)*POWER(Upgrades!$P$17,I260)*POWER(Upgrades!$P$18,J260)*POWER(Upgrades!$P$19,K260)*POWER(Upgrades!$P$20,L260)*POWER(Upgrades!$P$21,M260))*$F$6+0.20*O260*(Parameters!$B$10/60*Parameters!$B$11+Q260))/Upgrades!$C$21,0)),IF(AND(ISNUMBER(AK260),AK260&gt;(C260+T260)),AY260,0),IF(AND(ISNUMBER(AL260),AL260&gt;(C260+T260)),AZ260,0),IF(AND(ISNUMBER(AM260),AM260&gt;(C260+T260)),BA260,0),IF(AND(ISNUMBER(AN260),AN260&gt;(C260+T260)),BB260,0),IF(AND(ISNUMBER(AO260),AO260&gt;(C260+T260)),BC260,0))</f>
        <v/>
      </c>
      <c r="BE260" s="29">
        <f>IF(AT260=1,"transition",IF(MIN(IF(AND(J260=0,ISNUMBER(AP260),AP260&lt;=(C260+T260)),AP260,9E15),IF(AND(K260=0,ISNUMBER(AQ260),AQ260&lt;=(C260+T260)),AQ260,9E15),IF(AND(L260=0,ISNUMBER(AR260),AR260&lt;=(C260+T260)),AR260,9E15),IF(AND(M260=0,ISNUMBER(AS260),AS260&lt;=(C260+T260)),AS260,9E15))&lt;9E15,IF(AND(AND(J260=0,ISNUMBER(AP260),AP260&lt;=(C260+T260)),AP260=MIN(IF(AND(J260=0,ISNUMBER(AP260),AP260&lt;=(C260+T260)),AP260,9E15),IF(AND(K260=0,ISNUMBER(AQ260),AQ260&lt;=(C260+T260)),AQ260,9E15),IF(AND(L260=0,ISNUMBER(AR260),AR260&lt;=(C260+T260)),AR260,9E15),IF(AND(M260=0,ISNUMBER(AS260),AS260&lt;=(C260+T260)),AS260,9E15))),"BiP",IF(AND(AND(K260=0,ISNUMBER(AQ260),AQ260&lt;=(C260+T260)),AQ260=MIN(IF(AND(J260=0,ISNUMBER(AP260),AP260&lt;=(C260+T260)),AP260,9E15),IF(AND(K260=0,ISNUMBER(AQ260),AQ260&lt;=(C260+T260)),AQ260,9E15),IF(AND(L260=0,ISNUMBER(AR260),AR260&lt;=(C260+T260)),AR260,9E15),IF(AND(M260=0,ISNUMBER(AS260),AS260&lt;=(C260+T260)),AS260,9E15))),"PV",IF(AND(AND(L260=0,ISNUMBER(AR260),AR260&lt;=(C260+T260)),AR260=MIN(IF(AND(J260=0,ISNUMBER(AP260),AP260&lt;=(C260+T260)),AP260,9E15),IF(AND(K260=0,ISNUMBER(AQ260),AQ260&lt;=(C260+T260)),AQ260,9E15),IF(AND(L260=0,ISNUMBER(AR260),AR260&lt;=(C260+T260)),AR260,9E15),IF(AND(M260=0,ISNUMBER(AS260),AS260&lt;=(C260+T260)),AS260,9E15))),"OC","MG"))),IF(AX260=TRUE,"",IF(MAX(IF(AND(NOT(AND(AU260=1,AT260&lt;&gt;1)),ISNUMBER(AK260),AK260&lt;=(C260+T260)),AY260,0),IF(AND(NOT(AND(AU260=1,AT260&lt;&gt;1)),ISNUMBER(AL260),AL260&lt;=(C260+T260)),AZ260,0),IF(AND(NOT(AND(AU260=1,AT260&lt;&gt;1)),ISNUMBER(AM260),AM260&lt;=(C260+T260)),BA260,0),IF(AND(NOT(AND(AU260=1,AT260&lt;&gt;1)),ISNUMBER(AN260),AN260&lt;=(C260+T260)),BB260,0),IF(AND(ISNUMBER(AO260),AO260&lt;=(C260+T260)),BC260,0))&lt;=0,"",IF(AND(IF(AND(NOT(AND(AU260=1,AT260&lt;&gt;1)),ISNUMBER(AK260),AK260&lt;=(C260+T260)),AY260,0)&gt;0,IF(AND(NOT(AND(AU260=1,AT260&lt;&gt;1)),ISNUMBER(AK260),AK260&lt;=(C260+T260)),AY260,0)=MAX(IF(AND(NOT(AND(AU260=1,AT260&lt;&gt;1)),ISNUMBER(AK260),AK260&lt;=(C260+T260)),AY260,0),IF(AND(NOT(AND(AU260=1,AT260&lt;&gt;1)),ISNUMBER(AL260),AL260&lt;=(C260+T260)),AZ260,0),IF(AND(NOT(AND(AU260=1,AT260&lt;&gt;1)),ISNUMBER(AM260),AM260&lt;=(C260+T260)),BA260,0),IF(AND(NOT(AND(AU260=1,AT260&lt;&gt;1)),ISNUMBER(AN260),AN260&lt;=(C260+T260)),BB260,0),IF(AND(ISNUMBER(AO260),AO260&lt;=(C260+T260)),BC260,0))),"SK",IF(AND(IF(AND(NOT(AND(AU260=1,AT260&lt;&gt;1)),ISNUMBER(AL260),AL260&lt;=(C260+T260)),AZ260,0)&gt;0,IF(AND(NOT(AND(AU260=1,AT260&lt;&gt;1)),ISNUMBER(AL260),AL260&lt;=(C260+T260)),AZ260,0)=MAX(IF(AND(NOT(AND(AU260=1,AT260&lt;&gt;1)),ISNUMBER(AK260),AK260&lt;=(C260+T260)),AY260,0),IF(AND(NOT(AND(AU260=1,AT260&lt;&gt;1)),ISNUMBER(AL260),AL260&lt;=(C260+T260)),AZ260,0),IF(AND(NOT(AND(AU260=1,AT260&lt;&gt;1)),ISNUMBER(AM260),AM260&lt;=(C260+T260)),BA260,0),IF(AND(NOT(AND(AU260=1,AT260&lt;&gt;1)),ISNUMBER(AN260),AN260&lt;=(C260+T260)),BB260,0),IF(AND(ISNUMBER(AO260),AO260&lt;=(C260+T260)),BC260,0))),"LB",IF(AND(IF(AND(NOT(AND(AU260=1,AT260&lt;&gt;1)),ISNUMBER(AM260),AM260&lt;=(C260+T260)),BA260,0)&gt;0,IF(AND(NOT(AND(AU260=1,AT260&lt;&gt;1)),ISNUMBER(AM260),AM260&lt;=(C260+T260)),BA260,0)=MAX(IF(AND(NOT(AND(AU260=1,AT260&lt;&gt;1)),ISNUMBER(AK260),AK260&lt;=(C260+T260)),AY260,0),IF(AND(NOT(AND(AU260=1,AT260&lt;&gt;1)),ISNUMBER(AL260),AL260&lt;=(C260+T260)),AZ260,0),IF(AND(NOT(AND(AU260=1,AT260&lt;&gt;1)),ISNUMBER(AM260),AM260&lt;=(C260+T260)),BA260,0),IF(AND(NOT(AND(AU260=1,AT260&lt;&gt;1)),ISNUMBER(AN260),AN260&lt;=(C260+T260)),BB260,0),IF(AND(ISNUMBER(AO260),AO260&lt;=(C260+T260)),BC260,0))),"ML",IF(AND(IF(AND(NOT(AND(AU260=1,AT260&lt;&gt;1)),ISNUMBER(AN260),AN260&lt;=(C260+T260)),BB260,0)&gt;0,IF(AND(NOT(AND(AU260=1,AT260&lt;&gt;1)),ISNUMBER(AN260),AN260&lt;=(C260+T260)),BB260,0)=MAX(IF(AND(NOT(AND(AU260=1,AT260&lt;&gt;1)),ISNUMBER(AK260),AK260&lt;=(C260+T260)),AY260,0),IF(AND(NOT(AND(AU260=1,AT260&lt;&gt;1)),ISNUMBER(AL260),AL260&lt;=(C260+T260)),AZ260,0),IF(AND(NOT(AND(AU260=1,AT260&lt;&gt;1)),ISNUMBER(AM260),AM260&lt;=(C260+T260)),BA260,0),IF(AND(NOT(AND(AU260=1,AT260&lt;&gt;1)),ISNUMBER(AN260),AN260&lt;=(C260+T260)),BB260,0),IF(AND(ISNUMBER(AO260),AO260&lt;=(C260+T260)),BC260,0))),"RLO","BD"))))))))</f>
        <v/>
      </c>
    </row>
    <row r="261">
      <c r="A261" s="26" t="n">
        <v>250</v>
      </c>
      <c r="B261" s="27">
        <f>A261*10/60</f>
        <v/>
      </c>
      <c r="C261" s="22">
        <f>X260</f>
        <v/>
      </c>
      <c r="D261" s="27">
        <f>D260+W260</f>
        <v/>
      </c>
      <c r="E261" s="26">
        <f>E260+IF(U260="SK",1,0)</f>
        <v/>
      </c>
      <c r="F261" s="26">
        <f>F260+IF(U260="LB",1,0)</f>
        <v/>
      </c>
      <c r="G261" s="26">
        <f>G260+IF(U260="ML",1,0)</f>
        <v/>
      </c>
      <c r="H261" s="26">
        <f>H260+IF(U260="RLO",1,0)</f>
        <v/>
      </c>
      <c r="I261" s="26">
        <f>I260+IF(U260="BD",1,0)</f>
        <v/>
      </c>
      <c r="J261" s="26">
        <f>MAX(J260,IF(U260="BiP",1,0))</f>
        <v/>
      </c>
      <c r="K261" s="26">
        <f>MAX(K260,IF(U260="PV",1,0))</f>
        <v/>
      </c>
      <c r="L261" s="26">
        <f>MAX(L260,IF(U260="OC",1,0))</f>
        <v/>
      </c>
      <c r="M261" s="26">
        <f>MAX(M260,IF(U260="MG",1,0))</f>
        <v/>
      </c>
      <c r="N261" s="26">
        <f>MAX(N260,IF(U260="transition",1,0))</f>
        <v/>
      </c>
      <c r="O261" s="28">
        <f>(Parameters!$B$9+(IF(E261=0,0,(Upgrades!$J$13+E261*Upgrades!$K$13)*POWER(Upgrades!$L$13,E261)))*(IF(Upgrades!$T$14="Stellar Kinematics",POWER(Upgrades!$U$14,F261),1)*IF(Upgrades!$T$15="Stellar Kinematics",POWER(Upgrades!$U$15,G261),1)*IF(Upgrades!$T$16="Stellar Kinematics",POWER(Upgrades!$U$16,H261),1)*IF(Upgrades!$T$17="Stellar Kinematics",POWER(Upgrades!$U$17,I261),1)*IF(Upgrades!$T$18="Stellar Kinematics",POWER(Upgrades!$U$18,J261),1)*IF(Upgrades!$T$19="Stellar Kinematics",POWER(Upgrades!$U$19,K261),1)*IF(Upgrades!$T$20="Stellar Kinematics",POWER(Upgrades!$U$20,L261),1)*IF(Upgrades!$T$21="Stellar Kinematics",POWER(Upgrades!$U$21,M261),1))+(IF(F261=0,0,(Upgrades!$J$14+F261*Upgrades!$K$14)*POWER(Upgrades!$L$14,F261)))*(IF(Upgrades!$T$13="Local Bubble",POWER(Upgrades!$U$13,E261),1)*IF(Upgrades!$T$15="Local Bubble",POWER(Upgrades!$U$15,G261),1)*IF(Upgrades!$T$16="Local Bubble",POWER(Upgrades!$U$16,H261),1)*IF(Upgrades!$T$17="Local Bubble",POWER(Upgrades!$U$17,I261),1)*IF(Upgrades!$T$18="Local Bubble",POWER(Upgrades!$U$18,J261),1)*IF(Upgrades!$T$19="Local Bubble",POWER(Upgrades!$U$19,K261),1)*IF(Upgrades!$T$20="Local Bubble",POWER(Upgrades!$U$20,L261),1)*IF(Upgrades!$T$21="Local Bubble",POWER(Upgrades!$U$21,M261),1))+(IF(G261=0,0,(Upgrades!$J$15+G261*Upgrades!$K$15)*POWER(Upgrades!$L$15,G261)))*(IF(Upgrades!$T$13="Microlensing",POWER(Upgrades!$U$13,E261),1)*IF(Upgrades!$T$14="Microlensing",POWER(Upgrades!$U$14,F261),1)*IF(Upgrades!$T$16="Microlensing",POWER(Upgrades!$U$16,H261),1)*IF(Upgrades!$T$17="Microlensing",POWER(Upgrades!$U$17,I261),1)*IF(Upgrades!$T$18="Microlensing",POWER(Upgrades!$U$18,J261),1)*IF(Upgrades!$T$19="Microlensing",POWER(Upgrades!$U$19,K261),1)*IF(Upgrades!$T$20="Microlensing",POWER(Upgrades!$U$20,L261),1)*IF(Upgrades!$T$21="Microlensing",POWER(Upgrades!$U$21,M261),1))+(IF(H261=0,0,(Upgrades!$J$16+H261*Upgrades!$K$16)*POWER(Upgrades!$L$16,H261)))*(IF(Upgrades!$T$13="Roche Lobe Overflow",POWER(Upgrades!$U$13,E261),1)*IF(Upgrades!$T$14="Roche Lobe Overflow",POWER(Upgrades!$U$14,F261),1)*IF(Upgrades!$T$15="Roche Lobe Overflow",POWER(Upgrades!$U$15,G261),1)*IF(Upgrades!$T$17="Roche Lobe Overflow",POWER(Upgrades!$U$17,I261),1)*IF(Upgrades!$T$18="Roche Lobe Overflow",POWER(Upgrades!$U$18,J261),1)*IF(Upgrades!$T$19="Roche Lobe Overflow",POWER(Upgrades!$U$19,K261),1)*IF(Upgrades!$T$20="Roche Lobe Overflow",POWER(Upgrades!$U$20,L261),1)*IF(Upgrades!$T$21="Roche Lobe Overflow",POWER(Upgrades!$U$21,M261),1))+(IF(I261=0,0,(Upgrades!$J$17+I261*Upgrades!$K$17)*POWER(Upgrades!$L$17,I261)))*(IF(Upgrades!$T$13="Brown Dwarf",POWER(Upgrades!$U$13,E261),1)*IF(Upgrades!$T$14="Brown Dwarf",POWER(Upgrades!$U$14,F261),1)*IF(Upgrades!$T$15="Brown Dwarf",POWER(Upgrades!$U$15,G261),1)*IF(Upgrades!$T$16="Brown Dwarf",POWER(Upgrades!$U$16,H261),1)*IF(Upgrades!$T$18="Brown Dwarf",POWER(Upgrades!$U$18,J261),1)*IF(Upgrades!$T$19="Brown Dwarf",POWER(Upgrades!$U$19,K261),1)*IF(Upgrades!$T$20="Brown Dwarf",POWER(Upgrades!$U$20,L261),1)*IF(Upgrades!$T$21="Brown Dwarf",POWER(Upgrades!$U$21,M261),1))+(IF(J261=0,0,(Upgrades!$J$18+J261*Upgrades!$K$18)*POWER(Upgrades!$L$18,J261)))*(IF(Upgrades!$T$13="Binary Partner",POWER(Upgrades!$U$13,E261),1)*IF(Upgrades!$T$14="Binary Partner",POWER(Upgrades!$U$14,F261),1)*IF(Upgrades!$T$15="Binary Partner",POWER(Upgrades!$U$15,G261),1)*IF(Upgrades!$T$16="Binary Partner",POWER(Upgrades!$U$16,H261),1)*IF(Upgrades!$T$17="Binary Partner",POWER(Upgrades!$U$17,I261),1)*IF(Upgrades!$T$19="Binary Partner",POWER(Upgrades!$U$19,K261),1)*IF(Upgrades!$T$20="Binary Partner",POWER(Upgrades!$U$20,L261),1)*IF(Upgrades!$T$21="Binary Partner",POWER(Upgrades!$U$21,M261),1))+(IF(K261=0,0,(Upgrades!$J$19+K261*Upgrades!$K$19)*POWER(Upgrades!$L$19,K261)))*(IF(Upgrades!$T$13="Peculiar Velocity",POWER(Upgrades!$U$13,E261),1)*IF(Upgrades!$T$14="Peculiar Velocity",POWER(Upgrades!$U$14,F261),1)*IF(Upgrades!$T$15="Peculiar Velocity",POWER(Upgrades!$U$15,G261),1)*IF(Upgrades!$T$16="Peculiar Velocity",POWER(Upgrades!$U$16,H261),1)*IF(Upgrades!$T$17="Peculiar Velocity",POWER(Upgrades!$U$17,I261),1)*IF(Upgrades!$T$18="Peculiar Velocity",POWER(Upgrades!$U$18,J261),1)*IF(Upgrades!$T$20="Peculiar Velocity",POWER(Upgrades!$U$20,L261),1)*IF(Upgrades!$T$21="Peculiar Velocity",POWER(Upgrades!$U$21,M261),1))+(IF(L261=0,0,(Upgrades!$J$20+L261*Upgrades!$K$20)*POWER(Upgrades!$L$20,L261)))*(IF(Upgrades!$T$13="Open Cluster",POWER(Upgrades!$U$13,E261),1)*IF(Upgrades!$T$14="Open Cluster",POWER(Upgrades!$U$14,F261),1)*IF(Upgrades!$T$15="Open Cluster",POWER(Upgrades!$U$15,G261),1)*IF(Upgrades!$T$16="Open Cluster",POWER(Upgrades!$U$16,H261),1)*IF(Upgrades!$T$17="Open Cluster",POWER(Upgrades!$U$17,I261),1)*IF(Upgrades!$T$18="Open Cluster",POWER(Upgrades!$U$18,J261),1)*IF(Upgrades!$T$19="Open Cluster",POWER(Upgrades!$U$19,K261),1)*IF(Upgrades!$T$21="Open Cluster",POWER(Upgrades!$U$21,M261),1))+(IF(M261=0,0,(Upgrades!$J$21+M261*Upgrades!$K$21)*POWER(Upgrades!$L$21,M261)))*(IF(Upgrades!$T$13="Moving Group",POWER(Upgrades!$U$13,E261),1)*IF(Upgrades!$T$14="Moving Group",POWER(Upgrades!$U$14,F261),1)*IF(Upgrades!$T$15="Moving Group",POWER(Upgrades!$U$15,G261),1)*IF(Upgrades!$T$16="Moving Group",POWER(Upgrades!$U$16,H261),1)*IF(Upgrades!$T$17="Moving Group",POWER(Upgrades!$U$17,I261),1)*IF(Upgrades!$T$18="Moving Group",POWER(Upgrades!$U$18,J261),1)*IF(Upgrades!$T$19="Moving Group",POWER(Upgrades!$U$19,K261),1)*IF(Upgrades!$T$20="Moving Group",POWER(Upgrades!$U$20,L261),1)))*POWER(Upgrades!$Q$13,E261)*POWER(Upgrades!$Q$14,F261)*POWER(Upgrades!$Q$15,G261)*POWER(Upgrades!$Q$16,H261)*POWER(Upgrades!$Q$17,I261)*POWER(Upgrades!$Q$18,J261)*POWER(Upgrades!$Q$19,K261)*POWER(Upgrades!$Q$20,L261)*POWER(Upgrades!$Q$21,M261)*$G$6+$D$6</f>
        <v/>
      </c>
      <c r="P261" s="28">
        <f>((IF(E261=0,0,(Upgrades!$G$13+E261*Upgrades!$H$13)*POWER(Upgrades!$I$13,E261)))*(IF(Upgrades!$T$14="Stellar Kinematics",POWER(Upgrades!$U$14,F261),1)*IF(Upgrades!$T$15="Stellar Kinematics",POWER(Upgrades!$U$15,G261),1)*IF(Upgrades!$T$16="Stellar Kinematics",POWER(Upgrades!$U$16,H261),1)*IF(Upgrades!$T$17="Stellar Kinematics",POWER(Upgrades!$U$17,I261),1)*IF(Upgrades!$T$18="Stellar Kinematics",POWER(Upgrades!$U$18,J261),1)*IF(Upgrades!$T$19="Stellar Kinematics",POWER(Upgrades!$U$19,K261),1)*IF(Upgrades!$T$20="Stellar Kinematics",POWER(Upgrades!$U$20,L261),1)*IF(Upgrades!$T$21="Stellar Kinematics",POWER(Upgrades!$U$21,M261),1))+(IF(F261=0,0,(Upgrades!$G$14+F261*Upgrades!$H$14)*POWER(Upgrades!$I$14,F261)))*(IF(Upgrades!$T$13="Local Bubble",POWER(Upgrades!$U$13,E261),1)*IF(Upgrades!$T$15="Local Bubble",POWER(Upgrades!$U$15,G261),1)*IF(Upgrades!$T$16="Local Bubble",POWER(Upgrades!$U$16,H261),1)*IF(Upgrades!$T$17="Local Bubble",POWER(Upgrades!$U$17,I261),1)*IF(Upgrades!$T$18="Local Bubble",POWER(Upgrades!$U$18,J261),1)*IF(Upgrades!$T$19="Local Bubble",POWER(Upgrades!$U$19,K261),1)*IF(Upgrades!$T$20="Local Bubble",POWER(Upgrades!$U$20,L261),1)*IF(Upgrades!$T$21="Local Bubble",POWER(Upgrades!$U$21,M261),1))+(IF(G261=0,0,(Upgrades!$G$15+G261*Upgrades!$H$15)*POWER(Upgrades!$I$15,G261)))*(IF(Upgrades!$T$13="Microlensing",POWER(Upgrades!$U$13,E261),1)*IF(Upgrades!$T$14="Microlensing",POWER(Upgrades!$U$14,F261),1)*IF(Upgrades!$T$16="Microlensing",POWER(Upgrades!$U$16,H261),1)*IF(Upgrades!$T$17="Microlensing",POWER(Upgrades!$U$17,I261),1)*IF(Upgrades!$T$18="Microlensing",POWER(Upgrades!$U$18,J261),1)*IF(Upgrades!$T$19="Microlensing",POWER(Upgrades!$U$19,K261),1)*IF(Upgrades!$T$20="Microlensing",POWER(Upgrades!$U$20,L261),1)*IF(Upgrades!$T$21="Microlensing",POWER(Upgrades!$U$21,M261),1))+(IF(H261=0,0,(Upgrades!$G$16+H261*Upgrades!$H$16)*POWER(Upgrades!$I$16,H261)))*(IF(Upgrades!$T$13="Roche Lobe Overflow",POWER(Upgrades!$U$13,E261),1)*IF(Upgrades!$T$14="Roche Lobe Overflow",POWER(Upgrades!$U$14,F261),1)*IF(Upgrades!$T$15="Roche Lobe Overflow",POWER(Upgrades!$U$15,G261),1)*IF(Upgrades!$T$17="Roche Lobe Overflow",POWER(Upgrades!$U$17,I261),1)*IF(Upgrades!$T$18="Roche Lobe Overflow",POWER(Upgrades!$U$18,J261),1)*IF(Upgrades!$T$19="Roche Lobe Overflow",POWER(Upgrades!$U$19,K261),1)*IF(Upgrades!$T$20="Roche Lobe Overflow",POWER(Upgrades!$U$20,L261),1)*IF(Upgrades!$T$21="Roche Lobe Overflow",POWER(Upgrades!$U$21,M261),1))+(IF(I261=0,0,(Upgrades!$G$17+I261*Upgrades!$H$17)*POWER(Upgrades!$I$17,I261)))*(IF(Upgrades!$T$13="Brown Dwarf",POWER(Upgrades!$U$13,E261),1)*IF(Upgrades!$T$14="Brown Dwarf",POWER(Upgrades!$U$14,F261),1)*IF(Upgrades!$T$15="Brown Dwarf",POWER(Upgrades!$U$15,G261),1)*IF(Upgrades!$T$16="Brown Dwarf",POWER(Upgrades!$U$16,H261),1)*IF(Upgrades!$T$18="Brown Dwarf",POWER(Upgrades!$U$18,J261),1)*IF(Upgrades!$T$19="Brown Dwarf",POWER(Upgrades!$U$19,K261),1)*IF(Upgrades!$T$20="Brown Dwarf",POWER(Upgrades!$U$20,L261),1)*IF(Upgrades!$T$21="Brown Dwarf",POWER(Upgrades!$U$21,M261),1))+(IF(J261=0,0,(Upgrades!$G$18+J261*Upgrades!$H$18)*POWER(Upgrades!$I$18,J261)))*(IF(Upgrades!$T$13="Binary Partner",POWER(Upgrades!$U$13,E261),1)*IF(Upgrades!$T$14="Binary Partner",POWER(Upgrades!$U$14,F261),1)*IF(Upgrades!$T$15="Binary Partner",POWER(Upgrades!$U$15,G261),1)*IF(Upgrades!$T$16="Binary Partner",POWER(Upgrades!$U$16,H261),1)*IF(Upgrades!$T$17="Binary Partner",POWER(Upgrades!$U$17,I261),1)*IF(Upgrades!$T$19="Binary Partner",POWER(Upgrades!$U$19,K261),1)*IF(Upgrades!$T$20="Binary Partner",POWER(Upgrades!$U$20,L261),1)*IF(Upgrades!$T$21="Binary Partner",POWER(Upgrades!$U$21,M261),1))+(IF(K261=0,0,(Upgrades!$G$19+K261*Upgrades!$H$19)*POWER(Upgrades!$I$19,K261)))*(IF(Upgrades!$T$13="Peculiar Velocity",POWER(Upgrades!$U$13,E261),1)*IF(Upgrades!$T$14="Peculiar Velocity",POWER(Upgrades!$U$14,F261),1)*IF(Upgrades!$T$15="Peculiar Velocity",POWER(Upgrades!$U$15,G261),1)*IF(Upgrades!$T$16="Peculiar Velocity",POWER(Upgrades!$U$16,H261),1)*IF(Upgrades!$T$17="Peculiar Velocity",POWER(Upgrades!$U$17,I261),1)*IF(Upgrades!$T$18="Peculiar Velocity",POWER(Upgrades!$U$18,J261),1)*IF(Upgrades!$T$20="Peculiar Velocity",POWER(Upgrades!$U$20,L261),1)*IF(Upgrades!$T$21="Peculiar Velocity",POWER(Upgrades!$U$21,M261),1))+(IF(L261=0,0,(Upgrades!$G$20+L261*Upgrades!$H$20)*POWER(Upgrades!$I$20,L261)))*(IF(Upgrades!$T$13="Open Cluster",POWER(Upgrades!$U$13,E261),1)*IF(Upgrades!$T$14="Open Cluster",POWER(Upgrades!$U$14,F261),1)*IF(Upgrades!$T$15="Open Cluster",POWER(Upgrades!$U$15,G261),1)*IF(Upgrades!$T$16="Open Cluster",POWER(Upgrades!$U$16,H261),1)*IF(Upgrades!$T$17="Open Cluster",POWER(Upgrades!$U$17,I261),1)*IF(Upgrades!$T$18="Open Cluster",POWER(Upgrades!$U$18,J261),1)*IF(Upgrades!$T$19="Open Cluster",POWER(Upgrades!$U$19,K261),1)*IF(Upgrades!$T$21="Open Cluster",POWER(Upgrades!$U$21,M261),1))+(IF(M261=0,0,(Upgrades!$G$21+M261*Upgrades!$H$21)*POWER(Upgrades!$I$21,M261)))*(IF(Upgrades!$T$13="Moving Group",POWER(Upgrades!$U$13,E261),1)*IF(Upgrades!$T$14="Moving Group",POWER(Upgrades!$U$14,F261),1)*IF(Upgrades!$T$15="Moving Group",POWER(Upgrades!$U$15,G261),1)*IF(Upgrades!$T$16="Moving Group",POWER(Upgrades!$U$16,H261),1)*IF(Upgrades!$T$17="Moving Group",POWER(Upgrades!$U$17,I261),1)*IF(Upgrades!$T$18="Moving Group",POWER(Upgrades!$U$18,J261),1)*IF(Upgrades!$T$19="Moving Group",POWER(Upgrades!$U$19,K261),1)*IF(Upgrades!$T$20="Moving Group",POWER(Upgrades!$U$20,L261),1)))*POWER(Upgrades!$P$13,E261)*POWER(Upgrades!$P$14,F261)*POWER(Upgrades!$P$15,G261)*POWER(Upgrades!$P$16,H261)*POWER(Upgrades!$P$17,I261)*POWER(Upgrades!$P$18,J261)*POWER(Upgrades!$P$19,K261)*POWER(Upgrades!$P$20,L261)*POWER(Upgrades!$P$21,M261)*$F$6+$C$6</f>
        <v/>
      </c>
      <c r="Q261" s="28">
        <f>((IF(E261=0,0,(Upgrades!$M$13+E261*Upgrades!$N$13)*POWER(Upgrades!$O$13,E261)))*(IF(Upgrades!$T$14="Stellar Kinematics",POWER(Upgrades!$U$14,F261),1)*IF(Upgrades!$T$15="Stellar Kinematics",POWER(Upgrades!$U$15,G261),1)*IF(Upgrades!$T$16="Stellar Kinematics",POWER(Upgrades!$U$16,H261),1)*IF(Upgrades!$T$17="Stellar Kinematics",POWER(Upgrades!$U$17,I261),1)*IF(Upgrades!$T$18="Stellar Kinematics",POWER(Upgrades!$U$18,J261),1)*IF(Upgrades!$T$19="Stellar Kinematics",POWER(Upgrades!$U$19,K261),1)*IF(Upgrades!$T$20="Stellar Kinematics",POWER(Upgrades!$U$20,L261),1)*IF(Upgrades!$T$21="Stellar Kinematics",POWER(Upgrades!$U$21,M261),1))+(IF(F261=0,0,(Upgrades!$M$14+F261*Upgrades!$N$14)*POWER(Upgrades!$O$14,F261)))*(IF(Upgrades!$T$13="Local Bubble",POWER(Upgrades!$U$13,E261),1)*IF(Upgrades!$T$15="Local Bubble",POWER(Upgrades!$U$15,G261),1)*IF(Upgrades!$T$16="Local Bubble",POWER(Upgrades!$U$16,H261),1)*IF(Upgrades!$T$17="Local Bubble",POWER(Upgrades!$U$17,I261),1)*IF(Upgrades!$T$18="Local Bubble",POWER(Upgrades!$U$18,J261),1)*IF(Upgrades!$T$19="Local Bubble",POWER(Upgrades!$U$19,K261),1)*IF(Upgrades!$T$20="Local Bubble",POWER(Upgrades!$U$20,L261),1)*IF(Upgrades!$T$21="Local Bubble",POWER(Upgrades!$U$21,M261),1))+(IF(G261=0,0,(Upgrades!$M$15+G261*Upgrades!$N$15)*POWER(Upgrades!$O$15,G261)))*(IF(Upgrades!$T$13="Microlensing",POWER(Upgrades!$U$13,E261),1)*IF(Upgrades!$T$14="Microlensing",POWER(Upgrades!$U$14,F261),1)*IF(Upgrades!$T$16="Microlensing",POWER(Upgrades!$U$16,H261),1)*IF(Upgrades!$T$17="Microlensing",POWER(Upgrades!$U$17,I261),1)*IF(Upgrades!$T$18="Microlensing",POWER(Upgrades!$U$18,J261),1)*IF(Upgrades!$T$19="Microlensing",POWER(Upgrades!$U$19,K261),1)*IF(Upgrades!$T$20="Microlensing",POWER(Upgrades!$U$20,L261),1)*IF(Upgrades!$T$21="Microlensing",POWER(Upgrades!$U$21,M261),1))+(IF(H261=0,0,(Upgrades!$M$16+H261*Upgrades!$N$16)*POWER(Upgrades!$O$16,H261)))*(IF(Upgrades!$T$13="Roche Lobe Overflow",POWER(Upgrades!$U$13,E261),1)*IF(Upgrades!$T$14="Roche Lobe Overflow",POWER(Upgrades!$U$14,F261),1)*IF(Upgrades!$T$15="Roche Lobe Overflow",POWER(Upgrades!$U$15,G261),1)*IF(Upgrades!$T$17="Roche Lobe Overflow",POWER(Upgrades!$U$17,I261),1)*IF(Upgrades!$T$18="Roche Lobe Overflow",POWER(Upgrades!$U$18,J261),1)*IF(Upgrades!$T$19="Roche Lobe Overflow",POWER(Upgrades!$U$19,K261),1)*IF(Upgrades!$T$20="Roche Lobe Overflow",POWER(Upgrades!$U$20,L261),1)*IF(Upgrades!$T$21="Roche Lobe Overflow",POWER(Upgrades!$U$21,M261),1))+(IF(I261=0,0,(Upgrades!$M$17+I261*Upgrades!$N$17)*POWER(Upgrades!$O$17,I261)))*(IF(Upgrades!$T$13="Brown Dwarf",POWER(Upgrades!$U$13,E261),1)*IF(Upgrades!$T$14="Brown Dwarf",POWER(Upgrades!$U$14,F261),1)*IF(Upgrades!$T$15="Brown Dwarf",POWER(Upgrades!$U$15,G261),1)*IF(Upgrades!$T$16="Brown Dwarf",POWER(Upgrades!$U$16,H261),1)*IF(Upgrades!$T$18="Brown Dwarf",POWER(Upgrades!$U$18,J261),1)*IF(Upgrades!$T$19="Brown Dwarf",POWER(Upgrades!$U$19,K261),1)*IF(Upgrades!$T$20="Brown Dwarf",POWER(Upgrades!$U$20,L261),1)*IF(Upgrades!$T$21="Brown Dwarf",POWER(Upgrades!$U$21,M261),1))+(IF(J261=0,0,(Upgrades!$M$18+J261*Upgrades!$N$18)*POWER(Upgrades!$O$18,J261)))*(IF(Upgrades!$T$13="Binary Partner",POWER(Upgrades!$U$13,E261),1)*IF(Upgrades!$T$14="Binary Partner",POWER(Upgrades!$U$14,F261),1)*IF(Upgrades!$T$15="Binary Partner",POWER(Upgrades!$U$15,G261),1)*IF(Upgrades!$T$16="Binary Partner",POWER(Upgrades!$U$16,H261),1)*IF(Upgrades!$T$17="Binary Partner",POWER(Upgrades!$U$17,I261),1)*IF(Upgrades!$T$19="Binary Partner",POWER(Upgrades!$U$19,K261),1)*IF(Upgrades!$T$20="Binary Partner",POWER(Upgrades!$U$20,L261),1)*IF(Upgrades!$T$21="Binary Partner",POWER(Upgrades!$U$21,M261),1))+(IF(K261=0,0,(Upgrades!$M$19+K261*Upgrades!$N$19)*POWER(Upgrades!$O$19,K261)))*(IF(Upgrades!$T$13="Peculiar Velocity",POWER(Upgrades!$U$13,E261),1)*IF(Upgrades!$T$14="Peculiar Velocity",POWER(Upgrades!$U$14,F261),1)*IF(Upgrades!$T$15="Peculiar Velocity",POWER(Upgrades!$U$15,G261),1)*IF(Upgrades!$T$16="Peculiar Velocity",POWER(Upgrades!$U$16,H261),1)*IF(Upgrades!$T$17="Peculiar Velocity",POWER(Upgrades!$U$17,I261),1)*IF(Upgrades!$T$18="Peculiar Velocity",POWER(Upgrades!$U$18,J261),1)*IF(Upgrades!$T$20="Peculiar Velocity",POWER(Upgrades!$U$20,L261),1)*IF(Upgrades!$T$21="Peculiar Velocity",POWER(Upgrades!$U$21,M261),1))+(IF(L261=0,0,(Upgrades!$M$20+L261*Upgrades!$N$20)*POWER(Upgrades!$O$20,L261)))*(IF(Upgrades!$T$13="Open Cluster",POWER(Upgrades!$U$13,E261),1)*IF(Upgrades!$T$14="Open Cluster",POWER(Upgrades!$U$14,F261),1)*IF(Upgrades!$T$15="Open Cluster",POWER(Upgrades!$U$15,G261),1)*IF(Upgrades!$T$16="Open Cluster",POWER(Upgrades!$U$16,H261),1)*IF(Upgrades!$T$17="Open Cluster",POWER(Upgrades!$U$17,I261),1)*IF(Upgrades!$T$18="Open Cluster",POWER(Upgrades!$U$18,J261),1)*IF(Upgrades!$T$19="Open Cluster",POWER(Upgrades!$U$19,K261),1)*IF(Upgrades!$T$21="Open Cluster",POWER(Upgrades!$U$21,M261),1))+(IF(M261=0,0,(Upgrades!$M$21+M261*Upgrades!$N$21)*POWER(Upgrades!$O$21,M261)))*(IF(Upgrades!$T$13="Moving Group",POWER(Upgrades!$U$13,E261),1)*IF(Upgrades!$T$14="Moving Group",POWER(Upgrades!$U$14,F261),1)*IF(Upgrades!$T$15="Moving Group",POWER(Upgrades!$U$15,G261),1)*IF(Upgrades!$T$16="Moving Group",POWER(Upgrades!$U$16,H261),1)*IF(Upgrades!$T$17="Moving Group",POWER(Upgrades!$U$17,I261),1)*IF(Upgrades!$T$18="Moving Group",POWER(Upgrades!$U$18,J261),1)*IF(Upgrades!$T$19="Moving Group",POWER(Upgrades!$U$19,K261),1)*IF(Upgrades!$T$20="Moving Group",POWER(Upgrades!$U$20,L261),1)))*POWER(Upgrades!$R$13,E261)*POWER(Upgrades!$R$14,F261)*POWER(Upgrades!$R$15,G261)*POWER(Upgrades!$R$16,H261)*POWER(Upgrades!$R$17,I261)*POWER(Upgrades!$R$18,J261)*POWER(Upgrades!$R$19,K261)*POWER(Upgrades!$R$20,L261)*POWER(Upgrades!$R$21,M261)*$H$6+$E$6</f>
        <v/>
      </c>
      <c r="R261" s="27">
        <f>IF(N261=1,0,O261*Parameters!$B$10/60*Parameters!$B$11*10)</f>
        <v/>
      </c>
      <c r="S261" s="27">
        <f>IF(N261=1,0,Q261*O261*10)</f>
        <v/>
      </c>
      <c r="T261" s="27">
        <f>IF(N261=1,0,R261+S261+P261*10)</f>
        <v/>
      </c>
      <c r="U261" s="33">
        <f>BE261</f>
        <v/>
      </c>
      <c r="V261" s="22">
        <f>IF(U261="",0,IF(U261="transition",0,IF(U261="SK",AK261,IF(U261="LB",AL261,IF(U261="ML",AM261,IF(U261="RLO",AN261,IF(U261="BD",AO261,IF(U261="BiP",AP261,IF(U261="PV",AQ261,IF(U261="OC",AR261,IF(U261="MG",AS261,0))))))))))</f>
        <v/>
      </c>
      <c r="W261" s="27">
        <f>IF(U261="BiP",Upgrades!$F$18,IF(U261="PV",Upgrades!$F$19,IF(U261="OC",Upgrades!$F$20,IF(U261="MG",Upgrades!$F$21,IF(U261="transition",-Parameters!$B$18*Parameters!$B$19,0)))))</f>
        <v/>
      </c>
      <c r="X261" s="22">
        <f>C261+T261-V261</f>
        <v/>
      </c>
      <c r="Y261" s="30">
        <f>O261*Parameters!$B$10/60*Parameters!$B$11+Q261*O261+P261</f>
        <v/>
      </c>
      <c r="Z261" s="34">
        <f>IF(U261="transition","→ Tier 3 (Galactic Arm)",IF(U261="MG","Moving Group — pocket drifts together",IF(U261="OC","Open Cluster acquired",IF(U261="PV","Peculiar Velocity — passive multiplier active",IF(U261="BiP","Binary Partner — pair bond formed",IF(AND(AU261=1,N261=0,AT261&lt;&gt;1),"Cohesion ready (waiting on completionists)","")))))) </f>
        <v/>
      </c>
      <c r="AA261" s="27">
        <f>(IF(E261=0,0,(Upgrades!$G$13+E261*Upgrades!$H$13)*POWER(Upgrades!$I$13,E261)))*(IF(Upgrades!$T$14="Stellar Kinematics",POWER(Upgrades!$U$14,F261),1)*IF(Upgrades!$T$15="Stellar Kinematics",POWER(Upgrades!$U$15,G261),1)*IF(Upgrades!$T$16="Stellar Kinematics",POWER(Upgrades!$U$16,H261),1)*IF(Upgrades!$T$17="Stellar Kinematics",POWER(Upgrades!$U$17,I261),1)*IF(Upgrades!$T$18="Stellar Kinematics",POWER(Upgrades!$U$18,J261),1)*IF(Upgrades!$T$19="Stellar Kinematics",POWER(Upgrades!$U$19,K261),1)*IF(Upgrades!$T$20="Stellar Kinematics",POWER(Upgrades!$U$20,L261),1)*IF(Upgrades!$T$21="Stellar Kinematics",POWER(Upgrades!$U$21,M261),1))*POWER(Upgrades!$P$13,E261)*POWER(Upgrades!$P$14,F261)*POWER(Upgrades!$P$15,G261)*POWER(Upgrades!$P$16,H261)*POWER(Upgrades!$P$17,I261)*POWER(Upgrades!$P$18,J261)*POWER(Upgrades!$P$19,K261)*POWER(Upgrades!$P$20,L261)*POWER(Upgrades!$P$21,M261)*$F$6*60</f>
        <v/>
      </c>
      <c r="AB261" s="27">
        <f>(IF(F261=0,0,(Upgrades!$G$14+F261*Upgrades!$H$14)*POWER(Upgrades!$I$14,F261)))*(IF(Upgrades!$T$13="Local Bubble",POWER(Upgrades!$U$13,E261),1)*IF(Upgrades!$T$15="Local Bubble",POWER(Upgrades!$U$15,G261),1)*IF(Upgrades!$T$16="Local Bubble",POWER(Upgrades!$U$16,H261),1)*IF(Upgrades!$T$17="Local Bubble",POWER(Upgrades!$U$17,I261),1)*IF(Upgrades!$T$18="Local Bubble",POWER(Upgrades!$U$18,J261),1)*IF(Upgrades!$T$19="Local Bubble",POWER(Upgrades!$U$19,K261),1)*IF(Upgrades!$T$20="Local Bubble",POWER(Upgrades!$U$20,L261),1)*IF(Upgrades!$T$21="Local Bubble",POWER(Upgrades!$U$21,M261),1))*POWER(Upgrades!$P$13,E261)*POWER(Upgrades!$P$14,F261)*POWER(Upgrades!$P$15,G261)*POWER(Upgrades!$P$16,H261)*POWER(Upgrades!$P$17,I261)*POWER(Upgrades!$P$18,J261)*POWER(Upgrades!$P$19,K261)*POWER(Upgrades!$P$20,L261)*POWER(Upgrades!$P$21,M261)*$F$6*60</f>
        <v/>
      </c>
      <c r="AC261" s="27">
        <f>(IF(G261=0,0,(Upgrades!$J$15+G261*Upgrades!$K$15)*POWER(Upgrades!$L$15,G261)))*(IF(Upgrades!$T$13="Microlensing",POWER(Upgrades!$U$13,E261),1)*IF(Upgrades!$T$14="Microlensing",POWER(Upgrades!$U$14,F261),1)*IF(Upgrades!$T$16="Microlensing",POWER(Upgrades!$U$16,H261),1)*IF(Upgrades!$T$17="Microlensing",POWER(Upgrades!$U$17,I261),1)*IF(Upgrades!$T$18="Microlensing",POWER(Upgrades!$U$18,J261),1)*IF(Upgrades!$T$19="Microlensing",POWER(Upgrades!$U$19,K261),1)*IF(Upgrades!$T$20="Microlensing",POWER(Upgrades!$U$20,L261),1)*IF(Upgrades!$T$21="Microlensing",POWER(Upgrades!$U$21,M261),1))*POWER(Upgrades!$Q$13,E261)*POWER(Upgrades!$Q$14,F261)*POWER(Upgrades!$Q$15,G261)*POWER(Upgrades!$Q$16,H261)*POWER(Upgrades!$Q$17,I261)*POWER(Upgrades!$Q$18,J261)*POWER(Upgrades!$Q$19,K261)*POWER(Upgrades!$Q$20,L261)*POWER(Upgrades!$Q$21,M261)*$G$6*(Parameters!$B$10*Parameters!$B$11+Q261*60)</f>
        <v/>
      </c>
      <c r="AD261" s="27">
        <f>(IF(H261=0,0,(Upgrades!$M$16+H261*Upgrades!$N$16)*POWER(Upgrades!$O$16,H261)))*(IF(Upgrades!$T$13="Roche Lobe Overflow",POWER(Upgrades!$U$13,E261),1)*IF(Upgrades!$T$14="Roche Lobe Overflow",POWER(Upgrades!$U$14,F261),1)*IF(Upgrades!$T$15="Roche Lobe Overflow",POWER(Upgrades!$U$15,G261),1)*IF(Upgrades!$T$17="Roche Lobe Overflow",POWER(Upgrades!$U$17,I261),1)*IF(Upgrades!$T$18="Roche Lobe Overflow",POWER(Upgrades!$U$18,J261),1)*IF(Upgrades!$T$19="Roche Lobe Overflow",POWER(Upgrades!$U$19,K261),1)*IF(Upgrades!$T$20="Roche Lobe Overflow",POWER(Upgrades!$U$20,L261),1)*IF(Upgrades!$T$21="Roche Lobe Overflow",POWER(Upgrades!$U$21,M261),1))*POWER(Upgrades!$R$13,E261)*POWER(Upgrades!$R$14,F261)*POWER(Upgrades!$R$15,G261)*POWER(Upgrades!$R$16,H261)*POWER(Upgrades!$R$17,I261)*POWER(Upgrades!$R$18,J261)*POWER(Upgrades!$R$19,K261)*POWER(Upgrades!$R$20,L261)*POWER(Upgrades!$R$21,M261)*$H$6*O261*60</f>
        <v/>
      </c>
      <c r="AE261" s="27">
        <f>(IF(I261=0,0,(Upgrades!$G$17+I261*Upgrades!$H$17)*POWER(Upgrades!$I$17,I261)))*(IF(Upgrades!$T$13="Brown Dwarf",POWER(Upgrades!$U$13,E261),1)*IF(Upgrades!$T$14="Brown Dwarf",POWER(Upgrades!$U$14,F261),1)*IF(Upgrades!$T$15="Brown Dwarf",POWER(Upgrades!$U$15,G261),1)*IF(Upgrades!$T$16="Brown Dwarf",POWER(Upgrades!$U$16,H261),1)*IF(Upgrades!$T$18="Brown Dwarf",POWER(Upgrades!$U$18,J261),1)*IF(Upgrades!$T$19="Brown Dwarf",POWER(Upgrades!$U$19,K261),1)*IF(Upgrades!$T$20="Brown Dwarf",POWER(Upgrades!$U$20,L261),1)*IF(Upgrades!$T$21="Brown Dwarf",POWER(Upgrades!$U$21,M261),1))*POWER(Upgrades!$P$13,E261)*POWER(Upgrades!$P$14,F261)*POWER(Upgrades!$P$15,G261)*POWER(Upgrades!$P$16,H261)*POWER(Upgrades!$P$17,I261)*POWER(Upgrades!$P$18,J261)*POWER(Upgrades!$P$19,K261)*POWER(Upgrades!$P$20,L261)*POWER(Upgrades!$P$21,M261)*$F$6*60</f>
        <v/>
      </c>
      <c r="AF261" s="27" t="n">
        <v>0</v>
      </c>
      <c r="AG261" s="27" t="n">
        <v>0</v>
      </c>
      <c r="AH261" s="27" t="n">
        <v>0</v>
      </c>
      <c r="AI261" s="27">
        <f>(IF(M261=0,0,(Upgrades!$G$21+M261*Upgrades!$H$21)*POWER(Upgrades!$I$21,M261)))*(IF(Upgrades!$T$13="Moving Group",POWER(Upgrades!$U$13,E261),1)*IF(Upgrades!$T$14="Moving Group",POWER(Upgrades!$U$14,F261),1)*IF(Upgrades!$T$15="Moving Group",POWER(Upgrades!$U$15,G261),1)*IF(Upgrades!$T$16="Moving Group",POWER(Upgrades!$U$16,H261),1)*IF(Upgrades!$T$17="Moving Group",POWER(Upgrades!$U$17,I261),1)*IF(Upgrades!$T$18="Moving Group",POWER(Upgrades!$U$18,J261),1)*IF(Upgrades!$T$19="Moving Group",POWER(Upgrades!$U$19,K261),1)*IF(Upgrades!$T$20="Moving Group",POWER(Upgrades!$U$20,L261),1))*POWER(Upgrades!$P$13,E261)*POWER(Upgrades!$P$14,F261)*POWER(Upgrades!$P$15,G261)*POWER(Upgrades!$P$16,H261)*POWER(Upgrades!$P$17,I261)*POWER(Upgrades!$P$18,J261)*POWER(Upgrades!$P$19,K261)*POWER(Upgrades!$P$20,L261)*POWER(Upgrades!$P$21,M261)*$F$6*60</f>
        <v/>
      </c>
      <c r="AJ261" s="27">
        <f>$C$6*60</f>
        <v/>
      </c>
      <c r="AK261" s="22">
        <f>IF(E261&gt;=Upgrades!$E$13,"",Upgrades!$C$13*POWER(Upgrades!$D$13,E261))</f>
        <v/>
      </c>
      <c r="AL261" s="22">
        <f>IF(F261&gt;=Upgrades!$E$14,"",Upgrades!$C$14*POWER(Upgrades!$D$14,F261))</f>
        <v/>
      </c>
      <c r="AM261" s="22">
        <f>IF(G261&gt;=Upgrades!$E$15,"",Upgrades!$C$15*POWER(Upgrades!$D$15,G261))</f>
        <v/>
      </c>
      <c r="AN261" s="22">
        <f>IF(H261&gt;=Upgrades!$E$16,"",Upgrades!$C$16*POWER(Upgrades!$D$16,H261))</f>
        <v/>
      </c>
      <c r="AO261" s="22">
        <f>IF(I261&gt;=Upgrades!$E$17,"",Upgrades!$C$17*POWER(Upgrades!$D$17,I261))</f>
        <v/>
      </c>
      <c r="AP261" s="22">
        <f>IF(J261&gt;=Upgrades!$E$18,"",Upgrades!$C$18*POWER(Upgrades!$D$18,J261))</f>
        <v/>
      </c>
      <c r="AQ261" s="22">
        <f>IF(K261&gt;=Upgrades!$E$19,"",Upgrades!$C$19*POWER(Upgrades!$D$19,K261))</f>
        <v/>
      </c>
      <c r="AR261" s="22">
        <f>IF(L261&gt;=Upgrades!$E$20,"",Upgrades!$C$20*POWER(Upgrades!$D$20,L261))</f>
        <v/>
      </c>
      <c r="AS261" s="22">
        <f>IF(M261&gt;=Upgrades!$E$21,"",Upgrades!$C$21*POWER(Upgrades!$D$21,M261))</f>
        <v/>
      </c>
      <c r="AT261" s="26">
        <f>IF(AND(D261&gt;=Parameters!$B$18*Parameters!$B$19,(I261&gt;=Upgrades!$E$17)*(M261&gt;=Upgrades!$E$21)=1,N261=0),1,"")</f>
        <v/>
      </c>
      <c r="AU261" s="26">
        <f>IF(AND(D261&gt;=Parameters!$B$18*Parameters!$B$19,N261=0),1,"")</f>
        <v/>
      </c>
      <c r="AV261" s="22">
        <f>MIN(IF(ISNUMBER(AP261),AP261,9E15),IF(ISNUMBER(AQ261),AQ261,9E15),IF(ISNUMBER(AR261),AR261,9E15),IF(ISNUMBER(AS261),AS261,9E15))</f>
        <v/>
      </c>
      <c r="AW261" s="22">
        <f>MIN(IF(ISNUMBER(AK261),AK261,9E15),IF(ISNUMBER(AL261),AL261,9E15),IF(ISNUMBER(AM261),AM261,9E15),IF(ISNUMBER(AN261),AN261,9E15),IF(ISNUMBER(AO261),AO261,9E15))</f>
        <v/>
      </c>
      <c r="AX261" s="29">
        <f>IF(BD261&gt;Parameters!$B$21*(MAX(IF(AND(NOT(AND(AU261=1,AT261&lt;&gt;1)),ISNUMBER(AK261),AK261&lt;=(C261+T261)),AY261,0),IF(AND(NOT(AND(AU261=1,AT261&lt;&gt;1)),ISNUMBER(AL261),AL261&lt;=(C261+T261)),AZ261,0),IF(AND(NOT(AND(AU261=1,AT261&lt;&gt;1)),ISNUMBER(AM261),AM261&lt;=(C261+T261)),BA261,0),IF(AND(NOT(AND(AU261=1,AT261&lt;&gt;1)),ISNUMBER(AN261),AN261&lt;=(C261+T261)),BB261,0),IF(AND(ISNUMBER(AO261),AO261&lt;=(C261+T261)),BC261,0))),TRUE,FALSE)</f>
        <v/>
      </c>
      <c r="AY261" s="32">
        <f>IFERROR(Upgrades!$H$13*(POWER(Upgrades!$P$13,E261)*POWER(Upgrades!$P$14,F261)*POWER(Upgrades!$P$15,G261)*POWER(Upgrades!$P$16,H261)*POWER(Upgrades!$P$17,I261)*POWER(Upgrades!$P$18,J261)*POWER(Upgrades!$P$19,K261)*POWER(Upgrades!$P$20,L261)*POWER(Upgrades!$P$21,M261))*(IF(Upgrades!$T$14="Stellar Kinematics",POWER(Upgrades!$U$14,F261),1)*IF(Upgrades!$T$15="Stellar Kinematics",POWER(Upgrades!$U$15,G261),1)*IF(Upgrades!$T$16="Stellar Kinematics",POWER(Upgrades!$U$16,H261),1)*IF(Upgrades!$T$17="Stellar Kinematics",POWER(Upgrades!$U$17,I261),1)*IF(Upgrades!$T$18="Stellar Kinematics",POWER(Upgrades!$U$18,J261),1)*IF(Upgrades!$T$19="Stellar Kinematics",POWER(Upgrades!$U$19,K261),1)*IF(Upgrades!$T$20="Stellar Kinematics",POWER(Upgrades!$U$20,L261),1)*IF(Upgrades!$T$21="Stellar Kinematics",POWER(Upgrades!$U$21,M261),1))*$F$6/AK261,0)</f>
        <v/>
      </c>
      <c r="AZ261" s="32">
        <f>IFERROR(Upgrades!$H$14*(POWER(Upgrades!$P$13,E261)*POWER(Upgrades!$P$14,F261)*POWER(Upgrades!$P$15,G261)*POWER(Upgrades!$P$16,H261)*POWER(Upgrades!$P$17,I261)*POWER(Upgrades!$P$18,J261)*POWER(Upgrades!$P$19,K261)*POWER(Upgrades!$P$20,L261)*POWER(Upgrades!$P$21,M261))*(IF(Upgrades!$T$13="Local Bubble",POWER(Upgrades!$U$13,E261),1)*IF(Upgrades!$T$15="Local Bubble",POWER(Upgrades!$U$15,G261),1)*IF(Upgrades!$T$16="Local Bubble",POWER(Upgrades!$U$16,H261),1)*IF(Upgrades!$T$17="Local Bubble",POWER(Upgrades!$U$17,I261),1)*IF(Upgrades!$T$18="Local Bubble",POWER(Upgrades!$U$18,J261),1)*IF(Upgrades!$T$19="Local Bubble",POWER(Upgrades!$U$19,K261),1)*IF(Upgrades!$T$20="Local Bubble",POWER(Upgrades!$U$20,L261),1)*IF(Upgrades!$T$21="Local Bubble",POWER(Upgrades!$U$21,M261),1))*$F$6/AL261,0)</f>
        <v/>
      </c>
      <c r="BA261" s="32">
        <f>IFERROR(Upgrades!$K$15*(POWER(Upgrades!$Q$13,E261)*POWER(Upgrades!$Q$14,F261)*POWER(Upgrades!$Q$15,G261)*POWER(Upgrades!$Q$16,H261)*POWER(Upgrades!$Q$17,I261)*POWER(Upgrades!$Q$18,J261)*POWER(Upgrades!$Q$19,K261)*POWER(Upgrades!$Q$20,L261)*POWER(Upgrades!$Q$21,M261))*(IF(Upgrades!$T$13="Microlensing",POWER(Upgrades!$U$13,E261),1)*IF(Upgrades!$T$14="Microlensing",POWER(Upgrades!$U$14,F261),1)*IF(Upgrades!$T$16="Microlensing",POWER(Upgrades!$U$16,H261),1)*IF(Upgrades!$T$17="Microlensing",POWER(Upgrades!$U$17,I261),1)*IF(Upgrades!$T$18="Microlensing",POWER(Upgrades!$U$18,J261),1)*IF(Upgrades!$T$19="Microlensing",POWER(Upgrades!$U$19,K261),1)*IF(Upgrades!$T$20="Microlensing",POWER(Upgrades!$U$20,L261),1)*IF(Upgrades!$T$21="Microlensing",POWER(Upgrades!$U$21,M261),1))*$G$6*(Parameters!$B$10/60*Parameters!$B$11+Q261)/AM261,0)</f>
        <v/>
      </c>
      <c r="BB261" s="32">
        <f>IFERROR((Upgrades!$N$16*(POWER(Upgrades!$R$13,E261)*POWER(Upgrades!$R$14,F261)*POWER(Upgrades!$R$15,G261)*POWER(Upgrades!$R$16,H261)*POWER(Upgrades!$R$17,I261)*POWER(Upgrades!$R$18,J261)*POWER(Upgrades!$R$19,K261)*POWER(Upgrades!$R$20,L261)*POWER(Upgrades!$R$21,M261))*(IF(Upgrades!$T$13="Roche Lobe Overflow",POWER(Upgrades!$U$13,E261),1)*IF(Upgrades!$T$14="Roche Lobe Overflow",POWER(Upgrades!$U$14,F261),1)*IF(Upgrades!$T$15="Roche Lobe Overflow",POWER(Upgrades!$U$15,G261),1)*IF(Upgrades!$T$17="Roche Lobe Overflow",POWER(Upgrades!$U$17,I261),1)*IF(Upgrades!$T$18="Roche Lobe Overflow",POWER(Upgrades!$U$18,J261),1)*IF(Upgrades!$T$19="Roche Lobe Overflow",POWER(Upgrades!$U$19,K261),1)*IF(Upgrades!$T$20="Roche Lobe Overflow",POWER(Upgrades!$U$20,L261),1)*IF(Upgrades!$T$21="Roche Lobe Overflow",POWER(Upgrades!$U$21,M261),1))*$H$6*O261+((IF(F261=0,0,(Upgrades!$G$14+F261*Upgrades!$H$14)*POWER(Upgrades!$I$14,F261)))*(IF(Upgrades!$T$13="Local Bubble",POWER(Upgrades!$U$13,E261),1)*IF(Upgrades!$T$15="Local Bubble",POWER(Upgrades!$U$15,G261),1)*IF(Upgrades!$T$16="Local Bubble",POWER(Upgrades!$U$16,H261),1)*IF(Upgrades!$T$17="Local Bubble",POWER(Upgrades!$U$17,I261),1)*IF(Upgrades!$T$18="Local Bubble",POWER(Upgrades!$U$18,J261),1)*IF(Upgrades!$T$19="Local Bubble",POWER(Upgrades!$U$19,K261),1)*IF(Upgrades!$T$20="Local Bubble",POWER(Upgrades!$U$20,L261),1)*IF(Upgrades!$T$21="Local Bubble",POWER(Upgrades!$U$21,M261),1))*POWER(Upgrades!$P$13,E261)*POWER(Upgrades!$P$14,F261)*POWER(Upgrades!$P$15,G261)*POWER(Upgrades!$P$16,H261)*POWER(Upgrades!$P$17,I261)*POWER(Upgrades!$P$18,J261)*POWER(Upgrades!$P$19,K261)*POWER(Upgrades!$P$20,L261)*POWER(Upgrades!$P$21,M261)*$F$6)*0.05)/AN261,0)</f>
        <v/>
      </c>
      <c r="BC261" s="32">
        <f>IFERROR((Upgrades!$H$17*(POWER(Upgrades!$P$13,E261)*POWER(Upgrades!$P$14,F261)*POWER(Upgrades!$P$15,G261)*POWER(Upgrades!$P$16,H261)*POWER(Upgrades!$P$17,I261)*POWER(Upgrades!$P$18,J261)*POWER(Upgrades!$P$19,K261)*POWER(Upgrades!$P$20,L261)*POWER(Upgrades!$P$21,M261))*(IF(Upgrades!$T$13="Brown Dwarf",POWER(Upgrades!$U$13,E261),1)*IF(Upgrades!$T$14="Brown Dwarf",POWER(Upgrades!$U$14,F261),1)*IF(Upgrades!$T$15="Brown Dwarf",POWER(Upgrades!$U$15,G261),1)*IF(Upgrades!$T$16="Brown Dwarf",POWER(Upgrades!$U$16,H261),1)*IF(Upgrades!$T$18="Brown Dwarf",POWER(Upgrades!$U$18,J261),1)*IF(Upgrades!$T$19="Brown Dwarf",POWER(Upgrades!$U$19,K261),1)*IF(Upgrades!$T$20="Brown Dwarf",POWER(Upgrades!$U$20,L261),1)*IF(Upgrades!$T$21="Brown Dwarf",POWER(Upgrades!$U$21,M261),1))*$F$6+(((IF(H261=0,0,(Upgrades!$M$16+H261*Upgrades!$N$16)*POWER(Upgrades!$O$16,H261)))*(IF(Upgrades!$T$13="Roche Lobe Overflow",POWER(Upgrades!$U$13,E261),1)*IF(Upgrades!$T$14="Roche Lobe Overflow",POWER(Upgrades!$U$14,F261),1)*IF(Upgrades!$T$15="Roche Lobe Overflow",POWER(Upgrades!$U$15,G261),1)*IF(Upgrades!$T$17="Roche Lobe Overflow",POWER(Upgrades!$U$17,I261),1)*IF(Upgrades!$T$18="Roche Lobe Overflow",POWER(Upgrades!$U$18,J261),1)*IF(Upgrades!$T$19="Roche Lobe Overflow",POWER(Upgrades!$U$19,K261),1)*IF(Upgrades!$T$20="Roche Lobe Overflow",POWER(Upgrades!$U$20,L261),1)*IF(Upgrades!$T$21="Roche Lobe Overflow",POWER(Upgrades!$U$21,M261),1))*POWER(Upgrades!$R$13,E261)*POWER(Upgrades!$R$14,F261)*POWER(Upgrades!$R$15,G261)*POWER(Upgrades!$R$16,H261)*POWER(Upgrades!$R$17,I261)*POWER(Upgrades!$R$18,J261)*POWER(Upgrades!$R$19,K261)*POWER(Upgrades!$R$20,L261)*POWER(Upgrades!$R$21,M261)*$H$6)*O261)*0.10)/AO261,0)</f>
        <v/>
      </c>
      <c r="BD261" s="32">
        <f>MAX(IF(J261&gt;0,0,IFERROR(0.5*((IF(G261=0,0,(Upgrades!$J$15+G261*Upgrades!$K$15)*POWER(Upgrades!$L$15,G261)))*(IF(Upgrades!$T$13="Microlensing",POWER(Upgrades!$U$13,E261),1)*IF(Upgrades!$T$14="Microlensing",POWER(Upgrades!$U$14,F261),1)*IF(Upgrades!$T$16="Microlensing",POWER(Upgrades!$U$16,H261),1)*IF(Upgrades!$T$17="Microlensing",POWER(Upgrades!$U$17,I261),1)*IF(Upgrades!$T$18="Microlensing",POWER(Upgrades!$U$18,J261),1)*IF(Upgrades!$T$19="Microlensing",POWER(Upgrades!$U$19,K261),1)*IF(Upgrades!$T$20="Microlensing",POWER(Upgrades!$U$20,L261),1)*IF(Upgrades!$T$21="Microlensing",POWER(Upgrades!$U$21,M261),1))*(POWER(Upgrades!$Q$13,E261)*POWER(Upgrades!$Q$14,F261)*POWER(Upgrades!$Q$15,G261)*POWER(Upgrades!$Q$16,H261)*POWER(Upgrades!$Q$17,I261)*POWER(Upgrades!$Q$18,J261)*POWER(Upgrades!$Q$19,K261)*POWER(Upgrades!$Q$20,L261)*POWER(Upgrades!$Q$21,M261))*$G$6*(Parameters!$B$10/60*Parameters!$B$11+Q261))/Upgrades!$C$18,0)),IF(K261&gt;0,0,IFERROR(0.30*P261/Upgrades!$C$19,0)),IF(L261&gt;0,0,IFERROR(0.0001/Upgrades!$C$20,0)),IF(M261&gt;0,0,IFERROR((6.0*(POWER(Upgrades!$P$13,E261)*POWER(Upgrades!$P$14,F261)*POWER(Upgrades!$P$15,G261)*POWER(Upgrades!$P$16,H261)*POWER(Upgrades!$P$17,I261)*POWER(Upgrades!$P$18,J261)*POWER(Upgrades!$P$19,K261)*POWER(Upgrades!$P$20,L261)*POWER(Upgrades!$P$21,M261))*$F$6+0.20*O261*(Parameters!$B$10/60*Parameters!$B$11+Q261))/Upgrades!$C$21,0)),IF(AND(ISNUMBER(AK261),AK261&gt;(C261+T261)),AY261,0),IF(AND(ISNUMBER(AL261),AL261&gt;(C261+T261)),AZ261,0),IF(AND(ISNUMBER(AM261),AM261&gt;(C261+T261)),BA261,0),IF(AND(ISNUMBER(AN261),AN261&gt;(C261+T261)),BB261,0),IF(AND(ISNUMBER(AO261),AO261&gt;(C261+T261)),BC261,0))</f>
        <v/>
      </c>
      <c r="BE261" s="29">
        <f>IF(AT261=1,"transition",IF(MIN(IF(AND(J261=0,ISNUMBER(AP261),AP261&lt;=(C261+T261)),AP261,9E15),IF(AND(K261=0,ISNUMBER(AQ261),AQ261&lt;=(C261+T261)),AQ261,9E15),IF(AND(L261=0,ISNUMBER(AR261),AR261&lt;=(C261+T261)),AR261,9E15),IF(AND(M261=0,ISNUMBER(AS261),AS261&lt;=(C261+T261)),AS261,9E15))&lt;9E15,IF(AND(AND(J261=0,ISNUMBER(AP261),AP261&lt;=(C261+T261)),AP261=MIN(IF(AND(J261=0,ISNUMBER(AP261),AP261&lt;=(C261+T261)),AP261,9E15),IF(AND(K261=0,ISNUMBER(AQ261),AQ261&lt;=(C261+T261)),AQ261,9E15),IF(AND(L261=0,ISNUMBER(AR261),AR261&lt;=(C261+T261)),AR261,9E15),IF(AND(M261=0,ISNUMBER(AS261),AS261&lt;=(C261+T261)),AS261,9E15))),"BiP",IF(AND(AND(K261=0,ISNUMBER(AQ261),AQ261&lt;=(C261+T261)),AQ261=MIN(IF(AND(J261=0,ISNUMBER(AP261),AP261&lt;=(C261+T261)),AP261,9E15),IF(AND(K261=0,ISNUMBER(AQ261),AQ261&lt;=(C261+T261)),AQ261,9E15),IF(AND(L261=0,ISNUMBER(AR261),AR261&lt;=(C261+T261)),AR261,9E15),IF(AND(M261=0,ISNUMBER(AS261),AS261&lt;=(C261+T261)),AS261,9E15))),"PV",IF(AND(AND(L261=0,ISNUMBER(AR261),AR261&lt;=(C261+T261)),AR261=MIN(IF(AND(J261=0,ISNUMBER(AP261),AP261&lt;=(C261+T261)),AP261,9E15),IF(AND(K261=0,ISNUMBER(AQ261),AQ261&lt;=(C261+T261)),AQ261,9E15),IF(AND(L261=0,ISNUMBER(AR261),AR261&lt;=(C261+T261)),AR261,9E15),IF(AND(M261=0,ISNUMBER(AS261),AS261&lt;=(C261+T261)),AS261,9E15))),"OC","MG"))),IF(AX261=TRUE,"",IF(MAX(IF(AND(NOT(AND(AU261=1,AT261&lt;&gt;1)),ISNUMBER(AK261),AK261&lt;=(C261+T261)),AY261,0),IF(AND(NOT(AND(AU261=1,AT261&lt;&gt;1)),ISNUMBER(AL261),AL261&lt;=(C261+T261)),AZ261,0),IF(AND(NOT(AND(AU261=1,AT261&lt;&gt;1)),ISNUMBER(AM261),AM261&lt;=(C261+T261)),BA261,0),IF(AND(NOT(AND(AU261=1,AT261&lt;&gt;1)),ISNUMBER(AN261),AN261&lt;=(C261+T261)),BB261,0),IF(AND(ISNUMBER(AO261),AO261&lt;=(C261+T261)),BC261,0))&lt;=0,"",IF(AND(IF(AND(NOT(AND(AU261=1,AT261&lt;&gt;1)),ISNUMBER(AK261),AK261&lt;=(C261+T261)),AY261,0)&gt;0,IF(AND(NOT(AND(AU261=1,AT261&lt;&gt;1)),ISNUMBER(AK261),AK261&lt;=(C261+T261)),AY261,0)=MAX(IF(AND(NOT(AND(AU261=1,AT261&lt;&gt;1)),ISNUMBER(AK261),AK261&lt;=(C261+T261)),AY261,0),IF(AND(NOT(AND(AU261=1,AT261&lt;&gt;1)),ISNUMBER(AL261),AL261&lt;=(C261+T261)),AZ261,0),IF(AND(NOT(AND(AU261=1,AT261&lt;&gt;1)),ISNUMBER(AM261),AM261&lt;=(C261+T261)),BA261,0),IF(AND(NOT(AND(AU261=1,AT261&lt;&gt;1)),ISNUMBER(AN261),AN261&lt;=(C261+T261)),BB261,0),IF(AND(ISNUMBER(AO261),AO261&lt;=(C261+T261)),BC261,0))),"SK",IF(AND(IF(AND(NOT(AND(AU261=1,AT261&lt;&gt;1)),ISNUMBER(AL261),AL261&lt;=(C261+T261)),AZ261,0)&gt;0,IF(AND(NOT(AND(AU261=1,AT261&lt;&gt;1)),ISNUMBER(AL261),AL261&lt;=(C261+T261)),AZ261,0)=MAX(IF(AND(NOT(AND(AU261=1,AT261&lt;&gt;1)),ISNUMBER(AK261),AK261&lt;=(C261+T261)),AY261,0),IF(AND(NOT(AND(AU261=1,AT261&lt;&gt;1)),ISNUMBER(AL261),AL261&lt;=(C261+T261)),AZ261,0),IF(AND(NOT(AND(AU261=1,AT261&lt;&gt;1)),ISNUMBER(AM261),AM261&lt;=(C261+T261)),BA261,0),IF(AND(NOT(AND(AU261=1,AT261&lt;&gt;1)),ISNUMBER(AN261),AN261&lt;=(C261+T261)),BB261,0),IF(AND(ISNUMBER(AO261),AO261&lt;=(C261+T261)),BC261,0))),"LB",IF(AND(IF(AND(NOT(AND(AU261=1,AT261&lt;&gt;1)),ISNUMBER(AM261),AM261&lt;=(C261+T261)),BA261,0)&gt;0,IF(AND(NOT(AND(AU261=1,AT261&lt;&gt;1)),ISNUMBER(AM261),AM261&lt;=(C261+T261)),BA261,0)=MAX(IF(AND(NOT(AND(AU261=1,AT261&lt;&gt;1)),ISNUMBER(AK261),AK261&lt;=(C261+T261)),AY261,0),IF(AND(NOT(AND(AU261=1,AT261&lt;&gt;1)),ISNUMBER(AL261),AL261&lt;=(C261+T261)),AZ261,0),IF(AND(NOT(AND(AU261=1,AT261&lt;&gt;1)),ISNUMBER(AM261),AM261&lt;=(C261+T261)),BA261,0),IF(AND(NOT(AND(AU261=1,AT261&lt;&gt;1)),ISNUMBER(AN261),AN261&lt;=(C261+T261)),BB261,0),IF(AND(ISNUMBER(AO261),AO261&lt;=(C261+T261)),BC261,0))),"ML",IF(AND(IF(AND(NOT(AND(AU261=1,AT261&lt;&gt;1)),ISNUMBER(AN261),AN261&lt;=(C261+T261)),BB261,0)&gt;0,IF(AND(NOT(AND(AU261=1,AT261&lt;&gt;1)),ISNUMBER(AN261),AN261&lt;=(C261+T261)),BB261,0)=MAX(IF(AND(NOT(AND(AU261=1,AT261&lt;&gt;1)),ISNUMBER(AK261),AK261&lt;=(C261+T261)),AY261,0),IF(AND(NOT(AND(AU261=1,AT261&lt;&gt;1)),ISNUMBER(AL261),AL261&lt;=(C261+T261)),AZ261,0),IF(AND(NOT(AND(AU261=1,AT261&lt;&gt;1)),ISNUMBER(AM261),AM261&lt;=(C261+T261)),BA261,0),IF(AND(NOT(AND(AU261=1,AT261&lt;&gt;1)),ISNUMBER(AN261),AN261&lt;=(C261+T261)),BB261,0),IF(AND(ISNUMBER(AO261),AO261&lt;=(C261+T261)),BC261,0))),"RLO","BD"))))))))</f>
        <v/>
      </c>
    </row>
    <row r="262">
      <c r="A262" s="26" t="n">
        <v>251</v>
      </c>
      <c r="B262" s="27">
        <f>A262*10/60</f>
        <v/>
      </c>
      <c r="C262" s="22">
        <f>X261</f>
        <v/>
      </c>
      <c r="D262" s="27">
        <f>D261+W261</f>
        <v/>
      </c>
      <c r="E262" s="26">
        <f>E261+IF(U261="SK",1,0)</f>
        <v/>
      </c>
      <c r="F262" s="26">
        <f>F261+IF(U261="LB",1,0)</f>
        <v/>
      </c>
      <c r="G262" s="26">
        <f>G261+IF(U261="ML",1,0)</f>
        <v/>
      </c>
      <c r="H262" s="26">
        <f>H261+IF(U261="RLO",1,0)</f>
        <v/>
      </c>
      <c r="I262" s="26">
        <f>I261+IF(U261="BD",1,0)</f>
        <v/>
      </c>
      <c r="J262" s="26">
        <f>MAX(J261,IF(U261="BiP",1,0))</f>
        <v/>
      </c>
      <c r="K262" s="26">
        <f>MAX(K261,IF(U261="PV",1,0))</f>
        <v/>
      </c>
      <c r="L262" s="26">
        <f>MAX(L261,IF(U261="OC",1,0))</f>
        <v/>
      </c>
      <c r="M262" s="26">
        <f>MAX(M261,IF(U261="MG",1,0))</f>
        <v/>
      </c>
      <c r="N262" s="26">
        <f>MAX(N261,IF(U261="transition",1,0))</f>
        <v/>
      </c>
      <c r="O262" s="28">
        <f>(Parameters!$B$9+(IF(E262=0,0,(Upgrades!$J$13+E262*Upgrades!$K$13)*POWER(Upgrades!$L$13,E262)))*(IF(Upgrades!$T$14="Stellar Kinematics",POWER(Upgrades!$U$14,F262),1)*IF(Upgrades!$T$15="Stellar Kinematics",POWER(Upgrades!$U$15,G262),1)*IF(Upgrades!$T$16="Stellar Kinematics",POWER(Upgrades!$U$16,H262),1)*IF(Upgrades!$T$17="Stellar Kinematics",POWER(Upgrades!$U$17,I262),1)*IF(Upgrades!$T$18="Stellar Kinematics",POWER(Upgrades!$U$18,J262),1)*IF(Upgrades!$T$19="Stellar Kinematics",POWER(Upgrades!$U$19,K262),1)*IF(Upgrades!$T$20="Stellar Kinematics",POWER(Upgrades!$U$20,L262),1)*IF(Upgrades!$T$21="Stellar Kinematics",POWER(Upgrades!$U$21,M262),1))+(IF(F262=0,0,(Upgrades!$J$14+F262*Upgrades!$K$14)*POWER(Upgrades!$L$14,F262)))*(IF(Upgrades!$T$13="Local Bubble",POWER(Upgrades!$U$13,E262),1)*IF(Upgrades!$T$15="Local Bubble",POWER(Upgrades!$U$15,G262),1)*IF(Upgrades!$T$16="Local Bubble",POWER(Upgrades!$U$16,H262),1)*IF(Upgrades!$T$17="Local Bubble",POWER(Upgrades!$U$17,I262),1)*IF(Upgrades!$T$18="Local Bubble",POWER(Upgrades!$U$18,J262),1)*IF(Upgrades!$T$19="Local Bubble",POWER(Upgrades!$U$19,K262),1)*IF(Upgrades!$T$20="Local Bubble",POWER(Upgrades!$U$20,L262),1)*IF(Upgrades!$T$21="Local Bubble",POWER(Upgrades!$U$21,M262),1))+(IF(G262=0,0,(Upgrades!$J$15+G262*Upgrades!$K$15)*POWER(Upgrades!$L$15,G262)))*(IF(Upgrades!$T$13="Microlensing",POWER(Upgrades!$U$13,E262),1)*IF(Upgrades!$T$14="Microlensing",POWER(Upgrades!$U$14,F262),1)*IF(Upgrades!$T$16="Microlensing",POWER(Upgrades!$U$16,H262),1)*IF(Upgrades!$T$17="Microlensing",POWER(Upgrades!$U$17,I262),1)*IF(Upgrades!$T$18="Microlensing",POWER(Upgrades!$U$18,J262),1)*IF(Upgrades!$T$19="Microlensing",POWER(Upgrades!$U$19,K262),1)*IF(Upgrades!$T$20="Microlensing",POWER(Upgrades!$U$20,L262),1)*IF(Upgrades!$T$21="Microlensing",POWER(Upgrades!$U$21,M262),1))+(IF(H262=0,0,(Upgrades!$J$16+H262*Upgrades!$K$16)*POWER(Upgrades!$L$16,H262)))*(IF(Upgrades!$T$13="Roche Lobe Overflow",POWER(Upgrades!$U$13,E262),1)*IF(Upgrades!$T$14="Roche Lobe Overflow",POWER(Upgrades!$U$14,F262),1)*IF(Upgrades!$T$15="Roche Lobe Overflow",POWER(Upgrades!$U$15,G262),1)*IF(Upgrades!$T$17="Roche Lobe Overflow",POWER(Upgrades!$U$17,I262),1)*IF(Upgrades!$T$18="Roche Lobe Overflow",POWER(Upgrades!$U$18,J262),1)*IF(Upgrades!$T$19="Roche Lobe Overflow",POWER(Upgrades!$U$19,K262),1)*IF(Upgrades!$T$20="Roche Lobe Overflow",POWER(Upgrades!$U$20,L262),1)*IF(Upgrades!$T$21="Roche Lobe Overflow",POWER(Upgrades!$U$21,M262),1))+(IF(I262=0,0,(Upgrades!$J$17+I262*Upgrades!$K$17)*POWER(Upgrades!$L$17,I262)))*(IF(Upgrades!$T$13="Brown Dwarf",POWER(Upgrades!$U$13,E262),1)*IF(Upgrades!$T$14="Brown Dwarf",POWER(Upgrades!$U$14,F262),1)*IF(Upgrades!$T$15="Brown Dwarf",POWER(Upgrades!$U$15,G262),1)*IF(Upgrades!$T$16="Brown Dwarf",POWER(Upgrades!$U$16,H262),1)*IF(Upgrades!$T$18="Brown Dwarf",POWER(Upgrades!$U$18,J262),1)*IF(Upgrades!$T$19="Brown Dwarf",POWER(Upgrades!$U$19,K262),1)*IF(Upgrades!$T$20="Brown Dwarf",POWER(Upgrades!$U$20,L262),1)*IF(Upgrades!$T$21="Brown Dwarf",POWER(Upgrades!$U$21,M262),1))+(IF(J262=0,0,(Upgrades!$J$18+J262*Upgrades!$K$18)*POWER(Upgrades!$L$18,J262)))*(IF(Upgrades!$T$13="Binary Partner",POWER(Upgrades!$U$13,E262),1)*IF(Upgrades!$T$14="Binary Partner",POWER(Upgrades!$U$14,F262),1)*IF(Upgrades!$T$15="Binary Partner",POWER(Upgrades!$U$15,G262),1)*IF(Upgrades!$T$16="Binary Partner",POWER(Upgrades!$U$16,H262),1)*IF(Upgrades!$T$17="Binary Partner",POWER(Upgrades!$U$17,I262),1)*IF(Upgrades!$T$19="Binary Partner",POWER(Upgrades!$U$19,K262),1)*IF(Upgrades!$T$20="Binary Partner",POWER(Upgrades!$U$20,L262),1)*IF(Upgrades!$T$21="Binary Partner",POWER(Upgrades!$U$21,M262),1))+(IF(K262=0,0,(Upgrades!$J$19+K262*Upgrades!$K$19)*POWER(Upgrades!$L$19,K262)))*(IF(Upgrades!$T$13="Peculiar Velocity",POWER(Upgrades!$U$13,E262),1)*IF(Upgrades!$T$14="Peculiar Velocity",POWER(Upgrades!$U$14,F262),1)*IF(Upgrades!$T$15="Peculiar Velocity",POWER(Upgrades!$U$15,G262),1)*IF(Upgrades!$T$16="Peculiar Velocity",POWER(Upgrades!$U$16,H262),1)*IF(Upgrades!$T$17="Peculiar Velocity",POWER(Upgrades!$U$17,I262),1)*IF(Upgrades!$T$18="Peculiar Velocity",POWER(Upgrades!$U$18,J262),1)*IF(Upgrades!$T$20="Peculiar Velocity",POWER(Upgrades!$U$20,L262),1)*IF(Upgrades!$T$21="Peculiar Velocity",POWER(Upgrades!$U$21,M262),1))+(IF(L262=0,0,(Upgrades!$J$20+L262*Upgrades!$K$20)*POWER(Upgrades!$L$20,L262)))*(IF(Upgrades!$T$13="Open Cluster",POWER(Upgrades!$U$13,E262),1)*IF(Upgrades!$T$14="Open Cluster",POWER(Upgrades!$U$14,F262),1)*IF(Upgrades!$T$15="Open Cluster",POWER(Upgrades!$U$15,G262),1)*IF(Upgrades!$T$16="Open Cluster",POWER(Upgrades!$U$16,H262),1)*IF(Upgrades!$T$17="Open Cluster",POWER(Upgrades!$U$17,I262),1)*IF(Upgrades!$T$18="Open Cluster",POWER(Upgrades!$U$18,J262),1)*IF(Upgrades!$T$19="Open Cluster",POWER(Upgrades!$U$19,K262),1)*IF(Upgrades!$T$21="Open Cluster",POWER(Upgrades!$U$21,M262),1))+(IF(M262=0,0,(Upgrades!$J$21+M262*Upgrades!$K$21)*POWER(Upgrades!$L$21,M262)))*(IF(Upgrades!$T$13="Moving Group",POWER(Upgrades!$U$13,E262),1)*IF(Upgrades!$T$14="Moving Group",POWER(Upgrades!$U$14,F262),1)*IF(Upgrades!$T$15="Moving Group",POWER(Upgrades!$U$15,G262),1)*IF(Upgrades!$T$16="Moving Group",POWER(Upgrades!$U$16,H262),1)*IF(Upgrades!$T$17="Moving Group",POWER(Upgrades!$U$17,I262),1)*IF(Upgrades!$T$18="Moving Group",POWER(Upgrades!$U$18,J262),1)*IF(Upgrades!$T$19="Moving Group",POWER(Upgrades!$U$19,K262),1)*IF(Upgrades!$T$20="Moving Group",POWER(Upgrades!$U$20,L262),1)))*POWER(Upgrades!$Q$13,E262)*POWER(Upgrades!$Q$14,F262)*POWER(Upgrades!$Q$15,G262)*POWER(Upgrades!$Q$16,H262)*POWER(Upgrades!$Q$17,I262)*POWER(Upgrades!$Q$18,J262)*POWER(Upgrades!$Q$19,K262)*POWER(Upgrades!$Q$20,L262)*POWER(Upgrades!$Q$21,M262)*$G$6+$D$6</f>
        <v/>
      </c>
      <c r="P262" s="28">
        <f>((IF(E262=0,0,(Upgrades!$G$13+E262*Upgrades!$H$13)*POWER(Upgrades!$I$13,E262)))*(IF(Upgrades!$T$14="Stellar Kinematics",POWER(Upgrades!$U$14,F262),1)*IF(Upgrades!$T$15="Stellar Kinematics",POWER(Upgrades!$U$15,G262),1)*IF(Upgrades!$T$16="Stellar Kinematics",POWER(Upgrades!$U$16,H262),1)*IF(Upgrades!$T$17="Stellar Kinematics",POWER(Upgrades!$U$17,I262),1)*IF(Upgrades!$T$18="Stellar Kinematics",POWER(Upgrades!$U$18,J262),1)*IF(Upgrades!$T$19="Stellar Kinematics",POWER(Upgrades!$U$19,K262),1)*IF(Upgrades!$T$20="Stellar Kinematics",POWER(Upgrades!$U$20,L262),1)*IF(Upgrades!$T$21="Stellar Kinematics",POWER(Upgrades!$U$21,M262),1))+(IF(F262=0,0,(Upgrades!$G$14+F262*Upgrades!$H$14)*POWER(Upgrades!$I$14,F262)))*(IF(Upgrades!$T$13="Local Bubble",POWER(Upgrades!$U$13,E262),1)*IF(Upgrades!$T$15="Local Bubble",POWER(Upgrades!$U$15,G262),1)*IF(Upgrades!$T$16="Local Bubble",POWER(Upgrades!$U$16,H262),1)*IF(Upgrades!$T$17="Local Bubble",POWER(Upgrades!$U$17,I262),1)*IF(Upgrades!$T$18="Local Bubble",POWER(Upgrades!$U$18,J262),1)*IF(Upgrades!$T$19="Local Bubble",POWER(Upgrades!$U$19,K262),1)*IF(Upgrades!$T$20="Local Bubble",POWER(Upgrades!$U$20,L262),1)*IF(Upgrades!$T$21="Local Bubble",POWER(Upgrades!$U$21,M262),1))+(IF(G262=0,0,(Upgrades!$G$15+G262*Upgrades!$H$15)*POWER(Upgrades!$I$15,G262)))*(IF(Upgrades!$T$13="Microlensing",POWER(Upgrades!$U$13,E262),1)*IF(Upgrades!$T$14="Microlensing",POWER(Upgrades!$U$14,F262),1)*IF(Upgrades!$T$16="Microlensing",POWER(Upgrades!$U$16,H262),1)*IF(Upgrades!$T$17="Microlensing",POWER(Upgrades!$U$17,I262),1)*IF(Upgrades!$T$18="Microlensing",POWER(Upgrades!$U$18,J262),1)*IF(Upgrades!$T$19="Microlensing",POWER(Upgrades!$U$19,K262),1)*IF(Upgrades!$T$20="Microlensing",POWER(Upgrades!$U$20,L262),1)*IF(Upgrades!$T$21="Microlensing",POWER(Upgrades!$U$21,M262),1))+(IF(H262=0,0,(Upgrades!$G$16+H262*Upgrades!$H$16)*POWER(Upgrades!$I$16,H262)))*(IF(Upgrades!$T$13="Roche Lobe Overflow",POWER(Upgrades!$U$13,E262),1)*IF(Upgrades!$T$14="Roche Lobe Overflow",POWER(Upgrades!$U$14,F262),1)*IF(Upgrades!$T$15="Roche Lobe Overflow",POWER(Upgrades!$U$15,G262),1)*IF(Upgrades!$T$17="Roche Lobe Overflow",POWER(Upgrades!$U$17,I262),1)*IF(Upgrades!$T$18="Roche Lobe Overflow",POWER(Upgrades!$U$18,J262),1)*IF(Upgrades!$T$19="Roche Lobe Overflow",POWER(Upgrades!$U$19,K262),1)*IF(Upgrades!$T$20="Roche Lobe Overflow",POWER(Upgrades!$U$20,L262),1)*IF(Upgrades!$T$21="Roche Lobe Overflow",POWER(Upgrades!$U$21,M262),1))+(IF(I262=0,0,(Upgrades!$G$17+I262*Upgrades!$H$17)*POWER(Upgrades!$I$17,I262)))*(IF(Upgrades!$T$13="Brown Dwarf",POWER(Upgrades!$U$13,E262),1)*IF(Upgrades!$T$14="Brown Dwarf",POWER(Upgrades!$U$14,F262),1)*IF(Upgrades!$T$15="Brown Dwarf",POWER(Upgrades!$U$15,G262),1)*IF(Upgrades!$T$16="Brown Dwarf",POWER(Upgrades!$U$16,H262),1)*IF(Upgrades!$T$18="Brown Dwarf",POWER(Upgrades!$U$18,J262),1)*IF(Upgrades!$T$19="Brown Dwarf",POWER(Upgrades!$U$19,K262),1)*IF(Upgrades!$T$20="Brown Dwarf",POWER(Upgrades!$U$20,L262),1)*IF(Upgrades!$T$21="Brown Dwarf",POWER(Upgrades!$U$21,M262),1))+(IF(J262=0,0,(Upgrades!$G$18+J262*Upgrades!$H$18)*POWER(Upgrades!$I$18,J262)))*(IF(Upgrades!$T$13="Binary Partner",POWER(Upgrades!$U$13,E262),1)*IF(Upgrades!$T$14="Binary Partner",POWER(Upgrades!$U$14,F262),1)*IF(Upgrades!$T$15="Binary Partner",POWER(Upgrades!$U$15,G262),1)*IF(Upgrades!$T$16="Binary Partner",POWER(Upgrades!$U$16,H262),1)*IF(Upgrades!$T$17="Binary Partner",POWER(Upgrades!$U$17,I262),1)*IF(Upgrades!$T$19="Binary Partner",POWER(Upgrades!$U$19,K262),1)*IF(Upgrades!$T$20="Binary Partner",POWER(Upgrades!$U$20,L262),1)*IF(Upgrades!$T$21="Binary Partner",POWER(Upgrades!$U$21,M262),1))+(IF(K262=0,0,(Upgrades!$G$19+K262*Upgrades!$H$19)*POWER(Upgrades!$I$19,K262)))*(IF(Upgrades!$T$13="Peculiar Velocity",POWER(Upgrades!$U$13,E262),1)*IF(Upgrades!$T$14="Peculiar Velocity",POWER(Upgrades!$U$14,F262),1)*IF(Upgrades!$T$15="Peculiar Velocity",POWER(Upgrades!$U$15,G262),1)*IF(Upgrades!$T$16="Peculiar Velocity",POWER(Upgrades!$U$16,H262),1)*IF(Upgrades!$T$17="Peculiar Velocity",POWER(Upgrades!$U$17,I262),1)*IF(Upgrades!$T$18="Peculiar Velocity",POWER(Upgrades!$U$18,J262),1)*IF(Upgrades!$T$20="Peculiar Velocity",POWER(Upgrades!$U$20,L262),1)*IF(Upgrades!$T$21="Peculiar Velocity",POWER(Upgrades!$U$21,M262),1))+(IF(L262=0,0,(Upgrades!$G$20+L262*Upgrades!$H$20)*POWER(Upgrades!$I$20,L262)))*(IF(Upgrades!$T$13="Open Cluster",POWER(Upgrades!$U$13,E262),1)*IF(Upgrades!$T$14="Open Cluster",POWER(Upgrades!$U$14,F262),1)*IF(Upgrades!$T$15="Open Cluster",POWER(Upgrades!$U$15,G262),1)*IF(Upgrades!$T$16="Open Cluster",POWER(Upgrades!$U$16,H262),1)*IF(Upgrades!$T$17="Open Cluster",POWER(Upgrades!$U$17,I262),1)*IF(Upgrades!$T$18="Open Cluster",POWER(Upgrades!$U$18,J262),1)*IF(Upgrades!$T$19="Open Cluster",POWER(Upgrades!$U$19,K262),1)*IF(Upgrades!$T$21="Open Cluster",POWER(Upgrades!$U$21,M262),1))+(IF(M262=0,0,(Upgrades!$G$21+M262*Upgrades!$H$21)*POWER(Upgrades!$I$21,M262)))*(IF(Upgrades!$T$13="Moving Group",POWER(Upgrades!$U$13,E262),1)*IF(Upgrades!$T$14="Moving Group",POWER(Upgrades!$U$14,F262),1)*IF(Upgrades!$T$15="Moving Group",POWER(Upgrades!$U$15,G262),1)*IF(Upgrades!$T$16="Moving Group",POWER(Upgrades!$U$16,H262),1)*IF(Upgrades!$T$17="Moving Group",POWER(Upgrades!$U$17,I262),1)*IF(Upgrades!$T$18="Moving Group",POWER(Upgrades!$U$18,J262),1)*IF(Upgrades!$T$19="Moving Group",POWER(Upgrades!$U$19,K262),1)*IF(Upgrades!$T$20="Moving Group",POWER(Upgrades!$U$20,L262),1)))*POWER(Upgrades!$P$13,E262)*POWER(Upgrades!$P$14,F262)*POWER(Upgrades!$P$15,G262)*POWER(Upgrades!$P$16,H262)*POWER(Upgrades!$P$17,I262)*POWER(Upgrades!$P$18,J262)*POWER(Upgrades!$P$19,K262)*POWER(Upgrades!$P$20,L262)*POWER(Upgrades!$P$21,M262)*$F$6+$C$6</f>
        <v/>
      </c>
      <c r="Q262" s="28">
        <f>((IF(E262=0,0,(Upgrades!$M$13+E262*Upgrades!$N$13)*POWER(Upgrades!$O$13,E262)))*(IF(Upgrades!$T$14="Stellar Kinematics",POWER(Upgrades!$U$14,F262),1)*IF(Upgrades!$T$15="Stellar Kinematics",POWER(Upgrades!$U$15,G262),1)*IF(Upgrades!$T$16="Stellar Kinematics",POWER(Upgrades!$U$16,H262),1)*IF(Upgrades!$T$17="Stellar Kinematics",POWER(Upgrades!$U$17,I262),1)*IF(Upgrades!$T$18="Stellar Kinematics",POWER(Upgrades!$U$18,J262),1)*IF(Upgrades!$T$19="Stellar Kinematics",POWER(Upgrades!$U$19,K262),1)*IF(Upgrades!$T$20="Stellar Kinematics",POWER(Upgrades!$U$20,L262),1)*IF(Upgrades!$T$21="Stellar Kinematics",POWER(Upgrades!$U$21,M262),1))+(IF(F262=0,0,(Upgrades!$M$14+F262*Upgrades!$N$14)*POWER(Upgrades!$O$14,F262)))*(IF(Upgrades!$T$13="Local Bubble",POWER(Upgrades!$U$13,E262),1)*IF(Upgrades!$T$15="Local Bubble",POWER(Upgrades!$U$15,G262),1)*IF(Upgrades!$T$16="Local Bubble",POWER(Upgrades!$U$16,H262),1)*IF(Upgrades!$T$17="Local Bubble",POWER(Upgrades!$U$17,I262),1)*IF(Upgrades!$T$18="Local Bubble",POWER(Upgrades!$U$18,J262),1)*IF(Upgrades!$T$19="Local Bubble",POWER(Upgrades!$U$19,K262),1)*IF(Upgrades!$T$20="Local Bubble",POWER(Upgrades!$U$20,L262),1)*IF(Upgrades!$T$21="Local Bubble",POWER(Upgrades!$U$21,M262),1))+(IF(G262=0,0,(Upgrades!$M$15+G262*Upgrades!$N$15)*POWER(Upgrades!$O$15,G262)))*(IF(Upgrades!$T$13="Microlensing",POWER(Upgrades!$U$13,E262),1)*IF(Upgrades!$T$14="Microlensing",POWER(Upgrades!$U$14,F262),1)*IF(Upgrades!$T$16="Microlensing",POWER(Upgrades!$U$16,H262),1)*IF(Upgrades!$T$17="Microlensing",POWER(Upgrades!$U$17,I262),1)*IF(Upgrades!$T$18="Microlensing",POWER(Upgrades!$U$18,J262),1)*IF(Upgrades!$T$19="Microlensing",POWER(Upgrades!$U$19,K262),1)*IF(Upgrades!$T$20="Microlensing",POWER(Upgrades!$U$20,L262),1)*IF(Upgrades!$T$21="Microlensing",POWER(Upgrades!$U$21,M262),1))+(IF(H262=0,0,(Upgrades!$M$16+H262*Upgrades!$N$16)*POWER(Upgrades!$O$16,H262)))*(IF(Upgrades!$T$13="Roche Lobe Overflow",POWER(Upgrades!$U$13,E262),1)*IF(Upgrades!$T$14="Roche Lobe Overflow",POWER(Upgrades!$U$14,F262),1)*IF(Upgrades!$T$15="Roche Lobe Overflow",POWER(Upgrades!$U$15,G262),1)*IF(Upgrades!$T$17="Roche Lobe Overflow",POWER(Upgrades!$U$17,I262),1)*IF(Upgrades!$T$18="Roche Lobe Overflow",POWER(Upgrades!$U$18,J262),1)*IF(Upgrades!$T$19="Roche Lobe Overflow",POWER(Upgrades!$U$19,K262),1)*IF(Upgrades!$T$20="Roche Lobe Overflow",POWER(Upgrades!$U$20,L262),1)*IF(Upgrades!$T$21="Roche Lobe Overflow",POWER(Upgrades!$U$21,M262),1))+(IF(I262=0,0,(Upgrades!$M$17+I262*Upgrades!$N$17)*POWER(Upgrades!$O$17,I262)))*(IF(Upgrades!$T$13="Brown Dwarf",POWER(Upgrades!$U$13,E262),1)*IF(Upgrades!$T$14="Brown Dwarf",POWER(Upgrades!$U$14,F262),1)*IF(Upgrades!$T$15="Brown Dwarf",POWER(Upgrades!$U$15,G262),1)*IF(Upgrades!$T$16="Brown Dwarf",POWER(Upgrades!$U$16,H262),1)*IF(Upgrades!$T$18="Brown Dwarf",POWER(Upgrades!$U$18,J262),1)*IF(Upgrades!$T$19="Brown Dwarf",POWER(Upgrades!$U$19,K262),1)*IF(Upgrades!$T$20="Brown Dwarf",POWER(Upgrades!$U$20,L262),1)*IF(Upgrades!$T$21="Brown Dwarf",POWER(Upgrades!$U$21,M262),1))+(IF(J262=0,0,(Upgrades!$M$18+J262*Upgrades!$N$18)*POWER(Upgrades!$O$18,J262)))*(IF(Upgrades!$T$13="Binary Partner",POWER(Upgrades!$U$13,E262),1)*IF(Upgrades!$T$14="Binary Partner",POWER(Upgrades!$U$14,F262),1)*IF(Upgrades!$T$15="Binary Partner",POWER(Upgrades!$U$15,G262),1)*IF(Upgrades!$T$16="Binary Partner",POWER(Upgrades!$U$16,H262),1)*IF(Upgrades!$T$17="Binary Partner",POWER(Upgrades!$U$17,I262),1)*IF(Upgrades!$T$19="Binary Partner",POWER(Upgrades!$U$19,K262),1)*IF(Upgrades!$T$20="Binary Partner",POWER(Upgrades!$U$20,L262),1)*IF(Upgrades!$T$21="Binary Partner",POWER(Upgrades!$U$21,M262),1))+(IF(K262=0,0,(Upgrades!$M$19+K262*Upgrades!$N$19)*POWER(Upgrades!$O$19,K262)))*(IF(Upgrades!$T$13="Peculiar Velocity",POWER(Upgrades!$U$13,E262),1)*IF(Upgrades!$T$14="Peculiar Velocity",POWER(Upgrades!$U$14,F262),1)*IF(Upgrades!$T$15="Peculiar Velocity",POWER(Upgrades!$U$15,G262),1)*IF(Upgrades!$T$16="Peculiar Velocity",POWER(Upgrades!$U$16,H262),1)*IF(Upgrades!$T$17="Peculiar Velocity",POWER(Upgrades!$U$17,I262),1)*IF(Upgrades!$T$18="Peculiar Velocity",POWER(Upgrades!$U$18,J262),1)*IF(Upgrades!$T$20="Peculiar Velocity",POWER(Upgrades!$U$20,L262),1)*IF(Upgrades!$T$21="Peculiar Velocity",POWER(Upgrades!$U$21,M262),1))+(IF(L262=0,0,(Upgrades!$M$20+L262*Upgrades!$N$20)*POWER(Upgrades!$O$20,L262)))*(IF(Upgrades!$T$13="Open Cluster",POWER(Upgrades!$U$13,E262),1)*IF(Upgrades!$T$14="Open Cluster",POWER(Upgrades!$U$14,F262),1)*IF(Upgrades!$T$15="Open Cluster",POWER(Upgrades!$U$15,G262),1)*IF(Upgrades!$T$16="Open Cluster",POWER(Upgrades!$U$16,H262),1)*IF(Upgrades!$T$17="Open Cluster",POWER(Upgrades!$U$17,I262),1)*IF(Upgrades!$T$18="Open Cluster",POWER(Upgrades!$U$18,J262),1)*IF(Upgrades!$T$19="Open Cluster",POWER(Upgrades!$U$19,K262),1)*IF(Upgrades!$T$21="Open Cluster",POWER(Upgrades!$U$21,M262),1))+(IF(M262=0,0,(Upgrades!$M$21+M262*Upgrades!$N$21)*POWER(Upgrades!$O$21,M262)))*(IF(Upgrades!$T$13="Moving Group",POWER(Upgrades!$U$13,E262),1)*IF(Upgrades!$T$14="Moving Group",POWER(Upgrades!$U$14,F262),1)*IF(Upgrades!$T$15="Moving Group",POWER(Upgrades!$U$15,G262),1)*IF(Upgrades!$T$16="Moving Group",POWER(Upgrades!$U$16,H262),1)*IF(Upgrades!$T$17="Moving Group",POWER(Upgrades!$U$17,I262),1)*IF(Upgrades!$T$18="Moving Group",POWER(Upgrades!$U$18,J262),1)*IF(Upgrades!$T$19="Moving Group",POWER(Upgrades!$U$19,K262),1)*IF(Upgrades!$T$20="Moving Group",POWER(Upgrades!$U$20,L262),1)))*POWER(Upgrades!$R$13,E262)*POWER(Upgrades!$R$14,F262)*POWER(Upgrades!$R$15,G262)*POWER(Upgrades!$R$16,H262)*POWER(Upgrades!$R$17,I262)*POWER(Upgrades!$R$18,J262)*POWER(Upgrades!$R$19,K262)*POWER(Upgrades!$R$20,L262)*POWER(Upgrades!$R$21,M262)*$H$6+$E$6</f>
        <v/>
      </c>
      <c r="R262" s="27">
        <f>IF(N262=1,0,O262*Parameters!$B$10/60*Parameters!$B$11*10)</f>
        <v/>
      </c>
      <c r="S262" s="27">
        <f>IF(N262=1,0,Q262*O262*10)</f>
        <v/>
      </c>
      <c r="T262" s="27">
        <f>IF(N262=1,0,R262+S262+P262*10)</f>
        <v/>
      </c>
      <c r="U262" s="33">
        <f>BE262</f>
        <v/>
      </c>
      <c r="V262" s="22">
        <f>IF(U262="",0,IF(U262="transition",0,IF(U262="SK",AK262,IF(U262="LB",AL262,IF(U262="ML",AM262,IF(U262="RLO",AN262,IF(U262="BD",AO262,IF(U262="BiP",AP262,IF(U262="PV",AQ262,IF(U262="OC",AR262,IF(U262="MG",AS262,0))))))))))</f>
        <v/>
      </c>
      <c r="W262" s="27">
        <f>IF(U262="BiP",Upgrades!$F$18,IF(U262="PV",Upgrades!$F$19,IF(U262="OC",Upgrades!$F$20,IF(U262="MG",Upgrades!$F$21,IF(U262="transition",-Parameters!$B$18*Parameters!$B$19,0)))))</f>
        <v/>
      </c>
      <c r="X262" s="22">
        <f>C262+T262-V262</f>
        <v/>
      </c>
      <c r="Y262" s="30">
        <f>O262*Parameters!$B$10/60*Parameters!$B$11+Q262*O262+P262</f>
        <v/>
      </c>
      <c r="Z262" s="34">
        <f>IF(U262="transition","→ Tier 3 (Galactic Arm)",IF(U262="MG","Moving Group — pocket drifts together",IF(U262="OC","Open Cluster acquired",IF(U262="PV","Peculiar Velocity — passive multiplier active",IF(U262="BiP","Binary Partner — pair bond formed",IF(AND(AU262=1,N262=0,AT262&lt;&gt;1),"Cohesion ready (waiting on completionists)","")))))) </f>
        <v/>
      </c>
      <c r="AA262" s="27">
        <f>(IF(E262=0,0,(Upgrades!$G$13+E262*Upgrades!$H$13)*POWER(Upgrades!$I$13,E262)))*(IF(Upgrades!$T$14="Stellar Kinematics",POWER(Upgrades!$U$14,F262),1)*IF(Upgrades!$T$15="Stellar Kinematics",POWER(Upgrades!$U$15,G262),1)*IF(Upgrades!$T$16="Stellar Kinematics",POWER(Upgrades!$U$16,H262),1)*IF(Upgrades!$T$17="Stellar Kinematics",POWER(Upgrades!$U$17,I262),1)*IF(Upgrades!$T$18="Stellar Kinematics",POWER(Upgrades!$U$18,J262),1)*IF(Upgrades!$T$19="Stellar Kinematics",POWER(Upgrades!$U$19,K262),1)*IF(Upgrades!$T$20="Stellar Kinematics",POWER(Upgrades!$U$20,L262),1)*IF(Upgrades!$T$21="Stellar Kinematics",POWER(Upgrades!$U$21,M262),1))*POWER(Upgrades!$P$13,E262)*POWER(Upgrades!$P$14,F262)*POWER(Upgrades!$P$15,G262)*POWER(Upgrades!$P$16,H262)*POWER(Upgrades!$P$17,I262)*POWER(Upgrades!$P$18,J262)*POWER(Upgrades!$P$19,K262)*POWER(Upgrades!$P$20,L262)*POWER(Upgrades!$P$21,M262)*$F$6*60</f>
        <v/>
      </c>
      <c r="AB262" s="27">
        <f>(IF(F262=0,0,(Upgrades!$G$14+F262*Upgrades!$H$14)*POWER(Upgrades!$I$14,F262)))*(IF(Upgrades!$T$13="Local Bubble",POWER(Upgrades!$U$13,E262),1)*IF(Upgrades!$T$15="Local Bubble",POWER(Upgrades!$U$15,G262),1)*IF(Upgrades!$T$16="Local Bubble",POWER(Upgrades!$U$16,H262),1)*IF(Upgrades!$T$17="Local Bubble",POWER(Upgrades!$U$17,I262),1)*IF(Upgrades!$T$18="Local Bubble",POWER(Upgrades!$U$18,J262),1)*IF(Upgrades!$T$19="Local Bubble",POWER(Upgrades!$U$19,K262),1)*IF(Upgrades!$T$20="Local Bubble",POWER(Upgrades!$U$20,L262),1)*IF(Upgrades!$T$21="Local Bubble",POWER(Upgrades!$U$21,M262),1))*POWER(Upgrades!$P$13,E262)*POWER(Upgrades!$P$14,F262)*POWER(Upgrades!$P$15,G262)*POWER(Upgrades!$P$16,H262)*POWER(Upgrades!$P$17,I262)*POWER(Upgrades!$P$18,J262)*POWER(Upgrades!$P$19,K262)*POWER(Upgrades!$P$20,L262)*POWER(Upgrades!$P$21,M262)*$F$6*60</f>
        <v/>
      </c>
      <c r="AC262" s="27">
        <f>(IF(G262=0,0,(Upgrades!$J$15+G262*Upgrades!$K$15)*POWER(Upgrades!$L$15,G262)))*(IF(Upgrades!$T$13="Microlensing",POWER(Upgrades!$U$13,E262),1)*IF(Upgrades!$T$14="Microlensing",POWER(Upgrades!$U$14,F262),1)*IF(Upgrades!$T$16="Microlensing",POWER(Upgrades!$U$16,H262),1)*IF(Upgrades!$T$17="Microlensing",POWER(Upgrades!$U$17,I262),1)*IF(Upgrades!$T$18="Microlensing",POWER(Upgrades!$U$18,J262),1)*IF(Upgrades!$T$19="Microlensing",POWER(Upgrades!$U$19,K262),1)*IF(Upgrades!$T$20="Microlensing",POWER(Upgrades!$U$20,L262),1)*IF(Upgrades!$T$21="Microlensing",POWER(Upgrades!$U$21,M262),1))*POWER(Upgrades!$Q$13,E262)*POWER(Upgrades!$Q$14,F262)*POWER(Upgrades!$Q$15,G262)*POWER(Upgrades!$Q$16,H262)*POWER(Upgrades!$Q$17,I262)*POWER(Upgrades!$Q$18,J262)*POWER(Upgrades!$Q$19,K262)*POWER(Upgrades!$Q$20,L262)*POWER(Upgrades!$Q$21,M262)*$G$6*(Parameters!$B$10*Parameters!$B$11+Q262*60)</f>
        <v/>
      </c>
      <c r="AD262" s="27">
        <f>(IF(H262=0,0,(Upgrades!$M$16+H262*Upgrades!$N$16)*POWER(Upgrades!$O$16,H262)))*(IF(Upgrades!$T$13="Roche Lobe Overflow",POWER(Upgrades!$U$13,E262),1)*IF(Upgrades!$T$14="Roche Lobe Overflow",POWER(Upgrades!$U$14,F262),1)*IF(Upgrades!$T$15="Roche Lobe Overflow",POWER(Upgrades!$U$15,G262),1)*IF(Upgrades!$T$17="Roche Lobe Overflow",POWER(Upgrades!$U$17,I262),1)*IF(Upgrades!$T$18="Roche Lobe Overflow",POWER(Upgrades!$U$18,J262),1)*IF(Upgrades!$T$19="Roche Lobe Overflow",POWER(Upgrades!$U$19,K262),1)*IF(Upgrades!$T$20="Roche Lobe Overflow",POWER(Upgrades!$U$20,L262),1)*IF(Upgrades!$T$21="Roche Lobe Overflow",POWER(Upgrades!$U$21,M262),1))*POWER(Upgrades!$R$13,E262)*POWER(Upgrades!$R$14,F262)*POWER(Upgrades!$R$15,G262)*POWER(Upgrades!$R$16,H262)*POWER(Upgrades!$R$17,I262)*POWER(Upgrades!$R$18,J262)*POWER(Upgrades!$R$19,K262)*POWER(Upgrades!$R$20,L262)*POWER(Upgrades!$R$21,M262)*$H$6*O262*60</f>
        <v/>
      </c>
      <c r="AE262" s="27">
        <f>(IF(I262=0,0,(Upgrades!$G$17+I262*Upgrades!$H$17)*POWER(Upgrades!$I$17,I262)))*(IF(Upgrades!$T$13="Brown Dwarf",POWER(Upgrades!$U$13,E262),1)*IF(Upgrades!$T$14="Brown Dwarf",POWER(Upgrades!$U$14,F262),1)*IF(Upgrades!$T$15="Brown Dwarf",POWER(Upgrades!$U$15,G262),1)*IF(Upgrades!$T$16="Brown Dwarf",POWER(Upgrades!$U$16,H262),1)*IF(Upgrades!$T$18="Brown Dwarf",POWER(Upgrades!$U$18,J262),1)*IF(Upgrades!$T$19="Brown Dwarf",POWER(Upgrades!$U$19,K262),1)*IF(Upgrades!$T$20="Brown Dwarf",POWER(Upgrades!$U$20,L262),1)*IF(Upgrades!$T$21="Brown Dwarf",POWER(Upgrades!$U$21,M262),1))*POWER(Upgrades!$P$13,E262)*POWER(Upgrades!$P$14,F262)*POWER(Upgrades!$P$15,G262)*POWER(Upgrades!$P$16,H262)*POWER(Upgrades!$P$17,I262)*POWER(Upgrades!$P$18,J262)*POWER(Upgrades!$P$19,K262)*POWER(Upgrades!$P$20,L262)*POWER(Upgrades!$P$21,M262)*$F$6*60</f>
        <v/>
      </c>
      <c r="AF262" s="27" t="n">
        <v>0</v>
      </c>
      <c r="AG262" s="27" t="n">
        <v>0</v>
      </c>
      <c r="AH262" s="27" t="n">
        <v>0</v>
      </c>
      <c r="AI262" s="27">
        <f>(IF(M262=0,0,(Upgrades!$G$21+M262*Upgrades!$H$21)*POWER(Upgrades!$I$21,M262)))*(IF(Upgrades!$T$13="Moving Group",POWER(Upgrades!$U$13,E262),1)*IF(Upgrades!$T$14="Moving Group",POWER(Upgrades!$U$14,F262),1)*IF(Upgrades!$T$15="Moving Group",POWER(Upgrades!$U$15,G262),1)*IF(Upgrades!$T$16="Moving Group",POWER(Upgrades!$U$16,H262),1)*IF(Upgrades!$T$17="Moving Group",POWER(Upgrades!$U$17,I262),1)*IF(Upgrades!$T$18="Moving Group",POWER(Upgrades!$U$18,J262),1)*IF(Upgrades!$T$19="Moving Group",POWER(Upgrades!$U$19,K262),1)*IF(Upgrades!$T$20="Moving Group",POWER(Upgrades!$U$20,L262),1))*POWER(Upgrades!$P$13,E262)*POWER(Upgrades!$P$14,F262)*POWER(Upgrades!$P$15,G262)*POWER(Upgrades!$P$16,H262)*POWER(Upgrades!$P$17,I262)*POWER(Upgrades!$P$18,J262)*POWER(Upgrades!$P$19,K262)*POWER(Upgrades!$P$20,L262)*POWER(Upgrades!$P$21,M262)*$F$6*60</f>
        <v/>
      </c>
      <c r="AJ262" s="27">
        <f>$C$6*60</f>
        <v/>
      </c>
      <c r="AK262" s="22">
        <f>IF(E262&gt;=Upgrades!$E$13,"",Upgrades!$C$13*POWER(Upgrades!$D$13,E262))</f>
        <v/>
      </c>
      <c r="AL262" s="22">
        <f>IF(F262&gt;=Upgrades!$E$14,"",Upgrades!$C$14*POWER(Upgrades!$D$14,F262))</f>
        <v/>
      </c>
      <c r="AM262" s="22">
        <f>IF(G262&gt;=Upgrades!$E$15,"",Upgrades!$C$15*POWER(Upgrades!$D$15,G262))</f>
        <v/>
      </c>
      <c r="AN262" s="22">
        <f>IF(H262&gt;=Upgrades!$E$16,"",Upgrades!$C$16*POWER(Upgrades!$D$16,H262))</f>
        <v/>
      </c>
      <c r="AO262" s="22">
        <f>IF(I262&gt;=Upgrades!$E$17,"",Upgrades!$C$17*POWER(Upgrades!$D$17,I262))</f>
        <v/>
      </c>
      <c r="AP262" s="22">
        <f>IF(J262&gt;=Upgrades!$E$18,"",Upgrades!$C$18*POWER(Upgrades!$D$18,J262))</f>
        <v/>
      </c>
      <c r="AQ262" s="22">
        <f>IF(K262&gt;=Upgrades!$E$19,"",Upgrades!$C$19*POWER(Upgrades!$D$19,K262))</f>
        <v/>
      </c>
      <c r="AR262" s="22">
        <f>IF(L262&gt;=Upgrades!$E$20,"",Upgrades!$C$20*POWER(Upgrades!$D$20,L262))</f>
        <v/>
      </c>
      <c r="AS262" s="22">
        <f>IF(M262&gt;=Upgrades!$E$21,"",Upgrades!$C$21*POWER(Upgrades!$D$21,M262))</f>
        <v/>
      </c>
      <c r="AT262" s="26">
        <f>IF(AND(D262&gt;=Parameters!$B$18*Parameters!$B$19,(I262&gt;=Upgrades!$E$17)*(M262&gt;=Upgrades!$E$21)=1,N262=0),1,"")</f>
        <v/>
      </c>
      <c r="AU262" s="26">
        <f>IF(AND(D262&gt;=Parameters!$B$18*Parameters!$B$19,N262=0),1,"")</f>
        <v/>
      </c>
      <c r="AV262" s="22">
        <f>MIN(IF(ISNUMBER(AP262),AP262,9E15),IF(ISNUMBER(AQ262),AQ262,9E15),IF(ISNUMBER(AR262),AR262,9E15),IF(ISNUMBER(AS262),AS262,9E15))</f>
        <v/>
      </c>
      <c r="AW262" s="22">
        <f>MIN(IF(ISNUMBER(AK262),AK262,9E15),IF(ISNUMBER(AL262),AL262,9E15),IF(ISNUMBER(AM262),AM262,9E15),IF(ISNUMBER(AN262),AN262,9E15),IF(ISNUMBER(AO262),AO262,9E15))</f>
        <v/>
      </c>
      <c r="AX262" s="29">
        <f>IF(BD262&gt;Parameters!$B$21*(MAX(IF(AND(NOT(AND(AU262=1,AT262&lt;&gt;1)),ISNUMBER(AK262),AK262&lt;=(C262+T262)),AY262,0),IF(AND(NOT(AND(AU262=1,AT262&lt;&gt;1)),ISNUMBER(AL262),AL262&lt;=(C262+T262)),AZ262,0),IF(AND(NOT(AND(AU262=1,AT262&lt;&gt;1)),ISNUMBER(AM262),AM262&lt;=(C262+T262)),BA262,0),IF(AND(NOT(AND(AU262=1,AT262&lt;&gt;1)),ISNUMBER(AN262),AN262&lt;=(C262+T262)),BB262,0),IF(AND(ISNUMBER(AO262),AO262&lt;=(C262+T262)),BC262,0))),TRUE,FALSE)</f>
        <v/>
      </c>
      <c r="AY262" s="32">
        <f>IFERROR(Upgrades!$H$13*(POWER(Upgrades!$P$13,E262)*POWER(Upgrades!$P$14,F262)*POWER(Upgrades!$P$15,G262)*POWER(Upgrades!$P$16,H262)*POWER(Upgrades!$P$17,I262)*POWER(Upgrades!$P$18,J262)*POWER(Upgrades!$P$19,K262)*POWER(Upgrades!$P$20,L262)*POWER(Upgrades!$P$21,M262))*(IF(Upgrades!$T$14="Stellar Kinematics",POWER(Upgrades!$U$14,F262),1)*IF(Upgrades!$T$15="Stellar Kinematics",POWER(Upgrades!$U$15,G262),1)*IF(Upgrades!$T$16="Stellar Kinematics",POWER(Upgrades!$U$16,H262),1)*IF(Upgrades!$T$17="Stellar Kinematics",POWER(Upgrades!$U$17,I262),1)*IF(Upgrades!$T$18="Stellar Kinematics",POWER(Upgrades!$U$18,J262),1)*IF(Upgrades!$T$19="Stellar Kinematics",POWER(Upgrades!$U$19,K262),1)*IF(Upgrades!$T$20="Stellar Kinematics",POWER(Upgrades!$U$20,L262),1)*IF(Upgrades!$T$21="Stellar Kinematics",POWER(Upgrades!$U$21,M262),1))*$F$6/AK262,0)</f>
        <v/>
      </c>
      <c r="AZ262" s="32">
        <f>IFERROR(Upgrades!$H$14*(POWER(Upgrades!$P$13,E262)*POWER(Upgrades!$P$14,F262)*POWER(Upgrades!$P$15,G262)*POWER(Upgrades!$P$16,H262)*POWER(Upgrades!$P$17,I262)*POWER(Upgrades!$P$18,J262)*POWER(Upgrades!$P$19,K262)*POWER(Upgrades!$P$20,L262)*POWER(Upgrades!$P$21,M262))*(IF(Upgrades!$T$13="Local Bubble",POWER(Upgrades!$U$13,E262),1)*IF(Upgrades!$T$15="Local Bubble",POWER(Upgrades!$U$15,G262),1)*IF(Upgrades!$T$16="Local Bubble",POWER(Upgrades!$U$16,H262),1)*IF(Upgrades!$T$17="Local Bubble",POWER(Upgrades!$U$17,I262),1)*IF(Upgrades!$T$18="Local Bubble",POWER(Upgrades!$U$18,J262),1)*IF(Upgrades!$T$19="Local Bubble",POWER(Upgrades!$U$19,K262),1)*IF(Upgrades!$T$20="Local Bubble",POWER(Upgrades!$U$20,L262),1)*IF(Upgrades!$T$21="Local Bubble",POWER(Upgrades!$U$21,M262),1))*$F$6/AL262,0)</f>
        <v/>
      </c>
      <c r="BA262" s="32">
        <f>IFERROR(Upgrades!$K$15*(POWER(Upgrades!$Q$13,E262)*POWER(Upgrades!$Q$14,F262)*POWER(Upgrades!$Q$15,G262)*POWER(Upgrades!$Q$16,H262)*POWER(Upgrades!$Q$17,I262)*POWER(Upgrades!$Q$18,J262)*POWER(Upgrades!$Q$19,K262)*POWER(Upgrades!$Q$20,L262)*POWER(Upgrades!$Q$21,M262))*(IF(Upgrades!$T$13="Microlensing",POWER(Upgrades!$U$13,E262),1)*IF(Upgrades!$T$14="Microlensing",POWER(Upgrades!$U$14,F262),1)*IF(Upgrades!$T$16="Microlensing",POWER(Upgrades!$U$16,H262),1)*IF(Upgrades!$T$17="Microlensing",POWER(Upgrades!$U$17,I262),1)*IF(Upgrades!$T$18="Microlensing",POWER(Upgrades!$U$18,J262),1)*IF(Upgrades!$T$19="Microlensing",POWER(Upgrades!$U$19,K262),1)*IF(Upgrades!$T$20="Microlensing",POWER(Upgrades!$U$20,L262),1)*IF(Upgrades!$T$21="Microlensing",POWER(Upgrades!$U$21,M262),1))*$G$6*(Parameters!$B$10/60*Parameters!$B$11+Q262)/AM262,0)</f>
        <v/>
      </c>
      <c r="BB262" s="32">
        <f>IFERROR((Upgrades!$N$16*(POWER(Upgrades!$R$13,E262)*POWER(Upgrades!$R$14,F262)*POWER(Upgrades!$R$15,G262)*POWER(Upgrades!$R$16,H262)*POWER(Upgrades!$R$17,I262)*POWER(Upgrades!$R$18,J262)*POWER(Upgrades!$R$19,K262)*POWER(Upgrades!$R$20,L262)*POWER(Upgrades!$R$21,M262))*(IF(Upgrades!$T$13="Roche Lobe Overflow",POWER(Upgrades!$U$13,E262),1)*IF(Upgrades!$T$14="Roche Lobe Overflow",POWER(Upgrades!$U$14,F262),1)*IF(Upgrades!$T$15="Roche Lobe Overflow",POWER(Upgrades!$U$15,G262),1)*IF(Upgrades!$T$17="Roche Lobe Overflow",POWER(Upgrades!$U$17,I262),1)*IF(Upgrades!$T$18="Roche Lobe Overflow",POWER(Upgrades!$U$18,J262),1)*IF(Upgrades!$T$19="Roche Lobe Overflow",POWER(Upgrades!$U$19,K262),1)*IF(Upgrades!$T$20="Roche Lobe Overflow",POWER(Upgrades!$U$20,L262),1)*IF(Upgrades!$T$21="Roche Lobe Overflow",POWER(Upgrades!$U$21,M262),1))*$H$6*O262+((IF(F262=0,0,(Upgrades!$G$14+F262*Upgrades!$H$14)*POWER(Upgrades!$I$14,F262)))*(IF(Upgrades!$T$13="Local Bubble",POWER(Upgrades!$U$13,E262),1)*IF(Upgrades!$T$15="Local Bubble",POWER(Upgrades!$U$15,G262),1)*IF(Upgrades!$T$16="Local Bubble",POWER(Upgrades!$U$16,H262),1)*IF(Upgrades!$T$17="Local Bubble",POWER(Upgrades!$U$17,I262),1)*IF(Upgrades!$T$18="Local Bubble",POWER(Upgrades!$U$18,J262),1)*IF(Upgrades!$T$19="Local Bubble",POWER(Upgrades!$U$19,K262),1)*IF(Upgrades!$T$20="Local Bubble",POWER(Upgrades!$U$20,L262),1)*IF(Upgrades!$T$21="Local Bubble",POWER(Upgrades!$U$21,M262),1))*POWER(Upgrades!$P$13,E262)*POWER(Upgrades!$P$14,F262)*POWER(Upgrades!$P$15,G262)*POWER(Upgrades!$P$16,H262)*POWER(Upgrades!$P$17,I262)*POWER(Upgrades!$P$18,J262)*POWER(Upgrades!$P$19,K262)*POWER(Upgrades!$P$20,L262)*POWER(Upgrades!$P$21,M262)*$F$6)*0.05)/AN262,0)</f>
        <v/>
      </c>
      <c r="BC262" s="32">
        <f>IFERROR((Upgrades!$H$17*(POWER(Upgrades!$P$13,E262)*POWER(Upgrades!$P$14,F262)*POWER(Upgrades!$P$15,G262)*POWER(Upgrades!$P$16,H262)*POWER(Upgrades!$P$17,I262)*POWER(Upgrades!$P$18,J262)*POWER(Upgrades!$P$19,K262)*POWER(Upgrades!$P$20,L262)*POWER(Upgrades!$P$21,M262))*(IF(Upgrades!$T$13="Brown Dwarf",POWER(Upgrades!$U$13,E262),1)*IF(Upgrades!$T$14="Brown Dwarf",POWER(Upgrades!$U$14,F262),1)*IF(Upgrades!$T$15="Brown Dwarf",POWER(Upgrades!$U$15,G262),1)*IF(Upgrades!$T$16="Brown Dwarf",POWER(Upgrades!$U$16,H262),1)*IF(Upgrades!$T$18="Brown Dwarf",POWER(Upgrades!$U$18,J262),1)*IF(Upgrades!$T$19="Brown Dwarf",POWER(Upgrades!$U$19,K262),1)*IF(Upgrades!$T$20="Brown Dwarf",POWER(Upgrades!$U$20,L262),1)*IF(Upgrades!$T$21="Brown Dwarf",POWER(Upgrades!$U$21,M262),1))*$F$6+(((IF(H262=0,0,(Upgrades!$M$16+H262*Upgrades!$N$16)*POWER(Upgrades!$O$16,H262)))*(IF(Upgrades!$T$13="Roche Lobe Overflow",POWER(Upgrades!$U$13,E262),1)*IF(Upgrades!$T$14="Roche Lobe Overflow",POWER(Upgrades!$U$14,F262),1)*IF(Upgrades!$T$15="Roche Lobe Overflow",POWER(Upgrades!$U$15,G262),1)*IF(Upgrades!$T$17="Roche Lobe Overflow",POWER(Upgrades!$U$17,I262),1)*IF(Upgrades!$T$18="Roche Lobe Overflow",POWER(Upgrades!$U$18,J262),1)*IF(Upgrades!$T$19="Roche Lobe Overflow",POWER(Upgrades!$U$19,K262),1)*IF(Upgrades!$T$20="Roche Lobe Overflow",POWER(Upgrades!$U$20,L262),1)*IF(Upgrades!$T$21="Roche Lobe Overflow",POWER(Upgrades!$U$21,M262),1))*POWER(Upgrades!$R$13,E262)*POWER(Upgrades!$R$14,F262)*POWER(Upgrades!$R$15,G262)*POWER(Upgrades!$R$16,H262)*POWER(Upgrades!$R$17,I262)*POWER(Upgrades!$R$18,J262)*POWER(Upgrades!$R$19,K262)*POWER(Upgrades!$R$20,L262)*POWER(Upgrades!$R$21,M262)*$H$6)*O262)*0.10)/AO262,0)</f>
        <v/>
      </c>
      <c r="BD262" s="32">
        <f>MAX(IF(J262&gt;0,0,IFERROR(0.5*((IF(G262=0,0,(Upgrades!$J$15+G262*Upgrades!$K$15)*POWER(Upgrades!$L$15,G262)))*(IF(Upgrades!$T$13="Microlensing",POWER(Upgrades!$U$13,E262),1)*IF(Upgrades!$T$14="Microlensing",POWER(Upgrades!$U$14,F262),1)*IF(Upgrades!$T$16="Microlensing",POWER(Upgrades!$U$16,H262),1)*IF(Upgrades!$T$17="Microlensing",POWER(Upgrades!$U$17,I262),1)*IF(Upgrades!$T$18="Microlensing",POWER(Upgrades!$U$18,J262),1)*IF(Upgrades!$T$19="Microlensing",POWER(Upgrades!$U$19,K262),1)*IF(Upgrades!$T$20="Microlensing",POWER(Upgrades!$U$20,L262),1)*IF(Upgrades!$T$21="Microlensing",POWER(Upgrades!$U$21,M262),1))*(POWER(Upgrades!$Q$13,E262)*POWER(Upgrades!$Q$14,F262)*POWER(Upgrades!$Q$15,G262)*POWER(Upgrades!$Q$16,H262)*POWER(Upgrades!$Q$17,I262)*POWER(Upgrades!$Q$18,J262)*POWER(Upgrades!$Q$19,K262)*POWER(Upgrades!$Q$20,L262)*POWER(Upgrades!$Q$21,M262))*$G$6*(Parameters!$B$10/60*Parameters!$B$11+Q262))/Upgrades!$C$18,0)),IF(K262&gt;0,0,IFERROR(0.30*P262/Upgrades!$C$19,0)),IF(L262&gt;0,0,IFERROR(0.0001/Upgrades!$C$20,0)),IF(M262&gt;0,0,IFERROR((6.0*(POWER(Upgrades!$P$13,E262)*POWER(Upgrades!$P$14,F262)*POWER(Upgrades!$P$15,G262)*POWER(Upgrades!$P$16,H262)*POWER(Upgrades!$P$17,I262)*POWER(Upgrades!$P$18,J262)*POWER(Upgrades!$P$19,K262)*POWER(Upgrades!$P$20,L262)*POWER(Upgrades!$P$21,M262))*$F$6+0.20*O262*(Parameters!$B$10/60*Parameters!$B$11+Q262))/Upgrades!$C$21,0)),IF(AND(ISNUMBER(AK262),AK262&gt;(C262+T262)),AY262,0),IF(AND(ISNUMBER(AL262),AL262&gt;(C262+T262)),AZ262,0),IF(AND(ISNUMBER(AM262),AM262&gt;(C262+T262)),BA262,0),IF(AND(ISNUMBER(AN262),AN262&gt;(C262+T262)),BB262,0),IF(AND(ISNUMBER(AO262),AO262&gt;(C262+T262)),BC262,0))</f>
        <v/>
      </c>
      <c r="BE262" s="29">
        <f>IF(AT262=1,"transition",IF(MIN(IF(AND(J262=0,ISNUMBER(AP262),AP262&lt;=(C262+T262)),AP262,9E15),IF(AND(K262=0,ISNUMBER(AQ262),AQ262&lt;=(C262+T262)),AQ262,9E15),IF(AND(L262=0,ISNUMBER(AR262),AR262&lt;=(C262+T262)),AR262,9E15),IF(AND(M262=0,ISNUMBER(AS262),AS262&lt;=(C262+T262)),AS262,9E15))&lt;9E15,IF(AND(AND(J262=0,ISNUMBER(AP262),AP262&lt;=(C262+T262)),AP262=MIN(IF(AND(J262=0,ISNUMBER(AP262),AP262&lt;=(C262+T262)),AP262,9E15),IF(AND(K262=0,ISNUMBER(AQ262),AQ262&lt;=(C262+T262)),AQ262,9E15),IF(AND(L262=0,ISNUMBER(AR262),AR262&lt;=(C262+T262)),AR262,9E15),IF(AND(M262=0,ISNUMBER(AS262),AS262&lt;=(C262+T262)),AS262,9E15))),"BiP",IF(AND(AND(K262=0,ISNUMBER(AQ262),AQ262&lt;=(C262+T262)),AQ262=MIN(IF(AND(J262=0,ISNUMBER(AP262),AP262&lt;=(C262+T262)),AP262,9E15),IF(AND(K262=0,ISNUMBER(AQ262),AQ262&lt;=(C262+T262)),AQ262,9E15),IF(AND(L262=0,ISNUMBER(AR262),AR262&lt;=(C262+T262)),AR262,9E15),IF(AND(M262=0,ISNUMBER(AS262),AS262&lt;=(C262+T262)),AS262,9E15))),"PV",IF(AND(AND(L262=0,ISNUMBER(AR262),AR262&lt;=(C262+T262)),AR262=MIN(IF(AND(J262=0,ISNUMBER(AP262),AP262&lt;=(C262+T262)),AP262,9E15),IF(AND(K262=0,ISNUMBER(AQ262),AQ262&lt;=(C262+T262)),AQ262,9E15),IF(AND(L262=0,ISNUMBER(AR262),AR262&lt;=(C262+T262)),AR262,9E15),IF(AND(M262=0,ISNUMBER(AS262),AS262&lt;=(C262+T262)),AS262,9E15))),"OC","MG"))),IF(AX262=TRUE,"",IF(MAX(IF(AND(NOT(AND(AU262=1,AT262&lt;&gt;1)),ISNUMBER(AK262),AK262&lt;=(C262+T262)),AY262,0),IF(AND(NOT(AND(AU262=1,AT262&lt;&gt;1)),ISNUMBER(AL262),AL262&lt;=(C262+T262)),AZ262,0),IF(AND(NOT(AND(AU262=1,AT262&lt;&gt;1)),ISNUMBER(AM262),AM262&lt;=(C262+T262)),BA262,0),IF(AND(NOT(AND(AU262=1,AT262&lt;&gt;1)),ISNUMBER(AN262),AN262&lt;=(C262+T262)),BB262,0),IF(AND(ISNUMBER(AO262),AO262&lt;=(C262+T262)),BC262,0))&lt;=0,"",IF(AND(IF(AND(NOT(AND(AU262=1,AT262&lt;&gt;1)),ISNUMBER(AK262),AK262&lt;=(C262+T262)),AY262,0)&gt;0,IF(AND(NOT(AND(AU262=1,AT262&lt;&gt;1)),ISNUMBER(AK262),AK262&lt;=(C262+T262)),AY262,0)=MAX(IF(AND(NOT(AND(AU262=1,AT262&lt;&gt;1)),ISNUMBER(AK262),AK262&lt;=(C262+T262)),AY262,0),IF(AND(NOT(AND(AU262=1,AT262&lt;&gt;1)),ISNUMBER(AL262),AL262&lt;=(C262+T262)),AZ262,0),IF(AND(NOT(AND(AU262=1,AT262&lt;&gt;1)),ISNUMBER(AM262),AM262&lt;=(C262+T262)),BA262,0),IF(AND(NOT(AND(AU262=1,AT262&lt;&gt;1)),ISNUMBER(AN262),AN262&lt;=(C262+T262)),BB262,0),IF(AND(ISNUMBER(AO262),AO262&lt;=(C262+T262)),BC262,0))),"SK",IF(AND(IF(AND(NOT(AND(AU262=1,AT262&lt;&gt;1)),ISNUMBER(AL262),AL262&lt;=(C262+T262)),AZ262,0)&gt;0,IF(AND(NOT(AND(AU262=1,AT262&lt;&gt;1)),ISNUMBER(AL262),AL262&lt;=(C262+T262)),AZ262,0)=MAX(IF(AND(NOT(AND(AU262=1,AT262&lt;&gt;1)),ISNUMBER(AK262),AK262&lt;=(C262+T262)),AY262,0),IF(AND(NOT(AND(AU262=1,AT262&lt;&gt;1)),ISNUMBER(AL262),AL262&lt;=(C262+T262)),AZ262,0),IF(AND(NOT(AND(AU262=1,AT262&lt;&gt;1)),ISNUMBER(AM262),AM262&lt;=(C262+T262)),BA262,0),IF(AND(NOT(AND(AU262=1,AT262&lt;&gt;1)),ISNUMBER(AN262),AN262&lt;=(C262+T262)),BB262,0),IF(AND(ISNUMBER(AO262),AO262&lt;=(C262+T262)),BC262,0))),"LB",IF(AND(IF(AND(NOT(AND(AU262=1,AT262&lt;&gt;1)),ISNUMBER(AM262),AM262&lt;=(C262+T262)),BA262,0)&gt;0,IF(AND(NOT(AND(AU262=1,AT262&lt;&gt;1)),ISNUMBER(AM262),AM262&lt;=(C262+T262)),BA262,0)=MAX(IF(AND(NOT(AND(AU262=1,AT262&lt;&gt;1)),ISNUMBER(AK262),AK262&lt;=(C262+T262)),AY262,0),IF(AND(NOT(AND(AU262=1,AT262&lt;&gt;1)),ISNUMBER(AL262),AL262&lt;=(C262+T262)),AZ262,0),IF(AND(NOT(AND(AU262=1,AT262&lt;&gt;1)),ISNUMBER(AM262),AM262&lt;=(C262+T262)),BA262,0),IF(AND(NOT(AND(AU262=1,AT262&lt;&gt;1)),ISNUMBER(AN262),AN262&lt;=(C262+T262)),BB262,0),IF(AND(ISNUMBER(AO262),AO262&lt;=(C262+T262)),BC262,0))),"ML",IF(AND(IF(AND(NOT(AND(AU262=1,AT262&lt;&gt;1)),ISNUMBER(AN262),AN262&lt;=(C262+T262)),BB262,0)&gt;0,IF(AND(NOT(AND(AU262=1,AT262&lt;&gt;1)),ISNUMBER(AN262),AN262&lt;=(C262+T262)),BB262,0)=MAX(IF(AND(NOT(AND(AU262=1,AT262&lt;&gt;1)),ISNUMBER(AK262),AK262&lt;=(C262+T262)),AY262,0),IF(AND(NOT(AND(AU262=1,AT262&lt;&gt;1)),ISNUMBER(AL262),AL262&lt;=(C262+T262)),AZ262,0),IF(AND(NOT(AND(AU262=1,AT262&lt;&gt;1)),ISNUMBER(AM262),AM262&lt;=(C262+T262)),BA262,0),IF(AND(NOT(AND(AU262=1,AT262&lt;&gt;1)),ISNUMBER(AN262),AN262&lt;=(C262+T262)),BB262,0),IF(AND(ISNUMBER(AO262),AO262&lt;=(C262+T262)),BC262,0))),"RLO","BD"))))))))</f>
        <v/>
      </c>
    </row>
    <row r="263">
      <c r="A263" s="26" t="n">
        <v>252</v>
      </c>
      <c r="B263" s="27">
        <f>A263*10/60</f>
        <v/>
      </c>
      <c r="C263" s="22">
        <f>X262</f>
        <v/>
      </c>
      <c r="D263" s="27">
        <f>D262+W262</f>
        <v/>
      </c>
      <c r="E263" s="26">
        <f>E262+IF(U262="SK",1,0)</f>
        <v/>
      </c>
      <c r="F263" s="26">
        <f>F262+IF(U262="LB",1,0)</f>
        <v/>
      </c>
      <c r="G263" s="26">
        <f>G262+IF(U262="ML",1,0)</f>
        <v/>
      </c>
      <c r="H263" s="26">
        <f>H262+IF(U262="RLO",1,0)</f>
        <v/>
      </c>
      <c r="I263" s="26">
        <f>I262+IF(U262="BD",1,0)</f>
        <v/>
      </c>
      <c r="J263" s="26">
        <f>MAX(J262,IF(U262="BiP",1,0))</f>
        <v/>
      </c>
      <c r="K263" s="26">
        <f>MAX(K262,IF(U262="PV",1,0))</f>
        <v/>
      </c>
      <c r="L263" s="26">
        <f>MAX(L262,IF(U262="OC",1,0))</f>
        <v/>
      </c>
      <c r="M263" s="26">
        <f>MAX(M262,IF(U262="MG",1,0))</f>
        <v/>
      </c>
      <c r="N263" s="26">
        <f>MAX(N262,IF(U262="transition",1,0))</f>
        <v/>
      </c>
      <c r="O263" s="28">
        <f>(Parameters!$B$9+(IF(E263=0,0,(Upgrades!$J$13+E263*Upgrades!$K$13)*POWER(Upgrades!$L$13,E263)))*(IF(Upgrades!$T$14="Stellar Kinematics",POWER(Upgrades!$U$14,F263),1)*IF(Upgrades!$T$15="Stellar Kinematics",POWER(Upgrades!$U$15,G263),1)*IF(Upgrades!$T$16="Stellar Kinematics",POWER(Upgrades!$U$16,H263),1)*IF(Upgrades!$T$17="Stellar Kinematics",POWER(Upgrades!$U$17,I263),1)*IF(Upgrades!$T$18="Stellar Kinematics",POWER(Upgrades!$U$18,J263),1)*IF(Upgrades!$T$19="Stellar Kinematics",POWER(Upgrades!$U$19,K263),1)*IF(Upgrades!$T$20="Stellar Kinematics",POWER(Upgrades!$U$20,L263),1)*IF(Upgrades!$T$21="Stellar Kinematics",POWER(Upgrades!$U$21,M263),1))+(IF(F263=0,0,(Upgrades!$J$14+F263*Upgrades!$K$14)*POWER(Upgrades!$L$14,F263)))*(IF(Upgrades!$T$13="Local Bubble",POWER(Upgrades!$U$13,E263),1)*IF(Upgrades!$T$15="Local Bubble",POWER(Upgrades!$U$15,G263),1)*IF(Upgrades!$T$16="Local Bubble",POWER(Upgrades!$U$16,H263),1)*IF(Upgrades!$T$17="Local Bubble",POWER(Upgrades!$U$17,I263),1)*IF(Upgrades!$T$18="Local Bubble",POWER(Upgrades!$U$18,J263),1)*IF(Upgrades!$T$19="Local Bubble",POWER(Upgrades!$U$19,K263),1)*IF(Upgrades!$T$20="Local Bubble",POWER(Upgrades!$U$20,L263),1)*IF(Upgrades!$T$21="Local Bubble",POWER(Upgrades!$U$21,M263),1))+(IF(G263=0,0,(Upgrades!$J$15+G263*Upgrades!$K$15)*POWER(Upgrades!$L$15,G263)))*(IF(Upgrades!$T$13="Microlensing",POWER(Upgrades!$U$13,E263),1)*IF(Upgrades!$T$14="Microlensing",POWER(Upgrades!$U$14,F263),1)*IF(Upgrades!$T$16="Microlensing",POWER(Upgrades!$U$16,H263),1)*IF(Upgrades!$T$17="Microlensing",POWER(Upgrades!$U$17,I263),1)*IF(Upgrades!$T$18="Microlensing",POWER(Upgrades!$U$18,J263),1)*IF(Upgrades!$T$19="Microlensing",POWER(Upgrades!$U$19,K263),1)*IF(Upgrades!$T$20="Microlensing",POWER(Upgrades!$U$20,L263),1)*IF(Upgrades!$T$21="Microlensing",POWER(Upgrades!$U$21,M263),1))+(IF(H263=0,0,(Upgrades!$J$16+H263*Upgrades!$K$16)*POWER(Upgrades!$L$16,H263)))*(IF(Upgrades!$T$13="Roche Lobe Overflow",POWER(Upgrades!$U$13,E263),1)*IF(Upgrades!$T$14="Roche Lobe Overflow",POWER(Upgrades!$U$14,F263),1)*IF(Upgrades!$T$15="Roche Lobe Overflow",POWER(Upgrades!$U$15,G263),1)*IF(Upgrades!$T$17="Roche Lobe Overflow",POWER(Upgrades!$U$17,I263),1)*IF(Upgrades!$T$18="Roche Lobe Overflow",POWER(Upgrades!$U$18,J263),1)*IF(Upgrades!$T$19="Roche Lobe Overflow",POWER(Upgrades!$U$19,K263),1)*IF(Upgrades!$T$20="Roche Lobe Overflow",POWER(Upgrades!$U$20,L263),1)*IF(Upgrades!$T$21="Roche Lobe Overflow",POWER(Upgrades!$U$21,M263),1))+(IF(I263=0,0,(Upgrades!$J$17+I263*Upgrades!$K$17)*POWER(Upgrades!$L$17,I263)))*(IF(Upgrades!$T$13="Brown Dwarf",POWER(Upgrades!$U$13,E263),1)*IF(Upgrades!$T$14="Brown Dwarf",POWER(Upgrades!$U$14,F263),1)*IF(Upgrades!$T$15="Brown Dwarf",POWER(Upgrades!$U$15,G263),1)*IF(Upgrades!$T$16="Brown Dwarf",POWER(Upgrades!$U$16,H263),1)*IF(Upgrades!$T$18="Brown Dwarf",POWER(Upgrades!$U$18,J263),1)*IF(Upgrades!$T$19="Brown Dwarf",POWER(Upgrades!$U$19,K263),1)*IF(Upgrades!$T$20="Brown Dwarf",POWER(Upgrades!$U$20,L263),1)*IF(Upgrades!$T$21="Brown Dwarf",POWER(Upgrades!$U$21,M263),1))+(IF(J263=0,0,(Upgrades!$J$18+J263*Upgrades!$K$18)*POWER(Upgrades!$L$18,J263)))*(IF(Upgrades!$T$13="Binary Partner",POWER(Upgrades!$U$13,E263),1)*IF(Upgrades!$T$14="Binary Partner",POWER(Upgrades!$U$14,F263),1)*IF(Upgrades!$T$15="Binary Partner",POWER(Upgrades!$U$15,G263),1)*IF(Upgrades!$T$16="Binary Partner",POWER(Upgrades!$U$16,H263),1)*IF(Upgrades!$T$17="Binary Partner",POWER(Upgrades!$U$17,I263),1)*IF(Upgrades!$T$19="Binary Partner",POWER(Upgrades!$U$19,K263),1)*IF(Upgrades!$T$20="Binary Partner",POWER(Upgrades!$U$20,L263),1)*IF(Upgrades!$T$21="Binary Partner",POWER(Upgrades!$U$21,M263),1))+(IF(K263=0,0,(Upgrades!$J$19+K263*Upgrades!$K$19)*POWER(Upgrades!$L$19,K263)))*(IF(Upgrades!$T$13="Peculiar Velocity",POWER(Upgrades!$U$13,E263),1)*IF(Upgrades!$T$14="Peculiar Velocity",POWER(Upgrades!$U$14,F263),1)*IF(Upgrades!$T$15="Peculiar Velocity",POWER(Upgrades!$U$15,G263),1)*IF(Upgrades!$T$16="Peculiar Velocity",POWER(Upgrades!$U$16,H263),1)*IF(Upgrades!$T$17="Peculiar Velocity",POWER(Upgrades!$U$17,I263),1)*IF(Upgrades!$T$18="Peculiar Velocity",POWER(Upgrades!$U$18,J263),1)*IF(Upgrades!$T$20="Peculiar Velocity",POWER(Upgrades!$U$20,L263),1)*IF(Upgrades!$T$21="Peculiar Velocity",POWER(Upgrades!$U$21,M263),1))+(IF(L263=0,0,(Upgrades!$J$20+L263*Upgrades!$K$20)*POWER(Upgrades!$L$20,L263)))*(IF(Upgrades!$T$13="Open Cluster",POWER(Upgrades!$U$13,E263),1)*IF(Upgrades!$T$14="Open Cluster",POWER(Upgrades!$U$14,F263),1)*IF(Upgrades!$T$15="Open Cluster",POWER(Upgrades!$U$15,G263),1)*IF(Upgrades!$T$16="Open Cluster",POWER(Upgrades!$U$16,H263),1)*IF(Upgrades!$T$17="Open Cluster",POWER(Upgrades!$U$17,I263),1)*IF(Upgrades!$T$18="Open Cluster",POWER(Upgrades!$U$18,J263),1)*IF(Upgrades!$T$19="Open Cluster",POWER(Upgrades!$U$19,K263),1)*IF(Upgrades!$T$21="Open Cluster",POWER(Upgrades!$U$21,M263),1))+(IF(M263=0,0,(Upgrades!$J$21+M263*Upgrades!$K$21)*POWER(Upgrades!$L$21,M263)))*(IF(Upgrades!$T$13="Moving Group",POWER(Upgrades!$U$13,E263),1)*IF(Upgrades!$T$14="Moving Group",POWER(Upgrades!$U$14,F263),1)*IF(Upgrades!$T$15="Moving Group",POWER(Upgrades!$U$15,G263),1)*IF(Upgrades!$T$16="Moving Group",POWER(Upgrades!$U$16,H263),1)*IF(Upgrades!$T$17="Moving Group",POWER(Upgrades!$U$17,I263),1)*IF(Upgrades!$T$18="Moving Group",POWER(Upgrades!$U$18,J263),1)*IF(Upgrades!$T$19="Moving Group",POWER(Upgrades!$U$19,K263),1)*IF(Upgrades!$T$20="Moving Group",POWER(Upgrades!$U$20,L263),1)))*POWER(Upgrades!$Q$13,E263)*POWER(Upgrades!$Q$14,F263)*POWER(Upgrades!$Q$15,G263)*POWER(Upgrades!$Q$16,H263)*POWER(Upgrades!$Q$17,I263)*POWER(Upgrades!$Q$18,J263)*POWER(Upgrades!$Q$19,K263)*POWER(Upgrades!$Q$20,L263)*POWER(Upgrades!$Q$21,M263)*$G$6+$D$6</f>
        <v/>
      </c>
      <c r="P263" s="28">
        <f>((IF(E263=0,0,(Upgrades!$G$13+E263*Upgrades!$H$13)*POWER(Upgrades!$I$13,E263)))*(IF(Upgrades!$T$14="Stellar Kinematics",POWER(Upgrades!$U$14,F263),1)*IF(Upgrades!$T$15="Stellar Kinematics",POWER(Upgrades!$U$15,G263),1)*IF(Upgrades!$T$16="Stellar Kinematics",POWER(Upgrades!$U$16,H263),1)*IF(Upgrades!$T$17="Stellar Kinematics",POWER(Upgrades!$U$17,I263),1)*IF(Upgrades!$T$18="Stellar Kinematics",POWER(Upgrades!$U$18,J263),1)*IF(Upgrades!$T$19="Stellar Kinematics",POWER(Upgrades!$U$19,K263),1)*IF(Upgrades!$T$20="Stellar Kinematics",POWER(Upgrades!$U$20,L263),1)*IF(Upgrades!$T$21="Stellar Kinematics",POWER(Upgrades!$U$21,M263),1))+(IF(F263=0,0,(Upgrades!$G$14+F263*Upgrades!$H$14)*POWER(Upgrades!$I$14,F263)))*(IF(Upgrades!$T$13="Local Bubble",POWER(Upgrades!$U$13,E263),1)*IF(Upgrades!$T$15="Local Bubble",POWER(Upgrades!$U$15,G263),1)*IF(Upgrades!$T$16="Local Bubble",POWER(Upgrades!$U$16,H263),1)*IF(Upgrades!$T$17="Local Bubble",POWER(Upgrades!$U$17,I263),1)*IF(Upgrades!$T$18="Local Bubble",POWER(Upgrades!$U$18,J263),1)*IF(Upgrades!$T$19="Local Bubble",POWER(Upgrades!$U$19,K263),1)*IF(Upgrades!$T$20="Local Bubble",POWER(Upgrades!$U$20,L263),1)*IF(Upgrades!$T$21="Local Bubble",POWER(Upgrades!$U$21,M263),1))+(IF(G263=0,0,(Upgrades!$G$15+G263*Upgrades!$H$15)*POWER(Upgrades!$I$15,G263)))*(IF(Upgrades!$T$13="Microlensing",POWER(Upgrades!$U$13,E263),1)*IF(Upgrades!$T$14="Microlensing",POWER(Upgrades!$U$14,F263),1)*IF(Upgrades!$T$16="Microlensing",POWER(Upgrades!$U$16,H263),1)*IF(Upgrades!$T$17="Microlensing",POWER(Upgrades!$U$17,I263),1)*IF(Upgrades!$T$18="Microlensing",POWER(Upgrades!$U$18,J263),1)*IF(Upgrades!$T$19="Microlensing",POWER(Upgrades!$U$19,K263),1)*IF(Upgrades!$T$20="Microlensing",POWER(Upgrades!$U$20,L263),1)*IF(Upgrades!$T$21="Microlensing",POWER(Upgrades!$U$21,M263),1))+(IF(H263=0,0,(Upgrades!$G$16+H263*Upgrades!$H$16)*POWER(Upgrades!$I$16,H263)))*(IF(Upgrades!$T$13="Roche Lobe Overflow",POWER(Upgrades!$U$13,E263),1)*IF(Upgrades!$T$14="Roche Lobe Overflow",POWER(Upgrades!$U$14,F263),1)*IF(Upgrades!$T$15="Roche Lobe Overflow",POWER(Upgrades!$U$15,G263),1)*IF(Upgrades!$T$17="Roche Lobe Overflow",POWER(Upgrades!$U$17,I263),1)*IF(Upgrades!$T$18="Roche Lobe Overflow",POWER(Upgrades!$U$18,J263),1)*IF(Upgrades!$T$19="Roche Lobe Overflow",POWER(Upgrades!$U$19,K263),1)*IF(Upgrades!$T$20="Roche Lobe Overflow",POWER(Upgrades!$U$20,L263),1)*IF(Upgrades!$T$21="Roche Lobe Overflow",POWER(Upgrades!$U$21,M263),1))+(IF(I263=0,0,(Upgrades!$G$17+I263*Upgrades!$H$17)*POWER(Upgrades!$I$17,I263)))*(IF(Upgrades!$T$13="Brown Dwarf",POWER(Upgrades!$U$13,E263),1)*IF(Upgrades!$T$14="Brown Dwarf",POWER(Upgrades!$U$14,F263),1)*IF(Upgrades!$T$15="Brown Dwarf",POWER(Upgrades!$U$15,G263),1)*IF(Upgrades!$T$16="Brown Dwarf",POWER(Upgrades!$U$16,H263),1)*IF(Upgrades!$T$18="Brown Dwarf",POWER(Upgrades!$U$18,J263),1)*IF(Upgrades!$T$19="Brown Dwarf",POWER(Upgrades!$U$19,K263),1)*IF(Upgrades!$T$20="Brown Dwarf",POWER(Upgrades!$U$20,L263),1)*IF(Upgrades!$T$21="Brown Dwarf",POWER(Upgrades!$U$21,M263),1))+(IF(J263=0,0,(Upgrades!$G$18+J263*Upgrades!$H$18)*POWER(Upgrades!$I$18,J263)))*(IF(Upgrades!$T$13="Binary Partner",POWER(Upgrades!$U$13,E263),1)*IF(Upgrades!$T$14="Binary Partner",POWER(Upgrades!$U$14,F263),1)*IF(Upgrades!$T$15="Binary Partner",POWER(Upgrades!$U$15,G263),1)*IF(Upgrades!$T$16="Binary Partner",POWER(Upgrades!$U$16,H263),1)*IF(Upgrades!$T$17="Binary Partner",POWER(Upgrades!$U$17,I263),1)*IF(Upgrades!$T$19="Binary Partner",POWER(Upgrades!$U$19,K263),1)*IF(Upgrades!$T$20="Binary Partner",POWER(Upgrades!$U$20,L263),1)*IF(Upgrades!$T$21="Binary Partner",POWER(Upgrades!$U$21,M263),1))+(IF(K263=0,0,(Upgrades!$G$19+K263*Upgrades!$H$19)*POWER(Upgrades!$I$19,K263)))*(IF(Upgrades!$T$13="Peculiar Velocity",POWER(Upgrades!$U$13,E263),1)*IF(Upgrades!$T$14="Peculiar Velocity",POWER(Upgrades!$U$14,F263),1)*IF(Upgrades!$T$15="Peculiar Velocity",POWER(Upgrades!$U$15,G263),1)*IF(Upgrades!$T$16="Peculiar Velocity",POWER(Upgrades!$U$16,H263),1)*IF(Upgrades!$T$17="Peculiar Velocity",POWER(Upgrades!$U$17,I263),1)*IF(Upgrades!$T$18="Peculiar Velocity",POWER(Upgrades!$U$18,J263),1)*IF(Upgrades!$T$20="Peculiar Velocity",POWER(Upgrades!$U$20,L263),1)*IF(Upgrades!$T$21="Peculiar Velocity",POWER(Upgrades!$U$21,M263),1))+(IF(L263=0,0,(Upgrades!$G$20+L263*Upgrades!$H$20)*POWER(Upgrades!$I$20,L263)))*(IF(Upgrades!$T$13="Open Cluster",POWER(Upgrades!$U$13,E263),1)*IF(Upgrades!$T$14="Open Cluster",POWER(Upgrades!$U$14,F263),1)*IF(Upgrades!$T$15="Open Cluster",POWER(Upgrades!$U$15,G263),1)*IF(Upgrades!$T$16="Open Cluster",POWER(Upgrades!$U$16,H263),1)*IF(Upgrades!$T$17="Open Cluster",POWER(Upgrades!$U$17,I263),1)*IF(Upgrades!$T$18="Open Cluster",POWER(Upgrades!$U$18,J263),1)*IF(Upgrades!$T$19="Open Cluster",POWER(Upgrades!$U$19,K263),1)*IF(Upgrades!$T$21="Open Cluster",POWER(Upgrades!$U$21,M263),1))+(IF(M263=0,0,(Upgrades!$G$21+M263*Upgrades!$H$21)*POWER(Upgrades!$I$21,M263)))*(IF(Upgrades!$T$13="Moving Group",POWER(Upgrades!$U$13,E263),1)*IF(Upgrades!$T$14="Moving Group",POWER(Upgrades!$U$14,F263),1)*IF(Upgrades!$T$15="Moving Group",POWER(Upgrades!$U$15,G263),1)*IF(Upgrades!$T$16="Moving Group",POWER(Upgrades!$U$16,H263),1)*IF(Upgrades!$T$17="Moving Group",POWER(Upgrades!$U$17,I263),1)*IF(Upgrades!$T$18="Moving Group",POWER(Upgrades!$U$18,J263),1)*IF(Upgrades!$T$19="Moving Group",POWER(Upgrades!$U$19,K263),1)*IF(Upgrades!$T$20="Moving Group",POWER(Upgrades!$U$20,L263),1)))*POWER(Upgrades!$P$13,E263)*POWER(Upgrades!$P$14,F263)*POWER(Upgrades!$P$15,G263)*POWER(Upgrades!$P$16,H263)*POWER(Upgrades!$P$17,I263)*POWER(Upgrades!$P$18,J263)*POWER(Upgrades!$P$19,K263)*POWER(Upgrades!$P$20,L263)*POWER(Upgrades!$P$21,M263)*$F$6+$C$6</f>
        <v/>
      </c>
      <c r="Q263" s="28">
        <f>((IF(E263=0,0,(Upgrades!$M$13+E263*Upgrades!$N$13)*POWER(Upgrades!$O$13,E263)))*(IF(Upgrades!$T$14="Stellar Kinematics",POWER(Upgrades!$U$14,F263),1)*IF(Upgrades!$T$15="Stellar Kinematics",POWER(Upgrades!$U$15,G263),1)*IF(Upgrades!$T$16="Stellar Kinematics",POWER(Upgrades!$U$16,H263),1)*IF(Upgrades!$T$17="Stellar Kinematics",POWER(Upgrades!$U$17,I263),1)*IF(Upgrades!$T$18="Stellar Kinematics",POWER(Upgrades!$U$18,J263),1)*IF(Upgrades!$T$19="Stellar Kinematics",POWER(Upgrades!$U$19,K263),1)*IF(Upgrades!$T$20="Stellar Kinematics",POWER(Upgrades!$U$20,L263),1)*IF(Upgrades!$T$21="Stellar Kinematics",POWER(Upgrades!$U$21,M263),1))+(IF(F263=0,0,(Upgrades!$M$14+F263*Upgrades!$N$14)*POWER(Upgrades!$O$14,F263)))*(IF(Upgrades!$T$13="Local Bubble",POWER(Upgrades!$U$13,E263),1)*IF(Upgrades!$T$15="Local Bubble",POWER(Upgrades!$U$15,G263),1)*IF(Upgrades!$T$16="Local Bubble",POWER(Upgrades!$U$16,H263),1)*IF(Upgrades!$T$17="Local Bubble",POWER(Upgrades!$U$17,I263),1)*IF(Upgrades!$T$18="Local Bubble",POWER(Upgrades!$U$18,J263),1)*IF(Upgrades!$T$19="Local Bubble",POWER(Upgrades!$U$19,K263),1)*IF(Upgrades!$T$20="Local Bubble",POWER(Upgrades!$U$20,L263),1)*IF(Upgrades!$T$21="Local Bubble",POWER(Upgrades!$U$21,M263),1))+(IF(G263=0,0,(Upgrades!$M$15+G263*Upgrades!$N$15)*POWER(Upgrades!$O$15,G263)))*(IF(Upgrades!$T$13="Microlensing",POWER(Upgrades!$U$13,E263),1)*IF(Upgrades!$T$14="Microlensing",POWER(Upgrades!$U$14,F263),1)*IF(Upgrades!$T$16="Microlensing",POWER(Upgrades!$U$16,H263),1)*IF(Upgrades!$T$17="Microlensing",POWER(Upgrades!$U$17,I263),1)*IF(Upgrades!$T$18="Microlensing",POWER(Upgrades!$U$18,J263),1)*IF(Upgrades!$T$19="Microlensing",POWER(Upgrades!$U$19,K263),1)*IF(Upgrades!$T$20="Microlensing",POWER(Upgrades!$U$20,L263),1)*IF(Upgrades!$T$21="Microlensing",POWER(Upgrades!$U$21,M263),1))+(IF(H263=0,0,(Upgrades!$M$16+H263*Upgrades!$N$16)*POWER(Upgrades!$O$16,H263)))*(IF(Upgrades!$T$13="Roche Lobe Overflow",POWER(Upgrades!$U$13,E263),1)*IF(Upgrades!$T$14="Roche Lobe Overflow",POWER(Upgrades!$U$14,F263),1)*IF(Upgrades!$T$15="Roche Lobe Overflow",POWER(Upgrades!$U$15,G263),1)*IF(Upgrades!$T$17="Roche Lobe Overflow",POWER(Upgrades!$U$17,I263),1)*IF(Upgrades!$T$18="Roche Lobe Overflow",POWER(Upgrades!$U$18,J263),1)*IF(Upgrades!$T$19="Roche Lobe Overflow",POWER(Upgrades!$U$19,K263),1)*IF(Upgrades!$T$20="Roche Lobe Overflow",POWER(Upgrades!$U$20,L263),1)*IF(Upgrades!$T$21="Roche Lobe Overflow",POWER(Upgrades!$U$21,M263),1))+(IF(I263=0,0,(Upgrades!$M$17+I263*Upgrades!$N$17)*POWER(Upgrades!$O$17,I263)))*(IF(Upgrades!$T$13="Brown Dwarf",POWER(Upgrades!$U$13,E263),1)*IF(Upgrades!$T$14="Brown Dwarf",POWER(Upgrades!$U$14,F263),1)*IF(Upgrades!$T$15="Brown Dwarf",POWER(Upgrades!$U$15,G263),1)*IF(Upgrades!$T$16="Brown Dwarf",POWER(Upgrades!$U$16,H263),1)*IF(Upgrades!$T$18="Brown Dwarf",POWER(Upgrades!$U$18,J263),1)*IF(Upgrades!$T$19="Brown Dwarf",POWER(Upgrades!$U$19,K263),1)*IF(Upgrades!$T$20="Brown Dwarf",POWER(Upgrades!$U$20,L263),1)*IF(Upgrades!$T$21="Brown Dwarf",POWER(Upgrades!$U$21,M263),1))+(IF(J263=0,0,(Upgrades!$M$18+J263*Upgrades!$N$18)*POWER(Upgrades!$O$18,J263)))*(IF(Upgrades!$T$13="Binary Partner",POWER(Upgrades!$U$13,E263),1)*IF(Upgrades!$T$14="Binary Partner",POWER(Upgrades!$U$14,F263),1)*IF(Upgrades!$T$15="Binary Partner",POWER(Upgrades!$U$15,G263),1)*IF(Upgrades!$T$16="Binary Partner",POWER(Upgrades!$U$16,H263),1)*IF(Upgrades!$T$17="Binary Partner",POWER(Upgrades!$U$17,I263),1)*IF(Upgrades!$T$19="Binary Partner",POWER(Upgrades!$U$19,K263),1)*IF(Upgrades!$T$20="Binary Partner",POWER(Upgrades!$U$20,L263),1)*IF(Upgrades!$T$21="Binary Partner",POWER(Upgrades!$U$21,M263),1))+(IF(K263=0,0,(Upgrades!$M$19+K263*Upgrades!$N$19)*POWER(Upgrades!$O$19,K263)))*(IF(Upgrades!$T$13="Peculiar Velocity",POWER(Upgrades!$U$13,E263),1)*IF(Upgrades!$T$14="Peculiar Velocity",POWER(Upgrades!$U$14,F263),1)*IF(Upgrades!$T$15="Peculiar Velocity",POWER(Upgrades!$U$15,G263),1)*IF(Upgrades!$T$16="Peculiar Velocity",POWER(Upgrades!$U$16,H263),1)*IF(Upgrades!$T$17="Peculiar Velocity",POWER(Upgrades!$U$17,I263),1)*IF(Upgrades!$T$18="Peculiar Velocity",POWER(Upgrades!$U$18,J263),1)*IF(Upgrades!$T$20="Peculiar Velocity",POWER(Upgrades!$U$20,L263),1)*IF(Upgrades!$T$21="Peculiar Velocity",POWER(Upgrades!$U$21,M263),1))+(IF(L263=0,0,(Upgrades!$M$20+L263*Upgrades!$N$20)*POWER(Upgrades!$O$20,L263)))*(IF(Upgrades!$T$13="Open Cluster",POWER(Upgrades!$U$13,E263),1)*IF(Upgrades!$T$14="Open Cluster",POWER(Upgrades!$U$14,F263),1)*IF(Upgrades!$T$15="Open Cluster",POWER(Upgrades!$U$15,G263),1)*IF(Upgrades!$T$16="Open Cluster",POWER(Upgrades!$U$16,H263),1)*IF(Upgrades!$T$17="Open Cluster",POWER(Upgrades!$U$17,I263),1)*IF(Upgrades!$T$18="Open Cluster",POWER(Upgrades!$U$18,J263),1)*IF(Upgrades!$T$19="Open Cluster",POWER(Upgrades!$U$19,K263),1)*IF(Upgrades!$T$21="Open Cluster",POWER(Upgrades!$U$21,M263),1))+(IF(M263=0,0,(Upgrades!$M$21+M263*Upgrades!$N$21)*POWER(Upgrades!$O$21,M263)))*(IF(Upgrades!$T$13="Moving Group",POWER(Upgrades!$U$13,E263),1)*IF(Upgrades!$T$14="Moving Group",POWER(Upgrades!$U$14,F263),1)*IF(Upgrades!$T$15="Moving Group",POWER(Upgrades!$U$15,G263),1)*IF(Upgrades!$T$16="Moving Group",POWER(Upgrades!$U$16,H263),1)*IF(Upgrades!$T$17="Moving Group",POWER(Upgrades!$U$17,I263),1)*IF(Upgrades!$T$18="Moving Group",POWER(Upgrades!$U$18,J263),1)*IF(Upgrades!$T$19="Moving Group",POWER(Upgrades!$U$19,K263),1)*IF(Upgrades!$T$20="Moving Group",POWER(Upgrades!$U$20,L263),1)))*POWER(Upgrades!$R$13,E263)*POWER(Upgrades!$R$14,F263)*POWER(Upgrades!$R$15,G263)*POWER(Upgrades!$R$16,H263)*POWER(Upgrades!$R$17,I263)*POWER(Upgrades!$R$18,J263)*POWER(Upgrades!$R$19,K263)*POWER(Upgrades!$R$20,L263)*POWER(Upgrades!$R$21,M263)*$H$6+$E$6</f>
        <v/>
      </c>
      <c r="R263" s="27">
        <f>IF(N263=1,0,O263*Parameters!$B$10/60*Parameters!$B$11*10)</f>
        <v/>
      </c>
      <c r="S263" s="27">
        <f>IF(N263=1,0,Q263*O263*10)</f>
        <v/>
      </c>
      <c r="T263" s="27">
        <f>IF(N263=1,0,R263+S263+P263*10)</f>
        <v/>
      </c>
      <c r="U263" s="33">
        <f>BE263</f>
        <v/>
      </c>
      <c r="V263" s="22">
        <f>IF(U263="",0,IF(U263="transition",0,IF(U263="SK",AK263,IF(U263="LB",AL263,IF(U263="ML",AM263,IF(U263="RLO",AN263,IF(U263="BD",AO263,IF(U263="BiP",AP263,IF(U263="PV",AQ263,IF(U263="OC",AR263,IF(U263="MG",AS263,0))))))))))</f>
        <v/>
      </c>
      <c r="W263" s="27">
        <f>IF(U263="BiP",Upgrades!$F$18,IF(U263="PV",Upgrades!$F$19,IF(U263="OC",Upgrades!$F$20,IF(U263="MG",Upgrades!$F$21,IF(U263="transition",-Parameters!$B$18*Parameters!$B$19,0)))))</f>
        <v/>
      </c>
      <c r="X263" s="22">
        <f>C263+T263-V263</f>
        <v/>
      </c>
      <c r="Y263" s="30">
        <f>O263*Parameters!$B$10/60*Parameters!$B$11+Q263*O263+P263</f>
        <v/>
      </c>
      <c r="Z263" s="34">
        <f>IF(U263="transition","→ Tier 3 (Galactic Arm)",IF(U263="MG","Moving Group — pocket drifts together",IF(U263="OC","Open Cluster acquired",IF(U263="PV","Peculiar Velocity — passive multiplier active",IF(U263="BiP","Binary Partner — pair bond formed",IF(AND(AU263=1,N263=0,AT263&lt;&gt;1),"Cohesion ready (waiting on completionists)","")))))) </f>
        <v/>
      </c>
      <c r="AA263" s="27">
        <f>(IF(E263=0,0,(Upgrades!$G$13+E263*Upgrades!$H$13)*POWER(Upgrades!$I$13,E263)))*(IF(Upgrades!$T$14="Stellar Kinematics",POWER(Upgrades!$U$14,F263),1)*IF(Upgrades!$T$15="Stellar Kinematics",POWER(Upgrades!$U$15,G263),1)*IF(Upgrades!$T$16="Stellar Kinematics",POWER(Upgrades!$U$16,H263),1)*IF(Upgrades!$T$17="Stellar Kinematics",POWER(Upgrades!$U$17,I263),1)*IF(Upgrades!$T$18="Stellar Kinematics",POWER(Upgrades!$U$18,J263),1)*IF(Upgrades!$T$19="Stellar Kinematics",POWER(Upgrades!$U$19,K263),1)*IF(Upgrades!$T$20="Stellar Kinematics",POWER(Upgrades!$U$20,L263),1)*IF(Upgrades!$T$21="Stellar Kinematics",POWER(Upgrades!$U$21,M263),1))*POWER(Upgrades!$P$13,E263)*POWER(Upgrades!$P$14,F263)*POWER(Upgrades!$P$15,G263)*POWER(Upgrades!$P$16,H263)*POWER(Upgrades!$P$17,I263)*POWER(Upgrades!$P$18,J263)*POWER(Upgrades!$P$19,K263)*POWER(Upgrades!$P$20,L263)*POWER(Upgrades!$P$21,M263)*$F$6*60</f>
        <v/>
      </c>
      <c r="AB263" s="27">
        <f>(IF(F263=0,0,(Upgrades!$G$14+F263*Upgrades!$H$14)*POWER(Upgrades!$I$14,F263)))*(IF(Upgrades!$T$13="Local Bubble",POWER(Upgrades!$U$13,E263),1)*IF(Upgrades!$T$15="Local Bubble",POWER(Upgrades!$U$15,G263),1)*IF(Upgrades!$T$16="Local Bubble",POWER(Upgrades!$U$16,H263),1)*IF(Upgrades!$T$17="Local Bubble",POWER(Upgrades!$U$17,I263),1)*IF(Upgrades!$T$18="Local Bubble",POWER(Upgrades!$U$18,J263),1)*IF(Upgrades!$T$19="Local Bubble",POWER(Upgrades!$U$19,K263),1)*IF(Upgrades!$T$20="Local Bubble",POWER(Upgrades!$U$20,L263),1)*IF(Upgrades!$T$21="Local Bubble",POWER(Upgrades!$U$21,M263),1))*POWER(Upgrades!$P$13,E263)*POWER(Upgrades!$P$14,F263)*POWER(Upgrades!$P$15,G263)*POWER(Upgrades!$P$16,H263)*POWER(Upgrades!$P$17,I263)*POWER(Upgrades!$P$18,J263)*POWER(Upgrades!$P$19,K263)*POWER(Upgrades!$P$20,L263)*POWER(Upgrades!$P$21,M263)*$F$6*60</f>
        <v/>
      </c>
      <c r="AC263" s="27">
        <f>(IF(G263=0,0,(Upgrades!$J$15+G263*Upgrades!$K$15)*POWER(Upgrades!$L$15,G263)))*(IF(Upgrades!$T$13="Microlensing",POWER(Upgrades!$U$13,E263),1)*IF(Upgrades!$T$14="Microlensing",POWER(Upgrades!$U$14,F263),1)*IF(Upgrades!$T$16="Microlensing",POWER(Upgrades!$U$16,H263),1)*IF(Upgrades!$T$17="Microlensing",POWER(Upgrades!$U$17,I263),1)*IF(Upgrades!$T$18="Microlensing",POWER(Upgrades!$U$18,J263),1)*IF(Upgrades!$T$19="Microlensing",POWER(Upgrades!$U$19,K263),1)*IF(Upgrades!$T$20="Microlensing",POWER(Upgrades!$U$20,L263),1)*IF(Upgrades!$T$21="Microlensing",POWER(Upgrades!$U$21,M263),1))*POWER(Upgrades!$Q$13,E263)*POWER(Upgrades!$Q$14,F263)*POWER(Upgrades!$Q$15,G263)*POWER(Upgrades!$Q$16,H263)*POWER(Upgrades!$Q$17,I263)*POWER(Upgrades!$Q$18,J263)*POWER(Upgrades!$Q$19,K263)*POWER(Upgrades!$Q$20,L263)*POWER(Upgrades!$Q$21,M263)*$G$6*(Parameters!$B$10*Parameters!$B$11+Q263*60)</f>
        <v/>
      </c>
      <c r="AD263" s="27">
        <f>(IF(H263=0,0,(Upgrades!$M$16+H263*Upgrades!$N$16)*POWER(Upgrades!$O$16,H263)))*(IF(Upgrades!$T$13="Roche Lobe Overflow",POWER(Upgrades!$U$13,E263),1)*IF(Upgrades!$T$14="Roche Lobe Overflow",POWER(Upgrades!$U$14,F263),1)*IF(Upgrades!$T$15="Roche Lobe Overflow",POWER(Upgrades!$U$15,G263),1)*IF(Upgrades!$T$17="Roche Lobe Overflow",POWER(Upgrades!$U$17,I263),1)*IF(Upgrades!$T$18="Roche Lobe Overflow",POWER(Upgrades!$U$18,J263),1)*IF(Upgrades!$T$19="Roche Lobe Overflow",POWER(Upgrades!$U$19,K263),1)*IF(Upgrades!$T$20="Roche Lobe Overflow",POWER(Upgrades!$U$20,L263),1)*IF(Upgrades!$T$21="Roche Lobe Overflow",POWER(Upgrades!$U$21,M263),1))*POWER(Upgrades!$R$13,E263)*POWER(Upgrades!$R$14,F263)*POWER(Upgrades!$R$15,G263)*POWER(Upgrades!$R$16,H263)*POWER(Upgrades!$R$17,I263)*POWER(Upgrades!$R$18,J263)*POWER(Upgrades!$R$19,K263)*POWER(Upgrades!$R$20,L263)*POWER(Upgrades!$R$21,M263)*$H$6*O263*60</f>
        <v/>
      </c>
      <c r="AE263" s="27">
        <f>(IF(I263=0,0,(Upgrades!$G$17+I263*Upgrades!$H$17)*POWER(Upgrades!$I$17,I263)))*(IF(Upgrades!$T$13="Brown Dwarf",POWER(Upgrades!$U$13,E263),1)*IF(Upgrades!$T$14="Brown Dwarf",POWER(Upgrades!$U$14,F263),1)*IF(Upgrades!$T$15="Brown Dwarf",POWER(Upgrades!$U$15,G263),1)*IF(Upgrades!$T$16="Brown Dwarf",POWER(Upgrades!$U$16,H263),1)*IF(Upgrades!$T$18="Brown Dwarf",POWER(Upgrades!$U$18,J263),1)*IF(Upgrades!$T$19="Brown Dwarf",POWER(Upgrades!$U$19,K263),1)*IF(Upgrades!$T$20="Brown Dwarf",POWER(Upgrades!$U$20,L263),1)*IF(Upgrades!$T$21="Brown Dwarf",POWER(Upgrades!$U$21,M263),1))*POWER(Upgrades!$P$13,E263)*POWER(Upgrades!$P$14,F263)*POWER(Upgrades!$P$15,G263)*POWER(Upgrades!$P$16,H263)*POWER(Upgrades!$P$17,I263)*POWER(Upgrades!$P$18,J263)*POWER(Upgrades!$P$19,K263)*POWER(Upgrades!$P$20,L263)*POWER(Upgrades!$P$21,M263)*$F$6*60</f>
        <v/>
      </c>
      <c r="AF263" s="27" t="n">
        <v>0</v>
      </c>
      <c r="AG263" s="27" t="n">
        <v>0</v>
      </c>
      <c r="AH263" s="27" t="n">
        <v>0</v>
      </c>
      <c r="AI263" s="27">
        <f>(IF(M263=0,0,(Upgrades!$G$21+M263*Upgrades!$H$21)*POWER(Upgrades!$I$21,M263)))*(IF(Upgrades!$T$13="Moving Group",POWER(Upgrades!$U$13,E263),1)*IF(Upgrades!$T$14="Moving Group",POWER(Upgrades!$U$14,F263),1)*IF(Upgrades!$T$15="Moving Group",POWER(Upgrades!$U$15,G263),1)*IF(Upgrades!$T$16="Moving Group",POWER(Upgrades!$U$16,H263),1)*IF(Upgrades!$T$17="Moving Group",POWER(Upgrades!$U$17,I263),1)*IF(Upgrades!$T$18="Moving Group",POWER(Upgrades!$U$18,J263),1)*IF(Upgrades!$T$19="Moving Group",POWER(Upgrades!$U$19,K263),1)*IF(Upgrades!$T$20="Moving Group",POWER(Upgrades!$U$20,L263),1))*POWER(Upgrades!$P$13,E263)*POWER(Upgrades!$P$14,F263)*POWER(Upgrades!$P$15,G263)*POWER(Upgrades!$P$16,H263)*POWER(Upgrades!$P$17,I263)*POWER(Upgrades!$P$18,J263)*POWER(Upgrades!$P$19,K263)*POWER(Upgrades!$P$20,L263)*POWER(Upgrades!$P$21,M263)*$F$6*60</f>
        <v/>
      </c>
      <c r="AJ263" s="27">
        <f>$C$6*60</f>
        <v/>
      </c>
      <c r="AK263" s="22">
        <f>IF(E263&gt;=Upgrades!$E$13,"",Upgrades!$C$13*POWER(Upgrades!$D$13,E263))</f>
        <v/>
      </c>
      <c r="AL263" s="22">
        <f>IF(F263&gt;=Upgrades!$E$14,"",Upgrades!$C$14*POWER(Upgrades!$D$14,F263))</f>
        <v/>
      </c>
      <c r="AM263" s="22">
        <f>IF(G263&gt;=Upgrades!$E$15,"",Upgrades!$C$15*POWER(Upgrades!$D$15,G263))</f>
        <v/>
      </c>
      <c r="AN263" s="22">
        <f>IF(H263&gt;=Upgrades!$E$16,"",Upgrades!$C$16*POWER(Upgrades!$D$16,H263))</f>
        <v/>
      </c>
      <c r="AO263" s="22">
        <f>IF(I263&gt;=Upgrades!$E$17,"",Upgrades!$C$17*POWER(Upgrades!$D$17,I263))</f>
        <v/>
      </c>
      <c r="AP263" s="22">
        <f>IF(J263&gt;=Upgrades!$E$18,"",Upgrades!$C$18*POWER(Upgrades!$D$18,J263))</f>
        <v/>
      </c>
      <c r="AQ263" s="22">
        <f>IF(K263&gt;=Upgrades!$E$19,"",Upgrades!$C$19*POWER(Upgrades!$D$19,K263))</f>
        <v/>
      </c>
      <c r="AR263" s="22">
        <f>IF(L263&gt;=Upgrades!$E$20,"",Upgrades!$C$20*POWER(Upgrades!$D$20,L263))</f>
        <v/>
      </c>
      <c r="AS263" s="22">
        <f>IF(M263&gt;=Upgrades!$E$21,"",Upgrades!$C$21*POWER(Upgrades!$D$21,M263))</f>
        <v/>
      </c>
      <c r="AT263" s="26">
        <f>IF(AND(D263&gt;=Parameters!$B$18*Parameters!$B$19,(I263&gt;=Upgrades!$E$17)*(M263&gt;=Upgrades!$E$21)=1,N263=0),1,"")</f>
        <v/>
      </c>
      <c r="AU263" s="26">
        <f>IF(AND(D263&gt;=Parameters!$B$18*Parameters!$B$19,N263=0),1,"")</f>
        <v/>
      </c>
      <c r="AV263" s="22">
        <f>MIN(IF(ISNUMBER(AP263),AP263,9E15),IF(ISNUMBER(AQ263),AQ263,9E15),IF(ISNUMBER(AR263),AR263,9E15),IF(ISNUMBER(AS263),AS263,9E15))</f>
        <v/>
      </c>
      <c r="AW263" s="22">
        <f>MIN(IF(ISNUMBER(AK263),AK263,9E15),IF(ISNUMBER(AL263),AL263,9E15),IF(ISNUMBER(AM263),AM263,9E15),IF(ISNUMBER(AN263),AN263,9E15),IF(ISNUMBER(AO263),AO263,9E15))</f>
        <v/>
      </c>
      <c r="AX263" s="29">
        <f>IF(BD263&gt;Parameters!$B$21*(MAX(IF(AND(NOT(AND(AU263=1,AT263&lt;&gt;1)),ISNUMBER(AK263),AK263&lt;=(C263+T263)),AY263,0),IF(AND(NOT(AND(AU263=1,AT263&lt;&gt;1)),ISNUMBER(AL263),AL263&lt;=(C263+T263)),AZ263,0),IF(AND(NOT(AND(AU263=1,AT263&lt;&gt;1)),ISNUMBER(AM263),AM263&lt;=(C263+T263)),BA263,0),IF(AND(NOT(AND(AU263=1,AT263&lt;&gt;1)),ISNUMBER(AN263),AN263&lt;=(C263+T263)),BB263,0),IF(AND(ISNUMBER(AO263),AO263&lt;=(C263+T263)),BC263,0))),TRUE,FALSE)</f>
        <v/>
      </c>
      <c r="AY263" s="32">
        <f>IFERROR(Upgrades!$H$13*(POWER(Upgrades!$P$13,E263)*POWER(Upgrades!$P$14,F263)*POWER(Upgrades!$P$15,G263)*POWER(Upgrades!$P$16,H263)*POWER(Upgrades!$P$17,I263)*POWER(Upgrades!$P$18,J263)*POWER(Upgrades!$P$19,K263)*POWER(Upgrades!$P$20,L263)*POWER(Upgrades!$P$21,M263))*(IF(Upgrades!$T$14="Stellar Kinematics",POWER(Upgrades!$U$14,F263),1)*IF(Upgrades!$T$15="Stellar Kinematics",POWER(Upgrades!$U$15,G263),1)*IF(Upgrades!$T$16="Stellar Kinematics",POWER(Upgrades!$U$16,H263),1)*IF(Upgrades!$T$17="Stellar Kinematics",POWER(Upgrades!$U$17,I263),1)*IF(Upgrades!$T$18="Stellar Kinematics",POWER(Upgrades!$U$18,J263),1)*IF(Upgrades!$T$19="Stellar Kinematics",POWER(Upgrades!$U$19,K263),1)*IF(Upgrades!$T$20="Stellar Kinematics",POWER(Upgrades!$U$20,L263),1)*IF(Upgrades!$T$21="Stellar Kinematics",POWER(Upgrades!$U$21,M263),1))*$F$6/AK263,0)</f>
        <v/>
      </c>
      <c r="AZ263" s="32">
        <f>IFERROR(Upgrades!$H$14*(POWER(Upgrades!$P$13,E263)*POWER(Upgrades!$P$14,F263)*POWER(Upgrades!$P$15,G263)*POWER(Upgrades!$P$16,H263)*POWER(Upgrades!$P$17,I263)*POWER(Upgrades!$P$18,J263)*POWER(Upgrades!$P$19,K263)*POWER(Upgrades!$P$20,L263)*POWER(Upgrades!$P$21,M263))*(IF(Upgrades!$T$13="Local Bubble",POWER(Upgrades!$U$13,E263),1)*IF(Upgrades!$T$15="Local Bubble",POWER(Upgrades!$U$15,G263),1)*IF(Upgrades!$T$16="Local Bubble",POWER(Upgrades!$U$16,H263),1)*IF(Upgrades!$T$17="Local Bubble",POWER(Upgrades!$U$17,I263),1)*IF(Upgrades!$T$18="Local Bubble",POWER(Upgrades!$U$18,J263),1)*IF(Upgrades!$T$19="Local Bubble",POWER(Upgrades!$U$19,K263),1)*IF(Upgrades!$T$20="Local Bubble",POWER(Upgrades!$U$20,L263),1)*IF(Upgrades!$T$21="Local Bubble",POWER(Upgrades!$U$21,M263),1))*$F$6/AL263,0)</f>
        <v/>
      </c>
      <c r="BA263" s="32">
        <f>IFERROR(Upgrades!$K$15*(POWER(Upgrades!$Q$13,E263)*POWER(Upgrades!$Q$14,F263)*POWER(Upgrades!$Q$15,G263)*POWER(Upgrades!$Q$16,H263)*POWER(Upgrades!$Q$17,I263)*POWER(Upgrades!$Q$18,J263)*POWER(Upgrades!$Q$19,K263)*POWER(Upgrades!$Q$20,L263)*POWER(Upgrades!$Q$21,M263))*(IF(Upgrades!$T$13="Microlensing",POWER(Upgrades!$U$13,E263),1)*IF(Upgrades!$T$14="Microlensing",POWER(Upgrades!$U$14,F263),1)*IF(Upgrades!$T$16="Microlensing",POWER(Upgrades!$U$16,H263),1)*IF(Upgrades!$T$17="Microlensing",POWER(Upgrades!$U$17,I263),1)*IF(Upgrades!$T$18="Microlensing",POWER(Upgrades!$U$18,J263),1)*IF(Upgrades!$T$19="Microlensing",POWER(Upgrades!$U$19,K263),1)*IF(Upgrades!$T$20="Microlensing",POWER(Upgrades!$U$20,L263),1)*IF(Upgrades!$T$21="Microlensing",POWER(Upgrades!$U$21,M263),1))*$G$6*(Parameters!$B$10/60*Parameters!$B$11+Q263)/AM263,0)</f>
        <v/>
      </c>
      <c r="BB263" s="32">
        <f>IFERROR((Upgrades!$N$16*(POWER(Upgrades!$R$13,E263)*POWER(Upgrades!$R$14,F263)*POWER(Upgrades!$R$15,G263)*POWER(Upgrades!$R$16,H263)*POWER(Upgrades!$R$17,I263)*POWER(Upgrades!$R$18,J263)*POWER(Upgrades!$R$19,K263)*POWER(Upgrades!$R$20,L263)*POWER(Upgrades!$R$21,M263))*(IF(Upgrades!$T$13="Roche Lobe Overflow",POWER(Upgrades!$U$13,E263),1)*IF(Upgrades!$T$14="Roche Lobe Overflow",POWER(Upgrades!$U$14,F263),1)*IF(Upgrades!$T$15="Roche Lobe Overflow",POWER(Upgrades!$U$15,G263),1)*IF(Upgrades!$T$17="Roche Lobe Overflow",POWER(Upgrades!$U$17,I263),1)*IF(Upgrades!$T$18="Roche Lobe Overflow",POWER(Upgrades!$U$18,J263),1)*IF(Upgrades!$T$19="Roche Lobe Overflow",POWER(Upgrades!$U$19,K263),1)*IF(Upgrades!$T$20="Roche Lobe Overflow",POWER(Upgrades!$U$20,L263),1)*IF(Upgrades!$T$21="Roche Lobe Overflow",POWER(Upgrades!$U$21,M263),1))*$H$6*O263+((IF(F263=0,0,(Upgrades!$G$14+F263*Upgrades!$H$14)*POWER(Upgrades!$I$14,F263)))*(IF(Upgrades!$T$13="Local Bubble",POWER(Upgrades!$U$13,E263),1)*IF(Upgrades!$T$15="Local Bubble",POWER(Upgrades!$U$15,G263),1)*IF(Upgrades!$T$16="Local Bubble",POWER(Upgrades!$U$16,H263),1)*IF(Upgrades!$T$17="Local Bubble",POWER(Upgrades!$U$17,I263),1)*IF(Upgrades!$T$18="Local Bubble",POWER(Upgrades!$U$18,J263),1)*IF(Upgrades!$T$19="Local Bubble",POWER(Upgrades!$U$19,K263),1)*IF(Upgrades!$T$20="Local Bubble",POWER(Upgrades!$U$20,L263),1)*IF(Upgrades!$T$21="Local Bubble",POWER(Upgrades!$U$21,M263),1))*POWER(Upgrades!$P$13,E263)*POWER(Upgrades!$P$14,F263)*POWER(Upgrades!$P$15,G263)*POWER(Upgrades!$P$16,H263)*POWER(Upgrades!$P$17,I263)*POWER(Upgrades!$P$18,J263)*POWER(Upgrades!$P$19,K263)*POWER(Upgrades!$P$20,L263)*POWER(Upgrades!$P$21,M263)*$F$6)*0.05)/AN263,0)</f>
        <v/>
      </c>
      <c r="BC263" s="32">
        <f>IFERROR((Upgrades!$H$17*(POWER(Upgrades!$P$13,E263)*POWER(Upgrades!$P$14,F263)*POWER(Upgrades!$P$15,G263)*POWER(Upgrades!$P$16,H263)*POWER(Upgrades!$P$17,I263)*POWER(Upgrades!$P$18,J263)*POWER(Upgrades!$P$19,K263)*POWER(Upgrades!$P$20,L263)*POWER(Upgrades!$P$21,M263))*(IF(Upgrades!$T$13="Brown Dwarf",POWER(Upgrades!$U$13,E263),1)*IF(Upgrades!$T$14="Brown Dwarf",POWER(Upgrades!$U$14,F263),1)*IF(Upgrades!$T$15="Brown Dwarf",POWER(Upgrades!$U$15,G263),1)*IF(Upgrades!$T$16="Brown Dwarf",POWER(Upgrades!$U$16,H263),1)*IF(Upgrades!$T$18="Brown Dwarf",POWER(Upgrades!$U$18,J263),1)*IF(Upgrades!$T$19="Brown Dwarf",POWER(Upgrades!$U$19,K263),1)*IF(Upgrades!$T$20="Brown Dwarf",POWER(Upgrades!$U$20,L263),1)*IF(Upgrades!$T$21="Brown Dwarf",POWER(Upgrades!$U$21,M263),1))*$F$6+(((IF(H263=0,0,(Upgrades!$M$16+H263*Upgrades!$N$16)*POWER(Upgrades!$O$16,H263)))*(IF(Upgrades!$T$13="Roche Lobe Overflow",POWER(Upgrades!$U$13,E263),1)*IF(Upgrades!$T$14="Roche Lobe Overflow",POWER(Upgrades!$U$14,F263),1)*IF(Upgrades!$T$15="Roche Lobe Overflow",POWER(Upgrades!$U$15,G263),1)*IF(Upgrades!$T$17="Roche Lobe Overflow",POWER(Upgrades!$U$17,I263),1)*IF(Upgrades!$T$18="Roche Lobe Overflow",POWER(Upgrades!$U$18,J263),1)*IF(Upgrades!$T$19="Roche Lobe Overflow",POWER(Upgrades!$U$19,K263),1)*IF(Upgrades!$T$20="Roche Lobe Overflow",POWER(Upgrades!$U$20,L263),1)*IF(Upgrades!$T$21="Roche Lobe Overflow",POWER(Upgrades!$U$21,M263),1))*POWER(Upgrades!$R$13,E263)*POWER(Upgrades!$R$14,F263)*POWER(Upgrades!$R$15,G263)*POWER(Upgrades!$R$16,H263)*POWER(Upgrades!$R$17,I263)*POWER(Upgrades!$R$18,J263)*POWER(Upgrades!$R$19,K263)*POWER(Upgrades!$R$20,L263)*POWER(Upgrades!$R$21,M263)*$H$6)*O263)*0.10)/AO263,0)</f>
        <v/>
      </c>
      <c r="BD263" s="32">
        <f>MAX(IF(J263&gt;0,0,IFERROR(0.5*((IF(G263=0,0,(Upgrades!$J$15+G263*Upgrades!$K$15)*POWER(Upgrades!$L$15,G263)))*(IF(Upgrades!$T$13="Microlensing",POWER(Upgrades!$U$13,E263),1)*IF(Upgrades!$T$14="Microlensing",POWER(Upgrades!$U$14,F263),1)*IF(Upgrades!$T$16="Microlensing",POWER(Upgrades!$U$16,H263),1)*IF(Upgrades!$T$17="Microlensing",POWER(Upgrades!$U$17,I263),1)*IF(Upgrades!$T$18="Microlensing",POWER(Upgrades!$U$18,J263),1)*IF(Upgrades!$T$19="Microlensing",POWER(Upgrades!$U$19,K263),1)*IF(Upgrades!$T$20="Microlensing",POWER(Upgrades!$U$20,L263),1)*IF(Upgrades!$T$21="Microlensing",POWER(Upgrades!$U$21,M263),1))*(POWER(Upgrades!$Q$13,E263)*POWER(Upgrades!$Q$14,F263)*POWER(Upgrades!$Q$15,G263)*POWER(Upgrades!$Q$16,H263)*POWER(Upgrades!$Q$17,I263)*POWER(Upgrades!$Q$18,J263)*POWER(Upgrades!$Q$19,K263)*POWER(Upgrades!$Q$20,L263)*POWER(Upgrades!$Q$21,M263))*$G$6*(Parameters!$B$10/60*Parameters!$B$11+Q263))/Upgrades!$C$18,0)),IF(K263&gt;0,0,IFERROR(0.30*P263/Upgrades!$C$19,0)),IF(L263&gt;0,0,IFERROR(0.0001/Upgrades!$C$20,0)),IF(M263&gt;0,0,IFERROR((6.0*(POWER(Upgrades!$P$13,E263)*POWER(Upgrades!$P$14,F263)*POWER(Upgrades!$P$15,G263)*POWER(Upgrades!$P$16,H263)*POWER(Upgrades!$P$17,I263)*POWER(Upgrades!$P$18,J263)*POWER(Upgrades!$P$19,K263)*POWER(Upgrades!$P$20,L263)*POWER(Upgrades!$P$21,M263))*$F$6+0.20*O263*(Parameters!$B$10/60*Parameters!$B$11+Q263))/Upgrades!$C$21,0)),IF(AND(ISNUMBER(AK263),AK263&gt;(C263+T263)),AY263,0),IF(AND(ISNUMBER(AL263),AL263&gt;(C263+T263)),AZ263,0),IF(AND(ISNUMBER(AM263),AM263&gt;(C263+T263)),BA263,0),IF(AND(ISNUMBER(AN263),AN263&gt;(C263+T263)),BB263,0),IF(AND(ISNUMBER(AO263),AO263&gt;(C263+T263)),BC263,0))</f>
        <v/>
      </c>
      <c r="BE263" s="29">
        <f>IF(AT263=1,"transition",IF(MIN(IF(AND(J263=0,ISNUMBER(AP263),AP263&lt;=(C263+T263)),AP263,9E15),IF(AND(K263=0,ISNUMBER(AQ263),AQ263&lt;=(C263+T263)),AQ263,9E15),IF(AND(L263=0,ISNUMBER(AR263),AR263&lt;=(C263+T263)),AR263,9E15),IF(AND(M263=0,ISNUMBER(AS263),AS263&lt;=(C263+T263)),AS263,9E15))&lt;9E15,IF(AND(AND(J263=0,ISNUMBER(AP263),AP263&lt;=(C263+T263)),AP263=MIN(IF(AND(J263=0,ISNUMBER(AP263),AP263&lt;=(C263+T263)),AP263,9E15),IF(AND(K263=0,ISNUMBER(AQ263),AQ263&lt;=(C263+T263)),AQ263,9E15),IF(AND(L263=0,ISNUMBER(AR263),AR263&lt;=(C263+T263)),AR263,9E15),IF(AND(M263=0,ISNUMBER(AS263),AS263&lt;=(C263+T263)),AS263,9E15))),"BiP",IF(AND(AND(K263=0,ISNUMBER(AQ263),AQ263&lt;=(C263+T263)),AQ263=MIN(IF(AND(J263=0,ISNUMBER(AP263),AP263&lt;=(C263+T263)),AP263,9E15),IF(AND(K263=0,ISNUMBER(AQ263),AQ263&lt;=(C263+T263)),AQ263,9E15),IF(AND(L263=0,ISNUMBER(AR263),AR263&lt;=(C263+T263)),AR263,9E15),IF(AND(M263=0,ISNUMBER(AS263),AS263&lt;=(C263+T263)),AS263,9E15))),"PV",IF(AND(AND(L263=0,ISNUMBER(AR263),AR263&lt;=(C263+T263)),AR263=MIN(IF(AND(J263=0,ISNUMBER(AP263),AP263&lt;=(C263+T263)),AP263,9E15),IF(AND(K263=0,ISNUMBER(AQ263),AQ263&lt;=(C263+T263)),AQ263,9E15),IF(AND(L263=0,ISNUMBER(AR263),AR263&lt;=(C263+T263)),AR263,9E15),IF(AND(M263=0,ISNUMBER(AS263),AS263&lt;=(C263+T263)),AS263,9E15))),"OC","MG"))),IF(AX263=TRUE,"",IF(MAX(IF(AND(NOT(AND(AU263=1,AT263&lt;&gt;1)),ISNUMBER(AK263),AK263&lt;=(C263+T263)),AY263,0),IF(AND(NOT(AND(AU263=1,AT263&lt;&gt;1)),ISNUMBER(AL263),AL263&lt;=(C263+T263)),AZ263,0),IF(AND(NOT(AND(AU263=1,AT263&lt;&gt;1)),ISNUMBER(AM263),AM263&lt;=(C263+T263)),BA263,0),IF(AND(NOT(AND(AU263=1,AT263&lt;&gt;1)),ISNUMBER(AN263),AN263&lt;=(C263+T263)),BB263,0),IF(AND(ISNUMBER(AO263),AO263&lt;=(C263+T263)),BC263,0))&lt;=0,"",IF(AND(IF(AND(NOT(AND(AU263=1,AT263&lt;&gt;1)),ISNUMBER(AK263),AK263&lt;=(C263+T263)),AY263,0)&gt;0,IF(AND(NOT(AND(AU263=1,AT263&lt;&gt;1)),ISNUMBER(AK263),AK263&lt;=(C263+T263)),AY263,0)=MAX(IF(AND(NOT(AND(AU263=1,AT263&lt;&gt;1)),ISNUMBER(AK263),AK263&lt;=(C263+T263)),AY263,0),IF(AND(NOT(AND(AU263=1,AT263&lt;&gt;1)),ISNUMBER(AL263),AL263&lt;=(C263+T263)),AZ263,0),IF(AND(NOT(AND(AU263=1,AT263&lt;&gt;1)),ISNUMBER(AM263),AM263&lt;=(C263+T263)),BA263,0),IF(AND(NOT(AND(AU263=1,AT263&lt;&gt;1)),ISNUMBER(AN263),AN263&lt;=(C263+T263)),BB263,0),IF(AND(ISNUMBER(AO263),AO263&lt;=(C263+T263)),BC263,0))),"SK",IF(AND(IF(AND(NOT(AND(AU263=1,AT263&lt;&gt;1)),ISNUMBER(AL263),AL263&lt;=(C263+T263)),AZ263,0)&gt;0,IF(AND(NOT(AND(AU263=1,AT263&lt;&gt;1)),ISNUMBER(AL263),AL263&lt;=(C263+T263)),AZ263,0)=MAX(IF(AND(NOT(AND(AU263=1,AT263&lt;&gt;1)),ISNUMBER(AK263),AK263&lt;=(C263+T263)),AY263,0),IF(AND(NOT(AND(AU263=1,AT263&lt;&gt;1)),ISNUMBER(AL263),AL263&lt;=(C263+T263)),AZ263,0),IF(AND(NOT(AND(AU263=1,AT263&lt;&gt;1)),ISNUMBER(AM263),AM263&lt;=(C263+T263)),BA263,0),IF(AND(NOT(AND(AU263=1,AT263&lt;&gt;1)),ISNUMBER(AN263),AN263&lt;=(C263+T263)),BB263,0),IF(AND(ISNUMBER(AO263),AO263&lt;=(C263+T263)),BC263,0))),"LB",IF(AND(IF(AND(NOT(AND(AU263=1,AT263&lt;&gt;1)),ISNUMBER(AM263),AM263&lt;=(C263+T263)),BA263,0)&gt;0,IF(AND(NOT(AND(AU263=1,AT263&lt;&gt;1)),ISNUMBER(AM263),AM263&lt;=(C263+T263)),BA263,0)=MAX(IF(AND(NOT(AND(AU263=1,AT263&lt;&gt;1)),ISNUMBER(AK263),AK263&lt;=(C263+T263)),AY263,0),IF(AND(NOT(AND(AU263=1,AT263&lt;&gt;1)),ISNUMBER(AL263),AL263&lt;=(C263+T263)),AZ263,0),IF(AND(NOT(AND(AU263=1,AT263&lt;&gt;1)),ISNUMBER(AM263),AM263&lt;=(C263+T263)),BA263,0),IF(AND(NOT(AND(AU263=1,AT263&lt;&gt;1)),ISNUMBER(AN263),AN263&lt;=(C263+T263)),BB263,0),IF(AND(ISNUMBER(AO263),AO263&lt;=(C263+T263)),BC263,0))),"ML",IF(AND(IF(AND(NOT(AND(AU263=1,AT263&lt;&gt;1)),ISNUMBER(AN263),AN263&lt;=(C263+T263)),BB263,0)&gt;0,IF(AND(NOT(AND(AU263=1,AT263&lt;&gt;1)),ISNUMBER(AN263),AN263&lt;=(C263+T263)),BB263,0)=MAX(IF(AND(NOT(AND(AU263=1,AT263&lt;&gt;1)),ISNUMBER(AK263),AK263&lt;=(C263+T263)),AY263,0),IF(AND(NOT(AND(AU263=1,AT263&lt;&gt;1)),ISNUMBER(AL263),AL263&lt;=(C263+T263)),AZ263,0),IF(AND(NOT(AND(AU263=1,AT263&lt;&gt;1)),ISNUMBER(AM263),AM263&lt;=(C263+T263)),BA263,0),IF(AND(NOT(AND(AU263=1,AT263&lt;&gt;1)),ISNUMBER(AN263),AN263&lt;=(C263+T263)),BB263,0),IF(AND(ISNUMBER(AO263),AO263&lt;=(C263+T263)),BC263,0))),"RLO","BD"))))))))</f>
        <v/>
      </c>
    </row>
    <row r="264">
      <c r="A264" s="26" t="n">
        <v>253</v>
      </c>
      <c r="B264" s="27">
        <f>A264*10/60</f>
        <v/>
      </c>
      <c r="C264" s="22">
        <f>X263</f>
        <v/>
      </c>
      <c r="D264" s="27">
        <f>D263+W263</f>
        <v/>
      </c>
      <c r="E264" s="26">
        <f>E263+IF(U263="SK",1,0)</f>
        <v/>
      </c>
      <c r="F264" s="26">
        <f>F263+IF(U263="LB",1,0)</f>
        <v/>
      </c>
      <c r="G264" s="26">
        <f>G263+IF(U263="ML",1,0)</f>
        <v/>
      </c>
      <c r="H264" s="26">
        <f>H263+IF(U263="RLO",1,0)</f>
        <v/>
      </c>
      <c r="I264" s="26">
        <f>I263+IF(U263="BD",1,0)</f>
        <v/>
      </c>
      <c r="J264" s="26">
        <f>MAX(J263,IF(U263="BiP",1,0))</f>
        <v/>
      </c>
      <c r="K264" s="26">
        <f>MAX(K263,IF(U263="PV",1,0))</f>
        <v/>
      </c>
      <c r="L264" s="26">
        <f>MAX(L263,IF(U263="OC",1,0))</f>
        <v/>
      </c>
      <c r="M264" s="26">
        <f>MAX(M263,IF(U263="MG",1,0))</f>
        <v/>
      </c>
      <c r="N264" s="26">
        <f>MAX(N263,IF(U263="transition",1,0))</f>
        <v/>
      </c>
      <c r="O264" s="28">
        <f>(Parameters!$B$9+(IF(E264=0,0,(Upgrades!$J$13+E264*Upgrades!$K$13)*POWER(Upgrades!$L$13,E264)))*(IF(Upgrades!$T$14="Stellar Kinematics",POWER(Upgrades!$U$14,F264),1)*IF(Upgrades!$T$15="Stellar Kinematics",POWER(Upgrades!$U$15,G264),1)*IF(Upgrades!$T$16="Stellar Kinematics",POWER(Upgrades!$U$16,H264),1)*IF(Upgrades!$T$17="Stellar Kinematics",POWER(Upgrades!$U$17,I264),1)*IF(Upgrades!$T$18="Stellar Kinematics",POWER(Upgrades!$U$18,J264),1)*IF(Upgrades!$T$19="Stellar Kinematics",POWER(Upgrades!$U$19,K264),1)*IF(Upgrades!$T$20="Stellar Kinematics",POWER(Upgrades!$U$20,L264),1)*IF(Upgrades!$T$21="Stellar Kinematics",POWER(Upgrades!$U$21,M264),1))+(IF(F264=0,0,(Upgrades!$J$14+F264*Upgrades!$K$14)*POWER(Upgrades!$L$14,F264)))*(IF(Upgrades!$T$13="Local Bubble",POWER(Upgrades!$U$13,E264),1)*IF(Upgrades!$T$15="Local Bubble",POWER(Upgrades!$U$15,G264),1)*IF(Upgrades!$T$16="Local Bubble",POWER(Upgrades!$U$16,H264),1)*IF(Upgrades!$T$17="Local Bubble",POWER(Upgrades!$U$17,I264),1)*IF(Upgrades!$T$18="Local Bubble",POWER(Upgrades!$U$18,J264),1)*IF(Upgrades!$T$19="Local Bubble",POWER(Upgrades!$U$19,K264),1)*IF(Upgrades!$T$20="Local Bubble",POWER(Upgrades!$U$20,L264),1)*IF(Upgrades!$T$21="Local Bubble",POWER(Upgrades!$U$21,M264),1))+(IF(G264=0,0,(Upgrades!$J$15+G264*Upgrades!$K$15)*POWER(Upgrades!$L$15,G264)))*(IF(Upgrades!$T$13="Microlensing",POWER(Upgrades!$U$13,E264),1)*IF(Upgrades!$T$14="Microlensing",POWER(Upgrades!$U$14,F264),1)*IF(Upgrades!$T$16="Microlensing",POWER(Upgrades!$U$16,H264),1)*IF(Upgrades!$T$17="Microlensing",POWER(Upgrades!$U$17,I264),1)*IF(Upgrades!$T$18="Microlensing",POWER(Upgrades!$U$18,J264),1)*IF(Upgrades!$T$19="Microlensing",POWER(Upgrades!$U$19,K264),1)*IF(Upgrades!$T$20="Microlensing",POWER(Upgrades!$U$20,L264),1)*IF(Upgrades!$T$21="Microlensing",POWER(Upgrades!$U$21,M264),1))+(IF(H264=0,0,(Upgrades!$J$16+H264*Upgrades!$K$16)*POWER(Upgrades!$L$16,H264)))*(IF(Upgrades!$T$13="Roche Lobe Overflow",POWER(Upgrades!$U$13,E264),1)*IF(Upgrades!$T$14="Roche Lobe Overflow",POWER(Upgrades!$U$14,F264),1)*IF(Upgrades!$T$15="Roche Lobe Overflow",POWER(Upgrades!$U$15,G264),1)*IF(Upgrades!$T$17="Roche Lobe Overflow",POWER(Upgrades!$U$17,I264),1)*IF(Upgrades!$T$18="Roche Lobe Overflow",POWER(Upgrades!$U$18,J264),1)*IF(Upgrades!$T$19="Roche Lobe Overflow",POWER(Upgrades!$U$19,K264),1)*IF(Upgrades!$T$20="Roche Lobe Overflow",POWER(Upgrades!$U$20,L264),1)*IF(Upgrades!$T$21="Roche Lobe Overflow",POWER(Upgrades!$U$21,M264),1))+(IF(I264=0,0,(Upgrades!$J$17+I264*Upgrades!$K$17)*POWER(Upgrades!$L$17,I264)))*(IF(Upgrades!$T$13="Brown Dwarf",POWER(Upgrades!$U$13,E264),1)*IF(Upgrades!$T$14="Brown Dwarf",POWER(Upgrades!$U$14,F264),1)*IF(Upgrades!$T$15="Brown Dwarf",POWER(Upgrades!$U$15,G264),1)*IF(Upgrades!$T$16="Brown Dwarf",POWER(Upgrades!$U$16,H264),1)*IF(Upgrades!$T$18="Brown Dwarf",POWER(Upgrades!$U$18,J264),1)*IF(Upgrades!$T$19="Brown Dwarf",POWER(Upgrades!$U$19,K264),1)*IF(Upgrades!$T$20="Brown Dwarf",POWER(Upgrades!$U$20,L264),1)*IF(Upgrades!$T$21="Brown Dwarf",POWER(Upgrades!$U$21,M264),1))+(IF(J264=0,0,(Upgrades!$J$18+J264*Upgrades!$K$18)*POWER(Upgrades!$L$18,J264)))*(IF(Upgrades!$T$13="Binary Partner",POWER(Upgrades!$U$13,E264),1)*IF(Upgrades!$T$14="Binary Partner",POWER(Upgrades!$U$14,F264),1)*IF(Upgrades!$T$15="Binary Partner",POWER(Upgrades!$U$15,G264),1)*IF(Upgrades!$T$16="Binary Partner",POWER(Upgrades!$U$16,H264),1)*IF(Upgrades!$T$17="Binary Partner",POWER(Upgrades!$U$17,I264),1)*IF(Upgrades!$T$19="Binary Partner",POWER(Upgrades!$U$19,K264),1)*IF(Upgrades!$T$20="Binary Partner",POWER(Upgrades!$U$20,L264),1)*IF(Upgrades!$T$21="Binary Partner",POWER(Upgrades!$U$21,M264),1))+(IF(K264=0,0,(Upgrades!$J$19+K264*Upgrades!$K$19)*POWER(Upgrades!$L$19,K264)))*(IF(Upgrades!$T$13="Peculiar Velocity",POWER(Upgrades!$U$13,E264),1)*IF(Upgrades!$T$14="Peculiar Velocity",POWER(Upgrades!$U$14,F264),1)*IF(Upgrades!$T$15="Peculiar Velocity",POWER(Upgrades!$U$15,G264),1)*IF(Upgrades!$T$16="Peculiar Velocity",POWER(Upgrades!$U$16,H264),1)*IF(Upgrades!$T$17="Peculiar Velocity",POWER(Upgrades!$U$17,I264),1)*IF(Upgrades!$T$18="Peculiar Velocity",POWER(Upgrades!$U$18,J264),1)*IF(Upgrades!$T$20="Peculiar Velocity",POWER(Upgrades!$U$20,L264),1)*IF(Upgrades!$T$21="Peculiar Velocity",POWER(Upgrades!$U$21,M264),1))+(IF(L264=0,0,(Upgrades!$J$20+L264*Upgrades!$K$20)*POWER(Upgrades!$L$20,L264)))*(IF(Upgrades!$T$13="Open Cluster",POWER(Upgrades!$U$13,E264),1)*IF(Upgrades!$T$14="Open Cluster",POWER(Upgrades!$U$14,F264),1)*IF(Upgrades!$T$15="Open Cluster",POWER(Upgrades!$U$15,G264),1)*IF(Upgrades!$T$16="Open Cluster",POWER(Upgrades!$U$16,H264),1)*IF(Upgrades!$T$17="Open Cluster",POWER(Upgrades!$U$17,I264),1)*IF(Upgrades!$T$18="Open Cluster",POWER(Upgrades!$U$18,J264),1)*IF(Upgrades!$T$19="Open Cluster",POWER(Upgrades!$U$19,K264),1)*IF(Upgrades!$T$21="Open Cluster",POWER(Upgrades!$U$21,M264),1))+(IF(M264=0,0,(Upgrades!$J$21+M264*Upgrades!$K$21)*POWER(Upgrades!$L$21,M264)))*(IF(Upgrades!$T$13="Moving Group",POWER(Upgrades!$U$13,E264),1)*IF(Upgrades!$T$14="Moving Group",POWER(Upgrades!$U$14,F264),1)*IF(Upgrades!$T$15="Moving Group",POWER(Upgrades!$U$15,G264),1)*IF(Upgrades!$T$16="Moving Group",POWER(Upgrades!$U$16,H264),1)*IF(Upgrades!$T$17="Moving Group",POWER(Upgrades!$U$17,I264),1)*IF(Upgrades!$T$18="Moving Group",POWER(Upgrades!$U$18,J264),1)*IF(Upgrades!$T$19="Moving Group",POWER(Upgrades!$U$19,K264),1)*IF(Upgrades!$T$20="Moving Group",POWER(Upgrades!$U$20,L264),1)))*POWER(Upgrades!$Q$13,E264)*POWER(Upgrades!$Q$14,F264)*POWER(Upgrades!$Q$15,G264)*POWER(Upgrades!$Q$16,H264)*POWER(Upgrades!$Q$17,I264)*POWER(Upgrades!$Q$18,J264)*POWER(Upgrades!$Q$19,K264)*POWER(Upgrades!$Q$20,L264)*POWER(Upgrades!$Q$21,M264)*$G$6+$D$6</f>
        <v/>
      </c>
      <c r="P264" s="28">
        <f>((IF(E264=0,0,(Upgrades!$G$13+E264*Upgrades!$H$13)*POWER(Upgrades!$I$13,E264)))*(IF(Upgrades!$T$14="Stellar Kinematics",POWER(Upgrades!$U$14,F264),1)*IF(Upgrades!$T$15="Stellar Kinematics",POWER(Upgrades!$U$15,G264),1)*IF(Upgrades!$T$16="Stellar Kinematics",POWER(Upgrades!$U$16,H264),1)*IF(Upgrades!$T$17="Stellar Kinematics",POWER(Upgrades!$U$17,I264),1)*IF(Upgrades!$T$18="Stellar Kinematics",POWER(Upgrades!$U$18,J264),1)*IF(Upgrades!$T$19="Stellar Kinematics",POWER(Upgrades!$U$19,K264),1)*IF(Upgrades!$T$20="Stellar Kinematics",POWER(Upgrades!$U$20,L264),1)*IF(Upgrades!$T$21="Stellar Kinematics",POWER(Upgrades!$U$21,M264),1))+(IF(F264=0,0,(Upgrades!$G$14+F264*Upgrades!$H$14)*POWER(Upgrades!$I$14,F264)))*(IF(Upgrades!$T$13="Local Bubble",POWER(Upgrades!$U$13,E264),1)*IF(Upgrades!$T$15="Local Bubble",POWER(Upgrades!$U$15,G264),1)*IF(Upgrades!$T$16="Local Bubble",POWER(Upgrades!$U$16,H264),1)*IF(Upgrades!$T$17="Local Bubble",POWER(Upgrades!$U$17,I264),1)*IF(Upgrades!$T$18="Local Bubble",POWER(Upgrades!$U$18,J264),1)*IF(Upgrades!$T$19="Local Bubble",POWER(Upgrades!$U$19,K264),1)*IF(Upgrades!$T$20="Local Bubble",POWER(Upgrades!$U$20,L264),1)*IF(Upgrades!$T$21="Local Bubble",POWER(Upgrades!$U$21,M264),1))+(IF(G264=0,0,(Upgrades!$G$15+G264*Upgrades!$H$15)*POWER(Upgrades!$I$15,G264)))*(IF(Upgrades!$T$13="Microlensing",POWER(Upgrades!$U$13,E264),1)*IF(Upgrades!$T$14="Microlensing",POWER(Upgrades!$U$14,F264),1)*IF(Upgrades!$T$16="Microlensing",POWER(Upgrades!$U$16,H264),1)*IF(Upgrades!$T$17="Microlensing",POWER(Upgrades!$U$17,I264),1)*IF(Upgrades!$T$18="Microlensing",POWER(Upgrades!$U$18,J264),1)*IF(Upgrades!$T$19="Microlensing",POWER(Upgrades!$U$19,K264),1)*IF(Upgrades!$T$20="Microlensing",POWER(Upgrades!$U$20,L264),1)*IF(Upgrades!$T$21="Microlensing",POWER(Upgrades!$U$21,M264),1))+(IF(H264=0,0,(Upgrades!$G$16+H264*Upgrades!$H$16)*POWER(Upgrades!$I$16,H264)))*(IF(Upgrades!$T$13="Roche Lobe Overflow",POWER(Upgrades!$U$13,E264),1)*IF(Upgrades!$T$14="Roche Lobe Overflow",POWER(Upgrades!$U$14,F264),1)*IF(Upgrades!$T$15="Roche Lobe Overflow",POWER(Upgrades!$U$15,G264),1)*IF(Upgrades!$T$17="Roche Lobe Overflow",POWER(Upgrades!$U$17,I264),1)*IF(Upgrades!$T$18="Roche Lobe Overflow",POWER(Upgrades!$U$18,J264),1)*IF(Upgrades!$T$19="Roche Lobe Overflow",POWER(Upgrades!$U$19,K264),1)*IF(Upgrades!$T$20="Roche Lobe Overflow",POWER(Upgrades!$U$20,L264),1)*IF(Upgrades!$T$21="Roche Lobe Overflow",POWER(Upgrades!$U$21,M264),1))+(IF(I264=0,0,(Upgrades!$G$17+I264*Upgrades!$H$17)*POWER(Upgrades!$I$17,I264)))*(IF(Upgrades!$T$13="Brown Dwarf",POWER(Upgrades!$U$13,E264),1)*IF(Upgrades!$T$14="Brown Dwarf",POWER(Upgrades!$U$14,F264),1)*IF(Upgrades!$T$15="Brown Dwarf",POWER(Upgrades!$U$15,G264),1)*IF(Upgrades!$T$16="Brown Dwarf",POWER(Upgrades!$U$16,H264),1)*IF(Upgrades!$T$18="Brown Dwarf",POWER(Upgrades!$U$18,J264),1)*IF(Upgrades!$T$19="Brown Dwarf",POWER(Upgrades!$U$19,K264),1)*IF(Upgrades!$T$20="Brown Dwarf",POWER(Upgrades!$U$20,L264),1)*IF(Upgrades!$T$21="Brown Dwarf",POWER(Upgrades!$U$21,M264),1))+(IF(J264=0,0,(Upgrades!$G$18+J264*Upgrades!$H$18)*POWER(Upgrades!$I$18,J264)))*(IF(Upgrades!$T$13="Binary Partner",POWER(Upgrades!$U$13,E264),1)*IF(Upgrades!$T$14="Binary Partner",POWER(Upgrades!$U$14,F264),1)*IF(Upgrades!$T$15="Binary Partner",POWER(Upgrades!$U$15,G264),1)*IF(Upgrades!$T$16="Binary Partner",POWER(Upgrades!$U$16,H264),1)*IF(Upgrades!$T$17="Binary Partner",POWER(Upgrades!$U$17,I264),1)*IF(Upgrades!$T$19="Binary Partner",POWER(Upgrades!$U$19,K264),1)*IF(Upgrades!$T$20="Binary Partner",POWER(Upgrades!$U$20,L264),1)*IF(Upgrades!$T$21="Binary Partner",POWER(Upgrades!$U$21,M264),1))+(IF(K264=0,0,(Upgrades!$G$19+K264*Upgrades!$H$19)*POWER(Upgrades!$I$19,K264)))*(IF(Upgrades!$T$13="Peculiar Velocity",POWER(Upgrades!$U$13,E264),1)*IF(Upgrades!$T$14="Peculiar Velocity",POWER(Upgrades!$U$14,F264),1)*IF(Upgrades!$T$15="Peculiar Velocity",POWER(Upgrades!$U$15,G264),1)*IF(Upgrades!$T$16="Peculiar Velocity",POWER(Upgrades!$U$16,H264),1)*IF(Upgrades!$T$17="Peculiar Velocity",POWER(Upgrades!$U$17,I264),1)*IF(Upgrades!$T$18="Peculiar Velocity",POWER(Upgrades!$U$18,J264),1)*IF(Upgrades!$T$20="Peculiar Velocity",POWER(Upgrades!$U$20,L264),1)*IF(Upgrades!$T$21="Peculiar Velocity",POWER(Upgrades!$U$21,M264),1))+(IF(L264=0,0,(Upgrades!$G$20+L264*Upgrades!$H$20)*POWER(Upgrades!$I$20,L264)))*(IF(Upgrades!$T$13="Open Cluster",POWER(Upgrades!$U$13,E264),1)*IF(Upgrades!$T$14="Open Cluster",POWER(Upgrades!$U$14,F264),1)*IF(Upgrades!$T$15="Open Cluster",POWER(Upgrades!$U$15,G264),1)*IF(Upgrades!$T$16="Open Cluster",POWER(Upgrades!$U$16,H264),1)*IF(Upgrades!$T$17="Open Cluster",POWER(Upgrades!$U$17,I264),1)*IF(Upgrades!$T$18="Open Cluster",POWER(Upgrades!$U$18,J264),1)*IF(Upgrades!$T$19="Open Cluster",POWER(Upgrades!$U$19,K264),1)*IF(Upgrades!$T$21="Open Cluster",POWER(Upgrades!$U$21,M264),1))+(IF(M264=0,0,(Upgrades!$G$21+M264*Upgrades!$H$21)*POWER(Upgrades!$I$21,M264)))*(IF(Upgrades!$T$13="Moving Group",POWER(Upgrades!$U$13,E264),1)*IF(Upgrades!$T$14="Moving Group",POWER(Upgrades!$U$14,F264),1)*IF(Upgrades!$T$15="Moving Group",POWER(Upgrades!$U$15,G264),1)*IF(Upgrades!$T$16="Moving Group",POWER(Upgrades!$U$16,H264),1)*IF(Upgrades!$T$17="Moving Group",POWER(Upgrades!$U$17,I264),1)*IF(Upgrades!$T$18="Moving Group",POWER(Upgrades!$U$18,J264),1)*IF(Upgrades!$T$19="Moving Group",POWER(Upgrades!$U$19,K264),1)*IF(Upgrades!$T$20="Moving Group",POWER(Upgrades!$U$20,L264),1)))*POWER(Upgrades!$P$13,E264)*POWER(Upgrades!$P$14,F264)*POWER(Upgrades!$P$15,G264)*POWER(Upgrades!$P$16,H264)*POWER(Upgrades!$P$17,I264)*POWER(Upgrades!$P$18,J264)*POWER(Upgrades!$P$19,K264)*POWER(Upgrades!$P$20,L264)*POWER(Upgrades!$P$21,M264)*$F$6+$C$6</f>
        <v/>
      </c>
      <c r="Q264" s="28">
        <f>((IF(E264=0,0,(Upgrades!$M$13+E264*Upgrades!$N$13)*POWER(Upgrades!$O$13,E264)))*(IF(Upgrades!$T$14="Stellar Kinematics",POWER(Upgrades!$U$14,F264),1)*IF(Upgrades!$T$15="Stellar Kinematics",POWER(Upgrades!$U$15,G264),1)*IF(Upgrades!$T$16="Stellar Kinematics",POWER(Upgrades!$U$16,H264),1)*IF(Upgrades!$T$17="Stellar Kinematics",POWER(Upgrades!$U$17,I264),1)*IF(Upgrades!$T$18="Stellar Kinematics",POWER(Upgrades!$U$18,J264),1)*IF(Upgrades!$T$19="Stellar Kinematics",POWER(Upgrades!$U$19,K264),1)*IF(Upgrades!$T$20="Stellar Kinematics",POWER(Upgrades!$U$20,L264),1)*IF(Upgrades!$T$21="Stellar Kinematics",POWER(Upgrades!$U$21,M264),1))+(IF(F264=0,0,(Upgrades!$M$14+F264*Upgrades!$N$14)*POWER(Upgrades!$O$14,F264)))*(IF(Upgrades!$T$13="Local Bubble",POWER(Upgrades!$U$13,E264),1)*IF(Upgrades!$T$15="Local Bubble",POWER(Upgrades!$U$15,G264),1)*IF(Upgrades!$T$16="Local Bubble",POWER(Upgrades!$U$16,H264),1)*IF(Upgrades!$T$17="Local Bubble",POWER(Upgrades!$U$17,I264),1)*IF(Upgrades!$T$18="Local Bubble",POWER(Upgrades!$U$18,J264),1)*IF(Upgrades!$T$19="Local Bubble",POWER(Upgrades!$U$19,K264),1)*IF(Upgrades!$T$20="Local Bubble",POWER(Upgrades!$U$20,L264),1)*IF(Upgrades!$T$21="Local Bubble",POWER(Upgrades!$U$21,M264),1))+(IF(G264=0,0,(Upgrades!$M$15+G264*Upgrades!$N$15)*POWER(Upgrades!$O$15,G264)))*(IF(Upgrades!$T$13="Microlensing",POWER(Upgrades!$U$13,E264),1)*IF(Upgrades!$T$14="Microlensing",POWER(Upgrades!$U$14,F264),1)*IF(Upgrades!$T$16="Microlensing",POWER(Upgrades!$U$16,H264),1)*IF(Upgrades!$T$17="Microlensing",POWER(Upgrades!$U$17,I264),1)*IF(Upgrades!$T$18="Microlensing",POWER(Upgrades!$U$18,J264),1)*IF(Upgrades!$T$19="Microlensing",POWER(Upgrades!$U$19,K264),1)*IF(Upgrades!$T$20="Microlensing",POWER(Upgrades!$U$20,L264),1)*IF(Upgrades!$T$21="Microlensing",POWER(Upgrades!$U$21,M264),1))+(IF(H264=0,0,(Upgrades!$M$16+H264*Upgrades!$N$16)*POWER(Upgrades!$O$16,H264)))*(IF(Upgrades!$T$13="Roche Lobe Overflow",POWER(Upgrades!$U$13,E264),1)*IF(Upgrades!$T$14="Roche Lobe Overflow",POWER(Upgrades!$U$14,F264),1)*IF(Upgrades!$T$15="Roche Lobe Overflow",POWER(Upgrades!$U$15,G264),1)*IF(Upgrades!$T$17="Roche Lobe Overflow",POWER(Upgrades!$U$17,I264),1)*IF(Upgrades!$T$18="Roche Lobe Overflow",POWER(Upgrades!$U$18,J264),1)*IF(Upgrades!$T$19="Roche Lobe Overflow",POWER(Upgrades!$U$19,K264),1)*IF(Upgrades!$T$20="Roche Lobe Overflow",POWER(Upgrades!$U$20,L264),1)*IF(Upgrades!$T$21="Roche Lobe Overflow",POWER(Upgrades!$U$21,M264),1))+(IF(I264=0,0,(Upgrades!$M$17+I264*Upgrades!$N$17)*POWER(Upgrades!$O$17,I264)))*(IF(Upgrades!$T$13="Brown Dwarf",POWER(Upgrades!$U$13,E264),1)*IF(Upgrades!$T$14="Brown Dwarf",POWER(Upgrades!$U$14,F264),1)*IF(Upgrades!$T$15="Brown Dwarf",POWER(Upgrades!$U$15,G264),1)*IF(Upgrades!$T$16="Brown Dwarf",POWER(Upgrades!$U$16,H264),1)*IF(Upgrades!$T$18="Brown Dwarf",POWER(Upgrades!$U$18,J264),1)*IF(Upgrades!$T$19="Brown Dwarf",POWER(Upgrades!$U$19,K264),1)*IF(Upgrades!$T$20="Brown Dwarf",POWER(Upgrades!$U$20,L264),1)*IF(Upgrades!$T$21="Brown Dwarf",POWER(Upgrades!$U$21,M264),1))+(IF(J264=0,0,(Upgrades!$M$18+J264*Upgrades!$N$18)*POWER(Upgrades!$O$18,J264)))*(IF(Upgrades!$T$13="Binary Partner",POWER(Upgrades!$U$13,E264),1)*IF(Upgrades!$T$14="Binary Partner",POWER(Upgrades!$U$14,F264),1)*IF(Upgrades!$T$15="Binary Partner",POWER(Upgrades!$U$15,G264),1)*IF(Upgrades!$T$16="Binary Partner",POWER(Upgrades!$U$16,H264),1)*IF(Upgrades!$T$17="Binary Partner",POWER(Upgrades!$U$17,I264),1)*IF(Upgrades!$T$19="Binary Partner",POWER(Upgrades!$U$19,K264),1)*IF(Upgrades!$T$20="Binary Partner",POWER(Upgrades!$U$20,L264),1)*IF(Upgrades!$T$21="Binary Partner",POWER(Upgrades!$U$21,M264),1))+(IF(K264=0,0,(Upgrades!$M$19+K264*Upgrades!$N$19)*POWER(Upgrades!$O$19,K264)))*(IF(Upgrades!$T$13="Peculiar Velocity",POWER(Upgrades!$U$13,E264),1)*IF(Upgrades!$T$14="Peculiar Velocity",POWER(Upgrades!$U$14,F264),1)*IF(Upgrades!$T$15="Peculiar Velocity",POWER(Upgrades!$U$15,G264),1)*IF(Upgrades!$T$16="Peculiar Velocity",POWER(Upgrades!$U$16,H264),1)*IF(Upgrades!$T$17="Peculiar Velocity",POWER(Upgrades!$U$17,I264),1)*IF(Upgrades!$T$18="Peculiar Velocity",POWER(Upgrades!$U$18,J264),1)*IF(Upgrades!$T$20="Peculiar Velocity",POWER(Upgrades!$U$20,L264),1)*IF(Upgrades!$T$21="Peculiar Velocity",POWER(Upgrades!$U$21,M264),1))+(IF(L264=0,0,(Upgrades!$M$20+L264*Upgrades!$N$20)*POWER(Upgrades!$O$20,L264)))*(IF(Upgrades!$T$13="Open Cluster",POWER(Upgrades!$U$13,E264),1)*IF(Upgrades!$T$14="Open Cluster",POWER(Upgrades!$U$14,F264),1)*IF(Upgrades!$T$15="Open Cluster",POWER(Upgrades!$U$15,G264),1)*IF(Upgrades!$T$16="Open Cluster",POWER(Upgrades!$U$16,H264),1)*IF(Upgrades!$T$17="Open Cluster",POWER(Upgrades!$U$17,I264),1)*IF(Upgrades!$T$18="Open Cluster",POWER(Upgrades!$U$18,J264),1)*IF(Upgrades!$T$19="Open Cluster",POWER(Upgrades!$U$19,K264),1)*IF(Upgrades!$T$21="Open Cluster",POWER(Upgrades!$U$21,M264),1))+(IF(M264=0,0,(Upgrades!$M$21+M264*Upgrades!$N$21)*POWER(Upgrades!$O$21,M264)))*(IF(Upgrades!$T$13="Moving Group",POWER(Upgrades!$U$13,E264),1)*IF(Upgrades!$T$14="Moving Group",POWER(Upgrades!$U$14,F264),1)*IF(Upgrades!$T$15="Moving Group",POWER(Upgrades!$U$15,G264),1)*IF(Upgrades!$T$16="Moving Group",POWER(Upgrades!$U$16,H264),1)*IF(Upgrades!$T$17="Moving Group",POWER(Upgrades!$U$17,I264),1)*IF(Upgrades!$T$18="Moving Group",POWER(Upgrades!$U$18,J264),1)*IF(Upgrades!$T$19="Moving Group",POWER(Upgrades!$U$19,K264),1)*IF(Upgrades!$T$20="Moving Group",POWER(Upgrades!$U$20,L264),1)))*POWER(Upgrades!$R$13,E264)*POWER(Upgrades!$R$14,F264)*POWER(Upgrades!$R$15,G264)*POWER(Upgrades!$R$16,H264)*POWER(Upgrades!$R$17,I264)*POWER(Upgrades!$R$18,J264)*POWER(Upgrades!$R$19,K264)*POWER(Upgrades!$R$20,L264)*POWER(Upgrades!$R$21,M264)*$H$6+$E$6</f>
        <v/>
      </c>
      <c r="R264" s="27">
        <f>IF(N264=1,0,O264*Parameters!$B$10/60*Parameters!$B$11*10)</f>
        <v/>
      </c>
      <c r="S264" s="27">
        <f>IF(N264=1,0,Q264*O264*10)</f>
        <v/>
      </c>
      <c r="T264" s="27">
        <f>IF(N264=1,0,R264+S264+P264*10)</f>
        <v/>
      </c>
      <c r="U264" s="33">
        <f>BE264</f>
        <v/>
      </c>
      <c r="V264" s="22">
        <f>IF(U264="",0,IF(U264="transition",0,IF(U264="SK",AK264,IF(U264="LB",AL264,IF(U264="ML",AM264,IF(U264="RLO",AN264,IF(U264="BD",AO264,IF(U264="BiP",AP264,IF(U264="PV",AQ264,IF(U264="OC",AR264,IF(U264="MG",AS264,0))))))))))</f>
        <v/>
      </c>
      <c r="W264" s="27">
        <f>IF(U264="BiP",Upgrades!$F$18,IF(U264="PV",Upgrades!$F$19,IF(U264="OC",Upgrades!$F$20,IF(U264="MG",Upgrades!$F$21,IF(U264="transition",-Parameters!$B$18*Parameters!$B$19,0)))))</f>
        <v/>
      </c>
      <c r="X264" s="22">
        <f>C264+T264-V264</f>
        <v/>
      </c>
      <c r="Y264" s="30">
        <f>O264*Parameters!$B$10/60*Parameters!$B$11+Q264*O264+P264</f>
        <v/>
      </c>
      <c r="Z264" s="34">
        <f>IF(U264="transition","→ Tier 3 (Galactic Arm)",IF(U264="MG","Moving Group — pocket drifts together",IF(U264="OC","Open Cluster acquired",IF(U264="PV","Peculiar Velocity — passive multiplier active",IF(U264="BiP","Binary Partner — pair bond formed",IF(AND(AU264=1,N264=0,AT264&lt;&gt;1),"Cohesion ready (waiting on completionists)","")))))) </f>
        <v/>
      </c>
      <c r="AA264" s="27">
        <f>(IF(E264=0,0,(Upgrades!$G$13+E264*Upgrades!$H$13)*POWER(Upgrades!$I$13,E264)))*(IF(Upgrades!$T$14="Stellar Kinematics",POWER(Upgrades!$U$14,F264),1)*IF(Upgrades!$T$15="Stellar Kinematics",POWER(Upgrades!$U$15,G264),1)*IF(Upgrades!$T$16="Stellar Kinematics",POWER(Upgrades!$U$16,H264),1)*IF(Upgrades!$T$17="Stellar Kinematics",POWER(Upgrades!$U$17,I264),1)*IF(Upgrades!$T$18="Stellar Kinematics",POWER(Upgrades!$U$18,J264),1)*IF(Upgrades!$T$19="Stellar Kinematics",POWER(Upgrades!$U$19,K264),1)*IF(Upgrades!$T$20="Stellar Kinematics",POWER(Upgrades!$U$20,L264),1)*IF(Upgrades!$T$21="Stellar Kinematics",POWER(Upgrades!$U$21,M264),1))*POWER(Upgrades!$P$13,E264)*POWER(Upgrades!$P$14,F264)*POWER(Upgrades!$P$15,G264)*POWER(Upgrades!$P$16,H264)*POWER(Upgrades!$P$17,I264)*POWER(Upgrades!$P$18,J264)*POWER(Upgrades!$P$19,K264)*POWER(Upgrades!$P$20,L264)*POWER(Upgrades!$P$21,M264)*$F$6*60</f>
        <v/>
      </c>
      <c r="AB264" s="27">
        <f>(IF(F264=0,0,(Upgrades!$G$14+F264*Upgrades!$H$14)*POWER(Upgrades!$I$14,F264)))*(IF(Upgrades!$T$13="Local Bubble",POWER(Upgrades!$U$13,E264),1)*IF(Upgrades!$T$15="Local Bubble",POWER(Upgrades!$U$15,G264),1)*IF(Upgrades!$T$16="Local Bubble",POWER(Upgrades!$U$16,H264),1)*IF(Upgrades!$T$17="Local Bubble",POWER(Upgrades!$U$17,I264),1)*IF(Upgrades!$T$18="Local Bubble",POWER(Upgrades!$U$18,J264),1)*IF(Upgrades!$T$19="Local Bubble",POWER(Upgrades!$U$19,K264),1)*IF(Upgrades!$T$20="Local Bubble",POWER(Upgrades!$U$20,L264),1)*IF(Upgrades!$T$21="Local Bubble",POWER(Upgrades!$U$21,M264),1))*POWER(Upgrades!$P$13,E264)*POWER(Upgrades!$P$14,F264)*POWER(Upgrades!$P$15,G264)*POWER(Upgrades!$P$16,H264)*POWER(Upgrades!$P$17,I264)*POWER(Upgrades!$P$18,J264)*POWER(Upgrades!$P$19,K264)*POWER(Upgrades!$P$20,L264)*POWER(Upgrades!$P$21,M264)*$F$6*60</f>
        <v/>
      </c>
      <c r="AC264" s="27">
        <f>(IF(G264=0,0,(Upgrades!$J$15+G264*Upgrades!$K$15)*POWER(Upgrades!$L$15,G264)))*(IF(Upgrades!$T$13="Microlensing",POWER(Upgrades!$U$13,E264),1)*IF(Upgrades!$T$14="Microlensing",POWER(Upgrades!$U$14,F264),1)*IF(Upgrades!$T$16="Microlensing",POWER(Upgrades!$U$16,H264),1)*IF(Upgrades!$T$17="Microlensing",POWER(Upgrades!$U$17,I264),1)*IF(Upgrades!$T$18="Microlensing",POWER(Upgrades!$U$18,J264),1)*IF(Upgrades!$T$19="Microlensing",POWER(Upgrades!$U$19,K264),1)*IF(Upgrades!$T$20="Microlensing",POWER(Upgrades!$U$20,L264),1)*IF(Upgrades!$T$21="Microlensing",POWER(Upgrades!$U$21,M264),1))*POWER(Upgrades!$Q$13,E264)*POWER(Upgrades!$Q$14,F264)*POWER(Upgrades!$Q$15,G264)*POWER(Upgrades!$Q$16,H264)*POWER(Upgrades!$Q$17,I264)*POWER(Upgrades!$Q$18,J264)*POWER(Upgrades!$Q$19,K264)*POWER(Upgrades!$Q$20,L264)*POWER(Upgrades!$Q$21,M264)*$G$6*(Parameters!$B$10*Parameters!$B$11+Q264*60)</f>
        <v/>
      </c>
      <c r="AD264" s="27">
        <f>(IF(H264=0,0,(Upgrades!$M$16+H264*Upgrades!$N$16)*POWER(Upgrades!$O$16,H264)))*(IF(Upgrades!$T$13="Roche Lobe Overflow",POWER(Upgrades!$U$13,E264),1)*IF(Upgrades!$T$14="Roche Lobe Overflow",POWER(Upgrades!$U$14,F264),1)*IF(Upgrades!$T$15="Roche Lobe Overflow",POWER(Upgrades!$U$15,G264),1)*IF(Upgrades!$T$17="Roche Lobe Overflow",POWER(Upgrades!$U$17,I264),1)*IF(Upgrades!$T$18="Roche Lobe Overflow",POWER(Upgrades!$U$18,J264),1)*IF(Upgrades!$T$19="Roche Lobe Overflow",POWER(Upgrades!$U$19,K264),1)*IF(Upgrades!$T$20="Roche Lobe Overflow",POWER(Upgrades!$U$20,L264),1)*IF(Upgrades!$T$21="Roche Lobe Overflow",POWER(Upgrades!$U$21,M264),1))*POWER(Upgrades!$R$13,E264)*POWER(Upgrades!$R$14,F264)*POWER(Upgrades!$R$15,G264)*POWER(Upgrades!$R$16,H264)*POWER(Upgrades!$R$17,I264)*POWER(Upgrades!$R$18,J264)*POWER(Upgrades!$R$19,K264)*POWER(Upgrades!$R$20,L264)*POWER(Upgrades!$R$21,M264)*$H$6*O264*60</f>
        <v/>
      </c>
      <c r="AE264" s="27">
        <f>(IF(I264=0,0,(Upgrades!$G$17+I264*Upgrades!$H$17)*POWER(Upgrades!$I$17,I264)))*(IF(Upgrades!$T$13="Brown Dwarf",POWER(Upgrades!$U$13,E264),1)*IF(Upgrades!$T$14="Brown Dwarf",POWER(Upgrades!$U$14,F264),1)*IF(Upgrades!$T$15="Brown Dwarf",POWER(Upgrades!$U$15,G264),1)*IF(Upgrades!$T$16="Brown Dwarf",POWER(Upgrades!$U$16,H264),1)*IF(Upgrades!$T$18="Brown Dwarf",POWER(Upgrades!$U$18,J264),1)*IF(Upgrades!$T$19="Brown Dwarf",POWER(Upgrades!$U$19,K264),1)*IF(Upgrades!$T$20="Brown Dwarf",POWER(Upgrades!$U$20,L264),1)*IF(Upgrades!$T$21="Brown Dwarf",POWER(Upgrades!$U$21,M264),1))*POWER(Upgrades!$P$13,E264)*POWER(Upgrades!$P$14,F264)*POWER(Upgrades!$P$15,G264)*POWER(Upgrades!$P$16,H264)*POWER(Upgrades!$P$17,I264)*POWER(Upgrades!$P$18,J264)*POWER(Upgrades!$P$19,K264)*POWER(Upgrades!$P$20,L264)*POWER(Upgrades!$P$21,M264)*$F$6*60</f>
        <v/>
      </c>
      <c r="AF264" s="27" t="n">
        <v>0</v>
      </c>
      <c r="AG264" s="27" t="n">
        <v>0</v>
      </c>
      <c r="AH264" s="27" t="n">
        <v>0</v>
      </c>
      <c r="AI264" s="27">
        <f>(IF(M264=0,0,(Upgrades!$G$21+M264*Upgrades!$H$21)*POWER(Upgrades!$I$21,M264)))*(IF(Upgrades!$T$13="Moving Group",POWER(Upgrades!$U$13,E264),1)*IF(Upgrades!$T$14="Moving Group",POWER(Upgrades!$U$14,F264),1)*IF(Upgrades!$T$15="Moving Group",POWER(Upgrades!$U$15,G264),1)*IF(Upgrades!$T$16="Moving Group",POWER(Upgrades!$U$16,H264),1)*IF(Upgrades!$T$17="Moving Group",POWER(Upgrades!$U$17,I264),1)*IF(Upgrades!$T$18="Moving Group",POWER(Upgrades!$U$18,J264),1)*IF(Upgrades!$T$19="Moving Group",POWER(Upgrades!$U$19,K264),1)*IF(Upgrades!$T$20="Moving Group",POWER(Upgrades!$U$20,L264),1))*POWER(Upgrades!$P$13,E264)*POWER(Upgrades!$P$14,F264)*POWER(Upgrades!$P$15,G264)*POWER(Upgrades!$P$16,H264)*POWER(Upgrades!$P$17,I264)*POWER(Upgrades!$P$18,J264)*POWER(Upgrades!$P$19,K264)*POWER(Upgrades!$P$20,L264)*POWER(Upgrades!$P$21,M264)*$F$6*60</f>
        <v/>
      </c>
      <c r="AJ264" s="27">
        <f>$C$6*60</f>
        <v/>
      </c>
      <c r="AK264" s="22">
        <f>IF(E264&gt;=Upgrades!$E$13,"",Upgrades!$C$13*POWER(Upgrades!$D$13,E264))</f>
        <v/>
      </c>
      <c r="AL264" s="22">
        <f>IF(F264&gt;=Upgrades!$E$14,"",Upgrades!$C$14*POWER(Upgrades!$D$14,F264))</f>
        <v/>
      </c>
      <c r="AM264" s="22">
        <f>IF(G264&gt;=Upgrades!$E$15,"",Upgrades!$C$15*POWER(Upgrades!$D$15,G264))</f>
        <v/>
      </c>
      <c r="AN264" s="22">
        <f>IF(H264&gt;=Upgrades!$E$16,"",Upgrades!$C$16*POWER(Upgrades!$D$16,H264))</f>
        <v/>
      </c>
      <c r="AO264" s="22">
        <f>IF(I264&gt;=Upgrades!$E$17,"",Upgrades!$C$17*POWER(Upgrades!$D$17,I264))</f>
        <v/>
      </c>
      <c r="AP264" s="22">
        <f>IF(J264&gt;=Upgrades!$E$18,"",Upgrades!$C$18*POWER(Upgrades!$D$18,J264))</f>
        <v/>
      </c>
      <c r="AQ264" s="22">
        <f>IF(K264&gt;=Upgrades!$E$19,"",Upgrades!$C$19*POWER(Upgrades!$D$19,K264))</f>
        <v/>
      </c>
      <c r="AR264" s="22">
        <f>IF(L264&gt;=Upgrades!$E$20,"",Upgrades!$C$20*POWER(Upgrades!$D$20,L264))</f>
        <v/>
      </c>
      <c r="AS264" s="22">
        <f>IF(M264&gt;=Upgrades!$E$21,"",Upgrades!$C$21*POWER(Upgrades!$D$21,M264))</f>
        <v/>
      </c>
      <c r="AT264" s="26">
        <f>IF(AND(D264&gt;=Parameters!$B$18*Parameters!$B$19,(I264&gt;=Upgrades!$E$17)*(M264&gt;=Upgrades!$E$21)=1,N264=0),1,"")</f>
        <v/>
      </c>
      <c r="AU264" s="26">
        <f>IF(AND(D264&gt;=Parameters!$B$18*Parameters!$B$19,N264=0),1,"")</f>
        <v/>
      </c>
      <c r="AV264" s="22">
        <f>MIN(IF(ISNUMBER(AP264),AP264,9E15),IF(ISNUMBER(AQ264),AQ264,9E15),IF(ISNUMBER(AR264),AR264,9E15),IF(ISNUMBER(AS264),AS264,9E15))</f>
        <v/>
      </c>
      <c r="AW264" s="22">
        <f>MIN(IF(ISNUMBER(AK264),AK264,9E15),IF(ISNUMBER(AL264),AL264,9E15),IF(ISNUMBER(AM264),AM264,9E15),IF(ISNUMBER(AN264),AN264,9E15),IF(ISNUMBER(AO264),AO264,9E15))</f>
        <v/>
      </c>
      <c r="AX264" s="29">
        <f>IF(BD264&gt;Parameters!$B$21*(MAX(IF(AND(NOT(AND(AU264=1,AT264&lt;&gt;1)),ISNUMBER(AK264),AK264&lt;=(C264+T264)),AY264,0),IF(AND(NOT(AND(AU264=1,AT264&lt;&gt;1)),ISNUMBER(AL264),AL264&lt;=(C264+T264)),AZ264,0),IF(AND(NOT(AND(AU264=1,AT264&lt;&gt;1)),ISNUMBER(AM264),AM264&lt;=(C264+T264)),BA264,0),IF(AND(NOT(AND(AU264=1,AT264&lt;&gt;1)),ISNUMBER(AN264),AN264&lt;=(C264+T264)),BB264,0),IF(AND(ISNUMBER(AO264),AO264&lt;=(C264+T264)),BC264,0))),TRUE,FALSE)</f>
        <v/>
      </c>
      <c r="AY264" s="32">
        <f>IFERROR(Upgrades!$H$13*(POWER(Upgrades!$P$13,E264)*POWER(Upgrades!$P$14,F264)*POWER(Upgrades!$P$15,G264)*POWER(Upgrades!$P$16,H264)*POWER(Upgrades!$P$17,I264)*POWER(Upgrades!$P$18,J264)*POWER(Upgrades!$P$19,K264)*POWER(Upgrades!$P$20,L264)*POWER(Upgrades!$P$21,M264))*(IF(Upgrades!$T$14="Stellar Kinematics",POWER(Upgrades!$U$14,F264),1)*IF(Upgrades!$T$15="Stellar Kinematics",POWER(Upgrades!$U$15,G264),1)*IF(Upgrades!$T$16="Stellar Kinematics",POWER(Upgrades!$U$16,H264),1)*IF(Upgrades!$T$17="Stellar Kinematics",POWER(Upgrades!$U$17,I264),1)*IF(Upgrades!$T$18="Stellar Kinematics",POWER(Upgrades!$U$18,J264),1)*IF(Upgrades!$T$19="Stellar Kinematics",POWER(Upgrades!$U$19,K264),1)*IF(Upgrades!$T$20="Stellar Kinematics",POWER(Upgrades!$U$20,L264),1)*IF(Upgrades!$T$21="Stellar Kinematics",POWER(Upgrades!$U$21,M264),1))*$F$6/AK264,0)</f>
        <v/>
      </c>
      <c r="AZ264" s="32">
        <f>IFERROR(Upgrades!$H$14*(POWER(Upgrades!$P$13,E264)*POWER(Upgrades!$P$14,F264)*POWER(Upgrades!$P$15,G264)*POWER(Upgrades!$P$16,H264)*POWER(Upgrades!$P$17,I264)*POWER(Upgrades!$P$18,J264)*POWER(Upgrades!$P$19,K264)*POWER(Upgrades!$P$20,L264)*POWER(Upgrades!$P$21,M264))*(IF(Upgrades!$T$13="Local Bubble",POWER(Upgrades!$U$13,E264),1)*IF(Upgrades!$T$15="Local Bubble",POWER(Upgrades!$U$15,G264),1)*IF(Upgrades!$T$16="Local Bubble",POWER(Upgrades!$U$16,H264),1)*IF(Upgrades!$T$17="Local Bubble",POWER(Upgrades!$U$17,I264),1)*IF(Upgrades!$T$18="Local Bubble",POWER(Upgrades!$U$18,J264),1)*IF(Upgrades!$T$19="Local Bubble",POWER(Upgrades!$U$19,K264),1)*IF(Upgrades!$T$20="Local Bubble",POWER(Upgrades!$U$20,L264),1)*IF(Upgrades!$T$21="Local Bubble",POWER(Upgrades!$U$21,M264),1))*$F$6/AL264,0)</f>
        <v/>
      </c>
      <c r="BA264" s="32">
        <f>IFERROR(Upgrades!$K$15*(POWER(Upgrades!$Q$13,E264)*POWER(Upgrades!$Q$14,F264)*POWER(Upgrades!$Q$15,G264)*POWER(Upgrades!$Q$16,H264)*POWER(Upgrades!$Q$17,I264)*POWER(Upgrades!$Q$18,J264)*POWER(Upgrades!$Q$19,K264)*POWER(Upgrades!$Q$20,L264)*POWER(Upgrades!$Q$21,M264))*(IF(Upgrades!$T$13="Microlensing",POWER(Upgrades!$U$13,E264),1)*IF(Upgrades!$T$14="Microlensing",POWER(Upgrades!$U$14,F264),1)*IF(Upgrades!$T$16="Microlensing",POWER(Upgrades!$U$16,H264),1)*IF(Upgrades!$T$17="Microlensing",POWER(Upgrades!$U$17,I264),1)*IF(Upgrades!$T$18="Microlensing",POWER(Upgrades!$U$18,J264),1)*IF(Upgrades!$T$19="Microlensing",POWER(Upgrades!$U$19,K264),1)*IF(Upgrades!$T$20="Microlensing",POWER(Upgrades!$U$20,L264),1)*IF(Upgrades!$T$21="Microlensing",POWER(Upgrades!$U$21,M264),1))*$G$6*(Parameters!$B$10/60*Parameters!$B$11+Q264)/AM264,0)</f>
        <v/>
      </c>
      <c r="BB264" s="32">
        <f>IFERROR((Upgrades!$N$16*(POWER(Upgrades!$R$13,E264)*POWER(Upgrades!$R$14,F264)*POWER(Upgrades!$R$15,G264)*POWER(Upgrades!$R$16,H264)*POWER(Upgrades!$R$17,I264)*POWER(Upgrades!$R$18,J264)*POWER(Upgrades!$R$19,K264)*POWER(Upgrades!$R$20,L264)*POWER(Upgrades!$R$21,M264))*(IF(Upgrades!$T$13="Roche Lobe Overflow",POWER(Upgrades!$U$13,E264),1)*IF(Upgrades!$T$14="Roche Lobe Overflow",POWER(Upgrades!$U$14,F264),1)*IF(Upgrades!$T$15="Roche Lobe Overflow",POWER(Upgrades!$U$15,G264),1)*IF(Upgrades!$T$17="Roche Lobe Overflow",POWER(Upgrades!$U$17,I264),1)*IF(Upgrades!$T$18="Roche Lobe Overflow",POWER(Upgrades!$U$18,J264),1)*IF(Upgrades!$T$19="Roche Lobe Overflow",POWER(Upgrades!$U$19,K264),1)*IF(Upgrades!$T$20="Roche Lobe Overflow",POWER(Upgrades!$U$20,L264),1)*IF(Upgrades!$T$21="Roche Lobe Overflow",POWER(Upgrades!$U$21,M264),1))*$H$6*O264+((IF(F264=0,0,(Upgrades!$G$14+F264*Upgrades!$H$14)*POWER(Upgrades!$I$14,F264)))*(IF(Upgrades!$T$13="Local Bubble",POWER(Upgrades!$U$13,E264),1)*IF(Upgrades!$T$15="Local Bubble",POWER(Upgrades!$U$15,G264),1)*IF(Upgrades!$T$16="Local Bubble",POWER(Upgrades!$U$16,H264),1)*IF(Upgrades!$T$17="Local Bubble",POWER(Upgrades!$U$17,I264),1)*IF(Upgrades!$T$18="Local Bubble",POWER(Upgrades!$U$18,J264),1)*IF(Upgrades!$T$19="Local Bubble",POWER(Upgrades!$U$19,K264),1)*IF(Upgrades!$T$20="Local Bubble",POWER(Upgrades!$U$20,L264),1)*IF(Upgrades!$T$21="Local Bubble",POWER(Upgrades!$U$21,M264),1))*POWER(Upgrades!$P$13,E264)*POWER(Upgrades!$P$14,F264)*POWER(Upgrades!$P$15,G264)*POWER(Upgrades!$P$16,H264)*POWER(Upgrades!$P$17,I264)*POWER(Upgrades!$P$18,J264)*POWER(Upgrades!$P$19,K264)*POWER(Upgrades!$P$20,L264)*POWER(Upgrades!$P$21,M264)*$F$6)*0.05)/AN264,0)</f>
        <v/>
      </c>
      <c r="BC264" s="32">
        <f>IFERROR((Upgrades!$H$17*(POWER(Upgrades!$P$13,E264)*POWER(Upgrades!$P$14,F264)*POWER(Upgrades!$P$15,G264)*POWER(Upgrades!$P$16,H264)*POWER(Upgrades!$P$17,I264)*POWER(Upgrades!$P$18,J264)*POWER(Upgrades!$P$19,K264)*POWER(Upgrades!$P$20,L264)*POWER(Upgrades!$P$21,M264))*(IF(Upgrades!$T$13="Brown Dwarf",POWER(Upgrades!$U$13,E264),1)*IF(Upgrades!$T$14="Brown Dwarf",POWER(Upgrades!$U$14,F264),1)*IF(Upgrades!$T$15="Brown Dwarf",POWER(Upgrades!$U$15,G264),1)*IF(Upgrades!$T$16="Brown Dwarf",POWER(Upgrades!$U$16,H264),1)*IF(Upgrades!$T$18="Brown Dwarf",POWER(Upgrades!$U$18,J264),1)*IF(Upgrades!$T$19="Brown Dwarf",POWER(Upgrades!$U$19,K264),1)*IF(Upgrades!$T$20="Brown Dwarf",POWER(Upgrades!$U$20,L264),1)*IF(Upgrades!$T$21="Brown Dwarf",POWER(Upgrades!$U$21,M264),1))*$F$6+(((IF(H264=0,0,(Upgrades!$M$16+H264*Upgrades!$N$16)*POWER(Upgrades!$O$16,H264)))*(IF(Upgrades!$T$13="Roche Lobe Overflow",POWER(Upgrades!$U$13,E264),1)*IF(Upgrades!$T$14="Roche Lobe Overflow",POWER(Upgrades!$U$14,F264),1)*IF(Upgrades!$T$15="Roche Lobe Overflow",POWER(Upgrades!$U$15,G264),1)*IF(Upgrades!$T$17="Roche Lobe Overflow",POWER(Upgrades!$U$17,I264),1)*IF(Upgrades!$T$18="Roche Lobe Overflow",POWER(Upgrades!$U$18,J264),1)*IF(Upgrades!$T$19="Roche Lobe Overflow",POWER(Upgrades!$U$19,K264),1)*IF(Upgrades!$T$20="Roche Lobe Overflow",POWER(Upgrades!$U$20,L264),1)*IF(Upgrades!$T$21="Roche Lobe Overflow",POWER(Upgrades!$U$21,M264),1))*POWER(Upgrades!$R$13,E264)*POWER(Upgrades!$R$14,F264)*POWER(Upgrades!$R$15,G264)*POWER(Upgrades!$R$16,H264)*POWER(Upgrades!$R$17,I264)*POWER(Upgrades!$R$18,J264)*POWER(Upgrades!$R$19,K264)*POWER(Upgrades!$R$20,L264)*POWER(Upgrades!$R$21,M264)*$H$6)*O264)*0.10)/AO264,0)</f>
        <v/>
      </c>
      <c r="BD264" s="32">
        <f>MAX(IF(J264&gt;0,0,IFERROR(0.5*((IF(G264=0,0,(Upgrades!$J$15+G264*Upgrades!$K$15)*POWER(Upgrades!$L$15,G264)))*(IF(Upgrades!$T$13="Microlensing",POWER(Upgrades!$U$13,E264),1)*IF(Upgrades!$T$14="Microlensing",POWER(Upgrades!$U$14,F264),1)*IF(Upgrades!$T$16="Microlensing",POWER(Upgrades!$U$16,H264),1)*IF(Upgrades!$T$17="Microlensing",POWER(Upgrades!$U$17,I264),1)*IF(Upgrades!$T$18="Microlensing",POWER(Upgrades!$U$18,J264),1)*IF(Upgrades!$T$19="Microlensing",POWER(Upgrades!$U$19,K264),1)*IF(Upgrades!$T$20="Microlensing",POWER(Upgrades!$U$20,L264),1)*IF(Upgrades!$T$21="Microlensing",POWER(Upgrades!$U$21,M264),1))*(POWER(Upgrades!$Q$13,E264)*POWER(Upgrades!$Q$14,F264)*POWER(Upgrades!$Q$15,G264)*POWER(Upgrades!$Q$16,H264)*POWER(Upgrades!$Q$17,I264)*POWER(Upgrades!$Q$18,J264)*POWER(Upgrades!$Q$19,K264)*POWER(Upgrades!$Q$20,L264)*POWER(Upgrades!$Q$21,M264))*$G$6*(Parameters!$B$10/60*Parameters!$B$11+Q264))/Upgrades!$C$18,0)),IF(K264&gt;0,0,IFERROR(0.30*P264/Upgrades!$C$19,0)),IF(L264&gt;0,0,IFERROR(0.0001/Upgrades!$C$20,0)),IF(M264&gt;0,0,IFERROR((6.0*(POWER(Upgrades!$P$13,E264)*POWER(Upgrades!$P$14,F264)*POWER(Upgrades!$P$15,G264)*POWER(Upgrades!$P$16,H264)*POWER(Upgrades!$P$17,I264)*POWER(Upgrades!$P$18,J264)*POWER(Upgrades!$P$19,K264)*POWER(Upgrades!$P$20,L264)*POWER(Upgrades!$P$21,M264))*$F$6+0.20*O264*(Parameters!$B$10/60*Parameters!$B$11+Q264))/Upgrades!$C$21,0)),IF(AND(ISNUMBER(AK264),AK264&gt;(C264+T264)),AY264,0),IF(AND(ISNUMBER(AL264),AL264&gt;(C264+T264)),AZ264,0),IF(AND(ISNUMBER(AM264),AM264&gt;(C264+T264)),BA264,0),IF(AND(ISNUMBER(AN264),AN264&gt;(C264+T264)),BB264,0),IF(AND(ISNUMBER(AO264),AO264&gt;(C264+T264)),BC264,0))</f>
        <v/>
      </c>
      <c r="BE264" s="29">
        <f>IF(AT264=1,"transition",IF(MIN(IF(AND(J264=0,ISNUMBER(AP264),AP264&lt;=(C264+T264)),AP264,9E15),IF(AND(K264=0,ISNUMBER(AQ264),AQ264&lt;=(C264+T264)),AQ264,9E15),IF(AND(L264=0,ISNUMBER(AR264),AR264&lt;=(C264+T264)),AR264,9E15),IF(AND(M264=0,ISNUMBER(AS264),AS264&lt;=(C264+T264)),AS264,9E15))&lt;9E15,IF(AND(AND(J264=0,ISNUMBER(AP264),AP264&lt;=(C264+T264)),AP264=MIN(IF(AND(J264=0,ISNUMBER(AP264),AP264&lt;=(C264+T264)),AP264,9E15),IF(AND(K264=0,ISNUMBER(AQ264),AQ264&lt;=(C264+T264)),AQ264,9E15),IF(AND(L264=0,ISNUMBER(AR264),AR264&lt;=(C264+T264)),AR264,9E15),IF(AND(M264=0,ISNUMBER(AS264),AS264&lt;=(C264+T264)),AS264,9E15))),"BiP",IF(AND(AND(K264=0,ISNUMBER(AQ264),AQ264&lt;=(C264+T264)),AQ264=MIN(IF(AND(J264=0,ISNUMBER(AP264),AP264&lt;=(C264+T264)),AP264,9E15),IF(AND(K264=0,ISNUMBER(AQ264),AQ264&lt;=(C264+T264)),AQ264,9E15),IF(AND(L264=0,ISNUMBER(AR264),AR264&lt;=(C264+T264)),AR264,9E15),IF(AND(M264=0,ISNUMBER(AS264),AS264&lt;=(C264+T264)),AS264,9E15))),"PV",IF(AND(AND(L264=0,ISNUMBER(AR264),AR264&lt;=(C264+T264)),AR264=MIN(IF(AND(J264=0,ISNUMBER(AP264),AP264&lt;=(C264+T264)),AP264,9E15),IF(AND(K264=0,ISNUMBER(AQ264),AQ264&lt;=(C264+T264)),AQ264,9E15),IF(AND(L264=0,ISNUMBER(AR264),AR264&lt;=(C264+T264)),AR264,9E15),IF(AND(M264=0,ISNUMBER(AS264),AS264&lt;=(C264+T264)),AS264,9E15))),"OC","MG"))),IF(AX264=TRUE,"",IF(MAX(IF(AND(NOT(AND(AU264=1,AT264&lt;&gt;1)),ISNUMBER(AK264),AK264&lt;=(C264+T264)),AY264,0),IF(AND(NOT(AND(AU264=1,AT264&lt;&gt;1)),ISNUMBER(AL264),AL264&lt;=(C264+T264)),AZ264,0),IF(AND(NOT(AND(AU264=1,AT264&lt;&gt;1)),ISNUMBER(AM264),AM264&lt;=(C264+T264)),BA264,0),IF(AND(NOT(AND(AU264=1,AT264&lt;&gt;1)),ISNUMBER(AN264),AN264&lt;=(C264+T264)),BB264,0),IF(AND(ISNUMBER(AO264),AO264&lt;=(C264+T264)),BC264,0))&lt;=0,"",IF(AND(IF(AND(NOT(AND(AU264=1,AT264&lt;&gt;1)),ISNUMBER(AK264),AK264&lt;=(C264+T264)),AY264,0)&gt;0,IF(AND(NOT(AND(AU264=1,AT264&lt;&gt;1)),ISNUMBER(AK264),AK264&lt;=(C264+T264)),AY264,0)=MAX(IF(AND(NOT(AND(AU264=1,AT264&lt;&gt;1)),ISNUMBER(AK264),AK264&lt;=(C264+T264)),AY264,0),IF(AND(NOT(AND(AU264=1,AT264&lt;&gt;1)),ISNUMBER(AL264),AL264&lt;=(C264+T264)),AZ264,0),IF(AND(NOT(AND(AU264=1,AT264&lt;&gt;1)),ISNUMBER(AM264),AM264&lt;=(C264+T264)),BA264,0),IF(AND(NOT(AND(AU264=1,AT264&lt;&gt;1)),ISNUMBER(AN264),AN264&lt;=(C264+T264)),BB264,0),IF(AND(ISNUMBER(AO264),AO264&lt;=(C264+T264)),BC264,0))),"SK",IF(AND(IF(AND(NOT(AND(AU264=1,AT264&lt;&gt;1)),ISNUMBER(AL264),AL264&lt;=(C264+T264)),AZ264,0)&gt;0,IF(AND(NOT(AND(AU264=1,AT264&lt;&gt;1)),ISNUMBER(AL264),AL264&lt;=(C264+T264)),AZ264,0)=MAX(IF(AND(NOT(AND(AU264=1,AT264&lt;&gt;1)),ISNUMBER(AK264),AK264&lt;=(C264+T264)),AY264,0),IF(AND(NOT(AND(AU264=1,AT264&lt;&gt;1)),ISNUMBER(AL264),AL264&lt;=(C264+T264)),AZ264,0),IF(AND(NOT(AND(AU264=1,AT264&lt;&gt;1)),ISNUMBER(AM264),AM264&lt;=(C264+T264)),BA264,0),IF(AND(NOT(AND(AU264=1,AT264&lt;&gt;1)),ISNUMBER(AN264),AN264&lt;=(C264+T264)),BB264,0),IF(AND(ISNUMBER(AO264),AO264&lt;=(C264+T264)),BC264,0))),"LB",IF(AND(IF(AND(NOT(AND(AU264=1,AT264&lt;&gt;1)),ISNUMBER(AM264),AM264&lt;=(C264+T264)),BA264,0)&gt;0,IF(AND(NOT(AND(AU264=1,AT264&lt;&gt;1)),ISNUMBER(AM264),AM264&lt;=(C264+T264)),BA264,0)=MAX(IF(AND(NOT(AND(AU264=1,AT264&lt;&gt;1)),ISNUMBER(AK264),AK264&lt;=(C264+T264)),AY264,0),IF(AND(NOT(AND(AU264=1,AT264&lt;&gt;1)),ISNUMBER(AL264),AL264&lt;=(C264+T264)),AZ264,0),IF(AND(NOT(AND(AU264=1,AT264&lt;&gt;1)),ISNUMBER(AM264),AM264&lt;=(C264+T264)),BA264,0),IF(AND(NOT(AND(AU264=1,AT264&lt;&gt;1)),ISNUMBER(AN264),AN264&lt;=(C264+T264)),BB264,0),IF(AND(ISNUMBER(AO264),AO264&lt;=(C264+T264)),BC264,0))),"ML",IF(AND(IF(AND(NOT(AND(AU264=1,AT264&lt;&gt;1)),ISNUMBER(AN264),AN264&lt;=(C264+T264)),BB264,0)&gt;0,IF(AND(NOT(AND(AU264=1,AT264&lt;&gt;1)),ISNUMBER(AN264),AN264&lt;=(C264+T264)),BB264,0)=MAX(IF(AND(NOT(AND(AU264=1,AT264&lt;&gt;1)),ISNUMBER(AK264),AK264&lt;=(C264+T264)),AY264,0),IF(AND(NOT(AND(AU264=1,AT264&lt;&gt;1)),ISNUMBER(AL264),AL264&lt;=(C264+T264)),AZ264,0),IF(AND(NOT(AND(AU264=1,AT264&lt;&gt;1)),ISNUMBER(AM264),AM264&lt;=(C264+T264)),BA264,0),IF(AND(NOT(AND(AU264=1,AT264&lt;&gt;1)),ISNUMBER(AN264),AN264&lt;=(C264+T264)),BB264,0),IF(AND(ISNUMBER(AO264),AO264&lt;=(C264+T264)),BC264,0))),"RLO","BD"))))))))</f>
        <v/>
      </c>
    </row>
    <row r="265">
      <c r="A265" s="26" t="n">
        <v>254</v>
      </c>
      <c r="B265" s="27">
        <f>A265*10/60</f>
        <v/>
      </c>
      <c r="C265" s="22">
        <f>X264</f>
        <v/>
      </c>
      <c r="D265" s="27">
        <f>D264+W264</f>
        <v/>
      </c>
      <c r="E265" s="26">
        <f>E264+IF(U264="SK",1,0)</f>
        <v/>
      </c>
      <c r="F265" s="26">
        <f>F264+IF(U264="LB",1,0)</f>
        <v/>
      </c>
      <c r="G265" s="26">
        <f>G264+IF(U264="ML",1,0)</f>
        <v/>
      </c>
      <c r="H265" s="26">
        <f>H264+IF(U264="RLO",1,0)</f>
        <v/>
      </c>
      <c r="I265" s="26">
        <f>I264+IF(U264="BD",1,0)</f>
        <v/>
      </c>
      <c r="J265" s="26">
        <f>MAX(J264,IF(U264="BiP",1,0))</f>
        <v/>
      </c>
      <c r="K265" s="26">
        <f>MAX(K264,IF(U264="PV",1,0))</f>
        <v/>
      </c>
      <c r="L265" s="26">
        <f>MAX(L264,IF(U264="OC",1,0))</f>
        <v/>
      </c>
      <c r="M265" s="26">
        <f>MAX(M264,IF(U264="MG",1,0))</f>
        <v/>
      </c>
      <c r="N265" s="26">
        <f>MAX(N264,IF(U264="transition",1,0))</f>
        <v/>
      </c>
      <c r="O265" s="28">
        <f>(Parameters!$B$9+(IF(E265=0,0,(Upgrades!$J$13+E265*Upgrades!$K$13)*POWER(Upgrades!$L$13,E265)))*(IF(Upgrades!$T$14="Stellar Kinematics",POWER(Upgrades!$U$14,F265),1)*IF(Upgrades!$T$15="Stellar Kinematics",POWER(Upgrades!$U$15,G265),1)*IF(Upgrades!$T$16="Stellar Kinematics",POWER(Upgrades!$U$16,H265),1)*IF(Upgrades!$T$17="Stellar Kinematics",POWER(Upgrades!$U$17,I265),1)*IF(Upgrades!$T$18="Stellar Kinematics",POWER(Upgrades!$U$18,J265),1)*IF(Upgrades!$T$19="Stellar Kinematics",POWER(Upgrades!$U$19,K265),1)*IF(Upgrades!$T$20="Stellar Kinematics",POWER(Upgrades!$U$20,L265),1)*IF(Upgrades!$T$21="Stellar Kinematics",POWER(Upgrades!$U$21,M265),1))+(IF(F265=0,0,(Upgrades!$J$14+F265*Upgrades!$K$14)*POWER(Upgrades!$L$14,F265)))*(IF(Upgrades!$T$13="Local Bubble",POWER(Upgrades!$U$13,E265),1)*IF(Upgrades!$T$15="Local Bubble",POWER(Upgrades!$U$15,G265),1)*IF(Upgrades!$T$16="Local Bubble",POWER(Upgrades!$U$16,H265),1)*IF(Upgrades!$T$17="Local Bubble",POWER(Upgrades!$U$17,I265),1)*IF(Upgrades!$T$18="Local Bubble",POWER(Upgrades!$U$18,J265),1)*IF(Upgrades!$T$19="Local Bubble",POWER(Upgrades!$U$19,K265),1)*IF(Upgrades!$T$20="Local Bubble",POWER(Upgrades!$U$20,L265),1)*IF(Upgrades!$T$21="Local Bubble",POWER(Upgrades!$U$21,M265),1))+(IF(G265=0,0,(Upgrades!$J$15+G265*Upgrades!$K$15)*POWER(Upgrades!$L$15,G265)))*(IF(Upgrades!$T$13="Microlensing",POWER(Upgrades!$U$13,E265),1)*IF(Upgrades!$T$14="Microlensing",POWER(Upgrades!$U$14,F265),1)*IF(Upgrades!$T$16="Microlensing",POWER(Upgrades!$U$16,H265),1)*IF(Upgrades!$T$17="Microlensing",POWER(Upgrades!$U$17,I265),1)*IF(Upgrades!$T$18="Microlensing",POWER(Upgrades!$U$18,J265),1)*IF(Upgrades!$T$19="Microlensing",POWER(Upgrades!$U$19,K265),1)*IF(Upgrades!$T$20="Microlensing",POWER(Upgrades!$U$20,L265),1)*IF(Upgrades!$T$21="Microlensing",POWER(Upgrades!$U$21,M265),1))+(IF(H265=0,0,(Upgrades!$J$16+H265*Upgrades!$K$16)*POWER(Upgrades!$L$16,H265)))*(IF(Upgrades!$T$13="Roche Lobe Overflow",POWER(Upgrades!$U$13,E265),1)*IF(Upgrades!$T$14="Roche Lobe Overflow",POWER(Upgrades!$U$14,F265),1)*IF(Upgrades!$T$15="Roche Lobe Overflow",POWER(Upgrades!$U$15,G265),1)*IF(Upgrades!$T$17="Roche Lobe Overflow",POWER(Upgrades!$U$17,I265),1)*IF(Upgrades!$T$18="Roche Lobe Overflow",POWER(Upgrades!$U$18,J265),1)*IF(Upgrades!$T$19="Roche Lobe Overflow",POWER(Upgrades!$U$19,K265),1)*IF(Upgrades!$T$20="Roche Lobe Overflow",POWER(Upgrades!$U$20,L265),1)*IF(Upgrades!$T$21="Roche Lobe Overflow",POWER(Upgrades!$U$21,M265),1))+(IF(I265=0,0,(Upgrades!$J$17+I265*Upgrades!$K$17)*POWER(Upgrades!$L$17,I265)))*(IF(Upgrades!$T$13="Brown Dwarf",POWER(Upgrades!$U$13,E265),1)*IF(Upgrades!$T$14="Brown Dwarf",POWER(Upgrades!$U$14,F265),1)*IF(Upgrades!$T$15="Brown Dwarf",POWER(Upgrades!$U$15,G265),1)*IF(Upgrades!$T$16="Brown Dwarf",POWER(Upgrades!$U$16,H265),1)*IF(Upgrades!$T$18="Brown Dwarf",POWER(Upgrades!$U$18,J265),1)*IF(Upgrades!$T$19="Brown Dwarf",POWER(Upgrades!$U$19,K265),1)*IF(Upgrades!$T$20="Brown Dwarf",POWER(Upgrades!$U$20,L265),1)*IF(Upgrades!$T$21="Brown Dwarf",POWER(Upgrades!$U$21,M265),1))+(IF(J265=0,0,(Upgrades!$J$18+J265*Upgrades!$K$18)*POWER(Upgrades!$L$18,J265)))*(IF(Upgrades!$T$13="Binary Partner",POWER(Upgrades!$U$13,E265),1)*IF(Upgrades!$T$14="Binary Partner",POWER(Upgrades!$U$14,F265),1)*IF(Upgrades!$T$15="Binary Partner",POWER(Upgrades!$U$15,G265),1)*IF(Upgrades!$T$16="Binary Partner",POWER(Upgrades!$U$16,H265),1)*IF(Upgrades!$T$17="Binary Partner",POWER(Upgrades!$U$17,I265),1)*IF(Upgrades!$T$19="Binary Partner",POWER(Upgrades!$U$19,K265),1)*IF(Upgrades!$T$20="Binary Partner",POWER(Upgrades!$U$20,L265),1)*IF(Upgrades!$T$21="Binary Partner",POWER(Upgrades!$U$21,M265),1))+(IF(K265=0,0,(Upgrades!$J$19+K265*Upgrades!$K$19)*POWER(Upgrades!$L$19,K265)))*(IF(Upgrades!$T$13="Peculiar Velocity",POWER(Upgrades!$U$13,E265),1)*IF(Upgrades!$T$14="Peculiar Velocity",POWER(Upgrades!$U$14,F265),1)*IF(Upgrades!$T$15="Peculiar Velocity",POWER(Upgrades!$U$15,G265),1)*IF(Upgrades!$T$16="Peculiar Velocity",POWER(Upgrades!$U$16,H265),1)*IF(Upgrades!$T$17="Peculiar Velocity",POWER(Upgrades!$U$17,I265),1)*IF(Upgrades!$T$18="Peculiar Velocity",POWER(Upgrades!$U$18,J265),1)*IF(Upgrades!$T$20="Peculiar Velocity",POWER(Upgrades!$U$20,L265),1)*IF(Upgrades!$T$21="Peculiar Velocity",POWER(Upgrades!$U$21,M265),1))+(IF(L265=0,0,(Upgrades!$J$20+L265*Upgrades!$K$20)*POWER(Upgrades!$L$20,L265)))*(IF(Upgrades!$T$13="Open Cluster",POWER(Upgrades!$U$13,E265),1)*IF(Upgrades!$T$14="Open Cluster",POWER(Upgrades!$U$14,F265),1)*IF(Upgrades!$T$15="Open Cluster",POWER(Upgrades!$U$15,G265),1)*IF(Upgrades!$T$16="Open Cluster",POWER(Upgrades!$U$16,H265),1)*IF(Upgrades!$T$17="Open Cluster",POWER(Upgrades!$U$17,I265),1)*IF(Upgrades!$T$18="Open Cluster",POWER(Upgrades!$U$18,J265),1)*IF(Upgrades!$T$19="Open Cluster",POWER(Upgrades!$U$19,K265),1)*IF(Upgrades!$T$21="Open Cluster",POWER(Upgrades!$U$21,M265),1))+(IF(M265=0,0,(Upgrades!$J$21+M265*Upgrades!$K$21)*POWER(Upgrades!$L$21,M265)))*(IF(Upgrades!$T$13="Moving Group",POWER(Upgrades!$U$13,E265),1)*IF(Upgrades!$T$14="Moving Group",POWER(Upgrades!$U$14,F265),1)*IF(Upgrades!$T$15="Moving Group",POWER(Upgrades!$U$15,G265),1)*IF(Upgrades!$T$16="Moving Group",POWER(Upgrades!$U$16,H265),1)*IF(Upgrades!$T$17="Moving Group",POWER(Upgrades!$U$17,I265),1)*IF(Upgrades!$T$18="Moving Group",POWER(Upgrades!$U$18,J265),1)*IF(Upgrades!$T$19="Moving Group",POWER(Upgrades!$U$19,K265),1)*IF(Upgrades!$T$20="Moving Group",POWER(Upgrades!$U$20,L265),1)))*POWER(Upgrades!$Q$13,E265)*POWER(Upgrades!$Q$14,F265)*POWER(Upgrades!$Q$15,G265)*POWER(Upgrades!$Q$16,H265)*POWER(Upgrades!$Q$17,I265)*POWER(Upgrades!$Q$18,J265)*POWER(Upgrades!$Q$19,K265)*POWER(Upgrades!$Q$20,L265)*POWER(Upgrades!$Q$21,M265)*$G$6+$D$6</f>
        <v/>
      </c>
      <c r="P265" s="28">
        <f>((IF(E265=0,0,(Upgrades!$G$13+E265*Upgrades!$H$13)*POWER(Upgrades!$I$13,E265)))*(IF(Upgrades!$T$14="Stellar Kinematics",POWER(Upgrades!$U$14,F265),1)*IF(Upgrades!$T$15="Stellar Kinematics",POWER(Upgrades!$U$15,G265),1)*IF(Upgrades!$T$16="Stellar Kinematics",POWER(Upgrades!$U$16,H265),1)*IF(Upgrades!$T$17="Stellar Kinematics",POWER(Upgrades!$U$17,I265),1)*IF(Upgrades!$T$18="Stellar Kinematics",POWER(Upgrades!$U$18,J265),1)*IF(Upgrades!$T$19="Stellar Kinematics",POWER(Upgrades!$U$19,K265),1)*IF(Upgrades!$T$20="Stellar Kinematics",POWER(Upgrades!$U$20,L265),1)*IF(Upgrades!$T$21="Stellar Kinematics",POWER(Upgrades!$U$21,M265),1))+(IF(F265=0,0,(Upgrades!$G$14+F265*Upgrades!$H$14)*POWER(Upgrades!$I$14,F265)))*(IF(Upgrades!$T$13="Local Bubble",POWER(Upgrades!$U$13,E265),1)*IF(Upgrades!$T$15="Local Bubble",POWER(Upgrades!$U$15,G265),1)*IF(Upgrades!$T$16="Local Bubble",POWER(Upgrades!$U$16,H265),1)*IF(Upgrades!$T$17="Local Bubble",POWER(Upgrades!$U$17,I265),1)*IF(Upgrades!$T$18="Local Bubble",POWER(Upgrades!$U$18,J265),1)*IF(Upgrades!$T$19="Local Bubble",POWER(Upgrades!$U$19,K265),1)*IF(Upgrades!$T$20="Local Bubble",POWER(Upgrades!$U$20,L265),1)*IF(Upgrades!$T$21="Local Bubble",POWER(Upgrades!$U$21,M265),1))+(IF(G265=0,0,(Upgrades!$G$15+G265*Upgrades!$H$15)*POWER(Upgrades!$I$15,G265)))*(IF(Upgrades!$T$13="Microlensing",POWER(Upgrades!$U$13,E265),1)*IF(Upgrades!$T$14="Microlensing",POWER(Upgrades!$U$14,F265),1)*IF(Upgrades!$T$16="Microlensing",POWER(Upgrades!$U$16,H265),1)*IF(Upgrades!$T$17="Microlensing",POWER(Upgrades!$U$17,I265),1)*IF(Upgrades!$T$18="Microlensing",POWER(Upgrades!$U$18,J265),1)*IF(Upgrades!$T$19="Microlensing",POWER(Upgrades!$U$19,K265),1)*IF(Upgrades!$T$20="Microlensing",POWER(Upgrades!$U$20,L265),1)*IF(Upgrades!$T$21="Microlensing",POWER(Upgrades!$U$21,M265),1))+(IF(H265=0,0,(Upgrades!$G$16+H265*Upgrades!$H$16)*POWER(Upgrades!$I$16,H265)))*(IF(Upgrades!$T$13="Roche Lobe Overflow",POWER(Upgrades!$U$13,E265),1)*IF(Upgrades!$T$14="Roche Lobe Overflow",POWER(Upgrades!$U$14,F265),1)*IF(Upgrades!$T$15="Roche Lobe Overflow",POWER(Upgrades!$U$15,G265),1)*IF(Upgrades!$T$17="Roche Lobe Overflow",POWER(Upgrades!$U$17,I265),1)*IF(Upgrades!$T$18="Roche Lobe Overflow",POWER(Upgrades!$U$18,J265),1)*IF(Upgrades!$T$19="Roche Lobe Overflow",POWER(Upgrades!$U$19,K265),1)*IF(Upgrades!$T$20="Roche Lobe Overflow",POWER(Upgrades!$U$20,L265),1)*IF(Upgrades!$T$21="Roche Lobe Overflow",POWER(Upgrades!$U$21,M265),1))+(IF(I265=0,0,(Upgrades!$G$17+I265*Upgrades!$H$17)*POWER(Upgrades!$I$17,I265)))*(IF(Upgrades!$T$13="Brown Dwarf",POWER(Upgrades!$U$13,E265),1)*IF(Upgrades!$T$14="Brown Dwarf",POWER(Upgrades!$U$14,F265),1)*IF(Upgrades!$T$15="Brown Dwarf",POWER(Upgrades!$U$15,G265),1)*IF(Upgrades!$T$16="Brown Dwarf",POWER(Upgrades!$U$16,H265),1)*IF(Upgrades!$T$18="Brown Dwarf",POWER(Upgrades!$U$18,J265),1)*IF(Upgrades!$T$19="Brown Dwarf",POWER(Upgrades!$U$19,K265),1)*IF(Upgrades!$T$20="Brown Dwarf",POWER(Upgrades!$U$20,L265),1)*IF(Upgrades!$T$21="Brown Dwarf",POWER(Upgrades!$U$21,M265),1))+(IF(J265=0,0,(Upgrades!$G$18+J265*Upgrades!$H$18)*POWER(Upgrades!$I$18,J265)))*(IF(Upgrades!$T$13="Binary Partner",POWER(Upgrades!$U$13,E265),1)*IF(Upgrades!$T$14="Binary Partner",POWER(Upgrades!$U$14,F265),1)*IF(Upgrades!$T$15="Binary Partner",POWER(Upgrades!$U$15,G265),1)*IF(Upgrades!$T$16="Binary Partner",POWER(Upgrades!$U$16,H265),1)*IF(Upgrades!$T$17="Binary Partner",POWER(Upgrades!$U$17,I265),1)*IF(Upgrades!$T$19="Binary Partner",POWER(Upgrades!$U$19,K265),1)*IF(Upgrades!$T$20="Binary Partner",POWER(Upgrades!$U$20,L265),1)*IF(Upgrades!$T$21="Binary Partner",POWER(Upgrades!$U$21,M265),1))+(IF(K265=0,0,(Upgrades!$G$19+K265*Upgrades!$H$19)*POWER(Upgrades!$I$19,K265)))*(IF(Upgrades!$T$13="Peculiar Velocity",POWER(Upgrades!$U$13,E265),1)*IF(Upgrades!$T$14="Peculiar Velocity",POWER(Upgrades!$U$14,F265),1)*IF(Upgrades!$T$15="Peculiar Velocity",POWER(Upgrades!$U$15,G265),1)*IF(Upgrades!$T$16="Peculiar Velocity",POWER(Upgrades!$U$16,H265),1)*IF(Upgrades!$T$17="Peculiar Velocity",POWER(Upgrades!$U$17,I265),1)*IF(Upgrades!$T$18="Peculiar Velocity",POWER(Upgrades!$U$18,J265),1)*IF(Upgrades!$T$20="Peculiar Velocity",POWER(Upgrades!$U$20,L265),1)*IF(Upgrades!$T$21="Peculiar Velocity",POWER(Upgrades!$U$21,M265),1))+(IF(L265=0,0,(Upgrades!$G$20+L265*Upgrades!$H$20)*POWER(Upgrades!$I$20,L265)))*(IF(Upgrades!$T$13="Open Cluster",POWER(Upgrades!$U$13,E265),1)*IF(Upgrades!$T$14="Open Cluster",POWER(Upgrades!$U$14,F265),1)*IF(Upgrades!$T$15="Open Cluster",POWER(Upgrades!$U$15,G265),1)*IF(Upgrades!$T$16="Open Cluster",POWER(Upgrades!$U$16,H265),1)*IF(Upgrades!$T$17="Open Cluster",POWER(Upgrades!$U$17,I265),1)*IF(Upgrades!$T$18="Open Cluster",POWER(Upgrades!$U$18,J265),1)*IF(Upgrades!$T$19="Open Cluster",POWER(Upgrades!$U$19,K265),1)*IF(Upgrades!$T$21="Open Cluster",POWER(Upgrades!$U$21,M265),1))+(IF(M265=0,0,(Upgrades!$G$21+M265*Upgrades!$H$21)*POWER(Upgrades!$I$21,M265)))*(IF(Upgrades!$T$13="Moving Group",POWER(Upgrades!$U$13,E265),1)*IF(Upgrades!$T$14="Moving Group",POWER(Upgrades!$U$14,F265),1)*IF(Upgrades!$T$15="Moving Group",POWER(Upgrades!$U$15,G265),1)*IF(Upgrades!$T$16="Moving Group",POWER(Upgrades!$U$16,H265),1)*IF(Upgrades!$T$17="Moving Group",POWER(Upgrades!$U$17,I265),1)*IF(Upgrades!$T$18="Moving Group",POWER(Upgrades!$U$18,J265),1)*IF(Upgrades!$T$19="Moving Group",POWER(Upgrades!$U$19,K265),1)*IF(Upgrades!$T$20="Moving Group",POWER(Upgrades!$U$20,L265),1)))*POWER(Upgrades!$P$13,E265)*POWER(Upgrades!$P$14,F265)*POWER(Upgrades!$P$15,G265)*POWER(Upgrades!$P$16,H265)*POWER(Upgrades!$P$17,I265)*POWER(Upgrades!$P$18,J265)*POWER(Upgrades!$P$19,K265)*POWER(Upgrades!$P$20,L265)*POWER(Upgrades!$P$21,M265)*$F$6+$C$6</f>
        <v/>
      </c>
      <c r="Q265" s="28">
        <f>((IF(E265=0,0,(Upgrades!$M$13+E265*Upgrades!$N$13)*POWER(Upgrades!$O$13,E265)))*(IF(Upgrades!$T$14="Stellar Kinematics",POWER(Upgrades!$U$14,F265),1)*IF(Upgrades!$T$15="Stellar Kinematics",POWER(Upgrades!$U$15,G265),1)*IF(Upgrades!$T$16="Stellar Kinematics",POWER(Upgrades!$U$16,H265),1)*IF(Upgrades!$T$17="Stellar Kinematics",POWER(Upgrades!$U$17,I265),1)*IF(Upgrades!$T$18="Stellar Kinematics",POWER(Upgrades!$U$18,J265),1)*IF(Upgrades!$T$19="Stellar Kinematics",POWER(Upgrades!$U$19,K265),1)*IF(Upgrades!$T$20="Stellar Kinematics",POWER(Upgrades!$U$20,L265),1)*IF(Upgrades!$T$21="Stellar Kinematics",POWER(Upgrades!$U$21,M265),1))+(IF(F265=0,0,(Upgrades!$M$14+F265*Upgrades!$N$14)*POWER(Upgrades!$O$14,F265)))*(IF(Upgrades!$T$13="Local Bubble",POWER(Upgrades!$U$13,E265),1)*IF(Upgrades!$T$15="Local Bubble",POWER(Upgrades!$U$15,G265),1)*IF(Upgrades!$T$16="Local Bubble",POWER(Upgrades!$U$16,H265),1)*IF(Upgrades!$T$17="Local Bubble",POWER(Upgrades!$U$17,I265),1)*IF(Upgrades!$T$18="Local Bubble",POWER(Upgrades!$U$18,J265),1)*IF(Upgrades!$T$19="Local Bubble",POWER(Upgrades!$U$19,K265),1)*IF(Upgrades!$T$20="Local Bubble",POWER(Upgrades!$U$20,L265),1)*IF(Upgrades!$T$21="Local Bubble",POWER(Upgrades!$U$21,M265),1))+(IF(G265=0,0,(Upgrades!$M$15+G265*Upgrades!$N$15)*POWER(Upgrades!$O$15,G265)))*(IF(Upgrades!$T$13="Microlensing",POWER(Upgrades!$U$13,E265),1)*IF(Upgrades!$T$14="Microlensing",POWER(Upgrades!$U$14,F265),1)*IF(Upgrades!$T$16="Microlensing",POWER(Upgrades!$U$16,H265),1)*IF(Upgrades!$T$17="Microlensing",POWER(Upgrades!$U$17,I265),1)*IF(Upgrades!$T$18="Microlensing",POWER(Upgrades!$U$18,J265),1)*IF(Upgrades!$T$19="Microlensing",POWER(Upgrades!$U$19,K265),1)*IF(Upgrades!$T$20="Microlensing",POWER(Upgrades!$U$20,L265),1)*IF(Upgrades!$T$21="Microlensing",POWER(Upgrades!$U$21,M265),1))+(IF(H265=0,0,(Upgrades!$M$16+H265*Upgrades!$N$16)*POWER(Upgrades!$O$16,H265)))*(IF(Upgrades!$T$13="Roche Lobe Overflow",POWER(Upgrades!$U$13,E265),1)*IF(Upgrades!$T$14="Roche Lobe Overflow",POWER(Upgrades!$U$14,F265),1)*IF(Upgrades!$T$15="Roche Lobe Overflow",POWER(Upgrades!$U$15,G265),1)*IF(Upgrades!$T$17="Roche Lobe Overflow",POWER(Upgrades!$U$17,I265),1)*IF(Upgrades!$T$18="Roche Lobe Overflow",POWER(Upgrades!$U$18,J265),1)*IF(Upgrades!$T$19="Roche Lobe Overflow",POWER(Upgrades!$U$19,K265),1)*IF(Upgrades!$T$20="Roche Lobe Overflow",POWER(Upgrades!$U$20,L265),1)*IF(Upgrades!$T$21="Roche Lobe Overflow",POWER(Upgrades!$U$21,M265),1))+(IF(I265=0,0,(Upgrades!$M$17+I265*Upgrades!$N$17)*POWER(Upgrades!$O$17,I265)))*(IF(Upgrades!$T$13="Brown Dwarf",POWER(Upgrades!$U$13,E265),1)*IF(Upgrades!$T$14="Brown Dwarf",POWER(Upgrades!$U$14,F265),1)*IF(Upgrades!$T$15="Brown Dwarf",POWER(Upgrades!$U$15,G265),1)*IF(Upgrades!$T$16="Brown Dwarf",POWER(Upgrades!$U$16,H265),1)*IF(Upgrades!$T$18="Brown Dwarf",POWER(Upgrades!$U$18,J265),1)*IF(Upgrades!$T$19="Brown Dwarf",POWER(Upgrades!$U$19,K265),1)*IF(Upgrades!$T$20="Brown Dwarf",POWER(Upgrades!$U$20,L265),1)*IF(Upgrades!$T$21="Brown Dwarf",POWER(Upgrades!$U$21,M265),1))+(IF(J265=0,0,(Upgrades!$M$18+J265*Upgrades!$N$18)*POWER(Upgrades!$O$18,J265)))*(IF(Upgrades!$T$13="Binary Partner",POWER(Upgrades!$U$13,E265),1)*IF(Upgrades!$T$14="Binary Partner",POWER(Upgrades!$U$14,F265),1)*IF(Upgrades!$T$15="Binary Partner",POWER(Upgrades!$U$15,G265),1)*IF(Upgrades!$T$16="Binary Partner",POWER(Upgrades!$U$16,H265),1)*IF(Upgrades!$T$17="Binary Partner",POWER(Upgrades!$U$17,I265),1)*IF(Upgrades!$T$19="Binary Partner",POWER(Upgrades!$U$19,K265),1)*IF(Upgrades!$T$20="Binary Partner",POWER(Upgrades!$U$20,L265),1)*IF(Upgrades!$T$21="Binary Partner",POWER(Upgrades!$U$21,M265),1))+(IF(K265=0,0,(Upgrades!$M$19+K265*Upgrades!$N$19)*POWER(Upgrades!$O$19,K265)))*(IF(Upgrades!$T$13="Peculiar Velocity",POWER(Upgrades!$U$13,E265),1)*IF(Upgrades!$T$14="Peculiar Velocity",POWER(Upgrades!$U$14,F265),1)*IF(Upgrades!$T$15="Peculiar Velocity",POWER(Upgrades!$U$15,G265),1)*IF(Upgrades!$T$16="Peculiar Velocity",POWER(Upgrades!$U$16,H265),1)*IF(Upgrades!$T$17="Peculiar Velocity",POWER(Upgrades!$U$17,I265),1)*IF(Upgrades!$T$18="Peculiar Velocity",POWER(Upgrades!$U$18,J265),1)*IF(Upgrades!$T$20="Peculiar Velocity",POWER(Upgrades!$U$20,L265),1)*IF(Upgrades!$T$21="Peculiar Velocity",POWER(Upgrades!$U$21,M265),1))+(IF(L265=0,0,(Upgrades!$M$20+L265*Upgrades!$N$20)*POWER(Upgrades!$O$20,L265)))*(IF(Upgrades!$T$13="Open Cluster",POWER(Upgrades!$U$13,E265),1)*IF(Upgrades!$T$14="Open Cluster",POWER(Upgrades!$U$14,F265),1)*IF(Upgrades!$T$15="Open Cluster",POWER(Upgrades!$U$15,G265),1)*IF(Upgrades!$T$16="Open Cluster",POWER(Upgrades!$U$16,H265),1)*IF(Upgrades!$T$17="Open Cluster",POWER(Upgrades!$U$17,I265),1)*IF(Upgrades!$T$18="Open Cluster",POWER(Upgrades!$U$18,J265),1)*IF(Upgrades!$T$19="Open Cluster",POWER(Upgrades!$U$19,K265),1)*IF(Upgrades!$T$21="Open Cluster",POWER(Upgrades!$U$21,M265),1))+(IF(M265=0,0,(Upgrades!$M$21+M265*Upgrades!$N$21)*POWER(Upgrades!$O$21,M265)))*(IF(Upgrades!$T$13="Moving Group",POWER(Upgrades!$U$13,E265),1)*IF(Upgrades!$T$14="Moving Group",POWER(Upgrades!$U$14,F265),1)*IF(Upgrades!$T$15="Moving Group",POWER(Upgrades!$U$15,G265),1)*IF(Upgrades!$T$16="Moving Group",POWER(Upgrades!$U$16,H265),1)*IF(Upgrades!$T$17="Moving Group",POWER(Upgrades!$U$17,I265),1)*IF(Upgrades!$T$18="Moving Group",POWER(Upgrades!$U$18,J265),1)*IF(Upgrades!$T$19="Moving Group",POWER(Upgrades!$U$19,K265),1)*IF(Upgrades!$T$20="Moving Group",POWER(Upgrades!$U$20,L265),1)))*POWER(Upgrades!$R$13,E265)*POWER(Upgrades!$R$14,F265)*POWER(Upgrades!$R$15,G265)*POWER(Upgrades!$R$16,H265)*POWER(Upgrades!$R$17,I265)*POWER(Upgrades!$R$18,J265)*POWER(Upgrades!$R$19,K265)*POWER(Upgrades!$R$20,L265)*POWER(Upgrades!$R$21,M265)*$H$6+$E$6</f>
        <v/>
      </c>
      <c r="R265" s="27">
        <f>IF(N265=1,0,O265*Parameters!$B$10/60*Parameters!$B$11*10)</f>
        <v/>
      </c>
      <c r="S265" s="27">
        <f>IF(N265=1,0,Q265*O265*10)</f>
        <v/>
      </c>
      <c r="T265" s="27">
        <f>IF(N265=1,0,R265+S265+P265*10)</f>
        <v/>
      </c>
      <c r="U265" s="33">
        <f>BE265</f>
        <v/>
      </c>
      <c r="V265" s="22">
        <f>IF(U265="",0,IF(U265="transition",0,IF(U265="SK",AK265,IF(U265="LB",AL265,IF(U265="ML",AM265,IF(U265="RLO",AN265,IF(U265="BD",AO265,IF(U265="BiP",AP265,IF(U265="PV",AQ265,IF(U265="OC",AR265,IF(U265="MG",AS265,0))))))))))</f>
        <v/>
      </c>
      <c r="W265" s="27">
        <f>IF(U265="BiP",Upgrades!$F$18,IF(U265="PV",Upgrades!$F$19,IF(U265="OC",Upgrades!$F$20,IF(U265="MG",Upgrades!$F$21,IF(U265="transition",-Parameters!$B$18*Parameters!$B$19,0)))))</f>
        <v/>
      </c>
      <c r="X265" s="22">
        <f>C265+T265-V265</f>
        <v/>
      </c>
      <c r="Y265" s="30">
        <f>O265*Parameters!$B$10/60*Parameters!$B$11+Q265*O265+P265</f>
        <v/>
      </c>
      <c r="Z265" s="34">
        <f>IF(U265="transition","→ Tier 3 (Galactic Arm)",IF(U265="MG","Moving Group — pocket drifts together",IF(U265="OC","Open Cluster acquired",IF(U265="PV","Peculiar Velocity — passive multiplier active",IF(U265="BiP","Binary Partner — pair bond formed",IF(AND(AU265=1,N265=0,AT265&lt;&gt;1),"Cohesion ready (waiting on completionists)","")))))) </f>
        <v/>
      </c>
      <c r="AA265" s="27">
        <f>(IF(E265=0,0,(Upgrades!$G$13+E265*Upgrades!$H$13)*POWER(Upgrades!$I$13,E265)))*(IF(Upgrades!$T$14="Stellar Kinematics",POWER(Upgrades!$U$14,F265),1)*IF(Upgrades!$T$15="Stellar Kinematics",POWER(Upgrades!$U$15,G265),1)*IF(Upgrades!$T$16="Stellar Kinematics",POWER(Upgrades!$U$16,H265),1)*IF(Upgrades!$T$17="Stellar Kinematics",POWER(Upgrades!$U$17,I265),1)*IF(Upgrades!$T$18="Stellar Kinematics",POWER(Upgrades!$U$18,J265),1)*IF(Upgrades!$T$19="Stellar Kinematics",POWER(Upgrades!$U$19,K265),1)*IF(Upgrades!$T$20="Stellar Kinematics",POWER(Upgrades!$U$20,L265),1)*IF(Upgrades!$T$21="Stellar Kinematics",POWER(Upgrades!$U$21,M265),1))*POWER(Upgrades!$P$13,E265)*POWER(Upgrades!$P$14,F265)*POWER(Upgrades!$P$15,G265)*POWER(Upgrades!$P$16,H265)*POWER(Upgrades!$P$17,I265)*POWER(Upgrades!$P$18,J265)*POWER(Upgrades!$P$19,K265)*POWER(Upgrades!$P$20,L265)*POWER(Upgrades!$P$21,M265)*$F$6*60</f>
        <v/>
      </c>
      <c r="AB265" s="27">
        <f>(IF(F265=0,0,(Upgrades!$G$14+F265*Upgrades!$H$14)*POWER(Upgrades!$I$14,F265)))*(IF(Upgrades!$T$13="Local Bubble",POWER(Upgrades!$U$13,E265),1)*IF(Upgrades!$T$15="Local Bubble",POWER(Upgrades!$U$15,G265),1)*IF(Upgrades!$T$16="Local Bubble",POWER(Upgrades!$U$16,H265),1)*IF(Upgrades!$T$17="Local Bubble",POWER(Upgrades!$U$17,I265),1)*IF(Upgrades!$T$18="Local Bubble",POWER(Upgrades!$U$18,J265),1)*IF(Upgrades!$T$19="Local Bubble",POWER(Upgrades!$U$19,K265),1)*IF(Upgrades!$T$20="Local Bubble",POWER(Upgrades!$U$20,L265),1)*IF(Upgrades!$T$21="Local Bubble",POWER(Upgrades!$U$21,M265),1))*POWER(Upgrades!$P$13,E265)*POWER(Upgrades!$P$14,F265)*POWER(Upgrades!$P$15,G265)*POWER(Upgrades!$P$16,H265)*POWER(Upgrades!$P$17,I265)*POWER(Upgrades!$P$18,J265)*POWER(Upgrades!$P$19,K265)*POWER(Upgrades!$P$20,L265)*POWER(Upgrades!$P$21,M265)*$F$6*60</f>
        <v/>
      </c>
      <c r="AC265" s="27">
        <f>(IF(G265=0,0,(Upgrades!$J$15+G265*Upgrades!$K$15)*POWER(Upgrades!$L$15,G265)))*(IF(Upgrades!$T$13="Microlensing",POWER(Upgrades!$U$13,E265),1)*IF(Upgrades!$T$14="Microlensing",POWER(Upgrades!$U$14,F265),1)*IF(Upgrades!$T$16="Microlensing",POWER(Upgrades!$U$16,H265),1)*IF(Upgrades!$T$17="Microlensing",POWER(Upgrades!$U$17,I265),1)*IF(Upgrades!$T$18="Microlensing",POWER(Upgrades!$U$18,J265),1)*IF(Upgrades!$T$19="Microlensing",POWER(Upgrades!$U$19,K265),1)*IF(Upgrades!$T$20="Microlensing",POWER(Upgrades!$U$20,L265),1)*IF(Upgrades!$T$21="Microlensing",POWER(Upgrades!$U$21,M265),1))*POWER(Upgrades!$Q$13,E265)*POWER(Upgrades!$Q$14,F265)*POWER(Upgrades!$Q$15,G265)*POWER(Upgrades!$Q$16,H265)*POWER(Upgrades!$Q$17,I265)*POWER(Upgrades!$Q$18,J265)*POWER(Upgrades!$Q$19,K265)*POWER(Upgrades!$Q$20,L265)*POWER(Upgrades!$Q$21,M265)*$G$6*(Parameters!$B$10*Parameters!$B$11+Q265*60)</f>
        <v/>
      </c>
      <c r="AD265" s="27">
        <f>(IF(H265=0,0,(Upgrades!$M$16+H265*Upgrades!$N$16)*POWER(Upgrades!$O$16,H265)))*(IF(Upgrades!$T$13="Roche Lobe Overflow",POWER(Upgrades!$U$13,E265),1)*IF(Upgrades!$T$14="Roche Lobe Overflow",POWER(Upgrades!$U$14,F265),1)*IF(Upgrades!$T$15="Roche Lobe Overflow",POWER(Upgrades!$U$15,G265),1)*IF(Upgrades!$T$17="Roche Lobe Overflow",POWER(Upgrades!$U$17,I265),1)*IF(Upgrades!$T$18="Roche Lobe Overflow",POWER(Upgrades!$U$18,J265),1)*IF(Upgrades!$T$19="Roche Lobe Overflow",POWER(Upgrades!$U$19,K265),1)*IF(Upgrades!$T$20="Roche Lobe Overflow",POWER(Upgrades!$U$20,L265),1)*IF(Upgrades!$T$21="Roche Lobe Overflow",POWER(Upgrades!$U$21,M265),1))*POWER(Upgrades!$R$13,E265)*POWER(Upgrades!$R$14,F265)*POWER(Upgrades!$R$15,G265)*POWER(Upgrades!$R$16,H265)*POWER(Upgrades!$R$17,I265)*POWER(Upgrades!$R$18,J265)*POWER(Upgrades!$R$19,K265)*POWER(Upgrades!$R$20,L265)*POWER(Upgrades!$R$21,M265)*$H$6*O265*60</f>
        <v/>
      </c>
      <c r="AE265" s="27">
        <f>(IF(I265=0,0,(Upgrades!$G$17+I265*Upgrades!$H$17)*POWER(Upgrades!$I$17,I265)))*(IF(Upgrades!$T$13="Brown Dwarf",POWER(Upgrades!$U$13,E265),1)*IF(Upgrades!$T$14="Brown Dwarf",POWER(Upgrades!$U$14,F265),1)*IF(Upgrades!$T$15="Brown Dwarf",POWER(Upgrades!$U$15,G265),1)*IF(Upgrades!$T$16="Brown Dwarf",POWER(Upgrades!$U$16,H265),1)*IF(Upgrades!$T$18="Brown Dwarf",POWER(Upgrades!$U$18,J265),1)*IF(Upgrades!$T$19="Brown Dwarf",POWER(Upgrades!$U$19,K265),1)*IF(Upgrades!$T$20="Brown Dwarf",POWER(Upgrades!$U$20,L265),1)*IF(Upgrades!$T$21="Brown Dwarf",POWER(Upgrades!$U$21,M265),1))*POWER(Upgrades!$P$13,E265)*POWER(Upgrades!$P$14,F265)*POWER(Upgrades!$P$15,G265)*POWER(Upgrades!$P$16,H265)*POWER(Upgrades!$P$17,I265)*POWER(Upgrades!$P$18,J265)*POWER(Upgrades!$P$19,K265)*POWER(Upgrades!$P$20,L265)*POWER(Upgrades!$P$21,M265)*$F$6*60</f>
        <v/>
      </c>
      <c r="AF265" s="27" t="n">
        <v>0</v>
      </c>
      <c r="AG265" s="27" t="n">
        <v>0</v>
      </c>
      <c r="AH265" s="27" t="n">
        <v>0</v>
      </c>
      <c r="AI265" s="27">
        <f>(IF(M265=0,0,(Upgrades!$G$21+M265*Upgrades!$H$21)*POWER(Upgrades!$I$21,M265)))*(IF(Upgrades!$T$13="Moving Group",POWER(Upgrades!$U$13,E265),1)*IF(Upgrades!$T$14="Moving Group",POWER(Upgrades!$U$14,F265),1)*IF(Upgrades!$T$15="Moving Group",POWER(Upgrades!$U$15,G265),1)*IF(Upgrades!$T$16="Moving Group",POWER(Upgrades!$U$16,H265),1)*IF(Upgrades!$T$17="Moving Group",POWER(Upgrades!$U$17,I265),1)*IF(Upgrades!$T$18="Moving Group",POWER(Upgrades!$U$18,J265),1)*IF(Upgrades!$T$19="Moving Group",POWER(Upgrades!$U$19,K265),1)*IF(Upgrades!$T$20="Moving Group",POWER(Upgrades!$U$20,L265),1))*POWER(Upgrades!$P$13,E265)*POWER(Upgrades!$P$14,F265)*POWER(Upgrades!$P$15,G265)*POWER(Upgrades!$P$16,H265)*POWER(Upgrades!$P$17,I265)*POWER(Upgrades!$P$18,J265)*POWER(Upgrades!$P$19,K265)*POWER(Upgrades!$P$20,L265)*POWER(Upgrades!$P$21,M265)*$F$6*60</f>
        <v/>
      </c>
      <c r="AJ265" s="27">
        <f>$C$6*60</f>
        <v/>
      </c>
      <c r="AK265" s="22">
        <f>IF(E265&gt;=Upgrades!$E$13,"",Upgrades!$C$13*POWER(Upgrades!$D$13,E265))</f>
        <v/>
      </c>
      <c r="AL265" s="22">
        <f>IF(F265&gt;=Upgrades!$E$14,"",Upgrades!$C$14*POWER(Upgrades!$D$14,F265))</f>
        <v/>
      </c>
      <c r="AM265" s="22">
        <f>IF(G265&gt;=Upgrades!$E$15,"",Upgrades!$C$15*POWER(Upgrades!$D$15,G265))</f>
        <v/>
      </c>
      <c r="AN265" s="22">
        <f>IF(H265&gt;=Upgrades!$E$16,"",Upgrades!$C$16*POWER(Upgrades!$D$16,H265))</f>
        <v/>
      </c>
      <c r="AO265" s="22">
        <f>IF(I265&gt;=Upgrades!$E$17,"",Upgrades!$C$17*POWER(Upgrades!$D$17,I265))</f>
        <v/>
      </c>
      <c r="AP265" s="22">
        <f>IF(J265&gt;=Upgrades!$E$18,"",Upgrades!$C$18*POWER(Upgrades!$D$18,J265))</f>
        <v/>
      </c>
      <c r="AQ265" s="22">
        <f>IF(K265&gt;=Upgrades!$E$19,"",Upgrades!$C$19*POWER(Upgrades!$D$19,K265))</f>
        <v/>
      </c>
      <c r="AR265" s="22">
        <f>IF(L265&gt;=Upgrades!$E$20,"",Upgrades!$C$20*POWER(Upgrades!$D$20,L265))</f>
        <v/>
      </c>
      <c r="AS265" s="22">
        <f>IF(M265&gt;=Upgrades!$E$21,"",Upgrades!$C$21*POWER(Upgrades!$D$21,M265))</f>
        <v/>
      </c>
      <c r="AT265" s="26">
        <f>IF(AND(D265&gt;=Parameters!$B$18*Parameters!$B$19,(I265&gt;=Upgrades!$E$17)*(M265&gt;=Upgrades!$E$21)=1,N265=0),1,"")</f>
        <v/>
      </c>
      <c r="AU265" s="26">
        <f>IF(AND(D265&gt;=Parameters!$B$18*Parameters!$B$19,N265=0),1,"")</f>
        <v/>
      </c>
      <c r="AV265" s="22">
        <f>MIN(IF(ISNUMBER(AP265),AP265,9E15),IF(ISNUMBER(AQ265),AQ265,9E15),IF(ISNUMBER(AR265),AR265,9E15),IF(ISNUMBER(AS265),AS265,9E15))</f>
        <v/>
      </c>
      <c r="AW265" s="22">
        <f>MIN(IF(ISNUMBER(AK265),AK265,9E15),IF(ISNUMBER(AL265),AL265,9E15),IF(ISNUMBER(AM265),AM265,9E15),IF(ISNUMBER(AN265),AN265,9E15),IF(ISNUMBER(AO265),AO265,9E15))</f>
        <v/>
      </c>
      <c r="AX265" s="29">
        <f>IF(BD265&gt;Parameters!$B$21*(MAX(IF(AND(NOT(AND(AU265=1,AT265&lt;&gt;1)),ISNUMBER(AK265),AK265&lt;=(C265+T265)),AY265,0),IF(AND(NOT(AND(AU265=1,AT265&lt;&gt;1)),ISNUMBER(AL265),AL265&lt;=(C265+T265)),AZ265,0),IF(AND(NOT(AND(AU265=1,AT265&lt;&gt;1)),ISNUMBER(AM265),AM265&lt;=(C265+T265)),BA265,0),IF(AND(NOT(AND(AU265=1,AT265&lt;&gt;1)),ISNUMBER(AN265),AN265&lt;=(C265+T265)),BB265,0),IF(AND(ISNUMBER(AO265),AO265&lt;=(C265+T265)),BC265,0))),TRUE,FALSE)</f>
        <v/>
      </c>
      <c r="AY265" s="32">
        <f>IFERROR(Upgrades!$H$13*(POWER(Upgrades!$P$13,E265)*POWER(Upgrades!$P$14,F265)*POWER(Upgrades!$P$15,G265)*POWER(Upgrades!$P$16,H265)*POWER(Upgrades!$P$17,I265)*POWER(Upgrades!$P$18,J265)*POWER(Upgrades!$P$19,K265)*POWER(Upgrades!$P$20,L265)*POWER(Upgrades!$P$21,M265))*(IF(Upgrades!$T$14="Stellar Kinematics",POWER(Upgrades!$U$14,F265),1)*IF(Upgrades!$T$15="Stellar Kinematics",POWER(Upgrades!$U$15,G265),1)*IF(Upgrades!$T$16="Stellar Kinematics",POWER(Upgrades!$U$16,H265),1)*IF(Upgrades!$T$17="Stellar Kinematics",POWER(Upgrades!$U$17,I265),1)*IF(Upgrades!$T$18="Stellar Kinematics",POWER(Upgrades!$U$18,J265),1)*IF(Upgrades!$T$19="Stellar Kinematics",POWER(Upgrades!$U$19,K265),1)*IF(Upgrades!$T$20="Stellar Kinematics",POWER(Upgrades!$U$20,L265),1)*IF(Upgrades!$T$21="Stellar Kinematics",POWER(Upgrades!$U$21,M265),1))*$F$6/AK265,0)</f>
        <v/>
      </c>
      <c r="AZ265" s="32">
        <f>IFERROR(Upgrades!$H$14*(POWER(Upgrades!$P$13,E265)*POWER(Upgrades!$P$14,F265)*POWER(Upgrades!$P$15,G265)*POWER(Upgrades!$P$16,H265)*POWER(Upgrades!$P$17,I265)*POWER(Upgrades!$P$18,J265)*POWER(Upgrades!$P$19,K265)*POWER(Upgrades!$P$20,L265)*POWER(Upgrades!$P$21,M265))*(IF(Upgrades!$T$13="Local Bubble",POWER(Upgrades!$U$13,E265),1)*IF(Upgrades!$T$15="Local Bubble",POWER(Upgrades!$U$15,G265),1)*IF(Upgrades!$T$16="Local Bubble",POWER(Upgrades!$U$16,H265),1)*IF(Upgrades!$T$17="Local Bubble",POWER(Upgrades!$U$17,I265),1)*IF(Upgrades!$T$18="Local Bubble",POWER(Upgrades!$U$18,J265),1)*IF(Upgrades!$T$19="Local Bubble",POWER(Upgrades!$U$19,K265),1)*IF(Upgrades!$T$20="Local Bubble",POWER(Upgrades!$U$20,L265),1)*IF(Upgrades!$T$21="Local Bubble",POWER(Upgrades!$U$21,M265),1))*$F$6/AL265,0)</f>
        <v/>
      </c>
      <c r="BA265" s="32">
        <f>IFERROR(Upgrades!$K$15*(POWER(Upgrades!$Q$13,E265)*POWER(Upgrades!$Q$14,F265)*POWER(Upgrades!$Q$15,G265)*POWER(Upgrades!$Q$16,H265)*POWER(Upgrades!$Q$17,I265)*POWER(Upgrades!$Q$18,J265)*POWER(Upgrades!$Q$19,K265)*POWER(Upgrades!$Q$20,L265)*POWER(Upgrades!$Q$21,M265))*(IF(Upgrades!$T$13="Microlensing",POWER(Upgrades!$U$13,E265),1)*IF(Upgrades!$T$14="Microlensing",POWER(Upgrades!$U$14,F265),1)*IF(Upgrades!$T$16="Microlensing",POWER(Upgrades!$U$16,H265),1)*IF(Upgrades!$T$17="Microlensing",POWER(Upgrades!$U$17,I265),1)*IF(Upgrades!$T$18="Microlensing",POWER(Upgrades!$U$18,J265),1)*IF(Upgrades!$T$19="Microlensing",POWER(Upgrades!$U$19,K265),1)*IF(Upgrades!$T$20="Microlensing",POWER(Upgrades!$U$20,L265),1)*IF(Upgrades!$T$21="Microlensing",POWER(Upgrades!$U$21,M265),1))*$G$6*(Parameters!$B$10/60*Parameters!$B$11+Q265)/AM265,0)</f>
        <v/>
      </c>
      <c r="BB265" s="32">
        <f>IFERROR((Upgrades!$N$16*(POWER(Upgrades!$R$13,E265)*POWER(Upgrades!$R$14,F265)*POWER(Upgrades!$R$15,G265)*POWER(Upgrades!$R$16,H265)*POWER(Upgrades!$R$17,I265)*POWER(Upgrades!$R$18,J265)*POWER(Upgrades!$R$19,K265)*POWER(Upgrades!$R$20,L265)*POWER(Upgrades!$R$21,M265))*(IF(Upgrades!$T$13="Roche Lobe Overflow",POWER(Upgrades!$U$13,E265),1)*IF(Upgrades!$T$14="Roche Lobe Overflow",POWER(Upgrades!$U$14,F265),1)*IF(Upgrades!$T$15="Roche Lobe Overflow",POWER(Upgrades!$U$15,G265),1)*IF(Upgrades!$T$17="Roche Lobe Overflow",POWER(Upgrades!$U$17,I265),1)*IF(Upgrades!$T$18="Roche Lobe Overflow",POWER(Upgrades!$U$18,J265),1)*IF(Upgrades!$T$19="Roche Lobe Overflow",POWER(Upgrades!$U$19,K265),1)*IF(Upgrades!$T$20="Roche Lobe Overflow",POWER(Upgrades!$U$20,L265),1)*IF(Upgrades!$T$21="Roche Lobe Overflow",POWER(Upgrades!$U$21,M265),1))*$H$6*O265+((IF(F265=0,0,(Upgrades!$G$14+F265*Upgrades!$H$14)*POWER(Upgrades!$I$14,F265)))*(IF(Upgrades!$T$13="Local Bubble",POWER(Upgrades!$U$13,E265),1)*IF(Upgrades!$T$15="Local Bubble",POWER(Upgrades!$U$15,G265),1)*IF(Upgrades!$T$16="Local Bubble",POWER(Upgrades!$U$16,H265),1)*IF(Upgrades!$T$17="Local Bubble",POWER(Upgrades!$U$17,I265),1)*IF(Upgrades!$T$18="Local Bubble",POWER(Upgrades!$U$18,J265),1)*IF(Upgrades!$T$19="Local Bubble",POWER(Upgrades!$U$19,K265),1)*IF(Upgrades!$T$20="Local Bubble",POWER(Upgrades!$U$20,L265),1)*IF(Upgrades!$T$21="Local Bubble",POWER(Upgrades!$U$21,M265),1))*POWER(Upgrades!$P$13,E265)*POWER(Upgrades!$P$14,F265)*POWER(Upgrades!$P$15,G265)*POWER(Upgrades!$P$16,H265)*POWER(Upgrades!$P$17,I265)*POWER(Upgrades!$P$18,J265)*POWER(Upgrades!$P$19,K265)*POWER(Upgrades!$P$20,L265)*POWER(Upgrades!$P$21,M265)*$F$6)*0.05)/AN265,0)</f>
        <v/>
      </c>
      <c r="BC265" s="32">
        <f>IFERROR((Upgrades!$H$17*(POWER(Upgrades!$P$13,E265)*POWER(Upgrades!$P$14,F265)*POWER(Upgrades!$P$15,G265)*POWER(Upgrades!$P$16,H265)*POWER(Upgrades!$P$17,I265)*POWER(Upgrades!$P$18,J265)*POWER(Upgrades!$P$19,K265)*POWER(Upgrades!$P$20,L265)*POWER(Upgrades!$P$21,M265))*(IF(Upgrades!$T$13="Brown Dwarf",POWER(Upgrades!$U$13,E265),1)*IF(Upgrades!$T$14="Brown Dwarf",POWER(Upgrades!$U$14,F265),1)*IF(Upgrades!$T$15="Brown Dwarf",POWER(Upgrades!$U$15,G265),1)*IF(Upgrades!$T$16="Brown Dwarf",POWER(Upgrades!$U$16,H265),1)*IF(Upgrades!$T$18="Brown Dwarf",POWER(Upgrades!$U$18,J265),1)*IF(Upgrades!$T$19="Brown Dwarf",POWER(Upgrades!$U$19,K265),1)*IF(Upgrades!$T$20="Brown Dwarf",POWER(Upgrades!$U$20,L265),1)*IF(Upgrades!$T$21="Brown Dwarf",POWER(Upgrades!$U$21,M265),1))*$F$6+(((IF(H265=0,0,(Upgrades!$M$16+H265*Upgrades!$N$16)*POWER(Upgrades!$O$16,H265)))*(IF(Upgrades!$T$13="Roche Lobe Overflow",POWER(Upgrades!$U$13,E265),1)*IF(Upgrades!$T$14="Roche Lobe Overflow",POWER(Upgrades!$U$14,F265),1)*IF(Upgrades!$T$15="Roche Lobe Overflow",POWER(Upgrades!$U$15,G265),1)*IF(Upgrades!$T$17="Roche Lobe Overflow",POWER(Upgrades!$U$17,I265),1)*IF(Upgrades!$T$18="Roche Lobe Overflow",POWER(Upgrades!$U$18,J265),1)*IF(Upgrades!$T$19="Roche Lobe Overflow",POWER(Upgrades!$U$19,K265),1)*IF(Upgrades!$T$20="Roche Lobe Overflow",POWER(Upgrades!$U$20,L265),1)*IF(Upgrades!$T$21="Roche Lobe Overflow",POWER(Upgrades!$U$21,M265),1))*POWER(Upgrades!$R$13,E265)*POWER(Upgrades!$R$14,F265)*POWER(Upgrades!$R$15,G265)*POWER(Upgrades!$R$16,H265)*POWER(Upgrades!$R$17,I265)*POWER(Upgrades!$R$18,J265)*POWER(Upgrades!$R$19,K265)*POWER(Upgrades!$R$20,L265)*POWER(Upgrades!$R$21,M265)*$H$6)*O265)*0.10)/AO265,0)</f>
        <v/>
      </c>
      <c r="BD265" s="32">
        <f>MAX(IF(J265&gt;0,0,IFERROR(0.5*((IF(G265=0,0,(Upgrades!$J$15+G265*Upgrades!$K$15)*POWER(Upgrades!$L$15,G265)))*(IF(Upgrades!$T$13="Microlensing",POWER(Upgrades!$U$13,E265),1)*IF(Upgrades!$T$14="Microlensing",POWER(Upgrades!$U$14,F265),1)*IF(Upgrades!$T$16="Microlensing",POWER(Upgrades!$U$16,H265),1)*IF(Upgrades!$T$17="Microlensing",POWER(Upgrades!$U$17,I265),1)*IF(Upgrades!$T$18="Microlensing",POWER(Upgrades!$U$18,J265),1)*IF(Upgrades!$T$19="Microlensing",POWER(Upgrades!$U$19,K265),1)*IF(Upgrades!$T$20="Microlensing",POWER(Upgrades!$U$20,L265),1)*IF(Upgrades!$T$21="Microlensing",POWER(Upgrades!$U$21,M265),1))*(POWER(Upgrades!$Q$13,E265)*POWER(Upgrades!$Q$14,F265)*POWER(Upgrades!$Q$15,G265)*POWER(Upgrades!$Q$16,H265)*POWER(Upgrades!$Q$17,I265)*POWER(Upgrades!$Q$18,J265)*POWER(Upgrades!$Q$19,K265)*POWER(Upgrades!$Q$20,L265)*POWER(Upgrades!$Q$21,M265))*$G$6*(Parameters!$B$10/60*Parameters!$B$11+Q265))/Upgrades!$C$18,0)),IF(K265&gt;0,0,IFERROR(0.30*P265/Upgrades!$C$19,0)),IF(L265&gt;0,0,IFERROR(0.0001/Upgrades!$C$20,0)),IF(M265&gt;0,0,IFERROR((6.0*(POWER(Upgrades!$P$13,E265)*POWER(Upgrades!$P$14,F265)*POWER(Upgrades!$P$15,G265)*POWER(Upgrades!$P$16,H265)*POWER(Upgrades!$P$17,I265)*POWER(Upgrades!$P$18,J265)*POWER(Upgrades!$P$19,K265)*POWER(Upgrades!$P$20,L265)*POWER(Upgrades!$P$21,M265))*$F$6+0.20*O265*(Parameters!$B$10/60*Parameters!$B$11+Q265))/Upgrades!$C$21,0)),IF(AND(ISNUMBER(AK265),AK265&gt;(C265+T265)),AY265,0),IF(AND(ISNUMBER(AL265),AL265&gt;(C265+T265)),AZ265,0),IF(AND(ISNUMBER(AM265),AM265&gt;(C265+T265)),BA265,0),IF(AND(ISNUMBER(AN265),AN265&gt;(C265+T265)),BB265,0),IF(AND(ISNUMBER(AO265),AO265&gt;(C265+T265)),BC265,0))</f>
        <v/>
      </c>
      <c r="BE265" s="29">
        <f>IF(AT265=1,"transition",IF(MIN(IF(AND(J265=0,ISNUMBER(AP265),AP265&lt;=(C265+T265)),AP265,9E15),IF(AND(K265=0,ISNUMBER(AQ265),AQ265&lt;=(C265+T265)),AQ265,9E15),IF(AND(L265=0,ISNUMBER(AR265),AR265&lt;=(C265+T265)),AR265,9E15),IF(AND(M265=0,ISNUMBER(AS265),AS265&lt;=(C265+T265)),AS265,9E15))&lt;9E15,IF(AND(AND(J265=0,ISNUMBER(AP265),AP265&lt;=(C265+T265)),AP265=MIN(IF(AND(J265=0,ISNUMBER(AP265),AP265&lt;=(C265+T265)),AP265,9E15),IF(AND(K265=0,ISNUMBER(AQ265),AQ265&lt;=(C265+T265)),AQ265,9E15),IF(AND(L265=0,ISNUMBER(AR265),AR265&lt;=(C265+T265)),AR265,9E15),IF(AND(M265=0,ISNUMBER(AS265),AS265&lt;=(C265+T265)),AS265,9E15))),"BiP",IF(AND(AND(K265=0,ISNUMBER(AQ265),AQ265&lt;=(C265+T265)),AQ265=MIN(IF(AND(J265=0,ISNUMBER(AP265),AP265&lt;=(C265+T265)),AP265,9E15),IF(AND(K265=0,ISNUMBER(AQ265),AQ265&lt;=(C265+T265)),AQ265,9E15),IF(AND(L265=0,ISNUMBER(AR265),AR265&lt;=(C265+T265)),AR265,9E15),IF(AND(M265=0,ISNUMBER(AS265),AS265&lt;=(C265+T265)),AS265,9E15))),"PV",IF(AND(AND(L265=0,ISNUMBER(AR265),AR265&lt;=(C265+T265)),AR265=MIN(IF(AND(J265=0,ISNUMBER(AP265),AP265&lt;=(C265+T265)),AP265,9E15),IF(AND(K265=0,ISNUMBER(AQ265),AQ265&lt;=(C265+T265)),AQ265,9E15),IF(AND(L265=0,ISNUMBER(AR265),AR265&lt;=(C265+T265)),AR265,9E15),IF(AND(M265=0,ISNUMBER(AS265),AS265&lt;=(C265+T265)),AS265,9E15))),"OC","MG"))),IF(AX265=TRUE,"",IF(MAX(IF(AND(NOT(AND(AU265=1,AT265&lt;&gt;1)),ISNUMBER(AK265),AK265&lt;=(C265+T265)),AY265,0),IF(AND(NOT(AND(AU265=1,AT265&lt;&gt;1)),ISNUMBER(AL265),AL265&lt;=(C265+T265)),AZ265,0),IF(AND(NOT(AND(AU265=1,AT265&lt;&gt;1)),ISNUMBER(AM265),AM265&lt;=(C265+T265)),BA265,0),IF(AND(NOT(AND(AU265=1,AT265&lt;&gt;1)),ISNUMBER(AN265),AN265&lt;=(C265+T265)),BB265,0),IF(AND(ISNUMBER(AO265),AO265&lt;=(C265+T265)),BC265,0))&lt;=0,"",IF(AND(IF(AND(NOT(AND(AU265=1,AT265&lt;&gt;1)),ISNUMBER(AK265),AK265&lt;=(C265+T265)),AY265,0)&gt;0,IF(AND(NOT(AND(AU265=1,AT265&lt;&gt;1)),ISNUMBER(AK265),AK265&lt;=(C265+T265)),AY265,0)=MAX(IF(AND(NOT(AND(AU265=1,AT265&lt;&gt;1)),ISNUMBER(AK265),AK265&lt;=(C265+T265)),AY265,0),IF(AND(NOT(AND(AU265=1,AT265&lt;&gt;1)),ISNUMBER(AL265),AL265&lt;=(C265+T265)),AZ265,0),IF(AND(NOT(AND(AU265=1,AT265&lt;&gt;1)),ISNUMBER(AM265),AM265&lt;=(C265+T265)),BA265,0),IF(AND(NOT(AND(AU265=1,AT265&lt;&gt;1)),ISNUMBER(AN265),AN265&lt;=(C265+T265)),BB265,0),IF(AND(ISNUMBER(AO265),AO265&lt;=(C265+T265)),BC265,0))),"SK",IF(AND(IF(AND(NOT(AND(AU265=1,AT265&lt;&gt;1)),ISNUMBER(AL265),AL265&lt;=(C265+T265)),AZ265,0)&gt;0,IF(AND(NOT(AND(AU265=1,AT265&lt;&gt;1)),ISNUMBER(AL265),AL265&lt;=(C265+T265)),AZ265,0)=MAX(IF(AND(NOT(AND(AU265=1,AT265&lt;&gt;1)),ISNUMBER(AK265),AK265&lt;=(C265+T265)),AY265,0),IF(AND(NOT(AND(AU265=1,AT265&lt;&gt;1)),ISNUMBER(AL265),AL265&lt;=(C265+T265)),AZ265,0),IF(AND(NOT(AND(AU265=1,AT265&lt;&gt;1)),ISNUMBER(AM265),AM265&lt;=(C265+T265)),BA265,0),IF(AND(NOT(AND(AU265=1,AT265&lt;&gt;1)),ISNUMBER(AN265),AN265&lt;=(C265+T265)),BB265,0),IF(AND(ISNUMBER(AO265),AO265&lt;=(C265+T265)),BC265,0))),"LB",IF(AND(IF(AND(NOT(AND(AU265=1,AT265&lt;&gt;1)),ISNUMBER(AM265),AM265&lt;=(C265+T265)),BA265,0)&gt;0,IF(AND(NOT(AND(AU265=1,AT265&lt;&gt;1)),ISNUMBER(AM265),AM265&lt;=(C265+T265)),BA265,0)=MAX(IF(AND(NOT(AND(AU265=1,AT265&lt;&gt;1)),ISNUMBER(AK265),AK265&lt;=(C265+T265)),AY265,0),IF(AND(NOT(AND(AU265=1,AT265&lt;&gt;1)),ISNUMBER(AL265),AL265&lt;=(C265+T265)),AZ265,0),IF(AND(NOT(AND(AU265=1,AT265&lt;&gt;1)),ISNUMBER(AM265),AM265&lt;=(C265+T265)),BA265,0),IF(AND(NOT(AND(AU265=1,AT265&lt;&gt;1)),ISNUMBER(AN265),AN265&lt;=(C265+T265)),BB265,0),IF(AND(ISNUMBER(AO265),AO265&lt;=(C265+T265)),BC265,0))),"ML",IF(AND(IF(AND(NOT(AND(AU265=1,AT265&lt;&gt;1)),ISNUMBER(AN265),AN265&lt;=(C265+T265)),BB265,0)&gt;0,IF(AND(NOT(AND(AU265=1,AT265&lt;&gt;1)),ISNUMBER(AN265),AN265&lt;=(C265+T265)),BB265,0)=MAX(IF(AND(NOT(AND(AU265=1,AT265&lt;&gt;1)),ISNUMBER(AK265),AK265&lt;=(C265+T265)),AY265,0),IF(AND(NOT(AND(AU265=1,AT265&lt;&gt;1)),ISNUMBER(AL265),AL265&lt;=(C265+T265)),AZ265,0),IF(AND(NOT(AND(AU265=1,AT265&lt;&gt;1)),ISNUMBER(AM265),AM265&lt;=(C265+T265)),BA265,0),IF(AND(NOT(AND(AU265=1,AT265&lt;&gt;1)),ISNUMBER(AN265),AN265&lt;=(C265+T265)),BB265,0),IF(AND(ISNUMBER(AO265),AO265&lt;=(C265+T265)),BC265,0))),"RLO","BD"))))))))</f>
        <v/>
      </c>
    </row>
    <row r="266">
      <c r="A266" s="26" t="n">
        <v>255</v>
      </c>
      <c r="B266" s="27">
        <f>A266*10/60</f>
        <v/>
      </c>
      <c r="C266" s="22">
        <f>X265</f>
        <v/>
      </c>
      <c r="D266" s="27">
        <f>D265+W265</f>
        <v/>
      </c>
      <c r="E266" s="26">
        <f>E265+IF(U265="SK",1,0)</f>
        <v/>
      </c>
      <c r="F266" s="26">
        <f>F265+IF(U265="LB",1,0)</f>
        <v/>
      </c>
      <c r="G266" s="26">
        <f>G265+IF(U265="ML",1,0)</f>
        <v/>
      </c>
      <c r="H266" s="26">
        <f>H265+IF(U265="RLO",1,0)</f>
        <v/>
      </c>
      <c r="I266" s="26">
        <f>I265+IF(U265="BD",1,0)</f>
        <v/>
      </c>
      <c r="J266" s="26">
        <f>MAX(J265,IF(U265="BiP",1,0))</f>
        <v/>
      </c>
      <c r="K266" s="26">
        <f>MAX(K265,IF(U265="PV",1,0))</f>
        <v/>
      </c>
      <c r="L266" s="26">
        <f>MAX(L265,IF(U265="OC",1,0))</f>
        <v/>
      </c>
      <c r="M266" s="26">
        <f>MAX(M265,IF(U265="MG",1,0))</f>
        <v/>
      </c>
      <c r="N266" s="26">
        <f>MAX(N265,IF(U265="transition",1,0))</f>
        <v/>
      </c>
      <c r="O266" s="28">
        <f>(Parameters!$B$9+(IF(E266=0,0,(Upgrades!$J$13+E266*Upgrades!$K$13)*POWER(Upgrades!$L$13,E266)))*(IF(Upgrades!$T$14="Stellar Kinematics",POWER(Upgrades!$U$14,F266),1)*IF(Upgrades!$T$15="Stellar Kinematics",POWER(Upgrades!$U$15,G266),1)*IF(Upgrades!$T$16="Stellar Kinematics",POWER(Upgrades!$U$16,H266),1)*IF(Upgrades!$T$17="Stellar Kinematics",POWER(Upgrades!$U$17,I266),1)*IF(Upgrades!$T$18="Stellar Kinematics",POWER(Upgrades!$U$18,J266),1)*IF(Upgrades!$T$19="Stellar Kinematics",POWER(Upgrades!$U$19,K266),1)*IF(Upgrades!$T$20="Stellar Kinematics",POWER(Upgrades!$U$20,L266),1)*IF(Upgrades!$T$21="Stellar Kinematics",POWER(Upgrades!$U$21,M266),1))+(IF(F266=0,0,(Upgrades!$J$14+F266*Upgrades!$K$14)*POWER(Upgrades!$L$14,F266)))*(IF(Upgrades!$T$13="Local Bubble",POWER(Upgrades!$U$13,E266),1)*IF(Upgrades!$T$15="Local Bubble",POWER(Upgrades!$U$15,G266),1)*IF(Upgrades!$T$16="Local Bubble",POWER(Upgrades!$U$16,H266),1)*IF(Upgrades!$T$17="Local Bubble",POWER(Upgrades!$U$17,I266),1)*IF(Upgrades!$T$18="Local Bubble",POWER(Upgrades!$U$18,J266),1)*IF(Upgrades!$T$19="Local Bubble",POWER(Upgrades!$U$19,K266),1)*IF(Upgrades!$T$20="Local Bubble",POWER(Upgrades!$U$20,L266),1)*IF(Upgrades!$T$21="Local Bubble",POWER(Upgrades!$U$21,M266),1))+(IF(G266=0,0,(Upgrades!$J$15+G266*Upgrades!$K$15)*POWER(Upgrades!$L$15,G266)))*(IF(Upgrades!$T$13="Microlensing",POWER(Upgrades!$U$13,E266),1)*IF(Upgrades!$T$14="Microlensing",POWER(Upgrades!$U$14,F266),1)*IF(Upgrades!$T$16="Microlensing",POWER(Upgrades!$U$16,H266),1)*IF(Upgrades!$T$17="Microlensing",POWER(Upgrades!$U$17,I266),1)*IF(Upgrades!$T$18="Microlensing",POWER(Upgrades!$U$18,J266),1)*IF(Upgrades!$T$19="Microlensing",POWER(Upgrades!$U$19,K266),1)*IF(Upgrades!$T$20="Microlensing",POWER(Upgrades!$U$20,L266),1)*IF(Upgrades!$T$21="Microlensing",POWER(Upgrades!$U$21,M266),1))+(IF(H266=0,0,(Upgrades!$J$16+H266*Upgrades!$K$16)*POWER(Upgrades!$L$16,H266)))*(IF(Upgrades!$T$13="Roche Lobe Overflow",POWER(Upgrades!$U$13,E266),1)*IF(Upgrades!$T$14="Roche Lobe Overflow",POWER(Upgrades!$U$14,F266),1)*IF(Upgrades!$T$15="Roche Lobe Overflow",POWER(Upgrades!$U$15,G266),1)*IF(Upgrades!$T$17="Roche Lobe Overflow",POWER(Upgrades!$U$17,I266),1)*IF(Upgrades!$T$18="Roche Lobe Overflow",POWER(Upgrades!$U$18,J266),1)*IF(Upgrades!$T$19="Roche Lobe Overflow",POWER(Upgrades!$U$19,K266),1)*IF(Upgrades!$T$20="Roche Lobe Overflow",POWER(Upgrades!$U$20,L266),1)*IF(Upgrades!$T$21="Roche Lobe Overflow",POWER(Upgrades!$U$21,M266),1))+(IF(I266=0,0,(Upgrades!$J$17+I266*Upgrades!$K$17)*POWER(Upgrades!$L$17,I266)))*(IF(Upgrades!$T$13="Brown Dwarf",POWER(Upgrades!$U$13,E266),1)*IF(Upgrades!$T$14="Brown Dwarf",POWER(Upgrades!$U$14,F266),1)*IF(Upgrades!$T$15="Brown Dwarf",POWER(Upgrades!$U$15,G266),1)*IF(Upgrades!$T$16="Brown Dwarf",POWER(Upgrades!$U$16,H266),1)*IF(Upgrades!$T$18="Brown Dwarf",POWER(Upgrades!$U$18,J266),1)*IF(Upgrades!$T$19="Brown Dwarf",POWER(Upgrades!$U$19,K266),1)*IF(Upgrades!$T$20="Brown Dwarf",POWER(Upgrades!$U$20,L266),1)*IF(Upgrades!$T$21="Brown Dwarf",POWER(Upgrades!$U$21,M266),1))+(IF(J266=0,0,(Upgrades!$J$18+J266*Upgrades!$K$18)*POWER(Upgrades!$L$18,J266)))*(IF(Upgrades!$T$13="Binary Partner",POWER(Upgrades!$U$13,E266),1)*IF(Upgrades!$T$14="Binary Partner",POWER(Upgrades!$U$14,F266),1)*IF(Upgrades!$T$15="Binary Partner",POWER(Upgrades!$U$15,G266),1)*IF(Upgrades!$T$16="Binary Partner",POWER(Upgrades!$U$16,H266),1)*IF(Upgrades!$T$17="Binary Partner",POWER(Upgrades!$U$17,I266),1)*IF(Upgrades!$T$19="Binary Partner",POWER(Upgrades!$U$19,K266),1)*IF(Upgrades!$T$20="Binary Partner",POWER(Upgrades!$U$20,L266),1)*IF(Upgrades!$T$21="Binary Partner",POWER(Upgrades!$U$21,M266),1))+(IF(K266=0,0,(Upgrades!$J$19+K266*Upgrades!$K$19)*POWER(Upgrades!$L$19,K266)))*(IF(Upgrades!$T$13="Peculiar Velocity",POWER(Upgrades!$U$13,E266),1)*IF(Upgrades!$T$14="Peculiar Velocity",POWER(Upgrades!$U$14,F266),1)*IF(Upgrades!$T$15="Peculiar Velocity",POWER(Upgrades!$U$15,G266),1)*IF(Upgrades!$T$16="Peculiar Velocity",POWER(Upgrades!$U$16,H266),1)*IF(Upgrades!$T$17="Peculiar Velocity",POWER(Upgrades!$U$17,I266),1)*IF(Upgrades!$T$18="Peculiar Velocity",POWER(Upgrades!$U$18,J266),1)*IF(Upgrades!$T$20="Peculiar Velocity",POWER(Upgrades!$U$20,L266),1)*IF(Upgrades!$T$21="Peculiar Velocity",POWER(Upgrades!$U$21,M266),1))+(IF(L266=0,0,(Upgrades!$J$20+L266*Upgrades!$K$20)*POWER(Upgrades!$L$20,L266)))*(IF(Upgrades!$T$13="Open Cluster",POWER(Upgrades!$U$13,E266),1)*IF(Upgrades!$T$14="Open Cluster",POWER(Upgrades!$U$14,F266),1)*IF(Upgrades!$T$15="Open Cluster",POWER(Upgrades!$U$15,G266),1)*IF(Upgrades!$T$16="Open Cluster",POWER(Upgrades!$U$16,H266),1)*IF(Upgrades!$T$17="Open Cluster",POWER(Upgrades!$U$17,I266),1)*IF(Upgrades!$T$18="Open Cluster",POWER(Upgrades!$U$18,J266),1)*IF(Upgrades!$T$19="Open Cluster",POWER(Upgrades!$U$19,K266),1)*IF(Upgrades!$T$21="Open Cluster",POWER(Upgrades!$U$21,M266),1))+(IF(M266=0,0,(Upgrades!$J$21+M266*Upgrades!$K$21)*POWER(Upgrades!$L$21,M266)))*(IF(Upgrades!$T$13="Moving Group",POWER(Upgrades!$U$13,E266),1)*IF(Upgrades!$T$14="Moving Group",POWER(Upgrades!$U$14,F266),1)*IF(Upgrades!$T$15="Moving Group",POWER(Upgrades!$U$15,G266),1)*IF(Upgrades!$T$16="Moving Group",POWER(Upgrades!$U$16,H266),1)*IF(Upgrades!$T$17="Moving Group",POWER(Upgrades!$U$17,I266),1)*IF(Upgrades!$T$18="Moving Group",POWER(Upgrades!$U$18,J266),1)*IF(Upgrades!$T$19="Moving Group",POWER(Upgrades!$U$19,K266),1)*IF(Upgrades!$T$20="Moving Group",POWER(Upgrades!$U$20,L266),1)))*POWER(Upgrades!$Q$13,E266)*POWER(Upgrades!$Q$14,F266)*POWER(Upgrades!$Q$15,G266)*POWER(Upgrades!$Q$16,H266)*POWER(Upgrades!$Q$17,I266)*POWER(Upgrades!$Q$18,J266)*POWER(Upgrades!$Q$19,K266)*POWER(Upgrades!$Q$20,L266)*POWER(Upgrades!$Q$21,M266)*$G$6+$D$6</f>
        <v/>
      </c>
      <c r="P266" s="28">
        <f>((IF(E266=0,0,(Upgrades!$G$13+E266*Upgrades!$H$13)*POWER(Upgrades!$I$13,E266)))*(IF(Upgrades!$T$14="Stellar Kinematics",POWER(Upgrades!$U$14,F266),1)*IF(Upgrades!$T$15="Stellar Kinematics",POWER(Upgrades!$U$15,G266),1)*IF(Upgrades!$T$16="Stellar Kinematics",POWER(Upgrades!$U$16,H266),1)*IF(Upgrades!$T$17="Stellar Kinematics",POWER(Upgrades!$U$17,I266),1)*IF(Upgrades!$T$18="Stellar Kinematics",POWER(Upgrades!$U$18,J266),1)*IF(Upgrades!$T$19="Stellar Kinematics",POWER(Upgrades!$U$19,K266),1)*IF(Upgrades!$T$20="Stellar Kinematics",POWER(Upgrades!$U$20,L266),1)*IF(Upgrades!$T$21="Stellar Kinematics",POWER(Upgrades!$U$21,M266),1))+(IF(F266=0,0,(Upgrades!$G$14+F266*Upgrades!$H$14)*POWER(Upgrades!$I$14,F266)))*(IF(Upgrades!$T$13="Local Bubble",POWER(Upgrades!$U$13,E266),1)*IF(Upgrades!$T$15="Local Bubble",POWER(Upgrades!$U$15,G266),1)*IF(Upgrades!$T$16="Local Bubble",POWER(Upgrades!$U$16,H266),1)*IF(Upgrades!$T$17="Local Bubble",POWER(Upgrades!$U$17,I266),1)*IF(Upgrades!$T$18="Local Bubble",POWER(Upgrades!$U$18,J266),1)*IF(Upgrades!$T$19="Local Bubble",POWER(Upgrades!$U$19,K266),1)*IF(Upgrades!$T$20="Local Bubble",POWER(Upgrades!$U$20,L266),1)*IF(Upgrades!$T$21="Local Bubble",POWER(Upgrades!$U$21,M266),1))+(IF(G266=0,0,(Upgrades!$G$15+G266*Upgrades!$H$15)*POWER(Upgrades!$I$15,G266)))*(IF(Upgrades!$T$13="Microlensing",POWER(Upgrades!$U$13,E266),1)*IF(Upgrades!$T$14="Microlensing",POWER(Upgrades!$U$14,F266),1)*IF(Upgrades!$T$16="Microlensing",POWER(Upgrades!$U$16,H266),1)*IF(Upgrades!$T$17="Microlensing",POWER(Upgrades!$U$17,I266),1)*IF(Upgrades!$T$18="Microlensing",POWER(Upgrades!$U$18,J266),1)*IF(Upgrades!$T$19="Microlensing",POWER(Upgrades!$U$19,K266),1)*IF(Upgrades!$T$20="Microlensing",POWER(Upgrades!$U$20,L266),1)*IF(Upgrades!$T$21="Microlensing",POWER(Upgrades!$U$21,M266),1))+(IF(H266=0,0,(Upgrades!$G$16+H266*Upgrades!$H$16)*POWER(Upgrades!$I$16,H266)))*(IF(Upgrades!$T$13="Roche Lobe Overflow",POWER(Upgrades!$U$13,E266),1)*IF(Upgrades!$T$14="Roche Lobe Overflow",POWER(Upgrades!$U$14,F266),1)*IF(Upgrades!$T$15="Roche Lobe Overflow",POWER(Upgrades!$U$15,G266),1)*IF(Upgrades!$T$17="Roche Lobe Overflow",POWER(Upgrades!$U$17,I266),1)*IF(Upgrades!$T$18="Roche Lobe Overflow",POWER(Upgrades!$U$18,J266),1)*IF(Upgrades!$T$19="Roche Lobe Overflow",POWER(Upgrades!$U$19,K266),1)*IF(Upgrades!$T$20="Roche Lobe Overflow",POWER(Upgrades!$U$20,L266),1)*IF(Upgrades!$T$21="Roche Lobe Overflow",POWER(Upgrades!$U$21,M266),1))+(IF(I266=0,0,(Upgrades!$G$17+I266*Upgrades!$H$17)*POWER(Upgrades!$I$17,I266)))*(IF(Upgrades!$T$13="Brown Dwarf",POWER(Upgrades!$U$13,E266),1)*IF(Upgrades!$T$14="Brown Dwarf",POWER(Upgrades!$U$14,F266),1)*IF(Upgrades!$T$15="Brown Dwarf",POWER(Upgrades!$U$15,G266),1)*IF(Upgrades!$T$16="Brown Dwarf",POWER(Upgrades!$U$16,H266),1)*IF(Upgrades!$T$18="Brown Dwarf",POWER(Upgrades!$U$18,J266),1)*IF(Upgrades!$T$19="Brown Dwarf",POWER(Upgrades!$U$19,K266),1)*IF(Upgrades!$T$20="Brown Dwarf",POWER(Upgrades!$U$20,L266),1)*IF(Upgrades!$T$21="Brown Dwarf",POWER(Upgrades!$U$21,M266),1))+(IF(J266=0,0,(Upgrades!$G$18+J266*Upgrades!$H$18)*POWER(Upgrades!$I$18,J266)))*(IF(Upgrades!$T$13="Binary Partner",POWER(Upgrades!$U$13,E266),1)*IF(Upgrades!$T$14="Binary Partner",POWER(Upgrades!$U$14,F266),1)*IF(Upgrades!$T$15="Binary Partner",POWER(Upgrades!$U$15,G266),1)*IF(Upgrades!$T$16="Binary Partner",POWER(Upgrades!$U$16,H266),1)*IF(Upgrades!$T$17="Binary Partner",POWER(Upgrades!$U$17,I266),1)*IF(Upgrades!$T$19="Binary Partner",POWER(Upgrades!$U$19,K266),1)*IF(Upgrades!$T$20="Binary Partner",POWER(Upgrades!$U$20,L266),1)*IF(Upgrades!$T$21="Binary Partner",POWER(Upgrades!$U$21,M266),1))+(IF(K266=0,0,(Upgrades!$G$19+K266*Upgrades!$H$19)*POWER(Upgrades!$I$19,K266)))*(IF(Upgrades!$T$13="Peculiar Velocity",POWER(Upgrades!$U$13,E266),1)*IF(Upgrades!$T$14="Peculiar Velocity",POWER(Upgrades!$U$14,F266),1)*IF(Upgrades!$T$15="Peculiar Velocity",POWER(Upgrades!$U$15,G266),1)*IF(Upgrades!$T$16="Peculiar Velocity",POWER(Upgrades!$U$16,H266),1)*IF(Upgrades!$T$17="Peculiar Velocity",POWER(Upgrades!$U$17,I266),1)*IF(Upgrades!$T$18="Peculiar Velocity",POWER(Upgrades!$U$18,J266),1)*IF(Upgrades!$T$20="Peculiar Velocity",POWER(Upgrades!$U$20,L266),1)*IF(Upgrades!$T$21="Peculiar Velocity",POWER(Upgrades!$U$21,M266),1))+(IF(L266=0,0,(Upgrades!$G$20+L266*Upgrades!$H$20)*POWER(Upgrades!$I$20,L266)))*(IF(Upgrades!$T$13="Open Cluster",POWER(Upgrades!$U$13,E266),1)*IF(Upgrades!$T$14="Open Cluster",POWER(Upgrades!$U$14,F266),1)*IF(Upgrades!$T$15="Open Cluster",POWER(Upgrades!$U$15,G266),1)*IF(Upgrades!$T$16="Open Cluster",POWER(Upgrades!$U$16,H266),1)*IF(Upgrades!$T$17="Open Cluster",POWER(Upgrades!$U$17,I266),1)*IF(Upgrades!$T$18="Open Cluster",POWER(Upgrades!$U$18,J266),1)*IF(Upgrades!$T$19="Open Cluster",POWER(Upgrades!$U$19,K266),1)*IF(Upgrades!$T$21="Open Cluster",POWER(Upgrades!$U$21,M266),1))+(IF(M266=0,0,(Upgrades!$G$21+M266*Upgrades!$H$21)*POWER(Upgrades!$I$21,M266)))*(IF(Upgrades!$T$13="Moving Group",POWER(Upgrades!$U$13,E266),1)*IF(Upgrades!$T$14="Moving Group",POWER(Upgrades!$U$14,F266),1)*IF(Upgrades!$T$15="Moving Group",POWER(Upgrades!$U$15,G266),1)*IF(Upgrades!$T$16="Moving Group",POWER(Upgrades!$U$16,H266),1)*IF(Upgrades!$T$17="Moving Group",POWER(Upgrades!$U$17,I266),1)*IF(Upgrades!$T$18="Moving Group",POWER(Upgrades!$U$18,J266),1)*IF(Upgrades!$T$19="Moving Group",POWER(Upgrades!$U$19,K266),1)*IF(Upgrades!$T$20="Moving Group",POWER(Upgrades!$U$20,L266),1)))*POWER(Upgrades!$P$13,E266)*POWER(Upgrades!$P$14,F266)*POWER(Upgrades!$P$15,G266)*POWER(Upgrades!$P$16,H266)*POWER(Upgrades!$P$17,I266)*POWER(Upgrades!$P$18,J266)*POWER(Upgrades!$P$19,K266)*POWER(Upgrades!$P$20,L266)*POWER(Upgrades!$P$21,M266)*$F$6+$C$6</f>
        <v/>
      </c>
      <c r="Q266" s="28">
        <f>((IF(E266=0,0,(Upgrades!$M$13+E266*Upgrades!$N$13)*POWER(Upgrades!$O$13,E266)))*(IF(Upgrades!$T$14="Stellar Kinematics",POWER(Upgrades!$U$14,F266),1)*IF(Upgrades!$T$15="Stellar Kinematics",POWER(Upgrades!$U$15,G266),1)*IF(Upgrades!$T$16="Stellar Kinematics",POWER(Upgrades!$U$16,H266),1)*IF(Upgrades!$T$17="Stellar Kinematics",POWER(Upgrades!$U$17,I266),1)*IF(Upgrades!$T$18="Stellar Kinematics",POWER(Upgrades!$U$18,J266),1)*IF(Upgrades!$T$19="Stellar Kinematics",POWER(Upgrades!$U$19,K266),1)*IF(Upgrades!$T$20="Stellar Kinematics",POWER(Upgrades!$U$20,L266),1)*IF(Upgrades!$T$21="Stellar Kinematics",POWER(Upgrades!$U$21,M266),1))+(IF(F266=0,0,(Upgrades!$M$14+F266*Upgrades!$N$14)*POWER(Upgrades!$O$14,F266)))*(IF(Upgrades!$T$13="Local Bubble",POWER(Upgrades!$U$13,E266),1)*IF(Upgrades!$T$15="Local Bubble",POWER(Upgrades!$U$15,G266),1)*IF(Upgrades!$T$16="Local Bubble",POWER(Upgrades!$U$16,H266),1)*IF(Upgrades!$T$17="Local Bubble",POWER(Upgrades!$U$17,I266),1)*IF(Upgrades!$T$18="Local Bubble",POWER(Upgrades!$U$18,J266),1)*IF(Upgrades!$T$19="Local Bubble",POWER(Upgrades!$U$19,K266),1)*IF(Upgrades!$T$20="Local Bubble",POWER(Upgrades!$U$20,L266),1)*IF(Upgrades!$T$21="Local Bubble",POWER(Upgrades!$U$21,M266),1))+(IF(G266=0,0,(Upgrades!$M$15+G266*Upgrades!$N$15)*POWER(Upgrades!$O$15,G266)))*(IF(Upgrades!$T$13="Microlensing",POWER(Upgrades!$U$13,E266),1)*IF(Upgrades!$T$14="Microlensing",POWER(Upgrades!$U$14,F266),1)*IF(Upgrades!$T$16="Microlensing",POWER(Upgrades!$U$16,H266),1)*IF(Upgrades!$T$17="Microlensing",POWER(Upgrades!$U$17,I266),1)*IF(Upgrades!$T$18="Microlensing",POWER(Upgrades!$U$18,J266),1)*IF(Upgrades!$T$19="Microlensing",POWER(Upgrades!$U$19,K266),1)*IF(Upgrades!$T$20="Microlensing",POWER(Upgrades!$U$20,L266),1)*IF(Upgrades!$T$21="Microlensing",POWER(Upgrades!$U$21,M266),1))+(IF(H266=0,0,(Upgrades!$M$16+H266*Upgrades!$N$16)*POWER(Upgrades!$O$16,H266)))*(IF(Upgrades!$T$13="Roche Lobe Overflow",POWER(Upgrades!$U$13,E266),1)*IF(Upgrades!$T$14="Roche Lobe Overflow",POWER(Upgrades!$U$14,F266),1)*IF(Upgrades!$T$15="Roche Lobe Overflow",POWER(Upgrades!$U$15,G266),1)*IF(Upgrades!$T$17="Roche Lobe Overflow",POWER(Upgrades!$U$17,I266),1)*IF(Upgrades!$T$18="Roche Lobe Overflow",POWER(Upgrades!$U$18,J266),1)*IF(Upgrades!$T$19="Roche Lobe Overflow",POWER(Upgrades!$U$19,K266),1)*IF(Upgrades!$T$20="Roche Lobe Overflow",POWER(Upgrades!$U$20,L266),1)*IF(Upgrades!$T$21="Roche Lobe Overflow",POWER(Upgrades!$U$21,M266),1))+(IF(I266=0,0,(Upgrades!$M$17+I266*Upgrades!$N$17)*POWER(Upgrades!$O$17,I266)))*(IF(Upgrades!$T$13="Brown Dwarf",POWER(Upgrades!$U$13,E266),1)*IF(Upgrades!$T$14="Brown Dwarf",POWER(Upgrades!$U$14,F266),1)*IF(Upgrades!$T$15="Brown Dwarf",POWER(Upgrades!$U$15,G266),1)*IF(Upgrades!$T$16="Brown Dwarf",POWER(Upgrades!$U$16,H266),1)*IF(Upgrades!$T$18="Brown Dwarf",POWER(Upgrades!$U$18,J266),1)*IF(Upgrades!$T$19="Brown Dwarf",POWER(Upgrades!$U$19,K266),1)*IF(Upgrades!$T$20="Brown Dwarf",POWER(Upgrades!$U$20,L266),1)*IF(Upgrades!$T$21="Brown Dwarf",POWER(Upgrades!$U$21,M266),1))+(IF(J266=0,0,(Upgrades!$M$18+J266*Upgrades!$N$18)*POWER(Upgrades!$O$18,J266)))*(IF(Upgrades!$T$13="Binary Partner",POWER(Upgrades!$U$13,E266),1)*IF(Upgrades!$T$14="Binary Partner",POWER(Upgrades!$U$14,F266),1)*IF(Upgrades!$T$15="Binary Partner",POWER(Upgrades!$U$15,G266),1)*IF(Upgrades!$T$16="Binary Partner",POWER(Upgrades!$U$16,H266),1)*IF(Upgrades!$T$17="Binary Partner",POWER(Upgrades!$U$17,I266),1)*IF(Upgrades!$T$19="Binary Partner",POWER(Upgrades!$U$19,K266),1)*IF(Upgrades!$T$20="Binary Partner",POWER(Upgrades!$U$20,L266),1)*IF(Upgrades!$T$21="Binary Partner",POWER(Upgrades!$U$21,M266),1))+(IF(K266=0,0,(Upgrades!$M$19+K266*Upgrades!$N$19)*POWER(Upgrades!$O$19,K266)))*(IF(Upgrades!$T$13="Peculiar Velocity",POWER(Upgrades!$U$13,E266),1)*IF(Upgrades!$T$14="Peculiar Velocity",POWER(Upgrades!$U$14,F266),1)*IF(Upgrades!$T$15="Peculiar Velocity",POWER(Upgrades!$U$15,G266),1)*IF(Upgrades!$T$16="Peculiar Velocity",POWER(Upgrades!$U$16,H266),1)*IF(Upgrades!$T$17="Peculiar Velocity",POWER(Upgrades!$U$17,I266),1)*IF(Upgrades!$T$18="Peculiar Velocity",POWER(Upgrades!$U$18,J266),1)*IF(Upgrades!$T$20="Peculiar Velocity",POWER(Upgrades!$U$20,L266),1)*IF(Upgrades!$T$21="Peculiar Velocity",POWER(Upgrades!$U$21,M266),1))+(IF(L266=0,0,(Upgrades!$M$20+L266*Upgrades!$N$20)*POWER(Upgrades!$O$20,L266)))*(IF(Upgrades!$T$13="Open Cluster",POWER(Upgrades!$U$13,E266),1)*IF(Upgrades!$T$14="Open Cluster",POWER(Upgrades!$U$14,F266),1)*IF(Upgrades!$T$15="Open Cluster",POWER(Upgrades!$U$15,G266),1)*IF(Upgrades!$T$16="Open Cluster",POWER(Upgrades!$U$16,H266),1)*IF(Upgrades!$T$17="Open Cluster",POWER(Upgrades!$U$17,I266),1)*IF(Upgrades!$T$18="Open Cluster",POWER(Upgrades!$U$18,J266),1)*IF(Upgrades!$T$19="Open Cluster",POWER(Upgrades!$U$19,K266),1)*IF(Upgrades!$T$21="Open Cluster",POWER(Upgrades!$U$21,M266),1))+(IF(M266=0,0,(Upgrades!$M$21+M266*Upgrades!$N$21)*POWER(Upgrades!$O$21,M266)))*(IF(Upgrades!$T$13="Moving Group",POWER(Upgrades!$U$13,E266),1)*IF(Upgrades!$T$14="Moving Group",POWER(Upgrades!$U$14,F266),1)*IF(Upgrades!$T$15="Moving Group",POWER(Upgrades!$U$15,G266),1)*IF(Upgrades!$T$16="Moving Group",POWER(Upgrades!$U$16,H266),1)*IF(Upgrades!$T$17="Moving Group",POWER(Upgrades!$U$17,I266),1)*IF(Upgrades!$T$18="Moving Group",POWER(Upgrades!$U$18,J266),1)*IF(Upgrades!$T$19="Moving Group",POWER(Upgrades!$U$19,K266),1)*IF(Upgrades!$T$20="Moving Group",POWER(Upgrades!$U$20,L266),1)))*POWER(Upgrades!$R$13,E266)*POWER(Upgrades!$R$14,F266)*POWER(Upgrades!$R$15,G266)*POWER(Upgrades!$R$16,H266)*POWER(Upgrades!$R$17,I266)*POWER(Upgrades!$R$18,J266)*POWER(Upgrades!$R$19,K266)*POWER(Upgrades!$R$20,L266)*POWER(Upgrades!$R$21,M266)*$H$6+$E$6</f>
        <v/>
      </c>
      <c r="R266" s="27">
        <f>IF(N266=1,0,O266*Parameters!$B$10/60*Parameters!$B$11*10)</f>
        <v/>
      </c>
      <c r="S266" s="27">
        <f>IF(N266=1,0,Q266*O266*10)</f>
        <v/>
      </c>
      <c r="T266" s="27">
        <f>IF(N266=1,0,R266+S266+P266*10)</f>
        <v/>
      </c>
      <c r="U266" s="33">
        <f>BE266</f>
        <v/>
      </c>
      <c r="V266" s="22">
        <f>IF(U266="",0,IF(U266="transition",0,IF(U266="SK",AK266,IF(U266="LB",AL266,IF(U266="ML",AM266,IF(U266="RLO",AN266,IF(U266="BD",AO266,IF(U266="BiP",AP266,IF(U266="PV",AQ266,IF(U266="OC",AR266,IF(U266="MG",AS266,0))))))))))</f>
        <v/>
      </c>
      <c r="W266" s="27">
        <f>IF(U266="BiP",Upgrades!$F$18,IF(U266="PV",Upgrades!$F$19,IF(U266="OC",Upgrades!$F$20,IF(U266="MG",Upgrades!$F$21,IF(U266="transition",-Parameters!$B$18*Parameters!$B$19,0)))))</f>
        <v/>
      </c>
      <c r="X266" s="22">
        <f>C266+T266-V266</f>
        <v/>
      </c>
      <c r="Y266" s="30">
        <f>O266*Parameters!$B$10/60*Parameters!$B$11+Q266*O266+P266</f>
        <v/>
      </c>
      <c r="Z266" s="34">
        <f>IF(U266="transition","→ Tier 3 (Galactic Arm)",IF(U266="MG","Moving Group — pocket drifts together",IF(U266="OC","Open Cluster acquired",IF(U266="PV","Peculiar Velocity — passive multiplier active",IF(U266="BiP","Binary Partner — pair bond formed",IF(AND(AU266=1,N266=0,AT266&lt;&gt;1),"Cohesion ready (waiting on completionists)","")))))) </f>
        <v/>
      </c>
      <c r="AA266" s="27">
        <f>(IF(E266=0,0,(Upgrades!$G$13+E266*Upgrades!$H$13)*POWER(Upgrades!$I$13,E266)))*(IF(Upgrades!$T$14="Stellar Kinematics",POWER(Upgrades!$U$14,F266),1)*IF(Upgrades!$T$15="Stellar Kinematics",POWER(Upgrades!$U$15,G266),1)*IF(Upgrades!$T$16="Stellar Kinematics",POWER(Upgrades!$U$16,H266),1)*IF(Upgrades!$T$17="Stellar Kinematics",POWER(Upgrades!$U$17,I266),1)*IF(Upgrades!$T$18="Stellar Kinematics",POWER(Upgrades!$U$18,J266),1)*IF(Upgrades!$T$19="Stellar Kinematics",POWER(Upgrades!$U$19,K266),1)*IF(Upgrades!$T$20="Stellar Kinematics",POWER(Upgrades!$U$20,L266),1)*IF(Upgrades!$T$21="Stellar Kinematics",POWER(Upgrades!$U$21,M266),1))*POWER(Upgrades!$P$13,E266)*POWER(Upgrades!$P$14,F266)*POWER(Upgrades!$P$15,G266)*POWER(Upgrades!$P$16,H266)*POWER(Upgrades!$P$17,I266)*POWER(Upgrades!$P$18,J266)*POWER(Upgrades!$P$19,K266)*POWER(Upgrades!$P$20,L266)*POWER(Upgrades!$P$21,M266)*$F$6*60</f>
        <v/>
      </c>
      <c r="AB266" s="27">
        <f>(IF(F266=0,0,(Upgrades!$G$14+F266*Upgrades!$H$14)*POWER(Upgrades!$I$14,F266)))*(IF(Upgrades!$T$13="Local Bubble",POWER(Upgrades!$U$13,E266),1)*IF(Upgrades!$T$15="Local Bubble",POWER(Upgrades!$U$15,G266),1)*IF(Upgrades!$T$16="Local Bubble",POWER(Upgrades!$U$16,H266),1)*IF(Upgrades!$T$17="Local Bubble",POWER(Upgrades!$U$17,I266),1)*IF(Upgrades!$T$18="Local Bubble",POWER(Upgrades!$U$18,J266),1)*IF(Upgrades!$T$19="Local Bubble",POWER(Upgrades!$U$19,K266),1)*IF(Upgrades!$T$20="Local Bubble",POWER(Upgrades!$U$20,L266),1)*IF(Upgrades!$T$21="Local Bubble",POWER(Upgrades!$U$21,M266),1))*POWER(Upgrades!$P$13,E266)*POWER(Upgrades!$P$14,F266)*POWER(Upgrades!$P$15,G266)*POWER(Upgrades!$P$16,H266)*POWER(Upgrades!$P$17,I266)*POWER(Upgrades!$P$18,J266)*POWER(Upgrades!$P$19,K266)*POWER(Upgrades!$P$20,L266)*POWER(Upgrades!$P$21,M266)*$F$6*60</f>
        <v/>
      </c>
      <c r="AC266" s="27">
        <f>(IF(G266=0,0,(Upgrades!$J$15+G266*Upgrades!$K$15)*POWER(Upgrades!$L$15,G266)))*(IF(Upgrades!$T$13="Microlensing",POWER(Upgrades!$U$13,E266),1)*IF(Upgrades!$T$14="Microlensing",POWER(Upgrades!$U$14,F266),1)*IF(Upgrades!$T$16="Microlensing",POWER(Upgrades!$U$16,H266),1)*IF(Upgrades!$T$17="Microlensing",POWER(Upgrades!$U$17,I266),1)*IF(Upgrades!$T$18="Microlensing",POWER(Upgrades!$U$18,J266),1)*IF(Upgrades!$T$19="Microlensing",POWER(Upgrades!$U$19,K266),1)*IF(Upgrades!$T$20="Microlensing",POWER(Upgrades!$U$20,L266),1)*IF(Upgrades!$T$21="Microlensing",POWER(Upgrades!$U$21,M266),1))*POWER(Upgrades!$Q$13,E266)*POWER(Upgrades!$Q$14,F266)*POWER(Upgrades!$Q$15,G266)*POWER(Upgrades!$Q$16,H266)*POWER(Upgrades!$Q$17,I266)*POWER(Upgrades!$Q$18,J266)*POWER(Upgrades!$Q$19,K266)*POWER(Upgrades!$Q$20,L266)*POWER(Upgrades!$Q$21,M266)*$G$6*(Parameters!$B$10*Parameters!$B$11+Q266*60)</f>
        <v/>
      </c>
      <c r="AD266" s="27">
        <f>(IF(H266=0,0,(Upgrades!$M$16+H266*Upgrades!$N$16)*POWER(Upgrades!$O$16,H266)))*(IF(Upgrades!$T$13="Roche Lobe Overflow",POWER(Upgrades!$U$13,E266),1)*IF(Upgrades!$T$14="Roche Lobe Overflow",POWER(Upgrades!$U$14,F266),1)*IF(Upgrades!$T$15="Roche Lobe Overflow",POWER(Upgrades!$U$15,G266),1)*IF(Upgrades!$T$17="Roche Lobe Overflow",POWER(Upgrades!$U$17,I266),1)*IF(Upgrades!$T$18="Roche Lobe Overflow",POWER(Upgrades!$U$18,J266),1)*IF(Upgrades!$T$19="Roche Lobe Overflow",POWER(Upgrades!$U$19,K266),1)*IF(Upgrades!$T$20="Roche Lobe Overflow",POWER(Upgrades!$U$20,L266),1)*IF(Upgrades!$T$21="Roche Lobe Overflow",POWER(Upgrades!$U$21,M266),1))*POWER(Upgrades!$R$13,E266)*POWER(Upgrades!$R$14,F266)*POWER(Upgrades!$R$15,G266)*POWER(Upgrades!$R$16,H266)*POWER(Upgrades!$R$17,I266)*POWER(Upgrades!$R$18,J266)*POWER(Upgrades!$R$19,K266)*POWER(Upgrades!$R$20,L266)*POWER(Upgrades!$R$21,M266)*$H$6*O266*60</f>
        <v/>
      </c>
      <c r="AE266" s="27">
        <f>(IF(I266=0,0,(Upgrades!$G$17+I266*Upgrades!$H$17)*POWER(Upgrades!$I$17,I266)))*(IF(Upgrades!$T$13="Brown Dwarf",POWER(Upgrades!$U$13,E266),1)*IF(Upgrades!$T$14="Brown Dwarf",POWER(Upgrades!$U$14,F266),1)*IF(Upgrades!$T$15="Brown Dwarf",POWER(Upgrades!$U$15,G266),1)*IF(Upgrades!$T$16="Brown Dwarf",POWER(Upgrades!$U$16,H266),1)*IF(Upgrades!$T$18="Brown Dwarf",POWER(Upgrades!$U$18,J266),1)*IF(Upgrades!$T$19="Brown Dwarf",POWER(Upgrades!$U$19,K266),1)*IF(Upgrades!$T$20="Brown Dwarf",POWER(Upgrades!$U$20,L266),1)*IF(Upgrades!$T$21="Brown Dwarf",POWER(Upgrades!$U$21,M266),1))*POWER(Upgrades!$P$13,E266)*POWER(Upgrades!$P$14,F266)*POWER(Upgrades!$P$15,G266)*POWER(Upgrades!$P$16,H266)*POWER(Upgrades!$P$17,I266)*POWER(Upgrades!$P$18,J266)*POWER(Upgrades!$P$19,K266)*POWER(Upgrades!$P$20,L266)*POWER(Upgrades!$P$21,M266)*$F$6*60</f>
        <v/>
      </c>
      <c r="AF266" s="27" t="n">
        <v>0</v>
      </c>
      <c r="AG266" s="27" t="n">
        <v>0</v>
      </c>
      <c r="AH266" s="27" t="n">
        <v>0</v>
      </c>
      <c r="AI266" s="27">
        <f>(IF(M266=0,0,(Upgrades!$G$21+M266*Upgrades!$H$21)*POWER(Upgrades!$I$21,M266)))*(IF(Upgrades!$T$13="Moving Group",POWER(Upgrades!$U$13,E266),1)*IF(Upgrades!$T$14="Moving Group",POWER(Upgrades!$U$14,F266),1)*IF(Upgrades!$T$15="Moving Group",POWER(Upgrades!$U$15,G266),1)*IF(Upgrades!$T$16="Moving Group",POWER(Upgrades!$U$16,H266),1)*IF(Upgrades!$T$17="Moving Group",POWER(Upgrades!$U$17,I266),1)*IF(Upgrades!$T$18="Moving Group",POWER(Upgrades!$U$18,J266),1)*IF(Upgrades!$T$19="Moving Group",POWER(Upgrades!$U$19,K266),1)*IF(Upgrades!$T$20="Moving Group",POWER(Upgrades!$U$20,L266),1))*POWER(Upgrades!$P$13,E266)*POWER(Upgrades!$P$14,F266)*POWER(Upgrades!$P$15,G266)*POWER(Upgrades!$P$16,H266)*POWER(Upgrades!$P$17,I266)*POWER(Upgrades!$P$18,J266)*POWER(Upgrades!$P$19,K266)*POWER(Upgrades!$P$20,L266)*POWER(Upgrades!$P$21,M266)*$F$6*60</f>
        <v/>
      </c>
      <c r="AJ266" s="27">
        <f>$C$6*60</f>
        <v/>
      </c>
      <c r="AK266" s="22">
        <f>IF(E266&gt;=Upgrades!$E$13,"",Upgrades!$C$13*POWER(Upgrades!$D$13,E266))</f>
        <v/>
      </c>
      <c r="AL266" s="22">
        <f>IF(F266&gt;=Upgrades!$E$14,"",Upgrades!$C$14*POWER(Upgrades!$D$14,F266))</f>
        <v/>
      </c>
      <c r="AM266" s="22">
        <f>IF(G266&gt;=Upgrades!$E$15,"",Upgrades!$C$15*POWER(Upgrades!$D$15,G266))</f>
        <v/>
      </c>
      <c r="AN266" s="22">
        <f>IF(H266&gt;=Upgrades!$E$16,"",Upgrades!$C$16*POWER(Upgrades!$D$16,H266))</f>
        <v/>
      </c>
      <c r="AO266" s="22">
        <f>IF(I266&gt;=Upgrades!$E$17,"",Upgrades!$C$17*POWER(Upgrades!$D$17,I266))</f>
        <v/>
      </c>
      <c r="AP266" s="22">
        <f>IF(J266&gt;=Upgrades!$E$18,"",Upgrades!$C$18*POWER(Upgrades!$D$18,J266))</f>
        <v/>
      </c>
      <c r="AQ266" s="22">
        <f>IF(K266&gt;=Upgrades!$E$19,"",Upgrades!$C$19*POWER(Upgrades!$D$19,K266))</f>
        <v/>
      </c>
      <c r="AR266" s="22">
        <f>IF(L266&gt;=Upgrades!$E$20,"",Upgrades!$C$20*POWER(Upgrades!$D$20,L266))</f>
        <v/>
      </c>
      <c r="AS266" s="22">
        <f>IF(M266&gt;=Upgrades!$E$21,"",Upgrades!$C$21*POWER(Upgrades!$D$21,M266))</f>
        <v/>
      </c>
      <c r="AT266" s="26">
        <f>IF(AND(D266&gt;=Parameters!$B$18*Parameters!$B$19,(I266&gt;=Upgrades!$E$17)*(M266&gt;=Upgrades!$E$21)=1,N266=0),1,"")</f>
        <v/>
      </c>
      <c r="AU266" s="26">
        <f>IF(AND(D266&gt;=Parameters!$B$18*Parameters!$B$19,N266=0),1,"")</f>
        <v/>
      </c>
      <c r="AV266" s="22">
        <f>MIN(IF(ISNUMBER(AP266),AP266,9E15),IF(ISNUMBER(AQ266),AQ266,9E15),IF(ISNUMBER(AR266),AR266,9E15),IF(ISNUMBER(AS266),AS266,9E15))</f>
        <v/>
      </c>
      <c r="AW266" s="22">
        <f>MIN(IF(ISNUMBER(AK266),AK266,9E15),IF(ISNUMBER(AL266),AL266,9E15),IF(ISNUMBER(AM266),AM266,9E15),IF(ISNUMBER(AN266),AN266,9E15),IF(ISNUMBER(AO266),AO266,9E15))</f>
        <v/>
      </c>
      <c r="AX266" s="29">
        <f>IF(BD266&gt;Parameters!$B$21*(MAX(IF(AND(NOT(AND(AU266=1,AT266&lt;&gt;1)),ISNUMBER(AK266),AK266&lt;=(C266+T266)),AY266,0),IF(AND(NOT(AND(AU266=1,AT266&lt;&gt;1)),ISNUMBER(AL266),AL266&lt;=(C266+T266)),AZ266,0),IF(AND(NOT(AND(AU266=1,AT266&lt;&gt;1)),ISNUMBER(AM266),AM266&lt;=(C266+T266)),BA266,0),IF(AND(NOT(AND(AU266=1,AT266&lt;&gt;1)),ISNUMBER(AN266),AN266&lt;=(C266+T266)),BB266,0),IF(AND(ISNUMBER(AO266),AO266&lt;=(C266+T266)),BC266,0))),TRUE,FALSE)</f>
        <v/>
      </c>
      <c r="AY266" s="32">
        <f>IFERROR(Upgrades!$H$13*(POWER(Upgrades!$P$13,E266)*POWER(Upgrades!$P$14,F266)*POWER(Upgrades!$P$15,G266)*POWER(Upgrades!$P$16,H266)*POWER(Upgrades!$P$17,I266)*POWER(Upgrades!$P$18,J266)*POWER(Upgrades!$P$19,K266)*POWER(Upgrades!$P$20,L266)*POWER(Upgrades!$P$21,M266))*(IF(Upgrades!$T$14="Stellar Kinematics",POWER(Upgrades!$U$14,F266),1)*IF(Upgrades!$T$15="Stellar Kinematics",POWER(Upgrades!$U$15,G266),1)*IF(Upgrades!$T$16="Stellar Kinematics",POWER(Upgrades!$U$16,H266),1)*IF(Upgrades!$T$17="Stellar Kinematics",POWER(Upgrades!$U$17,I266),1)*IF(Upgrades!$T$18="Stellar Kinematics",POWER(Upgrades!$U$18,J266),1)*IF(Upgrades!$T$19="Stellar Kinematics",POWER(Upgrades!$U$19,K266),1)*IF(Upgrades!$T$20="Stellar Kinematics",POWER(Upgrades!$U$20,L266),1)*IF(Upgrades!$T$21="Stellar Kinematics",POWER(Upgrades!$U$21,M266),1))*$F$6/AK266,0)</f>
        <v/>
      </c>
      <c r="AZ266" s="32">
        <f>IFERROR(Upgrades!$H$14*(POWER(Upgrades!$P$13,E266)*POWER(Upgrades!$P$14,F266)*POWER(Upgrades!$P$15,G266)*POWER(Upgrades!$P$16,H266)*POWER(Upgrades!$P$17,I266)*POWER(Upgrades!$P$18,J266)*POWER(Upgrades!$P$19,K266)*POWER(Upgrades!$P$20,L266)*POWER(Upgrades!$P$21,M266))*(IF(Upgrades!$T$13="Local Bubble",POWER(Upgrades!$U$13,E266),1)*IF(Upgrades!$T$15="Local Bubble",POWER(Upgrades!$U$15,G266),1)*IF(Upgrades!$T$16="Local Bubble",POWER(Upgrades!$U$16,H266),1)*IF(Upgrades!$T$17="Local Bubble",POWER(Upgrades!$U$17,I266),1)*IF(Upgrades!$T$18="Local Bubble",POWER(Upgrades!$U$18,J266),1)*IF(Upgrades!$T$19="Local Bubble",POWER(Upgrades!$U$19,K266),1)*IF(Upgrades!$T$20="Local Bubble",POWER(Upgrades!$U$20,L266),1)*IF(Upgrades!$T$21="Local Bubble",POWER(Upgrades!$U$21,M266),1))*$F$6/AL266,0)</f>
        <v/>
      </c>
      <c r="BA266" s="32">
        <f>IFERROR(Upgrades!$K$15*(POWER(Upgrades!$Q$13,E266)*POWER(Upgrades!$Q$14,F266)*POWER(Upgrades!$Q$15,G266)*POWER(Upgrades!$Q$16,H266)*POWER(Upgrades!$Q$17,I266)*POWER(Upgrades!$Q$18,J266)*POWER(Upgrades!$Q$19,K266)*POWER(Upgrades!$Q$20,L266)*POWER(Upgrades!$Q$21,M266))*(IF(Upgrades!$T$13="Microlensing",POWER(Upgrades!$U$13,E266),1)*IF(Upgrades!$T$14="Microlensing",POWER(Upgrades!$U$14,F266),1)*IF(Upgrades!$T$16="Microlensing",POWER(Upgrades!$U$16,H266),1)*IF(Upgrades!$T$17="Microlensing",POWER(Upgrades!$U$17,I266),1)*IF(Upgrades!$T$18="Microlensing",POWER(Upgrades!$U$18,J266),1)*IF(Upgrades!$T$19="Microlensing",POWER(Upgrades!$U$19,K266),1)*IF(Upgrades!$T$20="Microlensing",POWER(Upgrades!$U$20,L266),1)*IF(Upgrades!$T$21="Microlensing",POWER(Upgrades!$U$21,M266),1))*$G$6*(Parameters!$B$10/60*Parameters!$B$11+Q266)/AM266,0)</f>
        <v/>
      </c>
      <c r="BB266" s="32">
        <f>IFERROR((Upgrades!$N$16*(POWER(Upgrades!$R$13,E266)*POWER(Upgrades!$R$14,F266)*POWER(Upgrades!$R$15,G266)*POWER(Upgrades!$R$16,H266)*POWER(Upgrades!$R$17,I266)*POWER(Upgrades!$R$18,J266)*POWER(Upgrades!$R$19,K266)*POWER(Upgrades!$R$20,L266)*POWER(Upgrades!$R$21,M266))*(IF(Upgrades!$T$13="Roche Lobe Overflow",POWER(Upgrades!$U$13,E266),1)*IF(Upgrades!$T$14="Roche Lobe Overflow",POWER(Upgrades!$U$14,F266),1)*IF(Upgrades!$T$15="Roche Lobe Overflow",POWER(Upgrades!$U$15,G266),1)*IF(Upgrades!$T$17="Roche Lobe Overflow",POWER(Upgrades!$U$17,I266),1)*IF(Upgrades!$T$18="Roche Lobe Overflow",POWER(Upgrades!$U$18,J266),1)*IF(Upgrades!$T$19="Roche Lobe Overflow",POWER(Upgrades!$U$19,K266),1)*IF(Upgrades!$T$20="Roche Lobe Overflow",POWER(Upgrades!$U$20,L266),1)*IF(Upgrades!$T$21="Roche Lobe Overflow",POWER(Upgrades!$U$21,M266),1))*$H$6*O266+((IF(F266=0,0,(Upgrades!$G$14+F266*Upgrades!$H$14)*POWER(Upgrades!$I$14,F266)))*(IF(Upgrades!$T$13="Local Bubble",POWER(Upgrades!$U$13,E266),1)*IF(Upgrades!$T$15="Local Bubble",POWER(Upgrades!$U$15,G266),1)*IF(Upgrades!$T$16="Local Bubble",POWER(Upgrades!$U$16,H266),1)*IF(Upgrades!$T$17="Local Bubble",POWER(Upgrades!$U$17,I266),1)*IF(Upgrades!$T$18="Local Bubble",POWER(Upgrades!$U$18,J266),1)*IF(Upgrades!$T$19="Local Bubble",POWER(Upgrades!$U$19,K266),1)*IF(Upgrades!$T$20="Local Bubble",POWER(Upgrades!$U$20,L266),1)*IF(Upgrades!$T$21="Local Bubble",POWER(Upgrades!$U$21,M266),1))*POWER(Upgrades!$P$13,E266)*POWER(Upgrades!$P$14,F266)*POWER(Upgrades!$P$15,G266)*POWER(Upgrades!$P$16,H266)*POWER(Upgrades!$P$17,I266)*POWER(Upgrades!$P$18,J266)*POWER(Upgrades!$P$19,K266)*POWER(Upgrades!$P$20,L266)*POWER(Upgrades!$P$21,M266)*$F$6)*0.05)/AN266,0)</f>
        <v/>
      </c>
      <c r="BC266" s="32">
        <f>IFERROR((Upgrades!$H$17*(POWER(Upgrades!$P$13,E266)*POWER(Upgrades!$P$14,F266)*POWER(Upgrades!$P$15,G266)*POWER(Upgrades!$P$16,H266)*POWER(Upgrades!$P$17,I266)*POWER(Upgrades!$P$18,J266)*POWER(Upgrades!$P$19,K266)*POWER(Upgrades!$P$20,L266)*POWER(Upgrades!$P$21,M266))*(IF(Upgrades!$T$13="Brown Dwarf",POWER(Upgrades!$U$13,E266),1)*IF(Upgrades!$T$14="Brown Dwarf",POWER(Upgrades!$U$14,F266),1)*IF(Upgrades!$T$15="Brown Dwarf",POWER(Upgrades!$U$15,G266),1)*IF(Upgrades!$T$16="Brown Dwarf",POWER(Upgrades!$U$16,H266),1)*IF(Upgrades!$T$18="Brown Dwarf",POWER(Upgrades!$U$18,J266),1)*IF(Upgrades!$T$19="Brown Dwarf",POWER(Upgrades!$U$19,K266),1)*IF(Upgrades!$T$20="Brown Dwarf",POWER(Upgrades!$U$20,L266),1)*IF(Upgrades!$T$21="Brown Dwarf",POWER(Upgrades!$U$21,M266),1))*$F$6+(((IF(H266=0,0,(Upgrades!$M$16+H266*Upgrades!$N$16)*POWER(Upgrades!$O$16,H266)))*(IF(Upgrades!$T$13="Roche Lobe Overflow",POWER(Upgrades!$U$13,E266),1)*IF(Upgrades!$T$14="Roche Lobe Overflow",POWER(Upgrades!$U$14,F266),1)*IF(Upgrades!$T$15="Roche Lobe Overflow",POWER(Upgrades!$U$15,G266),1)*IF(Upgrades!$T$17="Roche Lobe Overflow",POWER(Upgrades!$U$17,I266),1)*IF(Upgrades!$T$18="Roche Lobe Overflow",POWER(Upgrades!$U$18,J266),1)*IF(Upgrades!$T$19="Roche Lobe Overflow",POWER(Upgrades!$U$19,K266),1)*IF(Upgrades!$T$20="Roche Lobe Overflow",POWER(Upgrades!$U$20,L266),1)*IF(Upgrades!$T$21="Roche Lobe Overflow",POWER(Upgrades!$U$21,M266),1))*POWER(Upgrades!$R$13,E266)*POWER(Upgrades!$R$14,F266)*POWER(Upgrades!$R$15,G266)*POWER(Upgrades!$R$16,H266)*POWER(Upgrades!$R$17,I266)*POWER(Upgrades!$R$18,J266)*POWER(Upgrades!$R$19,K266)*POWER(Upgrades!$R$20,L266)*POWER(Upgrades!$R$21,M266)*$H$6)*O266)*0.10)/AO266,0)</f>
        <v/>
      </c>
      <c r="BD266" s="32">
        <f>MAX(IF(J266&gt;0,0,IFERROR(0.5*((IF(G266=0,0,(Upgrades!$J$15+G266*Upgrades!$K$15)*POWER(Upgrades!$L$15,G266)))*(IF(Upgrades!$T$13="Microlensing",POWER(Upgrades!$U$13,E266),1)*IF(Upgrades!$T$14="Microlensing",POWER(Upgrades!$U$14,F266),1)*IF(Upgrades!$T$16="Microlensing",POWER(Upgrades!$U$16,H266),1)*IF(Upgrades!$T$17="Microlensing",POWER(Upgrades!$U$17,I266),1)*IF(Upgrades!$T$18="Microlensing",POWER(Upgrades!$U$18,J266),1)*IF(Upgrades!$T$19="Microlensing",POWER(Upgrades!$U$19,K266),1)*IF(Upgrades!$T$20="Microlensing",POWER(Upgrades!$U$20,L266),1)*IF(Upgrades!$T$21="Microlensing",POWER(Upgrades!$U$21,M266),1))*(POWER(Upgrades!$Q$13,E266)*POWER(Upgrades!$Q$14,F266)*POWER(Upgrades!$Q$15,G266)*POWER(Upgrades!$Q$16,H266)*POWER(Upgrades!$Q$17,I266)*POWER(Upgrades!$Q$18,J266)*POWER(Upgrades!$Q$19,K266)*POWER(Upgrades!$Q$20,L266)*POWER(Upgrades!$Q$21,M266))*$G$6*(Parameters!$B$10/60*Parameters!$B$11+Q266))/Upgrades!$C$18,0)),IF(K266&gt;0,0,IFERROR(0.30*P266/Upgrades!$C$19,0)),IF(L266&gt;0,0,IFERROR(0.0001/Upgrades!$C$20,0)),IF(M266&gt;0,0,IFERROR((6.0*(POWER(Upgrades!$P$13,E266)*POWER(Upgrades!$P$14,F266)*POWER(Upgrades!$P$15,G266)*POWER(Upgrades!$P$16,H266)*POWER(Upgrades!$P$17,I266)*POWER(Upgrades!$P$18,J266)*POWER(Upgrades!$P$19,K266)*POWER(Upgrades!$P$20,L266)*POWER(Upgrades!$P$21,M266))*$F$6+0.20*O266*(Parameters!$B$10/60*Parameters!$B$11+Q266))/Upgrades!$C$21,0)),IF(AND(ISNUMBER(AK266),AK266&gt;(C266+T266)),AY266,0),IF(AND(ISNUMBER(AL266),AL266&gt;(C266+T266)),AZ266,0),IF(AND(ISNUMBER(AM266),AM266&gt;(C266+T266)),BA266,0),IF(AND(ISNUMBER(AN266),AN266&gt;(C266+T266)),BB266,0),IF(AND(ISNUMBER(AO266),AO266&gt;(C266+T266)),BC266,0))</f>
        <v/>
      </c>
      <c r="BE266" s="29">
        <f>IF(AT266=1,"transition",IF(MIN(IF(AND(J266=0,ISNUMBER(AP266),AP266&lt;=(C266+T266)),AP266,9E15),IF(AND(K266=0,ISNUMBER(AQ266),AQ266&lt;=(C266+T266)),AQ266,9E15),IF(AND(L266=0,ISNUMBER(AR266),AR266&lt;=(C266+T266)),AR266,9E15),IF(AND(M266=0,ISNUMBER(AS266),AS266&lt;=(C266+T266)),AS266,9E15))&lt;9E15,IF(AND(AND(J266=0,ISNUMBER(AP266),AP266&lt;=(C266+T266)),AP266=MIN(IF(AND(J266=0,ISNUMBER(AP266),AP266&lt;=(C266+T266)),AP266,9E15),IF(AND(K266=0,ISNUMBER(AQ266),AQ266&lt;=(C266+T266)),AQ266,9E15),IF(AND(L266=0,ISNUMBER(AR266),AR266&lt;=(C266+T266)),AR266,9E15),IF(AND(M266=0,ISNUMBER(AS266),AS266&lt;=(C266+T266)),AS266,9E15))),"BiP",IF(AND(AND(K266=0,ISNUMBER(AQ266),AQ266&lt;=(C266+T266)),AQ266=MIN(IF(AND(J266=0,ISNUMBER(AP266),AP266&lt;=(C266+T266)),AP266,9E15),IF(AND(K266=0,ISNUMBER(AQ266),AQ266&lt;=(C266+T266)),AQ266,9E15),IF(AND(L266=0,ISNUMBER(AR266),AR266&lt;=(C266+T266)),AR266,9E15),IF(AND(M266=0,ISNUMBER(AS266),AS266&lt;=(C266+T266)),AS266,9E15))),"PV",IF(AND(AND(L266=0,ISNUMBER(AR266),AR266&lt;=(C266+T266)),AR266=MIN(IF(AND(J266=0,ISNUMBER(AP266),AP266&lt;=(C266+T266)),AP266,9E15),IF(AND(K266=0,ISNUMBER(AQ266),AQ266&lt;=(C266+T266)),AQ266,9E15),IF(AND(L266=0,ISNUMBER(AR266),AR266&lt;=(C266+T266)),AR266,9E15),IF(AND(M266=0,ISNUMBER(AS266),AS266&lt;=(C266+T266)),AS266,9E15))),"OC","MG"))),IF(AX266=TRUE,"",IF(MAX(IF(AND(NOT(AND(AU266=1,AT266&lt;&gt;1)),ISNUMBER(AK266),AK266&lt;=(C266+T266)),AY266,0),IF(AND(NOT(AND(AU266=1,AT266&lt;&gt;1)),ISNUMBER(AL266),AL266&lt;=(C266+T266)),AZ266,0),IF(AND(NOT(AND(AU266=1,AT266&lt;&gt;1)),ISNUMBER(AM266),AM266&lt;=(C266+T266)),BA266,0),IF(AND(NOT(AND(AU266=1,AT266&lt;&gt;1)),ISNUMBER(AN266),AN266&lt;=(C266+T266)),BB266,0),IF(AND(ISNUMBER(AO266),AO266&lt;=(C266+T266)),BC266,0))&lt;=0,"",IF(AND(IF(AND(NOT(AND(AU266=1,AT266&lt;&gt;1)),ISNUMBER(AK266),AK266&lt;=(C266+T266)),AY266,0)&gt;0,IF(AND(NOT(AND(AU266=1,AT266&lt;&gt;1)),ISNUMBER(AK266),AK266&lt;=(C266+T266)),AY266,0)=MAX(IF(AND(NOT(AND(AU266=1,AT266&lt;&gt;1)),ISNUMBER(AK266),AK266&lt;=(C266+T266)),AY266,0),IF(AND(NOT(AND(AU266=1,AT266&lt;&gt;1)),ISNUMBER(AL266),AL266&lt;=(C266+T266)),AZ266,0),IF(AND(NOT(AND(AU266=1,AT266&lt;&gt;1)),ISNUMBER(AM266),AM266&lt;=(C266+T266)),BA266,0),IF(AND(NOT(AND(AU266=1,AT266&lt;&gt;1)),ISNUMBER(AN266),AN266&lt;=(C266+T266)),BB266,0),IF(AND(ISNUMBER(AO266),AO266&lt;=(C266+T266)),BC266,0))),"SK",IF(AND(IF(AND(NOT(AND(AU266=1,AT266&lt;&gt;1)),ISNUMBER(AL266),AL266&lt;=(C266+T266)),AZ266,0)&gt;0,IF(AND(NOT(AND(AU266=1,AT266&lt;&gt;1)),ISNUMBER(AL266),AL266&lt;=(C266+T266)),AZ266,0)=MAX(IF(AND(NOT(AND(AU266=1,AT266&lt;&gt;1)),ISNUMBER(AK266),AK266&lt;=(C266+T266)),AY266,0),IF(AND(NOT(AND(AU266=1,AT266&lt;&gt;1)),ISNUMBER(AL266),AL266&lt;=(C266+T266)),AZ266,0),IF(AND(NOT(AND(AU266=1,AT266&lt;&gt;1)),ISNUMBER(AM266),AM266&lt;=(C266+T266)),BA266,0),IF(AND(NOT(AND(AU266=1,AT266&lt;&gt;1)),ISNUMBER(AN266),AN266&lt;=(C266+T266)),BB266,0),IF(AND(ISNUMBER(AO266),AO266&lt;=(C266+T266)),BC266,0))),"LB",IF(AND(IF(AND(NOT(AND(AU266=1,AT266&lt;&gt;1)),ISNUMBER(AM266),AM266&lt;=(C266+T266)),BA266,0)&gt;0,IF(AND(NOT(AND(AU266=1,AT266&lt;&gt;1)),ISNUMBER(AM266),AM266&lt;=(C266+T266)),BA266,0)=MAX(IF(AND(NOT(AND(AU266=1,AT266&lt;&gt;1)),ISNUMBER(AK266),AK266&lt;=(C266+T266)),AY266,0),IF(AND(NOT(AND(AU266=1,AT266&lt;&gt;1)),ISNUMBER(AL266),AL266&lt;=(C266+T266)),AZ266,0),IF(AND(NOT(AND(AU266=1,AT266&lt;&gt;1)),ISNUMBER(AM266),AM266&lt;=(C266+T266)),BA266,0),IF(AND(NOT(AND(AU266=1,AT266&lt;&gt;1)),ISNUMBER(AN266),AN266&lt;=(C266+T266)),BB266,0),IF(AND(ISNUMBER(AO266),AO266&lt;=(C266+T266)),BC266,0))),"ML",IF(AND(IF(AND(NOT(AND(AU266=1,AT266&lt;&gt;1)),ISNUMBER(AN266),AN266&lt;=(C266+T266)),BB266,0)&gt;0,IF(AND(NOT(AND(AU266=1,AT266&lt;&gt;1)),ISNUMBER(AN266),AN266&lt;=(C266+T266)),BB266,0)=MAX(IF(AND(NOT(AND(AU266=1,AT266&lt;&gt;1)),ISNUMBER(AK266),AK266&lt;=(C266+T266)),AY266,0),IF(AND(NOT(AND(AU266=1,AT266&lt;&gt;1)),ISNUMBER(AL266),AL266&lt;=(C266+T266)),AZ266,0),IF(AND(NOT(AND(AU266=1,AT266&lt;&gt;1)),ISNUMBER(AM266),AM266&lt;=(C266+T266)),BA266,0),IF(AND(NOT(AND(AU266=1,AT266&lt;&gt;1)),ISNUMBER(AN266),AN266&lt;=(C266+T266)),BB266,0),IF(AND(ISNUMBER(AO266),AO266&lt;=(C266+T266)),BC266,0))),"RLO","BD"))))))))</f>
        <v/>
      </c>
    </row>
    <row r="267">
      <c r="A267" s="26" t="n">
        <v>256</v>
      </c>
      <c r="B267" s="27">
        <f>A267*10/60</f>
        <v/>
      </c>
      <c r="C267" s="22">
        <f>X266</f>
        <v/>
      </c>
      <c r="D267" s="27">
        <f>D266+W266</f>
        <v/>
      </c>
      <c r="E267" s="26">
        <f>E266+IF(U266="SK",1,0)</f>
        <v/>
      </c>
      <c r="F267" s="26">
        <f>F266+IF(U266="LB",1,0)</f>
        <v/>
      </c>
      <c r="G267" s="26">
        <f>G266+IF(U266="ML",1,0)</f>
        <v/>
      </c>
      <c r="H267" s="26">
        <f>H266+IF(U266="RLO",1,0)</f>
        <v/>
      </c>
      <c r="I267" s="26">
        <f>I266+IF(U266="BD",1,0)</f>
        <v/>
      </c>
      <c r="J267" s="26">
        <f>MAX(J266,IF(U266="BiP",1,0))</f>
        <v/>
      </c>
      <c r="K267" s="26">
        <f>MAX(K266,IF(U266="PV",1,0))</f>
        <v/>
      </c>
      <c r="L267" s="26">
        <f>MAX(L266,IF(U266="OC",1,0))</f>
        <v/>
      </c>
      <c r="M267" s="26">
        <f>MAX(M266,IF(U266="MG",1,0))</f>
        <v/>
      </c>
      <c r="N267" s="26">
        <f>MAX(N266,IF(U266="transition",1,0))</f>
        <v/>
      </c>
      <c r="O267" s="28">
        <f>(Parameters!$B$9+(IF(E267=0,0,(Upgrades!$J$13+E267*Upgrades!$K$13)*POWER(Upgrades!$L$13,E267)))*(IF(Upgrades!$T$14="Stellar Kinematics",POWER(Upgrades!$U$14,F267),1)*IF(Upgrades!$T$15="Stellar Kinematics",POWER(Upgrades!$U$15,G267),1)*IF(Upgrades!$T$16="Stellar Kinematics",POWER(Upgrades!$U$16,H267),1)*IF(Upgrades!$T$17="Stellar Kinematics",POWER(Upgrades!$U$17,I267),1)*IF(Upgrades!$T$18="Stellar Kinematics",POWER(Upgrades!$U$18,J267),1)*IF(Upgrades!$T$19="Stellar Kinematics",POWER(Upgrades!$U$19,K267),1)*IF(Upgrades!$T$20="Stellar Kinematics",POWER(Upgrades!$U$20,L267),1)*IF(Upgrades!$T$21="Stellar Kinematics",POWER(Upgrades!$U$21,M267),1))+(IF(F267=0,0,(Upgrades!$J$14+F267*Upgrades!$K$14)*POWER(Upgrades!$L$14,F267)))*(IF(Upgrades!$T$13="Local Bubble",POWER(Upgrades!$U$13,E267),1)*IF(Upgrades!$T$15="Local Bubble",POWER(Upgrades!$U$15,G267),1)*IF(Upgrades!$T$16="Local Bubble",POWER(Upgrades!$U$16,H267),1)*IF(Upgrades!$T$17="Local Bubble",POWER(Upgrades!$U$17,I267),1)*IF(Upgrades!$T$18="Local Bubble",POWER(Upgrades!$U$18,J267),1)*IF(Upgrades!$T$19="Local Bubble",POWER(Upgrades!$U$19,K267),1)*IF(Upgrades!$T$20="Local Bubble",POWER(Upgrades!$U$20,L267),1)*IF(Upgrades!$T$21="Local Bubble",POWER(Upgrades!$U$21,M267),1))+(IF(G267=0,0,(Upgrades!$J$15+G267*Upgrades!$K$15)*POWER(Upgrades!$L$15,G267)))*(IF(Upgrades!$T$13="Microlensing",POWER(Upgrades!$U$13,E267),1)*IF(Upgrades!$T$14="Microlensing",POWER(Upgrades!$U$14,F267),1)*IF(Upgrades!$T$16="Microlensing",POWER(Upgrades!$U$16,H267),1)*IF(Upgrades!$T$17="Microlensing",POWER(Upgrades!$U$17,I267),1)*IF(Upgrades!$T$18="Microlensing",POWER(Upgrades!$U$18,J267),1)*IF(Upgrades!$T$19="Microlensing",POWER(Upgrades!$U$19,K267),1)*IF(Upgrades!$T$20="Microlensing",POWER(Upgrades!$U$20,L267),1)*IF(Upgrades!$T$21="Microlensing",POWER(Upgrades!$U$21,M267),1))+(IF(H267=0,0,(Upgrades!$J$16+H267*Upgrades!$K$16)*POWER(Upgrades!$L$16,H267)))*(IF(Upgrades!$T$13="Roche Lobe Overflow",POWER(Upgrades!$U$13,E267),1)*IF(Upgrades!$T$14="Roche Lobe Overflow",POWER(Upgrades!$U$14,F267),1)*IF(Upgrades!$T$15="Roche Lobe Overflow",POWER(Upgrades!$U$15,G267),1)*IF(Upgrades!$T$17="Roche Lobe Overflow",POWER(Upgrades!$U$17,I267),1)*IF(Upgrades!$T$18="Roche Lobe Overflow",POWER(Upgrades!$U$18,J267),1)*IF(Upgrades!$T$19="Roche Lobe Overflow",POWER(Upgrades!$U$19,K267),1)*IF(Upgrades!$T$20="Roche Lobe Overflow",POWER(Upgrades!$U$20,L267),1)*IF(Upgrades!$T$21="Roche Lobe Overflow",POWER(Upgrades!$U$21,M267),1))+(IF(I267=0,0,(Upgrades!$J$17+I267*Upgrades!$K$17)*POWER(Upgrades!$L$17,I267)))*(IF(Upgrades!$T$13="Brown Dwarf",POWER(Upgrades!$U$13,E267),1)*IF(Upgrades!$T$14="Brown Dwarf",POWER(Upgrades!$U$14,F267),1)*IF(Upgrades!$T$15="Brown Dwarf",POWER(Upgrades!$U$15,G267),1)*IF(Upgrades!$T$16="Brown Dwarf",POWER(Upgrades!$U$16,H267),1)*IF(Upgrades!$T$18="Brown Dwarf",POWER(Upgrades!$U$18,J267),1)*IF(Upgrades!$T$19="Brown Dwarf",POWER(Upgrades!$U$19,K267),1)*IF(Upgrades!$T$20="Brown Dwarf",POWER(Upgrades!$U$20,L267),1)*IF(Upgrades!$T$21="Brown Dwarf",POWER(Upgrades!$U$21,M267),1))+(IF(J267=0,0,(Upgrades!$J$18+J267*Upgrades!$K$18)*POWER(Upgrades!$L$18,J267)))*(IF(Upgrades!$T$13="Binary Partner",POWER(Upgrades!$U$13,E267),1)*IF(Upgrades!$T$14="Binary Partner",POWER(Upgrades!$U$14,F267),1)*IF(Upgrades!$T$15="Binary Partner",POWER(Upgrades!$U$15,G267),1)*IF(Upgrades!$T$16="Binary Partner",POWER(Upgrades!$U$16,H267),1)*IF(Upgrades!$T$17="Binary Partner",POWER(Upgrades!$U$17,I267),1)*IF(Upgrades!$T$19="Binary Partner",POWER(Upgrades!$U$19,K267),1)*IF(Upgrades!$T$20="Binary Partner",POWER(Upgrades!$U$20,L267),1)*IF(Upgrades!$T$21="Binary Partner",POWER(Upgrades!$U$21,M267),1))+(IF(K267=0,0,(Upgrades!$J$19+K267*Upgrades!$K$19)*POWER(Upgrades!$L$19,K267)))*(IF(Upgrades!$T$13="Peculiar Velocity",POWER(Upgrades!$U$13,E267),1)*IF(Upgrades!$T$14="Peculiar Velocity",POWER(Upgrades!$U$14,F267),1)*IF(Upgrades!$T$15="Peculiar Velocity",POWER(Upgrades!$U$15,G267),1)*IF(Upgrades!$T$16="Peculiar Velocity",POWER(Upgrades!$U$16,H267),1)*IF(Upgrades!$T$17="Peculiar Velocity",POWER(Upgrades!$U$17,I267),1)*IF(Upgrades!$T$18="Peculiar Velocity",POWER(Upgrades!$U$18,J267),1)*IF(Upgrades!$T$20="Peculiar Velocity",POWER(Upgrades!$U$20,L267),1)*IF(Upgrades!$T$21="Peculiar Velocity",POWER(Upgrades!$U$21,M267),1))+(IF(L267=0,0,(Upgrades!$J$20+L267*Upgrades!$K$20)*POWER(Upgrades!$L$20,L267)))*(IF(Upgrades!$T$13="Open Cluster",POWER(Upgrades!$U$13,E267),1)*IF(Upgrades!$T$14="Open Cluster",POWER(Upgrades!$U$14,F267),1)*IF(Upgrades!$T$15="Open Cluster",POWER(Upgrades!$U$15,G267),1)*IF(Upgrades!$T$16="Open Cluster",POWER(Upgrades!$U$16,H267),1)*IF(Upgrades!$T$17="Open Cluster",POWER(Upgrades!$U$17,I267),1)*IF(Upgrades!$T$18="Open Cluster",POWER(Upgrades!$U$18,J267),1)*IF(Upgrades!$T$19="Open Cluster",POWER(Upgrades!$U$19,K267),1)*IF(Upgrades!$T$21="Open Cluster",POWER(Upgrades!$U$21,M267),1))+(IF(M267=0,0,(Upgrades!$J$21+M267*Upgrades!$K$21)*POWER(Upgrades!$L$21,M267)))*(IF(Upgrades!$T$13="Moving Group",POWER(Upgrades!$U$13,E267),1)*IF(Upgrades!$T$14="Moving Group",POWER(Upgrades!$U$14,F267),1)*IF(Upgrades!$T$15="Moving Group",POWER(Upgrades!$U$15,G267),1)*IF(Upgrades!$T$16="Moving Group",POWER(Upgrades!$U$16,H267),1)*IF(Upgrades!$T$17="Moving Group",POWER(Upgrades!$U$17,I267),1)*IF(Upgrades!$T$18="Moving Group",POWER(Upgrades!$U$18,J267),1)*IF(Upgrades!$T$19="Moving Group",POWER(Upgrades!$U$19,K267),1)*IF(Upgrades!$T$20="Moving Group",POWER(Upgrades!$U$20,L267),1)))*POWER(Upgrades!$Q$13,E267)*POWER(Upgrades!$Q$14,F267)*POWER(Upgrades!$Q$15,G267)*POWER(Upgrades!$Q$16,H267)*POWER(Upgrades!$Q$17,I267)*POWER(Upgrades!$Q$18,J267)*POWER(Upgrades!$Q$19,K267)*POWER(Upgrades!$Q$20,L267)*POWER(Upgrades!$Q$21,M267)*$G$6+$D$6</f>
        <v/>
      </c>
      <c r="P267" s="28">
        <f>((IF(E267=0,0,(Upgrades!$G$13+E267*Upgrades!$H$13)*POWER(Upgrades!$I$13,E267)))*(IF(Upgrades!$T$14="Stellar Kinematics",POWER(Upgrades!$U$14,F267),1)*IF(Upgrades!$T$15="Stellar Kinematics",POWER(Upgrades!$U$15,G267),1)*IF(Upgrades!$T$16="Stellar Kinematics",POWER(Upgrades!$U$16,H267),1)*IF(Upgrades!$T$17="Stellar Kinematics",POWER(Upgrades!$U$17,I267),1)*IF(Upgrades!$T$18="Stellar Kinematics",POWER(Upgrades!$U$18,J267),1)*IF(Upgrades!$T$19="Stellar Kinematics",POWER(Upgrades!$U$19,K267),1)*IF(Upgrades!$T$20="Stellar Kinematics",POWER(Upgrades!$U$20,L267),1)*IF(Upgrades!$T$21="Stellar Kinematics",POWER(Upgrades!$U$21,M267),1))+(IF(F267=0,0,(Upgrades!$G$14+F267*Upgrades!$H$14)*POWER(Upgrades!$I$14,F267)))*(IF(Upgrades!$T$13="Local Bubble",POWER(Upgrades!$U$13,E267),1)*IF(Upgrades!$T$15="Local Bubble",POWER(Upgrades!$U$15,G267),1)*IF(Upgrades!$T$16="Local Bubble",POWER(Upgrades!$U$16,H267),1)*IF(Upgrades!$T$17="Local Bubble",POWER(Upgrades!$U$17,I267),1)*IF(Upgrades!$T$18="Local Bubble",POWER(Upgrades!$U$18,J267),1)*IF(Upgrades!$T$19="Local Bubble",POWER(Upgrades!$U$19,K267),1)*IF(Upgrades!$T$20="Local Bubble",POWER(Upgrades!$U$20,L267),1)*IF(Upgrades!$T$21="Local Bubble",POWER(Upgrades!$U$21,M267),1))+(IF(G267=0,0,(Upgrades!$G$15+G267*Upgrades!$H$15)*POWER(Upgrades!$I$15,G267)))*(IF(Upgrades!$T$13="Microlensing",POWER(Upgrades!$U$13,E267),1)*IF(Upgrades!$T$14="Microlensing",POWER(Upgrades!$U$14,F267),1)*IF(Upgrades!$T$16="Microlensing",POWER(Upgrades!$U$16,H267),1)*IF(Upgrades!$T$17="Microlensing",POWER(Upgrades!$U$17,I267),1)*IF(Upgrades!$T$18="Microlensing",POWER(Upgrades!$U$18,J267),1)*IF(Upgrades!$T$19="Microlensing",POWER(Upgrades!$U$19,K267),1)*IF(Upgrades!$T$20="Microlensing",POWER(Upgrades!$U$20,L267),1)*IF(Upgrades!$T$21="Microlensing",POWER(Upgrades!$U$21,M267),1))+(IF(H267=0,0,(Upgrades!$G$16+H267*Upgrades!$H$16)*POWER(Upgrades!$I$16,H267)))*(IF(Upgrades!$T$13="Roche Lobe Overflow",POWER(Upgrades!$U$13,E267),1)*IF(Upgrades!$T$14="Roche Lobe Overflow",POWER(Upgrades!$U$14,F267),1)*IF(Upgrades!$T$15="Roche Lobe Overflow",POWER(Upgrades!$U$15,G267),1)*IF(Upgrades!$T$17="Roche Lobe Overflow",POWER(Upgrades!$U$17,I267),1)*IF(Upgrades!$T$18="Roche Lobe Overflow",POWER(Upgrades!$U$18,J267),1)*IF(Upgrades!$T$19="Roche Lobe Overflow",POWER(Upgrades!$U$19,K267),1)*IF(Upgrades!$T$20="Roche Lobe Overflow",POWER(Upgrades!$U$20,L267),1)*IF(Upgrades!$T$21="Roche Lobe Overflow",POWER(Upgrades!$U$21,M267),1))+(IF(I267=0,0,(Upgrades!$G$17+I267*Upgrades!$H$17)*POWER(Upgrades!$I$17,I267)))*(IF(Upgrades!$T$13="Brown Dwarf",POWER(Upgrades!$U$13,E267),1)*IF(Upgrades!$T$14="Brown Dwarf",POWER(Upgrades!$U$14,F267),1)*IF(Upgrades!$T$15="Brown Dwarf",POWER(Upgrades!$U$15,G267),1)*IF(Upgrades!$T$16="Brown Dwarf",POWER(Upgrades!$U$16,H267),1)*IF(Upgrades!$T$18="Brown Dwarf",POWER(Upgrades!$U$18,J267),1)*IF(Upgrades!$T$19="Brown Dwarf",POWER(Upgrades!$U$19,K267),1)*IF(Upgrades!$T$20="Brown Dwarf",POWER(Upgrades!$U$20,L267),1)*IF(Upgrades!$T$21="Brown Dwarf",POWER(Upgrades!$U$21,M267),1))+(IF(J267=0,0,(Upgrades!$G$18+J267*Upgrades!$H$18)*POWER(Upgrades!$I$18,J267)))*(IF(Upgrades!$T$13="Binary Partner",POWER(Upgrades!$U$13,E267),1)*IF(Upgrades!$T$14="Binary Partner",POWER(Upgrades!$U$14,F267),1)*IF(Upgrades!$T$15="Binary Partner",POWER(Upgrades!$U$15,G267),1)*IF(Upgrades!$T$16="Binary Partner",POWER(Upgrades!$U$16,H267),1)*IF(Upgrades!$T$17="Binary Partner",POWER(Upgrades!$U$17,I267),1)*IF(Upgrades!$T$19="Binary Partner",POWER(Upgrades!$U$19,K267),1)*IF(Upgrades!$T$20="Binary Partner",POWER(Upgrades!$U$20,L267),1)*IF(Upgrades!$T$21="Binary Partner",POWER(Upgrades!$U$21,M267),1))+(IF(K267=0,0,(Upgrades!$G$19+K267*Upgrades!$H$19)*POWER(Upgrades!$I$19,K267)))*(IF(Upgrades!$T$13="Peculiar Velocity",POWER(Upgrades!$U$13,E267),1)*IF(Upgrades!$T$14="Peculiar Velocity",POWER(Upgrades!$U$14,F267),1)*IF(Upgrades!$T$15="Peculiar Velocity",POWER(Upgrades!$U$15,G267),1)*IF(Upgrades!$T$16="Peculiar Velocity",POWER(Upgrades!$U$16,H267),1)*IF(Upgrades!$T$17="Peculiar Velocity",POWER(Upgrades!$U$17,I267),1)*IF(Upgrades!$T$18="Peculiar Velocity",POWER(Upgrades!$U$18,J267),1)*IF(Upgrades!$T$20="Peculiar Velocity",POWER(Upgrades!$U$20,L267),1)*IF(Upgrades!$T$21="Peculiar Velocity",POWER(Upgrades!$U$21,M267),1))+(IF(L267=0,0,(Upgrades!$G$20+L267*Upgrades!$H$20)*POWER(Upgrades!$I$20,L267)))*(IF(Upgrades!$T$13="Open Cluster",POWER(Upgrades!$U$13,E267),1)*IF(Upgrades!$T$14="Open Cluster",POWER(Upgrades!$U$14,F267),1)*IF(Upgrades!$T$15="Open Cluster",POWER(Upgrades!$U$15,G267),1)*IF(Upgrades!$T$16="Open Cluster",POWER(Upgrades!$U$16,H267),1)*IF(Upgrades!$T$17="Open Cluster",POWER(Upgrades!$U$17,I267),1)*IF(Upgrades!$T$18="Open Cluster",POWER(Upgrades!$U$18,J267),1)*IF(Upgrades!$T$19="Open Cluster",POWER(Upgrades!$U$19,K267),1)*IF(Upgrades!$T$21="Open Cluster",POWER(Upgrades!$U$21,M267),1))+(IF(M267=0,0,(Upgrades!$G$21+M267*Upgrades!$H$21)*POWER(Upgrades!$I$21,M267)))*(IF(Upgrades!$T$13="Moving Group",POWER(Upgrades!$U$13,E267),1)*IF(Upgrades!$T$14="Moving Group",POWER(Upgrades!$U$14,F267),1)*IF(Upgrades!$T$15="Moving Group",POWER(Upgrades!$U$15,G267),1)*IF(Upgrades!$T$16="Moving Group",POWER(Upgrades!$U$16,H267),1)*IF(Upgrades!$T$17="Moving Group",POWER(Upgrades!$U$17,I267),1)*IF(Upgrades!$T$18="Moving Group",POWER(Upgrades!$U$18,J267),1)*IF(Upgrades!$T$19="Moving Group",POWER(Upgrades!$U$19,K267),1)*IF(Upgrades!$T$20="Moving Group",POWER(Upgrades!$U$20,L267),1)))*POWER(Upgrades!$P$13,E267)*POWER(Upgrades!$P$14,F267)*POWER(Upgrades!$P$15,G267)*POWER(Upgrades!$P$16,H267)*POWER(Upgrades!$P$17,I267)*POWER(Upgrades!$P$18,J267)*POWER(Upgrades!$P$19,K267)*POWER(Upgrades!$P$20,L267)*POWER(Upgrades!$P$21,M267)*$F$6+$C$6</f>
        <v/>
      </c>
      <c r="Q267" s="28">
        <f>((IF(E267=0,0,(Upgrades!$M$13+E267*Upgrades!$N$13)*POWER(Upgrades!$O$13,E267)))*(IF(Upgrades!$T$14="Stellar Kinematics",POWER(Upgrades!$U$14,F267),1)*IF(Upgrades!$T$15="Stellar Kinematics",POWER(Upgrades!$U$15,G267),1)*IF(Upgrades!$T$16="Stellar Kinematics",POWER(Upgrades!$U$16,H267),1)*IF(Upgrades!$T$17="Stellar Kinematics",POWER(Upgrades!$U$17,I267),1)*IF(Upgrades!$T$18="Stellar Kinematics",POWER(Upgrades!$U$18,J267),1)*IF(Upgrades!$T$19="Stellar Kinematics",POWER(Upgrades!$U$19,K267),1)*IF(Upgrades!$T$20="Stellar Kinematics",POWER(Upgrades!$U$20,L267),1)*IF(Upgrades!$T$21="Stellar Kinematics",POWER(Upgrades!$U$21,M267),1))+(IF(F267=0,0,(Upgrades!$M$14+F267*Upgrades!$N$14)*POWER(Upgrades!$O$14,F267)))*(IF(Upgrades!$T$13="Local Bubble",POWER(Upgrades!$U$13,E267),1)*IF(Upgrades!$T$15="Local Bubble",POWER(Upgrades!$U$15,G267),1)*IF(Upgrades!$T$16="Local Bubble",POWER(Upgrades!$U$16,H267),1)*IF(Upgrades!$T$17="Local Bubble",POWER(Upgrades!$U$17,I267),1)*IF(Upgrades!$T$18="Local Bubble",POWER(Upgrades!$U$18,J267),1)*IF(Upgrades!$T$19="Local Bubble",POWER(Upgrades!$U$19,K267),1)*IF(Upgrades!$T$20="Local Bubble",POWER(Upgrades!$U$20,L267),1)*IF(Upgrades!$T$21="Local Bubble",POWER(Upgrades!$U$21,M267),1))+(IF(G267=0,0,(Upgrades!$M$15+G267*Upgrades!$N$15)*POWER(Upgrades!$O$15,G267)))*(IF(Upgrades!$T$13="Microlensing",POWER(Upgrades!$U$13,E267),1)*IF(Upgrades!$T$14="Microlensing",POWER(Upgrades!$U$14,F267),1)*IF(Upgrades!$T$16="Microlensing",POWER(Upgrades!$U$16,H267),1)*IF(Upgrades!$T$17="Microlensing",POWER(Upgrades!$U$17,I267),1)*IF(Upgrades!$T$18="Microlensing",POWER(Upgrades!$U$18,J267),1)*IF(Upgrades!$T$19="Microlensing",POWER(Upgrades!$U$19,K267),1)*IF(Upgrades!$T$20="Microlensing",POWER(Upgrades!$U$20,L267),1)*IF(Upgrades!$T$21="Microlensing",POWER(Upgrades!$U$21,M267),1))+(IF(H267=0,0,(Upgrades!$M$16+H267*Upgrades!$N$16)*POWER(Upgrades!$O$16,H267)))*(IF(Upgrades!$T$13="Roche Lobe Overflow",POWER(Upgrades!$U$13,E267),1)*IF(Upgrades!$T$14="Roche Lobe Overflow",POWER(Upgrades!$U$14,F267),1)*IF(Upgrades!$T$15="Roche Lobe Overflow",POWER(Upgrades!$U$15,G267),1)*IF(Upgrades!$T$17="Roche Lobe Overflow",POWER(Upgrades!$U$17,I267),1)*IF(Upgrades!$T$18="Roche Lobe Overflow",POWER(Upgrades!$U$18,J267),1)*IF(Upgrades!$T$19="Roche Lobe Overflow",POWER(Upgrades!$U$19,K267),1)*IF(Upgrades!$T$20="Roche Lobe Overflow",POWER(Upgrades!$U$20,L267),1)*IF(Upgrades!$T$21="Roche Lobe Overflow",POWER(Upgrades!$U$21,M267),1))+(IF(I267=0,0,(Upgrades!$M$17+I267*Upgrades!$N$17)*POWER(Upgrades!$O$17,I267)))*(IF(Upgrades!$T$13="Brown Dwarf",POWER(Upgrades!$U$13,E267),1)*IF(Upgrades!$T$14="Brown Dwarf",POWER(Upgrades!$U$14,F267),1)*IF(Upgrades!$T$15="Brown Dwarf",POWER(Upgrades!$U$15,G267),1)*IF(Upgrades!$T$16="Brown Dwarf",POWER(Upgrades!$U$16,H267),1)*IF(Upgrades!$T$18="Brown Dwarf",POWER(Upgrades!$U$18,J267),1)*IF(Upgrades!$T$19="Brown Dwarf",POWER(Upgrades!$U$19,K267),1)*IF(Upgrades!$T$20="Brown Dwarf",POWER(Upgrades!$U$20,L267),1)*IF(Upgrades!$T$21="Brown Dwarf",POWER(Upgrades!$U$21,M267),1))+(IF(J267=0,0,(Upgrades!$M$18+J267*Upgrades!$N$18)*POWER(Upgrades!$O$18,J267)))*(IF(Upgrades!$T$13="Binary Partner",POWER(Upgrades!$U$13,E267),1)*IF(Upgrades!$T$14="Binary Partner",POWER(Upgrades!$U$14,F267),1)*IF(Upgrades!$T$15="Binary Partner",POWER(Upgrades!$U$15,G267),1)*IF(Upgrades!$T$16="Binary Partner",POWER(Upgrades!$U$16,H267),1)*IF(Upgrades!$T$17="Binary Partner",POWER(Upgrades!$U$17,I267),1)*IF(Upgrades!$T$19="Binary Partner",POWER(Upgrades!$U$19,K267),1)*IF(Upgrades!$T$20="Binary Partner",POWER(Upgrades!$U$20,L267),1)*IF(Upgrades!$T$21="Binary Partner",POWER(Upgrades!$U$21,M267),1))+(IF(K267=0,0,(Upgrades!$M$19+K267*Upgrades!$N$19)*POWER(Upgrades!$O$19,K267)))*(IF(Upgrades!$T$13="Peculiar Velocity",POWER(Upgrades!$U$13,E267),1)*IF(Upgrades!$T$14="Peculiar Velocity",POWER(Upgrades!$U$14,F267),1)*IF(Upgrades!$T$15="Peculiar Velocity",POWER(Upgrades!$U$15,G267),1)*IF(Upgrades!$T$16="Peculiar Velocity",POWER(Upgrades!$U$16,H267),1)*IF(Upgrades!$T$17="Peculiar Velocity",POWER(Upgrades!$U$17,I267),1)*IF(Upgrades!$T$18="Peculiar Velocity",POWER(Upgrades!$U$18,J267),1)*IF(Upgrades!$T$20="Peculiar Velocity",POWER(Upgrades!$U$20,L267),1)*IF(Upgrades!$T$21="Peculiar Velocity",POWER(Upgrades!$U$21,M267),1))+(IF(L267=0,0,(Upgrades!$M$20+L267*Upgrades!$N$20)*POWER(Upgrades!$O$20,L267)))*(IF(Upgrades!$T$13="Open Cluster",POWER(Upgrades!$U$13,E267),1)*IF(Upgrades!$T$14="Open Cluster",POWER(Upgrades!$U$14,F267),1)*IF(Upgrades!$T$15="Open Cluster",POWER(Upgrades!$U$15,G267),1)*IF(Upgrades!$T$16="Open Cluster",POWER(Upgrades!$U$16,H267),1)*IF(Upgrades!$T$17="Open Cluster",POWER(Upgrades!$U$17,I267),1)*IF(Upgrades!$T$18="Open Cluster",POWER(Upgrades!$U$18,J267),1)*IF(Upgrades!$T$19="Open Cluster",POWER(Upgrades!$U$19,K267),1)*IF(Upgrades!$T$21="Open Cluster",POWER(Upgrades!$U$21,M267),1))+(IF(M267=0,0,(Upgrades!$M$21+M267*Upgrades!$N$21)*POWER(Upgrades!$O$21,M267)))*(IF(Upgrades!$T$13="Moving Group",POWER(Upgrades!$U$13,E267),1)*IF(Upgrades!$T$14="Moving Group",POWER(Upgrades!$U$14,F267),1)*IF(Upgrades!$T$15="Moving Group",POWER(Upgrades!$U$15,G267),1)*IF(Upgrades!$T$16="Moving Group",POWER(Upgrades!$U$16,H267),1)*IF(Upgrades!$T$17="Moving Group",POWER(Upgrades!$U$17,I267),1)*IF(Upgrades!$T$18="Moving Group",POWER(Upgrades!$U$18,J267),1)*IF(Upgrades!$T$19="Moving Group",POWER(Upgrades!$U$19,K267),1)*IF(Upgrades!$T$20="Moving Group",POWER(Upgrades!$U$20,L267),1)))*POWER(Upgrades!$R$13,E267)*POWER(Upgrades!$R$14,F267)*POWER(Upgrades!$R$15,G267)*POWER(Upgrades!$R$16,H267)*POWER(Upgrades!$R$17,I267)*POWER(Upgrades!$R$18,J267)*POWER(Upgrades!$R$19,K267)*POWER(Upgrades!$R$20,L267)*POWER(Upgrades!$R$21,M267)*$H$6+$E$6</f>
        <v/>
      </c>
      <c r="R267" s="27">
        <f>IF(N267=1,0,O267*Parameters!$B$10/60*Parameters!$B$11*10)</f>
        <v/>
      </c>
      <c r="S267" s="27">
        <f>IF(N267=1,0,Q267*O267*10)</f>
        <v/>
      </c>
      <c r="T267" s="27">
        <f>IF(N267=1,0,R267+S267+P267*10)</f>
        <v/>
      </c>
      <c r="U267" s="33">
        <f>BE267</f>
        <v/>
      </c>
      <c r="V267" s="22">
        <f>IF(U267="",0,IF(U267="transition",0,IF(U267="SK",AK267,IF(U267="LB",AL267,IF(U267="ML",AM267,IF(U267="RLO",AN267,IF(U267="BD",AO267,IF(U267="BiP",AP267,IF(U267="PV",AQ267,IF(U267="OC",AR267,IF(U267="MG",AS267,0))))))))))</f>
        <v/>
      </c>
      <c r="W267" s="27">
        <f>IF(U267="BiP",Upgrades!$F$18,IF(U267="PV",Upgrades!$F$19,IF(U267="OC",Upgrades!$F$20,IF(U267="MG",Upgrades!$F$21,IF(U267="transition",-Parameters!$B$18*Parameters!$B$19,0)))))</f>
        <v/>
      </c>
      <c r="X267" s="22">
        <f>C267+T267-V267</f>
        <v/>
      </c>
      <c r="Y267" s="30">
        <f>O267*Parameters!$B$10/60*Parameters!$B$11+Q267*O267+P267</f>
        <v/>
      </c>
      <c r="Z267" s="34">
        <f>IF(U267="transition","→ Tier 3 (Galactic Arm)",IF(U267="MG","Moving Group — pocket drifts together",IF(U267="OC","Open Cluster acquired",IF(U267="PV","Peculiar Velocity — passive multiplier active",IF(U267="BiP","Binary Partner — pair bond formed",IF(AND(AU267=1,N267=0,AT267&lt;&gt;1),"Cohesion ready (waiting on completionists)","")))))) </f>
        <v/>
      </c>
      <c r="AA267" s="27">
        <f>(IF(E267=0,0,(Upgrades!$G$13+E267*Upgrades!$H$13)*POWER(Upgrades!$I$13,E267)))*(IF(Upgrades!$T$14="Stellar Kinematics",POWER(Upgrades!$U$14,F267),1)*IF(Upgrades!$T$15="Stellar Kinematics",POWER(Upgrades!$U$15,G267),1)*IF(Upgrades!$T$16="Stellar Kinematics",POWER(Upgrades!$U$16,H267),1)*IF(Upgrades!$T$17="Stellar Kinematics",POWER(Upgrades!$U$17,I267),1)*IF(Upgrades!$T$18="Stellar Kinematics",POWER(Upgrades!$U$18,J267),1)*IF(Upgrades!$T$19="Stellar Kinematics",POWER(Upgrades!$U$19,K267),1)*IF(Upgrades!$T$20="Stellar Kinematics",POWER(Upgrades!$U$20,L267),1)*IF(Upgrades!$T$21="Stellar Kinematics",POWER(Upgrades!$U$21,M267),1))*POWER(Upgrades!$P$13,E267)*POWER(Upgrades!$P$14,F267)*POWER(Upgrades!$P$15,G267)*POWER(Upgrades!$P$16,H267)*POWER(Upgrades!$P$17,I267)*POWER(Upgrades!$P$18,J267)*POWER(Upgrades!$P$19,K267)*POWER(Upgrades!$P$20,L267)*POWER(Upgrades!$P$21,M267)*$F$6*60</f>
        <v/>
      </c>
      <c r="AB267" s="27">
        <f>(IF(F267=0,0,(Upgrades!$G$14+F267*Upgrades!$H$14)*POWER(Upgrades!$I$14,F267)))*(IF(Upgrades!$T$13="Local Bubble",POWER(Upgrades!$U$13,E267),1)*IF(Upgrades!$T$15="Local Bubble",POWER(Upgrades!$U$15,G267),1)*IF(Upgrades!$T$16="Local Bubble",POWER(Upgrades!$U$16,H267),1)*IF(Upgrades!$T$17="Local Bubble",POWER(Upgrades!$U$17,I267),1)*IF(Upgrades!$T$18="Local Bubble",POWER(Upgrades!$U$18,J267),1)*IF(Upgrades!$T$19="Local Bubble",POWER(Upgrades!$U$19,K267),1)*IF(Upgrades!$T$20="Local Bubble",POWER(Upgrades!$U$20,L267),1)*IF(Upgrades!$T$21="Local Bubble",POWER(Upgrades!$U$21,M267),1))*POWER(Upgrades!$P$13,E267)*POWER(Upgrades!$P$14,F267)*POWER(Upgrades!$P$15,G267)*POWER(Upgrades!$P$16,H267)*POWER(Upgrades!$P$17,I267)*POWER(Upgrades!$P$18,J267)*POWER(Upgrades!$P$19,K267)*POWER(Upgrades!$P$20,L267)*POWER(Upgrades!$P$21,M267)*$F$6*60</f>
        <v/>
      </c>
      <c r="AC267" s="27">
        <f>(IF(G267=0,0,(Upgrades!$J$15+G267*Upgrades!$K$15)*POWER(Upgrades!$L$15,G267)))*(IF(Upgrades!$T$13="Microlensing",POWER(Upgrades!$U$13,E267),1)*IF(Upgrades!$T$14="Microlensing",POWER(Upgrades!$U$14,F267),1)*IF(Upgrades!$T$16="Microlensing",POWER(Upgrades!$U$16,H267),1)*IF(Upgrades!$T$17="Microlensing",POWER(Upgrades!$U$17,I267),1)*IF(Upgrades!$T$18="Microlensing",POWER(Upgrades!$U$18,J267),1)*IF(Upgrades!$T$19="Microlensing",POWER(Upgrades!$U$19,K267),1)*IF(Upgrades!$T$20="Microlensing",POWER(Upgrades!$U$20,L267),1)*IF(Upgrades!$T$21="Microlensing",POWER(Upgrades!$U$21,M267),1))*POWER(Upgrades!$Q$13,E267)*POWER(Upgrades!$Q$14,F267)*POWER(Upgrades!$Q$15,G267)*POWER(Upgrades!$Q$16,H267)*POWER(Upgrades!$Q$17,I267)*POWER(Upgrades!$Q$18,J267)*POWER(Upgrades!$Q$19,K267)*POWER(Upgrades!$Q$20,L267)*POWER(Upgrades!$Q$21,M267)*$G$6*(Parameters!$B$10*Parameters!$B$11+Q267*60)</f>
        <v/>
      </c>
      <c r="AD267" s="27">
        <f>(IF(H267=0,0,(Upgrades!$M$16+H267*Upgrades!$N$16)*POWER(Upgrades!$O$16,H267)))*(IF(Upgrades!$T$13="Roche Lobe Overflow",POWER(Upgrades!$U$13,E267),1)*IF(Upgrades!$T$14="Roche Lobe Overflow",POWER(Upgrades!$U$14,F267),1)*IF(Upgrades!$T$15="Roche Lobe Overflow",POWER(Upgrades!$U$15,G267),1)*IF(Upgrades!$T$17="Roche Lobe Overflow",POWER(Upgrades!$U$17,I267),1)*IF(Upgrades!$T$18="Roche Lobe Overflow",POWER(Upgrades!$U$18,J267),1)*IF(Upgrades!$T$19="Roche Lobe Overflow",POWER(Upgrades!$U$19,K267),1)*IF(Upgrades!$T$20="Roche Lobe Overflow",POWER(Upgrades!$U$20,L267),1)*IF(Upgrades!$T$21="Roche Lobe Overflow",POWER(Upgrades!$U$21,M267),1))*POWER(Upgrades!$R$13,E267)*POWER(Upgrades!$R$14,F267)*POWER(Upgrades!$R$15,G267)*POWER(Upgrades!$R$16,H267)*POWER(Upgrades!$R$17,I267)*POWER(Upgrades!$R$18,J267)*POWER(Upgrades!$R$19,K267)*POWER(Upgrades!$R$20,L267)*POWER(Upgrades!$R$21,M267)*$H$6*O267*60</f>
        <v/>
      </c>
      <c r="AE267" s="27">
        <f>(IF(I267=0,0,(Upgrades!$G$17+I267*Upgrades!$H$17)*POWER(Upgrades!$I$17,I267)))*(IF(Upgrades!$T$13="Brown Dwarf",POWER(Upgrades!$U$13,E267),1)*IF(Upgrades!$T$14="Brown Dwarf",POWER(Upgrades!$U$14,F267),1)*IF(Upgrades!$T$15="Brown Dwarf",POWER(Upgrades!$U$15,G267),1)*IF(Upgrades!$T$16="Brown Dwarf",POWER(Upgrades!$U$16,H267),1)*IF(Upgrades!$T$18="Brown Dwarf",POWER(Upgrades!$U$18,J267),1)*IF(Upgrades!$T$19="Brown Dwarf",POWER(Upgrades!$U$19,K267),1)*IF(Upgrades!$T$20="Brown Dwarf",POWER(Upgrades!$U$20,L267),1)*IF(Upgrades!$T$21="Brown Dwarf",POWER(Upgrades!$U$21,M267),1))*POWER(Upgrades!$P$13,E267)*POWER(Upgrades!$P$14,F267)*POWER(Upgrades!$P$15,G267)*POWER(Upgrades!$P$16,H267)*POWER(Upgrades!$P$17,I267)*POWER(Upgrades!$P$18,J267)*POWER(Upgrades!$P$19,K267)*POWER(Upgrades!$P$20,L267)*POWER(Upgrades!$P$21,M267)*$F$6*60</f>
        <v/>
      </c>
      <c r="AF267" s="27" t="n">
        <v>0</v>
      </c>
      <c r="AG267" s="27" t="n">
        <v>0</v>
      </c>
      <c r="AH267" s="27" t="n">
        <v>0</v>
      </c>
      <c r="AI267" s="27">
        <f>(IF(M267=0,0,(Upgrades!$G$21+M267*Upgrades!$H$21)*POWER(Upgrades!$I$21,M267)))*(IF(Upgrades!$T$13="Moving Group",POWER(Upgrades!$U$13,E267),1)*IF(Upgrades!$T$14="Moving Group",POWER(Upgrades!$U$14,F267),1)*IF(Upgrades!$T$15="Moving Group",POWER(Upgrades!$U$15,G267),1)*IF(Upgrades!$T$16="Moving Group",POWER(Upgrades!$U$16,H267),1)*IF(Upgrades!$T$17="Moving Group",POWER(Upgrades!$U$17,I267),1)*IF(Upgrades!$T$18="Moving Group",POWER(Upgrades!$U$18,J267),1)*IF(Upgrades!$T$19="Moving Group",POWER(Upgrades!$U$19,K267),1)*IF(Upgrades!$T$20="Moving Group",POWER(Upgrades!$U$20,L267),1))*POWER(Upgrades!$P$13,E267)*POWER(Upgrades!$P$14,F267)*POWER(Upgrades!$P$15,G267)*POWER(Upgrades!$P$16,H267)*POWER(Upgrades!$P$17,I267)*POWER(Upgrades!$P$18,J267)*POWER(Upgrades!$P$19,K267)*POWER(Upgrades!$P$20,L267)*POWER(Upgrades!$P$21,M267)*$F$6*60</f>
        <v/>
      </c>
      <c r="AJ267" s="27">
        <f>$C$6*60</f>
        <v/>
      </c>
      <c r="AK267" s="22">
        <f>IF(E267&gt;=Upgrades!$E$13,"",Upgrades!$C$13*POWER(Upgrades!$D$13,E267))</f>
        <v/>
      </c>
      <c r="AL267" s="22">
        <f>IF(F267&gt;=Upgrades!$E$14,"",Upgrades!$C$14*POWER(Upgrades!$D$14,F267))</f>
        <v/>
      </c>
      <c r="AM267" s="22">
        <f>IF(G267&gt;=Upgrades!$E$15,"",Upgrades!$C$15*POWER(Upgrades!$D$15,G267))</f>
        <v/>
      </c>
      <c r="AN267" s="22">
        <f>IF(H267&gt;=Upgrades!$E$16,"",Upgrades!$C$16*POWER(Upgrades!$D$16,H267))</f>
        <v/>
      </c>
      <c r="AO267" s="22">
        <f>IF(I267&gt;=Upgrades!$E$17,"",Upgrades!$C$17*POWER(Upgrades!$D$17,I267))</f>
        <v/>
      </c>
      <c r="AP267" s="22">
        <f>IF(J267&gt;=Upgrades!$E$18,"",Upgrades!$C$18*POWER(Upgrades!$D$18,J267))</f>
        <v/>
      </c>
      <c r="AQ267" s="22">
        <f>IF(K267&gt;=Upgrades!$E$19,"",Upgrades!$C$19*POWER(Upgrades!$D$19,K267))</f>
        <v/>
      </c>
      <c r="AR267" s="22">
        <f>IF(L267&gt;=Upgrades!$E$20,"",Upgrades!$C$20*POWER(Upgrades!$D$20,L267))</f>
        <v/>
      </c>
      <c r="AS267" s="22">
        <f>IF(M267&gt;=Upgrades!$E$21,"",Upgrades!$C$21*POWER(Upgrades!$D$21,M267))</f>
        <v/>
      </c>
      <c r="AT267" s="26">
        <f>IF(AND(D267&gt;=Parameters!$B$18*Parameters!$B$19,(I267&gt;=Upgrades!$E$17)*(M267&gt;=Upgrades!$E$21)=1,N267=0),1,"")</f>
        <v/>
      </c>
      <c r="AU267" s="26">
        <f>IF(AND(D267&gt;=Parameters!$B$18*Parameters!$B$19,N267=0),1,"")</f>
        <v/>
      </c>
      <c r="AV267" s="22">
        <f>MIN(IF(ISNUMBER(AP267),AP267,9E15),IF(ISNUMBER(AQ267),AQ267,9E15),IF(ISNUMBER(AR267),AR267,9E15),IF(ISNUMBER(AS267),AS267,9E15))</f>
        <v/>
      </c>
      <c r="AW267" s="22">
        <f>MIN(IF(ISNUMBER(AK267),AK267,9E15),IF(ISNUMBER(AL267),AL267,9E15),IF(ISNUMBER(AM267),AM267,9E15),IF(ISNUMBER(AN267),AN267,9E15),IF(ISNUMBER(AO267),AO267,9E15))</f>
        <v/>
      </c>
      <c r="AX267" s="29">
        <f>IF(BD267&gt;Parameters!$B$21*(MAX(IF(AND(NOT(AND(AU267=1,AT267&lt;&gt;1)),ISNUMBER(AK267),AK267&lt;=(C267+T267)),AY267,0),IF(AND(NOT(AND(AU267=1,AT267&lt;&gt;1)),ISNUMBER(AL267),AL267&lt;=(C267+T267)),AZ267,0),IF(AND(NOT(AND(AU267=1,AT267&lt;&gt;1)),ISNUMBER(AM267),AM267&lt;=(C267+T267)),BA267,0),IF(AND(NOT(AND(AU267=1,AT267&lt;&gt;1)),ISNUMBER(AN267),AN267&lt;=(C267+T267)),BB267,0),IF(AND(ISNUMBER(AO267),AO267&lt;=(C267+T267)),BC267,0))),TRUE,FALSE)</f>
        <v/>
      </c>
      <c r="AY267" s="32">
        <f>IFERROR(Upgrades!$H$13*(POWER(Upgrades!$P$13,E267)*POWER(Upgrades!$P$14,F267)*POWER(Upgrades!$P$15,G267)*POWER(Upgrades!$P$16,H267)*POWER(Upgrades!$P$17,I267)*POWER(Upgrades!$P$18,J267)*POWER(Upgrades!$P$19,K267)*POWER(Upgrades!$P$20,L267)*POWER(Upgrades!$P$21,M267))*(IF(Upgrades!$T$14="Stellar Kinematics",POWER(Upgrades!$U$14,F267),1)*IF(Upgrades!$T$15="Stellar Kinematics",POWER(Upgrades!$U$15,G267),1)*IF(Upgrades!$T$16="Stellar Kinematics",POWER(Upgrades!$U$16,H267),1)*IF(Upgrades!$T$17="Stellar Kinematics",POWER(Upgrades!$U$17,I267),1)*IF(Upgrades!$T$18="Stellar Kinematics",POWER(Upgrades!$U$18,J267),1)*IF(Upgrades!$T$19="Stellar Kinematics",POWER(Upgrades!$U$19,K267),1)*IF(Upgrades!$T$20="Stellar Kinematics",POWER(Upgrades!$U$20,L267),1)*IF(Upgrades!$T$21="Stellar Kinematics",POWER(Upgrades!$U$21,M267),1))*$F$6/AK267,0)</f>
        <v/>
      </c>
      <c r="AZ267" s="32">
        <f>IFERROR(Upgrades!$H$14*(POWER(Upgrades!$P$13,E267)*POWER(Upgrades!$P$14,F267)*POWER(Upgrades!$P$15,G267)*POWER(Upgrades!$P$16,H267)*POWER(Upgrades!$P$17,I267)*POWER(Upgrades!$P$18,J267)*POWER(Upgrades!$P$19,K267)*POWER(Upgrades!$P$20,L267)*POWER(Upgrades!$P$21,M267))*(IF(Upgrades!$T$13="Local Bubble",POWER(Upgrades!$U$13,E267),1)*IF(Upgrades!$T$15="Local Bubble",POWER(Upgrades!$U$15,G267),1)*IF(Upgrades!$T$16="Local Bubble",POWER(Upgrades!$U$16,H267),1)*IF(Upgrades!$T$17="Local Bubble",POWER(Upgrades!$U$17,I267),1)*IF(Upgrades!$T$18="Local Bubble",POWER(Upgrades!$U$18,J267),1)*IF(Upgrades!$T$19="Local Bubble",POWER(Upgrades!$U$19,K267),1)*IF(Upgrades!$T$20="Local Bubble",POWER(Upgrades!$U$20,L267),1)*IF(Upgrades!$T$21="Local Bubble",POWER(Upgrades!$U$21,M267),1))*$F$6/AL267,0)</f>
        <v/>
      </c>
      <c r="BA267" s="32">
        <f>IFERROR(Upgrades!$K$15*(POWER(Upgrades!$Q$13,E267)*POWER(Upgrades!$Q$14,F267)*POWER(Upgrades!$Q$15,G267)*POWER(Upgrades!$Q$16,H267)*POWER(Upgrades!$Q$17,I267)*POWER(Upgrades!$Q$18,J267)*POWER(Upgrades!$Q$19,K267)*POWER(Upgrades!$Q$20,L267)*POWER(Upgrades!$Q$21,M267))*(IF(Upgrades!$T$13="Microlensing",POWER(Upgrades!$U$13,E267),1)*IF(Upgrades!$T$14="Microlensing",POWER(Upgrades!$U$14,F267),1)*IF(Upgrades!$T$16="Microlensing",POWER(Upgrades!$U$16,H267),1)*IF(Upgrades!$T$17="Microlensing",POWER(Upgrades!$U$17,I267),1)*IF(Upgrades!$T$18="Microlensing",POWER(Upgrades!$U$18,J267),1)*IF(Upgrades!$T$19="Microlensing",POWER(Upgrades!$U$19,K267),1)*IF(Upgrades!$T$20="Microlensing",POWER(Upgrades!$U$20,L267),1)*IF(Upgrades!$T$21="Microlensing",POWER(Upgrades!$U$21,M267),1))*$G$6*(Parameters!$B$10/60*Parameters!$B$11+Q267)/AM267,0)</f>
        <v/>
      </c>
      <c r="BB267" s="32">
        <f>IFERROR((Upgrades!$N$16*(POWER(Upgrades!$R$13,E267)*POWER(Upgrades!$R$14,F267)*POWER(Upgrades!$R$15,G267)*POWER(Upgrades!$R$16,H267)*POWER(Upgrades!$R$17,I267)*POWER(Upgrades!$R$18,J267)*POWER(Upgrades!$R$19,K267)*POWER(Upgrades!$R$20,L267)*POWER(Upgrades!$R$21,M267))*(IF(Upgrades!$T$13="Roche Lobe Overflow",POWER(Upgrades!$U$13,E267),1)*IF(Upgrades!$T$14="Roche Lobe Overflow",POWER(Upgrades!$U$14,F267),1)*IF(Upgrades!$T$15="Roche Lobe Overflow",POWER(Upgrades!$U$15,G267),1)*IF(Upgrades!$T$17="Roche Lobe Overflow",POWER(Upgrades!$U$17,I267),1)*IF(Upgrades!$T$18="Roche Lobe Overflow",POWER(Upgrades!$U$18,J267),1)*IF(Upgrades!$T$19="Roche Lobe Overflow",POWER(Upgrades!$U$19,K267),1)*IF(Upgrades!$T$20="Roche Lobe Overflow",POWER(Upgrades!$U$20,L267),1)*IF(Upgrades!$T$21="Roche Lobe Overflow",POWER(Upgrades!$U$21,M267),1))*$H$6*O267+((IF(F267=0,0,(Upgrades!$G$14+F267*Upgrades!$H$14)*POWER(Upgrades!$I$14,F267)))*(IF(Upgrades!$T$13="Local Bubble",POWER(Upgrades!$U$13,E267),1)*IF(Upgrades!$T$15="Local Bubble",POWER(Upgrades!$U$15,G267),1)*IF(Upgrades!$T$16="Local Bubble",POWER(Upgrades!$U$16,H267),1)*IF(Upgrades!$T$17="Local Bubble",POWER(Upgrades!$U$17,I267),1)*IF(Upgrades!$T$18="Local Bubble",POWER(Upgrades!$U$18,J267),1)*IF(Upgrades!$T$19="Local Bubble",POWER(Upgrades!$U$19,K267),1)*IF(Upgrades!$T$20="Local Bubble",POWER(Upgrades!$U$20,L267),1)*IF(Upgrades!$T$21="Local Bubble",POWER(Upgrades!$U$21,M267),1))*POWER(Upgrades!$P$13,E267)*POWER(Upgrades!$P$14,F267)*POWER(Upgrades!$P$15,G267)*POWER(Upgrades!$P$16,H267)*POWER(Upgrades!$P$17,I267)*POWER(Upgrades!$P$18,J267)*POWER(Upgrades!$P$19,K267)*POWER(Upgrades!$P$20,L267)*POWER(Upgrades!$P$21,M267)*$F$6)*0.05)/AN267,0)</f>
        <v/>
      </c>
      <c r="BC267" s="32">
        <f>IFERROR((Upgrades!$H$17*(POWER(Upgrades!$P$13,E267)*POWER(Upgrades!$P$14,F267)*POWER(Upgrades!$P$15,G267)*POWER(Upgrades!$P$16,H267)*POWER(Upgrades!$P$17,I267)*POWER(Upgrades!$P$18,J267)*POWER(Upgrades!$P$19,K267)*POWER(Upgrades!$P$20,L267)*POWER(Upgrades!$P$21,M267))*(IF(Upgrades!$T$13="Brown Dwarf",POWER(Upgrades!$U$13,E267),1)*IF(Upgrades!$T$14="Brown Dwarf",POWER(Upgrades!$U$14,F267),1)*IF(Upgrades!$T$15="Brown Dwarf",POWER(Upgrades!$U$15,G267),1)*IF(Upgrades!$T$16="Brown Dwarf",POWER(Upgrades!$U$16,H267),1)*IF(Upgrades!$T$18="Brown Dwarf",POWER(Upgrades!$U$18,J267),1)*IF(Upgrades!$T$19="Brown Dwarf",POWER(Upgrades!$U$19,K267),1)*IF(Upgrades!$T$20="Brown Dwarf",POWER(Upgrades!$U$20,L267),1)*IF(Upgrades!$T$21="Brown Dwarf",POWER(Upgrades!$U$21,M267),1))*$F$6+(((IF(H267=0,0,(Upgrades!$M$16+H267*Upgrades!$N$16)*POWER(Upgrades!$O$16,H267)))*(IF(Upgrades!$T$13="Roche Lobe Overflow",POWER(Upgrades!$U$13,E267),1)*IF(Upgrades!$T$14="Roche Lobe Overflow",POWER(Upgrades!$U$14,F267),1)*IF(Upgrades!$T$15="Roche Lobe Overflow",POWER(Upgrades!$U$15,G267),1)*IF(Upgrades!$T$17="Roche Lobe Overflow",POWER(Upgrades!$U$17,I267),1)*IF(Upgrades!$T$18="Roche Lobe Overflow",POWER(Upgrades!$U$18,J267),1)*IF(Upgrades!$T$19="Roche Lobe Overflow",POWER(Upgrades!$U$19,K267),1)*IF(Upgrades!$T$20="Roche Lobe Overflow",POWER(Upgrades!$U$20,L267),1)*IF(Upgrades!$T$21="Roche Lobe Overflow",POWER(Upgrades!$U$21,M267),1))*POWER(Upgrades!$R$13,E267)*POWER(Upgrades!$R$14,F267)*POWER(Upgrades!$R$15,G267)*POWER(Upgrades!$R$16,H267)*POWER(Upgrades!$R$17,I267)*POWER(Upgrades!$R$18,J267)*POWER(Upgrades!$R$19,K267)*POWER(Upgrades!$R$20,L267)*POWER(Upgrades!$R$21,M267)*$H$6)*O267)*0.10)/AO267,0)</f>
        <v/>
      </c>
      <c r="BD267" s="32">
        <f>MAX(IF(J267&gt;0,0,IFERROR(0.5*((IF(G267=0,0,(Upgrades!$J$15+G267*Upgrades!$K$15)*POWER(Upgrades!$L$15,G267)))*(IF(Upgrades!$T$13="Microlensing",POWER(Upgrades!$U$13,E267),1)*IF(Upgrades!$T$14="Microlensing",POWER(Upgrades!$U$14,F267),1)*IF(Upgrades!$T$16="Microlensing",POWER(Upgrades!$U$16,H267),1)*IF(Upgrades!$T$17="Microlensing",POWER(Upgrades!$U$17,I267),1)*IF(Upgrades!$T$18="Microlensing",POWER(Upgrades!$U$18,J267),1)*IF(Upgrades!$T$19="Microlensing",POWER(Upgrades!$U$19,K267),1)*IF(Upgrades!$T$20="Microlensing",POWER(Upgrades!$U$20,L267),1)*IF(Upgrades!$T$21="Microlensing",POWER(Upgrades!$U$21,M267),1))*(POWER(Upgrades!$Q$13,E267)*POWER(Upgrades!$Q$14,F267)*POWER(Upgrades!$Q$15,G267)*POWER(Upgrades!$Q$16,H267)*POWER(Upgrades!$Q$17,I267)*POWER(Upgrades!$Q$18,J267)*POWER(Upgrades!$Q$19,K267)*POWER(Upgrades!$Q$20,L267)*POWER(Upgrades!$Q$21,M267))*$G$6*(Parameters!$B$10/60*Parameters!$B$11+Q267))/Upgrades!$C$18,0)),IF(K267&gt;0,0,IFERROR(0.30*P267/Upgrades!$C$19,0)),IF(L267&gt;0,0,IFERROR(0.0001/Upgrades!$C$20,0)),IF(M267&gt;0,0,IFERROR((6.0*(POWER(Upgrades!$P$13,E267)*POWER(Upgrades!$P$14,F267)*POWER(Upgrades!$P$15,G267)*POWER(Upgrades!$P$16,H267)*POWER(Upgrades!$P$17,I267)*POWER(Upgrades!$P$18,J267)*POWER(Upgrades!$P$19,K267)*POWER(Upgrades!$P$20,L267)*POWER(Upgrades!$P$21,M267))*$F$6+0.20*O267*(Parameters!$B$10/60*Parameters!$B$11+Q267))/Upgrades!$C$21,0)),IF(AND(ISNUMBER(AK267),AK267&gt;(C267+T267)),AY267,0),IF(AND(ISNUMBER(AL267),AL267&gt;(C267+T267)),AZ267,0),IF(AND(ISNUMBER(AM267),AM267&gt;(C267+T267)),BA267,0),IF(AND(ISNUMBER(AN267),AN267&gt;(C267+T267)),BB267,0),IF(AND(ISNUMBER(AO267),AO267&gt;(C267+T267)),BC267,0))</f>
        <v/>
      </c>
      <c r="BE267" s="29">
        <f>IF(AT267=1,"transition",IF(MIN(IF(AND(J267=0,ISNUMBER(AP267),AP267&lt;=(C267+T267)),AP267,9E15),IF(AND(K267=0,ISNUMBER(AQ267),AQ267&lt;=(C267+T267)),AQ267,9E15),IF(AND(L267=0,ISNUMBER(AR267),AR267&lt;=(C267+T267)),AR267,9E15),IF(AND(M267=0,ISNUMBER(AS267),AS267&lt;=(C267+T267)),AS267,9E15))&lt;9E15,IF(AND(AND(J267=0,ISNUMBER(AP267),AP267&lt;=(C267+T267)),AP267=MIN(IF(AND(J267=0,ISNUMBER(AP267),AP267&lt;=(C267+T267)),AP267,9E15),IF(AND(K267=0,ISNUMBER(AQ267),AQ267&lt;=(C267+T267)),AQ267,9E15),IF(AND(L267=0,ISNUMBER(AR267),AR267&lt;=(C267+T267)),AR267,9E15),IF(AND(M267=0,ISNUMBER(AS267),AS267&lt;=(C267+T267)),AS267,9E15))),"BiP",IF(AND(AND(K267=0,ISNUMBER(AQ267),AQ267&lt;=(C267+T267)),AQ267=MIN(IF(AND(J267=0,ISNUMBER(AP267),AP267&lt;=(C267+T267)),AP267,9E15),IF(AND(K267=0,ISNUMBER(AQ267),AQ267&lt;=(C267+T267)),AQ267,9E15),IF(AND(L267=0,ISNUMBER(AR267),AR267&lt;=(C267+T267)),AR267,9E15),IF(AND(M267=0,ISNUMBER(AS267),AS267&lt;=(C267+T267)),AS267,9E15))),"PV",IF(AND(AND(L267=0,ISNUMBER(AR267),AR267&lt;=(C267+T267)),AR267=MIN(IF(AND(J267=0,ISNUMBER(AP267),AP267&lt;=(C267+T267)),AP267,9E15),IF(AND(K267=0,ISNUMBER(AQ267),AQ267&lt;=(C267+T267)),AQ267,9E15),IF(AND(L267=0,ISNUMBER(AR267),AR267&lt;=(C267+T267)),AR267,9E15),IF(AND(M267=0,ISNUMBER(AS267),AS267&lt;=(C267+T267)),AS267,9E15))),"OC","MG"))),IF(AX267=TRUE,"",IF(MAX(IF(AND(NOT(AND(AU267=1,AT267&lt;&gt;1)),ISNUMBER(AK267),AK267&lt;=(C267+T267)),AY267,0),IF(AND(NOT(AND(AU267=1,AT267&lt;&gt;1)),ISNUMBER(AL267),AL267&lt;=(C267+T267)),AZ267,0),IF(AND(NOT(AND(AU267=1,AT267&lt;&gt;1)),ISNUMBER(AM267),AM267&lt;=(C267+T267)),BA267,0),IF(AND(NOT(AND(AU267=1,AT267&lt;&gt;1)),ISNUMBER(AN267),AN267&lt;=(C267+T267)),BB267,0),IF(AND(ISNUMBER(AO267),AO267&lt;=(C267+T267)),BC267,0))&lt;=0,"",IF(AND(IF(AND(NOT(AND(AU267=1,AT267&lt;&gt;1)),ISNUMBER(AK267),AK267&lt;=(C267+T267)),AY267,0)&gt;0,IF(AND(NOT(AND(AU267=1,AT267&lt;&gt;1)),ISNUMBER(AK267),AK267&lt;=(C267+T267)),AY267,0)=MAX(IF(AND(NOT(AND(AU267=1,AT267&lt;&gt;1)),ISNUMBER(AK267),AK267&lt;=(C267+T267)),AY267,0),IF(AND(NOT(AND(AU267=1,AT267&lt;&gt;1)),ISNUMBER(AL267),AL267&lt;=(C267+T267)),AZ267,0),IF(AND(NOT(AND(AU267=1,AT267&lt;&gt;1)),ISNUMBER(AM267),AM267&lt;=(C267+T267)),BA267,0),IF(AND(NOT(AND(AU267=1,AT267&lt;&gt;1)),ISNUMBER(AN267),AN267&lt;=(C267+T267)),BB267,0),IF(AND(ISNUMBER(AO267),AO267&lt;=(C267+T267)),BC267,0))),"SK",IF(AND(IF(AND(NOT(AND(AU267=1,AT267&lt;&gt;1)),ISNUMBER(AL267),AL267&lt;=(C267+T267)),AZ267,0)&gt;0,IF(AND(NOT(AND(AU267=1,AT267&lt;&gt;1)),ISNUMBER(AL267),AL267&lt;=(C267+T267)),AZ267,0)=MAX(IF(AND(NOT(AND(AU267=1,AT267&lt;&gt;1)),ISNUMBER(AK267),AK267&lt;=(C267+T267)),AY267,0),IF(AND(NOT(AND(AU267=1,AT267&lt;&gt;1)),ISNUMBER(AL267),AL267&lt;=(C267+T267)),AZ267,0),IF(AND(NOT(AND(AU267=1,AT267&lt;&gt;1)),ISNUMBER(AM267),AM267&lt;=(C267+T267)),BA267,0),IF(AND(NOT(AND(AU267=1,AT267&lt;&gt;1)),ISNUMBER(AN267),AN267&lt;=(C267+T267)),BB267,0),IF(AND(ISNUMBER(AO267),AO267&lt;=(C267+T267)),BC267,0))),"LB",IF(AND(IF(AND(NOT(AND(AU267=1,AT267&lt;&gt;1)),ISNUMBER(AM267),AM267&lt;=(C267+T267)),BA267,0)&gt;0,IF(AND(NOT(AND(AU267=1,AT267&lt;&gt;1)),ISNUMBER(AM267),AM267&lt;=(C267+T267)),BA267,0)=MAX(IF(AND(NOT(AND(AU267=1,AT267&lt;&gt;1)),ISNUMBER(AK267),AK267&lt;=(C267+T267)),AY267,0),IF(AND(NOT(AND(AU267=1,AT267&lt;&gt;1)),ISNUMBER(AL267),AL267&lt;=(C267+T267)),AZ267,0),IF(AND(NOT(AND(AU267=1,AT267&lt;&gt;1)),ISNUMBER(AM267),AM267&lt;=(C267+T267)),BA267,0),IF(AND(NOT(AND(AU267=1,AT267&lt;&gt;1)),ISNUMBER(AN267),AN267&lt;=(C267+T267)),BB267,0),IF(AND(ISNUMBER(AO267),AO267&lt;=(C267+T267)),BC267,0))),"ML",IF(AND(IF(AND(NOT(AND(AU267=1,AT267&lt;&gt;1)),ISNUMBER(AN267),AN267&lt;=(C267+T267)),BB267,0)&gt;0,IF(AND(NOT(AND(AU267=1,AT267&lt;&gt;1)),ISNUMBER(AN267),AN267&lt;=(C267+T267)),BB267,0)=MAX(IF(AND(NOT(AND(AU267=1,AT267&lt;&gt;1)),ISNUMBER(AK267),AK267&lt;=(C267+T267)),AY267,0),IF(AND(NOT(AND(AU267=1,AT267&lt;&gt;1)),ISNUMBER(AL267),AL267&lt;=(C267+T267)),AZ267,0),IF(AND(NOT(AND(AU267=1,AT267&lt;&gt;1)),ISNUMBER(AM267),AM267&lt;=(C267+T267)),BA267,0),IF(AND(NOT(AND(AU267=1,AT267&lt;&gt;1)),ISNUMBER(AN267),AN267&lt;=(C267+T267)),BB267,0),IF(AND(ISNUMBER(AO267),AO267&lt;=(C267+T267)),BC267,0))),"RLO","BD"))))))))</f>
        <v/>
      </c>
    </row>
    <row r="268">
      <c r="A268" s="26" t="n">
        <v>257</v>
      </c>
      <c r="B268" s="27">
        <f>A268*10/60</f>
        <v/>
      </c>
      <c r="C268" s="22">
        <f>X267</f>
        <v/>
      </c>
      <c r="D268" s="27">
        <f>D267+W267</f>
        <v/>
      </c>
      <c r="E268" s="26">
        <f>E267+IF(U267="SK",1,0)</f>
        <v/>
      </c>
      <c r="F268" s="26">
        <f>F267+IF(U267="LB",1,0)</f>
        <v/>
      </c>
      <c r="G268" s="26">
        <f>G267+IF(U267="ML",1,0)</f>
        <v/>
      </c>
      <c r="H268" s="26">
        <f>H267+IF(U267="RLO",1,0)</f>
        <v/>
      </c>
      <c r="I268" s="26">
        <f>I267+IF(U267="BD",1,0)</f>
        <v/>
      </c>
      <c r="J268" s="26">
        <f>MAX(J267,IF(U267="BiP",1,0))</f>
        <v/>
      </c>
      <c r="K268" s="26">
        <f>MAX(K267,IF(U267="PV",1,0))</f>
        <v/>
      </c>
      <c r="L268" s="26">
        <f>MAX(L267,IF(U267="OC",1,0))</f>
        <v/>
      </c>
      <c r="M268" s="26">
        <f>MAX(M267,IF(U267="MG",1,0))</f>
        <v/>
      </c>
      <c r="N268" s="26">
        <f>MAX(N267,IF(U267="transition",1,0))</f>
        <v/>
      </c>
      <c r="O268" s="28">
        <f>(Parameters!$B$9+(IF(E268=0,0,(Upgrades!$J$13+E268*Upgrades!$K$13)*POWER(Upgrades!$L$13,E268)))*(IF(Upgrades!$T$14="Stellar Kinematics",POWER(Upgrades!$U$14,F268),1)*IF(Upgrades!$T$15="Stellar Kinematics",POWER(Upgrades!$U$15,G268),1)*IF(Upgrades!$T$16="Stellar Kinematics",POWER(Upgrades!$U$16,H268),1)*IF(Upgrades!$T$17="Stellar Kinematics",POWER(Upgrades!$U$17,I268),1)*IF(Upgrades!$T$18="Stellar Kinematics",POWER(Upgrades!$U$18,J268),1)*IF(Upgrades!$T$19="Stellar Kinematics",POWER(Upgrades!$U$19,K268),1)*IF(Upgrades!$T$20="Stellar Kinematics",POWER(Upgrades!$U$20,L268),1)*IF(Upgrades!$T$21="Stellar Kinematics",POWER(Upgrades!$U$21,M268),1))+(IF(F268=0,0,(Upgrades!$J$14+F268*Upgrades!$K$14)*POWER(Upgrades!$L$14,F268)))*(IF(Upgrades!$T$13="Local Bubble",POWER(Upgrades!$U$13,E268),1)*IF(Upgrades!$T$15="Local Bubble",POWER(Upgrades!$U$15,G268),1)*IF(Upgrades!$T$16="Local Bubble",POWER(Upgrades!$U$16,H268),1)*IF(Upgrades!$T$17="Local Bubble",POWER(Upgrades!$U$17,I268),1)*IF(Upgrades!$T$18="Local Bubble",POWER(Upgrades!$U$18,J268),1)*IF(Upgrades!$T$19="Local Bubble",POWER(Upgrades!$U$19,K268),1)*IF(Upgrades!$T$20="Local Bubble",POWER(Upgrades!$U$20,L268),1)*IF(Upgrades!$T$21="Local Bubble",POWER(Upgrades!$U$21,M268),1))+(IF(G268=0,0,(Upgrades!$J$15+G268*Upgrades!$K$15)*POWER(Upgrades!$L$15,G268)))*(IF(Upgrades!$T$13="Microlensing",POWER(Upgrades!$U$13,E268),1)*IF(Upgrades!$T$14="Microlensing",POWER(Upgrades!$U$14,F268),1)*IF(Upgrades!$T$16="Microlensing",POWER(Upgrades!$U$16,H268),1)*IF(Upgrades!$T$17="Microlensing",POWER(Upgrades!$U$17,I268),1)*IF(Upgrades!$T$18="Microlensing",POWER(Upgrades!$U$18,J268),1)*IF(Upgrades!$T$19="Microlensing",POWER(Upgrades!$U$19,K268),1)*IF(Upgrades!$T$20="Microlensing",POWER(Upgrades!$U$20,L268),1)*IF(Upgrades!$T$21="Microlensing",POWER(Upgrades!$U$21,M268),1))+(IF(H268=0,0,(Upgrades!$J$16+H268*Upgrades!$K$16)*POWER(Upgrades!$L$16,H268)))*(IF(Upgrades!$T$13="Roche Lobe Overflow",POWER(Upgrades!$U$13,E268),1)*IF(Upgrades!$T$14="Roche Lobe Overflow",POWER(Upgrades!$U$14,F268),1)*IF(Upgrades!$T$15="Roche Lobe Overflow",POWER(Upgrades!$U$15,G268),1)*IF(Upgrades!$T$17="Roche Lobe Overflow",POWER(Upgrades!$U$17,I268),1)*IF(Upgrades!$T$18="Roche Lobe Overflow",POWER(Upgrades!$U$18,J268),1)*IF(Upgrades!$T$19="Roche Lobe Overflow",POWER(Upgrades!$U$19,K268),1)*IF(Upgrades!$T$20="Roche Lobe Overflow",POWER(Upgrades!$U$20,L268),1)*IF(Upgrades!$T$21="Roche Lobe Overflow",POWER(Upgrades!$U$21,M268),1))+(IF(I268=0,0,(Upgrades!$J$17+I268*Upgrades!$K$17)*POWER(Upgrades!$L$17,I268)))*(IF(Upgrades!$T$13="Brown Dwarf",POWER(Upgrades!$U$13,E268),1)*IF(Upgrades!$T$14="Brown Dwarf",POWER(Upgrades!$U$14,F268),1)*IF(Upgrades!$T$15="Brown Dwarf",POWER(Upgrades!$U$15,G268),1)*IF(Upgrades!$T$16="Brown Dwarf",POWER(Upgrades!$U$16,H268),1)*IF(Upgrades!$T$18="Brown Dwarf",POWER(Upgrades!$U$18,J268),1)*IF(Upgrades!$T$19="Brown Dwarf",POWER(Upgrades!$U$19,K268),1)*IF(Upgrades!$T$20="Brown Dwarf",POWER(Upgrades!$U$20,L268),1)*IF(Upgrades!$T$21="Brown Dwarf",POWER(Upgrades!$U$21,M268),1))+(IF(J268=0,0,(Upgrades!$J$18+J268*Upgrades!$K$18)*POWER(Upgrades!$L$18,J268)))*(IF(Upgrades!$T$13="Binary Partner",POWER(Upgrades!$U$13,E268),1)*IF(Upgrades!$T$14="Binary Partner",POWER(Upgrades!$U$14,F268),1)*IF(Upgrades!$T$15="Binary Partner",POWER(Upgrades!$U$15,G268),1)*IF(Upgrades!$T$16="Binary Partner",POWER(Upgrades!$U$16,H268),1)*IF(Upgrades!$T$17="Binary Partner",POWER(Upgrades!$U$17,I268),1)*IF(Upgrades!$T$19="Binary Partner",POWER(Upgrades!$U$19,K268),1)*IF(Upgrades!$T$20="Binary Partner",POWER(Upgrades!$U$20,L268),1)*IF(Upgrades!$T$21="Binary Partner",POWER(Upgrades!$U$21,M268),1))+(IF(K268=0,0,(Upgrades!$J$19+K268*Upgrades!$K$19)*POWER(Upgrades!$L$19,K268)))*(IF(Upgrades!$T$13="Peculiar Velocity",POWER(Upgrades!$U$13,E268),1)*IF(Upgrades!$T$14="Peculiar Velocity",POWER(Upgrades!$U$14,F268),1)*IF(Upgrades!$T$15="Peculiar Velocity",POWER(Upgrades!$U$15,G268),1)*IF(Upgrades!$T$16="Peculiar Velocity",POWER(Upgrades!$U$16,H268),1)*IF(Upgrades!$T$17="Peculiar Velocity",POWER(Upgrades!$U$17,I268),1)*IF(Upgrades!$T$18="Peculiar Velocity",POWER(Upgrades!$U$18,J268),1)*IF(Upgrades!$T$20="Peculiar Velocity",POWER(Upgrades!$U$20,L268),1)*IF(Upgrades!$T$21="Peculiar Velocity",POWER(Upgrades!$U$21,M268),1))+(IF(L268=0,0,(Upgrades!$J$20+L268*Upgrades!$K$20)*POWER(Upgrades!$L$20,L268)))*(IF(Upgrades!$T$13="Open Cluster",POWER(Upgrades!$U$13,E268),1)*IF(Upgrades!$T$14="Open Cluster",POWER(Upgrades!$U$14,F268),1)*IF(Upgrades!$T$15="Open Cluster",POWER(Upgrades!$U$15,G268),1)*IF(Upgrades!$T$16="Open Cluster",POWER(Upgrades!$U$16,H268),1)*IF(Upgrades!$T$17="Open Cluster",POWER(Upgrades!$U$17,I268),1)*IF(Upgrades!$T$18="Open Cluster",POWER(Upgrades!$U$18,J268),1)*IF(Upgrades!$T$19="Open Cluster",POWER(Upgrades!$U$19,K268),1)*IF(Upgrades!$T$21="Open Cluster",POWER(Upgrades!$U$21,M268),1))+(IF(M268=0,0,(Upgrades!$J$21+M268*Upgrades!$K$21)*POWER(Upgrades!$L$21,M268)))*(IF(Upgrades!$T$13="Moving Group",POWER(Upgrades!$U$13,E268),1)*IF(Upgrades!$T$14="Moving Group",POWER(Upgrades!$U$14,F268),1)*IF(Upgrades!$T$15="Moving Group",POWER(Upgrades!$U$15,G268),1)*IF(Upgrades!$T$16="Moving Group",POWER(Upgrades!$U$16,H268),1)*IF(Upgrades!$T$17="Moving Group",POWER(Upgrades!$U$17,I268),1)*IF(Upgrades!$T$18="Moving Group",POWER(Upgrades!$U$18,J268),1)*IF(Upgrades!$T$19="Moving Group",POWER(Upgrades!$U$19,K268),1)*IF(Upgrades!$T$20="Moving Group",POWER(Upgrades!$U$20,L268),1)))*POWER(Upgrades!$Q$13,E268)*POWER(Upgrades!$Q$14,F268)*POWER(Upgrades!$Q$15,G268)*POWER(Upgrades!$Q$16,H268)*POWER(Upgrades!$Q$17,I268)*POWER(Upgrades!$Q$18,J268)*POWER(Upgrades!$Q$19,K268)*POWER(Upgrades!$Q$20,L268)*POWER(Upgrades!$Q$21,M268)*$G$6+$D$6</f>
        <v/>
      </c>
      <c r="P268" s="28">
        <f>((IF(E268=0,0,(Upgrades!$G$13+E268*Upgrades!$H$13)*POWER(Upgrades!$I$13,E268)))*(IF(Upgrades!$T$14="Stellar Kinematics",POWER(Upgrades!$U$14,F268),1)*IF(Upgrades!$T$15="Stellar Kinematics",POWER(Upgrades!$U$15,G268),1)*IF(Upgrades!$T$16="Stellar Kinematics",POWER(Upgrades!$U$16,H268),1)*IF(Upgrades!$T$17="Stellar Kinematics",POWER(Upgrades!$U$17,I268),1)*IF(Upgrades!$T$18="Stellar Kinematics",POWER(Upgrades!$U$18,J268),1)*IF(Upgrades!$T$19="Stellar Kinematics",POWER(Upgrades!$U$19,K268),1)*IF(Upgrades!$T$20="Stellar Kinematics",POWER(Upgrades!$U$20,L268),1)*IF(Upgrades!$T$21="Stellar Kinematics",POWER(Upgrades!$U$21,M268),1))+(IF(F268=0,0,(Upgrades!$G$14+F268*Upgrades!$H$14)*POWER(Upgrades!$I$14,F268)))*(IF(Upgrades!$T$13="Local Bubble",POWER(Upgrades!$U$13,E268),1)*IF(Upgrades!$T$15="Local Bubble",POWER(Upgrades!$U$15,G268),1)*IF(Upgrades!$T$16="Local Bubble",POWER(Upgrades!$U$16,H268),1)*IF(Upgrades!$T$17="Local Bubble",POWER(Upgrades!$U$17,I268),1)*IF(Upgrades!$T$18="Local Bubble",POWER(Upgrades!$U$18,J268),1)*IF(Upgrades!$T$19="Local Bubble",POWER(Upgrades!$U$19,K268),1)*IF(Upgrades!$T$20="Local Bubble",POWER(Upgrades!$U$20,L268),1)*IF(Upgrades!$T$21="Local Bubble",POWER(Upgrades!$U$21,M268),1))+(IF(G268=0,0,(Upgrades!$G$15+G268*Upgrades!$H$15)*POWER(Upgrades!$I$15,G268)))*(IF(Upgrades!$T$13="Microlensing",POWER(Upgrades!$U$13,E268),1)*IF(Upgrades!$T$14="Microlensing",POWER(Upgrades!$U$14,F268),1)*IF(Upgrades!$T$16="Microlensing",POWER(Upgrades!$U$16,H268),1)*IF(Upgrades!$T$17="Microlensing",POWER(Upgrades!$U$17,I268),1)*IF(Upgrades!$T$18="Microlensing",POWER(Upgrades!$U$18,J268),1)*IF(Upgrades!$T$19="Microlensing",POWER(Upgrades!$U$19,K268),1)*IF(Upgrades!$T$20="Microlensing",POWER(Upgrades!$U$20,L268),1)*IF(Upgrades!$T$21="Microlensing",POWER(Upgrades!$U$21,M268),1))+(IF(H268=0,0,(Upgrades!$G$16+H268*Upgrades!$H$16)*POWER(Upgrades!$I$16,H268)))*(IF(Upgrades!$T$13="Roche Lobe Overflow",POWER(Upgrades!$U$13,E268),1)*IF(Upgrades!$T$14="Roche Lobe Overflow",POWER(Upgrades!$U$14,F268),1)*IF(Upgrades!$T$15="Roche Lobe Overflow",POWER(Upgrades!$U$15,G268),1)*IF(Upgrades!$T$17="Roche Lobe Overflow",POWER(Upgrades!$U$17,I268),1)*IF(Upgrades!$T$18="Roche Lobe Overflow",POWER(Upgrades!$U$18,J268),1)*IF(Upgrades!$T$19="Roche Lobe Overflow",POWER(Upgrades!$U$19,K268),1)*IF(Upgrades!$T$20="Roche Lobe Overflow",POWER(Upgrades!$U$20,L268),1)*IF(Upgrades!$T$21="Roche Lobe Overflow",POWER(Upgrades!$U$21,M268),1))+(IF(I268=0,0,(Upgrades!$G$17+I268*Upgrades!$H$17)*POWER(Upgrades!$I$17,I268)))*(IF(Upgrades!$T$13="Brown Dwarf",POWER(Upgrades!$U$13,E268),1)*IF(Upgrades!$T$14="Brown Dwarf",POWER(Upgrades!$U$14,F268),1)*IF(Upgrades!$T$15="Brown Dwarf",POWER(Upgrades!$U$15,G268),1)*IF(Upgrades!$T$16="Brown Dwarf",POWER(Upgrades!$U$16,H268),1)*IF(Upgrades!$T$18="Brown Dwarf",POWER(Upgrades!$U$18,J268),1)*IF(Upgrades!$T$19="Brown Dwarf",POWER(Upgrades!$U$19,K268),1)*IF(Upgrades!$T$20="Brown Dwarf",POWER(Upgrades!$U$20,L268),1)*IF(Upgrades!$T$21="Brown Dwarf",POWER(Upgrades!$U$21,M268),1))+(IF(J268=0,0,(Upgrades!$G$18+J268*Upgrades!$H$18)*POWER(Upgrades!$I$18,J268)))*(IF(Upgrades!$T$13="Binary Partner",POWER(Upgrades!$U$13,E268),1)*IF(Upgrades!$T$14="Binary Partner",POWER(Upgrades!$U$14,F268),1)*IF(Upgrades!$T$15="Binary Partner",POWER(Upgrades!$U$15,G268),1)*IF(Upgrades!$T$16="Binary Partner",POWER(Upgrades!$U$16,H268),1)*IF(Upgrades!$T$17="Binary Partner",POWER(Upgrades!$U$17,I268),1)*IF(Upgrades!$T$19="Binary Partner",POWER(Upgrades!$U$19,K268),1)*IF(Upgrades!$T$20="Binary Partner",POWER(Upgrades!$U$20,L268),1)*IF(Upgrades!$T$21="Binary Partner",POWER(Upgrades!$U$21,M268),1))+(IF(K268=0,0,(Upgrades!$G$19+K268*Upgrades!$H$19)*POWER(Upgrades!$I$19,K268)))*(IF(Upgrades!$T$13="Peculiar Velocity",POWER(Upgrades!$U$13,E268),1)*IF(Upgrades!$T$14="Peculiar Velocity",POWER(Upgrades!$U$14,F268),1)*IF(Upgrades!$T$15="Peculiar Velocity",POWER(Upgrades!$U$15,G268),1)*IF(Upgrades!$T$16="Peculiar Velocity",POWER(Upgrades!$U$16,H268),1)*IF(Upgrades!$T$17="Peculiar Velocity",POWER(Upgrades!$U$17,I268),1)*IF(Upgrades!$T$18="Peculiar Velocity",POWER(Upgrades!$U$18,J268),1)*IF(Upgrades!$T$20="Peculiar Velocity",POWER(Upgrades!$U$20,L268),1)*IF(Upgrades!$T$21="Peculiar Velocity",POWER(Upgrades!$U$21,M268),1))+(IF(L268=0,0,(Upgrades!$G$20+L268*Upgrades!$H$20)*POWER(Upgrades!$I$20,L268)))*(IF(Upgrades!$T$13="Open Cluster",POWER(Upgrades!$U$13,E268),1)*IF(Upgrades!$T$14="Open Cluster",POWER(Upgrades!$U$14,F268),1)*IF(Upgrades!$T$15="Open Cluster",POWER(Upgrades!$U$15,G268),1)*IF(Upgrades!$T$16="Open Cluster",POWER(Upgrades!$U$16,H268),1)*IF(Upgrades!$T$17="Open Cluster",POWER(Upgrades!$U$17,I268),1)*IF(Upgrades!$T$18="Open Cluster",POWER(Upgrades!$U$18,J268),1)*IF(Upgrades!$T$19="Open Cluster",POWER(Upgrades!$U$19,K268),1)*IF(Upgrades!$T$21="Open Cluster",POWER(Upgrades!$U$21,M268),1))+(IF(M268=0,0,(Upgrades!$G$21+M268*Upgrades!$H$21)*POWER(Upgrades!$I$21,M268)))*(IF(Upgrades!$T$13="Moving Group",POWER(Upgrades!$U$13,E268),1)*IF(Upgrades!$T$14="Moving Group",POWER(Upgrades!$U$14,F268),1)*IF(Upgrades!$T$15="Moving Group",POWER(Upgrades!$U$15,G268),1)*IF(Upgrades!$T$16="Moving Group",POWER(Upgrades!$U$16,H268),1)*IF(Upgrades!$T$17="Moving Group",POWER(Upgrades!$U$17,I268),1)*IF(Upgrades!$T$18="Moving Group",POWER(Upgrades!$U$18,J268),1)*IF(Upgrades!$T$19="Moving Group",POWER(Upgrades!$U$19,K268),1)*IF(Upgrades!$T$20="Moving Group",POWER(Upgrades!$U$20,L268),1)))*POWER(Upgrades!$P$13,E268)*POWER(Upgrades!$P$14,F268)*POWER(Upgrades!$P$15,G268)*POWER(Upgrades!$P$16,H268)*POWER(Upgrades!$P$17,I268)*POWER(Upgrades!$P$18,J268)*POWER(Upgrades!$P$19,K268)*POWER(Upgrades!$P$20,L268)*POWER(Upgrades!$P$21,M268)*$F$6+$C$6</f>
        <v/>
      </c>
      <c r="Q268" s="28">
        <f>((IF(E268=0,0,(Upgrades!$M$13+E268*Upgrades!$N$13)*POWER(Upgrades!$O$13,E268)))*(IF(Upgrades!$T$14="Stellar Kinematics",POWER(Upgrades!$U$14,F268),1)*IF(Upgrades!$T$15="Stellar Kinematics",POWER(Upgrades!$U$15,G268),1)*IF(Upgrades!$T$16="Stellar Kinematics",POWER(Upgrades!$U$16,H268),1)*IF(Upgrades!$T$17="Stellar Kinematics",POWER(Upgrades!$U$17,I268),1)*IF(Upgrades!$T$18="Stellar Kinematics",POWER(Upgrades!$U$18,J268),1)*IF(Upgrades!$T$19="Stellar Kinematics",POWER(Upgrades!$U$19,K268),1)*IF(Upgrades!$T$20="Stellar Kinematics",POWER(Upgrades!$U$20,L268),1)*IF(Upgrades!$T$21="Stellar Kinematics",POWER(Upgrades!$U$21,M268),1))+(IF(F268=0,0,(Upgrades!$M$14+F268*Upgrades!$N$14)*POWER(Upgrades!$O$14,F268)))*(IF(Upgrades!$T$13="Local Bubble",POWER(Upgrades!$U$13,E268),1)*IF(Upgrades!$T$15="Local Bubble",POWER(Upgrades!$U$15,G268),1)*IF(Upgrades!$T$16="Local Bubble",POWER(Upgrades!$U$16,H268),1)*IF(Upgrades!$T$17="Local Bubble",POWER(Upgrades!$U$17,I268),1)*IF(Upgrades!$T$18="Local Bubble",POWER(Upgrades!$U$18,J268),1)*IF(Upgrades!$T$19="Local Bubble",POWER(Upgrades!$U$19,K268),1)*IF(Upgrades!$T$20="Local Bubble",POWER(Upgrades!$U$20,L268),1)*IF(Upgrades!$T$21="Local Bubble",POWER(Upgrades!$U$21,M268),1))+(IF(G268=0,0,(Upgrades!$M$15+G268*Upgrades!$N$15)*POWER(Upgrades!$O$15,G268)))*(IF(Upgrades!$T$13="Microlensing",POWER(Upgrades!$U$13,E268),1)*IF(Upgrades!$T$14="Microlensing",POWER(Upgrades!$U$14,F268),1)*IF(Upgrades!$T$16="Microlensing",POWER(Upgrades!$U$16,H268),1)*IF(Upgrades!$T$17="Microlensing",POWER(Upgrades!$U$17,I268),1)*IF(Upgrades!$T$18="Microlensing",POWER(Upgrades!$U$18,J268),1)*IF(Upgrades!$T$19="Microlensing",POWER(Upgrades!$U$19,K268),1)*IF(Upgrades!$T$20="Microlensing",POWER(Upgrades!$U$20,L268),1)*IF(Upgrades!$T$21="Microlensing",POWER(Upgrades!$U$21,M268),1))+(IF(H268=0,0,(Upgrades!$M$16+H268*Upgrades!$N$16)*POWER(Upgrades!$O$16,H268)))*(IF(Upgrades!$T$13="Roche Lobe Overflow",POWER(Upgrades!$U$13,E268),1)*IF(Upgrades!$T$14="Roche Lobe Overflow",POWER(Upgrades!$U$14,F268),1)*IF(Upgrades!$T$15="Roche Lobe Overflow",POWER(Upgrades!$U$15,G268),1)*IF(Upgrades!$T$17="Roche Lobe Overflow",POWER(Upgrades!$U$17,I268),1)*IF(Upgrades!$T$18="Roche Lobe Overflow",POWER(Upgrades!$U$18,J268),1)*IF(Upgrades!$T$19="Roche Lobe Overflow",POWER(Upgrades!$U$19,K268),1)*IF(Upgrades!$T$20="Roche Lobe Overflow",POWER(Upgrades!$U$20,L268),1)*IF(Upgrades!$T$21="Roche Lobe Overflow",POWER(Upgrades!$U$21,M268),1))+(IF(I268=0,0,(Upgrades!$M$17+I268*Upgrades!$N$17)*POWER(Upgrades!$O$17,I268)))*(IF(Upgrades!$T$13="Brown Dwarf",POWER(Upgrades!$U$13,E268),1)*IF(Upgrades!$T$14="Brown Dwarf",POWER(Upgrades!$U$14,F268),1)*IF(Upgrades!$T$15="Brown Dwarf",POWER(Upgrades!$U$15,G268),1)*IF(Upgrades!$T$16="Brown Dwarf",POWER(Upgrades!$U$16,H268),1)*IF(Upgrades!$T$18="Brown Dwarf",POWER(Upgrades!$U$18,J268),1)*IF(Upgrades!$T$19="Brown Dwarf",POWER(Upgrades!$U$19,K268),1)*IF(Upgrades!$T$20="Brown Dwarf",POWER(Upgrades!$U$20,L268),1)*IF(Upgrades!$T$21="Brown Dwarf",POWER(Upgrades!$U$21,M268),1))+(IF(J268=0,0,(Upgrades!$M$18+J268*Upgrades!$N$18)*POWER(Upgrades!$O$18,J268)))*(IF(Upgrades!$T$13="Binary Partner",POWER(Upgrades!$U$13,E268),1)*IF(Upgrades!$T$14="Binary Partner",POWER(Upgrades!$U$14,F268),1)*IF(Upgrades!$T$15="Binary Partner",POWER(Upgrades!$U$15,G268),1)*IF(Upgrades!$T$16="Binary Partner",POWER(Upgrades!$U$16,H268),1)*IF(Upgrades!$T$17="Binary Partner",POWER(Upgrades!$U$17,I268),1)*IF(Upgrades!$T$19="Binary Partner",POWER(Upgrades!$U$19,K268),1)*IF(Upgrades!$T$20="Binary Partner",POWER(Upgrades!$U$20,L268),1)*IF(Upgrades!$T$21="Binary Partner",POWER(Upgrades!$U$21,M268),1))+(IF(K268=0,0,(Upgrades!$M$19+K268*Upgrades!$N$19)*POWER(Upgrades!$O$19,K268)))*(IF(Upgrades!$T$13="Peculiar Velocity",POWER(Upgrades!$U$13,E268),1)*IF(Upgrades!$T$14="Peculiar Velocity",POWER(Upgrades!$U$14,F268),1)*IF(Upgrades!$T$15="Peculiar Velocity",POWER(Upgrades!$U$15,G268),1)*IF(Upgrades!$T$16="Peculiar Velocity",POWER(Upgrades!$U$16,H268),1)*IF(Upgrades!$T$17="Peculiar Velocity",POWER(Upgrades!$U$17,I268),1)*IF(Upgrades!$T$18="Peculiar Velocity",POWER(Upgrades!$U$18,J268),1)*IF(Upgrades!$T$20="Peculiar Velocity",POWER(Upgrades!$U$20,L268),1)*IF(Upgrades!$T$21="Peculiar Velocity",POWER(Upgrades!$U$21,M268),1))+(IF(L268=0,0,(Upgrades!$M$20+L268*Upgrades!$N$20)*POWER(Upgrades!$O$20,L268)))*(IF(Upgrades!$T$13="Open Cluster",POWER(Upgrades!$U$13,E268),1)*IF(Upgrades!$T$14="Open Cluster",POWER(Upgrades!$U$14,F268),1)*IF(Upgrades!$T$15="Open Cluster",POWER(Upgrades!$U$15,G268),1)*IF(Upgrades!$T$16="Open Cluster",POWER(Upgrades!$U$16,H268),1)*IF(Upgrades!$T$17="Open Cluster",POWER(Upgrades!$U$17,I268),1)*IF(Upgrades!$T$18="Open Cluster",POWER(Upgrades!$U$18,J268),1)*IF(Upgrades!$T$19="Open Cluster",POWER(Upgrades!$U$19,K268),1)*IF(Upgrades!$T$21="Open Cluster",POWER(Upgrades!$U$21,M268),1))+(IF(M268=0,0,(Upgrades!$M$21+M268*Upgrades!$N$21)*POWER(Upgrades!$O$21,M268)))*(IF(Upgrades!$T$13="Moving Group",POWER(Upgrades!$U$13,E268),1)*IF(Upgrades!$T$14="Moving Group",POWER(Upgrades!$U$14,F268),1)*IF(Upgrades!$T$15="Moving Group",POWER(Upgrades!$U$15,G268),1)*IF(Upgrades!$T$16="Moving Group",POWER(Upgrades!$U$16,H268),1)*IF(Upgrades!$T$17="Moving Group",POWER(Upgrades!$U$17,I268),1)*IF(Upgrades!$T$18="Moving Group",POWER(Upgrades!$U$18,J268),1)*IF(Upgrades!$T$19="Moving Group",POWER(Upgrades!$U$19,K268),1)*IF(Upgrades!$T$20="Moving Group",POWER(Upgrades!$U$20,L268),1)))*POWER(Upgrades!$R$13,E268)*POWER(Upgrades!$R$14,F268)*POWER(Upgrades!$R$15,G268)*POWER(Upgrades!$R$16,H268)*POWER(Upgrades!$R$17,I268)*POWER(Upgrades!$R$18,J268)*POWER(Upgrades!$R$19,K268)*POWER(Upgrades!$R$20,L268)*POWER(Upgrades!$R$21,M268)*$H$6+$E$6</f>
        <v/>
      </c>
      <c r="R268" s="27">
        <f>IF(N268=1,0,O268*Parameters!$B$10/60*Parameters!$B$11*10)</f>
        <v/>
      </c>
      <c r="S268" s="27">
        <f>IF(N268=1,0,Q268*O268*10)</f>
        <v/>
      </c>
      <c r="T268" s="27">
        <f>IF(N268=1,0,R268+S268+P268*10)</f>
        <v/>
      </c>
      <c r="U268" s="33">
        <f>BE268</f>
        <v/>
      </c>
      <c r="V268" s="22">
        <f>IF(U268="",0,IF(U268="transition",0,IF(U268="SK",AK268,IF(U268="LB",AL268,IF(U268="ML",AM268,IF(U268="RLO",AN268,IF(U268="BD",AO268,IF(U268="BiP",AP268,IF(U268="PV",AQ268,IF(U268="OC",AR268,IF(U268="MG",AS268,0))))))))))</f>
        <v/>
      </c>
      <c r="W268" s="27">
        <f>IF(U268="BiP",Upgrades!$F$18,IF(U268="PV",Upgrades!$F$19,IF(U268="OC",Upgrades!$F$20,IF(U268="MG",Upgrades!$F$21,IF(U268="transition",-Parameters!$B$18*Parameters!$B$19,0)))))</f>
        <v/>
      </c>
      <c r="X268" s="22">
        <f>C268+T268-V268</f>
        <v/>
      </c>
      <c r="Y268" s="30">
        <f>O268*Parameters!$B$10/60*Parameters!$B$11+Q268*O268+P268</f>
        <v/>
      </c>
      <c r="Z268" s="34">
        <f>IF(U268="transition","→ Tier 3 (Galactic Arm)",IF(U268="MG","Moving Group — pocket drifts together",IF(U268="OC","Open Cluster acquired",IF(U268="PV","Peculiar Velocity — passive multiplier active",IF(U268="BiP","Binary Partner — pair bond formed",IF(AND(AU268=1,N268=0,AT268&lt;&gt;1),"Cohesion ready (waiting on completionists)","")))))) </f>
        <v/>
      </c>
      <c r="AA268" s="27">
        <f>(IF(E268=0,0,(Upgrades!$G$13+E268*Upgrades!$H$13)*POWER(Upgrades!$I$13,E268)))*(IF(Upgrades!$T$14="Stellar Kinematics",POWER(Upgrades!$U$14,F268),1)*IF(Upgrades!$T$15="Stellar Kinematics",POWER(Upgrades!$U$15,G268),1)*IF(Upgrades!$T$16="Stellar Kinematics",POWER(Upgrades!$U$16,H268),1)*IF(Upgrades!$T$17="Stellar Kinematics",POWER(Upgrades!$U$17,I268),1)*IF(Upgrades!$T$18="Stellar Kinematics",POWER(Upgrades!$U$18,J268),1)*IF(Upgrades!$T$19="Stellar Kinematics",POWER(Upgrades!$U$19,K268),1)*IF(Upgrades!$T$20="Stellar Kinematics",POWER(Upgrades!$U$20,L268),1)*IF(Upgrades!$T$21="Stellar Kinematics",POWER(Upgrades!$U$21,M268),1))*POWER(Upgrades!$P$13,E268)*POWER(Upgrades!$P$14,F268)*POWER(Upgrades!$P$15,G268)*POWER(Upgrades!$P$16,H268)*POWER(Upgrades!$P$17,I268)*POWER(Upgrades!$P$18,J268)*POWER(Upgrades!$P$19,K268)*POWER(Upgrades!$P$20,L268)*POWER(Upgrades!$P$21,M268)*$F$6*60</f>
        <v/>
      </c>
      <c r="AB268" s="27">
        <f>(IF(F268=0,0,(Upgrades!$G$14+F268*Upgrades!$H$14)*POWER(Upgrades!$I$14,F268)))*(IF(Upgrades!$T$13="Local Bubble",POWER(Upgrades!$U$13,E268),1)*IF(Upgrades!$T$15="Local Bubble",POWER(Upgrades!$U$15,G268),1)*IF(Upgrades!$T$16="Local Bubble",POWER(Upgrades!$U$16,H268),1)*IF(Upgrades!$T$17="Local Bubble",POWER(Upgrades!$U$17,I268),1)*IF(Upgrades!$T$18="Local Bubble",POWER(Upgrades!$U$18,J268),1)*IF(Upgrades!$T$19="Local Bubble",POWER(Upgrades!$U$19,K268),1)*IF(Upgrades!$T$20="Local Bubble",POWER(Upgrades!$U$20,L268),1)*IF(Upgrades!$T$21="Local Bubble",POWER(Upgrades!$U$21,M268),1))*POWER(Upgrades!$P$13,E268)*POWER(Upgrades!$P$14,F268)*POWER(Upgrades!$P$15,G268)*POWER(Upgrades!$P$16,H268)*POWER(Upgrades!$P$17,I268)*POWER(Upgrades!$P$18,J268)*POWER(Upgrades!$P$19,K268)*POWER(Upgrades!$P$20,L268)*POWER(Upgrades!$P$21,M268)*$F$6*60</f>
        <v/>
      </c>
      <c r="AC268" s="27">
        <f>(IF(G268=0,0,(Upgrades!$J$15+G268*Upgrades!$K$15)*POWER(Upgrades!$L$15,G268)))*(IF(Upgrades!$T$13="Microlensing",POWER(Upgrades!$U$13,E268),1)*IF(Upgrades!$T$14="Microlensing",POWER(Upgrades!$U$14,F268),1)*IF(Upgrades!$T$16="Microlensing",POWER(Upgrades!$U$16,H268),1)*IF(Upgrades!$T$17="Microlensing",POWER(Upgrades!$U$17,I268),1)*IF(Upgrades!$T$18="Microlensing",POWER(Upgrades!$U$18,J268),1)*IF(Upgrades!$T$19="Microlensing",POWER(Upgrades!$U$19,K268),1)*IF(Upgrades!$T$20="Microlensing",POWER(Upgrades!$U$20,L268),1)*IF(Upgrades!$T$21="Microlensing",POWER(Upgrades!$U$21,M268),1))*POWER(Upgrades!$Q$13,E268)*POWER(Upgrades!$Q$14,F268)*POWER(Upgrades!$Q$15,G268)*POWER(Upgrades!$Q$16,H268)*POWER(Upgrades!$Q$17,I268)*POWER(Upgrades!$Q$18,J268)*POWER(Upgrades!$Q$19,K268)*POWER(Upgrades!$Q$20,L268)*POWER(Upgrades!$Q$21,M268)*$G$6*(Parameters!$B$10*Parameters!$B$11+Q268*60)</f>
        <v/>
      </c>
      <c r="AD268" s="27">
        <f>(IF(H268=0,0,(Upgrades!$M$16+H268*Upgrades!$N$16)*POWER(Upgrades!$O$16,H268)))*(IF(Upgrades!$T$13="Roche Lobe Overflow",POWER(Upgrades!$U$13,E268),1)*IF(Upgrades!$T$14="Roche Lobe Overflow",POWER(Upgrades!$U$14,F268),1)*IF(Upgrades!$T$15="Roche Lobe Overflow",POWER(Upgrades!$U$15,G268),1)*IF(Upgrades!$T$17="Roche Lobe Overflow",POWER(Upgrades!$U$17,I268),1)*IF(Upgrades!$T$18="Roche Lobe Overflow",POWER(Upgrades!$U$18,J268),1)*IF(Upgrades!$T$19="Roche Lobe Overflow",POWER(Upgrades!$U$19,K268),1)*IF(Upgrades!$T$20="Roche Lobe Overflow",POWER(Upgrades!$U$20,L268),1)*IF(Upgrades!$T$21="Roche Lobe Overflow",POWER(Upgrades!$U$21,M268),1))*POWER(Upgrades!$R$13,E268)*POWER(Upgrades!$R$14,F268)*POWER(Upgrades!$R$15,G268)*POWER(Upgrades!$R$16,H268)*POWER(Upgrades!$R$17,I268)*POWER(Upgrades!$R$18,J268)*POWER(Upgrades!$R$19,K268)*POWER(Upgrades!$R$20,L268)*POWER(Upgrades!$R$21,M268)*$H$6*O268*60</f>
        <v/>
      </c>
      <c r="AE268" s="27">
        <f>(IF(I268=0,0,(Upgrades!$G$17+I268*Upgrades!$H$17)*POWER(Upgrades!$I$17,I268)))*(IF(Upgrades!$T$13="Brown Dwarf",POWER(Upgrades!$U$13,E268),1)*IF(Upgrades!$T$14="Brown Dwarf",POWER(Upgrades!$U$14,F268),1)*IF(Upgrades!$T$15="Brown Dwarf",POWER(Upgrades!$U$15,G268),1)*IF(Upgrades!$T$16="Brown Dwarf",POWER(Upgrades!$U$16,H268),1)*IF(Upgrades!$T$18="Brown Dwarf",POWER(Upgrades!$U$18,J268),1)*IF(Upgrades!$T$19="Brown Dwarf",POWER(Upgrades!$U$19,K268),1)*IF(Upgrades!$T$20="Brown Dwarf",POWER(Upgrades!$U$20,L268),1)*IF(Upgrades!$T$21="Brown Dwarf",POWER(Upgrades!$U$21,M268),1))*POWER(Upgrades!$P$13,E268)*POWER(Upgrades!$P$14,F268)*POWER(Upgrades!$P$15,G268)*POWER(Upgrades!$P$16,H268)*POWER(Upgrades!$P$17,I268)*POWER(Upgrades!$P$18,J268)*POWER(Upgrades!$P$19,K268)*POWER(Upgrades!$P$20,L268)*POWER(Upgrades!$P$21,M268)*$F$6*60</f>
        <v/>
      </c>
      <c r="AF268" s="27" t="n">
        <v>0</v>
      </c>
      <c r="AG268" s="27" t="n">
        <v>0</v>
      </c>
      <c r="AH268" s="27" t="n">
        <v>0</v>
      </c>
      <c r="AI268" s="27">
        <f>(IF(M268=0,0,(Upgrades!$G$21+M268*Upgrades!$H$21)*POWER(Upgrades!$I$21,M268)))*(IF(Upgrades!$T$13="Moving Group",POWER(Upgrades!$U$13,E268),1)*IF(Upgrades!$T$14="Moving Group",POWER(Upgrades!$U$14,F268),1)*IF(Upgrades!$T$15="Moving Group",POWER(Upgrades!$U$15,G268),1)*IF(Upgrades!$T$16="Moving Group",POWER(Upgrades!$U$16,H268),1)*IF(Upgrades!$T$17="Moving Group",POWER(Upgrades!$U$17,I268),1)*IF(Upgrades!$T$18="Moving Group",POWER(Upgrades!$U$18,J268),1)*IF(Upgrades!$T$19="Moving Group",POWER(Upgrades!$U$19,K268),1)*IF(Upgrades!$T$20="Moving Group",POWER(Upgrades!$U$20,L268),1))*POWER(Upgrades!$P$13,E268)*POWER(Upgrades!$P$14,F268)*POWER(Upgrades!$P$15,G268)*POWER(Upgrades!$P$16,H268)*POWER(Upgrades!$P$17,I268)*POWER(Upgrades!$P$18,J268)*POWER(Upgrades!$P$19,K268)*POWER(Upgrades!$P$20,L268)*POWER(Upgrades!$P$21,M268)*$F$6*60</f>
        <v/>
      </c>
      <c r="AJ268" s="27">
        <f>$C$6*60</f>
        <v/>
      </c>
      <c r="AK268" s="22">
        <f>IF(E268&gt;=Upgrades!$E$13,"",Upgrades!$C$13*POWER(Upgrades!$D$13,E268))</f>
        <v/>
      </c>
      <c r="AL268" s="22">
        <f>IF(F268&gt;=Upgrades!$E$14,"",Upgrades!$C$14*POWER(Upgrades!$D$14,F268))</f>
        <v/>
      </c>
      <c r="AM268" s="22">
        <f>IF(G268&gt;=Upgrades!$E$15,"",Upgrades!$C$15*POWER(Upgrades!$D$15,G268))</f>
        <v/>
      </c>
      <c r="AN268" s="22">
        <f>IF(H268&gt;=Upgrades!$E$16,"",Upgrades!$C$16*POWER(Upgrades!$D$16,H268))</f>
        <v/>
      </c>
      <c r="AO268" s="22">
        <f>IF(I268&gt;=Upgrades!$E$17,"",Upgrades!$C$17*POWER(Upgrades!$D$17,I268))</f>
        <v/>
      </c>
      <c r="AP268" s="22">
        <f>IF(J268&gt;=Upgrades!$E$18,"",Upgrades!$C$18*POWER(Upgrades!$D$18,J268))</f>
        <v/>
      </c>
      <c r="AQ268" s="22">
        <f>IF(K268&gt;=Upgrades!$E$19,"",Upgrades!$C$19*POWER(Upgrades!$D$19,K268))</f>
        <v/>
      </c>
      <c r="AR268" s="22">
        <f>IF(L268&gt;=Upgrades!$E$20,"",Upgrades!$C$20*POWER(Upgrades!$D$20,L268))</f>
        <v/>
      </c>
      <c r="AS268" s="22">
        <f>IF(M268&gt;=Upgrades!$E$21,"",Upgrades!$C$21*POWER(Upgrades!$D$21,M268))</f>
        <v/>
      </c>
      <c r="AT268" s="26">
        <f>IF(AND(D268&gt;=Parameters!$B$18*Parameters!$B$19,(I268&gt;=Upgrades!$E$17)*(M268&gt;=Upgrades!$E$21)=1,N268=0),1,"")</f>
        <v/>
      </c>
      <c r="AU268" s="26">
        <f>IF(AND(D268&gt;=Parameters!$B$18*Parameters!$B$19,N268=0),1,"")</f>
        <v/>
      </c>
      <c r="AV268" s="22">
        <f>MIN(IF(ISNUMBER(AP268),AP268,9E15),IF(ISNUMBER(AQ268),AQ268,9E15),IF(ISNUMBER(AR268),AR268,9E15),IF(ISNUMBER(AS268),AS268,9E15))</f>
        <v/>
      </c>
      <c r="AW268" s="22">
        <f>MIN(IF(ISNUMBER(AK268),AK268,9E15),IF(ISNUMBER(AL268),AL268,9E15),IF(ISNUMBER(AM268),AM268,9E15),IF(ISNUMBER(AN268),AN268,9E15),IF(ISNUMBER(AO268),AO268,9E15))</f>
        <v/>
      </c>
      <c r="AX268" s="29">
        <f>IF(BD268&gt;Parameters!$B$21*(MAX(IF(AND(NOT(AND(AU268=1,AT268&lt;&gt;1)),ISNUMBER(AK268),AK268&lt;=(C268+T268)),AY268,0),IF(AND(NOT(AND(AU268=1,AT268&lt;&gt;1)),ISNUMBER(AL268),AL268&lt;=(C268+T268)),AZ268,0),IF(AND(NOT(AND(AU268=1,AT268&lt;&gt;1)),ISNUMBER(AM268),AM268&lt;=(C268+T268)),BA268,0),IF(AND(NOT(AND(AU268=1,AT268&lt;&gt;1)),ISNUMBER(AN268),AN268&lt;=(C268+T268)),BB268,0),IF(AND(ISNUMBER(AO268),AO268&lt;=(C268+T268)),BC268,0))),TRUE,FALSE)</f>
        <v/>
      </c>
      <c r="AY268" s="32">
        <f>IFERROR(Upgrades!$H$13*(POWER(Upgrades!$P$13,E268)*POWER(Upgrades!$P$14,F268)*POWER(Upgrades!$P$15,G268)*POWER(Upgrades!$P$16,H268)*POWER(Upgrades!$P$17,I268)*POWER(Upgrades!$P$18,J268)*POWER(Upgrades!$P$19,K268)*POWER(Upgrades!$P$20,L268)*POWER(Upgrades!$P$21,M268))*(IF(Upgrades!$T$14="Stellar Kinematics",POWER(Upgrades!$U$14,F268),1)*IF(Upgrades!$T$15="Stellar Kinematics",POWER(Upgrades!$U$15,G268),1)*IF(Upgrades!$T$16="Stellar Kinematics",POWER(Upgrades!$U$16,H268),1)*IF(Upgrades!$T$17="Stellar Kinematics",POWER(Upgrades!$U$17,I268),1)*IF(Upgrades!$T$18="Stellar Kinematics",POWER(Upgrades!$U$18,J268),1)*IF(Upgrades!$T$19="Stellar Kinematics",POWER(Upgrades!$U$19,K268),1)*IF(Upgrades!$T$20="Stellar Kinematics",POWER(Upgrades!$U$20,L268),1)*IF(Upgrades!$T$21="Stellar Kinematics",POWER(Upgrades!$U$21,M268),1))*$F$6/AK268,0)</f>
        <v/>
      </c>
      <c r="AZ268" s="32">
        <f>IFERROR(Upgrades!$H$14*(POWER(Upgrades!$P$13,E268)*POWER(Upgrades!$P$14,F268)*POWER(Upgrades!$P$15,G268)*POWER(Upgrades!$P$16,H268)*POWER(Upgrades!$P$17,I268)*POWER(Upgrades!$P$18,J268)*POWER(Upgrades!$P$19,K268)*POWER(Upgrades!$P$20,L268)*POWER(Upgrades!$P$21,M268))*(IF(Upgrades!$T$13="Local Bubble",POWER(Upgrades!$U$13,E268),1)*IF(Upgrades!$T$15="Local Bubble",POWER(Upgrades!$U$15,G268),1)*IF(Upgrades!$T$16="Local Bubble",POWER(Upgrades!$U$16,H268),1)*IF(Upgrades!$T$17="Local Bubble",POWER(Upgrades!$U$17,I268),1)*IF(Upgrades!$T$18="Local Bubble",POWER(Upgrades!$U$18,J268),1)*IF(Upgrades!$T$19="Local Bubble",POWER(Upgrades!$U$19,K268),1)*IF(Upgrades!$T$20="Local Bubble",POWER(Upgrades!$U$20,L268),1)*IF(Upgrades!$T$21="Local Bubble",POWER(Upgrades!$U$21,M268),1))*$F$6/AL268,0)</f>
        <v/>
      </c>
      <c r="BA268" s="32">
        <f>IFERROR(Upgrades!$K$15*(POWER(Upgrades!$Q$13,E268)*POWER(Upgrades!$Q$14,F268)*POWER(Upgrades!$Q$15,G268)*POWER(Upgrades!$Q$16,H268)*POWER(Upgrades!$Q$17,I268)*POWER(Upgrades!$Q$18,J268)*POWER(Upgrades!$Q$19,K268)*POWER(Upgrades!$Q$20,L268)*POWER(Upgrades!$Q$21,M268))*(IF(Upgrades!$T$13="Microlensing",POWER(Upgrades!$U$13,E268),1)*IF(Upgrades!$T$14="Microlensing",POWER(Upgrades!$U$14,F268),1)*IF(Upgrades!$T$16="Microlensing",POWER(Upgrades!$U$16,H268),1)*IF(Upgrades!$T$17="Microlensing",POWER(Upgrades!$U$17,I268),1)*IF(Upgrades!$T$18="Microlensing",POWER(Upgrades!$U$18,J268),1)*IF(Upgrades!$T$19="Microlensing",POWER(Upgrades!$U$19,K268),1)*IF(Upgrades!$T$20="Microlensing",POWER(Upgrades!$U$20,L268),1)*IF(Upgrades!$T$21="Microlensing",POWER(Upgrades!$U$21,M268),1))*$G$6*(Parameters!$B$10/60*Parameters!$B$11+Q268)/AM268,0)</f>
        <v/>
      </c>
      <c r="BB268" s="32">
        <f>IFERROR((Upgrades!$N$16*(POWER(Upgrades!$R$13,E268)*POWER(Upgrades!$R$14,F268)*POWER(Upgrades!$R$15,G268)*POWER(Upgrades!$R$16,H268)*POWER(Upgrades!$R$17,I268)*POWER(Upgrades!$R$18,J268)*POWER(Upgrades!$R$19,K268)*POWER(Upgrades!$R$20,L268)*POWER(Upgrades!$R$21,M268))*(IF(Upgrades!$T$13="Roche Lobe Overflow",POWER(Upgrades!$U$13,E268),1)*IF(Upgrades!$T$14="Roche Lobe Overflow",POWER(Upgrades!$U$14,F268),1)*IF(Upgrades!$T$15="Roche Lobe Overflow",POWER(Upgrades!$U$15,G268),1)*IF(Upgrades!$T$17="Roche Lobe Overflow",POWER(Upgrades!$U$17,I268),1)*IF(Upgrades!$T$18="Roche Lobe Overflow",POWER(Upgrades!$U$18,J268),1)*IF(Upgrades!$T$19="Roche Lobe Overflow",POWER(Upgrades!$U$19,K268),1)*IF(Upgrades!$T$20="Roche Lobe Overflow",POWER(Upgrades!$U$20,L268),1)*IF(Upgrades!$T$21="Roche Lobe Overflow",POWER(Upgrades!$U$21,M268),1))*$H$6*O268+((IF(F268=0,0,(Upgrades!$G$14+F268*Upgrades!$H$14)*POWER(Upgrades!$I$14,F268)))*(IF(Upgrades!$T$13="Local Bubble",POWER(Upgrades!$U$13,E268),1)*IF(Upgrades!$T$15="Local Bubble",POWER(Upgrades!$U$15,G268),1)*IF(Upgrades!$T$16="Local Bubble",POWER(Upgrades!$U$16,H268),1)*IF(Upgrades!$T$17="Local Bubble",POWER(Upgrades!$U$17,I268),1)*IF(Upgrades!$T$18="Local Bubble",POWER(Upgrades!$U$18,J268),1)*IF(Upgrades!$T$19="Local Bubble",POWER(Upgrades!$U$19,K268),1)*IF(Upgrades!$T$20="Local Bubble",POWER(Upgrades!$U$20,L268),1)*IF(Upgrades!$T$21="Local Bubble",POWER(Upgrades!$U$21,M268),1))*POWER(Upgrades!$P$13,E268)*POWER(Upgrades!$P$14,F268)*POWER(Upgrades!$P$15,G268)*POWER(Upgrades!$P$16,H268)*POWER(Upgrades!$P$17,I268)*POWER(Upgrades!$P$18,J268)*POWER(Upgrades!$P$19,K268)*POWER(Upgrades!$P$20,L268)*POWER(Upgrades!$P$21,M268)*$F$6)*0.05)/AN268,0)</f>
        <v/>
      </c>
      <c r="BC268" s="32">
        <f>IFERROR((Upgrades!$H$17*(POWER(Upgrades!$P$13,E268)*POWER(Upgrades!$P$14,F268)*POWER(Upgrades!$P$15,G268)*POWER(Upgrades!$P$16,H268)*POWER(Upgrades!$P$17,I268)*POWER(Upgrades!$P$18,J268)*POWER(Upgrades!$P$19,K268)*POWER(Upgrades!$P$20,L268)*POWER(Upgrades!$P$21,M268))*(IF(Upgrades!$T$13="Brown Dwarf",POWER(Upgrades!$U$13,E268),1)*IF(Upgrades!$T$14="Brown Dwarf",POWER(Upgrades!$U$14,F268),1)*IF(Upgrades!$T$15="Brown Dwarf",POWER(Upgrades!$U$15,G268),1)*IF(Upgrades!$T$16="Brown Dwarf",POWER(Upgrades!$U$16,H268),1)*IF(Upgrades!$T$18="Brown Dwarf",POWER(Upgrades!$U$18,J268),1)*IF(Upgrades!$T$19="Brown Dwarf",POWER(Upgrades!$U$19,K268),1)*IF(Upgrades!$T$20="Brown Dwarf",POWER(Upgrades!$U$20,L268),1)*IF(Upgrades!$T$21="Brown Dwarf",POWER(Upgrades!$U$21,M268),1))*$F$6+(((IF(H268=0,0,(Upgrades!$M$16+H268*Upgrades!$N$16)*POWER(Upgrades!$O$16,H268)))*(IF(Upgrades!$T$13="Roche Lobe Overflow",POWER(Upgrades!$U$13,E268),1)*IF(Upgrades!$T$14="Roche Lobe Overflow",POWER(Upgrades!$U$14,F268),1)*IF(Upgrades!$T$15="Roche Lobe Overflow",POWER(Upgrades!$U$15,G268),1)*IF(Upgrades!$T$17="Roche Lobe Overflow",POWER(Upgrades!$U$17,I268),1)*IF(Upgrades!$T$18="Roche Lobe Overflow",POWER(Upgrades!$U$18,J268),1)*IF(Upgrades!$T$19="Roche Lobe Overflow",POWER(Upgrades!$U$19,K268),1)*IF(Upgrades!$T$20="Roche Lobe Overflow",POWER(Upgrades!$U$20,L268),1)*IF(Upgrades!$T$21="Roche Lobe Overflow",POWER(Upgrades!$U$21,M268),1))*POWER(Upgrades!$R$13,E268)*POWER(Upgrades!$R$14,F268)*POWER(Upgrades!$R$15,G268)*POWER(Upgrades!$R$16,H268)*POWER(Upgrades!$R$17,I268)*POWER(Upgrades!$R$18,J268)*POWER(Upgrades!$R$19,K268)*POWER(Upgrades!$R$20,L268)*POWER(Upgrades!$R$21,M268)*$H$6)*O268)*0.10)/AO268,0)</f>
        <v/>
      </c>
      <c r="BD268" s="32">
        <f>MAX(IF(J268&gt;0,0,IFERROR(0.5*((IF(G268=0,0,(Upgrades!$J$15+G268*Upgrades!$K$15)*POWER(Upgrades!$L$15,G268)))*(IF(Upgrades!$T$13="Microlensing",POWER(Upgrades!$U$13,E268),1)*IF(Upgrades!$T$14="Microlensing",POWER(Upgrades!$U$14,F268),1)*IF(Upgrades!$T$16="Microlensing",POWER(Upgrades!$U$16,H268),1)*IF(Upgrades!$T$17="Microlensing",POWER(Upgrades!$U$17,I268),1)*IF(Upgrades!$T$18="Microlensing",POWER(Upgrades!$U$18,J268),1)*IF(Upgrades!$T$19="Microlensing",POWER(Upgrades!$U$19,K268),1)*IF(Upgrades!$T$20="Microlensing",POWER(Upgrades!$U$20,L268),1)*IF(Upgrades!$T$21="Microlensing",POWER(Upgrades!$U$21,M268),1))*(POWER(Upgrades!$Q$13,E268)*POWER(Upgrades!$Q$14,F268)*POWER(Upgrades!$Q$15,G268)*POWER(Upgrades!$Q$16,H268)*POWER(Upgrades!$Q$17,I268)*POWER(Upgrades!$Q$18,J268)*POWER(Upgrades!$Q$19,K268)*POWER(Upgrades!$Q$20,L268)*POWER(Upgrades!$Q$21,M268))*$G$6*(Parameters!$B$10/60*Parameters!$B$11+Q268))/Upgrades!$C$18,0)),IF(K268&gt;0,0,IFERROR(0.30*P268/Upgrades!$C$19,0)),IF(L268&gt;0,0,IFERROR(0.0001/Upgrades!$C$20,0)),IF(M268&gt;0,0,IFERROR((6.0*(POWER(Upgrades!$P$13,E268)*POWER(Upgrades!$P$14,F268)*POWER(Upgrades!$P$15,G268)*POWER(Upgrades!$P$16,H268)*POWER(Upgrades!$P$17,I268)*POWER(Upgrades!$P$18,J268)*POWER(Upgrades!$P$19,K268)*POWER(Upgrades!$P$20,L268)*POWER(Upgrades!$P$21,M268))*$F$6+0.20*O268*(Parameters!$B$10/60*Parameters!$B$11+Q268))/Upgrades!$C$21,0)),IF(AND(ISNUMBER(AK268),AK268&gt;(C268+T268)),AY268,0),IF(AND(ISNUMBER(AL268),AL268&gt;(C268+T268)),AZ268,0),IF(AND(ISNUMBER(AM268),AM268&gt;(C268+T268)),BA268,0),IF(AND(ISNUMBER(AN268),AN268&gt;(C268+T268)),BB268,0),IF(AND(ISNUMBER(AO268),AO268&gt;(C268+T268)),BC268,0))</f>
        <v/>
      </c>
      <c r="BE268" s="29">
        <f>IF(AT268=1,"transition",IF(MIN(IF(AND(J268=0,ISNUMBER(AP268),AP268&lt;=(C268+T268)),AP268,9E15),IF(AND(K268=0,ISNUMBER(AQ268),AQ268&lt;=(C268+T268)),AQ268,9E15),IF(AND(L268=0,ISNUMBER(AR268),AR268&lt;=(C268+T268)),AR268,9E15),IF(AND(M268=0,ISNUMBER(AS268),AS268&lt;=(C268+T268)),AS268,9E15))&lt;9E15,IF(AND(AND(J268=0,ISNUMBER(AP268),AP268&lt;=(C268+T268)),AP268=MIN(IF(AND(J268=0,ISNUMBER(AP268),AP268&lt;=(C268+T268)),AP268,9E15),IF(AND(K268=0,ISNUMBER(AQ268),AQ268&lt;=(C268+T268)),AQ268,9E15),IF(AND(L268=0,ISNUMBER(AR268),AR268&lt;=(C268+T268)),AR268,9E15),IF(AND(M268=0,ISNUMBER(AS268),AS268&lt;=(C268+T268)),AS268,9E15))),"BiP",IF(AND(AND(K268=0,ISNUMBER(AQ268),AQ268&lt;=(C268+T268)),AQ268=MIN(IF(AND(J268=0,ISNUMBER(AP268),AP268&lt;=(C268+T268)),AP268,9E15),IF(AND(K268=0,ISNUMBER(AQ268),AQ268&lt;=(C268+T268)),AQ268,9E15),IF(AND(L268=0,ISNUMBER(AR268),AR268&lt;=(C268+T268)),AR268,9E15),IF(AND(M268=0,ISNUMBER(AS268),AS268&lt;=(C268+T268)),AS268,9E15))),"PV",IF(AND(AND(L268=0,ISNUMBER(AR268),AR268&lt;=(C268+T268)),AR268=MIN(IF(AND(J268=0,ISNUMBER(AP268),AP268&lt;=(C268+T268)),AP268,9E15),IF(AND(K268=0,ISNUMBER(AQ268),AQ268&lt;=(C268+T268)),AQ268,9E15),IF(AND(L268=0,ISNUMBER(AR268),AR268&lt;=(C268+T268)),AR268,9E15),IF(AND(M268=0,ISNUMBER(AS268),AS268&lt;=(C268+T268)),AS268,9E15))),"OC","MG"))),IF(AX268=TRUE,"",IF(MAX(IF(AND(NOT(AND(AU268=1,AT268&lt;&gt;1)),ISNUMBER(AK268),AK268&lt;=(C268+T268)),AY268,0),IF(AND(NOT(AND(AU268=1,AT268&lt;&gt;1)),ISNUMBER(AL268),AL268&lt;=(C268+T268)),AZ268,0),IF(AND(NOT(AND(AU268=1,AT268&lt;&gt;1)),ISNUMBER(AM268),AM268&lt;=(C268+T268)),BA268,0),IF(AND(NOT(AND(AU268=1,AT268&lt;&gt;1)),ISNUMBER(AN268),AN268&lt;=(C268+T268)),BB268,0),IF(AND(ISNUMBER(AO268),AO268&lt;=(C268+T268)),BC268,0))&lt;=0,"",IF(AND(IF(AND(NOT(AND(AU268=1,AT268&lt;&gt;1)),ISNUMBER(AK268),AK268&lt;=(C268+T268)),AY268,0)&gt;0,IF(AND(NOT(AND(AU268=1,AT268&lt;&gt;1)),ISNUMBER(AK268),AK268&lt;=(C268+T268)),AY268,0)=MAX(IF(AND(NOT(AND(AU268=1,AT268&lt;&gt;1)),ISNUMBER(AK268),AK268&lt;=(C268+T268)),AY268,0),IF(AND(NOT(AND(AU268=1,AT268&lt;&gt;1)),ISNUMBER(AL268),AL268&lt;=(C268+T268)),AZ268,0),IF(AND(NOT(AND(AU268=1,AT268&lt;&gt;1)),ISNUMBER(AM268),AM268&lt;=(C268+T268)),BA268,0),IF(AND(NOT(AND(AU268=1,AT268&lt;&gt;1)),ISNUMBER(AN268),AN268&lt;=(C268+T268)),BB268,0),IF(AND(ISNUMBER(AO268),AO268&lt;=(C268+T268)),BC268,0))),"SK",IF(AND(IF(AND(NOT(AND(AU268=1,AT268&lt;&gt;1)),ISNUMBER(AL268),AL268&lt;=(C268+T268)),AZ268,0)&gt;0,IF(AND(NOT(AND(AU268=1,AT268&lt;&gt;1)),ISNUMBER(AL268),AL268&lt;=(C268+T268)),AZ268,0)=MAX(IF(AND(NOT(AND(AU268=1,AT268&lt;&gt;1)),ISNUMBER(AK268),AK268&lt;=(C268+T268)),AY268,0),IF(AND(NOT(AND(AU268=1,AT268&lt;&gt;1)),ISNUMBER(AL268),AL268&lt;=(C268+T268)),AZ268,0),IF(AND(NOT(AND(AU268=1,AT268&lt;&gt;1)),ISNUMBER(AM268),AM268&lt;=(C268+T268)),BA268,0),IF(AND(NOT(AND(AU268=1,AT268&lt;&gt;1)),ISNUMBER(AN268),AN268&lt;=(C268+T268)),BB268,0),IF(AND(ISNUMBER(AO268),AO268&lt;=(C268+T268)),BC268,0))),"LB",IF(AND(IF(AND(NOT(AND(AU268=1,AT268&lt;&gt;1)),ISNUMBER(AM268),AM268&lt;=(C268+T268)),BA268,0)&gt;0,IF(AND(NOT(AND(AU268=1,AT268&lt;&gt;1)),ISNUMBER(AM268),AM268&lt;=(C268+T268)),BA268,0)=MAX(IF(AND(NOT(AND(AU268=1,AT268&lt;&gt;1)),ISNUMBER(AK268),AK268&lt;=(C268+T268)),AY268,0),IF(AND(NOT(AND(AU268=1,AT268&lt;&gt;1)),ISNUMBER(AL268),AL268&lt;=(C268+T268)),AZ268,0),IF(AND(NOT(AND(AU268=1,AT268&lt;&gt;1)),ISNUMBER(AM268),AM268&lt;=(C268+T268)),BA268,0),IF(AND(NOT(AND(AU268=1,AT268&lt;&gt;1)),ISNUMBER(AN268),AN268&lt;=(C268+T268)),BB268,0),IF(AND(ISNUMBER(AO268),AO268&lt;=(C268+T268)),BC268,0))),"ML",IF(AND(IF(AND(NOT(AND(AU268=1,AT268&lt;&gt;1)),ISNUMBER(AN268),AN268&lt;=(C268+T268)),BB268,0)&gt;0,IF(AND(NOT(AND(AU268=1,AT268&lt;&gt;1)),ISNUMBER(AN268),AN268&lt;=(C268+T268)),BB268,0)=MAX(IF(AND(NOT(AND(AU268=1,AT268&lt;&gt;1)),ISNUMBER(AK268),AK268&lt;=(C268+T268)),AY268,0),IF(AND(NOT(AND(AU268=1,AT268&lt;&gt;1)),ISNUMBER(AL268),AL268&lt;=(C268+T268)),AZ268,0),IF(AND(NOT(AND(AU268=1,AT268&lt;&gt;1)),ISNUMBER(AM268),AM268&lt;=(C268+T268)),BA268,0),IF(AND(NOT(AND(AU268=1,AT268&lt;&gt;1)),ISNUMBER(AN268),AN268&lt;=(C268+T268)),BB268,0),IF(AND(ISNUMBER(AO268),AO268&lt;=(C268+T268)),BC268,0))),"RLO","BD"))))))))</f>
        <v/>
      </c>
    </row>
    <row r="269">
      <c r="A269" s="26" t="n">
        <v>258</v>
      </c>
      <c r="B269" s="27">
        <f>A269*10/60</f>
        <v/>
      </c>
      <c r="C269" s="22">
        <f>X268</f>
        <v/>
      </c>
      <c r="D269" s="27">
        <f>D268+W268</f>
        <v/>
      </c>
      <c r="E269" s="26">
        <f>E268+IF(U268="SK",1,0)</f>
        <v/>
      </c>
      <c r="F269" s="26">
        <f>F268+IF(U268="LB",1,0)</f>
        <v/>
      </c>
      <c r="G269" s="26">
        <f>G268+IF(U268="ML",1,0)</f>
        <v/>
      </c>
      <c r="H269" s="26">
        <f>H268+IF(U268="RLO",1,0)</f>
        <v/>
      </c>
      <c r="I269" s="26">
        <f>I268+IF(U268="BD",1,0)</f>
        <v/>
      </c>
      <c r="J269" s="26">
        <f>MAX(J268,IF(U268="BiP",1,0))</f>
        <v/>
      </c>
      <c r="K269" s="26">
        <f>MAX(K268,IF(U268="PV",1,0))</f>
        <v/>
      </c>
      <c r="L269" s="26">
        <f>MAX(L268,IF(U268="OC",1,0))</f>
        <v/>
      </c>
      <c r="M269" s="26">
        <f>MAX(M268,IF(U268="MG",1,0))</f>
        <v/>
      </c>
      <c r="N269" s="26">
        <f>MAX(N268,IF(U268="transition",1,0))</f>
        <v/>
      </c>
      <c r="O269" s="28">
        <f>(Parameters!$B$9+(IF(E269=0,0,(Upgrades!$J$13+E269*Upgrades!$K$13)*POWER(Upgrades!$L$13,E269)))*(IF(Upgrades!$T$14="Stellar Kinematics",POWER(Upgrades!$U$14,F269),1)*IF(Upgrades!$T$15="Stellar Kinematics",POWER(Upgrades!$U$15,G269),1)*IF(Upgrades!$T$16="Stellar Kinematics",POWER(Upgrades!$U$16,H269),1)*IF(Upgrades!$T$17="Stellar Kinematics",POWER(Upgrades!$U$17,I269),1)*IF(Upgrades!$T$18="Stellar Kinematics",POWER(Upgrades!$U$18,J269),1)*IF(Upgrades!$T$19="Stellar Kinematics",POWER(Upgrades!$U$19,K269),1)*IF(Upgrades!$T$20="Stellar Kinematics",POWER(Upgrades!$U$20,L269),1)*IF(Upgrades!$T$21="Stellar Kinematics",POWER(Upgrades!$U$21,M269),1))+(IF(F269=0,0,(Upgrades!$J$14+F269*Upgrades!$K$14)*POWER(Upgrades!$L$14,F269)))*(IF(Upgrades!$T$13="Local Bubble",POWER(Upgrades!$U$13,E269),1)*IF(Upgrades!$T$15="Local Bubble",POWER(Upgrades!$U$15,G269),1)*IF(Upgrades!$T$16="Local Bubble",POWER(Upgrades!$U$16,H269),1)*IF(Upgrades!$T$17="Local Bubble",POWER(Upgrades!$U$17,I269),1)*IF(Upgrades!$T$18="Local Bubble",POWER(Upgrades!$U$18,J269),1)*IF(Upgrades!$T$19="Local Bubble",POWER(Upgrades!$U$19,K269),1)*IF(Upgrades!$T$20="Local Bubble",POWER(Upgrades!$U$20,L269),1)*IF(Upgrades!$T$21="Local Bubble",POWER(Upgrades!$U$21,M269),1))+(IF(G269=0,0,(Upgrades!$J$15+G269*Upgrades!$K$15)*POWER(Upgrades!$L$15,G269)))*(IF(Upgrades!$T$13="Microlensing",POWER(Upgrades!$U$13,E269),1)*IF(Upgrades!$T$14="Microlensing",POWER(Upgrades!$U$14,F269),1)*IF(Upgrades!$T$16="Microlensing",POWER(Upgrades!$U$16,H269),1)*IF(Upgrades!$T$17="Microlensing",POWER(Upgrades!$U$17,I269),1)*IF(Upgrades!$T$18="Microlensing",POWER(Upgrades!$U$18,J269),1)*IF(Upgrades!$T$19="Microlensing",POWER(Upgrades!$U$19,K269),1)*IF(Upgrades!$T$20="Microlensing",POWER(Upgrades!$U$20,L269),1)*IF(Upgrades!$T$21="Microlensing",POWER(Upgrades!$U$21,M269),1))+(IF(H269=0,0,(Upgrades!$J$16+H269*Upgrades!$K$16)*POWER(Upgrades!$L$16,H269)))*(IF(Upgrades!$T$13="Roche Lobe Overflow",POWER(Upgrades!$U$13,E269),1)*IF(Upgrades!$T$14="Roche Lobe Overflow",POWER(Upgrades!$U$14,F269),1)*IF(Upgrades!$T$15="Roche Lobe Overflow",POWER(Upgrades!$U$15,G269),1)*IF(Upgrades!$T$17="Roche Lobe Overflow",POWER(Upgrades!$U$17,I269),1)*IF(Upgrades!$T$18="Roche Lobe Overflow",POWER(Upgrades!$U$18,J269),1)*IF(Upgrades!$T$19="Roche Lobe Overflow",POWER(Upgrades!$U$19,K269),1)*IF(Upgrades!$T$20="Roche Lobe Overflow",POWER(Upgrades!$U$20,L269),1)*IF(Upgrades!$T$21="Roche Lobe Overflow",POWER(Upgrades!$U$21,M269),1))+(IF(I269=0,0,(Upgrades!$J$17+I269*Upgrades!$K$17)*POWER(Upgrades!$L$17,I269)))*(IF(Upgrades!$T$13="Brown Dwarf",POWER(Upgrades!$U$13,E269),1)*IF(Upgrades!$T$14="Brown Dwarf",POWER(Upgrades!$U$14,F269),1)*IF(Upgrades!$T$15="Brown Dwarf",POWER(Upgrades!$U$15,G269),1)*IF(Upgrades!$T$16="Brown Dwarf",POWER(Upgrades!$U$16,H269),1)*IF(Upgrades!$T$18="Brown Dwarf",POWER(Upgrades!$U$18,J269),1)*IF(Upgrades!$T$19="Brown Dwarf",POWER(Upgrades!$U$19,K269),1)*IF(Upgrades!$T$20="Brown Dwarf",POWER(Upgrades!$U$20,L269),1)*IF(Upgrades!$T$21="Brown Dwarf",POWER(Upgrades!$U$21,M269),1))+(IF(J269=0,0,(Upgrades!$J$18+J269*Upgrades!$K$18)*POWER(Upgrades!$L$18,J269)))*(IF(Upgrades!$T$13="Binary Partner",POWER(Upgrades!$U$13,E269),1)*IF(Upgrades!$T$14="Binary Partner",POWER(Upgrades!$U$14,F269),1)*IF(Upgrades!$T$15="Binary Partner",POWER(Upgrades!$U$15,G269),1)*IF(Upgrades!$T$16="Binary Partner",POWER(Upgrades!$U$16,H269),1)*IF(Upgrades!$T$17="Binary Partner",POWER(Upgrades!$U$17,I269),1)*IF(Upgrades!$T$19="Binary Partner",POWER(Upgrades!$U$19,K269),1)*IF(Upgrades!$T$20="Binary Partner",POWER(Upgrades!$U$20,L269),1)*IF(Upgrades!$T$21="Binary Partner",POWER(Upgrades!$U$21,M269),1))+(IF(K269=0,0,(Upgrades!$J$19+K269*Upgrades!$K$19)*POWER(Upgrades!$L$19,K269)))*(IF(Upgrades!$T$13="Peculiar Velocity",POWER(Upgrades!$U$13,E269),1)*IF(Upgrades!$T$14="Peculiar Velocity",POWER(Upgrades!$U$14,F269),1)*IF(Upgrades!$T$15="Peculiar Velocity",POWER(Upgrades!$U$15,G269),1)*IF(Upgrades!$T$16="Peculiar Velocity",POWER(Upgrades!$U$16,H269),1)*IF(Upgrades!$T$17="Peculiar Velocity",POWER(Upgrades!$U$17,I269),1)*IF(Upgrades!$T$18="Peculiar Velocity",POWER(Upgrades!$U$18,J269),1)*IF(Upgrades!$T$20="Peculiar Velocity",POWER(Upgrades!$U$20,L269),1)*IF(Upgrades!$T$21="Peculiar Velocity",POWER(Upgrades!$U$21,M269),1))+(IF(L269=0,0,(Upgrades!$J$20+L269*Upgrades!$K$20)*POWER(Upgrades!$L$20,L269)))*(IF(Upgrades!$T$13="Open Cluster",POWER(Upgrades!$U$13,E269),1)*IF(Upgrades!$T$14="Open Cluster",POWER(Upgrades!$U$14,F269),1)*IF(Upgrades!$T$15="Open Cluster",POWER(Upgrades!$U$15,G269),1)*IF(Upgrades!$T$16="Open Cluster",POWER(Upgrades!$U$16,H269),1)*IF(Upgrades!$T$17="Open Cluster",POWER(Upgrades!$U$17,I269),1)*IF(Upgrades!$T$18="Open Cluster",POWER(Upgrades!$U$18,J269),1)*IF(Upgrades!$T$19="Open Cluster",POWER(Upgrades!$U$19,K269),1)*IF(Upgrades!$T$21="Open Cluster",POWER(Upgrades!$U$21,M269),1))+(IF(M269=0,0,(Upgrades!$J$21+M269*Upgrades!$K$21)*POWER(Upgrades!$L$21,M269)))*(IF(Upgrades!$T$13="Moving Group",POWER(Upgrades!$U$13,E269),1)*IF(Upgrades!$T$14="Moving Group",POWER(Upgrades!$U$14,F269),1)*IF(Upgrades!$T$15="Moving Group",POWER(Upgrades!$U$15,G269),1)*IF(Upgrades!$T$16="Moving Group",POWER(Upgrades!$U$16,H269),1)*IF(Upgrades!$T$17="Moving Group",POWER(Upgrades!$U$17,I269),1)*IF(Upgrades!$T$18="Moving Group",POWER(Upgrades!$U$18,J269),1)*IF(Upgrades!$T$19="Moving Group",POWER(Upgrades!$U$19,K269),1)*IF(Upgrades!$T$20="Moving Group",POWER(Upgrades!$U$20,L269),1)))*POWER(Upgrades!$Q$13,E269)*POWER(Upgrades!$Q$14,F269)*POWER(Upgrades!$Q$15,G269)*POWER(Upgrades!$Q$16,H269)*POWER(Upgrades!$Q$17,I269)*POWER(Upgrades!$Q$18,J269)*POWER(Upgrades!$Q$19,K269)*POWER(Upgrades!$Q$20,L269)*POWER(Upgrades!$Q$21,M269)*$G$6+$D$6</f>
        <v/>
      </c>
      <c r="P269" s="28">
        <f>((IF(E269=0,0,(Upgrades!$G$13+E269*Upgrades!$H$13)*POWER(Upgrades!$I$13,E269)))*(IF(Upgrades!$T$14="Stellar Kinematics",POWER(Upgrades!$U$14,F269),1)*IF(Upgrades!$T$15="Stellar Kinematics",POWER(Upgrades!$U$15,G269),1)*IF(Upgrades!$T$16="Stellar Kinematics",POWER(Upgrades!$U$16,H269),1)*IF(Upgrades!$T$17="Stellar Kinematics",POWER(Upgrades!$U$17,I269),1)*IF(Upgrades!$T$18="Stellar Kinematics",POWER(Upgrades!$U$18,J269),1)*IF(Upgrades!$T$19="Stellar Kinematics",POWER(Upgrades!$U$19,K269),1)*IF(Upgrades!$T$20="Stellar Kinematics",POWER(Upgrades!$U$20,L269),1)*IF(Upgrades!$T$21="Stellar Kinematics",POWER(Upgrades!$U$21,M269),1))+(IF(F269=0,0,(Upgrades!$G$14+F269*Upgrades!$H$14)*POWER(Upgrades!$I$14,F269)))*(IF(Upgrades!$T$13="Local Bubble",POWER(Upgrades!$U$13,E269),1)*IF(Upgrades!$T$15="Local Bubble",POWER(Upgrades!$U$15,G269),1)*IF(Upgrades!$T$16="Local Bubble",POWER(Upgrades!$U$16,H269),1)*IF(Upgrades!$T$17="Local Bubble",POWER(Upgrades!$U$17,I269),1)*IF(Upgrades!$T$18="Local Bubble",POWER(Upgrades!$U$18,J269),1)*IF(Upgrades!$T$19="Local Bubble",POWER(Upgrades!$U$19,K269),1)*IF(Upgrades!$T$20="Local Bubble",POWER(Upgrades!$U$20,L269),1)*IF(Upgrades!$T$21="Local Bubble",POWER(Upgrades!$U$21,M269),1))+(IF(G269=0,0,(Upgrades!$G$15+G269*Upgrades!$H$15)*POWER(Upgrades!$I$15,G269)))*(IF(Upgrades!$T$13="Microlensing",POWER(Upgrades!$U$13,E269),1)*IF(Upgrades!$T$14="Microlensing",POWER(Upgrades!$U$14,F269),1)*IF(Upgrades!$T$16="Microlensing",POWER(Upgrades!$U$16,H269),1)*IF(Upgrades!$T$17="Microlensing",POWER(Upgrades!$U$17,I269),1)*IF(Upgrades!$T$18="Microlensing",POWER(Upgrades!$U$18,J269),1)*IF(Upgrades!$T$19="Microlensing",POWER(Upgrades!$U$19,K269),1)*IF(Upgrades!$T$20="Microlensing",POWER(Upgrades!$U$20,L269),1)*IF(Upgrades!$T$21="Microlensing",POWER(Upgrades!$U$21,M269),1))+(IF(H269=0,0,(Upgrades!$G$16+H269*Upgrades!$H$16)*POWER(Upgrades!$I$16,H269)))*(IF(Upgrades!$T$13="Roche Lobe Overflow",POWER(Upgrades!$U$13,E269),1)*IF(Upgrades!$T$14="Roche Lobe Overflow",POWER(Upgrades!$U$14,F269),1)*IF(Upgrades!$T$15="Roche Lobe Overflow",POWER(Upgrades!$U$15,G269),1)*IF(Upgrades!$T$17="Roche Lobe Overflow",POWER(Upgrades!$U$17,I269),1)*IF(Upgrades!$T$18="Roche Lobe Overflow",POWER(Upgrades!$U$18,J269),1)*IF(Upgrades!$T$19="Roche Lobe Overflow",POWER(Upgrades!$U$19,K269),1)*IF(Upgrades!$T$20="Roche Lobe Overflow",POWER(Upgrades!$U$20,L269),1)*IF(Upgrades!$T$21="Roche Lobe Overflow",POWER(Upgrades!$U$21,M269),1))+(IF(I269=0,0,(Upgrades!$G$17+I269*Upgrades!$H$17)*POWER(Upgrades!$I$17,I269)))*(IF(Upgrades!$T$13="Brown Dwarf",POWER(Upgrades!$U$13,E269),1)*IF(Upgrades!$T$14="Brown Dwarf",POWER(Upgrades!$U$14,F269),1)*IF(Upgrades!$T$15="Brown Dwarf",POWER(Upgrades!$U$15,G269),1)*IF(Upgrades!$T$16="Brown Dwarf",POWER(Upgrades!$U$16,H269),1)*IF(Upgrades!$T$18="Brown Dwarf",POWER(Upgrades!$U$18,J269),1)*IF(Upgrades!$T$19="Brown Dwarf",POWER(Upgrades!$U$19,K269),1)*IF(Upgrades!$T$20="Brown Dwarf",POWER(Upgrades!$U$20,L269),1)*IF(Upgrades!$T$21="Brown Dwarf",POWER(Upgrades!$U$21,M269),1))+(IF(J269=0,0,(Upgrades!$G$18+J269*Upgrades!$H$18)*POWER(Upgrades!$I$18,J269)))*(IF(Upgrades!$T$13="Binary Partner",POWER(Upgrades!$U$13,E269),1)*IF(Upgrades!$T$14="Binary Partner",POWER(Upgrades!$U$14,F269),1)*IF(Upgrades!$T$15="Binary Partner",POWER(Upgrades!$U$15,G269),1)*IF(Upgrades!$T$16="Binary Partner",POWER(Upgrades!$U$16,H269),1)*IF(Upgrades!$T$17="Binary Partner",POWER(Upgrades!$U$17,I269),1)*IF(Upgrades!$T$19="Binary Partner",POWER(Upgrades!$U$19,K269),1)*IF(Upgrades!$T$20="Binary Partner",POWER(Upgrades!$U$20,L269),1)*IF(Upgrades!$T$21="Binary Partner",POWER(Upgrades!$U$21,M269),1))+(IF(K269=0,0,(Upgrades!$G$19+K269*Upgrades!$H$19)*POWER(Upgrades!$I$19,K269)))*(IF(Upgrades!$T$13="Peculiar Velocity",POWER(Upgrades!$U$13,E269),1)*IF(Upgrades!$T$14="Peculiar Velocity",POWER(Upgrades!$U$14,F269),1)*IF(Upgrades!$T$15="Peculiar Velocity",POWER(Upgrades!$U$15,G269),1)*IF(Upgrades!$T$16="Peculiar Velocity",POWER(Upgrades!$U$16,H269),1)*IF(Upgrades!$T$17="Peculiar Velocity",POWER(Upgrades!$U$17,I269),1)*IF(Upgrades!$T$18="Peculiar Velocity",POWER(Upgrades!$U$18,J269),1)*IF(Upgrades!$T$20="Peculiar Velocity",POWER(Upgrades!$U$20,L269),1)*IF(Upgrades!$T$21="Peculiar Velocity",POWER(Upgrades!$U$21,M269),1))+(IF(L269=0,0,(Upgrades!$G$20+L269*Upgrades!$H$20)*POWER(Upgrades!$I$20,L269)))*(IF(Upgrades!$T$13="Open Cluster",POWER(Upgrades!$U$13,E269),1)*IF(Upgrades!$T$14="Open Cluster",POWER(Upgrades!$U$14,F269),1)*IF(Upgrades!$T$15="Open Cluster",POWER(Upgrades!$U$15,G269),1)*IF(Upgrades!$T$16="Open Cluster",POWER(Upgrades!$U$16,H269),1)*IF(Upgrades!$T$17="Open Cluster",POWER(Upgrades!$U$17,I269),1)*IF(Upgrades!$T$18="Open Cluster",POWER(Upgrades!$U$18,J269),1)*IF(Upgrades!$T$19="Open Cluster",POWER(Upgrades!$U$19,K269),1)*IF(Upgrades!$T$21="Open Cluster",POWER(Upgrades!$U$21,M269),1))+(IF(M269=0,0,(Upgrades!$G$21+M269*Upgrades!$H$21)*POWER(Upgrades!$I$21,M269)))*(IF(Upgrades!$T$13="Moving Group",POWER(Upgrades!$U$13,E269),1)*IF(Upgrades!$T$14="Moving Group",POWER(Upgrades!$U$14,F269),1)*IF(Upgrades!$T$15="Moving Group",POWER(Upgrades!$U$15,G269),1)*IF(Upgrades!$T$16="Moving Group",POWER(Upgrades!$U$16,H269),1)*IF(Upgrades!$T$17="Moving Group",POWER(Upgrades!$U$17,I269),1)*IF(Upgrades!$T$18="Moving Group",POWER(Upgrades!$U$18,J269),1)*IF(Upgrades!$T$19="Moving Group",POWER(Upgrades!$U$19,K269),1)*IF(Upgrades!$T$20="Moving Group",POWER(Upgrades!$U$20,L269),1)))*POWER(Upgrades!$P$13,E269)*POWER(Upgrades!$P$14,F269)*POWER(Upgrades!$P$15,G269)*POWER(Upgrades!$P$16,H269)*POWER(Upgrades!$P$17,I269)*POWER(Upgrades!$P$18,J269)*POWER(Upgrades!$P$19,K269)*POWER(Upgrades!$P$20,L269)*POWER(Upgrades!$P$21,M269)*$F$6+$C$6</f>
        <v/>
      </c>
      <c r="Q269" s="28">
        <f>((IF(E269=0,0,(Upgrades!$M$13+E269*Upgrades!$N$13)*POWER(Upgrades!$O$13,E269)))*(IF(Upgrades!$T$14="Stellar Kinematics",POWER(Upgrades!$U$14,F269),1)*IF(Upgrades!$T$15="Stellar Kinematics",POWER(Upgrades!$U$15,G269),1)*IF(Upgrades!$T$16="Stellar Kinematics",POWER(Upgrades!$U$16,H269),1)*IF(Upgrades!$T$17="Stellar Kinematics",POWER(Upgrades!$U$17,I269),1)*IF(Upgrades!$T$18="Stellar Kinematics",POWER(Upgrades!$U$18,J269),1)*IF(Upgrades!$T$19="Stellar Kinematics",POWER(Upgrades!$U$19,K269),1)*IF(Upgrades!$T$20="Stellar Kinematics",POWER(Upgrades!$U$20,L269),1)*IF(Upgrades!$T$21="Stellar Kinematics",POWER(Upgrades!$U$21,M269),1))+(IF(F269=0,0,(Upgrades!$M$14+F269*Upgrades!$N$14)*POWER(Upgrades!$O$14,F269)))*(IF(Upgrades!$T$13="Local Bubble",POWER(Upgrades!$U$13,E269),1)*IF(Upgrades!$T$15="Local Bubble",POWER(Upgrades!$U$15,G269),1)*IF(Upgrades!$T$16="Local Bubble",POWER(Upgrades!$U$16,H269),1)*IF(Upgrades!$T$17="Local Bubble",POWER(Upgrades!$U$17,I269),1)*IF(Upgrades!$T$18="Local Bubble",POWER(Upgrades!$U$18,J269),1)*IF(Upgrades!$T$19="Local Bubble",POWER(Upgrades!$U$19,K269),1)*IF(Upgrades!$T$20="Local Bubble",POWER(Upgrades!$U$20,L269),1)*IF(Upgrades!$T$21="Local Bubble",POWER(Upgrades!$U$21,M269),1))+(IF(G269=0,0,(Upgrades!$M$15+G269*Upgrades!$N$15)*POWER(Upgrades!$O$15,G269)))*(IF(Upgrades!$T$13="Microlensing",POWER(Upgrades!$U$13,E269),1)*IF(Upgrades!$T$14="Microlensing",POWER(Upgrades!$U$14,F269),1)*IF(Upgrades!$T$16="Microlensing",POWER(Upgrades!$U$16,H269),1)*IF(Upgrades!$T$17="Microlensing",POWER(Upgrades!$U$17,I269),1)*IF(Upgrades!$T$18="Microlensing",POWER(Upgrades!$U$18,J269),1)*IF(Upgrades!$T$19="Microlensing",POWER(Upgrades!$U$19,K269),1)*IF(Upgrades!$T$20="Microlensing",POWER(Upgrades!$U$20,L269),1)*IF(Upgrades!$T$21="Microlensing",POWER(Upgrades!$U$21,M269),1))+(IF(H269=0,0,(Upgrades!$M$16+H269*Upgrades!$N$16)*POWER(Upgrades!$O$16,H269)))*(IF(Upgrades!$T$13="Roche Lobe Overflow",POWER(Upgrades!$U$13,E269),1)*IF(Upgrades!$T$14="Roche Lobe Overflow",POWER(Upgrades!$U$14,F269),1)*IF(Upgrades!$T$15="Roche Lobe Overflow",POWER(Upgrades!$U$15,G269),1)*IF(Upgrades!$T$17="Roche Lobe Overflow",POWER(Upgrades!$U$17,I269),1)*IF(Upgrades!$T$18="Roche Lobe Overflow",POWER(Upgrades!$U$18,J269),1)*IF(Upgrades!$T$19="Roche Lobe Overflow",POWER(Upgrades!$U$19,K269),1)*IF(Upgrades!$T$20="Roche Lobe Overflow",POWER(Upgrades!$U$20,L269),1)*IF(Upgrades!$T$21="Roche Lobe Overflow",POWER(Upgrades!$U$21,M269),1))+(IF(I269=0,0,(Upgrades!$M$17+I269*Upgrades!$N$17)*POWER(Upgrades!$O$17,I269)))*(IF(Upgrades!$T$13="Brown Dwarf",POWER(Upgrades!$U$13,E269),1)*IF(Upgrades!$T$14="Brown Dwarf",POWER(Upgrades!$U$14,F269),1)*IF(Upgrades!$T$15="Brown Dwarf",POWER(Upgrades!$U$15,G269),1)*IF(Upgrades!$T$16="Brown Dwarf",POWER(Upgrades!$U$16,H269),1)*IF(Upgrades!$T$18="Brown Dwarf",POWER(Upgrades!$U$18,J269),1)*IF(Upgrades!$T$19="Brown Dwarf",POWER(Upgrades!$U$19,K269),1)*IF(Upgrades!$T$20="Brown Dwarf",POWER(Upgrades!$U$20,L269),1)*IF(Upgrades!$T$21="Brown Dwarf",POWER(Upgrades!$U$21,M269),1))+(IF(J269=0,0,(Upgrades!$M$18+J269*Upgrades!$N$18)*POWER(Upgrades!$O$18,J269)))*(IF(Upgrades!$T$13="Binary Partner",POWER(Upgrades!$U$13,E269),1)*IF(Upgrades!$T$14="Binary Partner",POWER(Upgrades!$U$14,F269),1)*IF(Upgrades!$T$15="Binary Partner",POWER(Upgrades!$U$15,G269),1)*IF(Upgrades!$T$16="Binary Partner",POWER(Upgrades!$U$16,H269),1)*IF(Upgrades!$T$17="Binary Partner",POWER(Upgrades!$U$17,I269),1)*IF(Upgrades!$T$19="Binary Partner",POWER(Upgrades!$U$19,K269),1)*IF(Upgrades!$T$20="Binary Partner",POWER(Upgrades!$U$20,L269),1)*IF(Upgrades!$T$21="Binary Partner",POWER(Upgrades!$U$21,M269),1))+(IF(K269=0,0,(Upgrades!$M$19+K269*Upgrades!$N$19)*POWER(Upgrades!$O$19,K269)))*(IF(Upgrades!$T$13="Peculiar Velocity",POWER(Upgrades!$U$13,E269),1)*IF(Upgrades!$T$14="Peculiar Velocity",POWER(Upgrades!$U$14,F269),1)*IF(Upgrades!$T$15="Peculiar Velocity",POWER(Upgrades!$U$15,G269),1)*IF(Upgrades!$T$16="Peculiar Velocity",POWER(Upgrades!$U$16,H269),1)*IF(Upgrades!$T$17="Peculiar Velocity",POWER(Upgrades!$U$17,I269),1)*IF(Upgrades!$T$18="Peculiar Velocity",POWER(Upgrades!$U$18,J269),1)*IF(Upgrades!$T$20="Peculiar Velocity",POWER(Upgrades!$U$20,L269),1)*IF(Upgrades!$T$21="Peculiar Velocity",POWER(Upgrades!$U$21,M269),1))+(IF(L269=0,0,(Upgrades!$M$20+L269*Upgrades!$N$20)*POWER(Upgrades!$O$20,L269)))*(IF(Upgrades!$T$13="Open Cluster",POWER(Upgrades!$U$13,E269),1)*IF(Upgrades!$T$14="Open Cluster",POWER(Upgrades!$U$14,F269),1)*IF(Upgrades!$T$15="Open Cluster",POWER(Upgrades!$U$15,G269),1)*IF(Upgrades!$T$16="Open Cluster",POWER(Upgrades!$U$16,H269),1)*IF(Upgrades!$T$17="Open Cluster",POWER(Upgrades!$U$17,I269),1)*IF(Upgrades!$T$18="Open Cluster",POWER(Upgrades!$U$18,J269),1)*IF(Upgrades!$T$19="Open Cluster",POWER(Upgrades!$U$19,K269),1)*IF(Upgrades!$T$21="Open Cluster",POWER(Upgrades!$U$21,M269),1))+(IF(M269=0,0,(Upgrades!$M$21+M269*Upgrades!$N$21)*POWER(Upgrades!$O$21,M269)))*(IF(Upgrades!$T$13="Moving Group",POWER(Upgrades!$U$13,E269),1)*IF(Upgrades!$T$14="Moving Group",POWER(Upgrades!$U$14,F269),1)*IF(Upgrades!$T$15="Moving Group",POWER(Upgrades!$U$15,G269),1)*IF(Upgrades!$T$16="Moving Group",POWER(Upgrades!$U$16,H269),1)*IF(Upgrades!$T$17="Moving Group",POWER(Upgrades!$U$17,I269),1)*IF(Upgrades!$T$18="Moving Group",POWER(Upgrades!$U$18,J269),1)*IF(Upgrades!$T$19="Moving Group",POWER(Upgrades!$U$19,K269),1)*IF(Upgrades!$T$20="Moving Group",POWER(Upgrades!$U$20,L269),1)))*POWER(Upgrades!$R$13,E269)*POWER(Upgrades!$R$14,F269)*POWER(Upgrades!$R$15,G269)*POWER(Upgrades!$R$16,H269)*POWER(Upgrades!$R$17,I269)*POWER(Upgrades!$R$18,J269)*POWER(Upgrades!$R$19,K269)*POWER(Upgrades!$R$20,L269)*POWER(Upgrades!$R$21,M269)*$H$6+$E$6</f>
        <v/>
      </c>
      <c r="R269" s="27">
        <f>IF(N269=1,0,O269*Parameters!$B$10/60*Parameters!$B$11*10)</f>
        <v/>
      </c>
      <c r="S269" s="27">
        <f>IF(N269=1,0,Q269*O269*10)</f>
        <v/>
      </c>
      <c r="T269" s="27">
        <f>IF(N269=1,0,R269+S269+P269*10)</f>
        <v/>
      </c>
      <c r="U269" s="33">
        <f>BE269</f>
        <v/>
      </c>
      <c r="V269" s="22">
        <f>IF(U269="",0,IF(U269="transition",0,IF(U269="SK",AK269,IF(U269="LB",AL269,IF(U269="ML",AM269,IF(U269="RLO",AN269,IF(U269="BD",AO269,IF(U269="BiP",AP269,IF(U269="PV",AQ269,IF(U269="OC",AR269,IF(U269="MG",AS269,0))))))))))</f>
        <v/>
      </c>
      <c r="W269" s="27">
        <f>IF(U269="BiP",Upgrades!$F$18,IF(U269="PV",Upgrades!$F$19,IF(U269="OC",Upgrades!$F$20,IF(U269="MG",Upgrades!$F$21,IF(U269="transition",-Parameters!$B$18*Parameters!$B$19,0)))))</f>
        <v/>
      </c>
      <c r="X269" s="22">
        <f>C269+T269-V269</f>
        <v/>
      </c>
      <c r="Y269" s="30">
        <f>O269*Parameters!$B$10/60*Parameters!$B$11+Q269*O269+P269</f>
        <v/>
      </c>
      <c r="Z269" s="34">
        <f>IF(U269="transition","→ Tier 3 (Galactic Arm)",IF(U269="MG","Moving Group — pocket drifts together",IF(U269="OC","Open Cluster acquired",IF(U269="PV","Peculiar Velocity — passive multiplier active",IF(U269="BiP","Binary Partner — pair bond formed",IF(AND(AU269=1,N269=0,AT269&lt;&gt;1),"Cohesion ready (waiting on completionists)","")))))) </f>
        <v/>
      </c>
      <c r="AA269" s="27">
        <f>(IF(E269=0,0,(Upgrades!$G$13+E269*Upgrades!$H$13)*POWER(Upgrades!$I$13,E269)))*(IF(Upgrades!$T$14="Stellar Kinematics",POWER(Upgrades!$U$14,F269),1)*IF(Upgrades!$T$15="Stellar Kinematics",POWER(Upgrades!$U$15,G269),1)*IF(Upgrades!$T$16="Stellar Kinematics",POWER(Upgrades!$U$16,H269),1)*IF(Upgrades!$T$17="Stellar Kinematics",POWER(Upgrades!$U$17,I269),1)*IF(Upgrades!$T$18="Stellar Kinematics",POWER(Upgrades!$U$18,J269),1)*IF(Upgrades!$T$19="Stellar Kinematics",POWER(Upgrades!$U$19,K269),1)*IF(Upgrades!$T$20="Stellar Kinematics",POWER(Upgrades!$U$20,L269),1)*IF(Upgrades!$T$21="Stellar Kinematics",POWER(Upgrades!$U$21,M269),1))*POWER(Upgrades!$P$13,E269)*POWER(Upgrades!$P$14,F269)*POWER(Upgrades!$P$15,G269)*POWER(Upgrades!$P$16,H269)*POWER(Upgrades!$P$17,I269)*POWER(Upgrades!$P$18,J269)*POWER(Upgrades!$P$19,K269)*POWER(Upgrades!$P$20,L269)*POWER(Upgrades!$P$21,M269)*$F$6*60</f>
        <v/>
      </c>
      <c r="AB269" s="27">
        <f>(IF(F269=0,0,(Upgrades!$G$14+F269*Upgrades!$H$14)*POWER(Upgrades!$I$14,F269)))*(IF(Upgrades!$T$13="Local Bubble",POWER(Upgrades!$U$13,E269),1)*IF(Upgrades!$T$15="Local Bubble",POWER(Upgrades!$U$15,G269),1)*IF(Upgrades!$T$16="Local Bubble",POWER(Upgrades!$U$16,H269),1)*IF(Upgrades!$T$17="Local Bubble",POWER(Upgrades!$U$17,I269),1)*IF(Upgrades!$T$18="Local Bubble",POWER(Upgrades!$U$18,J269),1)*IF(Upgrades!$T$19="Local Bubble",POWER(Upgrades!$U$19,K269),1)*IF(Upgrades!$T$20="Local Bubble",POWER(Upgrades!$U$20,L269),1)*IF(Upgrades!$T$21="Local Bubble",POWER(Upgrades!$U$21,M269),1))*POWER(Upgrades!$P$13,E269)*POWER(Upgrades!$P$14,F269)*POWER(Upgrades!$P$15,G269)*POWER(Upgrades!$P$16,H269)*POWER(Upgrades!$P$17,I269)*POWER(Upgrades!$P$18,J269)*POWER(Upgrades!$P$19,K269)*POWER(Upgrades!$P$20,L269)*POWER(Upgrades!$P$21,M269)*$F$6*60</f>
        <v/>
      </c>
      <c r="AC269" s="27">
        <f>(IF(G269=0,0,(Upgrades!$J$15+G269*Upgrades!$K$15)*POWER(Upgrades!$L$15,G269)))*(IF(Upgrades!$T$13="Microlensing",POWER(Upgrades!$U$13,E269),1)*IF(Upgrades!$T$14="Microlensing",POWER(Upgrades!$U$14,F269),1)*IF(Upgrades!$T$16="Microlensing",POWER(Upgrades!$U$16,H269),1)*IF(Upgrades!$T$17="Microlensing",POWER(Upgrades!$U$17,I269),1)*IF(Upgrades!$T$18="Microlensing",POWER(Upgrades!$U$18,J269),1)*IF(Upgrades!$T$19="Microlensing",POWER(Upgrades!$U$19,K269),1)*IF(Upgrades!$T$20="Microlensing",POWER(Upgrades!$U$20,L269),1)*IF(Upgrades!$T$21="Microlensing",POWER(Upgrades!$U$21,M269),1))*POWER(Upgrades!$Q$13,E269)*POWER(Upgrades!$Q$14,F269)*POWER(Upgrades!$Q$15,G269)*POWER(Upgrades!$Q$16,H269)*POWER(Upgrades!$Q$17,I269)*POWER(Upgrades!$Q$18,J269)*POWER(Upgrades!$Q$19,K269)*POWER(Upgrades!$Q$20,L269)*POWER(Upgrades!$Q$21,M269)*$G$6*(Parameters!$B$10*Parameters!$B$11+Q269*60)</f>
        <v/>
      </c>
      <c r="AD269" s="27">
        <f>(IF(H269=0,0,(Upgrades!$M$16+H269*Upgrades!$N$16)*POWER(Upgrades!$O$16,H269)))*(IF(Upgrades!$T$13="Roche Lobe Overflow",POWER(Upgrades!$U$13,E269),1)*IF(Upgrades!$T$14="Roche Lobe Overflow",POWER(Upgrades!$U$14,F269),1)*IF(Upgrades!$T$15="Roche Lobe Overflow",POWER(Upgrades!$U$15,G269),1)*IF(Upgrades!$T$17="Roche Lobe Overflow",POWER(Upgrades!$U$17,I269),1)*IF(Upgrades!$T$18="Roche Lobe Overflow",POWER(Upgrades!$U$18,J269),1)*IF(Upgrades!$T$19="Roche Lobe Overflow",POWER(Upgrades!$U$19,K269),1)*IF(Upgrades!$T$20="Roche Lobe Overflow",POWER(Upgrades!$U$20,L269),1)*IF(Upgrades!$T$21="Roche Lobe Overflow",POWER(Upgrades!$U$21,M269),1))*POWER(Upgrades!$R$13,E269)*POWER(Upgrades!$R$14,F269)*POWER(Upgrades!$R$15,G269)*POWER(Upgrades!$R$16,H269)*POWER(Upgrades!$R$17,I269)*POWER(Upgrades!$R$18,J269)*POWER(Upgrades!$R$19,K269)*POWER(Upgrades!$R$20,L269)*POWER(Upgrades!$R$21,M269)*$H$6*O269*60</f>
        <v/>
      </c>
      <c r="AE269" s="27">
        <f>(IF(I269=0,0,(Upgrades!$G$17+I269*Upgrades!$H$17)*POWER(Upgrades!$I$17,I269)))*(IF(Upgrades!$T$13="Brown Dwarf",POWER(Upgrades!$U$13,E269),1)*IF(Upgrades!$T$14="Brown Dwarf",POWER(Upgrades!$U$14,F269),1)*IF(Upgrades!$T$15="Brown Dwarf",POWER(Upgrades!$U$15,G269),1)*IF(Upgrades!$T$16="Brown Dwarf",POWER(Upgrades!$U$16,H269),1)*IF(Upgrades!$T$18="Brown Dwarf",POWER(Upgrades!$U$18,J269),1)*IF(Upgrades!$T$19="Brown Dwarf",POWER(Upgrades!$U$19,K269),1)*IF(Upgrades!$T$20="Brown Dwarf",POWER(Upgrades!$U$20,L269),1)*IF(Upgrades!$T$21="Brown Dwarf",POWER(Upgrades!$U$21,M269),1))*POWER(Upgrades!$P$13,E269)*POWER(Upgrades!$P$14,F269)*POWER(Upgrades!$P$15,G269)*POWER(Upgrades!$P$16,H269)*POWER(Upgrades!$P$17,I269)*POWER(Upgrades!$P$18,J269)*POWER(Upgrades!$P$19,K269)*POWER(Upgrades!$P$20,L269)*POWER(Upgrades!$P$21,M269)*$F$6*60</f>
        <v/>
      </c>
      <c r="AF269" s="27" t="n">
        <v>0</v>
      </c>
      <c r="AG269" s="27" t="n">
        <v>0</v>
      </c>
      <c r="AH269" s="27" t="n">
        <v>0</v>
      </c>
      <c r="AI269" s="27">
        <f>(IF(M269=0,0,(Upgrades!$G$21+M269*Upgrades!$H$21)*POWER(Upgrades!$I$21,M269)))*(IF(Upgrades!$T$13="Moving Group",POWER(Upgrades!$U$13,E269),1)*IF(Upgrades!$T$14="Moving Group",POWER(Upgrades!$U$14,F269),1)*IF(Upgrades!$T$15="Moving Group",POWER(Upgrades!$U$15,G269),1)*IF(Upgrades!$T$16="Moving Group",POWER(Upgrades!$U$16,H269),1)*IF(Upgrades!$T$17="Moving Group",POWER(Upgrades!$U$17,I269),1)*IF(Upgrades!$T$18="Moving Group",POWER(Upgrades!$U$18,J269),1)*IF(Upgrades!$T$19="Moving Group",POWER(Upgrades!$U$19,K269),1)*IF(Upgrades!$T$20="Moving Group",POWER(Upgrades!$U$20,L269),1))*POWER(Upgrades!$P$13,E269)*POWER(Upgrades!$P$14,F269)*POWER(Upgrades!$P$15,G269)*POWER(Upgrades!$P$16,H269)*POWER(Upgrades!$P$17,I269)*POWER(Upgrades!$P$18,J269)*POWER(Upgrades!$P$19,K269)*POWER(Upgrades!$P$20,L269)*POWER(Upgrades!$P$21,M269)*$F$6*60</f>
        <v/>
      </c>
      <c r="AJ269" s="27">
        <f>$C$6*60</f>
        <v/>
      </c>
      <c r="AK269" s="22">
        <f>IF(E269&gt;=Upgrades!$E$13,"",Upgrades!$C$13*POWER(Upgrades!$D$13,E269))</f>
        <v/>
      </c>
      <c r="AL269" s="22">
        <f>IF(F269&gt;=Upgrades!$E$14,"",Upgrades!$C$14*POWER(Upgrades!$D$14,F269))</f>
        <v/>
      </c>
      <c r="AM269" s="22">
        <f>IF(G269&gt;=Upgrades!$E$15,"",Upgrades!$C$15*POWER(Upgrades!$D$15,G269))</f>
        <v/>
      </c>
      <c r="AN269" s="22">
        <f>IF(H269&gt;=Upgrades!$E$16,"",Upgrades!$C$16*POWER(Upgrades!$D$16,H269))</f>
        <v/>
      </c>
      <c r="AO269" s="22">
        <f>IF(I269&gt;=Upgrades!$E$17,"",Upgrades!$C$17*POWER(Upgrades!$D$17,I269))</f>
        <v/>
      </c>
      <c r="AP269" s="22">
        <f>IF(J269&gt;=Upgrades!$E$18,"",Upgrades!$C$18*POWER(Upgrades!$D$18,J269))</f>
        <v/>
      </c>
      <c r="AQ269" s="22">
        <f>IF(K269&gt;=Upgrades!$E$19,"",Upgrades!$C$19*POWER(Upgrades!$D$19,K269))</f>
        <v/>
      </c>
      <c r="AR269" s="22">
        <f>IF(L269&gt;=Upgrades!$E$20,"",Upgrades!$C$20*POWER(Upgrades!$D$20,L269))</f>
        <v/>
      </c>
      <c r="AS269" s="22">
        <f>IF(M269&gt;=Upgrades!$E$21,"",Upgrades!$C$21*POWER(Upgrades!$D$21,M269))</f>
        <v/>
      </c>
      <c r="AT269" s="26">
        <f>IF(AND(D269&gt;=Parameters!$B$18*Parameters!$B$19,(I269&gt;=Upgrades!$E$17)*(M269&gt;=Upgrades!$E$21)=1,N269=0),1,"")</f>
        <v/>
      </c>
      <c r="AU269" s="26">
        <f>IF(AND(D269&gt;=Parameters!$B$18*Parameters!$B$19,N269=0),1,"")</f>
        <v/>
      </c>
      <c r="AV269" s="22">
        <f>MIN(IF(ISNUMBER(AP269),AP269,9E15),IF(ISNUMBER(AQ269),AQ269,9E15),IF(ISNUMBER(AR269),AR269,9E15),IF(ISNUMBER(AS269),AS269,9E15))</f>
        <v/>
      </c>
      <c r="AW269" s="22">
        <f>MIN(IF(ISNUMBER(AK269),AK269,9E15),IF(ISNUMBER(AL269),AL269,9E15),IF(ISNUMBER(AM269),AM269,9E15),IF(ISNUMBER(AN269),AN269,9E15),IF(ISNUMBER(AO269),AO269,9E15))</f>
        <v/>
      </c>
      <c r="AX269" s="29">
        <f>IF(BD269&gt;Parameters!$B$21*(MAX(IF(AND(NOT(AND(AU269=1,AT269&lt;&gt;1)),ISNUMBER(AK269),AK269&lt;=(C269+T269)),AY269,0),IF(AND(NOT(AND(AU269=1,AT269&lt;&gt;1)),ISNUMBER(AL269),AL269&lt;=(C269+T269)),AZ269,0),IF(AND(NOT(AND(AU269=1,AT269&lt;&gt;1)),ISNUMBER(AM269),AM269&lt;=(C269+T269)),BA269,0),IF(AND(NOT(AND(AU269=1,AT269&lt;&gt;1)),ISNUMBER(AN269),AN269&lt;=(C269+T269)),BB269,0),IF(AND(ISNUMBER(AO269),AO269&lt;=(C269+T269)),BC269,0))),TRUE,FALSE)</f>
        <v/>
      </c>
      <c r="AY269" s="32">
        <f>IFERROR(Upgrades!$H$13*(POWER(Upgrades!$P$13,E269)*POWER(Upgrades!$P$14,F269)*POWER(Upgrades!$P$15,G269)*POWER(Upgrades!$P$16,H269)*POWER(Upgrades!$P$17,I269)*POWER(Upgrades!$P$18,J269)*POWER(Upgrades!$P$19,K269)*POWER(Upgrades!$P$20,L269)*POWER(Upgrades!$P$21,M269))*(IF(Upgrades!$T$14="Stellar Kinematics",POWER(Upgrades!$U$14,F269),1)*IF(Upgrades!$T$15="Stellar Kinematics",POWER(Upgrades!$U$15,G269),1)*IF(Upgrades!$T$16="Stellar Kinematics",POWER(Upgrades!$U$16,H269),1)*IF(Upgrades!$T$17="Stellar Kinematics",POWER(Upgrades!$U$17,I269),1)*IF(Upgrades!$T$18="Stellar Kinematics",POWER(Upgrades!$U$18,J269),1)*IF(Upgrades!$T$19="Stellar Kinematics",POWER(Upgrades!$U$19,K269),1)*IF(Upgrades!$T$20="Stellar Kinematics",POWER(Upgrades!$U$20,L269),1)*IF(Upgrades!$T$21="Stellar Kinematics",POWER(Upgrades!$U$21,M269),1))*$F$6/AK269,0)</f>
        <v/>
      </c>
      <c r="AZ269" s="32">
        <f>IFERROR(Upgrades!$H$14*(POWER(Upgrades!$P$13,E269)*POWER(Upgrades!$P$14,F269)*POWER(Upgrades!$P$15,G269)*POWER(Upgrades!$P$16,H269)*POWER(Upgrades!$P$17,I269)*POWER(Upgrades!$P$18,J269)*POWER(Upgrades!$P$19,K269)*POWER(Upgrades!$P$20,L269)*POWER(Upgrades!$P$21,M269))*(IF(Upgrades!$T$13="Local Bubble",POWER(Upgrades!$U$13,E269),1)*IF(Upgrades!$T$15="Local Bubble",POWER(Upgrades!$U$15,G269),1)*IF(Upgrades!$T$16="Local Bubble",POWER(Upgrades!$U$16,H269),1)*IF(Upgrades!$T$17="Local Bubble",POWER(Upgrades!$U$17,I269),1)*IF(Upgrades!$T$18="Local Bubble",POWER(Upgrades!$U$18,J269),1)*IF(Upgrades!$T$19="Local Bubble",POWER(Upgrades!$U$19,K269),1)*IF(Upgrades!$T$20="Local Bubble",POWER(Upgrades!$U$20,L269),1)*IF(Upgrades!$T$21="Local Bubble",POWER(Upgrades!$U$21,M269),1))*$F$6/AL269,0)</f>
        <v/>
      </c>
      <c r="BA269" s="32">
        <f>IFERROR(Upgrades!$K$15*(POWER(Upgrades!$Q$13,E269)*POWER(Upgrades!$Q$14,F269)*POWER(Upgrades!$Q$15,G269)*POWER(Upgrades!$Q$16,H269)*POWER(Upgrades!$Q$17,I269)*POWER(Upgrades!$Q$18,J269)*POWER(Upgrades!$Q$19,K269)*POWER(Upgrades!$Q$20,L269)*POWER(Upgrades!$Q$21,M269))*(IF(Upgrades!$T$13="Microlensing",POWER(Upgrades!$U$13,E269),1)*IF(Upgrades!$T$14="Microlensing",POWER(Upgrades!$U$14,F269),1)*IF(Upgrades!$T$16="Microlensing",POWER(Upgrades!$U$16,H269),1)*IF(Upgrades!$T$17="Microlensing",POWER(Upgrades!$U$17,I269),1)*IF(Upgrades!$T$18="Microlensing",POWER(Upgrades!$U$18,J269),1)*IF(Upgrades!$T$19="Microlensing",POWER(Upgrades!$U$19,K269),1)*IF(Upgrades!$T$20="Microlensing",POWER(Upgrades!$U$20,L269),1)*IF(Upgrades!$T$21="Microlensing",POWER(Upgrades!$U$21,M269),1))*$G$6*(Parameters!$B$10/60*Parameters!$B$11+Q269)/AM269,0)</f>
        <v/>
      </c>
      <c r="BB269" s="32">
        <f>IFERROR((Upgrades!$N$16*(POWER(Upgrades!$R$13,E269)*POWER(Upgrades!$R$14,F269)*POWER(Upgrades!$R$15,G269)*POWER(Upgrades!$R$16,H269)*POWER(Upgrades!$R$17,I269)*POWER(Upgrades!$R$18,J269)*POWER(Upgrades!$R$19,K269)*POWER(Upgrades!$R$20,L269)*POWER(Upgrades!$R$21,M269))*(IF(Upgrades!$T$13="Roche Lobe Overflow",POWER(Upgrades!$U$13,E269),1)*IF(Upgrades!$T$14="Roche Lobe Overflow",POWER(Upgrades!$U$14,F269),1)*IF(Upgrades!$T$15="Roche Lobe Overflow",POWER(Upgrades!$U$15,G269),1)*IF(Upgrades!$T$17="Roche Lobe Overflow",POWER(Upgrades!$U$17,I269),1)*IF(Upgrades!$T$18="Roche Lobe Overflow",POWER(Upgrades!$U$18,J269),1)*IF(Upgrades!$T$19="Roche Lobe Overflow",POWER(Upgrades!$U$19,K269),1)*IF(Upgrades!$T$20="Roche Lobe Overflow",POWER(Upgrades!$U$20,L269),1)*IF(Upgrades!$T$21="Roche Lobe Overflow",POWER(Upgrades!$U$21,M269),1))*$H$6*O269+((IF(F269=0,0,(Upgrades!$G$14+F269*Upgrades!$H$14)*POWER(Upgrades!$I$14,F269)))*(IF(Upgrades!$T$13="Local Bubble",POWER(Upgrades!$U$13,E269),1)*IF(Upgrades!$T$15="Local Bubble",POWER(Upgrades!$U$15,G269),1)*IF(Upgrades!$T$16="Local Bubble",POWER(Upgrades!$U$16,H269),1)*IF(Upgrades!$T$17="Local Bubble",POWER(Upgrades!$U$17,I269),1)*IF(Upgrades!$T$18="Local Bubble",POWER(Upgrades!$U$18,J269),1)*IF(Upgrades!$T$19="Local Bubble",POWER(Upgrades!$U$19,K269),1)*IF(Upgrades!$T$20="Local Bubble",POWER(Upgrades!$U$20,L269),1)*IF(Upgrades!$T$21="Local Bubble",POWER(Upgrades!$U$21,M269),1))*POWER(Upgrades!$P$13,E269)*POWER(Upgrades!$P$14,F269)*POWER(Upgrades!$P$15,G269)*POWER(Upgrades!$P$16,H269)*POWER(Upgrades!$P$17,I269)*POWER(Upgrades!$P$18,J269)*POWER(Upgrades!$P$19,K269)*POWER(Upgrades!$P$20,L269)*POWER(Upgrades!$P$21,M269)*$F$6)*0.05)/AN269,0)</f>
        <v/>
      </c>
      <c r="BC269" s="32">
        <f>IFERROR((Upgrades!$H$17*(POWER(Upgrades!$P$13,E269)*POWER(Upgrades!$P$14,F269)*POWER(Upgrades!$P$15,G269)*POWER(Upgrades!$P$16,H269)*POWER(Upgrades!$P$17,I269)*POWER(Upgrades!$P$18,J269)*POWER(Upgrades!$P$19,K269)*POWER(Upgrades!$P$20,L269)*POWER(Upgrades!$P$21,M269))*(IF(Upgrades!$T$13="Brown Dwarf",POWER(Upgrades!$U$13,E269),1)*IF(Upgrades!$T$14="Brown Dwarf",POWER(Upgrades!$U$14,F269),1)*IF(Upgrades!$T$15="Brown Dwarf",POWER(Upgrades!$U$15,G269),1)*IF(Upgrades!$T$16="Brown Dwarf",POWER(Upgrades!$U$16,H269),1)*IF(Upgrades!$T$18="Brown Dwarf",POWER(Upgrades!$U$18,J269),1)*IF(Upgrades!$T$19="Brown Dwarf",POWER(Upgrades!$U$19,K269),1)*IF(Upgrades!$T$20="Brown Dwarf",POWER(Upgrades!$U$20,L269),1)*IF(Upgrades!$T$21="Brown Dwarf",POWER(Upgrades!$U$21,M269),1))*$F$6+(((IF(H269=0,0,(Upgrades!$M$16+H269*Upgrades!$N$16)*POWER(Upgrades!$O$16,H269)))*(IF(Upgrades!$T$13="Roche Lobe Overflow",POWER(Upgrades!$U$13,E269),1)*IF(Upgrades!$T$14="Roche Lobe Overflow",POWER(Upgrades!$U$14,F269),1)*IF(Upgrades!$T$15="Roche Lobe Overflow",POWER(Upgrades!$U$15,G269),1)*IF(Upgrades!$T$17="Roche Lobe Overflow",POWER(Upgrades!$U$17,I269),1)*IF(Upgrades!$T$18="Roche Lobe Overflow",POWER(Upgrades!$U$18,J269),1)*IF(Upgrades!$T$19="Roche Lobe Overflow",POWER(Upgrades!$U$19,K269),1)*IF(Upgrades!$T$20="Roche Lobe Overflow",POWER(Upgrades!$U$20,L269),1)*IF(Upgrades!$T$21="Roche Lobe Overflow",POWER(Upgrades!$U$21,M269),1))*POWER(Upgrades!$R$13,E269)*POWER(Upgrades!$R$14,F269)*POWER(Upgrades!$R$15,G269)*POWER(Upgrades!$R$16,H269)*POWER(Upgrades!$R$17,I269)*POWER(Upgrades!$R$18,J269)*POWER(Upgrades!$R$19,K269)*POWER(Upgrades!$R$20,L269)*POWER(Upgrades!$R$21,M269)*$H$6)*O269)*0.10)/AO269,0)</f>
        <v/>
      </c>
      <c r="BD269" s="32">
        <f>MAX(IF(J269&gt;0,0,IFERROR(0.5*((IF(G269=0,0,(Upgrades!$J$15+G269*Upgrades!$K$15)*POWER(Upgrades!$L$15,G269)))*(IF(Upgrades!$T$13="Microlensing",POWER(Upgrades!$U$13,E269),1)*IF(Upgrades!$T$14="Microlensing",POWER(Upgrades!$U$14,F269),1)*IF(Upgrades!$T$16="Microlensing",POWER(Upgrades!$U$16,H269),1)*IF(Upgrades!$T$17="Microlensing",POWER(Upgrades!$U$17,I269),1)*IF(Upgrades!$T$18="Microlensing",POWER(Upgrades!$U$18,J269),1)*IF(Upgrades!$T$19="Microlensing",POWER(Upgrades!$U$19,K269),1)*IF(Upgrades!$T$20="Microlensing",POWER(Upgrades!$U$20,L269),1)*IF(Upgrades!$T$21="Microlensing",POWER(Upgrades!$U$21,M269),1))*(POWER(Upgrades!$Q$13,E269)*POWER(Upgrades!$Q$14,F269)*POWER(Upgrades!$Q$15,G269)*POWER(Upgrades!$Q$16,H269)*POWER(Upgrades!$Q$17,I269)*POWER(Upgrades!$Q$18,J269)*POWER(Upgrades!$Q$19,K269)*POWER(Upgrades!$Q$20,L269)*POWER(Upgrades!$Q$21,M269))*$G$6*(Parameters!$B$10/60*Parameters!$B$11+Q269))/Upgrades!$C$18,0)),IF(K269&gt;0,0,IFERROR(0.30*P269/Upgrades!$C$19,0)),IF(L269&gt;0,0,IFERROR(0.0001/Upgrades!$C$20,0)),IF(M269&gt;0,0,IFERROR((6.0*(POWER(Upgrades!$P$13,E269)*POWER(Upgrades!$P$14,F269)*POWER(Upgrades!$P$15,G269)*POWER(Upgrades!$P$16,H269)*POWER(Upgrades!$P$17,I269)*POWER(Upgrades!$P$18,J269)*POWER(Upgrades!$P$19,K269)*POWER(Upgrades!$P$20,L269)*POWER(Upgrades!$P$21,M269))*$F$6+0.20*O269*(Parameters!$B$10/60*Parameters!$B$11+Q269))/Upgrades!$C$21,0)),IF(AND(ISNUMBER(AK269),AK269&gt;(C269+T269)),AY269,0),IF(AND(ISNUMBER(AL269),AL269&gt;(C269+T269)),AZ269,0),IF(AND(ISNUMBER(AM269),AM269&gt;(C269+T269)),BA269,0),IF(AND(ISNUMBER(AN269),AN269&gt;(C269+T269)),BB269,0),IF(AND(ISNUMBER(AO269),AO269&gt;(C269+T269)),BC269,0))</f>
        <v/>
      </c>
      <c r="BE269" s="29">
        <f>IF(AT269=1,"transition",IF(MIN(IF(AND(J269=0,ISNUMBER(AP269),AP269&lt;=(C269+T269)),AP269,9E15),IF(AND(K269=0,ISNUMBER(AQ269),AQ269&lt;=(C269+T269)),AQ269,9E15),IF(AND(L269=0,ISNUMBER(AR269),AR269&lt;=(C269+T269)),AR269,9E15),IF(AND(M269=0,ISNUMBER(AS269),AS269&lt;=(C269+T269)),AS269,9E15))&lt;9E15,IF(AND(AND(J269=0,ISNUMBER(AP269),AP269&lt;=(C269+T269)),AP269=MIN(IF(AND(J269=0,ISNUMBER(AP269),AP269&lt;=(C269+T269)),AP269,9E15),IF(AND(K269=0,ISNUMBER(AQ269),AQ269&lt;=(C269+T269)),AQ269,9E15),IF(AND(L269=0,ISNUMBER(AR269),AR269&lt;=(C269+T269)),AR269,9E15),IF(AND(M269=0,ISNUMBER(AS269),AS269&lt;=(C269+T269)),AS269,9E15))),"BiP",IF(AND(AND(K269=0,ISNUMBER(AQ269),AQ269&lt;=(C269+T269)),AQ269=MIN(IF(AND(J269=0,ISNUMBER(AP269),AP269&lt;=(C269+T269)),AP269,9E15),IF(AND(K269=0,ISNUMBER(AQ269),AQ269&lt;=(C269+T269)),AQ269,9E15),IF(AND(L269=0,ISNUMBER(AR269),AR269&lt;=(C269+T269)),AR269,9E15),IF(AND(M269=0,ISNUMBER(AS269),AS269&lt;=(C269+T269)),AS269,9E15))),"PV",IF(AND(AND(L269=0,ISNUMBER(AR269),AR269&lt;=(C269+T269)),AR269=MIN(IF(AND(J269=0,ISNUMBER(AP269),AP269&lt;=(C269+T269)),AP269,9E15),IF(AND(K269=0,ISNUMBER(AQ269),AQ269&lt;=(C269+T269)),AQ269,9E15),IF(AND(L269=0,ISNUMBER(AR269),AR269&lt;=(C269+T269)),AR269,9E15),IF(AND(M269=0,ISNUMBER(AS269),AS269&lt;=(C269+T269)),AS269,9E15))),"OC","MG"))),IF(AX269=TRUE,"",IF(MAX(IF(AND(NOT(AND(AU269=1,AT269&lt;&gt;1)),ISNUMBER(AK269),AK269&lt;=(C269+T269)),AY269,0),IF(AND(NOT(AND(AU269=1,AT269&lt;&gt;1)),ISNUMBER(AL269),AL269&lt;=(C269+T269)),AZ269,0),IF(AND(NOT(AND(AU269=1,AT269&lt;&gt;1)),ISNUMBER(AM269),AM269&lt;=(C269+T269)),BA269,0),IF(AND(NOT(AND(AU269=1,AT269&lt;&gt;1)),ISNUMBER(AN269),AN269&lt;=(C269+T269)),BB269,0),IF(AND(ISNUMBER(AO269),AO269&lt;=(C269+T269)),BC269,0))&lt;=0,"",IF(AND(IF(AND(NOT(AND(AU269=1,AT269&lt;&gt;1)),ISNUMBER(AK269),AK269&lt;=(C269+T269)),AY269,0)&gt;0,IF(AND(NOT(AND(AU269=1,AT269&lt;&gt;1)),ISNUMBER(AK269),AK269&lt;=(C269+T269)),AY269,0)=MAX(IF(AND(NOT(AND(AU269=1,AT269&lt;&gt;1)),ISNUMBER(AK269),AK269&lt;=(C269+T269)),AY269,0),IF(AND(NOT(AND(AU269=1,AT269&lt;&gt;1)),ISNUMBER(AL269),AL269&lt;=(C269+T269)),AZ269,0),IF(AND(NOT(AND(AU269=1,AT269&lt;&gt;1)),ISNUMBER(AM269),AM269&lt;=(C269+T269)),BA269,0),IF(AND(NOT(AND(AU269=1,AT269&lt;&gt;1)),ISNUMBER(AN269),AN269&lt;=(C269+T269)),BB269,0),IF(AND(ISNUMBER(AO269),AO269&lt;=(C269+T269)),BC269,0))),"SK",IF(AND(IF(AND(NOT(AND(AU269=1,AT269&lt;&gt;1)),ISNUMBER(AL269),AL269&lt;=(C269+T269)),AZ269,0)&gt;0,IF(AND(NOT(AND(AU269=1,AT269&lt;&gt;1)),ISNUMBER(AL269),AL269&lt;=(C269+T269)),AZ269,0)=MAX(IF(AND(NOT(AND(AU269=1,AT269&lt;&gt;1)),ISNUMBER(AK269),AK269&lt;=(C269+T269)),AY269,0),IF(AND(NOT(AND(AU269=1,AT269&lt;&gt;1)),ISNUMBER(AL269),AL269&lt;=(C269+T269)),AZ269,0),IF(AND(NOT(AND(AU269=1,AT269&lt;&gt;1)),ISNUMBER(AM269),AM269&lt;=(C269+T269)),BA269,0),IF(AND(NOT(AND(AU269=1,AT269&lt;&gt;1)),ISNUMBER(AN269),AN269&lt;=(C269+T269)),BB269,0),IF(AND(ISNUMBER(AO269),AO269&lt;=(C269+T269)),BC269,0))),"LB",IF(AND(IF(AND(NOT(AND(AU269=1,AT269&lt;&gt;1)),ISNUMBER(AM269),AM269&lt;=(C269+T269)),BA269,0)&gt;0,IF(AND(NOT(AND(AU269=1,AT269&lt;&gt;1)),ISNUMBER(AM269),AM269&lt;=(C269+T269)),BA269,0)=MAX(IF(AND(NOT(AND(AU269=1,AT269&lt;&gt;1)),ISNUMBER(AK269),AK269&lt;=(C269+T269)),AY269,0),IF(AND(NOT(AND(AU269=1,AT269&lt;&gt;1)),ISNUMBER(AL269),AL269&lt;=(C269+T269)),AZ269,0),IF(AND(NOT(AND(AU269=1,AT269&lt;&gt;1)),ISNUMBER(AM269),AM269&lt;=(C269+T269)),BA269,0),IF(AND(NOT(AND(AU269=1,AT269&lt;&gt;1)),ISNUMBER(AN269),AN269&lt;=(C269+T269)),BB269,0),IF(AND(ISNUMBER(AO269),AO269&lt;=(C269+T269)),BC269,0))),"ML",IF(AND(IF(AND(NOT(AND(AU269=1,AT269&lt;&gt;1)),ISNUMBER(AN269),AN269&lt;=(C269+T269)),BB269,0)&gt;0,IF(AND(NOT(AND(AU269=1,AT269&lt;&gt;1)),ISNUMBER(AN269),AN269&lt;=(C269+T269)),BB269,0)=MAX(IF(AND(NOT(AND(AU269=1,AT269&lt;&gt;1)),ISNUMBER(AK269),AK269&lt;=(C269+T269)),AY269,0),IF(AND(NOT(AND(AU269=1,AT269&lt;&gt;1)),ISNUMBER(AL269),AL269&lt;=(C269+T269)),AZ269,0),IF(AND(NOT(AND(AU269=1,AT269&lt;&gt;1)),ISNUMBER(AM269),AM269&lt;=(C269+T269)),BA269,0),IF(AND(NOT(AND(AU269=1,AT269&lt;&gt;1)),ISNUMBER(AN269),AN269&lt;=(C269+T269)),BB269,0),IF(AND(ISNUMBER(AO269),AO269&lt;=(C269+T269)),BC269,0))),"RLO","BD"))))))))</f>
        <v/>
      </c>
    </row>
    <row r="270">
      <c r="A270" s="26" t="n">
        <v>259</v>
      </c>
      <c r="B270" s="27">
        <f>A270*10/60</f>
        <v/>
      </c>
      <c r="C270" s="22">
        <f>X269</f>
        <v/>
      </c>
      <c r="D270" s="27">
        <f>D269+W269</f>
        <v/>
      </c>
      <c r="E270" s="26">
        <f>E269+IF(U269="SK",1,0)</f>
        <v/>
      </c>
      <c r="F270" s="26">
        <f>F269+IF(U269="LB",1,0)</f>
        <v/>
      </c>
      <c r="G270" s="26">
        <f>G269+IF(U269="ML",1,0)</f>
        <v/>
      </c>
      <c r="H270" s="26">
        <f>H269+IF(U269="RLO",1,0)</f>
        <v/>
      </c>
      <c r="I270" s="26">
        <f>I269+IF(U269="BD",1,0)</f>
        <v/>
      </c>
      <c r="J270" s="26">
        <f>MAX(J269,IF(U269="BiP",1,0))</f>
        <v/>
      </c>
      <c r="K270" s="26">
        <f>MAX(K269,IF(U269="PV",1,0))</f>
        <v/>
      </c>
      <c r="L270" s="26">
        <f>MAX(L269,IF(U269="OC",1,0))</f>
        <v/>
      </c>
      <c r="M270" s="26">
        <f>MAX(M269,IF(U269="MG",1,0))</f>
        <v/>
      </c>
      <c r="N270" s="26">
        <f>MAX(N269,IF(U269="transition",1,0))</f>
        <v/>
      </c>
      <c r="O270" s="28">
        <f>(Parameters!$B$9+(IF(E270=0,0,(Upgrades!$J$13+E270*Upgrades!$K$13)*POWER(Upgrades!$L$13,E270)))*(IF(Upgrades!$T$14="Stellar Kinematics",POWER(Upgrades!$U$14,F270),1)*IF(Upgrades!$T$15="Stellar Kinematics",POWER(Upgrades!$U$15,G270),1)*IF(Upgrades!$T$16="Stellar Kinematics",POWER(Upgrades!$U$16,H270),1)*IF(Upgrades!$T$17="Stellar Kinematics",POWER(Upgrades!$U$17,I270),1)*IF(Upgrades!$T$18="Stellar Kinematics",POWER(Upgrades!$U$18,J270),1)*IF(Upgrades!$T$19="Stellar Kinematics",POWER(Upgrades!$U$19,K270),1)*IF(Upgrades!$T$20="Stellar Kinematics",POWER(Upgrades!$U$20,L270),1)*IF(Upgrades!$T$21="Stellar Kinematics",POWER(Upgrades!$U$21,M270),1))+(IF(F270=0,0,(Upgrades!$J$14+F270*Upgrades!$K$14)*POWER(Upgrades!$L$14,F270)))*(IF(Upgrades!$T$13="Local Bubble",POWER(Upgrades!$U$13,E270),1)*IF(Upgrades!$T$15="Local Bubble",POWER(Upgrades!$U$15,G270),1)*IF(Upgrades!$T$16="Local Bubble",POWER(Upgrades!$U$16,H270),1)*IF(Upgrades!$T$17="Local Bubble",POWER(Upgrades!$U$17,I270),1)*IF(Upgrades!$T$18="Local Bubble",POWER(Upgrades!$U$18,J270),1)*IF(Upgrades!$T$19="Local Bubble",POWER(Upgrades!$U$19,K270),1)*IF(Upgrades!$T$20="Local Bubble",POWER(Upgrades!$U$20,L270),1)*IF(Upgrades!$T$21="Local Bubble",POWER(Upgrades!$U$21,M270),1))+(IF(G270=0,0,(Upgrades!$J$15+G270*Upgrades!$K$15)*POWER(Upgrades!$L$15,G270)))*(IF(Upgrades!$T$13="Microlensing",POWER(Upgrades!$U$13,E270),1)*IF(Upgrades!$T$14="Microlensing",POWER(Upgrades!$U$14,F270),1)*IF(Upgrades!$T$16="Microlensing",POWER(Upgrades!$U$16,H270),1)*IF(Upgrades!$T$17="Microlensing",POWER(Upgrades!$U$17,I270),1)*IF(Upgrades!$T$18="Microlensing",POWER(Upgrades!$U$18,J270),1)*IF(Upgrades!$T$19="Microlensing",POWER(Upgrades!$U$19,K270),1)*IF(Upgrades!$T$20="Microlensing",POWER(Upgrades!$U$20,L270),1)*IF(Upgrades!$T$21="Microlensing",POWER(Upgrades!$U$21,M270),1))+(IF(H270=0,0,(Upgrades!$J$16+H270*Upgrades!$K$16)*POWER(Upgrades!$L$16,H270)))*(IF(Upgrades!$T$13="Roche Lobe Overflow",POWER(Upgrades!$U$13,E270),1)*IF(Upgrades!$T$14="Roche Lobe Overflow",POWER(Upgrades!$U$14,F270),1)*IF(Upgrades!$T$15="Roche Lobe Overflow",POWER(Upgrades!$U$15,G270),1)*IF(Upgrades!$T$17="Roche Lobe Overflow",POWER(Upgrades!$U$17,I270),1)*IF(Upgrades!$T$18="Roche Lobe Overflow",POWER(Upgrades!$U$18,J270),1)*IF(Upgrades!$T$19="Roche Lobe Overflow",POWER(Upgrades!$U$19,K270),1)*IF(Upgrades!$T$20="Roche Lobe Overflow",POWER(Upgrades!$U$20,L270),1)*IF(Upgrades!$T$21="Roche Lobe Overflow",POWER(Upgrades!$U$21,M270),1))+(IF(I270=0,0,(Upgrades!$J$17+I270*Upgrades!$K$17)*POWER(Upgrades!$L$17,I270)))*(IF(Upgrades!$T$13="Brown Dwarf",POWER(Upgrades!$U$13,E270),1)*IF(Upgrades!$T$14="Brown Dwarf",POWER(Upgrades!$U$14,F270),1)*IF(Upgrades!$T$15="Brown Dwarf",POWER(Upgrades!$U$15,G270),1)*IF(Upgrades!$T$16="Brown Dwarf",POWER(Upgrades!$U$16,H270),1)*IF(Upgrades!$T$18="Brown Dwarf",POWER(Upgrades!$U$18,J270),1)*IF(Upgrades!$T$19="Brown Dwarf",POWER(Upgrades!$U$19,K270),1)*IF(Upgrades!$T$20="Brown Dwarf",POWER(Upgrades!$U$20,L270),1)*IF(Upgrades!$T$21="Brown Dwarf",POWER(Upgrades!$U$21,M270),1))+(IF(J270=0,0,(Upgrades!$J$18+J270*Upgrades!$K$18)*POWER(Upgrades!$L$18,J270)))*(IF(Upgrades!$T$13="Binary Partner",POWER(Upgrades!$U$13,E270),1)*IF(Upgrades!$T$14="Binary Partner",POWER(Upgrades!$U$14,F270),1)*IF(Upgrades!$T$15="Binary Partner",POWER(Upgrades!$U$15,G270),1)*IF(Upgrades!$T$16="Binary Partner",POWER(Upgrades!$U$16,H270),1)*IF(Upgrades!$T$17="Binary Partner",POWER(Upgrades!$U$17,I270),1)*IF(Upgrades!$T$19="Binary Partner",POWER(Upgrades!$U$19,K270),1)*IF(Upgrades!$T$20="Binary Partner",POWER(Upgrades!$U$20,L270),1)*IF(Upgrades!$T$21="Binary Partner",POWER(Upgrades!$U$21,M270),1))+(IF(K270=0,0,(Upgrades!$J$19+K270*Upgrades!$K$19)*POWER(Upgrades!$L$19,K270)))*(IF(Upgrades!$T$13="Peculiar Velocity",POWER(Upgrades!$U$13,E270),1)*IF(Upgrades!$T$14="Peculiar Velocity",POWER(Upgrades!$U$14,F270),1)*IF(Upgrades!$T$15="Peculiar Velocity",POWER(Upgrades!$U$15,G270),1)*IF(Upgrades!$T$16="Peculiar Velocity",POWER(Upgrades!$U$16,H270),1)*IF(Upgrades!$T$17="Peculiar Velocity",POWER(Upgrades!$U$17,I270),1)*IF(Upgrades!$T$18="Peculiar Velocity",POWER(Upgrades!$U$18,J270),1)*IF(Upgrades!$T$20="Peculiar Velocity",POWER(Upgrades!$U$20,L270),1)*IF(Upgrades!$T$21="Peculiar Velocity",POWER(Upgrades!$U$21,M270),1))+(IF(L270=0,0,(Upgrades!$J$20+L270*Upgrades!$K$20)*POWER(Upgrades!$L$20,L270)))*(IF(Upgrades!$T$13="Open Cluster",POWER(Upgrades!$U$13,E270),1)*IF(Upgrades!$T$14="Open Cluster",POWER(Upgrades!$U$14,F270),1)*IF(Upgrades!$T$15="Open Cluster",POWER(Upgrades!$U$15,G270),1)*IF(Upgrades!$T$16="Open Cluster",POWER(Upgrades!$U$16,H270),1)*IF(Upgrades!$T$17="Open Cluster",POWER(Upgrades!$U$17,I270),1)*IF(Upgrades!$T$18="Open Cluster",POWER(Upgrades!$U$18,J270),1)*IF(Upgrades!$T$19="Open Cluster",POWER(Upgrades!$U$19,K270),1)*IF(Upgrades!$T$21="Open Cluster",POWER(Upgrades!$U$21,M270),1))+(IF(M270=0,0,(Upgrades!$J$21+M270*Upgrades!$K$21)*POWER(Upgrades!$L$21,M270)))*(IF(Upgrades!$T$13="Moving Group",POWER(Upgrades!$U$13,E270),1)*IF(Upgrades!$T$14="Moving Group",POWER(Upgrades!$U$14,F270),1)*IF(Upgrades!$T$15="Moving Group",POWER(Upgrades!$U$15,G270),1)*IF(Upgrades!$T$16="Moving Group",POWER(Upgrades!$U$16,H270),1)*IF(Upgrades!$T$17="Moving Group",POWER(Upgrades!$U$17,I270),1)*IF(Upgrades!$T$18="Moving Group",POWER(Upgrades!$U$18,J270),1)*IF(Upgrades!$T$19="Moving Group",POWER(Upgrades!$U$19,K270),1)*IF(Upgrades!$T$20="Moving Group",POWER(Upgrades!$U$20,L270),1)))*POWER(Upgrades!$Q$13,E270)*POWER(Upgrades!$Q$14,F270)*POWER(Upgrades!$Q$15,G270)*POWER(Upgrades!$Q$16,H270)*POWER(Upgrades!$Q$17,I270)*POWER(Upgrades!$Q$18,J270)*POWER(Upgrades!$Q$19,K270)*POWER(Upgrades!$Q$20,L270)*POWER(Upgrades!$Q$21,M270)*$G$6+$D$6</f>
        <v/>
      </c>
      <c r="P270" s="28">
        <f>((IF(E270=0,0,(Upgrades!$G$13+E270*Upgrades!$H$13)*POWER(Upgrades!$I$13,E270)))*(IF(Upgrades!$T$14="Stellar Kinematics",POWER(Upgrades!$U$14,F270),1)*IF(Upgrades!$T$15="Stellar Kinematics",POWER(Upgrades!$U$15,G270),1)*IF(Upgrades!$T$16="Stellar Kinematics",POWER(Upgrades!$U$16,H270),1)*IF(Upgrades!$T$17="Stellar Kinematics",POWER(Upgrades!$U$17,I270),1)*IF(Upgrades!$T$18="Stellar Kinematics",POWER(Upgrades!$U$18,J270),1)*IF(Upgrades!$T$19="Stellar Kinematics",POWER(Upgrades!$U$19,K270),1)*IF(Upgrades!$T$20="Stellar Kinematics",POWER(Upgrades!$U$20,L270),1)*IF(Upgrades!$T$21="Stellar Kinematics",POWER(Upgrades!$U$21,M270),1))+(IF(F270=0,0,(Upgrades!$G$14+F270*Upgrades!$H$14)*POWER(Upgrades!$I$14,F270)))*(IF(Upgrades!$T$13="Local Bubble",POWER(Upgrades!$U$13,E270),1)*IF(Upgrades!$T$15="Local Bubble",POWER(Upgrades!$U$15,G270),1)*IF(Upgrades!$T$16="Local Bubble",POWER(Upgrades!$U$16,H270),1)*IF(Upgrades!$T$17="Local Bubble",POWER(Upgrades!$U$17,I270),1)*IF(Upgrades!$T$18="Local Bubble",POWER(Upgrades!$U$18,J270),1)*IF(Upgrades!$T$19="Local Bubble",POWER(Upgrades!$U$19,K270),1)*IF(Upgrades!$T$20="Local Bubble",POWER(Upgrades!$U$20,L270),1)*IF(Upgrades!$T$21="Local Bubble",POWER(Upgrades!$U$21,M270),1))+(IF(G270=0,0,(Upgrades!$G$15+G270*Upgrades!$H$15)*POWER(Upgrades!$I$15,G270)))*(IF(Upgrades!$T$13="Microlensing",POWER(Upgrades!$U$13,E270),1)*IF(Upgrades!$T$14="Microlensing",POWER(Upgrades!$U$14,F270),1)*IF(Upgrades!$T$16="Microlensing",POWER(Upgrades!$U$16,H270),1)*IF(Upgrades!$T$17="Microlensing",POWER(Upgrades!$U$17,I270),1)*IF(Upgrades!$T$18="Microlensing",POWER(Upgrades!$U$18,J270),1)*IF(Upgrades!$T$19="Microlensing",POWER(Upgrades!$U$19,K270),1)*IF(Upgrades!$T$20="Microlensing",POWER(Upgrades!$U$20,L270),1)*IF(Upgrades!$T$21="Microlensing",POWER(Upgrades!$U$21,M270),1))+(IF(H270=0,0,(Upgrades!$G$16+H270*Upgrades!$H$16)*POWER(Upgrades!$I$16,H270)))*(IF(Upgrades!$T$13="Roche Lobe Overflow",POWER(Upgrades!$U$13,E270),1)*IF(Upgrades!$T$14="Roche Lobe Overflow",POWER(Upgrades!$U$14,F270),1)*IF(Upgrades!$T$15="Roche Lobe Overflow",POWER(Upgrades!$U$15,G270),1)*IF(Upgrades!$T$17="Roche Lobe Overflow",POWER(Upgrades!$U$17,I270),1)*IF(Upgrades!$T$18="Roche Lobe Overflow",POWER(Upgrades!$U$18,J270),1)*IF(Upgrades!$T$19="Roche Lobe Overflow",POWER(Upgrades!$U$19,K270),1)*IF(Upgrades!$T$20="Roche Lobe Overflow",POWER(Upgrades!$U$20,L270),1)*IF(Upgrades!$T$21="Roche Lobe Overflow",POWER(Upgrades!$U$21,M270),1))+(IF(I270=0,0,(Upgrades!$G$17+I270*Upgrades!$H$17)*POWER(Upgrades!$I$17,I270)))*(IF(Upgrades!$T$13="Brown Dwarf",POWER(Upgrades!$U$13,E270),1)*IF(Upgrades!$T$14="Brown Dwarf",POWER(Upgrades!$U$14,F270),1)*IF(Upgrades!$T$15="Brown Dwarf",POWER(Upgrades!$U$15,G270),1)*IF(Upgrades!$T$16="Brown Dwarf",POWER(Upgrades!$U$16,H270),1)*IF(Upgrades!$T$18="Brown Dwarf",POWER(Upgrades!$U$18,J270),1)*IF(Upgrades!$T$19="Brown Dwarf",POWER(Upgrades!$U$19,K270),1)*IF(Upgrades!$T$20="Brown Dwarf",POWER(Upgrades!$U$20,L270),1)*IF(Upgrades!$T$21="Brown Dwarf",POWER(Upgrades!$U$21,M270),1))+(IF(J270=0,0,(Upgrades!$G$18+J270*Upgrades!$H$18)*POWER(Upgrades!$I$18,J270)))*(IF(Upgrades!$T$13="Binary Partner",POWER(Upgrades!$U$13,E270),1)*IF(Upgrades!$T$14="Binary Partner",POWER(Upgrades!$U$14,F270),1)*IF(Upgrades!$T$15="Binary Partner",POWER(Upgrades!$U$15,G270),1)*IF(Upgrades!$T$16="Binary Partner",POWER(Upgrades!$U$16,H270),1)*IF(Upgrades!$T$17="Binary Partner",POWER(Upgrades!$U$17,I270),1)*IF(Upgrades!$T$19="Binary Partner",POWER(Upgrades!$U$19,K270),1)*IF(Upgrades!$T$20="Binary Partner",POWER(Upgrades!$U$20,L270),1)*IF(Upgrades!$T$21="Binary Partner",POWER(Upgrades!$U$21,M270),1))+(IF(K270=0,0,(Upgrades!$G$19+K270*Upgrades!$H$19)*POWER(Upgrades!$I$19,K270)))*(IF(Upgrades!$T$13="Peculiar Velocity",POWER(Upgrades!$U$13,E270),1)*IF(Upgrades!$T$14="Peculiar Velocity",POWER(Upgrades!$U$14,F270),1)*IF(Upgrades!$T$15="Peculiar Velocity",POWER(Upgrades!$U$15,G270),1)*IF(Upgrades!$T$16="Peculiar Velocity",POWER(Upgrades!$U$16,H270),1)*IF(Upgrades!$T$17="Peculiar Velocity",POWER(Upgrades!$U$17,I270),1)*IF(Upgrades!$T$18="Peculiar Velocity",POWER(Upgrades!$U$18,J270),1)*IF(Upgrades!$T$20="Peculiar Velocity",POWER(Upgrades!$U$20,L270),1)*IF(Upgrades!$T$21="Peculiar Velocity",POWER(Upgrades!$U$21,M270),1))+(IF(L270=0,0,(Upgrades!$G$20+L270*Upgrades!$H$20)*POWER(Upgrades!$I$20,L270)))*(IF(Upgrades!$T$13="Open Cluster",POWER(Upgrades!$U$13,E270),1)*IF(Upgrades!$T$14="Open Cluster",POWER(Upgrades!$U$14,F270),1)*IF(Upgrades!$T$15="Open Cluster",POWER(Upgrades!$U$15,G270),1)*IF(Upgrades!$T$16="Open Cluster",POWER(Upgrades!$U$16,H270),1)*IF(Upgrades!$T$17="Open Cluster",POWER(Upgrades!$U$17,I270),1)*IF(Upgrades!$T$18="Open Cluster",POWER(Upgrades!$U$18,J270),1)*IF(Upgrades!$T$19="Open Cluster",POWER(Upgrades!$U$19,K270),1)*IF(Upgrades!$T$21="Open Cluster",POWER(Upgrades!$U$21,M270),1))+(IF(M270=0,0,(Upgrades!$G$21+M270*Upgrades!$H$21)*POWER(Upgrades!$I$21,M270)))*(IF(Upgrades!$T$13="Moving Group",POWER(Upgrades!$U$13,E270),1)*IF(Upgrades!$T$14="Moving Group",POWER(Upgrades!$U$14,F270),1)*IF(Upgrades!$T$15="Moving Group",POWER(Upgrades!$U$15,G270),1)*IF(Upgrades!$T$16="Moving Group",POWER(Upgrades!$U$16,H270),1)*IF(Upgrades!$T$17="Moving Group",POWER(Upgrades!$U$17,I270),1)*IF(Upgrades!$T$18="Moving Group",POWER(Upgrades!$U$18,J270),1)*IF(Upgrades!$T$19="Moving Group",POWER(Upgrades!$U$19,K270),1)*IF(Upgrades!$T$20="Moving Group",POWER(Upgrades!$U$20,L270),1)))*POWER(Upgrades!$P$13,E270)*POWER(Upgrades!$P$14,F270)*POWER(Upgrades!$P$15,G270)*POWER(Upgrades!$P$16,H270)*POWER(Upgrades!$P$17,I270)*POWER(Upgrades!$P$18,J270)*POWER(Upgrades!$P$19,K270)*POWER(Upgrades!$P$20,L270)*POWER(Upgrades!$P$21,M270)*$F$6+$C$6</f>
        <v/>
      </c>
      <c r="Q270" s="28">
        <f>((IF(E270=0,0,(Upgrades!$M$13+E270*Upgrades!$N$13)*POWER(Upgrades!$O$13,E270)))*(IF(Upgrades!$T$14="Stellar Kinematics",POWER(Upgrades!$U$14,F270),1)*IF(Upgrades!$T$15="Stellar Kinematics",POWER(Upgrades!$U$15,G270),1)*IF(Upgrades!$T$16="Stellar Kinematics",POWER(Upgrades!$U$16,H270),1)*IF(Upgrades!$T$17="Stellar Kinematics",POWER(Upgrades!$U$17,I270),1)*IF(Upgrades!$T$18="Stellar Kinematics",POWER(Upgrades!$U$18,J270),1)*IF(Upgrades!$T$19="Stellar Kinematics",POWER(Upgrades!$U$19,K270),1)*IF(Upgrades!$T$20="Stellar Kinematics",POWER(Upgrades!$U$20,L270),1)*IF(Upgrades!$T$21="Stellar Kinematics",POWER(Upgrades!$U$21,M270),1))+(IF(F270=0,0,(Upgrades!$M$14+F270*Upgrades!$N$14)*POWER(Upgrades!$O$14,F270)))*(IF(Upgrades!$T$13="Local Bubble",POWER(Upgrades!$U$13,E270),1)*IF(Upgrades!$T$15="Local Bubble",POWER(Upgrades!$U$15,G270),1)*IF(Upgrades!$T$16="Local Bubble",POWER(Upgrades!$U$16,H270),1)*IF(Upgrades!$T$17="Local Bubble",POWER(Upgrades!$U$17,I270),1)*IF(Upgrades!$T$18="Local Bubble",POWER(Upgrades!$U$18,J270),1)*IF(Upgrades!$T$19="Local Bubble",POWER(Upgrades!$U$19,K270),1)*IF(Upgrades!$T$20="Local Bubble",POWER(Upgrades!$U$20,L270),1)*IF(Upgrades!$T$21="Local Bubble",POWER(Upgrades!$U$21,M270),1))+(IF(G270=0,0,(Upgrades!$M$15+G270*Upgrades!$N$15)*POWER(Upgrades!$O$15,G270)))*(IF(Upgrades!$T$13="Microlensing",POWER(Upgrades!$U$13,E270),1)*IF(Upgrades!$T$14="Microlensing",POWER(Upgrades!$U$14,F270),1)*IF(Upgrades!$T$16="Microlensing",POWER(Upgrades!$U$16,H270),1)*IF(Upgrades!$T$17="Microlensing",POWER(Upgrades!$U$17,I270),1)*IF(Upgrades!$T$18="Microlensing",POWER(Upgrades!$U$18,J270),1)*IF(Upgrades!$T$19="Microlensing",POWER(Upgrades!$U$19,K270),1)*IF(Upgrades!$T$20="Microlensing",POWER(Upgrades!$U$20,L270),1)*IF(Upgrades!$T$21="Microlensing",POWER(Upgrades!$U$21,M270),1))+(IF(H270=0,0,(Upgrades!$M$16+H270*Upgrades!$N$16)*POWER(Upgrades!$O$16,H270)))*(IF(Upgrades!$T$13="Roche Lobe Overflow",POWER(Upgrades!$U$13,E270),1)*IF(Upgrades!$T$14="Roche Lobe Overflow",POWER(Upgrades!$U$14,F270),1)*IF(Upgrades!$T$15="Roche Lobe Overflow",POWER(Upgrades!$U$15,G270),1)*IF(Upgrades!$T$17="Roche Lobe Overflow",POWER(Upgrades!$U$17,I270),1)*IF(Upgrades!$T$18="Roche Lobe Overflow",POWER(Upgrades!$U$18,J270),1)*IF(Upgrades!$T$19="Roche Lobe Overflow",POWER(Upgrades!$U$19,K270),1)*IF(Upgrades!$T$20="Roche Lobe Overflow",POWER(Upgrades!$U$20,L270),1)*IF(Upgrades!$T$21="Roche Lobe Overflow",POWER(Upgrades!$U$21,M270),1))+(IF(I270=0,0,(Upgrades!$M$17+I270*Upgrades!$N$17)*POWER(Upgrades!$O$17,I270)))*(IF(Upgrades!$T$13="Brown Dwarf",POWER(Upgrades!$U$13,E270),1)*IF(Upgrades!$T$14="Brown Dwarf",POWER(Upgrades!$U$14,F270),1)*IF(Upgrades!$T$15="Brown Dwarf",POWER(Upgrades!$U$15,G270),1)*IF(Upgrades!$T$16="Brown Dwarf",POWER(Upgrades!$U$16,H270),1)*IF(Upgrades!$T$18="Brown Dwarf",POWER(Upgrades!$U$18,J270),1)*IF(Upgrades!$T$19="Brown Dwarf",POWER(Upgrades!$U$19,K270),1)*IF(Upgrades!$T$20="Brown Dwarf",POWER(Upgrades!$U$20,L270),1)*IF(Upgrades!$T$21="Brown Dwarf",POWER(Upgrades!$U$21,M270),1))+(IF(J270=0,0,(Upgrades!$M$18+J270*Upgrades!$N$18)*POWER(Upgrades!$O$18,J270)))*(IF(Upgrades!$T$13="Binary Partner",POWER(Upgrades!$U$13,E270),1)*IF(Upgrades!$T$14="Binary Partner",POWER(Upgrades!$U$14,F270),1)*IF(Upgrades!$T$15="Binary Partner",POWER(Upgrades!$U$15,G270),1)*IF(Upgrades!$T$16="Binary Partner",POWER(Upgrades!$U$16,H270),1)*IF(Upgrades!$T$17="Binary Partner",POWER(Upgrades!$U$17,I270),1)*IF(Upgrades!$T$19="Binary Partner",POWER(Upgrades!$U$19,K270),1)*IF(Upgrades!$T$20="Binary Partner",POWER(Upgrades!$U$20,L270),1)*IF(Upgrades!$T$21="Binary Partner",POWER(Upgrades!$U$21,M270),1))+(IF(K270=0,0,(Upgrades!$M$19+K270*Upgrades!$N$19)*POWER(Upgrades!$O$19,K270)))*(IF(Upgrades!$T$13="Peculiar Velocity",POWER(Upgrades!$U$13,E270),1)*IF(Upgrades!$T$14="Peculiar Velocity",POWER(Upgrades!$U$14,F270),1)*IF(Upgrades!$T$15="Peculiar Velocity",POWER(Upgrades!$U$15,G270),1)*IF(Upgrades!$T$16="Peculiar Velocity",POWER(Upgrades!$U$16,H270),1)*IF(Upgrades!$T$17="Peculiar Velocity",POWER(Upgrades!$U$17,I270),1)*IF(Upgrades!$T$18="Peculiar Velocity",POWER(Upgrades!$U$18,J270),1)*IF(Upgrades!$T$20="Peculiar Velocity",POWER(Upgrades!$U$20,L270),1)*IF(Upgrades!$T$21="Peculiar Velocity",POWER(Upgrades!$U$21,M270),1))+(IF(L270=0,0,(Upgrades!$M$20+L270*Upgrades!$N$20)*POWER(Upgrades!$O$20,L270)))*(IF(Upgrades!$T$13="Open Cluster",POWER(Upgrades!$U$13,E270),1)*IF(Upgrades!$T$14="Open Cluster",POWER(Upgrades!$U$14,F270),1)*IF(Upgrades!$T$15="Open Cluster",POWER(Upgrades!$U$15,G270),1)*IF(Upgrades!$T$16="Open Cluster",POWER(Upgrades!$U$16,H270),1)*IF(Upgrades!$T$17="Open Cluster",POWER(Upgrades!$U$17,I270),1)*IF(Upgrades!$T$18="Open Cluster",POWER(Upgrades!$U$18,J270),1)*IF(Upgrades!$T$19="Open Cluster",POWER(Upgrades!$U$19,K270),1)*IF(Upgrades!$T$21="Open Cluster",POWER(Upgrades!$U$21,M270),1))+(IF(M270=0,0,(Upgrades!$M$21+M270*Upgrades!$N$21)*POWER(Upgrades!$O$21,M270)))*(IF(Upgrades!$T$13="Moving Group",POWER(Upgrades!$U$13,E270),1)*IF(Upgrades!$T$14="Moving Group",POWER(Upgrades!$U$14,F270),1)*IF(Upgrades!$T$15="Moving Group",POWER(Upgrades!$U$15,G270),1)*IF(Upgrades!$T$16="Moving Group",POWER(Upgrades!$U$16,H270),1)*IF(Upgrades!$T$17="Moving Group",POWER(Upgrades!$U$17,I270),1)*IF(Upgrades!$T$18="Moving Group",POWER(Upgrades!$U$18,J270),1)*IF(Upgrades!$T$19="Moving Group",POWER(Upgrades!$U$19,K270),1)*IF(Upgrades!$T$20="Moving Group",POWER(Upgrades!$U$20,L270),1)))*POWER(Upgrades!$R$13,E270)*POWER(Upgrades!$R$14,F270)*POWER(Upgrades!$R$15,G270)*POWER(Upgrades!$R$16,H270)*POWER(Upgrades!$R$17,I270)*POWER(Upgrades!$R$18,J270)*POWER(Upgrades!$R$19,K270)*POWER(Upgrades!$R$20,L270)*POWER(Upgrades!$R$21,M270)*$H$6+$E$6</f>
        <v/>
      </c>
      <c r="R270" s="27">
        <f>IF(N270=1,0,O270*Parameters!$B$10/60*Parameters!$B$11*10)</f>
        <v/>
      </c>
      <c r="S270" s="27">
        <f>IF(N270=1,0,Q270*O270*10)</f>
        <v/>
      </c>
      <c r="T270" s="27">
        <f>IF(N270=1,0,R270+S270+P270*10)</f>
        <v/>
      </c>
      <c r="U270" s="33">
        <f>BE270</f>
        <v/>
      </c>
      <c r="V270" s="22">
        <f>IF(U270="",0,IF(U270="transition",0,IF(U270="SK",AK270,IF(U270="LB",AL270,IF(U270="ML",AM270,IF(U270="RLO",AN270,IF(U270="BD",AO270,IF(U270="BiP",AP270,IF(U270="PV",AQ270,IF(U270="OC",AR270,IF(U270="MG",AS270,0))))))))))</f>
        <v/>
      </c>
      <c r="W270" s="27">
        <f>IF(U270="BiP",Upgrades!$F$18,IF(U270="PV",Upgrades!$F$19,IF(U270="OC",Upgrades!$F$20,IF(U270="MG",Upgrades!$F$21,IF(U270="transition",-Parameters!$B$18*Parameters!$B$19,0)))))</f>
        <v/>
      </c>
      <c r="X270" s="22">
        <f>C270+T270-V270</f>
        <v/>
      </c>
      <c r="Y270" s="30">
        <f>O270*Parameters!$B$10/60*Parameters!$B$11+Q270*O270+P270</f>
        <v/>
      </c>
      <c r="Z270" s="34">
        <f>IF(U270="transition","→ Tier 3 (Galactic Arm)",IF(U270="MG","Moving Group — pocket drifts together",IF(U270="OC","Open Cluster acquired",IF(U270="PV","Peculiar Velocity — passive multiplier active",IF(U270="BiP","Binary Partner — pair bond formed",IF(AND(AU270=1,N270=0,AT270&lt;&gt;1),"Cohesion ready (waiting on completionists)","")))))) </f>
        <v/>
      </c>
      <c r="AA270" s="27">
        <f>(IF(E270=0,0,(Upgrades!$G$13+E270*Upgrades!$H$13)*POWER(Upgrades!$I$13,E270)))*(IF(Upgrades!$T$14="Stellar Kinematics",POWER(Upgrades!$U$14,F270),1)*IF(Upgrades!$T$15="Stellar Kinematics",POWER(Upgrades!$U$15,G270),1)*IF(Upgrades!$T$16="Stellar Kinematics",POWER(Upgrades!$U$16,H270),1)*IF(Upgrades!$T$17="Stellar Kinematics",POWER(Upgrades!$U$17,I270),1)*IF(Upgrades!$T$18="Stellar Kinematics",POWER(Upgrades!$U$18,J270),1)*IF(Upgrades!$T$19="Stellar Kinematics",POWER(Upgrades!$U$19,K270),1)*IF(Upgrades!$T$20="Stellar Kinematics",POWER(Upgrades!$U$20,L270),1)*IF(Upgrades!$T$21="Stellar Kinematics",POWER(Upgrades!$U$21,M270),1))*POWER(Upgrades!$P$13,E270)*POWER(Upgrades!$P$14,F270)*POWER(Upgrades!$P$15,G270)*POWER(Upgrades!$P$16,H270)*POWER(Upgrades!$P$17,I270)*POWER(Upgrades!$P$18,J270)*POWER(Upgrades!$P$19,K270)*POWER(Upgrades!$P$20,L270)*POWER(Upgrades!$P$21,M270)*$F$6*60</f>
        <v/>
      </c>
      <c r="AB270" s="27">
        <f>(IF(F270=0,0,(Upgrades!$G$14+F270*Upgrades!$H$14)*POWER(Upgrades!$I$14,F270)))*(IF(Upgrades!$T$13="Local Bubble",POWER(Upgrades!$U$13,E270),1)*IF(Upgrades!$T$15="Local Bubble",POWER(Upgrades!$U$15,G270),1)*IF(Upgrades!$T$16="Local Bubble",POWER(Upgrades!$U$16,H270),1)*IF(Upgrades!$T$17="Local Bubble",POWER(Upgrades!$U$17,I270),1)*IF(Upgrades!$T$18="Local Bubble",POWER(Upgrades!$U$18,J270),1)*IF(Upgrades!$T$19="Local Bubble",POWER(Upgrades!$U$19,K270),1)*IF(Upgrades!$T$20="Local Bubble",POWER(Upgrades!$U$20,L270),1)*IF(Upgrades!$T$21="Local Bubble",POWER(Upgrades!$U$21,M270),1))*POWER(Upgrades!$P$13,E270)*POWER(Upgrades!$P$14,F270)*POWER(Upgrades!$P$15,G270)*POWER(Upgrades!$P$16,H270)*POWER(Upgrades!$P$17,I270)*POWER(Upgrades!$P$18,J270)*POWER(Upgrades!$P$19,K270)*POWER(Upgrades!$P$20,L270)*POWER(Upgrades!$P$21,M270)*$F$6*60</f>
        <v/>
      </c>
      <c r="AC270" s="27">
        <f>(IF(G270=0,0,(Upgrades!$J$15+G270*Upgrades!$K$15)*POWER(Upgrades!$L$15,G270)))*(IF(Upgrades!$T$13="Microlensing",POWER(Upgrades!$U$13,E270),1)*IF(Upgrades!$T$14="Microlensing",POWER(Upgrades!$U$14,F270),1)*IF(Upgrades!$T$16="Microlensing",POWER(Upgrades!$U$16,H270),1)*IF(Upgrades!$T$17="Microlensing",POWER(Upgrades!$U$17,I270),1)*IF(Upgrades!$T$18="Microlensing",POWER(Upgrades!$U$18,J270),1)*IF(Upgrades!$T$19="Microlensing",POWER(Upgrades!$U$19,K270),1)*IF(Upgrades!$T$20="Microlensing",POWER(Upgrades!$U$20,L270),1)*IF(Upgrades!$T$21="Microlensing",POWER(Upgrades!$U$21,M270),1))*POWER(Upgrades!$Q$13,E270)*POWER(Upgrades!$Q$14,F270)*POWER(Upgrades!$Q$15,G270)*POWER(Upgrades!$Q$16,H270)*POWER(Upgrades!$Q$17,I270)*POWER(Upgrades!$Q$18,J270)*POWER(Upgrades!$Q$19,K270)*POWER(Upgrades!$Q$20,L270)*POWER(Upgrades!$Q$21,M270)*$G$6*(Parameters!$B$10*Parameters!$B$11+Q270*60)</f>
        <v/>
      </c>
      <c r="AD270" s="27">
        <f>(IF(H270=0,0,(Upgrades!$M$16+H270*Upgrades!$N$16)*POWER(Upgrades!$O$16,H270)))*(IF(Upgrades!$T$13="Roche Lobe Overflow",POWER(Upgrades!$U$13,E270),1)*IF(Upgrades!$T$14="Roche Lobe Overflow",POWER(Upgrades!$U$14,F270),1)*IF(Upgrades!$T$15="Roche Lobe Overflow",POWER(Upgrades!$U$15,G270),1)*IF(Upgrades!$T$17="Roche Lobe Overflow",POWER(Upgrades!$U$17,I270),1)*IF(Upgrades!$T$18="Roche Lobe Overflow",POWER(Upgrades!$U$18,J270),1)*IF(Upgrades!$T$19="Roche Lobe Overflow",POWER(Upgrades!$U$19,K270),1)*IF(Upgrades!$T$20="Roche Lobe Overflow",POWER(Upgrades!$U$20,L270),1)*IF(Upgrades!$T$21="Roche Lobe Overflow",POWER(Upgrades!$U$21,M270),1))*POWER(Upgrades!$R$13,E270)*POWER(Upgrades!$R$14,F270)*POWER(Upgrades!$R$15,G270)*POWER(Upgrades!$R$16,H270)*POWER(Upgrades!$R$17,I270)*POWER(Upgrades!$R$18,J270)*POWER(Upgrades!$R$19,K270)*POWER(Upgrades!$R$20,L270)*POWER(Upgrades!$R$21,M270)*$H$6*O270*60</f>
        <v/>
      </c>
      <c r="AE270" s="27">
        <f>(IF(I270=0,0,(Upgrades!$G$17+I270*Upgrades!$H$17)*POWER(Upgrades!$I$17,I270)))*(IF(Upgrades!$T$13="Brown Dwarf",POWER(Upgrades!$U$13,E270),1)*IF(Upgrades!$T$14="Brown Dwarf",POWER(Upgrades!$U$14,F270),1)*IF(Upgrades!$T$15="Brown Dwarf",POWER(Upgrades!$U$15,G270),1)*IF(Upgrades!$T$16="Brown Dwarf",POWER(Upgrades!$U$16,H270),1)*IF(Upgrades!$T$18="Brown Dwarf",POWER(Upgrades!$U$18,J270),1)*IF(Upgrades!$T$19="Brown Dwarf",POWER(Upgrades!$U$19,K270),1)*IF(Upgrades!$T$20="Brown Dwarf",POWER(Upgrades!$U$20,L270),1)*IF(Upgrades!$T$21="Brown Dwarf",POWER(Upgrades!$U$21,M270),1))*POWER(Upgrades!$P$13,E270)*POWER(Upgrades!$P$14,F270)*POWER(Upgrades!$P$15,G270)*POWER(Upgrades!$P$16,H270)*POWER(Upgrades!$P$17,I270)*POWER(Upgrades!$P$18,J270)*POWER(Upgrades!$P$19,K270)*POWER(Upgrades!$P$20,L270)*POWER(Upgrades!$P$21,M270)*$F$6*60</f>
        <v/>
      </c>
      <c r="AF270" s="27" t="n">
        <v>0</v>
      </c>
      <c r="AG270" s="27" t="n">
        <v>0</v>
      </c>
      <c r="AH270" s="27" t="n">
        <v>0</v>
      </c>
      <c r="AI270" s="27">
        <f>(IF(M270=0,0,(Upgrades!$G$21+M270*Upgrades!$H$21)*POWER(Upgrades!$I$21,M270)))*(IF(Upgrades!$T$13="Moving Group",POWER(Upgrades!$U$13,E270),1)*IF(Upgrades!$T$14="Moving Group",POWER(Upgrades!$U$14,F270),1)*IF(Upgrades!$T$15="Moving Group",POWER(Upgrades!$U$15,G270),1)*IF(Upgrades!$T$16="Moving Group",POWER(Upgrades!$U$16,H270),1)*IF(Upgrades!$T$17="Moving Group",POWER(Upgrades!$U$17,I270),1)*IF(Upgrades!$T$18="Moving Group",POWER(Upgrades!$U$18,J270),1)*IF(Upgrades!$T$19="Moving Group",POWER(Upgrades!$U$19,K270),1)*IF(Upgrades!$T$20="Moving Group",POWER(Upgrades!$U$20,L270),1))*POWER(Upgrades!$P$13,E270)*POWER(Upgrades!$P$14,F270)*POWER(Upgrades!$P$15,G270)*POWER(Upgrades!$P$16,H270)*POWER(Upgrades!$P$17,I270)*POWER(Upgrades!$P$18,J270)*POWER(Upgrades!$P$19,K270)*POWER(Upgrades!$P$20,L270)*POWER(Upgrades!$P$21,M270)*$F$6*60</f>
        <v/>
      </c>
      <c r="AJ270" s="27">
        <f>$C$6*60</f>
        <v/>
      </c>
      <c r="AK270" s="22">
        <f>IF(E270&gt;=Upgrades!$E$13,"",Upgrades!$C$13*POWER(Upgrades!$D$13,E270))</f>
        <v/>
      </c>
      <c r="AL270" s="22">
        <f>IF(F270&gt;=Upgrades!$E$14,"",Upgrades!$C$14*POWER(Upgrades!$D$14,F270))</f>
        <v/>
      </c>
      <c r="AM270" s="22">
        <f>IF(G270&gt;=Upgrades!$E$15,"",Upgrades!$C$15*POWER(Upgrades!$D$15,G270))</f>
        <v/>
      </c>
      <c r="AN270" s="22">
        <f>IF(H270&gt;=Upgrades!$E$16,"",Upgrades!$C$16*POWER(Upgrades!$D$16,H270))</f>
        <v/>
      </c>
      <c r="AO270" s="22">
        <f>IF(I270&gt;=Upgrades!$E$17,"",Upgrades!$C$17*POWER(Upgrades!$D$17,I270))</f>
        <v/>
      </c>
      <c r="AP270" s="22">
        <f>IF(J270&gt;=Upgrades!$E$18,"",Upgrades!$C$18*POWER(Upgrades!$D$18,J270))</f>
        <v/>
      </c>
      <c r="AQ270" s="22">
        <f>IF(K270&gt;=Upgrades!$E$19,"",Upgrades!$C$19*POWER(Upgrades!$D$19,K270))</f>
        <v/>
      </c>
      <c r="AR270" s="22">
        <f>IF(L270&gt;=Upgrades!$E$20,"",Upgrades!$C$20*POWER(Upgrades!$D$20,L270))</f>
        <v/>
      </c>
      <c r="AS270" s="22">
        <f>IF(M270&gt;=Upgrades!$E$21,"",Upgrades!$C$21*POWER(Upgrades!$D$21,M270))</f>
        <v/>
      </c>
      <c r="AT270" s="26">
        <f>IF(AND(D270&gt;=Parameters!$B$18*Parameters!$B$19,(I270&gt;=Upgrades!$E$17)*(M270&gt;=Upgrades!$E$21)=1,N270=0),1,"")</f>
        <v/>
      </c>
      <c r="AU270" s="26">
        <f>IF(AND(D270&gt;=Parameters!$B$18*Parameters!$B$19,N270=0),1,"")</f>
        <v/>
      </c>
      <c r="AV270" s="22">
        <f>MIN(IF(ISNUMBER(AP270),AP270,9E15),IF(ISNUMBER(AQ270),AQ270,9E15),IF(ISNUMBER(AR270),AR270,9E15),IF(ISNUMBER(AS270),AS270,9E15))</f>
        <v/>
      </c>
      <c r="AW270" s="22">
        <f>MIN(IF(ISNUMBER(AK270),AK270,9E15),IF(ISNUMBER(AL270),AL270,9E15),IF(ISNUMBER(AM270),AM270,9E15),IF(ISNUMBER(AN270),AN270,9E15),IF(ISNUMBER(AO270),AO270,9E15))</f>
        <v/>
      </c>
      <c r="AX270" s="29">
        <f>IF(BD270&gt;Parameters!$B$21*(MAX(IF(AND(NOT(AND(AU270=1,AT270&lt;&gt;1)),ISNUMBER(AK270),AK270&lt;=(C270+T270)),AY270,0),IF(AND(NOT(AND(AU270=1,AT270&lt;&gt;1)),ISNUMBER(AL270),AL270&lt;=(C270+T270)),AZ270,0),IF(AND(NOT(AND(AU270=1,AT270&lt;&gt;1)),ISNUMBER(AM270),AM270&lt;=(C270+T270)),BA270,0),IF(AND(NOT(AND(AU270=1,AT270&lt;&gt;1)),ISNUMBER(AN270),AN270&lt;=(C270+T270)),BB270,0),IF(AND(ISNUMBER(AO270),AO270&lt;=(C270+T270)),BC270,0))),TRUE,FALSE)</f>
        <v/>
      </c>
      <c r="AY270" s="32">
        <f>IFERROR(Upgrades!$H$13*(POWER(Upgrades!$P$13,E270)*POWER(Upgrades!$P$14,F270)*POWER(Upgrades!$P$15,G270)*POWER(Upgrades!$P$16,H270)*POWER(Upgrades!$P$17,I270)*POWER(Upgrades!$P$18,J270)*POWER(Upgrades!$P$19,K270)*POWER(Upgrades!$P$20,L270)*POWER(Upgrades!$P$21,M270))*(IF(Upgrades!$T$14="Stellar Kinematics",POWER(Upgrades!$U$14,F270),1)*IF(Upgrades!$T$15="Stellar Kinematics",POWER(Upgrades!$U$15,G270),1)*IF(Upgrades!$T$16="Stellar Kinematics",POWER(Upgrades!$U$16,H270),1)*IF(Upgrades!$T$17="Stellar Kinematics",POWER(Upgrades!$U$17,I270),1)*IF(Upgrades!$T$18="Stellar Kinematics",POWER(Upgrades!$U$18,J270),1)*IF(Upgrades!$T$19="Stellar Kinematics",POWER(Upgrades!$U$19,K270),1)*IF(Upgrades!$T$20="Stellar Kinematics",POWER(Upgrades!$U$20,L270),1)*IF(Upgrades!$T$21="Stellar Kinematics",POWER(Upgrades!$U$21,M270),1))*$F$6/AK270,0)</f>
        <v/>
      </c>
      <c r="AZ270" s="32">
        <f>IFERROR(Upgrades!$H$14*(POWER(Upgrades!$P$13,E270)*POWER(Upgrades!$P$14,F270)*POWER(Upgrades!$P$15,G270)*POWER(Upgrades!$P$16,H270)*POWER(Upgrades!$P$17,I270)*POWER(Upgrades!$P$18,J270)*POWER(Upgrades!$P$19,K270)*POWER(Upgrades!$P$20,L270)*POWER(Upgrades!$P$21,M270))*(IF(Upgrades!$T$13="Local Bubble",POWER(Upgrades!$U$13,E270),1)*IF(Upgrades!$T$15="Local Bubble",POWER(Upgrades!$U$15,G270),1)*IF(Upgrades!$T$16="Local Bubble",POWER(Upgrades!$U$16,H270),1)*IF(Upgrades!$T$17="Local Bubble",POWER(Upgrades!$U$17,I270),1)*IF(Upgrades!$T$18="Local Bubble",POWER(Upgrades!$U$18,J270),1)*IF(Upgrades!$T$19="Local Bubble",POWER(Upgrades!$U$19,K270),1)*IF(Upgrades!$T$20="Local Bubble",POWER(Upgrades!$U$20,L270),1)*IF(Upgrades!$T$21="Local Bubble",POWER(Upgrades!$U$21,M270),1))*$F$6/AL270,0)</f>
        <v/>
      </c>
      <c r="BA270" s="32">
        <f>IFERROR(Upgrades!$K$15*(POWER(Upgrades!$Q$13,E270)*POWER(Upgrades!$Q$14,F270)*POWER(Upgrades!$Q$15,G270)*POWER(Upgrades!$Q$16,H270)*POWER(Upgrades!$Q$17,I270)*POWER(Upgrades!$Q$18,J270)*POWER(Upgrades!$Q$19,K270)*POWER(Upgrades!$Q$20,L270)*POWER(Upgrades!$Q$21,M270))*(IF(Upgrades!$T$13="Microlensing",POWER(Upgrades!$U$13,E270),1)*IF(Upgrades!$T$14="Microlensing",POWER(Upgrades!$U$14,F270),1)*IF(Upgrades!$T$16="Microlensing",POWER(Upgrades!$U$16,H270),1)*IF(Upgrades!$T$17="Microlensing",POWER(Upgrades!$U$17,I270),1)*IF(Upgrades!$T$18="Microlensing",POWER(Upgrades!$U$18,J270),1)*IF(Upgrades!$T$19="Microlensing",POWER(Upgrades!$U$19,K270),1)*IF(Upgrades!$T$20="Microlensing",POWER(Upgrades!$U$20,L270),1)*IF(Upgrades!$T$21="Microlensing",POWER(Upgrades!$U$21,M270),1))*$G$6*(Parameters!$B$10/60*Parameters!$B$11+Q270)/AM270,0)</f>
        <v/>
      </c>
      <c r="BB270" s="32">
        <f>IFERROR((Upgrades!$N$16*(POWER(Upgrades!$R$13,E270)*POWER(Upgrades!$R$14,F270)*POWER(Upgrades!$R$15,G270)*POWER(Upgrades!$R$16,H270)*POWER(Upgrades!$R$17,I270)*POWER(Upgrades!$R$18,J270)*POWER(Upgrades!$R$19,K270)*POWER(Upgrades!$R$20,L270)*POWER(Upgrades!$R$21,M270))*(IF(Upgrades!$T$13="Roche Lobe Overflow",POWER(Upgrades!$U$13,E270),1)*IF(Upgrades!$T$14="Roche Lobe Overflow",POWER(Upgrades!$U$14,F270),1)*IF(Upgrades!$T$15="Roche Lobe Overflow",POWER(Upgrades!$U$15,G270),1)*IF(Upgrades!$T$17="Roche Lobe Overflow",POWER(Upgrades!$U$17,I270),1)*IF(Upgrades!$T$18="Roche Lobe Overflow",POWER(Upgrades!$U$18,J270),1)*IF(Upgrades!$T$19="Roche Lobe Overflow",POWER(Upgrades!$U$19,K270),1)*IF(Upgrades!$T$20="Roche Lobe Overflow",POWER(Upgrades!$U$20,L270),1)*IF(Upgrades!$T$21="Roche Lobe Overflow",POWER(Upgrades!$U$21,M270),1))*$H$6*O270+((IF(F270=0,0,(Upgrades!$G$14+F270*Upgrades!$H$14)*POWER(Upgrades!$I$14,F270)))*(IF(Upgrades!$T$13="Local Bubble",POWER(Upgrades!$U$13,E270),1)*IF(Upgrades!$T$15="Local Bubble",POWER(Upgrades!$U$15,G270),1)*IF(Upgrades!$T$16="Local Bubble",POWER(Upgrades!$U$16,H270),1)*IF(Upgrades!$T$17="Local Bubble",POWER(Upgrades!$U$17,I270),1)*IF(Upgrades!$T$18="Local Bubble",POWER(Upgrades!$U$18,J270),1)*IF(Upgrades!$T$19="Local Bubble",POWER(Upgrades!$U$19,K270),1)*IF(Upgrades!$T$20="Local Bubble",POWER(Upgrades!$U$20,L270),1)*IF(Upgrades!$T$21="Local Bubble",POWER(Upgrades!$U$21,M270),1))*POWER(Upgrades!$P$13,E270)*POWER(Upgrades!$P$14,F270)*POWER(Upgrades!$P$15,G270)*POWER(Upgrades!$P$16,H270)*POWER(Upgrades!$P$17,I270)*POWER(Upgrades!$P$18,J270)*POWER(Upgrades!$P$19,K270)*POWER(Upgrades!$P$20,L270)*POWER(Upgrades!$P$21,M270)*$F$6)*0.05)/AN270,0)</f>
        <v/>
      </c>
      <c r="BC270" s="32">
        <f>IFERROR((Upgrades!$H$17*(POWER(Upgrades!$P$13,E270)*POWER(Upgrades!$P$14,F270)*POWER(Upgrades!$P$15,G270)*POWER(Upgrades!$P$16,H270)*POWER(Upgrades!$P$17,I270)*POWER(Upgrades!$P$18,J270)*POWER(Upgrades!$P$19,K270)*POWER(Upgrades!$P$20,L270)*POWER(Upgrades!$P$21,M270))*(IF(Upgrades!$T$13="Brown Dwarf",POWER(Upgrades!$U$13,E270),1)*IF(Upgrades!$T$14="Brown Dwarf",POWER(Upgrades!$U$14,F270),1)*IF(Upgrades!$T$15="Brown Dwarf",POWER(Upgrades!$U$15,G270),1)*IF(Upgrades!$T$16="Brown Dwarf",POWER(Upgrades!$U$16,H270),1)*IF(Upgrades!$T$18="Brown Dwarf",POWER(Upgrades!$U$18,J270),1)*IF(Upgrades!$T$19="Brown Dwarf",POWER(Upgrades!$U$19,K270),1)*IF(Upgrades!$T$20="Brown Dwarf",POWER(Upgrades!$U$20,L270),1)*IF(Upgrades!$T$21="Brown Dwarf",POWER(Upgrades!$U$21,M270),1))*$F$6+(((IF(H270=0,0,(Upgrades!$M$16+H270*Upgrades!$N$16)*POWER(Upgrades!$O$16,H270)))*(IF(Upgrades!$T$13="Roche Lobe Overflow",POWER(Upgrades!$U$13,E270),1)*IF(Upgrades!$T$14="Roche Lobe Overflow",POWER(Upgrades!$U$14,F270),1)*IF(Upgrades!$T$15="Roche Lobe Overflow",POWER(Upgrades!$U$15,G270),1)*IF(Upgrades!$T$17="Roche Lobe Overflow",POWER(Upgrades!$U$17,I270),1)*IF(Upgrades!$T$18="Roche Lobe Overflow",POWER(Upgrades!$U$18,J270),1)*IF(Upgrades!$T$19="Roche Lobe Overflow",POWER(Upgrades!$U$19,K270),1)*IF(Upgrades!$T$20="Roche Lobe Overflow",POWER(Upgrades!$U$20,L270),1)*IF(Upgrades!$T$21="Roche Lobe Overflow",POWER(Upgrades!$U$21,M270),1))*POWER(Upgrades!$R$13,E270)*POWER(Upgrades!$R$14,F270)*POWER(Upgrades!$R$15,G270)*POWER(Upgrades!$R$16,H270)*POWER(Upgrades!$R$17,I270)*POWER(Upgrades!$R$18,J270)*POWER(Upgrades!$R$19,K270)*POWER(Upgrades!$R$20,L270)*POWER(Upgrades!$R$21,M270)*$H$6)*O270)*0.10)/AO270,0)</f>
        <v/>
      </c>
      <c r="BD270" s="32">
        <f>MAX(IF(J270&gt;0,0,IFERROR(0.5*((IF(G270=0,0,(Upgrades!$J$15+G270*Upgrades!$K$15)*POWER(Upgrades!$L$15,G270)))*(IF(Upgrades!$T$13="Microlensing",POWER(Upgrades!$U$13,E270),1)*IF(Upgrades!$T$14="Microlensing",POWER(Upgrades!$U$14,F270),1)*IF(Upgrades!$T$16="Microlensing",POWER(Upgrades!$U$16,H270),1)*IF(Upgrades!$T$17="Microlensing",POWER(Upgrades!$U$17,I270),1)*IF(Upgrades!$T$18="Microlensing",POWER(Upgrades!$U$18,J270),1)*IF(Upgrades!$T$19="Microlensing",POWER(Upgrades!$U$19,K270),1)*IF(Upgrades!$T$20="Microlensing",POWER(Upgrades!$U$20,L270),1)*IF(Upgrades!$T$21="Microlensing",POWER(Upgrades!$U$21,M270),1))*(POWER(Upgrades!$Q$13,E270)*POWER(Upgrades!$Q$14,F270)*POWER(Upgrades!$Q$15,G270)*POWER(Upgrades!$Q$16,H270)*POWER(Upgrades!$Q$17,I270)*POWER(Upgrades!$Q$18,J270)*POWER(Upgrades!$Q$19,K270)*POWER(Upgrades!$Q$20,L270)*POWER(Upgrades!$Q$21,M270))*$G$6*(Parameters!$B$10/60*Parameters!$B$11+Q270))/Upgrades!$C$18,0)),IF(K270&gt;0,0,IFERROR(0.30*P270/Upgrades!$C$19,0)),IF(L270&gt;0,0,IFERROR(0.0001/Upgrades!$C$20,0)),IF(M270&gt;0,0,IFERROR((6.0*(POWER(Upgrades!$P$13,E270)*POWER(Upgrades!$P$14,F270)*POWER(Upgrades!$P$15,G270)*POWER(Upgrades!$P$16,H270)*POWER(Upgrades!$P$17,I270)*POWER(Upgrades!$P$18,J270)*POWER(Upgrades!$P$19,K270)*POWER(Upgrades!$P$20,L270)*POWER(Upgrades!$P$21,M270))*$F$6+0.20*O270*(Parameters!$B$10/60*Parameters!$B$11+Q270))/Upgrades!$C$21,0)),IF(AND(ISNUMBER(AK270),AK270&gt;(C270+T270)),AY270,0),IF(AND(ISNUMBER(AL270),AL270&gt;(C270+T270)),AZ270,0),IF(AND(ISNUMBER(AM270),AM270&gt;(C270+T270)),BA270,0),IF(AND(ISNUMBER(AN270),AN270&gt;(C270+T270)),BB270,0),IF(AND(ISNUMBER(AO270),AO270&gt;(C270+T270)),BC270,0))</f>
        <v/>
      </c>
      <c r="BE270" s="29">
        <f>IF(AT270=1,"transition",IF(MIN(IF(AND(J270=0,ISNUMBER(AP270),AP270&lt;=(C270+T270)),AP270,9E15),IF(AND(K270=0,ISNUMBER(AQ270),AQ270&lt;=(C270+T270)),AQ270,9E15),IF(AND(L270=0,ISNUMBER(AR270),AR270&lt;=(C270+T270)),AR270,9E15),IF(AND(M270=0,ISNUMBER(AS270),AS270&lt;=(C270+T270)),AS270,9E15))&lt;9E15,IF(AND(AND(J270=0,ISNUMBER(AP270),AP270&lt;=(C270+T270)),AP270=MIN(IF(AND(J270=0,ISNUMBER(AP270),AP270&lt;=(C270+T270)),AP270,9E15),IF(AND(K270=0,ISNUMBER(AQ270),AQ270&lt;=(C270+T270)),AQ270,9E15),IF(AND(L270=0,ISNUMBER(AR270),AR270&lt;=(C270+T270)),AR270,9E15),IF(AND(M270=0,ISNUMBER(AS270),AS270&lt;=(C270+T270)),AS270,9E15))),"BiP",IF(AND(AND(K270=0,ISNUMBER(AQ270),AQ270&lt;=(C270+T270)),AQ270=MIN(IF(AND(J270=0,ISNUMBER(AP270),AP270&lt;=(C270+T270)),AP270,9E15),IF(AND(K270=0,ISNUMBER(AQ270),AQ270&lt;=(C270+T270)),AQ270,9E15),IF(AND(L270=0,ISNUMBER(AR270),AR270&lt;=(C270+T270)),AR270,9E15),IF(AND(M270=0,ISNUMBER(AS270),AS270&lt;=(C270+T270)),AS270,9E15))),"PV",IF(AND(AND(L270=0,ISNUMBER(AR270),AR270&lt;=(C270+T270)),AR270=MIN(IF(AND(J270=0,ISNUMBER(AP270),AP270&lt;=(C270+T270)),AP270,9E15),IF(AND(K270=0,ISNUMBER(AQ270),AQ270&lt;=(C270+T270)),AQ270,9E15),IF(AND(L270=0,ISNUMBER(AR270),AR270&lt;=(C270+T270)),AR270,9E15),IF(AND(M270=0,ISNUMBER(AS270),AS270&lt;=(C270+T270)),AS270,9E15))),"OC","MG"))),IF(AX270=TRUE,"",IF(MAX(IF(AND(NOT(AND(AU270=1,AT270&lt;&gt;1)),ISNUMBER(AK270),AK270&lt;=(C270+T270)),AY270,0),IF(AND(NOT(AND(AU270=1,AT270&lt;&gt;1)),ISNUMBER(AL270),AL270&lt;=(C270+T270)),AZ270,0),IF(AND(NOT(AND(AU270=1,AT270&lt;&gt;1)),ISNUMBER(AM270),AM270&lt;=(C270+T270)),BA270,0),IF(AND(NOT(AND(AU270=1,AT270&lt;&gt;1)),ISNUMBER(AN270),AN270&lt;=(C270+T270)),BB270,0),IF(AND(ISNUMBER(AO270),AO270&lt;=(C270+T270)),BC270,0))&lt;=0,"",IF(AND(IF(AND(NOT(AND(AU270=1,AT270&lt;&gt;1)),ISNUMBER(AK270),AK270&lt;=(C270+T270)),AY270,0)&gt;0,IF(AND(NOT(AND(AU270=1,AT270&lt;&gt;1)),ISNUMBER(AK270),AK270&lt;=(C270+T270)),AY270,0)=MAX(IF(AND(NOT(AND(AU270=1,AT270&lt;&gt;1)),ISNUMBER(AK270),AK270&lt;=(C270+T270)),AY270,0),IF(AND(NOT(AND(AU270=1,AT270&lt;&gt;1)),ISNUMBER(AL270),AL270&lt;=(C270+T270)),AZ270,0),IF(AND(NOT(AND(AU270=1,AT270&lt;&gt;1)),ISNUMBER(AM270),AM270&lt;=(C270+T270)),BA270,0),IF(AND(NOT(AND(AU270=1,AT270&lt;&gt;1)),ISNUMBER(AN270),AN270&lt;=(C270+T270)),BB270,0),IF(AND(ISNUMBER(AO270),AO270&lt;=(C270+T270)),BC270,0))),"SK",IF(AND(IF(AND(NOT(AND(AU270=1,AT270&lt;&gt;1)),ISNUMBER(AL270),AL270&lt;=(C270+T270)),AZ270,0)&gt;0,IF(AND(NOT(AND(AU270=1,AT270&lt;&gt;1)),ISNUMBER(AL270),AL270&lt;=(C270+T270)),AZ270,0)=MAX(IF(AND(NOT(AND(AU270=1,AT270&lt;&gt;1)),ISNUMBER(AK270),AK270&lt;=(C270+T270)),AY270,0),IF(AND(NOT(AND(AU270=1,AT270&lt;&gt;1)),ISNUMBER(AL270),AL270&lt;=(C270+T270)),AZ270,0),IF(AND(NOT(AND(AU270=1,AT270&lt;&gt;1)),ISNUMBER(AM270),AM270&lt;=(C270+T270)),BA270,0),IF(AND(NOT(AND(AU270=1,AT270&lt;&gt;1)),ISNUMBER(AN270),AN270&lt;=(C270+T270)),BB270,0),IF(AND(ISNUMBER(AO270),AO270&lt;=(C270+T270)),BC270,0))),"LB",IF(AND(IF(AND(NOT(AND(AU270=1,AT270&lt;&gt;1)),ISNUMBER(AM270),AM270&lt;=(C270+T270)),BA270,0)&gt;0,IF(AND(NOT(AND(AU270=1,AT270&lt;&gt;1)),ISNUMBER(AM270),AM270&lt;=(C270+T270)),BA270,0)=MAX(IF(AND(NOT(AND(AU270=1,AT270&lt;&gt;1)),ISNUMBER(AK270),AK270&lt;=(C270+T270)),AY270,0),IF(AND(NOT(AND(AU270=1,AT270&lt;&gt;1)),ISNUMBER(AL270),AL270&lt;=(C270+T270)),AZ270,0),IF(AND(NOT(AND(AU270=1,AT270&lt;&gt;1)),ISNUMBER(AM270),AM270&lt;=(C270+T270)),BA270,0),IF(AND(NOT(AND(AU270=1,AT270&lt;&gt;1)),ISNUMBER(AN270),AN270&lt;=(C270+T270)),BB270,0),IF(AND(ISNUMBER(AO270),AO270&lt;=(C270+T270)),BC270,0))),"ML",IF(AND(IF(AND(NOT(AND(AU270=1,AT270&lt;&gt;1)),ISNUMBER(AN270),AN270&lt;=(C270+T270)),BB270,0)&gt;0,IF(AND(NOT(AND(AU270=1,AT270&lt;&gt;1)),ISNUMBER(AN270),AN270&lt;=(C270+T270)),BB270,0)=MAX(IF(AND(NOT(AND(AU270=1,AT270&lt;&gt;1)),ISNUMBER(AK270),AK270&lt;=(C270+T270)),AY270,0),IF(AND(NOT(AND(AU270=1,AT270&lt;&gt;1)),ISNUMBER(AL270),AL270&lt;=(C270+T270)),AZ270,0),IF(AND(NOT(AND(AU270=1,AT270&lt;&gt;1)),ISNUMBER(AM270),AM270&lt;=(C270+T270)),BA270,0),IF(AND(NOT(AND(AU270=1,AT270&lt;&gt;1)),ISNUMBER(AN270),AN270&lt;=(C270+T270)),BB270,0),IF(AND(ISNUMBER(AO270),AO270&lt;=(C270+T270)),BC270,0))),"RLO","BD"))))))))</f>
        <v/>
      </c>
    </row>
    <row r="271">
      <c r="A271" s="26" t="n">
        <v>260</v>
      </c>
      <c r="B271" s="27">
        <f>A271*10/60</f>
        <v/>
      </c>
      <c r="C271" s="22">
        <f>X270</f>
        <v/>
      </c>
      <c r="D271" s="27">
        <f>D270+W270</f>
        <v/>
      </c>
      <c r="E271" s="26">
        <f>E270+IF(U270="SK",1,0)</f>
        <v/>
      </c>
      <c r="F271" s="26">
        <f>F270+IF(U270="LB",1,0)</f>
        <v/>
      </c>
      <c r="G271" s="26">
        <f>G270+IF(U270="ML",1,0)</f>
        <v/>
      </c>
      <c r="H271" s="26">
        <f>H270+IF(U270="RLO",1,0)</f>
        <v/>
      </c>
      <c r="I271" s="26">
        <f>I270+IF(U270="BD",1,0)</f>
        <v/>
      </c>
      <c r="J271" s="26">
        <f>MAX(J270,IF(U270="BiP",1,0))</f>
        <v/>
      </c>
      <c r="K271" s="26">
        <f>MAX(K270,IF(U270="PV",1,0))</f>
        <v/>
      </c>
      <c r="L271" s="26">
        <f>MAX(L270,IF(U270="OC",1,0))</f>
        <v/>
      </c>
      <c r="M271" s="26">
        <f>MAX(M270,IF(U270="MG",1,0))</f>
        <v/>
      </c>
      <c r="N271" s="26">
        <f>MAX(N270,IF(U270="transition",1,0))</f>
        <v/>
      </c>
      <c r="O271" s="28">
        <f>(Parameters!$B$9+(IF(E271=0,0,(Upgrades!$J$13+E271*Upgrades!$K$13)*POWER(Upgrades!$L$13,E271)))*(IF(Upgrades!$T$14="Stellar Kinematics",POWER(Upgrades!$U$14,F271),1)*IF(Upgrades!$T$15="Stellar Kinematics",POWER(Upgrades!$U$15,G271),1)*IF(Upgrades!$T$16="Stellar Kinematics",POWER(Upgrades!$U$16,H271),1)*IF(Upgrades!$T$17="Stellar Kinematics",POWER(Upgrades!$U$17,I271),1)*IF(Upgrades!$T$18="Stellar Kinematics",POWER(Upgrades!$U$18,J271),1)*IF(Upgrades!$T$19="Stellar Kinematics",POWER(Upgrades!$U$19,K271),1)*IF(Upgrades!$T$20="Stellar Kinematics",POWER(Upgrades!$U$20,L271),1)*IF(Upgrades!$T$21="Stellar Kinematics",POWER(Upgrades!$U$21,M271),1))+(IF(F271=0,0,(Upgrades!$J$14+F271*Upgrades!$K$14)*POWER(Upgrades!$L$14,F271)))*(IF(Upgrades!$T$13="Local Bubble",POWER(Upgrades!$U$13,E271),1)*IF(Upgrades!$T$15="Local Bubble",POWER(Upgrades!$U$15,G271),1)*IF(Upgrades!$T$16="Local Bubble",POWER(Upgrades!$U$16,H271),1)*IF(Upgrades!$T$17="Local Bubble",POWER(Upgrades!$U$17,I271),1)*IF(Upgrades!$T$18="Local Bubble",POWER(Upgrades!$U$18,J271),1)*IF(Upgrades!$T$19="Local Bubble",POWER(Upgrades!$U$19,K271),1)*IF(Upgrades!$T$20="Local Bubble",POWER(Upgrades!$U$20,L271),1)*IF(Upgrades!$T$21="Local Bubble",POWER(Upgrades!$U$21,M271),1))+(IF(G271=0,0,(Upgrades!$J$15+G271*Upgrades!$K$15)*POWER(Upgrades!$L$15,G271)))*(IF(Upgrades!$T$13="Microlensing",POWER(Upgrades!$U$13,E271),1)*IF(Upgrades!$T$14="Microlensing",POWER(Upgrades!$U$14,F271),1)*IF(Upgrades!$T$16="Microlensing",POWER(Upgrades!$U$16,H271),1)*IF(Upgrades!$T$17="Microlensing",POWER(Upgrades!$U$17,I271),1)*IF(Upgrades!$T$18="Microlensing",POWER(Upgrades!$U$18,J271),1)*IF(Upgrades!$T$19="Microlensing",POWER(Upgrades!$U$19,K271),1)*IF(Upgrades!$T$20="Microlensing",POWER(Upgrades!$U$20,L271),1)*IF(Upgrades!$T$21="Microlensing",POWER(Upgrades!$U$21,M271),1))+(IF(H271=0,0,(Upgrades!$J$16+H271*Upgrades!$K$16)*POWER(Upgrades!$L$16,H271)))*(IF(Upgrades!$T$13="Roche Lobe Overflow",POWER(Upgrades!$U$13,E271),1)*IF(Upgrades!$T$14="Roche Lobe Overflow",POWER(Upgrades!$U$14,F271),1)*IF(Upgrades!$T$15="Roche Lobe Overflow",POWER(Upgrades!$U$15,G271),1)*IF(Upgrades!$T$17="Roche Lobe Overflow",POWER(Upgrades!$U$17,I271),1)*IF(Upgrades!$T$18="Roche Lobe Overflow",POWER(Upgrades!$U$18,J271),1)*IF(Upgrades!$T$19="Roche Lobe Overflow",POWER(Upgrades!$U$19,K271),1)*IF(Upgrades!$T$20="Roche Lobe Overflow",POWER(Upgrades!$U$20,L271),1)*IF(Upgrades!$T$21="Roche Lobe Overflow",POWER(Upgrades!$U$21,M271),1))+(IF(I271=0,0,(Upgrades!$J$17+I271*Upgrades!$K$17)*POWER(Upgrades!$L$17,I271)))*(IF(Upgrades!$T$13="Brown Dwarf",POWER(Upgrades!$U$13,E271),1)*IF(Upgrades!$T$14="Brown Dwarf",POWER(Upgrades!$U$14,F271),1)*IF(Upgrades!$T$15="Brown Dwarf",POWER(Upgrades!$U$15,G271),1)*IF(Upgrades!$T$16="Brown Dwarf",POWER(Upgrades!$U$16,H271),1)*IF(Upgrades!$T$18="Brown Dwarf",POWER(Upgrades!$U$18,J271),1)*IF(Upgrades!$T$19="Brown Dwarf",POWER(Upgrades!$U$19,K271),1)*IF(Upgrades!$T$20="Brown Dwarf",POWER(Upgrades!$U$20,L271),1)*IF(Upgrades!$T$21="Brown Dwarf",POWER(Upgrades!$U$21,M271),1))+(IF(J271=0,0,(Upgrades!$J$18+J271*Upgrades!$K$18)*POWER(Upgrades!$L$18,J271)))*(IF(Upgrades!$T$13="Binary Partner",POWER(Upgrades!$U$13,E271),1)*IF(Upgrades!$T$14="Binary Partner",POWER(Upgrades!$U$14,F271),1)*IF(Upgrades!$T$15="Binary Partner",POWER(Upgrades!$U$15,G271),1)*IF(Upgrades!$T$16="Binary Partner",POWER(Upgrades!$U$16,H271),1)*IF(Upgrades!$T$17="Binary Partner",POWER(Upgrades!$U$17,I271),1)*IF(Upgrades!$T$19="Binary Partner",POWER(Upgrades!$U$19,K271),1)*IF(Upgrades!$T$20="Binary Partner",POWER(Upgrades!$U$20,L271),1)*IF(Upgrades!$T$21="Binary Partner",POWER(Upgrades!$U$21,M271),1))+(IF(K271=0,0,(Upgrades!$J$19+K271*Upgrades!$K$19)*POWER(Upgrades!$L$19,K271)))*(IF(Upgrades!$T$13="Peculiar Velocity",POWER(Upgrades!$U$13,E271),1)*IF(Upgrades!$T$14="Peculiar Velocity",POWER(Upgrades!$U$14,F271),1)*IF(Upgrades!$T$15="Peculiar Velocity",POWER(Upgrades!$U$15,G271),1)*IF(Upgrades!$T$16="Peculiar Velocity",POWER(Upgrades!$U$16,H271),1)*IF(Upgrades!$T$17="Peculiar Velocity",POWER(Upgrades!$U$17,I271),1)*IF(Upgrades!$T$18="Peculiar Velocity",POWER(Upgrades!$U$18,J271),1)*IF(Upgrades!$T$20="Peculiar Velocity",POWER(Upgrades!$U$20,L271),1)*IF(Upgrades!$T$21="Peculiar Velocity",POWER(Upgrades!$U$21,M271),1))+(IF(L271=0,0,(Upgrades!$J$20+L271*Upgrades!$K$20)*POWER(Upgrades!$L$20,L271)))*(IF(Upgrades!$T$13="Open Cluster",POWER(Upgrades!$U$13,E271),1)*IF(Upgrades!$T$14="Open Cluster",POWER(Upgrades!$U$14,F271),1)*IF(Upgrades!$T$15="Open Cluster",POWER(Upgrades!$U$15,G271),1)*IF(Upgrades!$T$16="Open Cluster",POWER(Upgrades!$U$16,H271),1)*IF(Upgrades!$T$17="Open Cluster",POWER(Upgrades!$U$17,I271),1)*IF(Upgrades!$T$18="Open Cluster",POWER(Upgrades!$U$18,J271),1)*IF(Upgrades!$T$19="Open Cluster",POWER(Upgrades!$U$19,K271),1)*IF(Upgrades!$T$21="Open Cluster",POWER(Upgrades!$U$21,M271),1))+(IF(M271=0,0,(Upgrades!$J$21+M271*Upgrades!$K$21)*POWER(Upgrades!$L$21,M271)))*(IF(Upgrades!$T$13="Moving Group",POWER(Upgrades!$U$13,E271),1)*IF(Upgrades!$T$14="Moving Group",POWER(Upgrades!$U$14,F271),1)*IF(Upgrades!$T$15="Moving Group",POWER(Upgrades!$U$15,G271),1)*IF(Upgrades!$T$16="Moving Group",POWER(Upgrades!$U$16,H271),1)*IF(Upgrades!$T$17="Moving Group",POWER(Upgrades!$U$17,I271),1)*IF(Upgrades!$T$18="Moving Group",POWER(Upgrades!$U$18,J271),1)*IF(Upgrades!$T$19="Moving Group",POWER(Upgrades!$U$19,K271),1)*IF(Upgrades!$T$20="Moving Group",POWER(Upgrades!$U$20,L271),1)))*POWER(Upgrades!$Q$13,E271)*POWER(Upgrades!$Q$14,F271)*POWER(Upgrades!$Q$15,G271)*POWER(Upgrades!$Q$16,H271)*POWER(Upgrades!$Q$17,I271)*POWER(Upgrades!$Q$18,J271)*POWER(Upgrades!$Q$19,K271)*POWER(Upgrades!$Q$20,L271)*POWER(Upgrades!$Q$21,M271)*$G$6+$D$6</f>
        <v/>
      </c>
      <c r="P271" s="28">
        <f>((IF(E271=0,0,(Upgrades!$G$13+E271*Upgrades!$H$13)*POWER(Upgrades!$I$13,E271)))*(IF(Upgrades!$T$14="Stellar Kinematics",POWER(Upgrades!$U$14,F271),1)*IF(Upgrades!$T$15="Stellar Kinematics",POWER(Upgrades!$U$15,G271),1)*IF(Upgrades!$T$16="Stellar Kinematics",POWER(Upgrades!$U$16,H271),1)*IF(Upgrades!$T$17="Stellar Kinematics",POWER(Upgrades!$U$17,I271),1)*IF(Upgrades!$T$18="Stellar Kinematics",POWER(Upgrades!$U$18,J271),1)*IF(Upgrades!$T$19="Stellar Kinematics",POWER(Upgrades!$U$19,K271),1)*IF(Upgrades!$T$20="Stellar Kinematics",POWER(Upgrades!$U$20,L271),1)*IF(Upgrades!$T$21="Stellar Kinematics",POWER(Upgrades!$U$21,M271),1))+(IF(F271=0,0,(Upgrades!$G$14+F271*Upgrades!$H$14)*POWER(Upgrades!$I$14,F271)))*(IF(Upgrades!$T$13="Local Bubble",POWER(Upgrades!$U$13,E271),1)*IF(Upgrades!$T$15="Local Bubble",POWER(Upgrades!$U$15,G271),1)*IF(Upgrades!$T$16="Local Bubble",POWER(Upgrades!$U$16,H271),1)*IF(Upgrades!$T$17="Local Bubble",POWER(Upgrades!$U$17,I271),1)*IF(Upgrades!$T$18="Local Bubble",POWER(Upgrades!$U$18,J271),1)*IF(Upgrades!$T$19="Local Bubble",POWER(Upgrades!$U$19,K271),1)*IF(Upgrades!$T$20="Local Bubble",POWER(Upgrades!$U$20,L271),1)*IF(Upgrades!$T$21="Local Bubble",POWER(Upgrades!$U$21,M271),1))+(IF(G271=0,0,(Upgrades!$G$15+G271*Upgrades!$H$15)*POWER(Upgrades!$I$15,G271)))*(IF(Upgrades!$T$13="Microlensing",POWER(Upgrades!$U$13,E271),1)*IF(Upgrades!$T$14="Microlensing",POWER(Upgrades!$U$14,F271),1)*IF(Upgrades!$T$16="Microlensing",POWER(Upgrades!$U$16,H271),1)*IF(Upgrades!$T$17="Microlensing",POWER(Upgrades!$U$17,I271),1)*IF(Upgrades!$T$18="Microlensing",POWER(Upgrades!$U$18,J271),1)*IF(Upgrades!$T$19="Microlensing",POWER(Upgrades!$U$19,K271),1)*IF(Upgrades!$T$20="Microlensing",POWER(Upgrades!$U$20,L271),1)*IF(Upgrades!$T$21="Microlensing",POWER(Upgrades!$U$21,M271),1))+(IF(H271=0,0,(Upgrades!$G$16+H271*Upgrades!$H$16)*POWER(Upgrades!$I$16,H271)))*(IF(Upgrades!$T$13="Roche Lobe Overflow",POWER(Upgrades!$U$13,E271),1)*IF(Upgrades!$T$14="Roche Lobe Overflow",POWER(Upgrades!$U$14,F271),1)*IF(Upgrades!$T$15="Roche Lobe Overflow",POWER(Upgrades!$U$15,G271),1)*IF(Upgrades!$T$17="Roche Lobe Overflow",POWER(Upgrades!$U$17,I271),1)*IF(Upgrades!$T$18="Roche Lobe Overflow",POWER(Upgrades!$U$18,J271),1)*IF(Upgrades!$T$19="Roche Lobe Overflow",POWER(Upgrades!$U$19,K271),1)*IF(Upgrades!$T$20="Roche Lobe Overflow",POWER(Upgrades!$U$20,L271),1)*IF(Upgrades!$T$21="Roche Lobe Overflow",POWER(Upgrades!$U$21,M271),1))+(IF(I271=0,0,(Upgrades!$G$17+I271*Upgrades!$H$17)*POWER(Upgrades!$I$17,I271)))*(IF(Upgrades!$T$13="Brown Dwarf",POWER(Upgrades!$U$13,E271),1)*IF(Upgrades!$T$14="Brown Dwarf",POWER(Upgrades!$U$14,F271),1)*IF(Upgrades!$T$15="Brown Dwarf",POWER(Upgrades!$U$15,G271),1)*IF(Upgrades!$T$16="Brown Dwarf",POWER(Upgrades!$U$16,H271),1)*IF(Upgrades!$T$18="Brown Dwarf",POWER(Upgrades!$U$18,J271),1)*IF(Upgrades!$T$19="Brown Dwarf",POWER(Upgrades!$U$19,K271),1)*IF(Upgrades!$T$20="Brown Dwarf",POWER(Upgrades!$U$20,L271),1)*IF(Upgrades!$T$21="Brown Dwarf",POWER(Upgrades!$U$21,M271),1))+(IF(J271=0,0,(Upgrades!$G$18+J271*Upgrades!$H$18)*POWER(Upgrades!$I$18,J271)))*(IF(Upgrades!$T$13="Binary Partner",POWER(Upgrades!$U$13,E271),1)*IF(Upgrades!$T$14="Binary Partner",POWER(Upgrades!$U$14,F271),1)*IF(Upgrades!$T$15="Binary Partner",POWER(Upgrades!$U$15,G271),1)*IF(Upgrades!$T$16="Binary Partner",POWER(Upgrades!$U$16,H271),1)*IF(Upgrades!$T$17="Binary Partner",POWER(Upgrades!$U$17,I271),1)*IF(Upgrades!$T$19="Binary Partner",POWER(Upgrades!$U$19,K271),1)*IF(Upgrades!$T$20="Binary Partner",POWER(Upgrades!$U$20,L271),1)*IF(Upgrades!$T$21="Binary Partner",POWER(Upgrades!$U$21,M271),1))+(IF(K271=0,0,(Upgrades!$G$19+K271*Upgrades!$H$19)*POWER(Upgrades!$I$19,K271)))*(IF(Upgrades!$T$13="Peculiar Velocity",POWER(Upgrades!$U$13,E271),1)*IF(Upgrades!$T$14="Peculiar Velocity",POWER(Upgrades!$U$14,F271),1)*IF(Upgrades!$T$15="Peculiar Velocity",POWER(Upgrades!$U$15,G271),1)*IF(Upgrades!$T$16="Peculiar Velocity",POWER(Upgrades!$U$16,H271),1)*IF(Upgrades!$T$17="Peculiar Velocity",POWER(Upgrades!$U$17,I271),1)*IF(Upgrades!$T$18="Peculiar Velocity",POWER(Upgrades!$U$18,J271),1)*IF(Upgrades!$T$20="Peculiar Velocity",POWER(Upgrades!$U$20,L271),1)*IF(Upgrades!$T$21="Peculiar Velocity",POWER(Upgrades!$U$21,M271),1))+(IF(L271=0,0,(Upgrades!$G$20+L271*Upgrades!$H$20)*POWER(Upgrades!$I$20,L271)))*(IF(Upgrades!$T$13="Open Cluster",POWER(Upgrades!$U$13,E271),1)*IF(Upgrades!$T$14="Open Cluster",POWER(Upgrades!$U$14,F271),1)*IF(Upgrades!$T$15="Open Cluster",POWER(Upgrades!$U$15,G271),1)*IF(Upgrades!$T$16="Open Cluster",POWER(Upgrades!$U$16,H271),1)*IF(Upgrades!$T$17="Open Cluster",POWER(Upgrades!$U$17,I271),1)*IF(Upgrades!$T$18="Open Cluster",POWER(Upgrades!$U$18,J271),1)*IF(Upgrades!$T$19="Open Cluster",POWER(Upgrades!$U$19,K271),1)*IF(Upgrades!$T$21="Open Cluster",POWER(Upgrades!$U$21,M271),1))+(IF(M271=0,0,(Upgrades!$G$21+M271*Upgrades!$H$21)*POWER(Upgrades!$I$21,M271)))*(IF(Upgrades!$T$13="Moving Group",POWER(Upgrades!$U$13,E271),1)*IF(Upgrades!$T$14="Moving Group",POWER(Upgrades!$U$14,F271),1)*IF(Upgrades!$T$15="Moving Group",POWER(Upgrades!$U$15,G271),1)*IF(Upgrades!$T$16="Moving Group",POWER(Upgrades!$U$16,H271),1)*IF(Upgrades!$T$17="Moving Group",POWER(Upgrades!$U$17,I271),1)*IF(Upgrades!$T$18="Moving Group",POWER(Upgrades!$U$18,J271),1)*IF(Upgrades!$T$19="Moving Group",POWER(Upgrades!$U$19,K271),1)*IF(Upgrades!$T$20="Moving Group",POWER(Upgrades!$U$20,L271),1)))*POWER(Upgrades!$P$13,E271)*POWER(Upgrades!$P$14,F271)*POWER(Upgrades!$P$15,G271)*POWER(Upgrades!$P$16,H271)*POWER(Upgrades!$P$17,I271)*POWER(Upgrades!$P$18,J271)*POWER(Upgrades!$P$19,K271)*POWER(Upgrades!$P$20,L271)*POWER(Upgrades!$P$21,M271)*$F$6+$C$6</f>
        <v/>
      </c>
      <c r="Q271" s="28">
        <f>((IF(E271=0,0,(Upgrades!$M$13+E271*Upgrades!$N$13)*POWER(Upgrades!$O$13,E271)))*(IF(Upgrades!$T$14="Stellar Kinematics",POWER(Upgrades!$U$14,F271),1)*IF(Upgrades!$T$15="Stellar Kinematics",POWER(Upgrades!$U$15,G271),1)*IF(Upgrades!$T$16="Stellar Kinematics",POWER(Upgrades!$U$16,H271),1)*IF(Upgrades!$T$17="Stellar Kinematics",POWER(Upgrades!$U$17,I271),1)*IF(Upgrades!$T$18="Stellar Kinematics",POWER(Upgrades!$U$18,J271),1)*IF(Upgrades!$T$19="Stellar Kinematics",POWER(Upgrades!$U$19,K271),1)*IF(Upgrades!$T$20="Stellar Kinematics",POWER(Upgrades!$U$20,L271),1)*IF(Upgrades!$T$21="Stellar Kinematics",POWER(Upgrades!$U$21,M271),1))+(IF(F271=0,0,(Upgrades!$M$14+F271*Upgrades!$N$14)*POWER(Upgrades!$O$14,F271)))*(IF(Upgrades!$T$13="Local Bubble",POWER(Upgrades!$U$13,E271),1)*IF(Upgrades!$T$15="Local Bubble",POWER(Upgrades!$U$15,G271),1)*IF(Upgrades!$T$16="Local Bubble",POWER(Upgrades!$U$16,H271),1)*IF(Upgrades!$T$17="Local Bubble",POWER(Upgrades!$U$17,I271),1)*IF(Upgrades!$T$18="Local Bubble",POWER(Upgrades!$U$18,J271),1)*IF(Upgrades!$T$19="Local Bubble",POWER(Upgrades!$U$19,K271),1)*IF(Upgrades!$T$20="Local Bubble",POWER(Upgrades!$U$20,L271),1)*IF(Upgrades!$T$21="Local Bubble",POWER(Upgrades!$U$21,M271),1))+(IF(G271=0,0,(Upgrades!$M$15+G271*Upgrades!$N$15)*POWER(Upgrades!$O$15,G271)))*(IF(Upgrades!$T$13="Microlensing",POWER(Upgrades!$U$13,E271),1)*IF(Upgrades!$T$14="Microlensing",POWER(Upgrades!$U$14,F271),1)*IF(Upgrades!$T$16="Microlensing",POWER(Upgrades!$U$16,H271),1)*IF(Upgrades!$T$17="Microlensing",POWER(Upgrades!$U$17,I271),1)*IF(Upgrades!$T$18="Microlensing",POWER(Upgrades!$U$18,J271),1)*IF(Upgrades!$T$19="Microlensing",POWER(Upgrades!$U$19,K271),1)*IF(Upgrades!$T$20="Microlensing",POWER(Upgrades!$U$20,L271),1)*IF(Upgrades!$T$21="Microlensing",POWER(Upgrades!$U$21,M271),1))+(IF(H271=0,0,(Upgrades!$M$16+H271*Upgrades!$N$16)*POWER(Upgrades!$O$16,H271)))*(IF(Upgrades!$T$13="Roche Lobe Overflow",POWER(Upgrades!$U$13,E271),1)*IF(Upgrades!$T$14="Roche Lobe Overflow",POWER(Upgrades!$U$14,F271),1)*IF(Upgrades!$T$15="Roche Lobe Overflow",POWER(Upgrades!$U$15,G271),1)*IF(Upgrades!$T$17="Roche Lobe Overflow",POWER(Upgrades!$U$17,I271),1)*IF(Upgrades!$T$18="Roche Lobe Overflow",POWER(Upgrades!$U$18,J271),1)*IF(Upgrades!$T$19="Roche Lobe Overflow",POWER(Upgrades!$U$19,K271),1)*IF(Upgrades!$T$20="Roche Lobe Overflow",POWER(Upgrades!$U$20,L271),1)*IF(Upgrades!$T$21="Roche Lobe Overflow",POWER(Upgrades!$U$21,M271),1))+(IF(I271=0,0,(Upgrades!$M$17+I271*Upgrades!$N$17)*POWER(Upgrades!$O$17,I271)))*(IF(Upgrades!$T$13="Brown Dwarf",POWER(Upgrades!$U$13,E271),1)*IF(Upgrades!$T$14="Brown Dwarf",POWER(Upgrades!$U$14,F271),1)*IF(Upgrades!$T$15="Brown Dwarf",POWER(Upgrades!$U$15,G271),1)*IF(Upgrades!$T$16="Brown Dwarf",POWER(Upgrades!$U$16,H271),1)*IF(Upgrades!$T$18="Brown Dwarf",POWER(Upgrades!$U$18,J271),1)*IF(Upgrades!$T$19="Brown Dwarf",POWER(Upgrades!$U$19,K271),1)*IF(Upgrades!$T$20="Brown Dwarf",POWER(Upgrades!$U$20,L271),1)*IF(Upgrades!$T$21="Brown Dwarf",POWER(Upgrades!$U$21,M271),1))+(IF(J271=0,0,(Upgrades!$M$18+J271*Upgrades!$N$18)*POWER(Upgrades!$O$18,J271)))*(IF(Upgrades!$T$13="Binary Partner",POWER(Upgrades!$U$13,E271),1)*IF(Upgrades!$T$14="Binary Partner",POWER(Upgrades!$U$14,F271),1)*IF(Upgrades!$T$15="Binary Partner",POWER(Upgrades!$U$15,G271),1)*IF(Upgrades!$T$16="Binary Partner",POWER(Upgrades!$U$16,H271),1)*IF(Upgrades!$T$17="Binary Partner",POWER(Upgrades!$U$17,I271),1)*IF(Upgrades!$T$19="Binary Partner",POWER(Upgrades!$U$19,K271),1)*IF(Upgrades!$T$20="Binary Partner",POWER(Upgrades!$U$20,L271),1)*IF(Upgrades!$T$21="Binary Partner",POWER(Upgrades!$U$21,M271),1))+(IF(K271=0,0,(Upgrades!$M$19+K271*Upgrades!$N$19)*POWER(Upgrades!$O$19,K271)))*(IF(Upgrades!$T$13="Peculiar Velocity",POWER(Upgrades!$U$13,E271),1)*IF(Upgrades!$T$14="Peculiar Velocity",POWER(Upgrades!$U$14,F271),1)*IF(Upgrades!$T$15="Peculiar Velocity",POWER(Upgrades!$U$15,G271),1)*IF(Upgrades!$T$16="Peculiar Velocity",POWER(Upgrades!$U$16,H271),1)*IF(Upgrades!$T$17="Peculiar Velocity",POWER(Upgrades!$U$17,I271),1)*IF(Upgrades!$T$18="Peculiar Velocity",POWER(Upgrades!$U$18,J271),1)*IF(Upgrades!$T$20="Peculiar Velocity",POWER(Upgrades!$U$20,L271),1)*IF(Upgrades!$T$21="Peculiar Velocity",POWER(Upgrades!$U$21,M271),1))+(IF(L271=0,0,(Upgrades!$M$20+L271*Upgrades!$N$20)*POWER(Upgrades!$O$20,L271)))*(IF(Upgrades!$T$13="Open Cluster",POWER(Upgrades!$U$13,E271),1)*IF(Upgrades!$T$14="Open Cluster",POWER(Upgrades!$U$14,F271),1)*IF(Upgrades!$T$15="Open Cluster",POWER(Upgrades!$U$15,G271),1)*IF(Upgrades!$T$16="Open Cluster",POWER(Upgrades!$U$16,H271),1)*IF(Upgrades!$T$17="Open Cluster",POWER(Upgrades!$U$17,I271),1)*IF(Upgrades!$T$18="Open Cluster",POWER(Upgrades!$U$18,J271),1)*IF(Upgrades!$T$19="Open Cluster",POWER(Upgrades!$U$19,K271),1)*IF(Upgrades!$T$21="Open Cluster",POWER(Upgrades!$U$21,M271),1))+(IF(M271=0,0,(Upgrades!$M$21+M271*Upgrades!$N$21)*POWER(Upgrades!$O$21,M271)))*(IF(Upgrades!$T$13="Moving Group",POWER(Upgrades!$U$13,E271),1)*IF(Upgrades!$T$14="Moving Group",POWER(Upgrades!$U$14,F271),1)*IF(Upgrades!$T$15="Moving Group",POWER(Upgrades!$U$15,G271),1)*IF(Upgrades!$T$16="Moving Group",POWER(Upgrades!$U$16,H271),1)*IF(Upgrades!$T$17="Moving Group",POWER(Upgrades!$U$17,I271),1)*IF(Upgrades!$T$18="Moving Group",POWER(Upgrades!$U$18,J271),1)*IF(Upgrades!$T$19="Moving Group",POWER(Upgrades!$U$19,K271),1)*IF(Upgrades!$T$20="Moving Group",POWER(Upgrades!$U$20,L271),1)))*POWER(Upgrades!$R$13,E271)*POWER(Upgrades!$R$14,F271)*POWER(Upgrades!$R$15,G271)*POWER(Upgrades!$R$16,H271)*POWER(Upgrades!$R$17,I271)*POWER(Upgrades!$R$18,J271)*POWER(Upgrades!$R$19,K271)*POWER(Upgrades!$R$20,L271)*POWER(Upgrades!$R$21,M271)*$H$6+$E$6</f>
        <v/>
      </c>
      <c r="R271" s="27">
        <f>IF(N271=1,0,O271*Parameters!$B$10/60*Parameters!$B$11*10)</f>
        <v/>
      </c>
      <c r="S271" s="27">
        <f>IF(N271=1,0,Q271*O271*10)</f>
        <v/>
      </c>
      <c r="T271" s="27">
        <f>IF(N271=1,0,R271+S271+P271*10)</f>
        <v/>
      </c>
      <c r="U271" s="33">
        <f>BE271</f>
        <v/>
      </c>
      <c r="V271" s="22">
        <f>IF(U271="",0,IF(U271="transition",0,IF(U271="SK",AK271,IF(U271="LB",AL271,IF(U271="ML",AM271,IF(U271="RLO",AN271,IF(U271="BD",AO271,IF(U271="BiP",AP271,IF(U271="PV",AQ271,IF(U271="OC",AR271,IF(U271="MG",AS271,0))))))))))</f>
        <v/>
      </c>
      <c r="W271" s="27">
        <f>IF(U271="BiP",Upgrades!$F$18,IF(U271="PV",Upgrades!$F$19,IF(U271="OC",Upgrades!$F$20,IF(U271="MG",Upgrades!$F$21,IF(U271="transition",-Parameters!$B$18*Parameters!$B$19,0)))))</f>
        <v/>
      </c>
      <c r="X271" s="22">
        <f>C271+T271-V271</f>
        <v/>
      </c>
      <c r="Y271" s="30">
        <f>O271*Parameters!$B$10/60*Parameters!$B$11+Q271*O271+P271</f>
        <v/>
      </c>
      <c r="Z271" s="34">
        <f>IF(U271="transition","→ Tier 3 (Galactic Arm)",IF(U271="MG","Moving Group — pocket drifts together",IF(U271="OC","Open Cluster acquired",IF(U271="PV","Peculiar Velocity — passive multiplier active",IF(U271="BiP","Binary Partner — pair bond formed",IF(AND(AU271=1,N271=0,AT271&lt;&gt;1),"Cohesion ready (waiting on completionists)","")))))) </f>
        <v/>
      </c>
      <c r="AA271" s="27">
        <f>(IF(E271=0,0,(Upgrades!$G$13+E271*Upgrades!$H$13)*POWER(Upgrades!$I$13,E271)))*(IF(Upgrades!$T$14="Stellar Kinematics",POWER(Upgrades!$U$14,F271),1)*IF(Upgrades!$T$15="Stellar Kinematics",POWER(Upgrades!$U$15,G271),1)*IF(Upgrades!$T$16="Stellar Kinematics",POWER(Upgrades!$U$16,H271),1)*IF(Upgrades!$T$17="Stellar Kinematics",POWER(Upgrades!$U$17,I271),1)*IF(Upgrades!$T$18="Stellar Kinematics",POWER(Upgrades!$U$18,J271),1)*IF(Upgrades!$T$19="Stellar Kinematics",POWER(Upgrades!$U$19,K271),1)*IF(Upgrades!$T$20="Stellar Kinematics",POWER(Upgrades!$U$20,L271),1)*IF(Upgrades!$T$21="Stellar Kinematics",POWER(Upgrades!$U$21,M271),1))*POWER(Upgrades!$P$13,E271)*POWER(Upgrades!$P$14,F271)*POWER(Upgrades!$P$15,G271)*POWER(Upgrades!$P$16,H271)*POWER(Upgrades!$P$17,I271)*POWER(Upgrades!$P$18,J271)*POWER(Upgrades!$P$19,K271)*POWER(Upgrades!$P$20,L271)*POWER(Upgrades!$P$21,M271)*$F$6*60</f>
        <v/>
      </c>
      <c r="AB271" s="27">
        <f>(IF(F271=0,0,(Upgrades!$G$14+F271*Upgrades!$H$14)*POWER(Upgrades!$I$14,F271)))*(IF(Upgrades!$T$13="Local Bubble",POWER(Upgrades!$U$13,E271),1)*IF(Upgrades!$T$15="Local Bubble",POWER(Upgrades!$U$15,G271),1)*IF(Upgrades!$T$16="Local Bubble",POWER(Upgrades!$U$16,H271),1)*IF(Upgrades!$T$17="Local Bubble",POWER(Upgrades!$U$17,I271),1)*IF(Upgrades!$T$18="Local Bubble",POWER(Upgrades!$U$18,J271),1)*IF(Upgrades!$T$19="Local Bubble",POWER(Upgrades!$U$19,K271),1)*IF(Upgrades!$T$20="Local Bubble",POWER(Upgrades!$U$20,L271),1)*IF(Upgrades!$T$21="Local Bubble",POWER(Upgrades!$U$21,M271),1))*POWER(Upgrades!$P$13,E271)*POWER(Upgrades!$P$14,F271)*POWER(Upgrades!$P$15,G271)*POWER(Upgrades!$P$16,H271)*POWER(Upgrades!$P$17,I271)*POWER(Upgrades!$P$18,J271)*POWER(Upgrades!$P$19,K271)*POWER(Upgrades!$P$20,L271)*POWER(Upgrades!$P$21,M271)*$F$6*60</f>
        <v/>
      </c>
      <c r="AC271" s="27">
        <f>(IF(G271=0,0,(Upgrades!$J$15+G271*Upgrades!$K$15)*POWER(Upgrades!$L$15,G271)))*(IF(Upgrades!$T$13="Microlensing",POWER(Upgrades!$U$13,E271),1)*IF(Upgrades!$T$14="Microlensing",POWER(Upgrades!$U$14,F271),1)*IF(Upgrades!$T$16="Microlensing",POWER(Upgrades!$U$16,H271),1)*IF(Upgrades!$T$17="Microlensing",POWER(Upgrades!$U$17,I271),1)*IF(Upgrades!$T$18="Microlensing",POWER(Upgrades!$U$18,J271),1)*IF(Upgrades!$T$19="Microlensing",POWER(Upgrades!$U$19,K271),1)*IF(Upgrades!$T$20="Microlensing",POWER(Upgrades!$U$20,L271),1)*IF(Upgrades!$T$21="Microlensing",POWER(Upgrades!$U$21,M271),1))*POWER(Upgrades!$Q$13,E271)*POWER(Upgrades!$Q$14,F271)*POWER(Upgrades!$Q$15,G271)*POWER(Upgrades!$Q$16,H271)*POWER(Upgrades!$Q$17,I271)*POWER(Upgrades!$Q$18,J271)*POWER(Upgrades!$Q$19,K271)*POWER(Upgrades!$Q$20,L271)*POWER(Upgrades!$Q$21,M271)*$G$6*(Parameters!$B$10*Parameters!$B$11+Q271*60)</f>
        <v/>
      </c>
      <c r="AD271" s="27">
        <f>(IF(H271=0,0,(Upgrades!$M$16+H271*Upgrades!$N$16)*POWER(Upgrades!$O$16,H271)))*(IF(Upgrades!$T$13="Roche Lobe Overflow",POWER(Upgrades!$U$13,E271),1)*IF(Upgrades!$T$14="Roche Lobe Overflow",POWER(Upgrades!$U$14,F271),1)*IF(Upgrades!$T$15="Roche Lobe Overflow",POWER(Upgrades!$U$15,G271),1)*IF(Upgrades!$T$17="Roche Lobe Overflow",POWER(Upgrades!$U$17,I271),1)*IF(Upgrades!$T$18="Roche Lobe Overflow",POWER(Upgrades!$U$18,J271),1)*IF(Upgrades!$T$19="Roche Lobe Overflow",POWER(Upgrades!$U$19,K271),1)*IF(Upgrades!$T$20="Roche Lobe Overflow",POWER(Upgrades!$U$20,L271),1)*IF(Upgrades!$T$21="Roche Lobe Overflow",POWER(Upgrades!$U$21,M271),1))*POWER(Upgrades!$R$13,E271)*POWER(Upgrades!$R$14,F271)*POWER(Upgrades!$R$15,G271)*POWER(Upgrades!$R$16,H271)*POWER(Upgrades!$R$17,I271)*POWER(Upgrades!$R$18,J271)*POWER(Upgrades!$R$19,K271)*POWER(Upgrades!$R$20,L271)*POWER(Upgrades!$R$21,M271)*$H$6*O271*60</f>
        <v/>
      </c>
      <c r="AE271" s="27">
        <f>(IF(I271=0,0,(Upgrades!$G$17+I271*Upgrades!$H$17)*POWER(Upgrades!$I$17,I271)))*(IF(Upgrades!$T$13="Brown Dwarf",POWER(Upgrades!$U$13,E271),1)*IF(Upgrades!$T$14="Brown Dwarf",POWER(Upgrades!$U$14,F271),1)*IF(Upgrades!$T$15="Brown Dwarf",POWER(Upgrades!$U$15,G271),1)*IF(Upgrades!$T$16="Brown Dwarf",POWER(Upgrades!$U$16,H271),1)*IF(Upgrades!$T$18="Brown Dwarf",POWER(Upgrades!$U$18,J271),1)*IF(Upgrades!$T$19="Brown Dwarf",POWER(Upgrades!$U$19,K271),1)*IF(Upgrades!$T$20="Brown Dwarf",POWER(Upgrades!$U$20,L271),1)*IF(Upgrades!$T$21="Brown Dwarf",POWER(Upgrades!$U$21,M271),1))*POWER(Upgrades!$P$13,E271)*POWER(Upgrades!$P$14,F271)*POWER(Upgrades!$P$15,G271)*POWER(Upgrades!$P$16,H271)*POWER(Upgrades!$P$17,I271)*POWER(Upgrades!$P$18,J271)*POWER(Upgrades!$P$19,K271)*POWER(Upgrades!$P$20,L271)*POWER(Upgrades!$P$21,M271)*$F$6*60</f>
        <v/>
      </c>
      <c r="AF271" s="27" t="n">
        <v>0</v>
      </c>
      <c r="AG271" s="27" t="n">
        <v>0</v>
      </c>
      <c r="AH271" s="27" t="n">
        <v>0</v>
      </c>
      <c r="AI271" s="27">
        <f>(IF(M271=0,0,(Upgrades!$G$21+M271*Upgrades!$H$21)*POWER(Upgrades!$I$21,M271)))*(IF(Upgrades!$T$13="Moving Group",POWER(Upgrades!$U$13,E271),1)*IF(Upgrades!$T$14="Moving Group",POWER(Upgrades!$U$14,F271),1)*IF(Upgrades!$T$15="Moving Group",POWER(Upgrades!$U$15,G271),1)*IF(Upgrades!$T$16="Moving Group",POWER(Upgrades!$U$16,H271),1)*IF(Upgrades!$T$17="Moving Group",POWER(Upgrades!$U$17,I271),1)*IF(Upgrades!$T$18="Moving Group",POWER(Upgrades!$U$18,J271),1)*IF(Upgrades!$T$19="Moving Group",POWER(Upgrades!$U$19,K271),1)*IF(Upgrades!$T$20="Moving Group",POWER(Upgrades!$U$20,L271),1))*POWER(Upgrades!$P$13,E271)*POWER(Upgrades!$P$14,F271)*POWER(Upgrades!$P$15,G271)*POWER(Upgrades!$P$16,H271)*POWER(Upgrades!$P$17,I271)*POWER(Upgrades!$P$18,J271)*POWER(Upgrades!$P$19,K271)*POWER(Upgrades!$P$20,L271)*POWER(Upgrades!$P$21,M271)*$F$6*60</f>
        <v/>
      </c>
      <c r="AJ271" s="27">
        <f>$C$6*60</f>
        <v/>
      </c>
      <c r="AK271" s="22">
        <f>IF(E271&gt;=Upgrades!$E$13,"",Upgrades!$C$13*POWER(Upgrades!$D$13,E271))</f>
        <v/>
      </c>
      <c r="AL271" s="22">
        <f>IF(F271&gt;=Upgrades!$E$14,"",Upgrades!$C$14*POWER(Upgrades!$D$14,F271))</f>
        <v/>
      </c>
      <c r="AM271" s="22">
        <f>IF(G271&gt;=Upgrades!$E$15,"",Upgrades!$C$15*POWER(Upgrades!$D$15,G271))</f>
        <v/>
      </c>
      <c r="AN271" s="22">
        <f>IF(H271&gt;=Upgrades!$E$16,"",Upgrades!$C$16*POWER(Upgrades!$D$16,H271))</f>
        <v/>
      </c>
      <c r="AO271" s="22">
        <f>IF(I271&gt;=Upgrades!$E$17,"",Upgrades!$C$17*POWER(Upgrades!$D$17,I271))</f>
        <v/>
      </c>
      <c r="AP271" s="22">
        <f>IF(J271&gt;=Upgrades!$E$18,"",Upgrades!$C$18*POWER(Upgrades!$D$18,J271))</f>
        <v/>
      </c>
      <c r="AQ271" s="22">
        <f>IF(K271&gt;=Upgrades!$E$19,"",Upgrades!$C$19*POWER(Upgrades!$D$19,K271))</f>
        <v/>
      </c>
      <c r="AR271" s="22">
        <f>IF(L271&gt;=Upgrades!$E$20,"",Upgrades!$C$20*POWER(Upgrades!$D$20,L271))</f>
        <v/>
      </c>
      <c r="AS271" s="22">
        <f>IF(M271&gt;=Upgrades!$E$21,"",Upgrades!$C$21*POWER(Upgrades!$D$21,M271))</f>
        <v/>
      </c>
      <c r="AT271" s="26">
        <f>IF(AND(D271&gt;=Parameters!$B$18*Parameters!$B$19,(I271&gt;=Upgrades!$E$17)*(M271&gt;=Upgrades!$E$21)=1,N271=0),1,"")</f>
        <v/>
      </c>
      <c r="AU271" s="26">
        <f>IF(AND(D271&gt;=Parameters!$B$18*Parameters!$B$19,N271=0),1,"")</f>
        <v/>
      </c>
      <c r="AV271" s="22">
        <f>MIN(IF(ISNUMBER(AP271),AP271,9E15),IF(ISNUMBER(AQ271),AQ271,9E15),IF(ISNUMBER(AR271),AR271,9E15),IF(ISNUMBER(AS271),AS271,9E15))</f>
        <v/>
      </c>
      <c r="AW271" s="22">
        <f>MIN(IF(ISNUMBER(AK271),AK271,9E15),IF(ISNUMBER(AL271),AL271,9E15),IF(ISNUMBER(AM271),AM271,9E15),IF(ISNUMBER(AN271),AN271,9E15),IF(ISNUMBER(AO271),AO271,9E15))</f>
        <v/>
      </c>
      <c r="AX271" s="29">
        <f>IF(BD271&gt;Parameters!$B$21*(MAX(IF(AND(NOT(AND(AU271=1,AT271&lt;&gt;1)),ISNUMBER(AK271),AK271&lt;=(C271+T271)),AY271,0),IF(AND(NOT(AND(AU271=1,AT271&lt;&gt;1)),ISNUMBER(AL271),AL271&lt;=(C271+T271)),AZ271,0),IF(AND(NOT(AND(AU271=1,AT271&lt;&gt;1)),ISNUMBER(AM271),AM271&lt;=(C271+T271)),BA271,0),IF(AND(NOT(AND(AU271=1,AT271&lt;&gt;1)),ISNUMBER(AN271),AN271&lt;=(C271+T271)),BB271,0),IF(AND(ISNUMBER(AO271),AO271&lt;=(C271+T271)),BC271,0))),TRUE,FALSE)</f>
        <v/>
      </c>
      <c r="AY271" s="32">
        <f>IFERROR(Upgrades!$H$13*(POWER(Upgrades!$P$13,E271)*POWER(Upgrades!$P$14,F271)*POWER(Upgrades!$P$15,G271)*POWER(Upgrades!$P$16,H271)*POWER(Upgrades!$P$17,I271)*POWER(Upgrades!$P$18,J271)*POWER(Upgrades!$P$19,K271)*POWER(Upgrades!$P$20,L271)*POWER(Upgrades!$P$21,M271))*(IF(Upgrades!$T$14="Stellar Kinematics",POWER(Upgrades!$U$14,F271),1)*IF(Upgrades!$T$15="Stellar Kinematics",POWER(Upgrades!$U$15,G271),1)*IF(Upgrades!$T$16="Stellar Kinematics",POWER(Upgrades!$U$16,H271),1)*IF(Upgrades!$T$17="Stellar Kinematics",POWER(Upgrades!$U$17,I271),1)*IF(Upgrades!$T$18="Stellar Kinematics",POWER(Upgrades!$U$18,J271),1)*IF(Upgrades!$T$19="Stellar Kinematics",POWER(Upgrades!$U$19,K271),1)*IF(Upgrades!$T$20="Stellar Kinematics",POWER(Upgrades!$U$20,L271),1)*IF(Upgrades!$T$21="Stellar Kinematics",POWER(Upgrades!$U$21,M271),1))*$F$6/AK271,0)</f>
        <v/>
      </c>
      <c r="AZ271" s="32">
        <f>IFERROR(Upgrades!$H$14*(POWER(Upgrades!$P$13,E271)*POWER(Upgrades!$P$14,F271)*POWER(Upgrades!$P$15,G271)*POWER(Upgrades!$P$16,H271)*POWER(Upgrades!$P$17,I271)*POWER(Upgrades!$P$18,J271)*POWER(Upgrades!$P$19,K271)*POWER(Upgrades!$P$20,L271)*POWER(Upgrades!$P$21,M271))*(IF(Upgrades!$T$13="Local Bubble",POWER(Upgrades!$U$13,E271),1)*IF(Upgrades!$T$15="Local Bubble",POWER(Upgrades!$U$15,G271),1)*IF(Upgrades!$T$16="Local Bubble",POWER(Upgrades!$U$16,H271),1)*IF(Upgrades!$T$17="Local Bubble",POWER(Upgrades!$U$17,I271),1)*IF(Upgrades!$T$18="Local Bubble",POWER(Upgrades!$U$18,J271),1)*IF(Upgrades!$T$19="Local Bubble",POWER(Upgrades!$U$19,K271),1)*IF(Upgrades!$T$20="Local Bubble",POWER(Upgrades!$U$20,L271),1)*IF(Upgrades!$T$21="Local Bubble",POWER(Upgrades!$U$21,M271),1))*$F$6/AL271,0)</f>
        <v/>
      </c>
      <c r="BA271" s="32">
        <f>IFERROR(Upgrades!$K$15*(POWER(Upgrades!$Q$13,E271)*POWER(Upgrades!$Q$14,F271)*POWER(Upgrades!$Q$15,G271)*POWER(Upgrades!$Q$16,H271)*POWER(Upgrades!$Q$17,I271)*POWER(Upgrades!$Q$18,J271)*POWER(Upgrades!$Q$19,K271)*POWER(Upgrades!$Q$20,L271)*POWER(Upgrades!$Q$21,M271))*(IF(Upgrades!$T$13="Microlensing",POWER(Upgrades!$U$13,E271),1)*IF(Upgrades!$T$14="Microlensing",POWER(Upgrades!$U$14,F271),1)*IF(Upgrades!$T$16="Microlensing",POWER(Upgrades!$U$16,H271),1)*IF(Upgrades!$T$17="Microlensing",POWER(Upgrades!$U$17,I271),1)*IF(Upgrades!$T$18="Microlensing",POWER(Upgrades!$U$18,J271),1)*IF(Upgrades!$T$19="Microlensing",POWER(Upgrades!$U$19,K271),1)*IF(Upgrades!$T$20="Microlensing",POWER(Upgrades!$U$20,L271),1)*IF(Upgrades!$T$21="Microlensing",POWER(Upgrades!$U$21,M271),1))*$G$6*(Parameters!$B$10/60*Parameters!$B$11+Q271)/AM271,0)</f>
        <v/>
      </c>
      <c r="BB271" s="32">
        <f>IFERROR((Upgrades!$N$16*(POWER(Upgrades!$R$13,E271)*POWER(Upgrades!$R$14,F271)*POWER(Upgrades!$R$15,G271)*POWER(Upgrades!$R$16,H271)*POWER(Upgrades!$R$17,I271)*POWER(Upgrades!$R$18,J271)*POWER(Upgrades!$R$19,K271)*POWER(Upgrades!$R$20,L271)*POWER(Upgrades!$R$21,M271))*(IF(Upgrades!$T$13="Roche Lobe Overflow",POWER(Upgrades!$U$13,E271),1)*IF(Upgrades!$T$14="Roche Lobe Overflow",POWER(Upgrades!$U$14,F271),1)*IF(Upgrades!$T$15="Roche Lobe Overflow",POWER(Upgrades!$U$15,G271),1)*IF(Upgrades!$T$17="Roche Lobe Overflow",POWER(Upgrades!$U$17,I271),1)*IF(Upgrades!$T$18="Roche Lobe Overflow",POWER(Upgrades!$U$18,J271),1)*IF(Upgrades!$T$19="Roche Lobe Overflow",POWER(Upgrades!$U$19,K271),1)*IF(Upgrades!$T$20="Roche Lobe Overflow",POWER(Upgrades!$U$20,L271),1)*IF(Upgrades!$T$21="Roche Lobe Overflow",POWER(Upgrades!$U$21,M271),1))*$H$6*O271+((IF(F271=0,0,(Upgrades!$G$14+F271*Upgrades!$H$14)*POWER(Upgrades!$I$14,F271)))*(IF(Upgrades!$T$13="Local Bubble",POWER(Upgrades!$U$13,E271),1)*IF(Upgrades!$T$15="Local Bubble",POWER(Upgrades!$U$15,G271),1)*IF(Upgrades!$T$16="Local Bubble",POWER(Upgrades!$U$16,H271),1)*IF(Upgrades!$T$17="Local Bubble",POWER(Upgrades!$U$17,I271),1)*IF(Upgrades!$T$18="Local Bubble",POWER(Upgrades!$U$18,J271),1)*IF(Upgrades!$T$19="Local Bubble",POWER(Upgrades!$U$19,K271),1)*IF(Upgrades!$T$20="Local Bubble",POWER(Upgrades!$U$20,L271),1)*IF(Upgrades!$T$21="Local Bubble",POWER(Upgrades!$U$21,M271),1))*POWER(Upgrades!$P$13,E271)*POWER(Upgrades!$P$14,F271)*POWER(Upgrades!$P$15,G271)*POWER(Upgrades!$P$16,H271)*POWER(Upgrades!$P$17,I271)*POWER(Upgrades!$P$18,J271)*POWER(Upgrades!$P$19,K271)*POWER(Upgrades!$P$20,L271)*POWER(Upgrades!$P$21,M271)*$F$6)*0.05)/AN271,0)</f>
        <v/>
      </c>
      <c r="BC271" s="32">
        <f>IFERROR((Upgrades!$H$17*(POWER(Upgrades!$P$13,E271)*POWER(Upgrades!$P$14,F271)*POWER(Upgrades!$P$15,G271)*POWER(Upgrades!$P$16,H271)*POWER(Upgrades!$P$17,I271)*POWER(Upgrades!$P$18,J271)*POWER(Upgrades!$P$19,K271)*POWER(Upgrades!$P$20,L271)*POWER(Upgrades!$P$21,M271))*(IF(Upgrades!$T$13="Brown Dwarf",POWER(Upgrades!$U$13,E271),1)*IF(Upgrades!$T$14="Brown Dwarf",POWER(Upgrades!$U$14,F271),1)*IF(Upgrades!$T$15="Brown Dwarf",POWER(Upgrades!$U$15,G271),1)*IF(Upgrades!$T$16="Brown Dwarf",POWER(Upgrades!$U$16,H271),1)*IF(Upgrades!$T$18="Brown Dwarf",POWER(Upgrades!$U$18,J271),1)*IF(Upgrades!$T$19="Brown Dwarf",POWER(Upgrades!$U$19,K271),1)*IF(Upgrades!$T$20="Brown Dwarf",POWER(Upgrades!$U$20,L271),1)*IF(Upgrades!$T$21="Brown Dwarf",POWER(Upgrades!$U$21,M271),1))*$F$6+(((IF(H271=0,0,(Upgrades!$M$16+H271*Upgrades!$N$16)*POWER(Upgrades!$O$16,H271)))*(IF(Upgrades!$T$13="Roche Lobe Overflow",POWER(Upgrades!$U$13,E271),1)*IF(Upgrades!$T$14="Roche Lobe Overflow",POWER(Upgrades!$U$14,F271),1)*IF(Upgrades!$T$15="Roche Lobe Overflow",POWER(Upgrades!$U$15,G271),1)*IF(Upgrades!$T$17="Roche Lobe Overflow",POWER(Upgrades!$U$17,I271),1)*IF(Upgrades!$T$18="Roche Lobe Overflow",POWER(Upgrades!$U$18,J271),1)*IF(Upgrades!$T$19="Roche Lobe Overflow",POWER(Upgrades!$U$19,K271),1)*IF(Upgrades!$T$20="Roche Lobe Overflow",POWER(Upgrades!$U$20,L271),1)*IF(Upgrades!$T$21="Roche Lobe Overflow",POWER(Upgrades!$U$21,M271),1))*POWER(Upgrades!$R$13,E271)*POWER(Upgrades!$R$14,F271)*POWER(Upgrades!$R$15,G271)*POWER(Upgrades!$R$16,H271)*POWER(Upgrades!$R$17,I271)*POWER(Upgrades!$R$18,J271)*POWER(Upgrades!$R$19,K271)*POWER(Upgrades!$R$20,L271)*POWER(Upgrades!$R$21,M271)*$H$6)*O271)*0.10)/AO271,0)</f>
        <v/>
      </c>
      <c r="BD271" s="32">
        <f>MAX(IF(J271&gt;0,0,IFERROR(0.5*((IF(G271=0,0,(Upgrades!$J$15+G271*Upgrades!$K$15)*POWER(Upgrades!$L$15,G271)))*(IF(Upgrades!$T$13="Microlensing",POWER(Upgrades!$U$13,E271),1)*IF(Upgrades!$T$14="Microlensing",POWER(Upgrades!$U$14,F271),1)*IF(Upgrades!$T$16="Microlensing",POWER(Upgrades!$U$16,H271),1)*IF(Upgrades!$T$17="Microlensing",POWER(Upgrades!$U$17,I271),1)*IF(Upgrades!$T$18="Microlensing",POWER(Upgrades!$U$18,J271),1)*IF(Upgrades!$T$19="Microlensing",POWER(Upgrades!$U$19,K271),1)*IF(Upgrades!$T$20="Microlensing",POWER(Upgrades!$U$20,L271),1)*IF(Upgrades!$T$21="Microlensing",POWER(Upgrades!$U$21,M271),1))*(POWER(Upgrades!$Q$13,E271)*POWER(Upgrades!$Q$14,F271)*POWER(Upgrades!$Q$15,G271)*POWER(Upgrades!$Q$16,H271)*POWER(Upgrades!$Q$17,I271)*POWER(Upgrades!$Q$18,J271)*POWER(Upgrades!$Q$19,K271)*POWER(Upgrades!$Q$20,L271)*POWER(Upgrades!$Q$21,M271))*$G$6*(Parameters!$B$10/60*Parameters!$B$11+Q271))/Upgrades!$C$18,0)),IF(K271&gt;0,0,IFERROR(0.30*P271/Upgrades!$C$19,0)),IF(L271&gt;0,0,IFERROR(0.0001/Upgrades!$C$20,0)),IF(M271&gt;0,0,IFERROR((6.0*(POWER(Upgrades!$P$13,E271)*POWER(Upgrades!$P$14,F271)*POWER(Upgrades!$P$15,G271)*POWER(Upgrades!$P$16,H271)*POWER(Upgrades!$P$17,I271)*POWER(Upgrades!$P$18,J271)*POWER(Upgrades!$P$19,K271)*POWER(Upgrades!$P$20,L271)*POWER(Upgrades!$P$21,M271))*$F$6+0.20*O271*(Parameters!$B$10/60*Parameters!$B$11+Q271))/Upgrades!$C$21,0)),IF(AND(ISNUMBER(AK271),AK271&gt;(C271+T271)),AY271,0),IF(AND(ISNUMBER(AL271),AL271&gt;(C271+T271)),AZ271,0),IF(AND(ISNUMBER(AM271),AM271&gt;(C271+T271)),BA271,0),IF(AND(ISNUMBER(AN271),AN271&gt;(C271+T271)),BB271,0),IF(AND(ISNUMBER(AO271),AO271&gt;(C271+T271)),BC271,0))</f>
        <v/>
      </c>
      <c r="BE271" s="29">
        <f>IF(AT271=1,"transition",IF(MIN(IF(AND(J271=0,ISNUMBER(AP271),AP271&lt;=(C271+T271)),AP271,9E15),IF(AND(K271=0,ISNUMBER(AQ271),AQ271&lt;=(C271+T271)),AQ271,9E15),IF(AND(L271=0,ISNUMBER(AR271),AR271&lt;=(C271+T271)),AR271,9E15),IF(AND(M271=0,ISNUMBER(AS271),AS271&lt;=(C271+T271)),AS271,9E15))&lt;9E15,IF(AND(AND(J271=0,ISNUMBER(AP271),AP271&lt;=(C271+T271)),AP271=MIN(IF(AND(J271=0,ISNUMBER(AP271),AP271&lt;=(C271+T271)),AP271,9E15),IF(AND(K271=0,ISNUMBER(AQ271),AQ271&lt;=(C271+T271)),AQ271,9E15),IF(AND(L271=0,ISNUMBER(AR271),AR271&lt;=(C271+T271)),AR271,9E15),IF(AND(M271=0,ISNUMBER(AS271),AS271&lt;=(C271+T271)),AS271,9E15))),"BiP",IF(AND(AND(K271=0,ISNUMBER(AQ271),AQ271&lt;=(C271+T271)),AQ271=MIN(IF(AND(J271=0,ISNUMBER(AP271),AP271&lt;=(C271+T271)),AP271,9E15),IF(AND(K271=0,ISNUMBER(AQ271),AQ271&lt;=(C271+T271)),AQ271,9E15),IF(AND(L271=0,ISNUMBER(AR271),AR271&lt;=(C271+T271)),AR271,9E15),IF(AND(M271=0,ISNUMBER(AS271),AS271&lt;=(C271+T271)),AS271,9E15))),"PV",IF(AND(AND(L271=0,ISNUMBER(AR271),AR271&lt;=(C271+T271)),AR271=MIN(IF(AND(J271=0,ISNUMBER(AP271),AP271&lt;=(C271+T271)),AP271,9E15),IF(AND(K271=0,ISNUMBER(AQ271),AQ271&lt;=(C271+T271)),AQ271,9E15),IF(AND(L271=0,ISNUMBER(AR271),AR271&lt;=(C271+T271)),AR271,9E15),IF(AND(M271=0,ISNUMBER(AS271),AS271&lt;=(C271+T271)),AS271,9E15))),"OC","MG"))),IF(AX271=TRUE,"",IF(MAX(IF(AND(NOT(AND(AU271=1,AT271&lt;&gt;1)),ISNUMBER(AK271),AK271&lt;=(C271+T271)),AY271,0),IF(AND(NOT(AND(AU271=1,AT271&lt;&gt;1)),ISNUMBER(AL271),AL271&lt;=(C271+T271)),AZ271,0),IF(AND(NOT(AND(AU271=1,AT271&lt;&gt;1)),ISNUMBER(AM271),AM271&lt;=(C271+T271)),BA271,0),IF(AND(NOT(AND(AU271=1,AT271&lt;&gt;1)),ISNUMBER(AN271),AN271&lt;=(C271+T271)),BB271,0),IF(AND(ISNUMBER(AO271),AO271&lt;=(C271+T271)),BC271,0))&lt;=0,"",IF(AND(IF(AND(NOT(AND(AU271=1,AT271&lt;&gt;1)),ISNUMBER(AK271),AK271&lt;=(C271+T271)),AY271,0)&gt;0,IF(AND(NOT(AND(AU271=1,AT271&lt;&gt;1)),ISNUMBER(AK271),AK271&lt;=(C271+T271)),AY271,0)=MAX(IF(AND(NOT(AND(AU271=1,AT271&lt;&gt;1)),ISNUMBER(AK271),AK271&lt;=(C271+T271)),AY271,0),IF(AND(NOT(AND(AU271=1,AT271&lt;&gt;1)),ISNUMBER(AL271),AL271&lt;=(C271+T271)),AZ271,0),IF(AND(NOT(AND(AU271=1,AT271&lt;&gt;1)),ISNUMBER(AM271),AM271&lt;=(C271+T271)),BA271,0),IF(AND(NOT(AND(AU271=1,AT271&lt;&gt;1)),ISNUMBER(AN271),AN271&lt;=(C271+T271)),BB271,0),IF(AND(ISNUMBER(AO271),AO271&lt;=(C271+T271)),BC271,0))),"SK",IF(AND(IF(AND(NOT(AND(AU271=1,AT271&lt;&gt;1)),ISNUMBER(AL271),AL271&lt;=(C271+T271)),AZ271,0)&gt;0,IF(AND(NOT(AND(AU271=1,AT271&lt;&gt;1)),ISNUMBER(AL271),AL271&lt;=(C271+T271)),AZ271,0)=MAX(IF(AND(NOT(AND(AU271=1,AT271&lt;&gt;1)),ISNUMBER(AK271),AK271&lt;=(C271+T271)),AY271,0),IF(AND(NOT(AND(AU271=1,AT271&lt;&gt;1)),ISNUMBER(AL271),AL271&lt;=(C271+T271)),AZ271,0),IF(AND(NOT(AND(AU271=1,AT271&lt;&gt;1)),ISNUMBER(AM271),AM271&lt;=(C271+T271)),BA271,0),IF(AND(NOT(AND(AU271=1,AT271&lt;&gt;1)),ISNUMBER(AN271),AN271&lt;=(C271+T271)),BB271,0),IF(AND(ISNUMBER(AO271),AO271&lt;=(C271+T271)),BC271,0))),"LB",IF(AND(IF(AND(NOT(AND(AU271=1,AT271&lt;&gt;1)),ISNUMBER(AM271),AM271&lt;=(C271+T271)),BA271,0)&gt;0,IF(AND(NOT(AND(AU271=1,AT271&lt;&gt;1)),ISNUMBER(AM271),AM271&lt;=(C271+T271)),BA271,0)=MAX(IF(AND(NOT(AND(AU271=1,AT271&lt;&gt;1)),ISNUMBER(AK271),AK271&lt;=(C271+T271)),AY271,0),IF(AND(NOT(AND(AU271=1,AT271&lt;&gt;1)),ISNUMBER(AL271),AL271&lt;=(C271+T271)),AZ271,0),IF(AND(NOT(AND(AU271=1,AT271&lt;&gt;1)),ISNUMBER(AM271),AM271&lt;=(C271+T271)),BA271,0),IF(AND(NOT(AND(AU271=1,AT271&lt;&gt;1)),ISNUMBER(AN271),AN271&lt;=(C271+T271)),BB271,0),IF(AND(ISNUMBER(AO271),AO271&lt;=(C271+T271)),BC271,0))),"ML",IF(AND(IF(AND(NOT(AND(AU271=1,AT271&lt;&gt;1)),ISNUMBER(AN271),AN271&lt;=(C271+T271)),BB271,0)&gt;0,IF(AND(NOT(AND(AU271=1,AT271&lt;&gt;1)),ISNUMBER(AN271),AN271&lt;=(C271+T271)),BB271,0)=MAX(IF(AND(NOT(AND(AU271=1,AT271&lt;&gt;1)),ISNUMBER(AK271),AK271&lt;=(C271+T271)),AY271,0),IF(AND(NOT(AND(AU271=1,AT271&lt;&gt;1)),ISNUMBER(AL271),AL271&lt;=(C271+T271)),AZ271,0),IF(AND(NOT(AND(AU271=1,AT271&lt;&gt;1)),ISNUMBER(AM271),AM271&lt;=(C271+T271)),BA271,0),IF(AND(NOT(AND(AU271=1,AT271&lt;&gt;1)),ISNUMBER(AN271),AN271&lt;=(C271+T271)),BB271,0),IF(AND(ISNUMBER(AO271),AO271&lt;=(C271+T271)),BC271,0))),"RLO","BD"))))))))</f>
        <v/>
      </c>
    </row>
    <row r="272">
      <c r="A272" s="26" t="n">
        <v>261</v>
      </c>
      <c r="B272" s="27">
        <f>A272*10/60</f>
        <v/>
      </c>
      <c r="C272" s="22">
        <f>X271</f>
        <v/>
      </c>
      <c r="D272" s="27">
        <f>D271+W271</f>
        <v/>
      </c>
      <c r="E272" s="26">
        <f>E271+IF(U271="SK",1,0)</f>
        <v/>
      </c>
      <c r="F272" s="26">
        <f>F271+IF(U271="LB",1,0)</f>
        <v/>
      </c>
      <c r="G272" s="26">
        <f>G271+IF(U271="ML",1,0)</f>
        <v/>
      </c>
      <c r="H272" s="26">
        <f>H271+IF(U271="RLO",1,0)</f>
        <v/>
      </c>
      <c r="I272" s="26">
        <f>I271+IF(U271="BD",1,0)</f>
        <v/>
      </c>
      <c r="J272" s="26">
        <f>MAX(J271,IF(U271="BiP",1,0))</f>
        <v/>
      </c>
      <c r="K272" s="26">
        <f>MAX(K271,IF(U271="PV",1,0))</f>
        <v/>
      </c>
      <c r="L272" s="26">
        <f>MAX(L271,IF(U271="OC",1,0))</f>
        <v/>
      </c>
      <c r="M272" s="26">
        <f>MAX(M271,IF(U271="MG",1,0))</f>
        <v/>
      </c>
      <c r="N272" s="26">
        <f>MAX(N271,IF(U271="transition",1,0))</f>
        <v/>
      </c>
      <c r="O272" s="28">
        <f>(Parameters!$B$9+(IF(E272=0,0,(Upgrades!$J$13+E272*Upgrades!$K$13)*POWER(Upgrades!$L$13,E272)))*(IF(Upgrades!$T$14="Stellar Kinematics",POWER(Upgrades!$U$14,F272),1)*IF(Upgrades!$T$15="Stellar Kinematics",POWER(Upgrades!$U$15,G272),1)*IF(Upgrades!$T$16="Stellar Kinematics",POWER(Upgrades!$U$16,H272),1)*IF(Upgrades!$T$17="Stellar Kinematics",POWER(Upgrades!$U$17,I272),1)*IF(Upgrades!$T$18="Stellar Kinematics",POWER(Upgrades!$U$18,J272),1)*IF(Upgrades!$T$19="Stellar Kinematics",POWER(Upgrades!$U$19,K272),1)*IF(Upgrades!$T$20="Stellar Kinematics",POWER(Upgrades!$U$20,L272),1)*IF(Upgrades!$T$21="Stellar Kinematics",POWER(Upgrades!$U$21,M272),1))+(IF(F272=0,0,(Upgrades!$J$14+F272*Upgrades!$K$14)*POWER(Upgrades!$L$14,F272)))*(IF(Upgrades!$T$13="Local Bubble",POWER(Upgrades!$U$13,E272),1)*IF(Upgrades!$T$15="Local Bubble",POWER(Upgrades!$U$15,G272),1)*IF(Upgrades!$T$16="Local Bubble",POWER(Upgrades!$U$16,H272),1)*IF(Upgrades!$T$17="Local Bubble",POWER(Upgrades!$U$17,I272),1)*IF(Upgrades!$T$18="Local Bubble",POWER(Upgrades!$U$18,J272),1)*IF(Upgrades!$T$19="Local Bubble",POWER(Upgrades!$U$19,K272),1)*IF(Upgrades!$T$20="Local Bubble",POWER(Upgrades!$U$20,L272),1)*IF(Upgrades!$T$21="Local Bubble",POWER(Upgrades!$U$21,M272),1))+(IF(G272=0,0,(Upgrades!$J$15+G272*Upgrades!$K$15)*POWER(Upgrades!$L$15,G272)))*(IF(Upgrades!$T$13="Microlensing",POWER(Upgrades!$U$13,E272),1)*IF(Upgrades!$T$14="Microlensing",POWER(Upgrades!$U$14,F272),1)*IF(Upgrades!$T$16="Microlensing",POWER(Upgrades!$U$16,H272),1)*IF(Upgrades!$T$17="Microlensing",POWER(Upgrades!$U$17,I272),1)*IF(Upgrades!$T$18="Microlensing",POWER(Upgrades!$U$18,J272),1)*IF(Upgrades!$T$19="Microlensing",POWER(Upgrades!$U$19,K272),1)*IF(Upgrades!$T$20="Microlensing",POWER(Upgrades!$U$20,L272),1)*IF(Upgrades!$T$21="Microlensing",POWER(Upgrades!$U$21,M272),1))+(IF(H272=0,0,(Upgrades!$J$16+H272*Upgrades!$K$16)*POWER(Upgrades!$L$16,H272)))*(IF(Upgrades!$T$13="Roche Lobe Overflow",POWER(Upgrades!$U$13,E272),1)*IF(Upgrades!$T$14="Roche Lobe Overflow",POWER(Upgrades!$U$14,F272),1)*IF(Upgrades!$T$15="Roche Lobe Overflow",POWER(Upgrades!$U$15,G272),1)*IF(Upgrades!$T$17="Roche Lobe Overflow",POWER(Upgrades!$U$17,I272),1)*IF(Upgrades!$T$18="Roche Lobe Overflow",POWER(Upgrades!$U$18,J272),1)*IF(Upgrades!$T$19="Roche Lobe Overflow",POWER(Upgrades!$U$19,K272),1)*IF(Upgrades!$T$20="Roche Lobe Overflow",POWER(Upgrades!$U$20,L272),1)*IF(Upgrades!$T$21="Roche Lobe Overflow",POWER(Upgrades!$U$21,M272),1))+(IF(I272=0,0,(Upgrades!$J$17+I272*Upgrades!$K$17)*POWER(Upgrades!$L$17,I272)))*(IF(Upgrades!$T$13="Brown Dwarf",POWER(Upgrades!$U$13,E272),1)*IF(Upgrades!$T$14="Brown Dwarf",POWER(Upgrades!$U$14,F272),1)*IF(Upgrades!$T$15="Brown Dwarf",POWER(Upgrades!$U$15,G272),1)*IF(Upgrades!$T$16="Brown Dwarf",POWER(Upgrades!$U$16,H272),1)*IF(Upgrades!$T$18="Brown Dwarf",POWER(Upgrades!$U$18,J272),1)*IF(Upgrades!$T$19="Brown Dwarf",POWER(Upgrades!$U$19,K272),1)*IF(Upgrades!$T$20="Brown Dwarf",POWER(Upgrades!$U$20,L272),1)*IF(Upgrades!$T$21="Brown Dwarf",POWER(Upgrades!$U$21,M272),1))+(IF(J272=0,0,(Upgrades!$J$18+J272*Upgrades!$K$18)*POWER(Upgrades!$L$18,J272)))*(IF(Upgrades!$T$13="Binary Partner",POWER(Upgrades!$U$13,E272),1)*IF(Upgrades!$T$14="Binary Partner",POWER(Upgrades!$U$14,F272),1)*IF(Upgrades!$T$15="Binary Partner",POWER(Upgrades!$U$15,G272),1)*IF(Upgrades!$T$16="Binary Partner",POWER(Upgrades!$U$16,H272),1)*IF(Upgrades!$T$17="Binary Partner",POWER(Upgrades!$U$17,I272),1)*IF(Upgrades!$T$19="Binary Partner",POWER(Upgrades!$U$19,K272),1)*IF(Upgrades!$T$20="Binary Partner",POWER(Upgrades!$U$20,L272),1)*IF(Upgrades!$T$21="Binary Partner",POWER(Upgrades!$U$21,M272),1))+(IF(K272=0,0,(Upgrades!$J$19+K272*Upgrades!$K$19)*POWER(Upgrades!$L$19,K272)))*(IF(Upgrades!$T$13="Peculiar Velocity",POWER(Upgrades!$U$13,E272),1)*IF(Upgrades!$T$14="Peculiar Velocity",POWER(Upgrades!$U$14,F272),1)*IF(Upgrades!$T$15="Peculiar Velocity",POWER(Upgrades!$U$15,G272),1)*IF(Upgrades!$T$16="Peculiar Velocity",POWER(Upgrades!$U$16,H272),1)*IF(Upgrades!$T$17="Peculiar Velocity",POWER(Upgrades!$U$17,I272),1)*IF(Upgrades!$T$18="Peculiar Velocity",POWER(Upgrades!$U$18,J272),1)*IF(Upgrades!$T$20="Peculiar Velocity",POWER(Upgrades!$U$20,L272),1)*IF(Upgrades!$T$21="Peculiar Velocity",POWER(Upgrades!$U$21,M272),1))+(IF(L272=0,0,(Upgrades!$J$20+L272*Upgrades!$K$20)*POWER(Upgrades!$L$20,L272)))*(IF(Upgrades!$T$13="Open Cluster",POWER(Upgrades!$U$13,E272),1)*IF(Upgrades!$T$14="Open Cluster",POWER(Upgrades!$U$14,F272),1)*IF(Upgrades!$T$15="Open Cluster",POWER(Upgrades!$U$15,G272),1)*IF(Upgrades!$T$16="Open Cluster",POWER(Upgrades!$U$16,H272),1)*IF(Upgrades!$T$17="Open Cluster",POWER(Upgrades!$U$17,I272),1)*IF(Upgrades!$T$18="Open Cluster",POWER(Upgrades!$U$18,J272),1)*IF(Upgrades!$T$19="Open Cluster",POWER(Upgrades!$U$19,K272),1)*IF(Upgrades!$T$21="Open Cluster",POWER(Upgrades!$U$21,M272),1))+(IF(M272=0,0,(Upgrades!$J$21+M272*Upgrades!$K$21)*POWER(Upgrades!$L$21,M272)))*(IF(Upgrades!$T$13="Moving Group",POWER(Upgrades!$U$13,E272),1)*IF(Upgrades!$T$14="Moving Group",POWER(Upgrades!$U$14,F272),1)*IF(Upgrades!$T$15="Moving Group",POWER(Upgrades!$U$15,G272),1)*IF(Upgrades!$T$16="Moving Group",POWER(Upgrades!$U$16,H272),1)*IF(Upgrades!$T$17="Moving Group",POWER(Upgrades!$U$17,I272),1)*IF(Upgrades!$T$18="Moving Group",POWER(Upgrades!$U$18,J272),1)*IF(Upgrades!$T$19="Moving Group",POWER(Upgrades!$U$19,K272),1)*IF(Upgrades!$T$20="Moving Group",POWER(Upgrades!$U$20,L272),1)))*POWER(Upgrades!$Q$13,E272)*POWER(Upgrades!$Q$14,F272)*POWER(Upgrades!$Q$15,G272)*POWER(Upgrades!$Q$16,H272)*POWER(Upgrades!$Q$17,I272)*POWER(Upgrades!$Q$18,J272)*POWER(Upgrades!$Q$19,K272)*POWER(Upgrades!$Q$20,L272)*POWER(Upgrades!$Q$21,M272)*$G$6+$D$6</f>
        <v/>
      </c>
      <c r="P272" s="28">
        <f>((IF(E272=0,0,(Upgrades!$G$13+E272*Upgrades!$H$13)*POWER(Upgrades!$I$13,E272)))*(IF(Upgrades!$T$14="Stellar Kinematics",POWER(Upgrades!$U$14,F272),1)*IF(Upgrades!$T$15="Stellar Kinematics",POWER(Upgrades!$U$15,G272),1)*IF(Upgrades!$T$16="Stellar Kinematics",POWER(Upgrades!$U$16,H272),1)*IF(Upgrades!$T$17="Stellar Kinematics",POWER(Upgrades!$U$17,I272),1)*IF(Upgrades!$T$18="Stellar Kinematics",POWER(Upgrades!$U$18,J272),1)*IF(Upgrades!$T$19="Stellar Kinematics",POWER(Upgrades!$U$19,K272),1)*IF(Upgrades!$T$20="Stellar Kinematics",POWER(Upgrades!$U$20,L272),1)*IF(Upgrades!$T$21="Stellar Kinematics",POWER(Upgrades!$U$21,M272),1))+(IF(F272=0,0,(Upgrades!$G$14+F272*Upgrades!$H$14)*POWER(Upgrades!$I$14,F272)))*(IF(Upgrades!$T$13="Local Bubble",POWER(Upgrades!$U$13,E272),1)*IF(Upgrades!$T$15="Local Bubble",POWER(Upgrades!$U$15,G272),1)*IF(Upgrades!$T$16="Local Bubble",POWER(Upgrades!$U$16,H272),1)*IF(Upgrades!$T$17="Local Bubble",POWER(Upgrades!$U$17,I272),1)*IF(Upgrades!$T$18="Local Bubble",POWER(Upgrades!$U$18,J272),1)*IF(Upgrades!$T$19="Local Bubble",POWER(Upgrades!$U$19,K272),1)*IF(Upgrades!$T$20="Local Bubble",POWER(Upgrades!$U$20,L272),1)*IF(Upgrades!$T$21="Local Bubble",POWER(Upgrades!$U$21,M272),1))+(IF(G272=0,0,(Upgrades!$G$15+G272*Upgrades!$H$15)*POWER(Upgrades!$I$15,G272)))*(IF(Upgrades!$T$13="Microlensing",POWER(Upgrades!$U$13,E272),1)*IF(Upgrades!$T$14="Microlensing",POWER(Upgrades!$U$14,F272),1)*IF(Upgrades!$T$16="Microlensing",POWER(Upgrades!$U$16,H272),1)*IF(Upgrades!$T$17="Microlensing",POWER(Upgrades!$U$17,I272),1)*IF(Upgrades!$T$18="Microlensing",POWER(Upgrades!$U$18,J272),1)*IF(Upgrades!$T$19="Microlensing",POWER(Upgrades!$U$19,K272),1)*IF(Upgrades!$T$20="Microlensing",POWER(Upgrades!$U$20,L272),1)*IF(Upgrades!$T$21="Microlensing",POWER(Upgrades!$U$21,M272),1))+(IF(H272=0,0,(Upgrades!$G$16+H272*Upgrades!$H$16)*POWER(Upgrades!$I$16,H272)))*(IF(Upgrades!$T$13="Roche Lobe Overflow",POWER(Upgrades!$U$13,E272),1)*IF(Upgrades!$T$14="Roche Lobe Overflow",POWER(Upgrades!$U$14,F272),1)*IF(Upgrades!$T$15="Roche Lobe Overflow",POWER(Upgrades!$U$15,G272),1)*IF(Upgrades!$T$17="Roche Lobe Overflow",POWER(Upgrades!$U$17,I272),1)*IF(Upgrades!$T$18="Roche Lobe Overflow",POWER(Upgrades!$U$18,J272),1)*IF(Upgrades!$T$19="Roche Lobe Overflow",POWER(Upgrades!$U$19,K272),1)*IF(Upgrades!$T$20="Roche Lobe Overflow",POWER(Upgrades!$U$20,L272),1)*IF(Upgrades!$T$21="Roche Lobe Overflow",POWER(Upgrades!$U$21,M272),1))+(IF(I272=0,0,(Upgrades!$G$17+I272*Upgrades!$H$17)*POWER(Upgrades!$I$17,I272)))*(IF(Upgrades!$T$13="Brown Dwarf",POWER(Upgrades!$U$13,E272),1)*IF(Upgrades!$T$14="Brown Dwarf",POWER(Upgrades!$U$14,F272),1)*IF(Upgrades!$T$15="Brown Dwarf",POWER(Upgrades!$U$15,G272),1)*IF(Upgrades!$T$16="Brown Dwarf",POWER(Upgrades!$U$16,H272),1)*IF(Upgrades!$T$18="Brown Dwarf",POWER(Upgrades!$U$18,J272),1)*IF(Upgrades!$T$19="Brown Dwarf",POWER(Upgrades!$U$19,K272),1)*IF(Upgrades!$T$20="Brown Dwarf",POWER(Upgrades!$U$20,L272),1)*IF(Upgrades!$T$21="Brown Dwarf",POWER(Upgrades!$U$21,M272),1))+(IF(J272=0,0,(Upgrades!$G$18+J272*Upgrades!$H$18)*POWER(Upgrades!$I$18,J272)))*(IF(Upgrades!$T$13="Binary Partner",POWER(Upgrades!$U$13,E272),1)*IF(Upgrades!$T$14="Binary Partner",POWER(Upgrades!$U$14,F272),1)*IF(Upgrades!$T$15="Binary Partner",POWER(Upgrades!$U$15,G272),1)*IF(Upgrades!$T$16="Binary Partner",POWER(Upgrades!$U$16,H272),1)*IF(Upgrades!$T$17="Binary Partner",POWER(Upgrades!$U$17,I272),1)*IF(Upgrades!$T$19="Binary Partner",POWER(Upgrades!$U$19,K272),1)*IF(Upgrades!$T$20="Binary Partner",POWER(Upgrades!$U$20,L272),1)*IF(Upgrades!$T$21="Binary Partner",POWER(Upgrades!$U$21,M272),1))+(IF(K272=0,0,(Upgrades!$G$19+K272*Upgrades!$H$19)*POWER(Upgrades!$I$19,K272)))*(IF(Upgrades!$T$13="Peculiar Velocity",POWER(Upgrades!$U$13,E272),1)*IF(Upgrades!$T$14="Peculiar Velocity",POWER(Upgrades!$U$14,F272),1)*IF(Upgrades!$T$15="Peculiar Velocity",POWER(Upgrades!$U$15,G272),1)*IF(Upgrades!$T$16="Peculiar Velocity",POWER(Upgrades!$U$16,H272),1)*IF(Upgrades!$T$17="Peculiar Velocity",POWER(Upgrades!$U$17,I272),1)*IF(Upgrades!$T$18="Peculiar Velocity",POWER(Upgrades!$U$18,J272),1)*IF(Upgrades!$T$20="Peculiar Velocity",POWER(Upgrades!$U$20,L272),1)*IF(Upgrades!$T$21="Peculiar Velocity",POWER(Upgrades!$U$21,M272),1))+(IF(L272=0,0,(Upgrades!$G$20+L272*Upgrades!$H$20)*POWER(Upgrades!$I$20,L272)))*(IF(Upgrades!$T$13="Open Cluster",POWER(Upgrades!$U$13,E272),1)*IF(Upgrades!$T$14="Open Cluster",POWER(Upgrades!$U$14,F272),1)*IF(Upgrades!$T$15="Open Cluster",POWER(Upgrades!$U$15,G272),1)*IF(Upgrades!$T$16="Open Cluster",POWER(Upgrades!$U$16,H272),1)*IF(Upgrades!$T$17="Open Cluster",POWER(Upgrades!$U$17,I272),1)*IF(Upgrades!$T$18="Open Cluster",POWER(Upgrades!$U$18,J272),1)*IF(Upgrades!$T$19="Open Cluster",POWER(Upgrades!$U$19,K272),1)*IF(Upgrades!$T$21="Open Cluster",POWER(Upgrades!$U$21,M272),1))+(IF(M272=0,0,(Upgrades!$G$21+M272*Upgrades!$H$21)*POWER(Upgrades!$I$21,M272)))*(IF(Upgrades!$T$13="Moving Group",POWER(Upgrades!$U$13,E272),1)*IF(Upgrades!$T$14="Moving Group",POWER(Upgrades!$U$14,F272),1)*IF(Upgrades!$T$15="Moving Group",POWER(Upgrades!$U$15,G272),1)*IF(Upgrades!$T$16="Moving Group",POWER(Upgrades!$U$16,H272),1)*IF(Upgrades!$T$17="Moving Group",POWER(Upgrades!$U$17,I272),1)*IF(Upgrades!$T$18="Moving Group",POWER(Upgrades!$U$18,J272),1)*IF(Upgrades!$T$19="Moving Group",POWER(Upgrades!$U$19,K272),1)*IF(Upgrades!$T$20="Moving Group",POWER(Upgrades!$U$20,L272),1)))*POWER(Upgrades!$P$13,E272)*POWER(Upgrades!$P$14,F272)*POWER(Upgrades!$P$15,G272)*POWER(Upgrades!$P$16,H272)*POWER(Upgrades!$P$17,I272)*POWER(Upgrades!$P$18,J272)*POWER(Upgrades!$P$19,K272)*POWER(Upgrades!$P$20,L272)*POWER(Upgrades!$P$21,M272)*$F$6+$C$6</f>
        <v/>
      </c>
      <c r="Q272" s="28">
        <f>((IF(E272=0,0,(Upgrades!$M$13+E272*Upgrades!$N$13)*POWER(Upgrades!$O$13,E272)))*(IF(Upgrades!$T$14="Stellar Kinematics",POWER(Upgrades!$U$14,F272),1)*IF(Upgrades!$T$15="Stellar Kinematics",POWER(Upgrades!$U$15,G272),1)*IF(Upgrades!$T$16="Stellar Kinematics",POWER(Upgrades!$U$16,H272),1)*IF(Upgrades!$T$17="Stellar Kinematics",POWER(Upgrades!$U$17,I272),1)*IF(Upgrades!$T$18="Stellar Kinematics",POWER(Upgrades!$U$18,J272),1)*IF(Upgrades!$T$19="Stellar Kinematics",POWER(Upgrades!$U$19,K272),1)*IF(Upgrades!$T$20="Stellar Kinematics",POWER(Upgrades!$U$20,L272),1)*IF(Upgrades!$T$21="Stellar Kinematics",POWER(Upgrades!$U$21,M272),1))+(IF(F272=0,0,(Upgrades!$M$14+F272*Upgrades!$N$14)*POWER(Upgrades!$O$14,F272)))*(IF(Upgrades!$T$13="Local Bubble",POWER(Upgrades!$U$13,E272),1)*IF(Upgrades!$T$15="Local Bubble",POWER(Upgrades!$U$15,G272),1)*IF(Upgrades!$T$16="Local Bubble",POWER(Upgrades!$U$16,H272),1)*IF(Upgrades!$T$17="Local Bubble",POWER(Upgrades!$U$17,I272),1)*IF(Upgrades!$T$18="Local Bubble",POWER(Upgrades!$U$18,J272),1)*IF(Upgrades!$T$19="Local Bubble",POWER(Upgrades!$U$19,K272),1)*IF(Upgrades!$T$20="Local Bubble",POWER(Upgrades!$U$20,L272),1)*IF(Upgrades!$T$21="Local Bubble",POWER(Upgrades!$U$21,M272),1))+(IF(G272=0,0,(Upgrades!$M$15+G272*Upgrades!$N$15)*POWER(Upgrades!$O$15,G272)))*(IF(Upgrades!$T$13="Microlensing",POWER(Upgrades!$U$13,E272),1)*IF(Upgrades!$T$14="Microlensing",POWER(Upgrades!$U$14,F272),1)*IF(Upgrades!$T$16="Microlensing",POWER(Upgrades!$U$16,H272),1)*IF(Upgrades!$T$17="Microlensing",POWER(Upgrades!$U$17,I272),1)*IF(Upgrades!$T$18="Microlensing",POWER(Upgrades!$U$18,J272),1)*IF(Upgrades!$T$19="Microlensing",POWER(Upgrades!$U$19,K272),1)*IF(Upgrades!$T$20="Microlensing",POWER(Upgrades!$U$20,L272),1)*IF(Upgrades!$T$21="Microlensing",POWER(Upgrades!$U$21,M272),1))+(IF(H272=0,0,(Upgrades!$M$16+H272*Upgrades!$N$16)*POWER(Upgrades!$O$16,H272)))*(IF(Upgrades!$T$13="Roche Lobe Overflow",POWER(Upgrades!$U$13,E272),1)*IF(Upgrades!$T$14="Roche Lobe Overflow",POWER(Upgrades!$U$14,F272),1)*IF(Upgrades!$T$15="Roche Lobe Overflow",POWER(Upgrades!$U$15,G272),1)*IF(Upgrades!$T$17="Roche Lobe Overflow",POWER(Upgrades!$U$17,I272),1)*IF(Upgrades!$T$18="Roche Lobe Overflow",POWER(Upgrades!$U$18,J272),1)*IF(Upgrades!$T$19="Roche Lobe Overflow",POWER(Upgrades!$U$19,K272),1)*IF(Upgrades!$T$20="Roche Lobe Overflow",POWER(Upgrades!$U$20,L272),1)*IF(Upgrades!$T$21="Roche Lobe Overflow",POWER(Upgrades!$U$21,M272),1))+(IF(I272=0,0,(Upgrades!$M$17+I272*Upgrades!$N$17)*POWER(Upgrades!$O$17,I272)))*(IF(Upgrades!$T$13="Brown Dwarf",POWER(Upgrades!$U$13,E272),1)*IF(Upgrades!$T$14="Brown Dwarf",POWER(Upgrades!$U$14,F272),1)*IF(Upgrades!$T$15="Brown Dwarf",POWER(Upgrades!$U$15,G272),1)*IF(Upgrades!$T$16="Brown Dwarf",POWER(Upgrades!$U$16,H272),1)*IF(Upgrades!$T$18="Brown Dwarf",POWER(Upgrades!$U$18,J272),1)*IF(Upgrades!$T$19="Brown Dwarf",POWER(Upgrades!$U$19,K272),1)*IF(Upgrades!$T$20="Brown Dwarf",POWER(Upgrades!$U$20,L272),1)*IF(Upgrades!$T$21="Brown Dwarf",POWER(Upgrades!$U$21,M272),1))+(IF(J272=0,0,(Upgrades!$M$18+J272*Upgrades!$N$18)*POWER(Upgrades!$O$18,J272)))*(IF(Upgrades!$T$13="Binary Partner",POWER(Upgrades!$U$13,E272),1)*IF(Upgrades!$T$14="Binary Partner",POWER(Upgrades!$U$14,F272),1)*IF(Upgrades!$T$15="Binary Partner",POWER(Upgrades!$U$15,G272),1)*IF(Upgrades!$T$16="Binary Partner",POWER(Upgrades!$U$16,H272),1)*IF(Upgrades!$T$17="Binary Partner",POWER(Upgrades!$U$17,I272),1)*IF(Upgrades!$T$19="Binary Partner",POWER(Upgrades!$U$19,K272),1)*IF(Upgrades!$T$20="Binary Partner",POWER(Upgrades!$U$20,L272),1)*IF(Upgrades!$T$21="Binary Partner",POWER(Upgrades!$U$21,M272),1))+(IF(K272=0,0,(Upgrades!$M$19+K272*Upgrades!$N$19)*POWER(Upgrades!$O$19,K272)))*(IF(Upgrades!$T$13="Peculiar Velocity",POWER(Upgrades!$U$13,E272),1)*IF(Upgrades!$T$14="Peculiar Velocity",POWER(Upgrades!$U$14,F272),1)*IF(Upgrades!$T$15="Peculiar Velocity",POWER(Upgrades!$U$15,G272),1)*IF(Upgrades!$T$16="Peculiar Velocity",POWER(Upgrades!$U$16,H272),1)*IF(Upgrades!$T$17="Peculiar Velocity",POWER(Upgrades!$U$17,I272),1)*IF(Upgrades!$T$18="Peculiar Velocity",POWER(Upgrades!$U$18,J272),1)*IF(Upgrades!$T$20="Peculiar Velocity",POWER(Upgrades!$U$20,L272),1)*IF(Upgrades!$T$21="Peculiar Velocity",POWER(Upgrades!$U$21,M272),1))+(IF(L272=0,0,(Upgrades!$M$20+L272*Upgrades!$N$20)*POWER(Upgrades!$O$20,L272)))*(IF(Upgrades!$T$13="Open Cluster",POWER(Upgrades!$U$13,E272),1)*IF(Upgrades!$T$14="Open Cluster",POWER(Upgrades!$U$14,F272),1)*IF(Upgrades!$T$15="Open Cluster",POWER(Upgrades!$U$15,G272),1)*IF(Upgrades!$T$16="Open Cluster",POWER(Upgrades!$U$16,H272),1)*IF(Upgrades!$T$17="Open Cluster",POWER(Upgrades!$U$17,I272),1)*IF(Upgrades!$T$18="Open Cluster",POWER(Upgrades!$U$18,J272),1)*IF(Upgrades!$T$19="Open Cluster",POWER(Upgrades!$U$19,K272),1)*IF(Upgrades!$T$21="Open Cluster",POWER(Upgrades!$U$21,M272),1))+(IF(M272=0,0,(Upgrades!$M$21+M272*Upgrades!$N$21)*POWER(Upgrades!$O$21,M272)))*(IF(Upgrades!$T$13="Moving Group",POWER(Upgrades!$U$13,E272),1)*IF(Upgrades!$T$14="Moving Group",POWER(Upgrades!$U$14,F272),1)*IF(Upgrades!$T$15="Moving Group",POWER(Upgrades!$U$15,G272),1)*IF(Upgrades!$T$16="Moving Group",POWER(Upgrades!$U$16,H272),1)*IF(Upgrades!$T$17="Moving Group",POWER(Upgrades!$U$17,I272),1)*IF(Upgrades!$T$18="Moving Group",POWER(Upgrades!$U$18,J272),1)*IF(Upgrades!$T$19="Moving Group",POWER(Upgrades!$U$19,K272),1)*IF(Upgrades!$T$20="Moving Group",POWER(Upgrades!$U$20,L272),1)))*POWER(Upgrades!$R$13,E272)*POWER(Upgrades!$R$14,F272)*POWER(Upgrades!$R$15,G272)*POWER(Upgrades!$R$16,H272)*POWER(Upgrades!$R$17,I272)*POWER(Upgrades!$R$18,J272)*POWER(Upgrades!$R$19,K272)*POWER(Upgrades!$R$20,L272)*POWER(Upgrades!$R$21,M272)*$H$6+$E$6</f>
        <v/>
      </c>
      <c r="R272" s="27">
        <f>IF(N272=1,0,O272*Parameters!$B$10/60*Parameters!$B$11*10)</f>
        <v/>
      </c>
      <c r="S272" s="27">
        <f>IF(N272=1,0,Q272*O272*10)</f>
        <v/>
      </c>
      <c r="T272" s="27">
        <f>IF(N272=1,0,R272+S272+P272*10)</f>
        <v/>
      </c>
      <c r="U272" s="33">
        <f>BE272</f>
        <v/>
      </c>
      <c r="V272" s="22">
        <f>IF(U272="",0,IF(U272="transition",0,IF(U272="SK",AK272,IF(U272="LB",AL272,IF(U272="ML",AM272,IF(U272="RLO",AN272,IF(U272="BD",AO272,IF(U272="BiP",AP272,IF(U272="PV",AQ272,IF(U272="OC",AR272,IF(U272="MG",AS272,0))))))))))</f>
        <v/>
      </c>
      <c r="W272" s="27">
        <f>IF(U272="BiP",Upgrades!$F$18,IF(U272="PV",Upgrades!$F$19,IF(U272="OC",Upgrades!$F$20,IF(U272="MG",Upgrades!$F$21,IF(U272="transition",-Parameters!$B$18*Parameters!$B$19,0)))))</f>
        <v/>
      </c>
      <c r="X272" s="22">
        <f>C272+T272-V272</f>
        <v/>
      </c>
      <c r="Y272" s="30">
        <f>O272*Parameters!$B$10/60*Parameters!$B$11+Q272*O272+P272</f>
        <v/>
      </c>
      <c r="Z272" s="34">
        <f>IF(U272="transition","→ Tier 3 (Galactic Arm)",IF(U272="MG","Moving Group — pocket drifts together",IF(U272="OC","Open Cluster acquired",IF(U272="PV","Peculiar Velocity — passive multiplier active",IF(U272="BiP","Binary Partner — pair bond formed",IF(AND(AU272=1,N272=0,AT272&lt;&gt;1),"Cohesion ready (waiting on completionists)","")))))) </f>
        <v/>
      </c>
      <c r="AA272" s="27">
        <f>(IF(E272=0,0,(Upgrades!$G$13+E272*Upgrades!$H$13)*POWER(Upgrades!$I$13,E272)))*(IF(Upgrades!$T$14="Stellar Kinematics",POWER(Upgrades!$U$14,F272),1)*IF(Upgrades!$T$15="Stellar Kinematics",POWER(Upgrades!$U$15,G272),1)*IF(Upgrades!$T$16="Stellar Kinematics",POWER(Upgrades!$U$16,H272),1)*IF(Upgrades!$T$17="Stellar Kinematics",POWER(Upgrades!$U$17,I272),1)*IF(Upgrades!$T$18="Stellar Kinematics",POWER(Upgrades!$U$18,J272),1)*IF(Upgrades!$T$19="Stellar Kinematics",POWER(Upgrades!$U$19,K272),1)*IF(Upgrades!$T$20="Stellar Kinematics",POWER(Upgrades!$U$20,L272),1)*IF(Upgrades!$T$21="Stellar Kinematics",POWER(Upgrades!$U$21,M272),1))*POWER(Upgrades!$P$13,E272)*POWER(Upgrades!$P$14,F272)*POWER(Upgrades!$P$15,G272)*POWER(Upgrades!$P$16,H272)*POWER(Upgrades!$P$17,I272)*POWER(Upgrades!$P$18,J272)*POWER(Upgrades!$P$19,K272)*POWER(Upgrades!$P$20,L272)*POWER(Upgrades!$P$21,M272)*$F$6*60</f>
        <v/>
      </c>
      <c r="AB272" s="27">
        <f>(IF(F272=0,0,(Upgrades!$G$14+F272*Upgrades!$H$14)*POWER(Upgrades!$I$14,F272)))*(IF(Upgrades!$T$13="Local Bubble",POWER(Upgrades!$U$13,E272),1)*IF(Upgrades!$T$15="Local Bubble",POWER(Upgrades!$U$15,G272),1)*IF(Upgrades!$T$16="Local Bubble",POWER(Upgrades!$U$16,H272),1)*IF(Upgrades!$T$17="Local Bubble",POWER(Upgrades!$U$17,I272),1)*IF(Upgrades!$T$18="Local Bubble",POWER(Upgrades!$U$18,J272),1)*IF(Upgrades!$T$19="Local Bubble",POWER(Upgrades!$U$19,K272),1)*IF(Upgrades!$T$20="Local Bubble",POWER(Upgrades!$U$20,L272),1)*IF(Upgrades!$T$21="Local Bubble",POWER(Upgrades!$U$21,M272),1))*POWER(Upgrades!$P$13,E272)*POWER(Upgrades!$P$14,F272)*POWER(Upgrades!$P$15,G272)*POWER(Upgrades!$P$16,H272)*POWER(Upgrades!$P$17,I272)*POWER(Upgrades!$P$18,J272)*POWER(Upgrades!$P$19,K272)*POWER(Upgrades!$P$20,L272)*POWER(Upgrades!$P$21,M272)*$F$6*60</f>
        <v/>
      </c>
      <c r="AC272" s="27">
        <f>(IF(G272=0,0,(Upgrades!$J$15+G272*Upgrades!$K$15)*POWER(Upgrades!$L$15,G272)))*(IF(Upgrades!$T$13="Microlensing",POWER(Upgrades!$U$13,E272),1)*IF(Upgrades!$T$14="Microlensing",POWER(Upgrades!$U$14,F272),1)*IF(Upgrades!$T$16="Microlensing",POWER(Upgrades!$U$16,H272),1)*IF(Upgrades!$T$17="Microlensing",POWER(Upgrades!$U$17,I272),1)*IF(Upgrades!$T$18="Microlensing",POWER(Upgrades!$U$18,J272),1)*IF(Upgrades!$T$19="Microlensing",POWER(Upgrades!$U$19,K272),1)*IF(Upgrades!$T$20="Microlensing",POWER(Upgrades!$U$20,L272),1)*IF(Upgrades!$T$21="Microlensing",POWER(Upgrades!$U$21,M272),1))*POWER(Upgrades!$Q$13,E272)*POWER(Upgrades!$Q$14,F272)*POWER(Upgrades!$Q$15,G272)*POWER(Upgrades!$Q$16,H272)*POWER(Upgrades!$Q$17,I272)*POWER(Upgrades!$Q$18,J272)*POWER(Upgrades!$Q$19,K272)*POWER(Upgrades!$Q$20,L272)*POWER(Upgrades!$Q$21,M272)*$G$6*(Parameters!$B$10*Parameters!$B$11+Q272*60)</f>
        <v/>
      </c>
      <c r="AD272" s="27">
        <f>(IF(H272=0,0,(Upgrades!$M$16+H272*Upgrades!$N$16)*POWER(Upgrades!$O$16,H272)))*(IF(Upgrades!$T$13="Roche Lobe Overflow",POWER(Upgrades!$U$13,E272),1)*IF(Upgrades!$T$14="Roche Lobe Overflow",POWER(Upgrades!$U$14,F272),1)*IF(Upgrades!$T$15="Roche Lobe Overflow",POWER(Upgrades!$U$15,G272),1)*IF(Upgrades!$T$17="Roche Lobe Overflow",POWER(Upgrades!$U$17,I272),1)*IF(Upgrades!$T$18="Roche Lobe Overflow",POWER(Upgrades!$U$18,J272),1)*IF(Upgrades!$T$19="Roche Lobe Overflow",POWER(Upgrades!$U$19,K272),1)*IF(Upgrades!$T$20="Roche Lobe Overflow",POWER(Upgrades!$U$20,L272),1)*IF(Upgrades!$T$21="Roche Lobe Overflow",POWER(Upgrades!$U$21,M272),1))*POWER(Upgrades!$R$13,E272)*POWER(Upgrades!$R$14,F272)*POWER(Upgrades!$R$15,G272)*POWER(Upgrades!$R$16,H272)*POWER(Upgrades!$R$17,I272)*POWER(Upgrades!$R$18,J272)*POWER(Upgrades!$R$19,K272)*POWER(Upgrades!$R$20,L272)*POWER(Upgrades!$R$21,M272)*$H$6*O272*60</f>
        <v/>
      </c>
      <c r="AE272" s="27">
        <f>(IF(I272=0,0,(Upgrades!$G$17+I272*Upgrades!$H$17)*POWER(Upgrades!$I$17,I272)))*(IF(Upgrades!$T$13="Brown Dwarf",POWER(Upgrades!$U$13,E272),1)*IF(Upgrades!$T$14="Brown Dwarf",POWER(Upgrades!$U$14,F272),1)*IF(Upgrades!$T$15="Brown Dwarf",POWER(Upgrades!$U$15,G272),1)*IF(Upgrades!$T$16="Brown Dwarf",POWER(Upgrades!$U$16,H272),1)*IF(Upgrades!$T$18="Brown Dwarf",POWER(Upgrades!$U$18,J272),1)*IF(Upgrades!$T$19="Brown Dwarf",POWER(Upgrades!$U$19,K272),1)*IF(Upgrades!$T$20="Brown Dwarf",POWER(Upgrades!$U$20,L272),1)*IF(Upgrades!$T$21="Brown Dwarf",POWER(Upgrades!$U$21,M272),1))*POWER(Upgrades!$P$13,E272)*POWER(Upgrades!$P$14,F272)*POWER(Upgrades!$P$15,G272)*POWER(Upgrades!$P$16,H272)*POWER(Upgrades!$P$17,I272)*POWER(Upgrades!$P$18,J272)*POWER(Upgrades!$P$19,K272)*POWER(Upgrades!$P$20,L272)*POWER(Upgrades!$P$21,M272)*$F$6*60</f>
        <v/>
      </c>
      <c r="AF272" s="27" t="n">
        <v>0</v>
      </c>
      <c r="AG272" s="27" t="n">
        <v>0</v>
      </c>
      <c r="AH272" s="27" t="n">
        <v>0</v>
      </c>
      <c r="AI272" s="27">
        <f>(IF(M272=0,0,(Upgrades!$G$21+M272*Upgrades!$H$21)*POWER(Upgrades!$I$21,M272)))*(IF(Upgrades!$T$13="Moving Group",POWER(Upgrades!$U$13,E272),1)*IF(Upgrades!$T$14="Moving Group",POWER(Upgrades!$U$14,F272),1)*IF(Upgrades!$T$15="Moving Group",POWER(Upgrades!$U$15,G272),1)*IF(Upgrades!$T$16="Moving Group",POWER(Upgrades!$U$16,H272),1)*IF(Upgrades!$T$17="Moving Group",POWER(Upgrades!$U$17,I272),1)*IF(Upgrades!$T$18="Moving Group",POWER(Upgrades!$U$18,J272),1)*IF(Upgrades!$T$19="Moving Group",POWER(Upgrades!$U$19,K272),1)*IF(Upgrades!$T$20="Moving Group",POWER(Upgrades!$U$20,L272),1))*POWER(Upgrades!$P$13,E272)*POWER(Upgrades!$P$14,F272)*POWER(Upgrades!$P$15,G272)*POWER(Upgrades!$P$16,H272)*POWER(Upgrades!$P$17,I272)*POWER(Upgrades!$P$18,J272)*POWER(Upgrades!$P$19,K272)*POWER(Upgrades!$P$20,L272)*POWER(Upgrades!$P$21,M272)*$F$6*60</f>
        <v/>
      </c>
      <c r="AJ272" s="27">
        <f>$C$6*60</f>
        <v/>
      </c>
      <c r="AK272" s="22">
        <f>IF(E272&gt;=Upgrades!$E$13,"",Upgrades!$C$13*POWER(Upgrades!$D$13,E272))</f>
        <v/>
      </c>
      <c r="AL272" s="22">
        <f>IF(F272&gt;=Upgrades!$E$14,"",Upgrades!$C$14*POWER(Upgrades!$D$14,F272))</f>
        <v/>
      </c>
      <c r="AM272" s="22">
        <f>IF(G272&gt;=Upgrades!$E$15,"",Upgrades!$C$15*POWER(Upgrades!$D$15,G272))</f>
        <v/>
      </c>
      <c r="AN272" s="22">
        <f>IF(H272&gt;=Upgrades!$E$16,"",Upgrades!$C$16*POWER(Upgrades!$D$16,H272))</f>
        <v/>
      </c>
      <c r="AO272" s="22">
        <f>IF(I272&gt;=Upgrades!$E$17,"",Upgrades!$C$17*POWER(Upgrades!$D$17,I272))</f>
        <v/>
      </c>
      <c r="AP272" s="22">
        <f>IF(J272&gt;=Upgrades!$E$18,"",Upgrades!$C$18*POWER(Upgrades!$D$18,J272))</f>
        <v/>
      </c>
      <c r="AQ272" s="22">
        <f>IF(K272&gt;=Upgrades!$E$19,"",Upgrades!$C$19*POWER(Upgrades!$D$19,K272))</f>
        <v/>
      </c>
      <c r="AR272" s="22">
        <f>IF(L272&gt;=Upgrades!$E$20,"",Upgrades!$C$20*POWER(Upgrades!$D$20,L272))</f>
        <v/>
      </c>
      <c r="AS272" s="22">
        <f>IF(M272&gt;=Upgrades!$E$21,"",Upgrades!$C$21*POWER(Upgrades!$D$21,M272))</f>
        <v/>
      </c>
      <c r="AT272" s="26">
        <f>IF(AND(D272&gt;=Parameters!$B$18*Parameters!$B$19,(I272&gt;=Upgrades!$E$17)*(M272&gt;=Upgrades!$E$21)=1,N272=0),1,"")</f>
        <v/>
      </c>
      <c r="AU272" s="26">
        <f>IF(AND(D272&gt;=Parameters!$B$18*Parameters!$B$19,N272=0),1,"")</f>
        <v/>
      </c>
      <c r="AV272" s="22">
        <f>MIN(IF(ISNUMBER(AP272),AP272,9E15),IF(ISNUMBER(AQ272),AQ272,9E15),IF(ISNUMBER(AR272),AR272,9E15),IF(ISNUMBER(AS272),AS272,9E15))</f>
        <v/>
      </c>
      <c r="AW272" s="22">
        <f>MIN(IF(ISNUMBER(AK272),AK272,9E15),IF(ISNUMBER(AL272),AL272,9E15),IF(ISNUMBER(AM272),AM272,9E15),IF(ISNUMBER(AN272),AN272,9E15),IF(ISNUMBER(AO272),AO272,9E15))</f>
        <v/>
      </c>
      <c r="AX272" s="29">
        <f>IF(BD272&gt;Parameters!$B$21*(MAX(IF(AND(NOT(AND(AU272=1,AT272&lt;&gt;1)),ISNUMBER(AK272),AK272&lt;=(C272+T272)),AY272,0),IF(AND(NOT(AND(AU272=1,AT272&lt;&gt;1)),ISNUMBER(AL272),AL272&lt;=(C272+T272)),AZ272,0),IF(AND(NOT(AND(AU272=1,AT272&lt;&gt;1)),ISNUMBER(AM272),AM272&lt;=(C272+T272)),BA272,0),IF(AND(NOT(AND(AU272=1,AT272&lt;&gt;1)),ISNUMBER(AN272),AN272&lt;=(C272+T272)),BB272,0),IF(AND(ISNUMBER(AO272),AO272&lt;=(C272+T272)),BC272,0))),TRUE,FALSE)</f>
        <v/>
      </c>
      <c r="AY272" s="32">
        <f>IFERROR(Upgrades!$H$13*(POWER(Upgrades!$P$13,E272)*POWER(Upgrades!$P$14,F272)*POWER(Upgrades!$P$15,G272)*POWER(Upgrades!$P$16,H272)*POWER(Upgrades!$P$17,I272)*POWER(Upgrades!$P$18,J272)*POWER(Upgrades!$P$19,K272)*POWER(Upgrades!$P$20,L272)*POWER(Upgrades!$P$21,M272))*(IF(Upgrades!$T$14="Stellar Kinematics",POWER(Upgrades!$U$14,F272),1)*IF(Upgrades!$T$15="Stellar Kinematics",POWER(Upgrades!$U$15,G272),1)*IF(Upgrades!$T$16="Stellar Kinematics",POWER(Upgrades!$U$16,H272),1)*IF(Upgrades!$T$17="Stellar Kinematics",POWER(Upgrades!$U$17,I272),1)*IF(Upgrades!$T$18="Stellar Kinematics",POWER(Upgrades!$U$18,J272),1)*IF(Upgrades!$T$19="Stellar Kinematics",POWER(Upgrades!$U$19,K272),1)*IF(Upgrades!$T$20="Stellar Kinematics",POWER(Upgrades!$U$20,L272),1)*IF(Upgrades!$T$21="Stellar Kinematics",POWER(Upgrades!$U$21,M272),1))*$F$6/AK272,0)</f>
        <v/>
      </c>
      <c r="AZ272" s="32">
        <f>IFERROR(Upgrades!$H$14*(POWER(Upgrades!$P$13,E272)*POWER(Upgrades!$P$14,F272)*POWER(Upgrades!$P$15,G272)*POWER(Upgrades!$P$16,H272)*POWER(Upgrades!$P$17,I272)*POWER(Upgrades!$P$18,J272)*POWER(Upgrades!$P$19,K272)*POWER(Upgrades!$P$20,L272)*POWER(Upgrades!$P$21,M272))*(IF(Upgrades!$T$13="Local Bubble",POWER(Upgrades!$U$13,E272),1)*IF(Upgrades!$T$15="Local Bubble",POWER(Upgrades!$U$15,G272),1)*IF(Upgrades!$T$16="Local Bubble",POWER(Upgrades!$U$16,H272),1)*IF(Upgrades!$T$17="Local Bubble",POWER(Upgrades!$U$17,I272),1)*IF(Upgrades!$T$18="Local Bubble",POWER(Upgrades!$U$18,J272),1)*IF(Upgrades!$T$19="Local Bubble",POWER(Upgrades!$U$19,K272),1)*IF(Upgrades!$T$20="Local Bubble",POWER(Upgrades!$U$20,L272),1)*IF(Upgrades!$T$21="Local Bubble",POWER(Upgrades!$U$21,M272),1))*$F$6/AL272,0)</f>
        <v/>
      </c>
      <c r="BA272" s="32">
        <f>IFERROR(Upgrades!$K$15*(POWER(Upgrades!$Q$13,E272)*POWER(Upgrades!$Q$14,F272)*POWER(Upgrades!$Q$15,G272)*POWER(Upgrades!$Q$16,H272)*POWER(Upgrades!$Q$17,I272)*POWER(Upgrades!$Q$18,J272)*POWER(Upgrades!$Q$19,K272)*POWER(Upgrades!$Q$20,L272)*POWER(Upgrades!$Q$21,M272))*(IF(Upgrades!$T$13="Microlensing",POWER(Upgrades!$U$13,E272),1)*IF(Upgrades!$T$14="Microlensing",POWER(Upgrades!$U$14,F272),1)*IF(Upgrades!$T$16="Microlensing",POWER(Upgrades!$U$16,H272),1)*IF(Upgrades!$T$17="Microlensing",POWER(Upgrades!$U$17,I272),1)*IF(Upgrades!$T$18="Microlensing",POWER(Upgrades!$U$18,J272),1)*IF(Upgrades!$T$19="Microlensing",POWER(Upgrades!$U$19,K272),1)*IF(Upgrades!$T$20="Microlensing",POWER(Upgrades!$U$20,L272),1)*IF(Upgrades!$T$21="Microlensing",POWER(Upgrades!$U$21,M272),1))*$G$6*(Parameters!$B$10/60*Parameters!$B$11+Q272)/AM272,0)</f>
        <v/>
      </c>
      <c r="BB272" s="32">
        <f>IFERROR((Upgrades!$N$16*(POWER(Upgrades!$R$13,E272)*POWER(Upgrades!$R$14,F272)*POWER(Upgrades!$R$15,G272)*POWER(Upgrades!$R$16,H272)*POWER(Upgrades!$R$17,I272)*POWER(Upgrades!$R$18,J272)*POWER(Upgrades!$R$19,K272)*POWER(Upgrades!$R$20,L272)*POWER(Upgrades!$R$21,M272))*(IF(Upgrades!$T$13="Roche Lobe Overflow",POWER(Upgrades!$U$13,E272),1)*IF(Upgrades!$T$14="Roche Lobe Overflow",POWER(Upgrades!$U$14,F272),1)*IF(Upgrades!$T$15="Roche Lobe Overflow",POWER(Upgrades!$U$15,G272),1)*IF(Upgrades!$T$17="Roche Lobe Overflow",POWER(Upgrades!$U$17,I272),1)*IF(Upgrades!$T$18="Roche Lobe Overflow",POWER(Upgrades!$U$18,J272),1)*IF(Upgrades!$T$19="Roche Lobe Overflow",POWER(Upgrades!$U$19,K272),1)*IF(Upgrades!$T$20="Roche Lobe Overflow",POWER(Upgrades!$U$20,L272),1)*IF(Upgrades!$T$21="Roche Lobe Overflow",POWER(Upgrades!$U$21,M272),1))*$H$6*O272+((IF(F272=0,0,(Upgrades!$G$14+F272*Upgrades!$H$14)*POWER(Upgrades!$I$14,F272)))*(IF(Upgrades!$T$13="Local Bubble",POWER(Upgrades!$U$13,E272),1)*IF(Upgrades!$T$15="Local Bubble",POWER(Upgrades!$U$15,G272),1)*IF(Upgrades!$T$16="Local Bubble",POWER(Upgrades!$U$16,H272),1)*IF(Upgrades!$T$17="Local Bubble",POWER(Upgrades!$U$17,I272),1)*IF(Upgrades!$T$18="Local Bubble",POWER(Upgrades!$U$18,J272),1)*IF(Upgrades!$T$19="Local Bubble",POWER(Upgrades!$U$19,K272),1)*IF(Upgrades!$T$20="Local Bubble",POWER(Upgrades!$U$20,L272),1)*IF(Upgrades!$T$21="Local Bubble",POWER(Upgrades!$U$21,M272),1))*POWER(Upgrades!$P$13,E272)*POWER(Upgrades!$P$14,F272)*POWER(Upgrades!$P$15,G272)*POWER(Upgrades!$P$16,H272)*POWER(Upgrades!$P$17,I272)*POWER(Upgrades!$P$18,J272)*POWER(Upgrades!$P$19,K272)*POWER(Upgrades!$P$20,L272)*POWER(Upgrades!$P$21,M272)*$F$6)*0.05)/AN272,0)</f>
        <v/>
      </c>
      <c r="BC272" s="32">
        <f>IFERROR((Upgrades!$H$17*(POWER(Upgrades!$P$13,E272)*POWER(Upgrades!$P$14,F272)*POWER(Upgrades!$P$15,G272)*POWER(Upgrades!$P$16,H272)*POWER(Upgrades!$P$17,I272)*POWER(Upgrades!$P$18,J272)*POWER(Upgrades!$P$19,K272)*POWER(Upgrades!$P$20,L272)*POWER(Upgrades!$P$21,M272))*(IF(Upgrades!$T$13="Brown Dwarf",POWER(Upgrades!$U$13,E272),1)*IF(Upgrades!$T$14="Brown Dwarf",POWER(Upgrades!$U$14,F272),1)*IF(Upgrades!$T$15="Brown Dwarf",POWER(Upgrades!$U$15,G272),1)*IF(Upgrades!$T$16="Brown Dwarf",POWER(Upgrades!$U$16,H272),1)*IF(Upgrades!$T$18="Brown Dwarf",POWER(Upgrades!$U$18,J272),1)*IF(Upgrades!$T$19="Brown Dwarf",POWER(Upgrades!$U$19,K272),1)*IF(Upgrades!$T$20="Brown Dwarf",POWER(Upgrades!$U$20,L272),1)*IF(Upgrades!$T$21="Brown Dwarf",POWER(Upgrades!$U$21,M272),1))*$F$6+(((IF(H272=0,0,(Upgrades!$M$16+H272*Upgrades!$N$16)*POWER(Upgrades!$O$16,H272)))*(IF(Upgrades!$T$13="Roche Lobe Overflow",POWER(Upgrades!$U$13,E272),1)*IF(Upgrades!$T$14="Roche Lobe Overflow",POWER(Upgrades!$U$14,F272),1)*IF(Upgrades!$T$15="Roche Lobe Overflow",POWER(Upgrades!$U$15,G272),1)*IF(Upgrades!$T$17="Roche Lobe Overflow",POWER(Upgrades!$U$17,I272),1)*IF(Upgrades!$T$18="Roche Lobe Overflow",POWER(Upgrades!$U$18,J272),1)*IF(Upgrades!$T$19="Roche Lobe Overflow",POWER(Upgrades!$U$19,K272),1)*IF(Upgrades!$T$20="Roche Lobe Overflow",POWER(Upgrades!$U$20,L272),1)*IF(Upgrades!$T$21="Roche Lobe Overflow",POWER(Upgrades!$U$21,M272),1))*POWER(Upgrades!$R$13,E272)*POWER(Upgrades!$R$14,F272)*POWER(Upgrades!$R$15,G272)*POWER(Upgrades!$R$16,H272)*POWER(Upgrades!$R$17,I272)*POWER(Upgrades!$R$18,J272)*POWER(Upgrades!$R$19,K272)*POWER(Upgrades!$R$20,L272)*POWER(Upgrades!$R$21,M272)*$H$6)*O272)*0.10)/AO272,0)</f>
        <v/>
      </c>
      <c r="BD272" s="32">
        <f>MAX(IF(J272&gt;0,0,IFERROR(0.5*((IF(G272=0,0,(Upgrades!$J$15+G272*Upgrades!$K$15)*POWER(Upgrades!$L$15,G272)))*(IF(Upgrades!$T$13="Microlensing",POWER(Upgrades!$U$13,E272),1)*IF(Upgrades!$T$14="Microlensing",POWER(Upgrades!$U$14,F272),1)*IF(Upgrades!$T$16="Microlensing",POWER(Upgrades!$U$16,H272),1)*IF(Upgrades!$T$17="Microlensing",POWER(Upgrades!$U$17,I272),1)*IF(Upgrades!$T$18="Microlensing",POWER(Upgrades!$U$18,J272),1)*IF(Upgrades!$T$19="Microlensing",POWER(Upgrades!$U$19,K272),1)*IF(Upgrades!$T$20="Microlensing",POWER(Upgrades!$U$20,L272),1)*IF(Upgrades!$T$21="Microlensing",POWER(Upgrades!$U$21,M272),1))*(POWER(Upgrades!$Q$13,E272)*POWER(Upgrades!$Q$14,F272)*POWER(Upgrades!$Q$15,G272)*POWER(Upgrades!$Q$16,H272)*POWER(Upgrades!$Q$17,I272)*POWER(Upgrades!$Q$18,J272)*POWER(Upgrades!$Q$19,K272)*POWER(Upgrades!$Q$20,L272)*POWER(Upgrades!$Q$21,M272))*$G$6*(Parameters!$B$10/60*Parameters!$B$11+Q272))/Upgrades!$C$18,0)),IF(K272&gt;0,0,IFERROR(0.30*P272/Upgrades!$C$19,0)),IF(L272&gt;0,0,IFERROR(0.0001/Upgrades!$C$20,0)),IF(M272&gt;0,0,IFERROR((6.0*(POWER(Upgrades!$P$13,E272)*POWER(Upgrades!$P$14,F272)*POWER(Upgrades!$P$15,G272)*POWER(Upgrades!$P$16,H272)*POWER(Upgrades!$P$17,I272)*POWER(Upgrades!$P$18,J272)*POWER(Upgrades!$P$19,K272)*POWER(Upgrades!$P$20,L272)*POWER(Upgrades!$P$21,M272))*$F$6+0.20*O272*(Parameters!$B$10/60*Parameters!$B$11+Q272))/Upgrades!$C$21,0)),IF(AND(ISNUMBER(AK272),AK272&gt;(C272+T272)),AY272,0),IF(AND(ISNUMBER(AL272),AL272&gt;(C272+T272)),AZ272,0),IF(AND(ISNUMBER(AM272),AM272&gt;(C272+T272)),BA272,0),IF(AND(ISNUMBER(AN272),AN272&gt;(C272+T272)),BB272,0),IF(AND(ISNUMBER(AO272),AO272&gt;(C272+T272)),BC272,0))</f>
        <v/>
      </c>
      <c r="BE272" s="29">
        <f>IF(AT272=1,"transition",IF(MIN(IF(AND(J272=0,ISNUMBER(AP272),AP272&lt;=(C272+T272)),AP272,9E15),IF(AND(K272=0,ISNUMBER(AQ272),AQ272&lt;=(C272+T272)),AQ272,9E15),IF(AND(L272=0,ISNUMBER(AR272),AR272&lt;=(C272+T272)),AR272,9E15),IF(AND(M272=0,ISNUMBER(AS272),AS272&lt;=(C272+T272)),AS272,9E15))&lt;9E15,IF(AND(AND(J272=0,ISNUMBER(AP272),AP272&lt;=(C272+T272)),AP272=MIN(IF(AND(J272=0,ISNUMBER(AP272),AP272&lt;=(C272+T272)),AP272,9E15),IF(AND(K272=0,ISNUMBER(AQ272),AQ272&lt;=(C272+T272)),AQ272,9E15),IF(AND(L272=0,ISNUMBER(AR272),AR272&lt;=(C272+T272)),AR272,9E15),IF(AND(M272=0,ISNUMBER(AS272),AS272&lt;=(C272+T272)),AS272,9E15))),"BiP",IF(AND(AND(K272=0,ISNUMBER(AQ272),AQ272&lt;=(C272+T272)),AQ272=MIN(IF(AND(J272=0,ISNUMBER(AP272),AP272&lt;=(C272+T272)),AP272,9E15),IF(AND(K272=0,ISNUMBER(AQ272),AQ272&lt;=(C272+T272)),AQ272,9E15),IF(AND(L272=0,ISNUMBER(AR272),AR272&lt;=(C272+T272)),AR272,9E15),IF(AND(M272=0,ISNUMBER(AS272),AS272&lt;=(C272+T272)),AS272,9E15))),"PV",IF(AND(AND(L272=0,ISNUMBER(AR272),AR272&lt;=(C272+T272)),AR272=MIN(IF(AND(J272=0,ISNUMBER(AP272),AP272&lt;=(C272+T272)),AP272,9E15),IF(AND(K272=0,ISNUMBER(AQ272),AQ272&lt;=(C272+T272)),AQ272,9E15),IF(AND(L272=0,ISNUMBER(AR272),AR272&lt;=(C272+T272)),AR272,9E15),IF(AND(M272=0,ISNUMBER(AS272),AS272&lt;=(C272+T272)),AS272,9E15))),"OC","MG"))),IF(AX272=TRUE,"",IF(MAX(IF(AND(NOT(AND(AU272=1,AT272&lt;&gt;1)),ISNUMBER(AK272),AK272&lt;=(C272+T272)),AY272,0),IF(AND(NOT(AND(AU272=1,AT272&lt;&gt;1)),ISNUMBER(AL272),AL272&lt;=(C272+T272)),AZ272,0),IF(AND(NOT(AND(AU272=1,AT272&lt;&gt;1)),ISNUMBER(AM272),AM272&lt;=(C272+T272)),BA272,0),IF(AND(NOT(AND(AU272=1,AT272&lt;&gt;1)),ISNUMBER(AN272),AN272&lt;=(C272+T272)),BB272,0),IF(AND(ISNUMBER(AO272),AO272&lt;=(C272+T272)),BC272,0))&lt;=0,"",IF(AND(IF(AND(NOT(AND(AU272=1,AT272&lt;&gt;1)),ISNUMBER(AK272),AK272&lt;=(C272+T272)),AY272,0)&gt;0,IF(AND(NOT(AND(AU272=1,AT272&lt;&gt;1)),ISNUMBER(AK272),AK272&lt;=(C272+T272)),AY272,0)=MAX(IF(AND(NOT(AND(AU272=1,AT272&lt;&gt;1)),ISNUMBER(AK272),AK272&lt;=(C272+T272)),AY272,0),IF(AND(NOT(AND(AU272=1,AT272&lt;&gt;1)),ISNUMBER(AL272),AL272&lt;=(C272+T272)),AZ272,0),IF(AND(NOT(AND(AU272=1,AT272&lt;&gt;1)),ISNUMBER(AM272),AM272&lt;=(C272+T272)),BA272,0),IF(AND(NOT(AND(AU272=1,AT272&lt;&gt;1)),ISNUMBER(AN272),AN272&lt;=(C272+T272)),BB272,0),IF(AND(ISNUMBER(AO272),AO272&lt;=(C272+T272)),BC272,0))),"SK",IF(AND(IF(AND(NOT(AND(AU272=1,AT272&lt;&gt;1)),ISNUMBER(AL272),AL272&lt;=(C272+T272)),AZ272,0)&gt;0,IF(AND(NOT(AND(AU272=1,AT272&lt;&gt;1)),ISNUMBER(AL272),AL272&lt;=(C272+T272)),AZ272,0)=MAX(IF(AND(NOT(AND(AU272=1,AT272&lt;&gt;1)),ISNUMBER(AK272),AK272&lt;=(C272+T272)),AY272,0),IF(AND(NOT(AND(AU272=1,AT272&lt;&gt;1)),ISNUMBER(AL272),AL272&lt;=(C272+T272)),AZ272,0),IF(AND(NOT(AND(AU272=1,AT272&lt;&gt;1)),ISNUMBER(AM272),AM272&lt;=(C272+T272)),BA272,0),IF(AND(NOT(AND(AU272=1,AT272&lt;&gt;1)),ISNUMBER(AN272),AN272&lt;=(C272+T272)),BB272,0),IF(AND(ISNUMBER(AO272),AO272&lt;=(C272+T272)),BC272,0))),"LB",IF(AND(IF(AND(NOT(AND(AU272=1,AT272&lt;&gt;1)),ISNUMBER(AM272),AM272&lt;=(C272+T272)),BA272,0)&gt;0,IF(AND(NOT(AND(AU272=1,AT272&lt;&gt;1)),ISNUMBER(AM272),AM272&lt;=(C272+T272)),BA272,0)=MAX(IF(AND(NOT(AND(AU272=1,AT272&lt;&gt;1)),ISNUMBER(AK272),AK272&lt;=(C272+T272)),AY272,0),IF(AND(NOT(AND(AU272=1,AT272&lt;&gt;1)),ISNUMBER(AL272),AL272&lt;=(C272+T272)),AZ272,0),IF(AND(NOT(AND(AU272=1,AT272&lt;&gt;1)),ISNUMBER(AM272),AM272&lt;=(C272+T272)),BA272,0),IF(AND(NOT(AND(AU272=1,AT272&lt;&gt;1)),ISNUMBER(AN272),AN272&lt;=(C272+T272)),BB272,0),IF(AND(ISNUMBER(AO272),AO272&lt;=(C272+T272)),BC272,0))),"ML",IF(AND(IF(AND(NOT(AND(AU272=1,AT272&lt;&gt;1)),ISNUMBER(AN272),AN272&lt;=(C272+T272)),BB272,0)&gt;0,IF(AND(NOT(AND(AU272=1,AT272&lt;&gt;1)),ISNUMBER(AN272),AN272&lt;=(C272+T272)),BB272,0)=MAX(IF(AND(NOT(AND(AU272=1,AT272&lt;&gt;1)),ISNUMBER(AK272),AK272&lt;=(C272+T272)),AY272,0),IF(AND(NOT(AND(AU272=1,AT272&lt;&gt;1)),ISNUMBER(AL272),AL272&lt;=(C272+T272)),AZ272,0),IF(AND(NOT(AND(AU272=1,AT272&lt;&gt;1)),ISNUMBER(AM272),AM272&lt;=(C272+T272)),BA272,0),IF(AND(NOT(AND(AU272=1,AT272&lt;&gt;1)),ISNUMBER(AN272),AN272&lt;=(C272+T272)),BB272,0),IF(AND(ISNUMBER(AO272),AO272&lt;=(C272+T272)),BC272,0))),"RLO","BD"))))))))</f>
        <v/>
      </c>
    </row>
    <row r="273">
      <c r="A273" s="26" t="n">
        <v>262</v>
      </c>
      <c r="B273" s="27">
        <f>A273*10/60</f>
        <v/>
      </c>
      <c r="C273" s="22">
        <f>X272</f>
        <v/>
      </c>
      <c r="D273" s="27">
        <f>D272+W272</f>
        <v/>
      </c>
      <c r="E273" s="26">
        <f>E272+IF(U272="SK",1,0)</f>
        <v/>
      </c>
      <c r="F273" s="26">
        <f>F272+IF(U272="LB",1,0)</f>
        <v/>
      </c>
      <c r="G273" s="26">
        <f>G272+IF(U272="ML",1,0)</f>
        <v/>
      </c>
      <c r="H273" s="26">
        <f>H272+IF(U272="RLO",1,0)</f>
        <v/>
      </c>
      <c r="I273" s="26">
        <f>I272+IF(U272="BD",1,0)</f>
        <v/>
      </c>
      <c r="J273" s="26">
        <f>MAX(J272,IF(U272="BiP",1,0))</f>
        <v/>
      </c>
      <c r="K273" s="26">
        <f>MAX(K272,IF(U272="PV",1,0))</f>
        <v/>
      </c>
      <c r="L273" s="26">
        <f>MAX(L272,IF(U272="OC",1,0))</f>
        <v/>
      </c>
      <c r="M273" s="26">
        <f>MAX(M272,IF(U272="MG",1,0))</f>
        <v/>
      </c>
      <c r="N273" s="26">
        <f>MAX(N272,IF(U272="transition",1,0))</f>
        <v/>
      </c>
      <c r="O273" s="28">
        <f>(Parameters!$B$9+(IF(E273=0,0,(Upgrades!$J$13+E273*Upgrades!$K$13)*POWER(Upgrades!$L$13,E273)))*(IF(Upgrades!$T$14="Stellar Kinematics",POWER(Upgrades!$U$14,F273),1)*IF(Upgrades!$T$15="Stellar Kinematics",POWER(Upgrades!$U$15,G273),1)*IF(Upgrades!$T$16="Stellar Kinematics",POWER(Upgrades!$U$16,H273),1)*IF(Upgrades!$T$17="Stellar Kinematics",POWER(Upgrades!$U$17,I273),1)*IF(Upgrades!$T$18="Stellar Kinematics",POWER(Upgrades!$U$18,J273),1)*IF(Upgrades!$T$19="Stellar Kinematics",POWER(Upgrades!$U$19,K273),1)*IF(Upgrades!$T$20="Stellar Kinematics",POWER(Upgrades!$U$20,L273),1)*IF(Upgrades!$T$21="Stellar Kinematics",POWER(Upgrades!$U$21,M273),1))+(IF(F273=0,0,(Upgrades!$J$14+F273*Upgrades!$K$14)*POWER(Upgrades!$L$14,F273)))*(IF(Upgrades!$T$13="Local Bubble",POWER(Upgrades!$U$13,E273),1)*IF(Upgrades!$T$15="Local Bubble",POWER(Upgrades!$U$15,G273),1)*IF(Upgrades!$T$16="Local Bubble",POWER(Upgrades!$U$16,H273),1)*IF(Upgrades!$T$17="Local Bubble",POWER(Upgrades!$U$17,I273),1)*IF(Upgrades!$T$18="Local Bubble",POWER(Upgrades!$U$18,J273),1)*IF(Upgrades!$T$19="Local Bubble",POWER(Upgrades!$U$19,K273),1)*IF(Upgrades!$T$20="Local Bubble",POWER(Upgrades!$U$20,L273),1)*IF(Upgrades!$T$21="Local Bubble",POWER(Upgrades!$U$21,M273),1))+(IF(G273=0,0,(Upgrades!$J$15+G273*Upgrades!$K$15)*POWER(Upgrades!$L$15,G273)))*(IF(Upgrades!$T$13="Microlensing",POWER(Upgrades!$U$13,E273),1)*IF(Upgrades!$T$14="Microlensing",POWER(Upgrades!$U$14,F273),1)*IF(Upgrades!$T$16="Microlensing",POWER(Upgrades!$U$16,H273),1)*IF(Upgrades!$T$17="Microlensing",POWER(Upgrades!$U$17,I273),1)*IF(Upgrades!$T$18="Microlensing",POWER(Upgrades!$U$18,J273),1)*IF(Upgrades!$T$19="Microlensing",POWER(Upgrades!$U$19,K273),1)*IF(Upgrades!$T$20="Microlensing",POWER(Upgrades!$U$20,L273),1)*IF(Upgrades!$T$21="Microlensing",POWER(Upgrades!$U$21,M273),1))+(IF(H273=0,0,(Upgrades!$J$16+H273*Upgrades!$K$16)*POWER(Upgrades!$L$16,H273)))*(IF(Upgrades!$T$13="Roche Lobe Overflow",POWER(Upgrades!$U$13,E273),1)*IF(Upgrades!$T$14="Roche Lobe Overflow",POWER(Upgrades!$U$14,F273),1)*IF(Upgrades!$T$15="Roche Lobe Overflow",POWER(Upgrades!$U$15,G273),1)*IF(Upgrades!$T$17="Roche Lobe Overflow",POWER(Upgrades!$U$17,I273),1)*IF(Upgrades!$T$18="Roche Lobe Overflow",POWER(Upgrades!$U$18,J273),1)*IF(Upgrades!$T$19="Roche Lobe Overflow",POWER(Upgrades!$U$19,K273),1)*IF(Upgrades!$T$20="Roche Lobe Overflow",POWER(Upgrades!$U$20,L273),1)*IF(Upgrades!$T$21="Roche Lobe Overflow",POWER(Upgrades!$U$21,M273),1))+(IF(I273=0,0,(Upgrades!$J$17+I273*Upgrades!$K$17)*POWER(Upgrades!$L$17,I273)))*(IF(Upgrades!$T$13="Brown Dwarf",POWER(Upgrades!$U$13,E273),1)*IF(Upgrades!$T$14="Brown Dwarf",POWER(Upgrades!$U$14,F273),1)*IF(Upgrades!$T$15="Brown Dwarf",POWER(Upgrades!$U$15,G273),1)*IF(Upgrades!$T$16="Brown Dwarf",POWER(Upgrades!$U$16,H273),1)*IF(Upgrades!$T$18="Brown Dwarf",POWER(Upgrades!$U$18,J273),1)*IF(Upgrades!$T$19="Brown Dwarf",POWER(Upgrades!$U$19,K273),1)*IF(Upgrades!$T$20="Brown Dwarf",POWER(Upgrades!$U$20,L273),1)*IF(Upgrades!$T$21="Brown Dwarf",POWER(Upgrades!$U$21,M273),1))+(IF(J273=0,0,(Upgrades!$J$18+J273*Upgrades!$K$18)*POWER(Upgrades!$L$18,J273)))*(IF(Upgrades!$T$13="Binary Partner",POWER(Upgrades!$U$13,E273),1)*IF(Upgrades!$T$14="Binary Partner",POWER(Upgrades!$U$14,F273),1)*IF(Upgrades!$T$15="Binary Partner",POWER(Upgrades!$U$15,G273),1)*IF(Upgrades!$T$16="Binary Partner",POWER(Upgrades!$U$16,H273),1)*IF(Upgrades!$T$17="Binary Partner",POWER(Upgrades!$U$17,I273),1)*IF(Upgrades!$T$19="Binary Partner",POWER(Upgrades!$U$19,K273),1)*IF(Upgrades!$T$20="Binary Partner",POWER(Upgrades!$U$20,L273),1)*IF(Upgrades!$T$21="Binary Partner",POWER(Upgrades!$U$21,M273),1))+(IF(K273=0,0,(Upgrades!$J$19+K273*Upgrades!$K$19)*POWER(Upgrades!$L$19,K273)))*(IF(Upgrades!$T$13="Peculiar Velocity",POWER(Upgrades!$U$13,E273),1)*IF(Upgrades!$T$14="Peculiar Velocity",POWER(Upgrades!$U$14,F273),1)*IF(Upgrades!$T$15="Peculiar Velocity",POWER(Upgrades!$U$15,G273),1)*IF(Upgrades!$T$16="Peculiar Velocity",POWER(Upgrades!$U$16,H273),1)*IF(Upgrades!$T$17="Peculiar Velocity",POWER(Upgrades!$U$17,I273),1)*IF(Upgrades!$T$18="Peculiar Velocity",POWER(Upgrades!$U$18,J273),1)*IF(Upgrades!$T$20="Peculiar Velocity",POWER(Upgrades!$U$20,L273),1)*IF(Upgrades!$T$21="Peculiar Velocity",POWER(Upgrades!$U$21,M273),1))+(IF(L273=0,0,(Upgrades!$J$20+L273*Upgrades!$K$20)*POWER(Upgrades!$L$20,L273)))*(IF(Upgrades!$T$13="Open Cluster",POWER(Upgrades!$U$13,E273),1)*IF(Upgrades!$T$14="Open Cluster",POWER(Upgrades!$U$14,F273),1)*IF(Upgrades!$T$15="Open Cluster",POWER(Upgrades!$U$15,G273),1)*IF(Upgrades!$T$16="Open Cluster",POWER(Upgrades!$U$16,H273),1)*IF(Upgrades!$T$17="Open Cluster",POWER(Upgrades!$U$17,I273),1)*IF(Upgrades!$T$18="Open Cluster",POWER(Upgrades!$U$18,J273),1)*IF(Upgrades!$T$19="Open Cluster",POWER(Upgrades!$U$19,K273),1)*IF(Upgrades!$T$21="Open Cluster",POWER(Upgrades!$U$21,M273),1))+(IF(M273=0,0,(Upgrades!$J$21+M273*Upgrades!$K$21)*POWER(Upgrades!$L$21,M273)))*(IF(Upgrades!$T$13="Moving Group",POWER(Upgrades!$U$13,E273),1)*IF(Upgrades!$T$14="Moving Group",POWER(Upgrades!$U$14,F273),1)*IF(Upgrades!$T$15="Moving Group",POWER(Upgrades!$U$15,G273),1)*IF(Upgrades!$T$16="Moving Group",POWER(Upgrades!$U$16,H273),1)*IF(Upgrades!$T$17="Moving Group",POWER(Upgrades!$U$17,I273),1)*IF(Upgrades!$T$18="Moving Group",POWER(Upgrades!$U$18,J273),1)*IF(Upgrades!$T$19="Moving Group",POWER(Upgrades!$U$19,K273),1)*IF(Upgrades!$T$20="Moving Group",POWER(Upgrades!$U$20,L273),1)))*POWER(Upgrades!$Q$13,E273)*POWER(Upgrades!$Q$14,F273)*POWER(Upgrades!$Q$15,G273)*POWER(Upgrades!$Q$16,H273)*POWER(Upgrades!$Q$17,I273)*POWER(Upgrades!$Q$18,J273)*POWER(Upgrades!$Q$19,K273)*POWER(Upgrades!$Q$20,L273)*POWER(Upgrades!$Q$21,M273)*$G$6+$D$6</f>
        <v/>
      </c>
      <c r="P273" s="28">
        <f>((IF(E273=0,0,(Upgrades!$G$13+E273*Upgrades!$H$13)*POWER(Upgrades!$I$13,E273)))*(IF(Upgrades!$T$14="Stellar Kinematics",POWER(Upgrades!$U$14,F273),1)*IF(Upgrades!$T$15="Stellar Kinematics",POWER(Upgrades!$U$15,G273),1)*IF(Upgrades!$T$16="Stellar Kinematics",POWER(Upgrades!$U$16,H273),1)*IF(Upgrades!$T$17="Stellar Kinematics",POWER(Upgrades!$U$17,I273),1)*IF(Upgrades!$T$18="Stellar Kinematics",POWER(Upgrades!$U$18,J273),1)*IF(Upgrades!$T$19="Stellar Kinematics",POWER(Upgrades!$U$19,K273),1)*IF(Upgrades!$T$20="Stellar Kinematics",POWER(Upgrades!$U$20,L273),1)*IF(Upgrades!$T$21="Stellar Kinematics",POWER(Upgrades!$U$21,M273),1))+(IF(F273=0,0,(Upgrades!$G$14+F273*Upgrades!$H$14)*POWER(Upgrades!$I$14,F273)))*(IF(Upgrades!$T$13="Local Bubble",POWER(Upgrades!$U$13,E273),1)*IF(Upgrades!$T$15="Local Bubble",POWER(Upgrades!$U$15,G273),1)*IF(Upgrades!$T$16="Local Bubble",POWER(Upgrades!$U$16,H273),1)*IF(Upgrades!$T$17="Local Bubble",POWER(Upgrades!$U$17,I273),1)*IF(Upgrades!$T$18="Local Bubble",POWER(Upgrades!$U$18,J273),1)*IF(Upgrades!$T$19="Local Bubble",POWER(Upgrades!$U$19,K273),1)*IF(Upgrades!$T$20="Local Bubble",POWER(Upgrades!$U$20,L273),1)*IF(Upgrades!$T$21="Local Bubble",POWER(Upgrades!$U$21,M273),1))+(IF(G273=0,0,(Upgrades!$G$15+G273*Upgrades!$H$15)*POWER(Upgrades!$I$15,G273)))*(IF(Upgrades!$T$13="Microlensing",POWER(Upgrades!$U$13,E273),1)*IF(Upgrades!$T$14="Microlensing",POWER(Upgrades!$U$14,F273),1)*IF(Upgrades!$T$16="Microlensing",POWER(Upgrades!$U$16,H273),1)*IF(Upgrades!$T$17="Microlensing",POWER(Upgrades!$U$17,I273),1)*IF(Upgrades!$T$18="Microlensing",POWER(Upgrades!$U$18,J273),1)*IF(Upgrades!$T$19="Microlensing",POWER(Upgrades!$U$19,K273),1)*IF(Upgrades!$T$20="Microlensing",POWER(Upgrades!$U$20,L273),1)*IF(Upgrades!$T$21="Microlensing",POWER(Upgrades!$U$21,M273),1))+(IF(H273=0,0,(Upgrades!$G$16+H273*Upgrades!$H$16)*POWER(Upgrades!$I$16,H273)))*(IF(Upgrades!$T$13="Roche Lobe Overflow",POWER(Upgrades!$U$13,E273),1)*IF(Upgrades!$T$14="Roche Lobe Overflow",POWER(Upgrades!$U$14,F273),1)*IF(Upgrades!$T$15="Roche Lobe Overflow",POWER(Upgrades!$U$15,G273),1)*IF(Upgrades!$T$17="Roche Lobe Overflow",POWER(Upgrades!$U$17,I273),1)*IF(Upgrades!$T$18="Roche Lobe Overflow",POWER(Upgrades!$U$18,J273),1)*IF(Upgrades!$T$19="Roche Lobe Overflow",POWER(Upgrades!$U$19,K273),1)*IF(Upgrades!$T$20="Roche Lobe Overflow",POWER(Upgrades!$U$20,L273),1)*IF(Upgrades!$T$21="Roche Lobe Overflow",POWER(Upgrades!$U$21,M273),1))+(IF(I273=0,0,(Upgrades!$G$17+I273*Upgrades!$H$17)*POWER(Upgrades!$I$17,I273)))*(IF(Upgrades!$T$13="Brown Dwarf",POWER(Upgrades!$U$13,E273),1)*IF(Upgrades!$T$14="Brown Dwarf",POWER(Upgrades!$U$14,F273),1)*IF(Upgrades!$T$15="Brown Dwarf",POWER(Upgrades!$U$15,G273),1)*IF(Upgrades!$T$16="Brown Dwarf",POWER(Upgrades!$U$16,H273),1)*IF(Upgrades!$T$18="Brown Dwarf",POWER(Upgrades!$U$18,J273),1)*IF(Upgrades!$T$19="Brown Dwarf",POWER(Upgrades!$U$19,K273),1)*IF(Upgrades!$T$20="Brown Dwarf",POWER(Upgrades!$U$20,L273),1)*IF(Upgrades!$T$21="Brown Dwarf",POWER(Upgrades!$U$21,M273),1))+(IF(J273=0,0,(Upgrades!$G$18+J273*Upgrades!$H$18)*POWER(Upgrades!$I$18,J273)))*(IF(Upgrades!$T$13="Binary Partner",POWER(Upgrades!$U$13,E273),1)*IF(Upgrades!$T$14="Binary Partner",POWER(Upgrades!$U$14,F273),1)*IF(Upgrades!$T$15="Binary Partner",POWER(Upgrades!$U$15,G273),1)*IF(Upgrades!$T$16="Binary Partner",POWER(Upgrades!$U$16,H273),1)*IF(Upgrades!$T$17="Binary Partner",POWER(Upgrades!$U$17,I273),1)*IF(Upgrades!$T$19="Binary Partner",POWER(Upgrades!$U$19,K273),1)*IF(Upgrades!$T$20="Binary Partner",POWER(Upgrades!$U$20,L273),1)*IF(Upgrades!$T$21="Binary Partner",POWER(Upgrades!$U$21,M273),1))+(IF(K273=0,0,(Upgrades!$G$19+K273*Upgrades!$H$19)*POWER(Upgrades!$I$19,K273)))*(IF(Upgrades!$T$13="Peculiar Velocity",POWER(Upgrades!$U$13,E273),1)*IF(Upgrades!$T$14="Peculiar Velocity",POWER(Upgrades!$U$14,F273),1)*IF(Upgrades!$T$15="Peculiar Velocity",POWER(Upgrades!$U$15,G273),1)*IF(Upgrades!$T$16="Peculiar Velocity",POWER(Upgrades!$U$16,H273),1)*IF(Upgrades!$T$17="Peculiar Velocity",POWER(Upgrades!$U$17,I273),1)*IF(Upgrades!$T$18="Peculiar Velocity",POWER(Upgrades!$U$18,J273),1)*IF(Upgrades!$T$20="Peculiar Velocity",POWER(Upgrades!$U$20,L273),1)*IF(Upgrades!$T$21="Peculiar Velocity",POWER(Upgrades!$U$21,M273),1))+(IF(L273=0,0,(Upgrades!$G$20+L273*Upgrades!$H$20)*POWER(Upgrades!$I$20,L273)))*(IF(Upgrades!$T$13="Open Cluster",POWER(Upgrades!$U$13,E273),1)*IF(Upgrades!$T$14="Open Cluster",POWER(Upgrades!$U$14,F273),1)*IF(Upgrades!$T$15="Open Cluster",POWER(Upgrades!$U$15,G273),1)*IF(Upgrades!$T$16="Open Cluster",POWER(Upgrades!$U$16,H273),1)*IF(Upgrades!$T$17="Open Cluster",POWER(Upgrades!$U$17,I273),1)*IF(Upgrades!$T$18="Open Cluster",POWER(Upgrades!$U$18,J273),1)*IF(Upgrades!$T$19="Open Cluster",POWER(Upgrades!$U$19,K273),1)*IF(Upgrades!$T$21="Open Cluster",POWER(Upgrades!$U$21,M273),1))+(IF(M273=0,0,(Upgrades!$G$21+M273*Upgrades!$H$21)*POWER(Upgrades!$I$21,M273)))*(IF(Upgrades!$T$13="Moving Group",POWER(Upgrades!$U$13,E273),1)*IF(Upgrades!$T$14="Moving Group",POWER(Upgrades!$U$14,F273),1)*IF(Upgrades!$T$15="Moving Group",POWER(Upgrades!$U$15,G273),1)*IF(Upgrades!$T$16="Moving Group",POWER(Upgrades!$U$16,H273),1)*IF(Upgrades!$T$17="Moving Group",POWER(Upgrades!$U$17,I273),1)*IF(Upgrades!$T$18="Moving Group",POWER(Upgrades!$U$18,J273),1)*IF(Upgrades!$T$19="Moving Group",POWER(Upgrades!$U$19,K273),1)*IF(Upgrades!$T$20="Moving Group",POWER(Upgrades!$U$20,L273),1)))*POWER(Upgrades!$P$13,E273)*POWER(Upgrades!$P$14,F273)*POWER(Upgrades!$P$15,G273)*POWER(Upgrades!$P$16,H273)*POWER(Upgrades!$P$17,I273)*POWER(Upgrades!$P$18,J273)*POWER(Upgrades!$P$19,K273)*POWER(Upgrades!$P$20,L273)*POWER(Upgrades!$P$21,M273)*$F$6+$C$6</f>
        <v/>
      </c>
      <c r="Q273" s="28">
        <f>((IF(E273=0,0,(Upgrades!$M$13+E273*Upgrades!$N$13)*POWER(Upgrades!$O$13,E273)))*(IF(Upgrades!$T$14="Stellar Kinematics",POWER(Upgrades!$U$14,F273),1)*IF(Upgrades!$T$15="Stellar Kinematics",POWER(Upgrades!$U$15,G273),1)*IF(Upgrades!$T$16="Stellar Kinematics",POWER(Upgrades!$U$16,H273),1)*IF(Upgrades!$T$17="Stellar Kinematics",POWER(Upgrades!$U$17,I273),1)*IF(Upgrades!$T$18="Stellar Kinematics",POWER(Upgrades!$U$18,J273),1)*IF(Upgrades!$T$19="Stellar Kinematics",POWER(Upgrades!$U$19,K273),1)*IF(Upgrades!$T$20="Stellar Kinematics",POWER(Upgrades!$U$20,L273),1)*IF(Upgrades!$T$21="Stellar Kinematics",POWER(Upgrades!$U$21,M273),1))+(IF(F273=0,0,(Upgrades!$M$14+F273*Upgrades!$N$14)*POWER(Upgrades!$O$14,F273)))*(IF(Upgrades!$T$13="Local Bubble",POWER(Upgrades!$U$13,E273),1)*IF(Upgrades!$T$15="Local Bubble",POWER(Upgrades!$U$15,G273),1)*IF(Upgrades!$T$16="Local Bubble",POWER(Upgrades!$U$16,H273),1)*IF(Upgrades!$T$17="Local Bubble",POWER(Upgrades!$U$17,I273),1)*IF(Upgrades!$T$18="Local Bubble",POWER(Upgrades!$U$18,J273),1)*IF(Upgrades!$T$19="Local Bubble",POWER(Upgrades!$U$19,K273),1)*IF(Upgrades!$T$20="Local Bubble",POWER(Upgrades!$U$20,L273),1)*IF(Upgrades!$T$21="Local Bubble",POWER(Upgrades!$U$21,M273),1))+(IF(G273=0,0,(Upgrades!$M$15+G273*Upgrades!$N$15)*POWER(Upgrades!$O$15,G273)))*(IF(Upgrades!$T$13="Microlensing",POWER(Upgrades!$U$13,E273),1)*IF(Upgrades!$T$14="Microlensing",POWER(Upgrades!$U$14,F273),1)*IF(Upgrades!$T$16="Microlensing",POWER(Upgrades!$U$16,H273),1)*IF(Upgrades!$T$17="Microlensing",POWER(Upgrades!$U$17,I273),1)*IF(Upgrades!$T$18="Microlensing",POWER(Upgrades!$U$18,J273),1)*IF(Upgrades!$T$19="Microlensing",POWER(Upgrades!$U$19,K273),1)*IF(Upgrades!$T$20="Microlensing",POWER(Upgrades!$U$20,L273),1)*IF(Upgrades!$T$21="Microlensing",POWER(Upgrades!$U$21,M273),1))+(IF(H273=0,0,(Upgrades!$M$16+H273*Upgrades!$N$16)*POWER(Upgrades!$O$16,H273)))*(IF(Upgrades!$T$13="Roche Lobe Overflow",POWER(Upgrades!$U$13,E273),1)*IF(Upgrades!$T$14="Roche Lobe Overflow",POWER(Upgrades!$U$14,F273),1)*IF(Upgrades!$T$15="Roche Lobe Overflow",POWER(Upgrades!$U$15,G273),1)*IF(Upgrades!$T$17="Roche Lobe Overflow",POWER(Upgrades!$U$17,I273),1)*IF(Upgrades!$T$18="Roche Lobe Overflow",POWER(Upgrades!$U$18,J273),1)*IF(Upgrades!$T$19="Roche Lobe Overflow",POWER(Upgrades!$U$19,K273),1)*IF(Upgrades!$T$20="Roche Lobe Overflow",POWER(Upgrades!$U$20,L273),1)*IF(Upgrades!$T$21="Roche Lobe Overflow",POWER(Upgrades!$U$21,M273),1))+(IF(I273=0,0,(Upgrades!$M$17+I273*Upgrades!$N$17)*POWER(Upgrades!$O$17,I273)))*(IF(Upgrades!$T$13="Brown Dwarf",POWER(Upgrades!$U$13,E273),1)*IF(Upgrades!$T$14="Brown Dwarf",POWER(Upgrades!$U$14,F273),1)*IF(Upgrades!$T$15="Brown Dwarf",POWER(Upgrades!$U$15,G273),1)*IF(Upgrades!$T$16="Brown Dwarf",POWER(Upgrades!$U$16,H273),1)*IF(Upgrades!$T$18="Brown Dwarf",POWER(Upgrades!$U$18,J273),1)*IF(Upgrades!$T$19="Brown Dwarf",POWER(Upgrades!$U$19,K273),1)*IF(Upgrades!$T$20="Brown Dwarf",POWER(Upgrades!$U$20,L273),1)*IF(Upgrades!$T$21="Brown Dwarf",POWER(Upgrades!$U$21,M273),1))+(IF(J273=0,0,(Upgrades!$M$18+J273*Upgrades!$N$18)*POWER(Upgrades!$O$18,J273)))*(IF(Upgrades!$T$13="Binary Partner",POWER(Upgrades!$U$13,E273),1)*IF(Upgrades!$T$14="Binary Partner",POWER(Upgrades!$U$14,F273),1)*IF(Upgrades!$T$15="Binary Partner",POWER(Upgrades!$U$15,G273),1)*IF(Upgrades!$T$16="Binary Partner",POWER(Upgrades!$U$16,H273),1)*IF(Upgrades!$T$17="Binary Partner",POWER(Upgrades!$U$17,I273),1)*IF(Upgrades!$T$19="Binary Partner",POWER(Upgrades!$U$19,K273),1)*IF(Upgrades!$T$20="Binary Partner",POWER(Upgrades!$U$20,L273),1)*IF(Upgrades!$T$21="Binary Partner",POWER(Upgrades!$U$21,M273),1))+(IF(K273=0,0,(Upgrades!$M$19+K273*Upgrades!$N$19)*POWER(Upgrades!$O$19,K273)))*(IF(Upgrades!$T$13="Peculiar Velocity",POWER(Upgrades!$U$13,E273),1)*IF(Upgrades!$T$14="Peculiar Velocity",POWER(Upgrades!$U$14,F273),1)*IF(Upgrades!$T$15="Peculiar Velocity",POWER(Upgrades!$U$15,G273),1)*IF(Upgrades!$T$16="Peculiar Velocity",POWER(Upgrades!$U$16,H273),1)*IF(Upgrades!$T$17="Peculiar Velocity",POWER(Upgrades!$U$17,I273),1)*IF(Upgrades!$T$18="Peculiar Velocity",POWER(Upgrades!$U$18,J273),1)*IF(Upgrades!$T$20="Peculiar Velocity",POWER(Upgrades!$U$20,L273),1)*IF(Upgrades!$T$21="Peculiar Velocity",POWER(Upgrades!$U$21,M273),1))+(IF(L273=0,0,(Upgrades!$M$20+L273*Upgrades!$N$20)*POWER(Upgrades!$O$20,L273)))*(IF(Upgrades!$T$13="Open Cluster",POWER(Upgrades!$U$13,E273),1)*IF(Upgrades!$T$14="Open Cluster",POWER(Upgrades!$U$14,F273),1)*IF(Upgrades!$T$15="Open Cluster",POWER(Upgrades!$U$15,G273),1)*IF(Upgrades!$T$16="Open Cluster",POWER(Upgrades!$U$16,H273),1)*IF(Upgrades!$T$17="Open Cluster",POWER(Upgrades!$U$17,I273),1)*IF(Upgrades!$T$18="Open Cluster",POWER(Upgrades!$U$18,J273),1)*IF(Upgrades!$T$19="Open Cluster",POWER(Upgrades!$U$19,K273),1)*IF(Upgrades!$T$21="Open Cluster",POWER(Upgrades!$U$21,M273),1))+(IF(M273=0,0,(Upgrades!$M$21+M273*Upgrades!$N$21)*POWER(Upgrades!$O$21,M273)))*(IF(Upgrades!$T$13="Moving Group",POWER(Upgrades!$U$13,E273),1)*IF(Upgrades!$T$14="Moving Group",POWER(Upgrades!$U$14,F273),1)*IF(Upgrades!$T$15="Moving Group",POWER(Upgrades!$U$15,G273),1)*IF(Upgrades!$T$16="Moving Group",POWER(Upgrades!$U$16,H273),1)*IF(Upgrades!$T$17="Moving Group",POWER(Upgrades!$U$17,I273),1)*IF(Upgrades!$T$18="Moving Group",POWER(Upgrades!$U$18,J273),1)*IF(Upgrades!$T$19="Moving Group",POWER(Upgrades!$U$19,K273),1)*IF(Upgrades!$T$20="Moving Group",POWER(Upgrades!$U$20,L273),1)))*POWER(Upgrades!$R$13,E273)*POWER(Upgrades!$R$14,F273)*POWER(Upgrades!$R$15,G273)*POWER(Upgrades!$R$16,H273)*POWER(Upgrades!$R$17,I273)*POWER(Upgrades!$R$18,J273)*POWER(Upgrades!$R$19,K273)*POWER(Upgrades!$R$20,L273)*POWER(Upgrades!$R$21,M273)*$H$6+$E$6</f>
        <v/>
      </c>
      <c r="R273" s="27">
        <f>IF(N273=1,0,O273*Parameters!$B$10/60*Parameters!$B$11*10)</f>
        <v/>
      </c>
      <c r="S273" s="27">
        <f>IF(N273=1,0,Q273*O273*10)</f>
        <v/>
      </c>
      <c r="T273" s="27">
        <f>IF(N273=1,0,R273+S273+P273*10)</f>
        <v/>
      </c>
      <c r="U273" s="33">
        <f>BE273</f>
        <v/>
      </c>
      <c r="V273" s="22">
        <f>IF(U273="",0,IF(U273="transition",0,IF(U273="SK",AK273,IF(U273="LB",AL273,IF(U273="ML",AM273,IF(U273="RLO",AN273,IF(U273="BD",AO273,IF(U273="BiP",AP273,IF(U273="PV",AQ273,IF(U273="OC",AR273,IF(U273="MG",AS273,0))))))))))</f>
        <v/>
      </c>
      <c r="W273" s="27">
        <f>IF(U273="BiP",Upgrades!$F$18,IF(U273="PV",Upgrades!$F$19,IF(U273="OC",Upgrades!$F$20,IF(U273="MG",Upgrades!$F$21,IF(U273="transition",-Parameters!$B$18*Parameters!$B$19,0)))))</f>
        <v/>
      </c>
      <c r="X273" s="22">
        <f>C273+T273-V273</f>
        <v/>
      </c>
      <c r="Y273" s="30">
        <f>O273*Parameters!$B$10/60*Parameters!$B$11+Q273*O273+P273</f>
        <v/>
      </c>
      <c r="Z273" s="34">
        <f>IF(U273="transition","→ Tier 3 (Galactic Arm)",IF(U273="MG","Moving Group — pocket drifts together",IF(U273="OC","Open Cluster acquired",IF(U273="PV","Peculiar Velocity — passive multiplier active",IF(U273="BiP","Binary Partner — pair bond formed",IF(AND(AU273=1,N273=0,AT273&lt;&gt;1),"Cohesion ready (waiting on completionists)","")))))) </f>
        <v/>
      </c>
      <c r="AA273" s="27">
        <f>(IF(E273=0,0,(Upgrades!$G$13+E273*Upgrades!$H$13)*POWER(Upgrades!$I$13,E273)))*(IF(Upgrades!$T$14="Stellar Kinematics",POWER(Upgrades!$U$14,F273),1)*IF(Upgrades!$T$15="Stellar Kinematics",POWER(Upgrades!$U$15,G273),1)*IF(Upgrades!$T$16="Stellar Kinematics",POWER(Upgrades!$U$16,H273),1)*IF(Upgrades!$T$17="Stellar Kinematics",POWER(Upgrades!$U$17,I273),1)*IF(Upgrades!$T$18="Stellar Kinematics",POWER(Upgrades!$U$18,J273),1)*IF(Upgrades!$T$19="Stellar Kinematics",POWER(Upgrades!$U$19,K273),1)*IF(Upgrades!$T$20="Stellar Kinematics",POWER(Upgrades!$U$20,L273),1)*IF(Upgrades!$T$21="Stellar Kinematics",POWER(Upgrades!$U$21,M273),1))*POWER(Upgrades!$P$13,E273)*POWER(Upgrades!$P$14,F273)*POWER(Upgrades!$P$15,G273)*POWER(Upgrades!$P$16,H273)*POWER(Upgrades!$P$17,I273)*POWER(Upgrades!$P$18,J273)*POWER(Upgrades!$P$19,K273)*POWER(Upgrades!$P$20,L273)*POWER(Upgrades!$P$21,M273)*$F$6*60</f>
        <v/>
      </c>
      <c r="AB273" s="27">
        <f>(IF(F273=0,0,(Upgrades!$G$14+F273*Upgrades!$H$14)*POWER(Upgrades!$I$14,F273)))*(IF(Upgrades!$T$13="Local Bubble",POWER(Upgrades!$U$13,E273),1)*IF(Upgrades!$T$15="Local Bubble",POWER(Upgrades!$U$15,G273),1)*IF(Upgrades!$T$16="Local Bubble",POWER(Upgrades!$U$16,H273),1)*IF(Upgrades!$T$17="Local Bubble",POWER(Upgrades!$U$17,I273),1)*IF(Upgrades!$T$18="Local Bubble",POWER(Upgrades!$U$18,J273),1)*IF(Upgrades!$T$19="Local Bubble",POWER(Upgrades!$U$19,K273),1)*IF(Upgrades!$T$20="Local Bubble",POWER(Upgrades!$U$20,L273),1)*IF(Upgrades!$T$21="Local Bubble",POWER(Upgrades!$U$21,M273),1))*POWER(Upgrades!$P$13,E273)*POWER(Upgrades!$P$14,F273)*POWER(Upgrades!$P$15,G273)*POWER(Upgrades!$P$16,H273)*POWER(Upgrades!$P$17,I273)*POWER(Upgrades!$P$18,J273)*POWER(Upgrades!$P$19,K273)*POWER(Upgrades!$P$20,L273)*POWER(Upgrades!$P$21,M273)*$F$6*60</f>
        <v/>
      </c>
      <c r="AC273" s="27">
        <f>(IF(G273=0,0,(Upgrades!$J$15+G273*Upgrades!$K$15)*POWER(Upgrades!$L$15,G273)))*(IF(Upgrades!$T$13="Microlensing",POWER(Upgrades!$U$13,E273),1)*IF(Upgrades!$T$14="Microlensing",POWER(Upgrades!$U$14,F273),1)*IF(Upgrades!$T$16="Microlensing",POWER(Upgrades!$U$16,H273),1)*IF(Upgrades!$T$17="Microlensing",POWER(Upgrades!$U$17,I273),1)*IF(Upgrades!$T$18="Microlensing",POWER(Upgrades!$U$18,J273),1)*IF(Upgrades!$T$19="Microlensing",POWER(Upgrades!$U$19,K273),1)*IF(Upgrades!$T$20="Microlensing",POWER(Upgrades!$U$20,L273),1)*IF(Upgrades!$T$21="Microlensing",POWER(Upgrades!$U$21,M273),1))*POWER(Upgrades!$Q$13,E273)*POWER(Upgrades!$Q$14,F273)*POWER(Upgrades!$Q$15,G273)*POWER(Upgrades!$Q$16,H273)*POWER(Upgrades!$Q$17,I273)*POWER(Upgrades!$Q$18,J273)*POWER(Upgrades!$Q$19,K273)*POWER(Upgrades!$Q$20,L273)*POWER(Upgrades!$Q$21,M273)*$G$6*(Parameters!$B$10*Parameters!$B$11+Q273*60)</f>
        <v/>
      </c>
      <c r="AD273" s="27">
        <f>(IF(H273=0,0,(Upgrades!$M$16+H273*Upgrades!$N$16)*POWER(Upgrades!$O$16,H273)))*(IF(Upgrades!$T$13="Roche Lobe Overflow",POWER(Upgrades!$U$13,E273),1)*IF(Upgrades!$T$14="Roche Lobe Overflow",POWER(Upgrades!$U$14,F273),1)*IF(Upgrades!$T$15="Roche Lobe Overflow",POWER(Upgrades!$U$15,G273),1)*IF(Upgrades!$T$17="Roche Lobe Overflow",POWER(Upgrades!$U$17,I273),1)*IF(Upgrades!$T$18="Roche Lobe Overflow",POWER(Upgrades!$U$18,J273),1)*IF(Upgrades!$T$19="Roche Lobe Overflow",POWER(Upgrades!$U$19,K273),1)*IF(Upgrades!$T$20="Roche Lobe Overflow",POWER(Upgrades!$U$20,L273),1)*IF(Upgrades!$T$21="Roche Lobe Overflow",POWER(Upgrades!$U$21,M273),1))*POWER(Upgrades!$R$13,E273)*POWER(Upgrades!$R$14,F273)*POWER(Upgrades!$R$15,G273)*POWER(Upgrades!$R$16,H273)*POWER(Upgrades!$R$17,I273)*POWER(Upgrades!$R$18,J273)*POWER(Upgrades!$R$19,K273)*POWER(Upgrades!$R$20,L273)*POWER(Upgrades!$R$21,M273)*$H$6*O273*60</f>
        <v/>
      </c>
      <c r="AE273" s="27">
        <f>(IF(I273=0,0,(Upgrades!$G$17+I273*Upgrades!$H$17)*POWER(Upgrades!$I$17,I273)))*(IF(Upgrades!$T$13="Brown Dwarf",POWER(Upgrades!$U$13,E273),1)*IF(Upgrades!$T$14="Brown Dwarf",POWER(Upgrades!$U$14,F273),1)*IF(Upgrades!$T$15="Brown Dwarf",POWER(Upgrades!$U$15,G273),1)*IF(Upgrades!$T$16="Brown Dwarf",POWER(Upgrades!$U$16,H273),1)*IF(Upgrades!$T$18="Brown Dwarf",POWER(Upgrades!$U$18,J273),1)*IF(Upgrades!$T$19="Brown Dwarf",POWER(Upgrades!$U$19,K273),1)*IF(Upgrades!$T$20="Brown Dwarf",POWER(Upgrades!$U$20,L273),1)*IF(Upgrades!$T$21="Brown Dwarf",POWER(Upgrades!$U$21,M273),1))*POWER(Upgrades!$P$13,E273)*POWER(Upgrades!$P$14,F273)*POWER(Upgrades!$P$15,G273)*POWER(Upgrades!$P$16,H273)*POWER(Upgrades!$P$17,I273)*POWER(Upgrades!$P$18,J273)*POWER(Upgrades!$P$19,K273)*POWER(Upgrades!$P$20,L273)*POWER(Upgrades!$P$21,M273)*$F$6*60</f>
        <v/>
      </c>
      <c r="AF273" s="27" t="n">
        <v>0</v>
      </c>
      <c r="AG273" s="27" t="n">
        <v>0</v>
      </c>
      <c r="AH273" s="27" t="n">
        <v>0</v>
      </c>
      <c r="AI273" s="27">
        <f>(IF(M273=0,0,(Upgrades!$G$21+M273*Upgrades!$H$21)*POWER(Upgrades!$I$21,M273)))*(IF(Upgrades!$T$13="Moving Group",POWER(Upgrades!$U$13,E273),1)*IF(Upgrades!$T$14="Moving Group",POWER(Upgrades!$U$14,F273),1)*IF(Upgrades!$T$15="Moving Group",POWER(Upgrades!$U$15,G273),1)*IF(Upgrades!$T$16="Moving Group",POWER(Upgrades!$U$16,H273),1)*IF(Upgrades!$T$17="Moving Group",POWER(Upgrades!$U$17,I273),1)*IF(Upgrades!$T$18="Moving Group",POWER(Upgrades!$U$18,J273),1)*IF(Upgrades!$T$19="Moving Group",POWER(Upgrades!$U$19,K273),1)*IF(Upgrades!$T$20="Moving Group",POWER(Upgrades!$U$20,L273),1))*POWER(Upgrades!$P$13,E273)*POWER(Upgrades!$P$14,F273)*POWER(Upgrades!$P$15,G273)*POWER(Upgrades!$P$16,H273)*POWER(Upgrades!$P$17,I273)*POWER(Upgrades!$P$18,J273)*POWER(Upgrades!$P$19,K273)*POWER(Upgrades!$P$20,L273)*POWER(Upgrades!$P$21,M273)*$F$6*60</f>
        <v/>
      </c>
      <c r="AJ273" s="27">
        <f>$C$6*60</f>
        <v/>
      </c>
      <c r="AK273" s="22">
        <f>IF(E273&gt;=Upgrades!$E$13,"",Upgrades!$C$13*POWER(Upgrades!$D$13,E273))</f>
        <v/>
      </c>
      <c r="AL273" s="22">
        <f>IF(F273&gt;=Upgrades!$E$14,"",Upgrades!$C$14*POWER(Upgrades!$D$14,F273))</f>
        <v/>
      </c>
      <c r="AM273" s="22">
        <f>IF(G273&gt;=Upgrades!$E$15,"",Upgrades!$C$15*POWER(Upgrades!$D$15,G273))</f>
        <v/>
      </c>
      <c r="AN273" s="22">
        <f>IF(H273&gt;=Upgrades!$E$16,"",Upgrades!$C$16*POWER(Upgrades!$D$16,H273))</f>
        <v/>
      </c>
      <c r="AO273" s="22">
        <f>IF(I273&gt;=Upgrades!$E$17,"",Upgrades!$C$17*POWER(Upgrades!$D$17,I273))</f>
        <v/>
      </c>
      <c r="AP273" s="22">
        <f>IF(J273&gt;=Upgrades!$E$18,"",Upgrades!$C$18*POWER(Upgrades!$D$18,J273))</f>
        <v/>
      </c>
      <c r="AQ273" s="22">
        <f>IF(K273&gt;=Upgrades!$E$19,"",Upgrades!$C$19*POWER(Upgrades!$D$19,K273))</f>
        <v/>
      </c>
      <c r="AR273" s="22">
        <f>IF(L273&gt;=Upgrades!$E$20,"",Upgrades!$C$20*POWER(Upgrades!$D$20,L273))</f>
        <v/>
      </c>
      <c r="AS273" s="22">
        <f>IF(M273&gt;=Upgrades!$E$21,"",Upgrades!$C$21*POWER(Upgrades!$D$21,M273))</f>
        <v/>
      </c>
      <c r="AT273" s="26">
        <f>IF(AND(D273&gt;=Parameters!$B$18*Parameters!$B$19,(I273&gt;=Upgrades!$E$17)*(M273&gt;=Upgrades!$E$21)=1,N273=0),1,"")</f>
        <v/>
      </c>
      <c r="AU273" s="26">
        <f>IF(AND(D273&gt;=Parameters!$B$18*Parameters!$B$19,N273=0),1,"")</f>
        <v/>
      </c>
      <c r="AV273" s="22">
        <f>MIN(IF(ISNUMBER(AP273),AP273,9E15),IF(ISNUMBER(AQ273),AQ273,9E15),IF(ISNUMBER(AR273),AR273,9E15),IF(ISNUMBER(AS273),AS273,9E15))</f>
        <v/>
      </c>
      <c r="AW273" s="22">
        <f>MIN(IF(ISNUMBER(AK273),AK273,9E15),IF(ISNUMBER(AL273),AL273,9E15),IF(ISNUMBER(AM273),AM273,9E15),IF(ISNUMBER(AN273),AN273,9E15),IF(ISNUMBER(AO273),AO273,9E15))</f>
        <v/>
      </c>
      <c r="AX273" s="29">
        <f>IF(BD273&gt;Parameters!$B$21*(MAX(IF(AND(NOT(AND(AU273=1,AT273&lt;&gt;1)),ISNUMBER(AK273),AK273&lt;=(C273+T273)),AY273,0),IF(AND(NOT(AND(AU273=1,AT273&lt;&gt;1)),ISNUMBER(AL273),AL273&lt;=(C273+T273)),AZ273,0),IF(AND(NOT(AND(AU273=1,AT273&lt;&gt;1)),ISNUMBER(AM273),AM273&lt;=(C273+T273)),BA273,0),IF(AND(NOT(AND(AU273=1,AT273&lt;&gt;1)),ISNUMBER(AN273),AN273&lt;=(C273+T273)),BB273,0),IF(AND(ISNUMBER(AO273),AO273&lt;=(C273+T273)),BC273,0))),TRUE,FALSE)</f>
        <v/>
      </c>
      <c r="AY273" s="32">
        <f>IFERROR(Upgrades!$H$13*(POWER(Upgrades!$P$13,E273)*POWER(Upgrades!$P$14,F273)*POWER(Upgrades!$P$15,G273)*POWER(Upgrades!$P$16,H273)*POWER(Upgrades!$P$17,I273)*POWER(Upgrades!$P$18,J273)*POWER(Upgrades!$P$19,K273)*POWER(Upgrades!$P$20,L273)*POWER(Upgrades!$P$21,M273))*(IF(Upgrades!$T$14="Stellar Kinematics",POWER(Upgrades!$U$14,F273),1)*IF(Upgrades!$T$15="Stellar Kinematics",POWER(Upgrades!$U$15,G273),1)*IF(Upgrades!$T$16="Stellar Kinematics",POWER(Upgrades!$U$16,H273),1)*IF(Upgrades!$T$17="Stellar Kinematics",POWER(Upgrades!$U$17,I273),1)*IF(Upgrades!$T$18="Stellar Kinematics",POWER(Upgrades!$U$18,J273),1)*IF(Upgrades!$T$19="Stellar Kinematics",POWER(Upgrades!$U$19,K273),1)*IF(Upgrades!$T$20="Stellar Kinematics",POWER(Upgrades!$U$20,L273),1)*IF(Upgrades!$T$21="Stellar Kinematics",POWER(Upgrades!$U$21,M273),1))*$F$6/AK273,0)</f>
        <v/>
      </c>
      <c r="AZ273" s="32">
        <f>IFERROR(Upgrades!$H$14*(POWER(Upgrades!$P$13,E273)*POWER(Upgrades!$P$14,F273)*POWER(Upgrades!$P$15,G273)*POWER(Upgrades!$P$16,H273)*POWER(Upgrades!$P$17,I273)*POWER(Upgrades!$P$18,J273)*POWER(Upgrades!$P$19,K273)*POWER(Upgrades!$P$20,L273)*POWER(Upgrades!$P$21,M273))*(IF(Upgrades!$T$13="Local Bubble",POWER(Upgrades!$U$13,E273),1)*IF(Upgrades!$T$15="Local Bubble",POWER(Upgrades!$U$15,G273),1)*IF(Upgrades!$T$16="Local Bubble",POWER(Upgrades!$U$16,H273),1)*IF(Upgrades!$T$17="Local Bubble",POWER(Upgrades!$U$17,I273),1)*IF(Upgrades!$T$18="Local Bubble",POWER(Upgrades!$U$18,J273),1)*IF(Upgrades!$T$19="Local Bubble",POWER(Upgrades!$U$19,K273),1)*IF(Upgrades!$T$20="Local Bubble",POWER(Upgrades!$U$20,L273),1)*IF(Upgrades!$T$21="Local Bubble",POWER(Upgrades!$U$21,M273),1))*$F$6/AL273,0)</f>
        <v/>
      </c>
      <c r="BA273" s="32">
        <f>IFERROR(Upgrades!$K$15*(POWER(Upgrades!$Q$13,E273)*POWER(Upgrades!$Q$14,F273)*POWER(Upgrades!$Q$15,G273)*POWER(Upgrades!$Q$16,H273)*POWER(Upgrades!$Q$17,I273)*POWER(Upgrades!$Q$18,J273)*POWER(Upgrades!$Q$19,K273)*POWER(Upgrades!$Q$20,L273)*POWER(Upgrades!$Q$21,M273))*(IF(Upgrades!$T$13="Microlensing",POWER(Upgrades!$U$13,E273),1)*IF(Upgrades!$T$14="Microlensing",POWER(Upgrades!$U$14,F273),1)*IF(Upgrades!$T$16="Microlensing",POWER(Upgrades!$U$16,H273),1)*IF(Upgrades!$T$17="Microlensing",POWER(Upgrades!$U$17,I273),1)*IF(Upgrades!$T$18="Microlensing",POWER(Upgrades!$U$18,J273),1)*IF(Upgrades!$T$19="Microlensing",POWER(Upgrades!$U$19,K273),1)*IF(Upgrades!$T$20="Microlensing",POWER(Upgrades!$U$20,L273),1)*IF(Upgrades!$T$21="Microlensing",POWER(Upgrades!$U$21,M273),1))*$G$6*(Parameters!$B$10/60*Parameters!$B$11+Q273)/AM273,0)</f>
        <v/>
      </c>
      <c r="BB273" s="32">
        <f>IFERROR((Upgrades!$N$16*(POWER(Upgrades!$R$13,E273)*POWER(Upgrades!$R$14,F273)*POWER(Upgrades!$R$15,G273)*POWER(Upgrades!$R$16,H273)*POWER(Upgrades!$R$17,I273)*POWER(Upgrades!$R$18,J273)*POWER(Upgrades!$R$19,K273)*POWER(Upgrades!$R$20,L273)*POWER(Upgrades!$R$21,M273))*(IF(Upgrades!$T$13="Roche Lobe Overflow",POWER(Upgrades!$U$13,E273),1)*IF(Upgrades!$T$14="Roche Lobe Overflow",POWER(Upgrades!$U$14,F273),1)*IF(Upgrades!$T$15="Roche Lobe Overflow",POWER(Upgrades!$U$15,G273),1)*IF(Upgrades!$T$17="Roche Lobe Overflow",POWER(Upgrades!$U$17,I273),1)*IF(Upgrades!$T$18="Roche Lobe Overflow",POWER(Upgrades!$U$18,J273),1)*IF(Upgrades!$T$19="Roche Lobe Overflow",POWER(Upgrades!$U$19,K273),1)*IF(Upgrades!$T$20="Roche Lobe Overflow",POWER(Upgrades!$U$20,L273),1)*IF(Upgrades!$T$21="Roche Lobe Overflow",POWER(Upgrades!$U$21,M273),1))*$H$6*O273+((IF(F273=0,0,(Upgrades!$G$14+F273*Upgrades!$H$14)*POWER(Upgrades!$I$14,F273)))*(IF(Upgrades!$T$13="Local Bubble",POWER(Upgrades!$U$13,E273),1)*IF(Upgrades!$T$15="Local Bubble",POWER(Upgrades!$U$15,G273),1)*IF(Upgrades!$T$16="Local Bubble",POWER(Upgrades!$U$16,H273),1)*IF(Upgrades!$T$17="Local Bubble",POWER(Upgrades!$U$17,I273),1)*IF(Upgrades!$T$18="Local Bubble",POWER(Upgrades!$U$18,J273),1)*IF(Upgrades!$T$19="Local Bubble",POWER(Upgrades!$U$19,K273),1)*IF(Upgrades!$T$20="Local Bubble",POWER(Upgrades!$U$20,L273),1)*IF(Upgrades!$T$21="Local Bubble",POWER(Upgrades!$U$21,M273),1))*POWER(Upgrades!$P$13,E273)*POWER(Upgrades!$P$14,F273)*POWER(Upgrades!$P$15,G273)*POWER(Upgrades!$P$16,H273)*POWER(Upgrades!$P$17,I273)*POWER(Upgrades!$P$18,J273)*POWER(Upgrades!$P$19,K273)*POWER(Upgrades!$P$20,L273)*POWER(Upgrades!$P$21,M273)*$F$6)*0.05)/AN273,0)</f>
        <v/>
      </c>
      <c r="BC273" s="32">
        <f>IFERROR((Upgrades!$H$17*(POWER(Upgrades!$P$13,E273)*POWER(Upgrades!$P$14,F273)*POWER(Upgrades!$P$15,G273)*POWER(Upgrades!$P$16,H273)*POWER(Upgrades!$P$17,I273)*POWER(Upgrades!$P$18,J273)*POWER(Upgrades!$P$19,K273)*POWER(Upgrades!$P$20,L273)*POWER(Upgrades!$P$21,M273))*(IF(Upgrades!$T$13="Brown Dwarf",POWER(Upgrades!$U$13,E273),1)*IF(Upgrades!$T$14="Brown Dwarf",POWER(Upgrades!$U$14,F273),1)*IF(Upgrades!$T$15="Brown Dwarf",POWER(Upgrades!$U$15,G273),1)*IF(Upgrades!$T$16="Brown Dwarf",POWER(Upgrades!$U$16,H273),1)*IF(Upgrades!$T$18="Brown Dwarf",POWER(Upgrades!$U$18,J273),1)*IF(Upgrades!$T$19="Brown Dwarf",POWER(Upgrades!$U$19,K273),1)*IF(Upgrades!$T$20="Brown Dwarf",POWER(Upgrades!$U$20,L273),1)*IF(Upgrades!$T$21="Brown Dwarf",POWER(Upgrades!$U$21,M273),1))*$F$6+(((IF(H273=0,0,(Upgrades!$M$16+H273*Upgrades!$N$16)*POWER(Upgrades!$O$16,H273)))*(IF(Upgrades!$T$13="Roche Lobe Overflow",POWER(Upgrades!$U$13,E273),1)*IF(Upgrades!$T$14="Roche Lobe Overflow",POWER(Upgrades!$U$14,F273),1)*IF(Upgrades!$T$15="Roche Lobe Overflow",POWER(Upgrades!$U$15,G273),1)*IF(Upgrades!$T$17="Roche Lobe Overflow",POWER(Upgrades!$U$17,I273),1)*IF(Upgrades!$T$18="Roche Lobe Overflow",POWER(Upgrades!$U$18,J273),1)*IF(Upgrades!$T$19="Roche Lobe Overflow",POWER(Upgrades!$U$19,K273),1)*IF(Upgrades!$T$20="Roche Lobe Overflow",POWER(Upgrades!$U$20,L273),1)*IF(Upgrades!$T$21="Roche Lobe Overflow",POWER(Upgrades!$U$21,M273),1))*POWER(Upgrades!$R$13,E273)*POWER(Upgrades!$R$14,F273)*POWER(Upgrades!$R$15,G273)*POWER(Upgrades!$R$16,H273)*POWER(Upgrades!$R$17,I273)*POWER(Upgrades!$R$18,J273)*POWER(Upgrades!$R$19,K273)*POWER(Upgrades!$R$20,L273)*POWER(Upgrades!$R$21,M273)*$H$6)*O273)*0.10)/AO273,0)</f>
        <v/>
      </c>
      <c r="BD273" s="32">
        <f>MAX(IF(J273&gt;0,0,IFERROR(0.5*((IF(G273=0,0,(Upgrades!$J$15+G273*Upgrades!$K$15)*POWER(Upgrades!$L$15,G273)))*(IF(Upgrades!$T$13="Microlensing",POWER(Upgrades!$U$13,E273),1)*IF(Upgrades!$T$14="Microlensing",POWER(Upgrades!$U$14,F273),1)*IF(Upgrades!$T$16="Microlensing",POWER(Upgrades!$U$16,H273),1)*IF(Upgrades!$T$17="Microlensing",POWER(Upgrades!$U$17,I273),1)*IF(Upgrades!$T$18="Microlensing",POWER(Upgrades!$U$18,J273),1)*IF(Upgrades!$T$19="Microlensing",POWER(Upgrades!$U$19,K273),1)*IF(Upgrades!$T$20="Microlensing",POWER(Upgrades!$U$20,L273),1)*IF(Upgrades!$T$21="Microlensing",POWER(Upgrades!$U$21,M273),1))*(POWER(Upgrades!$Q$13,E273)*POWER(Upgrades!$Q$14,F273)*POWER(Upgrades!$Q$15,G273)*POWER(Upgrades!$Q$16,H273)*POWER(Upgrades!$Q$17,I273)*POWER(Upgrades!$Q$18,J273)*POWER(Upgrades!$Q$19,K273)*POWER(Upgrades!$Q$20,L273)*POWER(Upgrades!$Q$21,M273))*$G$6*(Parameters!$B$10/60*Parameters!$B$11+Q273))/Upgrades!$C$18,0)),IF(K273&gt;0,0,IFERROR(0.30*P273/Upgrades!$C$19,0)),IF(L273&gt;0,0,IFERROR(0.0001/Upgrades!$C$20,0)),IF(M273&gt;0,0,IFERROR((6.0*(POWER(Upgrades!$P$13,E273)*POWER(Upgrades!$P$14,F273)*POWER(Upgrades!$P$15,G273)*POWER(Upgrades!$P$16,H273)*POWER(Upgrades!$P$17,I273)*POWER(Upgrades!$P$18,J273)*POWER(Upgrades!$P$19,K273)*POWER(Upgrades!$P$20,L273)*POWER(Upgrades!$P$21,M273))*$F$6+0.20*O273*(Parameters!$B$10/60*Parameters!$B$11+Q273))/Upgrades!$C$21,0)),IF(AND(ISNUMBER(AK273),AK273&gt;(C273+T273)),AY273,0),IF(AND(ISNUMBER(AL273),AL273&gt;(C273+T273)),AZ273,0),IF(AND(ISNUMBER(AM273),AM273&gt;(C273+T273)),BA273,0),IF(AND(ISNUMBER(AN273),AN273&gt;(C273+T273)),BB273,0),IF(AND(ISNUMBER(AO273),AO273&gt;(C273+T273)),BC273,0))</f>
        <v/>
      </c>
      <c r="BE273" s="29">
        <f>IF(AT273=1,"transition",IF(MIN(IF(AND(J273=0,ISNUMBER(AP273),AP273&lt;=(C273+T273)),AP273,9E15),IF(AND(K273=0,ISNUMBER(AQ273),AQ273&lt;=(C273+T273)),AQ273,9E15),IF(AND(L273=0,ISNUMBER(AR273),AR273&lt;=(C273+T273)),AR273,9E15),IF(AND(M273=0,ISNUMBER(AS273),AS273&lt;=(C273+T273)),AS273,9E15))&lt;9E15,IF(AND(AND(J273=0,ISNUMBER(AP273),AP273&lt;=(C273+T273)),AP273=MIN(IF(AND(J273=0,ISNUMBER(AP273),AP273&lt;=(C273+T273)),AP273,9E15),IF(AND(K273=0,ISNUMBER(AQ273),AQ273&lt;=(C273+T273)),AQ273,9E15),IF(AND(L273=0,ISNUMBER(AR273),AR273&lt;=(C273+T273)),AR273,9E15),IF(AND(M273=0,ISNUMBER(AS273),AS273&lt;=(C273+T273)),AS273,9E15))),"BiP",IF(AND(AND(K273=0,ISNUMBER(AQ273),AQ273&lt;=(C273+T273)),AQ273=MIN(IF(AND(J273=0,ISNUMBER(AP273),AP273&lt;=(C273+T273)),AP273,9E15),IF(AND(K273=0,ISNUMBER(AQ273),AQ273&lt;=(C273+T273)),AQ273,9E15),IF(AND(L273=0,ISNUMBER(AR273),AR273&lt;=(C273+T273)),AR273,9E15),IF(AND(M273=0,ISNUMBER(AS273),AS273&lt;=(C273+T273)),AS273,9E15))),"PV",IF(AND(AND(L273=0,ISNUMBER(AR273),AR273&lt;=(C273+T273)),AR273=MIN(IF(AND(J273=0,ISNUMBER(AP273),AP273&lt;=(C273+T273)),AP273,9E15),IF(AND(K273=0,ISNUMBER(AQ273),AQ273&lt;=(C273+T273)),AQ273,9E15),IF(AND(L273=0,ISNUMBER(AR273),AR273&lt;=(C273+T273)),AR273,9E15),IF(AND(M273=0,ISNUMBER(AS273),AS273&lt;=(C273+T273)),AS273,9E15))),"OC","MG"))),IF(AX273=TRUE,"",IF(MAX(IF(AND(NOT(AND(AU273=1,AT273&lt;&gt;1)),ISNUMBER(AK273),AK273&lt;=(C273+T273)),AY273,0),IF(AND(NOT(AND(AU273=1,AT273&lt;&gt;1)),ISNUMBER(AL273),AL273&lt;=(C273+T273)),AZ273,0),IF(AND(NOT(AND(AU273=1,AT273&lt;&gt;1)),ISNUMBER(AM273),AM273&lt;=(C273+T273)),BA273,0),IF(AND(NOT(AND(AU273=1,AT273&lt;&gt;1)),ISNUMBER(AN273),AN273&lt;=(C273+T273)),BB273,0),IF(AND(ISNUMBER(AO273),AO273&lt;=(C273+T273)),BC273,0))&lt;=0,"",IF(AND(IF(AND(NOT(AND(AU273=1,AT273&lt;&gt;1)),ISNUMBER(AK273),AK273&lt;=(C273+T273)),AY273,0)&gt;0,IF(AND(NOT(AND(AU273=1,AT273&lt;&gt;1)),ISNUMBER(AK273),AK273&lt;=(C273+T273)),AY273,0)=MAX(IF(AND(NOT(AND(AU273=1,AT273&lt;&gt;1)),ISNUMBER(AK273),AK273&lt;=(C273+T273)),AY273,0),IF(AND(NOT(AND(AU273=1,AT273&lt;&gt;1)),ISNUMBER(AL273),AL273&lt;=(C273+T273)),AZ273,0),IF(AND(NOT(AND(AU273=1,AT273&lt;&gt;1)),ISNUMBER(AM273),AM273&lt;=(C273+T273)),BA273,0),IF(AND(NOT(AND(AU273=1,AT273&lt;&gt;1)),ISNUMBER(AN273),AN273&lt;=(C273+T273)),BB273,0),IF(AND(ISNUMBER(AO273),AO273&lt;=(C273+T273)),BC273,0))),"SK",IF(AND(IF(AND(NOT(AND(AU273=1,AT273&lt;&gt;1)),ISNUMBER(AL273),AL273&lt;=(C273+T273)),AZ273,0)&gt;0,IF(AND(NOT(AND(AU273=1,AT273&lt;&gt;1)),ISNUMBER(AL273),AL273&lt;=(C273+T273)),AZ273,0)=MAX(IF(AND(NOT(AND(AU273=1,AT273&lt;&gt;1)),ISNUMBER(AK273),AK273&lt;=(C273+T273)),AY273,0),IF(AND(NOT(AND(AU273=1,AT273&lt;&gt;1)),ISNUMBER(AL273),AL273&lt;=(C273+T273)),AZ273,0),IF(AND(NOT(AND(AU273=1,AT273&lt;&gt;1)),ISNUMBER(AM273),AM273&lt;=(C273+T273)),BA273,0),IF(AND(NOT(AND(AU273=1,AT273&lt;&gt;1)),ISNUMBER(AN273),AN273&lt;=(C273+T273)),BB273,0),IF(AND(ISNUMBER(AO273),AO273&lt;=(C273+T273)),BC273,0))),"LB",IF(AND(IF(AND(NOT(AND(AU273=1,AT273&lt;&gt;1)),ISNUMBER(AM273),AM273&lt;=(C273+T273)),BA273,0)&gt;0,IF(AND(NOT(AND(AU273=1,AT273&lt;&gt;1)),ISNUMBER(AM273),AM273&lt;=(C273+T273)),BA273,0)=MAX(IF(AND(NOT(AND(AU273=1,AT273&lt;&gt;1)),ISNUMBER(AK273),AK273&lt;=(C273+T273)),AY273,0),IF(AND(NOT(AND(AU273=1,AT273&lt;&gt;1)),ISNUMBER(AL273),AL273&lt;=(C273+T273)),AZ273,0),IF(AND(NOT(AND(AU273=1,AT273&lt;&gt;1)),ISNUMBER(AM273),AM273&lt;=(C273+T273)),BA273,0),IF(AND(NOT(AND(AU273=1,AT273&lt;&gt;1)),ISNUMBER(AN273),AN273&lt;=(C273+T273)),BB273,0),IF(AND(ISNUMBER(AO273),AO273&lt;=(C273+T273)),BC273,0))),"ML",IF(AND(IF(AND(NOT(AND(AU273=1,AT273&lt;&gt;1)),ISNUMBER(AN273),AN273&lt;=(C273+T273)),BB273,0)&gt;0,IF(AND(NOT(AND(AU273=1,AT273&lt;&gt;1)),ISNUMBER(AN273),AN273&lt;=(C273+T273)),BB273,0)=MAX(IF(AND(NOT(AND(AU273=1,AT273&lt;&gt;1)),ISNUMBER(AK273),AK273&lt;=(C273+T273)),AY273,0),IF(AND(NOT(AND(AU273=1,AT273&lt;&gt;1)),ISNUMBER(AL273),AL273&lt;=(C273+T273)),AZ273,0),IF(AND(NOT(AND(AU273=1,AT273&lt;&gt;1)),ISNUMBER(AM273),AM273&lt;=(C273+T273)),BA273,0),IF(AND(NOT(AND(AU273=1,AT273&lt;&gt;1)),ISNUMBER(AN273),AN273&lt;=(C273+T273)),BB273,0),IF(AND(ISNUMBER(AO273),AO273&lt;=(C273+T273)),BC273,0))),"RLO","BD"))))))))</f>
        <v/>
      </c>
    </row>
    <row r="274">
      <c r="A274" s="26" t="n">
        <v>263</v>
      </c>
      <c r="B274" s="27">
        <f>A274*10/60</f>
        <v/>
      </c>
      <c r="C274" s="22">
        <f>X273</f>
        <v/>
      </c>
      <c r="D274" s="27">
        <f>D273+W273</f>
        <v/>
      </c>
      <c r="E274" s="26">
        <f>E273+IF(U273="SK",1,0)</f>
        <v/>
      </c>
      <c r="F274" s="26">
        <f>F273+IF(U273="LB",1,0)</f>
        <v/>
      </c>
      <c r="G274" s="26">
        <f>G273+IF(U273="ML",1,0)</f>
        <v/>
      </c>
      <c r="H274" s="26">
        <f>H273+IF(U273="RLO",1,0)</f>
        <v/>
      </c>
      <c r="I274" s="26">
        <f>I273+IF(U273="BD",1,0)</f>
        <v/>
      </c>
      <c r="J274" s="26">
        <f>MAX(J273,IF(U273="BiP",1,0))</f>
        <v/>
      </c>
      <c r="K274" s="26">
        <f>MAX(K273,IF(U273="PV",1,0))</f>
        <v/>
      </c>
      <c r="L274" s="26">
        <f>MAX(L273,IF(U273="OC",1,0))</f>
        <v/>
      </c>
      <c r="M274" s="26">
        <f>MAX(M273,IF(U273="MG",1,0))</f>
        <v/>
      </c>
      <c r="N274" s="26">
        <f>MAX(N273,IF(U273="transition",1,0))</f>
        <v/>
      </c>
      <c r="O274" s="28">
        <f>(Parameters!$B$9+(IF(E274=0,0,(Upgrades!$J$13+E274*Upgrades!$K$13)*POWER(Upgrades!$L$13,E274)))*(IF(Upgrades!$T$14="Stellar Kinematics",POWER(Upgrades!$U$14,F274),1)*IF(Upgrades!$T$15="Stellar Kinematics",POWER(Upgrades!$U$15,G274),1)*IF(Upgrades!$T$16="Stellar Kinematics",POWER(Upgrades!$U$16,H274),1)*IF(Upgrades!$T$17="Stellar Kinematics",POWER(Upgrades!$U$17,I274),1)*IF(Upgrades!$T$18="Stellar Kinematics",POWER(Upgrades!$U$18,J274),1)*IF(Upgrades!$T$19="Stellar Kinematics",POWER(Upgrades!$U$19,K274),1)*IF(Upgrades!$T$20="Stellar Kinematics",POWER(Upgrades!$U$20,L274),1)*IF(Upgrades!$T$21="Stellar Kinematics",POWER(Upgrades!$U$21,M274),1))+(IF(F274=0,0,(Upgrades!$J$14+F274*Upgrades!$K$14)*POWER(Upgrades!$L$14,F274)))*(IF(Upgrades!$T$13="Local Bubble",POWER(Upgrades!$U$13,E274),1)*IF(Upgrades!$T$15="Local Bubble",POWER(Upgrades!$U$15,G274),1)*IF(Upgrades!$T$16="Local Bubble",POWER(Upgrades!$U$16,H274),1)*IF(Upgrades!$T$17="Local Bubble",POWER(Upgrades!$U$17,I274),1)*IF(Upgrades!$T$18="Local Bubble",POWER(Upgrades!$U$18,J274),1)*IF(Upgrades!$T$19="Local Bubble",POWER(Upgrades!$U$19,K274),1)*IF(Upgrades!$T$20="Local Bubble",POWER(Upgrades!$U$20,L274),1)*IF(Upgrades!$T$21="Local Bubble",POWER(Upgrades!$U$21,M274),1))+(IF(G274=0,0,(Upgrades!$J$15+G274*Upgrades!$K$15)*POWER(Upgrades!$L$15,G274)))*(IF(Upgrades!$T$13="Microlensing",POWER(Upgrades!$U$13,E274),1)*IF(Upgrades!$T$14="Microlensing",POWER(Upgrades!$U$14,F274),1)*IF(Upgrades!$T$16="Microlensing",POWER(Upgrades!$U$16,H274),1)*IF(Upgrades!$T$17="Microlensing",POWER(Upgrades!$U$17,I274),1)*IF(Upgrades!$T$18="Microlensing",POWER(Upgrades!$U$18,J274),1)*IF(Upgrades!$T$19="Microlensing",POWER(Upgrades!$U$19,K274),1)*IF(Upgrades!$T$20="Microlensing",POWER(Upgrades!$U$20,L274),1)*IF(Upgrades!$T$21="Microlensing",POWER(Upgrades!$U$21,M274),1))+(IF(H274=0,0,(Upgrades!$J$16+H274*Upgrades!$K$16)*POWER(Upgrades!$L$16,H274)))*(IF(Upgrades!$T$13="Roche Lobe Overflow",POWER(Upgrades!$U$13,E274),1)*IF(Upgrades!$T$14="Roche Lobe Overflow",POWER(Upgrades!$U$14,F274),1)*IF(Upgrades!$T$15="Roche Lobe Overflow",POWER(Upgrades!$U$15,G274),1)*IF(Upgrades!$T$17="Roche Lobe Overflow",POWER(Upgrades!$U$17,I274),1)*IF(Upgrades!$T$18="Roche Lobe Overflow",POWER(Upgrades!$U$18,J274),1)*IF(Upgrades!$T$19="Roche Lobe Overflow",POWER(Upgrades!$U$19,K274),1)*IF(Upgrades!$T$20="Roche Lobe Overflow",POWER(Upgrades!$U$20,L274),1)*IF(Upgrades!$T$21="Roche Lobe Overflow",POWER(Upgrades!$U$21,M274),1))+(IF(I274=0,0,(Upgrades!$J$17+I274*Upgrades!$K$17)*POWER(Upgrades!$L$17,I274)))*(IF(Upgrades!$T$13="Brown Dwarf",POWER(Upgrades!$U$13,E274),1)*IF(Upgrades!$T$14="Brown Dwarf",POWER(Upgrades!$U$14,F274),1)*IF(Upgrades!$T$15="Brown Dwarf",POWER(Upgrades!$U$15,G274),1)*IF(Upgrades!$T$16="Brown Dwarf",POWER(Upgrades!$U$16,H274),1)*IF(Upgrades!$T$18="Brown Dwarf",POWER(Upgrades!$U$18,J274),1)*IF(Upgrades!$T$19="Brown Dwarf",POWER(Upgrades!$U$19,K274),1)*IF(Upgrades!$T$20="Brown Dwarf",POWER(Upgrades!$U$20,L274),1)*IF(Upgrades!$T$21="Brown Dwarf",POWER(Upgrades!$U$21,M274),1))+(IF(J274=0,0,(Upgrades!$J$18+J274*Upgrades!$K$18)*POWER(Upgrades!$L$18,J274)))*(IF(Upgrades!$T$13="Binary Partner",POWER(Upgrades!$U$13,E274),1)*IF(Upgrades!$T$14="Binary Partner",POWER(Upgrades!$U$14,F274),1)*IF(Upgrades!$T$15="Binary Partner",POWER(Upgrades!$U$15,G274),1)*IF(Upgrades!$T$16="Binary Partner",POWER(Upgrades!$U$16,H274),1)*IF(Upgrades!$T$17="Binary Partner",POWER(Upgrades!$U$17,I274),1)*IF(Upgrades!$T$19="Binary Partner",POWER(Upgrades!$U$19,K274),1)*IF(Upgrades!$T$20="Binary Partner",POWER(Upgrades!$U$20,L274),1)*IF(Upgrades!$T$21="Binary Partner",POWER(Upgrades!$U$21,M274),1))+(IF(K274=0,0,(Upgrades!$J$19+K274*Upgrades!$K$19)*POWER(Upgrades!$L$19,K274)))*(IF(Upgrades!$T$13="Peculiar Velocity",POWER(Upgrades!$U$13,E274),1)*IF(Upgrades!$T$14="Peculiar Velocity",POWER(Upgrades!$U$14,F274),1)*IF(Upgrades!$T$15="Peculiar Velocity",POWER(Upgrades!$U$15,G274),1)*IF(Upgrades!$T$16="Peculiar Velocity",POWER(Upgrades!$U$16,H274),1)*IF(Upgrades!$T$17="Peculiar Velocity",POWER(Upgrades!$U$17,I274),1)*IF(Upgrades!$T$18="Peculiar Velocity",POWER(Upgrades!$U$18,J274),1)*IF(Upgrades!$T$20="Peculiar Velocity",POWER(Upgrades!$U$20,L274),1)*IF(Upgrades!$T$21="Peculiar Velocity",POWER(Upgrades!$U$21,M274),1))+(IF(L274=0,0,(Upgrades!$J$20+L274*Upgrades!$K$20)*POWER(Upgrades!$L$20,L274)))*(IF(Upgrades!$T$13="Open Cluster",POWER(Upgrades!$U$13,E274),1)*IF(Upgrades!$T$14="Open Cluster",POWER(Upgrades!$U$14,F274),1)*IF(Upgrades!$T$15="Open Cluster",POWER(Upgrades!$U$15,G274),1)*IF(Upgrades!$T$16="Open Cluster",POWER(Upgrades!$U$16,H274),1)*IF(Upgrades!$T$17="Open Cluster",POWER(Upgrades!$U$17,I274),1)*IF(Upgrades!$T$18="Open Cluster",POWER(Upgrades!$U$18,J274),1)*IF(Upgrades!$T$19="Open Cluster",POWER(Upgrades!$U$19,K274),1)*IF(Upgrades!$T$21="Open Cluster",POWER(Upgrades!$U$21,M274),1))+(IF(M274=0,0,(Upgrades!$J$21+M274*Upgrades!$K$21)*POWER(Upgrades!$L$21,M274)))*(IF(Upgrades!$T$13="Moving Group",POWER(Upgrades!$U$13,E274),1)*IF(Upgrades!$T$14="Moving Group",POWER(Upgrades!$U$14,F274),1)*IF(Upgrades!$T$15="Moving Group",POWER(Upgrades!$U$15,G274),1)*IF(Upgrades!$T$16="Moving Group",POWER(Upgrades!$U$16,H274),1)*IF(Upgrades!$T$17="Moving Group",POWER(Upgrades!$U$17,I274),1)*IF(Upgrades!$T$18="Moving Group",POWER(Upgrades!$U$18,J274),1)*IF(Upgrades!$T$19="Moving Group",POWER(Upgrades!$U$19,K274),1)*IF(Upgrades!$T$20="Moving Group",POWER(Upgrades!$U$20,L274),1)))*POWER(Upgrades!$Q$13,E274)*POWER(Upgrades!$Q$14,F274)*POWER(Upgrades!$Q$15,G274)*POWER(Upgrades!$Q$16,H274)*POWER(Upgrades!$Q$17,I274)*POWER(Upgrades!$Q$18,J274)*POWER(Upgrades!$Q$19,K274)*POWER(Upgrades!$Q$20,L274)*POWER(Upgrades!$Q$21,M274)*$G$6+$D$6</f>
        <v/>
      </c>
      <c r="P274" s="28">
        <f>((IF(E274=0,0,(Upgrades!$G$13+E274*Upgrades!$H$13)*POWER(Upgrades!$I$13,E274)))*(IF(Upgrades!$T$14="Stellar Kinematics",POWER(Upgrades!$U$14,F274),1)*IF(Upgrades!$T$15="Stellar Kinematics",POWER(Upgrades!$U$15,G274),1)*IF(Upgrades!$T$16="Stellar Kinematics",POWER(Upgrades!$U$16,H274),1)*IF(Upgrades!$T$17="Stellar Kinematics",POWER(Upgrades!$U$17,I274),1)*IF(Upgrades!$T$18="Stellar Kinematics",POWER(Upgrades!$U$18,J274),1)*IF(Upgrades!$T$19="Stellar Kinematics",POWER(Upgrades!$U$19,K274),1)*IF(Upgrades!$T$20="Stellar Kinematics",POWER(Upgrades!$U$20,L274),1)*IF(Upgrades!$T$21="Stellar Kinematics",POWER(Upgrades!$U$21,M274),1))+(IF(F274=0,0,(Upgrades!$G$14+F274*Upgrades!$H$14)*POWER(Upgrades!$I$14,F274)))*(IF(Upgrades!$T$13="Local Bubble",POWER(Upgrades!$U$13,E274),1)*IF(Upgrades!$T$15="Local Bubble",POWER(Upgrades!$U$15,G274),1)*IF(Upgrades!$T$16="Local Bubble",POWER(Upgrades!$U$16,H274),1)*IF(Upgrades!$T$17="Local Bubble",POWER(Upgrades!$U$17,I274),1)*IF(Upgrades!$T$18="Local Bubble",POWER(Upgrades!$U$18,J274),1)*IF(Upgrades!$T$19="Local Bubble",POWER(Upgrades!$U$19,K274),1)*IF(Upgrades!$T$20="Local Bubble",POWER(Upgrades!$U$20,L274),1)*IF(Upgrades!$T$21="Local Bubble",POWER(Upgrades!$U$21,M274),1))+(IF(G274=0,0,(Upgrades!$G$15+G274*Upgrades!$H$15)*POWER(Upgrades!$I$15,G274)))*(IF(Upgrades!$T$13="Microlensing",POWER(Upgrades!$U$13,E274),1)*IF(Upgrades!$T$14="Microlensing",POWER(Upgrades!$U$14,F274),1)*IF(Upgrades!$T$16="Microlensing",POWER(Upgrades!$U$16,H274),1)*IF(Upgrades!$T$17="Microlensing",POWER(Upgrades!$U$17,I274),1)*IF(Upgrades!$T$18="Microlensing",POWER(Upgrades!$U$18,J274),1)*IF(Upgrades!$T$19="Microlensing",POWER(Upgrades!$U$19,K274),1)*IF(Upgrades!$T$20="Microlensing",POWER(Upgrades!$U$20,L274),1)*IF(Upgrades!$T$21="Microlensing",POWER(Upgrades!$U$21,M274),1))+(IF(H274=0,0,(Upgrades!$G$16+H274*Upgrades!$H$16)*POWER(Upgrades!$I$16,H274)))*(IF(Upgrades!$T$13="Roche Lobe Overflow",POWER(Upgrades!$U$13,E274),1)*IF(Upgrades!$T$14="Roche Lobe Overflow",POWER(Upgrades!$U$14,F274),1)*IF(Upgrades!$T$15="Roche Lobe Overflow",POWER(Upgrades!$U$15,G274),1)*IF(Upgrades!$T$17="Roche Lobe Overflow",POWER(Upgrades!$U$17,I274),1)*IF(Upgrades!$T$18="Roche Lobe Overflow",POWER(Upgrades!$U$18,J274),1)*IF(Upgrades!$T$19="Roche Lobe Overflow",POWER(Upgrades!$U$19,K274),1)*IF(Upgrades!$T$20="Roche Lobe Overflow",POWER(Upgrades!$U$20,L274),1)*IF(Upgrades!$T$21="Roche Lobe Overflow",POWER(Upgrades!$U$21,M274),1))+(IF(I274=0,0,(Upgrades!$G$17+I274*Upgrades!$H$17)*POWER(Upgrades!$I$17,I274)))*(IF(Upgrades!$T$13="Brown Dwarf",POWER(Upgrades!$U$13,E274),1)*IF(Upgrades!$T$14="Brown Dwarf",POWER(Upgrades!$U$14,F274),1)*IF(Upgrades!$T$15="Brown Dwarf",POWER(Upgrades!$U$15,G274),1)*IF(Upgrades!$T$16="Brown Dwarf",POWER(Upgrades!$U$16,H274),1)*IF(Upgrades!$T$18="Brown Dwarf",POWER(Upgrades!$U$18,J274),1)*IF(Upgrades!$T$19="Brown Dwarf",POWER(Upgrades!$U$19,K274),1)*IF(Upgrades!$T$20="Brown Dwarf",POWER(Upgrades!$U$20,L274),1)*IF(Upgrades!$T$21="Brown Dwarf",POWER(Upgrades!$U$21,M274),1))+(IF(J274=0,0,(Upgrades!$G$18+J274*Upgrades!$H$18)*POWER(Upgrades!$I$18,J274)))*(IF(Upgrades!$T$13="Binary Partner",POWER(Upgrades!$U$13,E274),1)*IF(Upgrades!$T$14="Binary Partner",POWER(Upgrades!$U$14,F274),1)*IF(Upgrades!$T$15="Binary Partner",POWER(Upgrades!$U$15,G274),1)*IF(Upgrades!$T$16="Binary Partner",POWER(Upgrades!$U$16,H274),1)*IF(Upgrades!$T$17="Binary Partner",POWER(Upgrades!$U$17,I274),1)*IF(Upgrades!$T$19="Binary Partner",POWER(Upgrades!$U$19,K274),1)*IF(Upgrades!$T$20="Binary Partner",POWER(Upgrades!$U$20,L274),1)*IF(Upgrades!$T$21="Binary Partner",POWER(Upgrades!$U$21,M274),1))+(IF(K274=0,0,(Upgrades!$G$19+K274*Upgrades!$H$19)*POWER(Upgrades!$I$19,K274)))*(IF(Upgrades!$T$13="Peculiar Velocity",POWER(Upgrades!$U$13,E274),1)*IF(Upgrades!$T$14="Peculiar Velocity",POWER(Upgrades!$U$14,F274),1)*IF(Upgrades!$T$15="Peculiar Velocity",POWER(Upgrades!$U$15,G274),1)*IF(Upgrades!$T$16="Peculiar Velocity",POWER(Upgrades!$U$16,H274),1)*IF(Upgrades!$T$17="Peculiar Velocity",POWER(Upgrades!$U$17,I274),1)*IF(Upgrades!$T$18="Peculiar Velocity",POWER(Upgrades!$U$18,J274),1)*IF(Upgrades!$T$20="Peculiar Velocity",POWER(Upgrades!$U$20,L274),1)*IF(Upgrades!$T$21="Peculiar Velocity",POWER(Upgrades!$U$21,M274),1))+(IF(L274=0,0,(Upgrades!$G$20+L274*Upgrades!$H$20)*POWER(Upgrades!$I$20,L274)))*(IF(Upgrades!$T$13="Open Cluster",POWER(Upgrades!$U$13,E274),1)*IF(Upgrades!$T$14="Open Cluster",POWER(Upgrades!$U$14,F274),1)*IF(Upgrades!$T$15="Open Cluster",POWER(Upgrades!$U$15,G274),1)*IF(Upgrades!$T$16="Open Cluster",POWER(Upgrades!$U$16,H274),1)*IF(Upgrades!$T$17="Open Cluster",POWER(Upgrades!$U$17,I274),1)*IF(Upgrades!$T$18="Open Cluster",POWER(Upgrades!$U$18,J274),1)*IF(Upgrades!$T$19="Open Cluster",POWER(Upgrades!$U$19,K274),1)*IF(Upgrades!$T$21="Open Cluster",POWER(Upgrades!$U$21,M274),1))+(IF(M274=0,0,(Upgrades!$G$21+M274*Upgrades!$H$21)*POWER(Upgrades!$I$21,M274)))*(IF(Upgrades!$T$13="Moving Group",POWER(Upgrades!$U$13,E274),1)*IF(Upgrades!$T$14="Moving Group",POWER(Upgrades!$U$14,F274),1)*IF(Upgrades!$T$15="Moving Group",POWER(Upgrades!$U$15,G274),1)*IF(Upgrades!$T$16="Moving Group",POWER(Upgrades!$U$16,H274),1)*IF(Upgrades!$T$17="Moving Group",POWER(Upgrades!$U$17,I274),1)*IF(Upgrades!$T$18="Moving Group",POWER(Upgrades!$U$18,J274),1)*IF(Upgrades!$T$19="Moving Group",POWER(Upgrades!$U$19,K274),1)*IF(Upgrades!$T$20="Moving Group",POWER(Upgrades!$U$20,L274),1)))*POWER(Upgrades!$P$13,E274)*POWER(Upgrades!$P$14,F274)*POWER(Upgrades!$P$15,G274)*POWER(Upgrades!$P$16,H274)*POWER(Upgrades!$P$17,I274)*POWER(Upgrades!$P$18,J274)*POWER(Upgrades!$P$19,K274)*POWER(Upgrades!$P$20,L274)*POWER(Upgrades!$P$21,M274)*$F$6+$C$6</f>
        <v/>
      </c>
      <c r="Q274" s="28">
        <f>((IF(E274=0,0,(Upgrades!$M$13+E274*Upgrades!$N$13)*POWER(Upgrades!$O$13,E274)))*(IF(Upgrades!$T$14="Stellar Kinematics",POWER(Upgrades!$U$14,F274),1)*IF(Upgrades!$T$15="Stellar Kinematics",POWER(Upgrades!$U$15,G274),1)*IF(Upgrades!$T$16="Stellar Kinematics",POWER(Upgrades!$U$16,H274),1)*IF(Upgrades!$T$17="Stellar Kinematics",POWER(Upgrades!$U$17,I274),1)*IF(Upgrades!$T$18="Stellar Kinematics",POWER(Upgrades!$U$18,J274),1)*IF(Upgrades!$T$19="Stellar Kinematics",POWER(Upgrades!$U$19,K274),1)*IF(Upgrades!$T$20="Stellar Kinematics",POWER(Upgrades!$U$20,L274),1)*IF(Upgrades!$T$21="Stellar Kinematics",POWER(Upgrades!$U$21,M274),1))+(IF(F274=0,0,(Upgrades!$M$14+F274*Upgrades!$N$14)*POWER(Upgrades!$O$14,F274)))*(IF(Upgrades!$T$13="Local Bubble",POWER(Upgrades!$U$13,E274),1)*IF(Upgrades!$T$15="Local Bubble",POWER(Upgrades!$U$15,G274),1)*IF(Upgrades!$T$16="Local Bubble",POWER(Upgrades!$U$16,H274),1)*IF(Upgrades!$T$17="Local Bubble",POWER(Upgrades!$U$17,I274),1)*IF(Upgrades!$T$18="Local Bubble",POWER(Upgrades!$U$18,J274),1)*IF(Upgrades!$T$19="Local Bubble",POWER(Upgrades!$U$19,K274),1)*IF(Upgrades!$T$20="Local Bubble",POWER(Upgrades!$U$20,L274),1)*IF(Upgrades!$T$21="Local Bubble",POWER(Upgrades!$U$21,M274),1))+(IF(G274=0,0,(Upgrades!$M$15+G274*Upgrades!$N$15)*POWER(Upgrades!$O$15,G274)))*(IF(Upgrades!$T$13="Microlensing",POWER(Upgrades!$U$13,E274),1)*IF(Upgrades!$T$14="Microlensing",POWER(Upgrades!$U$14,F274),1)*IF(Upgrades!$T$16="Microlensing",POWER(Upgrades!$U$16,H274),1)*IF(Upgrades!$T$17="Microlensing",POWER(Upgrades!$U$17,I274),1)*IF(Upgrades!$T$18="Microlensing",POWER(Upgrades!$U$18,J274),1)*IF(Upgrades!$T$19="Microlensing",POWER(Upgrades!$U$19,K274),1)*IF(Upgrades!$T$20="Microlensing",POWER(Upgrades!$U$20,L274),1)*IF(Upgrades!$T$21="Microlensing",POWER(Upgrades!$U$21,M274),1))+(IF(H274=0,0,(Upgrades!$M$16+H274*Upgrades!$N$16)*POWER(Upgrades!$O$16,H274)))*(IF(Upgrades!$T$13="Roche Lobe Overflow",POWER(Upgrades!$U$13,E274),1)*IF(Upgrades!$T$14="Roche Lobe Overflow",POWER(Upgrades!$U$14,F274),1)*IF(Upgrades!$T$15="Roche Lobe Overflow",POWER(Upgrades!$U$15,G274),1)*IF(Upgrades!$T$17="Roche Lobe Overflow",POWER(Upgrades!$U$17,I274),1)*IF(Upgrades!$T$18="Roche Lobe Overflow",POWER(Upgrades!$U$18,J274),1)*IF(Upgrades!$T$19="Roche Lobe Overflow",POWER(Upgrades!$U$19,K274),1)*IF(Upgrades!$T$20="Roche Lobe Overflow",POWER(Upgrades!$U$20,L274),1)*IF(Upgrades!$T$21="Roche Lobe Overflow",POWER(Upgrades!$U$21,M274),1))+(IF(I274=0,0,(Upgrades!$M$17+I274*Upgrades!$N$17)*POWER(Upgrades!$O$17,I274)))*(IF(Upgrades!$T$13="Brown Dwarf",POWER(Upgrades!$U$13,E274),1)*IF(Upgrades!$T$14="Brown Dwarf",POWER(Upgrades!$U$14,F274),1)*IF(Upgrades!$T$15="Brown Dwarf",POWER(Upgrades!$U$15,G274),1)*IF(Upgrades!$T$16="Brown Dwarf",POWER(Upgrades!$U$16,H274),1)*IF(Upgrades!$T$18="Brown Dwarf",POWER(Upgrades!$U$18,J274),1)*IF(Upgrades!$T$19="Brown Dwarf",POWER(Upgrades!$U$19,K274),1)*IF(Upgrades!$T$20="Brown Dwarf",POWER(Upgrades!$U$20,L274),1)*IF(Upgrades!$T$21="Brown Dwarf",POWER(Upgrades!$U$21,M274),1))+(IF(J274=0,0,(Upgrades!$M$18+J274*Upgrades!$N$18)*POWER(Upgrades!$O$18,J274)))*(IF(Upgrades!$T$13="Binary Partner",POWER(Upgrades!$U$13,E274),1)*IF(Upgrades!$T$14="Binary Partner",POWER(Upgrades!$U$14,F274),1)*IF(Upgrades!$T$15="Binary Partner",POWER(Upgrades!$U$15,G274),1)*IF(Upgrades!$T$16="Binary Partner",POWER(Upgrades!$U$16,H274),1)*IF(Upgrades!$T$17="Binary Partner",POWER(Upgrades!$U$17,I274),1)*IF(Upgrades!$T$19="Binary Partner",POWER(Upgrades!$U$19,K274),1)*IF(Upgrades!$T$20="Binary Partner",POWER(Upgrades!$U$20,L274),1)*IF(Upgrades!$T$21="Binary Partner",POWER(Upgrades!$U$21,M274),1))+(IF(K274=0,0,(Upgrades!$M$19+K274*Upgrades!$N$19)*POWER(Upgrades!$O$19,K274)))*(IF(Upgrades!$T$13="Peculiar Velocity",POWER(Upgrades!$U$13,E274),1)*IF(Upgrades!$T$14="Peculiar Velocity",POWER(Upgrades!$U$14,F274),1)*IF(Upgrades!$T$15="Peculiar Velocity",POWER(Upgrades!$U$15,G274),1)*IF(Upgrades!$T$16="Peculiar Velocity",POWER(Upgrades!$U$16,H274),1)*IF(Upgrades!$T$17="Peculiar Velocity",POWER(Upgrades!$U$17,I274),1)*IF(Upgrades!$T$18="Peculiar Velocity",POWER(Upgrades!$U$18,J274),1)*IF(Upgrades!$T$20="Peculiar Velocity",POWER(Upgrades!$U$20,L274),1)*IF(Upgrades!$T$21="Peculiar Velocity",POWER(Upgrades!$U$21,M274),1))+(IF(L274=0,0,(Upgrades!$M$20+L274*Upgrades!$N$20)*POWER(Upgrades!$O$20,L274)))*(IF(Upgrades!$T$13="Open Cluster",POWER(Upgrades!$U$13,E274),1)*IF(Upgrades!$T$14="Open Cluster",POWER(Upgrades!$U$14,F274),1)*IF(Upgrades!$T$15="Open Cluster",POWER(Upgrades!$U$15,G274),1)*IF(Upgrades!$T$16="Open Cluster",POWER(Upgrades!$U$16,H274),1)*IF(Upgrades!$T$17="Open Cluster",POWER(Upgrades!$U$17,I274),1)*IF(Upgrades!$T$18="Open Cluster",POWER(Upgrades!$U$18,J274),1)*IF(Upgrades!$T$19="Open Cluster",POWER(Upgrades!$U$19,K274),1)*IF(Upgrades!$T$21="Open Cluster",POWER(Upgrades!$U$21,M274),1))+(IF(M274=0,0,(Upgrades!$M$21+M274*Upgrades!$N$21)*POWER(Upgrades!$O$21,M274)))*(IF(Upgrades!$T$13="Moving Group",POWER(Upgrades!$U$13,E274),1)*IF(Upgrades!$T$14="Moving Group",POWER(Upgrades!$U$14,F274),1)*IF(Upgrades!$T$15="Moving Group",POWER(Upgrades!$U$15,G274),1)*IF(Upgrades!$T$16="Moving Group",POWER(Upgrades!$U$16,H274),1)*IF(Upgrades!$T$17="Moving Group",POWER(Upgrades!$U$17,I274),1)*IF(Upgrades!$T$18="Moving Group",POWER(Upgrades!$U$18,J274),1)*IF(Upgrades!$T$19="Moving Group",POWER(Upgrades!$U$19,K274),1)*IF(Upgrades!$T$20="Moving Group",POWER(Upgrades!$U$20,L274),1)))*POWER(Upgrades!$R$13,E274)*POWER(Upgrades!$R$14,F274)*POWER(Upgrades!$R$15,G274)*POWER(Upgrades!$R$16,H274)*POWER(Upgrades!$R$17,I274)*POWER(Upgrades!$R$18,J274)*POWER(Upgrades!$R$19,K274)*POWER(Upgrades!$R$20,L274)*POWER(Upgrades!$R$21,M274)*$H$6+$E$6</f>
        <v/>
      </c>
      <c r="R274" s="27">
        <f>IF(N274=1,0,O274*Parameters!$B$10/60*Parameters!$B$11*10)</f>
        <v/>
      </c>
      <c r="S274" s="27">
        <f>IF(N274=1,0,Q274*O274*10)</f>
        <v/>
      </c>
      <c r="T274" s="27">
        <f>IF(N274=1,0,R274+S274+P274*10)</f>
        <v/>
      </c>
      <c r="U274" s="33">
        <f>BE274</f>
        <v/>
      </c>
      <c r="V274" s="22">
        <f>IF(U274="",0,IF(U274="transition",0,IF(U274="SK",AK274,IF(U274="LB",AL274,IF(U274="ML",AM274,IF(U274="RLO",AN274,IF(U274="BD",AO274,IF(U274="BiP",AP274,IF(U274="PV",AQ274,IF(U274="OC",AR274,IF(U274="MG",AS274,0))))))))))</f>
        <v/>
      </c>
      <c r="W274" s="27">
        <f>IF(U274="BiP",Upgrades!$F$18,IF(U274="PV",Upgrades!$F$19,IF(U274="OC",Upgrades!$F$20,IF(U274="MG",Upgrades!$F$21,IF(U274="transition",-Parameters!$B$18*Parameters!$B$19,0)))))</f>
        <v/>
      </c>
      <c r="X274" s="22">
        <f>C274+T274-V274</f>
        <v/>
      </c>
      <c r="Y274" s="30">
        <f>O274*Parameters!$B$10/60*Parameters!$B$11+Q274*O274+P274</f>
        <v/>
      </c>
      <c r="Z274" s="34">
        <f>IF(U274="transition","→ Tier 3 (Galactic Arm)",IF(U274="MG","Moving Group — pocket drifts together",IF(U274="OC","Open Cluster acquired",IF(U274="PV","Peculiar Velocity — passive multiplier active",IF(U274="BiP","Binary Partner — pair bond formed",IF(AND(AU274=1,N274=0,AT274&lt;&gt;1),"Cohesion ready (waiting on completionists)","")))))) </f>
        <v/>
      </c>
      <c r="AA274" s="27">
        <f>(IF(E274=0,0,(Upgrades!$G$13+E274*Upgrades!$H$13)*POWER(Upgrades!$I$13,E274)))*(IF(Upgrades!$T$14="Stellar Kinematics",POWER(Upgrades!$U$14,F274),1)*IF(Upgrades!$T$15="Stellar Kinematics",POWER(Upgrades!$U$15,G274),1)*IF(Upgrades!$T$16="Stellar Kinematics",POWER(Upgrades!$U$16,H274),1)*IF(Upgrades!$T$17="Stellar Kinematics",POWER(Upgrades!$U$17,I274),1)*IF(Upgrades!$T$18="Stellar Kinematics",POWER(Upgrades!$U$18,J274),1)*IF(Upgrades!$T$19="Stellar Kinematics",POWER(Upgrades!$U$19,K274),1)*IF(Upgrades!$T$20="Stellar Kinematics",POWER(Upgrades!$U$20,L274),1)*IF(Upgrades!$T$21="Stellar Kinematics",POWER(Upgrades!$U$21,M274),1))*POWER(Upgrades!$P$13,E274)*POWER(Upgrades!$P$14,F274)*POWER(Upgrades!$P$15,G274)*POWER(Upgrades!$P$16,H274)*POWER(Upgrades!$P$17,I274)*POWER(Upgrades!$P$18,J274)*POWER(Upgrades!$P$19,K274)*POWER(Upgrades!$P$20,L274)*POWER(Upgrades!$P$21,M274)*$F$6*60</f>
        <v/>
      </c>
      <c r="AB274" s="27">
        <f>(IF(F274=0,0,(Upgrades!$G$14+F274*Upgrades!$H$14)*POWER(Upgrades!$I$14,F274)))*(IF(Upgrades!$T$13="Local Bubble",POWER(Upgrades!$U$13,E274),1)*IF(Upgrades!$T$15="Local Bubble",POWER(Upgrades!$U$15,G274),1)*IF(Upgrades!$T$16="Local Bubble",POWER(Upgrades!$U$16,H274),1)*IF(Upgrades!$T$17="Local Bubble",POWER(Upgrades!$U$17,I274),1)*IF(Upgrades!$T$18="Local Bubble",POWER(Upgrades!$U$18,J274),1)*IF(Upgrades!$T$19="Local Bubble",POWER(Upgrades!$U$19,K274),1)*IF(Upgrades!$T$20="Local Bubble",POWER(Upgrades!$U$20,L274),1)*IF(Upgrades!$T$21="Local Bubble",POWER(Upgrades!$U$21,M274),1))*POWER(Upgrades!$P$13,E274)*POWER(Upgrades!$P$14,F274)*POWER(Upgrades!$P$15,G274)*POWER(Upgrades!$P$16,H274)*POWER(Upgrades!$P$17,I274)*POWER(Upgrades!$P$18,J274)*POWER(Upgrades!$P$19,K274)*POWER(Upgrades!$P$20,L274)*POWER(Upgrades!$P$21,M274)*$F$6*60</f>
        <v/>
      </c>
      <c r="AC274" s="27">
        <f>(IF(G274=0,0,(Upgrades!$J$15+G274*Upgrades!$K$15)*POWER(Upgrades!$L$15,G274)))*(IF(Upgrades!$T$13="Microlensing",POWER(Upgrades!$U$13,E274),1)*IF(Upgrades!$T$14="Microlensing",POWER(Upgrades!$U$14,F274),1)*IF(Upgrades!$T$16="Microlensing",POWER(Upgrades!$U$16,H274),1)*IF(Upgrades!$T$17="Microlensing",POWER(Upgrades!$U$17,I274),1)*IF(Upgrades!$T$18="Microlensing",POWER(Upgrades!$U$18,J274),1)*IF(Upgrades!$T$19="Microlensing",POWER(Upgrades!$U$19,K274),1)*IF(Upgrades!$T$20="Microlensing",POWER(Upgrades!$U$20,L274),1)*IF(Upgrades!$T$21="Microlensing",POWER(Upgrades!$U$21,M274),1))*POWER(Upgrades!$Q$13,E274)*POWER(Upgrades!$Q$14,F274)*POWER(Upgrades!$Q$15,G274)*POWER(Upgrades!$Q$16,H274)*POWER(Upgrades!$Q$17,I274)*POWER(Upgrades!$Q$18,J274)*POWER(Upgrades!$Q$19,K274)*POWER(Upgrades!$Q$20,L274)*POWER(Upgrades!$Q$21,M274)*$G$6*(Parameters!$B$10*Parameters!$B$11+Q274*60)</f>
        <v/>
      </c>
      <c r="AD274" s="27">
        <f>(IF(H274=0,0,(Upgrades!$M$16+H274*Upgrades!$N$16)*POWER(Upgrades!$O$16,H274)))*(IF(Upgrades!$T$13="Roche Lobe Overflow",POWER(Upgrades!$U$13,E274),1)*IF(Upgrades!$T$14="Roche Lobe Overflow",POWER(Upgrades!$U$14,F274),1)*IF(Upgrades!$T$15="Roche Lobe Overflow",POWER(Upgrades!$U$15,G274),1)*IF(Upgrades!$T$17="Roche Lobe Overflow",POWER(Upgrades!$U$17,I274),1)*IF(Upgrades!$T$18="Roche Lobe Overflow",POWER(Upgrades!$U$18,J274),1)*IF(Upgrades!$T$19="Roche Lobe Overflow",POWER(Upgrades!$U$19,K274),1)*IF(Upgrades!$T$20="Roche Lobe Overflow",POWER(Upgrades!$U$20,L274),1)*IF(Upgrades!$T$21="Roche Lobe Overflow",POWER(Upgrades!$U$21,M274),1))*POWER(Upgrades!$R$13,E274)*POWER(Upgrades!$R$14,F274)*POWER(Upgrades!$R$15,G274)*POWER(Upgrades!$R$16,H274)*POWER(Upgrades!$R$17,I274)*POWER(Upgrades!$R$18,J274)*POWER(Upgrades!$R$19,K274)*POWER(Upgrades!$R$20,L274)*POWER(Upgrades!$R$21,M274)*$H$6*O274*60</f>
        <v/>
      </c>
      <c r="AE274" s="27">
        <f>(IF(I274=0,0,(Upgrades!$G$17+I274*Upgrades!$H$17)*POWER(Upgrades!$I$17,I274)))*(IF(Upgrades!$T$13="Brown Dwarf",POWER(Upgrades!$U$13,E274),1)*IF(Upgrades!$T$14="Brown Dwarf",POWER(Upgrades!$U$14,F274),1)*IF(Upgrades!$T$15="Brown Dwarf",POWER(Upgrades!$U$15,G274),1)*IF(Upgrades!$T$16="Brown Dwarf",POWER(Upgrades!$U$16,H274),1)*IF(Upgrades!$T$18="Brown Dwarf",POWER(Upgrades!$U$18,J274),1)*IF(Upgrades!$T$19="Brown Dwarf",POWER(Upgrades!$U$19,K274),1)*IF(Upgrades!$T$20="Brown Dwarf",POWER(Upgrades!$U$20,L274),1)*IF(Upgrades!$T$21="Brown Dwarf",POWER(Upgrades!$U$21,M274),1))*POWER(Upgrades!$P$13,E274)*POWER(Upgrades!$P$14,F274)*POWER(Upgrades!$P$15,G274)*POWER(Upgrades!$P$16,H274)*POWER(Upgrades!$P$17,I274)*POWER(Upgrades!$P$18,J274)*POWER(Upgrades!$P$19,K274)*POWER(Upgrades!$P$20,L274)*POWER(Upgrades!$P$21,M274)*$F$6*60</f>
        <v/>
      </c>
      <c r="AF274" s="27" t="n">
        <v>0</v>
      </c>
      <c r="AG274" s="27" t="n">
        <v>0</v>
      </c>
      <c r="AH274" s="27" t="n">
        <v>0</v>
      </c>
      <c r="AI274" s="27">
        <f>(IF(M274=0,0,(Upgrades!$G$21+M274*Upgrades!$H$21)*POWER(Upgrades!$I$21,M274)))*(IF(Upgrades!$T$13="Moving Group",POWER(Upgrades!$U$13,E274),1)*IF(Upgrades!$T$14="Moving Group",POWER(Upgrades!$U$14,F274),1)*IF(Upgrades!$T$15="Moving Group",POWER(Upgrades!$U$15,G274),1)*IF(Upgrades!$T$16="Moving Group",POWER(Upgrades!$U$16,H274),1)*IF(Upgrades!$T$17="Moving Group",POWER(Upgrades!$U$17,I274),1)*IF(Upgrades!$T$18="Moving Group",POWER(Upgrades!$U$18,J274),1)*IF(Upgrades!$T$19="Moving Group",POWER(Upgrades!$U$19,K274),1)*IF(Upgrades!$T$20="Moving Group",POWER(Upgrades!$U$20,L274),1))*POWER(Upgrades!$P$13,E274)*POWER(Upgrades!$P$14,F274)*POWER(Upgrades!$P$15,G274)*POWER(Upgrades!$P$16,H274)*POWER(Upgrades!$P$17,I274)*POWER(Upgrades!$P$18,J274)*POWER(Upgrades!$P$19,K274)*POWER(Upgrades!$P$20,L274)*POWER(Upgrades!$P$21,M274)*$F$6*60</f>
        <v/>
      </c>
      <c r="AJ274" s="27">
        <f>$C$6*60</f>
        <v/>
      </c>
      <c r="AK274" s="22">
        <f>IF(E274&gt;=Upgrades!$E$13,"",Upgrades!$C$13*POWER(Upgrades!$D$13,E274))</f>
        <v/>
      </c>
      <c r="AL274" s="22">
        <f>IF(F274&gt;=Upgrades!$E$14,"",Upgrades!$C$14*POWER(Upgrades!$D$14,F274))</f>
        <v/>
      </c>
      <c r="AM274" s="22">
        <f>IF(G274&gt;=Upgrades!$E$15,"",Upgrades!$C$15*POWER(Upgrades!$D$15,G274))</f>
        <v/>
      </c>
      <c r="AN274" s="22">
        <f>IF(H274&gt;=Upgrades!$E$16,"",Upgrades!$C$16*POWER(Upgrades!$D$16,H274))</f>
        <v/>
      </c>
      <c r="AO274" s="22">
        <f>IF(I274&gt;=Upgrades!$E$17,"",Upgrades!$C$17*POWER(Upgrades!$D$17,I274))</f>
        <v/>
      </c>
      <c r="AP274" s="22">
        <f>IF(J274&gt;=Upgrades!$E$18,"",Upgrades!$C$18*POWER(Upgrades!$D$18,J274))</f>
        <v/>
      </c>
      <c r="AQ274" s="22">
        <f>IF(K274&gt;=Upgrades!$E$19,"",Upgrades!$C$19*POWER(Upgrades!$D$19,K274))</f>
        <v/>
      </c>
      <c r="AR274" s="22">
        <f>IF(L274&gt;=Upgrades!$E$20,"",Upgrades!$C$20*POWER(Upgrades!$D$20,L274))</f>
        <v/>
      </c>
      <c r="AS274" s="22">
        <f>IF(M274&gt;=Upgrades!$E$21,"",Upgrades!$C$21*POWER(Upgrades!$D$21,M274))</f>
        <v/>
      </c>
      <c r="AT274" s="26">
        <f>IF(AND(D274&gt;=Parameters!$B$18*Parameters!$B$19,(I274&gt;=Upgrades!$E$17)*(M274&gt;=Upgrades!$E$21)=1,N274=0),1,"")</f>
        <v/>
      </c>
      <c r="AU274" s="26">
        <f>IF(AND(D274&gt;=Parameters!$B$18*Parameters!$B$19,N274=0),1,"")</f>
        <v/>
      </c>
      <c r="AV274" s="22">
        <f>MIN(IF(ISNUMBER(AP274),AP274,9E15),IF(ISNUMBER(AQ274),AQ274,9E15),IF(ISNUMBER(AR274),AR274,9E15),IF(ISNUMBER(AS274),AS274,9E15))</f>
        <v/>
      </c>
      <c r="AW274" s="22">
        <f>MIN(IF(ISNUMBER(AK274),AK274,9E15),IF(ISNUMBER(AL274),AL274,9E15),IF(ISNUMBER(AM274),AM274,9E15),IF(ISNUMBER(AN274),AN274,9E15),IF(ISNUMBER(AO274),AO274,9E15))</f>
        <v/>
      </c>
      <c r="AX274" s="29">
        <f>IF(BD274&gt;Parameters!$B$21*(MAX(IF(AND(NOT(AND(AU274=1,AT274&lt;&gt;1)),ISNUMBER(AK274),AK274&lt;=(C274+T274)),AY274,0),IF(AND(NOT(AND(AU274=1,AT274&lt;&gt;1)),ISNUMBER(AL274),AL274&lt;=(C274+T274)),AZ274,0),IF(AND(NOT(AND(AU274=1,AT274&lt;&gt;1)),ISNUMBER(AM274),AM274&lt;=(C274+T274)),BA274,0),IF(AND(NOT(AND(AU274=1,AT274&lt;&gt;1)),ISNUMBER(AN274),AN274&lt;=(C274+T274)),BB274,0),IF(AND(ISNUMBER(AO274),AO274&lt;=(C274+T274)),BC274,0))),TRUE,FALSE)</f>
        <v/>
      </c>
      <c r="AY274" s="32">
        <f>IFERROR(Upgrades!$H$13*(POWER(Upgrades!$P$13,E274)*POWER(Upgrades!$P$14,F274)*POWER(Upgrades!$P$15,G274)*POWER(Upgrades!$P$16,H274)*POWER(Upgrades!$P$17,I274)*POWER(Upgrades!$P$18,J274)*POWER(Upgrades!$P$19,K274)*POWER(Upgrades!$P$20,L274)*POWER(Upgrades!$P$21,M274))*(IF(Upgrades!$T$14="Stellar Kinematics",POWER(Upgrades!$U$14,F274),1)*IF(Upgrades!$T$15="Stellar Kinematics",POWER(Upgrades!$U$15,G274),1)*IF(Upgrades!$T$16="Stellar Kinematics",POWER(Upgrades!$U$16,H274),1)*IF(Upgrades!$T$17="Stellar Kinematics",POWER(Upgrades!$U$17,I274),1)*IF(Upgrades!$T$18="Stellar Kinematics",POWER(Upgrades!$U$18,J274),1)*IF(Upgrades!$T$19="Stellar Kinematics",POWER(Upgrades!$U$19,K274),1)*IF(Upgrades!$T$20="Stellar Kinematics",POWER(Upgrades!$U$20,L274),1)*IF(Upgrades!$T$21="Stellar Kinematics",POWER(Upgrades!$U$21,M274),1))*$F$6/AK274,0)</f>
        <v/>
      </c>
      <c r="AZ274" s="32">
        <f>IFERROR(Upgrades!$H$14*(POWER(Upgrades!$P$13,E274)*POWER(Upgrades!$P$14,F274)*POWER(Upgrades!$P$15,G274)*POWER(Upgrades!$P$16,H274)*POWER(Upgrades!$P$17,I274)*POWER(Upgrades!$P$18,J274)*POWER(Upgrades!$P$19,K274)*POWER(Upgrades!$P$20,L274)*POWER(Upgrades!$P$21,M274))*(IF(Upgrades!$T$13="Local Bubble",POWER(Upgrades!$U$13,E274),1)*IF(Upgrades!$T$15="Local Bubble",POWER(Upgrades!$U$15,G274),1)*IF(Upgrades!$T$16="Local Bubble",POWER(Upgrades!$U$16,H274),1)*IF(Upgrades!$T$17="Local Bubble",POWER(Upgrades!$U$17,I274),1)*IF(Upgrades!$T$18="Local Bubble",POWER(Upgrades!$U$18,J274),1)*IF(Upgrades!$T$19="Local Bubble",POWER(Upgrades!$U$19,K274),1)*IF(Upgrades!$T$20="Local Bubble",POWER(Upgrades!$U$20,L274),1)*IF(Upgrades!$T$21="Local Bubble",POWER(Upgrades!$U$21,M274),1))*$F$6/AL274,0)</f>
        <v/>
      </c>
      <c r="BA274" s="32">
        <f>IFERROR(Upgrades!$K$15*(POWER(Upgrades!$Q$13,E274)*POWER(Upgrades!$Q$14,F274)*POWER(Upgrades!$Q$15,G274)*POWER(Upgrades!$Q$16,H274)*POWER(Upgrades!$Q$17,I274)*POWER(Upgrades!$Q$18,J274)*POWER(Upgrades!$Q$19,K274)*POWER(Upgrades!$Q$20,L274)*POWER(Upgrades!$Q$21,M274))*(IF(Upgrades!$T$13="Microlensing",POWER(Upgrades!$U$13,E274),1)*IF(Upgrades!$T$14="Microlensing",POWER(Upgrades!$U$14,F274),1)*IF(Upgrades!$T$16="Microlensing",POWER(Upgrades!$U$16,H274),1)*IF(Upgrades!$T$17="Microlensing",POWER(Upgrades!$U$17,I274),1)*IF(Upgrades!$T$18="Microlensing",POWER(Upgrades!$U$18,J274),1)*IF(Upgrades!$T$19="Microlensing",POWER(Upgrades!$U$19,K274),1)*IF(Upgrades!$T$20="Microlensing",POWER(Upgrades!$U$20,L274),1)*IF(Upgrades!$T$21="Microlensing",POWER(Upgrades!$U$21,M274),1))*$G$6*(Parameters!$B$10/60*Parameters!$B$11+Q274)/AM274,0)</f>
        <v/>
      </c>
      <c r="BB274" s="32">
        <f>IFERROR((Upgrades!$N$16*(POWER(Upgrades!$R$13,E274)*POWER(Upgrades!$R$14,F274)*POWER(Upgrades!$R$15,G274)*POWER(Upgrades!$R$16,H274)*POWER(Upgrades!$R$17,I274)*POWER(Upgrades!$R$18,J274)*POWER(Upgrades!$R$19,K274)*POWER(Upgrades!$R$20,L274)*POWER(Upgrades!$R$21,M274))*(IF(Upgrades!$T$13="Roche Lobe Overflow",POWER(Upgrades!$U$13,E274),1)*IF(Upgrades!$T$14="Roche Lobe Overflow",POWER(Upgrades!$U$14,F274),1)*IF(Upgrades!$T$15="Roche Lobe Overflow",POWER(Upgrades!$U$15,G274),1)*IF(Upgrades!$T$17="Roche Lobe Overflow",POWER(Upgrades!$U$17,I274),1)*IF(Upgrades!$T$18="Roche Lobe Overflow",POWER(Upgrades!$U$18,J274),1)*IF(Upgrades!$T$19="Roche Lobe Overflow",POWER(Upgrades!$U$19,K274),1)*IF(Upgrades!$T$20="Roche Lobe Overflow",POWER(Upgrades!$U$20,L274),1)*IF(Upgrades!$T$21="Roche Lobe Overflow",POWER(Upgrades!$U$21,M274),1))*$H$6*O274+((IF(F274=0,0,(Upgrades!$G$14+F274*Upgrades!$H$14)*POWER(Upgrades!$I$14,F274)))*(IF(Upgrades!$T$13="Local Bubble",POWER(Upgrades!$U$13,E274),1)*IF(Upgrades!$T$15="Local Bubble",POWER(Upgrades!$U$15,G274),1)*IF(Upgrades!$T$16="Local Bubble",POWER(Upgrades!$U$16,H274),1)*IF(Upgrades!$T$17="Local Bubble",POWER(Upgrades!$U$17,I274),1)*IF(Upgrades!$T$18="Local Bubble",POWER(Upgrades!$U$18,J274),1)*IF(Upgrades!$T$19="Local Bubble",POWER(Upgrades!$U$19,K274),1)*IF(Upgrades!$T$20="Local Bubble",POWER(Upgrades!$U$20,L274),1)*IF(Upgrades!$T$21="Local Bubble",POWER(Upgrades!$U$21,M274),1))*POWER(Upgrades!$P$13,E274)*POWER(Upgrades!$P$14,F274)*POWER(Upgrades!$P$15,G274)*POWER(Upgrades!$P$16,H274)*POWER(Upgrades!$P$17,I274)*POWER(Upgrades!$P$18,J274)*POWER(Upgrades!$P$19,K274)*POWER(Upgrades!$P$20,L274)*POWER(Upgrades!$P$21,M274)*$F$6)*0.05)/AN274,0)</f>
        <v/>
      </c>
      <c r="BC274" s="32">
        <f>IFERROR((Upgrades!$H$17*(POWER(Upgrades!$P$13,E274)*POWER(Upgrades!$P$14,F274)*POWER(Upgrades!$P$15,G274)*POWER(Upgrades!$P$16,H274)*POWER(Upgrades!$P$17,I274)*POWER(Upgrades!$P$18,J274)*POWER(Upgrades!$P$19,K274)*POWER(Upgrades!$P$20,L274)*POWER(Upgrades!$P$21,M274))*(IF(Upgrades!$T$13="Brown Dwarf",POWER(Upgrades!$U$13,E274),1)*IF(Upgrades!$T$14="Brown Dwarf",POWER(Upgrades!$U$14,F274),1)*IF(Upgrades!$T$15="Brown Dwarf",POWER(Upgrades!$U$15,G274),1)*IF(Upgrades!$T$16="Brown Dwarf",POWER(Upgrades!$U$16,H274),1)*IF(Upgrades!$T$18="Brown Dwarf",POWER(Upgrades!$U$18,J274),1)*IF(Upgrades!$T$19="Brown Dwarf",POWER(Upgrades!$U$19,K274),1)*IF(Upgrades!$T$20="Brown Dwarf",POWER(Upgrades!$U$20,L274),1)*IF(Upgrades!$T$21="Brown Dwarf",POWER(Upgrades!$U$21,M274),1))*$F$6+(((IF(H274=0,0,(Upgrades!$M$16+H274*Upgrades!$N$16)*POWER(Upgrades!$O$16,H274)))*(IF(Upgrades!$T$13="Roche Lobe Overflow",POWER(Upgrades!$U$13,E274),1)*IF(Upgrades!$T$14="Roche Lobe Overflow",POWER(Upgrades!$U$14,F274),1)*IF(Upgrades!$T$15="Roche Lobe Overflow",POWER(Upgrades!$U$15,G274),1)*IF(Upgrades!$T$17="Roche Lobe Overflow",POWER(Upgrades!$U$17,I274),1)*IF(Upgrades!$T$18="Roche Lobe Overflow",POWER(Upgrades!$U$18,J274),1)*IF(Upgrades!$T$19="Roche Lobe Overflow",POWER(Upgrades!$U$19,K274),1)*IF(Upgrades!$T$20="Roche Lobe Overflow",POWER(Upgrades!$U$20,L274),1)*IF(Upgrades!$T$21="Roche Lobe Overflow",POWER(Upgrades!$U$21,M274),1))*POWER(Upgrades!$R$13,E274)*POWER(Upgrades!$R$14,F274)*POWER(Upgrades!$R$15,G274)*POWER(Upgrades!$R$16,H274)*POWER(Upgrades!$R$17,I274)*POWER(Upgrades!$R$18,J274)*POWER(Upgrades!$R$19,K274)*POWER(Upgrades!$R$20,L274)*POWER(Upgrades!$R$21,M274)*$H$6)*O274)*0.10)/AO274,0)</f>
        <v/>
      </c>
      <c r="BD274" s="32">
        <f>MAX(IF(J274&gt;0,0,IFERROR(0.5*((IF(G274=0,0,(Upgrades!$J$15+G274*Upgrades!$K$15)*POWER(Upgrades!$L$15,G274)))*(IF(Upgrades!$T$13="Microlensing",POWER(Upgrades!$U$13,E274),1)*IF(Upgrades!$T$14="Microlensing",POWER(Upgrades!$U$14,F274),1)*IF(Upgrades!$T$16="Microlensing",POWER(Upgrades!$U$16,H274),1)*IF(Upgrades!$T$17="Microlensing",POWER(Upgrades!$U$17,I274),1)*IF(Upgrades!$T$18="Microlensing",POWER(Upgrades!$U$18,J274),1)*IF(Upgrades!$T$19="Microlensing",POWER(Upgrades!$U$19,K274),1)*IF(Upgrades!$T$20="Microlensing",POWER(Upgrades!$U$20,L274),1)*IF(Upgrades!$T$21="Microlensing",POWER(Upgrades!$U$21,M274),1))*(POWER(Upgrades!$Q$13,E274)*POWER(Upgrades!$Q$14,F274)*POWER(Upgrades!$Q$15,G274)*POWER(Upgrades!$Q$16,H274)*POWER(Upgrades!$Q$17,I274)*POWER(Upgrades!$Q$18,J274)*POWER(Upgrades!$Q$19,K274)*POWER(Upgrades!$Q$20,L274)*POWER(Upgrades!$Q$21,M274))*$G$6*(Parameters!$B$10/60*Parameters!$B$11+Q274))/Upgrades!$C$18,0)),IF(K274&gt;0,0,IFERROR(0.30*P274/Upgrades!$C$19,0)),IF(L274&gt;0,0,IFERROR(0.0001/Upgrades!$C$20,0)),IF(M274&gt;0,0,IFERROR((6.0*(POWER(Upgrades!$P$13,E274)*POWER(Upgrades!$P$14,F274)*POWER(Upgrades!$P$15,G274)*POWER(Upgrades!$P$16,H274)*POWER(Upgrades!$P$17,I274)*POWER(Upgrades!$P$18,J274)*POWER(Upgrades!$P$19,K274)*POWER(Upgrades!$P$20,L274)*POWER(Upgrades!$P$21,M274))*$F$6+0.20*O274*(Parameters!$B$10/60*Parameters!$B$11+Q274))/Upgrades!$C$21,0)),IF(AND(ISNUMBER(AK274),AK274&gt;(C274+T274)),AY274,0),IF(AND(ISNUMBER(AL274),AL274&gt;(C274+T274)),AZ274,0),IF(AND(ISNUMBER(AM274),AM274&gt;(C274+T274)),BA274,0),IF(AND(ISNUMBER(AN274),AN274&gt;(C274+T274)),BB274,0),IF(AND(ISNUMBER(AO274),AO274&gt;(C274+T274)),BC274,0))</f>
        <v/>
      </c>
      <c r="BE274" s="29">
        <f>IF(AT274=1,"transition",IF(MIN(IF(AND(J274=0,ISNUMBER(AP274),AP274&lt;=(C274+T274)),AP274,9E15),IF(AND(K274=0,ISNUMBER(AQ274),AQ274&lt;=(C274+T274)),AQ274,9E15),IF(AND(L274=0,ISNUMBER(AR274),AR274&lt;=(C274+T274)),AR274,9E15),IF(AND(M274=0,ISNUMBER(AS274),AS274&lt;=(C274+T274)),AS274,9E15))&lt;9E15,IF(AND(AND(J274=0,ISNUMBER(AP274),AP274&lt;=(C274+T274)),AP274=MIN(IF(AND(J274=0,ISNUMBER(AP274),AP274&lt;=(C274+T274)),AP274,9E15),IF(AND(K274=0,ISNUMBER(AQ274),AQ274&lt;=(C274+T274)),AQ274,9E15),IF(AND(L274=0,ISNUMBER(AR274),AR274&lt;=(C274+T274)),AR274,9E15),IF(AND(M274=0,ISNUMBER(AS274),AS274&lt;=(C274+T274)),AS274,9E15))),"BiP",IF(AND(AND(K274=0,ISNUMBER(AQ274),AQ274&lt;=(C274+T274)),AQ274=MIN(IF(AND(J274=0,ISNUMBER(AP274),AP274&lt;=(C274+T274)),AP274,9E15),IF(AND(K274=0,ISNUMBER(AQ274),AQ274&lt;=(C274+T274)),AQ274,9E15),IF(AND(L274=0,ISNUMBER(AR274),AR274&lt;=(C274+T274)),AR274,9E15),IF(AND(M274=0,ISNUMBER(AS274),AS274&lt;=(C274+T274)),AS274,9E15))),"PV",IF(AND(AND(L274=0,ISNUMBER(AR274),AR274&lt;=(C274+T274)),AR274=MIN(IF(AND(J274=0,ISNUMBER(AP274),AP274&lt;=(C274+T274)),AP274,9E15),IF(AND(K274=0,ISNUMBER(AQ274),AQ274&lt;=(C274+T274)),AQ274,9E15),IF(AND(L274=0,ISNUMBER(AR274),AR274&lt;=(C274+T274)),AR274,9E15),IF(AND(M274=0,ISNUMBER(AS274),AS274&lt;=(C274+T274)),AS274,9E15))),"OC","MG"))),IF(AX274=TRUE,"",IF(MAX(IF(AND(NOT(AND(AU274=1,AT274&lt;&gt;1)),ISNUMBER(AK274),AK274&lt;=(C274+T274)),AY274,0),IF(AND(NOT(AND(AU274=1,AT274&lt;&gt;1)),ISNUMBER(AL274),AL274&lt;=(C274+T274)),AZ274,0),IF(AND(NOT(AND(AU274=1,AT274&lt;&gt;1)),ISNUMBER(AM274),AM274&lt;=(C274+T274)),BA274,0),IF(AND(NOT(AND(AU274=1,AT274&lt;&gt;1)),ISNUMBER(AN274),AN274&lt;=(C274+T274)),BB274,0),IF(AND(ISNUMBER(AO274),AO274&lt;=(C274+T274)),BC274,0))&lt;=0,"",IF(AND(IF(AND(NOT(AND(AU274=1,AT274&lt;&gt;1)),ISNUMBER(AK274),AK274&lt;=(C274+T274)),AY274,0)&gt;0,IF(AND(NOT(AND(AU274=1,AT274&lt;&gt;1)),ISNUMBER(AK274),AK274&lt;=(C274+T274)),AY274,0)=MAX(IF(AND(NOT(AND(AU274=1,AT274&lt;&gt;1)),ISNUMBER(AK274),AK274&lt;=(C274+T274)),AY274,0),IF(AND(NOT(AND(AU274=1,AT274&lt;&gt;1)),ISNUMBER(AL274),AL274&lt;=(C274+T274)),AZ274,0),IF(AND(NOT(AND(AU274=1,AT274&lt;&gt;1)),ISNUMBER(AM274),AM274&lt;=(C274+T274)),BA274,0),IF(AND(NOT(AND(AU274=1,AT274&lt;&gt;1)),ISNUMBER(AN274),AN274&lt;=(C274+T274)),BB274,0),IF(AND(ISNUMBER(AO274),AO274&lt;=(C274+T274)),BC274,0))),"SK",IF(AND(IF(AND(NOT(AND(AU274=1,AT274&lt;&gt;1)),ISNUMBER(AL274),AL274&lt;=(C274+T274)),AZ274,0)&gt;0,IF(AND(NOT(AND(AU274=1,AT274&lt;&gt;1)),ISNUMBER(AL274),AL274&lt;=(C274+T274)),AZ274,0)=MAX(IF(AND(NOT(AND(AU274=1,AT274&lt;&gt;1)),ISNUMBER(AK274),AK274&lt;=(C274+T274)),AY274,0),IF(AND(NOT(AND(AU274=1,AT274&lt;&gt;1)),ISNUMBER(AL274),AL274&lt;=(C274+T274)),AZ274,0),IF(AND(NOT(AND(AU274=1,AT274&lt;&gt;1)),ISNUMBER(AM274),AM274&lt;=(C274+T274)),BA274,0),IF(AND(NOT(AND(AU274=1,AT274&lt;&gt;1)),ISNUMBER(AN274),AN274&lt;=(C274+T274)),BB274,0),IF(AND(ISNUMBER(AO274),AO274&lt;=(C274+T274)),BC274,0))),"LB",IF(AND(IF(AND(NOT(AND(AU274=1,AT274&lt;&gt;1)),ISNUMBER(AM274),AM274&lt;=(C274+T274)),BA274,0)&gt;0,IF(AND(NOT(AND(AU274=1,AT274&lt;&gt;1)),ISNUMBER(AM274),AM274&lt;=(C274+T274)),BA274,0)=MAX(IF(AND(NOT(AND(AU274=1,AT274&lt;&gt;1)),ISNUMBER(AK274),AK274&lt;=(C274+T274)),AY274,0),IF(AND(NOT(AND(AU274=1,AT274&lt;&gt;1)),ISNUMBER(AL274),AL274&lt;=(C274+T274)),AZ274,0),IF(AND(NOT(AND(AU274=1,AT274&lt;&gt;1)),ISNUMBER(AM274),AM274&lt;=(C274+T274)),BA274,0),IF(AND(NOT(AND(AU274=1,AT274&lt;&gt;1)),ISNUMBER(AN274),AN274&lt;=(C274+T274)),BB274,0),IF(AND(ISNUMBER(AO274),AO274&lt;=(C274+T274)),BC274,0))),"ML",IF(AND(IF(AND(NOT(AND(AU274=1,AT274&lt;&gt;1)),ISNUMBER(AN274),AN274&lt;=(C274+T274)),BB274,0)&gt;0,IF(AND(NOT(AND(AU274=1,AT274&lt;&gt;1)),ISNUMBER(AN274),AN274&lt;=(C274+T274)),BB274,0)=MAX(IF(AND(NOT(AND(AU274=1,AT274&lt;&gt;1)),ISNUMBER(AK274),AK274&lt;=(C274+T274)),AY274,0),IF(AND(NOT(AND(AU274=1,AT274&lt;&gt;1)),ISNUMBER(AL274),AL274&lt;=(C274+T274)),AZ274,0),IF(AND(NOT(AND(AU274=1,AT274&lt;&gt;1)),ISNUMBER(AM274),AM274&lt;=(C274+T274)),BA274,0),IF(AND(NOT(AND(AU274=1,AT274&lt;&gt;1)),ISNUMBER(AN274),AN274&lt;=(C274+T274)),BB274,0),IF(AND(ISNUMBER(AO274),AO274&lt;=(C274+T274)),BC274,0))),"RLO","BD"))))))))</f>
        <v/>
      </c>
    </row>
    <row r="275">
      <c r="A275" s="26" t="n">
        <v>264</v>
      </c>
      <c r="B275" s="27">
        <f>A275*10/60</f>
        <v/>
      </c>
      <c r="C275" s="22">
        <f>X274</f>
        <v/>
      </c>
      <c r="D275" s="27">
        <f>D274+W274</f>
        <v/>
      </c>
      <c r="E275" s="26">
        <f>E274+IF(U274="SK",1,0)</f>
        <v/>
      </c>
      <c r="F275" s="26">
        <f>F274+IF(U274="LB",1,0)</f>
        <v/>
      </c>
      <c r="G275" s="26">
        <f>G274+IF(U274="ML",1,0)</f>
        <v/>
      </c>
      <c r="H275" s="26">
        <f>H274+IF(U274="RLO",1,0)</f>
        <v/>
      </c>
      <c r="I275" s="26">
        <f>I274+IF(U274="BD",1,0)</f>
        <v/>
      </c>
      <c r="J275" s="26">
        <f>MAX(J274,IF(U274="BiP",1,0))</f>
        <v/>
      </c>
      <c r="K275" s="26">
        <f>MAX(K274,IF(U274="PV",1,0))</f>
        <v/>
      </c>
      <c r="L275" s="26">
        <f>MAX(L274,IF(U274="OC",1,0))</f>
        <v/>
      </c>
      <c r="M275" s="26">
        <f>MAX(M274,IF(U274="MG",1,0))</f>
        <v/>
      </c>
      <c r="N275" s="26">
        <f>MAX(N274,IF(U274="transition",1,0))</f>
        <v/>
      </c>
      <c r="O275" s="28">
        <f>(Parameters!$B$9+(IF(E275=0,0,(Upgrades!$J$13+E275*Upgrades!$K$13)*POWER(Upgrades!$L$13,E275)))*(IF(Upgrades!$T$14="Stellar Kinematics",POWER(Upgrades!$U$14,F275),1)*IF(Upgrades!$T$15="Stellar Kinematics",POWER(Upgrades!$U$15,G275),1)*IF(Upgrades!$T$16="Stellar Kinematics",POWER(Upgrades!$U$16,H275),1)*IF(Upgrades!$T$17="Stellar Kinematics",POWER(Upgrades!$U$17,I275),1)*IF(Upgrades!$T$18="Stellar Kinematics",POWER(Upgrades!$U$18,J275),1)*IF(Upgrades!$T$19="Stellar Kinematics",POWER(Upgrades!$U$19,K275),1)*IF(Upgrades!$T$20="Stellar Kinematics",POWER(Upgrades!$U$20,L275),1)*IF(Upgrades!$T$21="Stellar Kinematics",POWER(Upgrades!$U$21,M275),1))+(IF(F275=0,0,(Upgrades!$J$14+F275*Upgrades!$K$14)*POWER(Upgrades!$L$14,F275)))*(IF(Upgrades!$T$13="Local Bubble",POWER(Upgrades!$U$13,E275),1)*IF(Upgrades!$T$15="Local Bubble",POWER(Upgrades!$U$15,G275),1)*IF(Upgrades!$T$16="Local Bubble",POWER(Upgrades!$U$16,H275),1)*IF(Upgrades!$T$17="Local Bubble",POWER(Upgrades!$U$17,I275),1)*IF(Upgrades!$T$18="Local Bubble",POWER(Upgrades!$U$18,J275),1)*IF(Upgrades!$T$19="Local Bubble",POWER(Upgrades!$U$19,K275),1)*IF(Upgrades!$T$20="Local Bubble",POWER(Upgrades!$U$20,L275),1)*IF(Upgrades!$T$21="Local Bubble",POWER(Upgrades!$U$21,M275),1))+(IF(G275=0,0,(Upgrades!$J$15+G275*Upgrades!$K$15)*POWER(Upgrades!$L$15,G275)))*(IF(Upgrades!$T$13="Microlensing",POWER(Upgrades!$U$13,E275),1)*IF(Upgrades!$T$14="Microlensing",POWER(Upgrades!$U$14,F275),1)*IF(Upgrades!$T$16="Microlensing",POWER(Upgrades!$U$16,H275),1)*IF(Upgrades!$T$17="Microlensing",POWER(Upgrades!$U$17,I275),1)*IF(Upgrades!$T$18="Microlensing",POWER(Upgrades!$U$18,J275),1)*IF(Upgrades!$T$19="Microlensing",POWER(Upgrades!$U$19,K275),1)*IF(Upgrades!$T$20="Microlensing",POWER(Upgrades!$U$20,L275),1)*IF(Upgrades!$T$21="Microlensing",POWER(Upgrades!$U$21,M275),1))+(IF(H275=0,0,(Upgrades!$J$16+H275*Upgrades!$K$16)*POWER(Upgrades!$L$16,H275)))*(IF(Upgrades!$T$13="Roche Lobe Overflow",POWER(Upgrades!$U$13,E275),1)*IF(Upgrades!$T$14="Roche Lobe Overflow",POWER(Upgrades!$U$14,F275),1)*IF(Upgrades!$T$15="Roche Lobe Overflow",POWER(Upgrades!$U$15,G275),1)*IF(Upgrades!$T$17="Roche Lobe Overflow",POWER(Upgrades!$U$17,I275),1)*IF(Upgrades!$T$18="Roche Lobe Overflow",POWER(Upgrades!$U$18,J275),1)*IF(Upgrades!$T$19="Roche Lobe Overflow",POWER(Upgrades!$U$19,K275),1)*IF(Upgrades!$T$20="Roche Lobe Overflow",POWER(Upgrades!$U$20,L275),1)*IF(Upgrades!$T$21="Roche Lobe Overflow",POWER(Upgrades!$U$21,M275),1))+(IF(I275=0,0,(Upgrades!$J$17+I275*Upgrades!$K$17)*POWER(Upgrades!$L$17,I275)))*(IF(Upgrades!$T$13="Brown Dwarf",POWER(Upgrades!$U$13,E275),1)*IF(Upgrades!$T$14="Brown Dwarf",POWER(Upgrades!$U$14,F275),1)*IF(Upgrades!$T$15="Brown Dwarf",POWER(Upgrades!$U$15,G275),1)*IF(Upgrades!$T$16="Brown Dwarf",POWER(Upgrades!$U$16,H275),1)*IF(Upgrades!$T$18="Brown Dwarf",POWER(Upgrades!$U$18,J275),1)*IF(Upgrades!$T$19="Brown Dwarf",POWER(Upgrades!$U$19,K275),1)*IF(Upgrades!$T$20="Brown Dwarf",POWER(Upgrades!$U$20,L275),1)*IF(Upgrades!$T$21="Brown Dwarf",POWER(Upgrades!$U$21,M275),1))+(IF(J275=0,0,(Upgrades!$J$18+J275*Upgrades!$K$18)*POWER(Upgrades!$L$18,J275)))*(IF(Upgrades!$T$13="Binary Partner",POWER(Upgrades!$U$13,E275),1)*IF(Upgrades!$T$14="Binary Partner",POWER(Upgrades!$U$14,F275),1)*IF(Upgrades!$T$15="Binary Partner",POWER(Upgrades!$U$15,G275),1)*IF(Upgrades!$T$16="Binary Partner",POWER(Upgrades!$U$16,H275),1)*IF(Upgrades!$T$17="Binary Partner",POWER(Upgrades!$U$17,I275),1)*IF(Upgrades!$T$19="Binary Partner",POWER(Upgrades!$U$19,K275),1)*IF(Upgrades!$T$20="Binary Partner",POWER(Upgrades!$U$20,L275),1)*IF(Upgrades!$T$21="Binary Partner",POWER(Upgrades!$U$21,M275),1))+(IF(K275=0,0,(Upgrades!$J$19+K275*Upgrades!$K$19)*POWER(Upgrades!$L$19,K275)))*(IF(Upgrades!$T$13="Peculiar Velocity",POWER(Upgrades!$U$13,E275),1)*IF(Upgrades!$T$14="Peculiar Velocity",POWER(Upgrades!$U$14,F275),1)*IF(Upgrades!$T$15="Peculiar Velocity",POWER(Upgrades!$U$15,G275),1)*IF(Upgrades!$T$16="Peculiar Velocity",POWER(Upgrades!$U$16,H275),1)*IF(Upgrades!$T$17="Peculiar Velocity",POWER(Upgrades!$U$17,I275),1)*IF(Upgrades!$T$18="Peculiar Velocity",POWER(Upgrades!$U$18,J275),1)*IF(Upgrades!$T$20="Peculiar Velocity",POWER(Upgrades!$U$20,L275),1)*IF(Upgrades!$T$21="Peculiar Velocity",POWER(Upgrades!$U$21,M275),1))+(IF(L275=0,0,(Upgrades!$J$20+L275*Upgrades!$K$20)*POWER(Upgrades!$L$20,L275)))*(IF(Upgrades!$T$13="Open Cluster",POWER(Upgrades!$U$13,E275),1)*IF(Upgrades!$T$14="Open Cluster",POWER(Upgrades!$U$14,F275),1)*IF(Upgrades!$T$15="Open Cluster",POWER(Upgrades!$U$15,G275),1)*IF(Upgrades!$T$16="Open Cluster",POWER(Upgrades!$U$16,H275),1)*IF(Upgrades!$T$17="Open Cluster",POWER(Upgrades!$U$17,I275),1)*IF(Upgrades!$T$18="Open Cluster",POWER(Upgrades!$U$18,J275),1)*IF(Upgrades!$T$19="Open Cluster",POWER(Upgrades!$U$19,K275),1)*IF(Upgrades!$T$21="Open Cluster",POWER(Upgrades!$U$21,M275),1))+(IF(M275=0,0,(Upgrades!$J$21+M275*Upgrades!$K$21)*POWER(Upgrades!$L$21,M275)))*(IF(Upgrades!$T$13="Moving Group",POWER(Upgrades!$U$13,E275),1)*IF(Upgrades!$T$14="Moving Group",POWER(Upgrades!$U$14,F275),1)*IF(Upgrades!$T$15="Moving Group",POWER(Upgrades!$U$15,G275),1)*IF(Upgrades!$T$16="Moving Group",POWER(Upgrades!$U$16,H275),1)*IF(Upgrades!$T$17="Moving Group",POWER(Upgrades!$U$17,I275),1)*IF(Upgrades!$T$18="Moving Group",POWER(Upgrades!$U$18,J275),1)*IF(Upgrades!$T$19="Moving Group",POWER(Upgrades!$U$19,K275),1)*IF(Upgrades!$T$20="Moving Group",POWER(Upgrades!$U$20,L275),1)))*POWER(Upgrades!$Q$13,E275)*POWER(Upgrades!$Q$14,F275)*POWER(Upgrades!$Q$15,G275)*POWER(Upgrades!$Q$16,H275)*POWER(Upgrades!$Q$17,I275)*POWER(Upgrades!$Q$18,J275)*POWER(Upgrades!$Q$19,K275)*POWER(Upgrades!$Q$20,L275)*POWER(Upgrades!$Q$21,M275)*$G$6+$D$6</f>
        <v/>
      </c>
      <c r="P275" s="28">
        <f>((IF(E275=0,0,(Upgrades!$G$13+E275*Upgrades!$H$13)*POWER(Upgrades!$I$13,E275)))*(IF(Upgrades!$T$14="Stellar Kinematics",POWER(Upgrades!$U$14,F275),1)*IF(Upgrades!$T$15="Stellar Kinematics",POWER(Upgrades!$U$15,G275),1)*IF(Upgrades!$T$16="Stellar Kinematics",POWER(Upgrades!$U$16,H275),1)*IF(Upgrades!$T$17="Stellar Kinematics",POWER(Upgrades!$U$17,I275),1)*IF(Upgrades!$T$18="Stellar Kinematics",POWER(Upgrades!$U$18,J275),1)*IF(Upgrades!$T$19="Stellar Kinematics",POWER(Upgrades!$U$19,K275),1)*IF(Upgrades!$T$20="Stellar Kinematics",POWER(Upgrades!$U$20,L275),1)*IF(Upgrades!$T$21="Stellar Kinematics",POWER(Upgrades!$U$21,M275),1))+(IF(F275=0,0,(Upgrades!$G$14+F275*Upgrades!$H$14)*POWER(Upgrades!$I$14,F275)))*(IF(Upgrades!$T$13="Local Bubble",POWER(Upgrades!$U$13,E275),1)*IF(Upgrades!$T$15="Local Bubble",POWER(Upgrades!$U$15,G275),1)*IF(Upgrades!$T$16="Local Bubble",POWER(Upgrades!$U$16,H275),1)*IF(Upgrades!$T$17="Local Bubble",POWER(Upgrades!$U$17,I275),1)*IF(Upgrades!$T$18="Local Bubble",POWER(Upgrades!$U$18,J275),1)*IF(Upgrades!$T$19="Local Bubble",POWER(Upgrades!$U$19,K275),1)*IF(Upgrades!$T$20="Local Bubble",POWER(Upgrades!$U$20,L275),1)*IF(Upgrades!$T$21="Local Bubble",POWER(Upgrades!$U$21,M275),1))+(IF(G275=0,0,(Upgrades!$G$15+G275*Upgrades!$H$15)*POWER(Upgrades!$I$15,G275)))*(IF(Upgrades!$T$13="Microlensing",POWER(Upgrades!$U$13,E275),1)*IF(Upgrades!$T$14="Microlensing",POWER(Upgrades!$U$14,F275),1)*IF(Upgrades!$T$16="Microlensing",POWER(Upgrades!$U$16,H275),1)*IF(Upgrades!$T$17="Microlensing",POWER(Upgrades!$U$17,I275),1)*IF(Upgrades!$T$18="Microlensing",POWER(Upgrades!$U$18,J275),1)*IF(Upgrades!$T$19="Microlensing",POWER(Upgrades!$U$19,K275),1)*IF(Upgrades!$T$20="Microlensing",POWER(Upgrades!$U$20,L275),1)*IF(Upgrades!$T$21="Microlensing",POWER(Upgrades!$U$21,M275),1))+(IF(H275=0,0,(Upgrades!$G$16+H275*Upgrades!$H$16)*POWER(Upgrades!$I$16,H275)))*(IF(Upgrades!$T$13="Roche Lobe Overflow",POWER(Upgrades!$U$13,E275),1)*IF(Upgrades!$T$14="Roche Lobe Overflow",POWER(Upgrades!$U$14,F275),1)*IF(Upgrades!$T$15="Roche Lobe Overflow",POWER(Upgrades!$U$15,G275),1)*IF(Upgrades!$T$17="Roche Lobe Overflow",POWER(Upgrades!$U$17,I275),1)*IF(Upgrades!$T$18="Roche Lobe Overflow",POWER(Upgrades!$U$18,J275),1)*IF(Upgrades!$T$19="Roche Lobe Overflow",POWER(Upgrades!$U$19,K275),1)*IF(Upgrades!$T$20="Roche Lobe Overflow",POWER(Upgrades!$U$20,L275),1)*IF(Upgrades!$T$21="Roche Lobe Overflow",POWER(Upgrades!$U$21,M275),1))+(IF(I275=0,0,(Upgrades!$G$17+I275*Upgrades!$H$17)*POWER(Upgrades!$I$17,I275)))*(IF(Upgrades!$T$13="Brown Dwarf",POWER(Upgrades!$U$13,E275),1)*IF(Upgrades!$T$14="Brown Dwarf",POWER(Upgrades!$U$14,F275),1)*IF(Upgrades!$T$15="Brown Dwarf",POWER(Upgrades!$U$15,G275),1)*IF(Upgrades!$T$16="Brown Dwarf",POWER(Upgrades!$U$16,H275),1)*IF(Upgrades!$T$18="Brown Dwarf",POWER(Upgrades!$U$18,J275),1)*IF(Upgrades!$T$19="Brown Dwarf",POWER(Upgrades!$U$19,K275),1)*IF(Upgrades!$T$20="Brown Dwarf",POWER(Upgrades!$U$20,L275),1)*IF(Upgrades!$T$21="Brown Dwarf",POWER(Upgrades!$U$21,M275),1))+(IF(J275=0,0,(Upgrades!$G$18+J275*Upgrades!$H$18)*POWER(Upgrades!$I$18,J275)))*(IF(Upgrades!$T$13="Binary Partner",POWER(Upgrades!$U$13,E275),1)*IF(Upgrades!$T$14="Binary Partner",POWER(Upgrades!$U$14,F275),1)*IF(Upgrades!$T$15="Binary Partner",POWER(Upgrades!$U$15,G275),1)*IF(Upgrades!$T$16="Binary Partner",POWER(Upgrades!$U$16,H275),1)*IF(Upgrades!$T$17="Binary Partner",POWER(Upgrades!$U$17,I275),1)*IF(Upgrades!$T$19="Binary Partner",POWER(Upgrades!$U$19,K275),1)*IF(Upgrades!$T$20="Binary Partner",POWER(Upgrades!$U$20,L275),1)*IF(Upgrades!$T$21="Binary Partner",POWER(Upgrades!$U$21,M275),1))+(IF(K275=0,0,(Upgrades!$G$19+K275*Upgrades!$H$19)*POWER(Upgrades!$I$19,K275)))*(IF(Upgrades!$T$13="Peculiar Velocity",POWER(Upgrades!$U$13,E275),1)*IF(Upgrades!$T$14="Peculiar Velocity",POWER(Upgrades!$U$14,F275),1)*IF(Upgrades!$T$15="Peculiar Velocity",POWER(Upgrades!$U$15,G275),1)*IF(Upgrades!$T$16="Peculiar Velocity",POWER(Upgrades!$U$16,H275),1)*IF(Upgrades!$T$17="Peculiar Velocity",POWER(Upgrades!$U$17,I275),1)*IF(Upgrades!$T$18="Peculiar Velocity",POWER(Upgrades!$U$18,J275),1)*IF(Upgrades!$T$20="Peculiar Velocity",POWER(Upgrades!$U$20,L275),1)*IF(Upgrades!$T$21="Peculiar Velocity",POWER(Upgrades!$U$21,M275),1))+(IF(L275=0,0,(Upgrades!$G$20+L275*Upgrades!$H$20)*POWER(Upgrades!$I$20,L275)))*(IF(Upgrades!$T$13="Open Cluster",POWER(Upgrades!$U$13,E275),1)*IF(Upgrades!$T$14="Open Cluster",POWER(Upgrades!$U$14,F275),1)*IF(Upgrades!$T$15="Open Cluster",POWER(Upgrades!$U$15,G275),1)*IF(Upgrades!$T$16="Open Cluster",POWER(Upgrades!$U$16,H275),1)*IF(Upgrades!$T$17="Open Cluster",POWER(Upgrades!$U$17,I275),1)*IF(Upgrades!$T$18="Open Cluster",POWER(Upgrades!$U$18,J275),1)*IF(Upgrades!$T$19="Open Cluster",POWER(Upgrades!$U$19,K275),1)*IF(Upgrades!$T$21="Open Cluster",POWER(Upgrades!$U$21,M275),1))+(IF(M275=0,0,(Upgrades!$G$21+M275*Upgrades!$H$21)*POWER(Upgrades!$I$21,M275)))*(IF(Upgrades!$T$13="Moving Group",POWER(Upgrades!$U$13,E275),1)*IF(Upgrades!$T$14="Moving Group",POWER(Upgrades!$U$14,F275),1)*IF(Upgrades!$T$15="Moving Group",POWER(Upgrades!$U$15,G275),1)*IF(Upgrades!$T$16="Moving Group",POWER(Upgrades!$U$16,H275),1)*IF(Upgrades!$T$17="Moving Group",POWER(Upgrades!$U$17,I275),1)*IF(Upgrades!$T$18="Moving Group",POWER(Upgrades!$U$18,J275),1)*IF(Upgrades!$T$19="Moving Group",POWER(Upgrades!$U$19,K275),1)*IF(Upgrades!$T$20="Moving Group",POWER(Upgrades!$U$20,L275),1)))*POWER(Upgrades!$P$13,E275)*POWER(Upgrades!$P$14,F275)*POWER(Upgrades!$P$15,G275)*POWER(Upgrades!$P$16,H275)*POWER(Upgrades!$P$17,I275)*POWER(Upgrades!$P$18,J275)*POWER(Upgrades!$P$19,K275)*POWER(Upgrades!$P$20,L275)*POWER(Upgrades!$P$21,M275)*$F$6+$C$6</f>
        <v/>
      </c>
      <c r="Q275" s="28">
        <f>((IF(E275=0,0,(Upgrades!$M$13+E275*Upgrades!$N$13)*POWER(Upgrades!$O$13,E275)))*(IF(Upgrades!$T$14="Stellar Kinematics",POWER(Upgrades!$U$14,F275),1)*IF(Upgrades!$T$15="Stellar Kinematics",POWER(Upgrades!$U$15,G275),1)*IF(Upgrades!$T$16="Stellar Kinematics",POWER(Upgrades!$U$16,H275),1)*IF(Upgrades!$T$17="Stellar Kinematics",POWER(Upgrades!$U$17,I275),1)*IF(Upgrades!$T$18="Stellar Kinematics",POWER(Upgrades!$U$18,J275),1)*IF(Upgrades!$T$19="Stellar Kinematics",POWER(Upgrades!$U$19,K275),1)*IF(Upgrades!$T$20="Stellar Kinematics",POWER(Upgrades!$U$20,L275),1)*IF(Upgrades!$T$21="Stellar Kinematics",POWER(Upgrades!$U$21,M275),1))+(IF(F275=0,0,(Upgrades!$M$14+F275*Upgrades!$N$14)*POWER(Upgrades!$O$14,F275)))*(IF(Upgrades!$T$13="Local Bubble",POWER(Upgrades!$U$13,E275),1)*IF(Upgrades!$T$15="Local Bubble",POWER(Upgrades!$U$15,G275),1)*IF(Upgrades!$T$16="Local Bubble",POWER(Upgrades!$U$16,H275),1)*IF(Upgrades!$T$17="Local Bubble",POWER(Upgrades!$U$17,I275),1)*IF(Upgrades!$T$18="Local Bubble",POWER(Upgrades!$U$18,J275),1)*IF(Upgrades!$T$19="Local Bubble",POWER(Upgrades!$U$19,K275),1)*IF(Upgrades!$T$20="Local Bubble",POWER(Upgrades!$U$20,L275),1)*IF(Upgrades!$T$21="Local Bubble",POWER(Upgrades!$U$21,M275),1))+(IF(G275=0,0,(Upgrades!$M$15+G275*Upgrades!$N$15)*POWER(Upgrades!$O$15,G275)))*(IF(Upgrades!$T$13="Microlensing",POWER(Upgrades!$U$13,E275),1)*IF(Upgrades!$T$14="Microlensing",POWER(Upgrades!$U$14,F275),1)*IF(Upgrades!$T$16="Microlensing",POWER(Upgrades!$U$16,H275),1)*IF(Upgrades!$T$17="Microlensing",POWER(Upgrades!$U$17,I275),1)*IF(Upgrades!$T$18="Microlensing",POWER(Upgrades!$U$18,J275),1)*IF(Upgrades!$T$19="Microlensing",POWER(Upgrades!$U$19,K275),1)*IF(Upgrades!$T$20="Microlensing",POWER(Upgrades!$U$20,L275),1)*IF(Upgrades!$T$21="Microlensing",POWER(Upgrades!$U$21,M275),1))+(IF(H275=0,0,(Upgrades!$M$16+H275*Upgrades!$N$16)*POWER(Upgrades!$O$16,H275)))*(IF(Upgrades!$T$13="Roche Lobe Overflow",POWER(Upgrades!$U$13,E275),1)*IF(Upgrades!$T$14="Roche Lobe Overflow",POWER(Upgrades!$U$14,F275),1)*IF(Upgrades!$T$15="Roche Lobe Overflow",POWER(Upgrades!$U$15,G275),1)*IF(Upgrades!$T$17="Roche Lobe Overflow",POWER(Upgrades!$U$17,I275),1)*IF(Upgrades!$T$18="Roche Lobe Overflow",POWER(Upgrades!$U$18,J275),1)*IF(Upgrades!$T$19="Roche Lobe Overflow",POWER(Upgrades!$U$19,K275),1)*IF(Upgrades!$T$20="Roche Lobe Overflow",POWER(Upgrades!$U$20,L275),1)*IF(Upgrades!$T$21="Roche Lobe Overflow",POWER(Upgrades!$U$21,M275),1))+(IF(I275=0,0,(Upgrades!$M$17+I275*Upgrades!$N$17)*POWER(Upgrades!$O$17,I275)))*(IF(Upgrades!$T$13="Brown Dwarf",POWER(Upgrades!$U$13,E275),1)*IF(Upgrades!$T$14="Brown Dwarf",POWER(Upgrades!$U$14,F275),1)*IF(Upgrades!$T$15="Brown Dwarf",POWER(Upgrades!$U$15,G275),1)*IF(Upgrades!$T$16="Brown Dwarf",POWER(Upgrades!$U$16,H275),1)*IF(Upgrades!$T$18="Brown Dwarf",POWER(Upgrades!$U$18,J275),1)*IF(Upgrades!$T$19="Brown Dwarf",POWER(Upgrades!$U$19,K275),1)*IF(Upgrades!$T$20="Brown Dwarf",POWER(Upgrades!$U$20,L275),1)*IF(Upgrades!$T$21="Brown Dwarf",POWER(Upgrades!$U$21,M275),1))+(IF(J275=0,0,(Upgrades!$M$18+J275*Upgrades!$N$18)*POWER(Upgrades!$O$18,J275)))*(IF(Upgrades!$T$13="Binary Partner",POWER(Upgrades!$U$13,E275),1)*IF(Upgrades!$T$14="Binary Partner",POWER(Upgrades!$U$14,F275),1)*IF(Upgrades!$T$15="Binary Partner",POWER(Upgrades!$U$15,G275),1)*IF(Upgrades!$T$16="Binary Partner",POWER(Upgrades!$U$16,H275),1)*IF(Upgrades!$T$17="Binary Partner",POWER(Upgrades!$U$17,I275),1)*IF(Upgrades!$T$19="Binary Partner",POWER(Upgrades!$U$19,K275),1)*IF(Upgrades!$T$20="Binary Partner",POWER(Upgrades!$U$20,L275),1)*IF(Upgrades!$T$21="Binary Partner",POWER(Upgrades!$U$21,M275),1))+(IF(K275=0,0,(Upgrades!$M$19+K275*Upgrades!$N$19)*POWER(Upgrades!$O$19,K275)))*(IF(Upgrades!$T$13="Peculiar Velocity",POWER(Upgrades!$U$13,E275),1)*IF(Upgrades!$T$14="Peculiar Velocity",POWER(Upgrades!$U$14,F275),1)*IF(Upgrades!$T$15="Peculiar Velocity",POWER(Upgrades!$U$15,G275),1)*IF(Upgrades!$T$16="Peculiar Velocity",POWER(Upgrades!$U$16,H275),1)*IF(Upgrades!$T$17="Peculiar Velocity",POWER(Upgrades!$U$17,I275),1)*IF(Upgrades!$T$18="Peculiar Velocity",POWER(Upgrades!$U$18,J275),1)*IF(Upgrades!$T$20="Peculiar Velocity",POWER(Upgrades!$U$20,L275),1)*IF(Upgrades!$T$21="Peculiar Velocity",POWER(Upgrades!$U$21,M275),1))+(IF(L275=0,0,(Upgrades!$M$20+L275*Upgrades!$N$20)*POWER(Upgrades!$O$20,L275)))*(IF(Upgrades!$T$13="Open Cluster",POWER(Upgrades!$U$13,E275),1)*IF(Upgrades!$T$14="Open Cluster",POWER(Upgrades!$U$14,F275),1)*IF(Upgrades!$T$15="Open Cluster",POWER(Upgrades!$U$15,G275),1)*IF(Upgrades!$T$16="Open Cluster",POWER(Upgrades!$U$16,H275),1)*IF(Upgrades!$T$17="Open Cluster",POWER(Upgrades!$U$17,I275),1)*IF(Upgrades!$T$18="Open Cluster",POWER(Upgrades!$U$18,J275),1)*IF(Upgrades!$T$19="Open Cluster",POWER(Upgrades!$U$19,K275),1)*IF(Upgrades!$T$21="Open Cluster",POWER(Upgrades!$U$21,M275),1))+(IF(M275=0,0,(Upgrades!$M$21+M275*Upgrades!$N$21)*POWER(Upgrades!$O$21,M275)))*(IF(Upgrades!$T$13="Moving Group",POWER(Upgrades!$U$13,E275),1)*IF(Upgrades!$T$14="Moving Group",POWER(Upgrades!$U$14,F275),1)*IF(Upgrades!$T$15="Moving Group",POWER(Upgrades!$U$15,G275),1)*IF(Upgrades!$T$16="Moving Group",POWER(Upgrades!$U$16,H275),1)*IF(Upgrades!$T$17="Moving Group",POWER(Upgrades!$U$17,I275),1)*IF(Upgrades!$T$18="Moving Group",POWER(Upgrades!$U$18,J275),1)*IF(Upgrades!$T$19="Moving Group",POWER(Upgrades!$U$19,K275),1)*IF(Upgrades!$T$20="Moving Group",POWER(Upgrades!$U$20,L275),1)))*POWER(Upgrades!$R$13,E275)*POWER(Upgrades!$R$14,F275)*POWER(Upgrades!$R$15,G275)*POWER(Upgrades!$R$16,H275)*POWER(Upgrades!$R$17,I275)*POWER(Upgrades!$R$18,J275)*POWER(Upgrades!$R$19,K275)*POWER(Upgrades!$R$20,L275)*POWER(Upgrades!$R$21,M275)*$H$6+$E$6</f>
        <v/>
      </c>
      <c r="R275" s="27">
        <f>IF(N275=1,0,O275*Parameters!$B$10/60*Parameters!$B$11*10)</f>
        <v/>
      </c>
      <c r="S275" s="27">
        <f>IF(N275=1,0,Q275*O275*10)</f>
        <v/>
      </c>
      <c r="T275" s="27">
        <f>IF(N275=1,0,R275+S275+P275*10)</f>
        <v/>
      </c>
      <c r="U275" s="33">
        <f>BE275</f>
        <v/>
      </c>
      <c r="V275" s="22">
        <f>IF(U275="",0,IF(U275="transition",0,IF(U275="SK",AK275,IF(U275="LB",AL275,IF(U275="ML",AM275,IF(U275="RLO",AN275,IF(U275="BD",AO275,IF(U275="BiP",AP275,IF(U275="PV",AQ275,IF(U275="OC",AR275,IF(U275="MG",AS275,0))))))))))</f>
        <v/>
      </c>
      <c r="W275" s="27">
        <f>IF(U275="BiP",Upgrades!$F$18,IF(U275="PV",Upgrades!$F$19,IF(U275="OC",Upgrades!$F$20,IF(U275="MG",Upgrades!$F$21,IF(U275="transition",-Parameters!$B$18*Parameters!$B$19,0)))))</f>
        <v/>
      </c>
      <c r="X275" s="22">
        <f>C275+T275-V275</f>
        <v/>
      </c>
      <c r="Y275" s="30">
        <f>O275*Parameters!$B$10/60*Parameters!$B$11+Q275*O275+P275</f>
        <v/>
      </c>
      <c r="Z275" s="34">
        <f>IF(U275="transition","→ Tier 3 (Galactic Arm)",IF(U275="MG","Moving Group — pocket drifts together",IF(U275="OC","Open Cluster acquired",IF(U275="PV","Peculiar Velocity — passive multiplier active",IF(U275="BiP","Binary Partner — pair bond formed",IF(AND(AU275=1,N275=0,AT275&lt;&gt;1),"Cohesion ready (waiting on completionists)","")))))) </f>
        <v/>
      </c>
      <c r="AA275" s="27">
        <f>(IF(E275=0,0,(Upgrades!$G$13+E275*Upgrades!$H$13)*POWER(Upgrades!$I$13,E275)))*(IF(Upgrades!$T$14="Stellar Kinematics",POWER(Upgrades!$U$14,F275),1)*IF(Upgrades!$T$15="Stellar Kinematics",POWER(Upgrades!$U$15,G275),1)*IF(Upgrades!$T$16="Stellar Kinematics",POWER(Upgrades!$U$16,H275),1)*IF(Upgrades!$T$17="Stellar Kinematics",POWER(Upgrades!$U$17,I275),1)*IF(Upgrades!$T$18="Stellar Kinematics",POWER(Upgrades!$U$18,J275),1)*IF(Upgrades!$T$19="Stellar Kinematics",POWER(Upgrades!$U$19,K275),1)*IF(Upgrades!$T$20="Stellar Kinematics",POWER(Upgrades!$U$20,L275),1)*IF(Upgrades!$T$21="Stellar Kinematics",POWER(Upgrades!$U$21,M275),1))*POWER(Upgrades!$P$13,E275)*POWER(Upgrades!$P$14,F275)*POWER(Upgrades!$P$15,G275)*POWER(Upgrades!$P$16,H275)*POWER(Upgrades!$P$17,I275)*POWER(Upgrades!$P$18,J275)*POWER(Upgrades!$P$19,K275)*POWER(Upgrades!$P$20,L275)*POWER(Upgrades!$P$21,M275)*$F$6*60</f>
        <v/>
      </c>
      <c r="AB275" s="27">
        <f>(IF(F275=0,0,(Upgrades!$G$14+F275*Upgrades!$H$14)*POWER(Upgrades!$I$14,F275)))*(IF(Upgrades!$T$13="Local Bubble",POWER(Upgrades!$U$13,E275),1)*IF(Upgrades!$T$15="Local Bubble",POWER(Upgrades!$U$15,G275),1)*IF(Upgrades!$T$16="Local Bubble",POWER(Upgrades!$U$16,H275),1)*IF(Upgrades!$T$17="Local Bubble",POWER(Upgrades!$U$17,I275),1)*IF(Upgrades!$T$18="Local Bubble",POWER(Upgrades!$U$18,J275),1)*IF(Upgrades!$T$19="Local Bubble",POWER(Upgrades!$U$19,K275),1)*IF(Upgrades!$T$20="Local Bubble",POWER(Upgrades!$U$20,L275),1)*IF(Upgrades!$T$21="Local Bubble",POWER(Upgrades!$U$21,M275),1))*POWER(Upgrades!$P$13,E275)*POWER(Upgrades!$P$14,F275)*POWER(Upgrades!$P$15,G275)*POWER(Upgrades!$P$16,H275)*POWER(Upgrades!$P$17,I275)*POWER(Upgrades!$P$18,J275)*POWER(Upgrades!$P$19,K275)*POWER(Upgrades!$P$20,L275)*POWER(Upgrades!$P$21,M275)*$F$6*60</f>
        <v/>
      </c>
      <c r="AC275" s="27">
        <f>(IF(G275=0,0,(Upgrades!$J$15+G275*Upgrades!$K$15)*POWER(Upgrades!$L$15,G275)))*(IF(Upgrades!$T$13="Microlensing",POWER(Upgrades!$U$13,E275),1)*IF(Upgrades!$T$14="Microlensing",POWER(Upgrades!$U$14,F275),1)*IF(Upgrades!$T$16="Microlensing",POWER(Upgrades!$U$16,H275),1)*IF(Upgrades!$T$17="Microlensing",POWER(Upgrades!$U$17,I275),1)*IF(Upgrades!$T$18="Microlensing",POWER(Upgrades!$U$18,J275),1)*IF(Upgrades!$T$19="Microlensing",POWER(Upgrades!$U$19,K275),1)*IF(Upgrades!$T$20="Microlensing",POWER(Upgrades!$U$20,L275),1)*IF(Upgrades!$T$21="Microlensing",POWER(Upgrades!$U$21,M275),1))*POWER(Upgrades!$Q$13,E275)*POWER(Upgrades!$Q$14,F275)*POWER(Upgrades!$Q$15,G275)*POWER(Upgrades!$Q$16,H275)*POWER(Upgrades!$Q$17,I275)*POWER(Upgrades!$Q$18,J275)*POWER(Upgrades!$Q$19,K275)*POWER(Upgrades!$Q$20,L275)*POWER(Upgrades!$Q$21,M275)*$G$6*(Parameters!$B$10*Parameters!$B$11+Q275*60)</f>
        <v/>
      </c>
      <c r="AD275" s="27">
        <f>(IF(H275=0,0,(Upgrades!$M$16+H275*Upgrades!$N$16)*POWER(Upgrades!$O$16,H275)))*(IF(Upgrades!$T$13="Roche Lobe Overflow",POWER(Upgrades!$U$13,E275),1)*IF(Upgrades!$T$14="Roche Lobe Overflow",POWER(Upgrades!$U$14,F275),1)*IF(Upgrades!$T$15="Roche Lobe Overflow",POWER(Upgrades!$U$15,G275),1)*IF(Upgrades!$T$17="Roche Lobe Overflow",POWER(Upgrades!$U$17,I275),1)*IF(Upgrades!$T$18="Roche Lobe Overflow",POWER(Upgrades!$U$18,J275),1)*IF(Upgrades!$T$19="Roche Lobe Overflow",POWER(Upgrades!$U$19,K275),1)*IF(Upgrades!$T$20="Roche Lobe Overflow",POWER(Upgrades!$U$20,L275),1)*IF(Upgrades!$T$21="Roche Lobe Overflow",POWER(Upgrades!$U$21,M275),1))*POWER(Upgrades!$R$13,E275)*POWER(Upgrades!$R$14,F275)*POWER(Upgrades!$R$15,G275)*POWER(Upgrades!$R$16,H275)*POWER(Upgrades!$R$17,I275)*POWER(Upgrades!$R$18,J275)*POWER(Upgrades!$R$19,K275)*POWER(Upgrades!$R$20,L275)*POWER(Upgrades!$R$21,M275)*$H$6*O275*60</f>
        <v/>
      </c>
      <c r="AE275" s="27">
        <f>(IF(I275=0,0,(Upgrades!$G$17+I275*Upgrades!$H$17)*POWER(Upgrades!$I$17,I275)))*(IF(Upgrades!$T$13="Brown Dwarf",POWER(Upgrades!$U$13,E275),1)*IF(Upgrades!$T$14="Brown Dwarf",POWER(Upgrades!$U$14,F275),1)*IF(Upgrades!$T$15="Brown Dwarf",POWER(Upgrades!$U$15,G275),1)*IF(Upgrades!$T$16="Brown Dwarf",POWER(Upgrades!$U$16,H275),1)*IF(Upgrades!$T$18="Brown Dwarf",POWER(Upgrades!$U$18,J275),1)*IF(Upgrades!$T$19="Brown Dwarf",POWER(Upgrades!$U$19,K275),1)*IF(Upgrades!$T$20="Brown Dwarf",POWER(Upgrades!$U$20,L275),1)*IF(Upgrades!$T$21="Brown Dwarf",POWER(Upgrades!$U$21,M275),1))*POWER(Upgrades!$P$13,E275)*POWER(Upgrades!$P$14,F275)*POWER(Upgrades!$P$15,G275)*POWER(Upgrades!$P$16,H275)*POWER(Upgrades!$P$17,I275)*POWER(Upgrades!$P$18,J275)*POWER(Upgrades!$P$19,K275)*POWER(Upgrades!$P$20,L275)*POWER(Upgrades!$P$21,M275)*$F$6*60</f>
        <v/>
      </c>
      <c r="AF275" s="27" t="n">
        <v>0</v>
      </c>
      <c r="AG275" s="27" t="n">
        <v>0</v>
      </c>
      <c r="AH275" s="27" t="n">
        <v>0</v>
      </c>
      <c r="AI275" s="27">
        <f>(IF(M275=0,0,(Upgrades!$G$21+M275*Upgrades!$H$21)*POWER(Upgrades!$I$21,M275)))*(IF(Upgrades!$T$13="Moving Group",POWER(Upgrades!$U$13,E275),1)*IF(Upgrades!$T$14="Moving Group",POWER(Upgrades!$U$14,F275),1)*IF(Upgrades!$T$15="Moving Group",POWER(Upgrades!$U$15,G275),1)*IF(Upgrades!$T$16="Moving Group",POWER(Upgrades!$U$16,H275),1)*IF(Upgrades!$T$17="Moving Group",POWER(Upgrades!$U$17,I275),1)*IF(Upgrades!$T$18="Moving Group",POWER(Upgrades!$U$18,J275),1)*IF(Upgrades!$T$19="Moving Group",POWER(Upgrades!$U$19,K275),1)*IF(Upgrades!$T$20="Moving Group",POWER(Upgrades!$U$20,L275),1))*POWER(Upgrades!$P$13,E275)*POWER(Upgrades!$P$14,F275)*POWER(Upgrades!$P$15,G275)*POWER(Upgrades!$P$16,H275)*POWER(Upgrades!$P$17,I275)*POWER(Upgrades!$P$18,J275)*POWER(Upgrades!$P$19,K275)*POWER(Upgrades!$P$20,L275)*POWER(Upgrades!$P$21,M275)*$F$6*60</f>
        <v/>
      </c>
      <c r="AJ275" s="27">
        <f>$C$6*60</f>
        <v/>
      </c>
      <c r="AK275" s="22">
        <f>IF(E275&gt;=Upgrades!$E$13,"",Upgrades!$C$13*POWER(Upgrades!$D$13,E275))</f>
        <v/>
      </c>
      <c r="AL275" s="22">
        <f>IF(F275&gt;=Upgrades!$E$14,"",Upgrades!$C$14*POWER(Upgrades!$D$14,F275))</f>
        <v/>
      </c>
      <c r="AM275" s="22">
        <f>IF(G275&gt;=Upgrades!$E$15,"",Upgrades!$C$15*POWER(Upgrades!$D$15,G275))</f>
        <v/>
      </c>
      <c r="AN275" s="22">
        <f>IF(H275&gt;=Upgrades!$E$16,"",Upgrades!$C$16*POWER(Upgrades!$D$16,H275))</f>
        <v/>
      </c>
      <c r="AO275" s="22">
        <f>IF(I275&gt;=Upgrades!$E$17,"",Upgrades!$C$17*POWER(Upgrades!$D$17,I275))</f>
        <v/>
      </c>
      <c r="AP275" s="22">
        <f>IF(J275&gt;=Upgrades!$E$18,"",Upgrades!$C$18*POWER(Upgrades!$D$18,J275))</f>
        <v/>
      </c>
      <c r="AQ275" s="22">
        <f>IF(K275&gt;=Upgrades!$E$19,"",Upgrades!$C$19*POWER(Upgrades!$D$19,K275))</f>
        <v/>
      </c>
      <c r="AR275" s="22">
        <f>IF(L275&gt;=Upgrades!$E$20,"",Upgrades!$C$20*POWER(Upgrades!$D$20,L275))</f>
        <v/>
      </c>
      <c r="AS275" s="22">
        <f>IF(M275&gt;=Upgrades!$E$21,"",Upgrades!$C$21*POWER(Upgrades!$D$21,M275))</f>
        <v/>
      </c>
      <c r="AT275" s="26">
        <f>IF(AND(D275&gt;=Parameters!$B$18*Parameters!$B$19,(I275&gt;=Upgrades!$E$17)*(M275&gt;=Upgrades!$E$21)=1,N275=0),1,"")</f>
        <v/>
      </c>
      <c r="AU275" s="26">
        <f>IF(AND(D275&gt;=Parameters!$B$18*Parameters!$B$19,N275=0),1,"")</f>
        <v/>
      </c>
      <c r="AV275" s="22">
        <f>MIN(IF(ISNUMBER(AP275),AP275,9E15),IF(ISNUMBER(AQ275),AQ275,9E15),IF(ISNUMBER(AR275),AR275,9E15),IF(ISNUMBER(AS275),AS275,9E15))</f>
        <v/>
      </c>
      <c r="AW275" s="22">
        <f>MIN(IF(ISNUMBER(AK275),AK275,9E15),IF(ISNUMBER(AL275),AL275,9E15),IF(ISNUMBER(AM275),AM275,9E15),IF(ISNUMBER(AN275),AN275,9E15),IF(ISNUMBER(AO275),AO275,9E15))</f>
        <v/>
      </c>
      <c r="AX275" s="29">
        <f>IF(BD275&gt;Parameters!$B$21*(MAX(IF(AND(NOT(AND(AU275=1,AT275&lt;&gt;1)),ISNUMBER(AK275),AK275&lt;=(C275+T275)),AY275,0),IF(AND(NOT(AND(AU275=1,AT275&lt;&gt;1)),ISNUMBER(AL275),AL275&lt;=(C275+T275)),AZ275,0),IF(AND(NOT(AND(AU275=1,AT275&lt;&gt;1)),ISNUMBER(AM275),AM275&lt;=(C275+T275)),BA275,0),IF(AND(NOT(AND(AU275=1,AT275&lt;&gt;1)),ISNUMBER(AN275),AN275&lt;=(C275+T275)),BB275,0),IF(AND(ISNUMBER(AO275),AO275&lt;=(C275+T275)),BC275,0))),TRUE,FALSE)</f>
        <v/>
      </c>
      <c r="AY275" s="32">
        <f>IFERROR(Upgrades!$H$13*(POWER(Upgrades!$P$13,E275)*POWER(Upgrades!$P$14,F275)*POWER(Upgrades!$P$15,G275)*POWER(Upgrades!$P$16,H275)*POWER(Upgrades!$P$17,I275)*POWER(Upgrades!$P$18,J275)*POWER(Upgrades!$P$19,K275)*POWER(Upgrades!$P$20,L275)*POWER(Upgrades!$P$21,M275))*(IF(Upgrades!$T$14="Stellar Kinematics",POWER(Upgrades!$U$14,F275),1)*IF(Upgrades!$T$15="Stellar Kinematics",POWER(Upgrades!$U$15,G275),1)*IF(Upgrades!$T$16="Stellar Kinematics",POWER(Upgrades!$U$16,H275),1)*IF(Upgrades!$T$17="Stellar Kinematics",POWER(Upgrades!$U$17,I275),1)*IF(Upgrades!$T$18="Stellar Kinematics",POWER(Upgrades!$U$18,J275),1)*IF(Upgrades!$T$19="Stellar Kinematics",POWER(Upgrades!$U$19,K275),1)*IF(Upgrades!$T$20="Stellar Kinematics",POWER(Upgrades!$U$20,L275),1)*IF(Upgrades!$T$21="Stellar Kinematics",POWER(Upgrades!$U$21,M275),1))*$F$6/AK275,0)</f>
        <v/>
      </c>
      <c r="AZ275" s="32">
        <f>IFERROR(Upgrades!$H$14*(POWER(Upgrades!$P$13,E275)*POWER(Upgrades!$P$14,F275)*POWER(Upgrades!$P$15,G275)*POWER(Upgrades!$P$16,H275)*POWER(Upgrades!$P$17,I275)*POWER(Upgrades!$P$18,J275)*POWER(Upgrades!$P$19,K275)*POWER(Upgrades!$P$20,L275)*POWER(Upgrades!$P$21,M275))*(IF(Upgrades!$T$13="Local Bubble",POWER(Upgrades!$U$13,E275),1)*IF(Upgrades!$T$15="Local Bubble",POWER(Upgrades!$U$15,G275),1)*IF(Upgrades!$T$16="Local Bubble",POWER(Upgrades!$U$16,H275),1)*IF(Upgrades!$T$17="Local Bubble",POWER(Upgrades!$U$17,I275),1)*IF(Upgrades!$T$18="Local Bubble",POWER(Upgrades!$U$18,J275),1)*IF(Upgrades!$T$19="Local Bubble",POWER(Upgrades!$U$19,K275),1)*IF(Upgrades!$T$20="Local Bubble",POWER(Upgrades!$U$20,L275),1)*IF(Upgrades!$T$21="Local Bubble",POWER(Upgrades!$U$21,M275),1))*$F$6/AL275,0)</f>
        <v/>
      </c>
      <c r="BA275" s="32">
        <f>IFERROR(Upgrades!$K$15*(POWER(Upgrades!$Q$13,E275)*POWER(Upgrades!$Q$14,F275)*POWER(Upgrades!$Q$15,G275)*POWER(Upgrades!$Q$16,H275)*POWER(Upgrades!$Q$17,I275)*POWER(Upgrades!$Q$18,J275)*POWER(Upgrades!$Q$19,K275)*POWER(Upgrades!$Q$20,L275)*POWER(Upgrades!$Q$21,M275))*(IF(Upgrades!$T$13="Microlensing",POWER(Upgrades!$U$13,E275),1)*IF(Upgrades!$T$14="Microlensing",POWER(Upgrades!$U$14,F275),1)*IF(Upgrades!$T$16="Microlensing",POWER(Upgrades!$U$16,H275),1)*IF(Upgrades!$T$17="Microlensing",POWER(Upgrades!$U$17,I275),1)*IF(Upgrades!$T$18="Microlensing",POWER(Upgrades!$U$18,J275),1)*IF(Upgrades!$T$19="Microlensing",POWER(Upgrades!$U$19,K275),1)*IF(Upgrades!$T$20="Microlensing",POWER(Upgrades!$U$20,L275),1)*IF(Upgrades!$T$21="Microlensing",POWER(Upgrades!$U$21,M275),1))*$G$6*(Parameters!$B$10/60*Parameters!$B$11+Q275)/AM275,0)</f>
        <v/>
      </c>
      <c r="BB275" s="32">
        <f>IFERROR((Upgrades!$N$16*(POWER(Upgrades!$R$13,E275)*POWER(Upgrades!$R$14,F275)*POWER(Upgrades!$R$15,G275)*POWER(Upgrades!$R$16,H275)*POWER(Upgrades!$R$17,I275)*POWER(Upgrades!$R$18,J275)*POWER(Upgrades!$R$19,K275)*POWER(Upgrades!$R$20,L275)*POWER(Upgrades!$R$21,M275))*(IF(Upgrades!$T$13="Roche Lobe Overflow",POWER(Upgrades!$U$13,E275),1)*IF(Upgrades!$T$14="Roche Lobe Overflow",POWER(Upgrades!$U$14,F275),1)*IF(Upgrades!$T$15="Roche Lobe Overflow",POWER(Upgrades!$U$15,G275),1)*IF(Upgrades!$T$17="Roche Lobe Overflow",POWER(Upgrades!$U$17,I275),1)*IF(Upgrades!$T$18="Roche Lobe Overflow",POWER(Upgrades!$U$18,J275),1)*IF(Upgrades!$T$19="Roche Lobe Overflow",POWER(Upgrades!$U$19,K275),1)*IF(Upgrades!$T$20="Roche Lobe Overflow",POWER(Upgrades!$U$20,L275),1)*IF(Upgrades!$T$21="Roche Lobe Overflow",POWER(Upgrades!$U$21,M275),1))*$H$6*O275+((IF(F275=0,0,(Upgrades!$G$14+F275*Upgrades!$H$14)*POWER(Upgrades!$I$14,F275)))*(IF(Upgrades!$T$13="Local Bubble",POWER(Upgrades!$U$13,E275),1)*IF(Upgrades!$T$15="Local Bubble",POWER(Upgrades!$U$15,G275),1)*IF(Upgrades!$T$16="Local Bubble",POWER(Upgrades!$U$16,H275),1)*IF(Upgrades!$T$17="Local Bubble",POWER(Upgrades!$U$17,I275),1)*IF(Upgrades!$T$18="Local Bubble",POWER(Upgrades!$U$18,J275),1)*IF(Upgrades!$T$19="Local Bubble",POWER(Upgrades!$U$19,K275),1)*IF(Upgrades!$T$20="Local Bubble",POWER(Upgrades!$U$20,L275),1)*IF(Upgrades!$T$21="Local Bubble",POWER(Upgrades!$U$21,M275),1))*POWER(Upgrades!$P$13,E275)*POWER(Upgrades!$P$14,F275)*POWER(Upgrades!$P$15,G275)*POWER(Upgrades!$P$16,H275)*POWER(Upgrades!$P$17,I275)*POWER(Upgrades!$P$18,J275)*POWER(Upgrades!$P$19,K275)*POWER(Upgrades!$P$20,L275)*POWER(Upgrades!$P$21,M275)*$F$6)*0.05)/AN275,0)</f>
        <v/>
      </c>
      <c r="BC275" s="32">
        <f>IFERROR((Upgrades!$H$17*(POWER(Upgrades!$P$13,E275)*POWER(Upgrades!$P$14,F275)*POWER(Upgrades!$P$15,G275)*POWER(Upgrades!$P$16,H275)*POWER(Upgrades!$P$17,I275)*POWER(Upgrades!$P$18,J275)*POWER(Upgrades!$P$19,K275)*POWER(Upgrades!$P$20,L275)*POWER(Upgrades!$P$21,M275))*(IF(Upgrades!$T$13="Brown Dwarf",POWER(Upgrades!$U$13,E275),1)*IF(Upgrades!$T$14="Brown Dwarf",POWER(Upgrades!$U$14,F275),1)*IF(Upgrades!$T$15="Brown Dwarf",POWER(Upgrades!$U$15,G275),1)*IF(Upgrades!$T$16="Brown Dwarf",POWER(Upgrades!$U$16,H275),1)*IF(Upgrades!$T$18="Brown Dwarf",POWER(Upgrades!$U$18,J275),1)*IF(Upgrades!$T$19="Brown Dwarf",POWER(Upgrades!$U$19,K275),1)*IF(Upgrades!$T$20="Brown Dwarf",POWER(Upgrades!$U$20,L275),1)*IF(Upgrades!$T$21="Brown Dwarf",POWER(Upgrades!$U$21,M275),1))*$F$6+(((IF(H275=0,0,(Upgrades!$M$16+H275*Upgrades!$N$16)*POWER(Upgrades!$O$16,H275)))*(IF(Upgrades!$T$13="Roche Lobe Overflow",POWER(Upgrades!$U$13,E275),1)*IF(Upgrades!$T$14="Roche Lobe Overflow",POWER(Upgrades!$U$14,F275),1)*IF(Upgrades!$T$15="Roche Lobe Overflow",POWER(Upgrades!$U$15,G275),1)*IF(Upgrades!$T$17="Roche Lobe Overflow",POWER(Upgrades!$U$17,I275),1)*IF(Upgrades!$T$18="Roche Lobe Overflow",POWER(Upgrades!$U$18,J275),1)*IF(Upgrades!$T$19="Roche Lobe Overflow",POWER(Upgrades!$U$19,K275),1)*IF(Upgrades!$T$20="Roche Lobe Overflow",POWER(Upgrades!$U$20,L275),1)*IF(Upgrades!$T$21="Roche Lobe Overflow",POWER(Upgrades!$U$21,M275),1))*POWER(Upgrades!$R$13,E275)*POWER(Upgrades!$R$14,F275)*POWER(Upgrades!$R$15,G275)*POWER(Upgrades!$R$16,H275)*POWER(Upgrades!$R$17,I275)*POWER(Upgrades!$R$18,J275)*POWER(Upgrades!$R$19,K275)*POWER(Upgrades!$R$20,L275)*POWER(Upgrades!$R$21,M275)*$H$6)*O275)*0.10)/AO275,0)</f>
        <v/>
      </c>
      <c r="BD275" s="32">
        <f>MAX(IF(J275&gt;0,0,IFERROR(0.5*((IF(G275=0,0,(Upgrades!$J$15+G275*Upgrades!$K$15)*POWER(Upgrades!$L$15,G275)))*(IF(Upgrades!$T$13="Microlensing",POWER(Upgrades!$U$13,E275),1)*IF(Upgrades!$T$14="Microlensing",POWER(Upgrades!$U$14,F275),1)*IF(Upgrades!$T$16="Microlensing",POWER(Upgrades!$U$16,H275),1)*IF(Upgrades!$T$17="Microlensing",POWER(Upgrades!$U$17,I275),1)*IF(Upgrades!$T$18="Microlensing",POWER(Upgrades!$U$18,J275),1)*IF(Upgrades!$T$19="Microlensing",POWER(Upgrades!$U$19,K275),1)*IF(Upgrades!$T$20="Microlensing",POWER(Upgrades!$U$20,L275),1)*IF(Upgrades!$T$21="Microlensing",POWER(Upgrades!$U$21,M275),1))*(POWER(Upgrades!$Q$13,E275)*POWER(Upgrades!$Q$14,F275)*POWER(Upgrades!$Q$15,G275)*POWER(Upgrades!$Q$16,H275)*POWER(Upgrades!$Q$17,I275)*POWER(Upgrades!$Q$18,J275)*POWER(Upgrades!$Q$19,K275)*POWER(Upgrades!$Q$20,L275)*POWER(Upgrades!$Q$21,M275))*$G$6*(Parameters!$B$10/60*Parameters!$B$11+Q275))/Upgrades!$C$18,0)),IF(K275&gt;0,0,IFERROR(0.30*P275/Upgrades!$C$19,0)),IF(L275&gt;0,0,IFERROR(0.0001/Upgrades!$C$20,0)),IF(M275&gt;0,0,IFERROR((6.0*(POWER(Upgrades!$P$13,E275)*POWER(Upgrades!$P$14,F275)*POWER(Upgrades!$P$15,G275)*POWER(Upgrades!$P$16,H275)*POWER(Upgrades!$P$17,I275)*POWER(Upgrades!$P$18,J275)*POWER(Upgrades!$P$19,K275)*POWER(Upgrades!$P$20,L275)*POWER(Upgrades!$P$21,M275))*$F$6+0.20*O275*(Parameters!$B$10/60*Parameters!$B$11+Q275))/Upgrades!$C$21,0)),IF(AND(ISNUMBER(AK275),AK275&gt;(C275+T275)),AY275,0),IF(AND(ISNUMBER(AL275),AL275&gt;(C275+T275)),AZ275,0),IF(AND(ISNUMBER(AM275),AM275&gt;(C275+T275)),BA275,0),IF(AND(ISNUMBER(AN275),AN275&gt;(C275+T275)),BB275,0),IF(AND(ISNUMBER(AO275),AO275&gt;(C275+T275)),BC275,0))</f>
        <v/>
      </c>
      <c r="BE275" s="29">
        <f>IF(AT275=1,"transition",IF(MIN(IF(AND(J275=0,ISNUMBER(AP275),AP275&lt;=(C275+T275)),AP275,9E15),IF(AND(K275=0,ISNUMBER(AQ275),AQ275&lt;=(C275+T275)),AQ275,9E15),IF(AND(L275=0,ISNUMBER(AR275),AR275&lt;=(C275+T275)),AR275,9E15),IF(AND(M275=0,ISNUMBER(AS275),AS275&lt;=(C275+T275)),AS275,9E15))&lt;9E15,IF(AND(AND(J275=0,ISNUMBER(AP275),AP275&lt;=(C275+T275)),AP275=MIN(IF(AND(J275=0,ISNUMBER(AP275),AP275&lt;=(C275+T275)),AP275,9E15),IF(AND(K275=0,ISNUMBER(AQ275),AQ275&lt;=(C275+T275)),AQ275,9E15),IF(AND(L275=0,ISNUMBER(AR275),AR275&lt;=(C275+T275)),AR275,9E15),IF(AND(M275=0,ISNUMBER(AS275),AS275&lt;=(C275+T275)),AS275,9E15))),"BiP",IF(AND(AND(K275=0,ISNUMBER(AQ275),AQ275&lt;=(C275+T275)),AQ275=MIN(IF(AND(J275=0,ISNUMBER(AP275),AP275&lt;=(C275+T275)),AP275,9E15),IF(AND(K275=0,ISNUMBER(AQ275),AQ275&lt;=(C275+T275)),AQ275,9E15),IF(AND(L275=0,ISNUMBER(AR275),AR275&lt;=(C275+T275)),AR275,9E15),IF(AND(M275=0,ISNUMBER(AS275),AS275&lt;=(C275+T275)),AS275,9E15))),"PV",IF(AND(AND(L275=0,ISNUMBER(AR275),AR275&lt;=(C275+T275)),AR275=MIN(IF(AND(J275=0,ISNUMBER(AP275),AP275&lt;=(C275+T275)),AP275,9E15),IF(AND(K275=0,ISNUMBER(AQ275),AQ275&lt;=(C275+T275)),AQ275,9E15),IF(AND(L275=0,ISNUMBER(AR275),AR275&lt;=(C275+T275)),AR275,9E15),IF(AND(M275=0,ISNUMBER(AS275),AS275&lt;=(C275+T275)),AS275,9E15))),"OC","MG"))),IF(AX275=TRUE,"",IF(MAX(IF(AND(NOT(AND(AU275=1,AT275&lt;&gt;1)),ISNUMBER(AK275),AK275&lt;=(C275+T275)),AY275,0),IF(AND(NOT(AND(AU275=1,AT275&lt;&gt;1)),ISNUMBER(AL275),AL275&lt;=(C275+T275)),AZ275,0),IF(AND(NOT(AND(AU275=1,AT275&lt;&gt;1)),ISNUMBER(AM275),AM275&lt;=(C275+T275)),BA275,0),IF(AND(NOT(AND(AU275=1,AT275&lt;&gt;1)),ISNUMBER(AN275),AN275&lt;=(C275+T275)),BB275,0),IF(AND(ISNUMBER(AO275),AO275&lt;=(C275+T275)),BC275,0))&lt;=0,"",IF(AND(IF(AND(NOT(AND(AU275=1,AT275&lt;&gt;1)),ISNUMBER(AK275),AK275&lt;=(C275+T275)),AY275,0)&gt;0,IF(AND(NOT(AND(AU275=1,AT275&lt;&gt;1)),ISNUMBER(AK275),AK275&lt;=(C275+T275)),AY275,0)=MAX(IF(AND(NOT(AND(AU275=1,AT275&lt;&gt;1)),ISNUMBER(AK275),AK275&lt;=(C275+T275)),AY275,0),IF(AND(NOT(AND(AU275=1,AT275&lt;&gt;1)),ISNUMBER(AL275),AL275&lt;=(C275+T275)),AZ275,0),IF(AND(NOT(AND(AU275=1,AT275&lt;&gt;1)),ISNUMBER(AM275),AM275&lt;=(C275+T275)),BA275,0),IF(AND(NOT(AND(AU275=1,AT275&lt;&gt;1)),ISNUMBER(AN275),AN275&lt;=(C275+T275)),BB275,0),IF(AND(ISNUMBER(AO275),AO275&lt;=(C275+T275)),BC275,0))),"SK",IF(AND(IF(AND(NOT(AND(AU275=1,AT275&lt;&gt;1)),ISNUMBER(AL275),AL275&lt;=(C275+T275)),AZ275,0)&gt;0,IF(AND(NOT(AND(AU275=1,AT275&lt;&gt;1)),ISNUMBER(AL275),AL275&lt;=(C275+T275)),AZ275,0)=MAX(IF(AND(NOT(AND(AU275=1,AT275&lt;&gt;1)),ISNUMBER(AK275),AK275&lt;=(C275+T275)),AY275,0),IF(AND(NOT(AND(AU275=1,AT275&lt;&gt;1)),ISNUMBER(AL275),AL275&lt;=(C275+T275)),AZ275,0),IF(AND(NOT(AND(AU275=1,AT275&lt;&gt;1)),ISNUMBER(AM275),AM275&lt;=(C275+T275)),BA275,0),IF(AND(NOT(AND(AU275=1,AT275&lt;&gt;1)),ISNUMBER(AN275),AN275&lt;=(C275+T275)),BB275,0),IF(AND(ISNUMBER(AO275),AO275&lt;=(C275+T275)),BC275,0))),"LB",IF(AND(IF(AND(NOT(AND(AU275=1,AT275&lt;&gt;1)),ISNUMBER(AM275),AM275&lt;=(C275+T275)),BA275,0)&gt;0,IF(AND(NOT(AND(AU275=1,AT275&lt;&gt;1)),ISNUMBER(AM275),AM275&lt;=(C275+T275)),BA275,0)=MAX(IF(AND(NOT(AND(AU275=1,AT275&lt;&gt;1)),ISNUMBER(AK275),AK275&lt;=(C275+T275)),AY275,0),IF(AND(NOT(AND(AU275=1,AT275&lt;&gt;1)),ISNUMBER(AL275),AL275&lt;=(C275+T275)),AZ275,0),IF(AND(NOT(AND(AU275=1,AT275&lt;&gt;1)),ISNUMBER(AM275),AM275&lt;=(C275+T275)),BA275,0),IF(AND(NOT(AND(AU275=1,AT275&lt;&gt;1)),ISNUMBER(AN275),AN275&lt;=(C275+T275)),BB275,0),IF(AND(ISNUMBER(AO275),AO275&lt;=(C275+T275)),BC275,0))),"ML",IF(AND(IF(AND(NOT(AND(AU275=1,AT275&lt;&gt;1)),ISNUMBER(AN275),AN275&lt;=(C275+T275)),BB275,0)&gt;0,IF(AND(NOT(AND(AU275=1,AT275&lt;&gt;1)),ISNUMBER(AN275),AN275&lt;=(C275+T275)),BB275,0)=MAX(IF(AND(NOT(AND(AU275=1,AT275&lt;&gt;1)),ISNUMBER(AK275),AK275&lt;=(C275+T275)),AY275,0),IF(AND(NOT(AND(AU275=1,AT275&lt;&gt;1)),ISNUMBER(AL275),AL275&lt;=(C275+T275)),AZ275,0),IF(AND(NOT(AND(AU275=1,AT275&lt;&gt;1)),ISNUMBER(AM275),AM275&lt;=(C275+T275)),BA275,0),IF(AND(NOT(AND(AU275=1,AT275&lt;&gt;1)),ISNUMBER(AN275),AN275&lt;=(C275+T275)),BB275,0),IF(AND(ISNUMBER(AO275),AO275&lt;=(C275+T275)),BC275,0))),"RLO","BD"))))))))</f>
        <v/>
      </c>
    </row>
    <row r="276">
      <c r="A276" s="26" t="n">
        <v>265</v>
      </c>
      <c r="B276" s="27">
        <f>A276*10/60</f>
        <v/>
      </c>
      <c r="C276" s="22">
        <f>X275</f>
        <v/>
      </c>
      <c r="D276" s="27">
        <f>D275+W275</f>
        <v/>
      </c>
      <c r="E276" s="26">
        <f>E275+IF(U275="SK",1,0)</f>
        <v/>
      </c>
      <c r="F276" s="26">
        <f>F275+IF(U275="LB",1,0)</f>
        <v/>
      </c>
      <c r="G276" s="26">
        <f>G275+IF(U275="ML",1,0)</f>
        <v/>
      </c>
      <c r="H276" s="26">
        <f>H275+IF(U275="RLO",1,0)</f>
        <v/>
      </c>
      <c r="I276" s="26">
        <f>I275+IF(U275="BD",1,0)</f>
        <v/>
      </c>
      <c r="J276" s="26">
        <f>MAX(J275,IF(U275="BiP",1,0))</f>
        <v/>
      </c>
      <c r="K276" s="26">
        <f>MAX(K275,IF(U275="PV",1,0))</f>
        <v/>
      </c>
      <c r="L276" s="26">
        <f>MAX(L275,IF(U275="OC",1,0))</f>
        <v/>
      </c>
      <c r="M276" s="26">
        <f>MAX(M275,IF(U275="MG",1,0))</f>
        <v/>
      </c>
      <c r="N276" s="26">
        <f>MAX(N275,IF(U275="transition",1,0))</f>
        <v/>
      </c>
      <c r="O276" s="28">
        <f>(Parameters!$B$9+(IF(E276=0,0,(Upgrades!$J$13+E276*Upgrades!$K$13)*POWER(Upgrades!$L$13,E276)))*(IF(Upgrades!$T$14="Stellar Kinematics",POWER(Upgrades!$U$14,F276),1)*IF(Upgrades!$T$15="Stellar Kinematics",POWER(Upgrades!$U$15,G276),1)*IF(Upgrades!$T$16="Stellar Kinematics",POWER(Upgrades!$U$16,H276),1)*IF(Upgrades!$T$17="Stellar Kinematics",POWER(Upgrades!$U$17,I276),1)*IF(Upgrades!$T$18="Stellar Kinematics",POWER(Upgrades!$U$18,J276),1)*IF(Upgrades!$T$19="Stellar Kinematics",POWER(Upgrades!$U$19,K276),1)*IF(Upgrades!$T$20="Stellar Kinematics",POWER(Upgrades!$U$20,L276),1)*IF(Upgrades!$T$21="Stellar Kinematics",POWER(Upgrades!$U$21,M276),1))+(IF(F276=0,0,(Upgrades!$J$14+F276*Upgrades!$K$14)*POWER(Upgrades!$L$14,F276)))*(IF(Upgrades!$T$13="Local Bubble",POWER(Upgrades!$U$13,E276),1)*IF(Upgrades!$T$15="Local Bubble",POWER(Upgrades!$U$15,G276),1)*IF(Upgrades!$T$16="Local Bubble",POWER(Upgrades!$U$16,H276),1)*IF(Upgrades!$T$17="Local Bubble",POWER(Upgrades!$U$17,I276),1)*IF(Upgrades!$T$18="Local Bubble",POWER(Upgrades!$U$18,J276),1)*IF(Upgrades!$T$19="Local Bubble",POWER(Upgrades!$U$19,K276),1)*IF(Upgrades!$T$20="Local Bubble",POWER(Upgrades!$U$20,L276),1)*IF(Upgrades!$T$21="Local Bubble",POWER(Upgrades!$U$21,M276),1))+(IF(G276=0,0,(Upgrades!$J$15+G276*Upgrades!$K$15)*POWER(Upgrades!$L$15,G276)))*(IF(Upgrades!$T$13="Microlensing",POWER(Upgrades!$U$13,E276),1)*IF(Upgrades!$T$14="Microlensing",POWER(Upgrades!$U$14,F276),1)*IF(Upgrades!$T$16="Microlensing",POWER(Upgrades!$U$16,H276),1)*IF(Upgrades!$T$17="Microlensing",POWER(Upgrades!$U$17,I276),1)*IF(Upgrades!$T$18="Microlensing",POWER(Upgrades!$U$18,J276),1)*IF(Upgrades!$T$19="Microlensing",POWER(Upgrades!$U$19,K276),1)*IF(Upgrades!$T$20="Microlensing",POWER(Upgrades!$U$20,L276),1)*IF(Upgrades!$T$21="Microlensing",POWER(Upgrades!$U$21,M276),1))+(IF(H276=0,0,(Upgrades!$J$16+H276*Upgrades!$K$16)*POWER(Upgrades!$L$16,H276)))*(IF(Upgrades!$T$13="Roche Lobe Overflow",POWER(Upgrades!$U$13,E276),1)*IF(Upgrades!$T$14="Roche Lobe Overflow",POWER(Upgrades!$U$14,F276),1)*IF(Upgrades!$T$15="Roche Lobe Overflow",POWER(Upgrades!$U$15,G276),1)*IF(Upgrades!$T$17="Roche Lobe Overflow",POWER(Upgrades!$U$17,I276),1)*IF(Upgrades!$T$18="Roche Lobe Overflow",POWER(Upgrades!$U$18,J276),1)*IF(Upgrades!$T$19="Roche Lobe Overflow",POWER(Upgrades!$U$19,K276),1)*IF(Upgrades!$T$20="Roche Lobe Overflow",POWER(Upgrades!$U$20,L276),1)*IF(Upgrades!$T$21="Roche Lobe Overflow",POWER(Upgrades!$U$21,M276),1))+(IF(I276=0,0,(Upgrades!$J$17+I276*Upgrades!$K$17)*POWER(Upgrades!$L$17,I276)))*(IF(Upgrades!$T$13="Brown Dwarf",POWER(Upgrades!$U$13,E276),1)*IF(Upgrades!$T$14="Brown Dwarf",POWER(Upgrades!$U$14,F276),1)*IF(Upgrades!$T$15="Brown Dwarf",POWER(Upgrades!$U$15,G276),1)*IF(Upgrades!$T$16="Brown Dwarf",POWER(Upgrades!$U$16,H276),1)*IF(Upgrades!$T$18="Brown Dwarf",POWER(Upgrades!$U$18,J276),1)*IF(Upgrades!$T$19="Brown Dwarf",POWER(Upgrades!$U$19,K276),1)*IF(Upgrades!$T$20="Brown Dwarf",POWER(Upgrades!$U$20,L276),1)*IF(Upgrades!$T$21="Brown Dwarf",POWER(Upgrades!$U$21,M276),1))+(IF(J276=0,0,(Upgrades!$J$18+J276*Upgrades!$K$18)*POWER(Upgrades!$L$18,J276)))*(IF(Upgrades!$T$13="Binary Partner",POWER(Upgrades!$U$13,E276),1)*IF(Upgrades!$T$14="Binary Partner",POWER(Upgrades!$U$14,F276),1)*IF(Upgrades!$T$15="Binary Partner",POWER(Upgrades!$U$15,G276),1)*IF(Upgrades!$T$16="Binary Partner",POWER(Upgrades!$U$16,H276),1)*IF(Upgrades!$T$17="Binary Partner",POWER(Upgrades!$U$17,I276),1)*IF(Upgrades!$T$19="Binary Partner",POWER(Upgrades!$U$19,K276),1)*IF(Upgrades!$T$20="Binary Partner",POWER(Upgrades!$U$20,L276),1)*IF(Upgrades!$T$21="Binary Partner",POWER(Upgrades!$U$21,M276),1))+(IF(K276=0,0,(Upgrades!$J$19+K276*Upgrades!$K$19)*POWER(Upgrades!$L$19,K276)))*(IF(Upgrades!$T$13="Peculiar Velocity",POWER(Upgrades!$U$13,E276),1)*IF(Upgrades!$T$14="Peculiar Velocity",POWER(Upgrades!$U$14,F276),1)*IF(Upgrades!$T$15="Peculiar Velocity",POWER(Upgrades!$U$15,G276),1)*IF(Upgrades!$T$16="Peculiar Velocity",POWER(Upgrades!$U$16,H276),1)*IF(Upgrades!$T$17="Peculiar Velocity",POWER(Upgrades!$U$17,I276),1)*IF(Upgrades!$T$18="Peculiar Velocity",POWER(Upgrades!$U$18,J276),1)*IF(Upgrades!$T$20="Peculiar Velocity",POWER(Upgrades!$U$20,L276),1)*IF(Upgrades!$T$21="Peculiar Velocity",POWER(Upgrades!$U$21,M276),1))+(IF(L276=0,0,(Upgrades!$J$20+L276*Upgrades!$K$20)*POWER(Upgrades!$L$20,L276)))*(IF(Upgrades!$T$13="Open Cluster",POWER(Upgrades!$U$13,E276),1)*IF(Upgrades!$T$14="Open Cluster",POWER(Upgrades!$U$14,F276),1)*IF(Upgrades!$T$15="Open Cluster",POWER(Upgrades!$U$15,G276),1)*IF(Upgrades!$T$16="Open Cluster",POWER(Upgrades!$U$16,H276),1)*IF(Upgrades!$T$17="Open Cluster",POWER(Upgrades!$U$17,I276),1)*IF(Upgrades!$T$18="Open Cluster",POWER(Upgrades!$U$18,J276),1)*IF(Upgrades!$T$19="Open Cluster",POWER(Upgrades!$U$19,K276),1)*IF(Upgrades!$T$21="Open Cluster",POWER(Upgrades!$U$21,M276),1))+(IF(M276=0,0,(Upgrades!$J$21+M276*Upgrades!$K$21)*POWER(Upgrades!$L$21,M276)))*(IF(Upgrades!$T$13="Moving Group",POWER(Upgrades!$U$13,E276),1)*IF(Upgrades!$T$14="Moving Group",POWER(Upgrades!$U$14,F276),1)*IF(Upgrades!$T$15="Moving Group",POWER(Upgrades!$U$15,G276),1)*IF(Upgrades!$T$16="Moving Group",POWER(Upgrades!$U$16,H276),1)*IF(Upgrades!$T$17="Moving Group",POWER(Upgrades!$U$17,I276),1)*IF(Upgrades!$T$18="Moving Group",POWER(Upgrades!$U$18,J276),1)*IF(Upgrades!$T$19="Moving Group",POWER(Upgrades!$U$19,K276),1)*IF(Upgrades!$T$20="Moving Group",POWER(Upgrades!$U$20,L276),1)))*POWER(Upgrades!$Q$13,E276)*POWER(Upgrades!$Q$14,F276)*POWER(Upgrades!$Q$15,G276)*POWER(Upgrades!$Q$16,H276)*POWER(Upgrades!$Q$17,I276)*POWER(Upgrades!$Q$18,J276)*POWER(Upgrades!$Q$19,K276)*POWER(Upgrades!$Q$20,L276)*POWER(Upgrades!$Q$21,M276)*$G$6+$D$6</f>
        <v/>
      </c>
      <c r="P276" s="28">
        <f>((IF(E276=0,0,(Upgrades!$G$13+E276*Upgrades!$H$13)*POWER(Upgrades!$I$13,E276)))*(IF(Upgrades!$T$14="Stellar Kinematics",POWER(Upgrades!$U$14,F276),1)*IF(Upgrades!$T$15="Stellar Kinematics",POWER(Upgrades!$U$15,G276),1)*IF(Upgrades!$T$16="Stellar Kinematics",POWER(Upgrades!$U$16,H276),1)*IF(Upgrades!$T$17="Stellar Kinematics",POWER(Upgrades!$U$17,I276),1)*IF(Upgrades!$T$18="Stellar Kinematics",POWER(Upgrades!$U$18,J276),1)*IF(Upgrades!$T$19="Stellar Kinematics",POWER(Upgrades!$U$19,K276),1)*IF(Upgrades!$T$20="Stellar Kinematics",POWER(Upgrades!$U$20,L276),1)*IF(Upgrades!$T$21="Stellar Kinematics",POWER(Upgrades!$U$21,M276),1))+(IF(F276=0,0,(Upgrades!$G$14+F276*Upgrades!$H$14)*POWER(Upgrades!$I$14,F276)))*(IF(Upgrades!$T$13="Local Bubble",POWER(Upgrades!$U$13,E276),1)*IF(Upgrades!$T$15="Local Bubble",POWER(Upgrades!$U$15,G276),1)*IF(Upgrades!$T$16="Local Bubble",POWER(Upgrades!$U$16,H276),1)*IF(Upgrades!$T$17="Local Bubble",POWER(Upgrades!$U$17,I276),1)*IF(Upgrades!$T$18="Local Bubble",POWER(Upgrades!$U$18,J276),1)*IF(Upgrades!$T$19="Local Bubble",POWER(Upgrades!$U$19,K276),1)*IF(Upgrades!$T$20="Local Bubble",POWER(Upgrades!$U$20,L276),1)*IF(Upgrades!$T$21="Local Bubble",POWER(Upgrades!$U$21,M276),1))+(IF(G276=0,0,(Upgrades!$G$15+G276*Upgrades!$H$15)*POWER(Upgrades!$I$15,G276)))*(IF(Upgrades!$T$13="Microlensing",POWER(Upgrades!$U$13,E276),1)*IF(Upgrades!$T$14="Microlensing",POWER(Upgrades!$U$14,F276),1)*IF(Upgrades!$T$16="Microlensing",POWER(Upgrades!$U$16,H276),1)*IF(Upgrades!$T$17="Microlensing",POWER(Upgrades!$U$17,I276),1)*IF(Upgrades!$T$18="Microlensing",POWER(Upgrades!$U$18,J276),1)*IF(Upgrades!$T$19="Microlensing",POWER(Upgrades!$U$19,K276),1)*IF(Upgrades!$T$20="Microlensing",POWER(Upgrades!$U$20,L276),1)*IF(Upgrades!$T$21="Microlensing",POWER(Upgrades!$U$21,M276),1))+(IF(H276=0,0,(Upgrades!$G$16+H276*Upgrades!$H$16)*POWER(Upgrades!$I$16,H276)))*(IF(Upgrades!$T$13="Roche Lobe Overflow",POWER(Upgrades!$U$13,E276),1)*IF(Upgrades!$T$14="Roche Lobe Overflow",POWER(Upgrades!$U$14,F276),1)*IF(Upgrades!$T$15="Roche Lobe Overflow",POWER(Upgrades!$U$15,G276),1)*IF(Upgrades!$T$17="Roche Lobe Overflow",POWER(Upgrades!$U$17,I276),1)*IF(Upgrades!$T$18="Roche Lobe Overflow",POWER(Upgrades!$U$18,J276),1)*IF(Upgrades!$T$19="Roche Lobe Overflow",POWER(Upgrades!$U$19,K276),1)*IF(Upgrades!$T$20="Roche Lobe Overflow",POWER(Upgrades!$U$20,L276),1)*IF(Upgrades!$T$21="Roche Lobe Overflow",POWER(Upgrades!$U$21,M276),1))+(IF(I276=0,0,(Upgrades!$G$17+I276*Upgrades!$H$17)*POWER(Upgrades!$I$17,I276)))*(IF(Upgrades!$T$13="Brown Dwarf",POWER(Upgrades!$U$13,E276),1)*IF(Upgrades!$T$14="Brown Dwarf",POWER(Upgrades!$U$14,F276),1)*IF(Upgrades!$T$15="Brown Dwarf",POWER(Upgrades!$U$15,G276),1)*IF(Upgrades!$T$16="Brown Dwarf",POWER(Upgrades!$U$16,H276),1)*IF(Upgrades!$T$18="Brown Dwarf",POWER(Upgrades!$U$18,J276),1)*IF(Upgrades!$T$19="Brown Dwarf",POWER(Upgrades!$U$19,K276),1)*IF(Upgrades!$T$20="Brown Dwarf",POWER(Upgrades!$U$20,L276),1)*IF(Upgrades!$T$21="Brown Dwarf",POWER(Upgrades!$U$21,M276),1))+(IF(J276=0,0,(Upgrades!$G$18+J276*Upgrades!$H$18)*POWER(Upgrades!$I$18,J276)))*(IF(Upgrades!$T$13="Binary Partner",POWER(Upgrades!$U$13,E276),1)*IF(Upgrades!$T$14="Binary Partner",POWER(Upgrades!$U$14,F276),1)*IF(Upgrades!$T$15="Binary Partner",POWER(Upgrades!$U$15,G276),1)*IF(Upgrades!$T$16="Binary Partner",POWER(Upgrades!$U$16,H276),1)*IF(Upgrades!$T$17="Binary Partner",POWER(Upgrades!$U$17,I276),1)*IF(Upgrades!$T$19="Binary Partner",POWER(Upgrades!$U$19,K276),1)*IF(Upgrades!$T$20="Binary Partner",POWER(Upgrades!$U$20,L276),1)*IF(Upgrades!$T$21="Binary Partner",POWER(Upgrades!$U$21,M276),1))+(IF(K276=0,0,(Upgrades!$G$19+K276*Upgrades!$H$19)*POWER(Upgrades!$I$19,K276)))*(IF(Upgrades!$T$13="Peculiar Velocity",POWER(Upgrades!$U$13,E276),1)*IF(Upgrades!$T$14="Peculiar Velocity",POWER(Upgrades!$U$14,F276),1)*IF(Upgrades!$T$15="Peculiar Velocity",POWER(Upgrades!$U$15,G276),1)*IF(Upgrades!$T$16="Peculiar Velocity",POWER(Upgrades!$U$16,H276),1)*IF(Upgrades!$T$17="Peculiar Velocity",POWER(Upgrades!$U$17,I276),1)*IF(Upgrades!$T$18="Peculiar Velocity",POWER(Upgrades!$U$18,J276),1)*IF(Upgrades!$T$20="Peculiar Velocity",POWER(Upgrades!$U$20,L276),1)*IF(Upgrades!$T$21="Peculiar Velocity",POWER(Upgrades!$U$21,M276),1))+(IF(L276=0,0,(Upgrades!$G$20+L276*Upgrades!$H$20)*POWER(Upgrades!$I$20,L276)))*(IF(Upgrades!$T$13="Open Cluster",POWER(Upgrades!$U$13,E276),1)*IF(Upgrades!$T$14="Open Cluster",POWER(Upgrades!$U$14,F276),1)*IF(Upgrades!$T$15="Open Cluster",POWER(Upgrades!$U$15,G276),1)*IF(Upgrades!$T$16="Open Cluster",POWER(Upgrades!$U$16,H276),1)*IF(Upgrades!$T$17="Open Cluster",POWER(Upgrades!$U$17,I276),1)*IF(Upgrades!$T$18="Open Cluster",POWER(Upgrades!$U$18,J276),1)*IF(Upgrades!$T$19="Open Cluster",POWER(Upgrades!$U$19,K276),1)*IF(Upgrades!$T$21="Open Cluster",POWER(Upgrades!$U$21,M276),1))+(IF(M276=0,0,(Upgrades!$G$21+M276*Upgrades!$H$21)*POWER(Upgrades!$I$21,M276)))*(IF(Upgrades!$T$13="Moving Group",POWER(Upgrades!$U$13,E276),1)*IF(Upgrades!$T$14="Moving Group",POWER(Upgrades!$U$14,F276),1)*IF(Upgrades!$T$15="Moving Group",POWER(Upgrades!$U$15,G276),1)*IF(Upgrades!$T$16="Moving Group",POWER(Upgrades!$U$16,H276),1)*IF(Upgrades!$T$17="Moving Group",POWER(Upgrades!$U$17,I276),1)*IF(Upgrades!$T$18="Moving Group",POWER(Upgrades!$U$18,J276),1)*IF(Upgrades!$T$19="Moving Group",POWER(Upgrades!$U$19,K276),1)*IF(Upgrades!$T$20="Moving Group",POWER(Upgrades!$U$20,L276),1)))*POWER(Upgrades!$P$13,E276)*POWER(Upgrades!$P$14,F276)*POWER(Upgrades!$P$15,G276)*POWER(Upgrades!$P$16,H276)*POWER(Upgrades!$P$17,I276)*POWER(Upgrades!$P$18,J276)*POWER(Upgrades!$P$19,K276)*POWER(Upgrades!$P$20,L276)*POWER(Upgrades!$P$21,M276)*$F$6+$C$6</f>
        <v/>
      </c>
      <c r="Q276" s="28">
        <f>((IF(E276=0,0,(Upgrades!$M$13+E276*Upgrades!$N$13)*POWER(Upgrades!$O$13,E276)))*(IF(Upgrades!$T$14="Stellar Kinematics",POWER(Upgrades!$U$14,F276),1)*IF(Upgrades!$T$15="Stellar Kinematics",POWER(Upgrades!$U$15,G276),1)*IF(Upgrades!$T$16="Stellar Kinematics",POWER(Upgrades!$U$16,H276),1)*IF(Upgrades!$T$17="Stellar Kinematics",POWER(Upgrades!$U$17,I276),1)*IF(Upgrades!$T$18="Stellar Kinematics",POWER(Upgrades!$U$18,J276),1)*IF(Upgrades!$T$19="Stellar Kinematics",POWER(Upgrades!$U$19,K276),1)*IF(Upgrades!$T$20="Stellar Kinematics",POWER(Upgrades!$U$20,L276),1)*IF(Upgrades!$T$21="Stellar Kinematics",POWER(Upgrades!$U$21,M276),1))+(IF(F276=0,0,(Upgrades!$M$14+F276*Upgrades!$N$14)*POWER(Upgrades!$O$14,F276)))*(IF(Upgrades!$T$13="Local Bubble",POWER(Upgrades!$U$13,E276),1)*IF(Upgrades!$T$15="Local Bubble",POWER(Upgrades!$U$15,G276),1)*IF(Upgrades!$T$16="Local Bubble",POWER(Upgrades!$U$16,H276),1)*IF(Upgrades!$T$17="Local Bubble",POWER(Upgrades!$U$17,I276),1)*IF(Upgrades!$T$18="Local Bubble",POWER(Upgrades!$U$18,J276),1)*IF(Upgrades!$T$19="Local Bubble",POWER(Upgrades!$U$19,K276),1)*IF(Upgrades!$T$20="Local Bubble",POWER(Upgrades!$U$20,L276),1)*IF(Upgrades!$T$21="Local Bubble",POWER(Upgrades!$U$21,M276),1))+(IF(G276=0,0,(Upgrades!$M$15+G276*Upgrades!$N$15)*POWER(Upgrades!$O$15,G276)))*(IF(Upgrades!$T$13="Microlensing",POWER(Upgrades!$U$13,E276),1)*IF(Upgrades!$T$14="Microlensing",POWER(Upgrades!$U$14,F276),1)*IF(Upgrades!$T$16="Microlensing",POWER(Upgrades!$U$16,H276),1)*IF(Upgrades!$T$17="Microlensing",POWER(Upgrades!$U$17,I276),1)*IF(Upgrades!$T$18="Microlensing",POWER(Upgrades!$U$18,J276),1)*IF(Upgrades!$T$19="Microlensing",POWER(Upgrades!$U$19,K276),1)*IF(Upgrades!$T$20="Microlensing",POWER(Upgrades!$U$20,L276),1)*IF(Upgrades!$T$21="Microlensing",POWER(Upgrades!$U$21,M276),1))+(IF(H276=0,0,(Upgrades!$M$16+H276*Upgrades!$N$16)*POWER(Upgrades!$O$16,H276)))*(IF(Upgrades!$T$13="Roche Lobe Overflow",POWER(Upgrades!$U$13,E276),1)*IF(Upgrades!$T$14="Roche Lobe Overflow",POWER(Upgrades!$U$14,F276),1)*IF(Upgrades!$T$15="Roche Lobe Overflow",POWER(Upgrades!$U$15,G276),1)*IF(Upgrades!$T$17="Roche Lobe Overflow",POWER(Upgrades!$U$17,I276),1)*IF(Upgrades!$T$18="Roche Lobe Overflow",POWER(Upgrades!$U$18,J276),1)*IF(Upgrades!$T$19="Roche Lobe Overflow",POWER(Upgrades!$U$19,K276),1)*IF(Upgrades!$T$20="Roche Lobe Overflow",POWER(Upgrades!$U$20,L276),1)*IF(Upgrades!$T$21="Roche Lobe Overflow",POWER(Upgrades!$U$21,M276),1))+(IF(I276=0,0,(Upgrades!$M$17+I276*Upgrades!$N$17)*POWER(Upgrades!$O$17,I276)))*(IF(Upgrades!$T$13="Brown Dwarf",POWER(Upgrades!$U$13,E276),1)*IF(Upgrades!$T$14="Brown Dwarf",POWER(Upgrades!$U$14,F276),1)*IF(Upgrades!$T$15="Brown Dwarf",POWER(Upgrades!$U$15,G276),1)*IF(Upgrades!$T$16="Brown Dwarf",POWER(Upgrades!$U$16,H276),1)*IF(Upgrades!$T$18="Brown Dwarf",POWER(Upgrades!$U$18,J276),1)*IF(Upgrades!$T$19="Brown Dwarf",POWER(Upgrades!$U$19,K276),1)*IF(Upgrades!$T$20="Brown Dwarf",POWER(Upgrades!$U$20,L276),1)*IF(Upgrades!$T$21="Brown Dwarf",POWER(Upgrades!$U$21,M276),1))+(IF(J276=0,0,(Upgrades!$M$18+J276*Upgrades!$N$18)*POWER(Upgrades!$O$18,J276)))*(IF(Upgrades!$T$13="Binary Partner",POWER(Upgrades!$U$13,E276),1)*IF(Upgrades!$T$14="Binary Partner",POWER(Upgrades!$U$14,F276),1)*IF(Upgrades!$T$15="Binary Partner",POWER(Upgrades!$U$15,G276),1)*IF(Upgrades!$T$16="Binary Partner",POWER(Upgrades!$U$16,H276),1)*IF(Upgrades!$T$17="Binary Partner",POWER(Upgrades!$U$17,I276),1)*IF(Upgrades!$T$19="Binary Partner",POWER(Upgrades!$U$19,K276),1)*IF(Upgrades!$T$20="Binary Partner",POWER(Upgrades!$U$20,L276),1)*IF(Upgrades!$T$21="Binary Partner",POWER(Upgrades!$U$21,M276),1))+(IF(K276=0,0,(Upgrades!$M$19+K276*Upgrades!$N$19)*POWER(Upgrades!$O$19,K276)))*(IF(Upgrades!$T$13="Peculiar Velocity",POWER(Upgrades!$U$13,E276),1)*IF(Upgrades!$T$14="Peculiar Velocity",POWER(Upgrades!$U$14,F276),1)*IF(Upgrades!$T$15="Peculiar Velocity",POWER(Upgrades!$U$15,G276),1)*IF(Upgrades!$T$16="Peculiar Velocity",POWER(Upgrades!$U$16,H276),1)*IF(Upgrades!$T$17="Peculiar Velocity",POWER(Upgrades!$U$17,I276),1)*IF(Upgrades!$T$18="Peculiar Velocity",POWER(Upgrades!$U$18,J276),1)*IF(Upgrades!$T$20="Peculiar Velocity",POWER(Upgrades!$U$20,L276),1)*IF(Upgrades!$T$21="Peculiar Velocity",POWER(Upgrades!$U$21,M276),1))+(IF(L276=0,0,(Upgrades!$M$20+L276*Upgrades!$N$20)*POWER(Upgrades!$O$20,L276)))*(IF(Upgrades!$T$13="Open Cluster",POWER(Upgrades!$U$13,E276),1)*IF(Upgrades!$T$14="Open Cluster",POWER(Upgrades!$U$14,F276),1)*IF(Upgrades!$T$15="Open Cluster",POWER(Upgrades!$U$15,G276),1)*IF(Upgrades!$T$16="Open Cluster",POWER(Upgrades!$U$16,H276),1)*IF(Upgrades!$T$17="Open Cluster",POWER(Upgrades!$U$17,I276),1)*IF(Upgrades!$T$18="Open Cluster",POWER(Upgrades!$U$18,J276),1)*IF(Upgrades!$T$19="Open Cluster",POWER(Upgrades!$U$19,K276),1)*IF(Upgrades!$T$21="Open Cluster",POWER(Upgrades!$U$21,M276),1))+(IF(M276=0,0,(Upgrades!$M$21+M276*Upgrades!$N$21)*POWER(Upgrades!$O$21,M276)))*(IF(Upgrades!$T$13="Moving Group",POWER(Upgrades!$U$13,E276),1)*IF(Upgrades!$T$14="Moving Group",POWER(Upgrades!$U$14,F276),1)*IF(Upgrades!$T$15="Moving Group",POWER(Upgrades!$U$15,G276),1)*IF(Upgrades!$T$16="Moving Group",POWER(Upgrades!$U$16,H276),1)*IF(Upgrades!$T$17="Moving Group",POWER(Upgrades!$U$17,I276),1)*IF(Upgrades!$T$18="Moving Group",POWER(Upgrades!$U$18,J276),1)*IF(Upgrades!$T$19="Moving Group",POWER(Upgrades!$U$19,K276),1)*IF(Upgrades!$T$20="Moving Group",POWER(Upgrades!$U$20,L276),1)))*POWER(Upgrades!$R$13,E276)*POWER(Upgrades!$R$14,F276)*POWER(Upgrades!$R$15,G276)*POWER(Upgrades!$R$16,H276)*POWER(Upgrades!$R$17,I276)*POWER(Upgrades!$R$18,J276)*POWER(Upgrades!$R$19,K276)*POWER(Upgrades!$R$20,L276)*POWER(Upgrades!$R$21,M276)*$H$6+$E$6</f>
        <v/>
      </c>
      <c r="R276" s="27">
        <f>IF(N276=1,0,O276*Parameters!$B$10/60*Parameters!$B$11*10)</f>
        <v/>
      </c>
      <c r="S276" s="27">
        <f>IF(N276=1,0,Q276*O276*10)</f>
        <v/>
      </c>
      <c r="T276" s="27">
        <f>IF(N276=1,0,R276+S276+P276*10)</f>
        <v/>
      </c>
      <c r="U276" s="33">
        <f>BE276</f>
        <v/>
      </c>
      <c r="V276" s="22">
        <f>IF(U276="",0,IF(U276="transition",0,IF(U276="SK",AK276,IF(U276="LB",AL276,IF(U276="ML",AM276,IF(U276="RLO",AN276,IF(U276="BD",AO276,IF(U276="BiP",AP276,IF(U276="PV",AQ276,IF(U276="OC",AR276,IF(U276="MG",AS276,0))))))))))</f>
        <v/>
      </c>
      <c r="W276" s="27">
        <f>IF(U276="BiP",Upgrades!$F$18,IF(U276="PV",Upgrades!$F$19,IF(U276="OC",Upgrades!$F$20,IF(U276="MG",Upgrades!$F$21,IF(U276="transition",-Parameters!$B$18*Parameters!$B$19,0)))))</f>
        <v/>
      </c>
      <c r="X276" s="22">
        <f>C276+T276-V276</f>
        <v/>
      </c>
      <c r="Y276" s="30">
        <f>O276*Parameters!$B$10/60*Parameters!$B$11+Q276*O276+P276</f>
        <v/>
      </c>
      <c r="Z276" s="34">
        <f>IF(U276="transition","→ Tier 3 (Galactic Arm)",IF(U276="MG","Moving Group — pocket drifts together",IF(U276="OC","Open Cluster acquired",IF(U276="PV","Peculiar Velocity — passive multiplier active",IF(U276="BiP","Binary Partner — pair bond formed",IF(AND(AU276=1,N276=0,AT276&lt;&gt;1),"Cohesion ready (waiting on completionists)","")))))) </f>
        <v/>
      </c>
      <c r="AA276" s="27">
        <f>(IF(E276=0,0,(Upgrades!$G$13+E276*Upgrades!$H$13)*POWER(Upgrades!$I$13,E276)))*(IF(Upgrades!$T$14="Stellar Kinematics",POWER(Upgrades!$U$14,F276),1)*IF(Upgrades!$T$15="Stellar Kinematics",POWER(Upgrades!$U$15,G276),1)*IF(Upgrades!$T$16="Stellar Kinematics",POWER(Upgrades!$U$16,H276),1)*IF(Upgrades!$T$17="Stellar Kinematics",POWER(Upgrades!$U$17,I276),1)*IF(Upgrades!$T$18="Stellar Kinematics",POWER(Upgrades!$U$18,J276),1)*IF(Upgrades!$T$19="Stellar Kinematics",POWER(Upgrades!$U$19,K276),1)*IF(Upgrades!$T$20="Stellar Kinematics",POWER(Upgrades!$U$20,L276),1)*IF(Upgrades!$T$21="Stellar Kinematics",POWER(Upgrades!$U$21,M276),1))*POWER(Upgrades!$P$13,E276)*POWER(Upgrades!$P$14,F276)*POWER(Upgrades!$P$15,G276)*POWER(Upgrades!$P$16,H276)*POWER(Upgrades!$P$17,I276)*POWER(Upgrades!$P$18,J276)*POWER(Upgrades!$P$19,K276)*POWER(Upgrades!$P$20,L276)*POWER(Upgrades!$P$21,M276)*$F$6*60</f>
        <v/>
      </c>
      <c r="AB276" s="27">
        <f>(IF(F276=0,0,(Upgrades!$G$14+F276*Upgrades!$H$14)*POWER(Upgrades!$I$14,F276)))*(IF(Upgrades!$T$13="Local Bubble",POWER(Upgrades!$U$13,E276),1)*IF(Upgrades!$T$15="Local Bubble",POWER(Upgrades!$U$15,G276),1)*IF(Upgrades!$T$16="Local Bubble",POWER(Upgrades!$U$16,H276),1)*IF(Upgrades!$T$17="Local Bubble",POWER(Upgrades!$U$17,I276),1)*IF(Upgrades!$T$18="Local Bubble",POWER(Upgrades!$U$18,J276),1)*IF(Upgrades!$T$19="Local Bubble",POWER(Upgrades!$U$19,K276),1)*IF(Upgrades!$T$20="Local Bubble",POWER(Upgrades!$U$20,L276),1)*IF(Upgrades!$T$21="Local Bubble",POWER(Upgrades!$U$21,M276),1))*POWER(Upgrades!$P$13,E276)*POWER(Upgrades!$P$14,F276)*POWER(Upgrades!$P$15,G276)*POWER(Upgrades!$P$16,H276)*POWER(Upgrades!$P$17,I276)*POWER(Upgrades!$P$18,J276)*POWER(Upgrades!$P$19,K276)*POWER(Upgrades!$P$20,L276)*POWER(Upgrades!$P$21,M276)*$F$6*60</f>
        <v/>
      </c>
      <c r="AC276" s="27">
        <f>(IF(G276=0,0,(Upgrades!$J$15+G276*Upgrades!$K$15)*POWER(Upgrades!$L$15,G276)))*(IF(Upgrades!$T$13="Microlensing",POWER(Upgrades!$U$13,E276),1)*IF(Upgrades!$T$14="Microlensing",POWER(Upgrades!$U$14,F276),1)*IF(Upgrades!$T$16="Microlensing",POWER(Upgrades!$U$16,H276),1)*IF(Upgrades!$T$17="Microlensing",POWER(Upgrades!$U$17,I276),1)*IF(Upgrades!$T$18="Microlensing",POWER(Upgrades!$U$18,J276),1)*IF(Upgrades!$T$19="Microlensing",POWER(Upgrades!$U$19,K276),1)*IF(Upgrades!$T$20="Microlensing",POWER(Upgrades!$U$20,L276),1)*IF(Upgrades!$T$21="Microlensing",POWER(Upgrades!$U$21,M276),1))*POWER(Upgrades!$Q$13,E276)*POWER(Upgrades!$Q$14,F276)*POWER(Upgrades!$Q$15,G276)*POWER(Upgrades!$Q$16,H276)*POWER(Upgrades!$Q$17,I276)*POWER(Upgrades!$Q$18,J276)*POWER(Upgrades!$Q$19,K276)*POWER(Upgrades!$Q$20,L276)*POWER(Upgrades!$Q$21,M276)*$G$6*(Parameters!$B$10*Parameters!$B$11+Q276*60)</f>
        <v/>
      </c>
      <c r="AD276" s="27">
        <f>(IF(H276=0,0,(Upgrades!$M$16+H276*Upgrades!$N$16)*POWER(Upgrades!$O$16,H276)))*(IF(Upgrades!$T$13="Roche Lobe Overflow",POWER(Upgrades!$U$13,E276),1)*IF(Upgrades!$T$14="Roche Lobe Overflow",POWER(Upgrades!$U$14,F276),1)*IF(Upgrades!$T$15="Roche Lobe Overflow",POWER(Upgrades!$U$15,G276),1)*IF(Upgrades!$T$17="Roche Lobe Overflow",POWER(Upgrades!$U$17,I276),1)*IF(Upgrades!$T$18="Roche Lobe Overflow",POWER(Upgrades!$U$18,J276),1)*IF(Upgrades!$T$19="Roche Lobe Overflow",POWER(Upgrades!$U$19,K276),1)*IF(Upgrades!$T$20="Roche Lobe Overflow",POWER(Upgrades!$U$20,L276),1)*IF(Upgrades!$T$21="Roche Lobe Overflow",POWER(Upgrades!$U$21,M276),1))*POWER(Upgrades!$R$13,E276)*POWER(Upgrades!$R$14,F276)*POWER(Upgrades!$R$15,G276)*POWER(Upgrades!$R$16,H276)*POWER(Upgrades!$R$17,I276)*POWER(Upgrades!$R$18,J276)*POWER(Upgrades!$R$19,K276)*POWER(Upgrades!$R$20,L276)*POWER(Upgrades!$R$21,M276)*$H$6*O276*60</f>
        <v/>
      </c>
      <c r="AE276" s="27">
        <f>(IF(I276=0,0,(Upgrades!$G$17+I276*Upgrades!$H$17)*POWER(Upgrades!$I$17,I276)))*(IF(Upgrades!$T$13="Brown Dwarf",POWER(Upgrades!$U$13,E276),1)*IF(Upgrades!$T$14="Brown Dwarf",POWER(Upgrades!$U$14,F276),1)*IF(Upgrades!$T$15="Brown Dwarf",POWER(Upgrades!$U$15,G276),1)*IF(Upgrades!$T$16="Brown Dwarf",POWER(Upgrades!$U$16,H276),1)*IF(Upgrades!$T$18="Brown Dwarf",POWER(Upgrades!$U$18,J276),1)*IF(Upgrades!$T$19="Brown Dwarf",POWER(Upgrades!$U$19,K276),1)*IF(Upgrades!$T$20="Brown Dwarf",POWER(Upgrades!$U$20,L276),1)*IF(Upgrades!$T$21="Brown Dwarf",POWER(Upgrades!$U$21,M276),1))*POWER(Upgrades!$P$13,E276)*POWER(Upgrades!$P$14,F276)*POWER(Upgrades!$P$15,G276)*POWER(Upgrades!$P$16,H276)*POWER(Upgrades!$P$17,I276)*POWER(Upgrades!$P$18,J276)*POWER(Upgrades!$P$19,K276)*POWER(Upgrades!$P$20,L276)*POWER(Upgrades!$P$21,M276)*$F$6*60</f>
        <v/>
      </c>
      <c r="AF276" s="27" t="n">
        <v>0</v>
      </c>
      <c r="AG276" s="27" t="n">
        <v>0</v>
      </c>
      <c r="AH276" s="27" t="n">
        <v>0</v>
      </c>
      <c r="AI276" s="27">
        <f>(IF(M276=0,0,(Upgrades!$G$21+M276*Upgrades!$H$21)*POWER(Upgrades!$I$21,M276)))*(IF(Upgrades!$T$13="Moving Group",POWER(Upgrades!$U$13,E276),1)*IF(Upgrades!$T$14="Moving Group",POWER(Upgrades!$U$14,F276),1)*IF(Upgrades!$T$15="Moving Group",POWER(Upgrades!$U$15,G276),1)*IF(Upgrades!$T$16="Moving Group",POWER(Upgrades!$U$16,H276),1)*IF(Upgrades!$T$17="Moving Group",POWER(Upgrades!$U$17,I276),1)*IF(Upgrades!$T$18="Moving Group",POWER(Upgrades!$U$18,J276),1)*IF(Upgrades!$T$19="Moving Group",POWER(Upgrades!$U$19,K276),1)*IF(Upgrades!$T$20="Moving Group",POWER(Upgrades!$U$20,L276),1))*POWER(Upgrades!$P$13,E276)*POWER(Upgrades!$P$14,F276)*POWER(Upgrades!$P$15,G276)*POWER(Upgrades!$P$16,H276)*POWER(Upgrades!$P$17,I276)*POWER(Upgrades!$P$18,J276)*POWER(Upgrades!$P$19,K276)*POWER(Upgrades!$P$20,L276)*POWER(Upgrades!$P$21,M276)*$F$6*60</f>
        <v/>
      </c>
      <c r="AJ276" s="27">
        <f>$C$6*60</f>
        <v/>
      </c>
      <c r="AK276" s="22">
        <f>IF(E276&gt;=Upgrades!$E$13,"",Upgrades!$C$13*POWER(Upgrades!$D$13,E276))</f>
        <v/>
      </c>
      <c r="AL276" s="22">
        <f>IF(F276&gt;=Upgrades!$E$14,"",Upgrades!$C$14*POWER(Upgrades!$D$14,F276))</f>
        <v/>
      </c>
      <c r="AM276" s="22">
        <f>IF(G276&gt;=Upgrades!$E$15,"",Upgrades!$C$15*POWER(Upgrades!$D$15,G276))</f>
        <v/>
      </c>
      <c r="AN276" s="22">
        <f>IF(H276&gt;=Upgrades!$E$16,"",Upgrades!$C$16*POWER(Upgrades!$D$16,H276))</f>
        <v/>
      </c>
      <c r="AO276" s="22">
        <f>IF(I276&gt;=Upgrades!$E$17,"",Upgrades!$C$17*POWER(Upgrades!$D$17,I276))</f>
        <v/>
      </c>
      <c r="AP276" s="22">
        <f>IF(J276&gt;=Upgrades!$E$18,"",Upgrades!$C$18*POWER(Upgrades!$D$18,J276))</f>
        <v/>
      </c>
      <c r="AQ276" s="22">
        <f>IF(K276&gt;=Upgrades!$E$19,"",Upgrades!$C$19*POWER(Upgrades!$D$19,K276))</f>
        <v/>
      </c>
      <c r="AR276" s="22">
        <f>IF(L276&gt;=Upgrades!$E$20,"",Upgrades!$C$20*POWER(Upgrades!$D$20,L276))</f>
        <v/>
      </c>
      <c r="AS276" s="22">
        <f>IF(M276&gt;=Upgrades!$E$21,"",Upgrades!$C$21*POWER(Upgrades!$D$21,M276))</f>
        <v/>
      </c>
      <c r="AT276" s="26">
        <f>IF(AND(D276&gt;=Parameters!$B$18*Parameters!$B$19,(I276&gt;=Upgrades!$E$17)*(M276&gt;=Upgrades!$E$21)=1,N276=0),1,"")</f>
        <v/>
      </c>
      <c r="AU276" s="26">
        <f>IF(AND(D276&gt;=Parameters!$B$18*Parameters!$B$19,N276=0),1,"")</f>
        <v/>
      </c>
      <c r="AV276" s="22">
        <f>MIN(IF(ISNUMBER(AP276),AP276,9E15),IF(ISNUMBER(AQ276),AQ276,9E15),IF(ISNUMBER(AR276),AR276,9E15),IF(ISNUMBER(AS276),AS276,9E15))</f>
        <v/>
      </c>
      <c r="AW276" s="22">
        <f>MIN(IF(ISNUMBER(AK276),AK276,9E15),IF(ISNUMBER(AL276),AL276,9E15),IF(ISNUMBER(AM276),AM276,9E15),IF(ISNUMBER(AN276),AN276,9E15),IF(ISNUMBER(AO276),AO276,9E15))</f>
        <v/>
      </c>
      <c r="AX276" s="29">
        <f>IF(BD276&gt;Parameters!$B$21*(MAX(IF(AND(NOT(AND(AU276=1,AT276&lt;&gt;1)),ISNUMBER(AK276),AK276&lt;=(C276+T276)),AY276,0),IF(AND(NOT(AND(AU276=1,AT276&lt;&gt;1)),ISNUMBER(AL276),AL276&lt;=(C276+T276)),AZ276,0),IF(AND(NOT(AND(AU276=1,AT276&lt;&gt;1)),ISNUMBER(AM276),AM276&lt;=(C276+T276)),BA276,0),IF(AND(NOT(AND(AU276=1,AT276&lt;&gt;1)),ISNUMBER(AN276),AN276&lt;=(C276+T276)),BB276,0),IF(AND(ISNUMBER(AO276),AO276&lt;=(C276+T276)),BC276,0))),TRUE,FALSE)</f>
        <v/>
      </c>
      <c r="AY276" s="32">
        <f>IFERROR(Upgrades!$H$13*(POWER(Upgrades!$P$13,E276)*POWER(Upgrades!$P$14,F276)*POWER(Upgrades!$P$15,G276)*POWER(Upgrades!$P$16,H276)*POWER(Upgrades!$P$17,I276)*POWER(Upgrades!$P$18,J276)*POWER(Upgrades!$P$19,K276)*POWER(Upgrades!$P$20,L276)*POWER(Upgrades!$P$21,M276))*(IF(Upgrades!$T$14="Stellar Kinematics",POWER(Upgrades!$U$14,F276),1)*IF(Upgrades!$T$15="Stellar Kinematics",POWER(Upgrades!$U$15,G276),1)*IF(Upgrades!$T$16="Stellar Kinematics",POWER(Upgrades!$U$16,H276),1)*IF(Upgrades!$T$17="Stellar Kinematics",POWER(Upgrades!$U$17,I276),1)*IF(Upgrades!$T$18="Stellar Kinematics",POWER(Upgrades!$U$18,J276),1)*IF(Upgrades!$T$19="Stellar Kinematics",POWER(Upgrades!$U$19,K276),1)*IF(Upgrades!$T$20="Stellar Kinematics",POWER(Upgrades!$U$20,L276),1)*IF(Upgrades!$T$21="Stellar Kinematics",POWER(Upgrades!$U$21,M276),1))*$F$6/AK276,0)</f>
        <v/>
      </c>
      <c r="AZ276" s="32">
        <f>IFERROR(Upgrades!$H$14*(POWER(Upgrades!$P$13,E276)*POWER(Upgrades!$P$14,F276)*POWER(Upgrades!$P$15,G276)*POWER(Upgrades!$P$16,H276)*POWER(Upgrades!$P$17,I276)*POWER(Upgrades!$P$18,J276)*POWER(Upgrades!$P$19,K276)*POWER(Upgrades!$P$20,L276)*POWER(Upgrades!$P$21,M276))*(IF(Upgrades!$T$13="Local Bubble",POWER(Upgrades!$U$13,E276),1)*IF(Upgrades!$T$15="Local Bubble",POWER(Upgrades!$U$15,G276),1)*IF(Upgrades!$T$16="Local Bubble",POWER(Upgrades!$U$16,H276),1)*IF(Upgrades!$T$17="Local Bubble",POWER(Upgrades!$U$17,I276),1)*IF(Upgrades!$T$18="Local Bubble",POWER(Upgrades!$U$18,J276),1)*IF(Upgrades!$T$19="Local Bubble",POWER(Upgrades!$U$19,K276),1)*IF(Upgrades!$T$20="Local Bubble",POWER(Upgrades!$U$20,L276),1)*IF(Upgrades!$T$21="Local Bubble",POWER(Upgrades!$U$21,M276),1))*$F$6/AL276,0)</f>
        <v/>
      </c>
      <c r="BA276" s="32">
        <f>IFERROR(Upgrades!$K$15*(POWER(Upgrades!$Q$13,E276)*POWER(Upgrades!$Q$14,F276)*POWER(Upgrades!$Q$15,G276)*POWER(Upgrades!$Q$16,H276)*POWER(Upgrades!$Q$17,I276)*POWER(Upgrades!$Q$18,J276)*POWER(Upgrades!$Q$19,K276)*POWER(Upgrades!$Q$20,L276)*POWER(Upgrades!$Q$21,M276))*(IF(Upgrades!$T$13="Microlensing",POWER(Upgrades!$U$13,E276),1)*IF(Upgrades!$T$14="Microlensing",POWER(Upgrades!$U$14,F276),1)*IF(Upgrades!$T$16="Microlensing",POWER(Upgrades!$U$16,H276),1)*IF(Upgrades!$T$17="Microlensing",POWER(Upgrades!$U$17,I276),1)*IF(Upgrades!$T$18="Microlensing",POWER(Upgrades!$U$18,J276),1)*IF(Upgrades!$T$19="Microlensing",POWER(Upgrades!$U$19,K276),1)*IF(Upgrades!$T$20="Microlensing",POWER(Upgrades!$U$20,L276),1)*IF(Upgrades!$T$21="Microlensing",POWER(Upgrades!$U$21,M276),1))*$G$6*(Parameters!$B$10/60*Parameters!$B$11+Q276)/AM276,0)</f>
        <v/>
      </c>
      <c r="BB276" s="32">
        <f>IFERROR((Upgrades!$N$16*(POWER(Upgrades!$R$13,E276)*POWER(Upgrades!$R$14,F276)*POWER(Upgrades!$R$15,G276)*POWER(Upgrades!$R$16,H276)*POWER(Upgrades!$R$17,I276)*POWER(Upgrades!$R$18,J276)*POWER(Upgrades!$R$19,K276)*POWER(Upgrades!$R$20,L276)*POWER(Upgrades!$R$21,M276))*(IF(Upgrades!$T$13="Roche Lobe Overflow",POWER(Upgrades!$U$13,E276),1)*IF(Upgrades!$T$14="Roche Lobe Overflow",POWER(Upgrades!$U$14,F276),1)*IF(Upgrades!$T$15="Roche Lobe Overflow",POWER(Upgrades!$U$15,G276),1)*IF(Upgrades!$T$17="Roche Lobe Overflow",POWER(Upgrades!$U$17,I276),1)*IF(Upgrades!$T$18="Roche Lobe Overflow",POWER(Upgrades!$U$18,J276),1)*IF(Upgrades!$T$19="Roche Lobe Overflow",POWER(Upgrades!$U$19,K276),1)*IF(Upgrades!$T$20="Roche Lobe Overflow",POWER(Upgrades!$U$20,L276),1)*IF(Upgrades!$T$21="Roche Lobe Overflow",POWER(Upgrades!$U$21,M276),1))*$H$6*O276+((IF(F276=0,0,(Upgrades!$G$14+F276*Upgrades!$H$14)*POWER(Upgrades!$I$14,F276)))*(IF(Upgrades!$T$13="Local Bubble",POWER(Upgrades!$U$13,E276),1)*IF(Upgrades!$T$15="Local Bubble",POWER(Upgrades!$U$15,G276),1)*IF(Upgrades!$T$16="Local Bubble",POWER(Upgrades!$U$16,H276),1)*IF(Upgrades!$T$17="Local Bubble",POWER(Upgrades!$U$17,I276),1)*IF(Upgrades!$T$18="Local Bubble",POWER(Upgrades!$U$18,J276),1)*IF(Upgrades!$T$19="Local Bubble",POWER(Upgrades!$U$19,K276),1)*IF(Upgrades!$T$20="Local Bubble",POWER(Upgrades!$U$20,L276),1)*IF(Upgrades!$T$21="Local Bubble",POWER(Upgrades!$U$21,M276),1))*POWER(Upgrades!$P$13,E276)*POWER(Upgrades!$P$14,F276)*POWER(Upgrades!$P$15,G276)*POWER(Upgrades!$P$16,H276)*POWER(Upgrades!$P$17,I276)*POWER(Upgrades!$P$18,J276)*POWER(Upgrades!$P$19,K276)*POWER(Upgrades!$P$20,L276)*POWER(Upgrades!$P$21,M276)*$F$6)*0.05)/AN276,0)</f>
        <v/>
      </c>
      <c r="BC276" s="32">
        <f>IFERROR((Upgrades!$H$17*(POWER(Upgrades!$P$13,E276)*POWER(Upgrades!$P$14,F276)*POWER(Upgrades!$P$15,G276)*POWER(Upgrades!$P$16,H276)*POWER(Upgrades!$P$17,I276)*POWER(Upgrades!$P$18,J276)*POWER(Upgrades!$P$19,K276)*POWER(Upgrades!$P$20,L276)*POWER(Upgrades!$P$21,M276))*(IF(Upgrades!$T$13="Brown Dwarf",POWER(Upgrades!$U$13,E276),1)*IF(Upgrades!$T$14="Brown Dwarf",POWER(Upgrades!$U$14,F276),1)*IF(Upgrades!$T$15="Brown Dwarf",POWER(Upgrades!$U$15,G276),1)*IF(Upgrades!$T$16="Brown Dwarf",POWER(Upgrades!$U$16,H276),1)*IF(Upgrades!$T$18="Brown Dwarf",POWER(Upgrades!$U$18,J276),1)*IF(Upgrades!$T$19="Brown Dwarf",POWER(Upgrades!$U$19,K276),1)*IF(Upgrades!$T$20="Brown Dwarf",POWER(Upgrades!$U$20,L276),1)*IF(Upgrades!$T$21="Brown Dwarf",POWER(Upgrades!$U$21,M276),1))*$F$6+(((IF(H276=0,0,(Upgrades!$M$16+H276*Upgrades!$N$16)*POWER(Upgrades!$O$16,H276)))*(IF(Upgrades!$T$13="Roche Lobe Overflow",POWER(Upgrades!$U$13,E276),1)*IF(Upgrades!$T$14="Roche Lobe Overflow",POWER(Upgrades!$U$14,F276),1)*IF(Upgrades!$T$15="Roche Lobe Overflow",POWER(Upgrades!$U$15,G276),1)*IF(Upgrades!$T$17="Roche Lobe Overflow",POWER(Upgrades!$U$17,I276),1)*IF(Upgrades!$T$18="Roche Lobe Overflow",POWER(Upgrades!$U$18,J276),1)*IF(Upgrades!$T$19="Roche Lobe Overflow",POWER(Upgrades!$U$19,K276),1)*IF(Upgrades!$T$20="Roche Lobe Overflow",POWER(Upgrades!$U$20,L276),1)*IF(Upgrades!$T$21="Roche Lobe Overflow",POWER(Upgrades!$U$21,M276),1))*POWER(Upgrades!$R$13,E276)*POWER(Upgrades!$R$14,F276)*POWER(Upgrades!$R$15,G276)*POWER(Upgrades!$R$16,H276)*POWER(Upgrades!$R$17,I276)*POWER(Upgrades!$R$18,J276)*POWER(Upgrades!$R$19,K276)*POWER(Upgrades!$R$20,L276)*POWER(Upgrades!$R$21,M276)*$H$6)*O276)*0.10)/AO276,0)</f>
        <v/>
      </c>
      <c r="BD276" s="32">
        <f>MAX(IF(J276&gt;0,0,IFERROR(0.5*((IF(G276=0,0,(Upgrades!$J$15+G276*Upgrades!$K$15)*POWER(Upgrades!$L$15,G276)))*(IF(Upgrades!$T$13="Microlensing",POWER(Upgrades!$U$13,E276),1)*IF(Upgrades!$T$14="Microlensing",POWER(Upgrades!$U$14,F276),1)*IF(Upgrades!$T$16="Microlensing",POWER(Upgrades!$U$16,H276),1)*IF(Upgrades!$T$17="Microlensing",POWER(Upgrades!$U$17,I276),1)*IF(Upgrades!$T$18="Microlensing",POWER(Upgrades!$U$18,J276),1)*IF(Upgrades!$T$19="Microlensing",POWER(Upgrades!$U$19,K276),1)*IF(Upgrades!$T$20="Microlensing",POWER(Upgrades!$U$20,L276),1)*IF(Upgrades!$T$21="Microlensing",POWER(Upgrades!$U$21,M276),1))*(POWER(Upgrades!$Q$13,E276)*POWER(Upgrades!$Q$14,F276)*POWER(Upgrades!$Q$15,G276)*POWER(Upgrades!$Q$16,H276)*POWER(Upgrades!$Q$17,I276)*POWER(Upgrades!$Q$18,J276)*POWER(Upgrades!$Q$19,K276)*POWER(Upgrades!$Q$20,L276)*POWER(Upgrades!$Q$21,M276))*$G$6*(Parameters!$B$10/60*Parameters!$B$11+Q276))/Upgrades!$C$18,0)),IF(K276&gt;0,0,IFERROR(0.30*P276/Upgrades!$C$19,0)),IF(L276&gt;0,0,IFERROR(0.0001/Upgrades!$C$20,0)),IF(M276&gt;0,0,IFERROR((6.0*(POWER(Upgrades!$P$13,E276)*POWER(Upgrades!$P$14,F276)*POWER(Upgrades!$P$15,G276)*POWER(Upgrades!$P$16,H276)*POWER(Upgrades!$P$17,I276)*POWER(Upgrades!$P$18,J276)*POWER(Upgrades!$P$19,K276)*POWER(Upgrades!$P$20,L276)*POWER(Upgrades!$P$21,M276))*$F$6+0.20*O276*(Parameters!$B$10/60*Parameters!$B$11+Q276))/Upgrades!$C$21,0)),IF(AND(ISNUMBER(AK276),AK276&gt;(C276+T276)),AY276,0),IF(AND(ISNUMBER(AL276),AL276&gt;(C276+T276)),AZ276,0),IF(AND(ISNUMBER(AM276),AM276&gt;(C276+T276)),BA276,0),IF(AND(ISNUMBER(AN276),AN276&gt;(C276+T276)),BB276,0),IF(AND(ISNUMBER(AO276),AO276&gt;(C276+T276)),BC276,0))</f>
        <v/>
      </c>
      <c r="BE276" s="29">
        <f>IF(AT276=1,"transition",IF(MIN(IF(AND(J276=0,ISNUMBER(AP276),AP276&lt;=(C276+T276)),AP276,9E15),IF(AND(K276=0,ISNUMBER(AQ276),AQ276&lt;=(C276+T276)),AQ276,9E15),IF(AND(L276=0,ISNUMBER(AR276),AR276&lt;=(C276+T276)),AR276,9E15),IF(AND(M276=0,ISNUMBER(AS276),AS276&lt;=(C276+T276)),AS276,9E15))&lt;9E15,IF(AND(AND(J276=0,ISNUMBER(AP276),AP276&lt;=(C276+T276)),AP276=MIN(IF(AND(J276=0,ISNUMBER(AP276),AP276&lt;=(C276+T276)),AP276,9E15),IF(AND(K276=0,ISNUMBER(AQ276),AQ276&lt;=(C276+T276)),AQ276,9E15),IF(AND(L276=0,ISNUMBER(AR276),AR276&lt;=(C276+T276)),AR276,9E15),IF(AND(M276=0,ISNUMBER(AS276),AS276&lt;=(C276+T276)),AS276,9E15))),"BiP",IF(AND(AND(K276=0,ISNUMBER(AQ276),AQ276&lt;=(C276+T276)),AQ276=MIN(IF(AND(J276=0,ISNUMBER(AP276),AP276&lt;=(C276+T276)),AP276,9E15),IF(AND(K276=0,ISNUMBER(AQ276),AQ276&lt;=(C276+T276)),AQ276,9E15),IF(AND(L276=0,ISNUMBER(AR276),AR276&lt;=(C276+T276)),AR276,9E15),IF(AND(M276=0,ISNUMBER(AS276),AS276&lt;=(C276+T276)),AS276,9E15))),"PV",IF(AND(AND(L276=0,ISNUMBER(AR276),AR276&lt;=(C276+T276)),AR276=MIN(IF(AND(J276=0,ISNUMBER(AP276),AP276&lt;=(C276+T276)),AP276,9E15),IF(AND(K276=0,ISNUMBER(AQ276),AQ276&lt;=(C276+T276)),AQ276,9E15),IF(AND(L276=0,ISNUMBER(AR276),AR276&lt;=(C276+T276)),AR276,9E15),IF(AND(M276=0,ISNUMBER(AS276),AS276&lt;=(C276+T276)),AS276,9E15))),"OC","MG"))),IF(AX276=TRUE,"",IF(MAX(IF(AND(NOT(AND(AU276=1,AT276&lt;&gt;1)),ISNUMBER(AK276),AK276&lt;=(C276+T276)),AY276,0),IF(AND(NOT(AND(AU276=1,AT276&lt;&gt;1)),ISNUMBER(AL276),AL276&lt;=(C276+T276)),AZ276,0),IF(AND(NOT(AND(AU276=1,AT276&lt;&gt;1)),ISNUMBER(AM276),AM276&lt;=(C276+T276)),BA276,0),IF(AND(NOT(AND(AU276=1,AT276&lt;&gt;1)),ISNUMBER(AN276),AN276&lt;=(C276+T276)),BB276,0),IF(AND(ISNUMBER(AO276),AO276&lt;=(C276+T276)),BC276,0))&lt;=0,"",IF(AND(IF(AND(NOT(AND(AU276=1,AT276&lt;&gt;1)),ISNUMBER(AK276),AK276&lt;=(C276+T276)),AY276,0)&gt;0,IF(AND(NOT(AND(AU276=1,AT276&lt;&gt;1)),ISNUMBER(AK276),AK276&lt;=(C276+T276)),AY276,0)=MAX(IF(AND(NOT(AND(AU276=1,AT276&lt;&gt;1)),ISNUMBER(AK276),AK276&lt;=(C276+T276)),AY276,0),IF(AND(NOT(AND(AU276=1,AT276&lt;&gt;1)),ISNUMBER(AL276),AL276&lt;=(C276+T276)),AZ276,0),IF(AND(NOT(AND(AU276=1,AT276&lt;&gt;1)),ISNUMBER(AM276),AM276&lt;=(C276+T276)),BA276,0),IF(AND(NOT(AND(AU276=1,AT276&lt;&gt;1)),ISNUMBER(AN276),AN276&lt;=(C276+T276)),BB276,0),IF(AND(ISNUMBER(AO276),AO276&lt;=(C276+T276)),BC276,0))),"SK",IF(AND(IF(AND(NOT(AND(AU276=1,AT276&lt;&gt;1)),ISNUMBER(AL276),AL276&lt;=(C276+T276)),AZ276,0)&gt;0,IF(AND(NOT(AND(AU276=1,AT276&lt;&gt;1)),ISNUMBER(AL276),AL276&lt;=(C276+T276)),AZ276,0)=MAX(IF(AND(NOT(AND(AU276=1,AT276&lt;&gt;1)),ISNUMBER(AK276),AK276&lt;=(C276+T276)),AY276,0),IF(AND(NOT(AND(AU276=1,AT276&lt;&gt;1)),ISNUMBER(AL276),AL276&lt;=(C276+T276)),AZ276,0),IF(AND(NOT(AND(AU276=1,AT276&lt;&gt;1)),ISNUMBER(AM276),AM276&lt;=(C276+T276)),BA276,0),IF(AND(NOT(AND(AU276=1,AT276&lt;&gt;1)),ISNUMBER(AN276),AN276&lt;=(C276+T276)),BB276,0),IF(AND(ISNUMBER(AO276),AO276&lt;=(C276+T276)),BC276,0))),"LB",IF(AND(IF(AND(NOT(AND(AU276=1,AT276&lt;&gt;1)),ISNUMBER(AM276),AM276&lt;=(C276+T276)),BA276,0)&gt;0,IF(AND(NOT(AND(AU276=1,AT276&lt;&gt;1)),ISNUMBER(AM276),AM276&lt;=(C276+T276)),BA276,0)=MAX(IF(AND(NOT(AND(AU276=1,AT276&lt;&gt;1)),ISNUMBER(AK276),AK276&lt;=(C276+T276)),AY276,0),IF(AND(NOT(AND(AU276=1,AT276&lt;&gt;1)),ISNUMBER(AL276),AL276&lt;=(C276+T276)),AZ276,0),IF(AND(NOT(AND(AU276=1,AT276&lt;&gt;1)),ISNUMBER(AM276),AM276&lt;=(C276+T276)),BA276,0),IF(AND(NOT(AND(AU276=1,AT276&lt;&gt;1)),ISNUMBER(AN276),AN276&lt;=(C276+T276)),BB276,0),IF(AND(ISNUMBER(AO276),AO276&lt;=(C276+T276)),BC276,0))),"ML",IF(AND(IF(AND(NOT(AND(AU276=1,AT276&lt;&gt;1)),ISNUMBER(AN276),AN276&lt;=(C276+T276)),BB276,0)&gt;0,IF(AND(NOT(AND(AU276=1,AT276&lt;&gt;1)),ISNUMBER(AN276),AN276&lt;=(C276+T276)),BB276,0)=MAX(IF(AND(NOT(AND(AU276=1,AT276&lt;&gt;1)),ISNUMBER(AK276),AK276&lt;=(C276+T276)),AY276,0),IF(AND(NOT(AND(AU276=1,AT276&lt;&gt;1)),ISNUMBER(AL276),AL276&lt;=(C276+T276)),AZ276,0),IF(AND(NOT(AND(AU276=1,AT276&lt;&gt;1)),ISNUMBER(AM276),AM276&lt;=(C276+T276)),BA276,0),IF(AND(NOT(AND(AU276=1,AT276&lt;&gt;1)),ISNUMBER(AN276),AN276&lt;=(C276+T276)),BB276,0),IF(AND(ISNUMBER(AO276),AO276&lt;=(C276+T276)),BC276,0))),"RLO","BD"))))))))</f>
        <v/>
      </c>
    </row>
    <row r="277">
      <c r="A277" s="26" t="n">
        <v>266</v>
      </c>
      <c r="B277" s="27">
        <f>A277*10/60</f>
        <v/>
      </c>
      <c r="C277" s="22">
        <f>X276</f>
        <v/>
      </c>
      <c r="D277" s="27">
        <f>D276+W276</f>
        <v/>
      </c>
      <c r="E277" s="26">
        <f>E276+IF(U276="SK",1,0)</f>
        <v/>
      </c>
      <c r="F277" s="26">
        <f>F276+IF(U276="LB",1,0)</f>
        <v/>
      </c>
      <c r="G277" s="26">
        <f>G276+IF(U276="ML",1,0)</f>
        <v/>
      </c>
      <c r="H277" s="26">
        <f>H276+IF(U276="RLO",1,0)</f>
        <v/>
      </c>
      <c r="I277" s="26">
        <f>I276+IF(U276="BD",1,0)</f>
        <v/>
      </c>
      <c r="J277" s="26">
        <f>MAX(J276,IF(U276="BiP",1,0))</f>
        <v/>
      </c>
      <c r="K277" s="26">
        <f>MAX(K276,IF(U276="PV",1,0))</f>
        <v/>
      </c>
      <c r="L277" s="26">
        <f>MAX(L276,IF(U276="OC",1,0))</f>
        <v/>
      </c>
      <c r="M277" s="26">
        <f>MAX(M276,IF(U276="MG",1,0))</f>
        <v/>
      </c>
      <c r="N277" s="26">
        <f>MAX(N276,IF(U276="transition",1,0))</f>
        <v/>
      </c>
      <c r="O277" s="28">
        <f>(Parameters!$B$9+(IF(E277=0,0,(Upgrades!$J$13+E277*Upgrades!$K$13)*POWER(Upgrades!$L$13,E277)))*(IF(Upgrades!$T$14="Stellar Kinematics",POWER(Upgrades!$U$14,F277),1)*IF(Upgrades!$T$15="Stellar Kinematics",POWER(Upgrades!$U$15,G277),1)*IF(Upgrades!$T$16="Stellar Kinematics",POWER(Upgrades!$U$16,H277),1)*IF(Upgrades!$T$17="Stellar Kinematics",POWER(Upgrades!$U$17,I277),1)*IF(Upgrades!$T$18="Stellar Kinematics",POWER(Upgrades!$U$18,J277),1)*IF(Upgrades!$T$19="Stellar Kinematics",POWER(Upgrades!$U$19,K277),1)*IF(Upgrades!$T$20="Stellar Kinematics",POWER(Upgrades!$U$20,L277),1)*IF(Upgrades!$T$21="Stellar Kinematics",POWER(Upgrades!$U$21,M277),1))+(IF(F277=0,0,(Upgrades!$J$14+F277*Upgrades!$K$14)*POWER(Upgrades!$L$14,F277)))*(IF(Upgrades!$T$13="Local Bubble",POWER(Upgrades!$U$13,E277),1)*IF(Upgrades!$T$15="Local Bubble",POWER(Upgrades!$U$15,G277),1)*IF(Upgrades!$T$16="Local Bubble",POWER(Upgrades!$U$16,H277),1)*IF(Upgrades!$T$17="Local Bubble",POWER(Upgrades!$U$17,I277),1)*IF(Upgrades!$T$18="Local Bubble",POWER(Upgrades!$U$18,J277),1)*IF(Upgrades!$T$19="Local Bubble",POWER(Upgrades!$U$19,K277),1)*IF(Upgrades!$T$20="Local Bubble",POWER(Upgrades!$U$20,L277),1)*IF(Upgrades!$T$21="Local Bubble",POWER(Upgrades!$U$21,M277),1))+(IF(G277=0,0,(Upgrades!$J$15+G277*Upgrades!$K$15)*POWER(Upgrades!$L$15,G277)))*(IF(Upgrades!$T$13="Microlensing",POWER(Upgrades!$U$13,E277),1)*IF(Upgrades!$T$14="Microlensing",POWER(Upgrades!$U$14,F277),1)*IF(Upgrades!$T$16="Microlensing",POWER(Upgrades!$U$16,H277),1)*IF(Upgrades!$T$17="Microlensing",POWER(Upgrades!$U$17,I277),1)*IF(Upgrades!$T$18="Microlensing",POWER(Upgrades!$U$18,J277),1)*IF(Upgrades!$T$19="Microlensing",POWER(Upgrades!$U$19,K277),1)*IF(Upgrades!$T$20="Microlensing",POWER(Upgrades!$U$20,L277),1)*IF(Upgrades!$T$21="Microlensing",POWER(Upgrades!$U$21,M277),1))+(IF(H277=0,0,(Upgrades!$J$16+H277*Upgrades!$K$16)*POWER(Upgrades!$L$16,H277)))*(IF(Upgrades!$T$13="Roche Lobe Overflow",POWER(Upgrades!$U$13,E277),1)*IF(Upgrades!$T$14="Roche Lobe Overflow",POWER(Upgrades!$U$14,F277),1)*IF(Upgrades!$T$15="Roche Lobe Overflow",POWER(Upgrades!$U$15,G277),1)*IF(Upgrades!$T$17="Roche Lobe Overflow",POWER(Upgrades!$U$17,I277),1)*IF(Upgrades!$T$18="Roche Lobe Overflow",POWER(Upgrades!$U$18,J277),1)*IF(Upgrades!$T$19="Roche Lobe Overflow",POWER(Upgrades!$U$19,K277),1)*IF(Upgrades!$T$20="Roche Lobe Overflow",POWER(Upgrades!$U$20,L277),1)*IF(Upgrades!$T$21="Roche Lobe Overflow",POWER(Upgrades!$U$21,M277),1))+(IF(I277=0,0,(Upgrades!$J$17+I277*Upgrades!$K$17)*POWER(Upgrades!$L$17,I277)))*(IF(Upgrades!$T$13="Brown Dwarf",POWER(Upgrades!$U$13,E277),1)*IF(Upgrades!$T$14="Brown Dwarf",POWER(Upgrades!$U$14,F277),1)*IF(Upgrades!$T$15="Brown Dwarf",POWER(Upgrades!$U$15,G277),1)*IF(Upgrades!$T$16="Brown Dwarf",POWER(Upgrades!$U$16,H277),1)*IF(Upgrades!$T$18="Brown Dwarf",POWER(Upgrades!$U$18,J277),1)*IF(Upgrades!$T$19="Brown Dwarf",POWER(Upgrades!$U$19,K277),1)*IF(Upgrades!$T$20="Brown Dwarf",POWER(Upgrades!$U$20,L277),1)*IF(Upgrades!$T$21="Brown Dwarf",POWER(Upgrades!$U$21,M277),1))+(IF(J277=0,0,(Upgrades!$J$18+J277*Upgrades!$K$18)*POWER(Upgrades!$L$18,J277)))*(IF(Upgrades!$T$13="Binary Partner",POWER(Upgrades!$U$13,E277),1)*IF(Upgrades!$T$14="Binary Partner",POWER(Upgrades!$U$14,F277),1)*IF(Upgrades!$T$15="Binary Partner",POWER(Upgrades!$U$15,G277),1)*IF(Upgrades!$T$16="Binary Partner",POWER(Upgrades!$U$16,H277),1)*IF(Upgrades!$T$17="Binary Partner",POWER(Upgrades!$U$17,I277),1)*IF(Upgrades!$T$19="Binary Partner",POWER(Upgrades!$U$19,K277),1)*IF(Upgrades!$T$20="Binary Partner",POWER(Upgrades!$U$20,L277),1)*IF(Upgrades!$T$21="Binary Partner",POWER(Upgrades!$U$21,M277),1))+(IF(K277=0,0,(Upgrades!$J$19+K277*Upgrades!$K$19)*POWER(Upgrades!$L$19,K277)))*(IF(Upgrades!$T$13="Peculiar Velocity",POWER(Upgrades!$U$13,E277),1)*IF(Upgrades!$T$14="Peculiar Velocity",POWER(Upgrades!$U$14,F277),1)*IF(Upgrades!$T$15="Peculiar Velocity",POWER(Upgrades!$U$15,G277),1)*IF(Upgrades!$T$16="Peculiar Velocity",POWER(Upgrades!$U$16,H277),1)*IF(Upgrades!$T$17="Peculiar Velocity",POWER(Upgrades!$U$17,I277),1)*IF(Upgrades!$T$18="Peculiar Velocity",POWER(Upgrades!$U$18,J277),1)*IF(Upgrades!$T$20="Peculiar Velocity",POWER(Upgrades!$U$20,L277),1)*IF(Upgrades!$T$21="Peculiar Velocity",POWER(Upgrades!$U$21,M277),1))+(IF(L277=0,0,(Upgrades!$J$20+L277*Upgrades!$K$20)*POWER(Upgrades!$L$20,L277)))*(IF(Upgrades!$T$13="Open Cluster",POWER(Upgrades!$U$13,E277),1)*IF(Upgrades!$T$14="Open Cluster",POWER(Upgrades!$U$14,F277),1)*IF(Upgrades!$T$15="Open Cluster",POWER(Upgrades!$U$15,G277),1)*IF(Upgrades!$T$16="Open Cluster",POWER(Upgrades!$U$16,H277),1)*IF(Upgrades!$T$17="Open Cluster",POWER(Upgrades!$U$17,I277),1)*IF(Upgrades!$T$18="Open Cluster",POWER(Upgrades!$U$18,J277),1)*IF(Upgrades!$T$19="Open Cluster",POWER(Upgrades!$U$19,K277),1)*IF(Upgrades!$T$21="Open Cluster",POWER(Upgrades!$U$21,M277),1))+(IF(M277=0,0,(Upgrades!$J$21+M277*Upgrades!$K$21)*POWER(Upgrades!$L$21,M277)))*(IF(Upgrades!$T$13="Moving Group",POWER(Upgrades!$U$13,E277),1)*IF(Upgrades!$T$14="Moving Group",POWER(Upgrades!$U$14,F277),1)*IF(Upgrades!$T$15="Moving Group",POWER(Upgrades!$U$15,G277),1)*IF(Upgrades!$T$16="Moving Group",POWER(Upgrades!$U$16,H277),1)*IF(Upgrades!$T$17="Moving Group",POWER(Upgrades!$U$17,I277),1)*IF(Upgrades!$T$18="Moving Group",POWER(Upgrades!$U$18,J277),1)*IF(Upgrades!$T$19="Moving Group",POWER(Upgrades!$U$19,K277),1)*IF(Upgrades!$T$20="Moving Group",POWER(Upgrades!$U$20,L277),1)))*POWER(Upgrades!$Q$13,E277)*POWER(Upgrades!$Q$14,F277)*POWER(Upgrades!$Q$15,G277)*POWER(Upgrades!$Q$16,H277)*POWER(Upgrades!$Q$17,I277)*POWER(Upgrades!$Q$18,J277)*POWER(Upgrades!$Q$19,K277)*POWER(Upgrades!$Q$20,L277)*POWER(Upgrades!$Q$21,M277)*$G$6+$D$6</f>
        <v/>
      </c>
      <c r="P277" s="28">
        <f>((IF(E277=0,0,(Upgrades!$G$13+E277*Upgrades!$H$13)*POWER(Upgrades!$I$13,E277)))*(IF(Upgrades!$T$14="Stellar Kinematics",POWER(Upgrades!$U$14,F277),1)*IF(Upgrades!$T$15="Stellar Kinematics",POWER(Upgrades!$U$15,G277),1)*IF(Upgrades!$T$16="Stellar Kinematics",POWER(Upgrades!$U$16,H277),1)*IF(Upgrades!$T$17="Stellar Kinematics",POWER(Upgrades!$U$17,I277),1)*IF(Upgrades!$T$18="Stellar Kinematics",POWER(Upgrades!$U$18,J277),1)*IF(Upgrades!$T$19="Stellar Kinematics",POWER(Upgrades!$U$19,K277),1)*IF(Upgrades!$T$20="Stellar Kinematics",POWER(Upgrades!$U$20,L277),1)*IF(Upgrades!$T$21="Stellar Kinematics",POWER(Upgrades!$U$21,M277),1))+(IF(F277=0,0,(Upgrades!$G$14+F277*Upgrades!$H$14)*POWER(Upgrades!$I$14,F277)))*(IF(Upgrades!$T$13="Local Bubble",POWER(Upgrades!$U$13,E277),1)*IF(Upgrades!$T$15="Local Bubble",POWER(Upgrades!$U$15,G277),1)*IF(Upgrades!$T$16="Local Bubble",POWER(Upgrades!$U$16,H277),1)*IF(Upgrades!$T$17="Local Bubble",POWER(Upgrades!$U$17,I277),1)*IF(Upgrades!$T$18="Local Bubble",POWER(Upgrades!$U$18,J277),1)*IF(Upgrades!$T$19="Local Bubble",POWER(Upgrades!$U$19,K277),1)*IF(Upgrades!$T$20="Local Bubble",POWER(Upgrades!$U$20,L277),1)*IF(Upgrades!$T$21="Local Bubble",POWER(Upgrades!$U$21,M277),1))+(IF(G277=0,0,(Upgrades!$G$15+G277*Upgrades!$H$15)*POWER(Upgrades!$I$15,G277)))*(IF(Upgrades!$T$13="Microlensing",POWER(Upgrades!$U$13,E277),1)*IF(Upgrades!$T$14="Microlensing",POWER(Upgrades!$U$14,F277),1)*IF(Upgrades!$T$16="Microlensing",POWER(Upgrades!$U$16,H277),1)*IF(Upgrades!$T$17="Microlensing",POWER(Upgrades!$U$17,I277),1)*IF(Upgrades!$T$18="Microlensing",POWER(Upgrades!$U$18,J277),1)*IF(Upgrades!$T$19="Microlensing",POWER(Upgrades!$U$19,K277),1)*IF(Upgrades!$T$20="Microlensing",POWER(Upgrades!$U$20,L277),1)*IF(Upgrades!$T$21="Microlensing",POWER(Upgrades!$U$21,M277),1))+(IF(H277=0,0,(Upgrades!$G$16+H277*Upgrades!$H$16)*POWER(Upgrades!$I$16,H277)))*(IF(Upgrades!$T$13="Roche Lobe Overflow",POWER(Upgrades!$U$13,E277),1)*IF(Upgrades!$T$14="Roche Lobe Overflow",POWER(Upgrades!$U$14,F277),1)*IF(Upgrades!$T$15="Roche Lobe Overflow",POWER(Upgrades!$U$15,G277),1)*IF(Upgrades!$T$17="Roche Lobe Overflow",POWER(Upgrades!$U$17,I277),1)*IF(Upgrades!$T$18="Roche Lobe Overflow",POWER(Upgrades!$U$18,J277),1)*IF(Upgrades!$T$19="Roche Lobe Overflow",POWER(Upgrades!$U$19,K277),1)*IF(Upgrades!$T$20="Roche Lobe Overflow",POWER(Upgrades!$U$20,L277),1)*IF(Upgrades!$T$21="Roche Lobe Overflow",POWER(Upgrades!$U$21,M277),1))+(IF(I277=0,0,(Upgrades!$G$17+I277*Upgrades!$H$17)*POWER(Upgrades!$I$17,I277)))*(IF(Upgrades!$T$13="Brown Dwarf",POWER(Upgrades!$U$13,E277),1)*IF(Upgrades!$T$14="Brown Dwarf",POWER(Upgrades!$U$14,F277),1)*IF(Upgrades!$T$15="Brown Dwarf",POWER(Upgrades!$U$15,G277),1)*IF(Upgrades!$T$16="Brown Dwarf",POWER(Upgrades!$U$16,H277),1)*IF(Upgrades!$T$18="Brown Dwarf",POWER(Upgrades!$U$18,J277),1)*IF(Upgrades!$T$19="Brown Dwarf",POWER(Upgrades!$U$19,K277),1)*IF(Upgrades!$T$20="Brown Dwarf",POWER(Upgrades!$U$20,L277),1)*IF(Upgrades!$T$21="Brown Dwarf",POWER(Upgrades!$U$21,M277),1))+(IF(J277=0,0,(Upgrades!$G$18+J277*Upgrades!$H$18)*POWER(Upgrades!$I$18,J277)))*(IF(Upgrades!$T$13="Binary Partner",POWER(Upgrades!$U$13,E277),1)*IF(Upgrades!$T$14="Binary Partner",POWER(Upgrades!$U$14,F277),1)*IF(Upgrades!$T$15="Binary Partner",POWER(Upgrades!$U$15,G277),1)*IF(Upgrades!$T$16="Binary Partner",POWER(Upgrades!$U$16,H277),1)*IF(Upgrades!$T$17="Binary Partner",POWER(Upgrades!$U$17,I277),1)*IF(Upgrades!$T$19="Binary Partner",POWER(Upgrades!$U$19,K277),1)*IF(Upgrades!$T$20="Binary Partner",POWER(Upgrades!$U$20,L277),1)*IF(Upgrades!$T$21="Binary Partner",POWER(Upgrades!$U$21,M277),1))+(IF(K277=0,0,(Upgrades!$G$19+K277*Upgrades!$H$19)*POWER(Upgrades!$I$19,K277)))*(IF(Upgrades!$T$13="Peculiar Velocity",POWER(Upgrades!$U$13,E277),1)*IF(Upgrades!$T$14="Peculiar Velocity",POWER(Upgrades!$U$14,F277),1)*IF(Upgrades!$T$15="Peculiar Velocity",POWER(Upgrades!$U$15,G277),1)*IF(Upgrades!$T$16="Peculiar Velocity",POWER(Upgrades!$U$16,H277),1)*IF(Upgrades!$T$17="Peculiar Velocity",POWER(Upgrades!$U$17,I277),1)*IF(Upgrades!$T$18="Peculiar Velocity",POWER(Upgrades!$U$18,J277),1)*IF(Upgrades!$T$20="Peculiar Velocity",POWER(Upgrades!$U$20,L277),1)*IF(Upgrades!$T$21="Peculiar Velocity",POWER(Upgrades!$U$21,M277),1))+(IF(L277=0,0,(Upgrades!$G$20+L277*Upgrades!$H$20)*POWER(Upgrades!$I$20,L277)))*(IF(Upgrades!$T$13="Open Cluster",POWER(Upgrades!$U$13,E277),1)*IF(Upgrades!$T$14="Open Cluster",POWER(Upgrades!$U$14,F277),1)*IF(Upgrades!$T$15="Open Cluster",POWER(Upgrades!$U$15,G277),1)*IF(Upgrades!$T$16="Open Cluster",POWER(Upgrades!$U$16,H277),1)*IF(Upgrades!$T$17="Open Cluster",POWER(Upgrades!$U$17,I277),1)*IF(Upgrades!$T$18="Open Cluster",POWER(Upgrades!$U$18,J277),1)*IF(Upgrades!$T$19="Open Cluster",POWER(Upgrades!$U$19,K277),1)*IF(Upgrades!$T$21="Open Cluster",POWER(Upgrades!$U$21,M277),1))+(IF(M277=0,0,(Upgrades!$G$21+M277*Upgrades!$H$21)*POWER(Upgrades!$I$21,M277)))*(IF(Upgrades!$T$13="Moving Group",POWER(Upgrades!$U$13,E277),1)*IF(Upgrades!$T$14="Moving Group",POWER(Upgrades!$U$14,F277),1)*IF(Upgrades!$T$15="Moving Group",POWER(Upgrades!$U$15,G277),1)*IF(Upgrades!$T$16="Moving Group",POWER(Upgrades!$U$16,H277),1)*IF(Upgrades!$T$17="Moving Group",POWER(Upgrades!$U$17,I277),1)*IF(Upgrades!$T$18="Moving Group",POWER(Upgrades!$U$18,J277),1)*IF(Upgrades!$T$19="Moving Group",POWER(Upgrades!$U$19,K277),1)*IF(Upgrades!$T$20="Moving Group",POWER(Upgrades!$U$20,L277),1)))*POWER(Upgrades!$P$13,E277)*POWER(Upgrades!$P$14,F277)*POWER(Upgrades!$P$15,G277)*POWER(Upgrades!$P$16,H277)*POWER(Upgrades!$P$17,I277)*POWER(Upgrades!$P$18,J277)*POWER(Upgrades!$P$19,K277)*POWER(Upgrades!$P$20,L277)*POWER(Upgrades!$P$21,M277)*$F$6+$C$6</f>
        <v/>
      </c>
      <c r="Q277" s="28">
        <f>((IF(E277=0,0,(Upgrades!$M$13+E277*Upgrades!$N$13)*POWER(Upgrades!$O$13,E277)))*(IF(Upgrades!$T$14="Stellar Kinematics",POWER(Upgrades!$U$14,F277),1)*IF(Upgrades!$T$15="Stellar Kinematics",POWER(Upgrades!$U$15,G277),1)*IF(Upgrades!$T$16="Stellar Kinematics",POWER(Upgrades!$U$16,H277),1)*IF(Upgrades!$T$17="Stellar Kinematics",POWER(Upgrades!$U$17,I277),1)*IF(Upgrades!$T$18="Stellar Kinematics",POWER(Upgrades!$U$18,J277),1)*IF(Upgrades!$T$19="Stellar Kinematics",POWER(Upgrades!$U$19,K277),1)*IF(Upgrades!$T$20="Stellar Kinematics",POWER(Upgrades!$U$20,L277),1)*IF(Upgrades!$T$21="Stellar Kinematics",POWER(Upgrades!$U$21,M277),1))+(IF(F277=0,0,(Upgrades!$M$14+F277*Upgrades!$N$14)*POWER(Upgrades!$O$14,F277)))*(IF(Upgrades!$T$13="Local Bubble",POWER(Upgrades!$U$13,E277),1)*IF(Upgrades!$T$15="Local Bubble",POWER(Upgrades!$U$15,G277),1)*IF(Upgrades!$T$16="Local Bubble",POWER(Upgrades!$U$16,H277),1)*IF(Upgrades!$T$17="Local Bubble",POWER(Upgrades!$U$17,I277),1)*IF(Upgrades!$T$18="Local Bubble",POWER(Upgrades!$U$18,J277),1)*IF(Upgrades!$T$19="Local Bubble",POWER(Upgrades!$U$19,K277),1)*IF(Upgrades!$T$20="Local Bubble",POWER(Upgrades!$U$20,L277),1)*IF(Upgrades!$T$21="Local Bubble",POWER(Upgrades!$U$21,M277),1))+(IF(G277=0,0,(Upgrades!$M$15+G277*Upgrades!$N$15)*POWER(Upgrades!$O$15,G277)))*(IF(Upgrades!$T$13="Microlensing",POWER(Upgrades!$U$13,E277),1)*IF(Upgrades!$T$14="Microlensing",POWER(Upgrades!$U$14,F277),1)*IF(Upgrades!$T$16="Microlensing",POWER(Upgrades!$U$16,H277),1)*IF(Upgrades!$T$17="Microlensing",POWER(Upgrades!$U$17,I277),1)*IF(Upgrades!$T$18="Microlensing",POWER(Upgrades!$U$18,J277),1)*IF(Upgrades!$T$19="Microlensing",POWER(Upgrades!$U$19,K277),1)*IF(Upgrades!$T$20="Microlensing",POWER(Upgrades!$U$20,L277),1)*IF(Upgrades!$T$21="Microlensing",POWER(Upgrades!$U$21,M277),1))+(IF(H277=0,0,(Upgrades!$M$16+H277*Upgrades!$N$16)*POWER(Upgrades!$O$16,H277)))*(IF(Upgrades!$T$13="Roche Lobe Overflow",POWER(Upgrades!$U$13,E277),1)*IF(Upgrades!$T$14="Roche Lobe Overflow",POWER(Upgrades!$U$14,F277),1)*IF(Upgrades!$T$15="Roche Lobe Overflow",POWER(Upgrades!$U$15,G277),1)*IF(Upgrades!$T$17="Roche Lobe Overflow",POWER(Upgrades!$U$17,I277),1)*IF(Upgrades!$T$18="Roche Lobe Overflow",POWER(Upgrades!$U$18,J277),1)*IF(Upgrades!$T$19="Roche Lobe Overflow",POWER(Upgrades!$U$19,K277),1)*IF(Upgrades!$T$20="Roche Lobe Overflow",POWER(Upgrades!$U$20,L277),1)*IF(Upgrades!$T$21="Roche Lobe Overflow",POWER(Upgrades!$U$21,M277),1))+(IF(I277=0,0,(Upgrades!$M$17+I277*Upgrades!$N$17)*POWER(Upgrades!$O$17,I277)))*(IF(Upgrades!$T$13="Brown Dwarf",POWER(Upgrades!$U$13,E277),1)*IF(Upgrades!$T$14="Brown Dwarf",POWER(Upgrades!$U$14,F277),1)*IF(Upgrades!$T$15="Brown Dwarf",POWER(Upgrades!$U$15,G277),1)*IF(Upgrades!$T$16="Brown Dwarf",POWER(Upgrades!$U$16,H277),1)*IF(Upgrades!$T$18="Brown Dwarf",POWER(Upgrades!$U$18,J277),1)*IF(Upgrades!$T$19="Brown Dwarf",POWER(Upgrades!$U$19,K277),1)*IF(Upgrades!$T$20="Brown Dwarf",POWER(Upgrades!$U$20,L277),1)*IF(Upgrades!$T$21="Brown Dwarf",POWER(Upgrades!$U$21,M277),1))+(IF(J277=0,0,(Upgrades!$M$18+J277*Upgrades!$N$18)*POWER(Upgrades!$O$18,J277)))*(IF(Upgrades!$T$13="Binary Partner",POWER(Upgrades!$U$13,E277),1)*IF(Upgrades!$T$14="Binary Partner",POWER(Upgrades!$U$14,F277),1)*IF(Upgrades!$T$15="Binary Partner",POWER(Upgrades!$U$15,G277),1)*IF(Upgrades!$T$16="Binary Partner",POWER(Upgrades!$U$16,H277),1)*IF(Upgrades!$T$17="Binary Partner",POWER(Upgrades!$U$17,I277),1)*IF(Upgrades!$T$19="Binary Partner",POWER(Upgrades!$U$19,K277),1)*IF(Upgrades!$T$20="Binary Partner",POWER(Upgrades!$U$20,L277),1)*IF(Upgrades!$T$21="Binary Partner",POWER(Upgrades!$U$21,M277),1))+(IF(K277=0,0,(Upgrades!$M$19+K277*Upgrades!$N$19)*POWER(Upgrades!$O$19,K277)))*(IF(Upgrades!$T$13="Peculiar Velocity",POWER(Upgrades!$U$13,E277),1)*IF(Upgrades!$T$14="Peculiar Velocity",POWER(Upgrades!$U$14,F277),1)*IF(Upgrades!$T$15="Peculiar Velocity",POWER(Upgrades!$U$15,G277),1)*IF(Upgrades!$T$16="Peculiar Velocity",POWER(Upgrades!$U$16,H277),1)*IF(Upgrades!$T$17="Peculiar Velocity",POWER(Upgrades!$U$17,I277),1)*IF(Upgrades!$T$18="Peculiar Velocity",POWER(Upgrades!$U$18,J277),1)*IF(Upgrades!$T$20="Peculiar Velocity",POWER(Upgrades!$U$20,L277),1)*IF(Upgrades!$T$21="Peculiar Velocity",POWER(Upgrades!$U$21,M277),1))+(IF(L277=0,0,(Upgrades!$M$20+L277*Upgrades!$N$20)*POWER(Upgrades!$O$20,L277)))*(IF(Upgrades!$T$13="Open Cluster",POWER(Upgrades!$U$13,E277),1)*IF(Upgrades!$T$14="Open Cluster",POWER(Upgrades!$U$14,F277),1)*IF(Upgrades!$T$15="Open Cluster",POWER(Upgrades!$U$15,G277),1)*IF(Upgrades!$T$16="Open Cluster",POWER(Upgrades!$U$16,H277),1)*IF(Upgrades!$T$17="Open Cluster",POWER(Upgrades!$U$17,I277),1)*IF(Upgrades!$T$18="Open Cluster",POWER(Upgrades!$U$18,J277),1)*IF(Upgrades!$T$19="Open Cluster",POWER(Upgrades!$U$19,K277),1)*IF(Upgrades!$T$21="Open Cluster",POWER(Upgrades!$U$21,M277),1))+(IF(M277=0,0,(Upgrades!$M$21+M277*Upgrades!$N$21)*POWER(Upgrades!$O$21,M277)))*(IF(Upgrades!$T$13="Moving Group",POWER(Upgrades!$U$13,E277),1)*IF(Upgrades!$T$14="Moving Group",POWER(Upgrades!$U$14,F277),1)*IF(Upgrades!$T$15="Moving Group",POWER(Upgrades!$U$15,G277),1)*IF(Upgrades!$T$16="Moving Group",POWER(Upgrades!$U$16,H277),1)*IF(Upgrades!$T$17="Moving Group",POWER(Upgrades!$U$17,I277),1)*IF(Upgrades!$T$18="Moving Group",POWER(Upgrades!$U$18,J277),1)*IF(Upgrades!$T$19="Moving Group",POWER(Upgrades!$U$19,K277),1)*IF(Upgrades!$T$20="Moving Group",POWER(Upgrades!$U$20,L277),1)))*POWER(Upgrades!$R$13,E277)*POWER(Upgrades!$R$14,F277)*POWER(Upgrades!$R$15,G277)*POWER(Upgrades!$R$16,H277)*POWER(Upgrades!$R$17,I277)*POWER(Upgrades!$R$18,J277)*POWER(Upgrades!$R$19,K277)*POWER(Upgrades!$R$20,L277)*POWER(Upgrades!$R$21,M277)*$H$6+$E$6</f>
        <v/>
      </c>
      <c r="R277" s="27">
        <f>IF(N277=1,0,O277*Parameters!$B$10/60*Parameters!$B$11*10)</f>
        <v/>
      </c>
      <c r="S277" s="27">
        <f>IF(N277=1,0,Q277*O277*10)</f>
        <v/>
      </c>
      <c r="T277" s="27">
        <f>IF(N277=1,0,R277+S277+P277*10)</f>
        <v/>
      </c>
      <c r="U277" s="33">
        <f>BE277</f>
        <v/>
      </c>
      <c r="V277" s="22">
        <f>IF(U277="",0,IF(U277="transition",0,IF(U277="SK",AK277,IF(U277="LB",AL277,IF(U277="ML",AM277,IF(U277="RLO",AN277,IF(U277="BD",AO277,IF(U277="BiP",AP277,IF(U277="PV",AQ277,IF(U277="OC",AR277,IF(U277="MG",AS277,0))))))))))</f>
        <v/>
      </c>
      <c r="W277" s="27">
        <f>IF(U277="BiP",Upgrades!$F$18,IF(U277="PV",Upgrades!$F$19,IF(U277="OC",Upgrades!$F$20,IF(U277="MG",Upgrades!$F$21,IF(U277="transition",-Parameters!$B$18*Parameters!$B$19,0)))))</f>
        <v/>
      </c>
      <c r="X277" s="22">
        <f>C277+T277-V277</f>
        <v/>
      </c>
      <c r="Y277" s="30">
        <f>O277*Parameters!$B$10/60*Parameters!$B$11+Q277*O277+P277</f>
        <v/>
      </c>
      <c r="Z277" s="34">
        <f>IF(U277="transition","→ Tier 3 (Galactic Arm)",IF(U277="MG","Moving Group — pocket drifts together",IF(U277="OC","Open Cluster acquired",IF(U277="PV","Peculiar Velocity — passive multiplier active",IF(U277="BiP","Binary Partner — pair bond formed",IF(AND(AU277=1,N277=0,AT277&lt;&gt;1),"Cohesion ready (waiting on completionists)","")))))) </f>
        <v/>
      </c>
      <c r="AA277" s="27">
        <f>(IF(E277=0,0,(Upgrades!$G$13+E277*Upgrades!$H$13)*POWER(Upgrades!$I$13,E277)))*(IF(Upgrades!$T$14="Stellar Kinematics",POWER(Upgrades!$U$14,F277),1)*IF(Upgrades!$T$15="Stellar Kinematics",POWER(Upgrades!$U$15,G277),1)*IF(Upgrades!$T$16="Stellar Kinematics",POWER(Upgrades!$U$16,H277),1)*IF(Upgrades!$T$17="Stellar Kinematics",POWER(Upgrades!$U$17,I277),1)*IF(Upgrades!$T$18="Stellar Kinematics",POWER(Upgrades!$U$18,J277),1)*IF(Upgrades!$T$19="Stellar Kinematics",POWER(Upgrades!$U$19,K277),1)*IF(Upgrades!$T$20="Stellar Kinematics",POWER(Upgrades!$U$20,L277),1)*IF(Upgrades!$T$21="Stellar Kinematics",POWER(Upgrades!$U$21,M277),1))*POWER(Upgrades!$P$13,E277)*POWER(Upgrades!$P$14,F277)*POWER(Upgrades!$P$15,G277)*POWER(Upgrades!$P$16,H277)*POWER(Upgrades!$P$17,I277)*POWER(Upgrades!$P$18,J277)*POWER(Upgrades!$P$19,K277)*POWER(Upgrades!$P$20,L277)*POWER(Upgrades!$P$21,M277)*$F$6*60</f>
        <v/>
      </c>
      <c r="AB277" s="27">
        <f>(IF(F277=0,0,(Upgrades!$G$14+F277*Upgrades!$H$14)*POWER(Upgrades!$I$14,F277)))*(IF(Upgrades!$T$13="Local Bubble",POWER(Upgrades!$U$13,E277),1)*IF(Upgrades!$T$15="Local Bubble",POWER(Upgrades!$U$15,G277),1)*IF(Upgrades!$T$16="Local Bubble",POWER(Upgrades!$U$16,H277),1)*IF(Upgrades!$T$17="Local Bubble",POWER(Upgrades!$U$17,I277),1)*IF(Upgrades!$T$18="Local Bubble",POWER(Upgrades!$U$18,J277),1)*IF(Upgrades!$T$19="Local Bubble",POWER(Upgrades!$U$19,K277),1)*IF(Upgrades!$T$20="Local Bubble",POWER(Upgrades!$U$20,L277),1)*IF(Upgrades!$T$21="Local Bubble",POWER(Upgrades!$U$21,M277),1))*POWER(Upgrades!$P$13,E277)*POWER(Upgrades!$P$14,F277)*POWER(Upgrades!$P$15,G277)*POWER(Upgrades!$P$16,H277)*POWER(Upgrades!$P$17,I277)*POWER(Upgrades!$P$18,J277)*POWER(Upgrades!$P$19,K277)*POWER(Upgrades!$P$20,L277)*POWER(Upgrades!$P$21,M277)*$F$6*60</f>
        <v/>
      </c>
      <c r="AC277" s="27">
        <f>(IF(G277=0,0,(Upgrades!$J$15+G277*Upgrades!$K$15)*POWER(Upgrades!$L$15,G277)))*(IF(Upgrades!$T$13="Microlensing",POWER(Upgrades!$U$13,E277),1)*IF(Upgrades!$T$14="Microlensing",POWER(Upgrades!$U$14,F277),1)*IF(Upgrades!$T$16="Microlensing",POWER(Upgrades!$U$16,H277),1)*IF(Upgrades!$T$17="Microlensing",POWER(Upgrades!$U$17,I277),1)*IF(Upgrades!$T$18="Microlensing",POWER(Upgrades!$U$18,J277),1)*IF(Upgrades!$T$19="Microlensing",POWER(Upgrades!$U$19,K277),1)*IF(Upgrades!$T$20="Microlensing",POWER(Upgrades!$U$20,L277),1)*IF(Upgrades!$T$21="Microlensing",POWER(Upgrades!$U$21,M277),1))*POWER(Upgrades!$Q$13,E277)*POWER(Upgrades!$Q$14,F277)*POWER(Upgrades!$Q$15,G277)*POWER(Upgrades!$Q$16,H277)*POWER(Upgrades!$Q$17,I277)*POWER(Upgrades!$Q$18,J277)*POWER(Upgrades!$Q$19,K277)*POWER(Upgrades!$Q$20,L277)*POWER(Upgrades!$Q$21,M277)*$G$6*(Parameters!$B$10*Parameters!$B$11+Q277*60)</f>
        <v/>
      </c>
      <c r="AD277" s="27">
        <f>(IF(H277=0,0,(Upgrades!$M$16+H277*Upgrades!$N$16)*POWER(Upgrades!$O$16,H277)))*(IF(Upgrades!$T$13="Roche Lobe Overflow",POWER(Upgrades!$U$13,E277),1)*IF(Upgrades!$T$14="Roche Lobe Overflow",POWER(Upgrades!$U$14,F277),1)*IF(Upgrades!$T$15="Roche Lobe Overflow",POWER(Upgrades!$U$15,G277),1)*IF(Upgrades!$T$17="Roche Lobe Overflow",POWER(Upgrades!$U$17,I277),1)*IF(Upgrades!$T$18="Roche Lobe Overflow",POWER(Upgrades!$U$18,J277),1)*IF(Upgrades!$T$19="Roche Lobe Overflow",POWER(Upgrades!$U$19,K277),1)*IF(Upgrades!$T$20="Roche Lobe Overflow",POWER(Upgrades!$U$20,L277),1)*IF(Upgrades!$T$21="Roche Lobe Overflow",POWER(Upgrades!$U$21,M277),1))*POWER(Upgrades!$R$13,E277)*POWER(Upgrades!$R$14,F277)*POWER(Upgrades!$R$15,G277)*POWER(Upgrades!$R$16,H277)*POWER(Upgrades!$R$17,I277)*POWER(Upgrades!$R$18,J277)*POWER(Upgrades!$R$19,K277)*POWER(Upgrades!$R$20,L277)*POWER(Upgrades!$R$21,M277)*$H$6*O277*60</f>
        <v/>
      </c>
      <c r="AE277" s="27">
        <f>(IF(I277=0,0,(Upgrades!$G$17+I277*Upgrades!$H$17)*POWER(Upgrades!$I$17,I277)))*(IF(Upgrades!$T$13="Brown Dwarf",POWER(Upgrades!$U$13,E277),1)*IF(Upgrades!$T$14="Brown Dwarf",POWER(Upgrades!$U$14,F277),1)*IF(Upgrades!$T$15="Brown Dwarf",POWER(Upgrades!$U$15,G277),1)*IF(Upgrades!$T$16="Brown Dwarf",POWER(Upgrades!$U$16,H277),1)*IF(Upgrades!$T$18="Brown Dwarf",POWER(Upgrades!$U$18,J277),1)*IF(Upgrades!$T$19="Brown Dwarf",POWER(Upgrades!$U$19,K277),1)*IF(Upgrades!$T$20="Brown Dwarf",POWER(Upgrades!$U$20,L277),1)*IF(Upgrades!$T$21="Brown Dwarf",POWER(Upgrades!$U$21,M277),1))*POWER(Upgrades!$P$13,E277)*POWER(Upgrades!$P$14,F277)*POWER(Upgrades!$P$15,G277)*POWER(Upgrades!$P$16,H277)*POWER(Upgrades!$P$17,I277)*POWER(Upgrades!$P$18,J277)*POWER(Upgrades!$P$19,K277)*POWER(Upgrades!$P$20,L277)*POWER(Upgrades!$P$21,M277)*$F$6*60</f>
        <v/>
      </c>
      <c r="AF277" s="27" t="n">
        <v>0</v>
      </c>
      <c r="AG277" s="27" t="n">
        <v>0</v>
      </c>
      <c r="AH277" s="27" t="n">
        <v>0</v>
      </c>
      <c r="AI277" s="27">
        <f>(IF(M277=0,0,(Upgrades!$G$21+M277*Upgrades!$H$21)*POWER(Upgrades!$I$21,M277)))*(IF(Upgrades!$T$13="Moving Group",POWER(Upgrades!$U$13,E277),1)*IF(Upgrades!$T$14="Moving Group",POWER(Upgrades!$U$14,F277),1)*IF(Upgrades!$T$15="Moving Group",POWER(Upgrades!$U$15,G277),1)*IF(Upgrades!$T$16="Moving Group",POWER(Upgrades!$U$16,H277),1)*IF(Upgrades!$T$17="Moving Group",POWER(Upgrades!$U$17,I277),1)*IF(Upgrades!$T$18="Moving Group",POWER(Upgrades!$U$18,J277),1)*IF(Upgrades!$T$19="Moving Group",POWER(Upgrades!$U$19,K277),1)*IF(Upgrades!$T$20="Moving Group",POWER(Upgrades!$U$20,L277),1))*POWER(Upgrades!$P$13,E277)*POWER(Upgrades!$P$14,F277)*POWER(Upgrades!$P$15,G277)*POWER(Upgrades!$P$16,H277)*POWER(Upgrades!$P$17,I277)*POWER(Upgrades!$P$18,J277)*POWER(Upgrades!$P$19,K277)*POWER(Upgrades!$P$20,L277)*POWER(Upgrades!$P$21,M277)*$F$6*60</f>
        <v/>
      </c>
      <c r="AJ277" s="27">
        <f>$C$6*60</f>
        <v/>
      </c>
      <c r="AK277" s="22">
        <f>IF(E277&gt;=Upgrades!$E$13,"",Upgrades!$C$13*POWER(Upgrades!$D$13,E277))</f>
        <v/>
      </c>
      <c r="AL277" s="22">
        <f>IF(F277&gt;=Upgrades!$E$14,"",Upgrades!$C$14*POWER(Upgrades!$D$14,F277))</f>
        <v/>
      </c>
      <c r="AM277" s="22">
        <f>IF(G277&gt;=Upgrades!$E$15,"",Upgrades!$C$15*POWER(Upgrades!$D$15,G277))</f>
        <v/>
      </c>
      <c r="AN277" s="22">
        <f>IF(H277&gt;=Upgrades!$E$16,"",Upgrades!$C$16*POWER(Upgrades!$D$16,H277))</f>
        <v/>
      </c>
      <c r="AO277" s="22">
        <f>IF(I277&gt;=Upgrades!$E$17,"",Upgrades!$C$17*POWER(Upgrades!$D$17,I277))</f>
        <v/>
      </c>
      <c r="AP277" s="22">
        <f>IF(J277&gt;=Upgrades!$E$18,"",Upgrades!$C$18*POWER(Upgrades!$D$18,J277))</f>
        <v/>
      </c>
      <c r="AQ277" s="22">
        <f>IF(K277&gt;=Upgrades!$E$19,"",Upgrades!$C$19*POWER(Upgrades!$D$19,K277))</f>
        <v/>
      </c>
      <c r="AR277" s="22">
        <f>IF(L277&gt;=Upgrades!$E$20,"",Upgrades!$C$20*POWER(Upgrades!$D$20,L277))</f>
        <v/>
      </c>
      <c r="AS277" s="22">
        <f>IF(M277&gt;=Upgrades!$E$21,"",Upgrades!$C$21*POWER(Upgrades!$D$21,M277))</f>
        <v/>
      </c>
      <c r="AT277" s="26">
        <f>IF(AND(D277&gt;=Parameters!$B$18*Parameters!$B$19,(I277&gt;=Upgrades!$E$17)*(M277&gt;=Upgrades!$E$21)=1,N277=0),1,"")</f>
        <v/>
      </c>
      <c r="AU277" s="26">
        <f>IF(AND(D277&gt;=Parameters!$B$18*Parameters!$B$19,N277=0),1,"")</f>
        <v/>
      </c>
      <c r="AV277" s="22">
        <f>MIN(IF(ISNUMBER(AP277),AP277,9E15),IF(ISNUMBER(AQ277),AQ277,9E15),IF(ISNUMBER(AR277),AR277,9E15),IF(ISNUMBER(AS277),AS277,9E15))</f>
        <v/>
      </c>
      <c r="AW277" s="22">
        <f>MIN(IF(ISNUMBER(AK277),AK277,9E15),IF(ISNUMBER(AL277),AL277,9E15),IF(ISNUMBER(AM277),AM277,9E15),IF(ISNUMBER(AN277),AN277,9E15),IF(ISNUMBER(AO277),AO277,9E15))</f>
        <v/>
      </c>
      <c r="AX277" s="29">
        <f>IF(BD277&gt;Parameters!$B$21*(MAX(IF(AND(NOT(AND(AU277=1,AT277&lt;&gt;1)),ISNUMBER(AK277),AK277&lt;=(C277+T277)),AY277,0),IF(AND(NOT(AND(AU277=1,AT277&lt;&gt;1)),ISNUMBER(AL277),AL277&lt;=(C277+T277)),AZ277,0),IF(AND(NOT(AND(AU277=1,AT277&lt;&gt;1)),ISNUMBER(AM277),AM277&lt;=(C277+T277)),BA277,0),IF(AND(NOT(AND(AU277=1,AT277&lt;&gt;1)),ISNUMBER(AN277),AN277&lt;=(C277+T277)),BB277,0),IF(AND(ISNUMBER(AO277),AO277&lt;=(C277+T277)),BC277,0))),TRUE,FALSE)</f>
        <v/>
      </c>
      <c r="AY277" s="32">
        <f>IFERROR(Upgrades!$H$13*(POWER(Upgrades!$P$13,E277)*POWER(Upgrades!$P$14,F277)*POWER(Upgrades!$P$15,G277)*POWER(Upgrades!$P$16,H277)*POWER(Upgrades!$P$17,I277)*POWER(Upgrades!$P$18,J277)*POWER(Upgrades!$P$19,K277)*POWER(Upgrades!$P$20,L277)*POWER(Upgrades!$P$21,M277))*(IF(Upgrades!$T$14="Stellar Kinematics",POWER(Upgrades!$U$14,F277),1)*IF(Upgrades!$T$15="Stellar Kinematics",POWER(Upgrades!$U$15,G277),1)*IF(Upgrades!$T$16="Stellar Kinematics",POWER(Upgrades!$U$16,H277),1)*IF(Upgrades!$T$17="Stellar Kinematics",POWER(Upgrades!$U$17,I277),1)*IF(Upgrades!$T$18="Stellar Kinematics",POWER(Upgrades!$U$18,J277),1)*IF(Upgrades!$T$19="Stellar Kinematics",POWER(Upgrades!$U$19,K277),1)*IF(Upgrades!$T$20="Stellar Kinematics",POWER(Upgrades!$U$20,L277),1)*IF(Upgrades!$T$21="Stellar Kinematics",POWER(Upgrades!$U$21,M277),1))*$F$6/AK277,0)</f>
        <v/>
      </c>
      <c r="AZ277" s="32">
        <f>IFERROR(Upgrades!$H$14*(POWER(Upgrades!$P$13,E277)*POWER(Upgrades!$P$14,F277)*POWER(Upgrades!$P$15,G277)*POWER(Upgrades!$P$16,H277)*POWER(Upgrades!$P$17,I277)*POWER(Upgrades!$P$18,J277)*POWER(Upgrades!$P$19,K277)*POWER(Upgrades!$P$20,L277)*POWER(Upgrades!$P$21,M277))*(IF(Upgrades!$T$13="Local Bubble",POWER(Upgrades!$U$13,E277),1)*IF(Upgrades!$T$15="Local Bubble",POWER(Upgrades!$U$15,G277),1)*IF(Upgrades!$T$16="Local Bubble",POWER(Upgrades!$U$16,H277),1)*IF(Upgrades!$T$17="Local Bubble",POWER(Upgrades!$U$17,I277),1)*IF(Upgrades!$T$18="Local Bubble",POWER(Upgrades!$U$18,J277),1)*IF(Upgrades!$T$19="Local Bubble",POWER(Upgrades!$U$19,K277),1)*IF(Upgrades!$T$20="Local Bubble",POWER(Upgrades!$U$20,L277),1)*IF(Upgrades!$T$21="Local Bubble",POWER(Upgrades!$U$21,M277),1))*$F$6/AL277,0)</f>
        <v/>
      </c>
      <c r="BA277" s="32">
        <f>IFERROR(Upgrades!$K$15*(POWER(Upgrades!$Q$13,E277)*POWER(Upgrades!$Q$14,F277)*POWER(Upgrades!$Q$15,G277)*POWER(Upgrades!$Q$16,H277)*POWER(Upgrades!$Q$17,I277)*POWER(Upgrades!$Q$18,J277)*POWER(Upgrades!$Q$19,K277)*POWER(Upgrades!$Q$20,L277)*POWER(Upgrades!$Q$21,M277))*(IF(Upgrades!$T$13="Microlensing",POWER(Upgrades!$U$13,E277),1)*IF(Upgrades!$T$14="Microlensing",POWER(Upgrades!$U$14,F277),1)*IF(Upgrades!$T$16="Microlensing",POWER(Upgrades!$U$16,H277),1)*IF(Upgrades!$T$17="Microlensing",POWER(Upgrades!$U$17,I277),1)*IF(Upgrades!$T$18="Microlensing",POWER(Upgrades!$U$18,J277),1)*IF(Upgrades!$T$19="Microlensing",POWER(Upgrades!$U$19,K277),1)*IF(Upgrades!$T$20="Microlensing",POWER(Upgrades!$U$20,L277),1)*IF(Upgrades!$T$21="Microlensing",POWER(Upgrades!$U$21,M277),1))*$G$6*(Parameters!$B$10/60*Parameters!$B$11+Q277)/AM277,0)</f>
        <v/>
      </c>
      <c r="BB277" s="32">
        <f>IFERROR((Upgrades!$N$16*(POWER(Upgrades!$R$13,E277)*POWER(Upgrades!$R$14,F277)*POWER(Upgrades!$R$15,G277)*POWER(Upgrades!$R$16,H277)*POWER(Upgrades!$R$17,I277)*POWER(Upgrades!$R$18,J277)*POWER(Upgrades!$R$19,K277)*POWER(Upgrades!$R$20,L277)*POWER(Upgrades!$R$21,M277))*(IF(Upgrades!$T$13="Roche Lobe Overflow",POWER(Upgrades!$U$13,E277),1)*IF(Upgrades!$T$14="Roche Lobe Overflow",POWER(Upgrades!$U$14,F277),1)*IF(Upgrades!$T$15="Roche Lobe Overflow",POWER(Upgrades!$U$15,G277),1)*IF(Upgrades!$T$17="Roche Lobe Overflow",POWER(Upgrades!$U$17,I277),1)*IF(Upgrades!$T$18="Roche Lobe Overflow",POWER(Upgrades!$U$18,J277),1)*IF(Upgrades!$T$19="Roche Lobe Overflow",POWER(Upgrades!$U$19,K277),1)*IF(Upgrades!$T$20="Roche Lobe Overflow",POWER(Upgrades!$U$20,L277),1)*IF(Upgrades!$T$21="Roche Lobe Overflow",POWER(Upgrades!$U$21,M277),1))*$H$6*O277+((IF(F277=0,0,(Upgrades!$G$14+F277*Upgrades!$H$14)*POWER(Upgrades!$I$14,F277)))*(IF(Upgrades!$T$13="Local Bubble",POWER(Upgrades!$U$13,E277),1)*IF(Upgrades!$T$15="Local Bubble",POWER(Upgrades!$U$15,G277),1)*IF(Upgrades!$T$16="Local Bubble",POWER(Upgrades!$U$16,H277),1)*IF(Upgrades!$T$17="Local Bubble",POWER(Upgrades!$U$17,I277),1)*IF(Upgrades!$T$18="Local Bubble",POWER(Upgrades!$U$18,J277),1)*IF(Upgrades!$T$19="Local Bubble",POWER(Upgrades!$U$19,K277),1)*IF(Upgrades!$T$20="Local Bubble",POWER(Upgrades!$U$20,L277),1)*IF(Upgrades!$T$21="Local Bubble",POWER(Upgrades!$U$21,M277),1))*POWER(Upgrades!$P$13,E277)*POWER(Upgrades!$P$14,F277)*POWER(Upgrades!$P$15,G277)*POWER(Upgrades!$P$16,H277)*POWER(Upgrades!$P$17,I277)*POWER(Upgrades!$P$18,J277)*POWER(Upgrades!$P$19,K277)*POWER(Upgrades!$P$20,L277)*POWER(Upgrades!$P$21,M277)*$F$6)*0.05)/AN277,0)</f>
        <v/>
      </c>
      <c r="BC277" s="32">
        <f>IFERROR((Upgrades!$H$17*(POWER(Upgrades!$P$13,E277)*POWER(Upgrades!$P$14,F277)*POWER(Upgrades!$P$15,G277)*POWER(Upgrades!$P$16,H277)*POWER(Upgrades!$P$17,I277)*POWER(Upgrades!$P$18,J277)*POWER(Upgrades!$P$19,K277)*POWER(Upgrades!$P$20,L277)*POWER(Upgrades!$P$21,M277))*(IF(Upgrades!$T$13="Brown Dwarf",POWER(Upgrades!$U$13,E277),1)*IF(Upgrades!$T$14="Brown Dwarf",POWER(Upgrades!$U$14,F277),1)*IF(Upgrades!$T$15="Brown Dwarf",POWER(Upgrades!$U$15,G277),1)*IF(Upgrades!$T$16="Brown Dwarf",POWER(Upgrades!$U$16,H277),1)*IF(Upgrades!$T$18="Brown Dwarf",POWER(Upgrades!$U$18,J277),1)*IF(Upgrades!$T$19="Brown Dwarf",POWER(Upgrades!$U$19,K277),1)*IF(Upgrades!$T$20="Brown Dwarf",POWER(Upgrades!$U$20,L277),1)*IF(Upgrades!$T$21="Brown Dwarf",POWER(Upgrades!$U$21,M277),1))*$F$6+(((IF(H277=0,0,(Upgrades!$M$16+H277*Upgrades!$N$16)*POWER(Upgrades!$O$16,H277)))*(IF(Upgrades!$T$13="Roche Lobe Overflow",POWER(Upgrades!$U$13,E277),1)*IF(Upgrades!$T$14="Roche Lobe Overflow",POWER(Upgrades!$U$14,F277),1)*IF(Upgrades!$T$15="Roche Lobe Overflow",POWER(Upgrades!$U$15,G277),1)*IF(Upgrades!$T$17="Roche Lobe Overflow",POWER(Upgrades!$U$17,I277),1)*IF(Upgrades!$T$18="Roche Lobe Overflow",POWER(Upgrades!$U$18,J277),1)*IF(Upgrades!$T$19="Roche Lobe Overflow",POWER(Upgrades!$U$19,K277),1)*IF(Upgrades!$T$20="Roche Lobe Overflow",POWER(Upgrades!$U$20,L277),1)*IF(Upgrades!$T$21="Roche Lobe Overflow",POWER(Upgrades!$U$21,M277),1))*POWER(Upgrades!$R$13,E277)*POWER(Upgrades!$R$14,F277)*POWER(Upgrades!$R$15,G277)*POWER(Upgrades!$R$16,H277)*POWER(Upgrades!$R$17,I277)*POWER(Upgrades!$R$18,J277)*POWER(Upgrades!$R$19,K277)*POWER(Upgrades!$R$20,L277)*POWER(Upgrades!$R$21,M277)*$H$6)*O277)*0.10)/AO277,0)</f>
        <v/>
      </c>
      <c r="BD277" s="32">
        <f>MAX(IF(J277&gt;0,0,IFERROR(0.5*((IF(G277=0,0,(Upgrades!$J$15+G277*Upgrades!$K$15)*POWER(Upgrades!$L$15,G277)))*(IF(Upgrades!$T$13="Microlensing",POWER(Upgrades!$U$13,E277),1)*IF(Upgrades!$T$14="Microlensing",POWER(Upgrades!$U$14,F277),1)*IF(Upgrades!$T$16="Microlensing",POWER(Upgrades!$U$16,H277),1)*IF(Upgrades!$T$17="Microlensing",POWER(Upgrades!$U$17,I277),1)*IF(Upgrades!$T$18="Microlensing",POWER(Upgrades!$U$18,J277),1)*IF(Upgrades!$T$19="Microlensing",POWER(Upgrades!$U$19,K277),1)*IF(Upgrades!$T$20="Microlensing",POWER(Upgrades!$U$20,L277),1)*IF(Upgrades!$T$21="Microlensing",POWER(Upgrades!$U$21,M277),1))*(POWER(Upgrades!$Q$13,E277)*POWER(Upgrades!$Q$14,F277)*POWER(Upgrades!$Q$15,G277)*POWER(Upgrades!$Q$16,H277)*POWER(Upgrades!$Q$17,I277)*POWER(Upgrades!$Q$18,J277)*POWER(Upgrades!$Q$19,K277)*POWER(Upgrades!$Q$20,L277)*POWER(Upgrades!$Q$21,M277))*$G$6*(Parameters!$B$10/60*Parameters!$B$11+Q277))/Upgrades!$C$18,0)),IF(K277&gt;0,0,IFERROR(0.30*P277/Upgrades!$C$19,0)),IF(L277&gt;0,0,IFERROR(0.0001/Upgrades!$C$20,0)),IF(M277&gt;0,0,IFERROR((6.0*(POWER(Upgrades!$P$13,E277)*POWER(Upgrades!$P$14,F277)*POWER(Upgrades!$P$15,G277)*POWER(Upgrades!$P$16,H277)*POWER(Upgrades!$P$17,I277)*POWER(Upgrades!$P$18,J277)*POWER(Upgrades!$P$19,K277)*POWER(Upgrades!$P$20,L277)*POWER(Upgrades!$P$21,M277))*$F$6+0.20*O277*(Parameters!$B$10/60*Parameters!$B$11+Q277))/Upgrades!$C$21,0)),IF(AND(ISNUMBER(AK277),AK277&gt;(C277+T277)),AY277,0),IF(AND(ISNUMBER(AL277),AL277&gt;(C277+T277)),AZ277,0),IF(AND(ISNUMBER(AM277),AM277&gt;(C277+T277)),BA277,0),IF(AND(ISNUMBER(AN277),AN277&gt;(C277+T277)),BB277,0),IF(AND(ISNUMBER(AO277),AO277&gt;(C277+T277)),BC277,0))</f>
        <v/>
      </c>
      <c r="BE277" s="29">
        <f>IF(AT277=1,"transition",IF(MIN(IF(AND(J277=0,ISNUMBER(AP277),AP277&lt;=(C277+T277)),AP277,9E15),IF(AND(K277=0,ISNUMBER(AQ277),AQ277&lt;=(C277+T277)),AQ277,9E15),IF(AND(L277=0,ISNUMBER(AR277),AR277&lt;=(C277+T277)),AR277,9E15),IF(AND(M277=0,ISNUMBER(AS277),AS277&lt;=(C277+T277)),AS277,9E15))&lt;9E15,IF(AND(AND(J277=0,ISNUMBER(AP277),AP277&lt;=(C277+T277)),AP277=MIN(IF(AND(J277=0,ISNUMBER(AP277),AP277&lt;=(C277+T277)),AP277,9E15),IF(AND(K277=0,ISNUMBER(AQ277),AQ277&lt;=(C277+T277)),AQ277,9E15),IF(AND(L277=0,ISNUMBER(AR277),AR277&lt;=(C277+T277)),AR277,9E15),IF(AND(M277=0,ISNUMBER(AS277),AS277&lt;=(C277+T277)),AS277,9E15))),"BiP",IF(AND(AND(K277=0,ISNUMBER(AQ277),AQ277&lt;=(C277+T277)),AQ277=MIN(IF(AND(J277=0,ISNUMBER(AP277),AP277&lt;=(C277+T277)),AP277,9E15),IF(AND(K277=0,ISNUMBER(AQ277),AQ277&lt;=(C277+T277)),AQ277,9E15),IF(AND(L277=0,ISNUMBER(AR277),AR277&lt;=(C277+T277)),AR277,9E15),IF(AND(M277=0,ISNUMBER(AS277),AS277&lt;=(C277+T277)),AS277,9E15))),"PV",IF(AND(AND(L277=0,ISNUMBER(AR277),AR277&lt;=(C277+T277)),AR277=MIN(IF(AND(J277=0,ISNUMBER(AP277),AP277&lt;=(C277+T277)),AP277,9E15),IF(AND(K277=0,ISNUMBER(AQ277),AQ277&lt;=(C277+T277)),AQ277,9E15),IF(AND(L277=0,ISNUMBER(AR277),AR277&lt;=(C277+T277)),AR277,9E15),IF(AND(M277=0,ISNUMBER(AS277),AS277&lt;=(C277+T277)),AS277,9E15))),"OC","MG"))),IF(AX277=TRUE,"",IF(MAX(IF(AND(NOT(AND(AU277=1,AT277&lt;&gt;1)),ISNUMBER(AK277),AK277&lt;=(C277+T277)),AY277,0),IF(AND(NOT(AND(AU277=1,AT277&lt;&gt;1)),ISNUMBER(AL277),AL277&lt;=(C277+T277)),AZ277,0),IF(AND(NOT(AND(AU277=1,AT277&lt;&gt;1)),ISNUMBER(AM277),AM277&lt;=(C277+T277)),BA277,0),IF(AND(NOT(AND(AU277=1,AT277&lt;&gt;1)),ISNUMBER(AN277),AN277&lt;=(C277+T277)),BB277,0),IF(AND(ISNUMBER(AO277),AO277&lt;=(C277+T277)),BC277,0))&lt;=0,"",IF(AND(IF(AND(NOT(AND(AU277=1,AT277&lt;&gt;1)),ISNUMBER(AK277),AK277&lt;=(C277+T277)),AY277,0)&gt;0,IF(AND(NOT(AND(AU277=1,AT277&lt;&gt;1)),ISNUMBER(AK277),AK277&lt;=(C277+T277)),AY277,0)=MAX(IF(AND(NOT(AND(AU277=1,AT277&lt;&gt;1)),ISNUMBER(AK277),AK277&lt;=(C277+T277)),AY277,0),IF(AND(NOT(AND(AU277=1,AT277&lt;&gt;1)),ISNUMBER(AL277),AL277&lt;=(C277+T277)),AZ277,0),IF(AND(NOT(AND(AU277=1,AT277&lt;&gt;1)),ISNUMBER(AM277),AM277&lt;=(C277+T277)),BA277,0),IF(AND(NOT(AND(AU277=1,AT277&lt;&gt;1)),ISNUMBER(AN277),AN277&lt;=(C277+T277)),BB277,0),IF(AND(ISNUMBER(AO277),AO277&lt;=(C277+T277)),BC277,0))),"SK",IF(AND(IF(AND(NOT(AND(AU277=1,AT277&lt;&gt;1)),ISNUMBER(AL277),AL277&lt;=(C277+T277)),AZ277,0)&gt;0,IF(AND(NOT(AND(AU277=1,AT277&lt;&gt;1)),ISNUMBER(AL277),AL277&lt;=(C277+T277)),AZ277,0)=MAX(IF(AND(NOT(AND(AU277=1,AT277&lt;&gt;1)),ISNUMBER(AK277),AK277&lt;=(C277+T277)),AY277,0),IF(AND(NOT(AND(AU277=1,AT277&lt;&gt;1)),ISNUMBER(AL277),AL277&lt;=(C277+T277)),AZ277,0),IF(AND(NOT(AND(AU277=1,AT277&lt;&gt;1)),ISNUMBER(AM277),AM277&lt;=(C277+T277)),BA277,0),IF(AND(NOT(AND(AU277=1,AT277&lt;&gt;1)),ISNUMBER(AN277),AN277&lt;=(C277+T277)),BB277,0),IF(AND(ISNUMBER(AO277),AO277&lt;=(C277+T277)),BC277,0))),"LB",IF(AND(IF(AND(NOT(AND(AU277=1,AT277&lt;&gt;1)),ISNUMBER(AM277),AM277&lt;=(C277+T277)),BA277,0)&gt;0,IF(AND(NOT(AND(AU277=1,AT277&lt;&gt;1)),ISNUMBER(AM277),AM277&lt;=(C277+T277)),BA277,0)=MAX(IF(AND(NOT(AND(AU277=1,AT277&lt;&gt;1)),ISNUMBER(AK277),AK277&lt;=(C277+T277)),AY277,0),IF(AND(NOT(AND(AU277=1,AT277&lt;&gt;1)),ISNUMBER(AL277),AL277&lt;=(C277+T277)),AZ277,0),IF(AND(NOT(AND(AU277=1,AT277&lt;&gt;1)),ISNUMBER(AM277),AM277&lt;=(C277+T277)),BA277,0),IF(AND(NOT(AND(AU277=1,AT277&lt;&gt;1)),ISNUMBER(AN277),AN277&lt;=(C277+T277)),BB277,0),IF(AND(ISNUMBER(AO277),AO277&lt;=(C277+T277)),BC277,0))),"ML",IF(AND(IF(AND(NOT(AND(AU277=1,AT277&lt;&gt;1)),ISNUMBER(AN277),AN277&lt;=(C277+T277)),BB277,0)&gt;0,IF(AND(NOT(AND(AU277=1,AT277&lt;&gt;1)),ISNUMBER(AN277),AN277&lt;=(C277+T277)),BB277,0)=MAX(IF(AND(NOT(AND(AU277=1,AT277&lt;&gt;1)),ISNUMBER(AK277),AK277&lt;=(C277+T277)),AY277,0),IF(AND(NOT(AND(AU277=1,AT277&lt;&gt;1)),ISNUMBER(AL277),AL277&lt;=(C277+T277)),AZ277,0),IF(AND(NOT(AND(AU277=1,AT277&lt;&gt;1)),ISNUMBER(AM277),AM277&lt;=(C277+T277)),BA277,0),IF(AND(NOT(AND(AU277=1,AT277&lt;&gt;1)),ISNUMBER(AN277),AN277&lt;=(C277+T277)),BB277,0),IF(AND(ISNUMBER(AO277),AO277&lt;=(C277+T277)),BC277,0))),"RLO","BD"))))))))</f>
        <v/>
      </c>
    </row>
    <row r="278">
      <c r="A278" s="26" t="n">
        <v>267</v>
      </c>
      <c r="B278" s="27">
        <f>A278*10/60</f>
        <v/>
      </c>
      <c r="C278" s="22">
        <f>X277</f>
        <v/>
      </c>
      <c r="D278" s="27">
        <f>D277+W277</f>
        <v/>
      </c>
      <c r="E278" s="26">
        <f>E277+IF(U277="SK",1,0)</f>
        <v/>
      </c>
      <c r="F278" s="26">
        <f>F277+IF(U277="LB",1,0)</f>
        <v/>
      </c>
      <c r="G278" s="26">
        <f>G277+IF(U277="ML",1,0)</f>
        <v/>
      </c>
      <c r="H278" s="26">
        <f>H277+IF(U277="RLO",1,0)</f>
        <v/>
      </c>
      <c r="I278" s="26">
        <f>I277+IF(U277="BD",1,0)</f>
        <v/>
      </c>
      <c r="J278" s="26">
        <f>MAX(J277,IF(U277="BiP",1,0))</f>
        <v/>
      </c>
      <c r="K278" s="26">
        <f>MAX(K277,IF(U277="PV",1,0))</f>
        <v/>
      </c>
      <c r="L278" s="26">
        <f>MAX(L277,IF(U277="OC",1,0))</f>
        <v/>
      </c>
      <c r="M278" s="26">
        <f>MAX(M277,IF(U277="MG",1,0))</f>
        <v/>
      </c>
      <c r="N278" s="26">
        <f>MAX(N277,IF(U277="transition",1,0))</f>
        <v/>
      </c>
      <c r="O278" s="28">
        <f>(Parameters!$B$9+(IF(E278=0,0,(Upgrades!$J$13+E278*Upgrades!$K$13)*POWER(Upgrades!$L$13,E278)))*(IF(Upgrades!$T$14="Stellar Kinematics",POWER(Upgrades!$U$14,F278),1)*IF(Upgrades!$T$15="Stellar Kinematics",POWER(Upgrades!$U$15,G278),1)*IF(Upgrades!$T$16="Stellar Kinematics",POWER(Upgrades!$U$16,H278),1)*IF(Upgrades!$T$17="Stellar Kinematics",POWER(Upgrades!$U$17,I278),1)*IF(Upgrades!$T$18="Stellar Kinematics",POWER(Upgrades!$U$18,J278),1)*IF(Upgrades!$T$19="Stellar Kinematics",POWER(Upgrades!$U$19,K278),1)*IF(Upgrades!$T$20="Stellar Kinematics",POWER(Upgrades!$U$20,L278),1)*IF(Upgrades!$T$21="Stellar Kinematics",POWER(Upgrades!$U$21,M278),1))+(IF(F278=0,0,(Upgrades!$J$14+F278*Upgrades!$K$14)*POWER(Upgrades!$L$14,F278)))*(IF(Upgrades!$T$13="Local Bubble",POWER(Upgrades!$U$13,E278),1)*IF(Upgrades!$T$15="Local Bubble",POWER(Upgrades!$U$15,G278),1)*IF(Upgrades!$T$16="Local Bubble",POWER(Upgrades!$U$16,H278),1)*IF(Upgrades!$T$17="Local Bubble",POWER(Upgrades!$U$17,I278),1)*IF(Upgrades!$T$18="Local Bubble",POWER(Upgrades!$U$18,J278),1)*IF(Upgrades!$T$19="Local Bubble",POWER(Upgrades!$U$19,K278),1)*IF(Upgrades!$T$20="Local Bubble",POWER(Upgrades!$U$20,L278),1)*IF(Upgrades!$T$21="Local Bubble",POWER(Upgrades!$U$21,M278),1))+(IF(G278=0,0,(Upgrades!$J$15+G278*Upgrades!$K$15)*POWER(Upgrades!$L$15,G278)))*(IF(Upgrades!$T$13="Microlensing",POWER(Upgrades!$U$13,E278),1)*IF(Upgrades!$T$14="Microlensing",POWER(Upgrades!$U$14,F278),1)*IF(Upgrades!$T$16="Microlensing",POWER(Upgrades!$U$16,H278),1)*IF(Upgrades!$T$17="Microlensing",POWER(Upgrades!$U$17,I278),1)*IF(Upgrades!$T$18="Microlensing",POWER(Upgrades!$U$18,J278),1)*IF(Upgrades!$T$19="Microlensing",POWER(Upgrades!$U$19,K278),1)*IF(Upgrades!$T$20="Microlensing",POWER(Upgrades!$U$20,L278),1)*IF(Upgrades!$T$21="Microlensing",POWER(Upgrades!$U$21,M278),1))+(IF(H278=0,0,(Upgrades!$J$16+H278*Upgrades!$K$16)*POWER(Upgrades!$L$16,H278)))*(IF(Upgrades!$T$13="Roche Lobe Overflow",POWER(Upgrades!$U$13,E278),1)*IF(Upgrades!$T$14="Roche Lobe Overflow",POWER(Upgrades!$U$14,F278),1)*IF(Upgrades!$T$15="Roche Lobe Overflow",POWER(Upgrades!$U$15,G278),1)*IF(Upgrades!$T$17="Roche Lobe Overflow",POWER(Upgrades!$U$17,I278),1)*IF(Upgrades!$T$18="Roche Lobe Overflow",POWER(Upgrades!$U$18,J278),1)*IF(Upgrades!$T$19="Roche Lobe Overflow",POWER(Upgrades!$U$19,K278),1)*IF(Upgrades!$T$20="Roche Lobe Overflow",POWER(Upgrades!$U$20,L278),1)*IF(Upgrades!$T$21="Roche Lobe Overflow",POWER(Upgrades!$U$21,M278),1))+(IF(I278=0,0,(Upgrades!$J$17+I278*Upgrades!$K$17)*POWER(Upgrades!$L$17,I278)))*(IF(Upgrades!$T$13="Brown Dwarf",POWER(Upgrades!$U$13,E278),1)*IF(Upgrades!$T$14="Brown Dwarf",POWER(Upgrades!$U$14,F278),1)*IF(Upgrades!$T$15="Brown Dwarf",POWER(Upgrades!$U$15,G278),1)*IF(Upgrades!$T$16="Brown Dwarf",POWER(Upgrades!$U$16,H278),1)*IF(Upgrades!$T$18="Brown Dwarf",POWER(Upgrades!$U$18,J278),1)*IF(Upgrades!$T$19="Brown Dwarf",POWER(Upgrades!$U$19,K278),1)*IF(Upgrades!$T$20="Brown Dwarf",POWER(Upgrades!$U$20,L278),1)*IF(Upgrades!$T$21="Brown Dwarf",POWER(Upgrades!$U$21,M278),1))+(IF(J278=0,0,(Upgrades!$J$18+J278*Upgrades!$K$18)*POWER(Upgrades!$L$18,J278)))*(IF(Upgrades!$T$13="Binary Partner",POWER(Upgrades!$U$13,E278),1)*IF(Upgrades!$T$14="Binary Partner",POWER(Upgrades!$U$14,F278),1)*IF(Upgrades!$T$15="Binary Partner",POWER(Upgrades!$U$15,G278),1)*IF(Upgrades!$T$16="Binary Partner",POWER(Upgrades!$U$16,H278),1)*IF(Upgrades!$T$17="Binary Partner",POWER(Upgrades!$U$17,I278),1)*IF(Upgrades!$T$19="Binary Partner",POWER(Upgrades!$U$19,K278),1)*IF(Upgrades!$T$20="Binary Partner",POWER(Upgrades!$U$20,L278),1)*IF(Upgrades!$T$21="Binary Partner",POWER(Upgrades!$U$21,M278),1))+(IF(K278=0,0,(Upgrades!$J$19+K278*Upgrades!$K$19)*POWER(Upgrades!$L$19,K278)))*(IF(Upgrades!$T$13="Peculiar Velocity",POWER(Upgrades!$U$13,E278),1)*IF(Upgrades!$T$14="Peculiar Velocity",POWER(Upgrades!$U$14,F278),1)*IF(Upgrades!$T$15="Peculiar Velocity",POWER(Upgrades!$U$15,G278),1)*IF(Upgrades!$T$16="Peculiar Velocity",POWER(Upgrades!$U$16,H278),1)*IF(Upgrades!$T$17="Peculiar Velocity",POWER(Upgrades!$U$17,I278),1)*IF(Upgrades!$T$18="Peculiar Velocity",POWER(Upgrades!$U$18,J278),1)*IF(Upgrades!$T$20="Peculiar Velocity",POWER(Upgrades!$U$20,L278),1)*IF(Upgrades!$T$21="Peculiar Velocity",POWER(Upgrades!$U$21,M278),1))+(IF(L278=0,0,(Upgrades!$J$20+L278*Upgrades!$K$20)*POWER(Upgrades!$L$20,L278)))*(IF(Upgrades!$T$13="Open Cluster",POWER(Upgrades!$U$13,E278),1)*IF(Upgrades!$T$14="Open Cluster",POWER(Upgrades!$U$14,F278),1)*IF(Upgrades!$T$15="Open Cluster",POWER(Upgrades!$U$15,G278),1)*IF(Upgrades!$T$16="Open Cluster",POWER(Upgrades!$U$16,H278),1)*IF(Upgrades!$T$17="Open Cluster",POWER(Upgrades!$U$17,I278),1)*IF(Upgrades!$T$18="Open Cluster",POWER(Upgrades!$U$18,J278),1)*IF(Upgrades!$T$19="Open Cluster",POWER(Upgrades!$U$19,K278),1)*IF(Upgrades!$T$21="Open Cluster",POWER(Upgrades!$U$21,M278),1))+(IF(M278=0,0,(Upgrades!$J$21+M278*Upgrades!$K$21)*POWER(Upgrades!$L$21,M278)))*(IF(Upgrades!$T$13="Moving Group",POWER(Upgrades!$U$13,E278),1)*IF(Upgrades!$T$14="Moving Group",POWER(Upgrades!$U$14,F278),1)*IF(Upgrades!$T$15="Moving Group",POWER(Upgrades!$U$15,G278),1)*IF(Upgrades!$T$16="Moving Group",POWER(Upgrades!$U$16,H278),1)*IF(Upgrades!$T$17="Moving Group",POWER(Upgrades!$U$17,I278),1)*IF(Upgrades!$T$18="Moving Group",POWER(Upgrades!$U$18,J278),1)*IF(Upgrades!$T$19="Moving Group",POWER(Upgrades!$U$19,K278),1)*IF(Upgrades!$T$20="Moving Group",POWER(Upgrades!$U$20,L278),1)))*POWER(Upgrades!$Q$13,E278)*POWER(Upgrades!$Q$14,F278)*POWER(Upgrades!$Q$15,G278)*POWER(Upgrades!$Q$16,H278)*POWER(Upgrades!$Q$17,I278)*POWER(Upgrades!$Q$18,J278)*POWER(Upgrades!$Q$19,K278)*POWER(Upgrades!$Q$20,L278)*POWER(Upgrades!$Q$21,M278)*$G$6+$D$6</f>
        <v/>
      </c>
      <c r="P278" s="28">
        <f>((IF(E278=0,0,(Upgrades!$G$13+E278*Upgrades!$H$13)*POWER(Upgrades!$I$13,E278)))*(IF(Upgrades!$T$14="Stellar Kinematics",POWER(Upgrades!$U$14,F278),1)*IF(Upgrades!$T$15="Stellar Kinematics",POWER(Upgrades!$U$15,G278),1)*IF(Upgrades!$T$16="Stellar Kinematics",POWER(Upgrades!$U$16,H278),1)*IF(Upgrades!$T$17="Stellar Kinematics",POWER(Upgrades!$U$17,I278),1)*IF(Upgrades!$T$18="Stellar Kinematics",POWER(Upgrades!$U$18,J278),1)*IF(Upgrades!$T$19="Stellar Kinematics",POWER(Upgrades!$U$19,K278),1)*IF(Upgrades!$T$20="Stellar Kinematics",POWER(Upgrades!$U$20,L278),1)*IF(Upgrades!$T$21="Stellar Kinematics",POWER(Upgrades!$U$21,M278),1))+(IF(F278=0,0,(Upgrades!$G$14+F278*Upgrades!$H$14)*POWER(Upgrades!$I$14,F278)))*(IF(Upgrades!$T$13="Local Bubble",POWER(Upgrades!$U$13,E278),1)*IF(Upgrades!$T$15="Local Bubble",POWER(Upgrades!$U$15,G278),1)*IF(Upgrades!$T$16="Local Bubble",POWER(Upgrades!$U$16,H278),1)*IF(Upgrades!$T$17="Local Bubble",POWER(Upgrades!$U$17,I278),1)*IF(Upgrades!$T$18="Local Bubble",POWER(Upgrades!$U$18,J278),1)*IF(Upgrades!$T$19="Local Bubble",POWER(Upgrades!$U$19,K278),1)*IF(Upgrades!$T$20="Local Bubble",POWER(Upgrades!$U$20,L278),1)*IF(Upgrades!$T$21="Local Bubble",POWER(Upgrades!$U$21,M278),1))+(IF(G278=0,0,(Upgrades!$G$15+G278*Upgrades!$H$15)*POWER(Upgrades!$I$15,G278)))*(IF(Upgrades!$T$13="Microlensing",POWER(Upgrades!$U$13,E278),1)*IF(Upgrades!$T$14="Microlensing",POWER(Upgrades!$U$14,F278),1)*IF(Upgrades!$T$16="Microlensing",POWER(Upgrades!$U$16,H278),1)*IF(Upgrades!$T$17="Microlensing",POWER(Upgrades!$U$17,I278),1)*IF(Upgrades!$T$18="Microlensing",POWER(Upgrades!$U$18,J278),1)*IF(Upgrades!$T$19="Microlensing",POWER(Upgrades!$U$19,K278),1)*IF(Upgrades!$T$20="Microlensing",POWER(Upgrades!$U$20,L278),1)*IF(Upgrades!$T$21="Microlensing",POWER(Upgrades!$U$21,M278),1))+(IF(H278=0,0,(Upgrades!$G$16+H278*Upgrades!$H$16)*POWER(Upgrades!$I$16,H278)))*(IF(Upgrades!$T$13="Roche Lobe Overflow",POWER(Upgrades!$U$13,E278),1)*IF(Upgrades!$T$14="Roche Lobe Overflow",POWER(Upgrades!$U$14,F278),1)*IF(Upgrades!$T$15="Roche Lobe Overflow",POWER(Upgrades!$U$15,G278),1)*IF(Upgrades!$T$17="Roche Lobe Overflow",POWER(Upgrades!$U$17,I278),1)*IF(Upgrades!$T$18="Roche Lobe Overflow",POWER(Upgrades!$U$18,J278),1)*IF(Upgrades!$T$19="Roche Lobe Overflow",POWER(Upgrades!$U$19,K278),1)*IF(Upgrades!$T$20="Roche Lobe Overflow",POWER(Upgrades!$U$20,L278),1)*IF(Upgrades!$T$21="Roche Lobe Overflow",POWER(Upgrades!$U$21,M278),1))+(IF(I278=0,0,(Upgrades!$G$17+I278*Upgrades!$H$17)*POWER(Upgrades!$I$17,I278)))*(IF(Upgrades!$T$13="Brown Dwarf",POWER(Upgrades!$U$13,E278),1)*IF(Upgrades!$T$14="Brown Dwarf",POWER(Upgrades!$U$14,F278),1)*IF(Upgrades!$T$15="Brown Dwarf",POWER(Upgrades!$U$15,G278),1)*IF(Upgrades!$T$16="Brown Dwarf",POWER(Upgrades!$U$16,H278),1)*IF(Upgrades!$T$18="Brown Dwarf",POWER(Upgrades!$U$18,J278),1)*IF(Upgrades!$T$19="Brown Dwarf",POWER(Upgrades!$U$19,K278),1)*IF(Upgrades!$T$20="Brown Dwarf",POWER(Upgrades!$U$20,L278),1)*IF(Upgrades!$T$21="Brown Dwarf",POWER(Upgrades!$U$21,M278),1))+(IF(J278=0,0,(Upgrades!$G$18+J278*Upgrades!$H$18)*POWER(Upgrades!$I$18,J278)))*(IF(Upgrades!$T$13="Binary Partner",POWER(Upgrades!$U$13,E278),1)*IF(Upgrades!$T$14="Binary Partner",POWER(Upgrades!$U$14,F278),1)*IF(Upgrades!$T$15="Binary Partner",POWER(Upgrades!$U$15,G278),1)*IF(Upgrades!$T$16="Binary Partner",POWER(Upgrades!$U$16,H278),1)*IF(Upgrades!$T$17="Binary Partner",POWER(Upgrades!$U$17,I278),1)*IF(Upgrades!$T$19="Binary Partner",POWER(Upgrades!$U$19,K278),1)*IF(Upgrades!$T$20="Binary Partner",POWER(Upgrades!$U$20,L278),1)*IF(Upgrades!$T$21="Binary Partner",POWER(Upgrades!$U$21,M278),1))+(IF(K278=0,0,(Upgrades!$G$19+K278*Upgrades!$H$19)*POWER(Upgrades!$I$19,K278)))*(IF(Upgrades!$T$13="Peculiar Velocity",POWER(Upgrades!$U$13,E278),1)*IF(Upgrades!$T$14="Peculiar Velocity",POWER(Upgrades!$U$14,F278),1)*IF(Upgrades!$T$15="Peculiar Velocity",POWER(Upgrades!$U$15,G278),1)*IF(Upgrades!$T$16="Peculiar Velocity",POWER(Upgrades!$U$16,H278),1)*IF(Upgrades!$T$17="Peculiar Velocity",POWER(Upgrades!$U$17,I278),1)*IF(Upgrades!$T$18="Peculiar Velocity",POWER(Upgrades!$U$18,J278),1)*IF(Upgrades!$T$20="Peculiar Velocity",POWER(Upgrades!$U$20,L278),1)*IF(Upgrades!$T$21="Peculiar Velocity",POWER(Upgrades!$U$21,M278),1))+(IF(L278=0,0,(Upgrades!$G$20+L278*Upgrades!$H$20)*POWER(Upgrades!$I$20,L278)))*(IF(Upgrades!$T$13="Open Cluster",POWER(Upgrades!$U$13,E278),1)*IF(Upgrades!$T$14="Open Cluster",POWER(Upgrades!$U$14,F278),1)*IF(Upgrades!$T$15="Open Cluster",POWER(Upgrades!$U$15,G278),1)*IF(Upgrades!$T$16="Open Cluster",POWER(Upgrades!$U$16,H278),1)*IF(Upgrades!$T$17="Open Cluster",POWER(Upgrades!$U$17,I278),1)*IF(Upgrades!$T$18="Open Cluster",POWER(Upgrades!$U$18,J278),1)*IF(Upgrades!$T$19="Open Cluster",POWER(Upgrades!$U$19,K278),1)*IF(Upgrades!$T$21="Open Cluster",POWER(Upgrades!$U$21,M278),1))+(IF(M278=0,0,(Upgrades!$G$21+M278*Upgrades!$H$21)*POWER(Upgrades!$I$21,M278)))*(IF(Upgrades!$T$13="Moving Group",POWER(Upgrades!$U$13,E278),1)*IF(Upgrades!$T$14="Moving Group",POWER(Upgrades!$U$14,F278),1)*IF(Upgrades!$T$15="Moving Group",POWER(Upgrades!$U$15,G278),1)*IF(Upgrades!$T$16="Moving Group",POWER(Upgrades!$U$16,H278),1)*IF(Upgrades!$T$17="Moving Group",POWER(Upgrades!$U$17,I278),1)*IF(Upgrades!$T$18="Moving Group",POWER(Upgrades!$U$18,J278),1)*IF(Upgrades!$T$19="Moving Group",POWER(Upgrades!$U$19,K278),1)*IF(Upgrades!$T$20="Moving Group",POWER(Upgrades!$U$20,L278),1)))*POWER(Upgrades!$P$13,E278)*POWER(Upgrades!$P$14,F278)*POWER(Upgrades!$P$15,G278)*POWER(Upgrades!$P$16,H278)*POWER(Upgrades!$P$17,I278)*POWER(Upgrades!$P$18,J278)*POWER(Upgrades!$P$19,K278)*POWER(Upgrades!$P$20,L278)*POWER(Upgrades!$P$21,M278)*$F$6+$C$6</f>
        <v/>
      </c>
      <c r="Q278" s="28">
        <f>((IF(E278=0,0,(Upgrades!$M$13+E278*Upgrades!$N$13)*POWER(Upgrades!$O$13,E278)))*(IF(Upgrades!$T$14="Stellar Kinematics",POWER(Upgrades!$U$14,F278),1)*IF(Upgrades!$T$15="Stellar Kinematics",POWER(Upgrades!$U$15,G278),1)*IF(Upgrades!$T$16="Stellar Kinematics",POWER(Upgrades!$U$16,H278),1)*IF(Upgrades!$T$17="Stellar Kinematics",POWER(Upgrades!$U$17,I278),1)*IF(Upgrades!$T$18="Stellar Kinematics",POWER(Upgrades!$U$18,J278),1)*IF(Upgrades!$T$19="Stellar Kinematics",POWER(Upgrades!$U$19,K278),1)*IF(Upgrades!$T$20="Stellar Kinematics",POWER(Upgrades!$U$20,L278),1)*IF(Upgrades!$T$21="Stellar Kinematics",POWER(Upgrades!$U$21,M278),1))+(IF(F278=0,0,(Upgrades!$M$14+F278*Upgrades!$N$14)*POWER(Upgrades!$O$14,F278)))*(IF(Upgrades!$T$13="Local Bubble",POWER(Upgrades!$U$13,E278),1)*IF(Upgrades!$T$15="Local Bubble",POWER(Upgrades!$U$15,G278),1)*IF(Upgrades!$T$16="Local Bubble",POWER(Upgrades!$U$16,H278),1)*IF(Upgrades!$T$17="Local Bubble",POWER(Upgrades!$U$17,I278),1)*IF(Upgrades!$T$18="Local Bubble",POWER(Upgrades!$U$18,J278),1)*IF(Upgrades!$T$19="Local Bubble",POWER(Upgrades!$U$19,K278),1)*IF(Upgrades!$T$20="Local Bubble",POWER(Upgrades!$U$20,L278),1)*IF(Upgrades!$T$21="Local Bubble",POWER(Upgrades!$U$21,M278),1))+(IF(G278=0,0,(Upgrades!$M$15+G278*Upgrades!$N$15)*POWER(Upgrades!$O$15,G278)))*(IF(Upgrades!$T$13="Microlensing",POWER(Upgrades!$U$13,E278),1)*IF(Upgrades!$T$14="Microlensing",POWER(Upgrades!$U$14,F278),1)*IF(Upgrades!$T$16="Microlensing",POWER(Upgrades!$U$16,H278),1)*IF(Upgrades!$T$17="Microlensing",POWER(Upgrades!$U$17,I278),1)*IF(Upgrades!$T$18="Microlensing",POWER(Upgrades!$U$18,J278),1)*IF(Upgrades!$T$19="Microlensing",POWER(Upgrades!$U$19,K278),1)*IF(Upgrades!$T$20="Microlensing",POWER(Upgrades!$U$20,L278),1)*IF(Upgrades!$T$21="Microlensing",POWER(Upgrades!$U$21,M278),1))+(IF(H278=0,0,(Upgrades!$M$16+H278*Upgrades!$N$16)*POWER(Upgrades!$O$16,H278)))*(IF(Upgrades!$T$13="Roche Lobe Overflow",POWER(Upgrades!$U$13,E278),1)*IF(Upgrades!$T$14="Roche Lobe Overflow",POWER(Upgrades!$U$14,F278),1)*IF(Upgrades!$T$15="Roche Lobe Overflow",POWER(Upgrades!$U$15,G278),1)*IF(Upgrades!$T$17="Roche Lobe Overflow",POWER(Upgrades!$U$17,I278),1)*IF(Upgrades!$T$18="Roche Lobe Overflow",POWER(Upgrades!$U$18,J278),1)*IF(Upgrades!$T$19="Roche Lobe Overflow",POWER(Upgrades!$U$19,K278),1)*IF(Upgrades!$T$20="Roche Lobe Overflow",POWER(Upgrades!$U$20,L278),1)*IF(Upgrades!$T$21="Roche Lobe Overflow",POWER(Upgrades!$U$21,M278),1))+(IF(I278=0,0,(Upgrades!$M$17+I278*Upgrades!$N$17)*POWER(Upgrades!$O$17,I278)))*(IF(Upgrades!$T$13="Brown Dwarf",POWER(Upgrades!$U$13,E278),1)*IF(Upgrades!$T$14="Brown Dwarf",POWER(Upgrades!$U$14,F278),1)*IF(Upgrades!$T$15="Brown Dwarf",POWER(Upgrades!$U$15,G278),1)*IF(Upgrades!$T$16="Brown Dwarf",POWER(Upgrades!$U$16,H278),1)*IF(Upgrades!$T$18="Brown Dwarf",POWER(Upgrades!$U$18,J278),1)*IF(Upgrades!$T$19="Brown Dwarf",POWER(Upgrades!$U$19,K278),1)*IF(Upgrades!$T$20="Brown Dwarf",POWER(Upgrades!$U$20,L278),1)*IF(Upgrades!$T$21="Brown Dwarf",POWER(Upgrades!$U$21,M278),1))+(IF(J278=0,0,(Upgrades!$M$18+J278*Upgrades!$N$18)*POWER(Upgrades!$O$18,J278)))*(IF(Upgrades!$T$13="Binary Partner",POWER(Upgrades!$U$13,E278),1)*IF(Upgrades!$T$14="Binary Partner",POWER(Upgrades!$U$14,F278),1)*IF(Upgrades!$T$15="Binary Partner",POWER(Upgrades!$U$15,G278),1)*IF(Upgrades!$T$16="Binary Partner",POWER(Upgrades!$U$16,H278),1)*IF(Upgrades!$T$17="Binary Partner",POWER(Upgrades!$U$17,I278),1)*IF(Upgrades!$T$19="Binary Partner",POWER(Upgrades!$U$19,K278),1)*IF(Upgrades!$T$20="Binary Partner",POWER(Upgrades!$U$20,L278),1)*IF(Upgrades!$T$21="Binary Partner",POWER(Upgrades!$U$21,M278),1))+(IF(K278=0,0,(Upgrades!$M$19+K278*Upgrades!$N$19)*POWER(Upgrades!$O$19,K278)))*(IF(Upgrades!$T$13="Peculiar Velocity",POWER(Upgrades!$U$13,E278),1)*IF(Upgrades!$T$14="Peculiar Velocity",POWER(Upgrades!$U$14,F278),1)*IF(Upgrades!$T$15="Peculiar Velocity",POWER(Upgrades!$U$15,G278),1)*IF(Upgrades!$T$16="Peculiar Velocity",POWER(Upgrades!$U$16,H278),1)*IF(Upgrades!$T$17="Peculiar Velocity",POWER(Upgrades!$U$17,I278),1)*IF(Upgrades!$T$18="Peculiar Velocity",POWER(Upgrades!$U$18,J278),1)*IF(Upgrades!$T$20="Peculiar Velocity",POWER(Upgrades!$U$20,L278),1)*IF(Upgrades!$T$21="Peculiar Velocity",POWER(Upgrades!$U$21,M278),1))+(IF(L278=0,0,(Upgrades!$M$20+L278*Upgrades!$N$20)*POWER(Upgrades!$O$20,L278)))*(IF(Upgrades!$T$13="Open Cluster",POWER(Upgrades!$U$13,E278),1)*IF(Upgrades!$T$14="Open Cluster",POWER(Upgrades!$U$14,F278),1)*IF(Upgrades!$T$15="Open Cluster",POWER(Upgrades!$U$15,G278),1)*IF(Upgrades!$T$16="Open Cluster",POWER(Upgrades!$U$16,H278),1)*IF(Upgrades!$T$17="Open Cluster",POWER(Upgrades!$U$17,I278),1)*IF(Upgrades!$T$18="Open Cluster",POWER(Upgrades!$U$18,J278),1)*IF(Upgrades!$T$19="Open Cluster",POWER(Upgrades!$U$19,K278),1)*IF(Upgrades!$T$21="Open Cluster",POWER(Upgrades!$U$21,M278),1))+(IF(M278=0,0,(Upgrades!$M$21+M278*Upgrades!$N$21)*POWER(Upgrades!$O$21,M278)))*(IF(Upgrades!$T$13="Moving Group",POWER(Upgrades!$U$13,E278),1)*IF(Upgrades!$T$14="Moving Group",POWER(Upgrades!$U$14,F278),1)*IF(Upgrades!$T$15="Moving Group",POWER(Upgrades!$U$15,G278),1)*IF(Upgrades!$T$16="Moving Group",POWER(Upgrades!$U$16,H278),1)*IF(Upgrades!$T$17="Moving Group",POWER(Upgrades!$U$17,I278),1)*IF(Upgrades!$T$18="Moving Group",POWER(Upgrades!$U$18,J278),1)*IF(Upgrades!$T$19="Moving Group",POWER(Upgrades!$U$19,K278),1)*IF(Upgrades!$T$20="Moving Group",POWER(Upgrades!$U$20,L278),1)))*POWER(Upgrades!$R$13,E278)*POWER(Upgrades!$R$14,F278)*POWER(Upgrades!$R$15,G278)*POWER(Upgrades!$R$16,H278)*POWER(Upgrades!$R$17,I278)*POWER(Upgrades!$R$18,J278)*POWER(Upgrades!$R$19,K278)*POWER(Upgrades!$R$20,L278)*POWER(Upgrades!$R$21,M278)*$H$6+$E$6</f>
        <v/>
      </c>
      <c r="R278" s="27">
        <f>IF(N278=1,0,O278*Parameters!$B$10/60*Parameters!$B$11*10)</f>
        <v/>
      </c>
      <c r="S278" s="27">
        <f>IF(N278=1,0,Q278*O278*10)</f>
        <v/>
      </c>
      <c r="T278" s="27">
        <f>IF(N278=1,0,R278+S278+P278*10)</f>
        <v/>
      </c>
      <c r="U278" s="33">
        <f>BE278</f>
        <v/>
      </c>
      <c r="V278" s="22">
        <f>IF(U278="",0,IF(U278="transition",0,IF(U278="SK",AK278,IF(U278="LB",AL278,IF(U278="ML",AM278,IF(U278="RLO",AN278,IF(U278="BD",AO278,IF(U278="BiP",AP278,IF(U278="PV",AQ278,IF(U278="OC",AR278,IF(U278="MG",AS278,0))))))))))</f>
        <v/>
      </c>
      <c r="W278" s="27">
        <f>IF(U278="BiP",Upgrades!$F$18,IF(U278="PV",Upgrades!$F$19,IF(U278="OC",Upgrades!$F$20,IF(U278="MG",Upgrades!$F$21,IF(U278="transition",-Parameters!$B$18*Parameters!$B$19,0)))))</f>
        <v/>
      </c>
      <c r="X278" s="22">
        <f>C278+T278-V278</f>
        <v/>
      </c>
      <c r="Y278" s="30">
        <f>O278*Parameters!$B$10/60*Parameters!$B$11+Q278*O278+P278</f>
        <v/>
      </c>
      <c r="Z278" s="34">
        <f>IF(U278="transition","→ Tier 3 (Galactic Arm)",IF(U278="MG","Moving Group — pocket drifts together",IF(U278="OC","Open Cluster acquired",IF(U278="PV","Peculiar Velocity — passive multiplier active",IF(U278="BiP","Binary Partner — pair bond formed",IF(AND(AU278=1,N278=0,AT278&lt;&gt;1),"Cohesion ready (waiting on completionists)","")))))) </f>
        <v/>
      </c>
      <c r="AA278" s="27">
        <f>(IF(E278=0,0,(Upgrades!$G$13+E278*Upgrades!$H$13)*POWER(Upgrades!$I$13,E278)))*(IF(Upgrades!$T$14="Stellar Kinematics",POWER(Upgrades!$U$14,F278),1)*IF(Upgrades!$T$15="Stellar Kinematics",POWER(Upgrades!$U$15,G278),1)*IF(Upgrades!$T$16="Stellar Kinematics",POWER(Upgrades!$U$16,H278),1)*IF(Upgrades!$T$17="Stellar Kinematics",POWER(Upgrades!$U$17,I278),1)*IF(Upgrades!$T$18="Stellar Kinematics",POWER(Upgrades!$U$18,J278),1)*IF(Upgrades!$T$19="Stellar Kinematics",POWER(Upgrades!$U$19,K278),1)*IF(Upgrades!$T$20="Stellar Kinematics",POWER(Upgrades!$U$20,L278),1)*IF(Upgrades!$T$21="Stellar Kinematics",POWER(Upgrades!$U$21,M278),1))*POWER(Upgrades!$P$13,E278)*POWER(Upgrades!$P$14,F278)*POWER(Upgrades!$P$15,G278)*POWER(Upgrades!$P$16,H278)*POWER(Upgrades!$P$17,I278)*POWER(Upgrades!$P$18,J278)*POWER(Upgrades!$P$19,K278)*POWER(Upgrades!$P$20,L278)*POWER(Upgrades!$P$21,M278)*$F$6*60</f>
        <v/>
      </c>
      <c r="AB278" s="27">
        <f>(IF(F278=0,0,(Upgrades!$G$14+F278*Upgrades!$H$14)*POWER(Upgrades!$I$14,F278)))*(IF(Upgrades!$T$13="Local Bubble",POWER(Upgrades!$U$13,E278),1)*IF(Upgrades!$T$15="Local Bubble",POWER(Upgrades!$U$15,G278),1)*IF(Upgrades!$T$16="Local Bubble",POWER(Upgrades!$U$16,H278),1)*IF(Upgrades!$T$17="Local Bubble",POWER(Upgrades!$U$17,I278),1)*IF(Upgrades!$T$18="Local Bubble",POWER(Upgrades!$U$18,J278),1)*IF(Upgrades!$T$19="Local Bubble",POWER(Upgrades!$U$19,K278),1)*IF(Upgrades!$T$20="Local Bubble",POWER(Upgrades!$U$20,L278),1)*IF(Upgrades!$T$21="Local Bubble",POWER(Upgrades!$U$21,M278),1))*POWER(Upgrades!$P$13,E278)*POWER(Upgrades!$P$14,F278)*POWER(Upgrades!$P$15,G278)*POWER(Upgrades!$P$16,H278)*POWER(Upgrades!$P$17,I278)*POWER(Upgrades!$P$18,J278)*POWER(Upgrades!$P$19,K278)*POWER(Upgrades!$P$20,L278)*POWER(Upgrades!$P$21,M278)*$F$6*60</f>
        <v/>
      </c>
      <c r="AC278" s="27">
        <f>(IF(G278=0,0,(Upgrades!$J$15+G278*Upgrades!$K$15)*POWER(Upgrades!$L$15,G278)))*(IF(Upgrades!$T$13="Microlensing",POWER(Upgrades!$U$13,E278),1)*IF(Upgrades!$T$14="Microlensing",POWER(Upgrades!$U$14,F278),1)*IF(Upgrades!$T$16="Microlensing",POWER(Upgrades!$U$16,H278),1)*IF(Upgrades!$T$17="Microlensing",POWER(Upgrades!$U$17,I278),1)*IF(Upgrades!$T$18="Microlensing",POWER(Upgrades!$U$18,J278),1)*IF(Upgrades!$T$19="Microlensing",POWER(Upgrades!$U$19,K278),1)*IF(Upgrades!$T$20="Microlensing",POWER(Upgrades!$U$20,L278),1)*IF(Upgrades!$T$21="Microlensing",POWER(Upgrades!$U$21,M278),1))*POWER(Upgrades!$Q$13,E278)*POWER(Upgrades!$Q$14,F278)*POWER(Upgrades!$Q$15,G278)*POWER(Upgrades!$Q$16,H278)*POWER(Upgrades!$Q$17,I278)*POWER(Upgrades!$Q$18,J278)*POWER(Upgrades!$Q$19,K278)*POWER(Upgrades!$Q$20,L278)*POWER(Upgrades!$Q$21,M278)*$G$6*(Parameters!$B$10*Parameters!$B$11+Q278*60)</f>
        <v/>
      </c>
      <c r="AD278" s="27">
        <f>(IF(H278=0,0,(Upgrades!$M$16+H278*Upgrades!$N$16)*POWER(Upgrades!$O$16,H278)))*(IF(Upgrades!$T$13="Roche Lobe Overflow",POWER(Upgrades!$U$13,E278),1)*IF(Upgrades!$T$14="Roche Lobe Overflow",POWER(Upgrades!$U$14,F278),1)*IF(Upgrades!$T$15="Roche Lobe Overflow",POWER(Upgrades!$U$15,G278),1)*IF(Upgrades!$T$17="Roche Lobe Overflow",POWER(Upgrades!$U$17,I278),1)*IF(Upgrades!$T$18="Roche Lobe Overflow",POWER(Upgrades!$U$18,J278),1)*IF(Upgrades!$T$19="Roche Lobe Overflow",POWER(Upgrades!$U$19,K278),1)*IF(Upgrades!$T$20="Roche Lobe Overflow",POWER(Upgrades!$U$20,L278),1)*IF(Upgrades!$T$21="Roche Lobe Overflow",POWER(Upgrades!$U$21,M278),1))*POWER(Upgrades!$R$13,E278)*POWER(Upgrades!$R$14,F278)*POWER(Upgrades!$R$15,G278)*POWER(Upgrades!$R$16,H278)*POWER(Upgrades!$R$17,I278)*POWER(Upgrades!$R$18,J278)*POWER(Upgrades!$R$19,K278)*POWER(Upgrades!$R$20,L278)*POWER(Upgrades!$R$21,M278)*$H$6*O278*60</f>
        <v/>
      </c>
      <c r="AE278" s="27">
        <f>(IF(I278=0,0,(Upgrades!$G$17+I278*Upgrades!$H$17)*POWER(Upgrades!$I$17,I278)))*(IF(Upgrades!$T$13="Brown Dwarf",POWER(Upgrades!$U$13,E278),1)*IF(Upgrades!$T$14="Brown Dwarf",POWER(Upgrades!$U$14,F278),1)*IF(Upgrades!$T$15="Brown Dwarf",POWER(Upgrades!$U$15,G278),1)*IF(Upgrades!$T$16="Brown Dwarf",POWER(Upgrades!$U$16,H278),1)*IF(Upgrades!$T$18="Brown Dwarf",POWER(Upgrades!$U$18,J278),1)*IF(Upgrades!$T$19="Brown Dwarf",POWER(Upgrades!$U$19,K278),1)*IF(Upgrades!$T$20="Brown Dwarf",POWER(Upgrades!$U$20,L278),1)*IF(Upgrades!$T$21="Brown Dwarf",POWER(Upgrades!$U$21,M278),1))*POWER(Upgrades!$P$13,E278)*POWER(Upgrades!$P$14,F278)*POWER(Upgrades!$P$15,G278)*POWER(Upgrades!$P$16,H278)*POWER(Upgrades!$P$17,I278)*POWER(Upgrades!$P$18,J278)*POWER(Upgrades!$P$19,K278)*POWER(Upgrades!$P$20,L278)*POWER(Upgrades!$P$21,M278)*$F$6*60</f>
        <v/>
      </c>
      <c r="AF278" s="27" t="n">
        <v>0</v>
      </c>
      <c r="AG278" s="27" t="n">
        <v>0</v>
      </c>
      <c r="AH278" s="27" t="n">
        <v>0</v>
      </c>
      <c r="AI278" s="27">
        <f>(IF(M278=0,0,(Upgrades!$G$21+M278*Upgrades!$H$21)*POWER(Upgrades!$I$21,M278)))*(IF(Upgrades!$T$13="Moving Group",POWER(Upgrades!$U$13,E278),1)*IF(Upgrades!$T$14="Moving Group",POWER(Upgrades!$U$14,F278),1)*IF(Upgrades!$T$15="Moving Group",POWER(Upgrades!$U$15,G278),1)*IF(Upgrades!$T$16="Moving Group",POWER(Upgrades!$U$16,H278),1)*IF(Upgrades!$T$17="Moving Group",POWER(Upgrades!$U$17,I278),1)*IF(Upgrades!$T$18="Moving Group",POWER(Upgrades!$U$18,J278),1)*IF(Upgrades!$T$19="Moving Group",POWER(Upgrades!$U$19,K278),1)*IF(Upgrades!$T$20="Moving Group",POWER(Upgrades!$U$20,L278),1))*POWER(Upgrades!$P$13,E278)*POWER(Upgrades!$P$14,F278)*POWER(Upgrades!$P$15,G278)*POWER(Upgrades!$P$16,H278)*POWER(Upgrades!$P$17,I278)*POWER(Upgrades!$P$18,J278)*POWER(Upgrades!$P$19,K278)*POWER(Upgrades!$P$20,L278)*POWER(Upgrades!$P$21,M278)*$F$6*60</f>
        <v/>
      </c>
      <c r="AJ278" s="27">
        <f>$C$6*60</f>
        <v/>
      </c>
      <c r="AK278" s="22">
        <f>IF(E278&gt;=Upgrades!$E$13,"",Upgrades!$C$13*POWER(Upgrades!$D$13,E278))</f>
        <v/>
      </c>
      <c r="AL278" s="22">
        <f>IF(F278&gt;=Upgrades!$E$14,"",Upgrades!$C$14*POWER(Upgrades!$D$14,F278))</f>
        <v/>
      </c>
      <c r="AM278" s="22">
        <f>IF(G278&gt;=Upgrades!$E$15,"",Upgrades!$C$15*POWER(Upgrades!$D$15,G278))</f>
        <v/>
      </c>
      <c r="AN278" s="22">
        <f>IF(H278&gt;=Upgrades!$E$16,"",Upgrades!$C$16*POWER(Upgrades!$D$16,H278))</f>
        <v/>
      </c>
      <c r="AO278" s="22">
        <f>IF(I278&gt;=Upgrades!$E$17,"",Upgrades!$C$17*POWER(Upgrades!$D$17,I278))</f>
        <v/>
      </c>
      <c r="AP278" s="22">
        <f>IF(J278&gt;=Upgrades!$E$18,"",Upgrades!$C$18*POWER(Upgrades!$D$18,J278))</f>
        <v/>
      </c>
      <c r="AQ278" s="22">
        <f>IF(K278&gt;=Upgrades!$E$19,"",Upgrades!$C$19*POWER(Upgrades!$D$19,K278))</f>
        <v/>
      </c>
      <c r="AR278" s="22">
        <f>IF(L278&gt;=Upgrades!$E$20,"",Upgrades!$C$20*POWER(Upgrades!$D$20,L278))</f>
        <v/>
      </c>
      <c r="AS278" s="22">
        <f>IF(M278&gt;=Upgrades!$E$21,"",Upgrades!$C$21*POWER(Upgrades!$D$21,M278))</f>
        <v/>
      </c>
      <c r="AT278" s="26">
        <f>IF(AND(D278&gt;=Parameters!$B$18*Parameters!$B$19,(I278&gt;=Upgrades!$E$17)*(M278&gt;=Upgrades!$E$21)=1,N278=0),1,"")</f>
        <v/>
      </c>
      <c r="AU278" s="26">
        <f>IF(AND(D278&gt;=Parameters!$B$18*Parameters!$B$19,N278=0),1,"")</f>
        <v/>
      </c>
      <c r="AV278" s="22">
        <f>MIN(IF(ISNUMBER(AP278),AP278,9E15),IF(ISNUMBER(AQ278),AQ278,9E15),IF(ISNUMBER(AR278),AR278,9E15),IF(ISNUMBER(AS278),AS278,9E15))</f>
        <v/>
      </c>
      <c r="AW278" s="22">
        <f>MIN(IF(ISNUMBER(AK278),AK278,9E15),IF(ISNUMBER(AL278),AL278,9E15),IF(ISNUMBER(AM278),AM278,9E15),IF(ISNUMBER(AN278),AN278,9E15),IF(ISNUMBER(AO278),AO278,9E15))</f>
        <v/>
      </c>
      <c r="AX278" s="29">
        <f>IF(BD278&gt;Parameters!$B$21*(MAX(IF(AND(NOT(AND(AU278=1,AT278&lt;&gt;1)),ISNUMBER(AK278),AK278&lt;=(C278+T278)),AY278,0),IF(AND(NOT(AND(AU278=1,AT278&lt;&gt;1)),ISNUMBER(AL278),AL278&lt;=(C278+T278)),AZ278,0),IF(AND(NOT(AND(AU278=1,AT278&lt;&gt;1)),ISNUMBER(AM278),AM278&lt;=(C278+T278)),BA278,0),IF(AND(NOT(AND(AU278=1,AT278&lt;&gt;1)),ISNUMBER(AN278),AN278&lt;=(C278+T278)),BB278,0),IF(AND(ISNUMBER(AO278),AO278&lt;=(C278+T278)),BC278,0))),TRUE,FALSE)</f>
        <v/>
      </c>
      <c r="AY278" s="32">
        <f>IFERROR(Upgrades!$H$13*(POWER(Upgrades!$P$13,E278)*POWER(Upgrades!$P$14,F278)*POWER(Upgrades!$P$15,G278)*POWER(Upgrades!$P$16,H278)*POWER(Upgrades!$P$17,I278)*POWER(Upgrades!$P$18,J278)*POWER(Upgrades!$P$19,K278)*POWER(Upgrades!$P$20,L278)*POWER(Upgrades!$P$21,M278))*(IF(Upgrades!$T$14="Stellar Kinematics",POWER(Upgrades!$U$14,F278),1)*IF(Upgrades!$T$15="Stellar Kinematics",POWER(Upgrades!$U$15,G278),1)*IF(Upgrades!$T$16="Stellar Kinematics",POWER(Upgrades!$U$16,H278),1)*IF(Upgrades!$T$17="Stellar Kinematics",POWER(Upgrades!$U$17,I278),1)*IF(Upgrades!$T$18="Stellar Kinematics",POWER(Upgrades!$U$18,J278),1)*IF(Upgrades!$T$19="Stellar Kinematics",POWER(Upgrades!$U$19,K278),1)*IF(Upgrades!$T$20="Stellar Kinematics",POWER(Upgrades!$U$20,L278),1)*IF(Upgrades!$T$21="Stellar Kinematics",POWER(Upgrades!$U$21,M278),1))*$F$6/AK278,0)</f>
        <v/>
      </c>
      <c r="AZ278" s="32">
        <f>IFERROR(Upgrades!$H$14*(POWER(Upgrades!$P$13,E278)*POWER(Upgrades!$P$14,F278)*POWER(Upgrades!$P$15,G278)*POWER(Upgrades!$P$16,H278)*POWER(Upgrades!$P$17,I278)*POWER(Upgrades!$P$18,J278)*POWER(Upgrades!$P$19,K278)*POWER(Upgrades!$P$20,L278)*POWER(Upgrades!$P$21,M278))*(IF(Upgrades!$T$13="Local Bubble",POWER(Upgrades!$U$13,E278),1)*IF(Upgrades!$T$15="Local Bubble",POWER(Upgrades!$U$15,G278),1)*IF(Upgrades!$T$16="Local Bubble",POWER(Upgrades!$U$16,H278),1)*IF(Upgrades!$T$17="Local Bubble",POWER(Upgrades!$U$17,I278),1)*IF(Upgrades!$T$18="Local Bubble",POWER(Upgrades!$U$18,J278),1)*IF(Upgrades!$T$19="Local Bubble",POWER(Upgrades!$U$19,K278),1)*IF(Upgrades!$T$20="Local Bubble",POWER(Upgrades!$U$20,L278),1)*IF(Upgrades!$T$21="Local Bubble",POWER(Upgrades!$U$21,M278),1))*$F$6/AL278,0)</f>
        <v/>
      </c>
      <c r="BA278" s="32">
        <f>IFERROR(Upgrades!$K$15*(POWER(Upgrades!$Q$13,E278)*POWER(Upgrades!$Q$14,F278)*POWER(Upgrades!$Q$15,G278)*POWER(Upgrades!$Q$16,H278)*POWER(Upgrades!$Q$17,I278)*POWER(Upgrades!$Q$18,J278)*POWER(Upgrades!$Q$19,K278)*POWER(Upgrades!$Q$20,L278)*POWER(Upgrades!$Q$21,M278))*(IF(Upgrades!$T$13="Microlensing",POWER(Upgrades!$U$13,E278),1)*IF(Upgrades!$T$14="Microlensing",POWER(Upgrades!$U$14,F278),1)*IF(Upgrades!$T$16="Microlensing",POWER(Upgrades!$U$16,H278),1)*IF(Upgrades!$T$17="Microlensing",POWER(Upgrades!$U$17,I278),1)*IF(Upgrades!$T$18="Microlensing",POWER(Upgrades!$U$18,J278),1)*IF(Upgrades!$T$19="Microlensing",POWER(Upgrades!$U$19,K278),1)*IF(Upgrades!$T$20="Microlensing",POWER(Upgrades!$U$20,L278),1)*IF(Upgrades!$T$21="Microlensing",POWER(Upgrades!$U$21,M278),1))*$G$6*(Parameters!$B$10/60*Parameters!$B$11+Q278)/AM278,0)</f>
        <v/>
      </c>
      <c r="BB278" s="32">
        <f>IFERROR((Upgrades!$N$16*(POWER(Upgrades!$R$13,E278)*POWER(Upgrades!$R$14,F278)*POWER(Upgrades!$R$15,G278)*POWER(Upgrades!$R$16,H278)*POWER(Upgrades!$R$17,I278)*POWER(Upgrades!$R$18,J278)*POWER(Upgrades!$R$19,K278)*POWER(Upgrades!$R$20,L278)*POWER(Upgrades!$R$21,M278))*(IF(Upgrades!$T$13="Roche Lobe Overflow",POWER(Upgrades!$U$13,E278),1)*IF(Upgrades!$T$14="Roche Lobe Overflow",POWER(Upgrades!$U$14,F278),1)*IF(Upgrades!$T$15="Roche Lobe Overflow",POWER(Upgrades!$U$15,G278),1)*IF(Upgrades!$T$17="Roche Lobe Overflow",POWER(Upgrades!$U$17,I278),1)*IF(Upgrades!$T$18="Roche Lobe Overflow",POWER(Upgrades!$U$18,J278),1)*IF(Upgrades!$T$19="Roche Lobe Overflow",POWER(Upgrades!$U$19,K278),1)*IF(Upgrades!$T$20="Roche Lobe Overflow",POWER(Upgrades!$U$20,L278),1)*IF(Upgrades!$T$21="Roche Lobe Overflow",POWER(Upgrades!$U$21,M278),1))*$H$6*O278+((IF(F278=0,0,(Upgrades!$G$14+F278*Upgrades!$H$14)*POWER(Upgrades!$I$14,F278)))*(IF(Upgrades!$T$13="Local Bubble",POWER(Upgrades!$U$13,E278),1)*IF(Upgrades!$T$15="Local Bubble",POWER(Upgrades!$U$15,G278),1)*IF(Upgrades!$T$16="Local Bubble",POWER(Upgrades!$U$16,H278),1)*IF(Upgrades!$T$17="Local Bubble",POWER(Upgrades!$U$17,I278),1)*IF(Upgrades!$T$18="Local Bubble",POWER(Upgrades!$U$18,J278),1)*IF(Upgrades!$T$19="Local Bubble",POWER(Upgrades!$U$19,K278),1)*IF(Upgrades!$T$20="Local Bubble",POWER(Upgrades!$U$20,L278),1)*IF(Upgrades!$T$21="Local Bubble",POWER(Upgrades!$U$21,M278),1))*POWER(Upgrades!$P$13,E278)*POWER(Upgrades!$P$14,F278)*POWER(Upgrades!$P$15,G278)*POWER(Upgrades!$P$16,H278)*POWER(Upgrades!$P$17,I278)*POWER(Upgrades!$P$18,J278)*POWER(Upgrades!$P$19,K278)*POWER(Upgrades!$P$20,L278)*POWER(Upgrades!$P$21,M278)*$F$6)*0.05)/AN278,0)</f>
        <v/>
      </c>
      <c r="BC278" s="32">
        <f>IFERROR((Upgrades!$H$17*(POWER(Upgrades!$P$13,E278)*POWER(Upgrades!$P$14,F278)*POWER(Upgrades!$P$15,G278)*POWER(Upgrades!$P$16,H278)*POWER(Upgrades!$P$17,I278)*POWER(Upgrades!$P$18,J278)*POWER(Upgrades!$P$19,K278)*POWER(Upgrades!$P$20,L278)*POWER(Upgrades!$P$21,M278))*(IF(Upgrades!$T$13="Brown Dwarf",POWER(Upgrades!$U$13,E278),1)*IF(Upgrades!$T$14="Brown Dwarf",POWER(Upgrades!$U$14,F278),1)*IF(Upgrades!$T$15="Brown Dwarf",POWER(Upgrades!$U$15,G278),1)*IF(Upgrades!$T$16="Brown Dwarf",POWER(Upgrades!$U$16,H278),1)*IF(Upgrades!$T$18="Brown Dwarf",POWER(Upgrades!$U$18,J278),1)*IF(Upgrades!$T$19="Brown Dwarf",POWER(Upgrades!$U$19,K278),1)*IF(Upgrades!$T$20="Brown Dwarf",POWER(Upgrades!$U$20,L278),1)*IF(Upgrades!$T$21="Brown Dwarf",POWER(Upgrades!$U$21,M278),1))*$F$6+(((IF(H278=0,0,(Upgrades!$M$16+H278*Upgrades!$N$16)*POWER(Upgrades!$O$16,H278)))*(IF(Upgrades!$T$13="Roche Lobe Overflow",POWER(Upgrades!$U$13,E278),1)*IF(Upgrades!$T$14="Roche Lobe Overflow",POWER(Upgrades!$U$14,F278),1)*IF(Upgrades!$T$15="Roche Lobe Overflow",POWER(Upgrades!$U$15,G278),1)*IF(Upgrades!$T$17="Roche Lobe Overflow",POWER(Upgrades!$U$17,I278),1)*IF(Upgrades!$T$18="Roche Lobe Overflow",POWER(Upgrades!$U$18,J278),1)*IF(Upgrades!$T$19="Roche Lobe Overflow",POWER(Upgrades!$U$19,K278),1)*IF(Upgrades!$T$20="Roche Lobe Overflow",POWER(Upgrades!$U$20,L278),1)*IF(Upgrades!$T$21="Roche Lobe Overflow",POWER(Upgrades!$U$21,M278),1))*POWER(Upgrades!$R$13,E278)*POWER(Upgrades!$R$14,F278)*POWER(Upgrades!$R$15,G278)*POWER(Upgrades!$R$16,H278)*POWER(Upgrades!$R$17,I278)*POWER(Upgrades!$R$18,J278)*POWER(Upgrades!$R$19,K278)*POWER(Upgrades!$R$20,L278)*POWER(Upgrades!$R$21,M278)*$H$6)*O278)*0.10)/AO278,0)</f>
        <v/>
      </c>
      <c r="BD278" s="32">
        <f>MAX(IF(J278&gt;0,0,IFERROR(0.5*((IF(G278=0,0,(Upgrades!$J$15+G278*Upgrades!$K$15)*POWER(Upgrades!$L$15,G278)))*(IF(Upgrades!$T$13="Microlensing",POWER(Upgrades!$U$13,E278),1)*IF(Upgrades!$T$14="Microlensing",POWER(Upgrades!$U$14,F278),1)*IF(Upgrades!$T$16="Microlensing",POWER(Upgrades!$U$16,H278),1)*IF(Upgrades!$T$17="Microlensing",POWER(Upgrades!$U$17,I278),1)*IF(Upgrades!$T$18="Microlensing",POWER(Upgrades!$U$18,J278),1)*IF(Upgrades!$T$19="Microlensing",POWER(Upgrades!$U$19,K278),1)*IF(Upgrades!$T$20="Microlensing",POWER(Upgrades!$U$20,L278),1)*IF(Upgrades!$T$21="Microlensing",POWER(Upgrades!$U$21,M278),1))*(POWER(Upgrades!$Q$13,E278)*POWER(Upgrades!$Q$14,F278)*POWER(Upgrades!$Q$15,G278)*POWER(Upgrades!$Q$16,H278)*POWER(Upgrades!$Q$17,I278)*POWER(Upgrades!$Q$18,J278)*POWER(Upgrades!$Q$19,K278)*POWER(Upgrades!$Q$20,L278)*POWER(Upgrades!$Q$21,M278))*$G$6*(Parameters!$B$10/60*Parameters!$B$11+Q278))/Upgrades!$C$18,0)),IF(K278&gt;0,0,IFERROR(0.30*P278/Upgrades!$C$19,0)),IF(L278&gt;0,0,IFERROR(0.0001/Upgrades!$C$20,0)),IF(M278&gt;0,0,IFERROR((6.0*(POWER(Upgrades!$P$13,E278)*POWER(Upgrades!$P$14,F278)*POWER(Upgrades!$P$15,G278)*POWER(Upgrades!$P$16,H278)*POWER(Upgrades!$P$17,I278)*POWER(Upgrades!$P$18,J278)*POWER(Upgrades!$P$19,K278)*POWER(Upgrades!$P$20,L278)*POWER(Upgrades!$P$21,M278))*$F$6+0.20*O278*(Parameters!$B$10/60*Parameters!$B$11+Q278))/Upgrades!$C$21,0)),IF(AND(ISNUMBER(AK278),AK278&gt;(C278+T278)),AY278,0),IF(AND(ISNUMBER(AL278),AL278&gt;(C278+T278)),AZ278,0),IF(AND(ISNUMBER(AM278),AM278&gt;(C278+T278)),BA278,0),IF(AND(ISNUMBER(AN278),AN278&gt;(C278+T278)),BB278,0),IF(AND(ISNUMBER(AO278),AO278&gt;(C278+T278)),BC278,0))</f>
        <v/>
      </c>
      <c r="BE278" s="29">
        <f>IF(AT278=1,"transition",IF(MIN(IF(AND(J278=0,ISNUMBER(AP278),AP278&lt;=(C278+T278)),AP278,9E15),IF(AND(K278=0,ISNUMBER(AQ278),AQ278&lt;=(C278+T278)),AQ278,9E15),IF(AND(L278=0,ISNUMBER(AR278),AR278&lt;=(C278+T278)),AR278,9E15),IF(AND(M278=0,ISNUMBER(AS278),AS278&lt;=(C278+T278)),AS278,9E15))&lt;9E15,IF(AND(AND(J278=0,ISNUMBER(AP278),AP278&lt;=(C278+T278)),AP278=MIN(IF(AND(J278=0,ISNUMBER(AP278),AP278&lt;=(C278+T278)),AP278,9E15),IF(AND(K278=0,ISNUMBER(AQ278),AQ278&lt;=(C278+T278)),AQ278,9E15),IF(AND(L278=0,ISNUMBER(AR278),AR278&lt;=(C278+T278)),AR278,9E15),IF(AND(M278=0,ISNUMBER(AS278),AS278&lt;=(C278+T278)),AS278,9E15))),"BiP",IF(AND(AND(K278=0,ISNUMBER(AQ278),AQ278&lt;=(C278+T278)),AQ278=MIN(IF(AND(J278=0,ISNUMBER(AP278),AP278&lt;=(C278+T278)),AP278,9E15),IF(AND(K278=0,ISNUMBER(AQ278),AQ278&lt;=(C278+T278)),AQ278,9E15),IF(AND(L278=0,ISNUMBER(AR278),AR278&lt;=(C278+T278)),AR278,9E15),IF(AND(M278=0,ISNUMBER(AS278),AS278&lt;=(C278+T278)),AS278,9E15))),"PV",IF(AND(AND(L278=0,ISNUMBER(AR278),AR278&lt;=(C278+T278)),AR278=MIN(IF(AND(J278=0,ISNUMBER(AP278),AP278&lt;=(C278+T278)),AP278,9E15),IF(AND(K278=0,ISNUMBER(AQ278),AQ278&lt;=(C278+T278)),AQ278,9E15),IF(AND(L278=0,ISNUMBER(AR278),AR278&lt;=(C278+T278)),AR278,9E15),IF(AND(M278=0,ISNUMBER(AS278),AS278&lt;=(C278+T278)),AS278,9E15))),"OC","MG"))),IF(AX278=TRUE,"",IF(MAX(IF(AND(NOT(AND(AU278=1,AT278&lt;&gt;1)),ISNUMBER(AK278),AK278&lt;=(C278+T278)),AY278,0),IF(AND(NOT(AND(AU278=1,AT278&lt;&gt;1)),ISNUMBER(AL278),AL278&lt;=(C278+T278)),AZ278,0),IF(AND(NOT(AND(AU278=1,AT278&lt;&gt;1)),ISNUMBER(AM278),AM278&lt;=(C278+T278)),BA278,0),IF(AND(NOT(AND(AU278=1,AT278&lt;&gt;1)),ISNUMBER(AN278),AN278&lt;=(C278+T278)),BB278,0),IF(AND(ISNUMBER(AO278),AO278&lt;=(C278+T278)),BC278,0))&lt;=0,"",IF(AND(IF(AND(NOT(AND(AU278=1,AT278&lt;&gt;1)),ISNUMBER(AK278),AK278&lt;=(C278+T278)),AY278,0)&gt;0,IF(AND(NOT(AND(AU278=1,AT278&lt;&gt;1)),ISNUMBER(AK278),AK278&lt;=(C278+T278)),AY278,0)=MAX(IF(AND(NOT(AND(AU278=1,AT278&lt;&gt;1)),ISNUMBER(AK278),AK278&lt;=(C278+T278)),AY278,0),IF(AND(NOT(AND(AU278=1,AT278&lt;&gt;1)),ISNUMBER(AL278),AL278&lt;=(C278+T278)),AZ278,0),IF(AND(NOT(AND(AU278=1,AT278&lt;&gt;1)),ISNUMBER(AM278),AM278&lt;=(C278+T278)),BA278,0),IF(AND(NOT(AND(AU278=1,AT278&lt;&gt;1)),ISNUMBER(AN278),AN278&lt;=(C278+T278)),BB278,0),IF(AND(ISNUMBER(AO278),AO278&lt;=(C278+T278)),BC278,0))),"SK",IF(AND(IF(AND(NOT(AND(AU278=1,AT278&lt;&gt;1)),ISNUMBER(AL278),AL278&lt;=(C278+T278)),AZ278,0)&gt;0,IF(AND(NOT(AND(AU278=1,AT278&lt;&gt;1)),ISNUMBER(AL278),AL278&lt;=(C278+T278)),AZ278,0)=MAX(IF(AND(NOT(AND(AU278=1,AT278&lt;&gt;1)),ISNUMBER(AK278),AK278&lt;=(C278+T278)),AY278,0),IF(AND(NOT(AND(AU278=1,AT278&lt;&gt;1)),ISNUMBER(AL278),AL278&lt;=(C278+T278)),AZ278,0),IF(AND(NOT(AND(AU278=1,AT278&lt;&gt;1)),ISNUMBER(AM278),AM278&lt;=(C278+T278)),BA278,0),IF(AND(NOT(AND(AU278=1,AT278&lt;&gt;1)),ISNUMBER(AN278),AN278&lt;=(C278+T278)),BB278,0),IF(AND(ISNUMBER(AO278),AO278&lt;=(C278+T278)),BC278,0))),"LB",IF(AND(IF(AND(NOT(AND(AU278=1,AT278&lt;&gt;1)),ISNUMBER(AM278),AM278&lt;=(C278+T278)),BA278,0)&gt;0,IF(AND(NOT(AND(AU278=1,AT278&lt;&gt;1)),ISNUMBER(AM278),AM278&lt;=(C278+T278)),BA278,0)=MAX(IF(AND(NOT(AND(AU278=1,AT278&lt;&gt;1)),ISNUMBER(AK278),AK278&lt;=(C278+T278)),AY278,0),IF(AND(NOT(AND(AU278=1,AT278&lt;&gt;1)),ISNUMBER(AL278),AL278&lt;=(C278+T278)),AZ278,0),IF(AND(NOT(AND(AU278=1,AT278&lt;&gt;1)),ISNUMBER(AM278),AM278&lt;=(C278+T278)),BA278,0),IF(AND(NOT(AND(AU278=1,AT278&lt;&gt;1)),ISNUMBER(AN278),AN278&lt;=(C278+T278)),BB278,0),IF(AND(ISNUMBER(AO278),AO278&lt;=(C278+T278)),BC278,0))),"ML",IF(AND(IF(AND(NOT(AND(AU278=1,AT278&lt;&gt;1)),ISNUMBER(AN278),AN278&lt;=(C278+T278)),BB278,0)&gt;0,IF(AND(NOT(AND(AU278=1,AT278&lt;&gt;1)),ISNUMBER(AN278),AN278&lt;=(C278+T278)),BB278,0)=MAX(IF(AND(NOT(AND(AU278=1,AT278&lt;&gt;1)),ISNUMBER(AK278),AK278&lt;=(C278+T278)),AY278,0),IF(AND(NOT(AND(AU278=1,AT278&lt;&gt;1)),ISNUMBER(AL278),AL278&lt;=(C278+T278)),AZ278,0),IF(AND(NOT(AND(AU278=1,AT278&lt;&gt;1)),ISNUMBER(AM278),AM278&lt;=(C278+T278)),BA278,0),IF(AND(NOT(AND(AU278=1,AT278&lt;&gt;1)),ISNUMBER(AN278),AN278&lt;=(C278+T278)),BB278,0),IF(AND(ISNUMBER(AO278),AO278&lt;=(C278+T278)),BC278,0))),"RLO","BD"))))))))</f>
        <v/>
      </c>
    </row>
    <row r="279">
      <c r="A279" s="26" t="n">
        <v>268</v>
      </c>
      <c r="B279" s="27">
        <f>A279*10/60</f>
        <v/>
      </c>
      <c r="C279" s="22">
        <f>X278</f>
        <v/>
      </c>
      <c r="D279" s="27">
        <f>D278+W278</f>
        <v/>
      </c>
      <c r="E279" s="26">
        <f>E278+IF(U278="SK",1,0)</f>
        <v/>
      </c>
      <c r="F279" s="26">
        <f>F278+IF(U278="LB",1,0)</f>
        <v/>
      </c>
      <c r="G279" s="26">
        <f>G278+IF(U278="ML",1,0)</f>
        <v/>
      </c>
      <c r="H279" s="26">
        <f>H278+IF(U278="RLO",1,0)</f>
        <v/>
      </c>
      <c r="I279" s="26">
        <f>I278+IF(U278="BD",1,0)</f>
        <v/>
      </c>
      <c r="J279" s="26">
        <f>MAX(J278,IF(U278="BiP",1,0))</f>
        <v/>
      </c>
      <c r="K279" s="26">
        <f>MAX(K278,IF(U278="PV",1,0))</f>
        <v/>
      </c>
      <c r="L279" s="26">
        <f>MAX(L278,IF(U278="OC",1,0))</f>
        <v/>
      </c>
      <c r="M279" s="26">
        <f>MAX(M278,IF(U278="MG",1,0))</f>
        <v/>
      </c>
      <c r="N279" s="26">
        <f>MAX(N278,IF(U278="transition",1,0))</f>
        <v/>
      </c>
      <c r="O279" s="28">
        <f>(Parameters!$B$9+(IF(E279=0,0,(Upgrades!$J$13+E279*Upgrades!$K$13)*POWER(Upgrades!$L$13,E279)))*(IF(Upgrades!$T$14="Stellar Kinematics",POWER(Upgrades!$U$14,F279),1)*IF(Upgrades!$T$15="Stellar Kinematics",POWER(Upgrades!$U$15,G279),1)*IF(Upgrades!$T$16="Stellar Kinematics",POWER(Upgrades!$U$16,H279),1)*IF(Upgrades!$T$17="Stellar Kinematics",POWER(Upgrades!$U$17,I279),1)*IF(Upgrades!$T$18="Stellar Kinematics",POWER(Upgrades!$U$18,J279),1)*IF(Upgrades!$T$19="Stellar Kinematics",POWER(Upgrades!$U$19,K279),1)*IF(Upgrades!$T$20="Stellar Kinematics",POWER(Upgrades!$U$20,L279),1)*IF(Upgrades!$T$21="Stellar Kinematics",POWER(Upgrades!$U$21,M279),1))+(IF(F279=0,0,(Upgrades!$J$14+F279*Upgrades!$K$14)*POWER(Upgrades!$L$14,F279)))*(IF(Upgrades!$T$13="Local Bubble",POWER(Upgrades!$U$13,E279),1)*IF(Upgrades!$T$15="Local Bubble",POWER(Upgrades!$U$15,G279),1)*IF(Upgrades!$T$16="Local Bubble",POWER(Upgrades!$U$16,H279),1)*IF(Upgrades!$T$17="Local Bubble",POWER(Upgrades!$U$17,I279),1)*IF(Upgrades!$T$18="Local Bubble",POWER(Upgrades!$U$18,J279),1)*IF(Upgrades!$T$19="Local Bubble",POWER(Upgrades!$U$19,K279),1)*IF(Upgrades!$T$20="Local Bubble",POWER(Upgrades!$U$20,L279),1)*IF(Upgrades!$T$21="Local Bubble",POWER(Upgrades!$U$21,M279),1))+(IF(G279=0,0,(Upgrades!$J$15+G279*Upgrades!$K$15)*POWER(Upgrades!$L$15,G279)))*(IF(Upgrades!$T$13="Microlensing",POWER(Upgrades!$U$13,E279),1)*IF(Upgrades!$T$14="Microlensing",POWER(Upgrades!$U$14,F279),1)*IF(Upgrades!$T$16="Microlensing",POWER(Upgrades!$U$16,H279),1)*IF(Upgrades!$T$17="Microlensing",POWER(Upgrades!$U$17,I279),1)*IF(Upgrades!$T$18="Microlensing",POWER(Upgrades!$U$18,J279),1)*IF(Upgrades!$T$19="Microlensing",POWER(Upgrades!$U$19,K279),1)*IF(Upgrades!$T$20="Microlensing",POWER(Upgrades!$U$20,L279),1)*IF(Upgrades!$T$21="Microlensing",POWER(Upgrades!$U$21,M279),1))+(IF(H279=0,0,(Upgrades!$J$16+H279*Upgrades!$K$16)*POWER(Upgrades!$L$16,H279)))*(IF(Upgrades!$T$13="Roche Lobe Overflow",POWER(Upgrades!$U$13,E279),1)*IF(Upgrades!$T$14="Roche Lobe Overflow",POWER(Upgrades!$U$14,F279),1)*IF(Upgrades!$T$15="Roche Lobe Overflow",POWER(Upgrades!$U$15,G279),1)*IF(Upgrades!$T$17="Roche Lobe Overflow",POWER(Upgrades!$U$17,I279),1)*IF(Upgrades!$T$18="Roche Lobe Overflow",POWER(Upgrades!$U$18,J279),1)*IF(Upgrades!$T$19="Roche Lobe Overflow",POWER(Upgrades!$U$19,K279),1)*IF(Upgrades!$T$20="Roche Lobe Overflow",POWER(Upgrades!$U$20,L279),1)*IF(Upgrades!$T$21="Roche Lobe Overflow",POWER(Upgrades!$U$21,M279),1))+(IF(I279=0,0,(Upgrades!$J$17+I279*Upgrades!$K$17)*POWER(Upgrades!$L$17,I279)))*(IF(Upgrades!$T$13="Brown Dwarf",POWER(Upgrades!$U$13,E279),1)*IF(Upgrades!$T$14="Brown Dwarf",POWER(Upgrades!$U$14,F279),1)*IF(Upgrades!$T$15="Brown Dwarf",POWER(Upgrades!$U$15,G279),1)*IF(Upgrades!$T$16="Brown Dwarf",POWER(Upgrades!$U$16,H279),1)*IF(Upgrades!$T$18="Brown Dwarf",POWER(Upgrades!$U$18,J279),1)*IF(Upgrades!$T$19="Brown Dwarf",POWER(Upgrades!$U$19,K279),1)*IF(Upgrades!$T$20="Brown Dwarf",POWER(Upgrades!$U$20,L279),1)*IF(Upgrades!$T$21="Brown Dwarf",POWER(Upgrades!$U$21,M279),1))+(IF(J279=0,0,(Upgrades!$J$18+J279*Upgrades!$K$18)*POWER(Upgrades!$L$18,J279)))*(IF(Upgrades!$T$13="Binary Partner",POWER(Upgrades!$U$13,E279),1)*IF(Upgrades!$T$14="Binary Partner",POWER(Upgrades!$U$14,F279),1)*IF(Upgrades!$T$15="Binary Partner",POWER(Upgrades!$U$15,G279),1)*IF(Upgrades!$T$16="Binary Partner",POWER(Upgrades!$U$16,H279),1)*IF(Upgrades!$T$17="Binary Partner",POWER(Upgrades!$U$17,I279),1)*IF(Upgrades!$T$19="Binary Partner",POWER(Upgrades!$U$19,K279),1)*IF(Upgrades!$T$20="Binary Partner",POWER(Upgrades!$U$20,L279),1)*IF(Upgrades!$T$21="Binary Partner",POWER(Upgrades!$U$21,M279),1))+(IF(K279=0,0,(Upgrades!$J$19+K279*Upgrades!$K$19)*POWER(Upgrades!$L$19,K279)))*(IF(Upgrades!$T$13="Peculiar Velocity",POWER(Upgrades!$U$13,E279),1)*IF(Upgrades!$T$14="Peculiar Velocity",POWER(Upgrades!$U$14,F279),1)*IF(Upgrades!$T$15="Peculiar Velocity",POWER(Upgrades!$U$15,G279),1)*IF(Upgrades!$T$16="Peculiar Velocity",POWER(Upgrades!$U$16,H279),1)*IF(Upgrades!$T$17="Peculiar Velocity",POWER(Upgrades!$U$17,I279),1)*IF(Upgrades!$T$18="Peculiar Velocity",POWER(Upgrades!$U$18,J279),1)*IF(Upgrades!$T$20="Peculiar Velocity",POWER(Upgrades!$U$20,L279),1)*IF(Upgrades!$T$21="Peculiar Velocity",POWER(Upgrades!$U$21,M279),1))+(IF(L279=0,0,(Upgrades!$J$20+L279*Upgrades!$K$20)*POWER(Upgrades!$L$20,L279)))*(IF(Upgrades!$T$13="Open Cluster",POWER(Upgrades!$U$13,E279),1)*IF(Upgrades!$T$14="Open Cluster",POWER(Upgrades!$U$14,F279),1)*IF(Upgrades!$T$15="Open Cluster",POWER(Upgrades!$U$15,G279),1)*IF(Upgrades!$T$16="Open Cluster",POWER(Upgrades!$U$16,H279),1)*IF(Upgrades!$T$17="Open Cluster",POWER(Upgrades!$U$17,I279),1)*IF(Upgrades!$T$18="Open Cluster",POWER(Upgrades!$U$18,J279),1)*IF(Upgrades!$T$19="Open Cluster",POWER(Upgrades!$U$19,K279),1)*IF(Upgrades!$T$21="Open Cluster",POWER(Upgrades!$U$21,M279),1))+(IF(M279=0,0,(Upgrades!$J$21+M279*Upgrades!$K$21)*POWER(Upgrades!$L$21,M279)))*(IF(Upgrades!$T$13="Moving Group",POWER(Upgrades!$U$13,E279),1)*IF(Upgrades!$T$14="Moving Group",POWER(Upgrades!$U$14,F279),1)*IF(Upgrades!$T$15="Moving Group",POWER(Upgrades!$U$15,G279),1)*IF(Upgrades!$T$16="Moving Group",POWER(Upgrades!$U$16,H279),1)*IF(Upgrades!$T$17="Moving Group",POWER(Upgrades!$U$17,I279),1)*IF(Upgrades!$T$18="Moving Group",POWER(Upgrades!$U$18,J279),1)*IF(Upgrades!$T$19="Moving Group",POWER(Upgrades!$U$19,K279),1)*IF(Upgrades!$T$20="Moving Group",POWER(Upgrades!$U$20,L279),1)))*POWER(Upgrades!$Q$13,E279)*POWER(Upgrades!$Q$14,F279)*POWER(Upgrades!$Q$15,G279)*POWER(Upgrades!$Q$16,H279)*POWER(Upgrades!$Q$17,I279)*POWER(Upgrades!$Q$18,J279)*POWER(Upgrades!$Q$19,K279)*POWER(Upgrades!$Q$20,L279)*POWER(Upgrades!$Q$21,M279)*$G$6+$D$6</f>
        <v/>
      </c>
      <c r="P279" s="28">
        <f>((IF(E279=0,0,(Upgrades!$G$13+E279*Upgrades!$H$13)*POWER(Upgrades!$I$13,E279)))*(IF(Upgrades!$T$14="Stellar Kinematics",POWER(Upgrades!$U$14,F279),1)*IF(Upgrades!$T$15="Stellar Kinematics",POWER(Upgrades!$U$15,G279),1)*IF(Upgrades!$T$16="Stellar Kinematics",POWER(Upgrades!$U$16,H279),1)*IF(Upgrades!$T$17="Stellar Kinematics",POWER(Upgrades!$U$17,I279),1)*IF(Upgrades!$T$18="Stellar Kinematics",POWER(Upgrades!$U$18,J279),1)*IF(Upgrades!$T$19="Stellar Kinematics",POWER(Upgrades!$U$19,K279),1)*IF(Upgrades!$T$20="Stellar Kinematics",POWER(Upgrades!$U$20,L279),1)*IF(Upgrades!$T$21="Stellar Kinematics",POWER(Upgrades!$U$21,M279),1))+(IF(F279=0,0,(Upgrades!$G$14+F279*Upgrades!$H$14)*POWER(Upgrades!$I$14,F279)))*(IF(Upgrades!$T$13="Local Bubble",POWER(Upgrades!$U$13,E279),1)*IF(Upgrades!$T$15="Local Bubble",POWER(Upgrades!$U$15,G279),1)*IF(Upgrades!$T$16="Local Bubble",POWER(Upgrades!$U$16,H279),1)*IF(Upgrades!$T$17="Local Bubble",POWER(Upgrades!$U$17,I279),1)*IF(Upgrades!$T$18="Local Bubble",POWER(Upgrades!$U$18,J279),1)*IF(Upgrades!$T$19="Local Bubble",POWER(Upgrades!$U$19,K279),1)*IF(Upgrades!$T$20="Local Bubble",POWER(Upgrades!$U$20,L279),1)*IF(Upgrades!$T$21="Local Bubble",POWER(Upgrades!$U$21,M279),1))+(IF(G279=0,0,(Upgrades!$G$15+G279*Upgrades!$H$15)*POWER(Upgrades!$I$15,G279)))*(IF(Upgrades!$T$13="Microlensing",POWER(Upgrades!$U$13,E279),1)*IF(Upgrades!$T$14="Microlensing",POWER(Upgrades!$U$14,F279),1)*IF(Upgrades!$T$16="Microlensing",POWER(Upgrades!$U$16,H279),1)*IF(Upgrades!$T$17="Microlensing",POWER(Upgrades!$U$17,I279),1)*IF(Upgrades!$T$18="Microlensing",POWER(Upgrades!$U$18,J279),1)*IF(Upgrades!$T$19="Microlensing",POWER(Upgrades!$U$19,K279),1)*IF(Upgrades!$T$20="Microlensing",POWER(Upgrades!$U$20,L279),1)*IF(Upgrades!$T$21="Microlensing",POWER(Upgrades!$U$21,M279),1))+(IF(H279=0,0,(Upgrades!$G$16+H279*Upgrades!$H$16)*POWER(Upgrades!$I$16,H279)))*(IF(Upgrades!$T$13="Roche Lobe Overflow",POWER(Upgrades!$U$13,E279),1)*IF(Upgrades!$T$14="Roche Lobe Overflow",POWER(Upgrades!$U$14,F279),1)*IF(Upgrades!$T$15="Roche Lobe Overflow",POWER(Upgrades!$U$15,G279),1)*IF(Upgrades!$T$17="Roche Lobe Overflow",POWER(Upgrades!$U$17,I279),1)*IF(Upgrades!$T$18="Roche Lobe Overflow",POWER(Upgrades!$U$18,J279),1)*IF(Upgrades!$T$19="Roche Lobe Overflow",POWER(Upgrades!$U$19,K279),1)*IF(Upgrades!$T$20="Roche Lobe Overflow",POWER(Upgrades!$U$20,L279),1)*IF(Upgrades!$T$21="Roche Lobe Overflow",POWER(Upgrades!$U$21,M279),1))+(IF(I279=0,0,(Upgrades!$G$17+I279*Upgrades!$H$17)*POWER(Upgrades!$I$17,I279)))*(IF(Upgrades!$T$13="Brown Dwarf",POWER(Upgrades!$U$13,E279),1)*IF(Upgrades!$T$14="Brown Dwarf",POWER(Upgrades!$U$14,F279),1)*IF(Upgrades!$T$15="Brown Dwarf",POWER(Upgrades!$U$15,G279),1)*IF(Upgrades!$T$16="Brown Dwarf",POWER(Upgrades!$U$16,H279),1)*IF(Upgrades!$T$18="Brown Dwarf",POWER(Upgrades!$U$18,J279),1)*IF(Upgrades!$T$19="Brown Dwarf",POWER(Upgrades!$U$19,K279),1)*IF(Upgrades!$T$20="Brown Dwarf",POWER(Upgrades!$U$20,L279),1)*IF(Upgrades!$T$21="Brown Dwarf",POWER(Upgrades!$U$21,M279),1))+(IF(J279=0,0,(Upgrades!$G$18+J279*Upgrades!$H$18)*POWER(Upgrades!$I$18,J279)))*(IF(Upgrades!$T$13="Binary Partner",POWER(Upgrades!$U$13,E279),1)*IF(Upgrades!$T$14="Binary Partner",POWER(Upgrades!$U$14,F279),1)*IF(Upgrades!$T$15="Binary Partner",POWER(Upgrades!$U$15,G279),1)*IF(Upgrades!$T$16="Binary Partner",POWER(Upgrades!$U$16,H279),1)*IF(Upgrades!$T$17="Binary Partner",POWER(Upgrades!$U$17,I279),1)*IF(Upgrades!$T$19="Binary Partner",POWER(Upgrades!$U$19,K279),1)*IF(Upgrades!$T$20="Binary Partner",POWER(Upgrades!$U$20,L279),1)*IF(Upgrades!$T$21="Binary Partner",POWER(Upgrades!$U$21,M279),1))+(IF(K279=0,0,(Upgrades!$G$19+K279*Upgrades!$H$19)*POWER(Upgrades!$I$19,K279)))*(IF(Upgrades!$T$13="Peculiar Velocity",POWER(Upgrades!$U$13,E279),1)*IF(Upgrades!$T$14="Peculiar Velocity",POWER(Upgrades!$U$14,F279),1)*IF(Upgrades!$T$15="Peculiar Velocity",POWER(Upgrades!$U$15,G279),1)*IF(Upgrades!$T$16="Peculiar Velocity",POWER(Upgrades!$U$16,H279),1)*IF(Upgrades!$T$17="Peculiar Velocity",POWER(Upgrades!$U$17,I279),1)*IF(Upgrades!$T$18="Peculiar Velocity",POWER(Upgrades!$U$18,J279),1)*IF(Upgrades!$T$20="Peculiar Velocity",POWER(Upgrades!$U$20,L279),1)*IF(Upgrades!$T$21="Peculiar Velocity",POWER(Upgrades!$U$21,M279),1))+(IF(L279=0,0,(Upgrades!$G$20+L279*Upgrades!$H$20)*POWER(Upgrades!$I$20,L279)))*(IF(Upgrades!$T$13="Open Cluster",POWER(Upgrades!$U$13,E279),1)*IF(Upgrades!$T$14="Open Cluster",POWER(Upgrades!$U$14,F279),1)*IF(Upgrades!$T$15="Open Cluster",POWER(Upgrades!$U$15,G279),1)*IF(Upgrades!$T$16="Open Cluster",POWER(Upgrades!$U$16,H279),1)*IF(Upgrades!$T$17="Open Cluster",POWER(Upgrades!$U$17,I279),1)*IF(Upgrades!$T$18="Open Cluster",POWER(Upgrades!$U$18,J279),1)*IF(Upgrades!$T$19="Open Cluster",POWER(Upgrades!$U$19,K279),1)*IF(Upgrades!$T$21="Open Cluster",POWER(Upgrades!$U$21,M279),1))+(IF(M279=0,0,(Upgrades!$G$21+M279*Upgrades!$H$21)*POWER(Upgrades!$I$21,M279)))*(IF(Upgrades!$T$13="Moving Group",POWER(Upgrades!$U$13,E279),1)*IF(Upgrades!$T$14="Moving Group",POWER(Upgrades!$U$14,F279),1)*IF(Upgrades!$T$15="Moving Group",POWER(Upgrades!$U$15,G279),1)*IF(Upgrades!$T$16="Moving Group",POWER(Upgrades!$U$16,H279),1)*IF(Upgrades!$T$17="Moving Group",POWER(Upgrades!$U$17,I279),1)*IF(Upgrades!$T$18="Moving Group",POWER(Upgrades!$U$18,J279),1)*IF(Upgrades!$T$19="Moving Group",POWER(Upgrades!$U$19,K279),1)*IF(Upgrades!$T$20="Moving Group",POWER(Upgrades!$U$20,L279),1)))*POWER(Upgrades!$P$13,E279)*POWER(Upgrades!$P$14,F279)*POWER(Upgrades!$P$15,G279)*POWER(Upgrades!$P$16,H279)*POWER(Upgrades!$P$17,I279)*POWER(Upgrades!$P$18,J279)*POWER(Upgrades!$P$19,K279)*POWER(Upgrades!$P$20,L279)*POWER(Upgrades!$P$21,M279)*$F$6+$C$6</f>
        <v/>
      </c>
      <c r="Q279" s="28">
        <f>((IF(E279=0,0,(Upgrades!$M$13+E279*Upgrades!$N$13)*POWER(Upgrades!$O$13,E279)))*(IF(Upgrades!$T$14="Stellar Kinematics",POWER(Upgrades!$U$14,F279),1)*IF(Upgrades!$T$15="Stellar Kinematics",POWER(Upgrades!$U$15,G279),1)*IF(Upgrades!$T$16="Stellar Kinematics",POWER(Upgrades!$U$16,H279),1)*IF(Upgrades!$T$17="Stellar Kinematics",POWER(Upgrades!$U$17,I279),1)*IF(Upgrades!$T$18="Stellar Kinematics",POWER(Upgrades!$U$18,J279),1)*IF(Upgrades!$T$19="Stellar Kinematics",POWER(Upgrades!$U$19,K279),1)*IF(Upgrades!$T$20="Stellar Kinematics",POWER(Upgrades!$U$20,L279),1)*IF(Upgrades!$T$21="Stellar Kinematics",POWER(Upgrades!$U$21,M279),1))+(IF(F279=0,0,(Upgrades!$M$14+F279*Upgrades!$N$14)*POWER(Upgrades!$O$14,F279)))*(IF(Upgrades!$T$13="Local Bubble",POWER(Upgrades!$U$13,E279),1)*IF(Upgrades!$T$15="Local Bubble",POWER(Upgrades!$U$15,G279),1)*IF(Upgrades!$T$16="Local Bubble",POWER(Upgrades!$U$16,H279),1)*IF(Upgrades!$T$17="Local Bubble",POWER(Upgrades!$U$17,I279),1)*IF(Upgrades!$T$18="Local Bubble",POWER(Upgrades!$U$18,J279),1)*IF(Upgrades!$T$19="Local Bubble",POWER(Upgrades!$U$19,K279),1)*IF(Upgrades!$T$20="Local Bubble",POWER(Upgrades!$U$20,L279),1)*IF(Upgrades!$T$21="Local Bubble",POWER(Upgrades!$U$21,M279),1))+(IF(G279=0,0,(Upgrades!$M$15+G279*Upgrades!$N$15)*POWER(Upgrades!$O$15,G279)))*(IF(Upgrades!$T$13="Microlensing",POWER(Upgrades!$U$13,E279),1)*IF(Upgrades!$T$14="Microlensing",POWER(Upgrades!$U$14,F279),1)*IF(Upgrades!$T$16="Microlensing",POWER(Upgrades!$U$16,H279),1)*IF(Upgrades!$T$17="Microlensing",POWER(Upgrades!$U$17,I279),1)*IF(Upgrades!$T$18="Microlensing",POWER(Upgrades!$U$18,J279),1)*IF(Upgrades!$T$19="Microlensing",POWER(Upgrades!$U$19,K279),1)*IF(Upgrades!$T$20="Microlensing",POWER(Upgrades!$U$20,L279),1)*IF(Upgrades!$T$21="Microlensing",POWER(Upgrades!$U$21,M279),1))+(IF(H279=0,0,(Upgrades!$M$16+H279*Upgrades!$N$16)*POWER(Upgrades!$O$16,H279)))*(IF(Upgrades!$T$13="Roche Lobe Overflow",POWER(Upgrades!$U$13,E279),1)*IF(Upgrades!$T$14="Roche Lobe Overflow",POWER(Upgrades!$U$14,F279),1)*IF(Upgrades!$T$15="Roche Lobe Overflow",POWER(Upgrades!$U$15,G279),1)*IF(Upgrades!$T$17="Roche Lobe Overflow",POWER(Upgrades!$U$17,I279),1)*IF(Upgrades!$T$18="Roche Lobe Overflow",POWER(Upgrades!$U$18,J279),1)*IF(Upgrades!$T$19="Roche Lobe Overflow",POWER(Upgrades!$U$19,K279),1)*IF(Upgrades!$T$20="Roche Lobe Overflow",POWER(Upgrades!$U$20,L279),1)*IF(Upgrades!$T$21="Roche Lobe Overflow",POWER(Upgrades!$U$21,M279),1))+(IF(I279=0,0,(Upgrades!$M$17+I279*Upgrades!$N$17)*POWER(Upgrades!$O$17,I279)))*(IF(Upgrades!$T$13="Brown Dwarf",POWER(Upgrades!$U$13,E279),1)*IF(Upgrades!$T$14="Brown Dwarf",POWER(Upgrades!$U$14,F279),1)*IF(Upgrades!$T$15="Brown Dwarf",POWER(Upgrades!$U$15,G279),1)*IF(Upgrades!$T$16="Brown Dwarf",POWER(Upgrades!$U$16,H279),1)*IF(Upgrades!$T$18="Brown Dwarf",POWER(Upgrades!$U$18,J279),1)*IF(Upgrades!$T$19="Brown Dwarf",POWER(Upgrades!$U$19,K279),1)*IF(Upgrades!$T$20="Brown Dwarf",POWER(Upgrades!$U$20,L279),1)*IF(Upgrades!$T$21="Brown Dwarf",POWER(Upgrades!$U$21,M279),1))+(IF(J279=0,0,(Upgrades!$M$18+J279*Upgrades!$N$18)*POWER(Upgrades!$O$18,J279)))*(IF(Upgrades!$T$13="Binary Partner",POWER(Upgrades!$U$13,E279),1)*IF(Upgrades!$T$14="Binary Partner",POWER(Upgrades!$U$14,F279),1)*IF(Upgrades!$T$15="Binary Partner",POWER(Upgrades!$U$15,G279),1)*IF(Upgrades!$T$16="Binary Partner",POWER(Upgrades!$U$16,H279),1)*IF(Upgrades!$T$17="Binary Partner",POWER(Upgrades!$U$17,I279),1)*IF(Upgrades!$T$19="Binary Partner",POWER(Upgrades!$U$19,K279),1)*IF(Upgrades!$T$20="Binary Partner",POWER(Upgrades!$U$20,L279),1)*IF(Upgrades!$T$21="Binary Partner",POWER(Upgrades!$U$21,M279),1))+(IF(K279=0,0,(Upgrades!$M$19+K279*Upgrades!$N$19)*POWER(Upgrades!$O$19,K279)))*(IF(Upgrades!$T$13="Peculiar Velocity",POWER(Upgrades!$U$13,E279),1)*IF(Upgrades!$T$14="Peculiar Velocity",POWER(Upgrades!$U$14,F279),1)*IF(Upgrades!$T$15="Peculiar Velocity",POWER(Upgrades!$U$15,G279),1)*IF(Upgrades!$T$16="Peculiar Velocity",POWER(Upgrades!$U$16,H279),1)*IF(Upgrades!$T$17="Peculiar Velocity",POWER(Upgrades!$U$17,I279),1)*IF(Upgrades!$T$18="Peculiar Velocity",POWER(Upgrades!$U$18,J279),1)*IF(Upgrades!$T$20="Peculiar Velocity",POWER(Upgrades!$U$20,L279),1)*IF(Upgrades!$T$21="Peculiar Velocity",POWER(Upgrades!$U$21,M279),1))+(IF(L279=0,0,(Upgrades!$M$20+L279*Upgrades!$N$20)*POWER(Upgrades!$O$20,L279)))*(IF(Upgrades!$T$13="Open Cluster",POWER(Upgrades!$U$13,E279),1)*IF(Upgrades!$T$14="Open Cluster",POWER(Upgrades!$U$14,F279),1)*IF(Upgrades!$T$15="Open Cluster",POWER(Upgrades!$U$15,G279),1)*IF(Upgrades!$T$16="Open Cluster",POWER(Upgrades!$U$16,H279),1)*IF(Upgrades!$T$17="Open Cluster",POWER(Upgrades!$U$17,I279),1)*IF(Upgrades!$T$18="Open Cluster",POWER(Upgrades!$U$18,J279),1)*IF(Upgrades!$T$19="Open Cluster",POWER(Upgrades!$U$19,K279),1)*IF(Upgrades!$T$21="Open Cluster",POWER(Upgrades!$U$21,M279),1))+(IF(M279=0,0,(Upgrades!$M$21+M279*Upgrades!$N$21)*POWER(Upgrades!$O$21,M279)))*(IF(Upgrades!$T$13="Moving Group",POWER(Upgrades!$U$13,E279),1)*IF(Upgrades!$T$14="Moving Group",POWER(Upgrades!$U$14,F279),1)*IF(Upgrades!$T$15="Moving Group",POWER(Upgrades!$U$15,G279),1)*IF(Upgrades!$T$16="Moving Group",POWER(Upgrades!$U$16,H279),1)*IF(Upgrades!$T$17="Moving Group",POWER(Upgrades!$U$17,I279),1)*IF(Upgrades!$T$18="Moving Group",POWER(Upgrades!$U$18,J279),1)*IF(Upgrades!$T$19="Moving Group",POWER(Upgrades!$U$19,K279),1)*IF(Upgrades!$T$20="Moving Group",POWER(Upgrades!$U$20,L279),1)))*POWER(Upgrades!$R$13,E279)*POWER(Upgrades!$R$14,F279)*POWER(Upgrades!$R$15,G279)*POWER(Upgrades!$R$16,H279)*POWER(Upgrades!$R$17,I279)*POWER(Upgrades!$R$18,J279)*POWER(Upgrades!$R$19,K279)*POWER(Upgrades!$R$20,L279)*POWER(Upgrades!$R$21,M279)*$H$6+$E$6</f>
        <v/>
      </c>
      <c r="R279" s="27">
        <f>IF(N279=1,0,O279*Parameters!$B$10/60*Parameters!$B$11*10)</f>
        <v/>
      </c>
      <c r="S279" s="27">
        <f>IF(N279=1,0,Q279*O279*10)</f>
        <v/>
      </c>
      <c r="T279" s="27">
        <f>IF(N279=1,0,R279+S279+P279*10)</f>
        <v/>
      </c>
      <c r="U279" s="33">
        <f>BE279</f>
        <v/>
      </c>
      <c r="V279" s="22">
        <f>IF(U279="",0,IF(U279="transition",0,IF(U279="SK",AK279,IF(U279="LB",AL279,IF(U279="ML",AM279,IF(U279="RLO",AN279,IF(U279="BD",AO279,IF(U279="BiP",AP279,IF(U279="PV",AQ279,IF(U279="OC",AR279,IF(U279="MG",AS279,0))))))))))</f>
        <v/>
      </c>
      <c r="W279" s="27">
        <f>IF(U279="BiP",Upgrades!$F$18,IF(U279="PV",Upgrades!$F$19,IF(U279="OC",Upgrades!$F$20,IF(U279="MG",Upgrades!$F$21,IF(U279="transition",-Parameters!$B$18*Parameters!$B$19,0)))))</f>
        <v/>
      </c>
      <c r="X279" s="22">
        <f>C279+T279-V279</f>
        <v/>
      </c>
      <c r="Y279" s="30">
        <f>O279*Parameters!$B$10/60*Parameters!$B$11+Q279*O279+P279</f>
        <v/>
      </c>
      <c r="Z279" s="34">
        <f>IF(U279="transition","→ Tier 3 (Galactic Arm)",IF(U279="MG","Moving Group — pocket drifts together",IF(U279="OC","Open Cluster acquired",IF(U279="PV","Peculiar Velocity — passive multiplier active",IF(U279="BiP","Binary Partner — pair bond formed",IF(AND(AU279=1,N279=0,AT279&lt;&gt;1),"Cohesion ready (waiting on completionists)","")))))) </f>
        <v/>
      </c>
      <c r="AA279" s="27">
        <f>(IF(E279=0,0,(Upgrades!$G$13+E279*Upgrades!$H$13)*POWER(Upgrades!$I$13,E279)))*(IF(Upgrades!$T$14="Stellar Kinematics",POWER(Upgrades!$U$14,F279),1)*IF(Upgrades!$T$15="Stellar Kinematics",POWER(Upgrades!$U$15,G279),1)*IF(Upgrades!$T$16="Stellar Kinematics",POWER(Upgrades!$U$16,H279),1)*IF(Upgrades!$T$17="Stellar Kinematics",POWER(Upgrades!$U$17,I279),1)*IF(Upgrades!$T$18="Stellar Kinematics",POWER(Upgrades!$U$18,J279),1)*IF(Upgrades!$T$19="Stellar Kinematics",POWER(Upgrades!$U$19,K279),1)*IF(Upgrades!$T$20="Stellar Kinematics",POWER(Upgrades!$U$20,L279),1)*IF(Upgrades!$T$21="Stellar Kinematics",POWER(Upgrades!$U$21,M279),1))*POWER(Upgrades!$P$13,E279)*POWER(Upgrades!$P$14,F279)*POWER(Upgrades!$P$15,G279)*POWER(Upgrades!$P$16,H279)*POWER(Upgrades!$P$17,I279)*POWER(Upgrades!$P$18,J279)*POWER(Upgrades!$P$19,K279)*POWER(Upgrades!$P$20,L279)*POWER(Upgrades!$P$21,M279)*$F$6*60</f>
        <v/>
      </c>
      <c r="AB279" s="27">
        <f>(IF(F279=0,0,(Upgrades!$G$14+F279*Upgrades!$H$14)*POWER(Upgrades!$I$14,F279)))*(IF(Upgrades!$T$13="Local Bubble",POWER(Upgrades!$U$13,E279),1)*IF(Upgrades!$T$15="Local Bubble",POWER(Upgrades!$U$15,G279),1)*IF(Upgrades!$T$16="Local Bubble",POWER(Upgrades!$U$16,H279),1)*IF(Upgrades!$T$17="Local Bubble",POWER(Upgrades!$U$17,I279),1)*IF(Upgrades!$T$18="Local Bubble",POWER(Upgrades!$U$18,J279),1)*IF(Upgrades!$T$19="Local Bubble",POWER(Upgrades!$U$19,K279),1)*IF(Upgrades!$T$20="Local Bubble",POWER(Upgrades!$U$20,L279),1)*IF(Upgrades!$T$21="Local Bubble",POWER(Upgrades!$U$21,M279),1))*POWER(Upgrades!$P$13,E279)*POWER(Upgrades!$P$14,F279)*POWER(Upgrades!$P$15,G279)*POWER(Upgrades!$P$16,H279)*POWER(Upgrades!$P$17,I279)*POWER(Upgrades!$P$18,J279)*POWER(Upgrades!$P$19,K279)*POWER(Upgrades!$P$20,L279)*POWER(Upgrades!$P$21,M279)*$F$6*60</f>
        <v/>
      </c>
      <c r="AC279" s="27">
        <f>(IF(G279=0,0,(Upgrades!$J$15+G279*Upgrades!$K$15)*POWER(Upgrades!$L$15,G279)))*(IF(Upgrades!$T$13="Microlensing",POWER(Upgrades!$U$13,E279),1)*IF(Upgrades!$T$14="Microlensing",POWER(Upgrades!$U$14,F279),1)*IF(Upgrades!$T$16="Microlensing",POWER(Upgrades!$U$16,H279),1)*IF(Upgrades!$T$17="Microlensing",POWER(Upgrades!$U$17,I279),1)*IF(Upgrades!$T$18="Microlensing",POWER(Upgrades!$U$18,J279),1)*IF(Upgrades!$T$19="Microlensing",POWER(Upgrades!$U$19,K279),1)*IF(Upgrades!$T$20="Microlensing",POWER(Upgrades!$U$20,L279),1)*IF(Upgrades!$T$21="Microlensing",POWER(Upgrades!$U$21,M279),1))*POWER(Upgrades!$Q$13,E279)*POWER(Upgrades!$Q$14,F279)*POWER(Upgrades!$Q$15,G279)*POWER(Upgrades!$Q$16,H279)*POWER(Upgrades!$Q$17,I279)*POWER(Upgrades!$Q$18,J279)*POWER(Upgrades!$Q$19,K279)*POWER(Upgrades!$Q$20,L279)*POWER(Upgrades!$Q$21,M279)*$G$6*(Parameters!$B$10*Parameters!$B$11+Q279*60)</f>
        <v/>
      </c>
      <c r="AD279" s="27">
        <f>(IF(H279=0,0,(Upgrades!$M$16+H279*Upgrades!$N$16)*POWER(Upgrades!$O$16,H279)))*(IF(Upgrades!$T$13="Roche Lobe Overflow",POWER(Upgrades!$U$13,E279),1)*IF(Upgrades!$T$14="Roche Lobe Overflow",POWER(Upgrades!$U$14,F279),1)*IF(Upgrades!$T$15="Roche Lobe Overflow",POWER(Upgrades!$U$15,G279),1)*IF(Upgrades!$T$17="Roche Lobe Overflow",POWER(Upgrades!$U$17,I279),1)*IF(Upgrades!$T$18="Roche Lobe Overflow",POWER(Upgrades!$U$18,J279),1)*IF(Upgrades!$T$19="Roche Lobe Overflow",POWER(Upgrades!$U$19,K279),1)*IF(Upgrades!$T$20="Roche Lobe Overflow",POWER(Upgrades!$U$20,L279),1)*IF(Upgrades!$T$21="Roche Lobe Overflow",POWER(Upgrades!$U$21,M279),1))*POWER(Upgrades!$R$13,E279)*POWER(Upgrades!$R$14,F279)*POWER(Upgrades!$R$15,G279)*POWER(Upgrades!$R$16,H279)*POWER(Upgrades!$R$17,I279)*POWER(Upgrades!$R$18,J279)*POWER(Upgrades!$R$19,K279)*POWER(Upgrades!$R$20,L279)*POWER(Upgrades!$R$21,M279)*$H$6*O279*60</f>
        <v/>
      </c>
      <c r="AE279" s="27">
        <f>(IF(I279=0,0,(Upgrades!$G$17+I279*Upgrades!$H$17)*POWER(Upgrades!$I$17,I279)))*(IF(Upgrades!$T$13="Brown Dwarf",POWER(Upgrades!$U$13,E279),1)*IF(Upgrades!$T$14="Brown Dwarf",POWER(Upgrades!$U$14,F279),1)*IF(Upgrades!$T$15="Brown Dwarf",POWER(Upgrades!$U$15,G279),1)*IF(Upgrades!$T$16="Brown Dwarf",POWER(Upgrades!$U$16,H279),1)*IF(Upgrades!$T$18="Brown Dwarf",POWER(Upgrades!$U$18,J279),1)*IF(Upgrades!$T$19="Brown Dwarf",POWER(Upgrades!$U$19,K279),1)*IF(Upgrades!$T$20="Brown Dwarf",POWER(Upgrades!$U$20,L279),1)*IF(Upgrades!$T$21="Brown Dwarf",POWER(Upgrades!$U$21,M279),1))*POWER(Upgrades!$P$13,E279)*POWER(Upgrades!$P$14,F279)*POWER(Upgrades!$P$15,G279)*POWER(Upgrades!$P$16,H279)*POWER(Upgrades!$P$17,I279)*POWER(Upgrades!$P$18,J279)*POWER(Upgrades!$P$19,K279)*POWER(Upgrades!$P$20,L279)*POWER(Upgrades!$P$21,M279)*$F$6*60</f>
        <v/>
      </c>
      <c r="AF279" s="27" t="n">
        <v>0</v>
      </c>
      <c r="AG279" s="27" t="n">
        <v>0</v>
      </c>
      <c r="AH279" s="27" t="n">
        <v>0</v>
      </c>
      <c r="AI279" s="27">
        <f>(IF(M279=0,0,(Upgrades!$G$21+M279*Upgrades!$H$21)*POWER(Upgrades!$I$21,M279)))*(IF(Upgrades!$T$13="Moving Group",POWER(Upgrades!$U$13,E279),1)*IF(Upgrades!$T$14="Moving Group",POWER(Upgrades!$U$14,F279),1)*IF(Upgrades!$T$15="Moving Group",POWER(Upgrades!$U$15,G279),1)*IF(Upgrades!$T$16="Moving Group",POWER(Upgrades!$U$16,H279),1)*IF(Upgrades!$T$17="Moving Group",POWER(Upgrades!$U$17,I279),1)*IF(Upgrades!$T$18="Moving Group",POWER(Upgrades!$U$18,J279),1)*IF(Upgrades!$T$19="Moving Group",POWER(Upgrades!$U$19,K279),1)*IF(Upgrades!$T$20="Moving Group",POWER(Upgrades!$U$20,L279),1))*POWER(Upgrades!$P$13,E279)*POWER(Upgrades!$P$14,F279)*POWER(Upgrades!$P$15,G279)*POWER(Upgrades!$P$16,H279)*POWER(Upgrades!$P$17,I279)*POWER(Upgrades!$P$18,J279)*POWER(Upgrades!$P$19,K279)*POWER(Upgrades!$P$20,L279)*POWER(Upgrades!$P$21,M279)*$F$6*60</f>
        <v/>
      </c>
      <c r="AJ279" s="27">
        <f>$C$6*60</f>
        <v/>
      </c>
      <c r="AK279" s="22">
        <f>IF(E279&gt;=Upgrades!$E$13,"",Upgrades!$C$13*POWER(Upgrades!$D$13,E279))</f>
        <v/>
      </c>
      <c r="AL279" s="22">
        <f>IF(F279&gt;=Upgrades!$E$14,"",Upgrades!$C$14*POWER(Upgrades!$D$14,F279))</f>
        <v/>
      </c>
      <c r="AM279" s="22">
        <f>IF(G279&gt;=Upgrades!$E$15,"",Upgrades!$C$15*POWER(Upgrades!$D$15,G279))</f>
        <v/>
      </c>
      <c r="AN279" s="22">
        <f>IF(H279&gt;=Upgrades!$E$16,"",Upgrades!$C$16*POWER(Upgrades!$D$16,H279))</f>
        <v/>
      </c>
      <c r="AO279" s="22">
        <f>IF(I279&gt;=Upgrades!$E$17,"",Upgrades!$C$17*POWER(Upgrades!$D$17,I279))</f>
        <v/>
      </c>
      <c r="AP279" s="22">
        <f>IF(J279&gt;=Upgrades!$E$18,"",Upgrades!$C$18*POWER(Upgrades!$D$18,J279))</f>
        <v/>
      </c>
      <c r="AQ279" s="22">
        <f>IF(K279&gt;=Upgrades!$E$19,"",Upgrades!$C$19*POWER(Upgrades!$D$19,K279))</f>
        <v/>
      </c>
      <c r="AR279" s="22">
        <f>IF(L279&gt;=Upgrades!$E$20,"",Upgrades!$C$20*POWER(Upgrades!$D$20,L279))</f>
        <v/>
      </c>
      <c r="AS279" s="22">
        <f>IF(M279&gt;=Upgrades!$E$21,"",Upgrades!$C$21*POWER(Upgrades!$D$21,M279))</f>
        <v/>
      </c>
      <c r="AT279" s="26">
        <f>IF(AND(D279&gt;=Parameters!$B$18*Parameters!$B$19,(I279&gt;=Upgrades!$E$17)*(M279&gt;=Upgrades!$E$21)=1,N279=0),1,"")</f>
        <v/>
      </c>
      <c r="AU279" s="26">
        <f>IF(AND(D279&gt;=Parameters!$B$18*Parameters!$B$19,N279=0),1,"")</f>
        <v/>
      </c>
      <c r="AV279" s="22">
        <f>MIN(IF(ISNUMBER(AP279),AP279,9E15),IF(ISNUMBER(AQ279),AQ279,9E15),IF(ISNUMBER(AR279),AR279,9E15),IF(ISNUMBER(AS279),AS279,9E15))</f>
        <v/>
      </c>
      <c r="AW279" s="22">
        <f>MIN(IF(ISNUMBER(AK279),AK279,9E15),IF(ISNUMBER(AL279),AL279,9E15),IF(ISNUMBER(AM279),AM279,9E15),IF(ISNUMBER(AN279),AN279,9E15),IF(ISNUMBER(AO279),AO279,9E15))</f>
        <v/>
      </c>
      <c r="AX279" s="29">
        <f>IF(BD279&gt;Parameters!$B$21*(MAX(IF(AND(NOT(AND(AU279=1,AT279&lt;&gt;1)),ISNUMBER(AK279),AK279&lt;=(C279+T279)),AY279,0),IF(AND(NOT(AND(AU279=1,AT279&lt;&gt;1)),ISNUMBER(AL279),AL279&lt;=(C279+T279)),AZ279,0),IF(AND(NOT(AND(AU279=1,AT279&lt;&gt;1)),ISNUMBER(AM279),AM279&lt;=(C279+T279)),BA279,0),IF(AND(NOT(AND(AU279=1,AT279&lt;&gt;1)),ISNUMBER(AN279),AN279&lt;=(C279+T279)),BB279,0),IF(AND(ISNUMBER(AO279),AO279&lt;=(C279+T279)),BC279,0))),TRUE,FALSE)</f>
        <v/>
      </c>
      <c r="AY279" s="32">
        <f>IFERROR(Upgrades!$H$13*(POWER(Upgrades!$P$13,E279)*POWER(Upgrades!$P$14,F279)*POWER(Upgrades!$P$15,G279)*POWER(Upgrades!$P$16,H279)*POWER(Upgrades!$P$17,I279)*POWER(Upgrades!$P$18,J279)*POWER(Upgrades!$P$19,K279)*POWER(Upgrades!$P$20,L279)*POWER(Upgrades!$P$21,M279))*(IF(Upgrades!$T$14="Stellar Kinematics",POWER(Upgrades!$U$14,F279),1)*IF(Upgrades!$T$15="Stellar Kinematics",POWER(Upgrades!$U$15,G279),1)*IF(Upgrades!$T$16="Stellar Kinematics",POWER(Upgrades!$U$16,H279),1)*IF(Upgrades!$T$17="Stellar Kinematics",POWER(Upgrades!$U$17,I279),1)*IF(Upgrades!$T$18="Stellar Kinematics",POWER(Upgrades!$U$18,J279),1)*IF(Upgrades!$T$19="Stellar Kinematics",POWER(Upgrades!$U$19,K279),1)*IF(Upgrades!$T$20="Stellar Kinematics",POWER(Upgrades!$U$20,L279),1)*IF(Upgrades!$T$21="Stellar Kinematics",POWER(Upgrades!$U$21,M279),1))*$F$6/AK279,0)</f>
        <v/>
      </c>
      <c r="AZ279" s="32">
        <f>IFERROR(Upgrades!$H$14*(POWER(Upgrades!$P$13,E279)*POWER(Upgrades!$P$14,F279)*POWER(Upgrades!$P$15,G279)*POWER(Upgrades!$P$16,H279)*POWER(Upgrades!$P$17,I279)*POWER(Upgrades!$P$18,J279)*POWER(Upgrades!$P$19,K279)*POWER(Upgrades!$P$20,L279)*POWER(Upgrades!$P$21,M279))*(IF(Upgrades!$T$13="Local Bubble",POWER(Upgrades!$U$13,E279),1)*IF(Upgrades!$T$15="Local Bubble",POWER(Upgrades!$U$15,G279),1)*IF(Upgrades!$T$16="Local Bubble",POWER(Upgrades!$U$16,H279),1)*IF(Upgrades!$T$17="Local Bubble",POWER(Upgrades!$U$17,I279),1)*IF(Upgrades!$T$18="Local Bubble",POWER(Upgrades!$U$18,J279),1)*IF(Upgrades!$T$19="Local Bubble",POWER(Upgrades!$U$19,K279),1)*IF(Upgrades!$T$20="Local Bubble",POWER(Upgrades!$U$20,L279),1)*IF(Upgrades!$T$21="Local Bubble",POWER(Upgrades!$U$21,M279),1))*$F$6/AL279,0)</f>
        <v/>
      </c>
      <c r="BA279" s="32">
        <f>IFERROR(Upgrades!$K$15*(POWER(Upgrades!$Q$13,E279)*POWER(Upgrades!$Q$14,F279)*POWER(Upgrades!$Q$15,G279)*POWER(Upgrades!$Q$16,H279)*POWER(Upgrades!$Q$17,I279)*POWER(Upgrades!$Q$18,J279)*POWER(Upgrades!$Q$19,K279)*POWER(Upgrades!$Q$20,L279)*POWER(Upgrades!$Q$21,M279))*(IF(Upgrades!$T$13="Microlensing",POWER(Upgrades!$U$13,E279),1)*IF(Upgrades!$T$14="Microlensing",POWER(Upgrades!$U$14,F279),1)*IF(Upgrades!$T$16="Microlensing",POWER(Upgrades!$U$16,H279),1)*IF(Upgrades!$T$17="Microlensing",POWER(Upgrades!$U$17,I279),1)*IF(Upgrades!$T$18="Microlensing",POWER(Upgrades!$U$18,J279),1)*IF(Upgrades!$T$19="Microlensing",POWER(Upgrades!$U$19,K279),1)*IF(Upgrades!$T$20="Microlensing",POWER(Upgrades!$U$20,L279),1)*IF(Upgrades!$T$21="Microlensing",POWER(Upgrades!$U$21,M279),1))*$G$6*(Parameters!$B$10/60*Parameters!$B$11+Q279)/AM279,0)</f>
        <v/>
      </c>
      <c r="BB279" s="32">
        <f>IFERROR((Upgrades!$N$16*(POWER(Upgrades!$R$13,E279)*POWER(Upgrades!$R$14,F279)*POWER(Upgrades!$R$15,G279)*POWER(Upgrades!$R$16,H279)*POWER(Upgrades!$R$17,I279)*POWER(Upgrades!$R$18,J279)*POWER(Upgrades!$R$19,K279)*POWER(Upgrades!$R$20,L279)*POWER(Upgrades!$R$21,M279))*(IF(Upgrades!$T$13="Roche Lobe Overflow",POWER(Upgrades!$U$13,E279),1)*IF(Upgrades!$T$14="Roche Lobe Overflow",POWER(Upgrades!$U$14,F279),1)*IF(Upgrades!$T$15="Roche Lobe Overflow",POWER(Upgrades!$U$15,G279),1)*IF(Upgrades!$T$17="Roche Lobe Overflow",POWER(Upgrades!$U$17,I279),1)*IF(Upgrades!$T$18="Roche Lobe Overflow",POWER(Upgrades!$U$18,J279),1)*IF(Upgrades!$T$19="Roche Lobe Overflow",POWER(Upgrades!$U$19,K279),1)*IF(Upgrades!$T$20="Roche Lobe Overflow",POWER(Upgrades!$U$20,L279),1)*IF(Upgrades!$T$21="Roche Lobe Overflow",POWER(Upgrades!$U$21,M279),1))*$H$6*O279+((IF(F279=0,0,(Upgrades!$G$14+F279*Upgrades!$H$14)*POWER(Upgrades!$I$14,F279)))*(IF(Upgrades!$T$13="Local Bubble",POWER(Upgrades!$U$13,E279),1)*IF(Upgrades!$T$15="Local Bubble",POWER(Upgrades!$U$15,G279),1)*IF(Upgrades!$T$16="Local Bubble",POWER(Upgrades!$U$16,H279),1)*IF(Upgrades!$T$17="Local Bubble",POWER(Upgrades!$U$17,I279),1)*IF(Upgrades!$T$18="Local Bubble",POWER(Upgrades!$U$18,J279),1)*IF(Upgrades!$T$19="Local Bubble",POWER(Upgrades!$U$19,K279),1)*IF(Upgrades!$T$20="Local Bubble",POWER(Upgrades!$U$20,L279),1)*IF(Upgrades!$T$21="Local Bubble",POWER(Upgrades!$U$21,M279),1))*POWER(Upgrades!$P$13,E279)*POWER(Upgrades!$P$14,F279)*POWER(Upgrades!$P$15,G279)*POWER(Upgrades!$P$16,H279)*POWER(Upgrades!$P$17,I279)*POWER(Upgrades!$P$18,J279)*POWER(Upgrades!$P$19,K279)*POWER(Upgrades!$P$20,L279)*POWER(Upgrades!$P$21,M279)*$F$6)*0.05)/AN279,0)</f>
        <v/>
      </c>
      <c r="BC279" s="32">
        <f>IFERROR((Upgrades!$H$17*(POWER(Upgrades!$P$13,E279)*POWER(Upgrades!$P$14,F279)*POWER(Upgrades!$P$15,G279)*POWER(Upgrades!$P$16,H279)*POWER(Upgrades!$P$17,I279)*POWER(Upgrades!$P$18,J279)*POWER(Upgrades!$P$19,K279)*POWER(Upgrades!$P$20,L279)*POWER(Upgrades!$P$21,M279))*(IF(Upgrades!$T$13="Brown Dwarf",POWER(Upgrades!$U$13,E279),1)*IF(Upgrades!$T$14="Brown Dwarf",POWER(Upgrades!$U$14,F279),1)*IF(Upgrades!$T$15="Brown Dwarf",POWER(Upgrades!$U$15,G279),1)*IF(Upgrades!$T$16="Brown Dwarf",POWER(Upgrades!$U$16,H279),1)*IF(Upgrades!$T$18="Brown Dwarf",POWER(Upgrades!$U$18,J279),1)*IF(Upgrades!$T$19="Brown Dwarf",POWER(Upgrades!$U$19,K279),1)*IF(Upgrades!$T$20="Brown Dwarf",POWER(Upgrades!$U$20,L279),1)*IF(Upgrades!$T$21="Brown Dwarf",POWER(Upgrades!$U$21,M279),1))*$F$6+(((IF(H279=0,0,(Upgrades!$M$16+H279*Upgrades!$N$16)*POWER(Upgrades!$O$16,H279)))*(IF(Upgrades!$T$13="Roche Lobe Overflow",POWER(Upgrades!$U$13,E279),1)*IF(Upgrades!$T$14="Roche Lobe Overflow",POWER(Upgrades!$U$14,F279),1)*IF(Upgrades!$T$15="Roche Lobe Overflow",POWER(Upgrades!$U$15,G279),1)*IF(Upgrades!$T$17="Roche Lobe Overflow",POWER(Upgrades!$U$17,I279),1)*IF(Upgrades!$T$18="Roche Lobe Overflow",POWER(Upgrades!$U$18,J279),1)*IF(Upgrades!$T$19="Roche Lobe Overflow",POWER(Upgrades!$U$19,K279),1)*IF(Upgrades!$T$20="Roche Lobe Overflow",POWER(Upgrades!$U$20,L279),1)*IF(Upgrades!$T$21="Roche Lobe Overflow",POWER(Upgrades!$U$21,M279),1))*POWER(Upgrades!$R$13,E279)*POWER(Upgrades!$R$14,F279)*POWER(Upgrades!$R$15,G279)*POWER(Upgrades!$R$16,H279)*POWER(Upgrades!$R$17,I279)*POWER(Upgrades!$R$18,J279)*POWER(Upgrades!$R$19,K279)*POWER(Upgrades!$R$20,L279)*POWER(Upgrades!$R$21,M279)*$H$6)*O279)*0.10)/AO279,0)</f>
        <v/>
      </c>
      <c r="BD279" s="32">
        <f>MAX(IF(J279&gt;0,0,IFERROR(0.5*((IF(G279=0,0,(Upgrades!$J$15+G279*Upgrades!$K$15)*POWER(Upgrades!$L$15,G279)))*(IF(Upgrades!$T$13="Microlensing",POWER(Upgrades!$U$13,E279),1)*IF(Upgrades!$T$14="Microlensing",POWER(Upgrades!$U$14,F279),1)*IF(Upgrades!$T$16="Microlensing",POWER(Upgrades!$U$16,H279),1)*IF(Upgrades!$T$17="Microlensing",POWER(Upgrades!$U$17,I279),1)*IF(Upgrades!$T$18="Microlensing",POWER(Upgrades!$U$18,J279),1)*IF(Upgrades!$T$19="Microlensing",POWER(Upgrades!$U$19,K279),1)*IF(Upgrades!$T$20="Microlensing",POWER(Upgrades!$U$20,L279),1)*IF(Upgrades!$T$21="Microlensing",POWER(Upgrades!$U$21,M279),1))*(POWER(Upgrades!$Q$13,E279)*POWER(Upgrades!$Q$14,F279)*POWER(Upgrades!$Q$15,G279)*POWER(Upgrades!$Q$16,H279)*POWER(Upgrades!$Q$17,I279)*POWER(Upgrades!$Q$18,J279)*POWER(Upgrades!$Q$19,K279)*POWER(Upgrades!$Q$20,L279)*POWER(Upgrades!$Q$21,M279))*$G$6*(Parameters!$B$10/60*Parameters!$B$11+Q279))/Upgrades!$C$18,0)),IF(K279&gt;0,0,IFERROR(0.30*P279/Upgrades!$C$19,0)),IF(L279&gt;0,0,IFERROR(0.0001/Upgrades!$C$20,0)),IF(M279&gt;0,0,IFERROR((6.0*(POWER(Upgrades!$P$13,E279)*POWER(Upgrades!$P$14,F279)*POWER(Upgrades!$P$15,G279)*POWER(Upgrades!$P$16,H279)*POWER(Upgrades!$P$17,I279)*POWER(Upgrades!$P$18,J279)*POWER(Upgrades!$P$19,K279)*POWER(Upgrades!$P$20,L279)*POWER(Upgrades!$P$21,M279))*$F$6+0.20*O279*(Parameters!$B$10/60*Parameters!$B$11+Q279))/Upgrades!$C$21,0)),IF(AND(ISNUMBER(AK279),AK279&gt;(C279+T279)),AY279,0),IF(AND(ISNUMBER(AL279),AL279&gt;(C279+T279)),AZ279,0),IF(AND(ISNUMBER(AM279),AM279&gt;(C279+T279)),BA279,0),IF(AND(ISNUMBER(AN279),AN279&gt;(C279+T279)),BB279,0),IF(AND(ISNUMBER(AO279),AO279&gt;(C279+T279)),BC279,0))</f>
        <v/>
      </c>
      <c r="BE279" s="29">
        <f>IF(AT279=1,"transition",IF(MIN(IF(AND(J279=0,ISNUMBER(AP279),AP279&lt;=(C279+T279)),AP279,9E15),IF(AND(K279=0,ISNUMBER(AQ279),AQ279&lt;=(C279+T279)),AQ279,9E15),IF(AND(L279=0,ISNUMBER(AR279),AR279&lt;=(C279+T279)),AR279,9E15),IF(AND(M279=0,ISNUMBER(AS279),AS279&lt;=(C279+T279)),AS279,9E15))&lt;9E15,IF(AND(AND(J279=0,ISNUMBER(AP279),AP279&lt;=(C279+T279)),AP279=MIN(IF(AND(J279=0,ISNUMBER(AP279),AP279&lt;=(C279+T279)),AP279,9E15),IF(AND(K279=0,ISNUMBER(AQ279),AQ279&lt;=(C279+T279)),AQ279,9E15),IF(AND(L279=0,ISNUMBER(AR279),AR279&lt;=(C279+T279)),AR279,9E15),IF(AND(M279=0,ISNUMBER(AS279),AS279&lt;=(C279+T279)),AS279,9E15))),"BiP",IF(AND(AND(K279=0,ISNUMBER(AQ279),AQ279&lt;=(C279+T279)),AQ279=MIN(IF(AND(J279=0,ISNUMBER(AP279),AP279&lt;=(C279+T279)),AP279,9E15),IF(AND(K279=0,ISNUMBER(AQ279),AQ279&lt;=(C279+T279)),AQ279,9E15),IF(AND(L279=0,ISNUMBER(AR279),AR279&lt;=(C279+T279)),AR279,9E15),IF(AND(M279=0,ISNUMBER(AS279),AS279&lt;=(C279+T279)),AS279,9E15))),"PV",IF(AND(AND(L279=0,ISNUMBER(AR279),AR279&lt;=(C279+T279)),AR279=MIN(IF(AND(J279=0,ISNUMBER(AP279),AP279&lt;=(C279+T279)),AP279,9E15),IF(AND(K279=0,ISNUMBER(AQ279),AQ279&lt;=(C279+T279)),AQ279,9E15),IF(AND(L279=0,ISNUMBER(AR279),AR279&lt;=(C279+T279)),AR279,9E15),IF(AND(M279=0,ISNUMBER(AS279),AS279&lt;=(C279+T279)),AS279,9E15))),"OC","MG"))),IF(AX279=TRUE,"",IF(MAX(IF(AND(NOT(AND(AU279=1,AT279&lt;&gt;1)),ISNUMBER(AK279),AK279&lt;=(C279+T279)),AY279,0),IF(AND(NOT(AND(AU279=1,AT279&lt;&gt;1)),ISNUMBER(AL279),AL279&lt;=(C279+T279)),AZ279,0),IF(AND(NOT(AND(AU279=1,AT279&lt;&gt;1)),ISNUMBER(AM279),AM279&lt;=(C279+T279)),BA279,0),IF(AND(NOT(AND(AU279=1,AT279&lt;&gt;1)),ISNUMBER(AN279),AN279&lt;=(C279+T279)),BB279,0),IF(AND(ISNUMBER(AO279),AO279&lt;=(C279+T279)),BC279,0))&lt;=0,"",IF(AND(IF(AND(NOT(AND(AU279=1,AT279&lt;&gt;1)),ISNUMBER(AK279),AK279&lt;=(C279+T279)),AY279,0)&gt;0,IF(AND(NOT(AND(AU279=1,AT279&lt;&gt;1)),ISNUMBER(AK279),AK279&lt;=(C279+T279)),AY279,0)=MAX(IF(AND(NOT(AND(AU279=1,AT279&lt;&gt;1)),ISNUMBER(AK279),AK279&lt;=(C279+T279)),AY279,0),IF(AND(NOT(AND(AU279=1,AT279&lt;&gt;1)),ISNUMBER(AL279),AL279&lt;=(C279+T279)),AZ279,0),IF(AND(NOT(AND(AU279=1,AT279&lt;&gt;1)),ISNUMBER(AM279),AM279&lt;=(C279+T279)),BA279,0),IF(AND(NOT(AND(AU279=1,AT279&lt;&gt;1)),ISNUMBER(AN279),AN279&lt;=(C279+T279)),BB279,0),IF(AND(ISNUMBER(AO279),AO279&lt;=(C279+T279)),BC279,0))),"SK",IF(AND(IF(AND(NOT(AND(AU279=1,AT279&lt;&gt;1)),ISNUMBER(AL279),AL279&lt;=(C279+T279)),AZ279,0)&gt;0,IF(AND(NOT(AND(AU279=1,AT279&lt;&gt;1)),ISNUMBER(AL279),AL279&lt;=(C279+T279)),AZ279,0)=MAX(IF(AND(NOT(AND(AU279=1,AT279&lt;&gt;1)),ISNUMBER(AK279),AK279&lt;=(C279+T279)),AY279,0),IF(AND(NOT(AND(AU279=1,AT279&lt;&gt;1)),ISNUMBER(AL279),AL279&lt;=(C279+T279)),AZ279,0),IF(AND(NOT(AND(AU279=1,AT279&lt;&gt;1)),ISNUMBER(AM279),AM279&lt;=(C279+T279)),BA279,0),IF(AND(NOT(AND(AU279=1,AT279&lt;&gt;1)),ISNUMBER(AN279),AN279&lt;=(C279+T279)),BB279,0),IF(AND(ISNUMBER(AO279),AO279&lt;=(C279+T279)),BC279,0))),"LB",IF(AND(IF(AND(NOT(AND(AU279=1,AT279&lt;&gt;1)),ISNUMBER(AM279),AM279&lt;=(C279+T279)),BA279,0)&gt;0,IF(AND(NOT(AND(AU279=1,AT279&lt;&gt;1)),ISNUMBER(AM279),AM279&lt;=(C279+T279)),BA279,0)=MAX(IF(AND(NOT(AND(AU279=1,AT279&lt;&gt;1)),ISNUMBER(AK279),AK279&lt;=(C279+T279)),AY279,0),IF(AND(NOT(AND(AU279=1,AT279&lt;&gt;1)),ISNUMBER(AL279),AL279&lt;=(C279+T279)),AZ279,0),IF(AND(NOT(AND(AU279=1,AT279&lt;&gt;1)),ISNUMBER(AM279),AM279&lt;=(C279+T279)),BA279,0),IF(AND(NOT(AND(AU279=1,AT279&lt;&gt;1)),ISNUMBER(AN279),AN279&lt;=(C279+T279)),BB279,0),IF(AND(ISNUMBER(AO279),AO279&lt;=(C279+T279)),BC279,0))),"ML",IF(AND(IF(AND(NOT(AND(AU279=1,AT279&lt;&gt;1)),ISNUMBER(AN279),AN279&lt;=(C279+T279)),BB279,0)&gt;0,IF(AND(NOT(AND(AU279=1,AT279&lt;&gt;1)),ISNUMBER(AN279),AN279&lt;=(C279+T279)),BB279,0)=MAX(IF(AND(NOT(AND(AU279=1,AT279&lt;&gt;1)),ISNUMBER(AK279),AK279&lt;=(C279+T279)),AY279,0),IF(AND(NOT(AND(AU279=1,AT279&lt;&gt;1)),ISNUMBER(AL279),AL279&lt;=(C279+T279)),AZ279,0),IF(AND(NOT(AND(AU279=1,AT279&lt;&gt;1)),ISNUMBER(AM279),AM279&lt;=(C279+T279)),BA279,0),IF(AND(NOT(AND(AU279=1,AT279&lt;&gt;1)),ISNUMBER(AN279),AN279&lt;=(C279+T279)),BB279,0),IF(AND(ISNUMBER(AO279),AO279&lt;=(C279+T279)),BC279,0))),"RLO","BD"))))))))</f>
        <v/>
      </c>
    </row>
    <row r="280">
      <c r="A280" s="26" t="n">
        <v>269</v>
      </c>
      <c r="B280" s="27">
        <f>A280*10/60</f>
        <v/>
      </c>
      <c r="C280" s="22">
        <f>X279</f>
        <v/>
      </c>
      <c r="D280" s="27">
        <f>D279+W279</f>
        <v/>
      </c>
      <c r="E280" s="26">
        <f>E279+IF(U279="SK",1,0)</f>
        <v/>
      </c>
      <c r="F280" s="26">
        <f>F279+IF(U279="LB",1,0)</f>
        <v/>
      </c>
      <c r="G280" s="26">
        <f>G279+IF(U279="ML",1,0)</f>
        <v/>
      </c>
      <c r="H280" s="26">
        <f>H279+IF(U279="RLO",1,0)</f>
        <v/>
      </c>
      <c r="I280" s="26">
        <f>I279+IF(U279="BD",1,0)</f>
        <v/>
      </c>
      <c r="J280" s="26">
        <f>MAX(J279,IF(U279="BiP",1,0))</f>
        <v/>
      </c>
      <c r="K280" s="26">
        <f>MAX(K279,IF(U279="PV",1,0))</f>
        <v/>
      </c>
      <c r="L280" s="26">
        <f>MAX(L279,IF(U279="OC",1,0))</f>
        <v/>
      </c>
      <c r="M280" s="26">
        <f>MAX(M279,IF(U279="MG",1,0))</f>
        <v/>
      </c>
      <c r="N280" s="26">
        <f>MAX(N279,IF(U279="transition",1,0))</f>
        <v/>
      </c>
      <c r="O280" s="28">
        <f>(Parameters!$B$9+(IF(E280=0,0,(Upgrades!$J$13+E280*Upgrades!$K$13)*POWER(Upgrades!$L$13,E280)))*(IF(Upgrades!$T$14="Stellar Kinematics",POWER(Upgrades!$U$14,F280),1)*IF(Upgrades!$T$15="Stellar Kinematics",POWER(Upgrades!$U$15,G280),1)*IF(Upgrades!$T$16="Stellar Kinematics",POWER(Upgrades!$U$16,H280),1)*IF(Upgrades!$T$17="Stellar Kinematics",POWER(Upgrades!$U$17,I280),1)*IF(Upgrades!$T$18="Stellar Kinematics",POWER(Upgrades!$U$18,J280),1)*IF(Upgrades!$T$19="Stellar Kinematics",POWER(Upgrades!$U$19,K280),1)*IF(Upgrades!$T$20="Stellar Kinematics",POWER(Upgrades!$U$20,L280),1)*IF(Upgrades!$T$21="Stellar Kinematics",POWER(Upgrades!$U$21,M280),1))+(IF(F280=0,0,(Upgrades!$J$14+F280*Upgrades!$K$14)*POWER(Upgrades!$L$14,F280)))*(IF(Upgrades!$T$13="Local Bubble",POWER(Upgrades!$U$13,E280),1)*IF(Upgrades!$T$15="Local Bubble",POWER(Upgrades!$U$15,G280),1)*IF(Upgrades!$T$16="Local Bubble",POWER(Upgrades!$U$16,H280),1)*IF(Upgrades!$T$17="Local Bubble",POWER(Upgrades!$U$17,I280),1)*IF(Upgrades!$T$18="Local Bubble",POWER(Upgrades!$U$18,J280),1)*IF(Upgrades!$T$19="Local Bubble",POWER(Upgrades!$U$19,K280),1)*IF(Upgrades!$T$20="Local Bubble",POWER(Upgrades!$U$20,L280),1)*IF(Upgrades!$T$21="Local Bubble",POWER(Upgrades!$U$21,M280),1))+(IF(G280=0,0,(Upgrades!$J$15+G280*Upgrades!$K$15)*POWER(Upgrades!$L$15,G280)))*(IF(Upgrades!$T$13="Microlensing",POWER(Upgrades!$U$13,E280),1)*IF(Upgrades!$T$14="Microlensing",POWER(Upgrades!$U$14,F280),1)*IF(Upgrades!$T$16="Microlensing",POWER(Upgrades!$U$16,H280),1)*IF(Upgrades!$T$17="Microlensing",POWER(Upgrades!$U$17,I280),1)*IF(Upgrades!$T$18="Microlensing",POWER(Upgrades!$U$18,J280),1)*IF(Upgrades!$T$19="Microlensing",POWER(Upgrades!$U$19,K280),1)*IF(Upgrades!$T$20="Microlensing",POWER(Upgrades!$U$20,L280),1)*IF(Upgrades!$T$21="Microlensing",POWER(Upgrades!$U$21,M280),1))+(IF(H280=0,0,(Upgrades!$J$16+H280*Upgrades!$K$16)*POWER(Upgrades!$L$16,H280)))*(IF(Upgrades!$T$13="Roche Lobe Overflow",POWER(Upgrades!$U$13,E280),1)*IF(Upgrades!$T$14="Roche Lobe Overflow",POWER(Upgrades!$U$14,F280),1)*IF(Upgrades!$T$15="Roche Lobe Overflow",POWER(Upgrades!$U$15,G280),1)*IF(Upgrades!$T$17="Roche Lobe Overflow",POWER(Upgrades!$U$17,I280),1)*IF(Upgrades!$T$18="Roche Lobe Overflow",POWER(Upgrades!$U$18,J280),1)*IF(Upgrades!$T$19="Roche Lobe Overflow",POWER(Upgrades!$U$19,K280),1)*IF(Upgrades!$T$20="Roche Lobe Overflow",POWER(Upgrades!$U$20,L280),1)*IF(Upgrades!$T$21="Roche Lobe Overflow",POWER(Upgrades!$U$21,M280),1))+(IF(I280=0,0,(Upgrades!$J$17+I280*Upgrades!$K$17)*POWER(Upgrades!$L$17,I280)))*(IF(Upgrades!$T$13="Brown Dwarf",POWER(Upgrades!$U$13,E280),1)*IF(Upgrades!$T$14="Brown Dwarf",POWER(Upgrades!$U$14,F280),1)*IF(Upgrades!$T$15="Brown Dwarf",POWER(Upgrades!$U$15,G280),1)*IF(Upgrades!$T$16="Brown Dwarf",POWER(Upgrades!$U$16,H280),1)*IF(Upgrades!$T$18="Brown Dwarf",POWER(Upgrades!$U$18,J280),1)*IF(Upgrades!$T$19="Brown Dwarf",POWER(Upgrades!$U$19,K280),1)*IF(Upgrades!$T$20="Brown Dwarf",POWER(Upgrades!$U$20,L280),1)*IF(Upgrades!$T$21="Brown Dwarf",POWER(Upgrades!$U$21,M280),1))+(IF(J280=0,0,(Upgrades!$J$18+J280*Upgrades!$K$18)*POWER(Upgrades!$L$18,J280)))*(IF(Upgrades!$T$13="Binary Partner",POWER(Upgrades!$U$13,E280),1)*IF(Upgrades!$T$14="Binary Partner",POWER(Upgrades!$U$14,F280),1)*IF(Upgrades!$T$15="Binary Partner",POWER(Upgrades!$U$15,G280),1)*IF(Upgrades!$T$16="Binary Partner",POWER(Upgrades!$U$16,H280),1)*IF(Upgrades!$T$17="Binary Partner",POWER(Upgrades!$U$17,I280),1)*IF(Upgrades!$T$19="Binary Partner",POWER(Upgrades!$U$19,K280),1)*IF(Upgrades!$T$20="Binary Partner",POWER(Upgrades!$U$20,L280),1)*IF(Upgrades!$T$21="Binary Partner",POWER(Upgrades!$U$21,M280),1))+(IF(K280=0,0,(Upgrades!$J$19+K280*Upgrades!$K$19)*POWER(Upgrades!$L$19,K280)))*(IF(Upgrades!$T$13="Peculiar Velocity",POWER(Upgrades!$U$13,E280),1)*IF(Upgrades!$T$14="Peculiar Velocity",POWER(Upgrades!$U$14,F280),1)*IF(Upgrades!$T$15="Peculiar Velocity",POWER(Upgrades!$U$15,G280),1)*IF(Upgrades!$T$16="Peculiar Velocity",POWER(Upgrades!$U$16,H280),1)*IF(Upgrades!$T$17="Peculiar Velocity",POWER(Upgrades!$U$17,I280),1)*IF(Upgrades!$T$18="Peculiar Velocity",POWER(Upgrades!$U$18,J280),1)*IF(Upgrades!$T$20="Peculiar Velocity",POWER(Upgrades!$U$20,L280),1)*IF(Upgrades!$T$21="Peculiar Velocity",POWER(Upgrades!$U$21,M280),1))+(IF(L280=0,0,(Upgrades!$J$20+L280*Upgrades!$K$20)*POWER(Upgrades!$L$20,L280)))*(IF(Upgrades!$T$13="Open Cluster",POWER(Upgrades!$U$13,E280),1)*IF(Upgrades!$T$14="Open Cluster",POWER(Upgrades!$U$14,F280),1)*IF(Upgrades!$T$15="Open Cluster",POWER(Upgrades!$U$15,G280),1)*IF(Upgrades!$T$16="Open Cluster",POWER(Upgrades!$U$16,H280),1)*IF(Upgrades!$T$17="Open Cluster",POWER(Upgrades!$U$17,I280),1)*IF(Upgrades!$T$18="Open Cluster",POWER(Upgrades!$U$18,J280),1)*IF(Upgrades!$T$19="Open Cluster",POWER(Upgrades!$U$19,K280),1)*IF(Upgrades!$T$21="Open Cluster",POWER(Upgrades!$U$21,M280),1))+(IF(M280=0,0,(Upgrades!$J$21+M280*Upgrades!$K$21)*POWER(Upgrades!$L$21,M280)))*(IF(Upgrades!$T$13="Moving Group",POWER(Upgrades!$U$13,E280),1)*IF(Upgrades!$T$14="Moving Group",POWER(Upgrades!$U$14,F280),1)*IF(Upgrades!$T$15="Moving Group",POWER(Upgrades!$U$15,G280),1)*IF(Upgrades!$T$16="Moving Group",POWER(Upgrades!$U$16,H280),1)*IF(Upgrades!$T$17="Moving Group",POWER(Upgrades!$U$17,I280),1)*IF(Upgrades!$T$18="Moving Group",POWER(Upgrades!$U$18,J280),1)*IF(Upgrades!$T$19="Moving Group",POWER(Upgrades!$U$19,K280),1)*IF(Upgrades!$T$20="Moving Group",POWER(Upgrades!$U$20,L280),1)))*POWER(Upgrades!$Q$13,E280)*POWER(Upgrades!$Q$14,F280)*POWER(Upgrades!$Q$15,G280)*POWER(Upgrades!$Q$16,H280)*POWER(Upgrades!$Q$17,I280)*POWER(Upgrades!$Q$18,J280)*POWER(Upgrades!$Q$19,K280)*POWER(Upgrades!$Q$20,L280)*POWER(Upgrades!$Q$21,M280)*$G$6+$D$6</f>
        <v/>
      </c>
      <c r="P280" s="28">
        <f>((IF(E280=0,0,(Upgrades!$G$13+E280*Upgrades!$H$13)*POWER(Upgrades!$I$13,E280)))*(IF(Upgrades!$T$14="Stellar Kinematics",POWER(Upgrades!$U$14,F280),1)*IF(Upgrades!$T$15="Stellar Kinematics",POWER(Upgrades!$U$15,G280),1)*IF(Upgrades!$T$16="Stellar Kinematics",POWER(Upgrades!$U$16,H280),1)*IF(Upgrades!$T$17="Stellar Kinematics",POWER(Upgrades!$U$17,I280),1)*IF(Upgrades!$T$18="Stellar Kinematics",POWER(Upgrades!$U$18,J280),1)*IF(Upgrades!$T$19="Stellar Kinematics",POWER(Upgrades!$U$19,K280),1)*IF(Upgrades!$T$20="Stellar Kinematics",POWER(Upgrades!$U$20,L280),1)*IF(Upgrades!$T$21="Stellar Kinematics",POWER(Upgrades!$U$21,M280),1))+(IF(F280=0,0,(Upgrades!$G$14+F280*Upgrades!$H$14)*POWER(Upgrades!$I$14,F280)))*(IF(Upgrades!$T$13="Local Bubble",POWER(Upgrades!$U$13,E280),1)*IF(Upgrades!$T$15="Local Bubble",POWER(Upgrades!$U$15,G280),1)*IF(Upgrades!$T$16="Local Bubble",POWER(Upgrades!$U$16,H280),1)*IF(Upgrades!$T$17="Local Bubble",POWER(Upgrades!$U$17,I280),1)*IF(Upgrades!$T$18="Local Bubble",POWER(Upgrades!$U$18,J280),1)*IF(Upgrades!$T$19="Local Bubble",POWER(Upgrades!$U$19,K280),1)*IF(Upgrades!$T$20="Local Bubble",POWER(Upgrades!$U$20,L280),1)*IF(Upgrades!$T$21="Local Bubble",POWER(Upgrades!$U$21,M280),1))+(IF(G280=0,0,(Upgrades!$G$15+G280*Upgrades!$H$15)*POWER(Upgrades!$I$15,G280)))*(IF(Upgrades!$T$13="Microlensing",POWER(Upgrades!$U$13,E280),1)*IF(Upgrades!$T$14="Microlensing",POWER(Upgrades!$U$14,F280),1)*IF(Upgrades!$T$16="Microlensing",POWER(Upgrades!$U$16,H280),1)*IF(Upgrades!$T$17="Microlensing",POWER(Upgrades!$U$17,I280),1)*IF(Upgrades!$T$18="Microlensing",POWER(Upgrades!$U$18,J280),1)*IF(Upgrades!$T$19="Microlensing",POWER(Upgrades!$U$19,K280),1)*IF(Upgrades!$T$20="Microlensing",POWER(Upgrades!$U$20,L280),1)*IF(Upgrades!$T$21="Microlensing",POWER(Upgrades!$U$21,M280),1))+(IF(H280=0,0,(Upgrades!$G$16+H280*Upgrades!$H$16)*POWER(Upgrades!$I$16,H280)))*(IF(Upgrades!$T$13="Roche Lobe Overflow",POWER(Upgrades!$U$13,E280),1)*IF(Upgrades!$T$14="Roche Lobe Overflow",POWER(Upgrades!$U$14,F280),1)*IF(Upgrades!$T$15="Roche Lobe Overflow",POWER(Upgrades!$U$15,G280),1)*IF(Upgrades!$T$17="Roche Lobe Overflow",POWER(Upgrades!$U$17,I280),1)*IF(Upgrades!$T$18="Roche Lobe Overflow",POWER(Upgrades!$U$18,J280),1)*IF(Upgrades!$T$19="Roche Lobe Overflow",POWER(Upgrades!$U$19,K280),1)*IF(Upgrades!$T$20="Roche Lobe Overflow",POWER(Upgrades!$U$20,L280),1)*IF(Upgrades!$T$21="Roche Lobe Overflow",POWER(Upgrades!$U$21,M280),1))+(IF(I280=0,0,(Upgrades!$G$17+I280*Upgrades!$H$17)*POWER(Upgrades!$I$17,I280)))*(IF(Upgrades!$T$13="Brown Dwarf",POWER(Upgrades!$U$13,E280),1)*IF(Upgrades!$T$14="Brown Dwarf",POWER(Upgrades!$U$14,F280),1)*IF(Upgrades!$T$15="Brown Dwarf",POWER(Upgrades!$U$15,G280),1)*IF(Upgrades!$T$16="Brown Dwarf",POWER(Upgrades!$U$16,H280),1)*IF(Upgrades!$T$18="Brown Dwarf",POWER(Upgrades!$U$18,J280),1)*IF(Upgrades!$T$19="Brown Dwarf",POWER(Upgrades!$U$19,K280),1)*IF(Upgrades!$T$20="Brown Dwarf",POWER(Upgrades!$U$20,L280),1)*IF(Upgrades!$T$21="Brown Dwarf",POWER(Upgrades!$U$21,M280),1))+(IF(J280=0,0,(Upgrades!$G$18+J280*Upgrades!$H$18)*POWER(Upgrades!$I$18,J280)))*(IF(Upgrades!$T$13="Binary Partner",POWER(Upgrades!$U$13,E280),1)*IF(Upgrades!$T$14="Binary Partner",POWER(Upgrades!$U$14,F280),1)*IF(Upgrades!$T$15="Binary Partner",POWER(Upgrades!$U$15,G280),1)*IF(Upgrades!$T$16="Binary Partner",POWER(Upgrades!$U$16,H280),1)*IF(Upgrades!$T$17="Binary Partner",POWER(Upgrades!$U$17,I280),1)*IF(Upgrades!$T$19="Binary Partner",POWER(Upgrades!$U$19,K280),1)*IF(Upgrades!$T$20="Binary Partner",POWER(Upgrades!$U$20,L280),1)*IF(Upgrades!$T$21="Binary Partner",POWER(Upgrades!$U$21,M280),1))+(IF(K280=0,0,(Upgrades!$G$19+K280*Upgrades!$H$19)*POWER(Upgrades!$I$19,K280)))*(IF(Upgrades!$T$13="Peculiar Velocity",POWER(Upgrades!$U$13,E280),1)*IF(Upgrades!$T$14="Peculiar Velocity",POWER(Upgrades!$U$14,F280),1)*IF(Upgrades!$T$15="Peculiar Velocity",POWER(Upgrades!$U$15,G280),1)*IF(Upgrades!$T$16="Peculiar Velocity",POWER(Upgrades!$U$16,H280),1)*IF(Upgrades!$T$17="Peculiar Velocity",POWER(Upgrades!$U$17,I280),1)*IF(Upgrades!$T$18="Peculiar Velocity",POWER(Upgrades!$U$18,J280),1)*IF(Upgrades!$T$20="Peculiar Velocity",POWER(Upgrades!$U$20,L280),1)*IF(Upgrades!$T$21="Peculiar Velocity",POWER(Upgrades!$U$21,M280),1))+(IF(L280=0,0,(Upgrades!$G$20+L280*Upgrades!$H$20)*POWER(Upgrades!$I$20,L280)))*(IF(Upgrades!$T$13="Open Cluster",POWER(Upgrades!$U$13,E280),1)*IF(Upgrades!$T$14="Open Cluster",POWER(Upgrades!$U$14,F280),1)*IF(Upgrades!$T$15="Open Cluster",POWER(Upgrades!$U$15,G280),1)*IF(Upgrades!$T$16="Open Cluster",POWER(Upgrades!$U$16,H280),1)*IF(Upgrades!$T$17="Open Cluster",POWER(Upgrades!$U$17,I280),1)*IF(Upgrades!$T$18="Open Cluster",POWER(Upgrades!$U$18,J280),1)*IF(Upgrades!$T$19="Open Cluster",POWER(Upgrades!$U$19,K280),1)*IF(Upgrades!$T$21="Open Cluster",POWER(Upgrades!$U$21,M280),1))+(IF(M280=0,0,(Upgrades!$G$21+M280*Upgrades!$H$21)*POWER(Upgrades!$I$21,M280)))*(IF(Upgrades!$T$13="Moving Group",POWER(Upgrades!$U$13,E280),1)*IF(Upgrades!$T$14="Moving Group",POWER(Upgrades!$U$14,F280),1)*IF(Upgrades!$T$15="Moving Group",POWER(Upgrades!$U$15,G280),1)*IF(Upgrades!$T$16="Moving Group",POWER(Upgrades!$U$16,H280),1)*IF(Upgrades!$T$17="Moving Group",POWER(Upgrades!$U$17,I280),1)*IF(Upgrades!$T$18="Moving Group",POWER(Upgrades!$U$18,J280),1)*IF(Upgrades!$T$19="Moving Group",POWER(Upgrades!$U$19,K280),1)*IF(Upgrades!$T$20="Moving Group",POWER(Upgrades!$U$20,L280),1)))*POWER(Upgrades!$P$13,E280)*POWER(Upgrades!$P$14,F280)*POWER(Upgrades!$P$15,G280)*POWER(Upgrades!$P$16,H280)*POWER(Upgrades!$P$17,I280)*POWER(Upgrades!$P$18,J280)*POWER(Upgrades!$P$19,K280)*POWER(Upgrades!$P$20,L280)*POWER(Upgrades!$P$21,M280)*$F$6+$C$6</f>
        <v/>
      </c>
      <c r="Q280" s="28">
        <f>((IF(E280=0,0,(Upgrades!$M$13+E280*Upgrades!$N$13)*POWER(Upgrades!$O$13,E280)))*(IF(Upgrades!$T$14="Stellar Kinematics",POWER(Upgrades!$U$14,F280),1)*IF(Upgrades!$T$15="Stellar Kinematics",POWER(Upgrades!$U$15,G280),1)*IF(Upgrades!$T$16="Stellar Kinematics",POWER(Upgrades!$U$16,H280),1)*IF(Upgrades!$T$17="Stellar Kinematics",POWER(Upgrades!$U$17,I280),1)*IF(Upgrades!$T$18="Stellar Kinematics",POWER(Upgrades!$U$18,J280),1)*IF(Upgrades!$T$19="Stellar Kinematics",POWER(Upgrades!$U$19,K280),1)*IF(Upgrades!$T$20="Stellar Kinematics",POWER(Upgrades!$U$20,L280),1)*IF(Upgrades!$T$21="Stellar Kinematics",POWER(Upgrades!$U$21,M280),1))+(IF(F280=0,0,(Upgrades!$M$14+F280*Upgrades!$N$14)*POWER(Upgrades!$O$14,F280)))*(IF(Upgrades!$T$13="Local Bubble",POWER(Upgrades!$U$13,E280),1)*IF(Upgrades!$T$15="Local Bubble",POWER(Upgrades!$U$15,G280),1)*IF(Upgrades!$T$16="Local Bubble",POWER(Upgrades!$U$16,H280),1)*IF(Upgrades!$T$17="Local Bubble",POWER(Upgrades!$U$17,I280),1)*IF(Upgrades!$T$18="Local Bubble",POWER(Upgrades!$U$18,J280),1)*IF(Upgrades!$T$19="Local Bubble",POWER(Upgrades!$U$19,K280),1)*IF(Upgrades!$T$20="Local Bubble",POWER(Upgrades!$U$20,L280),1)*IF(Upgrades!$T$21="Local Bubble",POWER(Upgrades!$U$21,M280),1))+(IF(G280=0,0,(Upgrades!$M$15+G280*Upgrades!$N$15)*POWER(Upgrades!$O$15,G280)))*(IF(Upgrades!$T$13="Microlensing",POWER(Upgrades!$U$13,E280),1)*IF(Upgrades!$T$14="Microlensing",POWER(Upgrades!$U$14,F280),1)*IF(Upgrades!$T$16="Microlensing",POWER(Upgrades!$U$16,H280),1)*IF(Upgrades!$T$17="Microlensing",POWER(Upgrades!$U$17,I280),1)*IF(Upgrades!$T$18="Microlensing",POWER(Upgrades!$U$18,J280),1)*IF(Upgrades!$T$19="Microlensing",POWER(Upgrades!$U$19,K280),1)*IF(Upgrades!$T$20="Microlensing",POWER(Upgrades!$U$20,L280),1)*IF(Upgrades!$T$21="Microlensing",POWER(Upgrades!$U$21,M280),1))+(IF(H280=0,0,(Upgrades!$M$16+H280*Upgrades!$N$16)*POWER(Upgrades!$O$16,H280)))*(IF(Upgrades!$T$13="Roche Lobe Overflow",POWER(Upgrades!$U$13,E280),1)*IF(Upgrades!$T$14="Roche Lobe Overflow",POWER(Upgrades!$U$14,F280),1)*IF(Upgrades!$T$15="Roche Lobe Overflow",POWER(Upgrades!$U$15,G280),1)*IF(Upgrades!$T$17="Roche Lobe Overflow",POWER(Upgrades!$U$17,I280),1)*IF(Upgrades!$T$18="Roche Lobe Overflow",POWER(Upgrades!$U$18,J280),1)*IF(Upgrades!$T$19="Roche Lobe Overflow",POWER(Upgrades!$U$19,K280),1)*IF(Upgrades!$T$20="Roche Lobe Overflow",POWER(Upgrades!$U$20,L280),1)*IF(Upgrades!$T$21="Roche Lobe Overflow",POWER(Upgrades!$U$21,M280),1))+(IF(I280=0,0,(Upgrades!$M$17+I280*Upgrades!$N$17)*POWER(Upgrades!$O$17,I280)))*(IF(Upgrades!$T$13="Brown Dwarf",POWER(Upgrades!$U$13,E280),1)*IF(Upgrades!$T$14="Brown Dwarf",POWER(Upgrades!$U$14,F280),1)*IF(Upgrades!$T$15="Brown Dwarf",POWER(Upgrades!$U$15,G280),1)*IF(Upgrades!$T$16="Brown Dwarf",POWER(Upgrades!$U$16,H280),1)*IF(Upgrades!$T$18="Brown Dwarf",POWER(Upgrades!$U$18,J280),1)*IF(Upgrades!$T$19="Brown Dwarf",POWER(Upgrades!$U$19,K280),1)*IF(Upgrades!$T$20="Brown Dwarf",POWER(Upgrades!$U$20,L280),1)*IF(Upgrades!$T$21="Brown Dwarf",POWER(Upgrades!$U$21,M280),1))+(IF(J280=0,0,(Upgrades!$M$18+J280*Upgrades!$N$18)*POWER(Upgrades!$O$18,J280)))*(IF(Upgrades!$T$13="Binary Partner",POWER(Upgrades!$U$13,E280),1)*IF(Upgrades!$T$14="Binary Partner",POWER(Upgrades!$U$14,F280),1)*IF(Upgrades!$T$15="Binary Partner",POWER(Upgrades!$U$15,G280),1)*IF(Upgrades!$T$16="Binary Partner",POWER(Upgrades!$U$16,H280),1)*IF(Upgrades!$T$17="Binary Partner",POWER(Upgrades!$U$17,I280),1)*IF(Upgrades!$T$19="Binary Partner",POWER(Upgrades!$U$19,K280),1)*IF(Upgrades!$T$20="Binary Partner",POWER(Upgrades!$U$20,L280),1)*IF(Upgrades!$T$21="Binary Partner",POWER(Upgrades!$U$21,M280),1))+(IF(K280=0,0,(Upgrades!$M$19+K280*Upgrades!$N$19)*POWER(Upgrades!$O$19,K280)))*(IF(Upgrades!$T$13="Peculiar Velocity",POWER(Upgrades!$U$13,E280),1)*IF(Upgrades!$T$14="Peculiar Velocity",POWER(Upgrades!$U$14,F280),1)*IF(Upgrades!$T$15="Peculiar Velocity",POWER(Upgrades!$U$15,G280),1)*IF(Upgrades!$T$16="Peculiar Velocity",POWER(Upgrades!$U$16,H280),1)*IF(Upgrades!$T$17="Peculiar Velocity",POWER(Upgrades!$U$17,I280),1)*IF(Upgrades!$T$18="Peculiar Velocity",POWER(Upgrades!$U$18,J280),1)*IF(Upgrades!$T$20="Peculiar Velocity",POWER(Upgrades!$U$20,L280),1)*IF(Upgrades!$T$21="Peculiar Velocity",POWER(Upgrades!$U$21,M280),1))+(IF(L280=0,0,(Upgrades!$M$20+L280*Upgrades!$N$20)*POWER(Upgrades!$O$20,L280)))*(IF(Upgrades!$T$13="Open Cluster",POWER(Upgrades!$U$13,E280),1)*IF(Upgrades!$T$14="Open Cluster",POWER(Upgrades!$U$14,F280),1)*IF(Upgrades!$T$15="Open Cluster",POWER(Upgrades!$U$15,G280),1)*IF(Upgrades!$T$16="Open Cluster",POWER(Upgrades!$U$16,H280),1)*IF(Upgrades!$T$17="Open Cluster",POWER(Upgrades!$U$17,I280),1)*IF(Upgrades!$T$18="Open Cluster",POWER(Upgrades!$U$18,J280),1)*IF(Upgrades!$T$19="Open Cluster",POWER(Upgrades!$U$19,K280),1)*IF(Upgrades!$T$21="Open Cluster",POWER(Upgrades!$U$21,M280),1))+(IF(M280=0,0,(Upgrades!$M$21+M280*Upgrades!$N$21)*POWER(Upgrades!$O$21,M280)))*(IF(Upgrades!$T$13="Moving Group",POWER(Upgrades!$U$13,E280),1)*IF(Upgrades!$T$14="Moving Group",POWER(Upgrades!$U$14,F280),1)*IF(Upgrades!$T$15="Moving Group",POWER(Upgrades!$U$15,G280),1)*IF(Upgrades!$T$16="Moving Group",POWER(Upgrades!$U$16,H280),1)*IF(Upgrades!$T$17="Moving Group",POWER(Upgrades!$U$17,I280),1)*IF(Upgrades!$T$18="Moving Group",POWER(Upgrades!$U$18,J280),1)*IF(Upgrades!$T$19="Moving Group",POWER(Upgrades!$U$19,K280),1)*IF(Upgrades!$T$20="Moving Group",POWER(Upgrades!$U$20,L280),1)))*POWER(Upgrades!$R$13,E280)*POWER(Upgrades!$R$14,F280)*POWER(Upgrades!$R$15,G280)*POWER(Upgrades!$R$16,H280)*POWER(Upgrades!$R$17,I280)*POWER(Upgrades!$R$18,J280)*POWER(Upgrades!$R$19,K280)*POWER(Upgrades!$R$20,L280)*POWER(Upgrades!$R$21,M280)*$H$6+$E$6</f>
        <v/>
      </c>
      <c r="R280" s="27">
        <f>IF(N280=1,0,O280*Parameters!$B$10/60*Parameters!$B$11*10)</f>
        <v/>
      </c>
      <c r="S280" s="27">
        <f>IF(N280=1,0,Q280*O280*10)</f>
        <v/>
      </c>
      <c r="T280" s="27">
        <f>IF(N280=1,0,R280+S280+P280*10)</f>
        <v/>
      </c>
      <c r="U280" s="33">
        <f>BE280</f>
        <v/>
      </c>
      <c r="V280" s="22">
        <f>IF(U280="",0,IF(U280="transition",0,IF(U280="SK",AK280,IF(U280="LB",AL280,IF(U280="ML",AM280,IF(U280="RLO",AN280,IF(U280="BD",AO280,IF(U280="BiP",AP280,IF(U280="PV",AQ280,IF(U280="OC",AR280,IF(U280="MG",AS280,0))))))))))</f>
        <v/>
      </c>
      <c r="W280" s="27">
        <f>IF(U280="BiP",Upgrades!$F$18,IF(U280="PV",Upgrades!$F$19,IF(U280="OC",Upgrades!$F$20,IF(U280="MG",Upgrades!$F$21,IF(U280="transition",-Parameters!$B$18*Parameters!$B$19,0)))))</f>
        <v/>
      </c>
      <c r="X280" s="22">
        <f>C280+T280-V280</f>
        <v/>
      </c>
      <c r="Y280" s="30">
        <f>O280*Parameters!$B$10/60*Parameters!$B$11+Q280*O280+P280</f>
        <v/>
      </c>
      <c r="Z280" s="34">
        <f>IF(U280="transition","→ Tier 3 (Galactic Arm)",IF(U280="MG","Moving Group — pocket drifts together",IF(U280="OC","Open Cluster acquired",IF(U280="PV","Peculiar Velocity — passive multiplier active",IF(U280="BiP","Binary Partner — pair bond formed",IF(AND(AU280=1,N280=0,AT280&lt;&gt;1),"Cohesion ready (waiting on completionists)","")))))) </f>
        <v/>
      </c>
      <c r="AA280" s="27">
        <f>(IF(E280=0,0,(Upgrades!$G$13+E280*Upgrades!$H$13)*POWER(Upgrades!$I$13,E280)))*(IF(Upgrades!$T$14="Stellar Kinematics",POWER(Upgrades!$U$14,F280),1)*IF(Upgrades!$T$15="Stellar Kinematics",POWER(Upgrades!$U$15,G280),1)*IF(Upgrades!$T$16="Stellar Kinematics",POWER(Upgrades!$U$16,H280),1)*IF(Upgrades!$T$17="Stellar Kinematics",POWER(Upgrades!$U$17,I280),1)*IF(Upgrades!$T$18="Stellar Kinematics",POWER(Upgrades!$U$18,J280),1)*IF(Upgrades!$T$19="Stellar Kinematics",POWER(Upgrades!$U$19,K280),1)*IF(Upgrades!$T$20="Stellar Kinematics",POWER(Upgrades!$U$20,L280),1)*IF(Upgrades!$T$21="Stellar Kinematics",POWER(Upgrades!$U$21,M280),1))*POWER(Upgrades!$P$13,E280)*POWER(Upgrades!$P$14,F280)*POWER(Upgrades!$P$15,G280)*POWER(Upgrades!$P$16,H280)*POWER(Upgrades!$P$17,I280)*POWER(Upgrades!$P$18,J280)*POWER(Upgrades!$P$19,K280)*POWER(Upgrades!$P$20,L280)*POWER(Upgrades!$P$21,M280)*$F$6*60</f>
        <v/>
      </c>
      <c r="AB280" s="27">
        <f>(IF(F280=0,0,(Upgrades!$G$14+F280*Upgrades!$H$14)*POWER(Upgrades!$I$14,F280)))*(IF(Upgrades!$T$13="Local Bubble",POWER(Upgrades!$U$13,E280),1)*IF(Upgrades!$T$15="Local Bubble",POWER(Upgrades!$U$15,G280),1)*IF(Upgrades!$T$16="Local Bubble",POWER(Upgrades!$U$16,H280),1)*IF(Upgrades!$T$17="Local Bubble",POWER(Upgrades!$U$17,I280),1)*IF(Upgrades!$T$18="Local Bubble",POWER(Upgrades!$U$18,J280),1)*IF(Upgrades!$T$19="Local Bubble",POWER(Upgrades!$U$19,K280),1)*IF(Upgrades!$T$20="Local Bubble",POWER(Upgrades!$U$20,L280),1)*IF(Upgrades!$T$21="Local Bubble",POWER(Upgrades!$U$21,M280),1))*POWER(Upgrades!$P$13,E280)*POWER(Upgrades!$P$14,F280)*POWER(Upgrades!$P$15,G280)*POWER(Upgrades!$P$16,H280)*POWER(Upgrades!$P$17,I280)*POWER(Upgrades!$P$18,J280)*POWER(Upgrades!$P$19,K280)*POWER(Upgrades!$P$20,L280)*POWER(Upgrades!$P$21,M280)*$F$6*60</f>
        <v/>
      </c>
      <c r="AC280" s="27">
        <f>(IF(G280=0,0,(Upgrades!$J$15+G280*Upgrades!$K$15)*POWER(Upgrades!$L$15,G280)))*(IF(Upgrades!$T$13="Microlensing",POWER(Upgrades!$U$13,E280),1)*IF(Upgrades!$T$14="Microlensing",POWER(Upgrades!$U$14,F280),1)*IF(Upgrades!$T$16="Microlensing",POWER(Upgrades!$U$16,H280),1)*IF(Upgrades!$T$17="Microlensing",POWER(Upgrades!$U$17,I280),1)*IF(Upgrades!$T$18="Microlensing",POWER(Upgrades!$U$18,J280),1)*IF(Upgrades!$T$19="Microlensing",POWER(Upgrades!$U$19,K280),1)*IF(Upgrades!$T$20="Microlensing",POWER(Upgrades!$U$20,L280),1)*IF(Upgrades!$T$21="Microlensing",POWER(Upgrades!$U$21,M280),1))*POWER(Upgrades!$Q$13,E280)*POWER(Upgrades!$Q$14,F280)*POWER(Upgrades!$Q$15,G280)*POWER(Upgrades!$Q$16,H280)*POWER(Upgrades!$Q$17,I280)*POWER(Upgrades!$Q$18,J280)*POWER(Upgrades!$Q$19,K280)*POWER(Upgrades!$Q$20,L280)*POWER(Upgrades!$Q$21,M280)*$G$6*(Parameters!$B$10*Parameters!$B$11+Q280*60)</f>
        <v/>
      </c>
      <c r="AD280" s="27">
        <f>(IF(H280=0,0,(Upgrades!$M$16+H280*Upgrades!$N$16)*POWER(Upgrades!$O$16,H280)))*(IF(Upgrades!$T$13="Roche Lobe Overflow",POWER(Upgrades!$U$13,E280),1)*IF(Upgrades!$T$14="Roche Lobe Overflow",POWER(Upgrades!$U$14,F280),1)*IF(Upgrades!$T$15="Roche Lobe Overflow",POWER(Upgrades!$U$15,G280),1)*IF(Upgrades!$T$17="Roche Lobe Overflow",POWER(Upgrades!$U$17,I280),1)*IF(Upgrades!$T$18="Roche Lobe Overflow",POWER(Upgrades!$U$18,J280),1)*IF(Upgrades!$T$19="Roche Lobe Overflow",POWER(Upgrades!$U$19,K280),1)*IF(Upgrades!$T$20="Roche Lobe Overflow",POWER(Upgrades!$U$20,L280),1)*IF(Upgrades!$T$21="Roche Lobe Overflow",POWER(Upgrades!$U$21,M280),1))*POWER(Upgrades!$R$13,E280)*POWER(Upgrades!$R$14,F280)*POWER(Upgrades!$R$15,G280)*POWER(Upgrades!$R$16,H280)*POWER(Upgrades!$R$17,I280)*POWER(Upgrades!$R$18,J280)*POWER(Upgrades!$R$19,K280)*POWER(Upgrades!$R$20,L280)*POWER(Upgrades!$R$21,M280)*$H$6*O280*60</f>
        <v/>
      </c>
      <c r="AE280" s="27">
        <f>(IF(I280=0,0,(Upgrades!$G$17+I280*Upgrades!$H$17)*POWER(Upgrades!$I$17,I280)))*(IF(Upgrades!$T$13="Brown Dwarf",POWER(Upgrades!$U$13,E280),1)*IF(Upgrades!$T$14="Brown Dwarf",POWER(Upgrades!$U$14,F280),1)*IF(Upgrades!$T$15="Brown Dwarf",POWER(Upgrades!$U$15,G280),1)*IF(Upgrades!$T$16="Brown Dwarf",POWER(Upgrades!$U$16,H280),1)*IF(Upgrades!$T$18="Brown Dwarf",POWER(Upgrades!$U$18,J280),1)*IF(Upgrades!$T$19="Brown Dwarf",POWER(Upgrades!$U$19,K280),1)*IF(Upgrades!$T$20="Brown Dwarf",POWER(Upgrades!$U$20,L280),1)*IF(Upgrades!$T$21="Brown Dwarf",POWER(Upgrades!$U$21,M280),1))*POWER(Upgrades!$P$13,E280)*POWER(Upgrades!$P$14,F280)*POWER(Upgrades!$P$15,G280)*POWER(Upgrades!$P$16,H280)*POWER(Upgrades!$P$17,I280)*POWER(Upgrades!$P$18,J280)*POWER(Upgrades!$P$19,K280)*POWER(Upgrades!$P$20,L280)*POWER(Upgrades!$P$21,M280)*$F$6*60</f>
        <v/>
      </c>
      <c r="AF280" s="27" t="n">
        <v>0</v>
      </c>
      <c r="AG280" s="27" t="n">
        <v>0</v>
      </c>
      <c r="AH280" s="27" t="n">
        <v>0</v>
      </c>
      <c r="AI280" s="27">
        <f>(IF(M280=0,0,(Upgrades!$G$21+M280*Upgrades!$H$21)*POWER(Upgrades!$I$21,M280)))*(IF(Upgrades!$T$13="Moving Group",POWER(Upgrades!$U$13,E280),1)*IF(Upgrades!$T$14="Moving Group",POWER(Upgrades!$U$14,F280),1)*IF(Upgrades!$T$15="Moving Group",POWER(Upgrades!$U$15,G280),1)*IF(Upgrades!$T$16="Moving Group",POWER(Upgrades!$U$16,H280),1)*IF(Upgrades!$T$17="Moving Group",POWER(Upgrades!$U$17,I280),1)*IF(Upgrades!$T$18="Moving Group",POWER(Upgrades!$U$18,J280),1)*IF(Upgrades!$T$19="Moving Group",POWER(Upgrades!$U$19,K280),1)*IF(Upgrades!$T$20="Moving Group",POWER(Upgrades!$U$20,L280),1))*POWER(Upgrades!$P$13,E280)*POWER(Upgrades!$P$14,F280)*POWER(Upgrades!$P$15,G280)*POWER(Upgrades!$P$16,H280)*POWER(Upgrades!$P$17,I280)*POWER(Upgrades!$P$18,J280)*POWER(Upgrades!$P$19,K280)*POWER(Upgrades!$P$20,L280)*POWER(Upgrades!$P$21,M280)*$F$6*60</f>
        <v/>
      </c>
      <c r="AJ280" s="27">
        <f>$C$6*60</f>
        <v/>
      </c>
      <c r="AK280" s="22">
        <f>IF(E280&gt;=Upgrades!$E$13,"",Upgrades!$C$13*POWER(Upgrades!$D$13,E280))</f>
        <v/>
      </c>
      <c r="AL280" s="22">
        <f>IF(F280&gt;=Upgrades!$E$14,"",Upgrades!$C$14*POWER(Upgrades!$D$14,F280))</f>
        <v/>
      </c>
      <c r="AM280" s="22">
        <f>IF(G280&gt;=Upgrades!$E$15,"",Upgrades!$C$15*POWER(Upgrades!$D$15,G280))</f>
        <v/>
      </c>
      <c r="AN280" s="22">
        <f>IF(H280&gt;=Upgrades!$E$16,"",Upgrades!$C$16*POWER(Upgrades!$D$16,H280))</f>
        <v/>
      </c>
      <c r="AO280" s="22">
        <f>IF(I280&gt;=Upgrades!$E$17,"",Upgrades!$C$17*POWER(Upgrades!$D$17,I280))</f>
        <v/>
      </c>
      <c r="AP280" s="22">
        <f>IF(J280&gt;=Upgrades!$E$18,"",Upgrades!$C$18*POWER(Upgrades!$D$18,J280))</f>
        <v/>
      </c>
      <c r="AQ280" s="22">
        <f>IF(K280&gt;=Upgrades!$E$19,"",Upgrades!$C$19*POWER(Upgrades!$D$19,K280))</f>
        <v/>
      </c>
      <c r="AR280" s="22">
        <f>IF(L280&gt;=Upgrades!$E$20,"",Upgrades!$C$20*POWER(Upgrades!$D$20,L280))</f>
        <v/>
      </c>
      <c r="AS280" s="22">
        <f>IF(M280&gt;=Upgrades!$E$21,"",Upgrades!$C$21*POWER(Upgrades!$D$21,M280))</f>
        <v/>
      </c>
      <c r="AT280" s="26">
        <f>IF(AND(D280&gt;=Parameters!$B$18*Parameters!$B$19,(I280&gt;=Upgrades!$E$17)*(M280&gt;=Upgrades!$E$21)=1,N280=0),1,"")</f>
        <v/>
      </c>
      <c r="AU280" s="26">
        <f>IF(AND(D280&gt;=Parameters!$B$18*Parameters!$B$19,N280=0),1,"")</f>
        <v/>
      </c>
      <c r="AV280" s="22">
        <f>MIN(IF(ISNUMBER(AP280),AP280,9E15),IF(ISNUMBER(AQ280),AQ280,9E15),IF(ISNUMBER(AR280),AR280,9E15),IF(ISNUMBER(AS280),AS280,9E15))</f>
        <v/>
      </c>
      <c r="AW280" s="22">
        <f>MIN(IF(ISNUMBER(AK280),AK280,9E15),IF(ISNUMBER(AL280),AL280,9E15),IF(ISNUMBER(AM280),AM280,9E15),IF(ISNUMBER(AN280),AN280,9E15),IF(ISNUMBER(AO280),AO280,9E15))</f>
        <v/>
      </c>
      <c r="AX280" s="29">
        <f>IF(BD280&gt;Parameters!$B$21*(MAX(IF(AND(NOT(AND(AU280=1,AT280&lt;&gt;1)),ISNUMBER(AK280),AK280&lt;=(C280+T280)),AY280,0),IF(AND(NOT(AND(AU280=1,AT280&lt;&gt;1)),ISNUMBER(AL280),AL280&lt;=(C280+T280)),AZ280,0),IF(AND(NOT(AND(AU280=1,AT280&lt;&gt;1)),ISNUMBER(AM280),AM280&lt;=(C280+T280)),BA280,0),IF(AND(NOT(AND(AU280=1,AT280&lt;&gt;1)),ISNUMBER(AN280),AN280&lt;=(C280+T280)),BB280,0),IF(AND(ISNUMBER(AO280),AO280&lt;=(C280+T280)),BC280,0))),TRUE,FALSE)</f>
        <v/>
      </c>
      <c r="AY280" s="32">
        <f>IFERROR(Upgrades!$H$13*(POWER(Upgrades!$P$13,E280)*POWER(Upgrades!$P$14,F280)*POWER(Upgrades!$P$15,G280)*POWER(Upgrades!$P$16,H280)*POWER(Upgrades!$P$17,I280)*POWER(Upgrades!$P$18,J280)*POWER(Upgrades!$P$19,K280)*POWER(Upgrades!$P$20,L280)*POWER(Upgrades!$P$21,M280))*(IF(Upgrades!$T$14="Stellar Kinematics",POWER(Upgrades!$U$14,F280),1)*IF(Upgrades!$T$15="Stellar Kinematics",POWER(Upgrades!$U$15,G280),1)*IF(Upgrades!$T$16="Stellar Kinematics",POWER(Upgrades!$U$16,H280),1)*IF(Upgrades!$T$17="Stellar Kinematics",POWER(Upgrades!$U$17,I280),1)*IF(Upgrades!$T$18="Stellar Kinematics",POWER(Upgrades!$U$18,J280),1)*IF(Upgrades!$T$19="Stellar Kinematics",POWER(Upgrades!$U$19,K280),1)*IF(Upgrades!$T$20="Stellar Kinematics",POWER(Upgrades!$U$20,L280),1)*IF(Upgrades!$T$21="Stellar Kinematics",POWER(Upgrades!$U$21,M280),1))*$F$6/AK280,0)</f>
        <v/>
      </c>
      <c r="AZ280" s="32">
        <f>IFERROR(Upgrades!$H$14*(POWER(Upgrades!$P$13,E280)*POWER(Upgrades!$P$14,F280)*POWER(Upgrades!$P$15,G280)*POWER(Upgrades!$P$16,H280)*POWER(Upgrades!$P$17,I280)*POWER(Upgrades!$P$18,J280)*POWER(Upgrades!$P$19,K280)*POWER(Upgrades!$P$20,L280)*POWER(Upgrades!$P$21,M280))*(IF(Upgrades!$T$13="Local Bubble",POWER(Upgrades!$U$13,E280),1)*IF(Upgrades!$T$15="Local Bubble",POWER(Upgrades!$U$15,G280),1)*IF(Upgrades!$T$16="Local Bubble",POWER(Upgrades!$U$16,H280),1)*IF(Upgrades!$T$17="Local Bubble",POWER(Upgrades!$U$17,I280),1)*IF(Upgrades!$T$18="Local Bubble",POWER(Upgrades!$U$18,J280),1)*IF(Upgrades!$T$19="Local Bubble",POWER(Upgrades!$U$19,K280),1)*IF(Upgrades!$T$20="Local Bubble",POWER(Upgrades!$U$20,L280),1)*IF(Upgrades!$T$21="Local Bubble",POWER(Upgrades!$U$21,M280),1))*$F$6/AL280,0)</f>
        <v/>
      </c>
      <c r="BA280" s="32">
        <f>IFERROR(Upgrades!$K$15*(POWER(Upgrades!$Q$13,E280)*POWER(Upgrades!$Q$14,F280)*POWER(Upgrades!$Q$15,G280)*POWER(Upgrades!$Q$16,H280)*POWER(Upgrades!$Q$17,I280)*POWER(Upgrades!$Q$18,J280)*POWER(Upgrades!$Q$19,K280)*POWER(Upgrades!$Q$20,L280)*POWER(Upgrades!$Q$21,M280))*(IF(Upgrades!$T$13="Microlensing",POWER(Upgrades!$U$13,E280),1)*IF(Upgrades!$T$14="Microlensing",POWER(Upgrades!$U$14,F280),1)*IF(Upgrades!$T$16="Microlensing",POWER(Upgrades!$U$16,H280),1)*IF(Upgrades!$T$17="Microlensing",POWER(Upgrades!$U$17,I280),1)*IF(Upgrades!$T$18="Microlensing",POWER(Upgrades!$U$18,J280),1)*IF(Upgrades!$T$19="Microlensing",POWER(Upgrades!$U$19,K280),1)*IF(Upgrades!$T$20="Microlensing",POWER(Upgrades!$U$20,L280),1)*IF(Upgrades!$T$21="Microlensing",POWER(Upgrades!$U$21,M280),1))*$G$6*(Parameters!$B$10/60*Parameters!$B$11+Q280)/AM280,0)</f>
        <v/>
      </c>
      <c r="BB280" s="32">
        <f>IFERROR((Upgrades!$N$16*(POWER(Upgrades!$R$13,E280)*POWER(Upgrades!$R$14,F280)*POWER(Upgrades!$R$15,G280)*POWER(Upgrades!$R$16,H280)*POWER(Upgrades!$R$17,I280)*POWER(Upgrades!$R$18,J280)*POWER(Upgrades!$R$19,K280)*POWER(Upgrades!$R$20,L280)*POWER(Upgrades!$R$21,M280))*(IF(Upgrades!$T$13="Roche Lobe Overflow",POWER(Upgrades!$U$13,E280),1)*IF(Upgrades!$T$14="Roche Lobe Overflow",POWER(Upgrades!$U$14,F280),1)*IF(Upgrades!$T$15="Roche Lobe Overflow",POWER(Upgrades!$U$15,G280),1)*IF(Upgrades!$T$17="Roche Lobe Overflow",POWER(Upgrades!$U$17,I280),1)*IF(Upgrades!$T$18="Roche Lobe Overflow",POWER(Upgrades!$U$18,J280),1)*IF(Upgrades!$T$19="Roche Lobe Overflow",POWER(Upgrades!$U$19,K280),1)*IF(Upgrades!$T$20="Roche Lobe Overflow",POWER(Upgrades!$U$20,L280),1)*IF(Upgrades!$T$21="Roche Lobe Overflow",POWER(Upgrades!$U$21,M280),1))*$H$6*O280+((IF(F280=0,0,(Upgrades!$G$14+F280*Upgrades!$H$14)*POWER(Upgrades!$I$14,F280)))*(IF(Upgrades!$T$13="Local Bubble",POWER(Upgrades!$U$13,E280),1)*IF(Upgrades!$T$15="Local Bubble",POWER(Upgrades!$U$15,G280),1)*IF(Upgrades!$T$16="Local Bubble",POWER(Upgrades!$U$16,H280),1)*IF(Upgrades!$T$17="Local Bubble",POWER(Upgrades!$U$17,I280),1)*IF(Upgrades!$T$18="Local Bubble",POWER(Upgrades!$U$18,J280),1)*IF(Upgrades!$T$19="Local Bubble",POWER(Upgrades!$U$19,K280),1)*IF(Upgrades!$T$20="Local Bubble",POWER(Upgrades!$U$20,L280),1)*IF(Upgrades!$T$21="Local Bubble",POWER(Upgrades!$U$21,M280),1))*POWER(Upgrades!$P$13,E280)*POWER(Upgrades!$P$14,F280)*POWER(Upgrades!$P$15,G280)*POWER(Upgrades!$P$16,H280)*POWER(Upgrades!$P$17,I280)*POWER(Upgrades!$P$18,J280)*POWER(Upgrades!$P$19,K280)*POWER(Upgrades!$P$20,L280)*POWER(Upgrades!$P$21,M280)*$F$6)*0.05)/AN280,0)</f>
        <v/>
      </c>
      <c r="BC280" s="32">
        <f>IFERROR((Upgrades!$H$17*(POWER(Upgrades!$P$13,E280)*POWER(Upgrades!$P$14,F280)*POWER(Upgrades!$P$15,G280)*POWER(Upgrades!$P$16,H280)*POWER(Upgrades!$P$17,I280)*POWER(Upgrades!$P$18,J280)*POWER(Upgrades!$P$19,K280)*POWER(Upgrades!$P$20,L280)*POWER(Upgrades!$P$21,M280))*(IF(Upgrades!$T$13="Brown Dwarf",POWER(Upgrades!$U$13,E280),1)*IF(Upgrades!$T$14="Brown Dwarf",POWER(Upgrades!$U$14,F280),1)*IF(Upgrades!$T$15="Brown Dwarf",POWER(Upgrades!$U$15,G280),1)*IF(Upgrades!$T$16="Brown Dwarf",POWER(Upgrades!$U$16,H280),1)*IF(Upgrades!$T$18="Brown Dwarf",POWER(Upgrades!$U$18,J280),1)*IF(Upgrades!$T$19="Brown Dwarf",POWER(Upgrades!$U$19,K280),1)*IF(Upgrades!$T$20="Brown Dwarf",POWER(Upgrades!$U$20,L280),1)*IF(Upgrades!$T$21="Brown Dwarf",POWER(Upgrades!$U$21,M280),1))*$F$6+(((IF(H280=0,0,(Upgrades!$M$16+H280*Upgrades!$N$16)*POWER(Upgrades!$O$16,H280)))*(IF(Upgrades!$T$13="Roche Lobe Overflow",POWER(Upgrades!$U$13,E280),1)*IF(Upgrades!$T$14="Roche Lobe Overflow",POWER(Upgrades!$U$14,F280),1)*IF(Upgrades!$T$15="Roche Lobe Overflow",POWER(Upgrades!$U$15,G280),1)*IF(Upgrades!$T$17="Roche Lobe Overflow",POWER(Upgrades!$U$17,I280),1)*IF(Upgrades!$T$18="Roche Lobe Overflow",POWER(Upgrades!$U$18,J280),1)*IF(Upgrades!$T$19="Roche Lobe Overflow",POWER(Upgrades!$U$19,K280),1)*IF(Upgrades!$T$20="Roche Lobe Overflow",POWER(Upgrades!$U$20,L280),1)*IF(Upgrades!$T$21="Roche Lobe Overflow",POWER(Upgrades!$U$21,M280),1))*POWER(Upgrades!$R$13,E280)*POWER(Upgrades!$R$14,F280)*POWER(Upgrades!$R$15,G280)*POWER(Upgrades!$R$16,H280)*POWER(Upgrades!$R$17,I280)*POWER(Upgrades!$R$18,J280)*POWER(Upgrades!$R$19,K280)*POWER(Upgrades!$R$20,L280)*POWER(Upgrades!$R$21,M280)*$H$6)*O280)*0.10)/AO280,0)</f>
        <v/>
      </c>
      <c r="BD280" s="32">
        <f>MAX(IF(J280&gt;0,0,IFERROR(0.5*((IF(G280=0,0,(Upgrades!$J$15+G280*Upgrades!$K$15)*POWER(Upgrades!$L$15,G280)))*(IF(Upgrades!$T$13="Microlensing",POWER(Upgrades!$U$13,E280),1)*IF(Upgrades!$T$14="Microlensing",POWER(Upgrades!$U$14,F280),1)*IF(Upgrades!$T$16="Microlensing",POWER(Upgrades!$U$16,H280),1)*IF(Upgrades!$T$17="Microlensing",POWER(Upgrades!$U$17,I280),1)*IF(Upgrades!$T$18="Microlensing",POWER(Upgrades!$U$18,J280),1)*IF(Upgrades!$T$19="Microlensing",POWER(Upgrades!$U$19,K280),1)*IF(Upgrades!$T$20="Microlensing",POWER(Upgrades!$U$20,L280),1)*IF(Upgrades!$T$21="Microlensing",POWER(Upgrades!$U$21,M280),1))*(POWER(Upgrades!$Q$13,E280)*POWER(Upgrades!$Q$14,F280)*POWER(Upgrades!$Q$15,G280)*POWER(Upgrades!$Q$16,H280)*POWER(Upgrades!$Q$17,I280)*POWER(Upgrades!$Q$18,J280)*POWER(Upgrades!$Q$19,K280)*POWER(Upgrades!$Q$20,L280)*POWER(Upgrades!$Q$21,M280))*$G$6*(Parameters!$B$10/60*Parameters!$B$11+Q280))/Upgrades!$C$18,0)),IF(K280&gt;0,0,IFERROR(0.30*P280/Upgrades!$C$19,0)),IF(L280&gt;0,0,IFERROR(0.0001/Upgrades!$C$20,0)),IF(M280&gt;0,0,IFERROR((6.0*(POWER(Upgrades!$P$13,E280)*POWER(Upgrades!$P$14,F280)*POWER(Upgrades!$P$15,G280)*POWER(Upgrades!$P$16,H280)*POWER(Upgrades!$P$17,I280)*POWER(Upgrades!$P$18,J280)*POWER(Upgrades!$P$19,K280)*POWER(Upgrades!$P$20,L280)*POWER(Upgrades!$P$21,M280))*$F$6+0.20*O280*(Parameters!$B$10/60*Parameters!$B$11+Q280))/Upgrades!$C$21,0)),IF(AND(ISNUMBER(AK280),AK280&gt;(C280+T280)),AY280,0),IF(AND(ISNUMBER(AL280),AL280&gt;(C280+T280)),AZ280,0),IF(AND(ISNUMBER(AM280),AM280&gt;(C280+T280)),BA280,0),IF(AND(ISNUMBER(AN280),AN280&gt;(C280+T280)),BB280,0),IF(AND(ISNUMBER(AO280),AO280&gt;(C280+T280)),BC280,0))</f>
        <v/>
      </c>
      <c r="BE280" s="29">
        <f>IF(AT280=1,"transition",IF(MIN(IF(AND(J280=0,ISNUMBER(AP280),AP280&lt;=(C280+T280)),AP280,9E15),IF(AND(K280=0,ISNUMBER(AQ280),AQ280&lt;=(C280+T280)),AQ280,9E15),IF(AND(L280=0,ISNUMBER(AR280),AR280&lt;=(C280+T280)),AR280,9E15),IF(AND(M280=0,ISNUMBER(AS280),AS280&lt;=(C280+T280)),AS280,9E15))&lt;9E15,IF(AND(AND(J280=0,ISNUMBER(AP280),AP280&lt;=(C280+T280)),AP280=MIN(IF(AND(J280=0,ISNUMBER(AP280),AP280&lt;=(C280+T280)),AP280,9E15),IF(AND(K280=0,ISNUMBER(AQ280),AQ280&lt;=(C280+T280)),AQ280,9E15),IF(AND(L280=0,ISNUMBER(AR280),AR280&lt;=(C280+T280)),AR280,9E15),IF(AND(M280=0,ISNUMBER(AS280),AS280&lt;=(C280+T280)),AS280,9E15))),"BiP",IF(AND(AND(K280=0,ISNUMBER(AQ280),AQ280&lt;=(C280+T280)),AQ280=MIN(IF(AND(J280=0,ISNUMBER(AP280),AP280&lt;=(C280+T280)),AP280,9E15),IF(AND(K280=0,ISNUMBER(AQ280),AQ280&lt;=(C280+T280)),AQ280,9E15),IF(AND(L280=0,ISNUMBER(AR280),AR280&lt;=(C280+T280)),AR280,9E15),IF(AND(M280=0,ISNUMBER(AS280),AS280&lt;=(C280+T280)),AS280,9E15))),"PV",IF(AND(AND(L280=0,ISNUMBER(AR280),AR280&lt;=(C280+T280)),AR280=MIN(IF(AND(J280=0,ISNUMBER(AP280),AP280&lt;=(C280+T280)),AP280,9E15),IF(AND(K280=0,ISNUMBER(AQ280),AQ280&lt;=(C280+T280)),AQ280,9E15),IF(AND(L280=0,ISNUMBER(AR280),AR280&lt;=(C280+T280)),AR280,9E15),IF(AND(M280=0,ISNUMBER(AS280),AS280&lt;=(C280+T280)),AS280,9E15))),"OC","MG"))),IF(AX280=TRUE,"",IF(MAX(IF(AND(NOT(AND(AU280=1,AT280&lt;&gt;1)),ISNUMBER(AK280),AK280&lt;=(C280+T280)),AY280,0),IF(AND(NOT(AND(AU280=1,AT280&lt;&gt;1)),ISNUMBER(AL280),AL280&lt;=(C280+T280)),AZ280,0),IF(AND(NOT(AND(AU280=1,AT280&lt;&gt;1)),ISNUMBER(AM280),AM280&lt;=(C280+T280)),BA280,0),IF(AND(NOT(AND(AU280=1,AT280&lt;&gt;1)),ISNUMBER(AN280),AN280&lt;=(C280+T280)),BB280,0),IF(AND(ISNUMBER(AO280),AO280&lt;=(C280+T280)),BC280,0))&lt;=0,"",IF(AND(IF(AND(NOT(AND(AU280=1,AT280&lt;&gt;1)),ISNUMBER(AK280),AK280&lt;=(C280+T280)),AY280,0)&gt;0,IF(AND(NOT(AND(AU280=1,AT280&lt;&gt;1)),ISNUMBER(AK280),AK280&lt;=(C280+T280)),AY280,0)=MAX(IF(AND(NOT(AND(AU280=1,AT280&lt;&gt;1)),ISNUMBER(AK280),AK280&lt;=(C280+T280)),AY280,0),IF(AND(NOT(AND(AU280=1,AT280&lt;&gt;1)),ISNUMBER(AL280),AL280&lt;=(C280+T280)),AZ280,0),IF(AND(NOT(AND(AU280=1,AT280&lt;&gt;1)),ISNUMBER(AM280),AM280&lt;=(C280+T280)),BA280,0),IF(AND(NOT(AND(AU280=1,AT280&lt;&gt;1)),ISNUMBER(AN280),AN280&lt;=(C280+T280)),BB280,0),IF(AND(ISNUMBER(AO280),AO280&lt;=(C280+T280)),BC280,0))),"SK",IF(AND(IF(AND(NOT(AND(AU280=1,AT280&lt;&gt;1)),ISNUMBER(AL280),AL280&lt;=(C280+T280)),AZ280,0)&gt;0,IF(AND(NOT(AND(AU280=1,AT280&lt;&gt;1)),ISNUMBER(AL280),AL280&lt;=(C280+T280)),AZ280,0)=MAX(IF(AND(NOT(AND(AU280=1,AT280&lt;&gt;1)),ISNUMBER(AK280),AK280&lt;=(C280+T280)),AY280,0),IF(AND(NOT(AND(AU280=1,AT280&lt;&gt;1)),ISNUMBER(AL280),AL280&lt;=(C280+T280)),AZ280,0),IF(AND(NOT(AND(AU280=1,AT280&lt;&gt;1)),ISNUMBER(AM280),AM280&lt;=(C280+T280)),BA280,0),IF(AND(NOT(AND(AU280=1,AT280&lt;&gt;1)),ISNUMBER(AN280),AN280&lt;=(C280+T280)),BB280,0),IF(AND(ISNUMBER(AO280),AO280&lt;=(C280+T280)),BC280,0))),"LB",IF(AND(IF(AND(NOT(AND(AU280=1,AT280&lt;&gt;1)),ISNUMBER(AM280),AM280&lt;=(C280+T280)),BA280,0)&gt;0,IF(AND(NOT(AND(AU280=1,AT280&lt;&gt;1)),ISNUMBER(AM280),AM280&lt;=(C280+T280)),BA280,0)=MAX(IF(AND(NOT(AND(AU280=1,AT280&lt;&gt;1)),ISNUMBER(AK280),AK280&lt;=(C280+T280)),AY280,0),IF(AND(NOT(AND(AU280=1,AT280&lt;&gt;1)),ISNUMBER(AL280),AL280&lt;=(C280+T280)),AZ280,0),IF(AND(NOT(AND(AU280=1,AT280&lt;&gt;1)),ISNUMBER(AM280),AM280&lt;=(C280+T280)),BA280,0),IF(AND(NOT(AND(AU280=1,AT280&lt;&gt;1)),ISNUMBER(AN280),AN280&lt;=(C280+T280)),BB280,0),IF(AND(ISNUMBER(AO280),AO280&lt;=(C280+T280)),BC280,0))),"ML",IF(AND(IF(AND(NOT(AND(AU280=1,AT280&lt;&gt;1)),ISNUMBER(AN280),AN280&lt;=(C280+T280)),BB280,0)&gt;0,IF(AND(NOT(AND(AU280=1,AT280&lt;&gt;1)),ISNUMBER(AN280),AN280&lt;=(C280+T280)),BB280,0)=MAX(IF(AND(NOT(AND(AU280=1,AT280&lt;&gt;1)),ISNUMBER(AK280),AK280&lt;=(C280+T280)),AY280,0),IF(AND(NOT(AND(AU280=1,AT280&lt;&gt;1)),ISNUMBER(AL280),AL280&lt;=(C280+T280)),AZ280,0),IF(AND(NOT(AND(AU280=1,AT280&lt;&gt;1)),ISNUMBER(AM280),AM280&lt;=(C280+T280)),BA280,0),IF(AND(NOT(AND(AU280=1,AT280&lt;&gt;1)),ISNUMBER(AN280),AN280&lt;=(C280+T280)),BB280,0),IF(AND(ISNUMBER(AO280),AO280&lt;=(C280+T280)),BC280,0))),"RLO","BD"))))))))</f>
        <v/>
      </c>
    </row>
    <row r="281">
      <c r="A281" s="26" t="n">
        <v>270</v>
      </c>
      <c r="B281" s="27">
        <f>A281*10/60</f>
        <v/>
      </c>
      <c r="C281" s="22">
        <f>X280</f>
        <v/>
      </c>
      <c r="D281" s="27">
        <f>D280+W280</f>
        <v/>
      </c>
      <c r="E281" s="26">
        <f>E280+IF(U280="SK",1,0)</f>
        <v/>
      </c>
      <c r="F281" s="26">
        <f>F280+IF(U280="LB",1,0)</f>
        <v/>
      </c>
      <c r="G281" s="26">
        <f>G280+IF(U280="ML",1,0)</f>
        <v/>
      </c>
      <c r="H281" s="26">
        <f>H280+IF(U280="RLO",1,0)</f>
        <v/>
      </c>
      <c r="I281" s="26">
        <f>I280+IF(U280="BD",1,0)</f>
        <v/>
      </c>
      <c r="J281" s="26">
        <f>MAX(J280,IF(U280="BiP",1,0))</f>
        <v/>
      </c>
      <c r="K281" s="26">
        <f>MAX(K280,IF(U280="PV",1,0))</f>
        <v/>
      </c>
      <c r="L281" s="26">
        <f>MAX(L280,IF(U280="OC",1,0))</f>
        <v/>
      </c>
      <c r="M281" s="26">
        <f>MAX(M280,IF(U280="MG",1,0))</f>
        <v/>
      </c>
      <c r="N281" s="26">
        <f>MAX(N280,IF(U280="transition",1,0))</f>
        <v/>
      </c>
      <c r="O281" s="28">
        <f>(Parameters!$B$9+(IF(E281=0,0,(Upgrades!$J$13+E281*Upgrades!$K$13)*POWER(Upgrades!$L$13,E281)))*(IF(Upgrades!$T$14="Stellar Kinematics",POWER(Upgrades!$U$14,F281),1)*IF(Upgrades!$T$15="Stellar Kinematics",POWER(Upgrades!$U$15,G281),1)*IF(Upgrades!$T$16="Stellar Kinematics",POWER(Upgrades!$U$16,H281),1)*IF(Upgrades!$T$17="Stellar Kinematics",POWER(Upgrades!$U$17,I281),1)*IF(Upgrades!$T$18="Stellar Kinematics",POWER(Upgrades!$U$18,J281),1)*IF(Upgrades!$T$19="Stellar Kinematics",POWER(Upgrades!$U$19,K281),1)*IF(Upgrades!$T$20="Stellar Kinematics",POWER(Upgrades!$U$20,L281),1)*IF(Upgrades!$T$21="Stellar Kinematics",POWER(Upgrades!$U$21,M281),1))+(IF(F281=0,0,(Upgrades!$J$14+F281*Upgrades!$K$14)*POWER(Upgrades!$L$14,F281)))*(IF(Upgrades!$T$13="Local Bubble",POWER(Upgrades!$U$13,E281),1)*IF(Upgrades!$T$15="Local Bubble",POWER(Upgrades!$U$15,G281),1)*IF(Upgrades!$T$16="Local Bubble",POWER(Upgrades!$U$16,H281),1)*IF(Upgrades!$T$17="Local Bubble",POWER(Upgrades!$U$17,I281),1)*IF(Upgrades!$T$18="Local Bubble",POWER(Upgrades!$U$18,J281),1)*IF(Upgrades!$T$19="Local Bubble",POWER(Upgrades!$U$19,K281),1)*IF(Upgrades!$T$20="Local Bubble",POWER(Upgrades!$U$20,L281),1)*IF(Upgrades!$T$21="Local Bubble",POWER(Upgrades!$U$21,M281),1))+(IF(G281=0,0,(Upgrades!$J$15+G281*Upgrades!$K$15)*POWER(Upgrades!$L$15,G281)))*(IF(Upgrades!$T$13="Microlensing",POWER(Upgrades!$U$13,E281),1)*IF(Upgrades!$T$14="Microlensing",POWER(Upgrades!$U$14,F281),1)*IF(Upgrades!$T$16="Microlensing",POWER(Upgrades!$U$16,H281),1)*IF(Upgrades!$T$17="Microlensing",POWER(Upgrades!$U$17,I281),1)*IF(Upgrades!$T$18="Microlensing",POWER(Upgrades!$U$18,J281),1)*IF(Upgrades!$T$19="Microlensing",POWER(Upgrades!$U$19,K281),1)*IF(Upgrades!$T$20="Microlensing",POWER(Upgrades!$U$20,L281),1)*IF(Upgrades!$T$21="Microlensing",POWER(Upgrades!$U$21,M281),1))+(IF(H281=0,0,(Upgrades!$J$16+H281*Upgrades!$K$16)*POWER(Upgrades!$L$16,H281)))*(IF(Upgrades!$T$13="Roche Lobe Overflow",POWER(Upgrades!$U$13,E281),1)*IF(Upgrades!$T$14="Roche Lobe Overflow",POWER(Upgrades!$U$14,F281),1)*IF(Upgrades!$T$15="Roche Lobe Overflow",POWER(Upgrades!$U$15,G281),1)*IF(Upgrades!$T$17="Roche Lobe Overflow",POWER(Upgrades!$U$17,I281),1)*IF(Upgrades!$T$18="Roche Lobe Overflow",POWER(Upgrades!$U$18,J281),1)*IF(Upgrades!$T$19="Roche Lobe Overflow",POWER(Upgrades!$U$19,K281),1)*IF(Upgrades!$T$20="Roche Lobe Overflow",POWER(Upgrades!$U$20,L281),1)*IF(Upgrades!$T$21="Roche Lobe Overflow",POWER(Upgrades!$U$21,M281),1))+(IF(I281=0,0,(Upgrades!$J$17+I281*Upgrades!$K$17)*POWER(Upgrades!$L$17,I281)))*(IF(Upgrades!$T$13="Brown Dwarf",POWER(Upgrades!$U$13,E281),1)*IF(Upgrades!$T$14="Brown Dwarf",POWER(Upgrades!$U$14,F281),1)*IF(Upgrades!$T$15="Brown Dwarf",POWER(Upgrades!$U$15,G281),1)*IF(Upgrades!$T$16="Brown Dwarf",POWER(Upgrades!$U$16,H281),1)*IF(Upgrades!$T$18="Brown Dwarf",POWER(Upgrades!$U$18,J281),1)*IF(Upgrades!$T$19="Brown Dwarf",POWER(Upgrades!$U$19,K281),1)*IF(Upgrades!$T$20="Brown Dwarf",POWER(Upgrades!$U$20,L281),1)*IF(Upgrades!$T$21="Brown Dwarf",POWER(Upgrades!$U$21,M281),1))+(IF(J281=0,0,(Upgrades!$J$18+J281*Upgrades!$K$18)*POWER(Upgrades!$L$18,J281)))*(IF(Upgrades!$T$13="Binary Partner",POWER(Upgrades!$U$13,E281),1)*IF(Upgrades!$T$14="Binary Partner",POWER(Upgrades!$U$14,F281),1)*IF(Upgrades!$T$15="Binary Partner",POWER(Upgrades!$U$15,G281),1)*IF(Upgrades!$T$16="Binary Partner",POWER(Upgrades!$U$16,H281),1)*IF(Upgrades!$T$17="Binary Partner",POWER(Upgrades!$U$17,I281),1)*IF(Upgrades!$T$19="Binary Partner",POWER(Upgrades!$U$19,K281),1)*IF(Upgrades!$T$20="Binary Partner",POWER(Upgrades!$U$20,L281),1)*IF(Upgrades!$T$21="Binary Partner",POWER(Upgrades!$U$21,M281),1))+(IF(K281=0,0,(Upgrades!$J$19+K281*Upgrades!$K$19)*POWER(Upgrades!$L$19,K281)))*(IF(Upgrades!$T$13="Peculiar Velocity",POWER(Upgrades!$U$13,E281),1)*IF(Upgrades!$T$14="Peculiar Velocity",POWER(Upgrades!$U$14,F281),1)*IF(Upgrades!$T$15="Peculiar Velocity",POWER(Upgrades!$U$15,G281),1)*IF(Upgrades!$T$16="Peculiar Velocity",POWER(Upgrades!$U$16,H281),1)*IF(Upgrades!$T$17="Peculiar Velocity",POWER(Upgrades!$U$17,I281),1)*IF(Upgrades!$T$18="Peculiar Velocity",POWER(Upgrades!$U$18,J281),1)*IF(Upgrades!$T$20="Peculiar Velocity",POWER(Upgrades!$U$20,L281),1)*IF(Upgrades!$T$21="Peculiar Velocity",POWER(Upgrades!$U$21,M281),1))+(IF(L281=0,0,(Upgrades!$J$20+L281*Upgrades!$K$20)*POWER(Upgrades!$L$20,L281)))*(IF(Upgrades!$T$13="Open Cluster",POWER(Upgrades!$U$13,E281),1)*IF(Upgrades!$T$14="Open Cluster",POWER(Upgrades!$U$14,F281),1)*IF(Upgrades!$T$15="Open Cluster",POWER(Upgrades!$U$15,G281),1)*IF(Upgrades!$T$16="Open Cluster",POWER(Upgrades!$U$16,H281),1)*IF(Upgrades!$T$17="Open Cluster",POWER(Upgrades!$U$17,I281),1)*IF(Upgrades!$T$18="Open Cluster",POWER(Upgrades!$U$18,J281),1)*IF(Upgrades!$T$19="Open Cluster",POWER(Upgrades!$U$19,K281),1)*IF(Upgrades!$T$21="Open Cluster",POWER(Upgrades!$U$21,M281),1))+(IF(M281=0,0,(Upgrades!$J$21+M281*Upgrades!$K$21)*POWER(Upgrades!$L$21,M281)))*(IF(Upgrades!$T$13="Moving Group",POWER(Upgrades!$U$13,E281),1)*IF(Upgrades!$T$14="Moving Group",POWER(Upgrades!$U$14,F281),1)*IF(Upgrades!$T$15="Moving Group",POWER(Upgrades!$U$15,G281),1)*IF(Upgrades!$T$16="Moving Group",POWER(Upgrades!$U$16,H281),1)*IF(Upgrades!$T$17="Moving Group",POWER(Upgrades!$U$17,I281),1)*IF(Upgrades!$T$18="Moving Group",POWER(Upgrades!$U$18,J281),1)*IF(Upgrades!$T$19="Moving Group",POWER(Upgrades!$U$19,K281),1)*IF(Upgrades!$T$20="Moving Group",POWER(Upgrades!$U$20,L281),1)))*POWER(Upgrades!$Q$13,E281)*POWER(Upgrades!$Q$14,F281)*POWER(Upgrades!$Q$15,G281)*POWER(Upgrades!$Q$16,H281)*POWER(Upgrades!$Q$17,I281)*POWER(Upgrades!$Q$18,J281)*POWER(Upgrades!$Q$19,K281)*POWER(Upgrades!$Q$20,L281)*POWER(Upgrades!$Q$21,M281)*$G$6+$D$6</f>
        <v/>
      </c>
      <c r="P281" s="28">
        <f>((IF(E281=0,0,(Upgrades!$G$13+E281*Upgrades!$H$13)*POWER(Upgrades!$I$13,E281)))*(IF(Upgrades!$T$14="Stellar Kinematics",POWER(Upgrades!$U$14,F281),1)*IF(Upgrades!$T$15="Stellar Kinematics",POWER(Upgrades!$U$15,G281),1)*IF(Upgrades!$T$16="Stellar Kinematics",POWER(Upgrades!$U$16,H281),1)*IF(Upgrades!$T$17="Stellar Kinematics",POWER(Upgrades!$U$17,I281),1)*IF(Upgrades!$T$18="Stellar Kinematics",POWER(Upgrades!$U$18,J281),1)*IF(Upgrades!$T$19="Stellar Kinematics",POWER(Upgrades!$U$19,K281),1)*IF(Upgrades!$T$20="Stellar Kinematics",POWER(Upgrades!$U$20,L281),1)*IF(Upgrades!$T$21="Stellar Kinematics",POWER(Upgrades!$U$21,M281),1))+(IF(F281=0,0,(Upgrades!$G$14+F281*Upgrades!$H$14)*POWER(Upgrades!$I$14,F281)))*(IF(Upgrades!$T$13="Local Bubble",POWER(Upgrades!$U$13,E281),1)*IF(Upgrades!$T$15="Local Bubble",POWER(Upgrades!$U$15,G281),1)*IF(Upgrades!$T$16="Local Bubble",POWER(Upgrades!$U$16,H281),1)*IF(Upgrades!$T$17="Local Bubble",POWER(Upgrades!$U$17,I281),1)*IF(Upgrades!$T$18="Local Bubble",POWER(Upgrades!$U$18,J281),1)*IF(Upgrades!$T$19="Local Bubble",POWER(Upgrades!$U$19,K281),1)*IF(Upgrades!$T$20="Local Bubble",POWER(Upgrades!$U$20,L281),1)*IF(Upgrades!$T$21="Local Bubble",POWER(Upgrades!$U$21,M281),1))+(IF(G281=0,0,(Upgrades!$G$15+G281*Upgrades!$H$15)*POWER(Upgrades!$I$15,G281)))*(IF(Upgrades!$T$13="Microlensing",POWER(Upgrades!$U$13,E281),1)*IF(Upgrades!$T$14="Microlensing",POWER(Upgrades!$U$14,F281),1)*IF(Upgrades!$T$16="Microlensing",POWER(Upgrades!$U$16,H281),1)*IF(Upgrades!$T$17="Microlensing",POWER(Upgrades!$U$17,I281),1)*IF(Upgrades!$T$18="Microlensing",POWER(Upgrades!$U$18,J281),1)*IF(Upgrades!$T$19="Microlensing",POWER(Upgrades!$U$19,K281),1)*IF(Upgrades!$T$20="Microlensing",POWER(Upgrades!$U$20,L281),1)*IF(Upgrades!$T$21="Microlensing",POWER(Upgrades!$U$21,M281),1))+(IF(H281=0,0,(Upgrades!$G$16+H281*Upgrades!$H$16)*POWER(Upgrades!$I$16,H281)))*(IF(Upgrades!$T$13="Roche Lobe Overflow",POWER(Upgrades!$U$13,E281),1)*IF(Upgrades!$T$14="Roche Lobe Overflow",POWER(Upgrades!$U$14,F281),1)*IF(Upgrades!$T$15="Roche Lobe Overflow",POWER(Upgrades!$U$15,G281),1)*IF(Upgrades!$T$17="Roche Lobe Overflow",POWER(Upgrades!$U$17,I281),1)*IF(Upgrades!$T$18="Roche Lobe Overflow",POWER(Upgrades!$U$18,J281),1)*IF(Upgrades!$T$19="Roche Lobe Overflow",POWER(Upgrades!$U$19,K281),1)*IF(Upgrades!$T$20="Roche Lobe Overflow",POWER(Upgrades!$U$20,L281),1)*IF(Upgrades!$T$21="Roche Lobe Overflow",POWER(Upgrades!$U$21,M281),1))+(IF(I281=0,0,(Upgrades!$G$17+I281*Upgrades!$H$17)*POWER(Upgrades!$I$17,I281)))*(IF(Upgrades!$T$13="Brown Dwarf",POWER(Upgrades!$U$13,E281),1)*IF(Upgrades!$T$14="Brown Dwarf",POWER(Upgrades!$U$14,F281),1)*IF(Upgrades!$T$15="Brown Dwarf",POWER(Upgrades!$U$15,G281),1)*IF(Upgrades!$T$16="Brown Dwarf",POWER(Upgrades!$U$16,H281),1)*IF(Upgrades!$T$18="Brown Dwarf",POWER(Upgrades!$U$18,J281),1)*IF(Upgrades!$T$19="Brown Dwarf",POWER(Upgrades!$U$19,K281),1)*IF(Upgrades!$T$20="Brown Dwarf",POWER(Upgrades!$U$20,L281),1)*IF(Upgrades!$T$21="Brown Dwarf",POWER(Upgrades!$U$21,M281),1))+(IF(J281=0,0,(Upgrades!$G$18+J281*Upgrades!$H$18)*POWER(Upgrades!$I$18,J281)))*(IF(Upgrades!$T$13="Binary Partner",POWER(Upgrades!$U$13,E281),1)*IF(Upgrades!$T$14="Binary Partner",POWER(Upgrades!$U$14,F281),1)*IF(Upgrades!$T$15="Binary Partner",POWER(Upgrades!$U$15,G281),1)*IF(Upgrades!$T$16="Binary Partner",POWER(Upgrades!$U$16,H281),1)*IF(Upgrades!$T$17="Binary Partner",POWER(Upgrades!$U$17,I281),1)*IF(Upgrades!$T$19="Binary Partner",POWER(Upgrades!$U$19,K281),1)*IF(Upgrades!$T$20="Binary Partner",POWER(Upgrades!$U$20,L281),1)*IF(Upgrades!$T$21="Binary Partner",POWER(Upgrades!$U$21,M281),1))+(IF(K281=0,0,(Upgrades!$G$19+K281*Upgrades!$H$19)*POWER(Upgrades!$I$19,K281)))*(IF(Upgrades!$T$13="Peculiar Velocity",POWER(Upgrades!$U$13,E281),1)*IF(Upgrades!$T$14="Peculiar Velocity",POWER(Upgrades!$U$14,F281),1)*IF(Upgrades!$T$15="Peculiar Velocity",POWER(Upgrades!$U$15,G281),1)*IF(Upgrades!$T$16="Peculiar Velocity",POWER(Upgrades!$U$16,H281),1)*IF(Upgrades!$T$17="Peculiar Velocity",POWER(Upgrades!$U$17,I281),1)*IF(Upgrades!$T$18="Peculiar Velocity",POWER(Upgrades!$U$18,J281),1)*IF(Upgrades!$T$20="Peculiar Velocity",POWER(Upgrades!$U$20,L281),1)*IF(Upgrades!$T$21="Peculiar Velocity",POWER(Upgrades!$U$21,M281),1))+(IF(L281=0,0,(Upgrades!$G$20+L281*Upgrades!$H$20)*POWER(Upgrades!$I$20,L281)))*(IF(Upgrades!$T$13="Open Cluster",POWER(Upgrades!$U$13,E281),1)*IF(Upgrades!$T$14="Open Cluster",POWER(Upgrades!$U$14,F281),1)*IF(Upgrades!$T$15="Open Cluster",POWER(Upgrades!$U$15,G281),1)*IF(Upgrades!$T$16="Open Cluster",POWER(Upgrades!$U$16,H281),1)*IF(Upgrades!$T$17="Open Cluster",POWER(Upgrades!$U$17,I281),1)*IF(Upgrades!$T$18="Open Cluster",POWER(Upgrades!$U$18,J281),1)*IF(Upgrades!$T$19="Open Cluster",POWER(Upgrades!$U$19,K281),1)*IF(Upgrades!$T$21="Open Cluster",POWER(Upgrades!$U$21,M281),1))+(IF(M281=0,0,(Upgrades!$G$21+M281*Upgrades!$H$21)*POWER(Upgrades!$I$21,M281)))*(IF(Upgrades!$T$13="Moving Group",POWER(Upgrades!$U$13,E281),1)*IF(Upgrades!$T$14="Moving Group",POWER(Upgrades!$U$14,F281),1)*IF(Upgrades!$T$15="Moving Group",POWER(Upgrades!$U$15,G281),1)*IF(Upgrades!$T$16="Moving Group",POWER(Upgrades!$U$16,H281),1)*IF(Upgrades!$T$17="Moving Group",POWER(Upgrades!$U$17,I281),1)*IF(Upgrades!$T$18="Moving Group",POWER(Upgrades!$U$18,J281),1)*IF(Upgrades!$T$19="Moving Group",POWER(Upgrades!$U$19,K281),1)*IF(Upgrades!$T$20="Moving Group",POWER(Upgrades!$U$20,L281),1)))*POWER(Upgrades!$P$13,E281)*POWER(Upgrades!$P$14,F281)*POWER(Upgrades!$P$15,G281)*POWER(Upgrades!$P$16,H281)*POWER(Upgrades!$P$17,I281)*POWER(Upgrades!$P$18,J281)*POWER(Upgrades!$P$19,K281)*POWER(Upgrades!$P$20,L281)*POWER(Upgrades!$P$21,M281)*$F$6+$C$6</f>
        <v/>
      </c>
      <c r="Q281" s="28">
        <f>((IF(E281=0,0,(Upgrades!$M$13+E281*Upgrades!$N$13)*POWER(Upgrades!$O$13,E281)))*(IF(Upgrades!$T$14="Stellar Kinematics",POWER(Upgrades!$U$14,F281),1)*IF(Upgrades!$T$15="Stellar Kinematics",POWER(Upgrades!$U$15,G281),1)*IF(Upgrades!$T$16="Stellar Kinematics",POWER(Upgrades!$U$16,H281),1)*IF(Upgrades!$T$17="Stellar Kinematics",POWER(Upgrades!$U$17,I281),1)*IF(Upgrades!$T$18="Stellar Kinematics",POWER(Upgrades!$U$18,J281),1)*IF(Upgrades!$T$19="Stellar Kinematics",POWER(Upgrades!$U$19,K281),1)*IF(Upgrades!$T$20="Stellar Kinematics",POWER(Upgrades!$U$20,L281),1)*IF(Upgrades!$T$21="Stellar Kinematics",POWER(Upgrades!$U$21,M281),1))+(IF(F281=0,0,(Upgrades!$M$14+F281*Upgrades!$N$14)*POWER(Upgrades!$O$14,F281)))*(IF(Upgrades!$T$13="Local Bubble",POWER(Upgrades!$U$13,E281),1)*IF(Upgrades!$T$15="Local Bubble",POWER(Upgrades!$U$15,G281),1)*IF(Upgrades!$T$16="Local Bubble",POWER(Upgrades!$U$16,H281),1)*IF(Upgrades!$T$17="Local Bubble",POWER(Upgrades!$U$17,I281),1)*IF(Upgrades!$T$18="Local Bubble",POWER(Upgrades!$U$18,J281),1)*IF(Upgrades!$T$19="Local Bubble",POWER(Upgrades!$U$19,K281),1)*IF(Upgrades!$T$20="Local Bubble",POWER(Upgrades!$U$20,L281),1)*IF(Upgrades!$T$21="Local Bubble",POWER(Upgrades!$U$21,M281),1))+(IF(G281=0,0,(Upgrades!$M$15+G281*Upgrades!$N$15)*POWER(Upgrades!$O$15,G281)))*(IF(Upgrades!$T$13="Microlensing",POWER(Upgrades!$U$13,E281),1)*IF(Upgrades!$T$14="Microlensing",POWER(Upgrades!$U$14,F281),1)*IF(Upgrades!$T$16="Microlensing",POWER(Upgrades!$U$16,H281),1)*IF(Upgrades!$T$17="Microlensing",POWER(Upgrades!$U$17,I281),1)*IF(Upgrades!$T$18="Microlensing",POWER(Upgrades!$U$18,J281),1)*IF(Upgrades!$T$19="Microlensing",POWER(Upgrades!$U$19,K281),1)*IF(Upgrades!$T$20="Microlensing",POWER(Upgrades!$U$20,L281),1)*IF(Upgrades!$T$21="Microlensing",POWER(Upgrades!$U$21,M281),1))+(IF(H281=0,0,(Upgrades!$M$16+H281*Upgrades!$N$16)*POWER(Upgrades!$O$16,H281)))*(IF(Upgrades!$T$13="Roche Lobe Overflow",POWER(Upgrades!$U$13,E281),1)*IF(Upgrades!$T$14="Roche Lobe Overflow",POWER(Upgrades!$U$14,F281),1)*IF(Upgrades!$T$15="Roche Lobe Overflow",POWER(Upgrades!$U$15,G281),1)*IF(Upgrades!$T$17="Roche Lobe Overflow",POWER(Upgrades!$U$17,I281),1)*IF(Upgrades!$T$18="Roche Lobe Overflow",POWER(Upgrades!$U$18,J281),1)*IF(Upgrades!$T$19="Roche Lobe Overflow",POWER(Upgrades!$U$19,K281),1)*IF(Upgrades!$T$20="Roche Lobe Overflow",POWER(Upgrades!$U$20,L281),1)*IF(Upgrades!$T$21="Roche Lobe Overflow",POWER(Upgrades!$U$21,M281),1))+(IF(I281=0,0,(Upgrades!$M$17+I281*Upgrades!$N$17)*POWER(Upgrades!$O$17,I281)))*(IF(Upgrades!$T$13="Brown Dwarf",POWER(Upgrades!$U$13,E281),1)*IF(Upgrades!$T$14="Brown Dwarf",POWER(Upgrades!$U$14,F281),1)*IF(Upgrades!$T$15="Brown Dwarf",POWER(Upgrades!$U$15,G281),1)*IF(Upgrades!$T$16="Brown Dwarf",POWER(Upgrades!$U$16,H281),1)*IF(Upgrades!$T$18="Brown Dwarf",POWER(Upgrades!$U$18,J281),1)*IF(Upgrades!$T$19="Brown Dwarf",POWER(Upgrades!$U$19,K281),1)*IF(Upgrades!$T$20="Brown Dwarf",POWER(Upgrades!$U$20,L281),1)*IF(Upgrades!$T$21="Brown Dwarf",POWER(Upgrades!$U$21,M281),1))+(IF(J281=0,0,(Upgrades!$M$18+J281*Upgrades!$N$18)*POWER(Upgrades!$O$18,J281)))*(IF(Upgrades!$T$13="Binary Partner",POWER(Upgrades!$U$13,E281),1)*IF(Upgrades!$T$14="Binary Partner",POWER(Upgrades!$U$14,F281),1)*IF(Upgrades!$T$15="Binary Partner",POWER(Upgrades!$U$15,G281),1)*IF(Upgrades!$T$16="Binary Partner",POWER(Upgrades!$U$16,H281),1)*IF(Upgrades!$T$17="Binary Partner",POWER(Upgrades!$U$17,I281),1)*IF(Upgrades!$T$19="Binary Partner",POWER(Upgrades!$U$19,K281),1)*IF(Upgrades!$T$20="Binary Partner",POWER(Upgrades!$U$20,L281),1)*IF(Upgrades!$T$21="Binary Partner",POWER(Upgrades!$U$21,M281),1))+(IF(K281=0,0,(Upgrades!$M$19+K281*Upgrades!$N$19)*POWER(Upgrades!$O$19,K281)))*(IF(Upgrades!$T$13="Peculiar Velocity",POWER(Upgrades!$U$13,E281),1)*IF(Upgrades!$T$14="Peculiar Velocity",POWER(Upgrades!$U$14,F281),1)*IF(Upgrades!$T$15="Peculiar Velocity",POWER(Upgrades!$U$15,G281),1)*IF(Upgrades!$T$16="Peculiar Velocity",POWER(Upgrades!$U$16,H281),1)*IF(Upgrades!$T$17="Peculiar Velocity",POWER(Upgrades!$U$17,I281),1)*IF(Upgrades!$T$18="Peculiar Velocity",POWER(Upgrades!$U$18,J281),1)*IF(Upgrades!$T$20="Peculiar Velocity",POWER(Upgrades!$U$20,L281),1)*IF(Upgrades!$T$21="Peculiar Velocity",POWER(Upgrades!$U$21,M281),1))+(IF(L281=0,0,(Upgrades!$M$20+L281*Upgrades!$N$20)*POWER(Upgrades!$O$20,L281)))*(IF(Upgrades!$T$13="Open Cluster",POWER(Upgrades!$U$13,E281),1)*IF(Upgrades!$T$14="Open Cluster",POWER(Upgrades!$U$14,F281),1)*IF(Upgrades!$T$15="Open Cluster",POWER(Upgrades!$U$15,G281),1)*IF(Upgrades!$T$16="Open Cluster",POWER(Upgrades!$U$16,H281),1)*IF(Upgrades!$T$17="Open Cluster",POWER(Upgrades!$U$17,I281),1)*IF(Upgrades!$T$18="Open Cluster",POWER(Upgrades!$U$18,J281),1)*IF(Upgrades!$T$19="Open Cluster",POWER(Upgrades!$U$19,K281),1)*IF(Upgrades!$T$21="Open Cluster",POWER(Upgrades!$U$21,M281),1))+(IF(M281=0,0,(Upgrades!$M$21+M281*Upgrades!$N$21)*POWER(Upgrades!$O$21,M281)))*(IF(Upgrades!$T$13="Moving Group",POWER(Upgrades!$U$13,E281),1)*IF(Upgrades!$T$14="Moving Group",POWER(Upgrades!$U$14,F281),1)*IF(Upgrades!$T$15="Moving Group",POWER(Upgrades!$U$15,G281),1)*IF(Upgrades!$T$16="Moving Group",POWER(Upgrades!$U$16,H281),1)*IF(Upgrades!$T$17="Moving Group",POWER(Upgrades!$U$17,I281),1)*IF(Upgrades!$T$18="Moving Group",POWER(Upgrades!$U$18,J281),1)*IF(Upgrades!$T$19="Moving Group",POWER(Upgrades!$U$19,K281),1)*IF(Upgrades!$T$20="Moving Group",POWER(Upgrades!$U$20,L281),1)))*POWER(Upgrades!$R$13,E281)*POWER(Upgrades!$R$14,F281)*POWER(Upgrades!$R$15,G281)*POWER(Upgrades!$R$16,H281)*POWER(Upgrades!$R$17,I281)*POWER(Upgrades!$R$18,J281)*POWER(Upgrades!$R$19,K281)*POWER(Upgrades!$R$20,L281)*POWER(Upgrades!$R$21,M281)*$H$6+$E$6</f>
        <v/>
      </c>
      <c r="R281" s="27">
        <f>IF(N281=1,0,O281*Parameters!$B$10/60*Parameters!$B$11*10)</f>
        <v/>
      </c>
      <c r="S281" s="27">
        <f>IF(N281=1,0,Q281*O281*10)</f>
        <v/>
      </c>
      <c r="T281" s="27">
        <f>IF(N281=1,0,R281+S281+P281*10)</f>
        <v/>
      </c>
      <c r="U281" s="33">
        <f>BE281</f>
        <v/>
      </c>
      <c r="V281" s="22">
        <f>IF(U281="",0,IF(U281="transition",0,IF(U281="SK",AK281,IF(U281="LB",AL281,IF(U281="ML",AM281,IF(U281="RLO",AN281,IF(U281="BD",AO281,IF(U281="BiP",AP281,IF(U281="PV",AQ281,IF(U281="OC",AR281,IF(U281="MG",AS281,0))))))))))</f>
        <v/>
      </c>
      <c r="W281" s="27">
        <f>IF(U281="BiP",Upgrades!$F$18,IF(U281="PV",Upgrades!$F$19,IF(U281="OC",Upgrades!$F$20,IF(U281="MG",Upgrades!$F$21,IF(U281="transition",-Parameters!$B$18*Parameters!$B$19,0)))))</f>
        <v/>
      </c>
      <c r="X281" s="22">
        <f>C281+T281-V281</f>
        <v/>
      </c>
      <c r="Y281" s="30">
        <f>O281*Parameters!$B$10/60*Parameters!$B$11+Q281*O281+P281</f>
        <v/>
      </c>
      <c r="Z281" s="34">
        <f>IF(U281="transition","→ Tier 3 (Galactic Arm)",IF(U281="MG","Moving Group — pocket drifts together",IF(U281="OC","Open Cluster acquired",IF(U281="PV","Peculiar Velocity — passive multiplier active",IF(U281="BiP","Binary Partner — pair bond formed",IF(AND(AU281=1,N281=0,AT281&lt;&gt;1),"Cohesion ready (waiting on completionists)","")))))) </f>
        <v/>
      </c>
      <c r="AA281" s="27">
        <f>(IF(E281=0,0,(Upgrades!$G$13+E281*Upgrades!$H$13)*POWER(Upgrades!$I$13,E281)))*(IF(Upgrades!$T$14="Stellar Kinematics",POWER(Upgrades!$U$14,F281),1)*IF(Upgrades!$T$15="Stellar Kinematics",POWER(Upgrades!$U$15,G281),1)*IF(Upgrades!$T$16="Stellar Kinematics",POWER(Upgrades!$U$16,H281),1)*IF(Upgrades!$T$17="Stellar Kinematics",POWER(Upgrades!$U$17,I281),1)*IF(Upgrades!$T$18="Stellar Kinematics",POWER(Upgrades!$U$18,J281),1)*IF(Upgrades!$T$19="Stellar Kinematics",POWER(Upgrades!$U$19,K281),1)*IF(Upgrades!$T$20="Stellar Kinematics",POWER(Upgrades!$U$20,L281),1)*IF(Upgrades!$T$21="Stellar Kinematics",POWER(Upgrades!$U$21,M281),1))*POWER(Upgrades!$P$13,E281)*POWER(Upgrades!$P$14,F281)*POWER(Upgrades!$P$15,G281)*POWER(Upgrades!$P$16,H281)*POWER(Upgrades!$P$17,I281)*POWER(Upgrades!$P$18,J281)*POWER(Upgrades!$P$19,K281)*POWER(Upgrades!$P$20,L281)*POWER(Upgrades!$P$21,M281)*$F$6*60</f>
        <v/>
      </c>
      <c r="AB281" s="27">
        <f>(IF(F281=0,0,(Upgrades!$G$14+F281*Upgrades!$H$14)*POWER(Upgrades!$I$14,F281)))*(IF(Upgrades!$T$13="Local Bubble",POWER(Upgrades!$U$13,E281),1)*IF(Upgrades!$T$15="Local Bubble",POWER(Upgrades!$U$15,G281),1)*IF(Upgrades!$T$16="Local Bubble",POWER(Upgrades!$U$16,H281),1)*IF(Upgrades!$T$17="Local Bubble",POWER(Upgrades!$U$17,I281),1)*IF(Upgrades!$T$18="Local Bubble",POWER(Upgrades!$U$18,J281),1)*IF(Upgrades!$T$19="Local Bubble",POWER(Upgrades!$U$19,K281),1)*IF(Upgrades!$T$20="Local Bubble",POWER(Upgrades!$U$20,L281),1)*IF(Upgrades!$T$21="Local Bubble",POWER(Upgrades!$U$21,M281),1))*POWER(Upgrades!$P$13,E281)*POWER(Upgrades!$P$14,F281)*POWER(Upgrades!$P$15,G281)*POWER(Upgrades!$P$16,H281)*POWER(Upgrades!$P$17,I281)*POWER(Upgrades!$P$18,J281)*POWER(Upgrades!$P$19,K281)*POWER(Upgrades!$P$20,L281)*POWER(Upgrades!$P$21,M281)*$F$6*60</f>
        <v/>
      </c>
      <c r="AC281" s="27">
        <f>(IF(G281=0,0,(Upgrades!$J$15+G281*Upgrades!$K$15)*POWER(Upgrades!$L$15,G281)))*(IF(Upgrades!$T$13="Microlensing",POWER(Upgrades!$U$13,E281),1)*IF(Upgrades!$T$14="Microlensing",POWER(Upgrades!$U$14,F281),1)*IF(Upgrades!$T$16="Microlensing",POWER(Upgrades!$U$16,H281),1)*IF(Upgrades!$T$17="Microlensing",POWER(Upgrades!$U$17,I281),1)*IF(Upgrades!$T$18="Microlensing",POWER(Upgrades!$U$18,J281),1)*IF(Upgrades!$T$19="Microlensing",POWER(Upgrades!$U$19,K281),1)*IF(Upgrades!$T$20="Microlensing",POWER(Upgrades!$U$20,L281),1)*IF(Upgrades!$T$21="Microlensing",POWER(Upgrades!$U$21,M281),1))*POWER(Upgrades!$Q$13,E281)*POWER(Upgrades!$Q$14,F281)*POWER(Upgrades!$Q$15,G281)*POWER(Upgrades!$Q$16,H281)*POWER(Upgrades!$Q$17,I281)*POWER(Upgrades!$Q$18,J281)*POWER(Upgrades!$Q$19,K281)*POWER(Upgrades!$Q$20,L281)*POWER(Upgrades!$Q$21,M281)*$G$6*(Parameters!$B$10*Parameters!$B$11+Q281*60)</f>
        <v/>
      </c>
      <c r="AD281" s="27">
        <f>(IF(H281=0,0,(Upgrades!$M$16+H281*Upgrades!$N$16)*POWER(Upgrades!$O$16,H281)))*(IF(Upgrades!$T$13="Roche Lobe Overflow",POWER(Upgrades!$U$13,E281),1)*IF(Upgrades!$T$14="Roche Lobe Overflow",POWER(Upgrades!$U$14,F281),1)*IF(Upgrades!$T$15="Roche Lobe Overflow",POWER(Upgrades!$U$15,G281),1)*IF(Upgrades!$T$17="Roche Lobe Overflow",POWER(Upgrades!$U$17,I281),1)*IF(Upgrades!$T$18="Roche Lobe Overflow",POWER(Upgrades!$U$18,J281),1)*IF(Upgrades!$T$19="Roche Lobe Overflow",POWER(Upgrades!$U$19,K281),1)*IF(Upgrades!$T$20="Roche Lobe Overflow",POWER(Upgrades!$U$20,L281),1)*IF(Upgrades!$T$21="Roche Lobe Overflow",POWER(Upgrades!$U$21,M281),1))*POWER(Upgrades!$R$13,E281)*POWER(Upgrades!$R$14,F281)*POWER(Upgrades!$R$15,G281)*POWER(Upgrades!$R$16,H281)*POWER(Upgrades!$R$17,I281)*POWER(Upgrades!$R$18,J281)*POWER(Upgrades!$R$19,K281)*POWER(Upgrades!$R$20,L281)*POWER(Upgrades!$R$21,M281)*$H$6*O281*60</f>
        <v/>
      </c>
      <c r="AE281" s="27">
        <f>(IF(I281=0,0,(Upgrades!$G$17+I281*Upgrades!$H$17)*POWER(Upgrades!$I$17,I281)))*(IF(Upgrades!$T$13="Brown Dwarf",POWER(Upgrades!$U$13,E281),1)*IF(Upgrades!$T$14="Brown Dwarf",POWER(Upgrades!$U$14,F281),1)*IF(Upgrades!$T$15="Brown Dwarf",POWER(Upgrades!$U$15,G281),1)*IF(Upgrades!$T$16="Brown Dwarf",POWER(Upgrades!$U$16,H281),1)*IF(Upgrades!$T$18="Brown Dwarf",POWER(Upgrades!$U$18,J281),1)*IF(Upgrades!$T$19="Brown Dwarf",POWER(Upgrades!$U$19,K281),1)*IF(Upgrades!$T$20="Brown Dwarf",POWER(Upgrades!$U$20,L281),1)*IF(Upgrades!$T$21="Brown Dwarf",POWER(Upgrades!$U$21,M281),1))*POWER(Upgrades!$P$13,E281)*POWER(Upgrades!$P$14,F281)*POWER(Upgrades!$P$15,G281)*POWER(Upgrades!$P$16,H281)*POWER(Upgrades!$P$17,I281)*POWER(Upgrades!$P$18,J281)*POWER(Upgrades!$P$19,K281)*POWER(Upgrades!$P$20,L281)*POWER(Upgrades!$P$21,M281)*$F$6*60</f>
        <v/>
      </c>
      <c r="AF281" s="27" t="n">
        <v>0</v>
      </c>
      <c r="AG281" s="27" t="n">
        <v>0</v>
      </c>
      <c r="AH281" s="27" t="n">
        <v>0</v>
      </c>
      <c r="AI281" s="27">
        <f>(IF(M281=0,0,(Upgrades!$G$21+M281*Upgrades!$H$21)*POWER(Upgrades!$I$21,M281)))*(IF(Upgrades!$T$13="Moving Group",POWER(Upgrades!$U$13,E281),1)*IF(Upgrades!$T$14="Moving Group",POWER(Upgrades!$U$14,F281),1)*IF(Upgrades!$T$15="Moving Group",POWER(Upgrades!$U$15,G281),1)*IF(Upgrades!$T$16="Moving Group",POWER(Upgrades!$U$16,H281),1)*IF(Upgrades!$T$17="Moving Group",POWER(Upgrades!$U$17,I281),1)*IF(Upgrades!$T$18="Moving Group",POWER(Upgrades!$U$18,J281),1)*IF(Upgrades!$T$19="Moving Group",POWER(Upgrades!$U$19,K281),1)*IF(Upgrades!$T$20="Moving Group",POWER(Upgrades!$U$20,L281),1))*POWER(Upgrades!$P$13,E281)*POWER(Upgrades!$P$14,F281)*POWER(Upgrades!$P$15,G281)*POWER(Upgrades!$P$16,H281)*POWER(Upgrades!$P$17,I281)*POWER(Upgrades!$P$18,J281)*POWER(Upgrades!$P$19,K281)*POWER(Upgrades!$P$20,L281)*POWER(Upgrades!$P$21,M281)*$F$6*60</f>
        <v/>
      </c>
      <c r="AJ281" s="27">
        <f>$C$6*60</f>
        <v/>
      </c>
      <c r="AK281" s="22">
        <f>IF(E281&gt;=Upgrades!$E$13,"",Upgrades!$C$13*POWER(Upgrades!$D$13,E281))</f>
        <v/>
      </c>
      <c r="AL281" s="22">
        <f>IF(F281&gt;=Upgrades!$E$14,"",Upgrades!$C$14*POWER(Upgrades!$D$14,F281))</f>
        <v/>
      </c>
      <c r="AM281" s="22">
        <f>IF(G281&gt;=Upgrades!$E$15,"",Upgrades!$C$15*POWER(Upgrades!$D$15,G281))</f>
        <v/>
      </c>
      <c r="AN281" s="22">
        <f>IF(H281&gt;=Upgrades!$E$16,"",Upgrades!$C$16*POWER(Upgrades!$D$16,H281))</f>
        <v/>
      </c>
      <c r="AO281" s="22">
        <f>IF(I281&gt;=Upgrades!$E$17,"",Upgrades!$C$17*POWER(Upgrades!$D$17,I281))</f>
        <v/>
      </c>
      <c r="AP281" s="22">
        <f>IF(J281&gt;=Upgrades!$E$18,"",Upgrades!$C$18*POWER(Upgrades!$D$18,J281))</f>
        <v/>
      </c>
      <c r="AQ281" s="22">
        <f>IF(K281&gt;=Upgrades!$E$19,"",Upgrades!$C$19*POWER(Upgrades!$D$19,K281))</f>
        <v/>
      </c>
      <c r="AR281" s="22">
        <f>IF(L281&gt;=Upgrades!$E$20,"",Upgrades!$C$20*POWER(Upgrades!$D$20,L281))</f>
        <v/>
      </c>
      <c r="AS281" s="22">
        <f>IF(M281&gt;=Upgrades!$E$21,"",Upgrades!$C$21*POWER(Upgrades!$D$21,M281))</f>
        <v/>
      </c>
      <c r="AT281" s="26">
        <f>IF(AND(D281&gt;=Parameters!$B$18*Parameters!$B$19,(I281&gt;=Upgrades!$E$17)*(M281&gt;=Upgrades!$E$21)=1,N281=0),1,"")</f>
        <v/>
      </c>
      <c r="AU281" s="26">
        <f>IF(AND(D281&gt;=Parameters!$B$18*Parameters!$B$19,N281=0),1,"")</f>
        <v/>
      </c>
      <c r="AV281" s="22">
        <f>MIN(IF(ISNUMBER(AP281),AP281,9E15),IF(ISNUMBER(AQ281),AQ281,9E15),IF(ISNUMBER(AR281),AR281,9E15),IF(ISNUMBER(AS281),AS281,9E15))</f>
        <v/>
      </c>
      <c r="AW281" s="22">
        <f>MIN(IF(ISNUMBER(AK281),AK281,9E15),IF(ISNUMBER(AL281),AL281,9E15),IF(ISNUMBER(AM281),AM281,9E15),IF(ISNUMBER(AN281),AN281,9E15),IF(ISNUMBER(AO281),AO281,9E15))</f>
        <v/>
      </c>
      <c r="AX281" s="29">
        <f>IF(BD281&gt;Parameters!$B$21*(MAX(IF(AND(NOT(AND(AU281=1,AT281&lt;&gt;1)),ISNUMBER(AK281),AK281&lt;=(C281+T281)),AY281,0),IF(AND(NOT(AND(AU281=1,AT281&lt;&gt;1)),ISNUMBER(AL281),AL281&lt;=(C281+T281)),AZ281,0),IF(AND(NOT(AND(AU281=1,AT281&lt;&gt;1)),ISNUMBER(AM281),AM281&lt;=(C281+T281)),BA281,0),IF(AND(NOT(AND(AU281=1,AT281&lt;&gt;1)),ISNUMBER(AN281),AN281&lt;=(C281+T281)),BB281,0),IF(AND(ISNUMBER(AO281),AO281&lt;=(C281+T281)),BC281,0))),TRUE,FALSE)</f>
        <v/>
      </c>
      <c r="AY281" s="32">
        <f>IFERROR(Upgrades!$H$13*(POWER(Upgrades!$P$13,E281)*POWER(Upgrades!$P$14,F281)*POWER(Upgrades!$P$15,G281)*POWER(Upgrades!$P$16,H281)*POWER(Upgrades!$P$17,I281)*POWER(Upgrades!$P$18,J281)*POWER(Upgrades!$P$19,K281)*POWER(Upgrades!$P$20,L281)*POWER(Upgrades!$P$21,M281))*(IF(Upgrades!$T$14="Stellar Kinematics",POWER(Upgrades!$U$14,F281),1)*IF(Upgrades!$T$15="Stellar Kinematics",POWER(Upgrades!$U$15,G281),1)*IF(Upgrades!$T$16="Stellar Kinematics",POWER(Upgrades!$U$16,H281),1)*IF(Upgrades!$T$17="Stellar Kinematics",POWER(Upgrades!$U$17,I281),1)*IF(Upgrades!$T$18="Stellar Kinematics",POWER(Upgrades!$U$18,J281),1)*IF(Upgrades!$T$19="Stellar Kinematics",POWER(Upgrades!$U$19,K281),1)*IF(Upgrades!$T$20="Stellar Kinematics",POWER(Upgrades!$U$20,L281),1)*IF(Upgrades!$T$21="Stellar Kinematics",POWER(Upgrades!$U$21,M281),1))*$F$6/AK281,0)</f>
        <v/>
      </c>
      <c r="AZ281" s="32">
        <f>IFERROR(Upgrades!$H$14*(POWER(Upgrades!$P$13,E281)*POWER(Upgrades!$P$14,F281)*POWER(Upgrades!$P$15,G281)*POWER(Upgrades!$P$16,H281)*POWER(Upgrades!$P$17,I281)*POWER(Upgrades!$P$18,J281)*POWER(Upgrades!$P$19,K281)*POWER(Upgrades!$P$20,L281)*POWER(Upgrades!$P$21,M281))*(IF(Upgrades!$T$13="Local Bubble",POWER(Upgrades!$U$13,E281),1)*IF(Upgrades!$T$15="Local Bubble",POWER(Upgrades!$U$15,G281),1)*IF(Upgrades!$T$16="Local Bubble",POWER(Upgrades!$U$16,H281),1)*IF(Upgrades!$T$17="Local Bubble",POWER(Upgrades!$U$17,I281),1)*IF(Upgrades!$T$18="Local Bubble",POWER(Upgrades!$U$18,J281),1)*IF(Upgrades!$T$19="Local Bubble",POWER(Upgrades!$U$19,K281),1)*IF(Upgrades!$T$20="Local Bubble",POWER(Upgrades!$U$20,L281),1)*IF(Upgrades!$T$21="Local Bubble",POWER(Upgrades!$U$21,M281),1))*$F$6/AL281,0)</f>
        <v/>
      </c>
      <c r="BA281" s="32">
        <f>IFERROR(Upgrades!$K$15*(POWER(Upgrades!$Q$13,E281)*POWER(Upgrades!$Q$14,F281)*POWER(Upgrades!$Q$15,G281)*POWER(Upgrades!$Q$16,H281)*POWER(Upgrades!$Q$17,I281)*POWER(Upgrades!$Q$18,J281)*POWER(Upgrades!$Q$19,K281)*POWER(Upgrades!$Q$20,L281)*POWER(Upgrades!$Q$21,M281))*(IF(Upgrades!$T$13="Microlensing",POWER(Upgrades!$U$13,E281),1)*IF(Upgrades!$T$14="Microlensing",POWER(Upgrades!$U$14,F281),1)*IF(Upgrades!$T$16="Microlensing",POWER(Upgrades!$U$16,H281),1)*IF(Upgrades!$T$17="Microlensing",POWER(Upgrades!$U$17,I281),1)*IF(Upgrades!$T$18="Microlensing",POWER(Upgrades!$U$18,J281),1)*IF(Upgrades!$T$19="Microlensing",POWER(Upgrades!$U$19,K281),1)*IF(Upgrades!$T$20="Microlensing",POWER(Upgrades!$U$20,L281),1)*IF(Upgrades!$T$21="Microlensing",POWER(Upgrades!$U$21,M281),1))*$G$6*(Parameters!$B$10/60*Parameters!$B$11+Q281)/AM281,0)</f>
        <v/>
      </c>
      <c r="BB281" s="32">
        <f>IFERROR((Upgrades!$N$16*(POWER(Upgrades!$R$13,E281)*POWER(Upgrades!$R$14,F281)*POWER(Upgrades!$R$15,G281)*POWER(Upgrades!$R$16,H281)*POWER(Upgrades!$R$17,I281)*POWER(Upgrades!$R$18,J281)*POWER(Upgrades!$R$19,K281)*POWER(Upgrades!$R$20,L281)*POWER(Upgrades!$R$21,M281))*(IF(Upgrades!$T$13="Roche Lobe Overflow",POWER(Upgrades!$U$13,E281),1)*IF(Upgrades!$T$14="Roche Lobe Overflow",POWER(Upgrades!$U$14,F281),1)*IF(Upgrades!$T$15="Roche Lobe Overflow",POWER(Upgrades!$U$15,G281),1)*IF(Upgrades!$T$17="Roche Lobe Overflow",POWER(Upgrades!$U$17,I281),1)*IF(Upgrades!$T$18="Roche Lobe Overflow",POWER(Upgrades!$U$18,J281),1)*IF(Upgrades!$T$19="Roche Lobe Overflow",POWER(Upgrades!$U$19,K281),1)*IF(Upgrades!$T$20="Roche Lobe Overflow",POWER(Upgrades!$U$20,L281),1)*IF(Upgrades!$T$21="Roche Lobe Overflow",POWER(Upgrades!$U$21,M281),1))*$H$6*O281+((IF(F281=0,0,(Upgrades!$G$14+F281*Upgrades!$H$14)*POWER(Upgrades!$I$14,F281)))*(IF(Upgrades!$T$13="Local Bubble",POWER(Upgrades!$U$13,E281),1)*IF(Upgrades!$T$15="Local Bubble",POWER(Upgrades!$U$15,G281),1)*IF(Upgrades!$T$16="Local Bubble",POWER(Upgrades!$U$16,H281),1)*IF(Upgrades!$T$17="Local Bubble",POWER(Upgrades!$U$17,I281),1)*IF(Upgrades!$T$18="Local Bubble",POWER(Upgrades!$U$18,J281),1)*IF(Upgrades!$T$19="Local Bubble",POWER(Upgrades!$U$19,K281),1)*IF(Upgrades!$T$20="Local Bubble",POWER(Upgrades!$U$20,L281),1)*IF(Upgrades!$T$21="Local Bubble",POWER(Upgrades!$U$21,M281),1))*POWER(Upgrades!$P$13,E281)*POWER(Upgrades!$P$14,F281)*POWER(Upgrades!$P$15,G281)*POWER(Upgrades!$P$16,H281)*POWER(Upgrades!$P$17,I281)*POWER(Upgrades!$P$18,J281)*POWER(Upgrades!$P$19,K281)*POWER(Upgrades!$P$20,L281)*POWER(Upgrades!$P$21,M281)*$F$6)*0.05)/AN281,0)</f>
        <v/>
      </c>
      <c r="BC281" s="32">
        <f>IFERROR((Upgrades!$H$17*(POWER(Upgrades!$P$13,E281)*POWER(Upgrades!$P$14,F281)*POWER(Upgrades!$P$15,G281)*POWER(Upgrades!$P$16,H281)*POWER(Upgrades!$P$17,I281)*POWER(Upgrades!$P$18,J281)*POWER(Upgrades!$P$19,K281)*POWER(Upgrades!$P$20,L281)*POWER(Upgrades!$P$21,M281))*(IF(Upgrades!$T$13="Brown Dwarf",POWER(Upgrades!$U$13,E281),1)*IF(Upgrades!$T$14="Brown Dwarf",POWER(Upgrades!$U$14,F281),1)*IF(Upgrades!$T$15="Brown Dwarf",POWER(Upgrades!$U$15,G281),1)*IF(Upgrades!$T$16="Brown Dwarf",POWER(Upgrades!$U$16,H281),1)*IF(Upgrades!$T$18="Brown Dwarf",POWER(Upgrades!$U$18,J281),1)*IF(Upgrades!$T$19="Brown Dwarf",POWER(Upgrades!$U$19,K281),1)*IF(Upgrades!$T$20="Brown Dwarf",POWER(Upgrades!$U$20,L281),1)*IF(Upgrades!$T$21="Brown Dwarf",POWER(Upgrades!$U$21,M281),1))*$F$6+(((IF(H281=0,0,(Upgrades!$M$16+H281*Upgrades!$N$16)*POWER(Upgrades!$O$16,H281)))*(IF(Upgrades!$T$13="Roche Lobe Overflow",POWER(Upgrades!$U$13,E281),1)*IF(Upgrades!$T$14="Roche Lobe Overflow",POWER(Upgrades!$U$14,F281),1)*IF(Upgrades!$T$15="Roche Lobe Overflow",POWER(Upgrades!$U$15,G281),1)*IF(Upgrades!$T$17="Roche Lobe Overflow",POWER(Upgrades!$U$17,I281),1)*IF(Upgrades!$T$18="Roche Lobe Overflow",POWER(Upgrades!$U$18,J281),1)*IF(Upgrades!$T$19="Roche Lobe Overflow",POWER(Upgrades!$U$19,K281),1)*IF(Upgrades!$T$20="Roche Lobe Overflow",POWER(Upgrades!$U$20,L281),1)*IF(Upgrades!$T$21="Roche Lobe Overflow",POWER(Upgrades!$U$21,M281),1))*POWER(Upgrades!$R$13,E281)*POWER(Upgrades!$R$14,F281)*POWER(Upgrades!$R$15,G281)*POWER(Upgrades!$R$16,H281)*POWER(Upgrades!$R$17,I281)*POWER(Upgrades!$R$18,J281)*POWER(Upgrades!$R$19,K281)*POWER(Upgrades!$R$20,L281)*POWER(Upgrades!$R$21,M281)*$H$6)*O281)*0.10)/AO281,0)</f>
        <v/>
      </c>
      <c r="BD281" s="32">
        <f>MAX(IF(J281&gt;0,0,IFERROR(0.5*((IF(G281=0,0,(Upgrades!$J$15+G281*Upgrades!$K$15)*POWER(Upgrades!$L$15,G281)))*(IF(Upgrades!$T$13="Microlensing",POWER(Upgrades!$U$13,E281),1)*IF(Upgrades!$T$14="Microlensing",POWER(Upgrades!$U$14,F281),1)*IF(Upgrades!$T$16="Microlensing",POWER(Upgrades!$U$16,H281),1)*IF(Upgrades!$T$17="Microlensing",POWER(Upgrades!$U$17,I281),1)*IF(Upgrades!$T$18="Microlensing",POWER(Upgrades!$U$18,J281),1)*IF(Upgrades!$T$19="Microlensing",POWER(Upgrades!$U$19,K281),1)*IF(Upgrades!$T$20="Microlensing",POWER(Upgrades!$U$20,L281),1)*IF(Upgrades!$T$21="Microlensing",POWER(Upgrades!$U$21,M281),1))*(POWER(Upgrades!$Q$13,E281)*POWER(Upgrades!$Q$14,F281)*POWER(Upgrades!$Q$15,G281)*POWER(Upgrades!$Q$16,H281)*POWER(Upgrades!$Q$17,I281)*POWER(Upgrades!$Q$18,J281)*POWER(Upgrades!$Q$19,K281)*POWER(Upgrades!$Q$20,L281)*POWER(Upgrades!$Q$21,M281))*$G$6*(Parameters!$B$10/60*Parameters!$B$11+Q281))/Upgrades!$C$18,0)),IF(K281&gt;0,0,IFERROR(0.30*P281/Upgrades!$C$19,0)),IF(L281&gt;0,0,IFERROR(0.0001/Upgrades!$C$20,0)),IF(M281&gt;0,0,IFERROR((6.0*(POWER(Upgrades!$P$13,E281)*POWER(Upgrades!$P$14,F281)*POWER(Upgrades!$P$15,G281)*POWER(Upgrades!$P$16,H281)*POWER(Upgrades!$P$17,I281)*POWER(Upgrades!$P$18,J281)*POWER(Upgrades!$P$19,K281)*POWER(Upgrades!$P$20,L281)*POWER(Upgrades!$P$21,M281))*$F$6+0.20*O281*(Parameters!$B$10/60*Parameters!$B$11+Q281))/Upgrades!$C$21,0)),IF(AND(ISNUMBER(AK281),AK281&gt;(C281+T281)),AY281,0),IF(AND(ISNUMBER(AL281),AL281&gt;(C281+T281)),AZ281,0),IF(AND(ISNUMBER(AM281),AM281&gt;(C281+T281)),BA281,0),IF(AND(ISNUMBER(AN281),AN281&gt;(C281+T281)),BB281,0),IF(AND(ISNUMBER(AO281),AO281&gt;(C281+T281)),BC281,0))</f>
        <v/>
      </c>
      <c r="BE281" s="29">
        <f>IF(AT281=1,"transition",IF(MIN(IF(AND(J281=0,ISNUMBER(AP281),AP281&lt;=(C281+T281)),AP281,9E15),IF(AND(K281=0,ISNUMBER(AQ281),AQ281&lt;=(C281+T281)),AQ281,9E15),IF(AND(L281=0,ISNUMBER(AR281),AR281&lt;=(C281+T281)),AR281,9E15),IF(AND(M281=0,ISNUMBER(AS281),AS281&lt;=(C281+T281)),AS281,9E15))&lt;9E15,IF(AND(AND(J281=0,ISNUMBER(AP281),AP281&lt;=(C281+T281)),AP281=MIN(IF(AND(J281=0,ISNUMBER(AP281),AP281&lt;=(C281+T281)),AP281,9E15),IF(AND(K281=0,ISNUMBER(AQ281),AQ281&lt;=(C281+T281)),AQ281,9E15),IF(AND(L281=0,ISNUMBER(AR281),AR281&lt;=(C281+T281)),AR281,9E15),IF(AND(M281=0,ISNUMBER(AS281),AS281&lt;=(C281+T281)),AS281,9E15))),"BiP",IF(AND(AND(K281=0,ISNUMBER(AQ281),AQ281&lt;=(C281+T281)),AQ281=MIN(IF(AND(J281=0,ISNUMBER(AP281),AP281&lt;=(C281+T281)),AP281,9E15),IF(AND(K281=0,ISNUMBER(AQ281),AQ281&lt;=(C281+T281)),AQ281,9E15),IF(AND(L281=0,ISNUMBER(AR281),AR281&lt;=(C281+T281)),AR281,9E15),IF(AND(M281=0,ISNUMBER(AS281),AS281&lt;=(C281+T281)),AS281,9E15))),"PV",IF(AND(AND(L281=0,ISNUMBER(AR281),AR281&lt;=(C281+T281)),AR281=MIN(IF(AND(J281=0,ISNUMBER(AP281),AP281&lt;=(C281+T281)),AP281,9E15),IF(AND(K281=0,ISNUMBER(AQ281),AQ281&lt;=(C281+T281)),AQ281,9E15),IF(AND(L281=0,ISNUMBER(AR281),AR281&lt;=(C281+T281)),AR281,9E15),IF(AND(M281=0,ISNUMBER(AS281),AS281&lt;=(C281+T281)),AS281,9E15))),"OC","MG"))),IF(AX281=TRUE,"",IF(MAX(IF(AND(NOT(AND(AU281=1,AT281&lt;&gt;1)),ISNUMBER(AK281),AK281&lt;=(C281+T281)),AY281,0),IF(AND(NOT(AND(AU281=1,AT281&lt;&gt;1)),ISNUMBER(AL281),AL281&lt;=(C281+T281)),AZ281,0),IF(AND(NOT(AND(AU281=1,AT281&lt;&gt;1)),ISNUMBER(AM281),AM281&lt;=(C281+T281)),BA281,0),IF(AND(NOT(AND(AU281=1,AT281&lt;&gt;1)),ISNUMBER(AN281),AN281&lt;=(C281+T281)),BB281,0),IF(AND(ISNUMBER(AO281),AO281&lt;=(C281+T281)),BC281,0))&lt;=0,"",IF(AND(IF(AND(NOT(AND(AU281=1,AT281&lt;&gt;1)),ISNUMBER(AK281),AK281&lt;=(C281+T281)),AY281,0)&gt;0,IF(AND(NOT(AND(AU281=1,AT281&lt;&gt;1)),ISNUMBER(AK281),AK281&lt;=(C281+T281)),AY281,0)=MAX(IF(AND(NOT(AND(AU281=1,AT281&lt;&gt;1)),ISNUMBER(AK281),AK281&lt;=(C281+T281)),AY281,0),IF(AND(NOT(AND(AU281=1,AT281&lt;&gt;1)),ISNUMBER(AL281),AL281&lt;=(C281+T281)),AZ281,0),IF(AND(NOT(AND(AU281=1,AT281&lt;&gt;1)),ISNUMBER(AM281),AM281&lt;=(C281+T281)),BA281,0),IF(AND(NOT(AND(AU281=1,AT281&lt;&gt;1)),ISNUMBER(AN281),AN281&lt;=(C281+T281)),BB281,0),IF(AND(ISNUMBER(AO281),AO281&lt;=(C281+T281)),BC281,0))),"SK",IF(AND(IF(AND(NOT(AND(AU281=1,AT281&lt;&gt;1)),ISNUMBER(AL281),AL281&lt;=(C281+T281)),AZ281,0)&gt;0,IF(AND(NOT(AND(AU281=1,AT281&lt;&gt;1)),ISNUMBER(AL281),AL281&lt;=(C281+T281)),AZ281,0)=MAX(IF(AND(NOT(AND(AU281=1,AT281&lt;&gt;1)),ISNUMBER(AK281),AK281&lt;=(C281+T281)),AY281,0),IF(AND(NOT(AND(AU281=1,AT281&lt;&gt;1)),ISNUMBER(AL281),AL281&lt;=(C281+T281)),AZ281,0),IF(AND(NOT(AND(AU281=1,AT281&lt;&gt;1)),ISNUMBER(AM281),AM281&lt;=(C281+T281)),BA281,0),IF(AND(NOT(AND(AU281=1,AT281&lt;&gt;1)),ISNUMBER(AN281),AN281&lt;=(C281+T281)),BB281,0),IF(AND(ISNUMBER(AO281),AO281&lt;=(C281+T281)),BC281,0))),"LB",IF(AND(IF(AND(NOT(AND(AU281=1,AT281&lt;&gt;1)),ISNUMBER(AM281),AM281&lt;=(C281+T281)),BA281,0)&gt;0,IF(AND(NOT(AND(AU281=1,AT281&lt;&gt;1)),ISNUMBER(AM281),AM281&lt;=(C281+T281)),BA281,0)=MAX(IF(AND(NOT(AND(AU281=1,AT281&lt;&gt;1)),ISNUMBER(AK281),AK281&lt;=(C281+T281)),AY281,0),IF(AND(NOT(AND(AU281=1,AT281&lt;&gt;1)),ISNUMBER(AL281),AL281&lt;=(C281+T281)),AZ281,0),IF(AND(NOT(AND(AU281=1,AT281&lt;&gt;1)),ISNUMBER(AM281),AM281&lt;=(C281+T281)),BA281,0),IF(AND(NOT(AND(AU281=1,AT281&lt;&gt;1)),ISNUMBER(AN281),AN281&lt;=(C281+T281)),BB281,0),IF(AND(ISNUMBER(AO281),AO281&lt;=(C281+T281)),BC281,0))),"ML",IF(AND(IF(AND(NOT(AND(AU281=1,AT281&lt;&gt;1)),ISNUMBER(AN281),AN281&lt;=(C281+T281)),BB281,0)&gt;0,IF(AND(NOT(AND(AU281=1,AT281&lt;&gt;1)),ISNUMBER(AN281),AN281&lt;=(C281+T281)),BB281,0)=MAX(IF(AND(NOT(AND(AU281=1,AT281&lt;&gt;1)),ISNUMBER(AK281),AK281&lt;=(C281+T281)),AY281,0),IF(AND(NOT(AND(AU281=1,AT281&lt;&gt;1)),ISNUMBER(AL281),AL281&lt;=(C281+T281)),AZ281,0),IF(AND(NOT(AND(AU281=1,AT281&lt;&gt;1)),ISNUMBER(AM281),AM281&lt;=(C281+T281)),BA281,0),IF(AND(NOT(AND(AU281=1,AT281&lt;&gt;1)),ISNUMBER(AN281),AN281&lt;=(C281+T281)),BB281,0),IF(AND(ISNUMBER(AO281),AO281&lt;=(C281+T281)),BC281,0))),"RLO","BD"))))))))</f>
        <v/>
      </c>
    </row>
    <row r="282">
      <c r="A282" s="26" t="n">
        <v>271</v>
      </c>
      <c r="B282" s="27">
        <f>A282*10/60</f>
        <v/>
      </c>
      <c r="C282" s="22">
        <f>X281</f>
        <v/>
      </c>
      <c r="D282" s="27">
        <f>D281+W281</f>
        <v/>
      </c>
      <c r="E282" s="26">
        <f>E281+IF(U281="SK",1,0)</f>
        <v/>
      </c>
      <c r="F282" s="26">
        <f>F281+IF(U281="LB",1,0)</f>
        <v/>
      </c>
      <c r="G282" s="26">
        <f>G281+IF(U281="ML",1,0)</f>
        <v/>
      </c>
      <c r="H282" s="26">
        <f>H281+IF(U281="RLO",1,0)</f>
        <v/>
      </c>
      <c r="I282" s="26">
        <f>I281+IF(U281="BD",1,0)</f>
        <v/>
      </c>
      <c r="J282" s="26">
        <f>MAX(J281,IF(U281="BiP",1,0))</f>
        <v/>
      </c>
      <c r="K282" s="26">
        <f>MAX(K281,IF(U281="PV",1,0))</f>
        <v/>
      </c>
      <c r="L282" s="26">
        <f>MAX(L281,IF(U281="OC",1,0))</f>
        <v/>
      </c>
      <c r="M282" s="26">
        <f>MAX(M281,IF(U281="MG",1,0))</f>
        <v/>
      </c>
      <c r="N282" s="26">
        <f>MAX(N281,IF(U281="transition",1,0))</f>
        <v/>
      </c>
      <c r="O282" s="28">
        <f>(Parameters!$B$9+(IF(E282=0,0,(Upgrades!$J$13+E282*Upgrades!$K$13)*POWER(Upgrades!$L$13,E282)))*(IF(Upgrades!$T$14="Stellar Kinematics",POWER(Upgrades!$U$14,F282),1)*IF(Upgrades!$T$15="Stellar Kinematics",POWER(Upgrades!$U$15,G282),1)*IF(Upgrades!$T$16="Stellar Kinematics",POWER(Upgrades!$U$16,H282),1)*IF(Upgrades!$T$17="Stellar Kinematics",POWER(Upgrades!$U$17,I282),1)*IF(Upgrades!$T$18="Stellar Kinematics",POWER(Upgrades!$U$18,J282),1)*IF(Upgrades!$T$19="Stellar Kinematics",POWER(Upgrades!$U$19,K282),1)*IF(Upgrades!$T$20="Stellar Kinematics",POWER(Upgrades!$U$20,L282),1)*IF(Upgrades!$T$21="Stellar Kinematics",POWER(Upgrades!$U$21,M282),1))+(IF(F282=0,0,(Upgrades!$J$14+F282*Upgrades!$K$14)*POWER(Upgrades!$L$14,F282)))*(IF(Upgrades!$T$13="Local Bubble",POWER(Upgrades!$U$13,E282),1)*IF(Upgrades!$T$15="Local Bubble",POWER(Upgrades!$U$15,G282),1)*IF(Upgrades!$T$16="Local Bubble",POWER(Upgrades!$U$16,H282),1)*IF(Upgrades!$T$17="Local Bubble",POWER(Upgrades!$U$17,I282),1)*IF(Upgrades!$T$18="Local Bubble",POWER(Upgrades!$U$18,J282),1)*IF(Upgrades!$T$19="Local Bubble",POWER(Upgrades!$U$19,K282),1)*IF(Upgrades!$T$20="Local Bubble",POWER(Upgrades!$U$20,L282),1)*IF(Upgrades!$T$21="Local Bubble",POWER(Upgrades!$U$21,M282),1))+(IF(G282=0,0,(Upgrades!$J$15+G282*Upgrades!$K$15)*POWER(Upgrades!$L$15,G282)))*(IF(Upgrades!$T$13="Microlensing",POWER(Upgrades!$U$13,E282),1)*IF(Upgrades!$T$14="Microlensing",POWER(Upgrades!$U$14,F282),1)*IF(Upgrades!$T$16="Microlensing",POWER(Upgrades!$U$16,H282),1)*IF(Upgrades!$T$17="Microlensing",POWER(Upgrades!$U$17,I282),1)*IF(Upgrades!$T$18="Microlensing",POWER(Upgrades!$U$18,J282),1)*IF(Upgrades!$T$19="Microlensing",POWER(Upgrades!$U$19,K282),1)*IF(Upgrades!$T$20="Microlensing",POWER(Upgrades!$U$20,L282),1)*IF(Upgrades!$T$21="Microlensing",POWER(Upgrades!$U$21,M282),1))+(IF(H282=0,0,(Upgrades!$J$16+H282*Upgrades!$K$16)*POWER(Upgrades!$L$16,H282)))*(IF(Upgrades!$T$13="Roche Lobe Overflow",POWER(Upgrades!$U$13,E282),1)*IF(Upgrades!$T$14="Roche Lobe Overflow",POWER(Upgrades!$U$14,F282),1)*IF(Upgrades!$T$15="Roche Lobe Overflow",POWER(Upgrades!$U$15,G282),1)*IF(Upgrades!$T$17="Roche Lobe Overflow",POWER(Upgrades!$U$17,I282),1)*IF(Upgrades!$T$18="Roche Lobe Overflow",POWER(Upgrades!$U$18,J282),1)*IF(Upgrades!$T$19="Roche Lobe Overflow",POWER(Upgrades!$U$19,K282),1)*IF(Upgrades!$T$20="Roche Lobe Overflow",POWER(Upgrades!$U$20,L282),1)*IF(Upgrades!$T$21="Roche Lobe Overflow",POWER(Upgrades!$U$21,M282),1))+(IF(I282=0,0,(Upgrades!$J$17+I282*Upgrades!$K$17)*POWER(Upgrades!$L$17,I282)))*(IF(Upgrades!$T$13="Brown Dwarf",POWER(Upgrades!$U$13,E282),1)*IF(Upgrades!$T$14="Brown Dwarf",POWER(Upgrades!$U$14,F282),1)*IF(Upgrades!$T$15="Brown Dwarf",POWER(Upgrades!$U$15,G282),1)*IF(Upgrades!$T$16="Brown Dwarf",POWER(Upgrades!$U$16,H282),1)*IF(Upgrades!$T$18="Brown Dwarf",POWER(Upgrades!$U$18,J282),1)*IF(Upgrades!$T$19="Brown Dwarf",POWER(Upgrades!$U$19,K282),1)*IF(Upgrades!$T$20="Brown Dwarf",POWER(Upgrades!$U$20,L282),1)*IF(Upgrades!$T$21="Brown Dwarf",POWER(Upgrades!$U$21,M282),1))+(IF(J282=0,0,(Upgrades!$J$18+J282*Upgrades!$K$18)*POWER(Upgrades!$L$18,J282)))*(IF(Upgrades!$T$13="Binary Partner",POWER(Upgrades!$U$13,E282),1)*IF(Upgrades!$T$14="Binary Partner",POWER(Upgrades!$U$14,F282),1)*IF(Upgrades!$T$15="Binary Partner",POWER(Upgrades!$U$15,G282),1)*IF(Upgrades!$T$16="Binary Partner",POWER(Upgrades!$U$16,H282),1)*IF(Upgrades!$T$17="Binary Partner",POWER(Upgrades!$U$17,I282),1)*IF(Upgrades!$T$19="Binary Partner",POWER(Upgrades!$U$19,K282),1)*IF(Upgrades!$T$20="Binary Partner",POWER(Upgrades!$U$20,L282),1)*IF(Upgrades!$T$21="Binary Partner",POWER(Upgrades!$U$21,M282),1))+(IF(K282=0,0,(Upgrades!$J$19+K282*Upgrades!$K$19)*POWER(Upgrades!$L$19,K282)))*(IF(Upgrades!$T$13="Peculiar Velocity",POWER(Upgrades!$U$13,E282),1)*IF(Upgrades!$T$14="Peculiar Velocity",POWER(Upgrades!$U$14,F282),1)*IF(Upgrades!$T$15="Peculiar Velocity",POWER(Upgrades!$U$15,G282),1)*IF(Upgrades!$T$16="Peculiar Velocity",POWER(Upgrades!$U$16,H282),1)*IF(Upgrades!$T$17="Peculiar Velocity",POWER(Upgrades!$U$17,I282),1)*IF(Upgrades!$T$18="Peculiar Velocity",POWER(Upgrades!$U$18,J282),1)*IF(Upgrades!$T$20="Peculiar Velocity",POWER(Upgrades!$U$20,L282),1)*IF(Upgrades!$T$21="Peculiar Velocity",POWER(Upgrades!$U$21,M282),1))+(IF(L282=0,0,(Upgrades!$J$20+L282*Upgrades!$K$20)*POWER(Upgrades!$L$20,L282)))*(IF(Upgrades!$T$13="Open Cluster",POWER(Upgrades!$U$13,E282),1)*IF(Upgrades!$T$14="Open Cluster",POWER(Upgrades!$U$14,F282),1)*IF(Upgrades!$T$15="Open Cluster",POWER(Upgrades!$U$15,G282),1)*IF(Upgrades!$T$16="Open Cluster",POWER(Upgrades!$U$16,H282),1)*IF(Upgrades!$T$17="Open Cluster",POWER(Upgrades!$U$17,I282),1)*IF(Upgrades!$T$18="Open Cluster",POWER(Upgrades!$U$18,J282),1)*IF(Upgrades!$T$19="Open Cluster",POWER(Upgrades!$U$19,K282),1)*IF(Upgrades!$T$21="Open Cluster",POWER(Upgrades!$U$21,M282),1))+(IF(M282=0,0,(Upgrades!$J$21+M282*Upgrades!$K$21)*POWER(Upgrades!$L$21,M282)))*(IF(Upgrades!$T$13="Moving Group",POWER(Upgrades!$U$13,E282),1)*IF(Upgrades!$T$14="Moving Group",POWER(Upgrades!$U$14,F282),1)*IF(Upgrades!$T$15="Moving Group",POWER(Upgrades!$U$15,G282),1)*IF(Upgrades!$T$16="Moving Group",POWER(Upgrades!$U$16,H282),1)*IF(Upgrades!$T$17="Moving Group",POWER(Upgrades!$U$17,I282),1)*IF(Upgrades!$T$18="Moving Group",POWER(Upgrades!$U$18,J282),1)*IF(Upgrades!$T$19="Moving Group",POWER(Upgrades!$U$19,K282),1)*IF(Upgrades!$T$20="Moving Group",POWER(Upgrades!$U$20,L282),1)))*POWER(Upgrades!$Q$13,E282)*POWER(Upgrades!$Q$14,F282)*POWER(Upgrades!$Q$15,G282)*POWER(Upgrades!$Q$16,H282)*POWER(Upgrades!$Q$17,I282)*POWER(Upgrades!$Q$18,J282)*POWER(Upgrades!$Q$19,K282)*POWER(Upgrades!$Q$20,L282)*POWER(Upgrades!$Q$21,M282)*$G$6+$D$6</f>
        <v/>
      </c>
      <c r="P282" s="28">
        <f>((IF(E282=0,0,(Upgrades!$G$13+E282*Upgrades!$H$13)*POWER(Upgrades!$I$13,E282)))*(IF(Upgrades!$T$14="Stellar Kinematics",POWER(Upgrades!$U$14,F282),1)*IF(Upgrades!$T$15="Stellar Kinematics",POWER(Upgrades!$U$15,G282),1)*IF(Upgrades!$T$16="Stellar Kinematics",POWER(Upgrades!$U$16,H282),1)*IF(Upgrades!$T$17="Stellar Kinematics",POWER(Upgrades!$U$17,I282),1)*IF(Upgrades!$T$18="Stellar Kinematics",POWER(Upgrades!$U$18,J282),1)*IF(Upgrades!$T$19="Stellar Kinematics",POWER(Upgrades!$U$19,K282),1)*IF(Upgrades!$T$20="Stellar Kinematics",POWER(Upgrades!$U$20,L282),1)*IF(Upgrades!$T$21="Stellar Kinematics",POWER(Upgrades!$U$21,M282),1))+(IF(F282=0,0,(Upgrades!$G$14+F282*Upgrades!$H$14)*POWER(Upgrades!$I$14,F282)))*(IF(Upgrades!$T$13="Local Bubble",POWER(Upgrades!$U$13,E282),1)*IF(Upgrades!$T$15="Local Bubble",POWER(Upgrades!$U$15,G282),1)*IF(Upgrades!$T$16="Local Bubble",POWER(Upgrades!$U$16,H282),1)*IF(Upgrades!$T$17="Local Bubble",POWER(Upgrades!$U$17,I282),1)*IF(Upgrades!$T$18="Local Bubble",POWER(Upgrades!$U$18,J282),1)*IF(Upgrades!$T$19="Local Bubble",POWER(Upgrades!$U$19,K282),1)*IF(Upgrades!$T$20="Local Bubble",POWER(Upgrades!$U$20,L282),1)*IF(Upgrades!$T$21="Local Bubble",POWER(Upgrades!$U$21,M282),1))+(IF(G282=0,0,(Upgrades!$G$15+G282*Upgrades!$H$15)*POWER(Upgrades!$I$15,G282)))*(IF(Upgrades!$T$13="Microlensing",POWER(Upgrades!$U$13,E282),1)*IF(Upgrades!$T$14="Microlensing",POWER(Upgrades!$U$14,F282),1)*IF(Upgrades!$T$16="Microlensing",POWER(Upgrades!$U$16,H282),1)*IF(Upgrades!$T$17="Microlensing",POWER(Upgrades!$U$17,I282),1)*IF(Upgrades!$T$18="Microlensing",POWER(Upgrades!$U$18,J282),1)*IF(Upgrades!$T$19="Microlensing",POWER(Upgrades!$U$19,K282),1)*IF(Upgrades!$T$20="Microlensing",POWER(Upgrades!$U$20,L282),1)*IF(Upgrades!$T$21="Microlensing",POWER(Upgrades!$U$21,M282),1))+(IF(H282=0,0,(Upgrades!$G$16+H282*Upgrades!$H$16)*POWER(Upgrades!$I$16,H282)))*(IF(Upgrades!$T$13="Roche Lobe Overflow",POWER(Upgrades!$U$13,E282),1)*IF(Upgrades!$T$14="Roche Lobe Overflow",POWER(Upgrades!$U$14,F282),1)*IF(Upgrades!$T$15="Roche Lobe Overflow",POWER(Upgrades!$U$15,G282),1)*IF(Upgrades!$T$17="Roche Lobe Overflow",POWER(Upgrades!$U$17,I282),1)*IF(Upgrades!$T$18="Roche Lobe Overflow",POWER(Upgrades!$U$18,J282),1)*IF(Upgrades!$T$19="Roche Lobe Overflow",POWER(Upgrades!$U$19,K282),1)*IF(Upgrades!$T$20="Roche Lobe Overflow",POWER(Upgrades!$U$20,L282),1)*IF(Upgrades!$T$21="Roche Lobe Overflow",POWER(Upgrades!$U$21,M282),1))+(IF(I282=0,0,(Upgrades!$G$17+I282*Upgrades!$H$17)*POWER(Upgrades!$I$17,I282)))*(IF(Upgrades!$T$13="Brown Dwarf",POWER(Upgrades!$U$13,E282),1)*IF(Upgrades!$T$14="Brown Dwarf",POWER(Upgrades!$U$14,F282),1)*IF(Upgrades!$T$15="Brown Dwarf",POWER(Upgrades!$U$15,G282),1)*IF(Upgrades!$T$16="Brown Dwarf",POWER(Upgrades!$U$16,H282),1)*IF(Upgrades!$T$18="Brown Dwarf",POWER(Upgrades!$U$18,J282),1)*IF(Upgrades!$T$19="Brown Dwarf",POWER(Upgrades!$U$19,K282),1)*IF(Upgrades!$T$20="Brown Dwarf",POWER(Upgrades!$U$20,L282),1)*IF(Upgrades!$T$21="Brown Dwarf",POWER(Upgrades!$U$21,M282),1))+(IF(J282=0,0,(Upgrades!$G$18+J282*Upgrades!$H$18)*POWER(Upgrades!$I$18,J282)))*(IF(Upgrades!$T$13="Binary Partner",POWER(Upgrades!$U$13,E282),1)*IF(Upgrades!$T$14="Binary Partner",POWER(Upgrades!$U$14,F282),1)*IF(Upgrades!$T$15="Binary Partner",POWER(Upgrades!$U$15,G282),1)*IF(Upgrades!$T$16="Binary Partner",POWER(Upgrades!$U$16,H282),1)*IF(Upgrades!$T$17="Binary Partner",POWER(Upgrades!$U$17,I282),1)*IF(Upgrades!$T$19="Binary Partner",POWER(Upgrades!$U$19,K282),1)*IF(Upgrades!$T$20="Binary Partner",POWER(Upgrades!$U$20,L282),1)*IF(Upgrades!$T$21="Binary Partner",POWER(Upgrades!$U$21,M282),1))+(IF(K282=0,0,(Upgrades!$G$19+K282*Upgrades!$H$19)*POWER(Upgrades!$I$19,K282)))*(IF(Upgrades!$T$13="Peculiar Velocity",POWER(Upgrades!$U$13,E282),1)*IF(Upgrades!$T$14="Peculiar Velocity",POWER(Upgrades!$U$14,F282),1)*IF(Upgrades!$T$15="Peculiar Velocity",POWER(Upgrades!$U$15,G282),1)*IF(Upgrades!$T$16="Peculiar Velocity",POWER(Upgrades!$U$16,H282),1)*IF(Upgrades!$T$17="Peculiar Velocity",POWER(Upgrades!$U$17,I282),1)*IF(Upgrades!$T$18="Peculiar Velocity",POWER(Upgrades!$U$18,J282),1)*IF(Upgrades!$T$20="Peculiar Velocity",POWER(Upgrades!$U$20,L282),1)*IF(Upgrades!$T$21="Peculiar Velocity",POWER(Upgrades!$U$21,M282),1))+(IF(L282=0,0,(Upgrades!$G$20+L282*Upgrades!$H$20)*POWER(Upgrades!$I$20,L282)))*(IF(Upgrades!$T$13="Open Cluster",POWER(Upgrades!$U$13,E282),1)*IF(Upgrades!$T$14="Open Cluster",POWER(Upgrades!$U$14,F282),1)*IF(Upgrades!$T$15="Open Cluster",POWER(Upgrades!$U$15,G282),1)*IF(Upgrades!$T$16="Open Cluster",POWER(Upgrades!$U$16,H282),1)*IF(Upgrades!$T$17="Open Cluster",POWER(Upgrades!$U$17,I282),1)*IF(Upgrades!$T$18="Open Cluster",POWER(Upgrades!$U$18,J282),1)*IF(Upgrades!$T$19="Open Cluster",POWER(Upgrades!$U$19,K282),1)*IF(Upgrades!$T$21="Open Cluster",POWER(Upgrades!$U$21,M282),1))+(IF(M282=0,0,(Upgrades!$G$21+M282*Upgrades!$H$21)*POWER(Upgrades!$I$21,M282)))*(IF(Upgrades!$T$13="Moving Group",POWER(Upgrades!$U$13,E282),1)*IF(Upgrades!$T$14="Moving Group",POWER(Upgrades!$U$14,F282),1)*IF(Upgrades!$T$15="Moving Group",POWER(Upgrades!$U$15,G282),1)*IF(Upgrades!$T$16="Moving Group",POWER(Upgrades!$U$16,H282),1)*IF(Upgrades!$T$17="Moving Group",POWER(Upgrades!$U$17,I282),1)*IF(Upgrades!$T$18="Moving Group",POWER(Upgrades!$U$18,J282),1)*IF(Upgrades!$T$19="Moving Group",POWER(Upgrades!$U$19,K282),1)*IF(Upgrades!$T$20="Moving Group",POWER(Upgrades!$U$20,L282),1)))*POWER(Upgrades!$P$13,E282)*POWER(Upgrades!$P$14,F282)*POWER(Upgrades!$P$15,G282)*POWER(Upgrades!$P$16,H282)*POWER(Upgrades!$P$17,I282)*POWER(Upgrades!$P$18,J282)*POWER(Upgrades!$P$19,K282)*POWER(Upgrades!$P$20,L282)*POWER(Upgrades!$P$21,M282)*$F$6+$C$6</f>
        <v/>
      </c>
      <c r="Q282" s="28">
        <f>((IF(E282=0,0,(Upgrades!$M$13+E282*Upgrades!$N$13)*POWER(Upgrades!$O$13,E282)))*(IF(Upgrades!$T$14="Stellar Kinematics",POWER(Upgrades!$U$14,F282),1)*IF(Upgrades!$T$15="Stellar Kinematics",POWER(Upgrades!$U$15,G282),1)*IF(Upgrades!$T$16="Stellar Kinematics",POWER(Upgrades!$U$16,H282),1)*IF(Upgrades!$T$17="Stellar Kinematics",POWER(Upgrades!$U$17,I282),1)*IF(Upgrades!$T$18="Stellar Kinematics",POWER(Upgrades!$U$18,J282),1)*IF(Upgrades!$T$19="Stellar Kinematics",POWER(Upgrades!$U$19,K282),1)*IF(Upgrades!$T$20="Stellar Kinematics",POWER(Upgrades!$U$20,L282),1)*IF(Upgrades!$T$21="Stellar Kinematics",POWER(Upgrades!$U$21,M282),1))+(IF(F282=0,0,(Upgrades!$M$14+F282*Upgrades!$N$14)*POWER(Upgrades!$O$14,F282)))*(IF(Upgrades!$T$13="Local Bubble",POWER(Upgrades!$U$13,E282),1)*IF(Upgrades!$T$15="Local Bubble",POWER(Upgrades!$U$15,G282),1)*IF(Upgrades!$T$16="Local Bubble",POWER(Upgrades!$U$16,H282),1)*IF(Upgrades!$T$17="Local Bubble",POWER(Upgrades!$U$17,I282),1)*IF(Upgrades!$T$18="Local Bubble",POWER(Upgrades!$U$18,J282),1)*IF(Upgrades!$T$19="Local Bubble",POWER(Upgrades!$U$19,K282),1)*IF(Upgrades!$T$20="Local Bubble",POWER(Upgrades!$U$20,L282),1)*IF(Upgrades!$T$21="Local Bubble",POWER(Upgrades!$U$21,M282),1))+(IF(G282=0,0,(Upgrades!$M$15+G282*Upgrades!$N$15)*POWER(Upgrades!$O$15,G282)))*(IF(Upgrades!$T$13="Microlensing",POWER(Upgrades!$U$13,E282),1)*IF(Upgrades!$T$14="Microlensing",POWER(Upgrades!$U$14,F282),1)*IF(Upgrades!$T$16="Microlensing",POWER(Upgrades!$U$16,H282),1)*IF(Upgrades!$T$17="Microlensing",POWER(Upgrades!$U$17,I282),1)*IF(Upgrades!$T$18="Microlensing",POWER(Upgrades!$U$18,J282),1)*IF(Upgrades!$T$19="Microlensing",POWER(Upgrades!$U$19,K282),1)*IF(Upgrades!$T$20="Microlensing",POWER(Upgrades!$U$20,L282),1)*IF(Upgrades!$T$21="Microlensing",POWER(Upgrades!$U$21,M282),1))+(IF(H282=0,0,(Upgrades!$M$16+H282*Upgrades!$N$16)*POWER(Upgrades!$O$16,H282)))*(IF(Upgrades!$T$13="Roche Lobe Overflow",POWER(Upgrades!$U$13,E282),1)*IF(Upgrades!$T$14="Roche Lobe Overflow",POWER(Upgrades!$U$14,F282),1)*IF(Upgrades!$T$15="Roche Lobe Overflow",POWER(Upgrades!$U$15,G282),1)*IF(Upgrades!$T$17="Roche Lobe Overflow",POWER(Upgrades!$U$17,I282),1)*IF(Upgrades!$T$18="Roche Lobe Overflow",POWER(Upgrades!$U$18,J282),1)*IF(Upgrades!$T$19="Roche Lobe Overflow",POWER(Upgrades!$U$19,K282),1)*IF(Upgrades!$T$20="Roche Lobe Overflow",POWER(Upgrades!$U$20,L282),1)*IF(Upgrades!$T$21="Roche Lobe Overflow",POWER(Upgrades!$U$21,M282),1))+(IF(I282=0,0,(Upgrades!$M$17+I282*Upgrades!$N$17)*POWER(Upgrades!$O$17,I282)))*(IF(Upgrades!$T$13="Brown Dwarf",POWER(Upgrades!$U$13,E282),1)*IF(Upgrades!$T$14="Brown Dwarf",POWER(Upgrades!$U$14,F282),1)*IF(Upgrades!$T$15="Brown Dwarf",POWER(Upgrades!$U$15,G282),1)*IF(Upgrades!$T$16="Brown Dwarf",POWER(Upgrades!$U$16,H282),1)*IF(Upgrades!$T$18="Brown Dwarf",POWER(Upgrades!$U$18,J282),1)*IF(Upgrades!$T$19="Brown Dwarf",POWER(Upgrades!$U$19,K282),1)*IF(Upgrades!$T$20="Brown Dwarf",POWER(Upgrades!$U$20,L282),1)*IF(Upgrades!$T$21="Brown Dwarf",POWER(Upgrades!$U$21,M282),1))+(IF(J282=0,0,(Upgrades!$M$18+J282*Upgrades!$N$18)*POWER(Upgrades!$O$18,J282)))*(IF(Upgrades!$T$13="Binary Partner",POWER(Upgrades!$U$13,E282),1)*IF(Upgrades!$T$14="Binary Partner",POWER(Upgrades!$U$14,F282),1)*IF(Upgrades!$T$15="Binary Partner",POWER(Upgrades!$U$15,G282),1)*IF(Upgrades!$T$16="Binary Partner",POWER(Upgrades!$U$16,H282),1)*IF(Upgrades!$T$17="Binary Partner",POWER(Upgrades!$U$17,I282),1)*IF(Upgrades!$T$19="Binary Partner",POWER(Upgrades!$U$19,K282),1)*IF(Upgrades!$T$20="Binary Partner",POWER(Upgrades!$U$20,L282),1)*IF(Upgrades!$T$21="Binary Partner",POWER(Upgrades!$U$21,M282),1))+(IF(K282=0,0,(Upgrades!$M$19+K282*Upgrades!$N$19)*POWER(Upgrades!$O$19,K282)))*(IF(Upgrades!$T$13="Peculiar Velocity",POWER(Upgrades!$U$13,E282),1)*IF(Upgrades!$T$14="Peculiar Velocity",POWER(Upgrades!$U$14,F282),1)*IF(Upgrades!$T$15="Peculiar Velocity",POWER(Upgrades!$U$15,G282),1)*IF(Upgrades!$T$16="Peculiar Velocity",POWER(Upgrades!$U$16,H282),1)*IF(Upgrades!$T$17="Peculiar Velocity",POWER(Upgrades!$U$17,I282),1)*IF(Upgrades!$T$18="Peculiar Velocity",POWER(Upgrades!$U$18,J282),1)*IF(Upgrades!$T$20="Peculiar Velocity",POWER(Upgrades!$U$20,L282),1)*IF(Upgrades!$T$21="Peculiar Velocity",POWER(Upgrades!$U$21,M282),1))+(IF(L282=0,0,(Upgrades!$M$20+L282*Upgrades!$N$20)*POWER(Upgrades!$O$20,L282)))*(IF(Upgrades!$T$13="Open Cluster",POWER(Upgrades!$U$13,E282),1)*IF(Upgrades!$T$14="Open Cluster",POWER(Upgrades!$U$14,F282),1)*IF(Upgrades!$T$15="Open Cluster",POWER(Upgrades!$U$15,G282),1)*IF(Upgrades!$T$16="Open Cluster",POWER(Upgrades!$U$16,H282),1)*IF(Upgrades!$T$17="Open Cluster",POWER(Upgrades!$U$17,I282),1)*IF(Upgrades!$T$18="Open Cluster",POWER(Upgrades!$U$18,J282),1)*IF(Upgrades!$T$19="Open Cluster",POWER(Upgrades!$U$19,K282),1)*IF(Upgrades!$T$21="Open Cluster",POWER(Upgrades!$U$21,M282),1))+(IF(M282=0,0,(Upgrades!$M$21+M282*Upgrades!$N$21)*POWER(Upgrades!$O$21,M282)))*(IF(Upgrades!$T$13="Moving Group",POWER(Upgrades!$U$13,E282),1)*IF(Upgrades!$T$14="Moving Group",POWER(Upgrades!$U$14,F282),1)*IF(Upgrades!$T$15="Moving Group",POWER(Upgrades!$U$15,G282),1)*IF(Upgrades!$T$16="Moving Group",POWER(Upgrades!$U$16,H282),1)*IF(Upgrades!$T$17="Moving Group",POWER(Upgrades!$U$17,I282),1)*IF(Upgrades!$T$18="Moving Group",POWER(Upgrades!$U$18,J282),1)*IF(Upgrades!$T$19="Moving Group",POWER(Upgrades!$U$19,K282),1)*IF(Upgrades!$T$20="Moving Group",POWER(Upgrades!$U$20,L282),1)))*POWER(Upgrades!$R$13,E282)*POWER(Upgrades!$R$14,F282)*POWER(Upgrades!$R$15,G282)*POWER(Upgrades!$R$16,H282)*POWER(Upgrades!$R$17,I282)*POWER(Upgrades!$R$18,J282)*POWER(Upgrades!$R$19,K282)*POWER(Upgrades!$R$20,L282)*POWER(Upgrades!$R$21,M282)*$H$6+$E$6</f>
        <v/>
      </c>
      <c r="R282" s="27">
        <f>IF(N282=1,0,O282*Parameters!$B$10/60*Parameters!$B$11*10)</f>
        <v/>
      </c>
      <c r="S282" s="27">
        <f>IF(N282=1,0,Q282*O282*10)</f>
        <v/>
      </c>
      <c r="T282" s="27">
        <f>IF(N282=1,0,R282+S282+P282*10)</f>
        <v/>
      </c>
      <c r="U282" s="33">
        <f>BE282</f>
        <v/>
      </c>
      <c r="V282" s="22">
        <f>IF(U282="",0,IF(U282="transition",0,IF(U282="SK",AK282,IF(U282="LB",AL282,IF(U282="ML",AM282,IF(U282="RLO",AN282,IF(U282="BD",AO282,IF(U282="BiP",AP282,IF(U282="PV",AQ282,IF(U282="OC",AR282,IF(U282="MG",AS282,0))))))))))</f>
        <v/>
      </c>
      <c r="W282" s="27">
        <f>IF(U282="BiP",Upgrades!$F$18,IF(U282="PV",Upgrades!$F$19,IF(U282="OC",Upgrades!$F$20,IF(U282="MG",Upgrades!$F$21,IF(U282="transition",-Parameters!$B$18*Parameters!$B$19,0)))))</f>
        <v/>
      </c>
      <c r="X282" s="22">
        <f>C282+T282-V282</f>
        <v/>
      </c>
      <c r="Y282" s="30">
        <f>O282*Parameters!$B$10/60*Parameters!$B$11+Q282*O282+P282</f>
        <v/>
      </c>
      <c r="Z282" s="34">
        <f>IF(U282="transition","→ Tier 3 (Galactic Arm)",IF(U282="MG","Moving Group — pocket drifts together",IF(U282="OC","Open Cluster acquired",IF(U282="PV","Peculiar Velocity — passive multiplier active",IF(U282="BiP","Binary Partner — pair bond formed",IF(AND(AU282=1,N282=0,AT282&lt;&gt;1),"Cohesion ready (waiting on completionists)","")))))) </f>
        <v/>
      </c>
      <c r="AA282" s="27">
        <f>(IF(E282=0,0,(Upgrades!$G$13+E282*Upgrades!$H$13)*POWER(Upgrades!$I$13,E282)))*(IF(Upgrades!$T$14="Stellar Kinematics",POWER(Upgrades!$U$14,F282),1)*IF(Upgrades!$T$15="Stellar Kinematics",POWER(Upgrades!$U$15,G282),1)*IF(Upgrades!$T$16="Stellar Kinematics",POWER(Upgrades!$U$16,H282),1)*IF(Upgrades!$T$17="Stellar Kinematics",POWER(Upgrades!$U$17,I282),1)*IF(Upgrades!$T$18="Stellar Kinematics",POWER(Upgrades!$U$18,J282),1)*IF(Upgrades!$T$19="Stellar Kinematics",POWER(Upgrades!$U$19,K282),1)*IF(Upgrades!$T$20="Stellar Kinematics",POWER(Upgrades!$U$20,L282),1)*IF(Upgrades!$T$21="Stellar Kinematics",POWER(Upgrades!$U$21,M282),1))*POWER(Upgrades!$P$13,E282)*POWER(Upgrades!$P$14,F282)*POWER(Upgrades!$P$15,G282)*POWER(Upgrades!$P$16,H282)*POWER(Upgrades!$P$17,I282)*POWER(Upgrades!$P$18,J282)*POWER(Upgrades!$P$19,K282)*POWER(Upgrades!$P$20,L282)*POWER(Upgrades!$P$21,M282)*$F$6*60</f>
        <v/>
      </c>
      <c r="AB282" s="27">
        <f>(IF(F282=0,0,(Upgrades!$G$14+F282*Upgrades!$H$14)*POWER(Upgrades!$I$14,F282)))*(IF(Upgrades!$T$13="Local Bubble",POWER(Upgrades!$U$13,E282),1)*IF(Upgrades!$T$15="Local Bubble",POWER(Upgrades!$U$15,G282),1)*IF(Upgrades!$T$16="Local Bubble",POWER(Upgrades!$U$16,H282),1)*IF(Upgrades!$T$17="Local Bubble",POWER(Upgrades!$U$17,I282),1)*IF(Upgrades!$T$18="Local Bubble",POWER(Upgrades!$U$18,J282),1)*IF(Upgrades!$T$19="Local Bubble",POWER(Upgrades!$U$19,K282),1)*IF(Upgrades!$T$20="Local Bubble",POWER(Upgrades!$U$20,L282),1)*IF(Upgrades!$T$21="Local Bubble",POWER(Upgrades!$U$21,M282),1))*POWER(Upgrades!$P$13,E282)*POWER(Upgrades!$P$14,F282)*POWER(Upgrades!$P$15,G282)*POWER(Upgrades!$P$16,H282)*POWER(Upgrades!$P$17,I282)*POWER(Upgrades!$P$18,J282)*POWER(Upgrades!$P$19,K282)*POWER(Upgrades!$P$20,L282)*POWER(Upgrades!$P$21,M282)*$F$6*60</f>
        <v/>
      </c>
      <c r="AC282" s="27">
        <f>(IF(G282=0,0,(Upgrades!$J$15+G282*Upgrades!$K$15)*POWER(Upgrades!$L$15,G282)))*(IF(Upgrades!$T$13="Microlensing",POWER(Upgrades!$U$13,E282),1)*IF(Upgrades!$T$14="Microlensing",POWER(Upgrades!$U$14,F282),1)*IF(Upgrades!$T$16="Microlensing",POWER(Upgrades!$U$16,H282),1)*IF(Upgrades!$T$17="Microlensing",POWER(Upgrades!$U$17,I282),1)*IF(Upgrades!$T$18="Microlensing",POWER(Upgrades!$U$18,J282),1)*IF(Upgrades!$T$19="Microlensing",POWER(Upgrades!$U$19,K282),1)*IF(Upgrades!$T$20="Microlensing",POWER(Upgrades!$U$20,L282),1)*IF(Upgrades!$T$21="Microlensing",POWER(Upgrades!$U$21,M282),1))*POWER(Upgrades!$Q$13,E282)*POWER(Upgrades!$Q$14,F282)*POWER(Upgrades!$Q$15,G282)*POWER(Upgrades!$Q$16,H282)*POWER(Upgrades!$Q$17,I282)*POWER(Upgrades!$Q$18,J282)*POWER(Upgrades!$Q$19,K282)*POWER(Upgrades!$Q$20,L282)*POWER(Upgrades!$Q$21,M282)*$G$6*(Parameters!$B$10*Parameters!$B$11+Q282*60)</f>
        <v/>
      </c>
      <c r="AD282" s="27">
        <f>(IF(H282=0,0,(Upgrades!$M$16+H282*Upgrades!$N$16)*POWER(Upgrades!$O$16,H282)))*(IF(Upgrades!$T$13="Roche Lobe Overflow",POWER(Upgrades!$U$13,E282),1)*IF(Upgrades!$T$14="Roche Lobe Overflow",POWER(Upgrades!$U$14,F282),1)*IF(Upgrades!$T$15="Roche Lobe Overflow",POWER(Upgrades!$U$15,G282),1)*IF(Upgrades!$T$17="Roche Lobe Overflow",POWER(Upgrades!$U$17,I282),1)*IF(Upgrades!$T$18="Roche Lobe Overflow",POWER(Upgrades!$U$18,J282),1)*IF(Upgrades!$T$19="Roche Lobe Overflow",POWER(Upgrades!$U$19,K282),1)*IF(Upgrades!$T$20="Roche Lobe Overflow",POWER(Upgrades!$U$20,L282),1)*IF(Upgrades!$T$21="Roche Lobe Overflow",POWER(Upgrades!$U$21,M282),1))*POWER(Upgrades!$R$13,E282)*POWER(Upgrades!$R$14,F282)*POWER(Upgrades!$R$15,G282)*POWER(Upgrades!$R$16,H282)*POWER(Upgrades!$R$17,I282)*POWER(Upgrades!$R$18,J282)*POWER(Upgrades!$R$19,K282)*POWER(Upgrades!$R$20,L282)*POWER(Upgrades!$R$21,M282)*$H$6*O282*60</f>
        <v/>
      </c>
      <c r="AE282" s="27">
        <f>(IF(I282=0,0,(Upgrades!$G$17+I282*Upgrades!$H$17)*POWER(Upgrades!$I$17,I282)))*(IF(Upgrades!$T$13="Brown Dwarf",POWER(Upgrades!$U$13,E282),1)*IF(Upgrades!$T$14="Brown Dwarf",POWER(Upgrades!$U$14,F282),1)*IF(Upgrades!$T$15="Brown Dwarf",POWER(Upgrades!$U$15,G282),1)*IF(Upgrades!$T$16="Brown Dwarf",POWER(Upgrades!$U$16,H282),1)*IF(Upgrades!$T$18="Brown Dwarf",POWER(Upgrades!$U$18,J282),1)*IF(Upgrades!$T$19="Brown Dwarf",POWER(Upgrades!$U$19,K282),1)*IF(Upgrades!$T$20="Brown Dwarf",POWER(Upgrades!$U$20,L282),1)*IF(Upgrades!$T$21="Brown Dwarf",POWER(Upgrades!$U$21,M282),1))*POWER(Upgrades!$P$13,E282)*POWER(Upgrades!$P$14,F282)*POWER(Upgrades!$P$15,G282)*POWER(Upgrades!$P$16,H282)*POWER(Upgrades!$P$17,I282)*POWER(Upgrades!$P$18,J282)*POWER(Upgrades!$P$19,K282)*POWER(Upgrades!$P$20,L282)*POWER(Upgrades!$P$21,M282)*$F$6*60</f>
        <v/>
      </c>
      <c r="AF282" s="27" t="n">
        <v>0</v>
      </c>
      <c r="AG282" s="27" t="n">
        <v>0</v>
      </c>
      <c r="AH282" s="27" t="n">
        <v>0</v>
      </c>
      <c r="AI282" s="27">
        <f>(IF(M282=0,0,(Upgrades!$G$21+M282*Upgrades!$H$21)*POWER(Upgrades!$I$21,M282)))*(IF(Upgrades!$T$13="Moving Group",POWER(Upgrades!$U$13,E282),1)*IF(Upgrades!$T$14="Moving Group",POWER(Upgrades!$U$14,F282),1)*IF(Upgrades!$T$15="Moving Group",POWER(Upgrades!$U$15,G282),1)*IF(Upgrades!$T$16="Moving Group",POWER(Upgrades!$U$16,H282),1)*IF(Upgrades!$T$17="Moving Group",POWER(Upgrades!$U$17,I282),1)*IF(Upgrades!$T$18="Moving Group",POWER(Upgrades!$U$18,J282),1)*IF(Upgrades!$T$19="Moving Group",POWER(Upgrades!$U$19,K282),1)*IF(Upgrades!$T$20="Moving Group",POWER(Upgrades!$U$20,L282),1))*POWER(Upgrades!$P$13,E282)*POWER(Upgrades!$P$14,F282)*POWER(Upgrades!$P$15,G282)*POWER(Upgrades!$P$16,H282)*POWER(Upgrades!$P$17,I282)*POWER(Upgrades!$P$18,J282)*POWER(Upgrades!$P$19,K282)*POWER(Upgrades!$P$20,L282)*POWER(Upgrades!$P$21,M282)*$F$6*60</f>
        <v/>
      </c>
      <c r="AJ282" s="27">
        <f>$C$6*60</f>
        <v/>
      </c>
      <c r="AK282" s="22">
        <f>IF(E282&gt;=Upgrades!$E$13,"",Upgrades!$C$13*POWER(Upgrades!$D$13,E282))</f>
        <v/>
      </c>
      <c r="AL282" s="22">
        <f>IF(F282&gt;=Upgrades!$E$14,"",Upgrades!$C$14*POWER(Upgrades!$D$14,F282))</f>
        <v/>
      </c>
      <c r="AM282" s="22">
        <f>IF(G282&gt;=Upgrades!$E$15,"",Upgrades!$C$15*POWER(Upgrades!$D$15,G282))</f>
        <v/>
      </c>
      <c r="AN282" s="22">
        <f>IF(H282&gt;=Upgrades!$E$16,"",Upgrades!$C$16*POWER(Upgrades!$D$16,H282))</f>
        <v/>
      </c>
      <c r="AO282" s="22">
        <f>IF(I282&gt;=Upgrades!$E$17,"",Upgrades!$C$17*POWER(Upgrades!$D$17,I282))</f>
        <v/>
      </c>
      <c r="AP282" s="22">
        <f>IF(J282&gt;=Upgrades!$E$18,"",Upgrades!$C$18*POWER(Upgrades!$D$18,J282))</f>
        <v/>
      </c>
      <c r="AQ282" s="22">
        <f>IF(K282&gt;=Upgrades!$E$19,"",Upgrades!$C$19*POWER(Upgrades!$D$19,K282))</f>
        <v/>
      </c>
      <c r="AR282" s="22">
        <f>IF(L282&gt;=Upgrades!$E$20,"",Upgrades!$C$20*POWER(Upgrades!$D$20,L282))</f>
        <v/>
      </c>
      <c r="AS282" s="22">
        <f>IF(M282&gt;=Upgrades!$E$21,"",Upgrades!$C$21*POWER(Upgrades!$D$21,M282))</f>
        <v/>
      </c>
      <c r="AT282" s="26">
        <f>IF(AND(D282&gt;=Parameters!$B$18*Parameters!$B$19,(I282&gt;=Upgrades!$E$17)*(M282&gt;=Upgrades!$E$21)=1,N282=0),1,"")</f>
        <v/>
      </c>
      <c r="AU282" s="26">
        <f>IF(AND(D282&gt;=Parameters!$B$18*Parameters!$B$19,N282=0),1,"")</f>
        <v/>
      </c>
      <c r="AV282" s="22">
        <f>MIN(IF(ISNUMBER(AP282),AP282,9E15),IF(ISNUMBER(AQ282),AQ282,9E15),IF(ISNUMBER(AR282),AR282,9E15),IF(ISNUMBER(AS282),AS282,9E15))</f>
        <v/>
      </c>
      <c r="AW282" s="22">
        <f>MIN(IF(ISNUMBER(AK282),AK282,9E15),IF(ISNUMBER(AL282),AL282,9E15),IF(ISNUMBER(AM282),AM282,9E15),IF(ISNUMBER(AN282),AN282,9E15),IF(ISNUMBER(AO282),AO282,9E15))</f>
        <v/>
      </c>
      <c r="AX282" s="29">
        <f>IF(BD282&gt;Parameters!$B$21*(MAX(IF(AND(NOT(AND(AU282=1,AT282&lt;&gt;1)),ISNUMBER(AK282),AK282&lt;=(C282+T282)),AY282,0),IF(AND(NOT(AND(AU282=1,AT282&lt;&gt;1)),ISNUMBER(AL282),AL282&lt;=(C282+T282)),AZ282,0),IF(AND(NOT(AND(AU282=1,AT282&lt;&gt;1)),ISNUMBER(AM282),AM282&lt;=(C282+T282)),BA282,0),IF(AND(NOT(AND(AU282=1,AT282&lt;&gt;1)),ISNUMBER(AN282),AN282&lt;=(C282+T282)),BB282,0),IF(AND(ISNUMBER(AO282),AO282&lt;=(C282+T282)),BC282,0))),TRUE,FALSE)</f>
        <v/>
      </c>
      <c r="AY282" s="32">
        <f>IFERROR(Upgrades!$H$13*(POWER(Upgrades!$P$13,E282)*POWER(Upgrades!$P$14,F282)*POWER(Upgrades!$P$15,G282)*POWER(Upgrades!$P$16,H282)*POWER(Upgrades!$P$17,I282)*POWER(Upgrades!$P$18,J282)*POWER(Upgrades!$P$19,K282)*POWER(Upgrades!$P$20,L282)*POWER(Upgrades!$P$21,M282))*(IF(Upgrades!$T$14="Stellar Kinematics",POWER(Upgrades!$U$14,F282),1)*IF(Upgrades!$T$15="Stellar Kinematics",POWER(Upgrades!$U$15,G282),1)*IF(Upgrades!$T$16="Stellar Kinematics",POWER(Upgrades!$U$16,H282),1)*IF(Upgrades!$T$17="Stellar Kinematics",POWER(Upgrades!$U$17,I282),1)*IF(Upgrades!$T$18="Stellar Kinematics",POWER(Upgrades!$U$18,J282),1)*IF(Upgrades!$T$19="Stellar Kinematics",POWER(Upgrades!$U$19,K282),1)*IF(Upgrades!$T$20="Stellar Kinematics",POWER(Upgrades!$U$20,L282),1)*IF(Upgrades!$T$21="Stellar Kinematics",POWER(Upgrades!$U$21,M282),1))*$F$6/AK282,0)</f>
        <v/>
      </c>
      <c r="AZ282" s="32">
        <f>IFERROR(Upgrades!$H$14*(POWER(Upgrades!$P$13,E282)*POWER(Upgrades!$P$14,F282)*POWER(Upgrades!$P$15,G282)*POWER(Upgrades!$P$16,H282)*POWER(Upgrades!$P$17,I282)*POWER(Upgrades!$P$18,J282)*POWER(Upgrades!$P$19,K282)*POWER(Upgrades!$P$20,L282)*POWER(Upgrades!$P$21,M282))*(IF(Upgrades!$T$13="Local Bubble",POWER(Upgrades!$U$13,E282),1)*IF(Upgrades!$T$15="Local Bubble",POWER(Upgrades!$U$15,G282),1)*IF(Upgrades!$T$16="Local Bubble",POWER(Upgrades!$U$16,H282),1)*IF(Upgrades!$T$17="Local Bubble",POWER(Upgrades!$U$17,I282),1)*IF(Upgrades!$T$18="Local Bubble",POWER(Upgrades!$U$18,J282),1)*IF(Upgrades!$T$19="Local Bubble",POWER(Upgrades!$U$19,K282),1)*IF(Upgrades!$T$20="Local Bubble",POWER(Upgrades!$U$20,L282),1)*IF(Upgrades!$T$21="Local Bubble",POWER(Upgrades!$U$21,M282),1))*$F$6/AL282,0)</f>
        <v/>
      </c>
      <c r="BA282" s="32">
        <f>IFERROR(Upgrades!$K$15*(POWER(Upgrades!$Q$13,E282)*POWER(Upgrades!$Q$14,F282)*POWER(Upgrades!$Q$15,G282)*POWER(Upgrades!$Q$16,H282)*POWER(Upgrades!$Q$17,I282)*POWER(Upgrades!$Q$18,J282)*POWER(Upgrades!$Q$19,K282)*POWER(Upgrades!$Q$20,L282)*POWER(Upgrades!$Q$21,M282))*(IF(Upgrades!$T$13="Microlensing",POWER(Upgrades!$U$13,E282),1)*IF(Upgrades!$T$14="Microlensing",POWER(Upgrades!$U$14,F282),1)*IF(Upgrades!$T$16="Microlensing",POWER(Upgrades!$U$16,H282),1)*IF(Upgrades!$T$17="Microlensing",POWER(Upgrades!$U$17,I282),1)*IF(Upgrades!$T$18="Microlensing",POWER(Upgrades!$U$18,J282),1)*IF(Upgrades!$T$19="Microlensing",POWER(Upgrades!$U$19,K282),1)*IF(Upgrades!$T$20="Microlensing",POWER(Upgrades!$U$20,L282),1)*IF(Upgrades!$T$21="Microlensing",POWER(Upgrades!$U$21,M282),1))*$G$6*(Parameters!$B$10/60*Parameters!$B$11+Q282)/AM282,0)</f>
        <v/>
      </c>
      <c r="BB282" s="32">
        <f>IFERROR((Upgrades!$N$16*(POWER(Upgrades!$R$13,E282)*POWER(Upgrades!$R$14,F282)*POWER(Upgrades!$R$15,G282)*POWER(Upgrades!$R$16,H282)*POWER(Upgrades!$R$17,I282)*POWER(Upgrades!$R$18,J282)*POWER(Upgrades!$R$19,K282)*POWER(Upgrades!$R$20,L282)*POWER(Upgrades!$R$21,M282))*(IF(Upgrades!$T$13="Roche Lobe Overflow",POWER(Upgrades!$U$13,E282),1)*IF(Upgrades!$T$14="Roche Lobe Overflow",POWER(Upgrades!$U$14,F282),1)*IF(Upgrades!$T$15="Roche Lobe Overflow",POWER(Upgrades!$U$15,G282),1)*IF(Upgrades!$T$17="Roche Lobe Overflow",POWER(Upgrades!$U$17,I282),1)*IF(Upgrades!$T$18="Roche Lobe Overflow",POWER(Upgrades!$U$18,J282),1)*IF(Upgrades!$T$19="Roche Lobe Overflow",POWER(Upgrades!$U$19,K282),1)*IF(Upgrades!$T$20="Roche Lobe Overflow",POWER(Upgrades!$U$20,L282),1)*IF(Upgrades!$T$21="Roche Lobe Overflow",POWER(Upgrades!$U$21,M282),1))*$H$6*O282+((IF(F282=0,0,(Upgrades!$G$14+F282*Upgrades!$H$14)*POWER(Upgrades!$I$14,F282)))*(IF(Upgrades!$T$13="Local Bubble",POWER(Upgrades!$U$13,E282),1)*IF(Upgrades!$T$15="Local Bubble",POWER(Upgrades!$U$15,G282),1)*IF(Upgrades!$T$16="Local Bubble",POWER(Upgrades!$U$16,H282),1)*IF(Upgrades!$T$17="Local Bubble",POWER(Upgrades!$U$17,I282),1)*IF(Upgrades!$T$18="Local Bubble",POWER(Upgrades!$U$18,J282),1)*IF(Upgrades!$T$19="Local Bubble",POWER(Upgrades!$U$19,K282),1)*IF(Upgrades!$T$20="Local Bubble",POWER(Upgrades!$U$20,L282),1)*IF(Upgrades!$T$21="Local Bubble",POWER(Upgrades!$U$21,M282),1))*POWER(Upgrades!$P$13,E282)*POWER(Upgrades!$P$14,F282)*POWER(Upgrades!$P$15,G282)*POWER(Upgrades!$P$16,H282)*POWER(Upgrades!$P$17,I282)*POWER(Upgrades!$P$18,J282)*POWER(Upgrades!$P$19,K282)*POWER(Upgrades!$P$20,L282)*POWER(Upgrades!$P$21,M282)*$F$6)*0.05)/AN282,0)</f>
        <v/>
      </c>
      <c r="BC282" s="32">
        <f>IFERROR((Upgrades!$H$17*(POWER(Upgrades!$P$13,E282)*POWER(Upgrades!$P$14,F282)*POWER(Upgrades!$P$15,G282)*POWER(Upgrades!$P$16,H282)*POWER(Upgrades!$P$17,I282)*POWER(Upgrades!$P$18,J282)*POWER(Upgrades!$P$19,K282)*POWER(Upgrades!$P$20,L282)*POWER(Upgrades!$P$21,M282))*(IF(Upgrades!$T$13="Brown Dwarf",POWER(Upgrades!$U$13,E282),1)*IF(Upgrades!$T$14="Brown Dwarf",POWER(Upgrades!$U$14,F282),1)*IF(Upgrades!$T$15="Brown Dwarf",POWER(Upgrades!$U$15,G282),1)*IF(Upgrades!$T$16="Brown Dwarf",POWER(Upgrades!$U$16,H282),1)*IF(Upgrades!$T$18="Brown Dwarf",POWER(Upgrades!$U$18,J282),1)*IF(Upgrades!$T$19="Brown Dwarf",POWER(Upgrades!$U$19,K282),1)*IF(Upgrades!$T$20="Brown Dwarf",POWER(Upgrades!$U$20,L282),1)*IF(Upgrades!$T$21="Brown Dwarf",POWER(Upgrades!$U$21,M282),1))*$F$6+(((IF(H282=0,0,(Upgrades!$M$16+H282*Upgrades!$N$16)*POWER(Upgrades!$O$16,H282)))*(IF(Upgrades!$T$13="Roche Lobe Overflow",POWER(Upgrades!$U$13,E282),1)*IF(Upgrades!$T$14="Roche Lobe Overflow",POWER(Upgrades!$U$14,F282),1)*IF(Upgrades!$T$15="Roche Lobe Overflow",POWER(Upgrades!$U$15,G282),1)*IF(Upgrades!$T$17="Roche Lobe Overflow",POWER(Upgrades!$U$17,I282),1)*IF(Upgrades!$T$18="Roche Lobe Overflow",POWER(Upgrades!$U$18,J282),1)*IF(Upgrades!$T$19="Roche Lobe Overflow",POWER(Upgrades!$U$19,K282),1)*IF(Upgrades!$T$20="Roche Lobe Overflow",POWER(Upgrades!$U$20,L282),1)*IF(Upgrades!$T$21="Roche Lobe Overflow",POWER(Upgrades!$U$21,M282),1))*POWER(Upgrades!$R$13,E282)*POWER(Upgrades!$R$14,F282)*POWER(Upgrades!$R$15,G282)*POWER(Upgrades!$R$16,H282)*POWER(Upgrades!$R$17,I282)*POWER(Upgrades!$R$18,J282)*POWER(Upgrades!$R$19,K282)*POWER(Upgrades!$R$20,L282)*POWER(Upgrades!$R$21,M282)*$H$6)*O282)*0.10)/AO282,0)</f>
        <v/>
      </c>
      <c r="BD282" s="32">
        <f>MAX(IF(J282&gt;0,0,IFERROR(0.5*((IF(G282=0,0,(Upgrades!$J$15+G282*Upgrades!$K$15)*POWER(Upgrades!$L$15,G282)))*(IF(Upgrades!$T$13="Microlensing",POWER(Upgrades!$U$13,E282),1)*IF(Upgrades!$T$14="Microlensing",POWER(Upgrades!$U$14,F282),1)*IF(Upgrades!$T$16="Microlensing",POWER(Upgrades!$U$16,H282),1)*IF(Upgrades!$T$17="Microlensing",POWER(Upgrades!$U$17,I282),1)*IF(Upgrades!$T$18="Microlensing",POWER(Upgrades!$U$18,J282),1)*IF(Upgrades!$T$19="Microlensing",POWER(Upgrades!$U$19,K282),1)*IF(Upgrades!$T$20="Microlensing",POWER(Upgrades!$U$20,L282),1)*IF(Upgrades!$T$21="Microlensing",POWER(Upgrades!$U$21,M282),1))*(POWER(Upgrades!$Q$13,E282)*POWER(Upgrades!$Q$14,F282)*POWER(Upgrades!$Q$15,G282)*POWER(Upgrades!$Q$16,H282)*POWER(Upgrades!$Q$17,I282)*POWER(Upgrades!$Q$18,J282)*POWER(Upgrades!$Q$19,K282)*POWER(Upgrades!$Q$20,L282)*POWER(Upgrades!$Q$21,M282))*$G$6*(Parameters!$B$10/60*Parameters!$B$11+Q282))/Upgrades!$C$18,0)),IF(K282&gt;0,0,IFERROR(0.30*P282/Upgrades!$C$19,0)),IF(L282&gt;0,0,IFERROR(0.0001/Upgrades!$C$20,0)),IF(M282&gt;0,0,IFERROR((6.0*(POWER(Upgrades!$P$13,E282)*POWER(Upgrades!$P$14,F282)*POWER(Upgrades!$P$15,G282)*POWER(Upgrades!$P$16,H282)*POWER(Upgrades!$P$17,I282)*POWER(Upgrades!$P$18,J282)*POWER(Upgrades!$P$19,K282)*POWER(Upgrades!$P$20,L282)*POWER(Upgrades!$P$21,M282))*$F$6+0.20*O282*(Parameters!$B$10/60*Parameters!$B$11+Q282))/Upgrades!$C$21,0)),IF(AND(ISNUMBER(AK282),AK282&gt;(C282+T282)),AY282,0),IF(AND(ISNUMBER(AL282),AL282&gt;(C282+T282)),AZ282,0),IF(AND(ISNUMBER(AM282),AM282&gt;(C282+T282)),BA282,0),IF(AND(ISNUMBER(AN282),AN282&gt;(C282+T282)),BB282,0),IF(AND(ISNUMBER(AO282),AO282&gt;(C282+T282)),BC282,0))</f>
        <v/>
      </c>
      <c r="BE282" s="29">
        <f>IF(AT282=1,"transition",IF(MIN(IF(AND(J282=0,ISNUMBER(AP282),AP282&lt;=(C282+T282)),AP282,9E15),IF(AND(K282=0,ISNUMBER(AQ282),AQ282&lt;=(C282+T282)),AQ282,9E15),IF(AND(L282=0,ISNUMBER(AR282),AR282&lt;=(C282+T282)),AR282,9E15),IF(AND(M282=0,ISNUMBER(AS282),AS282&lt;=(C282+T282)),AS282,9E15))&lt;9E15,IF(AND(AND(J282=0,ISNUMBER(AP282),AP282&lt;=(C282+T282)),AP282=MIN(IF(AND(J282=0,ISNUMBER(AP282),AP282&lt;=(C282+T282)),AP282,9E15),IF(AND(K282=0,ISNUMBER(AQ282),AQ282&lt;=(C282+T282)),AQ282,9E15),IF(AND(L282=0,ISNUMBER(AR282),AR282&lt;=(C282+T282)),AR282,9E15),IF(AND(M282=0,ISNUMBER(AS282),AS282&lt;=(C282+T282)),AS282,9E15))),"BiP",IF(AND(AND(K282=0,ISNUMBER(AQ282),AQ282&lt;=(C282+T282)),AQ282=MIN(IF(AND(J282=0,ISNUMBER(AP282),AP282&lt;=(C282+T282)),AP282,9E15),IF(AND(K282=0,ISNUMBER(AQ282),AQ282&lt;=(C282+T282)),AQ282,9E15),IF(AND(L282=0,ISNUMBER(AR282),AR282&lt;=(C282+T282)),AR282,9E15),IF(AND(M282=0,ISNUMBER(AS282),AS282&lt;=(C282+T282)),AS282,9E15))),"PV",IF(AND(AND(L282=0,ISNUMBER(AR282),AR282&lt;=(C282+T282)),AR282=MIN(IF(AND(J282=0,ISNUMBER(AP282),AP282&lt;=(C282+T282)),AP282,9E15),IF(AND(K282=0,ISNUMBER(AQ282),AQ282&lt;=(C282+T282)),AQ282,9E15),IF(AND(L282=0,ISNUMBER(AR282),AR282&lt;=(C282+T282)),AR282,9E15),IF(AND(M282=0,ISNUMBER(AS282),AS282&lt;=(C282+T282)),AS282,9E15))),"OC","MG"))),IF(AX282=TRUE,"",IF(MAX(IF(AND(NOT(AND(AU282=1,AT282&lt;&gt;1)),ISNUMBER(AK282),AK282&lt;=(C282+T282)),AY282,0),IF(AND(NOT(AND(AU282=1,AT282&lt;&gt;1)),ISNUMBER(AL282),AL282&lt;=(C282+T282)),AZ282,0),IF(AND(NOT(AND(AU282=1,AT282&lt;&gt;1)),ISNUMBER(AM282),AM282&lt;=(C282+T282)),BA282,0),IF(AND(NOT(AND(AU282=1,AT282&lt;&gt;1)),ISNUMBER(AN282),AN282&lt;=(C282+T282)),BB282,0),IF(AND(ISNUMBER(AO282),AO282&lt;=(C282+T282)),BC282,0))&lt;=0,"",IF(AND(IF(AND(NOT(AND(AU282=1,AT282&lt;&gt;1)),ISNUMBER(AK282),AK282&lt;=(C282+T282)),AY282,0)&gt;0,IF(AND(NOT(AND(AU282=1,AT282&lt;&gt;1)),ISNUMBER(AK282),AK282&lt;=(C282+T282)),AY282,0)=MAX(IF(AND(NOT(AND(AU282=1,AT282&lt;&gt;1)),ISNUMBER(AK282),AK282&lt;=(C282+T282)),AY282,0),IF(AND(NOT(AND(AU282=1,AT282&lt;&gt;1)),ISNUMBER(AL282),AL282&lt;=(C282+T282)),AZ282,0),IF(AND(NOT(AND(AU282=1,AT282&lt;&gt;1)),ISNUMBER(AM282),AM282&lt;=(C282+T282)),BA282,0),IF(AND(NOT(AND(AU282=1,AT282&lt;&gt;1)),ISNUMBER(AN282),AN282&lt;=(C282+T282)),BB282,0),IF(AND(ISNUMBER(AO282),AO282&lt;=(C282+T282)),BC282,0))),"SK",IF(AND(IF(AND(NOT(AND(AU282=1,AT282&lt;&gt;1)),ISNUMBER(AL282),AL282&lt;=(C282+T282)),AZ282,0)&gt;0,IF(AND(NOT(AND(AU282=1,AT282&lt;&gt;1)),ISNUMBER(AL282),AL282&lt;=(C282+T282)),AZ282,0)=MAX(IF(AND(NOT(AND(AU282=1,AT282&lt;&gt;1)),ISNUMBER(AK282),AK282&lt;=(C282+T282)),AY282,0),IF(AND(NOT(AND(AU282=1,AT282&lt;&gt;1)),ISNUMBER(AL282),AL282&lt;=(C282+T282)),AZ282,0),IF(AND(NOT(AND(AU282=1,AT282&lt;&gt;1)),ISNUMBER(AM282),AM282&lt;=(C282+T282)),BA282,0),IF(AND(NOT(AND(AU282=1,AT282&lt;&gt;1)),ISNUMBER(AN282),AN282&lt;=(C282+T282)),BB282,0),IF(AND(ISNUMBER(AO282),AO282&lt;=(C282+T282)),BC282,0))),"LB",IF(AND(IF(AND(NOT(AND(AU282=1,AT282&lt;&gt;1)),ISNUMBER(AM282),AM282&lt;=(C282+T282)),BA282,0)&gt;0,IF(AND(NOT(AND(AU282=1,AT282&lt;&gt;1)),ISNUMBER(AM282),AM282&lt;=(C282+T282)),BA282,0)=MAX(IF(AND(NOT(AND(AU282=1,AT282&lt;&gt;1)),ISNUMBER(AK282),AK282&lt;=(C282+T282)),AY282,0),IF(AND(NOT(AND(AU282=1,AT282&lt;&gt;1)),ISNUMBER(AL282),AL282&lt;=(C282+T282)),AZ282,0),IF(AND(NOT(AND(AU282=1,AT282&lt;&gt;1)),ISNUMBER(AM282),AM282&lt;=(C282+T282)),BA282,0),IF(AND(NOT(AND(AU282=1,AT282&lt;&gt;1)),ISNUMBER(AN282),AN282&lt;=(C282+T282)),BB282,0),IF(AND(ISNUMBER(AO282),AO282&lt;=(C282+T282)),BC282,0))),"ML",IF(AND(IF(AND(NOT(AND(AU282=1,AT282&lt;&gt;1)),ISNUMBER(AN282),AN282&lt;=(C282+T282)),BB282,0)&gt;0,IF(AND(NOT(AND(AU282=1,AT282&lt;&gt;1)),ISNUMBER(AN282),AN282&lt;=(C282+T282)),BB282,0)=MAX(IF(AND(NOT(AND(AU282=1,AT282&lt;&gt;1)),ISNUMBER(AK282),AK282&lt;=(C282+T282)),AY282,0),IF(AND(NOT(AND(AU282=1,AT282&lt;&gt;1)),ISNUMBER(AL282),AL282&lt;=(C282+T282)),AZ282,0),IF(AND(NOT(AND(AU282=1,AT282&lt;&gt;1)),ISNUMBER(AM282),AM282&lt;=(C282+T282)),BA282,0),IF(AND(NOT(AND(AU282=1,AT282&lt;&gt;1)),ISNUMBER(AN282),AN282&lt;=(C282+T282)),BB282,0),IF(AND(ISNUMBER(AO282),AO282&lt;=(C282+T282)),BC282,0))),"RLO","BD"))))))))</f>
        <v/>
      </c>
    </row>
    <row r="283">
      <c r="A283" s="26" t="n">
        <v>272</v>
      </c>
      <c r="B283" s="27">
        <f>A283*10/60</f>
        <v/>
      </c>
      <c r="C283" s="22">
        <f>X282</f>
        <v/>
      </c>
      <c r="D283" s="27">
        <f>D282+W282</f>
        <v/>
      </c>
      <c r="E283" s="26">
        <f>E282+IF(U282="SK",1,0)</f>
        <v/>
      </c>
      <c r="F283" s="26">
        <f>F282+IF(U282="LB",1,0)</f>
        <v/>
      </c>
      <c r="G283" s="26">
        <f>G282+IF(U282="ML",1,0)</f>
        <v/>
      </c>
      <c r="H283" s="26">
        <f>H282+IF(U282="RLO",1,0)</f>
        <v/>
      </c>
      <c r="I283" s="26">
        <f>I282+IF(U282="BD",1,0)</f>
        <v/>
      </c>
      <c r="J283" s="26">
        <f>MAX(J282,IF(U282="BiP",1,0))</f>
        <v/>
      </c>
      <c r="K283" s="26">
        <f>MAX(K282,IF(U282="PV",1,0))</f>
        <v/>
      </c>
      <c r="L283" s="26">
        <f>MAX(L282,IF(U282="OC",1,0))</f>
        <v/>
      </c>
      <c r="M283" s="26">
        <f>MAX(M282,IF(U282="MG",1,0))</f>
        <v/>
      </c>
      <c r="N283" s="26">
        <f>MAX(N282,IF(U282="transition",1,0))</f>
        <v/>
      </c>
      <c r="O283" s="28">
        <f>(Parameters!$B$9+(IF(E283=0,0,(Upgrades!$J$13+E283*Upgrades!$K$13)*POWER(Upgrades!$L$13,E283)))*(IF(Upgrades!$T$14="Stellar Kinematics",POWER(Upgrades!$U$14,F283),1)*IF(Upgrades!$T$15="Stellar Kinematics",POWER(Upgrades!$U$15,G283),1)*IF(Upgrades!$T$16="Stellar Kinematics",POWER(Upgrades!$U$16,H283),1)*IF(Upgrades!$T$17="Stellar Kinematics",POWER(Upgrades!$U$17,I283),1)*IF(Upgrades!$T$18="Stellar Kinematics",POWER(Upgrades!$U$18,J283),1)*IF(Upgrades!$T$19="Stellar Kinematics",POWER(Upgrades!$U$19,K283),1)*IF(Upgrades!$T$20="Stellar Kinematics",POWER(Upgrades!$U$20,L283),1)*IF(Upgrades!$T$21="Stellar Kinematics",POWER(Upgrades!$U$21,M283),1))+(IF(F283=0,0,(Upgrades!$J$14+F283*Upgrades!$K$14)*POWER(Upgrades!$L$14,F283)))*(IF(Upgrades!$T$13="Local Bubble",POWER(Upgrades!$U$13,E283),1)*IF(Upgrades!$T$15="Local Bubble",POWER(Upgrades!$U$15,G283),1)*IF(Upgrades!$T$16="Local Bubble",POWER(Upgrades!$U$16,H283),1)*IF(Upgrades!$T$17="Local Bubble",POWER(Upgrades!$U$17,I283),1)*IF(Upgrades!$T$18="Local Bubble",POWER(Upgrades!$U$18,J283),1)*IF(Upgrades!$T$19="Local Bubble",POWER(Upgrades!$U$19,K283),1)*IF(Upgrades!$T$20="Local Bubble",POWER(Upgrades!$U$20,L283),1)*IF(Upgrades!$T$21="Local Bubble",POWER(Upgrades!$U$21,M283),1))+(IF(G283=0,0,(Upgrades!$J$15+G283*Upgrades!$K$15)*POWER(Upgrades!$L$15,G283)))*(IF(Upgrades!$T$13="Microlensing",POWER(Upgrades!$U$13,E283),1)*IF(Upgrades!$T$14="Microlensing",POWER(Upgrades!$U$14,F283),1)*IF(Upgrades!$T$16="Microlensing",POWER(Upgrades!$U$16,H283),1)*IF(Upgrades!$T$17="Microlensing",POWER(Upgrades!$U$17,I283),1)*IF(Upgrades!$T$18="Microlensing",POWER(Upgrades!$U$18,J283),1)*IF(Upgrades!$T$19="Microlensing",POWER(Upgrades!$U$19,K283),1)*IF(Upgrades!$T$20="Microlensing",POWER(Upgrades!$U$20,L283),1)*IF(Upgrades!$T$21="Microlensing",POWER(Upgrades!$U$21,M283),1))+(IF(H283=0,0,(Upgrades!$J$16+H283*Upgrades!$K$16)*POWER(Upgrades!$L$16,H283)))*(IF(Upgrades!$T$13="Roche Lobe Overflow",POWER(Upgrades!$U$13,E283),1)*IF(Upgrades!$T$14="Roche Lobe Overflow",POWER(Upgrades!$U$14,F283),1)*IF(Upgrades!$T$15="Roche Lobe Overflow",POWER(Upgrades!$U$15,G283),1)*IF(Upgrades!$T$17="Roche Lobe Overflow",POWER(Upgrades!$U$17,I283),1)*IF(Upgrades!$T$18="Roche Lobe Overflow",POWER(Upgrades!$U$18,J283),1)*IF(Upgrades!$T$19="Roche Lobe Overflow",POWER(Upgrades!$U$19,K283),1)*IF(Upgrades!$T$20="Roche Lobe Overflow",POWER(Upgrades!$U$20,L283),1)*IF(Upgrades!$T$21="Roche Lobe Overflow",POWER(Upgrades!$U$21,M283),1))+(IF(I283=0,0,(Upgrades!$J$17+I283*Upgrades!$K$17)*POWER(Upgrades!$L$17,I283)))*(IF(Upgrades!$T$13="Brown Dwarf",POWER(Upgrades!$U$13,E283),1)*IF(Upgrades!$T$14="Brown Dwarf",POWER(Upgrades!$U$14,F283),1)*IF(Upgrades!$T$15="Brown Dwarf",POWER(Upgrades!$U$15,G283),1)*IF(Upgrades!$T$16="Brown Dwarf",POWER(Upgrades!$U$16,H283),1)*IF(Upgrades!$T$18="Brown Dwarf",POWER(Upgrades!$U$18,J283),1)*IF(Upgrades!$T$19="Brown Dwarf",POWER(Upgrades!$U$19,K283),1)*IF(Upgrades!$T$20="Brown Dwarf",POWER(Upgrades!$U$20,L283),1)*IF(Upgrades!$T$21="Brown Dwarf",POWER(Upgrades!$U$21,M283),1))+(IF(J283=0,0,(Upgrades!$J$18+J283*Upgrades!$K$18)*POWER(Upgrades!$L$18,J283)))*(IF(Upgrades!$T$13="Binary Partner",POWER(Upgrades!$U$13,E283),1)*IF(Upgrades!$T$14="Binary Partner",POWER(Upgrades!$U$14,F283),1)*IF(Upgrades!$T$15="Binary Partner",POWER(Upgrades!$U$15,G283),1)*IF(Upgrades!$T$16="Binary Partner",POWER(Upgrades!$U$16,H283),1)*IF(Upgrades!$T$17="Binary Partner",POWER(Upgrades!$U$17,I283),1)*IF(Upgrades!$T$19="Binary Partner",POWER(Upgrades!$U$19,K283),1)*IF(Upgrades!$T$20="Binary Partner",POWER(Upgrades!$U$20,L283),1)*IF(Upgrades!$T$21="Binary Partner",POWER(Upgrades!$U$21,M283),1))+(IF(K283=0,0,(Upgrades!$J$19+K283*Upgrades!$K$19)*POWER(Upgrades!$L$19,K283)))*(IF(Upgrades!$T$13="Peculiar Velocity",POWER(Upgrades!$U$13,E283),1)*IF(Upgrades!$T$14="Peculiar Velocity",POWER(Upgrades!$U$14,F283),1)*IF(Upgrades!$T$15="Peculiar Velocity",POWER(Upgrades!$U$15,G283),1)*IF(Upgrades!$T$16="Peculiar Velocity",POWER(Upgrades!$U$16,H283),1)*IF(Upgrades!$T$17="Peculiar Velocity",POWER(Upgrades!$U$17,I283),1)*IF(Upgrades!$T$18="Peculiar Velocity",POWER(Upgrades!$U$18,J283),1)*IF(Upgrades!$T$20="Peculiar Velocity",POWER(Upgrades!$U$20,L283),1)*IF(Upgrades!$T$21="Peculiar Velocity",POWER(Upgrades!$U$21,M283),1))+(IF(L283=0,0,(Upgrades!$J$20+L283*Upgrades!$K$20)*POWER(Upgrades!$L$20,L283)))*(IF(Upgrades!$T$13="Open Cluster",POWER(Upgrades!$U$13,E283),1)*IF(Upgrades!$T$14="Open Cluster",POWER(Upgrades!$U$14,F283),1)*IF(Upgrades!$T$15="Open Cluster",POWER(Upgrades!$U$15,G283),1)*IF(Upgrades!$T$16="Open Cluster",POWER(Upgrades!$U$16,H283),1)*IF(Upgrades!$T$17="Open Cluster",POWER(Upgrades!$U$17,I283),1)*IF(Upgrades!$T$18="Open Cluster",POWER(Upgrades!$U$18,J283),1)*IF(Upgrades!$T$19="Open Cluster",POWER(Upgrades!$U$19,K283),1)*IF(Upgrades!$T$21="Open Cluster",POWER(Upgrades!$U$21,M283),1))+(IF(M283=0,0,(Upgrades!$J$21+M283*Upgrades!$K$21)*POWER(Upgrades!$L$21,M283)))*(IF(Upgrades!$T$13="Moving Group",POWER(Upgrades!$U$13,E283),1)*IF(Upgrades!$T$14="Moving Group",POWER(Upgrades!$U$14,F283),1)*IF(Upgrades!$T$15="Moving Group",POWER(Upgrades!$U$15,G283),1)*IF(Upgrades!$T$16="Moving Group",POWER(Upgrades!$U$16,H283),1)*IF(Upgrades!$T$17="Moving Group",POWER(Upgrades!$U$17,I283),1)*IF(Upgrades!$T$18="Moving Group",POWER(Upgrades!$U$18,J283),1)*IF(Upgrades!$T$19="Moving Group",POWER(Upgrades!$U$19,K283),1)*IF(Upgrades!$T$20="Moving Group",POWER(Upgrades!$U$20,L283),1)))*POWER(Upgrades!$Q$13,E283)*POWER(Upgrades!$Q$14,F283)*POWER(Upgrades!$Q$15,G283)*POWER(Upgrades!$Q$16,H283)*POWER(Upgrades!$Q$17,I283)*POWER(Upgrades!$Q$18,J283)*POWER(Upgrades!$Q$19,K283)*POWER(Upgrades!$Q$20,L283)*POWER(Upgrades!$Q$21,M283)*$G$6+$D$6</f>
        <v/>
      </c>
      <c r="P283" s="28">
        <f>((IF(E283=0,0,(Upgrades!$G$13+E283*Upgrades!$H$13)*POWER(Upgrades!$I$13,E283)))*(IF(Upgrades!$T$14="Stellar Kinematics",POWER(Upgrades!$U$14,F283),1)*IF(Upgrades!$T$15="Stellar Kinematics",POWER(Upgrades!$U$15,G283),1)*IF(Upgrades!$T$16="Stellar Kinematics",POWER(Upgrades!$U$16,H283),1)*IF(Upgrades!$T$17="Stellar Kinematics",POWER(Upgrades!$U$17,I283),1)*IF(Upgrades!$T$18="Stellar Kinematics",POWER(Upgrades!$U$18,J283),1)*IF(Upgrades!$T$19="Stellar Kinematics",POWER(Upgrades!$U$19,K283),1)*IF(Upgrades!$T$20="Stellar Kinematics",POWER(Upgrades!$U$20,L283),1)*IF(Upgrades!$T$21="Stellar Kinematics",POWER(Upgrades!$U$21,M283),1))+(IF(F283=0,0,(Upgrades!$G$14+F283*Upgrades!$H$14)*POWER(Upgrades!$I$14,F283)))*(IF(Upgrades!$T$13="Local Bubble",POWER(Upgrades!$U$13,E283),1)*IF(Upgrades!$T$15="Local Bubble",POWER(Upgrades!$U$15,G283),1)*IF(Upgrades!$T$16="Local Bubble",POWER(Upgrades!$U$16,H283),1)*IF(Upgrades!$T$17="Local Bubble",POWER(Upgrades!$U$17,I283),1)*IF(Upgrades!$T$18="Local Bubble",POWER(Upgrades!$U$18,J283),1)*IF(Upgrades!$T$19="Local Bubble",POWER(Upgrades!$U$19,K283),1)*IF(Upgrades!$T$20="Local Bubble",POWER(Upgrades!$U$20,L283),1)*IF(Upgrades!$T$21="Local Bubble",POWER(Upgrades!$U$21,M283),1))+(IF(G283=0,0,(Upgrades!$G$15+G283*Upgrades!$H$15)*POWER(Upgrades!$I$15,G283)))*(IF(Upgrades!$T$13="Microlensing",POWER(Upgrades!$U$13,E283),1)*IF(Upgrades!$T$14="Microlensing",POWER(Upgrades!$U$14,F283),1)*IF(Upgrades!$T$16="Microlensing",POWER(Upgrades!$U$16,H283),1)*IF(Upgrades!$T$17="Microlensing",POWER(Upgrades!$U$17,I283),1)*IF(Upgrades!$T$18="Microlensing",POWER(Upgrades!$U$18,J283),1)*IF(Upgrades!$T$19="Microlensing",POWER(Upgrades!$U$19,K283),1)*IF(Upgrades!$T$20="Microlensing",POWER(Upgrades!$U$20,L283),1)*IF(Upgrades!$T$21="Microlensing",POWER(Upgrades!$U$21,M283),1))+(IF(H283=0,0,(Upgrades!$G$16+H283*Upgrades!$H$16)*POWER(Upgrades!$I$16,H283)))*(IF(Upgrades!$T$13="Roche Lobe Overflow",POWER(Upgrades!$U$13,E283),1)*IF(Upgrades!$T$14="Roche Lobe Overflow",POWER(Upgrades!$U$14,F283),1)*IF(Upgrades!$T$15="Roche Lobe Overflow",POWER(Upgrades!$U$15,G283),1)*IF(Upgrades!$T$17="Roche Lobe Overflow",POWER(Upgrades!$U$17,I283),1)*IF(Upgrades!$T$18="Roche Lobe Overflow",POWER(Upgrades!$U$18,J283),1)*IF(Upgrades!$T$19="Roche Lobe Overflow",POWER(Upgrades!$U$19,K283),1)*IF(Upgrades!$T$20="Roche Lobe Overflow",POWER(Upgrades!$U$20,L283),1)*IF(Upgrades!$T$21="Roche Lobe Overflow",POWER(Upgrades!$U$21,M283),1))+(IF(I283=0,0,(Upgrades!$G$17+I283*Upgrades!$H$17)*POWER(Upgrades!$I$17,I283)))*(IF(Upgrades!$T$13="Brown Dwarf",POWER(Upgrades!$U$13,E283),1)*IF(Upgrades!$T$14="Brown Dwarf",POWER(Upgrades!$U$14,F283),1)*IF(Upgrades!$T$15="Brown Dwarf",POWER(Upgrades!$U$15,G283),1)*IF(Upgrades!$T$16="Brown Dwarf",POWER(Upgrades!$U$16,H283),1)*IF(Upgrades!$T$18="Brown Dwarf",POWER(Upgrades!$U$18,J283),1)*IF(Upgrades!$T$19="Brown Dwarf",POWER(Upgrades!$U$19,K283),1)*IF(Upgrades!$T$20="Brown Dwarf",POWER(Upgrades!$U$20,L283),1)*IF(Upgrades!$T$21="Brown Dwarf",POWER(Upgrades!$U$21,M283),1))+(IF(J283=0,0,(Upgrades!$G$18+J283*Upgrades!$H$18)*POWER(Upgrades!$I$18,J283)))*(IF(Upgrades!$T$13="Binary Partner",POWER(Upgrades!$U$13,E283),1)*IF(Upgrades!$T$14="Binary Partner",POWER(Upgrades!$U$14,F283),1)*IF(Upgrades!$T$15="Binary Partner",POWER(Upgrades!$U$15,G283),1)*IF(Upgrades!$T$16="Binary Partner",POWER(Upgrades!$U$16,H283),1)*IF(Upgrades!$T$17="Binary Partner",POWER(Upgrades!$U$17,I283),1)*IF(Upgrades!$T$19="Binary Partner",POWER(Upgrades!$U$19,K283),1)*IF(Upgrades!$T$20="Binary Partner",POWER(Upgrades!$U$20,L283),1)*IF(Upgrades!$T$21="Binary Partner",POWER(Upgrades!$U$21,M283),1))+(IF(K283=0,0,(Upgrades!$G$19+K283*Upgrades!$H$19)*POWER(Upgrades!$I$19,K283)))*(IF(Upgrades!$T$13="Peculiar Velocity",POWER(Upgrades!$U$13,E283),1)*IF(Upgrades!$T$14="Peculiar Velocity",POWER(Upgrades!$U$14,F283),1)*IF(Upgrades!$T$15="Peculiar Velocity",POWER(Upgrades!$U$15,G283),1)*IF(Upgrades!$T$16="Peculiar Velocity",POWER(Upgrades!$U$16,H283),1)*IF(Upgrades!$T$17="Peculiar Velocity",POWER(Upgrades!$U$17,I283),1)*IF(Upgrades!$T$18="Peculiar Velocity",POWER(Upgrades!$U$18,J283),1)*IF(Upgrades!$T$20="Peculiar Velocity",POWER(Upgrades!$U$20,L283),1)*IF(Upgrades!$T$21="Peculiar Velocity",POWER(Upgrades!$U$21,M283),1))+(IF(L283=0,0,(Upgrades!$G$20+L283*Upgrades!$H$20)*POWER(Upgrades!$I$20,L283)))*(IF(Upgrades!$T$13="Open Cluster",POWER(Upgrades!$U$13,E283),1)*IF(Upgrades!$T$14="Open Cluster",POWER(Upgrades!$U$14,F283),1)*IF(Upgrades!$T$15="Open Cluster",POWER(Upgrades!$U$15,G283),1)*IF(Upgrades!$T$16="Open Cluster",POWER(Upgrades!$U$16,H283),1)*IF(Upgrades!$T$17="Open Cluster",POWER(Upgrades!$U$17,I283),1)*IF(Upgrades!$T$18="Open Cluster",POWER(Upgrades!$U$18,J283),1)*IF(Upgrades!$T$19="Open Cluster",POWER(Upgrades!$U$19,K283),1)*IF(Upgrades!$T$21="Open Cluster",POWER(Upgrades!$U$21,M283),1))+(IF(M283=0,0,(Upgrades!$G$21+M283*Upgrades!$H$21)*POWER(Upgrades!$I$21,M283)))*(IF(Upgrades!$T$13="Moving Group",POWER(Upgrades!$U$13,E283),1)*IF(Upgrades!$T$14="Moving Group",POWER(Upgrades!$U$14,F283),1)*IF(Upgrades!$T$15="Moving Group",POWER(Upgrades!$U$15,G283),1)*IF(Upgrades!$T$16="Moving Group",POWER(Upgrades!$U$16,H283),1)*IF(Upgrades!$T$17="Moving Group",POWER(Upgrades!$U$17,I283),1)*IF(Upgrades!$T$18="Moving Group",POWER(Upgrades!$U$18,J283),1)*IF(Upgrades!$T$19="Moving Group",POWER(Upgrades!$U$19,K283),1)*IF(Upgrades!$T$20="Moving Group",POWER(Upgrades!$U$20,L283),1)))*POWER(Upgrades!$P$13,E283)*POWER(Upgrades!$P$14,F283)*POWER(Upgrades!$P$15,G283)*POWER(Upgrades!$P$16,H283)*POWER(Upgrades!$P$17,I283)*POWER(Upgrades!$P$18,J283)*POWER(Upgrades!$P$19,K283)*POWER(Upgrades!$P$20,L283)*POWER(Upgrades!$P$21,M283)*$F$6+$C$6</f>
        <v/>
      </c>
      <c r="Q283" s="28">
        <f>((IF(E283=0,0,(Upgrades!$M$13+E283*Upgrades!$N$13)*POWER(Upgrades!$O$13,E283)))*(IF(Upgrades!$T$14="Stellar Kinematics",POWER(Upgrades!$U$14,F283),1)*IF(Upgrades!$T$15="Stellar Kinematics",POWER(Upgrades!$U$15,G283),1)*IF(Upgrades!$T$16="Stellar Kinematics",POWER(Upgrades!$U$16,H283),1)*IF(Upgrades!$T$17="Stellar Kinematics",POWER(Upgrades!$U$17,I283),1)*IF(Upgrades!$T$18="Stellar Kinematics",POWER(Upgrades!$U$18,J283),1)*IF(Upgrades!$T$19="Stellar Kinematics",POWER(Upgrades!$U$19,K283),1)*IF(Upgrades!$T$20="Stellar Kinematics",POWER(Upgrades!$U$20,L283),1)*IF(Upgrades!$T$21="Stellar Kinematics",POWER(Upgrades!$U$21,M283),1))+(IF(F283=0,0,(Upgrades!$M$14+F283*Upgrades!$N$14)*POWER(Upgrades!$O$14,F283)))*(IF(Upgrades!$T$13="Local Bubble",POWER(Upgrades!$U$13,E283),1)*IF(Upgrades!$T$15="Local Bubble",POWER(Upgrades!$U$15,G283),1)*IF(Upgrades!$T$16="Local Bubble",POWER(Upgrades!$U$16,H283),1)*IF(Upgrades!$T$17="Local Bubble",POWER(Upgrades!$U$17,I283),1)*IF(Upgrades!$T$18="Local Bubble",POWER(Upgrades!$U$18,J283),1)*IF(Upgrades!$T$19="Local Bubble",POWER(Upgrades!$U$19,K283),1)*IF(Upgrades!$T$20="Local Bubble",POWER(Upgrades!$U$20,L283),1)*IF(Upgrades!$T$21="Local Bubble",POWER(Upgrades!$U$21,M283),1))+(IF(G283=0,0,(Upgrades!$M$15+G283*Upgrades!$N$15)*POWER(Upgrades!$O$15,G283)))*(IF(Upgrades!$T$13="Microlensing",POWER(Upgrades!$U$13,E283),1)*IF(Upgrades!$T$14="Microlensing",POWER(Upgrades!$U$14,F283),1)*IF(Upgrades!$T$16="Microlensing",POWER(Upgrades!$U$16,H283),1)*IF(Upgrades!$T$17="Microlensing",POWER(Upgrades!$U$17,I283),1)*IF(Upgrades!$T$18="Microlensing",POWER(Upgrades!$U$18,J283),1)*IF(Upgrades!$T$19="Microlensing",POWER(Upgrades!$U$19,K283),1)*IF(Upgrades!$T$20="Microlensing",POWER(Upgrades!$U$20,L283),1)*IF(Upgrades!$T$21="Microlensing",POWER(Upgrades!$U$21,M283),1))+(IF(H283=0,0,(Upgrades!$M$16+H283*Upgrades!$N$16)*POWER(Upgrades!$O$16,H283)))*(IF(Upgrades!$T$13="Roche Lobe Overflow",POWER(Upgrades!$U$13,E283),1)*IF(Upgrades!$T$14="Roche Lobe Overflow",POWER(Upgrades!$U$14,F283),1)*IF(Upgrades!$T$15="Roche Lobe Overflow",POWER(Upgrades!$U$15,G283),1)*IF(Upgrades!$T$17="Roche Lobe Overflow",POWER(Upgrades!$U$17,I283),1)*IF(Upgrades!$T$18="Roche Lobe Overflow",POWER(Upgrades!$U$18,J283),1)*IF(Upgrades!$T$19="Roche Lobe Overflow",POWER(Upgrades!$U$19,K283),1)*IF(Upgrades!$T$20="Roche Lobe Overflow",POWER(Upgrades!$U$20,L283),1)*IF(Upgrades!$T$21="Roche Lobe Overflow",POWER(Upgrades!$U$21,M283),1))+(IF(I283=0,0,(Upgrades!$M$17+I283*Upgrades!$N$17)*POWER(Upgrades!$O$17,I283)))*(IF(Upgrades!$T$13="Brown Dwarf",POWER(Upgrades!$U$13,E283),1)*IF(Upgrades!$T$14="Brown Dwarf",POWER(Upgrades!$U$14,F283),1)*IF(Upgrades!$T$15="Brown Dwarf",POWER(Upgrades!$U$15,G283),1)*IF(Upgrades!$T$16="Brown Dwarf",POWER(Upgrades!$U$16,H283),1)*IF(Upgrades!$T$18="Brown Dwarf",POWER(Upgrades!$U$18,J283),1)*IF(Upgrades!$T$19="Brown Dwarf",POWER(Upgrades!$U$19,K283),1)*IF(Upgrades!$T$20="Brown Dwarf",POWER(Upgrades!$U$20,L283),1)*IF(Upgrades!$T$21="Brown Dwarf",POWER(Upgrades!$U$21,M283),1))+(IF(J283=0,0,(Upgrades!$M$18+J283*Upgrades!$N$18)*POWER(Upgrades!$O$18,J283)))*(IF(Upgrades!$T$13="Binary Partner",POWER(Upgrades!$U$13,E283),1)*IF(Upgrades!$T$14="Binary Partner",POWER(Upgrades!$U$14,F283),1)*IF(Upgrades!$T$15="Binary Partner",POWER(Upgrades!$U$15,G283),1)*IF(Upgrades!$T$16="Binary Partner",POWER(Upgrades!$U$16,H283),1)*IF(Upgrades!$T$17="Binary Partner",POWER(Upgrades!$U$17,I283),1)*IF(Upgrades!$T$19="Binary Partner",POWER(Upgrades!$U$19,K283),1)*IF(Upgrades!$T$20="Binary Partner",POWER(Upgrades!$U$20,L283),1)*IF(Upgrades!$T$21="Binary Partner",POWER(Upgrades!$U$21,M283),1))+(IF(K283=0,0,(Upgrades!$M$19+K283*Upgrades!$N$19)*POWER(Upgrades!$O$19,K283)))*(IF(Upgrades!$T$13="Peculiar Velocity",POWER(Upgrades!$U$13,E283),1)*IF(Upgrades!$T$14="Peculiar Velocity",POWER(Upgrades!$U$14,F283),1)*IF(Upgrades!$T$15="Peculiar Velocity",POWER(Upgrades!$U$15,G283),1)*IF(Upgrades!$T$16="Peculiar Velocity",POWER(Upgrades!$U$16,H283),1)*IF(Upgrades!$T$17="Peculiar Velocity",POWER(Upgrades!$U$17,I283),1)*IF(Upgrades!$T$18="Peculiar Velocity",POWER(Upgrades!$U$18,J283),1)*IF(Upgrades!$T$20="Peculiar Velocity",POWER(Upgrades!$U$20,L283),1)*IF(Upgrades!$T$21="Peculiar Velocity",POWER(Upgrades!$U$21,M283),1))+(IF(L283=0,0,(Upgrades!$M$20+L283*Upgrades!$N$20)*POWER(Upgrades!$O$20,L283)))*(IF(Upgrades!$T$13="Open Cluster",POWER(Upgrades!$U$13,E283),1)*IF(Upgrades!$T$14="Open Cluster",POWER(Upgrades!$U$14,F283),1)*IF(Upgrades!$T$15="Open Cluster",POWER(Upgrades!$U$15,G283),1)*IF(Upgrades!$T$16="Open Cluster",POWER(Upgrades!$U$16,H283),1)*IF(Upgrades!$T$17="Open Cluster",POWER(Upgrades!$U$17,I283),1)*IF(Upgrades!$T$18="Open Cluster",POWER(Upgrades!$U$18,J283),1)*IF(Upgrades!$T$19="Open Cluster",POWER(Upgrades!$U$19,K283),1)*IF(Upgrades!$T$21="Open Cluster",POWER(Upgrades!$U$21,M283),1))+(IF(M283=0,0,(Upgrades!$M$21+M283*Upgrades!$N$21)*POWER(Upgrades!$O$21,M283)))*(IF(Upgrades!$T$13="Moving Group",POWER(Upgrades!$U$13,E283),1)*IF(Upgrades!$T$14="Moving Group",POWER(Upgrades!$U$14,F283),1)*IF(Upgrades!$T$15="Moving Group",POWER(Upgrades!$U$15,G283),1)*IF(Upgrades!$T$16="Moving Group",POWER(Upgrades!$U$16,H283),1)*IF(Upgrades!$T$17="Moving Group",POWER(Upgrades!$U$17,I283),1)*IF(Upgrades!$T$18="Moving Group",POWER(Upgrades!$U$18,J283),1)*IF(Upgrades!$T$19="Moving Group",POWER(Upgrades!$U$19,K283),1)*IF(Upgrades!$T$20="Moving Group",POWER(Upgrades!$U$20,L283),1)))*POWER(Upgrades!$R$13,E283)*POWER(Upgrades!$R$14,F283)*POWER(Upgrades!$R$15,G283)*POWER(Upgrades!$R$16,H283)*POWER(Upgrades!$R$17,I283)*POWER(Upgrades!$R$18,J283)*POWER(Upgrades!$R$19,K283)*POWER(Upgrades!$R$20,L283)*POWER(Upgrades!$R$21,M283)*$H$6+$E$6</f>
        <v/>
      </c>
      <c r="R283" s="27">
        <f>IF(N283=1,0,O283*Parameters!$B$10/60*Parameters!$B$11*10)</f>
        <v/>
      </c>
      <c r="S283" s="27">
        <f>IF(N283=1,0,Q283*O283*10)</f>
        <v/>
      </c>
      <c r="T283" s="27">
        <f>IF(N283=1,0,R283+S283+P283*10)</f>
        <v/>
      </c>
      <c r="U283" s="33">
        <f>BE283</f>
        <v/>
      </c>
      <c r="V283" s="22">
        <f>IF(U283="",0,IF(U283="transition",0,IF(U283="SK",AK283,IF(U283="LB",AL283,IF(U283="ML",AM283,IF(U283="RLO",AN283,IF(U283="BD",AO283,IF(U283="BiP",AP283,IF(U283="PV",AQ283,IF(U283="OC",AR283,IF(U283="MG",AS283,0))))))))))</f>
        <v/>
      </c>
      <c r="W283" s="27">
        <f>IF(U283="BiP",Upgrades!$F$18,IF(U283="PV",Upgrades!$F$19,IF(U283="OC",Upgrades!$F$20,IF(U283="MG",Upgrades!$F$21,IF(U283="transition",-Parameters!$B$18*Parameters!$B$19,0)))))</f>
        <v/>
      </c>
      <c r="X283" s="22">
        <f>C283+T283-V283</f>
        <v/>
      </c>
      <c r="Y283" s="30">
        <f>O283*Parameters!$B$10/60*Parameters!$B$11+Q283*O283+P283</f>
        <v/>
      </c>
      <c r="Z283" s="34">
        <f>IF(U283="transition","→ Tier 3 (Galactic Arm)",IF(U283="MG","Moving Group — pocket drifts together",IF(U283="OC","Open Cluster acquired",IF(U283="PV","Peculiar Velocity — passive multiplier active",IF(U283="BiP","Binary Partner — pair bond formed",IF(AND(AU283=1,N283=0,AT283&lt;&gt;1),"Cohesion ready (waiting on completionists)","")))))) </f>
        <v/>
      </c>
      <c r="AA283" s="27">
        <f>(IF(E283=0,0,(Upgrades!$G$13+E283*Upgrades!$H$13)*POWER(Upgrades!$I$13,E283)))*(IF(Upgrades!$T$14="Stellar Kinematics",POWER(Upgrades!$U$14,F283),1)*IF(Upgrades!$T$15="Stellar Kinematics",POWER(Upgrades!$U$15,G283),1)*IF(Upgrades!$T$16="Stellar Kinematics",POWER(Upgrades!$U$16,H283),1)*IF(Upgrades!$T$17="Stellar Kinematics",POWER(Upgrades!$U$17,I283),1)*IF(Upgrades!$T$18="Stellar Kinematics",POWER(Upgrades!$U$18,J283),1)*IF(Upgrades!$T$19="Stellar Kinematics",POWER(Upgrades!$U$19,K283),1)*IF(Upgrades!$T$20="Stellar Kinematics",POWER(Upgrades!$U$20,L283),1)*IF(Upgrades!$T$21="Stellar Kinematics",POWER(Upgrades!$U$21,M283),1))*POWER(Upgrades!$P$13,E283)*POWER(Upgrades!$P$14,F283)*POWER(Upgrades!$P$15,G283)*POWER(Upgrades!$P$16,H283)*POWER(Upgrades!$P$17,I283)*POWER(Upgrades!$P$18,J283)*POWER(Upgrades!$P$19,K283)*POWER(Upgrades!$P$20,L283)*POWER(Upgrades!$P$21,M283)*$F$6*60</f>
        <v/>
      </c>
      <c r="AB283" s="27">
        <f>(IF(F283=0,0,(Upgrades!$G$14+F283*Upgrades!$H$14)*POWER(Upgrades!$I$14,F283)))*(IF(Upgrades!$T$13="Local Bubble",POWER(Upgrades!$U$13,E283),1)*IF(Upgrades!$T$15="Local Bubble",POWER(Upgrades!$U$15,G283),1)*IF(Upgrades!$T$16="Local Bubble",POWER(Upgrades!$U$16,H283),1)*IF(Upgrades!$T$17="Local Bubble",POWER(Upgrades!$U$17,I283),1)*IF(Upgrades!$T$18="Local Bubble",POWER(Upgrades!$U$18,J283),1)*IF(Upgrades!$T$19="Local Bubble",POWER(Upgrades!$U$19,K283),1)*IF(Upgrades!$T$20="Local Bubble",POWER(Upgrades!$U$20,L283),1)*IF(Upgrades!$T$21="Local Bubble",POWER(Upgrades!$U$21,M283),1))*POWER(Upgrades!$P$13,E283)*POWER(Upgrades!$P$14,F283)*POWER(Upgrades!$P$15,G283)*POWER(Upgrades!$P$16,H283)*POWER(Upgrades!$P$17,I283)*POWER(Upgrades!$P$18,J283)*POWER(Upgrades!$P$19,K283)*POWER(Upgrades!$P$20,L283)*POWER(Upgrades!$P$21,M283)*$F$6*60</f>
        <v/>
      </c>
      <c r="AC283" s="27">
        <f>(IF(G283=0,0,(Upgrades!$J$15+G283*Upgrades!$K$15)*POWER(Upgrades!$L$15,G283)))*(IF(Upgrades!$T$13="Microlensing",POWER(Upgrades!$U$13,E283),1)*IF(Upgrades!$T$14="Microlensing",POWER(Upgrades!$U$14,F283),1)*IF(Upgrades!$T$16="Microlensing",POWER(Upgrades!$U$16,H283),1)*IF(Upgrades!$T$17="Microlensing",POWER(Upgrades!$U$17,I283),1)*IF(Upgrades!$T$18="Microlensing",POWER(Upgrades!$U$18,J283),1)*IF(Upgrades!$T$19="Microlensing",POWER(Upgrades!$U$19,K283),1)*IF(Upgrades!$T$20="Microlensing",POWER(Upgrades!$U$20,L283),1)*IF(Upgrades!$T$21="Microlensing",POWER(Upgrades!$U$21,M283),1))*POWER(Upgrades!$Q$13,E283)*POWER(Upgrades!$Q$14,F283)*POWER(Upgrades!$Q$15,G283)*POWER(Upgrades!$Q$16,H283)*POWER(Upgrades!$Q$17,I283)*POWER(Upgrades!$Q$18,J283)*POWER(Upgrades!$Q$19,K283)*POWER(Upgrades!$Q$20,L283)*POWER(Upgrades!$Q$21,M283)*$G$6*(Parameters!$B$10*Parameters!$B$11+Q283*60)</f>
        <v/>
      </c>
      <c r="AD283" s="27">
        <f>(IF(H283=0,0,(Upgrades!$M$16+H283*Upgrades!$N$16)*POWER(Upgrades!$O$16,H283)))*(IF(Upgrades!$T$13="Roche Lobe Overflow",POWER(Upgrades!$U$13,E283),1)*IF(Upgrades!$T$14="Roche Lobe Overflow",POWER(Upgrades!$U$14,F283),1)*IF(Upgrades!$T$15="Roche Lobe Overflow",POWER(Upgrades!$U$15,G283),1)*IF(Upgrades!$T$17="Roche Lobe Overflow",POWER(Upgrades!$U$17,I283),1)*IF(Upgrades!$T$18="Roche Lobe Overflow",POWER(Upgrades!$U$18,J283),1)*IF(Upgrades!$T$19="Roche Lobe Overflow",POWER(Upgrades!$U$19,K283),1)*IF(Upgrades!$T$20="Roche Lobe Overflow",POWER(Upgrades!$U$20,L283),1)*IF(Upgrades!$T$21="Roche Lobe Overflow",POWER(Upgrades!$U$21,M283),1))*POWER(Upgrades!$R$13,E283)*POWER(Upgrades!$R$14,F283)*POWER(Upgrades!$R$15,G283)*POWER(Upgrades!$R$16,H283)*POWER(Upgrades!$R$17,I283)*POWER(Upgrades!$R$18,J283)*POWER(Upgrades!$R$19,K283)*POWER(Upgrades!$R$20,L283)*POWER(Upgrades!$R$21,M283)*$H$6*O283*60</f>
        <v/>
      </c>
      <c r="AE283" s="27">
        <f>(IF(I283=0,0,(Upgrades!$G$17+I283*Upgrades!$H$17)*POWER(Upgrades!$I$17,I283)))*(IF(Upgrades!$T$13="Brown Dwarf",POWER(Upgrades!$U$13,E283),1)*IF(Upgrades!$T$14="Brown Dwarf",POWER(Upgrades!$U$14,F283),1)*IF(Upgrades!$T$15="Brown Dwarf",POWER(Upgrades!$U$15,G283),1)*IF(Upgrades!$T$16="Brown Dwarf",POWER(Upgrades!$U$16,H283),1)*IF(Upgrades!$T$18="Brown Dwarf",POWER(Upgrades!$U$18,J283),1)*IF(Upgrades!$T$19="Brown Dwarf",POWER(Upgrades!$U$19,K283),1)*IF(Upgrades!$T$20="Brown Dwarf",POWER(Upgrades!$U$20,L283),1)*IF(Upgrades!$T$21="Brown Dwarf",POWER(Upgrades!$U$21,M283),1))*POWER(Upgrades!$P$13,E283)*POWER(Upgrades!$P$14,F283)*POWER(Upgrades!$P$15,G283)*POWER(Upgrades!$P$16,H283)*POWER(Upgrades!$P$17,I283)*POWER(Upgrades!$P$18,J283)*POWER(Upgrades!$P$19,K283)*POWER(Upgrades!$P$20,L283)*POWER(Upgrades!$P$21,M283)*$F$6*60</f>
        <v/>
      </c>
      <c r="AF283" s="27" t="n">
        <v>0</v>
      </c>
      <c r="AG283" s="27" t="n">
        <v>0</v>
      </c>
      <c r="AH283" s="27" t="n">
        <v>0</v>
      </c>
      <c r="AI283" s="27">
        <f>(IF(M283=0,0,(Upgrades!$G$21+M283*Upgrades!$H$21)*POWER(Upgrades!$I$21,M283)))*(IF(Upgrades!$T$13="Moving Group",POWER(Upgrades!$U$13,E283),1)*IF(Upgrades!$T$14="Moving Group",POWER(Upgrades!$U$14,F283),1)*IF(Upgrades!$T$15="Moving Group",POWER(Upgrades!$U$15,G283),1)*IF(Upgrades!$T$16="Moving Group",POWER(Upgrades!$U$16,H283),1)*IF(Upgrades!$T$17="Moving Group",POWER(Upgrades!$U$17,I283),1)*IF(Upgrades!$T$18="Moving Group",POWER(Upgrades!$U$18,J283),1)*IF(Upgrades!$T$19="Moving Group",POWER(Upgrades!$U$19,K283),1)*IF(Upgrades!$T$20="Moving Group",POWER(Upgrades!$U$20,L283),1))*POWER(Upgrades!$P$13,E283)*POWER(Upgrades!$P$14,F283)*POWER(Upgrades!$P$15,G283)*POWER(Upgrades!$P$16,H283)*POWER(Upgrades!$P$17,I283)*POWER(Upgrades!$P$18,J283)*POWER(Upgrades!$P$19,K283)*POWER(Upgrades!$P$20,L283)*POWER(Upgrades!$P$21,M283)*$F$6*60</f>
        <v/>
      </c>
      <c r="AJ283" s="27">
        <f>$C$6*60</f>
        <v/>
      </c>
      <c r="AK283" s="22">
        <f>IF(E283&gt;=Upgrades!$E$13,"",Upgrades!$C$13*POWER(Upgrades!$D$13,E283))</f>
        <v/>
      </c>
      <c r="AL283" s="22">
        <f>IF(F283&gt;=Upgrades!$E$14,"",Upgrades!$C$14*POWER(Upgrades!$D$14,F283))</f>
        <v/>
      </c>
      <c r="AM283" s="22">
        <f>IF(G283&gt;=Upgrades!$E$15,"",Upgrades!$C$15*POWER(Upgrades!$D$15,G283))</f>
        <v/>
      </c>
      <c r="AN283" s="22">
        <f>IF(H283&gt;=Upgrades!$E$16,"",Upgrades!$C$16*POWER(Upgrades!$D$16,H283))</f>
        <v/>
      </c>
      <c r="AO283" s="22">
        <f>IF(I283&gt;=Upgrades!$E$17,"",Upgrades!$C$17*POWER(Upgrades!$D$17,I283))</f>
        <v/>
      </c>
      <c r="AP283" s="22">
        <f>IF(J283&gt;=Upgrades!$E$18,"",Upgrades!$C$18*POWER(Upgrades!$D$18,J283))</f>
        <v/>
      </c>
      <c r="AQ283" s="22">
        <f>IF(K283&gt;=Upgrades!$E$19,"",Upgrades!$C$19*POWER(Upgrades!$D$19,K283))</f>
        <v/>
      </c>
      <c r="AR283" s="22">
        <f>IF(L283&gt;=Upgrades!$E$20,"",Upgrades!$C$20*POWER(Upgrades!$D$20,L283))</f>
        <v/>
      </c>
      <c r="AS283" s="22">
        <f>IF(M283&gt;=Upgrades!$E$21,"",Upgrades!$C$21*POWER(Upgrades!$D$21,M283))</f>
        <v/>
      </c>
      <c r="AT283" s="26">
        <f>IF(AND(D283&gt;=Parameters!$B$18*Parameters!$B$19,(I283&gt;=Upgrades!$E$17)*(M283&gt;=Upgrades!$E$21)=1,N283=0),1,"")</f>
        <v/>
      </c>
      <c r="AU283" s="26">
        <f>IF(AND(D283&gt;=Parameters!$B$18*Parameters!$B$19,N283=0),1,"")</f>
        <v/>
      </c>
      <c r="AV283" s="22">
        <f>MIN(IF(ISNUMBER(AP283),AP283,9E15),IF(ISNUMBER(AQ283),AQ283,9E15),IF(ISNUMBER(AR283),AR283,9E15),IF(ISNUMBER(AS283),AS283,9E15))</f>
        <v/>
      </c>
      <c r="AW283" s="22">
        <f>MIN(IF(ISNUMBER(AK283),AK283,9E15),IF(ISNUMBER(AL283),AL283,9E15),IF(ISNUMBER(AM283),AM283,9E15),IF(ISNUMBER(AN283),AN283,9E15),IF(ISNUMBER(AO283),AO283,9E15))</f>
        <v/>
      </c>
      <c r="AX283" s="29">
        <f>IF(BD283&gt;Parameters!$B$21*(MAX(IF(AND(NOT(AND(AU283=1,AT283&lt;&gt;1)),ISNUMBER(AK283),AK283&lt;=(C283+T283)),AY283,0),IF(AND(NOT(AND(AU283=1,AT283&lt;&gt;1)),ISNUMBER(AL283),AL283&lt;=(C283+T283)),AZ283,0),IF(AND(NOT(AND(AU283=1,AT283&lt;&gt;1)),ISNUMBER(AM283),AM283&lt;=(C283+T283)),BA283,0),IF(AND(NOT(AND(AU283=1,AT283&lt;&gt;1)),ISNUMBER(AN283),AN283&lt;=(C283+T283)),BB283,0),IF(AND(ISNUMBER(AO283),AO283&lt;=(C283+T283)),BC283,0))),TRUE,FALSE)</f>
        <v/>
      </c>
      <c r="AY283" s="32">
        <f>IFERROR(Upgrades!$H$13*(POWER(Upgrades!$P$13,E283)*POWER(Upgrades!$P$14,F283)*POWER(Upgrades!$P$15,G283)*POWER(Upgrades!$P$16,H283)*POWER(Upgrades!$P$17,I283)*POWER(Upgrades!$P$18,J283)*POWER(Upgrades!$P$19,K283)*POWER(Upgrades!$P$20,L283)*POWER(Upgrades!$P$21,M283))*(IF(Upgrades!$T$14="Stellar Kinematics",POWER(Upgrades!$U$14,F283),1)*IF(Upgrades!$T$15="Stellar Kinematics",POWER(Upgrades!$U$15,G283),1)*IF(Upgrades!$T$16="Stellar Kinematics",POWER(Upgrades!$U$16,H283),1)*IF(Upgrades!$T$17="Stellar Kinematics",POWER(Upgrades!$U$17,I283),1)*IF(Upgrades!$T$18="Stellar Kinematics",POWER(Upgrades!$U$18,J283),1)*IF(Upgrades!$T$19="Stellar Kinematics",POWER(Upgrades!$U$19,K283),1)*IF(Upgrades!$T$20="Stellar Kinematics",POWER(Upgrades!$U$20,L283),1)*IF(Upgrades!$T$21="Stellar Kinematics",POWER(Upgrades!$U$21,M283),1))*$F$6/AK283,0)</f>
        <v/>
      </c>
      <c r="AZ283" s="32">
        <f>IFERROR(Upgrades!$H$14*(POWER(Upgrades!$P$13,E283)*POWER(Upgrades!$P$14,F283)*POWER(Upgrades!$P$15,G283)*POWER(Upgrades!$P$16,H283)*POWER(Upgrades!$P$17,I283)*POWER(Upgrades!$P$18,J283)*POWER(Upgrades!$P$19,K283)*POWER(Upgrades!$P$20,L283)*POWER(Upgrades!$P$21,M283))*(IF(Upgrades!$T$13="Local Bubble",POWER(Upgrades!$U$13,E283),1)*IF(Upgrades!$T$15="Local Bubble",POWER(Upgrades!$U$15,G283),1)*IF(Upgrades!$T$16="Local Bubble",POWER(Upgrades!$U$16,H283),1)*IF(Upgrades!$T$17="Local Bubble",POWER(Upgrades!$U$17,I283),1)*IF(Upgrades!$T$18="Local Bubble",POWER(Upgrades!$U$18,J283),1)*IF(Upgrades!$T$19="Local Bubble",POWER(Upgrades!$U$19,K283),1)*IF(Upgrades!$T$20="Local Bubble",POWER(Upgrades!$U$20,L283),1)*IF(Upgrades!$T$21="Local Bubble",POWER(Upgrades!$U$21,M283),1))*$F$6/AL283,0)</f>
        <v/>
      </c>
      <c r="BA283" s="32">
        <f>IFERROR(Upgrades!$K$15*(POWER(Upgrades!$Q$13,E283)*POWER(Upgrades!$Q$14,F283)*POWER(Upgrades!$Q$15,G283)*POWER(Upgrades!$Q$16,H283)*POWER(Upgrades!$Q$17,I283)*POWER(Upgrades!$Q$18,J283)*POWER(Upgrades!$Q$19,K283)*POWER(Upgrades!$Q$20,L283)*POWER(Upgrades!$Q$21,M283))*(IF(Upgrades!$T$13="Microlensing",POWER(Upgrades!$U$13,E283),1)*IF(Upgrades!$T$14="Microlensing",POWER(Upgrades!$U$14,F283),1)*IF(Upgrades!$T$16="Microlensing",POWER(Upgrades!$U$16,H283),1)*IF(Upgrades!$T$17="Microlensing",POWER(Upgrades!$U$17,I283),1)*IF(Upgrades!$T$18="Microlensing",POWER(Upgrades!$U$18,J283),1)*IF(Upgrades!$T$19="Microlensing",POWER(Upgrades!$U$19,K283),1)*IF(Upgrades!$T$20="Microlensing",POWER(Upgrades!$U$20,L283),1)*IF(Upgrades!$T$21="Microlensing",POWER(Upgrades!$U$21,M283),1))*$G$6*(Parameters!$B$10/60*Parameters!$B$11+Q283)/AM283,0)</f>
        <v/>
      </c>
      <c r="BB283" s="32">
        <f>IFERROR((Upgrades!$N$16*(POWER(Upgrades!$R$13,E283)*POWER(Upgrades!$R$14,F283)*POWER(Upgrades!$R$15,G283)*POWER(Upgrades!$R$16,H283)*POWER(Upgrades!$R$17,I283)*POWER(Upgrades!$R$18,J283)*POWER(Upgrades!$R$19,K283)*POWER(Upgrades!$R$20,L283)*POWER(Upgrades!$R$21,M283))*(IF(Upgrades!$T$13="Roche Lobe Overflow",POWER(Upgrades!$U$13,E283),1)*IF(Upgrades!$T$14="Roche Lobe Overflow",POWER(Upgrades!$U$14,F283),1)*IF(Upgrades!$T$15="Roche Lobe Overflow",POWER(Upgrades!$U$15,G283),1)*IF(Upgrades!$T$17="Roche Lobe Overflow",POWER(Upgrades!$U$17,I283),1)*IF(Upgrades!$T$18="Roche Lobe Overflow",POWER(Upgrades!$U$18,J283),1)*IF(Upgrades!$T$19="Roche Lobe Overflow",POWER(Upgrades!$U$19,K283),1)*IF(Upgrades!$T$20="Roche Lobe Overflow",POWER(Upgrades!$U$20,L283),1)*IF(Upgrades!$T$21="Roche Lobe Overflow",POWER(Upgrades!$U$21,M283),1))*$H$6*O283+((IF(F283=0,0,(Upgrades!$G$14+F283*Upgrades!$H$14)*POWER(Upgrades!$I$14,F283)))*(IF(Upgrades!$T$13="Local Bubble",POWER(Upgrades!$U$13,E283),1)*IF(Upgrades!$T$15="Local Bubble",POWER(Upgrades!$U$15,G283),1)*IF(Upgrades!$T$16="Local Bubble",POWER(Upgrades!$U$16,H283),1)*IF(Upgrades!$T$17="Local Bubble",POWER(Upgrades!$U$17,I283),1)*IF(Upgrades!$T$18="Local Bubble",POWER(Upgrades!$U$18,J283),1)*IF(Upgrades!$T$19="Local Bubble",POWER(Upgrades!$U$19,K283),1)*IF(Upgrades!$T$20="Local Bubble",POWER(Upgrades!$U$20,L283),1)*IF(Upgrades!$T$21="Local Bubble",POWER(Upgrades!$U$21,M283),1))*POWER(Upgrades!$P$13,E283)*POWER(Upgrades!$P$14,F283)*POWER(Upgrades!$P$15,G283)*POWER(Upgrades!$P$16,H283)*POWER(Upgrades!$P$17,I283)*POWER(Upgrades!$P$18,J283)*POWER(Upgrades!$P$19,K283)*POWER(Upgrades!$P$20,L283)*POWER(Upgrades!$P$21,M283)*$F$6)*0.05)/AN283,0)</f>
        <v/>
      </c>
      <c r="BC283" s="32">
        <f>IFERROR((Upgrades!$H$17*(POWER(Upgrades!$P$13,E283)*POWER(Upgrades!$P$14,F283)*POWER(Upgrades!$P$15,G283)*POWER(Upgrades!$P$16,H283)*POWER(Upgrades!$P$17,I283)*POWER(Upgrades!$P$18,J283)*POWER(Upgrades!$P$19,K283)*POWER(Upgrades!$P$20,L283)*POWER(Upgrades!$P$21,M283))*(IF(Upgrades!$T$13="Brown Dwarf",POWER(Upgrades!$U$13,E283),1)*IF(Upgrades!$T$14="Brown Dwarf",POWER(Upgrades!$U$14,F283),1)*IF(Upgrades!$T$15="Brown Dwarf",POWER(Upgrades!$U$15,G283),1)*IF(Upgrades!$T$16="Brown Dwarf",POWER(Upgrades!$U$16,H283),1)*IF(Upgrades!$T$18="Brown Dwarf",POWER(Upgrades!$U$18,J283),1)*IF(Upgrades!$T$19="Brown Dwarf",POWER(Upgrades!$U$19,K283),1)*IF(Upgrades!$T$20="Brown Dwarf",POWER(Upgrades!$U$20,L283),1)*IF(Upgrades!$T$21="Brown Dwarf",POWER(Upgrades!$U$21,M283),1))*$F$6+(((IF(H283=0,0,(Upgrades!$M$16+H283*Upgrades!$N$16)*POWER(Upgrades!$O$16,H283)))*(IF(Upgrades!$T$13="Roche Lobe Overflow",POWER(Upgrades!$U$13,E283),1)*IF(Upgrades!$T$14="Roche Lobe Overflow",POWER(Upgrades!$U$14,F283),1)*IF(Upgrades!$T$15="Roche Lobe Overflow",POWER(Upgrades!$U$15,G283),1)*IF(Upgrades!$T$17="Roche Lobe Overflow",POWER(Upgrades!$U$17,I283),1)*IF(Upgrades!$T$18="Roche Lobe Overflow",POWER(Upgrades!$U$18,J283),1)*IF(Upgrades!$T$19="Roche Lobe Overflow",POWER(Upgrades!$U$19,K283),1)*IF(Upgrades!$T$20="Roche Lobe Overflow",POWER(Upgrades!$U$20,L283),1)*IF(Upgrades!$T$21="Roche Lobe Overflow",POWER(Upgrades!$U$21,M283),1))*POWER(Upgrades!$R$13,E283)*POWER(Upgrades!$R$14,F283)*POWER(Upgrades!$R$15,G283)*POWER(Upgrades!$R$16,H283)*POWER(Upgrades!$R$17,I283)*POWER(Upgrades!$R$18,J283)*POWER(Upgrades!$R$19,K283)*POWER(Upgrades!$R$20,L283)*POWER(Upgrades!$R$21,M283)*$H$6)*O283)*0.10)/AO283,0)</f>
        <v/>
      </c>
      <c r="BD283" s="32">
        <f>MAX(IF(J283&gt;0,0,IFERROR(0.5*((IF(G283=0,0,(Upgrades!$J$15+G283*Upgrades!$K$15)*POWER(Upgrades!$L$15,G283)))*(IF(Upgrades!$T$13="Microlensing",POWER(Upgrades!$U$13,E283),1)*IF(Upgrades!$T$14="Microlensing",POWER(Upgrades!$U$14,F283),1)*IF(Upgrades!$T$16="Microlensing",POWER(Upgrades!$U$16,H283),1)*IF(Upgrades!$T$17="Microlensing",POWER(Upgrades!$U$17,I283),1)*IF(Upgrades!$T$18="Microlensing",POWER(Upgrades!$U$18,J283),1)*IF(Upgrades!$T$19="Microlensing",POWER(Upgrades!$U$19,K283),1)*IF(Upgrades!$T$20="Microlensing",POWER(Upgrades!$U$20,L283),1)*IF(Upgrades!$T$21="Microlensing",POWER(Upgrades!$U$21,M283),1))*(POWER(Upgrades!$Q$13,E283)*POWER(Upgrades!$Q$14,F283)*POWER(Upgrades!$Q$15,G283)*POWER(Upgrades!$Q$16,H283)*POWER(Upgrades!$Q$17,I283)*POWER(Upgrades!$Q$18,J283)*POWER(Upgrades!$Q$19,K283)*POWER(Upgrades!$Q$20,L283)*POWER(Upgrades!$Q$21,M283))*$G$6*(Parameters!$B$10/60*Parameters!$B$11+Q283))/Upgrades!$C$18,0)),IF(K283&gt;0,0,IFERROR(0.30*P283/Upgrades!$C$19,0)),IF(L283&gt;0,0,IFERROR(0.0001/Upgrades!$C$20,0)),IF(M283&gt;0,0,IFERROR((6.0*(POWER(Upgrades!$P$13,E283)*POWER(Upgrades!$P$14,F283)*POWER(Upgrades!$P$15,G283)*POWER(Upgrades!$P$16,H283)*POWER(Upgrades!$P$17,I283)*POWER(Upgrades!$P$18,J283)*POWER(Upgrades!$P$19,K283)*POWER(Upgrades!$P$20,L283)*POWER(Upgrades!$P$21,M283))*$F$6+0.20*O283*(Parameters!$B$10/60*Parameters!$B$11+Q283))/Upgrades!$C$21,0)),IF(AND(ISNUMBER(AK283),AK283&gt;(C283+T283)),AY283,0),IF(AND(ISNUMBER(AL283),AL283&gt;(C283+T283)),AZ283,0),IF(AND(ISNUMBER(AM283),AM283&gt;(C283+T283)),BA283,0),IF(AND(ISNUMBER(AN283),AN283&gt;(C283+T283)),BB283,0),IF(AND(ISNUMBER(AO283),AO283&gt;(C283+T283)),BC283,0))</f>
        <v/>
      </c>
      <c r="BE283" s="29">
        <f>IF(AT283=1,"transition",IF(MIN(IF(AND(J283=0,ISNUMBER(AP283),AP283&lt;=(C283+T283)),AP283,9E15),IF(AND(K283=0,ISNUMBER(AQ283),AQ283&lt;=(C283+T283)),AQ283,9E15),IF(AND(L283=0,ISNUMBER(AR283),AR283&lt;=(C283+T283)),AR283,9E15),IF(AND(M283=0,ISNUMBER(AS283),AS283&lt;=(C283+T283)),AS283,9E15))&lt;9E15,IF(AND(AND(J283=0,ISNUMBER(AP283),AP283&lt;=(C283+T283)),AP283=MIN(IF(AND(J283=0,ISNUMBER(AP283),AP283&lt;=(C283+T283)),AP283,9E15),IF(AND(K283=0,ISNUMBER(AQ283),AQ283&lt;=(C283+T283)),AQ283,9E15),IF(AND(L283=0,ISNUMBER(AR283),AR283&lt;=(C283+T283)),AR283,9E15),IF(AND(M283=0,ISNUMBER(AS283),AS283&lt;=(C283+T283)),AS283,9E15))),"BiP",IF(AND(AND(K283=0,ISNUMBER(AQ283),AQ283&lt;=(C283+T283)),AQ283=MIN(IF(AND(J283=0,ISNUMBER(AP283),AP283&lt;=(C283+T283)),AP283,9E15),IF(AND(K283=0,ISNUMBER(AQ283),AQ283&lt;=(C283+T283)),AQ283,9E15),IF(AND(L283=0,ISNUMBER(AR283),AR283&lt;=(C283+T283)),AR283,9E15),IF(AND(M283=0,ISNUMBER(AS283),AS283&lt;=(C283+T283)),AS283,9E15))),"PV",IF(AND(AND(L283=0,ISNUMBER(AR283),AR283&lt;=(C283+T283)),AR283=MIN(IF(AND(J283=0,ISNUMBER(AP283),AP283&lt;=(C283+T283)),AP283,9E15),IF(AND(K283=0,ISNUMBER(AQ283),AQ283&lt;=(C283+T283)),AQ283,9E15),IF(AND(L283=0,ISNUMBER(AR283),AR283&lt;=(C283+T283)),AR283,9E15),IF(AND(M283=0,ISNUMBER(AS283),AS283&lt;=(C283+T283)),AS283,9E15))),"OC","MG"))),IF(AX283=TRUE,"",IF(MAX(IF(AND(NOT(AND(AU283=1,AT283&lt;&gt;1)),ISNUMBER(AK283),AK283&lt;=(C283+T283)),AY283,0),IF(AND(NOT(AND(AU283=1,AT283&lt;&gt;1)),ISNUMBER(AL283),AL283&lt;=(C283+T283)),AZ283,0),IF(AND(NOT(AND(AU283=1,AT283&lt;&gt;1)),ISNUMBER(AM283),AM283&lt;=(C283+T283)),BA283,0),IF(AND(NOT(AND(AU283=1,AT283&lt;&gt;1)),ISNUMBER(AN283),AN283&lt;=(C283+T283)),BB283,0),IF(AND(ISNUMBER(AO283),AO283&lt;=(C283+T283)),BC283,0))&lt;=0,"",IF(AND(IF(AND(NOT(AND(AU283=1,AT283&lt;&gt;1)),ISNUMBER(AK283),AK283&lt;=(C283+T283)),AY283,0)&gt;0,IF(AND(NOT(AND(AU283=1,AT283&lt;&gt;1)),ISNUMBER(AK283),AK283&lt;=(C283+T283)),AY283,0)=MAX(IF(AND(NOT(AND(AU283=1,AT283&lt;&gt;1)),ISNUMBER(AK283),AK283&lt;=(C283+T283)),AY283,0),IF(AND(NOT(AND(AU283=1,AT283&lt;&gt;1)),ISNUMBER(AL283),AL283&lt;=(C283+T283)),AZ283,0),IF(AND(NOT(AND(AU283=1,AT283&lt;&gt;1)),ISNUMBER(AM283),AM283&lt;=(C283+T283)),BA283,0),IF(AND(NOT(AND(AU283=1,AT283&lt;&gt;1)),ISNUMBER(AN283),AN283&lt;=(C283+T283)),BB283,0),IF(AND(ISNUMBER(AO283),AO283&lt;=(C283+T283)),BC283,0))),"SK",IF(AND(IF(AND(NOT(AND(AU283=1,AT283&lt;&gt;1)),ISNUMBER(AL283),AL283&lt;=(C283+T283)),AZ283,0)&gt;0,IF(AND(NOT(AND(AU283=1,AT283&lt;&gt;1)),ISNUMBER(AL283),AL283&lt;=(C283+T283)),AZ283,0)=MAX(IF(AND(NOT(AND(AU283=1,AT283&lt;&gt;1)),ISNUMBER(AK283),AK283&lt;=(C283+T283)),AY283,0),IF(AND(NOT(AND(AU283=1,AT283&lt;&gt;1)),ISNUMBER(AL283),AL283&lt;=(C283+T283)),AZ283,0),IF(AND(NOT(AND(AU283=1,AT283&lt;&gt;1)),ISNUMBER(AM283),AM283&lt;=(C283+T283)),BA283,0),IF(AND(NOT(AND(AU283=1,AT283&lt;&gt;1)),ISNUMBER(AN283),AN283&lt;=(C283+T283)),BB283,0),IF(AND(ISNUMBER(AO283),AO283&lt;=(C283+T283)),BC283,0))),"LB",IF(AND(IF(AND(NOT(AND(AU283=1,AT283&lt;&gt;1)),ISNUMBER(AM283),AM283&lt;=(C283+T283)),BA283,0)&gt;0,IF(AND(NOT(AND(AU283=1,AT283&lt;&gt;1)),ISNUMBER(AM283),AM283&lt;=(C283+T283)),BA283,0)=MAX(IF(AND(NOT(AND(AU283=1,AT283&lt;&gt;1)),ISNUMBER(AK283),AK283&lt;=(C283+T283)),AY283,0),IF(AND(NOT(AND(AU283=1,AT283&lt;&gt;1)),ISNUMBER(AL283),AL283&lt;=(C283+T283)),AZ283,0),IF(AND(NOT(AND(AU283=1,AT283&lt;&gt;1)),ISNUMBER(AM283),AM283&lt;=(C283+T283)),BA283,0),IF(AND(NOT(AND(AU283=1,AT283&lt;&gt;1)),ISNUMBER(AN283),AN283&lt;=(C283+T283)),BB283,0),IF(AND(ISNUMBER(AO283),AO283&lt;=(C283+T283)),BC283,0))),"ML",IF(AND(IF(AND(NOT(AND(AU283=1,AT283&lt;&gt;1)),ISNUMBER(AN283),AN283&lt;=(C283+T283)),BB283,0)&gt;0,IF(AND(NOT(AND(AU283=1,AT283&lt;&gt;1)),ISNUMBER(AN283),AN283&lt;=(C283+T283)),BB283,0)=MAX(IF(AND(NOT(AND(AU283=1,AT283&lt;&gt;1)),ISNUMBER(AK283),AK283&lt;=(C283+T283)),AY283,0),IF(AND(NOT(AND(AU283=1,AT283&lt;&gt;1)),ISNUMBER(AL283),AL283&lt;=(C283+T283)),AZ283,0),IF(AND(NOT(AND(AU283=1,AT283&lt;&gt;1)),ISNUMBER(AM283),AM283&lt;=(C283+T283)),BA283,0),IF(AND(NOT(AND(AU283=1,AT283&lt;&gt;1)),ISNUMBER(AN283),AN283&lt;=(C283+T283)),BB283,0),IF(AND(ISNUMBER(AO283),AO283&lt;=(C283+T283)),BC283,0))),"RLO","BD"))))))))</f>
        <v/>
      </c>
    </row>
    <row r="284">
      <c r="A284" s="26" t="n">
        <v>273</v>
      </c>
      <c r="B284" s="27">
        <f>A284*10/60</f>
        <v/>
      </c>
      <c r="C284" s="22">
        <f>X283</f>
        <v/>
      </c>
      <c r="D284" s="27">
        <f>D283+W283</f>
        <v/>
      </c>
      <c r="E284" s="26">
        <f>E283+IF(U283="SK",1,0)</f>
        <v/>
      </c>
      <c r="F284" s="26">
        <f>F283+IF(U283="LB",1,0)</f>
        <v/>
      </c>
      <c r="G284" s="26">
        <f>G283+IF(U283="ML",1,0)</f>
        <v/>
      </c>
      <c r="H284" s="26">
        <f>H283+IF(U283="RLO",1,0)</f>
        <v/>
      </c>
      <c r="I284" s="26">
        <f>I283+IF(U283="BD",1,0)</f>
        <v/>
      </c>
      <c r="J284" s="26">
        <f>MAX(J283,IF(U283="BiP",1,0))</f>
        <v/>
      </c>
      <c r="K284" s="26">
        <f>MAX(K283,IF(U283="PV",1,0))</f>
        <v/>
      </c>
      <c r="L284" s="26">
        <f>MAX(L283,IF(U283="OC",1,0))</f>
        <v/>
      </c>
      <c r="M284" s="26">
        <f>MAX(M283,IF(U283="MG",1,0))</f>
        <v/>
      </c>
      <c r="N284" s="26">
        <f>MAX(N283,IF(U283="transition",1,0))</f>
        <v/>
      </c>
      <c r="O284" s="28">
        <f>(Parameters!$B$9+(IF(E284=0,0,(Upgrades!$J$13+E284*Upgrades!$K$13)*POWER(Upgrades!$L$13,E284)))*(IF(Upgrades!$T$14="Stellar Kinematics",POWER(Upgrades!$U$14,F284),1)*IF(Upgrades!$T$15="Stellar Kinematics",POWER(Upgrades!$U$15,G284),1)*IF(Upgrades!$T$16="Stellar Kinematics",POWER(Upgrades!$U$16,H284),1)*IF(Upgrades!$T$17="Stellar Kinematics",POWER(Upgrades!$U$17,I284),1)*IF(Upgrades!$T$18="Stellar Kinematics",POWER(Upgrades!$U$18,J284),1)*IF(Upgrades!$T$19="Stellar Kinematics",POWER(Upgrades!$U$19,K284),1)*IF(Upgrades!$T$20="Stellar Kinematics",POWER(Upgrades!$U$20,L284),1)*IF(Upgrades!$T$21="Stellar Kinematics",POWER(Upgrades!$U$21,M284),1))+(IF(F284=0,0,(Upgrades!$J$14+F284*Upgrades!$K$14)*POWER(Upgrades!$L$14,F284)))*(IF(Upgrades!$T$13="Local Bubble",POWER(Upgrades!$U$13,E284),1)*IF(Upgrades!$T$15="Local Bubble",POWER(Upgrades!$U$15,G284),1)*IF(Upgrades!$T$16="Local Bubble",POWER(Upgrades!$U$16,H284),1)*IF(Upgrades!$T$17="Local Bubble",POWER(Upgrades!$U$17,I284),1)*IF(Upgrades!$T$18="Local Bubble",POWER(Upgrades!$U$18,J284),1)*IF(Upgrades!$T$19="Local Bubble",POWER(Upgrades!$U$19,K284),1)*IF(Upgrades!$T$20="Local Bubble",POWER(Upgrades!$U$20,L284),1)*IF(Upgrades!$T$21="Local Bubble",POWER(Upgrades!$U$21,M284),1))+(IF(G284=0,0,(Upgrades!$J$15+G284*Upgrades!$K$15)*POWER(Upgrades!$L$15,G284)))*(IF(Upgrades!$T$13="Microlensing",POWER(Upgrades!$U$13,E284),1)*IF(Upgrades!$T$14="Microlensing",POWER(Upgrades!$U$14,F284),1)*IF(Upgrades!$T$16="Microlensing",POWER(Upgrades!$U$16,H284),1)*IF(Upgrades!$T$17="Microlensing",POWER(Upgrades!$U$17,I284),1)*IF(Upgrades!$T$18="Microlensing",POWER(Upgrades!$U$18,J284),1)*IF(Upgrades!$T$19="Microlensing",POWER(Upgrades!$U$19,K284),1)*IF(Upgrades!$T$20="Microlensing",POWER(Upgrades!$U$20,L284),1)*IF(Upgrades!$T$21="Microlensing",POWER(Upgrades!$U$21,M284),1))+(IF(H284=0,0,(Upgrades!$J$16+H284*Upgrades!$K$16)*POWER(Upgrades!$L$16,H284)))*(IF(Upgrades!$T$13="Roche Lobe Overflow",POWER(Upgrades!$U$13,E284),1)*IF(Upgrades!$T$14="Roche Lobe Overflow",POWER(Upgrades!$U$14,F284),1)*IF(Upgrades!$T$15="Roche Lobe Overflow",POWER(Upgrades!$U$15,G284),1)*IF(Upgrades!$T$17="Roche Lobe Overflow",POWER(Upgrades!$U$17,I284),1)*IF(Upgrades!$T$18="Roche Lobe Overflow",POWER(Upgrades!$U$18,J284),1)*IF(Upgrades!$T$19="Roche Lobe Overflow",POWER(Upgrades!$U$19,K284),1)*IF(Upgrades!$T$20="Roche Lobe Overflow",POWER(Upgrades!$U$20,L284),1)*IF(Upgrades!$T$21="Roche Lobe Overflow",POWER(Upgrades!$U$21,M284),1))+(IF(I284=0,0,(Upgrades!$J$17+I284*Upgrades!$K$17)*POWER(Upgrades!$L$17,I284)))*(IF(Upgrades!$T$13="Brown Dwarf",POWER(Upgrades!$U$13,E284),1)*IF(Upgrades!$T$14="Brown Dwarf",POWER(Upgrades!$U$14,F284),1)*IF(Upgrades!$T$15="Brown Dwarf",POWER(Upgrades!$U$15,G284),1)*IF(Upgrades!$T$16="Brown Dwarf",POWER(Upgrades!$U$16,H284),1)*IF(Upgrades!$T$18="Brown Dwarf",POWER(Upgrades!$U$18,J284),1)*IF(Upgrades!$T$19="Brown Dwarf",POWER(Upgrades!$U$19,K284),1)*IF(Upgrades!$T$20="Brown Dwarf",POWER(Upgrades!$U$20,L284),1)*IF(Upgrades!$T$21="Brown Dwarf",POWER(Upgrades!$U$21,M284),1))+(IF(J284=0,0,(Upgrades!$J$18+J284*Upgrades!$K$18)*POWER(Upgrades!$L$18,J284)))*(IF(Upgrades!$T$13="Binary Partner",POWER(Upgrades!$U$13,E284),1)*IF(Upgrades!$T$14="Binary Partner",POWER(Upgrades!$U$14,F284),1)*IF(Upgrades!$T$15="Binary Partner",POWER(Upgrades!$U$15,G284),1)*IF(Upgrades!$T$16="Binary Partner",POWER(Upgrades!$U$16,H284),1)*IF(Upgrades!$T$17="Binary Partner",POWER(Upgrades!$U$17,I284),1)*IF(Upgrades!$T$19="Binary Partner",POWER(Upgrades!$U$19,K284),1)*IF(Upgrades!$T$20="Binary Partner",POWER(Upgrades!$U$20,L284),1)*IF(Upgrades!$T$21="Binary Partner",POWER(Upgrades!$U$21,M284),1))+(IF(K284=0,0,(Upgrades!$J$19+K284*Upgrades!$K$19)*POWER(Upgrades!$L$19,K284)))*(IF(Upgrades!$T$13="Peculiar Velocity",POWER(Upgrades!$U$13,E284),1)*IF(Upgrades!$T$14="Peculiar Velocity",POWER(Upgrades!$U$14,F284),1)*IF(Upgrades!$T$15="Peculiar Velocity",POWER(Upgrades!$U$15,G284),1)*IF(Upgrades!$T$16="Peculiar Velocity",POWER(Upgrades!$U$16,H284),1)*IF(Upgrades!$T$17="Peculiar Velocity",POWER(Upgrades!$U$17,I284),1)*IF(Upgrades!$T$18="Peculiar Velocity",POWER(Upgrades!$U$18,J284),1)*IF(Upgrades!$T$20="Peculiar Velocity",POWER(Upgrades!$U$20,L284),1)*IF(Upgrades!$T$21="Peculiar Velocity",POWER(Upgrades!$U$21,M284),1))+(IF(L284=0,0,(Upgrades!$J$20+L284*Upgrades!$K$20)*POWER(Upgrades!$L$20,L284)))*(IF(Upgrades!$T$13="Open Cluster",POWER(Upgrades!$U$13,E284),1)*IF(Upgrades!$T$14="Open Cluster",POWER(Upgrades!$U$14,F284),1)*IF(Upgrades!$T$15="Open Cluster",POWER(Upgrades!$U$15,G284),1)*IF(Upgrades!$T$16="Open Cluster",POWER(Upgrades!$U$16,H284),1)*IF(Upgrades!$T$17="Open Cluster",POWER(Upgrades!$U$17,I284),1)*IF(Upgrades!$T$18="Open Cluster",POWER(Upgrades!$U$18,J284),1)*IF(Upgrades!$T$19="Open Cluster",POWER(Upgrades!$U$19,K284),1)*IF(Upgrades!$T$21="Open Cluster",POWER(Upgrades!$U$21,M284),1))+(IF(M284=0,0,(Upgrades!$J$21+M284*Upgrades!$K$21)*POWER(Upgrades!$L$21,M284)))*(IF(Upgrades!$T$13="Moving Group",POWER(Upgrades!$U$13,E284),1)*IF(Upgrades!$T$14="Moving Group",POWER(Upgrades!$U$14,F284),1)*IF(Upgrades!$T$15="Moving Group",POWER(Upgrades!$U$15,G284),1)*IF(Upgrades!$T$16="Moving Group",POWER(Upgrades!$U$16,H284),1)*IF(Upgrades!$T$17="Moving Group",POWER(Upgrades!$U$17,I284),1)*IF(Upgrades!$T$18="Moving Group",POWER(Upgrades!$U$18,J284),1)*IF(Upgrades!$T$19="Moving Group",POWER(Upgrades!$U$19,K284),1)*IF(Upgrades!$T$20="Moving Group",POWER(Upgrades!$U$20,L284),1)))*POWER(Upgrades!$Q$13,E284)*POWER(Upgrades!$Q$14,F284)*POWER(Upgrades!$Q$15,G284)*POWER(Upgrades!$Q$16,H284)*POWER(Upgrades!$Q$17,I284)*POWER(Upgrades!$Q$18,J284)*POWER(Upgrades!$Q$19,K284)*POWER(Upgrades!$Q$20,L284)*POWER(Upgrades!$Q$21,M284)*$G$6+$D$6</f>
        <v/>
      </c>
      <c r="P284" s="28">
        <f>((IF(E284=0,0,(Upgrades!$G$13+E284*Upgrades!$H$13)*POWER(Upgrades!$I$13,E284)))*(IF(Upgrades!$T$14="Stellar Kinematics",POWER(Upgrades!$U$14,F284),1)*IF(Upgrades!$T$15="Stellar Kinematics",POWER(Upgrades!$U$15,G284),1)*IF(Upgrades!$T$16="Stellar Kinematics",POWER(Upgrades!$U$16,H284),1)*IF(Upgrades!$T$17="Stellar Kinematics",POWER(Upgrades!$U$17,I284),1)*IF(Upgrades!$T$18="Stellar Kinematics",POWER(Upgrades!$U$18,J284),1)*IF(Upgrades!$T$19="Stellar Kinematics",POWER(Upgrades!$U$19,K284),1)*IF(Upgrades!$T$20="Stellar Kinematics",POWER(Upgrades!$U$20,L284),1)*IF(Upgrades!$T$21="Stellar Kinematics",POWER(Upgrades!$U$21,M284),1))+(IF(F284=0,0,(Upgrades!$G$14+F284*Upgrades!$H$14)*POWER(Upgrades!$I$14,F284)))*(IF(Upgrades!$T$13="Local Bubble",POWER(Upgrades!$U$13,E284),1)*IF(Upgrades!$T$15="Local Bubble",POWER(Upgrades!$U$15,G284),1)*IF(Upgrades!$T$16="Local Bubble",POWER(Upgrades!$U$16,H284),1)*IF(Upgrades!$T$17="Local Bubble",POWER(Upgrades!$U$17,I284),1)*IF(Upgrades!$T$18="Local Bubble",POWER(Upgrades!$U$18,J284),1)*IF(Upgrades!$T$19="Local Bubble",POWER(Upgrades!$U$19,K284),1)*IF(Upgrades!$T$20="Local Bubble",POWER(Upgrades!$U$20,L284),1)*IF(Upgrades!$T$21="Local Bubble",POWER(Upgrades!$U$21,M284),1))+(IF(G284=0,0,(Upgrades!$G$15+G284*Upgrades!$H$15)*POWER(Upgrades!$I$15,G284)))*(IF(Upgrades!$T$13="Microlensing",POWER(Upgrades!$U$13,E284),1)*IF(Upgrades!$T$14="Microlensing",POWER(Upgrades!$U$14,F284),1)*IF(Upgrades!$T$16="Microlensing",POWER(Upgrades!$U$16,H284),1)*IF(Upgrades!$T$17="Microlensing",POWER(Upgrades!$U$17,I284),1)*IF(Upgrades!$T$18="Microlensing",POWER(Upgrades!$U$18,J284),1)*IF(Upgrades!$T$19="Microlensing",POWER(Upgrades!$U$19,K284),1)*IF(Upgrades!$T$20="Microlensing",POWER(Upgrades!$U$20,L284),1)*IF(Upgrades!$T$21="Microlensing",POWER(Upgrades!$U$21,M284),1))+(IF(H284=0,0,(Upgrades!$G$16+H284*Upgrades!$H$16)*POWER(Upgrades!$I$16,H284)))*(IF(Upgrades!$T$13="Roche Lobe Overflow",POWER(Upgrades!$U$13,E284),1)*IF(Upgrades!$T$14="Roche Lobe Overflow",POWER(Upgrades!$U$14,F284),1)*IF(Upgrades!$T$15="Roche Lobe Overflow",POWER(Upgrades!$U$15,G284),1)*IF(Upgrades!$T$17="Roche Lobe Overflow",POWER(Upgrades!$U$17,I284),1)*IF(Upgrades!$T$18="Roche Lobe Overflow",POWER(Upgrades!$U$18,J284),1)*IF(Upgrades!$T$19="Roche Lobe Overflow",POWER(Upgrades!$U$19,K284),1)*IF(Upgrades!$T$20="Roche Lobe Overflow",POWER(Upgrades!$U$20,L284),1)*IF(Upgrades!$T$21="Roche Lobe Overflow",POWER(Upgrades!$U$21,M284),1))+(IF(I284=0,0,(Upgrades!$G$17+I284*Upgrades!$H$17)*POWER(Upgrades!$I$17,I284)))*(IF(Upgrades!$T$13="Brown Dwarf",POWER(Upgrades!$U$13,E284),1)*IF(Upgrades!$T$14="Brown Dwarf",POWER(Upgrades!$U$14,F284),1)*IF(Upgrades!$T$15="Brown Dwarf",POWER(Upgrades!$U$15,G284),1)*IF(Upgrades!$T$16="Brown Dwarf",POWER(Upgrades!$U$16,H284),1)*IF(Upgrades!$T$18="Brown Dwarf",POWER(Upgrades!$U$18,J284),1)*IF(Upgrades!$T$19="Brown Dwarf",POWER(Upgrades!$U$19,K284),1)*IF(Upgrades!$T$20="Brown Dwarf",POWER(Upgrades!$U$20,L284),1)*IF(Upgrades!$T$21="Brown Dwarf",POWER(Upgrades!$U$21,M284),1))+(IF(J284=0,0,(Upgrades!$G$18+J284*Upgrades!$H$18)*POWER(Upgrades!$I$18,J284)))*(IF(Upgrades!$T$13="Binary Partner",POWER(Upgrades!$U$13,E284),1)*IF(Upgrades!$T$14="Binary Partner",POWER(Upgrades!$U$14,F284),1)*IF(Upgrades!$T$15="Binary Partner",POWER(Upgrades!$U$15,G284),1)*IF(Upgrades!$T$16="Binary Partner",POWER(Upgrades!$U$16,H284),1)*IF(Upgrades!$T$17="Binary Partner",POWER(Upgrades!$U$17,I284),1)*IF(Upgrades!$T$19="Binary Partner",POWER(Upgrades!$U$19,K284),1)*IF(Upgrades!$T$20="Binary Partner",POWER(Upgrades!$U$20,L284),1)*IF(Upgrades!$T$21="Binary Partner",POWER(Upgrades!$U$21,M284),1))+(IF(K284=0,0,(Upgrades!$G$19+K284*Upgrades!$H$19)*POWER(Upgrades!$I$19,K284)))*(IF(Upgrades!$T$13="Peculiar Velocity",POWER(Upgrades!$U$13,E284),1)*IF(Upgrades!$T$14="Peculiar Velocity",POWER(Upgrades!$U$14,F284),1)*IF(Upgrades!$T$15="Peculiar Velocity",POWER(Upgrades!$U$15,G284),1)*IF(Upgrades!$T$16="Peculiar Velocity",POWER(Upgrades!$U$16,H284),1)*IF(Upgrades!$T$17="Peculiar Velocity",POWER(Upgrades!$U$17,I284),1)*IF(Upgrades!$T$18="Peculiar Velocity",POWER(Upgrades!$U$18,J284),1)*IF(Upgrades!$T$20="Peculiar Velocity",POWER(Upgrades!$U$20,L284),1)*IF(Upgrades!$T$21="Peculiar Velocity",POWER(Upgrades!$U$21,M284),1))+(IF(L284=0,0,(Upgrades!$G$20+L284*Upgrades!$H$20)*POWER(Upgrades!$I$20,L284)))*(IF(Upgrades!$T$13="Open Cluster",POWER(Upgrades!$U$13,E284),1)*IF(Upgrades!$T$14="Open Cluster",POWER(Upgrades!$U$14,F284),1)*IF(Upgrades!$T$15="Open Cluster",POWER(Upgrades!$U$15,G284),1)*IF(Upgrades!$T$16="Open Cluster",POWER(Upgrades!$U$16,H284),1)*IF(Upgrades!$T$17="Open Cluster",POWER(Upgrades!$U$17,I284),1)*IF(Upgrades!$T$18="Open Cluster",POWER(Upgrades!$U$18,J284),1)*IF(Upgrades!$T$19="Open Cluster",POWER(Upgrades!$U$19,K284),1)*IF(Upgrades!$T$21="Open Cluster",POWER(Upgrades!$U$21,M284),1))+(IF(M284=0,0,(Upgrades!$G$21+M284*Upgrades!$H$21)*POWER(Upgrades!$I$21,M284)))*(IF(Upgrades!$T$13="Moving Group",POWER(Upgrades!$U$13,E284),1)*IF(Upgrades!$T$14="Moving Group",POWER(Upgrades!$U$14,F284),1)*IF(Upgrades!$T$15="Moving Group",POWER(Upgrades!$U$15,G284),1)*IF(Upgrades!$T$16="Moving Group",POWER(Upgrades!$U$16,H284),1)*IF(Upgrades!$T$17="Moving Group",POWER(Upgrades!$U$17,I284),1)*IF(Upgrades!$T$18="Moving Group",POWER(Upgrades!$U$18,J284),1)*IF(Upgrades!$T$19="Moving Group",POWER(Upgrades!$U$19,K284),1)*IF(Upgrades!$T$20="Moving Group",POWER(Upgrades!$U$20,L284),1)))*POWER(Upgrades!$P$13,E284)*POWER(Upgrades!$P$14,F284)*POWER(Upgrades!$P$15,G284)*POWER(Upgrades!$P$16,H284)*POWER(Upgrades!$P$17,I284)*POWER(Upgrades!$P$18,J284)*POWER(Upgrades!$P$19,K284)*POWER(Upgrades!$P$20,L284)*POWER(Upgrades!$P$21,M284)*$F$6+$C$6</f>
        <v/>
      </c>
      <c r="Q284" s="28">
        <f>((IF(E284=0,0,(Upgrades!$M$13+E284*Upgrades!$N$13)*POWER(Upgrades!$O$13,E284)))*(IF(Upgrades!$T$14="Stellar Kinematics",POWER(Upgrades!$U$14,F284),1)*IF(Upgrades!$T$15="Stellar Kinematics",POWER(Upgrades!$U$15,G284),1)*IF(Upgrades!$T$16="Stellar Kinematics",POWER(Upgrades!$U$16,H284),1)*IF(Upgrades!$T$17="Stellar Kinematics",POWER(Upgrades!$U$17,I284),1)*IF(Upgrades!$T$18="Stellar Kinematics",POWER(Upgrades!$U$18,J284),1)*IF(Upgrades!$T$19="Stellar Kinematics",POWER(Upgrades!$U$19,K284),1)*IF(Upgrades!$T$20="Stellar Kinematics",POWER(Upgrades!$U$20,L284),1)*IF(Upgrades!$T$21="Stellar Kinematics",POWER(Upgrades!$U$21,M284),1))+(IF(F284=0,0,(Upgrades!$M$14+F284*Upgrades!$N$14)*POWER(Upgrades!$O$14,F284)))*(IF(Upgrades!$T$13="Local Bubble",POWER(Upgrades!$U$13,E284),1)*IF(Upgrades!$T$15="Local Bubble",POWER(Upgrades!$U$15,G284),1)*IF(Upgrades!$T$16="Local Bubble",POWER(Upgrades!$U$16,H284),1)*IF(Upgrades!$T$17="Local Bubble",POWER(Upgrades!$U$17,I284),1)*IF(Upgrades!$T$18="Local Bubble",POWER(Upgrades!$U$18,J284),1)*IF(Upgrades!$T$19="Local Bubble",POWER(Upgrades!$U$19,K284),1)*IF(Upgrades!$T$20="Local Bubble",POWER(Upgrades!$U$20,L284),1)*IF(Upgrades!$T$21="Local Bubble",POWER(Upgrades!$U$21,M284),1))+(IF(G284=0,0,(Upgrades!$M$15+G284*Upgrades!$N$15)*POWER(Upgrades!$O$15,G284)))*(IF(Upgrades!$T$13="Microlensing",POWER(Upgrades!$U$13,E284),1)*IF(Upgrades!$T$14="Microlensing",POWER(Upgrades!$U$14,F284),1)*IF(Upgrades!$T$16="Microlensing",POWER(Upgrades!$U$16,H284),1)*IF(Upgrades!$T$17="Microlensing",POWER(Upgrades!$U$17,I284),1)*IF(Upgrades!$T$18="Microlensing",POWER(Upgrades!$U$18,J284),1)*IF(Upgrades!$T$19="Microlensing",POWER(Upgrades!$U$19,K284),1)*IF(Upgrades!$T$20="Microlensing",POWER(Upgrades!$U$20,L284),1)*IF(Upgrades!$T$21="Microlensing",POWER(Upgrades!$U$21,M284),1))+(IF(H284=0,0,(Upgrades!$M$16+H284*Upgrades!$N$16)*POWER(Upgrades!$O$16,H284)))*(IF(Upgrades!$T$13="Roche Lobe Overflow",POWER(Upgrades!$U$13,E284),1)*IF(Upgrades!$T$14="Roche Lobe Overflow",POWER(Upgrades!$U$14,F284),1)*IF(Upgrades!$T$15="Roche Lobe Overflow",POWER(Upgrades!$U$15,G284),1)*IF(Upgrades!$T$17="Roche Lobe Overflow",POWER(Upgrades!$U$17,I284),1)*IF(Upgrades!$T$18="Roche Lobe Overflow",POWER(Upgrades!$U$18,J284),1)*IF(Upgrades!$T$19="Roche Lobe Overflow",POWER(Upgrades!$U$19,K284),1)*IF(Upgrades!$T$20="Roche Lobe Overflow",POWER(Upgrades!$U$20,L284),1)*IF(Upgrades!$T$21="Roche Lobe Overflow",POWER(Upgrades!$U$21,M284),1))+(IF(I284=0,0,(Upgrades!$M$17+I284*Upgrades!$N$17)*POWER(Upgrades!$O$17,I284)))*(IF(Upgrades!$T$13="Brown Dwarf",POWER(Upgrades!$U$13,E284),1)*IF(Upgrades!$T$14="Brown Dwarf",POWER(Upgrades!$U$14,F284),1)*IF(Upgrades!$T$15="Brown Dwarf",POWER(Upgrades!$U$15,G284),1)*IF(Upgrades!$T$16="Brown Dwarf",POWER(Upgrades!$U$16,H284),1)*IF(Upgrades!$T$18="Brown Dwarf",POWER(Upgrades!$U$18,J284),1)*IF(Upgrades!$T$19="Brown Dwarf",POWER(Upgrades!$U$19,K284),1)*IF(Upgrades!$T$20="Brown Dwarf",POWER(Upgrades!$U$20,L284),1)*IF(Upgrades!$T$21="Brown Dwarf",POWER(Upgrades!$U$21,M284),1))+(IF(J284=0,0,(Upgrades!$M$18+J284*Upgrades!$N$18)*POWER(Upgrades!$O$18,J284)))*(IF(Upgrades!$T$13="Binary Partner",POWER(Upgrades!$U$13,E284),1)*IF(Upgrades!$T$14="Binary Partner",POWER(Upgrades!$U$14,F284),1)*IF(Upgrades!$T$15="Binary Partner",POWER(Upgrades!$U$15,G284),1)*IF(Upgrades!$T$16="Binary Partner",POWER(Upgrades!$U$16,H284),1)*IF(Upgrades!$T$17="Binary Partner",POWER(Upgrades!$U$17,I284),1)*IF(Upgrades!$T$19="Binary Partner",POWER(Upgrades!$U$19,K284),1)*IF(Upgrades!$T$20="Binary Partner",POWER(Upgrades!$U$20,L284),1)*IF(Upgrades!$T$21="Binary Partner",POWER(Upgrades!$U$21,M284),1))+(IF(K284=0,0,(Upgrades!$M$19+K284*Upgrades!$N$19)*POWER(Upgrades!$O$19,K284)))*(IF(Upgrades!$T$13="Peculiar Velocity",POWER(Upgrades!$U$13,E284),1)*IF(Upgrades!$T$14="Peculiar Velocity",POWER(Upgrades!$U$14,F284),1)*IF(Upgrades!$T$15="Peculiar Velocity",POWER(Upgrades!$U$15,G284),1)*IF(Upgrades!$T$16="Peculiar Velocity",POWER(Upgrades!$U$16,H284),1)*IF(Upgrades!$T$17="Peculiar Velocity",POWER(Upgrades!$U$17,I284),1)*IF(Upgrades!$T$18="Peculiar Velocity",POWER(Upgrades!$U$18,J284),1)*IF(Upgrades!$T$20="Peculiar Velocity",POWER(Upgrades!$U$20,L284),1)*IF(Upgrades!$T$21="Peculiar Velocity",POWER(Upgrades!$U$21,M284),1))+(IF(L284=0,0,(Upgrades!$M$20+L284*Upgrades!$N$20)*POWER(Upgrades!$O$20,L284)))*(IF(Upgrades!$T$13="Open Cluster",POWER(Upgrades!$U$13,E284),1)*IF(Upgrades!$T$14="Open Cluster",POWER(Upgrades!$U$14,F284),1)*IF(Upgrades!$T$15="Open Cluster",POWER(Upgrades!$U$15,G284),1)*IF(Upgrades!$T$16="Open Cluster",POWER(Upgrades!$U$16,H284),1)*IF(Upgrades!$T$17="Open Cluster",POWER(Upgrades!$U$17,I284),1)*IF(Upgrades!$T$18="Open Cluster",POWER(Upgrades!$U$18,J284),1)*IF(Upgrades!$T$19="Open Cluster",POWER(Upgrades!$U$19,K284),1)*IF(Upgrades!$T$21="Open Cluster",POWER(Upgrades!$U$21,M284),1))+(IF(M284=0,0,(Upgrades!$M$21+M284*Upgrades!$N$21)*POWER(Upgrades!$O$21,M284)))*(IF(Upgrades!$T$13="Moving Group",POWER(Upgrades!$U$13,E284),1)*IF(Upgrades!$T$14="Moving Group",POWER(Upgrades!$U$14,F284),1)*IF(Upgrades!$T$15="Moving Group",POWER(Upgrades!$U$15,G284),1)*IF(Upgrades!$T$16="Moving Group",POWER(Upgrades!$U$16,H284),1)*IF(Upgrades!$T$17="Moving Group",POWER(Upgrades!$U$17,I284),1)*IF(Upgrades!$T$18="Moving Group",POWER(Upgrades!$U$18,J284),1)*IF(Upgrades!$T$19="Moving Group",POWER(Upgrades!$U$19,K284),1)*IF(Upgrades!$T$20="Moving Group",POWER(Upgrades!$U$20,L284),1)))*POWER(Upgrades!$R$13,E284)*POWER(Upgrades!$R$14,F284)*POWER(Upgrades!$R$15,G284)*POWER(Upgrades!$R$16,H284)*POWER(Upgrades!$R$17,I284)*POWER(Upgrades!$R$18,J284)*POWER(Upgrades!$R$19,K284)*POWER(Upgrades!$R$20,L284)*POWER(Upgrades!$R$21,M284)*$H$6+$E$6</f>
        <v/>
      </c>
      <c r="R284" s="27">
        <f>IF(N284=1,0,O284*Parameters!$B$10/60*Parameters!$B$11*10)</f>
        <v/>
      </c>
      <c r="S284" s="27">
        <f>IF(N284=1,0,Q284*O284*10)</f>
        <v/>
      </c>
      <c r="T284" s="27">
        <f>IF(N284=1,0,R284+S284+P284*10)</f>
        <v/>
      </c>
      <c r="U284" s="33">
        <f>BE284</f>
        <v/>
      </c>
      <c r="V284" s="22">
        <f>IF(U284="",0,IF(U284="transition",0,IF(U284="SK",AK284,IF(U284="LB",AL284,IF(U284="ML",AM284,IF(U284="RLO",AN284,IF(U284="BD",AO284,IF(U284="BiP",AP284,IF(U284="PV",AQ284,IF(U284="OC",AR284,IF(U284="MG",AS284,0))))))))))</f>
        <v/>
      </c>
      <c r="W284" s="27">
        <f>IF(U284="BiP",Upgrades!$F$18,IF(U284="PV",Upgrades!$F$19,IF(U284="OC",Upgrades!$F$20,IF(U284="MG",Upgrades!$F$21,IF(U284="transition",-Parameters!$B$18*Parameters!$B$19,0)))))</f>
        <v/>
      </c>
      <c r="X284" s="22">
        <f>C284+T284-V284</f>
        <v/>
      </c>
      <c r="Y284" s="30">
        <f>O284*Parameters!$B$10/60*Parameters!$B$11+Q284*O284+P284</f>
        <v/>
      </c>
      <c r="Z284" s="34">
        <f>IF(U284="transition","→ Tier 3 (Galactic Arm)",IF(U284="MG","Moving Group — pocket drifts together",IF(U284="OC","Open Cluster acquired",IF(U284="PV","Peculiar Velocity — passive multiplier active",IF(U284="BiP","Binary Partner — pair bond formed",IF(AND(AU284=1,N284=0,AT284&lt;&gt;1),"Cohesion ready (waiting on completionists)","")))))) </f>
        <v/>
      </c>
      <c r="AA284" s="27">
        <f>(IF(E284=0,0,(Upgrades!$G$13+E284*Upgrades!$H$13)*POWER(Upgrades!$I$13,E284)))*(IF(Upgrades!$T$14="Stellar Kinematics",POWER(Upgrades!$U$14,F284),1)*IF(Upgrades!$T$15="Stellar Kinematics",POWER(Upgrades!$U$15,G284),1)*IF(Upgrades!$T$16="Stellar Kinematics",POWER(Upgrades!$U$16,H284),1)*IF(Upgrades!$T$17="Stellar Kinematics",POWER(Upgrades!$U$17,I284),1)*IF(Upgrades!$T$18="Stellar Kinematics",POWER(Upgrades!$U$18,J284),1)*IF(Upgrades!$T$19="Stellar Kinematics",POWER(Upgrades!$U$19,K284),1)*IF(Upgrades!$T$20="Stellar Kinematics",POWER(Upgrades!$U$20,L284),1)*IF(Upgrades!$T$21="Stellar Kinematics",POWER(Upgrades!$U$21,M284),1))*POWER(Upgrades!$P$13,E284)*POWER(Upgrades!$P$14,F284)*POWER(Upgrades!$P$15,G284)*POWER(Upgrades!$P$16,H284)*POWER(Upgrades!$P$17,I284)*POWER(Upgrades!$P$18,J284)*POWER(Upgrades!$P$19,K284)*POWER(Upgrades!$P$20,L284)*POWER(Upgrades!$P$21,M284)*$F$6*60</f>
        <v/>
      </c>
      <c r="AB284" s="27">
        <f>(IF(F284=0,0,(Upgrades!$G$14+F284*Upgrades!$H$14)*POWER(Upgrades!$I$14,F284)))*(IF(Upgrades!$T$13="Local Bubble",POWER(Upgrades!$U$13,E284),1)*IF(Upgrades!$T$15="Local Bubble",POWER(Upgrades!$U$15,G284),1)*IF(Upgrades!$T$16="Local Bubble",POWER(Upgrades!$U$16,H284),1)*IF(Upgrades!$T$17="Local Bubble",POWER(Upgrades!$U$17,I284),1)*IF(Upgrades!$T$18="Local Bubble",POWER(Upgrades!$U$18,J284),1)*IF(Upgrades!$T$19="Local Bubble",POWER(Upgrades!$U$19,K284),1)*IF(Upgrades!$T$20="Local Bubble",POWER(Upgrades!$U$20,L284),1)*IF(Upgrades!$T$21="Local Bubble",POWER(Upgrades!$U$21,M284),1))*POWER(Upgrades!$P$13,E284)*POWER(Upgrades!$P$14,F284)*POWER(Upgrades!$P$15,G284)*POWER(Upgrades!$P$16,H284)*POWER(Upgrades!$P$17,I284)*POWER(Upgrades!$P$18,J284)*POWER(Upgrades!$P$19,K284)*POWER(Upgrades!$P$20,L284)*POWER(Upgrades!$P$21,M284)*$F$6*60</f>
        <v/>
      </c>
      <c r="AC284" s="27">
        <f>(IF(G284=0,0,(Upgrades!$J$15+G284*Upgrades!$K$15)*POWER(Upgrades!$L$15,G284)))*(IF(Upgrades!$T$13="Microlensing",POWER(Upgrades!$U$13,E284),1)*IF(Upgrades!$T$14="Microlensing",POWER(Upgrades!$U$14,F284),1)*IF(Upgrades!$T$16="Microlensing",POWER(Upgrades!$U$16,H284),1)*IF(Upgrades!$T$17="Microlensing",POWER(Upgrades!$U$17,I284),1)*IF(Upgrades!$T$18="Microlensing",POWER(Upgrades!$U$18,J284),1)*IF(Upgrades!$T$19="Microlensing",POWER(Upgrades!$U$19,K284),1)*IF(Upgrades!$T$20="Microlensing",POWER(Upgrades!$U$20,L284),1)*IF(Upgrades!$T$21="Microlensing",POWER(Upgrades!$U$21,M284),1))*POWER(Upgrades!$Q$13,E284)*POWER(Upgrades!$Q$14,F284)*POWER(Upgrades!$Q$15,G284)*POWER(Upgrades!$Q$16,H284)*POWER(Upgrades!$Q$17,I284)*POWER(Upgrades!$Q$18,J284)*POWER(Upgrades!$Q$19,K284)*POWER(Upgrades!$Q$20,L284)*POWER(Upgrades!$Q$21,M284)*$G$6*(Parameters!$B$10*Parameters!$B$11+Q284*60)</f>
        <v/>
      </c>
      <c r="AD284" s="27">
        <f>(IF(H284=0,0,(Upgrades!$M$16+H284*Upgrades!$N$16)*POWER(Upgrades!$O$16,H284)))*(IF(Upgrades!$T$13="Roche Lobe Overflow",POWER(Upgrades!$U$13,E284),1)*IF(Upgrades!$T$14="Roche Lobe Overflow",POWER(Upgrades!$U$14,F284),1)*IF(Upgrades!$T$15="Roche Lobe Overflow",POWER(Upgrades!$U$15,G284),1)*IF(Upgrades!$T$17="Roche Lobe Overflow",POWER(Upgrades!$U$17,I284),1)*IF(Upgrades!$T$18="Roche Lobe Overflow",POWER(Upgrades!$U$18,J284),1)*IF(Upgrades!$T$19="Roche Lobe Overflow",POWER(Upgrades!$U$19,K284),1)*IF(Upgrades!$T$20="Roche Lobe Overflow",POWER(Upgrades!$U$20,L284),1)*IF(Upgrades!$T$21="Roche Lobe Overflow",POWER(Upgrades!$U$21,M284),1))*POWER(Upgrades!$R$13,E284)*POWER(Upgrades!$R$14,F284)*POWER(Upgrades!$R$15,G284)*POWER(Upgrades!$R$16,H284)*POWER(Upgrades!$R$17,I284)*POWER(Upgrades!$R$18,J284)*POWER(Upgrades!$R$19,K284)*POWER(Upgrades!$R$20,L284)*POWER(Upgrades!$R$21,M284)*$H$6*O284*60</f>
        <v/>
      </c>
      <c r="AE284" s="27">
        <f>(IF(I284=0,0,(Upgrades!$G$17+I284*Upgrades!$H$17)*POWER(Upgrades!$I$17,I284)))*(IF(Upgrades!$T$13="Brown Dwarf",POWER(Upgrades!$U$13,E284),1)*IF(Upgrades!$T$14="Brown Dwarf",POWER(Upgrades!$U$14,F284),1)*IF(Upgrades!$T$15="Brown Dwarf",POWER(Upgrades!$U$15,G284),1)*IF(Upgrades!$T$16="Brown Dwarf",POWER(Upgrades!$U$16,H284),1)*IF(Upgrades!$T$18="Brown Dwarf",POWER(Upgrades!$U$18,J284),1)*IF(Upgrades!$T$19="Brown Dwarf",POWER(Upgrades!$U$19,K284),1)*IF(Upgrades!$T$20="Brown Dwarf",POWER(Upgrades!$U$20,L284),1)*IF(Upgrades!$T$21="Brown Dwarf",POWER(Upgrades!$U$21,M284),1))*POWER(Upgrades!$P$13,E284)*POWER(Upgrades!$P$14,F284)*POWER(Upgrades!$P$15,G284)*POWER(Upgrades!$P$16,H284)*POWER(Upgrades!$P$17,I284)*POWER(Upgrades!$P$18,J284)*POWER(Upgrades!$P$19,K284)*POWER(Upgrades!$P$20,L284)*POWER(Upgrades!$P$21,M284)*$F$6*60</f>
        <v/>
      </c>
      <c r="AF284" s="27" t="n">
        <v>0</v>
      </c>
      <c r="AG284" s="27" t="n">
        <v>0</v>
      </c>
      <c r="AH284" s="27" t="n">
        <v>0</v>
      </c>
      <c r="AI284" s="27">
        <f>(IF(M284=0,0,(Upgrades!$G$21+M284*Upgrades!$H$21)*POWER(Upgrades!$I$21,M284)))*(IF(Upgrades!$T$13="Moving Group",POWER(Upgrades!$U$13,E284),1)*IF(Upgrades!$T$14="Moving Group",POWER(Upgrades!$U$14,F284),1)*IF(Upgrades!$T$15="Moving Group",POWER(Upgrades!$U$15,G284),1)*IF(Upgrades!$T$16="Moving Group",POWER(Upgrades!$U$16,H284),1)*IF(Upgrades!$T$17="Moving Group",POWER(Upgrades!$U$17,I284),1)*IF(Upgrades!$T$18="Moving Group",POWER(Upgrades!$U$18,J284),1)*IF(Upgrades!$T$19="Moving Group",POWER(Upgrades!$U$19,K284),1)*IF(Upgrades!$T$20="Moving Group",POWER(Upgrades!$U$20,L284),1))*POWER(Upgrades!$P$13,E284)*POWER(Upgrades!$P$14,F284)*POWER(Upgrades!$P$15,G284)*POWER(Upgrades!$P$16,H284)*POWER(Upgrades!$P$17,I284)*POWER(Upgrades!$P$18,J284)*POWER(Upgrades!$P$19,K284)*POWER(Upgrades!$P$20,L284)*POWER(Upgrades!$P$21,M284)*$F$6*60</f>
        <v/>
      </c>
      <c r="AJ284" s="27">
        <f>$C$6*60</f>
        <v/>
      </c>
      <c r="AK284" s="22">
        <f>IF(E284&gt;=Upgrades!$E$13,"",Upgrades!$C$13*POWER(Upgrades!$D$13,E284))</f>
        <v/>
      </c>
      <c r="AL284" s="22">
        <f>IF(F284&gt;=Upgrades!$E$14,"",Upgrades!$C$14*POWER(Upgrades!$D$14,F284))</f>
        <v/>
      </c>
      <c r="AM284" s="22">
        <f>IF(G284&gt;=Upgrades!$E$15,"",Upgrades!$C$15*POWER(Upgrades!$D$15,G284))</f>
        <v/>
      </c>
      <c r="AN284" s="22">
        <f>IF(H284&gt;=Upgrades!$E$16,"",Upgrades!$C$16*POWER(Upgrades!$D$16,H284))</f>
        <v/>
      </c>
      <c r="AO284" s="22">
        <f>IF(I284&gt;=Upgrades!$E$17,"",Upgrades!$C$17*POWER(Upgrades!$D$17,I284))</f>
        <v/>
      </c>
      <c r="AP284" s="22">
        <f>IF(J284&gt;=Upgrades!$E$18,"",Upgrades!$C$18*POWER(Upgrades!$D$18,J284))</f>
        <v/>
      </c>
      <c r="AQ284" s="22">
        <f>IF(K284&gt;=Upgrades!$E$19,"",Upgrades!$C$19*POWER(Upgrades!$D$19,K284))</f>
        <v/>
      </c>
      <c r="AR284" s="22">
        <f>IF(L284&gt;=Upgrades!$E$20,"",Upgrades!$C$20*POWER(Upgrades!$D$20,L284))</f>
        <v/>
      </c>
      <c r="AS284" s="22">
        <f>IF(M284&gt;=Upgrades!$E$21,"",Upgrades!$C$21*POWER(Upgrades!$D$21,M284))</f>
        <v/>
      </c>
      <c r="AT284" s="26">
        <f>IF(AND(D284&gt;=Parameters!$B$18*Parameters!$B$19,(I284&gt;=Upgrades!$E$17)*(M284&gt;=Upgrades!$E$21)=1,N284=0),1,"")</f>
        <v/>
      </c>
      <c r="AU284" s="26">
        <f>IF(AND(D284&gt;=Parameters!$B$18*Parameters!$B$19,N284=0),1,"")</f>
        <v/>
      </c>
      <c r="AV284" s="22">
        <f>MIN(IF(ISNUMBER(AP284),AP284,9E15),IF(ISNUMBER(AQ284),AQ284,9E15),IF(ISNUMBER(AR284),AR284,9E15),IF(ISNUMBER(AS284),AS284,9E15))</f>
        <v/>
      </c>
      <c r="AW284" s="22">
        <f>MIN(IF(ISNUMBER(AK284),AK284,9E15),IF(ISNUMBER(AL284),AL284,9E15),IF(ISNUMBER(AM284),AM284,9E15),IF(ISNUMBER(AN284),AN284,9E15),IF(ISNUMBER(AO284),AO284,9E15))</f>
        <v/>
      </c>
      <c r="AX284" s="29">
        <f>IF(BD284&gt;Parameters!$B$21*(MAX(IF(AND(NOT(AND(AU284=1,AT284&lt;&gt;1)),ISNUMBER(AK284),AK284&lt;=(C284+T284)),AY284,0),IF(AND(NOT(AND(AU284=1,AT284&lt;&gt;1)),ISNUMBER(AL284),AL284&lt;=(C284+T284)),AZ284,0),IF(AND(NOT(AND(AU284=1,AT284&lt;&gt;1)),ISNUMBER(AM284),AM284&lt;=(C284+T284)),BA284,0),IF(AND(NOT(AND(AU284=1,AT284&lt;&gt;1)),ISNUMBER(AN284),AN284&lt;=(C284+T284)),BB284,0),IF(AND(ISNUMBER(AO284),AO284&lt;=(C284+T284)),BC284,0))),TRUE,FALSE)</f>
        <v/>
      </c>
      <c r="AY284" s="32">
        <f>IFERROR(Upgrades!$H$13*(POWER(Upgrades!$P$13,E284)*POWER(Upgrades!$P$14,F284)*POWER(Upgrades!$P$15,G284)*POWER(Upgrades!$P$16,H284)*POWER(Upgrades!$P$17,I284)*POWER(Upgrades!$P$18,J284)*POWER(Upgrades!$P$19,K284)*POWER(Upgrades!$P$20,L284)*POWER(Upgrades!$P$21,M284))*(IF(Upgrades!$T$14="Stellar Kinematics",POWER(Upgrades!$U$14,F284),1)*IF(Upgrades!$T$15="Stellar Kinematics",POWER(Upgrades!$U$15,G284),1)*IF(Upgrades!$T$16="Stellar Kinematics",POWER(Upgrades!$U$16,H284),1)*IF(Upgrades!$T$17="Stellar Kinematics",POWER(Upgrades!$U$17,I284),1)*IF(Upgrades!$T$18="Stellar Kinematics",POWER(Upgrades!$U$18,J284),1)*IF(Upgrades!$T$19="Stellar Kinematics",POWER(Upgrades!$U$19,K284),1)*IF(Upgrades!$T$20="Stellar Kinematics",POWER(Upgrades!$U$20,L284),1)*IF(Upgrades!$T$21="Stellar Kinematics",POWER(Upgrades!$U$21,M284),1))*$F$6/AK284,0)</f>
        <v/>
      </c>
      <c r="AZ284" s="32">
        <f>IFERROR(Upgrades!$H$14*(POWER(Upgrades!$P$13,E284)*POWER(Upgrades!$P$14,F284)*POWER(Upgrades!$P$15,G284)*POWER(Upgrades!$P$16,H284)*POWER(Upgrades!$P$17,I284)*POWER(Upgrades!$P$18,J284)*POWER(Upgrades!$P$19,K284)*POWER(Upgrades!$P$20,L284)*POWER(Upgrades!$P$21,M284))*(IF(Upgrades!$T$13="Local Bubble",POWER(Upgrades!$U$13,E284),1)*IF(Upgrades!$T$15="Local Bubble",POWER(Upgrades!$U$15,G284),1)*IF(Upgrades!$T$16="Local Bubble",POWER(Upgrades!$U$16,H284),1)*IF(Upgrades!$T$17="Local Bubble",POWER(Upgrades!$U$17,I284),1)*IF(Upgrades!$T$18="Local Bubble",POWER(Upgrades!$U$18,J284),1)*IF(Upgrades!$T$19="Local Bubble",POWER(Upgrades!$U$19,K284),1)*IF(Upgrades!$T$20="Local Bubble",POWER(Upgrades!$U$20,L284),1)*IF(Upgrades!$T$21="Local Bubble",POWER(Upgrades!$U$21,M284),1))*$F$6/AL284,0)</f>
        <v/>
      </c>
      <c r="BA284" s="32">
        <f>IFERROR(Upgrades!$K$15*(POWER(Upgrades!$Q$13,E284)*POWER(Upgrades!$Q$14,F284)*POWER(Upgrades!$Q$15,G284)*POWER(Upgrades!$Q$16,H284)*POWER(Upgrades!$Q$17,I284)*POWER(Upgrades!$Q$18,J284)*POWER(Upgrades!$Q$19,K284)*POWER(Upgrades!$Q$20,L284)*POWER(Upgrades!$Q$21,M284))*(IF(Upgrades!$T$13="Microlensing",POWER(Upgrades!$U$13,E284),1)*IF(Upgrades!$T$14="Microlensing",POWER(Upgrades!$U$14,F284),1)*IF(Upgrades!$T$16="Microlensing",POWER(Upgrades!$U$16,H284),1)*IF(Upgrades!$T$17="Microlensing",POWER(Upgrades!$U$17,I284),1)*IF(Upgrades!$T$18="Microlensing",POWER(Upgrades!$U$18,J284),1)*IF(Upgrades!$T$19="Microlensing",POWER(Upgrades!$U$19,K284),1)*IF(Upgrades!$T$20="Microlensing",POWER(Upgrades!$U$20,L284),1)*IF(Upgrades!$T$21="Microlensing",POWER(Upgrades!$U$21,M284),1))*$G$6*(Parameters!$B$10/60*Parameters!$B$11+Q284)/AM284,0)</f>
        <v/>
      </c>
      <c r="BB284" s="32">
        <f>IFERROR((Upgrades!$N$16*(POWER(Upgrades!$R$13,E284)*POWER(Upgrades!$R$14,F284)*POWER(Upgrades!$R$15,G284)*POWER(Upgrades!$R$16,H284)*POWER(Upgrades!$R$17,I284)*POWER(Upgrades!$R$18,J284)*POWER(Upgrades!$R$19,K284)*POWER(Upgrades!$R$20,L284)*POWER(Upgrades!$R$21,M284))*(IF(Upgrades!$T$13="Roche Lobe Overflow",POWER(Upgrades!$U$13,E284),1)*IF(Upgrades!$T$14="Roche Lobe Overflow",POWER(Upgrades!$U$14,F284),1)*IF(Upgrades!$T$15="Roche Lobe Overflow",POWER(Upgrades!$U$15,G284),1)*IF(Upgrades!$T$17="Roche Lobe Overflow",POWER(Upgrades!$U$17,I284),1)*IF(Upgrades!$T$18="Roche Lobe Overflow",POWER(Upgrades!$U$18,J284),1)*IF(Upgrades!$T$19="Roche Lobe Overflow",POWER(Upgrades!$U$19,K284),1)*IF(Upgrades!$T$20="Roche Lobe Overflow",POWER(Upgrades!$U$20,L284),1)*IF(Upgrades!$T$21="Roche Lobe Overflow",POWER(Upgrades!$U$21,M284),1))*$H$6*O284+((IF(F284=0,0,(Upgrades!$G$14+F284*Upgrades!$H$14)*POWER(Upgrades!$I$14,F284)))*(IF(Upgrades!$T$13="Local Bubble",POWER(Upgrades!$U$13,E284),1)*IF(Upgrades!$T$15="Local Bubble",POWER(Upgrades!$U$15,G284),1)*IF(Upgrades!$T$16="Local Bubble",POWER(Upgrades!$U$16,H284),1)*IF(Upgrades!$T$17="Local Bubble",POWER(Upgrades!$U$17,I284),1)*IF(Upgrades!$T$18="Local Bubble",POWER(Upgrades!$U$18,J284),1)*IF(Upgrades!$T$19="Local Bubble",POWER(Upgrades!$U$19,K284),1)*IF(Upgrades!$T$20="Local Bubble",POWER(Upgrades!$U$20,L284),1)*IF(Upgrades!$T$21="Local Bubble",POWER(Upgrades!$U$21,M284),1))*POWER(Upgrades!$P$13,E284)*POWER(Upgrades!$P$14,F284)*POWER(Upgrades!$P$15,G284)*POWER(Upgrades!$P$16,H284)*POWER(Upgrades!$P$17,I284)*POWER(Upgrades!$P$18,J284)*POWER(Upgrades!$P$19,K284)*POWER(Upgrades!$P$20,L284)*POWER(Upgrades!$P$21,M284)*$F$6)*0.05)/AN284,0)</f>
        <v/>
      </c>
      <c r="BC284" s="32">
        <f>IFERROR((Upgrades!$H$17*(POWER(Upgrades!$P$13,E284)*POWER(Upgrades!$P$14,F284)*POWER(Upgrades!$P$15,G284)*POWER(Upgrades!$P$16,H284)*POWER(Upgrades!$P$17,I284)*POWER(Upgrades!$P$18,J284)*POWER(Upgrades!$P$19,K284)*POWER(Upgrades!$P$20,L284)*POWER(Upgrades!$P$21,M284))*(IF(Upgrades!$T$13="Brown Dwarf",POWER(Upgrades!$U$13,E284),1)*IF(Upgrades!$T$14="Brown Dwarf",POWER(Upgrades!$U$14,F284),1)*IF(Upgrades!$T$15="Brown Dwarf",POWER(Upgrades!$U$15,G284),1)*IF(Upgrades!$T$16="Brown Dwarf",POWER(Upgrades!$U$16,H284),1)*IF(Upgrades!$T$18="Brown Dwarf",POWER(Upgrades!$U$18,J284),1)*IF(Upgrades!$T$19="Brown Dwarf",POWER(Upgrades!$U$19,K284),1)*IF(Upgrades!$T$20="Brown Dwarf",POWER(Upgrades!$U$20,L284),1)*IF(Upgrades!$T$21="Brown Dwarf",POWER(Upgrades!$U$21,M284),1))*$F$6+(((IF(H284=0,0,(Upgrades!$M$16+H284*Upgrades!$N$16)*POWER(Upgrades!$O$16,H284)))*(IF(Upgrades!$T$13="Roche Lobe Overflow",POWER(Upgrades!$U$13,E284),1)*IF(Upgrades!$T$14="Roche Lobe Overflow",POWER(Upgrades!$U$14,F284),1)*IF(Upgrades!$T$15="Roche Lobe Overflow",POWER(Upgrades!$U$15,G284),1)*IF(Upgrades!$T$17="Roche Lobe Overflow",POWER(Upgrades!$U$17,I284),1)*IF(Upgrades!$T$18="Roche Lobe Overflow",POWER(Upgrades!$U$18,J284),1)*IF(Upgrades!$T$19="Roche Lobe Overflow",POWER(Upgrades!$U$19,K284),1)*IF(Upgrades!$T$20="Roche Lobe Overflow",POWER(Upgrades!$U$20,L284),1)*IF(Upgrades!$T$21="Roche Lobe Overflow",POWER(Upgrades!$U$21,M284),1))*POWER(Upgrades!$R$13,E284)*POWER(Upgrades!$R$14,F284)*POWER(Upgrades!$R$15,G284)*POWER(Upgrades!$R$16,H284)*POWER(Upgrades!$R$17,I284)*POWER(Upgrades!$R$18,J284)*POWER(Upgrades!$R$19,K284)*POWER(Upgrades!$R$20,L284)*POWER(Upgrades!$R$21,M284)*$H$6)*O284)*0.10)/AO284,0)</f>
        <v/>
      </c>
      <c r="BD284" s="32">
        <f>MAX(IF(J284&gt;0,0,IFERROR(0.5*((IF(G284=0,0,(Upgrades!$J$15+G284*Upgrades!$K$15)*POWER(Upgrades!$L$15,G284)))*(IF(Upgrades!$T$13="Microlensing",POWER(Upgrades!$U$13,E284),1)*IF(Upgrades!$T$14="Microlensing",POWER(Upgrades!$U$14,F284),1)*IF(Upgrades!$T$16="Microlensing",POWER(Upgrades!$U$16,H284),1)*IF(Upgrades!$T$17="Microlensing",POWER(Upgrades!$U$17,I284),1)*IF(Upgrades!$T$18="Microlensing",POWER(Upgrades!$U$18,J284),1)*IF(Upgrades!$T$19="Microlensing",POWER(Upgrades!$U$19,K284),1)*IF(Upgrades!$T$20="Microlensing",POWER(Upgrades!$U$20,L284),1)*IF(Upgrades!$T$21="Microlensing",POWER(Upgrades!$U$21,M284),1))*(POWER(Upgrades!$Q$13,E284)*POWER(Upgrades!$Q$14,F284)*POWER(Upgrades!$Q$15,G284)*POWER(Upgrades!$Q$16,H284)*POWER(Upgrades!$Q$17,I284)*POWER(Upgrades!$Q$18,J284)*POWER(Upgrades!$Q$19,K284)*POWER(Upgrades!$Q$20,L284)*POWER(Upgrades!$Q$21,M284))*$G$6*(Parameters!$B$10/60*Parameters!$B$11+Q284))/Upgrades!$C$18,0)),IF(K284&gt;0,0,IFERROR(0.30*P284/Upgrades!$C$19,0)),IF(L284&gt;0,0,IFERROR(0.0001/Upgrades!$C$20,0)),IF(M284&gt;0,0,IFERROR((6.0*(POWER(Upgrades!$P$13,E284)*POWER(Upgrades!$P$14,F284)*POWER(Upgrades!$P$15,G284)*POWER(Upgrades!$P$16,H284)*POWER(Upgrades!$P$17,I284)*POWER(Upgrades!$P$18,J284)*POWER(Upgrades!$P$19,K284)*POWER(Upgrades!$P$20,L284)*POWER(Upgrades!$P$21,M284))*$F$6+0.20*O284*(Parameters!$B$10/60*Parameters!$B$11+Q284))/Upgrades!$C$21,0)),IF(AND(ISNUMBER(AK284),AK284&gt;(C284+T284)),AY284,0),IF(AND(ISNUMBER(AL284),AL284&gt;(C284+T284)),AZ284,0),IF(AND(ISNUMBER(AM284),AM284&gt;(C284+T284)),BA284,0),IF(AND(ISNUMBER(AN284),AN284&gt;(C284+T284)),BB284,0),IF(AND(ISNUMBER(AO284),AO284&gt;(C284+T284)),BC284,0))</f>
        <v/>
      </c>
      <c r="BE284" s="29">
        <f>IF(AT284=1,"transition",IF(MIN(IF(AND(J284=0,ISNUMBER(AP284),AP284&lt;=(C284+T284)),AP284,9E15),IF(AND(K284=0,ISNUMBER(AQ284),AQ284&lt;=(C284+T284)),AQ284,9E15),IF(AND(L284=0,ISNUMBER(AR284),AR284&lt;=(C284+T284)),AR284,9E15),IF(AND(M284=0,ISNUMBER(AS284),AS284&lt;=(C284+T284)),AS284,9E15))&lt;9E15,IF(AND(AND(J284=0,ISNUMBER(AP284),AP284&lt;=(C284+T284)),AP284=MIN(IF(AND(J284=0,ISNUMBER(AP284),AP284&lt;=(C284+T284)),AP284,9E15),IF(AND(K284=0,ISNUMBER(AQ284),AQ284&lt;=(C284+T284)),AQ284,9E15),IF(AND(L284=0,ISNUMBER(AR284),AR284&lt;=(C284+T284)),AR284,9E15),IF(AND(M284=0,ISNUMBER(AS284),AS284&lt;=(C284+T284)),AS284,9E15))),"BiP",IF(AND(AND(K284=0,ISNUMBER(AQ284),AQ284&lt;=(C284+T284)),AQ284=MIN(IF(AND(J284=0,ISNUMBER(AP284),AP284&lt;=(C284+T284)),AP284,9E15),IF(AND(K284=0,ISNUMBER(AQ284),AQ284&lt;=(C284+T284)),AQ284,9E15),IF(AND(L284=0,ISNUMBER(AR284),AR284&lt;=(C284+T284)),AR284,9E15),IF(AND(M284=0,ISNUMBER(AS284),AS284&lt;=(C284+T284)),AS284,9E15))),"PV",IF(AND(AND(L284=0,ISNUMBER(AR284),AR284&lt;=(C284+T284)),AR284=MIN(IF(AND(J284=0,ISNUMBER(AP284),AP284&lt;=(C284+T284)),AP284,9E15),IF(AND(K284=0,ISNUMBER(AQ284),AQ284&lt;=(C284+T284)),AQ284,9E15),IF(AND(L284=0,ISNUMBER(AR284),AR284&lt;=(C284+T284)),AR284,9E15),IF(AND(M284=0,ISNUMBER(AS284),AS284&lt;=(C284+T284)),AS284,9E15))),"OC","MG"))),IF(AX284=TRUE,"",IF(MAX(IF(AND(NOT(AND(AU284=1,AT284&lt;&gt;1)),ISNUMBER(AK284),AK284&lt;=(C284+T284)),AY284,0),IF(AND(NOT(AND(AU284=1,AT284&lt;&gt;1)),ISNUMBER(AL284),AL284&lt;=(C284+T284)),AZ284,0),IF(AND(NOT(AND(AU284=1,AT284&lt;&gt;1)),ISNUMBER(AM284),AM284&lt;=(C284+T284)),BA284,0),IF(AND(NOT(AND(AU284=1,AT284&lt;&gt;1)),ISNUMBER(AN284),AN284&lt;=(C284+T284)),BB284,0),IF(AND(ISNUMBER(AO284),AO284&lt;=(C284+T284)),BC284,0))&lt;=0,"",IF(AND(IF(AND(NOT(AND(AU284=1,AT284&lt;&gt;1)),ISNUMBER(AK284),AK284&lt;=(C284+T284)),AY284,0)&gt;0,IF(AND(NOT(AND(AU284=1,AT284&lt;&gt;1)),ISNUMBER(AK284),AK284&lt;=(C284+T284)),AY284,0)=MAX(IF(AND(NOT(AND(AU284=1,AT284&lt;&gt;1)),ISNUMBER(AK284),AK284&lt;=(C284+T284)),AY284,0),IF(AND(NOT(AND(AU284=1,AT284&lt;&gt;1)),ISNUMBER(AL284),AL284&lt;=(C284+T284)),AZ284,0),IF(AND(NOT(AND(AU284=1,AT284&lt;&gt;1)),ISNUMBER(AM284),AM284&lt;=(C284+T284)),BA284,0),IF(AND(NOT(AND(AU284=1,AT284&lt;&gt;1)),ISNUMBER(AN284),AN284&lt;=(C284+T284)),BB284,0),IF(AND(ISNUMBER(AO284),AO284&lt;=(C284+T284)),BC284,0))),"SK",IF(AND(IF(AND(NOT(AND(AU284=1,AT284&lt;&gt;1)),ISNUMBER(AL284),AL284&lt;=(C284+T284)),AZ284,0)&gt;0,IF(AND(NOT(AND(AU284=1,AT284&lt;&gt;1)),ISNUMBER(AL284),AL284&lt;=(C284+T284)),AZ284,0)=MAX(IF(AND(NOT(AND(AU284=1,AT284&lt;&gt;1)),ISNUMBER(AK284),AK284&lt;=(C284+T284)),AY284,0),IF(AND(NOT(AND(AU284=1,AT284&lt;&gt;1)),ISNUMBER(AL284),AL284&lt;=(C284+T284)),AZ284,0),IF(AND(NOT(AND(AU284=1,AT284&lt;&gt;1)),ISNUMBER(AM284),AM284&lt;=(C284+T284)),BA284,0),IF(AND(NOT(AND(AU284=1,AT284&lt;&gt;1)),ISNUMBER(AN284),AN284&lt;=(C284+T284)),BB284,0),IF(AND(ISNUMBER(AO284),AO284&lt;=(C284+T284)),BC284,0))),"LB",IF(AND(IF(AND(NOT(AND(AU284=1,AT284&lt;&gt;1)),ISNUMBER(AM284),AM284&lt;=(C284+T284)),BA284,0)&gt;0,IF(AND(NOT(AND(AU284=1,AT284&lt;&gt;1)),ISNUMBER(AM284),AM284&lt;=(C284+T284)),BA284,0)=MAX(IF(AND(NOT(AND(AU284=1,AT284&lt;&gt;1)),ISNUMBER(AK284),AK284&lt;=(C284+T284)),AY284,0),IF(AND(NOT(AND(AU284=1,AT284&lt;&gt;1)),ISNUMBER(AL284),AL284&lt;=(C284+T284)),AZ284,0),IF(AND(NOT(AND(AU284=1,AT284&lt;&gt;1)),ISNUMBER(AM284),AM284&lt;=(C284+T284)),BA284,0),IF(AND(NOT(AND(AU284=1,AT284&lt;&gt;1)),ISNUMBER(AN284),AN284&lt;=(C284+T284)),BB284,0),IF(AND(ISNUMBER(AO284),AO284&lt;=(C284+T284)),BC284,0))),"ML",IF(AND(IF(AND(NOT(AND(AU284=1,AT284&lt;&gt;1)),ISNUMBER(AN284),AN284&lt;=(C284+T284)),BB284,0)&gt;0,IF(AND(NOT(AND(AU284=1,AT284&lt;&gt;1)),ISNUMBER(AN284),AN284&lt;=(C284+T284)),BB284,0)=MAX(IF(AND(NOT(AND(AU284=1,AT284&lt;&gt;1)),ISNUMBER(AK284),AK284&lt;=(C284+T284)),AY284,0),IF(AND(NOT(AND(AU284=1,AT284&lt;&gt;1)),ISNUMBER(AL284),AL284&lt;=(C284+T284)),AZ284,0),IF(AND(NOT(AND(AU284=1,AT284&lt;&gt;1)),ISNUMBER(AM284),AM284&lt;=(C284+T284)),BA284,0),IF(AND(NOT(AND(AU284=1,AT284&lt;&gt;1)),ISNUMBER(AN284),AN284&lt;=(C284+T284)),BB284,0),IF(AND(ISNUMBER(AO284),AO284&lt;=(C284+T284)),BC284,0))),"RLO","BD"))))))))</f>
        <v/>
      </c>
    </row>
    <row r="285">
      <c r="A285" s="26" t="n">
        <v>274</v>
      </c>
      <c r="B285" s="27">
        <f>A285*10/60</f>
        <v/>
      </c>
      <c r="C285" s="22">
        <f>X284</f>
        <v/>
      </c>
      <c r="D285" s="27">
        <f>D284+W284</f>
        <v/>
      </c>
      <c r="E285" s="26">
        <f>E284+IF(U284="SK",1,0)</f>
        <v/>
      </c>
      <c r="F285" s="26">
        <f>F284+IF(U284="LB",1,0)</f>
        <v/>
      </c>
      <c r="G285" s="26">
        <f>G284+IF(U284="ML",1,0)</f>
        <v/>
      </c>
      <c r="H285" s="26">
        <f>H284+IF(U284="RLO",1,0)</f>
        <v/>
      </c>
      <c r="I285" s="26">
        <f>I284+IF(U284="BD",1,0)</f>
        <v/>
      </c>
      <c r="J285" s="26">
        <f>MAX(J284,IF(U284="BiP",1,0))</f>
        <v/>
      </c>
      <c r="K285" s="26">
        <f>MAX(K284,IF(U284="PV",1,0))</f>
        <v/>
      </c>
      <c r="L285" s="26">
        <f>MAX(L284,IF(U284="OC",1,0))</f>
        <v/>
      </c>
      <c r="M285" s="26">
        <f>MAX(M284,IF(U284="MG",1,0))</f>
        <v/>
      </c>
      <c r="N285" s="26">
        <f>MAX(N284,IF(U284="transition",1,0))</f>
        <v/>
      </c>
      <c r="O285" s="28">
        <f>(Parameters!$B$9+(IF(E285=0,0,(Upgrades!$J$13+E285*Upgrades!$K$13)*POWER(Upgrades!$L$13,E285)))*(IF(Upgrades!$T$14="Stellar Kinematics",POWER(Upgrades!$U$14,F285),1)*IF(Upgrades!$T$15="Stellar Kinematics",POWER(Upgrades!$U$15,G285),1)*IF(Upgrades!$T$16="Stellar Kinematics",POWER(Upgrades!$U$16,H285),1)*IF(Upgrades!$T$17="Stellar Kinematics",POWER(Upgrades!$U$17,I285),1)*IF(Upgrades!$T$18="Stellar Kinematics",POWER(Upgrades!$U$18,J285),1)*IF(Upgrades!$T$19="Stellar Kinematics",POWER(Upgrades!$U$19,K285),1)*IF(Upgrades!$T$20="Stellar Kinematics",POWER(Upgrades!$U$20,L285),1)*IF(Upgrades!$T$21="Stellar Kinematics",POWER(Upgrades!$U$21,M285),1))+(IF(F285=0,0,(Upgrades!$J$14+F285*Upgrades!$K$14)*POWER(Upgrades!$L$14,F285)))*(IF(Upgrades!$T$13="Local Bubble",POWER(Upgrades!$U$13,E285),1)*IF(Upgrades!$T$15="Local Bubble",POWER(Upgrades!$U$15,G285),1)*IF(Upgrades!$T$16="Local Bubble",POWER(Upgrades!$U$16,H285),1)*IF(Upgrades!$T$17="Local Bubble",POWER(Upgrades!$U$17,I285),1)*IF(Upgrades!$T$18="Local Bubble",POWER(Upgrades!$U$18,J285),1)*IF(Upgrades!$T$19="Local Bubble",POWER(Upgrades!$U$19,K285),1)*IF(Upgrades!$T$20="Local Bubble",POWER(Upgrades!$U$20,L285),1)*IF(Upgrades!$T$21="Local Bubble",POWER(Upgrades!$U$21,M285),1))+(IF(G285=0,0,(Upgrades!$J$15+G285*Upgrades!$K$15)*POWER(Upgrades!$L$15,G285)))*(IF(Upgrades!$T$13="Microlensing",POWER(Upgrades!$U$13,E285),1)*IF(Upgrades!$T$14="Microlensing",POWER(Upgrades!$U$14,F285),1)*IF(Upgrades!$T$16="Microlensing",POWER(Upgrades!$U$16,H285),1)*IF(Upgrades!$T$17="Microlensing",POWER(Upgrades!$U$17,I285),1)*IF(Upgrades!$T$18="Microlensing",POWER(Upgrades!$U$18,J285),1)*IF(Upgrades!$T$19="Microlensing",POWER(Upgrades!$U$19,K285),1)*IF(Upgrades!$T$20="Microlensing",POWER(Upgrades!$U$20,L285),1)*IF(Upgrades!$T$21="Microlensing",POWER(Upgrades!$U$21,M285),1))+(IF(H285=0,0,(Upgrades!$J$16+H285*Upgrades!$K$16)*POWER(Upgrades!$L$16,H285)))*(IF(Upgrades!$T$13="Roche Lobe Overflow",POWER(Upgrades!$U$13,E285),1)*IF(Upgrades!$T$14="Roche Lobe Overflow",POWER(Upgrades!$U$14,F285),1)*IF(Upgrades!$T$15="Roche Lobe Overflow",POWER(Upgrades!$U$15,G285),1)*IF(Upgrades!$T$17="Roche Lobe Overflow",POWER(Upgrades!$U$17,I285),1)*IF(Upgrades!$T$18="Roche Lobe Overflow",POWER(Upgrades!$U$18,J285),1)*IF(Upgrades!$T$19="Roche Lobe Overflow",POWER(Upgrades!$U$19,K285),1)*IF(Upgrades!$T$20="Roche Lobe Overflow",POWER(Upgrades!$U$20,L285),1)*IF(Upgrades!$T$21="Roche Lobe Overflow",POWER(Upgrades!$U$21,M285),1))+(IF(I285=0,0,(Upgrades!$J$17+I285*Upgrades!$K$17)*POWER(Upgrades!$L$17,I285)))*(IF(Upgrades!$T$13="Brown Dwarf",POWER(Upgrades!$U$13,E285),1)*IF(Upgrades!$T$14="Brown Dwarf",POWER(Upgrades!$U$14,F285),1)*IF(Upgrades!$T$15="Brown Dwarf",POWER(Upgrades!$U$15,G285),1)*IF(Upgrades!$T$16="Brown Dwarf",POWER(Upgrades!$U$16,H285),1)*IF(Upgrades!$T$18="Brown Dwarf",POWER(Upgrades!$U$18,J285),1)*IF(Upgrades!$T$19="Brown Dwarf",POWER(Upgrades!$U$19,K285),1)*IF(Upgrades!$T$20="Brown Dwarf",POWER(Upgrades!$U$20,L285),1)*IF(Upgrades!$T$21="Brown Dwarf",POWER(Upgrades!$U$21,M285),1))+(IF(J285=0,0,(Upgrades!$J$18+J285*Upgrades!$K$18)*POWER(Upgrades!$L$18,J285)))*(IF(Upgrades!$T$13="Binary Partner",POWER(Upgrades!$U$13,E285),1)*IF(Upgrades!$T$14="Binary Partner",POWER(Upgrades!$U$14,F285),1)*IF(Upgrades!$T$15="Binary Partner",POWER(Upgrades!$U$15,G285),1)*IF(Upgrades!$T$16="Binary Partner",POWER(Upgrades!$U$16,H285),1)*IF(Upgrades!$T$17="Binary Partner",POWER(Upgrades!$U$17,I285),1)*IF(Upgrades!$T$19="Binary Partner",POWER(Upgrades!$U$19,K285),1)*IF(Upgrades!$T$20="Binary Partner",POWER(Upgrades!$U$20,L285),1)*IF(Upgrades!$T$21="Binary Partner",POWER(Upgrades!$U$21,M285),1))+(IF(K285=0,0,(Upgrades!$J$19+K285*Upgrades!$K$19)*POWER(Upgrades!$L$19,K285)))*(IF(Upgrades!$T$13="Peculiar Velocity",POWER(Upgrades!$U$13,E285),1)*IF(Upgrades!$T$14="Peculiar Velocity",POWER(Upgrades!$U$14,F285),1)*IF(Upgrades!$T$15="Peculiar Velocity",POWER(Upgrades!$U$15,G285),1)*IF(Upgrades!$T$16="Peculiar Velocity",POWER(Upgrades!$U$16,H285),1)*IF(Upgrades!$T$17="Peculiar Velocity",POWER(Upgrades!$U$17,I285),1)*IF(Upgrades!$T$18="Peculiar Velocity",POWER(Upgrades!$U$18,J285),1)*IF(Upgrades!$T$20="Peculiar Velocity",POWER(Upgrades!$U$20,L285),1)*IF(Upgrades!$T$21="Peculiar Velocity",POWER(Upgrades!$U$21,M285),1))+(IF(L285=0,0,(Upgrades!$J$20+L285*Upgrades!$K$20)*POWER(Upgrades!$L$20,L285)))*(IF(Upgrades!$T$13="Open Cluster",POWER(Upgrades!$U$13,E285),1)*IF(Upgrades!$T$14="Open Cluster",POWER(Upgrades!$U$14,F285),1)*IF(Upgrades!$T$15="Open Cluster",POWER(Upgrades!$U$15,G285),1)*IF(Upgrades!$T$16="Open Cluster",POWER(Upgrades!$U$16,H285),1)*IF(Upgrades!$T$17="Open Cluster",POWER(Upgrades!$U$17,I285),1)*IF(Upgrades!$T$18="Open Cluster",POWER(Upgrades!$U$18,J285),1)*IF(Upgrades!$T$19="Open Cluster",POWER(Upgrades!$U$19,K285),1)*IF(Upgrades!$T$21="Open Cluster",POWER(Upgrades!$U$21,M285),1))+(IF(M285=0,0,(Upgrades!$J$21+M285*Upgrades!$K$21)*POWER(Upgrades!$L$21,M285)))*(IF(Upgrades!$T$13="Moving Group",POWER(Upgrades!$U$13,E285),1)*IF(Upgrades!$T$14="Moving Group",POWER(Upgrades!$U$14,F285),1)*IF(Upgrades!$T$15="Moving Group",POWER(Upgrades!$U$15,G285),1)*IF(Upgrades!$T$16="Moving Group",POWER(Upgrades!$U$16,H285),1)*IF(Upgrades!$T$17="Moving Group",POWER(Upgrades!$U$17,I285),1)*IF(Upgrades!$T$18="Moving Group",POWER(Upgrades!$U$18,J285),1)*IF(Upgrades!$T$19="Moving Group",POWER(Upgrades!$U$19,K285),1)*IF(Upgrades!$T$20="Moving Group",POWER(Upgrades!$U$20,L285),1)))*POWER(Upgrades!$Q$13,E285)*POWER(Upgrades!$Q$14,F285)*POWER(Upgrades!$Q$15,G285)*POWER(Upgrades!$Q$16,H285)*POWER(Upgrades!$Q$17,I285)*POWER(Upgrades!$Q$18,J285)*POWER(Upgrades!$Q$19,K285)*POWER(Upgrades!$Q$20,L285)*POWER(Upgrades!$Q$21,M285)*$G$6+$D$6</f>
        <v/>
      </c>
      <c r="P285" s="28">
        <f>((IF(E285=0,0,(Upgrades!$G$13+E285*Upgrades!$H$13)*POWER(Upgrades!$I$13,E285)))*(IF(Upgrades!$T$14="Stellar Kinematics",POWER(Upgrades!$U$14,F285),1)*IF(Upgrades!$T$15="Stellar Kinematics",POWER(Upgrades!$U$15,G285),1)*IF(Upgrades!$T$16="Stellar Kinematics",POWER(Upgrades!$U$16,H285),1)*IF(Upgrades!$T$17="Stellar Kinematics",POWER(Upgrades!$U$17,I285),1)*IF(Upgrades!$T$18="Stellar Kinematics",POWER(Upgrades!$U$18,J285),1)*IF(Upgrades!$T$19="Stellar Kinematics",POWER(Upgrades!$U$19,K285),1)*IF(Upgrades!$T$20="Stellar Kinematics",POWER(Upgrades!$U$20,L285),1)*IF(Upgrades!$T$21="Stellar Kinematics",POWER(Upgrades!$U$21,M285),1))+(IF(F285=0,0,(Upgrades!$G$14+F285*Upgrades!$H$14)*POWER(Upgrades!$I$14,F285)))*(IF(Upgrades!$T$13="Local Bubble",POWER(Upgrades!$U$13,E285),1)*IF(Upgrades!$T$15="Local Bubble",POWER(Upgrades!$U$15,G285),1)*IF(Upgrades!$T$16="Local Bubble",POWER(Upgrades!$U$16,H285),1)*IF(Upgrades!$T$17="Local Bubble",POWER(Upgrades!$U$17,I285),1)*IF(Upgrades!$T$18="Local Bubble",POWER(Upgrades!$U$18,J285),1)*IF(Upgrades!$T$19="Local Bubble",POWER(Upgrades!$U$19,K285),1)*IF(Upgrades!$T$20="Local Bubble",POWER(Upgrades!$U$20,L285),1)*IF(Upgrades!$T$21="Local Bubble",POWER(Upgrades!$U$21,M285),1))+(IF(G285=0,0,(Upgrades!$G$15+G285*Upgrades!$H$15)*POWER(Upgrades!$I$15,G285)))*(IF(Upgrades!$T$13="Microlensing",POWER(Upgrades!$U$13,E285),1)*IF(Upgrades!$T$14="Microlensing",POWER(Upgrades!$U$14,F285),1)*IF(Upgrades!$T$16="Microlensing",POWER(Upgrades!$U$16,H285),1)*IF(Upgrades!$T$17="Microlensing",POWER(Upgrades!$U$17,I285),1)*IF(Upgrades!$T$18="Microlensing",POWER(Upgrades!$U$18,J285),1)*IF(Upgrades!$T$19="Microlensing",POWER(Upgrades!$U$19,K285),1)*IF(Upgrades!$T$20="Microlensing",POWER(Upgrades!$U$20,L285),1)*IF(Upgrades!$T$21="Microlensing",POWER(Upgrades!$U$21,M285),1))+(IF(H285=0,0,(Upgrades!$G$16+H285*Upgrades!$H$16)*POWER(Upgrades!$I$16,H285)))*(IF(Upgrades!$T$13="Roche Lobe Overflow",POWER(Upgrades!$U$13,E285),1)*IF(Upgrades!$T$14="Roche Lobe Overflow",POWER(Upgrades!$U$14,F285),1)*IF(Upgrades!$T$15="Roche Lobe Overflow",POWER(Upgrades!$U$15,G285),1)*IF(Upgrades!$T$17="Roche Lobe Overflow",POWER(Upgrades!$U$17,I285),1)*IF(Upgrades!$T$18="Roche Lobe Overflow",POWER(Upgrades!$U$18,J285),1)*IF(Upgrades!$T$19="Roche Lobe Overflow",POWER(Upgrades!$U$19,K285),1)*IF(Upgrades!$T$20="Roche Lobe Overflow",POWER(Upgrades!$U$20,L285),1)*IF(Upgrades!$T$21="Roche Lobe Overflow",POWER(Upgrades!$U$21,M285),1))+(IF(I285=0,0,(Upgrades!$G$17+I285*Upgrades!$H$17)*POWER(Upgrades!$I$17,I285)))*(IF(Upgrades!$T$13="Brown Dwarf",POWER(Upgrades!$U$13,E285),1)*IF(Upgrades!$T$14="Brown Dwarf",POWER(Upgrades!$U$14,F285),1)*IF(Upgrades!$T$15="Brown Dwarf",POWER(Upgrades!$U$15,G285),1)*IF(Upgrades!$T$16="Brown Dwarf",POWER(Upgrades!$U$16,H285),1)*IF(Upgrades!$T$18="Brown Dwarf",POWER(Upgrades!$U$18,J285),1)*IF(Upgrades!$T$19="Brown Dwarf",POWER(Upgrades!$U$19,K285),1)*IF(Upgrades!$T$20="Brown Dwarf",POWER(Upgrades!$U$20,L285),1)*IF(Upgrades!$T$21="Brown Dwarf",POWER(Upgrades!$U$21,M285),1))+(IF(J285=0,0,(Upgrades!$G$18+J285*Upgrades!$H$18)*POWER(Upgrades!$I$18,J285)))*(IF(Upgrades!$T$13="Binary Partner",POWER(Upgrades!$U$13,E285),1)*IF(Upgrades!$T$14="Binary Partner",POWER(Upgrades!$U$14,F285),1)*IF(Upgrades!$T$15="Binary Partner",POWER(Upgrades!$U$15,G285),1)*IF(Upgrades!$T$16="Binary Partner",POWER(Upgrades!$U$16,H285),1)*IF(Upgrades!$T$17="Binary Partner",POWER(Upgrades!$U$17,I285),1)*IF(Upgrades!$T$19="Binary Partner",POWER(Upgrades!$U$19,K285),1)*IF(Upgrades!$T$20="Binary Partner",POWER(Upgrades!$U$20,L285),1)*IF(Upgrades!$T$21="Binary Partner",POWER(Upgrades!$U$21,M285),1))+(IF(K285=0,0,(Upgrades!$G$19+K285*Upgrades!$H$19)*POWER(Upgrades!$I$19,K285)))*(IF(Upgrades!$T$13="Peculiar Velocity",POWER(Upgrades!$U$13,E285),1)*IF(Upgrades!$T$14="Peculiar Velocity",POWER(Upgrades!$U$14,F285),1)*IF(Upgrades!$T$15="Peculiar Velocity",POWER(Upgrades!$U$15,G285),1)*IF(Upgrades!$T$16="Peculiar Velocity",POWER(Upgrades!$U$16,H285),1)*IF(Upgrades!$T$17="Peculiar Velocity",POWER(Upgrades!$U$17,I285),1)*IF(Upgrades!$T$18="Peculiar Velocity",POWER(Upgrades!$U$18,J285),1)*IF(Upgrades!$T$20="Peculiar Velocity",POWER(Upgrades!$U$20,L285),1)*IF(Upgrades!$T$21="Peculiar Velocity",POWER(Upgrades!$U$21,M285),1))+(IF(L285=0,0,(Upgrades!$G$20+L285*Upgrades!$H$20)*POWER(Upgrades!$I$20,L285)))*(IF(Upgrades!$T$13="Open Cluster",POWER(Upgrades!$U$13,E285),1)*IF(Upgrades!$T$14="Open Cluster",POWER(Upgrades!$U$14,F285),1)*IF(Upgrades!$T$15="Open Cluster",POWER(Upgrades!$U$15,G285),1)*IF(Upgrades!$T$16="Open Cluster",POWER(Upgrades!$U$16,H285),1)*IF(Upgrades!$T$17="Open Cluster",POWER(Upgrades!$U$17,I285),1)*IF(Upgrades!$T$18="Open Cluster",POWER(Upgrades!$U$18,J285),1)*IF(Upgrades!$T$19="Open Cluster",POWER(Upgrades!$U$19,K285),1)*IF(Upgrades!$T$21="Open Cluster",POWER(Upgrades!$U$21,M285),1))+(IF(M285=0,0,(Upgrades!$G$21+M285*Upgrades!$H$21)*POWER(Upgrades!$I$21,M285)))*(IF(Upgrades!$T$13="Moving Group",POWER(Upgrades!$U$13,E285),1)*IF(Upgrades!$T$14="Moving Group",POWER(Upgrades!$U$14,F285),1)*IF(Upgrades!$T$15="Moving Group",POWER(Upgrades!$U$15,G285),1)*IF(Upgrades!$T$16="Moving Group",POWER(Upgrades!$U$16,H285),1)*IF(Upgrades!$T$17="Moving Group",POWER(Upgrades!$U$17,I285),1)*IF(Upgrades!$T$18="Moving Group",POWER(Upgrades!$U$18,J285),1)*IF(Upgrades!$T$19="Moving Group",POWER(Upgrades!$U$19,K285),1)*IF(Upgrades!$T$20="Moving Group",POWER(Upgrades!$U$20,L285),1)))*POWER(Upgrades!$P$13,E285)*POWER(Upgrades!$P$14,F285)*POWER(Upgrades!$P$15,G285)*POWER(Upgrades!$P$16,H285)*POWER(Upgrades!$P$17,I285)*POWER(Upgrades!$P$18,J285)*POWER(Upgrades!$P$19,K285)*POWER(Upgrades!$P$20,L285)*POWER(Upgrades!$P$21,M285)*$F$6+$C$6</f>
        <v/>
      </c>
      <c r="Q285" s="28">
        <f>((IF(E285=0,0,(Upgrades!$M$13+E285*Upgrades!$N$13)*POWER(Upgrades!$O$13,E285)))*(IF(Upgrades!$T$14="Stellar Kinematics",POWER(Upgrades!$U$14,F285),1)*IF(Upgrades!$T$15="Stellar Kinematics",POWER(Upgrades!$U$15,G285),1)*IF(Upgrades!$T$16="Stellar Kinematics",POWER(Upgrades!$U$16,H285),1)*IF(Upgrades!$T$17="Stellar Kinematics",POWER(Upgrades!$U$17,I285),1)*IF(Upgrades!$T$18="Stellar Kinematics",POWER(Upgrades!$U$18,J285),1)*IF(Upgrades!$T$19="Stellar Kinematics",POWER(Upgrades!$U$19,K285),1)*IF(Upgrades!$T$20="Stellar Kinematics",POWER(Upgrades!$U$20,L285),1)*IF(Upgrades!$T$21="Stellar Kinematics",POWER(Upgrades!$U$21,M285),1))+(IF(F285=0,0,(Upgrades!$M$14+F285*Upgrades!$N$14)*POWER(Upgrades!$O$14,F285)))*(IF(Upgrades!$T$13="Local Bubble",POWER(Upgrades!$U$13,E285),1)*IF(Upgrades!$T$15="Local Bubble",POWER(Upgrades!$U$15,G285),1)*IF(Upgrades!$T$16="Local Bubble",POWER(Upgrades!$U$16,H285),1)*IF(Upgrades!$T$17="Local Bubble",POWER(Upgrades!$U$17,I285),1)*IF(Upgrades!$T$18="Local Bubble",POWER(Upgrades!$U$18,J285),1)*IF(Upgrades!$T$19="Local Bubble",POWER(Upgrades!$U$19,K285),1)*IF(Upgrades!$T$20="Local Bubble",POWER(Upgrades!$U$20,L285),1)*IF(Upgrades!$T$21="Local Bubble",POWER(Upgrades!$U$21,M285),1))+(IF(G285=0,0,(Upgrades!$M$15+G285*Upgrades!$N$15)*POWER(Upgrades!$O$15,G285)))*(IF(Upgrades!$T$13="Microlensing",POWER(Upgrades!$U$13,E285),1)*IF(Upgrades!$T$14="Microlensing",POWER(Upgrades!$U$14,F285),1)*IF(Upgrades!$T$16="Microlensing",POWER(Upgrades!$U$16,H285),1)*IF(Upgrades!$T$17="Microlensing",POWER(Upgrades!$U$17,I285),1)*IF(Upgrades!$T$18="Microlensing",POWER(Upgrades!$U$18,J285),1)*IF(Upgrades!$T$19="Microlensing",POWER(Upgrades!$U$19,K285),1)*IF(Upgrades!$T$20="Microlensing",POWER(Upgrades!$U$20,L285),1)*IF(Upgrades!$T$21="Microlensing",POWER(Upgrades!$U$21,M285),1))+(IF(H285=0,0,(Upgrades!$M$16+H285*Upgrades!$N$16)*POWER(Upgrades!$O$16,H285)))*(IF(Upgrades!$T$13="Roche Lobe Overflow",POWER(Upgrades!$U$13,E285),1)*IF(Upgrades!$T$14="Roche Lobe Overflow",POWER(Upgrades!$U$14,F285),1)*IF(Upgrades!$T$15="Roche Lobe Overflow",POWER(Upgrades!$U$15,G285),1)*IF(Upgrades!$T$17="Roche Lobe Overflow",POWER(Upgrades!$U$17,I285),1)*IF(Upgrades!$T$18="Roche Lobe Overflow",POWER(Upgrades!$U$18,J285),1)*IF(Upgrades!$T$19="Roche Lobe Overflow",POWER(Upgrades!$U$19,K285),1)*IF(Upgrades!$T$20="Roche Lobe Overflow",POWER(Upgrades!$U$20,L285),1)*IF(Upgrades!$T$21="Roche Lobe Overflow",POWER(Upgrades!$U$21,M285),1))+(IF(I285=0,0,(Upgrades!$M$17+I285*Upgrades!$N$17)*POWER(Upgrades!$O$17,I285)))*(IF(Upgrades!$T$13="Brown Dwarf",POWER(Upgrades!$U$13,E285),1)*IF(Upgrades!$T$14="Brown Dwarf",POWER(Upgrades!$U$14,F285),1)*IF(Upgrades!$T$15="Brown Dwarf",POWER(Upgrades!$U$15,G285),1)*IF(Upgrades!$T$16="Brown Dwarf",POWER(Upgrades!$U$16,H285),1)*IF(Upgrades!$T$18="Brown Dwarf",POWER(Upgrades!$U$18,J285),1)*IF(Upgrades!$T$19="Brown Dwarf",POWER(Upgrades!$U$19,K285),1)*IF(Upgrades!$T$20="Brown Dwarf",POWER(Upgrades!$U$20,L285),1)*IF(Upgrades!$T$21="Brown Dwarf",POWER(Upgrades!$U$21,M285),1))+(IF(J285=0,0,(Upgrades!$M$18+J285*Upgrades!$N$18)*POWER(Upgrades!$O$18,J285)))*(IF(Upgrades!$T$13="Binary Partner",POWER(Upgrades!$U$13,E285),1)*IF(Upgrades!$T$14="Binary Partner",POWER(Upgrades!$U$14,F285),1)*IF(Upgrades!$T$15="Binary Partner",POWER(Upgrades!$U$15,G285),1)*IF(Upgrades!$T$16="Binary Partner",POWER(Upgrades!$U$16,H285),1)*IF(Upgrades!$T$17="Binary Partner",POWER(Upgrades!$U$17,I285),1)*IF(Upgrades!$T$19="Binary Partner",POWER(Upgrades!$U$19,K285),1)*IF(Upgrades!$T$20="Binary Partner",POWER(Upgrades!$U$20,L285),1)*IF(Upgrades!$T$21="Binary Partner",POWER(Upgrades!$U$21,M285),1))+(IF(K285=0,0,(Upgrades!$M$19+K285*Upgrades!$N$19)*POWER(Upgrades!$O$19,K285)))*(IF(Upgrades!$T$13="Peculiar Velocity",POWER(Upgrades!$U$13,E285),1)*IF(Upgrades!$T$14="Peculiar Velocity",POWER(Upgrades!$U$14,F285),1)*IF(Upgrades!$T$15="Peculiar Velocity",POWER(Upgrades!$U$15,G285),1)*IF(Upgrades!$T$16="Peculiar Velocity",POWER(Upgrades!$U$16,H285),1)*IF(Upgrades!$T$17="Peculiar Velocity",POWER(Upgrades!$U$17,I285),1)*IF(Upgrades!$T$18="Peculiar Velocity",POWER(Upgrades!$U$18,J285),1)*IF(Upgrades!$T$20="Peculiar Velocity",POWER(Upgrades!$U$20,L285),1)*IF(Upgrades!$T$21="Peculiar Velocity",POWER(Upgrades!$U$21,M285),1))+(IF(L285=0,0,(Upgrades!$M$20+L285*Upgrades!$N$20)*POWER(Upgrades!$O$20,L285)))*(IF(Upgrades!$T$13="Open Cluster",POWER(Upgrades!$U$13,E285),1)*IF(Upgrades!$T$14="Open Cluster",POWER(Upgrades!$U$14,F285),1)*IF(Upgrades!$T$15="Open Cluster",POWER(Upgrades!$U$15,G285),1)*IF(Upgrades!$T$16="Open Cluster",POWER(Upgrades!$U$16,H285),1)*IF(Upgrades!$T$17="Open Cluster",POWER(Upgrades!$U$17,I285),1)*IF(Upgrades!$T$18="Open Cluster",POWER(Upgrades!$U$18,J285),1)*IF(Upgrades!$T$19="Open Cluster",POWER(Upgrades!$U$19,K285),1)*IF(Upgrades!$T$21="Open Cluster",POWER(Upgrades!$U$21,M285),1))+(IF(M285=0,0,(Upgrades!$M$21+M285*Upgrades!$N$21)*POWER(Upgrades!$O$21,M285)))*(IF(Upgrades!$T$13="Moving Group",POWER(Upgrades!$U$13,E285),1)*IF(Upgrades!$T$14="Moving Group",POWER(Upgrades!$U$14,F285),1)*IF(Upgrades!$T$15="Moving Group",POWER(Upgrades!$U$15,G285),1)*IF(Upgrades!$T$16="Moving Group",POWER(Upgrades!$U$16,H285),1)*IF(Upgrades!$T$17="Moving Group",POWER(Upgrades!$U$17,I285),1)*IF(Upgrades!$T$18="Moving Group",POWER(Upgrades!$U$18,J285),1)*IF(Upgrades!$T$19="Moving Group",POWER(Upgrades!$U$19,K285),1)*IF(Upgrades!$T$20="Moving Group",POWER(Upgrades!$U$20,L285),1)))*POWER(Upgrades!$R$13,E285)*POWER(Upgrades!$R$14,F285)*POWER(Upgrades!$R$15,G285)*POWER(Upgrades!$R$16,H285)*POWER(Upgrades!$R$17,I285)*POWER(Upgrades!$R$18,J285)*POWER(Upgrades!$R$19,K285)*POWER(Upgrades!$R$20,L285)*POWER(Upgrades!$R$21,M285)*$H$6+$E$6</f>
        <v/>
      </c>
      <c r="R285" s="27">
        <f>IF(N285=1,0,O285*Parameters!$B$10/60*Parameters!$B$11*10)</f>
        <v/>
      </c>
      <c r="S285" s="27">
        <f>IF(N285=1,0,Q285*O285*10)</f>
        <v/>
      </c>
      <c r="T285" s="27">
        <f>IF(N285=1,0,R285+S285+P285*10)</f>
        <v/>
      </c>
      <c r="U285" s="33">
        <f>BE285</f>
        <v/>
      </c>
      <c r="V285" s="22">
        <f>IF(U285="",0,IF(U285="transition",0,IF(U285="SK",AK285,IF(U285="LB",AL285,IF(U285="ML",AM285,IF(U285="RLO",AN285,IF(U285="BD",AO285,IF(U285="BiP",AP285,IF(U285="PV",AQ285,IF(U285="OC",AR285,IF(U285="MG",AS285,0))))))))))</f>
        <v/>
      </c>
      <c r="W285" s="27">
        <f>IF(U285="BiP",Upgrades!$F$18,IF(U285="PV",Upgrades!$F$19,IF(U285="OC",Upgrades!$F$20,IF(U285="MG",Upgrades!$F$21,IF(U285="transition",-Parameters!$B$18*Parameters!$B$19,0)))))</f>
        <v/>
      </c>
      <c r="X285" s="22">
        <f>C285+T285-V285</f>
        <v/>
      </c>
      <c r="Y285" s="30">
        <f>O285*Parameters!$B$10/60*Parameters!$B$11+Q285*O285+P285</f>
        <v/>
      </c>
      <c r="Z285" s="34">
        <f>IF(U285="transition","→ Tier 3 (Galactic Arm)",IF(U285="MG","Moving Group — pocket drifts together",IF(U285="OC","Open Cluster acquired",IF(U285="PV","Peculiar Velocity — passive multiplier active",IF(U285="BiP","Binary Partner — pair bond formed",IF(AND(AU285=1,N285=0,AT285&lt;&gt;1),"Cohesion ready (waiting on completionists)","")))))) </f>
        <v/>
      </c>
      <c r="AA285" s="27">
        <f>(IF(E285=0,0,(Upgrades!$G$13+E285*Upgrades!$H$13)*POWER(Upgrades!$I$13,E285)))*(IF(Upgrades!$T$14="Stellar Kinematics",POWER(Upgrades!$U$14,F285),1)*IF(Upgrades!$T$15="Stellar Kinematics",POWER(Upgrades!$U$15,G285),1)*IF(Upgrades!$T$16="Stellar Kinematics",POWER(Upgrades!$U$16,H285),1)*IF(Upgrades!$T$17="Stellar Kinematics",POWER(Upgrades!$U$17,I285),1)*IF(Upgrades!$T$18="Stellar Kinematics",POWER(Upgrades!$U$18,J285),1)*IF(Upgrades!$T$19="Stellar Kinematics",POWER(Upgrades!$U$19,K285),1)*IF(Upgrades!$T$20="Stellar Kinematics",POWER(Upgrades!$U$20,L285),1)*IF(Upgrades!$T$21="Stellar Kinematics",POWER(Upgrades!$U$21,M285),1))*POWER(Upgrades!$P$13,E285)*POWER(Upgrades!$P$14,F285)*POWER(Upgrades!$P$15,G285)*POWER(Upgrades!$P$16,H285)*POWER(Upgrades!$P$17,I285)*POWER(Upgrades!$P$18,J285)*POWER(Upgrades!$P$19,K285)*POWER(Upgrades!$P$20,L285)*POWER(Upgrades!$P$21,M285)*$F$6*60</f>
        <v/>
      </c>
      <c r="AB285" s="27">
        <f>(IF(F285=0,0,(Upgrades!$G$14+F285*Upgrades!$H$14)*POWER(Upgrades!$I$14,F285)))*(IF(Upgrades!$T$13="Local Bubble",POWER(Upgrades!$U$13,E285),1)*IF(Upgrades!$T$15="Local Bubble",POWER(Upgrades!$U$15,G285),1)*IF(Upgrades!$T$16="Local Bubble",POWER(Upgrades!$U$16,H285),1)*IF(Upgrades!$T$17="Local Bubble",POWER(Upgrades!$U$17,I285),1)*IF(Upgrades!$T$18="Local Bubble",POWER(Upgrades!$U$18,J285),1)*IF(Upgrades!$T$19="Local Bubble",POWER(Upgrades!$U$19,K285),1)*IF(Upgrades!$T$20="Local Bubble",POWER(Upgrades!$U$20,L285),1)*IF(Upgrades!$T$21="Local Bubble",POWER(Upgrades!$U$21,M285),1))*POWER(Upgrades!$P$13,E285)*POWER(Upgrades!$P$14,F285)*POWER(Upgrades!$P$15,G285)*POWER(Upgrades!$P$16,H285)*POWER(Upgrades!$P$17,I285)*POWER(Upgrades!$P$18,J285)*POWER(Upgrades!$P$19,K285)*POWER(Upgrades!$P$20,L285)*POWER(Upgrades!$P$21,M285)*$F$6*60</f>
        <v/>
      </c>
      <c r="AC285" s="27">
        <f>(IF(G285=0,0,(Upgrades!$J$15+G285*Upgrades!$K$15)*POWER(Upgrades!$L$15,G285)))*(IF(Upgrades!$T$13="Microlensing",POWER(Upgrades!$U$13,E285),1)*IF(Upgrades!$T$14="Microlensing",POWER(Upgrades!$U$14,F285),1)*IF(Upgrades!$T$16="Microlensing",POWER(Upgrades!$U$16,H285),1)*IF(Upgrades!$T$17="Microlensing",POWER(Upgrades!$U$17,I285),1)*IF(Upgrades!$T$18="Microlensing",POWER(Upgrades!$U$18,J285),1)*IF(Upgrades!$T$19="Microlensing",POWER(Upgrades!$U$19,K285),1)*IF(Upgrades!$T$20="Microlensing",POWER(Upgrades!$U$20,L285),1)*IF(Upgrades!$T$21="Microlensing",POWER(Upgrades!$U$21,M285),1))*POWER(Upgrades!$Q$13,E285)*POWER(Upgrades!$Q$14,F285)*POWER(Upgrades!$Q$15,G285)*POWER(Upgrades!$Q$16,H285)*POWER(Upgrades!$Q$17,I285)*POWER(Upgrades!$Q$18,J285)*POWER(Upgrades!$Q$19,K285)*POWER(Upgrades!$Q$20,L285)*POWER(Upgrades!$Q$21,M285)*$G$6*(Parameters!$B$10*Parameters!$B$11+Q285*60)</f>
        <v/>
      </c>
      <c r="AD285" s="27">
        <f>(IF(H285=0,0,(Upgrades!$M$16+H285*Upgrades!$N$16)*POWER(Upgrades!$O$16,H285)))*(IF(Upgrades!$T$13="Roche Lobe Overflow",POWER(Upgrades!$U$13,E285),1)*IF(Upgrades!$T$14="Roche Lobe Overflow",POWER(Upgrades!$U$14,F285),1)*IF(Upgrades!$T$15="Roche Lobe Overflow",POWER(Upgrades!$U$15,G285),1)*IF(Upgrades!$T$17="Roche Lobe Overflow",POWER(Upgrades!$U$17,I285),1)*IF(Upgrades!$T$18="Roche Lobe Overflow",POWER(Upgrades!$U$18,J285),1)*IF(Upgrades!$T$19="Roche Lobe Overflow",POWER(Upgrades!$U$19,K285),1)*IF(Upgrades!$T$20="Roche Lobe Overflow",POWER(Upgrades!$U$20,L285),1)*IF(Upgrades!$T$21="Roche Lobe Overflow",POWER(Upgrades!$U$21,M285),1))*POWER(Upgrades!$R$13,E285)*POWER(Upgrades!$R$14,F285)*POWER(Upgrades!$R$15,G285)*POWER(Upgrades!$R$16,H285)*POWER(Upgrades!$R$17,I285)*POWER(Upgrades!$R$18,J285)*POWER(Upgrades!$R$19,K285)*POWER(Upgrades!$R$20,L285)*POWER(Upgrades!$R$21,M285)*$H$6*O285*60</f>
        <v/>
      </c>
      <c r="AE285" s="27">
        <f>(IF(I285=0,0,(Upgrades!$G$17+I285*Upgrades!$H$17)*POWER(Upgrades!$I$17,I285)))*(IF(Upgrades!$T$13="Brown Dwarf",POWER(Upgrades!$U$13,E285),1)*IF(Upgrades!$T$14="Brown Dwarf",POWER(Upgrades!$U$14,F285),1)*IF(Upgrades!$T$15="Brown Dwarf",POWER(Upgrades!$U$15,G285),1)*IF(Upgrades!$T$16="Brown Dwarf",POWER(Upgrades!$U$16,H285),1)*IF(Upgrades!$T$18="Brown Dwarf",POWER(Upgrades!$U$18,J285),1)*IF(Upgrades!$T$19="Brown Dwarf",POWER(Upgrades!$U$19,K285),1)*IF(Upgrades!$T$20="Brown Dwarf",POWER(Upgrades!$U$20,L285),1)*IF(Upgrades!$T$21="Brown Dwarf",POWER(Upgrades!$U$21,M285),1))*POWER(Upgrades!$P$13,E285)*POWER(Upgrades!$P$14,F285)*POWER(Upgrades!$P$15,G285)*POWER(Upgrades!$P$16,H285)*POWER(Upgrades!$P$17,I285)*POWER(Upgrades!$P$18,J285)*POWER(Upgrades!$P$19,K285)*POWER(Upgrades!$P$20,L285)*POWER(Upgrades!$P$21,M285)*$F$6*60</f>
        <v/>
      </c>
      <c r="AF285" s="27" t="n">
        <v>0</v>
      </c>
      <c r="AG285" s="27" t="n">
        <v>0</v>
      </c>
      <c r="AH285" s="27" t="n">
        <v>0</v>
      </c>
      <c r="AI285" s="27">
        <f>(IF(M285=0,0,(Upgrades!$G$21+M285*Upgrades!$H$21)*POWER(Upgrades!$I$21,M285)))*(IF(Upgrades!$T$13="Moving Group",POWER(Upgrades!$U$13,E285),1)*IF(Upgrades!$T$14="Moving Group",POWER(Upgrades!$U$14,F285),1)*IF(Upgrades!$T$15="Moving Group",POWER(Upgrades!$U$15,G285),1)*IF(Upgrades!$T$16="Moving Group",POWER(Upgrades!$U$16,H285),1)*IF(Upgrades!$T$17="Moving Group",POWER(Upgrades!$U$17,I285),1)*IF(Upgrades!$T$18="Moving Group",POWER(Upgrades!$U$18,J285),1)*IF(Upgrades!$T$19="Moving Group",POWER(Upgrades!$U$19,K285),1)*IF(Upgrades!$T$20="Moving Group",POWER(Upgrades!$U$20,L285),1))*POWER(Upgrades!$P$13,E285)*POWER(Upgrades!$P$14,F285)*POWER(Upgrades!$P$15,G285)*POWER(Upgrades!$P$16,H285)*POWER(Upgrades!$P$17,I285)*POWER(Upgrades!$P$18,J285)*POWER(Upgrades!$P$19,K285)*POWER(Upgrades!$P$20,L285)*POWER(Upgrades!$P$21,M285)*$F$6*60</f>
        <v/>
      </c>
      <c r="AJ285" s="27">
        <f>$C$6*60</f>
        <v/>
      </c>
      <c r="AK285" s="22">
        <f>IF(E285&gt;=Upgrades!$E$13,"",Upgrades!$C$13*POWER(Upgrades!$D$13,E285))</f>
        <v/>
      </c>
      <c r="AL285" s="22">
        <f>IF(F285&gt;=Upgrades!$E$14,"",Upgrades!$C$14*POWER(Upgrades!$D$14,F285))</f>
        <v/>
      </c>
      <c r="AM285" s="22">
        <f>IF(G285&gt;=Upgrades!$E$15,"",Upgrades!$C$15*POWER(Upgrades!$D$15,G285))</f>
        <v/>
      </c>
      <c r="AN285" s="22">
        <f>IF(H285&gt;=Upgrades!$E$16,"",Upgrades!$C$16*POWER(Upgrades!$D$16,H285))</f>
        <v/>
      </c>
      <c r="AO285" s="22">
        <f>IF(I285&gt;=Upgrades!$E$17,"",Upgrades!$C$17*POWER(Upgrades!$D$17,I285))</f>
        <v/>
      </c>
      <c r="AP285" s="22">
        <f>IF(J285&gt;=Upgrades!$E$18,"",Upgrades!$C$18*POWER(Upgrades!$D$18,J285))</f>
        <v/>
      </c>
      <c r="AQ285" s="22">
        <f>IF(K285&gt;=Upgrades!$E$19,"",Upgrades!$C$19*POWER(Upgrades!$D$19,K285))</f>
        <v/>
      </c>
      <c r="AR285" s="22">
        <f>IF(L285&gt;=Upgrades!$E$20,"",Upgrades!$C$20*POWER(Upgrades!$D$20,L285))</f>
        <v/>
      </c>
      <c r="AS285" s="22">
        <f>IF(M285&gt;=Upgrades!$E$21,"",Upgrades!$C$21*POWER(Upgrades!$D$21,M285))</f>
        <v/>
      </c>
      <c r="AT285" s="26">
        <f>IF(AND(D285&gt;=Parameters!$B$18*Parameters!$B$19,(I285&gt;=Upgrades!$E$17)*(M285&gt;=Upgrades!$E$21)=1,N285=0),1,"")</f>
        <v/>
      </c>
      <c r="AU285" s="26">
        <f>IF(AND(D285&gt;=Parameters!$B$18*Parameters!$B$19,N285=0),1,"")</f>
        <v/>
      </c>
      <c r="AV285" s="22">
        <f>MIN(IF(ISNUMBER(AP285),AP285,9E15),IF(ISNUMBER(AQ285),AQ285,9E15),IF(ISNUMBER(AR285),AR285,9E15),IF(ISNUMBER(AS285),AS285,9E15))</f>
        <v/>
      </c>
      <c r="AW285" s="22">
        <f>MIN(IF(ISNUMBER(AK285),AK285,9E15),IF(ISNUMBER(AL285),AL285,9E15),IF(ISNUMBER(AM285),AM285,9E15),IF(ISNUMBER(AN285),AN285,9E15),IF(ISNUMBER(AO285),AO285,9E15))</f>
        <v/>
      </c>
      <c r="AX285" s="29">
        <f>IF(BD285&gt;Parameters!$B$21*(MAX(IF(AND(NOT(AND(AU285=1,AT285&lt;&gt;1)),ISNUMBER(AK285),AK285&lt;=(C285+T285)),AY285,0),IF(AND(NOT(AND(AU285=1,AT285&lt;&gt;1)),ISNUMBER(AL285),AL285&lt;=(C285+T285)),AZ285,0),IF(AND(NOT(AND(AU285=1,AT285&lt;&gt;1)),ISNUMBER(AM285),AM285&lt;=(C285+T285)),BA285,0),IF(AND(NOT(AND(AU285=1,AT285&lt;&gt;1)),ISNUMBER(AN285),AN285&lt;=(C285+T285)),BB285,0),IF(AND(ISNUMBER(AO285),AO285&lt;=(C285+T285)),BC285,0))),TRUE,FALSE)</f>
        <v/>
      </c>
      <c r="AY285" s="32">
        <f>IFERROR(Upgrades!$H$13*(POWER(Upgrades!$P$13,E285)*POWER(Upgrades!$P$14,F285)*POWER(Upgrades!$P$15,G285)*POWER(Upgrades!$P$16,H285)*POWER(Upgrades!$P$17,I285)*POWER(Upgrades!$P$18,J285)*POWER(Upgrades!$P$19,K285)*POWER(Upgrades!$P$20,L285)*POWER(Upgrades!$P$21,M285))*(IF(Upgrades!$T$14="Stellar Kinematics",POWER(Upgrades!$U$14,F285),1)*IF(Upgrades!$T$15="Stellar Kinematics",POWER(Upgrades!$U$15,G285),1)*IF(Upgrades!$T$16="Stellar Kinematics",POWER(Upgrades!$U$16,H285),1)*IF(Upgrades!$T$17="Stellar Kinematics",POWER(Upgrades!$U$17,I285),1)*IF(Upgrades!$T$18="Stellar Kinematics",POWER(Upgrades!$U$18,J285),1)*IF(Upgrades!$T$19="Stellar Kinematics",POWER(Upgrades!$U$19,K285),1)*IF(Upgrades!$T$20="Stellar Kinematics",POWER(Upgrades!$U$20,L285),1)*IF(Upgrades!$T$21="Stellar Kinematics",POWER(Upgrades!$U$21,M285),1))*$F$6/AK285,0)</f>
        <v/>
      </c>
      <c r="AZ285" s="32">
        <f>IFERROR(Upgrades!$H$14*(POWER(Upgrades!$P$13,E285)*POWER(Upgrades!$P$14,F285)*POWER(Upgrades!$P$15,G285)*POWER(Upgrades!$P$16,H285)*POWER(Upgrades!$P$17,I285)*POWER(Upgrades!$P$18,J285)*POWER(Upgrades!$P$19,K285)*POWER(Upgrades!$P$20,L285)*POWER(Upgrades!$P$21,M285))*(IF(Upgrades!$T$13="Local Bubble",POWER(Upgrades!$U$13,E285),1)*IF(Upgrades!$T$15="Local Bubble",POWER(Upgrades!$U$15,G285),1)*IF(Upgrades!$T$16="Local Bubble",POWER(Upgrades!$U$16,H285),1)*IF(Upgrades!$T$17="Local Bubble",POWER(Upgrades!$U$17,I285),1)*IF(Upgrades!$T$18="Local Bubble",POWER(Upgrades!$U$18,J285),1)*IF(Upgrades!$T$19="Local Bubble",POWER(Upgrades!$U$19,K285),1)*IF(Upgrades!$T$20="Local Bubble",POWER(Upgrades!$U$20,L285),1)*IF(Upgrades!$T$21="Local Bubble",POWER(Upgrades!$U$21,M285),1))*$F$6/AL285,0)</f>
        <v/>
      </c>
      <c r="BA285" s="32">
        <f>IFERROR(Upgrades!$K$15*(POWER(Upgrades!$Q$13,E285)*POWER(Upgrades!$Q$14,F285)*POWER(Upgrades!$Q$15,G285)*POWER(Upgrades!$Q$16,H285)*POWER(Upgrades!$Q$17,I285)*POWER(Upgrades!$Q$18,J285)*POWER(Upgrades!$Q$19,K285)*POWER(Upgrades!$Q$20,L285)*POWER(Upgrades!$Q$21,M285))*(IF(Upgrades!$T$13="Microlensing",POWER(Upgrades!$U$13,E285),1)*IF(Upgrades!$T$14="Microlensing",POWER(Upgrades!$U$14,F285),1)*IF(Upgrades!$T$16="Microlensing",POWER(Upgrades!$U$16,H285),1)*IF(Upgrades!$T$17="Microlensing",POWER(Upgrades!$U$17,I285),1)*IF(Upgrades!$T$18="Microlensing",POWER(Upgrades!$U$18,J285),1)*IF(Upgrades!$T$19="Microlensing",POWER(Upgrades!$U$19,K285),1)*IF(Upgrades!$T$20="Microlensing",POWER(Upgrades!$U$20,L285),1)*IF(Upgrades!$T$21="Microlensing",POWER(Upgrades!$U$21,M285),1))*$G$6*(Parameters!$B$10/60*Parameters!$B$11+Q285)/AM285,0)</f>
        <v/>
      </c>
      <c r="BB285" s="32">
        <f>IFERROR((Upgrades!$N$16*(POWER(Upgrades!$R$13,E285)*POWER(Upgrades!$R$14,F285)*POWER(Upgrades!$R$15,G285)*POWER(Upgrades!$R$16,H285)*POWER(Upgrades!$R$17,I285)*POWER(Upgrades!$R$18,J285)*POWER(Upgrades!$R$19,K285)*POWER(Upgrades!$R$20,L285)*POWER(Upgrades!$R$21,M285))*(IF(Upgrades!$T$13="Roche Lobe Overflow",POWER(Upgrades!$U$13,E285),1)*IF(Upgrades!$T$14="Roche Lobe Overflow",POWER(Upgrades!$U$14,F285),1)*IF(Upgrades!$T$15="Roche Lobe Overflow",POWER(Upgrades!$U$15,G285),1)*IF(Upgrades!$T$17="Roche Lobe Overflow",POWER(Upgrades!$U$17,I285),1)*IF(Upgrades!$T$18="Roche Lobe Overflow",POWER(Upgrades!$U$18,J285),1)*IF(Upgrades!$T$19="Roche Lobe Overflow",POWER(Upgrades!$U$19,K285),1)*IF(Upgrades!$T$20="Roche Lobe Overflow",POWER(Upgrades!$U$20,L285),1)*IF(Upgrades!$T$21="Roche Lobe Overflow",POWER(Upgrades!$U$21,M285),1))*$H$6*O285+((IF(F285=0,0,(Upgrades!$G$14+F285*Upgrades!$H$14)*POWER(Upgrades!$I$14,F285)))*(IF(Upgrades!$T$13="Local Bubble",POWER(Upgrades!$U$13,E285),1)*IF(Upgrades!$T$15="Local Bubble",POWER(Upgrades!$U$15,G285),1)*IF(Upgrades!$T$16="Local Bubble",POWER(Upgrades!$U$16,H285),1)*IF(Upgrades!$T$17="Local Bubble",POWER(Upgrades!$U$17,I285),1)*IF(Upgrades!$T$18="Local Bubble",POWER(Upgrades!$U$18,J285),1)*IF(Upgrades!$T$19="Local Bubble",POWER(Upgrades!$U$19,K285),1)*IF(Upgrades!$T$20="Local Bubble",POWER(Upgrades!$U$20,L285),1)*IF(Upgrades!$T$21="Local Bubble",POWER(Upgrades!$U$21,M285),1))*POWER(Upgrades!$P$13,E285)*POWER(Upgrades!$P$14,F285)*POWER(Upgrades!$P$15,G285)*POWER(Upgrades!$P$16,H285)*POWER(Upgrades!$P$17,I285)*POWER(Upgrades!$P$18,J285)*POWER(Upgrades!$P$19,K285)*POWER(Upgrades!$P$20,L285)*POWER(Upgrades!$P$21,M285)*$F$6)*0.05)/AN285,0)</f>
        <v/>
      </c>
      <c r="BC285" s="32">
        <f>IFERROR((Upgrades!$H$17*(POWER(Upgrades!$P$13,E285)*POWER(Upgrades!$P$14,F285)*POWER(Upgrades!$P$15,G285)*POWER(Upgrades!$P$16,H285)*POWER(Upgrades!$P$17,I285)*POWER(Upgrades!$P$18,J285)*POWER(Upgrades!$P$19,K285)*POWER(Upgrades!$P$20,L285)*POWER(Upgrades!$P$21,M285))*(IF(Upgrades!$T$13="Brown Dwarf",POWER(Upgrades!$U$13,E285),1)*IF(Upgrades!$T$14="Brown Dwarf",POWER(Upgrades!$U$14,F285),1)*IF(Upgrades!$T$15="Brown Dwarf",POWER(Upgrades!$U$15,G285),1)*IF(Upgrades!$T$16="Brown Dwarf",POWER(Upgrades!$U$16,H285),1)*IF(Upgrades!$T$18="Brown Dwarf",POWER(Upgrades!$U$18,J285),1)*IF(Upgrades!$T$19="Brown Dwarf",POWER(Upgrades!$U$19,K285),1)*IF(Upgrades!$T$20="Brown Dwarf",POWER(Upgrades!$U$20,L285),1)*IF(Upgrades!$T$21="Brown Dwarf",POWER(Upgrades!$U$21,M285),1))*$F$6+(((IF(H285=0,0,(Upgrades!$M$16+H285*Upgrades!$N$16)*POWER(Upgrades!$O$16,H285)))*(IF(Upgrades!$T$13="Roche Lobe Overflow",POWER(Upgrades!$U$13,E285),1)*IF(Upgrades!$T$14="Roche Lobe Overflow",POWER(Upgrades!$U$14,F285),1)*IF(Upgrades!$T$15="Roche Lobe Overflow",POWER(Upgrades!$U$15,G285),1)*IF(Upgrades!$T$17="Roche Lobe Overflow",POWER(Upgrades!$U$17,I285),1)*IF(Upgrades!$T$18="Roche Lobe Overflow",POWER(Upgrades!$U$18,J285),1)*IF(Upgrades!$T$19="Roche Lobe Overflow",POWER(Upgrades!$U$19,K285),1)*IF(Upgrades!$T$20="Roche Lobe Overflow",POWER(Upgrades!$U$20,L285),1)*IF(Upgrades!$T$21="Roche Lobe Overflow",POWER(Upgrades!$U$21,M285),1))*POWER(Upgrades!$R$13,E285)*POWER(Upgrades!$R$14,F285)*POWER(Upgrades!$R$15,G285)*POWER(Upgrades!$R$16,H285)*POWER(Upgrades!$R$17,I285)*POWER(Upgrades!$R$18,J285)*POWER(Upgrades!$R$19,K285)*POWER(Upgrades!$R$20,L285)*POWER(Upgrades!$R$21,M285)*$H$6)*O285)*0.10)/AO285,0)</f>
        <v/>
      </c>
      <c r="BD285" s="32">
        <f>MAX(IF(J285&gt;0,0,IFERROR(0.5*((IF(G285=0,0,(Upgrades!$J$15+G285*Upgrades!$K$15)*POWER(Upgrades!$L$15,G285)))*(IF(Upgrades!$T$13="Microlensing",POWER(Upgrades!$U$13,E285),1)*IF(Upgrades!$T$14="Microlensing",POWER(Upgrades!$U$14,F285),1)*IF(Upgrades!$T$16="Microlensing",POWER(Upgrades!$U$16,H285),1)*IF(Upgrades!$T$17="Microlensing",POWER(Upgrades!$U$17,I285),1)*IF(Upgrades!$T$18="Microlensing",POWER(Upgrades!$U$18,J285),1)*IF(Upgrades!$T$19="Microlensing",POWER(Upgrades!$U$19,K285),1)*IF(Upgrades!$T$20="Microlensing",POWER(Upgrades!$U$20,L285),1)*IF(Upgrades!$T$21="Microlensing",POWER(Upgrades!$U$21,M285),1))*(POWER(Upgrades!$Q$13,E285)*POWER(Upgrades!$Q$14,F285)*POWER(Upgrades!$Q$15,G285)*POWER(Upgrades!$Q$16,H285)*POWER(Upgrades!$Q$17,I285)*POWER(Upgrades!$Q$18,J285)*POWER(Upgrades!$Q$19,K285)*POWER(Upgrades!$Q$20,L285)*POWER(Upgrades!$Q$21,M285))*$G$6*(Parameters!$B$10/60*Parameters!$B$11+Q285))/Upgrades!$C$18,0)),IF(K285&gt;0,0,IFERROR(0.30*P285/Upgrades!$C$19,0)),IF(L285&gt;0,0,IFERROR(0.0001/Upgrades!$C$20,0)),IF(M285&gt;0,0,IFERROR((6.0*(POWER(Upgrades!$P$13,E285)*POWER(Upgrades!$P$14,F285)*POWER(Upgrades!$P$15,G285)*POWER(Upgrades!$P$16,H285)*POWER(Upgrades!$P$17,I285)*POWER(Upgrades!$P$18,J285)*POWER(Upgrades!$P$19,K285)*POWER(Upgrades!$P$20,L285)*POWER(Upgrades!$P$21,M285))*$F$6+0.20*O285*(Parameters!$B$10/60*Parameters!$B$11+Q285))/Upgrades!$C$21,0)),IF(AND(ISNUMBER(AK285),AK285&gt;(C285+T285)),AY285,0),IF(AND(ISNUMBER(AL285),AL285&gt;(C285+T285)),AZ285,0),IF(AND(ISNUMBER(AM285),AM285&gt;(C285+T285)),BA285,0),IF(AND(ISNUMBER(AN285),AN285&gt;(C285+T285)),BB285,0),IF(AND(ISNUMBER(AO285),AO285&gt;(C285+T285)),BC285,0))</f>
        <v/>
      </c>
      <c r="BE285" s="29">
        <f>IF(AT285=1,"transition",IF(MIN(IF(AND(J285=0,ISNUMBER(AP285),AP285&lt;=(C285+T285)),AP285,9E15),IF(AND(K285=0,ISNUMBER(AQ285),AQ285&lt;=(C285+T285)),AQ285,9E15),IF(AND(L285=0,ISNUMBER(AR285),AR285&lt;=(C285+T285)),AR285,9E15),IF(AND(M285=0,ISNUMBER(AS285),AS285&lt;=(C285+T285)),AS285,9E15))&lt;9E15,IF(AND(AND(J285=0,ISNUMBER(AP285),AP285&lt;=(C285+T285)),AP285=MIN(IF(AND(J285=0,ISNUMBER(AP285),AP285&lt;=(C285+T285)),AP285,9E15),IF(AND(K285=0,ISNUMBER(AQ285),AQ285&lt;=(C285+T285)),AQ285,9E15),IF(AND(L285=0,ISNUMBER(AR285),AR285&lt;=(C285+T285)),AR285,9E15),IF(AND(M285=0,ISNUMBER(AS285),AS285&lt;=(C285+T285)),AS285,9E15))),"BiP",IF(AND(AND(K285=0,ISNUMBER(AQ285),AQ285&lt;=(C285+T285)),AQ285=MIN(IF(AND(J285=0,ISNUMBER(AP285),AP285&lt;=(C285+T285)),AP285,9E15),IF(AND(K285=0,ISNUMBER(AQ285),AQ285&lt;=(C285+T285)),AQ285,9E15),IF(AND(L285=0,ISNUMBER(AR285),AR285&lt;=(C285+T285)),AR285,9E15),IF(AND(M285=0,ISNUMBER(AS285),AS285&lt;=(C285+T285)),AS285,9E15))),"PV",IF(AND(AND(L285=0,ISNUMBER(AR285),AR285&lt;=(C285+T285)),AR285=MIN(IF(AND(J285=0,ISNUMBER(AP285),AP285&lt;=(C285+T285)),AP285,9E15),IF(AND(K285=0,ISNUMBER(AQ285),AQ285&lt;=(C285+T285)),AQ285,9E15),IF(AND(L285=0,ISNUMBER(AR285),AR285&lt;=(C285+T285)),AR285,9E15),IF(AND(M285=0,ISNUMBER(AS285),AS285&lt;=(C285+T285)),AS285,9E15))),"OC","MG"))),IF(AX285=TRUE,"",IF(MAX(IF(AND(NOT(AND(AU285=1,AT285&lt;&gt;1)),ISNUMBER(AK285),AK285&lt;=(C285+T285)),AY285,0),IF(AND(NOT(AND(AU285=1,AT285&lt;&gt;1)),ISNUMBER(AL285),AL285&lt;=(C285+T285)),AZ285,0),IF(AND(NOT(AND(AU285=1,AT285&lt;&gt;1)),ISNUMBER(AM285),AM285&lt;=(C285+T285)),BA285,0),IF(AND(NOT(AND(AU285=1,AT285&lt;&gt;1)),ISNUMBER(AN285),AN285&lt;=(C285+T285)),BB285,0),IF(AND(ISNUMBER(AO285),AO285&lt;=(C285+T285)),BC285,0))&lt;=0,"",IF(AND(IF(AND(NOT(AND(AU285=1,AT285&lt;&gt;1)),ISNUMBER(AK285),AK285&lt;=(C285+T285)),AY285,0)&gt;0,IF(AND(NOT(AND(AU285=1,AT285&lt;&gt;1)),ISNUMBER(AK285),AK285&lt;=(C285+T285)),AY285,0)=MAX(IF(AND(NOT(AND(AU285=1,AT285&lt;&gt;1)),ISNUMBER(AK285),AK285&lt;=(C285+T285)),AY285,0),IF(AND(NOT(AND(AU285=1,AT285&lt;&gt;1)),ISNUMBER(AL285),AL285&lt;=(C285+T285)),AZ285,0),IF(AND(NOT(AND(AU285=1,AT285&lt;&gt;1)),ISNUMBER(AM285),AM285&lt;=(C285+T285)),BA285,0),IF(AND(NOT(AND(AU285=1,AT285&lt;&gt;1)),ISNUMBER(AN285),AN285&lt;=(C285+T285)),BB285,0),IF(AND(ISNUMBER(AO285),AO285&lt;=(C285+T285)),BC285,0))),"SK",IF(AND(IF(AND(NOT(AND(AU285=1,AT285&lt;&gt;1)),ISNUMBER(AL285),AL285&lt;=(C285+T285)),AZ285,0)&gt;0,IF(AND(NOT(AND(AU285=1,AT285&lt;&gt;1)),ISNUMBER(AL285),AL285&lt;=(C285+T285)),AZ285,0)=MAX(IF(AND(NOT(AND(AU285=1,AT285&lt;&gt;1)),ISNUMBER(AK285),AK285&lt;=(C285+T285)),AY285,0),IF(AND(NOT(AND(AU285=1,AT285&lt;&gt;1)),ISNUMBER(AL285),AL285&lt;=(C285+T285)),AZ285,0),IF(AND(NOT(AND(AU285=1,AT285&lt;&gt;1)),ISNUMBER(AM285),AM285&lt;=(C285+T285)),BA285,0),IF(AND(NOT(AND(AU285=1,AT285&lt;&gt;1)),ISNUMBER(AN285),AN285&lt;=(C285+T285)),BB285,0),IF(AND(ISNUMBER(AO285),AO285&lt;=(C285+T285)),BC285,0))),"LB",IF(AND(IF(AND(NOT(AND(AU285=1,AT285&lt;&gt;1)),ISNUMBER(AM285),AM285&lt;=(C285+T285)),BA285,0)&gt;0,IF(AND(NOT(AND(AU285=1,AT285&lt;&gt;1)),ISNUMBER(AM285),AM285&lt;=(C285+T285)),BA285,0)=MAX(IF(AND(NOT(AND(AU285=1,AT285&lt;&gt;1)),ISNUMBER(AK285),AK285&lt;=(C285+T285)),AY285,0),IF(AND(NOT(AND(AU285=1,AT285&lt;&gt;1)),ISNUMBER(AL285),AL285&lt;=(C285+T285)),AZ285,0),IF(AND(NOT(AND(AU285=1,AT285&lt;&gt;1)),ISNUMBER(AM285),AM285&lt;=(C285+T285)),BA285,0),IF(AND(NOT(AND(AU285=1,AT285&lt;&gt;1)),ISNUMBER(AN285),AN285&lt;=(C285+T285)),BB285,0),IF(AND(ISNUMBER(AO285),AO285&lt;=(C285+T285)),BC285,0))),"ML",IF(AND(IF(AND(NOT(AND(AU285=1,AT285&lt;&gt;1)),ISNUMBER(AN285),AN285&lt;=(C285+T285)),BB285,0)&gt;0,IF(AND(NOT(AND(AU285=1,AT285&lt;&gt;1)),ISNUMBER(AN285),AN285&lt;=(C285+T285)),BB285,0)=MAX(IF(AND(NOT(AND(AU285=1,AT285&lt;&gt;1)),ISNUMBER(AK285),AK285&lt;=(C285+T285)),AY285,0),IF(AND(NOT(AND(AU285=1,AT285&lt;&gt;1)),ISNUMBER(AL285),AL285&lt;=(C285+T285)),AZ285,0),IF(AND(NOT(AND(AU285=1,AT285&lt;&gt;1)),ISNUMBER(AM285),AM285&lt;=(C285+T285)),BA285,0),IF(AND(NOT(AND(AU285=1,AT285&lt;&gt;1)),ISNUMBER(AN285),AN285&lt;=(C285+T285)),BB285,0),IF(AND(ISNUMBER(AO285),AO285&lt;=(C285+T285)),BC285,0))),"RLO","BD"))))))))</f>
        <v/>
      </c>
    </row>
    <row r="286">
      <c r="A286" s="26" t="n">
        <v>275</v>
      </c>
      <c r="B286" s="27">
        <f>A286*10/60</f>
        <v/>
      </c>
      <c r="C286" s="22">
        <f>X285</f>
        <v/>
      </c>
      <c r="D286" s="27">
        <f>D285+W285</f>
        <v/>
      </c>
      <c r="E286" s="26">
        <f>E285+IF(U285="SK",1,0)</f>
        <v/>
      </c>
      <c r="F286" s="26">
        <f>F285+IF(U285="LB",1,0)</f>
        <v/>
      </c>
      <c r="G286" s="26">
        <f>G285+IF(U285="ML",1,0)</f>
        <v/>
      </c>
      <c r="H286" s="26">
        <f>H285+IF(U285="RLO",1,0)</f>
        <v/>
      </c>
      <c r="I286" s="26">
        <f>I285+IF(U285="BD",1,0)</f>
        <v/>
      </c>
      <c r="J286" s="26">
        <f>MAX(J285,IF(U285="BiP",1,0))</f>
        <v/>
      </c>
      <c r="K286" s="26">
        <f>MAX(K285,IF(U285="PV",1,0))</f>
        <v/>
      </c>
      <c r="L286" s="26">
        <f>MAX(L285,IF(U285="OC",1,0))</f>
        <v/>
      </c>
      <c r="M286" s="26">
        <f>MAX(M285,IF(U285="MG",1,0))</f>
        <v/>
      </c>
      <c r="N286" s="26">
        <f>MAX(N285,IF(U285="transition",1,0))</f>
        <v/>
      </c>
      <c r="O286" s="28">
        <f>(Parameters!$B$9+(IF(E286=0,0,(Upgrades!$J$13+E286*Upgrades!$K$13)*POWER(Upgrades!$L$13,E286)))*(IF(Upgrades!$T$14="Stellar Kinematics",POWER(Upgrades!$U$14,F286),1)*IF(Upgrades!$T$15="Stellar Kinematics",POWER(Upgrades!$U$15,G286),1)*IF(Upgrades!$T$16="Stellar Kinematics",POWER(Upgrades!$U$16,H286),1)*IF(Upgrades!$T$17="Stellar Kinematics",POWER(Upgrades!$U$17,I286),1)*IF(Upgrades!$T$18="Stellar Kinematics",POWER(Upgrades!$U$18,J286),1)*IF(Upgrades!$T$19="Stellar Kinematics",POWER(Upgrades!$U$19,K286),1)*IF(Upgrades!$T$20="Stellar Kinematics",POWER(Upgrades!$U$20,L286),1)*IF(Upgrades!$T$21="Stellar Kinematics",POWER(Upgrades!$U$21,M286),1))+(IF(F286=0,0,(Upgrades!$J$14+F286*Upgrades!$K$14)*POWER(Upgrades!$L$14,F286)))*(IF(Upgrades!$T$13="Local Bubble",POWER(Upgrades!$U$13,E286),1)*IF(Upgrades!$T$15="Local Bubble",POWER(Upgrades!$U$15,G286),1)*IF(Upgrades!$T$16="Local Bubble",POWER(Upgrades!$U$16,H286),1)*IF(Upgrades!$T$17="Local Bubble",POWER(Upgrades!$U$17,I286),1)*IF(Upgrades!$T$18="Local Bubble",POWER(Upgrades!$U$18,J286),1)*IF(Upgrades!$T$19="Local Bubble",POWER(Upgrades!$U$19,K286),1)*IF(Upgrades!$T$20="Local Bubble",POWER(Upgrades!$U$20,L286),1)*IF(Upgrades!$T$21="Local Bubble",POWER(Upgrades!$U$21,M286),1))+(IF(G286=0,0,(Upgrades!$J$15+G286*Upgrades!$K$15)*POWER(Upgrades!$L$15,G286)))*(IF(Upgrades!$T$13="Microlensing",POWER(Upgrades!$U$13,E286),1)*IF(Upgrades!$T$14="Microlensing",POWER(Upgrades!$U$14,F286),1)*IF(Upgrades!$T$16="Microlensing",POWER(Upgrades!$U$16,H286),1)*IF(Upgrades!$T$17="Microlensing",POWER(Upgrades!$U$17,I286),1)*IF(Upgrades!$T$18="Microlensing",POWER(Upgrades!$U$18,J286),1)*IF(Upgrades!$T$19="Microlensing",POWER(Upgrades!$U$19,K286),1)*IF(Upgrades!$T$20="Microlensing",POWER(Upgrades!$U$20,L286),1)*IF(Upgrades!$T$21="Microlensing",POWER(Upgrades!$U$21,M286),1))+(IF(H286=0,0,(Upgrades!$J$16+H286*Upgrades!$K$16)*POWER(Upgrades!$L$16,H286)))*(IF(Upgrades!$T$13="Roche Lobe Overflow",POWER(Upgrades!$U$13,E286),1)*IF(Upgrades!$T$14="Roche Lobe Overflow",POWER(Upgrades!$U$14,F286),1)*IF(Upgrades!$T$15="Roche Lobe Overflow",POWER(Upgrades!$U$15,G286),1)*IF(Upgrades!$T$17="Roche Lobe Overflow",POWER(Upgrades!$U$17,I286),1)*IF(Upgrades!$T$18="Roche Lobe Overflow",POWER(Upgrades!$U$18,J286),1)*IF(Upgrades!$T$19="Roche Lobe Overflow",POWER(Upgrades!$U$19,K286),1)*IF(Upgrades!$T$20="Roche Lobe Overflow",POWER(Upgrades!$U$20,L286),1)*IF(Upgrades!$T$21="Roche Lobe Overflow",POWER(Upgrades!$U$21,M286),1))+(IF(I286=0,0,(Upgrades!$J$17+I286*Upgrades!$K$17)*POWER(Upgrades!$L$17,I286)))*(IF(Upgrades!$T$13="Brown Dwarf",POWER(Upgrades!$U$13,E286),1)*IF(Upgrades!$T$14="Brown Dwarf",POWER(Upgrades!$U$14,F286),1)*IF(Upgrades!$T$15="Brown Dwarf",POWER(Upgrades!$U$15,G286),1)*IF(Upgrades!$T$16="Brown Dwarf",POWER(Upgrades!$U$16,H286),1)*IF(Upgrades!$T$18="Brown Dwarf",POWER(Upgrades!$U$18,J286),1)*IF(Upgrades!$T$19="Brown Dwarf",POWER(Upgrades!$U$19,K286),1)*IF(Upgrades!$T$20="Brown Dwarf",POWER(Upgrades!$U$20,L286),1)*IF(Upgrades!$T$21="Brown Dwarf",POWER(Upgrades!$U$21,M286),1))+(IF(J286=0,0,(Upgrades!$J$18+J286*Upgrades!$K$18)*POWER(Upgrades!$L$18,J286)))*(IF(Upgrades!$T$13="Binary Partner",POWER(Upgrades!$U$13,E286),1)*IF(Upgrades!$T$14="Binary Partner",POWER(Upgrades!$U$14,F286),1)*IF(Upgrades!$T$15="Binary Partner",POWER(Upgrades!$U$15,G286),1)*IF(Upgrades!$T$16="Binary Partner",POWER(Upgrades!$U$16,H286),1)*IF(Upgrades!$T$17="Binary Partner",POWER(Upgrades!$U$17,I286),1)*IF(Upgrades!$T$19="Binary Partner",POWER(Upgrades!$U$19,K286),1)*IF(Upgrades!$T$20="Binary Partner",POWER(Upgrades!$U$20,L286),1)*IF(Upgrades!$T$21="Binary Partner",POWER(Upgrades!$U$21,M286),1))+(IF(K286=0,0,(Upgrades!$J$19+K286*Upgrades!$K$19)*POWER(Upgrades!$L$19,K286)))*(IF(Upgrades!$T$13="Peculiar Velocity",POWER(Upgrades!$U$13,E286),1)*IF(Upgrades!$T$14="Peculiar Velocity",POWER(Upgrades!$U$14,F286),1)*IF(Upgrades!$T$15="Peculiar Velocity",POWER(Upgrades!$U$15,G286),1)*IF(Upgrades!$T$16="Peculiar Velocity",POWER(Upgrades!$U$16,H286),1)*IF(Upgrades!$T$17="Peculiar Velocity",POWER(Upgrades!$U$17,I286),1)*IF(Upgrades!$T$18="Peculiar Velocity",POWER(Upgrades!$U$18,J286),1)*IF(Upgrades!$T$20="Peculiar Velocity",POWER(Upgrades!$U$20,L286),1)*IF(Upgrades!$T$21="Peculiar Velocity",POWER(Upgrades!$U$21,M286),1))+(IF(L286=0,0,(Upgrades!$J$20+L286*Upgrades!$K$20)*POWER(Upgrades!$L$20,L286)))*(IF(Upgrades!$T$13="Open Cluster",POWER(Upgrades!$U$13,E286),1)*IF(Upgrades!$T$14="Open Cluster",POWER(Upgrades!$U$14,F286),1)*IF(Upgrades!$T$15="Open Cluster",POWER(Upgrades!$U$15,G286),1)*IF(Upgrades!$T$16="Open Cluster",POWER(Upgrades!$U$16,H286),1)*IF(Upgrades!$T$17="Open Cluster",POWER(Upgrades!$U$17,I286),1)*IF(Upgrades!$T$18="Open Cluster",POWER(Upgrades!$U$18,J286),1)*IF(Upgrades!$T$19="Open Cluster",POWER(Upgrades!$U$19,K286),1)*IF(Upgrades!$T$21="Open Cluster",POWER(Upgrades!$U$21,M286),1))+(IF(M286=0,0,(Upgrades!$J$21+M286*Upgrades!$K$21)*POWER(Upgrades!$L$21,M286)))*(IF(Upgrades!$T$13="Moving Group",POWER(Upgrades!$U$13,E286),1)*IF(Upgrades!$T$14="Moving Group",POWER(Upgrades!$U$14,F286),1)*IF(Upgrades!$T$15="Moving Group",POWER(Upgrades!$U$15,G286),1)*IF(Upgrades!$T$16="Moving Group",POWER(Upgrades!$U$16,H286),1)*IF(Upgrades!$T$17="Moving Group",POWER(Upgrades!$U$17,I286),1)*IF(Upgrades!$T$18="Moving Group",POWER(Upgrades!$U$18,J286),1)*IF(Upgrades!$T$19="Moving Group",POWER(Upgrades!$U$19,K286),1)*IF(Upgrades!$T$20="Moving Group",POWER(Upgrades!$U$20,L286),1)))*POWER(Upgrades!$Q$13,E286)*POWER(Upgrades!$Q$14,F286)*POWER(Upgrades!$Q$15,G286)*POWER(Upgrades!$Q$16,H286)*POWER(Upgrades!$Q$17,I286)*POWER(Upgrades!$Q$18,J286)*POWER(Upgrades!$Q$19,K286)*POWER(Upgrades!$Q$20,L286)*POWER(Upgrades!$Q$21,M286)*$G$6+$D$6</f>
        <v/>
      </c>
      <c r="P286" s="28">
        <f>((IF(E286=0,0,(Upgrades!$G$13+E286*Upgrades!$H$13)*POWER(Upgrades!$I$13,E286)))*(IF(Upgrades!$T$14="Stellar Kinematics",POWER(Upgrades!$U$14,F286),1)*IF(Upgrades!$T$15="Stellar Kinematics",POWER(Upgrades!$U$15,G286),1)*IF(Upgrades!$T$16="Stellar Kinematics",POWER(Upgrades!$U$16,H286),1)*IF(Upgrades!$T$17="Stellar Kinematics",POWER(Upgrades!$U$17,I286),1)*IF(Upgrades!$T$18="Stellar Kinematics",POWER(Upgrades!$U$18,J286),1)*IF(Upgrades!$T$19="Stellar Kinematics",POWER(Upgrades!$U$19,K286),1)*IF(Upgrades!$T$20="Stellar Kinematics",POWER(Upgrades!$U$20,L286),1)*IF(Upgrades!$T$21="Stellar Kinematics",POWER(Upgrades!$U$21,M286),1))+(IF(F286=0,0,(Upgrades!$G$14+F286*Upgrades!$H$14)*POWER(Upgrades!$I$14,F286)))*(IF(Upgrades!$T$13="Local Bubble",POWER(Upgrades!$U$13,E286),1)*IF(Upgrades!$T$15="Local Bubble",POWER(Upgrades!$U$15,G286),1)*IF(Upgrades!$T$16="Local Bubble",POWER(Upgrades!$U$16,H286),1)*IF(Upgrades!$T$17="Local Bubble",POWER(Upgrades!$U$17,I286),1)*IF(Upgrades!$T$18="Local Bubble",POWER(Upgrades!$U$18,J286),1)*IF(Upgrades!$T$19="Local Bubble",POWER(Upgrades!$U$19,K286),1)*IF(Upgrades!$T$20="Local Bubble",POWER(Upgrades!$U$20,L286),1)*IF(Upgrades!$T$21="Local Bubble",POWER(Upgrades!$U$21,M286),1))+(IF(G286=0,0,(Upgrades!$G$15+G286*Upgrades!$H$15)*POWER(Upgrades!$I$15,G286)))*(IF(Upgrades!$T$13="Microlensing",POWER(Upgrades!$U$13,E286),1)*IF(Upgrades!$T$14="Microlensing",POWER(Upgrades!$U$14,F286),1)*IF(Upgrades!$T$16="Microlensing",POWER(Upgrades!$U$16,H286),1)*IF(Upgrades!$T$17="Microlensing",POWER(Upgrades!$U$17,I286),1)*IF(Upgrades!$T$18="Microlensing",POWER(Upgrades!$U$18,J286),1)*IF(Upgrades!$T$19="Microlensing",POWER(Upgrades!$U$19,K286),1)*IF(Upgrades!$T$20="Microlensing",POWER(Upgrades!$U$20,L286),1)*IF(Upgrades!$T$21="Microlensing",POWER(Upgrades!$U$21,M286),1))+(IF(H286=0,0,(Upgrades!$G$16+H286*Upgrades!$H$16)*POWER(Upgrades!$I$16,H286)))*(IF(Upgrades!$T$13="Roche Lobe Overflow",POWER(Upgrades!$U$13,E286),1)*IF(Upgrades!$T$14="Roche Lobe Overflow",POWER(Upgrades!$U$14,F286),1)*IF(Upgrades!$T$15="Roche Lobe Overflow",POWER(Upgrades!$U$15,G286),1)*IF(Upgrades!$T$17="Roche Lobe Overflow",POWER(Upgrades!$U$17,I286),1)*IF(Upgrades!$T$18="Roche Lobe Overflow",POWER(Upgrades!$U$18,J286),1)*IF(Upgrades!$T$19="Roche Lobe Overflow",POWER(Upgrades!$U$19,K286),1)*IF(Upgrades!$T$20="Roche Lobe Overflow",POWER(Upgrades!$U$20,L286),1)*IF(Upgrades!$T$21="Roche Lobe Overflow",POWER(Upgrades!$U$21,M286),1))+(IF(I286=0,0,(Upgrades!$G$17+I286*Upgrades!$H$17)*POWER(Upgrades!$I$17,I286)))*(IF(Upgrades!$T$13="Brown Dwarf",POWER(Upgrades!$U$13,E286),1)*IF(Upgrades!$T$14="Brown Dwarf",POWER(Upgrades!$U$14,F286),1)*IF(Upgrades!$T$15="Brown Dwarf",POWER(Upgrades!$U$15,G286),1)*IF(Upgrades!$T$16="Brown Dwarf",POWER(Upgrades!$U$16,H286),1)*IF(Upgrades!$T$18="Brown Dwarf",POWER(Upgrades!$U$18,J286),1)*IF(Upgrades!$T$19="Brown Dwarf",POWER(Upgrades!$U$19,K286),1)*IF(Upgrades!$T$20="Brown Dwarf",POWER(Upgrades!$U$20,L286),1)*IF(Upgrades!$T$21="Brown Dwarf",POWER(Upgrades!$U$21,M286),1))+(IF(J286=0,0,(Upgrades!$G$18+J286*Upgrades!$H$18)*POWER(Upgrades!$I$18,J286)))*(IF(Upgrades!$T$13="Binary Partner",POWER(Upgrades!$U$13,E286),1)*IF(Upgrades!$T$14="Binary Partner",POWER(Upgrades!$U$14,F286),1)*IF(Upgrades!$T$15="Binary Partner",POWER(Upgrades!$U$15,G286),1)*IF(Upgrades!$T$16="Binary Partner",POWER(Upgrades!$U$16,H286),1)*IF(Upgrades!$T$17="Binary Partner",POWER(Upgrades!$U$17,I286),1)*IF(Upgrades!$T$19="Binary Partner",POWER(Upgrades!$U$19,K286),1)*IF(Upgrades!$T$20="Binary Partner",POWER(Upgrades!$U$20,L286),1)*IF(Upgrades!$T$21="Binary Partner",POWER(Upgrades!$U$21,M286),1))+(IF(K286=0,0,(Upgrades!$G$19+K286*Upgrades!$H$19)*POWER(Upgrades!$I$19,K286)))*(IF(Upgrades!$T$13="Peculiar Velocity",POWER(Upgrades!$U$13,E286),1)*IF(Upgrades!$T$14="Peculiar Velocity",POWER(Upgrades!$U$14,F286),1)*IF(Upgrades!$T$15="Peculiar Velocity",POWER(Upgrades!$U$15,G286),1)*IF(Upgrades!$T$16="Peculiar Velocity",POWER(Upgrades!$U$16,H286),1)*IF(Upgrades!$T$17="Peculiar Velocity",POWER(Upgrades!$U$17,I286),1)*IF(Upgrades!$T$18="Peculiar Velocity",POWER(Upgrades!$U$18,J286),1)*IF(Upgrades!$T$20="Peculiar Velocity",POWER(Upgrades!$U$20,L286),1)*IF(Upgrades!$T$21="Peculiar Velocity",POWER(Upgrades!$U$21,M286),1))+(IF(L286=0,0,(Upgrades!$G$20+L286*Upgrades!$H$20)*POWER(Upgrades!$I$20,L286)))*(IF(Upgrades!$T$13="Open Cluster",POWER(Upgrades!$U$13,E286),1)*IF(Upgrades!$T$14="Open Cluster",POWER(Upgrades!$U$14,F286),1)*IF(Upgrades!$T$15="Open Cluster",POWER(Upgrades!$U$15,G286),1)*IF(Upgrades!$T$16="Open Cluster",POWER(Upgrades!$U$16,H286),1)*IF(Upgrades!$T$17="Open Cluster",POWER(Upgrades!$U$17,I286),1)*IF(Upgrades!$T$18="Open Cluster",POWER(Upgrades!$U$18,J286),1)*IF(Upgrades!$T$19="Open Cluster",POWER(Upgrades!$U$19,K286),1)*IF(Upgrades!$T$21="Open Cluster",POWER(Upgrades!$U$21,M286),1))+(IF(M286=0,0,(Upgrades!$G$21+M286*Upgrades!$H$21)*POWER(Upgrades!$I$21,M286)))*(IF(Upgrades!$T$13="Moving Group",POWER(Upgrades!$U$13,E286),1)*IF(Upgrades!$T$14="Moving Group",POWER(Upgrades!$U$14,F286),1)*IF(Upgrades!$T$15="Moving Group",POWER(Upgrades!$U$15,G286),1)*IF(Upgrades!$T$16="Moving Group",POWER(Upgrades!$U$16,H286),1)*IF(Upgrades!$T$17="Moving Group",POWER(Upgrades!$U$17,I286),1)*IF(Upgrades!$T$18="Moving Group",POWER(Upgrades!$U$18,J286),1)*IF(Upgrades!$T$19="Moving Group",POWER(Upgrades!$U$19,K286),1)*IF(Upgrades!$T$20="Moving Group",POWER(Upgrades!$U$20,L286),1)))*POWER(Upgrades!$P$13,E286)*POWER(Upgrades!$P$14,F286)*POWER(Upgrades!$P$15,G286)*POWER(Upgrades!$P$16,H286)*POWER(Upgrades!$P$17,I286)*POWER(Upgrades!$P$18,J286)*POWER(Upgrades!$P$19,K286)*POWER(Upgrades!$P$20,L286)*POWER(Upgrades!$P$21,M286)*$F$6+$C$6</f>
        <v/>
      </c>
      <c r="Q286" s="28">
        <f>((IF(E286=0,0,(Upgrades!$M$13+E286*Upgrades!$N$13)*POWER(Upgrades!$O$13,E286)))*(IF(Upgrades!$T$14="Stellar Kinematics",POWER(Upgrades!$U$14,F286),1)*IF(Upgrades!$T$15="Stellar Kinematics",POWER(Upgrades!$U$15,G286),1)*IF(Upgrades!$T$16="Stellar Kinematics",POWER(Upgrades!$U$16,H286),1)*IF(Upgrades!$T$17="Stellar Kinematics",POWER(Upgrades!$U$17,I286),1)*IF(Upgrades!$T$18="Stellar Kinematics",POWER(Upgrades!$U$18,J286),1)*IF(Upgrades!$T$19="Stellar Kinematics",POWER(Upgrades!$U$19,K286),1)*IF(Upgrades!$T$20="Stellar Kinematics",POWER(Upgrades!$U$20,L286),1)*IF(Upgrades!$T$21="Stellar Kinematics",POWER(Upgrades!$U$21,M286),1))+(IF(F286=0,0,(Upgrades!$M$14+F286*Upgrades!$N$14)*POWER(Upgrades!$O$14,F286)))*(IF(Upgrades!$T$13="Local Bubble",POWER(Upgrades!$U$13,E286),1)*IF(Upgrades!$T$15="Local Bubble",POWER(Upgrades!$U$15,G286),1)*IF(Upgrades!$T$16="Local Bubble",POWER(Upgrades!$U$16,H286),1)*IF(Upgrades!$T$17="Local Bubble",POWER(Upgrades!$U$17,I286),1)*IF(Upgrades!$T$18="Local Bubble",POWER(Upgrades!$U$18,J286),1)*IF(Upgrades!$T$19="Local Bubble",POWER(Upgrades!$U$19,K286),1)*IF(Upgrades!$T$20="Local Bubble",POWER(Upgrades!$U$20,L286),1)*IF(Upgrades!$T$21="Local Bubble",POWER(Upgrades!$U$21,M286),1))+(IF(G286=0,0,(Upgrades!$M$15+G286*Upgrades!$N$15)*POWER(Upgrades!$O$15,G286)))*(IF(Upgrades!$T$13="Microlensing",POWER(Upgrades!$U$13,E286),1)*IF(Upgrades!$T$14="Microlensing",POWER(Upgrades!$U$14,F286),1)*IF(Upgrades!$T$16="Microlensing",POWER(Upgrades!$U$16,H286),1)*IF(Upgrades!$T$17="Microlensing",POWER(Upgrades!$U$17,I286),1)*IF(Upgrades!$T$18="Microlensing",POWER(Upgrades!$U$18,J286),1)*IF(Upgrades!$T$19="Microlensing",POWER(Upgrades!$U$19,K286),1)*IF(Upgrades!$T$20="Microlensing",POWER(Upgrades!$U$20,L286),1)*IF(Upgrades!$T$21="Microlensing",POWER(Upgrades!$U$21,M286),1))+(IF(H286=0,0,(Upgrades!$M$16+H286*Upgrades!$N$16)*POWER(Upgrades!$O$16,H286)))*(IF(Upgrades!$T$13="Roche Lobe Overflow",POWER(Upgrades!$U$13,E286),1)*IF(Upgrades!$T$14="Roche Lobe Overflow",POWER(Upgrades!$U$14,F286),1)*IF(Upgrades!$T$15="Roche Lobe Overflow",POWER(Upgrades!$U$15,G286),1)*IF(Upgrades!$T$17="Roche Lobe Overflow",POWER(Upgrades!$U$17,I286),1)*IF(Upgrades!$T$18="Roche Lobe Overflow",POWER(Upgrades!$U$18,J286),1)*IF(Upgrades!$T$19="Roche Lobe Overflow",POWER(Upgrades!$U$19,K286),1)*IF(Upgrades!$T$20="Roche Lobe Overflow",POWER(Upgrades!$U$20,L286),1)*IF(Upgrades!$T$21="Roche Lobe Overflow",POWER(Upgrades!$U$21,M286),1))+(IF(I286=0,0,(Upgrades!$M$17+I286*Upgrades!$N$17)*POWER(Upgrades!$O$17,I286)))*(IF(Upgrades!$T$13="Brown Dwarf",POWER(Upgrades!$U$13,E286),1)*IF(Upgrades!$T$14="Brown Dwarf",POWER(Upgrades!$U$14,F286),1)*IF(Upgrades!$T$15="Brown Dwarf",POWER(Upgrades!$U$15,G286),1)*IF(Upgrades!$T$16="Brown Dwarf",POWER(Upgrades!$U$16,H286),1)*IF(Upgrades!$T$18="Brown Dwarf",POWER(Upgrades!$U$18,J286),1)*IF(Upgrades!$T$19="Brown Dwarf",POWER(Upgrades!$U$19,K286),1)*IF(Upgrades!$T$20="Brown Dwarf",POWER(Upgrades!$U$20,L286),1)*IF(Upgrades!$T$21="Brown Dwarf",POWER(Upgrades!$U$21,M286),1))+(IF(J286=0,0,(Upgrades!$M$18+J286*Upgrades!$N$18)*POWER(Upgrades!$O$18,J286)))*(IF(Upgrades!$T$13="Binary Partner",POWER(Upgrades!$U$13,E286),1)*IF(Upgrades!$T$14="Binary Partner",POWER(Upgrades!$U$14,F286),1)*IF(Upgrades!$T$15="Binary Partner",POWER(Upgrades!$U$15,G286),1)*IF(Upgrades!$T$16="Binary Partner",POWER(Upgrades!$U$16,H286),1)*IF(Upgrades!$T$17="Binary Partner",POWER(Upgrades!$U$17,I286),1)*IF(Upgrades!$T$19="Binary Partner",POWER(Upgrades!$U$19,K286),1)*IF(Upgrades!$T$20="Binary Partner",POWER(Upgrades!$U$20,L286),1)*IF(Upgrades!$T$21="Binary Partner",POWER(Upgrades!$U$21,M286),1))+(IF(K286=0,0,(Upgrades!$M$19+K286*Upgrades!$N$19)*POWER(Upgrades!$O$19,K286)))*(IF(Upgrades!$T$13="Peculiar Velocity",POWER(Upgrades!$U$13,E286),1)*IF(Upgrades!$T$14="Peculiar Velocity",POWER(Upgrades!$U$14,F286),1)*IF(Upgrades!$T$15="Peculiar Velocity",POWER(Upgrades!$U$15,G286),1)*IF(Upgrades!$T$16="Peculiar Velocity",POWER(Upgrades!$U$16,H286),1)*IF(Upgrades!$T$17="Peculiar Velocity",POWER(Upgrades!$U$17,I286),1)*IF(Upgrades!$T$18="Peculiar Velocity",POWER(Upgrades!$U$18,J286),1)*IF(Upgrades!$T$20="Peculiar Velocity",POWER(Upgrades!$U$20,L286),1)*IF(Upgrades!$T$21="Peculiar Velocity",POWER(Upgrades!$U$21,M286),1))+(IF(L286=0,0,(Upgrades!$M$20+L286*Upgrades!$N$20)*POWER(Upgrades!$O$20,L286)))*(IF(Upgrades!$T$13="Open Cluster",POWER(Upgrades!$U$13,E286),1)*IF(Upgrades!$T$14="Open Cluster",POWER(Upgrades!$U$14,F286),1)*IF(Upgrades!$T$15="Open Cluster",POWER(Upgrades!$U$15,G286),1)*IF(Upgrades!$T$16="Open Cluster",POWER(Upgrades!$U$16,H286),1)*IF(Upgrades!$T$17="Open Cluster",POWER(Upgrades!$U$17,I286),1)*IF(Upgrades!$T$18="Open Cluster",POWER(Upgrades!$U$18,J286),1)*IF(Upgrades!$T$19="Open Cluster",POWER(Upgrades!$U$19,K286),1)*IF(Upgrades!$T$21="Open Cluster",POWER(Upgrades!$U$21,M286),1))+(IF(M286=0,0,(Upgrades!$M$21+M286*Upgrades!$N$21)*POWER(Upgrades!$O$21,M286)))*(IF(Upgrades!$T$13="Moving Group",POWER(Upgrades!$U$13,E286),1)*IF(Upgrades!$T$14="Moving Group",POWER(Upgrades!$U$14,F286),1)*IF(Upgrades!$T$15="Moving Group",POWER(Upgrades!$U$15,G286),1)*IF(Upgrades!$T$16="Moving Group",POWER(Upgrades!$U$16,H286),1)*IF(Upgrades!$T$17="Moving Group",POWER(Upgrades!$U$17,I286),1)*IF(Upgrades!$T$18="Moving Group",POWER(Upgrades!$U$18,J286),1)*IF(Upgrades!$T$19="Moving Group",POWER(Upgrades!$U$19,K286),1)*IF(Upgrades!$T$20="Moving Group",POWER(Upgrades!$U$20,L286),1)))*POWER(Upgrades!$R$13,E286)*POWER(Upgrades!$R$14,F286)*POWER(Upgrades!$R$15,G286)*POWER(Upgrades!$R$16,H286)*POWER(Upgrades!$R$17,I286)*POWER(Upgrades!$R$18,J286)*POWER(Upgrades!$R$19,K286)*POWER(Upgrades!$R$20,L286)*POWER(Upgrades!$R$21,M286)*$H$6+$E$6</f>
        <v/>
      </c>
      <c r="R286" s="27">
        <f>IF(N286=1,0,O286*Parameters!$B$10/60*Parameters!$B$11*10)</f>
        <v/>
      </c>
      <c r="S286" s="27">
        <f>IF(N286=1,0,Q286*O286*10)</f>
        <v/>
      </c>
      <c r="T286" s="27">
        <f>IF(N286=1,0,R286+S286+P286*10)</f>
        <v/>
      </c>
      <c r="U286" s="33">
        <f>BE286</f>
        <v/>
      </c>
      <c r="V286" s="22">
        <f>IF(U286="",0,IF(U286="transition",0,IF(U286="SK",AK286,IF(U286="LB",AL286,IF(U286="ML",AM286,IF(U286="RLO",AN286,IF(U286="BD",AO286,IF(U286="BiP",AP286,IF(U286="PV",AQ286,IF(U286="OC",AR286,IF(U286="MG",AS286,0))))))))))</f>
        <v/>
      </c>
      <c r="W286" s="27">
        <f>IF(U286="BiP",Upgrades!$F$18,IF(U286="PV",Upgrades!$F$19,IF(U286="OC",Upgrades!$F$20,IF(U286="MG",Upgrades!$F$21,IF(U286="transition",-Parameters!$B$18*Parameters!$B$19,0)))))</f>
        <v/>
      </c>
      <c r="X286" s="22">
        <f>C286+T286-V286</f>
        <v/>
      </c>
      <c r="Y286" s="30">
        <f>O286*Parameters!$B$10/60*Parameters!$B$11+Q286*O286+P286</f>
        <v/>
      </c>
      <c r="Z286" s="34">
        <f>IF(U286="transition","→ Tier 3 (Galactic Arm)",IF(U286="MG","Moving Group — pocket drifts together",IF(U286="OC","Open Cluster acquired",IF(U286="PV","Peculiar Velocity — passive multiplier active",IF(U286="BiP","Binary Partner — pair bond formed",IF(AND(AU286=1,N286=0,AT286&lt;&gt;1),"Cohesion ready (waiting on completionists)","")))))) </f>
        <v/>
      </c>
      <c r="AA286" s="27">
        <f>(IF(E286=0,0,(Upgrades!$G$13+E286*Upgrades!$H$13)*POWER(Upgrades!$I$13,E286)))*(IF(Upgrades!$T$14="Stellar Kinematics",POWER(Upgrades!$U$14,F286),1)*IF(Upgrades!$T$15="Stellar Kinematics",POWER(Upgrades!$U$15,G286),1)*IF(Upgrades!$T$16="Stellar Kinematics",POWER(Upgrades!$U$16,H286),1)*IF(Upgrades!$T$17="Stellar Kinematics",POWER(Upgrades!$U$17,I286),1)*IF(Upgrades!$T$18="Stellar Kinematics",POWER(Upgrades!$U$18,J286),1)*IF(Upgrades!$T$19="Stellar Kinematics",POWER(Upgrades!$U$19,K286),1)*IF(Upgrades!$T$20="Stellar Kinematics",POWER(Upgrades!$U$20,L286),1)*IF(Upgrades!$T$21="Stellar Kinematics",POWER(Upgrades!$U$21,M286),1))*POWER(Upgrades!$P$13,E286)*POWER(Upgrades!$P$14,F286)*POWER(Upgrades!$P$15,G286)*POWER(Upgrades!$P$16,H286)*POWER(Upgrades!$P$17,I286)*POWER(Upgrades!$P$18,J286)*POWER(Upgrades!$P$19,K286)*POWER(Upgrades!$P$20,L286)*POWER(Upgrades!$P$21,M286)*$F$6*60</f>
        <v/>
      </c>
      <c r="AB286" s="27">
        <f>(IF(F286=0,0,(Upgrades!$G$14+F286*Upgrades!$H$14)*POWER(Upgrades!$I$14,F286)))*(IF(Upgrades!$T$13="Local Bubble",POWER(Upgrades!$U$13,E286),1)*IF(Upgrades!$T$15="Local Bubble",POWER(Upgrades!$U$15,G286),1)*IF(Upgrades!$T$16="Local Bubble",POWER(Upgrades!$U$16,H286),1)*IF(Upgrades!$T$17="Local Bubble",POWER(Upgrades!$U$17,I286),1)*IF(Upgrades!$T$18="Local Bubble",POWER(Upgrades!$U$18,J286),1)*IF(Upgrades!$T$19="Local Bubble",POWER(Upgrades!$U$19,K286),1)*IF(Upgrades!$T$20="Local Bubble",POWER(Upgrades!$U$20,L286),1)*IF(Upgrades!$T$21="Local Bubble",POWER(Upgrades!$U$21,M286),1))*POWER(Upgrades!$P$13,E286)*POWER(Upgrades!$P$14,F286)*POWER(Upgrades!$P$15,G286)*POWER(Upgrades!$P$16,H286)*POWER(Upgrades!$P$17,I286)*POWER(Upgrades!$P$18,J286)*POWER(Upgrades!$P$19,K286)*POWER(Upgrades!$P$20,L286)*POWER(Upgrades!$P$21,M286)*$F$6*60</f>
        <v/>
      </c>
      <c r="AC286" s="27">
        <f>(IF(G286=0,0,(Upgrades!$J$15+G286*Upgrades!$K$15)*POWER(Upgrades!$L$15,G286)))*(IF(Upgrades!$T$13="Microlensing",POWER(Upgrades!$U$13,E286),1)*IF(Upgrades!$T$14="Microlensing",POWER(Upgrades!$U$14,F286),1)*IF(Upgrades!$T$16="Microlensing",POWER(Upgrades!$U$16,H286),1)*IF(Upgrades!$T$17="Microlensing",POWER(Upgrades!$U$17,I286),1)*IF(Upgrades!$T$18="Microlensing",POWER(Upgrades!$U$18,J286),1)*IF(Upgrades!$T$19="Microlensing",POWER(Upgrades!$U$19,K286),1)*IF(Upgrades!$T$20="Microlensing",POWER(Upgrades!$U$20,L286),1)*IF(Upgrades!$T$21="Microlensing",POWER(Upgrades!$U$21,M286),1))*POWER(Upgrades!$Q$13,E286)*POWER(Upgrades!$Q$14,F286)*POWER(Upgrades!$Q$15,G286)*POWER(Upgrades!$Q$16,H286)*POWER(Upgrades!$Q$17,I286)*POWER(Upgrades!$Q$18,J286)*POWER(Upgrades!$Q$19,K286)*POWER(Upgrades!$Q$20,L286)*POWER(Upgrades!$Q$21,M286)*$G$6*(Parameters!$B$10*Parameters!$B$11+Q286*60)</f>
        <v/>
      </c>
      <c r="AD286" s="27">
        <f>(IF(H286=0,0,(Upgrades!$M$16+H286*Upgrades!$N$16)*POWER(Upgrades!$O$16,H286)))*(IF(Upgrades!$T$13="Roche Lobe Overflow",POWER(Upgrades!$U$13,E286),1)*IF(Upgrades!$T$14="Roche Lobe Overflow",POWER(Upgrades!$U$14,F286),1)*IF(Upgrades!$T$15="Roche Lobe Overflow",POWER(Upgrades!$U$15,G286),1)*IF(Upgrades!$T$17="Roche Lobe Overflow",POWER(Upgrades!$U$17,I286),1)*IF(Upgrades!$T$18="Roche Lobe Overflow",POWER(Upgrades!$U$18,J286),1)*IF(Upgrades!$T$19="Roche Lobe Overflow",POWER(Upgrades!$U$19,K286),1)*IF(Upgrades!$T$20="Roche Lobe Overflow",POWER(Upgrades!$U$20,L286),1)*IF(Upgrades!$T$21="Roche Lobe Overflow",POWER(Upgrades!$U$21,M286),1))*POWER(Upgrades!$R$13,E286)*POWER(Upgrades!$R$14,F286)*POWER(Upgrades!$R$15,G286)*POWER(Upgrades!$R$16,H286)*POWER(Upgrades!$R$17,I286)*POWER(Upgrades!$R$18,J286)*POWER(Upgrades!$R$19,K286)*POWER(Upgrades!$R$20,L286)*POWER(Upgrades!$R$21,M286)*$H$6*O286*60</f>
        <v/>
      </c>
      <c r="AE286" s="27">
        <f>(IF(I286=0,0,(Upgrades!$G$17+I286*Upgrades!$H$17)*POWER(Upgrades!$I$17,I286)))*(IF(Upgrades!$T$13="Brown Dwarf",POWER(Upgrades!$U$13,E286),1)*IF(Upgrades!$T$14="Brown Dwarf",POWER(Upgrades!$U$14,F286),1)*IF(Upgrades!$T$15="Brown Dwarf",POWER(Upgrades!$U$15,G286),1)*IF(Upgrades!$T$16="Brown Dwarf",POWER(Upgrades!$U$16,H286),1)*IF(Upgrades!$T$18="Brown Dwarf",POWER(Upgrades!$U$18,J286),1)*IF(Upgrades!$T$19="Brown Dwarf",POWER(Upgrades!$U$19,K286),1)*IF(Upgrades!$T$20="Brown Dwarf",POWER(Upgrades!$U$20,L286),1)*IF(Upgrades!$T$21="Brown Dwarf",POWER(Upgrades!$U$21,M286),1))*POWER(Upgrades!$P$13,E286)*POWER(Upgrades!$P$14,F286)*POWER(Upgrades!$P$15,G286)*POWER(Upgrades!$P$16,H286)*POWER(Upgrades!$P$17,I286)*POWER(Upgrades!$P$18,J286)*POWER(Upgrades!$P$19,K286)*POWER(Upgrades!$P$20,L286)*POWER(Upgrades!$P$21,M286)*$F$6*60</f>
        <v/>
      </c>
      <c r="AF286" s="27" t="n">
        <v>0</v>
      </c>
      <c r="AG286" s="27" t="n">
        <v>0</v>
      </c>
      <c r="AH286" s="27" t="n">
        <v>0</v>
      </c>
      <c r="AI286" s="27">
        <f>(IF(M286=0,0,(Upgrades!$G$21+M286*Upgrades!$H$21)*POWER(Upgrades!$I$21,M286)))*(IF(Upgrades!$T$13="Moving Group",POWER(Upgrades!$U$13,E286),1)*IF(Upgrades!$T$14="Moving Group",POWER(Upgrades!$U$14,F286),1)*IF(Upgrades!$T$15="Moving Group",POWER(Upgrades!$U$15,G286),1)*IF(Upgrades!$T$16="Moving Group",POWER(Upgrades!$U$16,H286),1)*IF(Upgrades!$T$17="Moving Group",POWER(Upgrades!$U$17,I286),1)*IF(Upgrades!$T$18="Moving Group",POWER(Upgrades!$U$18,J286),1)*IF(Upgrades!$T$19="Moving Group",POWER(Upgrades!$U$19,K286),1)*IF(Upgrades!$T$20="Moving Group",POWER(Upgrades!$U$20,L286),1))*POWER(Upgrades!$P$13,E286)*POWER(Upgrades!$P$14,F286)*POWER(Upgrades!$P$15,G286)*POWER(Upgrades!$P$16,H286)*POWER(Upgrades!$P$17,I286)*POWER(Upgrades!$P$18,J286)*POWER(Upgrades!$P$19,K286)*POWER(Upgrades!$P$20,L286)*POWER(Upgrades!$P$21,M286)*$F$6*60</f>
        <v/>
      </c>
      <c r="AJ286" s="27">
        <f>$C$6*60</f>
        <v/>
      </c>
      <c r="AK286" s="22">
        <f>IF(E286&gt;=Upgrades!$E$13,"",Upgrades!$C$13*POWER(Upgrades!$D$13,E286))</f>
        <v/>
      </c>
      <c r="AL286" s="22">
        <f>IF(F286&gt;=Upgrades!$E$14,"",Upgrades!$C$14*POWER(Upgrades!$D$14,F286))</f>
        <v/>
      </c>
      <c r="AM286" s="22">
        <f>IF(G286&gt;=Upgrades!$E$15,"",Upgrades!$C$15*POWER(Upgrades!$D$15,G286))</f>
        <v/>
      </c>
      <c r="AN286" s="22">
        <f>IF(H286&gt;=Upgrades!$E$16,"",Upgrades!$C$16*POWER(Upgrades!$D$16,H286))</f>
        <v/>
      </c>
      <c r="AO286" s="22">
        <f>IF(I286&gt;=Upgrades!$E$17,"",Upgrades!$C$17*POWER(Upgrades!$D$17,I286))</f>
        <v/>
      </c>
      <c r="AP286" s="22">
        <f>IF(J286&gt;=Upgrades!$E$18,"",Upgrades!$C$18*POWER(Upgrades!$D$18,J286))</f>
        <v/>
      </c>
      <c r="AQ286" s="22">
        <f>IF(K286&gt;=Upgrades!$E$19,"",Upgrades!$C$19*POWER(Upgrades!$D$19,K286))</f>
        <v/>
      </c>
      <c r="AR286" s="22">
        <f>IF(L286&gt;=Upgrades!$E$20,"",Upgrades!$C$20*POWER(Upgrades!$D$20,L286))</f>
        <v/>
      </c>
      <c r="AS286" s="22">
        <f>IF(M286&gt;=Upgrades!$E$21,"",Upgrades!$C$21*POWER(Upgrades!$D$21,M286))</f>
        <v/>
      </c>
      <c r="AT286" s="26">
        <f>IF(AND(D286&gt;=Parameters!$B$18*Parameters!$B$19,(I286&gt;=Upgrades!$E$17)*(M286&gt;=Upgrades!$E$21)=1,N286=0),1,"")</f>
        <v/>
      </c>
      <c r="AU286" s="26">
        <f>IF(AND(D286&gt;=Parameters!$B$18*Parameters!$B$19,N286=0),1,"")</f>
        <v/>
      </c>
      <c r="AV286" s="22">
        <f>MIN(IF(ISNUMBER(AP286),AP286,9E15),IF(ISNUMBER(AQ286),AQ286,9E15),IF(ISNUMBER(AR286),AR286,9E15),IF(ISNUMBER(AS286),AS286,9E15))</f>
        <v/>
      </c>
      <c r="AW286" s="22">
        <f>MIN(IF(ISNUMBER(AK286),AK286,9E15),IF(ISNUMBER(AL286),AL286,9E15),IF(ISNUMBER(AM286),AM286,9E15),IF(ISNUMBER(AN286),AN286,9E15),IF(ISNUMBER(AO286),AO286,9E15))</f>
        <v/>
      </c>
      <c r="AX286" s="29">
        <f>IF(BD286&gt;Parameters!$B$21*(MAX(IF(AND(NOT(AND(AU286=1,AT286&lt;&gt;1)),ISNUMBER(AK286),AK286&lt;=(C286+T286)),AY286,0),IF(AND(NOT(AND(AU286=1,AT286&lt;&gt;1)),ISNUMBER(AL286),AL286&lt;=(C286+T286)),AZ286,0),IF(AND(NOT(AND(AU286=1,AT286&lt;&gt;1)),ISNUMBER(AM286),AM286&lt;=(C286+T286)),BA286,0),IF(AND(NOT(AND(AU286=1,AT286&lt;&gt;1)),ISNUMBER(AN286),AN286&lt;=(C286+T286)),BB286,0),IF(AND(ISNUMBER(AO286),AO286&lt;=(C286+T286)),BC286,0))),TRUE,FALSE)</f>
        <v/>
      </c>
      <c r="AY286" s="32">
        <f>IFERROR(Upgrades!$H$13*(POWER(Upgrades!$P$13,E286)*POWER(Upgrades!$P$14,F286)*POWER(Upgrades!$P$15,G286)*POWER(Upgrades!$P$16,H286)*POWER(Upgrades!$P$17,I286)*POWER(Upgrades!$P$18,J286)*POWER(Upgrades!$P$19,K286)*POWER(Upgrades!$P$20,L286)*POWER(Upgrades!$P$21,M286))*(IF(Upgrades!$T$14="Stellar Kinematics",POWER(Upgrades!$U$14,F286),1)*IF(Upgrades!$T$15="Stellar Kinematics",POWER(Upgrades!$U$15,G286),1)*IF(Upgrades!$T$16="Stellar Kinematics",POWER(Upgrades!$U$16,H286),1)*IF(Upgrades!$T$17="Stellar Kinematics",POWER(Upgrades!$U$17,I286),1)*IF(Upgrades!$T$18="Stellar Kinematics",POWER(Upgrades!$U$18,J286),1)*IF(Upgrades!$T$19="Stellar Kinematics",POWER(Upgrades!$U$19,K286),1)*IF(Upgrades!$T$20="Stellar Kinematics",POWER(Upgrades!$U$20,L286),1)*IF(Upgrades!$T$21="Stellar Kinematics",POWER(Upgrades!$U$21,M286),1))*$F$6/AK286,0)</f>
        <v/>
      </c>
      <c r="AZ286" s="32">
        <f>IFERROR(Upgrades!$H$14*(POWER(Upgrades!$P$13,E286)*POWER(Upgrades!$P$14,F286)*POWER(Upgrades!$P$15,G286)*POWER(Upgrades!$P$16,H286)*POWER(Upgrades!$P$17,I286)*POWER(Upgrades!$P$18,J286)*POWER(Upgrades!$P$19,K286)*POWER(Upgrades!$P$20,L286)*POWER(Upgrades!$P$21,M286))*(IF(Upgrades!$T$13="Local Bubble",POWER(Upgrades!$U$13,E286),1)*IF(Upgrades!$T$15="Local Bubble",POWER(Upgrades!$U$15,G286),1)*IF(Upgrades!$T$16="Local Bubble",POWER(Upgrades!$U$16,H286),1)*IF(Upgrades!$T$17="Local Bubble",POWER(Upgrades!$U$17,I286),1)*IF(Upgrades!$T$18="Local Bubble",POWER(Upgrades!$U$18,J286),1)*IF(Upgrades!$T$19="Local Bubble",POWER(Upgrades!$U$19,K286),1)*IF(Upgrades!$T$20="Local Bubble",POWER(Upgrades!$U$20,L286),1)*IF(Upgrades!$T$21="Local Bubble",POWER(Upgrades!$U$21,M286),1))*$F$6/AL286,0)</f>
        <v/>
      </c>
      <c r="BA286" s="32">
        <f>IFERROR(Upgrades!$K$15*(POWER(Upgrades!$Q$13,E286)*POWER(Upgrades!$Q$14,F286)*POWER(Upgrades!$Q$15,G286)*POWER(Upgrades!$Q$16,H286)*POWER(Upgrades!$Q$17,I286)*POWER(Upgrades!$Q$18,J286)*POWER(Upgrades!$Q$19,K286)*POWER(Upgrades!$Q$20,L286)*POWER(Upgrades!$Q$21,M286))*(IF(Upgrades!$T$13="Microlensing",POWER(Upgrades!$U$13,E286),1)*IF(Upgrades!$T$14="Microlensing",POWER(Upgrades!$U$14,F286),1)*IF(Upgrades!$T$16="Microlensing",POWER(Upgrades!$U$16,H286),1)*IF(Upgrades!$T$17="Microlensing",POWER(Upgrades!$U$17,I286),1)*IF(Upgrades!$T$18="Microlensing",POWER(Upgrades!$U$18,J286),1)*IF(Upgrades!$T$19="Microlensing",POWER(Upgrades!$U$19,K286),1)*IF(Upgrades!$T$20="Microlensing",POWER(Upgrades!$U$20,L286),1)*IF(Upgrades!$T$21="Microlensing",POWER(Upgrades!$U$21,M286),1))*$G$6*(Parameters!$B$10/60*Parameters!$B$11+Q286)/AM286,0)</f>
        <v/>
      </c>
      <c r="BB286" s="32">
        <f>IFERROR((Upgrades!$N$16*(POWER(Upgrades!$R$13,E286)*POWER(Upgrades!$R$14,F286)*POWER(Upgrades!$R$15,G286)*POWER(Upgrades!$R$16,H286)*POWER(Upgrades!$R$17,I286)*POWER(Upgrades!$R$18,J286)*POWER(Upgrades!$R$19,K286)*POWER(Upgrades!$R$20,L286)*POWER(Upgrades!$R$21,M286))*(IF(Upgrades!$T$13="Roche Lobe Overflow",POWER(Upgrades!$U$13,E286),1)*IF(Upgrades!$T$14="Roche Lobe Overflow",POWER(Upgrades!$U$14,F286),1)*IF(Upgrades!$T$15="Roche Lobe Overflow",POWER(Upgrades!$U$15,G286),1)*IF(Upgrades!$T$17="Roche Lobe Overflow",POWER(Upgrades!$U$17,I286),1)*IF(Upgrades!$T$18="Roche Lobe Overflow",POWER(Upgrades!$U$18,J286),1)*IF(Upgrades!$T$19="Roche Lobe Overflow",POWER(Upgrades!$U$19,K286),1)*IF(Upgrades!$T$20="Roche Lobe Overflow",POWER(Upgrades!$U$20,L286),1)*IF(Upgrades!$T$21="Roche Lobe Overflow",POWER(Upgrades!$U$21,M286),1))*$H$6*O286+((IF(F286=0,0,(Upgrades!$G$14+F286*Upgrades!$H$14)*POWER(Upgrades!$I$14,F286)))*(IF(Upgrades!$T$13="Local Bubble",POWER(Upgrades!$U$13,E286),1)*IF(Upgrades!$T$15="Local Bubble",POWER(Upgrades!$U$15,G286),1)*IF(Upgrades!$T$16="Local Bubble",POWER(Upgrades!$U$16,H286),1)*IF(Upgrades!$T$17="Local Bubble",POWER(Upgrades!$U$17,I286),1)*IF(Upgrades!$T$18="Local Bubble",POWER(Upgrades!$U$18,J286),1)*IF(Upgrades!$T$19="Local Bubble",POWER(Upgrades!$U$19,K286),1)*IF(Upgrades!$T$20="Local Bubble",POWER(Upgrades!$U$20,L286),1)*IF(Upgrades!$T$21="Local Bubble",POWER(Upgrades!$U$21,M286),1))*POWER(Upgrades!$P$13,E286)*POWER(Upgrades!$P$14,F286)*POWER(Upgrades!$P$15,G286)*POWER(Upgrades!$P$16,H286)*POWER(Upgrades!$P$17,I286)*POWER(Upgrades!$P$18,J286)*POWER(Upgrades!$P$19,K286)*POWER(Upgrades!$P$20,L286)*POWER(Upgrades!$P$21,M286)*$F$6)*0.05)/AN286,0)</f>
        <v/>
      </c>
      <c r="BC286" s="32">
        <f>IFERROR((Upgrades!$H$17*(POWER(Upgrades!$P$13,E286)*POWER(Upgrades!$P$14,F286)*POWER(Upgrades!$P$15,G286)*POWER(Upgrades!$P$16,H286)*POWER(Upgrades!$P$17,I286)*POWER(Upgrades!$P$18,J286)*POWER(Upgrades!$P$19,K286)*POWER(Upgrades!$P$20,L286)*POWER(Upgrades!$P$21,M286))*(IF(Upgrades!$T$13="Brown Dwarf",POWER(Upgrades!$U$13,E286),1)*IF(Upgrades!$T$14="Brown Dwarf",POWER(Upgrades!$U$14,F286),1)*IF(Upgrades!$T$15="Brown Dwarf",POWER(Upgrades!$U$15,G286),1)*IF(Upgrades!$T$16="Brown Dwarf",POWER(Upgrades!$U$16,H286),1)*IF(Upgrades!$T$18="Brown Dwarf",POWER(Upgrades!$U$18,J286),1)*IF(Upgrades!$T$19="Brown Dwarf",POWER(Upgrades!$U$19,K286),1)*IF(Upgrades!$T$20="Brown Dwarf",POWER(Upgrades!$U$20,L286),1)*IF(Upgrades!$T$21="Brown Dwarf",POWER(Upgrades!$U$21,M286),1))*$F$6+(((IF(H286=0,0,(Upgrades!$M$16+H286*Upgrades!$N$16)*POWER(Upgrades!$O$16,H286)))*(IF(Upgrades!$T$13="Roche Lobe Overflow",POWER(Upgrades!$U$13,E286),1)*IF(Upgrades!$T$14="Roche Lobe Overflow",POWER(Upgrades!$U$14,F286),1)*IF(Upgrades!$T$15="Roche Lobe Overflow",POWER(Upgrades!$U$15,G286),1)*IF(Upgrades!$T$17="Roche Lobe Overflow",POWER(Upgrades!$U$17,I286),1)*IF(Upgrades!$T$18="Roche Lobe Overflow",POWER(Upgrades!$U$18,J286),1)*IF(Upgrades!$T$19="Roche Lobe Overflow",POWER(Upgrades!$U$19,K286),1)*IF(Upgrades!$T$20="Roche Lobe Overflow",POWER(Upgrades!$U$20,L286),1)*IF(Upgrades!$T$21="Roche Lobe Overflow",POWER(Upgrades!$U$21,M286),1))*POWER(Upgrades!$R$13,E286)*POWER(Upgrades!$R$14,F286)*POWER(Upgrades!$R$15,G286)*POWER(Upgrades!$R$16,H286)*POWER(Upgrades!$R$17,I286)*POWER(Upgrades!$R$18,J286)*POWER(Upgrades!$R$19,K286)*POWER(Upgrades!$R$20,L286)*POWER(Upgrades!$R$21,M286)*$H$6)*O286)*0.10)/AO286,0)</f>
        <v/>
      </c>
      <c r="BD286" s="32">
        <f>MAX(IF(J286&gt;0,0,IFERROR(0.5*((IF(G286=0,0,(Upgrades!$J$15+G286*Upgrades!$K$15)*POWER(Upgrades!$L$15,G286)))*(IF(Upgrades!$T$13="Microlensing",POWER(Upgrades!$U$13,E286),1)*IF(Upgrades!$T$14="Microlensing",POWER(Upgrades!$U$14,F286),1)*IF(Upgrades!$T$16="Microlensing",POWER(Upgrades!$U$16,H286),1)*IF(Upgrades!$T$17="Microlensing",POWER(Upgrades!$U$17,I286),1)*IF(Upgrades!$T$18="Microlensing",POWER(Upgrades!$U$18,J286),1)*IF(Upgrades!$T$19="Microlensing",POWER(Upgrades!$U$19,K286),1)*IF(Upgrades!$T$20="Microlensing",POWER(Upgrades!$U$20,L286),1)*IF(Upgrades!$T$21="Microlensing",POWER(Upgrades!$U$21,M286),1))*(POWER(Upgrades!$Q$13,E286)*POWER(Upgrades!$Q$14,F286)*POWER(Upgrades!$Q$15,G286)*POWER(Upgrades!$Q$16,H286)*POWER(Upgrades!$Q$17,I286)*POWER(Upgrades!$Q$18,J286)*POWER(Upgrades!$Q$19,K286)*POWER(Upgrades!$Q$20,L286)*POWER(Upgrades!$Q$21,M286))*$G$6*(Parameters!$B$10/60*Parameters!$B$11+Q286))/Upgrades!$C$18,0)),IF(K286&gt;0,0,IFERROR(0.30*P286/Upgrades!$C$19,0)),IF(L286&gt;0,0,IFERROR(0.0001/Upgrades!$C$20,0)),IF(M286&gt;0,0,IFERROR((6.0*(POWER(Upgrades!$P$13,E286)*POWER(Upgrades!$P$14,F286)*POWER(Upgrades!$P$15,G286)*POWER(Upgrades!$P$16,H286)*POWER(Upgrades!$P$17,I286)*POWER(Upgrades!$P$18,J286)*POWER(Upgrades!$P$19,K286)*POWER(Upgrades!$P$20,L286)*POWER(Upgrades!$P$21,M286))*$F$6+0.20*O286*(Parameters!$B$10/60*Parameters!$B$11+Q286))/Upgrades!$C$21,0)),IF(AND(ISNUMBER(AK286),AK286&gt;(C286+T286)),AY286,0),IF(AND(ISNUMBER(AL286),AL286&gt;(C286+T286)),AZ286,0),IF(AND(ISNUMBER(AM286),AM286&gt;(C286+T286)),BA286,0),IF(AND(ISNUMBER(AN286),AN286&gt;(C286+T286)),BB286,0),IF(AND(ISNUMBER(AO286),AO286&gt;(C286+T286)),BC286,0))</f>
        <v/>
      </c>
      <c r="BE286" s="29">
        <f>IF(AT286=1,"transition",IF(MIN(IF(AND(J286=0,ISNUMBER(AP286),AP286&lt;=(C286+T286)),AP286,9E15),IF(AND(K286=0,ISNUMBER(AQ286),AQ286&lt;=(C286+T286)),AQ286,9E15),IF(AND(L286=0,ISNUMBER(AR286),AR286&lt;=(C286+T286)),AR286,9E15),IF(AND(M286=0,ISNUMBER(AS286),AS286&lt;=(C286+T286)),AS286,9E15))&lt;9E15,IF(AND(AND(J286=0,ISNUMBER(AP286),AP286&lt;=(C286+T286)),AP286=MIN(IF(AND(J286=0,ISNUMBER(AP286),AP286&lt;=(C286+T286)),AP286,9E15),IF(AND(K286=0,ISNUMBER(AQ286),AQ286&lt;=(C286+T286)),AQ286,9E15),IF(AND(L286=0,ISNUMBER(AR286),AR286&lt;=(C286+T286)),AR286,9E15),IF(AND(M286=0,ISNUMBER(AS286),AS286&lt;=(C286+T286)),AS286,9E15))),"BiP",IF(AND(AND(K286=0,ISNUMBER(AQ286),AQ286&lt;=(C286+T286)),AQ286=MIN(IF(AND(J286=0,ISNUMBER(AP286),AP286&lt;=(C286+T286)),AP286,9E15),IF(AND(K286=0,ISNUMBER(AQ286),AQ286&lt;=(C286+T286)),AQ286,9E15),IF(AND(L286=0,ISNUMBER(AR286),AR286&lt;=(C286+T286)),AR286,9E15),IF(AND(M286=0,ISNUMBER(AS286),AS286&lt;=(C286+T286)),AS286,9E15))),"PV",IF(AND(AND(L286=0,ISNUMBER(AR286),AR286&lt;=(C286+T286)),AR286=MIN(IF(AND(J286=0,ISNUMBER(AP286),AP286&lt;=(C286+T286)),AP286,9E15),IF(AND(K286=0,ISNUMBER(AQ286),AQ286&lt;=(C286+T286)),AQ286,9E15),IF(AND(L286=0,ISNUMBER(AR286),AR286&lt;=(C286+T286)),AR286,9E15),IF(AND(M286=0,ISNUMBER(AS286),AS286&lt;=(C286+T286)),AS286,9E15))),"OC","MG"))),IF(AX286=TRUE,"",IF(MAX(IF(AND(NOT(AND(AU286=1,AT286&lt;&gt;1)),ISNUMBER(AK286),AK286&lt;=(C286+T286)),AY286,0),IF(AND(NOT(AND(AU286=1,AT286&lt;&gt;1)),ISNUMBER(AL286),AL286&lt;=(C286+T286)),AZ286,0),IF(AND(NOT(AND(AU286=1,AT286&lt;&gt;1)),ISNUMBER(AM286),AM286&lt;=(C286+T286)),BA286,0),IF(AND(NOT(AND(AU286=1,AT286&lt;&gt;1)),ISNUMBER(AN286),AN286&lt;=(C286+T286)),BB286,0),IF(AND(ISNUMBER(AO286),AO286&lt;=(C286+T286)),BC286,0))&lt;=0,"",IF(AND(IF(AND(NOT(AND(AU286=1,AT286&lt;&gt;1)),ISNUMBER(AK286),AK286&lt;=(C286+T286)),AY286,0)&gt;0,IF(AND(NOT(AND(AU286=1,AT286&lt;&gt;1)),ISNUMBER(AK286),AK286&lt;=(C286+T286)),AY286,0)=MAX(IF(AND(NOT(AND(AU286=1,AT286&lt;&gt;1)),ISNUMBER(AK286),AK286&lt;=(C286+T286)),AY286,0),IF(AND(NOT(AND(AU286=1,AT286&lt;&gt;1)),ISNUMBER(AL286),AL286&lt;=(C286+T286)),AZ286,0),IF(AND(NOT(AND(AU286=1,AT286&lt;&gt;1)),ISNUMBER(AM286),AM286&lt;=(C286+T286)),BA286,0),IF(AND(NOT(AND(AU286=1,AT286&lt;&gt;1)),ISNUMBER(AN286),AN286&lt;=(C286+T286)),BB286,0),IF(AND(ISNUMBER(AO286),AO286&lt;=(C286+T286)),BC286,0))),"SK",IF(AND(IF(AND(NOT(AND(AU286=1,AT286&lt;&gt;1)),ISNUMBER(AL286),AL286&lt;=(C286+T286)),AZ286,0)&gt;0,IF(AND(NOT(AND(AU286=1,AT286&lt;&gt;1)),ISNUMBER(AL286),AL286&lt;=(C286+T286)),AZ286,0)=MAX(IF(AND(NOT(AND(AU286=1,AT286&lt;&gt;1)),ISNUMBER(AK286),AK286&lt;=(C286+T286)),AY286,0),IF(AND(NOT(AND(AU286=1,AT286&lt;&gt;1)),ISNUMBER(AL286),AL286&lt;=(C286+T286)),AZ286,0),IF(AND(NOT(AND(AU286=1,AT286&lt;&gt;1)),ISNUMBER(AM286),AM286&lt;=(C286+T286)),BA286,0),IF(AND(NOT(AND(AU286=1,AT286&lt;&gt;1)),ISNUMBER(AN286),AN286&lt;=(C286+T286)),BB286,0),IF(AND(ISNUMBER(AO286),AO286&lt;=(C286+T286)),BC286,0))),"LB",IF(AND(IF(AND(NOT(AND(AU286=1,AT286&lt;&gt;1)),ISNUMBER(AM286),AM286&lt;=(C286+T286)),BA286,0)&gt;0,IF(AND(NOT(AND(AU286=1,AT286&lt;&gt;1)),ISNUMBER(AM286),AM286&lt;=(C286+T286)),BA286,0)=MAX(IF(AND(NOT(AND(AU286=1,AT286&lt;&gt;1)),ISNUMBER(AK286),AK286&lt;=(C286+T286)),AY286,0),IF(AND(NOT(AND(AU286=1,AT286&lt;&gt;1)),ISNUMBER(AL286),AL286&lt;=(C286+T286)),AZ286,0),IF(AND(NOT(AND(AU286=1,AT286&lt;&gt;1)),ISNUMBER(AM286),AM286&lt;=(C286+T286)),BA286,0),IF(AND(NOT(AND(AU286=1,AT286&lt;&gt;1)),ISNUMBER(AN286),AN286&lt;=(C286+T286)),BB286,0),IF(AND(ISNUMBER(AO286),AO286&lt;=(C286+T286)),BC286,0))),"ML",IF(AND(IF(AND(NOT(AND(AU286=1,AT286&lt;&gt;1)),ISNUMBER(AN286),AN286&lt;=(C286+T286)),BB286,0)&gt;0,IF(AND(NOT(AND(AU286=1,AT286&lt;&gt;1)),ISNUMBER(AN286),AN286&lt;=(C286+T286)),BB286,0)=MAX(IF(AND(NOT(AND(AU286=1,AT286&lt;&gt;1)),ISNUMBER(AK286),AK286&lt;=(C286+T286)),AY286,0),IF(AND(NOT(AND(AU286=1,AT286&lt;&gt;1)),ISNUMBER(AL286),AL286&lt;=(C286+T286)),AZ286,0),IF(AND(NOT(AND(AU286=1,AT286&lt;&gt;1)),ISNUMBER(AM286),AM286&lt;=(C286+T286)),BA286,0),IF(AND(NOT(AND(AU286=1,AT286&lt;&gt;1)),ISNUMBER(AN286),AN286&lt;=(C286+T286)),BB286,0),IF(AND(ISNUMBER(AO286),AO286&lt;=(C286+T286)),BC286,0))),"RLO","BD"))))))))</f>
        <v/>
      </c>
    </row>
    <row r="287">
      <c r="A287" s="26" t="n">
        <v>276</v>
      </c>
      <c r="B287" s="27">
        <f>A287*10/60</f>
        <v/>
      </c>
      <c r="C287" s="22">
        <f>X286</f>
        <v/>
      </c>
      <c r="D287" s="27">
        <f>D286+W286</f>
        <v/>
      </c>
      <c r="E287" s="26">
        <f>E286+IF(U286="SK",1,0)</f>
        <v/>
      </c>
      <c r="F287" s="26">
        <f>F286+IF(U286="LB",1,0)</f>
        <v/>
      </c>
      <c r="G287" s="26">
        <f>G286+IF(U286="ML",1,0)</f>
        <v/>
      </c>
      <c r="H287" s="26">
        <f>H286+IF(U286="RLO",1,0)</f>
        <v/>
      </c>
      <c r="I287" s="26">
        <f>I286+IF(U286="BD",1,0)</f>
        <v/>
      </c>
      <c r="J287" s="26">
        <f>MAX(J286,IF(U286="BiP",1,0))</f>
        <v/>
      </c>
      <c r="K287" s="26">
        <f>MAX(K286,IF(U286="PV",1,0))</f>
        <v/>
      </c>
      <c r="L287" s="26">
        <f>MAX(L286,IF(U286="OC",1,0))</f>
        <v/>
      </c>
      <c r="M287" s="26">
        <f>MAX(M286,IF(U286="MG",1,0))</f>
        <v/>
      </c>
      <c r="N287" s="26">
        <f>MAX(N286,IF(U286="transition",1,0))</f>
        <v/>
      </c>
      <c r="O287" s="28">
        <f>(Parameters!$B$9+(IF(E287=0,0,(Upgrades!$J$13+E287*Upgrades!$K$13)*POWER(Upgrades!$L$13,E287)))*(IF(Upgrades!$T$14="Stellar Kinematics",POWER(Upgrades!$U$14,F287),1)*IF(Upgrades!$T$15="Stellar Kinematics",POWER(Upgrades!$U$15,G287),1)*IF(Upgrades!$T$16="Stellar Kinematics",POWER(Upgrades!$U$16,H287),1)*IF(Upgrades!$T$17="Stellar Kinematics",POWER(Upgrades!$U$17,I287),1)*IF(Upgrades!$T$18="Stellar Kinematics",POWER(Upgrades!$U$18,J287),1)*IF(Upgrades!$T$19="Stellar Kinematics",POWER(Upgrades!$U$19,K287),1)*IF(Upgrades!$T$20="Stellar Kinematics",POWER(Upgrades!$U$20,L287),1)*IF(Upgrades!$T$21="Stellar Kinematics",POWER(Upgrades!$U$21,M287),1))+(IF(F287=0,0,(Upgrades!$J$14+F287*Upgrades!$K$14)*POWER(Upgrades!$L$14,F287)))*(IF(Upgrades!$T$13="Local Bubble",POWER(Upgrades!$U$13,E287),1)*IF(Upgrades!$T$15="Local Bubble",POWER(Upgrades!$U$15,G287),1)*IF(Upgrades!$T$16="Local Bubble",POWER(Upgrades!$U$16,H287),1)*IF(Upgrades!$T$17="Local Bubble",POWER(Upgrades!$U$17,I287),1)*IF(Upgrades!$T$18="Local Bubble",POWER(Upgrades!$U$18,J287),1)*IF(Upgrades!$T$19="Local Bubble",POWER(Upgrades!$U$19,K287),1)*IF(Upgrades!$T$20="Local Bubble",POWER(Upgrades!$U$20,L287),1)*IF(Upgrades!$T$21="Local Bubble",POWER(Upgrades!$U$21,M287),1))+(IF(G287=0,0,(Upgrades!$J$15+G287*Upgrades!$K$15)*POWER(Upgrades!$L$15,G287)))*(IF(Upgrades!$T$13="Microlensing",POWER(Upgrades!$U$13,E287),1)*IF(Upgrades!$T$14="Microlensing",POWER(Upgrades!$U$14,F287),1)*IF(Upgrades!$T$16="Microlensing",POWER(Upgrades!$U$16,H287),1)*IF(Upgrades!$T$17="Microlensing",POWER(Upgrades!$U$17,I287),1)*IF(Upgrades!$T$18="Microlensing",POWER(Upgrades!$U$18,J287),1)*IF(Upgrades!$T$19="Microlensing",POWER(Upgrades!$U$19,K287),1)*IF(Upgrades!$T$20="Microlensing",POWER(Upgrades!$U$20,L287),1)*IF(Upgrades!$T$21="Microlensing",POWER(Upgrades!$U$21,M287),1))+(IF(H287=0,0,(Upgrades!$J$16+H287*Upgrades!$K$16)*POWER(Upgrades!$L$16,H287)))*(IF(Upgrades!$T$13="Roche Lobe Overflow",POWER(Upgrades!$U$13,E287),1)*IF(Upgrades!$T$14="Roche Lobe Overflow",POWER(Upgrades!$U$14,F287),1)*IF(Upgrades!$T$15="Roche Lobe Overflow",POWER(Upgrades!$U$15,G287),1)*IF(Upgrades!$T$17="Roche Lobe Overflow",POWER(Upgrades!$U$17,I287),1)*IF(Upgrades!$T$18="Roche Lobe Overflow",POWER(Upgrades!$U$18,J287),1)*IF(Upgrades!$T$19="Roche Lobe Overflow",POWER(Upgrades!$U$19,K287),1)*IF(Upgrades!$T$20="Roche Lobe Overflow",POWER(Upgrades!$U$20,L287),1)*IF(Upgrades!$T$21="Roche Lobe Overflow",POWER(Upgrades!$U$21,M287),1))+(IF(I287=0,0,(Upgrades!$J$17+I287*Upgrades!$K$17)*POWER(Upgrades!$L$17,I287)))*(IF(Upgrades!$T$13="Brown Dwarf",POWER(Upgrades!$U$13,E287),1)*IF(Upgrades!$T$14="Brown Dwarf",POWER(Upgrades!$U$14,F287),1)*IF(Upgrades!$T$15="Brown Dwarf",POWER(Upgrades!$U$15,G287),1)*IF(Upgrades!$T$16="Brown Dwarf",POWER(Upgrades!$U$16,H287),1)*IF(Upgrades!$T$18="Brown Dwarf",POWER(Upgrades!$U$18,J287),1)*IF(Upgrades!$T$19="Brown Dwarf",POWER(Upgrades!$U$19,K287),1)*IF(Upgrades!$T$20="Brown Dwarf",POWER(Upgrades!$U$20,L287),1)*IF(Upgrades!$T$21="Brown Dwarf",POWER(Upgrades!$U$21,M287),1))+(IF(J287=0,0,(Upgrades!$J$18+J287*Upgrades!$K$18)*POWER(Upgrades!$L$18,J287)))*(IF(Upgrades!$T$13="Binary Partner",POWER(Upgrades!$U$13,E287),1)*IF(Upgrades!$T$14="Binary Partner",POWER(Upgrades!$U$14,F287),1)*IF(Upgrades!$T$15="Binary Partner",POWER(Upgrades!$U$15,G287),1)*IF(Upgrades!$T$16="Binary Partner",POWER(Upgrades!$U$16,H287),1)*IF(Upgrades!$T$17="Binary Partner",POWER(Upgrades!$U$17,I287),1)*IF(Upgrades!$T$19="Binary Partner",POWER(Upgrades!$U$19,K287),1)*IF(Upgrades!$T$20="Binary Partner",POWER(Upgrades!$U$20,L287),1)*IF(Upgrades!$T$21="Binary Partner",POWER(Upgrades!$U$21,M287),1))+(IF(K287=0,0,(Upgrades!$J$19+K287*Upgrades!$K$19)*POWER(Upgrades!$L$19,K287)))*(IF(Upgrades!$T$13="Peculiar Velocity",POWER(Upgrades!$U$13,E287),1)*IF(Upgrades!$T$14="Peculiar Velocity",POWER(Upgrades!$U$14,F287),1)*IF(Upgrades!$T$15="Peculiar Velocity",POWER(Upgrades!$U$15,G287),1)*IF(Upgrades!$T$16="Peculiar Velocity",POWER(Upgrades!$U$16,H287),1)*IF(Upgrades!$T$17="Peculiar Velocity",POWER(Upgrades!$U$17,I287),1)*IF(Upgrades!$T$18="Peculiar Velocity",POWER(Upgrades!$U$18,J287),1)*IF(Upgrades!$T$20="Peculiar Velocity",POWER(Upgrades!$U$20,L287),1)*IF(Upgrades!$T$21="Peculiar Velocity",POWER(Upgrades!$U$21,M287),1))+(IF(L287=0,0,(Upgrades!$J$20+L287*Upgrades!$K$20)*POWER(Upgrades!$L$20,L287)))*(IF(Upgrades!$T$13="Open Cluster",POWER(Upgrades!$U$13,E287),1)*IF(Upgrades!$T$14="Open Cluster",POWER(Upgrades!$U$14,F287),1)*IF(Upgrades!$T$15="Open Cluster",POWER(Upgrades!$U$15,G287),1)*IF(Upgrades!$T$16="Open Cluster",POWER(Upgrades!$U$16,H287),1)*IF(Upgrades!$T$17="Open Cluster",POWER(Upgrades!$U$17,I287),1)*IF(Upgrades!$T$18="Open Cluster",POWER(Upgrades!$U$18,J287),1)*IF(Upgrades!$T$19="Open Cluster",POWER(Upgrades!$U$19,K287),1)*IF(Upgrades!$T$21="Open Cluster",POWER(Upgrades!$U$21,M287),1))+(IF(M287=0,0,(Upgrades!$J$21+M287*Upgrades!$K$21)*POWER(Upgrades!$L$21,M287)))*(IF(Upgrades!$T$13="Moving Group",POWER(Upgrades!$U$13,E287),1)*IF(Upgrades!$T$14="Moving Group",POWER(Upgrades!$U$14,F287),1)*IF(Upgrades!$T$15="Moving Group",POWER(Upgrades!$U$15,G287),1)*IF(Upgrades!$T$16="Moving Group",POWER(Upgrades!$U$16,H287),1)*IF(Upgrades!$T$17="Moving Group",POWER(Upgrades!$U$17,I287),1)*IF(Upgrades!$T$18="Moving Group",POWER(Upgrades!$U$18,J287),1)*IF(Upgrades!$T$19="Moving Group",POWER(Upgrades!$U$19,K287),1)*IF(Upgrades!$T$20="Moving Group",POWER(Upgrades!$U$20,L287),1)))*POWER(Upgrades!$Q$13,E287)*POWER(Upgrades!$Q$14,F287)*POWER(Upgrades!$Q$15,G287)*POWER(Upgrades!$Q$16,H287)*POWER(Upgrades!$Q$17,I287)*POWER(Upgrades!$Q$18,J287)*POWER(Upgrades!$Q$19,K287)*POWER(Upgrades!$Q$20,L287)*POWER(Upgrades!$Q$21,M287)*$G$6+$D$6</f>
        <v/>
      </c>
      <c r="P287" s="28">
        <f>((IF(E287=0,0,(Upgrades!$G$13+E287*Upgrades!$H$13)*POWER(Upgrades!$I$13,E287)))*(IF(Upgrades!$T$14="Stellar Kinematics",POWER(Upgrades!$U$14,F287),1)*IF(Upgrades!$T$15="Stellar Kinematics",POWER(Upgrades!$U$15,G287),1)*IF(Upgrades!$T$16="Stellar Kinematics",POWER(Upgrades!$U$16,H287),1)*IF(Upgrades!$T$17="Stellar Kinematics",POWER(Upgrades!$U$17,I287),1)*IF(Upgrades!$T$18="Stellar Kinematics",POWER(Upgrades!$U$18,J287),1)*IF(Upgrades!$T$19="Stellar Kinematics",POWER(Upgrades!$U$19,K287),1)*IF(Upgrades!$T$20="Stellar Kinematics",POWER(Upgrades!$U$20,L287),1)*IF(Upgrades!$T$21="Stellar Kinematics",POWER(Upgrades!$U$21,M287),1))+(IF(F287=0,0,(Upgrades!$G$14+F287*Upgrades!$H$14)*POWER(Upgrades!$I$14,F287)))*(IF(Upgrades!$T$13="Local Bubble",POWER(Upgrades!$U$13,E287),1)*IF(Upgrades!$T$15="Local Bubble",POWER(Upgrades!$U$15,G287),1)*IF(Upgrades!$T$16="Local Bubble",POWER(Upgrades!$U$16,H287),1)*IF(Upgrades!$T$17="Local Bubble",POWER(Upgrades!$U$17,I287),1)*IF(Upgrades!$T$18="Local Bubble",POWER(Upgrades!$U$18,J287),1)*IF(Upgrades!$T$19="Local Bubble",POWER(Upgrades!$U$19,K287),1)*IF(Upgrades!$T$20="Local Bubble",POWER(Upgrades!$U$20,L287),1)*IF(Upgrades!$T$21="Local Bubble",POWER(Upgrades!$U$21,M287),1))+(IF(G287=0,0,(Upgrades!$G$15+G287*Upgrades!$H$15)*POWER(Upgrades!$I$15,G287)))*(IF(Upgrades!$T$13="Microlensing",POWER(Upgrades!$U$13,E287),1)*IF(Upgrades!$T$14="Microlensing",POWER(Upgrades!$U$14,F287),1)*IF(Upgrades!$T$16="Microlensing",POWER(Upgrades!$U$16,H287),1)*IF(Upgrades!$T$17="Microlensing",POWER(Upgrades!$U$17,I287),1)*IF(Upgrades!$T$18="Microlensing",POWER(Upgrades!$U$18,J287),1)*IF(Upgrades!$T$19="Microlensing",POWER(Upgrades!$U$19,K287),1)*IF(Upgrades!$T$20="Microlensing",POWER(Upgrades!$U$20,L287),1)*IF(Upgrades!$T$21="Microlensing",POWER(Upgrades!$U$21,M287),1))+(IF(H287=0,0,(Upgrades!$G$16+H287*Upgrades!$H$16)*POWER(Upgrades!$I$16,H287)))*(IF(Upgrades!$T$13="Roche Lobe Overflow",POWER(Upgrades!$U$13,E287),1)*IF(Upgrades!$T$14="Roche Lobe Overflow",POWER(Upgrades!$U$14,F287),1)*IF(Upgrades!$T$15="Roche Lobe Overflow",POWER(Upgrades!$U$15,G287),1)*IF(Upgrades!$T$17="Roche Lobe Overflow",POWER(Upgrades!$U$17,I287),1)*IF(Upgrades!$T$18="Roche Lobe Overflow",POWER(Upgrades!$U$18,J287),1)*IF(Upgrades!$T$19="Roche Lobe Overflow",POWER(Upgrades!$U$19,K287),1)*IF(Upgrades!$T$20="Roche Lobe Overflow",POWER(Upgrades!$U$20,L287),1)*IF(Upgrades!$T$21="Roche Lobe Overflow",POWER(Upgrades!$U$21,M287),1))+(IF(I287=0,0,(Upgrades!$G$17+I287*Upgrades!$H$17)*POWER(Upgrades!$I$17,I287)))*(IF(Upgrades!$T$13="Brown Dwarf",POWER(Upgrades!$U$13,E287),1)*IF(Upgrades!$T$14="Brown Dwarf",POWER(Upgrades!$U$14,F287),1)*IF(Upgrades!$T$15="Brown Dwarf",POWER(Upgrades!$U$15,G287),1)*IF(Upgrades!$T$16="Brown Dwarf",POWER(Upgrades!$U$16,H287),1)*IF(Upgrades!$T$18="Brown Dwarf",POWER(Upgrades!$U$18,J287),1)*IF(Upgrades!$T$19="Brown Dwarf",POWER(Upgrades!$U$19,K287),1)*IF(Upgrades!$T$20="Brown Dwarf",POWER(Upgrades!$U$20,L287),1)*IF(Upgrades!$T$21="Brown Dwarf",POWER(Upgrades!$U$21,M287),1))+(IF(J287=0,0,(Upgrades!$G$18+J287*Upgrades!$H$18)*POWER(Upgrades!$I$18,J287)))*(IF(Upgrades!$T$13="Binary Partner",POWER(Upgrades!$U$13,E287),1)*IF(Upgrades!$T$14="Binary Partner",POWER(Upgrades!$U$14,F287),1)*IF(Upgrades!$T$15="Binary Partner",POWER(Upgrades!$U$15,G287),1)*IF(Upgrades!$T$16="Binary Partner",POWER(Upgrades!$U$16,H287),1)*IF(Upgrades!$T$17="Binary Partner",POWER(Upgrades!$U$17,I287),1)*IF(Upgrades!$T$19="Binary Partner",POWER(Upgrades!$U$19,K287),1)*IF(Upgrades!$T$20="Binary Partner",POWER(Upgrades!$U$20,L287),1)*IF(Upgrades!$T$21="Binary Partner",POWER(Upgrades!$U$21,M287),1))+(IF(K287=0,0,(Upgrades!$G$19+K287*Upgrades!$H$19)*POWER(Upgrades!$I$19,K287)))*(IF(Upgrades!$T$13="Peculiar Velocity",POWER(Upgrades!$U$13,E287),1)*IF(Upgrades!$T$14="Peculiar Velocity",POWER(Upgrades!$U$14,F287),1)*IF(Upgrades!$T$15="Peculiar Velocity",POWER(Upgrades!$U$15,G287),1)*IF(Upgrades!$T$16="Peculiar Velocity",POWER(Upgrades!$U$16,H287),1)*IF(Upgrades!$T$17="Peculiar Velocity",POWER(Upgrades!$U$17,I287),1)*IF(Upgrades!$T$18="Peculiar Velocity",POWER(Upgrades!$U$18,J287),1)*IF(Upgrades!$T$20="Peculiar Velocity",POWER(Upgrades!$U$20,L287),1)*IF(Upgrades!$T$21="Peculiar Velocity",POWER(Upgrades!$U$21,M287),1))+(IF(L287=0,0,(Upgrades!$G$20+L287*Upgrades!$H$20)*POWER(Upgrades!$I$20,L287)))*(IF(Upgrades!$T$13="Open Cluster",POWER(Upgrades!$U$13,E287),1)*IF(Upgrades!$T$14="Open Cluster",POWER(Upgrades!$U$14,F287),1)*IF(Upgrades!$T$15="Open Cluster",POWER(Upgrades!$U$15,G287),1)*IF(Upgrades!$T$16="Open Cluster",POWER(Upgrades!$U$16,H287),1)*IF(Upgrades!$T$17="Open Cluster",POWER(Upgrades!$U$17,I287),1)*IF(Upgrades!$T$18="Open Cluster",POWER(Upgrades!$U$18,J287),1)*IF(Upgrades!$T$19="Open Cluster",POWER(Upgrades!$U$19,K287),1)*IF(Upgrades!$T$21="Open Cluster",POWER(Upgrades!$U$21,M287),1))+(IF(M287=0,0,(Upgrades!$G$21+M287*Upgrades!$H$21)*POWER(Upgrades!$I$21,M287)))*(IF(Upgrades!$T$13="Moving Group",POWER(Upgrades!$U$13,E287),1)*IF(Upgrades!$T$14="Moving Group",POWER(Upgrades!$U$14,F287),1)*IF(Upgrades!$T$15="Moving Group",POWER(Upgrades!$U$15,G287),1)*IF(Upgrades!$T$16="Moving Group",POWER(Upgrades!$U$16,H287),1)*IF(Upgrades!$T$17="Moving Group",POWER(Upgrades!$U$17,I287),1)*IF(Upgrades!$T$18="Moving Group",POWER(Upgrades!$U$18,J287),1)*IF(Upgrades!$T$19="Moving Group",POWER(Upgrades!$U$19,K287),1)*IF(Upgrades!$T$20="Moving Group",POWER(Upgrades!$U$20,L287),1)))*POWER(Upgrades!$P$13,E287)*POWER(Upgrades!$P$14,F287)*POWER(Upgrades!$P$15,G287)*POWER(Upgrades!$P$16,H287)*POWER(Upgrades!$P$17,I287)*POWER(Upgrades!$P$18,J287)*POWER(Upgrades!$P$19,K287)*POWER(Upgrades!$P$20,L287)*POWER(Upgrades!$P$21,M287)*$F$6+$C$6</f>
        <v/>
      </c>
      <c r="Q287" s="28">
        <f>((IF(E287=0,0,(Upgrades!$M$13+E287*Upgrades!$N$13)*POWER(Upgrades!$O$13,E287)))*(IF(Upgrades!$T$14="Stellar Kinematics",POWER(Upgrades!$U$14,F287),1)*IF(Upgrades!$T$15="Stellar Kinematics",POWER(Upgrades!$U$15,G287),1)*IF(Upgrades!$T$16="Stellar Kinematics",POWER(Upgrades!$U$16,H287),1)*IF(Upgrades!$T$17="Stellar Kinematics",POWER(Upgrades!$U$17,I287),1)*IF(Upgrades!$T$18="Stellar Kinematics",POWER(Upgrades!$U$18,J287),1)*IF(Upgrades!$T$19="Stellar Kinematics",POWER(Upgrades!$U$19,K287),1)*IF(Upgrades!$T$20="Stellar Kinematics",POWER(Upgrades!$U$20,L287),1)*IF(Upgrades!$T$21="Stellar Kinematics",POWER(Upgrades!$U$21,M287),1))+(IF(F287=0,0,(Upgrades!$M$14+F287*Upgrades!$N$14)*POWER(Upgrades!$O$14,F287)))*(IF(Upgrades!$T$13="Local Bubble",POWER(Upgrades!$U$13,E287),1)*IF(Upgrades!$T$15="Local Bubble",POWER(Upgrades!$U$15,G287),1)*IF(Upgrades!$T$16="Local Bubble",POWER(Upgrades!$U$16,H287),1)*IF(Upgrades!$T$17="Local Bubble",POWER(Upgrades!$U$17,I287),1)*IF(Upgrades!$T$18="Local Bubble",POWER(Upgrades!$U$18,J287),1)*IF(Upgrades!$T$19="Local Bubble",POWER(Upgrades!$U$19,K287),1)*IF(Upgrades!$T$20="Local Bubble",POWER(Upgrades!$U$20,L287),1)*IF(Upgrades!$T$21="Local Bubble",POWER(Upgrades!$U$21,M287),1))+(IF(G287=0,0,(Upgrades!$M$15+G287*Upgrades!$N$15)*POWER(Upgrades!$O$15,G287)))*(IF(Upgrades!$T$13="Microlensing",POWER(Upgrades!$U$13,E287),1)*IF(Upgrades!$T$14="Microlensing",POWER(Upgrades!$U$14,F287),1)*IF(Upgrades!$T$16="Microlensing",POWER(Upgrades!$U$16,H287),1)*IF(Upgrades!$T$17="Microlensing",POWER(Upgrades!$U$17,I287),1)*IF(Upgrades!$T$18="Microlensing",POWER(Upgrades!$U$18,J287),1)*IF(Upgrades!$T$19="Microlensing",POWER(Upgrades!$U$19,K287),1)*IF(Upgrades!$T$20="Microlensing",POWER(Upgrades!$U$20,L287),1)*IF(Upgrades!$T$21="Microlensing",POWER(Upgrades!$U$21,M287),1))+(IF(H287=0,0,(Upgrades!$M$16+H287*Upgrades!$N$16)*POWER(Upgrades!$O$16,H287)))*(IF(Upgrades!$T$13="Roche Lobe Overflow",POWER(Upgrades!$U$13,E287),1)*IF(Upgrades!$T$14="Roche Lobe Overflow",POWER(Upgrades!$U$14,F287),1)*IF(Upgrades!$T$15="Roche Lobe Overflow",POWER(Upgrades!$U$15,G287),1)*IF(Upgrades!$T$17="Roche Lobe Overflow",POWER(Upgrades!$U$17,I287),1)*IF(Upgrades!$T$18="Roche Lobe Overflow",POWER(Upgrades!$U$18,J287),1)*IF(Upgrades!$T$19="Roche Lobe Overflow",POWER(Upgrades!$U$19,K287),1)*IF(Upgrades!$T$20="Roche Lobe Overflow",POWER(Upgrades!$U$20,L287),1)*IF(Upgrades!$T$21="Roche Lobe Overflow",POWER(Upgrades!$U$21,M287),1))+(IF(I287=0,0,(Upgrades!$M$17+I287*Upgrades!$N$17)*POWER(Upgrades!$O$17,I287)))*(IF(Upgrades!$T$13="Brown Dwarf",POWER(Upgrades!$U$13,E287),1)*IF(Upgrades!$T$14="Brown Dwarf",POWER(Upgrades!$U$14,F287),1)*IF(Upgrades!$T$15="Brown Dwarf",POWER(Upgrades!$U$15,G287),1)*IF(Upgrades!$T$16="Brown Dwarf",POWER(Upgrades!$U$16,H287),1)*IF(Upgrades!$T$18="Brown Dwarf",POWER(Upgrades!$U$18,J287),1)*IF(Upgrades!$T$19="Brown Dwarf",POWER(Upgrades!$U$19,K287),1)*IF(Upgrades!$T$20="Brown Dwarf",POWER(Upgrades!$U$20,L287),1)*IF(Upgrades!$T$21="Brown Dwarf",POWER(Upgrades!$U$21,M287),1))+(IF(J287=0,0,(Upgrades!$M$18+J287*Upgrades!$N$18)*POWER(Upgrades!$O$18,J287)))*(IF(Upgrades!$T$13="Binary Partner",POWER(Upgrades!$U$13,E287),1)*IF(Upgrades!$T$14="Binary Partner",POWER(Upgrades!$U$14,F287),1)*IF(Upgrades!$T$15="Binary Partner",POWER(Upgrades!$U$15,G287),1)*IF(Upgrades!$T$16="Binary Partner",POWER(Upgrades!$U$16,H287),1)*IF(Upgrades!$T$17="Binary Partner",POWER(Upgrades!$U$17,I287),1)*IF(Upgrades!$T$19="Binary Partner",POWER(Upgrades!$U$19,K287),1)*IF(Upgrades!$T$20="Binary Partner",POWER(Upgrades!$U$20,L287),1)*IF(Upgrades!$T$21="Binary Partner",POWER(Upgrades!$U$21,M287),1))+(IF(K287=0,0,(Upgrades!$M$19+K287*Upgrades!$N$19)*POWER(Upgrades!$O$19,K287)))*(IF(Upgrades!$T$13="Peculiar Velocity",POWER(Upgrades!$U$13,E287),1)*IF(Upgrades!$T$14="Peculiar Velocity",POWER(Upgrades!$U$14,F287),1)*IF(Upgrades!$T$15="Peculiar Velocity",POWER(Upgrades!$U$15,G287),1)*IF(Upgrades!$T$16="Peculiar Velocity",POWER(Upgrades!$U$16,H287),1)*IF(Upgrades!$T$17="Peculiar Velocity",POWER(Upgrades!$U$17,I287),1)*IF(Upgrades!$T$18="Peculiar Velocity",POWER(Upgrades!$U$18,J287),1)*IF(Upgrades!$T$20="Peculiar Velocity",POWER(Upgrades!$U$20,L287),1)*IF(Upgrades!$T$21="Peculiar Velocity",POWER(Upgrades!$U$21,M287),1))+(IF(L287=0,0,(Upgrades!$M$20+L287*Upgrades!$N$20)*POWER(Upgrades!$O$20,L287)))*(IF(Upgrades!$T$13="Open Cluster",POWER(Upgrades!$U$13,E287),1)*IF(Upgrades!$T$14="Open Cluster",POWER(Upgrades!$U$14,F287),1)*IF(Upgrades!$T$15="Open Cluster",POWER(Upgrades!$U$15,G287),1)*IF(Upgrades!$T$16="Open Cluster",POWER(Upgrades!$U$16,H287),1)*IF(Upgrades!$T$17="Open Cluster",POWER(Upgrades!$U$17,I287),1)*IF(Upgrades!$T$18="Open Cluster",POWER(Upgrades!$U$18,J287),1)*IF(Upgrades!$T$19="Open Cluster",POWER(Upgrades!$U$19,K287),1)*IF(Upgrades!$T$21="Open Cluster",POWER(Upgrades!$U$21,M287),1))+(IF(M287=0,0,(Upgrades!$M$21+M287*Upgrades!$N$21)*POWER(Upgrades!$O$21,M287)))*(IF(Upgrades!$T$13="Moving Group",POWER(Upgrades!$U$13,E287),1)*IF(Upgrades!$T$14="Moving Group",POWER(Upgrades!$U$14,F287),1)*IF(Upgrades!$T$15="Moving Group",POWER(Upgrades!$U$15,G287),1)*IF(Upgrades!$T$16="Moving Group",POWER(Upgrades!$U$16,H287),1)*IF(Upgrades!$T$17="Moving Group",POWER(Upgrades!$U$17,I287),1)*IF(Upgrades!$T$18="Moving Group",POWER(Upgrades!$U$18,J287),1)*IF(Upgrades!$T$19="Moving Group",POWER(Upgrades!$U$19,K287),1)*IF(Upgrades!$T$20="Moving Group",POWER(Upgrades!$U$20,L287),1)))*POWER(Upgrades!$R$13,E287)*POWER(Upgrades!$R$14,F287)*POWER(Upgrades!$R$15,G287)*POWER(Upgrades!$R$16,H287)*POWER(Upgrades!$R$17,I287)*POWER(Upgrades!$R$18,J287)*POWER(Upgrades!$R$19,K287)*POWER(Upgrades!$R$20,L287)*POWER(Upgrades!$R$21,M287)*$H$6+$E$6</f>
        <v/>
      </c>
      <c r="R287" s="27">
        <f>IF(N287=1,0,O287*Parameters!$B$10/60*Parameters!$B$11*10)</f>
        <v/>
      </c>
      <c r="S287" s="27">
        <f>IF(N287=1,0,Q287*O287*10)</f>
        <v/>
      </c>
      <c r="T287" s="27">
        <f>IF(N287=1,0,R287+S287+P287*10)</f>
        <v/>
      </c>
      <c r="U287" s="33">
        <f>BE287</f>
        <v/>
      </c>
      <c r="V287" s="22">
        <f>IF(U287="",0,IF(U287="transition",0,IF(U287="SK",AK287,IF(U287="LB",AL287,IF(U287="ML",AM287,IF(U287="RLO",AN287,IF(U287="BD",AO287,IF(U287="BiP",AP287,IF(U287="PV",AQ287,IF(U287="OC",AR287,IF(U287="MG",AS287,0))))))))))</f>
        <v/>
      </c>
      <c r="W287" s="27">
        <f>IF(U287="BiP",Upgrades!$F$18,IF(U287="PV",Upgrades!$F$19,IF(U287="OC",Upgrades!$F$20,IF(U287="MG",Upgrades!$F$21,IF(U287="transition",-Parameters!$B$18*Parameters!$B$19,0)))))</f>
        <v/>
      </c>
      <c r="X287" s="22">
        <f>C287+T287-V287</f>
        <v/>
      </c>
      <c r="Y287" s="30">
        <f>O287*Parameters!$B$10/60*Parameters!$B$11+Q287*O287+P287</f>
        <v/>
      </c>
      <c r="Z287" s="34">
        <f>IF(U287="transition","→ Tier 3 (Galactic Arm)",IF(U287="MG","Moving Group — pocket drifts together",IF(U287="OC","Open Cluster acquired",IF(U287="PV","Peculiar Velocity — passive multiplier active",IF(U287="BiP","Binary Partner — pair bond formed",IF(AND(AU287=1,N287=0,AT287&lt;&gt;1),"Cohesion ready (waiting on completionists)","")))))) </f>
        <v/>
      </c>
      <c r="AA287" s="27">
        <f>(IF(E287=0,0,(Upgrades!$G$13+E287*Upgrades!$H$13)*POWER(Upgrades!$I$13,E287)))*(IF(Upgrades!$T$14="Stellar Kinematics",POWER(Upgrades!$U$14,F287),1)*IF(Upgrades!$T$15="Stellar Kinematics",POWER(Upgrades!$U$15,G287),1)*IF(Upgrades!$T$16="Stellar Kinematics",POWER(Upgrades!$U$16,H287),1)*IF(Upgrades!$T$17="Stellar Kinematics",POWER(Upgrades!$U$17,I287),1)*IF(Upgrades!$T$18="Stellar Kinematics",POWER(Upgrades!$U$18,J287),1)*IF(Upgrades!$T$19="Stellar Kinematics",POWER(Upgrades!$U$19,K287),1)*IF(Upgrades!$T$20="Stellar Kinematics",POWER(Upgrades!$U$20,L287),1)*IF(Upgrades!$T$21="Stellar Kinematics",POWER(Upgrades!$U$21,M287),1))*POWER(Upgrades!$P$13,E287)*POWER(Upgrades!$P$14,F287)*POWER(Upgrades!$P$15,G287)*POWER(Upgrades!$P$16,H287)*POWER(Upgrades!$P$17,I287)*POWER(Upgrades!$P$18,J287)*POWER(Upgrades!$P$19,K287)*POWER(Upgrades!$P$20,L287)*POWER(Upgrades!$P$21,M287)*$F$6*60</f>
        <v/>
      </c>
      <c r="AB287" s="27">
        <f>(IF(F287=0,0,(Upgrades!$G$14+F287*Upgrades!$H$14)*POWER(Upgrades!$I$14,F287)))*(IF(Upgrades!$T$13="Local Bubble",POWER(Upgrades!$U$13,E287),1)*IF(Upgrades!$T$15="Local Bubble",POWER(Upgrades!$U$15,G287),1)*IF(Upgrades!$T$16="Local Bubble",POWER(Upgrades!$U$16,H287),1)*IF(Upgrades!$T$17="Local Bubble",POWER(Upgrades!$U$17,I287),1)*IF(Upgrades!$T$18="Local Bubble",POWER(Upgrades!$U$18,J287),1)*IF(Upgrades!$T$19="Local Bubble",POWER(Upgrades!$U$19,K287),1)*IF(Upgrades!$T$20="Local Bubble",POWER(Upgrades!$U$20,L287),1)*IF(Upgrades!$T$21="Local Bubble",POWER(Upgrades!$U$21,M287),1))*POWER(Upgrades!$P$13,E287)*POWER(Upgrades!$P$14,F287)*POWER(Upgrades!$P$15,G287)*POWER(Upgrades!$P$16,H287)*POWER(Upgrades!$P$17,I287)*POWER(Upgrades!$P$18,J287)*POWER(Upgrades!$P$19,K287)*POWER(Upgrades!$P$20,L287)*POWER(Upgrades!$P$21,M287)*$F$6*60</f>
        <v/>
      </c>
      <c r="AC287" s="27">
        <f>(IF(G287=0,0,(Upgrades!$J$15+G287*Upgrades!$K$15)*POWER(Upgrades!$L$15,G287)))*(IF(Upgrades!$T$13="Microlensing",POWER(Upgrades!$U$13,E287),1)*IF(Upgrades!$T$14="Microlensing",POWER(Upgrades!$U$14,F287),1)*IF(Upgrades!$T$16="Microlensing",POWER(Upgrades!$U$16,H287),1)*IF(Upgrades!$T$17="Microlensing",POWER(Upgrades!$U$17,I287),1)*IF(Upgrades!$T$18="Microlensing",POWER(Upgrades!$U$18,J287),1)*IF(Upgrades!$T$19="Microlensing",POWER(Upgrades!$U$19,K287),1)*IF(Upgrades!$T$20="Microlensing",POWER(Upgrades!$U$20,L287),1)*IF(Upgrades!$T$21="Microlensing",POWER(Upgrades!$U$21,M287),1))*POWER(Upgrades!$Q$13,E287)*POWER(Upgrades!$Q$14,F287)*POWER(Upgrades!$Q$15,G287)*POWER(Upgrades!$Q$16,H287)*POWER(Upgrades!$Q$17,I287)*POWER(Upgrades!$Q$18,J287)*POWER(Upgrades!$Q$19,K287)*POWER(Upgrades!$Q$20,L287)*POWER(Upgrades!$Q$21,M287)*$G$6*(Parameters!$B$10*Parameters!$B$11+Q287*60)</f>
        <v/>
      </c>
      <c r="AD287" s="27">
        <f>(IF(H287=0,0,(Upgrades!$M$16+H287*Upgrades!$N$16)*POWER(Upgrades!$O$16,H287)))*(IF(Upgrades!$T$13="Roche Lobe Overflow",POWER(Upgrades!$U$13,E287),1)*IF(Upgrades!$T$14="Roche Lobe Overflow",POWER(Upgrades!$U$14,F287),1)*IF(Upgrades!$T$15="Roche Lobe Overflow",POWER(Upgrades!$U$15,G287),1)*IF(Upgrades!$T$17="Roche Lobe Overflow",POWER(Upgrades!$U$17,I287),1)*IF(Upgrades!$T$18="Roche Lobe Overflow",POWER(Upgrades!$U$18,J287),1)*IF(Upgrades!$T$19="Roche Lobe Overflow",POWER(Upgrades!$U$19,K287),1)*IF(Upgrades!$T$20="Roche Lobe Overflow",POWER(Upgrades!$U$20,L287),1)*IF(Upgrades!$T$21="Roche Lobe Overflow",POWER(Upgrades!$U$21,M287),1))*POWER(Upgrades!$R$13,E287)*POWER(Upgrades!$R$14,F287)*POWER(Upgrades!$R$15,G287)*POWER(Upgrades!$R$16,H287)*POWER(Upgrades!$R$17,I287)*POWER(Upgrades!$R$18,J287)*POWER(Upgrades!$R$19,K287)*POWER(Upgrades!$R$20,L287)*POWER(Upgrades!$R$21,M287)*$H$6*O287*60</f>
        <v/>
      </c>
      <c r="AE287" s="27">
        <f>(IF(I287=0,0,(Upgrades!$G$17+I287*Upgrades!$H$17)*POWER(Upgrades!$I$17,I287)))*(IF(Upgrades!$T$13="Brown Dwarf",POWER(Upgrades!$U$13,E287),1)*IF(Upgrades!$T$14="Brown Dwarf",POWER(Upgrades!$U$14,F287),1)*IF(Upgrades!$T$15="Brown Dwarf",POWER(Upgrades!$U$15,G287),1)*IF(Upgrades!$T$16="Brown Dwarf",POWER(Upgrades!$U$16,H287),1)*IF(Upgrades!$T$18="Brown Dwarf",POWER(Upgrades!$U$18,J287),1)*IF(Upgrades!$T$19="Brown Dwarf",POWER(Upgrades!$U$19,K287),1)*IF(Upgrades!$T$20="Brown Dwarf",POWER(Upgrades!$U$20,L287),1)*IF(Upgrades!$T$21="Brown Dwarf",POWER(Upgrades!$U$21,M287),1))*POWER(Upgrades!$P$13,E287)*POWER(Upgrades!$P$14,F287)*POWER(Upgrades!$P$15,G287)*POWER(Upgrades!$P$16,H287)*POWER(Upgrades!$P$17,I287)*POWER(Upgrades!$P$18,J287)*POWER(Upgrades!$P$19,K287)*POWER(Upgrades!$P$20,L287)*POWER(Upgrades!$P$21,M287)*$F$6*60</f>
        <v/>
      </c>
      <c r="AF287" s="27" t="n">
        <v>0</v>
      </c>
      <c r="AG287" s="27" t="n">
        <v>0</v>
      </c>
      <c r="AH287" s="27" t="n">
        <v>0</v>
      </c>
      <c r="AI287" s="27">
        <f>(IF(M287=0,0,(Upgrades!$G$21+M287*Upgrades!$H$21)*POWER(Upgrades!$I$21,M287)))*(IF(Upgrades!$T$13="Moving Group",POWER(Upgrades!$U$13,E287),1)*IF(Upgrades!$T$14="Moving Group",POWER(Upgrades!$U$14,F287),1)*IF(Upgrades!$T$15="Moving Group",POWER(Upgrades!$U$15,G287),1)*IF(Upgrades!$T$16="Moving Group",POWER(Upgrades!$U$16,H287),1)*IF(Upgrades!$T$17="Moving Group",POWER(Upgrades!$U$17,I287),1)*IF(Upgrades!$T$18="Moving Group",POWER(Upgrades!$U$18,J287),1)*IF(Upgrades!$T$19="Moving Group",POWER(Upgrades!$U$19,K287),1)*IF(Upgrades!$T$20="Moving Group",POWER(Upgrades!$U$20,L287),1))*POWER(Upgrades!$P$13,E287)*POWER(Upgrades!$P$14,F287)*POWER(Upgrades!$P$15,G287)*POWER(Upgrades!$P$16,H287)*POWER(Upgrades!$P$17,I287)*POWER(Upgrades!$P$18,J287)*POWER(Upgrades!$P$19,K287)*POWER(Upgrades!$P$20,L287)*POWER(Upgrades!$P$21,M287)*$F$6*60</f>
        <v/>
      </c>
      <c r="AJ287" s="27">
        <f>$C$6*60</f>
        <v/>
      </c>
      <c r="AK287" s="22">
        <f>IF(E287&gt;=Upgrades!$E$13,"",Upgrades!$C$13*POWER(Upgrades!$D$13,E287))</f>
        <v/>
      </c>
      <c r="AL287" s="22">
        <f>IF(F287&gt;=Upgrades!$E$14,"",Upgrades!$C$14*POWER(Upgrades!$D$14,F287))</f>
        <v/>
      </c>
      <c r="AM287" s="22">
        <f>IF(G287&gt;=Upgrades!$E$15,"",Upgrades!$C$15*POWER(Upgrades!$D$15,G287))</f>
        <v/>
      </c>
      <c r="AN287" s="22">
        <f>IF(H287&gt;=Upgrades!$E$16,"",Upgrades!$C$16*POWER(Upgrades!$D$16,H287))</f>
        <v/>
      </c>
      <c r="AO287" s="22">
        <f>IF(I287&gt;=Upgrades!$E$17,"",Upgrades!$C$17*POWER(Upgrades!$D$17,I287))</f>
        <v/>
      </c>
      <c r="AP287" s="22">
        <f>IF(J287&gt;=Upgrades!$E$18,"",Upgrades!$C$18*POWER(Upgrades!$D$18,J287))</f>
        <v/>
      </c>
      <c r="AQ287" s="22">
        <f>IF(K287&gt;=Upgrades!$E$19,"",Upgrades!$C$19*POWER(Upgrades!$D$19,K287))</f>
        <v/>
      </c>
      <c r="AR287" s="22">
        <f>IF(L287&gt;=Upgrades!$E$20,"",Upgrades!$C$20*POWER(Upgrades!$D$20,L287))</f>
        <v/>
      </c>
      <c r="AS287" s="22">
        <f>IF(M287&gt;=Upgrades!$E$21,"",Upgrades!$C$21*POWER(Upgrades!$D$21,M287))</f>
        <v/>
      </c>
      <c r="AT287" s="26">
        <f>IF(AND(D287&gt;=Parameters!$B$18*Parameters!$B$19,(I287&gt;=Upgrades!$E$17)*(M287&gt;=Upgrades!$E$21)=1,N287=0),1,"")</f>
        <v/>
      </c>
      <c r="AU287" s="26">
        <f>IF(AND(D287&gt;=Parameters!$B$18*Parameters!$B$19,N287=0),1,"")</f>
        <v/>
      </c>
      <c r="AV287" s="22">
        <f>MIN(IF(ISNUMBER(AP287),AP287,9E15),IF(ISNUMBER(AQ287),AQ287,9E15),IF(ISNUMBER(AR287),AR287,9E15),IF(ISNUMBER(AS287),AS287,9E15))</f>
        <v/>
      </c>
      <c r="AW287" s="22">
        <f>MIN(IF(ISNUMBER(AK287),AK287,9E15),IF(ISNUMBER(AL287),AL287,9E15),IF(ISNUMBER(AM287),AM287,9E15),IF(ISNUMBER(AN287),AN287,9E15),IF(ISNUMBER(AO287),AO287,9E15))</f>
        <v/>
      </c>
      <c r="AX287" s="29">
        <f>IF(BD287&gt;Parameters!$B$21*(MAX(IF(AND(NOT(AND(AU287=1,AT287&lt;&gt;1)),ISNUMBER(AK287),AK287&lt;=(C287+T287)),AY287,0),IF(AND(NOT(AND(AU287=1,AT287&lt;&gt;1)),ISNUMBER(AL287),AL287&lt;=(C287+T287)),AZ287,0),IF(AND(NOT(AND(AU287=1,AT287&lt;&gt;1)),ISNUMBER(AM287),AM287&lt;=(C287+T287)),BA287,0),IF(AND(NOT(AND(AU287=1,AT287&lt;&gt;1)),ISNUMBER(AN287),AN287&lt;=(C287+T287)),BB287,0),IF(AND(ISNUMBER(AO287),AO287&lt;=(C287+T287)),BC287,0))),TRUE,FALSE)</f>
        <v/>
      </c>
      <c r="AY287" s="32">
        <f>IFERROR(Upgrades!$H$13*(POWER(Upgrades!$P$13,E287)*POWER(Upgrades!$P$14,F287)*POWER(Upgrades!$P$15,G287)*POWER(Upgrades!$P$16,H287)*POWER(Upgrades!$P$17,I287)*POWER(Upgrades!$P$18,J287)*POWER(Upgrades!$P$19,K287)*POWER(Upgrades!$P$20,L287)*POWER(Upgrades!$P$21,M287))*(IF(Upgrades!$T$14="Stellar Kinematics",POWER(Upgrades!$U$14,F287),1)*IF(Upgrades!$T$15="Stellar Kinematics",POWER(Upgrades!$U$15,G287),1)*IF(Upgrades!$T$16="Stellar Kinematics",POWER(Upgrades!$U$16,H287),1)*IF(Upgrades!$T$17="Stellar Kinematics",POWER(Upgrades!$U$17,I287),1)*IF(Upgrades!$T$18="Stellar Kinematics",POWER(Upgrades!$U$18,J287),1)*IF(Upgrades!$T$19="Stellar Kinematics",POWER(Upgrades!$U$19,K287),1)*IF(Upgrades!$T$20="Stellar Kinematics",POWER(Upgrades!$U$20,L287),1)*IF(Upgrades!$T$21="Stellar Kinematics",POWER(Upgrades!$U$21,M287),1))*$F$6/AK287,0)</f>
        <v/>
      </c>
      <c r="AZ287" s="32">
        <f>IFERROR(Upgrades!$H$14*(POWER(Upgrades!$P$13,E287)*POWER(Upgrades!$P$14,F287)*POWER(Upgrades!$P$15,G287)*POWER(Upgrades!$P$16,H287)*POWER(Upgrades!$P$17,I287)*POWER(Upgrades!$P$18,J287)*POWER(Upgrades!$P$19,K287)*POWER(Upgrades!$P$20,L287)*POWER(Upgrades!$P$21,M287))*(IF(Upgrades!$T$13="Local Bubble",POWER(Upgrades!$U$13,E287),1)*IF(Upgrades!$T$15="Local Bubble",POWER(Upgrades!$U$15,G287),1)*IF(Upgrades!$T$16="Local Bubble",POWER(Upgrades!$U$16,H287),1)*IF(Upgrades!$T$17="Local Bubble",POWER(Upgrades!$U$17,I287),1)*IF(Upgrades!$T$18="Local Bubble",POWER(Upgrades!$U$18,J287),1)*IF(Upgrades!$T$19="Local Bubble",POWER(Upgrades!$U$19,K287),1)*IF(Upgrades!$T$20="Local Bubble",POWER(Upgrades!$U$20,L287),1)*IF(Upgrades!$T$21="Local Bubble",POWER(Upgrades!$U$21,M287),1))*$F$6/AL287,0)</f>
        <v/>
      </c>
      <c r="BA287" s="32">
        <f>IFERROR(Upgrades!$K$15*(POWER(Upgrades!$Q$13,E287)*POWER(Upgrades!$Q$14,F287)*POWER(Upgrades!$Q$15,G287)*POWER(Upgrades!$Q$16,H287)*POWER(Upgrades!$Q$17,I287)*POWER(Upgrades!$Q$18,J287)*POWER(Upgrades!$Q$19,K287)*POWER(Upgrades!$Q$20,L287)*POWER(Upgrades!$Q$21,M287))*(IF(Upgrades!$T$13="Microlensing",POWER(Upgrades!$U$13,E287),1)*IF(Upgrades!$T$14="Microlensing",POWER(Upgrades!$U$14,F287),1)*IF(Upgrades!$T$16="Microlensing",POWER(Upgrades!$U$16,H287),1)*IF(Upgrades!$T$17="Microlensing",POWER(Upgrades!$U$17,I287),1)*IF(Upgrades!$T$18="Microlensing",POWER(Upgrades!$U$18,J287),1)*IF(Upgrades!$T$19="Microlensing",POWER(Upgrades!$U$19,K287),1)*IF(Upgrades!$T$20="Microlensing",POWER(Upgrades!$U$20,L287),1)*IF(Upgrades!$T$21="Microlensing",POWER(Upgrades!$U$21,M287),1))*$G$6*(Parameters!$B$10/60*Parameters!$B$11+Q287)/AM287,0)</f>
        <v/>
      </c>
      <c r="BB287" s="32">
        <f>IFERROR((Upgrades!$N$16*(POWER(Upgrades!$R$13,E287)*POWER(Upgrades!$R$14,F287)*POWER(Upgrades!$R$15,G287)*POWER(Upgrades!$R$16,H287)*POWER(Upgrades!$R$17,I287)*POWER(Upgrades!$R$18,J287)*POWER(Upgrades!$R$19,K287)*POWER(Upgrades!$R$20,L287)*POWER(Upgrades!$R$21,M287))*(IF(Upgrades!$T$13="Roche Lobe Overflow",POWER(Upgrades!$U$13,E287),1)*IF(Upgrades!$T$14="Roche Lobe Overflow",POWER(Upgrades!$U$14,F287),1)*IF(Upgrades!$T$15="Roche Lobe Overflow",POWER(Upgrades!$U$15,G287),1)*IF(Upgrades!$T$17="Roche Lobe Overflow",POWER(Upgrades!$U$17,I287),1)*IF(Upgrades!$T$18="Roche Lobe Overflow",POWER(Upgrades!$U$18,J287),1)*IF(Upgrades!$T$19="Roche Lobe Overflow",POWER(Upgrades!$U$19,K287),1)*IF(Upgrades!$T$20="Roche Lobe Overflow",POWER(Upgrades!$U$20,L287),1)*IF(Upgrades!$T$21="Roche Lobe Overflow",POWER(Upgrades!$U$21,M287),1))*$H$6*O287+((IF(F287=0,0,(Upgrades!$G$14+F287*Upgrades!$H$14)*POWER(Upgrades!$I$14,F287)))*(IF(Upgrades!$T$13="Local Bubble",POWER(Upgrades!$U$13,E287),1)*IF(Upgrades!$T$15="Local Bubble",POWER(Upgrades!$U$15,G287),1)*IF(Upgrades!$T$16="Local Bubble",POWER(Upgrades!$U$16,H287),1)*IF(Upgrades!$T$17="Local Bubble",POWER(Upgrades!$U$17,I287),1)*IF(Upgrades!$T$18="Local Bubble",POWER(Upgrades!$U$18,J287),1)*IF(Upgrades!$T$19="Local Bubble",POWER(Upgrades!$U$19,K287),1)*IF(Upgrades!$T$20="Local Bubble",POWER(Upgrades!$U$20,L287),1)*IF(Upgrades!$T$21="Local Bubble",POWER(Upgrades!$U$21,M287),1))*POWER(Upgrades!$P$13,E287)*POWER(Upgrades!$P$14,F287)*POWER(Upgrades!$P$15,G287)*POWER(Upgrades!$P$16,H287)*POWER(Upgrades!$P$17,I287)*POWER(Upgrades!$P$18,J287)*POWER(Upgrades!$P$19,K287)*POWER(Upgrades!$P$20,L287)*POWER(Upgrades!$P$21,M287)*$F$6)*0.05)/AN287,0)</f>
        <v/>
      </c>
      <c r="BC287" s="32">
        <f>IFERROR((Upgrades!$H$17*(POWER(Upgrades!$P$13,E287)*POWER(Upgrades!$P$14,F287)*POWER(Upgrades!$P$15,G287)*POWER(Upgrades!$P$16,H287)*POWER(Upgrades!$P$17,I287)*POWER(Upgrades!$P$18,J287)*POWER(Upgrades!$P$19,K287)*POWER(Upgrades!$P$20,L287)*POWER(Upgrades!$P$21,M287))*(IF(Upgrades!$T$13="Brown Dwarf",POWER(Upgrades!$U$13,E287),1)*IF(Upgrades!$T$14="Brown Dwarf",POWER(Upgrades!$U$14,F287),1)*IF(Upgrades!$T$15="Brown Dwarf",POWER(Upgrades!$U$15,G287),1)*IF(Upgrades!$T$16="Brown Dwarf",POWER(Upgrades!$U$16,H287),1)*IF(Upgrades!$T$18="Brown Dwarf",POWER(Upgrades!$U$18,J287),1)*IF(Upgrades!$T$19="Brown Dwarf",POWER(Upgrades!$U$19,K287),1)*IF(Upgrades!$T$20="Brown Dwarf",POWER(Upgrades!$U$20,L287),1)*IF(Upgrades!$T$21="Brown Dwarf",POWER(Upgrades!$U$21,M287),1))*$F$6+(((IF(H287=0,0,(Upgrades!$M$16+H287*Upgrades!$N$16)*POWER(Upgrades!$O$16,H287)))*(IF(Upgrades!$T$13="Roche Lobe Overflow",POWER(Upgrades!$U$13,E287),1)*IF(Upgrades!$T$14="Roche Lobe Overflow",POWER(Upgrades!$U$14,F287),1)*IF(Upgrades!$T$15="Roche Lobe Overflow",POWER(Upgrades!$U$15,G287),1)*IF(Upgrades!$T$17="Roche Lobe Overflow",POWER(Upgrades!$U$17,I287),1)*IF(Upgrades!$T$18="Roche Lobe Overflow",POWER(Upgrades!$U$18,J287),1)*IF(Upgrades!$T$19="Roche Lobe Overflow",POWER(Upgrades!$U$19,K287),1)*IF(Upgrades!$T$20="Roche Lobe Overflow",POWER(Upgrades!$U$20,L287),1)*IF(Upgrades!$T$21="Roche Lobe Overflow",POWER(Upgrades!$U$21,M287),1))*POWER(Upgrades!$R$13,E287)*POWER(Upgrades!$R$14,F287)*POWER(Upgrades!$R$15,G287)*POWER(Upgrades!$R$16,H287)*POWER(Upgrades!$R$17,I287)*POWER(Upgrades!$R$18,J287)*POWER(Upgrades!$R$19,K287)*POWER(Upgrades!$R$20,L287)*POWER(Upgrades!$R$21,M287)*$H$6)*O287)*0.10)/AO287,0)</f>
        <v/>
      </c>
      <c r="BD287" s="32">
        <f>MAX(IF(J287&gt;0,0,IFERROR(0.5*((IF(G287=0,0,(Upgrades!$J$15+G287*Upgrades!$K$15)*POWER(Upgrades!$L$15,G287)))*(IF(Upgrades!$T$13="Microlensing",POWER(Upgrades!$U$13,E287),1)*IF(Upgrades!$T$14="Microlensing",POWER(Upgrades!$U$14,F287),1)*IF(Upgrades!$T$16="Microlensing",POWER(Upgrades!$U$16,H287),1)*IF(Upgrades!$T$17="Microlensing",POWER(Upgrades!$U$17,I287),1)*IF(Upgrades!$T$18="Microlensing",POWER(Upgrades!$U$18,J287),1)*IF(Upgrades!$T$19="Microlensing",POWER(Upgrades!$U$19,K287),1)*IF(Upgrades!$T$20="Microlensing",POWER(Upgrades!$U$20,L287),1)*IF(Upgrades!$T$21="Microlensing",POWER(Upgrades!$U$21,M287),1))*(POWER(Upgrades!$Q$13,E287)*POWER(Upgrades!$Q$14,F287)*POWER(Upgrades!$Q$15,G287)*POWER(Upgrades!$Q$16,H287)*POWER(Upgrades!$Q$17,I287)*POWER(Upgrades!$Q$18,J287)*POWER(Upgrades!$Q$19,K287)*POWER(Upgrades!$Q$20,L287)*POWER(Upgrades!$Q$21,M287))*$G$6*(Parameters!$B$10/60*Parameters!$B$11+Q287))/Upgrades!$C$18,0)),IF(K287&gt;0,0,IFERROR(0.30*P287/Upgrades!$C$19,0)),IF(L287&gt;0,0,IFERROR(0.0001/Upgrades!$C$20,0)),IF(M287&gt;0,0,IFERROR((6.0*(POWER(Upgrades!$P$13,E287)*POWER(Upgrades!$P$14,F287)*POWER(Upgrades!$P$15,G287)*POWER(Upgrades!$P$16,H287)*POWER(Upgrades!$P$17,I287)*POWER(Upgrades!$P$18,J287)*POWER(Upgrades!$P$19,K287)*POWER(Upgrades!$P$20,L287)*POWER(Upgrades!$P$21,M287))*$F$6+0.20*O287*(Parameters!$B$10/60*Parameters!$B$11+Q287))/Upgrades!$C$21,0)),IF(AND(ISNUMBER(AK287),AK287&gt;(C287+T287)),AY287,0),IF(AND(ISNUMBER(AL287),AL287&gt;(C287+T287)),AZ287,0),IF(AND(ISNUMBER(AM287),AM287&gt;(C287+T287)),BA287,0),IF(AND(ISNUMBER(AN287),AN287&gt;(C287+T287)),BB287,0),IF(AND(ISNUMBER(AO287),AO287&gt;(C287+T287)),BC287,0))</f>
        <v/>
      </c>
      <c r="BE287" s="29">
        <f>IF(AT287=1,"transition",IF(MIN(IF(AND(J287=0,ISNUMBER(AP287),AP287&lt;=(C287+T287)),AP287,9E15),IF(AND(K287=0,ISNUMBER(AQ287),AQ287&lt;=(C287+T287)),AQ287,9E15),IF(AND(L287=0,ISNUMBER(AR287),AR287&lt;=(C287+T287)),AR287,9E15),IF(AND(M287=0,ISNUMBER(AS287),AS287&lt;=(C287+T287)),AS287,9E15))&lt;9E15,IF(AND(AND(J287=0,ISNUMBER(AP287),AP287&lt;=(C287+T287)),AP287=MIN(IF(AND(J287=0,ISNUMBER(AP287),AP287&lt;=(C287+T287)),AP287,9E15),IF(AND(K287=0,ISNUMBER(AQ287),AQ287&lt;=(C287+T287)),AQ287,9E15),IF(AND(L287=0,ISNUMBER(AR287),AR287&lt;=(C287+T287)),AR287,9E15),IF(AND(M287=0,ISNUMBER(AS287),AS287&lt;=(C287+T287)),AS287,9E15))),"BiP",IF(AND(AND(K287=0,ISNUMBER(AQ287),AQ287&lt;=(C287+T287)),AQ287=MIN(IF(AND(J287=0,ISNUMBER(AP287),AP287&lt;=(C287+T287)),AP287,9E15),IF(AND(K287=0,ISNUMBER(AQ287),AQ287&lt;=(C287+T287)),AQ287,9E15),IF(AND(L287=0,ISNUMBER(AR287),AR287&lt;=(C287+T287)),AR287,9E15),IF(AND(M287=0,ISNUMBER(AS287),AS287&lt;=(C287+T287)),AS287,9E15))),"PV",IF(AND(AND(L287=0,ISNUMBER(AR287),AR287&lt;=(C287+T287)),AR287=MIN(IF(AND(J287=0,ISNUMBER(AP287),AP287&lt;=(C287+T287)),AP287,9E15),IF(AND(K287=0,ISNUMBER(AQ287),AQ287&lt;=(C287+T287)),AQ287,9E15),IF(AND(L287=0,ISNUMBER(AR287),AR287&lt;=(C287+T287)),AR287,9E15),IF(AND(M287=0,ISNUMBER(AS287),AS287&lt;=(C287+T287)),AS287,9E15))),"OC","MG"))),IF(AX287=TRUE,"",IF(MAX(IF(AND(NOT(AND(AU287=1,AT287&lt;&gt;1)),ISNUMBER(AK287),AK287&lt;=(C287+T287)),AY287,0),IF(AND(NOT(AND(AU287=1,AT287&lt;&gt;1)),ISNUMBER(AL287),AL287&lt;=(C287+T287)),AZ287,0),IF(AND(NOT(AND(AU287=1,AT287&lt;&gt;1)),ISNUMBER(AM287),AM287&lt;=(C287+T287)),BA287,0),IF(AND(NOT(AND(AU287=1,AT287&lt;&gt;1)),ISNUMBER(AN287),AN287&lt;=(C287+T287)),BB287,0),IF(AND(ISNUMBER(AO287),AO287&lt;=(C287+T287)),BC287,0))&lt;=0,"",IF(AND(IF(AND(NOT(AND(AU287=1,AT287&lt;&gt;1)),ISNUMBER(AK287),AK287&lt;=(C287+T287)),AY287,0)&gt;0,IF(AND(NOT(AND(AU287=1,AT287&lt;&gt;1)),ISNUMBER(AK287),AK287&lt;=(C287+T287)),AY287,0)=MAX(IF(AND(NOT(AND(AU287=1,AT287&lt;&gt;1)),ISNUMBER(AK287),AK287&lt;=(C287+T287)),AY287,0),IF(AND(NOT(AND(AU287=1,AT287&lt;&gt;1)),ISNUMBER(AL287),AL287&lt;=(C287+T287)),AZ287,0),IF(AND(NOT(AND(AU287=1,AT287&lt;&gt;1)),ISNUMBER(AM287),AM287&lt;=(C287+T287)),BA287,0),IF(AND(NOT(AND(AU287=1,AT287&lt;&gt;1)),ISNUMBER(AN287),AN287&lt;=(C287+T287)),BB287,0),IF(AND(ISNUMBER(AO287),AO287&lt;=(C287+T287)),BC287,0))),"SK",IF(AND(IF(AND(NOT(AND(AU287=1,AT287&lt;&gt;1)),ISNUMBER(AL287),AL287&lt;=(C287+T287)),AZ287,0)&gt;0,IF(AND(NOT(AND(AU287=1,AT287&lt;&gt;1)),ISNUMBER(AL287),AL287&lt;=(C287+T287)),AZ287,0)=MAX(IF(AND(NOT(AND(AU287=1,AT287&lt;&gt;1)),ISNUMBER(AK287),AK287&lt;=(C287+T287)),AY287,0),IF(AND(NOT(AND(AU287=1,AT287&lt;&gt;1)),ISNUMBER(AL287),AL287&lt;=(C287+T287)),AZ287,0),IF(AND(NOT(AND(AU287=1,AT287&lt;&gt;1)),ISNUMBER(AM287),AM287&lt;=(C287+T287)),BA287,0),IF(AND(NOT(AND(AU287=1,AT287&lt;&gt;1)),ISNUMBER(AN287),AN287&lt;=(C287+T287)),BB287,0),IF(AND(ISNUMBER(AO287),AO287&lt;=(C287+T287)),BC287,0))),"LB",IF(AND(IF(AND(NOT(AND(AU287=1,AT287&lt;&gt;1)),ISNUMBER(AM287),AM287&lt;=(C287+T287)),BA287,0)&gt;0,IF(AND(NOT(AND(AU287=1,AT287&lt;&gt;1)),ISNUMBER(AM287),AM287&lt;=(C287+T287)),BA287,0)=MAX(IF(AND(NOT(AND(AU287=1,AT287&lt;&gt;1)),ISNUMBER(AK287),AK287&lt;=(C287+T287)),AY287,0),IF(AND(NOT(AND(AU287=1,AT287&lt;&gt;1)),ISNUMBER(AL287),AL287&lt;=(C287+T287)),AZ287,0),IF(AND(NOT(AND(AU287=1,AT287&lt;&gt;1)),ISNUMBER(AM287),AM287&lt;=(C287+T287)),BA287,0),IF(AND(NOT(AND(AU287=1,AT287&lt;&gt;1)),ISNUMBER(AN287),AN287&lt;=(C287+T287)),BB287,0),IF(AND(ISNUMBER(AO287),AO287&lt;=(C287+T287)),BC287,0))),"ML",IF(AND(IF(AND(NOT(AND(AU287=1,AT287&lt;&gt;1)),ISNUMBER(AN287),AN287&lt;=(C287+T287)),BB287,0)&gt;0,IF(AND(NOT(AND(AU287=1,AT287&lt;&gt;1)),ISNUMBER(AN287),AN287&lt;=(C287+T287)),BB287,0)=MAX(IF(AND(NOT(AND(AU287=1,AT287&lt;&gt;1)),ISNUMBER(AK287),AK287&lt;=(C287+T287)),AY287,0),IF(AND(NOT(AND(AU287=1,AT287&lt;&gt;1)),ISNUMBER(AL287),AL287&lt;=(C287+T287)),AZ287,0),IF(AND(NOT(AND(AU287=1,AT287&lt;&gt;1)),ISNUMBER(AM287),AM287&lt;=(C287+T287)),BA287,0),IF(AND(NOT(AND(AU287=1,AT287&lt;&gt;1)),ISNUMBER(AN287),AN287&lt;=(C287+T287)),BB287,0),IF(AND(ISNUMBER(AO287),AO287&lt;=(C287+T287)),BC287,0))),"RLO","BD"))))))))</f>
        <v/>
      </c>
    </row>
    <row r="288">
      <c r="A288" s="26" t="n">
        <v>277</v>
      </c>
      <c r="B288" s="27">
        <f>A288*10/60</f>
        <v/>
      </c>
      <c r="C288" s="22">
        <f>X287</f>
        <v/>
      </c>
      <c r="D288" s="27">
        <f>D287+W287</f>
        <v/>
      </c>
      <c r="E288" s="26">
        <f>E287+IF(U287="SK",1,0)</f>
        <v/>
      </c>
      <c r="F288" s="26">
        <f>F287+IF(U287="LB",1,0)</f>
        <v/>
      </c>
      <c r="G288" s="26">
        <f>G287+IF(U287="ML",1,0)</f>
        <v/>
      </c>
      <c r="H288" s="26">
        <f>H287+IF(U287="RLO",1,0)</f>
        <v/>
      </c>
      <c r="I288" s="26">
        <f>I287+IF(U287="BD",1,0)</f>
        <v/>
      </c>
      <c r="J288" s="26">
        <f>MAX(J287,IF(U287="BiP",1,0))</f>
        <v/>
      </c>
      <c r="K288" s="26">
        <f>MAX(K287,IF(U287="PV",1,0))</f>
        <v/>
      </c>
      <c r="L288" s="26">
        <f>MAX(L287,IF(U287="OC",1,0))</f>
        <v/>
      </c>
      <c r="M288" s="26">
        <f>MAX(M287,IF(U287="MG",1,0))</f>
        <v/>
      </c>
      <c r="N288" s="26">
        <f>MAX(N287,IF(U287="transition",1,0))</f>
        <v/>
      </c>
      <c r="O288" s="28">
        <f>(Parameters!$B$9+(IF(E288=0,0,(Upgrades!$J$13+E288*Upgrades!$K$13)*POWER(Upgrades!$L$13,E288)))*(IF(Upgrades!$T$14="Stellar Kinematics",POWER(Upgrades!$U$14,F288),1)*IF(Upgrades!$T$15="Stellar Kinematics",POWER(Upgrades!$U$15,G288),1)*IF(Upgrades!$T$16="Stellar Kinematics",POWER(Upgrades!$U$16,H288),1)*IF(Upgrades!$T$17="Stellar Kinematics",POWER(Upgrades!$U$17,I288),1)*IF(Upgrades!$T$18="Stellar Kinematics",POWER(Upgrades!$U$18,J288),1)*IF(Upgrades!$T$19="Stellar Kinematics",POWER(Upgrades!$U$19,K288),1)*IF(Upgrades!$T$20="Stellar Kinematics",POWER(Upgrades!$U$20,L288),1)*IF(Upgrades!$T$21="Stellar Kinematics",POWER(Upgrades!$U$21,M288),1))+(IF(F288=0,0,(Upgrades!$J$14+F288*Upgrades!$K$14)*POWER(Upgrades!$L$14,F288)))*(IF(Upgrades!$T$13="Local Bubble",POWER(Upgrades!$U$13,E288),1)*IF(Upgrades!$T$15="Local Bubble",POWER(Upgrades!$U$15,G288),1)*IF(Upgrades!$T$16="Local Bubble",POWER(Upgrades!$U$16,H288),1)*IF(Upgrades!$T$17="Local Bubble",POWER(Upgrades!$U$17,I288),1)*IF(Upgrades!$T$18="Local Bubble",POWER(Upgrades!$U$18,J288),1)*IF(Upgrades!$T$19="Local Bubble",POWER(Upgrades!$U$19,K288),1)*IF(Upgrades!$T$20="Local Bubble",POWER(Upgrades!$U$20,L288),1)*IF(Upgrades!$T$21="Local Bubble",POWER(Upgrades!$U$21,M288),1))+(IF(G288=0,0,(Upgrades!$J$15+G288*Upgrades!$K$15)*POWER(Upgrades!$L$15,G288)))*(IF(Upgrades!$T$13="Microlensing",POWER(Upgrades!$U$13,E288),1)*IF(Upgrades!$T$14="Microlensing",POWER(Upgrades!$U$14,F288),1)*IF(Upgrades!$T$16="Microlensing",POWER(Upgrades!$U$16,H288),1)*IF(Upgrades!$T$17="Microlensing",POWER(Upgrades!$U$17,I288),1)*IF(Upgrades!$T$18="Microlensing",POWER(Upgrades!$U$18,J288),1)*IF(Upgrades!$T$19="Microlensing",POWER(Upgrades!$U$19,K288),1)*IF(Upgrades!$T$20="Microlensing",POWER(Upgrades!$U$20,L288),1)*IF(Upgrades!$T$21="Microlensing",POWER(Upgrades!$U$21,M288),1))+(IF(H288=0,0,(Upgrades!$J$16+H288*Upgrades!$K$16)*POWER(Upgrades!$L$16,H288)))*(IF(Upgrades!$T$13="Roche Lobe Overflow",POWER(Upgrades!$U$13,E288),1)*IF(Upgrades!$T$14="Roche Lobe Overflow",POWER(Upgrades!$U$14,F288),1)*IF(Upgrades!$T$15="Roche Lobe Overflow",POWER(Upgrades!$U$15,G288),1)*IF(Upgrades!$T$17="Roche Lobe Overflow",POWER(Upgrades!$U$17,I288),1)*IF(Upgrades!$T$18="Roche Lobe Overflow",POWER(Upgrades!$U$18,J288),1)*IF(Upgrades!$T$19="Roche Lobe Overflow",POWER(Upgrades!$U$19,K288),1)*IF(Upgrades!$T$20="Roche Lobe Overflow",POWER(Upgrades!$U$20,L288),1)*IF(Upgrades!$T$21="Roche Lobe Overflow",POWER(Upgrades!$U$21,M288),1))+(IF(I288=0,0,(Upgrades!$J$17+I288*Upgrades!$K$17)*POWER(Upgrades!$L$17,I288)))*(IF(Upgrades!$T$13="Brown Dwarf",POWER(Upgrades!$U$13,E288),1)*IF(Upgrades!$T$14="Brown Dwarf",POWER(Upgrades!$U$14,F288),1)*IF(Upgrades!$T$15="Brown Dwarf",POWER(Upgrades!$U$15,G288),1)*IF(Upgrades!$T$16="Brown Dwarf",POWER(Upgrades!$U$16,H288),1)*IF(Upgrades!$T$18="Brown Dwarf",POWER(Upgrades!$U$18,J288),1)*IF(Upgrades!$T$19="Brown Dwarf",POWER(Upgrades!$U$19,K288),1)*IF(Upgrades!$T$20="Brown Dwarf",POWER(Upgrades!$U$20,L288),1)*IF(Upgrades!$T$21="Brown Dwarf",POWER(Upgrades!$U$21,M288),1))+(IF(J288=0,0,(Upgrades!$J$18+J288*Upgrades!$K$18)*POWER(Upgrades!$L$18,J288)))*(IF(Upgrades!$T$13="Binary Partner",POWER(Upgrades!$U$13,E288),1)*IF(Upgrades!$T$14="Binary Partner",POWER(Upgrades!$U$14,F288),1)*IF(Upgrades!$T$15="Binary Partner",POWER(Upgrades!$U$15,G288),1)*IF(Upgrades!$T$16="Binary Partner",POWER(Upgrades!$U$16,H288),1)*IF(Upgrades!$T$17="Binary Partner",POWER(Upgrades!$U$17,I288),1)*IF(Upgrades!$T$19="Binary Partner",POWER(Upgrades!$U$19,K288),1)*IF(Upgrades!$T$20="Binary Partner",POWER(Upgrades!$U$20,L288),1)*IF(Upgrades!$T$21="Binary Partner",POWER(Upgrades!$U$21,M288),1))+(IF(K288=0,0,(Upgrades!$J$19+K288*Upgrades!$K$19)*POWER(Upgrades!$L$19,K288)))*(IF(Upgrades!$T$13="Peculiar Velocity",POWER(Upgrades!$U$13,E288),1)*IF(Upgrades!$T$14="Peculiar Velocity",POWER(Upgrades!$U$14,F288),1)*IF(Upgrades!$T$15="Peculiar Velocity",POWER(Upgrades!$U$15,G288),1)*IF(Upgrades!$T$16="Peculiar Velocity",POWER(Upgrades!$U$16,H288),1)*IF(Upgrades!$T$17="Peculiar Velocity",POWER(Upgrades!$U$17,I288),1)*IF(Upgrades!$T$18="Peculiar Velocity",POWER(Upgrades!$U$18,J288),1)*IF(Upgrades!$T$20="Peculiar Velocity",POWER(Upgrades!$U$20,L288),1)*IF(Upgrades!$T$21="Peculiar Velocity",POWER(Upgrades!$U$21,M288),1))+(IF(L288=0,0,(Upgrades!$J$20+L288*Upgrades!$K$20)*POWER(Upgrades!$L$20,L288)))*(IF(Upgrades!$T$13="Open Cluster",POWER(Upgrades!$U$13,E288),1)*IF(Upgrades!$T$14="Open Cluster",POWER(Upgrades!$U$14,F288),1)*IF(Upgrades!$T$15="Open Cluster",POWER(Upgrades!$U$15,G288),1)*IF(Upgrades!$T$16="Open Cluster",POWER(Upgrades!$U$16,H288),1)*IF(Upgrades!$T$17="Open Cluster",POWER(Upgrades!$U$17,I288),1)*IF(Upgrades!$T$18="Open Cluster",POWER(Upgrades!$U$18,J288),1)*IF(Upgrades!$T$19="Open Cluster",POWER(Upgrades!$U$19,K288),1)*IF(Upgrades!$T$21="Open Cluster",POWER(Upgrades!$U$21,M288),1))+(IF(M288=0,0,(Upgrades!$J$21+M288*Upgrades!$K$21)*POWER(Upgrades!$L$21,M288)))*(IF(Upgrades!$T$13="Moving Group",POWER(Upgrades!$U$13,E288),1)*IF(Upgrades!$T$14="Moving Group",POWER(Upgrades!$U$14,F288),1)*IF(Upgrades!$T$15="Moving Group",POWER(Upgrades!$U$15,G288),1)*IF(Upgrades!$T$16="Moving Group",POWER(Upgrades!$U$16,H288),1)*IF(Upgrades!$T$17="Moving Group",POWER(Upgrades!$U$17,I288),1)*IF(Upgrades!$T$18="Moving Group",POWER(Upgrades!$U$18,J288),1)*IF(Upgrades!$T$19="Moving Group",POWER(Upgrades!$U$19,K288),1)*IF(Upgrades!$T$20="Moving Group",POWER(Upgrades!$U$20,L288),1)))*POWER(Upgrades!$Q$13,E288)*POWER(Upgrades!$Q$14,F288)*POWER(Upgrades!$Q$15,G288)*POWER(Upgrades!$Q$16,H288)*POWER(Upgrades!$Q$17,I288)*POWER(Upgrades!$Q$18,J288)*POWER(Upgrades!$Q$19,K288)*POWER(Upgrades!$Q$20,L288)*POWER(Upgrades!$Q$21,M288)*$G$6+$D$6</f>
        <v/>
      </c>
      <c r="P288" s="28">
        <f>((IF(E288=0,0,(Upgrades!$G$13+E288*Upgrades!$H$13)*POWER(Upgrades!$I$13,E288)))*(IF(Upgrades!$T$14="Stellar Kinematics",POWER(Upgrades!$U$14,F288),1)*IF(Upgrades!$T$15="Stellar Kinematics",POWER(Upgrades!$U$15,G288),1)*IF(Upgrades!$T$16="Stellar Kinematics",POWER(Upgrades!$U$16,H288),1)*IF(Upgrades!$T$17="Stellar Kinematics",POWER(Upgrades!$U$17,I288),1)*IF(Upgrades!$T$18="Stellar Kinematics",POWER(Upgrades!$U$18,J288),1)*IF(Upgrades!$T$19="Stellar Kinematics",POWER(Upgrades!$U$19,K288),1)*IF(Upgrades!$T$20="Stellar Kinematics",POWER(Upgrades!$U$20,L288),1)*IF(Upgrades!$T$21="Stellar Kinematics",POWER(Upgrades!$U$21,M288),1))+(IF(F288=0,0,(Upgrades!$G$14+F288*Upgrades!$H$14)*POWER(Upgrades!$I$14,F288)))*(IF(Upgrades!$T$13="Local Bubble",POWER(Upgrades!$U$13,E288),1)*IF(Upgrades!$T$15="Local Bubble",POWER(Upgrades!$U$15,G288),1)*IF(Upgrades!$T$16="Local Bubble",POWER(Upgrades!$U$16,H288),1)*IF(Upgrades!$T$17="Local Bubble",POWER(Upgrades!$U$17,I288),1)*IF(Upgrades!$T$18="Local Bubble",POWER(Upgrades!$U$18,J288),1)*IF(Upgrades!$T$19="Local Bubble",POWER(Upgrades!$U$19,K288),1)*IF(Upgrades!$T$20="Local Bubble",POWER(Upgrades!$U$20,L288),1)*IF(Upgrades!$T$21="Local Bubble",POWER(Upgrades!$U$21,M288),1))+(IF(G288=0,0,(Upgrades!$G$15+G288*Upgrades!$H$15)*POWER(Upgrades!$I$15,G288)))*(IF(Upgrades!$T$13="Microlensing",POWER(Upgrades!$U$13,E288),1)*IF(Upgrades!$T$14="Microlensing",POWER(Upgrades!$U$14,F288),1)*IF(Upgrades!$T$16="Microlensing",POWER(Upgrades!$U$16,H288),1)*IF(Upgrades!$T$17="Microlensing",POWER(Upgrades!$U$17,I288),1)*IF(Upgrades!$T$18="Microlensing",POWER(Upgrades!$U$18,J288),1)*IF(Upgrades!$T$19="Microlensing",POWER(Upgrades!$U$19,K288),1)*IF(Upgrades!$T$20="Microlensing",POWER(Upgrades!$U$20,L288),1)*IF(Upgrades!$T$21="Microlensing",POWER(Upgrades!$U$21,M288),1))+(IF(H288=0,0,(Upgrades!$G$16+H288*Upgrades!$H$16)*POWER(Upgrades!$I$16,H288)))*(IF(Upgrades!$T$13="Roche Lobe Overflow",POWER(Upgrades!$U$13,E288),1)*IF(Upgrades!$T$14="Roche Lobe Overflow",POWER(Upgrades!$U$14,F288),1)*IF(Upgrades!$T$15="Roche Lobe Overflow",POWER(Upgrades!$U$15,G288),1)*IF(Upgrades!$T$17="Roche Lobe Overflow",POWER(Upgrades!$U$17,I288),1)*IF(Upgrades!$T$18="Roche Lobe Overflow",POWER(Upgrades!$U$18,J288),1)*IF(Upgrades!$T$19="Roche Lobe Overflow",POWER(Upgrades!$U$19,K288),1)*IF(Upgrades!$T$20="Roche Lobe Overflow",POWER(Upgrades!$U$20,L288),1)*IF(Upgrades!$T$21="Roche Lobe Overflow",POWER(Upgrades!$U$21,M288),1))+(IF(I288=0,0,(Upgrades!$G$17+I288*Upgrades!$H$17)*POWER(Upgrades!$I$17,I288)))*(IF(Upgrades!$T$13="Brown Dwarf",POWER(Upgrades!$U$13,E288),1)*IF(Upgrades!$T$14="Brown Dwarf",POWER(Upgrades!$U$14,F288),1)*IF(Upgrades!$T$15="Brown Dwarf",POWER(Upgrades!$U$15,G288),1)*IF(Upgrades!$T$16="Brown Dwarf",POWER(Upgrades!$U$16,H288),1)*IF(Upgrades!$T$18="Brown Dwarf",POWER(Upgrades!$U$18,J288),1)*IF(Upgrades!$T$19="Brown Dwarf",POWER(Upgrades!$U$19,K288),1)*IF(Upgrades!$T$20="Brown Dwarf",POWER(Upgrades!$U$20,L288),1)*IF(Upgrades!$T$21="Brown Dwarf",POWER(Upgrades!$U$21,M288),1))+(IF(J288=0,0,(Upgrades!$G$18+J288*Upgrades!$H$18)*POWER(Upgrades!$I$18,J288)))*(IF(Upgrades!$T$13="Binary Partner",POWER(Upgrades!$U$13,E288),1)*IF(Upgrades!$T$14="Binary Partner",POWER(Upgrades!$U$14,F288),1)*IF(Upgrades!$T$15="Binary Partner",POWER(Upgrades!$U$15,G288),1)*IF(Upgrades!$T$16="Binary Partner",POWER(Upgrades!$U$16,H288),1)*IF(Upgrades!$T$17="Binary Partner",POWER(Upgrades!$U$17,I288),1)*IF(Upgrades!$T$19="Binary Partner",POWER(Upgrades!$U$19,K288),1)*IF(Upgrades!$T$20="Binary Partner",POWER(Upgrades!$U$20,L288),1)*IF(Upgrades!$T$21="Binary Partner",POWER(Upgrades!$U$21,M288),1))+(IF(K288=0,0,(Upgrades!$G$19+K288*Upgrades!$H$19)*POWER(Upgrades!$I$19,K288)))*(IF(Upgrades!$T$13="Peculiar Velocity",POWER(Upgrades!$U$13,E288),1)*IF(Upgrades!$T$14="Peculiar Velocity",POWER(Upgrades!$U$14,F288),1)*IF(Upgrades!$T$15="Peculiar Velocity",POWER(Upgrades!$U$15,G288),1)*IF(Upgrades!$T$16="Peculiar Velocity",POWER(Upgrades!$U$16,H288),1)*IF(Upgrades!$T$17="Peculiar Velocity",POWER(Upgrades!$U$17,I288),1)*IF(Upgrades!$T$18="Peculiar Velocity",POWER(Upgrades!$U$18,J288),1)*IF(Upgrades!$T$20="Peculiar Velocity",POWER(Upgrades!$U$20,L288),1)*IF(Upgrades!$T$21="Peculiar Velocity",POWER(Upgrades!$U$21,M288),1))+(IF(L288=0,0,(Upgrades!$G$20+L288*Upgrades!$H$20)*POWER(Upgrades!$I$20,L288)))*(IF(Upgrades!$T$13="Open Cluster",POWER(Upgrades!$U$13,E288),1)*IF(Upgrades!$T$14="Open Cluster",POWER(Upgrades!$U$14,F288),1)*IF(Upgrades!$T$15="Open Cluster",POWER(Upgrades!$U$15,G288),1)*IF(Upgrades!$T$16="Open Cluster",POWER(Upgrades!$U$16,H288),1)*IF(Upgrades!$T$17="Open Cluster",POWER(Upgrades!$U$17,I288),1)*IF(Upgrades!$T$18="Open Cluster",POWER(Upgrades!$U$18,J288),1)*IF(Upgrades!$T$19="Open Cluster",POWER(Upgrades!$U$19,K288),1)*IF(Upgrades!$T$21="Open Cluster",POWER(Upgrades!$U$21,M288),1))+(IF(M288=0,0,(Upgrades!$G$21+M288*Upgrades!$H$21)*POWER(Upgrades!$I$21,M288)))*(IF(Upgrades!$T$13="Moving Group",POWER(Upgrades!$U$13,E288),1)*IF(Upgrades!$T$14="Moving Group",POWER(Upgrades!$U$14,F288),1)*IF(Upgrades!$T$15="Moving Group",POWER(Upgrades!$U$15,G288),1)*IF(Upgrades!$T$16="Moving Group",POWER(Upgrades!$U$16,H288),1)*IF(Upgrades!$T$17="Moving Group",POWER(Upgrades!$U$17,I288),1)*IF(Upgrades!$T$18="Moving Group",POWER(Upgrades!$U$18,J288),1)*IF(Upgrades!$T$19="Moving Group",POWER(Upgrades!$U$19,K288),1)*IF(Upgrades!$T$20="Moving Group",POWER(Upgrades!$U$20,L288),1)))*POWER(Upgrades!$P$13,E288)*POWER(Upgrades!$P$14,F288)*POWER(Upgrades!$P$15,G288)*POWER(Upgrades!$P$16,H288)*POWER(Upgrades!$P$17,I288)*POWER(Upgrades!$P$18,J288)*POWER(Upgrades!$P$19,K288)*POWER(Upgrades!$P$20,L288)*POWER(Upgrades!$P$21,M288)*$F$6+$C$6</f>
        <v/>
      </c>
      <c r="Q288" s="28">
        <f>((IF(E288=0,0,(Upgrades!$M$13+E288*Upgrades!$N$13)*POWER(Upgrades!$O$13,E288)))*(IF(Upgrades!$T$14="Stellar Kinematics",POWER(Upgrades!$U$14,F288),1)*IF(Upgrades!$T$15="Stellar Kinematics",POWER(Upgrades!$U$15,G288),1)*IF(Upgrades!$T$16="Stellar Kinematics",POWER(Upgrades!$U$16,H288),1)*IF(Upgrades!$T$17="Stellar Kinematics",POWER(Upgrades!$U$17,I288),1)*IF(Upgrades!$T$18="Stellar Kinematics",POWER(Upgrades!$U$18,J288),1)*IF(Upgrades!$T$19="Stellar Kinematics",POWER(Upgrades!$U$19,K288),1)*IF(Upgrades!$T$20="Stellar Kinematics",POWER(Upgrades!$U$20,L288),1)*IF(Upgrades!$T$21="Stellar Kinematics",POWER(Upgrades!$U$21,M288),1))+(IF(F288=0,0,(Upgrades!$M$14+F288*Upgrades!$N$14)*POWER(Upgrades!$O$14,F288)))*(IF(Upgrades!$T$13="Local Bubble",POWER(Upgrades!$U$13,E288),1)*IF(Upgrades!$T$15="Local Bubble",POWER(Upgrades!$U$15,G288),1)*IF(Upgrades!$T$16="Local Bubble",POWER(Upgrades!$U$16,H288),1)*IF(Upgrades!$T$17="Local Bubble",POWER(Upgrades!$U$17,I288),1)*IF(Upgrades!$T$18="Local Bubble",POWER(Upgrades!$U$18,J288),1)*IF(Upgrades!$T$19="Local Bubble",POWER(Upgrades!$U$19,K288),1)*IF(Upgrades!$T$20="Local Bubble",POWER(Upgrades!$U$20,L288),1)*IF(Upgrades!$T$21="Local Bubble",POWER(Upgrades!$U$21,M288),1))+(IF(G288=0,0,(Upgrades!$M$15+G288*Upgrades!$N$15)*POWER(Upgrades!$O$15,G288)))*(IF(Upgrades!$T$13="Microlensing",POWER(Upgrades!$U$13,E288),1)*IF(Upgrades!$T$14="Microlensing",POWER(Upgrades!$U$14,F288),1)*IF(Upgrades!$T$16="Microlensing",POWER(Upgrades!$U$16,H288),1)*IF(Upgrades!$T$17="Microlensing",POWER(Upgrades!$U$17,I288),1)*IF(Upgrades!$T$18="Microlensing",POWER(Upgrades!$U$18,J288),1)*IF(Upgrades!$T$19="Microlensing",POWER(Upgrades!$U$19,K288),1)*IF(Upgrades!$T$20="Microlensing",POWER(Upgrades!$U$20,L288),1)*IF(Upgrades!$T$21="Microlensing",POWER(Upgrades!$U$21,M288),1))+(IF(H288=0,0,(Upgrades!$M$16+H288*Upgrades!$N$16)*POWER(Upgrades!$O$16,H288)))*(IF(Upgrades!$T$13="Roche Lobe Overflow",POWER(Upgrades!$U$13,E288),1)*IF(Upgrades!$T$14="Roche Lobe Overflow",POWER(Upgrades!$U$14,F288),1)*IF(Upgrades!$T$15="Roche Lobe Overflow",POWER(Upgrades!$U$15,G288),1)*IF(Upgrades!$T$17="Roche Lobe Overflow",POWER(Upgrades!$U$17,I288),1)*IF(Upgrades!$T$18="Roche Lobe Overflow",POWER(Upgrades!$U$18,J288),1)*IF(Upgrades!$T$19="Roche Lobe Overflow",POWER(Upgrades!$U$19,K288),1)*IF(Upgrades!$T$20="Roche Lobe Overflow",POWER(Upgrades!$U$20,L288),1)*IF(Upgrades!$T$21="Roche Lobe Overflow",POWER(Upgrades!$U$21,M288),1))+(IF(I288=0,0,(Upgrades!$M$17+I288*Upgrades!$N$17)*POWER(Upgrades!$O$17,I288)))*(IF(Upgrades!$T$13="Brown Dwarf",POWER(Upgrades!$U$13,E288),1)*IF(Upgrades!$T$14="Brown Dwarf",POWER(Upgrades!$U$14,F288),1)*IF(Upgrades!$T$15="Brown Dwarf",POWER(Upgrades!$U$15,G288),1)*IF(Upgrades!$T$16="Brown Dwarf",POWER(Upgrades!$U$16,H288),1)*IF(Upgrades!$T$18="Brown Dwarf",POWER(Upgrades!$U$18,J288),1)*IF(Upgrades!$T$19="Brown Dwarf",POWER(Upgrades!$U$19,K288),1)*IF(Upgrades!$T$20="Brown Dwarf",POWER(Upgrades!$U$20,L288),1)*IF(Upgrades!$T$21="Brown Dwarf",POWER(Upgrades!$U$21,M288),1))+(IF(J288=0,0,(Upgrades!$M$18+J288*Upgrades!$N$18)*POWER(Upgrades!$O$18,J288)))*(IF(Upgrades!$T$13="Binary Partner",POWER(Upgrades!$U$13,E288),1)*IF(Upgrades!$T$14="Binary Partner",POWER(Upgrades!$U$14,F288),1)*IF(Upgrades!$T$15="Binary Partner",POWER(Upgrades!$U$15,G288),1)*IF(Upgrades!$T$16="Binary Partner",POWER(Upgrades!$U$16,H288),1)*IF(Upgrades!$T$17="Binary Partner",POWER(Upgrades!$U$17,I288),1)*IF(Upgrades!$T$19="Binary Partner",POWER(Upgrades!$U$19,K288),1)*IF(Upgrades!$T$20="Binary Partner",POWER(Upgrades!$U$20,L288),1)*IF(Upgrades!$T$21="Binary Partner",POWER(Upgrades!$U$21,M288),1))+(IF(K288=0,0,(Upgrades!$M$19+K288*Upgrades!$N$19)*POWER(Upgrades!$O$19,K288)))*(IF(Upgrades!$T$13="Peculiar Velocity",POWER(Upgrades!$U$13,E288),1)*IF(Upgrades!$T$14="Peculiar Velocity",POWER(Upgrades!$U$14,F288),1)*IF(Upgrades!$T$15="Peculiar Velocity",POWER(Upgrades!$U$15,G288),1)*IF(Upgrades!$T$16="Peculiar Velocity",POWER(Upgrades!$U$16,H288),1)*IF(Upgrades!$T$17="Peculiar Velocity",POWER(Upgrades!$U$17,I288),1)*IF(Upgrades!$T$18="Peculiar Velocity",POWER(Upgrades!$U$18,J288),1)*IF(Upgrades!$T$20="Peculiar Velocity",POWER(Upgrades!$U$20,L288),1)*IF(Upgrades!$T$21="Peculiar Velocity",POWER(Upgrades!$U$21,M288),1))+(IF(L288=0,0,(Upgrades!$M$20+L288*Upgrades!$N$20)*POWER(Upgrades!$O$20,L288)))*(IF(Upgrades!$T$13="Open Cluster",POWER(Upgrades!$U$13,E288),1)*IF(Upgrades!$T$14="Open Cluster",POWER(Upgrades!$U$14,F288),1)*IF(Upgrades!$T$15="Open Cluster",POWER(Upgrades!$U$15,G288),1)*IF(Upgrades!$T$16="Open Cluster",POWER(Upgrades!$U$16,H288),1)*IF(Upgrades!$T$17="Open Cluster",POWER(Upgrades!$U$17,I288),1)*IF(Upgrades!$T$18="Open Cluster",POWER(Upgrades!$U$18,J288),1)*IF(Upgrades!$T$19="Open Cluster",POWER(Upgrades!$U$19,K288),1)*IF(Upgrades!$T$21="Open Cluster",POWER(Upgrades!$U$21,M288),1))+(IF(M288=0,0,(Upgrades!$M$21+M288*Upgrades!$N$21)*POWER(Upgrades!$O$21,M288)))*(IF(Upgrades!$T$13="Moving Group",POWER(Upgrades!$U$13,E288),1)*IF(Upgrades!$T$14="Moving Group",POWER(Upgrades!$U$14,F288),1)*IF(Upgrades!$T$15="Moving Group",POWER(Upgrades!$U$15,G288),1)*IF(Upgrades!$T$16="Moving Group",POWER(Upgrades!$U$16,H288),1)*IF(Upgrades!$T$17="Moving Group",POWER(Upgrades!$U$17,I288),1)*IF(Upgrades!$T$18="Moving Group",POWER(Upgrades!$U$18,J288),1)*IF(Upgrades!$T$19="Moving Group",POWER(Upgrades!$U$19,K288),1)*IF(Upgrades!$T$20="Moving Group",POWER(Upgrades!$U$20,L288),1)))*POWER(Upgrades!$R$13,E288)*POWER(Upgrades!$R$14,F288)*POWER(Upgrades!$R$15,G288)*POWER(Upgrades!$R$16,H288)*POWER(Upgrades!$R$17,I288)*POWER(Upgrades!$R$18,J288)*POWER(Upgrades!$R$19,K288)*POWER(Upgrades!$R$20,L288)*POWER(Upgrades!$R$21,M288)*$H$6+$E$6</f>
        <v/>
      </c>
      <c r="R288" s="27">
        <f>IF(N288=1,0,O288*Parameters!$B$10/60*Parameters!$B$11*10)</f>
        <v/>
      </c>
      <c r="S288" s="27">
        <f>IF(N288=1,0,Q288*O288*10)</f>
        <v/>
      </c>
      <c r="T288" s="27">
        <f>IF(N288=1,0,R288+S288+P288*10)</f>
        <v/>
      </c>
      <c r="U288" s="33">
        <f>BE288</f>
        <v/>
      </c>
      <c r="V288" s="22">
        <f>IF(U288="",0,IF(U288="transition",0,IF(U288="SK",AK288,IF(U288="LB",AL288,IF(U288="ML",AM288,IF(U288="RLO",AN288,IF(U288="BD",AO288,IF(U288="BiP",AP288,IF(U288="PV",AQ288,IF(U288="OC",AR288,IF(U288="MG",AS288,0))))))))))</f>
        <v/>
      </c>
      <c r="W288" s="27">
        <f>IF(U288="BiP",Upgrades!$F$18,IF(U288="PV",Upgrades!$F$19,IF(U288="OC",Upgrades!$F$20,IF(U288="MG",Upgrades!$F$21,IF(U288="transition",-Parameters!$B$18*Parameters!$B$19,0)))))</f>
        <v/>
      </c>
      <c r="X288" s="22">
        <f>C288+T288-V288</f>
        <v/>
      </c>
      <c r="Y288" s="30">
        <f>O288*Parameters!$B$10/60*Parameters!$B$11+Q288*O288+P288</f>
        <v/>
      </c>
      <c r="Z288" s="34">
        <f>IF(U288="transition","→ Tier 3 (Galactic Arm)",IF(U288="MG","Moving Group — pocket drifts together",IF(U288="OC","Open Cluster acquired",IF(U288="PV","Peculiar Velocity — passive multiplier active",IF(U288="BiP","Binary Partner — pair bond formed",IF(AND(AU288=1,N288=0,AT288&lt;&gt;1),"Cohesion ready (waiting on completionists)","")))))) </f>
        <v/>
      </c>
      <c r="AA288" s="27">
        <f>(IF(E288=0,0,(Upgrades!$G$13+E288*Upgrades!$H$13)*POWER(Upgrades!$I$13,E288)))*(IF(Upgrades!$T$14="Stellar Kinematics",POWER(Upgrades!$U$14,F288),1)*IF(Upgrades!$T$15="Stellar Kinematics",POWER(Upgrades!$U$15,G288),1)*IF(Upgrades!$T$16="Stellar Kinematics",POWER(Upgrades!$U$16,H288),1)*IF(Upgrades!$T$17="Stellar Kinematics",POWER(Upgrades!$U$17,I288),1)*IF(Upgrades!$T$18="Stellar Kinematics",POWER(Upgrades!$U$18,J288),1)*IF(Upgrades!$T$19="Stellar Kinematics",POWER(Upgrades!$U$19,K288),1)*IF(Upgrades!$T$20="Stellar Kinematics",POWER(Upgrades!$U$20,L288),1)*IF(Upgrades!$T$21="Stellar Kinematics",POWER(Upgrades!$U$21,M288),1))*POWER(Upgrades!$P$13,E288)*POWER(Upgrades!$P$14,F288)*POWER(Upgrades!$P$15,G288)*POWER(Upgrades!$P$16,H288)*POWER(Upgrades!$P$17,I288)*POWER(Upgrades!$P$18,J288)*POWER(Upgrades!$P$19,K288)*POWER(Upgrades!$P$20,L288)*POWER(Upgrades!$P$21,M288)*$F$6*60</f>
        <v/>
      </c>
      <c r="AB288" s="27">
        <f>(IF(F288=0,0,(Upgrades!$G$14+F288*Upgrades!$H$14)*POWER(Upgrades!$I$14,F288)))*(IF(Upgrades!$T$13="Local Bubble",POWER(Upgrades!$U$13,E288),1)*IF(Upgrades!$T$15="Local Bubble",POWER(Upgrades!$U$15,G288),1)*IF(Upgrades!$T$16="Local Bubble",POWER(Upgrades!$U$16,H288),1)*IF(Upgrades!$T$17="Local Bubble",POWER(Upgrades!$U$17,I288),1)*IF(Upgrades!$T$18="Local Bubble",POWER(Upgrades!$U$18,J288),1)*IF(Upgrades!$T$19="Local Bubble",POWER(Upgrades!$U$19,K288),1)*IF(Upgrades!$T$20="Local Bubble",POWER(Upgrades!$U$20,L288),1)*IF(Upgrades!$T$21="Local Bubble",POWER(Upgrades!$U$21,M288),1))*POWER(Upgrades!$P$13,E288)*POWER(Upgrades!$P$14,F288)*POWER(Upgrades!$P$15,G288)*POWER(Upgrades!$P$16,H288)*POWER(Upgrades!$P$17,I288)*POWER(Upgrades!$P$18,J288)*POWER(Upgrades!$P$19,K288)*POWER(Upgrades!$P$20,L288)*POWER(Upgrades!$P$21,M288)*$F$6*60</f>
        <v/>
      </c>
      <c r="AC288" s="27">
        <f>(IF(G288=0,0,(Upgrades!$J$15+G288*Upgrades!$K$15)*POWER(Upgrades!$L$15,G288)))*(IF(Upgrades!$T$13="Microlensing",POWER(Upgrades!$U$13,E288),1)*IF(Upgrades!$T$14="Microlensing",POWER(Upgrades!$U$14,F288),1)*IF(Upgrades!$T$16="Microlensing",POWER(Upgrades!$U$16,H288),1)*IF(Upgrades!$T$17="Microlensing",POWER(Upgrades!$U$17,I288),1)*IF(Upgrades!$T$18="Microlensing",POWER(Upgrades!$U$18,J288),1)*IF(Upgrades!$T$19="Microlensing",POWER(Upgrades!$U$19,K288),1)*IF(Upgrades!$T$20="Microlensing",POWER(Upgrades!$U$20,L288),1)*IF(Upgrades!$T$21="Microlensing",POWER(Upgrades!$U$21,M288),1))*POWER(Upgrades!$Q$13,E288)*POWER(Upgrades!$Q$14,F288)*POWER(Upgrades!$Q$15,G288)*POWER(Upgrades!$Q$16,H288)*POWER(Upgrades!$Q$17,I288)*POWER(Upgrades!$Q$18,J288)*POWER(Upgrades!$Q$19,K288)*POWER(Upgrades!$Q$20,L288)*POWER(Upgrades!$Q$21,M288)*$G$6*(Parameters!$B$10*Parameters!$B$11+Q288*60)</f>
        <v/>
      </c>
      <c r="AD288" s="27">
        <f>(IF(H288=0,0,(Upgrades!$M$16+H288*Upgrades!$N$16)*POWER(Upgrades!$O$16,H288)))*(IF(Upgrades!$T$13="Roche Lobe Overflow",POWER(Upgrades!$U$13,E288),1)*IF(Upgrades!$T$14="Roche Lobe Overflow",POWER(Upgrades!$U$14,F288),1)*IF(Upgrades!$T$15="Roche Lobe Overflow",POWER(Upgrades!$U$15,G288),1)*IF(Upgrades!$T$17="Roche Lobe Overflow",POWER(Upgrades!$U$17,I288),1)*IF(Upgrades!$T$18="Roche Lobe Overflow",POWER(Upgrades!$U$18,J288),1)*IF(Upgrades!$T$19="Roche Lobe Overflow",POWER(Upgrades!$U$19,K288),1)*IF(Upgrades!$T$20="Roche Lobe Overflow",POWER(Upgrades!$U$20,L288),1)*IF(Upgrades!$T$21="Roche Lobe Overflow",POWER(Upgrades!$U$21,M288),1))*POWER(Upgrades!$R$13,E288)*POWER(Upgrades!$R$14,F288)*POWER(Upgrades!$R$15,G288)*POWER(Upgrades!$R$16,H288)*POWER(Upgrades!$R$17,I288)*POWER(Upgrades!$R$18,J288)*POWER(Upgrades!$R$19,K288)*POWER(Upgrades!$R$20,L288)*POWER(Upgrades!$R$21,M288)*$H$6*O288*60</f>
        <v/>
      </c>
      <c r="AE288" s="27">
        <f>(IF(I288=0,0,(Upgrades!$G$17+I288*Upgrades!$H$17)*POWER(Upgrades!$I$17,I288)))*(IF(Upgrades!$T$13="Brown Dwarf",POWER(Upgrades!$U$13,E288),1)*IF(Upgrades!$T$14="Brown Dwarf",POWER(Upgrades!$U$14,F288),1)*IF(Upgrades!$T$15="Brown Dwarf",POWER(Upgrades!$U$15,G288),1)*IF(Upgrades!$T$16="Brown Dwarf",POWER(Upgrades!$U$16,H288),1)*IF(Upgrades!$T$18="Brown Dwarf",POWER(Upgrades!$U$18,J288),1)*IF(Upgrades!$T$19="Brown Dwarf",POWER(Upgrades!$U$19,K288),1)*IF(Upgrades!$T$20="Brown Dwarf",POWER(Upgrades!$U$20,L288),1)*IF(Upgrades!$T$21="Brown Dwarf",POWER(Upgrades!$U$21,M288),1))*POWER(Upgrades!$P$13,E288)*POWER(Upgrades!$P$14,F288)*POWER(Upgrades!$P$15,G288)*POWER(Upgrades!$P$16,H288)*POWER(Upgrades!$P$17,I288)*POWER(Upgrades!$P$18,J288)*POWER(Upgrades!$P$19,K288)*POWER(Upgrades!$P$20,L288)*POWER(Upgrades!$P$21,M288)*$F$6*60</f>
        <v/>
      </c>
      <c r="AF288" s="27" t="n">
        <v>0</v>
      </c>
      <c r="AG288" s="27" t="n">
        <v>0</v>
      </c>
      <c r="AH288" s="27" t="n">
        <v>0</v>
      </c>
      <c r="AI288" s="27">
        <f>(IF(M288=0,0,(Upgrades!$G$21+M288*Upgrades!$H$21)*POWER(Upgrades!$I$21,M288)))*(IF(Upgrades!$T$13="Moving Group",POWER(Upgrades!$U$13,E288),1)*IF(Upgrades!$T$14="Moving Group",POWER(Upgrades!$U$14,F288),1)*IF(Upgrades!$T$15="Moving Group",POWER(Upgrades!$U$15,G288),1)*IF(Upgrades!$T$16="Moving Group",POWER(Upgrades!$U$16,H288),1)*IF(Upgrades!$T$17="Moving Group",POWER(Upgrades!$U$17,I288),1)*IF(Upgrades!$T$18="Moving Group",POWER(Upgrades!$U$18,J288),1)*IF(Upgrades!$T$19="Moving Group",POWER(Upgrades!$U$19,K288),1)*IF(Upgrades!$T$20="Moving Group",POWER(Upgrades!$U$20,L288),1))*POWER(Upgrades!$P$13,E288)*POWER(Upgrades!$P$14,F288)*POWER(Upgrades!$P$15,G288)*POWER(Upgrades!$P$16,H288)*POWER(Upgrades!$P$17,I288)*POWER(Upgrades!$P$18,J288)*POWER(Upgrades!$P$19,K288)*POWER(Upgrades!$P$20,L288)*POWER(Upgrades!$P$21,M288)*$F$6*60</f>
        <v/>
      </c>
      <c r="AJ288" s="27">
        <f>$C$6*60</f>
        <v/>
      </c>
      <c r="AK288" s="22">
        <f>IF(E288&gt;=Upgrades!$E$13,"",Upgrades!$C$13*POWER(Upgrades!$D$13,E288))</f>
        <v/>
      </c>
      <c r="AL288" s="22">
        <f>IF(F288&gt;=Upgrades!$E$14,"",Upgrades!$C$14*POWER(Upgrades!$D$14,F288))</f>
        <v/>
      </c>
      <c r="AM288" s="22">
        <f>IF(G288&gt;=Upgrades!$E$15,"",Upgrades!$C$15*POWER(Upgrades!$D$15,G288))</f>
        <v/>
      </c>
      <c r="AN288" s="22">
        <f>IF(H288&gt;=Upgrades!$E$16,"",Upgrades!$C$16*POWER(Upgrades!$D$16,H288))</f>
        <v/>
      </c>
      <c r="AO288" s="22">
        <f>IF(I288&gt;=Upgrades!$E$17,"",Upgrades!$C$17*POWER(Upgrades!$D$17,I288))</f>
        <v/>
      </c>
      <c r="AP288" s="22">
        <f>IF(J288&gt;=Upgrades!$E$18,"",Upgrades!$C$18*POWER(Upgrades!$D$18,J288))</f>
        <v/>
      </c>
      <c r="AQ288" s="22">
        <f>IF(K288&gt;=Upgrades!$E$19,"",Upgrades!$C$19*POWER(Upgrades!$D$19,K288))</f>
        <v/>
      </c>
      <c r="AR288" s="22">
        <f>IF(L288&gt;=Upgrades!$E$20,"",Upgrades!$C$20*POWER(Upgrades!$D$20,L288))</f>
        <v/>
      </c>
      <c r="AS288" s="22">
        <f>IF(M288&gt;=Upgrades!$E$21,"",Upgrades!$C$21*POWER(Upgrades!$D$21,M288))</f>
        <v/>
      </c>
      <c r="AT288" s="26">
        <f>IF(AND(D288&gt;=Parameters!$B$18*Parameters!$B$19,(I288&gt;=Upgrades!$E$17)*(M288&gt;=Upgrades!$E$21)=1,N288=0),1,"")</f>
        <v/>
      </c>
      <c r="AU288" s="26">
        <f>IF(AND(D288&gt;=Parameters!$B$18*Parameters!$B$19,N288=0),1,"")</f>
        <v/>
      </c>
      <c r="AV288" s="22">
        <f>MIN(IF(ISNUMBER(AP288),AP288,9E15),IF(ISNUMBER(AQ288),AQ288,9E15),IF(ISNUMBER(AR288),AR288,9E15),IF(ISNUMBER(AS288),AS288,9E15))</f>
        <v/>
      </c>
      <c r="AW288" s="22">
        <f>MIN(IF(ISNUMBER(AK288),AK288,9E15),IF(ISNUMBER(AL288),AL288,9E15),IF(ISNUMBER(AM288),AM288,9E15),IF(ISNUMBER(AN288),AN288,9E15),IF(ISNUMBER(AO288),AO288,9E15))</f>
        <v/>
      </c>
      <c r="AX288" s="29">
        <f>IF(BD288&gt;Parameters!$B$21*(MAX(IF(AND(NOT(AND(AU288=1,AT288&lt;&gt;1)),ISNUMBER(AK288),AK288&lt;=(C288+T288)),AY288,0),IF(AND(NOT(AND(AU288=1,AT288&lt;&gt;1)),ISNUMBER(AL288),AL288&lt;=(C288+T288)),AZ288,0),IF(AND(NOT(AND(AU288=1,AT288&lt;&gt;1)),ISNUMBER(AM288),AM288&lt;=(C288+T288)),BA288,0),IF(AND(NOT(AND(AU288=1,AT288&lt;&gt;1)),ISNUMBER(AN288),AN288&lt;=(C288+T288)),BB288,0),IF(AND(ISNUMBER(AO288),AO288&lt;=(C288+T288)),BC288,0))),TRUE,FALSE)</f>
        <v/>
      </c>
      <c r="AY288" s="32">
        <f>IFERROR(Upgrades!$H$13*(POWER(Upgrades!$P$13,E288)*POWER(Upgrades!$P$14,F288)*POWER(Upgrades!$P$15,G288)*POWER(Upgrades!$P$16,H288)*POWER(Upgrades!$P$17,I288)*POWER(Upgrades!$P$18,J288)*POWER(Upgrades!$P$19,K288)*POWER(Upgrades!$P$20,L288)*POWER(Upgrades!$P$21,M288))*(IF(Upgrades!$T$14="Stellar Kinematics",POWER(Upgrades!$U$14,F288),1)*IF(Upgrades!$T$15="Stellar Kinematics",POWER(Upgrades!$U$15,G288),1)*IF(Upgrades!$T$16="Stellar Kinematics",POWER(Upgrades!$U$16,H288),1)*IF(Upgrades!$T$17="Stellar Kinematics",POWER(Upgrades!$U$17,I288),1)*IF(Upgrades!$T$18="Stellar Kinematics",POWER(Upgrades!$U$18,J288),1)*IF(Upgrades!$T$19="Stellar Kinematics",POWER(Upgrades!$U$19,K288),1)*IF(Upgrades!$T$20="Stellar Kinematics",POWER(Upgrades!$U$20,L288),1)*IF(Upgrades!$T$21="Stellar Kinematics",POWER(Upgrades!$U$21,M288),1))*$F$6/AK288,0)</f>
        <v/>
      </c>
      <c r="AZ288" s="32">
        <f>IFERROR(Upgrades!$H$14*(POWER(Upgrades!$P$13,E288)*POWER(Upgrades!$P$14,F288)*POWER(Upgrades!$P$15,G288)*POWER(Upgrades!$P$16,H288)*POWER(Upgrades!$P$17,I288)*POWER(Upgrades!$P$18,J288)*POWER(Upgrades!$P$19,K288)*POWER(Upgrades!$P$20,L288)*POWER(Upgrades!$P$21,M288))*(IF(Upgrades!$T$13="Local Bubble",POWER(Upgrades!$U$13,E288),1)*IF(Upgrades!$T$15="Local Bubble",POWER(Upgrades!$U$15,G288),1)*IF(Upgrades!$T$16="Local Bubble",POWER(Upgrades!$U$16,H288),1)*IF(Upgrades!$T$17="Local Bubble",POWER(Upgrades!$U$17,I288),1)*IF(Upgrades!$T$18="Local Bubble",POWER(Upgrades!$U$18,J288),1)*IF(Upgrades!$T$19="Local Bubble",POWER(Upgrades!$U$19,K288),1)*IF(Upgrades!$T$20="Local Bubble",POWER(Upgrades!$U$20,L288),1)*IF(Upgrades!$T$21="Local Bubble",POWER(Upgrades!$U$21,M288),1))*$F$6/AL288,0)</f>
        <v/>
      </c>
      <c r="BA288" s="32">
        <f>IFERROR(Upgrades!$K$15*(POWER(Upgrades!$Q$13,E288)*POWER(Upgrades!$Q$14,F288)*POWER(Upgrades!$Q$15,G288)*POWER(Upgrades!$Q$16,H288)*POWER(Upgrades!$Q$17,I288)*POWER(Upgrades!$Q$18,J288)*POWER(Upgrades!$Q$19,K288)*POWER(Upgrades!$Q$20,L288)*POWER(Upgrades!$Q$21,M288))*(IF(Upgrades!$T$13="Microlensing",POWER(Upgrades!$U$13,E288),1)*IF(Upgrades!$T$14="Microlensing",POWER(Upgrades!$U$14,F288),1)*IF(Upgrades!$T$16="Microlensing",POWER(Upgrades!$U$16,H288),1)*IF(Upgrades!$T$17="Microlensing",POWER(Upgrades!$U$17,I288),1)*IF(Upgrades!$T$18="Microlensing",POWER(Upgrades!$U$18,J288),1)*IF(Upgrades!$T$19="Microlensing",POWER(Upgrades!$U$19,K288),1)*IF(Upgrades!$T$20="Microlensing",POWER(Upgrades!$U$20,L288),1)*IF(Upgrades!$T$21="Microlensing",POWER(Upgrades!$U$21,M288),1))*$G$6*(Parameters!$B$10/60*Parameters!$B$11+Q288)/AM288,0)</f>
        <v/>
      </c>
      <c r="BB288" s="32">
        <f>IFERROR((Upgrades!$N$16*(POWER(Upgrades!$R$13,E288)*POWER(Upgrades!$R$14,F288)*POWER(Upgrades!$R$15,G288)*POWER(Upgrades!$R$16,H288)*POWER(Upgrades!$R$17,I288)*POWER(Upgrades!$R$18,J288)*POWER(Upgrades!$R$19,K288)*POWER(Upgrades!$R$20,L288)*POWER(Upgrades!$R$21,M288))*(IF(Upgrades!$T$13="Roche Lobe Overflow",POWER(Upgrades!$U$13,E288),1)*IF(Upgrades!$T$14="Roche Lobe Overflow",POWER(Upgrades!$U$14,F288),1)*IF(Upgrades!$T$15="Roche Lobe Overflow",POWER(Upgrades!$U$15,G288),1)*IF(Upgrades!$T$17="Roche Lobe Overflow",POWER(Upgrades!$U$17,I288),1)*IF(Upgrades!$T$18="Roche Lobe Overflow",POWER(Upgrades!$U$18,J288),1)*IF(Upgrades!$T$19="Roche Lobe Overflow",POWER(Upgrades!$U$19,K288),1)*IF(Upgrades!$T$20="Roche Lobe Overflow",POWER(Upgrades!$U$20,L288),1)*IF(Upgrades!$T$21="Roche Lobe Overflow",POWER(Upgrades!$U$21,M288),1))*$H$6*O288+((IF(F288=0,0,(Upgrades!$G$14+F288*Upgrades!$H$14)*POWER(Upgrades!$I$14,F288)))*(IF(Upgrades!$T$13="Local Bubble",POWER(Upgrades!$U$13,E288),1)*IF(Upgrades!$T$15="Local Bubble",POWER(Upgrades!$U$15,G288),1)*IF(Upgrades!$T$16="Local Bubble",POWER(Upgrades!$U$16,H288),1)*IF(Upgrades!$T$17="Local Bubble",POWER(Upgrades!$U$17,I288),1)*IF(Upgrades!$T$18="Local Bubble",POWER(Upgrades!$U$18,J288),1)*IF(Upgrades!$T$19="Local Bubble",POWER(Upgrades!$U$19,K288),1)*IF(Upgrades!$T$20="Local Bubble",POWER(Upgrades!$U$20,L288),1)*IF(Upgrades!$T$21="Local Bubble",POWER(Upgrades!$U$21,M288),1))*POWER(Upgrades!$P$13,E288)*POWER(Upgrades!$P$14,F288)*POWER(Upgrades!$P$15,G288)*POWER(Upgrades!$P$16,H288)*POWER(Upgrades!$P$17,I288)*POWER(Upgrades!$P$18,J288)*POWER(Upgrades!$P$19,K288)*POWER(Upgrades!$P$20,L288)*POWER(Upgrades!$P$21,M288)*$F$6)*0.05)/AN288,0)</f>
        <v/>
      </c>
      <c r="BC288" s="32">
        <f>IFERROR((Upgrades!$H$17*(POWER(Upgrades!$P$13,E288)*POWER(Upgrades!$P$14,F288)*POWER(Upgrades!$P$15,G288)*POWER(Upgrades!$P$16,H288)*POWER(Upgrades!$P$17,I288)*POWER(Upgrades!$P$18,J288)*POWER(Upgrades!$P$19,K288)*POWER(Upgrades!$P$20,L288)*POWER(Upgrades!$P$21,M288))*(IF(Upgrades!$T$13="Brown Dwarf",POWER(Upgrades!$U$13,E288),1)*IF(Upgrades!$T$14="Brown Dwarf",POWER(Upgrades!$U$14,F288),1)*IF(Upgrades!$T$15="Brown Dwarf",POWER(Upgrades!$U$15,G288),1)*IF(Upgrades!$T$16="Brown Dwarf",POWER(Upgrades!$U$16,H288),1)*IF(Upgrades!$T$18="Brown Dwarf",POWER(Upgrades!$U$18,J288),1)*IF(Upgrades!$T$19="Brown Dwarf",POWER(Upgrades!$U$19,K288),1)*IF(Upgrades!$T$20="Brown Dwarf",POWER(Upgrades!$U$20,L288),1)*IF(Upgrades!$T$21="Brown Dwarf",POWER(Upgrades!$U$21,M288),1))*$F$6+(((IF(H288=0,0,(Upgrades!$M$16+H288*Upgrades!$N$16)*POWER(Upgrades!$O$16,H288)))*(IF(Upgrades!$T$13="Roche Lobe Overflow",POWER(Upgrades!$U$13,E288),1)*IF(Upgrades!$T$14="Roche Lobe Overflow",POWER(Upgrades!$U$14,F288),1)*IF(Upgrades!$T$15="Roche Lobe Overflow",POWER(Upgrades!$U$15,G288),1)*IF(Upgrades!$T$17="Roche Lobe Overflow",POWER(Upgrades!$U$17,I288),1)*IF(Upgrades!$T$18="Roche Lobe Overflow",POWER(Upgrades!$U$18,J288),1)*IF(Upgrades!$T$19="Roche Lobe Overflow",POWER(Upgrades!$U$19,K288),1)*IF(Upgrades!$T$20="Roche Lobe Overflow",POWER(Upgrades!$U$20,L288),1)*IF(Upgrades!$T$21="Roche Lobe Overflow",POWER(Upgrades!$U$21,M288),1))*POWER(Upgrades!$R$13,E288)*POWER(Upgrades!$R$14,F288)*POWER(Upgrades!$R$15,G288)*POWER(Upgrades!$R$16,H288)*POWER(Upgrades!$R$17,I288)*POWER(Upgrades!$R$18,J288)*POWER(Upgrades!$R$19,K288)*POWER(Upgrades!$R$20,L288)*POWER(Upgrades!$R$21,M288)*$H$6)*O288)*0.10)/AO288,0)</f>
        <v/>
      </c>
      <c r="BD288" s="32">
        <f>MAX(IF(J288&gt;0,0,IFERROR(0.5*((IF(G288=0,0,(Upgrades!$J$15+G288*Upgrades!$K$15)*POWER(Upgrades!$L$15,G288)))*(IF(Upgrades!$T$13="Microlensing",POWER(Upgrades!$U$13,E288),1)*IF(Upgrades!$T$14="Microlensing",POWER(Upgrades!$U$14,F288),1)*IF(Upgrades!$T$16="Microlensing",POWER(Upgrades!$U$16,H288),1)*IF(Upgrades!$T$17="Microlensing",POWER(Upgrades!$U$17,I288),1)*IF(Upgrades!$T$18="Microlensing",POWER(Upgrades!$U$18,J288),1)*IF(Upgrades!$T$19="Microlensing",POWER(Upgrades!$U$19,K288),1)*IF(Upgrades!$T$20="Microlensing",POWER(Upgrades!$U$20,L288),1)*IF(Upgrades!$T$21="Microlensing",POWER(Upgrades!$U$21,M288),1))*(POWER(Upgrades!$Q$13,E288)*POWER(Upgrades!$Q$14,F288)*POWER(Upgrades!$Q$15,G288)*POWER(Upgrades!$Q$16,H288)*POWER(Upgrades!$Q$17,I288)*POWER(Upgrades!$Q$18,J288)*POWER(Upgrades!$Q$19,K288)*POWER(Upgrades!$Q$20,L288)*POWER(Upgrades!$Q$21,M288))*$G$6*(Parameters!$B$10/60*Parameters!$B$11+Q288))/Upgrades!$C$18,0)),IF(K288&gt;0,0,IFERROR(0.30*P288/Upgrades!$C$19,0)),IF(L288&gt;0,0,IFERROR(0.0001/Upgrades!$C$20,0)),IF(M288&gt;0,0,IFERROR((6.0*(POWER(Upgrades!$P$13,E288)*POWER(Upgrades!$P$14,F288)*POWER(Upgrades!$P$15,G288)*POWER(Upgrades!$P$16,H288)*POWER(Upgrades!$P$17,I288)*POWER(Upgrades!$P$18,J288)*POWER(Upgrades!$P$19,K288)*POWER(Upgrades!$P$20,L288)*POWER(Upgrades!$P$21,M288))*$F$6+0.20*O288*(Parameters!$B$10/60*Parameters!$B$11+Q288))/Upgrades!$C$21,0)),IF(AND(ISNUMBER(AK288),AK288&gt;(C288+T288)),AY288,0),IF(AND(ISNUMBER(AL288),AL288&gt;(C288+T288)),AZ288,0),IF(AND(ISNUMBER(AM288),AM288&gt;(C288+T288)),BA288,0),IF(AND(ISNUMBER(AN288),AN288&gt;(C288+T288)),BB288,0),IF(AND(ISNUMBER(AO288),AO288&gt;(C288+T288)),BC288,0))</f>
        <v/>
      </c>
      <c r="BE288" s="29">
        <f>IF(AT288=1,"transition",IF(MIN(IF(AND(J288=0,ISNUMBER(AP288),AP288&lt;=(C288+T288)),AP288,9E15),IF(AND(K288=0,ISNUMBER(AQ288),AQ288&lt;=(C288+T288)),AQ288,9E15),IF(AND(L288=0,ISNUMBER(AR288),AR288&lt;=(C288+T288)),AR288,9E15),IF(AND(M288=0,ISNUMBER(AS288),AS288&lt;=(C288+T288)),AS288,9E15))&lt;9E15,IF(AND(AND(J288=0,ISNUMBER(AP288),AP288&lt;=(C288+T288)),AP288=MIN(IF(AND(J288=0,ISNUMBER(AP288),AP288&lt;=(C288+T288)),AP288,9E15),IF(AND(K288=0,ISNUMBER(AQ288),AQ288&lt;=(C288+T288)),AQ288,9E15),IF(AND(L288=0,ISNUMBER(AR288),AR288&lt;=(C288+T288)),AR288,9E15),IF(AND(M288=0,ISNUMBER(AS288),AS288&lt;=(C288+T288)),AS288,9E15))),"BiP",IF(AND(AND(K288=0,ISNUMBER(AQ288),AQ288&lt;=(C288+T288)),AQ288=MIN(IF(AND(J288=0,ISNUMBER(AP288),AP288&lt;=(C288+T288)),AP288,9E15),IF(AND(K288=0,ISNUMBER(AQ288),AQ288&lt;=(C288+T288)),AQ288,9E15),IF(AND(L288=0,ISNUMBER(AR288),AR288&lt;=(C288+T288)),AR288,9E15),IF(AND(M288=0,ISNUMBER(AS288),AS288&lt;=(C288+T288)),AS288,9E15))),"PV",IF(AND(AND(L288=0,ISNUMBER(AR288),AR288&lt;=(C288+T288)),AR288=MIN(IF(AND(J288=0,ISNUMBER(AP288),AP288&lt;=(C288+T288)),AP288,9E15),IF(AND(K288=0,ISNUMBER(AQ288),AQ288&lt;=(C288+T288)),AQ288,9E15),IF(AND(L288=0,ISNUMBER(AR288),AR288&lt;=(C288+T288)),AR288,9E15),IF(AND(M288=0,ISNUMBER(AS288),AS288&lt;=(C288+T288)),AS288,9E15))),"OC","MG"))),IF(AX288=TRUE,"",IF(MAX(IF(AND(NOT(AND(AU288=1,AT288&lt;&gt;1)),ISNUMBER(AK288),AK288&lt;=(C288+T288)),AY288,0),IF(AND(NOT(AND(AU288=1,AT288&lt;&gt;1)),ISNUMBER(AL288),AL288&lt;=(C288+T288)),AZ288,0),IF(AND(NOT(AND(AU288=1,AT288&lt;&gt;1)),ISNUMBER(AM288),AM288&lt;=(C288+T288)),BA288,0),IF(AND(NOT(AND(AU288=1,AT288&lt;&gt;1)),ISNUMBER(AN288),AN288&lt;=(C288+T288)),BB288,0),IF(AND(ISNUMBER(AO288),AO288&lt;=(C288+T288)),BC288,0))&lt;=0,"",IF(AND(IF(AND(NOT(AND(AU288=1,AT288&lt;&gt;1)),ISNUMBER(AK288),AK288&lt;=(C288+T288)),AY288,0)&gt;0,IF(AND(NOT(AND(AU288=1,AT288&lt;&gt;1)),ISNUMBER(AK288),AK288&lt;=(C288+T288)),AY288,0)=MAX(IF(AND(NOT(AND(AU288=1,AT288&lt;&gt;1)),ISNUMBER(AK288),AK288&lt;=(C288+T288)),AY288,0),IF(AND(NOT(AND(AU288=1,AT288&lt;&gt;1)),ISNUMBER(AL288),AL288&lt;=(C288+T288)),AZ288,0),IF(AND(NOT(AND(AU288=1,AT288&lt;&gt;1)),ISNUMBER(AM288),AM288&lt;=(C288+T288)),BA288,0),IF(AND(NOT(AND(AU288=1,AT288&lt;&gt;1)),ISNUMBER(AN288),AN288&lt;=(C288+T288)),BB288,0),IF(AND(ISNUMBER(AO288),AO288&lt;=(C288+T288)),BC288,0))),"SK",IF(AND(IF(AND(NOT(AND(AU288=1,AT288&lt;&gt;1)),ISNUMBER(AL288),AL288&lt;=(C288+T288)),AZ288,0)&gt;0,IF(AND(NOT(AND(AU288=1,AT288&lt;&gt;1)),ISNUMBER(AL288),AL288&lt;=(C288+T288)),AZ288,0)=MAX(IF(AND(NOT(AND(AU288=1,AT288&lt;&gt;1)),ISNUMBER(AK288),AK288&lt;=(C288+T288)),AY288,0),IF(AND(NOT(AND(AU288=1,AT288&lt;&gt;1)),ISNUMBER(AL288),AL288&lt;=(C288+T288)),AZ288,0),IF(AND(NOT(AND(AU288=1,AT288&lt;&gt;1)),ISNUMBER(AM288),AM288&lt;=(C288+T288)),BA288,0),IF(AND(NOT(AND(AU288=1,AT288&lt;&gt;1)),ISNUMBER(AN288),AN288&lt;=(C288+T288)),BB288,0),IF(AND(ISNUMBER(AO288),AO288&lt;=(C288+T288)),BC288,0))),"LB",IF(AND(IF(AND(NOT(AND(AU288=1,AT288&lt;&gt;1)),ISNUMBER(AM288),AM288&lt;=(C288+T288)),BA288,0)&gt;0,IF(AND(NOT(AND(AU288=1,AT288&lt;&gt;1)),ISNUMBER(AM288),AM288&lt;=(C288+T288)),BA288,0)=MAX(IF(AND(NOT(AND(AU288=1,AT288&lt;&gt;1)),ISNUMBER(AK288),AK288&lt;=(C288+T288)),AY288,0),IF(AND(NOT(AND(AU288=1,AT288&lt;&gt;1)),ISNUMBER(AL288),AL288&lt;=(C288+T288)),AZ288,0),IF(AND(NOT(AND(AU288=1,AT288&lt;&gt;1)),ISNUMBER(AM288),AM288&lt;=(C288+T288)),BA288,0),IF(AND(NOT(AND(AU288=1,AT288&lt;&gt;1)),ISNUMBER(AN288),AN288&lt;=(C288+T288)),BB288,0),IF(AND(ISNUMBER(AO288),AO288&lt;=(C288+T288)),BC288,0))),"ML",IF(AND(IF(AND(NOT(AND(AU288=1,AT288&lt;&gt;1)),ISNUMBER(AN288),AN288&lt;=(C288+T288)),BB288,0)&gt;0,IF(AND(NOT(AND(AU288=1,AT288&lt;&gt;1)),ISNUMBER(AN288),AN288&lt;=(C288+T288)),BB288,0)=MAX(IF(AND(NOT(AND(AU288=1,AT288&lt;&gt;1)),ISNUMBER(AK288),AK288&lt;=(C288+T288)),AY288,0),IF(AND(NOT(AND(AU288=1,AT288&lt;&gt;1)),ISNUMBER(AL288),AL288&lt;=(C288+T288)),AZ288,0),IF(AND(NOT(AND(AU288=1,AT288&lt;&gt;1)),ISNUMBER(AM288),AM288&lt;=(C288+T288)),BA288,0),IF(AND(NOT(AND(AU288=1,AT288&lt;&gt;1)),ISNUMBER(AN288),AN288&lt;=(C288+T288)),BB288,0),IF(AND(ISNUMBER(AO288),AO288&lt;=(C288+T288)),BC288,0))),"RLO","BD"))))))))</f>
        <v/>
      </c>
    </row>
    <row r="289">
      <c r="A289" s="26" t="n">
        <v>278</v>
      </c>
      <c r="B289" s="27">
        <f>A289*10/60</f>
        <v/>
      </c>
      <c r="C289" s="22">
        <f>X288</f>
        <v/>
      </c>
      <c r="D289" s="27">
        <f>D288+W288</f>
        <v/>
      </c>
      <c r="E289" s="26">
        <f>E288+IF(U288="SK",1,0)</f>
        <v/>
      </c>
      <c r="F289" s="26">
        <f>F288+IF(U288="LB",1,0)</f>
        <v/>
      </c>
      <c r="G289" s="26">
        <f>G288+IF(U288="ML",1,0)</f>
        <v/>
      </c>
      <c r="H289" s="26">
        <f>H288+IF(U288="RLO",1,0)</f>
        <v/>
      </c>
      <c r="I289" s="26">
        <f>I288+IF(U288="BD",1,0)</f>
        <v/>
      </c>
      <c r="J289" s="26">
        <f>MAX(J288,IF(U288="BiP",1,0))</f>
        <v/>
      </c>
      <c r="K289" s="26">
        <f>MAX(K288,IF(U288="PV",1,0))</f>
        <v/>
      </c>
      <c r="L289" s="26">
        <f>MAX(L288,IF(U288="OC",1,0))</f>
        <v/>
      </c>
      <c r="M289" s="26">
        <f>MAX(M288,IF(U288="MG",1,0))</f>
        <v/>
      </c>
      <c r="N289" s="26">
        <f>MAX(N288,IF(U288="transition",1,0))</f>
        <v/>
      </c>
      <c r="O289" s="28">
        <f>(Parameters!$B$9+(IF(E289=0,0,(Upgrades!$J$13+E289*Upgrades!$K$13)*POWER(Upgrades!$L$13,E289)))*(IF(Upgrades!$T$14="Stellar Kinematics",POWER(Upgrades!$U$14,F289),1)*IF(Upgrades!$T$15="Stellar Kinematics",POWER(Upgrades!$U$15,G289),1)*IF(Upgrades!$T$16="Stellar Kinematics",POWER(Upgrades!$U$16,H289),1)*IF(Upgrades!$T$17="Stellar Kinematics",POWER(Upgrades!$U$17,I289),1)*IF(Upgrades!$T$18="Stellar Kinematics",POWER(Upgrades!$U$18,J289),1)*IF(Upgrades!$T$19="Stellar Kinematics",POWER(Upgrades!$U$19,K289),1)*IF(Upgrades!$T$20="Stellar Kinematics",POWER(Upgrades!$U$20,L289),1)*IF(Upgrades!$T$21="Stellar Kinematics",POWER(Upgrades!$U$21,M289),1))+(IF(F289=0,0,(Upgrades!$J$14+F289*Upgrades!$K$14)*POWER(Upgrades!$L$14,F289)))*(IF(Upgrades!$T$13="Local Bubble",POWER(Upgrades!$U$13,E289),1)*IF(Upgrades!$T$15="Local Bubble",POWER(Upgrades!$U$15,G289),1)*IF(Upgrades!$T$16="Local Bubble",POWER(Upgrades!$U$16,H289),1)*IF(Upgrades!$T$17="Local Bubble",POWER(Upgrades!$U$17,I289),1)*IF(Upgrades!$T$18="Local Bubble",POWER(Upgrades!$U$18,J289),1)*IF(Upgrades!$T$19="Local Bubble",POWER(Upgrades!$U$19,K289),1)*IF(Upgrades!$T$20="Local Bubble",POWER(Upgrades!$U$20,L289),1)*IF(Upgrades!$T$21="Local Bubble",POWER(Upgrades!$U$21,M289),1))+(IF(G289=0,0,(Upgrades!$J$15+G289*Upgrades!$K$15)*POWER(Upgrades!$L$15,G289)))*(IF(Upgrades!$T$13="Microlensing",POWER(Upgrades!$U$13,E289),1)*IF(Upgrades!$T$14="Microlensing",POWER(Upgrades!$U$14,F289),1)*IF(Upgrades!$T$16="Microlensing",POWER(Upgrades!$U$16,H289),1)*IF(Upgrades!$T$17="Microlensing",POWER(Upgrades!$U$17,I289),1)*IF(Upgrades!$T$18="Microlensing",POWER(Upgrades!$U$18,J289),1)*IF(Upgrades!$T$19="Microlensing",POWER(Upgrades!$U$19,K289),1)*IF(Upgrades!$T$20="Microlensing",POWER(Upgrades!$U$20,L289),1)*IF(Upgrades!$T$21="Microlensing",POWER(Upgrades!$U$21,M289),1))+(IF(H289=0,0,(Upgrades!$J$16+H289*Upgrades!$K$16)*POWER(Upgrades!$L$16,H289)))*(IF(Upgrades!$T$13="Roche Lobe Overflow",POWER(Upgrades!$U$13,E289),1)*IF(Upgrades!$T$14="Roche Lobe Overflow",POWER(Upgrades!$U$14,F289),1)*IF(Upgrades!$T$15="Roche Lobe Overflow",POWER(Upgrades!$U$15,G289),1)*IF(Upgrades!$T$17="Roche Lobe Overflow",POWER(Upgrades!$U$17,I289),1)*IF(Upgrades!$T$18="Roche Lobe Overflow",POWER(Upgrades!$U$18,J289),1)*IF(Upgrades!$T$19="Roche Lobe Overflow",POWER(Upgrades!$U$19,K289),1)*IF(Upgrades!$T$20="Roche Lobe Overflow",POWER(Upgrades!$U$20,L289),1)*IF(Upgrades!$T$21="Roche Lobe Overflow",POWER(Upgrades!$U$21,M289),1))+(IF(I289=0,0,(Upgrades!$J$17+I289*Upgrades!$K$17)*POWER(Upgrades!$L$17,I289)))*(IF(Upgrades!$T$13="Brown Dwarf",POWER(Upgrades!$U$13,E289),1)*IF(Upgrades!$T$14="Brown Dwarf",POWER(Upgrades!$U$14,F289),1)*IF(Upgrades!$T$15="Brown Dwarf",POWER(Upgrades!$U$15,G289),1)*IF(Upgrades!$T$16="Brown Dwarf",POWER(Upgrades!$U$16,H289),1)*IF(Upgrades!$T$18="Brown Dwarf",POWER(Upgrades!$U$18,J289),1)*IF(Upgrades!$T$19="Brown Dwarf",POWER(Upgrades!$U$19,K289),1)*IF(Upgrades!$T$20="Brown Dwarf",POWER(Upgrades!$U$20,L289),1)*IF(Upgrades!$T$21="Brown Dwarf",POWER(Upgrades!$U$21,M289),1))+(IF(J289=0,0,(Upgrades!$J$18+J289*Upgrades!$K$18)*POWER(Upgrades!$L$18,J289)))*(IF(Upgrades!$T$13="Binary Partner",POWER(Upgrades!$U$13,E289),1)*IF(Upgrades!$T$14="Binary Partner",POWER(Upgrades!$U$14,F289),1)*IF(Upgrades!$T$15="Binary Partner",POWER(Upgrades!$U$15,G289),1)*IF(Upgrades!$T$16="Binary Partner",POWER(Upgrades!$U$16,H289),1)*IF(Upgrades!$T$17="Binary Partner",POWER(Upgrades!$U$17,I289),1)*IF(Upgrades!$T$19="Binary Partner",POWER(Upgrades!$U$19,K289),1)*IF(Upgrades!$T$20="Binary Partner",POWER(Upgrades!$U$20,L289),1)*IF(Upgrades!$T$21="Binary Partner",POWER(Upgrades!$U$21,M289),1))+(IF(K289=0,0,(Upgrades!$J$19+K289*Upgrades!$K$19)*POWER(Upgrades!$L$19,K289)))*(IF(Upgrades!$T$13="Peculiar Velocity",POWER(Upgrades!$U$13,E289),1)*IF(Upgrades!$T$14="Peculiar Velocity",POWER(Upgrades!$U$14,F289),1)*IF(Upgrades!$T$15="Peculiar Velocity",POWER(Upgrades!$U$15,G289),1)*IF(Upgrades!$T$16="Peculiar Velocity",POWER(Upgrades!$U$16,H289),1)*IF(Upgrades!$T$17="Peculiar Velocity",POWER(Upgrades!$U$17,I289),1)*IF(Upgrades!$T$18="Peculiar Velocity",POWER(Upgrades!$U$18,J289),1)*IF(Upgrades!$T$20="Peculiar Velocity",POWER(Upgrades!$U$20,L289),1)*IF(Upgrades!$T$21="Peculiar Velocity",POWER(Upgrades!$U$21,M289),1))+(IF(L289=0,0,(Upgrades!$J$20+L289*Upgrades!$K$20)*POWER(Upgrades!$L$20,L289)))*(IF(Upgrades!$T$13="Open Cluster",POWER(Upgrades!$U$13,E289),1)*IF(Upgrades!$T$14="Open Cluster",POWER(Upgrades!$U$14,F289),1)*IF(Upgrades!$T$15="Open Cluster",POWER(Upgrades!$U$15,G289),1)*IF(Upgrades!$T$16="Open Cluster",POWER(Upgrades!$U$16,H289),1)*IF(Upgrades!$T$17="Open Cluster",POWER(Upgrades!$U$17,I289),1)*IF(Upgrades!$T$18="Open Cluster",POWER(Upgrades!$U$18,J289),1)*IF(Upgrades!$T$19="Open Cluster",POWER(Upgrades!$U$19,K289),1)*IF(Upgrades!$T$21="Open Cluster",POWER(Upgrades!$U$21,M289),1))+(IF(M289=0,0,(Upgrades!$J$21+M289*Upgrades!$K$21)*POWER(Upgrades!$L$21,M289)))*(IF(Upgrades!$T$13="Moving Group",POWER(Upgrades!$U$13,E289),1)*IF(Upgrades!$T$14="Moving Group",POWER(Upgrades!$U$14,F289),1)*IF(Upgrades!$T$15="Moving Group",POWER(Upgrades!$U$15,G289),1)*IF(Upgrades!$T$16="Moving Group",POWER(Upgrades!$U$16,H289),1)*IF(Upgrades!$T$17="Moving Group",POWER(Upgrades!$U$17,I289),1)*IF(Upgrades!$T$18="Moving Group",POWER(Upgrades!$U$18,J289),1)*IF(Upgrades!$T$19="Moving Group",POWER(Upgrades!$U$19,K289),1)*IF(Upgrades!$T$20="Moving Group",POWER(Upgrades!$U$20,L289),1)))*POWER(Upgrades!$Q$13,E289)*POWER(Upgrades!$Q$14,F289)*POWER(Upgrades!$Q$15,G289)*POWER(Upgrades!$Q$16,H289)*POWER(Upgrades!$Q$17,I289)*POWER(Upgrades!$Q$18,J289)*POWER(Upgrades!$Q$19,K289)*POWER(Upgrades!$Q$20,L289)*POWER(Upgrades!$Q$21,M289)*$G$6+$D$6</f>
        <v/>
      </c>
      <c r="P289" s="28">
        <f>((IF(E289=0,0,(Upgrades!$G$13+E289*Upgrades!$H$13)*POWER(Upgrades!$I$13,E289)))*(IF(Upgrades!$T$14="Stellar Kinematics",POWER(Upgrades!$U$14,F289),1)*IF(Upgrades!$T$15="Stellar Kinematics",POWER(Upgrades!$U$15,G289),1)*IF(Upgrades!$T$16="Stellar Kinematics",POWER(Upgrades!$U$16,H289),1)*IF(Upgrades!$T$17="Stellar Kinematics",POWER(Upgrades!$U$17,I289),1)*IF(Upgrades!$T$18="Stellar Kinematics",POWER(Upgrades!$U$18,J289),1)*IF(Upgrades!$T$19="Stellar Kinematics",POWER(Upgrades!$U$19,K289),1)*IF(Upgrades!$T$20="Stellar Kinematics",POWER(Upgrades!$U$20,L289),1)*IF(Upgrades!$T$21="Stellar Kinematics",POWER(Upgrades!$U$21,M289),1))+(IF(F289=0,0,(Upgrades!$G$14+F289*Upgrades!$H$14)*POWER(Upgrades!$I$14,F289)))*(IF(Upgrades!$T$13="Local Bubble",POWER(Upgrades!$U$13,E289),1)*IF(Upgrades!$T$15="Local Bubble",POWER(Upgrades!$U$15,G289),1)*IF(Upgrades!$T$16="Local Bubble",POWER(Upgrades!$U$16,H289),1)*IF(Upgrades!$T$17="Local Bubble",POWER(Upgrades!$U$17,I289),1)*IF(Upgrades!$T$18="Local Bubble",POWER(Upgrades!$U$18,J289),1)*IF(Upgrades!$T$19="Local Bubble",POWER(Upgrades!$U$19,K289),1)*IF(Upgrades!$T$20="Local Bubble",POWER(Upgrades!$U$20,L289),1)*IF(Upgrades!$T$21="Local Bubble",POWER(Upgrades!$U$21,M289),1))+(IF(G289=0,0,(Upgrades!$G$15+G289*Upgrades!$H$15)*POWER(Upgrades!$I$15,G289)))*(IF(Upgrades!$T$13="Microlensing",POWER(Upgrades!$U$13,E289),1)*IF(Upgrades!$T$14="Microlensing",POWER(Upgrades!$U$14,F289),1)*IF(Upgrades!$T$16="Microlensing",POWER(Upgrades!$U$16,H289),1)*IF(Upgrades!$T$17="Microlensing",POWER(Upgrades!$U$17,I289),1)*IF(Upgrades!$T$18="Microlensing",POWER(Upgrades!$U$18,J289),1)*IF(Upgrades!$T$19="Microlensing",POWER(Upgrades!$U$19,K289),1)*IF(Upgrades!$T$20="Microlensing",POWER(Upgrades!$U$20,L289),1)*IF(Upgrades!$T$21="Microlensing",POWER(Upgrades!$U$21,M289),1))+(IF(H289=0,0,(Upgrades!$G$16+H289*Upgrades!$H$16)*POWER(Upgrades!$I$16,H289)))*(IF(Upgrades!$T$13="Roche Lobe Overflow",POWER(Upgrades!$U$13,E289),1)*IF(Upgrades!$T$14="Roche Lobe Overflow",POWER(Upgrades!$U$14,F289),1)*IF(Upgrades!$T$15="Roche Lobe Overflow",POWER(Upgrades!$U$15,G289),1)*IF(Upgrades!$T$17="Roche Lobe Overflow",POWER(Upgrades!$U$17,I289),1)*IF(Upgrades!$T$18="Roche Lobe Overflow",POWER(Upgrades!$U$18,J289),1)*IF(Upgrades!$T$19="Roche Lobe Overflow",POWER(Upgrades!$U$19,K289),1)*IF(Upgrades!$T$20="Roche Lobe Overflow",POWER(Upgrades!$U$20,L289),1)*IF(Upgrades!$T$21="Roche Lobe Overflow",POWER(Upgrades!$U$21,M289),1))+(IF(I289=0,0,(Upgrades!$G$17+I289*Upgrades!$H$17)*POWER(Upgrades!$I$17,I289)))*(IF(Upgrades!$T$13="Brown Dwarf",POWER(Upgrades!$U$13,E289),1)*IF(Upgrades!$T$14="Brown Dwarf",POWER(Upgrades!$U$14,F289),1)*IF(Upgrades!$T$15="Brown Dwarf",POWER(Upgrades!$U$15,G289),1)*IF(Upgrades!$T$16="Brown Dwarf",POWER(Upgrades!$U$16,H289),1)*IF(Upgrades!$T$18="Brown Dwarf",POWER(Upgrades!$U$18,J289),1)*IF(Upgrades!$T$19="Brown Dwarf",POWER(Upgrades!$U$19,K289),1)*IF(Upgrades!$T$20="Brown Dwarf",POWER(Upgrades!$U$20,L289),1)*IF(Upgrades!$T$21="Brown Dwarf",POWER(Upgrades!$U$21,M289),1))+(IF(J289=0,0,(Upgrades!$G$18+J289*Upgrades!$H$18)*POWER(Upgrades!$I$18,J289)))*(IF(Upgrades!$T$13="Binary Partner",POWER(Upgrades!$U$13,E289),1)*IF(Upgrades!$T$14="Binary Partner",POWER(Upgrades!$U$14,F289),1)*IF(Upgrades!$T$15="Binary Partner",POWER(Upgrades!$U$15,G289),1)*IF(Upgrades!$T$16="Binary Partner",POWER(Upgrades!$U$16,H289),1)*IF(Upgrades!$T$17="Binary Partner",POWER(Upgrades!$U$17,I289),1)*IF(Upgrades!$T$19="Binary Partner",POWER(Upgrades!$U$19,K289),1)*IF(Upgrades!$T$20="Binary Partner",POWER(Upgrades!$U$20,L289),1)*IF(Upgrades!$T$21="Binary Partner",POWER(Upgrades!$U$21,M289),1))+(IF(K289=0,0,(Upgrades!$G$19+K289*Upgrades!$H$19)*POWER(Upgrades!$I$19,K289)))*(IF(Upgrades!$T$13="Peculiar Velocity",POWER(Upgrades!$U$13,E289),1)*IF(Upgrades!$T$14="Peculiar Velocity",POWER(Upgrades!$U$14,F289),1)*IF(Upgrades!$T$15="Peculiar Velocity",POWER(Upgrades!$U$15,G289),1)*IF(Upgrades!$T$16="Peculiar Velocity",POWER(Upgrades!$U$16,H289),1)*IF(Upgrades!$T$17="Peculiar Velocity",POWER(Upgrades!$U$17,I289),1)*IF(Upgrades!$T$18="Peculiar Velocity",POWER(Upgrades!$U$18,J289),1)*IF(Upgrades!$T$20="Peculiar Velocity",POWER(Upgrades!$U$20,L289),1)*IF(Upgrades!$T$21="Peculiar Velocity",POWER(Upgrades!$U$21,M289),1))+(IF(L289=0,0,(Upgrades!$G$20+L289*Upgrades!$H$20)*POWER(Upgrades!$I$20,L289)))*(IF(Upgrades!$T$13="Open Cluster",POWER(Upgrades!$U$13,E289),1)*IF(Upgrades!$T$14="Open Cluster",POWER(Upgrades!$U$14,F289),1)*IF(Upgrades!$T$15="Open Cluster",POWER(Upgrades!$U$15,G289),1)*IF(Upgrades!$T$16="Open Cluster",POWER(Upgrades!$U$16,H289),1)*IF(Upgrades!$T$17="Open Cluster",POWER(Upgrades!$U$17,I289),1)*IF(Upgrades!$T$18="Open Cluster",POWER(Upgrades!$U$18,J289),1)*IF(Upgrades!$T$19="Open Cluster",POWER(Upgrades!$U$19,K289),1)*IF(Upgrades!$T$21="Open Cluster",POWER(Upgrades!$U$21,M289),1))+(IF(M289=0,0,(Upgrades!$G$21+M289*Upgrades!$H$21)*POWER(Upgrades!$I$21,M289)))*(IF(Upgrades!$T$13="Moving Group",POWER(Upgrades!$U$13,E289),1)*IF(Upgrades!$T$14="Moving Group",POWER(Upgrades!$U$14,F289),1)*IF(Upgrades!$T$15="Moving Group",POWER(Upgrades!$U$15,G289),1)*IF(Upgrades!$T$16="Moving Group",POWER(Upgrades!$U$16,H289),1)*IF(Upgrades!$T$17="Moving Group",POWER(Upgrades!$U$17,I289),1)*IF(Upgrades!$T$18="Moving Group",POWER(Upgrades!$U$18,J289),1)*IF(Upgrades!$T$19="Moving Group",POWER(Upgrades!$U$19,K289),1)*IF(Upgrades!$T$20="Moving Group",POWER(Upgrades!$U$20,L289),1)))*POWER(Upgrades!$P$13,E289)*POWER(Upgrades!$P$14,F289)*POWER(Upgrades!$P$15,G289)*POWER(Upgrades!$P$16,H289)*POWER(Upgrades!$P$17,I289)*POWER(Upgrades!$P$18,J289)*POWER(Upgrades!$P$19,K289)*POWER(Upgrades!$P$20,L289)*POWER(Upgrades!$P$21,M289)*$F$6+$C$6</f>
        <v/>
      </c>
      <c r="Q289" s="28">
        <f>((IF(E289=0,0,(Upgrades!$M$13+E289*Upgrades!$N$13)*POWER(Upgrades!$O$13,E289)))*(IF(Upgrades!$T$14="Stellar Kinematics",POWER(Upgrades!$U$14,F289),1)*IF(Upgrades!$T$15="Stellar Kinematics",POWER(Upgrades!$U$15,G289),1)*IF(Upgrades!$T$16="Stellar Kinematics",POWER(Upgrades!$U$16,H289),1)*IF(Upgrades!$T$17="Stellar Kinematics",POWER(Upgrades!$U$17,I289),1)*IF(Upgrades!$T$18="Stellar Kinematics",POWER(Upgrades!$U$18,J289),1)*IF(Upgrades!$T$19="Stellar Kinematics",POWER(Upgrades!$U$19,K289),1)*IF(Upgrades!$T$20="Stellar Kinematics",POWER(Upgrades!$U$20,L289),1)*IF(Upgrades!$T$21="Stellar Kinematics",POWER(Upgrades!$U$21,M289),1))+(IF(F289=0,0,(Upgrades!$M$14+F289*Upgrades!$N$14)*POWER(Upgrades!$O$14,F289)))*(IF(Upgrades!$T$13="Local Bubble",POWER(Upgrades!$U$13,E289),1)*IF(Upgrades!$T$15="Local Bubble",POWER(Upgrades!$U$15,G289),1)*IF(Upgrades!$T$16="Local Bubble",POWER(Upgrades!$U$16,H289),1)*IF(Upgrades!$T$17="Local Bubble",POWER(Upgrades!$U$17,I289),1)*IF(Upgrades!$T$18="Local Bubble",POWER(Upgrades!$U$18,J289),1)*IF(Upgrades!$T$19="Local Bubble",POWER(Upgrades!$U$19,K289),1)*IF(Upgrades!$T$20="Local Bubble",POWER(Upgrades!$U$20,L289),1)*IF(Upgrades!$T$21="Local Bubble",POWER(Upgrades!$U$21,M289),1))+(IF(G289=0,0,(Upgrades!$M$15+G289*Upgrades!$N$15)*POWER(Upgrades!$O$15,G289)))*(IF(Upgrades!$T$13="Microlensing",POWER(Upgrades!$U$13,E289),1)*IF(Upgrades!$T$14="Microlensing",POWER(Upgrades!$U$14,F289),1)*IF(Upgrades!$T$16="Microlensing",POWER(Upgrades!$U$16,H289),1)*IF(Upgrades!$T$17="Microlensing",POWER(Upgrades!$U$17,I289),1)*IF(Upgrades!$T$18="Microlensing",POWER(Upgrades!$U$18,J289),1)*IF(Upgrades!$T$19="Microlensing",POWER(Upgrades!$U$19,K289),1)*IF(Upgrades!$T$20="Microlensing",POWER(Upgrades!$U$20,L289),1)*IF(Upgrades!$T$21="Microlensing",POWER(Upgrades!$U$21,M289),1))+(IF(H289=0,0,(Upgrades!$M$16+H289*Upgrades!$N$16)*POWER(Upgrades!$O$16,H289)))*(IF(Upgrades!$T$13="Roche Lobe Overflow",POWER(Upgrades!$U$13,E289),1)*IF(Upgrades!$T$14="Roche Lobe Overflow",POWER(Upgrades!$U$14,F289),1)*IF(Upgrades!$T$15="Roche Lobe Overflow",POWER(Upgrades!$U$15,G289),1)*IF(Upgrades!$T$17="Roche Lobe Overflow",POWER(Upgrades!$U$17,I289),1)*IF(Upgrades!$T$18="Roche Lobe Overflow",POWER(Upgrades!$U$18,J289),1)*IF(Upgrades!$T$19="Roche Lobe Overflow",POWER(Upgrades!$U$19,K289),1)*IF(Upgrades!$T$20="Roche Lobe Overflow",POWER(Upgrades!$U$20,L289),1)*IF(Upgrades!$T$21="Roche Lobe Overflow",POWER(Upgrades!$U$21,M289),1))+(IF(I289=0,0,(Upgrades!$M$17+I289*Upgrades!$N$17)*POWER(Upgrades!$O$17,I289)))*(IF(Upgrades!$T$13="Brown Dwarf",POWER(Upgrades!$U$13,E289),1)*IF(Upgrades!$T$14="Brown Dwarf",POWER(Upgrades!$U$14,F289),1)*IF(Upgrades!$T$15="Brown Dwarf",POWER(Upgrades!$U$15,G289),1)*IF(Upgrades!$T$16="Brown Dwarf",POWER(Upgrades!$U$16,H289),1)*IF(Upgrades!$T$18="Brown Dwarf",POWER(Upgrades!$U$18,J289),1)*IF(Upgrades!$T$19="Brown Dwarf",POWER(Upgrades!$U$19,K289),1)*IF(Upgrades!$T$20="Brown Dwarf",POWER(Upgrades!$U$20,L289),1)*IF(Upgrades!$T$21="Brown Dwarf",POWER(Upgrades!$U$21,M289),1))+(IF(J289=0,0,(Upgrades!$M$18+J289*Upgrades!$N$18)*POWER(Upgrades!$O$18,J289)))*(IF(Upgrades!$T$13="Binary Partner",POWER(Upgrades!$U$13,E289),1)*IF(Upgrades!$T$14="Binary Partner",POWER(Upgrades!$U$14,F289),1)*IF(Upgrades!$T$15="Binary Partner",POWER(Upgrades!$U$15,G289),1)*IF(Upgrades!$T$16="Binary Partner",POWER(Upgrades!$U$16,H289),1)*IF(Upgrades!$T$17="Binary Partner",POWER(Upgrades!$U$17,I289),1)*IF(Upgrades!$T$19="Binary Partner",POWER(Upgrades!$U$19,K289),1)*IF(Upgrades!$T$20="Binary Partner",POWER(Upgrades!$U$20,L289),1)*IF(Upgrades!$T$21="Binary Partner",POWER(Upgrades!$U$21,M289),1))+(IF(K289=0,0,(Upgrades!$M$19+K289*Upgrades!$N$19)*POWER(Upgrades!$O$19,K289)))*(IF(Upgrades!$T$13="Peculiar Velocity",POWER(Upgrades!$U$13,E289),1)*IF(Upgrades!$T$14="Peculiar Velocity",POWER(Upgrades!$U$14,F289),1)*IF(Upgrades!$T$15="Peculiar Velocity",POWER(Upgrades!$U$15,G289),1)*IF(Upgrades!$T$16="Peculiar Velocity",POWER(Upgrades!$U$16,H289),1)*IF(Upgrades!$T$17="Peculiar Velocity",POWER(Upgrades!$U$17,I289),1)*IF(Upgrades!$T$18="Peculiar Velocity",POWER(Upgrades!$U$18,J289),1)*IF(Upgrades!$T$20="Peculiar Velocity",POWER(Upgrades!$U$20,L289),1)*IF(Upgrades!$T$21="Peculiar Velocity",POWER(Upgrades!$U$21,M289),1))+(IF(L289=0,0,(Upgrades!$M$20+L289*Upgrades!$N$20)*POWER(Upgrades!$O$20,L289)))*(IF(Upgrades!$T$13="Open Cluster",POWER(Upgrades!$U$13,E289),1)*IF(Upgrades!$T$14="Open Cluster",POWER(Upgrades!$U$14,F289),1)*IF(Upgrades!$T$15="Open Cluster",POWER(Upgrades!$U$15,G289),1)*IF(Upgrades!$T$16="Open Cluster",POWER(Upgrades!$U$16,H289),1)*IF(Upgrades!$T$17="Open Cluster",POWER(Upgrades!$U$17,I289),1)*IF(Upgrades!$T$18="Open Cluster",POWER(Upgrades!$U$18,J289),1)*IF(Upgrades!$T$19="Open Cluster",POWER(Upgrades!$U$19,K289),1)*IF(Upgrades!$T$21="Open Cluster",POWER(Upgrades!$U$21,M289),1))+(IF(M289=0,0,(Upgrades!$M$21+M289*Upgrades!$N$21)*POWER(Upgrades!$O$21,M289)))*(IF(Upgrades!$T$13="Moving Group",POWER(Upgrades!$U$13,E289),1)*IF(Upgrades!$T$14="Moving Group",POWER(Upgrades!$U$14,F289),1)*IF(Upgrades!$T$15="Moving Group",POWER(Upgrades!$U$15,G289),1)*IF(Upgrades!$T$16="Moving Group",POWER(Upgrades!$U$16,H289),1)*IF(Upgrades!$T$17="Moving Group",POWER(Upgrades!$U$17,I289),1)*IF(Upgrades!$T$18="Moving Group",POWER(Upgrades!$U$18,J289),1)*IF(Upgrades!$T$19="Moving Group",POWER(Upgrades!$U$19,K289),1)*IF(Upgrades!$T$20="Moving Group",POWER(Upgrades!$U$20,L289),1)))*POWER(Upgrades!$R$13,E289)*POWER(Upgrades!$R$14,F289)*POWER(Upgrades!$R$15,G289)*POWER(Upgrades!$R$16,H289)*POWER(Upgrades!$R$17,I289)*POWER(Upgrades!$R$18,J289)*POWER(Upgrades!$R$19,K289)*POWER(Upgrades!$R$20,L289)*POWER(Upgrades!$R$21,M289)*$H$6+$E$6</f>
        <v/>
      </c>
      <c r="R289" s="27">
        <f>IF(N289=1,0,O289*Parameters!$B$10/60*Parameters!$B$11*10)</f>
        <v/>
      </c>
      <c r="S289" s="27">
        <f>IF(N289=1,0,Q289*O289*10)</f>
        <v/>
      </c>
      <c r="T289" s="27">
        <f>IF(N289=1,0,R289+S289+P289*10)</f>
        <v/>
      </c>
      <c r="U289" s="33">
        <f>BE289</f>
        <v/>
      </c>
      <c r="V289" s="22">
        <f>IF(U289="",0,IF(U289="transition",0,IF(U289="SK",AK289,IF(U289="LB",AL289,IF(U289="ML",AM289,IF(U289="RLO",AN289,IF(U289="BD",AO289,IF(U289="BiP",AP289,IF(U289="PV",AQ289,IF(U289="OC",AR289,IF(U289="MG",AS289,0))))))))))</f>
        <v/>
      </c>
      <c r="W289" s="27">
        <f>IF(U289="BiP",Upgrades!$F$18,IF(U289="PV",Upgrades!$F$19,IF(U289="OC",Upgrades!$F$20,IF(U289="MG",Upgrades!$F$21,IF(U289="transition",-Parameters!$B$18*Parameters!$B$19,0)))))</f>
        <v/>
      </c>
      <c r="X289" s="22">
        <f>C289+T289-V289</f>
        <v/>
      </c>
      <c r="Y289" s="30">
        <f>O289*Parameters!$B$10/60*Parameters!$B$11+Q289*O289+P289</f>
        <v/>
      </c>
      <c r="Z289" s="34">
        <f>IF(U289="transition","→ Tier 3 (Galactic Arm)",IF(U289="MG","Moving Group — pocket drifts together",IF(U289="OC","Open Cluster acquired",IF(U289="PV","Peculiar Velocity — passive multiplier active",IF(U289="BiP","Binary Partner — pair bond formed",IF(AND(AU289=1,N289=0,AT289&lt;&gt;1),"Cohesion ready (waiting on completionists)","")))))) </f>
        <v/>
      </c>
      <c r="AA289" s="27">
        <f>(IF(E289=0,0,(Upgrades!$G$13+E289*Upgrades!$H$13)*POWER(Upgrades!$I$13,E289)))*(IF(Upgrades!$T$14="Stellar Kinematics",POWER(Upgrades!$U$14,F289),1)*IF(Upgrades!$T$15="Stellar Kinematics",POWER(Upgrades!$U$15,G289),1)*IF(Upgrades!$T$16="Stellar Kinematics",POWER(Upgrades!$U$16,H289),1)*IF(Upgrades!$T$17="Stellar Kinematics",POWER(Upgrades!$U$17,I289),1)*IF(Upgrades!$T$18="Stellar Kinematics",POWER(Upgrades!$U$18,J289),1)*IF(Upgrades!$T$19="Stellar Kinematics",POWER(Upgrades!$U$19,K289),1)*IF(Upgrades!$T$20="Stellar Kinematics",POWER(Upgrades!$U$20,L289),1)*IF(Upgrades!$T$21="Stellar Kinematics",POWER(Upgrades!$U$21,M289),1))*POWER(Upgrades!$P$13,E289)*POWER(Upgrades!$P$14,F289)*POWER(Upgrades!$P$15,G289)*POWER(Upgrades!$P$16,H289)*POWER(Upgrades!$P$17,I289)*POWER(Upgrades!$P$18,J289)*POWER(Upgrades!$P$19,K289)*POWER(Upgrades!$P$20,L289)*POWER(Upgrades!$P$21,M289)*$F$6*60</f>
        <v/>
      </c>
      <c r="AB289" s="27">
        <f>(IF(F289=0,0,(Upgrades!$G$14+F289*Upgrades!$H$14)*POWER(Upgrades!$I$14,F289)))*(IF(Upgrades!$T$13="Local Bubble",POWER(Upgrades!$U$13,E289),1)*IF(Upgrades!$T$15="Local Bubble",POWER(Upgrades!$U$15,G289),1)*IF(Upgrades!$T$16="Local Bubble",POWER(Upgrades!$U$16,H289),1)*IF(Upgrades!$T$17="Local Bubble",POWER(Upgrades!$U$17,I289),1)*IF(Upgrades!$T$18="Local Bubble",POWER(Upgrades!$U$18,J289),1)*IF(Upgrades!$T$19="Local Bubble",POWER(Upgrades!$U$19,K289),1)*IF(Upgrades!$T$20="Local Bubble",POWER(Upgrades!$U$20,L289),1)*IF(Upgrades!$T$21="Local Bubble",POWER(Upgrades!$U$21,M289),1))*POWER(Upgrades!$P$13,E289)*POWER(Upgrades!$P$14,F289)*POWER(Upgrades!$P$15,G289)*POWER(Upgrades!$P$16,H289)*POWER(Upgrades!$P$17,I289)*POWER(Upgrades!$P$18,J289)*POWER(Upgrades!$P$19,K289)*POWER(Upgrades!$P$20,L289)*POWER(Upgrades!$P$21,M289)*$F$6*60</f>
        <v/>
      </c>
      <c r="AC289" s="27">
        <f>(IF(G289=0,0,(Upgrades!$J$15+G289*Upgrades!$K$15)*POWER(Upgrades!$L$15,G289)))*(IF(Upgrades!$T$13="Microlensing",POWER(Upgrades!$U$13,E289),1)*IF(Upgrades!$T$14="Microlensing",POWER(Upgrades!$U$14,F289),1)*IF(Upgrades!$T$16="Microlensing",POWER(Upgrades!$U$16,H289),1)*IF(Upgrades!$T$17="Microlensing",POWER(Upgrades!$U$17,I289),1)*IF(Upgrades!$T$18="Microlensing",POWER(Upgrades!$U$18,J289),1)*IF(Upgrades!$T$19="Microlensing",POWER(Upgrades!$U$19,K289),1)*IF(Upgrades!$T$20="Microlensing",POWER(Upgrades!$U$20,L289),1)*IF(Upgrades!$T$21="Microlensing",POWER(Upgrades!$U$21,M289),1))*POWER(Upgrades!$Q$13,E289)*POWER(Upgrades!$Q$14,F289)*POWER(Upgrades!$Q$15,G289)*POWER(Upgrades!$Q$16,H289)*POWER(Upgrades!$Q$17,I289)*POWER(Upgrades!$Q$18,J289)*POWER(Upgrades!$Q$19,K289)*POWER(Upgrades!$Q$20,L289)*POWER(Upgrades!$Q$21,M289)*$G$6*(Parameters!$B$10*Parameters!$B$11+Q289*60)</f>
        <v/>
      </c>
      <c r="AD289" s="27">
        <f>(IF(H289=0,0,(Upgrades!$M$16+H289*Upgrades!$N$16)*POWER(Upgrades!$O$16,H289)))*(IF(Upgrades!$T$13="Roche Lobe Overflow",POWER(Upgrades!$U$13,E289),1)*IF(Upgrades!$T$14="Roche Lobe Overflow",POWER(Upgrades!$U$14,F289),1)*IF(Upgrades!$T$15="Roche Lobe Overflow",POWER(Upgrades!$U$15,G289),1)*IF(Upgrades!$T$17="Roche Lobe Overflow",POWER(Upgrades!$U$17,I289),1)*IF(Upgrades!$T$18="Roche Lobe Overflow",POWER(Upgrades!$U$18,J289),1)*IF(Upgrades!$T$19="Roche Lobe Overflow",POWER(Upgrades!$U$19,K289),1)*IF(Upgrades!$T$20="Roche Lobe Overflow",POWER(Upgrades!$U$20,L289),1)*IF(Upgrades!$T$21="Roche Lobe Overflow",POWER(Upgrades!$U$21,M289),1))*POWER(Upgrades!$R$13,E289)*POWER(Upgrades!$R$14,F289)*POWER(Upgrades!$R$15,G289)*POWER(Upgrades!$R$16,H289)*POWER(Upgrades!$R$17,I289)*POWER(Upgrades!$R$18,J289)*POWER(Upgrades!$R$19,K289)*POWER(Upgrades!$R$20,L289)*POWER(Upgrades!$R$21,M289)*$H$6*O289*60</f>
        <v/>
      </c>
      <c r="AE289" s="27">
        <f>(IF(I289=0,0,(Upgrades!$G$17+I289*Upgrades!$H$17)*POWER(Upgrades!$I$17,I289)))*(IF(Upgrades!$T$13="Brown Dwarf",POWER(Upgrades!$U$13,E289),1)*IF(Upgrades!$T$14="Brown Dwarf",POWER(Upgrades!$U$14,F289),1)*IF(Upgrades!$T$15="Brown Dwarf",POWER(Upgrades!$U$15,G289),1)*IF(Upgrades!$T$16="Brown Dwarf",POWER(Upgrades!$U$16,H289),1)*IF(Upgrades!$T$18="Brown Dwarf",POWER(Upgrades!$U$18,J289),1)*IF(Upgrades!$T$19="Brown Dwarf",POWER(Upgrades!$U$19,K289),1)*IF(Upgrades!$T$20="Brown Dwarf",POWER(Upgrades!$U$20,L289),1)*IF(Upgrades!$T$21="Brown Dwarf",POWER(Upgrades!$U$21,M289),1))*POWER(Upgrades!$P$13,E289)*POWER(Upgrades!$P$14,F289)*POWER(Upgrades!$P$15,G289)*POWER(Upgrades!$P$16,H289)*POWER(Upgrades!$P$17,I289)*POWER(Upgrades!$P$18,J289)*POWER(Upgrades!$P$19,K289)*POWER(Upgrades!$P$20,L289)*POWER(Upgrades!$P$21,M289)*$F$6*60</f>
        <v/>
      </c>
      <c r="AF289" s="27" t="n">
        <v>0</v>
      </c>
      <c r="AG289" s="27" t="n">
        <v>0</v>
      </c>
      <c r="AH289" s="27" t="n">
        <v>0</v>
      </c>
      <c r="AI289" s="27">
        <f>(IF(M289=0,0,(Upgrades!$G$21+M289*Upgrades!$H$21)*POWER(Upgrades!$I$21,M289)))*(IF(Upgrades!$T$13="Moving Group",POWER(Upgrades!$U$13,E289),1)*IF(Upgrades!$T$14="Moving Group",POWER(Upgrades!$U$14,F289),1)*IF(Upgrades!$T$15="Moving Group",POWER(Upgrades!$U$15,G289),1)*IF(Upgrades!$T$16="Moving Group",POWER(Upgrades!$U$16,H289),1)*IF(Upgrades!$T$17="Moving Group",POWER(Upgrades!$U$17,I289),1)*IF(Upgrades!$T$18="Moving Group",POWER(Upgrades!$U$18,J289),1)*IF(Upgrades!$T$19="Moving Group",POWER(Upgrades!$U$19,K289),1)*IF(Upgrades!$T$20="Moving Group",POWER(Upgrades!$U$20,L289),1))*POWER(Upgrades!$P$13,E289)*POWER(Upgrades!$P$14,F289)*POWER(Upgrades!$P$15,G289)*POWER(Upgrades!$P$16,H289)*POWER(Upgrades!$P$17,I289)*POWER(Upgrades!$P$18,J289)*POWER(Upgrades!$P$19,K289)*POWER(Upgrades!$P$20,L289)*POWER(Upgrades!$P$21,M289)*$F$6*60</f>
        <v/>
      </c>
      <c r="AJ289" s="27">
        <f>$C$6*60</f>
        <v/>
      </c>
      <c r="AK289" s="22">
        <f>IF(E289&gt;=Upgrades!$E$13,"",Upgrades!$C$13*POWER(Upgrades!$D$13,E289))</f>
        <v/>
      </c>
      <c r="AL289" s="22">
        <f>IF(F289&gt;=Upgrades!$E$14,"",Upgrades!$C$14*POWER(Upgrades!$D$14,F289))</f>
        <v/>
      </c>
      <c r="AM289" s="22">
        <f>IF(G289&gt;=Upgrades!$E$15,"",Upgrades!$C$15*POWER(Upgrades!$D$15,G289))</f>
        <v/>
      </c>
      <c r="AN289" s="22">
        <f>IF(H289&gt;=Upgrades!$E$16,"",Upgrades!$C$16*POWER(Upgrades!$D$16,H289))</f>
        <v/>
      </c>
      <c r="AO289" s="22">
        <f>IF(I289&gt;=Upgrades!$E$17,"",Upgrades!$C$17*POWER(Upgrades!$D$17,I289))</f>
        <v/>
      </c>
      <c r="AP289" s="22">
        <f>IF(J289&gt;=Upgrades!$E$18,"",Upgrades!$C$18*POWER(Upgrades!$D$18,J289))</f>
        <v/>
      </c>
      <c r="AQ289" s="22">
        <f>IF(K289&gt;=Upgrades!$E$19,"",Upgrades!$C$19*POWER(Upgrades!$D$19,K289))</f>
        <v/>
      </c>
      <c r="AR289" s="22">
        <f>IF(L289&gt;=Upgrades!$E$20,"",Upgrades!$C$20*POWER(Upgrades!$D$20,L289))</f>
        <v/>
      </c>
      <c r="AS289" s="22">
        <f>IF(M289&gt;=Upgrades!$E$21,"",Upgrades!$C$21*POWER(Upgrades!$D$21,M289))</f>
        <v/>
      </c>
      <c r="AT289" s="26">
        <f>IF(AND(D289&gt;=Parameters!$B$18*Parameters!$B$19,(I289&gt;=Upgrades!$E$17)*(M289&gt;=Upgrades!$E$21)=1,N289=0),1,"")</f>
        <v/>
      </c>
      <c r="AU289" s="26">
        <f>IF(AND(D289&gt;=Parameters!$B$18*Parameters!$B$19,N289=0),1,"")</f>
        <v/>
      </c>
      <c r="AV289" s="22">
        <f>MIN(IF(ISNUMBER(AP289),AP289,9E15),IF(ISNUMBER(AQ289),AQ289,9E15),IF(ISNUMBER(AR289),AR289,9E15),IF(ISNUMBER(AS289),AS289,9E15))</f>
        <v/>
      </c>
      <c r="AW289" s="22">
        <f>MIN(IF(ISNUMBER(AK289),AK289,9E15),IF(ISNUMBER(AL289),AL289,9E15),IF(ISNUMBER(AM289),AM289,9E15),IF(ISNUMBER(AN289),AN289,9E15),IF(ISNUMBER(AO289),AO289,9E15))</f>
        <v/>
      </c>
      <c r="AX289" s="29">
        <f>IF(BD289&gt;Parameters!$B$21*(MAX(IF(AND(NOT(AND(AU289=1,AT289&lt;&gt;1)),ISNUMBER(AK289),AK289&lt;=(C289+T289)),AY289,0),IF(AND(NOT(AND(AU289=1,AT289&lt;&gt;1)),ISNUMBER(AL289),AL289&lt;=(C289+T289)),AZ289,0),IF(AND(NOT(AND(AU289=1,AT289&lt;&gt;1)),ISNUMBER(AM289),AM289&lt;=(C289+T289)),BA289,0),IF(AND(NOT(AND(AU289=1,AT289&lt;&gt;1)),ISNUMBER(AN289),AN289&lt;=(C289+T289)),BB289,0),IF(AND(ISNUMBER(AO289),AO289&lt;=(C289+T289)),BC289,0))),TRUE,FALSE)</f>
        <v/>
      </c>
      <c r="AY289" s="32">
        <f>IFERROR(Upgrades!$H$13*(POWER(Upgrades!$P$13,E289)*POWER(Upgrades!$P$14,F289)*POWER(Upgrades!$P$15,G289)*POWER(Upgrades!$P$16,H289)*POWER(Upgrades!$P$17,I289)*POWER(Upgrades!$P$18,J289)*POWER(Upgrades!$P$19,K289)*POWER(Upgrades!$P$20,L289)*POWER(Upgrades!$P$21,M289))*(IF(Upgrades!$T$14="Stellar Kinematics",POWER(Upgrades!$U$14,F289),1)*IF(Upgrades!$T$15="Stellar Kinematics",POWER(Upgrades!$U$15,G289),1)*IF(Upgrades!$T$16="Stellar Kinematics",POWER(Upgrades!$U$16,H289),1)*IF(Upgrades!$T$17="Stellar Kinematics",POWER(Upgrades!$U$17,I289),1)*IF(Upgrades!$T$18="Stellar Kinematics",POWER(Upgrades!$U$18,J289),1)*IF(Upgrades!$T$19="Stellar Kinematics",POWER(Upgrades!$U$19,K289),1)*IF(Upgrades!$T$20="Stellar Kinematics",POWER(Upgrades!$U$20,L289),1)*IF(Upgrades!$T$21="Stellar Kinematics",POWER(Upgrades!$U$21,M289),1))*$F$6/AK289,0)</f>
        <v/>
      </c>
      <c r="AZ289" s="32">
        <f>IFERROR(Upgrades!$H$14*(POWER(Upgrades!$P$13,E289)*POWER(Upgrades!$P$14,F289)*POWER(Upgrades!$P$15,G289)*POWER(Upgrades!$P$16,H289)*POWER(Upgrades!$P$17,I289)*POWER(Upgrades!$P$18,J289)*POWER(Upgrades!$P$19,K289)*POWER(Upgrades!$P$20,L289)*POWER(Upgrades!$P$21,M289))*(IF(Upgrades!$T$13="Local Bubble",POWER(Upgrades!$U$13,E289),1)*IF(Upgrades!$T$15="Local Bubble",POWER(Upgrades!$U$15,G289),1)*IF(Upgrades!$T$16="Local Bubble",POWER(Upgrades!$U$16,H289),1)*IF(Upgrades!$T$17="Local Bubble",POWER(Upgrades!$U$17,I289),1)*IF(Upgrades!$T$18="Local Bubble",POWER(Upgrades!$U$18,J289),1)*IF(Upgrades!$T$19="Local Bubble",POWER(Upgrades!$U$19,K289),1)*IF(Upgrades!$T$20="Local Bubble",POWER(Upgrades!$U$20,L289),1)*IF(Upgrades!$T$21="Local Bubble",POWER(Upgrades!$U$21,M289),1))*$F$6/AL289,0)</f>
        <v/>
      </c>
      <c r="BA289" s="32">
        <f>IFERROR(Upgrades!$K$15*(POWER(Upgrades!$Q$13,E289)*POWER(Upgrades!$Q$14,F289)*POWER(Upgrades!$Q$15,G289)*POWER(Upgrades!$Q$16,H289)*POWER(Upgrades!$Q$17,I289)*POWER(Upgrades!$Q$18,J289)*POWER(Upgrades!$Q$19,K289)*POWER(Upgrades!$Q$20,L289)*POWER(Upgrades!$Q$21,M289))*(IF(Upgrades!$T$13="Microlensing",POWER(Upgrades!$U$13,E289),1)*IF(Upgrades!$T$14="Microlensing",POWER(Upgrades!$U$14,F289),1)*IF(Upgrades!$T$16="Microlensing",POWER(Upgrades!$U$16,H289),1)*IF(Upgrades!$T$17="Microlensing",POWER(Upgrades!$U$17,I289),1)*IF(Upgrades!$T$18="Microlensing",POWER(Upgrades!$U$18,J289),1)*IF(Upgrades!$T$19="Microlensing",POWER(Upgrades!$U$19,K289),1)*IF(Upgrades!$T$20="Microlensing",POWER(Upgrades!$U$20,L289),1)*IF(Upgrades!$T$21="Microlensing",POWER(Upgrades!$U$21,M289),1))*$G$6*(Parameters!$B$10/60*Parameters!$B$11+Q289)/AM289,0)</f>
        <v/>
      </c>
      <c r="BB289" s="32">
        <f>IFERROR((Upgrades!$N$16*(POWER(Upgrades!$R$13,E289)*POWER(Upgrades!$R$14,F289)*POWER(Upgrades!$R$15,G289)*POWER(Upgrades!$R$16,H289)*POWER(Upgrades!$R$17,I289)*POWER(Upgrades!$R$18,J289)*POWER(Upgrades!$R$19,K289)*POWER(Upgrades!$R$20,L289)*POWER(Upgrades!$R$21,M289))*(IF(Upgrades!$T$13="Roche Lobe Overflow",POWER(Upgrades!$U$13,E289),1)*IF(Upgrades!$T$14="Roche Lobe Overflow",POWER(Upgrades!$U$14,F289),1)*IF(Upgrades!$T$15="Roche Lobe Overflow",POWER(Upgrades!$U$15,G289),1)*IF(Upgrades!$T$17="Roche Lobe Overflow",POWER(Upgrades!$U$17,I289),1)*IF(Upgrades!$T$18="Roche Lobe Overflow",POWER(Upgrades!$U$18,J289),1)*IF(Upgrades!$T$19="Roche Lobe Overflow",POWER(Upgrades!$U$19,K289),1)*IF(Upgrades!$T$20="Roche Lobe Overflow",POWER(Upgrades!$U$20,L289),1)*IF(Upgrades!$T$21="Roche Lobe Overflow",POWER(Upgrades!$U$21,M289),1))*$H$6*O289+((IF(F289=0,0,(Upgrades!$G$14+F289*Upgrades!$H$14)*POWER(Upgrades!$I$14,F289)))*(IF(Upgrades!$T$13="Local Bubble",POWER(Upgrades!$U$13,E289),1)*IF(Upgrades!$T$15="Local Bubble",POWER(Upgrades!$U$15,G289),1)*IF(Upgrades!$T$16="Local Bubble",POWER(Upgrades!$U$16,H289),1)*IF(Upgrades!$T$17="Local Bubble",POWER(Upgrades!$U$17,I289),1)*IF(Upgrades!$T$18="Local Bubble",POWER(Upgrades!$U$18,J289),1)*IF(Upgrades!$T$19="Local Bubble",POWER(Upgrades!$U$19,K289),1)*IF(Upgrades!$T$20="Local Bubble",POWER(Upgrades!$U$20,L289),1)*IF(Upgrades!$T$21="Local Bubble",POWER(Upgrades!$U$21,M289),1))*POWER(Upgrades!$P$13,E289)*POWER(Upgrades!$P$14,F289)*POWER(Upgrades!$P$15,G289)*POWER(Upgrades!$P$16,H289)*POWER(Upgrades!$P$17,I289)*POWER(Upgrades!$P$18,J289)*POWER(Upgrades!$P$19,K289)*POWER(Upgrades!$P$20,L289)*POWER(Upgrades!$P$21,M289)*$F$6)*0.05)/AN289,0)</f>
        <v/>
      </c>
      <c r="BC289" s="32">
        <f>IFERROR((Upgrades!$H$17*(POWER(Upgrades!$P$13,E289)*POWER(Upgrades!$P$14,F289)*POWER(Upgrades!$P$15,G289)*POWER(Upgrades!$P$16,H289)*POWER(Upgrades!$P$17,I289)*POWER(Upgrades!$P$18,J289)*POWER(Upgrades!$P$19,K289)*POWER(Upgrades!$P$20,L289)*POWER(Upgrades!$P$21,M289))*(IF(Upgrades!$T$13="Brown Dwarf",POWER(Upgrades!$U$13,E289),1)*IF(Upgrades!$T$14="Brown Dwarf",POWER(Upgrades!$U$14,F289),1)*IF(Upgrades!$T$15="Brown Dwarf",POWER(Upgrades!$U$15,G289),1)*IF(Upgrades!$T$16="Brown Dwarf",POWER(Upgrades!$U$16,H289),1)*IF(Upgrades!$T$18="Brown Dwarf",POWER(Upgrades!$U$18,J289),1)*IF(Upgrades!$T$19="Brown Dwarf",POWER(Upgrades!$U$19,K289),1)*IF(Upgrades!$T$20="Brown Dwarf",POWER(Upgrades!$U$20,L289),1)*IF(Upgrades!$T$21="Brown Dwarf",POWER(Upgrades!$U$21,M289),1))*$F$6+(((IF(H289=0,0,(Upgrades!$M$16+H289*Upgrades!$N$16)*POWER(Upgrades!$O$16,H289)))*(IF(Upgrades!$T$13="Roche Lobe Overflow",POWER(Upgrades!$U$13,E289),1)*IF(Upgrades!$T$14="Roche Lobe Overflow",POWER(Upgrades!$U$14,F289),1)*IF(Upgrades!$T$15="Roche Lobe Overflow",POWER(Upgrades!$U$15,G289),1)*IF(Upgrades!$T$17="Roche Lobe Overflow",POWER(Upgrades!$U$17,I289),1)*IF(Upgrades!$T$18="Roche Lobe Overflow",POWER(Upgrades!$U$18,J289),1)*IF(Upgrades!$T$19="Roche Lobe Overflow",POWER(Upgrades!$U$19,K289),1)*IF(Upgrades!$T$20="Roche Lobe Overflow",POWER(Upgrades!$U$20,L289),1)*IF(Upgrades!$T$21="Roche Lobe Overflow",POWER(Upgrades!$U$21,M289),1))*POWER(Upgrades!$R$13,E289)*POWER(Upgrades!$R$14,F289)*POWER(Upgrades!$R$15,G289)*POWER(Upgrades!$R$16,H289)*POWER(Upgrades!$R$17,I289)*POWER(Upgrades!$R$18,J289)*POWER(Upgrades!$R$19,K289)*POWER(Upgrades!$R$20,L289)*POWER(Upgrades!$R$21,M289)*$H$6)*O289)*0.10)/AO289,0)</f>
        <v/>
      </c>
      <c r="BD289" s="32">
        <f>MAX(IF(J289&gt;0,0,IFERROR(0.5*((IF(G289=0,0,(Upgrades!$J$15+G289*Upgrades!$K$15)*POWER(Upgrades!$L$15,G289)))*(IF(Upgrades!$T$13="Microlensing",POWER(Upgrades!$U$13,E289),1)*IF(Upgrades!$T$14="Microlensing",POWER(Upgrades!$U$14,F289),1)*IF(Upgrades!$T$16="Microlensing",POWER(Upgrades!$U$16,H289),1)*IF(Upgrades!$T$17="Microlensing",POWER(Upgrades!$U$17,I289),1)*IF(Upgrades!$T$18="Microlensing",POWER(Upgrades!$U$18,J289),1)*IF(Upgrades!$T$19="Microlensing",POWER(Upgrades!$U$19,K289),1)*IF(Upgrades!$T$20="Microlensing",POWER(Upgrades!$U$20,L289),1)*IF(Upgrades!$T$21="Microlensing",POWER(Upgrades!$U$21,M289),1))*(POWER(Upgrades!$Q$13,E289)*POWER(Upgrades!$Q$14,F289)*POWER(Upgrades!$Q$15,G289)*POWER(Upgrades!$Q$16,H289)*POWER(Upgrades!$Q$17,I289)*POWER(Upgrades!$Q$18,J289)*POWER(Upgrades!$Q$19,K289)*POWER(Upgrades!$Q$20,L289)*POWER(Upgrades!$Q$21,M289))*$G$6*(Parameters!$B$10/60*Parameters!$B$11+Q289))/Upgrades!$C$18,0)),IF(K289&gt;0,0,IFERROR(0.30*P289/Upgrades!$C$19,0)),IF(L289&gt;0,0,IFERROR(0.0001/Upgrades!$C$20,0)),IF(M289&gt;0,0,IFERROR((6.0*(POWER(Upgrades!$P$13,E289)*POWER(Upgrades!$P$14,F289)*POWER(Upgrades!$P$15,G289)*POWER(Upgrades!$P$16,H289)*POWER(Upgrades!$P$17,I289)*POWER(Upgrades!$P$18,J289)*POWER(Upgrades!$P$19,K289)*POWER(Upgrades!$P$20,L289)*POWER(Upgrades!$P$21,M289))*$F$6+0.20*O289*(Parameters!$B$10/60*Parameters!$B$11+Q289))/Upgrades!$C$21,0)),IF(AND(ISNUMBER(AK289),AK289&gt;(C289+T289)),AY289,0),IF(AND(ISNUMBER(AL289),AL289&gt;(C289+T289)),AZ289,0),IF(AND(ISNUMBER(AM289),AM289&gt;(C289+T289)),BA289,0),IF(AND(ISNUMBER(AN289),AN289&gt;(C289+T289)),BB289,0),IF(AND(ISNUMBER(AO289),AO289&gt;(C289+T289)),BC289,0))</f>
        <v/>
      </c>
      <c r="BE289" s="29">
        <f>IF(AT289=1,"transition",IF(MIN(IF(AND(J289=0,ISNUMBER(AP289),AP289&lt;=(C289+T289)),AP289,9E15),IF(AND(K289=0,ISNUMBER(AQ289),AQ289&lt;=(C289+T289)),AQ289,9E15),IF(AND(L289=0,ISNUMBER(AR289),AR289&lt;=(C289+T289)),AR289,9E15),IF(AND(M289=0,ISNUMBER(AS289),AS289&lt;=(C289+T289)),AS289,9E15))&lt;9E15,IF(AND(AND(J289=0,ISNUMBER(AP289),AP289&lt;=(C289+T289)),AP289=MIN(IF(AND(J289=0,ISNUMBER(AP289),AP289&lt;=(C289+T289)),AP289,9E15),IF(AND(K289=0,ISNUMBER(AQ289),AQ289&lt;=(C289+T289)),AQ289,9E15),IF(AND(L289=0,ISNUMBER(AR289),AR289&lt;=(C289+T289)),AR289,9E15),IF(AND(M289=0,ISNUMBER(AS289),AS289&lt;=(C289+T289)),AS289,9E15))),"BiP",IF(AND(AND(K289=0,ISNUMBER(AQ289),AQ289&lt;=(C289+T289)),AQ289=MIN(IF(AND(J289=0,ISNUMBER(AP289),AP289&lt;=(C289+T289)),AP289,9E15),IF(AND(K289=0,ISNUMBER(AQ289),AQ289&lt;=(C289+T289)),AQ289,9E15),IF(AND(L289=0,ISNUMBER(AR289),AR289&lt;=(C289+T289)),AR289,9E15),IF(AND(M289=0,ISNUMBER(AS289),AS289&lt;=(C289+T289)),AS289,9E15))),"PV",IF(AND(AND(L289=0,ISNUMBER(AR289),AR289&lt;=(C289+T289)),AR289=MIN(IF(AND(J289=0,ISNUMBER(AP289),AP289&lt;=(C289+T289)),AP289,9E15),IF(AND(K289=0,ISNUMBER(AQ289),AQ289&lt;=(C289+T289)),AQ289,9E15),IF(AND(L289=0,ISNUMBER(AR289),AR289&lt;=(C289+T289)),AR289,9E15),IF(AND(M289=0,ISNUMBER(AS289),AS289&lt;=(C289+T289)),AS289,9E15))),"OC","MG"))),IF(AX289=TRUE,"",IF(MAX(IF(AND(NOT(AND(AU289=1,AT289&lt;&gt;1)),ISNUMBER(AK289),AK289&lt;=(C289+T289)),AY289,0),IF(AND(NOT(AND(AU289=1,AT289&lt;&gt;1)),ISNUMBER(AL289),AL289&lt;=(C289+T289)),AZ289,0),IF(AND(NOT(AND(AU289=1,AT289&lt;&gt;1)),ISNUMBER(AM289),AM289&lt;=(C289+T289)),BA289,0),IF(AND(NOT(AND(AU289=1,AT289&lt;&gt;1)),ISNUMBER(AN289),AN289&lt;=(C289+T289)),BB289,0),IF(AND(ISNUMBER(AO289),AO289&lt;=(C289+T289)),BC289,0))&lt;=0,"",IF(AND(IF(AND(NOT(AND(AU289=1,AT289&lt;&gt;1)),ISNUMBER(AK289),AK289&lt;=(C289+T289)),AY289,0)&gt;0,IF(AND(NOT(AND(AU289=1,AT289&lt;&gt;1)),ISNUMBER(AK289),AK289&lt;=(C289+T289)),AY289,0)=MAX(IF(AND(NOT(AND(AU289=1,AT289&lt;&gt;1)),ISNUMBER(AK289),AK289&lt;=(C289+T289)),AY289,0),IF(AND(NOT(AND(AU289=1,AT289&lt;&gt;1)),ISNUMBER(AL289),AL289&lt;=(C289+T289)),AZ289,0),IF(AND(NOT(AND(AU289=1,AT289&lt;&gt;1)),ISNUMBER(AM289),AM289&lt;=(C289+T289)),BA289,0),IF(AND(NOT(AND(AU289=1,AT289&lt;&gt;1)),ISNUMBER(AN289),AN289&lt;=(C289+T289)),BB289,0),IF(AND(ISNUMBER(AO289),AO289&lt;=(C289+T289)),BC289,0))),"SK",IF(AND(IF(AND(NOT(AND(AU289=1,AT289&lt;&gt;1)),ISNUMBER(AL289),AL289&lt;=(C289+T289)),AZ289,0)&gt;0,IF(AND(NOT(AND(AU289=1,AT289&lt;&gt;1)),ISNUMBER(AL289),AL289&lt;=(C289+T289)),AZ289,0)=MAX(IF(AND(NOT(AND(AU289=1,AT289&lt;&gt;1)),ISNUMBER(AK289),AK289&lt;=(C289+T289)),AY289,0),IF(AND(NOT(AND(AU289=1,AT289&lt;&gt;1)),ISNUMBER(AL289),AL289&lt;=(C289+T289)),AZ289,0),IF(AND(NOT(AND(AU289=1,AT289&lt;&gt;1)),ISNUMBER(AM289),AM289&lt;=(C289+T289)),BA289,0),IF(AND(NOT(AND(AU289=1,AT289&lt;&gt;1)),ISNUMBER(AN289),AN289&lt;=(C289+T289)),BB289,0),IF(AND(ISNUMBER(AO289),AO289&lt;=(C289+T289)),BC289,0))),"LB",IF(AND(IF(AND(NOT(AND(AU289=1,AT289&lt;&gt;1)),ISNUMBER(AM289),AM289&lt;=(C289+T289)),BA289,0)&gt;0,IF(AND(NOT(AND(AU289=1,AT289&lt;&gt;1)),ISNUMBER(AM289),AM289&lt;=(C289+T289)),BA289,0)=MAX(IF(AND(NOT(AND(AU289=1,AT289&lt;&gt;1)),ISNUMBER(AK289),AK289&lt;=(C289+T289)),AY289,0),IF(AND(NOT(AND(AU289=1,AT289&lt;&gt;1)),ISNUMBER(AL289),AL289&lt;=(C289+T289)),AZ289,0),IF(AND(NOT(AND(AU289=1,AT289&lt;&gt;1)),ISNUMBER(AM289),AM289&lt;=(C289+T289)),BA289,0),IF(AND(NOT(AND(AU289=1,AT289&lt;&gt;1)),ISNUMBER(AN289),AN289&lt;=(C289+T289)),BB289,0),IF(AND(ISNUMBER(AO289),AO289&lt;=(C289+T289)),BC289,0))),"ML",IF(AND(IF(AND(NOT(AND(AU289=1,AT289&lt;&gt;1)),ISNUMBER(AN289),AN289&lt;=(C289+T289)),BB289,0)&gt;0,IF(AND(NOT(AND(AU289=1,AT289&lt;&gt;1)),ISNUMBER(AN289),AN289&lt;=(C289+T289)),BB289,0)=MAX(IF(AND(NOT(AND(AU289=1,AT289&lt;&gt;1)),ISNUMBER(AK289),AK289&lt;=(C289+T289)),AY289,0),IF(AND(NOT(AND(AU289=1,AT289&lt;&gt;1)),ISNUMBER(AL289),AL289&lt;=(C289+T289)),AZ289,0),IF(AND(NOT(AND(AU289=1,AT289&lt;&gt;1)),ISNUMBER(AM289),AM289&lt;=(C289+T289)),BA289,0),IF(AND(NOT(AND(AU289=1,AT289&lt;&gt;1)),ISNUMBER(AN289),AN289&lt;=(C289+T289)),BB289,0),IF(AND(ISNUMBER(AO289),AO289&lt;=(C289+T289)),BC289,0))),"RLO","BD"))))))))</f>
        <v/>
      </c>
    </row>
    <row r="290">
      <c r="A290" s="26" t="n">
        <v>279</v>
      </c>
      <c r="B290" s="27">
        <f>A290*10/60</f>
        <v/>
      </c>
      <c r="C290" s="22">
        <f>X289</f>
        <v/>
      </c>
      <c r="D290" s="27">
        <f>D289+W289</f>
        <v/>
      </c>
      <c r="E290" s="26">
        <f>E289+IF(U289="SK",1,0)</f>
        <v/>
      </c>
      <c r="F290" s="26">
        <f>F289+IF(U289="LB",1,0)</f>
        <v/>
      </c>
      <c r="G290" s="26">
        <f>G289+IF(U289="ML",1,0)</f>
        <v/>
      </c>
      <c r="H290" s="26">
        <f>H289+IF(U289="RLO",1,0)</f>
        <v/>
      </c>
      <c r="I290" s="26">
        <f>I289+IF(U289="BD",1,0)</f>
        <v/>
      </c>
      <c r="J290" s="26">
        <f>MAX(J289,IF(U289="BiP",1,0))</f>
        <v/>
      </c>
      <c r="K290" s="26">
        <f>MAX(K289,IF(U289="PV",1,0))</f>
        <v/>
      </c>
      <c r="L290" s="26">
        <f>MAX(L289,IF(U289="OC",1,0))</f>
        <v/>
      </c>
      <c r="M290" s="26">
        <f>MAX(M289,IF(U289="MG",1,0))</f>
        <v/>
      </c>
      <c r="N290" s="26">
        <f>MAX(N289,IF(U289="transition",1,0))</f>
        <v/>
      </c>
      <c r="O290" s="28">
        <f>(Parameters!$B$9+(IF(E290=0,0,(Upgrades!$J$13+E290*Upgrades!$K$13)*POWER(Upgrades!$L$13,E290)))*(IF(Upgrades!$T$14="Stellar Kinematics",POWER(Upgrades!$U$14,F290),1)*IF(Upgrades!$T$15="Stellar Kinematics",POWER(Upgrades!$U$15,G290),1)*IF(Upgrades!$T$16="Stellar Kinematics",POWER(Upgrades!$U$16,H290),1)*IF(Upgrades!$T$17="Stellar Kinematics",POWER(Upgrades!$U$17,I290),1)*IF(Upgrades!$T$18="Stellar Kinematics",POWER(Upgrades!$U$18,J290),1)*IF(Upgrades!$T$19="Stellar Kinematics",POWER(Upgrades!$U$19,K290),1)*IF(Upgrades!$T$20="Stellar Kinematics",POWER(Upgrades!$U$20,L290),1)*IF(Upgrades!$T$21="Stellar Kinematics",POWER(Upgrades!$U$21,M290),1))+(IF(F290=0,0,(Upgrades!$J$14+F290*Upgrades!$K$14)*POWER(Upgrades!$L$14,F290)))*(IF(Upgrades!$T$13="Local Bubble",POWER(Upgrades!$U$13,E290),1)*IF(Upgrades!$T$15="Local Bubble",POWER(Upgrades!$U$15,G290),1)*IF(Upgrades!$T$16="Local Bubble",POWER(Upgrades!$U$16,H290),1)*IF(Upgrades!$T$17="Local Bubble",POWER(Upgrades!$U$17,I290),1)*IF(Upgrades!$T$18="Local Bubble",POWER(Upgrades!$U$18,J290),1)*IF(Upgrades!$T$19="Local Bubble",POWER(Upgrades!$U$19,K290),1)*IF(Upgrades!$T$20="Local Bubble",POWER(Upgrades!$U$20,L290),1)*IF(Upgrades!$T$21="Local Bubble",POWER(Upgrades!$U$21,M290),1))+(IF(G290=0,0,(Upgrades!$J$15+G290*Upgrades!$K$15)*POWER(Upgrades!$L$15,G290)))*(IF(Upgrades!$T$13="Microlensing",POWER(Upgrades!$U$13,E290),1)*IF(Upgrades!$T$14="Microlensing",POWER(Upgrades!$U$14,F290),1)*IF(Upgrades!$T$16="Microlensing",POWER(Upgrades!$U$16,H290),1)*IF(Upgrades!$T$17="Microlensing",POWER(Upgrades!$U$17,I290),1)*IF(Upgrades!$T$18="Microlensing",POWER(Upgrades!$U$18,J290),1)*IF(Upgrades!$T$19="Microlensing",POWER(Upgrades!$U$19,K290),1)*IF(Upgrades!$T$20="Microlensing",POWER(Upgrades!$U$20,L290),1)*IF(Upgrades!$T$21="Microlensing",POWER(Upgrades!$U$21,M290),1))+(IF(H290=0,0,(Upgrades!$J$16+H290*Upgrades!$K$16)*POWER(Upgrades!$L$16,H290)))*(IF(Upgrades!$T$13="Roche Lobe Overflow",POWER(Upgrades!$U$13,E290),1)*IF(Upgrades!$T$14="Roche Lobe Overflow",POWER(Upgrades!$U$14,F290),1)*IF(Upgrades!$T$15="Roche Lobe Overflow",POWER(Upgrades!$U$15,G290),1)*IF(Upgrades!$T$17="Roche Lobe Overflow",POWER(Upgrades!$U$17,I290),1)*IF(Upgrades!$T$18="Roche Lobe Overflow",POWER(Upgrades!$U$18,J290),1)*IF(Upgrades!$T$19="Roche Lobe Overflow",POWER(Upgrades!$U$19,K290),1)*IF(Upgrades!$T$20="Roche Lobe Overflow",POWER(Upgrades!$U$20,L290),1)*IF(Upgrades!$T$21="Roche Lobe Overflow",POWER(Upgrades!$U$21,M290),1))+(IF(I290=0,0,(Upgrades!$J$17+I290*Upgrades!$K$17)*POWER(Upgrades!$L$17,I290)))*(IF(Upgrades!$T$13="Brown Dwarf",POWER(Upgrades!$U$13,E290),1)*IF(Upgrades!$T$14="Brown Dwarf",POWER(Upgrades!$U$14,F290),1)*IF(Upgrades!$T$15="Brown Dwarf",POWER(Upgrades!$U$15,G290),1)*IF(Upgrades!$T$16="Brown Dwarf",POWER(Upgrades!$U$16,H290),1)*IF(Upgrades!$T$18="Brown Dwarf",POWER(Upgrades!$U$18,J290),1)*IF(Upgrades!$T$19="Brown Dwarf",POWER(Upgrades!$U$19,K290),1)*IF(Upgrades!$T$20="Brown Dwarf",POWER(Upgrades!$U$20,L290),1)*IF(Upgrades!$T$21="Brown Dwarf",POWER(Upgrades!$U$21,M290),1))+(IF(J290=0,0,(Upgrades!$J$18+J290*Upgrades!$K$18)*POWER(Upgrades!$L$18,J290)))*(IF(Upgrades!$T$13="Binary Partner",POWER(Upgrades!$U$13,E290),1)*IF(Upgrades!$T$14="Binary Partner",POWER(Upgrades!$U$14,F290),1)*IF(Upgrades!$T$15="Binary Partner",POWER(Upgrades!$U$15,G290),1)*IF(Upgrades!$T$16="Binary Partner",POWER(Upgrades!$U$16,H290),1)*IF(Upgrades!$T$17="Binary Partner",POWER(Upgrades!$U$17,I290),1)*IF(Upgrades!$T$19="Binary Partner",POWER(Upgrades!$U$19,K290),1)*IF(Upgrades!$T$20="Binary Partner",POWER(Upgrades!$U$20,L290),1)*IF(Upgrades!$T$21="Binary Partner",POWER(Upgrades!$U$21,M290),1))+(IF(K290=0,0,(Upgrades!$J$19+K290*Upgrades!$K$19)*POWER(Upgrades!$L$19,K290)))*(IF(Upgrades!$T$13="Peculiar Velocity",POWER(Upgrades!$U$13,E290),1)*IF(Upgrades!$T$14="Peculiar Velocity",POWER(Upgrades!$U$14,F290),1)*IF(Upgrades!$T$15="Peculiar Velocity",POWER(Upgrades!$U$15,G290),1)*IF(Upgrades!$T$16="Peculiar Velocity",POWER(Upgrades!$U$16,H290),1)*IF(Upgrades!$T$17="Peculiar Velocity",POWER(Upgrades!$U$17,I290),1)*IF(Upgrades!$T$18="Peculiar Velocity",POWER(Upgrades!$U$18,J290),1)*IF(Upgrades!$T$20="Peculiar Velocity",POWER(Upgrades!$U$20,L290),1)*IF(Upgrades!$T$21="Peculiar Velocity",POWER(Upgrades!$U$21,M290),1))+(IF(L290=0,0,(Upgrades!$J$20+L290*Upgrades!$K$20)*POWER(Upgrades!$L$20,L290)))*(IF(Upgrades!$T$13="Open Cluster",POWER(Upgrades!$U$13,E290),1)*IF(Upgrades!$T$14="Open Cluster",POWER(Upgrades!$U$14,F290),1)*IF(Upgrades!$T$15="Open Cluster",POWER(Upgrades!$U$15,G290),1)*IF(Upgrades!$T$16="Open Cluster",POWER(Upgrades!$U$16,H290),1)*IF(Upgrades!$T$17="Open Cluster",POWER(Upgrades!$U$17,I290),1)*IF(Upgrades!$T$18="Open Cluster",POWER(Upgrades!$U$18,J290),1)*IF(Upgrades!$T$19="Open Cluster",POWER(Upgrades!$U$19,K290),1)*IF(Upgrades!$T$21="Open Cluster",POWER(Upgrades!$U$21,M290),1))+(IF(M290=0,0,(Upgrades!$J$21+M290*Upgrades!$K$21)*POWER(Upgrades!$L$21,M290)))*(IF(Upgrades!$T$13="Moving Group",POWER(Upgrades!$U$13,E290),1)*IF(Upgrades!$T$14="Moving Group",POWER(Upgrades!$U$14,F290),1)*IF(Upgrades!$T$15="Moving Group",POWER(Upgrades!$U$15,G290),1)*IF(Upgrades!$T$16="Moving Group",POWER(Upgrades!$U$16,H290),1)*IF(Upgrades!$T$17="Moving Group",POWER(Upgrades!$U$17,I290),1)*IF(Upgrades!$T$18="Moving Group",POWER(Upgrades!$U$18,J290),1)*IF(Upgrades!$T$19="Moving Group",POWER(Upgrades!$U$19,K290),1)*IF(Upgrades!$T$20="Moving Group",POWER(Upgrades!$U$20,L290),1)))*POWER(Upgrades!$Q$13,E290)*POWER(Upgrades!$Q$14,F290)*POWER(Upgrades!$Q$15,G290)*POWER(Upgrades!$Q$16,H290)*POWER(Upgrades!$Q$17,I290)*POWER(Upgrades!$Q$18,J290)*POWER(Upgrades!$Q$19,K290)*POWER(Upgrades!$Q$20,L290)*POWER(Upgrades!$Q$21,M290)*$G$6+$D$6</f>
        <v/>
      </c>
      <c r="P290" s="28">
        <f>((IF(E290=0,0,(Upgrades!$G$13+E290*Upgrades!$H$13)*POWER(Upgrades!$I$13,E290)))*(IF(Upgrades!$T$14="Stellar Kinematics",POWER(Upgrades!$U$14,F290),1)*IF(Upgrades!$T$15="Stellar Kinematics",POWER(Upgrades!$U$15,G290),1)*IF(Upgrades!$T$16="Stellar Kinematics",POWER(Upgrades!$U$16,H290),1)*IF(Upgrades!$T$17="Stellar Kinematics",POWER(Upgrades!$U$17,I290),1)*IF(Upgrades!$T$18="Stellar Kinematics",POWER(Upgrades!$U$18,J290),1)*IF(Upgrades!$T$19="Stellar Kinematics",POWER(Upgrades!$U$19,K290),1)*IF(Upgrades!$T$20="Stellar Kinematics",POWER(Upgrades!$U$20,L290),1)*IF(Upgrades!$T$21="Stellar Kinematics",POWER(Upgrades!$U$21,M290),1))+(IF(F290=0,0,(Upgrades!$G$14+F290*Upgrades!$H$14)*POWER(Upgrades!$I$14,F290)))*(IF(Upgrades!$T$13="Local Bubble",POWER(Upgrades!$U$13,E290),1)*IF(Upgrades!$T$15="Local Bubble",POWER(Upgrades!$U$15,G290),1)*IF(Upgrades!$T$16="Local Bubble",POWER(Upgrades!$U$16,H290),1)*IF(Upgrades!$T$17="Local Bubble",POWER(Upgrades!$U$17,I290),1)*IF(Upgrades!$T$18="Local Bubble",POWER(Upgrades!$U$18,J290),1)*IF(Upgrades!$T$19="Local Bubble",POWER(Upgrades!$U$19,K290),1)*IF(Upgrades!$T$20="Local Bubble",POWER(Upgrades!$U$20,L290),1)*IF(Upgrades!$T$21="Local Bubble",POWER(Upgrades!$U$21,M290),1))+(IF(G290=0,0,(Upgrades!$G$15+G290*Upgrades!$H$15)*POWER(Upgrades!$I$15,G290)))*(IF(Upgrades!$T$13="Microlensing",POWER(Upgrades!$U$13,E290),1)*IF(Upgrades!$T$14="Microlensing",POWER(Upgrades!$U$14,F290),1)*IF(Upgrades!$T$16="Microlensing",POWER(Upgrades!$U$16,H290),1)*IF(Upgrades!$T$17="Microlensing",POWER(Upgrades!$U$17,I290),1)*IF(Upgrades!$T$18="Microlensing",POWER(Upgrades!$U$18,J290),1)*IF(Upgrades!$T$19="Microlensing",POWER(Upgrades!$U$19,K290),1)*IF(Upgrades!$T$20="Microlensing",POWER(Upgrades!$U$20,L290),1)*IF(Upgrades!$T$21="Microlensing",POWER(Upgrades!$U$21,M290),1))+(IF(H290=0,0,(Upgrades!$G$16+H290*Upgrades!$H$16)*POWER(Upgrades!$I$16,H290)))*(IF(Upgrades!$T$13="Roche Lobe Overflow",POWER(Upgrades!$U$13,E290),1)*IF(Upgrades!$T$14="Roche Lobe Overflow",POWER(Upgrades!$U$14,F290),1)*IF(Upgrades!$T$15="Roche Lobe Overflow",POWER(Upgrades!$U$15,G290),1)*IF(Upgrades!$T$17="Roche Lobe Overflow",POWER(Upgrades!$U$17,I290),1)*IF(Upgrades!$T$18="Roche Lobe Overflow",POWER(Upgrades!$U$18,J290),1)*IF(Upgrades!$T$19="Roche Lobe Overflow",POWER(Upgrades!$U$19,K290),1)*IF(Upgrades!$T$20="Roche Lobe Overflow",POWER(Upgrades!$U$20,L290),1)*IF(Upgrades!$T$21="Roche Lobe Overflow",POWER(Upgrades!$U$21,M290),1))+(IF(I290=0,0,(Upgrades!$G$17+I290*Upgrades!$H$17)*POWER(Upgrades!$I$17,I290)))*(IF(Upgrades!$T$13="Brown Dwarf",POWER(Upgrades!$U$13,E290),1)*IF(Upgrades!$T$14="Brown Dwarf",POWER(Upgrades!$U$14,F290),1)*IF(Upgrades!$T$15="Brown Dwarf",POWER(Upgrades!$U$15,G290),1)*IF(Upgrades!$T$16="Brown Dwarf",POWER(Upgrades!$U$16,H290),1)*IF(Upgrades!$T$18="Brown Dwarf",POWER(Upgrades!$U$18,J290),1)*IF(Upgrades!$T$19="Brown Dwarf",POWER(Upgrades!$U$19,K290),1)*IF(Upgrades!$T$20="Brown Dwarf",POWER(Upgrades!$U$20,L290),1)*IF(Upgrades!$T$21="Brown Dwarf",POWER(Upgrades!$U$21,M290),1))+(IF(J290=0,0,(Upgrades!$G$18+J290*Upgrades!$H$18)*POWER(Upgrades!$I$18,J290)))*(IF(Upgrades!$T$13="Binary Partner",POWER(Upgrades!$U$13,E290),1)*IF(Upgrades!$T$14="Binary Partner",POWER(Upgrades!$U$14,F290),1)*IF(Upgrades!$T$15="Binary Partner",POWER(Upgrades!$U$15,G290),1)*IF(Upgrades!$T$16="Binary Partner",POWER(Upgrades!$U$16,H290),1)*IF(Upgrades!$T$17="Binary Partner",POWER(Upgrades!$U$17,I290),1)*IF(Upgrades!$T$19="Binary Partner",POWER(Upgrades!$U$19,K290),1)*IF(Upgrades!$T$20="Binary Partner",POWER(Upgrades!$U$20,L290),1)*IF(Upgrades!$T$21="Binary Partner",POWER(Upgrades!$U$21,M290),1))+(IF(K290=0,0,(Upgrades!$G$19+K290*Upgrades!$H$19)*POWER(Upgrades!$I$19,K290)))*(IF(Upgrades!$T$13="Peculiar Velocity",POWER(Upgrades!$U$13,E290),1)*IF(Upgrades!$T$14="Peculiar Velocity",POWER(Upgrades!$U$14,F290),1)*IF(Upgrades!$T$15="Peculiar Velocity",POWER(Upgrades!$U$15,G290),1)*IF(Upgrades!$T$16="Peculiar Velocity",POWER(Upgrades!$U$16,H290),1)*IF(Upgrades!$T$17="Peculiar Velocity",POWER(Upgrades!$U$17,I290),1)*IF(Upgrades!$T$18="Peculiar Velocity",POWER(Upgrades!$U$18,J290),1)*IF(Upgrades!$T$20="Peculiar Velocity",POWER(Upgrades!$U$20,L290),1)*IF(Upgrades!$T$21="Peculiar Velocity",POWER(Upgrades!$U$21,M290),1))+(IF(L290=0,0,(Upgrades!$G$20+L290*Upgrades!$H$20)*POWER(Upgrades!$I$20,L290)))*(IF(Upgrades!$T$13="Open Cluster",POWER(Upgrades!$U$13,E290),1)*IF(Upgrades!$T$14="Open Cluster",POWER(Upgrades!$U$14,F290),1)*IF(Upgrades!$T$15="Open Cluster",POWER(Upgrades!$U$15,G290),1)*IF(Upgrades!$T$16="Open Cluster",POWER(Upgrades!$U$16,H290),1)*IF(Upgrades!$T$17="Open Cluster",POWER(Upgrades!$U$17,I290),1)*IF(Upgrades!$T$18="Open Cluster",POWER(Upgrades!$U$18,J290),1)*IF(Upgrades!$T$19="Open Cluster",POWER(Upgrades!$U$19,K290),1)*IF(Upgrades!$T$21="Open Cluster",POWER(Upgrades!$U$21,M290),1))+(IF(M290=0,0,(Upgrades!$G$21+M290*Upgrades!$H$21)*POWER(Upgrades!$I$21,M290)))*(IF(Upgrades!$T$13="Moving Group",POWER(Upgrades!$U$13,E290),1)*IF(Upgrades!$T$14="Moving Group",POWER(Upgrades!$U$14,F290),1)*IF(Upgrades!$T$15="Moving Group",POWER(Upgrades!$U$15,G290),1)*IF(Upgrades!$T$16="Moving Group",POWER(Upgrades!$U$16,H290),1)*IF(Upgrades!$T$17="Moving Group",POWER(Upgrades!$U$17,I290),1)*IF(Upgrades!$T$18="Moving Group",POWER(Upgrades!$U$18,J290),1)*IF(Upgrades!$T$19="Moving Group",POWER(Upgrades!$U$19,K290),1)*IF(Upgrades!$T$20="Moving Group",POWER(Upgrades!$U$20,L290),1)))*POWER(Upgrades!$P$13,E290)*POWER(Upgrades!$P$14,F290)*POWER(Upgrades!$P$15,G290)*POWER(Upgrades!$P$16,H290)*POWER(Upgrades!$P$17,I290)*POWER(Upgrades!$P$18,J290)*POWER(Upgrades!$P$19,K290)*POWER(Upgrades!$P$20,L290)*POWER(Upgrades!$P$21,M290)*$F$6+$C$6</f>
        <v/>
      </c>
      <c r="Q290" s="28">
        <f>((IF(E290=0,0,(Upgrades!$M$13+E290*Upgrades!$N$13)*POWER(Upgrades!$O$13,E290)))*(IF(Upgrades!$T$14="Stellar Kinematics",POWER(Upgrades!$U$14,F290),1)*IF(Upgrades!$T$15="Stellar Kinematics",POWER(Upgrades!$U$15,G290),1)*IF(Upgrades!$T$16="Stellar Kinematics",POWER(Upgrades!$U$16,H290),1)*IF(Upgrades!$T$17="Stellar Kinematics",POWER(Upgrades!$U$17,I290),1)*IF(Upgrades!$T$18="Stellar Kinematics",POWER(Upgrades!$U$18,J290),1)*IF(Upgrades!$T$19="Stellar Kinematics",POWER(Upgrades!$U$19,K290),1)*IF(Upgrades!$T$20="Stellar Kinematics",POWER(Upgrades!$U$20,L290),1)*IF(Upgrades!$T$21="Stellar Kinematics",POWER(Upgrades!$U$21,M290),1))+(IF(F290=0,0,(Upgrades!$M$14+F290*Upgrades!$N$14)*POWER(Upgrades!$O$14,F290)))*(IF(Upgrades!$T$13="Local Bubble",POWER(Upgrades!$U$13,E290),1)*IF(Upgrades!$T$15="Local Bubble",POWER(Upgrades!$U$15,G290),1)*IF(Upgrades!$T$16="Local Bubble",POWER(Upgrades!$U$16,H290),1)*IF(Upgrades!$T$17="Local Bubble",POWER(Upgrades!$U$17,I290),1)*IF(Upgrades!$T$18="Local Bubble",POWER(Upgrades!$U$18,J290),1)*IF(Upgrades!$T$19="Local Bubble",POWER(Upgrades!$U$19,K290),1)*IF(Upgrades!$T$20="Local Bubble",POWER(Upgrades!$U$20,L290),1)*IF(Upgrades!$T$21="Local Bubble",POWER(Upgrades!$U$21,M290),1))+(IF(G290=0,0,(Upgrades!$M$15+G290*Upgrades!$N$15)*POWER(Upgrades!$O$15,G290)))*(IF(Upgrades!$T$13="Microlensing",POWER(Upgrades!$U$13,E290),1)*IF(Upgrades!$T$14="Microlensing",POWER(Upgrades!$U$14,F290),1)*IF(Upgrades!$T$16="Microlensing",POWER(Upgrades!$U$16,H290),1)*IF(Upgrades!$T$17="Microlensing",POWER(Upgrades!$U$17,I290),1)*IF(Upgrades!$T$18="Microlensing",POWER(Upgrades!$U$18,J290),1)*IF(Upgrades!$T$19="Microlensing",POWER(Upgrades!$U$19,K290),1)*IF(Upgrades!$T$20="Microlensing",POWER(Upgrades!$U$20,L290),1)*IF(Upgrades!$T$21="Microlensing",POWER(Upgrades!$U$21,M290),1))+(IF(H290=0,0,(Upgrades!$M$16+H290*Upgrades!$N$16)*POWER(Upgrades!$O$16,H290)))*(IF(Upgrades!$T$13="Roche Lobe Overflow",POWER(Upgrades!$U$13,E290),1)*IF(Upgrades!$T$14="Roche Lobe Overflow",POWER(Upgrades!$U$14,F290),1)*IF(Upgrades!$T$15="Roche Lobe Overflow",POWER(Upgrades!$U$15,G290),1)*IF(Upgrades!$T$17="Roche Lobe Overflow",POWER(Upgrades!$U$17,I290),1)*IF(Upgrades!$T$18="Roche Lobe Overflow",POWER(Upgrades!$U$18,J290),1)*IF(Upgrades!$T$19="Roche Lobe Overflow",POWER(Upgrades!$U$19,K290),1)*IF(Upgrades!$T$20="Roche Lobe Overflow",POWER(Upgrades!$U$20,L290),1)*IF(Upgrades!$T$21="Roche Lobe Overflow",POWER(Upgrades!$U$21,M290),1))+(IF(I290=0,0,(Upgrades!$M$17+I290*Upgrades!$N$17)*POWER(Upgrades!$O$17,I290)))*(IF(Upgrades!$T$13="Brown Dwarf",POWER(Upgrades!$U$13,E290),1)*IF(Upgrades!$T$14="Brown Dwarf",POWER(Upgrades!$U$14,F290),1)*IF(Upgrades!$T$15="Brown Dwarf",POWER(Upgrades!$U$15,G290),1)*IF(Upgrades!$T$16="Brown Dwarf",POWER(Upgrades!$U$16,H290),1)*IF(Upgrades!$T$18="Brown Dwarf",POWER(Upgrades!$U$18,J290),1)*IF(Upgrades!$T$19="Brown Dwarf",POWER(Upgrades!$U$19,K290),1)*IF(Upgrades!$T$20="Brown Dwarf",POWER(Upgrades!$U$20,L290),1)*IF(Upgrades!$T$21="Brown Dwarf",POWER(Upgrades!$U$21,M290),1))+(IF(J290=0,0,(Upgrades!$M$18+J290*Upgrades!$N$18)*POWER(Upgrades!$O$18,J290)))*(IF(Upgrades!$T$13="Binary Partner",POWER(Upgrades!$U$13,E290),1)*IF(Upgrades!$T$14="Binary Partner",POWER(Upgrades!$U$14,F290),1)*IF(Upgrades!$T$15="Binary Partner",POWER(Upgrades!$U$15,G290),1)*IF(Upgrades!$T$16="Binary Partner",POWER(Upgrades!$U$16,H290),1)*IF(Upgrades!$T$17="Binary Partner",POWER(Upgrades!$U$17,I290),1)*IF(Upgrades!$T$19="Binary Partner",POWER(Upgrades!$U$19,K290),1)*IF(Upgrades!$T$20="Binary Partner",POWER(Upgrades!$U$20,L290),1)*IF(Upgrades!$T$21="Binary Partner",POWER(Upgrades!$U$21,M290),1))+(IF(K290=0,0,(Upgrades!$M$19+K290*Upgrades!$N$19)*POWER(Upgrades!$O$19,K290)))*(IF(Upgrades!$T$13="Peculiar Velocity",POWER(Upgrades!$U$13,E290),1)*IF(Upgrades!$T$14="Peculiar Velocity",POWER(Upgrades!$U$14,F290),1)*IF(Upgrades!$T$15="Peculiar Velocity",POWER(Upgrades!$U$15,G290),1)*IF(Upgrades!$T$16="Peculiar Velocity",POWER(Upgrades!$U$16,H290),1)*IF(Upgrades!$T$17="Peculiar Velocity",POWER(Upgrades!$U$17,I290),1)*IF(Upgrades!$T$18="Peculiar Velocity",POWER(Upgrades!$U$18,J290),1)*IF(Upgrades!$T$20="Peculiar Velocity",POWER(Upgrades!$U$20,L290),1)*IF(Upgrades!$T$21="Peculiar Velocity",POWER(Upgrades!$U$21,M290),1))+(IF(L290=0,0,(Upgrades!$M$20+L290*Upgrades!$N$20)*POWER(Upgrades!$O$20,L290)))*(IF(Upgrades!$T$13="Open Cluster",POWER(Upgrades!$U$13,E290),1)*IF(Upgrades!$T$14="Open Cluster",POWER(Upgrades!$U$14,F290),1)*IF(Upgrades!$T$15="Open Cluster",POWER(Upgrades!$U$15,G290),1)*IF(Upgrades!$T$16="Open Cluster",POWER(Upgrades!$U$16,H290),1)*IF(Upgrades!$T$17="Open Cluster",POWER(Upgrades!$U$17,I290),1)*IF(Upgrades!$T$18="Open Cluster",POWER(Upgrades!$U$18,J290),1)*IF(Upgrades!$T$19="Open Cluster",POWER(Upgrades!$U$19,K290),1)*IF(Upgrades!$T$21="Open Cluster",POWER(Upgrades!$U$21,M290),1))+(IF(M290=0,0,(Upgrades!$M$21+M290*Upgrades!$N$21)*POWER(Upgrades!$O$21,M290)))*(IF(Upgrades!$T$13="Moving Group",POWER(Upgrades!$U$13,E290),1)*IF(Upgrades!$T$14="Moving Group",POWER(Upgrades!$U$14,F290),1)*IF(Upgrades!$T$15="Moving Group",POWER(Upgrades!$U$15,G290),1)*IF(Upgrades!$T$16="Moving Group",POWER(Upgrades!$U$16,H290),1)*IF(Upgrades!$T$17="Moving Group",POWER(Upgrades!$U$17,I290),1)*IF(Upgrades!$T$18="Moving Group",POWER(Upgrades!$U$18,J290),1)*IF(Upgrades!$T$19="Moving Group",POWER(Upgrades!$U$19,K290),1)*IF(Upgrades!$T$20="Moving Group",POWER(Upgrades!$U$20,L290),1)))*POWER(Upgrades!$R$13,E290)*POWER(Upgrades!$R$14,F290)*POWER(Upgrades!$R$15,G290)*POWER(Upgrades!$R$16,H290)*POWER(Upgrades!$R$17,I290)*POWER(Upgrades!$R$18,J290)*POWER(Upgrades!$R$19,K290)*POWER(Upgrades!$R$20,L290)*POWER(Upgrades!$R$21,M290)*$H$6+$E$6</f>
        <v/>
      </c>
      <c r="R290" s="27">
        <f>IF(N290=1,0,O290*Parameters!$B$10/60*Parameters!$B$11*10)</f>
        <v/>
      </c>
      <c r="S290" s="27">
        <f>IF(N290=1,0,Q290*O290*10)</f>
        <v/>
      </c>
      <c r="T290" s="27">
        <f>IF(N290=1,0,R290+S290+P290*10)</f>
        <v/>
      </c>
      <c r="U290" s="33">
        <f>BE290</f>
        <v/>
      </c>
      <c r="V290" s="22">
        <f>IF(U290="",0,IF(U290="transition",0,IF(U290="SK",AK290,IF(U290="LB",AL290,IF(U290="ML",AM290,IF(U290="RLO",AN290,IF(U290="BD",AO290,IF(U290="BiP",AP290,IF(U290="PV",AQ290,IF(U290="OC",AR290,IF(U290="MG",AS290,0))))))))))</f>
        <v/>
      </c>
      <c r="W290" s="27">
        <f>IF(U290="BiP",Upgrades!$F$18,IF(U290="PV",Upgrades!$F$19,IF(U290="OC",Upgrades!$F$20,IF(U290="MG",Upgrades!$F$21,IF(U290="transition",-Parameters!$B$18*Parameters!$B$19,0)))))</f>
        <v/>
      </c>
      <c r="X290" s="22">
        <f>C290+T290-V290</f>
        <v/>
      </c>
      <c r="Y290" s="30">
        <f>O290*Parameters!$B$10/60*Parameters!$B$11+Q290*O290+P290</f>
        <v/>
      </c>
      <c r="Z290" s="34">
        <f>IF(U290="transition","→ Tier 3 (Galactic Arm)",IF(U290="MG","Moving Group — pocket drifts together",IF(U290="OC","Open Cluster acquired",IF(U290="PV","Peculiar Velocity — passive multiplier active",IF(U290="BiP","Binary Partner — pair bond formed",IF(AND(AU290=1,N290=0,AT290&lt;&gt;1),"Cohesion ready (waiting on completionists)","")))))) </f>
        <v/>
      </c>
      <c r="AA290" s="27">
        <f>(IF(E290=0,0,(Upgrades!$G$13+E290*Upgrades!$H$13)*POWER(Upgrades!$I$13,E290)))*(IF(Upgrades!$T$14="Stellar Kinematics",POWER(Upgrades!$U$14,F290),1)*IF(Upgrades!$T$15="Stellar Kinematics",POWER(Upgrades!$U$15,G290),1)*IF(Upgrades!$T$16="Stellar Kinematics",POWER(Upgrades!$U$16,H290),1)*IF(Upgrades!$T$17="Stellar Kinematics",POWER(Upgrades!$U$17,I290),1)*IF(Upgrades!$T$18="Stellar Kinematics",POWER(Upgrades!$U$18,J290),1)*IF(Upgrades!$T$19="Stellar Kinematics",POWER(Upgrades!$U$19,K290),1)*IF(Upgrades!$T$20="Stellar Kinematics",POWER(Upgrades!$U$20,L290),1)*IF(Upgrades!$T$21="Stellar Kinematics",POWER(Upgrades!$U$21,M290),1))*POWER(Upgrades!$P$13,E290)*POWER(Upgrades!$P$14,F290)*POWER(Upgrades!$P$15,G290)*POWER(Upgrades!$P$16,H290)*POWER(Upgrades!$P$17,I290)*POWER(Upgrades!$P$18,J290)*POWER(Upgrades!$P$19,K290)*POWER(Upgrades!$P$20,L290)*POWER(Upgrades!$P$21,M290)*$F$6*60</f>
        <v/>
      </c>
      <c r="AB290" s="27">
        <f>(IF(F290=0,0,(Upgrades!$G$14+F290*Upgrades!$H$14)*POWER(Upgrades!$I$14,F290)))*(IF(Upgrades!$T$13="Local Bubble",POWER(Upgrades!$U$13,E290),1)*IF(Upgrades!$T$15="Local Bubble",POWER(Upgrades!$U$15,G290),1)*IF(Upgrades!$T$16="Local Bubble",POWER(Upgrades!$U$16,H290),1)*IF(Upgrades!$T$17="Local Bubble",POWER(Upgrades!$U$17,I290),1)*IF(Upgrades!$T$18="Local Bubble",POWER(Upgrades!$U$18,J290),1)*IF(Upgrades!$T$19="Local Bubble",POWER(Upgrades!$U$19,K290),1)*IF(Upgrades!$T$20="Local Bubble",POWER(Upgrades!$U$20,L290),1)*IF(Upgrades!$T$21="Local Bubble",POWER(Upgrades!$U$21,M290),1))*POWER(Upgrades!$P$13,E290)*POWER(Upgrades!$P$14,F290)*POWER(Upgrades!$P$15,G290)*POWER(Upgrades!$P$16,H290)*POWER(Upgrades!$P$17,I290)*POWER(Upgrades!$P$18,J290)*POWER(Upgrades!$P$19,K290)*POWER(Upgrades!$P$20,L290)*POWER(Upgrades!$P$21,M290)*$F$6*60</f>
        <v/>
      </c>
      <c r="AC290" s="27">
        <f>(IF(G290=0,0,(Upgrades!$J$15+G290*Upgrades!$K$15)*POWER(Upgrades!$L$15,G290)))*(IF(Upgrades!$T$13="Microlensing",POWER(Upgrades!$U$13,E290),1)*IF(Upgrades!$T$14="Microlensing",POWER(Upgrades!$U$14,F290),1)*IF(Upgrades!$T$16="Microlensing",POWER(Upgrades!$U$16,H290),1)*IF(Upgrades!$T$17="Microlensing",POWER(Upgrades!$U$17,I290),1)*IF(Upgrades!$T$18="Microlensing",POWER(Upgrades!$U$18,J290),1)*IF(Upgrades!$T$19="Microlensing",POWER(Upgrades!$U$19,K290),1)*IF(Upgrades!$T$20="Microlensing",POWER(Upgrades!$U$20,L290),1)*IF(Upgrades!$T$21="Microlensing",POWER(Upgrades!$U$21,M290),1))*POWER(Upgrades!$Q$13,E290)*POWER(Upgrades!$Q$14,F290)*POWER(Upgrades!$Q$15,G290)*POWER(Upgrades!$Q$16,H290)*POWER(Upgrades!$Q$17,I290)*POWER(Upgrades!$Q$18,J290)*POWER(Upgrades!$Q$19,K290)*POWER(Upgrades!$Q$20,L290)*POWER(Upgrades!$Q$21,M290)*$G$6*(Parameters!$B$10*Parameters!$B$11+Q290*60)</f>
        <v/>
      </c>
      <c r="AD290" s="27">
        <f>(IF(H290=0,0,(Upgrades!$M$16+H290*Upgrades!$N$16)*POWER(Upgrades!$O$16,H290)))*(IF(Upgrades!$T$13="Roche Lobe Overflow",POWER(Upgrades!$U$13,E290),1)*IF(Upgrades!$T$14="Roche Lobe Overflow",POWER(Upgrades!$U$14,F290),1)*IF(Upgrades!$T$15="Roche Lobe Overflow",POWER(Upgrades!$U$15,G290),1)*IF(Upgrades!$T$17="Roche Lobe Overflow",POWER(Upgrades!$U$17,I290),1)*IF(Upgrades!$T$18="Roche Lobe Overflow",POWER(Upgrades!$U$18,J290),1)*IF(Upgrades!$T$19="Roche Lobe Overflow",POWER(Upgrades!$U$19,K290),1)*IF(Upgrades!$T$20="Roche Lobe Overflow",POWER(Upgrades!$U$20,L290),1)*IF(Upgrades!$T$21="Roche Lobe Overflow",POWER(Upgrades!$U$21,M290),1))*POWER(Upgrades!$R$13,E290)*POWER(Upgrades!$R$14,F290)*POWER(Upgrades!$R$15,G290)*POWER(Upgrades!$R$16,H290)*POWER(Upgrades!$R$17,I290)*POWER(Upgrades!$R$18,J290)*POWER(Upgrades!$R$19,K290)*POWER(Upgrades!$R$20,L290)*POWER(Upgrades!$R$21,M290)*$H$6*O290*60</f>
        <v/>
      </c>
      <c r="AE290" s="27">
        <f>(IF(I290=0,0,(Upgrades!$G$17+I290*Upgrades!$H$17)*POWER(Upgrades!$I$17,I290)))*(IF(Upgrades!$T$13="Brown Dwarf",POWER(Upgrades!$U$13,E290),1)*IF(Upgrades!$T$14="Brown Dwarf",POWER(Upgrades!$U$14,F290),1)*IF(Upgrades!$T$15="Brown Dwarf",POWER(Upgrades!$U$15,G290),1)*IF(Upgrades!$T$16="Brown Dwarf",POWER(Upgrades!$U$16,H290),1)*IF(Upgrades!$T$18="Brown Dwarf",POWER(Upgrades!$U$18,J290),1)*IF(Upgrades!$T$19="Brown Dwarf",POWER(Upgrades!$U$19,K290),1)*IF(Upgrades!$T$20="Brown Dwarf",POWER(Upgrades!$U$20,L290),1)*IF(Upgrades!$T$21="Brown Dwarf",POWER(Upgrades!$U$21,M290),1))*POWER(Upgrades!$P$13,E290)*POWER(Upgrades!$P$14,F290)*POWER(Upgrades!$P$15,G290)*POWER(Upgrades!$P$16,H290)*POWER(Upgrades!$P$17,I290)*POWER(Upgrades!$P$18,J290)*POWER(Upgrades!$P$19,K290)*POWER(Upgrades!$P$20,L290)*POWER(Upgrades!$P$21,M290)*$F$6*60</f>
        <v/>
      </c>
      <c r="AF290" s="27" t="n">
        <v>0</v>
      </c>
      <c r="AG290" s="27" t="n">
        <v>0</v>
      </c>
      <c r="AH290" s="27" t="n">
        <v>0</v>
      </c>
      <c r="AI290" s="27">
        <f>(IF(M290=0,0,(Upgrades!$G$21+M290*Upgrades!$H$21)*POWER(Upgrades!$I$21,M290)))*(IF(Upgrades!$T$13="Moving Group",POWER(Upgrades!$U$13,E290),1)*IF(Upgrades!$T$14="Moving Group",POWER(Upgrades!$U$14,F290),1)*IF(Upgrades!$T$15="Moving Group",POWER(Upgrades!$U$15,G290),1)*IF(Upgrades!$T$16="Moving Group",POWER(Upgrades!$U$16,H290),1)*IF(Upgrades!$T$17="Moving Group",POWER(Upgrades!$U$17,I290),1)*IF(Upgrades!$T$18="Moving Group",POWER(Upgrades!$U$18,J290),1)*IF(Upgrades!$T$19="Moving Group",POWER(Upgrades!$U$19,K290),1)*IF(Upgrades!$T$20="Moving Group",POWER(Upgrades!$U$20,L290),1))*POWER(Upgrades!$P$13,E290)*POWER(Upgrades!$P$14,F290)*POWER(Upgrades!$P$15,G290)*POWER(Upgrades!$P$16,H290)*POWER(Upgrades!$P$17,I290)*POWER(Upgrades!$P$18,J290)*POWER(Upgrades!$P$19,K290)*POWER(Upgrades!$P$20,L290)*POWER(Upgrades!$P$21,M290)*$F$6*60</f>
        <v/>
      </c>
      <c r="AJ290" s="27">
        <f>$C$6*60</f>
        <v/>
      </c>
      <c r="AK290" s="22">
        <f>IF(E290&gt;=Upgrades!$E$13,"",Upgrades!$C$13*POWER(Upgrades!$D$13,E290))</f>
        <v/>
      </c>
      <c r="AL290" s="22">
        <f>IF(F290&gt;=Upgrades!$E$14,"",Upgrades!$C$14*POWER(Upgrades!$D$14,F290))</f>
        <v/>
      </c>
      <c r="AM290" s="22">
        <f>IF(G290&gt;=Upgrades!$E$15,"",Upgrades!$C$15*POWER(Upgrades!$D$15,G290))</f>
        <v/>
      </c>
      <c r="AN290" s="22">
        <f>IF(H290&gt;=Upgrades!$E$16,"",Upgrades!$C$16*POWER(Upgrades!$D$16,H290))</f>
        <v/>
      </c>
      <c r="AO290" s="22">
        <f>IF(I290&gt;=Upgrades!$E$17,"",Upgrades!$C$17*POWER(Upgrades!$D$17,I290))</f>
        <v/>
      </c>
      <c r="AP290" s="22">
        <f>IF(J290&gt;=Upgrades!$E$18,"",Upgrades!$C$18*POWER(Upgrades!$D$18,J290))</f>
        <v/>
      </c>
      <c r="AQ290" s="22">
        <f>IF(K290&gt;=Upgrades!$E$19,"",Upgrades!$C$19*POWER(Upgrades!$D$19,K290))</f>
        <v/>
      </c>
      <c r="AR290" s="22">
        <f>IF(L290&gt;=Upgrades!$E$20,"",Upgrades!$C$20*POWER(Upgrades!$D$20,L290))</f>
        <v/>
      </c>
      <c r="AS290" s="22">
        <f>IF(M290&gt;=Upgrades!$E$21,"",Upgrades!$C$21*POWER(Upgrades!$D$21,M290))</f>
        <v/>
      </c>
      <c r="AT290" s="26">
        <f>IF(AND(D290&gt;=Parameters!$B$18*Parameters!$B$19,(I290&gt;=Upgrades!$E$17)*(M290&gt;=Upgrades!$E$21)=1,N290=0),1,"")</f>
        <v/>
      </c>
      <c r="AU290" s="26">
        <f>IF(AND(D290&gt;=Parameters!$B$18*Parameters!$B$19,N290=0),1,"")</f>
        <v/>
      </c>
      <c r="AV290" s="22">
        <f>MIN(IF(ISNUMBER(AP290),AP290,9E15),IF(ISNUMBER(AQ290),AQ290,9E15),IF(ISNUMBER(AR290),AR290,9E15),IF(ISNUMBER(AS290),AS290,9E15))</f>
        <v/>
      </c>
      <c r="AW290" s="22">
        <f>MIN(IF(ISNUMBER(AK290),AK290,9E15),IF(ISNUMBER(AL290),AL290,9E15),IF(ISNUMBER(AM290),AM290,9E15),IF(ISNUMBER(AN290),AN290,9E15),IF(ISNUMBER(AO290),AO290,9E15))</f>
        <v/>
      </c>
      <c r="AX290" s="29">
        <f>IF(BD290&gt;Parameters!$B$21*(MAX(IF(AND(NOT(AND(AU290=1,AT290&lt;&gt;1)),ISNUMBER(AK290),AK290&lt;=(C290+T290)),AY290,0),IF(AND(NOT(AND(AU290=1,AT290&lt;&gt;1)),ISNUMBER(AL290),AL290&lt;=(C290+T290)),AZ290,0),IF(AND(NOT(AND(AU290=1,AT290&lt;&gt;1)),ISNUMBER(AM290),AM290&lt;=(C290+T290)),BA290,0),IF(AND(NOT(AND(AU290=1,AT290&lt;&gt;1)),ISNUMBER(AN290),AN290&lt;=(C290+T290)),BB290,0),IF(AND(ISNUMBER(AO290),AO290&lt;=(C290+T290)),BC290,0))),TRUE,FALSE)</f>
        <v/>
      </c>
      <c r="AY290" s="32">
        <f>IFERROR(Upgrades!$H$13*(POWER(Upgrades!$P$13,E290)*POWER(Upgrades!$P$14,F290)*POWER(Upgrades!$P$15,G290)*POWER(Upgrades!$P$16,H290)*POWER(Upgrades!$P$17,I290)*POWER(Upgrades!$P$18,J290)*POWER(Upgrades!$P$19,K290)*POWER(Upgrades!$P$20,L290)*POWER(Upgrades!$P$21,M290))*(IF(Upgrades!$T$14="Stellar Kinematics",POWER(Upgrades!$U$14,F290),1)*IF(Upgrades!$T$15="Stellar Kinematics",POWER(Upgrades!$U$15,G290),1)*IF(Upgrades!$T$16="Stellar Kinematics",POWER(Upgrades!$U$16,H290),1)*IF(Upgrades!$T$17="Stellar Kinematics",POWER(Upgrades!$U$17,I290),1)*IF(Upgrades!$T$18="Stellar Kinematics",POWER(Upgrades!$U$18,J290),1)*IF(Upgrades!$T$19="Stellar Kinematics",POWER(Upgrades!$U$19,K290),1)*IF(Upgrades!$T$20="Stellar Kinematics",POWER(Upgrades!$U$20,L290),1)*IF(Upgrades!$T$21="Stellar Kinematics",POWER(Upgrades!$U$21,M290),1))*$F$6/AK290,0)</f>
        <v/>
      </c>
      <c r="AZ290" s="32">
        <f>IFERROR(Upgrades!$H$14*(POWER(Upgrades!$P$13,E290)*POWER(Upgrades!$P$14,F290)*POWER(Upgrades!$P$15,G290)*POWER(Upgrades!$P$16,H290)*POWER(Upgrades!$P$17,I290)*POWER(Upgrades!$P$18,J290)*POWER(Upgrades!$P$19,K290)*POWER(Upgrades!$P$20,L290)*POWER(Upgrades!$P$21,M290))*(IF(Upgrades!$T$13="Local Bubble",POWER(Upgrades!$U$13,E290),1)*IF(Upgrades!$T$15="Local Bubble",POWER(Upgrades!$U$15,G290),1)*IF(Upgrades!$T$16="Local Bubble",POWER(Upgrades!$U$16,H290),1)*IF(Upgrades!$T$17="Local Bubble",POWER(Upgrades!$U$17,I290),1)*IF(Upgrades!$T$18="Local Bubble",POWER(Upgrades!$U$18,J290),1)*IF(Upgrades!$T$19="Local Bubble",POWER(Upgrades!$U$19,K290),1)*IF(Upgrades!$T$20="Local Bubble",POWER(Upgrades!$U$20,L290),1)*IF(Upgrades!$T$21="Local Bubble",POWER(Upgrades!$U$21,M290),1))*$F$6/AL290,0)</f>
        <v/>
      </c>
      <c r="BA290" s="32">
        <f>IFERROR(Upgrades!$K$15*(POWER(Upgrades!$Q$13,E290)*POWER(Upgrades!$Q$14,F290)*POWER(Upgrades!$Q$15,G290)*POWER(Upgrades!$Q$16,H290)*POWER(Upgrades!$Q$17,I290)*POWER(Upgrades!$Q$18,J290)*POWER(Upgrades!$Q$19,K290)*POWER(Upgrades!$Q$20,L290)*POWER(Upgrades!$Q$21,M290))*(IF(Upgrades!$T$13="Microlensing",POWER(Upgrades!$U$13,E290),1)*IF(Upgrades!$T$14="Microlensing",POWER(Upgrades!$U$14,F290),1)*IF(Upgrades!$T$16="Microlensing",POWER(Upgrades!$U$16,H290),1)*IF(Upgrades!$T$17="Microlensing",POWER(Upgrades!$U$17,I290),1)*IF(Upgrades!$T$18="Microlensing",POWER(Upgrades!$U$18,J290),1)*IF(Upgrades!$T$19="Microlensing",POWER(Upgrades!$U$19,K290),1)*IF(Upgrades!$T$20="Microlensing",POWER(Upgrades!$U$20,L290),1)*IF(Upgrades!$T$21="Microlensing",POWER(Upgrades!$U$21,M290),1))*$G$6*(Parameters!$B$10/60*Parameters!$B$11+Q290)/AM290,0)</f>
        <v/>
      </c>
      <c r="BB290" s="32">
        <f>IFERROR((Upgrades!$N$16*(POWER(Upgrades!$R$13,E290)*POWER(Upgrades!$R$14,F290)*POWER(Upgrades!$R$15,G290)*POWER(Upgrades!$R$16,H290)*POWER(Upgrades!$R$17,I290)*POWER(Upgrades!$R$18,J290)*POWER(Upgrades!$R$19,K290)*POWER(Upgrades!$R$20,L290)*POWER(Upgrades!$R$21,M290))*(IF(Upgrades!$T$13="Roche Lobe Overflow",POWER(Upgrades!$U$13,E290),1)*IF(Upgrades!$T$14="Roche Lobe Overflow",POWER(Upgrades!$U$14,F290),1)*IF(Upgrades!$T$15="Roche Lobe Overflow",POWER(Upgrades!$U$15,G290),1)*IF(Upgrades!$T$17="Roche Lobe Overflow",POWER(Upgrades!$U$17,I290),1)*IF(Upgrades!$T$18="Roche Lobe Overflow",POWER(Upgrades!$U$18,J290),1)*IF(Upgrades!$T$19="Roche Lobe Overflow",POWER(Upgrades!$U$19,K290),1)*IF(Upgrades!$T$20="Roche Lobe Overflow",POWER(Upgrades!$U$20,L290),1)*IF(Upgrades!$T$21="Roche Lobe Overflow",POWER(Upgrades!$U$21,M290),1))*$H$6*O290+((IF(F290=0,0,(Upgrades!$G$14+F290*Upgrades!$H$14)*POWER(Upgrades!$I$14,F290)))*(IF(Upgrades!$T$13="Local Bubble",POWER(Upgrades!$U$13,E290),1)*IF(Upgrades!$T$15="Local Bubble",POWER(Upgrades!$U$15,G290),1)*IF(Upgrades!$T$16="Local Bubble",POWER(Upgrades!$U$16,H290),1)*IF(Upgrades!$T$17="Local Bubble",POWER(Upgrades!$U$17,I290),1)*IF(Upgrades!$T$18="Local Bubble",POWER(Upgrades!$U$18,J290),1)*IF(Upgrades!$T$19="Local Bubble",POWER(Upgrades!$U$19,K290),1)*IF(Upgrades!$T$20="Local Bubble",POWER(Upgrades!$U$20,L290),1)*IF(Upgrades!$T$21="Local Bubble",POWER(Upgrades!$U$21,M290),1))*POWER(Upgrades!$P$13,E290)*POWER(Upgrades!$P$14,F290)*POWER(Upgrades!$P$15,G290)*POWER(Upgrades!$P$16,H290)*POWER(Upgrades!$P$17,I290)*POWER(Upgrades!$P$18,J290)*POWER(Upgrades!$P$19,K290)*POWER(Upgrades!$P$20,L290)*POWER(Upgrades!$P$21,M290)*$F$6)*0.05)/AN290,0)</f>
        <v/>
      </c>
      <c r="BC290" s="32">
        <f>IFERROR((Upgrades!$H$17*(POWER(Upgrades!$P$13,E290)*POWER(Upgrades!$P$14,F290)*POWER(Upgrades!$P$15,G290)*POWER(Upgrades!$P$16,H290)*POWER(Upgrades!$P$17,I290)*POWER(Upgrades!$P$18,J290)*POWER(Upgrades!$P$19,K290)*POWER(Upgrades!$P$20,L290)*POWER(Upgrades!$P$21,M290))*(IF(Upgrades!$T$13="Brown Dwarf",POWER(Upgrades!$U$13,E290),1)*IF(Upgrades!$T$14="Brown Dwarf",POWER(Upgrades!$U$14,F290),1)*IF(Upgrades!$T$15="Brown Dwarf",POWER(Upgrades!$U$15,G290),1)*IF(Upgrades!$T$16="Brown Dwarf",POWER(Upgrades!$U$16,H290),1)*IF(Upgrades!$T$18="Brown Dwarf",POWER(Upgrades!$U$18,J290),1)*IF(Upgrades!$T$19="Brown Dwarf",POWER(Upgrades!$U$19,K290),1)*IF(Upgrades!$T$20="Brown Dwarf",POWER(Upgrades!$U$20,L290),1)*IF(Upgrades!$T$21="Brown Dwarf",POWER(Upgrades!$U$21,M290),1))*$F$6+(((IF(H290=0,0,(Upgrades!$M$16+H290*Upgrades!$N$16)*POWER(Upgrades!$O$16,H290)))*(IF(Upgrades!$T$13="Roche Lobe Overflow",POWER(Upgrades!$U$13,E290),1)*IF(Upgrades!$T$14="Roche Lobe Overflow",POWER(Upgrades!$U$14,F290),1)*IF(Upgrades!$T$15="Roche Lobe Overflow",POWER(Upgrades!$U$15,G290),1)*IF(Upgrades!$T$17="Roche Lobe Overflow",POWER(Upgrades!$U$17,I290),1)*IF(Upgrades!$T$18="Roche Lobe Overflow",POWER(Upgrades!$U$18,J290),1)*IF(Upgrades!$T$19="Roche Lobe Overflow",POWER(Upgrades!$U$19,K290),1)*IF(Upgrades!$T$20="Roche Lobe Overflow",POWER(Upgrades!$U$20,L290),1)*IF(Upgrades!$T$21="Roche Lobe Overflow",POWER(Upgrades!$U$21,M290),1))*POWER(Upgrades!$R$13,E290)*POWER(Upgrades!$R$14,F290)*POWER(Upgrades!$R$15,G290)*POWER(Upgrades!$R$16,H290)*POWER(Upgrades!$R$17,I290)*POWER(Upgrades!$R$18,J290)*POWER(Upgrades!$R$19,K290)*POWER(Upgrades!$R$20,L290)*POWER(Upgrades!$R$21,M290)*$H$6)*O290)*0.10)/AO290,0)</f>
        <v/>
      </c>
      <c r="BD290" s="32">
        <f>MAX(IF(J290&gt;0,0,IFERROR(0.5*((IF(G290=0,0,(Upgrades!$J$15+G290*Upgrades!$K$15)*POWER(Upgrades!$L$15,G290)))*(IF(Upgrades!$T$13="Microlensing",POWER(Upgrades!$U$13,E290),1)*IF(Upgrades!$T$14="Microlensing",POWER(Upgrades!$U$14,F290),1)*IF(Upgrades!$T$16="Microlensing",POWER(Upgrades!$U$16,H290),1)*IF(Upgrades!$T$17="Microlensing",POWER(Upgrades!$U$17,I290),1)*IF(Upgrades!$T$18="Microlensing",POWER(Upgrades!$U$18,J290),1)*IF(Upgrades!$T$19="Microlensing",POWER(Upgrades!$U$19,K290),1)*IF(Upgrades!$T$20="Microlensing",POWER(Upgrades!$U$20,L290),1)*IF(Upgrades!$T$21="Microlensing",POWER(Upgrades!$U$21,M290),1))*(POWER(Upgrades!$Q$13,E290)*POWER(Upgrades!$Q$14,F290)*POWER(Upgrades!$Q$15,G290)*POWER(Upgrades!$Q$16,H290)*POWER(Upgrades!$Q$17,I290)*POWER(Upgrades!$Q$18,J290)*POWER(Upgrades!$Q$19,K290)*POWER(Upgrades!$Q$20,L290)*POWER(Upgrades!$Q$21,M290))*$G$6*(Parameters!$B$10/60*Parameters!$B$11+Q290))/Upgrades!$C$18,0)),IF(K290&gt;0,0,IFERROR(0.30*P290/Upgrades!$C$19,0)),IF(L290&gt;0,0,IFERROR(0.0001/Upgrades!$C$20,0)),IF(M290&gt;0,0,IFERROR((6.0*(POWER(Upgrades!$P$13,E290)*POWER(Upgrades!$P$14,F290)*POWER(Upgrades!$P$15,G290)*POWER(Upgrades!$P$16,H290)*POWER(Upgrades!$P$17,I290)*POWER(Upgrades!$P$18,J290)*POWER(Upgrades!$P$19,K290)*POWER(Upgrades!$P$20,L290)*POWER(Upgrades!$P$21,M290))*$F$6+0.20*O290*(Parameters!$B$10/60*Parameters!$B$11+Q290))/Upgrades!$C$21,0)),IF(AND(ISNUMBER(AK290),AK290&gt;(C290+T290)),AY290,0),IF(AND(ISNUMBER(AL290),AL290&gt;(C290+T290)),AZ290,0),IF(AND(ISNUMBER(AM290),AM290&gt;(C290+T290)),BA290,0),IF(AND(ISNUMBER(AN290),AN290&gt;(C290+T290)),BB290,0),IF(AND(ISNUMBER(AO290),AO290&gt;(C290+T290)),BC290,0))</f>
        <v/>
      </c>
      <c r="BE290" s="29">
        <f>IF(AT290=1,"transition",IF(MIN(IF(AND(J290=0,ISNUMBER(AP290),AP290&lt;=(C290+T290)),AP290,9E15),IF(AND(K290=0,ISNUMBER(AQ290),AQ290&lt;=(C290+T290)),AQ290,9E15),IF(AND(L290=0,ISNUMBER(AR290),AR290&lt;=(C290+T290)),AR290,9E15),IF(AND(M290=0,ISNUMBER(AS290),AS290&lt;=(C290+T290)),AS290,9E15))&lt;9E15,IF(AND(AND(J290=0,ISNUMBER(AP290),AP290&lt;=(C290+T290)),AP290=MIN(IF(AND(J290=0,ISNUMBER(AP290),AP290&lt;=(C290+T290)),AP290,9E15),IF(AND(K290=0,ISNUMBER(AQ290),AQ290&lt;=(C290+T290)),AQ290,9E15),IF(AND(L290=0,ISNUMBER(AR290),AR290&lt;=(C290+T290)),AR290,9E15),IF(AND(M290=0,ISNUMBER(AS290),AS290&lt;=(C290+T290)),AS290,9E15))),"BiP",IF(AND(AND(K290=0,ISNUMBER(AQ290),AQ290&lt;=(C290+T290)),AQ290=MIN(IF(AND(J290=0,ISNUMBER(AP290),AP290&lt;=(C290+T290)),AP290,9E15),IF(AND(K290=0,ISNUMBER(AQ290),AQ290&lt;=(C290+T290)),AQ290,9E15),IF(AND(L290=0,ISNUMBER(AR290),AR290&lt;=(C290+T290)),AR290,9E15),IF(AND(M290=0,ISNUMBER(AS290),AS290&lt;=(C290+T290)),AS290,9E15))),"PV",IF(AND(AND(L290=0,ISNUMBER(AR290),AR290&lt;=(C290+T290)),AR290=MIN(IF(AND(J290=0,ISNUMBER(AP290),AP290&lt;=(C290+T290)),AP290,9E15),IF(AND(K290=0,ISNUMBER(AQ290),AQ290&lt;=(C290+T290)),AQ290,9E15),IF(AND(L290=0,ISNUMBER(AR290),AR290&lt;=(C290+T290)),AR290,9E15),IF(AND(M290=0,ISNUMBER(AS290),AS290&lt;=(C290+T290)),AS290,9E15))),"OC","MG"))),IF(AX290=TRUE,"",IF(MAX(IF(AND(NOT(AND(AU290=1,AT290&lt;&gt;1)),ISNUMBER(AK290),AK290&lt;=(C290+T290)),AY290,0),IF(AND(NOT(AND(AU290=1,AT290&lt;&gt;1)),ISNUMBER(AL290),AL290&lt;=(C290+T290)),AZ290,0),IF(AND(NOT(AND(AU290=1,AT290&lt;&gt;1)),ISNUMBER(AM290),AM290&lt;=(C290+T290)),BA290,0),IF(AND(NOT(AND(AU290=1,AT290&lt;&gt;1)),ISNUMBER(AN290),AN290&lt;=(C290+T290)),BB290,0),IF(AND(ISNUMBER(AO290),AO290&lt;=(C290+T290)),BC290,0))&lt;=0,"",IF(AND(IF(AND(NOT(AND(AU290=1,AT290&lt;&gt;1)),ISNUMBER(AK290),AK290&lt;=(C290+T290)),AY290,0)&gt;0,IF(AND(NOT(AND(AU290=1,AT290&lt;&gt;1)),ISNUMBER(AK290),AK290&lt;=(C290+T290)),AY290,0)=MAX(IF(AND(NOT(AND(AU290=1,AT290&lt;&gt;1)),ISNUMBER(AK290),AK290&lt;=(C290+T290)),AY290,0),IF(AND(NOT(AND(AU290=1,AT290&lt;&gt;1)),ISNUMBER(AL290),AL290&lt;=(C290+T290)),AZ290,0),IF(AND(NOT(AND(AU290=1,AT290&lt;&gt;1)),ISNUMBER(AM290),AM290&lt;=(C290+T290)),BA290,0),IF(AND(NOT(AND(AU290=1,AT290&lt;&gt;1)),ISNUMBER(AN290),AN290&lt;=(C290+T290)),BB290,0),IF(AND(ISNUMBER(AO290),AO290&lt;=(C290+T290)),BC290,0))),"SK",IF(AND(IF(AND(NOT(AND(AU290=1,AT290&lt;&gt;1)),ISNUMBER(AL290),AL290&lt;=(C290+T290)),AZ290,0)&gt;0,IF(AND(NOT(AND(AU290=1,AT290&lt;&gt;1)),ISNUMBER(AL290),AL290&lt;=(C290+T290)),AZ290,0)=MAX(IF(AND(NOT(AND(AU290=1,AT290&lt;&gt;1)),ISNUMBER(AK290),AK290&lt;=(C290+T290)),AY290,0),IF(AND(NOT(AND(AU290=1,AT290&lt;&gt;1)),ISNUMBER(AL290),AL290&lt;=(C290+T290)),AZ290,0),IF(AND(NOT(AND(AU290=1,AT290&lt;&gt;1)),ISNUMBER(AM290),AM290&lt;=(C290+T290)),BA290,0),IF(AND(NOT(AND(AU290=1,AT290&lt;&gt;1)),ISNUMBER(AN290),AN290&lt;=(C290+T290)),BB290,0),IF(AND(ISNUMBER(AO290),AO290&lt;=(C290+T290)),BC290,0))),"LB",IF(AND(IF(AND(NOT(AND(AU290=1,AT290&lt;&gt;1)),ISNUMBER(AM290),AM290&lt;=(C290+T290)),BA290,0)&gt;0,IF(AND(NOT(AND(AU290=1,AT290&lt;&gt;1)),ISNUMBER(AM290),AM290&lt;=(C290+T290)),BA290,0)=MAX(IF(AND(NOT(AND(AU290=1,AT290&lt;&gt;1)),ISNUMBER(AK290),AK290&lt;=(C290+T290)),AY290,0),IF(AND(NOT(AND(AU290=1,AT290&lt;&gt;1)),ISNUMBER(AL290),AL290&lt;=(C290+T290)),AZ290,0),IF(AND(NOT(AND(AU290=1,AT290&lt;&gt;1)),ISNUMBER(AM290),AM290&lt;=(C290+T290)),BA290,0),IF(AND(NOT(AND(AU290=1,AT290&lt;&gt;1)),ISNUMBER(AN290),AN290&lt;=(C290+T290)),BB290,0),IF(AND(ISNUMBER(AO290),AO290&lt;=(C290+T290)),BC290,0))),"ML",IF(AND(IF(AND(NOT(AND(AU290=1,AT290&lt;&gt;1)),ISNUMBER(AN290),AN290&lt;=(C290+T290)),BB290,0)&gt;0,IF(AND(NOT(AND(AU290=1,AT290&lt;&gt;1)),ISNUMBER(AN290),AN290&lt;=(C290+T290)),BB290,0)=MAX(IF(AND(NOT(AND(AU290=1,AT290&lt;&gt;1)),ISNUMBER(AK290),AK290&lt;=(C290+T290)),AY290,0),IF(AND(NOT(AND(AU290=1,AT290&lt;&gt;1)),ISNUMBER(AL290),AL290&lt;=(C290+T290)),AZ290,0),IF(AND(NOT(AND(AU290=1,AT290&lt;&gt;1)),ISNUMBER(AM290),AM290&lt;=(C290+T290)),BA290,0),IF(AND(NOT(AND(AU290=1,AT290&lt;&gt;1)),ISNUMBER(AN290),AN290&lt;=(C290+T290)),BB290,0),IF(AND(ISNUMBER(AO290),AO290&lt;=(C290+T290)),BC290,0))),"RLO","BD"))))))))</f>
        <v/>
      </c>
    </row>
    <row r="291">
      <c r="A291" s="26" t="n">
        <v>280</v>
      </c>
      <c r="B291" s="27">
        <f>A291*10/60</f>
        <v/>
      </c>
      <c r="C291" s="22">
        <f>X290</f>
        <v/>
      </c>
      <c r="D291" s="27">
        <f>D290+W290</f>
        <v/>
      </c>
      <c r="E291" s="26">
        <f>E290+IF(U290="SK",1,0)</f>
        <v/>
      </c>
      <c r="F291" s="26">
        <f>F290+IF(U290="LB",1,0)</f>
        <v/>
      </c>
      <c r="G291" s="26">
        <f>G290+IF(U290="ML",1,0)</f>
        <v/>
      </c>
      <c r="H291" s="26">
        <f>H290+IF(U290="RLO",1,0)</f>
        <v/>
      </c>
      <c r="I291" s="26">
        <f>I290+IF(U290="BD",1,0)</f>
        <v/>
      </c>
      <c r="J291" s="26">
        <f>MAX(J290,IF(U290="BiP",1,0))</f>
        <v/>
      </c>
      <c r="K291" s="26">
        <f>MAX(K290,IF(U290="PV",1,0))</f>
        <v/>
      </c>
      <c r="L291" s="26">
        <f>MAX(L290,IF(U290="OC",1,0))</f>
        <v/>
      </c>
      <c r="M291" s="26">
        <f>MAX(M290,IF(U290="MG",1,0))</f>
        <v/>
      </c>
      <c r="N291" s="26">
        <f>MAX(N290,IF(U290="transition",1,0))</f>
        <v/>
      </c>
      <c r="O291" s="28">
        <f>(Parameters!$B$9+(IF(E291=0,0,(Upgrades!$J$13+E291*Upgrades!$K$13)*POWER(Upgrades!$L$13,E291)))*(IF(Upgrades!$T$14="Stellar Kinematics",POWER(Upgrades!$U$14,F291),1)*IF(Upgrades!$T$15="Stellar Kinematics",POWER(Upgrades!$U$15,G291),1)*IF(Upgrades!$T$16="Stellar Kinematics",POWER(Upgrades!$U$16,H291),1)*IF(Upgrades!$T$17="Stellar Kinematics",POWER(Upgrades!$U$17,I291),1)*IF(Upgrades!$T$18="Stellar Kinematics",POWER(Upgrades!$U$18,J291),1)*IF(Upgrades!$T$19="Stellar Kinematics",POWER(Upgrades!$U$19,K291),1)*IF(Upgrades!$T$20="Stellar Kinematics",POWER(Upgrades!$U$20,L291),1)*IF(Upgrades!$T$21="Stellar Kinematics",POWER(Upgrades!$U$21,M291),1))+(IF(F291=0,0,(Upgrades!$J$14+F291*Upgrades!$K$14)*POWER(Upgrades!$L$14,F291)))*(IF(Upgrades!$T$13="Local Bubble",POWER(Upgrades!$U$13,E291),1)*IF(Upgrades!$T$15="Local Bubble",POWER(Upgrades!$U$15,G291),1)*IF(Upgrades!$T$16="Local Bubble",POWER(Upgrades!$U$16,H291),1)*IF(Upgrades!$T$17="Local Bubble",POWER(Upgrades!$U$17,I291),1)*IF(Upgrades!$T$18="Local Bubble",POWER(Upgrades!$U$18,J291),1)*IF(Upgrades!$T$19="Local Bubble",POWER(Upgrades!$U$19,K291),1)*IF(Upgrades!$T$20="Local Bubble",POWER(Upgrades!$U$20,L291),1)*IF(Upgrades!$T$21="Local Bubble",POWER(Upgrades!$U$21,M291),1))+(IF(G291=0,0,(Upgrades!$J$15+G291*Upgrades!$K$15)*POWER(Upgrades!$L$15,G291)))*(IF(Upgrades!$T$13="Microlensing",POWER(Upgrades!$U$13,E291),1)*IF(Upgrades!$T$14="Microlensing",POWER(Upgrades!$U$14,F291),1)*IF(Upgrades!$T$16="Microlensing",POWER(Upgrades!$U$16,H291),1)*IF(Upgrades!$T$17="Microlensing",POWER(Upgrades!$U$17,I291),1)*IF(Upgrades!$T$18="Microlensing",POWER(Upgrades!$U$18,J291),1)*IF(Upgrades!$T$19="Microlensing",POWER(Upgrades!$U$19,K291),1)*IF(Upgrades!$T$20="Microlensing",POWER(Upgrades!$U$20,L291),1)*IF(Upgrades!$T$21="Microlensing",POWER(Upgrades!$U$21,M291),1))+(IF(H291=0,0,(Upgrades!$J$16+H291*Upgrades!$K$16)*POWER(Upgrades!$L$16,H291)))*(IF(Upgrades!$T$13="Roche Lobe Overflow",POWER(Upgrades!$U$13,E291),1)*IF(Upgrades!$T$14="Roche Lobe Overflow",POWER(Upgrades!$U$14,F291),1)*IF(Upgrades!$T$15="Roche Lobe Overflow",POWER(Upgrades!$U$15,G291),1)*IF(Upgrades!$T$17="Roche Lobe Overflow",POWER(Upgrades!$U$17,I291),1)*IF(Upgrades!$T$18="Roche Lobe Overflow",POWER(Upgrades!$U$18,J291),1)*IF(Upgrades!$T$19="Roche Lobe Overflow",POWER(Upgrades!$U$19,K291),1)*IF(Upgrades!$T$20="Roche Lobe Overflow",POWER(Upgrades!$U$20,L291),1)*IF(Upgrades!$T$21="Roche Lobe Overflow",POWER(Upgrades!$U$21,M291),1))+(IF(I291=0,0,(Upgrades!$J$17+I291*Upgrades!$K$17)*POWER(Upgrades!$L$17,I291)))*(IF(Upgrades!$T$13="Brown Dwarf",POWER(Upgrades!$U$13,E291),1)*IF(Upgrades!$T$14="Brown Dwarf",POWER(Upgrades!$U$14,F291),1)*IF(Upgrades!$T$15="Brown Dwarf",POWER(Upgrades!$U$15,G291),1)*IF(Upgrades!$T$16="Brown Dwarf",POWER(Upgrades!$U$16,H291),1)*IF(Upgrades!$T$18="Brown Dwarf",POWER(Upgrades!$U$18,J291),1)*IF(Upgrades!$T$19="Brown Dwarf",POWER(Upgrades!$U$19,K291),1)*IF(Upgrades!$T$20="Brown Dwarf",POWER(Upgrades!$U$20,L291),1)*IF(Upgrades!$T$21="Brown Dwarf",POWER(Upgrades!$U$21,M291),1))+(IF(J291=0,0,(Upgrades!$J$18+J291*Upgrades!$K$18)*POWER(Upgrades!$L$18,J291)))*(IF(Upgrades!$T$13="Binary Partner",POWER(Upgrades!$U$13,E291),1)*IF(Upgrades!$T$14="Binary Partner",POWER(Upgrades!$U$14,F291),1)*IF(Upgrades!$T$15="Binary Partner",POWER(Upgrades!$U$15,G291),1)*IF(Upgrades!$T$16="Binary Partner",POWER(Upgrades!$U$16,H291),1)*IF(Upgrades!$T$17="Binary Partner",POWER(Upgrades!$U$17,I291),1)*IF(Upgrades!$T$19="Binary Partner",POWER(Upgrades!$U$19,K291),1)*IF(Upgrades!$T$20="Binary Partner",POWER(Upgrades!$U$20,L291),1)*IF(Upgrades!$T$21="Binary Partner",POWER(Upgrades!$U$21,M291),1))+(IF(K291=0,0,(Upgrades!$J$19+K291*Upgrades!$K$19)*POWER(Upgrades!$L$19,K291)))*(IF(Upgrades!$T$13="Peculiar Velocity",POWER(Upgrades!$U$13,E291),1)*IF(Upgrades!$T$14="Peculiar Velocity",POWER(Upgrades!$U$14,F291),1)*IF(Upgrades!$T$15="Peculiar Velocity",POWER(Upgrades!$U$15,G291),1)*IF(Upgrades!$T$16="Peculiar Velocity",POWER(Upgrades!$U$16,H291),1)*IF(Upgrades!$T$17="Peculiar Velocity",POWER(Upgrades!$U$17,I291),1)*IF(Upgrades!$T$18="Peculiar Velocity",POWER(Upgrades!$U$18,J291),1)*IF(Upgrades!$T$20="Peculiar Velocity",POWER(Upgrades!$U$20,L291),1)*IF(Upgrades!$T$21="Peculiar Velocity",POWER(Upgrades!$U$21,M291),1))+(IF(L291=0,0,(Upgrades!$J$20+L291*Upgrades!$K$20)*POWER(Upgrades!$L$20,L291)))*(IF(Upgrades!$T$13="Open Cluster",POWER(Upgrades!$U$13,E291),1)*IF(Upgrades!$T$14="Open Cluster",POWER(Upgrades!$U$14,F291),1)*IF(Upgrades!$T$15="Open Cluster",POWER(Upgrades!$U$15,G291),1)*IF(Upgrades!$T$16="Open Cluster",POWER(Upgrades!$U$16,H291),1)*IF(Upgrades!$T$17="Open Cluster",POWER(Upgrades!$U$17,I291),1)*IF(Upgrades!$T$18="Open Cluster",POWER(Upgrades!$U$18,J291),1)*IF(Upgrades!$T$19="Open Cluster",POWER(Upgrades!$U$19,K291),1)*IF(Upgrades!$T$21="Open Cluster",POWER(Upgrades!$U$21,M291),1))+(IF(M291=0,0,(Upgrades!$J$21+M291*Upgrades!$K$21)*POWER(Upgrades!$L$21,M291)))*(IF(Upgrades!$T$13="Moving Group",POWER(Upgrades!$U$13,E291),1)*IF(Upgrades!$T$14="Moving Group",POWER(Upgrades!$U$14,F291),1)*IF(Upgrades!$T$15="Moving Group",POWER(Upgrades!$U$15,G291),1)*IF(Upgrades!$T$16="Moving Group",POWER(Upgrades!$U$16,H291),1)*IF(Upgrades!$T$17="Moving Group",POWER(Upgrades!$U$17,I291),1)*IF(Upgrades!$T$18="Moving Group",POWER(Upgrades!$U$18,J291),1)*IF(Upgrades!$T$19="Moving Group",POWER(Upgrades!$U$19,K291),1)*IF(Upgrades!$T$20="Moving Group",POWER(Upgrades!$U$20,L291),1)))*POWER(Upgrades!$Q$13,E291)*POWER(Upgrades!$Q$14,F291)*POWER(Upgrades!$Q$15,G291)*POWER(Upgrades!$Q$16,H291)*POWER(Upgrades!$Q$17,I291)*POWER(Upgrades!$Q$18,J291)*POWER(Upgrades!$Q$19,K291)*POWER(Upgrades!$Q$20,L291)*POWER(Upgrades!$Q$21,M291)*$G$6+$D$6</f>
        <v/>
      </c>
      <c r="P291" s="28">
        <f>((IF(E291=0,0,(Upgrades!$G$13+E291*Upgrades!$H$13)*POWER(Upgrades!$I$13,E291)))*(IF(Upgrades!$T$14="Stellar Kinematics",POWER(Upgrades!$U$14,F291),1)*IF(Upgrades!$T$15="Stellar Kinematics",POWER(Upgrades!$U$15,G291),1)*IF(Upgrades!$T$16="Stellar Kinematics",POWER(Upgrades!$U$16,H291),1)*IF(Upgrades!$T$17="Stellar Kinematics",POWER(Upgrades!$U$17,I291),1)*IF(Upgrades!$T$18="Stellar Kinematics",POWER(Upgrades!$U$18,J291),1)*IF(Upgrades!$T$19="Stellar Kinematics",POWER(Upgrades!$U$19,K291),1)*IF(Upgrades!$T$20="Stellar Kinematics",POWER(Upgrades!$U$20,L291),1)*IF(Upgrades!$T$21="Stellar Kinematics",POWER(Upgrades!$U$21,M291),1))+(IF(F291=0,0,(Upgrades!$G$14+F291*Upgrades!$H$14)*POWER(Upgrades!$I$14,F291)))*(IF(Upgrades!$T$13="Local Bubble",POWER(Upgrades!$U$13,E291),1)*IF(Upgrades!$T$15="Local Bubble",POWER(Upgrades!$U$15,G291),1)*IF(Upgrades!$T$16="Local Bubble",POWER(Upgrades!$U$16,H291),1)*IF(Upgrades!$T$17="Local Bubble",POWER(Upgrades!$U$17,I291),1)*IF(Upgrades!$T$18="Local Bubble",POWER(Upgrades!$U$18,J291),1)*IF(Upgrades!$T$19="Local Bubble",POWER(Upgrades!$U$19,K291),1)*IF(Upgrades!$T$20="Local Bubble",POWER(Upgrades!$U$20,L291),1)*IF(Upgrades!$T$21="Local Bubble",POWER(Upgrades!$U$21,M291),1))+(IF(G291=0,0,(Upgrades!$G$15+G291*Upgrades!$H$15)*POWER(Upgrades!$I$15,G291)))*(IF(Upgrades!$T$13="Microlensing",POWER(Upgrades!$U$13,E291),1)*IF(Upgrades!$T$14="Microlensing",POWER(Upgrades!$U$14,F291),1)*IF(Upgrades!$T$16="Microlensing",POWER(Upgrades!$U$16,H291),1)*IF(Upgrades!$T$17="Microlensing",POWER(Upgrades!$U$17,I291),1)*IF(Upgrades!$T$18="Microlensing",POWER(Upgrades!$U$18,J291),1)*IF(Upgrades!$T$19="Microlensing",POWER(Upgrades!$U$19,K291),1)*IF(Upgrades!$T$20="Microlensing",POWER(Upgrades!$U$20,L291),1)*IF(Upgrades!$T$21="Microlensing",POWER(Upgrades!$U$21,M291),1))+(IF(H291=0,0,(Upgrades!$G$16+H291*Upgrades!$H$16)*POWER(Upgrades!$I$16,H291)))*(IF(Upgrades!$T$13="Roche Lobe Overflow",POWER(Upgrades!$U$13,E291),1)*IF(Upgrades!$T$14="Roche Lobe Overflow",POWER(Upgrades!$U$14,F291),1)*IF(Upgrades!$T$15="Roche Lobe Overflow",POWER(Upgrades!$U$15,G291),1)*IF(Upgrades!$T$17="Roche Lobe Overflow",POWER(Upgrades!$U$17,I291),1)*IF(Upgrades!$T$18="Roche Lobe Overflow",POWER(Upgrades!$U$18,J291),1)*IF(Upgrades!$T$19="Roche Lobe Overflow",POWER(Upgrades!$U$19,K291),1)*IF(Upgrades!$T$20="Roche Lobe Overflow",POWER(Upgrades!$U$20,L291),1)*IF(Upgrades!$T$21="Roche Lobe Overflow",POWER(Upgrades!$U$21,M291),1))+(IF(I291=0,0,(Upgrades!$G$17+I291*Upgrades!$H$17)*POWER(Upgrades!$I$17,I291)))*(IF(Upgrades!$T$13="Brown Dwarf",POWER(Upgrades!$U$13,E291),1)*IF(Upgrades!$T$14="Brown Dwarf",POWER(Upgrades!$U$14,F291),1)*IF(Upgrades!$T$15="Brown Dwarf",POWER(Upgrades!$U$15,G291),1)*IF(Upgrades!$T$16="Brown Dwarf",POWER(Upgrades!$U$16,H291),1)*IF(Upgrades!$T$18="Brown Dwarf",POWER(Upgrades!$U$18,J291),1)*IF(Upgrades!$T$19="Brown Dwarf",POWER(Upgrades!$U$19,K291),1)*IF(Upgrades!$T$20="Brown Dwarf",POWER(Upgrades!$U$20,L291),1)*IF(Upgrades!$T$21="Brown Dwarf",POWER(Upgrades!$U$21,M291),1))+(IF(J291=0,0,(Upgrades!$G$18+J291*Upgrades!$H$18)*POWER(Upgrades!$I$18,J291)))*(IF(Upgrades!$T$13="Binary Partner",POWER(Upgrades!$U$13,E291),1)*IF(Upgrades!$T$14="Binary Partner",POWER(Upgrades!$U$14,F291),1)*IF(Upgrades!$T$15="Binary Partner",POWER(Upgrades!$U$15,G291),1)*IF(Upgrades!$T$16="Binary Partner",POWER(Upgrades!$U$16,H291),1)*IF(Upgrades!$T$17="Binary Partner",POWER(Upgrades!$U$17,I291),1)*IF(Upgrades!$T$19="Binary Partner",POWER(Upgrades!$U$19,K291),1)*IF(Upgrades!$T$20="Binary Partner",POWER(Upgrades!$U$20,L291),1)*IF(Upgrades!$T$21="Binary Partner",POWER(Upgrades!$U$21,M291),1))+(IF(K291=0,0,(Upgrades!$G$19+K291*Upgrades!$H$19)*POWER(Upgrades!$I$19,K291)))*(IF(Upgrades!$T$13="Peculiar Velocity",POWER(Upgrades!$U$13,E291),1)*IF(Upgrades!$T$14="Peculiar Velocity",POWER(Upgrades!$U$14,F291),1)*IF(Upgrades!$T$15="Peculiar Velocity",POWER(Upgrades!$U$15,G291),1)*IF(Upgrades!$T$16="Peculiar Velocity",POWER(Upgrades!$U$16,H291),1)*IF(Upgrades!$T$17="Peculiar Velocity",POWER(Upgrades!$U$17,I291),1)*IF(Upgrades!$T$18="Peculiar Velocity",POWER(Upgrades!$U$18,J291),1)*IF(Upgrades!$T$20="Peculiar Velocity",POWER(Upgrades!$U$20,L291),1)*IF(Upgrades!$T$21="Peculiar Velocity",POWER(Upgrades!$U$21,M291),1))+(IF(L291=0,0,(Upgrades!$G$20+L291*Upgrades!$H$20)*POWER(Upgrades!$I$20,L291)))*(IF(Upgrades!$T$13="Open Cluster",POWER(Upgrades!$U$13,E291),1)*IF(Upgrades!$T$14="Open Cluster",POWER(Upgrades!$U$14,F291),1)*IF(Upgrades!$T$15="Open Cluster",POWER(Upgrades!$U$15,G291),1)*IF(Upgrades!$T$16="Open Cluster",POWER(Upgrades!$U$16,H291),1)*IF(Upgrades!$T$17="Open Cluster",POWER(Upgrades!$U$17,I291),1)*IF(Upgrades!$T$18="Open Cluster",POWER(Upgrades!$U$18,J291),1)*IF(Upgrades!$T$19="Open Cluster",POWER(Upgrades!$U$19,K291),1)*IF(Upgrades!$T$21="Open Cluster",POWER(Upgrades!$U$21,M291),1))+(IF(M291=0,0,(Upgrades!$G$21+M291*Upgrades!$H$21)*POWER(Upgrades!$I$21,M291)))*(IF(Upgrades!$T$13="Moving Group",POWER(Upgrades!$U$13,E291),1)*IF(Upgrades!$T$14="Moving Group",POWER(Upgrades!$U$14,F291),1)*IF(Upgrades!$T$15="Moving Group",POWER(Upgrades!$U$15,G291),1)*IF(Upgrades!$T$16="Moving Group",POWER(Upgrades!$U$16,H291),1)*IF(Upgrades!$T$17="Moving Group",POWER(Upgrades!$U$17,I291),1)*IF(Upgrades!$T$18="Moving Group",POWER(Upgrades!$U$18,J291),1)*IF(Upgrades!$T$19="Moving Group",POWER(Upgrades!$U$19,K291),1)*IF(Upgrades!$T$20="Moving Group",POWER(Upgrades!$U$20,L291),1)))*POWER(Upgrades!$P$13,E291)*POWER(Upgrades!$P$14,F291)*POWER(Upgrades!$P$15,G291)*POWER(Upgrades!$P$16,H291)*POWER(Upgrades!$P$17,I291)*POWER(Upgrades!$P$18,J291)*POWER(Upgrades!$P$19,K291)*POWER(Upgrades!$P$20,L291)*POWER(Upgrades!$P$21,M291)*$F$6+$C$6</f>
        <v/>
      </c>
      <c r="Q291" s="28">
        <f>((IF(E291=0,0,(Upgrades!$M$13+E291*Upgrades!$N$13)*POWER(Upgrades!$O$13,E291)))*(IF(Upgrades!$T$14="Stellar Kinematics",POWER(Upgrades!$U$14,F291),1)*IF(Upgrades!$T$15="Stellar Kinematics",POWER(Upgrades!$U$15,G291),1)*IF(Upgrades!$T$16="Stellar Kinematics",POWER(Upgrades!$U$16,H291),1)*IF(Upgrades!$T$17="Stellar Kinematics",POWER(Upgrades!$U$17,I291),1)*IF(Upgrades!$T$18="Stellar Kinematics",POWER(Upgrades!$U$18,J291),1)*IF(Upgrades!$T$19="Stellar Kinematics",POWER(Upgrades!$U$19,K291),1)*IF(Upgrades!$T$20="Stellar Kinematics",POWER(Upgrades!$U$20,L291),1)*IF(Upgrades!$T$21="Stellar Kinematics",POWER(Upgrades!$U$21,M291),1))+(IF(F291=0,0,(Upgrades!$M$14+F291*Upgrades!$N$14)*POWER(Upgrades!$O$14,F291)))*(IF(Upgrades!$T$13="Local Bubble",POWER(Upgrades!$U$13,E291),1)*IF(Upgrades!$T$15="Local Bubble",POWER(Upgrades!$U$15,G291),1)*IF(Upgrades!$T$16="Local Bubble",POWER(Upgrades!$U$16,H291),1)*IF(Upgrades!$T$17="Local Bubble",POWER(Upgrades!$U$17,I291),1)*IF(Upgrades!$T$18="Local Bubble",POWER(Upgrades!$U$18,J291),1)*IF(Upgrades!$T$19="Local Bubble",POWER(Upgrades!$U$19,K291),1)*IF(Upgrades!$T$20="Local Bubble",POWER(Upgrades!$U$20,L291),1)*IF(Upgrades!$T$21="Local Bubble",POWER(Upgrades!$U$21,M291),1))+(IF(G291=0,0,(Upgrades!$M$15+G291*Upgrades!$N$15)*POWER(Upgrades!$O$15,G291)))*(IF(Upgrades!$T$13="Microlensing",POWER(Upgrades!$U$13,E291),1)*IF(Upgrades!$T$14="Microlensing",POWER(Upgrades!$U$14,F291),1)*IF(Upgrades!$T$16="Microlensing",POWER(Upgrades!$U$16,H291),1)*IF(Upgrades!$T$17="Microlensing",POWER(Upgrades!$U$17,I291),1)*IF(Upgrades!$T$18="Microlensing",POWER(Upgrades!$U$18,J291),1)*IF(Upgrades!$T$19="Microlensing",POWER(Upgrades!$U$19,K291),1)*IF(Upgrades!$T$20="Microlensing",POWER(Upgrades!$U$20,L291),1)*IF(Upgrades!$T$21="Microlensing",POWER(Upgrades!$U$21,M291),1))+(IF(H291=0,0,(Upgrades!$M$16+H291*Upgrades!$N$16)*POWER(Upgrades!$O$16,H291)))*(IF(Upgrades!$T$13="Roche Lobe Overflow",POWER(Upgrades!$U$13,E291),1)*IF(Upgrades!$T$14="Roche Lobe Overflow",POWER(Upgrades!$U$14,F291),1)*IF(Upgrades!$T$15="Roche Lobe Overflow",POWER(Upgrades!$U$15,G291),1)*IF(Upgrades!$T$17="Roche Lobe Overflow",POWER(Upgrades!$U$17,I291),1)*IF(Upgrades!$T$18="Roche Lobe Overflow",POWER(Upgrades!$U$18,J291),1)*IF(Upgrades!$T$19="Roche Lobe Overflow",POWER(Upgrades!$U$19,K291),1)*IF(Upgrades!$T$20="Roche Lobe Overflow",POWER(Upgrades!$U$20,L291),1)*IF(Upgrades!$T$21="Roche Lobe Overflow",POWER(Upgrades!$U$21,M291),1))+(IF(I291=0,0,(Upgrades!$M$17+I291*Upgrades!$N$17)*POWER(Upgrades!$O$17,I291)))*(IF(Upgrades!$T$13="Brown Dwarf",POWER(Upgrades!$U$13,E291),1)*IF(Upgrades!$T$14="Brown Dwarf",POWER(Upgrades!$U$14,F291),1)*IF(Upgrades!$T$15="Brown Dwarf",POWER(Upgrades!$U$15,G291),1)*IF(Upgrades!$T$16="Brown Dwarf",POWER(Upgrades!$U$16,H291),1)*IF(Upgrades!$T$18="Brown Dwarf",POWER(Upgrades!$U$18,J291),1)*IF(Upgrades!$T$19="Brown Dwarf",POWER(Upgrades!$U$19,K291),1)*IF(Upgrades!$T$20="Brown Dwarf",POWER(Upgrades!$U$20,L291),1)*IF(Upgrades!$T$21="Brown Dwarf",POWER(Upgrades!$U$21,M291),1))+(IF(J291=0,0,(Upgrades!$M$18+J291*Upgrades!$N$18)*POWER(Upgrades!$O$18,J291)))*(IF(Upgrades!$T$13="Binary Partner",POWER(Upgrades!$U$13,E291),1)*IF(Upgrades!$T$14="Binary Partner",POWER(Upgrades!$U$14,F291),1)*IF(Upgrades!$T$15="Binary Partner",POWER(Upgrades!$U$15,G291),1)*IF(Upgrades!$T$16="Binary Partner",POWER(Upgrades!$U$16,H291),1)*IF(Upgrades!$T$17="Binary Partner",POWER(Upgrades!$U$17,I291),1)*IF(Upgrades!$T$19="Binary Partner",POWER(Upgrades!$U$19,K291),1)*IF(Upgrades!$T$20="Binary Partner",POWER(Upgrades!$U$20,L291),1)*IF(Upgrades!$T$21="Binary Partner",POWER(Upgrades!$U$21,M291),1))+(IF(K291=0,0,(Upgrades!$M$19+K291*Upgrades!$N$19)*POWER(Upgrades!$O$19,K291)))*(IF(Upgrades!$T$13="Peculiar Velocity",POWER(Upgrades!$U$13,E291),1)*IF(Upgrades!$T$14="Peculiar Velocity",POWER(Upgrades!$U$14,F291),1)*IF(Upgrades!$T$15="Peculiar Velocity",POWER(Upgrades!$U$15,G291),1)*IF(Upgrades!$T$16="Peculiar Velocity",POWER(Upgrades!$U$16,H291),1)*IF(Upgrades!$T$17="Peculiar Velocity",POWER(Upgrades!$U$17,I291),1)*IF(Upgrades!$T$18="Peculiar Velocity",POWER(Upgrades!$U$18,J291),1)*IF(Upgrades!$T$20="Peculiar Velocity",POWER(Upgrades!$U$20,L291),1)*IF(Upgrades!$T$21="Peculiar Velocity",POWER(Upgrades!$U$21,M291),1))+(IF(L291=0,0,(Upgrades!$M$20+L291*Upgrades!$N$20)*POWER(Upgrades!$O$20,L291)))*(IF(Upgrades!$T$13="Open Cluster",POWER(Upgrades!$U$13,E291),1)*IF(Upgrades!$T$14="Open Cluster",POWER(Upgrades!$U$14,F291),1)*IF(Upgrades!$T$15="Open Cluster",POWER(Upgrades!$U$15,G291),1)*IF(Upgrades!$T$16="Open Cluster",POWER(Upgrades!$U$16,H291),1)*IF(Upgrades!$T$17="Open Cluster",POWER(Upgrades!$U$17,I291),1)*IF(Upgrades!$T$18="Open Cluster",POWER(Upgrades!$U$18,J291),1)*IF(Upgrades!$T$19="Open Cluster",POWER(Upgrades!$U$19,K291),1)*IF(Upgrades!$T$21="Open Cluster",POWER(Upgrades!$U$21,M291),1))+(IF(M291=0,0,(Upgrades!$M$21+M291*Upgrades!$N$21)*POWER(Upgrades!$O$21,M291)))*(IF(Upgrades!$T$13="Moving Group",POWER(Upgrades!$U$13,E291),1)*IF(Upgrades!$T$14="Moving Group",POWER(Upgrades!$U$14,F291),1)*IF(Upgrades!$T$15="Moving Group",POWER(Upgrades!$U$15,G291),1)*IF(Upgrades!$T$16="Moving Group",POWER(Upgrades!$U$16,H291),1)*IF(Upgrades!$T$17="Moving Group",POWER(Upgrades!$U$17,I291),1)*IF(Upgrades!$T$18="Moving Group",POWER(Upgrades!$U$18,J291),1)*IF(Upgrades!$T$19="Moving Group",POWER(Upgrades!$U$19,K291),1)*IF(Upgrades!$T$20="Moving Group",POWER(Upgrades!$U$20,L291),1)))*POWER(Upgrades!$R$13,E291)*POWER(Upgrades!$R$14,F291)*POWER(Upgrades!$R$15,G291)*POWER(Upgrades!$R$16,H291)*POWER(Upgrades!$R$17,I291)*POWER(Upgrades!$R$18,J291)*POWER(Upgrades!$R$19,K291)*POWER(Upgrades!$R$20,L291)*POWER(Upgrades!$R$21,M291)*$H$6+$E$6</f>
        <v/>
      </c>
      <c r="R291" s="27">
        <f>IF(N291=1,0,O291*Parameters!$B$10/60*Parameters!$B$11*10)</f>
        <v/>
      </c>
      <c r="S291" s="27">
        <f>IF(N291=1,0,Q291*O291*10)</f>
        <v/>
      </c>
      <c r="T291" s="27">
        <f>IF(N291=1,0,R291+S291+P291*10)</f>
        <v/>
      </c>
      <c r="U291" s="33">
        <f>BE291</f>
        <v/>
      </c>
      <c r="V291" s="22">
        <f>IF(U291="",0,IF(U291="transition",0,IF(U291="SK",AK291,IF(U291="LB",AL291,IF(U291="ML",AM291,IF(U291="RLO",AN291,IF(U291="BD",AO291,IF(U291="BiP",AP291,IF(U291="PV",AQ291,IF(U291="OC",AR291,IF(U291="MG",AS291,0))))))))))</f>
        <v/>
      </c>
      <c r="W291" s="27">
        <f>IF(U291="BiP",Upgrades!$F$18,IF(U291="PV",Upgrades!$F$19,IF(U291="OC",Upgrades!$F$20,IF(U291="MG",Upgrades!$F$21,IF(U291="transition",-Parameters!$B$18*Parameters!$B$19,0)))))</f>
        <v/>
      </c>
      <c r="X291" s="22">
        <f>C291+T291-V291</f>
        <v/>
      </c>
      <c r="Y291" s="30">
        <f>O291*Parameters!$B$10/60*Parameters!$B$11+Q291*O291+P291</f>
        <v/>
      </c>
      <c r="Z291" s="34">
        <f>IF(U291="transition","→ Tier 3 (Galactic Arm)",IF(U291="MG","Moving Group — pocket drifts together",IF(U291="OC","Open Cluster acquired",IF(U291="PV","Peculiar Velocity — passive multiplier active",IF(U291="BiP","Binary Partner — pair bond formed",IF(AND(AU291=1,N291=0,AT291&lt;&gt;1),"Cohesion ready (waiting on completionists)","")))))) </f>
        <v/>
      </c>
      <c r="AA291" s="27">
        <f>(IF(E291=0,0,(Upgrades!$G$13+E291*Upgrades!$H$13)*POWER(Upgrades!$I$13,E291)))*(IF(Upgrades!$T$14="Stellar Kinematics",POWER(Upgrades!$U$14,F291),1)*IF(Upgrades!$T$15="Stellar Kinematics",POWER(Upgrades!$U$15,G291),1)*IF(Upgrades!$T$16="Stellar Kinematics",POWER(Upgrades!$U$16,H291),1)*IF(Upgrades!$T$17="Stellar Kinematics",POWER(Upgrades!$U$17,I291),1)*IF(Upgrades!$T$18="Stellar Kinematics",POWER(Upgrades!$U$18,J291),1)*IF(Upgrades!$T$19="Stellar Kinematics",POWER(Upgrades!$U$19,K291),1)*IF(Upgrades!$T$20="Stellar Kinematics",POWER(Upgrades!$U$20,L291),1)*IF(Upgrades!$T$21="Stellar Kinematics",POWER(Upgrades!$U$21,M291),1))*POWER(Upgrades!$P$13,E291)*POWER(Upgrades!$P$14,F291)*POWER(Upgrades!$P$15,G291)*POWER(Upgrades!$P$16,H291)*POWER(Upgrades!$P$17,I291)*POWER(Upgrades!$P$18,J291)*POWER(Upgrades!$P$19,K291)*POWER(Upgrades!$P$20,L291)*POWER(Upgrades!$P$21,M291)*$F$6*60</f>
        <v/>
      </c>
      <c r="AB291" s="27">
        <f>(IF(F291=0,0,(Upgrades!$G$14+F291*Upgrades!$H$14)*POWER(Upgrades!$I$14,F291)))*(IF(Upgrades!$T$13="Local Bubble",POWER(Upgrades!$U$13,E291),1)*IF(Upgrades!$T$15="Local Bubble",POWER(Upgrades!$U$15,G291),1)*IF(Upgrades!$T$16="Local Bubble",POWER(Upgrades!$U$16,H291),1)*IF(Upgrades!$T$17="Local Bubble",POWER(Upgrades!$U$17,I291),1)*IF(Upgrades!$T$18="Local Bubble",POWER(Upgrades!$U$18,J291),1)*IF(Upgrades!$T$19="Local Bubble",POWER(Upgrades!$U$19,K291),1)*IF(Upgrades!$T$20="Local Bubble",POWER(Upgrades!$U$20,L291),1)*IF(Upgrades!$T$21="Local Bubble",POWER(Upgrades!$U$21,M291),1))*POWER(Upgrades!$P$13,E291)*POWER(Upgrades!$P$14,F291)*POWER(Upgrades!$P$15,G291)*POWER(Upgrades!$P$16,H291)*POWER(Upgrades!$P$17,I291)*POWER(Upgrades!$P$18,J291)*POWER(Upgrades!$P$19,K291)*POWER(Upgrades!$P$20,L291)*POWER(Upgrades!$P$21,M291)*$F$6*60</f>
        <v/>
      </c>
      <c r="AC291" s="27">
        <f>(IF(G291=0,0,(Upgrades!$J$15+G291*Upgrades!$K$15)*POWER(Upgrades!$L$15,G291)))*(IF(Upgrades!$T$13="Microlensing",POWER(Upgrades!$U$13,E291),1)*IF(Upgrades!$T$14="Microlensing",POWER(Upgrades!$U$14,F291),1)*IF(Upgrades!$T$16="Microlensing",POWER(Upgrades!$U$16,H291),1)*IF(Upgrades!$T$17="Microlensing",POWER(Upgrades!$U$17,I291),1)*IF(Upgrades!$T$18="Microlensing",POWER(Upgrades!$U$18,J291),1)*IF(Upgrades!$T$19="Microlensing",POWER(Upgrades!$U$19,K291),1)*IF(Upgrades!$T$20="Microlensing",POWER(Upgrades!$U$20,L291),1)*IF(Upgrades!$T$21="Microlensing",POWER(Upgrades!$U$21,M291),1))*POWER(Upgrades!$Q$13,E291)*POWER(Upgrades!$Q$14,F291)*POWER(Upgrades!$Q$15,G291)*POWER(Upgrades!$Q$16,H291)*POWER(Upgrades!$Q$17,I291)*POWER(Upgrades!$Q$18,J291)*POWER(Upgrades!$Q$19,K291)*POWER(Upgrades!$Q$20,L291)*POWER(Upgrades!$Q$21,M291)*$G$6*(Parameters!$B$10*Parameters!$B$11+Q291*60)</f>
        <v/>
      </c>
      <c r="AD291" s="27">
        <f>(IF(H291=0,0,(Upgrades!$M$16+H291*Upgrades!$N$16)*POWER(Upgrades!$O$16,H291)))*(IF(Upgrades!$T$13="Roche Lobe Overflow",POWER(Upgrades!$U$13,E291),1)*IF(Upgrades!$T$14="Roche Lobe Overflow",POWER(Upgrades!$U$14,F291),1)*IF(Upgrades!$T$15="Roche Lobe Overflow",POWER(Upgrades!$U$15,G291),1)*IF(Upgrades!$T$17="Roche Lobe Overflow",POWER(Upgrades!$U$17,I291),1)*IF(Upgrades!$T$18="Roche Lobe Overflow",POWER(Upgrades!$U$18,J291),1)*IF(Upgrades!$T$19="Roche Lobe Overflow",POWER(Upgrades!$U$19,K291),1)*IF(Upgrades!$T$20="Roche Lobe Overflow",POWER(Upgrades!$U$20,L291),1)*IF(Upgrades!$T$21="Roche Lobe Overflow",POWER(Upgrades!$U$21,M291),1))*POWER(Upgrades!$R$13,E291)*POWER(Upgrades!$R$14,F291)*POWER(Upgrades!$R$15,G291)*POWER(Upgrades!$R$16,H291)*POWER(Upgrades!$R$17,I291)*POWER(Upgrades!$R$18,J291)*POWER(Upgrades!$R$19,K291)*POWER(Upgrades!$R$20,L291)*POWER(Upgrades!$R$21,M291)*$H$6*O291*60</f>
        <v/>
      </c>
      <c r="AE291" s="27">
        <f>(IF(I291=0,0,(Upgrades!$G$17+I291*Upgrades!$H$17)*POWER(Upgrades!$I$17,I291)))*(IF(Upgrades!$T$13="Brown Dwarf",POWER(Upgrades!$U$13,E291),1)*IF(Upgrades!$T$14="Brown Dwarf",POWER(Upgrades!$U$14,F291),1)*IF(Upgrades!$T$15="Brown Dwarf",POWER(Upgrades!$U$15,G291),1)*IF(Upgrades!$T$16="Brown Dwarf",POWER(Upgrades!$U$16,H291),1)*IF(Upgrades!$T$18="Brown Dwarf",POWER(Upgrades!$U$18,J291),1)*IF(Upgrades!$T$19="Brown Dwarf",POWER(Upgrades!$U$19,K291),1)*IF(Upgrades!$T$20="Brown Dwarf",POWER(Upgrades!$U$20,L291),1)*IF(Upgrades!$T$21="Brown Dwarf",POWER(Upgrades!$U$21,M291),1))*POWER(Upgrades!$P$13,E291)*POWER(Upgrades!$P$14,F291)*POWER(Upgrades!$P$15,G291)*POWER(Upgrades!$P$16,H291)*POWER(Upgrades!$P$17,I291)*POWER(Upgrades!$P$18,J291)*POWER(Upgrades!$P$19,K291)*POWER(Upgrades!$P$20,L291)*POWER(Upgrades!$P$21,M291)*$F$6*60</f>
        <v/>
      </c>
      <c r="AF291" s="27" t="n">
        <v>0</v>
      </c>
      <c r="AG291" s="27" t="n">
        <v>0</v>
      </c>
      <c r="AH291" s="27" t="n">
        <v>0</v>
      </c>
      <c r="AI291" s="27">
        <f>(IF(M291=0,0,(Upgrades!$G$21+M291*Upgrades!$H$21)*POWER(Upgrades!$I$21,M291)))*(IF(Upgrades!$T$13="Moving Group",POWER(Upgrades!$U$13,E291),1)*IF(Upgrades!$T$14="Moving Group",POWER(Upgrades!$U$14,F291),1)*IF(Upgrades!$T$15="Moving Group",POWER(Upgrades!$U$15,G291),1)*IF(Upgrades!$T$16="Moving Group",POWER(Upgrades!$U$16,H291),1)*IF(Upgrades!$T$17="Moving Group",POWER(Upgrades!$U$17,I291),1)*IF(Upgrades!$T$18="Moving Group",POWER(Upgrades!$U$18,J291),1)*IF(Upgrades!$T$19="Moving Group",POWER(Upgrades!$U$19,K291),1)*IF(Upgrades!$T$20="Moving Group",POWER(Upgrades!$U$20,L291),1))*POWER(Upgrades!$P$13,E291)*POWER(Upgrades!$P$14,F291)*POWER(Upgrades!$P$15,G291)*POWER(Upgrades!$P$16,H291)*POWER(Upgrades!$P$17,I291)*POWER(Upgrades!$P$18,J291)*POWER(Upgrades!$P$19,K291)*POWER(Upgrades!$P$20,L291)*POWER(Upgrades!$P$21,M291)*$F$6*60</f>
        <v/>
      </c>
      <c r="AJ291" s="27">
        <f>$C$6*60</f>
        <v/>
      </c>
      <c r="AK291" s="22">
        <f>IF(E291&gt;=Upgrades!$E$13,"",Upgrades!$C$13*POWER(Upgrades!$D$13,E291))</f>
        <v/>
      </c>
      <c r="AL291" s="22">
        <f>IF(F291&gt;=Upgrades!$E$14,"",Upgrades!$C$14*POWER(Upgrades!$D$14,F291))</f>
        <v/>
      </c>
      <c r="AM291" s="22">
        <f>IF(G291&gt;=Upgrades!$E$15,"",Upgrades!$C$15*POWER(Upgrades!$D$15,G291))</f>
        <v/>
      </c>
      <c r="AN291" s="22">
        <f>IF(H291&gt;=Upgrades!$E$16,"",Upgrades!$C$16*POWER(Upgrades!$D$16,H291))</f>
        <v/>
      </c>
      <c r="AO291" s="22">
        <f>IF(I291&gt;=Upgrades!$E$17,"",Upgrades!$C$17*POWER(Upgrades!$D$17,I291))</f>
        <v/>
      </c>
      <c r="AP291" s="22">
        <f>IF(J291&gt;=Upgrades!$E$18,"",Upgrades!$C$18*POWER(Upgrades!$D$18,J291))</f>
        <v/>
      </c>
      <c r="AQ291" s="22">
        <f>IF(K291&gt;=Upgrades!$E$19,"",Upgrades!$C$19*POWER(Upgrades!$D$19,K291))</f>
        <v/>
      </c>
      <c r="AR291" s="22">
        <f>IF(L291&gt;=Upgrades!$E$20,"",Upgrades!$C$20*POWER(Upgrades!$D$20,L291))</f>
        <v/>
      </c>
      <c r="AS291" s="22">
        <f>IF(M291&gt;=Upgrades!$E$21,"",Upgrades!$C$21*POWER(Upgrades!$D$21,M291))</f>
        <v/>
      </c>
      <c r="AT291" s="26">
        <f>IF(AND(D291&gt;=Parameters!$B$18*Parameters!$B$19,(I291&gt;=Upgrades!$E$17)*(M291&gt;=Upgrades!$E$21)=1,N291=0),1,"")</f>
        <v/>
      </c>
      <c r="AU291" s="26">
        <f>IF(AND(D291&gt;=Parameters!$B$18*Parameters!$B$19,N291=0),1,"")</f>
        <v/>
      </c>
      <c r="AV291" s="22">
        <f>MIN(IF(ISNUMBER(AP291),AP291,9E15),IF(ISNUMBER(AQ291),AQ291,9E15),IF(ISNUMBER(AR291),AR291,9E15),IF(ISNUMBER(AS291),AS291,9E15))</f>
        <v/>
      </c>
      <c r="AW291" s="22">
        <f>MIN(IF(ISNUMBER(AK291),AK291,9E15),IF(ISNUMBER(AL291),AL291,9E15),IF(ISNUMBER(AM291),AM291,9E15),IF(ISNUMBER(AN291),AN291,9E15),IF(ISNUMBER(AO291),AO291,9E15))</f>
        <v/>
      </c>
      <c r="AX291" s="29">
        <f>IF(BD291&gt;Parameters!$B$21*(MAX(IF(AND(NOT(AND(AU291=1,AT291&lt;&gt;1)),ISNUMBER(AK291),AK291&lt;=(C291+T291)),AY291,0),IF(AND(NOT(AND(AU291=1,AT291&lt;&gt;1)),ISNUMBER(AL291),AL291&lt;=(C291+T291)),AZ291,0),IF(AND(NOT(AND(AU291=1,AT291&lt;&gt;1)),ISNUMBER(AM291),AM291&lt;=(C291+T291)),BA291,0),IF(AND(NOT(AND(AU291=1,AT291&lt;&gt;1)),ISNUMBER(AN291),AN291&lt;=(C291+T291)),BB291,0),IF(AND(ISNUMBER(AO291),AO291&lt;=(C291+T291)),BC291,0))),TRUE,FALSE)</f>
        <v/>
      </c>
      <c r="AY291" s="32">
        <f>IFERROR(Upgrades!$H$13*(POWER(Upgrades!$P$13,E291)*POWER(Upgrades!$P$14,F291)*POWER(Upgrades!$P$15,G291)*POWER(Upgrades!$P$16,H291)*POWER(Upgrades!$P$17,I291)*POWER(Upgrades!$P$18,J291)*POWER(Upgrades!$P$19,K291)*POWER(Upgrades!$P$20,L291)*POWER(Upgrades!$P$21,M291))*(IF(Upgrades!$T$14="Stellar Kinematics",POWER(Upgrades!$U$14,F291),1)*IF(Upgrades!$T$15="Stellar Kinematics",POWER(Upgrades!$U$15,G291),1)*IF(Upgrades!$T$16="Stellar Kinematics",POWER(Upgrades!$U$16,H291),1)*IF(Upgrades!$T$17="Stellar Kinematics",POWER(Upgrades!$U$17,I291),1)*IF(Upgrades!$T$18="Stellar Kinematics",POWER(Upgrades!$U$18,J291),1)*IF(Upgrades!$T$19="Stellar Kinematics",POWER(Upgrades!$U$19,K291),1)*IF(Upgrades!$T$20="Stellar Kinematics",POWER(Upgrades!$U$20,L291),1)*IF(Upgrades!$T$21="Stellar Kinematics",POWER(Upgrades!$U$21,M291),1))*$F$6/AK291,0)</f>
        <v/>
      </c>
      <c r="AZ291" s="32">
        <f>IFERROR(Upgrades!$H$14*(POWER(Upgrades!$P$13,E291)*POWER(Upgrades!$P$14,F291)*POWER(Upgrades!$P$15,G291)*POWER(Upgrades!$P$16,H291)*POWER(Upgrades!$P$17,I291)*POWER(Upgrades!$P$18,J291)*POWER(Upgrades!$P$19,K291)*POWER(Upgrades!$P$20,L291)*POWER(Upgrades!$P$21,M291))*(IF(Upgrades!$T$13="Local Bubble",POWER(Upgrades!$U$13,E291),1)*IF(Upgrades!$T$15="Local Bubble",POWER(Upgrades!$U$15,G291),1)*IF(Upgrades!$T$16="Local Bubble",POWER(Upgrades!$U$16,H291),1)*IF(Upgrades!$T$17="Local Bubble",POWER(Upgrades!$U$17,I291),1)*IF(Upgrades!$T$18="Local Bubble",POWER(Upgrades!$U$18,J291),1)*IF(Upgrades!$T$19="Local Bubble",POWER(Upgrades!$U$19,K291),1)*IF(Upgrades!$T$20="Local Bubble",POWER(Upgrades!$U$20,L291),1)*IF(Upgrades!$T$21="Local Bubble",POWER(Upgrades!$U$21,M291),1))*$F$6/AL291,0)</f>
        <v/>
      </c>
      <c r="BA291" s="32">
        <f>IFERROR(Upgrades!$K$15*(POWER(Upgrades!$Q$13,E291)*POWER(Upgrades!$Q$14,F291)*POWER(Upgrades!$Q$15,G291)*POWER(Upgrades!$Q$16,H291)*POWER(Upgrades!$Q$17,I291)*POWER(Upgrades!$Q$18,J291)*POWER(Upgrades!$Q$19,K291)*POWER(Upgrades!$Q$20,L291)*POWER(Upgrades!$Q$21,M291))*(IF(Upgrades!$T$13="Microlensing",POWER(Upgrades!$U$13,E291),1)*IF(Upgrades!$T$14="Microlensing",POWER(Upgrades!$U$14,F291),1)*IF(Upgrades!$T$16="Microlensing",POWER(Upgrades!$U$16,H291),1)*IF(Upgrades!$T$17="Microlensing",POWER(Upgrades!$U$17,I291),1)*IF(Upgrades!$T$18="Microlensing",POWER(Upgrades!$U$18,J291),1)*IF(Upgrades!$T$19="Microlensing",POWER(Upgrades!$U$19,K291),1)*IF(Upgrades!$T$20="Microlensing",POWER(Upgrades!$U$20,L291),1)*IF(Upgrades!$T$21="Microlensing",POWER(Upgrades!$U$21,M291),1))*$G$6*(Parameters!$B$10/60*Parameters!$B$11+Q291)/AM291,0)</f>
        <v/>
      </c>
      <c r="BB291" s="32">
        <f>IFERROR((Upgrades!$N$16*(POWER(Upgrades!$R$13,E291)*POWER(Upgrades!$R$14,F291)*POWER(Upgrades!$R$15,G291)*POWER(Upgrades!$R$16,H291)*POWER(Upgrades!$R$17,I291)*POWER(Upgrades!$R$18,J291)*POWER(Upgrades!$R$19,K291)*POWER(Upgrades!$R$20,L291)*POWER(Upgrades!$R$21,M291))*(IF(Upgrades!$T$13="Roche Lobe Overflow",POWER(Upgrades!$U$13,E291),1)*IF(Upgrades!$T$14="Roche Lobe Overflow",POWER(Upgrades!$U$14,F291),1)*IF(Upgrades!$T$15="Roche Lobe Overflow",POWER(Upgrades!$U$15,G291),1)*IF(Upgrades!$T$17="Roche Lobe Overflow",POWER(Upgrades!$U$17,I291),1)*IF(Upgrades!$T$18="Roche Lobe Overflow",POWER(Upgrades!$U$18,J291),1)*IF(Upgrades!$T$19="Roche Lobe Overflow",POWER(Upgrades!$U$19,K291),1)*IF(Upgrades!$T$20="Roche Lobe Overflow",POWER(Upgrades!$U$20,L291),1)*IF(Upgrades!$T$21="Roche Lobe Overflow",POWER(Upgrades!$U$21,M291),1))*$H$6*O291+((IF(F291=0,0,(Upgrades!$G$14+F291*Upgrades!$H$14)*POWER(Upgrades!$I$14,F291)))*(IF(Upgrades!$T$13="Local Bubble",POWER(Upgrades!$U$13,E291),1)*IF(Upgrades!$T$15="Local Bubble",POWER(Upgrades!$U$15,G291),1)*IF(Upgrades!$T$16="Local Bubble",POWER(Upgrades!$U$16,H291),1)*IF(Upgrades!$T$17="Local Bubble",POWER(Upgrades!$U$17,I291),1)*IF(Upgrades!$T$18="Local Bubble",POWER(Upgrades!$U$18,J291),1)*IF(Upgrades!$T$19="Local Bubble",POWER(Upgrades!$U$19,K291),1)*IF(Upgrades!$T$20="Local Bubble",POWER(Upgrades!$U$20,L291),1)*IF(Upgrades!$T$21="Local Bubble",POWER(Upgrades!$U$21,M291),1))*POWER(Upgrades!$P$13,E291)*POWER(Upgrades!$P$14,F291)*POWER(Upgrades!$P$15,G291)*POWER(Upgrades!$P$16,H291)*POWER(Upgrades!$P$17,I291)*POWER(Upgrades!$P$18,J291)*POWER(Upgrades!$P$19,K291)*POWER(Upgrades!$P$20,L291)*POWER(Upgrades!$P$21,M291)*$F$6)*0.05)/AN291,0)</f>
        <v/>
      </c>
      <c r="BC291" s="32">
        <f>IFERROR((Upgrades!$H$17*(POWER(Upgrades!$P$13,E291)*POWER(Upgrades!$P$14,F291)*POWER(Upgrades!$P$15,G291)*POWER(Upgrades!$P$16,H291)*POWER(Upgrades!$P$17,I291)*POWER(Upgrades!$P$18,J291)*POWER(Upgrades!$P$19,K291)*POWER(Upgrades!$P$20,L291)*POWER(Upgrades!$P$21,M291))*(IF(Upgrades!$T$13="Brown Dwarf",POWER(Upgrades!$U$13,E291),1)*IF(Upgrades!$T$14="Brown Dwarf",POWER(Upgrades!$U$14,F291),1)*IF(Upgrades!$T$15="Brown Dwarf",POWER(Upgrades!$U$15,G291),1)*IF(Upgrades!$T$16="Brown Dwarf",POWER(Upgrades!$U$16,H291),1)*IF(Upgrades!$T$18="Brown Dwarf",POWER(Upgrades!$U$18,J291),1)*IF(Upgrades!$T$19="Brown Dwarf",POWER(Upgrades!$U$19,K291),1)*IF(Upgrades!$T$20="Brown Dwarf",POWER(Upgrades!$U$20,L291),1)*IF(Upgrades!$T$21="Brown Dwarf",POWER(Upgrades!$U$21,M291),1))*$F$6+(((IF(H291=0,0,(Upgrades!$M$16+H291*Upgrades!$N$16)*POWER(Upgrades!$O$16,H291)))*(IF(Upgrades!$T$13="Roche Lobe Overflow",POWER(Upgrades!$U$13,E291),1)*IF(Upgrades!$T$14="Roche Lobe Overflow",POWER(Upgrades!$U$14,F291),1)*IF(Upgrades!$T$15="Roche Lobe Overflow",POWER(Upgrades!$U$15,G291),1)*IF(Upgrades!$T$17="Roche Lobe Overflow",POWER(Upgrades!$U$17,I291),1)*IF(Upgrades!$T$18="Roche Lobe Overflow",POWER(Upgrades!$U$18,J291),1)*IF(Upgrades!$T$19="Roche Lobe Overflow",POWER(Upgrades!$U$19,K291),1)*IF(Upgrades!$T$20="Roche Lobe Overflow",POWER(Upgrades!$U$20,L291),1)*IF(Upgrades!$T$21="Roche Lobe Overflow",POWER(Upgrades!$U$21,M291),1))*POWER(Upgrades!$R$13,E291)*POWER(Upgrades!$R$14,F291)*POWER(Upgrades!$R$15,G291)*POWER(Upgrades!$R$16,H291)*POWER(Upgrades!$R$17,I291)*POWER(Upgrades!$R$18,J291)*POWER(Upgrades!$R$19,K291)*POWER(Upgrades!$R$20,L291)*POWER(Upgrades!$R$21,M291)*$H$6)*O291)*0.10)/AO291,0)</f>
        <v/>
      </c>
      <c r="BD291" s="32">
        <f>MAX(IF(J291&gt;0,0,IFERROR(0.5*((IF(G291=0,0,(Upgrades!$J$15+G291*Upgrades!$K$15)*POWER(Upgrades!$L$15,G291)))*(IF(Upgrades!$T$13="Microlensing",POWER(Upgrades!$U$13,E291),1)*IF(Upgrades!$T$14="Microlensing",POWER(Upgrades!$U$14,F291),1)*IF(Upgrades!$T$16="Microlensing",POWER(Upgrades!$U$16,H291),1)*IF(Upgrades!$T$17="Microlensing",POWER(Upgrades!$U$17,I291),1)*IF(Upgrades!$T$18="Microlensing",POWER(Upgrades!$U$18,J291),1)*IF(Upgrades!$T$19="Microlensing",POWER(Upgrades!$U$19,K291),1)*IF(Upgrades!$T$20="Microlensing",POWER(Upgrades!$U$20,L291),1)*IF(Upgrades!$T$21="Microlensing",POWER(Upgrades!$U$21,M291),1))*(POWER(Upgrades!$Q$13,E291)*POWER(Upgrades!$Q$14,F291)*POWER(Upgrades!$Q$15,G291)*POWER(Upgrades!$Q$16,H291)*POWER(Upgrades!$Q$17,I291)*POWER(Upgrades!$Q$18,J291)*POWER(Upgrades!$Q$19,K291)*POWER(Upgrades!$Q$20,L291)*POWER(Upgrades!$Q$21,M291))*$G$6*(Parameters!$B$10/60*Parameters!$B$11+Q291))/Upgrades!$C$18,0)),IF(K291&gt;0,0,IFERROR(0.30*P291/Upgrades!$C$19,0)),IF(L291&gt;0,0,IFERROR(0.0001/Upgrades!$C$20,0)),IF(M291&gt;0,0,IFERROR((6.0*(POWER(Upgrades!$P$13,E291)*POWER(Upgrades!$P$14,F291)*POWER(Upgrades!$P$15,G291)*POWER(Upgrades!$P$16,H291)*POWER(Upgrades!$P$17,I291)*POWER(Upgrades!$P$18,J291)*POWER(Upgrades!$P$19,K291)*POWER(Upgrades!$P$20,L291)*POWER(Upgrades!$P$21,M291))*$F$6+0.20*O291*(Parameters!$B$10/60*Parameters!$B$11+Q291))/Upgrades!$C$21,0)),IF(AND(ISNUMBER(AK291),AK291&gt;(C291+T291)),AY291,0),IF(AND(ISNUMBER(AL291),AL291&gt;(C291+T291)),AZ291,0),IF(AND(ISNUMBER(AM291),AM291&gt;(C291+T291)),BA291,0),IF(AND(ISNUMBER(AN291),AN291&gt;(C291+T291)),BB291,0),IF(AND(ISNUMBER(AO291),AO291&gt;(C291+T291)),BC291,0))</f>
        <v/>
      </c>
      <c r="BE291" s="29">
        <f>IF(AT291=1,"transition",IF(MIN(IF(AND(J291=0,ISNUMBER(AP291),AP291&lt;=(C291+T291)),AP291,9E15),IF(AND(K291=0,ISNUMBER(AQ291),AQ291&lt;=(C291+T291)),AQ291,9E15),IF(AND(L291=0,ISNUMBER(AR291),AR291&lt;=(C291+T291)),AR291,9E15),IF(AND(M291=0,ISNUMBER(AS291),AS291&lt;=(C291+T291)),AS291,9E15))&lt;9E15,IF(AND(AND(J291=0,ISNUMBER(AP291),AP291&lt;=(C291+T291)),AP291=MIN(IF(AND(J291=0,ISNUMBER(AP291),AP291&lt;=(C291+T291)),AP291,9E15),IF(AND(K291=0,ISNUMBER(AQ291),AQ291&lt;=(C291+T291)),AQ291,9E15),IF(AND(L291=0,ISNUMBER(AR291),AR291&lt;=(C291+T291)),AR291,9E15),IF(AND(M291=0,ISNUMBER(AS291),AS291&lt;=(C291+T291)),AS291,9E15))),"BiP",IF(AND(AND(K291=0,ISNUMBER(AQ291),AQ291&lt;=(C291+T291)),AQ291=MIN(IF(AND(J291=0,ISNUMBER(AP291),AP291&lt;=(C291+T291)),AP291,9E15),IF(AND(K291=0,ISNUMBER(AQ291),AQ291&lt;=(C291+T291)),AQ291,9E15),IF(AND(L291=0,ISNUMBER(AR291),AR291&lt;=(C291+T291)),AR291,9E15),IF(AND(M291=0,ISNUMBER(AS291),AS291&lt;=(C291+T291)),AS291,9E15))),"PV",IF(AND(AND(L291=0,ISNUMBER(AR291),AR291&lt;=(C291+T291)),AR291=MIN(IF(AND(J291=0,ISNUMBER(AP291),AP291&lt;=(C291+T291)),AP291,9E15),IF(AND(K291=0,ISNUMBER(AQ291),AQ291&lt;=(C291+T291)),AQ291,9E15),IF(AND(L291=0,ISNUMBER(AR291),AR291&lt;=(C291+T291)),AR291,9E15),IF(AND(M291=0,ISNUMBER(AS291),AS291&lt;=(C291+T291)),AS291,9E15))),"OC","MG"))),IF(AX291=TRUE,"",IF(MAX(IF(AND(NOT(AND(AU291=1,AT291&lt;&gt;1)),ISNUMBER(AK291),AK291&lt;=(C291+T291)),AY291,0),IF(AND(NOT(AND(AU291=1,AT291&lt;&gt;1)),ISNUMBER(AL291),AL291&lt;=(C291+T291)),AZ291,0),IF(AND(NOT(AND(AU291=1,AT291&lt;&gt;1)),ISNUMBER(AM291),AM291&lt;=(C291+T291)),BA291,0),IF(AND(NOT(AND(AU291=1,AT291&lt;&gt;1)),ISNUMBER(AN291),AN291&lt;=(C291+T291)),BB291,0),IF(AND(ISNUMBER(AO291),AO291&lt;=(C291+T291)),BC291,0))&lt;=0,"",IF(AND(IF(AND(NOT(AND(AU291=1,AT291&lt;&gt;1)),ISNUMBER(AK291),AK291&lt;=(C291+T291)),AY291,0)&gt;0,IF(AND(NOT(AND(AU291=1,AT291&lt;&gt;1)),ISNUMBER(AK291),AK291&lt;=(C291+T291)),AY291,0)=MAX(IF(AND(NOT(AND(AU291=1,AT291&lt;&gt;1)),ISNUMBER(AK291),AK291&lt;=(C291+T291)),AY291,0),IF(AND(NOT(AND(AU291=1,AT291&lt;&gt;1)),ISNUMBER(AL291),AL291&lt;=(C291+T291)),AZ291,0),IF(AND(NOT(AND(AU291=1,AT291&lt;&gt;1)),ISNUMBER(AM291),AM291&lt;=(C291+T291)),BA291,0),IF(AND(NOT(AND(AU291=1,AT291&lt;&gt;1)),ISNUMBER(AN291),AN291&lt;=(C291+T291)),BB291,0),IF(AND(ISNUMBER(AO291),AO291&lt;=(C291+T291)),BC291,0))),"SK",IF(AND(IF(AND(NOT(AND(AU291=1,AT291&lt;&gt;1)),ISNUMBER(AL291),AL291&lt;=(C291+T291)),AZ291,0)&gt;0,IF(AND(NOT(AND(AU291=1,AT291&lt;&gt;1)),ISNUMBER(AL291),AL291&lt;=(C291+T291)),AZ291,0)=MAX(IF(AND(NOT(AND(AU291=1,AT291&lt;&gt;1)),ISNUMBER(AK291),AK291&lt;=(C291+T291)),AY291,0),IF(AND(NOT(AND(AU291=1,AT291&lt;&gt;1)),ISNUMBER(AL291),AL291&lt;=(C291+T291)),AZ291,0),IF(AND(NOT(AND(AU291=1,AT291&lt;&gt;1)),ISNUMBER(AM291),AM291&lt;=(C291+T291)),BA291,0),IF(AND(NOT(AND(AU291=1,AT291&lt;&gt;1)),ISNUMBER(AN291),AN291&lt;=(C291+T291)),BB291,0),IF(AND(ISNUMBER(AO291),AO291&lt;=(C291+T291)),BC291,0))),"LB",IF(AND(IF(AND(NOT(AND(AU291=1,AT291&lt;&gt;1)),ISNUMBER(AM291),AM291&lt;=(C291+T291)),BA291,0)&gt;0,IF(AND(NOT(AND(AU291=1,AT291&lt;&gt;1)),ISNUMBER(AM291),AM291&lt;=(C291+T291)),BA291,0)=MAX(IF(AND(NOT(AND(AU291=1,AT291&lt;&gt;1)),ISNUMBER(AK291),AK291&lt;=(C291+T291)),AY291,0),IF(AND(NOT(AND(AU291=1,AT291&lt;&gt;1)),ISNUMBER(AL291),AL291&lt;=(C291+T291)),AZ291,0),IF(AND(NOT(AND(AU291=1,AT291&lt;&gt;1)),ISNUMBER(AM291),AM291&lt;=(C291+T291)),BA291,0),IF(AND(NOT(AND(AU291=1,AT291&lt;&gt;1)),ISNUMBER(AN291),AN291&lt;=(C291+T291)),BB291,0),IF(AND(ISNUMBER(AO291),AO291&lt;=(C291+T291)),BC291,0))),"ML",IF(AND(IF(AND(NOT(AND(AU291=1,AT291&lt;&gt;1)),ISNUMBER(AN291),AN291&lt;=(C291+T291)),BB291,0)&gt;0,IF(AND(NOT(AND(AU291=1,AT291&lt;&gt;1)),ISNUMBER(AN291),AN291&lt;=(C291+T291)),BB291,0)=MAX(IF(AND(NOT(AND(AU291=1,AT291&lt;&gt;1)),ISNUMBER(AK291),AK291&lt;=(C291+T291)),AY291,0),IF(AND(NOT(AND(AU291=1,AT291&lt;&gt;1)),ISNUMBER(AL291),AL291&lt;=(C291+T291)),AZ291,0),IF(AND(NOT(AND(AU291=1,AT291&lt;&gt;1)),ISNUMBER(AM291),AM291&lt;=(C291+T291)),BA291,0),IF(AND(NOT(AND(AU291=1,AT291&lt;&gt;1)),ISNUMBER(AN291),AN291&lt;=(C291+T291)),BB291,0),IF(AND(ISNUMBER(AO291),AO291&lt;=(C291+T291)),BC291,0))),"RLO","BD"))))))))</f>
        <v/>
      </c>
    </row>
    <row r="292">
      <c r="A292" s="26" t="n">
        <v>281</v>
      </c>
      <c r="B292" s="27">
        <f>A292*10/60</f>
        <v/>
      </c>
      <c r="C292" s="22">
        <f>X291</f>
        <v/>
      </c>
      <c r="D292" s="27">
        <f>D291+W291</f>
        <v/>
      </c>
      <c r="E292" s="26">
        <f>E291+IF(U291="SK",1,0)</f>
        <v/>
      </c>
      <c r="F292" s="26">
        <f>F291+IF(U291="LB",1,0)</f>
        <v/>
      </c>
      <c r="G292" s="26">
        <f>G291+IF(U291="ML",1,0)</f>
        <v/>
      </c>
      <c r="H292" s="26">
        <f>H291+IF(U291="RLO",1,0)</f>
        <v/>
      </c>
      <c r="I292" s="26">
        <f>I291+IF(U291="BD",1,0)</f>
        <v/>
      </c>
      <c r="J292" s="26">
        <f>MAX(J291,IF(U291="BiP",1,0))</f>
        <v/>
      </c>
      <c r="K292" s="26">
        <f>MAX(K291,IF(U291="PV",1,0))</f>
        <v/>
      </c>
      <c r="L292" s="26">
        <f>MAX(L291,IF(U291="OC",1,0))</f>
        <v/>
      </c>
      <c r="M292" s="26">
        <f>MAX(M291,IF(U291="MG",1,0))</f>
        <v/>
      </c>
      <c r="N292" s="26">
        <f>MAX(N291,IF(U291="transition",1,0))</f>
        <v/>
      </c>
      <c r="O292" s="28">
        <f>(Parameters!$B$9+(IF(E292=0,0,(Upgrades!$J$13+E292*Upgrades!$K$13)*POWER(Upgrades!$L$13,E292)))*(IF(Upgrades!$T$14="Stellar Kinematics",POWER(Upgrades!$U$14,F292),1)*IF(Upgrades!$T$15="Stellar Kinematics",POWER(Upgrades!$U$15,G292),1)*IF(Upgrades!$T$16="Stellar Kinematics",POWER(Upgrades!$U$16,H292),1)*IF(Upgrades!$T$17="Stellar Kinematics",POWER(Upgrades!$U$17,I292),1)*IF(Upgrades!$T$18="Stellar Kinematics",POWER(Upgrades!$U$18,J292),1)*IF(Upgrades!$T$19="Stellar Kinematics",POWER(Upgrades!$U$19,K292),1)*IF(Upgrades!$T$20="Stellar Kinematics",POWER(Upgrades!$U$20,L292),1)*IF(Upgrades!$T$21="Stellar Kinematics",POWER(Upgrades!$U$21,M292),1))+(IF(F292=0,0,(Upgrades!$J$14+F292*Upgrades!$K$14)*POWER(Upgrades!$L$14,F292)))*(IF(Upgrades!$T$13="Local Bubble",POWER(Upgrades!$U$13,E292),1)*IF(Upgrades!$T$15="Local Bubble",POWER(Upgrades!$U$15,G292),1)*IF(Upgrades!$T$16="Local Bubble",POWER(Upgrades!$U$16,H292),1)*IF(Upgrades!$T$17="Local Bubble",POWER(Upgrades!$U$17,I292),1)*IF(Upgrades!$T$18="Local Bubble",POWER(Upgrades!$U$18,J292),1)*IF(Upgrades!$T$19="Local Bubble",POWER(Upgrades!$U$19,K292),1)*IF(Upgrades!$T$20="Local Bubble",POWER(Upgrades!$U$20,L292),1)*IF(Upgrades!$T$21="Local Bubble",POWER(Upgrades!$U$21,M292),1))+(IF(G292=0,0,(Upgrades!$J$15+G292*Upgrades!$K$15)*POWER(Upgrades!$L$15,G292)))*(IF(Upgrades!$T$13="Microlensing",POWER(Upgrades!$U$13,E292),1)*IF(Upgrades!$T$14="Microlensing",POWER(Upgrades!$U$14,F292),1)*IF(Upgrades!$T$16="Microlensing",POWER(Upgrades!$U$16,H292),1)*IF(Upgrades!$T$17="Microlensing",POWER(Upgrades!$U$17,I292),1)*IF(Upgrades!$T$18="Microlensing",POWER(Upgrades!$U$18,J292),1)*IF(Upgrades!$T$19="Microlensing",POWER(Upgrades!$U$19,K292),1)*IF(Upgrades!$T$20="Microlensing",POWER(Upgrades!$U$20,L292),1)*IF(Upgrades!$T$21="Microlensing",POWER(Upgrades!$U$21,M292),1))+(IF(H292=0,0,(Upgrades!$J$16+H292*Upgrades!$K$16)*POWER(Upgrades!$L$16,H292)))*(IF(Upgrades!$T$13="Roche Lobe Overflow",POWER(Upgrades!$U$13,E292),1)*IF(Upgrades!$T$14="Roche Lobe Overflow",POWER(Upgrades!$U$14,F292),1)*IF(Upgrades!$T$15="Roche Lobe Overflow",POWER(Upgrades!$U$15,G292),1)*IF(Upgrades!$T$17="Roche Lobe Overflow",POWER(Upgrades!$U$17,I292),1)*IF(Upgrades!$T$18="Roche Lobe Overflow",POWER(Upgrades!$U$18,J292),1)*IF(Upgrades!$T$19="Roche Lobe Overflow",POWER(Upgrades!$U$19,K292),1)*IF(Upgrades!$T$20="Roche Lobe Overflow",POWER(Upgrades!$U$20,L292),1)*IF(Upgrades!$T$21="Roche Lobe Overflow",POWER(Upgrades!$U$21,M292),1))+(IF(I292=0,0,(Upgrades!$J$17+I292*Upgrades!$K$17)*POWER(Upgrades!$L$17,I292)))*(IF(Upgrades!$T$13="Brown Dwarf",POWER(Upgrades!$U$13,E292),1)*IF(Upgrades!$T$14="Brown Dwarf",POWER(Upgrades!$U$14,F292),1)*IF(Upgrades!$T$15="Brown Dwarf",POWER(Upgrades!$U$15,G292),1)*IF(Upgrades!$T$16="Brown Dwarf",POWER(Upgrades!$U$16,H292),1)*IF(Upgrades!$T$18="Brown Dwarf",POWER(Upgrades!$U$18,J292),1)*IF(Upgrades!$T$19="Brown Dwarf",POWER(Upgrades!$U$19,K292),1)*IF(Upgrades!$T$20="Brown Dwarf",POWER(Upgrades!$U$20,L292),1)*IF(Upgrades!$T$21="Brown Dwarf",POWER(Upgrades!$U$21,M292),1))+(IF(J292=0,0,(Upgrades!$J$18+J292*Upgrades!$K$18)*POWER(Upgrades!$L$18,J292)))*(IF(Upgrades!$T$13="Binary Partner",POWER(Upgrades!$U$13,E292),1)*IF(Upgrades!$T$14="Binary Partner",POWER(Upgrades!$U$14,F292),1)*IF(Upgrades!$T$15="Binary Partner",POWER(Upgrades!$U$15,G292),1)*IF(Upgrades!$T$16="Binary Partner",POWER(Upgrades!$U$16,H292),1)*IF(Upgrades!$T$17="Binary Partner",POWER(Upgrades!$U$17,I292),1)*IF(Upgrades!$T$19="Binary Partner",POWER(Upgrades!$U$19,K292),1)*IF(Upgrades!$T$20="Binary Partner",POWER(Upgrades!$U$20,L292),1)*IF(Upgrades!$T$21="Binary Partner",POWER(Upgrades!$U$21,M292),1))+(IF(K292=0,0,(Upgrades!$J$19+K292*Upgrades!$K$19)*POWER(Upgrades!$L$19,K292)))*(IF(Upgrades!$T$13="Peculiar Velocity",POWER(Upgrades!$U$13,E292),1)*IF(Upgrades!$T$14="Peculiar Velocity",POWER(Upgrades!$U$14,F292),1)*IF(Upgrades!$T$15="Peculiar Velocity",POWER(Upgrades!$U$15,G292),1)*IF(Upgrades!$T$16="Peculiar Velocity",POWER(Upgrades!$U$16,H292),1)*IF(Upgrades!$T$17="Peculiar Velocity",POWER(Upgrades!$U$17,I292),1)*IF(Upgrades!$T$18="Peculiar Velocity",POWER(Upgrades!$U$18,J292),1)*IF(Upgrades!$T$20="Peculiar Velocity",POWER(Upgrades!$U$20,L292),1)*IF(Upgrades!$T$21="Peculiar Velocity",POWER(Upgrades!$U$21,M292),1))+(IF(L292=0,0,(Upgrades!$J$20+L292*Upgrades!$K$20)*POWER(Upgrades!$L$20,L292)))*(IF(Upgrades!$T$13="Open Cluster",POWER(Upgrades!$U$13,E292),1)*IF(Upgrades!$T$14="Open Cluster",POWER(Upgrades!$U$14,F292),1)*IF(Upgrades!$T$15="Open Cluster",POWER(Upgrades!$U$15,G292),1)*IF(Upgrades!$T$16="Open Cluster",POWER(Upgrades!$U$16,H292),1)*IF(Upgrades!$T$17="Open Cluster",POWER(Upgrades!$U$17,I292),1)*IF(Upgrades!$T$18="Open Cluster",POWER(Upgrades!$U$18,J292),1)*IF(Upgrades!$T$19="Open Cluster",POWER(Upgrades!$U$19,K292),1)*IF(Upgrades!$T$21="Open Cluster",POWER(Upgrades!$U$21,M292),1))+(IF(M292=0,0,(Upgrades!$J$21+M292*Upgrades!$K$21)*POWER(Upgrades!$L$21,M292)))*(IF(Upgrades!$T$13="Moving Group",POWER(Upgrades!$U$13,E292),1)*IF(Upgrades!$T$14="Moving Group",POWER(Upgrades!$U$14,F292),1)*IF(Upgrades!$T$15="Moving Group",POWER(Upgrades!$U$15,G292),1)*IF(Upgrades!$T$16="Moving Group",POWER(Upgrades!$U$16,H292),1)*IF(Upgrades!$T$17="Moving Group",POWER(Upgrades!$U$17,I292),1)*IF(Upgrades!$T$18="Moving Group",POWER(Upgrades!$U$18,J292),1)*IF(Upgrades!$T$19="Moving Group",POWER(Upgrades!$U$19,K292),1)*IF(Upgrades!$T$20="Moving Group",POWER(Upgrades!$U$20,L292),1)))*POWER(Upgrades!$Q$13,E292)*POWER(Upgrades!$Q$14,F292)*POWER(Upgrades!$Q$15,G292)*POWER(Upgrades!$Q$16,H292)*POWER(Upgrades!$Q$17,I292)*POWER(Upgrades!$Q$18,J292)*POWER(Upgrades!$Q$19,K292)*POWER(Upgrades!$Q$20,L292)*POWER(Upgrades!$Q$21,M292)*$G$6+$D$6</f>
        <v/>
      </c>
      <c r="P292" s="28">
        <f>((IF(E292=0,0,(Upgrades!$G$13+E292*Upgrades!$H$13)*POWER(Upgrades!$I$13,E292)))*(IF(Upgrades!$T$14="Stellar Kinematics",POWER(Upgrades!$U$14,F292),1)*IF(Upgrades!$T$15="Stellar Kinematics",POWER(Upgrades!$U$15,G292),1)*IF(Upgrades!$T$16="Stellar Kinematics",POWER(Upgrades!$U$16,H292),1)*IF(Upgrades!$T$17="Stellar Kinematics",POWER(Upgrades!$U$17,I292),1)*IF(Upgrades!$T$18="Stellar Kinematics",POWER(Upgrades!$U$18,J292),1)*IF(Upgrades!$T$19="Stellar Kinematics",POWER(Upgrades!$U$19,K292),1)*IF(Upgrades!$T$20="Stellar Kinematics",POWER(Upgrades!$U$20,L292),1)*IF(Upgrades!$T$21="Stellar Kinematics",POWER(Upgrades!$U$21,M292),1))+(IF(F292=0,0,(Upgrades!$G$14+F292*Upgrades!$H$14)*POWER(Upgrades!$I$14,F292)))*(IF(Upgrades!$T$13="Local Bubble",POWER(Upgrades!$U$13,E292),1)*IF(Upgrades!$T$15="Local Bubble",POWER(Upgrades!$U$15,G292),1)*IF(Upgrades!$T$16="Local Bubble",POWER(Upgrades!$U$16,H292),1)*IF(Upgrades!$T$17="Local Bubble",POWER(Upgrades!$U$17,I292),1)*IF(Upgrades!$T$18="Local Bubble",POWER(Upgrades!$U$18,J292),1)*IF(Upgrades!$T$19="Local Bubble",POWER(Upgrades!$U$19,K292),1)*IF(Upgrades!$T$20="Local Bubble",POWER(Upgrades!$U$20,L292),1)*IF(Upgrades!$T$21="Local Bubble",POWER(Upgrades!$U$21,M292),1))+(IF(G292=0,0,(Upgrades!$G$15+G292*Upgrades!$H$15)*POWER(Upgrades!$I$15,G292)))*(IF(Upgrades!$T$13="Microlensing",POWER(Upgrades!$U$13,E292),1)*IF(Upgrades!$T$14="Microlensing",POWER(Upgrades!$U$14,F292),1)*IF(Upgrades!$T$16="Microlensing",POWER(Upgrades!$U$16,H292),1)*IF(Upgrades!$T$17="Microlensing",POWER(Upgrades!$U$17,I292),1)*IF(Upgrades!$T$18="Microlensing",POWER(Upgrades!$U$18,J292),1)*IF(Upgrades!$T$19="Microlensing",POWER(Upgrades!$U$19,K292),1)*IF(Upgrades!$T$20="Microlensing",POWER(Upgrades!$U$20,L292),1)*IF(Upgrades!$T$21="Microlensing",POWER(Upgrades!$U$21,M292),1))+(IF(H292=0,0,(Upgrades!$G$16+H292*Upgrades!$H$16)*POWER(Upgrades!$I$16,H292)))*(IF(Upgrades!$T$13="Roche Lobe Overflow",POWER(Upgrades!$U$13,E292),1)*IF(Upgrades!$T$14="Roche Lobe Overflow",POWER(Upgrades!$U$14,F292),1)*IF(Upgrades!$T$15="Roche Lobe Overflow",POWER(Upgrades!$U$15,G292),1)*IF(Upgrades!$T$17="Roche Lobe Overflow",POWER(Upgrades!$U$17,I292),1)*IF(Upgrades!$T$18="Roche Lobe Overflow",POWER(Upgrades!$U$18,J292),1)*IF(Upgrades!$T$19="Roche Lobe Overflow",POWER(Upgrades!$U$19,K292),1)*IF(Upgrades!$T$20="Roche Lobe Overflow",POWER(Upgrades!$U$20,L292),1)*IF(Upgrades!$T$21="Roche Lobe Overflow",POWER(Upgrades!$U$21,M292),1))+(IF(I292=0,0,(Upgrades!$G$17+I292*Upgrades!$H$17)*POWER(Upgrades!$I$17,I292)))*(IF(Upgrades!$T$13="Brown Dwarf",POWER(Upgrades!$U$13,E292),1)*IF(Upgrades!$T$14="Brown Dwarf",POWER(Upgrades!$U$14,F292),1)*IF(Upgrades!$T$15="Brown Dwarf",POWER(Upgrades!$U$15,G292),1)*IF(Upgrades!$T$16="Brown Dwarf",POWER(Upgrades!$U$16,H292),1)*IF(Upgrades!$T$18="Brown Dwarf",POWER(Upgrades!$U$18,J292),1)*IF(Upgrades!$T$19="Brown Dwarf",POWER(Upgrades!$U$19,K292),1)*IF(Upgrades!$T$20="Brown Dwarf",POWER(Upgrades!$U$20,L292),1)*IF(Upgrades!$T$21="Brown Dwarf",POWER(Upgrades!$U$21,M292),1))+(IF(J292=0,0,(Upgrades!$G$18+J292*Upgrades!$H$18)*POWER(Upgrades!$I$18,J292)))*(IF(Upgrades!$T$13="Binary Partner",POWER(Upgrades!$U$13,E292),1)*IF(Upgrades!$T$14="Binary Partner",POWER(Upgrades!$U$14,F292),1)*IF(Upgrades!$T$15="Binary Partner",POWER(Upgrades!$U$15,G292),1)*IF(Upgrades!$T$16="Binary Partner",POWER(Upgrades!$U$16,H292),1)*IF(Upgrades!$T$17="Binary Partner",POWER(Upgrades!$U$17,I292),1)*IF(Upgrades!$T$19="Binary Partner",POWER(Upgrades!$U$19,K292),1)*IF(Upgrades!$T$20="Binary Partner",POWER(Upgrades!$U$20,L292),1)*IF(Upgrades!$T$21="Binary Partner",POWER(Upgrades!$U$21,M292),1))+(IF(K292=0,0,(Upgrades!$G$19+K292*Upgrades!$H$19)*POWER(Upgrades!$I$19,K292)))*(IF(Upgrades!$T$13="Peculiar Velocity",POWER(Upgrades!$U$13,E292),1)*IF(Upgrades!$T$14="Peculiar Velocity",POWER(Upgrades!$U$14,F292),1)*IF(Upgrades!$T$15="Peculiar Velocity",POWER(Upgrades!$U$15,G292),1)*IF(Upgrades!$T$16="Peculiar Velocity",POWER(Upgrades!$U$16,H292),1)*IF(Upgrades!$T$17="Peculiar Velocity",POWER(Upgrades!$U$17,I292),1)*IF(Upgrades!$T$18="Peculiar Velocity",POWER(Upgrades!$U$18,J292),1)*IF(Upgrades!$T$20="Peculiar Velocity",POWER(Upgrades!$U$20,L292),1)*IF(Upgrades!$T$21="Peculiar Velocity",POWER(Upgrades!$U$21,M292),1))+(IF(L292=0,0,(Upgrades!$G$20+L292*Upgrades!$H$20)*POWER(Upgrades!$I$20,L292)))*(IF(Upgrades!$T$13="Open Cluster",POWER(Upgrades!$U$13,E292),1)*IF(Upgrades!$T$14="Open Cluster",POWER(Upgrades!$U$14,F292),1)*IF(Upgrades!$T$15="Open Cluster",POWER(Upgrades!$U$15,G292),1)*IF(Upgrades!$T$16="Open Cluster",POWER(Upgrades!$U$16,H292),1)*IF(Upgrades!$T$17="Open Cluster",POWER(Upgrades!$U$17,I292),1)*IF(Upgrades!$T$18="Open Cluster",POWER(Upgrades!$U$18,J292),1)*IF(Upgrades!$T$19="Open Cluster",POWER(Upgrades!$U$19,K292),1)*IF(Upgrades!$T$21="Open Cluster",POWER(Upgrades!$U$21,M292),1))+(IF(M292=0,0,(Upgrades!$G$21+M292*Upgrades!$H$21)*POWER(Upgrades!$I$21,M292)))*(IF(Upgrades!$T$13="Moving Group",POWER(Upgrades!$U$13,E292),1)*IF(Upgrades!$T$14="Moving Group",POWER(Upgrades!$U$14,F292),1)*IF(Upgrades!$T$15="Moving Group",POWER(Upgrades!$U$15,G292),1)*IF(Upgrades!$T$16="Moving Group",POWER(Upgrades!$U$16,H292),1)*IF(Upgrades!$T$17="Moving Group",POWER(Upgrades!$U$17,I292),1)*IF(Upgrades!$T$18="Moving Group",POWER(Upgrades!$U$18,J292),1)*IF(Upgrades!$T$19="Moving Group",POWER(Upgrades!$U$19,K292),1)*IF(Upgrades!$T$20="Moving Group",POWER(Upgrades!$U$20,L292),1)))*POWER(Upgrades!$P$13,E292)*POWER(Upgrades!$P$14,F292)*POWER(Upgrades!$P$15,G292)*POWER(Upgrades!$P$16,H292)*POWER(Upgrades!$P$17,I292)*POWER(Upgrades!$P$18,J292)*POWER(Upgrades!$P$19,K292)*POWER(Upgrades!$P$20,L292)*POWER(Upgrades!$P$21,M292)*$F$6+$C$6</f>
        <v/>
      </c>
      <c r="Q292" s="28">
        <f>((IF(E292=0,0,(Upgrades!$M$13+E292*Upgrades!$N$13)*POWER(Upgrades!$O$13,E292)))*(IF(Upgrades!$T$14="Stellar Kinematics",POWER(Upgrades!$U$14,F292),1)*IF(Upgrades!$T$15="Stellar Kinematics",POWER(Upgrades!$U$15,G292),1)*IF(Upgrades!$T$16="Stellar Kinematics",POWER(Upgrades!$U$16,H292),1)*IF(Upgrades!$T$17="Stellar Kinematics",POWER(Upgrades!$U$17,I292),1)*IF(Upgrades!$T$18="Stellar Kinematics",POWER(Upgrades!$U$18,J292),1)*IF(Upgrades!$T$19="Stellar Kinematics",POWER(Upgrades!$U$19,K292),1)*IF(Upgrades!$T$20="Stellar Kinematics",POWER(Upgrades!$U$20,L292),1)*IF(Upgrades!$T$21="Stellar Kinematics",POWER(Upgrades!$U$21,M292),1))+(IF(F292=0,0,(Upgrades!$M$14+F292*Upgrades!$N$14)*POWER(Upgrades!$O$14,F292)))*(IF(Upgrades!$T$13="Local Bubble",POWER(Upgrades!$U$13,E292),1)*IF(Upgrades!$T$15="Local Bubble",POWER(Upgrades!$U$15,G292),1)*IF(Upgrades!$T$16="Local Bubble",POWER(Upgrades!$U$16,H292),1)*IF(Upgrades!$T$17="Local Bubble",POWER(Upgrades!$U$17,I292),1)*IF(Upgrades!$T$18="Local Bubble",POWER(Upgrades!$U$18,J292),1)*IF(Upgrades!$T$19="Local Bubble",POWER(Upgrades!$U$19,K292),1)*IF(Upgrades!$T$20="Local Bubble",POWER(Upgrades!$U$20,L292),1)*IF(Upgrades!$T$21="Local Bubble",POWER(Upgrades!$U$21,M292),1))+(IF(G292=0,0,(Upgrades!$M$15+G292*Upgrades!$N$15)*POWER(Upgrades!$O$15,G292)))*(IF(Upgrades!$T$13="Microlensing",POWER(Upgrades!$U$13,E292),1)*IF(Upgrades!$T$14="Microlensing",POWER(Upgrades!$U$14,F292),1)*IF(Upgrades!$T$16="Microlensing",POWER(Upgrades!$U$16,H292),1)*IF(Upgrades!$T$17="Microlensing",POWER(Upgrades!$U$17,I292),1)*IF(Upgrades!$T$18="Microlensing",POWER(Upgrades!$U$18,J292),1)*IF(Upgrades!$T$19="Microlensing",POWER(Upgrades!$U$19,K292),1)*IF(Upgrades!$T$20="Microlensing",POWER(Upgrades!$U$20,L292),1)*IF(Upgrades!$T$21="Microlensing",POWER(Upgrades!$U$21,M292),1))+(IF(H292=0,0,(Upgrades!$M$16+H292*Upgrades!$N$16)*POWER(Upgrades!$O$16,H292)))*(IF(Upgrades!$T$13="Roche Lobe Overflow",POWER(Upgrades!$U$13,E292),1)*IF(Upgrades!$T$14="Roche Lobe Overflow",POWER(Upgrades!$U$14,F292),1)*IF(Upgrades!$T$15="Roche Lobe Overflow",POWER(Upgrades!$U$15,G292),1)*IF(Upgrades!$T$17="Roche Lobe Overflow",POWER(Upgrades!$U$17,I292),1)*IF(Upgrades!$T$18="Roche Lobe Overflow",POWER(Upgrades!$U$18,J292),1)*IF(Upgrades!$T$19="Roche Lobe Overflow",POWER(Upgrades!$U$19,K292),1)*IF(Upgrades!$T$20="Roche Lobe Overflow",POWER(Upgrades!$U$20,L292),1)*IF(Upgrades!$T$21="Roche Lobe Overflow",POWER(Upgrades!$U$21,M292),1))+(IF(I292=0,0,(Upgrades!$M$17+I292*Upgrades!$N$17)*POWER(Upgrades!$O$17,I292)))*(IF(Upgrades!$T$13="Brown Dwarf",POWER(Upgrades!$U$13,E292),1)*IF(Upgrades!$T$14="Brown Dwarf",POWER(Upgrades!$U$14,F292),1)*IF(Upgrades!$T$15="Brown Dwarf",POWER(Upgrades!$U$15,G292),1)*IF(Upgrades!$T$16="Brown Dwarf",POWER(Upgrades!$U$16,H292),1)*IF(Upgrades!$T$18="Brown Dwarf",POWER(Upgrades!$U$18,J292),1)*IF(Upgrades!$T$19="Brown Dwarf",POWER(Upgrades!$U$19,K292),1)*IF(Upgrades!$T$20="Brown Dwarf",POWER(Upgrades!$U$20,L292),1)*IF(Upgrades!$T$21="Brown Dwarf",POWER(Upgrades!$U$21,M292),1))+(IF(J292=0,0,(Upgrades!$M$18+J292*Upgrades!$N$18)*POWER(Upgrades!$O$18,J292)))*(IF(Upgrades!$T$13="Binary Partner",POWER(Upgrades!$U$13,E292),1)*IF(Upgrades!$T$14="Binary Partner",POWER(Upgrades!$U$14,F292),1)*IF(Upgrades!$T$15="Binary Partner",POWER(Upgrades!$U$15,G292),1)*IF(Upgrades!$T$16="Binary Partner",POWER(Upgrades!$U$16,H292),1)*IF(Upgrades!$T$17="Binary Partner",POWER(Upgrades!$U$17,I292),1)*IF(Upgrades!$T$19="Binary Partner",POWER(Upgrades!$U$19,K292),1)*IF(Upgrades!$T$20="Binary Partner",POWER(Upgrades!$U$20,L292),1)*IF(Upgrades!$T$21="Binary Partner",POWER(Upgrades!$U$21,M292),1))+(IF(K292=0,0,(Upgrades!$M$19+K292*Upgrades!$N$19)*POWER(Upgrades!$O$19,K292)))*(IF(Upgrades!$T$13="Peculiar Velocity",POWER(Upgrades!$U$13,E292),1)*IF(Upgrades!$T$14="Peculiar Velocity",POWER(Upgrades!$U$14,F292),1)*IF(Upgrades!$T$15="Peculiar Velocity",POWER(Upgrades!$U$15,G292),1)*IF(Upgrades!$T$16="Peculiar Velocity",POWER(Upgrades!$U$16,H292),1)*IF(Upgrades!$T$17="Peculiar Velocity",POWER(Upgrades!$U$17,I292),1)*IF(Upgrades!$T$18="Peculiar Velocity",POWER(Upgrades!$U$18,J292),1)*IF(Upgrades!$T$20="Peculiar Velocity",POWER(Upgrades!$U$20,L292),1)*IF(Upgrades!$T$21="Peculiar Velocity",POWER(Upgrades!$U$21,M292),1))+(IF(L292=0,0,(Upgrades!$M$20+L292*Upgrades!$N$20)*POWER(Upgrades!$O$20,L292)))*(IF(Upgrades!$T$13="Open Cluster",POWER(Upgrades!$U$13,E292),1)*IF(Upgrades!$T$14="Open Cluster",POWER(Upgrades!$U$14,F292),1)*IF(Upgrades!$T$15="Open Cluster",POWER(Upgrades!$U$15,G292),1)*IF(Upgrades!$T$16="Open Cluster",POWER(Upgrades!$U$16,H292),1)*IF(Upgrades!$T$17="Open Cluster",POWER(Upgrades!$U$17,I292),1)*IF(Upgrades!$T$18="Open Cluster",POWER(Upgrades!$U$18,J292),1)*IF(Upgrades!$T$19="Open Cluster",POWER(Upgrades!$U$19,K292),1)*IF(Upgrades!$T$21="Open Cluster",POWER(Upgrades!$U$21,M292),1))+(IF(M292=0,0,(Upgrades!$M$21+M292*Upgrades!$N$21)*POWER(Upgrades!$O$21,M292)))*(IF(Upgrades!$T$13="Moving Group",POWER(Upgrades!$U$13,E292),1)*IF(Upgrades!$T$14="Moving Group",POWER(Upgrades!$U$14,F292),1)*IF(Upgrades!$T$15="Moving Group",POWER(Upgrades!$U$15,G292),1)*IF(Upgrades!$T$16="Moving Group",POWER(Upgrades!$U$16,H292),1)*IF(Upgrades!$T$17="Moving Group",POWER(Upgrades!$U$17,I292),1)*IF(Upgrades!$T$18="Moving Group",POWER(Upgrades!$U$18,J292),1)*IF(Upgrades!$T$19="Moving Group",POWER(Upgrades!$U$19,K292),1)*IF(Upgrades!$T$20="Moving Group",POWER(Upgrades!$U$20,L292),1)))*POWER(Upgrades!$R$13,E292)*POWER(Upgrades!$R$14,F292)*POWER(Upgrades!$R$15,G292)*POWER(Upgrades!$R$16,H292)*POWER(Upgrades!$R$17,I292)*POWER(Upgrades!$R$18,J292)*POWER(Upgrades!$R$19,K292)*POWER(Upgrades!$R$20,L292)*POWER(Upgrades!$R$21,M292)*$H$6+$E$6</f>
        <v/>
      </c>
      <c r="R292" s="27">
        <f>IF(N292=1,0,O292*Parameters!$B$10/60*Parameters!$B$11*10)</f>
        <v/>
      </c>
      <c r="S292" s="27">
        <f>IF(N292=1,0,Q292*O292*10)</f>
        <v/>
      </c>
      <c r="T292" s="27">
        <f>IF(N292=1,0,R292+S292+P292*10)</f>
        <v/>
      </c>
      <c r="U292" s="33">
        <f>BE292</f>
        <v/>
      </c>
      <c r="V292" s="22">
        <f>IF(U292="",0,IF(U292="transition",0,IF(U292="SK",AK292,IF(U292="LB",AL292,IF(U292="ML",AM292,IF(U292="RLO",AN292,IF(U292="BD",AO292,IF(U292="BiP",AP292,IF(U292="PV",AQ292,IF(U292="OC",AR292,IF(U292="MG",AS292,0))))))))))</f>
        <v/>
      </c>
      <c r="W292" s="27">
        <f>IF(U292="BiP",Upgrades!$F$18,IF(U292="PV",Upgrades!$F$19,IF(U292="OC",Upgrades!$F$20,IF(U292="MG",Upgrades!$F$21,IF(U292="transition",-Parameters!$B$18*Parameters!$B$19,0)))))</f>
        <v/>
      </c>
      <c r="X292" s="22">
        <f>C292+T292-V292</f>
        <v/>
      </c>
      <c r="Y292" s="30">
        <f>O292*Parameters!$B$10/60*Parameters!$B$11+Q292*O292+P292</f>
        <v/>
      </c>
      <c r="Z292" s="34">
        <f>IF(U292="transition","→ Tier 3 (Galactic Arm)",IF(U292="MG","Moving Group — pocket drifts together",IF(U292="OC","Open Cluster acquired",IF(U292="PV","Peculiar Velocity — passive multiplier active",IF(U292="BiP","Binary Partner — pair bond formed",IF(AND(AU292=1,N292=0,AT292&lt;&gt;1),"Cohesion ready (waiting on completionists)","")))))) </f>
        <v/>
      </c>
      <c r="AA292" s="27">
        <f>(IF(E292=0,0,(Upgrades!$G$13+E292*Upgrades!$H$13)*POWER(Upgrades!$I$13,E292)))*(IF(Upgrades!$T$14="Stellar Kinematics",POWER(Upgrades!$U$14,F292),1)*IF(Upgrades!$T$15="Stellar Kinematics",POWER(Upgrades!$U$15,G292),1)*IF(Upgrades!$T$16="Stellar Kinematics",POWER(Upgrades!$U$16,H292),1)*IF(Upgrades!$T$17="Stellar Kinematics",POWER(Upgrades!$U$17,I292),1)*IF(Upgrades!$T$18="Stellar Kinematics",POWER(Upgrades!$U$18,J292),1)*IF(Upgrades!$T$19="Stellar Kinematics",POWER(Upgrades!$U$19,K292),1)*IF(Upgrades!$T$20="Stellar Kinematics",POWER(Upgrades!$U$20,L292),1)*IF(Upgrades!$T$21="Stellar Kinematics",POWER(Upgrades!$U$21,M292),1))*POWER(Upgrades!$P$13,E292)*POWER(Upgrades!$P$14,F292)*POWER(Upgrades!$P$15,G292)*POWER(Upgrades!$P$16,H292)*POWER(Upgrades!$P$17,I292)*POWER(Upgrades!$P$18,J292)*POWER(Upgrades!$P$19,K292)*POWER(Upgrades!$P$20,L292)*POWER(Upgrades!$P$21,M292)*$F$6*60</f>
        <v/>
      </c>
      <c r="AB292" s="27">
        <f>(IF(F292=0,0,(Upgrades!$G$14+F292*Upgrades!$H$14)*POWER(Upgrades!$I$14,F292)))*(IF(Upgrades!$T$13="Local Bubble",POWER(Upgrades!$U$13,E292),1)*IF(Upgrades!$T$15="Local Bubble",POWER(Upgrades!$U$15,G292),1)*IF(Upgrades!$T$16="Local Bubble",POWER(Upgrades!$U$16,H292),1)*IF(Upgrades!$T$17="Local Bubble",POWER(Upgrades!$U$17,I292),1)*IF(Upgrades!$T$18="Local Bubble",POWER(Upgrades!$U$18,J292),1)*IF(Upgrades!$T$19="Local Bubble",POWER(Upgrades!$U$19,K292),1)*IF(Upgrades!$T$20="Local Bubble",POWER(Upgrades!$U$20,L292),1)*IF(Upgrades!$T$21="Local Bubble",POWER(Upgrades!$U$21,M292),1))*POWER(Upgrades!$P$13,E292)*POWER(Upgrades!$P$14,F292)*POWER(Upgrades!$P$15,G292)*POWER(Upgrades!$P$16,H292)*POWER(Upgrades!$P$17,I292)*POWER(Upgrades!$P$18,J292)*POWER(Upgrades!$P$19,K292)*POWER(Upgrades!$P$20,L292)*POWER(Upgrades!$P$21,M292)*$F$6*60</f>
        <v/>
      </c>
      <c r="AC292" s="27">
        <f>(IF(G292=0,0,(Upgrades!$J$15+G292*Upgrades!$K$15)*POWER(Upgrades!$L$15,G292)))*(IF(Upgrades!$T$13="Microlensing",POWER(Upgrades!$U$13,E292),1)*IF(Upgrades!$T$14="Microlensing",POWER(Upgrades!$U$14,F292),1)*IF(Upgrades!$T$16="Microlensing",POWER(Upgrades!$U$16,H292),1)*IF(Upgrades!$T$17="Microlensing",POWER(Upgrades!$U$17,I292),1)*IF(Upgrades!$T$18="Microlensing",POWER(Upgrades!$U$18,J292),1)*IF(Upgrades!$T$19="Microlensing",POWER(Upgrades!$U$19,K292),1)*IF(Upgrades!$T$20="Microlensing",POWER(Upgrades!$U$20,L292),1)*IF(Upgrades!$T$21="Microlensing",POWER(Upgrades!$U$21,M292),1))*POWER(Upgrades!$Q$13,E292)*POWER(Upgrades!$Q$14,F292)*POWER(Upgrades!$Q$15,G292)*POWER(Upgrades!$Q$16,H292)*POWER(Upgrades!$Q$17,I292)*POWER(Upgrades!$Q$18,J292)*POWER(Upgrades!$Q$19,K292)*POWER(Upgrades!$Q$20,L292)*POWER(Upgrades!$Q$21,M292)*$G$6*(Parameters!$B$10*Parameters!$B$11+Q292*60)</f>
        <v/>
      </c>
      <c r="AD292" s="27">
        <f>(IF(H292=0,0,(Upgrades!$M$16+H292*Upgrades!$N$16)*POWER(Upgrades!$O$16,H292)))*(IF(Upgrades!$T$13="Roche Lobe Overflow",POWER(Upgrades!$U$13,E292),1)*IF(Upgrades!$T$14="Roche Lobe Overflow",POWER(Upgrades!$U$14,F292),1)*IF(Upgrades!$T$15="Roche Lobe Overflow",POWER(Upgrades!$U$15,G292),1)*IF(Upgrades!$T$17="Roche Lobe Overflow",POWER(Upgrades!$U$17,I292),1)*IF(Upgrades!$T$18="Roche Lobe Overflow",POWER(Upgrades!$U$18,J292),1)*IF(Upgrades!$T$19="Roche Lobe Overflow",POWER(Upgrades!$U$19,K292),1)*IF(Upgrades!$T$20="Roche Lobe Overflow",POWER(Upgrades!$U$20,L292),1)*IF(Upgrades!$T$21="Roche Lobe Overflow",POWER(Upgrades!$U$21,M292),1))*POWER(Upgrades!$R$13,E292)*POWER(Upgrades!$R$14,F292)*POWER(Upgrades!$R$15,G292)*POWER(Upgrades!$R$16,H292)*POWER(Upgrades!$R$17,I292)*POWER(Upgrades!$R$18,J292)*POWER(Upgrades!$R$19,K292)*POWER(Upgrades!$R$20,L292)*POWER(Upgrades!$R$21,M292)*$H$6*O292*60</f>
        <v/>
      </c>
      <c r="AE292" s="27">
        <f>(IF(I292=0,0,(Upgrades!$G$17+I292*Upgrades!$H$17)*POWER(Upgrades!$I$17,I292)))*(IF(Upgrades!$T$13="Brown Dwarf",POWER(Upgrades!$U$13,E292),1)*IF(Upgrades!$T$14="Brown Dwarf",POWER(Upgrades!$U$14,F292),1)*IF(Upgrades!$T$15="Brown Dwarf",POWER(Upgrades!$U$15,G292),1)*IF(Upgrades!$T$16="Brown Dwarf",POWER(Upgrades!$U$16,H292),1)*IF(Upgrades!$T$18="Brown Dwarf",POWER(Upgrades!$U$18,J292),1)*IF(Upgrades!$T$19="Brown Dwarf",POWER(Upgrades!$U$19,K292),1)*IF(Upgrades!$T$20="Brown Dwarf",POWER(Upgrades!$U$20,L292),1)*IF(Upgrades!$T$21="Brown Dwarf",POWER(Upgrades!$U$21,M292),1))*POWER(Upgrades!$P$13,E292)*POWER(Upgrades!$P$14,F292)*POWER(Upgrades!$P$15,G292)*POWER(Upgrades!$P$16,H292)*POWER(Upgrades!$P$17,I292)*POWER(Upgrades!$P$18,J292)*POWER(Upgrades!$P$19,K292)*POWER(Upgrades!$P$20,L292)*POWER(Upgrades!$P$21,M292)*$F$6*60</f>
        <v/>
      </c>
      <c r="AF292" s="27" t="n">
        <v>0</v>
      </c>
      <c r="AG292" s="27" t="n">
        <v>0</v>
      </c>
      <c r="AH292" s="27" t="n">
        <v>0</v>
      </c>
      <c r="AI292" s="27">
        <f>(IF(M292=0,0,(Upgrades!$G$21+M292*Upgrades!$H$21)*POWER(Upgrades!$I$21,M292)))*(IF(Upgrades!$T$13="Moving Group",POWER(Upgrades!$U$13,E292),1)*IF(Upgrades!$T$14="Moving Group",POWER(Upgrades!$U$14,F292),1)*IF(Upgrades!$T$15="Moving Group",POWER(Upgrades!$U$15,G292),1)*IF(Upgrades!$T$16="Moving Group",POWER(Upgrades!$U$16,H292),1)*IF(Upgrades!$T$17="Moving Group",POWER(Upgrades!$U$17,I292),1)*IF(Upgrades!$T$18="Moving Group",POWER(Upgrades!$U$18,J292),1)*IF(Upgrades!$T$19="Moving Group",POWER(Upgrades!$U$19,K292),1)*IF(Upgrades!$T$20="Moving Group",POWER(Upgrades!$U$20,L292),1))*POWER(Upgrades!$P$13,E292)*POWER(Upgrades!$P$14,F292)*POWER(Upgrades!$P$15,G292)*POWER(Upgrades!$P$16,H292)*POWER(Upgrades!$P$17,I292)*POWER(Upgrades!$P$18,J292)*POWER(Upgrades!$P$19,K292)*POWER(Upgrades!$P$20,L292)*POWER(Upgrades!$P$21,M292)*$F$6*60</f>
        <v/>
      </c>
      <c r="AJ292" s="27">
        <f>$C$6*60</f>
        <v/>
      </c>
      <c r="AK292" s="22">
        <f>IF(E292&gt;=Upgrades!$E$13,"",Upgrades!$C$13*POWER(Upgrades!$D$13,E292))</f>
        <v/>
      </c>
      <c r="AL292" s="22">
        <f>IF(F292&gt;=Upgrades!$E$14,"",Upgrades!$C$14*POWER(Upgrades!$D$14,F292))</f>
        <v/>
      </c>
      <c r="AM292" s="22">
        <f>IF(G292&gt;=Upgrades!$E$15,"",Upgrades!$C$15*POWER(Upgrades!$D$15,G292))</f>
        <v/>
      </c>
      <c r="AN292" s="22">
        <f>IF(H292&gt;=Upgrades!$E$16,"",Upgrades!$C$16*POWER(Upgrades!$D$16,H292))</f>
        <v/>
      </c>
      <c r="AO292" s="22">
        <f>IF(I292&gt;=Upgrades!$E$17,"",Upgrades!$C$17*POWER(Upgrades!$D$17,I292))</f>
        <v/>
      </c>
      <c r="AP292" s="22">
        <f>IF(J292&gt;=Upgrades!$E$18,"",Upgrades!$C$18*POWER(Upgrades!$D$18,J292))</f>
        <v/>
      </c>
      <c r="AQ292" s="22">
        <f>IF(K292&gt;=Upgrades!$E$19,"",Upgrades!$C$19*POWER(Upgrades!$D$19,K292))</f>
        <v/>
      </c>
      <c r="AR292" s="22">
        <f>IF(L292&gt;=Upgrades!$E$20,"",Upgrades!$C$20*POWER(Upgrades!$D$20,L292))</f>
        <v/>
      </c>
      <c r="AS292" s="22">
        <f>IF(M292&gt;=Upgrades!$E$21,"",Upgrades!$C$21*POWER(Upgrades!$D$21,M292))</f>
        <v/>
      </c>
      <c r="AT292" s="26">
        <f>IF(AND(D292&gt;=Parameters!$B$18*Parameters!$B$19,(I292&gt;=Upgrades!$E$17)*(M292&gt;=Upgrades!$E$21)=1,N292=0),1,"")</f>
        <v/>
      </c>
      <c r="AU292" s="26">
        <f>IF(AND(D292&gt;=Parameters!$B$18*Parameters!$B$19,N292=0),1,"")</f>
        <v/>
      </c>
      <c r="AV292" s="22">
        <f>MIN(IF(ISNUMBER(AP292),AP292,9E15),IF(ISNUMBER(AQ292),AQ292,9E15),IF(ISNUMBER(AR292),AR292,9E15),IF(ISNUMBER(AS292),AS292,9E15))</f>
        <v/>
      </c>
      <c r="AW292" s="22">
        <f>MIN(IF(ISNUMBER(AK292),AK292,9E15),IF(ISNUMBER(AL292),AL292,9E15),IF(ISNUMBER(AM292),AM292,9E15),IF(ISNUMBER(AN292),AN292,9E15),IF(ISNUMBER(AO292),AO292,9E15))</f>
        <v/>
      </c>
      <c r="AX292" s="29">
        <f>IF(BD292&gt;Parameters!$B$21*(MAX(IF(AND(NOT(AND(AU292=1,AT292&lt;&gt;1)),ISNUMBER(AK292),AK292&lt;=(C292+T292)),AY292,0),IF(AND(NOT(AND(AU292=1,AT292&lt;&gt;1)),ISNUMBER(AL292),AL292&lt;=(C292+T292)),AZ292,0),IF(AND(NOT(AND(AU292=1,AT292&lt;&gt;1)),ISNUMBER(AM292),AM292&lt;=(C292+T292)),BA292,0),IF(AND(NOT(AND(AU292=1,AT292&lt;&gt;1)),ISNUMBER(AN292),AN292&lt;=(C292+T292)),BB292,0),IF(AND(ISNUMBER(AO292),AO292&lt;=(C292+T292)),BC292,0))),TRUE,FALSE)</f>
        <v/>
      </c>
      <c r="AY292" s="32">
        <f>IFERROR(Upgrades!$H$13*(POWER(Upgrades!$P$13,E292)*POWER(Upgrades!$P$14,F292)*POWER(Upgrades!$P$15,G292)*POWER(Upgrades!$P$16,H292)*POWER(Upgrades!$P$17,I292)*POWER(Upgrades!$P$18,J292)*POWER(Upgrades!$P$19,K292)*POWER(Upgrades!$P$20,L292)*POWER(Upgrades!$P$21,M292))*(IF(Upgrades!$T$14="Stellar Kinematics",POWER(Upgrades!$U$14,F292),1)*IF(Upgrades!$T$15="Stellar Kinematics",POWER(Upgrades!$U$15,G292),1)*IF(Upgrades!$T$16="Stellar Kinematics",POWER(Upgrades!$U$16,H292),1)*IF(Upgrades!$T$17="Stellar Kinematics",POWER(Upgrades!$U$17,I292),1)*IF(Upgrades!$T$18="Stellar Kinematics",POWER(Upgrades!$U$18,J292),1)*IF(Upgrades!$T$19="Stellar Kinematics",POWER(Upgrades!$U$19,K292),1)*IF(Upgrades!$T$20="Stellar Kinematics",POWER(Upgrades!$U$20,L292),1)*IF(Upgrades!$T$21="Stellar Kinematics",POWER(Upgrades!$U$21,M292),1))*$F$6/AK292,0)</f>
        <v/>
      </c>
      <c r="AZ292" s="32">
        <f>IFERROR(Upgrades!$H$14*(POWER(Upgrades!$P$13,E292)*POWER(Upgrades!$P$14,F292)*POWER(Upgrades!$P$15,G292)*POWER(Upgrades!$P$16,H292)*POWER(Upgrades!$P$17,I292)*POWER(Upgrades!$P$18,J292)*POWER(Upgrades!$P$19,K292)*POWER(Upgrades!$P$20,L292)*POWER(Upgrades!$P$21,M292))*(IF(Upgrades!$T$13="Local Bubble",POWER(Upgrades!$U$13,E292),1)*IF(Upgrades!$T$15="Local Bubble",POWER(Upgrades!$U$15,G292),1)*IF(Upgrades!$T$16="Local Bubble",POWER(Upgrades!$U$16,H292),1)*IF(Upgrades!$T$17="Local Bubble",POWER(Upgrades!$U$17,I292),1)*IF(Upgrades!$T$18="Local Bubble",POWER(Upgrades!$U$18,J292),1)*IF(Upgrades!$T$19="Local Bubble",POWER(Upgrades!$U$19,K292),1)*IF(Upgrades!$T$20="Local Bubble",POWER(Upgrades!$U$20,L292),1)*IF(Upgrades!$T$21="Local Bubble",POWER(Upgrades!$U$21,M292),1))*$F$6/AL292,0)</f>
        <v/>
      </c>
      <c r="BA292" s="32">
        <f>IFERROR(Upgrades!$K$15*(POWER(Upgrades!$Q$13,E292)*POWER(Upgrades!$Q$14,F292)*POWER(Upgrades!$Q$15,G292)*POWER(Upgrades!$Q$16,H292)*POWER(Upgrades!$Q$17,I292)*POWER(Upgrades!$Q$18,J292)*POWER(Upgrades!$Q$19,K292)*POWER(Upgrades!$Q$20,L292)*POWER(Upgrades!$Q$21,M292))*(IF(Upgrades!$T$13="Microlensing",POWER(Upgrades!$U$13,E292),1)*IF(Upgrades!$T$14="Microlensing",POWER(Upgrades!$U$14,F292),1)*IF(Upgrades!$T$16="Microlensing",POWER(Upgrades!$U$16,H292),1)*IF(Upgrades!$T$17="Microlensing",POWER(Upgrades!$U$17,I292),1)*IF(Upgrades!$T$18="Microlensing",POWER(Upgrades!$U$18,J292),1)*IF(Upgrades!$T$19="Microlensing",POWER(Upgrades!$U$19,K292),1)*IF(Upgrades!$T$20="Microlensing",POWER(Upgrades!$U$20,L292),1)*IF(Upgrades!$T$21="Microlensing",POWER(Upgrades!$U$21,M292),1))*$G$6*(Parameters!$B$10/60*Parameters!$B$11+Q292)/AM292,0)</f>
        <v/>
      </c>
      <c r="BB292" s="32">
        <f>IFERROR((Upgrades!$N$16*(POWER(Upgrades!$R$13,E292)*POWER(Upgrades!$R$14,F292)*POWER(Upgrades!$R$15,G292)*POWER(Upgrades!$R$16,H292)*POWER(Upgrades!$R$17,I292)*POWER(Upgrades!$R$18,J292)*POWER(Upgrades!$R$19,K292)*POWER(Upgrades!$R$20,L292)*POWER(Upgrades!$R$21,M292))*(IF(Upgrades!$T$13="Roche Lobe Overflow",POWER(Upgrades!$U$13,E292),1)*IF(Upgrades!$T$14="Roche Lobe Overflow",POWER(Upgrades!$U$14,F292),1)*IF(Upgrades!$T$15="Roche Lobe Overflow",POWER(Upgrades!$U$15,G292),1)*IF(Upgrades!$T$17="Roche Lobe Overflow",POWER(Upgrades!$U$17,I292),1)*IF(Upgrades!$T$18="Roche Lobe Overflow",POWER(Upgrades!$U$18,J292),1)*IF(Upgrades!$T$19="Roche Lobe Overflow",POWER(Upgrades!$U$19,K292),1)*IF(Upgrades!$T$20="Roche Lobe Overflow",POWER(Upgrades!$U$20,L292),1)*IF(Upgrades!$T$21="Roche Lobe Overflow",POWER(Upgrades!$U$21,M292),1))*$H$6*O292+((IF(F292=0,0,(Upgrades!$G$14+F292*Upgrades!$H$14)*POWER(Upgrades!$I$14,F292)))*(IF(Upgrades!$T$13="Local Bubble",POWER(Upgrades!$U$13,E292),1)*IF(Upgrades!$T$15="Local Bubble",POWER(Upgrades!$U$15,G292),1)*IF(Upgrades!$T$16="Local Bubble",POWER(Upgrades!$U$16,H292),1)*IF(Upgrades!$T$17="Local Bubble",POWER(Upgrades!$U$17,I292),1)*IF(Upgrades!$T$18="Local Bubble",POWER(Upgrades!$U$18,J292),1)*IF(Upgrades!$T$19="Local Bubble",POWER(Upgrades!$U$19,K292),1)*IF(Upgrades!$T$20="Local Bubble",POWER(Upgrades!$U$20,L292),1)*IF(Upgrades!$T$21="Local Bubble",POWER(Upgrades!$U$21,M292),1))*POWER(Upgrades!$P$13,E292)*POWER(Upgrades!$P$14,F292)*POWER(Upgrades!$P$15,G292)*POWER(Upgrades!$P$16,H292)*POWER(Upgrades!$P$17,I292)*POWER(Upgrades!$P$18,J292)*POWER(Upgrades!$P$19,K292)*POWER(Upgrades!$P$20,L292)*POWER(Upgrades!$P$21,M292)*$F$6)*0.05)/AN292,0)</f>
        <v/>
      </c>
      <c r="BC292" s="32">
        <f>IFERROR((Upgrades!$H$17*(POWER(Upgrades!$P$13,E292)*POWER(Upgrades!$P$14,F292)*POWER(Upgrades!$P$15,G292)*POWER(Upgrades!$P$16,H292)*POWER(Upgrades!$P$17,I292)*POWER(Upgrades!$P$18,J292)*POWER(Upgrades!$P$19,K292)*POWER(Upgrades!$P$20,L292)*POWER(Upgrades!$P$21,M292))*(IF(Upgrades!$T$13="Brown Dwarf",POWER(Upgrades!$U$13,E292),1)*IF(Upgrades!$T$14="Brown Dwarf",POWER(Upgrades!$U$14,F292),1)*IF(Upgrades!$T$15="Brown Dwarf",POWER(Upgrades!$U$15,G292),1)*IF(Upgrades!$T$16="Brown Dwarf",POWER(Upgrades!$U$16,H292),1)*IF(Upgrades!$T$18="Brown Dwarf",POWER(Upgrades!$U$18,J292),1)*IF(Upgrades!$T$19="Brown Dwarf",POWER(Upgrades!$U$19,K292),1)*IF(Upgrades!$T$20="Brown Dwarf",POWER(Upgrades!$U$20,L292),1)*IF(Upgrades!$T$21="Brown Dwarf",POWER(Upgrades!$U$21,M292),1))*$F$6+(((IF(H292=0,0,(Upgrades!$M$16+H292*Upgrades!$N$16)*POWER(Upgrades!$O$16,H292)))*(IF(Upgrades!$T$13="Roche Lobe Overflow",POWER(Upgrades!$U$13,E292),1)*IF(Upgrades!$T$14="Roche Lobe Overflow",POWER(Upgrades!$U$14,F292),1)*IF(Upgrades!$T$15="Roche Lobe Overflow",POWER(Upgrades!$U$15,G292),1)*IF(Upgrades!$T$17="Roche Lobe Overflow",POWER(Upgrades!$U$17,I292),1)*IF(Upgrades!$T$18="Roche Lobe Overflow",POWER(Upgrades!$U$18,J292),1)*IF(Upgrades!$T$19="Roche Lobe Overflow",POWER(Upgrades!$U$19,K292),1)*IF(Upgrades!$T$20="Roche Lobe Overflow",POWER(Upgrades!$U$20,L292),1)*IF(Upgrades!$T$21="Roche Lobe Overflow",POWER(Upgrades!$U$21,M292),1))*POWER(Upgrades!$R$13,E292)*POWER(Upgrades!$R$14,F292)*POWER(Upgrades!$R$15,G292)*POWER(Upgrades!$R$16,H292)*POWER(Upgrades!$R$17,I292)*POWER(Upgrades!$R$18,J292)*POWER(Upgrades!$R$19,K292)*POWER(Upgrades!$R$20,L292)*POWER(Upgrades!$R$21,M292)*$H$6)*O292)*0.10)/AO292,0)</f>
        <v/>
      </c>
      <c r="BD292" s="32">
        <f>MAX(IF(J292&gt;0,0,IFERROR(0.5*((IF(G292=0,0,(Upgrades!$J$15+G292*Upgrades!$K$15)*POWER(Upgrades!$L$15,G292)))*(IF(Upgrades!$T$13="Microlensing",POWER(Upgrades!$U$13,E292),1)*IF(Upgrades!$T$14="Microlensing",POWER(Upgrades!$U$14,F292),1)*IF(Upgrades!$T$16="Microlensing",POWER(Upgrades!$U$16,H292),1)*IF(Upgrades!$T$17="Microlensing",POWER(Upgrades!$U$17,I292),1)*IF(Upgrades!$T$18="Microlensing",POWER(Upgrades!$U$18,J292),1)*IF(Upgrades!$T$19="Microlensing",POWER(Upgrades!$U$19,K292),1)*IF(Upgrades!$T$20="Microlensing",POWER(Upgrades!$U$20,L292),1)*IF(Upgrades!$T$21="Microlensing",POWER(Upgrades!$U$21,M292),1))*(POWER(Upgrades!$Q$13,E292)*POWER(Upgrades!$Q$14,F292)*POWER(Upgrades!$Q$15,G292)*POWER(Upgrades!$Q$16,H292)*POWER(Upgrades!$Q$17,I292)*POWER(Upgrades!$Q$18,J292)*POWER(Upgrades!$Q$19,K292)*POWER(Upgrades!$Q$20,L292)*POWER(Upgrades!$Q$21,M292))*$G$6*(Parameters!$B$10/60*Parameters!$B$11+Q292))/Upgrades!$C$18,0)),IF(K292&gt;0,0,IFERROR(0.30*P292/Upgrades!$C$19,0)),IF(L292&gt;0,0,IFERROR(0.0001/Upgrades!$C$20,0)),IF(M292&gt;0,0,IFERROR((6.0*(POWER(Upgrades!$P$13,E292)*POWER(Upgrades!$P$14,F292)*POWER(Upgrades!$P$15,G292)*POWER(Upgrades!$P$16,H292)*POWER(Upgrades!$P$17,I292)*POWER(Upgrades!$P$18,J292)*POWER(Upgrades!$P$19,K292)*POWER(Upgrades!$P$20,L292)*POWER(Upgrades!$P$21,M292))*$F$6+0.20*O292*(Parameters!$B$10/60*Parameters!$B$11+Q292))/Upgrades!$C$21,0)),IF(AND(ISNUMBER(AK292),AK292&gt;(C292+T292)),AY292,0),IF(AND(ISNUMBER(AL292),AL292&gt;(C292+T292)),AZ292,0),IF(AND(ISNUMBER(AM292),AM292&gt;(C292+T292)),BA292,0),IF(AND(ISNUMBER(AN292),AN292&gt;(C292+T292)),BB292,0),IF(AND(ISNUMBER(AO292),AO292&gt;(C292+T292)),BC292,0))</f>
        <v/>
      </c>
      <c r="BE292" s="29">
        <f>IF(AT292=1,"transition",IF(MIN(IF(AND(J292=0,ISNUMBER(AP292),AP292&lt;=(C292+T292)),AP292,9E15),IF(AND(K292=0,ISNUMBER(AQ292),AQ292&lt;=(C292+T292)),AQ292,9E15),IF(AND(L292=0,ISNUMBER(AR292),AR292&lt;=(C292+T292)),AR292,9E15),IF(AND(M292=0,ISNUMBER(AS292),AS292&lt;=(C292+T292)),AS292,9E15))&lt;9E15,IF(AND(AND(J292=0,ISNUMBER(AP292),AP292&lt;=(C292+T292)),AP292=MIN(IF(AND(J292=0,ISNUMBER(AP292),AP292&lt;=(C292+T292)),AP292,9E15),IF(AND(K292=0,ISNUMBER(AQ292),AQ292&lt;=(C292+T292)),AQ292,9E15),IF(AND(L292=0,ISNUMBER(AR292),AR292&lt;=(C292+T292)),AR292,9E15),IF(AND(M292=0,ISNUMBER(AS292),AS292&lt;=(C292+T292)),AS292,9E15))),"BiP",IF(AND(AND(K292=0,ISNUMBER(AQ292),AQ292&lt;=(C292+T292)),AQ292=MIN(IF(AND(J292=0,ISNUMBER(AP292),AP292&lt;=(C292+T292)),AP292,9E15),IF(AND(K292=0,ISNUMBER(AQ292),AQ292&lt;=(C292+T292)),AQ292,9E15),IF(AND(L292=0,ISNUMBER(AR292),AR292&lt;=(C292+T292)),AR292,9E15),IF(AND(M292=0,ISNUMBER(AS292),AS292&lt;=(C292+T292)),AS292,9E15))),"PV",IF(AND(AND(L292=0,ISNUMBER(AR292),AR292&lt;=(C292+T292)),AR292=MIN(IF(AND(J292=0,ISNUMBER(AP292),AP292&lt;=(C292+T292)),AP292,9E15),IF(AND(K292=0,ISNUMBER(AQ292),AQ292&lt;=(C292+T292)),AQ292,9E15),IF(AND(L292=0,ISNUMBER(AR292),AR292&lt;=(C292+T292)),AR292,9E15),IF(AND(M292=0,ISNUMBER(AS292),AS292&lt;=(C292+T292)),AS292,9E15))),"OC","MG"))),IF(AX292=TRUE,"",IF(MAX(IF(AND(NOT(AND(AU292=1,AT292&lt;&gt;1)),ISNUMBER(AK292),AK292&lt;=(C292+T292)),AY292,0),IF(AND(NOT(AND(AU292=1,AT292&lt;&gt;1)),ISNUMBER(AL292),AL292&lt;=(C292+T292)),AZ292,0),IF(AND(NOT(AND(AU292=1,AT292&lt;&gt;1)),ISNUMBER(AM292),AM292&lt;=(C292+T292)),BA292,0),IF(AND(NOT(AND(AU292=1,AT292&lt;&gt;1)),ISNUMBER(AN292),AN292&lt;=(C292+T292)),BB292,0),IF(AND(ISNUMBER(AO292),AO292&lt;=(C292+T292)),BC292,0))&lt;=0,"",IF(AND(IF(AND(NOT(AND(AU292=1,AT292&lt;&gt;1)),ISNUMBER(AK292),AK292&lt;=(C292+T292)),AY292,0)&gt;0,IF(AND(NOT(AND(AU292=1,AT292&lt;&gt;1)),ISNUMBER(AK292),AK292&lt;=(C292+T292)),AY292,0)=MAX(IF(AND(NOT(AND(AU292=1,AT292&lt;&gt;1)),ISNUMBER(AK292),AK292&lt;=(C292+T292)),AY292,0),IF(AND(NOT(AND(AU292=1,AT292&lt;&gt;1)),ISNUMBER(AL292),AL292&lt;=(C292+T292)),AZ292,0),IF(AND(NOT(AND(AU292=1,AT292&lt;&gt;1)),ISNUMBER(AM292),AM292&lt;=(C292+T292)),BA292,0),IF(AND(NOT(AND(AU292=1,AT292&lt;&gt;1)),ISNUMBER(AN292),AN292&lt;=(C292+T292)),BB292,0),IF(AND(ISNUMBER(AO292),AO292&lt;=(C292+T292)),BC292,0))),"SK",IF(AND(IF(AND(NOT(AND(AU292=1,AT292&lt;&gt;1)),ISNUMBER(AL292),AL292&lt;=(C292+T292)),AZ292,0)&gt;0,IF(AND(NOT(AND(AU292=1,AT292&lt;&gt;1)),ISNUMBER(AL292),AL292&lt;=(C292+T292)),AZ292,0)=MAX(IF(AND(NOT(AND(AU292=1,AT292&lt;&gt;1)),ISNUMBER(AK292),AK292&lt;=(C292+T292)),AY292,0),IF(AND(NOT(AND(AU292=1,AT292&lt;&gt;1)),ISNUMBER(AL292),AL292&lt;=(C292+T292)),AZ292,0),IF(AND(NOT(AND(AU292=1,AT292&lt;&gt;1)),ISNUMBER(AM292),AM292&lt;=(C292+T292)),BA292,0),IF(AND(NOT(AND(AU292=1,AT292&lt;&gt;1)),ISNUMBER(AN292),AN292&lt;=(C292+T292)),BB292,0),IF(AND(ISNUMBER(AO292),AO292&lt;=(C292+T292)),BC292,0))),"LB",IF(AND(IF(AND(NOT(AND(AU292=1,AT292&lt;&gt;1)),ISNUMBER(AM292),AM292&lt;=(C292+T292)),BA292,0)&gt;0,IF(AND(NOT(AND(AU292=1,AT292&lt;&gt;1)),ISNUMBER(AM292),AM292&lt;=(C292+T292)),BA292,0)=MAX(IF(AND(NOT(AND(AU292=1,AT292&lt;&gt;1)),ISNUMBER(AK292),AK292&lt;=(C292+T292)),AY292,0),IF(AND(NOT(AND(AU292=1,AT292&lt;&gt;1)),ISNUMBER(AL292),AL292&lt;=(C292+T292)),AZ292,0),IF(AND(NOT(AND(AU292=1,AT292&lt;&gt;1)),ISNUMBER(AM292),AM292&lt;=(C292+T292)),BA292,0),IF(AND(NOT(AND(AU292=1,AT292&lt;&gt;1)),ISNUMBER(AN292),AN292&lt;=(C292+T292)),BB292,0),IF(AND(ISNUMBER(AO292),AO292&lt;=(C292+T292)),BC292,0))),"ML",IF(AND(IF(AND(NOT(AND(AU292=1,AT292&lt;&gt;1)),ISNUMBER(AN292),AN292&lt;=(C292+T292)),BB292,0)&gt;0,IF(AND(NOT(AND(AU292=1,AT292&lt;&gt;1)),ISNUMBER(AN292),AN292&lt;=(C292+T292)),BB292,0)=MAX(IF(AND(NOT(AND(AU292=1,AT292&lt;&gt;1)),ISNUMBER(AK292),AK292&lt;=(C292+T292)),AY292,0),IF(AND(NOT(AND(AU292=1,AT292&lt;&gt;1)),ISNUMBER(AL292),AL292&lt;=(C292+T292)),AZ292,0),IF(AND(NOT(AND(AU292=1,AT292&lt;&gt;1)),ISNUMBER(AM292),AM292&lt;=(C292+T292)),BA292,0),IF(AND(NOT(AND(AU292=1,AT292&lt;&gt;1)),ISNUMBER(AN292),AN292&lt;=(C292+T292)),BB292,0),IF(AND(ISNUMBER(AO292),AO292&lt;=(C292+T292)),BC292,0))),"RLO","BD"))))))))</f>
        <v/>
      </c>
    </row>
    <row r="293">
      <c r="A293" s="26" t="n">
        <v>282</v>
      </c>
      <c r="B293" s="27">
        <f>A293*10/60</f>
        <v/>
      </c>
      <c r="C293" s="22">
        <f>X292</f>
        <v/>
      </c>
      <c r="D293" s="27">
        <f>D292+W292</f>
        <v/>
      </c>
      <c r="E293" s="26">
        <f>E292+IF(U292="SK",1,0)</f>
        <v/>
      </c>
      <c r="F293" s="26">
        <f>F292+IF(U292="LB",1,0)</f>
        <v/>
      </c>
      <c r="G293" s="26">
        <f>G292+IF(U292="ML",1,0)</f>
        <v/>
      </c>
      <c r="H293" s="26">
        <f>H292+IF(U292="RLO",1,0)</f>
        <v/>
      </c>
      <c r="I293" s="26">
        <f>I292+IF(U292="BD",1,0)</f>
        <v/>
      </c>
      <c r="J293" s="26">
        <f>MAX(J292,IF(U292="BiP",1,0))</f>
        <v/>
      </c>
      <c r="K293" s="26">
        <f>MAX(K292,IF(U292="PV",1,0))</f>
        <v/>
      </c>
      <c r="L293" s="26">
        <f>MAX(L292,IF(U292="OC",1,0))</f>
        <v/>
      </c>
      <c r="M293" s="26">
        <f>MAX(M292,IF(U292="MG",1,0))</f>
        <v/>
      </c>
      <c r="N293" s="26">
        <f>MAX(N292,IF(U292="transition",1,0))</f>
        <v/>
      </c>
      <c r="O293" s="28">
        <f>(Parameters!$B$9+(IF(E293=0,0,(Upgrades!$J$13+E293*Upgrades!$K$13)*POWER(Upgrades!$L$13,E293)))*(IF(Upgrades!$T$14="Stellar Kinematics",POWER(Upgrades!$U$14,F293),1)*IF(Upgrades!$T$15="Stellar Kinematics",POWER(Upgrades!$U$15,G293),1)*IF(Upgrades!$T$16="Stellar Kinematics",POWER(Upgrades!$U$16,H293),1)*IF(Upgrades!$T$17="Stellar Kinematics",POWER(Upgrades!$U$17,I293),1)*IF(Upgrades!$T$18="Stellar Kinematics",POWER(Upgrades!$U$18,J293),1)*IF(Upgrades!$T$19="Stellar Kinematics",POWER(Upgrades!$U$19,K293),1)*IF(Upgrades!$T$20="Stellar Kinematics",POWER(Upgrades!$U$20,L293),1)*IF(Upgrades!$T$21="Stellar Kinematics",POWER(Upgrades!$U$21,M293),1))+(IF(F293=0,0,(Upgrades!$J$14+F293*Upgrades!$K$14)*POWER(Upgrades!$L$14,F293)))*(IF(Upgrades!$T$13="Local Bubble",POWER(Upgrades!$U$13,E293),1)*IF(Upgrades!$T$15="Local Bubble",POWER(Upgrades!$U$15,G293),1)*IF(Upgrades!$T$16="Local Bubble",POWER(Upgrades!$U$16,H293),1)*IF(Upgrades!$T$17="Local Bubble",POWER(Upgrades!$U$17,I293),1)*IF(Upgrades!$T$18="Local Bubble",POWER(Upgrades!$U$18,J293),1)*IF(Upgrades!$T$19="Local Bubble",POWER(Upgrades!$U$19,K293),1)*IF(Upgrades!$T$20="Local Bubble",POWER(Upgrades!$U$20,L293),1)*IF(Upgrades!$T$21="Local Bubble",POWER(Upgrades!$U$21,M293),1))+(IF(G293=0,0,(Upgrades!$J$15+G293*Upgrades!$K$15)*POWER(Upgrades!$L$15,G293)))*(IF(Upgrades!$T$13="Microlensing",POWER(Upgrades!$U$13,E293),1)*IF(Upgrades!$T$14="Microlensing",POWER(Upgrades!$U$14,F293),1)*IF(Upgrades!$T$16="Microlensing",POWER(Upgrades!$U$16,H293),1)*IF(Upgrades!$T$17="Microlensing",POWER(Upgrades!$U$17,I293),1)*IF(Upgrades!$T$18="Microlensing",POWER(Upgrades!$U$18,J293),1)*IF(Upgrades!$T$19="Microlensing",POWER(Upgrades!$U$19,K293),1)*IF(Upgrades!$T$20="Microlensing",POWER(Upgrades!$U$20,L293),1)*IF(Upgrades!$T$21="Microlensing",POWER(Upgrades!$U$21,M293),1))+(IF(H293=0,0,(Upgrades!$J$16+H293*Upgrades!$K$16)*POWER(Upgrades!$L$16,H293)))*(IF(Upgrades!$T$13="Roche Lobe Overflow",POWER(Upgrades!$U$13,E293),1)*IF(Upgrades!$T$14="Roche Lobe Overflow",POWER(Upgrades!$U$14,F293),1)*IF(Upgrades!$T$15="Roche Lobe Overflow",POWER(Upgrades!$U$15,G293),1)*IF(Upgrades!$T$17="Roche Lobe Overflow",POWER(Upgrades!$U$17,I293),1)*IF(Upgrades!$T$18="Roche Lobe Overflow",POWER(Upgrades!$U$18,J293),1)*IF(Upgrades!$T$19="Roche Lobe Overflow",POWER(Upgrades!$U$19,K293),1)*IF(Upgrades!$T$20="Roche Lobe Overflow",POWER(Upgrades!$U$20,L293),1)*IF(Upgrades!$T$21="Roche Lobe Overflow",POWER(Upgrades!$U$21,M293),1))+(IF(I293=0,0,(Upgrades!$J$17+I293*Upgrades!$K$17)*POWER(Upgrades!$L$17,I293)))*(IF(Upgrades!$T$13="Brown Dwarf",POWER(Upgrades!$U$13,E293),1)*IF(Upgrades!$T$14="Brown Dwarf",POWER(Upgrades!$U$14,F293),1)*IF(Upgrades!$T$15="Brown Dwarf",POWER(Upgrades!$U$15,G293),1)*IF(Upgrades!$T$16="Brown Dwarf",POWER(Upgrades!$U$16,H293),1)*IF(Upgrades!$T$18="Brown Dwarf",POWER(Upgrades!$U$18,J293),1)*IF(Upgrades!$T$19="Brown Dwarf",POWER(Upgrades!$U$19,K293),1)*IF(Upgrades!$T$20="Brown Dwarf",POWER(Upgrades!$U$20,L293),1)*IF(Upgrades!$T$21="Brown Dwarf",POWER(Upgrades!$U$21,M293),1))+(IF(J293=0,0,(Upgrades!$J$18+J293*Upgrades!$K$18)*POWER(Upgrades!$L$18,J293)))*(IF(Upgrades!$T$13="Binary Partner",POWER(Upgrades!$U$13,E293),1)*IF(Upgrades!$T$14="Binary Partner",POWER(Upgrades!$U$14,F293),1)*IF(Upgrades!$T$15="Binary Partner",POWER(Upgrades!$U$15,G293),1)*IF(Upgrades!$T$16="Binary Partner",POWER(Upgrades!$U$16,H293),1)*IF(Upgrades!$T$17="Binary Partner",POWER(Upgrades!$U$17,I293),1)*IF(Upgrades!$T$19="Binary Partner",POWER(Upgrades!$U$19,K293),1)*IF(Upgrades!$T$20="Binary Partner",POWER(Upgrades!$U$20,L293),1)*IF(Upgrades!$T$21="Binary Partner",POWER(Upgrades!$U$21,M293),1))+(IF(K293=0,0,(Upgrades!$J$19+K293*Upgrades!$K$19)*POWER(Upgrades!$L$19,K293)))*(IF(Upgrades!$T$13="Peculiar Velocity",POWER(Upgrades!$U$13,E293),1)*IF(Upgrades!$T$14="Peculiar Velocity",POWER(Upgrades!$U$14,F293),1)*IF(Upgrades!$T$15="Peculiar Velocity",POWER(Upgrades!$U$15,G293),1)*IF(Upgrades!$T$16="Peculiar Velocity",POWER(Upgrades!$U$16,H293),1)*IF(Upgrades!$T$17="Peculiar Velocity",POWER(Upgrades!$U$17,I293),1)*IF(Upgrades!$T$18="Peculiar Velocity",POWER(Upgrades!$U$18,J293),1)*IF(Upgrades!$T$20="Peculiar Velocity",POWER(Upgrades!$U$20,L293),1)*IF(Upgrades!$T$21="Peculiar Velocity",POWER(Upgrades!$U$21,M293),1))+(IF(L293=0,0,(Upgrades!$J$20+L293*Upgrades!$K$20)*POWER(Upgrades!$L$20,L293)))*(IF(Upgrades!$T$13="Open Cluster",POWER(Upgrades!$U$13,E293),1)*IF(Upgrades!$T$14="Open Cluster",POWER(Upgrades!$U$14,F293),1)*IF(Upgrades!$T$15="Open Cluster",POWER(Upgrades!$U$15,G293),1)*IF(Upgrades!$T$16="Open Cluster",POWER(Upgrades!$U$16,H293),1)*IF(Upgrades!$T$17="Open Cluster",POWER(Upgrades!$U$17,I293),1)*IF(Upgrades!$T$18="Open Cluster",POWER(Upgrades!$U$18,J293),1)*IF(Upgrades!$T$19="Open Cluster",POWER(Upgrades!$U$19,K293),1)*IF(Upgrades!$T$21="Open Cluster",POWER(Upgrades!$U$21,M293),1))+(IF(M293=0,0,(Upgrades!$J$21+M293*Upgrades!$K$21)*POWER(Upgrades!$L$21,M293)))*(IF(Upgrades!$T$13="Moving Group",POWER(Upgrades!$U$13,E293),1)*IF(Upgrades!$T$14="Moving Group",POWER(Upgrades!$U$14,F293),1)*IF(Upgrades!$T$15="Moving Group",POWER(Upgrades!$U$15,G293),1)*IF(Upgrades!$T$16="Moving Group",POWER(Upgrades!$U$16,H293),1)*IF(Upgrades!$T$17="Moving Group",POWER(Upgrades!$U$17,I293),1)*IF(Upgrades!$T$18="Moving Group",POWER(Upgrades!$U$18,J293),1)*IF(Upgrades!$T$19="Moving Group",POWER(Upgrades!$U$19,K293),1)*IF(Upgrades!$T$20="Moving Group",POWER(Upgrades!$U$20,L293),1)))*POWER(Upgrades!$Q$13,E293)*POWER(Upgrades!$Q$14,F293)*POWER(Upgrades!$Q$15,G293)*POWER(Upgrades!$Q$16,H293)*POWER(Upgrades!$Q$17,I293)*POWER(Upgrades!$Q$18,J293)*POWER(Upgrades!$Q$19,K293)*POWER(Upgrades!$Q$20,L293)*POWER(Upgrades!$Q$21,M293)*$G$6+$D$6</f>
        <v/>
      </c>
      <c r="P293" s="28">
        <f>((IF(E293=0,0,(Upgrades!$G$13+E293*Upgrades!$H$13)*POWER(Upgrades!$I$13,E293)))*(IF(Upgrades!$T$14="Stellar Kinematics",POWER(Upgrades!$U$14,F293),1)*IF(Upgrades!$T$15="Stellar Kinematics",POWER(Upgrades!$U$15,G293),1)*IF(Upgrades!$T$16="Stellar Kinematics",POWER(Upgrades!$U$16,H293),1)*IF(Upgrades!$T$17="Stellar Kinematics",POWER(Upgrades!$U$17,I293),1)*IF(Upgrades!$T$18="Stellar Kinematics",POWER(Upgrades!$U$18,J293),1)*IF(Upgrades!$T$19="Stellar Kinematics",POWER(Upgrades!$U$19,K293),1)*IF(Upgrades!$T$20="Stellar Kinematics",POWER(Upgrades!$U$20,L293),1)*IF(Upgrades!$T$21="Stellar Kinematics",POWER(Upgrades!$U$21,M293),1))+(IF(F293=0,0,(Upgrades!$G$14+F293*Upgrades!$H$14)*POWER(Upgrades!$I$14,F293)))*(IF(Upgrades!$T$13="Local Bubble",POWER(Upgrades!$U$13,E293),1)*IF(Upgrades!$T$15="Local Bubble",POWER(Upgrades!$U$15,G293),1)*IF(Upgrades!$T$16="Local Bubble",POWER(Upgrades!$U$16,H293),1)*IF(Upgrades!$T$17="Local Bubble",POWER(Upgrades!$U$17,I293),1)*IF(Upgrades!$T$18="Local Bubble",POWER(Upgrades!$U$18,J293),1)*IF(Upgrades!$T$19="Local Bubble",POWER(Upgrades!$U$19,K293),1)*IF(Upgrades!$T$20="Local Bubble",POWER(Upgrades!$U$20,L293),1)*IF(Upgrades!$T$21="Local Bubble",POWER(Upgrades!$U$21,M293),1))+(IF(G293=0,0,(Upgrades!$G$15+G293*Upgrades!$H$15)*POWER(Upgrades!$I$15,G293)))*(IF(Upgrades!$T$13="Microlensing",POWER(Upgrades!$U$13,E293),1)*IF(Upgrades!$T$14="Microlensing",POWER(Upgrades!$U$14,F293),1)*IF(Upgrades!$T$16="Microlensing",POWER(Upgrades!$U$16,H293),1)*IF(Upgrades!$T$17="Microlensing",POWER(Upgrades!$U$17,I293),1)*IF(Upgrades!$T$18="Microlensing",POWER(Upgrades!$U$18,J293),1)*IF(Upgrades!$T$19="Microlensing",POWER(Upgrades!$U$19,K293),1)*IF(Upgrades!$T$20="Microlensing",POWER(Upgrades!$U$20,L293),1)*IF(Upgrades!$T$21="Microlensing",POWER(Upgrades!$U$21,M293),1))+(IF(H293=0,0,(Upgrades!$G$16+H293*Upgrades!$H$16)*POWER(Upgrades!$I$16,H293)))*(IF(Upgrades!$T$13="Roche Lobe Overflow",POWER(Upgrades!$U$13,E293),1)*IF(Upgrades!$T$14="Roche Lobe Overflow",POWER(Upgrades!$U$14,F293),1)*IF(Upgrades!$T$15="Roche Lobe Overflow",POWER(Upgrades!$U$15,G293),1)*IF(Upgrades!$T$17="Roche Lobe Overflow",POWER(Upgrades!$U$17,I293),1)*IF(Upgrades!$T$18="Roche Lobe Overflow",POWER(Upgrades!$U$18,J293),1)*IF(Upgrades!$T$19="Roche Lobe Overflow",POWER(Upgrades!$U$19,K293),1)*IF(Upgrades!$T$20="Roche Lobe Overflow",POWER(Upgrades!$U$20,L293),1)*IF(Upgrades!$T$21="Roche Lobe Overflow",POWER(Upgrades!$U$21,M293),1))+(IF(I293=0,0,(Upgrades!$G$17+I293*Upgrades!$H$17)*POWER(Upgrades!$I$17,I293)))*(IF(Upgrades!$T$13="Brown Dwarf",POWER(Upgrades!$U$13,E293),1)*IF(Upgrades!$T$14="Brown Dwarf",POWER(Upgrades!$U$14,F293),1)*IF(Upgrades!$T$15="Brown Dwarf",POWER(Upgrades!$U$15,G293),1)*IF(Upgrades!$T$16="Brown Dwarf",POWER(Upgrades!$U$16,H293),1)*IF(Upgrades!$T$18="Brown Dwarf",POWER(Upgrades!$U$18,J293),1)*IF(Upgrades!$T$19="Brown Dwarf",POWER(Upgrades!$U$19,K293),1)*IF(Upgrades!$T$20="Brown Dwarf",POWER(Upgrades!$U$20,L293),1)*IF(Upgrades!$T$21="Brown Dwarf",POWER(Upgrades!$U$21,M293),1))+(IF(J293=0,0,(Upgrades!$G$18+J293*Upgrades!$H$18)*POWER(Upgrades!$I$18,J293)))*(IF(Upgrades!$T$13="Binary Partner",POWER(Upgrades!$U$13,E293),1)*IF(Upgrades!$T$14="Binary Partner",POWER(Upgrades!$U$14,F293),1)*IF(Upgrades!$T$15="Binary Partner",POWER(Upgrades!$U$15,G293),1)*IF(Upgrades!$T$16="Binary Partner",POWER(Upgrades!$U$16,H293),1)*IF(Upgrades!$T$17="Binary Partner",POWER(Upgrades!$U$17,I293),1)*IF(Upgrades!$T$19="Binary Partner",POWER(Upgrades!$U$19,K293),1)*IF(Upgrades!$T$20="Binary Partner",POWER(Upgrades!$U$20,L293),1)*IF(Upgrades!$T$21="Binary Partner",POWER(Upgrades!$U$21,M293),1))+(IF(K293=0,0,(Upgrades!$G$19+K293*Upgrades!$H$19)*POWER(Upgrades!$I$19,K293)))*(IF(Upgrades!$T$13="Peculiar Velocity",POWER(Upgrades!$U$13,E293),1)*IF(Upgrades!$T$14="Peculiar Velocity",POWER(Upgrades!$U$14,F293),1)*IF(Upgrades!$T$15="Peculiar Velocity",POWER(Upgrades!$U$15,G293),1)*IF(Upgrades!$T$16="Peculiar Velocity",POWER(Upgrades!$U$16,H293),1)*IF(Upgrades!$T$17="Peculiar Velocity",POWER(Upgrades!$U$17,I293),1)*IF(Upgrades!$T$18="Peculiar Velocity",POWER(Upgrades!$U$18,J293),1)*IF(Upgrades!$T$20="Peculiar Velocity",POWER(Upgrades!$U$20,L293),1)*IF(Upgrades!$T$21="Peculiar Velocity",POWER(Upgrades!$U$21,M293),1))+(IF(L293=0,0,(Upgrades!$G$20+L293*Upgrades!$H$20)*POWER(Upgrades!$I$20,L293)))*(IF(Upgrades!$T$13="Open Cluster",POWER(Upgrades!$U$13,E293),1)*IF(Upgrades!$T$14="Open Cluster",POWER(Upgrades!$U$14,F293),1)*IF(Upgrades!$T$15="Open Cluster",POWER(Upgrades!$U$15,G293),1)*IF(Upgrades!$T$16="Open Cluster",POWER(Upgrades!$U$16,H293),1)*IF(Upgrades!$T$17="Open Cluster",POWER(Upgrades!$U$17,I293),1)*IF(Upgrades!$T$18="Open Cluster",POWER(Upgrades!$U$18,J293),1)*IF(Upgrades!$T$19="Open Cluster",POWER(Upgrades!$U$19,K293),1)*IF(Upgrades!$T$21="Open Cluster",POWER(Upgrades!$U$21,M293),1))+(IF(M293=0,0,(Upgrades!$G$21+M293*Upgrades!$H$21)*POWER(Upgrades!$I$21,M293)))*(IF(Upgrades!$T$13="Moving Group",POWER(Upgrades!$U$13,E293),1)*IF(Upgrades!$T$14="Moving Group",POWER(Upgrades!$U$14,F293),1)*IF(Upgrades!$T$15="Moving Group",POWER(Upgrades!$U$15,G293),1)*IF(Upgrades!$T$16="Moving Group",POWER(Upgrades!$U$16,H293),1)*IF(Upgrades!$T$17="Moving Group",POWER(Upgrades!$U$17,I293),1)*IF(Upgrades!$T$18="Moving Group",POWER(Upgrades!$U$18,J293),1)*IF(Upgrades!$T$19="Moving Group",POWER(Upgrades!$U$19,K293),1)*IF(Upgrades!$T$20="Moving Group",POWER(Upgrades!$U$20,L293),1)))*POWER(Upgrades!$P$13,E293)*POWER(Upgrades!$P$14,F293)*POWER(Upgrades!$P$15,G293)*POWER(Upgrades!$P$16,H293)*POWER(Upgrades!$P$17,I293)*POWER(Upgrades!$P$18,J293)*POWER(Upgrades!$P$19,K293)*POWER(Upgrades!$P$20,L293)*POWER(Upgrades!$P$21,M293)*$F$6+$C$6</f>
        <v/>
      </c>
      <c r="Q293" s="28">
        <f>((IF(E293=0,0,(Upgrades!$M$13+E293*Upgrades!$N$13)*POWER(Upgrades!$O$13,E293)))*(IF(Upgrades!$T$14="Stellar Kinematics",POWER(Upgrades!$U$14,F293),1)*IF(Upgrades!$T$15="Stellar Kinematics",POWER(Upgrades!$U$15,G293),1)*IF(Upgrades!$T$16="Stellar Kinematics",POWER(Upgrades!$U$16,H293),1)*IF(Upgrades!$T$17="Stellar Kinematics",POWER(Upgrades!$U$17,I293),1)*IF(Upgrades!$T$18="Stellar Kinematics",POWER(Upgrades!$U$18,J293),1)*IF(Upgrades!$T$19="Stellar Kinematics",POWER(Upgrades!$U$19,K293),1)*IF(Upgrades!$T$20="Stellar Kinematics",POWER(Upgrades!$U$20,L293),1)*IF(Upgrades!$T$21="Stellar Kinematics",POWER(Upgrades!$U$21,M293),1))+(IF(F293=0,0,(Upgrades!$M$14+F293*Upgrades!$N$14)*POWER(Upgrades!$O$14,F293)))*(IF(Upgrades!$T$13="Local Bubble",POWER(Upgrades!$U$13,E293),1)*IF(Upgrades!$T$15="Local Bubble",POWER(Upgrades!$U$15,G293),1)*IF(Upgrades!$T$16="Local Bubble",POWER(Upgrades!$U$16,H293),1)*IF(Upgrades!$T$17="Local Bubble",POWER(Upgrades!$U$17,I293),1)*IF(Upgrades!$T$18="Local Bubble",POWER(Upgrades!$U$18,J293),1)*IF(Upgrades!$T$19="Local Bubble",POWER(Upgrades!$U$19,K293),1)*IF(Upgrades!$T$20="Local Bubble",POWER(Upgrades!$U$20,L293),1)*IF(Upgrades!$T$21="Local Bubble",POWER(Upgrades!$U$21,M293),1))+(IF(G293=0,0,(Upgrades!$M$15+G293*Upgrades!$N$15)*POWER(Upgrades!$O$15,G293)))*(IF(Upgrades!$T$13="Microlensing",POWER(Upgrades!$U$13,E293),1)*IF(Upgrades!$T$14="Microlensing",POWER(Upgrades!$U$14,F293),1)*IF(Upgrades!$T$16="Microlensing",POWER(Upgrades!$U$16,H293),1)*IF(Upgrades!$T$17="Microlensing",POWER(Upgrades!$U$17,I293),1)*IF(Upgrades!$T$18="Microlensing",POWER(Upgrades!$U$18,J293),1)*IF(Upgrades!$T$19="Microlensing",POWER(Upgrades!$U$19,K293),1)*IF(Upgrades!$T$20="Microlensing",POWER(Upgrades!$U$20,L293),1)*IF(Upgrades!$T$21="Microlensing",POWER(Upgrades!$U$21,M293),1))+(IF(H293=0,0,(Upgrades!$M$16+H293*Upgrades!$N$16)*POWER(Upgrades!$O$16,H293)))*(IF(Upgrades!$T$13="Roche Lobe Overflow",POWER(Upgrades!$U$13,E293),1)*IF(Upgrades!$T$14="Roche Lobe Overflow",POWER(Upgrades!$U$14,F293),1)*IF(Upgrades!$T$15="Roche Lobe Overflow",POWER(Upgrades!$U$15,G293),1)*IF(Upgrades!$T$17="Roche Lobe Overflow",POWER(Upgrades!$U$17,I293),1)*IF(Upgrades!$T$18="Roche Lobe Overflow",POWER(Upgrades!$U$18,J293),1)*IF(Upgrades!$T$19="Roche Lobe Overflow",POWER(Upgrades!$U$19,K293),1)*IF(Upgrades!$T$20="Roche Lobe Overflow",POWER(Upgrades!$U$20,L293),1)*IF(Upgrades!$T$21="Roche Lobe Overflow",POWER(Upgrades!$U$21,M293),1))+(IF(I293=0,0,(Upgrades!$M$17+I293*Upgrades!$N$17)*POWER(Upgrades!$O$17,I293)))*(IF(Upgrades!$T$13="Brown Dwarf",POWER(Upgrades!$U$13,E293),1)*IF(Upgrades!$T$14="Brown Dwarf",POWER(Upgrades!$U$14,F293),1)*IF(Upgrades!$T$15="Brown Dwarf",POWER(Upgrades!$U$15,G293),1)*IF(Upgrades!$T$16="Brown Dwarf",POWER(Upgrades!$U$16,H293),1)*IF(Upgrades!$T$18="Brown Dwarf",POWER(Upgrades!$U$18,J293),1)*IF(Upgrades!$T$19="Brown Dwarf",POWER(Upgrades!$U$19,K293),1)*IF(Upgrades!$T$20="Brown Dwarf",POWER(Upgrades!$U$20,L293),1)*IF(Upgrades!$T$21="Brown Dwarf",POWER(Upgrades!$U$21,M293),1))+(IF(J293=0,0,(Upgrades!$M$18+J293*Upgrades!$N$18)*POWER(Upgrades!$O$18,J293)))*(IF(Upgrades!$T$13="Binary Partner",POWER(Upgrades!$U$13,E293),1)*IF(Upgrades!$T$14="Binary Partner",POWER(Upgrades!$U$14,F293),1)*IF(Upgrades!$T$15="Binary Partner",POWER(Upgrades!$U$15,G293),1)*IF(Upgrades!$T$16="Binary Partner",POWER(Upgrades!$U$16,H293),1)*IF(Upgrades!$T$17="Binary Partner",POWER(Upgrades!$U$17,I293),1)*IF(Upgrades!$T$19="Binary Partner",POWER(Upgrades!$U$19,K293),1)*IF(Upgrades!$T$20="Binary Partner",POWER(Upgrades!$U$20,L293),1)*IF(Upgrades!$T$21="Binary Partner",POWER(Upgrades!$U$21,M293),1))+(IF(K293=0,0,(Upgrades!$M$19+K293*Upgrades!$N$19)*POWER(Upgrades!$O$19,K293)))*(IF(Upgrades!$T$13="Peculiar Velocity",POWER(Upgrades!$U$13,E293),1)*IF(Upgrades!$T$14="Peculiar Velocity",POWER(Upgrades!$U$14,F293),1)*IF(Upgrades!$T$15="Peculiar Velocity",POWER(Upgrades!$U$15,G293),1)*IF(Upgrades!$T$16="Peculiar Velocity",POWER(Upgrades!$U$16,H293),1)*IF(Upgrades!$T$17="Peculiar Velocity",POWER(Upgrades!$U$17,I293),1)*IF(Upgrades!$T$18="Peculiar Velocity",POWER(Upgrades!$U$18,J293),1)*IF(Upgrades!$T$20="Peculiar Velocity",POWER(Upgrades!$U$20,L293),1)*IF(Upgrades!$T$21="Peculiar Velocity",POWER(Upgrades!$U$21,M293),1))+(IF(L293=0,0,(Upgrades!$M$20+L293*Upgrades!$N$20)*POWER(Upgrades!$O$20,L293)))*(IF(Upgrades!$T$13="Open Cluster",POWER(Upgrades!$U$13,E293),1)*IF(Upgrades!$T$14="Open Cluster",POWER(Upgrades!$U$14,F293),1)*IF(Upgrades!$T$15="Open Cluster",POWER(Upgrades!$U$15,G293),1)*IF(Upgrades!$T$16="Open Cluster",POWER(Upgrades!$U$16,H293),1)*IF(Upgrades!$T$17="Open Cluster",POWER(Upgrades!$U$17,I293),1)*IF(Upgrades!$T$18="Open Cluster",POWER(Upgrades!$U$18,J293),1)*IF(Upgrades!$T$19="Open Cluster",POWER(Upgrades!$U$19,K293),1)*IF(Upgrades!$T$21="Open Cluster",POWER(Upgrades!$U$21,M293),1))+(IF(M293=0,0,(Upgrades!$M$21+M293*Upgrades!$N$21)*POWER(Upgrades!$O$21,M293)))*(IF(Upgrades!$T$13="Moving Group",POWER(Upgrades!$U$13,E293),1)*IF(Upgrades!$T$14="Moving Group",POWER(Upgrades!$U$14,F293),1)*IF(Upgrades!$T$15="Moving Group",POWER(Upgrades!$U$15,G293),1)*IF(Upgrades!$T$16="Moving Group",POWER(Upgrades!$U$16,H293),1)*IF(Upgrades!$T$17="Moving Group",POWER(Upgrades!$U$17,I293),1)*IF(Upgrades!$T$18="Moving Group",POWER(Upgrades!$U$18,J293),1)*IF(Upgrades!$T$19="Moving Group",POWER(Upgrades!$U$19,K293),1)*IF(Upgrades!$T$20="Moving Group",POWER(Upgrades!$U$20,L293),1)))*POWER(Upgrades!$R$13,E293)*POWER(Upgrades!$R$14,F293)*POWER(Upgrades!$R$15,G293)*POWER(Upgrades!$R$16,H293)*POWER(Upgrades!$R$17,I293)*POWER(Upgrades!$R$18,J293)*POWER(Upgrades!$R$19,K293)*POWER(Upgrades!$R$20,L293)*POWER(Upgrades!$R$21,M293)*$H$6+$E$6</f>
        <v/>
      </c>
      <c r="R293" s="27">
        <f>IF(N293=1,0,O293*Parameters!$B$10/60*Parameters!$B$11*10)</f>
        <v/>
      </c>
      <c r="S293" s="27">
        <f>IF(N293=1,0,Q293*O293*10)</f>
        <v/>
      </c>
      <c r="T293" s="27">
        <f>IF(N293=1,0,R293+S293+P293*10)</f>
        <v/>
      </c>
      <c r="U293" s="33">
        <f>BE293</f>
        <v/>
      </c>
      <c r="V293" s="22">
        <f>IF(U293="",0,IF(U293="transition",0,IF(U293="SK",AK293,IF(U293="LB",AL293,IF(U293="ML",AM293,IF(U293="RLO",AN293,IF(U293="BD",AO293,IF(U293="BiP",AP293,IF(U293="PV",AQ293,IF(U293="OC",AR293,IF(U293="MG",AS293,0))))))))))</f>
        <v/>
      </c>
      <c r="W293" s="27">
        <f>IF(U293="BiP",Upgrades!$F$18,IF(U293="PV",Upgrades!$F$19,IF(U293="OC",Upgrades!$F$20,IF(U293="MG",Upgrades!$F$21,IF(U293="transition",-Parameters!$B$18*Parameters!$B$19,0)))))</f>
        <v/>
      </c>
      <c r="X293" s="22">
        <f>C293+T293-V293</f>
        <v/>
      </c>
      <c r="Y293" s="30">
        <f>O293*Parameters!$B$10/60*Parameters!$B$11+Q293*O293+P293</f>
        <v/>
      </c>
      <c r="Z293" s="34">
        <f>IF(U293="transition","→ Tier 3 (Galactic Arm)",IF(U293="MG","Moving Group — pocket drifts together",IF(U293="OC","Open Cluster acquired",IF(U293="PV","Peculiar Velocity — passive multiplier active",IF(U293="BiP","Binary Partner — pair bond formed",IF(AND(AU293=1,N293=0,AT293&lt;&gt;1),"Cohesion ready (waiting on completionists)","")))))) </f>
        <v/>
      </c>
      <c r="AA293" s="27">
        <f>(IF(E293=0,0,(Upgrades!$G$13+E293*Upgrades!$H$13)*POWER(Upgrades!$I$13,E293)))*(IF(Upgrades!$T$14="Stellar Kinematics",POWER(Upgrades!$U$14,F293),1)*IF(Upgrades!$T$15="Stellar Kinematics",POWER(Upgrades!$U$15,G293),1)*IF(Upgrades!$T$16="Stellar Kinematics",POWER(Upgrades!$U$16,H293),1)*IF(Upgrades!$T$17="Stellar Kinematics",POWER(Upgrades!$U$17,I293),1)*IF(Upgrades!$T$18="Stellar Kinematics",POWER(Upgrades!$U$18,J293),1)*IF(Upgrades!$T$19="Stellar Kinematics",POWER(Upgrades!$U$19,K293),1)*IF(Upgrades!$T$20="Stellar Kinematics",POWER(Upgrades!$U$20,L293),1)*IF(Upgrades!$T$21="Stellar Kinematics",POWER(Upgrades!$U$21,M293),1))*POWER(Upgrades!$P$13,E293)*POWER(Upgrades!$P$14,F293)*POWER(Upgrades!$P$15,G293)*POWER(Upgrades!$P$16,H293)*POWER(Upgrades!$P$17,I293)*POWER(Upgrades!$P$18,J293)*POWER(Upgrades!$P$19,K293)*POWER(Upgrades!$P$20,L293)*POWER(Upgrades!$P$21,M293)*$F$6*60</f>
        <v/>
      </c>
      <c r="AB293" s="27">
        <f>(IF(F293=0,0,(Upgrades!$G$14+F293*Upgrades!$H$14)*POWER(Upgrades!$I$14,F293)))*(IF(Upgrades!$T$13="Local Bubble",POWER(Upgrades!$U$13,E293),1)*IF(Upgrades!$T$15="Local Bubble",POWER(Upgrades!$U$15,G293),1)*IF(Upgrades!$T$16="Local Bubble",POWER(Upgrades!$U$16,H293),1)*IF(Upgrades!$T$17="Local Bubble",POWER(Upgrades!$U$17,I293),1)*IF(Upgrades!$T$18="Local Bubble",POWER(Upgrades!$U$18,J293),1)*IF(Upgrades!$T$19="Local Bubble",POWER(Upgrades!$U$19,K293),1)*IF(Upgrades!$T$20="Local Bubble",POWER(Upgrades!$U$20,L293),1)*IF(Upgrades!$T$21="Local Bubble",POWER(Upgrades!$U$21,M293),1))*POWER(Upgrades!$P$13,E293)*POWER(Upgrades!$P$14,F293)*POWER(Upgrades!$P$15,G293)*POWER(Upgrades!$P$16,H293)*POWER(Upgrades!$P$17,I293)*POWER(Upgrades!$P$18,J293)*POWER(Upgrades!$P$19,K293)*POWER(Upgrades!$P$20,L293)*POWER(Upgrades!$P$21,M293)*$F$6*60</f>
        <v/>
      </c>
      <c r="AC293" s="27">
        <f>(IF(G293=0,0,(Upgrades!$J$15+G293*Upgrades!$K$15)*POWER(Upgrades!$L$15,G293)))*(IF(Upgrades!$T$13="Microlensing",POWER(Upgrades!$U$13,E293),1)*IF(Upgrades!$T$14="Microlensing",POWER(Upgrades!$U$14,F293),1)*IF(Upgrades!$T$16="Microlensing",POWER(Upgrades!$U$16,H293),1)*IF(Upgrades!$T$17="Microlensing",POWER(Upgrades!$U$17,I293),1)*IF(Upgrades!$T$18="Microlensing",POWER(Upgrades!$U$18,J293),1)*IF(Upgrades!$T$19="Microlensing",POWER(Upgrades!$U$19,K293),1)*IF(Upgrades!$T$20="Microlensing",POWER(Upgrades!$U$20,L293),1)*IF(Upgrades!$T$21="Microlensing",POWER(Upgrades!$U$21,M293),1))*POWER(Upgrades!$Q$13,E293)*POWER(Upgrades!$Q$14,F293)*POWER(Upgrades!$Q$15,G293)*POWER(Upgrades!$Q$16,H293)*POWER(Upgrades!$Q$17,I293)*POWER(Upgrades!$Q$18,J293)*POWER(Upgrades!$Q$19,K293)*POWER(Upgrades!$Q$20,L293)*POWER(Upgrades!$Q$21,M293)*$G$6*(Parameters!$B$10*Parameters!$B$11+Q293*60)</f>
        <v/>
      </c>
      <c r="AD293" s="27">
        <f>(IF(H293=0,0,(Upgrades!$M$16+H293*Upgrades!$N$16)*POWER(Upgrades!$O$16,H293)))*(IF(Upgrades!$T$13="Roche Lobe Overflow",POWER(Upgrades!$U$13,E293),1)*IF(Upgrades!$T$14="Roche Lobe Overflow",POWER(Upgrades!$U$14,F293),1)*IF(Upgrades!$T$15="Roche Lobe Overflow",POWER(Upgrades!$U$15,G293),1)*IF(Upgrades!$T$17="Roche Lobe Overflow",POWER(Upgrades!$U$17,I293),1)*IF(Upgrades!$T$18="Roche Lobe Overflow",POWER(Upgrades!$U$18,J293),1)*IF(Upgrades!$T$19="Roche Lobe Overflow",POWER(Upgrades!$U$19,K293),1)*IF(Upgrades!$T$20="Roche Lobe Overflow",POWER(Upgrades!$U$20,L293),1)*IF(Upgrades!$T$21="Roche Lobe Overflow",POWER(Upgrades!$U$21,M293),1))*POWER(Upgrades!$R$13,E293)*POWER(Upgrades!$R$14,F293)*POWER(Upgrades!$R$15,G293)*POWER(Upgrades!$R$16,H293)*POWER(Upgrades!$R$17,I293)*POWER(Upgrades!$R$18,J293)*POWER(Upgrades!$R$19,K293)*POWER(Upgrades!$R$20,L293)*POWER(Upgrades!$R$21,M293)*$H$6*O293*60</f>
        <v/>
      </c>
      <c r="AE293" s="27">
        <f>(IF(I293=0,0,(Upgrades!$G$17+I293*Upgrades!$H$17)*POWER(Upgrades!$I$17,I293)))*(IF(Upgrades!$T$13="Brown Dwarf",POWER(Upgrades!$U$13,E293),1)*IF(Upgrades!$T$14="Brown Dwarf",POWER(Upgrades!$U$14,F293),1)*IF(Upgrades!$T$15="Brown Dwarf",POWER(Upgrades!$U$15,G293),1)*IF(Upgrades!$T$16="Brown Dwarf",POWER(Upgrades!$U$16,H293),1)*IF(Upgrades!$T$18="Brown Dwarf",POWER(Upgrades!$U$18,J293),1)*IF(Upgrades!$T$19="Brown Dwarf",POWER(Upgrades!$U$19,K293),1)*IF(Upgrades!$T$20="Brown Dwarf",POWER(Upgrades!$U$20,L293),1)*IF(Upgrades!$T$21="Brown Dwarf",POWER(Upgrades!$U$21,M293),1))*POWER(Upgrades!$P$13,E293)*POWER(Upgrades!$P$14,F293)*POWER(Upgrades!$P$15,G293)*POWER(Upgrades!$P$16,H293)*POWER(Upgrades!$P$17,I293)*POWER(Upgrades!$P$18,J293)*POWER(Upgrades!$P$19,K293)*POWER(Upgrades!$P$20,L293)*POWER(Upgrades!$P$21,M293)*$F$6*60</f>
        <v/>
      </c>
      <c r="AF293" s="27" t="n">
        <v>0</v>
      </c>
      <c r="AG293" s="27" t="n">
        <v>0</v>
      </c>
      <c r="AH293" s="27" t="n">
        <v>0</v>
      </c>
      <c r="AI293" s="27">
        <f>(IF(M293=0,0,(Upgrades!$G$21+M293*Upgrades!$H$21)*POWER(Upgrades!$I$21,M293)))*(IF(Upgrades!$T$13="Moving Group",POWER(Upgrades!$U$13,E293),1)*IF(Upgrades!$T$14="Moving Group",POWER(Upgrades!$U$14,F293),1)*IF(Upgrades!$T$15="Moving Group",POWER(Upgrades!$U$15,G293),1)*IF(Upgrades!$T$16="Moving Group",POWER(Upgrades!$U$16,H293),1)*IF(Upgrades!$T$17="Moving Group",POWER(Upgrades!$U$17,I293),1)*IF(Upgrades!$T$18="Moving Group",POWER(Upgrades!$U$18,J293),1)*IF(Upgrades!$T$19="Moving Group",POWER(Upgrades!$U$19,K293),1)*IF(Upgrades!$T$20="Moving Group",POWER(Upgrades!$U$20,L293),1))*POWER(Upgrades!$P$13,E293)*POWER(Upgrades!$P$14,F293)*POWER(Upgrades!$P$15,G293)*POWER(Upgrades!$P$16,H293)*POWER(Upgrades!$P$17,I293)*POWER(Upgrades!$P$18,J293)*POWER(Upgrades!$P$19,K293)*POWER(Upgrades!$P$20,L293)*POWER(Upgrades!$P$21,M293)*$F$6*60</f>
        <v/>
      </c>
      <c r="AJ293" s="27">
        <f>$C$6*60</f>
        <v/>
      </c>
      <c r="AK293" s="22">
        <f>IF(E293&gt;=Upgrades!$E$13,"",Upgrades!$C$13*POWER(Upgrades!$D$13,E293))</f>
        <v/>
      </c>
      <c r="AL293" s="22">
        <f>IF(F293&gt;=Upgrades!$E$14,"",Upgrades!$C$14*POWER(Upgrades!$D$14,F293))</f>
        <v/>
      </c>
      <c r="AM293" s="22">
        <f>IF(G293&gt;=Upgrades!$E$15,"",Upgrades!$C$15*POWER(Upgrades!$D$15,G293))</f>
        <v/>
      </c>
      <c r="AN293" s="22">
        <f>IF(H293&gt;=Upgrades!$E$16,"",Upgrades!$C$16*POWER(Upgrades!$D$16,H293))</f>
        <v/>
      </c>
      <c r="AO293" s="22">
        <f>IF(I293&gt;=Upgrades!$E$17,"",Upgrades!$C$17*POWER(Upgrades!$D$17,I293))</f>
        <v/>
      </c>
      <c r="AP293" s="22">
        <f>IF(J293&gt;=Upgrades!$E$18,"",Upgrades!$C$18*POWER(Upgrades!$D$18,J293))</f>
        <v/>
      </c>
      <c r="AQ293" s="22">
        <f>IF(K293&gt;=Upgrades!$E$19,"",Upgrades!$C$19*POWER(Upgrades!$D$19,K293))</f>
        <v/>
      </c>
      <c r="AR293" s="22">
        <f>IF(L293&gt;=Upgrades!$E$20,"",Upgrades!$C$20*POWER(Upgrades!$D$20,L293))</f>
        <v/>
      </c>
      <c r="AS293" s="22">
        <f>IF(M293&gt;=Upgrades!$E$21,"",Upgrades!$C$21*POWER(Upgrades!$D$21,M293))</f>
        <v/>
      </c>
      <c r="AT293" s="26">
        <f>IF(AND(D293&gt;=Parameters!$B$18*Parameters!$B$19,(I293&gt;=Upgrades!$E$17)*(M293&gt;=Upgrades!$E$21)=1,N293=0),1,"")</f>
        <v/>
      </c>
      <c r="AU293" s="26">
        <f>IF(AND(D293&gt;=Parameters!$B$18*Parameters!$B$19,N293=0),1,"")</f>
        <v/>
      </c>
      <c r="AV293" s="22">
        <f>MIN(IF(ISNUMBER(AP293),AP293,9E15),IF(ISNUMBER(AQ293),AQ293,9E15),IF(ISNUMBER(AR293),AR293,9E15),IF(ISNUMBER(AS293),AS293,9E15))</f>
        <v/>
      </c>
      <c r="AW293" s="22">
        <f>MIN(IF(ISNUMBER(AK293),AK293,9E15),IF(ISNUMBER(AL293),AL293,9E15),IF(ISNUMBER(AM293),AM293,9E15),IF(ISNUMBER(AN293),AN293,9E15),IF(ISNUMBER(AO293),AO293,9E15))</f>
        <v/>
      </c>
      <c r="AX293" s="29">
        <f>IF(BD293&gt;Parameters!$B$21*(MAX(IF(AND(NOT(AND(AU293=1,AT293&lt;&gt;1)),ISNUMBER(AK293),AK293&lt;=(C293+T293)),AY293,0),IF(AND(NOT(AND(AU293=1,AT293&lt;&gt;1)),ISNUMBER(AL293),AL293&lt;=(C293+T293)),AZ293,0),IF(AND(NOT(AND(AU293=1,AT293&lt;&gt;1)),ISNUMBER(AM293),AM293&lt;=(C293+T293)),BA293,0),IF(AND(NOT(AND(AU293=1,AT293&lt;&gt;1)),ISNUMBER(AN293),AN293&lt;=(C293+T293)),BB293,0),IF(AND(ISNUMBER(AO293),AO293&lt;=(C293+T293)),BC293,0))),TRUE,FALSE)</f>
        <v/>
      </c>
      <c r="AY293" s="32">
        <f>IFERROR(Upgrades!$H$13*(POWER(Upgrades!$P$13,E293)*POWER(Upgrades!$P$14,F293)*POWER(Upgrades!$P$15,G293)*POWER(Upgrades!$P$16,H293)*POWER(Upgrades!$P$17,I293)*POWER(Upgrades!$P$18,J293)*POWER(Upgrades!$P$19,K293)*POWER(Upgrades!$P$20,L293)*POWER(Upgrades!$P$21,M293))*(IF(Upgrades!$T$14="Stellar Kinematics",POWER(Upgrades!$U$14,F293),1)*IF(Upgrades!$T$15="Stellar Kinematics",POWER(Upgrades!$U$15,G293),1)*IF(Upgrades!$T$16="Stellar Kinematics",POWER(Upgrades!$U$16,H293),1)*IF(Upgrades!$T$17="Stellar Kinematics",POWER(Upgrades!$U$17,I293),1)*IF(Upgrades!$T$18="Stellar Kinematics",POWER(Upgrades!$U$18,J293),1)*IF(Upgrades!$T$19="Stellar Kinematics",POWER(Upgrades!$U$19,K293),1)*IF(Upgrades!$T$20="Stellar Kinematics",POWER(Upgrades!$U$20,L293),1)*IF(Upgrades!$T$21="Stellar Kinematics",POWER(Upgrades!$U$21,M293),1))*$F$6/AK293,0)</f>
        <v/>
      </c>
      <c r="AZ293" s="32">
        <f>IFERROR(Upgrades!$H$14*(POWER(Upgrades!$P$13,E293)*POWER(Upgrades!$P$14,F293)*POWER(Upgrades!$P$15,G293)*POWER(Upgrades!$P$16,H293)*POWER(Upgrades!$P$17,I293)*POWER(Upgrades!$P$18,J293)*POWER(Upgrades!$P$19,K293)*POWER(Upgrades!$P$20,L293)*POWER(Upgrades!$P$21,M293))*(IF(Upgrades!$T$13="Local Bubble",POWER(Upgrades!$U$13,E293),1)*IF(Upgrades!$T$15="Local Bubble",POWER(Upgrades!$U$15,G293),1)*IF(Upgrades!$T$16="Local Bubble",POWER(Upgrades!$U$16,H293),1)*IF(Upgrades!$T$17="Local Bubble",POWER(Upgrades!$U$17,I293),1)*IF(Upgrades!$T$18="Local Bubble",POWER(Upgrades!$U$18,J293),1)*IF(Upgrades!$T$19="Local Bubble",POWER(Upgrades!$U$19,K293),1)*IF(Upgrades!$T$20="Local Bubble",POWER(Upgrades!$U$20,L293),1)*IF(Upgrades!$T$21="Local Bubble",POWER(Upgrades!$U$21,M293),1))*$F$6/AL293,0)</f>
        <v/>
      </c>
      <c r="BA293" s="32">
        <f>IFERROR(Upgrades!$K$15*(POWER(Upgrades!$Q$13,E293)*POWER(Upgrades!$Q$14,F293)*POWER(Upgrades!$Q$15,G293)*POWER(Upgrades!$Q$16,H293)*POWER(Upgrades!$Q$17,I293)*POWER(Upgrades!$Q$18,J293)*POWER(Upgrades!$Q$19,K293)*POWER(Upgrades!$Q$20,L293)*POWER(Upgrades!$Q$21,M293))*(IF(Upgrades!$T$13="Microlensing",POWER(Upgrades!$U$13,E293),1)*IF(Upgrades!$T$14="Microlensing",POWER(Upgrades!$U$14,F293),1)*IF(Upgrades!$T$16="Microlensing",POWER(Upgrades!$U$16,H293),1)*IF(Upgrades!$T$17="Microlensing",POWER(Upgrades!$U$17,I293),1)*IF(Upgrades!$T$18="Microlensing",POWER(Upgrades!$U$18,J293),1)*IF(Upgrades!$T$19="Microlensing",POWER(Upgrades!$U$19,K293),1)*IF(Upgrades!$T$20="Microlensing",POWER(Upgrades!$U$20,L293),1)*IF(Upgrades!$T$21="Microlensing",POWER(Upgrades!$U$21,M293),1))*$G$6*(Parameters!$B$10/60*Parameters!$B$11+Q293)/AM293,0)</f>
        <v/>
      </c>
      <c r="BB293" s="32">
        <f>IFERROR((Upgrades!$N$16*(POWER(Upgrades!$R$13,E293)*POWER(Upgrades!$R$14,F293)*POWER(Upgrades!$R$15,G293)*POWER(Upgrades!$R$16,H293)*POWER(Upgrades!$R$17,I293)*POWER(Upgrades!$R$18,J293)*POWER(Upgrades!$R$19,K293)*POWER(Upgrades!$R$20,L293)*POWER(Upgrades!$R$21,M293))*(IF(Upgrades!$T$13="Roche Lobe Overflow",POWER(Upgrades!$U$13,E293),1)*IF(Upgrades!$T$14="Roche Lobe Overflow",POWER(Upgrades!$U$14,F293),1)*IF(Upgrades!$T$15="Roche Lobe Overflow",POWER(Upgrades!$U$15,G293),1)*IF(Upgrades!$T$17="Roche Lobe Overflow",POWER(Upgrades!$U$17,I293),1)*IF(Upgrades!$T$18="Roche Lobe Overflow",POWER(Upgrades!$U$18,J293),1)*IF(Upgrades!$T$19="Roche Lobe Overflow",POWER(Upgrades!$U$19,K293),1)*IF(Upgrades!$T$20="Roche Lobe Overflow",POWER(Upgrades!$U$20,L293),1)*IF(Upgrades!$T$21="Roche Lobe Overflow",POWER(Upgrades!$U$21,M293),1))*$H$6*O293+((IF(F293=0,0,(Upgrades!$G$14+F293*Upgrades!$H$14)*POWER(Upgrades!$I$14,F293)))*(IF(Upgrades!$T$13="Local Bubble",POWER(Upgrades!$U$13,E293),1)*IF(Upgrades!$T$15="Local Bubble",POWER(Upgrades!$U$15,G293),1)*IF(Upgrades!$T$16="Local Bubble",POWER(Upgrades!$U$16,H293),1)*IF(Upgrades!$T$17="Local Bubble",POWER(Upgrades!$U$17,I293),1)*IF(Upgrades!$T$18="Local Bubble",POWER(Upgrades!$U$18,J293),1)*IF(Upgrades!$T$19="Local Bubble",POWER(Upgrades!$U$19,K293),1)*IF(Upgrades!$T$20="Local Bubble",POWER(Upgrades!$U$20,L293),1)*IF(Upgrades!$T$21="Local Bubble",POWER(Upgrades!$U$21,M293),1))*POWER(Upgrades!$P$13,E293)*POWER(Upgrades!$P$14,F293)*POWER(Upgrades!$P$15,G293)*POWER(Upgrades!$P$16,H293)*POWER(Upgrades!$P$17,I293)*POWER(Upgrades!$P$18,J293)*POWER(Upgrades!$P$19,K293)*POWER(Upgrades!$P$20,L293)*POWER(Upgrades!$P$21,M293)*$F$6)*0.05)/AN293,0)</f>
        <v/>
      </c>
      <c r="BC293" s="32">
        <f>IFERROR((Upgrades!$H$17*(POWER(Upgrades!$P$13,E293)*POWER(Upgrades!$P$14,F293)*POWER(Upgrades!$P$15,G293)*POWER(Upgrades!$P$16,H293)*POWER(Upgrades!$P$17,I293)*POWER(Upgrades!$P$18,J293)*POWER(Upgrades!$P$19,K293)*POWER(Upgrades!$P$20,L293)*POWER(Upgrades!$P$21,M293))*(IF(Upgrades!$T$13="Brown Dwarf",POWER(Upgrades!$U$13,E293),1)*IF(Upgrades!$T$14="Brown Dwarf",POWER(Upgrades!$U$14,F293),1)*IF(Upgrades!$T$15="Brown Dwarf",POWER(Upgrades!$U$15,G293),1)*IF(Upgrades!$T$16="Brown Dwarf",POWER(Upgrades!$U$16,H293),1)*IF(Upgrades!$T$18="Brown Dwarf",POWER(Upgrades!$U$18,J293),1)*IF(Upgrades!$T$19="Brown Dwarf",POWER(Upgrades!$U$19,K293),1)*IF(Upgrades!$T$20="Brown Dwarf",POWER(Upgrades!$U$20,L293),1)*IF(Upgrades!$T$21="Brown Dwarf",POWER(Upgrades!$U$21,M293),1))*$F$6+(((IF(H293=0,0,(Upgrades!$M$16+H293*Upgrades!$N$16)*POWER(Upgrades!$O$16,H293)))*(IF(Upgrades!$T$13="Roche Lobe Overflow",POWER(Upgrades!$U$13,E293),1)*IF(Upgrades!$T$14="Roche Lobe Overflow",POWER(Upgrades!$U$14,F293),1)*IF(Upgrades!$T$15="Roche Lobe Overflow",POWER(Upgrades!$U$15,G293),1)*IF(Upgrades!$T$17="Roche Lobe Overflow",POWER(Upgrades!$U$17,I293),1)*IF(Upgrades!$T$18="Roche Lobe Overflow",POWER(Upgrades!$U$18,J293),1)*IF(Upgrades!$T$19="Roche Lobe Overflow",POWER(Upgrades!$U$19,K293),1)*IF(Upgrades!$T$20="Roche Lobe Overflow",POWER(Upgrades!$U$20,L293),1)*IF(Upgrades!$T$21="Roche Lobe Overflow",POWER(Upgrades!$U$21,M293),1))*POWER(Upgrades!$R$13,E293)*POWER(Upgrades!$R$14,F293)*POWER(Upgrades!$R$15,G293)*POWER(Upgrades!$R$16,H293)*POWER(Upgrades!$R$17,I293)*POWER(Upgrades!$R$18,J293)*POWER(Upgrades!$R$19,K293)*POWER(Upgrades!$R$20,L293)*POWER(Upgrades!$R$21,M293)*$H$6)*O293)*0.10)/AO293,0)</f>
        <v/>
      </c>
      <c r="BD293" s="32">
        <f>MAX(IF(J293&gt;0,0,IFERROR(0.5*((IF(G293=0,0,(Upgrades!$J$15+G293*Upgrades!$K$15)*POWER(Upgrades!$L$15,G293)))*(IF(Upgrades!$T$13="Microlensing",POWER(Upgrades!$U$13,E293),1)*IF(Upgrades!$T$14="Microlensing",POWER(Upgrades!$U$14,F293),1)*IF(Upgrades!$T$16="Microlensing",POWER(Upgrades!$U$16,H293),1)*IF(Upgrades!$T$17="Microlensing",POWER(Upgrades!$U$17,I293),1)*IF(Upgrades!$T$18="Microlensing",POWER(Upgrades!$U$18,J293),1)*IF(Upgrades!$T$19="Microlensing",POWER(Upgrades!$U$19,K293),1)*IF(Upgrades!$T$20="Microlensing",POWER(Upgrades!$U$20,L293),1)*IF(Upgrades!$T$21="Microlensing",POWER(Upgrades!$U$21,M293),1))*(POWER(Upgrades!$Q$13,E293)*POWER(Upgrades!$Q$14,F293)*POWER(Upgrades!$Q$15,G293)*POWER(Upgrades!$Q$16,H293)*POWER(Upgrades!$Q$17,I293)*POWER(Upgrades!$Q$18,J293)*POWER(Upgrades!$Q$19,K293)*POWER(Upgrades!$Q$20,L293)*POWER(Upgrades!$Q$21,M293))*$G$6*(Parameters!$B$10/60*Parameters!$B$11+Q293))/Upgrades!$C$18,0)),IF(K293&gt;0,0,IFERROR(0.30*P293/Upgrades!$C$19,0)),IF(L293&gt;0,0,IFERROR(0.0001/Upgrades!$C$20,0)),IF(M293&gt;0,0,IFERROR((6.0*(POWER(Upgrades!$P$13,E293)*POWER(Upgrades!$P$14,F293)*POWER(Upgrades!$P$15,G293)*POWER(Upgrades!$P$16,H293)*POWER(Upgrades!$P$17,I293)*POWER(Upgrades!$P$18,J293)*POWER(Upgrades!$P$19,K293)*POWER(Upgrades!$P$20,L293)*POWER(Upgrades!$P$21,M293))*$F$6+0.20*O293*(Parameters!$B$10/60*Parameters!$B$11+Q293))/Upgrades!$C$21,0)),IF(AND(ISNUMBER(AK293),AK293&gt;(C293+T293)),AY293,0),IF(AND(ISNUMBER(AL293),AL293&gt;(C293+T293)),AZ293,0),IF(AND(ISNUMBER(AM293),AM293&gt;(C293+T293)),BA293,0),IF(AND(ISNUMBER(AN293),AN293&gt;(C293+T293)),BB293,0),IF(AND(ISNUMBER(AO293),AO293&gt;(C293+T293)),BC293,0))</f>
        <v/>
      </c>
      <c r="BE293" s="29">
        <f>IF(AT293=1,"transition",IF(MIN(IF(AND(J293=0,ISNUMBER(AP293),AP293&lt;=(C293+T293)),AP293,9E15),IF(AND(K293=0,ISNUMBER(AQ293),AQ293&lt;=(C293+T293)),AQ293,9E15),IF(AND(L293=0,ISNUMBER(AR293),AR293&lt;=(C293+T293)),AR293,9E15),IF(AND(M293=0,ISNUMBER(AS293),AS293&lt;=(C293+T293)),AS293,9E15))&lt;9E15,IF(AND(AND(J293=0,ISNUMBER(AP293),AP293&lt;=(C293+T293)),AP293=MIN(IF(AND(J293=0,ISNUMBER(AP293),AP293&lt;=(C293+T293)),AP293,9E15),IF(AND(K293=0,ISNUMBER(AQ293),AQ293&lt;=(C293+T293)),AQ293,9E15),IF(AND(L293=0,ISNUMBER(AR293),AR293&lt;=(C293+T293)),AR293,9E15),IF(AND(M293=0,ISNUMBER(AS293),AS293&lt;=(C293+T293)),AS293,9E15))),"BiP",IF(AND(AND(K293=0,ISNUMBER(AQ293),AQ293&lt;=(C293+T293)),AQ293=MIN(IF(AND(J293=0,ISNUMBER(AP293),AP293&lt;=(C293+T293)),AP293,9E15),IF(AND(K293=0,ISNUMBER(AQ293),AQ293&lt;=(C293+T293)),AQ293,9E15),IF(AND(L293=0,ISNUMBER(AR293),AR293&lt;=(C293+T293)),AR293,9E15),IF(AND(M293=0,ISNUMBER(AS293),AS293&lt;=(C293+T293)),AS293,9E15))),"PV",IF(AND(AND(L293=0,ISNUMBER(AR293),AR293&lt;=(C293+T293)),AR293=MIN(IF(AND(J293=0,ISNUMBER(AP293),AP293&lt;=(C293+T293)),AP293,9E15),IF(AND(K293=0,ISNUMBER(AQ293),AQ293&lt;=(C293+T293)),AQ293,9E15),IF(AND(L293=0,ISNUMBER(AR293),AR293&lt;=(C293+T293)),AR293,9E15),IF(AND(M293=0,ISNUMBER(AS293),AS293&lt;=(C293+T293)),AS293,9E15))),"OC","MG"))),IF(AX293=TRUE,"",IF(MAX(IF(AND(NOT(AND(AU293=1,AT293&lt;&gt;1)),ISNUMBER(AK293),AK293&lt;=(C293+T293)),AY293,0),IF(AND(NOT(AND(AU293=1,AT293&lt;&gt;1)),ISNUMBER(AL293),AL293&lt;=(C293+T293)),AZ293,0),IF(AND(NOT(AND(AU293=1,AT293&lt;&gt;1)),ISNUMBER(AM293),AM293&lt;=(C293+T293)),BA293,0),IF(AND(NOT(AND(AU293=1,AT293&lt;&gt;1)),ISNUMBER(AN293),AN293&lt;=(C293+T293)),BB293,0),IF(AND(ISNUMBER(AO293),AO293&lt;=(C293+T293)),BC293,0))&lt;=0,"",IF(AND(IF(AND(NOT(AND(AU293=1,AT293&lt;&gt;1)),ISNUMBER(AK293),AK293&lt;=(C293+T293)),AY293,0)&gt;0,IF(AND(NOT(AND(AU293=1,AT293&lt;&gt;1)),ISNUMBER(AK293),AK293&lt;=(C293+T293)),AY293,0)=MAX(IF(AND(NOT(AND(AU293=1,AT293&lt;&gt;1)),ISNUMBER(AK293),AK293&lt;=(C293+T293)),AY293,0),IF(AND(NOT(AND(AU293=1,AT293&lt;&gt;1)),ISNUMBER(AL293),AL293&lt;=(C293+T293)),AZ293,0),IF(AND(NOT(AND(AU293=1,AT293&lt;&gt;1)),ISNUMBER(AM293),AM293&lt;=(C293+T293)),BA293,0),IF(AND(NOT(AND(AU293=1,AT293&lt;&gt;1)),ISNUMBER(AN293),AN293&lt;=(C293+T293)),BB293,0),IF(AND(ISNUMBER(AO293),AO293&lt;=(C293+T293)),BC293,0))),"SK",IF(AND(IF(AND(NOT(AND(AU293=1,AT293&lt;&gt;1)),ISNUMBER(AL293),AL293&lt;=(C293+T293)),AZ293,0)&gt;0,IF(AND(NOT(AND(AU293=1,AT293&lt;&gt;1)),ISNUMBER(AL293),AL293&lt;=(C293+T293)),AZ293,0)=MAX(IF(AND(NOT(AND(AU293=1,AT293&lt;&gt;1)),ISNUMBER(AK293),AK293&lt;=(C293+T293)),AY293,0),IF(AND(NOT(AND(AU293=1,AT293&lt;&gt;1)),ISNUMBER(AL293),AL293&lt;=(C293+T293)),AZ293,0),IF(AND(NOT(AND(AU293=1,AT293&lt;&gt;1)),ISNUMBER(AM293),AM293&lt;=(C293+T293)),BA293,0),IF(AND(NOT(AND(AU293=1,AT293&lt;&gt;1)),ISNUMBER(AN293),AN293&lt;=(C293+T293)),BB293,0),IF(AND(ISNUMBER(AO293),AO293&lt;=(C293+T293)),BC293,0))),"LB",IF(AND(IF(AND(NOT(AND(AU293=1,AT293&lt;&gt;1)),ISNUMBER(AM293),AM293&lt;=(C293+T293)),BA293,0)&gt;0,IF(AND(NOT(AND(AU293=1,AT293&lt;&gt;1)),ISNUMBER(AM293),AM293&lt;=(C293+T293)),BA293,0)=MAX(IF(AND(NOT(AND(AU293=1,AT293&lt;&gt;1)),ISNUMBER(AK293),AK293&lt;=(C293+T293)),AY293,0),IF(AND(NOT(AND(AU293=1,AT293&lt;&gt;1)),ISNUMBER(AL293),AL293&lt;=(C293+T293)),AZ293,0),IF(AND(NOT(AND(AU293=1,AT293&lt;&gt;1)),ISNUMBER(AM293),AM293&lt;=(C293+T293)),BA293,0),IF(AND(NOT(AND(AU293=1,AT293&lt;&gt;1)),ISNUMBER(AN293),AN293&lt;=(C293+T293)),BB293,0),IF(AND(ISNUMBER(AO293),AO293&lt;=(C293+T293)),BC293,0))),"ML",IF(AND(IF(AND(NOT(AND(AU293=1,AT293&lt;&gt;1)),ISNUMBER(AN293),AN293&lt;=(C293+T293)),BB293,0)&gt;0,IF(AND(NOT(AND(AU293=1,AT293&lt;&gt;1)),ISNUMBER(AN293),AN293&lt;=(C293+T293)),BB293,0)=MAX(IF(AND(NOT(AND(AU293=1,AT293&lt;&gt;1)),ISNUMBER(AK293),AK293&lt;=(C293+T293)),AY293,0),IF(AND(NOT(AND(AU293=1,AT293&lt;&gt;1)),ISNUMBER(AL293),AL293&lt;=(C293+T293)),AZ293,0),IF(AND(NOT(AND(AU293=1,AT293&lt;&gt;1)),ISNUMBER(AM293),AM293&lt;=(C293+T293)),BA293,0),IF(AND(NOT(AND(AU293=1,AT293&lt;&gt;1)),ISNUMBER(AN293),AN293&lt;=(C293+T293)),BB293,0),IF(AND(ISNUMBER(AO293),AO293&lt;=(C293+T293)),BC293,0))),"RLO","BD"))))))))</f>
        <v/>
      </c>
    </row>
    <row r="294">
      <c r="A294" s="26" t="n">
        <v>283</v>
      </c>
      <c r="B294" s="27">
        <f>A294*10/60</f>
        <v/>
      </c>
      <c r="C294" s="22">
        <f>X293</f>
        <v/>
      </c>
      <c r="D294" s="27">
        <f>D293+W293</f>
        <v/>
      </c>
      <c r="E294" s="26">
        <f>E293+IF(U293="SK",1,0)</f>
        <v/>
      </c>
      <c r="F294" s="26">
        <f>F293+IF(U293="LB",1,0)</f>
        <v/>
      </c>
      <c r="G294" s="26">
        <f>G293+IF(U293="ML",1,0)</f>
        <v/>
      </c>
      <c r="H294" s="26">
        <f>H293+IF(U293="RLO",1,0)</f>
        <v/>
      </c>
      <c r="I294" s="26">
        <f>I293+IF(U293="BD",1,0)</f>
        <v/>
      </c>
      <c r="J294" s="26">
        <f>MAX(J293,IF(U293="BiP",1,0))</f>
        <v/>
      </c>
      <c r="K294" s="26">
        <f>MAX(K293,IF(U293="PV",1,0))</f>
        <v/>
      </c>
      <c r="L294" s="26">
        <f>MAX(L293,IF(U293="OC",1,0))</f>
        <v/>
      </c>
      <c r="M294" s="26">
        <f>MAX(M293,IF(U293="MG",1,0))</f>
        <v/>
      </c>
      <c r="N294" s="26">
        <f>MAX(N293,IF(U293="transition",1,0))</f>
        <v/>
      </c>
      <c r="O294" s="28">
        <f>(Parameters!$B$9+(IF(E294=0,0,(Upgrades!$J$13+E294*Upgrades!$K$13)*POWER(Upgrades!$L$13,E294)))*(IF(Upgrades!$T$14="Stellar Kinematics",POWER(Upgrades!$U$14,F294),1)*IF(Upgrades!$T$15="Stellar Kinematics",POWER(Upgrades!$U$15,G294),1)*IF(Upgrades!$T$16="Stellar Kinematics",POWER(Upgrades!$U$16,H294),1)*IF(Upgrades!$T$17="Stellar Kinematics",POWER(Upgrades!$U$17,I294),1)*IF(Upgrades!$T$18="Stellar Kinematics",POWER(Upgrades!$U$18,J294),1)*IF(Upgrades!$T$19="Stellar Kinematics",POWER(Upgrades!$U$19,K294),1)*IF(Upgrades!$T$20="Stellar Kinematics",POWER(Upgrades!$U$20,L294),1)*IF(Upgrades!$T$21="Stellar Kinematics",POWER(Upgrades!$U$21,M294),1))+(IF(F294=0,0,(Upgrades!$J$14+F294*Upgrades!$K$14)*POWER(Upgrades!$L$14,F294)))*(IF(Upgrades!$T$13="Local Bubble",POWER(Upgrades!$U$13,E294),1)*IF(Upgrades!$T$15="Local Bubble",POWER(Upgrades!$U$15,G294),1)*IF(Upgrades!$T$16="Local Bubble",POWER(Upgrades!$U$16,H294),1)*IF(Upgrades!$T$17="Local Bubble",POWER(Upgrades!$U$17,I294),1)*IF(Upgrades!$T$18="Local Bubble",POWER(Upgrades!$U$18,J294),1)*IF(Upgrades!$T$19="Local Bubble",POWER(Upgrades!$U$19,K294),1)*IF(Upgrades!$T$20="Local Bubble",POWER(Upgrades!$U$20,L294),1)*IF(Upgrades!$T$21="Local Bubble",POWER(Upgrades!$U$21,M294),1))+(IF(G294=0,0,(Upgrades!$J$15+G294*Upgrades!$K$15)*POWER(Upgrades!$L$15,G294)))*(IF(Upgrades!$T$13="Microlensing",POWER(Upgrades!$U$13,E294),1)*IF(Upgrades!$T$14="Microlensing",POWER(Upgrades!$U$14,F294),1)*IF(Upgrades!$T$16="Microlensing",POWER(Upgrades!$U$16,H294),1)*IF(Upgrades!$T$17="Microlensing",POWER(Upgrades!$U$17,I294),1)*IF(Upgrades!$T$18="Microlensing",POWER(Upgrades!$U$18,J294),1)*IF(Upgrades!$T$19="Microlensing",POWER(Upgrades!$U$19,K294),1)*IF(Upgrades!$T$20="Microlensing",POWER(Upgrades!$U$20,L294),1)*IF(Upgrades!$T$21="Microlensing",POWER(Upgrades!$U$21,M294),1))+(IF(H294=0,0,(Upgrades!$J$16+H294*Upgrades!$K$16)*POWER(Upgrades!$L$16,H294)))*(IF(Upgrades!$T$13="Roche Lobe Overflow",POWER(Upgrades!$U$13,E294),1)*IF(Upgrades!$T$14="Roche Lobe Overflow",POWER(Upgrades!$U$14,F294),1)*IF(Upgrades!$T$15="Roche Lobe Overflow",POWER(Upgrades!$U$15,G294),1)*IF(Upgrades!$T$17="Roche Lobe Overflow",POWER(Upgrades!$U$17,I294),1)*IF(Upgrades!$T$18="Roche Lobe Overflow",POWER(Upgrades!$U$18,J294),1)*IF(Upgrades!$T$19="Roche Lobe Overflow",POWER(Upgrades!$U$19,K294),1)*IF(Upgrades!$T$20="Roche Lobe Overflow",POWER(Upgrades!$U$20,L294),1)*IF(Upgrades!$T$21="Roche Lobe Overflow",POWER(Upgrades!$U$21,M294),1))+(IF(I294=0,0,(Upgrades!$J$17+I294*Upgrades!$K$17)*POWER(Upgrades!$L$17,I294)))*(IF(Upgrades!$T$13="Brown Dwarf",POWER(Upgrades!$U$13,E294),1)*IF(Upgrades!$T$14="Brown Dwarf",POWER(Upgrades!$U$14,F294),1)*IF(Upgrades!$T$15="Brown Dwarf",POWER(Upgrades!$U$15,G294),1)*IF(Upgrades!$T$16="Brown Dwarf",POWER(Upgrades!$U$16,H294),1)*IF(Upgrades!$T$18="Brown Dwarf",POWER(Upgrades!$U$18,J294),1)*IF(Upgrades!$T$19="Brown Dwarf",POWER(Upgrades!$U$19,K294),1)*IF(Upgrades!$T$20="Brown Dwarf",POWER(Upgrades!$U$20,L294),1)*IF(Upgrades!$T$21="Brown Dwarf",POWER(Upgrades!$U$21,M294),1))+(IF(J294=0,0,(Upgrades!$J$18+J294*Upgrades!$K$18)*POWER(Upgrades!$L$18,J294)))*(IF(Upgrades!$T$13="Binary Partner",POWER(Upgrades!$U$13,E294),1)*IF(Upgrades!$T$14="Binary Partner",POWER(Upgrades!$U$14,F294),1)*IF(Upgrades!$T$15="Binary Partner",POWER(Upgrades!$U$15,G294),1)*IF(Upgrades!$T$16="Binary Partner",POWER(Upgrades!$U$16,H294),1)*IF(Upgrades!$T$17="Binary Partner",POWER(Upgrades!$U$17,I294),1)*IF(Upgrades!$T$19="Binary Partner",POWER(Upgrades!$U$19,K294),1)*IF(Upgrades!$T$20="Binary Partner",POWER(Upgrades!$U$20,L294),1)*IF(Upgrades!$T$21="Binary Partner",POWER(Upgrades!$U$21,M294),1))+(IF(K294=0,0,(Upgrades!$J$19+K294*Upgrades!$K$19)*POWER(Upgrades!$L$19,K294)))*(IF(Upgrades!$T$13="Peculiar Velocity",POWER(Upgrades!$U$13,E294),1)*IF(Upgrades!$T$14="Peculiar Velocity",POWER(Upgrades!$U$14,F294),1)*IF(Upgrades!$T$15="Peculiar Velocity",POWER(Upgrades!$U$15,G294),1)*IF(Upgrades!$T$16="Peculiar Velocity",POWER(Upgrades!$U$16,H294),1)*IF(Upgrades!$T$17="Peculiar Velocity",POWER(Upgrades!$U$17,I294),1)*IF(Upgrades!$T$18="Peculiar Velocity",POWER(Upgrades!$U$18,J294),1)*IF(Upgrades!$T$20="Peculiar Velocity",POWER(Upgrades!$U$20,L294),1)*IF(Upgrades!$T$21="Peculiar Velocity",POWER(Upgrades!$U$21,M294),1))+(IF(L294=0,0,(Upgrades!$J$20+L294*Upgrades!$K$20)*POWER(Upgrades!$L$20,L294)))*(IF(Upgrades!$T$13="Open Cluster",POWER(Upgrades!$U$13,E294),1)*IF(Upgrades!$T$14="Open Cluster",POWER(Upgrades!$U$14,F294),1)*IF(Upgrades!$T$15="Open Cluster",POWER(Upgrades!$U$15,G294),1)*IF(Upgrades!$T$16="Open Cluster",POWER(Upgrades!$U$16,H294),1)*IF(Upgrades!$T$17="Open Cluster",POWER(Upgrades!$U$17,I294),1)*IF(Upgrades!$T$18="Open Cluster",POWER(Upgrades!$U$18,J294),1)*IF(Upgrades!$T$19="Open Cluster",POWER(Upgrades!$U$19,K294),1)*IF(Upgrades!$T$21="Open Cluster",POWER(Upgrades!$U$21,M294),1))+(IF(M294=0,0,(Upgrades!$J$21+M294*Upgrades!$K$21)*POWER(Upgrades!$L$21,M294)))*(IF(Upgrades!$T$13="Moving Group",POWER(Upgrades!$U$13,E294),1)*IF(Upgrades!$T$14="Moving Group",POWER(Upgrades!$U$14,F294),1)*IF(Upgrades!$T$15="Moving Group",POWER(Upgrades!$U$15,G294),1)*IF(Upgrades!$T$16="Moving Group",POWER(Upgrades!$U$16,H294),1)*IF(Upgrades!$T$17="Moving Group",POWER(Upgrades!$U$17,I294),1)*IF(Upgrades!$T$18="Moving Group",POWER(Upgrades!$U$18,J294),1)*IF(Upgrades!$T$19="Moving Group",POWER(Upgrades!$U$19,K294),1)*IF(Upgrades!$T$20="Moving Group",POWER(Upgrades!$U$20,L294),1)))*POWER(Upgrades!$Q$13,E294)*POWER(Upgrades!$Q$14,F294)*POWER(Upgrades!$Q$15,G294)*POWER(Upgrades!$Q$16,H294)*POWER(Upgrades!$Q$17,I294)*POWER(Upgrades!$Q$18,J294)*POWER(Upgrades!$Q$19,K294)*POWER(Upgrades!$Q$20,L294)*POWER(Upgrades!$Q$21,M294)*$G$6+$D$6</f>
        <v/>
      </c>
      <c r="P294" s="28">
        <f>((IF(E294=0,0,(Upgrades!$G$13+E294*Upgrades!$H$13)*POWER(Upgrades!$I$13,E294)))*(IF(Upgrades!$T$14="Stellar Kinematics",POWER(Upgrades!$U$14,F294),1)*IF(Upgrades!$T$15="Stellar Kinematics",POWER(Upgrades!$U$15,G294),1)*IF(Upgrades!$T$16="Stellar Kinematics",POWER(Upgrades!$U$16,H294),1)*IF(Upgrades!$T$17="Stellar Kinematics",POWER(Upgrades!$U$17,I294),1)*IF(Upgrades!$T$18="Stellar Kinematics",POWER(Upgrades!$U$18,J294),1)*IF(Upgrades!$T$19="Stellar Kinematics",POWER(Upgrades!$U$19,K294),1)*IF(Upgrades!$T$20="Stellar Kinematics",POWER(Upgrades!$U$20,L294),1)*IF(Upgrades!$T$21="Stellar Kinematics",POWER(Upgrades!$U$21,M294),1))+(IF(F294=0,0,(Upgrades!$G$14+F294*Upgrades!$H$14)*POWER(Upgrades!$I$14,F294)))*(IF(Upgrades!$T$13="Local Bubble",POWER(Upgrades!$U$13,E294),1)*IF(Upgrades!$T$15="Local Bubble",POWER(Upgrades!$U$15,G294),1)*IF(Upgrades!$T$16="Local Bubble",POWER(Upgrades!$U$16,H294),1)*IF(Upgrades!$T$17="Local Bubble",POWER(Upgrades!$U$17,I294),1)*IF(Upgrades!$T$18="Local Bubble",POWER(Upgrades!$U$18,J294),1)*IF(Upgrades!$T$19="Local Bubble",POWER(Upgrades!$U$19,K294),1)*IF(Upgrades!$T$20="Local Bubble",POWER(Upgrades!$U$20,L294),1)*IF(Upgrades!$T$21="Local Bubble",POWER(Upgrades!$U$21,M294),1))+(IF(G294=0,0,(Upgrades!$G$15+G294*Upgrades!$H$15)*POWER(Upgrades!$I$15,G294)))*(IF(Upgrades!$T$13="Microlensing",POWER(Upgrades!$U$13,E294),1)*IF(Upgrades!$T$14="Microlensing",POWER(Upgrades!$U$14,F294),1)*IF(Upgrades!$T$16="Microlensing",POWER(Upgrades!$U$16,H294),1)*IF(Upgrades!$T$17="Microlensing",POWER(Upgrades!$U$17,I294),1)*IF(Upgrades!$T$18="Microlensing",POWER(Upgrades!$U$18,J294),1)*IF(Upgrades!$T$19="Microlensing",POWER(Upgrades!$U$19,K294),1)*IF(Upgrades!$T$20="Microlensing",POWER(Upgrades!$U$20,L294),1)*IF(Upgrades!$T$21="Microlensing",POWER(Upgrades!$U$21,M294),1))+(IF(H294=0,0,(Upgrades!$G$16+H294*Upgrades!$H$16)*POWER(Upgrades!$I$16,H294)))*(IF(Upgrades!$T$13="Roche Lobe Overflow",POWER(Upgrades!$U$13,E294),1)*IF(Upgrades!$T$14="Roche Lobe Overflow",POWER(Upgrades!$U$14,F294),1)*IF(Upgrades!$T$15="Roche Lobe Overflow",POWER(Upgrades!$U$15,G294),1)*IF(Upgrades!$T$17="Roche Lobe Overflow",POWER(Upgrades!$U$17,I294),1)*IF(Upgrades!$T$18="Roche Lobe Overflow",POWER(Upgrades!$U$18,J294),1)*IF(Upgrades!$T$19="Roche Lobe Overflow",POWER(Upgrades!$U$19,K294),1)*IF(Upgrades!$T$20="Roche Lobe Overflow",POWER(Upgrades!$U$20,L294),1)*IF(Upgrades!$T$21="Roche Lobe Overflow",POWER(Upgrades!$U$21,M294),1))+(IF(I294=0,0,(Upgrades!$G$17+I294*Upgrades!$H$17)*POWER(Upgrades!$I$17,I294)))*(IF(Upgrades!$T$13="Brown Dwarf",POWER(Upgrades!$U$13,E294),1)*IF(Upgrades!$T$14="Brown Dwarf",POWER(Upgrades!$U$14,F294),1)*IF(Upgrades!$T$15="Brown Dwarf",POWER(Upgrades!$U$15,G294),1)*IF(Upgrades!$T$16="Brown Dwarf",POWER(Upgrades!$U$16,H294),1)*IF(Upgrades!$T$18="Brown Dwarf",POWER(Upgrades!$U$18,J294),1)*IF(Upgrades!$T$19="Brown Dwarf",POWER(Upgrades!$U$19,K294),1)*IF(Upgrades!$T$20="Brown Dwarf",POWER(Upgrades!$U$20,L294),1)*IF(Upgrades!$T$21="Brown Dwarf",POWER(Upgrades!$U$21,M294),1))+(IF(J294=0,0,(Upgrades!$G$18+J294*Upgrades!$H$18)*POWER(Upgrades!$I$18,J294)))*(IF(Upgrades!$T$13="Binary Partner",POWER(Upgrades!$U$13,E294),1)*IF(Upgrades!$T$14="Binary Partner",POWER(Upgrades!$U$14,F294),1)*IF(Upgrades!$T$15="Binary Partner",POWER(Upgrades!$U$15,G294),1)*IF(Upgrades!$T$16="Binary Partner",POWER(Upgrades!$U$16,H294),1)*IF(Upgrades!$T$17="Binary Partner",POWER(Upgrades!$U$17,I294),1)*IF(Upgrades!$T$19="Binary Partner",POWER(Upgrades!$U$19,K294),1)*IF(Upgrades!$T$20="Binary Partner",POWER(Upgrades!$U$20,L294),1)*IF(Upgrades!$T$21="Binary Partner",POWER(Upgrades!$U$21,M294),1))+(IF(K294=0,0,(Upgrades!$G$19+K294*Upgrades!$H$19)*POWER(Upgrades!$I$19,K294)))*(IF(Upgrades!$T$13="Peculiar Velocity",POWER(Upgrades!$U$13,E294),1)*IF(Upgrades!$T$14="Peculiar Velocity",POWER(Upgrades!$U$14,F294),1)*IF(Upgrades!$T$15="Peculiar Velocity",POWER(Upgrades!$U$15,G294),1)*IF(Upgrades!$T$16="Peculiar Velocity",POWER(Upgrades!$U$16,H294),1)*IF(Upgrades!$T$17="Peculiar Velocity",POWER(Upgrades!$U$17,I294),1)*IF(Upgrades!$T$18="Peculiar Velocity",POWER(Upgrades!$U$18,J294),1)*IF(Upgrades!$T$20="Peculiar Velocity",POWER(Upgrades!$U$20,L294),1)*IF(Upgrades!$T$21="Peculiar Velocity",POWER(Upgrades!$U$21,M294),1))+(IF(L294=0,0,(Upgrades!$G$20+L294*Upgrades!$H$20)*POWER(Upgrades!$I$20,L294)))*(IF(Upgrades!$T$13="Open Cluster",POWER(Upgrades!$U$13,E294),1)*IF(Upgrades!$T$14="Open Cluster",POWER(Upgrades!$U$14,F294),1)*IF(Upgrades!$T$15="Open Cluster",POWER(Upgrades!$U$15,G294),1)*IF(Upgrades!$T$16="Open Cluster",POWER(Upgrades!$U$16,H294),1)*IF(Upgrades!$T$17="Open Cluster",POWER(Upgrades!$U$17,I294),1)*IF(Upgrades!$T$18="Open Cluster",POWER(Upgrades!$U$18,J294),1)*IF(Upgrades!$T$19="Open Cluster",POWER(Upgrades!$U$19,K294),1)*IF(Upgrades!$T$21="Open Cluster",POWER(Upgrades!$U$21,M294),1))+(IF(M294=0,0,(Upgrades!$G$21+M294*Upgrades!$H$21)*POWER(Upgrades!$I$21,M294)))*(IF(Upgrades!$T$13="Moving Group",POWER(Upgrades!$U$13,E294),1)*IF(Upgrades!$T$14="Moving Group",POWER(Upgrades!$U$14,F294),1)*IF(Upgrades!$T$15="Moving Group",POWER(Upgrades!$U$15,G294),1)*IF(Upgrades!$T$16="Moving Group",POWER(Upgrades!$U$16,H294),1)*IF(Upgrades!$T$17="Moving Group",POWER(Upgrades!$U$17,I294),1)*IF(Upgrades!$T$18="Moving Group",POWER(Upgrades!$U$18,J294),1)*IF(Upgrades!$T$19="Moving Group",POWER(Upgrades!$U$19,K294),1)*IF(Upgrades!$T$20="Moving Group",POWER(Upgrades!$U$20,L294),1)))*POWER(Upgrades!$P$13,E294)*POWER(Upgrades!$P$14,F294)*POWER(Upgrades!$P$15,G294)*POWER(Upgrades!$P$16,H294)*POWER(Upgrades!$P$17,I294)*POWER(Upgrades!$P$18,J294)*POWER(Upgrades!$P$19,K294)*POWER(Upgrades!$P$20,L294)*POWER(Upgrades!$P$21,M294)*$F$6+$C$6</f>
        <v/>
      </c>
      <c r="Q294" s="28">
        <f>((IF(E294=0,0,(Upgrades!$M$13+E294*Upgrades!$N$13)*POWER(Upgrades!$O$13,E294)))*(IF(Upgrades!$T$14="Stellar Kinematics",POWER(Upgrades!$U$14,F294),1)*IF(Upgrades!$T$15="Stellar Kinematics",POWER(Upgrades!$U$15,G294),1)*IF(Upgrades!$T$16="Stellar Kinematics",POWER(Upgrades!$U$16,H294),1)*IF(Upgrades!$T$17="Stellar Kinematics",POWER(Upgrades!$U$17,I294),1)*IF(Upgrades!$T$18="Stellar Kinematics",POWER(Upgrades!$U$18,J294),1)*IF(Upgrades!$T$19="Stellar Kinematics",POWER(Upgrades!$U$19,K294),1)*IF(Upgrades!$T$20="Stellar Kinematics",POWER(Upgrades!$U$20,L294),1)*IF(Upgrades!$T$21="Stellar Kinematics",POWER(Upgrades!$U$21,M294),1))+(IF(F294=0,0,(Upgrades!$M$14+F294*Upgrades!$N$14)*POWER(Upgrades!$O$14,F294)))*(IF(Upgrades!$T$13="Local Bubble",POWER(Upgrades!$U$13,E294),1)*IF(Upgrades!$T$15="Local Bubble",POWER(Upgrades!$U$15,G294),1)*IF(Upgrades!$T$16="Local Bubble",POWER(Upgrades!$U$16,H294),1)*IF(Upgrades!$T$17="Local Bubble",POWER(Upgrades!$U$17,I294),1)*IF(Upgrades!$T$18="Local Bubble",POWER(Upgrades!$U$18,J294),1)*IF(Upgrades!$T$19="Local Bubble",POWER(Upgrades!$U$19,K294),1)*IF(Upgrades!$T$20="Local Bubble",POWER(Upgrades!$U$20,L294),1)*IF(Upgrades!$T$21="Local Bubble",POWER(Upgrades!$U$21,M294),1))+(IF(G294=0,0,(Upgrades!$M$15+G294*Upgrades!$N$15)*POWER(Upgrades!$O$15,G294)))*(IF(Upgrades!$T$13="Microlensing",POWER(Upgrades!$U$13,E294),1)*IF(Upgrades!$T$14="Microlensing",POWER(Upgrades!$U$14,F294),1)*IF(Upgrades!$T$16="Microlensing",POWER(Upgrades!$U$16,H294),1)*IF(Upgrades!$T$17="Microlensing",POWER(Upgrades!$U$17,I294),1)*IF(Upgrades!$T$18="Microlensing",POWER(Upgrades!$U$18,J294),1)*IF(Upgrades!$T$19="Microlensing",POWER(Upgrades!$U$19,K294),1)*IF(Upgrades!$T$20="Microlensing",POWER(Upgrades!$U$20,L294),1)*IF(Upgrades!$T$21="Microlensing",POWER(Upgrades!$U$21,M294),1))+(IF(H294=0,0,(Upgrades!$M$16+H294*Upgrades!$N$16)*POWER(Upgrades!$O$16,H294)))*(IF(Upgrades!$T$13="Roche Lobe Overflow",POWER(Upgrades!$U$13,E294),1)*IF(Upgrades!$T$14="Roche Lobe Overflow",POWER(Upgrades!$U$14,F294),1)*IF(Upgrades!$T$15="Roche Lobe Overflow",POWER(Upgrades!$U$15,G294),1)*IF(Upgrades!$T$17="Roche Lobe Overflow",POWER(Upgrades!$U$17,I294),1)*IF(Upgrades!$T$18="Roche Lobe Overflow",POWER(Upgrades!$U$18,J294),1)*IF(Upgrades!$T$19="Roche Lobe Overflow",POWER(Upgrades!$U$19,K294),1)*IF(Upgrades!$T$20="Roche Lobe Overflow",POWER(Upgrades!$U$20,L294),1)*IF(Upgrades!$T$21="Roche Lobe Overflow",POWER(Upgrades!$U$21,M294),1))+(IF(I294=0,0,(Upgrades!$M$17+I294*Upgrades!$N$17)*POWER(Upgrades!$O$17,I294)))*(IF(Upgrades!$T$13="Brown Dwarf",POWER(Upgrades!$U$13,E294),1)*IF(Upgrades!$T$14="Brown Dwarf",POWER(Upgrades!$U$14,F294),1)*IF(Upgrades!$T$15="Brown Dwarf",POWER(Upgrades!$U$15,G294),1)*IF(Upgrades!$T$16="Brown Dwarf",POWER(Upgrades!$U$16,H294),1)*IF(Upgrades!$T$18="Brown Dwarf",POWER(Upgrades!$U$18,J294),1)*IF(Upgrades!$T$19="Brown Dwarf",POWER(Upgrades!$U$19,K294),1)*IF(Upgrades!$T$20="Brown Dwarf",POWER(Upgrades!$U$20,L294),1)*IF(Upgrades!$T$21="Brown Dwarf",POWER(Upgrades!$U$21,M294),1))+(IF(J294=0,0,(Upgrades!$M$18+J294*Upgrades!$N$18)*POWER(Upgrades!$O$18,J294)))*(IF(Upgrades!$T$13="Binary Partner",POWER(Upgrades!$U$13,E294),1)*IF(Upgrades!$T$14="Binary Partner",POWER(Upgrades!$U$14,F294),1)*IF(Upgrades!$T$15="Binary Partner",POWER(Upgrades!$U$15,G294),1)*IF(Upgrades!$T$16="Binary Partner",POWER(Upgrades!$U$16,H294),1)*IF(Upgrades!$T$17="Binary Partner",POWER(Upgrades!$U$17,I294),1)*IF(Upgrades!$T$19="Binary Partner",POWER(Upgrades!$U$19,K294),1)*IF(Upgrades!$T$20="Binary Partner",POWER(Upgrades!$U$20,L294),1)*IF(Upgrades!$T$21="Binary Partner",POWER(Upgrades!$U$21,M294),1))+(IF(K294=0,0,(Upgrades!$M$19+K294*Upgrades!$N$19)*POWER(Upgrades!$O$19,K294)))*(IF(Upgrades!$T$13="Peculiar Velocity",POWER(Upgrades!$U$13,E294),1)*IF(Upgrades!$T$14="Peculiar Velocity",POWER(Upgrades!$U$14,F294),1)*IF(Upgrades!$T$15="Peculiar Velocity",POWER(Upgrades!$U$15,G294),1)*IF(Upgrades!$T$16="Peculiar Velocity",POWER(Upgrades!$U$16,H294),1)*IF(Upgrades!$T$17="Peculiar Velocity",POWER(Upgrades!$U$17,I294),1)*IF(Upgrades!$T$18="Peculiar Velocity",POWER(Upgrades!$U$18,J294),1)*IF(Upgrades!$T$20="Peculiar Velocity",POWER(Upgrades!$U$20,L294),1)*IF(Upgrades!$T$21="Peculiar Velocity",POWER(Upgrades!$U$21,M294),1))+(IF(L294=0,0,(Upgrades!$M$20+L294*Upgrades!$N$20)*POWER(Upgrades!$O$20,L294)))*(IF(Upgrades!$T$13="Open Cluster",POWER(Upgrades!$U$13,E294),1)*IF(Upgrades!$T$14="Open Cluster",POWER(Upgrades!$U$14,F294),1)*IF(Upgrades!$T$15="Open Cluster",POWER(Upgrades!$U$15,G294),1)*IF(Upgrades!$T$16="Open Cluster",POWER(Upgrades!$U$16,H294),1)*IF(Upgrades!$T$17="Open Cluster",POWER(Upgrades!$U$17,I294),1)*IF(Upgrades!$T$18="Open Cluster",POWER(Upgrades!$U$18,J294),1)*IF(Upgrades!$T$19="Open Cluster",POWER(Upgrades!$U$19,K294),1)*IF(Upgrades!$T$21="Open Cluster",POWER(Upgrades!$U$21,M294),1))+(IF(M294=0,0,(Upgrades!$M$21+M294*Upgrades!$N$21)*POWER(Upgrades!$O$21,M294)))*(IF(Upgrades!$T$13="Moving Group",POWER(Upgrades!$U$13,E294),1)*IF(Upgrades!$T$14="Moving Group",POWER(Upgrades!$U$14,F294),1)*IF(Upgrades!$T$15="Moving Group",POWER(Upgrades!$U$15,G294),1)*IF(Upgrades!$T$16="Moving Group",POWER(Upgrades!$U$16,H294),1)*IF(Upgrades!$T$17="Moving Group",POWER(Upgrades!$U$17,I294),1)*IF(Upgrades!$T$18="Moving Group",POWER(Upgrades!$U$18,J294),1)*IF(Upgrades!$T$19="Moving Group",POWER(Upgrades!$U$19,K294),1)*IF(Upgrades!$T$20="Moving Group",POWER(Upgrades!$U$20,L294),1)))*POWER(Upgrades!$R$13,E294)*POWER(Upgrades!$R$14,F294)*POWER(Upgrades!$R$15,G294)*POWER(Upgrades!$R$16,H294)*POWER(Upgrades!$R$17,I294)*POWER(Upgrades!$R$18,J294)*POWER(Upgrades!$R$19,K294)*POWER(Upgrades!$R$20,L294)*POWER(Upgrades!$R$21,M294)*$H$6+$E$6</f>
        <v/>
      </c>
      <c r="R294" s="27">
        <f>IF(N294=1,0,O294*Parameters!$B$10/60*Parameters!$B$11*10)</f>
        <v/>
      </c>
      <c r="S294" s="27">
        <f>IF(N294=1,0,Q294*O294*10)</f>
        <v/>
      </c>
      <c r="T294" s="27">
        <f>IF(N294=1,0,R294+S294+P294*10)</f>
        <v/>
      </c>
      <c r="U294" s="33">
        <f>BE294</f>
        <v/>
      </c>
      <c r="V294" s="22">
        <f>IF(U294="",0,IF(U294="transition",0,IF(U294="SK",AK294,IF(U294="LB",AL294,IF(U294="ML",AM294,IF(U294="RLO",AN294,IF(U294="BD",AO294,IF(U294="BiP",AP294,IF(U294="PV",AQ294,IF(U294="OC",AR294,IF(U294="MG",AS294,0))))))))))</f>
        <v/>
      </c>
      <c r="W294" s="27">
        <f>IF(U294="BiP",Upgrades!$F$18,IF(U294="PV",Upgrades!$F$19,IF(U294="OC",Upgrades!$F$20,IF(U294="MG",Upgrades!$F$21,IF(U294="transition",-Parameters!$B$18*Parameters!$B$19,0)))))</f>
        <v/>
      </c>
      <c r="X294" s="22">
        <f>C294+T294-V294</f>
        <v/>
      </c>
      <c r="Y294" s="30">
        <f>O294*Parameters!$B$10/60*Parameters!$B$11+Q294*O294+P294</f>
        <v/>
      </c>
      <c r="Z294" s="34">
        <f>IF(U294="transition","→ Tier 3 (Galactic Arm)",IF(U294="MG","Moving Group — pocket drifts together",IF(U294="OC","Open Cluster acquired",IF(U294="PV","Peculiar Velocity — passive multiplier active",IF(U294="BiP","Binary Partner — pair bond formed",IF(AND(AU294=1,N294=0,AT294&lt;&gt;1),"Cohesion ready (waiting on completionists)","")))))) </f>
        <v/>
      </c>
      <c r="AA294" s="27">
        <f>(IF(E294=0,0,(Upgrades!$G$13+E294*Upgrades!$H$13)*POWER(Upgrades!$I$13,E294)))*(IF(Upgrades!$T$14="Stellar Kinematics",POWER(Upgrades!$U$14,F294),1)*IF(Upgrades!$T$15="Stellar Kinematics",POWER(Upgrades!$U$15,G294),1)*IF(Upgrades!$T$16="Stellar Kinematics",POWER(Upgrades!$U$16,H294),1)*IF(Upgrades!$T$17="Stellar Kinematics",POWER(Upgrades!$U$17,I294),1)*IF(Upgrades!$T$18="Stellar Kinematics",POWER(Upgrades!$U$18,J294),1)*IF(Upgrades!$T$19="Stellar Kinematics",POWER(Upgrades!$U$19,K294),1)*IF(Upgrades!$T$20="Stellar Kinematics",POWER(Upgrades!$U$20,L294),1)*IF(Upgrades!$T$21="Stellar Kinematics",POWER(Upgrades!$U$21,M294),1))*POWER(Upgrades!$P$13,E294)*POWER(Upgrades!$P$14,F294)*POWER(Upgrades!$P$15,G294)*POWER(Upgrades!$P$16,H294)*POWER(Upgrades!$P$17,I294)*POWER(Upgrades!$P$18,J294)*POWER(Upgrades!$P$19,K294)*POWER(Upgrades!$P$20,L294)*POWER(Upgrades!$P$21,M294)*$F$6*60</f>
        <v/>
      </c>
      <c r="AB294" s="27">
        <f>(IF(F294=0,0,(Upgrades!$G$14+F294*Upgrades!$H$14)*POWER(Upgrades!$I$14,F294)))*(IF(Upgrades!$T$13="Local Bubble",POWER(Upgrades!$U$13,E294),1)*IF(Upgrades!$T$15="Local Bubble",POWER(Upgrades!$U$15,G294),1)*IF(Upgrades!$T$16="Local Bubble",POWER(Upgrades!$U$16,H294),1)*IF(Upgrades!$T$17="Local Bubble",POWER(Upgrades!$U$17,I294),1)*IF(Upgrades!$T$18="Local Bubble",POWER(Upgrades!$U$18,J294),1)*IF(Upgrades!$T$19="Local Bubble",POWER(Upgrades!$U$19,K294),1)*IF(Upgrades!$T$20="Local Bubble",POWER(Upgrades!$U$20,L294),1)*IF(Upgrades!$T$21="Local Bubble",POWER(Upgrades!$U$21,M294),1))*POWER(Upgrades!$P$13,E294)*POWER(Upgrades!$P$14,F294)*POWER(Upgrades!$P$15,G294)*POWER(Upgrades!$P$16,H294)*POWER(Upgrades!$P$17,I294)*POWER(Upgrades!$P$18,J294)*POWER(Upgrades!$P$19,K294)*POWER(Upgrades!$P$20,L294)*POWER(Upgrades!$P$21,M294)*$F$6*60</f>
        <v/>
      </c>
      <c r="AC294" s="27">
        <f>(IF(G294=0,0,(Upgrades!$J$15+G294*Upgrades!$K$15)*POWER(Upgrades!$L$15,G294)))*(IF(Upgrades!$T$13="Microlensing",POWER(Upgrades!$U$13,E294),1)*IF(Upgrades!$T$14="Microlensing",POWER(Upgrades!$U$14,F294),1)*IF(Upgrades!$T$16="Microlensing",POWER(Upgrades!$U$16,H294),1)*IF(Upgrades!$T$17="Microlensing",POWER(Upgrades!$U$17,I294),1)*IF(Upgrades!$T$18="Microlensing",POWER(Upgrades!$U$18,J294),1)*IF(Upgrades!$T$19="Microlensing",POWER(Upgrades!$U$19,K294),1)*IF(Upgrades!$T$20="Microlensing",POWER(Upgrades!$U$20,L294),1)*IF(Upgrades!$T$21="Microlensing",POWER(Upgrades!$U$21,M294),1))*POWER(Upgrades!$Q$13,E294)*POWER(Upgrades!$Q$14,F294)*POWER(Upgrades!$Q$15,G294)*POWER(Upgrades!$Q$16,H294)*POWER(Upgrades!$Q$17,I294)*POWER(Upgrades!$Q$18,J294)*POWER(Upgrades!$Q$19,K294)*POWER(Upgrades!$Q$20,L294)*POWER(Upgrades!$Q$21,M294)*$G$6*(Parameters!$B$10*Parameters!$B$11+Q294*60)</f>
        <v/>
      </c>
      <c r="AD294" s="27">
        <f>(IF(H294=0,0,(Upgrades!$M$16+H294*Upgrades!$N$16)*POWER(Upgrades!$O$16,H294)))*(IF(Upgrades!$T$13="Roche Lobe Overflow",POWER(Upgrades!$U$13,E294),1)*IF(Upgrades!$T$14="Roche Lobe Overflow",POWER(Upgrades!$U$14,F294),1)*IF(Upgrades!$T$15="Roche Lobe Overflow",POWER(Upgrades!$U$15,G294),1)*IF(Upgrades!$T$17="Roche Lobe Overflow",POWER(Upgrades!$U$17,I294),1)*IF(Upgrades!$T$18="Roche Lobe Overflow",POWER(Upgrades!$U$18,J294),1)*IF(Upgrades!$T$19="Roche Lobe Overflow",POWER(Upgrades!$U$19,K294),1)*IF(Upgrades!$T$20="Roche Lobe Overflow",POWER(Upgrades!$U$20,L294),1)*IF(Upgrades!$T$21="Roche Lobe Overflow",POWER(Upgrades!$U$21,M294),1))*POWER(Upgrades!$R$13,E294)*POWER(Upgrades!$R$14,F294)*POWER(Upgrades!$R$15,G294)*POWER(Upgrades!$R$16,H294)*POWER(Upgrades!$R$17,I294)*POWER(Upgrades!$R$18,J294)*POWER(Upgrades!$R$19,K294)*POWER(Upgrades!$R$20,L294)*POWER(Upgrades!$R$21,M294)*$H$6*O294*60</f>
        <v/>
      </c>
      <c r="AE294" s="27">
        <f>(IF(I294=0,0,(Upgrades!$G$17+I294*Upgrades!$H$17)*POWER(Upgrades!$I$17,I294)))*(IF(Upgrades!$T$13="Brown Dwarf",POWER(Upgrades!$U$13,E294),1)*IF(Upgrades!$T$14="Brown Dwarf",POWER(Upgrades!$U$14,F294),1)*IF(Upgrades!$T$15="Brown Dwarf",POWER(Upgrades!$U$15,G294),1)*IF(Upgrades!$T$16="Brown Dwarf",POWER(Upgrades!$U$16,H294),1)*IF(Upgrades!$T$18="Brown Dwarf",POWER(Upgrades!$U$18,J294),1)*IF(Upgrades!$T$19="Brown Dwarf",POWER(Upgrades!$U$19,K294),1)*IF(Upgrades!$T$20="Brown Dwarf",POWER(Upgrades!$U$20,L294),1)*IF(Upgrades!$T$21="Brown Dwarf",POWER(Upgrades!$U$21,M294),1))*POWER(Upgrades!$P$13,E294)*POWER(Upgrades!$P$14,F294)*POWER(Upgrades!$P$15,G294)*POWER(Upgrades!$P$16,H294)*POWER(Upgrades!$P$17,I294)*POWER(Upgrades!$P$18,J294)*POWER(Upgrades!$P$19,K294)*POWER(Upgrades!$P$20,L294)*POWER(Upgrades!$P$21,M294)*$F$6*60</f>
        <v/>
      </c>
      <c r="AF294" s="27" t="n">
        <v>0</v>
      </c>
      <c r="AG294" s="27" t="n">
        <v>0</v>
      </c>
      <c r="AH294" s="27" t="n">
        <v>0</v>
      </c>
      <c r="AI294" s="27">
        <f>(IF(M294=0,0,(Upgrades!$G$21+M294*Upgrades!$H$21)*POWER(Upgrades!$I$21,M294)))*(IF(Upgrades!$T$13="Moving Group",POWER(Upgrades!$U$13,E294),1)*IF(Upgrades!$T$14="Moving Group",POWER(Upgrades!$U$14,F294),1)*IF(Upgrades!$T$15="Moving Group",POWER(Upgrades!$U$15,G294),1)*IF(Upgrades!$T$16="Moving Group",POWER(Upgrades!$U$16,H294),1)*IF(Upgrades!$T$17="Moving Group",POWER(Upgrades!$U$17,I294),1)*IF(Upgrades!$T$18="Moving Group",POWER(Upgrades!$U$18,J294),1)*IF(Upgrades!$T$19="Moving Group",POWER(Upgrades!$U$19,K294),1)*IF(Upgrades!$T$20="Moving Group",POWER(Upgrades!$U$20,L294),1))*POWER(Upgrades!$P$13,E294)*POWER(Upgrades!$P$14,F294)*POWER(Upgrades!$P$15,G294)*POWER(Upgrades!$P$16,H294)*POWER(Upgrades!$P$17,I294)*POWER(Upgrades!$P$18,J294)*POWER(Upgrades!$P$19,K294)*POWER(Upgrades!$P$20,L294)*POWER(Upgrades!$P$21,M294)*$F$6*60</f>
        <v/>
      </c>
      <c r="AJ294" s="27">
        <f>$C$6*60</f>
        <v/>
      </c>
      <c r="AK294" s="22">
        <f>IF(E294&gt;=Upgrades!$E$13,"",Upgrades!$C$13*POWER(Upgrades!$D$13,E294))</f>
        <v/>
      </c>
      <c r="AL294" s="22">
        <f>IF(F294&gt;=Upgrades!$E$14,"",Upgrades!$C$14*POWER(Upgrades!$D$14,F294))</f>
        <v/>
      </c>
      <c r="AM294" s="22">
        <f>IF(G294&gt;=Upgrades!$E$15,"",Upgrades!$C$15*POWER(Upgrades!$D$15,G294))</f>
        <v/>
      </c>
      <c r="AN294" s="22">
        <f>IF(H294&gt;=Upgrades!$E$16,"",Upgrades!$C$16*POWER(Upgrades!$D$16,H294))</f>
        <v/>
      </c>
      <c r="AO294" s="22">
        <f>IF(I294&gt;=Upgrades!$E$17,"",Upgrades!$C$17*POWER(Upgrades!$D$17,I294))</f>
        <v/>
      </c>
      <c r="AP294" s="22">
        <f>IF(J294&gt;=Upgrades!$E$18,"",Upgrades!$C$18*POWER(Upgrades!$D$18,J294))</f>
        <v/>
      </c>
      <c r="AQ294" s="22">
        <f>IF(K294&gt;=Upgrades!$E$19,"",Upgrades!$C$19*POWER(Upgrades!$D$19,K294))</f>
        <v/>
      </c>
      <c r="AR294" s="22">
        <f>IF(L294&gt;=Upgrades!$E$20,"",Upgrades!$C$20*POWER(Upgrades!$D$20,L294))</f>
        <v/>
      </c>
      <c r="AS294" s="22">
        <f>IF(M294&gt;=Upgrades!$E$21,"",Upgrades!$C$21*POWER(Upgrades!$D$21,M294))</f>
        <v/>
      </c>
      <c r="AT294" s="26">
        <f>IF(AND(D294&gt;=Parameters!$B$18*Parameters!$B$19,(I294&gt;=Upgrades!$E$17)*(M294&gt;=Upgrades!$E$21)=1,N294=0),1,"")</f>
        <v/>
      </c>
      <c r="AU294" s="26">
        <f>IF(AND(D294&gt;=Parameters!$B$18*Parameters!$B$19,N294=0),1,"")</f>
        <v/>
      </c>
      <c r="AV294" s="22">
        <f>MIN(IF(ISNUMBER(AP294),AP294,9E15),IF(ISNUMBER(AQ294),AQ294,9E15),IF(ISNUMBER(AR294),AR294,9E15),IF(ISNUMBER(AS294),AS294,9E15))</f>
        <v/>
      </c>
      <c r="AW294" s="22">
        <f>MIN(IF(ISNUMBER(AK294),AK294,9E15),IF(ISNUMBER(AL294),AL294,9E15),IF(ISNUMBER(AM294),AM294,9E15),IF(ISNUMBER(AN294),AN294,9E15),IF(ISNUMBER(AO294),AO294,9E15))</f>
        <v/>
      </c>
      <c r="AX294" s="29">
        <f>IF(BD294&gt;Parameters!$B$21*(MAX(IF(AND(NOT(AND(AU294=1,AT294&lt;&gt;1)),ISNUMBER(AK294),AK294&lt;=(C294+T294)),AY294,0),IF(AND(NOT(AND(AU294=1,AT294&lt;&gt;1)),ISNUMBER(AL294),AL294&lt;=(C294+T294)),AZ294,0),IF(AND(NOT(AND(AU294=1,AT294&lt;&gt;1)),ISNUMBER(AM294),AM294&lt;=(C294+T294)),BA294,0),IF(AND(NOT(AND(AU294=1,AT294&lt;&gt;1)),ISNUMBER(AN294),AN294&lt;=(C294+T294)),BB294,0),IF(AND(ISNUMBER(AO294),AO294&lt;=(C294+T294)),BC294,0))),TRUE,FALSE)</f>
        <v/>
      </c>
      <c r="AY294" s="32">
        <f>IFERROR(Upgrades!$H$13*(POWER(Upgrades!$P$13,E294)*POWER(Upgrades!$P$14,F294)*POWER(Upgrades!$P$15,G294)*POWER(Upgrades!$P$16,H294)*POWER(Upgrades!$P$17,I294)*POWER(Upgrades!$P$18,J294)*POWER(Upgrades!$P$19,K294)*POWER(Upgrades!$P$20,L294)*POWER(Upgrades!$P$21,M294))*(IF(Upgrades!$T$14="Stellar Kinematics",POWER(Upgrades!$U$14,F294),1)*IF(Upgrades!$T$15="Stellar Kinematics",POWER(Upgrades!$U$15,G294),1)*IF(Upgrades!$T$16="Stellar Kinematics",POWER(Upgrades!$U$16,H294),1)*IF(Upgrades!$T$17="Stellar Kinematics",POWER(Upgrades!$U$17,I294),1)*IF(Upgrades!$T$18="Stellar Kinematics",POWER(Upgrades!$U$18,J294),1)*IF(Upgrades!$T$19="Stellar Kinematics",POWER(Upgrades!$U$19,K294),1)*IF(Upgrades!$T$20="Stellar Kinematics",POWER(Upgrades!$U$20,L294),1)*IF(Upgrades!$T$21="Stellar Kinematics",POWER(Upgrades!$U$21,M294),1))*$F$6/AK294,0)</f>
        <v/>
      </c>
      <c r="AZ294" s="32">
        <f>IFERROR(Upgrades!$H$14*(POWER(Upgrades!$P$13,E294)*POWER(Upgrades!$P$14,F294)*POWER(Upgrades!$P$15,G294)*POWER(Upgrades!$P$16,H294)*POWER(Upgrades!$P$17,I294)*POWER(Upgrades!$P$18,J294)*POWER(Upgrades!$P$19,K294)*POWER(Upgrades!$P$20,L294)*POWER(Upgrades!$P$21,M294))*(IF(Upgrades!$T$13="Local Bubble",POWER(Upgrades!$U$13,E294),1)*IF(Upgrades!$T$15="Local Bubble",POWER(Upgrades!$U$15,G294),1)*IF(Upgrades!$T$16="Local Bubble",POWER(Upgrades!$U$16,H294),1)*IF(Upgrades!$T$17="Local Bubble",POWER(Upgrades!$U$17,I294),1)*IF(Upgrades!$T$18="Local Bubble",POWER(Upgrades!$U$18,J294),1)*IF(Upgrades!$T$19="Local Bubble",POWER(Upgrades!$U$19,K294),1)*IF(Upgrades!$T$20="Local Bubble",POWER(Upgrades!$U$20,L294),1)*IF(Upgrades!$T$21="Local Bubble",POWER(Upgrades!$U$21,M294),1))*$F$6/AL294,0)</f>
        <v/>
      </c>
      <c r="BA294" s="32">
        <f>IFERROR(Upgrades!$K$15*(POWER(Upgrades!$Q$13,E294)*POWER(Upgrades!$Q$14,F294)*POWER(Upgrades!$Q$15,G294)*POWER(Upgrades!$Q$16,H294)*POWER(Upgrades!$Q$17,I294)*POWER(Upgrades!$Q$18,J294)*POWER(Upgrades!$Q$19,K294)*POWER(Upgrades!$Q$20,L294)*POWER(Upgrades!$Q$21,M294))*(IF(Upgrades!$T$13="Microlensing",POWER(Upgrades!$U$13,E294),1)*IF(Upgrades!$T$14="Microlensing",POWER(Upgrades!$U$14,F294),1)*IF(Upgrades!$T$16="Microlensing",POWER(Upgrades!$U$16,H294),1)*IF(Upgrades!$T$17="Microlensing",POWER(Upgrades!$U$17,I294),1)*IF(Upgrades!$T$18="Microlensing",POWER(Upgrades!$U$18,J294),1)*IF(Upgrades!$T$19="Microlensing",POWER(Upgrades!$U$19,K294),1)*IF(Upgrades!$T$20="Microlensing",POWER(Upgrades!$U$20,L294),1)*IF(Upgrades!$T$21="Microlensing",POWER(Upgrades!$U$21,M294),1))*$G$6*(Parameters!$B$10/60*Parameters!$B$11+Q294)/AM294,0)</f>
        <v/>
      </c>
      <c r="BB294" s="32">
        <f>IFERROR((Upgrades!$N$16*(POWER(Upgrades!$R$13,E294)*POWER(Upgrades!$R$14,F294)*POWER(Upgrades!$R$15,G294)*POWER(Upgrades!$R$16,H294)*POWER(Upgrades!$R$17,I294)*POWER(Upgrades!$R$18,J294)*POWER(Upgrades!$R$19,K294)*POWER(Upgrades!$R$20,L294)*POWER(Upgrades!$R$21,M294))*(IF(Upgrades!$T$13="Roche Lobe Overflow",POWER(Upgrades!$U$13,E294),1)*IF(Upgrades!$T$14="Roche Lobe Overflow",POWER(Upgrades!$U$14,F294),1)*IF(Upgrades!$T$15="Roche Lobe Overflow",POWER(Upgrades!$U$15,G294),1)*IF(Upgrades!$T$17="Roche Lobe Overflow",POWER(Upgrades!$U$17,I294),1)*IF(Upgrades!$T$18="Roche Lobe Overflow",POWER(Upgrades!$U$18,J294),1)*IF(Upgrades!$T$19="Roche Lobe Overflow",POWER(Upgrades!$U$19,K294),1)*IF(Upgrades!$T$20="Roche Lobe Overflow",POWER(Upgrades!$U$20,L294),1)*IF(Upgrades!$T$21="Roche Lobe Overflow",POWER(Upgrades!$U$21,M294),1))*$H$6*O294+((IF(F294=0,0,(Upgrades!$G$14+F294*Upgrades!$H$14)*POWER(Upgrades!$I$14,F294)))*(IF(Upgrades!$T$13="Local Bubble",POWER(Upgrades!$U$13,E294),1)*IF(Upgrades!$T$15="Local Bubble",POWER(Upgrades!$U$15,G294),1)*IF(Upgrades!$T$16="Local Bubble",POWER(Upgrades!$U$16,H294),1)*IF(Upgrades!$T$17="Local Bubble",POWER(Upgrades!$U$17,I294),1)*IF(Upgrades!$T$18="Local Bubble",POWER(Upgrades!$U$18,J294),1)*IF(Upgrades!$T$19="Local Bubble",POWER(Upgrades!$U$19,K294),1)*IF(Upgrades!$T$20="Local Bubble",POWER(Upgrades!$U$20,L294),1)*IF(Upgrades!$T$21="Local Bubble",POWER(Upgrades!$U$21,M294),1))*POWER(Upgrades!$P$13,E294)*POWER(Upgrades!$P$14,F294)*POWER(Upgrades!$P$15,G294)*POWER(Upgrades!$P$16,H294)*POWER(Upgrades!$P$17,I294)*POWER(Upgrades!$P$18,J294)*POWER(Upgrades!$P$19,K294)*POWER(Upgrades!$P$20,L294)*POWER(Upgrades!$P$21,M294)*$F$6)*0.05)/AN294,0)</f>
        <v/>
      </c>
      <c r="BC294" s="32">
        <f>IFERROR((Upgrades!$H$17*(POWER(Upgrades!$P$13,E294)*POWER(Upgrades!$P$14,F294)*POWER(Upgrades!$P$15,G294)*POWER(Upgrades!$P$16,H294)*POWER(Upgrades!$P$17,I294)*POWER(Upgrades!$P$18,J294)*POWER(Upgrades!$P$19,K294)*POWER(Upgrades!$P$20,L294)*POWER(Upgrades!$P$21,M294))*(IF(Upgrades!$T$13="Brown Dwarf",POWER(Upgrades!$U$13,E294),1)*IF(Upgrades!$T$14="Brown Dwarf",POWER(Upgrades!$U$14,F294),1)*IF(Upgrades!$T$15="Brown Dwarf",POWER(Upgrades!$U$15,G294),1)*IF(Upgrades!$T$16="Brown Dwarf",POWER(Upgrades!$U$16,H294),1)*IF(Upgrades!$T$18="Brown Dwarf",POWER(Upgrades!$U$18,J294),1)*IF(Upgrades!$T$19="Brown Dwarf",POWER(Upgrades!$U$19,K294),1)*IF(Upgrades!$T$20="Brown Dwarf",POWER(Upgrades!$U$20,L294),1)*IF(Upgrades!$T$21="Brown Dwarf",POWER(Upgrades!$U$21,M294),1))*$F$6+(((IF(H294=0,0,(Upgrades!$M$16+H294*Upgrades!$N$16)*POWER(Upgrades!$O$16,H294)))*(IF(Upgrades!$T$13="Roche Lobe Overflow",POWER(Upgrades!$U$13,E294),1)*IF(Upgrades!$T$14="Roche Lobe Overflow",POWER(Upgrades!$U$14,F294),1)*IF(Upgrades!$T$15="Roche Lobe Overflow",POWER(Upgrades!$U$15,G294),1)*IF(Upgrades!$T$17="Roche Lobe Overflow",POWER(Upgrades!$U$17,I294),1)*IF(Upgrades!$T$18="Roche Lobe Overflow",POWER(Upgrades!$U$18,J294),1)*IF(Upgrades!$T$19="Roche Lobe Overflow",POWER(Upgrades!$U$19,K294),1)*IF(Upgrades!$T$20="Roche Lobe Overflow",POWER(Upgrades!$U$20,L294),1)*IF(Upgrades!$T$21="Roche Lobe Overflow",POWER(Upgrades!$U$21,M294),1))*POWER(Upgrades!$R$13,E294)*POWER(Upgrades!$R$14,F294)*POWER(Upgrades!$R$15,G294)*POWER(Upgrades!$R$16,H294)*POWER(Upgrades!$R$17,I294)*POWER(Upgrades!$R$18,J294)*POWER(Upgrades!$R$19,K294)*POWER(Upgrades!$R$20,L294)*POWER(Upgrades!$R$21,M294)*$H$6)*O294)*0.10)/AO294,0)</f>
        <v/>
      </c>
      <c r="BD294" s="32">
        <f>MAX(IF(J294&gt;0,0,IFERROR(0.5*((IF(G294=0,0,(Upgrades!$J$15+G294*Upgrades!$K$15)*POWER(Upgrades!$L$15,G294)))*(IF(Upgrades!$T$13="Microlensing",POWER(Upgrades!$U$13,E294),1)*IF(Upgrades!$T$14="Microlensing",POWER(Upgrades!$U$14,F294),1)*IF(Upgrades!$T$16="Microlensing",POWER(Upgrades!$U$16,H294),1)*IF(Upgrades!$T$17="Microlensing",POWER(Upgrades!$U$17,I294),1)*IF(Upgrades!$T$18="Microlensing",POWER(Upgrades!$U$18,J294),1)*IF(Upgrades!$T$19="Microlensing",POWER(Upgrades!$U$19,K294),1)*IF(Upgrades!$T$20="Microlensing",POWER(Upgrades!$U$20,L294),1)*IF(Upgrades!$T$21="Microlensing",POWER(Upgrades!$U$21,M294),1))*(POWER(Upgrades!$Q$13,E294)*POWER(Upgrades!$Q$14,F294)*POWER(Upgrades!$Q$15,G294)*POWER(Upgrades!$Q$16,H294)*POWER(Upgrades!$Q$17,I294)*POWER(Upgrades!$Q$18,J294)*POWER(Upgrades!$Q$19,K294)*POWER(Upgrades!$Q$20,L294)*POWER(Upgrades!$Q$21,M294))*$G$6*(Parameters!$B$10/60*Parameters!$B$11+Q294))/Upgrades!$C$18,0)),IF(K294&gt;0,0,IFERROR(0.30*P294/Upgrades!$C$19,0)),IF(L294&gt;0,0,IFERROR(0.0001/Upgrades!$C$20,0)),IF(M294&gt;0,0,IFERROR((6.0*(POWER(Upgrades!$P$13,E294)*POWER(Upgrades!$P$14,F294)*POWER(Upgrades!$P$15,G294)*POWER(Upgrades!$P$16,H294)*POWER(Upgrades!$P$17,I294)*POWER(Upgrades!$P$18,J294)*POWER(Upgrades!$P$19,K294)*POWER(Upgrades!$P$20,L294)*POWER(Upgrades!$P$21,M294))*$F$6+0.20*O294*(Parameters!$B$10/60*Parameters!$B$11+Q294))/Upgrades!$C$21,0)),IF(AND(ISNUMBER(AK294),AK294&gt;(C294+T294)),AY294,0),IF(AND(ISNUMBER(AL294),AL294&gt;(C294+T294)),AZ294,0),IF(AND(ISNUMBER(AM294),AM294&gt;(C294+T294)),BA294,0),IF(AND(ISNUMBER(AN294),AN294&gt;(C294+T294)),BB294,0),IF(AND(ISNUMBER(AO294),AO294&gt;(C294+T294)),BC294,0))</f>
        <v/>
      </c>
      <c r="BE294" s="29">
        <f>IF(AT294=1,"transition",IF(MIN(IF(AND(J294=0,ISNUMBER(AP294),AP294&lt;=(C294+T294)),AP294,9E15),IF(AND(K294=0,ISNUMBER(AQ294),AQ294&lt;=(C294+T294)),AQ294,9E15),IF(AND(L294=0,ISNUMBER(AR294),AR294&lt;=(C294+T294)),AR294,9E15),IF(AND(M294=0,ISNUMBER(AS294),AS294&lt;=(C294+T294)),AS294,9E15))&lt;9E15,IF(AND(AND(J294=0,ISNUMBER(AP294),AP294&lt;=(C294+T294)),AP294=MIN(IF(AND(J294=0,ISNUMBER(AP294),AP294&lt;=(C294+T294)),AP294,9E15),IF(AND(K294=0,ISNUMBER(AQ294),AQ294&lt;=(C294+T294)),AQ294,9E15),IF(AND(L294=0,ISNUMBER(AR294),AR294&lt;=(C294+T294)),AR294,9E15),IF(AND(M294=0,ISNUMBER(AS294),AS294&lt;=(C294+T294)),AS294,9E15))),"BiP",IF(AND(AND(K294=0,ISNUMBER(AQ294),AQ294&lt;=(C294+T294)),AQ294=MIN(IF(AND(J294=0,ISNUMBER(AP294),AP294&lt;=(C294+T294)),AP294,9E15),IF(AND(K294=0,ISNUMBER(AQ294),AQ294&lt;=(C294+T294)),AQ294,9E15),IF(AND(L294=0,ISNUMBER(AR294),AR294&lt;=(C294+T294)),AR294,9E15),IF(AND(M294=0,ISNUMBER(AS294),AS294&lt;=(C294+T294)),AS294,9E15))),"PV",IF(AND(AND(L294=0,ISNUMBER(AR294),AR294&lt;=(C294+T294)),AR294=MIN(IF(AND(J294=0,ISNUMBER(AP294),AP294&lt;=(C294+T294)),AP294,9E15),IF(AND(K294=0,ISNUMBER(AQ294),AQ294&lt;=(C294+T294)),AQ294,9E15),IF(AND(L294=0,ISNUMBER(AR294),AR294&lt;=(C294+T294)),AR294,9E15),IF(AND(M294=0,ISNUMBER(AS294),AS294&lt;=(C294+T294)),AS294,9E15))),"OC","MG"))),IF(AX294=TRUE,"",IF(MAX(IF(AND(NOT(AND(AU294=1,AT294&lt;&gt;1)),ISNUMBER(AK294),AK294&lt;=(C294+T294)),AY294,0),IF(AND(NOT(AND(AU294=1,AT294&lt;&gt;1)),ISNUMBER(AL294),AL294&lt;=(C294+T294)),AZ294,0),IF(AND(NOT(AND(AU294=1,AT294&lt;&gt;1)),ISNUMBER(AM294),AM294&lt;=(C294+T294)),BA294,0),IF(AND(NOT(AND(AU294=1,AT294&lt;&gt;1)),ISNUMBER(AN294),AN294&lt;=(C294+T294)),BB294,0),IF(AND(ISNUMBER(AO294),AO294&lt;=(C294+T294)),BC294,0))&lt;=0,"",IF(AND(IF(AND(NOT(AND(AU294=1,AT294&lt;&gt;1)),ISNUMBER(AK294),AK294&lt;=(C294+T294)),AY294,0)&gt;0,IF(AND(NOT(AND(AU294=1,AT294&lt;&gt;1)),ISNUMBER(AK294),AK294&lt;=(C294+T294)),AY294,0)=MAX(IF(AND(NOT(AND(AU294=1,AT294&lt;&gt;1)),ISNUMBER(AK294),AK294&lt;=(C294+T294)),AY294,0),IF(AND(NOT(AND(AU294=1,AT294&lt;&gt;1)),ISNUMBER(AL294),AL294&lt;=(C294+T294)),AZ294,0),IF(AND(NOT(AND(AU294=1,AT294&lt;&gt;1)),ISNUMBER(AM294),AM294&lt;=(C294+T294)),BA294,0),IF(AND(NOT(AND(AU294=1,AT294&lt;&gt;1)),ISNUMBER(AN294),AN294&lt;=(C294+T294)),BB294,0),IF(AND(ISNUMBER(AO294),AO294&lt;=(C294+T294)),BC294,0))),"SK",IF(AND(IF(AND(NOT(AND(AU294=1,AT294&lt;&gt;1)),ISNUMBER(AL294),AL294&lt;=(C294+T294)),AZ294,0)&gt;0,IF(AND(NOT(AND(AU294=1,AT294&lt;&gt;1)),ISNUMBER(AL294),AL294&lt;=(C294+T294)),AZ294,0)=MAX(IF(AND(NOT(AND(AU294=1,AT294&lt;&gt;1)),ISNUMBER(AK294),AK294&lt;=(C294+T294)),AY294,0),IF(AND(NOT(AND(AU294=1,AT294&lt;&gt;1)),ISNUMBER(AL294),AL294&lt;=(C294+T294)),AZ294,0),IF(AND(NOT(AND(AU294=1,AT294&lt;&gt;1)),ISNUMBER(AM294),AM294&lt;=(C294+T294)),BA294,0),IF(AND(NOT(AND(AU294=1,AT294&lt;&gt;1)),ISNUMBER(AN294),AN294&lt;=(C294+T294)),BB294,0),IF(AND(ISNUMBER(AO294),AO294&lt;=(C294+T294)),BC294,0))),"LB",IF(AND(IF(AND(NOT(AND(AU294=1,AT294&lt;&gt;1)),ISNUMBER(AM294),AM294&lt;=(C294+T294)),BA294,0)&gt;0,IF(AND(NOT(AND(AU294=1,AT294&lt;&gt;1)),ISNUMBER(AM294),AM294&lt;=(C294+T294)),BA294,0)=MAX(IF(AND(NOT(AND(AU294=1,AT294&lt;&gt;1)),ISNUMBER(AK294),AK294&lt;=(C294+T294)),AY294,0),IF(AND(NOT(AND(AU294=1,AT294&lt;&gt;1)),ISNUMBER(AL294),AL294&lt;=(C294+T294)),AZ294,0),IF(AND(NOT(AND(AU294=1,AT294&lt;&gt;1)),ISNUMBER(AM294),AM294&lt;=(C294+T294)),BA294,0),IF(AND(NOT(AND(AU294=1,AT294&lt;&gt;1)),ISNUMBER(AN294),AN294&lt;=(C294+T294)),BB294,0),IF(AND(ISNUMBER(AO294),AO294&lt;=(C294+T294)),BC294,0))),"ML",IF(AND(IF(AND(NOT(AND(AU294=1,AT294&lt;&gt;1)),ISNUMBER(AN294),AN294&lt;=(C294+T294)),BB294,0)&gt;0,IF(AND(NOT(AND(AU294=1,AT294&lt;&gt;1)),ISNUMBER(AN294),AN294&lt;=(C294+T294)),BB294,0)=MAX(IF(AND(NOT(AND(AU294=1,AT294&lt;&gt;1)),ISNUMBER(AK294),AK294&lt;=(C294+T294)),AY294,0),IF(AND(NOT(AND(AU294=1,AT294&lt;&gt;1)),ISNUMBER(AL294),AL294&lt;=(C294+T294)),AZ294,0),IF(AND(NOT(AND(AU294=1,AT294&lt;&gt;1)),ISNUMBER(AM294),AM294&lt;=(C294+T294)),BA294,0),IF(AND(NOT(AND(AU294=1,AT294&lt;&gt;1)),ISNUMBER(AN294),AN294&lt;=(C294+T294)),BB294,0),IF(AND(ISNUMBER(AO294),AO294&lt;=(C294+T294)),BC294,0))),"RLO","BD"))))))))</f>
        <v/>
      </c>
    </row>
    <row r="295">
      <c r="A295" s="26" t="n">
        <v>284</v>
      </c>
      <c r="B295" s="27">
        <f>A295*10/60</f>
        <v/>
      </c>
      <c r="C295" s="22">
        <f>X294</f>
        <v/>
      </c>
      <c r="D295" s="27">
        <f>D294+W294</f>
        <v/>
      </c>
      <c r="E295" s="26">
        <f>E294+IF(U294="SK",1,0)</f>
        <v/>
      </c>
      <c r="F295" s="26">
        <f>F294+IF(U294="LB",1,0)</f>
        <v/>
      </c>
      <c r="G295" s="26">
        <f>G294+IF(U294="ML",1,0)</f>
        <v/>
      </c>
      <c r="H295" s="26">
        <f>H294+IF(U294="RLO",1,0)</f>
        <v/>
      </c>
      <c r="I295" s="26">
        <f>I294+IF(U294="BD",1,0)</f>
        <v/>
      </c>
      <c r="J295" s="26">
        <f>MAX(J294,IF(U294="BiP",1,0))</f>
        <v/>
      </c>
      <c r="K295" s="26">
        <f>MAX(K294,IF(U294="PV",1,0))</f>
        <v/>
      </c>
      <c r="L295" s="26">
        <f>MAX(L294,IF(U294="OC",1,0))</f>
        <v/>
      </c>
      <c r="M295" s="26">
        <f>MAX(M294,IF(U294="MG",1,0))</f>
        <v/>
      </c>
      <c r="N295" s="26">
        <f>MAX(N294,IF(U294="transition",1,0))</f>
        <v/>
      </c>
      <c r="O295" s="28">
        <f>(Parameters!$B$9+(IF(E295=0,0,(Upgrades!$J$13+E295*Upgrades!$K$13)*POWER(Upgrades!$L$13,E295)))*(IF(Upgrades!$T$14="Stellar Kinematics",POWER(Upgrades!$U$14,F295),1)*IF(Upgrades!$T$15="Stellar Kinematics",POWER(Upgrades!$U$15,G295),1)*IF(Upgrades!$T$16="Stellar Kinematics",POWER(Upgrades!$U$16,H295),1)*IF(Upgrades!$T$17="Stellar Kinematics",POWER(Upgrades!$U$17,I295),1)*IF(Upgrades!$T$18="Stellar Kinematics",POWER(Upgrades!$U$18,J295),1)*IF(Upgrades!$T$19="Stellar Kinematics",POWER(Upgrades!$U$19,K295),1)*IF(Upgrades!$T$20="Stellar Kinematics",POWER(Upgrades!$U$20,L295),1)*IF(Upgrades!$T$21="Stellar Kinematics",POWER(Upgrades!$U$21,M295),1))+(IF(F295=0,0,(Upgrades!$J$14+F295*Upgrades!$K$14)*POWER(Upgrades!$L$14,F295)))*(IF(Upgrades!$T$13="Local Bubble",POWER(Upgrades!$U$13,E295),1)*IF(Upgrades!$T$15="Local Bubble",POWER(Upgrades!$U$15,G295),1)*IF(Upgrades!$T$16="Local Bubble",POWER(Upgrades!$U$16,H295),1)*IF(Upgrades!$T$17="Local Bubble",POWER(Upgrades!$U$17,I295),1)*IF(Upgrades!$T$18="Local Bubble",POWER(Upgrades!$U$18,J295),1)*IF(Upgrades!$T$19="Local Bubble",POWER(Upgrades!$U$19,K295),1)*IF(Upgrades!$T$20="Local Bubble",POWER(Upgrades!$U$20,L295),1)*IF(Upgrades!$T$21="Local Bubble",POWER(Upgrades!$U$21,M295),1))+(IF(G295=0,0,(Upgrades!$J$15+G295*Upgrades!$K$15)*POWER(Upgrades!$L$15,G295)))*(IF(Upgrades!$T$13="Microlensing",POWER(Upgrades!$U$13,E295),1)*IF(Upgrades!$T$14="Microlensing",POWER(Upgrades!$U$14,F295),1)*IF(Upgrades!$T$16="Microlensing",POWER(Upgrades!$U$16,H295),1)*IF(Upgrades!$T$17="Microlensing",POWER(Upgrades!$U$17,I295),1)*IF(Upgrades!$T$18="Microlensing",POWER(Upgrades!$U$18,J295),1)*IF(Upgrades!$T$19="Microlensing",POWER(Upgrades!$U$19,K295),1)*IF(Upgrades!$T$20="Microlensing",POWER(Upgrades!$U$20,L295),1)*IF(Upgrades!$T$21="Microlensing",POWER(Upgrades!$U$21,M295),1))+(IF(H295=0,0,(Upgrades!$J$16+H295*Upgrades!$K$16)*POWER(Upgrades!$L$16,H295)))*(IF(Upgrades!$T$13="Roche Lobe Overflow",POWER(Upgrades!$U$13,E295),1)*IF(Upgrades!$T$14="Roche Lobe Overflow",POWER(Upgrades!$U$14,F295),1)*IF(Upgrades!$T$15="Roche Lobe Overflow",POWER(Upgrades!$U$15,G295),1)*IF(Upgrades!$T$17="Roche Lobe Overflow",POWER(Upgrades!$U$17,I295),1)*IF(Upgrades!$T$18="Roche Lobe Overflow",POWER(Upgrades!$U$18,J295),1)*IF(Upgrades!$T$19="Roche Lobe Overflow",POWER(Upgrades!$U$19,K295),1)*IF(Upgrades!$T$20="Roche Lobe Overflow",POWER(Upgrades!$U$20,L295),1)*IF(Upgrades!$T$21="Roche Lobe Overflow",POWER(Upgrades!$U$21,M295),1))+(IF(I295=0,0,(Upgrades!$J$17+I295*Upgrades!$K$17)*POWER(Upgrades!$L$17,I295)))*(IF(Upgrades!$T$13="Brown Dwarf",POWER(Upgrades!$U$13,E295),1)*IF(Upgrades!$T$14="Brown Dwarf",POWER(Upgrades!$U$14,F295),1)*IF(Upgrades!$T$15="Brown Dwarf",POWER(Upgrades!$U$15,G295),1)*IF(Upgrades!$T$16="Brown Dwarf",POWER(Upgrades!$U$16,H295),1)*IF(Upgrades!$T$18="Brown Dwarf",POWER(Upgrades!$U$18,J295),1)*IF(Upgrades!$T$19="Brown Dwarf",POWER(Upgrades!$U$19,K295),1)*IF(Upgrades!$T$20="Brown Dwarf",POWER(Upgrades!$U$20,L295),1)*IF(Upgrades!$T$21="Brown Dwarf",POWER(Upgrades!$U$21,M295),1))+(IF(J295=0,0,(Upgrades!$J$18+J295*Upgrades!$K$18)*POWER(Upgrades!$L$18,J295)))*(IF(Upgrades!$T$13="Binary Partner",POWER(Upgrades!$U$13,E295),1)*IF(Upgrades!$T$14="Binary Partner",POWER(Upgrades!$U$14,F295),1)*IF(Upgrades!$T$15="Binary Partner",POWER(Upgrades!$U$15,G295),1)*IF(Upgrades!$T$16="Binary Partner",POWER(Upgrades!$U$16,H295),1)*IF(Upgrades!$T$17="Binary Partner",POWER(Upgrades!$U$17,I295),1)*IF(Upgrades!$T$19="Binary Partner",POWER(Upgrades!$U$19,K295),1)*IF(Upgrades!$T$20="Binary Partner",POWER(Upgrades!$U$20,L295),1)*IF(Upgrades!$T$21="Binary Partner",POWER(Upgrades!$U$21,M295),1))+(IF(K295=0,0,(Upgrades!$J$19+K295*Upgrades!$K$19)*POWER(Upgrades!$L$19,K295)))*(IF(Upgrades!$T$13="Peculiar Velocity",POWER(Upgrades!$U$13,E295),1)*IF(Upgrades!$T$14="Peculiar Velocity",POWER(Upgrades!$U$14,F295),1)*IF(Upgrades!$T$15="Peculiar Velocity",POWER(Upgrades!$U$15,G295),1)*IF(Upgrades!$T$16="Peculiar Velocity",POWER(Upgrades!$U$16,H295),1)*IF(Upgrades!$T$17="Peculiar Velocity",POWER(Upgrades!$U$17,I295),1)*IF(Upgrades!$T$18="Peculiar Velocity",POWER(Upgrades!$U$18,J295),1)*IF(Upgrades!$T$20="Peculiar Velocity",POWER(Upgrades!$U$20,L295),1)*IF(Upgrades!$T$21="Peculiar Velocity",POWER(Upgrades!$U$21,M295),1))+(IF(L295=0,0,(Upgrades!$J$20+L295*Upgrades!$K$20)*POWER(Upgrades!$L$20,L295)))*(IF(Upgrades!$T$13="Open Cluster",POWER(Upgrades!$U$13,E295),1)*IF(Upgrades!$T$14="Open Cluster",POWER(Upgrades!$U$14,F295),1)*IF(Upgrades!$T$15="Open Cluster",POWER(Upgrades!$U$15,G295),1)*IF(Upgrades!$T$16="Open Cluster",POWER(Upgrades!$U$16,H295),1)*IF(Upgrades!$T$17="Open Cluster",POWER(Upgrades!$U$17,I295),1)*IF(Upgrades!$T$18="Open Cluster",POWER(Upgrades!$U$18,J295),1)*IF(Upgrades!$T$19="Open Cluster",POWER(Upgrades!$U$19,K295),1)*IF(Upgrades!$T$21="Open Cluster",POWER(Upgrades!$U$21,M295),1))+(IF(M295=0,0,(Upgrades!$J$21+M295*Upgrades!$K$21)*POWER(Upgrades!$L$21,M295)))*(IF(Upgrades!$T$13="Moving Group",POWER(Upgrades!$U$13,E295),1)*IF(Upgrades!$T$14="Moving Group",POWER(Upgrades!$U$14,F295),1)*IF(Upgrades!$T$15="Moving Group",POWER(Upgrades!$U$15,G295),1)*IF(Upgrades!$T$16="Moving Group",POWER(Upgrades!$U$16,H295),1)*IF(Upgrades!$T$17="Moving Group",POWER(Upgrades!$U$17,I295),1)*IF(Upgrades!$T$18="Moving Group",POWER(Upgrades!$U$18,J295),1)*IF(Upgrades!$T$19="Moving Group",POWER(Upgrades!$U$19,K295),1)*IF(Upgrades!$T$20="Moving Group",POWER(Upgrades!$U$20,L295),1)))*POWER(Upgrades!$Q$13,E295)*POWER(Upgrades!$Q$14,F295)*POWER(Upgrades!$Q$15,G295)*POWER(Upgrades!$Q$16,H295)*POWER(Upgrades!$Q$17,I295)*POWER(Upgrades!$Q$18,J295)*POWER(Upgrades!$Q$19,K295)*POWER(Upgrades!$Q$20,L295)*POWER(Upgrades!$Q$21,M295)*$G$6+$D$6</f>
        <v/>
      </c>
      <c r="P295" s="28">
        <f>((IF(E295=0,0,(Upgrades!$G$13+E295*Upgrades!$H$13)*POWER(Upgrades!$I$13,E295)))*(IF(Upgrades!$T$14="Stellar Kinematics",POWER(Upgrades!$U$14,F295),1)*IF(Upgrades!$T$15="Stellar Kinematics",POWER(Upgrades!$U$15,G295),1)*IF(Upgrades!$T$16="Stellar Kinematics",POWER(Upgrades!$U$16,H295),1)*IF(Upgrades!$T$17="Stellar Kinematics",POWER(Upgrades!$U$17,I295),1)*IF(Upgrades!$T$18="Stellar Kinematics",POWER(Upgrades!$U$18,J295),1)*IF(Upgrades!$T$19="Stellar Kinematics",POWER(Upgrades!$U$19,K295),1)*IF(Upgrades!$T$20="Stellar Kinematics",POWER(Upgrades!$U$20,L295),1)*IF(Upgrades!$T$21="Stellar Kinematics",POWER(Upgrades!$U$21,M295),1))+(IF(F295=0,0,(Upgrades!$G$14+F295*Upgrades!$H$14)*POWER(Upgrades!$I$14,F295)))*(IF(Upgrades!$T$13="Local Bubble",POWER(Upgrades!$U$13,E295),1)*IF(Upgrades!$T$15="Local Bubble",POWER(Upgrades!$U$15,G295),1)*IF(Upgrades!$T$16="Local Bubble",POWER(Upgrades!$U$16,H295),1)*IF(Upgrades!$T$17="Local Bubble",POWER(Upgrades!$U$17,I295),1)*IF(Upgrades!$T$18="Local Bubble",POWER(Upgrades!$U$18,J295),1)*IF(Upgrades!$T$19="Local Bubble",POWER(Upgrades!$U$19,K295),1)*IF(Upgrades!$T$20="Local Bubble",POWER(Upgrades!$U$20,L295),1)*IF(Upgrades!$T$21="Local Bubble",POWER(Upgrades!$U$21,M295),1))+(IF(G295=0,0,(Upgrades!$G$15+G295*Upgrades!$H$15)*POWER(Upgrades!$I$15,G295)))*(IF(Upgrades!$T$13="Microlensing",POWER(Upgrades!$U$13,E295),1)*IF(Upgrades!$T$14="Microlensing",POWER(Upgrades!$U$14,F295),1)*IF(Upgrades!$T$16="Microlensing",POWER(Upgrades!$U$16,H295),1)*IF(Upgrades!$T$17="Microlensing",POWER(Upgrades!$U$17,I295),1)*IF(Upgrades!$T$18="Microlensing",POWER(Upgrades!$U$18,J295),1)*IF(Upgrades!$T$19="Microlensing",POWER(Upgrades!$U$19,K295),1)*IF(Upgrades!$T$20="Microlensing",POWER(Upgrades!$U$20,L295),1)*IF(Upgrades!$T$21="Microlensing",POWER(Upgrades!$U$21,M295),1))+(IF(H295=0,0,(Upgrades!$G$16+H295*Upgrades!$H$16)*POWER(Upgrades!$I$16,H295)))*(IF(Upgrades!$T$13="Roche Lobe Overflow",POWER(Upgrades!$U$13,E295),1)*IF(Upgrades!$T$14="Roche Lobe Overflow",POWER(Upgrades!$U$14,F295),1)*IF(Upgrades!$T$15="Roche Lobe Overflow",POWER(Upgrades!$U$15,G295),1)*IF(Upgrades!$T$17="Roche Lobe Overflow",POWER(Upgrades!$U$17,I295),1)*IF(Upgrades!$T$18="Roche Lobe Overflow",POWER(Upgrades!$U$18,J295),1)*IF(Upgrades!$T$19="Roche Lobe Overflow",POWER(Upgrades!$U$19,K295),1)*IF(Upgrades!$T$20="Roche Lobe Overflow",POWER(Upgrades!$U$20,L295),1)*IF(Upgrades!$T$21="Roche Lobe Overflow",POWER(Upgrades!$U$21,M295),1))+(IF(I295=0,0,(Upgrades!$G$17+I295*Upgrades!$H$17)*POWER(Upgrades!$I$17,I295)))*(IF(Upgrades!$T$13="Brown Dwarf",POWER(Upgrades!$U$13,E295),1)*IF(Upgrades!$T$14="Brown Dwarf",POWER(Upgrades!$U$14,F295),1)*IF(Upgrades!$T$15="Brown Dwarf",POWER(Upgrades!$U$15,G295),1)*IF(Upgrades!$T$16="Brown Dwarf",POWER(Upgrades!$U$16,H295),1)*IF(Upgrades!$T$18="Brown Dwarf",POWER(Upgrades!$U$18,J295),1)*IF(Upgrades!$T$19="Brown Dwarf",POWER(Upgrades!$U$19,K295),1)*IF(Upgrades!$T$20="Brown Dwarf",POWER(Upgrades!$U$20,L295),1)*IF(Upgrades!$T$21="Brown Dwarf",POWER(Upgrades!$U$21,M295),1))+(IF(J295=0,0,(Upgrades!$G$18+J295*Upgrades!$H$18)*POWER(Upgrades!$I$18,J295)))*(IF(Upgrades!$T$13="Binary Partner",POWER(Upgrades!$U$13,E295),1)*IF(Upgrades!$T$14="Binary Partner",POWER(Upgrades!$U$14,F295),1)*IF(Upgrades!$T$15="Binary Partner",POWER(Upgrades!$U$15,G295),1)*IF(Upgrades!$T$16="Binary Partner",POWER(Upgrades!$U$16,H295),1)*IF(Upgrades!$T$17="Binary Partner",POWER(Upgrades!$U$17,I295),1)*IF(Upgrades!$T$19="Binary Partner",POWER(Upgrades!$U$19,K295),1)*IF(Upgrades!$T$20="Binary Partner",POWER(Upgrades!$U$20,L295),1)*IF(Upgrades!$T$21="Binary Partner",POWER(Upgrades!$U$21,M295),1))+(IF(K295=0,0,(Upgrades!$G$19+K295*Upgrades!$H$19)*POWER(Upgrades!$I$19,K295)))*(IF(Upgrades!$T$13="Peculiar Velocity",POWER(Upgrades!$U$13,E295),1)*IF(Upgrades!$T$14="Peculiar Velocity",POWER(Upgrades!$U$14,F295),1)*IF(Upgrades!$T$15="Peculiar Velocity",POWER(Upgrades!$U$15,G295),1)*IF(Upgrades!$T$16="Peculiar Velocity",POWER(Upgrades!$U$16,H295),1)*IF(Upgrades!$T$17="Peculiar Velocity",POWER(Upgrades!$U$17,I295),1)*IF(Upgrades!$T$18="Peculiar Velocity",POWER(Upgrades!$U$18,J295),1)*IF(Upgrades!$T$20="Peculiar Velocity",POWER(Upgrades!$U$20,L295),1)*IF(Upgrades!$T$21="Peculiar Velocity",POWER(Upgrades!$U$21,M295),1))+(IF(L295=0,0,(Upgrades!$G$20+L295*Upgrades!$H$20)*POWER(Upgrades!$I$20,L295)))*(IF(Upgrades!$T$13="Open Cluster",POWER(Upgrades!$U$13,E295),1)*IF(Upgrades!$T$14="Open Cluster",POWER(Upgrades!$U$14,F295),1)*IF(Upgrades!$T$15="Open Cluster",POWER(Upgrades!$U$15,G295),1)*IF(Upgrades!$T$16="Open Cluster",POWER(Upgrades!$U$16,H295),1)*IF(Upgrades!$T$17="Open Cluster",POWER(Upgrades!$U$17,I295),1)*IF(Upgrades!$T$18="Open Cluster",POWER(Upgrades!$U$18,J295),1)*IF(Upgrades!$T$19="Open Cluster",POWER(Upgrades!$U$19,K295),1)*IF(Upgrades!$T$21="Open Cluster",POWER(Upgrades!$U$21,M295),1))+(IF(M295=0,0,(Upgrades!$G$21+M295*Upgrades!$H$21)*POWER(Upgrades!$I$21,M295)))*(IF(Upgrades!$T$13="Moving Group",POWER(Upgrades!$U$13,E295),1)*IF(Upgrades!$T$14="Moving Group",POWER(Upgrades!$U$14,F295),1)*IF(Upgrades!$T$15="Moving Group",POWER(Upgrades!$U$15,G295),1)*IF(Upgrades!$T$16="Moving Group",POWER(Upgrades!$U$16,H295),1)*IF(Upgrades!$T$17="Moving Group",POWER(Upgrades!$U$17,I295),1)*IF(Upgrades!$T$18="Moving Group",POWER(Upgrades!$U$18,J295),1)*IF(Upgrades!$T$19="Moving Group",POWER(Upgrades!$U$19,K295),1)*IF(Upgrades!$T$20="Moving Group",POWER(Upgrades!$U$20,L295),1)))*POWER(Upgrades!$P$13,E295)*POWER(Upgrades!$P$14,F295)*POWER(Upgrades!$P$15,G295)*POWER(Upgrades!$P$16,H295)*POWER(Upgrades!$P$17,I295)*POWER(Upgrades!$P$18,J295)*POWER(Upgrades!$P$19,K295)*POWER(Upgrades!$P$20,L295)*POWER(Upgrades!$P$21,M295)*$F$6+$C$6</f>
        <v/>
      </c>
      <c r="Q295" s="28">
        <f>((IF(E295=0,0,(Upgrades!$M$13+E295*Upgrades!$N$13)*POWER(Upgrades!$O$13,E295)))*(IF(Upgrades!$T$14="Stellar Kinematics",POWER(Upgrades!$U$14,F295),1)*IF(Upgrades!$T$15="Stellar Kinematics",POWER(Upgrades!$U$15,G295),1)*IF(Upgrades!$T$16="Stellar Kinematics",POWER(Upgrades!$U$16,H295),1)*IF(Upgrades!$T$17="Stellar Kinematics",POWER(Upgrades!$U$17,I295),1)*IF(Upgrades!$T$18="Stellar Kinematics",POWER(Upgrades!$U$18,J295),1)*IF(Upgrades!$T$19="Stellar Kinematics",POWER(Upgrades!$U$19,K295),1)*IF(Upgrades!$T$20="Stellar Kinematics",POWER(Upgrades!$U$20,L295),1)*IF(Upgrades!$T$21="Stellar Kinematics",POWER(Upgrades!$U$21,M295),1))+(IF(F295=0,0,(Upgrades!$M$14+F295*Upgrades!$N$14)*POWER(Upgrades!$O$14,F295)))*(IF(Upgrades!$T$13="Local Bubble",POWER(Upgrades!$U$13,E295),1)*IF(Upgrades!$T$15="Local Bubble",POWER(Upgrades!$U$15,G295),1)*IF(Upgrades!$T$16="Local Bubble",POWER(Upgrades!$U$16,H295),1)*IF(Upgrades!$T$17="Local Bubble",POWER(Upgrades!$U$17,I295),1)*IF(Upgrades!$T$18="Local Bubble",POWER(Upgrades!$U$18,J295),1)*IF(Upgrades!$T$19="Local Bubble",POWER(Upgrades!$U$19,K295),1)*IF(Upgrades!$T$20="Local Bubble",POWER(Upgrades!$U$20,L295),1)*IF(Upgrades!$T$21="Local Bubble",POWER(Upgrades!$U$21,M295),1))+(IF(G295=0,0,(Upgrades!$M$15+G295*Upgrades!$N$15)*POWER(Upgrades!$O$15,G295)))*(IF(Upgrades!$T$13="Microlensing",POWER(Upgrades!$U$13,E295),1)*IF(Upgrades!$T$14="Microlensing",POWER(Upgrades!$U$14,F295),1)*IF(Upgrades!$T$16="Microlensing",POWER(Upgrades!$U$16,H295),1)*IF(Upgrades!$T$17="Microlensing",POWER(Upgrades!$U$17,I295),1)*IF(Upgrades!$T$18="Microlensing",POWER(Upgrades!$U$18,J295),1)*IF(Upgrades!$T$19="Microlensing",POWER(Upgrades!$U$19,K295),1)*IF(Upgrades!$T$20="Microlensing",POWER(Upgrades!$U$20,L295),1)*IF(Upgrades!$T$21="Microlensing",POWER(Upgrades!$U$21,M295),1))+(IF(H295=0,0,(Upgrades!$M$16+H295*Upgrades!$N$16)*POWER(Upgrades!$O$16,H295)))*(IF(Upgrades!$T$13="Roche Lobe Overflow",POWER(Upgrades!$U$13,E295),1)*IF(Upgrades!$T$14="Roche Lobe Overflow",POWER(Upgrades!$U$14,F295),1)*IF(Upgrades!$T$15="Roche Lobe Overflow",POWER(Upgrades!$U$15,G295),1)*IF(Upgrades!$T$17="Roche Lobe Overflow",POWER(Upgrades!$U$17,I295),1)*IF(Upgrades!$T$18="Roche Lobe Overflow",POWER(Upgrades!$U$18,J295),1)*IF(Upgrades!$T$19="Roche Lobe Overflow",POWER(Upgrades!$U$19,K295),1)*IF(Upgrades!$T$20="Roche Lobe Overflow",POWER(Upgrades!$U$20,L295),1)*IF(Upgrades!$T$21="Roche Lobe Overflow",POWER(Upgrades!$U$21,M295),1))+(IF(I295=0,0,(Upgrades!$M$17+I295*Upgrades!$N$17)*POWER(Upgrades!$O$17,I295)))*(IF(Upgrades!$T$13="Brown Dwarf",POWER(Upgrades!$U$13,E295),1)*IF(Upgrades!$T$14="Brown Dwarf",POWER(Upgrades!$U$14,F295),1)*IF(Upgrades!$T$15="Brown Dwarf",POWER(Upgrades!$U$15,G295),1)*IF(Upgrades!$T$16="Brown Dwarf",POWER(Upgrades!$U$16,H295),1)*IF(Upgrades!$T$18="Brown Dwarf",POWER(Upgrades!$U$18,J295),1)*IF(Upgrades!$T$19="Brown Dwarf",POWER(Upgrades!$U$19,K295),1)*IF(Upgrades!$T$20="Brown Dwarf",POWER(Upgrades!$U$20,L295),1)*IF(Upgrades!$T$21="Brown Dwarf",POWER(Upgrades!$U$21,M295),1))+(IF(J295=0,0,(Upgrades!$M$18+J295*Upgrades!$N$18)*POWER(Upgrades!$O$18,J295)))*(IF(Upgrades!$T$13="Binary Partner",POWER(Upgrades!$U$13,E295),1)*IF(Upgrades!$T$14="Binary Partner",POWER(Upgrades!$U$14,F295),1)*IF(Upgrades!$T$15="Binary Partner",POWER(Upgrades!$U$15,G295),1)*IF(Upgrades!$T$16="Binary Partner",POWER(Upgrades!$U$16,H295),1)*IF(Upgrades!$T$17="Binary Partner",POWER(Upgrades!$U$17,I295),1)*IF(Upgrades!$T$19="Binary Partner",POWER(Upgrades!$U$19,K295),1)*IF(Upgrades!$T$20="Binary Partner",POWER(Upgrades!$U$20,L295),1)*IF(Upgrades!$T$21="Binary Partner",POWER(Upgrades!$U$21,M295),1))+(IF(K295=0,0,(Upgrades!$M$19+K295*Upgrades!$N$19)*POWER(Upgrades!$O$19,K295)))*(IF(Upgrades!$T$13="Peculiar Velocity",POWER(Upgrades!$U$13,E295),1)*IF(Upgrades!$T$14="Peculiar Velocity",POWER(Upgrades!$U$14,F295),1)*IF(Upgrades!$T$15="Peculiar Velocity",POWER(Upgrades!$U$15,G295),1)*IF(Upgrades!$T$16="Peculiar Velocity",POWER(Upgrades!$U$16,H295),1)*IF(Upgrades!$T$17="Peculiar Velocity",POWER(Upgrades!$U$17,I295),1)*IF(Upgrades!$T$18="Peculiar Velocity",POWER(Upgrades!$U$18,J295),1)*IF(Upgrades!$T$20="Peculiar Velocity",POWER(Upgrades!$U$20,L295),1)*IF(Upgrades!$T$21="Peculiar Velocity",POWER(Upgrades!$U$21,M295),1))+(IF(L295=0,0,(Upgrades!$M$20+L295*Upgrades!$N$20)*POWER(Upgrades!$O$20,L295)))*(IF(Upgrades!$T$13="Open Cluster",POWER(Upgrades!$U$13,E295),1)*IF(Upgrades!$T$14="Open Cluster",POWER(Upgrades!$U$14,F295),1)*IF(Upgrades!$T$15="Open Cluster",POWER(Upgrades!$U$15,G295),1)*IF(Upgrades!$T$16="Open Cluster",POWER(Upgrades!$U$16,H295),1)*IF(Upgrades!$T$17="Open Cluster",POWER(Upgrades!$U$17,I295),1)*IF(Upgrades!$T$18="Open Cluster",POWER(Upgrades!$U$18,J295),1)*IF(Upgrades!$T$19="Open Cluster",POWER(Upgrades!$U$19,K295),1)*IF(Upgrades!$T$21="Open Cluster",POWER(Upgrades!$U$21,M295),1))+(IF(M295=0,0,(Upgrades!$M$21+M295*Upgrades!$N$21)*POWER(Upgrades!$O$21,M295)))*(IF(Upgrades!$T$13="Moving Group",POWER(Upgrades!$U$13,E295),1)*IF(Upgrades!$T$14="Moving Group",POWER(Upgrades!$U$14,F295),1)*IF(Upgrades!$T$15="Moving Group",POWER(Upgrades!$U$15,G295),1)*IF(Upgrades!$T$16="Moving Group",POWER(Upgrades!$U$16,H295),1)*IF(Upgrades!$T$17="Moving Group",POWER(Upgrades!$U$17,I295),1)*IF(Upgrades!$T$18="Moving Group",POWER(Upgrades!$U$18,J295),1)*IF(Upgrades!$T$19="Moving Group",POWER(Upgrades!$U$19,K295),1)*IF(Upgrades!$T$20="Moving Group",POWER(Upgrades!$U$20,L295),1)))*POWER(Upgrades!$R$13,E295)*POWER(Upgrades!$R$14,F295)*POWER(Upgrades!$R$15,G295)*POWER(Upgrades!$R$16,H295)*POWER(Upgrades!$R$17,I295)*POWER(Upgrades!$R$18,J295)*POWER(Upgrades!$R$19,K295)*POWER(Upgrades!$R$20,L295)*POWER(Upgrades!$R$21,M295)*$H$6+$E$6</f>
        <v/>
      </c>
      <c r="R295" s="27">
        <f>IF(N295=1,0,O295*Parameters!$B$10/60*Parameters!$B$11*10)</f>
        <v/>
      </c>
      <c r="S295" s="27">
        <f>IF(N295=1,0,Q295*O295*10)</f>
        <v/>
      </c>
      <c r="T295" s="27">
        <f>IF(N295=1,0,R295+S295+P295*10)</f>
        <v/>
      </c>
      <c r="U295" s="33">
        <f>BE295</f>
        <v/>
      </c>
      <c r="V295" s="22">
        <f>IF(U295="",0,IF(U295="transition",0,IF(U295="SK",AK295,IF(U295="LB",AL295,IF(U295="ML",AM295,IF(U295="RLO",AN295,IF(U295="BD",AO295,IF(U295="BiP",AP295,IF(U295="PV",AQ295,IF(U295="OC",AR295,IF(U295="MG",AS295,0))))))))))</f>
        <v/>
      </c>
      <c r="W295" s="27">
        <f>IF(U295="BiP",Upgrades!$F$18,IF(U295="PV",Upgrades!$F$19,IF(U295="OC",Upgrades!$F$20,IF(U295="MG",Upgrades!$F$21,IF(U295="transition",-Parameters!$B$18*Parameters!$B$19,0)))))</f>
        <v/>
      </c>
      <c r="X295" s="22">
        <f>C295+T295-V295</f>
        <v/>
      </c>
      <c r="Y295" s="30">
        <f>O295*Parameters!$B$10/60*Parameters!$B$11+Q295*O295+P295</f>
        <v/>
      </c>
      <c r="Z295" s="34">
        <f>IF(U295="transition","→ Tier 3 (Galactic Arm)",IF(U295="MG","Moving Group — pocket drifts together",IF(U295="OC","Open Cluster acquired",IF(U295="PV","Peculiar Velocity — passive multiplier active",IF(U295="BiP","Binary Partner — pair bond formed",IF(AND(AU295=1,N295=0,AT295&lt;&gt;1),"Cohesion ready (waiting on completionists)","")))))) </f>
        <v/>
      </c>
      <c r="AA295" s="27">
        <f>(IF(E295=0,0,(Upgrades!$G$13+E295*Upgrades!$H$13)*POWER(Upgrades!$I$13,E295)))*(IF(Upgrades!$T$14="Stellar Kinematics",POWER(Upgrades!$U$14,F295),1)*IF(Upgrades!$T$15="Stellar Kinematics",POWER(Upgrades!$U$15,G295),1)*IF(Upgrades!$T$16="Stellar Kinematics",POWER(Upgrades!$U$16,H295),1)*IF(Upgrades!$T$17="Stellar Kinematics",POWER(Upgrades!$U$17,I295),1)*IF(Upgrades!$T$18="Stellar Kinematics",POWER(Upgrades!$U$18,J295),1)*IF(Upgrades!$T$19="Stellar Kinematics",POWER(Upgrades!$U$19,K295),1)*IF(Upgrades!$T$20="Stellar Kinematics",POWER(Upgrades!$U$20,L295),1)*IF(Upgrades!$T$21="Stellar Kinematics",POWER(Upgrades!$U$21,M295),1))*POWER(Upgrades!$P$13,E295)*POWER(Upgrades!$P$14,F295)*POWER(Upgrades!$P$15,G295)*POWER(Upgrades!$P$16,H295)*POWER(Upgrades!$P$17,I295)*POWER(Upgrades!$P$18,J295)*POWER(Upgrades!$P$19,K295)*POWER(Upgrades!$P$20,L295)*POWER(Upgrades!$P$21,M295)*$F$6*60</f>
        <v/>
      </c>
      <c r="AB295" s="27">
        <f>(IF(F295=0,0,(Upgrades!$G$14+F295*Upgrades!$H$14)*POWER(Upgrades!$I$14,F295)))*(IF(Upgrades!$T$13="Local Bubble",POWER(Upgrades!$U$13,E295),1)*IF(Upgrades!$T$15="Local Bubble",POWER(Upgrades!$U$15,G295),1)*IF(Upgrades!$T$16="Local Bubble",POWER(Upgrades!$U$16,H295),1)*IF(Upgrades!$T$17="Local Bubble",POWER(Upgrades!$U$17,I295),1)*IF(Upgrades!$T$18="Local Bubble",POWER(Upgrades!$U$18,J295),1)*IF(Upgrades!$T$19="Local Bubble",POWER(Upgrades!$U$19,K295),1)*IF(Upgrades!$T$20="Local Bubble",POWER(Upgrades!$U$20,L295),1)*IF(Upgrades!$T$21="Local Bubble",POWER(Upgrades!$U$21,M295),1))*POWER(Upgrades!$P$13,E295)*POWER(Upgrades!$P$14,F295)*POWER(Upgrades!$P$15,G295)*POWER(Upgrades!$P$16,H295)*POWER(Upgrades!$P$17,I295)*POWER(Upgrades!$P$18,J295)*POWER(Upgrades!$P$19,K295)*POWER(Upgrades!$P$20,L295)*POWER(Upgrades!$P$21,M295)*$F$6*60</f>
        <v/>
      </c>
      <c r="AC295" s="27">
        <f>(IF(G295=0,0,(Upgrades!$J$15+G295*Upgrades!$K$15)*POWER(Upgrades!$L$15,G295)))*(IF(Upgrades!$T$13="Microlensing",POWER(Upgrades!$U$13,E295),1)*IF(Upgrades!$T$14="Microlensing",POWER(Upgrades!$U$14,F295),1)*IF(Upgrades!$T$16="Microlensing",POWER(Upgrades!$U$16,H295),1)*IF(Upgrades!$T$17="Microlensing",POWER(Upgrades!$U$17,I295),1)*IF(Upgrades!$T$18="Microlensing",POWER(Upgrades!$U$18,J295),1)*IF(Upgrades!$T$19="Microlensing",POWER(Upgrades!$U$19,K295),1)*IF(Upgrades!$T$20="Microlensing",POWER(Upgrades!$U$20,L295),1)*IF(Upgrades!$T$21="Microlensing",POWER(Upgrades!$U$21,M295),1))*POWER(Upgrades!$Q$13,E295)*POWER(Upgrades!$Q$14,F295)*POWER(Upgrades!$Q$15,G295)*POWER(Upgrades!$Q$16,H295)*POWER(Upgrades!$Q$17,I295)*POWER(Upgrades!$Q$18,J295)*POWER(Upgrades!$Q$19,K295)*POWER(Upgrades!$Q$20,L295)*POWER(Upgrades!$Q$21,M295)*$G$6*(Parameters!$B$10*Parameters!$B$11+Q295*60)</f>
        <v/>
      </c>
      <c r="AD295" s="27">
        <f>(IF(H295=0,0,(Upgrades!$M$16+H295*Upgrades!$N$16)*POWER(Upgrades!$O$16,H295)))*(IF(Upgrades!$T$13="Roche Lobe Overflow",POWER(Upgrades!$U$13,E295),1)*IF(Upgrades!$T$14="Roche Lobe Overflow",POWER(Upgrades!$U$14,F295),1)*IF(Upgrades!$T$15="Roche Lobe Overflow",POWER(Upgrades!$U$15,G295),1)*IF(Upgrades!$T$17="Roche Lobe Overflow",POWER(Upgrades!$U$17,I295),1)*IF(Upgrades!$T$18="Roche Lobe Overflow",POWER(Upgrades!$U$18,J295),1)*IF(Upgrades!$T$19="Roche Lobe Overflow",POWER(Upgrades!$U$19,K295),1)*IF(Upgrades!$T$20="Roche Lobe Overflow",POWER(Upgrades!$U$20,L295),1)*IF(Upgrades!$T$21="Roche Lobe Overflow",POWER(Upgrades!$U$21,M295),1))*POWER(Upgrades!$R$13,E295)*POWER(Upgrades!$R$14,F295)*POWER(Upgrades!$R$15,G295)*POWER(Upgrades!$R$16,H295)*POWER(Upgrades!$R$17,I295)*POWER(Upgrades!$R$18,J295)*POWER(Upgrades!$R$19,K295)*POWER(Upgrades!$R$20,L295)*POWER(Upgrades!$R$21,M295)*$H$6*O295*60</f>
        <v/>
      </c>
      <c r="AE295" s="27">
        <f>(IF(I295=0,0,(Upgrades!$G$17+I295*Upgrades!$H$17)*POWER(Upgrades!$I$17,I295)))*(IF(Upgrades!$T$13="Brown Dwarf",POWER(Upgrades!$U$13,E295),1)*IF(Upgrades!$T$14="Brown Dwarf",POWER(Upgrades!$U$14,F295),1)*IF(Upgrades!$T$15="Brown Dwarf",POWER(Upgrades!$U$15,G295),1)*IF(Upgrades!$T$16="Brown Dwarf",POWER(Upgrades!$U$16,H295),1)*IF(Upgrades!$T$18="Brown Dwarf",POWER(Upgrades!$U$18,J295),1)*IF(Upgrades!$T$19="Brown Dwarf",POWER(Upgrades!$U$19,K295),1)*IF(Upgrades!$T$20="Brown Dwarf",POWER(Upgrades!$U$20,L295),1)*IF(Upgrades!$T$21="Brown Dwarf",POWER(Upgrades!$U$21,M295),1))*POWER(Upgrades!$P$13,E295)*POWER(Upgrades!$P$14,F295)*POWER(Upgrades!$P$15,G295)*POWER(Upgrades!$P$16,H295)*POWER(Upgrades!$P$17,I295)*POWER(Upgrades!$P$18,J295)*POWER(Upgrades!$P$19,K295)*POWER(Upgrades!$P$20,L295)*POWER(Upgrades!$P$21,M295)*$F$6*60</f>
        <v/>
      </c>
      <c r="AF295" s="27" t="n">
        <v>0</v>
      </c>
      <c r="AG295" s="27" t="n">
        <v>0</v>
      </c>
      <c r="AH295" s="27" t="n">
        <v>0</v>
      </c>
      <c r="AI295" s="27">
        <f>(IF(M295=0,0,(Upgrades!$G$21+M295*Upgrades!$H$21)*POWER(Upgrades!$I$21,M295)))*(IF(Upgrades!$T$13="Moving Group",POWER(Upgrades!$U$13,E295),1)*IF(Upgrades!$T$14="Moving Group",POWER(Upgrades!$U$14,F295),1)*IF(Upgrades!$T$15="Moving Group",POWER(Upgrades!$U$15,G295),1)*IF(Upgrades!$T$16="Moving Group",POWER(Upgrades!$U$16,H295),1)*IF(Upgrades!$T$17="Moving Group",POWER(Upgrades!$U$17,I295),1)*IF(Upgrades!$T$18="Moving Group",POWER(Upgrades!$U$18,J295),1)*IF(Upgrades!$T$19="Moving Group",POWER(Upgrades!$U$19,K295),1)*IF(Upgrades!$T$20="Moving Group",POWER(Upgrades!$U$20,L295),1))*POWER(Upgrades!$P$13,E295)*POWER(Upgrades!$P$14,F295)*POWER(Upgrades!$P$15,G295)*POWER(Upgrades!$P$16,H295)*POWER(Upgrades!$P$17,I295)*POWER(Upgrades!$P$18,J295)*POWER(Upgrades!$P$19,K295)*POWER(Upgrades!$P$20,L295)*POWER(Upgrades!$P$21,M295)*$F$6*60</f>
        <v/>
      </c>
      <c r="AJ295" s="27">
        <f>$C$6*60</f>
        <v/>
      </c>
      <c r="AK295" s="22">
        <f>IF(E295&gt;=Upgrades!$E$13,"",Upgrades!$C$13*POWER(Upgrades!$D$13,E295))</f>
        <v/>
      </c>
      <c r="AL295" s="22">
        <f>IF(F295&gt;=Upgrades!$E$14,"",Upgrades!$C$14*POWER(Upgrades!$D$14,F295))</f>
        <v/>
      </c>
      <c r="AM295" s="22">
        <f>IF(G295&gt;=Upgrades!$E$15,"",Upgrades!$C$15*POWER(Upgrades!$D$15,G295))</f>
        <v/>
      </c>
      <c r="AN295" s="22">
        <f>IF(H295&gt;=Upgrades!$E$16,"",Upgrades!$C$16*POWER(Upgrades!$D$16,H295))</f>
        <v/>
      </c>
      <c r="AO295" s="22">
        <f>IF(I295&gt;=Upgrades!$E$17,"",Upgrades!$C$17*POWER(Upgrades!$D$17,I295))</f>
        <v/>
      </c>
      <c r="AP295" s="22">
        <f>IF(J295&gt;=Upgrades!$E$18,"",Upgrades!$C$18*POWER(Upgrades!$D$18,J295))</f>
        <v/>
      </c>
      <c r="AQ295" s="22">
        <f>IF(K295&gt;=Upgrades!$E$19,"",Upgrades!$C$19*POWER(Upgrades!$D$19,K295))</f>
        <v/>
      </c>
      <c r="AR295" s="22">
        <f>IF(L295&gt;=Upgrades!$E$20,"",Upgrades!$C$20*POWER(Upgrades!$D$20,L295))</f>
        <v/>
      </c>
      <c r="AS295" s="22">
        <f>IF(M295&gt;=Upgrades!$E$21,"",Upgrades!$C$21*POWER(Upgrades!$D$21,M295))</f>
        <v/>
      </c>
      <c r="AT295" s="26">
        <f>IF(AND(D295&gt;=Parameters!$B$18*Parameters!$B$19,(I295&gt;=Upgrades!$E$17)*(M295&gt;=Upgrades!$E$21)=1,N295=0),1,"")</f>
        <v/>
      </c>
      <c r="AU295" s="26">
        <f>IF(AND(D295&gt;=Parameters!$B$18*Parameters!$B$19,N295=0),1,"")</f>
        <v/>
      </c>
      <c r="AV295" s="22">
        <f>MIN(IF(ISNUMBER(AP295),AP295,9E15),IF(ISNUMBER(AQ295),AQ295,9E15),IF(ISNUMBER(AR295),AR295,9E15),IF(ISNUMBER(AS295),AS295,9E15))</f>
        <v/>
      </c>
      <c r="AW295" s="22">
        <f>MIN(IF(ISNUMBER(AK295),AK295,9E15),IF(ISNUMBER(AL295),AL295,9E15),IF(ISNUMBER(AM295),AM295,9E15),IF(ISNUMBER(AN295),AN295,9E15),IF(ISNUMBER(AO295),AO295,9E15))</f>
        <v/>
      </c>
      <c r="AX295" s="29">
        <f>IF(BD295&gt;Parameters!$B$21*(MAX(IF(AND(NOT(AND(AU295=1,AT295&lt;&gt;1)),ISNUMBER(AK295),AK295&lt;=(C295+T295)),AY295,0),IF(AND(NOT(AND(AU295=1,AT295&lt;&gt;1)),ISNUMBER(AL295),AL295&lt;=(C295+T295)),AZ295,0),IF(AND(NOT(AND(AU295=1,AT295&lt;&gt;1)),ISNUMBER(AM295),AM295&lt;=(C295+T295)),BA295,0),IF(AND(NOT(AND(AU295=1,AT295&lt;&gt;1)),ISNUMBER(AN295),AN295&lt;=(C295+T295)),BB295,0),IF(AND(ISNUMBER(AO295),AO295&lt;=(C295+T295)),BC295,0))),TRUE,FALSE)</f>
        <v/>
      </c>
      <c r="AY295" s="32">
        <f>IFERROR(Upgrades!$H$13*(POWER(Upgrades!$P$13,E295)*POWER(Upgrades!$P$14,F295)*POWER(Upgrades!$P$15,G295)*POWER(Upgrades!$P$16,H295)*POWER(Upgrades!$P$17,I295)*POWER(Upgrades!$P$18,J295)*POWER(Upgrades!$P$19,K295)*POWER(Upgrades!$P$20,L295)*POWER(Upgrades!$P$21,M295))*(IF(Upgrades!$T$14="Stellar Kinematics",POWER(Upgrades!$U$14,F295),1)*IF(Upgrades!$T$15="Stellar Kinematics",POWER(Upgrades!$U$15,G295),1)*IF(Upgrades!$T$16="Stellar Kinematics",POWER(Upgrades!$U$16,H295),1)*IF(Upgrades!$T$17="Stellar Kinematics",POWER(Upgrades!$U$17,I295),1)*IF(Upgrades!$T$18="Stellar Kinematics",POWER(Upgrades!$U$18,J295),1)*IF(Upgrades!$T$19="Stellar Kinematics",POWER(Upgrades!$U$19,K295),1)*IF(Upgrades!$T$20="Stellar Kinematics",POWER(Upgrades!$U$20,L295),1)*IF(Upgrades!$T$21="Stellar Kinematics",POWER(Upgrades!$U$21,M295),1))*$F$6/AK295,0)</f>
        <v/>
      </c>
      <c r="AZ295" s="32">
        <f>IFERROR(Upgrades!$H$14*(POWER(Upgrades!$P$13,E295)*POWER(Upgrades!$P$14,F295)*POWER(Upgrades!$P$15,G295)*POWER(Upgrades!$P$16,H295)*POWER(Upgrades!$P$17,I295)*POWER(Upgrades!$P$18,J295)*POWER(Upgrades!$P$19,K295)*POWER(Upgrades!$P$20,L295)*POWER(Upgrades!$P$21,M295))*(IF(Upgrades!$T$13="Local Bubble",POWER(Upgrades!$U$13,E295),1)*IF(Upgrades!$T$15="Local Bubble",POWER(Upgrades!$U$15,G295),1)*IF(Upgrades!$T$16="Local Bubble",POWER(Upgrades!$U$16,H295),1)*IF(Upgrades!$T$17="Local Bubble",POWER(Upgrades!$U$17,I295),1)*IF(Upgrades!$T$18="Local Bubble",POWER(Upgrades!$U$18,J295),1)*IF(Upgrades!$T$19="Local Bubble",POWER(Upgrades!$U$19,K295),1)*IF(Upgrades!$T$20="Local Bubble",POWER(Upgrades!$U$20,L295),1)*IF(Upgrades!$T$21="Local Bubble",POWER(Upgrades!$U$21,M295),1))*$F$6/AL295,0)</f>
        <v/>
      </c>
      <c r="BA295" s="32">
        <f>IFERROR(Upgrades!$K$15*(POWER(Upgrades!$Q$13,E295)*POWER(Upgrades!$Q$14,F295)*POWER(Upgrades!$Q$15,G295)*POWER(Upgrades!$Q$16,H295)*POWER(Upgrades!$Q$17,I295)*POWER(Upgrades!$Q$18,J295)*POWER(Upgrades!$Q$19,K295)*POWER(Upgrades!$Q$20,L295)*POWER(Upgrades!$Q$21,M295))*(IF(Upgrades!$T$13="Microlensing",POWER(Upgrades!$U$13,E295),1)*IF(Upgrades!$T$14="Microlensing",POWER(Upgrades!$U$14,F295),1)*IF(Upgrades!$T$16="Microlensing",POWER(Upgrades!$U$16,H295),1)*IF(Upgrades!$T$17="Microlensing",POWER(Upgrades!$U$17,I295),1)*IF(Upgrades!$T$18="Microlensing",POWER(Upgrades!$U$18,J295),1)*IF(Upgrades!$T$19="Microlensing",POWER(Upgrades!$U$19,K295),1)*IF(Upgrades!$T$20="Microlensing",POWER(Upgrades!$U$20,L295),1)*IF(Upgrades!$T$21="Microlensing",POWER(Upgrades!$U$21,M295),1))*$G$6*(Parameters!$B$10/60*Parameters!$B$11+Q295)/AM295,0)</f>
        <v/>
      </c>
      <c r="BB295" s="32">
        <f>IFERROR((Upgrades!$N$16*(POWER(Upgrades!$R$13,E295)*POWER(Upgrades!$R$14,F295)*POWER(Upgrades!$R$15,G295)*POWER(Upgrades!$R$16,H295)*POWER(Upgrades!$R$17,I295)*POWER(Upgrades!$R$18,J295)*POWER(Upgrades!$R$19,K295)*POWER(Upgrades!$R$20,L295)*POWER(Upgrades!$R$21,M295))*(IF(Upgrades!$T$13="Roche Lobe Overflow",POWER(Upgrades!$U$13,E295),1)*IF(Upgrades!$T$14="Roche Lobe Overflow",POWER(Upgrades!$U$14,F295),1)*IF(Upgrades!$T$15="Roche Lobe Overflow",POWER(Upgrades!$U$15,G295),1)*IF(Upgrades!$T$17="Roche Lobe Overflow",POWER(Upgrades!$U$17,I295),1)*IF(Upgrades!$T$18="Roche Lobe Overflow",POWER(Upgrades!$U$18,J295),1)*IF(Upgrades!$T$19="Roche Lobe Overflow",POWER(Upgrades!$U$19,K295),1)*IF(Upgrades!$T$20="Roche Lobe Overflow",POWER(Upgrades!$U$20,L295),1)*IF(Upgrades!$T$21="Roche Lobe Overflow",POWER(Upgrades!$U$21,M295),1))*$H$6*O295+((IF(F295=0,0,(Upgrades!$G$14+F295*Upgrades!$H$14)*POWER(Upgrades!$I$14,F295)))*(IF(Upgrades!$T$13="Local Bubble",POWER(Upgrades!$U$13,E295),1)*IF(Upgrades!$T$15="Local Bubble",POWER(Upgrades!$U$15,G295),1)*IF(Upgrades!$T$16="Local Bubble",POWER(Upgrades!$U$16,H295),1)*IF(Upgrades!$T$17="Local Bubble",POWER(Upgrades!$U$17,I295),1)*IF(Upgrades!$T$18="Local Bubble",POWER(Upgrades!$U$18,J295),1)*IF(Upgrades!$T$19="Local Bubble",POWER(Upgrades!$U$19,K295),1)*IF(Upgrades!$T$20="Local Bubble",POWER(Upgrades!$U$20,L295),1)*IF(Upgrades!$T$21="Local Bubble",POWER(Upgrades!$U$21,M295),1))*POWER(Upgrades!$P$13,E295)*POWER(Upgrades!$P$14,F295)*POWER(Upgrades!$P$15,G295)*POWER(Upgrades!$P$16,H295)*POWER(Upgrades!$P$17,I295)*POWER(Upgrades!$P$18,J295)*POWER(Upgrades!$P$19,K295)*POWER(Upgrades!$P$20,L295)*POWER(Upgrades!$P$21,M295)*$F$6)*0.05)/AN295,0)</f>
        <v/>
      </c>
      <c r="BC295" s="32">
        <f>IFERROR((Upgrades!$H$17*(POWER(Upgrades!$P$13,E295)*POWER(Upgrades!$P$14,F295)*POWER(Upgrades!$P$15,G295)*POWER(Upgrades!$P$16,H295)*POWER(Upgrades!$P$17,I295)*POWER(Upgrades!$P$18,J295)*POWER(Upgrades!$P$19,K295)*POWER(Upgrades!$P$20,L295)*POWER(Upgrades!$P$21,M295))*(IF(Upgrades!$T$13="Brown Dwarf",POWER(Upgrades!$U$13,E295),1)*IF(Upgrades!$T$14="Brown Dwarf",POWER(Upgrades!$U$14,F295),1)*IF(Upgrades!$T$15="Brown Dwarf",POWER(Upgrades!$U$15,G295),1)*IF(Upgrades!$T$16="Brown Dwarf",POWER(Upgrades!$U$16,H295),1)*IF(Upgrades!$T$18="Brown Dwarf",POWER(Upgrades!$U$18,J295),1)*IF(Upgrades!$T$19="Brown Dwarf",POWER(Upgrades!$U$19,K295),1)*IF(Upgrades!$T$20="Brown Dwarf",POWER(Upgrades!$U$20,L295),1)*IF(Upgrades!$T$21="Brown Dwarf",POWER(Upgrades!$U$21,M295),1))*$F$6+(((IF(H295=0,0,(Upgrades!$M$16+H295*Upgrades!$N$16)*POWER(Upgrades!$O$16,H295)))*(IF(Upgrades!$T$13="Roche Lobe Overflow",POWER(Upgrades!$U$13,E295),1)*IF(Upgrades!$T$14="Roche Lobe Overflow",POWER(Upgrades!$U$14,F295),1)*IF(Upgrades!$T$15="Roche Lobe Overflow",POWER(Upgrades!$U$15,G295),1)*IF(Upgrades!$T$17="Roche Lobe Overflow",POWER(Upgrades!$U$17,I295),1)*IF(Upgrades!$T$18="Roche Lobe Overflow",POWER(Upgrades!$U$18,J295),1)*IF(Upgrades!$T$19="Roche Lobe Overflow",POWER(Upgrades!$U$19,K295),1)*IF(Upgrades!$T$20="Roche Lobe Overflow",POWER(Upgrades!$U$20,L295),1)*IF(Upgrades!$T$21="Roche Lobe Overflow",POWER(Upgrades!$U$21,M295),1))*POWER(Upgrades!$R$13,E295)*POWER(Upgrades!$R$14,F295)*POWER(Upgrades!$R$15,G295)*POWER(Upgrades!$R$16,H295)*POWER(Upgrades!$R$17,I295)*POWER(Upgrades!$R$18,J295)*POWER(Upgrades!$R$19,K295)*POWER(Upgrades!$R$20,L295)*POWER(Upgrades!$R$21,M295)*$H$6)*O295)*0.10)/AO295,0)</f>
        <v/>
      </c>
      <c r="BD295" s="32">
        <f>MAX(IF(J295&gt;0,0,IFERROR(0.5*((IF(G295=0,0,(Upgrades!$J$15+G295*Upgrades!$K$15)*POWER(Upgrades!$L$15,G295)))*(IF(Upgrades!$T$13="Microlensing",POWER(Upgrades!$U$13,E295),1)*IF(Upgrades!$T$14="Microlensing",POWER(Upgrades!$U$14,F295),1)*IF(Upgrades!$T$16="Microlensing",POWER(Upgrades!$U$16,H295),1)*IF(Upgrades!$T$17="Microlensing",POWER(Upgrades!$U$17,I295),1)*IF(Upgrades!$T$18="Microlensing",POWER(Upgrades!$U$18,J295),1)*IF(Upgrades!$T$19="Microlensing",POWER(Upgrades!$U$19,K295),1)*IF(Upgrades!$T$20="Microlensing",POWER(Upgrades!$U$20,L295),1)*IF(Upgrades!$T$21="Microlensing",POWER(Upgrades!$U$21,M295),1))*(POWER(Upgrades!$Q$13,E295)*POWER(Upgrades!$Q$14,F295)*POWER(Upgrades!$Q$15,G295)*POWER(Upgrades!$Q$16,H295)*POWER(Upgrades!$Q$17,I295)*POWER(Upgrades!$Q$18,J295)*POWER(Upgrades!$Q$19,K295)*POWER(Upgrades!$Q$20,L295)*POWER(Upgrades!$Q$21,M295))*$G$6*(Parameters!$B$10/60*Parameters!$B$11+Q295))/Upgrades!$C$18,0)),IF(K295&gt;0,0,IFERROR(0.30*P295/Upgrades!$C$19,0)),IF(L295&gt;0,0,IFERROR(0.0001/Upgrades!$C$20,0)),IF(M295&gt;0,0,IFERROR((6.0*(POWER(Upgrades!$P$13,E295)*POWER(Upgrades!$P$14,F295)*POWER(Upgrades!$P$15,G295)*POWER(Upgrades!$P$16,H295)*POWER(Upgrades!$P$17,I295)*POWER(Upgrades!$P$18,J295)*POWER(Upgrades!$P$19,K295)*POWER(Upgrades!$P$20,L295)*POWER(Upgrades!$P$21,M295))*$F$6+0.20*O295*(Parameters!$B$10/60*Parameters!$B$11+Q295))/Upgrades!$C$21,0)),IF(AND(ISNUMBER(AK295),AK295&gt;(C295+T295)),AY295,0),IF(AND(ISNUMBER(AL295),AL295&gt;(C295+T295)),AZ295,0),IF(AND(ISNUMBER(AM295),AM295&gt;(C295+T295)),BA295,0),IF(AND(ISNUMBER(AN295),AN295&gt;(C295+T295)),BB295,0),IF(AND(ISNUMBER(AO295),AO295&gt;(C295+T295)),BC295,0))</f>
        <v/>
      </c>
      <c r="BE295" s="29">
        <f>IF(AT295=1,"transition",IF(MIN(IF(AND(J295=0,ISNUMBER(AP295),AP295&lt;=(C295+T295)),AP295,9E15),IF(AND(K295=0,ISNUMBER(AQ295),AQ295&lt;=(C295+T295)),AQ295,9E15),IF(AND(L295=0,ISNUMBER(AR295),AR295&lt;=(C295+T295)),AR295,9E15),IF(AND(M295=0,ISNUMBER(AS295),AS295&lt;=(C295+T295)),AS295,9E15))&lt;9E15,IF(AND(AND(J295=0,ISNUMBER(AP295),AP295&lt;=(C295+T295)),AP295=MIN(IF(AND(J295=0,ISNUMBER(AP295),AP295&lt;=(C295+T295)),AP295,9E15),IF(AND(K295=0,ISNUMBER(AQ295),AQ295&lt;=(C295+T295)),AQ295,9E15),IF(AND(L295=0,ISNUMBER(AR295),AR295&lt;=(C295+T295)),AR295,9E15),IF(AND(M295=0,ISNUMBER(AS295),AS295&lt;=(C295+T295)),AS295,9E15))),"BiP",IF(AND(AND(K295=0,ISNUMBER(AQ295),AQ295&lt;=(C295+T295)),AQ295=MIN(IF(AND(J295=0,ISNUMBER(AP295),AP295&lt;=(C295+T295)),AP295,9E15),IF(AND(K295=0,ISNUMBER(AQ295),AQ295&lt;=(C295+T295)),AQ295,9E15),IF(AND(L295=0,ISNUMBER(AR295),AR295&lt;=(C295+T295)),AR295,9E15),IF(AND(M295=0,ISNUMBER(AS295),AS295&lt;=(C295+T295)),AS295,9E15))),"PV",IF(AND(AND(L295=0,ISNUMBER(AR295),AR295&lt;=(C295+T295)),AR295=MIN(IF(AND(J295=0,ISNUMBER(AP295),AP295&lt;=(C295+T295)),AP295,9E15),IF(AND(K295=0,ISNUMBER(AQ295),AQ295&lt;=(C295+T295)),AQ295,9E15),IF(AND(L295=0,ISNUMBER(AR295),AR295&lt;=(C295+T295)),AR295,9E15),IF(AND(M295=0,ISNUMBER(AS295),AS295&lt;=(C295+T295)),AS295,9E15))),"OC","MG"))),IF(AX295=TRUE,"",IF(MAX(IF(AND(NOT(AND(AU295=1,AT295&lt;&gt;1)),ISNUMBER(AK295),AK295&lt;=(C295+T295)),AY295,0),IF(AND(NOT(AND(AU295=1,AT295&lt;&gt;1)),ISNUMBER(AL295),AL295&lt;=(C295+T295)),AZ295,0),IF(AND(NOT(AND(AU295=1,AT295&lt;&gt;1)),ISNUMBER(AM295),AM295&lt;=(C295+T295)),BA295,0),IF(AND(NOT(AND(AU295=1,AT295&lt;&gt;1)),ISNUMBER(AN295),AN295&lt;=(C295+T295)),BB295,0),IF(AND(ISNUMBER(AO295),AO295&lt;=(C295+T295)),BC295,0))&lt;=0,"",IF(AND(IF(AND(NOT(AND(AU295=1,AT295&lt;&gt;1)),ISNUMBER(AK295),AK295&lt;=(C295+T295)),AY295,0)&gt;0,IF(AND(NOT(AND(AU295=1,AT295&lt;&gt;1)),ISNUMBER(AK295),AK295&lt;=(C295+T295)),AY295,0)=MAX(IF(AND(NOT(AND(AU295=1,AT295&lt;&gt;1)),ISNUMBER(AK295),AK295&lt;=(C295+T295)),AY295,0),IF(AND(NOT(AND(AU295=1,AT295&lt;&gt;1)),ISNUMBER(AL295),AL295&lt;=(C295+T295)),AZ295,0),IF(AND(NOT(AND(AU295=1,AT295&lt;&gt;1)),ISNUMBER(AM295),AM295&lt;=(C295+T295)),BA295,0),IF(AND(NOT(AND(AU295=1,AT295&lt;&gt;1)),ISNUMBER(AN295),AN295&lt;=(C295+T295)),BB295,0),IF(AND(ISNUMBER(AO295),AO295&lt;=(C295+T295)),BC295,0))),"SK",IF(AND(IF(AND(NOT(AND(AU295=1,AT295&lt;&gt;1)),ISNUMBER(AL295),AL295&lt;=(C295+T295)),AZ295,0)&gt;0,IF(AND(NOT(AND(AU295=1,AT295&lt;&gt;1)),ISNUMBER(AL295),AL295&lt;=(C295+T295)),AZ295,0)=MAX(IF(AND(NOT(AND(AU295=1,AT295&lt;&gt;1)),ISNUMBER(AK295),AK295&lt;=(C295+T295)),AY295,0),IF(AND(NOT(AND(AU295=1,AT295&lt;&gt;1)),ISNUMBER(AL295),AL295&lt;=(C295+T295)),AZ295,0),IF(AND(NOT(AND(AU295=1,AT295&lt;&gt;1)),ISNUMBER(AM295),AM295&lt;=(C295+T295)),BA295,0),IF(AND(NOT(AND(AU295=1,AT295&lt;&gt;1)),ISNUMBER(AN295),AN295&lt;=(C295+T295)),BB295,0),IF(AND(ISNUMBER(AO295),AO295&lt;=(C295+T295)),BC295,0))),"LB",IF(AND(IF(AND(NOT(AND(AU295=1,AT295&lt;&gt;1)),ISNUMBER(AM295),AM295&lt;=(C295+T295)),BA295,0)&gt;0,IF(AND(NOT(AND(AU295=1,AT295&lt;&gt;1)),ISNUMBER(AM295),AM295&lt;=(C295+T295)),BA295,0)=MAX(IF(AND(NOT(AND(AU295=1,AT295&lt;&gt;1)),ISNUMBER(AK295),AK295&lt;=(C295+T295)),AY295,0),IF(AND(NOT(AND(AU295=1,AT295&lt;&gt;1)),ISNUMBER(AL295),AL295&lt;=(C295+T295)),AZ295,0),IF(AND(NOT(AND(AU295=1,AT295&lt;&gt;1)),ISNUMBER(AM295),AM295&lt;=(C295+T295)),BA295,0),IF(AND(NOT(AND(AU295=1,AT295&lt;&gt;1)),ISNUMBER(AN295),AN295&lt;=(C295+T295)),BB295,0),IF(AND(ISNUMBER(AO295),AO295&lt;=(C295+T295)),BC295,0))),"ML",IF(AND(IF(AND(NOT(AND(AU295=1,AT295&lt;&gt;1)),ISNUMBER(AN295),AN295&lt;=(C295+T295)),BB295,0)&gt;0,IF(AND(NOT(AND(AU295=1,AT295&lt;&gt;1)),ISNUMBER(AN295),AN295&lt;=(C295+T295)),BB295,0)=MAX(IF(AND(NOT(AND(AU295=1,AT295&lt;&gt;1)),ISNUMBER(AK295),AK295&lt;=(C295+T295)),AY295,0),IF(AND(NOT(AND(AU295=1,AT295&lt;&gt;1)),ISNUMBER(AL295),AL295&lt;=(C295+T295)),AZ295,0),IF(AND(NOT(AND(AU295=1,AT295&lt;&gt;1)),ISNUMBER(AM295),AM295&lt;=(C295+T295)),BA295,0),IF(AND(NOT(AND(AU295=1,AT295&lt;&gt;1)),ISNUMBER(AN295),AN295&lt;=(C295+T295)),BB295,0),IF(AND(ISNUMBER(AO295),AO295&lt;=(C295+T295)),BC295,0))),"RLO","BD"))))))))</f>
        <v/>
      </c>
    </row>
    <row r="296">
      <c r="A296" s="26" t="n">
        <v>285</v>
      </c>
      <c r="B296" s="27">
        <f>A296*10/60</f>
        <v/>
      </c>
      <c r="C296" s="22">
        <f>X295</f>
        <v/>
      </c>
      <c r="D296" s="27">
        <f>D295+W295</f>
        <v/>
      </c>
      <c r="E296" s="26">
        <f>E295+IF(U295="SK",1,0)</f>
        <v/>
      </c>
      <c r="F296" s="26">
        <f>F295+IF(U295="LB",1,0)</f>
        <v/>
      </c>
      <c r="G296" s="26">
        <f>G295+IF(U295="ML",1,0)</f>
        <v/>
      </c>
      <c r="H296" s="26">
        <f>H295+IF(U295="RLO",1,0)</f>
        <v/>
      </c>
      <c r="I296" s="26">
        <f>I295+IF(U295="BD",1,0)</f>
        <v/>
      </c>
      <c r="J296" s="26">
        <f>MAX(J295,IF(U295="BiP",1,0))</f>
        <v/>
      </c>
      <c r="K296" s="26">
        <f>MAX(K295,IF(U295="PV",1,0))</f>
        <v/>
      </c>
      <c r="L296" s="26">
        <f>MAX(L295,IF(U295="OC",1,0))</f>
        <v/>
      </c>
      <c r="M296" s="26">
        <f>MAX(M295,IF(U295="MG",1,0))</f>
        <v/>
      </c>
      <c r="N296" s="26">
        <f>MAX(N295,IF(U295="transition",1,0))</f>
        <v/>
      </c>
      <c r="O296" s="28">
        <f>(Parameters!$B$9+(IF(E296=0,0,(Upgrades!$J$13+E296*Upgrades!$K$13)*POWER(Upgrades!$L$13,E296)))*(IF(Upgrades!$T$14="Stellar Kinematics",POWER(Upgrades!$U$14,F296),1)*IF(Upgrades!$T$15="Stellar Kinematics",POWER(Upgrades!$U$15,G296),1)*IF(Upgrades!$T$16="Stellar Kinematics",POWER(Upgrades!$U$16,H296),1)*IF(Upgrades!$T$17="Stellar Kinematics",POWER(Upgrades!$U$17,I296),1)*IF(Upgrades!$T$18="Stellar Kinematics",POWER(Upgrades!$U$18,J296),1)*IF(Upgrades!$T$19="Stellar Kinematics",POWER(Upgrades!$U$19,K296),1)*IF(Upgrades!$T$20="Stellar Kinematics",POWER(Upgrades!$U$20,L296),1)*IF(Upgrades!$T$21="Stellar Kinematics",POWER(Upgrades!$U$21,M296),1))+(IF(F296=0,0,(Upgrades!$J$14+F296*Upgrades!$K$14)*POWER(Upgrades!$L$14,F296)))*(IF(Upgrades!$T$13="Local Bubble",POWER(Upgrades!$U$13,E296),1)*IF(Upgrades!$T$15="Local Bubble",POWER(Upgrades!$U$15,G296),1)*IF(Upgrades!$T$16="Local Bubble",POWER(Upgrades!$U$16,H296),1)*IF(Upgrades!$T$17="Local Bubble",POWER(Upgrades!$U$17,I296),1)*IF(Upgrades!$T$18="Local Bubble",POWER(Upgrades!$U$18,J296),1)*IF(Upgrades!$T$19="Local Bubble",POWER(Upgrades!$U$19,K296),1)*IF(Upgrades!$T$20="Local Bubble",POWER(Upgrades!$U$20,L296),1)*IF(Upgrades!$T$21="Local Bubble",POWER(Upgrades!$U$21,M296),1))+(IF(G296=0,0,(Upgrades!$J$15+G296*Upgrades!$K$15)*POWER(Upgrades!$L$15,G296)))*(IF(Upgrades!$T$13="Microlensing",POWER(Upgrades!$U$13,E296),1)*IF(Upgrades!$T$14="Microlensing",POWER(Upgrades!$U$14,F296),1)*IF(Upgrades!$T$16="Microlensing",POWER(Upgrades!$U$16,H296),1)*IF(Upgrades!$T$17="Microlensing",POWER(Upgrades!$U$17,I296),1)*IF(Upgrades!$T$18="Microlensing",POWER(Upgrades!$U$18,J296),1)*IF(Upgrades!$T$19="Microlensing",POWER(Upgrades!$U$19,K296),1)*IF(Upgrades!$T$20="Microlensing",POWER(Upgrades!$U$20,L296),1)*IF(Upgrades!$T$21="Microlensing",POWER(Upgrades!$U$21,M296),1))+(IF(H296=0,0,(Upgrades!$J$16+H296*Upgrades!$K$16)*POWER(Upgrades!$L$16,H296)))*(IF(Upgrades!$T$13="Roche Lobe Overflow",POWER(Upgrades!$U$13,E296),1)*IF(Upgrades!$T$14="Roche Lobe Overflow",POWER(Upgrades!$U$14,F296),1)*IF(Upgrades!$T$15="Roche Lobe Overflow",POWER(Upgrades!$U$15,G296),1)*IF(Upgrades!$T$17="Roche Lobe Overflow",POWER(Upgrades!$U$17,I296),1)*IF(Upgrades!$T$18="Roche Lobe Overflow",POWER(Upgrades!$U$18,J296),1)*IF(Upgrades!$T$19="Roche Lobe Overflow",POWER(Upgrades!$U$19,K296),1)*IF(Upgrades!$T$20="Roche Lobe Overflow",POWER(Upgrades!$U$20,L296),1)*IF(Upgrades!$T$21="Roche Lobe Overflow",POWER(Upgrades!$U$21,M296),1))+(IF(I296=0,0,(Upgrades!$J$17+I296*Upgrades!$K$17)*POWER(Upgrades!$L$17,I296)))*(IF(Upgrades!$T$13="Brown Dwarf",POWER(Upgrades!$U$13,E296),1)*IF(Upgrades!$T$14="Brown Dwarf",POWER(Upgrades!$U$14,F296),1)*IF(Upgrades!$T$15="Brown Dwarf",POWER(Upgrades!$U$15,G296),1)*IF(Upgrades!$T$16="Brown Dwarf",POWER(Upgrades!$U$16,H296),1)*IF(Upgrades!$T$18="Brown Dwarf",POWER(Upgrades!$U$18,J296),1)*IF(Upgrades!$T$19="Brown Dwarf",POWER(Upgrades!$U$19,K296),1)*IF(Upgrades!$T$20="Brown Dwarf",POWER(Upgrades!$U$20,L296),1)*IF(Upgrades!$T$21="Brown Dwarf",POWER(Upgrades!$U$21,M296),1))+(IF(J296=0,0,(Upgrades!$J$18+J296*Upgrades!$K$18)*POWER(Upgrades!$L$18,J296)))*(IF(Upgrades!$T$13="Binary Partner",POWER(Upgrades!$U$13,E296),1)*IF(Upgrades!$T$14="Binary Partner",POWER(Upgrades!$U$14,F296),1)*IF(Upgrades!$T$15="Binary Partner",POWER(Upgrades!$U$15,G296),1)*IF(Upgrades!$T$16="Binary Partner",POWER(Upgrades!$U$16,H296),1)*IF(Upgrades!$T$17="Binary Partner",POWER(Upgrades!$U$17,I296),1)*IF(Upgrades!$T$19="Binary Partner",POWER(Upgrades!$U$19,K296),1)*IF(Upgrades!$T$20="Binary Partner",POWER(Upgrades!$U$20,L296),1)*IF(Upgrades!$T$21="Binary Partner",POWER(Upgrades!$U$21,M296),1))+(IF(K296=0,0,(Upgrades!$J$19+K296*Upgrades!$K$19)*POWER(Upgrades!$L$19,K296)))*(IF(Upgrades!$T$13="Peculiar Velocity",POWER(Upgrades!$U$13,E296),1)*IF(Upgrades!$T$14="Peculiar Velocity",POWER(Upgrades!$U$14,F296),1)*IF(Upgrades!$T$15="Peculiar Velocity",POWER(Upgrades!$U$15,G296),1)*IF(Upgrades!$T$16="Peculiar Velocity",POWER(Upgrades!$U$16,H296),1)*IF(Upgrades!$T$17="Peculiar Velocity",POWER(Upgrades!$U$17,I296),1)*IF(Upgrades!$T$18="Peculiar Velocity",POWER(Upgrades!$U$18,J296),1)*IF(Upgrades!$T$20="Peculiar Velocity",POWER(Upgrades!$U$20,L296),1)*IF(Upgrades!$T$21="Peculiar Velocity",POWER(Upgrades!$U$21,M296),1))+(IF(L296=0,0,(Upgrades!$J$20+L296*Upgrades!$K$20)*POWER(Upgrades!$L$20,L296)))*(IF(Upgrades!$T$13="Open Cluster",POWER(Upgrades!$U$13,E296),1)*IF(Upgrades!$T$14="Open Cluster",POWER(Upgrades!$U$14,F296),1)*IF(Upgrades!$T$15="Open Cluster",POWER(Upgrades!$U$15,G296),1)*IF(Upgrades!$T$16="Open Cluster",POWER(Upgrades!$U$16,H296),1)*IF(Upgrades!$T$17="Open Cluster",POWER(Upgrades!$U$17,I296),1)*IF(Upgrades!$T$18="Open Cluster",POWER(Upgrades!$U$18,J296),1)*IF(Upgrades!$T$19="Open Cluster",POWER(Upgrades!$U$19,K296),1)*IF(Upgrades!$T$21="Open Cluster",POWER(Upgrades!$U$21,M296),1))+(IF(M296=0,0,(Upgrades!$J$21+M296*Upgrades!$K$21)*POWER(Upgrades!$L$21,M296)))*(IF(Upgrades!$T$13="Moving Group",POWER(Upgrades!$U$13,E296),1)*IF(Upgrades!$T$14="Moving Group",POWER(Upgrades!$U$14,F296),1)*IF(Upgrades!$T$15="Moving Group",POWER(Upgrades!$U$15,G296),1)*IF(Upgrades!$T$16="Moving Group",POWER(Upgrades!$U$16,H296),1)*IF(Upgrades!$T$17="Moving Group",POWER(Upgrades!$U$17,I296),1)*IF(Upgrades!$T$18="Moving Group",POWER(Upgrades!$U$18,J296),1)*IF(Upgrades!$T$19="Moving Group",POWER(Upgrades!$U$19,K296),1)*IF(Upgrades!$T$20="Moving Group",POWER(Upgrades!$U$20,L296),1)))*POWER(Upgrades!$Q$13,E296)*POWER(Upgrades!$Q$14,F296)*POWER(Upgrades!$Q$15,G296)*POWER(Upgrades!$Q$16,H296)*POWER(Upgrades!$Q$17,I296)*POWER(Upgrades!$Q$18,J296)*POWER(Upgrades!$Q$19,K296)*POWER(Upgrades!$Q$20,L296)*POWER(Upgrades!$Q$21,M296)*$G$6+$D$6</f>
        <v/>
      </c>
      <c r="P296" s="28">
        <f>((IF(E296=0,0,(Upgrades!$G$13+E296*Upgrades!$H$13)*POWER(Upgrades!$I$13,E296)))*(IF(Upgrades!$T$14="Stellar Kinematics",POWER(Upgrades!$U$14,F296),1)*IF(Upgrades!$T$15="Stellar Kinematics",POWER(Upgrades!$U$15,G296),1)*IF(Upgrades!$T$16="Stellar Kinematics",POWER(Upgrades!$U$16,H296),1)*IF(Upgrades!$T$17="Stellar Kinematics",POWER(Upgrades!$U$17,I296),1)*IF(Upgrades!$T$18="Stellar Kinematics",POWER(Upgrades!$U$18,J296),1)*IF(Upgrades!$T$19="Stellar Kinematics",POWER(Upgrades!$U$19,K296),1)*IF(Upgrades!$T$20="Stellar Kinematics",POWER(Upgrades!$U$20,L296),1)*IF(Upgrades!$T$21="Stellar Kinematics",POWER(Upgrades!$U$21,M296),1))+(IF(F296=0,0,(Upgrades!$G$14+F296*Upgrades!$H$14)*POWER(Upgrades!$I$14,F296)))*(IF(Upgrades!$T$13="Local Bubble",POWER(Upgrades!$U$13,E296),1)*IF(Upgrades!$T$15="Local Bubble",POWER(Upgrades!$U$15,G296),1)*IF(Upgrades!$T$16="Local Bubble",POWER(Upgrades!$U$16,H296),1)*IF(Upgrades!$T$17="Local Bubble",POWER(Upgrades!$U$17,I296),1)*IF(Upgrades!$T$18="Local Bubble",POWER(Upgrades!$U$18,J296),1)*IF(Upgrades!$T$19="Local Bubble",POWER(Upgrades!$U$19,K296),1)*IF(Upgrades!$T$20="Local Bubble",POWER(Upgrades!$U$20,L296),1)*IF(Upgrades!$T$21="Local Bubble",POWER(Upgrades!$U$21,M296),1))+(IF(G296=0,0,(Upgrades!$G$15+G296*Upgrades!$H$15)*POWER(Upgrades!$I$15,G296)))*(IF(Upgrades!$T$13="Microlensing",POWER(Upgrades!$U$13,E296),1)*IF(Upgrades!$T$14="Microlensing",POWER(Upgrades!$U$14,F296),1)*IF(Upgrades!$T$16="Microlensing",POWER(Upgrades!$U$16,H296),1)*IF(Upgrades!$T$17="Microlensing",POWER(Upgrades!$U$17,I296),1)*IF(Upgrades!$T$18="Microlensing",POWER(Upgrades!$U$18,J296),1)*IF(Upgrades!$T$19="Microlensing",POWER(Upgrades!$U$19,K296),1)*IF(Upgrades!$T$20="Microlensing",POWER(Upgrades!$U$20,L296),1)*IF(Upgrades!$T$21="Microlensing",POWER(Upgrades!$U$21,M296),1))+(IF(H296=0,0,(Upgrades!$G$16+H296*Upgrades!$H$16)*POWER(Upgrades!$I$16,H296)))*(IF(Upgrades!$T$13="Roche Lobe Overflow",POWER(Upgrades!$U$13,E296),1)*IF(Upgrades!$T$14="Roche Lobe Overflow",POWER(Upgrades!$U$14,F296),1)*IF(Upgrades!$T$15="Roche Lobe Overflow",POWER(Upgrades!$U$15,G296),1)*IF(Upgrades!$T$17="Roche Lobe Overflow",POWER(Upgrades!$U$17,I296),1)*IF(Upgrades!$T$18="Roche Lobe Overflow",POWER(Upgrades!$U$18,J296),1)*IF(Upgrades!$T$19="Roche Lobe Overflow",POWER(Upgrades!$U$19,K296),1)*IF(Upgrades!$T$20="Roche Lobe Overflow",POWER(Upgrades!$U$20,L296),1)*IF(Upgrades!$T$21="Roche Lobe Overflow",POWER(Upgrades!$U$21,M296),1))+(IF(I296=0,0,(Upgrades!$G$17+I296*Upgrades!$H$17)*POWER(Upgrades!$I$17,I296)))*(IF(Upgrades!$T$13="Brown Dwarf",POWER(Upgrades!$U$13,E296),1)*IF(Upgrades!$T$14="Brown Dwarf",POWER(Upgrades!$U$14,F296),1)*IF(Upgrades!$T$15="Brown Dwarf",POWER(Upgrades!$U$15,G296),1)*IF(Upgrades!$T$16="Brown Dwarf",POWER(Upgrades!$U$16,H296),1)*IF(Upgrades!$T$18="Brown Dwarf",POWER(Upgrades!$U$18,J296),1)*IF(Upgrades!$T$19="Brown Dwarf",POWER(Upgrades!$U$19,K296),1)*IF(Upgrades!$T$20="Brown Dwarf",POWER(Upgrades!$U$20,L296),1)*IF(Upgrades!$T$21="Brown Dwarf",POWER(Upgrades!$U$21,M296),1))+(IF(J296=0,0,(Upgrades!$G$18+J296*Upgrades!$H$18)*POWER(Upgrades!$I$18,J296)))*(IF(Upgrades!$T$13="Binary Partner",POWER(Upgrades!$U$13,E296),1)*IF(Upgrades!$T$14="Binary Partner",POWER(Upgrades!$U$14,F296),1)*IF(Upgrades!$T$15="Binary Partner",POWER(Upgrades!$U$15,G296),1)*IF(Upgrades!$T$16="Binary Partner",POWER(Upgrades!$U$16,H296),1)*IF(Upgrades!$T$17="Binary Partner",POWER(Upgrades!$U$17,I296),1)*IF(Upgrades!$T$19="Binary Partner",POWER(Upgrades!$U$19,K296),1)*IF(Upgrades!$T$20="Binary Partner",POWER(Upgrades!$U$20,L296),1)*IF(Upgrades!$T$21="Binary Partner",POWER(Upgrades!$U$21,M296),1))+(IF(K296=0,0,(Upgrades!$G$19+K296*Upgrades!$H$19)*POWER(Upgrades!$I$19,K296)))*(IF(Upgrades!$T$13="Peculiar Velocity",POWER(Upgrades!$U$13,E296),1)*IF(Upgrades!$T$14="Peculiar Velocity",POWER(Upgrades!$U$14,F296),1)*IF(Upgrades!$T$15="Peculiar Velocity",POWER(Upgrades!$U$15,G296),1)*IF(Upgrades!$T$16="Peculiar Velocity",POWER(Upgrades!$U$16,H296),1)*IF(Upgrades!$T$17="Peculiar Velocity",POWER(Upgrades!$U$17,I296),1)*IF(Upgrades!$T$18="Peculiar Velocity",POWER(Upgrades!$U$18,J296),1)*IF(Upgrades!$T$20="Peculiar Velocity",POWER(Upgrades!$U$20,L296),1)*IF(Upgrades!$T$21="Peculiar Velocity",POWER(Upgrades!$U$21,M296),1))+(IF(L296=0,0,(Upgrades!$G$20+L296*Upgrades!$H$20)*POWER(Upgrades!$I$20,L296)))*(IF(Upgrades!$T$13="Open Cluster",POWER(Upgrades!$U$13,E296),1)*IF(Upgrades!$T$14="Open Cluster",POWER(Upgrades!$U$14,F296),1)*IF(Upgrades!$T$15="Open Cluster",POWER(Upgrades!$U$15,G296),1)*IF(Upgrades!$T$16="Open Cluster",POWER(Upgrades!$U$16,H296),1)*IF(Upgrades!$T$17="Open Cluster",POWER(Upgrades!$U$17,I296),1)*IF(Upgrades!$T$18="Open Cluster",POWER(Upgrades!$U$18,J296),1)*IF(Upgrades!$T$19="Open Cluster",POWER(Upgrades!$U$19,K296),1)*IF(Upgrades!$T$21="Open Cluster",POWER(Upgrades!$U$21,M296),1))+(IF(M296=0,0,(Upgrades!$G$21+M296*Upgrades!$H$21)*POWER(Upgrades!$I$21,M296)))*(IF(Upgrades!$T$13="Moving Group",POWER(Upgrades!$U$13,E296),1)*IF(Upgrades!$T$14="Moving Group",POWER(Upgrades!$U$14,F296),1)*IF(Upgrades!$T$15="Moving Group",POWER(Upgrades!$U$15,G296),1)*IF(Upgrades!$T$16="Moving Group",POWER(Upgrades!$U$16,H296),1)*IF(Upgrades!$T$17="Moving Group",POWER(Upgrades!$U$17,I296),1)*IF(Upgrades!$T$18="Moving Group",POWER(Upgrades!$U$18,J296),1)*IF(Upgrades!$T$19="Moving Group",POWER(Upgrades!$U$19,K296),1)*IF(Upgrades!$T$20="Moving Group",POWER(Upgrades!$U$20,L296),1)))*POWER(Upgrades!$P$13,E296)*POWER(Upgrades!$P$14,F296)*POWER(Upgrades!$P$15,G296)*POWER(Upgrades!$P$16,H296)*POWER(Upgrades!$P$17,I296)*POWER(Upgrades!$P$18,J296)*POWER(Upgrades!$P$19,K296)*POWER(Upgrades!$P$20,L296)*POWER(Upgrades!$P$21,M296)*$F$6+$C$6</f>
        <v/>
      </c>
      <c r="Q296" s="28">
        <f>((IF(E296=0,0,(Upgrades!$M$13+E296*Upgrades!$N$13)*POWER(Upgrades!$O$13,E296)))*(IF(Upgrades!$T$14="Stellar Kinematics",POWER(Upgrades!$U$14,F296),1)*IF(Upgrades!$T$15="Stellar Kinematics",POWER(Upgrades!$U$15,G296),1)*IF(Upgrades!$T$16="Stellar Kinematics",POWER(Upgrades!$U$16,H296),1)*IF(Upgrades!$T$17="Stellar Kinematics",POWER(Upgrades!$U$17,I296),1)*IF(Upgrades!$T$18="Stellar Kinematics",POWER(Upgrades!$U$18,J296),1)*IF(Upgrades!$T$19="Stellar Kinematics",POWER(Upgrades!$U$19,K296),1)*IF(Upgrades!$T$20="Stellar Kinematics",POWER(Upgrades!$U$20,L296),1)*IF(Upgrades!$T$21="Stellar Kinematics",POWER(Upgrades!$U$21,M296),1))+(IF(F296=0,0,(Upgrades!$M$14+F296*Upgrades!$N$14)*POWER(Upgrades!$O$14,F296)))*(IF(Upgrades!$T$13="Local Bubble",POWER(Upgrades!$U$13,E296),1)*IF(Upgrades!$T$15="Local Bubble",POWER(Upgrades!$U$15,G296),1)*IF(Upgrades!$T$16="Local Bubble",POWER(Upgrades!$U$16,H296),1)*IF(Upgrades!$T$17="Local Bubble",POWER(Upgrades!$U$17,I296),1)*IF(Upgrades!$T$18="Local Bubble",POWER(Upgrades!$U$18,J296),1)*IF(Upgrades!$T$19="Local Bubble",POWER(Upgrades!$U$19,K296),1)*IF(Upgrades!$T$20="Local Bubble",POWER(Upgrades!$U$20,L296),1)*IF(Upgrades!$T$21="Local Bubble",POWER(Upgrades!$U$21,M296),1))+(IF(G296=0,0,(Upgrades!$M$15+G296*Upgrades!$N$15)*POWER(Upgrades!$O$15,G296)))*(IF(Upgrades!$T$13="Microlensing",POWER(Upgrades!$U$13,E296),1)*IF(Upgrades!$T$14="Microlensing",POWER(Upgrades!$U$14,F296),1)*IF(Upgrades!$T$16="Microlensing",POWER(Upgrades!$U$16,H296),1)*IF(Upgrades!$T$17="Microlensing",POWER(Upgrades!$U$17,I296),1)*IF(Upgrades!$T$18="Microlensing",POWER(Upgrades!$U$18,J296),1)*IF(Upgrades!$T$19="Microlensing",POWER(Upgrades!$U$19,K296),1)*IF(Upgrades!$T$20="Microlensing",POWER(Upgrades!$U$20,L296),1)*IF(Upgrades!$T$21="Microlensing",POWER(Upgrades!$U$21,M296),1))+(IF(H296=0,0,(Upgrades!$M$16+H296*Upgrades!$N$16)*POWER(Upgrades!$O$16,H296)))*(IF(Upgrades!$T$13="Roche Lobe Overflow",POWER(Upgrades!$U$13,E296),1)*IF(Upgrades!$T$14="Roche Lobe Overflow",POWER(Upgrades!$U$14,F296),1)*IF(Upgrades!$T$15="Roche Lobe Overflow",POWER(Upgrades!$U$15,G296),1)*IF(Upgrades!$T$17="Roche Lobe Overflow",POWER(Upgrades!$U$17,I296),1)*IF(Upgrades!$T$18="Roche Lobe Overflow",POWER(Upgrades!$U$18,J296),1)*IF(Upgrades!$T$19="Roche Lobe Overflow",POWER(Upgrades!$U$19,K296),1)*IF(Upgrades!$T$20="Roche Lobe Overflow",POWER(Upgrades!$U$20,L296),1)*IF(Upgrades!$T$21="Roche Lobe Overflow",POWER(Upgrades!$U$21,M296),1))+(IF(I296=0,0,(Upgrades!$M$17+I296*Upgrades!$N$17)*POWER(Upgrades!$O$17,I296)))*(IF(Upgrades!$T$13="Brown Dwarf",POWER(Upgrades!$U$13,E296),1)*IF(Upgrades!$T$14="Brown Dwarf",POWER(Upgrades!$U$14,F296),1)*IF(Upgrades!$T$15="Brown Dwarf",POWER(Upgrades!$U$15,G296),1)*IF(Upgrades!$T$16="Brown Dwarf",POWER(Upgrades!$U$16,H296),1)*IF(Upgrades!$T$18="Brown Dwarf",POWER(Upgrades!$U$18,J296),1)*IF(Upgrades!$T$19="Brown Dwarf",POWER(Upgrades!$U$19,K296),1)*IF(Upgrades!$T$20="Brown Dwarf",POWER(Upgrades!$U$20,L296),1)*IF(Upgrades!$T$21="Brown Dwarf",POWER(Upgrades!$U$21,M296),1))+(IF(J296=0,0,(Upgrades!$M$18+J296*Upgrades!$N$18)*POWER(Upgrades!$O$18,J296)))*(IF(Upgrades!$T$13="Binary Partner",POWER(Upgrades!$U$13,E296),1)*IF(Upgrades!$T$14="Binary Partner",POWER(Upgrades!$U$14,F296),1)*IF(Upgrades!$T$15="Binary Partner",POWER(Upgrades!$U$15,G296),1)*IF(Upgrades!$T$16="Binary Partner",POWER(Upgrades!$U$16,H296),1)*IF(Upgrades!$T$17="Binary Partner",POWER(Upgrades!$U$17,I296),1)*IF(Upgrades!$T$19="Binary Partner",POWER(Upgrades!$U$19,K296),1)*IF(Upgrades!$T$20="Binary Partner",POWER(Upgrades!$U$20,L296),1)*IF(Upgrades!$T$21="Binary Partner",POWER(Upgrades!$U$21,M296),1))+(IF(K296=0,0,(Upgrades!$M$19+K296*Upgrades!$N$19)*POWER(Upgrades!$O$19,K296)))*(IF(Upgrades!$T$13="Peculiar Velocity",POWER(Upgrades!$U$13,E296),1)*IF(Upgrades!$T$14="Peculiar Velocity",POWER(Upgrades!$U$14,F296),1)*IF(Upgrades!$T$15="Peculiar Velocity",POWER(Upgrades!$U$15,G296),1)*IF(Upgrades!$T$16="Peculiar Velocity",POWER(Upgrades!$U$16,H296),1)*IF(Upgrades!$T$17="Peculiar Velocity",POWER(Upgrades!$U$17,I296),1)*IF(Upgrades!$T$18="Peculiar Velocity",POWER(Upgrades!$U$18,J296),1)*IF(Upgrades!$T$20="Peculiar Velocity",POWER(Upgrades!$U$20,L296),1)*IF(Upgrades!$T$21="Peculiar Velocity",POWER(Upgrades!$U$21,M296),1))+(IF(L296=0,0,(Upgrades!$M$20+L296*Upgrades!$N$20)*POWER(Upgrades!$O$20,L296)))*(IF(Upgrades!$T$13="Open Cluster",POWER(Upgrades!$U$13,E296),1)*IF(Upgrades!$T$14="Open Cluster",POWER(Upgrades!$U$14,F296),1)*IF(Upgrades!$T$15="Open Cluster",POWER(Upgrades!$U$15,G296),1)*IF(Upgrades!$T$16="Open Cluster",POWER(Upgrades!$U$16,H296),1)*IF(Upgrades!$T$17="Open Cluster",POWER(Upgrades!$U$17,I296),1)*IF(Upgrades!$T$18="Open Cluster",POWER(Upgrades!$U$18,J296),1)*IF(Upgrades!$T$19="Open Cluster",POWER(Upgrades!$U$19,K296),1)*IF(Upgrades!$T$21="Open Cluster",POWER(Upgrades!$U$21,M296),1))+(IF(M296=0,0,(Upgrades!$M$21+M296*Upgrades!$N$21)*POWER(Upgrades!$O$21,M296)))*(IF(Upgrades!$T$13="Moving Group",POWER(Upgrades!$U$13,E296),1)*IF(Upgrades!$T$14="Moving Group",POWER(Upgrades!$U$14,F296),1)*IF(Upgrades!$T$15="Moving Group",POWER(Upgrades!$U$15,G296),1)*IF(Upgrades!$T$16="Moving Group",POWER(Upgrades!$U$16,H296),1)*IF(Upgrades!$T$17="Moving Group",POWER(Upgrades!$U$17,I296),1)*IF(Upgrades!$T$18="Moving Group",POWER(Upgrades!$U$18,J296),1)*IF(Upgrades!$T$19="Moving Group",POWER(Upgrades!$U$19,K296),1)*IF(Upgrades!$T$20="Moving Group",POWER(Upgrades!$U$20,L296),1)))*POWER(Upgrades!$R$13,E296)*POWER(Upgrades!$R$14,F296)*POWER(Upgrades!$R$15,G296)*POWER(Upgrades!$R$16,H296)*POWER(Upgrades!$R$17,I296)*POWER(Upgrades!$R$18,J296)*POWER(Upgrades!$R$19,K296)*POWER(Upgrades!$R$20,L296)*POWER(Upgrades!$R$21,M296)*$H$6+$E$6</f>
        <v/>
      </c>
      <c r="R296" s="27">
        <f>IF(N296=1,0,O296*Parameters!$B$10/60*Parameters!$B$11*10)</f>
        <v/>
      </c>
      <c r="S296" s="27">
        <f>IF(N296=1,0,Q296*O296*10)</f>
        <v/>
      </c>
      <c r="T296" s="27">
        <f>IF(N296=1,0,R296+S296+P296*10)</f>
        <v/>
      </c>
      <c r="U296" s="33">
        <f>BE296</f>
        <v/>
      </c>
      <c r="V296" s="22">
        <f>IF(U296="",0,IF(U296="transition",0,IF(U296="SK",AK296,IF(U296="LB",AL296,IF(U296="ML",AM296,IF(U296="RLO",AN296,IF(U296="BD",AO296,IF(U296="BiP",AP296,IF(U296="PV",AQ296,IF(U296="OC",AR296,IF(U296="MG",AS296,0))))))))))</f>
        <v/>
      </c>
      <c r="W296" s="27">
        <f>IF(U296="BiP",Upgrades!$F$18,IF(U296="PV",Upgrades!$F$19,IF(U296="OC",Upgrades!$F$20,IF(U296="MG",Upgrades!$F$21,IF(U296="transition",-Parameters!$B$18*Parameters!$B$19,0)))))</f>
        <v/>
      </c>
      <c r="X296" s="22">
        <f>C296+T296-V296</f>
        <v/>
      </c>
      <c r="Y296" s="30">
        <f>O296*Parameters!$B$10/60*Parameters!$B$11+Q296*O296+P296</f>
        <v/>
      </c>
      <c r="Z296" s="34">
        <f>IF(U296="transition","→ Tier 3 (Galactic Arm)",IF(U296="MG","Moving Group — pocket drifts together",IF(U296="OC","Open Cluster acquired",IF(U296="PV","Peculiar Velocity — passive multiplier active",IF(U296="BiP","Binary Partner — pair bond formed",IF(AND(AU296=1,N296=0,AT296&lt;&gt;1),"Cohesion ready (waiting on completionists)","")))))) </f>
        <v/>
      </c>
      <c r="AA296" s="27">
        <f>(IF(E296=0,0,(Upgrades!$G$13+E296*Upgrades!$H$13)*POWER(Upgrades!$I$13,E296)))*(IF(Upgrades!$T$14="Stellar Kinematics",POWER(Upgrades!$U$14,F296),1)*IF(Upgrades!$T$15="Stellar Kinematics",POWER(Upgrades!$U$15,G296),1)*IF(Upgrades!$T$16="Stellar Kinematics",POWER(Upgrades!$U$16,H296),1)*IF(Upgrades!$T$17="Stellar Kinematics",POWER(Upgrades!$U$17,I296),1)*IF(Upgrades!$T$18="Stellar Kinematics",POWER(Upgrades!$U$18,J296),1)*IF(Upgrades!$T$19="Stellar Kinematics",POWER(Upgrades!$U$19,K296),1)*IF(Upgrades!$T$20="Stellar Kinematics",POWER(Upgrades!$U$20,L296),1)*IF(Upgrades!$T$21="Stellar Kinematics",POWER(Upgrades!$U$21,M296),1))*POWER(Upgrades!$P$13,E296)*POWER(Upgrades!$P$14,F296)*POWER(Upgrades!$P$15,G296)*POWER(Upgrades!$P$16,H296)*POWER(Upgrades!$P$17,I296)*POWER(Upgrades!$P$18,J296)*POWER(Upgrades!$P$19,K296)*POWER(Upgrades!$P$20,L296)*POWER(Upgrades!$P$21,M296)*$F$6*60</f>
        <v/>
      </c>
      <c r="AB296" s="27">
        <f>(IF(F296=0,0,(Upgrades!$G$14+F296*Upgrades!$H$14)*POWER(Upgrades!$I$14,F296)))*(IF(Upgrades!$T$13="Local Bubble",POWER(Upgrades!$U$13,E296),1)*IF(Upgrades!$T$15="Local Bubble",POWER(Upgrades!$U$15,G296),1)*IF(Upgrades!$T$16="Local Bubble",POWER(Upgrades!$U$16,H296),1)*IF(Upgrades!$T$17="Local Bubble",POWER(Upgrades!$U$17,I296),1)*IF(Upgrades!$T$18="Local Bubble",POWER(Upgrades!$U$18,J296),1)*IF(Upgrades!$T$19="Local Bubble",POWER(Upgrades!$U$19,K296),1)*IF(Upgrades!$T$20="Local Bubble",POWER(Upgrades!$U$20,L296),1)*IF(Upgrades!$T$21="Local Bubble",POWER(Upgrades!$U$21,M296),1))*POWER(Upgrades!$P$13,E296)*POWER(Upgrades!$P$14,F296)*POWER(Upgrades!$P$15,G296)*POWER(Upgrades!$P$16,H296)*POWER(Upgrades!$P$17,I296)*POWER(Upgrades!$P$18,J296)*POWER(Upgrades!$P$19,K296)*POWER(Upgrades!$P$20,L296)*POWER(Upgrades!$P$21,M296)*$F$6*60</f>
        <v/>
      </c>
      <c r="AC296" s="27">
        <f>(IF(G296=0,0,(Upgrades!$J$15+G296*Upgrades!$K$15)*POWER(Upgrades!$L$15,G296)))*(IF(Upgrades!$T$13="Microlensing",POWER(Upgrades!$U$13,E296),1)*IF(Upgrades!$T$14="Microlensing",POWER(Upgrades!$U$14,F296),1)*IF(Upgrades!$T$16="Microlensing",POWER(Upgrades!$U$16,H296),1)*IF(Upgrades!$T$17="Microlensing",POWER(Upgrades!$U$17,I296),1)*IF(Upgrades!$T$18="Microlensing",POWER(Upgrades!$U$18,J296),1)*IF(Upgrades!$T$19="Microlensing",POWER(Upgrades!$U$19,K296),1)*IF(Upgrades!$T$20="Microlensing",POWER(Upgrades!$U$20,L296),1)*IF(Upgrades!$T$21="Microlensing",POWER(Upgrades!$U$21,M296),1))*POWER(Upgrades!$Q$13,E296)*POWER(Upgrades!$Q$14,F296)*POWER(Upgrades!$Q$15,G296)*POWER(Upgrades!$Q$16,H296)*POWER(Upgrades!$Q$17,I296)*POWER(Upgrades!$Q$18,J296)*POWER(Upgrades!$Q$19,K296)*POWER(Upgrades!$Q$20,L296)*POWER(Upgrades!$Q$21,M296)*$G$6*(Parameters!$B$10*Parameters!$B$11+Q296*60)</f>
        <v/>
      </c>
      <c r="AD296" s="27">
        <f>(IF(H296=0,0,(Upgrades!$M$16+H296*Upgrades!$N$16)*POWER(Upgrades!$O$16,H296)))*(IF(Upgrades!$T$13="Roche Lobe Overflow",POWER(Upgrades!$U$13,E296),1)*IF(Upgrades!$T$14="Roche Lobe Overflow",POWER(Upgrades!$U$14,F296),1)*IF(Upgrades!$T$15="Roche Lobe Overflow",POWER(Upgrades!$U$15,G296),1)*IF(Upgrades!$T$17="Roche Lobe Overflow",POWER(Upgrades!$U$17,I296),1)*IF(Upgrades!$T$18="Roche Lobe Overflow",POWER(Upgrades!$U$18,J296),1)*IF(Upgrades!$T$19="Roche Lobe Overflow",POWER(Upgrades!$U$19,K296),1)*IF(Upgrades!$T$20="Roche Lobe Overflow",POWER(Upgrades!$U$20,L296),1)*IF(Upgrades!$T$21="Roche Lobe Overflow",POWER(Upgrades!$U$21,M296),1))*POWER(Upgrades!$R$13,E296)*POWER(Upgrades!$R$14,F296)*POWER(Upgrades!$R$15,G296)*POWER(Upgrades!$R$16,H296)*POWER(Upgrades!$R$17,I296)*POWER(Upgrades!$R$18,J296)*POWER(Upgrades!$R$19,K296)*POWER(Upgrades!$R$20,L296)*POWER(Upgrades!$R$21,M296)*$H$6*O296*60</f>
        <v/>
      </c>
      <c r="AE296" s="27">
        <f>(IF(I296=0,0,(Upgrades!$G$17+I296*Upgrades!$H$17)*POWER(Upgrades!$I$17,I296)))*(IF(Upgrades!$T$13="Brown Dwarf",POWER(Upgrades!$U$13,E296),1)*IF(Upgrades!$T$14="Brown Dwarf",POWER(Upgrades!$U$14,F296),1)*IF(Upgrades!$T$15="Brown Dwarf",POWER(Upgrades!$U$15,G296),1)*IF(Upgrades!$T$16="Brown Dwarf",POWER(Upgrades!$U$16,H296),1)*IF(Upgrades!$T$18="Brown Dwarf",POWER(Upgrades!$U$18,J296),1)*IF(Upgrades!$T$19="Brown Dwarf",POWER(Upgrades!$U$19,K296),1)*IF(Upgrades!$T$20="Brown Dwarf",POWER(Upgrades!$U$20,L296),1)*IF(Upgrades!$T$21="Brown Dwarf",POWER(Upgrades!$U$21,M296),1))*POWER(Upgrades!$P$13,E296)*POWER(Upgrades!$P$14,F296)*POWER(Upgrades!$P$15,G296)*POWER(Upgrades!$P$16,H296)*POWER(Upgrades!$P$17,I296)*POWER(Upgrades!$P$18,J296)*POWER(Upgrades!$P$19,K296)*POWER(Upgrades!$P$20,L296)*POWER(Upgrades!$P$21,M296)*$F$6*60</f>
        <v/>
      </c>
      <c r="AF296" s="27" t="n">
        <v>0</v>
      </c>
      <c r="AG296" s="27" t="n">
        <v>0</v>
      </c>
      <c r="AH296" s="27" t="n">
        <v>0</v>
      </c>
      <c r="AI296" s="27">
        <f>(IF(M296=0,0,(Upgrades!$G$21+M296*Upgrades!$H$21)*POWER(Upgrades!$I$21,M296)))*(IF(Upgrades!$T$13="Moving Group",POWER(Upgrades!$U$13,E296),1)*IF(Upgrades!$T$14="Moving Group",POWER(Upgrades!$U$14,F296),1)*IF(Upgrades!$T$15="Moving Group",POWER(Upgrades!$U$15,G296),1)*IF(Upgrades!$T$16="Moving Group",POWER(Upgrades!$U$16,H296),1)*IF(Upgrades!$T$17="Moving Group",POWER(Upgrades!$U$17,I296),1)*IF(Upgrades!$T$18="Moving Group",POWER(Upgrades!$U$18,J296),1)*IF(Upgrades!$T$19="Moving Group",POWER(Upgrades!$U$19,K296),1)*IF(Upgrades!$T$20="Moving Group",POWER(Upgrades!$U$20,L296),1))*POWER(Upgrades!$P$13,E296)*POWER(Upgrades!$P$14,F296)*POWER(Upgrades!$P$15,G296)*POWER(Upgrades!$P$16,H296)*POWER(Upgrades!$P$17,I296)*POWER(Upgrades!$P$18,J296)*POWER(Upgrades!$P$19,K296)*POWER(Upgrades!$P$20,L296)*POWER(Upgrades!$P$21,M296)*$F$6*60</f>
        <v/>
      </c>
      <c r="AJ296" s="27">
        <f>$C$6*60</f>
        <v/>
      </c>
      <c r="AK296" s="22">
        <f>IF(E296&gt;=Upgrades!$E$13,"",Upgrades!$C$13*POWER(Upgrades!$D$13,E296))</f>
        <v/>
      </c>
      <c r="AL296" s="22">
        <f>IF(F296&gt;=Upgrades!$E$14,"",Upgrades!$C$14*POWER(Upgrades!$D$14,F296))</f>
        <v/>
      </c>
      <c r="AM296" s="22">
        <f>IF(G296&gt;=Upgrades!$E$15,"",Upgrades!$C$15*POWER(Upgrades!$D$15,G296))</f>
        <v/>
      </c>
      <c r="AN296" s="22">
        <f>IF(H296&gt;=Upgrades!$E$16,"",Upgrades!$C$16*POWER(Upgrades!$D$16,H296))</f>
        <v/>
      </c>
      <c r="AO296" s="22">
        <f>IF(I296&gt;=Upgrades!$E$17,"",Upgrades!$C$17*POWER(Upgrades!$D$17,I296))</f>
        <v/>
      </c>
      <c r="AP296" s="22">
        <f>IF(J296&gt;=Upgrades!$E$18,"",Upgrades!$C$18*POWER(Upgrades!$D$18,J296))</f>
        <v/>
      </c>
      <c r="AQ296" s="22">
        <f>IF(K296&gt;=Upgrades!$E$19,"",Upgrades!$C$19*POWER(Upgrades!$D$19,K296))</f>
        <v/>
      </c>
      <c r="AR296" s="22">
        <f>IF(L296&gt;=Upgrades!$E$20,"",Upgrades!$C$20*POWER(Upgrades!$D$20,L296))</f>
        <v/>
      </c>
      <c r="AS296" s="22">
        <f>IF(M296&gt;=Upgrades!$E$21,"",Upgrades!$C$21*POWER(Upgrades!$D$21,M296))</f>
        <v/>
      </c>
      <c r="AT296" s="26">
        <f>IF(AND(D296&gt;=Parameters!$B$18*Parameters!$B$19,(I296&gt;=Upgrades!$E$17)*(M296&gt;=Upgrades!$E$21)=1,N296=0),1,"")</f>
        <v/>
      </c>
      <c r="AU296" s="26">
        <f>IF(AND(D296&gt;=Parameters!$B$18*Parameters!$B$19,N296=0),1,"")</f>
        <v/>
      </c>
      <c r="AV296" s="22">
        <f>MIN(IF(ISNUMBER(AP296),AP296,9E15),IF(ISNUMBER(AQ296),AQ296,9E15),IF(ISNUMBER(AR296),AR296,9E15),IF(ISNUMBER(AS296),AS296,9E15))</f>
        <v/>
      </c>
      <c r="AW296" s="22">
        <f>MIN(IF(ISNUMBER(AK296),AK296,9E15),IF(ISNUMBER(AL296),AL296,9E15),IF(ISNUMBER(AM296),AM296,9E15),IF(ISNUMBER(AN296),AN296,9E15),IF(ISNUMBER(AO296),AO296,9E15))</f>
        <v/>
      </c>
      <c r="AX296" s="29">
        <f>IF(BD296&gt;Parameters!$B$21*(MAX(IF(AND(NOT(AND(AU296=1,AT296&lt;&gt;1)),ISNUMBER(AK296),AK296&lt;=(C296+T296)),AY296,0),IF(AND(NOT(AND(AU296=1,AT296&lt;&gt;1)),ISNUMBER(AL296),AL296&lt;=(C296+T296)),AZ296,0),IF(AND(NOT(AND(AU296=1,AT296&lt;&gt;1)),ISNUMBER(AM296),AM296&lt;=(C296+T296)),BA296,0),IF(AND(NOT(AND(AU296=1,AT296&lt;&gt;1)),ISNUMBER(AN296),AN296&lt;=(C296+T296)),BB296,0),IF(AND(ISNUMBER(AO296),AO296&lt;=(C296+T296)),BC296,0))),TRUE,FALSE)</f>
        <v/>
      </c>
      <c r="AY296" s="32">
        <f>IFERROR(Upgrades!$H$13*(POWER(Upgrades!$P$13,E296)*POWER(Upgrades!$P$14,F296)*POWER(Upgrades!$P$15,G296)*POWER(Upgrades!$P$16,H296)*POWER(Upgrades!$P$17,I296)*POWER(Upgrades!$P$18,J296)*POWER(Upgrades!$P$19,K296)*POWER(Upgrades!$P$20,L296)*POWER(Upgrades!$P$21,M296))*(IF(Upgrades!$T$14="Stellar Kinematics",POWER(Upgrades!$U$14,F296),1)*IF(Upgrades!$T$15="Stellar Kinematics",POWER(Upgrades!$U$15,G296),1)*IF(Upgrades!$T$16="Stellar Kinematics",POWER(Upgrades!$U$16,H296),1)*IF(Upgrades!$T$17="Stellar Kinematics",POWER(Upgrades!$U$17,I296),1)*IF(Upgrades!$T$18="Stellar Kinematics",POWER(Upgrades!$U$18,J296),1)*IF(Upgrades!$T$19="Stellar Kinematics",POWER(Upgrades!$U$19,K296),1)*IF(Upgrades!$T$20="Stellar Kinematics",POWER(Upgrades!$U$20,L296),1)*IF(Upgrades!$T$21="Stellar Kinematics",POWER(Upgrades!$U$21,M296),1))*$F$6/AK296,0)</f>
        <v/>
      </c>
      <c r="AZ296" s="32">
        <f>IFERROR(Upgrades!$H$14*(POWER(Upgrades!$P$13,E296)*POWER(Upgrades!$P$14,F296)*POWER(Upgrades!$P$15,G296)*POWER(Upgrades!$P$16,H296)*POWER(Upgrades!$P$17,I296)*POWER(Upgrades!$P$18,J296)*POWER(Upgrades!$P$19,K296)*POWER(Upgrades!$P$20,L296)*POWER(Upgrades!$P$21,M296))*(IF(Upgrades!$T$13="Local Bubble",POWER(Upgrades!$U$13,E296),1)*IF(Upgrades!$T$15="Local Bubble",POWER(Upgrades!$U$15,G296),1)*IF(Upgrades!$T$16="Local Bubble",POWER(Upgrades!$U$16,H296),1)*IF(Upgrades!$T$17="Local Bubble",POWER(Upgrades!$U$17,I296),1)*IF(Upgrades!$T$18="Local Bubble",POWER(Upgrades!$U$18,J296),1)*IF(Upgrades!$T$19="Local Bubble",POWER(Upgrades!$U$19,K296),1)*IF(Upgrades!$T$20="Local Bubble",POWER(Upgrades!$U$20,L296),1)*IF(Upgrades!$T$21="Local Bubble",POWER(Upgrades!$U$21,M296),1))*$F$6/AL296,0)</f>
        <v/>
      </c>
      <c r="BA296" s="32">
        <f>IFERROR(Upgrades!$K$15*(POWER(Upgrades!$Q$13,E296)*POWER(Upgrades!$Q$14,F296)*POWER(Upgrades!$Q$15,G296)*POWER(Upgrades!$Q$16,H296)*POWER(Upgrades!$Q$17,I296)*POWER(Upgrades!$Q$18,J296)*POWER(Upgrades!$Q$19,K296)*POWER(Upgrades!$Q$20,L296)*POWER(Upgrades!$Q$21,M296))*(IF(Upgrades!$T$13="Microlensing",POWER(Upgrades!$U$13,E296),1)*IF(Upgrades!$T$14="Microlensing",POWER(Upgrades!$U$14,F296),1)*IF(Upgrades!$T$16="Microlensing",POWER(Upgrades!$U$16,H296),1)*IF(Upgrades!$T$17="Microlensing",POWER(Upgrades!$U$17,I296),1)*IF(Upgrades!$T$18="Microlensing",POWER(Upgrades!$U$18,J296),1)*IF(Upgrades!$T$19="Microlensing",POWER(Upgrades!$U$19,K296),1)*IF(Upgrades!$T$20="Microlensing",POWER(Upgrades!$U$20,L296),1)*IF(Upgrades!$T$21="Microlensing",POWER(Upgrades!$U$21,M296),1))*$G$6*(Parameters!$B$10/60*Parameters!$B$11+Q296)/AM296,0)</f>
        <v/>
      </c>
      <c r="BB296" s="32">
        <f>IFERROR((Upgrades!$N$16*(POWER(Upgrades!$R$13,E296)*POWER(Upgrades!$R$14,F296)*POWER(Upgrades!$R$15,G296)*POWER(Upgrades!$R$16,H296)*POWER(Upgrades!$R$17,I296)*POWER(Upgrades!$R$18,J296)*POWER(Upgrades!$R$19,K296)*POWER(Upgrades!$R$20,L296)*POWER(Upgrades!$R$21,M296))*(IF(Upgrades!$T$13="Roche Lobe Overflow",POWER(Upgrades!$U$13,E296),1)*IF(Upgrades!$T$14="Roche Lobe Overflow",POWER(Upgrades!$U$14,F296),1)*IF(Upgrades!$T$15="Roche Lobe Overflow",POWER(Upgrades!$U$15,G296),1)*IF(Upgrades!$T$17="Roche Lobe Overflow",POWER(Upgrades!$U$17,I296),1)*IF(Upgrades!$T$18="Roche Lobe Overflow",POWER(Upgrades!$U$18,J296),1)*IF(Upgrades!$T$19="Roche Lobe Overflow",POWER(Upgrades!$U$19,K296),1)*IF(Upgrades!$T$20="Roche Lobe Overflow",POWER(Upgrades!$U$20,L296),1)*IF(Upgrades!$T$21="Roche Lobe Overflow",POWER(Upgrades!$U$21,M296),1))*$H$6*O296+((IF(F296=0,0,(Upgrades!$G$14+F296*Upgrades!$H$14)*POWER(Upgrades!$I$14,F296)))*(IF(Upgrades!$T$13="Local Bubble",POWER(Upgrades!$U$13,E296),1)*IF(Upgrades!$T$15="Local Bubble",POWER(Upgrades!$U$15,G296),1)*IF(Upgrades!$T$16="Local Bubble",POWER(Upgrades!$U$16,H296),1)*IF(Upgrades!$T$17="Local Bubble",POWER(Upgrades!$U$17,I296),1)*IF(Upgrades!$T$18="Local Bubble",POWER(Upgrades!$U$18,J296),1)*IF(Upgrades!$T$19="Local Bubble",POWER(Upgrades!$U$19,K296),1)*IF(Upgrades!$T$20="Local Bubble",POWER(Upgrades!$U$20,L296),1)*IF(Upgrades!$T$21="Local Bubble",POWER(Upgrades!$U$21,M296),1))*POWER(Upgrades!$P$13,E296)*POWER(Upgrades!$P$14,F296)*POWER(Upgrades!$P$15,G296)*POWER(Upgrades!$P$16,H296)*POWER(Upgrades!$P$17,I296)*POWER(Upgrades!$P$18,J296)*POWER(Upgrades!$P$19,K296)*POWER(Upgrades!$P$20,L296)*POWER(Upgrades!$P$21,M296)*$F$6)*0.05)/AN296,0)</f>
        <v/>
      </c>
      <c r="BC296" s="32">
        <f>IFERROR((Upgrades!$H$17*(POWER(Upgrades!$P$13,E296)*POWER(Upgrades!$P$14,F296)*POWER(Upgrades!$P$15,G296)*POWER(Upgrades!$P$16,H296)*POWER(Upgrades!$P$17,I296)*POWER(Upgrades!$P$18,J296)*POWER(Upgrades!$P$19,K296)*POWER(Upgrades!$P$20,L296)*POWER(Upgrades!$P$21,M296))*(IF(Upgrades!$T$13="Brown Dwarf",POWER(Upgrades!$U$13,E296),1)*IF(Upgrades!$T$14="Brown Dwarf",POWER(Upgrades!$U$14,F296),1)*IF(Upgrades!$T$15="Brown Dwarf",POWER(Upgrades!$U$15,G296),1)*IF(Upgrades!$T$16="Brown Dwarf",POWER(Upgrades!$U$16,H296),1)*IF(Upgrades!$T$18="Brown Dwarf",POWER(Upgrades!$U$18,J296),1)*IF(Upgrades!$T$19="Brown Dwarf",POWER(Upgrades!$U$19,K296),1)*IF(Upgrades!$T$20="Brown Dwarf",POWER(Upgrades!$U$20,L296),1)*IF(Upgrades!$T$21="Brown Dwarf",POWER(Upgrades!$U$21,M296),1))*$F$6+(((IF(H296=0,0,(Upgrades!$M$16+H296*Upgrades!$N$16)*POWER(Upgrades!$O$16,H296)))*(IF(Upgrades!$T$13="Roche Lobe Overflow",POWER(Upgrades!$U$13,E296),1)*IF(Upgrades!$T$14="Roche Lobe Overflow",POWER(Upgrades!$U$14,F296),1)*IF(Upgrades!$T$15="Roche Lobe Overflow",POWER(Upgrades!$U$15,G296),1)*IF(Upgrades!$T$17="Roche Lobe Overflow",POWER(Upgrades!$U$17,I296),1)*IF(Upgrades!$T$18="Roche Lobe Overflow",POWER(Upgrades!$U$18,J296),1)*IF(Upgrades!$T$19="Roche Lobe Overflow",POWER(Upgrades!$U$19,K296),1)*IF(Upgrades!$T$20="Roche Lobe Overflow",POWER(Upgrades!$U$20,L296),1)*IF(Upgrades!$T$21="Roche Lobe Overflow",POWER(Upgrades!$U$21,M296),1))*POWER(Upgrades!$R$13,E296)*POWER(Upgrades!$R$14,F296)*POWER(Upgrades!$R$15,G296)*POWER(Upgrades!$R$16,H296)*POWER(Upgrades!$R$17,I296)*POWER(Upgrades!$R$18,J296)*POWER(Upgrades!$R$19,K296)*POWER(Upgrades!$R$20,L296)*POWER(Upgrades!$R$21,M296)*$H$6)*O296)*0.10)/AO296,0)</f>
        <v/>
      </c>
      <c r="BD296" s="32">
        <f>MAX(IF(J296&gt;0,0,IFERROR(0.5*((IF(G296=0,0,(Upgrades!$J$15+G296*Upgrades!$K$15)*POWER(Upgrades!$L$15,G296)))*(IF(Upgrades!$T$13="Microlensing",POWER(Upgrades!$U$13,E296),1)*IF(Upgrades!$T$14="Microlensing",POWER(Upgrades!$U$14,F296),1)*IF(Upgrades!$T$16="Microlensing",POWER(Upgrades!$U$16,H296),1)*IF(Upgrades!$T$17="Microlensing",POWER(Upgrades!$U$17,I296),1)*IF(Upgrades!$T$18="Microlensing",POWER(Upgrades!$U$18,J296),1)*IF(Upgrades!$T$19="Microlensing",POWER(Upgrades!$U$19,K296),1)*IF(Upgrades!$T$20="Microlensing",POWER(Upgrades!$U$20,L296),1)*IF(Upgrades!$T$21="Microlensing",POWER(Upgrades!$U$21,M296),1))*(POWER(Upgrades!$Q$13,E296)*POWER(Upgrades!$Q$14,F296)*POWER(Upgrades!$Q$15,G296)*POWER(Upgrades!$Q$16,H296)*POWER(Upgrades!$Q$17,I296)*POWER(Upgrades!$Q$18,J296)*POWER(Upgrades!$Q$19,K296)*POWER(Upgrades!$Q$20,L296)*POWER(Upgrades!$Q$21,M296))*$G$6*(Parameters!$B$10/60*Parameters!$B$11+Q296))/Upgrades!$C$18,0)),IF(K296&gt;0,0,IFERROR(0.30*P296/Upgrades!$C$19,0)),IF(L296&gt;0,0,IFERROR(0.0001/Upgrades!$C$20,0)),IF(M296&gt;0,0,IFERROR((6.0*(POWER(Upgrades!$P$13,E296)*POWER(Upgrades!$P$14,F296)*POWER(Upgrades!$P$15,G296)*POWER(Upgrades!$P$16,H296)*POWER(Upgrades!$P$17,I296)*POWER(Upgrades!$P$18,J296)*POWER(Upgrades!$P$19,K296)*POWER(Upgrades!$P$20,L296)*POWER(Upgrades!$P$21,M296))*$F$6+0.20*O296*(Parameters!$B$10/60*Parameters!$B$11+Q296))/Upgrades!$C$21,0)),IF(AND(ISNUMBER(AK296),AK296&gt;(C296+T296)),AY296,0),IF(AND(ISNUMBER(AL296),AL296&gt;(C296+T296)),AZ296,0),IF(AND(ISNUMBER(AM296),AM296&gt;(C296+T296)),BA296,0),IF(AND(ISNUMBER(AN296),AN296&gt;(C296+T296)),BB296,0),IF(AND(ISNUMBER(AO296),AO296&gt;(C296+T296)),BC296,0))</f>
        <v/>
      </c>
      <c r="BE296" s="29">
        <f>IF(AT296=1,"transition",IF(MIN(IF(AND(J296=0,ISNUMBER(AP296),AP296&lt;=(C296+T296)),AP296,9E15),IF(AND(K296=0,ISNUMBER(AQ296),AQ296&lt;=(C296+T296)),AQ296,9E15),IF(AND(L296=0,ISNUMBER(AR296),AR296&lt;=(C296+T296)),AR296,9E15),IF(AND(M296=0,ISNUMBER(AS296),AS296&lt;=(C296+T296)),AS296,9E15))&lt;9E15,IF(AND(AND(J296=0,ISNUMBER(AP296),AP296&lt;=(C296+T296)),AP296=MIN(IF(AND(J296=0,ISNUMBER(AP296),AP296&lt;=(C296+T296)),AP296,9E15),IF(AND(K296=0,ISNUMBER(AQ296),AQ296&lt;=(C296+T296)),AQ296,9E15),IF(AND(L296=0,ISNUMBER(AR296),AR296&lt;=(C296+T296)),AR296,9E15),IF(AND(M296=0,ISNUMBER(AS296),AS296&lt;=(C296+T296)),AS296,9E15))),"BiP",IF(AND(AND(K296=0,ISNUMBER(AQ296),AQ296&lt;=(C296+T296)),AQ296=MIN(IF(AND(J296=0,ISNUMBER(AP296),AP296&lt;=(C296+T296)),AP296,9E15),IF(AND(K296=0,ISNUMBER(AQ296),AQ296&lt;=(C296+T296)),AQ296,9E15),IF(AND(L296=0,ISNUMBER(AR296),AR296&lt;=(C296+T296)),AR296,9E15),IF(AND(M296=0,ISNUMBER(AS296),AS296&lt;=(C296+T296)),AS296,9E15))),"PV",IF(AND(AND(L296=0,ISNUMBER(AR296),AR296&lt;=(C296+T296)),AR296=MIN(IF(AND(J296=0,ISNUMBER(AP296),AP296&lt;=(C296+T296)),AP296,9E15),IF(AND(K296=0,ISNUMBER(AQ296),AQ296&lt;=(C296+T296)),AQ296,9E15),IF(AND(L296=0,ISNUMBER(AR296),AR296&lt;=(C296+T296)),AR296,9E15),IF(AND(M296=0,ISNUMBER(AS296),AS296&lt;=(C296+T296)),AS296,9E15))),"OC","MG"))),IF(AX296=TRUE,"",IF(MAX(IF(AND(NOT(AND(AU296=1,AT296&lt;&gt;1)),ISNUMBER(AK296),AK296&lt;=(C296+T296)),AY296,0),IF(AND(NOT(AND(AU296=1,AT296&lt;&gt;1)),ISNUMBER(AL296),AL296&lt;=(C296+T296)),AZ296,0),IF(AND(NOT(AND(AU296=1,AT296&lt;&gt;1)),ISNUMBER(AM296),AM296&lt;=(C296+T296)),BA296,0),IF(AND(NOT(AND(AU296=1,AT296&lt;&gt;1)),ISNUMBER(AN296),AN296&lt;=(C296+T296)),BB296,0),IF(AND(ISNUMBER(AO296),AO296&lt;=(C296+T296)),BC296,0))&lt;=0,"",IF(AND(IF(AND(NOT(AND(AU296=1,AT296&lt;&gt;1)),ISNUMBER(AK296),AK296&lt;=(C296+T296)),AY296,0)&gt;0,IF(AND(NOT(AND(AU296=1,AT296&lt;&gt;1)),ISNUMBER(AK296),AK296&lt;=(C296+T296)),AY296,0)=MAX(IF(AND(NOT(AND(AU296=1,AT296&lt;&gt;1)),ISNUMBER(AK296),AK296&lt;=(C296+T296)),AY296,0),IF(AND(NOT(AND(AU296=1,AT296&lt;&gt;1)),ISNUMBER(AL296),AL296&lt;=(C296+T296)),AZ296,0),IF(AND(NOT(AND(AU296=1,AT296&lt;&gt;1)),ISNUMBER(AM296),AM296&lt;=(C296+T296)),BA296,0),IF(AND(NOT(AND(AU296=1,AT296&lt;&gt;1)),ISNUMBER(AN296),AN296&lt;=(C296+T296)),BB296,0),IF(AND(ISNUMBER(AO296),AO296&lt;=(C296+T296)),BC296,0))),"SK",IF(AND(IF(AND(NOT(AND(AU296=1,AT296&lt;&gt;1)),ISNUMBER(AL296),AL296&lt;=(C296+T296)),AZ296,0)&gt;0,IF(AND(NOT(AND(AU296=1,AT296&lt;&gt;1)),ISNUMBER(AL296),AL296&lt;=(C296+T296)),AZ296,0)=MAX(IF(AND(NOT(AND(AU296=1,AT296&lt;&gt;1)),ISNUMBER(AK296),AK296&lt;=(C296+T296)),AY296,0),IF(AND(NOT(AND(AU296=1,AT296&lt;&gt;1)),ISNUMBER(AL296),AL296&lt;=(C296+T296)),AZ296,0),IF(AND(NOT(AND(AU296=1,AT296&lt;&gt;1)),ISNUMBER(AM296),AM296&lt;=(C296+T296)),BA296,0),IF(AND(NOT(AND(AU296=1,AT296&lt;&gt;1)),ISNUMBER(AN296),AN296&lt;=(C296+T296)),BB296,0),IF(AND(ISNUMBER(AO296),AO296&lt;=(C296+T296)),BC296,0))),"LB",IF(AND(IF(AND(NOT(AND(AU296=1,AT296&lt;&gt;1)),ISNUMBER(AM296),AM296&lt;=(C296+T296)),BA296,0)&gt;0,IF(AND(NOT(AND(AU296=1,AT296&lt;&gt;1)),ISNUMBER(AM296),AM296&lt;=(C296+T296)),BA296,0)=MAX(IF(AND(NOT(AND(AU296=1,AT296&lt;&gt;1)),ISNUMBER(AK296),AK296&lt;=(C296+T296)),AY296,0),IF(AND(NOT(AND(AU296=1,AT296&lt;&gt;1)),ISNUMBER(AL296),AL296&lt;=(C296+T296)),AZ296,0),IF(AND(NOT(AND(AU296=1,AT296&lt;&gt;1)),ISNUMBER(AM296),AM296&lt;=(C296+T296)),BA296,0),IF(AND(NOT(AND(AU296=1,AT296&lt;&gt;1)),ISNUMBER(AN296),AN296&lt;=(C296+T296)),BB296,0),IF(AND(ISNUMBER(AO296),AO296&lt;=(C296+T296)),BC296,0))),"ML",IF(AND(IF(AND(NOT(AND(AU296=1,AT296&lt;&gt;1)),ISNUMBER(AN296),AN296&lt;=(C296+T296)),BB296,0)&gt;0,IF(AND(NOT(AND(AU296=1,AT296&lt;&gt;1)),ISNUMBER(AN296),AN296&lt;=(C296+T296)),BB296,0)=MAX(IF(AND(NOT(AND(AU296=1,AT296&lt;&gt;1)),ISNUMBER(AK296),AK296&lt;=(C296+T296)),AY296,0),IF(AND(NOT(AND(AU296=1,AT296&lt;&gt;1)),ISNUMBER(AL296),AL296&lt;=(C296+T296)),AZ296,0),IF(AND(NOT(AND(AU296=1,AT296&lt;&gt;1)),ISNUMBER(AM296),AM296&lt;=(C296+T296)),BA296,0),IF(AND(NOT(AND(AU296=1,AT296&lt;&gt;1)),ISNUMBER(AN296),AN296&lt;=(C296+T296)),BB296,0),IF(AND(ISNUMBER(AO296),AO296&lt;=(C296+T296)),BC296,0))),"RLO","BD"))))))))</f>
        <v/>
      </c>
    </row>
    <row r="297">
      <c r="A297" s="26" t="n">
        <v>286</v>
      </c>
      <c r="B297" s="27">
        <f>A297*10/60</f>
        <v/>
      </c>
      <c r="C297" s="22">
        <f>X296</f>
        <v/>
      </c>
      <c r="D297" s="27">
        <f>D296+W296</f>
        <v/>
      </c>
      <c r="E297" s="26">
        <f>E296+IF(U296="SK",1,0)</f>
        <v/>
      </c>
      <c r="F297" s="26">
        <f>F296+IF(U296="LB",1,0)</f>
        <v/>
      </c>
      <c r="G297" s="26">
        <f>G296+IF(U296="ML",1,0)</f>
        <v/>
      </c>
      <c r="H297" s="26">
        <f>H296+IF(U296="RLO",1,0)</f>
        <v/>
      </c>
      <c r="I297" s="26">
        <f>I296+IF(U296="BD",1,0)</f>
        <v/>
      </c>
      <c r="J297" s="26">
        <f>MAX(J296,IF(U296="BiP",1,0))</f>
        <v/>
      </c>
      <c r="K297" s="26">
        <f>MAX(K296,IF(U296="PV",1,0))</f>
        <v/>
      </c>
      <c r="L297" s="26">
        <f>MAX(L296,IF(U296="OC",1,0))</f>
        <v/>
      </c>
      <c r="M297" s="26">
        <f>MAX(M296,IF(U296="MG",1,0))</f>
        <v/>
      </c>
      <c r="N297" s="26">
        <f>MAX(N296,IF(U296="transition",1,0))</f>
        <v/>
      </c>
      <c r="O297" s="28">
        <f>(Parameters!$B$9+(IF(E297=0,0,(Upgrades!$J$13+E297*Upgrades!$K$13)*POWER(Upgrades!$L$13,E297)))*(IF(Upgrades!$T$14="Stellar Kinematics",POWER(Upgrades!$U$14,F297),1)*IF(Upgrades!$T$15="Stellar Kinematics",POWER(Upgrades!$U$15,G297),1)*IF(Upgrades!$T$16="Stellar Kinematics",POWER(Upgrades!$U$16,H297),1)*IF(Upgrades!$T$17="Stellar Kinematics",POWER(Upgrades!$U$17,I297),1)*IF(Upgrades!$T$18="Stellar Kinematics",POWER(Upgrades!$U$18,J297),1)*IF(Upgrades!$T$19="Stellar Kinematics",POWER(Upgrades!$U$19,K297),1)*IF(Upgrades!$T$20="Stellar Kinematics",POWER(Upgrades!$U$20,L297),1)*IF(Upgrades!$T$21="Stellar Kinematics",POWER(Upgrades!$U$21,M297),1))+(IF(F297=0,0,(Upgrades!$J$14+F297*Upgrades!$K$14)*POWER(Upgrades!$L$14,F297)))*(IF(Upgrades!$T$13="Local Bubble",POWER(Upgrades!$U$13,E297),1)*IF(Upgrades!$T$15="Local Bubble",POWER(Upgrades!$U$15,G297),1)*IF(Upgrades!$T$16="Local Bubble",POWER(Upgrades!$U$16,H297),1)*IF(Upgrades!$T$17="Local Bubble",POWER(Upgrades!$U$17,I297),1)*IF(Upgrades!$T$18="Local Bubble",POWER(Upgrades!$U$18,J297),1)*IF(Upgrades!$T$19="Local Bubble",POWER(Upgrades!$U$19,K297),1)*IF(Upgrades!$T$20="Local Bubble",POWER(Upgrades!$U$20,L297),1)*IF(Upgrades!$T$21="Local Bubble",POWER(Upgrades!$U$21,M297),1))+(IF(G297=0,0,(Upgrades!$J$15+G297*Upgrades!$K$15)*POWER(Upgrades!$L$15,G297)))*(IF(Upgrades!$T$13="Microlensing",POWER(Upgrades!$U$13,E297),1)*IF(Upgrades!$T$14="Microlensing",POWER(Upgrades!$U$14,F297),1)*IF(Upgrades!$T$16="Microlensing",POWER(Upgrades!$U$16,H297),1)*IF(Upgrades!$T$17="Microlensing",POWER(Upgrades!$U$17,I297),1)*IF(Upgrades!$T$18="Microlensing",POWER(Upgrades!$U$18,J297),1)*IF(Upgrades!$T$19="Microlensing",POWER(Upgrades!$U$19,K297),1)*IF(Upgrades!$T$20="Microlensing",POWER(Upgrades!$U$20,L297),1)*IF(Upgrades!$T$21="Microlensing",POWER(Upgrades!$U$21,M297),1))+(IF(H297=0,0,(Upgrades!$J$16+H297*Upgrades!$K$16)*POWER(Upgrades!$L$16,H297)))*(IF(Upgrades!$T$13="Roche Lobe Overflow",POWER(Upgrades!$U$13,E297),1)*IF(Upgrades!$T$14="Roche Lobe Overflow",POWER(Upgrades!$U$14,F297),1)*IF(Upgrades!$T$15="Roche Lobe Overflow",POWER(Upgrades!$U$15,G297),1)*IF(Upgrades!$T$17="Roche Lobe Overflow",POWER(Upgrades!$U$17,I297),1)*IF(Upgrades!$T$18="Roche Lobe Overflow",POWER(Upgrades!$U$18,J297),1)*IF(Upgrades!$T$19="Roche Lobe Overflow",POWER(Upgrades!$U$19,K297),1)*IF(Upgrades!$T$20="Roche Lobe Overflow",POWER(Upgrades!$U$20,L297),1)*IF(Upgrades!$T$21="Roche Lobe Overflow",POWER(Upgrades!$U$21,M297),1))+(IF(I297=0,0,(Upgrades!$J$17+I297*Upgrades!$K$17)*POWER(Upgrades!$L$17,I297)))*(IF(Upgrades!$T$13="Brown Dwarf",POWER(Upgrades!$U$13,E297),1)*IF(Upgrades!$T$14="Brown Dwarf",POWER(Upgrades!$U$14,F297),1)*IF(Upgrades!$T$15="Brown Dwarf",POWER(Upgrades!$U$15,G297),1)*IF(Upgrades!$T$16="Brown Dwarf",POWER(Upgrades!$U$16,H297),1)*IF(Upgrades!$T$18="Brown Dwarf",POWER(Upgrades!$U$18,J297),1)*IF(Upgrades!$T$19="Brown Dwarf",POWER(Upgrades!$U$19,K297),1)*IF(Upgrades!$T$20="Brown Dwarf",POWER(Upgrades!$U$20,L297),1)*IF(Upgrades!$T$21="Brown Dwarf",POWER(Upgrades!$U$21,M297),1))+(IF(J297=0,0,(Upgrades!$J$18+J297*Upgrades!$K$18)*POWER(Upgrades!$L$18,J297)))*(IF(Upgrades!$T$13="Binary Partner",POWER(Upgrades!$U$13,E297),1)*IF(Upgrades!$T$14="Binary Partner",POWER(Upgrades!$U$14,F297),1)*IF(Upgrades!$T$15="Binary Partner",POWER(Upgrades!$U$15,G297),1)*IF(Upgrades!$T$16="Binary Partner",POWER(Upgrades!$U$16,H297),1)*IF(Upgrades!$T$17="Binary Partner",POWER(Upgrades!$U$17,I297),1)*IF(Upgrades!$T$19="Binary Partner",POWER(Upgrades!$U$19,K297),1)*IF(Upgrades!$T$20="Binary Partner",POWER(Upgrades!$U$20,L297),1)*IF(Upgrades!$T$21="Binary Partner",POWER(Upgrades!$U$21,M297),1))+(IF(K297=0,0,(Upgrades!$J$19+K297*Upgrades!$K$19)*POWER(Upgrades!$L$19,K297)))*(IF(Upgrades!$T$13="Peculiar Velocity",POWER(Upgrades!$U$13,E297),1)*IF(Upgrades!$T$14="Peculiar Velocity",POWER(Upgrades!$U$14,F297),1)*IF(Upgrades!$T$15="Peculiar Velocity",POWER(Upgrades!$U$15,G297),1)*IF(Upgrades!$T$16="Peculiar Velocity",POWER(Upgrades!$U$16,H297),1)*IF(Upgrades!$T$17="Peculiar Velocity",POWER(Upgrades!$U$17,I297),1)*IF(Upgrades!$T$18="Peculiar Velocity",POWER(Upgrades!$U$18,J297),1)*IF(Upgrades!$T$20="Peculiar Velocity",POWER(Upgrades!$U$20,L297),1)*IF(Upgrades!$T$21="Peculiar Velocity",POWER(Upgrades!$U$21,M297),1))+(IF(L297=0,0,(Upgrades!$J$20+L297*Upgrades!$K$20)*POWER(Upgrades!$L$20,L297)))*(IF(Upgrades!$T$13="Open Cluster",POWER(Upgrades!$U$13,E297),1)*IF(Upgrades!$T$14="Open Cluster",POWER(Upgrades!$U$14,F297),1)*IF(Upgrades!$T$15="Open Cluster",POWER(Upgrades!$U$15,G297),1)*IF(Upgrades!$T$16="Open Cluster",POWER(Upgrades!$U$16,H297),1)*IF(Upgrades!$T$17="Open Cluster",POWER(Upgrades!$U$17,I297),1)*IF(Upgrades!$T$18="Open Cluster",POWER(Upgrades!$U$18,J297),1)*IF(Upgrades!$T$19="Open Cluster",POWER(Upgrades!$U$19,K297),1)*IF(Upgrades!$T$21="Open Cluster",POWER(Upgrades!$U$21,M297),1))+(IF(M297=0,0,(Upgrades!$J$21+M297*Upgrades!$K$21)*POWER(Upgrades!$L$21,M297)))*(IF(Upgrades!$T$13="Moving Group",POWER(Upgrades!$U$13,E297),1)*IF(Upgrades!$T$14="Moving Group",POWER(Upgrades!$U$14,F297),1)*IF(Upgrades!$T$15="Moving Group",POWER(Upgrades!$U$15,G297),1)*IF(Upgrades!$T$16="Moving Group",POWER(Upgrades!$U$16,H297),1)*IF(Upgrades!$T$17="Moving Group",POWER(Upgrades!$U$17,I297),1)*IF(Upgrades!$T$18="Moving Group",POWER(Upgrades!$U$18,J297),1)*IF(Upgrades!$T$19="Moving Group",POWER(Upgrades!$U$19,K297),1)*IF(Upgrades!$T$20="Moving Group",POWER(Upgrades!$U$20,L297),1)))*POWER(Upgrades!$Q$13,E297)*POWER(Upgrades!$Q$14,F297)*POWER(Upgrades!$Q$15,G297)*POWER(Upgrades!$Q$16,H297)*POWER(Upgrades!$Q$17,I297)*POWER(Upgrades!$Q$18,J297)*POWER(Upgrades!$Q$19,K297)*POWER(Upgrades!$Q$20,L297)*POWER(Upgrades!$Q$21,M297)*$G$6+$D$6</f>
        <v/>
      </c>
      <c r="P297" s="28">
        <f>((IF(E297=0,0,(Upgrades!$G$13+E297*Upgrades!$H$13)*POWER(Upgrades!$I$13,E297)))*(IF(Upgrades!$T$14="Stellar Kinematics",POWER(Upgrades!$U$14,F297),1)*IF(Upgrades!$T$15="Stellar Kinematics",POWER(Upgrades!$U$15,G297),1)*IF(Upgrades!$T$16="Stellar Kinematics",POWER(Upgrades!$U$16,H297),1)*IF(Upgrades!$T$17="Stellar Kinematics",POWER(Upgrades!$U$17,I297),1)*IF(Upgrades!$T$18="Stellar Kinematics",POWER(Upgrades!$U$18,J297),1)*IF(Upgrades!$T$19="Stellar Kinematics",POWER(Upgrades!$U$19,K297),1)*IF(Upgrades!$T$20="Stellar Kinematics",POWER(Upgrades!$U$20,L297),1)*IF(Upgrades!$T$21="Stellar Kinematics",POWER(Upgrades!$U$21,M297),1))+(IF(F297=0,0,(Upgrades!$G$14+F297*Upgrades!$H$14)*POWER(Upgrades!$I$14,F297)))*(IF(Upgrades!$T$13="Local Bubble",POWER(Upgrades!$U$13,E297),1)*IF(Upgrades!$T$15="Local Bubble",POWER(Upgrades!$U$15,G297),1)*IF(Upgrades!$T$16="Local Bubble",POWER(Upgrades!$U$16,H297),1)*IF(Upgrades!$T$17="Local Bubble",POWER(Upgrades!$U$17,I297),1)*IF(Upgrades!$T$18="Local Bubble",POWER(Upgrades!$U$18,J297),1)*IF(Upgrades!$T$19="Local Bubble",POWER(Upgrades!$U$19,K297),1)*IF(Upgrades!$T$20="Local Bubble",POWER(Upgrades!$U$20,L297),1)*IF(Upgrades!$T$21="Local Bubble",POWER(Upgrades!$U$21,M297),1))+(IF(G297=0,0,(Upgrades!$G$15+G297*Upgrades!$H$15)*POWER(Upgrades!$I$15,G297)))*(IF(Upgrades!$T$13="Microlensing",POWER(Upgrades!$U$13,E297),1)*IF(Upgrades!$T$14="Microlensing",POWER(Upgrades!$U$14,F297),1)*IF(Upgrades!$T$16="Microlensing",POWER(Upgrades!$U$16,H297),1)*IF(Upgrades!$T$17="Microlensing",POWER(Upgrades!$U$17,I297),1)*IF(Upgrades!$T$18="Microlensing",POWER(Upgrades!$U$18,J297),1)*IF(Upgrades!$T$19="Microlensing",POWER(Upgrades!$U$19,K297),1)*IF(Upgrades!$T$20="Microlensing",POWER(Upgrades!$U$20,L297),1)*IF(Upgrades!$T$21="Microlensing",POWER(Upgrades!$U$21,M297),1))+(IF(H297=0,0,(Upgrades!$G$16+H297*Upgrades!$H$16)*POWER(Upgrades!$I$16,H297)))*(IF(Upgrades!$T$13="Roche Lobe Overflow",POWER(Upgrades!$U$13,E297),1)*IF(Upgrades!$T$14="Roche Lobe Overflow",POWER(Upgrades!$U$14,F297),1)*IF(Upgrades!$T$15="Roche Lobe Overflow",POWER(Upgrades!$U$15,G297),1)*IF(Upgrades!$T$17="Roche Lobe Overflow",POWER(Upgrades!$U$17,I297),1)*IF(Upgrades!$T$18="Roche Lobe Overflow",POWER(Upgrades!$U$18,J297),1)*IF(Upgrades!$T$19="Roche Lobe Overflow",POWER(Upgrades!$U$19,K297),1)*IF(Upgrades!$T$20="Roche Lobe Overflow",POWER(Upgrades!$U$20,L297),1)*IF(Upgrades!$T$21="Roche Lobe Overflow",POWER(Upgrades!$U$21,M297),1))+(IF(I297=0,0,(Upgrades!$G$17+I297*Upgrades!$H$17)*POWER(Upgrades!$I$17,I297)))*(IF(Upgrades!$T$13="Brown Dwarf",POWER(Upgrades!$U$13,E297),1)*IF(Upgrades!$T$14="Brown Dwarf",POWER(Upgrades!$U$14,F297),1)*IF(Upgrades!$T$15="Brown Dwarf",POWER(Upgrades!$U$15,G297),1)*IF(Upgrades!$T$16="Brown Dwarf",POWER(Upgrades!$U$16,H297),1)*IF(Upgrades!$T$18="Brown Dwarf",POWER(Upgrades!$U$18,J297),1)*IF(Upgrades!$T$19="Brown Dwarf",POWER(Upgrades!$U$19,K297),1)*IF(Upgrades!$T$20="Brown Dwarf",POWER(Upgrades!$U$20,L297),1)*IF(Upgrades!$T$21="Brown Dwarf",POWER(Upgrades!$U$21,M297),1))+(IF(J297=0,0,(Upgrades!$G$18+J297*Upgrades!$H$18)*POWER(Upgrades!$I$18,J297)))*(IF(Upgrades!$T$13="Binary Partner",POWER(Upgrades!$U$13,E297),1)*IF(Upgrades!$T$14="Binary Partner",POWER(Upgrades!$U$14,F297),1)*IF(Upgrades!$T$15="Binary Partner",POWER(Upgrades!$U$15,G297),1)*IF(Upgrades!$T$16="Binary Partner",POWER(Upgrades!$U$16,H297),1)*IF(Upgrades!$T$17="Binary Partner",POWER(Upgrades!$U$17,I297),1)*IF(Upgrades!$T$19="Binary Partner",POWER(Upgrades!$U$19,K297),1)*IF(Upgrades!$T$20="Binary Partner",POWER(Upgrades!$U$20,L297),1)*IF(Upgrades!$T$21="Binary Partner",POWER(Upgrades!$U$21,M297),1))+(IF(K297=0,0,(Upgrades!$G$19+K297*Upgrades!$H$19)*POWER(Upgrades!$I$19,K297)))*(IF(Upgrades!$T$13="Peculiar Velocity",POWER(Upgrades!$U$13,E297),1)*IF(Upgrades!$T$14="Peculiar Velocity",POWER(Upgrades!$U$14,F297),1)*IF(Upgrades!$T$15="Peculiar Velocity",POWER(Upgrades!$U$15,G297),1)*IF(Upgrades!$T$16="Peculiar Velocity",POWER(Upgrades!$U$16,H297),1)*IF(Upgrades!$T$17="Peculiar Velocity",POWER(Upgrades!$U$17,I297),1)*IF(Upgrades!$T$18="Peculiar Velocity",POWER(Upgrades!$U$18,J297),1)*IF(Upgrades!$T$20="Peculiar Velocity",POWER(Upgrades!$U$20,L297),1)*IF(Upgrades!$T$21="Peculiar Velocity",POWER(Upgrades!$U$21,M297),1))+(IF(L297=0,0,(Upgrades!$G$20+L297*Upgrades!$H$20)*POWER(Upgrades!$I$20,L297)))*(IF(Upgrades!$T$13="Open Cluster",POWER(Upgrades!$U$13,E297),1)*IF(Upgrades!$T$14="Open Cluster",POWER(Upgrades!$U$14,F297),1)*IF(Upgrades!$T$15="Open Cluster",POWER(Upgrades!$U$15,G297),1)*IF(Upgrades!$T$16="Open Cluster",POWER(Upgrades!$U$16,H297),1)*IF(Upgrades!$T$17="Open Cluster",POWER(Upgrades!$U$17,I297),1)*IF(Upgrades!$T$18="Open Cluster",POWER(Upgrades!$U$18,J297),1)*IF(Upgrades!$T$19="Open Cluster",POWER(Upgrades!$U$19,K297),1)*IF(Upgrades!$T$21="Open Cluster",POWER(Upgrades!$U$21,M297),1))+(IF(M297=0,0,(Upgrades!$G$21+M297*Upgrades!$H$21)*POWER(Upgrades!$I$21,M297)))*(IF(Upgrades!$T$13="Moving Group",POWER(Upgrades!$U$13,E297),1)*IF(Upgrades!$T$14="Moving Group",POWER(Upgrades!$U$14,F297),1)*IF(Upgrades!$T$15="Moving Group",POWER(Upgrades!$U$15,G297),1)*IF(Upgrades!$T$16="Moving Group",POWER(Upgrades!$U$16,H297),1)*IF(Upgrades!$T$17="Moving Group",POWER(Upgrades!$U$17,I297),1)*IF(Upgrades!$T$18="Moving Group",POWER(Upgrades!$U$18,J297),1)*IF(Upgrades!$T$19="Moving Group",POWER(Upgrades!$U$19,K297),1)*IF(Upgrades!$T$20="Moving Group",POWER(Upgrades!$U$20,L297),1)))*POWER(Upgrades!$P$13,E297)*POWER(Upgrades!$P$14,F297)*POWER(Upgrades!$P$15,G297)*POWER(Upgrades!$P$16,H297)*POWER(Upgrades!$P$17,I297)*POWER(Upgrades!$P$18,J297)*POWER(Upgrades!$P$19,K297)*POWER(Upgrades!$P$20,L297)*POWER(Upgrades!$P$21,M297)*$F$6+$C$6</f>
        <v/>
      </c>
      <c r="Q297" s="28">
        <f>((IF(E297=0,0,(Upgrades!$M$13+E297*Upgrades!$N$13)*POWER(Upgrades!$O$13,E297)))*(IF(Upgrades!$T$14="Stellar Kinematics",POWER(Upgrades!$U$14,F297),1)*IF(Upgrades!$T$15="Stellar Kinematics",POWER(Upgrades!$U$15,G297),1)*IF(Upgrades!$T$16="Stellar Kinematics",POWER(Upgrades!$U$16,H297),1)*IF(Upgrades!$T$17="Stellar Kinematics",POWER(Upgrades!$U$17,I297),1)*IF(Upgrades!$T$18="Stellar Kinematics",POWER(Upgrades!$U$18,J297),1)*IF(Upgrades!$T$19="Stellar Kinematics",POWER(Upgrades!$U$19,K297),1)*IF(Upgrades!$T$20="Stellar Kinematics",POWER(Upgrades!$U$20,L297),1)*IF(Upgrades!$T$21="Stellar Kinematics",POWER(Upgrades!$U$21,M297),1))+(IF(F297=0,0,(Upgrades!$M$14+F297*Upgrades!$N$14)*POWER(Upgrades!$O$14,F297)))*(IF(Upgrades!$T$13="Local Bubble",POWER(Upgrades!$U$13,E297),1)*IF(Upgrades!$T$15="Local Bubble",POWER(Upgrades!$U$15,G297),1)*IF(Upgrades!$T$16="Local Bubble",POWER(Upgrades!$U$16,H297),1)*IF(Upgrades!$T$17="Local Bubble",POWER(Upgrades!$U$17,I297),1)*IF(Upgrades!$T$18="Local Bubble",POWER(Upgrades!$U$18,J297),1)*IF(Upgrades!$T$19="Local Bubble",POWER(Upgrades!$U$19,K297),1)*IF(Upgrades!$T$20="Local Bubble",POWER(Upgrades!$U$20,L297),1)*IF(Upgrades!$T$21="Local Bubble",POWER(Upgrades!$U$21,M297),1))+(IF(G297=0,0,(Upgrades!$M$15+G297*Upgrades!$N$15)*POWER(Upgrades!$O$15,G297)))*(IF(Upgrades!$T$13="Microlensing",POWER(Upgrades!$U$13,E297),1)*IF(Upgrades!$T$14="Microlensing",POWER(Upgrades!$U$14,F297),1)*IF(Upgrades!$T$16="Microlensing",POWER(Upgrades!$U$16,H297),1)*IF(Upgrades!$T$17="Microlensing",POWER(Upgrades!$U$17,I297),1)*IF(Upgrades!$T$18="Microlensing",POWER(Upgrades!$U$18,J297),1)*IF(Upgrades!$T$19="Microlensing",POWER(Upgrades!$U$19,K297),1)*IF(Upgrades!$T$20="Microlensing",POWER(Upgrades!$U$20,L297),1)*IF(Upgrades!$T$21="Microlensing",POWER(Upgrades!$U$21,M297),1))+(IF(H297=0,0,(Upgrades!$M$16+H297*Upgrades!$N$16)*POWER(Upgrades!$O$16,H297)))*(IF(Upgrades!$T$13="Roche Lobe Overflow",POWER(Upgrades!$U$13,E297),1)*IF(Upgrades!$T$14="Roche Lobe Overflow",POWER(Upgrades!$U$14,F297),1)*IF(Upgrades!$T$15="Roche Lobe Overflow",POWER(Upgrades!$U$15,G297),1)*IF(Upgrades!$T$17="Roche Lobe Overflow",POWER(Upgrades!$U$17,I297),1)*IF(Upgrades!$T$18="Roche Lobe Overflow",POWER(Upgrades!$U$18,J297),1)*IF(Upgrades!$T$19="Roche Lobe Overflow",POWER(Upgrades!$U$19,K297),1)*IF(Upgrades!$T$20="Roche Lobe Overflow",POWER(Upgrades!$U$20,L297),1)*IF(Upgrades!$T$21="Roche Lobe Overflow",POWER(Upgrades!$U$21,M297),1))+(IF(I297=0,0,(Upgrades!$M$17+I297*Upgrades!$N$17)*POWER(Upgrades!$O$17,I297)))*(IF(Upgrades!$T$13="Brown Dwarf",POWER(Upgrades!$U$13,E297),1)*IF(Upgrades!$T$14="Brown Dwarf",POWER(Upgrades!$U$14,F297),1)*IF(Upgrades!$T$15="Brown Dwarf",POWER(Upgrades!$U$15,G297),1)*IF(Upgrades!$T$16="Brown Dwarf",POWER(Upgrades!$U$16,H297),1)*IF(Upgrades!$T$18="Brown Dwarf",POWER(Upgrades!$U$18,J297),1)*IF(Upgrades!$T$19="Brown Dwarf",POWER(Upgrades!$U$19,K297),1)*IF(Upgrades!$T$20="Brown Dwarf",POWER(Upgrades!$U$20,L297),1)*IF(Upgrades!$T$21="Brown Dwarf",POWER(Upgrades!$U$21,M297),1))+(IF(J297=0,0,(Upgrades!$M$18+J297*Upgrades!$N$18)*POWER(Upgrades!$O$18,J297)))*(IF(Upgrades!$T$13="Binary Partner",POWER(Upgrades!$U$13,E297),1)*IF(Upgrades!$T$14="Binary Partner",POWER(Upgrades!$U$14,F297),1)*IF(Upgrades!$T$15="Binary Partner",POWER(Upgrades!$U$15,G297),1)*IF(Upgrades!$T$16="Binary Partner",POWER(Upgrades!$U$16,H297),1)*IF(Upgrades!$T$17="Binary Partner",POWER(Upgrades!$U$17,I297),1)*IF(Upgrades!$T$19="Binary Partner",POWER(Upgrades!$U$19,K297),1)*IF(Upgrades!$T$20="Binary Partner",POWER(Upgrades!$U$20,L297),1)*IF(Upgrades!$T$21="Binary Partner",POWER(Upgrades!$U$21,M297),1))+(IF(K297=0,0,(Upgrades!$M$19+K297*Upgrades!$N$19)*POWER(Upgrades!$O$19,K297)))*(IF(Upgrades!$T$13="Peculiar Velocity",POWER(Upgrades!$U$13,E297),1)*IF(Upgrades!$T$14="Peculiar Velocity",POWER(Upgrades!$U$14,F297),1)*IF(Upgrades!$T$15="Peculiar Velocity",POWER(Upgrades!$U$15,G297),1)*IF(Upgrades!$T$16="Peculiar Velocity",POWER(Upgrades!$U$16,H297),1)*IF(Upgrades!$T$17="Peculiar Velocity",POWER(Upgrades!$U$17,I297),1)*IF(Upgrades!$T$18="Peculiar Velocity",POWER(Upgrades!$U$18,J297),1)*IF(Upgrades!$T$20="Peculiar Velocity",POWER(Upgrades!$U$20,L297),1)*IF(Upgrades!$T$21="Peculiar Velocity",POWER(Upgrades!$U$21,M297),1))+(IF(L297=0,0,(Upgrades!$M$20+L297*Upgrades!$N$20)*POWER(Upgrades!$O$20,L297)))*(IF(Upgrades!$T$13="Open Cluster",POWER(Upgrades!$U$13,E297),1)*IF(Upgrades!$T$14="Open Cluster",POWER(Upgrades!$U$14,F297),1)*IF(Upgrades!$T$15="Open Cluster",POWER(Upgrades!$U$15,G297),1)*IF(Upgrades!$T$16="Open Cluster",POWER(Upgrades!$U$16,H297),1)*IF(Upgrades!$T$17="Open Cluster",POWER(Upgrades!$U$17,I297),1)*IF(Upgrades!$T$18="Open Cluster",POWER(Upgrades!$U$18,J297),1)*IF(Upgrades!$T$19="Open Cluster",POWER(Upgrades!$U$19,K297),1)*IF(Upgrades!$T$21="Open Cluster",POWER(Upgrades!$U$21,M297),1))+(IF(M297=0,0,(Upgrades!$M$21+M297*Upgrades!$N$21)*POWER(Upgrades!$O$21,M297)))*(IF(Upgrades!$T$13="Moving Group",POWER(Upgrades!$U$13,E297),1)*IF(Upgrades!$T$14="Moving Group",POWER(Upgrades!$U$14,F297),1)*IF(Upgrades!$T$15="Moving Group",POWER(Upgrades!$U$15,G297),1)*IF(Upgrades!$T$16="Moving Group",POWER(Upgrades!$U$16,H297),1)*IF(Upgrades!$T$17="Moving Group",POWER(Upgrades!$U$17,I297),1)*IF(Upgrades!$T$18="Moving Group",POWER(Upgrades!$U$18,J297),1)*IF(Upgrades!$T$19="Moving Group",POWER(Upgrades!$U$19,K297),1)*IF(Upgrades!$T$20="Moving Group",POWER(Upgrades!$U$20,L297),1)))*POWER(Upgrades!$R$13,E297)*POWER(Upgrades!$R$14,F297)*POWER(Upgrades!$R$15,G297)*POWER(Upgrades!$R$16,H297)*POWER(Upgrades!$R$17,I297)*POWER(Upgrades!$R$18,J297)*POWER(Upgrades!$R$19,K297)*POWER(Upgrades!$R$20,L297)*POWER(Upgrades!$R$21,M297)*$H$6+$E$6</f>
        <v/>
      </c>
      <c r="R297" s="27">
        <f>IF(N297=1,0,O297*Parameters!$B$10/60*Parameters!$B$11*10)</f>
        <v/>
      </c>
      <c r="S297" s="27">
        <f>IF(N297=1,0,Q297*O297*10)</f>
        <v/>
      </c>
      <c r="T297" s="27">
        <f>IF(N297=1,0,R297+S297+P297*10)</f>
        <v/>
      </c>
      <c r="U297" s="33">
        <f>BE297</f>
        <v/>
      </c>
      <c r="V297" s="22">
        <f>IF(U297="",0,IF(U297="transition",0,IF(U297="SK",AK297,IF(U297="LB",AL297,IF(U297="ML",AM297,IF(U297="RLO",AN297,IF(U297="BD",AO297,IF(U297="BiP",AP297,IF(U297="PV",AQ297,IF(U297="OC",AR297,IF(U297="MG",AS297,0))))))))))</f>
        <v/>
      </c>
      <c r="W297" s="27">
        <f>IF(U297="BiP",Upgrades!$F$18,IF(U297="PV",Upgrades!$F$19,IF(U297="OC",Upgrades!$F$20,IF(U297="MG",Upgrades!$F$21,IF(U297="transition",-Parameters!$B$18*Parameters!$B$19,0)))))</f>
        <v/>
      </c>
      <c r="X297" s="22">
        <f>C297+T297-V297</f>
        <v/>
      </c>
      <c r="Y297" s="30">
        <f>O297*Parameters!$B$10/60*Parameters!$B$11+Q297*O297+P297</f>
        <v/>
      </c>
      <c r="Z297" s="34">
        <f>IF(U297="transition","→ Tier 3 (Galactic Arm)",IF(U297="MG","Moving Group — pocket drifts together",IF(U297="OC","Open Cluster acquired",IF(U297="PV","Peculiar Velocity — passive multiplier active",IF(U297="BiP","Binary Partner — pair bond formed",IF(AND(AU297=1,N297=0,AT297&lt;&gt;1),"Cohesion ready (waiting on completionists)","")))))) </f>
        <v/>
      </c>
      <c r="AA297" s="27">
        <f>(IF(E297=0,0,(Upgrades!$G$13+E297*Upgrades!$H$13)*POWER(Upgrades!$I$13,E297)))*(IF(Upgrades!$T$14="Stellar Kinematics",POWER(Upgrades!$U$14,F297),1)*IF(Upgrades!$T$15="Stellar Kinematics",POWER(Upgrades!$U$15,G297),1)*IF(Upgrades!$T$16="Stellar Kinematics",POWER(Upgrades!$U$16,H297),1)*IF(Upgrades!$T$17="Stellar Kinematics",POWER(Upgrades!$U$17,I297),1)*IF(Upgrades!$T$18="Stellar Kinematics",POWER(Upgrades!$U$18,J297),1)*IF(Upgrades!$T$19="Stellar Kinematics",POWER(Upgrades!$U$19,K297),1)*IF(Upgrades!$T$20="Stellar Kinematics",POWER(Upgrades!$U$20,L297),1)*IF(Upgrades!$T$21="Stellar Kinematics",POWER(Upgrades!$U$21,M297),1))*POWER(Upgrades!$P$13,E297)*POWER(Upgrades!$P$14,F297)*POWER(Upgrades!$P$15,G297)*POWER(Upgrades!$P$16,H297)*POWER(Upgrades!$P$17,I297)*POWER(Upgrades!$P$18,J297)*POWER(Upgrades!$P$19,K297)*POWER(Upgrades!$P$20,L297)*POWER(Upgrades!$P$21,M297)*$F$6*60</f>
        <v/>
      </c>
      <c r="AB297" s="27">
        <f>(IF(F297=0,0,(Upgrades!$G$14+F297*Upgrades!$H$14)*POWER(Upgrades!$I$14,F297)))*(IF(Upgrades!$T$13="Local Bubble",POWER(Upgrades!$U$13,E297),1)*IF(Upgrades!$T$15="Local Bubble",POWER(Upgrades!$U$15,G297),1)*IF(Upgrades!$T$16="Local Bubble",POWER(Upgrades!$U$16,H297),1)*IF(Upgrades!$T$17="Local Bubble",POWER(Upgrades!$U$17,I297),1)*IF(Upgrades!$T$18="Local Bubble",POWER(Upgrades!$U$18,J297),1)*IF(Upgrades!$T$19="Local Bubble",POWER(Upgrades!$U$19,K297),1)*IF(Upgrades!$T$20="Local Bubble",POWER(Upgrades!$U$20,L297),1)*IF(Upgrades!$T$21="Local Bubble",POWER(Upgrades!$U$21,M297),1))*POWER(Upgrades!$P$13,E297)*POWER(Upgrades!$P$14,F297)*POWER(Upgrades!$P$15,G297)*POWER(Upgrades!$P$16,H297)*POWER(Upgrades!$P$17,I297)*POWER(Upgrades!$P$18,J297)*POWER(Upgrades!$P$19,K297)*POWER(Upgrades!$P$20,L297)*POWER(Upgrades!$P$21,M297)*$F$6*60</f>
        <v/>
      </c>
      <c r="AC297" s="27">
        <f>(IF(G297=0,0,(Upgrades!$J$15+G297*Upgrades!$K$15)*POWER(Upgrades!$L$15,G297)))*(IF(Upgrades!$T$13="Microlensing",POWER(Upgrades!$U$13,E297),1)*IF(Upgrades!$T$14="Microlensing",POWER(Upgrades!$U$14,F297),1)*IF(Upgrades!$T$16="Microlensing",POWER(Upgrades!$U$16,H297),1)*IF(Upgrades!$T$17="Microlensing",POWER(Upgrades!$U$17,I297),1)*IF(Upgrades!$T$18="Microlensing",POWER(Upgrades!$U$18,J297),1)*IF(Upgrades!$T$19="Microlensing",POWER(Upgrades!$U$19,K297),1)*IF(Upgrades!$T$20="Microlensing",POWER(Upgrades!$U$20,L297),1)*IF(Upgrades!$T$21="Microlensing",POWER(Upgrades!$U$21,M297),1))*POWER(Upgrades!$Q$13,E297)*POWER(Upgrades!$Q$14,F297)*POWER(Upgrades!$Q$15,G297)*POWER(Upgrades!$Q$16,H297)*POWER(Upgrades!$Q$17,I297)*POWER(Upgrades!$Q$18,J297)*POWER(Upgrades!$Q$19,K297)*POWER(Upgrades!$Q$20,L297)*POWER(Upgrades!$Q$21,M297)*$G$6*(Parameters!$B$10*Parameters!$B$11+Q297*60)</f>
        <v/>
      </c>
      <c r="AD297" s="27">
        <f>(IF(H297=0,0,(Upgrades!$M$16+H297*Upgrades!$N$16)*POWER(Upgrades!$O$16,H297)))*(IF(Upgrades!$T$13="Roche Lobe Overflow",POWER(Upgrades!$U$13,E297),1)*IF(Upgrades!$T$14="Roche Lobe Overflow",POWER(Upgrades!$U$14,F297),1)*IF(Upgrades!$T$15="Roche Lobe Overflow",POWER(Upgrades!$U$15,G297),1)*IF(Upgrades!$T$17="Roche Lobe Overflow",POWER(Upgrades!$U$17,I297),1)*IF(Upgrades!$T$18="Roche Lobe Overflow",POWER(Upgrades!$U$18,J297),1)*IF(Upgrades!$T$19="Roche Lobe Overflow",POWER(Upgrades!$U$19,K297),1)*IF(Upgrades!$T$20="Roche Lobe Overflow",POWER(Upgrades!$U$20,L297),1)*IF(Upgrades!$T$21="Roche Lobe Overflow",POWER(Upgrades!$U$21,M297),1))*POWER(Upgrades!$R$13,E297)*POWER(Upgrades!$R$14,F297)*POWER(Upgrades!$R$15,G297)*POWER(Upgrades!$R$16,H297)*POWER(Upgrades!$R$17,I297)*POWER(Upgrades!$R$18,J297)*POWER(Upgrades!$R$19,K297)*POWER(Upgrades!$R$20,L297)*POWER(Upgrades!$R$21,M297)*$H$6*O297*60</f>
        <v/>
      </c>
      <c r="AE297" s="27">
        <f>(IF(I297=0,0,(Upgrades!$G$17+I297*Upgrades!$H$17)*POWER(Upgrades!$I$17,I297)))*(IF(Upgrades!$T$13="Brown Dwarf",POWER(Upgrades!$U$13,E297),1)*IF(Upgrades!$T$14="Brown Dwarf",POWER(Upgrades!$U$14,F297),1)*IF(Upgrades!$T$15="Brown Dwarf",POWER(Upgrades!$U$15,G297),1)*IF(Upgrades!$T$16="Brown Dwarf",POWER(Upgrades!$U$16,H297),1)*IF(Upgrades!$T$18="Brown Dwarf",POWER(Upgrades!$U$18,J297),1)*IF(Upgrades!$T$19="Brown Dwarf",POWER(Upgrades!$U$19,K297),1)*IF(Upgrades!$T$20="Brown Dwarf",POWER(Upgrades!$U$20,L297),1)*IF(Upgrades!$T$21="Brown Dwarf",POWER(Upgrades!$U$21,M297),1))*POWER(Upgrades!$P$13,E297)*POWER(Upgrades!$P$14,F297)*POWER(Upgrades!$P$15,G297)*POWER(Upgrades!$P$16,H297)*POWER(Upgrades!$P$17,I297)*POWER(Upgrades!$P$18,J297)*POWER(Upgrades!$P$19,K297)*POWER(Upgrades!$P$20,L297)*POWER(Upgrades!$P$21,M297)*$F$6*60</f>
        <v/>
      </c>
      <c r="AF297" s="27" t="n">
        <v>0</v>
      </c>
      <c r="AG297" s="27" t="n">
        <v>0</v>
      </c>
      <c r="AH297" s="27" t="n">
        <v>0</v>
      </c>
      <c r="AI297" s="27">
        <f>(IF(M297=0,0,(Upgrades!$G$21+M297*Upgrades!$H$21)*POWER(Upgrades!$I$21,M297)))*(IF(Upgrades!$T$13="Moving Group",POWER(Upgrades!$U$13,E297),1)*IF(Upgrades!$T$14="Moving Group",POWER(Upgrades!$U$14,F297),1)*IF(Upgrades!$T$15="Moving Group",POWER(Upgrades!$U$15,G297),1)*IF(Upgrades!$T$16="Moving Group",POWER(Upgrades!$U$16,H297),1)*IF(Upgrades!$T$17="Moving Group",POWER(Upgrades!$U$17,I297),1)*IF(Upgrades!$T$18="Moving Group",POWER(Upgrades!$U$18,J297),1)*IF(Upgrades!$T$19="Moving Group",POWER(Upgrades!$U$19,K297),1)*IF(Upgrades!$T$20="Moving Group",POWER(Upgrades!$U$20,L297),1))*POWER(Upgrades!$P$13,E297)*POWER(Upgrades!$P$14,F297)*POWER(Upgrades!$P$15,G297)*POWER(Upgrades!$P$16,H297)*POWER(Upgrades!$P$17,I297)*POWER(Upgrades!$P$18,J297)*POWER(Upgrades!$P$19,K297)*POWER(Upgrades!$P$20,L297)*POWER(Upgrades!$P$21,M297)*$F$6*60</f>
        <v/>
      </c>
      <c r="AJ297" s="27">
        <f>$C$6*60</f>
        <v/>
      </c>
      <c r="AK297" s="22">
        <f>IF(E297&gt;=Upgrades!$E$13,"",Upgrades!$C$13*POWER(Upgrades!$D$13,E297))</f>
        <v/>
      </c>
      <c r="AL297" s="22">
        <f>IF(F297&gt;=Upgrades!$E$14,"",Upgrades!$C$14*POWER(Upgrades!$D$14,F297))</f>
        <v/>
      </c>
      <c r="AM297" s="22">
        <f>IF(G297&gt;=Upgrades!$E$15,"",Upgrades!$C$15*POWER(Upgrades!$D$15,G297))</f>
        <v/>
      </c>
      <c r="AN297" s="22">
        <f>IF(H297&gt;=Upgrades!$E$16,"",Upgrades!$C$16*POWER(Upgrades!$D$16,H297))</f>
        <v/>
      </c>
      <c r="AO297" s="22">
        <f>IF(I297&gt;=Upgrades!$E$17,"",Upgrades!$C$17*POWER(Upgrades!$D$17,I297))</f>
        <v/>
      </c>
      <c r="AP297" s="22">
        <f>IF(J297&gt;=Upgrades!$E$18,"",Upgrades!$C$18*POWER(Upgrades!$D$18,J297))</f>
        <v/>
      </c>
      <c r="AQ297" s="22">
        <f>IF(K297&gt;=Upgrades!$E$19,"",Upgrades!$C$19*POWER(Upgrades!$D$19,K297))</f>
        <v/>
      </c>
      <c r="AR297" s="22">
        <f>IF(L297&gt;=Upgrades!$E$20,"",Upgrades!$C$20*POWER(Upgrades!$D$20,L297))</f>
        <v/>
      </c>
      <c r="AS297" s="22">
        <f>IF(M297&gt;=Upgrades!$E$21,"",Upgrades!$C$21*POWER(Upgrades!$D$21,M297))</f>
        <v/>
      </c>
      <c r="AT297" s="26">
        <f>IF(AND(D297&gt;=Parameters!$B$18*Parameters!$B$19,(I297&gt;=Upgrades!$E$17)*(M297&gt;=Upgrades!$E$21)=1,N297=0),1,"")</f>
        <v/>
      </c>
      <c r="AU297" s="26">
        <f>IF(AND(D297&gt;=Parameters!$B$18*Parameters!$B$19,N297=0),1,"")</f>
        <v/>
      </c>
      <c r="AV297" s="22">
        <f>MIN(IF(ISNUMBER(AP297),AP297,9E15),IF(ISNUMBER(AQ297),AQ297,9E15),IF(ISNUMBER(AR297),AR297,9E15),IF(ISNUMBER(AS297),AS297,9E15))</f>
        <v/>
      </c>
      <c r="AW297" s="22">
        <f>MIN(IF(ISNUMBER(AK297),AK297,9E15),IF(ISNUMBER(AL297),AL297,9E15),IF(ISNUMBER(AM297),AM297,9E15),IF(ISNUMBER(AN297),AN297,9E15),IF(ISNUMBER(AO297),AO297,9E15))</f>
        <v/>
      </c>
      <c r="AX297" s="29">
        <f>IF(BD297&gt;Parameters!$B$21*(MAX(IF(AND(NOT(AND(AU297=1,AT297&lt;&gt;1)),ISNUMBER(AK297),AK297&lt;=(C297+T297)),AY297,0),IF(AND(NOT(AND(AU297=1,AT297&lt;&gt;1)),ISNUMBER(AL297),AL297&lt;=(C297+T297)),AZ297,0),IF(AND(NOT(AND(AU297=1,AT297&lt;&gt;1)),ISNUMBER(AM297),AM297&lt;=(C297+T297)),BA297,0),IF(AND(NOT(AND(AU297=1,AT297&lt;&gt;1)),ISNUMBER(AN297),AN297&lt;=(C297+T297)),BB297,0),IF(AND(ISNUMBER(AO297),AO297&lt;=(C297+T297)),BC297,0))),TRUE,FALSE)</f>
        <v/>
      </c>
      <c r="AY297" s="32">
        <f>IFERROR(Upgrades!$H$13*(POWER(Upgrades!$P$13,E297)*POWER(Upgrades!$P$14,F297)*POWER(Upgrades!$P$15,G297)*POWER(Upgrades!$P$16,H297)*POWER(Upgrades!$P$17,I297)*POWER(Upgrades!$P$18,J297)*POWER(Upgrades!$P$19,K297)*POWER(Upgrades!$P$20,L297)*POWER(Upgrades!$P$21,M297))*(IF(Upgrades!$T$14="Stellar Kinematics",POWER(Upgrades!$U$14,F297),1)*IF(Upgrades!$T$15="Stellar Kinematics",POWER(Upgrades!$U$15,G297),1)*IF(Upgrades!$T$16="Stellar Kinematics",POWER(Upgrades!$U$16,H297),1)*IF(Upgrades!$T$17="Stellar Kinematics",POWER(Upgrades!$U$17,I297),1)*IF(Upgrades!$T$18="Stellar Kinematics",POWER(Upgrades!$U$18,J297),1)*IF(Upgrades!$T$19="Stellar Kinematics",POWER(Upgrades!$U$19,K297),1)*IF(Upgrades!$T$20="Stellar Kinematics",POWER(Upgrades!$U$20,L297),1)*IF(Upgrades!$T$21="Stellar Kinematics",POWER(Upgrades!$U$21,M297),1))*$F$6/AK297,0)</f>
        <v/>
      </c>
      <c r="AZ297" s="32">
        <f>IFERROR(Upgrades!$H$14*(POWER(Upgrades!$P$13,E297)*POWER(Upgrades!$P$14,F297)*POWER(Upgrades!$P$15,G297)*POWER(Upgrades!$P$16,H297)*POWER(Upgrades!$P$17,I297)*POWER(Upgrades!$P$18,J297)*POWER(Upgrades!$P$19,K297)*POWER(Upgrades!$P$20,L297)*POWER(Upgrades!$P$21,M297))*(IF(Upgrades!$T$13="Local Bubble",POWER(Upgrades!$U$13,E297),1)*IF(Upgrades!$T$15="Local Bubble",POWER(Upgrades!$U$15,G297),1)*IF(Upgrades!$T$16="Local Bubble",POWER(Upgrades!$U$16,H297),1)*IF(Upgrades!$T$17="Local Bubble",POWER(Upgrades!$U$17,I297),1)*IF(Upgrades!$T$18="Local Bubble",POWER(Upgrades!$U$18,J297),1)*IF(Upgrades!$T$19="Local Bubble",POWER(Upgrades!$U$19,K297),1)*IF(Upgrades!$T$20="Local Bubble",POWER(Upgrades!$U$20,L297),1)*IF(Upgrades!$T$21="Local Bubble",POWER(Upgrades!$U$21,M297),1))*$F$6/AL297,0)</f>
        <v/>
      </c>
      <c r="BA297" s="32">
        <f>IFERROR(Upgrades!$K$15*(POWER(Upgrades!$Q$13,E297)*POWER(Upgrades!$Q$14,F297)*POWER(Upgrades!$Q$15,G297)*POWER(Upgrades!$Q$16,H297)*POWER(Upgrades!$Q$17,I297)*POWER(Upgrades!$Q$18,J297)*POWER(Upgrades!$Q$19,K297)*POWER(Upgrades!$Q$20,L297)*POWER(Upgrades!$Q$21,M297))*(IF(Upgrades!$T$13="Microlensing",POWER(Upgrades!$U$13,E297),1)*IF(Upgrades!$T$14="Microlensing",POWER(Upgrades!$U$14,F297),1)*IF(Upgrades!$T$16="Microlensing",POWER(Upgrades!$U$16,H297),1)*IF(Upgrades!$T$17="Microlensing",POWER(Upgrades!$U$17,I297),1)*IF(Upgrades!$T$18="Microlensing",POWER(Upgrades!$U$18,J297),1)*IF(Upgrades!$T$19="Microlensing",POWER(Upgrades!$U$19,K297),1)*IF(Upgrades!$T$20="Microlensing",POWER(Upgrades!$U$20,L297),1)*IF(Upgrades!$T$21="Microlensing",POWER(Upgrades!$U$21,M297),1))*$G$6*(Parameters!$B$10/60*Parameters!$B$11+Q297)/AM297,0)</f>
        <v/>
      </c>
      <c r="BB297" s="32">
        <f>IFERROR((Upgrades!$N$16*(POWER(Upgrades!$R$13,E297)*POWER(Upgrades!$R$14,F297)*POWER(Upgrades!$R$15,G297)*POWER(Upgrades!$R$16,H297)*POWER(Upgrades!$R$17,I297)*POWER(Upgrades!$R$18,J297)*POWER(Upgrades!$R$19,K297)*POWER(Upgrades!$R$20,L297)*POWER(Upgrades!$R$21,M297))*(IF(Upgrades!$T$13="Roche Lobe Overflow",POWER(Upgrades!$U$13,E297),1)*IF(Upgrades!$T$14="Roche Lobe Overflow",POWER(Upgrades!$U$14,F297),1)*IF(Upgrades!$T$15="Roche Lobe Overflow",POWER(Upgrades!$U$15,G297),1)*IF(Upgrades!$T$17="Roche Lobe Overflow",POWER(Upgrades!$U$17,I297),1)*IF(Upgrades!$T$18="Roche Lobe Overflow",POWER(Upgrades!$U$18,J297),1)*IF(Upgrades!$T$19="Roche Lobe Overflow",POWER(Upgrades!$U$19,K297),1)*IF(Upgrades!$T$20="Roche Lobe Overflow",POWER(Upgrades!$U$20,L297),1)*IF(Upgrades!$T$21="Roche Lobe Overflow",POWER(Upgrades!$U$21,M297),1))*$H$6*O297+((IF(F297=0,0,(Upgrades!$G$14+F297*Upgrades!$H$14)*POWER(Upgrades!$I$14,F297)))*(IF(Upgrades!$T$13="Local Bubble",POWER(Upgrades!$U$13,E297),1)*IF(Upgrades!$T$15="Local Bubble",POWER(Upgrades!$U$15,G297),1)*IF(Upgrades!$T$16="Local Bubble",POWER(Upgrades!$U$16,H297),1)*IF(Upgrades!$T$17="Local Bubble",POWER(Upgrades!$U$17,I297),1)*IF(Upgrades!$T$18="Local Bubble",POWER(Upgrades!$U$18,J297),1)*IF(Upgrades!$T$19="Local Bubble",POWER(Upgrades!$U$19,K297),1)*IF(Upgrades!$T$20="Local Bubble",POWER(Upgrades!$U$20,L297),1)*IF(Upgrades!$T$21="Local Bubble",POWER(Upgrades!$U$21,M297),1))*POWER(Upgrades!$P$13,E297)*POWER(Upgrades!$P$14,F297)*POWER(Upgrades!$P$15,G297)*POWER(Upgrades!$P$16,H297)*POWER(Upgrades!$P$17,I297)*POWER(Upgrades!$P$18,J297)*POWER(Upgrades!$P$19,K297)*POWER(Upgrades!$P$20,L297)*POWER(Upgrades!$P$21,M297)*$F$6)*0.05)/AN297,0)</f>
        <v/>
      </c>
      <c r="BC297" s="32">
        <f>IFERROR((Upgrades!$H$17*(POWER(Upgrades!$P$13,E297)*POWER(Upgrades!$P$14,F297)*POWER(Upgrades!$P$15,G297)*POWER(Upgrades!$P$16,H297)*POWER(Upgrades!$P$17,I297)*POWER(Upgrades!$P$18,J297)*POWER(Upgrades!$P$19,K297)*POWER(Upgrades!$P$20,L297)*POWER(Upgrades!$P$21,M297))*(IF(Upgrades!$T$13="Brown Dwarf",POWER(Upgrades!$U$13,E297),1)*IF(Upgrades!$T$14="Brown Dwarf",POWER(Upgrades!$U$14,F297),1)*IF(Upgrades!$T$15="Brown Dwarf",POWER(Upgrades!$U$15,G297),1)*IF(Upgrades!$T$16="Brown Dwarf",POWER(Upgrades!$U$16,H297),1)*IF(Upgrades!$T$18="Brown Dwarf",POWER(Upgrades!$U$18,J297),1)*IF(Upgrades!$T$19="Brown Dwarf",POWER(Upgrades!$U$19,K297),1)*IF(Upgrades!$T$20="Brown Dwarf",POWER(Upgrades!$U$20,L297),1)*IF(Upgrades!$T$21="Brown Dwarf",POWER(Upgrades!$U$21,M297),1))*$F$6+(((IF(H297=0,0,(Upgrades!$M$16+H297*Upgrades!$N$16)*POWER(Upgrades!$O$16,H297)))*(IF(Upgrades!$T$13="Roche Lobe Overflow",POWER(Upgrades!$U$13,E297),1)*IF(Upgrades!$T$14="Roche Lobe Overflow",POWER(Upgrades!$U$14,F297),1)*IF(Upgrades!$T$15="Roche Lobe Overflow",POWER(Upgrades!$U$15,G297),1)*IF(Upgrades!$T$17="Roche Lobe Overflow",POWER(Upgrades!$U$17,I297),1)*IF(Upgrades!$T$18="Roche Lobe Overflow",POWER(Upgrades!$U$18,J297),1)*IF(Upgrades!$T$19="Roche Lobe Overflow",POWER(Upgrades!$U$19,K297),1)*IF(Upgrades!$T$20="Roche Lobe Overflow",POWER(Upgrades!$U$20,L297),1)*IF(Upgrades!$T$21="Roche Lobe Overflow",POWER(Upgrades!$U$21,M297),1))*POWER(Upgrades!$R$13,E297)*POWER(Upgrades!$R$14,F297)*POWER(Upgrades!$R$15,G297)*POWER(Upgrades!$R$16,H297)*POWER(Upgrades!$R$17,I297)*POWER(Upgrades!$R$18,J297)*POWER(Upgrades!$R$19,K297)*POWER(Upgrades!$R$20,L297)*POWER(Upgrades!$R$21,M297)*$H$6)*O297)*0.10)/AO297,0)</f>
        <v/>
      </c>
      <c r="BD297" s="32">
        <f>MAX(IF(J297&gt;0,0,IFERROR(0.5*((IF(G297=0,0,(Upgrades!$J$15+G297*Upgrades!$K$15)*POWER(Upgrades!$L$15,G297)))*(IF(Upgrades!$T$13="Microlensing",POWER(Upgrades!$U$13,E297),1)*IF(Upgrades!$T$14="Microlensing",POWER(Upgrades!$U$14,F297),1)*IF(Upgrades!$T$16="Microlensing",POWER(Upgrades!$U$16,H297),1)*IF(Upgrades!$T$17="Microlensing",POWER(Upgrades!$U$17,I297),1)*IF(Upgrades!$T$18="Microlensing",POWER(Upgrades!$U$18,J297),1)*IF(Upgrades!$T$19="Microlensing",POWER(Upgrades!$U$19,K297),1)*IF(Upgrades!$T$20="Microlensing",POWER(Upgrades!$U$20,L297),1)*IF(Upgrades!$T$21="Microlensing",POWER(Upgrades!$U$21,M297),1))*(POWER(Upgrades!$Q$13,E297)*POWER(Upgrades!$Q$14,F297)*POWER(Upgrades!$Q$15,G297)*POWER(Upgrades!$Q$16,H297)*POWER(Upgrades!$Q$17,I297)*POWER(Upgrades!$Q$18,J297)*POWER(Upgrades!$Q$19,K297)*POWER(Upgrades!$Q$20,L297)*POWER(Upgrades!$Q$21,M297))*$G$6*(Parameters!$B$10/60*Parameters!$B$11+Q297))/Upgrades!$C$18,0)),IF(K297&gt;0,0,IFERROR(0.30*P297/Upgrades!$C$19,0)),IF(L297&gt;0,0,IFERROR(0.0001/Upgrades!$C$20,0)),IF(M297&gt;0,0,IFERROR((6.0*(POWER(Upgrades!$P$13,E297)*POWER(Upgrades!$P$14,F297)*POWER(Upgrades!$P$15,G297)*POWER(Upgrades!$P$16,H297)*POWER(Upgrades!$P$17,I297)*POWER(Upgrades!$P$18,J297)*POWER(Upgrades!$P$19,K297)*POWER(Upgrades!$P$20,L297)*POWER(Upgrades!$P$21,M297))*$F$6+0.20*O297*(Parameters!$B$10/60*Parameters!$B$11+Q297))/Upgrades!$C$21,0)),IF(AND(ISNUMBER(AK297),AK297&gt;(C297+T297)),AY297,0),IF(AND(ISNUMBER(AL297),AL297&gt;(C297+T297)),AZ297,0),IF(AND(ISNUMBER(AM297),AM297&gt;(C297+T297)),BA297,0),IF(AND(ISNUMBER(AN297),AN297&gt;(C297+T297)),BB297,0),IF(AND(ISNUMBER(AO297),AO297&gt;(C297+T297)),BC297,0))</f>
        <v/>
      </c>
      <c r="BE297" s="29">
        <f>IF(AT297=1,"transition",IF(MIN(IF(AND(J297=0,ISNUMBER(AP297),AP297&lt;=(C297+T297)),AP297,9E15),IF(AND(K297=0,ISNUMBER(AQ297),AQ297&lt;=(C297+T297)),AQ297,9E15),IF(AND(L297=0,ISNUMBER(AR297),AR297&lt;=(C297+T297)),AR297,9E15),IF(AND(M297=0,ISNUMBER(AS297),AS297&lt;=(C297+T297)),AS297,9E15))&lt;9E15,IF(AND(AND(J297=0,ISNUMBER(AP297),AP297&lt;=(C297+T297)),AP297=MIN(IF(AND(J297=0,ISNUMBER(AP297),AP297&lt;=(C297+T297)),AP297,9E15),IF(AND(K297=0,ISNUMBER(AQ297),AQ297&lt;=(C297+T297)),AQ297,9E15),IF(AND(L297=0,ISNUMBER(AR297),AR297&lt;=(C297+T297)),AR297,9E15),IF(AND(M297=0,ISNUMBER(AS297),AS297&lt;=(C297+T297)),AS297,9E15))),"BiP",IF(AND(AND(K297=0,ISNUMBER(AQ297),AQ297&lt;=(C297+T297)),AQ297=MIN(IF(AND(J297=0,ISNUMBER(AP297),AP297&lt;=(C297+T297)),AP297,9E15),IF(AND(K297=0,ISNUMBER(AQ297),AQ297&lt;=(C297+T297)),AQ297,9E15),IF(AND(L297=0,ISNUMBER(AR297),AR297&lt;=(C297+T297)),AR297,9E15),IF(AND(M297=0,ISNUMBER(AS297),AS297&lt;=(C297+T297)),AS297,9E15))),"PV",IF(AND(AND(L297=0,ISNUMBER(AR297),AR297&lt;=(C297+T297)),AR297=MIN(IF(AND(J297=0,ISNUMBER(AP297),AP297&lt;=(C297+T297)),AP297,9E15),IF(AND(K297=0,ISNUMBER(AQ297),AQ297&lt;=(C297+T297)),AQ297,9E15),IF(AND(L297=0,ISNUMBER(AR297),AR297&lt;=(C297+T297)),AR297,9E15),IF(AND(M297=0,ISNUMBER(AS297),AS297&lt;=(C297+T297)),AS297,9E15))),"OC","MG"))),IF(AX297=TRUE,"",IF(MAX(IF(AND(NOT(AND(AU297=1,AT297&lt;&gt;1)),ISNUMBER(AK297),AK297&lt;=(C297+T297)),AY297,0),IF(AND(NOT(AND(AU297=1,AT297&lt;&gt;1)),ISNUMBER(AL297),AL297&lt;=(C297+T297)),AZ297,0),IF(AND(NOT(AND(AU297=1,AT297&lt;&gt;1)),ISNUMBER(AM297),AM297&lt;=(C297+T297)),BA297,0),IF(AND(NOT(AND(AU297=1,AT297&lt;&gt;1)),ISNUMBER(AN297),AN297&lt;=(C297+T297)),BB297,0),IF(AND(ISNUMBER(AO297),AO297&lt;=(C297+T297)),BC297,0))&lt;=0,"",IF(AND(IF(AND(NOT(AND(AU297=1,AT297&lt;&gt;1)),ISNUMBER(AK297),AK297&lt;=(C297+T297)),AY297,0)&gt;0,IF(AND(NOT(AND(AU297=1,AT297&lt;&gt;1)),ISNUMBER(AK297),AK297&lt;=(C297+T297)),AY297,0)=MAX(IF(AND(NOT(AND(AU297=1,AT297&lt;&gt;1)),ISNUMBER(AK297),AK297&lt;=(C297+T297)),AY297,0),IF(AND(NOT(AND(AU297=1,AT297&lt;&gt;1)),ISNUMBER(AL297),AL297&lt;=(C297+T297)),AZ297,0),IF(AND(NOT(AND(AU297=1,AT297&lt;&gt;1)),ISNUMBER(AM297),AM297&lt;=(C297+T297)),BA297,0),IF(AND(NOT(AND(AU297=1,AT297&lt;&gt;1)),ISNUMBER(AN297),AN297&lt;=(C297+T297)),BB297,0),IF(AND(ISNUMBER(AO297),AO297&lt;=(C297+T297)),BC297,0))),"SK",IF(AND(IF(AND(NOT(AND(AU297=1,AT297&lt;&gt;1)),ISNUMBER(AL297),AL297&lt;=(C297+T297)),AZ297,0)&gt;0,IF(AND(NOT(AND(AU297=1,AT297&lt;&gt;1)),ISNUMBER(AL297),AL297&lt;=(C297+T297)),AZ297,0)=MAX(IF(AND(NOT(AND(AU297=1,AT297&lt;&gt;1)),ISNUMBER(AK297),AK297&lt;=(C297+T297)),AY297,0),IF(AND(NOT(AND(AU297=1,AT297&lt;&gt;1)),ISNUMBER(AL297),AL297&lt;=(C297+T297)),AZ297,0),IF(AND(NOT(AND(AU297=1,AT297&lt;&gt;1)),ISNUMBER(AM297),AM297&lt;=(C297+T297)),BA297,0),IF(AND(NOT(AND(AU297=1,AT297&lt;&gt;1)),ISNUMBER(AN297),AN297&lt;=(C297+T297)),BB297,0),IF(AND(ISNUMBER(AO297),AO297&lt;=(C297+T297)),BC297,0))),"LB",IF(AND(IF(AND(NOT(AND(AU297=1,AT297&lt;&gt;1)),ISNUMBER(AM297),AM297&lt;=(C297+T297)),BA297,0)&gt;0,IF(AND(NOT(AND(AU297=1,AT297&lt;&gt;1)),ISNUMBER(AM297),AM297&lt;=(C297+T297)),BA297,0)=MAX(IF(AND(NOT(AND(AU297=1,AT297&lt;&gt;1)),ISNUMBER(AK297),AK297&lt;=(C297+T297)),AY297,0),IF(AND(NOT(AND(AU297=1,AT297&lt;&gt;1)),ISNUMBER(AL297),AL297&lt;=(C297+T297)),AZ297,0),IF(AND(NOT(AND(AU297=1,AT297&lt;&gt;1)),ISNUMBER(AM297),AM297&lt;=(C297+T297)),BA297,0),IF(AND(NOT(AND(AU297=1,AT297&lt;&gt;1)),ISNUMBER(AN297),AN297&lt;=(C297+T297)),BB297,0),IF(AND(ISNUMBER(AO297),AO297&lt;=(C297+T297)),BC297,0))),"ML",IF(AND(IF(AND(NOT(AND(AU297=1,AT297&lt;&gt;1)),ISNUMBER(AN297),AN297&lt;=(C297+T297)),BB297,0)&gt;0,IF(AND(NOT(AND(AU297=1,AT297&lt;&gt;1)),ISNUMBER(AN297),AN297&lt;=(C297+T297)),BB297,0)=MAX(IF(AND(NOT(AND(AU297=1,AT297&lt;&gt;1)),ISNUMBER(AK297),AK297&lt;=(C297+T297)),AY297,0),IF(AND(NOT(AND(AU297=1,AT297&lt;&gt;1)),ISNUMBER(AL297),AL297&lt;=(C297+T297)),AZ297,0),IF(AND(NOT(AND(AU297=1,AT297&lt;&gt;1)),ISNUMBER(AM297),AM297&lt;=(C297+T297)),BA297,0),IF(AND(NOT(AND(AU297=1,AT297&lt;&gt;1)),ISNUMBER(AN297),AN297&lt;=(C297+T297)),BB297,0),IF(AND(ISNUMBER(AO297),AO297&lt;=(C297+T297)),BC297,0))),"RLO","BD"))))))))</f>
        <v/>
      </c>
    </row>
    <row r="298">
      <c r="A298" s="26" t="n">
        <v>287</v>
      </c>
      <c r="B298" s="27">
        <f>A298*10/60</f>
        <v/>
      </c>
      <c r="C298" s="22">
        <f>X297</f>
        <v/>
      </c>
      <c r="D298" s="27">
        <f>D297+W297</f>
        <v/>
      </c>
      <c r="E298" s="26">
        <f>E297+IF(U297="SK",1,0)</f>
        <v/>
      </c>
      <c r="F298" s="26">
        <f>F297+IF(U297="LB",1,0)</f>
        <v/>
      </c>
      <c r="G298" s="26">
        <f>G297+IF(U297="ML",1,0)</f>
        <v/>
      </c>
      <c r="H298" s="26">
        <f>H297+IF(U297="RLO",1,0)</f>
        <v/>
      </c>
      <c r="I298" s="26">
        <f>I297+IF(U297="BD",1,0)</f>
        <v/>
      </c>
      <c r="J298" s="26">
        <f>MAX(J297,IF(U297="BiP",1,0))</f>
        <v/>
      </c>
      <c r="K298" s="26">
        <f>MAX(K297,IF(U297="PV",1,0))</f>
        <v/>
      </c>
      <c r="L298" s="26">
        <f>MAX(L297,IF(U297="OC",1,0))</f>
        <v/>
      </c>
      <c r="M298" s="26">
        <f>MAX(M297,IF(U297="MG",1,0))</f>
        <v/>
      </c>
      <c r="N298" s="26">
        <f>MAX(N297,IF(U297="transition",1,0))</f>
        <v/>
      </c>
      <c r="O298" s="28">
        <f>(Parameters!$B$9+(IF(E298=0,0,(Upgrades!$J$13+E298*Upgrades!$K$13)*POWER(Upgrades!$L$13,E298)))*(IF(Upgrades!$T$14="Stellar Kinematics",POWER(Upgrades!$U$14,F298),1)*IF(Upgrades!$T$15="Stellar Kinematics",POWER(Upgrades!$U$15,G298),1)*IF(Upgrades!$T$16="Stellar Kinematics",POWER(Upgrades!$U$16,H298),1)*IF(Upgrades!$T$17="Stellar Kinematics",POWER(Upgrades!$U$17,I298),1)*IF(Upgrades!$T$18="Stellar Kinematics",POWER(Upgrades!$U$18,J298),1)*IF(Upgrades!$T$19="Stellar Kinematics",POWER(Upgrades!$U$19,K298),1)*IF(Upgrades!$T$20="Stellar Kinematics",POWER(Upgrades!$U$20,L298),1)*IF(Upgrades!$T$21="Stellar Kinematics",POWER(Upgrades!$U$21,M298),1))+(IF(F298=0,0,(Upgrades!$J$14+F298*Upgrades!$K$14)*POWER(Upgrades!$L$14,F298)))*(IF(Upgrades!$T$13="Local Bubble",POWER(Upgrades!$U$13,E298),1)*IF(Upgrades!$T$15="Local Bubble",POWER(Upgrades!$U$15,G298),1)*IF(Upgrades!$T$16="Local Bubble",POWER(Upgrades!$U$16,H298),1)*IF(Upgrades!$T$17="Local Bubble",POWER(Upgrades!$U$17,I298),1)*IF(Upgrades!$T$18="Local Bubble",POWER(Upgrades!$U$18,J298),1)*IF(Upgrades!$T$19="Local Bubble",POWER(Upgrades!$U$19,K298),1)*IF(Upgrades!$T$20="Local Bubble",POWER(Upgrades!$U$20,L298),1)*IF(Upgrades!$T$21="Local Bubble",POWER(Upgrades!$U$21,M298),1))+(IF(G298=0,0,(Upgrades!$J$15+G298*Upgrades!$K$15)*POWER(Upgrades!$L$15,G298)))*(IF(Upgrades!$T$13="Microlensing",POWER(Upgrades!$U$13,E298),1)*IF(Upgrades!$T$14="Microlensing",POWER(Upgrades!$U$14,F298),1)*IF(Upgrades!$T$16="Microlensing",POWER(Upgrades!$U$16,H298),1)*IF(Upgrades!$T$17="Microlensing",POWER(Upgrades!$U$17,I298),1)*IF(Upgrades!$T$18="Microlensing",POWER(Upgrades!$U$18,J298),1)*IF(Upgrades!$T$19="Microlensing",POWER(Upgrades!$U$19,K298),1)*IF(Upgrades!$T$20="Microlensing",POWER(Upgrades!$U$20,L298),1)*IF(Upgrades!$T$21="Microlensing",POWER(Upgrades!$U$21,M298),1))+(IF(H298=0,0,(Upgrades!$J$16+H298*Upgrades!$K$16)*POWER(Upgrades!$L$16,H298)))*(IF(Upgrades!$T$13="Roche Lobe Overflow",POWER(Upgrades!$U$13,E298),1)*IF(Upgrades!$T$14="Roche Lobe Overflow",POWER(Upgrades!$U$14,F298),1)*IF(Upgrades!$T$15="Roche Lobe Overflow",POWER(Upgrades!$U$15,G298),1)*IF(Upgrades!$T$17="Roche Lobe Overflow",POWER(Upgrades!$U$17,I298),1)*IF(Upgrades!$T$18="Roche Lobe Overflow",POWER(Upgrades!$U$18,J298),1)*IF(Upgrades!$T$19="Roche Lobe Overflow",POWER(Upgrades!$U$19,K298),1)*IF(Upgrades!$T$20="Roche Lobe Overflow",POWER(Upgrades!$U$20,L298),1)*IF(Upgrades!$T$21="Roche Lobe Overflow",POWER(Upgrades!$U$21,M298),1))+(IF(I298=0,0,(Upgrades!$J$17+I298*Upgrades!$K$17)*POWER(Upgrades!$L$17,I298)))*(IF(Upgrades!$T$13="Brown Dwarf",POWER(Upgrades!$U$13,E298),1)*IF(Upgrades!$T$14="Brown Dwarf",POWER(Upgrades!$U$14,F298),1)*IF(Upgrades!$T$15="Brown Dwarf",POWER(Upgrades!$U$15,G298),1)*IF(Upgrades!$T$16="Brown Dwarf",POWER(Upgrades!$U$16,H298),1)*IF(Upgrades!$T$18="Brown Dwarf",POWER(Upgrades!$U$18,J298),1)*IF(Upgrades!$T$19="Brown Dwarf",POWER(Upgrades!$U$19,K298),1)*IF(Upgrades!$T$20="Brown Dwarf",POWER(Upgrades!$U$20,L298),1)*IF(Upgrades!$T$21="Brown Dwarf",POWER(Upgrades!$U$21,M298),1))+(IF(J298=0,0,(Upgrades!$J$18+J298*Upgrades!$K$18)*POWER(Upgrades!$L$18,J298)))*(IF(Upgrades!$T$13="Binary Partner",POWER(Upgrades!$U$13,E298),1)*IF(Upgrades!$T$14="Binary Partner",POWER(Upgrades!$U$14,F298),1)*IF(Upgrades!$T$15="Binary Partner",POWER(Upgrades!$U$15,G298),1)*IF(Upgrades!$T$16="Binary Partner",POWER(Upgrades!$U$16,H298),1)*IF(Upgrades!$T$17="Binary Partner",POWER(Upgrades!$U$17,I298),1)*IF(Upgrades!$T$19="Binary Partner",POWER(Upgrades!$U$19,K298),1)*IF(Upgrades!$T$20="Binary Partner",POWER(Upgrades!$U$20,L298),1)*IF(Upgrades!$T$21="Binary Partner",POWER(Upgrades!$U$21,M298),1))+(IF(K298=0,0,(Upgrades!$J$19+K298*Upgrades!$K$19)*POWER(Upgrades!$L$19,K298)))*(IF(Upgrades!$T$13="Peculiar Velocity",POWER(Upgrades!$U$13,E298),1)*IF(Upgrades!$T$14="Peculiar Velocity",POWER(Upgrades!$U$14,F298),1)*IF(Upgrades!$T$15="Peculiar Velocity",POWER(Upgrades!$U$15,G298),1)*IF(Upgrades!$T$16="Peculiar Velocity",POWER(Upgrades!$U$16,H298),1)*IF(Upgrades!$T$17="Peculiar Velocity",POWER(Upgrades!$U$17,I298),1)*IF(Upgrades!$T$18="Peculiar Velocity",POWER(Upgrades!$U$18,J298),1)*IF(Upgrades!$T$20="Peculiar Velocity",POWER(Upgrades!$U$20,L298),1)*IF(Upgrades!$T$21="Peculiar Velocity",POWER(Upgrades!$U$21,M298),1))+(IF(L298=0,0,(Upgrades!$J$20+L298*Upgrades!$K$20)*POWER(Upgrades!$L$20,L298)))*(IF(Upgrades!$T$13="Open Cluster",POWER(Upgrades!$U$13,E298),1)*IF(Upgrades!$T$14="Open Cluster",POWER(Upgrades!$U$14,F298),1)*IF(Upgrades!$T$15="Open Cluster",POWER(Upgrades!$U$15,G298),1)*IF(Upgrades!$T$16="Open Cluster",POWER(Upgrades!$U$16,H298),1)*IF(Upgrades!$T$17="Open Cluster",POWER(Upgrades!$U$17,I298),1)*IF(Upgrades!$T$18="Open Cluster",POWER(Upgrades!$U$18,J298),1)*IF(Upgrades!$T$19="Open Cluster",POWER(Upgrades!$U$19,K298),1)*IF(Upgrades!$T$21="Open Cluster",POWER(Upgrades!$U$21,M298),1))+(IF(M298=0,0,(Upgrades!$J$21+M298*Upgrades!$K$21)*POWER(Upgrades!$L$21,M298)))*(IF(Upgrades!$T$13="Moving Group",POWER(Upgrades!$U$13,E298),1)*IF(Upgrades!$T$14="Moving Group",POWER(Upgrades!$U$14,F298),1)*IF(Upgrades!$T$15="Moving Group",POWER(Upgrades!$U$15,G298),1)*IF(Upgrades!$T$16="Moving Group",POWER(Upgrades!$U$16,H298),1)*IF(Upgrades!$T$17="Moving Group",POWER(Upgrades!$U$17,I298),1)*IF(Upgrades!$T$18="Moving Group",POWER(Upgrades!$U$18,J298),1)*IF(Upgrades!$T$19="Moving Group",POWER(Upgrades!$U$19,K298),1)*IF(Upgrades!$T$20="Moving Group",POWER(Upgrades!$U$20,L298),1)))*POWER(Upgrades!$Q$13,E298)*POWER(Upgrades!$Q$14,F298)*POWER(Upgrades!$Q$15,G298)*POWER(Upgrades!$Q$16,H298)*POWER(Upgrades!$Q$17,I298)*POWER(Upgrades!$Q$18,J298)*POWER(Upgrades!$Q$19,K298)*POWER(Upgrades!$Q$20,L298)*POWER(Upgrades!$Q$21,M298)*$G$6+$D$6</f>
        <v/>
      </c>
      <c r="P298" s="28">
        <f>((IF(E298=0,0,(Upgrades!$G$13+E298*Upgrades!$H$13)*POWER(Upgrades!$I$13,E298)))*(IF(Upgrades!$T$14="Stellar Kinematics",POWER(Upgrades!$U$14,F298),1)*IF(Upgrades!$T$15="Stellar Kinematics",POWER(Upgrades!$U$15,G298),1)*IF(Upgrades!$T$16="Stellar Kinematics",POWER(Upgrades!$U$16,H298),1)*IF(Upgrades!$T$17="Stellar Kinematics",POWER(Upgrades!$U$17,I298),1)*IF(Upgrades!$T$18="Stellar Kinematics",POWER(Upgrades!$U$18,J298),1)*IF(Upgrades!$T$19="Stellar Kinematics",POWER(Upgrades!$U$19,K298),1)*IF(Upgrades!$T$20="Stellar Kinematics",POWER(Upgrades!$U$20,L298),1)*IF(Upgrades!$T$21="Stellar Kinematics",POWER(Upgrades!$U$21,M298),1))+(IF(F298=0,0,(Upgrades!$G$14+F298*Upgrades!$H$14)*POWER(Upgrades!$I$14,F298)))*(IF(Upgrades!$T$13="Local Bubble",POWER(Upgrades!$U$13,E298),1)*IF(Upgrades!$T$15="Local Bubble",POWER(Upgrades!$U$15,G298),1)*IF(Upgrades!$T$16="Local Bubble",POWER(Upgrades!$U$16,H298),1)*IF(Upgrades!$T$17="Local Bubble",POWER(Upgrades!$U$17,I298),1)*IF(Upgrades!$T$18="Local Bubble",POWER(Upgrades!$U$18,J298),1)*IF(Upgrades!$T$19="Local Bubble",POWER(Upgrades!$U$19,K298),1)*IF(Upgrades!$T$20="Local Bubble",POWER(Upgrades!$U$20,L298),1)*IF(Upgrades!$T$21="Local Bubble",POWER(Upgrades!$U$21,M298),1))+(IF(G298=0,0,(Upgrades!$G$15+G298*Upgrades!$H$15)*POWER(Upgrades!$I$15,G298)))*(IF(Upgrades!$T$13="Microlensing",POWER(Upgrades!$U$13,E298),1)*IF(Upgrades!$T$14="Microlensing",POWER(Upgrades!$U$14,F298),1)*IF(Upgrades!$T$16="Microlensing",POWER(Upgrades!$U$16,H298),1)*IF(Upgrades!$T$17="Microlensing",POWER(Upgrades!$U$17,I298),1)*IF(Upgrades!$T$18="Microlensing",POWER(Upgrades!$U$18,J298),1)*IF(Upgrades!$T$19="Microlensing",POWER(Upgrades!$U$19,K298),1)*IF(Upgrades!$T$20="Microlensing",POWER(Upgrades!$U$20,L298),1)*IF(Upgrades!$T$21="Microlensing",POWER(Upgrades!$U$21,M298),1))+(IF(H298=0,0,(Upgrades!$G$16+H298*Upgrades!$H$16)*POWER(Upgrades!$I$16,H298)))*(IF(Upgrades!$T$13="Roche Lobe Overflow",POWER(Upgrades!$U$13,E298),1)*IF(Upgrades!$T$14="Roche Lobe Overflow",POWER(Upgrades!$U$14,F298),1)*IF(Upgrades!$T$15="Roche Lobe Overflow",POWER(Upgrades!$U$15,G298),1)*IF(Upgrades!$T$17="Roche Lobe Overflow",POWER(Upgrades!$U$17,I298),1)*IF(Upgrades!$T$18="Roche Lobe Overflow",POWER(Upgrades!$U$18,J298),1)*IF(Upgrades!$T$19="Roche Lobe Overflow",POWER(Upgrades!$U$19,K298),1)*IF(Upgrades!$T$20="Roche Lobe Overflow",POWER(Upgrades!$U$20,L298),1)*IF(Upgrades!$T$21="Roche Lobe Overflow",POWER(Upgrades!$U$21,M298),1))+(IF(I298=0,0,(Upgrades!$G$17+I298*Upgrades!$H$17)*POWER(Upgrades!$I$17,I298)))*(IF(Upgrades!$T$13="Brown Dwarf",POWER(Upgrades!$U$13,E298),1)*IF(Upgrades!$T$14="Brown Dwarf",POWER(Upgrades!$U$14,F298),1)*IF(Upgrades!$T$15="Brown Dwarf",POWER(Upgrades!$U$15,G298),1)*IF(Upgrades!$T$16="Brown Dwarf",POWER(Upgrades!$U$16,H298),1)*IF(Upgrades!$T$18="Brown Dwarf",POWER(Upgrades!$U$18,J298),1)*IF(Upgrades!$T$19="Brown Dwarf",POWER(Upgrades!$U$19,K298),1)*IF(Upgrades!$T$20="Brown Dwarf",POWER(Upgrades!$U$20,L298),1)*IF(Upgrades!$T$21="Brown Dwarf",POWER(Upgrades!$U$21,M298),1))+(IF(J298=0,0,(Upgrades!$G$18+J298*Upgrades!$H$18)*POWER(Upgrades!$I$18,J298)))*(IF(Upgrades!$T$13="Binary Partner",POWER(Upgrades!$U$13,E298),1)*IF(Upgrades!$T$14="Binary Partner",POWER(Upgrades!$U$14,F298),1)*IF(Upgrades!$T$15="Binary Partner",POWER(Upgrades!$U$15,G298),1)*IF(Upgrades!$T$16="Binary Partner",POWER(Upgrades!$U$16,H298),1)*IF(Upgrades!$T$17="Binary Partner",POWER(Upgrades!$U$17,I298),1)*IF(Upgrades!$T$19="Binary Partner",POWER(Upgrades!$U$19,K298),1)*IF(Upgrades!$T$20="Binary Partner",POWER(Upgrades!$U$20,L298),1)*IF(Upgrades!$T$21="Binary Partner",POWER(Upgrades!$U$21,M298),1))+(IF(K298=0,0,(Upgrades!$G$19+K298*Upgrades!$H$19)*POWER(Upgrades!$I$19,K298)))*(IF(Upgrades!$T$13="Peculiar Velocity",POWER(Upgrades!$U$13,E298),1)*IF(Upgrades!$T$14="Peculiar Velocity",POWER(Upgrades!$U$14,F298),1)*IF(Upgrades!$T$15="Peculiar Velocity",POWER(Upgrades!$U$15,G298),1)*IF(Upgrades!$T$16="Peculiar Velocity",POWER(Upgrades!$U$16,H298),1)*IF(Upgrades!$T$17="Peculiar Velocity",POWER(Upgrades!$U$17,I298),1)*IF(Upgrades!$T$18="Peculiar Velocity",POWER(Upgrades!$U$18,J298),1)*IF(Upgrades!$T$20="Peculiar Velocity",POWER(Upgrades!$U$20,L298),1)*IF(Upgrades!$T$21="Peculiar Velocity",POWER(Upgrades!$U$21,M298),1))+(IF(L298=0,0,(Upgrades!$G$20+L298*Upgrades!$H$20)*POWER(Upgrades!$I$20,L298)))*(IF(Upgrades!$T$13="Open Cluster",POWER(Upgrades!$U$13,E298),1)*IF(Upgrades!$T$14="Open Cluster",POWER(Upgrades!$U$14,F298),1)*IF(Upgrades!$T$15="Open Cluster",POWER(Upgrades!$U$15,G298),1)*IF(Upgrades!$T$16="Open Cluster",POWER(Upgrades!$U$16,H298),1)*IF(Upgrades!$T$17="Open Cluster",POWER(Upgrades!$U$17,I298),1)*IF(Upgrades!$T$18="Open Cluster",POWER(Upgrades!$U$18,J298),1)*IF(Upgrades!$T$19="Open Cluster",POWER(Upgrades!$U$19,K298),1)*IF(Upgrades!$T$21="Open Cluster",POWER(Upgrades!$U$21,M298),1))+(IF(M298=0,0,(Upgrades!$G$21+M298*Upgrades!$H$21)*POWER(Upgrades!$I$21,M298)))*(IF(Upgrades!$T$13="Moving Group",POWER(Upgrades!$U$13,E298),1)*IF(Upgrades!$T$14="Moving Group",POWER(Upgrades!$U$14,F298),1)*IF(Upgrades!$T$15="Moving Group",POWER(Upgrades!$U$15,G298),1)*IF(Upgrades!$T$16="Moving Group",POWER(Upgrades!$U$16,H298),1)*IF(Upgrades!$T$17="Moving Group",POWER(Upgrades!$U$17,I298),1)*IF(Upgrades!$T$18="Moving Group",POWER(Upgrades!$U$18,J298),1)*IF(Upgrades!$T$19="Moving Group",POWER(Upgrades!$U$19,K298),1)*IF(Upgrades!$T$20="Moving Group",POWER(Upgrades!$U$20,L298),1)))*POWER(Upgrades!$P$13,E298)*POWER(Upgrades!$P$14,F298)*POWER(Upgrades!$P$15,G298)*POWER(Upgrades!$P$16,H298)*POWER(Upgrades!$P$17,I298)*POWER(Upgrades!$P$18,J298)*POWER(Upgrades!$P$19,K298)*POWER(Upgrades!$P$20,L298)*POWER(Upgrades!$P$21,M298)*$F$6+$C$6</f>
        <v/>
      </c>
      <c r="Q298" s="28">
        <f>((IF(E298=0,0,(Upgrades!$M$13+E298*Upgrades!$N$13)*POWER(Upgrades!$O$13,E298)))*(IF(Upgrades!$T$14="Stellar Kinematics",POWER(Upgrades!$U$14,F298),1)*IF(Upgrades!$T$15="Stellar Kinematics",POWER(Upgrades!$U$15,G298),1)*IF(Upgrades!$T$16="Stellar Kinematics",POWER(Upgrades!$U$16,H298),1)*IF(Upgrades!$T$17="Stellar Kinematics",POWER(Upgrades!$U$17,I298),1)*IF(Upgrades!$T$18="Stellar Kinematics",POWER(Upgrades!$U$18,J298),1)*IF(Upgrades!$T$19="Stellar Kinematics",POWER(Upgrades!$U$19,K298),1)*IF(Upgrades!$T$20="Stellar Kinematics",POWER(Upgrades!$U$20,L298),1)*IF(Upgrades!$T$21="Stellar Kinematics",POWER(Upgrades!$U$21,M298),1))+(IF(F298=0,0,(Upgrades!$M$14+F298*Upgrades!$N$14)*POWER(Upgrades!$O$14,F298)))*(IF(Upgrades!$T$13="Local Bubble",POWER(Upgrades!$U$13,E298),1)*IF(Upgrades!$T$15="Local Bubble",POWER(Upgrades!$U$15,G298),1)*IF(Upgrades!$T$16="Local Bubble",POWER(Upgrades!$U$16,H298),1)*IF(Upgrades!$T$17="Local Bubble",POWER(Upgrades!$U$17,I298),1)*IF(Upgrades!$T$18="Local Bubble",POWER(Upgrades!$U$18,J298),1)*IF(Upgrades!$T$19="Local Bubble",POWER(Upgrades!$U$19,K298),1)*IF(Upgrades!$T$20="Local Bubble",POWER(Upgrades!$U$20,L298),1)*IF(Upgrades!$T$21="Local Bubble",POWER(Upgrades!$U$21,M298),1))+(IF(G298=0,0,(Upgrades!$M$15+G298*Upgrades!$N$15)*POWER(Upgrades!$O$15,G298)))*(IF(Upgrades!$T$13="Microlensing",POWER(Upgrades!$U$13,E298),1)*IF(Upgrades!$T$14="Microlensing",POWER(Upgrades!$U$14,F298),1)*IF(Upgrades!$T$16="Microlensing",POWER(Upgrades!$U$16,H298),1)*IF(Upgrades!$T$17="Microlensing",POWER(Upgrades!$U$17,I298),1)*IF(Upgrades!$T$18="Microlensing",POWER(Upgrades!$U$18,J298),1)*IF(Upgrades!$T$19="Microlensing",POWER(Upgrades!$U$19,K298),1)*IF(Upgrades!$T$20="Microlensing",POWER(Upgrades!$U$20,L298),1)*IF(Upgrades!$T$21="Microlensing",POWER(Upgrades!$U$21,M298),1))+(IF(H298=0,0,(Upgrades!$M$16+H298*Upgrades!$N$16)*POWER(Upgrades!$O$16,H298)))*(IF(Upgrades!$T$13="Roche Lobe Overflow",POWER(Upgrades!$U$13,E298),1)*IF(Upgrades!$T$14="Roche Lobe Overflow",POWER(Upgrades!$U$14,F298),1)*IF(Upgrades!$T$15="Roche Lobe Overflow",POWER(Upgrades!$U$15,G298),1)*IF(Upgrades!$T$17="Roche Lobe Overflow",POWER(Upgrades!$U$17,I298),1)*IF(Upgrades!$T$18="Roche Lobe Overflow",POWER(Upgrades!$U$18,J298),1)*IF(Upgrades!$T$19="Roche Lobe Overflow",POWER(Upgrades!$U$19,K298),1)*IF(Upgrades!$T$20="Roche Lobe Overflow",POWER(Upgrades!$U$20,L298),1)*IF(Upgrades!$T$21="Roche Lobe Overflow",POWER(Upgrades!$U$21,M298),1))+(IF(I298=0,0,(Upgrades!$M$17+I298*Upgrades!$N$17)*POWER(Upgrades!$O$17,I298)))*(IF(Upgrades!$T$13="Brown Dwarf",POWER(Upgrades!$U$13,E298),1)*IF(Upgrades!$T$14="Brown Dwarf",POWER(Upgrades!$U$14,F298),1)*IF(Upgrades!$T$15="Brown Dwarf",POWER(Upgrades!$U$15,G298),1)*IF(Upgrades!$T$16="Brown Dwarf",POWER(Upgrades!$U$16,H298),1)*IF(Upgrades!$T$18="Brown Dwarf",POWER(Upgrades!$U$18,J298),1)*IF(Upgrades!$T$19="Brown Dwarf",POWER(Upgrades!$U$19,K298),1)*IF(Upgrades!$T$20="Brown Dwarf",POWER(Upgrades!$U$20,L298),1)*IF(Upgrades!$T$21="Brown Dwarf",POWER(Upgrades!$U$21,M298),1))+(IF(J298=0,0,(Upgrades!$M$18+J298*Upgrades!$N$18)*POWER(Upgrades!$O$18,J298)))*(IF(Upgrades!$T$13="Binary Partner",POWER(Upgrades!$U$13,E298),1)*IF(Upgrades!$T$14="Binary Partner",POWER(Upgrades!$U$14,F298),1)*IF(Upgrades!$T$15="Binary Partner",POWER(Upgrades!$U$15,G298),1)*IF(Upgrades!$T$16="Binary Partner",POWER(Upgrades!$U$16,H298),1)*IF(Upgrades!$T$17="Binary Partner",POWER(Upgrades!$U$17,I298),1)*IF(Upgrades!$T$19="Binary Partner",POWER(Upgrades!$U$19,K298),1)*IF(Upgrades!$T$20="Binary Partner",POWER(Upgrades!$U$20,L298),1)*IF(Upgrades!$T$21="Binary Partner",POWER(Upgrades!$U$21,M298),1))+(IF(K298=0,0,(Upgrades!$M$19+K298*Upgrades!$N$19)*POWER(Upgrades!$O$19,K298)))*(IF(Upgrades!$T$13="Peculiar Velocity",POWER(Upgrades!$U$13,E298),1)*IF(Upgrades!$T$14="Peculiar Velocity",POWER(Upgrades!$U$14,F298),1)*IF(Upgrades!$T$15="Peculiar Velocity",POWER(Upgrades!$U$15,G298),1)*IF(Upgrades!$T$16="Peculiar Velocity",POWER(Upgrades!$U$16,H298),1)*IF(Upgrades!$T$17="Peculiar Velocity",POWER(Upgrades!$U$17,I298),1)*IF(Upgrades!$T$18="Peculiar Velocity",POWER(Upgrades!$U$18,J298),1)*IF(Upgrades!$T$20="Peculiar Velocity",POWER(Upgrades!$U$20,L298),1)*IF(Upgrades!$T$21="Peculiar Velocity",POWER(Upgrades!$U$21,M298),1))+(IF(L298=0,0,(Upgrades!$M$20+L298*Upgrades!$N$20)*POWER(Upgrades!$O$20,L298)))*(IF(Upgrades!$T$13="Open Cluster",POWER(Upgrades!$U$13,E298),1)*IF(Upgrades!$T$14="Open Cluster",POWER(Upgrades!$U$14,F298),1)*IF(Upgrades!$T$15="Open Cluster",POWER(Upgrades!$U$15,G298),1)*IF(Upgrades!$T$16="Open Cluster",POWER(Upgrades!$U$16,H298),1)*IF(Upgrades!$T$17="Open Cluster",POWER(Upgrades!$U$17,I298),1)*IF(Upgrades!$T$18="Open Cluster",POWER(Upgrades!$U$18,J298),1)*IF(Upgrades!$T$19="Open Cluster",POWER(Upgrades!$U$19,K298),1)*IF(Upgrades!$T$21="Open Cluster",POWER(Upgrades!$U$21,M298),1))+(IF(M298=0,0,(Upgrades!$M$21+M298*Upgrades!$N$21)*POWER(Upgrades!$O$21,M298)))*(IF(Upgrades!$T$13="Moving Group",POWER(Upgrades!$U$13,E298),1)*IF(Upgrades!$T$14="Moving Group",POWER(Upgrades!$U$14,F298),1)*IF(Upgrades!$T$15="Moving Group",POWER(Upgrades!$U$15,G298),1)*IF(Upgrades!$T$16="Moving Group",POWER(Upgrades!$U$16,H298),1)*IF(Upgrades!$T$17="Moving Group",POWER(Upgrades!$U$17,I298),1)*IF(Upgrades!$T$18="Moving Group",POWER(Upgrades!$U$18,J298),1)*IF(Upgrades!$T$19="Moving Group",POWER(Upgrades!$U$19,K298),1)*IF(Upgrades!$T$20="Moving Group",POWER(Upgrades!$U$20,L298),1)))*POWER(Upgrades!$R$13,E298)*POWER(Upgrades!$R$14,F298)*POWER(Upgrades!$R$15,G298)*POWER(Upgrades!$R$16,H298)*POWER(Upgrades!$R$17,I298)*POWER(Upgrades!$R$18,J298)*POWER(Upgrades!$R$19,K298)*POWER(Upgrades!$R$20,L298)*POWER(Upgrades!$R$21,M298)*$H$6+$E$6</f>
        <v/>
      </c>
      <c r="R298" s="27">
        <f>IF(N298=1,0,O298*Parameters!$B$10/60*Parameters!$B$11*10)</f>
        <v/>
      </c>
      <c r="S298" s="27">
        <f>IF(N298=1,0,Q298*O298*10)</f>
        <v/>
      </c>
      <c r="T298" s="27">
        <f>IF(N298=1,0,R298+S298+P298*10)</f>
        <v/>
      </c>
      <c r="U298" s="33">
        <f>BE298</f>
        <v/>
      </c>
      <c r="V298" s="22">
        <f>IF(U298="",0,IF(U298="transition",0,IF(U298="SK",AK298,IF(U298="LB",AL298,IF(U298="ML",AM298,IF(U298="RLO",AN298,IF(U298="BD",AO298,IF(U298="BiP",AP298,IF(U298="PV",AQ298,IF(U298="OC",AR298,IF(U298="MG",AS298,0))))))))))</f>
        <v/>
      </c>
      <c r="W298" s="27">
        <f>IF(U298="BiP",Upgrades!$F$18,IF(U298="PV",Upgrades!$F$19,IF(U298="OC",Upgrades!$F$20,IF(U298="MG",Upgrades!$F$21,IF(U298="transition",-Parameters!$B$18*Parameters!$B$19,0)))))</f>
        <v/>
      </c>
      <c r="X298" s="22">
        <f>C298+T298-V298</f>
        <v/>
      </c>
      <c r="Y298" s="30">
        <f>O298*Parameters!$B$10/60*Parameters!$B$11+Q298*O298+P298</f>
        <v/>
      </c>
      <c r="Z298" s="34">
        <f>IF(U298="transition","→ Tier 3 (Galactic Arm)",IF(U298="MG","Moving Group — pocket drifts together",IF(U298="OC","Open Cluster acquired",IF(U298="PV","Peculiar Velocity — passive multiplier active",IF(U298="BiP","Binary Partner — pair bond formed",IF(AND(AU298=1,N298=0,AT298&lt;&gt;1),"Cohesion ready (waiting on completionists)","")))))) </f>
        <v/>
      </c>
      <c r="AA298" s="27">
        <f>(IF(E298=0,0,(Upgrades!$G$13+E298*Upgrades!$H$13)*POWER(Upgrades!$I$13,E298)))*(IF(Upgrades!$T$14="Stellar Kinematics",POWER(Upgrades!$U$14,F298),1)*IF(Upgrades!$T$15="Stellar Kinematics",POWER(Upgrades!$U$15,G298),1)*IF(Upgrades!$T$16="Stellar Kinematics",POWER(Upgrades!$U$16,H298),1)*IF(Upgrades!$T$17="Stellar Kinematics",POWER(Upgrades!$U$17,I298),1)*IF(Upgrades!$T$18="Stellar Kinematics",POWER(Upgrades!$U$18,J298),1)*IF(Upgrades!$T$19="Stellar Kinematics",POWER(Upgrades!$U$19,K298),1)*IF(Upgrades!$T$20="Stellar Kinematics",POWER(Upgrades!$U$20,L298),1)*IF(Upgrades!$T$21="Stellar Kinematics",POWER(Upgrades!$U$21,M298),1))*POWER(Upgrades!$P$13,E298)*POWER(Upgrades!$P$14,F298)*POWER(Upgrades!$P$15,G298)*POWER(Upgrades!$P$16,H298)*POWER(Upgrades!$P$17,I298)*POWER(Upgrades!$P$18,J298)*POWER(Upgrades!$P$19,K298)*POWER(Upgrades!$P$20,L298)*POWER(Upgrades!$P$21,M298)*$F$6*60</f>
        <v/>
      </c>
      <c r="AB298" s="27">
        <f>(IF(F298=0,0,(Upgrades!$G$14+F298*Upgrades!$H$14)*POWER(Upgrades!$I$14,F298)))*(IF(Upgrades!$T$13="Local Bubble",POWER(Upgrades!$U$13,E298),1)*IF(Upgrades!$T$15="Local Bubble",POWER(Upgrades!$U$15,G298),1)*IF(Upgrades!$T$16="Local Bubble",POWER(Upgrades!$U$16,H298),1)*IF(Upgrades!$T$17="Local Bubble",POWER(Upgrades!$U$17,I298),1)*IF(Upgrades!$T$18="Local Bubble",POWER(Upgrades!$U$18,J298),1)*IF(Upgrades!$T$19="Local Bubble",POWER(Upgrades!$U$19,K298),1)*IF(Upgrades!$T$20="Local Bubble",POWER(Upgrades!$U$20,L298),1)*IF(Upgrades!$T$21="Local Bubble",POWER(Upgrades!$U$21,M298),1))*POWER(Upgrades!$P$13,E298)*POWER(Upgrades!$P$14,F298)*POWER(Upgrades!$P$15,G298)*POWER(Upgrades!$P$16,H298)*POWER(Upgrades!$P$17,I298)*POWER(Upgrades!$P$18,J298)*POWER(Upgrades!$P$19,K298)*POWER(Upgrades!$P$20,L298)*POWER(Upgrades!$P$21,M298)*$F$6*60</f>
        <v/>
      </c>
      <c r="AC298" s="27">
        <f>(IF(G298=0,0,(Upgrades!$J$15+G298*Upgrades!$K$15)*POWER(Upgrades!$L$15,G298)))*(IF(Upgrades!$T$13="Microlensing",POWER(Upgrades!$U$13,E298),1)*IF(Upgrades!$T$14="Microlensing",POWER(Upgrades!$U$14,F298),1)*IF(Upgrades!$T$16="Microlensing",POWER(Upgrades!$U$16,H298),1)*IF(Upgrades!$T$17="Microlensing",POWER(Upgrades!$U$17,I298),1)*IF(Upgrades!$T$18="Microlensing",POWER(Upgrades!$U$18,J298),1)*IF(Upgrades!$T$19="Microlensing",POWER(Upgrades!$U$19,K298),1)*IF(Upgrades!$T$20="Microlensing",POWER(Upgrades!$U$20,L298),1)*IF(Upgrades!$T$21="Microlensing",POWER(Upgrades!$U$21,M298),1))*POWER(Upgrades!$Q$13,E298)*POWER(Upgrades!$Q$14,F298)*POWER(Upgrades!$Q$15,G298)*POWER(Upgrades!$Q$16,H298)*POWER(Upgrades!$Q$17,I298)*POWER(Upgrades!$Q$18,J298)*POWER(Upgrades!$Q$19,K298)*POWER(Upgrades!$Q$20,L298)*POWER(Upgrades!$Q$21,M298)*$G$6*(Parameters!$B$10*Parameters!$B$11+Q298*60)</f>
        <v/>
      </c>
      <c r="AD298" s="27">
        <f>(IF(H298=0,0,(Upgrades!$M$16+H298*Upgrades!$N$16)*POWER(Upgrades!$O$16,H298)))*(IF(Upgrades!$T$13="Roche Lobe Overflow",POWER(Upgrades!$U$13,E298),1)*IF(Upgrades!$T$14="Roche Lobe Overflow",POWER(Upgrades!$U$14,F298),1)*IF(Upgrades!$T$15="Roche Lobe Overflow",POWER(Upgrades!$U$15,G298),1)*IF(Upgrades!$T$17="Roche Lobe Overflow",POWER(Upgrades!$U$17,I298),1)*IF(Upgrades!$T$18="Roche Lobe Overflow",POWER(Upgrades!$U$18,J298),1)*IF(Upgrades!$T$19="Roche Lobe Overflow",POWER(Upgrades!$U$19,K298),1)*IF(Upgrades!$T$20="Roche Lobe Overflow",POWER(Upgrades!$U$20,L298),1)*IF(Upgrades!$T$21="Roche Lobe Overflow",POWER(Upgrades!$U$21,M298),1))*POWER(Upgrades!$R$13,E298)*POWER(Upgrades!$R$14,F298)*POWER(Upgrades!$R$15,G298)*POWER(Upgrades!$R$16,H298)*POWER(Upgrades!$R$17,I298)*POWER(Upgrades!$R$18,J298)*POWER(Upgrades!$R$19,K298)*POWER(Upgrades!$R$20,L298)*POWER(Upgrades!$R$21,M298)*$H$6*O298*60</f>
        <v/>
      </c>
      <c r="AE298" s="27">
        <f>(IF(I298=0,0,(Upgrades!$G$17+I298*Upgrades!$H$17)*POWER(Upgrades!$I$17,I298)))*(IF(Upgrades!$T$13="Brown Dwarf",POWER(Upgrades!$U$13,E298),1)*IF(Upgrades!$T$14="Brown Dwarf",POWER(Upgrades!$U$14,F298),1)*IF(Upgrades!$T$15="Brown Dwarf",POWER(Upgrades!$U$15,G298),1)*IF(Upgrades!$T$16="Brown Dwarf",POWER(Upgrades!$U$16,H298),1)*IF(Upgrades!$T$18="Brown Dwarf",POWER(Upgrades!$U$18,J298),1)*IF(Upgrades!$T$19="Brown Dwarf",POWER(Upgrades!$U$19,K298),1)*IF(Upgrades!$T$20="Brown Dwarf",POWER(Upgrades!$U$20,L298),1)*IF(Upgrades!$T$21="Brown Dwarf",POWER(Upgrades!$U$21,M298),1))*POWER(Upgrades!$P$13,E298)*POWER(Upgrades!$P$14,F298)*POWER(Upgrades!$P$15,G298)*POWER(Upgrades!$P$16,H298)*POWER(Upgrades!$P$17,I298)*POWER(Upgrades!$P$18,J298)*POWER(Upgrades!$P$19,K298)*POWER(Upgrades!$P$20,L298)*POWER(Upgrades!$P$21,M298)*$F$6*60</f>
        <v/>
      </c>
      <c r="AF298" s="27" t="n">
        <v>0</v>
      </c>
      <c r="AG298" s="27" t="n">
        <v>0</v>
      </c>
      <c r="AH298" s="27" t="n">
        <v>0</v>
      </c>
      <c r="AI298" s="27">
        <f>(IF(M298=0,0,(Upgrades!$G$21+M298*Upgrades!$H$21)*POWER(Upgrades!$I$21,M298)))*(IF(Upgrades!$T$13="Moving Group",POWER(Upgrades!$U$13,E298),1)*IF(Upgrades!$T$14="Moving Group",POWER(Upgrades!$U$14,F298),1)*IF(Upgrades!$T$15="Moving Group",POWER(Upgrades!$U$15,G298),1)*IF(Upgrades!$T$16="Moving Group",POWER(Upgrades!$U$16,H298),1)*IF(Upgrades!$T$17="Moving Group",POWER(Upgrades!$U$17,I298),1)*IF(Upgrades!$T$18="Moving Group",POWER(Upgrades!$U$18,J298),1)*IF(Upgrades!$T$19="Moving Group",POWER(Upgrades!$U$19,K298),1)*IF(Upgrades!$T$20="Moving Group",POWER(Upgrades!$U$20,L298),1))*POWER(Upgrades!$P$13,E298)*POWER(Upgrades!$P$14,F298)*POWER(Upgrades!$P$15,G298)*POWER(Upgrades!$P$16,H298)*POWER(Upgrades!$P$17,I298)*POWER(Upgrades!$P$18,J298)*POWER(Upgrades!$P$19,K298)*POWER(Upgrades!$P$20,L298)*POWER(Upgrades!$P$21,M298)*$F$6*60</f>
        <v/>
      </c>
      <c r="AJ298" s="27">
        <f>$C$6*60</f>
        <v/>
      </c>
      <c r="AK298" s="22">
        <f>IF(E298&gt;=Upgrades!$E$13,"",Upgrades!$C$13*POWER(Upgrades!$D$13,E298))</f>
        <v/>
      </c>
      <c r="AL298" s="22">
        <f>IF(F298&gt;=Upgrades!$E$14,"",Upgrades!$C$14*POWER(Upgrades!$D$14,F298))</f>
        <v/>
      </c>
      <c r="AM298" s="22">
        <f>IF(G298&gt;=Upgrades!$E$15,"",Upgrades!$C$15*POWER(Upgrades!$D$15,G298))</f>
        <v/>
      </c>
      <c r="AN298" s="22">
        <f>IF(H298&gt;=Upgrades!$E$16,"",Upgrades!$C$16*POWER(Upgrades!$D$16,H298))</f>
        <v/>
      </c>
      <c r="AO298" s="22">
        <f>IF(I298&gt;=Upgrades!$E$17,"",Upgrades!$C$17*POWER(Upgrades!$D$17,I298))</f>
        <v/>
      </c>
      <c r="AP298" s="22">
        <f>IF(J298&gt;=Upgrades!$E$18,"",Upgrades!$C$18*POWER(Upgrades!$D$18,J298))</f>
        <v/>
      </c>
      <c r="AQ298" s="22">
        <f>IF(K298&gt;=Upgrades!$E$19,"",Upgrades!$C$19*POWER(Upgrades!$D$19,K298))</f>
        <v/>
      </c>
      <c r="AR298" s="22">
        <f>IF(L298&gt;=Upgrades!$E$20,"",Upgrades!$C$20*POWER(Upgrades!$D$20,L298))</f>
        <v/>
      </c>
      <c r="AS298" s="22">
        <f>IF(M298&gt;=Upgrades!$E$21,"",Upgrades!$C$21*POWER(Upgrades!$D$21,M298))</f>
        <v/>
      </c>
      <c r="AT298" s="26">
        <f>IF(AND(D298&gt;=Parameters!$B$18*Parameters!$B$19,(I298&gt;=Upgrades!$E$17)*(M298&gt;=Upgrades!$E$21)=1,N298=0),1,"")</f>
        <v/>
      </c>
      <c r="AU298" s="26">
        <f>IF(AND(D298&gt;=Parameters!$B$18*Parameters!$B$19,N298=0),1,"")</f>
        <v/>
      </c>
      <c r="AV298" s="22">
        <f>MIN(IF(ISNUMBER(AP298),AP298,9E15),IF(ISNUMBER(AQ298),AQ298,9E15),IF(ISNUMBER(AR298),AR298,9E15),IF(ISNUMBER(AS298),AS298,9E15))</f>
        <v/>
      </c>
      <c r="AW298" s="22">
        <f>MIN(IF(ISNUMBER(AK298),AK298,9E15),IF(ISNUMBER(AL298),AL298,9E15),IF(ISNUMBER(AM298),AM298,9E15),IF(ISNUMBER(AN298),AN298,9E15),IF(ISNUMBER(AO298),AO298,9E15))</f>
        <v/>
      </c>
      <c r="AX298" s="29">
        <f>IF(BD298&gt;Parameters!$B$21*(MAX(IF(AND(NOT(AND(AU298=1,AT298&lt;&gt;1)),ISNUMBER(AK298),AK298&lt;=(C298+T298)),AY298,0),IF(AND(NOT(AND(AU298=1,AT298&lt;&gt;1)),ISNUMBER(AL298),AL298&lt;=(C298+T298)),AZ298,0),IF(AND(NOT(AND(AU298=1,AT298&lt;&gt;1)),ISNUMBER(AM298),AM298&lt;=(C298+T298)),BA298,0),IF(AND(NOT(AND(AU298=1,AT298&lt;&gt;1)),ISNUMBER(AN298),AN298&lt;=(C298+T298)),BB298,0),IF(AND(ISNUMBER(AO298),AO298&lt;=(C298+T298)),BC298,0))),TRUE,FALSE)</f>
        <v/>
      </c>
      <c r="AY298" s="32">
        <f>IFERROR(Upgrades!$H$13*(POWER(Upgrades!$P$13,E298)*POWER(Upgrades!$P$14,F298)*POWER(Upgrades!$P$15,G298)*POWER(Upgrades!$P$16,H298)*POWER(Upgrades!$P$17,I298)*POWER(Upgrades!$P$18,J298)*POWER(Upgrades!$P$19,K298)*POWER(Upgrades!$P$20,L298)*POWER(Upgrades!$P$21,M298))*(IF(Upgrades!$T$14="Stellar Kinematics",POWER(Upgrades!$U$14,F298),1)*IF(Upgrades!$T$15="Stellar Kinematics",POWER(Upgrades!$U$15,G298),1)*IF(Upgrades!$T$16="Stellar Kinematics",POWER(Upgrades!$U$16,H298),1)*IF(Upgrades!$T$17="Stellar Kinematics",POWER(Upgrades!$U$17,I298),1)*IF(Upgrades!$T$18="Stellar Kinematics",POWER(Upgrades!$U$18,J298),1)*IF(Upgrades!$T$19="Stellar Kinematics",POWER(Upgrades!$U$19,K298),1)*IF(Upgrades!$T$20="Stellar Kinematics",POWER(Upgrades!$U$20,L298),1)*IF(Upgrades!$T$21="Stellar Kinematics",POWER(Upgrades!$U$21,M298),1))*$F$6/AK298,0)</f>
        <v/>
      </c>
      <c r="AZ298" s="32">
        <f>IFERROR(Upgrades!$H$14*(POWER(Upgrades!$P$13,E298)*POWER(Upgrades!$P$14,F298)*POWER(Upgrades!$P$15,G298)*POWER(Upgrades!$P$16,H298)*POWER(Upgrades!$P$17,I298)*POWER(Upgrades!$P$18,J298)*POWER(Upgrades!$P$19,K298)*POWER(Upgrades!$P$20,L298)*POWER(Upgrades!$P$21,M298))*(IF(Upgrades!$T$13="Local Bubble",POWER(Upgrades!$U$13,E298),1)*IF(Upgrades!$T$15="Local Bubble",POWER(Upgrades!$U$15,G298),1)*IF(Upgrades!$T$16="Local Bubble",POWER(Upgrades!$U$16,H298),1)*IF(Upgrades!$T$17="Local Bubble",POWER(Upgrades!$U$17,I298),1)*IF(Upgrades!$T$18="Local Bubble",POWER(Upgrades!$U$18,J298),1)*IF(Upgrades!$T$19="Local Bubble",POWER(Upgrades!$U$19,K298),1)*IF(Upgrades!$T$20="Local Bubble",POWER(Upgrades!$U$20,L298),1)*IF(Upgrades!$T$21="Local Bubble",POWER(Upgrades!$U$21,M298),1))*$F$6/AL298,0)</f>
        <v/>
      </c>
      <c r="BA298" s="32">
        <f>IFERROR(Upgrades!$K$15*(POWER(Upgrades!$Q$13,E298)*POWER(Upgrades!$Q$14,F298)*POWER(Upgrades!$Q$15,G298)*POWER(Upgrades!$Q$16,H298)*POWER(Upgrades!$Q$17,I298)*POWER(Upgrades!$Q$18,J298)*POWER(Upgrades!$Q$19,K298)*POWER(Upgrades!$Q$20,L298)*POWER(Upgrades!$Q$21,M298))*(IF(Upgrades!$T$13="Microlensing",POWER(Upgrades!$U$13,E298),1)*IF(Upgrades!$T$14="Microlensing",POWER(Upgrades!$U$14,F298),1)*IF(Upgrades!$T$16="Microlensing",POWER(Upgrades!$U$16,H298),1)*IF(Upgrades!$T$17="Microlensing",POWER(Upgrades!$U$17,I298),1)*IF(Upgrades!$T$18="Microlensing",POWER(Upgrades!$U$18,J298),1)*IF(Upgrades!$T$19="Microlensing",POWER(Upgrades!$U$19,K298),1)*IF(Upgrades!$T$20="Microlensing",POWER(Upgrades!$U$20,L298),1)*IF(Upgrades!$T$21="Microlensing",POWER(Upgrades!$U$21,M298),1))*$G$6*(Parameters!$B$10/60*Parameters!$B$11+Q298)/AM298,0)</f>
        <v/>
      </c>
      <c r="BB298" s="32">
        <f>IFERROR((Upgrades!$N$16*(POWER(Upgrades!$R$13,E298)*POWER(Upgrades!$R$14,F298)*POWER(Upgrades!$R$15,G298)*POWER(Upgrades!$R$16,H298)*POWER(Upgrades!$R$17,I298)*POWER(Upgrades!$R$18,J298)*POWER(Upgrades!$R$19,K298)*POWER(Upgrades!$R$20,L298)*POWER(Upgrades!$R$21,M298))*(IF(Upgrades!$T$13="Roche Lobe Overflow",POWER(Upgrades!$U$13,E298),1)*IF(Upgrades!$T$14="Roche Lobe Overflow",POWER(Upgrades!$U$14,F298),1)*IF(Upgrades!$T$15="Roche Lobe Overflow",POWER(Upgrades!$U$15,G298),1)*IF(Upgrades!$T$17="Roche Lobe Overflow",POWER(Upgrades!$U$17,I298),1)*IF(Upgrades!$T$18="Roche Lobe Overflow",POWER(Upgrades!$U$18,J298),1)*IF(Upgrades!$T$19="Roche Lobe Overflow",POWER(Upgrades!$U$19,K298),1)*IF(Upgrades!$T$20="Roche Lobe Overflow",POWER(Upgrades!$U$20,L298),1)*IF(Upgrades!$T$21="Roche Lobe Overflow",POWER(Upgrades!$U$21,M298),1))*$H$6*O298+((IF(F298=0,0,(Upgrades!$G$14+F298*Upgrades!$H$14)*POWER(Upgrades!$I$14,F298)))*(IF(Upgrades!$T$13="Local Bubble",POWER(Upgrades!$U$13,E298),1)*IF(Upgrades!$T$15="Local Bubble",POWER(Upgrades!$U$15,G298),1)*IF(Upgrades!$T$16="Local Bubble",POWER(Upgrades!$U$16,H298),1)*IF(Upgrades!$T$17="Local Bubble",POWER(Upgrades!$U$17,I298),1)*IF(Upgrades!$T$18="Local Bubble",POWER(Upgrades!$U$18,J298),1)*IF(Upgrades!$T$19="Local Bubble",POWER(Upgrades!$U$19,K298),1)*IF(Upgrades!$T$20="Local Bubble",POWER(Upgrades!$U$20,L298),1)*IF(Upgrades!$T$21="Local Bubble",POWER(Upgrades!$U$21,M298),1))*POWER(Upgrades!$P$13,E298)*POWER(Upgrades!$P$14,F298)*POWER(Upgrades!$P$15,G298)*POWER(Upgrades!$P$16,H298)*POWER(Upgrades!$P$17,I298)*POWER(Upgrades!$P$18,J298)*POWER(Upgrades!$P$19,K298)*POWER(Upgrades!$P$20,L298)*POWER(Upgrades!$P$21,M298)*$F$6)*0.05)/AN298,0)</f>
        <v/>
      </c>
      <c r="BC298" s="32">
        <f>IFERROR((Upgrades!$H$17*(POWER(Upgrades!$P$13,E298)*POWER(Upgrades!$P$14,F298)*POWER(Upgrades!$P$15,G298)*POWER(Upgrades!$P$16,H298)*POWER(Upgrades!$P$17,I298)*POWER(Upgrades!$P$18,J298)*POWER(Upgrades!$P$19,K298)*POWER(Upgrades!$P$20,L298)*POWER(Upgrades!$P$21,M298))*(IF(Upgrades!$T$13="Brown Dwarf",POWER(Upgrades!$U$13,E298),1)*IF(Upgrades!$T$14="Brown Dwarf",POWER(Upgrades!$U$14,F298),1)*IF(Upgrades!$T$15="Brown Dwarf",POWER(Upgrades!$U$15,G298),1)*IF(Upgrades!$T$16="Brown Dwarf",POWER(Upgrades!$U$16,H298),1)*IF(Upgrades!$T$18="Brown Dwarf",POWER(Upgrades!$U$18,J298),1)*IF(Upgrades!$T$19="Brown Dwarf",POWER(Upgrades!$U$19,K298),1)*IF(Upgrades!$T$20="Brown Dwarf",POWER(Upgrades!$U$20,L298),1)*IF(Upgrades!$T$21="Brown Dwarf",POWER(Upgrades!$U$21,M298),1))*$F$6+(((IF(H298=0,0,(Upgrades!$M$16+H298*Upgrades!$N$16)*POWER(Upgrades!$O$16,H298)))*(IF(Upgrades!$T$13="Roche Lobe Overflow",POWER(Upgrades!$U$13,E298),1)*IF(Upgrades!$T$14="Roche Lobe Overflow",POWER(Upgrades!$U$14,F298),1)*IF(Upgrades!$T$15="Roche Lobe Overflow",POWER(Upgrades!$U$15,G298),1)*IF(Upgrades!$T$17="Roche Lobe Overflow",POWER(Upgrades!$U$17,I298),1)*IF(Upgrades!$T$18="Roche Lobe Overflow",POWER(Upgrades!$U$18,J298),1)*IF(Upgrades!$T$19="Roche Lobe Overflow",POWER(Upgrades!$U$19,K298),1)*IF(Upgrades!$T$20="Roche Lobe Overflow",POWER(Upgrades!$U$20,L298),1)*IF(Upgrades!$T$21="Roche Lobe Overflow",POWER(Upgrades!$U$21,M298),1))*POWER(Upgrades!$R$13,E298)*POWER(Upgrades!$R$14,F298)*POWER(Upgrades!$R$15,G298)*POWER(Upgrades!$R$16,H298)*POWER(Upgrades!$R$17,I298)*POWER(Upgrades!$R$18,J298)*POWER(Upgrades!$R$19,K298)*POWER(Upgrades!$R$20,L298)*POWER(Upgrades!$R$21,M298)*$H$6)*O298)*0.10)/AO298,0)</f>
        <v/>
      </c>
      <c r="BD298" s="32">
        <f>MAX(IF(J298&gt;0,0,IFERROR(0.5*((IF(G298=0,0,(Upgrades!$J$15+G298*Upgrades!$K$15)*POWER(Upgrades!$L$15,G298)))*(IF(Upgrades!$T$13="Microlensing",POWER(Upgrades!$U$13,E298),1)*IF(Upgrades!$T$14="Microlensing",POWER(Upgrades!$U$14,F298),1)*IF(Upgrades!$T$16="Microlensing",POWER(Upgrades!$U$16,H298),1)*IF(Upgrades!$T$17="Microlensing",POWER(Upgrades!$U$17,I298),1)*IF(Upgrades!$T$18="Microlensing",POWER(Upgrades!$U$18,J298),1)*IF(Upgrades!$T$19="Microlensing",POWER(Upgrades!$U$19,K298),1)*IF(Upgrades!$T$20="Microlensing",POWER(Upgrades!$U$20,L298),1)*IF(Upgrades!$T$21="Microlensing",POWER(Upgrades!$U$21,M298),1))*(POWER(Upgrades!$Q$13,E298)*POWER(Upgrades!$Q$14,F298)*POWER(Upgrades!$Q$15,G298)*POWER(Upgrades!$Q$16,H298)*POWER(Upgrades!$Q$17,I298)*POWER(Upgrades!$Q$18,J298)*POWER(Upgrades!$Q$19,K298)*POWER(Upgrades!$Q$20,L298)*POWER(Upgrades!$Q$21,M298))*$G$6*(Parameters!$B$10/60*Parameters!$B$11+Q298))/Upgrades!$C$18,0)),IF(K298&gt;0,0,IFERROR(0.30*P298/Upgrades!$C$19,0)),IF(L298&gt;0,0,IFERROR(0.0001/Upgrades!$C$20,0)),IF(M298&gt;0,0,IFERROR((6.0*(POWER(Upgrades!$P$13,E298)*POWER(Upgrades!$P$14,F298)*POWER(Upgrades!$P$15,G298)*POWER(Upgrades!$P$16,H298)*POWER(Upgrades!$P$17,I298)*POWER(Upgrades!$P$18,J298)*POWER(Upgrades!$P$19,K298)*POWER(Upgrades!$P$20,L298)*POWER(Upgrades!$P$21,M298))*$F$6+0.20*O298*(Parameters!$B$10/60*Parameters!$B$11+Q298))/Upgrades!$C$21,0)),IF(AND(ISNUMBER(AK298),AK298&gt;(C298+T298)),AY298,0),IF(AND(ISNUMBER(AL298),AL298&gt;(C298+T298)),AZ298,0),IF(AND(ISNUMBER(AM298),AM298&gt;(C298+T298)),BA298,0),IF(AND(ISNUMBER(AN298),AN298&gt;(C298+T298)),BB298,0),IF(AND(ISNUMBER(AO298),AO298&gt;(C298+T298)),BC298,0))</f>
        <v/>
      </c>
      <c r="BE298" s="29">
        <f>IF(AT298=1,"transition",IF(MIN(IF(AND(J298=0,ISNUMBER(AP298),AP298&lt;=(C298+T298)),AP298,9E15),IF(AND(K298=0,ISNUMBER(AQ298),AQ298&lt;=(C298+T298)),AQ298,9E15),IF(AND(L298=0,ISNUMBER(AR298),AR298&lt;=(C298+T298)),AR298,9E15),IF(AND(M298=0,ISNUMBER(AS298),AS298&lt;=(C298+T298)),AS298,9E15))&lt;9E15,IF(AND(AND(J298=0,ISNUMBER(AP298),AP298&lt;=(C298+T298)),AP298=MIN(IF(AND(J298=0,ISNUMBER(AP298),AP298&lt;=(C298+T298)),AP298,9E15),IF(AND(K298=0,ISNUMBER(AQ298),AQ298&lt;=(C298+T298)),AQ298,9E15),IF(AND(L298=0,ISNUMBER(AR298),AR298&lt;=(C298+T298)),AR298,9E15),IF(AND(M298=0,ISNUMBER(AS298),AS298&lt;=(C298+T298)),AS298,9E15))),"BiP",IF(AND(AND(K298=0,ISNUMBER(AQ298),AQ298&lt;=(C298+T298)),AQ298=MIN(IF(AND(J298=0,ISNUMBER(AP298),AP298&lt;=(C298+T298)),AP298,9E15),IF(AND(K298=0,ISNUMBER(AQ298),AQ298&lt;=(C298+T298)),AQ298,9E15),IF(AND(L298=0,ISNUMBER(AR298),AR298&lt;=(C298+T298)),AR298,9E15),IF(AND(M298=0,ISNUMBER(AS298),AS298&lt;=(C298+T298)),AS298,9E15))),"PV",IF(AND(AND(L298=0,ISNUMBER(AR298),AR298&lt;=(C298+T298)),AR298=MIN(IF(AND(J298=0,ISNUMBER(AP298),AP298&lt;=(C298+T298)),AP298,9E15),IF(AND(K298=0,ISNUMBER(AQ298),AQ298&lt;=(C298+T298)),AQ298,9E15),IF(AND(L298=0,ISNUMBER(AR298),AR298&lt;=(C298+T298)),AR298,9E15),IF(AND(M298=0,ISNUMBER(AS298),AS298&lt;=(C298+T298)),AS298,9E15))),"OC","MG"))),IF(AX298=TRUE,"",IF(MAX(IF(AND(NOT(AND(AU298=1,AT298&lt;&gt;1)),ISNUMBER(AK298),AK298&lt;=(C298+T298)),AY298,0),IF(AND(NOT(AND(AU298=1,AT298&lt;&gt;1)),ISNUMBER(AL298),AL298&lt;=(C298+T298)),AZ298,0),IF(AND(NOT(AND(AU298=1,AT298&lt;&gt;1)),ISNUMBER(AM298),AM298&lt;=(C298+T298)),BA298,0),IF(AND(NOT(AND(AU298=1,AT298&lt;&gt;1)),ISNUMBER(AN298),AN298&lt;=(C298+T298)),BB298,0),IF(AND(ISNUMBER(AO298),AO298&lt;=(C298+T298)),BC298,0))&lt;=0,"",IF(AND(IF(AND(NOT(AND(AU298=1,AT298&lt;&gt;1)),ISNUMBER(AK298),AK298&lt;=(C298+T298)),AY298,0)&gt;0,IF(AND(NOT(AND(AU298=1,AT298&lt;&gt;1)),ISNUMBER(AK298),AK298&lt;=(C298+T298)),AY298,0)=MAX(IF(AND(NOT(AND(AU298=1,AT298&lt;&gt;1)),ISNUMBER(AK298),AK298&lt;=(C298+T298)),AY298,0),IF(AND(NOT(AND(AU298=1,AT298&lt;&gt;1)),ISNUMBER(AL298),AL298&lt;=(C298+T298)),AZ298,0),IF(AND(NOT(AND(AU298=1,AT298&lt;&gt;1)),ISNUMBER(AM298),AM298&lt;=(C298+T298)),BA298,0),IF(AND(NOT(AND(AU298=1,AT298&lt;&gt;1)),ISNUMBER(AN298),AN298&lt;=(C298+T298)),BB298,0),IF(AND(ISNUMBER(AO298),AO298&lt;=(C298+T298)),BC298,0))),"SK",IF(AND(IF(AND(NOT(AND(AU298=1,AT298&lt;&gt;1)),ISNUMBER(AL298),AL298&lt;=(C298+T298)),AZ298,0)&gt;0,IF(AND(NOT(AND(AU298=1,AT298&lt;&gt;1)),ISNUMBER(AL298),AL298&lt;=(C298+T298)),AZ298,0)=MAX(IF(AND(NOT(AND(AU298=1,AT298&lt;&gt;1)),ISNUMBER(AK298),AK298&lt;=(C298+T298)),AY298,0),IF(AND(NOT(AND(AU298=1,AT298&lt;&gt;1)),ISNUMBER(AL298),AL298&lt;=(C298+T298)),AZ298,0),IF(AND(NOT(AND(AU298=1,AT298&lt;&gt;1)),ISNUMBER(AM298),AM298&lt;=(C298+T298)),BA298,0),IF(AND(NOT(AND(AU298=1,AT298&lt;&gt;1)),ISNUMBER(AN298),AN298&lt;=(C298+T298)),BB298,0),IF(AND(ISNUMBER(AO298),AO298&lt;=(C298+T298)),BC298,0))),"LB",IF(AND(IF(AND(NOT(AND(AU298=1,AT298&lt;&gt;1)),ISNUMBER(AM298),AM298&lt;=(C298+T298)),BA298,0)&gt;0,IF(AND(NOT(AND(AU298=1,AT298&lt;&gt;1)),ISNUMBER(AM298),AM298&lt;=(C298+T298)),BA298,0)=MAX(IF(AND(NOT(AND(AU298=1,AT298&lt;&gt;1)),ISNUMBER(AK298),AK298&lt;=(C298+T298)),AY298,0),IF(AND(NOT(AND(AU298=1,AT298&lt;&gt;1)),ISNUMBER(AL298),AL298&lt;=(C298+T298)),AZ298,0),IF(AND(NOT(AND(AU298=1,AT298&lt;&gt;1)),ISNUMBER(AM298),AM298&lt;=(C298+T298)),BA298,0),IF(AND(NOT(AND(AU298=1,AT298&lt;&gt;1)),ISNUMBER(AN298),AN298&lt;=(C298+T298)),BB298,0),IF(AND(ISNUMBER(AO298),AO298&lt;=(C298+T298)),BC298,0))),"ML",IF(AND(IF(AND(NOT(AND(AU298=1,AT298&lt;&gt;1)),ISNUMBER(AN298),AN298&lt;=(C298+T298)),BB298,0)&gt;0,IF(AND(NOT(AND(AU298=1,AT298&lt;&gt;1)),ISNUMBER(AN298),AN298&lt;=(C298+T298)),BB298,0)=MAX(IF(AND(NOT(AND(AU298=1,AT298&lt;&gt;1)),ISNUMBER(AK298),AK298&lt;=(C298+T298)),AY298,0),IF(AND(NOT(AND(AU298=1,AT298&lt;&gt;1)),ISNUMBER(AL298),AL298&lt;=(C298+T298)),AZ298,0),IF(AND(NOT(AND(AU298=1,AT298&lt;&gt;1)),ISNUMBER(AM298),AM298&lt;=(C298+T298)),BA298,0),IF(AND(NOT(AND(AU298=1,AT298&lt;&gt;1)),ISNUMBER(AN298),AN298&lt;=(C298+T298)),BB298,0),IF(AND(ISNUMBER(AO298),AO298&lt;=(C298+T298)),BC298,0))),"RLO","BD"))))))))</f>
        <v/>
      </c>
    </row>
    <row r="299">
      <c r="A299" s="26" t="n">
        <v>288</v>
      </c>
      <c r="B299" s="27">
        <f>A299*10/60</f>
        <v/>
      </c>
      <c r="C299" s="22">
        <f>X298</f>
        <v/>
      </c>
      <c r="D299" s="27">
        <f>D298+W298</f>
        <v/>
      </c>
      <c r="E299" s="26">
        <f>E298+IF(U298="SK",1,0)</f>
        <v/>
      </c>
      <c r="F299" s="26">
        <f>F298+IF(U298="LB",1,0)</f>
        <v/>
      </c>
      <c r="G299" s="26">
        <f>G298+IF(U298="ML",1,0)</f>
        <v/>
      </c>
      <c r="H299" s="26">
        <f>H298+IF(U298="RLO",1,0)</f>
        <v/>
      </c>
      <c r="I299" s="26">
        <f>I298+IF(U298="BD",1,0)</f>
        <v/>
      </c>
      <c r="J299" s="26">
        <f>MAX(J298,IF(U298="BiP",1,0))</f>
        <v/>
      </c>
      <c r="K299" s="26">
        <f>MAX(K298,IF(U298="PV",1,0))</f>
        <v/>
      </c>
      <c r="L299" s="26">
        <f>MAX(L298,IF(U298="OC",1,0))</f>
        <v/>
      </c>
      <c r="M299" s="26">
        <f>MAX(M298,IF(U298="MG",1,0))</f>
        <v/>
      </c>
      <c r="N299" s="26">
        <f>MAX(N298,IF(U298="transition",1,0))</f>
        <v/>
      </c>
      <c r="O299" s="28">
        <f>(Parameters!$B$9+(IF(E299=0,0,(Upgrades!$J$13+E299*Upgrades!$K$13)*POWER(Upgrades!$L$13,E299)))*(IF(Upgrades!$T$14="Stellar Kinematics",POWER(Upgrades!$U$14,F299),1)*IF(Upgrades!$T$15="Stellar Kinematics",POWER(Upgrades!$U$15,G299),1)*IF(Upgrades!$T$16="Stellar Kinematics",POWER(Upgrades!$U$16,H299),1)*IF(Upgrades!$T$17="Stellar Kinematics",POWER(Upgrades!$U$17,I299),1)*IF(Upgrades!$T$18="Stellar Kinematics",POWER(Upgrades!$U$18,J299),1)*IF(Upgrades!$T$19="Stellar Kinematics",POWER(Upgrades!$U$19,K299),1)*IF(Upgrades!$T$20="Stellar Kinematics",POWER(Upgrades!$U$20,L299),1)*IF(Upgrades!$T$21="Stellar Kinematics",POWER(Upgrades!$U$21,M299),1))+(IF(F299=0,0,(Upgrades!$J$14+F299*Upgrades!$K$14)*POWER(Upgrades!$L$14,F299)))*(IF(Upgrades!$T$13="Local Bubble",POWER(Upgrades!$U$13,E299),1)*IF(Upgrades!$T$15="Local Bubble",POWER(Upgrades!$U$15,G299),1)*IF(Upgrades!$T$16="Local Bubble",POWER(Upgrades!$U$16,H299),1)*IF(Upgrades!$T$17="Local Bubble",POWER(Upgrades!$U$17,I299),1)*IF(Upgrades!$T$18="Local Bubble",POWER(Upgrades!$U$18,J299),1)*IF(Upgrades!$T$19="Local Bubble",POWER(Upgrades!$U$19,K299),1)*IF(Upgrades!$T$20="Local Bubble",POWER(Upgrades!$U$20,L299),1)*IF(Upgrades!$T$21="Local Bubble",POWER(Upgrades!$U$21,M299),1))+(IF(G299=0,0,(Upgrades!$J$15+G299*Upgrades!$K$15)*POWER(Upgrades!$L$15,G299)))*(IF(Upgrades!$T$13="Microlensing",POWER(Upgrades!$U$13,E299),1)*IF(Upgrades!$T$14="Microlensing",POWER(Upgrades!$U$14,F299),1)*IF(Upgrades!$T$16="Microlensing",POWER(Upgrades!$U$16,H299),1)*IF(Upgrades!$T$17="Microlensing",POWER(Upgrades!$U$17,I299),1)*IF(Upgrades!$T$18="Microlensing",POWER(Upgrades!$U$18,J299),1)*IF(Upgrades!$T$19="Microlensing",POWER(Upgrades!$U$19,K299),1)*IF(Upgrades!$T$20="Microlensing",POWER(Upgrades!$U$20,L299),1)*IF(Upgrades!$T$21="Microlensing",POWER(Upgrades!$U$21,M299),1))+(IF(H299=0,0,(Upgrades!$J$16+H299*Upgrades!$K$16)*POWER(Upgrades!$L$16,H299)))*(IF(Upgrades!$T$13="Roche Lobe Overflow",POWER(Upgrades!$U$13,E299),1)*IF(Upgrades!$T$14="Roche Lobe Overflow",POWER(Upgrades!$U$14,F299),1)*IF(Upgrades!$T$15="Roche Lobe Overflow",POWER(Upgrades!$U$15,G299),1)*IF(Upgrades!$T$17="Roche Lobe Overflow",POWER(Upgrades!$U$17,I299),1)*IF(Upgrades!$T$18="Roche Lobe Overflow",POWER(Upgrades!$U$18,J299),1)*IF(Upgrades!$T$19="Roche Lobe Overflow",POWER(Upgrades!$U$19,K299),1)*IF(Upgrades!$T$20="Roche Lobe Overflow",POWER(Upgrades!$U$20,L299),1)*IF(Upgrades!$T$21="Roche Lobe Overflow",POWER(Upgrades!$U$21,M299),1))+(IF(I299=0,0,(Upgrades!$J$17+I299*Upgrades!$K$17)*POWER(Upgrades!$L$17,I299)))*(IF(Upgrades!$T$13="Brown Dwarf",POWER(Upgrades!$U$13,E299),1)*IF(Upgrades!$T$14="Brown Dwarf",POWER(Upgrades!$U$14,F299),1)*IF(Upgrades!$T$15="Brown Dwarf",POWER(Upgrades!$U$15,G299),1)*IF(Upgrades!$T$16="Brown Dwarf",POWER(Upgrades!$U$16,H299),1)*IF(Upgrades!$T$18="Brown Dwarf",POWER(Upgrades!$U$18,J299),1)*IF(Upgrades!$T$19="Brown Dwarf",POWER(Upgrades!$U$19,K299),1)*IF(Upgrades!$T$20="Brown Dwarf",POWER(Upgrades!$U$20,L299),1)*IF(Upgrades!$T$21="Brown Dwarf",POWER(Upgrades!$U$21,M299),1))+(IF(J299=0,0,(Upgrades!$J$18+J299*Upgrades!$K$18)*POWER(Upgrades!$L$18,J299)))*(IF(Upgrades!$T$13="Binary Partner",POWER(Upgrades!$U$13,E299),1)*IF(Upgrades!$T$14="Binary Partner",POWER(Upgrades!$U$14,F299),1)*IF(Upgrades!$T$15="Binary Partner",POWER(Upgrades!$U$15,G299),1)*IF(Upgrades!$T$16="Binary Partner",POWER(Upgrades!$U$16,H299),1)*IF(Upgrades!$T$17="Binary Partner",POWER(Upgrades!$U$17,I299),1)*IF(Upgrades!$T$19="Binary Partner",POWER(Upgrades!$U$19,K299),1)*IF(Upgrades!$T$20="Binary Partner",POWER(Upgrades!$U$20,L299),1)*IF(Upgrades!$T$21="Binary Partner",POWER(Upgrades!$U$21,M299),1))+(IF(K299=0,0,(Upgrades!$J$19+K299*Upgrades!$K$19)*POWER(Upgrades!$L$19,K299)))*(IF(Upgrades!$T$13="Peculiar Velocity",POWER(Upgrades!$U$13,E299),1)*IF(Upgrades!$T$14="Peculiar Velocity",POWER(Upgrades!$U$14,F299),1)*IF(Upgrades!$T$15="Peculiar Velocity",POWER(Upgrades!$U$15,G299),1)*IF(Upgrades!$T$16="Peculiar Velocity",POWER(Upgrades!$U$16,H299),1)*IF(Upgrades!$T$17="Peculiar Velocity",POWER(Upgrades!$U$17,I299),1)*IF(Upgrades!$T$18="Peculiar Velocity",POWER(Upgrades!$U$18,J299),1)*IF(Upgrades!$T$20="Peculiar Velocity",POWER(Upgrades!$U$20,L299),1)*IF(Upgrades!$T$21="Peculiar Velocity",POWER(Upgrades!$U$21,M299),1))+(IF(L299=0,0,(Upgrades!$J$20+L299*Upgrades!$K$20)*POWER(Upgrades!$L$20,L299)))*(IF(Upgrades!$T$13="Open Cluster",POWER(Upgrades!$U$13,E299),1)*IF(Upgrades!$T$14="Open Cluster",POWER(Upgrades!$U$14,F299),1)*IF(Upgrades!$T$15="Open Cluster",POWER(Upgrades!$U$15,G299),1)*IF(Upgrades!$T$16="Open Cluster",POWER(Upgrades!$U$16,H299),1)*IF(Upgrades!$T$17="Open Cluster",POWER(Upgrades!$U$17,I299),1)*IF(Upgrades!$T$18="Open Cluster",POWER(Upgrades!$U$18,J299),1)*IF(Upgrades!$T$19="Open Cluster",POWER(Upgrades!$U$19,K299),1)*IF(Upgrades!$T$21="Open Cluster",POWER(Upgrades!$U$21,M299),1))+(IF(M299=0,0,(Upgrades!$J$21+M299*Upgrades!$K$21)*POWER(Upgrades!$L$21,M299)))*(IF(Upgrades!$T$13="Moving Group",POWER(Upgrades!$U$13,E299),1)*IF(Upgrades!$T$14="Moving Group",POWER(Upgrades!$U$14,F299),1)*IF(Upgrades!$T$15="Moving Group",POWER(Upgrades!$U$15,G299),1)*IF(Upgrades!$T$16="Moving Group",POWER(Upgrades!$U$16,H299),1)*IF(Upgrades!$T$17="Moving Group",POWER(Upgrades!$U$17,I299),1)*IF(Upgrades!$T$18="Moving Group",POWER(Upgrades!$U$18,J299),1)*IF(Upgrades!$T$19="Moving Group",POWER(Upgrades!$U$19,K299),1)*IF(Upgrades!$T$20="Moving Group",POWER(Upgrades!$U$20,L299),1)))*POWER(Upgrades!$Q$13,E299)*POWER(Upgrades!$Q$14,F299)*POWER(Upgrades!$Q$15,G299)*POWER(Upgrades!$Q$16,H299)*POWER(Upgrades!$Q$17,I299)*POWER(Upgrades!$Q$18,J299)*POWER(Upgrades!$Q$19,K299)*POWER(Upgrades!$Q$20,L299)*POWER(Upgrades!$Q$21,M299)*$G$6+$D$6</f>
        <v/>
      </c>
      <c r="P299" s="28">
        <f>((IF(E299=0,0,(Upgrades!$G$13+E299*Upgrades!$H$13)*POWER(Upgrades!$I$13,E299)))*(IF(Upgrades!$T$14="Stellar Kinematics",POWER(Upgrades!$U$14,F299),1)*IF(Upgrades!$T$15="Stellar Kinematics",POWER(Upgrades!$U$15,G299),1)*IF(Upgrades!$T$16="Stellar Kinematics",POWER(Upgrades!$U$16,H299),1)*IF(Upgrades!$T$17="Stellar Kinematics",POWER(Upgrades!$U$17,I299),1)*IF(Upgrades!$T$18="Stellar Kinematics",POWER(Upgrades!$U$18,J299),1)*IF(Upgrades!$T$19="Stellar Kinematics",POWER(Upgrades!$U$19,K299),1)*IF(Upgrades!$T$20="Stellar Kinematics",POWER(Upgrades!$U$20,L299),1)*IF(Upgrades!$T$21="Stellar Kinematics",POWER(Upgrades!$U$21,M299),1))+(IF(F299=0,0,(Upgrades!$G$14+F299*Upgrades!$H$14)*POWER(Upgrades!$I$14,F299)))*(IF(Upgrades!$T$13="Local Bubble",POWER(Upgrades!$U$13,E299),1)*IF(Upgrades!$T$15="Local Bubble",POWER(Upgrades!$U$15,G299),1)*IF(Upgrades!$T$16="Local Bubble",POWER(Upgrades!$U$16,H299),1)*IF(Upgrades!$T$17="Local Bubble",POWER(Upgrades!$U$17,I299),1)*IF(Upgrades!$T$18="Local Bubble",POWER(Upgrades!$U$18,J299),1)*IF(Upgrades!$T$19="Local Bubble",POWER(Upgrades!$U$19,K299),1)*IF(Upgrades!$T$20="Local Bubble",POWER(Upgrades!$U$20,L299),1)*IF(Upgrades!$T$21="Local Bubble",POWER(Upgrades!$U$21,M299),1))+(IF(G299=0,0,(Upgrades!$G$15+G299*Upgrades!$H$15)*POWER(Upgrades!$I$15,G299)))*(IF(Upgrades!$T$13="Microlensing",POWER(Upgrades!$U$13,E299),1)*IF(Upgrades!$T$14="Microlensing",POWER(Upgrades!$U$14,F299),1)*IF(Upgrades!$T$16="Microlensing",POWER(Upgrades!$U$16,H299),1)*IF(Upgrades!$T$17="Microlensing",POWER(Upgrades!$U$17,I299),1)*IF(Upgrades!$T$18="Microlensing",POWER(Upgrades!$U$18,J299),1)*IF(Upgrades!$T$19="Microlensing",POWER(Upgrades!$U$19,K299),1)*IF(Upgrades!$T$20="Microlensing",POWER(Upgrades!$U$20,L299),1)*IF(Upgrades!$T$21="Microlensing",POWER(Upgrades!$U$21,M299),1))+(IF(H299=0,0,(Upgrades!$G$16+H299*Upgrades!$H$16)*POWER(Upgrades!$I$16,H299)))*(IF(Upgrades!$T$13="Roche Lobe Overflow",POWER(Upgrades!$U$13,E299),1)*IF(Upgrades!$T$14="Roche Lobe Overflow",POWER(Upgrades!$U$14,F299),1)*IF(Upgrades!$T$15="Roche Lobe Overflow",POWER(Upgrades!$U$15,G299),1)*IF(Upgrades!$T$17="Roche Lobe Overflow",POWER(Upgrades!$U$17,I299),1)*IF(Upgrades!$T$18="Roche Lobe Overflow",POWER(Upgrades!$U$18,J299),1)*IF(Upgrades!$T$19="Roche Lobe Overflow",POWER(Upgrades!$U$19,K299),1)*IF(Upgrades!$T$20="Roche Lobe Overflow",POWER(Upgrades!$U$20,L299),1)*IF(Upgrades!$T$21="Roche Lobe Overflow",POWER(Upgrades!$U$21,M299),1))+(IF(I299=0,0,(Upgrades!$G$17+I299*Upgrades!$H$17)*POWER(Upgrades!$I$17,I299)))*(IF(Upgrades!$T$13="Brown Dwarf",POWER(Upgrades!$U$13,E299),1)*IF(Upgrades!$T$14="Brown Dwarf",POWER(Upgrades!$U$14,F299),1)*IF(Upgrades!$T$15="Brown Dwarf",POWER(Upgrades!$U$15,G299),1)*IF(Upgrades!$T$16="Brown Dwarf",POWER(Upgrades!$U$16,H299),1)*IF(Upgrades!$T$18="Brown Dwarf",POWER(Upgrades!$U$18,J299),1)*IF(Upgrades!$T$19="Brown Dwarf",POWER(Upgrades!$U$19,K299),1)*IF(Upgrades!$T$20="Brown Dwarf",POWER(Upgrades!$U$20,L299),1)*IF(Upgrades!$T$21="Brown Dwarf",POWER(Upgrades!$U$21,M299),1))+(IF(J299=0,0,(Upgrades!$G$18+J299*Upgrades!$H$18)*POWER(Upgrades!$I$18,J299)))*(IF(Upgrades!$T$13="Binary Partner",POWER(Upgrades!$U$13,E299),1)*IF(Upgrades!$T$14="Binary Partner",POWER(Upgrades!$U$14,F299),1)*IF(Upgrades!$T$15="Binary Partner",POWER(Upgrades!$U$15,G299),1)*IF(Upgrades!$T$16="Binary Partner",POWER(Upgrades!$U$16,H299),1)*IF(Upgrades!$T$17="Binary Partner",POWER(Upgrades!$U$17,I299),1)*IF(Upgrades!$T$19="Binary Partner",POWER(Upgrades!$U$19,K299),1)*IF(Upgrades!$T$20="Binary Partner",POWER(Upgrades!$U$20,L299),1)*IF(Upgrades!$T$21="Binary Partner",POWER(Upgrades!$U$21,M299),1))+(IF(K299=0,0,(Upgrades!$G$19+K299*Upgrades!$H$19)*POWER(Upgrades!$I$19,K299)))*(IF(Upgrades!$T$13="Peculiar Velocity",POWER(Upgrades!$U$13,E299),1)*IF(Upgrades!$T$14="Peculiar Velocity",POWER(Upgrades!$U$14,F299),1)*IF(Upgrades!$T$15="Peculiar Velocity",POWER(Upgrades!$U$15,G299),1)*IF(Upgrades!$T$16="Peculiar Velocity",POWER(Upgrades!$U$16,H299),1)*IF(Upgrades!$T$17="Peculiar Velocity",POWER(Upgrades!$U$17,I299),1)*IF(Upgrades!$T$18="Peculiar Velocity",POWER(Upgrades!$U$18,J299),1)*IF(Upgrades!$T$20="Peculiar Velocity",POWER(Upgrades!$U$20,L299),1)*IF(Upgrades!$T$21="Peculiar Velocity",POWER(Upgrades!$U$21,M299),1))+(IF(L299=0,0,(Upgrades!$G$20+L299*Upgrades!$H$20)*POWER(Upgrades!$I$20,L299)))*(IF(Upgrades!$T$13="Open Cluster",POWER(Upgrades!$U$13,E299),1)*IF(Upgrades!$T$14="Open Cluster",POWER(Upgrades!$U$14,F299),1)*IF(Upgrades!$T$15="Open Cluster",POWER(Upgrades!$U$15,G299),1)*IF(Upgrades!$T$16="Open Cluster",POWER(Upgrades!$U$16,H299),1)*IF(Upgrades!$T$17="Open Cluster",POWER(Upgrades!$U$17,I299),1)*IF(Upgrades!$T$18="Open Cluster",POWER(Upgrades!$U$18,J299),1)*IF(Upgrades!$T$19="Open Cluster",POWER(Upgrades!$U$19,K299),1)*IF(Upgrades!$T$21="Open Cluster",POWER(Upgrades!$U$21,M299),1))+(IF(M299=0,0,(Upgrades!$G$21+M299*Upgrades!$H$21)*POWER(Upgrades!$I$21,M299)))*(IF(Upgrades!$T$13="Moving Group",POWER(Upgrades!$U$13,E299),1)*IF(Upgrades!$T$14="Moving Group",POWER(Upgrades!$U$14,F299),1)*IF(Upgrades!$T$15="Moving Group",POWER(Upgrades!$U$15,G299),1)*IF(Upgrades!$T$16="Moving Group",POWER(Upgrades!$U$16,H299),1)*IF(Upgrades!$T$17="Moving Group",POWER(Upgrades!$U$17,I299),1)*IF(Upgrades!$T$18="Moving Group",POWER(Upgrades!$U$18,J299),1)*IF(Upgrades!$T$19="Moving Group",POWER(Upgrades!$U$19,K299),1)*IF(Upgrades!$T$20="Moving Group",POWER(Upgrades!$U$20,L299),1)))*POWER(Upgrades!$P$13,E299)*POWER(Upgrades!$P$14,F299)*POWER(Upgrades!$P$15,G299)*POWER(Upgrades!$P$16,H299)*POWER(Upgrades!$P$17,I299)*POWER(Upgrades!$P$18,J299)*POWER(Upgrades!$P$19,K299)*POWER(Upgrades!$P$20,L299)*POWER(Upgrades!$P$21,M299)*$F$6+$C$6</f>
        <v/>
      </c>
      <c r="Q299" s="28">
        <f>((IF(E299=0,0,(Upgrades!$M$13+E299*Upgrades!$N$13)*POWER(Upgrades!$O$13,E299)))*(IF(Upgrades!$T$14="Stellar Kinematics",POWER(Upgrades!$U$14,F299),1)*IF(Upgrades!$T$15="Stellar Kinematics",POWER(Upgrades!$U$15,G299),1)*IF(Upgrades!$T$16="Stellar Kinematics",POWER(Upgrades!$U$16,H299),1)*IF(Upgrades!$T$17="Stellar Kinematics",POWER(Upgrades!$U$17,I299),1)*IF(Upgrades!$T$18="Stellar Kinematics",POWER(Upgrades!$U$18,J299),1)*IF(Upgrades!$T$19="Stellar Kinematics",POWER(Upgrades!$U$19,K299),1)*IF(Upgrades!$T$20="Stellar Kinematics",POWER(Upgrades!$U$20,L299),1)*IF(Upgrades!$T$21="Stellar Kinematics",POWER(Upgrades!$U$21,M299),1))+(IF(F299=0,0,(Upgrades!$M$14+F299*Upgrades!$N$14)*POWER(Upgrades!$O$14,F299)))*(IF(Upgrades!$T$13="Local Bubble",POWER(Upgrades!$U$13,E299),1)*IF(Upgrades!$T$15="Local Bubble",POWER(Upgrades!$U$15,G299),1)*IF(Upgrades!$T$16="Local Bubble",POWER(Upgrades!$U$16,H299),1)*IF(Upgrades!$T$17="Local Bubble",POWER(Upgrades!$U$17,I299),1)*IF(Upgrades!$T$18="Local Bubble",POWER(Upgrades!$U$18,J299),1)*IF(Upgrades!$T$19="Local Bubble",POWER(Upgrades!$U$19,K299),1)*IF(Upgrades!$T$20="Local Bubble",POWER(Upgrades!$U$20,L299),1)*IF(Upgrades!$T$21="Local Bubble",POWER(Upgrades!$U$21,M299),1))+(IF(G299=0,0,(Upgrades!$M$15+G299*Upgrades!$N$15)*POWER(Upgrades!$O$15,G299)))*(IF(Upgrades!$T$13="Microlensing",POWER(Upgrades!$U$13,E299),1)*IF(Upgrades!$T$14="Microlensing",POWER(Upgrades!$U$14,F299),1)*IF(Upgrades!$T$16="Microlensing",POWER(Upgrades!$U$16,H299),1)*IF(Upgrades!$T$17="Microlensing",POWER(Upgrades!$U$17,I299),1)*IF(Upgrades!$T$18="Microlensing",POWER(Upgrades!$U$18,J299),1)*IF(Upgrades!$T$19="Microlensing",POWER(Upgrades!$U$19,K299),1)*IF(Upgrades!$T$20="Microlensing",POWER(Upgrades!$U$20,L299),1)*IF(Upgrades!$T$21="Microlensing",POWER(Upgrades!$U$21,M299),1))+(IF(H299=0,0,(Upgrades!$M$16+H299*Upgrades!$N$16)*POWER(Upgrades!$O$16,H299)))*(IF(Upgrades!$T$13="Roche Lobe Overflow",POWER(Upgrades!$U$13,E299),1)*IF(Upgrades!$T$14="Roche Lobe Overflow",POWER(Upgrades!$U$14,F299),1)*IF(Upgrades!$T$15="Roche Lobe Overflow",POWER(Upgrades!$U$15,G299),1)*IF(Upgrades!$T$17="Roche Lobe Overflow",POWER(Upgrades!$U$17,I299),1)*IF(Upgrades!$T$18="Roche Lobe Overflow",POWER(Upgrades!$U$18,J299),1)*IF(Upgrades!$T$19="Roche Lobe Overflow",POWER(Upgrades!$U$19,K299),1)*IF(Upgrades!$T$20="Roche Lobe Overflow",POWER(Upgrades!$U$20,L299),1)*IF(Upgrades!$T$21="Roche Lobe Overflow",POWER(Upgrades!$U$21,M299),1))+(IF(I299=0,0,(Upgrades!$M$17+I299*Upgrades!$N$17)*POWER(Upgrades!$O$17,I299)))*(IF(Upgrades!$T$13="Brown Dwarf",POWER(Upgrades!$U$13,E299),1)*IF(Upgrades!$T$14="Brown Dwarf",POWER(Upgrades!$U$14,F299),1)*IF(Upgrades!$T$15="Brown Dwarf",POWER(Upgrades!$U$15,G299),1)*IF(Upgrades!$T$16="Brown Dwarf",POWER(Upgrades!$U$16,H299),1)*IF(Upgrades!$T$18="Brown Dwarf",POWER(Upgrades!$U$18,J299),1)*IF(Upgrades!$T$19="Brown Dwarf",POWER(Upgrades!$U$19,K299),1)*IF(Upgrades!$T$20="Brown Dwarf",POWER(Upgrades!$U$20,L299),1)*IF(Upgrades!$T$21="Brown Dwarf",POWER(Upgrades!$U$21,M299),1))+(IF(J299=0,0,(Upgrades!$M$18+J299*Upgrades!$N$18)*POWER(Upgrades!$O$18,J299)))*(IF(Upgrades!$T$13="Binary Partner",POWER(Upgrades!$U$13,E299),1)*IF(Upgrades!$T$14="Binary Partner",POWER(Upgrades!$U$14,F299),1)*IF(Upgrades!$T$15="Binary Partner",POWER(Upgrades!$U$15,G299),1)*IF(Upgrades!$T$16="Binary Partner",POWER(Upgrades!$U$16,H299),1)*IF(Upgrades!$T$17="Binary Partner",POWER(Upgrades!$U$17,I299),1)*IF(Upgrades!$T$19="Binary Partner",POWER(Upgrades!$U$19,K299),1)*IF(Upgrades!$T$20="Binary Partner",POWER(Upgrades!$U$20,L299),1)*IF(Upgrades!$T$21="Binary Partner",POWER(Upgrades!$U$21,M299),1))+(IF(K299=0,0,(Upgrades!$M$19+K299*Upgrades!$N$19)*POWER(Upgrades!$O$19,K299)))*(IF(Upgrades!$T$13="Peculiar Velocity",POWER(Upgrades!$U$13,E299),1)*IF(Upgrades!$T$14="Peculiar Velocity",POWER(Upgrades!$U$14,F299),1)*IF(Upgrades!$T$15="Peculiar Velocity",POWER(Upgrades!$U$15,G299),1)*IF(Upgrades!$T$16="Peculiar Velocity",POWER(Upgrades!$U$16,H299),1)*IF(Upgrades!$T$17="Peculiar Velocity",POWER(Upgrades!$U$17,I299),1)*IF(Upgrades!$T$18="Peculiar Velocity",POWER(Upgrades!$U$18,J299),1)*IF(Upgrades!$T$20="Peculiar Velocity",POWER(Upgrades!$U$20,L299),1)*IF(Upgrades!$T$21="Peculiar Velocity",POWER(Upgrades!$U$21,M299),1))+(IF(L299=0,0,(Upgrades!$M$20+L299*Upgrades!$N$20)*POWER(Upgrades!$O$20,L299)))*(IF(Upgrades!$T$13="Open Cluster",POWER(Upgrades!$U$13,E299),1)*IF(Upgrades!$T$14="Open Cluster",POWER(Upgrades!$U$14,F299),1)*IF(Upgrades!$T$15="Open Cluster",POWER(Upgrades!$U$15,G299),1)*IF(Upgrades!$T$16="Open Cluster",POWER(Upgrades!$U$16,H299),1)*IF(Upgrades!$T$17="Open Cluster",POWER(Upgrades!$U$17,I299),1)*IF(Upgrades!$T$18="Open Cluster",POWER(Upgrades!$U$18,J299),1)*IF(Upgrades!$T$19="Open Cluster",POWER(Upgrades!$U$19,K299),1)*IF(Upgrades!$T$21="Open Cluster",POWER(Upgrades!$U$21,M299),1))+(IF(M299=0,0,(Upgrades!$M$21+M299*Upgrades!$N$21)*POWER(Upgrades!$O$21,M299)))*(IF(Upgrades!$T$13="Moving Group",POWER(Upgrades!$U$13,E299),1)*IF(Upgrades!$T$14="Moving Group",POWER(Upgrades!$U$14,F299),1)*IF(Upgrades!$T$15="Moving Group",POWER(Upgrades!$U$15,G299),1)*IF(Upgrades!$T$16="Moving Group",POWER(Upgrades!$U$16,H299),1)*IF(Upgrades!$T$17="Moving Group",POWER(Upgrades!$U$17,I299),1)*IF(Upgrades!$T$18="Moving Group",POWER(Upgrades!$U$18,J299),1)*IF(Upgrades!$T$19="Moving Group",POWER(Upgrades!$U$19,K299),1)*IF(Upgrades!$T$20="Moving Group",POWER(Upgrades!$U$20,L299),1)))*POWER(Upgrades!$R$13,E299)*POWER(Upgrades!$R$14,F299)*POWER(Upgrades!$R$15,G299)*POWER(Upgrades!$R$16,H299)*POWER(Upgrades!$R$17,I299)*POWER(Upgrades!$R$18,J299)*POWER(Upgrades!$R$19,K299)*POWER(Upgrades!$R$20,L299)*POWER(Upgrades!$R$21,M299)*$H$6+$E$6</f>
        <v/>
      </c>
      <c r="R299" s="27">
        <f>IF(N299=1,0,O299*Parameters!$B$10/60*Parameters!$B$11*10)</f>
        <v/>
      </c>
      <c r="S299" s="27">
        <f>IF(N299=1,0,Q299*O299*10)</f>
        <v/>
      </c>
      <c r="T299" s="27">
        <f>IF(N299=1,0,R299+S299+P299*10)</f>
        <v/>
      </c>
      <c r="U299" s="33">
        <f>BE299</f>
        <v/>
      </c>
      <c r="V299" s="22">
        <f>IF(U299="",0,IF(U299="transition",0,IF(U299="SK",AK299,IF(U299="LB",AL299,IF(U299="ML",AM299,IF(U299="RLO",AN299,IF(U299="BD",AO299,IF(U299="BiP",AP299,IF(U299="PV",AQ299,IF(U299="OC",AR299,IF(U299="MG",AS299,0))))))))))</f>
        <v/>
      </c>
      <c r="W299" s="27">
        <f>IF(U299="BiP",Upgrades!$F$18,IF(U299="PV",Upgrades!$F$19,IF(U299="OC",Upgrades!$F$20,IF(U299="MG",Upgrades!$F$21,IF(U299="transition",-Parameters!$B$18*Parameters!$B$19,0)))))</f>
        <v/>
      </c>
      <c r="X299" s="22">
        <f>C299+T299-V299</f>
        <v/>
      </c>
      <c r="Y299" s="30">
        <f>O299*Parameters!$B$10/60*Parameters!$B$11+Q299*O299+P299</f>
        <v/>
      </c>
      <c r="Z299" s="34">
        <f>IF(U299="transition","→ Tier 3 (Galactic Arm)",IF(U299="MG","Moving Group — pocket drifts together",IF(U299="OC","Open Cluster acquired",IF(U299="PV","Peculiar Velocity — passive multiplier active",IF(U299="BiP","Binary Partner — pair bond formed",IF(AND(AU299=1,N299=0,AT299&lt;&gt;1),"Cohesion ready (waiting on completionists)","")))))) </f>
        <v/>
      </c>
      <c r="AA299" s="27">
        <f>(IF(E299=0,0,(Upgrades!$G$13+E299*Upgrades!$H$13)*POWER(Upgrades!$I$13,E299)))*(IF(Upgrades!$T$14="Stellar Kinematics",POWER(Upgrades!$U$14,F299),1)*IF(Upgrades!$T$15="Stellar Kinematics",POWER(Upgrades!$U$15,G299),1)*IF(Upgrades!$T$16="Stellar Kinematics",POWER(Upgrades!$U$16,H299),1)*IF(Upgrades!$T$17="Stellar Kinematics",POWER(Upgrades!$U$17,I299),1)*IF(Upgrades!$T$18="Stellar Kinematics",POWER(Upgrades!$U$18,J299),1)*IF(Upgrades!$T$19="Stellar Kinematics",POWER(Upgrades!$U$19,K299),1)*IF(Upgrades!$T$20="Stellar Kinematics",POWER(Upgrades!$U$20,L299),1)*IF(Upgrades!$T$21="Stellar Kinematics",POWER(Upgrades!$U$21,M299),1))*POWER(Upgrades!$P$13,E299)*POWER(Upgrades!$P$14,F299)*POWER(Upgrades!$P$15,G299)*POWER(Upgrades!$P$16,H299)*POWER(Upgrades!$P$17,I299)*POWER(Upgrades!$P$18,J299)*POWER(Upgrades!$P$19,K299)*POWER(Upgrades!$P$20,L299)*POWER(Upgrades!$P$21,M299)*$F$6*60</f>
        <v/>
      </c>
      <c r="AB299" s="27">
        <f>(IF(F299=0,0,(Upgrades!$G$14+F299*Upgrades!$H$14)*POWER(Upgrades!$I$14,F299)))*(IF(Upgrades!$T$13="Local Bubble",POWER(Upgrades!$U$13,E299),1)*IF(Upgrades!$T$15="Local Bubble",POWER(Upgrades!$U$15,G299),1)*IF(Upgrades!$T$16="Local Bubble",POWER(Upgrades!$U$16,H299),1)*IF(Upgrades!$T$17="Local Bubble",POWER(Upgrades!$U$17,I299),1)*IF(Upgrades!$T$18="Local Bubble",POWER(Upgrades!$U$18,J299),1)*IF(Upgrades!$T$19="Local Bubble",POWER(Upgrades!$U$19,K299),1)*IF(Upgrades!$T$20="Local Bubble",POWER(Upgrades!$U$20,L299),1)*IF(Upgrades!$T$21="Local Bubble",POWER(Upgrades!$U$21,M299),1))*POWER(Upgrades!$P$13,E299)*POWER(Upgrades!$P$14,F299)*POWER(Upgrades!$P$15,G299)*POWER(Upgrades!$P$16,H299)*POWER(Upgrades!$P$17,I299)*POWER(Upgrades!$P$18,J299)*POWER(Upgrades!$P$19,K299)*POWER(Upgrades!$P$20,L299)*POWER(Upgrades!$P$21,M299)*$F$6*60</f>
        <v/>
      </c>
      <c r="AC299" s="27">
        <f>(IF(G299=0,0,(Upgrades!$J$15+G299*Upgrades!$K$15)*POWER(Upgrades!$L$15,G299)))*(IF(Upgrades!$T$13="Microlensing",POWER(Upgrades!$U$13,E299),1)*IF(Upgrades!$T$14="Microlensing",POWER(Upgrades!$U$14,F299),1)*IF(Upgrades!$T$16="Microlensing",POWER(Upgrades!$U$16,H299),1)*IF(Upgrades!$T$17="Microlensing",POWER(Upgrades!$U$17,I299),1)*IF(Upgrades!$T$18="Microlensing",POWER(Upgrades!$U$18,J299),1)*IF(Upgrades!$T$19="Microlensing",POWER(Upgrades!$U$19,K299),1)*IF(Upgrades!$T$20="Microlensing",POWER(Upgrades!$U$20,L299),1)*IF(Upgrades!$T$21="Microlensing",POWER(Upgrades!$U$21,M299),1))*POWER(Upgrades!$Q$13,E299)*POWER(Upgrades!$Q$14,F299)*POWER(Upgrades!$Q$15,G299)*POWER(Upgrades!$Q$16,H299)*POWER(Upgrades!$Q$17,I299)*POWER(Upgrades!$Q$18,J299)*POWER(Upgrades!$Q$19,K299)*POWER(Upgrades!$Q$20,L299)*POWER(Upgrades!$Q$21,M299)*$G$6*(Parameters!$B$10*Parameters!$B$11+Q299*60)</f>
        <v/>
      </c>
      <c r="AD299" s="27">
        <f>(IF(H299=0,0,(Upgrades!$M$16+H299*Upgrades!$N$16)*POWER(Upgrades!$O$16,H299)))*(IF(Upgrades!$T$13="Roche Lobe Overflow",POWER(Upgrades!$U$13,E299),1)*IF(Upgrades!$T$14="Roche Lobe Overflow",POWER(Upgrades!$U$14,F299),1)*IF(Upgrades!$T$15="Roche Lobe Overflow",POWER(Upgrades!$U$15,G299),1)*IF(Upgrades!$T$17="Roche Lobe Overflow",POWER(Upgrades!$U$17,I299),1)*IF(Upgrades!$T$18="Roche Lobe Overflow",POWER(Upgrades!$U$18,J299),1)*IF(Upgrades!$T$19="Roche Lobe Overflow",POWER(Upgrades!$U$19,K299),1)*IF(Upgrades!$T$20="Roche Lobe Overflow",POWER(Upgrades!$U$20,L299),1)*IF(Upgrades!$T$21="Roche Lobe Overflow",POWER(Upgrades!$U$21,M299),1))*POWER(Upgrades!$R$13,E299)*POWER(Upgrades!$R$14,F299)*POWER(Upgrades!$R$15,G299)*POWER(Upgrades!$R$16,H299)*POWER(Upgrades!$R$17,I299)*POWER(Upgrades!$R$18,J299)*POWER(Upgrades!$R$19,K299)*POWER(Upgrades!$R$20,L299)*POWER(Upgrades!$R$21,M299)*$H$6*O299*60</f>
        <v/>
      </c>
      <c r="AE299" s="27">
        <f>(IF(I299=0,0,(Upgrades!$G$17+I299*Upgrades!$H$17)*POWER(Upgrades!$I$17,I299)))*(IF(Upgrades!$T$13="Brown Dwarf",POWER(Upgrades!$U$13,E299),1)*IF(Upgrades!$T$14="Brown Dwarf",POWER(Upgrades!$U$14,F299),1)*IF(Upgrades!$T$15="Brown Dwarf",POWER(Upgrades!$U$15,G299),1)*IF(Upgrades!$T$16="Brown Dwarf",POWER(Upgrades!$U$16,H299),1)*IF(Upgrades!$T$18="Brown Dwarf",POWER(Upgrades!$U$18,J299),1)*IF(Upgrades!$T$19="Brown Dwarf",POWER(Upgrades!$U$19,K299),1)*IF(Upgrades!$T$20="Brown Dwarf",POWER(Upgrades!$U$20,L299),1)*IF(Upgrades!$T$21="Brown Dwarf",POWER(Upgrades!$U$21,M299),1))*POWER(Upgrades!$P$13,E299)*POWER(Upgrades!$P$14,F299)*POWER(Upgrades!$P$15,G299)*POWER(Upgrades!$P$16,H299)*POWER(Upgrades!$P$17,I299)*POWER(Upgrades!$P$18,J299)*POWER(Upgrades!$P$19,K299)*POWER(Upgrades!$P$20,L299)*POWER(Upgrades!$P$21,M299)*$F$6*60</f>
        <v/>
      </c>
      <c r="AF299" s="27" t="n">
        <v>0</v>
      </c>
      <c r="AG299" s="27" t="n">
        <v>0</v>
      </c>
      <c r="AH299" s="27" t="n">
        <v>0</v>
      </c>
      <c r="AI299" s="27">
        <f>(IF(M299=0,0,(Upgrades!$G$21+M299*Upgrades!$H$21)*POWER(Upgrades!$I$21,M299)))*(IF(Upgrades!$T$13="Moving Group",POWER(Upgrades!$U$13,E299),1)*IF(Upgrades!$T$14="Moving Group",POWER(Upgrades!$U$14,F299),1)*IF(Upgrades!$T$15="Moving Group",POWER(Upgrades!$U$15,G299),1)*IF(Upgrades!$T$16="Moving Group",POWER(Upgrades!$U$16,H299),1)*IF(Upgrades!$T$17="Moving Group",POWER(Upgrades!$U$17,I299),1)*IF(Upgrades!$T$18="Moving Group",POWER(Upgrades!$U$18,J299),1)*IF(Upgrades!$T$19="Moving Group",POWER(Upgrades!$U$19,K299),1)*IF(Upgrades!$T$20="Moving Group",POWER(Upgrades!$U$20,L299),1))*POWER(Upgrades!$P$13,E299)*POWER(Upgrades!$P$14,F299)*POWER(Upgrades!$P$15,G299)*POWER(Upgrades!$P$16,H299)*POWER(Upgrades!$P$17,I299)*POWER(Upgrades!$P$18,J299)*POWER(Upgrades!$P$19,K299)*POWER(Upgrades!$P$20,L299)*POWER(Upgrades!$P$21,M299)*$F$6*60</f>
        <v/>
      </c>
      <c r="AJ299" s="27">
        <f>$C$6*60</f>
        <v/>
      </c>
      <c r="AK299" s="22">
        <f>IF(E299&gt;=Upgrades!$E$13,"",Upgrades!$C$13*POWER(Upgrades!$D$13,E299))</f>
        <v/>
      </c>
      <c r="AL299" s="22">
        <f>IF(F299&gt;=Upgrades!$E$14,"",Upgrades!$C$14*POWER(Upgrades!$D$14,F299))</f>
        <v/>
      </c>
      <c r="AM299" s="22">
        <f>IF(G299&gt;=Upgrades!$E$15,"",Upgrades!$C$15*POWER(Upgrades!$D$15,G299))</f>
        <v/>
      </c>
      <c r="AN299" s="22">
        <f>IF(H299&gt;=Upgrades!$E$16,"",Upgrades!$C$16*POWER(Upgrades!$D$16,H299))</f>
        <v/>
      </c>
      <c r="AO299" s="22">
        <f>IF(I299&gt;=Upgrades!$E$17,"",Upgrades!$C$17*POWER(Upgrades!$D$17,I299))</f>
        <v/>
      </c>
      <c r="AP299" s="22">
        <f>IF(J299&gt;=Upgrades!$E$18,"",Upgrades!$C$18*POWER(Upgrades!$D$18,J299))</f>
        <v/>
      </c>
      <c r="AQ299" s="22">
        <f>IF(K299&gt;=Upgrades!$E$19,"",Upgrades!$C$19*POWER(Upgrades!$D$19,K299))</f>
        <v/>
      </c>
      <c r="AR299" s="22">
        <f>IF(L299&gt;=Upgrades!$E$20,"",Upgrades!$C$20*POWER(Upgrades!$D$20,L299))</f>
        <v/>
      </c>
      <c r="AS299" s="22">
        <f>IF(M299&gt;=Upgrades!$E$21,"",Upgrades!$C$21*POWER(Upgrades!$D$21,M299))</f>
        <v/>
      </c>
      <c r="AT299" s="26">
        <f>IF(AND(D299&gt;=Parameters!$B$18*Parameters!$B$19,(I299&gt;=Upgrades!$E$17)*(M299&gt;=Upgrades!$E$21)=1,N299=0),1,"")</f>
        <v/>
      </c>
      <c r="AU299" s="26">
        <f>IF(AND(D299&gt;=Parameters!$B$18*Parameters!$B$19,N299=0),1,"")</f>
        <v/>
      </c>
      <c r="AV299" s="22">
        <f>MIN(IF(ISNUMBER(AP299),AP299,9E15),IF(ISNUMBER(AQ299),AQ299,9E15),IF(ISNUMBER(AR299),AR299,9E15),IF(ISNUMBER(AS299),AS299,9E15))</f>
        <v/>
      </c>
      <c r="AW299" s="22">
        <f>MIN(IF(ISNUMBER(AK299),AK299,9E15),IF(ISNUMBER(AL299),AL299,9E15),IF(ISNUMBER(AM299),AM299,9E15),IF(ISNUMBER(AN299),AN299,9E15),IF(ISNUMBER(AO299),AO299,9E15))</f>
        <v/>
      </c>
      <c r="AX299" s="29">
        <f>IF(BD299&gt;Parameters!$B$21*(MAX(IF(AND(NOT(AND(AU299=1,AT299&lt;&gt;1)),ISNUMBER(AK299),AK299&lt;=(C299+T299)),AY299,0),IF(AND(NOT(AND(AU299=1,AT299&lt;&gt;1)),ISNUMBER(AL299),AL299&lt;=(C299+T299)),AZ299,0),IF(AND(NOT(AND(AU299=1,AT299&lt;&gt;1)),ISNUMBER(AM299),AM299&lt;=(C299+T299)),BA299,0),IF(AND(NOT(AND(AU299=1,AT299&lt;&gt;1)),ISNUMBER(AN299),AN299&lt;=(C299+T299)),BB299,0),IF(AND(ISNUMBER(AO299),AO299&lt;=(C299+T299)),BC299,0))),TRUE,FALSE)</f>
        <v/>
      </c>
      <c r="AY299" s="32">
        <f>IFERROR(Upgrades!$H$13*(POWER(Upgrades!$P$13,E299)*POWER(Upgrades!$P$14,F299)*POWER(Upgrades!$P$15,G299)*POWER(Upgrades!$P$16,H299)*POWER(Upgrades!$P$17,I299)*POWER(Upgrades!$P$18,J299)*POWER(Upgrades!$P$19,K299)*POWER(Upgrades!$P$20,L299)*POWER(Upgrades!$P$21,M299))*(IF(Upgrades!$T$14="Stellar Kinematics",POWER(Upgrades!$U$14,F299),1)*IF(Upgrades!$T$15="Stellar Kinematics",POWER(Upgrades!$U$15,G299),1)*IF(Upgrades!$T$16="Stellar Kinematics",POWER(Upgrades!$U$16,H299),1)*IF(Upgrades!$T$17="Stellar Kinematics",POWER(Upgrades!$U$17,I299),1)*IF(Upgrades!$T$18="Stellar Kinematics",POWER(Upgrades!$U$18,J299),1)*IF(Upgrades!$T$19="Stellar Kinematics",POWER(Upgrades!$U$19,K299),1)*IF(Upgrades!$T$20="Stellar Kinematics",POWER(Upgrades!$U$20,L299),1)*IF(Upgrades!$T$21="Stellar Kinematics",POWER(Upgrades!$U$21,M299),1))*$F$6/AK299,0)</f>
        <v/>
      </c>
      <c r="AZ299" s="32">
        <f>IFERROR(Upgrades!$H$14*(POWER(Upgrades!$P$13,E299)*POWER(Upgrades!$P$14,F299)*POWER(Upgrades!$P$15,G299)*POWER(Upgrades!$P$16,H299)*POWER(Upgrades!$P$17,I299)*POWER(Upgrades!$P$18,J299)*POWER(Upgrades!$P$19,K299)*POWER(Upgrades!$P$20,L299)*POWER(Upgrades!$P$21,M299))*(IF(Upgrades!$T$13="Local Bubble",POWER(Upgrades!$U$13,E299),1)*IF(Upgrades!$T$15="Local Bubble",POWER(Upgrades!$U$15,G299),1)*IF(Upgrades!$T$16="Local Bubble",POWER(Upgrades!$U$16,H299),1)*IF(Upgrades!$T$17="Local Bubble",POWER(Upgrades!$U$17,I299),1)*IF(Upgrades!$T$18="Local Bubble",POWER(Upgrades!$U$18,J299),1)*IF(Upgrades!$T$19="Local Bubble",POWER(Upgrades!$U$19,K299),1)*IF(Upgrades!$T$20="Local Bubble",POWER(Upgrades!$U$20,L299),1)*IF(Upgrades!$T$21="Local Bubble",POWER(Upgrades!$U$21,M299),1))*$F$6/AL299,0)</f>
        <v/>
      </c>
      <c r="BA299" s="32">
        <f>IFERROR(Upgrades!$K$15*(POWER(Upgrades!$Q$13,E299)*POWER(Upgrades!$Q$14,F299)*POWER(Upgrades!$Q$15,G299)*POWER(Upgrades!$Q$16,H299)*POWER(Upgrades!$Q$17,I299)*POWER(Upgrades!$Q$18,J299)*POWER(Upgrades!$Q$19,K299)*POWER(Upgrades!$Q$20,L299)*POWER(Upgrades!$Q$21,M299))*(IF(Upgrades!$T$13="Microlensing",POWER(Upgrades!$U$13,E299),1)*IF(Upgrades!$T$14="Microlensing",POWER(Upgrades!$U$14,F299),1)*IF(Upgrades!$T$16="Microlensing",POWER(Upgrades!$U$16,H299),1)*IF(Upgrades!$T$17="Microlensing",POWER(Upgrades!$U$17,I299),1)*IF(Upgrades!$T$18="Microlensing",POWER(Upgrades!$U$18,J299),1)*IF(Upgrades!$T$19="Microlensing",POWER(Upgrades!$U$19,K299),1)*IF(Upgrades!$T$20="Microlensing",POWER(Upgrades!$U$20,L299),1)*IF(Upgrades!$T$21="Microlensing",POWER(Upgrades!$U$21,M299),1))*$G$6*(Parameters!$B$10/60*Parameters!$B$11+Q299)/AM299,0)</f>
        <v/>
      </c>
      <c r="BB299" s="32">
        <f>IFERROR((Upgrades!$N$16*(POWER(Upgrades!$R$13,E299)*POWER(Upgrades!$R$14,F299)*POWER(Upgrades!$R$15,G299)*POWER(Upgrades!$R$16,H299)*POWER(Upgrades!$R$17,I299)*POWER(Upgrades!$R$18,J299)*POWER(Upgrades!$R$19,K299)*POWER(Upgrades!$R$20,L299)*POWER(Upgrades!$R$21,M299))*(IF(Upgrades!$T$13="Roche Lobe Overflow",POWER(Upgrades!$U$13,E299),1)*IF(Upgrades!$T$14="Roche Lobe Overflow",POWER(Upgrades!$U$14,F299),1)*IF(Upgrades!$T$15="Roche Lobe Overflow",POWER(Upgrades!$U$15,G299),1)*IF(Upgrades!$T$17="Roche Lobe Overflow",POWER(Upgrades!$U$17,I299),1)*IF(Upgrades!$T$18="Roche Lobe Overflow",POWER(Upgrades!$U$18,J299),1)*IF(Upgrades!$T$19="Roche Lobe Overflow",POWER(Upgrades!$U$19,K299),1)*IF(Upgrades!$T$20="Roche Lobe Overflow",POWER(Upgrades!$U$20,L299),1)*IF(Upgrades!$T$21="Roche Lobe Overflow",POWER(Upgrades!$U$21,M299),1))*$H$6*O299+((IF(F299=0,0,(Upgrades!$G$14+F299*Upgrades!$H$14)*POWER(Upgrades!$I$14,F299)))*(IF(Upgrades!$T$13="Local Bubble",POWER(Upgrades!$U$13,E299),1)*IF(Upgrades!$T$15="Local Bubble",POWER(Upgrades!$U$15,G299),1)*IF(Upgrades!$T$16="Local Bubble",POWER(Upgrades!$U$16,H299),1)*IF(Upgrades!$T$17="Local Bubble",POWER(Upgrades!$U$17,I299),1)*IF(Upgrades!$T$18="Local Bubble",POWER(Upgrades!$U$18,J299),1)*IF(Upgrades!$T$19="Local Bubble",POWER(Upgrades!$U$19,K299),1)*IF(Upgrades!$T$20="Local Bubble",POWER(Upgrades!$U$20,L299),1)*IF(Upgrades!$T$21="Local Bubble",POWER(Upgrades!$U$21,M299),1))*POWER(Upgrades!$P$13,E299)*POWER(Upgrades!$P$14,F299)*POWER(Upgrades!$P$15,G299)*POWER(Upgrades!$P$16,H299)*POWER(Upgrades!$P$17,I299)*POWER(Upgrades!$P$18,J299)*POWER(Upgrades!$P$19,K299)*POWER(Upgrades!$P$20,L299)*POWER(Upgrades!$P$21,M299)*$F$6)*0.05)/AN299,0)</f>
        <v/>
      </c>
      <c r="BC299" s="32">
        <f>IFERROR((Upgrades!$H$17*(POWER(Upgrades!$P$13,E299)*POWER(Upgrades!$P$14,F299)*POWER(Upgrades!$P$15,G299)*POWER(Upgrades!$P$16,H299)*POWER(Upgrades!$P$17,I299)*POWER(Upgrades!$P$18,J299)*POWER(Upgrades!$P$19,K299)*POWER(Upgrades!$P$20,L299)*POWER(Upgrades!$P$21,M299))*(IF(Upgrades!$T$13="Brown Dwarf",POWER(Upgrades!$U$13,E299),1)*IF(Upgrades!$T$14="Brown Dwarf",POWER(Upgrades!$U$14,F299),1)*IF(Upgrades!$T$15="Brown Dwarf",POWER(Upgrades!$U$15,G299),1)*IF(Upgrades!$T$16="Brown Dwarf",POWER(Upgrades!$U$16,H299),1)*IF(Upgrades!$T$18="Brown Dwarf",POWER(Upgrades!$U$18,J299),1)*IF(Upgrades!$T$19="Brown Dwarf",POWER(Upgrades!$U$19,K299),1)*IF(Upgrades!$T$20="Brown Dwarf",POWER(Upgrades!$U$20,L299),1)*IF(Upgrades!$T$21="Brown Dwarf",POWER(Upgrades!$U$21,M299),1))*$F$6+(((IF(H299=0,0,(Upgrades!$M$16+H299*Upgrades!$N$16)*POWER(Upgrades!$O$16,H299)))*(IF(Upgrades!$T$13="Roche Lobe Overflow",POWER(Upgrades!$U$13,E299),1)*IF(Upgrades!$T$14="Roche Lobe Overflow",POWER(Upgrades!$U$14,F299),1)*IF(Upgrades!$T$15="Roche Lobe Overflow",POWER(Upgrades!$U$15,G299),1)*IF(Upgrades!$T$17="Roche Lobe Overflow",POWER(Upgrades!$U$17,I299),1)*IF(Upgrades!$T$18="Roche Lobe Overflow",POWER(Upgrades!$U$18,J299),1)*IF(Upgrades!$T$19="Roche Lobe Overflow",POWER(Upgrades!$U$19,K299),1)*IF(Upgrades!$T$20="Roche Lobe Overflow",POWER(Upgrades!$U$20,L299),1)*IF(Upgrades!$T$21="Roche Lobe Overflow",POWER(Upgrades!$U$21,M299),1))*POWER(Upgrades!$R$13,E299)*POWER(Upgrades!$R$14,F299)*POWER(Upgrades!$R$15,G299)*POWER(Upgrades!$R$16,H299)*POWER(Upgrades!$R$17,I299)*POWER(Upgrades!$R$18,J299)*POWER(Upgrades!$R$19,K299)*POWER(Upgrades!$R$20,L299)*POWER(Upgrades!$R$21,M299)*$H$6)*O299)*0.10)/AO299,0)</f>
        <v/>
      </c>
      <c r="BD299" s="32">
        <f>MAX(IF(J299&gt;0,0,IFERROR(0.5*((IF(G299=0,0,(Upgrades!$J$15+G299*Upgrades!$K$15)*POWER(Upgrades!$L$15,G299)))*(IF(Upgrades!$T$13="Microlensing",POWER(Upgrades!$U$13,E299),1)*IF(Upgrades!$T$14="Microlensing",POWER(Upgrades!$U$14,F299),1)*IF(Upgrades!$T$16="Microlensing",POWER(Upgrades!$U$16,H299),1)*IF(Upgrades!$T$17="Microlensing",POWER(Upgrades!$U$17,I299),1)*IF(Upgrades!$T$18="Microlensing",POWER(Upgrades!$U$18,J299),1)*IF(Upgrades!$T$19="Microlensing",POWER(Upgrades!$U$19,K299),1)*IF(Upgrades!$T$20="Microlensing",POWER(Upgrades!$U$20,L299),1)*IF(Upgrades!$T$21="Microlensing",POWER(Upgrades!$U$21,M299),1))*(POWER(Upgrades!$Q$13,E299)*POWER(Upgrades!$Q$14,F299)*POWER(Upgrades!$Q$15,G299)*POWER(Upgrades!$Q$16,H299)*POWER(Upgrades!$Q$17,I299)*POWER(Upgrades!$Q$18,J299)*POWER(Upgrades!$Q$19,K299)*POWER(Upgrades!$Q$20,L299)*POWER(Upgrades!$Q$21,M299))*$G$6*(Parameters!$B$10/60*Parameters!$B$11+Q299))/Upgrades!$C$18,0)),IF(K299&gt;0,0,IFERROR(0.30*P299/Upgrades!$C$19,0)),IF(L299&gt;0,0,IFERROR(0.0001/Upgrades!$C$20,0)),IF(M299&gt;0,0,IFERROR((6.0*(POWER(Upgrades!$P$13,E299)*POWER(Upgrades!$P$14,F299)*POWER(Upgrades!$P$15,G299)*POWER(Upgrades!$P$16,H299)*POWER(Upgrades!$P$17,I299)*POWER(Upgrades!$P$18,J299)*POWER(Upgrades!$P$19,K299)*POWER(Upgrades!$P$20,L299)*POWER(Upgrades!$P$21,M299))*$F$6+0.20*O299*(Parameters!$B$10/60*Parameters!$B$11+Q299))/Upgrades!$C$21,0)),IF(AND(ISNUMBER(AK299),AK299&gt;(C299+T299)),AY299,0),IF(AND(ISNUMBER(AL299),AL299&gt;(C299+T299)),AZ299,0),IF(AND(ISNUMBER(AM299),AM299&gt;(C299+T299)),BA299,0),IF(AND(ISNUMBER(AN299),AN299&gt;(C299+T299)),BB299,0),IF(AND(ISNUMBER(AO299),AO299&gt;(C299+T299)),BC299,0))</f>
        <v/>
      </c>
      <c r="BE299" s="29">
        <f>IF(AT299=1,"transition",IF(MIN(IF(AND(J299=0,ISNUMBER(AP299),AP299&lt;=(C299+T299)),AP299,9E15),IF(AND(K299=0,ISNUMBER(AQ299),AQ299&lt;=(C299+T299)),AQ299,9E15),IF(AND(L299=0,ISNUMBER(AR299),AR299&lt;=(C299+T299)),AR299,9E15),IF(AND(M299=0,ISNUMBER(AS299),AS299&lt;=(C299+T299)),AS299,9E15))&lt;9E15,IF(AND(AND(J299=0,ISNUMBER(AP299),AP299&lt;=(C299+T299)),AP299=MIN(IF(AND(J299=0,ISNUMBER(AP299),AP299&lt;=(C299+T299)),AP299,9E15),IF(AND(K299=0,ISNUMBER(AQ299),AQ299&lt;=(C299+T299)),AQ299,9E15),IF(AND(L299=0,ISNUMBER(AR299),AR299&lt;=(C299+T299)),AR299,9E15),IF(AND(M299=0,ISNUMBER(AS299),AS299&lt;=(C299+T299)),AS299,9E15))),"BiP",IF(AND(AND(K299=0,ISNUMBER(AQ299),AQ299&lt;=(C299+T299)),AQ299=MIN(IF(AND(J299=0,ISNUMBER(AP299),AP299&lt;=(C299+T299)),AP299,9E15),IF(AND(K299=0,ISNUMBER(AQ299),AQ299&lt;=(C299+T299)),AQ299,9E15),IF(AND(L299=0,ISNUMBER(AR299),AR299&lt;=(C299+T299)),AR299,9E15),IF(AND(M299=0,ISNUMBER(AS299),AS299&lt;=(C299+T299)),AS299,9E15))),"PV",IF(AND(AND(L299=0,ISNUMBER(AR299),AR299&lt;=(C299+T299)),AR299=MIN(IF(AND(J299=0,ISNUMBER(AP299),AP299&lt;=(C299+T299)),AP299,9E15),IF(AND(K299=0,ISNUMBER(AQ299),AQ299&lt;=(C299+T299)),AQ299,9E15),IF(AND(L299=0,ISNUMBER(AR299),AR299&lt;=(C299+T299)),AR299,9E15),IF(AND(M299=0,ISNUMBER(AS299),AS299&lt;=(C299+T299)),AS299,9E15))),"OC","MG"))),IF(AX299=TRUE,"",IF(MAX(IF(AND(NOT(AND(AU299=1,AT299&lt;&gt;1)),ISNUMBER(AK299),AK299&lt;=(C299+T299)),AY299,0),IF(AND(NOT(AND(AU299=1,AT299&lt;&gt;1)),ISNUMBER(AL299),AL299&lt;=(C299+T299)),AZ299,0),IF(AND(NOT(AND(AU299=1,AT299&lt;&gt;1)),ISNUMBER(AM299),AM299&lt;=(C299+T299)),BA299,0),IF(AND(NOT(AND(AU299=1,AT299&lt;&gt;1)),ISNUMBER(AN299),AN299&lt;=(C299+T299)),BB299,0),IF(AND(ISNUMBER(AO299),AO299&lt;=(C299+T299)),BC299,0))&lt;=0,"",IF(AND(IF(AND(NOT(AND(AU299=1,AT299&lt;&gt;1)),ISNUMBER(AK299),AK299&lt;=(C299+T299)),AY299,0)&gt;0,IF(AND(NOT(AND(AU299=1,AT299&lt;&gt;1)),ISNUMBER(AK299),AK299&lt;=(C299+T299)),AY299,0)=MAX(IF(AND(NOT(AND(AU299=1,AT299&lt;&gt;1)),ISNUMBER(AK299),AK299&lt;=(C299+T299)),AY299,0),IF(AND(NOT(AND(AU299=1,AT299&lt;&gt;1)),ISNUMBER(AL299),AL299&lt;=(C299+T299)),AZ299,0),IF(AND(NOT(AND(AU299=1,AT299&lt;&gt;1)),ISNUMBER(AM299),AM299&lt;=(C299+T299)),BA299,0),IF(AND(NOT(AND(AU299=1,AT299&lt;&gt;1)),ISNUMBER(AN299),AN299&lt;=(C299+T299)),BB299,0),IF(AND(ISNUMBER(AO299),AO299&lt;=(C299+T299)),BC299,0))),"SK",IF(AND(IF(AND(NOT(AND(AU299=1,AT299&lt;&gt;1)),ISNUMBER(AL299),AL299&lt;=(C299+T299)),AZ299,0)&gt;0,IF(AND(NOT(AND(AU299=1,AT299&lt;&gt;1)),ISNUMBER(AL299),AL299&lt;=(C299+T299)),AZ299,0)=MAX(IF(AND(NOT(AND(AU299=1,AT299&lt;&gt;1)),ISNUMBER(AK299),AK299&lt;=(C299+T299)),AY299,0),IF(AND(NOT(AND(AU299=1,AT299&lt;&gt;1)),ISNUMBER(AL299),AL299&lt;=(C299+T299)),AZ299,0),IF(AND(NOT(AND(AU299=1,AT299&lt;&gt;1)),ISNUMBER(AM299),AM299&lt;=(C299+T299)),BA299,0),IF(AND(NOT(AND(AU299=1,AT299&lt;&gt;1)),ISNUMBER(AN299),AN299&lt;=(C299+T299)),BB299,0),IF(AND(ISNUMBER(AO299),AO299&lt;=(C299+T299)),BC299,0))),"LB",IF(AND(IF(AND(NOT(AND(AU299=1,AT299&lt;&gt;1)),ISNUMBER(AM299),AM299&lt;=(C299+T299)),BA299,0)&gt;0,IF(AND(NOT(AND(AU299=1,AT299&lt;&gt;1)),ISNUMBER(AM299),AM299&lt;=(C299+T299)),BA299,0)=MAX(IF(AND(NOT(AND(AU299=1,AT299&lt;&gt;1)),ISNUMBER(AK299),AK299&lt;=(C299+T299)),AY299,0),IF(AND(NOT(AND(AU299=1,AT299&lt;&gt;1)),ISNUMBER(AL299),AL299&lt;=(C299+T299)),AZ299,0),IF(AND(NOT(AND(AU299=1,AT299&lt;&gt;1)),ISNUMBER(AM299),AM299&lt;=(C299+T299)),BA299,0),IF(AND(NOT(AND(AU299=1,AT299&lt;&gt;1)),ISNUMBER(AN299),AN299&lt;=(C299+T299)),BB299,0),IF(AND(ISNUMBER(AO299),AO299&lt;=(C299+T299)),BC299,0))),"ML",IF(AND(IF(AND(NOT(AND(AU299=1,AT299&lt;&gt;1)),ISNUMBER(AN299),AN299&lt;=(C299+T299)),BB299,0)&gt;0,IF(AND(NOT(AND(AU299=1,AT299&lt;&gt;1)),ISNUMBER(AN299),AN299&lt;=(C299+T299)),BB299,0)=MAX(IF(AND(NOT(AND(AU299=1,AT299&lt;&gt;1)),ISNUMBER(AK299),AK299&lt;=(C299+T299)),AY299,0),IF(AND(NOT(AND(AU299=1,AT299&lt;&gt;1)),ISNUMBER(AL299),AL299&lt;=(C299+T299)),AZ299,0),IF(AND(NOT(AND(AU299=1,AT299&lt;&gt;1)),ISNUMBER(AM299),AM299&lt;=(C299+T299)),BA299,0),IF(AND(NOT(AND(AU299=1,AT299&lt;&gt;1)),ISNUMBER(AN299),AN299&lt;=(C299+T299)),BB299,0),IF(AND(ISNUMBER(AO299),AO299&lt;=(C299+T299)),BC299,0))),"RLO","BD"))))))))</f>
        <v/>
      </c>
    </row>
    <row r="300">
      <c r="A300" s="26" t="n">
        <v>289</v>
      </c>
      <c r="B300" s="27">
        <f>A300*10/60</f>
        <v/>
      </c>
      <c r="C300" s="22">
        <f>X299</f>
        <v/>
      </c>
      <c r="D300" s="27">
        <f>D299+W299</f>
        <v/>
      </c>
      <c r="E300" s="26">
        <f>E299+IF(U299="SK",1,0)</f>
        <v/>
      </c>
      <c r="F300" s="26">
        <f>F299+IF(U299="LB",1,0)</f>
        <v/>
      </c>
      <c r="G300" s="26">
        <f>G299+IF(U299="ML",1,0)</f>
        <v/>
      </c>
      <c r="H300" s="26">
        <f>H299+IF(U299="RLO",1,0)</f>
        <v/>
      </c>
      <c r="I300" s="26">
        <f>I299+IF(U299="BD",1,0)</f>
        <v/>
      </c>
      <c r="J300" s="26">
        <f>MAX(J299,IF(U299="BiP",1,0))</f>
        <v/>
      </c>
      <c r="K300" s="26">
        <f>MAX(K299,IF(U299="PV",1,0))</f>
        <v/>
      </c>
      <c r="L300" s="26">
        <f>MAX(L299,IF(U299="OC",1,0))</f>
        <v/>
      </c>
      <c r="M300" s="26">
        <f>MAX(M299,IF(U299="MG",1,0))</f>
        <v/>
      </c>
      <c r="N300" s="26">
        <f>MAX(N299,IF(U299="transition",1,0))</f>
        <v/>
      </c>
      <c r="O300" s="28">
        <f>(Parameters!$B$9+(IF(E300=0,0,(Upgrades!$J$13+E300*Upgrades!$K$13)*POWER(Upgrades!$L$13,E300)))*(IF(Upgrades!$T$14="Stellar Kinematics",POWER(Upgrades!$U$14,F300),1)*IF(Upgrades!$T$15="Stellar Kinematics",POWER(Upgrades!$U$15,G300),1)*IF(Upgrades!$T$16="Stellar Kinematics",POWER(Upgrades!$U$16,H300),1)*IF(Upgrades!$T$17="Stellar Kinematics",POWER(Upgrades!$U$17,I300),1)*IF(Upgrades!$T$18="Stellar Kinematics",POWER(Upgrades!$U$18,J300),1)*IF(Upgrades!$T$19="Stellar Kinematics",POWER(Upgrades!$U$19,K300),1)*IF(Upgrades!$T$20="Stellar Kinematics",POWER(Upgrades!$U$20,L300),1)*IF(Upgrades!$T$21="Stellar Kinematics",POWER(Upgrades!$U$21,M300),1))+(IF(F300=0,0,(Upgrades!$J$14+F300*Upgrades!$K$14)*POWER(Upgrades!$L$14,F300)))*(IF(Upgrades!$T$13="Local Bubble",POWER(Upgrades!$U$13,E300),1)*IF(Upgrades!$T$15="Local Bubble",POWER(Upgrades!$U$15,G300),1)*IF(Upgrades!$T$16="Local Bubble",POWER(Upgrades!$U$16,H300),1)*IF(Upgrades!$T$17="Local Bubble",POWER(Upgrades!$U$17,I300),1)*IF(Upgrades!$T$18="Local Bubble",POWER(Upgrades!$U$18,J300),1)*IF(Upgrades!$T$19="Local Bubble",POWER(Upgrades!$U$19,K300),1)*IF(Upgrades!$T$20="Local Bubble",POWER(Upgrades!$U$20,L300),1)*IF(Upgrades!$T$21="Local Bubble",POWER(Upgrades!$U$21,M300),1))+(IF(G300=0,0,(Upgrades!$J$15+G300*Upgrades!$K$15)*POWER(Upgrades!$L$15,G300)))*(IF(Upgrades!$T$13="Microlensing",POWER(Upgrades!$U$13,E300),1)*IF(Upgrades!$T$14="Microlensing",POWER(Upgrades!$U$14,F300),1)*IF(Upgrades!$T$16="Microlensing",POWER(Upgrades!$U$16,H300),1)*IF(Upgrades!$T$17="Microlensing",POWER(Upgrades!$U$17,I300),1)*IF(Upgrades!$T$18="Microlensing",POWER(Upgrades!$U$18,J300),1)*IF(Upgrades!$T$19="Microlensing",POWER(Upgrades!$U$19,K300),1)*IF(Upgrades!$T$20="Microlensing",POWER(Upgrades!$U$20,L300),1)*IF(Upgrades!$T$21="Microlensing",POWER(Upgrades!$U$21,M300),1))+(IF(H300=0,0,(Upgrades!$J$16+H300*Upgrades!$K$16)*POWER(Upgrades!$L$16,H300)))*(IF(Upgrades!$T$13="Roche Lobe Overflow",POWER(Upgrades!$U$13,E300),1)*IF(Upgrades!$T$14="Roche Lobe Overflow",POWER(Upgrades!$U$14,F300),1)*IF(Upgrades!$T$15="Roche Lobe Overflow",POWER(Upgrades!$U$15,G300),1)*IF(Upgrades!$T$17="Roche Lobe Overflow",POWER(Upgrades!$U$17,I300),1)*IF(Upgrades!$T$18="Roche Lobe Overflow",POWER(Upgrades!$U$18,J300),1)*IF(Upgrades!$T$19="Roche Lobe Overflow",POWER(Upgrades!$U$19,K300),1)*IF(Upgrades!$T$20="Roche Lobe Overflow",POWER(Upgrades!$U$20,L300),1)*IF(Upgrades!$T$21="Roche Lobe Overflow",POWER(Upgrades!$U$21,M300),1))+(IF(I300=0,0,(Upgrades!$J$17+I300*Upgrades!$K$17)*POWER(Upgrades!$L$17,I300)))*(IF(Upgrades!$T$13="Brown Dwarf",POWER(Upgrades!$U$13,E300),1)*IF(Upgrades!$T$14="Brown Dwarf",POWER(Upgrades!$U$14,F300),1)*IF(Upgrades!$T$15="Brown Dwarf",POWER(Upgrades!$U$15,G300),1)*IF(Upgrades!$T$16="Brown Dwarf",POWER(Upgrades!$U$16,H300),1)*IF(Upgrades!$T$18="Brown Dwarf",POWER(Upgrades!$U$18,J300),1)*IF(Upgrades!$T$19="Brown Dwarf",POWER(Upgrades!$U$19,K300),1)*IF(Upgrades!$T$20="Brown Dwarf",POWER(Upgrades!$U$20,L300),1)*IF(Upgrades!$T$21="Brown Dwarf",POWER(Upgrades!$U$21,M300),1))+(IF(J300=0,0,(Upgrades!$J$18+J300*Upgrades!$K$18)*POWER(Upgrades!$L$18,J300)))*(IF(Upgrades!$T$13="Binary Partner",POWER(Upgrades!$U$13,E300),1)*IF(Upgrades!$T$14="Binary Partner",POWER(Upgrades!$U$14,F300),1)*IF(Upgrades!$T$15="Binary Partner",POWER(Upgrades!$U$15,G300),1)*IF(Upgrades!$T$16="Binary Partner",POWER(Upgrades!$U$16,H300),1)*IF(Upgrades!$T$17="Binary Partner",POWER(Upgrades!$U$17,I300),1)*IF(Upgrades!$T$19="Binary Partner",POWER(Upgrades!$U$19,K300),1)*IF(Upgrades!$T$20="Binary Partner",POWER(Upgrades!$U$20,L300),1)*IF(Upgrades!$T$21="Binary Partner",POWER(Upgrades!$U$21,M300),1))+(IF(K300=0,0,(Upgrades!$J$19+K300*Upgrades!$K$19)*POWER(Upgrades!$L$19,K300)))*(IF(Upgrades!$T$13="Peculiar Velocity",POWER(Upgrades!$U$13,E300),1)*IF(Upgrades!$T$14="Peculiar Velocity",POWER(Upgrades!$U$14,F300),1)*IF(Upgrades!$T$15="Peculiar Velocity",POWER(Upgrades!$U$15,G300),1)*IF(Upgrades!$T$16="Peculiar Velocity",POWER(Upgrades!$U$16,H300),1)*IF(Upgrades!$T$17="Peculiar Velocity",POWER(Upgrades!$U$17,I300),1)*IF(Upgrades!$T$18="Peculiar Velocity",POWER(Upgrades!$U$18,J300),1)*IF(Upgrades!$T$20="Peculiar Velocity",POWER(Upgrades!$U$20,L300),1)*IF(Upgrades!$T$21="Peculiar Velocity",POWER(Upgrades!$U$21,M300),1))+(IF(L300=0,0,(Upgrades!$J$20+L300*Upgrades!$K$20)*POWER(Upgrades!$L$20,L300)))*(IF(Upgrades!$T$13="Open Cluster",POWER(Upgrades!$U$13,E300),1)*IF(Upgrades!$T$14="Open Cluster",POWER(Upgrades!$U$14,F300),1)*IF(Upgrades!$T$15="Open Cluster",POWER(Upgrades!$U$15,G300),1)*IF(Upgrades!$T$16="Open Cluster",POWER(Upgrades!$U$16,H300),1)*IF(Upgrades!$T$17="Open Cluster",POWER(Upgrades!$U$17,I300),1)*IF(Upgrades!$T$18="Open Cluster",POWER(Upgrades!$U$18,J300),1)*IF(Upgrades!$T$19="Open Cluster",POWER(Upgrades!$U$19,K300),1)*IF(Upgrades!$T$21="Open Cluster",POWER(Upgrades!$U$21,M300),1))+(IF(M300=0,0,(Upgrades!$J$21+M300*Upgrades!$K$21)*POWER(Upgrades!$L$21,M300)))*(IF(Upgrades!$T$13="Moving Group",POWER(Upgrades!$U$13,E300),1)*IF(Upgrades!$T$14="Moving Group",POWER(Upgrades!$U$14,F300),1)*IF(Upgrades!$T$15="Moving Group",POWER(Upgrades!$U$15,G300),1)*IF(Upgrades!$T$16="Moving Group",POWER(Upgrades!$U$16,H300),1)*IF(Upgrades!$T$17="Moving Group",POWER(Upgrades!$U$17,I300),1)*IF(Upgrades!$T$18="Moving Group",POWER(Upgrades!$U$18,J300),1)*IF(Upgrades!$T$19="Moving Group",POWER(Upgrades!$U$19,K300),1)*IF(Upgrades!$T$20="Moving Group",POWER(Upgrades!$U$20,L300),1)))*POWER(Upgrades!$Q$13,E300)*POWER(Upgrades!$Q$14,F300)*POWER(Upgrades!$Q$15,G300)*POWER(Upgrades!$Q$16,H300)*POWER(Upgrades!$Q$17,I300)*POWER(Upgrades!$Q$18,J300)*POWER(Upgrades!$Q$19,K300)*POWER(Upgrades!$Q$20,L300)*POWER(Upgrades!$Q$21,M300)*$G$6+$D$6</f>
        <v/>
      </c>
      <c r="P300" s="28">
        <f>((IF(E300=0,0,(Upgrades!$G$13+E300*Upgrades!$H$13)*POWER(Upgrades!$I$13,E300)))*(IF(Upgrades!$T$14="Stellar Kinematics",POWER(Upgrades!$U$14,F300),1)*IF(Upgrades!$T$15="Stellar Kinematics",POWER(Upgrades!$U$15,G300),1)*IF(Upgrades!$T$16="Stellar Kinematics",POWER(Upgrades!$U$16,H300),1)*IF(Upgrades!$T$17="Stellar Kinematics",POWER(Upgrades!$U$17,I300),1)*IF(Upgrades!$T$18="Stellar Kinematics",POWER(Upgrades!$U$18,J300),1)*IF(Upgrades!$T$19="Stellar Kinematics",POWER(Upgrades!$U$19,K300),1)*IF(Upgrades!$T$20="Stellar Kinematics",POWER(Upgrades!$U$20,L300),1)*IF(Upgrades!$T$21="Stellar Kinematics",POWER(Upgrades!$U$21,M300),1))+(IF(F300=0,0,(Upgrades!$G$14+F300*Upgrades!$H$14)*POWER(Upgrades!$I$14,F300)))*(IF(Upgrades!$T$13="Local Bubble",POWER(Upgrades!$U$13,E300),1)*IF(Upgrades!$T$15="Local Bubble",POWER(Upgrades!$U$15,G300),1)*IF(Upgrades!$T$16="Local Bubble",POWER(Upgrades!$U$16,H300),1)*IF(Upgrades!$T$17="Local Bubble",POWER(Upgrades!$U$17,I300),1)*IF(Upgrades!$T$18="Local Bubble",POWER(Upgrades!$U$18,J300),1)*IF(Upgrades!$T$19="Local Bubble",POWER(Upgrades!$U$19,K300),1)*IF(Upgrades!$T$20="Local Bubble",POWER(Upgrades!$U$20,L300),1)*IF(Upgrades!$T$21="Local Bubble",POWER(Upgrades!$U$21,M300),1))+(IF(G300=0,0,(Upgrades!$G$15+G300*Upgrades!$H$15)*POWER(Upgrades!$I$15,G300)))*(IF(Upgrades!$T$13="Microlensing",POWER(Upgrades!$U$13,E300),1)*IF(Upgrades!$T$14="Microlensing",POWER(Upgrades!$U$14,F300),1)*IF(Upgrades!$T$16="Microlensing",POWER(Upgrades!$U$16,H300),1)*IF(Upgrades!$T$17="Microlensing",POWER(Upgrades!$U$17,I300),1)*IF(Upgrades!$T$18="Microlensing",POWER(Upgrades!$U$18,J300),1)*IF(Upgrades!$T$19="Microlensing",POWER(Upgrades!$U$19,K300),1)*IF(Upgrades!$T$20="Microlensing",POWER(Upgrades!$U$20,L300),1)*IF(Upgrades!$T$21="Microlensing",POWER(Upgrades!$U$21,M300),1))+(IF(H300=0,0,(Upgrades!$G$16+H300*Upgrades!$H$16)*POWER(Upgrades!$I$16,H300)))*(IF(Upgrades!$T$13="Roche Lobe Overflow",POWER(Upgrades!$U$13,E300),1)*IF(Upgrades!$T$14="Roche Lobe Overflow",POWER(Upgrades!$U$14,F300),1)*IF(Upgrades!$T$15="Roche Lobe Overflow",POWER(Upgrades!$U$15,G300),1)*IF(Upgrades!$T$17="Roche Lobe Overflow",POWER(Upgrades!$U$17,I300),1)*IF(Upgrades!$T$18="Roche Lobe Overflow",POWER(Upgrades!$U$18,J300),1)*IF(Upgrades!$T$19="Roche Lobe Overflow",POWER(Upgrades!$U$19,K300),1)*IF(Upgrades!$T$20="Roche Lobe Overflow",POWER(Upgrades!$U$20,L300),1)*IF(Upgrades!$T$21="Roche Lobe Overflow",POWER(Upgrades!$U$21,M300),1))+(IF(I300=0,0,(Upgrades!$G$17+I300*Upgrades!$H$17)*POWER(Upgrades!$I$17,I300)))*(IF(Upgrades!$T$13="Brown Dwarf",POWER(Upgrades!$U$13,E300),1)*IF(Upgrades!$T$14="Brown Dwarf",POWER(Upgrades!$U$14,F300),1)*IF(Upgrades!$T$15="Brown Dwarf",POWER(Upgrades!$U$15,G300),1)*IF(Upgrades!$T$16="Brown Dwarf",POWER(Upgrades!$U$16,H300),1)*IF(Upgrades!$T$18="Brown Dwarf",POWER(Upgrades!$U$18,J300),1)*IF(Upgrades!$T$19="Brown Dwarf",POWER(Upgrades!$U$19,K300),1)*IF(Upgrades!$T$20="Brown Dwarf",POWER(Upgrades!$U$20,L300),1)*IF(Upgrades!$T$21="Brown Dwarf",POWER(Upgrades!$U$21,M300),1))+(IF(J300=0,0,(Upgrades!$G$18+J300*Upgrades!$H$18)*POWER(Upgrades!$I$18,J300)))*(IF(Upgrades!$T$13="Binary Partner",POWER(Upgrades!$U$13,E300),1)*IF(Upgrades!$T$14="Binary Partner",POWER(Upgrades!$U$14,F300),1)*IF(Upgrades!$T$15="Binary Partner",POWER(Upgrades!$U$15,G300),1)*IF(Upgrades!$T$16="Binary Partner",POWER(Upgrades!$U$16,H300),1)*IF(Upgrades!$T$17="Binary Partner",POWER(Upgrades!$U$17,I300),1)*IF(Upgrades!$T$19="Binary Partner",POWER(Upgrades!$U$19,K300),1)*IF(Upgrades!$T$20="Binary Partner",POWER(Upgrades!$U$20,L300),1)*IF(Upgrades!$T$21="Binary Partner",POWER(Upgrades!$U$21,M300),1))+(IF(K300=0,0,(Upgrades!$G$19+K300*Upgrades!$H$19)*POWER(Upgrades!$I$19,K300)))*(IF(Upgrades!$T$13="Peculiar Velocity",POWER(Upgrades!$U$13,E300),1)*IF(Upgrades!$T$14="Peculiar Velocity",POWER(Upgrades!$U$14,F300),1)*IF(Upgrades!$T$15="Peculiar Velocity",POWER(Upgrades!$U$15,G300),1)*IF(Upgrades!$T$16="Peculiar Velocity",POWER(Upgrades!$U$16,H300),1)*IF(Upgrades!$T$17="Peculiar Velocity",POWER(Upgrades!$U$17,I300),1)*IF(Upgrades!$T$18="Peculiar Velocity",POWER(Upgrades!$U$18,J300),1)*IF(Upgrades!$T$20="Peculiar Velocity",POWER(Upgrades!$U$20,L300),1)*IF(Upgrades!$T$21="Peculiar Velocity",POWER(Upgrades!$U$21,M300),1))+(IF(L300=0,0,(Upgrades!$G$20+L300*Upgrades!$H$20)*POWER(Upgrades!$I$20,L300)))*(IF(Upgrades!$T$13="Open Cluster",POWER(Upgrades!$U$13,E300),1)*IF(Upgrades!$T$14="Open Cluster",POWER(Upgrades!$U$14,F300),1)*IF(Upgrades!$T$15="Open Cluster",POWER(Upgrades!$U$15,G300),1)*IF(Upgrades!$T$16="Open Cluster",POWER(Upgrades!$U$16,H300),1)*IF(Upgrades!$T$17="Open Cluster",POWER(Upgrades!$U$17,I300),1)*IF(Upgrades!$T$18="Open Cluster",POWER(Upgrades!$U$18,J300),1)*IF(Upgrades!$T$19="Open Cluster",POWER(Upgrades!$U$19,K300),1)*IF(Upgrades!$T$21="Open Cluster",POWER(Upgrades!$U$21,M300),1))+(IF(M300=0,0,(Upgrades!$G$21+M300*Upgrades!$H$21)*POWER(Upgrades!$I$21,M300)))*(IF(Upgrades!$T$13="Moving Group",POWER(Upgrades!$U$13,E300),1)*IF(Upgrades!$T$14="Moving Group",POWER(Upgrades!$U$14,F300),1)*IF(Upgrades!$T$15="Moving Group",POWER(Upgrades!$U$15,G300),1)*IF(Upgrades!$T$16="Moving Group",POWER(Upgrades!$U$16,H300),1)*IF(Upgrades!$T$17="Moving Group",POWER(Upgrades!$U$17,I300),1)*IF(Upgrades!$T$18="Moving Group",POWER(Upgrades!$U$18,J300),1)*IF(Upgrades!$T$19="Moving Group",POWER(Upgrades!$U$19,K300),1)*IF(Upgrades!$T$20="Moving Group",POWER(Upgrades!$U$20,L300),1)))*POWER(Upgrades!$P$13,E300)*POWER(Upgrades!$P$14,F300)*POWER(Upgrades!$P$15,G300)*POWER(Upgrades!$P$16,H300)*POWER(Upgrades!$P$17,I300)*POWER(Upgrades!$P$18,J300)*POWER(Upgrades!$P$19,K300)*POWER(Upgrades!$P$20,L300)*POWER(Upgrades!$P$21,M300)*$F$6+$C$6</f>
        <v/>
      </c>
      <c r="Q300" s="28">
        <f>((IF(E300=0,0,(Upgrades!$M$13+E300*Upgrades!$N$13)*POWER(Upgrades!$O$13,E300)))*(IF(Upgrades!$T$14="Stellar Kinematics",POWER(Upgrades!$U$14,F300),1)*IF(Upgrades!$T$15="Stellar Kinematics",POWER(Upgrades!$U$15,G300),1)*IF(Upgrades!$T$16="Stellar Kinematics",POWER(Upgrades!$U$16,H300),1)*IF(Upgrades!$T$17="Stellar Kinematics",POWER(Upgrades!$U$17,I300),1)*IF(Upgrades!$T$18="Stellar Kinematics",POWER(Upgrades!$U$18,J300),1)*IF(Upgrades!$T$19="Stellar Kinematics",POWER(Upgrades!$U$19,K300),1)*IF(Upgrades!$T$20="Stellar Kinematics",POWER(Upgrades!$U$20,L300),1)*IF(Upgrades!$T$21="Stellar Kinematics",POWER(Upgrades!$U$21,M300),1))+(IF(F300=0,0,(Upgrades!$M$14+F300*Upgrades!$N$14)*POWER(Upgrades!$O$14,F300)))*(IF(Upgrades!$T$13="Local Bubble",POWER(Upgrades!$U$13,E300),1)*IF(Upgrades!$T$15="Local Bubble",POWER(Upgrades!$U$15,G300),1)*IF(Upgrades!$T$16="Local Bubble",POWER(Upgrades!$U$16,H300),1)*IF(Upgrades!$T$17="Local Bubble",POWER(Upgrades!$U$17,I300),1)*IF(Upgrades!$T$18="Local Bubble",POWER(Upgrades!$U$18,J300),1)*IF(Upgrades!$T$19="Local Bubble",POWER(Upgrades!$U$19,K300),1)*IF(Upgrades!$T$20="Local Bubble",POWER(Upgrades!$U$20,L300),1)*IF(Upgrades!$T$21="Local Bubble",POWER(Upgrades!$U$21,M300),1))+(IF(G300=0,0,(Upgrades!$M$15+G300*Upgrades!$N$15)*POWER(Upgrades!$O$15,G300)))*(IF(Upgrades!$T$13="Microlensing",POWER(Upgrades!$U$13,E300),1)*IF(Upgrades!$T$14="Microlensing",POWER(Upgrades!$U$14,F300),1)*IF(Upgrades!$T$16="Microlensing",POWER(Upgrades!$U$16,H300),1)*IF(Upgrades!$T$17="Microlensing",POWER(Upgrades!$U$17,I300),1)*IF(Upgrades!$T$18="Microlensing",POWER(Upgrades!$U$18,J300),1)*IF(Upgrades!$T$19="Microlensing",POWER(Upgrades!$U$19,K300),1)*IF(Upgrades!$T$20="Microlensing",POWER(Upgrades!$U$20,L300),1)*IF(Upgrades!$T$21="Microlensing",POWER(Upgrades!$U$21,M300),1))+(IF(H300=0,0,(Upgrades!$M$16+H300*Upgrades!$N$16)*POWER(Upgrades!$O$16,H300)))*(IF(Upgrades!$T$13="Roche Lobe Overflow",POWER(Upgrades!$U$13,E300),1)*IF(Upgrades!$T$14="Roche Lobe Overflow",POWER(Upgrades!$U$14,F300),1)*IF(Upgrades!$T$15="Roche Lobe Overflow",POWER(Upgrades!$U$15,G300),1)*IF(Upgrades!$T$17="Roche Lobe Overflow",POWER(Upgrades!$U$17,I300),1)*IF(Upgrades!$T$18="Roche Lobe Overflow",POWER(Upgrades!$U$18,J300),1)*IF(Upgrades!$T$19="Roche Lobe Overflow",POWER(Upgrades!$U$19,K300),1)*IF(Upgrades!$T$20="Roche Lobe Overflow",POWER(Upgrades!$U$20,L300),1)*IF(Upgrades!$T$21="Roche Lobe Overflow",POWER(Upgrades!$U$21,M300),1))+(IF(I300=0,0,(Upgrades!$M$17+I300*Upgrades!$N$17)*POWER(Upgrades!$O$17,I300)))*(IF(Upgrades!$T$13="Brown Dwarf",POWER(Upgrades!$U$13,E300),1)*IF(Upgrades!$T$14="Brown Dwarf",POWER(Upgrades!$U$14,F300),1)*IF(Upgrades!$T$15="Brown Dwarf",POWER(Upgrades!$U$15,G300),1)*IF(Upgrades!$T$16="Brown Dwarf",POWER(Upgrades!$U$16,H300),1)*IF(Upgrades!$T$18="Brown Dwarf",POWER(Upgrades!$U$18,J300),1)*IF(Upgrades!$T$19="Brown Dwarf",POWER(Upgrades!$U$19,K300),1)*IF(Upgrades!$T$20="Brown Dwarf",POWER(Upgrades!$U$20,L300),1)*IF(Upgrades!$T$21="Brown Dwarf",POWER(Upgrades!$U$21,M300),1))+(IF(J300=0,0,(Upgrades!$M$18+J300*Upgrades!$N$18)*POWER(Upgrades!$O$18,J300)))*(IF(Upgrades!$T$13="Binary Partner",POWER(Upgrades!$U$13,E300),1)*IF(Upgrades!$T$14="Binary Partner",POWER(Upgrades!$U$14,F300),1)*IF(Upgrades!$T$15="Binary Partner",POWER(Upgrades!$U$15,G300),1)*IF(Upgrades!$T$16="Binary Partner",POWER(Upgrades!$U$16,H300),1)*IF(Upgrades!$T$17="Binary Partner",POWER(Upgrades!$U$17,I300),1)*IF(Upgrades!$T$19="Binary Partner",POWER(Upgrades!$U$19,K300),1)*IF(Upgrades!$T$20="Binary Partner",POWER(Upgrades!$U$20,L300),1)*IF(Upgrades!$T$21="Binary Partner",POWER(Upgrades!$U$21,M300),1))+(IF(K300=0,0,(Upgrades!$M$19+K300*Upgrades!$N$19)*POWER(Upgrades!$O$19,K300)))*(IF(Upgrades!$T$13="Peculiar Velocity",POWER(Upgrades!$U$13,E300),1)*IF(Upgrades!$T$14="Peculiar Velocity",POWER(Upgrades!$U$14,F300),1)*IF(Upgrades!$T$15="Peculiar Velocity",POWER(Upgrades!$U$15,G300),1)*IF(Upgrades!$T$16="Peculiar Velocity",POWER(Upgrades!$U$16,H300),1)*IF(Upgrades!$T$17="Peculiar Velocity",POWER(Upgrades!$U$17,I300),1)*IF(Upgrades!$T$18="Peculiar Velocity",POWER(Upgrades!$U$18,J300),1)*IF(Upgrades!$T$20="Peculiar Velocity",POWER(Upgrades!$U$20,L300),1)*IF(Upgrades!$T$21="Peculiar Velocity",POWER(Upgrades!$U$21,M300),1))+(IF(L300=0,0,(Upgrades!$M$20+L300*Upgrades!$N$20)*POWER(Upgrades!$O$20,L300)))*(IF(Upgrades!$T$13="Open Cluster",POWER(Upgrades!$U$13,E300),1)*IF(Upgrades!$T$14="Open Cluster",POWER(Upgrades!$U$14,F300),1)*IF(Upgrades!$T$15="Open Cluster",POWER(Upgrades!$U$15,G300),1)*IF(Upgrades!$T$16="Open Cluster",POWER(Upgrades!$U$16,H300),1)*IF(Upgrades!$T$17="Open Cluster",POWER(Upgrades!$U$17,I300),1)*IF(Upgrades!$T$18="Open Cluster",POWER(Upgrades!$U$18,J300),1)*IF(Upgrades!$T$19="Open Cluster",POWER(Upgrades!$U$19,K300),1)*IF(Upgrades!$T$21="Open Cluster",POWER(Upgrades!$U$21,M300),1))+(IF(M300=0,0,(Upgrades!$M$21+M300*Upgrades!$N$21)*POWER(Upgrades!$O$21,M300)))*(IF(Upgrades!$T$13="Moving Group",POWER(Upgrades!$U$13,E300),1)*IF(Upgrades!$T$14="Moving Group",POWER(Upgrades!$U$14,F300),1)*IF(Upgrades!$T$15="Moving Group",POWER(Upgrades!$U$15,G300),1)*IF(Upgrades!$T$16="Moving Group",POWER(Upgrades!$U$16,H300),1)*IF(Upgrades!$T$17="Moving Group",POWER(Upgrades!$U$17,I300),1)*IF(Upgrades!$T$18="Moving Group",POWER(Upgrades!$U$18,J300),1)*IF(Upgrades!$T$19="Moving Group",POWER(Upgrades!$U$19,K300),1)*IF(Upgrades!$T$20="Moving Group",POWER(Upgrades!$U$20,L300),1)))*POWER(Upgrades!$R$13,E300)*POWER(Upgrades!$R$14,F300)*POWER(Upgrades!$R$15,G300)*POWER(Upgrades!$R$16,H300)*POWER(Upgrades!$R$17,I300)*POWER(Upgrades!$R$18,J300)*POWER(Upgrades!$R$19,K300)*POWER(Upgrades!$R$20,L300)*POWER(Upgrades!$R$21,M300)*$H$6+$E$6</f>
        <v/>
      </c>
      <c r="R300" s="27">
        <f>IF(N300=1,0,O300*Parameters!$B$10/60*Parameters!$B$11*10)</f>
        <v/>
      </c>
      <c r="S300" s="27">
        <f>IF(N300=1,0,Q300*O300*10)</f>
        <v/>
      </c>
      <c r="T300" s="27">
        <f>IF(N300=1,0,R300+S300+P300*10)</f>
        <v/>
      </c>
      <c r="U300" s="33">
        <f>BE300</f>
        <v/>
      </c>
      <c r="V300" s="22">
        <f>IF(U300="",0,IF(U300="transition",0,IF(U300="SK",AK300,IF(U300="LB",AL300,IF(U300="ML",AM300,IF(U300="RLO",AN300,IF(U300="BD",AO300,IF(U300="BiP",AP300,IF(U300="PV",AQ300,IF(U300="OC",AR300,IF(U300="MG",AS300,0))))))))))</f>
        <v/>
      </c>
      <c r="W300" s="27">
        <f>IF(U300="BiP",Upgrades!$F$18,IF(U300="PV",Upgrades!$F$19,IF(U300="OC",Upgrades!$F$20,IF(U300="MG",Upgrades!$F$21,IF(U300="transition",-Parameters!$B$18*Parameters!$B$19,0)))))</f>
        <v/>
      </c>
      <c r="X300" s="22">
        <f>C300+T300-V300</f>
        <v/>
      </c>
      <c r="Y300" s="30">
        <f>O300*Parameters!$B$10/60*Parameters!$B$11+Q300*O300+P300</f>
        <v/>
      </c>
      <c r="Z300" s="34">
        <f>IF(U300="transition","→ Tier 3 (Galactic Arm)",IF(U300="MG","Moving Group — pocket drifts together",IF(U300="OC","Open Cluster acquired",IF(U300="PV","Peculiar Velocity — passive multiplier active",IF(U300="BiP","Binary Partner — pair bond formed",IF(AND(AU300=1,N300=0,AT300&lt;&gt;1),"Cohesion ready (waiting on completionists)","")))))) </f>
        <v/>
      </c>
      <c r="AA300" s="27">
        <f>(IF(E300=0,0,(Upgrades!$G$13+E300*Upgrades!$H$13)*POWER(Upgrades!$I$13,E300)))*(IF(Upgrades!$T$14="Stellar Kinematics",POWER(Upgrades!$U$14,F300),1)*IF(Upgrades!$T$15="Stellar Kinematics",POWER(Upgrades!$U$15,G300),1)*IF(Upgrades!$T$16="Stellar Kinematics",POWER(Upgrades!$U$16,H300),1)*IF(Upgrades!$T$17="Stellar Kinematics",POWER(Upgrades!$U$17,I300),1)*IF(Upgrades!$T$18="Stellar Kinematics",POWER(Upgrades!$U$18,J300),1)*IF(Upgrades!$T$19="Stellar Kinematics",POWER(Upgrades!$U$19,K300),1)*IF(Upgrades!$T$20="Stellar Kinematics",POWER(Upgrades!$U$20,L300),1)*IF(Upgrades!$T$21="Stellar Kinematics",POWER(Upgrades!$U$21,M300),1))*POWER(Upgrades!$P$13,E300)*POWER(Upgrades!$P$14,F300)*POWER(Upgrades!$P$15,G300)*POWER(Upgrades!$P$16,H300)*POWER(Upgrades!$P$17,I300)*POWER(Upgrades!$P$18,J300)*POWER(Upgrades!$P$19,K300)*POWER(Upgrades!$P$20,L300)*POWER(Upgrades!$P$21,M300)*$F$6*60</f>
        <v/>
      </c>
      <c r="AB300" s="27">
        <f>(IF(F300=0,0,(Upgrades!$G$14+F300*Upgrades!$H$14)*POWER(Upgrades!$I$14,F300)))*(IF(Upgrades!$T$13="Local Bubble",POWER(Upgrades!$U$13,E300),1)*IF(Upgrades!$T$15="Local Bubble",POWER(Upgrades!$U$15,G300),1)*IF(Upgrades!$T$16="Local Bubble",POWER(Upgrades!$U$16,H300),1)*IF(Upgrades!$T$17="Local Bubble",POWER(Upgrades!$U$17,I300),1)*IF(Upgrades!$T$18="Local Bubble",POWER(Upgrades!$U$18,J300),1)*IF(Upgrades!$T$19="Local Bubble",POWER(Upgrades!$U$19,K300),1)*IF(Upgrades!$T$20="Local Bubble",POWER(Upgrades!$U$20,L300),1)*IF(Upgrades!$T$21="Local Bubble",POWER(Upgrades!$U$21,M300),1))*POWER(Upgrades!$P$13,E300)*POWER(Upgrades!$P$14,F300)*POWER(Upgrades!$P$15,G300)*POWER(Upgrades!$P$16,H300)*POWER(Upgrades!$P$17,I300)*POWER(Upgrades!$P$18,J300)*POWER(Upgrades!$P$19,K300)*POWER(Upgrades!$P$20,L300)*POWER(Upgrades!$P$21,M300)*$F$6*60</f>
        <v/>
      </c>
      <c r="AC300" s="27">
        <f>(IF(G300=0,0,(Upgrades!$J$15+G300*Upgrades!$K$15)*POWER(Upgrades!$L$15,G300)))*(IF(Upgrades!$T$13="Microlensing",POWER(Upgrades!$U$13,E300),1)*IF(Upgrades!$T$14="Microlensing",POWER(Upgrades!$U$14,F300),1)*IF(Upgrades!$T$16="Microlensing",POWER(Upgrades!$U$16,H300),1)*IF(Upgrades!$T$17="Microlensing",POWER(Upgrades!$U$17,I300),1)*IF(Upgrades!$T$18="Microlensing",POWER(Upgrades!$U$18,J300),1)*IF(Upgrades!$T$19="Microlensing",POWER(Upgrades!$U$19,K300),1)*IF(Upgrades!$T$20="Microlensing",POWER(Upgrades!$U$20,L300),1)*IF(Upgrades!$T$21="Microlensing",POWER(Upgrades!$U$21,M300),1))*POWER(Upgrades!$Q$13,E300)*POWER(Upgrades!$Q$14,F300)*POWER(Upgrades!$Q$15,G300)*POWER(Upgrades!$Q$16,H300)*POWER(Upgrades!$Q$17,I300)*POWER(Upgrades!$Q$18,J300)*POWER(Upgrades!$Q$19,K300)*POWER(Upgrades!$Q$20,L300)*POWER(Upgrades!$Q$21,M300)*$G$6*(Parameters!$B$10*Parameters!$B$11+Q300*60)</f>
        <v/>
      </c>
      <c r="AD300" s="27">
        <f>(IF(H300=0,0,(Upgrades!$M$16+H300*Upgrades!$N$16)*POWER(Upgrades!$O$16,H300)))*(IF(Upgrades!$T$13="Roche Lobe Overflow",POWER(Upgrades!$U$13,E300),1)*IF(Upgrades!$T$14="Roche Lobe Overflow",POWER(Upgrades!$U$14,F300),1)*IF(Upgrades!$T$15="Roche Lobe Overflow",POWER(Upgrades!$U$15,G300),1)*IF(Upgrades!$T$17="Roche Lobe Overflow",POWER(Upgrades!$U$17,I300),1)*IF(Upgrades!$T$18="Roche Lobe Overflow",POWER(Upgrades!$U$18,J300),1)*IF(Upgrades!$T$19="Roche Lobe Overflow",POWER(Upgrades!$U$19,K300),1)*IF(Upgrades!$T$20="Roche Lobe Overflow",POWER(Upgrades!$U$20,L300),1)*IF(Upgrades!$T$21="Roche Lobe Overflow",POWER(Upgrades!$U$21,M300),1))*POWER(Upgrades!$R$13,E300)*POWER(Upgrades!$R$14,F300)*POWER(Upgrades!$R$15,G300)*POWER(Upgrades!$R$16,H300)*POWER(Upgrades!$R$17,I300)*POWER(Upgrades!$R$18,J300)*POWER(Upgrades!$R$19,K300)*POWER(Upgrades!$R$20,L300)*POWER(Upgrades!$R$21,M300)*$H$6*O300*60</f>
        <v/>
      </c>
      <c r="AE300" s="27">
        <f>(IF(I300=0,0,(Upgrades!$G$17+I300*Upgrades!$H$17)*POWER(Upgrades!$I$17,I300)))*(IF(Upgrades!$T$13="Brown Dwarf",POWER(Upgrades!$U$13,E300),1)*IF(Upgrades!$T$14="Brown Dwarf",POWER(Upgrades!$U$14,F300),1)*IF(Upgrades!$T$15="Brown Dwarf",POWER(Upgrades!$U$15,G300),1)*IF(Upgrades!$T$16="Brown Dwarf",POWER(Upgrades!$U$16,H300),1)*IF(Upgrades!$T$18="Brown Dwarf",POWER(Upgrades!$U$18,J300),1)*IF(Upgrades!$T$19="Brown Dwarf",POWER(Upgrades!$U$19,K300),1)*IF(Upgrades!$T$20="Brown Dwarf",POWER(Upgrades!$U$20,L300),1)*IF(Upgrades!$T$21="Brown Dwarf",POWER(Upgrades!$U$21,M300),1))*POWER(Upgrades!$P$13,E300)*POWER(Upgrades!$P$14,F300)*POWER(Upgrades!$P$15,G300)*POWER(Upgrades!$P$16,H300)*POWER(Upgrades!$P$17,I300)*POWER(Upgrades!$P$18,J300)*POWER(Upgrades!$P$19,K300)*POWER(Upgrades!$P$20,L300)*POWER(Upgrades!$P$21,M300)*$F$6*60</f>
        <v/>
      </c>
      <c r="AF300" s="27" t="n">
        <v>0</v>
      </c>
      <c r="AG300" s="27" t="n">
        <v>0</v>
      </c>
      <c r="AH300" s="27" t="n">
        <v>0</v>
      </c>
      <c r="AI300" s="27">
        <f>(IF(M300=0,0,(Upgrades!$G$21+M300*Upgrades!$H$21)*POWER(Upgrades!$I$21,M300)))*(IF(Upgrades!$T$13="Moving Group",POWER(Upgrades!$U$13,E300),1)*IF(Upgrades!$T$14="Moving Group",POWER(Upgrades!$U$14,F300),1)*IF(Upgrades!$T$15="Moving Group",POWER(Upgrades!$U$15,G300),1)*IF(Upgrades!$T$16="Moving Group",POWER(Upgrades!$U$16,H300),1)*IF(Upgrades!$T$17="Moving Group",POWER(Upgrades!$U$17,I300),1)*IF(Upgrades!$T$18="Moving Group",POWER(Upgrades!$U$18,J300),1)*IF(Upgrades!$T$19="Moving Group",POWER(Upgrades!$U$19,K300),1)*IF(Upgrades!$T$20="Moving Group",POWER(Upgrades!$U$20,L300),1))*POWER(Upgrades!$P$13,E300)*POWER(Upgrades!$P$14,F300)*POWER(Upgrades!$P$15,G300)*POWER(Upgrades!$P$16,H300)*POWER(Upgrades!$P$17,I300)*POWER(Upgrades!$P$18,J300)*POWER(Upgrades!$P$19,K300)*POWER(Upgrades!$P$20,L300)*POWER(Upgrades!$P$21,M300)*$F$6*60</f>
        <v/>
      </c>
      <c r="AJ300" s="27">
        <f>$C$6*60</f>
        <v/>
      </c>
      <c r="AK300" s="22">
        <f>IF(E300&gt;=Upgrades!$E$13,"",Upgrades!$C$13*POWER(Upgrades!$D$13,E300))</f>
        <v/>
      </c>
      <c r="AL300" s="22">
        <f>IF(F300&gt;=Upgrades!$E$14,"",Upgrades!$C$14*POWER(Upgrades!$D$14,F300))</f>
        <v/>
      </c>
      <c r="AM300" s="22">
        <f>IF(G300&gt;=Upgrades!$E$15,"",Upgrades!$C$15*POWER(Upgrades!$D$15,G300))</f>
        <v/>
      </c>
      <c r="AN300" s="22">
        <f>IF(H300&gt;=Upgrades!$E$16,"",Upgrades!$C$16*POWER(Upgrades!$D$16,H300))</f>
        <v/>
      </c>
      <c r="AO300" s="22">
        <f>IF(I300&gt;=Upgrades!$E$17,"",Upgrades!$C$17*POWER(Upgrades!$D$17,I300))</f>
        <v/>
      </c>
      <c r="AP300" s="22">
        <f>IF(J300&gt;=Upgrades!$E$18,"",Upgrades!$C$18*POWER(Upgrades!$D$18,J300))</f>
        <v/>
      </c>
      <c r="AQ300" s="22">
        <f>IF(K300&gt;=Upgrades!$E$19,"",Upgrades!$C$19*POWER(Upgrades!$D$19,K300))</f>
        <v/>
      </c>
      <c r="AR300" s="22">
        <f>IF(L300&gt;=Upgrades!$E$20,"",Upgrades!$C$20*POWER(Upgrades!$D$20,L300))</f>
        <v/>
      </c>
      <c r="AS300" s="22">
        <f>IF(M300&gt;=Upgrades!$E$21,"",Upgrades!$C$21*POWER(Upgrades!$D$21,M300))</f>
        <v/>
      </c>
      <c r="AT300" s="26">
        <f>IF(AND(D300&gt;=Parameters!$B$18*Parameters!$B$19,(I300&gt;=Upgrades!$E$17)*(M300&gt;=Upgrades!$E$21)=1,N300=0),1,"")</f>
        <v/>
      </c>
      <c r="AU300" s="26">
        <f>IF(AND(D300&gt;=Parameters!$B$18*Parameters!$B$19,N300=0),1,"")</f>
        <v/>
      </c>
      <c r="AV300" s="22">
        <f>MIN(IF(ISNUMBER(AP300),AP300,9E15),IF(ISNUMBER(AQ300),AQ300,9E15),IF(ISNUMBER(AR300),AR300,9E15),IF(ISNUMBER(AS300),AS300,9E15))</f>
        <v/>
      </c>
      <c r="AW300" s="22">
        <f>MIN(IF(ISNUMBER(AK300),AK300,9E15),IF(ISNUMBER(AL300),AL300,9E15),IF(ISNUMBER(AM300),AM300,9E15),IF(ISNUMBER(AN300),AN300,9E15),IF(ISNUMBER(AO300),AO300,9E15))</f>
        <v/>
      </c>
      <c r="AX300" s="29">
        <f>IF(BD300&gt;Parameters!$B$21*(MAX(IF(AND(NOT(AND(AU300=1,AT300&lt;&gt;1)),ISNUMBER(AK300),AK300&lt;=(C300+T300)),AY300,0),IF(AND(NOT(AND(AU300=1,AT300&lt;&gt;1)),ISNUMBER(AL300),AL300&lt;=(C300+T300)),AZ300,0),IF(AND(NOT(AND(AU300=1,AT300&lt;&gt;1)),ISNUMBER(AM300),AM300&lt;=(C300+T300)),BA300,0),IF(AND(NOT(AND(AU300=1,AT300&lt;&gt;1)),ISNUMBER(AN300),AN300&lt;=(C300+T300)),BB300,0),IF(AND(ISNUMBER(AO300),AO300&lt;=(C300+T300)),BC300,0))),TRUE,FALSE)</f>
        <v/>
      </c>
      <c r="AY300" s="32">
        <f>IFERROR(Upgrades!$H$13*(POWER(Upgrades!$P$13,E300)*POWER(Upgrades!$P$14,F300)*POWER(Upgrades!$P$15,G300)*POWER(Upgrades!$P$16,H300)*POWER(Upgrades!$P$17,I300)*POWER(Upgrades!$P$18,J300)*POWER(Upgrades!$P$19,K300)*POWER(Upgrades!$P$20,L300)*POWER(Upgrades!$P$21,M300))*(IF(Upgrades!$T$14="Stellar Kinematics",POWER(Upgrades!$U$14,F300),1)*IF(Upgrades!$T$15="Stellar Kinematics",POWER(Upgrades!$U$15,G300),1)*IF(Upgrades!$T$16="Stellar Kinematics",POWER(Upgrades!$U$16,H300),1)*IF(Upgrades!$T$17="Stellar Kinematics",POWER(Upgrades!$U$17,I300),1)*IF(Upgrades!$T$18="Stellar Kinematics",POWER(Upgrades!$U$18,J300),1)*IF(Upgrades!$T$19="Stellar Kinematics",POWER(Upgrades!$U$19,K300),1)*IF(Upgrades!$T$20="Stellar Kinematics",POWER(Upgrades!$U$20,L300),1)*IF(Upgrades!$T$21="Stellar Kinematics",POWER(Upgrades!$U$21,M300),1))*$F$6/AK300,0)</f>
        <v/>
      </c>
      <c r="AZ300" s="32">
        <f>IFERROR(Upgrades!$H$14*(POWER(Upgrades!$P$13,E300)*POWER(Upgrades!$P$14,F300)*POWER(Upgrades!$P$15,G300)*POWER(Upgrades!$P$16,H300)*POWER(Upgrades!$P$17,I300)*POWER(Upgrades!$P$18,J300)*POWER(Upgrades!$P$19,K300)*POWER(Upgrades!$P$20,L300)*POWER(Upgrades!$P$21,M300))*(IF(Upgrades!$T$13="Local Bubble",POWER(Upgrades!$U$13,E300),1)*IF(Upgrades!$T$15="Local Bubble",POWER(Upgrades!$U$15,G300),1)*IF(Upgrades!$T$16="Local Bubble",POWER(Upgrades!$U$16,H300),1)*IF(Upgrades!$T$17="Local Bubble",POWER(Upgrades!$U$17,I300),1)*IF(Upgrades!$T$18="Local Bubble",POWER(Upgrades!$U$18,J300),1)*IF(Upgrades!$T$19="Local Bubble",POWER(Upgrades!$U$19,K300),1)*IF(Upgrades!$T$20="Local Bubble",POWER(Upgrades!$U$20,L300),1)*IF(Upgrades!$T$21="Local Bubble",POWER(Upgrades!$U$21,M300),1))*$F$6/AL300,0)</f>
        <v/>
      </c>
      <c r="BA300" s="32">
        <f>IFERROR(Upgrades!$K$15*(POWER(Upgrades!$Q$13,E300)*POWER(Upgrades!$Q$14,F300)*POWER(Upgrades!$Q$15,G300)*POWER(Upgrades!$Q$16,H300)*POWER(Upgrades!$Q$17,I300)*POWER(Upgrades!$Q$18,J300)*POWER(Upgrades!$Q$19,K300)*POWER(Upgrades!$Q$20,L300)*POWER(Upgrades!$Q$21,M300))*(IF(Upgrades!$T$13="Microlensing",POWER(Upgrades!$U$13,E300),1)*IF(Upgrades!$T$14="Microlensing",POWER(Upgrades!$U$14,F300),1)*IF(Upgrades!$T$16="Microlensing",POWER(Upgrades!$U$16,H300),1)*IF(Upgrades!$T$17="Microlensing",POWER(Upgrades!$U$17,I300),1)*IF(Upgrades!$T$18="Microlensing",POWER(Upgrades!$U$18,J300),1)*IF(Upgrades!$T$19="Microlensing",POWER(Upgrades!$U$19,K300),1)*IF(Upgrades!$T$20="Microlensing",POWER(Upgrades!$U$20,L300),1)*IF(Upgrades!$T$21="Microlensing",POWER(Upgrades!$U$21,M300),1))*$G$6*(Parameters!$B$10/60*Parameters!$B$11+Q300)/AM300,0)</f>
        <v/>
      </c>
      <c r="BB300" s="32">
        <f>IFERROR((Upgrades!$N$16*(POWER(Upgrades!$R$13,E300)*POWER(Upgrades!$R$14,F300)*POWER(Upgrades!$R$15,G300)*POWER(Upgrades!$R$16,H300)*POWER(Upgrades!$R$17,I300)*POWER(Upgrades!$R$18,J300)*POWER(Upgrades!$R$19,K300)*POWER(Upgrades!$R$20,L300)*POWER(Upgrades!$R$21,M300))*(IF(Upgrades!$T$13="Roche Lobe Overflow",POWER(Upgrades!$U$13,E300),1)*IF(Upgrades!$T$14="Roche Lobe Overflow",POWER(Upgrades!$U$14,F300),1)*IF(Upgrades!$T$15="Roche Lobe Overflow",POWER(Upgrades!$U$15,G300),1)*IF(Upgrades!$T$17="Roche Lobe Overflow",POWER(Upgrades!$U$17,I300),1)*IF(Upgrades!$T$18="Roche Lobe Overflow",POWER(Upgrades!$U$18,J300),1)*IF(Upgrades!$T$19="Roche Lobe Overflow",POWER(Upgrades!$U$19,K300),1)*IF(Upgrades!$T$20="Roche Lobe Overflow",POWER(Upgrades!$U$20,L300),1)*IF(Upgrades!$T$21="Roche Lobe Overflow",POWER(Upgrades!$U$21,M300),1))*$H$6*O300+((IF(F300=0,0,(Upgrades!$G$14+F300*Upgrades!$H$14)*POWER(Upgrades!$I$14,F300)))*(IF(Upgrades!$T$13="Local Bubble",POWER(Upgrades!$U$13,E300),1)*IF(Upgrades!$T$15="Local Bubble",POWER(Upgrades!$U$15,G300),1)*IF(Upgrades!$T$16="Local Bubble",POWER(Upgrades!$U$16,H300),1)*IF(Upgrades!$T$17="Local Bubble",POWER(Upgrades!$U$17,I300),1)*IF(Upgrades!$T$18="Local Bubble",POWER(Upgrades!$U$18,J300),1)*IF(Upgrades!$T$19="Local Bubble",POWER(Upgrades!$U$19,K300),1)*IF(Upgrades!$T$20="Local Bubble",POWER(Upgrades!$U$20,L300),1)*IF(Upgrades!$T$21="Local Bubble",POWER(Upgrades!$U$21,M300),1))*POWER(Upgrades!$P$13,E300)*POWER(Upgrades!$P$14,F300)*POWER(Upgrades!$P$15,G300)*POWER(Upgrades!$P$16,H300)*POWER(Upgrades!$P$17,I300)*POWER(Upgrades!$P$18,J300)*POWER(Upgrades!$P$19,K300)*POWER(Upgrades!$P$20,L300)*POWER(Upgrades!$P$21,M300)*$F$6)*0.05)/AN300,0)</f>
        <v/>
      </c>
      <c r="BC300" s="32">
        <f>IFERROR((Upgrades!$H$17*(POWER(Upgrades!$P$13,E300)*POWER(Upgrades!$P$14,F300)*POWER(Upgrades!$P$15,G300)*POWER(Upgrades!$P$16,H300)*POWER(Upgrades!$P$17,I300)*POWER(Upgrades!$P$18,J300)*POWER(Upgrades!$P$19,K300)*POWER(Upgrades!$P$20,L300)*POWER(Upgrades!$P$21,M300))*(IF(Upgrades!$T$13="Brown Dwarf",POWER(Upgrades!$U$13,E300),1)*IF(Upgrades!$T$14="Brown Dwarf",POWER(Upgrades!$U$14,F300),1)*IF(Upgrades!$T$15="Brown Dwarf",POWER(Upgrades!$U$15,G300),1)*IF(Upgrades!$T$16="Brown Dwarf",POWER(Upgrades!$U$16,H300),1)*IF(Upgrades!$T$18="Brown Dwarf",POWER(Upgrades!$U$18,J300),1)*IF(Upgrades!$T$19="Brown Dwarf",POWER(Upgrades!$U$19,K300),1)*IF(Upgrades!$T$20="Brown Dwarf",POWER(Upgrades!$U$20,L300),1)*IF(Upgrades!$T$21="Brown Dwarf",POWER(Upgrades!$U$21,M300),1))*$F$6+(((IF(H300=0,0,(Upgrades!$M$16+H300*Upgrades!$N$16)*POWER(Upgrades!$O$16,H300)))*(IF(Upgrades!$T$13="Roche Lobe Overflow",POWER(Upgrades!$U$13,E300),1)*IF(Upgrades!$T$14="Roche Lobe Overflow",POWER(Upgrades!$U$14,F300),1)*IF(Upgrades!$T$15="Roche Lobe Overflow",POWER(Upgrades!$U$15,G300),1)*IF(Upgrades!$T$17="Roche Lobe Overflow",POWER(Upgrades!$U$17,I300),1)*IF(Upgrades!$T$18="Roche Lobe Overflow",POWER(Upgrades!$U$18,J300),1)*IF(Upgrades!$T$19="Roche Lobe Overflow",POWER(Upgrades!$U$19,K300),1)*IF(Upgrades!$T$20="Roche Lobe Overflow",POWER(Upgrades!$U$20,L300),1)*IF(Upgrades!$T$21="Roche Lobe Overflow",POWER(Upgrades!$U$21,M300),1))*POWER(Upgrades!$R$13,E300)*POWER(Upgrades!$R$14,F300)*POWER(Upgrades!$R$15,G300)*POWER(Upgrades!$R$16,H300)*POWER(Upgrades!$R$17,I300)*POWER(Upgrades!$R$18,J300)*POWER(Upgrades!$R$19,K300)*POWER(Upgrades!$R$20,L300)*POWER(Upgrades!$R$21,M300)*$H$6)*O300)*0.10)/AO300,0)</f>
        <v/>
      </c>
      <c r="BD300" s="32">
        <f>MAX(IF(J300&gt;0,0,IFERROR(0.5*((IF(G300=0,0,(Upgrades!$J$15+G300*Upgrades!$K$15)*POWER(Upgrades!$L$15,G300)))*(IF(Upgrades!$T$13="Microlensing",POWER(Upgrades!$U$13,E300),1)*IF(Upgrades!$T$14="Microlensing",POWER(Upgrades!$U$14,F300),1)*IF(Upgrades!$T$16="Microlensing",POWER(Upgrades!$U$16,H300),1)*IF(Upgrades!$T$17="Microlensing",POWER(Upgrades!$U$17,I300),1)*IF(Upgrades!$T$18="Microlensing",POWER(Upgrades!$U$18,J300),1)*IF(Upgrades!$T$19="Microlensing",POWER(Upgrades!$U$19,K300),1)*IF(Upgrades!$T$20="Microlensing",POWER(Upgrades!$U$20,L300),1)*IF(Upgrades!$T$21="Microlensing",POWER(Upgrades!$U$21,M300),1))*(POWER(Upgrades!$Q$13,E300)*POWER(Upgrades!$Q$14,F300)*POWER(Upgrades!$Q$15,G300)*POWER(Upgrades!$Q$16,H300)*POWER(Upgrades!$Q$17,I300)*POWER(Upgrades!$Q$18,J300)*POWER(Upgrades!$Q$19,K300)*POWER(Upgrades!$Q$20,L300)*POWER(Upgrades!$Q$21,M300))*$G$6*(Parameters!$B$10/60*Parameters!$B$11+Q300))/Upgrades!$C$18,0)),IF(K300&gt;0,0,IFERROR(0.30*P300/Upgrades!$C$19,0)),IF(L300&gt;0,0,IFERROR(0.0001/Upgrades!$C$20,0)),IF(M300&gt;0,0,IFERROR((6.0*(POWER(Upgrades!$P$13,E300)*POWER(Upgrades!$P$14,F300)*POWER(Upgrades!$P$15,G300)*POWER(Upgrades!$P$16,H300)*POWER(Upgrades!$P$17,I300)*POWER(Upgrades!$P$18,J300)*POWER(Upgrades!$P$19,K300)*POWER(Upgrades!$P$20,L300)*POWER(Upgrades!$P$21,M300))*$F$6+0.20*O300*(Parameters!$B$10/60*Parameters!$B$11+Q300))/Upgrades!$C$21,0)),IF(AND(ISNUMBER(AK300),AK300&gt;(C300+T300)),AY300,0),IF(AND(ISNUMBER(AL300),AL300&gt;(C300+T300)),AZ300,0),IF(AND(ISNUMBER(AM300),AM300&gt;(C300+T300)),BA300,0),IF(AND(ISNUMBER(AN300),AN300&gt;(C300+T300)),BB300,0),IF(AND(ISNUMBER(AO300),AO300&gt;(C300+T300)),BC300,0))</f>
        <v/>
      </c>
      <c r="BE300" s="29">
        <f>IF(AT300=1,"transition",IF(MIN(IF(AND(J300=0,ISNUMBER(AP300),AP300&lt;=(C300+T300)),AP300,9E15),IF(AND(K300=0,ISNUMBER(AQ300),AQ300&lt;=(C300+T300)),AQ300,9E15),IF(AND(L300=0,ISNUMBER(AR300),AR300&lt;=(C300+T300)),AR300,9E15),IF(AND(M300=0,ISNUMBER(AS300),AS300&lt;=(C300+T300)),AS300,9E15))&lt;9E15,IF(AND(AND(J300=0,ISNUMBER(AP300),AP300&lt;=(C300+T300)),AP300=MIN(IF(AND(J300=0,ISNUMBER(AP300),AP300&lt;=(C300+T300)),AP300,9E15),IF(AND(K300=0,ISNUMBER(AQ300),AQ300&lt;=(C300+T300)),AQ300,9E15),IF(AND(L300=0,ISNUMBER(AR300),AR300&lt;=(C300+T300)),AR300,9E15),IF(AND(M300=0,ISNUMBER(AS300),AS300&lt;=(C300+T300)),AS300,9E15))),"BiP",IF(AND(AND(K300=0,ISNUMBER(AQ300),AQ300&lt;=(C300+T300)),AQ300=MIN(IF(AND(J300=0,ISNUMBER(AP300),AP300&lt;=(C300+T300)),AP300,9E15),IF(AND(K300=0,ISNUMBER(AQ300),AQ300&lt;=(C300+T300)),AQ300,9E15),IF(AND(L300=0,ISNUMBER(AR300),AR300&lt;=(C300+T300)),AR300,9E15),IF(AND(M300=0,ISNUMBER(AS300),AS300&lt;=(C300+T300)),AS300,9E15))),"PV",IF(AND(AND(L300=0,ISNUMBER(AR300),AR300&lt;=(C300+T300)),AR300=MIN(IF(AND(J300=0,ISNUMBER(AP300),AP300&lt;=(C300+T300)),AP300,9E15),IF(AND(K300=0,ISNUMBER(AQ300),AQ300&lt;=(C300+T300)),AQ300,9E15),IF(AND(L300=0,ISNUMBER(AR300),AR300&lt;=(C300+T300)),AR300,9E15),IF(AND(M300=0,ISNUMBER(AS300),AS300&lt;=(C300+T300)),AS300,9E15))),"OC","MG"))),IF(AX300=TRUE,"",IF(MAX(IF(AND(NOT(AND(AU300=1,AT300&lt;&gt;1)),ISNUMBER(AK300),AK300&lt;=(C300+T300)),AY300,0),IF(AND(NOT(AND(AU300=1,AT300&lt;&gt;1)),ISNUMBER(AL300),AL300&lt;=(C300+T300)),AZ300,0),IF(AND(NOT(AND(AU300=1,AT300&lt;&gt;1)),ISNUMBER(AM300),AM300&lt;=(C300+T300)),BA300,0),IF(AND(NOT(AND(AU300=1,AT300&lt;&gt;1)),ISNUMBER(AN300),AN300&lt;=(C300+T300)),BB300,0),IF(AND(ISNUMBER(AO300),AO300&lt;=(C300+T300)),BC300,0))&lt;=0,"",IF(AND(IF(AND(NOT(AND(AU300=1,AT300&lt;&gt;1)),ISNUMBER(AK300),AK300&lt;=(C300+T300)),AY300,0)&gt;0,IF(AND(NOT(AND(AU300=1,AT300&lt;&gt;1)),ISNUMBER(AK300),AK300&lt;=(C300+T300)),AY300,0)=MAX(IF(AND(NOT(AND(AU300=1,AT300&lt;&gt;1)),ISNUMBER(AK300),AK300&lt;=(C300+T300)),AY300,0),IF(AND(NOT(AND(AU300=1,AT300&lt;&gt;1)),ISNUMBER(AL300),AL300&lt;=(C300+T300)),AZ300,0),IF(AND(NOT(AND(AU300=1,AT300&lt;&gt;1)),ISNUMBER(AM300),AM300&lt;=(C300+T300)),BA300,0),IF(AND(NOT(AND(AU300=1,AT300&lt;&gt;1)),ISNUMBER(AN300),AN300&lt;=(C300+T300)),BB300,0),IF(AND(ISNUMBER(AO300),AO300&lt;=(C300+T300)),BC300,0))),"SK",IF(AND(IF(AND(NOT(AND(AU300=1,AT300&lt;&gt;1)),ISNUMBER(AL300),AL300&lt;=(C300+T300)),AZ300,0)&gt;0,IF(AND(NOT(AND(AU300=1,AT300&lt;&gt;1)),ISNUMBER(AL300),AL300&lt;=(C300+T300)),AZ300,0)=MAX(IF(AND(NOT(AND(AU300=1,AT300&lt;&gt;1)),ISNUMBER(AK300),AK300&lt;=(C300+T300)),AY300,0),IF(AND(NOT(AND(AU300=1,AT300&lt;&gt;1)),ISNUMBER(AL300),AL300&lt;=(C300+T300)),AZ300,0),IF(AND(NOT(AND(AU300=1,AT300&lt;&gt;1)),ISNUMBER(AM300),AM300&lt;=(C300+T300)),BA300,0),IF(AND(NOT(AND(AU300=1,AT300&lt;&gt;1)),ISNUMBER(AN300),AN300&lt;=(C300+T300)),BB300,0),IF(AND(ISNUMBER(AO300),AO300&lt;=(C300+T300)),BC300,0))),"LB",IF(AND(IF(AND(NOT(AND(AU300=1,AT300&lt;&gt;1)),ISNUMBER(AM300),AM300&lt;=(C300+T300)),BA300,0)&gt;0,IF(AND(NOT(AND(AU300=1,AT300&lt;&gt;1)),ISNUMBER(AM300),AM300&lt;=(C300+T300)),BA300,0)=MAX(IF(AND(NOT(AND(AU300=1,AT300&lt;&gt;1)),ISNUMBER(AK300),AK300&lt;=(C300+T300)),AY300,0),IF(AND(NOT(AND(AU300=1,AT300&lt;&gt;1)),ISNUMBER(AL300),AL300&lt;=(C300+T300)),AZ300,0),IF(AND(NOT(AND(AU300=1,AT300&lt;&gt;1)),ISNUMBER(AM300),AM300&lt;=(C300+T300)),BA300,0),IF(AND(NOT(AND(AU300=1,AT300&lt;&gt;1)),ISNUMBER(AN300),AN300&lt;=(C300+T300)),BB300,0),IF(AND(ISNUMBER(AO300),AO300&lt;=(C300+T300)),BC300,0))),"ML",IF(AND(IF(AND(NOT(AND(AU300=1,AT300&lt;&gt;1)),ISNUMBER(AN300),AN300&lt;=(C300+T300)),BB300,0)&gt;0,IF(AND(NOT(AND(AU300=1,AT300&lt;&gt;1)),ISNUMBER(AN300),AN300&lt;=(C300+T300)),BB300,0)=MAX(IF(AND(NOT(AND(AU300=1,AT300&lt;&gt;1)),ISNUMBER(AK300),AK300&lt;=(C300+T300)),AY300,0),IF(AND(NOT(AND(AU300=1,AT300&lt;&gt;1)),ISNUMBER(AL300),AL300&lt;=(C300+T300)),AZ300,0),IF(AND(NOT(AND(AU300=1,AT300&lt;&gt;1)),ISNUMBER(AM300),AM300&lt;=(C300+T300)),BA300,0),IF(AND(NOT(AND(AU300=1,AT300&lt;&gt;1)),ISNUMBER(AN300),AN300&lt;=(C300+T300)),BB300,0),IF(AND(ISNUMBER(AO300),AO300&lt;=(C300+T300)),BC300,0))),"RLO","BD"))))))))</f>
        <v/>
      </c>
    </row>
    <row r="301">
      <c r="A301" s="26" t="n">
        <v>290</v>
      </c>
      <c r="B301" s="27">
        <f>A301*10/60</f>
        <v/>
      </c>
      <c r="C301" s="22">
        <f>X300</f>
        <v/>
      </c>
      <c r="D301" s="27">
        <f>D300+W300</f>
        <v/>
      </c>
      <c r="E301" s="26">
        <f>E300+IF(U300="SK",1,0)</f>
        <v/>
      </c>
      <c r="F301" s="26">
        <f>F300+IF(U300="LB",1,0)</f>
        <v/>
      </c>
      <c r="G301" s="26">
        <f>G300+IF(U300="ML",1,0)</f>
        <v/>
      </c>
      <c r="H301" s="26">
        <f>H300+IF(U300="RLO",1,0)</f>
        <v/>
      </c>
      <c r="I301" s="26">
        <f>I300+IF(U300="BD",1,0)</f>
        <v/>
      </c>
      <c r="J301" s="26">
        <f>MAX(J300,IF(U300="BiP",1,0))</f>
        <v/>
      </c>
      <c r="K301" s="26">
        <f>MAX(K300,IF(U300="PV",1,0))</f>
        <v/>
      </c>
      <c r="L301" s="26">
        <f>MAX(L300,IF(U300="OC",1,0))</f>
        <v/>
      </c>
      <c r="M301" s="26">
        <f>MAX(M300,IF(U300="MG",1,0))</f>
        <v/>
      </c>
      <c r="N301" s="26">
        <f>MAX(N300,IF(U300="transition",1,0))</f>
        <v/>
      </c>
      <c r="O301" s="28">
        <f>(Parameters!$B$9+(IF(E301=0,0,(Upgrades!$J$13+E301*Upgrades!$K$13)*POWER(Upgrades!$L$13,E301)))*(IF(Upgrades!$T$14="Stellar Kinematics",POWER(Upgrades!$U$14,F301),1)*IF(Upgrades!$T$15="Stellar Kinematics",POWER(Upgrades!$U$15,G301),1)*IF(Upgrades!$T$16="Stellar Kinematics",POWER(Upgrades!$U$16,H301),1)*IF(Upgrades!$T$17="Stellar Kinematics",POWER(Upgrades!$U$17,I301),1)*IF(Upgrades!$T$18="Stellar Kinematics",POWER(Upgrades!$U$18,J301),1)*IF(Upgrades!$T$19="Stellar Kinematics",POWER(Upgrades!$U$19,K301),1)*IF(Upgrades!$T$20="Stellar Kinematics",POWER(Upgrades!$U$20,L301),1)*IF(Upgrades!$T$21="Stellar Kinematics",POWER(Upgrades!$U$21,M301),1))+(IF(F301=0,0,(Upgrades!$J$14+F301*Upgrades!$K$14)*POWER(Upgrades!$L$14,F301)))*(IF(Upgrades!$T$13="Local Bubble",POWER(Upgrades!$U$13,E301),1)*IF(Upgrades!$T$15="Local Bubble",POWER(Upgrades!$U$15,G301),1)*IF(Upgrades!$T$16="Local Bubble",POWER(Upgrades!$U$16,H301),1)*IF(Upgrades!$T$17="Local Bubble",POWER(Upgrades!$U$17,I301),1)*IF(Upgrades!$T$18="Local Bubble",POWER(Upgrades!$U$18,J301),1)*IF(Upgrades!$T$19="Local Bubble",POWER(Upgrades!$U$19,K301),1)*IF(Upgrades!$T$20="Local Bubble",POWER(Upgrades!$U$20,L301),1)*IF(Upgrades!$T$21="Local Bubble",POWER(Upgrades!$U$21,M301),1))+(IF(G301=0,0,(Upgrades!$J$15+G301*Upgrades!$K$15)*POWER(Upgrades!$L$15,G301)))*(IF(Upgrades!$T$13="Microlensing",POWER(Upgrades!$U$13,E301),1)*IF(Upgrades!$T$14="Microlensing",POWER(Upgrades!$U$14,F301),1)*IF(Upgrades!$T$16="Microlensing",POWER(Upgrades!$U$16,H301),1)*IF(Upgrades!$T$17="Microlensing",POWER(Upgrades!$U$17,I301),1)*IF(Upgrades!$T$18="Microlensing",POWER(Upgrades!$U$18,J301),1)*IF(Upgrades!$T$19="Microlensing",POWER(Upgrades!$U$19,K301),1)*IF(Upgrades!$T$20="Microlensing",POWER(Upgrades!$U$20,L301),1)*IF(Upgrades!$T$21="Microlensing",POWER(Upgrades!$U$21,M301),1))+(IF(H301=0,0,(Upgrades!$J$16+H301*Upgrades!$K$16)*POWER(Upgrades!$L$16,H301)))*(IF(Upgrades!$T$13="Roche Lobe Overflow",POWER(Upgrades!$U$13,E301),1)*IF(Upgrades!$T$14="Roche Lobe Overflow",POWER(Upgrades!$U$14,F301),1)*IF(Upgrades!$T$15="Roche Lobe Overflow",POWER(Upgrades!$U$15,G301),1)*IF(Upgrades!$T$17="Roche Lobe Overflow",POWER(Upgrades!$U$17,I301),1)*IF(Upgrades!$T$18="Roche Lobe Overflow",POWER(Upgrades!$U$18,J301),1)*IF(Upgrades!$T$19="Roche Lobe Overflow",POWER(Upgrades!$U$19,K301),1)*IF(Upgrades!$T$20="Roche Lobe Overflow",POWER(Upgrades!$U$20,L301),1)*IF(Upgrades!$T$21="Roche Lobe Overflow",POWER(Upgrades!$U$21,M301),1))+(IF(I301=0,0,(Upgrades!$J$17+I301*Upgrades!$K$17)*POWER(Upgrades!$L$17,I301)))*(IF(Upgrades!$T$13="Brown Dwarf",POWER(Upgrades!$U$13,E301),1)*IF(Upgrades!$T$14="Brown Dwarf",POWER(Upgrades!$U$14,F301),1)*IF(Upgrades!$T$15="Brown Dwarf",POWER(Upgrades!$U$15,G301),1)*IF(Upgrades!$T$16="Brown Dwarf",POWER(Upgrades!$U$16,H301),1)*IF(Upgrades!$T$18="Brown Dwarf",POWER(Upgrades!$U$18,J301),1)*IF(Upgrades!$T$19="Brown Dwarf",POWER(Upgrades!$U$19,K301),1)*IF(Upgrades!$T$20="Brown Dwarf",POWER(Upgrades!$U$20,L301),1)*IF(Upgrades!$T$21="Brown Dwarf",POWER(Upgrades!$U$21,M301),1))+(IF(J301=0,0,(Upgrades!$J$18+J301*Upgrades!$K$18)*POWER(Upgrades!$L$18,J301)))*(IF(Upgrades!$T$13="Binary Partner",POWER(Upgrades!$U$13,E301),1)*IF(Upgrades!$T$14="Binary Partner",POWER(Upgrades!$U$14,F301),1)*IF(Upgrades!$T$15="Binary Partner",POWER(Upgrades!$U$15,G301),1)*IF(Upgrades!$T$16="Binary Partner",POWER(Upgrades!$U$16,H301),1)*IF(Upgrades!$T$17="Binary Partner",POWER(Upgrades!$U$17,I301),1)*IF(Upgrades!$T$19="Binary Partner",POWER(Upgrades!$U$19,K301),1)*IF(Upgrades!$T$20="Binary Partner",POWER(Upgrades!$U$20,L301),1)*IF(Upgrades!$T$21="Binary Partner",POWER(Upgrades!$U$21,M301),1))+(IF(K301=0,0,(Upgrades!$J$19+K301*Upgrades!$K$19)*POWER(Upgrades!$L$19,K301)))*(IF(Upgrades!$T$13="Peculiar Velocity",POWER(Upgrades!$U$13,E301),1)*IF(Upgrades!$T$14="Peculiar Velocity",POWER(Upgrades!$U$14,F301),1)*IF(Upgrades!$T$15="Peculiar Velocity",POWER(Upgrades!$U$15,G301),1)*IF(Upgrades!$T$16="Peculiar Velocity",POWER(Upgrades!$U$16,H301),1)*IF(Upgrades!$T$17="Peculiar Velocity",POWER(Upgrades!$U$17,I301),1)*IF(Upgrades!$T$18="Peculiar Velocity",POWER(Upgrades!$U$18,J301),1)*IF(Upgrades!$T$20="Peculiar Velocity",POWER(Upgrades!$U$20,L301),1)*IF(Upgrades!$T$21="Peculiar Velocity",POWER(Upgrades!$U$21,M301),1))+(IF(L301=0,0,(Upgrades!$J$20+L301*Upgrades!$K$20)*POWER(Upgrades!$L$20,L301)))*(IF(Upgrades!$T$13="Open Cluster",POWER(Upgrades!$U$13,E301),1)*IF(Upgrades!$T$14="Open Cluster",POWER(Upgrades!$U$14,F301),1)*IF(Upgrades!$T$15="Open Cluster",POWER(Upgrades!$U$15,G301),1)*IF(Upgrades!$T$16="Open Cluster",POWER(Upgrades!$U$16,H301),1)*IF(Upgrades!$T$17="Open Cluster",POWER(Upgrades!$U$17,I301),1)*IF(Upgrades!$T$18="Open Cluster",POWER(Upgrades!$U$18,J301),1)*IF(Upgrades!$T$19="Open Cluster",POWER(Upgrades!$U$19,K301),1)*IF(Upgrades!$T$21="Open Cluster",POWER(Upgrades!$U$21,M301),1))+(IF(M301=0,0,(Upgrades!$J$21+M301*Upgrades!$K$21)*POWER(Upgrades!$L$21,M301)))*(IF(Upgrades!$T$13="Moving Group",POWER(Upgrades!$U$13,E301),1)*IF(Upgrades!$T$14="Moving Group",POWER(Upgrades!$U$14,F301),1)*IF(Upgrades!$T$15="Moving Group",POWER(Upgrades!$U$15,G301),1)*IF(Upgrades!$T$16="Moving Group",POWER(Upgrades!$U$16,H301),1)*IF(Upgrades!$T$17="Moving Group",POWER(Upgrades!$U$17,I301),1)*IF(Upgrades!$T$18="Moving Group",POWER(Upgrades!$U$18,J301),1)*IF(Upgrades!$T$19="Moving Group",POWER(Upgrades!$U$19,K301),1)*IF(Upgrades!$T$20="Moving Group",POWER(Upgrades!$U$20,L301),1)))*POWER(Upgrades!$Q$13,E301)*POWER(Upgrades!$Q$14,F301)*POWER(Upgrades!$Q$15,G301)*POWER(Upgrades!$Q$16,H301)*POWER(Upgrades!$Q$17,I301)*POWER(Upgrades!$Q$18,J301)*POWER(Upgrades!$Q$19,K301)*POWER(Upgrades!$Q$20,L301)*POWER(Upgrades!$Q$21,M301)*$G$6+$D$6</f>
        <v/>
      </c>
      <c r="P301" s="28">
        <f>((IF(E301=0,0,(Upgrades!$G$13+E301*Upgrades!$H$13)*POWER(Upgrades!$I$13,E301)))*(IF(Upgrades!$T$14="Stellar Kinematics",POWER(Upgrades!$U$14,F301),1)*IF(Upgrades!$T$15="Stellar Kinematics",POWER(Upgrades!$U$15,G301),1)*IF(Upgrades!$T$16="Stellar Kinematics",POWER(Upgrades!$U$16,H301),1)*IF(Upgrades!$T$17="Stellar Kinematics",POWER(Upgrades!$U$17,I301),1)*IF(Upgrades!$T$18="Stellar Kinematics",POWER(Upgrades!$U$18,J301),1)*IF(Upgrades!$T$19="Stellar Kinematics",POWER(Upgrades!$U$19,K301),1)*IF(Upgrades!$T$20="Stellar Kinematics",POWER(Upgrades!$U$20,L301),1)*IF(Upgrades!$T$21="Stellar Kinematics",POWER(Upgrades!$U$21,M301),1))+(IF(F301=0,0,(Upgrades!$G$14+F301*Upgrades!$H$14)*POWER(Upgrades!$I$14,F301)))*(IF(Upgrades!$T$13="Local Bubble",POWER(Upgrades!$U$13,E301),1)*IF(Upgrades!$T$15="Local Bubble",POWER(Upgrades!$U$15,G301),1)*IF(Upgrades!$T$16="Local Bubble",POWER(Upgrades!$U$16,H301),1)*IF(Upgrades!$T$17="Local Bubble",POWER(Upgrades!$U$17,I301),1)*IF(Upgrades!$T$18="Local Bubble",POWER(Upgrades!$U$18,J301),1)*IF(Upgrades!$T$19="Local Bubble",POWER(Upgrades!$U$19,K301),1)*IF(Upgrades!$T$20="Local Bubble",POWER(Upgrades!$U$20,L301),1)*IF(Upgrades!$T$21="Local Bubble",POWER(Upgrades!$U$21,M301),1))+(IF(G301=0,0,(Upgrades!$G$15+G301*Upgrades!$H$15)*POWER(Upgrades!$I$15,G301)))*(IF(Upgrades!$T$13="Microlensing",POWER(Upgrades!$U$13,E301),1)*IF(Upgrades!$T$14="Microlensing",POWER(Upgrades!$U$14,F301),1)*IF(Upgrades!$T$16="Microlensing",POWER(Upgrades!$U$16,H301),1)*IF(Upgrades!$T$17="Microlensing",POWER(Upgrades!$U$17,I301),1)*IF(Upgrades!$T$18="Microlensing",POWER(Upgrades!$U$18,J301),1)*IF(Upgrades!$T$19="Microlensing",POWER(Upgrades!$U$19,K301),1)*IF(Upgrades!$T$20="Microlensing",POWER(Upgrades!$U$20,L301),1)*IF(Upgrades!$T$21="Microlensing",POWER(Upgrades!$U$21,M301),1))+(IF(H301=0,0,(Upgrades!$G$16+H301*Upgrades!$H$16)*POWER(Upgrades!$I$16,H301)))*(IF(Upgrades!$T$13="Roche Lobe Overflow",POWER(Upgrades!$U$13,E301),1)*IF(Upgrades!$T$14="Roche Lobe Overflow",POWER(Upgrades!$U$14,F301),1)*IF(Upgrades!$T$15="Roche Lobe Overflow",POWER(Upgrades!$U$15,G301),1)*IF(Upgrades!$T$17="Roche Lobe Overflow",POWER(Upgrades!$U$17,I301),1)*IF(Upgrades!$T$18="Roche Lobe Overflow",POWER(Upgrades!$U$18,J301),1)*IF(Upgrades!$T$19="Roche Lobe Overflow",POWER(Upgrades!$U$19,K301),1)*IF(Upgrades!$T$20="Roche Lobe Overflow",POWER(Upgrades!$U$20,L301),1)*IF(Upgrades!$T$21="Roche Lobe Overflow",POWER(Upgrades!$U$21,M301),1))+(IF(I301=0,0,(Upgrades!$G$17+I301*Upgrades!$H$17)*POWER(Upgrades!$I$17,I301)))*(IF(Upgrades!$T$13="Brown Dwarf",POWER(Upgrades!$U$13,E301),1)*IF(Upgrades!$T$14="Brown Dwarf",POWER(Upgrades!$U$14,F301),1)*IF(Upgrades!$T$15="Brown Dwarf",POWER(Upgrades!$U$15,G301),1)*IF(Upgrades!$T$16="Brown Dwarf",POWER(Upgrades!$U$16,H301),1)*IF(Upgrades!$T$18="Brown Dwarf",POWER(Upgrades!$U$18,J301),1)*IF(Upgrades!$T$19="Brown Dwarf",POWER(Upgrades!$U$19,K301),1)*IF(Upgrades!$T$20="Brown Dwarf",POWER(Upgrades!$U$20,L301),1)*IF(Upgrades!$T$21="Brown Dwarf",POWER(Upgrades!$U$21,M301),1))+(IF(J301=0,0,(Upgrades!$G$18+J301*Upgrades!$H$18)*POWER(Upgrades!$I$18,J301)))*(IF(Upgrades!$T$13="Binary Partner",POWER(Upgrades!$U$13,E301),1)*IF(Upgrades!$T$14="Binary Partner",POWER(Upgrades!$U$14,F301),1)*IF(Upgrades!$T$15="Binary Partner",POWER(Upgrades!$U$15,G301),1)*IF(Upgrades!$T$16="Binary Partner",POWER(Upgrades!$U$16,H301),1)*IF(Upgrades!$T$17="Binary Partner",POWER(Upgrades!$U$17,I301),1)*IF(Upgrades!$T$19="Binary Partner",POWER(Upgrades!$U$19,K301),1)*IF(Upgrades!$T$20="Binary Partner",POWER(Upgrades!$U$20,L301),1)*IF(Upgrades!$T$21="Binary Partner",POWER(Upgrades!$U$21,M301),1))+(IF(K301=0,0,(Upgrades!$G$19+K301*Upgrades!$H$19)*POWER(Upgrades!$I$19,K301)))*(IF(Upgrades!$T$13="Peculiar Velocity",POWER(Upgrades!$U$13,E301),1)*IF(Upgrades!$T$14="Peculiar Velocity",POWER(Upgrades!$U$14,F301),1)*IF(Upgrades!$T$15="Peculiar Velocity",POWER(Upgrades!$U$15,G301),1)*IF(Upgrades!$T$16="Peculiar Velocity",POWER(Upgrades!$U$16,H301),1)*IF(Upgrades!$T$17="Peculiar Velocity",POWER(Upgrades!$U$17,I301),1)*IF(Upgrades!$T$18="Peculiar Velocity",POWER(Upgrades!$U$18,J301),1)*IF(Upgrades!$T$20="Peculiar Velocity",POWER(Upgrades!$U$20,L301),1)*IF(Upgrades!$T$21="Peculiar Velocity",POWER(Upgrades!$U$21,M301),1))+(IF(L301=0,0,(Upgrades!$G$20+L301*Upgrades!$H$20)*POWER(Upgrades!$I$20,L301)))*(IF(Upgrades!$T$13="Open Cluster",POWER(Upgrades!$U$13,E301),1)*IF(Upgrades!$T$14="Open Cluster",POWER(Upgrades!$U$14,F301),1)*IF(Upgrades!$T$15="Open Cluster",POWER(Upgrades!$U$15,G301),1)*IF(Upgrades!$T$16="Open Cluster",POWER(Upgrades!$U$16,H301),1)*IF(Upgrades!$T$17="Open Cluster",POWER(Upgrades!$U$17,I301),1)*IF(Upgrades!$T$18="Open Cluster",POWER(Upgrades!$U$18,J301),1)*IF(Upgrades!$T$19="Open Cluster",POWER(Upgrades!$U$19,K301),1)*IF(Upgrades!$T$21="Open Cluster",POWER(Upgrades!$U$21,M301),1))+(IF(M301=0,0,(Upgrades!$G$21+M301*Upgrades!$H$21)*POWER(Upgrades!$I$21,M301)))*(IF(Upgrades!$T$13="Moving Group",POWER(Upgrades!$U$13,E301),1)*IF(Upgrades!$T$14="Moving Group",POWER(Upgrades!$U$14,F301),1)*IF(Upgrades!$T$15="Moving Group",POWER(Upgrades!$U$15,G301),1)*IF(Upgrades!$T$16="Moving Group",POWER(Upgrades!$U$16,H301),1)*IF(Upgrades!$T$17="Moving Group",POWER(Upgrades!$U$17,I301),1)*IF(Upgrades!$T$18="Moving Group",POWER(Upgrades!$U$18,J301),1)*IF(Upgrades!$T$19="Moving Group",POWER(Upgrades!$U$19,K301),1)*IF(Upgrades!$T$20="Moving Group",POWER(Upgrades!$U$20,L301),1)))*POWER(Upgrades!$P$13,E301)*POWER(Upgrades!$P$14,F301)*POWER(Upgrades!$P$15,G301)*POWER(Upgrades!$P$16,H301)*POWER(Upgrades!$P$17,I301)*POWER(Upgrades!$P$18,J301)*POWER(Upgrades!$P$19,K301)*POWER(Upgrades!$P$20,L301)*POWER(Upgrades!$P$21,M301)*$F$6+$C$6</f>
        <v/>
      </c>
      <c r="Q301" s="28">
        <f>((IF(E301=0,0,(Upgrades!$M$13+E301*Upgrades!$N$13)*POWER(Upgrades!$O$13,E301)))*(IF(Upgrades!$T$14="Stellar Kinematics",POWER(Upgrades!$U$14,F301),1)*IF(Upgrades!$T$15="Stellar Kinematics",POWER(Upgrades!$U$15,G301),1)*IF(Upgrades!$T$16="Stellar Kinematics",POWER(Upgrades!$U$16,H301),1)*IF(Upgrades!$T$17="Stellar Kinematics",POWER(Upgrades!$U$17,I301),1)*IF(Upgrades!$T$18="Stellar Kinematics",POWER(Upgrades!$U$18,J301),1)*IF(Upgrades!$T$19="Stellar Kinematics",POWER(Upgrades!$U$19,K301),1)*IF(Upgrades!$T$20="Stellar Kinematics",POWER(Upgrades!$U$20,L301),1)*IF(Upgrades!$T$21="Stellar Kinematics",POWER(Upgrades!$U$21,M301),1))+(IF(F301=0,0,(Upgrades!$M$14+F301*Upgrades!$N$14)*POWER(Upgrades!$O$14,F301)))*(IF(Upgrades!$T$13="Local Bubble",POWER(Upgrades!$U$13,E301),1)*IF(Upgrades!$T$15="Local Bubble",POWER(Upgrades!$U$15,G301),1)*IF(Upgrades!$T$16="Local Bubble",POWER(Upgrades!$U$16,H301),1)*IF(Upgrades!$T$17="Local Bubble",POWER(Upgrades!$U$17,I301),1)*IF(Upgrades!$T$18="Local Bubble",POWER(Upgrades!$U$18,J301),1)*IF(Upgrades!$T$19="Local Bubble",POWER(Upgrades!$U$19,K301),1)*IF(Upgrades!$T$20="Local Bubble",POWER(Upgrades!$U$20,L301),1)*IF(Upgrades!$T$21="Local Bubble",POWER(Upgrades!$U$21,M301),1))+(IF(G301=0,0,(Upgrades!$M$15+G301*Upgrades!$N$15)*POWER(Upgrades!$O$15,G301)))*(IF(Upgrades!$T$13="Microlensing",POWER(Upgrades!$U$13,E301),1)*IF(Upgrades!$T$14="Microlensing",POWER(Upgrades!$U$14,F301),1)*IF(Upgrades!$T$16="Microlensing",POWER(Upgrades!$U$16,H301),1)*IF(Upgrades!$T$17="Microlensing",POWER(Upgrades!$U$17,I301),1)*IF(Upgrades!$T$18="Microlensing",POWER(Upgrades!$U$18,J301),1)*IF(Upgrades!$T$19="Microlensing",POWER(Upgrades!$U$19,K301),1)*IF(Upgrades!$T$20="Microlensing",POWER(Upgrades!$U$20,L301),1)*IF(Upgrades!$T$21="Microlensing",POWER(Upgrades!$U$21,M301),1))+(IF(H301=0,0,(Upgrades!$M$16+H301*Upgrades!$N$16)*POWER(Upgrades!$O$16,H301)))*(IF(Upgrades!$T$13="Roche Lobe Overflow",POWER(Upgrades!$U$13,E301),1)*IF(Upgrades!$T$14="Roche Lobe Overflow",POWER(Upgrades!$U$14,F301),1)*IF(Upgrades!$T$15="Roche Lobe Overflow",POWER(Upgrades!$U$15,G301),1)*IF(Upgrades!$T$17="Roche Lobe Overflow",POWER(Upgrades!$U$17,I301),1)*IF(Upgrades!$T$18="Roche Lobe Overflow",POWER(Upgrades!$U$18,J301),1)*IF(Upgrades!$T$19="Roche Lobe Overflow",POWER(Upgrades!$U$19,K301),1)*IF(Upgrades!$T$20="Roche Lobe Overflow",POWER(Upgrades!$U$20,L301),1)*IF(Upgrades!$T$21="Roche Lobe Overflow",POWER(Upgrades!$U$21,M301),1))+(IF(I301=0,0,(Upgrades!$M$17+I301*Upgrades!$N$17)*POWER(Upgrades!$O$17,I301)))*(IF(Upgrades!$T$13="Brown Dwarf",POWER(Upgrades!$U$13,E301),1)*IF(Upgrades!$T$14="Brown Dwarf",POWER(Upgrades!$U$14,F301),1)*IF(Upgrades!$T$15="Brown Dwarf",POWER(Upgrades!$U$15,G301),1)*IF(Upgrades!$T$16="Brown Dwarf",POWER(Upgrades!$U$16,H301),1)*IF(Upgrades!$T$18="Brown Dwarf",POWER(Upgrades!$U$18,J301),1)*IF(Upgrades!$T$19="Brown Dwarf",POWER(Upgrades!$U$19,K301),1)*IF(Upgrades!$T$20="Brown Dwarf",POWER(Upgrades!$U$20,L301),1)*IF(Upgrades!$T$21="Brown Dwarf",POWER(Upgrades!$U$21,M301),1))+(IF(J301=0,0,(Upgrades!$M$18+J301*Upgrades!$N$18)*POWER(Upgrades!$O$18,J301)))*(IF(Upgrades!$T$13="Binary Partner",POWER(Upgrades!$U$13,E301),1)*IF(Upgrades!$T$14="Binary Partner",POWER(Upgrades!$U$14,F301),1)*IF(Upgrades!$T$15="Binary Partner",POWER(Upgrades!$U$15,G301),1)*IF(Upgrades!$T$16="Binary Partner",POWER(Upgrades!$U$16,H301),1)*IF(Upgrades!$T$17="Binary Partner",POWER(Upgrades!$U$17,I301),1)*IF(Upgrades!$T$19="Binary Partner",POWER(Upgrades!$U$19,K301),1)*IF(Upgrades!$T$20="Binary Partner",POWER(Upgrades!$U$20,L301),1)*IF(Upgrades!$T$21="Binary Partner",POWER(Upgrades!$U$21,M301),1))+(IF(K301=0,0,(Upgrades!$M$19+K301*Upgrades!$N$19)*POWER(Upgrades!$O$19,K301)))*(IF(Upgrades!$T$13="Peculiar Velocity",POWER(Upgrades!$U$13,E301),1)*IF(Upgrades!$T$14="Peculiar Velocity",POWER(Upgrades!$U$14,F301),1)*IF(Upgrades!$T$15="Peculiar Velocity",POWER(Upgrades!$U$15,G301),1)*IF(Upgrades!$T$16="Peculiar Velocity",POWER(Upgrades!$U$16,H301),1)*IF(Upgrades!$T$17="Peculiar Velocity",POWER(Upgrades!$U$17,I301),1)*IF(Upgrades!$T$18="Peculiar Velocity",POWER(Upgrades!$U$18,J301),1)*IF(Upgrades!$T$20="Peculiar Velocity",POWER(Upgrades!$U$20,L301),1)*IF(Upgrades!$T$21="Peculiar Velocity",POWER(Upgrades!$U$21,M301),1))+(IF(L301=0,0,(Upgrades!$M$20+L301*Upgrades!$N$20)*POWER(Upgrades!$O$20,L301)))*(IF(Upgrades!$T$13="Open Cluster",POWER(Upgrades!$U$13,E301),1)*IF(Upgrades!$T$14="Open Cluster",POWER(Upgrades!$U$14,F301),1)*IF(Upgrades!$T$15="Open Cluster",POWER(Upgrades!$U$15,G301),1)*IF(Upgrades!$T$16="Open Cluster",POWER(Upgrades!$U$16,H301),1)*IF(Upgrades!$T$17="Open Cluster",POWER(Upgrades!$U$17,I301),1)*IF(Upgrades!$T$18="Open Cluster",POWER(Upgrades!$U$18,J301),1)*IF(Upgrades!$T$19="Open Cluster",POWER(Upgrades!$U$19,K301),1)*IF(Upgrades!$T$21="Open Cluster",POWER(Upgrades!$U$21,M301),1))+(IF(M301=0,0,(Upgrades!$M$21+M301*Upgrades!$N$21)*POWER(Upgrades!$O$21,M301)))*(IF(Upgrades!$T$13="Moving Group",POWER(Upgrades!$U$13,E301),1)*IF(Upgrades!$T$14="Moving Group",POWER(Upgrades!$U$14,F301),1)*IF(Upgrades!$T$15="Moving Group",POWER(Upgrades!$U$15,G301),1)*IF(Upgrades!$T$16="Moving Group",POWER(Upgrades!$U$16,H301),1)*IF(Upgrades!$T$17="Moving Group",POWER(Upgrades!$U$17,I301),1)*IF(Upgrades!$T$18="Moving Group",POWER(Upgrades!$U$18,J301),1)*IF(Upgrades!$T$19="Moving Group",POWER(Upgrades!$U$19,K301),1)*IF(Upgrades!$T$20="Moving Group",POWER(Upgrades!$U$20,L301),1)))*POWER(Upgrades!$R$13,E301)*POWER(Upgrades!$R$14,F301)*POWER(Upgrades!$R$15,G301)*POWER(Upgrades!$R$16,H301)*POWER(Upgrades!$R$17,I301)*POWER(Upgrades!$R$18,J301)*POWER(Upgrades!$R$19,K301)*POWER(Upgrades!$R$20,L301)*POWER(Upgrades!$R$21,M301)*$H$6+$E$6</f>
        <v/>
      </c>
      <c r="R301" s="27">
        <f>IF(N301=1,0,O301*Parameters!$B$10/60*Parameters!$B$11*10)</f>
        <v/>
      </c>
      <c r="S301" s="27">
        <f>IF(N301=1,0,Q301*O301*10)</f>
        <v/>
      </c>
      <c r="T301" s="27">
        <f>IF(N301=1,0,R301+S301+P301*10)</f>
        <v/>
      </c>
      <c r="U301" s="33">
        <f>BE301</f>
        <v/>
      </c>
      <c r="V301" s="22">
        <f>IF(U301="",0,IF(U301="transition",0,IF(U301="SK",AK301,IF(U301="LB",AL301,IF(U301="ML",AM301,IF(U301="RLO",AN301,IF(U301="BD",AO301,IF(U301="BiP",AP301,IF(U301="PV",AQ301,IF(U301="OC",AR301,IF(U301="MG",AS301,0))))))))))</f>
        <v/>
      </c>
      <c r="W301" s="27">
        <f>IF(U301="BiP",Upgrades!$F$18,IF(U301="PV",Upgrades!$F$19,IF(U301="OC",Upgrades!$F$20,IF(U301="MG",Upgrades!$F$21,IF(U301="transition",-Parameters!$B$18*Parameters!$B$19,0)))))</f>
        <v/>
      </c>
      <c r="X301" s="22">
        <f>C301+T301-V301</f>
        <v/>
      </c>
      <c r="Y301" s="30">
        <f>O301*Parameters!$B$10/60*Parameters!$B$11+Q301*O301+P301</f>
        <v/>
      </c>
      <c r="Z301" s="34">
        <f>IF(U301="transition","→ Tier 3 (Galactic Arm)",IF(U301="MG","Moving Group — pocket drifts together",IF(U301="OC","Open Cluster acquired",IF(U301="PV","Peculiar Velocity — passive multiplier active",IF(U301="BiP","Binary Partner — pair bond formed",IF(AND(AU301=1,N301=0,AT301&lt;&gt;1),"Cohesion ready (waiting on completionists)","")))))) </f>
        <v/>
      </c>
      <c r="AA301" s="27">
        <f>(IF(E301=0,0,(Upgrades!$G$13+E301*Upgrades!$H$13)*POWER(Upgrades!$I$13,E301)))*(IF(Upgrades!$T$14="Stellar Kinematics",POWER(Upgrades!$U$14,F301),1)*IF(Upgrades!$T$15="Stellar Kinematics",POWER(Upgrades!$U$15,G301),1)*IF(Upgrades!$T$16="Stellar Kinematics",POWER(Upgrades!$U$16,H301),1)*IF(Upgrades!$T$17="Stellar Kinematics",POWER(Upgrades!$U$17,I301),1)*IF(Upgrades!$T$18="Stellar Kinematics",POWER(Upgrades!$U$18,J301),1)*IF(Upgrades!$T$19="Stellar Kinematics",POWER(Upgrades!$U$19,K301),1)*IF(Upgrades!$T$20="Stellar Kinematics",POWER(Upgrades!$U$20,L301),1)*IF(Upgrades!$T$21="Stellar Kinematics",POWER(Upgrades!$U$21,M301),1))*POWER(Upgrades!$P$13,E301)*POWER(Upgrades!$P$14,F301)*POWER(Upgrades!$P$15,G301)*POWER(Upgrades!$P$16,H301)*POWER(Upgrades!$P$17,I301)*POWER(Upgrades!$P$18,J301)*POWER(Upgrades!$P$19,K301)*POWER(Upgrades!$P$20,L301)*POWER(Upgrades!$P$21,M301)*$F$6*60</f>
        <v/>
      </c>
      <c r="AB301" s="27">
        <f>(IF(F301=0,0,(Upgrades!$G$14+F301*Upgrades!$H$14)*POWER(Upgrades!$I$14,F301)))*(IF(Upgrades!$T$13="Local Bubble",POWER(Upgrades!$U$13,E301),1)*IF(Upgrades!$T$15="Local Bubble",POWER(Upgrades!$U$15,G301),1)*IF(Upgrades!$T$16="Local Bubble",POWER(Upgrades!$U$16,H301),1)*IF(Upgrades!$T$17="Local Bubble",POWER(Upgrades!$U$17,I301),1)*IF(Upgrades!$T$18="Local Bubble",POWER(Upgrades!$U$18,J301),1)*IF(Upgrades!$T$19="Local Bubble",POWER(Upgrades!$U$19,K301),1)*IF(Upgrades!$T$20="Local Bubble",POWER(Upgrades!$U$20,L301),1)*IF(Upgrades!$T$21="Local Bubble",POWER(Upgrades!$U$21,M301),1))*POWER(Upgrades!$P$13,E301)*POWER(Upgrades!$P$14,F301)*POWER(Upgrades!$P$15,G301)*POWER(Upgrades!$P$16,H301)*POWER(Upgrades!$P$17,I301)*POWER(Upgrades!$P$18,J301)*POWER(Upgrades!$P$19,K301)*POWER(Upgrades!$P$20,L301)*POWER(Upgrades!$P$21,M301)*$F$6*60</f>
        <v/>
      </c>
      <c r="AC301" s="27">
        <f>(IF(G301=0,0,(Upgrades!$J$15+G301*Upgrades!$K$15)*POWER(Upgrades!$L$15,G301)))*(IF(Upgrades!$T$13="Microlensing",POWER(Upgrades!$U$13,E301),1)*IF(Upgrades!$T$14="Microlensing",POWER(Upgrades!$U$14,F301),1)*IF(Upgrades!$T$16="Microlensing",POWER(Upgrades!$U$16,H301),1)*IF(Upgrades!$T$17="Microlensing",POWER(Upgrades!$U$17,I301),1)*IF(Upgrades!$T$18="Microlensing",POWER(Upgrades!$U$18,J301),1)*IF(Upgrades!$T$19="Microlensing",POWER(Upgrades!$U$19,K301),1)*IF(Upgrades!$T$20="Microlensing",POWER(Upgrades!$U$20,L301),1)*IF(Upgrades!$T$21="Microlensing",POWER(Upgrades!$U$21,M301),1))*POWER(Upgrades!$Q$13,E301)*POWER(Upgrades!$Q$14,F301)*POWER(Upgrades!$Q$15,G301)*POWER(Upgrades!$Q$16,H301)*POWER(Upgrades!$Q$17,I301)*POWER(Upgrades!$Q$18,J301)*POWER(Upgrades!$Q$19,K301)*POWER(Upgrades!$Q$20,L301)*POWER(Upgrades!$Q$21,M301)*$G$6*(Parameters!$B$10*Parameters!$B$11+Q301*60)</f>
        <v/>
      </c>
      <c r="AD301" s="27">
        <f>(IF(H301=0,0,(Upgrades!$M$16+H301*Upgrades!$N$16)*POWER(Upgrades!$O$16,H301)))*(IF(Upgrades!$T$13="Roche Lobe Overflow",POWER(Upgrades!$U$13,E301),1)*IF(Upgrades!$T$14="Roche Lobe Overflow",POWER(Upgrades!$U$14,F301),1)*IF(Upgrades!$T$15="Roche Lobe Overflow",POWER(Upgrades!$U$15,G301),1)*IF(Upgrades!$T$17="Roche Lobe Overflow",POWER(Upgrades!$U$17,I301),1)*IF(Upgrades!$T$18="Roche Lobe Overflow",POWER(Upgrades!$U$18,J301),1)*IF(Upgrades!$T$19="Roche Lobe Overflow",POWER(Upgrades!$U$19,K301),1)*IF(Upgrades!$T$20="Roche Lobe Overflow",POWER(Upgrades!$U$20,L301),1)*IF(Upgrades!$T$21="Roche Lobe Overflow",POWER(Upgrades!$U$21,M301),1))*POWER(Upgrades!$R$13,E301)*POWER(Upgrades!$R$14,F301)*POWER(Upgrades!$R$15,G301)*POWER(Upgrades!$R$16,H301)*POWER(Upgrades!$R$17,I301)*POWER(Upgrades!$R$18,J301)*POWER(Upgrades!$R$19,K301)*POWER(Upgrades!$R$20,L301)*POWER(Upgrades!$R$21,M301)*$H$6*O301*60</f>
        <v/>
      </c>
      <c r="AE301" s="27">
        <f>(IF(I301=0,0,(Upgrades!$G$17+I301*Upgrades!$H$17)*POWER(Upgrades!$I$17,I301)))*(IF(Upgrades!$T$13="Brown Dwarf",POWER(Upgrades!$U$13,E301),1)*IF(Upgrades!$T$14="Brown Dwarf",POWER(Upgrades!$U$14,F301),1)*IF(Upgrades!$T$15="Brown Dwarf",POWER(Upgrades!$U$15,G301),1)*IF(Upgrades!$T$16="Brown Dwarf",POWER(Upgrades!$U$16,H301),1)*IF(Upgrades!$T$18="Brown Dwarf",POWER(Upgrades!$U$18,J301),1)*IF(Upgrades!$T$19="Brown Dwarf",POWER(Upgrades!$U$19,K301),1)*IF(Upgrades!$T$20="Brown Dwarf",POWER(Upgrades!$U$20,L301),1)*IF(Upgrades!$T$21="Brown Dwarf",POWER(Upgrades!$U$21,M301),1))*POWER(Upgrades!$P$13,E301)*POWER(Upgrades!$P$14,F301)*POWER(Upgrades!$P$15,G301)*POWER(Upgrades!$P$16,H301)*POWER(Upgrades!$P$17,I301)*POWER(Upgrades!$P$18,J301)*POWER(Upgrades!$P$19,K301)*POWER(Upgrades!$P$20,L301)*POWER(Upgrades!$P$21,M301)*$F$6*60</f>
        <v/>
      </c>
      <c r="AF301" s="27" t="n">
        <v>0</v>
      </c>
      <c r="AG301" s="27" t="n">
        <v>0</v>
      </c>
      <c r="AH301" s="27" t="n">
        <v>0</v>
      </c>
      <c r="AI301" s="27">
        <f>(IF(M301=0,0,(Upgrades!$G$21+M301*Upgrades!$H$21)*POWER(Upgrades!$I$21,M301)))*(IF(Upgrades!$T$13="Moving Group",POWER(Upgrades!$U$13,E301),1)*IF(Upgrades!$T$14="Moving Group",POWER(Upgrades!$U$14,F301),1)*IF(Upgrades!$T$15="Moving Group",POWER(Upgrades!$U$15,G301),1)*IF(Upgrades!$T$16="Moving Group",POWER(Upgrades!$U$16,H301),1)*IF(Upgrades!$T$17="Moving Group",POWER(Upgrades!$U$17,I301),1)*IF(Upgrades!$T$18="Moving Group",POWER(Upgrades!$U$18,J301),1)*IF(Upgrades!$T$19="Moving Group",POWER(Upgrades!$U$19,K301),1)*IF(Upgrades!$T$20="Moving Group",POWER(Upgrades!$U$20,L301),1))*POWER(Upgrades!$P$13,E301)*POWER(Upgrades!$P$14,F301)*POWER(Upgrades!$P$15,G301)*POWER(Upgrades!$P$16,H301)*POWER(Upgrades!$P$17,I301)*POWER(Upgrades!$P$18,J301)*POWER(Upgrades!$P$19,K301)*POWER(Upgrades!$P$20,L301)*POWER(Upgrades!$P$21,M301)*$F$6*60</f>
        <v/>
      </c>
      <c r="AJ301" s="27">
        <f>$C$6*60</f>
        <v/>
      </c>
      <c r="AK301" s="22">
        <f>IF(E301&gt;=Upgrades!$E$13,"",Upgrades!$C$13*POWER(Upgrades!$D$13,E301))</f>
        <v/>
      </c>
      <c r="AL301" s="22">
        <f>IF(F301&gt;=Upgrades!$E$14,"",Upgrades!$C$14*POWER(Upgrades!$D$14,F301))</f>
        <v/>
      </c>
      <c r="AM301" s="22">
        <f>IF(G301&gt;=Upgrades!$E$15,"",Upgrades!$C$15*POWER(Upgrades!$D$15,G301))</f>
        <v/>
      </c>
      <c r="AN301" s="22">
        <f>IF(H301&gt;=Upgrades!$E$16,"",Upgrades!$C$16*POWER(Upgrades!$D$16,H301))</f>
        <v/>
      </c>
      <c r="AO301" s="22">
        <f>IF(I301&gt;=Upgrades!$E$17,"",Upgrades!$C$17*POWER(Upgrades!$D$17,I301))</f>
        <v/>
      </c>
      <c r="AP301" s="22">
        <f>IF(J301&gt;=Upgrades!$E$18,"",Upgrades!$C$18*POWER(Upgrades!$D$18,J301))</f>
        <v/>
      </c>
      <c r="AQ301" s="22">
        <f>IF(K301&gt;=Upgrades!$E$19,"",Upgrades!$C$19*POWER(Upgrades!$D$19,K301))</f>
        <v/>
      </c>
      <c r="AR301" s="22">
        <f>IF(L301&gt;=Upgrades!$E$20,"",Upgrades!$C$20*POWER(Upgrades!$D$20,L301))</f>
        <v/>
      </c>
      <c r="AS301" s="22">
        <f>IF(M301&gt;=Upgrades!$E$21,"",Upgrades!$C$21*POWER(Upgrades!$D$21,M301))</f>
        <v/>
      </c>
      <c r="AT301" s="26">
        <f>IF(AND(D301&gt;=Parameters!$B$18*Parameters!$B$19,(I301&gt;=Upgrades!$E$17)*(M301&gt;=Upgrades!$E$21)=1,N301=0),1,"")</f>
        <v/>
      </c>
      <c r="AU301" s="26">
        <f>IF(AND(D301&gt;=Parameters!$B$18*Parameters!$B$19,N301=0),1,"")</f>
        <v/>
      </c>
      <c r="AV301" s="22">
        <f>MIN(IF(ISNUMBER(AP301),AP301,9E15),IF(ISNUMBER(AQ301),AQ301,9E15),IF(ISNUMBER(AR301),AR301,9E15),IF(ISNUMBER(AS301),AS301,9E15))</f>
        <v/>
      </c>
      <c r="AW301" s="22">
        <f>MIN(IF(ISNUMBER(AK301),AK301,9E15),IF(ISNUMBER(AL301),AL301,9E15),IF(ISNUMBER(AM301),AM301,9E15),IF(ISNUMBER(AN301),AN301,9E15),IF(ISNUMBER(AO301),AO301,9E15))</f>
        <v/>
      </c>
      <c r="AX301" s="29">
        <f>IF(BD301&gt;Parameters!$B$21*(MAX(IF(AND(NOT(AND(AU301=1,AT301&lt;&gt;1)),ISNUMBER(AK301),AK301&lt;=(C301+T301)),AY301,0),IF(AND(NOT(AND(AU301=1,AT301&lt;&gt;1)),ISNUMBER(AL301),AL301&lt;=(C301+T301)),AZ301,0),IF(AND(NOT(AND(AU301=1,AT301&lt;&gt;1)),ISNUMBER(AM301),AM301&lt;=(C301+T301)),BA301,0),IF(AND(NOT(AND(AU301=1,AT301&lt;&gt;1)),ISNUMBER(AN301),AN301&lt;=(C301+T301)),BB301,0),IF(AND(ISNUMBER(AO301),AO301&lt;=(C301+T301)),BC301,0))),TRUE,FALSE)</f>
        <v/>
      </c>
      <c r="AY301" s="32">
        <f>IFERROR(Upgrades!$H$13*(POWER(Upgrades!$P$13,E301)*POWER(Upgrades!$P$14,F301)*POWER(Upgrades!$P$15,G301)*POWER(Upgrades!$P$16,H301)*POWER(Upgrades!$P$17,I301)*POWER(Upgrades!$P$18,J301)*POWER(Upgrades!$P$19,K301)*POWER(Upgrades!$P$20,L301)*POWER(Upgrades!$P$21,M301))*(IF(Upgrades!$T$14="Stellar Kinematics",POWER(Upgrades!$U$14,F301),1)*IF(Upgrades!$T$15="Stellar Kinematics",POWER(Upgrades!$U$15,G301),1)*IF(Upgrades!$T$16="Stellar Kinematics",POWER(Upgrades!$U$16,H301),1)*IF(Upgrades!$T$17="Stellar Kinematics",POWER(Upgrades!$U$17,I301),1)*IF(Upgrades!$T$18="Stellar Kinematics",POWER(Upgrades!$U$18,J301),1)*IF(Upgrades!$T$19="Stellar Kinematics",POWER(Upgrades!$U$19,K301),1)*IF(Upgrades!$T$20="Stellar Kinematics",POWER(Upgrades!$U$20,L301),1)*IF(Upgrades!$T$21="Stellar Kinematics",POWER(Upgrades!$U$21,M301),1))*$F$6/AK301,0)</f>
        <v/>
      </c>
      <c r="AZ301" s="32">
        <f>IFERROR(Upgrades!$H$14*(POWER(Upgrades!$P$13,E301)*POWER(Upgrades!$P$14,F301)*POWER(Upgrades!$P$15,G301)*POWER(Upgrades!$P$16,H301)*POWER(Upgrades!$P$17,I301)*POWER(Upgrades!$P$18,J301)*POWER(Upgrades!$P$19,K301)*POWER(Upgrades!$P$20,L301)*POWER(Upgrades!$P$21,M301))*(IF(Upgrades!$T$13="Local Bubble",POWER(Upgrades!$U$13,E301),1)*IF(Upgrades!$T$15="Local Bubble",POWER(Upgrades!$U$15,G301),1)*IF(Upgrades!$T$16="Local Bubble",POWER(Upgrades!$U$16,H301),1)*IF(Upgrades!$T$17="Local Bubble",POWER(Upgrades!$U$17,I301),1)*IF(Upgrades!$T$18="Local Bubble",POWER(Upgrades!$U$18,J301),1)*IF(Upgrades!$T$19="Local Bubble",POWER(Upgrades!$U$19,K301),1)*IF(Upgrades!$T$20="Local Bubble",POWER(Upgrades!$U$20,L301),1)*IF(Upgrades!$T$21="Local Bubble",POWER(Upgrades!$U$21,M301),1))*$F$6/AL301,0)</f>
        <v/>
      </c>
      <c r="BA301" s="32">
        <f>IFERROR(Upgrades!$K$15*(POWER(Upgrades!$Q$13,E301)*POWER(Upgrades!$Q$14,F301)*POWER(Upgrades!$Q$15,G301)*POWER(Upgrades!$Q$16,H301)*POWER(Upgrades!$Q$17,I301)*POWER(Upgrades!$Q$18,J301)*POWER(Upgrades!$Q$19,K301)*POWER(Upgrades!$Q$20,L301)*POWER(Upgrades!$Q$21,M301))*(IF(Upgrades!$T$13="Microlensing",POWER(Upgrades!$U$13,E301),1)*IF(Upgrades!$T$14="Microlensing",POWER(Upgrades!$U$14,F301),1)*IF(Upgrades!$T$16="Microlensing",POWER(Upgrades!$U$16,H301),1)*IF(Upgrades!$T$17="Microlensing",POWER(Upgrades!$U$17,I301),1)*IF(Upgrades!$T$18="Microlensing",POWER(Upgrades!$U$18,J301),1)*IF(Upgrades!$T$19="Microlensing",POWER(Upgrades!$U$19,K301),1)*IF(Upgrades!$T$20="Microlensing",POWER(Upgrades!$U$20,L301),1)*IF(Upgrades!$T$21="Microlensing",POWER(Upgrades!$U$21,M301),1))*$G$6*(Parameters!$B$10/60*Parameters!$B$11+Q301)/AM301,0)</f>
        <v/>
      </c>
      <c r="BB301" s="32">
        <f>IFERROR((Upgrades!$N$16*(POWER(Upgrades!$R$13,E301)*POWER(Upgrades!$R$14,F301)*POWER(Upgrades!$R$15,G301)*POWER(Upgrades!$R$16,H301)*POWER(Upgrades!$R$17,I301)*POWER(Upgrades!$R$18,J301)*POWER(Upgrades!$R$19,K301)*POWER(Upgrades!$R$20,L301)*POWER(Upgrades!$R$21,M301))*(IF(Upgrades!$T$13="Roche Lobe Overflow",POWER(Upgrades!$U$13,E301),1)*IF(Upgrades!$T$14="Roche Lobe Overflow",POWER(Upgrades!$U$14,F301),1)*IF(Upgrades!$T$15="Roche Lobe Overflow",POWER(Upgrades!$U$15,G301),1)*IF(Upgrades!$T$17="Roche Lobe Overflow",POWER(Upgrades!$U$17,I301),1)*IF(Upgrades!$T$18="Roche Lobe Overflow",POWER(Upgrades!$U$18,J301),1)*IF(Upgrades!$T$19="Roche Lobe Overflow",POWER(Upgrades!$U$19,K301),1)*IF(Upgrades!$T$20="Roche Lobe Overflow",POWER(Upgrades!$U$20,L301),1)*IF(Upgrades!$T$21="Roche Lobe Overflow",POWER(Upgrades!$U$21,M301),1))*$H$6*O301+((IF(F301=0,0,(Upgrades!$G$14+F301*Upgrades!$H$14)*POWER(Upgrades!$I$14,F301)))*(IF(Upgrades!$T$13="Local Bubble",POWER(Upgrades!$U$13,E301),1)*IF(Upgrades!$T$15="Local Bubble",POWER(Upgrades!$U$15,G301),1)*IF(Upgrades!$T$16="Local Bubble",POWER(Upgrades!$U$16,H301),1)*IF(Upgrades!$T$17="Local Bubble",POWER(Upgrades!$U$17,I301),1)*IF(Upgrades!$T$18="Local Bubble",POWER(Upgrades!$U$18,J301),1)*IF(Upgrades!$T$19="Local Bubble",POWER(Upgrades!$U$19,K301),1)*IF(Upgrades!$T$20="Local Bubble",POWER(Upgrades!$U$20,L301),1)*IF(Upgrades!$T$21="Local Bubble",POWER(Upgrades!$U$21,M301),1))*POWER(Upgrades!$P$13,E301)*POWER(Upgrades!$P$14,F301)*POWER(Upgrades!$P$15,G301)*POWER(Upgrades!$P$16,H301)*POWER(Upgrades!$P$17,I301)*POWER(Upgrades!$P$18,J301)*POWER(Upgrades!$P$19,K301)*POWER(Upgrades!$P$20,L301)*POWER(Upgrades!$P$21,M301)*$F$6)*0.05)/AN301,0)</f>
        <v/>
      </c>
      <c r="BC301" s="32">
        <f>IFERROR((Upgrades!$H$17*(POWER(Upgrades!$P$13,E301)*POWER(Upgrades!$P$14,F301)*POWER(Upgrades!$P$15,G301)*POWER(Upgrades!$P$16,H301)*POWER(Upgrades!$P$17,I301)*POWER(Upgrades!$P$18,J301)*POWER(Upgrades!$P$19,K301)*POWER(Upgrades!$P$20,L301)*POWER(Upgrades!$P$21,M301))*(IF(Upgrades!$T$13="Brown Dwarf",POWER(Upgrades!$U$13,E301),1)*IF(Upgrades!$T$14="Brown Dwarf",POWER(Upgrades!$U$14,F301),1)*IF(Upgrades!$T$15="Brown Dwarf",POWER(Upgrades!$U$15,G301),1)*IF(Upgrades!$T$16="Brown Dwarf",POWER(Upgrades!$U$16,H301),1)*IF(Upgrades!$T$18="Brown Dwarf",POWER(Upgrades!$U$18,J301),1)*IF(Upgrades!$T$19="Brown Dwarf",POWER(Upgrades!$U$19,K301),1)*IF(Upgrades!$T$20="Brown Dwarf",POWER(Upgrades!$U$20,L301),1)*IF(Upgrades!$T$21="Brown Dwarf",POWER(Upgrades!$U$21,M301),1))*$F$6+(((IF(H301=0,0,(Upgrades!$M$16+H301*Upgrades!$N$16)*POWER(Upgrades!$O$16,H301)))*(IF(Upgrades!$T$13="Roche Lobe Overflow",POWER(Upgrades!$U$13,E301),1)*IF(Upgrades!$T$14="Roche Lobe Overflow",POWER(Upgrades!$U$14,F301),1)*IF(Upgrades!$T$15="Roche Lobe Overflow",POWER(Upgrades!$U$15,G301),1)*IF(Upgrades!$T$17="Roche Lobe Overflow",POWER(Upgrades!$U$17,I301),1)*IF(Upgrades!$T$18="Roche Lobe Overflow",POWER(Upgrades!$U$18,J301),1)*IF(Upgrades!$T$19="Roche Lobe Overflow",POWER(Upgrades!$U$19,K301),1)*IF(Upgrades!$T$20="Roche Lobe Overflow",POWER(Upgrades!$U$20,L301),1)*IF(Upgrades!$T$21="Roche Lobe Overflow",POWER(Upgrades!$U$21,M301),1))*POWER(Upgrades!$R$13,E301)*POWER(Upgrades!$R$14,F301)*POWER(Upgrades!$R$15,G301)*POWER(Upgrades!$R$16,H301)*POWER(Upgrades!$R$17,I301)*POWER(Upgrades!$R$18,J301)*POWER(Upgrades!$R$19,K301)*POWER(Upgrades!$R$20,L301)*POWER(Upgrades!$R$21,M301)*$H$6)*O301)*0.10)/AO301,0)</f>
        <v/>
      </c>
      <c r="BD301" s="32">
        <f>MAX(IF(J301&gt;0,0,IFERROR(0.5*((IF(G301=0,0,(Upgrades!$J$15+G301*Upgrades!$K$15)*POWER(Upgrades!$L$15,G301)))*(IF(Upgrades!$T$13="Microlensing",POWER(Upgrades!$U$13,E301),1)*IF(Upgrades!$T$14="Microlensing",POWER(Upgrades!$U$14,F301),1)*IF(Upgrades!$T$16="Microlensing",POWER(Upgrades!$U$16,H301),1)*IF(Upgrades!$T$17="Microlensing",POWER(Upgrades!$U$17,I301),1)*IF(Upgrades!$T$18="Microlensing",POWER(Upgrades!$U$18,J301),1)*IF(Upgrades!$T$19="Microlensing",POWER(Upgrades!$U$19,K301),1)*IF(Upgrades!$T$20="Microlensing",POWER(Upgrades!$U$20,L301),1)*IF(Upgrades!$T$21="Microlensing",POWER(Upgrades!$U$21,M301),1))*(POWER(Upgrades!$Q$13,E301)*POWER(Upgrades!$Q$14,F301)*POWER(Upgrades!$Q$15,G301)*POWER(Upgrades!$Q$16,H301)*POWER(Upgrades!$Q$17,I301)*POWER(Upgrades!$Q$18,J301)*POWER(Upgrades!$Q$19,K301)*POWER(Upgrades!$Q$20,L301)*POWER(Upgrades!$Q$21,M301))*$G$6*(Parameters!$B$10/60*Parameters!$B$11+Q301))/Upgrades!$C$18,0)),IF(K301&gt;0,0,IFERROR(0.30*P301/Upgrades!$C$19,0)),IF(L301&gt;0,0,IFERROR(0.0001/Upgrades!$C$20,0)),IF(M301&gt;0,0,IFERROR((6.0*(POWER(Upgrades!$P$13,E301)*POWER(Upgrades!$P$14,F301)*POWER(Upgrades!$P$15,G301)*POWER(Upgrades!$P$16,H301)*POWER(Upgrades!$P$17,I301)*POWER(Upgrades!$P$18,J301)*POWER(Upgrades!$P$19,K301)*POWER(Upgrades!$P$20,L301)*POWER(Upgrades!$P$21,M301))*$F$6+0.20*O301*(Parameters!$B$10/60*Parameters!$B$11+Q301))/Upgrades!$C$21,0)),IF(AND(ISNUMBER(AK301),AK301&gt;(C301+T301)),AY301,0),IF(AND(ISNUMBER(AL301),AL301&gt;(C301+T301)),AZ301,0),IF(AND(ISNUMBER(AM301),AM301&gt;(C301+T301)),BA301,0),IF(AND(ISNUMBER(AN301),AN301&gt;(C301+T301)),BB301,0),IF(AND(ISNUMBER(AO301),AO301&gt;(C301+T301)),BC301,0))</f>
        <v/>
      </c>
      <c r="BE301" s="29">
        <f>IF(AT301=1,"transition",IF(MIN(IF(AND(J301=0,ISNUMBER(AP301),AP301&lt;=(C301+T301)),AP301,9E15),IF(AND(K301=0,ISNUMBER(AQ301),AQ301&lt;=(C301+T301)),AQ301,9E15),IF(AND(L301=0,ISNUMBER(AR301),AR301&lt;=(C301+T301)),AR301,9E15),IF(AND(M301=0,ISNUMBER(AS301),AS301&lt;=(C301+T301)),AS301,9E15))&lt;9E15,IF(AND(AND(J301=0,ISNUMBER(AP301),AP301&lt;=(C301+T301)),AP301=MIN(IF(AND(J301=0,ISNUMBER(AP301),AP301&lt;=(C301+T301)),AP301,9E15),IF(AND(K301=0,ISNUMBER(AQ301),AQ301&lt;=(C301+T301)),AQ301,9E15),IF(AND(L301=0,ISNUMBER(AR301),AR301&lt;=(C301+T301)),AR301,9E15),IF(AND(M301=0,ISNUMBER(AS301),AS301&lt;=(C301+T301)),AS301,9E15))),"BiP",IF(AND(AND(K301=0,ISNUMBER(AQ301),AQ301&lt;=(C301+T301)),AQ301=MIN(IF(AND(J301=0,ISNUMBER(AP301),AP301&lt;=(C301+T301)),AP301,9E15),IF(AND(K301=0,ISNUMBER(AQ301),AQ301&lt;=(C301+T301)),AQ301,9E15),IF(AND(L301=0,ISNUMBER(AR301),AR301&lt;=(C301+T301)),AR301,9E15),IF(AND(M301=0,ISNUMBER(AS301),AS301&lt;=(C301+T301)),AS301,9E15))),"PV",IF(AND(AND(L301=0,ISNUMBER(AR301),AR301&lt;=(C301+T301)),AR301=MIN(IF(AND(J301=0,ISNUMBER(AP301),AP301&lt;=(C301+T301)),AP301,9E15),IF(AND(K301=0,ISNUMBER(AQ301),AQ301&lt;=(C301+T301)),AQ301,9E15),IF(AND(L301=0,ISNUMBER(AR301),AR301&lt;=(C301+T301)),AR301,9E15),IF(AND(M301=0,ISNUMBER(AS301),AS301&lt;=(C301+T301)),AS301,9E15))),"OC","MG"))),IF(AX301=TRUE,"",IF(MAX(IF(AND(NOT(AND(AU301=1,AT301&lt;&gt;1)),ISNUMBER(AK301),AK301&lt;=(C301+T301)),AY301,0),IF(AND(NOT(AND(AU301=1,AT301&lt;&gt;1)),ISNUMBER(AL301),AL301&lt;=(C301+T301)),AZ301,0),IF(AND(NOT(AND(AU301=1,AT301&lt;&gt;1)),ISNUMBER(AM301),AM301&lt;=(C301+T301)),BA301,0),IF(AND(NOT(AND(AU301=1,AT301&lt;&gt;1)),ISNUMBER(AN301),AN301&lt;=(C301+T301)),BB301,0),IF(AND(ISNUMBER(AO301),AO301&lt;=(C301+T301)),BC301,0))&lt;=0,"",IF(AND(IF(AND(NOT(AND(AU301=1,AT301&lt;&gt;1)),ISNUMBER(AK301),AK301&lt;=(C301+T301)),AY301,0)&gt;0,IF(AND(NOT(AND(AU301=1,AT301&lt;&gt;1)),ISNUMBER(AK301),AK301&lt;=(C301+T301)),AY301,0)=MAX(IF(AND(NOT(AND(AU301=1,AT301&lt;&gt;1)),ISNUMBER(AK301),AK301&lt;=(C301+T301)),AY301,0),IF(AND(NOT(AND(AU301=1,AT301&lt;&gt;1)),ISNUMBER(AL301),AL301&lt;=(C301+T301)),AZ301,0),IF(AND(NOT(AND(AU301=1,AT301&lt;&gt;1)),ISNUMBER(AM301),AM301&lt;=(C301+T301)),BA301,0),IF(AND(NOT(AND(AU301=1,AT301&lt;&gt;1)),ISNUMBER(AN301),AN301&lt;=(C301+T301)),BB301,0),IF(AND(ISNUMBER(AO301),AO301&lt;=(C301+T301)),BC301,0))),"SK",IF(AND(IF(AND(NOT(AND(AU301=1,AT301&lt;&gt;1)),ISNUMBER(AL301),AL301&lt;=(C301+T301)),AZ301,0)&gt;0,IF(AND(NOT(AND(AU301=1,AT301&lt;&gt;1)),ISNUMBER(AL301),AL301&lt;=(C301+T301)),AZ301,0)=MAX(IF(AND(NOT(AND(AU301=1,AT301&lt;&gt;1)),ISNUMBER(AK301),AK301&lt;=(C301+T301)),AY301,0),IF(AND(NOT(AND(AU301=1,AT301&lt;&gt;1)),ISNUMBER(AL301),AL301&lt;=(C301+T301)),AZ301,0),IF(AND(NOT(AND(AU301=1,AT301&lt;&gt;1)),ISNUMBER(AM301),AM301&lt;=(C301+T301)),BA301,0),IF(AND(NOT(AND(AU301=1,AT301&lt;&gt;1)),ISNUMBER(AN301),AN301&lt;=(C301+T301)),BB301,0),IF(AND(ISNUMBER(AO301),AO301&lt;=(C301+T301)),BC301,0))),"LB",IF(AND(IF(AND(NOT(AND(AU301=1,AT301&lt;&gt;1)),ISNUMBER(AM301),AM301&lt;=(C301+T301)),BA301,0)&gt;0,IF(AND(NOT(AND(AU301=1,AT301&lt;&gt;1)),ISNUMBER(AM301),AM301&lt;=(C301+T301)),BA301,0)=MAX(IF(AND(NOT(AND(AU301=1,AT301&lt;&gt;1)),ISNUMBER(AK301),AK301&lt;=(C301+T301)),AY301,0),IF(AND(NOT(AND(AU301=1,AT301&lt;&gt;1)),ISNUMBER(AL301),AL301&lt;=(C301+T301)),AZ301,0),IF(AND(NOT(AND(AU301=1,AT301&lt;&gt;1)),ISNUMBER(AM301),AM301&lt;=(C301+T301)),BA301,0),IF(AND(NOT(AND(AU301=1,AT301&lt;&gt;1)),ISNUMBER(AN301),AN301&lt;=(C301+T301)),BB301,0),IF(AND(ISNUMBER(AO301),AO301&lt;=(C301+T301)),BC301,0))),"ML",IF(AND(IF(AND(NOT(AND(AU301=1,AT301&lt;&gt;1)),ISNUMBER(AN301),AN301&lt;=(C301+T301)),BB301,0)&gt;0,IF(AND(NOT(AND(AU301=1,AT301&lt;&gt;1)),ISNUMBER(AN301),AN301&lt;=(C301+T301)),BB301,0)=MAX(IF(AND(NOT(AND(AU301=1,AT301&lt;&gt;1)),ISNUMBER(AK301),AK301&lt;=(C301+T301)),AY301,0),IF(AND(NOT(AND(AU301=1,AT301&lt;&gt;1)),ISNUMBER(AL301),AL301&lt;=(C301+T301)),AZ301,0),IF(AND(NOT(AND(AU301=1,AT301&lt;&gt;1)),ISNUMBER(AM301),AM301&lt;=(C301+T301)),BA301,0),IF(AND(NOT(AND(AU301=1,AT301&lt;&gt;1)),ISNUMBER(AN301),AN301&lt;=(C301+T301)),BB301,0),IF(AND(ISNUMBER(AO301),AO301&lt;=(C301+T301)),BC301,0))),"RLO","BD"))))))))</f>
        <v/>
      </c>
    </row>
    <row r="302">
      <c r="A302" s="26" t="n">
        <v>291</v>
      </c>
      <c r="B302" s="27">
        <f>A302*10/60</f>
        <v/>
      </c>
      <c r="C302" s="22">
        <f>X301</f>
        <v/>
      </c>
      <c r="D302" s="27">
        <f>D301+W301</f>
        <v/>
      </c>
      <c r="E302" s="26">
        <f>E301+IF(U301="SK",1,0)</f>
        <v/>
      </c>
      <c r="F302" s="26">
        <f>F301+IF(U301="LB",1,0)</f>
        <v/>
      </c>
      <c r="G302" s="26">
        <f>G301+IF(U301="ML",1,0)</f>
        <v/>
      </c>
      <c r="H302" s="26">
        <f>H301+IF(U301="RLO",1,0)</f>
        <v/>
      </c>
      <c r="I302" s="26">
        <f>I301+IF(U301="BD",1,0)</f>
        <v/>
      </c>
      <c r="J302" s="26">
        <f>MAX(J301,IF(U301="BiP",1,0))</f>
        <v/>
      </c>
      <c r="K302" s="26">
        <f>MAX(K301,IF(U301="PV",1,0))</f>
        <v/>
      </c>
      <c r="L302" s="26">
        <f>MAX(L301,IF(U301="OC",1,0))</f>
        <v/>
      </c>
      <c r="M302" s="26">
        <f>MAX(M301,IF(U301="MG",1,0))</f>
        <v/>
      </c>
      <c r="N302" s="26">
        <f>MAX(N301,IF(U301="transition",1,0))</f>
        <v/>
      </c>
      <c r="O302" s="28">
        <f>(Parameters!$B$9+(IF(E302=0,0,(Upgrades!$J$13+E302*Upgrades!$K$13)*POWER(Upgrades!$L$13,E302)))*(IF(Upgrades!$T$14="Stellar Kinematics",POWER(Upgrades!$U$14,F302),1)*IF(Upgrades!$T$15="Stellar Kinematics",POWER(Upgrades!$U$15,G302),1)*IF(Upgrades!$T$16="Stellar Kinematics",POWER(Upgrades!$U$16,H302),1)*IF(Upgrades!$T$17="Stellar Kinematics",POWER(Upgrades!$U$17,I302),1)*IF(Upgrades!$T$18="Stellar Kinematics",POWER(Upgrades!$U$18,J302),1)*IF(Upgrades!$T$19="Stellar Kinematics",POWER(Upgrades!$U$19,K302),1)*IF(Upgrades!$T$20="Stellar Kinematics",POWER(Upgrades!$U$20,L302),1)*IF(Upgrades!$T$21="Stellar Kinematics",POWER(Upgrades!$U$21,M302),1))+(IF(F302=0,0,(Upgrades!$J$14+F302*Upgrades!$K$14)*POWER(Upgrades!$L$14,F302)))*(IF(Upgrades!$T$13="Local Bubble",POWER(Upgrades!$U$13,E302),1)*IF(Upgrades!$T$15="Local Bubble",POWER(Upgrades!$U$15,G302),1)*IF(Upgrades!$T$16="Local Bubble",POWER(Upgrades!$U$16,H302),1)*IF(Upgrades!$T$17="Local Bubble",POWER(Upgrades!$U$17,I302),1)*IF(Upgrades!$T$18="Local Bubble",POWER(Upgrades!$U$18,J302),1)*IF(Upgrades!$T$19="Local Bubble",POWER(Upgrades!$U$19,K302),1)*IF(Upgrades!$T$20="Local Bubble",POWER(Upgrades!$U$20,L302),1)*IF(Upgrades!$T$21="Local Bubble",POWER(Upgrades!$U$21,M302),1))+(IF(G302=0,0,(Upgrades!$J$15+G302*Upgrades!$K$15)*POWER(Upgrades!$L$15,G302)))*(IF(Upgrades!$T$13="Microlensing",POWER(Upgrades!$U$13,E302),1)*IF(Upgrades!$T$14="Microlensing",POWER(Upgrades!$U$14,F302),1)*IF(Upgrades!$T$16="Microlensing",POWER(Upgrades!$U$16,H302),1)*IF(Upgrades!$T$17="Microlensing",POWER(Upgrades!$U$17,I302),1)*IF(Upgrades!$T$18="Microlensing",POWER(Upgrades!$U$18,J302),1)*IF(Upgrades!$T$19="Microlensing",POWER(Upgrades!$U$19,K302),1)*IF(Upgrades!$T$20="Microlensing",POWER(Upgrades!$U$20,L302),1)*IF(Upgrades!$T$21="Microlensing",POWER(Upgrades!$U$21,M302),1))+(IF(H302=0,0,(Upgrades!$J$16+H302*Upgrades!$K$16)*POWER(Upgrades!$L$16,H302)))*(IF(Upgrades!$T$13="Roche Lobe Overflow",POWER(Upgrades!$U$13,E302),1)*IF(Upgrades!$T$14="Roche Lobe Overflow",POWER(Upgrades!$U$14,F302),1)*IF(Upgrades!$T$15="Roche Lobe Overflow",POWER(Upgrades!$U$15,G302),1)*IF(Upgrades!$T$17="Roche Lobe Overflow",POWER(Upgrades!$U$17,I302),1)*IF(Upgrades!$T$18="Roche Lobe Overflow",POWER(Upgrades!$U$18,J302),1)*IF(Upgrades!$T$19="Roche Lobe Overflow",POWER(Upgrades!$U$19,K302),1)*IF(Upgrades!$T$20="Roche Lobe Overflow",POWER(Upgrades!$U$20,L302),1)*IF(Upgrades!$T$21="Roche Lobe Overflow",POWER(Upgrades!$U$21,M302),1))+(IF(I302=0,0,(Upgrades!$J$17+I302*Upgrades!$K$17)*POWER(Upgrades!$L$17,I302)))*(IF(Upgrades!$T$13="Brown Dwarf",POWER(Upgrades!$U$13,E302),1)*IF(Upgrades!$T$14="Brown Dwarf",POWER(Upgrades!$U$14,F302),1)*IF(Upgrades!$T$15="Brown Dwarf",POWER(Upgrades!$U$15,G302),1)*IF(Upgrades!$T$16="Brown Dwarf",POWER(Upgrades!$U$16,H302),1)*IF(Upgrades!$T$18="Brown Dwarf",POWER(Upgrades!$U$18,J302),1)*IF(Upgrades!$T$19="Brown Dwarf",POWER(Upgrades!$U$19,K302),1)*IF(Upgrades!$T$20="Brown Dwarf",POWER(Upgrades!$U$20,L302),1)*IF(Upgrades!$T$21="Brown Dwarf",POWER(Upgrades!$U$21,M302),1))+(IF(J302=0,0,(Upgrades!$J$18+J302*Upgrades!$K$18)*POWER(Upgrades!$L$18,J302)))*(IF(Upgrades!$T$13="Binary Partner",POWER(Upgrades!$U$13,E302),1)*IF(Upgrades!$T$14="Binary Partner",POWER(Upgrades!$U$14,F302),1)*IF(Upgrades!$T$15="Binary Partner",POWER(Upgrades!$U$15,G302),1)*IF(Upgrades!$T$16="Binary Partner",POWER(Upgrades!$U$16,H302),1)*IF(Upgrades!$T$17="Binary Partner",POWER(Upgrades!$U$17,I302),1)*IF(Upgrades!$T$19="Binary Partner",POWER(Upgrades!$U$19,K302),1)*IF(Upgrades!$T$20="Binary Partner",POWER(Upgrades!$U$20,L302),1)*IF(Upgrades!$T$21="Binary Partner",POWER(Upgrades!$U$21,M302),1))+(IF(K302=0,0,(Upgrades!$J$19+K302*Upgrades!$K$19)*POWER(Upgrades!$L$19,K302)))*(IF(Upgrades!$T$13="Peculiar Velocity",POWER(Upgrades!$U$13,E302),1)*IF(Upgrades!$T$14="Peculiar Velocity",POWER(Upgrades!$U$14,F302),1)*IF(Upgrades!$T$15="Peculiar Velocity",POWER(Upgrades!$U$15,G302),1)*IF(Upgrades!$T$16="Peculiar Velocity",POWER(Upgrades!$U$16,H302),1)*IF(Upgrades!$T$17="Peculiar Velocity",POWER(Upgrades!$U$17,I302),1)*IF(Upgrades!$T$18="Peculiar Velocity",POWER(Upgrades!$U$18,J302),1)*IF(Upgrades!$T$20="Peculiar Velocity",POWER(Upgrades!$U$20,L302),1)*IF(Upgrades!$T$21="Peculiar Velocity",POWER(Upgrades!$U$21,M302),1))+(IF(L302=0,0,(Upgrades!$J$20+L302*Upgrades!$K$20)*POWER(Upgrades!$L$20,L302)))*(IF(Upgrades!$T$13="Open Cluster",POWER(Upgrades!$U$13,E302),1)*IF(Upgrades!$T$14="Open Cluster",POWER(Upgrades!$U$14,F302),1)*IF(Upgrades!$T$15="Open Cluster",POWER(Upgrades!$U$15,G302),1)*IF(Upgrades!$T$16="Open Cluster",POWER(Upgrades!$U$16,H302),1)*IF(Upgrades!$T$17="Open Cluster",POWER(Upgrades!$U$17,I302),1)*IF(Upgrades!$T$18="Open Cluster",POWER(Upgrades!$U$18,J302),1)*IF(Upgrades!$T$19="Open Cluster",POWER(Upgrades!$U$19,K302),1)*IF(Upgrades!$T$21="Open Cluster",POWER(Upgrades!$U$21,M302),1))+(IF(M302=0,0,(Upgrades!$J$21+M302*Upgrades!$K$21)*POWER(Upgrades!$L$21,M302)))*(IF(Upgrades!$T$13="Moving Group",POWER(Upgrades!$U$13,E302),1)*IF(Upgrades!$T$14="Moving Group",POWER(Upgrades!$U$14,F302),1)*IF(Upgrades!$T$15="Moving Group",POWER(Upgrades!$U$15,G302),1)*IF(Upgrades!$T$16="Moving Group",POWER(Upgrades!$U$16,H302),1)*IF(Upgrades!$T$17="Moving Group",POWER(Upgrades!$U$17,I302),1)*IF(Upgrades!$T$18="Moving Group",POWER(Upgrades!$U$18,J302),1)*IF(Upgrades!$T$19="Moving Group",POWER(Upgrades!$U$19,K302),1)*IF(Upgrades!$T$20="Moving Group",POWER(Upgrades!$U$20,L302),1)))*POWER(Upgrades!$Q$13,E302)*POWER(Upgrades!$Q$14,F302)*POWER(Upgrades!$Q$15,G302)*POWER(Upgrades!$Q$16,H302)*POWER(Upgrades!$Q$17,I302)*POWER(Upgrades!$Q$18,J302)*POWER(Upgrades!$Q$19,K302)*POWER(Upgrades!$Q$20,L302)*POWER(Upgrades!$Q$21,M302)*$G$6+$D$6</f>
        <v/>
      </c>
      <c r="P302" s="28">
        <f>((IF(E302=0,0,(Upgrades!$G$13+E302*Upgrades!$H$13)*POWER(Upgrades!$I$13,E302)))*(IF(Upgrades!$T$14="Stellar Kinematics",POWER(Upgrades!$U$14,F302),1)*IF(Upgrades!$T$15="Stellar Kinematics",POWER(Upgrades!$U$15,G302),1)*IF(Upgrades!$T$16="Stellar Kinematics",POWER(Upgrades!$U$16,H302),1)*IF(Upgrades!$T$17="Stellar Kinematics",POWER(Upgrades!$U$17,I302),1)*IF(Upgrades!$T$18="Stellar Kinematics",POWER(Upgrades!$U$18,J302),1)*IF(Upgrades!$T$19="Stellar Kinematics",POWER(Upgrades!$U$19,K302),1)*IF(Upgrades!$T$20="Stellar Kinematics",POWER(Upgrades!$U$20,L302),1)*IF(Upgrades!$T$21="Stellar Kinematics",POWER(Upgrades!$U$21,M302),1))+(IF(F302=0,0,(Upgrades!$G$14+F302*Upgrades!$H$14)*POWER(Upgrades!$I$14,F302)))*(IF(Upgrades!$T$13="Local Bubble",POWER(Upgrades!$U$13,E302),1)*IF(Upgrades!$T$15="Local Bubble",POWER(Upgrades!$U$15,G302),1)*IF(Upgrades!$T$16="Local Bubble",POWER(Upgrades!$U$16,H302),1)*IF(Upgrades!$T$17="Local Bubble",POWER(Upgrades!$U$17,I302),1)*IF(Upgrades!$T$18="Local Bubble",POWER(Upgrades!$U$18,J302),1)*IF(Upgrades!$T$19="Local Bubble",POWER(Upgrades!$U$19,K302),1)*IF(Upgrades!$T$20="Local Bubble",POWER(Upgrades!$U$20,L302),1)*IF(Upgrades!$T$21="Local Bubble",POWER(Upgrades!$U$21,M302),1))+(IF(G302=0,0,(Upgrades!$G$15+G302*Upgrades!$H$15)*POWER(Upgrades!$I$15,G302)))*(IF(Upgrades!$T$13="Microlensing",POWER(Upgrades!$U$13,E302),1)*IF(Upgrades!$T$14="Microlensing",POWER(Upgrades!$U$14,F302),1)*IF(Upgrades!$T$16="Microlensing",POWER(Upgrades!$U$16,H302),1)*IF(Upgrades!$T$17="Microlensing",POWER(Upgrades!$U$17,I302),1)*IF(Upgrades!$T$18="Microlensing",POWER(Upgrades!$U$18,J302),1)*IF(Upgrades!$T$19="Microlensing",POWER(Upgrades!$U$19,K302),1)*IF(Upgrades!$T$20="Microlensing",POWER(Upgrades!$U$20,L302),1)*IF(Upgrades!$T$21="Microlensing",POWER(Upgrades!$U$21,M302),1))+(IF(H302=0,0,(Upgrades!$G$16+H302*Upgrades!$H$16)*POWER(Upgrades!$I$16,H302)))*(IF(Upgrades!$T$13="Roche Lobe Overflow",POWER(Upgrades!$U$13,E302),1)*IF(Upgrades!$T$14="Roche Lobe Overflow",POWER(Upgrades!$U$14,F302),1)*IF(Upgrades!$T$15="Roche Lobe Overflow",POWER(Upgrades!$U$15,G302),1)*IF(Upgrades!$T$17="Roche Lobe Overflow",POWER(Upgrades!$U$17,I302),1)*IF(Upgrades!$T$18="Roche Lobe Overflow",POWER(Upgrades!$U$18,J302),1)*IF(Upgrades!$T$19="Roche Lobe Overflow",POWER(Upgrades!$U$19,K302),1)*IF(Upgrades!$T$20="Roche Lobe Overflow",POWER(Upgrades!$U$20,L302),1)*IF(Upgrades!$T$21="Roche Lobe Overflow",POWER(Upgrades!$U$21,M302),1))+(IF(I302=0,0,(Upgrades!$G$17+I302*Upgrades!$H$17)*POWER(Upgrades!$I$17,I302)))*(IF(Upgrades!$T$13="Brown Dwarf",POWER(Upgrades!$U$13,E302),1)*IF(Upgrades!$T$14="Brown Dwarf",POWER(Upgrades!$U$14,F302),1)*IF(Upgrades!$T$15="Brown Dwarf",POWER(Upgrades!$U$15,G302),1)*IF(Upgrades!$T$16="Brown Dwarf",POWER(Upgrades!$U$16,H302),1)*IF(Upgrades!$T$18="Brown Dwarf",POWER(Upgrades!$U$18,J302),1)*IF(Upgrades!$T$19="Brown Dwarf",POWER(Upgrades!$U$19,K302),1)*IF(Upgrades!$T$20="Brown Dwarf",POWER(Upgrades!$U$20,L302),1)*IF(Upgrades!$T$21="Brown Dwarf",POWER(Upgrades!$U$21,M302),1))+(IF(J302=0,0,(Upgrades!$G$18+J302*Upgrades!$H$18)*POWER(Upgrades!$I$18,J302)))*(IF(Upgrades!$T$13="Binary Partner",POWER(Upgrades!$U$13,E302),1)*IF(Upgrades!$T$14="Binary Partner",POWER(Upgrades!$U$14,F302),1)*IF(Upgrades!$T$15="Binary Partner",POWER(Upgrades!$U$15,G302),1)*IF(Upgrades!$T$16="Binary Partner",POWER(Upgrades!$U$16,H302),1)*IF(Upgrades!$T$17="Binary Partner",POWER(Upgrades!$U$17,I302),1)*IF(Upgrades!$T$19="Binary Partner",POWER(Upgrades!$U$19,K302),1)*IF(Upgrades!$T$20="Binary Partner",POWER(Upgrades!$U$20,L302),1)*IF(Upgrades!$T$21="Binary Partner",POWER(Upgrades!$U$21,M302),1))+(IF(K302=0,0,(Upgrades!$G$19+K302*Upgrades!$H$19)*POWER(Upgrades!$I$19,K302)))*(IF(Upgrades!$T$13="Peculiar Velocity",POWER(Upgrades!$U$13,E302),1)*IF(Upgrades!$T$14="Peculiar Velocity",POWER(Upgrades!$U$14,F302),1)*IF(Upgrades!$T$15="Peculiar Velocity",POWER(Upgrades!$U$15,G302),1)*IF(Upgrades!$T$16="Peculiar Velocity",POWER(Upgrades!$U$16,H302),1)*IF(Upgrades!$T$17="Peculiar Velocity",POWER(Upgrades!$U$17,I302),1)*IF(Upgrades!$T$18="Peculiar Velocity",POWER(Upgrades!$U$18,J302),1)*IF(Upgrades!$T$20="Peculiar Velocity",POWER(Upgrades!$U$20,L302),1)*IF(Upgrades!$T$21="Peculiar Velocity",POWER(Upgrades!$U$21,M302),1))+(IF(L302=0,0,(Upgrades!$G$20+L302*Upgrades!$H$20)*POWER(Upgrades!$I$20,L302)))*(IF(Upgrades!$T$13="Open Cluster",POWER(Upgrades!$U$13,E302),1)*IF(Upgrades!$T$14="Open Cluster",POWER(Upgrades!$U$14,F302),1)*IF(Upgrades!$T$15="Open Cluster",POWER(Upgrades!$U$15,G302),1)*IF(Upgrades!$T$16="Open Cluster",POWER(Upgrades!$U$16,H302),1)*IF(Upgrades!$T$17="Open Cluster",POWER(Upgrades!$U$17,I302),1)*IF(Upgrades!$T$18="Open Cluster",POWER(Upgrades!$U$18,J302),1)*IF(Upgrades!$T$19="Open Cluster",POWER(Upgrades!$U$19,K302),1)*IF(Upgrades!$T$21="Open Cluster",POWER(Upgrades!$U$21,M302),1))+(IF(M302=0,0,(Upgrades!$G$21+M302*Upgrades!$H$21)*POWER(Upgrades!$I$21,M302)))*(IF(Upgrades!$T$13="Moving Group",POWER(Upgrades!$U$13,E302),1)*IF(Upgrades!$T$14="Moving Group",POWER(Upgrades!$U$14,F302),1)*IF(Upgrades!$T$15="Moving Group",POWER(Upgrades!$U$15,G302),1)*IF(Upgrades!$T$16="Moving Group",POWER(Upgrades!$U$16,H302),1)*IF(Upgrades!$T$17="Moving Group",POWER(Upgrades!$U$17,I302),1)*IF(Upgrades!$T$18="Moving Group",POWER(Upgrades!$U$18,J302),1)*IF(Upgrades!$T$19="Moving Group",POWER(Upgrades!$U$19,K302),1)*IF(Upgrades!$T$20="Moving Group",POWER(Upgrades!$U$20,L302),1)))*POWER(Upgrades!$P$13,E302)*POWER(Upgrades!$P$14,F302)*POWER(Upgrades!$P$15,G302)*POWER(Upgrades!$P$16,H302)*POWER(Upgrades!$P$17,I302)*POWER(Upgrades!$P$18,J302)*POWER(Upgrades!$P$19,K302)*POWER(Upgrades!$P$20,L302)*POWER(Upgrades!$P$21,M302)*$F$6+$C$6</f>
        <v/>
      </c>
      <c r="Q302" s="28">
        <f>((IF(E302=0,0,(Upgrades!$M$13+E302*Upgrades!$N$13)*POWER(Upgrades!$O$13,E302)))*(IF(Upgrades!$T$14="Stellar Kinematics",POWER(Upgrades!$U$14,F302),1)*IF(Upgrades!$T$15="Stellar Kinematics",POWER(Upgrades!$U$15,G302),1)*IF(Upgrades!$T$16="Stellar Kinematics",POWER(Upgrades!$U$16,H302),1)*IF(Upgrades!$T$17="Stellar Kinematics",POWER(Upgrades!$U$17,I302),1)*IF(Upgrades!$T$18="Stellar Kinematics",POWER(Upgrades!$U$18,J302),1)*IF(Upgrades!$T$19="Stellar Kinematics",POWER(Upgrades!$U$19,K302),1)*IF(Upgrades!$T$20="Stellar Kinematics",POWER(Upgrades!$U$20,L302),1)*IF(Upgrades!$T$21="Stellar Kinematics",POWER(Upgrades!$U$21,M302),1))+(IF(F302=0,0,(Upgrades!$M$14+F302*Upgrades!$N$14)*POWER(Upgrades!$O$14,F302)))*(IF(Upgrades!$T$13="Local Bubble",POWER(Upgrades!$U$13,E302),1)*IF(Upgrades!$T$15="Local Bubble",POWER(Upgrades!$U$15,G302),1)*IF(Upgrades!$T$16="Local Bubble",POWER(Upgrades!$U$16,H302),1)*IF(Upgrades!$T$17="Local Bubble",POWER(Upgrades!$U$17,I302),1)*IF(Upgrades!$T$18="Local Bubble",POWER(Upgrades!$U$18,J302),1)*IF(Upgrades!$T$19="Local Bubble",POWER(Upgrades!$U$19,K302),1)*IF(Upgrades!$T$20="Local Bubble",POWER(Upgrades!$U$20,L302),1)*IF(Upgrades!$T$21="Local Bubble",POWER(Upgrades!$U$21,M302),1))+(IF(G302=0,0,(Upgrades!$M$15+G302*Upgrades!$N$15)*POWER(Upgrades!$O$15,G302)))*(IF(Upgrades!$T$13="Microlensing",POWER(Upgrades!$U$13,E302),1)*IF(Upgrades!$T$14="Microlensing",POWER(Upgrades!$U$14,F302),1)*IF(Upgrades!$T$16="Microlensing",POWER(Upgrades!$U$16,H302),1)*IF(Upgrades!$T$17="Microlensing",POWER(Upgrades!$U$17,I302),1)*IF(Upgrades!$T$18="Microlensing",POWER(Upgrades!$U$18,J302),1)*IF(Upgrades!$T$19="Microlensing",POWER(Upgrades!$U$19,K302),1)*IF(Upgrades!$T$20="Microlensing",POWER(Upgrades!$U$20,L302),1)*IF(Upgrades!$T$21="Microlensing",POWER(Upgrades!$U$21,M302),1))+(IF(H302=0,0,(Upgrades!$M$16+H302*Upgrades!$N$16)*POWER(Upgrades!$O$16,H302)))*(IF(Upgrades!$T$13="Roche Lobe Overflow",POWER(Upgrades!$U$13,E302),1)*IF(Upgrades!$T$14="Roche Lobe Overflow",POWER(Upgrades!$U$14,F302),1)*IF(Upgrades!$T$15="Roche Lobe Overflow",POWER(Upgrades!$U$15,G302),1)*IF(Upgrades!$T$17="Roche Lobe Overflow",POWER(Upgrades!$U$17,I302),1)*IF(Upgrades!$T$18="Roche Lobe Overflow",POWER(Upgrades!$U$18,J302),1)*IF(Upgrades!$T$19="Roche Lobe Overflow",POWER(Upgrades!$U$19,K302),1)*IF(Upgrades!$T$20="Roche Lobe Overflow",POWER(Upgrades!$U$20,L302),1)*IF(Upgrades!$T$21="Roche Lobe Overflow",POWER(Upgrades!$U$21,M302),1))+(IF(I302=0,0,(Upgrades!$M$17+I302*Upgrades!$N$17)*POWER(Upgrades!$O$17,I302)))*(IF(Upgrades!$T$13="Brown Dwarf",POWER(Upgrades!$U$13,E302),1)*IF(Upgrades!$T$14="Brown Dwarf",POWER(Upgrades!$U$14,F302),1)*IF(Upgrades!$T$15="Brown Dwarf",POWER(Upgrades!$U$15,G302),1)*IF(Upgrades!$T$16="Brown Dwarf",POWER(Upgrades!$U$16,H302),1)*IF(Upgrades!$T$18="Brown Dwarf",POWER(Upgrades!$U$18,J302),1)*IF(Upgrades!$T$19="Brown Dwarf",POWER(Upgrades!$U$19,K302),1)*IF(Upgrades!$T$20="Brown Dwarf",POWER(Upgrades!$U$20,L302),1)*IF(Upgrades!$T$21="Brown Dwarf",POWER(Upgrades!$U$21,M302),1))+(IF(J302=0,0,(Upgrades!$M$18+J302*Upgrades!$N$18)*POWER(Upgrades!$O$18,J302)))*(IF(Upgrades!$T$13="Binary Partner",POWER(Upgrades!$U$13,E302),1)*IF(Upgrades!$T$14="Binary Partner",POWER(Upgrades!$U$14,F302),1)*IF(Upgrades!$T$15="Binary Partner",POWER(Upgrades!$U$15,G302),1)*IF(Upgrades!$T$16="Binary Partner",POWER(Upgrades!$U$16,H302),1)*IF(Upgrades!$T$17="Binary Partner",POWER(Upgrades!$U$17,I302),1)*IF(Upgrades!$T$19="Binary Partner",POWER(Upgrades!$U$19,K302),1)*IF(Upgrades!$T$20="Binary Partner",POWER(Upgrades!$U$20,L302),1)*IF(Upgrades!$T$21="Binary Partner",POWER(Upgrades!$U$21,M302),1))+(IF(K302=0,0,(Upgrades!$M$19+K302*Upgrades!$N$19)*POWER(Upgrades!$O$19,K302)))*(IF(Upgrades!$T$13="Peculiar Velocity",POWER(Upgrades!$U$13,E302),1)*IF(Upgrades!$T$14="Peculiar Velocity",POWER(Upgrades!$U$14,F302),1)*IF(Upgrades!$T$15="Peculiar Velocity",POWER(Upgrades!$U$15,G302),1)*IF(Upgrades!$T$16="Peculiar Velocity",POWER(Upgrades!$U$16,H302),1)*IF(Upgrades!$T$17="Peculiar Velocity",POWER(Upgrades!$U$17,I302),1)*IF(Upgrades!$T$18="Peculiar Velocity",POWER(Upgrades!$U$18,J302),1)*IF(Upgrades!$T$20="Peculiar Velocity",POWER(Upgrades!$U$20,L302),1)*IF(Upgrades!$T$21="Peculiar Velocity",POWER(Upgrades!$U$21,M302),1))+(IF(L302=0,0,(Upgrades!$M$20+L302*Upgrades!$N$20)*POWER(Upgrades!$O$20,L302)))*(IF(Upgrades!$T$13="Open Cluster",POWER(Upgrades!$U$13,E302),1)*IF(Upgrades!$T$14="Open Cluster",POWER(Upgrades!$U$14,F302),1)*IF(Upgrades!$T$15="Open Cluster",POWER(Upgrades!$U$15,G302),1)*IF(Upgrades!$T$16="Open Cluster",POWER(Upgrades!$U$16,H302),1)*IF(Upgrades!$T$17="Open Cluster",POWER(Upgrades!$U$17,I302),1)*IF(Upgrades!$T$18="Open Cluster",POWER(Upgrades!$U$18,J302),1)*IF(Upgrades!$T$19="Open Cluster",POWER(Upgrades!$U$19,K302),1)*IF(Upgrades!$T$21="Open Cluster",POWER(Upgrades!$U$21,M302),1))+(IF(M302=0,0,(Upgrades!$M$21+M302*Upgrades!$N$21)*POWER(Upgrades!$O$21,M302)))*(IF(Upgrades!$T$13="Moving Group",POWER(Upgrades!$U$13,E302),1)*IF(Upgrades!$T$14="Moving Group",POWER(Upgrades!$U$14,F302),1)*IF(Upgrades!$T$15="Moving Group",POWER(Upgrades!$U$15,G302),1)*IF(Upgrades!$T$16="Moving Group",POWER(Upgrades!$U$16,H302),1)*IF(Upgrades!$T$17="Moving Group",POWER(Upgrades!$U$17,I302),1)*IF(Upgrades!$T$18="Moving Group",POWER(Upgrades!$U$18,J302),1)*IF(Upgrades!$T$19="Moving Group",POWER(Upgrades!$U$19,K302),1)*IF(Upgrades!$T$20="Moving Group",POWER(Upgrades!$U$20,L302),1)))*POWER(Upgrades!$R$13,E302)*POWER(Upgrades!$R$14,F302)*POWER(Upgrades!$R$15,G302)*POWER(Upgrades!$R$16,H302)*POWER(Upgrades!$R$17,I302)*POWER(Upgrades!$R$18,J302)*POWER(Upgrades!$R$19,K302)*POWER(Upgrades!$R$20,L302)*POWER(Upgrades!$R$21,M302)*$H$6+$E$6</f>
        <v/>
      </c>
      <c r="R302" s="27">
        <f>IF(N302=1,0,O302*Parameters!$B$10/60*Parameters!$B$11*10)</f>
        <v/>
      </c>
      <c r="S302" s="27">
        <f>IF(N302=1,0,Q302*O302*10)</f>
        <v/>
      </c>
      <c r="T302" s="27">
        <f>IF(N302=1,0,R302+S302+P302*10)</f>
        <v/>
      </c>
      <c r="U302" s="33">
        <f>BE302</f>
        <v/>
      </c>
      <c r="V302" s="22">
        <f>IF(U302="",0,IF(U302="transition",0,IF(U302="SK",AK302,IF(U302="LB",AL302,IF(U302="ML",AM302,IF(U302="RLO",AN302,IF(U302="BD",AO302,IF(U302="BiP",AP302,IF(U302="PV",AQ302,IF(U302="OC",AR302,IF(U302="MG",AS302,0))))))))))</f>
        <v/>
      </c>
      <c r="W302" s="27">
        <f>IF(U302="BiP",Upgrades!$F$18,IF(U302="PV",Upgrades!$F$19,IF(U302="OC",Upgrades!$F$20,IF(U302="MG",Upgrades!$F$21,IF(U302="transition",-Parameters!$B$18*Parameters!$B$19,0)))))</f>
        <v/>
      </c>
      <c r="X302" s="22">
        <f>C302+T302-V302</f>
        <v/>
      </c>
      <c r="Y302" s="30">
        <f>O302*Parameters!$B$10/60*Parameters!$B$11+Q302*O302+P302</f>
        <v/>
      </c>
      <c r="Z302" s="34">
        <f>IF(U302="transition","→ Tier 3 (Galactic Arm)",IF(U302="MG","Moving Group — pocket drifts together",IF(U302="OC","Open Cluster acquired",IF(U302="PV","Peculiar Velocity — passive multiplier active",IF(U302="BiP","Binary Partner — pair bond formed",IF(AND(AU302=1,N302=0,AT302&lt;&gt;1),"Cohesion ready (waiting on completionists)","")))))) </f>
        <v/>
      </c>
      <c r="AA302" s="27">
        <f>(IF(E302=0,0,(Upgrades!$G$13+E302*Upgrades!$H$13)*POWER(Upgrades!$I$13,E302)))*(IF(Upgrades!$T$14="Stellar Kinematics",POWER(Upgrades!$U$14,F302),1)*IF(Upgrades!$T$15="Stellar Kinematics",POWER(Upgrades!$U$15,G302),1)*IF(Upgrades!$T$16="Stellar Kinematics",POWER(Upgrades!$U$16,H302),1)*IF(Upgrades!$T$17="Stellar Kinematics",POWER(Upgrades!$U$17,I302),1)*IF(Upgrades!$T$18="Stellar Kinematics",POWER(Upgrades!$U$18,J302),1)*IF(Upgrades!$T$19="Stellar Kinematics",POWER(Upgrades!$U$19,K302),1)*IF(Upgrades!$T$20="Stellar Kinematics",POWER(Upgrades!$U$20,L302),1)*IF(Upgrades!$T$21="Stellar Kinematics",POWER(Upgrades!$U$21,M302),1))*POWER(Upgrades!$P$13,E302)*POWER(Upgrades!$P$14,F302)*POWER(Upgrades!$P$15,G302)*POWER(Upgrades!$P$16,H302)*POWER(Upgrades!$P$17,I302)*POWER(Upgrades!$P$18,J302)*POWER(Upgrades!$P$19,K302)*POWER(Upgrades!$P$20,L302)*POWER(Upgrades!$P$21,M302)*$F$6*60</f>
        <v/>
      </c>
      <c r="AB302" s="27">
        <f>(IF(F302=0,0,(Upgrades!$G$14+F302*Upgrades!$H$14)*POWER(Upgrades!$I$14,F302)))*(IF(Upgrades!$T$13="Local Bubble",POWER(Upgrades!$U$13,E302),1)*IF(Upgrades!$T$15="Local Bubble",POWER(Upgrades!$U$15,G302),1)*IF(Upgrades!$T$16="Local Bubble",POWER(Upgrades!$U$16,H302),1)*IF(Upgrades!$T$17="Local Bubble",POWER(Upgrades!$U$17,I302),1)*IF(Upgrades!$T$18="Local Bubble",POWER(Upgrades!$U$18,J302),1)*IF(Upgrades!$T$19="Local Bubble",POWER(Upgrades!$U$19,K302),1)*IF(Upgrades!$T$20="Local Bubble",POWER(Upgrades!$U$20,L302),1)*IF(Upgrades!$T$21="Local Bubble",POWER(Upgrades!$U$21,M302),1))*POWER(Upgrades!$P$13,E302)*POWER(Upgrades!$P$14,F302)*POWER(Upgrades!$P$15,G302)*POWER(Upgrades!$P$16,H302)*POWER(Upgrades!$P$17,I302)*POWER(Upgrades!$P$18,J302)*POWER(Upgrades!$P$19,K302)*POWER(Upgrades!$P$20,L302)*POWER(Upgrades!$P$21,M302)*$F$6*60</f>
        <v/>
      </c>
      <c r="AC302" s="27">
        <f>(IF(G302=0,0,(Upgrades!$J$15+G302*Upgrades!$K$15)*POWER(Upgrades!$L$15,G302)))*(IF(Upgrades!$T$13="Microlensing",POWER(Upgrades!$U$13,E302),1)*IF(Upgrades!$T$14="Microlensing",POWER(Upgrades!$U$14,F302),1)*IF(Upgrades!$T$16="Microlensing",POWER(Upgrades!$U$16,H302),1)*IF(Upgrades!$T$17="Microlensing",POWER(Upgrades!$U$17,I302),1)*IF(Upgrades!$T$18="Microlensing",POWER(Upgrades!$U$18,J302),1)*IF(Upgrades!$T$19="Microlensing",POWER(Upgrades!$U$19,K302),1)*IF(Upgrades!$T$20="Microlensing",POWER(Upgrades!$U$20,L302),1)*IF(Upgrades!$T$21="Microlensing",POWER(Upgrades!$U$21,M302),1))*POWER(Upgrades!$Q$13,E302)*POWER(Upgrades!$Q$14,F302)*POWER(Upgrades!$Q$15,G302)*POWER(Upgrades!$Q$16,H302)*POWER(Upgrades!$Q$17,I302)*POWER(Upgrades!$Q$18,J302)*POWER(Upgrades!$Q$19,K302)*POWER(Upgrades!$Q$20,L302)*POWER(Upgrades!$Q$21,M302)*$G$6*(Parameters!$B$10*Parameters!$B$11+Q302*60)</f>
        <v/>
      </c>
      <c r="AD302" s="27">
        <f>(IF(H302=0,0,(Upgrades!$M$16+H302*Upgrades!$N$16)*POWER(Upgrades!$O$16,H302)))*(IF(Upgrades!$T$13="Roche Lobe Overflow",POWER(Upgrades!$U$13,E302),1)*IF(Upgrades!$T$14="Roche Lobe Overflow",POWER(Upgrades!$U$14,F302),1)*IF(Upgrades!$T$15="Roche Lobe Overflow",POWER(Upgrades!$U$15,G302),1)*IF(Upgrades!$T$17="Roche Lobe Overflow",POWER(Upgrades!$U$17,I302),1)*IF(Upgrades!$T$18="Roche Lobe Overflow",POWER(Upgrades!$U$18,J302),1)*IF(Upgrades!$T$19="Roche Lobe Overflow",POWER(Upgrades!$U$19,K302),1)*IF(Upgrades!$T$20="Roche Lobe Overflow",POWER(Upgrades!$U$20,L302),1)*IF(Upgrades!$T$21="Roche Lobe Overflow",POWER(Upgrades!$U$21,M302),1))*POWER(Upgrades!$R$13,E302)*POWER(Upgrades!$R$14,F302)*POWER(Upgrades!$R$15,G302)*POWER(Upgrades!$R$16,H302)*POWER(Upgrades!$R$17,I302)*POWER(Upgrades!$R$18,J302)*POWER(Upgrades!$R$19,K302)*POWER(Upgrades!$R$20,L302)*POWER(Upgrades!$R$21,M302)*$H$6*O302*60</f>
        <v/>
      </c>
      <c r="AE302" s="27">
        <f>(IF(I302=0,0,(Upgrades!$G$17+I302*Upgrades!$H$17)*POWER(Upgrades!$I$17,I302)))*(IF(Upgrades!$T$13="Brown Dwarf",POWER(Upgrades!$U$13,E302),1)*IF(Upgrades!$T$14="Brown Dwarf",POWER(Upgrades!$U$14,F302),1)*IF(Upgrades!$T$15="Brown Dwarf",POWER(Upgrades!$U$15,G302),1)*IF(Upgrades!$T$16="Brown Dwarf",POWER(Upgrades!$U$16,H302),1)*IF(Upgrades!$T$18="Brown Dwarf",POWER(Upgrades!$U$18,J302),1)*IF(Upgrades!$T$19="Brown Dwarf",POWER(Upgrades!$U$19,K302),1)*IF(Upgrades!$T$20="Brown Dwarf",POWER(Upgrades!$U$20,L302),1)*IF(Upgrades!$T$21="Brown Dwarf",POWER(Upgrades!$U$21,M302),1))*POWER(Upgrades!$P$13,E302)*POWER(Upgrades!$P$14,F302)*POWER(Upgrades!$P$15,G302)*POWER(Upgrades!$P$16,H302)*POWER(Upgrades!$P$17,I302)*POWER(Upgrades!$P$18,J302)*POWER(Upgrades!$P$19,K302)*POWER(Upgrades!$P$20,L302)*POWER(Upgrades!$P$21,M302)*$F$6*60</f>
        <v/>
      </c>
      <c r="AF302" s="27" t="n">
        <v>0</v>
      </c>
      <c r="AG302" s="27" t="n">
        <v>0</v>
      </c>
      <c r="AH302" s="27" t="n">
        <v>0</v>
      </c>
      <c r="AI302" s="27">
        <f>(IF(M302=0,0,(Upgrades!$G$21+M302*Upgrades!$H$21)*POWER(Upgrades!$I$21,M302)))*(IF(Upgrades!$T$13="Moving Group",POWER(Upgrades!$U$13,E302),1)*IF(Upgrades!$T$14="Moving Group",POWER(Upgrades!$U$14,F302),1)*IF(Upgrades!$T$15="Moving Group",POWER(Upgrades!$U$15,G302),1)*IF(Upgrades!$T$16="Moving Group",POWER(Upgrades!$U$16,H302),1)*IF(Upgrades!$T$17="Moving Group",POWER(Upgrades!$U$17,I302),1)*IF(Upgrades!$T$18="Moving Group",POWER(Upgrades!$U$18,J302),1)*IF(Upgrades!$T$19="Moving Group",POWER(Upgrades!$U$19,K302),1)*IF(Upgrades!$T$20="Moving Group",POWER(Upgrades!$U$20,L302),1))*POWER(Upgrades!$P$13,E302)*POWER(Upgrades!$P$14,F302)*POWER(Upgrades!$P$15,G302)*POWER(Upgrades!$P$16,H302)*POWER(Upgrades!$P$17,I302)*POWER(Upgrades!$P$18,J302)*POWER(Upgrades!$P$19,K302)*POWER(Upgrades!$P$20,L302)*POWER(Upgrades!$P$21,M302)*$F$6*60</f>
        <v/>
      </c>
      <c r="AJ302" s="27">
        <f>$C$6*60</f>
        <v/>
      </c>
      <c r="AK302" s="22">
        <f>IF(E302&gt;=Upgrades!$E$13,"",Upgrades!$C$13*POWER(Upgrades!$D$13,E302))</f>
        <v/>
      </c>
      <c r="AL302" s="22">
        <f>IF(F302&gt;=Upgrades!$E$14,"",Upgrades!$C$14*POWER(Upgrades!$D$14,F302))</f>
        <v/>
      </c>
      <c r="AM302" s="22">
        <f>IF(G302&gt;=Upgrades!$E$15,"",Upgrades!$C$15*POWER(Upgrades!$D$15,G302))</f>
        <v/>
      </c>
      <c r="AN302" s="22">
        <f>IF(H302&gt;=Upgrades!$E$16,"",Upgrades!$C$16*POWER(Upgrades!$D$16,H302))</f>
        <v/>
      </c>
      <c r="AO302" s="22">
        <f>IF(I302&gt;=Upgrades!$E$17,"",Upgrades!$C$17*POWER(Upgrades!$D$17,I302))</f>
        <v/>
      </c>
      <c r="AP302" s="22">
        <f>IF(J302&gt;=Upgrades!$E$18,"",Upgrades!$C$18*POWER(Upgrades!$D$18,J302))</f>
        <v/>
      </c>
      <c r="AQ302" s="22">
        <f>IF(K302&gt;=Upgrades!$E$19,"",Upgrades!$C$19*POWER(Upgrades!$D$19,K302))</f>
        <v/>
      </c>
      <c r="AR302" s="22">
        <f>IF(L302&gt;=Upgrades!$E$20,"",Upgrades!$C$20*POWER(Upgrades!$D$20,L302))</f>
        <v/>
      </c>
      <c r="AS302" s="22">
        <f>IF(M302&gt;=Upgrades!$E$21,"",Upgrades!$C$21*POWER(Upgrades!$D$21,M302))</f>
        <v/>
      </c>
      <c r="AT302" s="26">
        <f>IF(AND(D302&gt;=Parameters!$B$18*Parameters!$B$19,(I302&gt;=Upgrades!$E$17)*(M302&gt;=Upgrades!$E$21)=1,N302=0),1,"")</f>
        <v/>
      </c>
      <c r="AU302" s="26">
        <f>IF(AND(D302&gt;=Parameters!$B$18*Parameters!$B$19,N302=0),1,"")</f>
        <v/>
      </c>
      <c r="AV302" s="22">
        <f>MIN(IF(ISNUMBER(AP302),AP302,9E15),IF(ISNUMBER(AQ302),AQ302,9E15),IF(ISNUMBER(AR302),AR302,9E15),IF(ISNUMBER(AS302),AS302,9E15))</f>
        <v/>
      </c>
      <c r="AW302" s="22">
        <f>MIN(IF(ISNUMBER(AK302),AK302,9E15),IF(ISNUMBER(AL302),AL302,9E15),IF(ISNUMBER(AM302),AM302,9E15),IF(ISNUMBER(AN302),AN302,9E15),IF(ISNUMBER(AO302),AO302,9E15))</f>
        <v/>
      </c>
      <c r="AX302" s="29">
        <f>IF(BD302&gt;Parameters!$B$21*(MAX(IF(AND(NOT(AND(AU302=1,AT302&lt;&gt;1)),ISNUMBER(AK302),AK302&lt;=(C302+T302)),AY302,0),IF(AND(NOT(AND(AU302=1,AT302&lt;&gt;1)),ISNUMBER(AL302),AL302&lt;=(C302+T302)),AZ302,0),IF(AND(NOT(AND(AU302=1,AT302&lt;&gt;1)),ISNUMBER(AM302),AM302&lt;=(C302+T302)),BA302,0),IF(AND(NOT(AND(AU302=1,AT302&lt;&gt;1)),ISNUMBER(AN302),AN302&lt;=(C302+T302)),BB302,0),IF(AND(ISNUMBER(AO302),AO302&lt;=(C302+T302)),BC302,0))),TRUE,FALSE)</f>
        <v/>
      </c>
      <c r="AY302" s="32">
        <f>IFERROR(Upgrades!$H$13*(POWER(Upgrades!$P$13,E302)*POWER(Upgrades!$P$14,F302)*POWER(Upgrades!$P$15,G302)*POWER(Upgrades!$P$16,H302)*POWER(Upgrades!$P$17,I302)*POWER(Upgrades!$P$18,J302)*POWER(Upgrades!$P$19,K302)*POWER(Upgrades!$P$20,L302)*POWER(Upgrades!$P$21,M302))*(IF(Upgrades!$T$14="Stellar Kinematics",POWER(Upgrades!$U$14,F302),1)*IF(Upgrades!$T$15="Stellar Kinematics",POWER(Upgrades!$U$15,G302),1)*IF(Upgrades!$T$16="Stellar Kinematics",POWER(Upgrades!$U$16,H302),1)*IF(Upgrades!$T$17="Stellar Kinematics",POWER(Upgrades!$U$17,I302),1)*IF(Upgrades!$T$18="Stellar Kinematics",POWER(Upgrades!$U$18,J302),1)*IF(Upgrades!$T$19="Stellar Kinematics",POWER(Upgrades!$U$19,K302),1)*IF(Upgrades!$T$20="Stellar Kinematics",POWER(Upgrades!$U$20,L302),1)*IF(Upgrades!$T$21="Stellar Kinematics",POWER(Upgrades!$U$21,M302),1))*$F$6/AK302,0)</f>
        <v/>
      </c>
      <c r="AZ302" s="32">
        <f>IFERROR(Upgrades!$H$14*(POWER(Upgrades!$P$13,E302)*POWER(Upgrades!$P$14,F302)*POWER(Upgrades!$P$15,G302)*POWER(Upgrades!$P$16,H302)*POWER(Upgrades!$P$17,I302)*POWER(Upgrades!$P$18,J302)*POWER(Upgrades!$P$19,K302)*POWER(Upgrades!$P$20,L302)*POWER(Upgrades!$P$21,M302))*(IF(Upgrades!$T$13="Local Bubble",POWER(Upgrades!$U$13,E302),1)*IF(Upgrades!$T$15="Local Bubble",POWER(Upgrades!$U$15,G302),1)*IF(Upgrades!$T$16="Local Bubble",POWER(Upgrades!$U$16,H302),1)*IF(Upgrades!$T$17="Local Bubble",POWER(Upgrades!$U$17,I302),1)*IF(Upgrades!$T$18="Local Bubble",POWER(Upgrades!$U$18,J302),1)*IF(Upgrades!$T$19="Local Bubble",POWER(Upgrades!$U$19,K302),1)*IF(Upgrades!$T$20="Local Bubble",POWER(Upgrades!$U$20,L302),1)*IF(Upgrades!$T$21="Local Bubble",POWER(Upgrades!$U$21,M302),1))*$F$6/AL302,0)</f>
        <v/>
      </c>
      <c r="BA302" s="32">
        <f>IFERROR(Upgrades!$K$15*(POWER(Upgrades!$Q$13,E302)*POWER(Upgrades!$Q$14,F302)*POWER(Upgrades!$Q$15,G302)*POWER(Upgrades!$Q$16,H302)*POWER(Upgrades!$Q$17,I302)*POWER(Upgrades!$Q$18,J302)*POWER(Upgrades!$Q$19,K302)*POWER(Upgrades!$Q$20,L302)*POWER(Upgrades!$Q$21,M302))*(IF(Upgrades!$T$13="Microlensing",POWER(Upgrades!$U$13,E302),1)*IF(Upgrades!$T$14="Microlensing",POWER(Upgrades!$U$14,F302),1)*IF(Upgrades!$T$16="Microlensing",POWER(Upgrades!$U$16,H302),1)*IF(Upgrades!$T$17="Microlensing",POWER(Upgrades!$U$17,I302),1)*IF(Upgrades!$T$18="Microlensing",POWER(Upgrades!$U$18,J302),1)*IF(Upgrades!$T$19="Microlensing",POWER(Upgrades!$U$19,K302),1)*IF(Upgrades!$T$20="Microlensing",POWER(Upgrades!$U$20,L302),1)*IF(Upgrades!$T$21="Microlensing",POWER(Upgrades!$U$21,M302),1))*$G$6*(Parameters!$B$10/60*Parameters!$B$11+Q302)/AM302,0)</f>
        <v/>
      </c>
      <c r="BB302" s="32">
        <f>IFERROR((Upgrades!$N$16*(POWER(Upgrades!$R$13,E302)*POWER(Upgrades!$R$14,F302)*POWER(Upgrades!$R$15,G302)*POWER(Upgrades!$R$16,H302)*POWER(Upgrades!$R$17,I302)*POWER(Upgrades!$R$18,J302)*POWER(Upgrades!$R$19,K302)*POWER(Upgrades!$R$20,L302)*POWER(Upgrades!$R$21,M302))*(IF(Upgrades!$T$13="Roche Lobe Overflow",POWER(Upgrades!$U$13,E302),1)*IF(Upgrades!$T$14="Roche Lobe Overflow",POWER(Upgrades!$U$14,F302),1)*IF(Upgrades!$T$15="Roche Lobe Overflow",POWER(Upgrades!$U$15,G302),1)*IF(Upgrades!$T$17="Roche Lobe Overflow",POWER(Upgrades!$U$17,I302),1)*IF(Upgrades!$T$18="Roche Lobe Overflow",POWER(Upgrades!$U$18,J302),1)*IF(Upgrades!$T$19="Roche Lobe Overflow",POWER(Upgrades!$U$19,K302),1)*IF(Upgrades!$T$20="Roche Lobe Overflow",POWER(Upgrades!$U$20,L302),1)*IF(Upgrades!$T$21="Roche Lobe Overflow",POWER(Upgrades!$U$21,M302),1))*$H$6*O302+((IF(F302=0,0,(Upgrades!$G$14+F302*Upgrades!$H$14)*POWER(Upgrades!$I$14,F302)))*(IF(Upgrades!$T$13="Local Bubble",POWER(Upgrades!$U$13,E302),1)*IF(Upgrades!$T$15="Local Bubble",POWER(Upgrades!$U$15,G302),1)*IF(Upgrades!$T$16="Local Bubble",POWER(Upgrades!$U$16,H302),1)*IF(Upgrades!$T$17="Local Bubble",POWER(Upgrades!$U$17,I302),1)*IF(Upgrades!$T$18="Local Bubble",POWER(Upgrades!$U$18,J302),1)*IF(Upgrades!$T$19="Local Bubble",POWER(Upgrades!$U$19,K302),1)*IF(Upgrades!$T$20="Local Bubble",POWER(Upgrades!$U$20,L302),1)*IF(Upgrades!$T$21="Local Bubble",POWER(Upgrades!$U$21,M302),1))*POWER(Upgrades!$P$13,E302)*POWER(Upgrades!$P$14,F302)*POWER(Upgrades!$P$15,G302)*POWER(Upgrades!$P$16,H302)*POWER(Upgrades!$P$17,I302)*POWER(Upgrades!$P$18,J302)*POWER(Upgrades!$P$19,K302)*POWER(Upgrades!$P$20,L302)*POWER(Upgrades!$P$21,M302)*$F$6)*0.05)/AN302,0)</f>
        <v/>
      </c>
      <c r="BC302" s="32">
        <f>IFERROR((Upgrades!$H$17*(POWER(Upgrades!$P$13,E302)*POWER(Upgrades!$P$14,F302)*POWER(Upgrades!$P$15,G302)*POWER(Upgrades!$P$16,H302)*POWER(Upgrades!$P$17,I302)*POWER(Upgrades!$P$18,J302)*POWER(Upgrades!$P$19,K302)*POWER(Upgrades!$P$20,L302)*POWER(Upgrades!$P$21,M302))*(IF(Upgrades!$T$13="Brown Dwarf",POWER(Upgrades!$U$13,E302),1)*IF(Upgrades!$T$14="Brown Dwarf",POWER(Upgrades!$U$14,F302),1)*IF(Upgrades!$T$15="Brown Dwarf",POWER(Upgrades!$U$15,G302),1)*IF(Upgrades!$T$16="Brown Dwarf",POWER(Upgrades!$U$16,H302),1)*IF(Upgrades!$T$18="Brown Dwarf",POWER(Upgrades!$U$18,J302),1)*IF(Upgrades!$T$19="Brown Dwarf",POWER(Upgrades!$U$19,K302),1)*IF(Upgrades!$T$20="Brown Dwarf",POWER(Upgrades!$U$20,L302),1)*IF(Upgrades!$T$21="Brown Dwarf",POWER(Upgrades!$U$21,M302),1))*$F$6+(((IF(H302=0,0,(Upgrades!$M$16+H302*Upgrades!$N$16)*POWER(Upgrades!$O$16,H302)))*(IF(Upgrades!$T$13="Roche Lobe Overflow",POWER(Upgrades!$U$13,E302),1)*IF(Upgrades!$T$14="Roche Lobe Overflow",POWER(Upgrades!$U$14,F302),1)*IF(Upgrades!$T$15="Roche Lobe Overflow",POWER(Upgrades!$U$15,G302),1)*IF(Upgrades!$T$17="Roche Lobe Overflow",POWER(Upgrades!$U$17,I302),1)*IF(Upgrades!$T$18="Roche Lobe Overflow",POWER(Upgrades!$U$18,J302),1)*IF(Upgrades!$T$19="Roche Lobe Overflow",POWER(Upgrades!$U$19,K302),1)*IF(Upgrades!$T$20="Roche Lobe Overflow",POWER(Upgrades!$U$20,L302),1)*IF(Upgrades!$T$21="Roche Lobe Overflow",POWER(Upgrades!$U$21,M302),1))*POWER(Upgrades!$R$13,E302)*POWER(Upgrades!$R$14,F302)*POWER(Upgrades!$R$15,G302)*POWER(Upgrades!$R$16,H302)*POWER(Upgrades!$R$17,I302)*POWER(Upgrades!$R$18,J302)*POWER(Upgrades!$R$19,K302)*POWER(Upgrades!$R$20,L302)*POWER(Upgrades!$R$21,M302)*$H$6)*O302)*0.10)/AO302,0)</f>
        <v/>
      </c>
      <c r="BD302" s="32">
        <f>MAX(IF(J302&gt;0,0,IFERROR(0.5*((IF(G302=0,0,(Upgrades!$J$15+G302*Upgrades!$K$15)*POWER(Upgrades!$L$15,G302)))*(IF(Upgrades!$T$13="Microlensing",POWER(Upgrades!$U$13,E302),1)*IF(Upgrades!$T$14="Microlensing",POWER(Upgrades!$U$14,F302),1)*IF(Upgrades!$T$16="Microlensing",POWER(Upgrades!$U$16,H302),1)*IF(Upgrades!$T$17="Microlensing",POWER(Upgrades!$U$17,I302),1)*IF(Upgrades!$T$18="Microlensing",POWER(Upgrades!$U$18,J302),1)*IF(Upgrades!$T$19="Microlensing",POWER(Upgrades!$U$19,K302),1)*IF(Upgrades!$T$20="Microlensing",POWER(Upgrades!$U$20,L302),1)*IF(Upgrades!$T$21="Microlensing",POWER(Upgrades!$U$21,M302),1))*(POWER(Upgrades!$Q$13,E302)*POWER(Upgrades!$Q$14,F302)*POWER(Upgrades!$Q$15,G302)*POWER(Upgrades!$Q$16,H302)*POWER(Upgrades!$Q$17,I302)*POWER(Upgrades!$Q$18,J302)*POWER(Upgrades!$Q$19,K302)*POWER(Upgrades!$Q$20,L302)*POWER(Upgrades!$Q$21,M302))*$G$6*(Parameters!$B$10/60*Parameters!$B$11+Q302))/Upgrades!$C$18,0)),IF(K302&gt;0,0,IFERROR(0.30*P302/Upgrades!$C$19,0)),IF(L302&gt;0,0,IFERROR(0.0001/Upgrades!$C$20,0)),IF(M302&gt;0,0,IFERROR((6.0*(POWER(Upgrades!$P$13,E302)*POWER(Upgrades!$P$14,F302)*POWER(Upgrades!$P$15,G302)*POWER(Upgrades!$P$16,H302)*POWER(Upgrades!$P$17,I302)*POWER(Upgrades!$P$18,J302)*POWER(Upgrades!$P$19,K302)*POWER(Upgrades!$P$20,L302)*POWER(Upgrades!$P$21,M302))*$F$6+0.20*O302*(Parameters!$B$10/60*Parameters!$B$11+Q302))/Upgrades!$C$21,0)),IF(AND(ISNUMBER(AK302),AK302&gt;(C302+T302)),AY302,0),IF(AND(ISNUMBER(AL302),AL302&gt;(C302+T302)),AZ302,0),IF(AND(ISNUMBER(AM302),AM302&gt;(C302+T302)),BA302,0),IF(AND(ISNUMBER(AN302),AN302&gt;(C302+T302)),BB302,0),IF(AND(ISNUMBER(AO302),AO302&gt;(C302+T302)),BC302,0))</f>
        <v/>
      </c>
      <c r="BE302" s="29">
        <f>IF(AT302=1,"transition",IF(MIN(IF(AND(J302=0,ISNUMBER(AP302),AP302&lt;=(C302+T302)),AP302,9E15),IF(AND(K302=0,ISNUMBER(AQ302),AQ302&lt;=(C302+T302)),AQ302,9E15),IF(AND(L302=0,ISNUMBER(AR302),AR302&lt;=(C302+T302)),AR302,9E15),IF(AND(M302=0,ISNUMBER(AS302),AS302&lt;=(C302+T302)),AS302,9E15))&lt;9E15,IF(AND(AND(J302=0,ISNUMBER(AP302),AP302&lt;=(C302+T302)),AP302=MIN(IF(AND(J302=0,ISNUMBER(AP302),AP302&lt;=(C302+T302)),AP302,9E15),IF(AND(K302=0,ISNUMBER(AQ302),AQ302&lt;=(C302+T302)),AQ302,9E15),IF(AND(L302=0,ISNUMBER(AR302),AR302&lt;=(C302+T302)),AR302,9E15),IF(AND(M302=0,ISNUMBER(AS302),AS302&lt;=(C302+T302)),AS302,9E15))),"BiP",IF(AND(AND(K302=0,ISNUMBER(AQ302),AQ302&lt;=(C302+T302)),AQ302=MIN(IF(AND(J302=0,ISNUMBER(AP302),AP302&lt;=(C302+T302)),AP302,9E15),IF(AND(K302=0,ISNUMBER(AQ302),AQ302&lt;=(C302+T302)),AQ302,9E15),IF(AND(L302=0,ISNUMBER(AR302),AR302&lt;=(C302+T302)),AR302,9E15),IF(AND(M302=0,ISNUMBER(AS302),AS302&lt;=(C302+T302)),AS302,9E15))),"PV",IF(AND(AND(L302=0,ISNUMBER(AR302),AR302&lt;=(C302+T302)),AR302=MIN(IF(AND(J302=0,ISNUMBER(AP302),AP302&lt;=(C302+T302)),AP302,9E15),IF(AND(K302=0,ISNUMBER(AQ302),AQ302&lt;=(C302+T302)),AQ302,9E15),IF(AND(L302=0,ISNUMBER(AR302),AR302&lt;=(C302+T302)),AR302,9E15),IF(AND(M302=0,ISNUMBER(AS302),AS302&lt;=(C302+T302)),AS302,9E15))),"OC","MG"))),IF(AX302=TRUE,"",IF(MAX(IF(AND(NOT(AND(AU302=1,AT302&lt;&gt;1)),ISNUMBER(AK302),AK302&lt;=(C302+T302)),AY302,0),IF(AND(NOT(AND(AU302=1,AT302&lt;&gt;1)),ISNUMBER(AL302),AL302&lt;=(C302+T302)),AZ302,0),IF(AND(NOT(AND(AU302=1,AT302&lt;&gt;1)),ISNUMBER(AM302),AM302&lt;=(C302+T302)),BA302,0),IF(AND(NOT(AND(AU302=1,AT302&lt;&gt;1)),ISNUMBER(AN302),AN302&lt;=(C302+T302)),BB302,0),IF(AND(ISNUMBER(AO302),AO302&lt;=(C302+T302)),BC302,0))&lt;=0,"",IF(AND(IF(AND(NOT(AND(AU302=1,AT302&lt;&gt;1)),ISNUMBER(AK302),AK302&lt;=(C302+T302)),AY302,0)&gt;0,IF(AND(NOT(AND(AU302=1,AT302&lt;&gt;1)),ISNUMBER(AK302),AK302&lt;=(C302+T302)),AY302,0)=MAX(IF(AND(NOT(AND(AU302=1,AT302&lt;&gt;1)),ISNUMBER(AK302),AK302&lt;=(C302+T302)),AY302,0),IF(AND(NOT(AND(AU302=1,AT302&lt;&gt;1)),ISNUMBER(AL302),AL302&lt;=(C302+T302)),AZ302,0),IF(AND(NOT(AND(AU302=1,AT302&lt;&gt;1)),ISNUMBER(AM302),AM302&lt;=(C302+T302)),BA302,0),IF(AND(NOT(AND(AU302=1,AT302&lt;&gt;1)),ISNUMBER(AN302),AN302&lt;=(C302+T302)),BB302,0),IF(AND(ISNUMBER(AO302),AO302&lt;=(C302+T302)),BC302,0))),"SK",IF(AND(IF(AND(NOT(AND(AU302=1,AT302&lt;&gt;1)),ISNUMBER(AL302),AL302&lt;=(C302+T302)),AZ302,0)&gt;0,IF(AND(NOT(AND(AU302=1,AT302&lt;&gt;1)),ISNUMBER(AL302),AL302&lt;=(C302+T302)),AZ302,0)=MAX(IF(AND(NOT(AND(AU302=1,AT302&lt;&gt;1)),ISNUMBER(AK302),AK302&lt;=(C302+T302)),AY302,0),IF(AND(NOT(AND(AU302=1,AT302&lt;&gt;1)),ISNUMBER(AL302),AL302&lt;=(C302+T302)),AZ302,0),IF(AND(NOT(AND(AU302=1,AT302&lt;&gt;1)),ISNUMBER(AM302),AM302&lt;=(C302+T302)),BA302,0),IF(AND(NOT(AND(AU302=1,AT302&lt;&gt;1)),ISNUMBER(AN302),AN302&lt;=(C302+T302)),BB302,0),IF(AND(ISNUMBER(AO302),AO302&lt;=(C302+T302)),BC302,0))),"LB",IF(AND(IF(AND(NOT(AND(AU302=1,AT302&lt;&gt;1)),ISNUMBER(AM302),AM302&lt;=(C302+T302)),BA302,0)&gt;0,IF(AND(NOT(AND(AU302=1,AT302&lt;&gt;1)),ISNUMBER(AM302),AM302&lt;=(C302+T302)),BA302,0)=MAX(IF(AND(NOT(AND(AU302=1,AT302&lt;&gt;1)),ISNUMBER(AK302),AK302&lt;=(C302+T302)),AY302,0),IF(AND(NOT(AND(AU302=1,AT302&lt;&gt;1)),ISNUMBER(AL302),AL302&lt;=(C302+T302)),AZ302,0),IF(AND(NOT(AND(AU302=1,AT302&lt;&gt;1)),ISNUMBER(AM302),AM302&lt;=(C302+T302)),BA302,0),IF(AND(NOT(AND(AU302=1,AT302&lt;&gt;1)),ISNUMBER(AN302),AN302&lt;=(C302+T302)),BB302,0),IF(AND(ISNUMBER(AO302),AO302&lt;=(C302+T302)),BC302,0))),"ML",IF(AND(IF(AND(NOT(AND(AU302=1,AT302&lt;&gt;1)),ISNUMBER(AN302),AN302&lt;=(C302+T302)),BB302,0)&gt;0,IF(AND(NOT(AND(AU302=1,AT302&lt;&gt;1)),ISNUMBER(AN302),AN302&lt;=(C302+T302)),BB302,0)=MAX(IF(AND(NOT(AND(AU302=1,AT302&lt;&gt;1)),ISNUMBER(AK302),AK302&lt;=(C302+T302)),AY302,0),IF(AND(NOT(AND(AU302=1,AT302&lt;&gt;1)),ISNUMBER(AL302),AL302&lt;=(C302+T302)),AZ302,0),IF(AND(NOT(AND(AU302=1,AT302&lt;&gt;1)),ISNUMBER(AM302),AM302&lt;=(C302+T302)),BA302,0),IF(AND(NOT(AND(AU302=1,AT302&lt;&gt;1)),ISNUMBER(AN302),AN302&lt;=(C302+T302)),BB302,0),IF(AND(ISNUMBER(AO302),AO302&lt;=(C302+T302)),BC302,0))),"RLO","BD"))))))))</f>
        <v/>
      </c>
    </row>
    <row r="303">
      <c r="A303" s="26" t="n">
        <v>292</v>
      </c>
      <c r="B303" s="27">
        <f>A303*10/60</f>
        <v/>
      </c>
      <c r="C303" s="22">
        <f>X302</f>
        <v/>
      </c>
      <c r="D303" s="27">
        <f>D302+W302</f>
        <v/>
      </c>
      <c r="E303" s="26">
        <f>E302+IF(U302="SK",1,0)</f>
        <v/>
      </c>
      <c r="F303" s="26">
        <f>F302+IF(U302="LB",1,0)</f>
        <v/>
      </c>
      <c r="G303" s="26">
        <f>G302+IF(U302="ML",1,0)</f>
        <v/>
      </c>
      <c r="H303" s="26">
        <f>H302+IF(U302="RLO",1,0)</f>
        <v/>
      </c>
      <c r="I303" s="26">
        <f>I302+IF(U302="BD",1,0)</f>
        <v/>
      </c>
      <c r="J303" s="26">
        <f>MAX(J302,IF(U302="BiP",1,0))</f>
        <v/>
      </c>
      <c r="K303" s="26">
        <f>MAX(K302,IF(U302="PV",1,0))</f>
        <v/>
      </c>
      <c r="L303" s="26">
        <f>MAX(L302,IF(U302="OC",1,0))</f>
        <v/>
      </c>
      <c r="M303" s="26">
        <f>MAX(M302,IF(U302="MG",1,0))</f>
        <v/>
      </c>
      <c r="N303" s="26">
        <f>MAX(N302,IF(U302="transition",1,0))</f>
        <v/>
      </c>
      <c r="O303" s="28">
        <f>(Parameters!$B$9+(IF(E303=0,0,(Upgrades!$J$13+E303*Upgrades!$K$13)*POWER(Upgrades!$L$13,E303)))*(IF(Upgrades!$T$14="Stellar Kinematics",POWER(Upgrades!$U$14,F303),1)*IF(Upgrades!$T$15="Stellar Kinematics",POWER(Upgrades!$U$15,G303),1)*IF(Upgrades!$T$16="Stellar Kinematics",POWER(Upgrades!$U$16,H303),1)*IF(Upgrades!$T$17="Stellar Kinematics",POWER(Upgrades!$U$17,I303),1)*IF(Upgrades!$T$18="Stellar Kinematics",POWER(Upgrades!$U$18,J303),1)*IF(Upgrades!$T$19="Stellar Kinematics",POWER(Upgrades!$U$19,K303),1)*IF(Upgrades!$T$20="Stellar Kinematics",POWER(Upgrades!$U$20,L303),1)*IF(Upgrades!$T$21="Stellar Kinematics",POWER(Upgrades!$U$21,M303),1))+(IF(F303=0,0,(Upgrades!$J$14+F303*Upgrades!$K$14)*POWER(Upgrades!$L$14,F303)))*(IF(Upgrades!$T$13="Local Bubble",POWER(Upgrades!$U$13,E303),1)*IF(Upgrades!$T$15="Local Bubble",POWER(Upgrades!$U$15,G303),1)*IF(Upgrades!$T$16="Local Bubble",POWER(Upgrades!$U$16,H303),1)*IF(Upgrades!$T$17="Local Bubble",POWER(Upgrades!$U$17,I303),1)*IF(Upgrades!$T$18="Local Bubble",POWER(Upgrades!$U$18,J303),1)*IF(Upgrades!$T$19="Local Bubble",POWER(Upgrades!$U$19,K303),1)*IF(Upgrades!$T$20="Local Bubble",POWER(Upgrades!$U$20,L303),1)*IF(Upgrades!$T$21="Local Bubble",POWER(Upgrades!$U$21,M303),1))+(IF(G303=0,0,(Upgrades!$J$15+G303*Upgrades!$K$15)*POWER(Upgrades!$L$15,G303)))*(IF(Upgrades!$T$13="Microlensing",POWER(Upgrades!$U$13,E303),1)*IF(Upgrades!$T$14="Microlensing",POWER(Upgrades!$U$14,F303),1)*IF(Upgrades!$T$16="Microlensing",POWER(Upgrades!$U$16,H303),1)*IF(Upgrades!$T$17="Microlensing",POWER(Upgrades!$U$17,I303),1)*IF(Upgrades!$T$18="Microlensing",POWER(Upgrades!$U$18,J303),1)*IF(Upgrades!$T$19="Microlensing",POWER(Upgrades!$U$19,K303),1)*IF(Upgrades!$T$20="Microlensing",POWER(Upgrades!$U$20,L303),1)*IF(Upgrades!$T$21="Microlensing",POWER(Upgrades!$U$21,M303),1))+(IF(H303=0,0,(Upgrades!$J$16+H303*Upgrades!$K$16)*POWER(Upgrades!$L$16,H303)))*(IF(Upgrades!$T$13="Roche Lobe Overflow",POWER(Upgrades!$U$13,E303),1)*IF(Upgrades!$T$14="Roche Lobe Overflow",POWER(Upgrades!$U$14,F303),1)*IF(Upgrades!$T$15="Roche Lobe Overflow",POWER(Upgrades!$U$15,G303),1)*IF(Upgrades!$T$17="Roche Lobe Overflow",POWER(Upgrades!$U$17,I303),1)*IF(Upgrades!$T$18="Roche Lobe Overflow",POWER(Upgrades!$U$18,J303),1)*IF(Upgrades!$T$19="Roche Lobe Overflow",POWER(Upgrades!$U$19,K303),1)*IF(Upgrades!$T$20="Roche Lobe Overflow",POWER(Upgrades!$U$20,L303),1)*IF(Upgrades!$T$21="Roche Lobe Overflow",POWER(Upgrades!$U$21,M303),1))+(IF(I303=0,0,(Upgrades!$J$17+I303*Upgrades!$K$17)*POWER(Upgrades!$L$17,I303)))*(IF(Upgrades!$T$13="Brown Dwarf",POWER(Upgrades!$U$13,E303),1)*IF(Upgrades!$T$14="Brown Dwarf",POWER(Upgrades!$U$14,F303),1)*IF(Upgrades!$T$15="Brown Dwarf",POWER(Upgrades!$U$15,G303),1)*IF(Upgrades!$T$16="Brown Dwarf",POWER(Upgrades!$U$16,H303),1)*IF(Upgrades!$T$18="Brown Dwarf",POWER(Upgrades!$U$18,J303),1)*IF(Upgrades!$T$19="Brown Dwarf",POWER(Upgrades!$U$19,K303),1)*IF(Upgrades!$T$20="Brown Dwarf",POWER(Upgrades!$U$20,L303),1)*IF(Upgrades!$T$21="Brown Dwarf",POWER(Upgrades!$U$21,M303),1))+(IF(J303=0,0,(Upgrades!$J$18+J303*Upgrades!$K$18)*POWER(Upgrades!$L$18,J303)))*(IF(Upgrades!$T$13="Binary Partner",POWER(Upgrades!$U$13,E303),1)*IF(Upgrades!$T$14="Binary Partner",POWER(Upgrades!$U$14,F303),1)*IF(Upgrades!$T$15="Binary Partner",POWER(Upgrades!$U$15,G303),1)*IF(Upgrades!$T$16="Binary Partner",POWER(Upgrades!$U$16,H303),1)*IF(Upgrades!$T$17="Binary Partner",POWER(Upgrades!$U$17,I303),1)*IF(Upgrades!$T$19="Binary Partner",POWER(Upgrades!$U$19,K303),1)*IF(Upgrades!$T$20="Binary Partner",POWER(Upgrades!$U$20,L303),1)*IF(Upgrades!$T$21="Binary Partner",POWER(Upgrades!$U$21,M303),1))+(IF(K303=0,0,(Upgrades!$J$19+K303*Upgrades!$K$19)*POWER(Upgrades!$L$19,K303)))*(IF(Upgrades!$T$13="Peculiar Velocity",POWER(Upgrades!$U$13,E303),1)*IF(Upgrades!$T$14="Peculiar Velocity",POWER(Upgrades!$U$14,F303),1)*IF(Upgrades!$T$15="Peculiar Velocity",POWER(Upgrades!$U$15,G303),1)*IF(Upgrades!$T$16="Peculiar Velocity",POWER(Upgrades!$U$16,H303),1)*IF(Upgrades!$T$17="Peculiar Velocity",POWER(Upgrades!$U$17,I303),1)*IF(Upgrades!$T$18="Peculiar Velocity",POWER(Upgrades!$U$18,J303),1)*IF(Upgrades!$T$20="Peculiar Velocity",POWER(Upgrades!$U$20,L303),1)*IF(Upgrades!$T$21="Peculiar Velocity",POWER(Upgrades!$U$21,M303),1))+(IF(L303=0,0,(Upgrades!$J$20+L303*Upgrades!$K$20)*POWER(Upgrades!$L$20,L303)))*(IF(Upgrades!$T$13="Open Cluster",POWER(Upgrades!$U$13,E303),1)*IF(Upgrades!$T$14="Open Cluster",POWER(Upgrades!$U$14,F303),1)*IF(Upgrades!$T$15="Open Cluster",POWER(Upgrades!$U$15,G303),1)*IF(Upgrades!$T$16="Open Cluster",POWER(Upgrades!$U$16,H303),1)*IF(Upgrades!$T$17="Open Cluster",POWER(Upgrades!$U$17,I303),1)*IF(Upgrades!$T$18="Open Cluster",POWER(Upgrades!$U$18,J303),1)*IF(Upgrades!$T$19="Open Cluster",POWER(Upgrades!$U$19,K303),1)*IF(Upgrades!$T$21="Open Cluster",POWER(Upgrades!$U$21,M303),1))+(IF(M303=0,0,(Upgrades!$J$21+M303*Upgrades!$K$21)*POWER(Upgrades!$L$21,M303)))*(IF(Upgrades!$T$13="Moving Group",POWER(Upgrades!$U$13,E303),1)*IF(Upgrades!$T$14="Moving Group",POWER(Upgrades!$U$14,F303),1)*IF(Upgrades!$T$15="Moving Group",POWER(Upgrades!$U$15,G303),1)*IF(Upgrades!$T$16="Moving Group",POWER(Upgrades!$U$16,H303),1)*IF(Upgrades!$T$17="Moving Group",POWER(Upgrades!$U$17,I303),1)*IF(Upgrades!$T$18="Moving Group",POWER(Upgrades!$U$18,J303),1)*IF(Upgrades!$T$19="Moving Group",POWER(Upgrades!$U$19,K303),1)*IF(Upgrades!$T$20="Moving Group",POWER(Upgrades!$U$20,L303),1)))*POWER(Upgrades!$Q$13,E303)*POWER(Upgrades!$Q$14,F303)*POWER(Upgrades!$Q$15,G303)*POWER(Upgrades!$Q$16,H303)*POWER(Upgrades!$Q$17,I303)*POWER(Upgrades!$Q$18,J303)*POWER(Upgrades!$Q$19,K303)*POWER(Upgrades!$Q$20,L303)*POWER(Upgrades!$Q$21,M303)*$G$6+$D$6</f>
        <v/>
      </c>
      <c r="P303" s="28">
        <f>((IF(E303=0,0,(Upgrades!$G$13+E303*Upgrades!$H$13)*POWER(Upgrades!$I$13,E303)))*(IF(Upgrades!$T$14="Stellar Kinematics",POWER(Upgrades!$U$14,F303),1)*IF(Upgrades!$T$15="Stellar Kinematics",POWER(Upgrades!$U$15,G303),1)*IF(Upgrades!$T$16="Stellar Kinematics",POWER(Upgrades!$U$16,H303),1)*IF(Upgrades!$T$17="Stellar Kinematics",POWER(Upgrades!$U$17,I303),1)*IF(Upgrades!$T$18="Stellar Kinematics",POWER(Upgrades!$U$18,J303),1)*IF(Upgrades!$T$19="Stellar Kinematics",POWER(Upgrades!$U$19,K303),1)*IF(Upgrades!$T$20="Stellar Kinematics",POWER(Upgrades!$U$20,L303),1)*IF(Upgrades!$T$21="Stellar Kinematics",POWER(Upgrades!$U$21,M303),1))+(IF(F303=0,0,(Upgrades!$G$14+F303*Upgrades!$H$14)*POWER(Upgrades!$I$14,F303)))*(IF(Upgrades!$T$13="Local Bubble",POWER(Upgrades!$U$13,E303),1)*IF(Upgrades!$T$15="Local Bubble",POWER(Upgrades!$U$15,G303),1)*IF(Upgrades!$T$16="Local Bubble",POWER(Upgrades!$U$16,H303),1)*IF(Upgrades!$T$17="Local Bubble",POWER(Upgrades!$U$17,I303),1)*IF(Upgrades!$T$18="Local Bubble",POWER(Upgrades!$U$18,J303),1)*IF(Upgrades!$T$19="Local Bubble",POWER(Upgrades!$U$19,K303),1)*IF(Upgrades!$T$20="Local Bubble",POWER(Upgrades!$U$20,L303),1)*IF(Upgrades!$T$21="Local Bubble",POWER(Upgrades!$U$21,M303),1))+(IF(G303=0,0,(Upgrades!$G$15+G303*Upgrades!$H$15)*POWER(Upgrades!$I$15,G303)))*(IF(Upgrades!$T$13="Microlensing",POWER(Upgrades!$U$13,E303),1)*IF(Upgrades!$T$14="Microlensing",POWER(Upgrades!$U$14,F303),1)*IF(Upgrades!$T$16="Microlensing",POWER(Upgrades!$U$16,H303),1)*IF(Upgrades!$T$17="Microlensing",POWER(Upgrades!$U$17,I303),1)*IF(Upgrades!$T$18="Microlensing",POWER(Upgrades!$U$18,J303),1)*IF(Upgrades!$T$19="Microlensing",POWER(Upgrades!$U$19,K303),1)*IF(Upgrades!$T$20="Microlensing",POWER(Upgrades!$U$20,L303),1)*IF(Upgrades!$T$21="Microlensing",POWER(Upgrades!$U$21,M303),1))+(IF(H303=0,0,(Upgrades!$G$16+H303*Upgrades!$H$16)*POWER(Upgrades!$I$16,H303)))*(IF(Upgrades!$T$13="Roche Lobe Overflow",POWER(Upgrades!$U$13,E303),1)*IF(Upgrades!$T$14="Roche Lobe Overflow",POWER(Upgrades!$U$14,F303),1)*IF(Upgrades!$T$15="Roche Lobe Overflow",POWER(Upgrades!$U$15,G303),1)*IF(Upgrades!$T$17="Roche Lobe Overflow",POWER(Upgrades!$U$17,I303),1)*IF(Upgrades!$T$18="Roche Lobe Overflow",POWER(Upgrades!$U$18,J303),1)*IF(Upgrades!$T$19="Roche Lobe Overflow",POWER(Upgrades!$U$19,K303),1)*IF(Upgrades!$T$20="Roche Lobe Overflow",POWER(Upgrades!$U$20,L303),1)*IF(Upgrades!$T$21="Roche Lobe Overflow",POWER(Upgrades!$U$21,M303),1))+(IF(I303=0,0,(Upgrades!$G$17+I303*Upgrades!$H$17)*POWER(Upgrades!$I$17,I303)))*(IF(Upgrades!$T$13="Brown Dwarf",POWER(Upgrades!$U$13,E303),1)*IF(Upgrades!$T$14="Brown Dwarf",POWER(Upgrades!$U$14,F303),1)*IF(Upgrades!$T$15="Brown Dwarf",POWER(Upgrades!$U$15,G303),1)*IF(Upgrades!$T$16="Brown Dwarf",POWER(Upgrades!$U$16,H303),1)*IF(Upgrades!$T$18="Brown Dwarf",POWER(Upgrades!$U$18,J303),1)*IF(Upgrades!$T$19="Brown Dwarf",POWER(Upgrades!$U$19,K303),1)*IF(Upgrades!$T$20="Brown Dwarf",POWER(Upgrades!$U$20,L303),1)*IF(Upgrades!$T$21="Brown Dwarf",POWER(Upgrades!$U$21,M303),1))+(IF(J303=0,0,(Upgrades!$G$18+J303*Upgrades!$H$18)*POWER(Upgrades!$I$18,J303)))*(IF(Upgrades!$T$13="Binary Partner",POWER(Upgrades!$U$13,E303),1)*IF(Upgrades!$T$14="Binary Partner",POWER(Upgrades!$U$14,F303),1)*IF(Upgrades!$T$15="Binary Partner",POWER(Upgrades!$U$15,G303),1)*IF(Upgrades!$T$16="Binary Partner",POWER(Upgrades!$U$16,H303),1)*IF(Upgrades!$T$17="Binary Partner",POWER(Upgrades!$U$17,I303),1)*IF(Upgrades!$T$19="Binary Partner",POWER(Upgrades!$U$19,K303),1)*IF(Upgrades!$T$20="Binary Partner",POWER(Upgrades!$U$20,L303),1)*IF(Upgrades!$T$21="Binary Partner",POWER(Upgrades!$U$21,M303),1))+(IF(K303=0,0,(Upgrades!$G$19+K303*Upgrades!$H$19)*POWER(Upgrades!$I$19,K303)))*(IF(Upgrades!$T$13="Peculiar Velocity",POWER(Upgrades!$U$13,E303),1)*IF(Upgrades!$T$14="Peculiar Velocity",POWER(Upgrades!$U$14,F303),1)*IF(Upgrades!$T$15="Peculiar Velocity",POWER(Upgrades!$U$15,G303),1)*IF(Upgrades!$T$16="Peculiar Velocity",POWER(Upgrades!$U$16,H303),1)*IF(Upgrades!$T$17="Peculiar Velocity",POWER(Upgrades!$U$17,I303),1)*IF(Upgrades!$T$18="Peculiar Velocity",POWER(Upgrades!$U$18,J303),1)*IF(Upgrades!$T$20="Peculiar Velocity",POWER(Upgrades!$U$20,L303),1)*IF(Upgrades!$T$21="Peculiar Velocity",POWER(Upgrades!$U$21,M303),1))+(IF(L303=0,0,(Upgrades!$G$20+L303*Upgrades!$H$20)*POWER(Upgrades!$I$20,L303)))*(IF(Upgrades!$T$13="Open Cluster",POWER(Upgrades!$U$13,E303),1)*IF(Upgrades!$T$14="Open Cluster",POWER(Upgrades!$U$14,F303),1)*IF(Upgrades!$T$15="Open Cluster",POWER(Upgrades!$U$15,G303),1)*IF(Upgrades!$T$16="Open Cluster",POWER(Upgrades!$U$16,H303),1)*IF(Upgrades!$T$17="Open Cluster",POWER(Upgrades!$U$17,I303),1)*IF(Upgrades!$T$18="Open Cluster",POWER(Upgrades!$U$18,J303),1)*IF(Upgrades!$T$19="Open Cluster",POWER(Upgrades!$U$19,K303),1)*IF(Upgrades!$T$21="Open Cluster",POWER(Upgrades!$U$21,M303),1))+(IF(M303=0,0,(Upgrades!$G$21+M303*Upgrades!$H$21)*POWER(Upgrades!$I$21,M303)))*(IF(Upgrades!$T$13="Moving Group",POWER(Upgrades!$U$13,E303),1)*IF(Upgrades!$T$14="Moving Group",POWER(Upgrades!$U$14,F303),1)*IF(Upgrades!$T$15="Moving Group",POWER(Upgrades!$U$15,G303),1)*IF(Upgrades!$T$16="Moving Group",POWER(Upgrades!$U$16,H303),1)*IF(Upgrades!$T$17="Moving Group",POWER(Upgrades!$U$17,I303),1)*IF(Upgrades!$T$18="Moving Group",POWER(Upgrades!$U$18,J303),1)*IF(Upgrades!$T$19="Moving Group",POWER(Upgrades!$U$19,K303),1)*IF(Upgrades!$T$20="Moving Group",POWER(Upgrades!$U$20,L303),1)))*POWER(Upgrades!$P$13,E303)*POWER(Upgrades!$P$14,F303)*POWER(Upgrades!$P$15,G303)*POWER(Upgrades!$P$16,H303)*POWER(Upgrades!$P$17,I303)*POWER(Upgrades!$P$18,J303)*POWER(Upgrades!$P$19,K303)*POWER(Upgrades!$P$20,L303)*POWER(Upgrades!$P$21,M303)*$F$6+$C$6</f>
        <v/>
      </c>
      <c r="Q303" s="28">
        <f>((IF(E303=0,0,(Upgrades!$M$13+E303*Upgrades!$N$13)*POWER(Upgrades!$O$13,E303)))*(IF(Upgrades!$T$14="Stellar Kinematics",POWER(Upgrades!$U$14,F303),1)*IF(Upgrades!$T$15="Stellar Kinematics",POWER(Upgrades!$U$15,G303),1)*IF(Upgrades!$T$16="Stellar Kinematics",POWER(Upgrades!$U$16,H303),1)*IF(Upgrades!$T$17="Stellar Kinematics",POWER(Upgrades!$U$17,I303),1)*IF(Upgrades!$T$18="Stellar Kinematics",POWER(Upgrades!$U$18,J303),1)*IF(Upgrades!$T$19="Stellar Kinematics",POWER(Upgrades!$U$19,K303),1)*IF(Upgrades!$T$20="Stellar Kinematics",POWER(Upgrades!$U$20,L303),1)*IF(Upgrades!$T$21="Stellar Kinematics",POWER(Upgrades!$U$21,M303),1))+(IF(F303=0,0,(Upgrades!$M$14+F303*Upgrades!$N$14)*POWER(Upgrades!$O$14,F303)))*(IF(Upgrades!$T$13="Local Bubble",POWER(Upgrades!$U$13,E303),1)*IF(Upgrades!$T$15="Local Bubble",POWER(Upgrades!$U$15,G303),1)*IF(Upgrades!$T$16="Local Bubble",POWER(Upgrades!$U$16,H303),1)*IF(Upgrades!$T$17="Local Bubble",POWER(Upgrades!$U$17,I303),1)*IF(Upgrades!$T$18="Local Bubble",POWER(Upgrades!$U$18,J303),1)*IF(Upgrades!$T$19="Local Bubble",POWER(Upgrades!$U$19,K303),1)*IF(Upgrades!$T$20="Local Bubble",POWER(Upgrades!$U$20,L303),1)*IF(Upgrades!$T$21="Local Bubble",POWER(Upgrades!$U$21,M303),1))+(IF(G303=0,0,(Upgrades!$M$15+G303*Upgrades!$N$15)*POWER(Upgrades!$O$15,G303)))*(IF(Upgrades!$T$13="Microlensing",POWER(Upgrades!$U$13,E303),1)*IF(Upgrades!$T$14="Microlensing",POWER(Upgrades!$U$14,F303),1)*IF(Upgrades!$T$16="Microlensing",POWER(Upgrades!$U$16,H303),1)*IF(Upgrades!$T$17="Microlensing",POWER(Upgrades!$U$17,I303),1)*IF(Upgrades!$T$18="Microlensing",POWER(Upgrades!$U$18,J303),1)*IF(Upgrades!$T$19="Microlensing",POWER(Upgrades!$U$19,K303),1)*IF(Upgrades!$T$20="Microlensing",POWER(Upgrades!$U$20,L303),1)*IF(Upgrades!$T$21="Microlensing",POWER(Upgrades!$U$21,M303),1))+(IF(H303=0,0,(Upgrades!$M$16+H303*Upgrades!$N$16)*POWER(Upgrades!$O$16,H303)))*(IF(Upgrades!$T$13="Roche Lobe Overflow",POWER(Upgrades!$U$13,E303),1)*IF(Upgrades!$T$14="Roche Lobe Overflow",POWER(Upgrades!$U$14,F303),1)*IF(Upgrades!$T$15="Roche Lobe Overflow",POWER(Upgrades!$U$15,G303),1)*IF(Upgrades!$T$17="Roche Lobe Overflow",POWER(Upgrades!$U$17,I303),1)*IF(Upgrades!$T$18="Roche Lobe Overflow",POWER(Upgrades!$U$18,J303),1)*IF(Upgrades!$T$19="Roche Lobe Overflow",POWER(Upgrades!$U$19,K303),1)*IF(Upgrades!$T$20="Roche Lobe Overflow",POWER(Upgrades!$U$20,L303),1)*IF(Upgrades!$T$21="Roche Lobe Overflow",POWER(Upgrades!$U$21,M303),1))+(IF(I303=0,0,(Upgrades!$M$17+I303*Upgrades!$N$17)*POWER(Upgrades!$O$17,I303)))*(IF(Upgrades!$T$13="Brown Dwarf",POWER(Upgrades!$U$13,E303),1)*IF(Upgrades!$T$14="Brown Dwarf",POWER(Upgrades!$U$14,F303),1)*IF(Upgrades!$T$15="Brown Dwarf",POWER(Upgrades!$U$15,G303),1)*IF(Upgrades!$T$16="Brown Dwarf",POWER(Upgrades!$U$16,H303),1)*IF(Upgrades!$T$18="Brown Dwarf",POWER(Upgrades!$U$18,J303),1)*IF(Upgrades!$T$19="Brown Dwarf",POWER(Upgrades!$U$19,K303),1)*IF(Upgrades!$T$20="Brown Dwarf",POWER(Upgrades!$U$20,L303),1)*IF(Upgrades!$T$21="Brown Dwarf",POWER(Upgrades!$U$21,M303),1))+(IF(J303=0,0,(Upgrades!$M$18+J303*Upgrades!$N$18)*POWER(Upgrades!$O$18,J303)))*(IF(Upgrades!$T$13="Binary Partner",POWER(Upgrades!$U$13,E303),1)*IF(Upgrades!$T$14="Binary Partner",POWER(Upgrades!$U$14,F303),1)*IF(Upgrades!$T$15="Binary Partner",POWER(Upgrades!$U$15,G303),1)*IF(Upgrades!$T$16="Binary Partner",POWER(Upgrades!$U$16,H303),1)*IF(Upgrades!$T$17="Binary Partner",POWER(Upgrades!$U$17,I303),1)*IF(Upgrades!$T$19="Binary Partner",POWER(Upgrades!$U$19,K303),1)*IF(Upgrades!$T$20="Binary Partner",POWER(Upgrades!$U$20,L303),1)*IF(Upgrades!$T$21="Binary Partner",POWER(Upgrades!$U$21,M303),1))+(IF(K303=0,0,(Upgrades!$M$19+K303*Upgrades!$N$19)*POWER(Upgrades!$O$19,K303)))*(IF(Upgrades!$T$13="Peculiar Velocity",POWER(Upgrades!$U$13,E303),1)*IF(Upgrades!$T$14="Peculiar Velocity",POWER(Upgrades!$U$14,F303),1)*IF(Upgrades!$T$15="Peculiar Velocity",POWER(Upgrades!$U$15,G303),1)*IF(Upgrades!$T$16="Peculiar Velocity",POWER(Upgrades!$U$16,H303),1)*IF(Upgrades!$T$17="Peculiar Velocity",POWER(Upgrades!$U$17,I303),1)*IF(Upgrades!$T$18="Peculiar Velocity",POWER(Upgrades!$U$18,J303),1)*IF(Upgrades!$T$20="Peculiar Velocity",POWER(Upgrades!$U$20,L303),1)*IF(Upgrades!$T$21="Peculiar Velocity",POWER(Upgrades!$U$21,M303),1))+(IF(L303=0,0,(Upgrades!$M$20+L303*Upgrades!$N$20)*POWER(Upgrades!$O$20,L303)))*(IF(Upgrades!$T$13="Open Cluster",POWER(Upgrades!$U$13,E303),1)*IF(Upgrades!$T$14="Open Cluster",POWER(Upgrades!$U$14,F303),1)*IF(Upgrades!$T$15="Open Cluster",POWER(Upgrades!$U$15,G303),1)*IF(Upgrades!$T$16="Open Cluster",POWER(Upgrades!$U$16,H303),1)*IF(Upgrades!$T$17="Open Cluster",POWER(Upgrades!$U$17,I303),1)*IF(Upgrades!$T$18="Open Cluster",POWER(Upgrades!$U$18,J303),1)*IF(Upgrades!$T$19="Open Cluster",POWER(Upgrades!$U$19,K303),1)*IF(Upgrades!$T$21="Open Cluster",POWER(Upgrades!$U$21,M303),1))+(IF(M303=0,0,(Upgrades!$M$21+M303*Upgrades!$N$21)*POWER(Upgrades!$O$21,M303)))*(IF(Upgrades!$T$13="Moving Group",POWER(Upgrades!$U$13,E303),1)*IF(Upgrades!$T$14="Moving Group",POWER(Upgrades!$U$14,F303),1)*IF(Upgrades!$T$15="Moving Group",POWER(Upgrades!$U$15,G303),1)*IF(Upgrades!$T$16="Moving Group",POWER(Upgrades!$U$16,H303),1)*IF(Upgrades!$T$17="Moving Group",POWER(Upgrades!$U$17,I303),1)*IF(Upgrades!$T$18="Moving Group",POWER(Upgrades!$U$18,J303),1)*IF(Upgrades!$T$19="Moving Group",POWER(Upgrades!$U$19,K303),1)*IF(Upgrades!$T$20="Moving Group",POWER(Upgrades!$U$20,L303),1)))*POWER(Upgrades!$R$13,E303)*POWER(Upgrades!$R$14,F303)*POWER(Upgrades!$R$15,G303)*POWER(Upgrades!$R$16,H303)*POWER(Upgrades!$R$17,I303)*POWER(Upgrades!$R$18,J303)*POWER(Upgrades!$R$19,K303)*POWER(Upgrades!$R$20,L303)*POWER(Upgrades!$R$21,M303)*$H$6+$E$6</f>
        <v/>
      </c>
      <c r="R303" s="27">
        <f>IF(N303=1,0,O303*Parameters!$B$10/60*Parameters!$B$11*10)</f>
        <v/>
      </c>
      <c r="S303" s="27">
        <f>IF(N303=1,0,Q303*O303*10)</f>
        <v/>
      </c>
      <c r="T303" s="27">
        <f>IF(N303=1,0,R303+S303+P303*10)</f>
        <v/>
      </c>
      <c r="U303" s="33">
        <f>BE303</f>
        <v/>
      </c>
      <c r="V303" s="22">
        <f>IF(U303="",0,IF(U303="transition",0,IF(U303="SK",AK303,IF(U303="LB",AL303,IF(U303="ML",AM303,IF(U303="RLO",AN303,IF(U303="BD",AO303,IF(U303="BiP",AP303,IF(U303="PV",AQ303,IF(U303="OC",AR303,IF(U303="MG",AS303,0))))))))))</f>
        <v/>
      </c>
      <c r="W303" s="27">
        <f>IF(U303="BiP",Upgrades!$F$18,IF(U303="PV",Upgrades!$F$19,IF(U303="OC",Upgrades!$F$20,IF(U303="MG",Upgrades!$F$21,IF(U303="transition",-Parameters!$B$18*Parameters!$B$19,0)))))</f>
        <v/>
      </c>
      <c r="X303" s="22">
        <f>C303+T303-V303</f>
        <v/>
      </c>
      <c r="Y303" s="30">
        <f>O303*Parameters!$B$10/60*Parameters!$B$11+Q303*O303+P303</f>
        <v/>
      </c>
      <c r="Z303" s="34">
        <f>IF(U303="transition","→ Tier 3 (Galactic Arm)",IF(U303="MG","Moving Group — pocket drifts together",IF(U303="OC","Open Cluster acquired",IF(U303="PV","Peculiar Velocity — passive multiplier active",IF(U303="BiP","Binary Partner — pair bond formed",IF(AND(AU303=1,N303=0,AT303&lt;&gt;1),"Cohesion ready (waiting on completionists)","")))))) </f>
        <v/>
      </c>
      <c r="AA303" s="27">
        <f>(IF(E303=0,0,(Upgrades!$G$13+E303*Upgrades!$H$13)*POWER(Upgrades!$I$13,E303)))*(IF(Upgrades!$T$14="Stellar Kinematics",POWER(Upgrades!$U$14,F303),1)*IF(Upgrades!$T$15="Stellar Kinematics",POWER(Upgrades!$U$15,G303),1)*IF(Upgrades!$T$16="Stellar Kinematics",POWER(Upgrades!$U$16,H303),1)*IF(Upgrades!$T$17="Stellar Kinematics",POWER(Upgrades!$U$17,I303),1)*IF(Upgrades!$T$18="Stellar Kinematics",POWER(Upgrades!$U$18,J303),1)*IF(Upgrades!$T$19="Stellar Kinematics",POWER(Upgrades!$U$19,K303),1)*IF(Upgrades!$T$20="Stellar Kinematics",POWER(Upgrades!$U$20,L303),1)*IF(Upgrades!$T$21="Stellar Kinematics",POWER(Upgrades!$U$21,M303),1))*POWER(Upgrades!$P$13,E303)*POWER(Upgrades!$P$14,F303)*POWER(Upgrades!$P$15,G303)*POWER(Upgrades!$P$16,H303)*POWER(Upgrades!$P$17,I303)*POWER(Upgrades!$P$18,J303)*POWER(Upgrades!$P$19,K303)*POWER(Upgrades!$P$20,L303)*POWER(Upgrades!$P$21,M303)*$F$6*60</f>
        <v/>
      </c>
      <c r="AB303" s="27">
        <f>(IF(F303=0,0,(Upgrades!$G$14+F303*Upgrades!$H$14)*POWER(Upgrades!$I$14,F303)))*(IF(Upgrades!$T$13="Local Bubble",POWER(Upgrades!$U$13,E303),1)*IF(Upgrades!$T$15="Local Bubble",POWER(Upgrades!$U$15,G303),1)*IF(Upgrades!$T$16="Local Bubble",POWER(Upgrades!$U$16,H303),1)*IF(Upgrades!$T$17="Local Bubble",POWER(Upgrades!$U$17,I303),1)*IF(Upgrades!$T$18="Local Bubble",POWER(Upgrades!$U$18,J303),1)*IF(Upgrades!$T$19="Local Bubble",POWER(Upgrades!$U$19,K303),1)*IF(Upgrades!$T$20="Local Bubble",POWER(Upgrades!$U$20,L303),1)*IF(Upgrades!$T$21="Local Bubble",POWER(Upgrades!$U$21,M303),1))*POWER(Upgrades!$P$13,E303)*POWER(Upgrades!$P$14,F303)*POWER(Upgrades!$P$15,G303)*POWER(Upgrades!$P$16,H303)*POWER(Upgrades!$P$17,I303)*POWER(Upgrades!$P$18,J303)*POWER(Upgrades!$P$19,K303)*POWER(Upgrades!$P$20,L303)*POWER(Upgrades!$P$21,M303)*$F$6*60</f>
        <v/>
      </c>
      <c r="AC303" s="27">
        <f>(IF(G303=0,0,(Upgrades!$J$15+G303*Upgrades!$K$15)*POWER(Upgrades!$L$15,G303)))*(IF(Upgrades!$T$13="Microlensing",POWER(Upgrades!$U$13,E303),1)*IF(Upgrades!$T$14="Microlensing",POWER(Upgrades!$U$14,F303),1)*IF(Upgrades!$T$16="Microlensing",POWER(Upgrades!$U$16,H303),1)*IF(Upgrades!$T$17="Microlensing",POWER(Upgrades!$U$17,I303),1)*IF(Upgrades!$T$18="Microlensing",POWER(Upgrades!$U$18,J303),1)*IF(Upgrades!$T$19="Microlensing",POWER(Upgrades!$U$19,K303),1)*IF(Upgrades!$T$20="Microlensing",POWER(Upgrades!$U$20,L303),1)*IF(Upgrades!$T$21="Microlensing",POWER(Upgrades!$U$21,M303),1))*POWER(Upgrades!$Q$13,E303)*POWER(Upgrades!$Q$14,F303)*POWER(Upgrades!$Q$15,G303)*POWER(Upgrades!$Q$16,H303)*POWER(Upgrades!$Q$17,I303)*POWER(Upgrades!$Q$18,J303)*POWER(Upgrades!$Q$19,K303)*POWER(Upgrades!$Q$20,L303)*POWER(Upgrades!$Q$21,M303)*$G$6*(Parameters!$B$10*Parameters!$B$11+Q303*60)</f>
        <v/>
      </c>
      <c r="AD303" s="27">
        <f>(IF(H303=0,0,(Upgrades!$M$16+H303*Upgrades!$N$16)*POWER(Upgrades!$O$16,H303)))*(IF(Upgrades!$T$13="Roche Lobe Overflow",POWER(Upgrades!$U$13,E303),1)*IF(Upgrades!$T$14="Roche Lobe Overflow",POWER(Upgrades!$U$14,F303),1)*IF(Upgrades!$T$15="Roche Lobe Overflow",POWER(Upgrades!$U$15,G303),1)*IF(Upgrades!$T$17="Roche Lobe Overflow",POWER(Upgrades!$U$17,I303),1)*IF(Upgrades!$T$18="Roche Lobe Overflow",POWER(Upgrades!$U$18,J303),1)*IF(Upgrades!$T$19="Roche Lobe Overflow",POWER(Upgrades!$U$19,K303),1)*IF(Upgrades!$T$20="Roche Lobe Overflow",POWER(Upgrades!$U$20,L303),1)*IF(Upgrades!$T$21="Roche Lobe Overflow",POWER(Upgrades!$U$21,M303),1))*POWER(Upgrades!$R$13,E303)*POWER(Upgrades!$R$14,F303)*POWER(Upgrades!$R$15,G303)*POWER(Upgrades!$R$16,H303)*POWER(Upgrades!$R$17,I303)*POWER(Upgrades!$R$18,J303)*POWER(Upgrades!$R$19,K303)*POWER(Upgrades!$R$20,L303)*POWER(Upgrades!$R$21,M303)*$H$6*O303*60</f>
        <v/>
      </c>
      <c r="AE303" s="27">
        <f>(IF(I303=0,0,(Upgrades!$G$17+I303*Upgrades!$H$17)*POWER(Upgrades!$I$17,I303)))*(IF(Upgrades!$T$13="Brown Dwarf",POWER(Upgrades!$U$13,E303),1)*IF(Upgrades!$T$14="Brown Dwarf",POWER(Upgrades!$U$14,F303),1)*IF(Upgrades!$T$15="Brown Dwarf",POWER(Upgrades!$U$15,G303),1)*IF(Upgrades!$T$16="Brown Dwarf",POWER(Upgrades!$U$16,H303),1)*IF(Upgrades!$T$18="Brown Dwarf",POWER(Upgrades!$U$18,J303),1)*IF(Upgrades!$T$19="Brown Dwarf",POWER(Upgrades!$U$19,K303),1)*IF(Upgrades!$T$20="Brown Dwarf",POWER(Upgrades!$U$20,L303),1)*IF(Upgrades!$T$21="Brown Dwarf",POWER(Upgrades!$U$21,M303),1))*POWER(Upgrades!$P$13,E303)*POWER(Upgrades!$P$14,F303)*POWER(Upgrades!$P$15,G303)*POWER(Upgrades!$P$16,H303)*POWER(Upgrades!$P$17,I303)*POWER(Upgrades!$P$18,J303)*POWER(Upgrades!$P$19,K303)*POWER(Upgrades!$P$20,L303)*POWER(Upgrades!$P$21,M303)*$F$6*60</f>
        <v/>
      </c>
      <c r="AF303" s="27" t="n">
        <v>0</v>
      </c>
      <c r="AG303" s="27" t="n">
        <v>0</v>
      </c>
      <c r="AH303" s="27" t="n">
        <v>0</v>
      </c>
      <c r="AI303" s="27">
        <f>(IF(M303=0,0,(Upgrades!$G$21+M303*Upgrades!$H$21)*POWER(Upgrades!$I$21,M303)))*(IF(Upgrades!$T$13="Moving Group",POWER(Upgrades!$U$13,E303),1)*IF(Upgrades!$T$14="Moving Group",POWER(Upgrades!$U$14,F303),1)*IF(Upgrades!$T$15="Moving Group",POWER(Upgrades!$U$15,G303),1)*IF(Upgrades!$T$16="Moving Group",POWER(Upgrades!$U$16,H303),1)*IF(Upgrades!$T$17="Moving Group",POWER(Upgrades!$U$17,I303),1)*IF(Upgrades!$T$18="Moving Group",POWER(Upgrades!$U$18,J303),1)*IF(Upgrades!$T$19="Moving Group",POWER(Upgrades!$U$19,K303),1)*IF(Upgrades!$T$20="Moving Group",POWER(Upgrades!$U$20,L303),1))*POWER(Upgrades!$P$13,E303)*POWER(Upgrades!$P$14,F303)*POWER(Upgrades!$P$15,G303)*POWER(Upgrades!$P$16,H303)*POWER(Upgrades!$P$17,I303)*POWER(Upgrades!$P$18,J303)*POWER(Upgrades!$P$19,K303)*POWER(Upgrades!$P$20,L303)*POWER(Upgrades!$P$21,M303)*$F$6*60</f>
        <v/>
      </c>
      <c r="AJ303" s="27">
        <f>$C$6*60</f>
        <v/>
      </c>
      <c r="AK303" s="22">
        <f>IF(E303&gt;=Upgrades!$E$13,"",Upgrades!$C$13*POWER(Upgrades!$D$13,E303))</f>
        <v/>
      </c>
      <c r="AL303" s="22">
        <f>IF(F303&gt;=Upgrades!$E$14,"",Upgrades!$C$14*POWER(Upgrades!$D$14,F303))</f>
        <v/>
      </c>
      <c r="AM303" s="22">
        <f>IF(G303&gt;=Upgrades!$E$15,"",Upgrades!$C$15*POWER(Upgrades!$D$15,G303))</f>
        <v/>
      </c>
      <c r="AN303" s="22">
        <f>IF(H303&gt;=Upgrades!$E$16,"",Upgrades!$C$16*POWER(Upgrades!$D$16,H303))</f>
        <v/>
      </c>
      <c r="AO303" s="22">
        <f>IF(I303&gt;=Upgrades!$E$17,"",Upgrades!$C$17*POWER(Upgrades!$D$17,I303))</f>
        <v/>
      </c>
      <c r="AP303" s="22">
        <f>IF(J303&gt;=Upgrades!$E$18,"",Upgrades!$C$18*POWER(Upgrades!$D$18,J303))</f>
        <v/>
      </c>
      <c r="AQ303" s="22">
        <f>IF(K303&gt;=Upgrades!$E$19,"",Upgrades!$C$19*POWER(Upgrades!$D$19,K303))</f>
        <v/>
      </c>
      <c r="AR303" s="22">
        <f>IF(L303&gt;=Upgrades!$E$20,"",Upgrades!$C$20*POWER(Upgrades!$D$20,L303))</f>
        <v/>
      </c>
      <c r="AS303" s="22">
        <f>IF(M303&gt;=Upgrades!$E$21,"",Upgrades!$C$21*POWER(Upgrades!$D$21,M303))</f>
        <v/>
      </c>
      <c r="AT303" s="26">
        <f>IF(AND(D303&gt;=Parameters!$B$18*Parameters!$B$19,(I303&gt;=Upgrades!$E$17)*(M303&gt;=Upgrades!$E$21)=1,N303=0),1,"")</f>
        <v/>
      </c>
      <c r="AU303" s="26">
        <f>IF(AND(D303&gt;=Parameters!$B$18*Parameters!$B$19,N303=0),1,"")</f>
        <v/>
      </c>
      <c r="AV303" s="22">
        <f>MIN(IF(ISNUMBER(AP303),AP303,9E15),IF(ISNUMBER(AQ303),AQ303,9E15),IF(ISNUMBER(AR303),AR303,9E15),IF(ISNUMBER(AS303),AS303,9E15))</f>
        <v/>
      </c>
      <c r="AW303" s="22">
        <f>MIN(IF(ISNUMBER(AK303),AK303,9E15),IF(ISNUMBER(AL303),AL303,9E15),IF(ISNUMBER(AM303),AM303,9E15),IF(ISNUMBER(AN303),AN303,9E15),IF(ISNUMBER(AO303),AO303,9E15))</f>
        <v/>
      </c>
      <c r="AX303" s="29">
        <f>IF(BD303&gt;Parameters!$B$21*(MAX(IF(AND(NOT(AND(AU303=1,AT303&lt;&gt;1)),ISNUMBER(AK303),AK303&lt;=(C303+T303)),AY303,0),IF(AND(NOT(AND(AU303=1,AT303&lt;&gt;1)),ISNUMBER(AL303),AL303&lt;=(C303+T303)),AZ303,0),IF(AND(NOT(AND(AU303=1,AT303&lt;&gt;1)),ISNUMBER(AM303),AM303&lt;=(C303+T303)),BA303,0),IF(AND(NOT(AND(AU303=1,AT303&lt;&gt;1)),ISNUMBER(AN303),AN303&lt;=(C303+T303)),BB303,0),IF(AND(ISNUMBER(AO303),AO303&lt;=(C303+T303)),BC303,0))),TRUE,FALSE)</f>
        <v/>
      </c>
      <c r="AY303" s="32">
        <f>IFERROR(Upgrades!$H$13*(POWER(Upgrades!$P$13,E303)*POWER(Upgrades!$P$14,F303)*POWER(Upgrades!$P$15,G303)*POWER(Upgrades!$P$16,H303)*POWER(Upgrades!$P$17,I303)*POWER(Upgrades!$P$18,J303)*POWER(Upgrades!$P$19,K303)*POWER(Upgrades!$P$20,L303)*POWER(Upgrades!$P$21,M303))*(IF(Upgrades!$T$14="Stellar Kinematics",POWER(Upgrades!$U$14,F303),1)*IF(Upgrades!$T$15="Stellar Kinematics",POWER(Upgrades!$U$15,G303),1)*IF(Upgrades!$T$16="Stellar Kinematics",POWER(Upgrades!$U$16,H303),1)*IF(Upgrades!$T$17="Stellar Kinematics",POWER(Upgrades!$U$17,I303),1)*IF(Upgrades!$T$18="Stellar Kinematics",POWER(Upgrades!$U$18,J303),1)*IF(Upgrades!$T$19="Stellar Kinematics",POWER(Upgrades!$U$19,K303),1)*IF(Upgrades!$T$20="Stellar Kinematics",POWER(Upgrades!$U$20,L303),1)*IF(Upgrades!$T$21="Stellar Kinematics",POWER(Upgrades!$U$21,M303),1))*$F$6/AK303,0)</f>
        <v/>
      </c>
      <c r="AZ303" s="32">
        <f>IFERROR(Upgrades!$H$14*(POWER(Upgrades!$P$13,E303)*POWER(Upgrades!$P$14,F303)*POWER(Upgrades!$P$15,G303)*POWER(Upgrades!$P$16,H303)*POWER(Upgrades!$P$17,I303)*POWER(Upgrades!$P$18,J303)*POWER(Upgrades!$P$19,K303)*POWER(Upgrades!$P$20,L303)*POWER(Upgrades!$P$21,M303))*(IF(Upgrades!$T$13="Local Bubble",POWER(Upgrades!$U$13,E303),1)*IF(Upgrades!$T$15="Local Bubble",POWER(Upgrades!$U$15,G303),1)*IF(Upgrades!$T$16="Local Bubble",POWER(Upgrades!$U$16,H303),1)*IF(Upgrades!$T$17="Local Bubble",POWER(Upgrades!$U$17,I303),1)*IF(Upgrades!$T$18="Local Bubble",POWER(Upgrades!$U$18,J303),1)*IF(Upgrades!$T$19="Local Bubble",POWER(Upgrades!$U$19,K303),1)*IF(Upgrades!$T$20="Local Bubble",POWER(Upgrades!$U$20,L303),1)*IF(Upgrades!$T$21="Local Bubble",POWER(Upgrades!$U$21,M303),1))*$F$6/AL303,0)</f>
        <v/>
      </c>
      <c r="BA303" s="32">
        <f>IFERROR(Upgrades!$K$15*(POWER(Upgrades!$Q$13,E303)*POWER(Upgrades!$Q$14,F303)*POWER(Upgrades!$Q$15,G303)*POWER(Upgrades!$Q$16,H303)*POWER(Upgrades!$Q$17,I303)*POWER(Upgrades!$Q$18,J303)*POWER(Upgrades!$Q$19,K303)*POWER(Upgrades!$Q$20,L303)*POWER(Upgrades!$Q$21,M303))*(IF(Upgrades!$T$13="Microlensing",POWER(Upgrades!$U$13,E303),1)*IF(Upgrades!$T$14="Microlensing",POWER(Upgrades!$U$14,F303),1)*IF(Upgrades!$T$16="Microlensing",POWER(Upgrades!$U$16,H303),1)*IF(Upgrades!$T$17="Microlensing",POWER(Upgrades!$U$17,I303),1)*IF(Upgrades!$T$18="Microlensing",POWER(Upgrades!$U$18,J303),1)*IF(Upgrades!$T$19="Microlensing",POWER(Upgrades!$U$19,K303),1)*IF(Upgrades!$T$20="Microlensing",POWER(Upgrades!$U$20,L303),1)*IF(Upgrades!$T$21="Microlensing",POWER(Upgrades!$U$21,M303),1))*$G$6*(Parameters!$B$10/60*Parameters!$B$11+Q303)/AM303,0)</f>
        <v/>
      </c>
      <c r="BB303" s="32">
        <f>IFERROR((Upgrades!$N$16*(POWER(Upgrades!$R$13,E303)*POWER(Upgrades!$R$14,F303)*POWER(Upgrades!$R$15,G303)*POWER(Upgrades!$R$16,H303)*POWER(Upgrades!$R$17,I303)*POWER(Upgrades!$R$18,J303)*POWER(Upgrades!$R$19,K303)*POWER(Upgrades!$R$20,L303)*POWER(Upgrades!$R$21,M303))*(IF(Upgrades!$T$13="Roche Lobe Overflow",POWER(Upgrades!$U$13,E303),1)*IF(Upgrades!$T$14="Roche Lobe Overflow",POWER(Upgrades!$U$14,F303),1)*IF(Upgrades!$T$15="Roche Lobe Overflow",POWER(Upgrades!$U$15,G303),1)*IF(Upgrades!$T$17="Roche Lobe Overflow",POWER(Upgrades!$U$17,I303),1)*IF(Upgrades!$T$18="Roche Lobe Overflow",POWER(Upgrades!$U$18,J303),1)*IF(Upgrades!$T$19="Roche Lobe Overflow",POWER(Upgrades!$U$19,K303),1)*IF(Upgrades!$T$20="Roche Lobe Overflow",POWER(Upgrades!$U$20,L303),1)*IF(Upgrades!$T$21="Roche Lobe Overflow",POWER(Upgrades!$U$21,M303),1))*$H$6*O303+((IF(F303=0,0,(Upgrades!$G$14+F303*Upgrades!$H$14)*POWER(Upgrades!$I$14,F303)))*(IF(Upgrades!$T$13="Local Bubble",POWER(Upgrades!$U$13,E303),1)*IF(Upgrades!$T$15="Local Bubble",POWER(Upgrades!$U$15,G303),1)*IF(Upgrades!$T$16="Local Bubble",POWER(Upgrades!$U$16,H303),1)*IF(Upgrades!$T$17="Local Bubble",POWER(Upgrades!$U$17,I303),1)*IF(Upgrades!$T$18="Local Bubble",POWER(Upgrades!$U$18,J303),1)*IF(Upgrades!$T$19="Local Bubble",POWER(Upgrades!$U$19,K303),1)*IF(Upgrades!$T$20="Local Bubble",POWER(Upgrades!$U$20,L303),1)*IF(Upgrades!$T$21="Local Bubble",POWER(Upgrades!$U$21,M303),1))*POWER(Upgrades!$P$13,E303)*POWER(Upgrades!$P$14,F303)*POWER(Upgrades!$P$15,G303)*POWER(Upgrades!$P$16,H303)*POWER(Upgrades!$P$17,I303)*POWER(Upgrades!$P$18,J303)*POWER(Upgrades!$P$19,K303)*POWER(Upgrades!$P$20,L303)*POWER(Upgrades!$P$21,M303)*$F$6)*0.05)/AN303,0)</f>
        <v/>
      </c>
      <c r="BC303" s="32">
        <f>IFERROR((Upgrades!$H$17*(POWER(Upgrades!$P$13,E303)*POWER(Upgrades!$P$14,F303)*POWER(Upgrades!$P$15,G303)*POWER(Upgrades!$P$16,H303)*POWER(Upgrades!$P$17,I303)*POWER(Upgrades!$P$18,J303)*POWER(Upgrades!$P$19,K303)*POWER(Upgrades!$P$20,L303)*POWER(Upgrades!$P$21,M303))*(IF(Upgrades!$T$13="Brown Dwarf",POWER(Upgrades!$U$13,E303),1)*IF(Upgrades!$T$14="Brown Dwarf",POWER(Upgrades!$U$14,F303),1)*IF(Upgrades!$T$15="Brown Dwarf",POWER(Upgrades!$U$15,G303),1)*IF(Upgrades!$T$16="Brown Dwarf",POWER(Upgrades!$U$16,H303),1)*IF(Upgrades!$T$18="Brown Dwarf",POWER(Upgrades!$U$18,J303),1)*IF(Upgrades!$T$19="Brown Dwarf",POWER(Upgrades!$U$19,K303),1)*IF(Upgrades!$T$20="Brown Dwarf",POWER(Upgrades!$U$20,L303),1)*IF(Upgrades!$T$21="Brown Dwarf",POWER(Upgrades!$U$21,M303),1))*$F$6+(((IF(H303=0,0,(Upgrades!$M$16+H303*Upgrades!$N$16)*POWER(Upgrades!$O$16,H303)))*(IF(Upgrades!$T$13="Roche Lobe Overflow",POWER(Upgrades!$U$13,E303),1)*IF(Upgrades!$T$14="Roche Lobe Overflow",POWER(Upgrades!$U$14,F303),1)*IF(Upgrades!$T$15="Roche Lobe Overflow",POWER(Upgrades!$U$15,G303),1)*IF(Upgrades!$T$17="Roche Lobe Overflow",POWER(Upgrades!$U$17,I303),1)*IF(Upgrades!$T$18="Roche Lobe Overflow",POWER(Upgrades!$U$18,J303),1)*IF(Upgrades!$T$19="Roche Lobe Overflow",POWER(Upgrades!$U$19,K303),1)*IF(Upgrades!$T$20="Roche Lobe Overflow",POWER(Upgrades!$U$20,L303),1)*IF(Upgrades!$T$21="Roche Lobe Overflow",POWER(Upgrades!$U$21,M303),1))*POWER(Upgrades!$R$13,E303)*POWER(Upgrades!$R$14,F303)*POWER(Upgrades!$R$15,G303)*POWER(Upgrades!$R$16,H303)*POWER(Upgrades!$R$17,I303)*POWER(Upgrades!$R$18,J303)*POWER(Upgrades!$R$19,K303)*POWER(Upgrades!$R$20,L303)*POWER(Upgrades!$R$21,M303)*$H$6)*O303)*0.10)/AO303,0)</f>
        <v/>
      </c>
      <c r="BD303" s="32">
        <f>MAX(IF(J303&gt;0,0,IFERROR(0.5*((IF(G303=0,0,(Upgrades!$J$15+G303*Upgrades!$K$15)*POWER(Upgrades!$L$15,G303)))*(IF(Upgrades!$T$13="Microlensing",POWER(Upgrades!$U$13,E303),1)*IF(Upgrades!$T$14="Microlensing",POWER(Upgrades!$U$14,F303),1)*IF(Upgrades!$T$16="Microlensing",POWER(Upgrades!$U$16,H303),1)*IF(Upgrades!$T$17="Microlensing",POWER(Upgrades!$U$17,I303),1)*IF(Upgrades!$T$18="Microlensing",POWER(Upgrades!$U$18,J303),1)*IF(Upgrades!$T$19="Microlensing",POWER(Upgrades!$U$19,K303),1)*IF(Upgrades!$T$20="Microlensing",POWER(Upgrades!$U$20,L303),1)*IF(Upgrades!$T$21="Microlensing",POWER(Upgrades!$U$21,M303),1))*(POWER(Upgrades!$Q$13,E303)*POWER(Upgrades!$Q$14,F303)*POWER(Upgrades!$Q$15,G303)*POWER(Upgrades!$Q$16,H303)*POWER(Upgrades!$Q$17,I303)*POWER(Upgrades!$Q$18,J303)*POWER(Upgrades!$Q$19,K303)*POWER(Upgrades!$Q$20,L303)*POWER(Upgrades!$Q$21,M303))*$G$6*(Parameters!$B$10/60*Parameters!$B$11+Q303))/Upgrades!$C$18,0)),IF(K303&gt;0,0,IFERROR(0.30*P303/Upgrades!$C$19,0)),IF(L303&gt;0,0,IFERROR(0.0001/Upgrades!$C$20,0)),IF(M303&gt;0,0,IFERROR((6.0*(POWER(Upgrades!$P$13,E303)*POWER(Upgrades!$P$14,F303)*POWER(Upgrades!$P$15,G303)*POWER(Upgrades!$P$16,H303)*POWER(Upgrades!$P$17,I303)*POWER(Upgrades!$P$18,J303)*POWER(Upgrades!$P$19,K303)*POWER(Upgrades!$P$20,L303)*POWER(Upgrades!$P$21,M303))*$F$6+0.20*O303*(Parameters!$B$10/60*Parameters!$B$11+Q303))/Upgrades!$C$21,0)),IF(AND(ISNUMBER(AK303),AK303&gt;(C303+T303)),AY303,0),IF(AND(ISNUMBER(AL303),AL303&gt;(C303+T303)),AZ303,0),IF(AND(ISNUMBER(AM303),AM303&gt;(C303+T303)),BA303,0),IF(AND(ISNUMBER(AN303),AN303&gt;(C303+T303)),BB303,0),IF(AND(ISNUMBER(AO303),AO303&gt;(C303+T303)),BC303,0))</f>
        <v/>
      </c>
      <c r="BE303" s="29">
        <f>IF(AT303=1,"transition",IF(MIN(IF(AND(J303=0,ISNUMBER(AP303),AP303&lt;=(C303+T303)),AP303,9E15),IF(AND(K303=0,ISNUMBER(AQ303),AQ303&lt;=(C303+T303)),AQ303,9E15),IF(AND(L303=0,ISNUMBER(AR303),AR303&lt;=(C303+T303)),AR303,9E15),IF(AND(M303=0,ISNUMBER(AS303),AS303&lt;=(C303+T303)),AS303,9E15))&lt;9E15,IF(AND(AND(J303=0,ISNUMBER(AP303),AP303&lt;=(C303+T303)),AP303=MIN(IF(AND(J303=0,ISNUMBER(AP303),AP303&lt;=(C303+T303)),AP303,9E15),IF(AND(K303=0,ISNUMBER(AQ303),AQ303&lt;=(C303+T303)),AQ303,9E15),IF(AND(L303=0,ISNUMBER(AR303),AR303&lt;=(C303+T303)),AR303,9E15),IF(AND(M303=0,ISNUMBER(AS303),AS303&lt;=(C303+T303)),AS303,9E15))),"BiP",IF(AND(AND(K303=0,ISNUMBER(AQ303),AQ303&lt;=(C303+T303)),AQ303=MIN(IF(AND(J303=0,ISNUMBER(AP303),AP303&lt;=(C303+T303)),AP303,9E15),IF(AND(K303=0,ISNUMBER(AQ303),AQ303&lt;=(C303+T303)),AQ303,9E15),IF(AND(L303=0,ISNUMBER(AR303),AR303&lt;=(C303+T303)),AR303,9E15),IF(AND(M303=0,ISNUMBER(AS303),AS303&lt;=(C303+T303)),AS303,9E15))),"PV",IF(AND(AND(L303=0,ISNUMBER(AR303),AR303&lt;=(C303+T303)),AR303=MIN(IF(AND(J303=0,ISNUMBER(AP303),AP303&lt;=(C303+T303)),AP303,9E15),IF(AND(K303=0,ISNUMBER(AQ303),AQ303&lt;=(C303+T303)),AQ303,9E15),IF(AND(L303=0,ISNUMBER(AR303),AR303&lt;=(C303+T303)),AR303,9E15),IF(AND(M303=0,ISNUMBER(AS303),AS303&lt;=(C303+T303)),AS303,9E15))),"OC","MG"))),IF(AX303=TRUE,"",IF(MAX(IF(AND(NOT(AND(AU303=1,AT303&lt;&gt;1)),ISNUMBER(AK303),AK303&lt;=(C303+T303)),AY303,0),IF(AND(NOT(AND(AU303=1,AT303&lt;&gt;1)),ISNUMBER(AL303),AL303&lt;=(C303+T303)),AZ303,0),IF(AND(NOT(AND(AU303=1,AT303&lt;&gt;1)),ISNUMBER(AM303),AM303&lt;=(C303+T303)),BA303,0),IF(AND(NOT(AND(AU303=1,AT303&lt;&gt;1)),ISNUMBER(AN303),AN303&lt;=(C303+T303)),BB303,0),IF(AND(ISNUMBER(AO303),AO303&lt;=(C303+T303)),BC303,0))&lt;=0,"",IF(AND(IF(AND(NOT(AND(AU303=1,AT303&lt;&gt;1)),ISNUMBER(AK303),AK303&lt;=(C303+T303)),AY303,0)&gt;0,IF(AND(NOT(AND(AU303=1,AT303&lt;&gt;1)),ISNUMBER(AK303),AK303&lt;=(C303+T303)),AY303,0)=MAX(IF(AND(NOT(AND(AU303=1,AT303&lt;&gt;1)),ISNUMBER(AK303),AK303&lt;=(C303+T303)),AY303,0),IF(AND(NOT(AND(AU303=1,AT303&lt;&gt;1)),ISNUMBER(AL303),AL303&lt;=(C303+T303)),AZ303,0),IF(AND(NOT(AND(AU303=1,AT303&lt;&gt;1)),ISNUMBER(AM303),AM303&lt;=(C303+T303)),BA303,0),IF(AND(NOT(AND(AU303=1,AT303&lt;&gt;1)),ISNUMBER(AN303),AN303&lt;=(C303+T303)),BB303,0),IF(AND(ISNUMBER(AO303),AO303&lt;=(C303+T303)),BC303,0))),"SK",IF(AND(IF(AND(NOT(AND(AU303=1,AT303&lt;&gt;1)),ISNUMBER(AL303),AL303&lt;=(C303+T303)),AZ303,0)&gt;0,IF(AND(NOT(AND(AU303=1,AT303&lt;&gt;1)),ISNUMBER(AL303),AL303&lt;=(C303+T303)),AZ303,0)=MAX(IF(AND(NOT(AND(AU303=1,AT303&lt;&gt;1)),ISNUMBER(AK303),AK303&lt;=(C303+T303)),AY303,0),IF(AND(NOT(AND(AU303=1,AT303&lt;&gt;1)),ISNUMBER(AL303),AL303&lt;=(C303+T303)),AZ303,0),IF(AND(NOT(AND(AU303=1,AT303&lt;&gt;1)),ISNUMBER(AM303),AM303&lt;=(C303+T303)),BA303,0),IF(AND(NOT(AND(AU303=1,AT303&lt;&gt;1)),ISNUMBER(AN303),AN303&lt;=(C303+T303)),BB303,0),IF(AND(ISNUMBER(AO303),AO303&lt;=(C303+T303)),BC303,0))),"LB",IF(AND(IF(AND(NOT(AND(AU303=1,AT303&lt;&gt;1)),ISNUMBER(AM303),AM303&lt;=(C303+T303)),BA303,0)&gt;0,IF(AND(NOT(AND(AU303=1,AT303&lt;&gt;1)),ISNUMBER(AM303),AM303&lt;=(C303+T303)),BA303,0)=MAX(IF(AND(NOT(AND(AU303=1,AT303&lt;&gt;1)),ISNUMBER(AK303),AK303&lt;=(C303+T303)),AY303,0),IF(AND(NOT(AND(AU303=1,AT303&lt;&gt;1)),ISNUMBER(AL303),AL303&lt;=(C303+T303)),AZ303,0),IF(AND(NOT(AND(AU303=1,AT303&lt;&gt;1)),ISNUMBER(AM303),AM303&lt;=(C303+T303)),BA303,0),IF(AND(NOT(AND(AU303=1,AT303&lt;&gt;1)),ISNUMBER(AN303),AN303&lt;=(C303+T303)),BB303,0),IF(AND(ISNUMBER(AO303),AO303&lt;=(C303+T303)),BC303,0))),"ML",IF(AND(IF(AND(NOT(AND(AU303=1,AT303&lt;&gt;1)),ISNUMBER(AN303),AN303&lt;=(C303+T303)),BB303,0)&gt;0,IF(AND(NOT(AND(AU303=1,AT303&lt;&gt;1)),ISNUMBER(AN303),AN303&lt;=(C303+T303)),BB303,0)=MAX(IF(AND(NOT(AND(AU303=1,AT303&lt;&gt;1)),ISNUMBER(AK303),AK303&lt;=(C303+T303)),AY303,0),IF(AND(NOT(AND(AU303=1,AT303&lt;&gt;1)),ISNUMBER(AL303),AL303&lt;=(C303+T303)),AZ303,0),IF(AND(NOT(AND(AU303=1,AT303&lt;&gt;1)),ISNUMBER(AM303),AM303&lt;=(C303+T303)),BA303,0),IF(AND(NOT(AND(AU303=1,AT303&lt;&gt;1)),ISNUMBER(AN303),AN303&lt;=(C303+T303)),BB303,0),IF(AND(ISNUMBER(AO303),AO303&lt;=(C303+T303)),BC303,0))),"RLO","BD"))))))))</f>
        <v/>
      </c>
    </row>
    <row r="304">
      <c r="A304" s="26" t="n">
        <v>293</v>
      </c>
      <c r="B304" s="27">
        <f>A304*10/60</f>
        <v/>
      </c>
      <c r="C304" s="22">
        <f>X303</f>
        <v/>
      </c>
      <c r="D304" s="27">
        <f>D303+W303</f>
        <v/>
      </c>
      <c r="E304" s="26">
        <f>E303+IF(U303="SK",1,0)</f>
        <v/>
      </c>
      <c r="F304" s="26">
        <f>F303+IF(U303="LB",1,0)</f>
        <v/>
      </c>
      <c r="G304" s="26">
        <f>G303+IF(U303="ML",1,0)</f>
        <v/>
      </c>
      <c r="H304" s="26">
        <f>H303+IF(U303="RLO",1,0)</f>
        <v/>
      </c>
      <c r="I304" s="26">
        <f>I303+IF(U303="BD",1,0)</f>
        <v/>
      </c>
      <c r="J304" s="26">
        <f>MAX(J303,IF(U303="BiP",1,0))</f>
        <v/>
      </c>
      <c r="K304" s="26">
        <f>MAX(K303,IF(U303="PV",1,0))</f>
        <v/>
      </c>
      <c r="L304" s="26">
        <f>MAX(L303,IF(U303="OC",1,0))</f>
        <v/>
      </c>
      <c r="M304" s="26">
        <f>MAX(M303,IF(U303="MG",1,0))</f>
        <v/>
      </c>
      <c r="N304" s="26">
        <f>MAX(N303,IF(U303="transition",1,0))</f>
        <v/>
      </c>
      <c r="O304" s="28">
        <f>(Parameters!$B$9+(IF(E304=0,0,(Upgrades!$J$13+E304*Upgrades!$K$13)*POWER(Upgrades!$L$13,E304)))*(IF(Upgrades!$T$14="Stellar Kinematics",POWER(Upgrades!$U$14,F304),1)*IF(Upgrades!$T$15="Stellar Kinematics",POWER(Upgrades!$U$15,G304),1)*IF(Upgrades!$T$16="Stellar Kinematics",POWER(Upgrades!$U$16,H304),1)*IF(Upgrades!$T$17="Stellar Kinematics",POWER(Upgrades!$U$17,I304),1)*IF(Upgrades!$T$18="Stellar Kinematics",POWER(Upgrades!$U$18,J304),1)*IF(Upgrades!$T$19="Stellar Kinematics",POWER(Upgrades!$U$19,K304),1)*IF(Upgrades!$T$20="Stellar Kinematics",POWER(Upgrades!$U$20,L304),1)*IF(Upgrades!$T$21="Stellar Kinematics",POWER(Upgrades!$U$21,M304),1))+(IF(F304=0,0,(Upgrades!$J$14+F304*Upgrades!$K$14)*POWER(Upgrades!$L$14,F304)))*(IF(Upgrades!$T$13="Local Bubble",POWER(Upgrades!$U$13,E304),1)*IF(Upgrades!$T$15="Local Bubble",POWER(Upgrades!$U$15,G304),1)*IF(Upgrades!$T$16="Local Bubble",POWER(Upgrades!$U$16,H304),1)*IF(Upgrades!$T$17="Local Bubble",POWER(Upgrades!$U$17,I304),1)*IF(Upgrades!$T$18="Local Bubble",POWER(Upgrades!$U$18,J304),1)*IF(Upgrades!$T$19="Local Bubble",POWER(Upgrades!$U$19,K304),1)*IF(Upgrades!$T$20="Local Bubble",POWER(Upgrades!$U$20,L304),1)*IF(Upgrades!$T$21="Local Bubble",POWER(Upgrades!$U$21,M304),1))+(IF(G304=0,0,(Upgrades!$J$15+G304*Upgrades!$K$15)*POWER(Upgrades!$L$15,G304)))*(IF(Upgrades!$T$13="Microlensing",POWER(Upgrades!$U$13,E304),1)*IF(Upgrades!$T$14="Microlensing",POWER(Upgrades!$U$14,F304),1)*IF(Upgrades!$T$16="Microlensing",POWER(Upgrades!$U$16,H304),1)*IF(Upgrades!$T$17="Microlensing",POWER(Upgrades!$U$17,I304),1)*IF(Upgrades!$T$18="Microlensing",POWER(Upgrades!$U$18,J304),1)*IF(Upgrades!$T$19="Microlensing",POWER(Upgrades!$U$19,K304),1)*IF(Upgrades!$T$20="Microlensing",POWER(Upgrades!$U$20,L304),1)*IF(Upgrades!$T$21="Microlensing",POWER(Upgrades!$U$21,M304),1))+(IF(H304=0,0,(Upgrades!$J$16+H304*Upgrades!$K$16)*POWER(Upgrades!$L$16,H304)))*(IF(Upgrades!$T$13="Roche Lobe Overflow",POWER(Upgrades!$U$13,E304),1)*IF(Upgrades!$T$14="Roche Lobe Overflow",POWER(Upgrades!$U$14,F304),1)*IF(Upgrades!$T$15="Roche Lobe Overflow",POWER(Upgrades!$U$15,G304),1)*IF(Upgrades!$T$17="Roche Lobe Overflow",POWER(Upgrades!$U$17,I304),1)*IF(Upgrades!$T$18="Roche Lobe Overflow",POWER(Upgrades!$U$18,J304),1)*IF(Upgrades!$T$19="Roche Lobe Overflow",POWER(Upgrades!$U$19,K304),1)*IF(Upgrades!$T$20="Roche Lobe Overflow",POWER(Upgrades!$U$20,L304),1)*IF(Upgrades!$T$21="Roche Lobe Overflow",POWER(Upgrades!$U$21,M304),1))+(IF(I304=0,0,(Upgrades!$J$17+I304*Upgrades!$K$17)*POWER(Upgrades!$L$17,I304)))*(IF(Upgrades!$T$13="Brown Dwarf",POWER(Upgrades!$U$13,E304),1)*IF(Upgrades!$T$14="Brown Dwarf",POWER(Upgrades!$U$14,F304),1)*IF(Upgrades!$T$15="Brown Dwarf",POWER(Upgrades!$U$15,G304),1)*IF(Upgrades!$T$16="Brown Dwarf",POWER(Upgrades!$U$16,H304),1)*IF(Upgrades!$T$18="Brown Dwarf",POWER(Upgrades!$U$18,J304),1)*IF(Upgrades!$T$19="Brown Dwarf",POWER(Upgrades!$U$19,K304),1)*IF(Upgrades!$T$20="Brown Dwarf",POWER(Upgrades!$U$20,L304),1)*IF(Upgrades!$T$21="Brown Dwarf",POWER(Upgrades!$U$21,M304),1))+(IF(J304=0,0,(Upgrades!$J$18+J304*Upgrades!$K$18)*POWER(Upgrades!$L$18,J304)))*(IF(Upgrades!$T$13="Binary Partner",POWER(Upgrades!$U$13,E304),1)*IF(Upgrades!$T$14="Binary Partner",POWER(Upgrades!$U$14,F304),1)*IF(Upgrades!$T$15="Binary Partner",POWER(Upgrades!$U$15,G304),1)*IF(Upgrades!$T$16="Binary Partner",POWER(Upgrades!$U$16,H304),1)*IF(Upgrades!$T$17="Binary Partner",POWER(Upgrades!$U$17,I304),1)*IF(Upgrades!$T$19="Binary Partner",POWER(Upgrades!$U$19,K304),1)*IF(Upgrades!$T$20="Binary Partner",POWER(Upgrades!$U$20,L304),1)*IF(Upgrades!$T$21="Binary Partner",POWER(Upgrades!$U$21,M304),1))+(IF(K304=0,0,(Upgrades!$J$19+K304*Upgrades!$K$19)*POWER(Upgrades!$L$19,K304)))*(IF(Upgrades!$T$13="Peculiar Velocity",POWER(Upgrades!$U$13,E304),1)*IF(Upgrades!$T$14="Peculiar Velocity",POWER(Upgrades!$U$14,F304),1)*IF(Upgrades!$T$15="Peculiar Velocity",POWER(Upgrades!$U$15,G304),1)*IF(Upgrades!$T$16="Peculiar Velocity",POWER(Upgrades!$U$16,H304),1)*IF(Upgrades!$T$17="Peculiar Velocity",POWER(Upgrades!$U$17,I304),1)*IF(Upgrades!$T$18="Peculiar Velocity",POWER(Upgrades!$U$18,J304),1)*IF(Upgrades!$T$20="Peculiar Velocity",POWER(Upgrades!$U$20,L304),1)*IF(Upgrades!$T$21="Peculiar Velocity",POWER(Upgrades!$U$21,M304),1))+(IF(L304=0,0,(Upgrades!$J$20+L304*Upgrades!$K$20)*POWER(Upgrades!$L$20,L304)))*(IF(Upgrades!$T$13="Open Cluster",POWER(Upgrades!$U$13,E304),1)*IF(Upgrades!$T$14="Open Cluster",POWER(Upgrades!$U$14,F304),1)*IF(Upgrades!$T$15="Open Cluster",POWER(Upgrades!$U$15,G304),1)*IF(Upgrades!$T$16="Open Cluster",POWER(Upgrades!$U$16,H304),1)*IF(Upgrades!$T$17="Open Cluster",POWER(Upgrades!$U$17,I304),1)*IF(Upgrades!$T$18="Open Cluster",POWER(Upgrades!$U$18,J304),1)*IF(Upgrades!$T$19="Open Cluster",POWER(Upgrades!$U$19,K304),1)*IF(Upgrades!$T$21="Open Cluster",POWER(Upgrades!$U$21,M304),1))+(IF(M304=0,0,(Upgrades!$J$21+M304*Upgrades!$K$21)*POWER(Upgrades!$L$21,M304)))*(IF(Upgrades!$T$13="Moving Group",POWER(Upgrades!$U$13,E304),1)*IF(Upgrades!$T$14="Moving Group",POWER(Upgrades!$U$14,F304),1)*IF(Upgrades!$T$15="Moving Group",POWER(Upgrades!$U$15,G304),1)*IF(Upgrades!$T$16="Moving Group",POWER(Upgrades!$U$16,H304),1)*IF(Upgrades!$T$17="Moving Group",POWER(Upgrades!$U$17,I304),1)*IF(Upgrades!$T$18="Moving Group",POWER(Upgrades!$U$18,J304),1)*IF(Upgrades!$T$19="Moving Group",POWER(Upgrades!$U$19,K304),1)*IF(Upgrades!$T$20="Moving Group",POWER(Upgrades!$U$20,L304),1)))*POWER(Upgrades!$Q$13,E304)*POWER(Upgrades!$Q$14,F304)*POWER(Upgrades!$Q$15,G304)*POWER(Upgrades!$Q$16,H304)*POWER(Upgrades!$Q$17,I304)*POWER(Upgrades!$Q$18,J304)*POWER(Upgrades!$Q$19,K304)*POWER(Upgrades!$Q$20,L304)*POWER(Upgrades!$Q$21,M304)*$G$6+$D$6</f>
        <v/>
      </c>
      <c r="P304" s="28">
        <f>((IF(E304=0,0,(Upgrades!$G$13+E304*Upgrades!$H$13)*POWER(Upgrades!$I$13,E304)))*(IF(Upgrades!$T$14="Stellar Kinematics",POWER(Upgrades!$U$14,F304),1)*IF(Upgrades!$T$15="Stellar Kinematics",POWER(Upgrades!$U$15,G304),1)*IF(Upgrades!$T$16="Stellar Kinematics",POWER(Upgrades!$U$16,H304),1)*IF(Upgrades!$T$17="Stellar Kinematics",POWER(Upgrades!$U$17,I304),1)*IF(Upgrades!$T$18="Stellar Kinematics",POWER(Upgrades!$U$18,J304),1)*IF(Upgrades!$T$19="Stellar Kinematics",POWER(Upgrades!$U$19,K304),1)*IF(Upgrades!$T$20="Stellar Kinematics",POWER(Upgrades!$U$20,L304),1)*IF(Upgrades!$T$21="Stellar Kinematics",POWER(Upgrades!$U$21,M304),1))+(IF(F304=0,0,(Upgrades!$G$14+F304*Upgrades!$H$14)*POWER(Upgrades!$I$14,F304)))*(IF(Upgrades!$T$13="Local Bubble",POWER(Upgrades!$U$13,E304),1)*IF(Upgrades!$T$15="Local Bubble",POWER(Upgrades!$U$15,G304),1)*IF(Upgrades!$T$16="Local Bubble",POWER(Upgrades!$U$16,H304),1)*IF(Upgrades!$T$17="Local Bubble",POWER(Upgrades!$U$17,I304),1)*IF(Upgrades!$T$18="Local Bubble",POWER(Upgrades!$U$18,J304),1)*IF(Upgrades!$T$19="Local Bubble",POWER(Upgrades!$U$19,K304),1)*IF(Upgrades!$T$20="Local Bubble",POWER(Upgrades!$U$20,L304),1)*IF(Upgrades!$T$21="Local Bubble",POWER(Upgrades!$U$21,M304),1))+(IF(G304=0,0,(Upgrades!$G$15+G304*Upgrades!$H$15)*POWER(Upgrades!$I$15,G304)))*(IF(Upgrades!$T$13="Microlensing",POWER(Upgrades!$U$13,E304),1)*IF(Upgrades!$T$14="Microlensing",POWER(Upgrades!$U$14,F304),1)*IF(Upgrades!$T$16="Microlensing",POWER(Upgrades!$U$16,H304),1)*IF(Upgrades!$T$17="Microlensing",POWER(Upgrades!$U$17,I304),1)*IF(Upgrades!$T$18="Microlensing",POWER(Upgrades!$U$18,J304),1)*IF(Upgrades!$T$19="Microlensing",POWER(Upgrades!$U$19,K304),1)*IF(Upgrades!$T$20="Microlensing",POWER(Upgrades!$U$20,L304),1)*IF(Upgrades!$T$21="Microlensing",POWER(Upgrades!$U$21,M304),1))+(IF(H304=0,0,(Upgrades!$G$16+H304*Upgrades!$H$16)*POWER(Upgrades!$I$16,H304)))*(IF(Upgrades!$T$13="Roche Lobe Overflow",POWER(Upgrades!$U$13,E304),1)*IF(Upgrades!$T$14="Roche Lobe Overflow",POWER(Upgrades!$U$14,F304),1)*IF(Upgrades!$T$15="Roche Lobe Overflow",POWER(Upgrades!$U$15,G304),1)*IF(Upgrades!$T$17="Roche Lobe Overflow",POWER(Upgrades!$U$17,I304),1)*IF(Upgrades!$T$18="Roche Lobe Overflow",POWER(Upgrades!$U$18,J304),1)*IF(Upgrades!$T$19="Roche Lobe Overflow",POWER(Upgrades!$U$19,K304),1)*IF(Upgrades!$T$20="Roche Lobe Overflow",POWER(Upgrades!$U$20,L304),1)*IF(Upgrades!$T$21="Roche Lobe Overflow",POWER(Upgrades!$U$21,M304),1))+(IF(I304=0,0,(Upgrades!$G$17+I304*Upgrades!$H$17)*POWER(Upgrades!$I$17,I304)))*(IF(Upgrades!$T$13="Brown Dwarf",POWER(Upgrades!$U$13,E304),1)*IF(Upgrades!$T$14="Brown Dwarf",POWER(Upgrades!$U$14,F304),1)*IF(Upgrades!$T$15="Brown Dwarf",POWER(Upgrades!$U$15,G304),1)*IF(Upgrades!$T$16="Brown Dwarf",POWER(Upgrades!$U$16,H304),1)*IF(Upgrades!$T$18="Brown Dwarf",POWER(Upgrades!$U$18,J304),1)*IF(Upgrades!$T$19="Brown Dwarf",POWER(Upgrades!$U$19,K304),1)*IF(Upgrades!$T$20="Brown Dwarf",POWER(Upgrades!$U$20,L304),1)*IF(Upgrades!$T$21="Brown Dwarf",POWER(Upgrades!$U$21,M304),1))+(IF(J304=0,0,(Upgrades!$G$18+J304*Upgrades!$H$18)*POWER(Upgrades!$I$18,J304)))*(IF(Upgrades!$T$13="Binary Partner",POWER(Upgrades!$U$13,E304),1)*IF(Upgrades!$T$14="Binary Partner",POWER(Upgrades!$U$14,F304),1)*IF(Upgrades!$T$15="Binary Partner",POWER(Upgrades!$U$15,G304),1)*IF(Upgrades!$T$16="Binary Partner",POWER(Upgrades!$U$16,H304),1)*IF(Upgrades!$T$17="Binary Partner",POWER(Upgrades!$U$17,I304),1)*IF(Upgrades!$T$19="Binary Partner",POWER(Upgrades!$U$19,K304),1)*IF(Upgrades!$T$20="Binary Partner",POWER(Upgrades!$U$20,L304),1)*IF(Upgrades!$T$21="Binary Partner",POWER(Upgrades!$U$21,M304),1))+(IF(K304=0,0,(Upgrades!$G$19+K304*Upgrades!$H$19)*POWER(Upgrades!$I$19,K304)))*(IF(Upgrades!$T$13="Peculiar Velocity",POWER(Upgrades!$U$13,E304),1)*IF(Upgrades!$T$14="Peculiar Velocity",POWER(Upgrades!$U$14,F304),1)*IF(Upgrades!$T$15="Peculiar Velocity",POWER(Upgrades!$U$15,G304),1)*IF(Upgrades!$T$16="Peculiar Velocity",POWER(Upgrades!$U$16,H304),1)*IF(Upgrades!$T$17="Peculiar Velocity",POWER(Upgrades!$U$17,I304),1)*IF(Upgrades!$T$18="Peculiar Velocity",POWER(Upgrades!$U$18,J304),1)*IF(Upgrades!$T$20="Peculiar Velocity",POWER(Upgrades!$U$20,L304),1)*IF(Upgrades!$T$21="Peculiar Velocity",POWER(Upgrades!$U$21,M304),1))+(IF(L304=0,0,(Upgrades!$G$20+L304*Upgrades!$H$20)*POWER(Upgrades!$I$20,L304)))*(IF(Upgrades!$T$13="Open Cluster",POWER(Upgrades!$U$13,E304),1)*IF(Upgrades!$T$14="Open Cluster",POWER(Upgrades!$U$14,F304),1)*IF(Upgrades!$T$15="Open Cluster",POWER(Upgrades!$U$15,G304),1)*IF(Upgrades!$T$16="Open Cluster",POWER(Upgrades!$U$16,H304),1)*IF(Upgrades!$T$17="Open Cluster",POWER(Upgrades!$U$17,I304),1)*IF(Upgrades!$T$18="Open Cluster",POWER(Upgrades!$U$18,J304),1)*IF(Upgrades!$T$19="Open Cluster",POWER(Upgrades!$U$19,K304),1)*IF(Upgrades!$T$21="Open Cluster",POWER(Upgrades!$U$21,M304),1))+(IF(M304=0,0,(Upgrades!$G$21+M304*Upgrades!$H$21)*POWER(Upgrades!$I$21,M304)))*(IF(Upgrades!$T$13="Moving Group",POWER(Upgrades!$U$13,E304),1)*IF(Upgrades!$T$14="Moving Group",POWER(Upgrades!$U$14,F304),1)*IF(Upgrades!$T$15="Moving Group",POWER(Upgrades!$U$15,G304),1)*IF(Upgrades!$T$16="Moving Group",POWER(Upgrades!$U$16,H304),1)*IF(Upgrades!$T$17="Moving Group",POWER(Upgrades!$U$17,I304),1)*IF(Upgrades!$T$18="Moving Group",POWER(Upgrades!$U$18,J304),1)*IF(Upgrades!$T$19="Moving Group",POWER(Upgrades!$U$19,K304),1)*IF(Upgrades!$T$20="Moving Group",POWER(Upgrades!$U$20,L304),1)))*POWER(Upgrades!$P$13,E304)*POWER(Upgrades!$P$14,F304)*POWER(Upgrades!$P$15,G304)*POWER(Upgrades!$P$16,H304)*POWER(Upgrades!$P$17,I304)*POWER(Upgrades!$P$18,J304)*POWER(Upgrades!$P$19,K304)*POWER(Upgrades!$P$20,L304)*POWER(Upgrades!$P$21,M304)*$F$6+$C$6</f>
        <v/>
      </c>
      <c r="Q304" s="28">
        <f>((IF(E304=0,0,(Upgrades!$M$13+E304*Upgrades!$N$13)*POWER(Upgrades!$O$13,E304)))*(IF(Upgrades!$T$14="Stellar Kinematics",POWER(Upgrades!$U$14,F304),1)*IF(Upgrades!$T$15="Stellar Kinematics",POWER(Upgrades!$U$15,G304),1)*IF(Upgrades!$T$16="Stellar Kinematics",POWER(Upgrades!$U$16,H304),1)*IF(Upgrades!$T$17="Stellar Kinematics",POWER(Upgrades!$U$17,I304),1)*IF(Upgrades!$T$18="Stellar Kinematics",POWER(Upgrades!$U$18,J304),1)*IF(Upgrades!$T$19="Stellar Kinematics",POWER(Upgrades!$U$19,K304),1)*IF(Upgrades!$T$20="Stellar Kinematics",POWER(Upgrades!$U$20,L304),1)*IF(Upgrades!$T$21="Stellar Kinematics",POWER(Upgrades!$U$21,M304),1))+(IF(F304=0,0,(Upgrades!$M$14+F304*Upgrades!$N$14)*POWER(Upgrades!$O$14,F304)))*(IF(Upgrades!$T$13="Local Bubble",POWER(Upgrades!$U$13,E304),1)*IF(Upgrades!$T$15="Local Bubble",POWER(Upgrades!$U$15,G304),1)*IF(Upgrades!$T$16="Local Bubble",POWER(Upgrades!$U$16,H304),1)*IF(Upgrades!$T$17="Local Bubble",POWER(Upgrades!$U$17,I304),1)*IF(Upgrades!$T$18="Local Bubble",POWER(Upgrades!$U$18,J304),1)*IF(Upgrades!$T$19="Local Bubble",POWER(Upgrades!$U$19,K304),1)*IF(Upgrades!$T$20="Local Bubble",POWER(Upgrades!$U$20,L304),1)*IF(Upgrades!$T$21="Local Bubble",POWER(Upgrades!$U$21,M304),1))+(IF(G304=0,0,(Upgrades!$M$15+G304*Upgrades!$N$15)*POWER(Upgrades!$O$15,G304)))*(IF(Upgrades!$T$13="Microlensing",POWER(Upgrades!$U$13,E304),1)*IF(Upgrades!$T$14="Microlensing",POWER(Upgrades!$U$14,F304),1)*IF(Upgrades!$T$16="Microlensing",POWER(Upgrades!$U$16,H304),1)*IF(Upgrades!$T$17="Microlensing",POWER(Upgrades!$U$17,I304),1)*IF(Upgrades!$T$18="Microlensing",POWER(Upgrades!$U$18,J304),1)*IF(Upgrades!$T$19="Microlensing",POWER(Upgrades!$U$19,K304),1)*IF(Upgrades!$T$20="Microlensing",POWER(Upgrades!$U$20,L304),1)*IF(Upgrades!$T$21="Microlensing",POWER(Upgrades!$U$21,M304),1))+(IF(H304=0,0,(Upgrades!$M$16+H304*Upgrades!$N$16)*POWER(Upgrades!$O$16,H304)))*(IF(Upgrades!$T$13="Roche Lobe Overflow",POWER(Upgrades!$U$13,E304),1)*IF(Upgrades!$T$14="Roche Lobe Overflow",POWER(Upgrades!$U$14,F304),1)*IF(Upgrades!$T$15="Roche Lobe Overflow",POWER(Upgrades!$U$15,G304),1)*IF(Upgrades!$T$17="Roche Lobe Overflow",POWER(Upgrades!$U$17,I304),1)*IF(Upgrades!$T$18="Roche Lobe Overflow",POWER(Upgrades!$U$18,J304),1)*IF(Upgrades!$T$19="Roche Lobe Overflow",POWER(Upgrades!$U$19,K304),1)*IF(Upgrades!$T$20="Roche Lobe Overflow",POWER(Upgrades!$U$20,L304),1)*IF(Upgrades!$T$21="Roche Lobe Overflow",POWER(Upgrades!$U$21,M304),1))+(IF(I304=0,0,(Upgrades!$M$17+I304*Upgrades!$N$17)*POWER(Upgrades!$O$17,I304)))*(IF(Upgrades!$T$13="Brown Dwarf",POWER(Upgrades!$U$13,E304),1)*IF(Upgrades!$T$14="Brown Dwarf",POWER(Upgrades!$U$14,F304),1)*IF(Upgrades!$T$15="Brown Dwarf",POWER(Upgrades!$U$15,G304),1)*IF(Upgrades!$T$16="Brown Dwarf",POWER(Upgrades!$U$16,H304),1)*IF(Upgrades!$T$18="Brown Dwarf",POWER(Upgrades!$U$18,J304),1)*IF(Upgrades!$T$19="Brown Dwarf",POWER(Upgrades!$U$19,K304),1)*IF(Upgrades!$T$20="Brown Dwarf",POWER(Upgrades!$U$20,L304),1)*IF(Upgrades!$T$21="Brown Dwarf",POWER(Upgrades!$U$21,M304),1))+(IF(J304=0,0,(Upgrades!$M$18+J304*Upgrades!$N$18)*POWER(Upgrades!$O$18,J304)))*(IF(Upgrades!$T$13="Binary Partner",POWER(Upgrades!$U$13,E304),1)*IF(Upgrades!$T$14="Binary Partner",POWER(Upgrades!$U$14,F304),1)*IF(Upgrades!$T$15="Binary Partner",POWER(Upgrades!$U$15,G304),1)*IF(Upgrades!$T$16="Binary Partner",POWER(Upgrades!$U$16,H304),1)*IF(Upgrades!$T$17="Binary Partner",POWER(Upgrades!$U$17,I304),1)*IF(Upgrades!$T$19="Binary Partner",POWER(Upgrades!$U$19,K304),1)*IF(Upgrades!$T$20="Binary Partner",POWER(Upgrades!$U$20,L304),1)*IF(Upgrades!$T$21="Binary Partner",POWER(Upgrades!$U$21,M304),1))+(IF(K304=0,0,(Upgrades!$M$19+K304*Upgrades!$N$19)*POWER(Upgrades!$O$19,K304)))*(IF(Upgrades!$T$13="Peculiar Velocity",POWER(Upgrades!$U$13,E304),1)*IF(Upgrades!$T$14="Peculiar Velocity",POWER(Upgrades!$U$14,F304),1)*IF(Upgrades!$T$15="Peculiar Velocity",POWER(Upgrades!$U$15,G304),1)*IF(Upgrades!$T$16="Peculiar Velocity",POWER(Upgrades!$U$16,H304),1)*IF(Upgrades!$T$17="Peculiar Velocity",POWER(Upgrades!$U$17,I304),1)*IF(Upgrades!$T$18="Peculiar Velocity",POWER(Upgrades!$U$18,J304),1)*IF(Upgrades!$T$20="Peculiar Velocity",POWER(Upgrades!$U$20,L304),1)*IF(Upgrades!$T$21="Peculiar Velocity",POWER(Upgrades!$U$21,M304),1))+(IF(L304=0,0,(Upgrades!$M$20+L304*Upgrades!$N$20)*POWER(Upgrades!$O$20,L304)))*(IF(Upgrades!$T$13="Open Cluster",POWER(Upgrades!$U$13,E304),1)*IF(Upgrades!$T$14="Open Cluster",POWER(Upgrades!$U$14,F304),1)*IF(Upgrades!$T$15="Open Cluster",POWER(Upgrades!$U$15,G304),1)*IF(Upgrades!$T$16="Open Cluster",POWER(Upgrades!$U$16,H304),1)*IF(Upgrades!$T$17="Open Cluster",POWER(Upgrades!$U$17,I304),1)*IF(Upgrades!$T$18="Open Cluster",POWER(Upgrades!$U$18,J304),1)*IF(Upgrades!$T$19="Open Cluster",POWER(Upgrades!$U$19,K304),1)*IF(Upgrades!$T$21="Open Cluster",POWER(Upgrades!$U$21,M304),1))+(IF(M304=0,0,(Upgrades!$M$21+M304*Upgrades!$N$21)*POWER(Upgrades!$O$21,M304)))*(IF(Upgrades!$T$13="Moving Group",POWER(Upgrades!$U$13,E304),1)*IF(Upgrades!$T$14="Moving Group",POWER(Upgrades!$U$14,F304),1)*IF(Upgrades!$T$15="Moving Group",POWER(Upgrades!$U$15,G304),1)*IF(Upgrades!$T$16="Moving Group",POWER(Upgrades!$U$16,H304),1)*IF(Upgrades!$T$17="Moving Group",POWER(Upgrades!$U$17,I304),1)*IF(Upgrades!$T$18="Moving Group",POWER(Upgrades!$U$18,J304),1)*IF(Upgrades!$T$19="Moving Group",POWER(Upgrades!$U$19,K304),1)*IF(Upgrades!$T$20="Moving Group",POWER(Upgrades!$U$20,L304),1)))*POWER(Upgrades!$R$13,E304)*POWER(Upgrades!$R$14,F304)*POWER(Upgrades!$R$15,G304)*POWER(Upgrades!$R$16,H304)*POWER(Upgrades!$R$17,I304)*POWER(Upgrades!$R$18,J304)*POWER(Upgrades!$R$19,K304)*POWER(Upgrades!$R$20,L304)*POWER(Upgrades!$R$21,M304)*$H$6+$E$6</f>
        <v/>
      </c>
      <c r="R304" s="27">
        <f>IF(N304=1,0,O304*Parameters!$B$10/60*Parameters!$B$11*10)</f>
        <v/>
      </c>
      <c r="S304" s="27">
        <f>IF(N304=1,0,Q304*O304*10)</f>
        <v/>
      </c>
      <c r="T304" s="27">
        <f>IF(N304=1,0,R304+S304+P304*10)</f>
        <v/>
      </c>
      <c r="U304" s="33">
        <f>BE304</f>
        <v/>
      </c>
      <c r="V304" s="22">
        <f>IF(U304="",0,IF(U304="transition",0,IF(U304="SK",AK304,IF(U304="LB",AL304,IF(U304="ML",AM304,IF(U304="RLO",AN304,IF(U304="BD",AO304,IF(U304="BiP",AP304,IF(U304="PV",AQ304,IF(U304="OC",AR304,IF(U304="MG",AS304,0))))))))))</f>
        <v/>
      </c>
      <c r="W304" s="27">
        <f>IF(U304="BiP",Upgrades!$F$18,IF(U304="PV",Upgrades!$F$19,IF(U304="OC",Upgrades!$F$20,IF(U304="MG",Upgrades!$F$21,IF(U304="transition",-Parameters!$B$18*Parameters!$B$19,0)))))</f>
        <v/>
      </c>
      <c r="X304" s="22">
        <f>C304+T304-V304</f>
        <v/>
      </c>
      <c r="Y304" s="30">
        <f>O304*Parameters!$B$10/60*Parameters!$B$11+Q304*O304+P304</f>
        <v/>
      </c>
      <c r="Z304" s="34">
        <f>IF(U304="transition","→ Tier 3 (Galactic Arm)",IF(U304="MG","Moving Group — pocket drifts together",IF(U304="OC","Open Cluster acquired",IF(U304="PV","Peculiar Velocity — passive multiplier active",IF(U304="BiP","Binary Partner — pair bond formed",IF(AND(AU304=1,N304=0,AT304&lt;&gt;1),"Cohesion ready (waiting on completionists)","")))))) </f>
        <v/>
      </c>
      <c r="AA304" s="27">
        <f>(IF(E304=0,0,(Upgrades!$G$13+E304*Upgrades!$H$13)*POWER(Upgrades!$I$13,E304)))*(IF(Upgrades!$T$14="Stellar Kinematics",POWER(Upgrades!$U$14,F304),1)*IF(Upgrades!$T$15="Stellar Kinematics",POWER(Upgrades!$U$15,G304),1)*IF(Upgrades!$T$16="Stellar Kinematics",POWER(Upgrades!$U$16,H304),1)*IF(Upgrades!$T$17="Stellar Kinematics",POWER(Upgrades!$U$17,I304),1)*IF(Upgrades!$T$18="Stellar Kinematics",POWER(Upgrades!$U$18,J304),1)*IF(Upgrades!$T$19="Stellar Kinematics",POWER(Upgrades!$U$19,K304),1)*IF(Upgrades!$T$20="Stellar Kinematics",POWER(Upgrades!$U$20,L304),1)*IF(Upgrades!$T$21="Stellar Kinematics",POWER(Upgrades!$U$21,M304),1))*POWER(Upgrades!$P$13,E304)*POWER(Upgrades!$P$14,F304)*POWER(Upgrades!$P$15,G304)*POWER(Upgrades!$P$16,H304)*POWER(Upgrades!$P$17,I304)*POWER(Upgrades!$P$18,J304)*POWER(Upgrades!$P$19,K304)*POWER(Upgrades!$P$20,L304)*POWER(Upgrades!$P$21,M304)*$F$6*60</f>
        <v/>
      </c>
      <c r="AB304" s="27">
        <f>(IF(F304=0,0,(Upgrades!$G$14+F304*Upgrades!$H$14)*POWER(Upgrades!$I$14,F304)))*(IF(Upgrades!$T$13="Local Bubble",POWER(Upgrades!$U$13,E304),1)*IF(Upgrades!$T$15="Local Bubble",POWER(Upgrades!$U$15,G304),1)*IF(Upgrades!$T$16="Local Bubble",POWER(Upgrades!$U$16,H304),1)*IF(Upgrades!$T$17="Local Bubble",POWER(Upgrades!$U$17,I304),1)*IF(Upgrades!$T$18="Local Bubble",POWER(Upgrades!$U$18,J304),1)*IF(Upgrades!$T$19="Local Bubble",POWER(Upgrades!$U$19,K304),1)*IF(Upgrades!$T$20="Local Bubble",POWER(Upgrades!$U$20,L304),1)*IF(Upgrades!$T$21="Local Bubble",POWER(Upgrades!$U$21,M304),1))*POWER(Upgrades!$P$13,E304)*POWER(Upgrades!$P$14,F304)*POWER(Upgrades!$P$15,G304)*POWER(Upgrades!$P$16,H304)*POWER(Upgrades!$P$17,I304)*POWER(Upgrades!$P$18,J304)*POWER(Upgrades!$P$19,K304)*POWER(Upgrades!$P$20,L304)*POWER(Upgrades!$P$21,M304)*$F$6*60</f>
        <v/>
      </c>
      <c r="AC304" s="27">
        <f>(IF(G304=0,0,(Upgrades!$J$15+G304*Upgrades!$K$15)*POWER(Upgrades!$L$15,G304)))*(IF(Upgrades!$T$13="Microlensing",POWER(Upgrades!$U$13,E304),1)*IF(Upgrades!$T$14="Microlensing",POWER(Upgrades!$U$14,F304),1)*IF(Upgrades!$T$16="Microlensing",POWER(Upgrades!$U$16,H304),1)*IF(Upgrades!$T$17="Microlensing",POWER(Upgrades!$U$17,I304),1)*IF(Upgrades!$T$18="Microlensing",POWER(Upgrades!$U$18,J304),1)*IF(Upgrades!$T$19="Microlensing",POWER(Upgrades!$U$19,K304),1)*IF(Upgrades!$T$20="Microlensing",POWER(Upgrades!$U$20,L304),1)*IF(Upgrades!$T$21="Microlensing",POWER(Upgrades!$U$21,M304),1))*POWER(Upgrades!$Q$13,E304)*POWER(Upgrades!$Q$14,F304)*POWER(Upgrades!$Q$15,G304)*POWER(Upgrades!$Q$16,H304)*POWER(Upgrades!$Q$17,I304)*POWER(Upgrades!$Q$18,J304)*POWER(Upgrades!$Q$19,K304)*POWER(Upgrades!$Q$20,L304)*POWER(Upgrades!$Q$21,M304)*$G$6*(Parameters!$B$10*Parameters!$B$11+Q304*60)</f>
        <v/>
      </c>
      <c r="AD304" s="27">
        <f>(IF(H304=0,0,(Upgrades!$M$16+H304*Upgrades!$N$16)*POWER(Upgrades!$O$16,H304)))*(IF(Upgrades!$T$13="Roche Lobe Overflow",POWER(Upgrades!$U$13,E304),1)*IF(Upgrades!$T$14="Roche Lobe Overflow",POWER(Upgrades!$U$14,F304),1)*IF(Upgrades!$T$15="Roche Lobe Overflow",POWER(Upgrades!$U$15,G304),1)*IF(Upgrades!$T$17="Roche Lobe Overflow",POWER(Upgrades!$U$17,I304),1)*IF(Upgrades!$T$18="Roche Lobe Overflow",POWER(Upgrades!$U$18,J304),1)*IF(Upgrades!$T$19="Roche Lobe Overflow",POWER(Upgrades!$U$19,K304),1)*IF(Upgrades!$T$20="Roche Lobe Overflow",POWER(Upgrades!$U$20,L304),1)*IF(Upgrades!$T$21="Roche Lobe Overflow",POWER(Upgrades!$U$21,M304),1))*POWER(Upgrades!$R$13,E304)*POWER(Upgrades!$R$14,F304)*POWER(Upgrades!$R$15,G304)*POWER(Upgrades!$R$16,H304)*POWER(Upgrades!$R$17,I304)*POWER(Upgrades!$R$18,J304)*POWER(Upgrades!$R$19,K304)*POWER(Upgrades!$R$20,L304)*POWER(Upgrades!$R$21,M304)*$H$6*O304*60</f>
        <v/>
      </c>
      <c r="AE304" s="27">
        <f>(IF(I304=0,0,(Upgrades!$G$17+I304*Upgrades!$H$17)*POWER(Upgrades!$I$17,I304)))*(IF(Upgrades!$T$13="Brown Dwarf",POWER(Upgrades!$U$13,E304),1)*IF(Upgrades!$T$14="Brown Dwarf",POWER(Upgrades!$U$14,F304),1)*IF(Upgrades!$T$15="Brown Dwarf",POWER(Upgrades!$U$15,G304),1)*IF(Upgrades!$T$16="Brown Dwarf",POWER(Upgrades!$U$16,H304),1)*IF(Upgrades!$T$18="Brown Dwarf",POWER(Upgrades!$U$18,J304),1)*IF(Upgrades!$T$19="Brown Dwarf",POWER(Upgrades!$U$19,K304),1)*IF(Upgrades!$T$20="Brown Dwarf",POWER(Upgrades!$U$20,L304),1)*IF(Upgrades!$T$21="Brown Dwarf",POWER(Upgrades!$U$21,M304),1))*POWER(Upgrades!$P$13,E304)*POWER(Upgrades!$P$14,F304)*POWER(Upgrades!$P$15,G304)*POWER(Upgrades!$P$16,H304)*POWER(Upgrades!$P$17,I304)*POWER(Upgrades!$P$18,J304)*POWER(Upgrades!$P$19,K304)*POWER(Upgrades!$P$20,L304)*POWER(Upgrades!$P$21,M304)*$F$6*60</f>
        <v/>
      </c>
      <c r="AF304" s="27" t="n">
        <v>0</v>
      </c>
      <c r="AG304" s="27" t="n">
        <v>0</v>
      </c>
      <c r="AH304" s="27" t="n">
        <v>0</v>
      </c>
      <c r="AI304" s="27">
        <f>(IF(M304=0,0,(Upgrades!$G$21+M304*Upgrades!$H$21)*POWER(Upgrades!$I$21,M304)))*(IF(Upgrades!$T$13="Moving Group",POWER(Upgrades!$U$13,E304),1)*IF(Upgrades!$T$14="Moving Group",POWER(Upgrades!$U$14,F304),1)*IF(Upgrades!$T$15="Moving Group",POWER(Upgrades!$U$15,G304),1)*IF(Upgrades!$T$16="Moving Group",POWER(Upgrades!$U$16,H304),1)*IF(Upgrades!$T$17="Moving Group",POWER(Upgrades!$U$17,I304),1)*IF(Upgrades!$T$18="Moving Group",POWER(Upgrades!$U$18,J304),1)*IF(Upgrades!$T$19="Moving Group",POWER(Upgrades!$U$19,K304),1)*IF(Upgrades!$T$20="Moving Group",POWER(Upgrades!$U$20,L304),1))*POWER(Upgrades!$P$13,E304)*POWER(Upgrades!$P$14,F304)*POWER(Upgrades!$P$15,G304)*POWER(Upgrades!$P$16,H304)*POWER(Upgrades!$P$17,I304)*POWER(Upgrades!$P$18,J304)*POWER(Upgrades!$P$19,K304)*POWER(Upgrades!$P$20,L304)*POWER(Upgrades!$P$21,M304)*$F$6*60</f>
        <v/>
      </c>
      <c r="AJ304" s="27">
        <f>$C$6*60</f>
        <v/>
      </c>
      <c r="AK304" s="22">
        <f>IF(E304&gt;=Upgrades!$E$13,"",Upgrades!$C$13*POWER(Upgrades!$D$13,E304))</f>
        <v/>
      </c>
      <c r="AL304" s="22">
        <f>IF(F304&gt;=Upgrades!$E$14,"",Upgrades!$C$14*POWER(Upgrades!$D$14,F304))</f>
        <v/>
      </c>
      <c r="AM304" s="22">
        <f>IF(G304&gt;=Upgrades!$E$15,"",Upgrades!$C$15*POWER(Upgrades!$D$15,G304))</f>
        <v/>
      </c>
      <c r="AN304" s="22">
        <f>IF(H304&gt;=Upgrades!$E$16,"",Upgrades!$C$16*POWER(Upgrades!$D$16,H304))</f>
        <v/>
      </c>
      <c r="AO304" s="22">
        <f>IF(I304&gt;=Upgrades!$E$17,"",Upgrades!$C$17*POWER(Upgrades!$D$17,I304))</f>
        <v/>
      </c>
      <c r="AP304" s="22">
        <f>IF(J304&gt;=Upgrades!$E$18,"",Upgrades!$C$18*POWER(Upgrades!$D$18,J304))</f>
        <v/>
      </c>
      <c r="AQ304" s="22">
        <f>IF(K304&gt;=Upgrades!$E$19,"",Upgrades!$C$19*POWER(Upgrades!$D$19,K304))</f>
        <v/>
      </c>
      <c r="AR304" s="22">
        <f>IF(L304&gt;=Upgrades!$E$20,"",Upgrades!$C$20*POWER(Upgrades!$D$20,L304))</f>
        <v/>
      </c>
      <c r="AS304" s="22">
        <f>IF(M304&gt;=Upgrades!$E$21,"",Upgrades!$C$21*POWER(Upgrades!$D$21,M304))</f>
        <v/>
      </c>
      <c r="AT304" s="26">
        <f>IF(AND(D304&gt;=Parameters!$B$18*Parameters!$B$19,(I304&gt;=Upgrades!$E$17)*(M304&gt;=Upgrades!$E$21)=1,N304=0),1,"")</f>
        <v/>
      </c>
      <c r="AU304" s="26">
        <f>IF(AND(D304&gt;=Parameters!$B$18*Parameters!$B$19,N304=0),1,"")</f>
        <v/>
      </c>
      <c r="AV304" s="22">
        <f>MIN(IF(ISNUMBER(AP304),AP304,9E15),IF(ISNUMBER(AQ304),AQ304,9E15),IF(ISNUMBER(AR304),AR304,9E15),IF(ISNUMBER(AS304),AS304,9E15))</f>
        <v/>
      </c>
      <c r="AW304" s="22">
        <f>MIN(IF(ISNUMBER(AK304),AK304,9E15),IF(ISNUMBER(AL304),AL304,9E15),IF(ISNUMBER(AM304),AM304,9E15),IF(ISNUMBER(AN304),AN304,9E15),IF(ISNUMBER(AO304),AO304,9E15))</f>
        <v/>
      </c>
      <c r="AX304" s="29">
        <f>IF(BD304&gt;Parameters!$B$21*(MAX(IF(AND(NOT(AND(AU304=1,AT304&lt;&gt;1)),ISNUMBER(AK304),AK304&lt;=(C304+T304)),AY304,0),IF(AND(NOT(AND(AU304=1,AT304&lt;&gt;1)),ISNUMBER(AL304),AL304&lt;=(C304+T304)),AZ304,0),IF(AND(NOT(AND(AU304=1,AT304&lt;&gt;1)),ISNUMBER(AM304),AM304&lt;=(C304+T304)),BA304,0),IF(AND(NOT(AND(AU304=1,AT304&lt;&gt;1)),ISNUMBER(AN304),AN304&lt;=(C304+T304)),BB304,0),IF(AND(ISNUMBER(AO304),AO304&lt;=(C304+T304)),BC304,0))),TRUE,FALSE)</f>
        <v/>
      </c>
      <c r="AY304" s="32">
        <f>IFERROR(Upgrades!$H$13*(POWER(Upgrades!$P$13,E304)*POWER(Upgrades!$P$14,F304)*POWER(Upgrades!$P$15,G304)*POWER(Upgrades!$P$16,H304)*POWER(Upgrades!$P$17,I304)*POWER(Upgrades!$P$18,J304)*POWER(Upgrades!$P$19,K304)*POWER(Upgrades!$P$20,L304)*POWER(Upgrades!$P$21,M304))*(IF(Upgrades!$T$14="Stellar Kinematics",POWER(Upgrades!$U$14,F304),1)*IF(Upgrades!$T$15="Stellar Kinematics",POWER(Upgrades!$U$15,G304),1)*IF(Upgrades!$T$16="Stellar Kinematics",POWER(Upgrades!$U$16,H304),1)*IF(Upgrades!$T$17="Stellar Kinematics",POWER(Upgrades!$U$17,I304),1)*IF(Upgrades!$T$18="Stellar Kinematics",POWER(Upgrades!$U$18,J304),1)*IF(Upgrades!$T$19="Stellar Kinematics",POWER(Upgrades!$U$19,K304),1)*IF(Upgrades!$T$20="Stellar Kinematics",POWER(Upgrades!$U$20,L304),1)*IF(Upgrades!$T$21="Stellar Kinematics",POWER(Upgrades!$U$21,M304),1))*$F$6/AK304,0)</f>
        <v/>
      </c>
      <c r="AZ304" s="32">
        <f>IFERROR(Upgrades!$H$14*(POWER(Upgrades!$P$13,E304)*POWER(Upgrades!$P$14,F304)*POWER(Upgrades!$P$15,G304)*POWER(Upgrades!$P$16,H304)*POWER(Upgrades!$P$17,I304)*POWER(Upgrades!$P$18,J304)*POWER(Upgrades!$P$19,K304)*POWER(Upgrades!$P$20,L304)*POWER(Upgrades!$P$21,M304))*(IF(Upgrades!$T$13="Local Bubble",POWER(Upgrades!$U$13,E304),1)*IF(Upgrades!$T$15="Local Bubble",POWER(Upgrades!$U$15,G304),1)*IF(Upgrades!$T$16="Local Bubble",POWER(Upgrades!$U$16,H304),1)*IF(Upgrades!$T$17="Local Bubble",POWER(Upgrades!$U$17,I304),1)*IF(Upgrades!$T$18="Local Bubble",POWER(Upgrades!$U$18,J304),1)*IF(Upgrades!$T$19="Local Bubble",POWER(Upgrades!$U$19,K304),1)*IF(Upgrades!$T$20="Local Bubble",POWER(Upgrades!$U$20,L304),1)*IF(Upgrades!$T$21="Local Bubble",POWER(Upgrades!$U$21,M304),1))*$F$6/AL304,0)</f>
        <v/>
      </c>
      <c r="BA304" s="32">
        <f>IFERROR(Upgrades!$K$15*(POWER(Upgrades!$Q$13,E304)*POWER(Upgrades!$Q$14,F304)*POWER(Upgrades!$Q$15,G304)*POWER(Upgrades!$Q$16,H304)*POWER(Upgrades!$Q$17,I304)*POWER(Upgrades!$Q$18,J304)*POWER(Upgrades!$Q$19,K304)*POWER(Upgrades!$Q$20,L304)*POWER(Upgrades!$Q$21,M304))*(IF(Upgrades!$T$13="Microlensing",POWER(Upgrades!$U$13,E304),1)*IF(Upgrades!$T$14="Microlensing",POWER(Upgrades!$U$14,F304),1)*IF(Upgrades!$T$16="Microlensing",POWER(Upgrades!$U$16,H304),1)*IF(Upgrades!$T$17="Microlensing",POWER(Upgrades!$U$17,I304),1)*IF(Upgrades!$T$18="Microlensing",POWER(Upgrades!$U$18,J304),1)*IF(Upgrades!$T$19="Microlensing",POWER(Upgrades!$U$19,K304),1)*IF(Upgrades!$T$20="Microlensing",POWER(Upgrades!$U$20,L304),1)*IF(Upgrades!$T$21="Microlensing",POWER(Upgrades!$U$21,M304),1))*$G$6*(Parameters!$B$10/60*Parameters!$B$11+Q304)/AM304,0)</f>
        <v/>
      </c>
      <c r="BB304" s="32">
        <f>IFERROR((Upgrades!$N$16*(POWER(Upgrades!$R$13,E304)*POWER(Upgrades!$R$14,F304)*POWER(Upgrades!$R$15,G304)*POWER(Upgrades!$R$16,H304)*POWER(Upgrades!$R$17,I304)*POWER(Upgrades!$R$18,J304)*POWER(Upgrades!$R$19,K304)*POWER(Upgrades!$R$20,L304)*POWER(Upgrades!$R$21,M304))*(IF(Upgrades!$T$13="Roche Lobe Overflow",POWER(Upgrades!$U$13,E304),1)*IF(Upgrades!$T$14="Roche Lobe Overflow",POWER(Upgrades!$U$14,F304),1)*IF(Upgrades!$T$15="Roche Lobe Overflow",POWER(Upgrades!$U$15,G304),1)*IF(Upgrades!$T$17="Roche Lobe Overflow",POWER(Upgrades!$U$17,I304),1)*IF(Upgrades!$T$18="Roche Lobe Overflow",POWER(Upgrades!$U$18,J304),1)*IF(Upgrades!$T$19="Roche Lobe Overflow",POWER(Upgrades!$U$19,K304),1)*IF(Upgrades!$T$20="Roche Lobe Overflow",POWER(Upgrades!$U$20,L304),1)*IF(Upgrades!$T$21="Roche Lobe Overflow",POWER(Upgrades!$U$21,M304),1))*$H$6*O304+((IF(F304=0,0,(Upgrades!$G$14+F304*Upgrades!$H$14)*POWER(Upgrades!$I$14,F304)))*(IF(Upgrades!$T$13="Local Bubble",POWER(Upgrades!$U$13,E304),1)*IF(Upgrades!$T$15="Local Bubble",POWER(Upgrades!$U$15,G304),1)*IF(Upgrades!$T$16="Local Bubble",POWER(Upgrades!$U$16,H304),1)*IF(Upgrades!$T$17="Local Bubble",POWER(Upgrades!$U$17,I304),1)*IF(Upgrades!$T$18="Local Bubble",POWER(Upgrades!$U$18,J304),1)*IF(Upgrades!$T$19="Local Bubble",POWER(Upgrades!$U$19,K304),1)*IF(Upgrades!$T$20="Local Bubble",POWER(Upgrades!$U$20,L304),1)*IF(Upgrades!$T$21="Local Bubble",POWER(Upgrades!$U$21,M304),1))*POWER(Upgrades!$P$13,E304)*POWER(Upgrades!$P$14,F304)*POWER(Upgrades!$P$15,G304)*POWER(Upgrades!$P$16,H304)*POWER(Upgrades!$P$17,I304)*POWER(Upgrades!$P$18,J304)*POWER(Upgrades!$P$19,K304)*POWER(Upgrades!$P$20,L304)*POWER(Upgrades!$P$21,M304)*$F$6)*0.05)/AN304,0)</f>
        <v/>
      </c>
      <c r="BC304" s="32">
        <f>IFERROR((Upgrades!$H$17*(POWER(Upgrades!$P$13,E304)*POWER(Upgrades!$P$14,F304)*POWER(Upgrades!$P$15,G304)*POWER(Upgrades!$P$16,H304)*POWER(Upgrades!$P$17,I304)*POWER(Upgrades!$P$18,J304)*POWER(Upgrades!$P$19,K304)*POWER(Upgrades!$P$20,L304)*POWER(Upgrades!$P$21,M304))*(IF(Upgrades!$T$13="Brown Dwarf",POWER(Upgrades!$U$13,E304),1)*IF(Upgrades!$T$14="Brown Dwarf",POWER(Upgrades!$U$14,F304),1)*IF(Upgrades!$T$15="Brown Dwarf",POWER(Upgrades!$U$15,G304),1)*IF(Upgrades!$T$16="Brown Dwarf",POWER(Upgrades!$U$16,H304),1)*IF(Upgrades!$T$18="Brown Dwarf",POWER(Upgrades!$U$18,J304),1)*IF(Upgrades!$T$19="Brown Dwarf",POWER(Upgrades!$U$19,K304),1)*IF(Upgrades!$T$20="Brown Dwarf",POWER(Upgrades!$U$20,L304),1)*IF(Upgrades!$T$21="Brown Dwarf",POWER(Upgrades!$U$21,M304),1))*$F$6+(((IF(H304=0,0,(Upgrades!$M$16+H304*Upgrades!$N$16)*POWER(Upgrades!$O$16,H304)))*(IF(Upgrades!$T$13="Roche Lobe Overflow",POWER(Upgrades!$U$13,E304),1)*IF(Upgrades!$T$14="Roche Lobe Overflow",POWER(Upgrades!$U$14,F304),1)*IF(Upgrades!$T$15="Roche Lobe Overflow",POWER(Upgrades!$U$15,G304),1)*IF(Upgrades!$T$17="Roche Lobe Overflow",POWER(Upgrades!$U$17,I304),1)*IF(Upgrades!$T$18="Roche Lobe Overflow",POWER(Upgrades!$U$18,J304),1)*IF(Upgrades!$T$19="Roche Lobe Overflow",POWER(Upgrades!$U$19,K304),1)*IF(Upgrades!$T$20="Roche Lobe Overflow",POWER(Upgrades!$U$20,L304),1)*IF(Upgrades!$T$21="Roche Lobe Overflow",POWER(Upgrades!$U$21,M304),1))*POWER(Upgrades!$R$13,E304)*POWER(Upgrades!$R$14,F304)*POWER(Upgrades!$R$15,G304)*POWER(Upgrades!$R$16,H304)*POWER(Upgrades!$R$17,I304)*POWER(Upgrades!$R$18,J304)*POWER(Upgrades!$R$19,K304)*POWER(Upgrades!$R$20,L304)*POWER(Upgrades!$R$21,M304)*$H$6)*O304)*0.10)/AO304,0)</f>
        <v/>
      </c>
      <c r="BD304" s="32">
        <f>MAX(IF(J304&gt;0,0,IFERROR(0.5*((IF(G304=0,0,(Upgrades!$J$15+G304*Upgrades!$K$15)*POWER(Upgrades!$L$15,G304)))*(IF(Upgrades!$T$13="Microlensing",POWER(Upgrades!$U$13,E304),1)*IF(Upgrades!$T$14="Microlensing",POWER(Upgrades!$U$14,F304),1)*IF(Upgrades!$T$16="Microlensing",POWER(Upgrades!$U$16,H304),1)*IF(Upgrades!$T$17="Microlensing",POWER(Upgrades!$U$17,I304),1)*IF(Upgrades!$T$18="Microlensing",POWER(Upgrades!$U$18,J304),1)*IF(Upgrades!$T$19="Microlensing",POWER(Upgrades!$U$19,K304),1)*IF(Upgrades!$T$20="Microlensing",POWER(Upgrades!$U$20,L304),1)*IF(Upgrades!$T$21="Microlensing",POWER(Upgrades!$U$21,M304),1))*(POWER(Upgrades!$Q$13,E304)*POWER(Upgrades!$Q$14,F304)*POWER(Upgrades!$Q$15,G304)*POWER(Upgrades!$Q$16,H304)*POWER(Upgrades!$Q$17,I304)*POWER(Upgrades!$Q$18,J304)*POWER(Upgrades!$Q$19,K304)*POWER(Upgrades!$Q$20,L304)*POWER(Upgrades!$Q$21,M304))*$G$6*(Parameters!$B$10/60*Parameters!$B$11+Q304))/Upgrades!$C$18,0)),IF(K304&gt;0,0,IFERROR(0.30*P304/Upgrades!$C$19,0)),IF(L304&gt;0,0,IFERROR(0.0001/Upgrades!$C$20,0)),IF(M304&gt;0,0,IFERROR((6.0*(POWER(Upgrades!$P$13,E304)*POWER(Upgrades!$P$14,F304)*POWER(Upgrades!$P$15,G304)*POWER(Upgrades!$P$16,H304)*POWER(Upgrades!$P$17,I304)*POWER(Upgrades!$P$18,J304)*POWER(Upgrades!$P$19,K304)*POWER(Upgrades!$P$20,L304)*POWER(Upgrades!$P$21,M304))*$F$6+0.20*O304*(Parameters!$B$10/60*Parameters!$B$11+Q304))/Upgrades!$C$21,0)),IF(AND(ISNUMBER(AK304),AK304&gt;(C304+T304)),AY304,0),IF(AND(ISNUMBER(AL304),AL304&gt;(C304+T304)),AZ304,0),IF(AND(ISNUMBER(AM304),AM304&gt;(C304+T304)),BA304,0),IF(AND(ISNUMBER(AN304),AN304&gt;(C304+T304)),BB304,0),IF(AND(ISNUMBER(AO304),AO304&gt;(C304+T304)),BC304,0))</f>
        <v/>
      </c>
      <c r="BE304" s="29">
        <f>IF(AT304=1,"transition",IF(MIN(IF(AND(J304=0,ISNUMBER(AP304),AP304&lt;=(C304+T304)),AP304,9E15),IF(AND(K304=0,ISNUMBER(AQ304),AQ304&lt;=(C304+T304)),AQ304,9E15),IF(AND(L304=0,ISNUMBER(AR304),AR304&lt;=(C304+T304)),AR304,9E15),IF(AND(M304=0,ISNUMBER(AS304),AS304&lt;=(C304+T304)),AS304,9E15))&lt;9E15,IF(AND(AND(J304=0,ISNUMBER(AP304),AP304&lt;=(C304+T304)),AP304=MIN(IF(AND(J304=0,ISNUMBER(AP304),AP304&lt;=(C304+T304)),AP304,9E15),IF(AND(K304=0,ISNUMBER(AQ304),AQ304&lt;=(C304+T304)),AQ304,9E15),IF(AND(L304=0,ISNUMBER(AR304),AR304&lt;=(C304+T304)),AR304,9E15),IF(AND(M304=0,ISNUMBER(AS304),AS304&lt;=(C304+T304)),AS304,9E15))),"BiP",IF(AND(AND(K304=0,ISNUMBER(AQ304),AQ304&lt;=(C304+T304)),AQ304=MIN(IF(AND(J304=0,ISNUMBER(AP304),AP304&lt;=(C304+T304)),AP304,9E15),IF(AND(K304=0,ISNUMBER(AQ304),AQ304&lt;=(C304+T304)),AQ304,9E15),IF(AND(L304=0,ISNUMBER(AR304),AR304&lt;=(C304+T304)),AR304,9E15),IF(AND(M304=0,ISNUMBER(AS304),AS304&lt;=(C304+T304)),AS304,9E15))),"PV",IF(AND(AND(L304=0,ISNUMBER(AR304),AR304&lt;=(C304+T304)),AR304=MIN(IF(AND(J304=0,ISNUMBER(AP304),AP304&lt;=(C304+T304)),AP304,9E15),IF(AND(K304=0,ISNUMBER(AQ304),AQ304&lt;=(C304+T304)),AQ304,9E15),IF(AND(L304=0,ISNUMBER(AR304),AR304&lt;=(C304+T304)),AR304,9E15),IF(AND(M304=0,ISNUMBER(AS304),AS304&lt;=(C304+T304)),AS304,9E15))),"OC","MG"))),IF(AX304=TRUE,"",IF(MAX(IF(AND(NOT(AND(AU304=1,AT304&lt;&gt;1)),ISNUMBER(AK304),AK304&lt;=(C304+T304)),AY304,0),IF(AND(NOT(AND(AU304=1,AT304&lt;&gt;1)),ISNUMBER(AL304),AL304&lt;=(C304+T304)),AZ304,0),IF(AND(NOT(AND(AU304=1,AT304&lt;&gt;1)),ISNUMBER(AM304),AM304&lt;=(C304+T304)),BA304,0),IF(AND(NOT(AND(AU304=1,AT304&lt;&gt;1)),ISNUMBER(AN304),AN304&lt;=(C304+T304)),BB304,0),IF(AND(ISNUMBER(AO304),AO304&lt;=(C304+T304)),BC304,0))&lt;=0,"",IF(AND(IF(AND(NOT(AND(AU304=1,AT304&lt;&gt;1)),ISNUMBER(AK304),AK304&lt;=(C304+T304)),AY304,0)&gt;0,IF(AND(NOT(AND(AU304=1,AT304&lt;&gt;1)),ISNUMBER(AK304),AK304&lt;=(C304+T304)),AY304,0)=MAX(IF(AND(NOT(AND(AU304=1,AT304&lt;&gt;1)),ISNUMBER(AK304),AK304&lt;=(C304+T304)),AY304,0),IF(AND(NOT(AND(AU304=1,AT304&lt;&gt;1)),ISNUMBER(AL304),AL304&lt;=(C304+T304)),AZ304,0),IF(AND(NOT(AND(AU304=1,AT304&lt;&gt;1)),ISNUMBER(AM304),AM304&lt;=(C304+T304)),BA304,0),IF(AND(NOT(AND(AU304=1,AT304&lt;&gt;1)),ISNUMBER(AN304),AN304&lt;=(C304+T304)),BB304,0),IF(AND(ISNUMBER(AO304),AO304&lt;=(C304+T304)),BC304,0))),"SK",IF(AND(IF(AND(NOT(AND(AU304=1,AT304&lt;&gt;1)),ISNUMBER(AL304),AL304&lt;=(C304+T304)),AZ304,0)&gt;0,IF(AND(NOT(AND(AU304=1,AT304&lt;&gt;1)),ISNUMBER(AL304),AL304&lt;=(C304+T304)),AZ304,0)=MAX(IF(AND(NOT(AND(AU304=1,AT304&lt;&gt;1)),ISNUMBER(AK304),AK304&lt;=(C304+T304)),AY304,0),IF(AND(NOT(AND(AU304=1,AT304&lt;&gt;1)),ISNUMBER(AL304),AL304&lt;=(C304+T304)),AZ304,0),IF(AND(NOT(AND(AU304=1,AT304&lt;&gt;1)),ISNUMBER(AM304),AM304&lt;=(C304+T304)),BA304,0),IF(AND(NOT(AND(AU304=1,AT304&lt;&gt;1)),ISNUMBER(AN304),AN304&lt;=(C304+T304)),BB304,0),IF(AND(ISNUMBER(AO304),AO304&lt;=(C304+T304)),BC304,0))),"LB",IF(AND(IF(AND(NOT(AND(AU304=1,AT304&lt;&gt;1)),ISNUMBER(AM304),AM304&lt;=(C304+T304)),BA304,0)&gt;0,IF(AND(NOT(AND(AU304=1,AT304&lt;&gt;1)),ISNUMBER(AM304),AM304&lt;=(C304+T304)),BA304,0)=MAX(IF(AND(NOT(AND(AU304=1,AT304&lt;&gt;1)),ISNUMBER(AK304),AK304&lt;=(C304+T304)),AY304,0),IF(AND(NOT(AND(AU304=1,AT304&lt;&gt;1)),ISNUMBER(AL304),AL304&lt;=(C304+T304)),AZ304,0),IF(AND(NOT(AND(AU304=1,AT304&lt;&gt;1)),ISNUMBER(AM304),AM304&lt;=(C304+T304)),BA304,0),IF(AND(NOT(AND(AU304=1,AT304&lt;&gt;1)),ISNUMBER(AN304),AN304&lt;=(C304+T304)),BB304,0),IF(AND(ISNUMBER(AO304),AO304&lt;=(C304+T304)),BC304,0))),"ML",IF(AND(IF(AND(NOT(AND(AU304=1,AT304&lt;&gt;1)),ISNUMBER(AN304),AN304&lt;=(C304+T304)),BB304,0)&gt;0,IF(AND(NOT(AND(AU304=1,AT304&lt;&gt;1)),ISNUMBER(AN304),AN304&lt;=(C304+T304)),BB304,0)=MAX(IF(AND(NOT(AND(AU304=1,AT304&lt;&gt;1)),ISNUMBER(AK304),AK304&lt;=(C304+T304)),AY304,0),IF(AND(NOT(AND(AU304=1,AT304&lt;&gt;1)),ISNUMBER(AL304),AL304&lt;=(C304+T304)),AZ304,0),IF(AND(NOT(AND(AU304=1,AT304&lt;&gt;1)),ISNUMBER(AM304),AM304&lt;=(C304+T304)),BA304,0),IF(AND(NOT(AND(AU304=1,AT304&lt;&gt;1)),ISNUMBER(AN304),AN304&lt;=(C304+T304)),BB304,0),IF(AND(ISNUMBER(AO304),AO304&lt;=(C304+T304)),BC304,0))),"RLO","BD"))))))))</f>
        <v/>
      </c>
    </row>
    <row r="305">
      <c r="A305" s="26" t="n">
        <v>294</v>
      </c>
      <c r="B305" s="27">
        <f>A305*10/60</f>
        <v/>
      </c>
      <c r="C305" s="22">
        <f>X304</f>
        <v/>
      </c>
      <c r="D305" s="27">
        <f>D304+W304</f>
        <v/>
      </c>
      <c r="E305" s="26">
        <f>E304+IF(U304="SK",1,0)</f>
        <v/>
      </c>
      <c r="F305" s="26">
        <f>F304+IF(U304="LB",1,0)</f>
        <v/>
      </c>
      <c r="G305" s="26">
        <f>G304+IF(U304="ML",1,0)</f>
        <v/>
      </c>
      <c r="H305" s="26">
        <f>H304+IF(U304="RLO",1,0)</f>
        <v/>
      </c>
      <c r="I305" s="26">
        <f>I304+IF(U304="BD",1,0)</f>
        <v/>
      </c>
      <c r="J305" s="26">
        <f>MAX(J304,IF(U304="BiP",1,0))</f>
        <v/>
      </c>
      <c r="K305" s="26">
        <f>MAX(K304,IF(U304="PV",1,0))</f>
        <v/>
      </c>
      <c r="L305" s="26">
        <f>MAX(L304,IF(U304="OC",1,0))</f>
        <v/>
      </c>
      <c r="M305" s="26">
        <f>MAX(M304,IF(U304="MG",1,0))</f>
        <v/>
      </c>
      <c r="N305" s="26">
        <f>MAX(N304,IF(U304="transition",1,0))</f>
        <v/>
      </c>
      <c r="O305" s="28">
        <f>(Parameters!$B$9+(IF(E305=0,0,(Upgrades!$J$13+E305*Upgrades!$K$13)*POWER(Upgrades!$L$13,E305)))*(IF(Upgrades!$T$14="Stellar Kinematics",POWER(Upgrades!$U$14,F305),1)*IF(Upgrades!$T$15="Stellar Kinematics",POWER(Upgrades!$U$15,G305),1)*IF(Upgrades!$T$16="Stellar Kinematics",POWER(Upgrades!$U$16,H305),1)*IF(Upgrades!$T$17="Stellar Kinematics",POWER(Upgrades!$U$17,I305),1)*IF(Upgrades!$T$18="Stellar Kinematics",POWER(Upgrades!$U$18,J305),1)*IF(Upgrades!$T$19="Stellar Kinematics",POWER(Upgrades!$U$19,K305),1)*IF(Upgrades!$T$20="Stellar Kinematics",POWER(Upgrades!$U$20,L305),1)*IF(Upgrades!$T$21="Stellar Kinematics",POWER(Upgrades!$U$21,M305),1))+(IF(F305=0,0,(Upgrades!$J$14+F305*Upgrades!$K$14)*POWER(Upgrades!$L$14,F305)))*(IF(Upgrades!$T$13="Local Bubble",POWER(Upgrades!$U$13,E305),1)*IF(Upgrades!$T$15="Local Bubble",POWER(Upgrades!$U$15,G305),1)*IF(Upgrades!$T$16="Local Bubble",POWER(Upgrades!$U$16,H305),1)*IF(Upgrades!$T$17="Local Bubble",POWER(Upgrades!$U$17,I305),1)*IF(Upgrades!$T$18="Local Bubble",POWER(Upgrades!$U$18,J305),1)*IF(Upgrades!$T$19="Local Bubble",POWER(Upgrades!$U$19,K305),1)*IF(Upgrades!$T$20="Local Bubble",POWER(Upgrades!$U$20,L305),1)*IF(Upgrades!$T$21="Local Bubble",POWER(Upgrades!$U$21,M305),1))+(IF(G305=0,0,(Upgrades!$J$15+G305*Upgrades!$K$15)*POWER(Upgrades!$L$15,G305)))*(IF(Upgrades!$T$13="Microlensing",POWER(Upgrades!$U$13,E305),1)*IF(Upgrades!$T$14="Microlensing",POWER(Upgrades!$U$14,F305),1)*IF(Upgrades!$T$16="Microlensing",POWER(Upgrades!$U$16,H305),1)*IF(Upgrades!$T$17="Microlensing",POWER(Upgrades!$U$17,I305),1)*IF(Upgrades!$T$18="Microlensing",POWER(Upgrades!$U$18,J305),1)*IF(Upgrades!$T$19="Microlensing",POWER(Upgrades!$U$19,K305),1)*IF(Upgrades!$T$20="Microlensing",POWER(Upgrades!$U$20,L305),1)*IF(Upgrades!$T$21="Microlensing",POWER(Upgrades!$U$21,M305),1))+(IF(H305=0,0,(Upgrades!$J$16+H305*Upgrades!$K$16)*POWER(Upgrades!$L$16,H305)))*(IF(Upgrades!$T$13="Roche Lobe Overflow",POWER(Upgrades!$U$13,E305),1)*IF(Upgrades!$T$14="Roche Lobe Overflow",POWER(Upgrades!$U$14,F305),1)*IF(Upgrades!$T$15="Roche Lobe Overflow",POWER(Upgrades!$U$15,G305),1)*IF(Upgrades!$T$17="Roche Lobe Overflow",POWER(Upgrades!$U$17,I305),1)*IF(Upgrades!$T$18="Roche Lobe Overflow",POWER(Upgrades!$U$18,J305),1)*IF(Upgrades!$T$19="Roche Lobe Overflow",POWER(Upgrades!$U$19,K305),1)*IF(Upgrades!$T$20="Roche Lobe Overflow",POWER(Upgrades!$U$20,L305),1)*IF(Upgrades!$T$21="Roche Lobe Overflow",POWER(Upgrades!$U$21,M305),1))+(IF(I305=0,0,(Upgrades!$J$17+I305*Upgrades!$K$17)*POWER(Upgrades!$L$17,I305)))*(IF(Upgrades!$T$13="Brown Dwarf",POWER(Upgrades!$U$13,E305),1)*IF(Upgrades!$T$14="Brown Dwarf",POWER(Upgrades!$U$14,F305),1)*IF(Upgrades!$T$15="Brown Dwarf",POWER(Upgrades!$U$15,G305),1)*IF(Upgrades!$T$16="Brown Dwarf",POWER(Upgrades!$U$16,H305),1)*IF(Upgrades!$T$18="Brown Dwarf",POWER(Upgrades!$U$18,J305),1)*IF(Upgrades!$T$19="Brown Dwarf",POWER(Upgrades!$U$19,K305),1)*IF(Upgrades!$T$20="Brown Dwarf",POWER(Upgrades!$U$20,L305),1)*IF(Upgrades!$T$21="Brown Dwarf",POWER(Upgrades!$U$21,M305),1))+(IF(J305=0,0,(Upgrades!$J$18+J305*Upgrades!$K$18)*POWER(Upgrades!$L$18,J305)))*(IF(Upgrades!$T$13="Binary Partner",POWER(Upgrades!$U$13,E305),1)*IF(Upgrades!$T$14="Binary Partner",POWER(Upgrades!$U$14,F305),1)*IF(Upgrades!$T$15="Binary Partner",POWER(Upgrades!$U$15,G305),1)*IF(Upgrades!$T$16="Binary Partner",POWER(Upgrades!$U$16,H305),1)*IF(Upgrades!$T$17="Binary Partner",POWER(Upgrades!$U$17,I305),1)*IF(Upgrades!$T$19="Binary Partner",POWER(Upgrades!$U$19,K305),1)*IF(Upgrades!$T$20="Binary Partner",POWER(Upgrades!$U$20,L305),1)*IF(Upgrades!$T$21="Binary Partner",POWER(Upgrades!$U$21,M305),1))+(IF(K305=0,0,(Upgrades!$J$19+K305*Upgrades!$K$19)*POWER(Upgrades!$L$19,K305)))*(IF(Upgrades!$T$13="Peculiar Velocity",POWER(Upgrades!$U$13,E305),1)*IF(Upgrades!$T$14="Peculiar Velocity",POWER(Upgrades!$U$14,F305),1)*IF(Upgrades!$T$15="Peculiar Velocity",POWER(Upgrades!$U$15,G305),1)*IF(Upgrades!$T$16="Peculiar Velocity",POWER(Upgrades!$U$16,H305),1)*IF(Upgrades!$T$17="Peculiar Velocity",POWER(Upgrades!$U$17,I305),1)*IF(Upgrades!$T$18="Peculiar Velocity",POWER(Upgrades!$U$18,J305),1)*IF(Upgrades!$T$20="Peculiar Velocity",POWER(Upgrades!$U$20,L305),1)*IF(Upgrades!$T$21="Peculiar Velocity",POWER(Upgrades!$U$21,M305),1))+(IF(L305=0,0,(Upgrades!$J$20+L305*Upgrades!$K$20)*POWER(Upgrades!$L$20,L305)))*(IF(Upgrades!$T$13="Open Cluster",POWER(Upgrades!$U$13,E305),1)*IF(Upgrades!$T$14="Open Cluster",POWER(Upgrades!$U$14,F305),1)*IF(Upgrades!$T$15="Open Cluster",POWER(Upgrades!$U$15,G305),1)*IF(Upgrades!$T$16="Open Cluster",POWER(Upgrades!$U$16,H305),1)*IF(Upgrades!$T$17="Open Cluster",POWER(Upgrades!$U$17,I305),1)*IF(Upgrades!$T$18="Open Cluster",POWER(Upgrades!$U$18,J305),1)*IF(Upgrades!$T$19="Open Cluster",POWER(Upgrades!$U$19,K305),1)*IF(Upgrades!$T$21="Open Cluster",POWER(Upgrades!$U$21,M305),1))+(IF(M305=0,0,(Upgrades!$J$21+M305*Upgrades!$K$21)*POWER(Upgrades!$L$21,M305)))*(IF(Upgrades!$T$13="Moving Group",POWER(Upgrades!$U$13,E305),1)*IF(Upgrades!$T$14="Moving Group",POWER(Upgrades!$U$14,F305),1)*IF(Upgrades!$T$15="Moving Group",POWER(Upgrades!$U$15,G305),1)*IF(Upgrades!$T$16="Moving Group",POWER(Upgrades!$U$16,H305),1)*IF(Upgrades!$T$17="Moving Group",POWER(Upgrades!$U$17,I305),1)*IF(Upgrades!$T$18="Moving Group",POWER(Upgrades!$U$18,J305),1)*IF(Upgrades!$T$19="Moving Group",POWER(Upgrades!$U$19,K305),1)*IF(Upgrades!$T$20="Moving Group",POWER(Upgrades!$U$20,L305),1)))*POWER(Upgrades!$Q$13,E305)*POWER(Upgrades!$Q$14,F305)*POWER(Upgrades!$Q$15,G305)*POWER(Upgrades!$Q$16,H305)*POWER(Upgrades!$Q$17,I305)*POWER(Upgrades!$Q$18,J305)*POWER(Upgrades!$Q$19,K305)*POWER(Upgrades!$Q$20,L305)*POWER(Upgrades!$Q$21,M305)*$G$6+$D$6</f>
        <v/>
      </c>
      <c r="P305" s="28">
        <f>((IF(E305=0,0,(Upgrades!$G$13+E305*Upgrades!$H$13)*POWER(Upgrades!$I$13,E305)))*(IF(Upgrades!$T$14="Stellar Kinematics",POWER(Upgrades!$U$14,F305),1)*IF(Upgrades!$T$15="Stellar Kinematics",POWER(Upgrades!$U$15,G305),1)*IF(Upgrades!$T$16="Stellar Kinematics",POWER(Upgrades!$U$16,H305),1)*IF(Upgrades!$T$17="Stellar Kinematics",POWER(Upgrades!$U$17,I305),1)*IF(Upgrades!$T$18="Stellar Kinematics",POWER(Upgrades!$U$18,J305),1)*IF(Upgrades!$T$19="Stellar Kinematics",POWER(Upgrades!$U$19,K305),1)*IF(Upgrades!$T$20="Stellar Kinematics",POWER(Upgrades!$U$20,L305),1)*IF(Upgrades!$T$21="Stellar Kinematics",POWER(Upgrades!$U$21,M305),1))+(IF(F305=0,0,(Upgrades!$G$14+F305*Upgrades!$H$14)*POWER(Upgrades!$I$14,F305)))*(IF(Upgrades!$T$13="Local Bubble",POWER(Upgrades!$U$13,E305),1)*IF(Upgrades!$T$15="Local Bubble",POWER(Upgrades!$U$15,G305),1)*IF(Upgrades!$T$16="Local Bubble",POWER(Upgrades!$U$16,H305),1)*IF(Upgrades!$T$17="Local Bubble",POWER(Upgrades!$U$17,I305),1)*IF(Upgrades!$T$18="Local Bubble",POWER(Upgrades!$U$18,J305),1)*IF(Upgrades!$T$19="Local Bubble",POWER(Upgrades!$U$19,K305),1)*IF(Upgrades!$T$20="Local Bubble",POWER(Upgrades!$U$20,L305),1)*IF(Upgrades!$T$21="Local Bubble",POWER(Upgrades!$U$21,M305),1))+(IF(G305=0,0,(Upgrades!$G$15+G305*Upgrades!$H$15)*POWER(Upgrades!$I$15,G305)))*(IF(Upgrades!$T$13="Microlensing",POWER(Upgrades!$U$13,E305),1)*IF(Upgrades!$T$14="Microlensing",POWER(Upgrades!$U$14,F305),1)*IF(Upgrades!$T$16="Microlensing",POWER(Upgrades!$U$16,H305),1)*IF(Upgrades!$T$17="Microlensing",POWER(Upgrades!$U$17,I305),1)*IF(Upgrades!$T$18="Microlensing",POWER(Upgrades!$U$18,J305),1)*IF(Upgrades!$T$19="Microlensing",POWER(Upgrades!$U$19,K305),1)*IF(Upgrades!$T$20="Microlensing",POWER(Upgrades!$U$20,L305),1)*IF(Upgrades!$T$21="Microlensing",POWER(Upgrades!$U$21,M305),1))+(IF(H305=0,0,(Upgrades!$G$16+H305*Upgrades!$H$16)*POWER(Upgrades!$I$16,H305)))*(IF(Upgrades!$T$13="Roche Lobe Overflow",POWER(Upgrades!$U$13,E305),1)*IF(Upgrades!$T$14="Roche Lobe Overflow",POWER(Upgrades!$U$14,F305),1)*IF(Upgrades!$T$15="Roche Lobe Overflow",POWER(Upgrades!$U$15,G305),1)*IF(Upgrades!$T$17="Roche Lobe Overflow",POWER(Upgrades!$U$17,I305),1)*IF(Upgrades!$T$18="Roche Lobe Overflow",POWER(Upgrades!$U$18,J305),1)*IF(Upgrades!$T$19="Roche Lobe Overflow",POWER(Upgrades!$U$19,K305),1)*IF(Upgrades!$T$20="Roche Lobe Overflow",POWER(Upgrades!$U$20,L305),1)*IF(Upgrades!$T$21="Roche Lobe Overflow",POWER(Upgrades!$U$21,M305),1))+(IF(I305=0,0,(Upgrades!$G$17+I305*Upgrades!$H$17)*POWER(Upgrades!$I$17,I305)))*(IF(Upgrades!$T$13="Brown Dwarf",POWER(Upgrades!$U$13,E305),1)*IF(Upgrades!$T$14="Brown Dwarf",POWER(Upgrades!$U$14,F305),1)*IF(Upgrades!$T$15="Brown Dwarf",POWER(Upgrades!$U$15,G305),1)*IF(Upgrades!$T$16="Brown Dwarf",POWER(Upgrades!$U$16,H305),1)*IF(Upgrades!$T$18="Brown Dwarf",POWER(Upgrades!$U$18,J305),1)*IF(Upgrades!$T$19="Brown Dwarf",POWER(Upgrades!$U$19,K305),1)*IF(Upgrades!$T$20="Brown Dwarf",POWER(Upgrades!$U$20,L305),1)*IF(Upgrades!$T$21="Brown Dwarf",POWER(Upgrades!$U$21,M305),1))+(IF(J305=0,0,(Upgrades!$G$18+J305*Upgrades!$H$18)*POWER(Upgrades!$I$18,J305)))*(IF(Upgrades!$T$13="Binary Partner",POWER(Upgrades!$U$13,E305),1)*IF(Upgrades!$T$14="Binary Partner",POWER(Upgrades!$U$14,F305),1)*IF(Upgrades!$T$15="Binary Partner",POWER(Upgrades!$U$15,G305),1)*IF(Upgrades!$T$16="Binary Partner",POWER(Upgrades!$U$16,H305),1)*IF(Upgrades!$T$17="Binary Partner",POWER(Upgrades!$U$17,I305),1)*IF(Upgrades!$T$19="Binary Partner",POWER(Upgrades!$U$19,K305),1)*IF(Upgrades!$T$20="Binary Partner",POWER(Upgrades!$U$20,L305),1)*IF(Upgrades!$T$21="Binary Partner",POWER(Upgrades!$U$21,M305),1))+(IF(K305=0,0,(Upgrades!$G$19+K305*Upgrades!$H$19)*POWER(Upgrades!$I$19,K305)))*(IF(Upgrades!$T$13="Peculiar Velocity",POWER(Upgrades!$U$13,E305),1)*IF(Upgrades!$T$14="Peculiar Velocity",POWER(Upgrades!$U$14,F305),1)*IF(Upgrades!$T$15="Peculiar Velocity",POWER(Upgrades!$U$15,G305),1)*IF(Upgrades!$T$16="Peculiar Velocity",POWER(Upgrades!$U$16,H305),1)*IF(Upgrades!$T$17="Peculiar Velocity",POWER(Upgrades!$U$17,I305),1)*IF(Upgrades!$T$18="Peculiar Velocity",POWER(Upgrades!$U$18,J305),1)*IF(Upgrades!$T$20="Peculiar Velocity",POWER(Upgrades!$U$20,L305),1)*IF(Upgrades!$T$21="Peculiar Velocity",POWER(Upgrades!$U$21,M305),1))+(IF(L305=0,0,(Upgrades!$G$20+L305*Upgrades!$H$20)*POWER(Upgrades!$I$20,L305)))*(IF(Upgrades!$T$13="Open Cluster",POWER(Upgrades!$U$13,E305),1)*IF(Upgrades!$T$14="Open Cluster",POWER(Upgrades!$U$14,F305),1)*IF(Upgrades!$T$15="Open Cluster",POWER(Upgrades!$U$15,G305),1)*IF(Upgrades!$T$16="Open Cluster",POWER(Upgrades!$U$16,H305),1)*IF(Upgrades!$T$17="Open Cluster",POWER(Upgrades!$U$17,I305),1)*IF(Upgrades!$T$18="Open Cluster",POWER(Upgrades!$U$18,J305),1)*IF(Upgrades!$T$19="Open Cluster",POWER(Upgrades!$U$19,K305),1)*IF(Upgrades!$T$21="Open Cluster",POWER(Upgrades!$U$21,M305),1))+(IF(M305=0,0,(Upgrades!$G$21+M305*Upgrades!$H$21)*POWER(Upgrades!$I$21,M305)))*(IF(Upgrades!$T$13="Moving Group",POWER(Upgrades!$U$13,E305),1)*IF(Upgrades!$T$14="Moving Group",POWER(Upgrades!$U$14,F305),1)*IF(Upgrades!$T$15="Moving Group",POWER(Upgrades!$U$15,G305),1)*IF(Upgrades!$T$16="Moving Group",POWER(Upgrades!$U$16,H305),1)*IF(Upgrades!$T$17="Moving Group",POWER(Upgrades!$U$17,I305),1)*IF(Upgrades!$T$18="Moving Group",POWER(Upgrades!$U$18,J305),1)*IF(Upgrades!$T$19="Moving Group",POWER(Upgrades!$U$19,K305),1)*IF(Upgrades!$T$20="Moving Group",POWER(Upgrades!$U$20,L305),1)))*POWER(Upgrades!$P$13,E305)*POWER(Upgrades!$P$14,F305)*POWER(Upgrades!$P$15,G305)*POWER(Upgrades!$P$16,H305)*POWER(Upgrades!$P$17,I305)*POWER(Upgrades!$P$18,J305)*POWER(Upgrades!$P$19,K305)*POWER(Upgrades!$P$20,L305)*POWER(Upgrades!$P$21,M305)*$F$6+$C$6</f>
        <v/>
      </c>
      <c r="Q305" s="28">
        <f>((IF(E305=0,0,(Upgrades!$M$13+E305*Upgrades!$N$13)*POWER(Upgrades!$O$13,E305)))*(IF(Upgrades!$T$14="Stellar Kinematics",POWER(Upgrades!$U$14,F305),1)*IF(Upgrades!$T$15="Stellar Kinematics",POWER(Upgrades!$U$15,G305),1)*IF(Upgrades!$T$16="Stellar Kinematics",POWER(Upgrades!$U$16,H305),1)*IF(Upgrades!$T$17="Stellar Kinematics",POWER(Upgrades!$U$17,I305),1)*IF(Upgrades!$T$18="Stellar Kinematics",POWER(Upgrades!$U$18,J305),1)*IF(Upgrades!$T$19="Stellar Kinematics",POWER(Upgrades!$U$19,K305),1)*IF(Upgrades!$T$20="Stellar Kinematics",POWER(Upgrades!$U$20,L305),1)*IF(Upgrades!$T$21="Stellar Kinematics",POWER(Upgrades!$U$21,M305),1))+(IF(F305=0,0,(Upgrades!$M$14+F305*Upgrades!$N$14)*POWER(Upgrades!$O$14,F305)))*(IF(Upgrades!$T$13="Local Bubble",POWER(Upgrades!$U$13,E305),1)*IF(Upgrades!$T$15="Local Bubble",POWER(Upgrades!$U$15,G305),1)*IF(Upgrades!$T$16="Local Bubble",POWER(Upgrades!$U$16,H305),1)*IF(Upgrades!$T$17="Local Bubble",POWER(Upgrades!$U$17,I305),1)*IF(Upgrades!$T$18="Local Bubble",POWER(Upgrades!$U$18,J305),1)*IF(Upgrades!$T$19="Local Bubble",POWER(Upgrades!$U$19,K305),1)*IF(Upgrades!$T$20="Local Bubble",POWER(Upgrades!$U$20,L305),1)*IF(Upgrades!$T$21="Local Bubble",POWER(Upgrades!$U$21,M305),1))+(IF(G305=0,0,(Upgrades!$M$15+G305*Upgrades!$N$15)*POWER(Upgrades!$O$15,G305)))*(IF(Upgrades!$T$13="Microlensing",POWER(Upgrades!$U$13,E305),1)*IF(Upgrades!$T$14="Microlensing",POWER(Upgrades!$U$14,F305),1)*IF(Upgrades!$T$16="Microlensing",POWER(Upgrades!$U$16,H305),1)*IF(Upgrades!$T$17="Microlensing",POWER(Upgrades!$U$17,I305),1)*IF(Upgrades!$T$18="Microlensing",POWER(Upgrades!$U$18,J305),1)*IF(Upgrades!$T$19="Microlensing",POWER(Upgrades!$U$19,K305),1)*IF(Upgrades!$T$20="Microlensing",POWER(Upgrades!$U$20,L305),1)*IF(Upgrades!$T$21="Microlensing",POWER(Upgrades!$U$21,M305),1))+(IF(H305=0,0,(Upgrades!$M$16+H305*Upgrades!$N$16)*POWER(Upgrades!$O$16,H305)))*(IF(Upgrades!$T$13="Roche Lobe Overflow",POWER(Upgrades!$U$13,E305),1)*IF(Upgrades!$T$14="Roche Lobe Overflow",POWER(Upgrades!$U$14,F305),1)*IF(Upgrades!$T$15="Roche Lobe Overflow",POWER(Upgrades!$U$15,G305),1)*IF(Upgrades!$T$17="Roche Lobe Overflow",POWER(Upgrades!$U$17,I305),1)*IF(Upgrades!$T$18="Roche Lobe Overflow",POWER(Upgrades!$U$18,J305),1)*IF(Upgrades!$T$19="Roche Lobe Overflow",POWER(Upgrades!$U$19,K305),1)*IF(Upgrades!$T$20="Roche Lobe Overflow",POWER(Upgrades!$U$20,L305),1)*IF(Upgrades!$T$21="Roche Lobe Overflow",POWER(Upgrades!$U$21,M305),1))+(IF(I305=0,0,(Upgrades!$M$17+I305*Upgrades!$N$17)*POWER(Upgrades!$O$17,I305)))*(IF(Upgrades!$T$13="Brown Dwarf",POWER(Upgrades!$U$13,E305),1)*IF(Upgrades!$T$14="Brown Dwarf",POWER(Upgrades!$U$14,F305),1)*IF(Upgrades!$T$15="Brown Dwarf",POWER(Upgrades!$U$15,G305),1)*IF(Upgrades!$T$16="Brown Dwarf",POWER(Upgrades!$U$16,H305),1)*IF(Upgrades!$T$18="Brown Dwarf",POWER(Upgrades!$U$18,J305),1)*IF(Upgrades!$T$19="Brown Dwarf",POWER(Upgrades!$U$19,K305),1)*IF(Upgrades!$T$20="Brown Dwarf",POWER(Upgrades!$U$20,L305),1)*IF(Upgrades!$T$21="Brown Dwarf",POWER(Upgrades!$U$21,M305),1))+(IF(J305=0,0,(Upgrades!$M$18+J305*Upgrades!$N$18)*POWER(Upgrades!$O$18,J305)))*(IF(Upgrades!$T$13="Binary Partner",POWER(Upgrades!$U$13,E305),1)*IF(Upgrades!$T$14="Binary Partner",POWER(Upgrades!$U$14,F305),1)*IF(Upgrades!$T$15="Binary Partner",POWER(Upgrades!$U$15,G305),1)*IF(Upgrades!$T$16="Binary Partner",POWER(Upgrades!$U$16,H305),1)*IF(Upgrades!$T$17="Binary Partner",POWER(Upgrades!$U$17,I305),1)*IF(Upgrades!$T$19="Binary Partner",POWER(Upgrades!$U$19,K305),1)*IF(Upgrades!$T$20="Binary Partner",POWER(Upgrades!$U$20,L305),1)*IF(Upgrades!$T$21="Binary Partner",POWER(Upgrades!$U$21,M305),1))+(IF(K305=0,0,(Upgrades!$M$19+K305*Upgrades!$N$19)*POWER(Upgrades!$O$19,K305)))*(IF(Upgrades!$T$13="Peculiar Velocity",POWER(Upgrades!$U$13,E305),1)*IF(Upgrades!$T$14="Peculiar Velocity",POWER(Upgrades!$U$14,F305),1)*IF(Upgrades!$T$15="Peculiar Velocity",POWER(Upgrades!$U$15,G305),1)*IF(Upgrades!$T$16="Peculiar Velocity",POWER(Upgrades!$U$16,H305),1)*IF(Upgrades!$T$17="Peculiar Velocity",POWER(Upgrades!$U$17,I305),1)*IF(Upgrades!$T$18="Peculiar Velocity",POWER(Upgrades!$U$18,J305),1)*IF(Upgrades!$T$20="Peculiar Velocity",POWER(Upgrades!$U$20,L305),1)*IF(Upgrades!$T$21="Peculiar Velocity",POWER(Upgrades!$U$21,M305),1))+(IF(L305=0,0,(Upgrades!$M$20+L305*Upgrades!$N$20)*POWER(Upgrades!$O$20,L305)))*(IF(Upgrades!$T$13="Open Cluster",POWER(Upgrades!$U$13,E305),1)*IF(Upgrades!$T$14="Open Cluster",POWER(Upgrades!$U$14,F305),1)*IF(Upgrades!$T$15="Open Cluster",POWER(Upgrades!$U$15,G305),1)*IF(Upgrades!$T$16="Open Cluster",POWER(Upgrades!$U$16,H305),1)*IF(Upgrades!$T$17="Open Cluster",POWER(Upgrades!$U$17,I305),1)*IF(Upgrades!$T$18="Open Cluster",POWER(Upgrades!$U$18,J305),1)*IF(Upgrades!$T$19="Open Cluster",POWER(Upgrades!$U$19,K305),1)*IF(Upgrades!$T$21="Open Cluster",POWER(Upgrades!$U$21,M305),1))+(IF(M305=0,0,(Upgrades!$M$21+M305*Upgrades!$N$21)*POWER(Upgrades!$O$21,M305)))*(IF(Upgrades!$T$13="Moving Group",POWER(Upgrades!$U$13,E305),1)*IF(Upgrades!$T$14="Moving Group",POWER(Upgrades!$U$14,F305),1)*IF(Upgrades!$T$15="Moving Group",POWER(Upgrades!$U$15,G305),1)*IF(Upgrades!$T$16="Moving Group",POWER(Upgrades!$U$16,H305),1)*IF(Upgrades!$T$17="Moving Group",POWER(Upgrades!$U$17,I305),1)*IF(Upgrades!$T$18="Moving Group",POWER(Upgrades!$U$18,J305),1)*IF(Upgrades!$T$19="Moving Group",POWER(Upgrades!$U$19,K305),1)*IF(Upgrades!$T$20="Moving Group",POWER(Upgrades!$U$20,L305),1)))*POWER(Upgrades!$R$13,E305)*POWER(Upgrades!$R$14,F305)*POWER(Upgrades!$R$15,G305)*POWER(Upgrades!$R$16,H305)*POWER(Upgrades!$R$17,I305)*POWER(Upgrades!$R$18,J305)*POWER(Upgrades!$R$19,K305)*POWER(Upgrades!$R$20,L305)*POWER(Upgrades!$R$21,M305)*$H$6+$E$6</f>
        <v/>
      </c>
      <c r="R305" s="27">
        <f>IF(N305=1,0,O305*Parameters!$B$10/60*Parameters!$B$11*10)</f>
        <v/>
      </c>
      <c r="S305" s="27">
        <f>IF(N305=1,0,Q305*O305*10)</f>
        <v/>
      </c>
      <c r="T305" s="27">
        <f>IF(N305=1,0,R305+S305+P305*10)</f>
        <v/>
      </c>
      <c r="U305" s="33">
        <f>BE305</f>
        <v/>
      </c>
      <c r="V305" s="22">
        <f>IF(U305="",0,IF(U305="transition",0,IF(U305="SK",AK305,IF(U305="LB",AL305,IF(U305="ML",AM305,IF(U305="RLO",AN305,IF(U305="BD",AO305,IF(U305="BiP",AP305,IF(U305="PV",AQ305,IF(U305="OC",AR305,IF(U305="MG",AS305,0))))))))))</f>
        <v/>
      </c>
      <c r="W305" s="27">
        <f>IF(U305="BiP",Upgrades!$F$18,IF(U305="PV",Upgrades!$F$19,IF(U305="OC",Upgrades!$F$20,IF(U305="MG",Upgrades!$F$21,IF(U305="transition",-Parameters!$B$18*Parameters!$B$19,0)))))</f>
        <v/>
      </c>
      <c r="X305" s="22">
        <f>C305+T305-V305</f>
        <v/>
      </c>
      <c r="Y305" s="30">
        <f>O305*Parameters!$B$10/60*Parameters!$B$11+Q305*O305+P305</f>
        <v/>
      </c>
      <c r="Z305" s="34">
        <f>IF(U305="transition","→ Tier 3 (Galactic Arm)",IF(U305="MG","Moving Group — pocket drifts together",IF(U305="OC","Open Cluster acquired",IF(U305="PV","Peculiar Velocity — passive multiplier active",IF(U305="BiP","Binary Partner — pair bond formed",IF(AND(AU305=1,N305=0,AT305&lt;&gt;1),"Cohesion ready (waiting on completionists)","")))))) </f>
        <v/>
      </c>
      <c r="AA305" s="27">
        <f>(IF(E305=0,0,(Upgrades!$G$13+E305*Upgrades!$H$13)*POWER(Upgrades!$I$13,E305)))*(IF(Upgrades!$T$14="Stellar Kinematics",POWER(Upgrades!$U$14,F305),1)*IF(Upgrades!$T$15="Stellar Kinematics",POWER(Upgrades!$U$15,G305),1)*IF(Upgrades!$T$16="Stellar Kinematics",POWER(Upgrades!$U$16,H305),1)*IF(Upgrades!$T$17="Stellar Kinematics",POWER(Upgrades!$U$17,I305),1)*IF(Upgrades!$T$18="Stellar Kinematics",POWER(Upgrades!$U$18,J305),1)*IF(Upgrades!$T$19="Stellar Kinematics",POWER(Upgrades!$U$19,K305),1)*IF(Upgrades!$T$20="Stellar Kinematics",POWER(Upgrades!$U$20,L305),1)*IF(Upgrades!$T$21="Stellar Kinematics",POWER(Upgrades!$U$21,M305),1))*POWER(Upgrades!$P$13,E305)*POWER(Upgrades!$P$14,F305)*POWER(Upgrades!$P$15,G305)*POWER(Upgrades!$P$16,H305)*POWER(Upgrades!$P$17,I305)*POWER(Upgrades!$P$18,J305)*POWER(Upgrades!$P$19,K305)*POWER(Upgrades!$P$20,L305)*POWER(Upgrades!$P$21,M305)*$F$6*60</f>
        <v/>
      </c>
      <c r="AB305" s="27">
        <f>(IF(F305=0,0,(Upgrades!$G$14+F305*Upgrades!$H$14)*POWER(Upgrades!$I$14,F305)))*(IF(Upgrades!$T$13="Local Bubble",POWER(Upgrades!$U$13,E305),1)*IF(Upgrades!$T$15="Local Bubble",POWER(Upgrades!$U$15,G305),1)*IF(Upgrades!$T$16="Local Bubble",POWER(Upgrades!$U$16,H305),1)*IF(Upgrades!$T$17="Local Bubble",POWER(Upgrades!$U$17,I305),1)*IF(Upgrades!$T$18="Local Bubble",POWER(Upgrades!$U$18,J305),1)*IF(Upgrades!$T$19="Local Bubble",POWER(Upgrades!$U$19,K305),1)*IF(Upgrades!$T$20="Local Bubble",POWER(Upgrades!$U$20,L305),1)*IF(Upgrades!$T$21="Local Bubble",POWER(Upgrades!$U$21,M305),1))*POWER(Upgrades!$P$13,E305)*POWER(Upgrades!$P$14,F305)*POWER(Upgrades!$P$15,G305)*POWER(Upgrades!$P$16,H305)*POWER(Upgrades!$P$17,I305)*POWER(Upgrades!$P$18,J305)*POWER(Upgrades!$P$19,K305)*POWER(Upgrades!$P$20,L305)*POWER(Upgrades!$P$21,M305)*$F$6*60</f>
        <v/>
      </c>
      <c r="AC305" s="27">
        <f>(IF(G305=0,0,(Upgrades!$J$15+G305*Upgrades!$K$15)*POWER(Upgrades!$L$15,G305)))*(IF(Upgrades!$T$13="Microlensing",POWER(Upgrades!$U$13,E305),1)*IF(Upgrades!$T$14="Microlensing",POWER(Upgrades!$U$14,F305),1)*IF(Upgrades!$T$16="Microlensing",POWER(Upgrades!$U$16,H305),1)*IF(Upgrades!$T$17="Microlensing",POWER(Upgrades!$U$17,I305),1)*IF(Upgrades!$T$18="Microlensing",POWER(Upgrades!$U$18,J305),1)*IF(Upgrades!$T$19="Microlensing",POWER(Upgrades!$U$19,K305),1)*IF(Upgrades!$T$20="Microlensing",POWER(Upgrades!$U$20,L305),1)*IF(Upgrades!$T$21="Microlensing",POWER(Upgrades!$U$21,M305),1))*POWER(Upgrades!$Q$13,E305)*POWER(Upgrades!$Q$14,F305)*POWER(Upgrades!$Q$15,G305)*POWER(Upgrades!$Q$16,H305)*POWER(Upgrades!$Q$17,I305)*POWER(Upgrades!$Q$18,J305)*POWER(Upgrades!$Q$19,K305)*POWER(Upgrades!$Q$20,L305)*POWER(Upgrades!$Q$21,M305)*$G$6*(Parameters!$B$10*Parameters!$B$11+Q305*60)</f>
        <v/>
      </c>
      <c r="AD305" s="27">
        <f>(IF(H305=0,0,(Upgrades!$M$16+H305*Upgrades!$N$16)*POWER(Upgrades!$O$16,H305)))*(IF(Upgrades!$T$13="Roche Lobe Overflow",POWER(Upgrades!$U$13,E305),1)*IF(Upgrades!$T$14="Roche Lobe Overflow",POWER(Upgrades!$U$14,F305),1)*IF(Upgrades!$T$15="Roche Lobe Overflow",POWER(Upgrades!$U$15,G305),1)*IF(Upgrades!$T$17="Roche Lobe Overflow",POWER(Upgrades!$U$17,I305),1)*IF(Upgrades!$T$18="Roche Lobe Overflow",POWER(Upgrades!$U$18,J305),1)*IF(Upgrades!$T$19="Roche Lobe Overflow",POWER(Upgrades!$U$19,K305),1)*IF(Upgrades!$T$20="Roche Lobe Overflow",POWER(Upgrades!$U$20,L305),1)*IF(Upgrades!$T$21="Roche Lobe Overflow",POWER(Upgrades!$U$21,M305),1))*POWER(Upgrades!$R$13,E305)*POWER(Upgrades!$R$14,F305)*POWER(Upgrades!$R$15,G305)*POWER(Upgrades!$R$16,H305)*POWER(Upgrades!$R$17,I305)*POWER(Upgrades!$R$18,J305)*POWER(Upgrades!$R$19,K305)*POWER(Upgrades!$R$20,L305)*POWER(Upgrades!$R$21,M305)*$H$6*O305*60</f>
        <v/>
      </c>
      <c r="AE305" s="27">
        <f>(IF(I305=0,0,(Upgrades!$G$17+I305*Upgrades!$H$17)*POWER(Upgrades!$I$17,I305)))*(IF(Upgrades!$T$13="Brown Dwarf",POWER(Upgrades!$U$13,E305),1)*IF(Upgrades!$T$14="Brown Dwarf",POWER(Upgrades!$U$14,F305),1)*IF(Upgrades!$T$15="Brown Dwarf",POWER(Upgrades!$U$15,G305),1)*IF(Upgrades!$T$16="Brown Dwarf",POWER(Upgrades!$U$16,H305),1)*IF(Upgrades!$T$18="Brown Dwarf",POWER(Upgrades!$U$18,J305),1)*IF(Upgrades!$T$19="Brown Dwarf",POWER(Upgrades!$U$19,K305),1)*IF(Upgrades!$T$20="Brown Dwarf",POWER(Upgrades!$U$20,L305),1)*IF(Upgrades!$T$21="Brown Dwarf",POWER(Upgrades!$U$21,M305),1))*POWER(Upgrades!$P$13,E305)*POWER(Upgrades!$P$14,F305)*POWER(Upgrades!$P$15,G305)*POWER(Upgrades!$P$16,H305)*POWER(Upgrades!$P$17,I305)*POWER(Upgrades!$P$18,J305)*POWER(Upgrades!$P$19,K305)*POWER(Upgrades!$P$20,L305)*POWER(Upgrades!$P$21,M305)*$F$6*60</f>
        <v/>
      </c>
      <c r="AF305" s="27" t="n">
        <v>0</v>
      </c>
      <c r="AG305" s="27" t="n">
        <v>0</v>
      </c>
      <c r="AH305" s="27" t="n">
        <v>0</v>
      </c>
      <c r="AI305" s="27">
        <f>(IF(M305=0,0,(Upgrades!$G$21+M305*Upgrades!$H$21)*POWER(Upgrades!$I$21,M305)))*(IF(Upgrades!$T$13="Moving Group",POWER(Upgrades!$U$13,E305),1)*IF(Upgrades!$T$14="Moving Group",POWER(Upgrades!$U$14,F305),1)*IF(Upgrades!$T$15="Moving Group",POWER(Upgrades!$U$15,G305),1)*IF(Upgrades!$T$16="Moving Group",POWER(Upgrades!$U$16,H305),1)*IF(Upgrades!$T$17="Moving Group",POWER(Upgrades!$U$17,I305),1)*IF(Upgrades!$T$18="Moving Group",POWER(Upgrades!$U$18,J305),1)*IF(Upgrades!$T$19="Moving Group",POWER(Upgrades!$U$19,K305),1)*IF(Upgrades!$T$20="Moving Group",POWER(Upgrades!$U$20,L305),1))*POWER(Upgrades!$P$13,E305)*POWER(Upgrades!$P$14,F305)*POWER(Upgrades!$P$15,G305)*POWER(Upgrades!$P$16,H305)*POWER(Upgrades!$P$17,I305)*POWER(Upgrades!$P$18,J305)*POWER(Upgrades!$P$19,K305)*POWER(Upgrades!$P$20,L305)*POWER(Upgrades!$P$21,M305)*$F$6*60</f>
        <v/>
      </c>
      <c r="AJ305" s="27">
        <f>$C$6*60</f>
        <v/>
      </c>
      <c r="AK305" s="22">
        <f>IF(E305&gt;=Upgrades!$E$13,"",Upgrades!$C$13*POWER(Upgrades!$D$13,E305))</f>
        <v/>
      </c>
      <c r="AL305" s="22">
        <f>IF(F305&gt;=Upgrades!$E$14,"",Upgrades!$C$14*POWER(Upgrades!$D$14,F305))</f>
        <v/>
      </c>
      <c r="AM305" s="22">
        <f>IF(G305&gt;=Upgrades!$E$15,"",Upgrades!$C$15*POWER(Upgrades!$D$15,G305))</f>
        <v/>
      </c>
      <c r="AN305" s="22">
        <f>IF(H305&gt;=Upgrades!$E$16,"",Upgrades!$C$16*POWER(Upgrades!$D$16,H305))</f>
        <v/>
      </c>
      <c r="AO305" s="22">
        <f>IF(I305&gt;=Upgrades!$E$17,"",Upgrades!$C$17*POWER(Upgrades!$D$17,I305))</f>
        <v/>
      </c>
      <c r="AP305" s="22">
        <f>IF(J305&gt;=Upgrades!$E$18,"",Upgrades!$C$18*POWER(Upgrades!$D$18,J305))</f>
        <v/>
      </c>
      <c r="AQ305" s="22">
        <f>IF(K305&gt;=Upgrades!$E$19,"",Upgrades!$C$19*POWER(Upgrades!$D$19,K305))</f>
        <v/>
      </c>
      <c r="AR305" s="22">
        <f>IF(L305&gt;=Upgrades!$E$20,"",Upgrades!$C$20*POWER(Upgrades!$D$20,L305))</f>
        <v/>
      </c>
      <c r="AS305" s="22">
        <f>IF(M305&gt;=Upgrades!$E$21,"",Upgrades!$C$21*POWER(Upgrades!$D$21,M305))</f>
        <v/>
      </c>
      <c r="AT305" s="26">
        <f>IF(AND(D305&gt;=Parameters!$B$18*Parameters!$B$19,(I305&gt;=Upgrades!$E$17)*(M305&gt;=Upgrades!$E$21)=1,N305=0),1,"")</f>
        <v/>
      </c>
      <c r="AU305" s="26">
        <f>IF(AND(D305&gt;=Parameters!$B$18*Parameters!$B$19,N305=0),1,"")</f>
        <v/>
      </c>
      <c r="AV305" s="22">
        <f>MIN(IF(ISNUMBER(AP305),AP305,9E15),IF(ISNUMBER(AQ305),AQ305,9E15),IF(ISNUMBER(AR305),AR305,9E15),IF(ISNUMBER(AS305),AS305,9E15))</f>
        <v/>
      </c>
      <c r="AW305" s="22">
        <f>MIN(IF(ISNUMBER(AK305),AK305,9E15),IF(ISNUMBER(AL305),AL305,9E15),IF(ISNUMBER(AM305),AM305,9E15),IF(ISNUMBER(AN305),AN305,9E15),IF(ISNUMBER(AO305),AO305,9E15))</f>
        <v/>
      </c>
      <c r="AX305" s="29">
        <f>IF(BD305&gt;Parameters!$B$21*(MAX(IF(AND(NOT(AND(AU305=1,AT305&lt;&gt;1)),ISNUMBER(AK305),AK305&lt;=(C305+T305)),AY305,0),IF(AND(NOT(AND(AU305=1,AT305&lt;&gt;1)),ISNUMBER(AL305),AL305&lt;=(C305+T305)),AZ305,0),IF(AND(NOT(AND(AU305=1,AT305&lt;&gt;1)),ISNUMBER(AM305),AM305&lt;=(C305+T305)),BA305,0),IF(AND(NOT(AND(AU305=1,AT305&lt;&gt;1)),ISNUMBER(AN305),AN305&lt;=(C305+T305)),BB305,0),IF(AND(ISNUMBER(AO305),AO305&lt;=(C305+T305)),BC305,0))),TRUE,FALSE)</f>
        <v/>
      </c>
      <c r="AY305" s="32">
        <f>IFERROR(Upgrades!$H$13*(POWER(Upgrades!$P$13,E305)*POWER(Upgrades!$P$14,F305)*POWER(Upgrades!$P$15,G305)*POWER(Upgrades!$P$16,H305)*POWER(Upgrades!$P$17,I305)*POWER(Upgrades!$P$18,J305)*POWER(Upgrades!$P$19,K305)*POWER(Upgrades!$P$20,L305)*POWER(Upgrades!$P$21,M305))*(IF(Upgrades!$T$14="Stellar Kinematics",POWER(Upgrades!$U$14,F305),1)*IF(Upgrades!$T$15="Stellar Kinematics",POWER(Upgrades!$U$15,G305),1)*IF(Upgrades!$T$16="Stellar Kinematics",POWER(Upgrades!$U$16,H305),1)*IF(Upgrades!$T$17="Stellar Kinematics",POWER(Upgrades!$U$17,I305),1)*IF(Upgrades!$T$18="Stellar Kinematics",POWER(Upgrades!$U$18,J305),1)*IF(Upgrades!$T$19="Stellar Kinematics",POWER(Upgrades!$U$19,K305),1)*IF(Upgrades!$T$20="Stellar Kinematics",POWER(Upgrades!$U$20,L305),1)*IF(Upgrades!$T$21="Stellar Kinematics",POWER(Upgrades!$U$21,M305),1))*$F$6/AK305,0)</f>
        <v/>
      </c>
      <c r="AZ305" s="32">
        <f>IFERROR(Upgrades!$H$14*(POWER(Upgrades!$P$13,E305)*POWER(Upgrades!$P$14,F305)*POWER(Upgrades!$P$15,G305)*POWER(Upgrades!$P$16,H305)*POWER(Upgrades!$P$17,I305)*POWER(Upgrades!$P$18,J305)*POWER(Upgrades!$P$19,K305)*POWER(Upgrades!$P$20,L305)*POWER(Upgrades!$P$21,M305))*(IF(Upgrades!$T$13="Local Bubble",POWER(Upgrades!$U$13,E305),1)*IF(Upgrades!$T$15="Local Bubble",POWER(Upgrades!$U$15,G305),1)*IF(Upgrades!$T$16="Local Bubble",POWER(Upgrades!$U$16,H305),1)*IF(Upgrades!$T$17="Local Bubble",POWER(Upgrades!$U$17,I305),1)*IF(Upgrades!$T$18="Local Bubble",POWER(Upgrades!$U$18,J305),1)*IF(Upgrades!$T$19="Local Bubble",POWER(Upgrades!$U$19,K305),1)*IF(Upgrades!$T$20="Local Bubble",POWER(Upgrades!$U$20,L305),1)*IF(Upgrades!$T$21="Local Bubble",POWER(Upgrades!$U$21,M305),1))*$F$6/AL305,0)</f>
        <v/>
      </c>
      <c r="BA305" s="32">
        <f>IFERROR(Upgrades!$K$15*(POWER(Upgrades!$Q$13,E305)*POWER(Upgrades!$Q$14,F305)*POWER(Upgrades!$Q$15,G305)*POWER(Upgrades!$Q$16,H305)*POWER(Upgrades!$Q$17,I305)*POWER(Upgrades!$Q$18,J305)*POWER(Upgrades!$Q$19,K305)*POWER(Upgrades!$Q$20,L305)*POWER(Upgrades!$Q$21,M305))*(IF(Upgrades!$T$13="Microlensing",POWER(Upgrades!$U$13,E305),1)*IF(Upgrades!$T$14="Microlensing",POWER(Upgrades!$U$14,F305),1)*IF(Upgrades!$T$16="Microlensing",POWER(Upgrades!$U$16,H305),1)*IF(Upgrades!$T$17="Microlensing",POWER(Upgrades!$U$17,I305),1)*IF(Upgrades!$T$18="Microlensing",POWER(Upgrades!$U$18,J305),1)*IF(Upgrades!$T$19="Microlensing",POWER(Upgrades!$U$19,K305),1)*IF(Upgrades!$T$20="Microlensing",POWER(Upgrades!$U$20,L305),1)*IF(Upgrades!$T$21="Microlensing",POWER(Upgrades!$U$21,M305),1))*$G$6*(Parameters!$B$10/60*Parameters!$B$11+Q305)/AM305,0)</f>
        <v/>
      </c>
      <c r="BB305" s="32">
        <f>IFERROR((Upgrades!$N$16*(POWER(Upgrades!$R$13,E305)*POWER(Upgrades!$R$14,F305)*POWER(Upgrades!$R$15,G305)*POWER(Upgrades!$R$16,H305)*POWER(Upgrades!$R$17,I305)*POWER(Upgrades!$R$18,J305)*POWER(Upgrades!$R$19,K305)*POWER(Upgrades!$R$20,L305)*POWER(Upgrades!$R$21,M305))*(IF(Upgrades!$T$13="Roche Lobe Overflow",POWER(Upgrades!$U$13,E305),1)*IF(Upgrades!$T$14="Roche Lobe Overflow",POWER(Upgrades!$U$14,F305),1)*IF(Upgrades!$T$15="Roche Lobe Overflow",POWER(Upgrades!$U$15,G305),1)*IF(Upgrades!$T$17="Roche Lobe Overflow",POWER(Upgrades!$U$17,I305),1)*IF(Upgrades!$T$18="Roche Lobe Overflow",POWER(Upgrades!$U$18,J305),1)*IF(Upgrades!$T$19="Roche Lobe Overflow",POWER(Upgrades!$U$19,K305),1)*IF(Upgrades!$T$20="Roche Lobe Overflow",POWER(Upgrades!$U$20,L305),1)*IF(Upgrades!$T$21="Roche Lobe Overflow",POWER(Upgrades!$U$21,M305),1))*$H$6*O305+((IF(F305=0,0,(Upgrades!$G$14+F305*Upgrades!$H$14)*POWER(Upgrades!$I$14,F305)))*(IF(Upgrades!$T$13="Local Bubble",POWER(Upgrades!$U$13,E305),1)*IF(Upgrades!$T$15="Local Bubble",POWER(Upgrades!$U$15,G305),1)*IF(Upgrades!$T$16="Local Bubble",POWER(Upgrades!$U$16,H305),1)*IF(Upgrades!$T$17="Local Bubble",POWER(Upgrades!$U$17,I305),1)*IF(Upgrades!$T$18="Local Bubble",POWER(Upgrades!$U$18,J305),1)*IF(Upgrades!$T$19="Local Bubble",POWER(Upgrades!$U$19,K305),1)*IF(Upgrades!$T$20="Local Bubble",POWER(Upgrades!$U$20,L305),1)*IF(Upgrades!$T$21="Local Bubble",POWER(Upgrades!$U$21,M305),1))*POWER(Upgrades!$P$13,E305)*POWER(Upgrades!$P$14,F305)*POWER(Upgrades!$P$15,G305)*POWER(Upgrades!$P$16,H305)*POWER(Upgrades!$P$17,I305)*POWER(Upgrades!$P$18,J305)*POWER(Upgrades!$P$19,K305)*POWER(Upgrades!$P$20,L305)*POWER(Upgrades!$P$21,M305)*$F$6)*0.05)/AN305,0)</f>
        <v/>
      </c>
      <c r="BC305" s="32">
        <f>IFERROR((Upgrades!$H$17*(POWER(Upgrades!$P$13,E305)*POWER(Upgrades!$P$14,F305)*POWER(Upgrades!$P$15,G305)*POWER(Upgrades!$P$16,H305)*POWER(Upgrades!$P$17,I305)*POWER(Upgrades!$P$18,J305)*POWER(Upgrades!$P$19,K305)*POWER(Upgrades!$P$20,L305)*POWER(Upgrades!$P$21,M305))*(IF(Upgrades!$T$13="Brown Dwarf",POWER(Upgrades!$U$13,E305),1)*IF(Upgrades!$T$14="Brown Dwarf",POWER(Upgrades!$U$14,F305),1)*IF(Upgrades!$T$15="Brown Dwarf",POWER(Upgrades!$U$15,G305),1)*IF(Upgrades!$T$16="Brown Dwarf",POWER(Upgrades!$U$16,H305),1)*IF(Upgrades!$T$18="Brown Dwarf",POWER(Upgrades!$U$18,J305),1)*IF(Upgrades!$T$19="Brown Dwarf",POWER(Upgrades!$U$19,K305),1)*IF(Upgrades!$T$20="Brown Dwarf",POWER(Upgrades!$U$20,L305),1)*IF(Upgrades!$T$21="Brown Dwarf",POWER(Upgrades!$U$21,M305),1))*$F$6+(((IF(H305=0,0,(Upgrades!$M$16+H305*Upgrades!$N$16)*POWER(Upgrades!$O$16,H305)))*(IF(Upgrades!$T$13="Roche Lobe Overflow",POWER(Upgrades!$U$13,E305),1)*IF(Upgrades!$T$14="Roche Lobe Overflow",POWER(Upgrades!$U$14,F305),1)*IF(Upgrades!$T$15="Roche Lobe Overflow",POWER(Upgrades!$U$15,G305),1)*IF(Upgrades!$T$17="Roche Lobe Overflow",POWER(Upgrades!$U$17,I305),1)*IF(Upgrades!$T$18="Roche Lobe Overflow",POWER(Upgrades!$U$18,J305),1)*IF(Upgrades!$T$19="Roche Lobe Overflow",POWER(Upgrades!$U$19,K305),1)*IF(Upgrades!$T$20="Roche Lobe Overflow",POWER(Upgrades!$U$20,L305),1)*IF(Upgrades!$T$21="Roche Lobe Overflow",POWER(Upgrades!$U$21,M305),1))*POWER(Upgrades!$R$13,E305)*POWER(Upgrades!$R$14,F305)*POWER(Upgrades!$R$15,G305)*POWER(Upgrades!$R$16,H305)*POWER(Upgrades!$R$17,I305)*POWER(Upgrades!$R$18,J305)*POWER(Upgrades!$R$19,K305)*POWER(Upgrades!$R$20,L305)*POWER(Upgrades!$R$21,M305)*$H$6)*O305)*0.10)/AO305,0)</f>
        <v/>
      </c>
      <c r="BD305" s="32">
        <f>MAX(IF(J305&gt;0,0,IFERROR(0.5*((IF(G305=0,0,(Upgrades!$J$15+G305*Upgrades!$K$15)*POWER(Upgrades!$L$15,G305)))*(IF(Upgrades!$T$13="Microlensing",POWER(Upgrades!$U$13,E305),1)*IF(Upgrades!$T$14="Microlensing",POWER(Upgrades!$U$14,F305),1)*IF(Upgrades!$T$16="Microlensing",POWER(Upgrades!$U$16,H305),1)*IF(Upgrades!$T$17="Microlensing",POWER(Upgrades!$U$17,I305),1)*IF(Upgrades!$T$18="Microlensing",POWER(Upgrades!$U$18,J305),1)*IF(Upgrades!$T$19="Microlensing",POWER(Upgrades!$U$19,K305),1)*IF(Upgrades!$T$20="Microlensing",POWER(Upgrades!$U$20,L305),1)*IF(Upgrades!$T$21="Microlensing",POWER(Upgrades!$U$21,M305),1))*(POWER(Upgrades!$Q$13,E305)*POWER(Upgrades!$Q$14,F305)*POWER(Upgrades!$Q$15,G305)*POWER(Upgrades!$Q$16,H305)*POWER(Upgrades!$Q$17,I305)*POWER(Upgrades!$Q$18,J305)*POWER(Upgrades!$Q$19,K305)*POWER(Upgrades!$Q$20,L305)*POWER(Upgrades!$Q$21,M305))*$G$6*(Parameters!$B$10/60*Parameters!$B$11+Q305))/Upgrades!$C$18,0)),IF(K305&gt;0,0,IFERROR(0.30*P305/Upgrades!$C$19,0)),IF(L305&gt;0,0,IFERROR(0.0001/Upgrades!$C$20,0)),IF(M305&gt;0,0,IFERROR((6.0*(POWER(Upgrades!$P$13,E305)*POWER(Upgrades!$P$14,F305)*POWER(Upgrades!$P$15,G305)*POWER(Upgrades!$P$16,H305)*POWER(Upgrades!$P$17,I305)*POWER(Upgrades!$P$18,J305)*POWER(Upgrades!$P$19,K305)*POWER(Upgrades!$P$20,L305)*POWER(Upgrades!$P$21,M305))*$F$6+0.20*O305*(Parameters!$B$10/60*Parameters!$B$11+Q305))/Upgrades!$C$21,0)),IF(AND(ISNUMBER(AK305),AK305&gt;(C305+T305)),AY305,0),IF(AND(ISNUMBER(AL305),AL305&gt;(C305+T305)),AZ305,0),IF(AND(ISNUMBER(AM305),AM305&gt;(C305+T305)),BA305,0),IF(AND(ISNUMBER(AN305),AN305&gt;(C305+T305)),BB305,0),IF(AND(ISNUMBER(AO305),AO305&gt;(C305+T305)),BC305,0))</f>
        <v/>
      </c>
      <c r="BE305" s="29">
        <f>IF(AT305=1,"transition",IF(MIN(IF(AND(J305=0,ISNUMBER(AP305),AP305&lt;=(C305+T305)),AP305,9E15),IF(AND(K305=0,ISNUMBER(AQ305),AQ305&lt;=(C305+T305)),AQ305,9E15),IF(AND(L305=0,ISNUMBER(AR305),AR305&lt;=(C305+T305)),AR305,9E15),IF(AND(M305=0,ISNUMBER(AS305),AS305&lt;=(C305+T305)),AS305,9E15))&lt;9E15,IF(AND(AND(J305=0,ISNUMBER(AP305),AP305&lt;=(C305+T305)),AP305=MIN(IF(AND(J305=0,ISNUMBER(AP305),AP305&lt;=(C305+T305)),AP305,9E15),IF(AND(K305=0,ISNUMBER(AQ305),AQ305&lt;=(C305+T305)),AQ305,9E15),IF(AND(L305=0,ISNUMBER(AR305),AR305&lt;=(C305+T305)),AR305,9E15),IF(AND(M305=0,ISNUMBER(AS305),AS305&lt;=(C305+T305)),AS305,9E15))),"BiP",IF(AND(AND(K305=0,ISNUMBER(AQ305),AQ305&lt;=(C305+T305)),AQ305=MIN(IF(AND(J305=0,ISNUMBER(AP305),AP305&lt;=(C305+T305)),AP305,9E15),IF(AND(K305=0,ISNUMBER(AQ305),AQ305&lt;=(C305+T305)),AQ305,9E15),IF(AND(L305=0,ISNUMBER(AR305),AR305&lt;=(C305+T305)),AR305,9E15),IF(AND(M305=0,ISNUMBER(AS305),AS305&lt;=(C305+T305)),AS305,9E15))),"PV",IF(AND(AND(L305=0,ISNUMBER(AR305),AR305&lt;=(C305+T305)),AR305=MIN(IF(AND(J305=0,ISNUMBER(AP305),AP305&lt;=(C305+T305)),AP305,9E15),IF(AND(K305=0,ISNUMBER(AQ305),AQ305&lt;=(C305+T305)),AQ305,9E15),IF(AND(L305=0,ISNUMBER(AR305),AR305&lt;=(C305+T305)),AR305,9E15),IF(AND(M305=0,ISNUMBER(AS305),AS305&lt;=(C305+T305)),AS305,9E15))),"OC","MG"))),IF(AX305=TRUE,"",IF(MAX(IF(AND(NOT(AND(AU305=1,AT305&lt;&gt;1)),ISNUMBER(AK305),AK305&lt;=(C305+T305)),AY305,0),IF(AND(NOT(AND(AU305=1,AT305&lt;&gt;1)),ISNUMBER(AL305),AL305&lt;=(C305+T305)),AZ305,0),IF(AND(NOT(AND(AU305=1,AT305&lt;&gt;1)),ISNUMBER(AM305),AM305&lt;=(C305+T305)),BA305,0),IF(AND(NOT(AND(AU305=1,AT305&lt;&gt;1)),ISNUMBER(AN305),AN305&lt;=(C305+T305)),BB305,0),IF(AND(ISNUMBER(AO305),AO305&lt;=(C305+T305)),BC305,0))&lt;=0,"",IF(AND(IF(AND(NOT(AND(AU305=1,AT305&lt;&gt;1)),ISNUMBER(AK305),AK305&lt;=(C305+T305)),AY305,0)&gt;0,IF(AND(NOT(AND(AU305=1,AT305&lt;&gt;1)),ISNUMBER(AK305),AK305&lt;=(C305+T305)),AY305,0)=MAX(IF(AND(NOT(AND(AU305=1,AT305&lt;&gt;1)),ISNUMBER(AK305),AK305&lt;=(C305+T305)),AY305,0),IF(AND(NOT(AND(AU305=1,AT305&lt;&gt;1)),ISNUMBER(AL305),AL305&lt;=(C305+T305)),AZ305,0),IF(AND(NOT(AND(AU305=1,AT305&lt;&gt;1)),ISNUMBER(AM305),AM305&lt;=(C305+T305)),BA305,0),IF(AND(NOT(AND(AU305=1,AT305&lt;&gt;1)),ISNUMBER(AN305),AN305&lt;=(C305+T305)),BB305,0),IF(AND(ISNUMBER(AO305),AO305&lt;=(C305+T305)),BC305,0))),"SK",IF(AND(IF(AND(NOT(AND(AU305=1,AT305&lt;&gt;1)),ISNUMBER(AL305),AL305&lt;=(C305+T305)),AZ305,0)&gt;0,IF(AND(NOT(AND(AU305=1,AT305&lt;&gt;1)),ISNUMBER(AL305),AL305&lt;=(C305+T305)),AZ305,0)=MAX(IF(AND(NOT(AND(AU305=1,AT305&lt;&gt;1)),ISNUMBER(AK305),AK305&lt;=(C305+T305)),AY305,0),IF(AND(NOT(AND(AU305=1,AT305&lt;&gt;1)),ISNUMBER(AL305),AL305&lt;=(C305+T305)),AZ305,0),IF(AND(NOT(AND(AU305=1,AT305&lt;&gt;1)),ISNUMBER(AM305),AM305&lt;=(C305+T305)),BA305,0),IF(AND(NOT(AND(AU305=1,AT305&lt;&gt;1)),ISNUMBER(AN305),AN305&lt;=(C305+T305)),BB305,0),IF(AND(ISNUMBER(AO305),AO305&lt;=(C305+T305)),BC305,0))),"LB",IF(AND(IF(AND(NOT(AND(AU305=1,AT305&lt;&gt;1)),ISNUMBER(AM305),AM305&lt;=(C305+T305)),BA305,0)&gt;0,IF(AND(NOT(AND(AU305=1,AT305&lt;&gt;1)),ISNUMBER(AM305),AM305&lt;=(C305+T305)),BA305,0)=MAX(IF(AND(NOT(AND(AU305=1,AT305&lt;&gt;1)),ISNUMBER(AK305),AK305&lt;=(C305+T305)),AY305,0),IF(AND(NOT(AND(AU305=1,AT305&lt;&gt;1)),ISNUMBER(AL305),AL305&lt;=(C305+T305)),AZ305,0),IF(AND(NOT(AND(AU305=1,AT305&lt;&gt;1)),ISNUMBER(AM305),AM305&lt;=(C305+T305)),BA305,0),IF(AND(NOT(AND(AU305=1,AT305&lt;&gt;1)),ISNUMBER(AN305),AN305&lt;=(C305+T305)),BB305,0),IF(AND(ISNUMBER(AO305),AO305&lt;=(C305+T305)),BC305,0))),"ML",IF(AND(IF(AND(NOT(AND(AU305=1,AT305&lt;&gt;1)),ISNUMBER(AN305),AN305&lt;=(C305+T305)),BB305,0)&gt;0,IF(AND(NOT(AND(AU305=1,AT305&lt;&gt;1)),ISNUMBER(AN305),AN305&lt;=(C305+T305)),BB305,0)=MAX(IF(AND(NOT(AND(AU305=1,AT305&lt;&gt;1)),ISNUMBER(AK305),AK305&lt;=(C305+T305)),AY305,0),IF(AND(NOT(AND(AU305=1,AT305&lt;&gt;1)),ISNUMBER(AL305),AL305&lt;=(C305+T305)),AZ305,0),IF(AND(NOT(AND(AU305=1,AT305&lt;&gt;1)),ISNUMBER(AM305),AM305&lt;=(C305+T305)),BA305,0),IF(AND(NOT(AND(AU305=1,AT305&lt;&gt;1)),ISNUMBER(AN305),AN305&lt;=(C305+T305)),BB305,0),IF(AND(ISNUMBER(AO305),AO305&lt;=(C305+T305)),BC305,0))),"RLO","BD"))))))))</f>
        <v/>
      </c>
    </row>
    <row r="306">
      <c r="A306" s="26" t="n">
        <v>295</v>
      </c>
      <c r="B306" s="27">
        <f>A306*10/60</f>
        <v/>
      </c>
      <c r="C306" s="22">
        <f>X305</f>
        <v/>
      </c>
      <c r="D306" s="27">
        <f>D305+W305</f>
        <v/>
      </c>
      <c r="E306" s="26">
        <f>E305+IF(U305="SK",1,0)</f>
        <v/>
      </c>
      <c r="F306" s="26">
        <f>F305+IF(U305="LB",1,0)</f>
        <v/>
      </c>
      <c r="G306" s="26">
        <f>G305+IF(U305="ML",1,0)</f>
        <v/>
      </c>
      <c r="H306" s="26">
        <f>H305+IF(U305="RLO",1,0)</f>
        <v/>
      </c>
      <c r="I306" s="26">
        <f>I305+IF(U305="BD",1,0)</f>
        <v/>
      </c>
      <c r="J306" s="26">
        <f>MAX(J305,IF(U305="BiP",1,0))</f>
        <v/>
      </c>
      <c r="K306" s="26">
        <f>MAX(K305,IF(U305="PV",1,0))</f>
        <v/>
      </c>
      <c r="L306" s="26">
        <f>MAX(L305,IF(U305="OC",1,0))</f>
        <v/>
      </c>
      <c r="M306" s="26">
        <f>MAX(M305,IF(U305="MG",1,0))</f>
        <v/>
      </c>
      <c r="N306" s="26">
        <f>MAX(N305,IF(U305="transition",1,0))</f>
        <v/>
      </c>
      <c r="O306" s="28">
        <f>(Parameters!$B$9+(IF(E306=0,0,(Upgrades!$J$13+E306*Upgrades!$K$13)*POWER(Upgrades!$L$13,E306)))*(IF(Upgrades!$T$14="Stellar Kinematics",POWER(Upgrades!$U$14,F306),1)*IF(Upgrades!$T$15="Stellar Kinematics",POWER(Upgrades!$U$15,G306),1)*IF(Upgrades!$T$16="Stellar Kinematics",POWER(Upgrades!$U$16,H306),1)*IF(Upgrades!$T$17="Stellar Kinematics",POWER(Upgrades!$U$17,I306),1)*IF(Upgrades!$T$18="Stellar Kinematics",POWER(Upgrades!$U$18,J306),1)*IF(Upgrades!$T$19="Stellar Kinematics",POWER(Upgrades!$U$19,K306),1)*IF(Upgrades!$T$20="Stellar Kinematics",POWER(Upgrades!$U$20,L306),1)*IF(Upgrades!$T$21="Stellar Kinematics",POWER(Upgrades!$U$21,M306),1))+(IF(F306=0,0,(Upgrades!$J$14+F306*Upgrades!$K$14)*POWER(Upgrades!$L$14,F306)))*(IF(Upgrades!$T$13="Local Bubble",POWER(Upgrades!$U$13,E306),1)*IF(Upgrades!$T$15="Local Bubble",POWER(Upgrades!$U$15,G306),1)*IF(Upgrades!$T$16="Local Bubble",POWER(Upgrades!$U$16,H306),1)*IF(Upgrades!$T$17="Local Bubble",POWER(Upgrades!$U$17,I306),1)*IF(Upgrades!$T$18="Local Bubble",POWER(Upgrades!$U$18,J306),1)*IF(Upgrades!$T$19="Local Bubble",POWER(Upgrades!$U$19,K306),1)*IF(Upgrades!$T$20="Local Bubble",POWER(Upgrades!$U$20,L306),1)*IF(Upgrades!$T$21="Local Bubble",POWER(Upgrades!$U$21,M306),1))+(IF(G306=0,0,(Upgrades!$J$15+G306*Upgrades!$K$15)*POWER(Upgrades!$L$15,G306)))*(IF(Upgrades!$T$13="Microlensing",POWER(Upgrades!$U$13,E306),1)*IF(Upgrades!$T$14="Microlensing",POWER(Upgrades!$U$14,F306),1)*IF(Upgrades!$T$16="Microlensing",POWER(Upgrades!$U$16,H306),1)*IF(Upgrades!$T$17="Microlensing",POWER(Upgrades!$U$17,I306),1)*IF(Upgrades!$T$18="Microlensing",POWER(Upgrades!$U$18,J306),1)*IF(Upgrades!$T$19="Microlensing",POWER(Upgrades!$U$19,K306),1)*IF(Upgrades!$T$20="Microlensing",POWER(Upgrades!$U$20,L306),1)*IF(Upgrades!$T$21="Microlensing",POWER(Upgrades!$U$21,M306),1))+(IF(H306=0,0,(Upgrades!$J$16+H306*Upgrades!$K$16)*POWER(Upgrades!$L$16,H306)))*(IF(Upgrades!$T$13="Roche Lobe Overflow",POWER(Upgrades!$U$13,E306),1)*IF(Upgrades!$T$14="Roche Lobe Overflow",POWER(Upgrades!$U$14,F306),1)*IF(Upgrades!$T$15="Roche Lobe Overflow",POWER(Upgrades!$U$15,G306),1)*IF(Upgrades!$T$17="Roche Lobe Overflow",POWER(Upgrades!$U$17,I306),1)*IF(Upgrades!$T$18="Roche Lobe Overflow",POWER(Upgrades!$U$18,J306),1)*IF(Upgrades!$T$19="Roche Lobe Overflow",POWER(Upgrades!$U$19,K306),1)*IF(Upgrades!$T$20="Roche Lobe Overflow",POWER(Upgrades!$U$20,L306),1)*IF(Upgrades!$T$21="Roche Lobe Overflow",POWER(Upgrades!$U$21,M306),1))+(IF(I306=0,0,(Upgrades!$J$17+I306*Upgrades!$K$17)*POWER(Upgrades!$L$17,I306)))*(IF(Upgrades!$T$13="Brown Dwarf",POWER(Upgrades!$U$13,E306),1)*IF(Upgrades!$T$14="Brown Dwarf",POWER(Upgrades!$U$14,F306),1)*IF(Upgrades!$T$15="Brown Dwarf",POWER(Upgrades!$U$15,G306),1)*IF(Upgrades!$T$16="Brown Dwarf",POWER(Upgrades!$U$16,H306),1)*IF(Upgrades!$T$18="Brown Dwarf",POWER(Upgrades!$U$18,J306),1)*IF(Upgrades!$T$19="Brown Dwarf",POWER(Upgrades!$U$19,K306),1)*IF(Upgrades!$T$20="Brown Dwarf",POWER(Upgrades!$U$20,L306),1)*IF(Upgrades!$T$21="Brown Dwarf",POWER(Upgrades!$U$21,M306),1))+(IF(J306=0,0,(Upgrades!$J$18+J306*Upgrades!$K$18)*POWER(Upgrades!$L$18,J306)))*(IF(Upgrades!$T$13="Binary Partner",POWER(Upgrades!$U$13,E306),1)*IF(Upgrades!$T$14="Binary Partner",POWER(Upgrades!$U$14,F306),1)*IF(Upgrades!$T$15="Binary Partner",POWER(Upgrades!$U$15,G306),1)*IF(Upgrades!$T$16="Binary Partner",POWER(Upgrades!$U$16,H306),1)*IF(Upgrades!$T$17="Binary Partner",POWER(Upgrades!$U$17,I306),1)*IF(Upgrades!$T$19="Binary Partner",POWER(Upgrades!$U$19,K306),1)*IF(Upgrades!$T$20="Binary Partner",POWER(Upgrades!$U$20,L306),1)*IF(Upgrades!$T$21="Binary Partner",POWER(Upgrades!$U$21,M306),1))+(IF(K306=0,0,(Upgrades!$J$19+K306*Upgrades!$K$19)*POWER(Upgrades!$L$19,K306)))*(IF(Upgrades!$T$13="Peculiar Velocity",POWER(Upgrades!$U$13,E306),1)*IF(Upgrades!$T$14="Peculiar Velocity",POWER(Upgrades!$U$14,F306),1)*IF(Upgrades!$T$15="Peculiar Velocity",POWER(Upgrades!$U$15,G306),1)*IF(Upgrades!$T$16="Peculiar Velocity",POWER(Upgrades!$U$16,H306),1)*IF(Upgrades!$T$17="Peculiar Velocity",POWER(Upgrades!$U$17,I306),1)*IF(Upgrades!$T$18="Peculiar Velocity",POWER(Upgrades!$U$18,J306),1)*IF(Upgrades!$T$20="Peculiar Velocity",POWER(Upgrades!$U$20,L306),1)*IF(Upgrades!$T$21="Peculiar Velocity",POWER(Upgrades!$U$21,M306),1))+(IF(L306=0,0,(Upgrades!$J$20+L306*Upgrades!$K$20)*POWER(Upgrades!$L$20,L306)))*(IF(Upgrades!$T$13="Open Cluster",POWER(Upgrades!$U$13,E306),1)*IF(Upgrades!$T$14="Open Cluster",POWER(Upgrades!$U$14,F306),1)*IF(Upgrades!$T$15="Open Cluster",POWER(Upgrades!$U$15,G306),1)*IF(Upgrades!$T$16="Open Cluster",POWER(Upgrades!$U$16,H306),1)*IF(Upgrades!$T$17="Open Cluster",POWER(Upgrades!$U$17,I306),1)*IF(Upgrades!$T$18="Open Cluster",POWER(Upgrades!$U$18,J306),1)*IF(Upgrades!$T$19="Open Cluster",POWER(Upgrades!$U$19,K306),1)*IF(Upgrades!$T$21="Open Cluster",POWER(Upgrades!$U$21,M306),1))+(IF(M306=0,0,(Upgrades!$J$21+M306*Upgrades!$K$21)*POWER(Upgrades!$L$21,M306)))*(IF(Upgrades!$T$13="Moving Group",POWER(Upgrades!$U$13,E306),1)*IF(Upgrades!$T$14="Moving Group",POWER(Upgrades!$U$14,F306),1)*IF(Upgrades!$T$15="Moving Group",POWER(Upgrades!$U$15,G306),1)*IF(Upgrades!$T$16="Moving Group",POWER(Upgrades!$U$16,H306),1)*IF(Upgrades!$T$17="Moving Group",POWER(Upgrades!$U$17,I306),1)*IF(Upgrades!$T$18="Moving Group",POWER(Upgrades!$U$18,J306),1)*IF(Upgrades!$T$19="Moving Group",POWER(Upgrades!$U$19,K306),1)*IF(Upgrades!$T$20="Moving Group",POWER(Upgrades!$U$20,L306),1)))*POWER(Upgrades!$Q$13,E306)*POWER(Upgrades!$Q$14,F306)*POWER(Upgrades!$Q$15,G306)*POWER(Upgrades!$Q$16,H306)*POWER(Upgrades!$Q$17,I306)*POWER(Upgrades!$Q$18,J306)*POWER(Upgrades!$Q$19,K306)*POWER(Upgrades!$Q$20,L306)*POWER(Upgrades!$Q$21,M306)*$G$6+$D$6</f>
        <v/>
      </c>
      <c r="P306" s="28">
        <f>((IF(E306=0,0,(Upgrades!$G$13+E306*Upgrades!$H$13)*POWER(Upgrades!$I$13,E306)))*(IF(Upgrades!$T$14="Stellar Kinematics",POWER(Upgrades!$U$14,F306),1)*IF(Upgrades!$T$15="Stellar Kinematics",POWER(Upgrades!$U$15,G306),1)*IF(Upgrades!$T$16="Stellar Kinematics",POWER(Upgrades!$U$16,H306),1)*IF(Upgrades!$T$17="Stellar Kinematics",POWER(Upgrades!$U$17,I306),1)*IF(Upgrades!$T$18="Stellar Kinematics",POWER(Upgrades!$U$18,J306),1)*IF(Upgrades!$T$19="Stellar Kinematics",POWER(Upgrades!$U$19,K306),1)*IF(Upgrades!$T$20="Stellar Kinematics",POWER(Upgrades!$U$20,L306),1)*IF(Upgrades!$T$21="Stellar Kinematics",POWER(Upgrades!$U$21,M306),1))+(IF(F306=0,0,(Upgrades!$G$14+F306*Upgrades!$H$14)*POWER(Upgrades!$I$14,F306)))*(IF(Upgrades!$T$13="Local Bubble",POWER(Upgrades!$U$13,E306),1)*IF(Upgrades!$T$15="Local Bubble",POWER(Upgrades!$U$15,G306),1)*IF(Upgrades!$T$16="Local Bubble",POWER(Upgrades!$U$16,H306),1)*IF(Upgrades!$T$17="Local Bubble",POWER(Upgrades!$U$17,I306),1)*IF(Upgrades!$T$18="Local Bubble",POWER(Upgrades!$U$18,J306),1)*IF(Upgrades!$T$19="Local Bubble",POWER(Upgrades!$U$19,K306),1)*IF(Upgrades!$T$20="Local Bubble",POWER(Upgrades!$U$20,L306),1)*IF(Upgrades!$T$21="Local Bubble",POWER(Upgrades!$U$21,M306),1))+(IF(G306=0,0,(Upgrades!$G$15+G306*Upgrades!$H$15)*POWER(Upgrades!$I$15,G306)))*(IF(Upgrades!$T$13="Microlensing",POWER(Upgrades!$U$13,E306),1)*IF(Upgrades!$T$14="Microlensing",POWER(Upgrades!$U$14,F306),1)*IF(Upgrades!$T$16="Microlensing",POWER(Upgrades!$U$16,H306),1)*IF(Upgrades!$T$17="Microlensing",POWER(Upgrades!$U$17,I306),1)*IF(Upgrades!$T$18="Microlensing",POWER(Upgrades!$U$18,J306),1)*IF(Upgrades!$T$19="Microlensing",POWER(Upgrades!$U$19,K306),1)*IF(Upgrades!$T$20="Microlensing",POWER(Upgrades!$U$20,L306),1)*IF(Upgrades!$T$21="Microlensing",POWER(Upgrades!$U$21,M306),1))+(IF(H306=0,0,(Upgrades!$G$16+H306*Upgrades!$H$16)*POWER(Upgrades!$I$16,H306)))*(IF(Upgrades!$T$13="Roche Lobe Overflow",POWER(Upgrades!$U$13,E306),1)*IF(Upgrades!$T$14="Roche Lobe Overflow",POWER(Upgrades!$U$14,F306),1)*IF(Upgrades!$T$15="Roche Lobe Overflow",POWER(Upgrades!$U$15,G306),1)*IF(Upgrades!$T$17="Roche Lobe Overflow",POWER(Upgrades!$U$17,I306),1)*IF(Upgrades!$T$18="Roche Lobe Overflow",POWER(Upgrades!$U$18,J306),1)*IF(Upgrades!$T$19="Roche Lobe Overflow",POWER(Upgrades!$U$19,K306),1)*IF(Upgrades!$T$20="Roche Lobe Overflow",POWER(Upgrades!$U$20,L306),1)*IF(Upgrades!$T$21="Roche Lobe Overflow",POWER(Upgrades!$U$21,M306),1))+(IF(I306=0,0,(Upgrades!$G$17+I306*Upgrades!$H$17)*POWER(Upgrades!$I$17,I306)))*(IF(Upgrades!$T$13="Brown Dwarf",POWER(Upgrades!$U$13,E306),1)*IF(Upgrades!$T$14="Brown Dwarf",POWER(Upgrades!$U$14,F306),1)*IF(Upgrades!$T$15="Brown Dwarf",POWER(Upgrades!$U$15,G306),1)*IF(Upgrades!$T$16="Brown Dwarf",POWER(Upgrades!$U$16,H306),1)*IF(Upgrades!$T$18="Brown Dwarf",POWER(Upgrades!$U$18,J306),1)*IF(Upgrades!$T$19="Brown Dwarf",POWER(Upgrades!$U$19,K306),1)*IF(Upgrades!$T$20="Brown Dwarf",POWER(Upgrades!$U$20,L306),1)*IF(Upgrades!$T$21="Brown Dwarf",POWER(Upgrades!$U$21,M306),1))+(IF(J306=0,0,(Upgrades!$G$18+J306*Upgrades!$H$18)*POWER(Upgrades!$I$18,J306)))*(IF(Upgrades!$T$13="Binary Partner",POWER(Upgrades!$U$13,E306),1)*IF(Upgrades!$T$14="Binary Partner",POWER(Upgrades!$U$14,F306),1)*IF(Upgrades!$T$15="Binary Partner",POWER(Upgrades!$U$15,G306),1)*IF(Upgrades!$T$16="Binary Partner",POWER(Upgrades!$U$16,H306),1)*IF(Upgrades!$T$17="Binary Partner",POWER(Upgrades!$U$17,I306),1)*IF(Upgrades!$T$19="Binary Partner",POWER(Upgrades!$U$19,K306),1)*IF(Upgrades!$T$20="Binary Partner",POWER(Upgrades!$U$20,L306),1)*IF(Upgrades!$T$21="Binary Partner",POWER(Upgrades!$U$21,M306),1))+(IF(K306=0,0,(Upgrades!$G$19+K306*Upgrades!$H$19)*POWER(Upgrades!$I$19,K306)))*(IF(Upgrades!$T$13="Peculiar Velocity",POWER(Upgrades!$U$13,E306),1)*IF(Upgrades!$T$14="Peculiar Velocity",POWER(Upgrades!$U$14,F306),1)*IF(Upgrades!$T$15="Peculiar Velocity",POWER(Upgrades!$U$15,G306),1)*IF(Upgrades!$T$16="Peculiar Velocity",POWER(Upgrades!$U$16,H306),1)*IF(Upgrades!$T$17="Peculiar Velocity",POWER(Upgrades!$U$17,I306),1)*IF(Upgrades!$T$18="Peculiar Velocity",POWER(Upgrades!$U$18,J306),1)*IF(Upgrades!$T$20="Peculiar Velocity",POWER(Upgrades!$U$20,L306),1)*IF(Upgrades!$T$21="Peculiar Velocity",POWER(Upgrades!$U$21,M306),1))+(IF(L306=0,0,(Upgrades!$G$20+L306*Upgrades!$H$20)*POWER(Upgrades!$I$20,L306)))*(IF(Upgrades!$T$13="Open Cluster",POWER(Upgrades!$U$13,E306),1)*IF(Upgrades!$T$14="Open Cluster",POWER(Upgrades!$U$14,F306),1)*IF(Upgrades!$T$15="Open Cluster",POWER(Upgrades!$U$15,G306),1)*IF(Upgrades!$T$16="Open Cluster",POWER(Upgrades!$U$16,H306),1)*IF(Upgrades!$T$17="Open Cluster",POWER(Upgrades!$U$17,I306),1)*IF(Upgrades!$T$18="Open Cluster",POWER(Upgrades!$U$18,J306),1)*IF(Upgrades!$T$19="Open Cluster",POWER(Upgrades!$U$19,K306),1)*IF(Upgrades!$T$21="Open Cluster",POWER(Upgrades!$U$21,M306),1))+(IF(M306=0,0,(Upgrades!$G$21+M306*Upgrades!$H$21)*POWER(Upgrades!$I$21,M306)))*(IF(Upgrades!$T$13="Moving Group",POWER(Upgrades!$U$13,E306),1)*IF(Upgrades!$T$14="Moving Group",POWER(Upgrades!$U$14,F306),1)*IF(Upgrades!$T$15="Moving Group",POWER(Upgrades!$U$15,G306),1)*IF(Upgrades!$T$16="Moving Group",POWER(Upgrades!$U$16,H306),1)*IF(Upgrades!$T$17="Moving Group",POWER(Upgrades!$U$17,I306),1)*IF(Upgrades!$T$18="Moving Group",POWER(Upgrades!$U$18,J306),1)*IF(Upgrades!$T$19="Moving Group",POWER(Upgrades!$U$19,K306),1)*IF(Upgrades!$T$20="Moving Group",POWER(Upgrades!$U$20,L306),1)))*POWER(Upgrades!$P$13,E306)*POWER(Upgrades!$P$14,F306)*POWER(Upgrades!$P$15,G306)*POWER(Upgrades!$P$16,H306)*POWER(Upgrades!$P$17,I306)*POWER(Upgrades!$P$18,J306)*POWER(Upgrades!$P$19,K306)*POWER(Upgrades!$P$20,L306)*POWER(Upgrades!$P$21,M306)*$F$6+$C$6</f>
        <v/>
      </c>
      <c r="Q306" s="28">
        <f>((IF(E306=0,0,(Upgrades!$M$13+E306*Upgrades!$N$13)*POWER(Upgrades!$O$13,E306)))*(IF(Upgrades!$T$14="Stellar Kinematics",POWER(Upgrades!$U$14,F306),1)*IF(Upgrades!$T$15="Stellar Kinematics",POWER(Upgrades!$U$15,G306),1)*IF(Upgrades!$T$16="Stellar Kinematics",POWER(Upgrades!$U$16,H306),1)*IF(Upgrades!$T$17="Stellar Kinematics",POWER(Upgrades!$U$17,I306),1)*IF(Upgrades!$T$18="Stellar Kinematics",POWER(Upgrades!$U$18,J306),1)*IF(Upgrades!$T$19="Stellar Kinematics",POWER(Upgrades!$U$19,K306),1)*IF(Upgrades!$T$20="Stellar Kinematics",POWER(Upgrades!$U$20,L306),1)*IF(Upgrades!$T$21="Stellar Kinematics",POWER(Upgrades!$U$21,M306),1))+(IF(F306=0,0,(Upgrades!$M$14+F306*Upgrades!$N$14)*POWER(Upgrades!$O$14,F306)))*(IF(Upgrades!$T$13="Local Bubble",POWER(Upgrades!$U$13,E306),1)*IF(Upgrades!$T$15="Local Bubble",POWER(Upgrades!$U$15,G306),1)*IF(Upgrades!$T$16="Local Bubble",POWER(Upgrades!$U$16,H306),1)*IF(Upgrades!$T$17="Local Bubble",POWER(Upgrades!$U$17,I306),1)*IF(Upgrades!$T$18="Local Bubble",POWER(Upgrades!$U$18,J306),1)*IF(Upgrades!$T$19="Local Bubble",POWER(Upgrades!$U$19,K306),1)*IF(Upgrades!$T$20="Local Bubble",POWER(Upgrades!$U$20,L306),1)*IF(Upgrades!$T$21="Local Bubble",POWER(Upgrades!$U$21,M306),1))+(IF(G306=0,0,(Upgrades!$M$15+G306*Upgrades!$N$15)*POWER(Upgrades!$O$15,G306)))*(IF(Upgrades!$T$13="Microlensing",POWER(Upgrades!$U$13,E306),1)*IF(Upgrades!$T$14="Microlensing",POWER(Upgrades!$U$14,F306),1)*IF(Upgrades!$T$16="Microlensing",POWER(Upgrades!$U$16,H306),1)*IF(Upgrades!$T$17="Microlensing",POWER(Upgrades!$U$17,I306),1)*IF(Upgrades!$T$18="Microlensing",POWER(Upgrades!$U$18,J306),1)*IF(Upgrades!$T$19="Microlensing",POWER(Upgrades!$U$19,K306),1)*IF(Upgrades!$T$20="Microlensing",POWER(Upgrades!$U$20,L306),1)*IF(Upgrades!$T$21="Microlensing",POWER(Upgrades!$U$21,M306),1))+(IF(H306=0,0,(Upgrades!$M$16+H306*Upgrades!$N$16)*POWER(Upgrades!$O$16,H306)))*(IF(Upgrades!$T$13="Roche Lobe Overflow",POWER(Upgrades!$U$13,E306),1)*IF(Upgrades!$T$14="Roche Lobe Overflow",POWER(Upgrades!$U$14,F306),1)*IF(Upgrades!$T$15="Roche Lobe Overflow",POWER(Upgrades!$U$15,G306),1)*IF(Upgrades!$T$17="Roche Lobe Overflow",POWER(Upgrades!$U$17,I306),1)*IF(Upgrades!$T$18="Roche Lobe Overflow",POWER(Upgrades!$U$18,J306),1)*IF(Upgrades!$T$19="Roche Lobe Overflow",POWER(Upgrades!$U$19,K306),1)*IF(Upgrades!$T$20="Roche Lobe Overflow",POWER(Upgrades!$U$20,L306),1)*IF(Upgrades!$T$21="Roche Lobe Overflow",POWER(Upgrades!$U$21,M306),1))+(IF(I306=0,0,(Upgrades!$M$17+I306*Upgrades!$N$17)*POWER(Upgrades!$O$17,I306)))*(IF(Upgrades!$T$13="Brown Dwarf",POWER(Upgrades!$U$13,E306),1)*IF(Upgrades!$T$14="Brown Dwarf",POWER(Upgrades!$U$14,F306),1)*IF(Upgrades!$T$15="Brown Dwarf",POWER(Upgrades!$U$15,G306),1)*IF(Upgrades!$T$16="Brown Dwarf",POWER(Upgrades!$U$16,H306),1)*IF(Upgrades!$T$18="Brown Dwarf",POWER(Upgrades!$U$18,J306),1)*IF(Upgrades!$T$19="Brown Dwarf",POWER(Upgrades!$U$19,K306),1)*IF(Upgrades!$T$20="Brown Dwarf",POWER(Upgrades!$U$20,L306),1)*IF(Upgrades!$T$21="Brown Dwarf",POWER(Upgrades!$U$21,M306),1))+(IF(J306=0,0,(Upgrades!$M$18+J306*Upgrades!$N$18)*POWER(Upgrades!$O$18,J306)))*(IF(Upgrades!$T$13="Binary Partner",POWER(Upgrades!$U$13,E306),1)*IF(Upgrades!$T$14="Binary Partner",POWER(Upgrades!$U$14,F306),1)*IF(Upgrades!$T$15="Binary Partner",POWER(Upgrades!$U$15,G306),1)*IF(Upgrades!$T$16="Binary Partner",POWER(Upgrades!$U$16,H306),1)*IF(Upgrades!$T$17="Binary Partner",POWER(Upgrades!$U$17,I306),1)*IF(Upgrades!$T$19="Binary Partner",POWER(Upgrades!$U$19,K306),1)*IF(Upgrades!$T$20="Binary Partner",POWER(Upgrades!$U$20,L306),1)*IF(Upgrades!$T$21="Binary Partner",POWER(Upgrades!$U$21,M306),1))+(IF(K306=0,0,(Upgrades!$M$19+K306*Upgrades!$N$19)*POWER(Upgrades!$O$19,K306)))*(IF(Upgrades!$T$13="Peculiar Velocity",POWER(Upgrades!$U$13,E306),1)*IF(Upgrades!$T$14="Peculiar Velocity",POWER(Upgrades!$U$14,F306),1)*IF(Upgrades!$T$15="Peculiar Velocity",POWER(Upgrades!$U$15,G306),1)*IF(Upgrades!$T$16="Peculiar Velocity",POWER(Upgrades!$U$16,H306),1)*IF(Upgrades!$T$17="Peculiar Velocity",POWER(Upgrades!$U$17,I306),1)*IF(Upgrades!$T$18="Peculiar Velocity",POWER(Upgrades!$U$18,J306),1)*IF(Upgrades!$T$20="Peculiar Velocity",POWER(Upgrades!$U$20,L306),1)*IF(Upgrades!$T$21="Peculiar Velocity",POWER(Upgrades!$U$21,M306),1))+(IF(L306=0,0,(Upgrades!$M$20+L306*Upgrades!$N$20)*POWER(Upgrades!$O$20,L306)))*(IF(Upgrades!$T$13="Open Cluster",POWER(Upgrades!$U$13,E306),1)*IF(Upgrades!$T$14="Open Cluster",POWER(Upgrades!$U$14,F306),1)*IF(Upgrades!$T$15="Open Cluster",POWER(Upgrades!$U$15,G306),1)*IF(Upgrades!$T$16="Open Cluster",POWER(Upgrades!$U$16,H306),1)*IF(Upgrades!$T$17="Open Cluster",POWER(Upgrades!$U$17,I306),1)*IF(Upgrades!$T$18="Open Cluster",POWER(Upgrades!$U$18,J306),1)*IF(Upgrades!$T$19="Open Cluster",POWER(Upgrades!$U$19,K306),1)*IF(Upgrades!$T$21="Open Cluster",POWER(Upgrades!$U$21,M306),1))+(IF(M306=0,0,(Upgrades!$M$21+M306*Upgrades!$N$21)*POWER(Upgrades!$O$21,M306)))*(IF(Upgrades!$T$13="Moving Group",POWER(Upgrades!$U$13,E306),1)*IF(Upgrades!$T$14="Moving Group",POWER(Upgrades!$U$14,F306),1)*IF(Upgrades!$T$15="Moving Group",POWER(Upgrades!$U$15,G306),1)*IF(Upgrades!$T$16="Moving Group",POWER(Upgrades!$U$16,H306),1)*IF(Upgrades!$T$17="Moving Group",POWER(Upgrades!$U$17,I306),1)*IF(Upgrades!$T$18="Moving Group",POWER(Upgrades!$U$18,J306),1)*IF(Upgrades!$T$19="Moving Group",POWER(Upgrades!$U$19,K306),1)*IF(Upgrades!$T$20="Moving Group",POWER(Upgrades!$U$20,L306),1)))*POWER(Upgrades!$R$13,E306)*POWER(Upgrades!$R$14,F306)*POWER(Upgrades!$R$15,G306)*POWER(Upgrades!$R$16,H306)*POWER(Upgrades!$R$17,I306)*POWER(Upgrades!$R$18,J306)*POWER(Upgrades!$R$19,K306)*POWER(Upgrades!$R$20,L306)*POWER(Upgrades!$R$21,M306)*$H$6+$E$6</f>
        <v/>
      </c>
      <c r="R306" s="27">
        <f>IF(N306=1,0,O306*Parameters!$B$10/60*Parameters!$B$11*10)</f>
        <v/>
      </c>
      <c r="S306" s="27">
        <f>IF(N306=1,0,Q306*O306*10)</f>
        <v/>
      </c>
      <c r="T306" s="27">
        <f>IF(N306=1,0,R306+S306+P306*10)</f>
        <v/>
      </c>
      <c r="U306" s="33">
        <f>BE306</f>
        <v/>
      </c>
      <c r="V306" s="22">
        <f>IF(U306="",0,IF(U306="transition",0,IF(U306="SK",AK306,IF(U306="LB",AL306,IF(U306="ML",AM306,IF(U306="RLO",AN306,IF(U306="BD",AO306,IF(U306="BiP",AP306,IF(U306="PV",AQ306,IF(U306="OC",AR306,IF(U306="MG",AS306,0))))))))))</f>
        <v/>
      </c>
      <c r="W306" s="27">
        <f>IF(U306="BiP",Upgrades!$F$18,IF(U306="PV",Upgrades!$F$19,IF(U306="OC",Upgrades!$F$20,IF(U306="MG",Upgrades!$F$21,IF(U306="transition",-Parameters!$B$18*Parameters!$B$19,0)))))</f>
        <v/>
      </c>
      <c r="X306" s="22">
        <f>C306+T306-V306</f>
        <v/>
      </c>
      <c r="Y306" s="30">
        <f>O306*Parameters!$B$10/60*Parameters!$B$11+Q306*O306+P306</f>
        <v/>
      </c>
      <c r="Z306" s="34">
        <f>IF(U306="transition","→ Tier 3 (Galactic Arm)",IF(U306="MG","Moving Group — pocket drifts together",IF(U306="OC","Open Cluster acquired",IF(U306="PV","Peculiar Velocity — passive multiplier active",IF(U306="BiP","Binary Partner — pair bond formed",IF(AND(AU306=1,N306=0,AT306&lt;&gt;1),"Cohesion ready (waiting on completionists)","")))))) </f>
        <v/>
      </c>
      <c r="AA306" s="27">
        <f>(IF(E306=0,0,(Upgrades!$G$13+E306*Upgrades!$H$13)*POWER(Upgrades!$I$13,E306)))*(IF(Upgrades!$T$14="Stellar Kinematics",POWER(Upgrades!$U$14,F306),1)*IF(Upgrades!$T$15="Stellar Kinematics",POWER(Upgrades!$U$15,G306),1)*IF(Upgrades!$T$16="Stellar Kinematics",POWER(Upgrades!$U$16,H306),1)*IF(Upgrades!$T$17="Stellar Kinematics",POWER(Upgrades!$U$17,I306),1)*IF(Upgrades!$T$18="Stellar Kinematics",POWER(Upgrades!$U$18,J306),1)*IF(Upgrades!$T$19="Stellar Kinematics",POWER(Upgrades!$U$19,K306),1)*IF(Upgrades!$T$20="Stellar Kinematics",POWER(Upgrades!$U$20,L306),1)*IF(Upgrades!$T$21="Stellar Kinematics",POWER(Upgrades!$U$21,M306),1))*POWER(Upgrades!$P$13,E306)*POWER(Upgrades!$P$14,F306)*POWER(Upgrades!$P$15,G306)*POWER(Upgrades!$P$16,H306)*POWER(Upgrades!$P$17,I306)*POWER(Upgrades!$P$18,J306)*POWER(Upgrades!$P$19,K306)*POWER(Upgrades!$P$20,L306)*POWER(Upgrades!$P$21,M306)*$F$6*60</f>
        <v/>
      </c>
      <c r="AB306" s="27">
        <f>(IF(F306=0,0,(Upgrades!$G$14+F306*Upgrades!$H$14)*POWER(Upgrades!$I$14,F306)))*(IF(Upgrades!$T$13="Local Bubble",POWER(Upgrades!$U$13,E306),1)*IF(Upgrades!$T$15="Local Bubble",POWER(Upgrades!$U$15,G306),1)*IF(Upgrades!$T$16="Local Bubble",POWER(Upgrades!$U$16,H306),1)*IF(Upgrades!$T$17="Local Bubble",POWER(Upgrades!$U$17,I306),1)*IF(Upgrades!$T$18="Local Bubble",POWER(Upgrades!$U$18,J306),1)*IF(Upgrades!$T$19="Local Bubble",POWER(Upgrades!$U$19,K306),1)*IF(Upgrades!$T$20="Local Bubble",POWER(Upgrades!$U$20,L306),1)*IF(Upgrades!$T$21="Local Bubble",POWER(Upgrades!$U$21,M306),1))*POWER(Upgrades!$P$13,E306)*POWER(Upgrades!$P$14,F306)*POWER(Upgrades!$P$15,G306)*POWER(Upgrades!$P$16,H306)*POWER(Upgrades!$P$17,I306)*POWER(Upgrades!$P$18,J306)*POWER(Upgrades!$P$19,K306)*POWER(Upgrades!$P$20,L306)*POWER(Upgrades!$P$21,M306)*$F$6*60</f>
        <v/>
      </c>
      <c r="AC306" s="27">
        <f>(IF(G306=0,0,(Upgrades!$J$15+G306*Upgrades!$K$15)*POWER(Upgrades!$L$15,G306)))*(IF(Upgrades!$T$13="Microlensing",POWER(Upgrades!$U$13,E306),1)*IF(Upgrades!$T$14="Microlensing",POWER(Upgrades!$U$14,F306),1)*IF(Upgrades!$T$16="Microlensing",POWER(Upgrades!$U$16,H306),1)*IF(Upgrades!$T$17="Microlensing",POWER(Upgrades!$U$17,I306),1)*IF(Upgrades!$T$18="Microlensing",POWER(Upgrades!$U$18,J306),1)*IF(Upgrades!$T$19="Microlensing",POWER(Upgrades!$U$19,K306),1)*IF(Upgrades!$T$20="Microlensing",POWER(Upgrades!$U$20,L306),1)*IF(Upgrades!$T$21="Microlensing",POWER(Upgrades!$U$21,M306),1))*POWER(Upgrades!$Q$13,E306)*POWER(Upgrades!$Q$14,F306)*POWER(Upgrades!$Q$15,G306)*POWER(Upgrades!$Q$16,H306)*POWER(Upgrades!$Q$17,I306)*POWER(Upgrades!$Q$18,J306)*POWER(Upgrades!$Q$19,K306)*POWER(Upgrades!$Q$20,L306)*POWER(Upgrades!$Q$21,M306)*$G$6*(Parameters!$B$10*Parameters!$B$11+Q306*60)</f>
        <v/>
      </c>
      <c r="AD306" s="27">
        <f>(IF(H306=0,0,(Upgrades!$M$16+H306*Upgrades!$N$16)*POWER(Upgrades!$O$16,H306)))*(IF(Upgrades!$T$13="Roche Lobe Overflow",POWER(Upgrades!$U$13,E306),1)*IF(Upgrades!$T$14="Roche Lobe Overflow",POWER(Upgrades!$U$14,F306),1)*IF(Upgrades!$T$15="Roche Lobe Overflow",POWER(Upgrades!$U$15,G306),1)*IF(Upgrades!$T$17="Roche Lobe Overflow",POWER(Upgrades!$U$17,I306),1)*IF(Upgrades!$T$18="Roche Lobe Overflow",POWER(Upgrades!$U$18,J306),1)*IF(Upgrades!$T$19="Roche Lobe Overflow",POWER(Upgrades!$U$19,K306),1)*IF(Upgrades!$T$20="Roche Lobe Overflow",POWER(Upgrades!$U$20,L306),1)*IF(Upgrades!$T$21="Roche Lobe Overflow",POWER(Upgrades!$U$21,M306),1))*POWER(Upgrades!$R$13,E306)*POWER(Upgrades!$R$14,F306)*POWER(Upgrades!$R$15,G306)*POWER(Upgrades!$R$16,H306)*POWER(Upgrades!$R$17,I306)*POWER(Upgrades!$R$18,J306)*POWER(Upgrades!$R$19,K306)*POWER(Upgrades!$R$20,L306)*POWER(Upgrades!$R$21,M306)*$H$6*O306*60</f>
        <v/>
      </c>
      <c r="AE306" s="27">
        <f>(IF(I306=0,0,(Upgrades!$G$17+I306*Upgrades!$H$17)*POWER(Upgrades!$I$17,I306)))*(IF(Upgrades!$T$13="Brown Dwarf",POWER(Upgrades!$U$13,E306),1)*IF(Upgrades!$T$14="Brown Dwarf",POWER(Upgrades!$U$14,F306),1)*IF(Upgrades!$T$15="Brown Dwarf",POWER(Upgrades!$U$15,G306),1)*IF(Upgrades!$T$16="Brown Dwarf",POWER(Upgrades!$U$16,H306),1)*IF(Upgrades!$T$18="Brown Dwarf",POWER(Upgrades!$U$18,J306),1)*IF(Upgrades!$T$19="Brown Dwarf",POWER(Upgrades!$U$19,K306),1)*IF(Upgrades!$T$20="Brown Dwarf",POWER(Upgrades!$U$20,L306),1)*IF(Upgrades!$T$21="Brown Dwarf",POWER(Upgrades!$U$21,M306),1))*POWER(Upgrades!$P$13,E306)*POWER(Upgrades!$P$14,F306)*POWER(Upgrades!$P$15,G306)*POWER(Upgrades!$P$16,H306)*POWER(Upgrades!$P$17,I306)*POWER(Upgrades!$P$18,J306)*POWER(Upgrades!$P$19,K306)*POWER(Upgrades!$P$20,L306)*POWER(Upgrades!$P$21,M306)*$F$6*60</f>
        <v/>
      </c>
      <c r="AF306" s="27" t="n">
        <v>0</v>
      </c>
      <c r="AG306" s="27" t="n">
        <v>0</v>
      </c>
      <c r="AH306" s="27" t="n">
        <v>0</v>
      </c>
      <c r="AI306" s="27">
        <f>(IF(M306=0,0,(Upgrades!$G$21+M306*Upgrades!$H$21)*POWER(Upgrades!$I$21,M306)))*(IF(Upgrades!$T$13="Moving Group",POWER(Upgrades!$U$13,E306),1)*IF(Upgrades!$T$14="Moving Group",POWER(Upgrades!$U$14,F306),1)*IF(Upgrades!$T$15="Moving Group",POWER(Upgrades!$U$15,G306),1)*IF(Upgrades!$T$16="Moving Group",POWER(Upgrades!$U$16,H306),1)*IF(Upgrades!$T$17="Moving Group",POWER(Upgrades!$U$17,I306),1)*IF(Upgrades!$T$18="Moving Group",POWER(Upgrades!$U$18,J306),1)*IF(Upgrades!$T$19="Moving Group",POWER(Upgrades!$U$19,K306),1)*IF(Upgrades!$T$20="Moving Group",POWER(Upgrades!$U$20,L306),1))*POWER(Upgrades!$P$13,E306)*POWER(Upgrades!$P$14,F306)*POWER(Upgrades!$P$15,G306)*POWER(Upgrades!$P$16,H306)*POWER(Upgrades!$P$17,I306)*POWER(Upgrades!$P$18,J306)*POWER(Upgrades!$P$19,K306)*POWER(Upgrades!$P$20,L306)*POWER(Upgrades!$P$21,M306)*$F$6*60</f>
        <v/>
      </c>
      <c r="AJ306" s="27">
        <f>$C$6*60</f>
        <v/>
      </c>
      <c r="AK306" s="22">
        <f>IF(E306&gt;=Upgrades!$E$13,"",Upgrades!$C$13*POWER(Upgrades!$D$13,E306))</f>
        <v/>
      </c>
      <c r="AL306" s="22">
        <f>IF(F306&gt;=Upgrades!$E$14,"",Upgrades!$C$14*POWER(Upgrades!$D$14,F306))</f>
        <v/>
      </c>
      <c r="AM306" s="22">
        <f>IF(G306&gt;=Upgrades!$E$15,"",Upgrades!$C$15*POWER(Upgrades!$D$15,G306))</f>
        <v/>
      </c>
      <c r="AN306" s="22">
        <f>IF(H306&gt;=Upgrades!$E$16,"",Upgrades!$C$16*POWER(Upgrades!$D$16,H306))</f>
        <v/>
      </c>
      <c r="AO306" s="22">
        <f>IF(I306&gt;=Upgrades!$E$17,"",Upgrades!$C$17*POWER(Upgrades!$D$17,I306))</f>
        <v/>
      </c>
      <c r="AP306" s="22">
        <f>IF(J306&gt;=Upgrades!$E$18,"",Upgrades!$C$18*POWER(Upgrades!$D$18,J306))</f>
        <v/>
      </c>
      <c r="AQ306" s="22">
        <f>IF(K306&gt;=Upgrades!$E$19,"",Upgrades!$C$19*POWER(Upgrades!$D$19,K306))</f>
        <v/>
      </c>
      <c r="AR306" s="22">
        <f>IF(L306&gt;=Upgrades!$E$20,"",Upgrades!$C$20*POWER(Upgrades!$D$20,L306))</f>
        <v/>
      </c>
      <c r="AS306" s="22">
        <f>IF(M306&gt;=Upgrades!$E$21,"",Upgrades!$C$21*POWER(Upgrades!$D$21,M306))</f>
        <v/>
      </c>
      <c r="AT306" s="26">
        <f>IF(AND(D306&gt;=Parameters!$B$18*Parameters!$B$19,(I306&gt;=Upgrades!$E$17)*(M306&gt;=Upgrades!$E$21)=1,N306=0),1,"")</f>
        <v/>
      </c>
      <c r="AU306" s="26">
        <f>IF(AND(D306&gt;=Parameters!$B$18*Parameters!$B$19,N306=0),1,"")</f>
        <v/>
      </c>
      <c r="AV306" s="22">
        <f>MIN(IF(ISNUMBER(AP306),AP306,9E15),IF(ISNUMBER(AQ306),AQ306,9E15),IF(ISNUMBER(AR306),AR306,9E15),IF(ISNUMBER(AS306),AS306,9E15))</f>
        <v/>
      </c>
      <c r="AW306" s="22">
        <f>MIN(IF(ISNUMBER(AK306),AK306,9E15),IF(ISNUMBER(AL306),AL306,9E15),IF(ISNUMBER(AM306),AM306,9E15),IF(ISNUMBER(AN306),AN306,9E15),IF(ISNUMBER(AO306),AO306,9E15))</f>
        <v/>
      </c>
      <c r="AX306" s="29">
        <f>IF(BD306&gt;Parameters!$B$21*(MAX(IF(AND(NOT(AND(AU306=1,AT306&lt;&gt;1)),ISNUMBER(AK306),AK306&lt;=(C306+T306)),AY306,0),IF(AND(NOT(AND(AU306=1,AT306&lt;&gt;1)),ISNUMBER(AL306),AL306&lt;=(C306+T306)),AZ306,0),IF(AND(NOT(AND(AU306=1,AT306&lt;&gt;1)),ISNUMBER(AM306),AM306&lt;=(C306+T306)),BA306,0),IF(AND(NOT(AND(AU306=1,AT306&lt;&gt;1)),ISNUMBER(AN306),AN306&lt;=(C306+T306)),BB306,0),IF(AND(ISNUMBER(AO306),AO306&lt;=(C306+T306)),BC306,0))),TRUE,FALSE)</f>
        <v/>
      </c>
      <c r="AY306" s="32">
        <f>IFERROR(Upgrades!$H$13*(POWER(Upgrades!$P$13,E306)*POWER(Upgrades!$P$14,F306)*POWER(Upgrades!$P$15,G306)*POWER(Upgrades!$P$16,H306)*POWER(Upgrades!$P$17,I306)*POWER(Upgrades!$P$18,J306)*POWER(Upgrades!$P$19,K306)*POWER(Upgrades!$P$20,L306)*POWER(Upgrades!$P$21,M306))*(IF(Upgrades!$T$14="Stellar Kinematics",POWER(Upgrades!$U$14,F306),1)*IF(Upgrades!$T$15="Stellar Kinematics",POWER(Upgrades!$U$15,G306),1)*IF(Upgrades!$T$16="Stellar Kinematics",POWER(Upgrades!$U$16,H306),1)*IF(Upgrades!$T$17="Stellar Kinematics",POWER(Upgrades!$U$17,I306),1)*IF(Upgrades!$T$18="Stellar Kinematics",POWER(Upgrades!$U$18,J306),1)*IF(Upgrades!$T$19="Stellar Kinematics",POWER(Upgrades!$U$19,K306),1)*IF(Upgrades!$T$20="Stellar Kinematics",POWER(Upgrades!$U$20,L306),1)*IF(Upgrades!$T$21="Stellar Kinematics",POWER(Upgrades!$U$21,M306),1))*$F$6/AK306,0)</f>
        <v/>
      </c>
      <c r="AZ306" s="32">
        <f>IFERROR(Upgrades!$H$14*(POWER(Upgrades!$P$13,E306)*POWER(Upgrades!$P$14,F306)*POWER(Upgrades!$P$15,G306)*POWER(Upgrades!$P$16,H306)*POWER(Upgrades!$P$17,I306)*POWER(Upgrades!$P$18,J306)*POWER(Upgrades!$P$19,K306)*POWER(Upgrades!$P$20,L306)*POWER(Upgrades!$P$21,M306))*(IF(Upgrades!$T$13="Local Bubble",POWER(Upgrades!$U$13,E306),1)*IF(Upgrades!$T$15="Local Bubble",POWER(Upgrades!$U$15,G306),1)*IF(Upgrades!$T$16="Local Bubble",POWER(Upgrades!$U$16,H306),1)*IF(Upgrades!$T$17="Local Bubble",POWER(Upgrades!$U$17,I306),1)*IF(Upgrades!$T$18="Local Bubble",POWER(Upgrades!$U$18,J306),1)*IF(Upgrades!$T$19="Local Bubble",POWER(Upgrades!$U$19,K306),1)*IF(Upgrades!$T$20="Local Bubble",POWER(Upgrades!$U$20,L306),1)*IF(Upgrades!$T$21="Local Bubble",POWER(Upgrades!$U$21,M306),1))*$F$6/AL306,0)</f>
        <v/>
      </c>
      <c r="BA306" s="32">
        <f>IFERROR(Upgrades!$K$15*(POWER(Upgrades!$Q$13,E306)*POWER(Upgrades!$Q$14,F306)*POWER(Upgrades!$Q$15,G306)*POWER(Upgrades!$Q$16,H306)*POWER(Upgrades!$Q$17,I306)*POWER(Upgrades!$Q$18,J306)*POWER(Upgrades!$Q$19,K306)*POWER(Upgrades!$Q$20,L306)*POWER(Upgrades!$Q$21,M306))*(IF(Upgrades!$T$13="Microlensing",POWER(Upgrades!$U$13,E306),1)*IF(Upgrades!$T$14="Microlensing",POWER(Upgrades!$U$14,F306),1)*IF(Upgrades!$T$16="Microlensing",POWER(Upgrades!$U$16,H306),1)*IF(Upgrades!$T$17="Microlensing",POWER(Upgrades!$U$17,I306),1)*IF(Upgrades!$T$18="Microlensing",POWER(Upgrades!$U$18,J306),1)*IF(Upgrades!$T$19="Microlensing",POWER(Upgrades!$U$19,K306),1)*IF(Upgrades!$T$20="Microlensing",POWER(Upgrades!$U$20,L306),1)*IF(Upgrades!$T$21="Microlensing",POWER(Upgrades!$U$21,M306),1))*$G$6*(Parameters!$B$10/60*Parameters!$B$11+Q306)/AM306,0)</f>
        <v/>
      </c>
      <c r="BB306" s="32">
        <f>IFERROR((Upgrades!$N$16*(POWER(Upgrades!$R$13,E306)*POWER(Upgrades!$R$14,F306)*POWER(Upgrades!$R$15,G306)*POWER(Upgrades!$R$16,H306)*POWER(Upgrades!$R$17,I306)*POWER(Upgrades!$R$18,J306)*POWER(Upgrades!$R$19,K306)*POWER(Upgrades!$R$20,L306)*POWER(Upgrades!$R$21,M306))*(IF(Upgrades!$T$13="Roche Lobe Overflow",POWER(Upgrades!$U$13,E306),1)*IF(Upgrades!$T$14="Roche Lobe Overflow",POWER(Upgrades!$U$14,F306),1)*IF(Upgrades!$T$15="Roche Lobe Overflow",POWER(Upgrades!$U$15,G306),1)*IF(Upgrades!$T$17="Roche Lobe Overflow",POWER(Upgrades!$U$17,I306),1)*IF(Upgrades!$T$18="Roche Lobe Overflow",POWER(Upgrades!$U$18,J306),1)*IF(Upgrades!$T$19="Roche Lobe Overflow",POWER(Upgrades!$U$19,K306),1)*IF(Upgrades!$T$20="Roche Lobe Overflow",POWER(Upgrades!$U$20,L306),1)*IF(Upgrades!$T$21="Roche Lobe Overflow",POWER(Upgrades!$U$21,M306),1))*$H$6*O306+((IF(F306=0,0,(Upgrades!$G$14+F306*Upgrades!$H$14)*POWER(Upgrades!$I$14,F306)))*(IF(Upgrades!$T$13="Local Bubble",POWER(Upgrades!$U$13,E306),1)*IF(Upgrades!$T$15="Local Bubble",POWER(Upgrades!$U$15,G306),1)*IF(Upgrades!$T$16="Local Bubble",POWER(Upgrades!$U$16,H306),1)*IF(Upgrades!$T$17="Local Bubble",POWER(Upgrades!$U$17,I306),1)*IF(Upgrades!$T$18="Local Bubble",POWER(Upgrades!$U$18,J306),1)*IF(Upgrades!$T$19="Local Bubble",POWER(Upgrades!$U$19,K306),1)*IF(Upgrades!$T$20="Local Bubble",POWER(Upgrades!$U$20,L306),1)*IF(Upgrades!$T$21="Local Bubble",POWER(Upgrades!$U$21,M306),1))*POWER(Upgrades!$P$13,E306)*POWER(Upgrades!$P$14,F306)*POWER(Upgrades!$P$15,G306)*POWER(Upgrades!$P$16,H306)*POWER(Upgrades!$P$17,I306)*POWER(Upgrades!$P$18,J306)*POWER(Upgrades!$P$19,K306)*POWER(Upgrades!$P$20,L306)*POWER(Upgrades!$P$21,M306)*$F$6)*0.05)/AN306,0)</f>
        <v/>
      </c>
      <c r="BC306" s="32">
        <f>IFERROR((Upgrades!$H$17*(POWER(Upgrades!$P$13,E306)*POWER(Upgrades!$P$14,F306)*POWER(Upgrades!$P$15,G306)*POWER(Upgrades!$P$16,H306)*POWER(Upgrades!$P$17,I306)*POWER(Upgrades!$P$18,J306)*POWER(Upgrades!$P$19,K306)*POWER(Upgrades!$P$20,L306)*POWER(Upgrades!$P$21,M306))*(IF(Upgrades!$T$13="Brown Dwarf",POWER(Upgrades!$U$13,E306),1)*IF(Upgrades!$T$14="Brown Dwarf",POWER(Upgrades!$U$14,F306),1)*IF(Upgrades!$T$15="Brown Dwarf",POWER(Upgrades!$U$15,G306),1)*IF(Upgrades!$T$16="Brown Dwarf",POWER(Upgrades!$U$16,H306),1)*IF(Upgrades!$T$18="Brown Dwarf",POWER(Upgrades!$U$18,J306),1)*IF(Upgrades!$T$19="Brown Dwarf",POWER(Upgrades!$U$19,K306),1)*IF(Upgrades!$T$20="Brown Dwarf",POWER(Upgrades!$U$20,L306),1)*IF(Upgrades!$T$21="Brown Dwarf",POWER(Upgrades!$U$21,M306),1))*$F$6+(((IF(H306=0,0,(Upgrades!$M$16+H306*Upgrades!$N$16)*POWER(Upgrades!$O$16,H306)))*(IF(Upgrades!$T$13="Roche Lobe Overflow",POWER(Upgrades!$U$13,E306),1)*IF(Upgrades!$T$14="Roche Lobe Overflow",POWER(Upgrades!$U$14,F306),1)*IF(Upgrades!$T$15="Roche Lobe Overflow",POWER(Upgrades!$U$15,G306),1)*IF(Upgrades!$T$17="Roche Lobe Overflow",POWER(Upgrades!$U$17,I306),1)*IF(Upgrades!$T$18="Roche Lobe Overflow",POWER(Upgrades!$U$18,J306),1)*IF(Upgrades!$T$19="Roche Lobe Overflow",POWER(Upgrades!$U$19,K306),1)*IF(Upgrades!$T$20="Roche Lobe Overflow",POWER(Upgrades!$U$20,L306),1)*IF(Upgrades!$T$21="Roche Lobe Overflow",POWER(Upgrades!$U$21,M306),1))*POWER(Upgrades!$R$13,E306)*POWER(Upgrades!$R$14,F306)*POWER(Upgrades!$R$15,G306)*POWER(Upgrades!$R$16,H306)*POWER(Upgrades!$R$17,I306)*POWER(Upgrades!$R$18,J306)*POWER(Upgrades!$R$19,K306)*POWER(Upgrades!$R$20,L306)*POWER(Upgrades!$R$21,M306)*$H$6)*O306)*0.10)/AO306,0)</f>
        <v/>
      </c>
      <c r="BD306" s="32">
        <f>MAX(IF(J306&gt;0,0,IFERROR(0.5*((IF(G306=0,0,(Upgrades!$J$15+G306*Upgrades!$K$15)*POWER(Upgrades!$L$15,G306)))*(IF(Upgrades!$T$13="Microlensing",POWER(Upgrades!$U$13,E306),1)*IF(Upgrades!$T$14="Microlensing",POWER(Upgrades!$U$14,F306),1)*IF(Upgrades!$T$16="Microlensing",POWER(Upgrades!$U$16,H306),1)*IF(Upgrades!$T$17="Microlensing",POWER(Upgrades!$U$17,I306),1)*IF(Upgrades!$T$18="Microlensing",POWER(Upgrades!$U$18,J306),1)*IF(Upgrades!$T$19="Microlensing",POWER(Upgrades!$U$19,K306),1)*IF(Upgrades!$T$20="Microlensing",POWER(Upgrades!$U$20,L306),1)*IF(Upgrades!$T$21="Microlensing",POWER(Upgrades!$U$21,M306),1))*(POWER(Upgrades!$Q$13,E306)*POWER(Upgrades!$Q$14,F306)*POWER(Upgrades!$Q$15,G306)*POWER(Upgrades!$Q$16,H306)*POWER(Upgrades!$Q$17,I306)*POWER(Upgrades!$Q$18,J306)*POWER(Upgrades!$Q$19,K306)*POWER(Upgrades!$Q$20,L306)*POWER(Upgrades!$Q$21,M306))*$G$6*(Parameters!$B$10/60*Parameters!$B$11+Q306))/Upgrades!$C$18,0)),IF(K306&gt;0,0,IFERROR(0.30*P306/Upgrades!$C$19,0)),IF(L306&gt;0,0,IFERROR(0.0001/Upgrades!$C$20,0)),IF(M306&gt;0,0,IFERROR((6.0*(POWER(Upgrades!$P$13,E306)*POWER(Upgrades!$P$14,F306)*POWER(Upgrades!$P$15,G306)*POWER(Upgrades!$P$16,H306)*POWER(Upgrades!$P$17,I306)*POWER(Upgrades!$P$18,J306)*POWER(Upgrades!$P$19,K306)*POWER(Upgrades!$P$20,L306)*POWER(Upgrades!$P$21,M306))*$F$6+0.20*O306*(Parameters!$B$10/60*Parameters!$B$11+Q306))/Upgrades!$C$21,0)),IF(AND(ISNUMBER(AK306),AK306&gt;(C306+T306)),AY306,0),IF(AND(ISNUMBER(AL306),AL306&gt;(C306+T306)),AZ306,0),IF(AND(ISNUMBER(AM306),AM306&gt;(C306+T306)),BA306,0),IF(AND(ISNUMBER(AN306),AN306&gt;(C306+T306)),BB306,0),IF(AND(ISNUMBER(AO306),AO306&gt;(C306+T306)),BC306,0))</f>
        <v/>
      </c>
      <c r="BE306" s="29">
        <f>IF(AT306=1,"transition",IF(MIN(IF(AND(J306=0,ISNUMBER(AP306),AP306&lt;=(C306+T306)),AP306,9E15),IF(AND(K306=0,ISNUMBER(AQ306),AQ306&lt;=(C306+T306)),AQ306,9E15),IF(AND(L306=0,ISNUMBER(AR306),AR306&lt;=(C306+T306)),AR306,9E15),IF(AND(M306=0,ISNUMBER(AS306),AS306&lt;=(C306+T306)),AS306,9E15))&lt;9E15,IF(AND(AND(J306=0,ISNUMBER(AP306),AP306&lt;=(C306+T306)),AP306=MIN(IF(AND(J306=0,ISNUMBER(AP306),AP306&lt;=(C306+T306)),AP306,9E15),IF(AND(K306=0,ISNUMBER(AQ306),AQ306&lt;=(C306+T306)),AQ306,9E15),IF(AND(L306=0,ISNUMBER(AR306),AR306&lt;=(C306+T306)),AR306,9E15),IF(AND(M306=0,ISNUMBER(AS306),AS306&lt;=(C306+T306)),AS306,9E15))),"BiP",IF(AND(AND(K306=0,ISNUMBER(AQ306),AQ306&lt;=(C306+T306)),AQ306=MIN(IF(AND(J306=0,ISNUMBER(AP306),AP306&lt;=(C306+T306)),AP306,9E15),IF(AND(K306=0,ISNUMBER(AQ306),AQ306&lt;=(C306+T306)),AQ306,9E15),IF(AND(L306=0,ISNUMBER(AR306),AR306&lt;=(C306+T306)),AR306,9E15),IF(AND(M306=0,ISNUMBER(AS306),AS306&lt;=(C306+T306)),AS306,9E15))),"PV",IF(AND(AND(L306=0,ISNUMBER(AR306),AR306&lt;=(C306+T306)),AR306=MIN(IF(AND(J306=0,ISNUMBER(AP306),AP306&lt;=(C306+T306)),AP306,9E15),IF(AND(K306=0,ISNUMBER(AQ306),AQ306&lt;=(C306+T306)),AQ306,9E15),IF(AND(L306=0,ISNUMBER(AR306),AR306&lt;=(C306+T306)),AR306,9E15),IF(AND(M306=0,ISNUMBER(AS306),AS306&lt;=(C306+T306)),AS306,9E15))),"OC","MG"))),IF(AX306=TRUE,"",IF(MAX(IF(AND(NOT(AND(AU306=1,AT306&lt;&gt;1)),ISNUMBER(AK306),AK306&lt;=(C306+T306)),AY306,0),IF(AND(NOT(AND(AU306=1,AT306&lt;&gt;1)),ISNUMBER(AL306),AL306&lt;=(C306+T306)),AZ306,0),IF(AND(NOT(AND(AU306=1,AT306&lt;&gt;1)),ISNUMBER(AM306),AM306&lt;=(C306+T306)),BA306,0),IF(AND(NOT(AND(AU306=1,AT306&lt;&gt;1)),ISNUMBER(AN306),AN306&lt;=(C306+T306)),BB306,0),IF(AND(ISNUMBER(AO306),AO306&lt;=(C306+T306)),BC306,0))&lt;=0,"",IF(AND(IF(AND(NOT(AND(AU306=1,AT306&lt;&gt;1)),ISNUMBER(AK306),AK306&lt;=(C306+T306)),AY306,0)&gt;0,IF(AND(NOT(AND(AU306=1,AT306&lt;&gt;1)),ISNUMBER(AK306),AK306&lt;=(C306+T306)),AY306,0)=MAX(IF(AND(NOT(AND(AU306=1,AT306&lt;&gt;1)),ISNUMBER(AK306),AK306&lt;=(C306+T306)),AY306,0),IF(AND(NOT(AND(AU306=1,AT306&lt;&gt;1)),ISNUMBER(AL306),AL306&lt;=(C306+T306)),AZ306,0),IF(AND(NOT(AND(AU306=1,AT306&lt;&gt;1)),ISNUMBER(AM306),AM306&lt;=(C306+T306)),BA306,0),IF(AND(NOT(AND(AU306=1,AT306&lt;&gt;1)),ISNUMBER(AN306),AN306&lt;=(C306+T306)),BB306,0),IF(AND(ISNUMBER(AO306),AO306&lt;=(C306+T306)),BC306,0))),"SK",IF(AND(IF(AND(NOT(AND(AU306=1,AT306&lt;&gt;1)),ISNUMBER(AL306),AL306&lt;=(C306+T306)),AZ306,0)&gt;0,IF(AND(NOT(AND(AU306=1,AT306&lt;&gt;1)),ISNUMBER(AL306),AL306&lt;=(C306+T306)),AZ306,0)=MAX(IF(AND(NOT(AND(AU306=1,AT306&lt;&gt;1)),ISNUMBER(AK306),AK306&lt;=(C306+T306)),AY306,0),IF(AND(NOT(AND(AU306=1,AT306&lt;&gt;1)),ISNUMBER(AL306),AL306&lt;=(C306+T306)),AZ306,0),IF(AND(NOT(AND(AU306=1,AT306&lt;&gt;1)),ISNUMBER(AM306),AM306&lt;=(C306+T306)),BA306,0),IF(AND(NOT(AND(AU306=1,AT306&lt;&gt;1)),ISNUMBER(AN306),AN306&lt;=(C306+T306)),BB306,0),IF(AND(ISNUMBER(AO306),AO306&lt;=(C306+T306)),BC306,0))),"LB",IF(AND(IF(AND(NOT(AND(AU306=1,AT306&lt;&gt;1)),ISNUMBER(AM306),AM306&lt;=(C306+T306)),BA306,0)&gt;0,IF(AND(NOT(AND(AU306=1,AT306&lt;&gt;1)),ISNUMBER(AM306),AM306&lt;=(C306+T306)),BA306,0)=MAX(IF(AND(NOT(AND(AU306=1,AT306&lt;&gt;1)),ISNUMBER(AK306),AK306&lt;=(C306+T306)),AY306,0),IF(AND(NOT(AND(AU306=1,AT306&lt;&gt;1)),ISNUMBER(AL306),AL306&lt;=(C306+T306)),AZ306,0),IF(AND(NOT(AND(AU306=1,AT306&lt;&gt;1)),ISNUMBER(AM306),AM306&lt;=(C306+T306)),BA306,0),IF(AND(NOT(AND(AU306=1,AT306&lt;&gt;1)),ISNUMBER(AN306),AN306&lt;=(C306+T306)),BB306,0),IF(AND(ISNUMBER(AO306),AO306&lt;=(C306+T306)),BC306,0))),"ML",IF(AND(IF(AND(NOT(AND(AU306=1,AT306&lt;&gt;1)),ISNUMBER(AN306),AN306&lt;=(C306+T306)),BB306,0)&gt;0,IF(AND(NOT(AND(AU306=1,AT306&lt;&gt;1)),ISNUMBER(AN306),AN306&lt;=(C306+T306)),BB306,0)=MAX(IF(AND(NOT(AND(AU306=1,AT306&lt;&gt;1)),ISNUMBER(AK306),AK306&lt;=(C306+T306)),AY306,0),IF(AND(NOT(AND(AU306=1,AT306&lt;&gt;1)),ISNUMBER(AL306),AL306&lt;=(C306+T306)),AZ306,0),IF(AND(NOT(AND(AU306=1,AT306&lt;&gt;1)),ISNUMBER(AM306),AM306&lt;=(C306+T306)),BA306,0),IF(AND(NOT(AND(AU306=1,AT306&lt;&gt;1)),ISNUMBER(AN306),AN306&lt;=(C306+T306)),BB306,0),IF(AND(ISNUMBER(AO306),AO306&lt;=(C306+T306)),BC306,0))),"RLO","BD"))))))))</f>
        <v/>
      </c>
    </row>
    <row r="307">
      <c r="A307" s="26" t="n">
        <v>296</v>
      </c>
      <c r="B307" s="27">
        <f>A307*10/60</f>
        <v/>
      </c>
      <c r="C307" s="22">
        <f>X306</f>
        <v/>
      </c>
      <c r="D307" s="27">
        <f>D306+W306</f>
        <v/>
      </c>
      <c r="E307" s="26">
        <f>E306+IF(U306="SK",1,0)</f>
        <v/>
      </c>
      <c r="F307" s="26">
        <f>F306+IF(U306="LB",1,0)</f>
        <v/>
      </c>
      <c r="G307" s="26">
        <f>G306+IF(U306="ML",1,0)</f>
        <v/>
      </c>
      <c r="H307" s="26">
        <f>H306+IF(U306="RLO",1,0)</f>
        <v/>
      </c>
      <c r="I307" s="26">
        <f>I306+IF(U306="BD",1,0)</f>
        <v/>
      </c>
      <c r="J307" s="26">
        <f>MAX(J306,IF(U306="BiP",1,0))</f>
        <v/>
      </c>
      <c r="K307" s="26">
        <f>MAX(K306,IF(U306="PV",1,0))</f>
        <v/>
      </c>
      <c r="L307" s="26">
        <f>MAX(L306,IF(U306="OC",1,0))</f>
        <v/>
      </c>
      <c r="M307" s="26">
        <f>MAX(M306,IF(U306="MG",1,0))</f>
        <v/>
      </c>
      <c r="N307" s="26">
        <f>MAX(N306,IF(U306="transition",1,0))</f>
        <v/>
      </c>
      <c r="O307" s="28">
        <f>(Parameters!$B$9+(IF(E307=0,0,(Upgrades!$J$13+E307*Upgrades!$K$13)*POWER(Upgrades!$L$13,E307)))*(IF(Upgrades!$T$14="Stellar Kinematics",POWER(Upgrades!$U$14,F307),1)*IF(Upgrades!$T$15="Stellar Kinematics",POWER(Upgrades!$U$15,G307),1)*IF(Upgrades!$T$16="Stellar Kinematics",POWER(Upgrades!$U$16,H307),1)*IF(Upgrades!$T$17="Stellar Kinematics",POWER(Upgrades!$U$17,I307),1)*IF(Upgrades!$T$18="Stellar Kinematics",POWER(Upgrades!$U$18,J307),1)*IF(Upgrades!$T$19="Stellar Kinematics",POWER(Upgrades!$U$19,K307),1)*IF(Upgrades!$T$20="Stellar Kinematics",POWER(Upgrades!$U$20,L307),1)*IF(Upgrades!$T$21="Stellar Kinematics",POWER(Upgrades!$U$21,M307),1))+(IF(F307=0,0,(Upgrades!$J$14+F307*Upgrades!$K$14)*POWER(Upgrades!$L$14,F307)))*(IF(Upgrades!$T$13="Local Bubble",POWER(Upgrades!$U$13,E307),1)*IF(Upgrades!$T$15="Local Bubble",POWER(Upgrades!$U$15,G307),1)*IF(Upgrades!$T$16="Local Bubble",POWER(Upgrades!$U$16,H307),1)*IF(Upgrades!$T$17="Local Bubble",POWER(Upgrades!$U$17,I307),1)*IF(Upgrades!$T$18="Local Bubble",POWER(Upgrades!$U$18,J307),1)*IF(Upgrades!$T$19="Local Bubble",POWER(Upgrades!$U$19,K307),1)*IF(Upgrades!$T$20="Local Bubble",POWER(Upgrades!$U$20,L307),1)*IF(Upgrades!$T$21="Local Bubble",POWER(Upgrades!$U$21,M307),1))+(IF(G307=0,0,(Upgrades!$J$15+G307*Upgrades!$K$15)*POWER(Upgrades!$L$15,G307)))*(IF(Upgrades!$T$13="Microlensing",POWER(Upgrades!$U$13,E307),1)*IF(Upgrades!$T$14="Microlensing",POWER(Upgrades!$U$14,F307),1)*IF(Upgrades!$T$16="Microlensing",POWER(Upgrades!$U$16,H307),1)*IF(Upgrades!$T$17="Microlensing",POWER(Upgrades!$U$17,I307),1)*IF(Upgrades!$T$18="Microlensing",POWER(Upgrades!$U$18,J307),1)*IF(Upgrades!$T$19="Microlensing",POWER(Upgrades!$U$19,K307),1)*IF(Upgrades!$T$20="Microlensing",POWER(Upgrades!$U$20,L307),1)*IF(Upgrades!$T$21="Microlensing",POWER(Upgrades!$U$21,M307),1))+(IF(H307=0,0,(Upgrades!$J$16+H307*Upgrades!$K$16)*POWER(Upgrades!$L$16,H307)))*(IF(Upgrades!$T$13="Roche Lobe Overflow",POWER(Upgrades!$U$13,E307),1)*IF(Upgrades!$T$14="Roche Lobe Overflow",POWER(Upgrades!$U$14,F307),1)*IF(Upgrades!$T$15="Roche Lobe Overflow",POWER(Upgrades!$U$15,G307),1)*IF(Upgrades!$T$17="Roche Lobe Overflow",POWER(Upgrades!$U$17,I307),1)*IF(Upgrades!$T$18="Roche Lobe Overflow",POWER(Upgrades!$U$18,J307),1)*IF(Upgrades!$T$19="Roche Lobe Overflow",POWER(Upgrades!$U$19,K307),1)*IF(Upgrades!$T$20="Roche Lobe Overflow",POWER(Upgrades!$U$20,L307),1)*IF(Upgrades!$T$21="Roche Lobe Overflow",POWER(Upgrades!$U$21,M307),1))+(IF(I307=0,0,(Upgrades!$J$17+I307*Upgrades!$K$17)*POWER(Upgrades!$L$17,I307)))*(IF(Upgrades!$T$13="Brown Dwarf",POWER(Upgrades!$U$13,E307),1)*IF(Upgrades!$T$14="Brown Dwarf",POWER(Upgrades!$U$14,F307),1)*IF(Upgrades!$T$15="Brown Dwarf",POWER(Upgrades!$U$15,G307),1)*IF(Upgrades!$T$16="Brown Dwarf",POWER(Upgrades!$U$16,H307),1)*IF(Upgrades!$T$18="Brown Dwarf",POWER(Upgrades!$U$18,J307),1)*IF(Upgrades!$T$19="Brown Dwarf",POWER(Upgrades!$U$19,K307),1)*IF(Upgrades!$T$20="Brown Dwarf",POWER(Upgrades!$U$20,L307),1)*IF(Upgrades!$T$21="Brown Dwarf",POWER(Upgrades!$U$21,M307),1))+(IF(J307=0,0,(Upgrades!$J$18+J307*Upgrades!$K$18)*POWER(Upgrades!$L$18,J307)))*(IF(Upgrades!$T$13="Binary Partner",POWER(Upgrades!$U$13,E307),1)*IF(Upgrades!$T$14="Binary Partner",POWER(Upgrades!$U$14,F307),1)*IF(Upgrades!$T$15="Binary Partner",POWER(Upgrades!$U$15,G307),1)*IF(Upgrades!$T$16="Binary Partner",POWER(Upgrades!$U$16,H307),1)*IF(Upgrades!$T$17="Binary Partner",POWER(Upgrades!$U$17,I307),1)*IF(Upgrades!$T$19="Binary Partner",POWER(Upgrades!$U$19,K307),1)*IF(Upgrades!$T$20="Binary Partner",POWER(Upgrades!$U$20,L307),1)*IF(Upgrades!$T$21="Binary Partner",POWER(Upgrades!$U$21,M307),1))+(IF(K307=0,0,(Upgrades!$J$19+K307*Upgrades!$K$19)*POWER(Upgrades!$L$19,K307)))*(IF(Upgrades!$T$13="Peculiar Velocity",POWER(Upgrades!$U$13,E307),1)*IF(Upgrades!$T$14="Peculiar Velocity",POWER(Upgrades!$U$14,F307),1)*IF(Upgrades!$T$15="Peculiar Velocity",POWER(Upgrades!$U$15,G307),1)*IF(Upgrades!$T$16="Peculiar Velocity",POWER(Upgrades!$U$16,H307),1)*IF(Upgrades!$T$17="Peculiar Velocity",POWER(Upgrades!$U$17,I307),1)*IF(Upgrades!$T$18="Peculiar Velocity",POWER(Upgrades!$U$18,J307),1)*IF(Upgrades!$T$20="Peculiar Velocity",POWER(Upgrades!$U$20,L307),1)*IF(Upgrades!$T$21="Peculiar Velocity",POWER(Upgrades!$U$21,M307),1))+(IF(L307=0,0,(Upgrades!$J$20+L307*Upgrades!$K$20)*POWER(Upgrades!$L$20,L307)))*(IF(Upgrades!$T$13="Open Cluster",POWER(Upgrades!$U$13,E307),1)*IF(Upgrades!$T$14="Open Cluster",POWER(Upgrades!$U$14,F307),1)*IF(Upgrades!$T$15="Open Cluster",POWER(Upgrades!$U$15,G307),1)*IF(Upgrades!$T$16="Open Cluster",POWER(Upgrades!$U$16,H307),1)*IF(Upgrades!$T$17="Open Cluster",POWER(Upgrades!$U$17,I307),1)*IF(Upgrades!$T$18="Open Cluster",POWER(Upgrades!$U$18,J307),1)*IF(Upgrades!$T$19="Open Cluster",POWER(Upgrades!$U$19,K307),1)*IF(Upgrades!$T$21="Open Cluster",POWER(Upgrades!$U$21,M307),1))+(IF(M307=0,0,(Upgrades!$J$21+M307*Upgrades!$K$21)*POWER(Upgrades!$L$21,M307)))*(IF(Upgrades!$T$13="Moving Group",POWER(Upgrades!$U$13,E307),1)*IF(Upgrades!$T$14="Moving Group",POWER(Upgrades!$U$14,F307),1)*IF(Upgrades!$T$15="Moving Group",POWER(Upgrades!$U$15,G307),1)*IF(Upgrades!$T$16="Moving Group",POWER(Upgrades!$U$16,H307),1)*IF(Upgrades!$T$17="Moving Group",POWER(Upgrades!$U$17,I307),1)*IF(Upgrades!$T$18="Moving Group",POWER(Upgrades!$U$18,J307),1)*IF(Upgrades!$T$19="Moving Group",POWER(Upgrades!$U$19,K307),1)*IF(Upgrades!$T$20="Moving Group",POWER(Upgrades!$U$20,L307),1)))*POWER(Upgrades!$Q$13,E307)*POWER(Upgrades!$Q$14,F307)*POWER(Upgrades!$Q$15,G307)*POWER(Upgrades!$Q$16,H307)*POWER(Upgrades!$Q$17,I307)*POWER(Upgrades!$Q$18,J307)*POWER(Upgrades!$Q$19,K307)*POWER(Upgrades!$Q$20,L307)*POWER(Upgrades!$Q$21,M307)*$G$6+$D$6</f>
        <v/>
      </c>
      <c r="P307" s="28">
        <f>((IF(E307=0,0,(Upgrades!$G$13+E307*Upgrades!$H$13)*POWER(Upgrades!$I$13,E307)))*(IF(Upgrades!$T$14="Stellar Kinematics",POWER(Upgrades!$U$14,F307),1)*IF(Upgrades!$T$15="Stellar Kinematics",POWER(Upgrades!$U$15,G307),1)*IF(Upgrades!$T$16="Stellar Kinematics",POWER(Upgrades!$U$16,H307),1)*IF(Upgrades!$T$17="Stellar Kinematics",POWER(Upgrades!$U$17,I307),1)*IF(Upgrades!$T$18="Stellar Kinematics",POWER(Upgrades!$U$18,J307),1)*IF(Upgrades!$T$19="Stellar Kinematics",POWER(Upgrades!$U$19,K307),1)*IF(Upgrades!$T$20="Stellar Kinematics",POWER(Upgrades!$U$20,L307),1)*IF(Upgrades!$T$21="Stellar Kinematics",POWER(Upgrades!$U$21,M307),1))+(IF(F307=0,0,(Upgrades!$G$14+F307*Upgrades!$H$14)*POWER(Upgrades!$I$14,F307)))*(IF(Upgrades!$T$13="Local Bubble",POWER(Upgrades!$U$13,E307),1)*IF(Upgrades!$T$15="Local Bubble",POWER(Upgrades!$U$15,G307),1)*IF(Upgrades!$T$16="Local Bubble",POWER(Upgrades!$U$16,H307),1)*IF(Upgrades!$T$17="Local Bubble",POWER(Upgrades!$U$17,I307),1)*IF(Upgrades!$T$18="Local Bubble",POWER(Upgrades!$U$18,J307),1)*IF(Upgrades!$T$19="Local Bubble",POWER(Upgrades!$U$19,K307),1)*IF(Upgrades!$T$20="Local Bubble",POWER(Upgrades!$U$20,L307),1)*IF(Upgrades!$T$21="Local Bubble",POWER(Upgrades!$U$21,M307),1))+(IF(G307=0,0,(Upgrades!$G$15+G307*Upgrades!$H$15)*POWER(Upgrades!$I$15,G307)))*(IF(Upgrades!$T$13="Microlensing",POWER(Upgrades!$U$13,E307),1)*IF(Upgrades!$T$14="Microlensing",POWER(Upgrades!$U$14,F307),1)*IF(Upgrades!$T$16="Microlensing",POWER(Upgrades!$U$16,H307),1)*IF(Upgrades!$T$17="Microlensing",POWER(Upgrades!$U$17,I307),1)*IF(Upgrades!$T$18="Microlensing",POWER(Upgrades!$U$18,J307),1)*IF(Upgrades!$T$19="Microlensing",POWER(Upgrades!$U$19,K307),1)*IF(Upgrades!$T$20="Microlensing",POWER(Upgrades!$U$20,L307),1)*IF(Upgrades!$T$21="Microlensing",POWER(Upgrades!$U$21,M307),1))+(IF(H307=0,0,(Upgrades!$G$16+H307*Upgrades!$H$16)*POWER(Upgrades!$I$16,H307)))*(IF(Upgrades!$T$13="Roche Lobe Overflow",POWER(Upgrades!$U$13,E307),1)*IF(Upgrades!$T$14="Roche Lobe Overflow",POWER(Upgrades!$U$14,F307),1)*IF(Upgrades!$T$15="Roche Lobe Overflow",POWER(Upgrades!$U$15,G307),1)*IF(Upgrades!$T$17="Roche Lobe Overflow",POWER(Upgrades!$U$17,I307),1)*IF(Upgrades!$T$18="Roche Lobe Overflow",POWER(Upgrades!$U$18,J307),1)*IF(Upgrades!$T$19="Roche Lobe Overflow",POWER(Upgrades!$U$19,K307),1)*IF(Upgrades!$T$20="Roche Lobe Overflow",POWER(Upgrades!$U$20,L307),1)*IF(Upgrades!$T$21="Roche Lobe Overflow",POWER(Upgrades!$U$21,M307),1))+(IF(I307=0,0,(Upgrades!$G$17+I307*Upgrades!$H$17)*POWER(Upgrades!$I$17,I307)))*(IF(Upgrades!$T$13="Brown Dwarf",POWER(Upgrades!$U$13,E307),1)*IF(Upgrades!$T$14="Brown Dwarf",POWER(Upgrades!$U$14,F307),1)*IF(Upgrades!$T$15="Brown Dwarf",POWER(Upgrades!$U$15,G307),1)*IF(Upgrades!$T$16="Brown Dwarf",POWER(Upgrades!$U$16,H307),1)*IF(Upgrades!$T$18="Brown Dwarf",POWER(Upgrades!$U$18,J307),1)*IF(Upgrades!$T$19="Brown Dwarf",POWER(Upgrades!$U$19,K307),1)*IF(Upgrades!$T$20="Brown Dwarf",POWER(Upgrades!$U$20,L307),1)*IF(Upgrades!$T$21="Brown Dwarf",POWER(Upgrades!$U$21,M307),1))+(IF(J307=0,0,(Upgrades!$G$18+J307*Upgrades!$H$18)*POWER(Upgrades!$I$18,J307)))*(IF(Upgrades!$T$13="Binary Partner",POWER(Upgrades!$U$13,E307),1)*IF(Upgrades!$T$14="Binary Partner",POWER(Upgrades!$U$14,F307),1)*IF(Upgrades!$T$15="Binary Partner",POWER(Upgrades!$U$15,G307),1)*IF(Upgrades!$T$16="Binary Partner",POWER(Upgrades!$U$16,H307),1)*IF(Upgrades!$T$17="Binary Partner",POWER(Upgrades!$U$17,I307),1)*IF(Upgrades!$T$19="Binary Partner",POWER(Upgrades!$U$19,K307),1)*IF(Upgrades!$T$20="Binary Partner",POWER(Upgrades!$U$20,L307),1)*IF(Upgrades!$T$21="Binary Partner",POWER(Upgrades!$U$21,M307),1))+(IF(K307=0,0,(Upgrades!$G$19+K307*Upgrades!$H$19)*POWER(Upgrades!$I$19,K307)))*(IF(Upgrades!$T$13="Peculiar Velocity",POWER(Upgrades!$U$13,E307),1)*IF(Upgrades!$T$14="Peculiar Velocity",POWER(Upgrades!$U$14,F307),1)*IF(Upgrades!$T$15="Peculiar Velocity",POWER(Upgrades!$U$15,G307),1)*IF(Upgrades!$T$16="Peculiar Velocity",POWER(Upgrades!$U$16,H307),1)*IF(Upgrades!$T$17="Peculiar Velocity",POWER(Upgrades!$U$17,I307),1)*IF(Upgrades!$T$18="Peculiar Velocity",POWER(Upgrades!$U$18,J307),1)*IF(Upgrades!$T$20="Peculiar Velocity",POWER(Upgrades!$U$20,L307),1)*IF(Upgrades!$T$21="Peculiar Velocity",POWER(Upgrades!$U$21,M307),1))+(IF(L307=0,0,(Upgrades!$G$20+L307*Upgrades!$H$20)*POWER(Upgrades!$I$20,L307)))*(IF(Upgrades!$T$13="Open Cluster",POWER(Upgrades!$U$13,E307),1)*IF(Upgrades!$T$14="Open Cluster",POWER(Upgrades!$U$14,F307),1)*IF(Upgrades!$T$15="Open Cluster",POWER(Upgrades!$U$15,G307),1)*IF(Upgrades!$T$16="Open Cluster",POWER(Upgrades!$U$16,H307),1)*IF(Upgrades!$T$17="Open Cluster",POWER(Upgrades!$U$17,I307),1)*IF(Upgrades!$T$18="Open Cluster",POWER(Upgrades!$U$18,J307),1)*IF(Upgrades!$T$19="Open Cluster",POWER(Upgrades!$U$19,K307),1)*IF(Upgrades!$T$21="Open Cluster",POWER(Upgrades!$U$21,M307),1))+(IF(M307=0,0,(Upgrades!$G$21+M307*Upgrades!$H$21)*POWER(Upgrades!$I$21,M307)))*(IF(Upgrades!$T$13="Moving Group",POWER(Upgrades!$U$13,E307),1)*IF(Upgrades!$T$14="Moving Group",POWER(Upgrades!$U$14,F307),1)*IF(Upgrades!$T$15="Moving Group",POWER(Upgrades!$U$15,G307),1)*IF(Upgrades!$T$16="Moving Group",POWER(Upgrades!$U$16,H307),1)*IF(Upgrades!$T$17="Moving Group",POWER(Upgrades!$U$17,I307),1)*IF(Upgrades!$T$18="Moving Group",POWER(Upgrades!$U$18,J307),1)*IF(Upgrades!$T$19="Moving Group",POWER(Upgrades!$U$19,K307),1)*IF(Upgrades!$T$20="Moving Group",POWER(Upgrades!$U$20,L307),1)))*POWER(Upgrades!$P$13,E307)*POWER(Upgrades!$P$14,F307)*POWER(Upgrades!$P$15,G307)*POWER(Upgrades!$P$16,H307)*POWER(Upgrades!$P$17,I307)*POWER(Upgrades!$P$18,J307)*POWER(Upgrades!$P$19,K307)*POWER(Upgrades!$P$20,L307)*POWER(Upgrades!$P$21,M307)*$F$6+$C$6</f>
        <v/>
      </c>
      <c r="Q307" s="28">
        <f>((IF(E307=0,0,(Upgrades!$M$13+E307*Upgrades!$N$13)*POWER(Upgrades!$O$13,E307)))*(IF(Upgrades!$T$14="Stellar Kinematics",POWER(Upgrades!$U$14,F307),1)*IF(Upgrades!$T$15="Stellar Kinematics",POWER(Upgrades!$U$15,G307),1)*IF(Upgrades!$T$16="Stellar Kinematics",POWER(Upgrades!$U$16,H307),1)*IF(Upgrades!$T$17="Stellar Kinematics",POWER(Upgrades!$U$17,I307),1)*IF(Upgrades!$T$18="Stellar Kinematics",POWER(Upgrades!$U$18,J307),1)*IF(Upgrades!$T$19="Stellar Kinematics",POWER(Upgrades!$U$19,K307),1)*IF(Upgrades!$T$20="Stellar Kinematics",POWER(Upgrades!$U$20,L307),1)*IF(Upgrades!$T$21="Stellar Kinematics",POWER(Upgrades!$U$21,M307),1))+(IF(F307=0,0,(Upgrades!$M$14+F307*Upgrades!$N$14)*POWER(Upgrades!$O$14,F307)))*(IF(Upgrades!$T$13="Local Bubble",POWER(Upgrades!$U$13,E307),1)*IF(Upgrades!$T$15="Local Bubble",POWER(Upgrades!$U$15,G307),1)*IF(Upgrades!$T$16="Local Bubble",POWER(Upgrades!$U$16,H307),1)*IF(Upgrades!$T$17="Local Bubble",POWER(Upgrades!$U$17,I307),1)*IF(Upgrades!$T$18="Local Bubble",POWER(Upgrades!$U$18,J307),1)*IF(Upgrades!$T$19="Local Bubble",POWER(Upgrades!$U$19,K307),1)*IF(Upgrades!$T$20="Local Bubble",POWER(Upgrades!$U$20,L307),1)*IF(Upgrades!$T$21="Local Bubble",POWER(Upgrades!$U$21,M307),1))+(IF(G307=0,0,(Upgrades!$M$15+G307*Upgrades!$N$15)*POWER(Upgrades!$O$15,G307)))*(IF(Upgrades!$T$13="Microlensing",POWER(Upgrades!$U$13,E307),1)*IF(Upgrades!$T$14="Microlensing",POWER(Upgrades!$U$14,F307),1)*IF(Upgrades!$T$16="Microlensing",POWER(Upgrades!$U$16,H307),1)*IF(Upgrades!$T$17="Microlensing",POWER(Upgrades!$U$17,I307),1)*IF(Upgrades!$T$18="Microlensing",POWER(Upgrades!$U$18,J307),1)*IF(Upgrades!$T$19="Microlensing",POWER(Upgrades!$U$19,K307),1)*IF(Upgrades!$T$20="Microlensing",POWER(Upgrades!$U$20,L307),1)*IF(Upgrades!$T$21="Microlensing",POWER(Upgrades!$U$21,M307),1))+(IF(H307=0,0,(Upgrades!$M$16+H307*Upgrades!$N$16)*POWER(Upgrades!$O$16,H307)))*(IF(Upgrades!$T$13="Roche Lobe Overflow",POWER(Upgrades!$U$13,E307),1)*IF(Upgrades!$T$14="Roche Lobe Overflow",POWER(Upgrades!$U$14,F307),1)*IF(Upgrades!$T$15="Roche Lobe Overflow",POWER(Upgrades!$U$15,G307),1)*IF(Upgrades!$T$17="Roche Lobe Overflow",POWER(Upgrades!$U$17,I307),1)*IF(Upgrades!$T$18="Roche Lobe Overflow",POWER(Upgrades!$U$18,J307),1)*IF(Upgrades!$T$19="Roche Lobe Overflow",POWER(Upgrades!$U$19,K307),1)*IF(Upgrades!$T$20="Roche Lobe Overflow",POWER(Upgrades!$U$20,L307),1)*IF(Upgrades!$T$21="Roche Lobe Overflow",POWER(Upgrades!$U$21,M307),1))+(IF(I307=0,0,(Upgrades!$M$17+I307*Upgrades!$N$17)*POWER(Upgrades!$O$17,I307)))*(IF(Upgrades!$T$13="Brown Dwarf",POWER(Upgrades!$U$13,E307),1)*IF(Upgrades!$T$14="Brown Dwarf",POWER(Upgrades!$U$14,F307),1)*IF(Upgrades!$T$15="Brown Dwarf",POWER(Upgrades!$U$15,G307),1)*IF(Upgrades!$T$16="Brown Dwarf",POWER(Upgrades!$U$16,H307),1)*IF(Upgrades!$T$18="Brown Dwarf",POWER(Upgrades!$U$18,J307),1)*IF(Upgrades!$T$19="Brown Dwarf",POWER(Upgrades!$U$19,K307),1)*IF(Upgrades!$T$20="Brown Dwarf",POWER(Upgrades!$U$20,L307),1)*IF(Upgrades!$T$21="Brown Dwarf",POWER(Upgrades!$U$21,M307),1))+(IF(J307=0,0,(Upgrades!$M$18+J307*Upgrades!$N$18)*POWER(Upgrades!$O$18,J307)))*(IF(Upgrades!$T$13="Binary Partner",POWER(Upgrades!$U$13,E307),1)*IF(Upgrades!$T$14="Binary Partner",POWER(Upgrades!$U$14,F307),1)*IF(Upgrades!$T$15="Binary Partner",POWER(Upgrades!$U$15,G307),1)*IF(Upgrades!$T$16="Binary Partner",POWER(Upgrades!$U$16,H307),1)*IF(Upgrades!$T$17="Binary Partner",POWER(Upgrades!$U$17,I307),1)*IF(Upgrades!$T$19="Binary Partner",POWER(Upgrades!$U$19,K307),1)*IF(Upgrades!$T$20="Binary Partner",POWER(Upgrades!$U$20,L307),1)*IF(Upgrades!$T$21="Binary Partner",POWER(Upgrades!$U$21,M307),1))+(IF(K307=0,0,(Upgrades!$M$19+K307*Upgrades!$N$19)*POWER(Upgrades!$O$19,K307)))*(IF(Upgrades!$T$13="Peculiar Velocity",POWER(Upgrades!$U$13,E307),1)*IF(Upgrades!$T$14="Peculiar Velocity",POWER(Upgrades!$U$14,F307),1)*IF(Upgrades!$T$15="Peculiar Velocity",POWER(Upgrades!$U$15,G307),1)*IF(Upgrades!$T$16="Peculiar Velocity",POWER(Upgrades!$U$16,H307),1)*IF(Upgrades!$T$17="Peculiar Velocity",POWER(Upgrades!$U$17,I307),1)*IF(Upgrades!$T$18="Peculiar Velocity",POWER(Upgrades!$U$18,J307),1)*IF(Upgrades!$T$20="Peculiar Velocity",POWER(Upgrades!$U$20,L307),1)*IF(Upgrades!$T$21="Peculiar Velocity",POWER(Upgrades!$U$21,M307),1))+(IF(L307=0,0,(Upgrades!$M$20+L307*Upgrades!$N$20)*POWER(Upgrades!$O$20,L307)))*(IF(Upgrades!$T$13="Open Cluster",POWER(Upgrades!$U$13,E307),1)*IF(Upgrades!$T$14="Open Cluster",POWER(Upgrades!$U$14,F307),1)*IF(Upgrades!$T$15="Open Cluster",POWER(Upgrades!$U$15,G307),1)*IF(Upgrades!$T$16="Open Cluster",POWER(Upgrades!$U$16,H307),1)*IF(Upgrades!$T$17="Open Cluster",POWER(Upgrades!$U$17,I307),1)*IF(Upgrades!$T$18="Open Cluster",POWER(Upgrades!$U$18,J307),1)*IF(Upgrades!$T$19="Open Cluster",POWER(Upgrades!$U$19,K307),1)*IF(Upgrades!$T$21="Open Cluster",POWER(Upgrades!$U$21,M307),1))+(IF(M307=0,0,(Upgrades!$M$21+M307*Upgrades!$N$21)*POWER(Upgrades!$O$21,M307)))*(IF(Upgrades!$T$13="Moving Group",POWER(Upgrades!$U$13,E307),1)*IF(Upgrades!$T$14="Moving Group",POWER(Upgrades!$U$14,F307),1)*IF(Upgrades!$T$15="Moving Group",POWER(Upgrades!$U$15,G307),1)*IF(Upgrades!$T$16="Moving Group",POWER(Upgrades!$U$16,H307),1)*IF(Upgrades!$T$17="Moving Group",POWER(Upgrades!$U$17,I307),1)*IF(Upgrades!$T$18="Moving Group",POWER(Upgrades!$U$18,J307),1)*IF(Upgrades!$T$19="Moving Group",POWER(Upgrades!$U$19,K307),1)*IF(Upgrades!$T$20="Moving Group",POWER(Upgrades!$U$20,L307),1)))*POWER(Upgrades!$R$13,E307)*POWER(Upgrades!$R$14,F307)*POWER(Upgrades!$R$15,G307)*POWER(Upgrades!$R$16,H307)*POWER(Upgrades!$R$17,I307)*POWER(Upgrades!$R$18,J307)*POWER(Upgrades!$R$19,K307)*POWER(Upgrades!$R$20,L307)*POWER(Upgrades!$R$21,M307)*$H$6+$E$6</f>
        <v/>
      </c>
      <c r="R307" s="27">
        <f>IF(N307=1,0,O307*Parameters!$B$10/60*Parameters!$B$11*10)</f>
        <v/>
      </c>
      <c r="S307" s="27">
        <f>IF(N307=1,0,Q307*O307*10)</f>
        <v/>
      </c>
      <c r="T307" s="27">
        <f>IF(N307=1,0,R307+S307+P307*10)</f>
        <v/>
      </c>
      <c r="U307" s="33">
        <f>BE307</f>
        <v/>
      </c>
      <c r="V307" s="22">
        <f>IF(U307="",0,IF(U307="transition",0,IF(U307="SK",AK307,IF(U307="LB",AL307,IF(U307="ML",AM307,IF(U307="RLO",AN307,IF(U307="BD",AO307,IF(U307="BiP",AP307,IF(U307="PV",AQ307,IF(U307="OC",AR307,IF(U307="MG",AS307,0))))))))))</f>
        <v/>
      </c>
      <c r="W307" s="27">
        <f>IF(U307="BiP",Upgrades!$F$18,IF(U307="PV",Upgrades!$F$19,IF(U307="OC",Upgrades!$F$20,IF(U307="MG",Upgrades!$F$21,IF(U307="transition",-Parameters!$B$18*Parameters!$B$19,0)))))</f>
        <v/>
      </c>
      <c r="X307" s="22">
        <f>C307+T307-V307</f>
        <v/>
      </c>
      <c r="Y307" s="30">
        <f>O307*Parameters!$B$10/60*Parameters!$B$11+Q307*O307+P307</f>
        <v/>
      </c>
      <c r="Z307" s="34">
        <f>IF(U307="transition","→ Tier 3 (Galactic Arm)",IF(U307="MG","Moving Group — pocket drifts together",IF(U307="OC","Open Cluster acquired",IF(U307="PV","Peculiar Velocity — passive multiplier active",IF(U307="BiP","Binary Partner — pair bond formed",IF(AND(AU307=1,N307=0,AT307&lt;&gt;1),"Cohesion ready (waiting on completionists)","")))))) </f>
        <v/>
      </c>
      <c r="AA307" s="27">
        <f>(IF(E307=0,0,(Upgrades!$G$13+E307*Upgrades!$H$13)*POWER(Upgrades!$I$13,E307)))*(IF(Upgrades!$T$14="Stellar Kinematics",POWER(Upgrades!$U$14,F307),1)*IF(Upgrades!$T$15="Stellar Kinematics",POWER(Upgrades!$U$15,G307),1)*IF(Upgrades!$T$16="Stellar Kinematics",POWER(Upgrades!$U$16,H307),1)*IF(Upgrades!$T$17="Stellar Kinematics",POWER(Upgrades!$U$17,I307),1)*IF(Upgrades!$T$18="Stellar Kinematics",POWER(Upgrades!$U$18,J307),1)*IF(Upgrades!$T$19="Stellar Kinematics",POWER(Upgrades!$U$19,K307),1)*IF(Upgrades!$T$20="Stellar Kinematics",POWER(Upgrades!$U$20,L307),1)*IF(Upgrades!$T$21="Stellar Kinematics",POWER(Upgrades!$U$21,M307),1))*POWER(Upgrades!$P$13,E307)*POWER(Upgrades!$P$14,F307)*POWER(Upgrades!$P$15,G307)*POWER(Upgrades!$P$16,H307)*POWER(Upgrades!$P$17,I307)*POWER(Upgrades!$P$18,J307)*POWER(Upgrades!$P$19,K307)*POWER(Upgrades!$P$20,L307)*POWER(Upgrades!$P$21,M307)*$F$6*60</f>
        <v/>
      </c>
      <c r="AB307" s="27">
        <f>(IF(F307=0,0,(Upgrades!$G$14+F307*Upgrades!$H$14)*POWER(Upgrades!$I$14,F307)))*(IF(Upgrades!$T$13="Local Bubble",POWER(Upgrades!$U$13,E307),1)*IF(Upgrades!$T$15="Local Bubble",POWER(Upgrades!$U$15,G307),1)*IF(Upgrades!$T$16="Local Bubble",POWER(Upgrades!$U$16,H307),1)*IF(Upgrades!$T$17="Local Bubble",POWER(Upgrades!$U$17,I307),1)*IF(Upgrades!$T$18="Local Bubble",POWER(Upgrades!$U$18,J307),1)*IF(Upgrades!$T$19="Local Bubble",POWER(Upgrades!$U$19,K307),1)*IF(Upgrades!$T$20="Local Bubble",POWER(Upgrades!$U$20,L307),1)*IF(Upgrades!$T$21="Local Bubble",POWER(Upgrades!$U$21,M307),1))*POWER(Upgrades!$P$13,E307)*POWER(Upgrades!$P$14,F307)*POWER(Upgrades!$P$15,G307)*POWER(Upgrades!$P$16,H307)*POWER(Upgrades!$P$17,I307)*POWER(Upgrades!$P$18,J307)*POWER(Upgrades!$P$19,K307)*POWER(Upgrades!$P$20,L307)*POWER(Upgrades!$P$21,M307)*$F$6*60</f>
        <v/>
      </c>
      <c r="AC307" s="27">
        <f>(IF(G307=0,0,(Upgrades!$J$15+G307*Upgrades!$K$15)*POWER(Upgrades!$L$15,G307)))*(IF(Upgrades!$T$13="Microlensing",POWER(Upgrades!$U$13,E307),1)*IF(Upgrades!$T$14="Microlensing",POWER(Upgrades!$U$14,F307),1)*IF(Upgrades!$T$16="Microlensing",POWER(Upgrades!$U$16,H307),1)*IF(Upgrades!$T$17="Microlensing",POWER(Upgrades!$U$17,I307),1)*IF(Upgrades!$T$18="Microlensing",POWER(Upgrades!$U$18,J307),1)*IF(Upgrades!$T$19="Microlensing",POWER(Upgrades!$U$19,K307),1)*IF(Upgrades!$T$20="Microlensing",POWER(Upgrades!$U$20,L307),1)*IF(Upgrades!$T$21="Microlensing",POWER(Upgrades!$U$21,M307),1))*POWER(Upgrades!$Q$13,E307)*POWER(Upgrades!$Q$14,F307)*POWER(Upgrades!$Q$15,G307)*POWER(Upgrades!$Q$16,H307)*POWER(Upgrades!$Q$17,I307)*POWER(Upgrades!$Q$18,J307)*POWER(Upgrades!$Q$19,K307)*POWER(Upgrades!$Q$20,L307)*POWER(Upgrades!$Q$21,M307)*$G$6*(Parameters!$B$10*Parameters!$B$11+Q307*60)</f>
        <v/>
      </c>
      <c r="AD307" s="27">
        <f>(IF(H307=0,0,(Upgrades!$M$16+H307*Upgrades!$N$16)*POWER(Upgrades!$O$16,H307)))*(IF(Upgrades!$T$13="Roche Lobe Overflow",POWER(Upgrades!$U$13,E307),1)*IF(Upgrades!$T$14="Roche Lobe Overflow",POWER(Upgrades!$U$14,F307),1)*IF(Upgrades!$T$15="Roche Lobe Overflow",POWER(Upgrades!$U$15,G307),1)*IF(Upgrades!$T$17="Roche Lobe Overflow",POWER(Upgrades!$U$17,I307),1)*IF(Upgrades!$T$18="Roche Lobe Overflow",POWER(Upgrades!$U$18,J307),1)*IF(Upgrades!$T$19="Roche Lobe Overflow",POWER(Upgrades!$U$19,K307),1)*IF(Upgrades!$T$20="Roche Lobe Overflow",POWER(Upgrades!$U$20,L307),1)*IF(Upgrades!$T$21="Roche Lobe Overflow",POWER(Upgrades!$U$21,M307),1))*POWER(Upgrades!$R$13,E307)*POWER(Upgrades!$R$14,F307)*POWER(Upgrades!$R$15,G307)*POWER(Upgrades!$R$16,H307)*POWER(Upgrades!$R$17,I307)*POWER(Upgrades!$R$18,J307)*POWER(Upgrades!$R$19,K307)*POWER(Upgrades!$R$20,L307)*POWER(Upgrades!$R$21,M307)*$H$6*O307*60</f>
        <v/>
      </c>
      <c r="AE307" s="27">
        <f>(IF(I307=0,0,(Upgrades!$G$17+I307*Upgrades!$H$17)*POWER(Upgrades!$I$17,I307)))*(IF(Upgrades!$T$13="Brown Dwarf",POWER(Upgrades!$U$13,E307),1)*IF(Upgrades!$T$14="Brown Dwarf",POWER(Upgrades!$U$14,F307),1)*IF(Upgrades!$T$15="Brown Dwarf",POWER(Upgrades!$U$15,G307),1)*IF(Upgrades!$T$16="Brown Dwarf",POWER(Upgrades!$U$16,H307),1)*IF(Upgrades!$T$18="Brown Dwarf",POWER(Upgrades!$U$18,J307),1)*IF(Upgrades!$T$19="Brown Dwarf",POWER(Upgrades!$U$19,K307),1)*IF(Upgrades!$T$20="Brown Dwarf",POWER(Upgrades!$U$20,L307),1)*IF(Upgrades!$T$21="Brown Dwarf",POWER(Upgrades!$U$21,M307),1))*POWER(Upgrades!$P$13,E307)*POWER(Upgrades!$P$14,F307)*POWER(Upgrades!$P$15,G307)*POWER(Upgrades!$P$16,H307)*POWER(Upgrades!$P$17,I307)*POWER(Upgrades!$P$18,J307)*POWER(Upgrades!$P$19,K307)*POWER(Upgrades!$P$20,L307)*POWER(Upgrades!$P$21,M307)*$F$6*60</f>
        <v/>
      </c>
      <c r="AF307" s="27" t="n">
        <v>0</v>
      </c>
      <c r="AG307" s="27" t="n">
        <v>0</v>
      </c>
      <c r="AH307" s="27" t="n">
        <v>0</v>
      </c>
      <c r="AI307" s="27">
        <f>(IF(M307=0,0,(Upgrades!$G$21+M307*Upgrades!$H$21)*POWER(Upgrades!$I$21,M307)))*(IF(Upgrades!$T$13="Moving Group",POWER(Upgrades!$U$13,E307),1)*IF(Upgrades!$T$14="Moving Group",POWER(Upgrades!$U$14,F307),1)*IF(Upgrades!$T$15="Moving Group",POWER(Upgrades!$U$15,G307),1)*IF(Upgrades!$T$16="Moving Group",POWER(Upgrades!$U$16,H307),1)*IF(Upgrades!$T$17="Moving Group",POWER(Upgrades!$U$17,I307),1)*IF(Upgrades!$T$18="Moving Group",POWER(Upgrades!$U$18,J307),1)*IF(Upgrades!$T$19="Moving Group",POWER(Upgrades!$U$19,K307),1)*IF(Upgrades!$T$20="Moving Group",POWER(Upgrades!$U$20,L307),1))*POWER(Upgrades!$P$13,E307)*POWER(Upgrades!$P$14,F307)*POWER(Upgrades!$P$15,G307)*POWER(Upgrades!$P$16,H307)*POWER(Upgrades!$P$17,I307)*POWER(Upgrades!$P$18,J307)*POWER(Upgrades!$P$19,K307)*POWER(Upgrades!$P$20,L307)*POWER(Upgrades!$P$21,M307)*$F$6*60</f>
        <v/>
      </c>
      <c r="AJ307" s="27">
        <f>$C$6*60</f>
        <v/>
      </c>
      <c r="AK307" s="22">
        <f>IF(E307&gt;=Upgrades!$E$13,"",Upgrades!$C$13*POWER(Upgrades!$D$13,E307))</f>
        <v/>
      </c>
      <c r="AL307" s="22">
        <f>IF(F307&gt;=Upgrades!$E$14,"",Upgrades!$C$14*POWER(Upgrades!$D$14,F307))</f>
        <v/>
      </c>
      <c r="AM307" s="22">
        <f>IF(G307&gt;=Upgrades!$E$15,"",Upgrades!$C$15*POWER(Upgrades!$D$15,G307))</f>
        <v/>
      </c>
      <c r="AN307" s="22">
        <f>IF(H307&gt;=Upgrades!$E$16,"",Upgrades!$C$16*POWER(Upgrades!$D$16,H307))</f>
        <v/>
      </c>
      <c r="AO307" s="22">
        <f>IF(I307&gt;=Upgrades!$E$17,"",Upgrades!$C$17*POWER(Upgrades!$D$17,I307))</f>
        <v/>
      </c>
      <c r="AP307" s="22">
        <f>IF(J307&gt;=Upgrades!$E$18,"",Upgrades!$C$18*POWER(Upgrades!$D$18,J307))</f>
        <v/>
      </c>
      <c r="AQ307" s="22">
        <f>IF(K307&gt;=Upgrades!$E$19,"",Upgrades!$C$19*POWER(Upgrades!$D$19,K307))</f>
        <v/>
      </c>
      <c r="AR307" s="22">
        <f>IF(L307&gt;=Upgrades!$E$20,"",Upgrades!$C$20*POWER(Upgrades!$D$20,L307))</f>
        <v/>
      </c>
      <c r="AS307" s="22">
        <f>IF(M307&gt;=Upgrades!$E$21,"",Upgrades!$C$21*POWER(Upgrades!$D$21,M307))</f>
        <v/>
      </c>
      <c r="AT307" s="26">
        <f>IF(AND(D307&gt;=Parameters!$B$18*Parameters!$B$19,(I307&gt;=Upgrades!$E$17)*(M307&gt;=Upgrades!$E$21)=1,N307=0),1,"")</f>
        <v/>
      </c>
      <c r="AU307" s="26">
        <f>IF(AND(D307&gt;=Parameters!$B$18*Parameters!$B$19,N307=0),1,"")</f>
        <v/>
      </c>
      <c r="AV307" s="22">
        <f>MIN(IF(ISNUMBER(AP307),AP307,9E15),IF(ISNUMBER(AQ307),AQ307,9E15),IF(ISNUMBER(AR307),AR307,9E15),IF(ISNUMBER(AS307),AS307,9E15))</f>
        <v/>
      </c>
      <c r="AW307" s="22">
        <f>MIN(IF(ISNUMBER(AK307),AK307,9E15),IF(ISNUMBER(AL307),AL307,9E15),IF(ISNUMBER(AM307),AM307,9E15),IF(ISNUMBER(AN307),AN307,9E15),IF(ISNUMBER(AO307),AO307,9E15))</f>
        <v/>
      </c>
      <c r="AX307" s="29">
        <f>IF(BD307&gt;Parameters!$B$21*(MAX(IF(AND(NOT(AND(AU307=1,AT307&lt;&gt;1)),ISNUMBER(AK307),AK307&lt;=(C307+T307)),AY307,0),IF(AND(NOT(AND(AU307=1,AT307&lt;&gt;1)),ISNUMBER(AL307),AL307&lt;=(C307+T307)),AZ307,0),IF(AND(NOT(AND(AU307=1,AT307&lt;&gt;1)),ISNUMBER(AM307),AM307&lt;=(C307+T307)),BA307,0),IF(AND(NOT(AND(AU307=1,AT307&lt;&gt;1)),ISNUMBER(AN307),AN307&lt;=(C307+T307)),BB307,0),IF(AND(ISNUMBER(AO307),AO307&lt;=(C307+T307)),BC307,0))),TRUE,FALSE)</f>
        <v/>
      </c>
      <c r="AY307" s="32">
        <f>IFERROR(Upgrades!$H$13*(POWER(Upgrades!$P$13,E307)*POWER(Upgrades!$P$14,F307)*POWER(Upgrades!$P$15,G307)*POWER(Upgrades!$P$16,H307)*POWER(Upgrades!$P$17,I307)*POWER(Upgrades!$P$18,J307)*POWER(Upgrades!$P$19,K307)*POWER(Upgrades!$P$20,L307)*POWER(Upgrades!$P$21,M307))*(IF(Upgrades!$T$14="Stellar Kinematics",POWER(Upgrades!$U$14,F307),1)*IF(Upgrades!$T$15="Stellar Kinematics",POWER(Upgrades!$U$15,G307),1)*IF(Upgrades!$T$16="Stellar Kinematics",POWER(Upgrades!$U$16,H307),1)*IF(Upgrades!$T$17="Stellar Kinematics",POWER(Upgrades!$U$17,I307),1)*IF(Upgrades!$T$18="Stellar Kinematics",POWER(Upgrades!$U$18,J307),1)*IF(Upgrades!$T$19="Stellar Kinematics",POWER(Upgrades!$U$19,K307),1)*IF(Upgrades!$T$20="Stellar Kinematics",POWER(Upgrades!$U$20,L307),1)*IF(Upgrades!$T$21="Stellar Kinematics",POWER(Upgrades!$U$21,M307),1))*$F$6/AK307,0)</f>
        <v/>
      </c>
      <c r="AZ307" s="32">
        <f>IFERROR(Upgrades!$H$14*(POWER(Upgrades!$P$13,E307)*POWER(Upgrades!$P$14,F307)*POWER(Upgrades!$P$15,G307)*POWER(Upgrades!$P$16,H307)*POWER(Upgrades!$P$17,I307)*POWER(Upgrades!$P$18,J307)*POWER(Upgrades!$P$19,K307)*POWER(Upgrades!$P$20,L307)*POWER(Upgrades!$P$21,M307))*(IF(Upgrades!$T$13="Local Bubble",POWER(Upgrades!$U$13,E307),1)*IF(Upgrades!$T$15="Local Bubble",POWER(Upgrades!$U$15,G307),1)*IF(Upgrades!$T$16="Local Bubble",POWER(Upgrades!$U$16,H307),1)*IF(Upgrades!$T$17="Local Bubble",POWER(Upgrades!$U$17,I307),1)*IF(Upgrades!$T$18="Local Bubble",POWER(Upgrades!$U$18,J307),1)*IF(Upgrades!$T$19="Local Bubble",POWER(Upgrades!$U$19,K307),1)*IF(Upgrades!$T$20="Local Bubble",POWER(Upgrades!$U$20,L307),1)*IF(Upgrades!$T$21="Local Bubble",POWER(Upgrades!$U$21,M307),1))*$F$6/AL307,0)</f>
        <v/>
      </c>
      <c r="BA307" s="32">
        <f>IFERROR(Upgrades!$K$15*(POWER(Upgrades!$Q$13,E307)*POWER(Upgrades!$Q$14,F307)*POWER(Upgrades!$Q$15,G307)*POWER(Upgrades!$Q$16,H307)*POWER(Upgrades!$Q$17,I307)*POWER(Upgrades!$Q$18,J307)*POWER(Upgrades!$Q$19,K307)*POWER(Upgrades!$Q$20,L307)*POWER(Upgrades!$Q$21,M307))*(IF(Upgrades!$T$13="Microlensing",POWER(Upgrades!$U$13,E307),1)*IF(Upgrades!$T$14="Microlensing",POWER(Upgrades!$U$14,F307),1)*IF(Upgrades!$T$16="Microlensing",POWER(Upgrades!$U$16,H307),1)*IF(Upgrades!$T$17="Microlensing",POWER(Upgrades!$U$17,I307),1)*IF(Upgrades!$T$18="Microlensing",POWER(Upgrades!$U$18,J307),1)*IF(Upgrades!$T$19="Microlensing",POWER(Upgrades!$U$19,K307),1)*IF(Upgrades!$T$20="Microlensing",POWER(Upgrades!$U$20,L307),1)*IF(Upgrades!$T$21="Microlensing",POWER(Upgrades!$U$21,M307),1))*$G$6*(Parameters!$B$10/60*Parameters!$B$11+Q307)/AM307,0)</f>
        <v/>
      </c>
      <c r="BB307" s="32">
        <f>IFERROR((Upgrades!$N$16*(POWER(Upgrades!$R$13,E307)*POWER(Upgrades!$R$14,F307)*POWER(Upgrades!$R$15,G307)*POWER(Upgrades!$R$16,H307)*POWER(Upgrades!$R$17,I307)*POWER(Upgrades!$R$18,J307)*POWER(Upgrades!$R$19,K307)*POWER(Upgrades!$R$20,L307)*POWER(Upgrades!$R$21,M307))*(IF(Upgrades!$T$13="Roche Lobe Overflow",POWER(Upgrades!$U$13,E307),1)*IF(Upgrades!$T$14="Roche Lobe Overflow",POWER(Upgrades!$U$14,F307),1)*IF(Upgrades!$T$15="Roche Lobe Overflow",POWER(Upgrades!$U$15,G307),1)*IF(Upgrades!$T$17="Roche Lobe Overflow",POWER(Upgrades!$U$17,I307),1)*IF(Upgrades!$T$18="Roche Lobe Overflow",POWER(Upgrades!$U$18,J307),1)*IF(Upgrades!$T$19="Roche Lobe Overflow",POWER(Upgrades!$U$19,K307),1)*IF(Upgrades!$T$20="Roche Lobe Overflow",POWER(Upgrades!$U$20,L307),1)*IF(Upgrades!$T$21="Roche Lobe Overflow",POWER(Upgrades!$U$21,M307),1))*$H$6*O307+((IF(F307=0,0,(Upgrades!$G$14+F307*Upgrades!$H$14)*POWER(Upgrades!$I$14,F307)))*(IF(Upgrades!$T$13="Local Bubble",POWER(Upgrades!$U$13,E307),1)*IF(Upgrades!$T$15="Local Bubble",POWER(Upgrades!$U$15,G307),1)*IF(Upgrades!$T$16="Local Bubble",POWER(Upgrades!$U$16,H307),1)*IF(Upgrades!$T$17="Local Bubble",POWER(Upgrades!$U$17,I307),1)*IF(Upgrades!$T$18="Local Bubble",POWER(Upgrades!$U$18,J307),1)*IF(Upgrades!$T$19="Local Bubble",POWER(Upgrades!$U$19,K307),1)*IF(Upgrades!$T$20="Local Bubble",POWER(Upgrades!$U$20,L307),1)*IF(Upgrades!$T$21="Local Bubble",POWER(Upgrades!$U$21,M307),1))*POWER(Upgrades!$P$13,E307)*POWER(Upgrades!$P$14,F307)*POWER(Upgrades!$P$15,G307)*POWER(Upgrades!$P$16,H307)*POWER(Upgrades!$P$17,I307)*POWER(Upgrades!$P$18,J307)*POWER(Upgrades!$P$19,K307)*POWER(Upgrades!$P$20,L307)*POWER(Upgrades!$P$21,M307)*$F$6)*0.05)/AN307,0)</f>
        <v/>
      </c>
      <c r="BC307" s="32">
        <f>IFERROR((Upgrades!$H$17*(POWER(Upgrades!$P$13,E307)*POWER(Upgrades!$P$14,F307)*POWER(Upgrades!$P$15,G307)*POWER(Upgrades!$P$16,H307)*POWER(Upgrades!$P$17,I307)*POWER(Upgrades!$P$18,J307)*POWER(Upgrades!$P$19,K307)*POWER(Upgrades!$P$20,L307)*POWER(Upgrades!$P$21,M307))*(IF(Upgrades!$T$13="Brown Dwarf",POWER(Upgrades!$U$13,E307),1)*IF(Upgrades!$T$14="Brown Dwarf",POWER(Upgrades!$U$14,F307),1)*IF(Upgrades!$T$15="Brown Dwarf",POWER(Upgrades!$U$15,G307),1)*IF(Upgrades!$T$16="Brown Dwarf",POWER(Upgrades!$U$16,H307),1)*IF(Upgrades!$T$18="Brown Dwarf",POWER(Upgrades!$U$18,J307),1)*IF(Upgrades!$T$19="Brown Dwarf",POWER(Upgrades!$U$19,K307),1)*IF(Upgrades!$T$20="Brown Dwarf",POWER(Upgrades!$U$20,L307),1)*IF(Upgrades!$T$21="Brown Dwarf",POWER(Upgrades!$U$21,M307),1))*$F$6+(((IF(H307=0,0,(Upgrades!$M$16+H307*Upgrades!$N$16)*POWER(Upgrades!$O$16,H307)))*(IF(Upgrades!$T$13="Roche Lobe Overflow",POWER(Upgrades!$U$13,E307),1)*IF(Upgrades!$T$14="Roche Lobe Overflow",POWER(Upgrades!$U$14,F307),1)*IF(Upgrades!$T$15="Roche Lobe Overflow",POWER(Upgrades!$U$15,G307),1)*IF(Upgrades!$T$17="Roche Lobe Overflow",POWER(Upgrades!$U$17,I307),1)*IF(Upgrades!$T$18="Roche Lobe Overflow",POWER(Upgrades!$U$18,J307),1)*IF(Upgrades!$T$19="Roche Lobe Overflow",POWER(Upgrades!$U$19,K307),1)*IF(Upgrades!$T$20="Roche Lobe Overflow",POWER(Upgrades!$U$20,L307),1)*IF(Upgrades!$T$21="Roche Lobe Overflow",POWER(Upgrades!$U$21,M307),1))*POWER(Upgrades!$R$13,E307)*POWER(Upgrades!$R$14,F307)*POWER(Upgrades!$R$15,G307)*POWER(Upgrades!$R$16,H307)*POWER(Upgrades!$R$17,I307)*POWER(Upgrades!$R$18,J307)*POWER(Upgrades!$R$19,K307)*POWER(Upgrades!$R$20,L307)*POWER(Upgrades!$R$21,M307)*$H$6)*O307)*0.10)/AO307,0)</f>
        <v/>
      </c>
      <c r="BD307" s="32">
        <f>MAX(IF(J307&gt;0,0,IFERROR(0.5*((IF(G307=0,0,(Upgrades!$J$15+G307*Upgrades!$K$15)*POWER(Upgrades!$L$15,G307)))*(IF(Upgrades!$T$13="Microlensing",POWER(Upgrades!$U$13,E307),1)*IF(Upgrades!$T$14="Microlensing",POWER(Upgrades!$U$14,F307),1)*IF(Upgrades!$T$16="Microlensing",POWER(Upgrades!$U$16,H307),1)*IF(Upgrades!$T$17="Microlensing",POWER(Upgrades!$U$17,I307),1)*IF(Upgrades!$T$18="Microlensing",POWER(Upgrades!$U$18,J307),1)*IF(Upgrades!$T$19="Microlensing",POWER(Upgrades!$U$19,K307),1)*IF(Upgrades!$T$20="Microlensing",POWER(Upgrades!$U$20,L307),1)*IF(Upgrades!$T$21="Microlensing",POWER(Upgrades!$U$21,M307),1))*(POWER(Upgrades!$Q$13,E307)*POWER(Upgrades!$Q$14,F307)*POWER(Upgrades!$Q$15,G307)*POWER(Upgrades!$Q$16,H307)*POWER(Upgrades!$Q$17,I307)*POWER(Upgrades!$Q$18,J307)*POWER(Upgrades!$Q$19,K307)*POWER(Upgrades!$Q$20,L307)*POWER(Upgrades!$Q$21,M307))*$G$6*(Parameters!$B$10/60*Parameters!$B$11+Q307))/Upgrades!$C$18,0)),IF(K307&gt;0,0,IFERROR(0.30*P307/Upgrades!$C$19,0)),IF(L307&gt;0,0,IFERROR(0.0001/Upgrades!$C$20,0)),IF(M307&gt;0,0,IFERROR((6.0*(POWER(Upgrades!$P$13,E307)*POWER(Upgrades!$P$14,F307)*POWER(Upgrades!$P$15,G307)*POWER(Upgrades!$P$16,H307)*POWER(Upgrades!$P$17,I307)*POWER(Upgrades!$P$18,J307)*POWER(Upgrades!$P$19,K307)*POWER(Upgrades!$P$20,L307)*POWER(Upgrades!$P$21,M307))*$F$6+0.20*O307*(Parameters!$B$10/60*Parameters!$B$11+Q307))/Upgrades!$C$21,0)),IF(AND(ISNUMBER(AK307),AK307&gt;(C307+T307)),AY307,0),IF(AND(ISNUMBER(AL307),AL307&gt;(C307+T307)),AZ307,0),IF(AND(ISNUMBER(AM307),AM307&gt;(C307+T307)),BA307,0),IF(AND(ISNUMBER(AN307),AN307&gt;(C307+T307)),BB307,0),IF(AND(ISNUMBER(AO307),AO307&gt;(C307+T307)),BC307,0))</f>
        <v/>
      </c>
      <c r="BE307" s="29">
        <f>IF(AT307=1,"transition",IF(MIN(IF(AND(J307=0,ISNUMBER(AP307),AP307&lt;=(C307+T307)),AP307,9E15),IF(AND(K307=0,ISNUMBER(AQ307),AQ307&lt;=(C307+T307)),AQ307,9E15),IF(AND(L307=0,ISNUMBER(AR307),AR307&lt;=(C307+T307)),AR307,9E15),IF(AND(M307=0,ISNUMBER(AS307),AS307&lt;=(C307+T307)),AS307,9E15))&lt;9E15,IF(AND(AND(J307=0,ISNUMBER(AP307),AP307&lt;=(C307+T307)),AP307=MIN(IF(AND(J307=0,ISNUMBER(AP307),AP307&lt;=(C307+T307)),AP307,9E15),IF(AND(K307=0,ISNUMBER(AQ307),AQ307&lt;=(C307+T307)),AQ307,9E15),IF(AND(L307=0,ISNUMBER(AR307),AR307&lt;=(C307+T307)),AR307,9E15),IF(AND(M307=0,ISNUMBER(AS307),AS307&lt;=(C307+T307)),AS307,9E15))),"BiP",IF(AND(AND(K307=0,ISNUMBER(AQ307),AQ307&lt;=(C307+T307)),AQ307=MIN(IF(AND(J307=0,ISNUMBER(AP307),AP307&lt;=(C307+T307)),AP307,9E15),IF(AND(K307=0,ISNUMBER(AQ307),AQ307&lt;=(C307+T307)),AQ307,9E15),IF(AND(L307=0,ISNUMBER(AR307),AR307&lt;=(C307+T307)),AR307,9E15),IF(AND(M307=0,ISNUMBER(AS307),AS307&lt;=(C307+T307)),AS307,9E15))),"PV",IF(AND(AND(L307=0,ISNUMBER(AR307),AR307&lt;=(C307+T307)),AR307=MIN(IF(AND(J307=0,ISNUMBER(AP307),AP307&lt;=(C307+T307)),AP307,9E15),IF(AND(K307=0,ISNUMBER(AQ307),AQ307&lt;=(C307+T307)),AQ307,9E15),IF(AND(L307=0,ISNUMBER(AR307),AR307&lt;=(C307+T307)),AR307,9E15),IF(AND(M307=0,ISNUMBER(AS307),AS307&lt;=(C307+T307)),AS307,9E15))),"OC","MG"))),IF(AX307=TRUE,"",IF(MAX(IF(AND(NOT(AND(AU307=1,AT307&lt;&gt;1)),ISNUMBER(AK307),AK307&lt;=(C307+T307)),AY307,0),IF(AND(NOT(AND(AU307=1,AT307&lt;&gt;1)),ISNUMBER(AL307),AL307&lt;=(C307+T307)),AZ307,0),IF(AND(NOT(AND(AU307=1,AT307&lt;&gt;1)),ISNUMBER(AM307),AM307&lt;=(C307+T307)),BA307,0),IF(AND(NOT(AND(AU307=1,AT307&lt;&gt;1)),ISNUMBER(AN307),AN307&lt;=(C307+T307)),BB307,0),IF(AND(ISNUMBER(AO307),AO307&lt;=(C307+T307)),BC307,0))&lt;=0,"",IF(AND(IF(AND(NOT(AND(AU307=1,AT307&lt;&gt;1)),ISNUMBER(AK307),AK307&lt;=(C307+T307)),AY307,0)&gt;0,IF(AND(NOT(AND(AU307=1,AT307&lt;&gt;1)),ISNUMBER(AK307),AK307&lt;=(C307+T307)),AY307,0)=MAX(IF(AND(NOT(AND(AU307=1,AT307&lt;&gt;1)),ISNUMBER(AK307),AK307&lt;=(C307+T307)),AY307,0),IF(AND(NOT(AND(AU307=1,AT307&lt;&gt;1)),ISNUMBER(AL307),AL307&lt;=(C307+T307)),AZ307,0),IF(AND(NOT(AND(AU307=1,AT307&lt;&gt;1)),ISNUMBER(AM307),AM307&lt;=(C307+T307)),BA307,0),IF(AND(NOT(AND(AU307=1,AT307&lt;&gt;1)),ISNUMBER(AN307),AN307&lt;=(C307+T307)),BB307,0),IF(AND(ISNUMBER(AO307),AO307&lt;=(C307+T307)),BC307,0))),"SK",IF(AND(IF(AND(NOT(AND(AU307=1,AT307&lt;&gt;1)),ISNUMBER(AL307),AL307&lt;=(C307+T307)),AZ307,0)&gt;0,IF(AND(NOT(AND(AU307=1,AT307&lt;&gt;1)),ISNUMBER(AL307),AL307&lt;=(C307+T307)),AZ307,0)=MAX(IF(AND(NOT(AND(AU307=1,AT307&lt;&gt;1)),ISNUMBER(AK307),AK307&lt;=(C307+T307)),AY307,0),IF(AND(NOT(AND(AU307=1,AT307&lt;&gt;1)),ISNUMBER(AL307),AL307&lt;=(C307+T307)),AZ307,0),IF(AND(NOT(AND(AU307=1,AT307&lt;&gt;1)),ISNUMBER(AM307),AM307&lt;=(C307+T307)),BA307,0),IF(AND(NOT(AND(AU307=1,AT307&lt;&gt;1)),ISNUMBER(AN307),AN307&lt;=(C307+T307)),BB307,0),IF(AND(ISNUMBER(AO307),AO307&lt;=(C307+T307)),BC307,0))),"LB",IF(AND(IF(AND(NOT(AND(AU307=1,AT307&lt;&gt;1)),ISNUMBER(AM307),AM307&lt;=(C307+T307)),BA307,0)&gt;0,IF(AND(NOT(AND(AU307=1,AT307&lt;&gt;1)),ISNUMBER(AM307),AM307&lt;=(C307+T307)),BA307,0)=MAX(IF(AND(NOT(AND(AU307=1,AT307&lt;&gt;1)),ISNUMBER(AK307),AK307&lt;=(C307+T307)),AY307,0),IF(AND(NOT(AND(AU307=1,AT307&lt;&gt;1)),ISNUMBER(AL307),AL307&lt;=(C307+T307)),AZ307,0),IF(AND(NOT(AND(AU307=1,AT307&lt;&gt;1)),ISNUMBER(AM307),AM307&lt;=(C307+T307)),BA307,0),IF(AND(NOT(AND(AU307=1,AT307&lt;&gt;1)),ISNUMBER(AN307),AN307&lt;=(C307+T307)),BB307,0),IF(AND(ISNUMBER(AO307),AO307&lt;=(C307+T307)),BC307,0))),"ML",IF(AND(IF(AND(NOT(AND(AU307=1,AT307&lt;&gt;1)),ISNUMBER(AN307),AN307&lt;=(C307+T307)),BB307,0)&gt;0,IF(AND(NOT(AND(AU307=1,AT307&lt;&gt;1)),ISNUMBER(AN307),AN307&lt;=(C307+T307)),BB307,0)=MAX(IF(AND(NOT(AND(AU307=1,AT307&lt;&gt;1)),ISNUMBER(AK307),AK307&lt;=(C307+T307)),AY307,0),IF(AND(NOT(AND(AU307=1,AT307&lt;&gt;1)),ISNUMBER(AL307),AL307&lt;=(C307+T307)),AZ307,0),IF(AND(NOT(AND(AU307=1,AT307&lt;&gt;1)),ISNUMBER(AM307),AM307&lt;=(C307+T307)),BA307,0),IF(AND(NOT(AND(AU307=1,AT307&lt;&gt;1)),ISNUMBER(AN307),AN307&lt;=(C307+T307)),BB307,0),IF(AND(ISNUMBER(AO307),AO307&lt;=(C307+T307)),BC307,0))),"RLO","BD"))))))))</f>
        <v/>
      </c>
    </row>
    <row r="308">
      <c r="A308" s="26" t="n">
        <v>297</v>
      </c>
      <c r="B308" s="27">
        <f>A308*10/60</f>
        <v/>
      </c>
      <c r="C308" s="22">
        <f>X307</f>
        <v/>
      </c>
      <c r="D308" s="27">
        <f>D307+W307</f>
        <v/>
      </c>
      <c r="E308" s="26">
        <f>E307+IF(U307="SK",1,0)</f>
        <v/>
      </c>
      <c r="F308" s="26">
        <f>F307+IF(U307="LB",1,0)</f>
        <v/>
      </c>
      <c r="G308" s="26">
        <f>G307+IF(U307="ML",1,0)</f>
        <v/>
      </c>
      <c r="H308" s="26">
        <f>H307+IF(U307="RLO",1,0)</f>
        <v/>
      </c>
      <c r="I308" s="26">
        <f>I307+IF(U307="BD",1,0)</f>
        <v/>
      </c>
      <c r="J308" s="26">
        <f>MAX(J307,IF(U307="BiP",1,0))</f>
        <v/>
      </c>
      <c r="K308" s="26">
        <f>MAX(K307,IF(U307="PV",1,0))</f>
        <v/>
      </c>
      <c r="L308" s="26">
        <f>MAX(L307,IF(U307="OC",1,0))</f>
        <v/>
      </c>
      <c r="M308" s="26">
        <f>MAX(M307,IF(U307="MG",1,0))</f>
        <v/>
      </c>
      <c r="N308" s="26">
        <f>MAX(N307,IF(U307="transition",1,0))</f>
        <v/>
      </c>
      <c r="O308" s="28">
        <f>(Parameters!$B$9+(IF(E308=0,0,(Upgrades!$J$13+E308*Upgrades!$K$13)*POWER(Upgrades!$L$13,E308)))*(IF(Upgrades!$T$14="Stellar Kinematics",POWER(Upgrades!$U$14,F308),1)*IF(Upgrades!$T$15="Stellar Kinematics",POWER(Upgrades!$U$15,G308),1)*IF(Upgrades!$T$16="Stellar Kinematics",POWER(Upgrades!$U$16,H308),1)*IF(Upgrades!$T$17="Stellar Kinematics",POWER(Upgrades!$U$17,I308),1)*IF(Upgrades!$T$18="Stellar Kinematics",POWER(Upgrades!$U$18,J308),1)*IF(Upgrades!$T$19="Stellar Kinematics",POWER(Upgrades!$U$19,K308),1)*IF(Upgrades!$T$20="Stellar Kinematics",POWER(Upgrades!$U$20,L308),1)*IF(Upgrades!$T$21="Stellar Kinematics",POWER(Upgrades!$U$21,M308),1))+(IF(F308=0,0,(Upgrades!$J$14+F308*Upgrades!$K$14)*POWER(Upgrades!$L$14,F308)))*(IF(Upgrades!$T$13="Local Bubble",POWER(Upgrades!$U$13,E308),1)*IF(Upgrades!$T$15="Local Bubble",POWER(Upgrades!$U$15,G308),1)*IF(Upgrades!$T$16="Local Bubble",POWER(Upgrades!$U$16,H308),1)*IF(Upgrades!$T$17="Local Bubble",POWER(Upgrades!$U$17,I308),1)*IF(Upgrades!$T$18="Local Bubble",POWER(Upgrades!$U$18,J308),1)*IF(Upgrades!$T$19="Local Bubble",POWER(Upgrades!$U$19,K308),1)*IF(Upgrades!$T$20="Local Bubble",POWER(Upgrades!$U$20,L308),1)*IF(Upgrades!$T$21="Local Bubble",POWER(Upgrades!$U$21,M308),1))+(IF(G308=0,0,(Upgrades!$J$15+G308*Upgrades!$K$15)*POWER(Upgrades!$L$15,G308)))*(IF(Upgrades!$T$13="Microlensing",POWER(Upgrades!$U$13,E308),1)*IF(Upgrades!$T$14="Microlensing",POWER(Upgrades!$U$14,F308),1)*IF(Upgrades!$T$16="Microlensing",POWER(Upgrades!$U$16,H308),1)*IF(Upgrades!$T$17="Microlensing",POWER(Upgrades!$U$17,I308),1)*IF(Upgrades!$T$18="Microlensing",POWER(Upgrades!$U$18,J308),1)*IF(Upgrades!$T$19="Microlensing",POWER(Upgrades!$U$19,K308),1)*IF(Upgrades!$T$20="Microlensing",POWER(Upgrades!$U$20,L308),1)*IF(Upgrades!$T$21="Microlensing",POWER(Upgrades!$U$21,M308),1))+(IF(H308=0,0,(Upgrades!$J$16+H308*Upgrades!$K$16)*POWER(Upgrades!$L$16,H308)))*(IF(Upgrades!$T$13="Roche Lobe Overflow",POWER(Upgrades!$U$13,E308),1)*IF(Upgrades!$T$14="Roche Lobe Overflow",POWER(Upgrades!$U$14,F308),1)*IF(Upgrades!$T$15="Roche Lobe Overflow",POWER(Upgrades!$U$15,G308),1)*IF(Upgrades!$T$17="Roche Lobe Overflow",POWER(Upgrades!$U$17,I308),1)*IF(Upgrades!$T$18="Roche Lobe Overflow",POWER(Upgrades!$U$18,J308),1)*IF(Upgrades!$T$19="Roche Lobe Overflow",POWER(Upgrades!$U$19,K308),1)*IF(Upgrades!$T$20="Roche Lobe Overflow",POWER(Upgrades!$U$20,L308),1)*IF(Upgrades!$T$21="Roche Lobe Overflow",POWER(Upgrades!$U$21,M308),1))+(IF(I308=0,0,(Upgrades!$J$17+I308*Upgrades!$K$17)*POWER(Upgrades!$L$17,I308)))*(IF(Upgrades!$T$13="Brown Dwarf",POWER(Upgrades!$U$13,E308),1)*IF(Upgrades!$T$14="Brown Dwarf",POWER(Upgrades!$U$14,F308),1)*IF(Upgrades!$T$15="Brown Dwarf",POWER(Upgrades!$U$15,G308),1)*IF(Upgrades!$T$16="Brown Dwarf",POWER(Upgrades!$U$16,H308),1)*IF(Upgrades!$T$18="Brown Dwarf",POWER(Upgrades!$U$18,J308),1)*IF(Upgrades!$T$19="Brown Dwarf",POWER(Upgrades!$U$19,K308),1)*IF(Upgrades!$T$20="Brown Dwarf",POWER(Upgrades!$U$20,L308),1)*IF(Upgrades!$T$21="Brown Dwarf",POWER(Upgrades!$U$21,M308),1))+(IF(J308=0,0,(Upgrades!$J$18+J308*Upgrades!$K$18)*POWER(Upgrades!$L$18,J308)))*(IF(Upgrades!$T$13="Binary Partner",POWER(Upgrades!$U$13,E308),1)*IF(Upgrades!$T$14="Binary Partner",POWER(Upgrades!$U$14,F308),1)*IF(Upgrades!$T$15="Binary Partner",POWER(Upgrades!$U$15,G308),1)*IF(Upgrades!$T$16="Binary Partner",POWER(Upgrades!$U$16,H308),1)*IF(Upgrades!$T$17="Binary Partner",POWER(Upgrades!$U$17,I308),1)*IF(Upgrades!$T$19="Binary Partner",POWER(Upgrades!$U$19,K308),1)*IF(Upgrades!$T$20="Binary Partner",POWER(Upgrades!$U$20,L308),1)*IF(Upgrades!$T$21="Binary Partner",POWER(Upgrades!$U$21,M308),1))+(IF(K308=0,0,(Upgrades!$J$19+K308*Upgrades!$K$19)*POWER(Upgrades!$L$19,K308)))*(IF(Upgrades!$T$13="Peculiar Velocity",POWER(Upgrades!$U$13,E308),1)*IF(Upgrades!$T$14="Peculiar Velocity",POWER(Upgrades!$U$14,F308),1)*IF(Upgrades!$T$15="Peculiar Velocity",POWER(Upgrades!$U$15,G308),1)*IF(Upgrades!$T$16="Peculiar Velocity",POWER(Upgrades!$U$16,H308),1)*IF(Upgrades!$T$17="Peculiar Velocity",POWER(Upgrades!$U$17,I308),1)*IF(Upgrades!$T$18="Peculiar Velocity",POWER(Upgrades!$U$18,J308),1)*IF(Upgrades!$T$20="Peculiar Velocity",POWER(Upgrades!$U$20,L308),1)*IF(Upgrades!$T$21="Peculiar Velocity",POWER(Upgrades!$U$21,M308),1))+(IF(L308=0,0,(Upgrades!$J$20+L308*Upgrades!$K$20)*POWER(Upgrades!$L$20,L308)))*(IF(Upgrades!$T$13="Open Cluster",POWER(Upgrades!$U$13,E308),1)*IF(Upgrades!$T$14="Open Cluster",POWER(Upgrades!$U$14,F308),1)*IF(Upgrades!$T$15="Open Cluster",POWER(Upgrades!$U$15,G308),1)*IF(Upgrades!$T$16="Open Cluster",POWER(Upgrades!$U$16,H308),1)*IF(Upgrades!$T$17="Open Cluster",POWER(Upgrades!$U$17,I308),1)*IF(Upgrades!$T$18="Open Cluster",POWER(Upgrades!$U$18,J308),1)*IF(Upgrades!$T$19="Open Cluster",POWER(Upgrades!$U$19,K308),1)*IF(Upgrades!$T$21="Open Cluster",POWER(Upgrades!$U$21,M308),1))+(IF(M308=0,0,(Upgrades!$J$21+M308*Upgrades!$K$21)*POWER(Upgrades!$L$21,M308)))*(IF(Upgrades!$T$13="Moving Group",POWER(Upgrades!$U$13,E308),1)*IF(Upgrades!$T$14="Moving Group",POWER(Upgrades!$U$14,F308),1)*IF(Upgrades!$T$15="Moving Group",POWER(Upgrades!$U$15,G308),1)*IF(Upgrades!$T$16="Moving Group",POWER(Upgrades!$U$16,H308),1)*IF(Upgrades!$T$17="Moving Group",POWER(Upgrades!$U$17,I308),1)*IF(Upgrades!$T$18="Moving Group",POWER(Upgrades!$U$18,J308),1)*IF(Upgrades!$T$19="Moving Group",POWER(Upgrades!$U$19,K308),1)*IF(Upgrades!$T$20="Moving Group",POWER(Upgrades!$U$20,L308),1)))*POWER(Upgrades!$Q$13,E308)*POWER(Upgrades!$Q$14,F308)*POWER(Upgrades!$Q$15,G308)*POWER(Upgrades!$Q$16,H308)*POWER(Upgrades!$Q$17,I308)*POWER(Upgrades!$Q$18,J308)*POWER(Upgrades!$Q$19,K308)*POWER(Upgrades!$Q$20,L308)*POWER(Upgrades!$Q$21,M308)*$G$6+$D$6</f>
        <v/>
      </c>
      <c r="P308" s="28">
        <f>((IF(E308=0,0,(Upgrades!$G$13+E308*Upgrades!$H$13)*POWER(Upgrades!$I$13,E308)))*(IF(Upgrades!$T$14="Stellar Kinematics",POWER(Upgrades!$U$14,F308),1)*IF(Upgrades!$T$15="Stellar Kinematics",POWER(Upgrades!$U$15,G308),1)*IF(Upgrades!$T$16="Stellar Kinematics",POWER(Upgrades!$U$16,H308),1)*IF(Upgrades!$T$17="Stellar Kinematics",POWER(Upgrades!$U$17,I308),1)*IF(Upgrades!$T$18="Stellar Kinematics",POWER(Upgrades!$U$18,J308),1)*IF(Upgrades!$T$19="Stellar Kinematics",POWER(Upgrades!$U$19,K308),1)*IF(Upgrades!$T$20="Stellar Kinematics",POWER(Upgrades!$U$20,L308),1)*IF(Upgrades!$T$21="Stellar Kinematics",POWER(Upgrades!$U$21,M308),1))+(IF(F308=0,0,(Upgrades!$G$14+F308*Upgrades!$H$14)*POWER(Upgrades!$I$14,F308)))*(IF(Upgrades!$T$13="Local Bubble",POWER(Upgrades!$U$13,E308),1)*IF(Upgrades!$T$15="Local Bubble",POWER(Upgrades!$U$15,G308),1)*IF(Upgrades!$T$16="Local Bubble",POWER(Upgrades!$U$16,H308),1)*IF(Upgrades!$T$17="Local Bubble",POWER(Upgrades!$U$17,I308),1)*IF(Upgrades!$T$18="Local Bubble",POWER(Upgrades!$U$18,J308),1)*IF(Upgrades!$T$19="Local Bubble",POWER(Upgrades!$U$19,K308),1)*IF(Upgrades!$T$20="Local Bubble",POWER(Upgrades!$U$20,L308),1)*IF(Upgrades!$T$21="Local Bubble",POWER(Upgrades!$U$21,M308),1))+(IF(G308=0,0,(Upgrades!$G$15+G308*Upgrades!$H$15)*POWER(Upgrades!$I$15,G308)))*(IF(Upgrades!$T$13="Microlensing",POWER(Upgrades!$U$13,E308),1)*IF(Upgrades!$T$14="Microlensing",POWER(Upgrades!$U$14,F308),1)*IF(Upgrades!$T$16="Microlensing",POWER(Upgrades!$U$16,H308),1)*IF(Upgrades!$T$17="Microlensing",POWER(Upgrades!$U$17,I308),1)*IF(Upgrades!$T$18="Microlensing",POWER(Upgrades!$U$18,J308),1)*IF(Upgrades!$T$19="Microlensing",POWER(Upgrades!$U$19,K308),1)*IF(Upgrades!$T$20="Microlensing",POWER(Upgrades!$U$20,L308),1)*IF(Upgrades!$T$21="Microlensing",POWER(Upgrades!$U$21,M308),1))+(IF(H308=0,0,(Upgrades!$G$16+H308*Upgrades!$H$16)*POWER(Upgrades!$I$16,H308)))*(IF(Upgrades!$T$13="Roche Lobe Overflow",POWER(Upgrades!$U$13,E308),1)*IF(Upgrades!$T$14="Roche Lobe Overflow",POWER(Upgrades!$U$14,F308),1)*IF(Upgrades!$T$15="Roche Lobe Overflow",POWER(Upgrades!$U$15,G308),1)*IF(Upgrades!$T$17="Roche Lobe Overflow",POWER(Upgrades!$U$17,I308),1)*IF(Upgrades!$T$18="Roche Lobe Overflow",POWER(Upgrades!$U$18,J308),1)*IF(Upgrades!$T$19="Roche Lobe Overflow",POWER(Upgrades!$U$19,K308),1)*IF(Upgrades!$T$20="Roche Lobe Overflow",POWER(Upgrades!$U$20,L308),1)*IF(Upgrades!$T$21="Roche Lobe Overflow",POWER(Upgrades!$U$21,M308),1))+(IF(I308=0,0,(Upgrades!$G$17+I308*Upgrades!$H$17)*POWER(Upgrades!$I$17,I308)))*(IF(Upgrades!$T$13="Brown Dwarf",POWER(Upgrades!$U$13,E308),1)*IF(Upgrades!$T$14="Brown Dwarf",POWER(Upgrades!$U$14,F308),1)*IF(Upgrades!$T$15="Brown Dwarf",POWER(Upgrades!$U$15,G308),1)*IF(Upgrades!$T$16="Brown Dwarf",POWER(Upgrades!$U$16,H308),1)*IF(Upgrades!$T$18="Brown Dwarf",POWER(Upgrades!$U$18,J308),1)*IF(Upgrades!$T$19="Brown Dwarf",POWER(Upgrades!$U$19,K308),1)*IF(Upgrades!$T$20="Brown Dwarf",POWER(Upgrades!$U$20,L308),1)*IF(Upgrades!$T$21="Brown Dwarf",POWER(Upgrades!$U$21,M308),1))+(IF(J308=0,0,(Upgrades!$G$18+J308*Upgrades!$H$18)*POWER(Upgrades!$I$18,J308)))*(IF(Upgrades!$T$13="Binary Partner",POWER(Upgrades!$U$13,E308),1)*IF(Upgrades!$T$14="Binary Partner",POWER(Upgrades!$U$14,F308),1)*IF(Upgrades!$T$15="Binary Partner",POWER(Upgrades!$U$15,G308),1)*IF(Upgrades!$T$16="Binary Partner",POWER(Upgrades!$U$16,H308),1)*IF(Upgrades!$T$17="Binary Partner",POWER(Upgrades!$U$17,I308),1)*IF(Upgrades!$T$19="Binary Partner",POWER(Upgrades!$U$19,K308),1)*IF(Upgrades!$T$20="Binary Partner",POWER(Upgrades!$U$20,L308),1)*IF(Upgrades!$T$21="Binary Partner",POWER(Upgrades!$U$21,M308),1))+(IF(K308=0,0,(Upgrades!$G$19+K308*Upgrades!$H$19)*POWER(Upgrades!$I$19,K308)))*(IF(Upgrades!$T$13="Peculiar Velocity",POWER(Upgrades!$U$13,E308),1)*IF(Upgrades!$T$14="Peculiar Velocity",POWER(Upgrades!$U$14,F308),1)*IF(Upgrades!$T$15="Peculiar Velocity",POWER(Upgrades!$U$15,G308),1)*IF(Upgrades!$T$16="Peculiar Velocity",POWER(Upgrades!$U$16,H308),1)*IF(Upgrades!$T$17="Peculiar Velocity",POWER(Upgrades!$U$17,I308),1)*IF(Upgrades!$T$18="Peculiar Velocity",POWER(Upgrades!$U$18,J308),1)*IF(Upgrades!$T$20="Peculiar Velocity",POWER(Upgrades!$U$20,L308),1)*IF(Upgrades!$T$21="Peculiar Velocity",POWER(Upgrades!$U$21,M308),1))+(IF(L308=0,0,(Upgrades!$G$20+L308*Upgrades!$H$20)*POWER(Upgrades!$I$20,L308)))*(IF(Upgrades!$T$13="Open Cluster",POWER(Upgrades!$U$13,E308),1)*IF(Upgrades!$T$14="Open Cluster",POWER(Upgrades!$U$14,F308),1)*IF(Upgrades!$T$15="Open Cluster",POWER(Upgrades!$U$15,G308),1)*IF(Upgrades!$T$16="Open Cluster",POWER(Upgrades!$U$16,H308),1)*IF(Upgrades!$T$17="Open Cluster",POWER(Upgrades!$U$17,I308),1)*IF(Upgrades!$T$18="Open Cluster",POWER(Upgrades!$U$18,J308),1)*IF(Upgrades!$T$19="Open Cluster",POWER(Upgrades!$U$19,K308),1)*IF(Upgrades!$T$21="Open Cluster",POWER(Upgrades!$U$21,M308),1))+(IF(M308=0,0,(Upgrades!$G$21+M308*Upgrades!$H$21)*POWER(Upgrades!$I$21,M308)))*(IF(Upgrades!$T$13="Moving Group",POWER(Upgrades!$U$13,E308),1)*IF(Upgrades!$T$14="Moving Group",POWER(Upgrades!$U$14,F308),1)*IF(Upgrades!$T$15="Moving Group",POWER(Upgrades!$U$15,G308),1)*IF(Upgrades!$T$16="Moving Group",POWER(Upgrades!$U$16,H308),1)*IF(Upgrades!$T$17="Moving Group",POWER(Upgrades!$U$17,I308),1)*IF(Upgrades!$T$18="Moving Group",POWER(Upgrades!$U$18,J308),1)*IF(Upgrades!$T$19="Moving Group",POWER(Upgrades!$U$19,K308),1)*IF(Upgrades!$T$20="Moving Group",POWER(Upgrades!$U$20,L308),1)))*POWER(Upgrades!$P$13,E308)*POWER(Upgrades!$P$14,F308)*POWER(Upgrades!$P$15,G308)*POWER(Upgrades!$P$16,H308)*POWER(Upgrades!$P$17,I308)*POWER(Upgrades!$P$18,J308)*POWER(Upgrades!$P$19,K308)*POWER(Upgrades!$P$20,L308)*POWER(Upgrades!$P$21,M308)*$F$6+$C$6</f>
        <v/>
      </c>
      <c r="Q308" s="28">
        <f>((IF(E308=0,0,(Upgrades!$M$13+E308*Upgrades!$N$13)*POWER(Upgrades!$O$13,E308)))*(IF(Upgrades!$T$14="Stellar Kinematics",POWER(Upgrades!$U$14,F308),1)*IF(Upgrades!$T$15="Stellar Kinematics",POWER(Upgrades!$U$15,G308),1)*IF(Upgrades!$T$16="Stellar Kinematics",POWER(Upgrades!$U$16,H308),1)*IF(Upgrades!$T$17="Stellar Kinematics",POWER(Upgrades!$U$17,I308),1)*IF(Upgrades!$T$18="Stellar Kinematics",POWER(Upgrades!$U$18,J308),1)*IF(Upgrades!$T$19="Stellar Kinematics",POWER(Upgrades!$U$19,K308),1)*IF(Upgrades!$T$20="Stellar Kinematics",POWER(Upgrades!$U$20,L308),1)*IF(Upgrades!$T$21="Stellar Kinematics",POWER(Upgrades!$U$21,M308),1))+(IF(F308=0,0,(Upgrades!$M$14+F308*Upgrades!$N$14)*POWER(Upgrades!$O$14,F308)))*(IF(Upgrades!$T$13="Local Bubble",POWER(Upgrades!$U$13,E308),1)*IF(Upgrades!$T$15="Local Bubble",POWER(Upgrades!$U$15,G308),1)*IF(Upgrades!$T$16="Local Bubble",POWER(Upgrades!$U$16,H308),1)*IF(Upgrades!$T$17="Local Bubble",POWER(Upgrades!$U$17,I308),1)*IF(Upgrades!$T$18="Local Bubble",POWER(Upgrades!$U$18,J308),1)*IF(Upgrades!$T$19="Local Bubble",POWER(Upgrades!$U$19,K308),1)*IF(Upgrades!$T$20="Local Bubble",POWER(Upgrades!$U$20,L308),1)*IF(Upgrades!$T$21="Local Bubble",POWER(Upgrades!$U$21,M308),1))+(IF(G308=0,0,(Upgrades!$M$15+G308*Upgrades!$N$15)*POWER(Upgrades!$O$15,G308)))*(IF(Upgrades!$T$13="Microlensing",POWER(Upgrades!$U$13,E308),1)*IF(Upgrades!$T$14="Microlensing",POWER(Upgrades!$U$14,F308),1)*IF(Upgrades!$T$16="Microlensing",POWER(Upgrades!$U$16,H308),1)*IF(Upgrades!$T$17="Microlensing",POWER(Upgrades!$U$17,I308),1)*IF(Upgrades!$T$18="Microlensing",POWER(Upgrades!$U$18,J308),1)*IF(Upgrades!$T$19="Microlensing",POWER(Upgrades!$U$19,K308),1)*IF(Upgrades!$T$20="Microlensing",POWER(Upgrades!$U$20,L308),1)*IF(Upgrades!$T$21="Microlensing",POWER(Upgrades!$U$21,M308),1))+(IF(H308=0,0,(Upgrades!$M$16+H308*Upgrades!$N$16)*POWER(Upgrades!$O$16,H308)))*(IF(Upgrades!$T$13="Roche Lobe Overflow",POWER(Upgrades!$U$13,E308),1)*IF(Upgrades!$T$14="Roche Lobe Overflow",POWER(Upgrades!$U$14,F308),1)*IF(Upgrades!$T$15="Roche Lobe Overflow",POWER(Upgrades!$U$15,G308),1)*IF(Upgrades!$T$17="Roche Lobe Overflow",POWER(Upgrades!$U$17,I308),1)*IF(Upgrades!$T$18="Roche Lobe Overflow",POWER(Upgrades!$U$18,J308),1)*IF(Upgrades!$T$19="Roche Lobe Overflow",POWER(Upgrades!$U$19,K308),1)*IF(Upgrades!$T$20="Roche Lobe Overflow",POWER(Upgrades!$U$20,L308),1)*IF(Upgrades!$T$21="Roche Lobe Overflow",POWER(Upgrades!$U$21,M308),1))+(IF(I308=0,0,(Upgrades!$M$17+I308*Upgrades!$N$17)*POWER(Upgrades!$O$17,I308)))*(IF(Upgrades!$T$13="Brown Dwarf",POWER(Upgrades!$U$13,E308),1)*IF(Upgrades!$T$14="Brown Dwarf",POWER(Upgrades!$U$14,F308),1)*IF(Upgrades!$T$15="Brown Dwarf",POWER(Upgrades!$U$15,G308),1)*IF(Upgrades!$T$16="Brown Dwarf",POWER(Upgrades!$U$16,H308),1)*IF(Upgrades!$T$18="Brown Dwarf",POWER(Upgrades!$U$18,J308),1)*IF(Upgrades!$T$19="Brown Dwarf",POWER(Upgrades!$U$19,K308),1)*IF(Upgrades!$T$20="Brown Dwarf",POWER(Upgrades!$U$20,L308),1)*IF(Upgrades!$T$21="Brown Dwarf",POWER(Upgrades!$U$21,M308),1))+(IF(J308=0,0,(Upgrades!$M$18+J308*Upgrades!$N$18)*POWER(Upgrades!$O$18,J308)))*(IF(Upgrades!$T$13="Binary Partner",POWER(Upgrades!$U$13,E308),1)*IF(Upgrades!$T$14="Binary Partner",POWER(Upgrades!$U$14,F308),1)*IF(Upgrades!$T$15="Binary Partner",POWER(Upgrades!$U$15,G308),1)*IF(Upgrades!$T$16="Binary Partner",POWER(Upgrades!$U$16,H308),1)*IF(Upgrades!$T$17="Binary Partner",POWER(Upgrades!$U$17,I308),1)*IF(Upgrades!$T$19="Binary Partner",POWER(Upgrades!$U$19,K308),1)*IF(Upgrades!$T$20="Binary Partner",POWER(Upgrades!$U$20,L308),1)*IF(Upgrades!$T$21="Binary Partner",POWER(Upgrades!$U$21,M308),1))+(IF(K308=0,0,(Upgrades!$M$19+K308*Upgrades!$N$19)*POWER(Upgrades!$O$19,K308)))*(IF(Upgrades!$T$13="Peculiar Velocity",POWER(Upgrades!$U$13,E308),1)*IF(Upgrades!$T$14="Peculiar Velocity",POWER(Upgrades!$U$14,F308),1)*IF(Upgrades!$T$15="Peculiar Velocity",POWER(Upgrades!$U$15,G308),1)*IF(Upgrades!$T$16="Peculiar Velocity",POWER(Upgrades!$U$16,H308),1)*IF(Upgrades!$T$17="Peculiar Velocity",POWER(Upgrades!$U$17,I308),1)*IF(Upgrades!$T$18="Peculiar Velocity",POWER(Upgrades!$U$18,J308),1)*IF(Upgrades!$T$20="Peculiar Velocity",POWER(Upgrades!$U$20,L308),1)*IF(Upgrades!$T$21="Peculiar Velocity",POWER(Upgrades!$U$21,M308),1))+(IF(L308=0,0,(Upgrades!$M$20+L308*Upgrades!$N$20)*POWER(Upgrades!$O$20,L308)))*(IF(Upgrades!$T$13="Open Cluster",POWER(Upgrades!$U$13,E308),1)*IF(Upgrades!$T$14="Open Cluster",POWER(Upgrades!$U$14,F308),1)*IF(Upgrades!$T$15="Open Cluster",POWER(Upgrades!$U$15,G308),1)*IF(Upgrades!$T$16="Open Cluster",POWER(Upgrades!$U$16,H308),1)*IF(Upgrades!$T$17="Open Cluster",POWER(Upgrades!$U$17,I308),1)*IF(Upgrades!$T$18="Open Cluster",POWER(Upgrades!$U$18,J308),1)*IF(Upgrades!$T$19="Open Cluster",POWER(Upgrades!$U$19,K308),1)*IF(Upgrades!$T$21="Open Cluster",POWER(Upgrades!$U$21,M308),1))+(IF(M308=0,0,(Upgrades!$M$21+M308*Upgrades!$N$21)*POWER(Upgrades!$O$21,M308)))*(IF(Upgrades!$T$13="Moving Group",POWER(Upgrades!$U$13,E308),1)*IF(Upgrades!$T$14="Moving Group",POWER(Upgrades!$U$14,F308),1)*IF(Upgrades!$T$15="Moving Group",POWER(Upgrades!$U$15,G308),1)*IF(Upgrades!$T$16="Moving Group",POWER(Upgrades!$U$16,H308),1)*IF(Upgrades!$T$17="Moving Group",POWER(Upgrades!$U$17,I308),1)*IF(Upgrades!$T$18="Moving Group",POWER(Upgrades!$U$18,J308),1)*IF(Upgrades!$T$19="Moving Group",POWER(Upgrades!$U$19,K308),1)*IF(Upgrades!$T$20="Moving Group",POWER(Upgrades!$U$20,L308),1)))*POWER(Upgrades!$R$13,E308)*POWER(Upgrades!$R$14,F308)*POWER(Upgrades!$R$15,G308)*POWER(Upgrades!$R$16,H308)*POWER(Upgrades!$R$17,I308)*POWER(Upgrades!$R$18,J308)*POWER(Upgrades!$R$19,K308)*POWER(Upgrades!$R$20,L308)*POWER(Upgrades!$R$21,M308)*$H$6+$E$6</f>
        <v/>
      </c>
      <c r="R308" s="27">
        <f>IF(N308=1,0,O308*Parameters!$B$10/60*Parameters!$B$11*10)</f>
        <v/>
      </c>
      <c r="S308" s="27">
        <f>IF(N308=1,0,Q308*O308*10)</f>
        <v/>
      </c>
      <c r="T308" s="27">
        <f>IF(N308=1,0,R308+S308+P308*10)</f>
        <v/>
      </c>
      <c r="U308" s="33">
        <f>BE308</f>
        <v/>
      </c>
      <c r="V308" s="22">
        <f>IF(U308="",0,IF(U308="transition",0,IF(U308="SK",AK308,IF(U308="LB",AL308,IF(U308="ML",AM308,IF(U308="RLO",AN308,IF(U308="BD",AO308,IF(U308="BiP",AP308,IF(U308="PV",AQ308,IF(U308="OC",AR308,IF(U308="MG",AS308,0))))))))))</f>
        <v/>
      </c>
      <c r="W308" s="27">
        <f>IF(U308="BiP",Upgrades!$F$18,IF(U308="PV",Upgrades!$F$19,IF(U308="OC",Upgrades!$F$20,IF(U308="MG",Upgrades!$F$21,IF(U308="transition",-Parameters!$B$18*Parameters!$B$19,0)))))</f>
        <v/>
      </c>
      <c r="X308" s="22">
        <f>C308+T308-V308</f>
        <v/>
      </c>
      <c r="Y308" s="30">
        <f>O308*Parameters!$B$10/60*Parameters!$B$11+Q308*O308+P308</f>
        <v/>
      </c>
      <c r="Z308" s="34">
        <f>IF(U308="transition","→ Tier 3 (Galactic Arm)",IF(U308="MG","Moving Group — pocket drifts together",IF(U308="OC","Open Cluster acquired",IF(U308="PV","Peculiar Velocity — passive multiplier active",IF(U308="BiP","Binary Partner — pair bond formed",IF(AND(AU308=1,N308=0,AT308&lt;&gt;1),"Cohesion ready (waiting on completionists)","")))))) </f>
        <v/>
      </c>
      <c r="AA308" s="27">
        <f>(IF(E308=0,0,(Upgrades!$G$13+E308*Upgrades!$H$13)*POWER(Upgrades!$I$13,E308)))*(IF(Upgrades!$T$14="Stellar Kinematics",POWER(Upgrades!$U$14,F308),1)*IF(Upgrades!$T$15="Stellar Kinematics",POWER(Upgrades!$U$15,G308),1)*IF(Upgrades!$T$16="Stellar Kinematics",POWER(Upgrades!$U$16,H308),1)*IF(Upgrades!$T$17="Stellar Kinematics",POWER(Upgrades!$U$17,I308),1)*IF(Upgrades!$T$18="Stellar Kinematics",POWER(Upgrades!$U$18,J308),1)*IF(Upgrades!$T$19="Stellar Kinematics",POWER(Upgrades!$U$19,K308),1)*IF(Upgrades!$T$20="Stellar Kinematics",POWER(Upgrades!$U$20,L308),1)*IF(Upgrades!$T$21="Stellar Kinematics",POWER(Upgrades!$U$21,M308),1))*POWER(Upgrades!$P$13,E308)*POWER(Upgrades!$P$14,F308)*POWER(Upgrades!$P$15,G308)*POWER(Upgrades!$P$16,H308)*POWER(Upgrades!$P$17,I308)*POWER(Upgrades!$P$18,J308)*POWER(Upgrades!$P$19,K308)*POWER(Upgrades!$P$20,L308)*POWER(Upgrades!$P$21,M308)*$F$6*60</f>
        <v/>
      </c>
      <c r="AB308" s="27">
        <f>(IF(F308=0,0,(Upgrades!$G$14+F308*Upgrades!$H$14)*POWER(Upgrades!$I$14,F308)))*(IF(Upgrades!$T$13="Local Bubble",POWER(Upgrades!$U$13,E308),1)*IF(Upgrades!$T$15="Local Bubble",POWER(Upgrades!$U$15,G308),1)*IF(Upgrades!$T$16="Local Bubble",POWER(Upgrades!$U$16,H308),1)*IF(Upgrades!$T$17="Local Bubble",POWER(Upgrades!$U$17,I308),1)*IF(Upgrades!$T$18="Local Bubble",POWER(Upgrades!$U$18,J308),1)*IF(Upgrades!$T$19="Local Bubble",POWER(Upgrades!$U$19,K308),1)*IF(Upgrades!$T$20="Local Bubble",POWER(Upgrades!$U$20,L308),1)*IF(Upgrades!$T$21="Local Bubble",POWER(Upgrades!$U$21,M308),1))*POWER(Upgrades!$P$13,E308)*POWER(Upgrades!$P$14,F308)*POWER(Upgrades!$P$15,G308)*POWER(Upgrades!$P$16,H308)*POWER(Upgrades!$P$17,I308)*POWER(Upgrades!$P$18,J308)*POWER(Upgrades!$P$19,K308)*POWER(Upgrades!$P$20,L308)*POWER(Upgrades!$P$21,M308)*$F$6*60</f>
        <v/>
      </c>
      <c r="AC308" s="27">
        <f>(IF(G308=0,0,(Upgrades!$J$15+G308*Upgrades!$K$15)*POWER(Upgrades!$L$15,G308)))*(IF(Upgrades!$T$13="Microlensing",POWER(Upgrades!$U$13,E308),1)*IF(Upgrades!$T$14="Microlensing",POWER(Upgrades!$U$14,F308),1)*IF(Upgrades!$T$16="Microlensing",POWER(Upgrades!$U$16,H308),1)*IF(Upgrades!$T$17="Microlensing",POWER(Upgrades!$U$17,I308),1)*IF(Upgrades!$T$18="Microlensing",POWER(Upgrades!$U$18,J308),1)*IF(Upgrades!$T$19="Microlensing",POWER(Upgrades!$U$19,K308),1)*IF(Upgrades!$T$20="Microlensing",POWER(Upgrades!$U$20,L308),1)*IF(Upgrades!$T$21="Microlensing",POWER(Upgrades!$U$21,M308),1))*POWER(Upgrades!$Q$13,E308)*POWER(Upgrades!$Q$14,F308)*POWER(Upgrades!$Q$15,G308)*POWER(Upgrades!$Q$16,H308)*POWER(Upgrades!$Q$17,I308)*POWER(Upgrades!$Q$18,J308)*POWER(Upgrades!$Q$19,K308)*POWER(Upgrades!$Q$20,L308)*POWER(Upgrades!$Q$21,M308)*$G$6*(Parameters!$B$10*Parameters!$B$11+Q308*60)</f>
        <v/>
      </c>
      <c r="AD308" s="27">
        <f>(IF(H308=0,0,(Upgrades!$M$16+H308*Upgrades!$N$16)*POWER(Upgrades!$O$16,H308)))*(IF(Upgrades!$T$13="Roche Lobe Overflow",POWER(Upgrades!$U$13,E308),1)*IF(Upgrades!$T$14="Roche Lobe Overflow",POWER(Upgrades!$U$14,F308),1)*IF(Upgrades!$T$15="Roche Lobe Overflow",POWER(Upgrades!$U$15,G308),1)*IF(Upgrades!$T$17="Roche Lobe Overflow",POWER(Upgrades!$U$17,I308),1)*IF(Upgrades!$T$18="Roche Lobe Overflow",POWER(Upgrades!$U$18,J308),1)*IF(Upgrades!$T$19="Roche Lobe Overflow",POWER(Upgrades!$U$19,K308),1)*IF(Upgrades!$T$20="Roche Lobe Overflow",POWER(Upgrades!$U$20,L308),1)*IF(Upgrades!$T$21="Roche Lobe Overflow",POWER(Upgrades!$U$21,M308),1))*POWER(Upgrades!$R$13,E308)*POWER(Upgrades!$R$14,F308)*POWER(Upgrades!$R$15,G308)*POWER(Upgrades!$R$16,H308)*POWER(Upgrades!$R$17,I308)*POWER(Upgrades!$R$18,J308)*POWER(Upgrades!$R$19,K308)*POWER(Upgrades!$R$20,L308)*POWER(Upgrades!$R$21,M308)*$H$6*O308*60</f>
        <v/>
      </c>
      <c r="AE308" s="27">
        <f>(IF(I308=0,0,(Upgrades!$G$17+I308*Upgrades!$H$17)*POWER(Upgrades!$I$17,I308)))*(IF(Upgrades!$T$13="Brown Dwarf",POWER(Upgrades!$U$13,E308),1)*IF(Upgrades!$T$14="Brown Dwarf",POWER(Upgrades!$U$14,F308),1)*IF(Upgrades!$T$15="Brown Dwarf",POWER(Upgrades!$U$15,G308),1)*IF(Upgrades!$T$16="Brown Dwarf",POWER(Upgrades!$U$16,H308),1)*IF(Upgrades!$T$18="Brown Dwarf",POWER(Upgrades!$U$18,J308),1)*IF(Upgrades!$T$19="Brown Dwarf",POWER(Upgrades!$U$19,K308),1)*IF(Upgrades!$T$20="Brown Dwarf",POWER(Upgrades!$U$20,L308),1)*IF(Upgrades!$T$21="Brown Dwarf",POWER(Upgrades!$U$21,M308),1))*POWER(Upgrades!$P$13,E308)*POWER(Upgrades!$P$14,F308)*POWER(Upgrades!$P$15,G308)*POWER(Upgrades!$P$16,H308)*POWER(Upgrades!$P$17,I308)*POWER(Upgrades!$P$18,J308)*POWER(Upgrades!$P$19,K308)*POWER(Upgrades!$P$20,L308)*POWER(Upgrades!$P$21,M308)*$F$6*60</f>
        <v/>
      </c>
      <c r="AF308" s="27" t="n">
        <v>0</v>
      </c>
      <c r="AG308" s="27" t="n">
        <v>0</v>
      </c>
      <c r="AH308" s="27" t="n">
        <v>0</v>
      </c>
      <c r="AI308" s="27">
        <f>(IF(M308=0,0,(Upgrades!$G$21+M308*Upgrades!$H$21)*POWER(Upgrades!$I$21,M308)))*(IF(Upgrades!$T$13="Moving Group",POWER(Upgrades!$U$13,E308),1)*IF(Upgrades!$T$14="Moving Group",POWER(Upgrades!$U$14,F308),1)*IF(Upgrades!$T$15="Moving Group",POWER(Upgrades!$U$15,G308),1)*IF(Upgrades!$T$16="Moving Group",POWER(Upgrades!$U$16,H308),1)*IF(Upgrades!$T$17="Moving Group",POWER(Upgrades!$U$17,I308),1)*IF(Upgrades!$T$18="Moving Group",POWER(Upgrades!$U$18,J308),1)*IF(Upgrades!$T$19="Moving Group",POWER(Upgrades!$U$19,K308),1)*IF(Upgrades!$T$20="Moving Group",POWER(Upgrades!$U$20,L308),1))*POWER(Upgrades!$P$13,E308)*POWER(Upgrades!$P$14,F308)*POWER(Upgrades!$P$15,G308)*POWER(Upgrades!$P$16,H308)*POWER(Upgrades!$P$17,I308)*POWER(Upgrades!$P$18,J308)*POWER(Upgrades!$P$19,K308)*POWER(Upgrades!$P$20,L308)*POWER(Upgrades!$P$21,M308)*$F$6*60</f>
        <v/>
      </c>
      <c r="AJ308" s="27">
        <f>$C$6*60</f>
        <v/>
      </c>
      <c r="AK308" s="22">
        <f>IF(E308&gt;=Upgrades!$E$13,"",Upgrades!$C$13*POWER(Upgrades!$D$13,E308))</f>
        <v/>
      </c>
      <c r="AL308" s="22">
        <f>IF(F308&gt;=Upgrades!$E$14,"",Upgrades!$C$14*POWER(Upgrades!$D$14,F308))</f>
        <v/>
      </c>
      <c r="AM308" s="22">
        <f>IF(G308&gt;=Upgrades!$E$15,"",Upgrades!$C$15*POWER(Upgrades!$D$15,G308))</f>
        <v/>
      </c>
      <c r="AN308" s="22">
        <f>IF(H308&gt;=Upgrades!$E$16,"",Upgrades!$C$16*POWER(Upgrades!$D$16,H308))</f>
        <v/>
      </c>
      <c r="AO308" s="22">
        <f>IF(I308&gt;=Upgrades!$E$17,"",Upgrades!$C$17*POWER(Upgrades!$D$17,I308))</f>
        <v/>
      </c>
      <c r="AP308" s="22">
        <f>IF(J308&gt;=Upgrades!$E$18,"",Upgrades!$C$18*POWER(Upgrades!$D$18,J308))</f>
        <v/>
      </c>
      <c r="AQ308" s="22">
        <f>IF(K308&gt;=Upgrades!$E$19,"",Upgrades!$C$19*POWER(Upgrades!$D$19,K308))</f>
        <v/>
      </c>
      <c r="AR308" s="22">
        <f>IF(L308&gt;=Upgrades!$E$20,"",Upgrades!$C$20*POWER(Upgrades!$D$20,L308))</f>
        <v/>
      </c>
      <c r="AS308" s="22">
        <f>IF(M308&gt;=Upgrades!$E$21,"",Upgrades!$C$21*POWER(Upgrades!$D$21,M308))</f>
        <v/>
      </c>
      <c r="AT308" s="26">
        <f>IF(AND(D308&gt;=Parameters!$B$18*Parameters!$B$19,(I308&gt;=Upgrades!$E$17)*(M308&gt;=Upgrades!$E$21)=1,N308=0),1,"")</f>
        <v/>
      </c>
      <c r="AU308" s="26">
        <f>IF(AND(D308&gt;=Parameters!$B$18*Parameters!$B$19,N308=0),1,"")</f>
        <v/>
      </c>
      <c r="AV308" s="22">
        <f>MIN(IF(ISNUMBER(AP308),AP308,9E15),IF(ISNUMBER(AQ308),AQ308,9E15),IF(ISNUMBER(AR308),AR308,9E15),IF(ISNUMBER(AS308),AS308,9E15))</f>
        <v/>
      </c>
      <c r="AW308" s="22">
        <f>MIN(IF(ISNUMBER(AK308),AK308,9E15),IF(ISNUMBER(AL308),AL308,9E15),IF(ISNUMBER(AM308),AM308,9E15),IF(ISNUMBER(AN308),AN308,9E15),IF(ISNUMBER(AO308),AO308,9E15))</f>
        <v/>
      </c>
      <c r="AX308" s="29">
        <f>IF(BD308&gt;Parameters!$B$21*(MAX(IF(AND(NOT(AND(AU308=1,AT308&lt;&gt;1)),ISNUMBER(AK308),AK308&lt;=(C308+T308)),AY308,0),IF(AND(NOT(AND(AU308=1,AT308&lt;&gt;1)),ISNUMBER(AL308),AL308&lt;=(C308+T308)),AZ308,0),IF(AND(NOT(AND(AU308=1,AT308&lt;&gt;1)),ISNUMBER(AM308),AM308&lt;=(C308+T308)),BA308,0),IF(AND(NOT(AND(AU308=1,AT308&lt;&gt;1)),ISNUMBER(AN308),AN308&lt;=(C308+T308)),BB308,0),IF(AND(ISNUMBER(AO308),AO308&lt;=(C308+T308)),BC308,0))),TRUE,FALSE)</f>
        <v/>
      </c>
      <c r="AY308" s="32">
        <f>IFERROR(Upgrades!$H$13*(POWER(Upgrades!$P$13,E308)*POWER(Upgrades!$P$14,F308)*POWER(Upgrades!$P$15,G308)*POWER(Upgrades!$P$16,H308)*POWER(Upgrades!$P$17,I308)*POWER(Upgrades!$P$18,J308)*POWER(Upgrades!$P$19,K308)*POWER(Upgrades!$P$20,L308)*POWER(Upgrades!$P$21,M308))*(IF(Upgrades!$T$14="Stellar Kinematics",POWER(Upgrades!$U$14,F308),1)*IF(Upgrades!$T$15="Stellar Kinematics",POWER(Upgrades!$U$15,G308),1)*IF(Upgrades!$T$16="Stellar Kinematics",POWER(Upgrades!$U$16,H308),1)*IF(Upgrades!$T$17="Stellar Kinematics",POWER(Upgrades!$U$17,I308),1)*IF(Upgrades!$T$18="Stellar Kinematics",POWER(Upgrades!$U$18,J308),1)*IF(Upgrades!$T$19="Stellar Kinematics",POWER(Upgrades!$U$19,K308),1)*IF(Upgrades!$T$20="Stellar Kinematics",POWER(Upgrades!$U$20,L308),1)*IF(Upgrades!$T$21="Stellar Kinematics",POWER(Upgrades!$U$21,M308),1))*$F$6/AK308,0)</f>
        <v/>
      </c>
      <c r="AZ308" s="32">
        <f>IFERROR(Upgrades!$H$14*(POWER(Upgrades!$P$13,E308)*POWER(Upgrades!$P$14,F308)*POWER(Upgrades!$P$15,G308)*POWER(Upgrades!$P$16,H308)*POWER(Upgrades!$P$17,I308)*POWER(Upgrades!$P$18,J308)*POWER(Upgrades!$P$19,K308)*POWER(Upgrades!$P$20,L308)*POWER(Upgrades!$P$21,M308))*(IF(Upgrades!$T$13="Local Bubble",POWER(Upgrades!$U$13,E308),1)*IF(Upgrades!$T$15="Local Bubble",POWER(Upgrades!$U$15,G308),1)*IF(Upgrades!$T$16="Local Bubble",POWER(Upgrades!$U$16,H308),1)*IF(Upgrades!$T$17="Local Bubble",POWER(Upgrades!$U$17,I308),1)*IF(Upgrades!$T$18="Local Bubble",POWER(Upgrades!$U$18,J308),1)*IF(Upgrades!$T$19="Local Bubble",POWER(Upgrades!$U$19,K308),1)*IF(Upgrades!$T$20="Local Bubble",POWER(Upgrades!$U$20,L308),1)*IF(Upgrades!$T$21="Local Bubble",POWER(Upgrades!$U$21,M308),1))*$F$6/AL308,0)</f>
        <v/>
      </c>
      <c r="BA308" s="32">
        <f>IFERROR(Upgrades!$K$15*(POWER(Upgrades!$Q$13,E308)*POWER(Upgrades!$Q$14,F308)*POWER(Upgrades!$Q$15,G308)*POWER(Upgrades!$Q$16,H308)*POWER(Upgrades!$Q$17,I308)*POWER(Upgrades!$Q$18,J308)*POWER(Upgrades!$Q$19,K308)*POWER(Upgrades!$Q$20,L308)*POWER(Upgrades!$Q$21,M308))*(IF(Upgrades!$T$13="Microlensing",POWER(Upgrades!$U$13,E308),1)*IF(Upgrades!$T$14="Microlensing",POWER(Upgrades!$U$14,F308),1)*IF(Upgrades!$T$16="Microlensing",POWER(Upgrades!$U$16,H308),1)*IF(Upgrades!$T$17="Microlensing",POWER(Upgrades!$U$17,I308),1)*IF(Upgrades!$T$18="Microlensing",POWER(Upgrades!$U$18,J308),1)*IF(Upgrades!$T$19="Microlensing",POWER(Upgrades!$U$19,K308),1)*IF(Upgrades!$T$20="Microlensing",POWER(Upgrades!$U$20,L308),1)*IF(Upgrades!$T$21="Microlensing",POWER(Upgrades!$U$21,M308),1))*$G$6*(Parameters!$B$10/60*Parameters!$B$11+Q308)/AM308,0)</f>
        <v/>
      </c>
      <c r="BB308" s="32">
        <f>IFERROR((Upgrades!$N$16*(POWER(Upgrades!$R$13,E308)*POWER(Upgrades!$R$14,F308)*POWER(Upgrades!$R$15,G308)*POWER(Upgrades!$R$16,H308)*POWER(Upgrades!$R$17,I308)*POWER(Upgrades!$R$18,J308)*POWER(Upgrades!$R$19,K308)*POWER(Upgrades!$R$20,L308)*POWER(Upgrades!$R$21,M308))*(IF(Upgrades!$T$13="Roche Lobe Overflow",POWER(Upgrades!$U$13,E308),1)*IF(Upgrades!$T$14="Roche Lobe Overflow",POWER(Upgrades!$U$14,F308),1)*IF(Upgrades!$T$15="Roche Lobe Overflow",POWER(Upgrades!$U$15,G308),1)*IF(Upgrades!$T$17="Roche Lobe Overflow",POWER(Upgrades!$U$17,I308),1)*IF(Upgrades!$T$18="Roche Lobe Overflow",POWER(Upgrades!$U$18,J308),1)*IF(Upgrades!$T$19="Roche Lobe Overflow",POWER(Upgrades!$U$19,K308),1)*IF(Upgrades!$T$20="Roche Lobe Overflow",POWER(Upgrades!$U$20,L308),1)*IF(Upgrades!$T$21="Roche Lobe Overflow",POWER(Upgrades!$U$21,M308),1))*$H$6*O308+((IF(F308=0,0,(Upgrades!$G$14+F308*Upgrades!$H$14)*POWER(Upgrades!$I$14,F308)))*(IF(Upgrades!$T$13="Local Bubble",POWER(Upgrades!$U$13,E308),1)*IF(Upgrades!$T$15="Local Bubble",POWER(Upgrades!$U$15,G308),1)*IF(Upgrades!$T$16="Local Bubble",POWER(Upgrades!$U$16,H308),1)*IF(Upgrades!$T$17="Local Bubble",POWER(Upgrades!$U$17,I308),1)*IF(Upgrades!$T$18="Local Bubble",POWER(Upgrades!$U$18,J308),1)*IF(Upgrades!$T$19="Local Bubble",POWER(Upgrades!$U$19,K308),1)*IF(Upgrades!$T$20="Local Bubble",POWER(Upgrades!$U$20,L308),1)*IF(Upgrades!$T$21="Local Bubble",POWER(Upgrades!$U$21,M308),1))*POWER(Upgrades!$P$13,E308)*POWER(Upgrades!$P$14,F308)*POWER(Upgrades!$P$15,G308)*POWER(Upgrades!$P$16,H308)*POWER(Upgrades!$P$17,I308)*POWER(Upgrades!$P$18,J308)*POWER(Upgrades!$P$19,K308)*POWER(Upgrades!$P$20,L308)*POWER(Upgrades!$P$21,M308)*$F$6)*0.05)/AN308,0)</f>
        <v/>
      </c>
      <c r="BC308" s="32">
        <f>IFERROR((Upgrades!$H$17*(POWER(Upgrades!$P$13,E308)*POWER(Upgrades!$P$14,F308)*POWER(Upgrades!$P$15,G308)*POWER(Upgrades!$P$16,H308)*POWER(Upgrades!$P$17,I308)*POWER(Upgrades!$P$18,J308)*POWER(Upgrades!$P$19,K308)*POWER(Upgrades!$P$20,L308)*POWER(Upgrades!$P$21,M308))*(IF(Upgrades!$T$13="Brown Dwarf",POWER(Upgrades!$U$13,E308),1)*IF(Upgrades!$T$14="Brown Dwarf",POWER(Upgrades!$U$14,F308),1)*IF(Upgrades!$T$15="Brown Dwarf",POWER(Upgrades!$U$15,G308),1)*IF(Upgrades!$T$16="Brown Dwarf",POWER(Upgrades!$U$16,H308),1)*IF(Upgrades!$T$18="Brown Dwarf",POWER(Upgrades!$U$18,J308),1)*IF(Upgrades!$T$19="Brown Dwarf",POWER(Upgrades!$U$19,K308),1)*IF(Upgrades!$T$20="Brown Dwarf",POWER(Upgrades!$U$20,L308),1)*IF(Upgrades!$T$21="Brown Dwarf",POWER(Upgrades!$U$21,M308),1))*$F$6+(((IF(H308=0,0,(Upgrades!$M$16+H308*Upgrades!$N$16)*POWER(Upgrades!$O$16,H308)))*(IF(Upgrades!$T$13="Roche Lobe Overflow",POWER(Upgrades!$U$13,E308),1)*IF(Upgrades!$T$14="Roche Lobe Overflow",POWER(Upgrades!$U$14,F308),1)*IF(Upgrades!$T$15="Roche Lobe Overflow",POWER(Upgrades!$U$15,G308),1)*IF(Upgrades!$T$17="Roche Lobe Overflow",POWER(Upgrades!$U$17,I308),1)*IF(Upgrades!$T$18="Roche Lobe Overflow",POWER(Upgrades!$U$18,J308),1)*IF(Upgrades!$T$19="Roche Lobe Overflow",POWER(Upgrades!$U$19,K308),1)*IF(Upgrades!$T$20="Roche Lobe Overflow",POWER(Upgrades!$U$20,L308),1)*IF(Upgrades!$T$21="Roche Lobe Overflow",POWER(Upgrades!$U$21,M308),1))*POWER(Upgrades!$R$13,E308)*POWER(Upgrades!$R$14,F308)*POWER(Upgrades!$R$15,G308)*POWER(Upgrades!$R$16,H308)*POWER(Upgrades!$R$17,I308)*POWER(Upgrades!$R$18,J308)*POWER(Upgrades!$R$19,K308)*POWER(Upgrades!$R$20,L308)*POWER(Upgrades!$R$21,M308)*$H$6)*O308)*0.10)/AO308,0)</f>
        <v/>
      </c>
      <c r="BD308" s="32">
        <f>MAX(IF(J308&gt;0,0,IFERROR(0.5*((IF(G308=0,0,(Upgrades!$J$15+G308*Upgrades!$K$15)*POWER(Upgrades!$L$15,G308)))*(IF(Upgrades!$T$13="Microlensing",POWER(Upgrades!$U$13,E308),1)*IF(Upgrades!$T$14="Microlensing",POWER(Upgrades!$U$14,F308),1)*IF(Upgrades!$T$16="Microlensing",POWER(Upgrades!$U$16,H308),1)*IF(Upgrades!$T$17="Microlensing",POWER(Upgrades!$U$17,I308),1)*IF(Upgrades!$T$18="Microlensing",POWER(Upgrades!$U$18,J308),1)*IF(Upgrades!$T$19="Microlensing",POWER(Upgrades!$U$19,K308),1)*IF(Upgrades!$T$20="Microlensing",POWER(Upgrades!$U$20,L308),1)*IF(Upgrades!$T$21="Microlensing",POWER(Upgrades!$U$21,M308),1))*(POWER(Upgrades!$Q$13,E308)*POWER(Upgrades!$Q$14,F308)*POWER(Upgrades!$Q$15,G308)*POWER(Upgrades!$Q$16,H308)*POWER(Upgrades!$Q$17,I308)*POWER(Upgrades!$Q$18,J308)*POWER(Upgrades!$Q$19,K308)*POWER(Upgrades!$Q$20,L308)*POWER(Upgrades!$Q$21,M308))*$G$6*(Parameters!$B$10/60*Parameters!$B$11+Q308))/Upgrades!$C$18,0)),IF(K308&gt;0,0,IFERROR(0.30*P308/Upgrades!$C$19,0)),IF(L308&gt;0,0,IFERROR(0.0001/Upgrades!$C$20,0)),IF(M308&gt;0,0,IFERROR((6.0*(POWER(Upgrades!$P$13,E308)*POWER(Upgrades!$P$14,F308)*POWER(Upgrades!$P$15,G308)*POWER(Upgrades!$P$16,H308)*POWER(Upgrades!$P$17,I308)*POWER(Upgrades!$P$18,J308)*POWER(Upgrades!$P$19,K308)*POWER(Upgrades!$P$20,L308)*POWER(Upgrades!$P$21,M308))*$F$6+0.20*O308*(Parameters!$B$10/60*Parameters!$B$11+Q308))/Upgrades!$C$21,0)),IF(AND(ISNUMBER(AK308),AK308&gt;(C308+T308)),AY308,0),IF(AND(ISNUMBER(AL308),AL308&gt;(C308+T308)),AZ308,0),IF(AND(ISNUMBER(AM308),AM308&gt;(C308+T308)),BA308,0),IF(AND(ISNUMBER(AN308),AN308&gt;(C308+T308)),BB308,0),IF(AND(ISNUMBER(AO308),AO308&gt;(C308+T308)),BC308,0))</f>
        <v/>
      </c>
      <c r="BE308" s="29">
        <f>IF(AT308=1,"transition",IF(MIN(IF(AND(J308=0,ISNUMBER(AP308),AP308&lt;=(C308+T308)),AP308,9E15),IF(AND(K308=0,ISNUMBER(AQ308),AQ308&lt;=(C308+T308)),AQ308,9E15),IF(AND(L308=0,ISNUMBER(AR308),AR308&lt;=(C308+T308)),AR308,9E15),IF(AND(M308=0,ISNUMBER(AS308),AS308&lt;=(C308+T308)),AS308,9E15))&lt;9E15,IF(AND(AND(J308=0,ISNUMBER(AP308),AP308&lt;=(C308+T308)),AP308=MIN(IF(AND(J308=0,ISNUMBER(AP308),AP308&lt;=(C308+T308)),AP308,9E15),IF(AND(K308=0,ISNUMBER(AQ308),AQ308&lt;=(C308+T308)),AQ308,9E15),IF(AND(L308=0,ISNUMBER(AR308),AR308&lt;=(C308+T308)),AR308,9E15),IF(AND(M308=0,ISNUMBER(AS308),AS308&lt;=(C308+T308)),AS308,9E15))),"BiP",IF(AND(AND(K308=0,ISNUMBER(AQ308),AQ308&lt;=(C308+T308)),AQ308=MIN(IF(AND(J308=0,ISNUMBER(AP308),AP308&lt;=(C308+T308)),AP308,9E15),IF(AND(K308=0,ISNUMBER(AQ308),AQ308&lt;=(C308+T308)),AQ308,9E15),IF(AND(L308=0,ISNUMBER(AR308),AR308&lt;=(C308+T308)),AR308,9E15),IF(AND(M308=0,ISNUMBER(AS308),AS308&lt;=(C308+T308)),AS308,9E15))),"PV",IF(AND(AND(L308=0,ISNUMBER(AR308),AR308&lt;=(C308+T308)),AR308=MIN(IF(AND(J308=0,ISNUMBER(AP308),AP308&lt;=(C308+T308)),AP308,9E15),IF(AND(K308=0,ISNUMBER(AQ308),AQ308&lt;=(C308+T308)),AQ308,9E15),IF(AND(L308=0,ISNUMBER(AR308),AR308&lt;=(C308+T308)),AR308,9E15),IF(AND(M308=0,ISNUMBER(AS308),AS308&lt;=(C308+T308)),AS308,9E15))),"OC","MG"))),IF(AX308=TRUE,"",IF(MAX(IF(AND(NOT(AND(AU308=1,AT308&lt;&gt;1)),ISNUMBER(AK308),AK308&lt;=(C308+T308)),AY308,0),IF(AND(NOT(AND(AU308=1,AT308&lt;&gt;1)),ISNUMBER(AL308),AL308&lt;=(C308+T308)),AZ308,0),IF(AND(NOT(AND(AU308=1,AT308&lt;&gt;1)),ISNUMBER(AM308),AM308&lt;=(C308+T308)),BA308,0),IF(AND(NOT(AND(AU308=1,AT308&lt;&gt;1)),ISNUMBER(AN308),AN308&lt;=(C308+T308)),BB308,0),IF(AND(ISNUMBER(AO308),AO308&lt;=(C308+T308)),BC308,0))&lt;=0,"",IF(AND(IF(AND(NOT(AND(AU308=1,AT308&lt;&gt;1)),ISNUMBER(AK308),AK308&lt;=(C308+T308)),AY308,0)&gt;0,IF(AND(NOT(AND(AU308=1,AT308&lt;&gt;1)),ISNUMBER(AK308),AK308&lt;=(C308+T308)),AY308,0)=MAX(IF(AND(NOT(AND(AU308=1,AT308&lt;&gt;1)),ISNUMBER(AK308),AK308&lt;=(C308+T308)),AY308,0),IF(AND(NOT(AND(AU308=1,AT308&lt;&gt;1)),ISNUMBER(AL308),AL308&lt;=(C308+T308)),AZ308,0),IF(AND(NOT(AND(AU308=1,AT308&lt;&gt;1)),ISNUMBER(AM308),AM308&lt;=(C308+T308)),BA308,0),IF(AND(NOT(AND(AU308=1,AT308&lt;&gt;1)),ISNUMBER(AN308),AN308&lt;=(C308+T308)),BB308,0),IF(AND(ISNUMBER(AO308),AO308&lt;=(C308+T308)),BC308,0))),"SK",IF(AND(IF(AND(NOT(AND(AU308=1,AT308&lt;&gt;1)),ISNUMBER(AL308),AL308&lt;=(C308+T308)),AZ308,0)&gt;0,IF(AND(NOT(AND(AU308=1,AT308&lt;&gt;1)),ISNUMBER(AL308),AL308&lt;=(C308+T308)),AZ308,0)=MAX(IF(AND(NOT(AND(AU308=1,AT308&lt;&gt;1)),ISNUMBER(AK308),AK308&lt;=(C308+T308)),AY308,0),IF(AND(NOT(AND(AU308=1,AT308&lt;&gt;1)),ISNUMBER(AL308),AL308&lt;=(C308+T308)),AZ308,0),IF(AND(NOT(AND(AU308=1,AT308&lt;&gt;1)),ISNUMBER(AM308),AM308&lt;=(C308+T308)),BA308,0),IF(AND(NOT(AND(AU308=1,AT308&lt;&gt;1)),ISNUMBER(AN308),AN308&lt;=(C308+T308)),BB308,0),IF(AND(ISNUMBER(AO308),AO308&lt;=(C308+T308)),BC308,0))),"LB",IF(AND(IF(AND(NOT(AND(AU308=1,AT308&lt;&gt;1)),ISNUMBER(AM308),AM308&lt;=(C308+T308)),BA308,0)&gt;0,IF(AND(NOT(AND(AU308=1,AT308&lt;&gt;1)),ISNUMBER(AM308),AM308&lt;=(C308+T308)),BA308,0)=MAX(IF(AND(NOT(AND(AU308=1,AT308&lt;&gt;1)),ISNUMBER(AK308),AK308&lt;=(C308+T308)),AY308,0),IF(AND(NOT(AND(AU308=1,AT308&lt;&gt;1)),ISNUMBER(AL308),AL308&lt;=(C308+T308)),AZ308,0),IF(AND(NOT(AND(AU308=1,AT308&lt;&gt;1)),ISNUMBER(AM308),AM308&lt;=(C308+T308)),BA308,0),IF(AND(NOT(AND(AU308=1,AT308&lt;&gt;1)),ISNUMBER(AN308),AN308&lt;=(C308+T308)),BB308,0),IF(AND(ISNUMBER(AO308),AO308&lt;=(C308+T308)),BC308,0))),"ML",IF(AND(IF(AND(NOT(AND(AU308=1,AT308&lt;&gt;1)),ISNUMBER(AN308),AN308&lt;=(C308+T308)),BB308,0)&gt;0,IF(AND(NOT(AND(AU308=1,AT308&lt;&gt;1)),ISNUMBER(AN308),AN308&lt;=(C308+T308)),BB308,0)=MAX(IF(AND(NOT(AND(AU308=1,AT308&lt;&gt;1)),ISNUMBER(AK308),AK308&lt;=(C308+T308)),AY308,0),IF(AND(NOT(AND(AU308=1,AT308&lt;&gt;1)),ISNUMBER(AL308),AL308&lt;=(C308+T308)),AZ308,0),IF(AND(NOT(AND(AU308=1,AT308&lt;&gt;1)),ISNUMBER(AM308),AM308&lt;=(C308+T308)),BA308,0),IF(AND(NOT(AND(AU308=1,AT308&lt;&gt;1)),ISNUMBER(AN308),AN308&lt;=(C308+T308)),BB308,0),IF(AND(ISNUMBER(AO308),AO308&lt;=(C308+T308)),BC308,0))),"RLO","BD"))))))))</f>
        <v/>
      </c>
    </row>
    <row r="309">
      <c r="A309" s="26" t="n">
        <v>298</v>
      </c>
      <c r="B309" s="27">
        <f>A309*10/60</f>
        <v/>
      </c>
      <c r="C309" s="22">
        <f>X308</f>
        <v/>
      </c>
      <c r="D309" s="27">
        <f>D308+W308</f>
        <v/>
      </c>
      <c r="E309" s="26">
        <f>E308+IF(U308="SK",1,0)</f>
        <v/>
      </c>
      <c r="F309" s="26">
        <f>F308+IF(U308="LB",1,0)</f>
        <v/>
      </c>
      <c r="G309" s="26">
        <f>G308+IF(U308="ML",1,0)</f>
        <v/>
      </c>
      <c r="H309" s="26">
        <f>H308+IF(U308="RLO",1,0)</f>
        <v/>
      </c>
      <c r="I309" s="26">
        <f>I308+IF(U308="BD",1,0)</f>
        <v/>
      </c>
      <c r="J309" s="26">
        <f>MAX(J308,IF(U308="BiP",1,0))</f>
        <v/>
      </c>
      <c r="K309" s="26">
        <f>MAX(K308,IF(U308="PV",1,0))</f>
        <v/>
      </c>
      <c r="L309" s="26">
        <f>MAX(L308,IF(U308="OC",1,0))</f>
        <v/>
      </c>
      <c r="M309" s="26">
        <f>MAX(M308,IF(U308="MG",1,0))</f>
        <v/>
      </c>
      <c r="N309" s="26">
        <f>MAX(N308,IF(U308="transition",1,0))</f>
        <v/>
      </c>
      <c r="O309" s="28">
        <f>(Parameters!$B$9+(IF(E309=0,0,(Upgrades!$J$13+E309*Upgrades!$K$13)*POWER(Upgrades!$L$13,E309)))*(IF(Upgrades!$T$14="Stellar Kinematics",POWER(Upgrades!$U$14,F309),1)*IF(Upgrades!$T$15="Stellar Kinematics",POWER(Upgrades!$U$15,G309),1)*IF(Upgrades!$T$16="Stellar Kinematics",POWER(Upgrades!$U$16,H309),1)*IF(Upgrades!$T$17="Stellar Kinematics",POWER(Upgrades!$U$17,I309),1)*IF(Upgrades!$T$18="Stellar Kinematics",POWER(Upgrades!$U$18,J309),1)*IF(Upgrades!$T$19="Stellar Kinematics",POWER(Upgrades!$U$19,K309),1)*IF(Upgrades!$T$20="Stellar Kinematics",POWER(Upgrades!$U$20,L309),1)*IF(Upgrades!$T$21="Stellar Kinematics",POWER(Upgrades!$U$21,M309),1))+(IF(F309=0,0,(Upgrades!$J$14+F309*Upgrades!$K$14)*POWER(Upgrades!$L$14,F309)))*(IF(Upgrades!$T$13="Local Bubble",POWER(Upgrades!$U$13,E309),1)*IF(Upgrades!$T$15="Local Bubble",POWER(Upgrades!$U$15,G309),1)*IF(Upgrades!$T$16="Local Bubble",POWER(Upgrades!$U$16,H309),1)*IF(Upgrades!$T$17="Local Bubble",POWER(Upgrades!$U$17,I309),1)*IF(Upgrades!$T$18="Local Bubble",POWER(Upgrades!$U$18,J309),1)*IF(Upgrades!$T$19="Local Bubble",POWER(Upgrades!$U$19,K309),1)*IF(Upgrades!$T$20="Local Bubble",POWER(Upgrades!$U$20,L309),1)*IF(Upgrades!$T$21="Local Bubble",POWER(Upgrades!$U$21,M309),1))+(IF(G309=0,0,(Upgrades!$J$15+G309*Upgrades!$K$15)*POWER(Upgrades!$L$15,G309)))*(IF(Upgrades!$T$13="Microlensing",POWER(Upgrades!$U$13,E309),1)*IF(Upgrades!$T$14="Microlensing",POWER(Upgrades!$U$14,F309),1)*IF(Upgrades!$T$16="Microlensing",POWER(Upgrades!$U$16,H309),1)*IF(Upgrades!$T$17="Microlensing",POWER(Upgrades!$U$17,I309),1)*IF(Upgrades!$T$18="Microlensing",POWER(Upgrades!$U$18,J309),1)*IF(Upgrades!$T$19="Microlensing",POWER(Upgrades!$U$19,K309),1)*IF(Upgrades!$T$20="Microlensing",POWER(Upgrades!$U$20,L309),1)*IF(Upgrades!$T$21="Microlensing",POWER(Upgrades!$U$21,M309),1))+(IF(H309=0,0,(Upgrades!$J$16+H309*Upgrades!$K$16)*POWER(Upgrades!$L$16,H309)))*(IF(Upgrades!$T$13="Roche Lobe Overflow",POWER(Upgrades!$U$13,E309),1)*IF(Upgrades!$T$14="Roche Lobe Overflow",POWER(Upgrades!$U$14,F309),1)*IF(Upgrades!$T$15="Roche Lobe Overflow",POWER(Upgrades!$U$15,G309),1)*IF(Upgrades!$T$17="Roche Lobe Overflow",POWER(Upgrades!$U$17,I309),1)*IF(Upgrades!$T$18="Roche Lobe Overflow",POWER(Upgrades!$U$18,J309),1)*IF(Upgrades!$T$19="Roche Lobe Overflow",POWER(Upgrades!$U$19,K309),1)*IF(Upgrades!$T$20="Roche Lobe Overflow",POWER(Upgrades!$U$20,L309),1)*IF(Upgrades!$T$21="Roche Lobe Overflow",POWER(Upgrades!$U$21,M309),1))+(IF(I309=0,0,(Upgrades!$J$17+I309*Upgrades!$K$17)*POWER(Upgrades!$L$17,I309)))*(IF(Upgrades!$T$13="Brown Dwarf",POWER(Upgrades!$U$13,E309),1)*IF(Upgrades!$T$14="Brown Dwarf",POWER(Upgrades!$U$14,F309),1)*IF(Upgrades!$T$15="Brown Dwarf",POWER(Upgrades!$U$15,G309),1)*IF(Upgrades!$T$16="Brown Dwarf",POWER(Upgrades!$U$16,H309),1)*IF(Upgrades!$T$18="Brown Dwarf",POWER(Upgrades!$U$18,J309),1)*IF(Upgrades!$T$19="Brown Dwarf",POWER(Upgrades!$U$19,K309),1)*IF(Upgrades!$T$20="Brown Dwarf",POWER(Upgrades!$U$20,L309),1)*IF(Upgrades!$T$21="Brown Dwarf",POWER(Upgrades!$U$21,M309),1))+(IF(J309=0,0,(Upgrades!$J$18+J309*Upgrades!$K$18)*POWER(Upgrades!$L$18,J309)))*(IF(Upgrades!$T$13="Binary Partner",POWER(Upgrades!$U$13,E309),1)*IF(Upgrades!$T$14="Binary Partner",POWER(Upgrades!$U$14,F309),1)*IF(Upgrades!$T$15="Binary Partner",POWER(Upgrades!$U$15,G309),1)*IF(Upgrades!$T$16="Binary Partner",POWER(Upgrades!$U$16,H309),1)*IF(Upgrades!$T$17="Binary Partner",POWER(Upgrades!$U$17,I309),1)*IF(Upgrades!$T$19="Binary Partner",POWER(Upgrades!$U$19,K309),1)*IF(Upgrades!$T$20="Binary Partner",POWER(Upgrades!$U$20,L309),1)*IF(Upgrades!$T$21="Binary Partner",POWER(Upgrades!$U$21,M309),1))+(IF(K309=0,0,(Upgrades!$J$19+K309*Upgrades!$K$19)*POWER(Upgrades!$L$19,K309)))*(IF(Upgrades!$T$13="Peculiar Velocity",POWER(Upgrades!$U$13,E309),1)*IF(Upgrades!$T$14="Peculiar Velocity",POWER(Upgrades!$U$14,F309),1)*IF(Upgrades!$T$15="Peculiar Velocity",POWER(Upgrades!$U$15,G309),1)*IF(Upgrades!$T$16="Peculiar Velocity",POWER(Upgrades!$U$16,H309),1)*IF(Upgrades!$T$17="Peculiar Velocity",POWER(Upgrades!$U$17,I309),1)*IF(Upgrades!$T$18="Peculiar Velocity",POWER(Upgrades!$U$18,J309),1)*IF(Upgrades!$T$20="Peculiar Velocity",POWER(Upgrades!$U$20,L309),1)*IF(Upgrades!$T$21="Peculiar Velocity",POWER(Upgrades!$U$21,M309),1))+(IF(L309=0,0,(Upgrades!$J$20+L309*Upgrades!$K$20)*POWER(Upgrades!$L$20,L309)))*(IF(Upgrades!$T$13="Open Cluster",POWER(Upgrades!$U$13,E309),1)*IF(Upgrades!$T$14="Open Cluster",POWER(Upgrades!$U$14,F309),1)*IF(Upgrades!$T$15="Open Cluster",POWER(Upgrades!$U$15,G309),1)*IF(Upgrades!$T$16="Open Cluster",POWER(Upgrades!$U$16,H309),1)*IF(Upgrades!$T$17="Open Cluster",POWER(Upgrades!$U$17,I309),1)*IF(Upgrades!$T$18="Open Cluster",POWER(Upgrades!$U$18,J309),1)*IF(Upgrades!$T$19="Open Cluster",POWER(Upgrades!$U$19,K309),1)*IF(Upgrades!$T$21="Open Cluster",POWER(Upgrades!$U$21,M309),1))+(IF(M309=0,0,(Upgrades!$J$21+M309*Upgrades!$K$21)*POWER(Upgrades!$L$21,M309)))*(IF(Upgrades!$T$13="Moving Group",POWER(Upgrades!$U$13,E309),1)*IF(Upgrades!$T$14="Moving Group",POWER(Upgrades!$U$14,F309),1)*IF(Upgrades!$T$15="Moving Group",POWER(Upgrades!$U$15,G309),1)*IF(Upgrades!$T$16="Moving Group",POWER(Upgrades!$U$16,H309),1)*IF(Upgrades!$T$17="Moving Group",POWER(Upgrades!$U$17,I309),1)*IF(Upgrades!$T$18="Moving Group",POWER(Upgrades!$U$18,J309),1)*IF(Upgrades!$T$19="Moving Group",POWER(Upgrades!$U$19,K309),1)*IF(Upgrades!$T$20="Moving Group",POWER(Upgrades!$U$20,L309),1)))*POWER(Upgrades!$Q$13,E309)*POWER(Upgrades!$Q$14,F309)*POWER(Upgrades!$Q$15,G309)*POWER(Upgrades!$Q$16,H309)*POWER(Upgrades!$Q$17,I309)*POWER(Upgrades!$Q$18,J309)*POWER(Upgrades!$Q$19,K309)*POWER(Upgrades!$Q$20,L309)*POWER(Upgrades!$Q$21,M309)*$G$6+$D$6</f>
        <v/>
      </c>
      <c r="P309" s="28">
        <f>((IF(E309=0,0,(Upgrades!$G$13+E309*Upgrades!$H$13)*POWER(Upgrades!$I$13,E309)))*(IF(Upgrades!$T$14="Stellar Kinematics",POWER(Upgrades!$U$14,F309),1)*IF(Upgrades!$T$15="Stellar Kinematics",POWER(Upgrades!$U$15,G309),1)*IF(Upgrades!$T$16="Stellar Kinematics",POWER(Upgrades!$U$16,H309),1)*IF(Upgrades!$T$17="Stellar Kinematics",POWER(Upgrades!$U$17,I309),1)*IF(Upgrades!$T$18="Stellar Kinematics",POWER(Upgrades!$U$18,J309),1)*IF(Upgrades!$T$19="Stellar Kinematics",POWER(Upgrades!$U$19,K309),1)*IF(Upgrades!$T$20="Stellar Kinematics",POWER(Upgrades!$U$20,L309),1)*IF(Upgrades!$T$21="Stellar Kinematics",POWER(Upgrades!$U$21,M309),1))+(IF(F309=0,0,(Upgrades!$G$14+F309*Upgrades!$H$14)*POWER(Upgrades!$I$14,F309)))*(IF(Upgrades!$T$13="Local Bubble",POWER(Upgrades!$U$13,E309),1)*IF(Upgrades!$T$15="Local Bubble",POWER(Upgrades!$U$15,G309),1)*IF(Upgrades!$T$16="Local Bubble",POWER(Upgrades!$U$16,H309),1)*IF(Upgrades!$T$17="Local Bubble",POWER(Upgrades!$U$17,I309),1)*IF(Upgrades!$T$18="Local Bubble",POWER(Upgrades!$U$18,J309),1)*IF(Upgrades!$T$19="Local Bubble",POWER(Upgrades!$U$19,K309),1)*IF(Upgrades!$T$20="Local Bubble",POWER(Upgrades!$U$20,L309),1)*IF(Upgrades!$T$21="Local Bubble",POWER(Upgrades!$U$21,M309),1))+(IF(G309=0,0,(Upgrades!$G$15+G309*Upgrades!$H$15)*POWER(Upgrades!$I$15,G309)))*(IF(Upgrades!$T$13="Microlensing",POWER(Upgrades!$U$13,E309),1)*IF(Upgrades!$T$14="Microlensing",POWER(Upgrades!$U$14,F309),1)*IF(Upgrades!$T$16="Microlensing",POWER(Upgrades!$U$16,H309),1)*IF(Upgrades!$T$17="Microlensing",POWER(Upgrades!$U$17,I309),1)*IF(Upgrades!$T$18="Microlensing",POWER(Upgrades!$U$18,J309),1)*IF(Upgrades!$T$19="Microlensing",POWER(Upgrades!$U$19,K309),1)*IF(Upgrades!$T$20="Microlensing",POWER(Upgrades!$U$20,L309),1)*IF(Upgrades!$T$21="Microlensing",POWER(Upgrades!$U$21,M309),1))+(IF(H309=0,0,(Upgrades!$G$16+H309*Upgrades!$H$16)*POWER(Upgrades!$I$16,H309)))*(IF(Upgrades!$T$13="Roche Lobe Overflow",POWER(Upgrades!$U$13,E309),1)*IF(Upgrades!$T$14="Roche Lobe Overflow",POWER(Upgrades!$U$14,F309),1)*IF(Upgrades!$T$15="Roche Lobe Overflow",POWER(Upgrades!$U$15,G309),1)*IF(Upgrades!$T$17="Roche Lobe Overflow",POWER(Upgrades!$U$17,I309),1)*IF(Upgrades!$T$18="Roche Lobe Overflow",POWER(Upgrades!$U$18,J309),1)*IF(Upgrades!$T$19="Roche Lobe Overflow",POWER(Upgrades!$U$19,K309),1)*IF(Upgrades!$T$20="Roche Lobe Overflow",POWER(Upgrades!$U$20,L309),1)*IF(Upgrades!$T$21="Roche Lobe Overflow",POWER(Upgrades!$U$21,M309),1))+(IF(I309=0,0,(Upgrades!$G$17+I309*Upgrades!$H$17)*POWER(Upgrades!$I$17,I309)))*(IF(Upgrades!$T$13="Brown Dwarf",POWER(Upgrades!$U$13,E309),1)*IF(Upgrades!$T$14="Brown Dwarf",POWER(Upgrades!$U$14,F309),1)*IF(Upgrades!$T$15="Brown Dwarf",POWER(Upgrades!$U$15,G309),1)*IF(Upgrades!$T$16="Brown Dwarf",POWER(Upgrades!$U$16,H309),1)*IF(Upgrades!$T$18="Brown Dwarf",POWER(Upgrades!$U$18,J309),1)*IF(Upgrades!$T$19="Brown Dwarf",POWER(Upgrades!$U$19,K309),1)*IF(Upgrades!$T$20="Brown Dwarf",POWER(Upgrades!$U$20,L309),1)*IF(Upgrades!$T$21="Brown Dwarf",POWER(Upgrades!$U$21,M309),1))+(IF(J309=0,0,(Upgrades!$G$18+J309*Upgrades!$H$18)*POWER(Upgrades!$I$18,J309)))*(IF(Upgrades!$T$13="Binary Partner",POWER(Upgrades!$U$13,E309),1)*IF(Upgrades!$T$14="Binary Partner",POWER(Upgrades!$U$14,F309),1)*IF(Upgrades!$T$15="Binary Partner",POWER(Upgrades!$U$15,G309),1)*IF(Upgrades!$T$16="Binary Partner",POWER(Upgrades!$U$16,H309),1)*IF(Upgrades!$T$17="Binary Partner",POWER(Upgrades!$U$17,I309),1)*IF(Upgrades!$T$19="Binary Partner",POWER(Upgrades!$U$19,K309),1)*IF(Upgrades!$T$20="Binary Partner",POWER(Upgrades!$U$20,L309),1)*IF(Upgrades!$T$21="Binary Partner",POWER(Upgrades!$U$21,M309),1))+(IF(K309=0,0,(Upgrades!$G$19+K309*Upgrades!$H$19)*POWER(Upgrades!$I$19,K309)))*(IF(Upgrades!$T$13="Peculiar Velocity",POWER(Upgrades!$U$13,E309),1)*IF(Upgrades!$T$14="Peculiar Velocity",POWER(Upgrades!$U$14,F309),1)*IF(Upgrades!$T$15="Peculiar Velocity",POWER(Upgrades!$U$15,G309),1)*IF(Upgrades!$T$16="Peculiar Velocity",POWER(Upgrades!$U$16,H309),1)*IF(Upgrades!$T$17="Peculiar Velocity",POWER(Upgrades!$U$17,I309),1)*IF(Upgrades!$T$18="Peculiar Velocity",POWER(Upgrades!$U$18,J309),1)*IF(Upgrades!$T$20="Peculiar Velocity",POWER(Upgrades!$U$20,L309),1)*IF(Upgrades!$T$21="Peculiar Velocity",POWER(Upgrades!$U$21,M309),1))+(IF(L309=0,0,(Upgrades!$G$20+L309*Upgrades!$H$20)*POWER(Upgrades!$I$20,L309)))*(IF(Upgrades!$T$13="Open Cluster",POWER(Upgrades!$U$13,E309),1)*IF(Upgrades!$T$14="Open Cluster",POWER(Upgrades!$U$14,F309),1)*IF(Upgrades!$T$15="Open Cluster",POWER(Upgrades!$U$15,G309),1)*IF(Upgrades!$T$16="Open Cluster",POWER(Upgrades!$U$16,H309),1)*IF(Upgrades!$T$17="Open Cluster",POWER(Upgrades!$U$17,I309),1)*IF(Upgrades!$T$18="Open Cluster",POWER(Upgrades!$U$18,J309),1)*IF(Upgrades!$T$19="Open Cluster",POWER(Upgrades!$U$19,K309),1)*IF(Upgrades!$T$21="Open Cluster",POWER(Upgrades!$U$21,M309),1))+(IF(M309=0,0,(Upgrades!$G$21+M309*Upgrades!$H$21)*POWER(Upgrades!$I$21,M309)))*(IF(Upgrades!$T$13="Moving Group",POWER(Upgrades!$U$13,E309),1)*IF(Upgrades!$T$14="Moving Group",POWER(Upgrades!$U$14,F309),1)*IF(Upgrades!$T$15="Moving Group",POWER(Upgrades!$U$15,G309),1)*IF(Upgrades!$T$16="Moving Group",POWER(Upgrades!$U$16,H309),1)*IF(Upgrades!$T$17="Moving Group",POWER(Upgrades!$U$17,I309),1)*IF(Upgrades!$T$18="Moving Group",POWER(Upgrades!$U$18,J309),1)*IF(Upgrades!$T$19="Moving Group",POWER(Upgrades!$U$19,K309),1)*IF(Upgrades!$T$20="Moving Group",POWER(Upgrades!$U$20,L309),1)))*POWER(Upgrades!$P$13,E309)*POWER(Upgrades!$P$14,F309)*POWER(Upgrades!$P$15,G309)*POWER(Upgrades!$P$16,H309)*POWER(Upgrades!$P$17,I309)*POWER(Upgrades!$P$18,J309)*POWER(Upgrades!$P$19,K309)*POWER(Upgrades!$P$20,L309)*POWER(Upgrades!$P$21,M309)*$F$6+$C$6</f>
        <v/>
      </c>
      <c r="Q309" s="28">
        <f>((IF(E309=0,0,(Upgrades!$M$13+E309*Upgrades!$N$13)*POWER(Upgrades!$O$13,E309)))*(IF(Upgrades!$T$14="Stellar Kinematics",POWER(Upgrades!$U$14,F309),1)*IF(Upgrades!$T$15="Stellar Kinematics",POWER(Upgrades!$U$15,G309),1)*IF(Upgrades!$T$16="Stellar Kinematics",POWER(Upgrades!$U$16,H309),1)*IF(Upgrades!$T$17="Stellar Kinematics",POWER(Upgrades!$U$17,I309),1)*IF(Upgrades!$T$18="Stellar Kinematics",POWER(Upgrades!$U$18,J309),1)*IF(Upgrades!$T$19="Stellar Kinematics",POWER(Upgrades!$U$19,K309),1)*IF(Upgrades!$T$20="Stellar Kinematics",POWER(Upgrades!$U$20,L309),1)*IF(Upgrades!$T$21="Stellar Kinematics",POWER(Upgrades!$U$21,M309),1))+(IF(F309=0,0,(Upgrades!$M$14+F309*Upgrades!$N$14)*POWER(Upgrades!$O$14,F309)))*(IF(Upgrades!$T$13="Local Bubble",POWER(Upgrades!$U$13,E309),1)*IF(Upgrades!$T$15="Local Bubble",POWER(Upgrades!$U$15,G309),1)*IF(Upgrades!$T$16="Local Bubble",POWER(Upgrades!$U$16,H309),1)*IF(Upgrades!$T$17="Local Bubble",POWER(Upgrades!$U$17,I309),1)*IF(Upgrades!$T$18="Local Bubble",POWER(Upgrades!$U$18,J309),1)*IF(Upgrades!$T$19="Local Bubble",POWER(Upgrades!$U$19,K309),1)*IF(Upgrades!$T$20="Local Bubble",POWER(Upgrades!$U$20,L309),1)*IF(Upgrades!$T$21="Local Bubble",POWER(Upgrades!$U$21,M309),1))+(IF(G309=0,0,(Upgrades!$M$15+G309*Upgrades!$N$15)*POWER(Upgrades!$O$15,G309)))*(IF(Upgrades!$T$13="Microlensing",POWER(Upgrades!$U$13,E309),1)*IF(Upgrades!$T$14="Microlensing",POWER(Upgrades!$U$14,F309),1)*IF(Upgrades!$T$16="Microlensing",POWER(Upgrades!$U$16,H309),1)*IF(Upgrades!$T$17="Microlensing",POWER(Upgrades!$U$17,I309),1)*IF(Upgrades!$T$18="Microlensing",POWER(Upgrades!$U$18,J309),1)*IF(Upgrades!$T$19="Microlensing",POWER(Upgrades!$U$19,K309),1)*IF(Upgrades!$T$20="Microlensing",POWER(Upgrades!$U$20,L309),1)*IF(Upgrades!$T$21="Microlensing",POWER(Upgrades!$U$21,M309),1))+(IF(H309=0,0,(Upgrades!$M$16+H309*Upgrades!$N$16)*POWER(Upgrades!$O$16,H309)))*(IF(Upgrades!$T$13="Roche Lobe Overflow",POWER(Upgrades!$U$13,E309),1)*IF(Upgrades!$T$14="Roche Lobe Overflow",POWER(Upgrades!$U$14,F309),1)*IF(Upgrades!$T$15="Roche Lobe Overflow",POWER(Upgrades!$U$15,G309),1)*IF(Upgrades!$T$17="Roche Lobe Overflow",POWER(Upgrades!$U$17,I309),1)*IF(Upgrades!$T$18="Roche Lobe Overflow",POWER(Upgrades!$U$18,J309),1)*IF(Upgrades!$T$19="Roche Lobe Overflow",POWER(Upgrades!$U$19,K309),1)*IF(Upgrades!$T$20="Roche Lobe Overflow",POWER(Upgrades!$U$20,L309),1)*IF(Upgrades!$T$21="Roche Lobe Overflow",POWER(Upgrades!$U$21,M309),1))+(IF(I309=0,0,(Upgrades!$M$17+I309*Upgrades!$N$17)*POWER(Upgrades!$O$17,I309)))*(IF(Upgrades!$T$13="Brown Dwarf",POWER(Upgrades!$U$13,E309),1)*IF(Upgrades!$T$14="Brown Dwarf",POWER(Upgrades!$U$14,F309),1)*IF(Upgrades!$T$15="Brown Dwarf",POWER(Upgrades!$U$15,G309),1)*IF(Upgrades!$T$16="Brown Dwarf",POWER(Upgrades!$U$16,H309),1)*IF(Upgrades!$T$18="Brown Dwarf",POWER(Upgrades!$U$18,J309),1)*IF(Upgrades!$T$19="Brown Dwarf",POWER(Upgrades!$U$19,K309),1)*IF(Upgrades!$T$20="Brown Dwarf",POWER(Upgrades!$U$20,L309),1)*IF(Upgrades!$T$21="Brown Dwarf",POWER(Upgrades!$U$21,M309),1))+(IF(J309=0,0,(Upgrades!$M$18+J309*Upgrades!$N$18)*POWER(Upgrades!$O$18,J309)))*(IF(Upgrades!$T$13="Binary Partner",POWER(Upgrades!$U$13,E309),1)*IF(Upgrades!$T$14="Binary Partner",POWER(Upgrades!$U$14,F309),1)*IF(Upgrades!$T$15="Binary Partner",POWER(Upgrades!$U$15,G309),1)*IF(Upgrades!$T$16="Binary Partner",POWER(Upgrades!$U$16,H309),1)*IF(Upgrades!$T$17="Binary Partner",POWER(Upgrades!$U$17,I309),1)*IF(Upgrades!$T$19="Binary Partner",POWER(Upgrades!$U$19,K309),1)*IF(Upgrades!$T$20="Binary Partner",POWER(Upgrades!$U$20,L309),1)*IF(Upgrades!$T$21="Binary Partner",POWER(Upgrades!$U$21,M309),1))+(IF(K309=0,0,(Upgrades!$M$19+K309*Upgrades!$N$19)*POWER(Upgrades!$O$19,K309)))*(IF(Upgrades!$T$13="Peculiar Velocity",POWER(Upgrades!$U$13,E309),1)*IF(Upgrades!$T$14="Peculiar Velocity",POWER(Upgrades!$U$14,F309),1)*IF(Upgrades!$T$15="Peculiar Velocity",POWER(Upgrades!$U$15,G309),1)*IF(Upgrades!$T$16="Peculiar Velocity",POWER(Upgrades!$U$16,H309),1)*IF(Upgrades!$T$17="Peculiar Velocity",POWER(Upgrades!$U$17,I309),1)*IF(Upgrades!$T$18="Peculiar Velocity",POWER(Upgrades!$U$18,J309),1)*IF(Upgrades!$T$20="Peculiar Velocity",POWER(Upgrades!$U$20,L309),1)*IF(Upgrades!$T$21="Peculiar Velocity",POWER(Upgrades!$U$21,M309),1))+(IF(L309=0,0,(Upgrades!$M$20+L309*Upgrades!$N$20)*POWER(Upgrades!$O$20,L309)))*(IF(Upgrades!$T$13="Open Cluster",POWER(Upgrades!$U$13,E309),1)*IF(Upgrades!$T$14="Open Cluster",POWER(Upgrades!$U$14,F309),1)*IF(Upgrades!$T$15="Open Cluster",POWER(Upgrades!$U$15,G309),1)*IF(Upgrades!$T$16="Open Cluster",POWER(Upgrades!$U$16,H309),1)*IF(Upgrades!$T$17="Open Cluster",POWER(Upgrades!$U$17,I309),1)*IF(Upgrades!$T$18="Open Cluster",POWER(Upgrades!$U$18,J309),1)*IF(Upgrades!$T$19="Open Cluster",POWER(Upgrades!$U$19,K309),1)*IF(Upgrades!$T$21="Open Cluster",POWER(Upgrades!$U$21,M309),1))+(IF(M309=0,0,(Upgrades!$M$21+M309*Upgrades!$N$21)*POWER(Upgrades!$O$21,M309)))*(IF(Upgrades!$T$13="Moving Group",POWER(Upgrades!$U$13,E309),1)*IF(Upgrades!$T$14="Moving Group",POWER(Upgrades!$U$14,F309),1)*IF(Upgrades!$T$15="Moving Group",POWER(Upgrades!$U$15,G309),1)*IF(Upgrades!$T$16="Moving Group",POWER(Upgrades!$U$16,H309),1)*IF(Upgrades!$T$17="Moving Group",POWER(Upgrades!$U$17,I309),1)*IF(Upgrades!$T$18="Moving Group",POWER(Upgrades!$U$18,J309),1)*IF(Upgrades!$T$19="Moving Group",POWER(Upgrades!$U$19,K309),1)*IF(Upgrades!$T$20="Moving Group",POWER(Upgrades!$U$20,L309),1)))*POWER(Upgrades!$R$13,E309)*POWER(Upgrades!$R$14,F309)*POWER(Upgrades!$R$15,G309)*POWER(Upgrades!$R$16,H309)*POWER(Upgrades!$R$17,I309)*POWER(Upgrades!$R$18,J309)*POWER(Upgrades!$R$19,K309)*POWER(Upgrades!$R$20,L309)*POWER(Upgrades!$R$21,M309)*$H$6+$E$6</f>
        <v/>
      </c>
      <c r="R309" s="27">
        <f>IF(N309=1,0,O309*Parameters!$B$10/60*Parameters!$B$11*10)</f>
        <v/>
      </c>
      <c r="S309" s="27">
        <f>IF(N309=1,0,Q309*O309*10)</f>
        <v/>
      </c>
      <c r="T309" s="27">
        <f>IF(N309=1,0,R309+S309+P309*10)</f>
        <v/>
      </c>
      <c r="U309" s="33">
        <f>BE309</f>
        <v/>
      </c>
      <c r="V309" s="22">
        <f>IF(U309="",0,IF(U309="transition",0,IF(U309="SK",AK309,IF(U309="LB",AL309,IF(U309="ML",AM309,IF(U309="RLO",AN309,IF(U309="BD",AO309,IF(U309="BiP",AP309,IF(U309="PV",AQ309,IF(U309="OC",AR309,IF(U309="MG",AS309,0))))))))))</f>
        <v/>
      </c>
      <c r="W309" s="27">
        <f>IF(U309="BiP",Upgrades!$F$18,IF(U309="PV",Upgrades!$F$19,IF(U309="OC",Upgrades!$F$20,IF(U309="MG",Upgrades!$F$21,IF(U309="transition",-Parameters!$B$18*Parameters!$B$19,0)))))</f>
        <v/>
      </c>
      <c r="X309" s="22">
        <f>C309+T309-V309</f>
        <v/>
      </c>
      <c r="Y309" s="30">
        <f>O309*Parameters!$B$10/60*Parameters!$B$11+Q309*O309+P309</f>
        <v/>
      </c>
      <c r="Z309" s="34">
        <f>IF(U309="transition","→ Tier 3 (Galactic Arm)",IF(U309="MG","Moving Group — pocket drifts together",IF(U309="OC","Open Cluster acquired",IF(U309="PV","Peculiar Velocity — passive multiplier active",IF(U309="BiP","Binary Partner — pair bond formed",IF(AND(AU309=1,N309=0,AT309&lt;&gt;1),"Cohesion ready (waiting on completionists)","")))))) </f>
        <v/>
      </c>
      <c r="AA309" s="27">
        <f>(IF(E309=0,0,(Upgrades!$G$13+E309*Upgrades!$H$13)*POWER(Upgrades!$I$13,E309)))*(IF(Upgrades!$T$14="Stellar Kinematics",POWER(Upgrades!$U$14,F309),1)*IF(Upgrades!$T$15="Stellar Kinematics",POWER(Upgrades!$U$15,G309),1)*IF(Upgrades!$T$16="Stellar Kinematics",POWER(Upgrades!$U$16,H309),1)*IF(Upgrades!$T$17="Stellar Kinematics",POWER(Upgrades!$U$17,I309),1)*IF(Upgrades!$T$18="Stellar Kinematics",POWER(Upgrades!$U$18,J309),1)*IF(Upgrades!$T$19="Stellar Kinematics",POWER(Upgrades!$U$19,K309),1)*IF(Upgrades!$T$20="Stellar Kinematics",POWER(Upgrades!$U$20,L309),1)*IF(Upgrades!$T$21="Stellar Kinematics",POWER(Upgrades!$U$21,M309),1))*POWER(Upgrades!$P$13,E309)*POWER(Upgrades!$P$14,F309)*POWER(Upgrades!$P$15,G309)*POWER(Upgrades!$P$16,H309)*POWER(Upgrades!$P$17,I309)*POWER(Upgrades!$P$18,J309)*POWER(Upgrades!$P$19,K309)*POWER(Upgrades!$P$20,L309)*POWER(Upgrades!$P$21,M309)*$F$6*60</f>
        <v/>
      </c>
      <c r="AB309" s="27">
        <f>(IF(F309=0,0,(Upgrades!$G$14+F309*Upgrades!$H$14)*POWER(Upgrades!$I$14,F309)))*(IF(Upgrades!$T$13="Local Bubble",POWER(Upgrades!$U$13,E309),1)*IF(Upgrades!$T$15="Local Bubble",POWER(Upgrades!$U$15,G309),1)*IF(Upgrades!$T$16="Local Bubble",POWER(Upgrades!$U$16,H309),1)*IF(Upgrades!$T$17="Local Bubble",POWER(Upgrades!$U$17,I309),1)*IF(Upgrades!$T$18="Local Bubble",POWER(Upgrades!$U$18,J309),1)*IF(Upgrades!$T$19="Local Bubble",POWER(Upgrades!$U$19,K309),1)*IF(Upgrades!$T$20="Local Bubble",POWER(Upgrades!$U$20,L309),1)*IF(Upgrades!$T$21="Local Bubble",POWER(Upgrades!$U$21,M309),1))*POWER(Upgrades!$P$13,E309)*POWER(Upgrades!$P$14,F309)*POWER(Upgrades!$P$15,G309)*POWER(Upgrades!$P$16,H309)*POWER(Upgrades!$P$17,I309)*POWER(Upgrades!$P$18,J309)*POWER(Upgrades!$P$19,K309)*POWER(Upgrades!$P$20,L309)*POWER(Upgrades!$P$21,M309)*$F$6*60</f>
        <v/>
      </c>
      <c r="AC309" s="27">
        <f>(IF(G309=0,0,(Upgrades!$J$15+G309*Upgrades!$K$15)*POWER(Upgrades!$L$15,G309)))*(IF(Upgrades!$T$13="Microlensing",POWER(Upgrades!$U$13,E309),1)*IF(Upgrades!$T$14="Microlensing",POWER(Upgrades!$U$14,F309),1)*IF(Upgrades!$T$16="Microlensing",POWER(Upgrades!$U$16,H309),1)*IF(Upgrades!$T$17="Microlensing",POWER(Upgrades!$U$17,I309),1)*IF(Upgrades!$T$18="Microlensing",POWER(Upgrades!$U$18,J309),1)*IF(Upgrades!$T$19="Microlensing",POWER(Upgrades!$U$19,K309),1)*IF(Upgrades!$T$20="Microlensing",POWER(Upgrades!$U$20,L309),1)*IF(Upgrades!$T$21="Microlensing",POWER(Upgrades!$U$21,M309),1))*POWER(Upgrades!$Q$13,E309)*POWER(Upgrades!$Q$14,F309)*POWER(Upgrades!$Q$15,G309)*POWER(Upgrades!$Q$16,H309)*POWER(Upgrades!$Q$17,I309)*POWER(Upgrades!$Q$18,J309)*POWER(Upgrades!$Q$19,K309)*POWER(Upgrades!$Q$20,L309)*POWER(Upgrades!$Q$21,M309)*$G$6*(Parameters!$B$10*Parameters!$B$11+Q309*60)</f>
        <v/>
      </c>
      <c r="AD309" s="27">
        <f>(IF(H309=0,0,(Upgrades!$M$16+H309*Upgrades!$N$16)*POWER(Upgrades!$O$16,H309)))*(IF(Upgrades!$T$13="Roche Lobe Overflow",POWER(Upgrades!$U$13,E309),1)*IF(Upgrades!$T$14="Roche Lobe Overflow",POWER(Upgrades!$U$14,F309),1)*IF(Upgrades!$T$15="Roche Lobe Overflow",POWER(Upgrades!$U$15,G309),1)*IF(Upgrades!$T$17="Roche Lobe Overflow",POWER(Upgrades!$U$17,I309),1)*IF(Upgrades!$T$18="Roche Lobe Overflow",POWER(Upgrades!$U$18,J309),1)*IF(Upgrades!$T$19="Roche Lobe Overflow",POWER(Upgrades!$U$19,K309),1)*IF(Upgrades!$T$20="Roche Lobe Overflow",POWER(Upgrades!$U$20,L309),1)*IF(Upgrades!$T$21="Roche Lobe Overflow",POWER(Upgrades!$U$21,M309),1))*POWER(Upgrades!$R$13,E309)*POWER(Upgrades!$R$14,F309)*POWER(Upgrades!$R$15,G309)*POWER(Upgrades!$R$16,H309)*POWER(Upgrades!$R$17,I309)*POWER(Upgrades!$R$18,J309)*POWER(Upgrades!$R$19,K309)*POWER(Upgrades!$R$20,L309)*POWER(Upgrades!$R$21,M309)*$H$6*O309*60</f>
        <v/>
      </c>
      <c r="AE309" s="27">
        <f>(IF(I309=0,0,(Upgrades!$G$17+I309*Upgrades!$H$17)*POWER(Upgrades!$I$17,I309)))*(IF(Upgrades!$T$13="Brown Dwarf",POWER(Upgrades!$U$13,E309),1)*IF(Upgrades!$T$14="Brown Dwarf",POWER(Upgrades!$U$14,F309),1)*IF(Upgrades!$T$15="Brown Dwarf",POWER(Upgrades!$U$15,G309),1)*IF(Upgrades!$T$16="Brown Dwarf",POWER(Upgrades!$U$16,H309),1)*IF(Upgrades!$T$18="Brown Dwarf",POWER(Upgrades!$U$18,J309),1)*IF(Upgrades!$T$19="Brown Dwarf",POWER(Upgrades!$U$19,K309),1)*IF(Upgrades!$T$20="Brown Dwarf",POWER(Upgrades!$U$20,L309),1)*IF(Upgrades!$T$21="Brown Dwarf",POWER(Upgrades!$U$21,M309),1))*POWER(Upgrades!$P$13,E309)*POWER(Upgrades!$P$14,F309)*POWER(Upgrades!$P$15,G309)*POWER(Upgrades!$P$16,H309)*POWER(Upgrades!$P$17,I309)*POWER(Upgrades!$P$18,J309)*POWER(Upgrades!$P$19,K309)*POWER(Upgrades!$P$20,L309)*POWER(Upgrades!$P$21,M309)*$F$6*60</f>
        <v/>
      </c>
      <c r="AF309" s="27" t="n">
        <v>0</v>
      </c>
      <c r="AG309" s="27" t="n">
        <v>0</v>
      </c>
      <c r="AH309" s="27" t="n">
        <v>0</v>
      </c>
      <c r="AI309" s="27">
        <f>(IF(M309=0,0,(Upgrades!$G$21+M309*Upgrades!$H$21)*POWER(Upgrades!$I$21,M309)))*(IF(Upgrades!$T$13="Moving Group",POWER(Upgrades!$U$13,E309),1)*IF(Upgrades!$T$14="Moving Group",POWER(Upgrades!$U$14,F309),1)*IF(Upgrades!$T$15="Moving Group",POWER(Upgrades!$U$15,G309),1)*IF(Upgrades!$T$16="Moving Group",POWER(Upgrades!$U$16,H309),1)*IF(Upgrades!$T$17="Moving Group",POWER(Upgrades!$U$17,I309),1)*IF(Upgrades!$T$18="Moving Group",POWER(Upgrades!$U$18,J309),1)*IF(Upgrades!$T$19="Moving Group",POWER(Upgrades!$U$19,K309),1)*IF(Upgrades!$T$20="Moving Group",POWER(Upgrades!$U$20,L309),1))*POWER(Upgrades!$P$13,E309)*POWER(Upgrades!$P$14,F309)*POWER(Upgrades!$P$15,G309)*POWER(Upgrades!$P$16,H309)*POWER(Upgrades!$P$17,I309)*POWER(Upgrades!$P$18,J309)*POWER(Upgrades!$P$19,K309)*POWER(Upgrades!$P$20,L309)*POWER(Upgrades!$P$21,M309)*$F$6*60</f>
        <v/>
      </c>
      <c r="AJ309" s="27">
        <f>$C$6*60</f>
        <v/>
      </c>
      <c r="AK309" s="22">
        <f>IF(E309&gt;=Upgrades!$E$13,"",Upgrades!$C$13*POWER(Upgrades!$D$13,E309))</f>
        <v/>
      </c>
      <c r="AL309" s="22">
        <f>IF(F309&gt;=Upgrades!$E$14,"",Upgrades!$C$14*POWER(Upgrades!$D$14,F309))</f>
        <v/>
      </c>
      <c r="AM309" s="22">
        <f>IF(G309&gt;=Upgrades!$E$15,"",Upgrades!$C$15*POWER(Upgrades!$D$15,G309))</f>
        <v/>
      </c>
      <c r="AN309" s="22">
        <f>IF(H309&gt;=Upgrades!$E$16,"",Upgrades!$C$16*POWER(Upgrades!$D$16,H309))</f>
        <v/>
      </c>
      <c r="AO309" s="22">
        <f>IF(I309&gt;=Upgrades!$E$17,"",Upgrades!$C$17*POWER(Upgrades!$D$17,I309))</f>
        <v/>
      </c>
      <c r="AP309" s="22">
        <f>IF(J309&gt;=Upgrades!$E$18,"",Upgrades!$C$18*POWER(Upgrades!$D$18,J309))</f>
        <v/>
      </c>
      <c r="AQ309" s="22">
        <f>IF(K309&gt;=Upgrades!$E$19,"",Upgrades!$C$19*POWER(Upgrades!$D$19,K309))</f>
        <v/>
      </c>
      <c r="AR309" s="22">
        <f>IF(L309&gt;=Upgrades!$E$20,"",Upgrades!$C$20*POWER(Upgrades!$D$20,L309))</f>
        <v/>
      </c>
      <c r="AS309" s="22">
        <f>IF(M309&gt;=Upgrades!$E$21,"",Upgrades!$C$21*POWER(Upgrades!$D$21,M309))</f>
        <v/>
      </c>
      <c r="AT309" s="26">
        <f>IF(AND(D309&gt;=Parameters!$B$18*Parameters!$B$19,(I309&gt;=Upgrades!$E$17)*(M309&gt;=Upgrades!$E$21)=1,N309=0),1,"")</f>
        <v/>
      </c>
      <c r="AU309" s="26">
        <f>IF(AND(D309&gt;=Parameters!$B$18*Parameters!$B$19,N309=0),1,"")</f>
        <v/>
      </c>
      <c r="AV309" s="22">
        <f>MIN(IF(ISNUMBER(AP309),AP309,9E15),IF(ISNUMBER(AQ309),AQ309,9E15),IF(ISNUMBER(AR309),AR309,9E15),IF(ISNUMBER(AS309),AS309,9E15))</f>
        <v/>
      </c>
      <c r="AW309" s="22">
        <f>MIN(IF(ISNUMBER(AK309),AK309,9E15),IF(ISNUMBER(AL309),AL309,9E15),IF(ISNUMBER(AM309),AM309,9E15),IF(ISNUMBER(AN309),AN309,9E15),IF(ISNUMBER(AO309),AO309,9E15))</f>
        <v/>
      </c>
      <c r="AX309" s="29">
        <f>IF(BD309&gt;Parameters!$B$21*(MAX(IF(AND(NOT(AND(AU309=1,AT309&lt;&gt;1)),ISNUMBER(AK309),AK309&lt;=(C309+T309)),AY309,0),IF(AND(NOT(AND(AU309=1,AT309&lt;&gt;1)),ISNUMBER(AL309),AL309&lt;=(C309+T309)),AZ309,0),IF(AND(NOT(AND(AU309=1,AT309&lt;&gt;1)),ISNUMBER(AM309),AM309&lt;=(C309+T309)),BA309,0),IF(AND(NOT(AND(AU309=1,AT309&lt;&gt;1)),ISNUMBER(AN309),AN309&lt;=(C309+T309)),BB309,0),IF(AND(ISNUMBER(AO309),AO309&lt;=(C309+T309)),BC309,0))),TRUE,FALSE)</f>
        <v/>
      </c>
      <c r="AY309" s="32">
        <f>IFERROR(Upgrades!$H$13*(POWER(Upgrades!$P$13,E309)*POWER(Upgrades!$P$14,F309)*POWER(Upgrades!$P$15,G309)*POWER(Upgrades!$P$16,H309)*POWER(Upgrades!$P$17,I309)*POWER(Upgrades!$P$18,J309)*POWER(Upgrades!$P$19,K309)*POWER(Upgrades!$P$20,L309)*POWER(Upgrades!$P$21,M309))*(IF(Upgrades!$T$14="Stellar Kinematics",POWER(Upgrades!$U$14,F309),1)*IF(Upgrades!$T$15="Stellar Kinematics",POWER(Upgrades!$U$15,G309),1)*IF(Upgrades!$T$16="Stellar Kinematics",POWER(Upgrades!$U$16,H309),1)*IF(Upgrades!$T$17="Stellar Kinematics",POWER(Upgrades!$U$17,I309),1)*IF(Upgrades!$T$18="Stellar Kinematics",POWER(Upgrades!$U$18,J309),1)*IF(Upgrades!$T$19="Stellar Kinematics",POWER(Upgrades!$U$19,K309),1)*IF(Upgrades!$T$20="Stellar Kinematics",POWER(Upgrades!$U$20,L309),1)*IF(Upgrades!$T$21="Stellar Kinematics",POWER(Upgrades!$U$21,M309),1))*$F$6/AK309,0)</f>
        <v/>
      </c>
      <c r="AZ309" s="32">
        <f>IFERROR(Upgrades!$H$14*(POWER(Upgrades!$P$13,E309)*POWER(Upgrades!$P$14,F309)*POWER(Upgrades!$P$15,G309)*POWER(Upgrades!$P$16,H309)*POWER(Upgrades!$P$17,I309)*POWER(Upgrades!$P$18,J309)*POWER(Upgrades!$P$19,K309)*POWER(Upgrades!$P$20,L309)*POWER(Upgrades!$P$21,M309))*(IF(Upgrades!$T$13="Local Bubble",POWER(Upgrades!$U$13,E309),1)*IF(Upgrades!$T$15="Local Bubble",POWER(Upgrades!$U$15,G309),1)*IF(Upgrades!$T$16="Local Bubble",POWER(Upgrades!$U$16,H309),1)*IF(Upgrades!$T$17="Local Bubble",POWER(Upgrades!$U$17,I309),1)*IF(Upgrades!$T$18="Local Bubble",POWER(Upgrades!$U$18,J309),1)*IF(Upgrades!$T$19="Local Bubble",POWER(Upgrades!$U$19,K309),1)*IF(Upgrades!$T$20="Local Bubble",POWER(Upgrades!$U$20,L309),1)*IF(Upgrades!$T$21="Local Bubble",POWER(Upgrades!$U$21,M309),1))*$F$6/AL309,0)</f>
        <v/>
      </c>
      <c r="BA309" s="32">
        <f>IFERROR(Upgrades!$K$15*(POWER(Upgrades!$Q$13,E309)*POWER(Upgrades!$Q$14,F309)*POWER(Upgrades!$Q$15,G309)*POWER(Upgrades!$Q$16,H309)*POWER(Upgrades!$Q$17,I309)*POWER(Upgrades!$Q$18,J309)*POWER(Upgrades!$Q$19,K309)*POWER(Upgrades!$Q$20,L309)*POWER(Upgrades!$Q$21,M309))*(IF(Upgrades!$T$13="Microlensing",POWER(Upgrades!$U$13,E309),1)*IF(Upgrades!$T$14="Microlensing",POWER(Upgrades!$U$14,F309),1)*IF(Upgrades!$T$16="Microlensing",POWER(Upgrades!$U$16,H309),1)*IF(Upgrades!$T$17="Microlensing",POWER(Upgrades!$U$17,I309),1)*IF(Upgrades!$T$18="Microlensing",POWER(Upgrades!$U$18,J309),1)*IF(Upgrades!$T$19="Microlensing",POWER(Upgrades!$U$19,K309),1)*IF(Upgrades!$T$20="Microlensing",POWER(Upgrades!$U$20,L309),1)*IF(Upgrades!$T$21="Microlensing",POWER(Upgrades!$U$21,M309),1))*$G$6*(Parameters!$B$10/60*Parameters!$B$11+Q309)/AM309,0)</f>
        <v/>
      </c>
      <c r="BB309" s="32">
        <f>IFERROR((Upgrades!$N$16*(POWER(Upgrades!$R$13,E309)*POWER(Upgrades!$R$14,F309)*POWER(Upgrades!$R$15,G309)*POWER(Upgrades!$R$16,H309)*POWER(Upgrades!$R$17,I309)*POWER(Upgrades!$R$18,J309)*POWER(Upgrades!$R$19,K309)*POWER(Upgrades!$R$20,L309)*POWER(Upgrades!$R$21,M309))*(IF(Upgrades!$T$13="Roche Lobe Overflow",POWER(Upgrades!$U$13,E309),1)*IF(Upgrades!$T$14="Roche Lobe Overflow",POWER(Upgrades!$U$14,F309),1)*IF(Upgrades!$T$15="Roche Lobe Overflow",POWER(Upgrades!$U$15,G309),1)*IF(Upgrades!$T$17="Roche Lobe Overflow",POWER(Upgrades!$U$17,I309),1)*IF(Upgrades!$T$18="Roche Lobe Overflow",POWER(Upgrades!$U$18,J309),1)*IF(Upgrades!$T$19="Roche Lobe Overflow",POWER(Upgrades!$U$19,K309),1)*IF(Upgrades!$T$20="Roche Lobe Overflow",POWER(Upgrades!$U$20,L309),1)*IF(Upgrades!$T$21="Roche Lobe Overflow",POWER(Upgrades!$U$21,M309),1))*$H$6*O309+((IF(F309=0,0,(Upgrades!$G$14+F309*Upgrades!$H$14)*POWER(Upgrades!$I$14,F309)))*(IF(Upgrades!$T$13="Local Bubble",POWER(Upgrades!$U$13,E309),1)*IF(Upgrades!$T$15="Local Bubble",POWER(Upgrades!$U$15,G309),1)*IF(Upgrades!$T$16="Local Bubble",POWER(Upgrades!$U$16,H309),1)*IF(Upgrades!$T$17="Local Bubble",POWER(Upgrades!$U$17,I309),1)*IF(Upgrades!$T$18="Local Bubble",POWER(Upgrades!$U$18,J309),1)*IF(Upgrades!$T$19="Local Bubble",POWER(Upgrades!$U$19,K309),1)*IF(Upgrades!$T$20="Local Bubble",POWER(Upgrades!$U$20,L309),1)*IF(Upgrades!$T$21="Local Bubble",POWER(Upgrades!$U$21,M309),1))*POWER(Upgrades!$P$13,E309)*POWER(Upgrades!$P$14,F309)*POWER(Upgrades!$P$15,G309)*POWER(Upgrades!$P$16,H309)*POWER(Upgrades!$P$17,I309)*POWER(Upgrades!$P$18,J309)*POWER(Upgrades!$P$19,K309)*POWER(Upgrades!$P$20,L309)*POWER(Upgrades!$P$21,M309)*$F$6)*0.05)/AN309,0)</f>
        <v/>
      </c>
      <c r="BC309" s="32">
        <f>IFERROR((Upgrades!$H$17*(POWER(Upgrades!$P$13,E309)*POWER(Upgrades!$P$14,F309)*POWER(Upgrades!$P$15,G309)*POWER(Upgrades!$P$16,H309)*POWER(Upgrades!$P$17,I309)*POWER(Upgrades!$P$18,J309)*POWER(Upgrades!$P$19,K309)*POWER(Upgrades!$P$20,L309)*POWER(Upgrades!$P$21,M309))*(IF(Upgrades!$T$13="Brown Dwarf",POWER(Upgrades!$U$13,E309),1)*IF(Upgrades!$T$14="Brown Dwarf",POWER(Upgrades!$U$14,F309),1)*IF(Upgrades!$T$15="Brown Dwarf",POWER(Upgrades!$U$15,G309),1)*IF(Upgrades!$T$16="Brown Dwarf",POWER(Upgrades!$U$16,H309),1)*IF(Upgrades!$T$18="Brown Dwarf",POWER(Upgrades!$U$18,J309),1)*IF(Upgrades!$T$19="Brown Dwarf",POWER(Upgrades!$U$19,K309),1)*IF(Upgrades!$T$20="Brown Dwarf",POWER(Upgrades!$U$20,L309),1)*IF(Upgrades!$T$21="Brown Dwarf",POWER(Upgrades!$U$21,M309),1))*$F$6+(((IF(H309=0,0,(Upgrades!$M$16+H309*Upgrades!$N$16)*POWER(Upgrades!$O$16,H309)))*(IF(Upgrades!$T$13="Roche Lobe Overflow",POWER(Upgrades!$U$13,E309),1)*IF(Upgrades!$T$14="Roche Lobe Overflow",POWER(Upgrades!$U$14,F309),1)*IF(Upgrades!$T$15="Roche Lobe Overflow",POWER(Upgrades!$U$15,G309),1)*IF(Upgrades!$T$17="Roche Lobe Overflow",POWER(Upgrades!$U$17,I309),1)*IF(Upgrades!$T$18="Roche Lobe Overflow",POWER(Upgrades!$U$18,J309),1)*IF(Upgrades!$T$19="Roche Lobe Overflow",POWER(Upgrades!$U$19,K309),1)*IF(Upgrades!$T$20="Roche Lobe Overflow",POWER(Upgrades!$U$20,L309),1)*IF(Upgrades!$T$21="Roche Lobe Overflow",POWER(Upgrades!$U$21,M309),1))*POWER(Upgrades!$R$13,E309)*POWER(Upgrades!$R$14,F309)*POWER(Upgrades!$R$15,G309)*POWER(Upgrades!$R$16,H309)*POWER(Upgrades!$R$17,I309)*POWER(Upgrades!$R$18,J309)*POWER(Upgrades!$R$19,K309)*POWER(Upgrades!$R$20,L309)*POWER(Upgrades!$R$21,M309)*$H$6)*O309)*0.10)/AO309,0)</f>
        <v/>
      </c>
      <c r="BD309" s="32">
        <f>MAX(IF(J309&gt;0,0,IFERROR(0.5*((IF(G309=0,0,(Upgrades!$J$15+G309*Upgrades!$K$15)*POWER(Upgrades!$L$15,G309)))*(IF(Upgrades!$T$13="Microlensing",POWER(Upgrades!$U$13,E309),1)*IF(Upgrades!$T$14="Microlensing",POWER(Upgrades!$U$14,F309),1)*IF(Upgrades!$T$16="Microlensing",POWER(Upgrades!$U$16,H309),1)*IF(Upgrades!$T$17="Microlensing",POWER(Upgrades!$U$17,I309),1)*IF(Upgrades!$T$18="Microlensing",POWER(Upgrades!$U$18,J309),1)*IF(Upgrades!$T$19="Microlensing",POWER(Upgrades!$U$19,K309),1)*IF(Upgrades!$T$20="Microlensing",POWER(Upgrades!$U$20,L309),1)*IF(Upgrades!$T$21="Microlensing",POWER(Upgrades!$U$21,M309),1))*(POWER(Upgrades!$Q$13,E309)*POWER(Upgrades!$Q$14,F309)*POWER(Upgrades!$Q$15,G309)*POWER(Upgrades!$Q$16,H309)*POWER(Upgrades!$Q$17,I309)*POWER(Upgrades!$Q$18,J309)*POWER(Upgrades!$Q$19,K309)*POWER(Upgrades!$Q$20,L309)*POWER(Upgrades!$Q$21,M309))*$G$6*(Parameters!$B$10/60*Parameters!$B$11+Q309))/Upgrades!$C$18,0)),IF(K309&gt;0,0,IFERROR(0.30*P309/Upgrades!$C$19,0)),IF(L309&gt;0,0,IFERROR(0.0001/Upgrades!$C$20,0)),IF(M309&gt;0,0,IFERROR((6.0*(POWER(Upgrades!$P$13,E309)*POWER(Upgrades!$P$14,F309)*POWER(Upgrades!$P$15,G309)*POWER(Upgrades!$P$16,H309)*POWER(Upgrades!$P$17,I309)*POWER(Upgrades!$P$18,J309)*POWER(Upgrades!$P$19,K309)*POWER(Upgrades!$P$20,L309)*POWER(Upgrades!$P$21,M309))*$F$6+0.20*O309*(Parameters!$B$10/60*Parameters!$B$11+Q309))/Upgrades!$C$21,0)),IF(AND(ISNUMBER(AK309),AK309&gt;(C309+T309)),AY309,0),IF(AND(ISNUMBER(AL309),AL309&gt;(C309+T309)),AZ309,0),IF(AND(ISNUMBER(AM309),AM309&gt;(C309+T309)),BA309,0),IF(AND(ISNUMBER(AN309),AN309&gt;(C309+T309)),BB309,0),IF(AND(ISNUMBER(AO309),AO309&gt;(C309+T309)),BC309,0))</f>
        <v/>
      </c>
      <c r="BE309" s="29">
        <f>IF(AT309=1,"transition",IF(MIN(IF(AND(J309=0,ISNUMBER(AP309),AP309&lt;=(C309+T309)),AP309,9E15),IF(AND(K309=0,ISNUMBER(AQ309),AQ309&lt;=(C309+T309)),AQ309,9E15),IF(AND(L309=0,ISNUMBER(AR309),AR309&lt;=(C309+T309)),AR309,9E15),IF(AND(M309=0,ISNUMBER(AS309),AS309&lt;=(C309+T309)),AS309,9E15))&lt;9E15,IF(AND(AND(J309=0,ISNUMBER(AP309),AP309&lt;=(C309+T309)),AP309=MIN(IF(AND(J309=0,ISNUMBER(AP309),AP309&lt;=(C309+T309)),AP309,9E15),IF(AND(K309=0,ISNUMBER(AQ309),AQ309&lt;=(C309+T309)),AQ309,9E15),IF(AND(L309=0,ISNUMBER(AR309),AR309&lt;=(C309+T309)),AR309,9E15),IF(AND(M309=0,ISNUMBER(AS309),AS309&lt;=(C309+T309)),AS309,9E15))),"BiP",IF(AND(AND(K309=0,ISNUMBER(AQ309),AQ309&lt;=(C309+T309)),AQ309=MIN(IF(AND(J309=0,ISNUMBER(AP309),AP309&lt;=(C309+T309)),AP309,9E15),IF(AND(K309=0,ISNUMBER(AQ309),AQ309&lt;=(C309+T309)),AQ309,9E15),IF(AND(L309=0,ISNUMBER(AR309),AR309&lt;=(C309+T309)),AR309,9E15),IF(AND(M309=0,ISNUMBER(AS309),AS309&lt;=(C309+T309)),AS309,9E15))),"PV",IF(AND(AND(L309=0,ISNUMBER(AR309),AR309&lt;=(C309+T309)),AR309=MIN(IF(AND(J309=0,ISNUMBER(AP309),AP309&lt;=(C309+T309)),AP309,9E15),IF(AND(K309=0,ISNUMBER(AQ309),AQ309&lt;=(C309+T309)),AQ309,9E15),IF(AND(L309=0,ISNUMBER(AR309),AR309&lt;=(C309+T309)),AR309,9E15),IF(AND(M309=0,ISNUMBER(AS309),AS309&lt;=(C309+T309)),AS309,9E15))),"OC","MG"))),IF(AX309=TRUE,"",IF(MAX(IF(AND(NOT(AND(AU309=1,AT309&lt;&gt;1)),ISNUMBER(AK309),AK309&lt;=(C309+T309)),AY309,0),IF(AND(NOT(AND(AU309=1,AT309&lt;&gt;1)),ISNUMBER(AL309),AL309&lt;=(C309+T309)),AZ309,0),IF(AND(NOT(AND(AU309=1,AT309&lt;&gt;1)),ISNUMBER(AM309),AM309&lt;=(C309+T309)),BA309,0),IF(AND(NOT(AND(AU309=1,AT309&lt;&gt;1)),ISNUMBER(AN309),AN309&lt;=(C309+T309)),BB309,0),IF(AND(ISNUMBER(AO309),AO309&lt;=(C309+T309)),BC309,0))&lt;=0,"",IF(AND(IF(AND(NOT(AND(AU309=1,AT309&lt;&gt;1)),ISNUMBER(AK309),AK309&lt;=(C309+T309)),AY309,0)&gt;0,IF(AND(NOT(AND(AU309=1,AT309&lt;&gt;1)),ISNUMBER(AK309),AK309&lt;=(C309+T309)),AY309,0)=MAX(IF(AND(NOT(AND(AU309=1,AT309&lt;&gt;1)),ISNUMBER(AK309),AK309&lt;=(C309+T309)),AY309,0),IF(AND(NOT(AND(AU309=1,AT309&lt;&gt;1)),ISNUMBER(AL309),AL309&lt;=(C309+T309)),AZ309,0),IF(AND(NOT(AND(AU309=1,AT309&lt;&gt;1)),ISNUMBER(AM309),AM309&lt;=(C309+T309)),BA309,0),IF(AND(NOT(AND(AU309=1,AT309&lt;&gt;1)),ISNUMBER(AN309),AN309&lt;=(C309+T309)),BB309,0),IF(AND(ISNUMBER(AO309),AO309&lt;=(C309+T309)),BC309,0))),"SK",IF(AND(IF(AND(NOT(AND(AU309=1,AT309&lt;&gt;1)),ISNUMBER(AL309),AL309&lt;=(C309+T309)),AZ309,0)&gt;0,IF(AND(NOT(AND(AU309=1,AT309&lt;&gt;1)),ISNUMBER(AL309),AL309&lt;=(C309+T309)),AZ309,0)=MAX(IF(AND(NOT(AND(AU309=1,AT309&lt;&gt;1)),ISNUMBER(AK309),AK309&lt;=(C309+T309)),AY309,0),IF(AND(NOT(AND(AU309=1,AT309&lt;&gt;1)),ISNUMBER(AL309),AL309&lt;=(C309+T309)),AZ309,0),IF(AND(NOT(AND(AU309=1,AT309&lt;&gt;1)),ISNUMBER(AM309),AM309&lt;=(C309+T309)),BA309,0),IF(AND(NOT(AND(AU309=1,AT309&lt;&gt;1)),ISNUMBER(AN309),AN309&lt;=(C309+T309)),BB309,0),IF(AND(ISNUMBER(AO309),AO309&lt;=(C309+T309)),BC309,0))),"LB",IF(AND(IF(AND(NOT(AND(AU309=1,AT309&lt;&gt;1)),ISNUMBER(AM309),AM309&lt;=(C309+T309)),BA309,0)&gt;0,IF(AND(NOT(AND(AU309=1,AT309&lt;&gt;1)),ISNUMBER(AM309),AM309&lt;=(C309+T309)),BA309,0)=MAX(IF(AND(NOT(AND(AU309=1,AT309&lt;&gt;1)),ISNUMBER(AK309),AK309&lt;=(C309+T309)),AY309,0),IF(AND(NOT(AND(AU309=1,AT309&lt;&gt;1)),ISNUMBER(AL309),AL309&lt;=(C309+T309)),AZ309,0),IF(AND(NOT(AND(AU309=1,AT309&lt;&gt;1)),ISNUMBER(AM309),AM309&lt;=(C309+T309)),BA309,0),IF(AND(NOT(AND(AU309=1,AT309&lt;&gt;1)),ISNUMBER(AN309),AN309&lt;=(C309+T309)),BB309,0),IF(AND(ISNUMBER(AO309),AO309&lt;=(C309+T309)),BC309,0))),"ML",IF(AND(IF(AND(NOT(AND(AU309=1,AT309&lt;&gt;1)),ISNUMBER(AN309),AN309&lt;=(C309+T309)),BB309,0)&gt;0,IF(AND(NOT(AND(AU309=1,AT309&lt;&gt;1)),ISNUMBER(AN309),AN309&lt;=(C309+T309)),BB309,0)=MAX(IF(AND(NOT(AND(AU309=1,AT309&lt;&gt;1)),ISNUMBER(AK309),AK309&lt;=(C309+T309)),AY309,0),IF(AND(NOT(AND(AU309=1,AT309&lt;&gt;1)),ISNUMBER(AL309),AL309&lt;=(C309+T309)),AZ309,0),IF(AND(NOT(AND(AU309=1,AT309&lt;&gt;1)),ISNUMBER(AM309),AM309&lt;=(C309+T309)),BA309,0),IF(AND(NOT(AND(AU309=1,AT309&lt;&gt;1)),ISNUMBER(AN309),AN309&lt;=(C309+T309)),BB309,0),IF(AND(ISNUMBER(AO309),AO309&lt;=(C309+T309)),BC309,0))),"RLO","BD"))))))))</f>
        <v/>
      </c>
    </row>
    <row r="310">
      <c r="A310" s="26" t="n">
        <v>299</v>
      </c>
      <c r="B310" s="27">
        <f>A310*10/60</f>
        <v/>
      </c>
      <c r="C310" s="22">
        <f>X309</f>
        <v/>
      </c>
      <c r="D310" s="27">
        <f>D309+W309</f>
        <v/>
      </c>
      <c r="E310" s="26">
        <f>E309+IF(U309="SK",1,0)</f>
        <v/>
      </c>
      <c r="F310" s="26">
        <f>F309+IF(U309="LB",1,0)</f>
        <v/>
      </c>
      <c r="G310" s="26">
        <f>G309+IF(U309="ML",1,0)</f>
        <v/>
      </c>
      <c r="H310" s="26">
        <f>H309+IF(U309="RLO",1,0)</f>
        <v/>
      </c>
      <c r="I310" s="26">
        <f>I309+IF(U309="BD",1,0)</f>
        <v/>
      </c>
      <c r="J310" s="26">
        <f>MAX(J309,IF(U309="BiP",1,0))</f>
        <v/>
      </c>
      <c r="K310" s="26">
        <f>MAX(K309,IF(U309="PV",1,0))</f>
        <v/>
      </c>
      <c r="L310" s="26">
        <f>MAX(L309,IF(U309="OC",1,0))</f>
        <v/>
      </c>
      <c r="M310" s="26">
        <f>MAX(M309,IF(U309="MG",1,0))</f>
        <v/>
      </c>
      <c r="N310" s="26">
        <f>MAX(N309,IF(U309="transition",1,0))</f>
        <v/>
      </c>
      <c r="O310" s="28">
        <f>(Parameters!$B$9+(IF(E310=0,0,(Upgrades!$J$13+E310*Upgrades!$K$13)*POWER(Upgrades!$L$13,E310)))*(IF(Upgrades!$T$14="Stellar Kinematics",POWER(Upgrades!$U$14,F310),1)*IF(Upgrades!$T$15="Stellar Kinematics",POWER(Upgrades!$U$15,G310),1)*IF(Upgrades!$T$16="Stellar Kinematics",POWER(Upgrades!$U$16,H310),1)*IF(Upgrades!$T$17="Stellar Kinematics",POWER(Upgrades!$U$17,I310),1)*IF(Upgrades!$T$18="Stellar Kinematics",POWER(Upgrades!$U$18,J310),1)*IF(Upgrades!$T$19="Stellar Kinematics",POWER(Upgrades!$U$19,K310),1)*IF(Upgrades!$T$20="Stellar Kinematics",POWER(Upgrades!$U$20,L310),1)*IF(Upgrades!$T$21="Stellar Kinematics",POWER(Upgrades!$U$21,M310),1))+(IF(F310=0,0,(Upgrades!$J$14+F310*Upgrades!$K$14)*POWER(Upgrades!$L$14,F310)))*(IF(Upgrades!$T$13="Local Bubble",POWER(Upgrades!$U$13,E310),1)*IF(Upgrades!$T$15="Local Bubble",POWER(Upgrades!$U$15,G310),1)*IF(Upgrades!$T$16="Local Bubble",POWER(Upgrades!$U$16,H310),1)*IF(Upgrades!$T$17="Local Bubble",POWER(Upgrades!$U$17,I310),1)*IF(Upgrades!$T$18="Local Bubble",POWER(Upgrades!$U$18,J310),1)*IF(Upgrades!$T$19="Local Bubble",POWER(Upgrades!$U$19,K310),1)*IF(Upgrades!$T$20="Local Bubble",POWER(Upgrades!$U$20,L310),1)*IF(Upgrades!$T$21="Local Bubble",POWER(Upgrades!$U$21,M310),1))+(IF(G310=0,0,(Upgrades!$J$15+G310*Upgrades!$K$15)*POWER(Upgrades!$L$15,G310)))*(IF(Upgrades!$T$13="Microlensing",POWER(Upgrades!$U$13,E310),1)*IF(Upgrades!$T$14="Microlensing",POWER(Upgrades!$U$14,F310),1)*IF(Upgrades!$T$16="Microlensing",POWER(Upgrades!$U$16,H310),1)*IF(Upgrades!$T$17="Microlensing",POWER(Upgrades!$U$17,I310),1)*IF(Upgrades!$T$18="Microlensing",POWER(Upgrades!$U$18,J310),1)*IF(Upgrades!$T$19="Microlensing",POWER(Upgrades!$U$19,K310),1)*IF(Upgrades!$T$20="Microlensing",POWER(Upgrades!$U$20,L310),1)*IF(Upgrades!$T$21="Microlensing",POWER(Upgrades!$U$21,M310),1))+(IF(H310=0,0,(Upgrades!$J$16+H310*Upgrades!$K$16)*POWER(Upgrades!$L$16,H310)))*(IF(Upgrades!$T$13="Roche Lobe Overflow",POWER(Upgrades!$U$13,E310),1)*IF(Upgrades!$T$14="Roche Lobe Overflow",POWER(Upgrades!$U$14,F310),1)*IF(Upgrades!$T$15="Roche Lobe Overflow",POWER(Upgrades!$U$15,G310),1)*IF(Upgrades!$T$17="Roche Lobe Overflow",POWER(Upgrades!$U$17,I310),1)*IF(Upgrades!$T$18="Roche Lobe Overflow",POWER(Upgrades!$U$18,J310),1)*IF(Upgrades!$T$19="Roche Lobe Overflow",POWER(Upgrades!$U$19,K310),1)*IF(Upgrades!$T$20="Roche Lobe Overflow",POWER(Upgrades!$U$20,L310),1)*IF(Upgrades!$T$21="Roche Lobe Overflow",POWER(Upgrades!$U$21,M310),1))+(IF(I310=0,0,(Upgrades!$J$17+I310*Upgrades!$K$17)*POWER(Upgrades!$L$17,I310)))*(IF(Upgrades!$T$13="Brown Dwarf",POWER(Upgrades!$U$13,E310),1)*IF(Upgrades!$T$14="Brown Dwarf",POWER(Upgrades!$U$14,F310),1)*IF(Upgrades!$T$15="Brown Dwarf",POWER(Upgrades!$U$15,G310),1)*IF(Upgrades!$T$16="Brown Dwarf",POWER(Upgrades!$U$16,H310),1)*IF(Upgrades!$T$18="Brown Dwarf",POWER(Upgrades!$U$18,J310),1)*IF(Upgrades!$T$19="Brown Dwarf",POWER(Upgrades!$U$19,K310),1)*IF(Upgrades!$T$20="Brown Dwarf",POWER(Upgrades!$U$20,L310),1)*IF(Upgrades!$T$21="Brown Dwarf",POWER(Upgrades!$U$21,M310),1))+(IF(J310=0,0,(Upgrades!$J$18+J310*Upgrades!$K$18)*POWER(Upgrades!$L$18,J310)))*(IF(Upgrades!$T$13="Binary Partner",POWER(Upgrades!$U$13,E310),1)*IF(Upgrades!$T$14="Binary Partner",POWER(Upgrades!$U$14,F310),1)*IF(Upgrades!$T$15="Binary Partner",POWER(Upgrades!$U$15,G310),1)*IF(Upgrades!$T$16="Binary Partner",POWER(Upgrades!$U$16,H310),1)*IF(Upgrades!$T$17="Binary Partner",POWER(Upgrades!$U$17,I310),1)*IF(Upgrades!$T$19="Binary Partner",POWER(Upgrades!$U$19,K310),1)*IF(Upgrades!$T$20="Binary Partner",POWER(Upgrades!$U$20,L310),1)*IF(Upgrades!$T$21="Binary Partner",POWER(Upgrades!$U$21,M310),1))+(IF(K310=0,0,(Upgrades!$J$19+K310*Upgrades!$K$19)*POWER(Upgrades!$L$19,K310)))*(IF(Upgrades!$T$13="Peculiar Velocity",POWER(Upgrades!$U$13,E310),1)*IF(Upgrades!$T$14="Peculiar Velocity",POWER(Upgrades!$U$14,F310),1)*IF(Upgrades!$T$15="Peculiar Velocity",POWER(Upgrades!$U$15,G310),1)*IF(Upgrades!$T$16="Peculiar Velocity",POWER(Upgrades!$U$16,H310),1)*IF(Upgrades!$T$17="Peculiar Velocity",POWER(Upgrades!$U$17,I310),1)*IF(Upgrades!$T$18="Peculiar Velocity",POWER(Upgrades!$U$18,J310),1)*IF(Upgrades!$T$20="Peculiar Velocity",POWER(Upgrades!$U$20,L310),1)*IF(Upgrades!$T$21="Peculiar Velocity",POWER(Upgrades!$U$21,M310),1))+(IF(L310=0,0,(Upgrades!$J$20+L310*Upgrades!$K$20)*POWER(Upgrades!$L$20,L310)))*(IF(Upgrades!$T$13="Open Cluster",POWER(Upgrades!$U$13,E310),1)*IF(Upgrades!$T$14="Open Cluster",POWER(Upgrades!$U$14,F310),1)*IF(Upgrades!$T$15="Open Cluster",POWER(Upgrades!$U$15,G310),1)*IF(Upgrades!$T$16="Open Cluster",POWER(Upgrades!$U$16,H310),1)*IF(Upgrades!$T$17="Open Cluster",POWER(Upgrades!$U$17,I310),1)*IF(Upgrades!$T$18="Open Cluster",POWER(Upgrades!$U$18,J310),1)*IF(Upgrades!$T$19="Open Cluster",POWER(Upgrades!$U$19,K310),1)*IF(Upgrades!$T$21="Open Cluster",POWER(Upgrades!$U$21,M310),1))+(IF(M310=0,0,(Upgrades!$J$21+M310*Upgrades!$K$21)*POWER(Upgrades!$L$21,M310)))*(IF(Upgrades!$T$13="Moving Group",POWER(Upgrades!$U$13,E310),1)*IF(Upgrades!$T$14="Moving Group",POWER(Upgrades!$U$14,F310),1)*IF(Upgrades!$T$15="Moving Group",POWER(Upgrades!$U$15,G310),1)*IF(Upgrades!$T$16="Moving Group",POWER(Upgrades!$U$16,H310),1)*IF(Upgrades!$T$17="Moving Group",POWER(Upgrades!$U$17,I310),1)*IF(Upgrades!$T$18="Moving Group",POWER(Upgrades!$U$18,J310),1)*IF(Upgrades!$T$19="Moving Group",POWER(Upgrades!$U$19,K310),1)*IF(Upgrades!$T$20="Moving Group",POWER(Upgrades!$U$20,L310),1)))*POWER(Upgrades!$Q$13,E310)*POWER(Upgrades!$Q$14,F310)*POWER(Upgrades!$Q$15,G310)*POWER(Upgrades!$Q$16,H310)*POWER(Upgrades!$Q$17,I310)*POWER(Upgrades!$Q$18,J310)*POWER(Upgrades!$Q$19,K310)*POWER(Upgrades!$Q$20,L310)*POWER(Upgrades!$Q$21,M310)*$G$6+$D$6</f>
        <v/>
      </c>
      <c r="P310" s="28">
        <f>((IF(E310=0,0,(Upgrades!$G$13+E310*Upgrades!$H$13)*POWER(Upgrades!$I$13,E310)))*(IF(Upgrades!$T$14="Stellar Kinematics",POWER(Upgrades!$U$14,F310),1)*IF(Upgrades!$T$15="Stellar Kinematics",POWER(Upgrades!$U$15,G310),1)*IF(Upgrades!$T$16="Stellar Kinematics",POWER(Upgrades!$U$16,H310),1)*IF(Upgrades!$T$17="Stellar Kinematics",POWER(Upgrades!$U$17,I310),1)*IF(Upgrades!$T$18="Stellar Kinematics",POWER(Upgrades!$U$18,J310),1)*IF(Upgrades!$T$19="Stellar Kinematics",POWER(Upgrades!$U$19,K310),1)*IF(Upgrades!$T$20="Stellar Kinematics",POWER(Upgrades!$U$20,L310),1)*IF(Upgrades!$T$21="Stellar Kinematics",POWER(Upgrades!$U$21,M310),1))+(IF(F310=0,0,(Upgrades!$G$14+F310*Upgrades!$H$14)*POWER(Upgrades!$I$14,F310)))*(IF(Upgrades!$T$13="Local Bubble",POWER(Upgrades!$U$13,E310),1)*IF(Upgrades!$T$15="Local Bubble",POWER(Upgrades!$U$15,G310),1)*IF(Upgrades!$T$16="Local Bubble",POWER(Upgrades!$U$16,H310),1)*IF(Upgrades!$T$17="Local Bubble",POWER(Upgrades!$U$17,I310),1)*IF(Upgrades!$T$18="Local Bubble",POWER(Upgrades!$U$18,J310),1)*IF(Upgrades!$T$19="Local Bubble",POWER(Upgrades!$U$19,K310),1)*IF(Upgrades!$T$20="Local Bubble",POWER(Upgrades!$U$20,L310),1)*IF(Upgrades!$T$21="Local Bubble",POWER(Upgrades!$U$21,M310),1))+(IF(G310=0,0,(Upgrades!$G$15+G310*Upgrades!$H$15)*POWER(Upgrades!$I$15,G310)))*(IF(Upgrades!$T$13="Microlensing",POWER(Upgrades!$U$13,E310),1)*IF(Upgrades!$T$14="Microlensing",POWER(Upgrades!$U$14,F310),1)*IF(Upgrades!$T$16="Microlensing",POWER(Upgrades!$U$16,H310),1)*IF(Upgrades!$T$17="Microlensing",POWER(Upgrades!$U$17,I310),1)*IF(Upgrades!$T$18="Microlensing",POWER(Upgrades!$U$18,J310),1)*IF(Upgrades!$T$19="Microlensing",POWER(Upgrades!$U$19,K310),1)*IF(Upgrades!$T$20="Microlensing",POWER(Upgrades!$U$20,L310),1)*IF(Upgrades!$T$21="Microlensing",POWER(Upgrades!$U$21,M310),1))+(IF(H310=0,0,(Upgrades!$G$16+H310*Upgrades!$H$16)*POWER(Upgrades!$I$16,H310)))*(IF(Upgrades!$T$13="Roche Lobe Overflow",POWER(Upgrades!$U$13,E310),1)*IF(Upgrades!$T$14="Roche Lobe Overflow",POWER(Upgrades!$U$14,F310),1)*IF(Upgrades!$T$15="Roche Lobe Overflow",POWER(Upgrades!$U$15,G310),1)*IF(Upgrades!$T$17="Roche Lobe Overflow",POWER(Upgrades!$U$17,I310),1)*IF(Upgrades!$T$18="Roche Lobe Overflow",POWER(Upgrades!$U$18,J310),1)*IF(Upgrades!$T$19="Roche Lobe Overflow",POWER(Upgrades!$U$19,K310),1)*IF(Upgrades!$T$20="Roche Lobe Overflow",POWER(Upgrades!$U$20,L310),1)*IF(Upgrades!$T$21="Roche Lobe Overflow",POWER(Upgrades!$U$21,M310),1))+(IF(I310=0,0,(Upgrades!$G$17+I310*Upgrades!$H$17)*POWER(Upgrades!$I$17,I310)))*(IF(Upgrades!$T$13="Brown Dwarf",POWER(Upgrades!$U$13,E310),1)*IF(Upgrades!$T$14="Brown Dwarf",POWER(Upgrades!$U$14,F310),1)*IF(Upgrades!$T$15="Brown Dwarf",POWER(Upgrades!$U$15,G310),1)*IF(Upgrades!$T$16="Brown Dwarf",POWER(Upgrades!$U$16,H310),1)*IF(Upgrades!$T$18="Brown Dwarf",POWER(Upgrades!$U$18,J310),1)*IF(Upgrades!$T$19="Brown Dwarf",POWER(Upgrades!$U$19,K310),1)*IF(Upgrades!$T$20="Brown Dwarf",POWER(Upgrades!$U$20,L310),1)*IF(Upgrades!$T$21="Brown Dwarf",POWER(Upgrades!$U$21,M310),1))+(IF(J310=0,0,(Upgrades!$G$18+J310*Upgrades!$H$18)*POWER(Upgrades!$I$18,J310)))*(IF(Upgrades!$T$13="Binary Partner",POWER(Upgrades!$U$13,E310),1)*IF(Upgrades!$T$14="Binary Partner",POWER(Upgrades!$U$14,F310),1)*IF(Upgrades!$T$15="Binary Partner",POWER(Upgrades!$U$15,G310),1)*IF(Upgrades!$T$16="Binary Partner",POWER(Upgrades!$U$16,H310),1)*IF(Upgrades!$T$17="Binary Partner",POWER(Upgrades!$U$17,I310),1)*IF(Upgrades!$T$19="Binary Partner",POWER(Upgrades!$U$19,K310),1)*IF(Upgrades!$T$20="Binary Partner",POWER(Upgrades!$U$20,L310),1)*IF(Upgrades!$T$21="Binary Partner",POWER(Upgrades!$U$21,M310),1))+(IF(K310=0,0,(Upgrades!$G$19+K310*Upgrades!$H$19)*POWER(Upgrades!$I$19,K310)))*(IF(Upgrades!$T$13="Peculiar Velocity",POWER(Upgrades!$U$13,E310),1)*IF(Upgrades!$T$14="Peculiar Velocity",POWER(Upgrades!$U$14,F310),1)*IF(Upgrades!$T$15="Peculiar Velocity",POWER(Upgrades!$U$15,G310),1)*IF(Upgrades!$T$16="Peculiar Velocity",POWER(Upgrades!$U$16,H310),1)*IF(Upgrades!$T$17="Peculiar Velocity",POWER(Upgrades!$U$17,I310),1)*IF(Upgrades!$T$18="Peculiar Velocity",POWER(Upgrades!$U$18,J310),1)*IF(Upgrades!$T$20="Peculiar Velocity",POWER(Upgrades!$U$20,L310),1)*IF(Upgrades!$T$21="Peculiar Velocity",POWER(Upgrades!$U$21,M310),1))+(IF(L310=0,0,(Upgrades!$G$20+L310*Upgrades!$H$20)*POWER(Upgrades!$I$20,L310)))*(IF(Upgrades!$T$13="Open Cluster",POWER(Upgrades!$U$13,E310),1)*IF(Upgrades!$T$14="Open Cluster",POWER(Upgrades!$U$14,F310),1)*IF(Upgrades!$T$15="Open Cluster",POWER(Upgrades!$U$15,G310),1)*IF(Upgrades!$T$16="Open Cluster",POWER(Upgrades!$U$16,H310),1)*IF(Upgrades!$T$17="Open Cluster",POWER(Upgrades!$U$17,I310),1)*IF(Upgrades!$T$18="Open Cluster",POWER(Upgrades!$U$18,J310),1)*IF(Upgrades!$T$19="Open Cluster",POWER(Upgrades!$U$19,K310),1)*IF(Upgrades!$T$21="Open Cluster",POWER(Upgrades!$U$21,M310),1))+(IF(M310=0,0,(Upgrades!$G$21+M310*Upgrades!$H$21)*POWER(Upgrades!$I$21,M310)))*(IF(Upgrades!$T$13="Moving Group",POWER(Upgrades!$U$13,E310),1)*IF(Upgrades!$T$14="Moving Group",POWER(Upgrades!$U$14,F310),1)*IF(Upgrades!$T$15="Moving Group",POWER(Upgrades!$U$15,G310),1)*IF(Upgrades!$T$16="Moving Group",POWER(Upgrades!$U$16,H310),1)*IF(Upgrades!$T$17="Moving Group",POWER(Upgrades!$U$17,I310),1)*IF(Upgrades!$T$18="Moving Group",POWER(Upgrades!$U$18,J310),1)*IF(Upgrades!$T$19="Moving Group",POWER(Upgrades!$U$19,K310),1)*IF(Upgrades!$T$20="Moving Group",POWER(Upgrades!$U$20,L310),1)))*POWER(Upgrades!$P$13,E310)*POWER(Upgrades!$P$14,F310)*POWER(Upgrades!$P$15,G310)*POWER(Upgrades!$P$16,H310)*POWER(Upgrades!$P$17,I310)*POWER(Upgrades!$P$18,J310)*POWER(Upgrades!$P$19,K310)*POWER(Upgrades!$P$20,L310)*POWER(Upgrades!$P$21,M310)*$F$6+$C$6</f>
        <v/>
      </c>
      <c r="Q310" s="28">
        <f>((IF(E310=0,0,(Upgrades!$M$13+E310*Upgrades!$N$13)*POWER(Upgrades!$O$13,E310)))*(IF(Upgrades!$T$14="Stellar Kinematics",POWER(Upgrades!$U$14,F310),1)*IF(Upgrades!$T$15="Stellar Kinematics",POWER(Upgrades!$U$15,G310),1)*IF(Upgrades!$T$16="Stellar Kinematics",POWER(Upgrades!$U$16,H310),1)*IF(Upgrades!$T$17="Stellar Kinematics",POWER(Upgrades!$U$17,I310),1)*IF(Upgrades!$T$18="Stellar Kinematics",POWER(Upgrades!$U$18,J310),1)*IF(Upgrades!$T$19="Stellar Kinematics",POWER(Upgrades!$U$19,K310),1)*IF(Upgrades!$T$20="Stellar Kinematics",POWER(Upgrades!$U$20,L310),1)*IF(Upgrades!$T$21="Stellar Kinematics",POWER(Upgrades!$U$21,M310),1))+(IF(F310=0,0,(Upgrades!$M$14+F310*Upgrades!$N$14)*POWER(Upgrades!$O$14,F310)))*(IF(Upgrades!$T$13="Local Bubble",POWER(Upgrades!$U$13,E310),1)*IF(Upgrades!$T$15="Local Bubble",POWER(Upgrades!$U$15,G310),1)*IF(Upgrades!$T$16="Local Bubble",POWER(Upgrades!$U$16,H310),1)*IF(Upgrades!$T$17="Local Bubble",POWER(Upgrades!$U$17,I310),1)*IF(Upgrades!$T$18="Local Bubble",POWER(Upgrades!$U$18,J310),1)*IF(Upgrades!$T$19="Local Bubble",POWER(Upgrades!$U$19,K310),1)*IF(Upgrades!$T$20="Local Bubble",POWER(Upgrades!$U$20,L310),1)*IF(Upgrades!$T$21="Local Bubble",POWER(Upgrades!$U$21,M310),1))+(IF(G310=0,0,(Upgrades!$M$15+G310*Upgrades!$N$15)*POWER(Upgrades!$O$15,G310)))*(IF(Upgrades!$T$13="Microlensing",POWER(Upgrades!$U$13,E310),1)*IF(Upgrades!$T$14="Microlensing",POWER(Upgrades!$U$14,F310),1)*IF(Upgrades!$T$16="Microlensing",POWER(Upgrades!$U$16,H310),1)*IF(Upgrades!$T$17="Microlensing",POWER(Upgrades!$U$17,I310),1)*IF(Upgrades!$T$18="Microlensing",POWER(Upgrades!$U$18,J310),1)*IF(Upgrades!$T$19="Microlensing",POWER(Upgrades!$U$19,K310),1)*IF(Upgrades!$T$20="Microlensing",POWER(Upgrades!$U$20,L310),1)*IF(Upgrades!$T$21="Microlensing",POWER(Upgrades!$U$21,M310),1))+(IF(H310=0,0,(Upgrades!$M$16+H310*Upgrades!$N$16)*POWER(Upgrades!$O$16,H310)))*(IF(Upgrades!$T$13="Roche Lobe Overflow",POWER(Upgrades!$U$13,E310),1)*IF(Upgrades!$T$14="Roche Lobe Overflow",POWER(Upgrades!$U$14,F310),1)*IF(Upgrades!$T$15="Roche Lobe Overflow",POWER(Upgrades!$U$15,G310),1)*IF(Upgrades!$T$17="Roche Lobe Overflow",POWER(Upgrades!$U$17,I310),1)*IF(Upgrades!$T$18="Roche Lobe Overflow",POWER(Upgrades!$U$18,J310),1)*IF(Upgrades!$T$19="Roche Lobe Overflow",POWER(Upgrades!$U$19,K310),1)*IF(Upgrades!$T$20="Roche Lobe Overflow",POWER(Upgrades!$U$20,L310),1)*IF(Upgrades!$T$21="Roche Lobe Overflow",POWER(Upgrades!$U$21,M310),1))+(IF(I310=0,0,(Upgrades!$M$17+I310*Upgrades!$N$17)*POWER(Upgrades!$O$17,I310)))*(IF(Upgrades!$T$13="Brown Dwarf",POWER(Upgrades!$U$13,E310),1)*IF(Upgrades!$T$14="Brown Dwarf",POWER(Upgrades!$U$14,F310),1)*IF(Upgrades!$T$15="Brown Dwarf",POWER(Upgrades!$U$15,G310),1)*IF(Upgrades!$T$16="Brown Dwarf",POWER(Upgrades!$U$16,H310),1)*IF(Upgrades!$T$18="Brown Dwarf",POWER(Upgrades!$U$18,J310),1)*IF(Upgrades!$T$19="Brown Dwarf",POWER(Upgrades!$U$19,K310),1)*IF(Upgrades!$T$20="Brown Dwarf",POWER(Upgrades!$U$20,L310),1)*IF(Upgrades!$T$21="Brown Dwarf",POWER(Upgrades!$U$21,M310),1))+(IF(J310=0,0,(Upgrades!$M$18+J310*Upgrades!$N$18)*POWER(Upgrades!$O$18,J310)))*(IF(Upgrades!$T$13="Binary Partner",POWER(Upgrades!$U$13,E310),1)*IF(Upgrades!$T$14="Binary Partner",POWER(Upgrades!$U$14,F310),1)*IF(Upgrades!$T$15="Binary Partner",POWER(Upgrades!$U$15,G310),1)*IF(Upgrades!$T$16="Binary Partner",POWER(Upgrades!$U$16,H310),1)*IF(Upgrades!$T$17="Binary Partner",POWER(Upgrades!$U$17,I310),1)*IF(Upgrades!$T$19="Binary Partner",POWER(Upgrades!$U$19,K310),1)*IF(Upgrades!$T$20="Binary Partner",POWER(Upgrades!$U$20,L310),1)*IF(Upgrades!$T$21="Binary Partner",POWER(Upgrades!$U$21,M310),1))+(IF(K310=0,0,(Upgrades!$M$19+K310*Upgrades!$N$19)*POWER(Upgrades!$O$19,K310)))*(IF(Upgrades!$T$13="Peculiar Velocity",POWER(Upgrades!$U$13,E310),1)*IF(Upgrades!$T$14="Peculiar Velocity",POWER(Upgrades!$U$14,F310),1)*IF(Upgrades!$T$15="Peculiar Velocity",POWER(Upgrades!$U$15,G310),1)*IF(Upgrades!$T$16="Peculiar Velocity",POWER(Upgrades!$U$16,H310),1)*IF(Upgrades!$T$17="Peculiar Velocity",POWER(Upgrades!$U$17,I310),1)*IF(Upgrades!$T$18="Peculiar Velocity",POWER(Upgrades!$U$18,J310),1)*IF(Upgrades!$T$20="Peculiar Velocity",POWER(Upgrades!$U$20,L310),1)*IF(Upgrades!$T$21="Peculiar Velocity",POWER(Upgrades!$U$21,M310),1))+(IF(L310=0,0,(Upgrades!$M$20+L310*Upgrades!$N$20)*POWER(Upgrades!$O$20,L310)))*(IF(Upgrades!$T$13="Open Cluster",POWER(Upgrades!$U$13,E310),1)*IF(Upgrades!$T$14="Open Cluster",POWER(Upgrades!$U$14,F310),1)*IF(Upgrades!$T$15="Open Cluster",POWER(Upgrades!$U$15,G310),1)*IF(Upgrades!$T$16="Open Cluster",POWER(Upgrades!$U$16,H310),1)*IF(Upgrades!$T$17="Open Cluster",POWER(Upgrades!$U$17,I310),1)*IF(Upgrades!$T$18="Open Cluster",POWER(Upgrades!$U$18,J310),1)*IF(Upgrades!$T$19="Open Cluster",POWER(Upgrades!$U$19,K310),1)*IF(Upgrades!$T$21="Open Cluster",POWER(Upgrades!$U$21,M310),1))+(IF(M310=0,0,(Upgrades!$M$21+M310*Upgrades!$N$21)*POWER(Upgrades!$O$21,M310)))*(IF(Upgrades!$T$13="Moving Group",POWER(Upgrades!$U$13,E310),1)*IF(Upgrades!$T$14="Moving Group",POWER(Upgrades!$U$14,F310),1)*IF(Upgrades!$T$15="Moving Group",POWER(Upgrades!$U$15,G310),1)*IF(Upgrades!$T$16="Moving Group",POWER(Upgrades!$U$16,H310),1)*IF(Upgrades!$T$17="Moving Group",POWER(Upgrades!$U$17,I310),1)*IF(Upgrades!$T$18="Moving Group",POWER(Upgrades!$U$18,J310),1)*IF(Upgrades!$T$19="Moving Group",POWER(Upgrades!$U$19,K310),1)*IF(Upgrades!$T$20="Moving Group",POWER(Upgrades!$U$20,L310),1)))*POWER(Upgrades!$R$13,E310)*POWER(Upgrades!$R$14,F310)*POWER(Upgrades!$R$15,G310)*POWER(Upgrades!$R$16,H310)*POWER(Upgrades!$R$17,I310)*POWER(Upgrades!$R$18,J310)*POWER(Upgrades!$R$19,K310)*POWER(Upgrades!$R$20,L310)*POWER(Upgrades!$R$21,M310)*$H$6+$E$6</f>
        <v/>
      </c>
      <c r="R310" s="27">
        <f>IF(N310=1,0,O310*Parameters!$B$10/60*Parameters!$B$11*10)</f>
        <v/>
      </c>
      <c r="S310" s="27">
        <f>IF(N310=1,0,Q310*O310*10)</f>
        <v/>
      </c>
      <c r="T310" s="27">
        <f>IF(N310=1,0,R310+S310+P310*10)</f>
        <v/>
      </c>
      <c r="U310" s="33">
        <f>BE310</f>
        <v/>
      </c>
      <c r="V310" s="22">
        <f>IF(U310="",0,IF(U310="transition",0,IF(U310="SK",AK310,IF(U310="LB",AL310,IF(U310="ML",AM310,IF(U310="RLO",AN310,IF(U310="BD",AO310,IF(U310="BiP",AP310,IF(U310="PV",AQ310,IF(U310="OC",AR310,IF(U310="MG",AS310,0))))))))))</f>
        <v/>
      </c>
      <c r="W310" s="27">
        <f>IF(U310="BiP",Upgrades!$F$18,IF(U310="PV",Upgrades!$F$19,IF(U310="OC",Upgrades!$F$20,IF(U310="MG",Upgrades!$F$21,IF(U310="transition",-Parameters!$B$18*Parameters!$B$19,0)))))</f>
        <v/>
      </c>
      <c r="X310" s="22">
        <f>C310+T310-V310</f>
        <v/>
      </c>
      <c r="Y310" s="30">
        <f>O310*Parameters!$B$10/60*Parameters!$B$11+Q310*O310+P310</f>
        <v/>
      </c>
      <c r="Z310" s="34">
        <f>IF(U310="transition","→ Tier 3 (Galactic Arm)",IF(U310="MG","Moving Group — pocket drifts together",IF(U310="OC","Open Cluster acquired",IF(U310="PV","Peculiar Velocity — passive multiplier active",IF(U310="BiP","Binary Partner — pair bond formed",IF(AND(AU310=1,N310=0,AT310&lt;&gt;1),"Cohesion ready (waiting on completionists)","")))))) </f>
        <v/>
      </c>
      <c r="AA310" s="27">
        <f>(IF(E310=0,0,(Upgrades!$G$13+E310*Upgrades!$H$13)*POWER(Upgrades!$I$13,E310)))*(IF(Upgrades!$T$14="Stellar Kinematics",POWER(Upgrades!$U$14,F310),1)*IF(Upgrades!$T$15="Stellar Kinematics",POWER(Upgrades!$U$15,G310),1)*IF(Upgrades!$T$16="Stellar Kinematics",POWER(Upgrades!$U$16,H310),1)*IF(Upgrades!$T$17="Stellar Kinematics",POWER(Upgrades!$U$17,I310),1)*IF(Upgrades!$T$18="Stellar Kinematics",POWER(Upgrades!$U$18,J310),1)*IF(Upgrades!$T$19="Stellar Kinematics",POWER(Upgrades!$U$19,K310),1)*IF(Upgrades!$T$20="Stellar Kinematics",POWER(Upgrades!$U$20,L310),1)*IF(Upgrades!$T$21="Stellar Kinematics",POWER(Upgrades!$U$21,M310),1))*POWER(Upgrades!$P$13,E310)*POWER(Upgrades!$P$14,F310)*POWER(Upgrades!$P$15,G310)*POWER(Upgrades!$P$16,H310)*POWER(Upgrades!$P$17,I310)*POWER(Upgrades!$P$18,J310)*POWER(Upgrades!$P$19,K310)*POWER(Upgrades!$P$20,L310)*POWER(Upgrades!$P$21,M310)*$F$6*60</f>
        <v/>
      </c>
      <c r="AB310" s="27">
        <f>(IF(F310=0,0,(Upgrades!$G$14+F310*Upgrades!$H$14)*POWER(Upgrades!$I$14,F310)))*(IF(Upgrades!$T$13="Local Bubble",POWER(Upgrades!$U$13,E310),1)*IF(Upgrades!$T$15="Local Bubble",POWER(Upgrades!$U$15,G310),1)*IF(Upgrades!$T$16="Local Bubble",POWER(Upgrades!$U$16,H310),1)*IF(Upgrades!$T$17="Local Bubble",POWER(Upgrades!$U$17,I310),1)*IF(Upgrades!$T$18="Local Bubble",POWER(Upgrades!$U$18,J310),1)*IF(Upgrades!$T$19="Local Bubble",POWER(Upgrades!$U$19,K310),1)*IF(Upgrades!$T$20="Local Bubble",POWER(Upgrades!$U$20,L310),1)*IF(Upgrades!$T$21="Local Bubble",POWER(Upgrades!$U$21,M310),1))*POWER(Upgrades!$P$13,E310)*POWER(Upgrades!$P$14,F310)*POWER(Upgrades!$P$15,G310)*POWER(Upgrades!$P$16,H310)*POWER(Upgrades!$P$17,I310)*POWER(Upgrades!$P$18,J310)*POWER(Upgrades!$P$19,K310)*POWER(Upgrades!$P$20,L310)*POWER(Upgrades!$P$21,M310)*$F$6*60</f>
        <v/>
      </c>
      <c r="AC310" s="27">
        <f>(IF(G310=0,0,(Upgrades!$J$15+G310*Upgrades!$K$15)*POWER(Upgrades!$L$15,G310)))*(IF(Upgrades!$T$13="Microlensing",POWER(Upgrades!$U$13,E310),1)*IF(Upgrades!$T$14="Microlensing",POWER(Upgrades!$U$14,F310),1)*IF(Upgrades!$T$16="Microlensing",POWER(Upgrades!$U$16,H310),1)*IF(Upgrades!$T$17="Microlensing",POWER(Upgrades!$U$17,I310),1)*IF(Upgrades!$T$18="Microlensing",POWER(Upgrades!$U$18,J310),1)*IF(Upgrades!$T$19="Microlensing",POWER(Upgrades!$U$19,K310),1)*IF(Upgrades!$T$20="Microlensing",POWER(Upgrades!$U$20,L310),1)*IF(Upgrades!$T$21="Microlensing",POWER(Upgrades!$U$21,M310),1))*POWER(Upgrades!$Q$13,E310)*POWER(Upgrades!$Q$14,F310)*POWER(Upgrades!$Q$15,G310)*POWER(Upgrades!$Q$16,H310)*POWER(Upgrades!$Q$17,I310)*POWER(Upgrades!$Q$18,J310)*POWER(Upgrades!$Q$19,K310)*POWER(Upgrades!$Q$20,L310)*POWER(Upgrades!$Q$21,M310)*$G$6*(Parameters!$B$10*Parameters!$B$11+Q310*60)</f>
        <v/>
      </c>
      <c r="AD310" s="27">
        <f>(IF(H310=0,0,(Upgrades!$M$16+H310*Upgrades!$N$16)*POWER(Upgrades!$O$16,H310)))*(IF(Upgrades!$T$13="Roche Lobe Overflow",POWER(Upgrades!$U$13,E310),1)*IF(Upgrades!$T$14="Roche Lobe Overflow",POWER(Upgrades!$U$14,F310),1)*IF(Upgrades!$T$15="Roche Lobe Overflow",POWER(Upgrades!$U$15,G310),1)*IF(Upgrades!$T$17="Roche Lobe Overflow",POWER(Upgrades!$U$17,I310),1)*IF(Upgrades!$T$18="Roche Lobe Overflow",POWER(Upgrades!$U$18,J310),1)*IF(Upgrades!$T$19="Roche Lobe Overflow",POWER(Upgrades!$U$19,K310),1)*IF(Upgrades!$T$20="Roche Lobe Overflow",POWER(Upgrades!$U$20,L310),1)*IF(Upgrades!$T$21="Roche Lobe Overflow",POWER(Upgrades!$U$21,M310),1))*POWER(Upgrades!$R$13,E310)*POWER(Upgrades!$R$14,F310)*POWER(Upgrades!$R$15,G310)*POWER(Upgrades!$R$16,H310)*POWER(Upgrades!$R$17,I310)*POWER(Upgrades!$R$18,J310)*POWER(Upgrades!$R$19,K310)*POWER(Upgrades!$R$20,L310)*POWER(Upgrades!$R$21,M310)*$H$6*O310*60</f>
        <v/>
      </c>
      <c r="AE310" s="27">
        <f>(IF(I310=0,0,(Upgrades!$G$17+I310*Upgrades!$H$17)*POWER(Upgrades!$I$17,I310)))*(IF(Upgrades!$T$13="Brown Dwarf",POWER(Upgrades!$U$13,E310),1)*IF(Upgrades!$T$14="Brown Dwarf",POWER(Upgrades!$U$14,F310),1)*IF(Upgrades!$T$15="Brown Dwarf",POWER(Upgrades!$U$15,G310),1)*IF(Upgrades!$T$16="Brown Dwarf",POWER(Upgrades!$U$16,H310),1)*IF(Upgrades!$T$18="Brown Dwarf",POWER(Upgrades!$U$18,J310),1)*IF(Upgrades!$T$19="Brown Dwarf",POWER(Upgrades!$U$19,K310),1)*IF(Upgrades!$T$20="Brown Dwarf",POWER(Upgrades!$U$20,L310),1)*IF(Upgrades!$T$21="Brown Dwarf",POWER(Upgrades!$U$21,M310),1))*POWER(Upgrades!$P$13,E310)*POWER(Upgrades!$P$14,F310)*POWER(Upgrades!$P$15,G310)*POWER(Upgrades!$P$16,H310)*POWER(Upgrades!$P$17,I310)*POWER(Upgrades!$P$18,J310)*POWER(Upgrades!$P$19,K310)*POWER(Upgrades!$P$20,L310)*POWER(Upgrades!$P$21,M310)*$F$6*60</f>
        <v/>
      </c>
      <c r="AF310" s="27" t="n">
        <v>0</v>
      </c>
      <c r="AG310" s="27" t="n">
        <v>0</v>
      </c>
      <c r="AH310" s="27" t="n">
        <v>0</v>
      </c>
      <c r="AI310" s="27">
        <f>(IF(M310=0,0,(Upgrades!$G$21+M310*Upgrades!$H$21)*POWER(Upgrades!$I$21,M310)))*(IF(Upgrades!$T$13="Moving Group",POWER(Upgrades!$U$13,E310),1)*IF(Upgrades!$T$14="Moving Group",POWER(Upgrades!$U$14,F310),1)*IF(Upgrades!$T$15="Moving Group",POWER(Upgrades!$U$15,G310),1)*IF(Upgrades!$T$16="Moving Group",POWER(Upgrades!$U$16,H310),1)*IF(Upgrades!$T$17="Moving Group",POWER(Upgrades!$U$17,I310),1)*IF(Upgrades!$T$18="Moving Group",POWER(Upgrades!$U$18,J310),1)*IF(Upgrades!$T$19="Moving Group",POWER(Upgrades!$U$19,K310),1)*IF(Upgrades!$T$20="Moving Group",POWER(Upgrades!$U$20,L310),1))*POWER(Upgrades!$P$13,E310)*POWER(Upgrades!$P$14,F310)*POWER(Upgrades!$P$15,G310)*POWER(Upgrades!$P$16,H310)*POWER(Upgrades!$P$17,I310)*POWER(Upgrades!$P$18,J310)*POWER(Upgrades!$P$19,K310)*POWER(Upgrades!$P$20,L310)*POWER(Upgrades!$P$21,M310)*$F$6*60</f>
        <v/>
      </c>
      <c r="AJ310" s="27">
        <f>$C$6*60</f>
        <v/>
      </c>
      <c r="AK310" s="22">
        <f>IF(E310&gt;=Upgrades!$E$13,"",Upgrades!$C$13*POWER(Upgrades!$D$13,E310))</f>
        <v/>
      </c>
      <c r="AL310" s="22">
        <f>IF(F310&gt;=Upgrades!$E$14,"",Upgrades!$C$14*POWER(Upgrades!$D$14,F310))</f>
        <v/>
      </c>
      <c r="AM310" s="22">
        <f>IF(G310&gt;=Upgrades!$E$15,"",Upgrades!$C$15*POWER(Upgrades!$D$15,G310))</f>
        <v/>
      </c>
      <c r="AN310" s="22">
        <f>IF(H310&gt;=Upgrades!$E$16,"",Upgrades!$C$16*POWER(Upgrades!$D$16,H310))</f>
        <v/>
      </c>
      <c r="AO310" s="22">
        <f>IF(I310&gt;=Upgrades!$E$17,"",Upgrades!$C$17*POWER(Upgrades!$D$17,I310))</f>
        <v/>
      </c>
      <c r="AP310" s="22">
        <f>IF(J310&gt;=Upgrades!$E$18,"",Upgrades!$C$18*POWER(Upgrades!$D$18,J310))</f>
        <v/>
      </c>
      <c r="AQ310" s="22">
        <f>IF(K310&gt;=Upgrades!$E$19,"",Upgrades!$C$19*POWER(Upgrades!$D$19,K310))</f>
        <v/>
      </c>
      <c r="AR310" s="22">
        <f>IF(L310&gt;=Upgrades!$E$20,"",Upgrades!$C$20*POWER(Upgrades!$D$20,L310))</f>
        <v/>
      </c>
      <c r="AS310" s="22">
        <f>IF(M310&gt;=Upgrades!$E$21,"",Upgrades!$C$21*POWER(Upgrades!$D$21,M310))</f>
        <v/>
      </c>
      <c r="AT310" s="26">
        <f>IF(AND(D310&gt;=Parameters!$B$18*Parameters!$B$19,(I310&gt;=Upgrades!$E$17)*(M310&gt;=Upgrades!$E$21)=1,N310=0),1,"")</f>
        <v/>
      </c>
      <c r="AU310" s="26">
        <f>IF(AND(D310&gt;=Parameters!$B$18*Parameters!$B$19,N310=0),1,"")</f>
        <v/>
      </c>
      <c r="AV310" s="22">
        <f>MIN(IF(ISNUMBER(AP310),AP310,9E15),IF(ISNUMBER(AQ310),AQ310,9E15),IF(ISNUMBER(AR310),AR310,9E15),IF(ISNUMBER(AS310),AS310,9E15))</f>
        <v/>
      </c>
      <c r="AW310" s="22">
        <f>MIN(IF(ISNUMBER(AK310),AK310,9E15),IF(ISNUMBER(AL310),AL310,9E15),IF(ISNUMBER(AM310),AM310,9E15),IF(ISNUMBER(AN310),AN310,9E15),IF(ISNUMBER(AO310),AO310,9E15))</f>
        <v/>
      </c>
      <c r="AX310" s="29">
        <f>IF(BD310&gt;Parameters!$B$21*(MAX(IF(AND(NOT(AND(AU310=1,AT310&lt;&gt;1)),ISNUMBER(AK310),AK310&lt;=(C310+T310)),AY310,0),IF(AND(NOT(AND(AU310=1,AT310&lt;&gt;1)),ISNUMBER(AL310),AL310&lt;=(C310+T310)),AZ310,0),IF(AND(NOT(AND(AU310=1,AT310&lt;&gt;1)),ISNUMBER(AM310),AM310&lt;=(C310+T310)),BA310,0),IF(AND(NOT(AND(AU310=1,AT310&lt;&gt;1)),ISNUMBER(AN310),AN310&lt;=(C310+T310)),BB310,0),IF(AND(ISNUMBER(AO310),AO310&lt;=(C310+T310)),BC310,0))),TRUE,FALSE)</f>
        <v/>
      </c>
      <c r="AY310" s="32">
        <f>IFERROR(Upgrades!$H$13*(POWER(Upgrades!$P$13,E310)*POWER(Upgrades!$P$14,F310)*POWER(Upgrades!$P$15,G310)*POWER(Upgrades!$P$16,H310)*POWER(Upgrades!$P$17,I310)*POWER(Upgrades!$P$18,J310)*POWER(Upgrades!$P$19,K310)*POWER(Upgrades!$P$20,L310)*POWER(Upgrades!$P$21,M310))*(IF(Upgrades!$T$14="Stellar Kinematics",POWER(Upgrades!$U$14,F310),1)*IF(Upgrades!$T$15="Stellar Kinematics",POWER(Upgrades!$U$15,G310),1)*IF(Upgrades!$T$16="Stellar Kinematics",POWER(Upgrades!$U$16,H310),1)*IF(Upgrades!$T$17="Stellar Kinematics",POWER(Upgrades!$U$17,I310),1)*IF(Upgrades!$T$18="Stellar Kinematics",POWER(Upgrades!$U$18,J310),1)*IF(Upgrades!$T$19="Stellar Kinematics",POWER(Upgrades!$U$19,K310),1)*IF(Upgrades!$T$20="Stellar Kinematics",POWER(Upgrades!$U$20,L310),1)*IF(Upgrades!$T$21="Stellar Kinematics",POWER(Upgrades!$U$21,M310),1))*$F$6/AK310,0)</f>
        <v/>
      </c>
      <c r="AZ310" s="32">
        <f>IFERROR(Upgrades!$H$14*(POWER(Upgrades!$P$13,E310)*POWER(Upgrades!$P$14,F310)*POWER(Upgrades!$P$15,G310)*POWER(Upgrades!$P$16,H310)*POWER(Upgrades!$P$17,I310)*POWER(Upgrades!$P$18,J310)*POWER(Upgrades!$P$19,K310)*POWER(Upgrades!$P$20,L310)*POWER(Upgrades!$P$21,M310))*(IF(Upgrades!$T$13="Local Bubble",POWER(Upgrades!$U$13,E310),1)*IF(Upgrades!$T$15="Local Bubble",POWER(Upgrades!$U$15,G310),1)*IF(Upgrades!$T$16="Local Bubble",POWER(Upgrades!$U$16,H310),1)*IF(Upgrades!$T$17="Local Bubble",POWER(Upgrades!$U$17,I310),1)*IF(Upgrades!$T$18="Local Bubble",POWER(Upgrades!$U$18,J310),1)*IF(Upgrades!$T$19="Local Bubble",POWER(Upgrades!$U$19,K310),1)*IF(Upgrades!$T$20="Local Bubble",POWER(Upgrades!$U$20,L310),1)*IF(Upgrades!$T$21="Local Bubble",POWER(Upgrades!$U$21,M310),1))*$F$6/AL310,0)</f>
        <v/>
      </c>
      <c r="BA310" s="32">
        <f>IFERROR(Upgrades!$K$15*(POWER(Upgrades!$Q$13,E310)*POWER(Upgrades!$Q$14,F310)*POWER(Upgrades!$Q$15,G310)*POWER(Upgrades!$Q$16,H310)*POWER(Upgrades!$Q$17,I310)*POWER(Upgrades!$Q$18,J310)*POWER(Upgrades!$Q$19,K310)*POWER(Upgrades!$Q$20,L310)*POWER(Upgrades!$Q$21,M310))*(IF(Upgrades!$T$13="Microlensing",POWER(Upgrades!$U$13,E310),1)*IF(Upgrades!$T$14="Microlensing",POWER(Upgrades!$U$14,F310),1)*IF(Upgrades!$T$16="Microlensing",POWER(Upgrades!$U$16,H310),1)*IF(Upgrades!$T$17="Microlensing",POWER(Upgrades!$U$17,I310),1)*IF(Upgrades!$T$18="Microlensing",POWER(Upgrades!$U$18,J310),1)*IF(Upgrades!$T$19="Microlensing",POWER(Upgrades!$U$19,K310),1)*IF(Upgrades!$T$20="Microlensing",POWER(Upgrades!$U$20,L310),1)*IF(Upgrades!$T$21="Microlensing",POWER(Upgrades!$U$21,M310),1))*$G$6*(Parameters!$B$10/60*Parameters!$B$11+Q310)/AM310,0)</f>
        <v/>
      </c>
      <c r="BB310" s="32">
        <f>IFERROR((Upgrades!$N$16*(POWER(Upgrades!$R$13,E310)*POWER(Upgrades!$R$14,F310)*POWER(Upgrades!$R$15,G310)*POWER(Upgrades!$R$16,H310)*POWER(Upgrades!$R$17,I310)*POWER(Upgrades!$R$18,J310)*POWER(Upgrades!$R$19,K310)*POWER(Upgrades!$R$20,L310)*POWER(Upgrades!$R$21,M310))*(IF(Upgrades!$T$13="Roche Lobe Overflow",POWER(Upgrades!$U$13,E310),1)*IF(Upgrades!$T$14="Roche Lobe Overflow",POWER(Upgrades!$U$14,F310),1)*IF(Upgrades!$T$15="Roche Lobe Overflow",POWER(Upgrades!$U$15,G310),1)*IF(Upgrades!$T$17="Roche Lobe Overflow",POWER(Upgrades!$U$17,I310),1)*IF(Upgrades!$T$18="Roche Lobe Overflow",POWER(Upgrades!$U$18,J310),1)*IF(Upgrades!$T$19="Roche Lobe Overflow",POWER(Upgrades!$U$19,K310),1)*IF(Upgrades!$T$20="Roche Lobe Overflow",POWER(Upgrades!$U$20,L310),1)*IF(Upgrades!$T$21="Roche Lobe Overflow",POWER(Upgrades!$U$21,M310),1))*$H$6*O310+((IF(F310=0,0,(Upgrades!$G$14+F310*Upgrades!$H$14)*POWER(Upgrades!$I$14,F310)))*(IF(Upgrades!$T$13="Local Bubble",POWER(Upgrades!$U$13,E310),1)*IF(Upgrades!$T$15="Local Bubble",POWER(Upgrades!$U$15,G310),1)*IF(Upgrades!$T$16="Local Bubble",POWER(Upgrades!$U$16,H310),1)*IF(Upgrades!$T$17="Local Bubble",POWER(Upgrades!$U$17,I310),1)*IF(Upgrades!$T$18="Local Bubble",POWER(Upgrades!$U$18,J310),1)*IF(Upgrades!$T$19="Local Bubble",POWER(Upgrades!$U$19,K310),1)*IF(Upgrades!$T$20="Local Bubble",POWER(Upgrades!$U$20,L310),1)*IF(Upgrades!$T$21="Local Bubble",POWER(Upgrades!$U$21,M310),1))*POWER(Upgrades!$P$13,E310)*POWER(Upgrades!$P$14,F310)*POWER(Upgrades!$P$15,G310)*POWER(Upgrades!$P$16,H310)*POWER(Upgrades!$P$17,I310)*POWER(Upgrades!$P$18,J310)*POWER(Upgrades!$P$19,K310)*POWER(Upgrades!$P$20,L310)*POWER(Upgrades!$P$21,M310)*$F$6)*0.05)/AN310,0)</f>
        <v/>
      </c>
      <c r="BC310" s="32">
        <f>IFERROR((Upgrades!$H$17*(POWER(Upgrades!$P$13,E310)*POWER(Upgrades!$P$14,F310)*POWER(Upgrades!$P$15,G310)*POWER(Upgrades!$P$16,H310)*POWER(Upgrades!$P$17,I310)*POWER(Upgrades!$P$18,J310)*POWER(Upgrades!$P$19,K310)*POWER(Upgrades!$P$20,L310)*POWER(Upgrades!$P$21,M310))*(IF(Upgrades!$T$13="Brown Dwarf",POWER(Upgrades!$U$13,E310),1)*IF(Upgrades!$T$14="Brown Dwarf",POWER(Upgrades!$U$14,F310),1)*IF(Upgrades!$T$15="Brown Dwarf",POWER(Upgrades!$U$15,G310),1)*IF(Upgrades!$T$16="Brown Dwarf",POWER(Upgrades!$U$16,H310),1)*IF(Upgrades!$T$18="Brown Dwarf",POWER(Upgrades!$U$18,J310),1)*IF(Upgrades!$T$19="Brown Dwarf",POWER(Upgrades!$U$19,K310),1)*IF(Upgrades!$T$20="Brown Dwarf",POWER(Upgrades!$U$20,L310),1)*IF(Upgrades!$T$21="Brown Dwarf",POWER(Upgrades!$U$21,M310),1))*$F$6+(((IF(H310=0,0,(Upgrades!$M$16+H310*Upgrades!$N$16)*POWER(Upgrades!$O$16,H310)))*(IF(Upgrades!$T$13="Roche Lobe Overflow",POWER(Upgrades!$U$13,E310),1)*IF(Upgrades!$T$14="Roche Lobe Overflow",POWER(Upgrades!$U$14,F310),1)*IF(Upgrades!$T$15="Roche Lobe Overflow",POWER(Upgrades!$U$15,G310),1)*IF(Upgrades!$T$17="Roche Lobe Overflow",POWER(Upgrades!$U$17,I310),1)*IF(Upgrades!$T$18="Roche Lobe Overflow",POWER(Upgrades!$U$18,J310),1)*IF(Upgrades!$T$19="Roche Lobe Overflow",POWER(Upgrades!$U$19,K310),1)*IF(Upgrades!$T$20="Roche Lobe Overflow",POWER(Upgrades!$U$20,L310),1)*IF(Upgrades!$T$21="Roche Lobe Overflow",POWER(Upgrades!$U$21,M310),1))*POWER(Upgrades!$R$13,E310)*POWER(Upgrades!$R$14,F310)*POWER(Upgrades!$R$15,G310)*POWER(Upgrades!$R$16,H310)*POWER(Upgrades!$R$17,I310)*POWER(Upgrades!$R$18,J310)*POWER(Upgrades!$R$19,K310)*POWER(Upgrades!$R$20,L310)*POWER(Upgrades!$R$21,M310)*$H$6)*O310)*0.10)/AO310,0)</f>
        <v/>
      </c>
      <c r="BD310" s="32">
        <f>MAX(IF(J310&gt;0,0,IFERROR(0.5*((IF(G310=0,0,(Upgrades!$J$15+G310*Upgrades!$K$15)*POWER(Upgrades!$L$15,G310)))*(IF(Upgrades!$T$13="Microlensing",POWER(Upgrades!$U$13,E310),1)*IF(Upgrades!$T$14="Microlensing",POWER(Upgrades!$U$14,F310),1)*IF(Upgrades!$T$16="Microlensing",POWER(Upgrades!$U$16,H310),1)*IF(Upgrades!$T$17="Microlensing",POWER(Upgrades!$U$17,I310),1)*IF(Upgrades!$T$18="Microlensing",POWER(Upgrades!$U$18,J310),1)*IF(Upgrades!$T$19="Microlensing",POWER(Upgrades!$U$19,K310),1)*IF(Upgrades!$T$20="Microlensing",POWER(Upgrades!$U$20,L310),1)*IF(Upgrades!$T$21="Microlensing",POWER(Upgrades!$U$21,M310),1))*(POWER(Upgrades!$Q$13,E310)*POWER(Upgrades!$Q$14,F310)*POWER(Upgrades!$Q$15,G310)*POWER(Upgrades!$Q$16,H310)*POWER(Upgrades!$Q$17,I310)*POWER(Upgrades!$Q$18,J310)*POWER(Upgrades!$Q$19,K310)*POWER(Upgrades!$Q$20,L310)*POWER(Upgrades!$Q$21,M310))*$G$6*(Parameters!$B$10/60*Parameters!$B$11+Q310))/Upgrades!$C$18,0)),IF(K310&gt;0,0,IFERROR(0.30*P310/Upgrades!$C$19,0)),IF(L310&gt;0,0,IFERROR(0.0001/Upgrades!$C$20,0)),IF(M310&gt;0,0,IFERROR((6.0*(POWER(Upgrades!$P$13,E310)*POWER(Upgrades!$P$14,F310)*POWER(Upgrades!$P$15,G310)*POWER(Upgrades!$P$16,H310)*POWER(Upgrades!$P$17,I310)*POWER(Upgrades!$P$18,J310)*POWER(Upgrades!$P$19,K310)*POWER(Upgrades!$P$20,L310)*POWER(Upgrades!$P$21,M310))*$F$6+0.20*O310*(Parameters!$B$10/60*Parameters!$B$11+Q310))/Upgrades!$C$21,0)),IF(AND(ISNUMBER(AK310),AK310&gt;(C310+T310)),AY310,0),IF(AND(ISNUMBER(AL310),AL310&gt;(C310+T310)),AZ310,0),IF(AND(ISNUMBER(AM310),AM310&gt;(C310+T310)),BA310,0),IF(AND(ISNUMBER(AN310),AN310&gt;(C310+T310)),BB310,0),IF(AND(ISNUMBER(AO310),AO310&gt;(C310+T310)),BC310,0))</f>
        <v/>
      </c>
      <c r="BE310" s="29">
        <f>IF(AT310=1,"transition",IF(MIN(IF(AND(J310=0,ISNUMBER(AP310),AP310&lt;=(C310+T310)),AP310,9E15),IF(AND(K310=0,ISNUMBER(AQ310),AQ310&lt;=(C310+T310)),AQ310,9E15),IF(AND(L310=0,ISNUMBER(AR310),AR310&lt;=(C310+T310)),AR310,9E15),IF(AND(M310=0,ISNUMBER(AS310),AS310&lt;=(C310+T310)),AS310,9E15))&lt;9E15,IF(AND(AND(J310=0,ISNUMBER(AP310),AP310&lt;=(C310+T310)),AP310=MIN(IF(AND(J310=0,ISNUMBER(AP310),AP310&lt;=(C310+T310)),AP310,9E15),IF(AND(K310=0,ISNUMBER(AQ310),AQ310&lt;=(C310+T310)),AQ310,9E15),IF(AND(L310=0,ISNUMBER(AR310),AR310&lt;=(C310+T310)),AR310,9E15),IF(AND(M310=0,ISNUMBER(AS310),AS310&lt;=(C310+T310)),AS310,9E15))),"BiP",IF(AND(AND(K310=0,ISNUMBER(AQ310),AQ310&lt;=(C310+T310)),AQ310=MIN(IF(AND(J310=0,ISNUMBER(AP310),AP310&lt;=(C310+T310)),AP310,9E15),IF(AND(K310=0,ISNUMBER(AQ310),AQ310&lt;=(C310+T310)),AQ310,9E15),IF(AND(L310=0,ISNUMBER(AR310),AR310&lt;=(C310+T310)),AR310,9E15),IF(AND(M310=0,ISNUMBER(AS310),AS310&lt;=(C310+T310)),AS310,9E15))),"PV",IF(AND(AND(L310=0,ISNUMBER(AR310),AR310&lt;=(C310+T310)),AR310=MIN(IF(AND(J310=0,ISNUMBER(AP310),AP310&lt;=(C310+T310)),AP310,9E15),IF(AND(K310=0,ISNUMBER(AQ310),AQ310&lt;=(C310+T310)),AQ310,9E15),IF(AND(L310=0,ISNUMBER(AR310),AR310&lt;=(C310+T310)),AR310,9E15),IF(AND(M310=0,ISNUMBER(AS310),AS310&lt;=(C310+T310)),AS310,9E15))),"OC","MG"))),IF(AX310=TRUE,"",IF(MAX(IF(AND(NOT(AND(AU310=1,AT310&lt;&gt;1)),ISNUMBER(AK310),AK310&lt;=(C310+T310)),AY310,0),IF(AND(NOT(AND(AU310=1,AT310&lt;&gt;1)),ISNUMBER(AL310),AL310&lt;=(C310+T310)),AZ310,0),IF(AND(NOT(AND(AU310=1,AT310&lt;&gt;1)),ISNUMBER(AM310),AM310&lt;=(C310+T310)),BA310,0),IF(AND(NOT(AND(AU310=1,AT310&lt;&gt;1)),ISNUMBER(AN310),AN310&lt;=(C310+T310)),BB310,0),IF(AND(ISNUMBER(AO310),AO310&lt;=(C310+T310)),BC310,0))&lt;=0,"",IF(AND(IF(AND(NOT(AND(AU310=1,AT310&lt;&gt;1)),ISNUMBER(AK310),AK310&lt;=(C310+T310)),AY310,0)&gt;0,IF(AND(NOT(AND(AU310=1,AT310&lt;&gt;1)),ISNUMBER(AK310),AK310&lt;=(C310+T310)),AY310,0)=MAX(IF(AND(NOT(AND(AU310=1,AT310&lt;&gt;1)),ISNUMBER(AK310),AK310&lt;=(C310+T310)),AY310,0),IF(AND(NOT(AND(AU310=1,AT310&lt;&gt;1)),ISNUMBER(AL310),AL310&lt;=(C310+T310)),AZ310,0),IF(AND(NOT(AND(AU310=1,AT310&lt;&gt;1)),ISNUMBER(AM310),AM310&lt;=(C310+T310)),BA310,0),IF(AND(NOT(AND(AU310=1,AT310&lt;&gt;1)),ISNUMBER(AN310),AN310&lt;=(C310+T310)),BB310,0),IF(AND(ISNUMBER(AO310),AO310&lt;=(C310+T310)),BC310,0))),"SK",IF(AND(IF(AND(NOT(AND(AU310=1,AT310&lt;&gt;1)),ISNUMBER(AL310),AL310&lt;=(C310+T310)),AZ310,0)&gt;0,IF(AND(NOT(AND(AU310=1,AT310&lt;&gt;1)),ISNUMBER(AL310),AL310&lt;=(C310+T310)),AZ310,0)=MAX(IF(AND(NOT(AND(AU310=1,AT310&lt;&gt;1)),ISNUMBER(AK310),AK310&lt;=(C310+T310)),AY310,0),IF(AND(NOT(AND(AU310=1,AT310&lt;&gt;1)),ISNUMBER(AL310),AL310&lt;=(C310+T310)),AZ310,0),IF(AND(NOT(AND(AU310=1,AT310&lt;&gt;1)),ISNUMBER(AM310),AM310&lt;=(C310+T310)),BA310,0),IF(AND(NOT(AND(AU310=1,AT310&lt;&gt;1)),ISNUMBER(AN310),AN310&lt;=(C310+T310)),BB310,0),IF(AND(ISNUMBER(AO310),AO310&lt;=(C310+T310)),BC310,0))),"LB",IF(AND(IF(AND(NOT(AND(AU310=1,AT310&lt;&gt;1)),ISNUMBER(AM310),AM310&lt;=(C310+T310)),BA310,0)&gt;0,IF(AND(NOT(AND(AU310=1,AT310&lt;&gt;1)),ISNUMBER(AM310),AM310&lt;=(C310+T310)),BA310,0)=MAX(IF(AND(NOT(AND(AU310=1,AT310&lt;&gt;1)),ISNUMBER(AK310),AK310&lt;=(C310+T310)),AY310,0),IF(AND(NOT(AND(AU310=1,AT310&lt;&gt;1)),ISNUMBER(AL310),AL310&lt;=(C310+T310)),AZ310,0),IF(AND(NOT(AND(AU310=1,AT310&lt;&gt;1)),ISNUMBER(AM310),AM310&lt;=(C310+T310)),BA310,0),IF(AND(NOT(AND(AU310=1,AT310&lt;&gt;1)),ISNUMBER(AN310),AN310&lt;=(C310+T310)),BB310,0),IF(AND(ISNUMBER(AO310),AO310&lt;=(C310+T310)),BC310,0))),"ML",IF(AND(IF(AND(NOT(AND(AU310=1,AT310&lt;&gt;1)),ISNUMBER(AN310),AN310&lt;=(C310+T310)),BB310,0)&gt;0,IF(AND(NOT(AND(AU310=1,AT310&lt;&gt;1)),ISNUMBER(AN310),AN310&lt;=(C310+T310)),BB310,0)=MAX(IF(AND(NOT(AND(AU310=1,AT310&lt;&gt;1)),ISNUMBER(AK310),AK310&lt;=(C310+T310)),AY310,0),IF(AND(NOT(AND(AU310=1,AT310&lt;&gt;1)),ISNUMBER(AL310),AL310&lt;=(C310+T310)),AZ310,0),IF(AND(NOT(AND(AU310=1,AT310&lt;&gt;1)),ISNUMBER(AM310),AM310&lt;=(C310+T310)),BA310,0),IF(AND(NOT(AND(AU310=1,AT310&lt;&gt;1)),ISNUMBER(AN310),AN310&lt;=(C310+T310)),BB310,0),IF(AND(ISNUMBER(AO310),AO310&lt;=(C310+T310)),BC310,0))),"RLO","BD"))))))))</f>
        <v/>
      </c>
    </row>
    <row r="311">
      <c r="A311" s="26" t="n">
        <v>300</v>
      </c>
      <c r="B311" s="27">
        <f>A311*10/60</f>
        <v/>
      </c>
      <c r="C311" s="22">
        <f>X310</f>
        <v/>
      </c>
      <c r="D311" s="27">
        <f>D310+W310</f>
        <v/>
      </c>
      <c r="E311" s="26">
        <f>E310+IF(U310="SK",1,0)</f>
        <v/>
      </c>
      <c r="F311" s="26">
        <f>F310+IF(U310="LB",1,0)</f>
        <v/>
      </c>
      <c r="G311" s="26">
        <f>G310+IF(U310="ML",1,0)</f>
        <v/>
      </c>
      <c r="H311" s="26">
        <f>H310+IF(U310="RLO",1,0)</f>
        <v/>
      </c>
      <c r="I311" s="26">
        <f>I310+IF(U310="BD",1,0)</f>
        <v/>
      </c>
      <c r="J311" s="26">
        <f>MAX(J310,IF(U310="BiP",1,0))</f>
        <v/>
      </c>
      <c r="K311" s="26">
        <f>MAX(K310,IF(U310="PV",1,0))</f>
        <v/>
      </c>
      <c r="L311" s="26">
        <f>MAX(L310,IF(U310="OC",1,0))</f>
        <v/>
      </c>
      <c r="M311" s="26">
        <f>MAX(M310,IF(U310="MG",1,0))</f>
        <v/>
      </c>
      <c r="N311" s="26">
        <f>MAX(N310,IF(U310="transition",1,0))</f>
        <v/>
      </c>
      <c r="O311" s="28">
        <f>(Parameters!$B$9+(IF(E311=0,0,(Upgrades!$J$13+E311*Upgrades!$K$13)*POWER(Upgrades!$L$13,E311)))*(IF(Upgrades!$T$14="Stellar Kinematics",POWER(Upgrades!$U$14,F311),1)*IF(Upgrades!$T$15="Stellar Kinematics",POWER(Upgrades!$U$15,G311),1)*IF(Upgrades!$T$16="Stellar Kinematics",POWER(Upgrades!$U$16,H311),1)*IF(Upgrades!$T$17="Stellar Kinematics",POWER(Upgrades!$U$17,I311),1)*IF(Upgrades!$T$18="Stellar Kinematics",POWER(Upgrades!$U$18,J311),1)*IF(Upgrades!$T$19="Stellar Kinematics",POWER(Upgrades!$U$19,K311),1)*IF(Upgrades!$T$20="Stellar Kinematics",POWER(Upgrades!$U$20,L311),1)*IF(Upgrades!$T$21="Stellar Kinematics",POWER(Upgrades!$U$21,M311),1))+(IF(F311=0,0,(Upgrades!$J$14+F311*Upgrades!$K$14)*POWER(Upgrades!$L$14,F311)))*(IF(Upgrades!$T$13="Local Bubble",POWER(Upgrades!$U$13,E311),1)*IF(Upgrades!$T$15="Local Bubble",POWER(Upgrades!$U$15,G311),1)*IF(Upgrades!$T$16="Local Bubble",POWER(Upgrades!$U$16,H311),1)*IF(Upgrades!$T$17="Local Bubble",POWER(Upgrades!$U$17,I311),1)*IF(Upgrades!$T$18="Local Bubble",POWER(Upgrades!$U$18,J311),1)*IF(Upgrades!$T$19="Local Bubble",POWER(Upgrades!$U$19,K311),1)*IF(Upgrades!$T$20="Local Bubble",POWER(Upgrades!$U$20,L311),1)*IF(Upgrades!$T$21="Local Bubble",POWER(Upgrades!$U$21,M311),1))+(IF(G311=0,0,(Upgrades!$J$15+G311*Upgrades!$K$15)*POWER(Upgrades!$L$15,G311)))*(IF(Upgrades!$T$13="Microlensing",POWER(Upgrades!$U$13,E311),1)*IF(Upgrades!$T$14="Microlensing",POWER(Upgrades!$U$14,F311),1)*IF(Upgrades!$T$16="Microlensing",POWER(Upgrades!$U$16,H311),1)*IF(Upgrades!$T$17="Microlensing",POWER(Upgrades!$U$17,I311),1)*IF(Upgrades!$T$18="Microlensing",POWER(Upgrades!$U$18,J311),1)*IF(Upgrades!$T$19="Microlensing",POWER(Upgrades!$U$19,K311),1)*IF(Upgrades!$T$20="Microlensing",POWER(Upgrades!$U$20,L311),1)*IF(Upgrades!$T$21="Microlensing",POWER(Upgrades!$U$21,M311),1))+(IF(H311=0,0,(Upgrades!$J$16+H311*Upgrades!$K$16)*POWER(Upgrades!$L$16,H311)))*(IF(Upgrades!$T$13="Roche Lobe Overflow",POWER(Upgrades!$U$13,E311),1)*IF(Upgrades!$T$14="Roche Lobe Overflow",POWER(Upgrades!$U$14,F311),1)*IF(Upgrades!$T$15="Roche Lobe Overflow",POWER(Upgrades!$U$15,G311),1)*IF(Upgrades!$T$17="Roche Lobe Overflow",POWER(Upgrades!$U$17,I311),1)*IF(Upgrades!$T$18="Roche Lobe Overflow",POWER(Upgrades!$U$18,J311),1)*IF(Upgrades!$T$19="Roche Lobe Overflow",POWER(Upgrades!$U$19,K311),1)*IF(Upgrades!$T$20="Roche Lobe Overflow",POWER(Upgrades!$U$20,L311),1)*IF(Upgrades!$T$21="Roche Lobe Overflow",POWER(Upgrades!$U$21,M311),1))+(IF(I311=0,0,(Upgrades!$J$17+I311*Upgrades!$K$17)*POWER(Upgrades!$L$17,I311)))*(IF(Upgrades!$T$13="Brown Dwarf",POWER(Upgrades!$U$13,E311),1)*IF(Upgrades!$T$14="Brown Dwarf",POWER(Upgrades!$U$14,F311),1)*IF(Upgrades!$T$15="Brown Dwarf",POWER(Upgrades!$U$15,G311),1)*IF(Upgrades!$T$16="Brown Dwarf",POWER(Upgrades!$U$16,H311),1)*IF(Upgrades!$T$18="Brown Dwarf",POWER(Upgrades!$U$18,J311),1)*IF(Upgrades!$T$19="Brown Dwarf",POWER(Upgrades!$U$19,K311),1)*IF(Upgrades!$T$20="Brown Dwarf",POWER(Upgrades!$U$20,L311),1)*IF(Upgrades!$T$21="Brown Dwarf",POWER(Upgrades!$U$21,M311),1))+(IF(J311=0,0,(Upgrades!$J$18+J311*Upgrades!$K$18)*POWER(Upgrades!$L$18,J311)))*(IF(Upgrades!$T$13="Binary Partner",POWER(Upgrades!$U$13,E311),1)*IF(Upgrades!$T$14="Binary Partner",POWER(Upgrades!$U$14,F311),1)*IF(Upgrades!$T$15="Binary Partner",POWER(Upgrades!$U$15,G311),1)*IF(Upgrades!$T$16="Binary Partner",POWER(Upgrades!$U$16,H311),1)*IF(Upgrades!$T$17="Binary Partner",POWER(Upgrades!$U$17,I311),1)*IF(Upgrades!$T$19="Binary Partner",POWER(Upgrades!$U$19,K311),1)*IF(Upgrades!$T$20="Binary Partner",POWER(Upgrades!$U$20,L311),1)*IF(Upgrades!$T$21="Binary Partner",POWER(Upgrades!$U$21,M311),1))+(IF(K311=0,0,(Upgrades!$J$19+K311*Upgrades!$K$19)*POWER(Upgrades!$L$19,K311)))*(IF(Upgrades!$T$13="Peculiar Velocity",POWER(Upgrades!$U$13,E311),1)*IF(Upgrades!$T$14="Peculiar Velocity",POWER(Upgrades!$U$14,F311),1)*IF(Upgrades!$T$15="Peculiar Velocity",POWER(Upgrades!$U$15,G311),1)*IF(Upgrades!$T$16="Peculiar Velocity",POWER(Upgrades!$U$16,H311),1)*IF(Upgrades!$T$17="Peculiar Velocity",POWER(Upgrades!$U$17,I311),1)*IF(Upgrades!$T$18="Peculiar Velocity",POWER(Upgrades!$U$18,J311),1)*IF(Upgrades!$T$20="Peculiar Velocity",POWER(Upgrades!$U$20,L311),1)*IF(Upgrades!$T$21="Peculiar Velocity",POWER(Upgrades!$U$21,M311),1))+(IF(L311=0,0,(Upgrades!$J$20+L311*Upgrades!$K$20)*POWER(Upgrades!$L$20,L311)))*(IF(Upgrades!$T$13="Open Cluster",POWER(Upgrades!$U$13,E311),1)*IF(Upgrades!$T$14="Open Cluster",POWER(Upgrades!$U$14,F311),1)*IF(Upgrades!$T$15="Open Cluster",POWER(Upgrades!$U$15,G311),1)*IF(Upgrades!$T$16="Open Cluster",POWER(Upgrades!$U$16,H311),1)*IF(Upgrades!$T$17="Open Cluster",POWER(Upgrades!$U$17,I311),1)*IF(Upgrades!$T$18="Open Cluster",POWER(Upgrades!$U$18,J311),1)*IF(Upgrades!$T$19="Open Cluster",POWER(Upgrades!$U$19,K311),1)*IF(Upgrades!$T$21="Open Cluster",POWER(Upgrades!$U$21,M311),1))+(IF(M311=0,0,(Upgrades!$J$21+M311*Upgrades!$K$21)*POWER(Upgrades!$L$21,M311)))*(IF(Upgrades!$T$13="Moving Group",POWER(Upgrades!$U$13,E311),1)*IF(Upgrades!$T$14="Moving Group",POWER(Upgrades!$U$14,F311),1)*IF(Upgrades!$T$15="Moving Group",POWER(Upgrades!$U$15,G311),1)*IF(Upgrades!$T$16="Moving Group",POWER(Upgrades!$U$16,H311),1)*IF(Upgrades!$T$17="Moving Group",POWER(Upgrades!$U$17,I311),1)*IF(Upgrades!$T$18="Moving Group",POWER(Upgrades!$U$18,J311),1)*IF(Upgrades!$T$19="Moving Group",POWER(Upgrades!$U$19,K311),1)*IF(Upgrades!$T$20="Moving Group",POWER(Upgrades!$U$20,L311),1)))*POWER(Upgrades!$Q$13,E311)*POWER(Upgrades!$Q$14,F311)*POWER(Upgrades!$Q$15,G311)*POWER(Upgrades!$Q$16,H311)*POWER(Upgrades!$Q$17,I311)*POWER(Upgrades!$Q$18,J311)*POWER(Upgrades!$Q$19,K311)*POWER(Upgrades!$Q$20,L311)*POWER(Upgrades!$Q$21,M311)*$G$6+$D$6</f>
        <v/>
      </c>
      <c r="P311" s="28">
        <f>((IF(E311=0,0,(Upgrades!$G$13+E311*Upgrades!$H$13)*POWER(Upgrades!$I$13,E311)))*(IF(Upgrades!$T$14="Stellar Kinematics",POWER(Upgrades!$U$14,F311),1)*IF(Upgrades!$T$15="Stellar Kinematics",POWER(Upgrades!$U$15,G311),1)*IF(Upgrades!$T$16="Stellar Kinematics",POWER(Upgrades!$U$16,H311),1)*IF(Upgrades!$T$17="Stellar Kinematics",POWER(Upgrades!$U$17,I311),1)*IF(Upgrades!$T$18="Stellar Kinematics",POWER(Upgrades!$U$18,J311),1)*IF(Upgrades!$T$19="Stellar Kinematics",POWER(Upgrades!$U$19,K311),1)*IF(Upgrades!$T$20="Stellar Kinematics",POWER(Upgrades!$U$20,L311),1)*IF(Upgrades!$T$21="Stellar Kinematics",POWER(Upgrades!$U$21,M311),1))+(IF(F311=0,0,(Upgrades!$G$14+F311*Upgrades!$H$14)*POWER(Upgrades!$I$14,F311)))*(IF(Upgrades!$T$13="Local Bubble",POWER(Upgrades!$U$13,E311),1)*IF(Upgrades!$T$15="Local Bubble",POWER(Upgrades!$U$15,G311),1)*IF(Upgrades!$T$16="Local Bubble",POWER(Upgrades!$U$16,H311),1)*IF(Upgrades!$T$17="Local Bubble",POWER(Upgrades!$U$17,I311),1)*IF(Upgrades!$T$18="Local Bubble",POWER(Upgrades!$U$18,J311),1)*IF(Upgrades!$T$19="Local Bubble",POWER(Upgrades!$U$19,K311),1)*IF(Upgrades!$T$20="Local Bubble",POWER(Upgrades!$U$20,L311),1)*IF(Upgrades!$T$21="Local Bubble",POWER(Upgrades!$U$21,M311),1))+(IF(G311=0,0,(Upgrades!$G$15+G311*Upgrades!$H$15)*POWER(Upgrades!$I$15,G311)))*(IF(Upgrades!$T$13="Microlensing",POWER(Upgrades!$U$13,E311),1)*IF(Upgrades!$T$14="Microlensing",POWER(Upgrades!$U$14,F311),1)*IF(Upgrades!$T$16="Microlensing",POWER(Upgrades!$U$16,H311),1)*IF(Upgrades!$T$17="Microlensing",POWER(Upgrades!$U$17,I311),1)*IF(Upgrades!$T$18="Microlensing",POWER(Upgrades!$U$18,J311),1)*IF(Upgrades!$T$19="Microlensing",POWER(Upgrades!$U$19,K311),1)*IF(Upgrades!$T$20="Microlensing",POWER(Upgrades!$U$20,L311),1)*IF(Upgrades!$T$21="Microlensing",POWER(Upgrades!$U$21,M311),1))+(IF(H311=0,0,(Upgrades!$G$16+H311*Upgrades!$H$16)*POWER(Upgrades!$I$16,H311)))*(IF(Upgrades!$T$13="Roche Lobe Overflow",POWER(Upgrades!$U$13,E311),1)*IF(Upgrades!$T$14="Roche Lobe Overflow",POWER(Upgrades!$U$14,F311),1)*IF(Upgrades!$T$15="Roche Lobe Overflow",POWER(Upgrades!$U$15,G311),1)*IF(Upgrades!$T$17="Roche Lobe Overflow",POWER(Upgrades!$U$17,I311),1)*IF(Upgrades!$T$18="Roche Lobe Overflow",POWER(Upgrades!$U$18,J311),1)*IF(Upgrades!$T$19="Roche Lobe Overflow",POWER(Upgrades!$U$19,K311),1)*IF(Upgrades!$T$20="Roche Lobe Overflow",POWER(Upgrades!$U$20,L311),1)*IF(Upgrades!$T$21="Roche Lobe Overflow",POWER(Upgrades!$U$21,M311),1))+(IF(I311=0,0,(Upgrades!$G$17+I311*Upgrades!$H$17)*POWER(Upgrades!$I$17,I311)))*(IF(Upgrades!$T$13="Brown Dwarf",POWER(Upgrades!$U$13,E311),1)*IF(Upgrades!$T$14="Brown Dwarf",POWER(Upgrades!$U$14,F311),1)*IF(Upgrades!$T$15="Brown Dwarf",POWER(Upgrades!$U$15,G311),1)*IF(Upgrades!$T$16="Brown Dwarf",POWER(Upgrades!$U$16,H311),1)*IF(Upgrades!$T$18="Brown Dwarf",POWER(Upgrades!$U$18,J311),1)*IF(Upgrades!$T$19="Brown Dwarf",POWER(Upgrades!$U$19,K311),1)*IF(Upgrades!$T$20="Brown Dwarf",POWER(Upgrades!$U$20,L311),1)*IF(Upgrades!$T$21="Brown Dwarf",POWER(Upgrades!$U$21,M311),1))+(IF(J311=0,0,(Upgrades!$G$18+J311*Upgrades!$H$18)*POWER(Upgrades!$I$18,J311)))*(IF(Upgrades!$T$13="Binary Partner",POWER(Upgrades!$U$13,E311),1)*IF(Upgrades!$T$14="Binary Partner",POWER(Upgrades!$U$14,F311),1)*IF(Upgrades!$T$15="Binary Partner",POWER(Upgrades!$U$15,G311),1)*IF(Upgrades!$T$16="Binary Partner",POWER(Upgrades!$U$16,H311),1)*IF(Upgrades!$T$17="Binary Partner",POWER(Upgrades!$U$17,I311),1)*IF(Upgrades!$T$19="Binary Partner",POWER(Upgrades!$U$19,K311),1)*IF(Upgrades!$T$20="Binary Partner",POWER(Upgrades!$U$20,L311),1)*IF(Upgrades!$T$21="Binary Partner",POWER(Upgrades!$U$21,M311),1))+(IF(K311=0,0,(Upgrades!$G$19+K311*Upgrades!$H$19)*POWER(Upgrades!$I$19,K311)))*(IF(Upgrades!$T$13="Peculiar Velocity",POWER(Upgrades!$U$13,E311),1)*IF(Upgrades!$T$14="Peculiar Velocity",POWER(Upgrades!$U$14,F311),1)*IF(Upgrades!$T$15="Peculiar Velocity",POWER(Upgrades!$U$15,G311),1)*IF(Upgrades!$T$16="Peculiar Velocity",POWER(Upgrades!$U$16,H311),1)*IF(Upgrades!$T$17="Peculiar Velocity",POWER(Upgrades!$U$17,I311),1)*IF(Upgrades!$T$18="Peculiar Velocity",POWER(Upgrades!$U$18,J311),1)*IF(Upgrades!$T$20="Peculiar Velocity",POWER(Upgrades!$U$20,L311),1)*IF(Upgrades!$T$21="Peculiar Velocity",POWER(Upgrades!$U$21,M311),1))+(IF(L311=0,0,(Upgrades!$G$20+L311*Upgrades!$H$20)*POWER(Upgrades!$I$20,L311)))*(IF(Upgrades!$T$13="Open Cluster",POWER(Upgrades!$U$13,E311),1)*IF(Upgrades!$T$14="Open Cluster",POWER(Upgrades!$U$14,F311),1)*IF(Upgrades!$T$15="Open Cluster",POWER(Upgrades!$U$15,G311),1)*IF(Upgrades!$T$16="Open Cluster",POWER(Upgrades!$U$16,H311),1)*IF(Upgrades!$T$17="Open Cluster",POWER(Upgrades!$U$17,I311),1)*IF(Upgrades!$T$18="Open Cluster",POWER(Upgrades!$U$18,J311),1)*IF(Upgrades!$T$19="Open Cluster",POWER(Upgrades!$U$19,K311),1)*IF(Upgrades!$T$21="Open Cluster",POWER(Upgrades!$U$21,M311),1))+(IF(M311=0,0,(Upgrades!$G$21+M311*Upgrades!$H$21)*POWER(Upgrades!$I$21,M311)))*(IF(Upgrades!$T$13="Moving Group",POWER(Upgrades!$U$13,E311),1)*IF(Upgrades!$T$14="Moving Group",POWER(Upgrades!$U$14,F311),1)*IF(Upgrades!$T$15="Moving Group",POWER(Upgrades!$U$15,G311),1)*IF(Upgrades!$T$16="Moving Group",POWER(Upgrades!$U$16,H311),1)*IF(Upgrades!$T$17="Moving Group",POWER(Upgrades!$U$17,I311),1)*IF(Upgrades!$T$18="Moving Group",POWER(Upgrades!$U$18,J311),1)*IF(Upgrades!$T$19="Moving Group",POWER(Upgrades!$U$19,K311),1)*IF(Upgrades!$T$20="Moving Group",POWER(Upgrades!$U$20,L311),1)))*POWER(Upgrades!$P$13,E311)*POWER(Upgrades!$P$14,F311)*POWER(Upgrades!$P$15,G311)*POWER(Upgrades!$P$16,H311)*POWER(Upgrades!$P$17,I311)*POWER(Upgrades!$P$18,J311)*POWER(Upgrades!$P$19,K311)*POWER(Upgrades!$P$20,L311)*POWER(Upgrades!$P$21,M311)*$F$6+$C$6</f>
        <v/>
      </c>
      <c r="Q311" s="28">
        <f>((IF(E311=0,0,(Upgrades!$M$13+E311*Upgrades!$N$13)*POWER(Upgrades!$O$13,E311)))*(IF(Upgrades!$T$14="Stellar Kinematics",POWER(Upgrades!$U$14,F311),1)*IF(Upgrades!$T$15="Stellar Kinematics",POWER(Upgrades!$U$15,G311),1)*IF(Upgrades!$T$16="Stellar Kinematics",POWER(Upgrades!$U$16,H311),1)*IF(Upgrades!$T$17="Stellar Kinematics",POWER(Upgrades!$U$17,I311),1)*IF(Upgrades!$T$18="Stellar Kinematics",POWER(Upgrades!$U$18,J311),1)*IF(Upgrades!$T$19="Stellar Kinematics",POWER(Upgrades!$U$19,K311),1)*IF(Upgrades!$T$20="Stellar Kinematics",POWER(Upgrades!$U$20,L311),1)*IF(Upgrades!$T$21="Stellar Kinematics",POWER(Upgrades!$U$21,M311),1))+(IF(F311=0,0,(Upgrades!$M$14+F311*Upgrades!$N$14)*POWER(Upgrades!$O$14,F311)))*(IF(Upgrades!$T$13="Local Bubble",POWER(Upgrades!$U$13,E311),1)*IF(Upgrades!$T$15="Local Bubble",POWER(Upgrades!$U$15,G311),1)*IF(Upgrades!$T$16="Local Bubble",POWER(Upgrades!$U$16,H311),1)*IF(Upgrades!$T$17="Local Bubble",POWER(Upgrades!$U$17,I311),1)*IF(Upgrades!$T$18="Local Bubble",POWER(Upgrades!$U$18,J311),1)*IF(Upgrades!$T$19="Local Bubble",POWER(Upgrades!$U$19,K311),1)*IF(Upgrades!$T$20="Local Bubble",POWER(Upgrades!$U$20,L311),1)*IF(Upgrades!$T$21="Local Bubble",POWER(Upgrades!$U$21,M311),1))+(IF(G311=0,0,(Upgrades!$M$15+G311*Upgrades!$N$15)*POWER(Upgrades!$O$15,G311)))*(IF(Upgrades!$T$13="Microlensing",POWER(Upgrades!$U$13,E311),1)*IF(Upgrades!$T$14="Microlensing",POWER(Upgrades!$U$14,F311),1)*IF(Upgrades!$T$16="Microlensing",POWER(Upgrades!$U$16,H311),1)*IF(Upgrades!$T$17="Microlensing",POWER(Upgrades!$U$17,I311),1)*IF(Upgrades!$T$18="Microlensing",POWER(Upgrades!$U$18,J311),1)*IF(Upgrades!$T$19="Microlensing",POWER(Upgrades!$U$19,K311),1)*IF(Upgrades!$T$20="Microlensing",POWER(Upgrades!$U$20,L311),1)*IF(Upgrades!$T$21="Microlensing",POWER(Upgrades!$U$21,M311),1))+(IF(H311=0,0,(Upgrades!$M$16+H311*Upgrades!$N$16)*POWER(Upgrades!$O$16,H311)))*(IF(Upgrades!$T$13="Roche Lobe Overflow",POWER(Upgrades!$U$13,E311),1)*IF(Upgrades!$T$14="Roche Lobe Overflow",POWER(Upgrades!$U$14,F311),1)*IF(Upgrades!$T$15="Roche Lobe Overflow",POWER(Upgrades!$U$15,G311),1)*IF(Upgrades!$T$17="Roche Lobe Overflow",POWER(Upgrades!$U$17,I311),1)*IF(Upgrades!$T$18="Roche Lobe Overflow",POWER(Upgrades!$U$18,J311),1)*IF(Upgrades!$T$19="Roche Lobe Overflow",POWER(Upgrades!$U$19,K311),1)*IF(Upgrades!$T$20="Roche Lobe Overflow",POWER(Upgrades!$U$20,L311),1)*IF(Upgrades!$T$21="Roche Lobe Overflow",POWER(Upgrades!$U$21,M311),1))+(IF(I311=0,0,(Upgrades!$M$17+I311*Upgrades!$N$17)*POWER(Upgrades!$O$17,I311)))*(IF(Upgrades!$T$13="Brown Dwarf",POWER(Upgrades!$U$13,E311),1)*IF(Upgrades!$T$14="Brown Dwarf",POWER(Upgrades!$U$14,F311),1)*IF(Upgrades!$T$15="Brown Dwarf",POWER(Upgrades!$U$15,G311),1)*IF(Upgrades!$T$16="Brown Dwarf",POWER(Upgrades!$U$16,H311),1)*IF(Upgrades!$T$18="Brown Dwarf",POWER(Upgrades!$U$18,J311),1)*IF(Upgrades!$T$19="Brown Dwarf",POWER(Upgrades!$U$19,K311),1)*IF(Upgrades!$T$20="Brown Dwarf",POWER(Upgrades!$U$20,L311),1)*IF(Upgrades!$T$21="Brown Dwarf",POWER(Upgrades!$U$21,M311),1))+(IF(J311=0,0,(Upgrades!$M$18+J311*Upgrades!$N$18)*POWER(Upgrades!$O$18,J311)))*(IF(Upgrades!$T$13="Binary Partner",POWER(Upgrades!$U$13,E311),1)*IF(Upgrades!$T$14="Binary Partner",POWER(Upgrades!$U$14,F311),1)*IF(Upgrades!$T$15="Binary Partner",POWER(Upgrades!$U$15,G311),1)*IF(Upgrades!$T$16="Binary Partner",POWER(Upgrades!$U$16,H311),1)*IF(Upgrades!$T$17="Binary Partner",POWER(Upgrades!$U$17,I311),1)*IF(Upgrades!$T$19="Binary Partner",POWER(Upgrades!$U$19,K311),1)*IF(Upgrades!$T$20="Binary Partner",POWER(Upgrades!$U$20,L311),1)*IF(Upgrades!$T$21="Binary Partner",POWER(Upgrades!$U$21,M311),1))+(IF(K311=0,0,(Upgrades!$M$19+K311*Upgrades!$N$19)*POWER(Upgrades!$O$19,K311)))*(IF(Upgrades!$T$13="Peculiar Velocity",POWER(Upgrades!$U$13,E311),1)*IF(Upgrades!$T$14="Peculiar Velocity",POWER(Upgrades!$U$14,F311),1)*IF(Upgrades!$T$15="Peculiar Velocity",POWER(Upgrades!$U$15,G311),1)*IF(Upgrades!$T$16="Peculiar Velocity",POWER(Upgrades!$U$16,H311),1)*IF(Upgrades!$T$17="Peculiar Velocity",POWER(Upgrades!$U$17,I311),1)*IF(Upgrades!$T$18="Peculiar Velocity",POWER(Upgrades!$U$18,J311),1)*IF(Upgrades!$T$20="Peculiar Velocity",POWER(Upgrades!$U$20,L311),1)*IF(Upgrades!$T$21="Peculiar Velocity",POWER(Upgrades!$U$21,M311),1))+(IF(L311=0,0,(Upgrades!$M$20+L311*Upgrades!$N$20)*POWER(Upgrades!$O$20,L311)))*(IF(Upgrades!$T$13="Open Cluster",POWER(Upgrades!$U$13,E311),1)*IF(Upgrades!$T$14="Open Cluster",POWER(Upgrades!$U$14,F311),1)*IF(Upgrades!$T$15="Open Cluster",POWER(Upgrades!$U$15,G311),1)*IF(Upgrades!$T$16="Open Cluster",POWER(Upgrades!$U$16,H311),1)*IF(Upgrades!$T$17="Open Cluster",POWER(Upgrades!$U$17,I311),1)*IF(Upgrades!$T$18="Open Cluster",POWER(Upgrades!$U$18,J311),1)*IF(Upgrades!$T$19="Open Cluster",POWER(Upgrades!$U$19,K311),1)*IF(Upgrades!$T$21="Open Cluster",POWER(Upgrades!$U$21,M311),1))+(IF(M311=0,0,(Upgrades!$M$21+M311*Upgrades!$N$21)*POWER(Upgrades!$O$21,M311)))*(IF(Upgrades!$T$13="Moving Group",POWER(Upgrades!$U$13,E311),1)*IF(Upgrades!$T$14="Moving Group",POWER(Upgrades!$U$14,F311),1)*IF(Upgrades!$T$15="Moving Group",POWER(Upgrades!$U$15,G311),1)*IF(Upgrades!$T$16="Moving Group",POWER(Upgrades!$U$16,H311),1)*IF(Upgrades!$T$17="Moving Group",POWER(Upgrades!$U$17,I311),1)*IF(Upgrades!$T$18="Moving Group",POWER(Upgrades!$U$18,J311),1)*IF(Upgrades!$T$19="Moving Group",POWER(Upgrades!$U$19,K311),1)*IF(Upgrades!$T$20="Moving Group",POWER(Upgrades!$U$20,L311),1)))*POWER(Upgrades!$R$13,E311)*POWER(Upgrades!$R$14,F311)*POWER(Upgrades!$R$15,G311)*POWER(Upgrades!$R$16,H311)*POWER(Upgrades!$R$17,I311)*POWER(Upgrades!$R$18,J311)*POWER(Upgrades!$R$19,K311)*POWER(Upgrades!$R$20,L311)*POWER(Upgrades!$R$21,M311)*$H$6+$E$6</f>
        <v/>
      </c>
      <c r="R311" s="27">
        <f>IF(N311=1,0,O311*Parameters!$B$10/60*Parameters!$B$11*10)</f>
        <v/>
      </c>
      <c r="S311" s="27">
        <f>IF(N311=1,0,Q311*O311*10)</f>
        <v/>
      </c>
      <c r="T311" s="27">
        <f>IF(N311=1,0,R311+S311+P311*10)</f>
        <v/>
      </c>
      <c r="U311" s="33">
        <f>BE311</f>
        <v/>
      </c>
      <c r="V311" s="22">
        <f>IF(U311="",0,IF(U311="transition",0,IF(U311="SK",AK311,IF(U311="LB",AL311,IF(U311="ML",AM311,IF(U311="RLO",AN311,IF(U311="BD",AO311,IF(U311="BiP",AP311,IF(U311="PV",AQ311,IF(U311="OC",AR311,IF(U311="MG",AS311,0))))))))))</f>
        <v/>
      </c>
      <c r="W311" s="27">
        <f>IF(U311="BiP",Upgrades!$F$18,IF(U311="PV",Upgrades!$F$19,IF(U311="OC",Upgrades!$F$20,IF(U311="MG",Upgrades!$F$21,IF(U311="transition",-Parameters!$B$18*Parameters!$B$19,0)))))</f>
        <v/>
      </c>
      <c r="X311" s="22">
        <f>C311+T311-V311</f>
        <v/>
      </c>
      <c r="Y311" s="30">
        <f>O311*Parameters!$B$10/60*Parameters!$B$11+Q311*O311+P311</f>
        <v/>
      </c>
      <c r="Z311" s="34">
        <f>IF(U311="transition","→ Tier 3 (Galactic Arm)",IF(U311="MG","Moving Group — pocket drifts together",IF(U311="OC","Open Cluster acquired",IF(U311="PV","Peculiar Velocity — passive multiplier active",IF(U311="BiP","Binary Partner — pair bond formed",IF(AND(AU311=1,N311=0,AT311&lt;&gt;1),"Cohesion ready (waiting on completionists)","")))))) </f>
        <v/>
      </c>
      <c r="AA311" s="27">
        <f>(IF(E311=0,0,(Upgrades!$G$13+E311*Upgrades!$H$13)*POWER(Upgrades!$I$13,E311)))*(IF(Upgrades!$T$14="Stellar Kinematics",POWER(Upgrades!$U$14,F311),1)*IF(Upgrades!$T$15="Stellar Kinematics",POWER(Upgrades!$U$15,G311),1)*IF(Upgrades!$T$16="Stellar Kinematics",POWER(Upgrades!$U$16,H311),1)*IF(Upgrades!$T$17="Stellar Kinematics",POWER(Upgrades!$U$17,I311),1)*IF(Upgrades!$T$18="Stellar Kinematics",POWER(Upgrades!$U$18,J311),1)*IF(Upgrades!$T$19="Stellar Kinematics",POWER(Upgrades!$U$19,K311),1)*IF(Upgrades!$T$20="Stellar Kinematics",POWER(Upgrades!$U$20,L311),1)*IF(Upgrades!$T$21="Stellar Kinematics",POWER(Upgrades!$U$21,M311),1))*POWER(Upgrades!$P$13,E311)*POWER(Upgrades!$P$14,F311)*POWER(Upgrades!$P$15,G311)*POWER(Upgrades!$P$16,H311)*POWER(Upgrades!$P$17,I311)*POWER(Upgrades!$P$18,J311)*POWER(Upgrades!$P$19,K311)*POWER(Upgrades!$P$20,L311)*POWER(Upgrades!$P$21,M311)*$F$6*60</f>
        <v/>
      </c>
      <c r="AB311" s="27">
        <f>(IF(F311=0,0,(Upgrades!$G$14+F311*Upgrades!$H$14)*POWER(Upgrades!$I$14,F311)))*(IF(Upgrades!$T$13="Local Bubble",POWER(Upgrades!$U$13,E311),1)*IF(Upgrades!$T$15="Local Bubble",POWER(Upgrades!$U$15,G311),1)*IF(Upgrades!$T$16="Local Bubble",POWER(Upgrades!$U$16,H311),1)*IF(Upgrades!$T$17="Local Bubble",POWER(Upgrades!$U$17,I311),1)*IF(Upgrades!$T$18="Local Bubble",POWER(Upgrades!$U$18,J311),1)*IF(Upgrades!$T$19="Local Bubble",POWER(Upgrades!$U$19,K311),1)*IF(Upgrades!$T$20="Local Bubble",POWER(Upgrades!$U$20,L311),1)*IF(Upgrades!$T$21="Local Bubble",POWER(Upgrades!$U$21,M311),1))*POWER(Upgrades!$P$13,E311)*POWER(Upgrades!$P$14,F311)*POWER(Upgrades!$P$15,G311)*POWER(Upgrades!$P$16,H311)*POWER(Upgrades!$P$17,I311)*POWER(Upgrades!$P$18,J311)*POWER(Upgrades!$P$19,K311)*POWER(Upgrades!$P$20,L311)*POWER(Upgrades!$P$21,M311)*$F$6*60</f>
        <v/>
      </c>
      <c r="AC311" s="27">
        <f>(IF(G311=0,0,(Upgrades!$J$15+G311*Upgrades!$K$15)*POWER(Upgrades!$L$15,G311)))*(IF(Upgrades!$T$13="Microlensing",POWER(Upgrades!$U$13,E311),1)*IF(Upgrades!$T$14="Microlensing",POWER(Upgrades!$U$14,F311),1)*IF(Upgrades!$T$16="Microlensing",POWER(Upgrades!$U$16,H311),1)*IF(Upgrades!$T$17="Microlensing",POWER(Upgrades!$U$17,I311),1)*IF(Upgrades!$T$18="Microlensing",POWER(Upgrades!$U$18,J311),1)*IF(Upgrades!$T$19="Microlensing",POWER(Upgrades!$U$19,K311),1)*IF(Upgrades!$T$20="Microlensing",POWER(Upgrades!$U$20,L311),1)*IF(Upgrades!$T$21="Microlensing",POWER(Upgrades!$U$21,M311),1))*POWER(Upgrades!$Q$13,E311)*POWER(Upgrades!$Q$14,F311)*POWER(Upgrades!$Q$15,G311)*POWER(Upgrades!$Q$16,H311)*POWER(Upgrades!$Q$17,I311)*POWER(Upgrades!$Q$18,J311)*POWER(Upgrades!$Q$19,K311)*POWER(Upgrades!$Q$20,L311)*POWER(Upgrades!$Q$21,M311)*$G$6*(Parameters!$B$10*Parameters!$B$11+Q311*60)</f>
        <v/>
      </c>
      <c r="AD311" s="27">
        <f>(IF(H311=0,0,(Upgrades!$M$16+H311*Upgrades!$N$16)*POWER(Upgrades!$O$16,H311)))*(IF(Upgrades!$T$13="Roche Lobe Overflow",POWER(Upgrades!$U$13,E311),1)*IF(Upgrades!$T$14="Roche Lobe Overflow",POWER(Upgrades!$U$14,F311),1)*IF(Upgrades!$T$15="Roche Lobe Overflow",POWER(Upgrades!$U$15,G311),1)*IF(Upgrades!$T$17="Roche Lobe Overflow",POWER(Upgrades!$U$17,I311),1)*IF(Upgrades!$T$18="Roche Lobe Overflow",POWER(Upgrades!$U$18,J311),1)*IF(Upgrades!$T$19="Roche Lobe Overflow",POWER(Upgrades!$U$19,K311),1)*IF(Upgrades!$T$20="Roche Lobe Overflow",POWER(Upgrades!$U$20,L311),1)*IF(Upgrades!$T$21="Roche Lobe Overflow",POWER(Upgrades!$U$21,M311),1))*POWER(Upgrades!$R$13,E311)*POWER(Upgrades!$R$14,F311)*POWER(Upgrades!$R$15,G311)*POWER(Upgrades!$R$16,H311)*POWER(Upgrades!$R$17,I311)*POWER(Upgrades!$R$18,J311)*POWER(Upgrades!$R$19,K311)*POWER(Upgrades!$R$20,L311)*POWER(Upgrades!$R$21,M311)*$H$6*O311*60</f>
        <v/>
      </c>
      <c r="AE311" s="27">
        <f>(IF(I311=0,0,(Upgrades!$G$17+I311*Upgrades!$H$17)*POWER(Upgrades!$I$17,I311)))*(IF(Upgrades!$T$13="Brown Dwarf",POWER(Upgrades!$U$13,E311),1)*IF(Upgrades!$T$14="Brown Dwarf",POWER(Upgrades!$U$14,F311),1)*IF(Upgrades!$T$15="Brown Dwarf",POWER(Upgrades!$U$15,G311),1)*IF(Upgrades!$T$16="Brown Dwarf",POWER(Upgrades!$U$16,H311),1)*IF(Upgrades!$T$18="Brown Dwarf",POWER(Upgrades!$U$18,J311),1)*IF(Upgrades!$T$19="Brown Dwarf",POWER(Upgrades!$U$19,K311),1)*IF(Upgrades!$T$20="Brown Dwarf",POWER(Upgrades!$U$20,L311),1)*IF(Upgrades!$T$21="Brown Dwarf",POWER(Upgrades!$U$21,M311),1))*POWER(Upgrades!$P$13,E311)*POWER(Upgrades!$P$14,F311)*POWER(Upgrades!$P$15,G311)*POWER(Upgrades!$P$16,H311)*POWER(Upgrades!$P$17,I311)*POWER(Upgrades!$P$18,J311)*POWER(Upgrades!$P$19,K311)*POWER(Upgrades!$P$20,L311)*POWER(Upgrades!$P$21,M311)*$F$6*60</f>
        <v/>
      </c>
      <c r="AF311" s="27" t="n">
        <v>0</v>
      </c>
      <c r="AG311" s="27" t="n">
        <v>0</v>
      </c>
      <c r="AH311" s="27" t="n">
        <v>0</v>
      </c>
      <c r="AI311" s="27">
        <f>(IF(M311=0,0,(Upgrades!$G$21+M311*Upgrades!$H$21)*POWER(Upgrades!$I$21,M311)))*(IF(Upgrades!$T$13="Moving Group",POWER(Upgrades!$U$13,E311),1)*IF(Upgrades!$T$14="Moving Group",POWER(Upgrades!$U$14,F311),1)*IF(Upgrades!$T$15="Moving Group",POWER(Upgrades!$U$15,G311),1)*IF(Upgrades!$T$16="Moving Group",POWER(Upgrades!$U$16,H311),1)*IF(Upgrades!$T$17="Moving Group",POWER(Upgrades!$U$17,I311),1)*IF(Upgrades!$T$18="Moving Group",POWER(Upgrades!$U$18,J311),1)*IF(Upgrades!$T$19="Moving Group",POWER(Upgrades!$U$19,K311),1)*IF(Upgrades!$T$20="Moving Group",POWER(Upgrades!$U$20,L311),1))*POWER(Upgrades!$P$13,E311)*POWER(Upgrades!$P$14,F311)*POWER(Upgrades!$P$15,G311)*POWER(Upgrades!$P$16,H311)*POWER(Upgrades!$P$17,I311)*POWER(Upgrades!$P$18,J311)*POWER(Upgrades!$P$19,K311)*POWER(Upgrades!$P$20,L311)*POWER(Upgrades!$P$21,M311)*$F$6*60</f>
        <v/>
      </c>
      <c r="AJ311" s="27">
        <f>$C$6*60</f>
        <v/>
      </c>
      <c r="AK311" s="22">
        <f>IF(E311&gt;=Upgrades!$E$13,"",Upgrades!$C$13*POWER(Upgrades!$D$13,E311))</f>
        <v/>
      </c>
      <c r="AL311" s="22">
        <f>IF(F311&gt;=Upgrades!$E$14,"",Upgrades!$C$14*POWER(Upgrades!$D$14,F311))</f>
        <v/>
      </c>
      <c r="AM311" s="22">
        <f>IF(G311&gt;=Upgrades!$E$15,"",Upgrades!$C$15*POWER(Upgrades!$D$15,G311))</f>
        <v/>
      </c>
      <c r="AN311" s="22">
        <f>IF(H311&gt;=Upgrades!$E$16,"",Upgrades!$C$16*POWER(Upgrades!$D$16,H311))</f>
        <v/>
      </c>
      <c r="AO311" s="22">
        <f>IF(I311&gt;=Upgrades!$E$17,"",Upgrades!$C$17*POWER(Upgrades!$D$17,I311))</f>
        <v/>
      </c>
      <c r="AP311" s="22">
        <f>IF(J311&gt;=Upgrades!$E$18,"",Upgrades!$C$18*POWER(Upgrades!$D$18,J311))</f>
        <v/>
      </c>
      <c r="AQ311" s="22">
        <f>IF(K311&gt;=Upgrades!$E$19,"",Upgrades!$C$19*POWER(Upgrades!$D$19,K311))</f>
        <v/>
      </c>
      <c r="AR311" s="22">
        <f>IF(L311&gt;=Upgrades!$E$20,"",Upgrades!$C$20*POWER(Upgrades!$D$20,L311))</f>
        <v/>
      </c>
      <c r="AS311" s="22">
        <f>IF(M311&gt;=Upgrades!$E$21,"",Upgrades!$C$21*POWER(Upgrades!$D$21,M311))</f>
        <v/>
      </c>
      <c r="AT311" s="26">
        <f>IF(AND(D311&gt;=Parameters!$B$18*Parameters!$B$19,(I311&gt;=Upgrades!$E$17)*(M311&gt;=Upgrades!$E$21)=1,N311=0),1,"")</f>
        <v/>
      </c>
      <c r="AU311" s="26">
        <f>IF(AND(D311&gt;=Parameters!$B$18*Parameters!$B$19,N311=0),1,"")</f>
        <v/>
      </c>
      <c r="AV311" s="22">
        <f>MIN(IF(ISNUMBER(AP311),AP311,9E15),IF(ISNUMBER(AQ311),AQ311,9E15),IF(ISNUMBER(AR311),AR311,9E15),IF(ISNUMBER(AS311),AS311,9E15))</f>
        <v/>
      </c>
      <c r="AW311" s="22">
        <f>MIN(IF(ISNUMBER(AK311),AK311,9E15),IF(ISNUMBER(AL311),AL311,9E15),IF(ISNUMBER(AM311),AM311,9E15),IF(ISNUMBER(AN311),AN311,9E15),IF(ISNUMBER(AO311),AO311,9E15))</f>
        <v/>
      </c>
      <c r="AX311" s="29">
        <f>IF(BD311&gt;Parameters!$B$21*(MAX(IF(AND(NOT(AND(AU311=1,AT311&lt;&gt;1)),ISNUMBER(AK311),AK311&lt;=(C311+T311)),AY311,0),IF(AND(NOT(AND(AU311=1,AT311&lt;&gt;1)),ISNUMBER(AL311),AL311&lt;=(C311+T311)),AZ311,0),IF(AND(NOT(AND(AU311=1,AT311&lt;&gt;1)),ISNUMBER(AM311),AM311&lt;=(C311+T311)),BA311,0),IF(AND(NOT(AND(AU311=1,AT311&lt;&gt;1)),ISNUMBER(AN311),AN311&lt;=(C311+T311)),BB311,0),IF(AND(ISNUMBER(AO311),AO311&lt;=(C311+T311)),BC311,0))),TRUE,FALSE)</f>
        <v/>
      </c>
      <c r="AY311" s="32">
        <f>IFERROR(Upgrades!$H$13*(POWER(Upgrades!$P$13,E311)*POWER(Upgrades!$P$14,F311)*POWER(Upgrades!$P$15,G311)*POWER(Upgrades!$P$16,H311)*POWER(Upgrades!$P$17,I311)*POWER(Upgrades!$P$18,J311)*POWER(Upgrades!$P$19,K311)*POWER(Upgrades!$P$20,L311)*POWER(Upgrades!$P$21,M311))*(IF(Upgrades!$T$14="Stellar Kinematics",POWER(Upgrades!$U$14,F311),1)*IF(Upgrades!$T$15="Stellar Kinematics",POWER(Upgrades!$U$15,G311),1)*IF(Upgrades!$T$16="Stellar Kinematics",POWER(Upgrades!$U$16,H311),1)*IF(Upgrades!$T$17="Stellar Kinematics",POWER(Upgrades!$U$17,I311),1)*IF(Upgrades!$T$18="Stellar Kinematics",POWER(Upgrades!$U$18,J311),1)*IF(Upgrades!$T$19="Stellar Kinematics",POWER(Upgrades!$U$19,K311),1)*IF(Upgrades!$T$20="Stellar Kinematics",POWER(Upgrades!$U$20,L311),1)*IF(Upgrades!$T$21="Stellar Kinematics",POWER(Upgrades!$U$21,M311),1))*$F$6/AK311,0)</f>
        <v/>
      </c>
      <c r="AZ311" s="32">
        <f>IFERROR(Upgrades!$H$14*(POWER(Upgrades!$P$13,E311)*POWER(Upgrades!$P$14,F311)*POWER(Upgrades!$P$15,G311)*POWER(Upgrades!$P$16,H311)*POWER(Upgrades!$P$17,I311)*POWER(Upgrades!$P$18,J311)*POWER(Upgrades!$P$19,K311)*POWER(Upgrades!$P$20,L311)*POWER(Upgrades!$P$21,M311))*(IF(Upgrades!$T$13="Local Bubble",POWER(Upgrades!$U$13,E311),1)*IF(Upgrades!$T$15="Local Bubble",POWER(Upgrades!$U$15,G311),1)*IF(Upgrades!$T$16="Local Bubble",POWER(Upgrades!$U$16,H311),1)*IF(Upgrades!$T$17="Local Bubble",POWER(Upgrades!$U$17,I311),1)*IF(Upgrades!$T$18="Local Bubble",POWER(Upgrades!$U$18,J311),1)*IF(Upgrades!$T$19="Local Bubble",POWER(Upgrades!$U$19,K311),1)*IF(Upgrades!$T$20="Local Bubble",POWER(Upgrades!$U$20,L311),1)*IF(Upgrades!$T$21="Local Bubble",POWER(Upgrades!$U$21,M311),1))*$F$6/AL311,0)</f>
        <v/>
      </c>
      <c r="BA311" s="32">
        <f>IFERROR(Upgrades!$K$15*(POWER(Upgrades!$Q$13,E311)*POWER(Upgrades!$Q$14,F311)*POWER(Upgrades!$Q$15,G311)*POWER(Upgrades!$Q$16,H311)*POWER(Upgrades!$Q$17,I311)*POWER(Upgrades!$Q$18,J311)*POWER(Upgrades!$Q$19,K311)*POWER(Upgrades!$Q$20,L311)*POWER(Upgrades!$Q$21,M311))*(IF(Upgrades!$T$13="Microlensing",POWER(Upgrades!$U$13,E311),1)*IF(Upgrades!$T$14="Microlensing",POWER(Upgrades!$U$14,F311),1)*IF(Upgrades!$T$16="Microlensing",POWER(Upgrades!$U$16,H311),1)*IF(Upgrades!$T$17="Microlensing",POWER(Upgrades!$U$17,I311),1)*IF(Upgrades!$T$18="Microlensing",POWER(Upgrades!$U$18,J311),1)*IF(Upgrades!$T$19="Microlensing",POWER(Upgrades!$U$19,K311),1)*IF(Upgrades!$T$20="Microlensing",POWER(Upgrades!$U$20,L311),1)*IF(Upgrades!$T$21="Microlensing",POWER(Upgrades!$U$21,M311),1))*$G$6*(Parameters!$B$10/60*Parameters!$B$11+Q311)/AM311,0)</f>
        <v/>
      </c>
      <c r="BB311" s="32">
        <f>IFERROR((Upgrades!$N$16*(POWER(Upgrades!$R$13,E311)*POWER(Upgrades!$R$14,F311)*POWER(Upgrades!$R$15,G311)*POWER(Upgrades!$R$16,H311)*POWER(Upgrades!$R$17,I311)*POWER(Upgrades!$R$18,J311)*POWER(Upgrades!$R$19,K311)*POWER(Upgrades!$R$20,L311)*POWER(Upgrades!$R$21,M311))*(IF(Upgrades!$T$13="Roche Lobe Overflow",POWER(Upgrades!$U$13,E311),1)*IF(Upgrades!$T$14="Roche Lobe Overflow",POWER(Upgrades!$U$14,F311),1)*IF(Upgrades!$T$15="Roche Lobe Overflow",POWER(Upgrades!$U$15,G311),1)*IF(Upgrades!$T$17="Roche Lobe Overflow",POWER(Upgrades!$U$17,I311),1)*IF(Upgrades!$T$18="Roche Lobe Overflow",POWER(Upgrades!$U$18,J311),1)*IF(Upgrades!$T$19="Roche Lobe Overflow",POWER(Upgrades!$U$19,K311),1)*IF(Upgrades!$T$20="Roche Lobe Overflow",POWER(Upgrades!$U$20,L311),1)*IF(Upgrades!$T$21="Roche Lobe Overflow",POWER(Upgrades!$U$21,M311),1))*$H$6*O311+((IF(F311=0,0,(Upgrades!$G$14+F311*Upgrades!$H$14)*POWER(Upgrades!$I$14,F311)))*(IF(Upgrades!$T$13="Local Bubble",POWER(Upgrades!$U$13,E311),1)*IF(Upgrades!$T$15="Local Bubble",POWER(Upgrades!$U$15,G311),1)*IF(Upgrades!$T$16="Local Bubble",POWER(Upgrades!$U$16,H311),1)*IF(Upgrades!$T$17="Local Bubble",POWER(Upgrades!$U$17,I311),1)*IF(Upgrades!$T$18="Local Bubble",POWER(Upgrades!$U$18,J311),1)*IF(Upgrades!$T$19="Local Bubble",POWER(Upgrades!$U$19,K311),1)*IF(Upgrades!$T$20="Local Bubble",POWER(Upgrades!$U$20,L311),1)*IF(Upgrades!$T$21="Local Bubble",POWER(Upgrades!$U$21,M311),1))*POWER(Upgrades!$P$13,E311)*POWER(Upgrades!$P$14,F311)*POWER(Upgrades!$P$15,G311)*POWER(Upgrades!$P$16,H311)*POWER(Upgrades!$P$17,I311)*POWER(Upgrades!$P$18,J311)*POWER(Upgrades!$P$19,K311)*POWER(Upgrades!$P$20,L311)*POWER(Upgrades!$P$21,M311)*$F$6)*0.05)/AN311,0)</f>
        <v/>
      </c>
      <c r="BC311" s="32">
        <f>IFERROR((Upgrades!$H$17*(POWER(Upgrades!$P$13,E311)*POWER(Upgrades!$P$14,F311)*POWER(Upgrades!$P$15,G311)*POWER(Upgrades!$P$16,H311)*POWER(Upgrades!$P$17,I311)*POWER(Upgrades!$P$18,J311)*POWER(Upgrades!$P$19,K311)*POWER(Upgrades!$P$20,L311)*POWER(Upgrades!$P$21,M311))*(IF(Upgrades!$T$13="Brown Dwarf",POWER(Upgrades!$U$13,E311),1)*IF(Upgrades!$T$14="Brown Dwarf",POWER(Upgrades!$U$14,F311),1)*IF(Upgrades!$T$15="Brown Dwarf",POWER(Upgrades!$U$15,G311),1)*IF(Upgrades!$T$16="Brown Dwarf",POWER(Upgrades!$U$16,H311),1)*IF(Upgrades!$T$18="Brown Dwarf",POWER(Upgrades!$U$18,J311),1)*IF(Upgrades!$T$19="Brown Dwarf",POWER(Upgrades!$U$19,K311),1)*IF(Upgrades!$T$20="Brown Dwarf",POWER(Upgrades!$U$20,L311),1)*IF(Upgrades!$T$21="Brown Dwarf",POWER(Upgrades!$U$21,M311),1))*$F$6+(((IF(H311=0,0,(Upgrades!$M$16+H311*Upgrades!$N$16)*POWER(Upgrades!$O$16,H311)))*(IF(Upgrades!$T$13="Roche Lobe Overflow",POWER(Upgrades!$U$13,E311),1)*IF(Upgrades!$T$14="Roche Lobe Overflow",POWER(Upgrades!$U$14,F311),1)*IF(Upgrades!$T$15="Roche Lobe Overflow",POWER(Upgrades!$U$15,G311),1)*IF(Upgrades!$T$17="Roche Lobe Overflow",POWER(Upgrades!$U$17,I311),1)*IF(Upgrades!$T$18="Roche Lobe Overflow",POWER(Upgrades!$U$18,J311),1)*IF(Upgrades!$T$19="Roche Lobe Overflow",POWER(Upgrades!$U$19,K311),1)*IF(Upgrades!$T$20="Roche Lobe Overflow",POWER(Upgrades!$U$20,L311),1)*IF(Upgrades!$T$21="Roche Lobe Overflow",POWER(Upgrades!$U$21,M311),1))*POWER(Upgrades!$R$13,E311)*POWER(Upgrades!$R$14,F311)*POWER(Upgrades!$R$15,G311)*POWER(Upgrades!$R$16,H311)*POWER(Upgrades!$R$17,I311)*POWER(Upgrades!$R$18,J311)*POWER(Upgrades!$R$19,K311)*POWER(Upgrades!$R$20,L311)*POWER(Upgrades!$R$21,M311)*$H$6)*O311)*0.10)/AO311,0)</f>
        <v/>
      </c>
      <c r="BD311" s="32">
        <f>MAX(IF(J311&gt;0,0,IFERROR(0.5*((IF(G311=0,0,(Upgrades!$J$15+G311*Upgrades!$K$15)*POWER(Upgrades!$L$15,G311)))*(IF(Upgrades!$T$13="Microlensing",POWER(Upgrades!$U$13,E311),1)*IF(Upgrades!$T$14="Microlensing",POWER(Upgrades!$U$14,F311),1)*IF(Upgrades!$T$16="Microlensing",POWER(Upgrades!$U$16,H311),1)*IF(Upgrades!$T$17="Microlensing",POWER(Upgrades!$U$17,I311),1)*IF(Upgrades!$T$18="Microlensing",POWER(Upgrades!$U$18,J311),1)*IF(Upgrades!$T$19="Microlensing",POWER(Upgrades!$U$19,K311),1)*IF(Upgrades!$T$20="Microlensing",POWER(Upgrades!$U$20,L311),1)*IF(Upgrades!$T$21="Microlensing",POWER(Upgrades!$U$21,M311),1))*(POWER(Upgrades!$Q$13,E311)*POWER(Upgrades!$Q$14,F311)*POWER(Upgrades!$Q$15,G311)*POWER(Upgrades!$Q$16,H311)*POWER(Upgrades!$Q$17,I311)*POWER(Upgrades!$Q$18,J311)*POWER(Upgrades!$Q$19,K311)*POWER(Upgrades!$Q$20,L311)*POWER(Upgrades!$Q$21,M311))*$G$6*(Parameters!$B$10/60*Parameters!$B$11+Q311))/Upgrades!$C$18,0)),IF(K311&gt;0,0,IFERROR(0.30*P311/Upgrades!$C$19,0)),IF(L311&gt;0,0,IFERROR(0.0001/Upgrades!$C$20,0)),IF(M311&gt;0,0,IFERROR((6.0*(POWER(Upgrades!$P$13,E311)*POWER(Upgrades!$P$14,F311)*POWER(Upgrades!$P$15,G311)*POWER(Upgrades!$P$16,H311)*POWER(Upgrades!$P$17,I311)*POWER(Upgrades!$P$18,J311)*POWER(Upgrades!$P$19,K311)*POWER(Upgrades!$P$20,L311)*POWER(Upgrades!$P$21,M311))*$F$6+0.20*O311*(Parameters!$B$10/60*Parameters!$B$11+Q311))/Upgrades!$C$21,0)),IF(AND(ISNUMBER(AK311),AK311&gt;(C311+T311)),AY311,0),IF(AND(ISNUMBER(AL311),AL311&gt;(C311+T311)),AZ311,0),IF(AND(ISNUMBER(AM311),AM311&gt;(C311+T311)),BA311,0),IF(AND(ISNUMBER(AN311),AN311&gt;(C311+T311)),BB311,0),IF(AND(ISNUMBER(AO311),AO311&gt;(C311+T311)),BC311,0))</f>
        <v/>
      </c>
      <c r="BE311" s="29">
        <f>IF(AT311=1,"transition",IF(MIN(IF(AND(J311=0,ISNUMBER(AP311),AP311&lt;=(C311+T311)),AP311,9E15),IF(AND(K311=0,ISNUMBER(AQ311),AQ311&lt;=(C311+T311)),AQ311,9E15),IF(AND(L311=0,ISNUMBER(AR311),AR311&lt;=(C311+T311)),AR311,9E15),IF(AND(M311=0,ISNUMBER(AS311),AS311&lt;=(C311+T311)),AS311,9E15))&lt;9E15,IF(AND(AND(J311=0,ISNUMBER(AP311),AP311&lt;=(C311+T311)),AP311=MIN(IF(AND(J311=0,ISNUMBER(AP311),AP311&lt;=(C311+T311)),AP311,9E15),IF(AND(K311=0,ISNUMBER(AQ311),AQ311&lt;=(C311+T311)),AQ311,9E15),IF(AND(L311=0,ISNUMBER(AR311),AR311&lt;=(C311+T311)),AR311,9E15),IF(AND(M311=0,ISNUMBER(AS311),AS311&lt;=(C311+T311)),AS311,9E15))),"BiP",IF(AND(AND(K311=0,ISNUMBER(AQ311),AQ311&lt;=(C311+T311)),AQ311=MIN(IF(AND(J311=0,ISNUMBER(AP311),AP311&lt;=(C311+T311)),AP311,9E15),IF(AND(K311=0,ISNUMBER(AQ311),AQ311&lt;=(C311+T311)),AQ311,9E15),IF(AND(L311=0,ISNUMBER(AR311),AR311&lt;=(C311+T311)),AR311,9E15),IF(AND(M311=0,ISNUMBER(AS311),AS311&lt;=(C311+T311)),AS311,9E15))),"PV",IF(AND(AND(L311=0,ISNUMBER(AR311),AR311&lt;=(C311+T311)),AR311=MIN(IF(AND(J311=0,ISNUMBER(AP311),AP311&lt;=(C311+T311)),AP311,9E15),IF(AND(K311=0,ISNUMBER(AQ311),AQ311&lt;=(C311+T311)),AQ311,9E15),IF(AND(L311=0,ISNUMBER(AR311),AR311&lt;=(C311+T311)),AR311,9E15),IF(AND(M311=0,ISNUMBER(AS311),AS311&lt;=(C311+T311)),AS311,9E15))),"OC","MG"))),IF(AX311=TRUE,"",IF(MAX(IF(AND(NOT(AND(AU311=1,AT311&lt;&gt;1)),ISNUMBER(AK311),AK311&lt;=(C311+T311)),AY311,0),IF(AND(NOT(AND(AU311=1,AT311&lt;&gt;1)),ISNUMBER(AL311),AL311&lt;=(C311+T311)),AZ311,0),IF(AND(NOT(AND(AU311=1,AT311&lt;&gt;1)),ISNUMBER(AM311),AM311&lt;=(C311+T311)),BA311,0),IF(AND(NOT(AND(AU311=1,AT311&lt;&gt;1)),ISNUMBER(AN311),AN311&lt;=(C311+T311)),BB311,0),IF(AND(ISNUMBER(AO311),AO311&lt;=(C311+T311)),BC311,0))&lt;=0,"",IF(AND(IF(AND(NOT(AND(AU311=1,AT311&lt;&gt;1)),ISNUMBER(AK311),AK311&lt;=(C311+T311)),AY311,0)&gt;0,IF(AND(NOT(AND(AU311=1,AT311&lt;&gt;1)),ISNUMBER(AK311),AK311&lt;=(C311+T311)),AY311,0)=MAX(IF(AND(NOT(AND(AU311=1,AT311&lt;&gt;1)),ISNUMBER(AK311),AK311&lt;=(C311+T311)),AY311,0),IF(AND(NOT(AND(AU311=1,AT311&lt;&gt;1)),ISNUMBER(AL311),AL311&lt;=(C311+T311)),AZ311,0),IF(AND(NOT(AND(AU311=1,AT311&lt;&gt;1)),ISNUMBER(AM311),AM311&lt;=(C311+T311)),BA311,0),IF(AND(NOT(AND(AU311=1,AT311&lt;&gt;1)),ISNUMBER(AN311),AN311&lt;=(C311+T311)),BB311,0),IF(AND(ISNUMBER(AO311),AO311&lt;=(C311+T311)),BC311,0))),"SK",IF(AND(IF(AND(NOT(AND(AU311=1,AT311&lt;&gt;1)),ISNUMBER(AL311),AL311&lt;=(C311+T311)),AZ311,0)&gt;0,IF(AND(NOT(AND(AU311=1,AT311&lt;&gt;1)),ISNUMBER(AL311),AL311&lt;=(C311+T311)),AZ311,0)=MAX(IF(AND(NOT(AND(AU311=1,AT311&lt;&gt;1)),ISNUMBER(AK311),AK311&lt;=(C311+T311)),AY311,0),IF(AND(NOT(AND(AU311=1,AT311&lt;&gt;1)),ISNUMBER(AL311),AL311&lt;=(C311+T311)),AZ311,0),IF(AND(NOT(AND(AU311=1,AT311&lt;&gt;1)),ISNUMBER(AM311),AM311&lt;=(C311+T311)),BA311,0),IF(AND(NOT(AND(AU311=1,AT311&lt;&gt;1)),ISNUMBER(AN311),AN311&lt;=(C311+T311)),BB311,0),IF(AND(ISNUMBER(AO311),AO311&lt;=(C311+T311)),BC311,0))),"LB",IF(AND(IF(AND(NOT(AND(AU311=1,AT311&lt;&gt;1)),ISNUMBER(AM311),AM311&lt;=(C311+T311)),BA311,0)&gt;0,IF(AND(NOT(AND(AU311=1,AT311&lt;&gt;1)),ISNUMBER(AM311),AM311&lt;=(C311+T311)),BA311,0)=MAX(IF(AND(NOT(AND(AU311=1,AT311&lt;&gt;1)),ISNUMBER(AK311),AK311&lt;=(C311+T311)),AY311,0),IF(AND(NOT(AND(AU311=1,AT311&lt;&gt;1)),ISNUMBER(AL311),AL311&lt;=(C311+T311)),AZ311,0),IF(AND(NOT(AND(AU311=1,AT311&lt;&gt;1)),ISNUMBER(AM311),AM311&lt;=(C311+T311)),BA311,0),IF(AND(NOT(AND(AU311=1,AT311&lt;&gt;1)),ISNUMBER(AN311),AN311&lt;=(C311+T311)),BB311,0),IF(AND(ISNUMBER(AO311),AO311&lt;=(C311+T311)),BC311,0))),"ML",IF(AND(IF(AND(NOT(AND(AU311=1,AT311&lt;&gt;1)),ISNUMBER(AN311),AN311&lt;=(C311+T311)),BB311,0)&gt;0,IF(AND(NOT(AND(AU311=1,AT311&lt;&gt;1)),ISNUMBER(AN311),AN311&lt;=(C311+T311)),BB311,0)=MAX(IF(AND(NOT(AND(AU311=1,AT311&lt;&gt;1)),ISNUMBER(AK311),AK311&lt;=(C311+T311)),AY311,0),IF(AND(NOT(AND(AU311=1,AT311&lt;&gt;1)),ISNUMBER(AL311),AL311&lt;=(C311+T311)),AZ311,0),IF(AND(NOT(AND(AU311=1,AT311&lt;&gt;1)),ISNUMBER(AM311),AM311&lt;=(C311+T311)),BA311,0),IF(AND(NOT(AND(AU311=1,AT311&lt;&gt;1)),ISNUMBER(AN311),AN311&lt;=(C311+T311)),BB311,0),IF(AND(ISNUMBER(AO311),AO311&lt;=(C311+T311)),BC311,0))),"RLO","BD"))))))))</f>
        <v/>
      </c>
    </row>
    <row r="312">
      <c r="A312" s="26" t="n">
        <v>301</v>
      </c>
      <c r="B312" s="27">
        <f>A312*10/60</f>
        <v/>
      </c>
      <c r="C312" s="22">
        <f>X311</f>
        <v/>
      </c>
      <c r="D312" s="27">
        <f>D311+W311</f>
        <v/>
      </c>
      <c r="E312" s="26">
        <f>E311+IF(U311="SK",1,0)</f>
        <v/>
      </c>
      <c r="F312" s="26">
        <f>F311+IF(U311="LB",1,0)</f>
        <v/>
      </c>
      <c r="G312" s="26">
        <f>G311+IF(U311="ML",1,0)</f>
        <v/>
      </c>
      <c r="H312" s="26">
        <f>H311+IF(U311="RLO",1,0)</f>
        <v/>
      </c>
      <c r="I312" s="26">
        <f>I311+IF(U311="BD",1,0)</f>
        <v/>
      </c>
      <c r="J312" s="26">
        <f>MAX(J311,IF(U311="BiP",1,0))</f>
        <v/>
      </c>
      <c r="K312" s="26">
        <f>MAX(K311,IF(U311="PV",1,0))</f>
        <v/>
      </c>
      <c r="L312" s="26">
        <f>MAX(L311,IF(U311="OC",1,0))</f>
        <v/>
      </c>
      <c r="M312" s="26">
        <f>MAX(M311,IF(U311="MG",1,0))</f>
        <v/>
      </c>
      <c r="N312" s="26">
        <f>MAX(N311,IF(U311="transition",1,0))</f>
        <v/>
      </c>
      <c r="O312" s="28">
        <f>(Parameters!$B$9+(IF(E312=0,0,(Upgrades!$J$13+E312*Upgrades!$K$13)*POWER(Upgrades!$L$13,E312)))*(IF(Upgrades!$T$14="Stellar Kinematics",POWER(Upgrades!$U$14,F312),1)*IF(Upgrades!$T$15="Stellar Kinematics",POWER(Upgrades!$U$15,G312),1)*IF(Upgrades!$T$16="Stellar Kinematics",POWER(Upgrades!$U$16,H312),1)*IF(Upgrades!$T$17="Stellar Kinematics",POWER(Upgrades!$U$17,I312),1)*IF(Upgrades!$T$18="Stellar Kinematics",POWER(Upgrades!$U$18,J312),1)*IF(Upgrades!$T$19="Stellar Kinematics",POWER(Upgrades!$U$19,K312),1)*IF(Upgrades!$T$20="Stellar Kinematics",POWER(Upgrades!$U$20,L312),1)*IF(Upgrades!$T$21="Stellar Kinematics",POWER(Upgrades!$U$21,M312),1))+(IF(F312=0,0,(Upgrades!$J$14+F312*Upgrades!$K$14)*POWER(Upgrades!$L$14,F312)))*(IF(Upgrades!$T$13="Local Bubble",POWER(Upgrades!$U$13,E312),1)*IF(Upgrades!$T$15="Local Bubble",POWER(Upgrades!$U$15,G312),1)*IF(Upgrades!$T$16="Local Bubble",POWER(Upgrades!$U$16,H312),1)*IF(Upgrades!$T$17="Local Bubble",POWER(Upgrades!$U$17,I312),1)*IF(Upgrades!$T$18="Local Bubble",POWER(Upgrades!$U$18,J312),1)*IF(Upgrades!$T$19="Local Bubble",POWER(Upgrades!$U$19,K312),1)*IF(Upgrades!$T$20="Local Bubble",POWER(Upgrades!$U$20,L312),1)*IF(Upgrades!$T$21="Local Bubble",POWER(Upgrades!$U$21,M312),1))+(IF(G312=0,0,(Upgrades!$J$15+G312*Upgrades!$K$15)*POWER(Upgrades!$L$15,G312)))*(IF(Upgrades!$T$13="Microlensing",POWER(Upgrades!$U$13,E312),1)*IF(Upgrades!$T$14="Microlensing",POWER(Upgrades!$U$14,F312),1)*IF(Upgrades!$T$16="Microlensing",POWER(Upgrades!$U$16,H312),1)*IF(Upgrades!$T$17="Microlensing",POWER(Upgrades!$U$17,I312),1)*IF(Upgrades!$T$18="Microlensing",POWER(Upgrades!$U$18,J312),1)*IF(Upgrades!$T$19="Microlensing",POWER(Upgrades!$U$19,K312),1)*IF(Upgrades!$T$20="Microlensing",POWER(Upgrades!$U$20,L312),1)*IF(Upgrades!$T$21="Microlensing",POWER(Upgrades!$U$21,M312),1))+(IF(H312=0,0,(Upgrades!$J$16+H312*Upgrades!$K$16)*POWER(Upgrades!$L$16,H312)))*(IF(Upgrades!$T$13="Roche Lobe Overflow",POWER(Upgrades!$U$13,E312),1)*IF(Upgrades!$T$14="Roche Lobe Overflow",POWER(Upgrades!$U$14,F312),1)*IF(Upgrades!$T$15="Roche Lobe Overflow",POWER(Upgrades!$U$15,G312),1)*IF(Upgrades!$T$17="Roche Lobe Overflow",POWER(Upgrades!$U$17,I312),1)*IF(Upgrades!$T$18="Roche Lobe Overflow",POWER(Upgrades!$U$18,J312),1)*IF(Upgrades!$T$19="Roche Lobe Overflow",POWER(Upgrades!$U$19,K312),1)*IF(Upgrades!$T$20="Roche Lobe Overflow",POWER(Upgrades!$U$20,L312),1)*IF(Upgrades!$T$21="Roche Lobe Overflow",POWER(Upgrades!$U$21,M312),1))+(IF(I312=0,0,(Upgrades!$J$17+I312*Upgrades!$K$17)*POWER(Upgrades!$L$17,I312)))*(IF(Upgrades!$T$13="Brown Dwarf",POWER(Upgrades!$U$13,E312),1)*IF(Upgrades!$T$14="Brown Dwarf",POWER(Upgrades!$U$14,F312),1)*IF(Upgrades!$T$15="Brown Dwarf",POWER(Upgrades!$U$15,G312),1)*IF(Upgrades!$T$16="Brown Dwarf",POWER(Upgrades!$U$16,H312),1)*IF(Upgrades!$T$18="Brown Dwarf",POWER(Upgrades!$U$18,J312),1)*IF(Upgrades!$T$19="Brown Dwarf",POWER(Upgrades!$U$19,K312),1)*IF(Upgrades!$T$20="Brown Dwarf",POWER(Upgrades!$U$20,L312),1)*IF(Upgrades!$T$21="Brown Dwarf",POWER(Upgrades!$U$21,M312),1))+(IF(J312=0,0,(Upgrades!$J$18+J312*Upgrades!$K$18)*POWER(Upgrades!$L$18,J312)))*(IF(Upgrades!$T$13="Binary Partner",POWER(Upgrades!$U$13,E312),1)*IF(Upgrades!$T$14="Binary Partner",POWER(Upgrades!$U$14,F312),1)*IF(Upgrades!$T$15="Binary Partner",POWER(Upgrades!$U$15,G312),1)*IF(Upgrades!$T$16="Binary Partner",POWER(Upgrades!$U$16,H312),1)*IF(Upgrades!$T$17="Binary Partner",POWER(Upgrades!$U$17,I312),1)*IF(Upgrades!$T$19="Binary Partner",POWER(Upgrades!$U$19,K312),1)*IF(Upgrades!$T$20="Binary Partner",POWER(Upgrades!$U$20,L312),1)*IF(Upgrades!$T$21="Binary Partner",POWER(Upgrades!$U$21,M312),1))+(IF(K312=0,0,(Upgrades!$J$19+K312*Upgrades!$K$19)*POWER(Upgrades!$L$19,K312)))*(IF(Upgrades!$T$13="Peculiar Velocity",POWER(Upgrades!$U$13,E312),1)*IF(Upgrades!$T$14="Peculiar Velocity",POWER(Upgrades!$U$14,F312),1)*IF(Upgrades!$T$15="Peculiar Velocity",POWER(Upgrades!$U$15,G312),1)*IF(Upgrades!$T$16="Peculiar Velocity",POWER(Upgrades!$U$16,H312),1)*IF(Upgrades!$T$17="Peculiar Velocity",POWER(Upgrades!$U$17,I312),1)*IF(Upgrades!$T$18="Peculiar Velocity",POWER(Upgrades!$U$18,J312),1)*IF(Upgrades!$T$20="Peculiar Velocity",POWER(Upgrades!$U$20,L312),1)*IF(Upgrades!$T$21="Peculiar Velocity",POWER(Upgrades!$U$21,M312),1))+(IF(L312=0,0,(Upgrades!$J$20+L312*Upgrades!$K$20)*POWER(Upgrades!$L$20,L312)))*(IF(Upgrades!$T$13="Open Cluster",POWER(Upgrades!$U$13,E312),1)*IF(Upgrades!$T$14="Open Cluster",POWER(Upgrades!$U$14,F312),1)*IF(Upgrades!$T$15="Open Cluster",POWER(Upgrades!$U$15,G312),1)*IF(Upgrades!$T$16="Open Cluster",POWER(Upgrades!$U$16,H312),1)*IF(Upgrades!$T$17="Open Cluster",POWER(Upgrades!$U$17,I312),1)*IF(Upgrades!$T$18="Open Cluster",POWER(Upgrades!$U$18,J312),1)*IF(Upgrades!$T$19="Open Cluster",POWER(Upgrades!$U$19,K312),1)*IF(Upgrades!$T$21="Open Cluster",POWER(Upgrades!$U$21,M312),1))+(IF(M312=0,0,(Upgrades!$J$21+M312*Upgrades!$K$21)*POWER(Upgrades!$L$21,M312)))*(IF(Upgrades!$T$13="Moving Group",POWER(Upgrades!$U$13,E312),1)*IF(Upgrades!$T$14="Moving Group",POWER(Upgrades!$U$14,F312),1)*IF(Upgrades!$T$15="Moving Group",POWER(Upgrades!$U$15,G312),1)*IF(Upgrades!$T$16="Moving Group",POWER(Upgrades!$U$16,H312),1)*IF(Upgrades!$T$17="Moving Group",POWER(Upgrades!$U$17,I312),1)*IF(Upgrades!$T$18="Moving Group",POWER(Upgrades!$U$18,J312),1)*IF(Upgrades!$T$19="Moving Group",POWER(Upgrades!$U$19,K312),1)*IF(Upgrades!$T$20="Moving Group",POWER(Upgrades!$U$20,L312),1)))*POWER(Upgrades!$Q$13,E312)*POWER(Upgrades!$Q$14,F312)*POWER(Upgrades!$Q$15,G312)*POWER(Upgrades!$Q$16,H312)*POWER(Upgrades!$Q$17,I312)*POWER(Upgrades!$Q$18,J312)*POWER(Upgrades!$Q$19,K312)*POWER(Upgrades!$Q$20,L312)*POWER(Upgrades!$Q$21,M312)*$G$6+$D$6</f>
        <v/>
      </c>
      <c r="P312" s="28">
        <f>((IF(E312=0,0,(Upgrades!$G$13+E312*Upgrades!$H$13)*POWER(Upgrades!$I$13,E312)))*(IF(Upgrades!$T$14="Stellar Kinematics",POWER(Upgrades!$U$14,F312),1)*IF(Upgrades!$T$15="Stellar Kinematics",POWER(Upgrades!$U$15,G312),1)*IF(Upgrades!$T$16="Stellar Kinematics",POWER(Upgrades!$U$16,H312),1)*IF(Upgrades!$T$17="Stellar Kinematics",POWER(Upgrades!$U$17,I312),1)*IF(Upgrades!$T$18="Stellar Kinematics",POWER(Upgrades!$U$18,J312),1)*IF(Upgrades!$T$19="Stellar Kinematics",POWER(Upgrades!$U$19,K312),1)*IF(Upgrades!$T$20="Stellar Kinematics",POWER(Upgrades!$U$20,L312),1)*IF(Upgrades!$T$21="Stellar Kinematics",POWER(Upgrades!$U$21,M312),1))+(IF(F312=0,0,(Upgrades!$G$14+F312*Upgrades!$H$14)*POWER(Upgrades!$I$14,F312)))*(IF(Upgrades!$T$13="Local Bubble",POWER(Upgrades!$U$13,E312),1)*IF(Upgrades!$T$15="Local Bubble",POWER(Upgrades!$U$15,G312),1)*IF(Upgrades!$T$16="Local Bubble",POWER(Upgrades!$U$16,H312),1)*IF(Upgrades!$T$17="Local Bubble",POWER(Upgrades!$U$17,I312),1)*IF(Upgrades!$T$18="Local Bubble",POWER(Upgrades!$U$18,J312),1)*IF(Upgrades!$T$19="Local Bubble",POWER(Upgrades!$U$19,K312),1)*IF(Upgrades!$T$20="Local Bubble",POWER(Upgrades!$U$20,L312),1)*IF(Upgrades!$T$21="Local Bubble",POWER(Upgrades!$U$21,M312),1))+(IF(G312=0,0,(Upgrades!$G$15+G312*Upgrades!$H$15)*POWER(Upgrades!$I$15,G312)))*(IF(Upgrades!$T$13="Microlensing",POWER(Upgrades!$U$13,E312),1)*IF(Upgrades!$T$14="Microlensing",POWER(Upgrades!$U$14,F312),1)*IF(Upgrades!$T$16="Microlensing",POWER(Upgrades!$U$16,H312),1)*IF(Upgrades!$T$17="Microlensing",POWER(Upgrades!$U$17,I312),1)*IF(Upgrades!$T$18="Microlensing",POWER(Upgrades!$U$18,J312),1)*IF(Upgrades!$T$19="Microlensing",POWER(Upgrades!$U$19,K312),1)*IF(Upgrades!$T$20="Microlensing",POWER(Upgrades!$U$20,L312),1)*IF(Upgrades!$T$21="Microlensing",POWER(Upgrades!$U$21,M312),1))+(IF(H312=0,0,(Upgrades!$G$16+H312*Upgrades!$H$16)*POWER(Upgrades!$I$16,H312)))*(IF(Upgrades!$T$13="Roche Lobe Overflow",POWER(Upgrades!$U$13,E312),1)*IF(Upgrades!$T$14="Roche Lobe Overflow",POWER(Upgrades!$U$14,F312),1)*IF(Upgrades!$T$15="Roche Lobe Overflow",POWER(Upgrades!$U$15,G312),1)*IF(Upgrades!$T$17="Roche Lobe Overflow",POWER(Upgrades!$U$17,I312),1)*IF(Upgrades!$T$18="Roche Lobe Overflow",POWER(Upgrades!$U$18,J312),1)*IF(Upgrades!$T$19="Roche Lobe Overflow",POWER(Upgrades!$U$19,K312),1)*IF(Upgrades!$T$20="Roche Lobe Overflow",POWER(Upgrades!$U$20,L312),1)*IF(Upgrades!$T$21="Roche Lobe Overflow",POWER(Upgrades!$U$21,M312),1))+(IF(I312=0,0,(Upgrades!$G$17+I312*Upgrades!$H$17)*POWER(Upgrades!$I$17,I312)))*(IF(Upgrades!$T$13="Brown Dwarf",POWER(Upgrades!$U$13,E312),1)*IF(Upgrades!$T$14="Brown Dwarf",POWER(Upgrades!$U$14,F312),1)*IF(Upgrades!$T$15="Brown Dwarf",POWER(Upgrades!$U$15,G312),1)*IF(Upgrades!$T$16="Brown Dwarf",POWER(Upgrades!$U$16,H312),1)*IF(Upgrades!$T$18="Brown Dwarf",POWER(Upgrades!$U$18,J312),1)*IF(Upgrades!$T$19="Brown Dwarf",POWER(Upgrades!$U$19,K312),1)*IF(Upgrades!$T$20="Brown Dwarf",POWER(Upgrades!$U$20,L312),1)*IF(Upgrades!$T$21="Brown Dwarf",POWER(Upgrades!$U$21,M312),1))+(IF(J312=0,0,(Upgrades!$G$18+J312*Upgrades!$H$18)*POWER(Upgrades!$I$18,J312)))*(IF(Upgrades!$T$13="Binary Partner",POWER(Upgrades!$U$13,E312),1)*IF(Upgrades!$T$14="Binary Partner",POWER(Upgrades!$U$14,F312),1)*IF(Upgrades!$T$15="Binary Partner",POWER(Upgrades!$U$15,G312),1)*IF(Upgrades!$T$16="Binary Partner",POWER(Upgrades!$U$16,H312),1)*IF(Upgrades!$T$17="Binary Partner",POWER(Upgrades!$U$17,I312),1)*IF(Upgrades!$T$19="Binary Partner",POWER(Upgrades!$U$19,K312),1)*IF(Upgrades!$T$20="Binary Partner",POWER(Upgrades!$U$20,L312),1)*IF(Upgrades!$T$21="Binary Partner",POWER(Upgrades!$U$21,M312),1))+(IF(K312=0,0,(Upgrades!$G$19+K312*Upgrades!$H$19)*POWER(Upgrades!$I$19,K312)))*(IF(Upgrades!$T$13="Peculiar Velocity",POWER(Upgrades!$U$13,E312),1)*IF(Upgrades!$T$14="Peculiar Velocity",POWER(Upgrades!$U$14,F312),1)*IF(Upgrades!$T$15="Peculiar Velocity",POWER(Upgrades!$U$15,G312),1)*IF(Upgrades!$T$16="Peculiar Velocity",POWER(Upgrades!$U$16,H312),1)*IF(Upgrades!$T$17="Peculiar Velocity",POWER(Upgrades!$U$17,I312),1)*IF(Upgrades!$T$18="Peculiar Velocity",POWER(Upgrades!$U$18,J312),1)*IF(Upgrades!$T$20="Peculiar Velocity",POWER(Upgrades!$U$20,L312),1)*IF(Upgrades!$T$21="Peculiar Velocity",POWER(Upgrades!$U$21,M312),1))+(IF(L312=0,0,(Upgrades!$G$20+L312*Upgrades!$H$20)*POWER(Upgrades!$I$20,L312)))*(IF(Upgrades!$T$13="Open Cluster",POWER(Upgrades!$U$13,E312),1)*IF(Upgrades!$T$14="Open Cluster",POWER(Upgrades!$U$14,F312),1)*IF(Upgrades!$T$15="Open Cluster",POWER(Upgrades!$U$15,G312),1)*IF(Upgrades!$T$16="Open Cluster",POWER(Upgrades!$U$16,H312),1)*IF(Upgrades!$T$17="Open Cluster",POWER(Upgrades!$U$17,I312),1)*IF(Upgrades!$T$18="Open Cluster",POWER(Upgrades!$U$18,J312),1)*IF(Upgrades!$T$19="Open Cluster",POWER(Upgrades!$U$19,K312),1)*IF(Upgrades!$T$21="Open Cluster",POWER(Upgrades!$U$21,M312),1))+(IF(M312=0,0,(Upgrades!$G$21+M312*Upgrades!$H$21)*POWER(Upgrades!$I$21,M312)))*(IF(Upgrades!$T$13="Moving Group",POWER(Upgrades!$U$13,E312),1)*IF(Upgrades!$T$14="Moving Group",POWER(Upgrades!$U$14,F312),1)*IF(Upgrades!$T$15="Moving Group",POWER(Upgrades!$U$15,G312),1)*IF(Upgrades!$T$16="Moving Group",POWER(Upgrades!$U$16,H312),1)*IF(Upgrades!$T$17="Moving Group",POWER(Upgrades!$U$17,I312),1)*IF(Upgrades!$T$18="Moving Group",POWER(Upgrades!$U$18,J312),1)*IF(Upgrades!$T$19="Moving Group",POWER(Upgrades!$U$19,K312),1)*IF(Upgrades!$T$20="Moving Group",POWER(Upgrades!$U$20,L312),1)))*POWER(Upgrades!$P$13,E312)*POWER(Upgrades!$P$14,F312)*POWER(Upgrades!$P$15,G312)*POWER(Upgrades!$P$16,H312)*POWER(Upgrades!$P$17,I312)*POWER(Upgrades!$P$18,J312)*POWER(Upgrades!$P$19,K312)*POWER(Upgrades!$P$20,L312)*POWER(Upgrades!$P$21,M312)*$F$6+$C$6</f>
        <v/>
      </c>
      <c r="Q312" s="28">
        <f>((IF(E312=0,0,(Upgrades!$M$13+E312*Upgrades!$N$13)*POWER(Upgrades!$O$13,E312)))*(IF(Upgrades!$T$14="Stellar Kinematics",POWER(Upgrades!$U$14,F312),1)*IF(Upgrades!$T$15="Stellar Kinematics",POWER(Upgrades!$U$15,G312),1)*IF(Upgrades!$T$16="Stellar Kinematics",POWER(Upgrades!$U$16,H312),1)*IF(Upgrades!$T$17="Stellar Kinematics",POWER(Upgrades!$U$17,I312),1)*IF(Upgrades!$T$18="Stellar Kinematics",POWER(Upgrades!$U$18,J312),1)*IF(Upgrades!$T$19="Stellar Kinematics",POWER(Upgrades!$U$19,K312),1)*IF(Upgrades!$T$20="Stellar Kinematics",POWER(Upgrades!$U$20,L312),1)*IF(Upgrades!$T$21="Stellar Kinematics",POWER(Upgrades!$U$21,M312),1))+(IF(F312=0,0,(Upgrades!$M$14+F312*Upgrades!$N$14)*POWER(Upgrades!$O$14,F312)))*(IF(Upgrades!$T$13="Local Bubble",POWER(Upgrades!$U$13,E312),1)*IF(Upgrades!$T$15="Local Bubble",POWER(Upgrades!$U$15,G312),1)*IF(Upgrades!$T$16="Local Bubble",POWER(Upgrades!$U$16,H312),1)*IF(Upgrades!$T$17="Local Bubble",POWER(Upgrades!$U$17,I312),1)*IF(Upgrades!$T$18="Local Bubble",POWER(Upgrades!$U$18,J312),1)*IF(Upgrades!$T$19="Local Bubble",POWER(Upgrades!$U$19,K312),1)*IF(Upgrades!$T$20="Local Bubble",POWER(Upgrades!$U$20,L312),1)*IF(Upgrades!$T$21="Local Bubble",POWER(Upgrades!$U$21,M312),1))+(IF(G312=0,0,(Upgrades!$M$15+G312*Upgrades!$N$15)*POWER(Upgrades!$O$15,G312)))*(IF(Upgrades!$T$13="Microlensing",POWER(Upgrades!$U$13,E312),1)*IF(Upgrades!$T$14="Microlensing",POWER(Upgrades!$U$14,F312),1)*IF(Upgrades!$T$16="Microlensing",POWER(Upgrades!$U$16,H312),1)*IF(Upgrades!$T$17="Microlensing",POWER(Upgrades!$U$17,I312),1)*IF(Upgrades!$T$18="Microlensing",POWER(Upgrades!$U$18,J312),1)*IF(Upgrades!$T$19="Microlensing",POWER(Upgrades!$U$19,K312),1)*IF(Upgrades!$T$20="Microlensing",POWER(Upgrades!$U$20,L312),1)*IF(Upgrades!$T$21="Microlensing",POWER(Upgrades!$U$21,M312),1))+(IF(H312=0,0,(Upgrades!$M$16+H312*Upgrades!$N$16)*POWER(Upgrades!$O$16,H312)))*(IF(Upgrades!$T$13="Roche Lobe Overflow",POWER(Upgrades!$U$13,E312),1)*IF(Upgrades!$T$14="Roche Lobe Overflow",POWER(Upgrades!$U$14,F312),1)*IF(Upgrades!$T$15="Roche Lobe Overflow",POWER(Upgrades!$U$15,G312),1)*IF(Upgrades!$T$17="Roche Lobe Overflow",POWER(Upgrades!$U$17,I312),1)*IF(Upgrades!$T$18="Roche Lobe Overflow",POWER(Upgrades!$U$18,J312),1)*IF(Upgrades!$T$19="Roche Lobe Overflow",POWER(Upgrades!$U$19,K312),1)*IF(Upgrades!$T$20="Roche Lobe Overflow",POWER(Upgrades!$U$20,L312),1)*IF(Upgrades!$T$21="Roche Lobe Overflow",POWER(Upgrades!$U$21,M312),1))+(IF(I312=0,0,(Upgrades!$M$17+I312*Upgrades!$N$17)*POWER(Upgrades!$O$17,I312)))*(IF(Upgrades!$T$13="Brown Dwarf",POWER(Upgrades!$U$13,E312),1)*IF(Upgrades!$T$14="Brown Dwarf",POWER(Upgrades!$U$14,F312),1)*IF(Upgrades!$T$15="Brown Dwarf",POWER(Upgrades!$U$15,G312),1)*IF(Upgrades!$T$16="Brown Dwarf",POWER(Upgrades!$U$16,H312),1)*IF(Upgrades!$T$18="Brown Dwarf",POWER(Upgrades!$U$18,J312),1)*IF(Upgrades!$T$19="Brown Dwarf",POWER(Upgrades!$U$19,K312),1)*IF(Upgrades!$T$20="Brown Dwarf",POWER(Upgrades!$U$20,L312),1)*IF(Upgrades!$T$21="Brown Dwarf",POWER(Upgrades!$U$21,M312),1))+(IF(J312=0,0,(Upgrades!$M$18+J312*Upgrades!$N$18)*POWER(Upgrades!$O$18,J312)))*(IF(Upgrades!$T$13="Binary Partner",POWER(Upgrades!$U$13,E312),1)*IF(Upgrades!$T$14="Binary Partner",POWER(Upgrades!$U$14,F312),1)*IF(Upgrades!$T$15="Binary Partner",POWER(Upgrades!$U$15,G312),1)*IF(Upgrades!$T$16="Binary Partner",POWER(Upgrades!$U$16,H312),1)*IF(Upgrades!$T$17="Binary Partner",POWER(Upgrades!$U$17,I312),1)*IF(Upgrades!$T$19="Binary Partner",POWER(Upgrades!$U$19,K312),1)*IF(Upgrades!$T$20="Binary Partner",POWER(Upgrades!$U$20,L312),1)*IF(Upgrades!$T$21="Binary Partner",POWER(Upgrades!$U$21,M312),1))+(IF(K312=0,0,(Upgrades!$M$19+K312*Upgrades!$N$19)*POWER(Upgrades!$O$19,K312)))*(IF(Upgrades!$T$13="Peculiar Velocity",POWER(Upgrades!$U$13,E312),1)*IF(Upgrades!$T$14="Peculiar Velocity",POWER(Upgrades!$U$14,F312),1)*IF(Upgrades!$T$15="Peculiar Velocity",POWER(Upgrades!$U$15,G312),1)*IF(Upgrades!$T$16="Peculiar Velocity",POWER(Upgrades!$U$16,H312),1)*IF(Upgrades!$T$17="Peculiar Velocity",POWER(Upgrades!$U$17,I312),1)*IF(Upgrades!$T$18="Peculiar Velocity",POWER(Upgrades!$U$18,J312),1)*IF(Upgrades!$T$20="Peculiar Velocity",POWER(Upgrades!$U$20,L312),1)*IF(Upgrades!$T$21="Peculiar Velocity",POWER(Upgrades!$U$21,M312),1))+(IF(L312=0,0,(Upgrades!$M$20+L312*Upgrades!$N$20)*POWER(Upgrades!$O$20,L312)))*(IF(Upgrades!$T$13="Open Cluster",POWER(Upgrades!$U$13,E312),1)*IF(Upgrades!$T$14="Open Cluster",POWER(Upgrades!$U$14,F312),1)*IF(Upgrades!$T$15="Open Cluster",POWER(Upgrades!$U$15,G312),1)*IF(Upgrades!$T$16="Open Cluster",POWER(Upgrades!$U$16,H312),1)*IF(Upgrades!$T$17="Open Cluster",POWER(Upgrades!$U$17,I312),1)*IF(Upgrades!$T$18="Open Cluster",POWER(Upgrades!$U$18,J312),1)*IF(Upgrades!$T$19="Open Cluster",POWER(Upgrades!$U$19,K312),1)*IF(Upgrades!$T$21="Open Cluster",POWER(Upgrades!$U$21,M312),1))+(IF(M312=0,0,(Upgrades!$M$21+M312*Upgrades!$N$21)*POWER(Upgrades!$O$21,M312)))*(IF(Upgrades!$T$13="Moving Group",POWER(Upgrades!$U$13,E312),1)*IF(Upgrades!$T$14="Moving Group",POWER(Upgrades!$U$14,F312),1)*IF(Upgrades!$T$15="Moving Group",POWER(Upgrades!$U$15,G312),1)*IF(Upgrades!$T$16="Moving Group",POWER(Upgrades!$U$16,H312),1)*IF(Upgrades!$T$17="Moving Group",POWER(Upgrades!$U$17,I312),1)*IF(Upgrades!$T$18="Moving Group",POWER(Upgrades!$U$18,J312),1)*IF(Upgrades!$T$19="Moving Group",POWER(Upgrades!$U$19,K312),1)*IF(Upgrades!$T$20="Moving Group",POWER(Upgrades!$U$20,L312),1)))*POWER(Upgrades!$R$13,E312)*POWER(Upgrades!$R$14,F312)*POWER(Upgrades!$R$15,G312)*POWER(Upgrades!$R$16,H312)*POWER(Upgrades!$R$17,I312)*POWER(Upgrades!$R$18,J312)*POWER(Upgrades!$R$19,K312)*POWER(Upgrades!$R$20,L312)*POWER(Upgrades!$R$21,M312)*$H$6+$E$6</f>
        <v/>
      </c>
      <c r="R312" s="27">
        <f>IF(N312=1,0,O312*Parameters!$B$10/60*Parameters!$B$11*10)</f>
        <v/>
      </c>
      <c r="S312" s="27">
        <f>IF(N312=1,0,Q312*O312*10)</f>
        <v/>
      </c>
      <c r="T312" s="27">
        <f>IF(N312=1,0,R312+S312+P312*10)</f>
        <v/>
      </c>
      <c r="U312" s="33">
        <f>BE312</f>
        <v/>
      </c>
      <c r="V312" s="22">
        <f>IF(U312="",0,IF(U312="transition",0,IF(U312="SK",AK312,IF(U312="LB",AL312,IF(U312="ML",AM312,IF(U312="RLO",AN312,IF(U312="BD",AO312,IF(U312="BiP",AP312,IF(U312="PV",AQ312,IF(U312="OC",AR312,IF(U312="MG",AS312,0))))))))))</f>
        <v/>
      </c>
      <c r="W312" s="27">
        <f>IF(U312="BiP",Upgrades!$F$18,IF(U312="PV",Upgrades!$F$19,IF(U312="OC",Upgrades!$F$20,IF(U312="MG",Upgrades!$F$21,IF(U312="transition",-Parameters!$B$18*Parameters!$B$19,0)))))</f>
        <v/>
      </c>
      <c r="X312" s="22">
        <f>C312+T312-V312</f>
        <v/>
      </c>
      <c r="Y312" s="30">
        <f>O312*Parameters!$B$10/60*Parameters!$B$11+Q312*O312+P312</f>
        <v/>
      </c>
      <c r="Z312" s="34">
        <f>IF(U312="transition","→ Tier 3 (Galactic Arm)",IF(U312="MG","Moving Group — pocket drifts together",IF(U312="OC","Open Cluster acquired",IF(U312="PV","Peculiar Velocity — passive multiplier active",IF(U312="BiP","Binary Partner — pair bond formed",IF(AND(AU312=1,N312=0,AT312&lt;&gt;1),"Cohesion ready (waiting on completionists)","")))))) </f>
        <v/>
      </c>
      <c r="AA312" s="27">
        <f>(IF(E312=0,0,(Upgrades!$G$13+E312*Upgrades!$H$13)*POWER(Upgrades!$I$13,E312)))*(IF(Upgrades!$T$14="Stellar Kinematics",POWER(Upgrades!$U$14,F312),1)*IF(Upgrades!$T$15="Stellar Kinematics",POWER(Upgrades!$U$15,G312),1)*IF(Upgrades!$T$16="Stellar Kinematics",POWER(Upgrades!$U$16,H312),1)*IF(Upgrades!$T$17="Stellar Kinematics",POWER(Upgrades!$U$17,I312),1)*IF(Upgrades!$T$18="Stellar Kinematics",POWER(Upgrades!$U$18,J312),1)*IF(Upgrades!$T$19="Stellar Kinematics",POWER(Upgrades!$U$19,K312),1)*IF(Upgrades!$T$20="Stellar Kinematics",POWER(Upgrades!$U$20,L312),1)*IF(Upgrades!$T$21="Stellar Kinematics",POWER(Upgrades!$U$21,M312),1))*POWER(Upgrades!$P$13,E312)*POWER(Upgrades!$P$14,F312)*POWER(Upgrades!$P$15,G312)*POWER(Upgrades!$P$16,H312)*POWER(Upgrades!$P$17,I312)*POWER(Upgrades!$P$18,J312)*POWER(Upgrades!$P$19,K312)*POWER(Upgrades!$P$20,L312)*POWER(Upgrades!$P$21,M312)*$F$6*60</f>
        <v/>
      </c>
      <c r="AB312" s="27">
        <f>(IF(F312=0,0,(Upgrades!$G$14+F312*Upgrades!$H$14)*POWER(Upgrades!$I$14,F312)))*(IF(Upgrades!$T$13="Local Bubble",POWER(Upgrades!$U$13,E312),1)*IF(Upgrades!$T$15="Local Bubble",POWER(Upgrades!$U$15,G312),1)*IF(Upgrades!$T$16="Local Bubble",POWER(Upgrades!$U$16,H312),1)*IF(Upgrades!$T$17="Local Bubble",POWER(Upgrades!$U$17,I312),1)*IF(Upgrades!$T$18="Local Bubble",POWER(Upgrades!$U$18,J312),1)*IF(Upgrades!$T$19="Local Bubble",POWER(Upgrades!$U$19,K312),1)*IF(Upgrades!$T$20="Local Bubble",POWER(Upgrades!$U$20,L312),1)*IF(Upgrades!$T$21="Local Bubble",POWER(Upgrades!$U$21,M312),1))*POWER(Upgrades!$P$13,E312)*POWER(Upgrades!$P$14,F312)*POWER(Upgrades!$P$15,G312)*POWER(Upgrades!$P$16,H312)*POWER(Upgrades!$P$17,I312)*POWER(Upgrades!$P$18,J312)*POWER(Upgrades!$P$19,K312)*POWER(Upgrades!$P$20,L312)*POWER(Upgrades!$P$21,M312)*$F$6*60</f>
        <v/>
      </c>
      <c r="AC312" s="27">
        <f>(IF(G312=0,0,(Upgrades!$J$15+G312*Upgrades!$K$15)*POWER(Upgrades!$L$15,G312)))*(IF(Upgrades!$T$13="Microlensing",POWER(Upgrades!$U$13,E312),1)*IF(Upgrades!$T$14="Microlensing",POWER(Upgrades!$U$14,F312),1)*IF(Upgrades!$T$16="Microlensing",POWER(Upgrades!$U$16,H312),1)*IF(Upgrades!$T$17="Microlensing",POWER(Upgrades!$U$17,I312),1)*IF(Upgrades!$T$18="Microlensing",POWER(Upgrades!$U$18,J312),1)*IF(Upgrades!$T$19="Microlensing",POWER(Upgrades!$U$19,K312),1)*IF(Upgrades!$T$20="Microlensing",POWER(Upgrades!$U$20,L312),1)*IF(Upgrades!$T$21="Microlensing",POWER(Upgrades!$U$21,M312),1))*POWER(Upgrades!$Q$13,E312)*POWER(Upgrades!$Q$14,F312)*POWER(Upgrades!$Q$15,G312)*POWER(Upgrades!$Q$16,H312)*POWER(Upgrades!$Q$17,I312)*POWER(Upgrades!$Q$18,J312)*POWER(Upgrades!$Q$19,K312)*POWER(Upgrades!$Q$20,L312)*POWER(Upgrades!$Q$21,M312)*$G$6*(Parameters!$B$10*Parameters!$B$11+Q312*60)</f>
        <v/>
      </c>
      <c r="AD312" s="27">
        <f>(IF(H312=0,0,(Upgrades!$M$16+H312*Upgrades!$N$16)*POWER(Upgrades!$O$16,H312)))*(IF(Upgrades!$T$13="Roche Lobe Overflow",POWER(Upgrades!$U$13,E312),1)*IF(Upgrades!$T$14="Roche Lobe Overflow",POWER(Upgrades!$U$14,F312),1)*IF(Upgrades!$T$15="Roche Lobe Overflow",POWER(Upgrades!$U$15,G312),1)*IF(Upgrades!$T$17="Roche Lobe Overflow",POWER(Upgrades!$U$17,I312),1)*IF(Upgrades!$T$18="Roche Lobe Overflow",POWER(Upgrades!$U$18,J312),1)*IF(Upgrades!$T$19="Roche Lobe Overflow",POWER(Upgrades!$U$19,K312),1)*IF(Upgrades!$T$20="Roche Lobe Overflow",POWER(Upgrades!$U$20,L312),1)*IF(Upgrades!$T$21="Roche Lobe Overflow",POWER(Upgrades!$U$21,M312),1))*POWER(Upgrades!$R$13,E312)*POWER(Upgrades!$R$14,F312)*POWER(Upgrades!$R$15,G312)*POWER(Upgrades!$R$16,H312)*POWER(Upgrades!$R$17,I312)*POWER(Upgrades!$R$18,J312)*POWER(Upgrades!$R$19,K312)*POWER(Upgrades!$R$20,L312)*POWER(Upgrades!$R$21,M312)*$H$6*O312*60</f>
        <v/>
      </c>
      <c r="AE312" s="27">
        <f>(IF(I312=0,0,(Upgrades!$G$17+I312*Upgrades!$H$17)*POWER(Upgrades!$I$17,I312)))*(IF(Upgrades!$T$13="Brown Dwarf",POWER(Upgrades!$U$13,E312),1)*IF(Upgrades!$T$14="Brown Dwarf",POWER(Upgrades!$U$14,F312),1)*IF(Upgrades!$T$15="Brown Dwarf",POWER(Upgrades!$U$15,G312),1)*IF(Upgrades!$T$16="Brown Dwarf",POWER(Upgrades!$U$16,H312),1)*IF(Upgrades!$T$18="Brown Dwarf",POWER(Upgrades!$U$18,J312),1)*IF(Upgrades!$T$19="Brown Dwarf",POWER(Upgrades!$U$19,K312),1)*IF(Upgrades!$T$20="Brown Dwarf",POWER(Upgrades!$U$20,L312),1)*IF(Upgrades!$T$21="Brown Dwarf",POWER(Upgrades!$U$21,M312),1))*POWER(Upgrades!$P$13,E312)*POWER(Upgrades!$P$14,F312)*POWER(Upgrades!$P$15,G312)*POWER(Upgrades!$P$16,H312)*POWER(Upgrades!$P$17,I312)*POWER(Upgrades!$P$18,J312)*POWER(Upgrades!$P$19,K312)*POWER(Upgrades!$P$20,L312)*POWER(Upgrades!$P$21,M312)*$F$6*60</f>
        <v/>
      </c>
      <c r="AF312" s="27" t="n">
        <v>0</v>
      </c>
      <c r="AG312" s="27" t="n">
        <v>0</v>
      </c>
      <c r="AH312" s="27" t="n">
        <v>0</v>
      </c>
      <c r="AI312" s="27">
        <f>(IF(M312=0,0,(Upgrades!$G$21+M312*Upgrades!$H$21)*POWER(Upgrades!$I$21,M312)))*(IF(Upgrades!$T$13="Moving Group",POWER(Upgrades!$U$13,E312),1)*IF(Upgrades!$T$14="Moving Group",POWER(Upgrades!$U$14,F312),1)*IF(Upgrades!$T$15="Moving Group",POWER(Upgrades!$U$15,G312),1)*IF(Upgrades!$T$16="Moving Group",POWER(Upgrades!$U$16,H312),1)*IF(Upgrades!$T$17="Moving Group",POWER(Upgrades!$U$17,I312),1)*IF(Upgrades!$T$18="Moving Group",POWER(Upgrades!$U$18,J312),1)*IF(Upgrades!$T$19="Moving Group",POWER(Upgrades!$U$19,K312),1)*IF(Upgrades!$T$20="Moving Group",POWER(Upgrades!$U$20,L312),1))*POWER(Upgrades!$P$13,E312)*POWER(Upgrades!$P$14,F312)*POWER(Upgrades!$P$15,G312)*POWER(Upgrades!$P$16,H312)*POWER(Upgrades!$P$17,I312)*POWER(Upgrades!$P$18,J312)*POWER(Upgrades!$P$19,K312)*POWER(Upgrades!$P$20,L312)*POWER(Upgrades!$P$21,M312)*$F$6*60</f>
        <v/>
      </c>
      <c r="AJ312" s="27">
        <f>$C$6*60</f>
        <v/>
      </c>
      <c r="AK312" s="22">
        <f>IF(E312&gt;=Upgrades!$E$13,"",Upgrades!$C$13*POWER(Upgrades!$D$13,E312))</f>
        <v/>
      </c>
      <c r="AL312" s="22">
        <f>IF(F312&gt;=Upgrades!$E$14,"",Upgrades!$C$14*POWER(Upgrades!$D$14,F312))</f>
        <v/>
      </c>
      <c r="AM312" s="22">
        <f>IF(G312&gt;=Upgrades!$E$15,"",Upgrades!$C$15*POWER(Upgrades!$D$15,G312))</f>
        <v/>
      </c>
      <c r="AN312" s="22">
        <f>IF(H312&gt;=Upgrades!$E$16,"",Upgrades!$C$16*POWER(Upgrades!$D$16,H312))</f>
        <v/>
      </c>
      <c r="AO312" s="22">
        <f>IF(I312&gt;=Upgrades!$E$17,"",Upgrades!$C$17*POWER(Upgrades!$D$17,I312))</f>
        <v/>
      </c>
      <c r="AP312" s="22">
        <f>IF(J312&gt;=Upgrades!$E$18,"",Upgrades!$C$18*POWER(Upgrades!$D$18,J312))</f>
        <v/>
      </c>
      <c r="AQ312" s="22">
        <f>IF(K312&gt;=Upgrades!$E$19,"",Upgrades!$C$19*POWER(Upgrades!$D$19,K312))</f>
        <v/>
      </c>
      <c r="AR312" s="22">
        <f>IF(L312&gt;=Upgrades!$E$20,"",Upgrades!$C$20*POWER(Upgrades!$D$20,L312))</f>
        <v/>
      </c>
      <c r="AS312" s="22">
        <f>IF(M312&gt;=Upgrades!$E$21,"",Upgrades!$C$21*POWER(Upgrades!$D$21,M312))</f>
        <v/>
      </c>
      <c r="AT312" s="26">
        <f>IF(AND(D312&gt;=Parameters!$B$18*Parameters!$B$19,(I312&gt;=Upgrades!$E$17)*(M312&gt;=Upgrades!$E$21)=1,N312=0),1,"")</f>
        <v/>
      </c>
      <c r="AU312" s="26">
        <f>IF(AND(D312&gt;=Parameters!$B$18*Parameters!$B$19,N312=0),1,"")</f>
        <v/>
      </c>
      <c r="AV312" s="22">
        <f>MIN(IF(ISNUMBER(AP312),AP312,9E15),IF(ISNUMBER(AQ312),AQ312,9E15),IF(ISNUMBER(AR312),AR312,9E15),IF(ISNUMBER(AS312),AS312,9E15))</f>
        <v/>
      </c>
      <c r="AW312" s="22">
        <f>MIN(IF(ISNUMBER(AK312),AK312,9E15),IF(ISNUMBER(AL312),AL312,9E15),IF(ISNUMBER(AM312),AM312,9E15),IF(ISNUMBER(AN312),AN312,9E15),IF(ISNUMBER(AO312),AO312,9E15))</f>
        <v/>
      </c>
      <c r="AX312" s="29">
        <f>IF(BD312&gt;Parameters!$B$21*(MAX(IF(AND(NOT(AND(AU312=1,AT312&lt;&gt;1)),ISNUMBER(AK312),AK312&lt;=(C312+T312)),AY312,0),IF(AND(NOT(AND(AU312=1,AT312&lt;&gt;1)),ISNUMBER(AL312),AL312&lt;=(C312+T312)),AZ312,0),IF(AND(NOT(AND(AU312=1,AT312&lt;&gt;1)),ISNUMBER(AM312),AM312&lt;=(C312+T312)),BA312,0),IF(AND(NOT(AND(AU312=1,AT312&lt;&gt;1)),ISNUMBER(AN312),AN312&lt;=(C312+T312)),BB312,0),IF(AND(ISNUMBER(AO312),AO312&lt;=(C312+T312)),BC312,0))),TRUE,FALSE)</f>
        <v/>
      </c>
      <c r="AY312" s="32">
        <f>IFERROR(Upgrades!$H$13*(POWER(Upgrades!$P$13,E312)*POWER(Upgrades!$P$14,F312)*POWER(Upgrades!$P$15,G312)*POWER(Upgrades!$P$16,H312)*POWER(Upgrades!$P$17,I312)*POWER(Upgrades!$P$18,J312)*POWER(Upgrades!$P$19,K312)*POWER(Upgrades!$P$20,L312)*POWER(Upgrades!$P$21,M312))*(IF(Upgrades!$T$14="Stellar Kinematics",POWER(Upgrades!$U$14,F312),1)*IF(Upgrades!$T$15="Stellar Kinematics",POWER(Upgrades!$U$15,G312),1)*IF(Upgrades!$T$16="Stellar Kinematics",POWER(Upgrades!$U$16,H312),1)*IF(Upgrades!$T$17="Stellar Kinematics",POWER(Upgrades!$U$17,I312),1)*IF(Upgrades!$T$18="Stellar Kinematics",POWER(Upgrades!$U$18,J312),1)*IF(Upgrades!$T$19="Stellar Kinematics",POWER(Upgrades!$U$19,K312),1)*IF(Upgrades!$T$20="Stellar Kinematics",POWER(Upgrades!$U$20,L312),1)*IF(Upgrades!$T$21="Stellar Kinematics",POWER(Upgrades!$U$21,M312),1))*$F$6/AK312,0)</f>
        <v/>
      </c>
      <c r="AZ312" s="32">
        <f>IFERROR(Upgrades!$H$14*(POWER(Upgrades!$P$13,E312)*POWER(Upgrades!$P$14,F312)*POWER(Upgrades!$P$15,G312)*POWER(Upgrades!$P$16,H312)*POWER(Upgrades!$P$17,I312)*POWER(Upgrades!$P$18,J312)*POWER(Upgrades!$P$19,K312)*POWER(Upgrades!$P$20,L312)*POWER(Upgrades!$P$21,M312))*(IF(Upgrades!$T$13="Local Bubble",POWER(Upgrades!$U$13,E312),1)*IF(Upgrades!$T$15="Local Bubble",POWER(Upgrades!$U$15,G312),1)*IF(Upgrades!$T$16="Local Bubble",POWER(Upgrades!$U$16,H312),1)*IF(Upgrades!$T$17="Local Bubble",POWER(Upgrades!$U$17,I312),1)*IF(Upgrades!$T$18="Local Bubble",POWER(Upgrades!$U$18,J312),1)*IF(Upgrades!$T$19="Local Bubble",POWER(Upgrades!$U$19,K312),1)*IF(Upgrades!$T$20="Local Bubble",POWER(Upgrades!$U$20,L312),1)*IF(Upgrades!$T$21="Local Bubble",POWER(Upgrades!$U$21,M312),1))*$F$6/AL312,0)</f>
        <v/>
      </c>
      <c r="BA312" s="32">
        <f>IFERROR(Upgrades!$K$15*(POWER(Upgrades!$Q$13,E312)*POWER(Upgrades!$Q$14,F312)*POWER(Upgrades!$Q$15,G312)*POWER(Upgrades!$Q$16,H312)*POWER(Upgrades!$Q$17,I312)*POWER(Upgrades!$Q$18,J312)*POWER(Upgrades!$Q$19,K312)*POWER(Upgrades!$Q$20,L312)*POWER(Upgrades!$Q$21,M312))*(IF(Upgrades!$T$13="Microlensing",POWER(Upgrades!$U$13,E312),1)*IF(Upgrades!$T$14="Microlensing",POWER(Upgrades!$U$14,F312),1)*IF(Upgrades!$T$16="Microlensing",POWER(Upgrades!$U$16,H312),1)*IF(Upgrades!$T$17="Microlensing",POWER(Upgrades!$U$17,I312),1)*IF(Upgrades!$T$18="Microlensing",POWER(Upgrades!$U$18,J312),1)*IF(Upgrades!$T$19="Microlensing",POWER(Upgrades!$U$19,K312),1)*IF(Upgrades!$T$20="Microlensing",POWER(Upgrades!$U$20,L312),1)*IF(Upgrades!$T$21="Microlensing",POWER(Upgrades!$U$21,M312),1))*$G$6*(Parameters!$B$10/60*Parameters!$B$11+Q312)/AM312,0)</f>
        <v/>
      </c>
      <c r="BB312" s="32">
        <f>IFERROR((Upgrades!$N$16*(POWER(Upgrades!$R$13,E312)*POWER(Upgrades!$R$14,F312)*POWER(Upgrades!$R$15,G312)*POWER(Upgrades!$R$16,H312)*POWER(Upgrades!$R$17,I312)*POWER(Upgrades!$R$18,J312)*POWER(Upgrades!$R$19,K312)*POWER(Upgrades!$R$20,L312)*POWER(Upgrades!$R$21,M312))*(IF(Upgrades!$T$13="Roche Lobe Overflow",POWER(Upgrades!$U$13,E312),1)*IF(Upgrades!$T$14="Roche Lobe Overflow",POWER(Upgrades!$U$14,F312),1)*IF(Upgrades!$T$15="Roche Lobe Overflow",POWER(Upgrades!$U$15,G312),1)*IF(Upgrades!$T$17="Roche Lobe Overflow",POWER(Upgrades!$U$17,I312),1)*IF(Upgrades!$T$18="Roche Lobe Overflow",POWER(Upgrades!$U$18,J312),1)*IF(Upgrades!$T$19="Roche Lobe Overflow",POWER(Upgrades!$U$19,K312),1)*IF(Upgrades!$T$20="Roche Lobe Overflow",POWER(Upgrades!$U$20,L312),1)*IF(Upgrades!$T$21="Roche Lobe Overflow",POWER(Upgrades!$U$21,M312),1))*$H$6*O312+((IF(F312=0,0,(Upgrades!$G$14+F312*Upgrades!$H$14)*POWER(Upgrades!$I$14,F312)))*(IF(Upgrades!$T$13="Local Bubble",POWER(Upgrades!$U$13,E312),1)*IF(Upgrades!$T$15="Local Bubble",POWER(Upgrades!$U$15,G312),1)*IF(Upgrades!$T$16="Local Bubble",POWER(Upgrades!$U$16,H312),1)*IF(Upgrades!$T$17="Local Bubble",POWER(Upgrades!$U$17,I312),1)*IF(Upgrades!$T$18="Local Bubble",POWER(Upgrades!$U$18,J312),1)*IF(Upgrades!$T$19="Local Bubble",POWER(Upgrades!$U$19,K312),1)*IF(Upgrades!$T$20="Local Bubble",POWER(Upgrades!$U$20,L312),1)*IF(Upgrades!$T$21="Local Bubble",POWER(Upgrades!$U$21,M312),1))*POWER(Upgrades!$P$13,E312)*POWER(Upgrades!$P$14,F312)*POWER(Upgrades!$P$15,G312)*POWER(Upgrades!$P$16,H312)*POWER(Upgrades!$P$17,I312)*POWER(Upgrades!$P$18,J312)*POWER(Upgrades!$P$19,K312)*POWER(Upgrades!$P$20,L312)*POWER(Upgrades!$P$21,M312)*$F$6)*0.05)/AN312,0)</f>
        <v/>
      </c>
      <c r="BC312" s="32">
        <f>IFERROR((Upgrades!$H$17*(POWER(Upgrades!$P$13,E312)*POWER(Upgrades!$P$14,F312)*POWER(Upgrades!$P$15,G312)*POWER(Upgrades!$P$16,H312)*POWER(Upgrades!$P$17,I312)*POWER(Upgrades!$P$18,J312)*POWER(Upgrades!$P$19,K312)*POWER(Upgrades!$P$20,L312)*POWER(Upgrades!$P$21,M312))*(IF(Upgrades!$T$13="Brown Dwarf",POWER(Upgrades!$U$13,E312),1)*IF(Upgrades!$T$14="Brown Dwarf",POWER(Upgrades!$U$14,F312),1)*IF(Upgrades!$T$15="Brown Dwarf",POWER(Upgrades!$U$15,G312),1)*IF(Upgrades!$T$16="Brown Dwarf",POWER(Upgrades!$U$16,H312),1)*IF(Upgrades!$T$18="Brown Dwarf",POWER(Upgrades!$U$18,J312),1)*IF(Upgrades!$T$19="Brown Dwarf",POWER(Upgrades!$U$19,K312),1)*IF(Upgrades!$T$20="Brown Dwarf",POWER(Upgrades!$U$20,L312),1)*IF(Upgrades!$T$21="Brown Dwarf",POWER(Upgrades!$U$21,M312),1))*$F$6+(((IF(H312=0,0,(Upgrades!$M$16+H312*Upgrades!$N$16)*POWER(Upgrades!$O$16,H312)))*(IF(Upgrades!$T$13="Roche Lobe Overflow",POWER(Upgrades!$U$13,E312),1)*IF(Upgrades!$T$14="Roche Lobe Overflow",POWER(Upgrades!$U$14,F312),1)*IF(Upgrades!$T$15="Roche Lobe Overflow",POWER(Upgrades!$U$15,G312),1)*IF(Upgrades!$T$17="Roche Lobe Overflow",POWER(Upgrades!$U$17,I312),1)*IF(Upgrades!$T$18="Roche Lobe Overflow",POWER(Upgrades!$U$18,J312),1)*IF(Upgrades!$T$19="Roche Lobe Overflow",POWER(Upgrades!$U$19,K312),1)*IF(Upgrades!$T$20="Roche Lobe Overflow",POWER(Upgrades!$U$20,L312),1)*IF(Upgrades!$T$21="Roche Lobe Overflow",POWER(Upgrades!$U$21,M312),1))*POWER(Upgrades!$R$13,E312)*POWER(Upgrades!$R$14,F312)*POWER(Upgrades!$R$15,G312)*POWER(Upgrades!$R$16,H312)*POWER(Upgrades!$R$17,I312)*POWER(Upgrades!$R$18,J312)*POWER(Upgrades!$R$19,K312)*POWER(Upgrades!$R$20,L312)*POWER(Upgrades!$R$21,M312)*$H$6)*O312)*0.10)/AO312,0)</f>
        <v/>
      </c>
      <c r="BD312" s="32">
        <f>MAX(IF(J312&gt;0,0,IFERROR(0.5*((IF(G312=0,0,(Upgrades!$J$15+G312*Upgrades!$K$15)*POWER(Upgrades!$L$15,G312)))*(IF(Upgrades!$T$13="Microlensing",POWER(Upgrades!$U$13,E312),1)*IF(Upgrades!$T$14="Microlensing",POWER(Upgrades!$U$14,F312),1)*IF(Upgrades!$T$16="Microlensing",POWER(Upgrades!$U$16,H312),1)*IF(Upgrades!$T$17="Microlensing",POWER(Upgrades!$U$17,I312),1)*IF(Upgrades!$T$18="Microlensing",POWER(Upgrades!$U$18,J312),1)*IF(Upgrades!$T$19="Microlensing",POWER(Upgrades!$U$19,K312),1)*IF(Upgrades!$T$20="Microlensing",POWER(Upgrades!$U$20,L312),1)*IF(Upgrades!$T$21="Microlensing",POWER(Upgrades!$U$21,M312),1))*(POWER(Upgrades!$Q$13,E312)*POWER(Upgrades!$Q$14,F312)*POWER(Upgrades!$Q$15,G312)*POWER(Upgrades!$Q$16,H312)*POWER(Upgrades!$Q$17,I312)*POWER(Upgrades!$Q$18,J312)*POWER(Upgrades!$Q$19,K312)*POWER(Upgrades!$Q$20,L312)*POWER(Upgrades!$Q$21,M312))*$G$6*(Parameters!$B$10/60*Parameters!$B$11+Q312))/Upgrades!$C$18,0)),IF(K312&gt;0,0,IFERROR(0.30*P312/Upgrades!$C$19,0)),IF(L312&gt;0,0,IFERROR(0.0001/Upgrades!$C$20,0)),IF(M312&gt;0,0,IFERROR((6.0*(POWER(Upgrades!$P$13,E312)*POWER(Upgrades!$P$14,F312)*POWER(Upgrades!$P$15,G312)*POWER(Upgrades!$P$16,H312)*POWER(Upgrades!$P$17,I312)*POWER(Upgrades!$P$18,J312)*POWER(Upgrades!$P$19,K312)*POWER(Upgrades!$P$20,L312)*POWER(Upgrades!$P$21,M312))*$F$6+0.20*O312*(Parameters!$B$10/60*Parameters!$B$11+Q312))/Upgrades!$C$21,0)),IF(AND(ISNUMBER(AK312),AK312&gt;(C312+T312)),AY312,0),IF(AND(ISNUMBER(AL312),AL312&gt;(C312+T312)),AZ312,0),IF(AND(ISNUMBER(AM312),AM312&gt;(C312+T312)),BA312,0),IF(AND(ISNUMBER(AN312),AN312&gt;(C312+T312)),BB312,0),IF(AND(ISNUMBER(AO312),AO312&gt;(C312+T312)),BC312,0))</f>
        <v/>
      </c>
      <c r="BE312" s="29">
        <f>IF(AT312=1,"transition",IF(MIN(IF(AND(J312=0,ISNUMBER(AP312),AP312&lt;=(C312+T312)),AP312,9E15),IF(AND(K312=0,ISNUMBER(AQ312),AQ312&lt;=(C312+T312)),AQ312,9E15),IF(AND(L312=0,ISNUMBER(AR312),AR312&lt;=(C312+T312)),AR312,9E15),IF(AND(M312=0,ISNUMBER(AS312),AS312&lt;=(C312+T312)),AS312,9E15))&lt;9E15,IF(AND(AND(J312=0,ISNUMBER(AP312),AP312&lt;=(C312+T312)),AP312=MIN(IF(AND(J312=0,ISNUMBER(AP312),AP312&lt;=(C312+T312)),AP312,9E15),IF(AND(K312=0,ISNUMBER(AQ312),AQ312&lt;=(C312+T312)),AQ312,9E15),IF(AND(L312=0,ISNUMBER(AR312),AR312&lt;=(C312+T312)),AR312,9E15),IF(AND(M312=0,ISNUMBER(AS312),AS312&lt;=(C312+T312)),AS312,9E15))),"BiP",IF(AND(AND(K312=0,ISNUMBER(AQ312),AQ312&lt;=(C312+T312)),AQ312=MIN(IF(AND(J312=0,ISNUMBER(AP312),AP312&lt;=(C312+T312)),AP312,9E15),IF(AND(K312=0,ISNUMBER(AQ312),AQ312&lt;=(C312+T312)),AQ312,9E15),IF(AND(L312=0,ISNUMBER(AR312),AR312&lt;=(C312+T312)),AR312,9E15),IF(AND(M312=0,ISNUMBER(AS312),AS312&lt;=(C312+T312)),AS312,9E15))),"PV",IF(AND(AND(L312=0,ISNUMBER(AR312),AR312&lt;=(C312+T312)),AR312=MIN(IF(AND(J312=0,ISNUMBER(AP312),AP312&lt;=(C312+T312)),AP312,9E15),IF(AND(K312=0,ISNUMBER(AQ312),AQ312&lt;=(C312+T312)),AQ312,9E15),IF(AND(L312=0,ISNUMBER(AR312),AR312&lt;=(C312+T312)),AR312,9E15),IF(AND(M312=0,ISNUMBER(AS312),AS312&lt;=(C312+T312)),AS312,9E15))),"OC","MG"))),IF(AX312=TRUE,"",IF(MAX(IF(AND(NOT(AND(AU312=1,AT312&lt;&gt;1)),ISNUMBER(AK312),AK312&lt;=(C312+T312)),AY312,0),IF(AND(NOT(AND(AU312=1,AT312&lt;&gt;1)),ISNUMBER(AL312),AL312&lt;=(C312+T312)),AZ312,0),IF(AND(NOT(AND(AU312=1,AT312&lt;&gt;1)),ISNUMBER(AM312),AM312&lt;=(C312+T312)),BA312,0),IF(AND(NOT(AND(AU312=1,AT312&lt;&gt;1)),ISNUMBER(AN312),AN312&lt;=(C312+T312)),BB312,0),IF(AND(ISNUMBER(AO312),AO312&lt;=(C312+T312)),BC312,0))&lt;=0,"",IF(AND(IF(AND(NOT(AND(AU312=1,AT312&lt;&gt;1)),ISNUMBER(AK312),AK312&lt;=(C312+T312)),AY312,0)&gt;0,IF(AND(NOT(AND(AU312=1,AT312&lt;&gt;1)),ISNUMBER(AK312),AK312&lt;=(C312+T312)),AY312,0)=MAX(IF(AND(NOT(AND(AU312=1,AT312&lt;&gt;1)),ISNUMBER(AK312),AK312&lt;=(C312+T312)),AY312,0),IF(AND(NOT(AND(AU312=1,AT312&lt;&gt;1)),ISNUMBER(AL312),AL312&lt;=(C312+T312)),AZ312,0),IF(AND(NOT(AND(AU312=1,AT312&lt;&gt;1)),ISNUMBER(AM312),AM312&lt;=(C312+T312)),BA312,0),IF(AND(NOT(AND(AU312=1,AT312&lt;&gt;1)),ISNUMBER(AN312),AN312&lt;=(C312+T312)),BB312,0),IF(AND(ISNUMBER(AO312),AO312&lt;=(C312+T312)),BC312,0))),"SK",IF(AND(IF(AND(NOT(AND(AU312=1,AT312&lt;&gt;1)),ISNUMBER(AL312),AL312&lt;=(C312+T312)),AZ312,0)&gt;0,IF(AND(NOT(AND(AU312=1,AT312&lt;&gt;1)),ISNUMBER(AL312),AL312&lt;=(C312+T312)),AZ312,0)=MAX(IF(AND(NOT(AND(AU312=1,AT312&lt;&gt;1)),ISNUMBER(AK312),AK312&lt;=(C312+T312)),AY312,0),IF(AND(NOT(AND(AU312=1,AT312&lt;&gt;1)),ISNUMBER(AL312),AL312&lt;=(C312+T312)),AZ312,0),IF(AND(NOT(AND(AU312=1,AT312&lt;&gt;1)),ISNUMBER(AM312),AM312&lt;=(C312+T312)),BA312,0),IF(AND(NOT(AND(AU312=1,AT312&lt;&gt;1)),ISNUMBER(AN312),AN312&lt;=(C312+T312)),BB312,0),IF(AND(ISNUMBER(AO312),AO312&lt;=(C312+T312)),BC312,0))),"LB",IF(AND(IF(AND(NOT(AND(AU312=1,AT312&lt;&gt;1)),ISNUMBER(AM312),AM312&lt;=(C312+T312)),BA312,0)&gt;0,IF(AND(NOT(AND(AU312=1,AT312&lt;&gt;1)),ISNUMBER(AM312),AM312&lt;=(C312+T312)),BA312,0)=MAX(IF(AND(NOT(AND(AU312=1,AT312&lt;&gt;1)),ISNUMBER(AK312),AK312&lt;=(C312+T312)),AY312,0),IF(AND(NOT(AND(AU312=1,AT312&lt;&gt;1)),ISNUMBER(AL312),AL312&lt;=(C312+T312)),AZ312,0),IF(AND(NOT(AND(AU312=1,AT312&lt;&gt;1)),ISNUMBER(AM312),AM312&lt;=(C312+T312)),BA312,0),IF(AND(NOT(AND(AU312=1,AT312&lt;&gt;1)),ISNUMBER(AN312),AN312&lt;=(C312+T312)),BB312,0),IF(AND(ISNUMBER(AO312),AO312&lt;=(C312+T312)),BC312,0))),"ML",IF(AND(IF(AND(NOT(AND(AU312=1,AT312&lt;&gt;1)),ISNUMBER(AN312),AN312&lt;=(C312+T312)),BB312,0)&gt;0,IF(AND(NOT(AND(AU312=1,AT312&lt;&gt;1)),ISNUMBER(AN312),AN312&lt;=(C312+T312)),BB312,0)=MAX(IF(AND(NOT(AND(AU312=1,AT312&lt;&gt;1)),ISNUMBER(AK312),AK312&lt;=(C312+T312)),AY312,0),IF(AND(NOT(AND(AU312=1,AT312&lt;&gt;1)),ISNUMBER(AL312),AL312&lt;=(C312+T312)),AZ312,0),IF(AND(NOT(AND(AU312=1,AT312&lt;&gt;1)),ISNUMBER(AM312),AM312&lt;=(C312+T312)),BA312,0),IF(AND(NOT(AND(AU312=1,AT312&lt;&gt;1)),ISNUMBER(AN312),AN312&lt;=(C312+T312)),BB312,0),IF(AND(ISNUMBER(AO312),AO312&lt;=(C312+T312)),BC312,0))),"RLO","BD"))))))))</f>
        <v/>
      </c>
    </row>
    <row r="313">
      <c r="A313" s="26" t="n">
        <v>302</v>
      </c>
      <c r="B313" s="27">
        <f>A313*10/60</f>
        <v/>
      </c>
      <c r="C313" s="22">
        <f>X312</f>
        <v/>
      </c>
      <c r="D313" s="27">
        <f>D312+W312</f>
        <v/>
      </c>
      <c r="E313" s="26">
        <f>E312+IF(U312="SK",1,0)</f>
        <v/>
      </c>
      <c r="F313" s="26">
        <f>F312+IF(U312="LB",1,0)</f>
        <v/>
      </c>
      <c r="G313" s="26">
        <f>G312+IF(U312="ML",1,0)</f>
        <v/>
      </c>
      <c r="H313" s="26">
        <f>H312+IF(U312="RLO",1,0)</f>
        <v/>
      </c>
      <c r="I313" s="26">
        <f>I312+IF(U312="BD",1,0)</f>
        <v/>
      </c>
      <c r="J313" s="26">
        <f>MAX(J312,IF(U312="BiP",1,0))</f>
        <v/>
      </c>
      <c r="K313" s="26">
        <f>MAX(K312,IF(U312="PV",1,0))</f>
        <v/>
      </c>
      <c r="L313" s="26">
        <f>MAX(L312,IF(U312="OC",1,0))</f>
        <v/>
      </c>
      <c r="M313" s="26">
        <f>MAX(M312,IF(U312="MG",1,0))</f>
        <v/>
      </c>
      <c r="N313" s="26">
        <f>MAX(N312,IF(U312="transition",1,0))</f>
        <v/>
      </c>
      <c r="O313" s="28">
        <f>(Parameters!$B$9+(IF(E313=0,0,(Upgrades!$J$13+E313*Upgrades!$K$13)*POWER(Upgrades!$L$13,E313)))*(IF(Upgrades!$T$14="Stellar Kinematics",POWER(Upgrades!$U$14,F313),1)*IF(Upgrades!$T$15="Stellar Kinematics",POWER(Upgrades!$U$15,G313),1)*IF(Upgrades!$T$16="Stellar Kinematics",POWER(Upgrades!$U$16,H313),1)*IF(Upgrades!$T$17="Stellar Kinematics",POWER(Upgrades!$U$17,I313),1)*IF(Upgrades!$T$18="Stellar Kinematics",POWER(Upgrades!$U$18,J313),1)*IF(Upgrades!$T$19="Stellar Kinematics",POWER(Upgrades!$U$19,K313),1)*IF(Upgrades!$T$20="Stellar Kinematics",POWER(Upgrades!$U$20,L313),1)*IF(Upgrades!$T$21="Stellar Kinematics",POWER(Upgrades!$U$21,M313),1))+(IF(F313=0,0,(Upgrades!$J$14+F313*Upgrades!$K$14)*POWER(Upgrades!$L$14,F313)))*(IF(Upgrades!$T$13="Local Bubble",POWER(Upgrades!$U$13,E313),1)*IF(Upgrades!$T$15="Local Bubble",POWER(Upgrades!$U$15,G313),1)*IF(Upgrades!$T$16="Local Bubble",POWER(Upgrades!$U$16,H313),1)*IF(Upgrades!$T$17="Local Bubble",POWER(Upgrades!$U$17,I313),1)*IF(Upgrades!$T$18="Local Bubble",POWER(Upgrades!$U$18,J313),1)*IF(Upgrades!$T$19="Local Bubble",POWER(Upgrades!$U$19,K313),1)*IF(Upgrades!$T$20="Local Bubble",POWER(Upgrades!$U$20,L313),1)*IF(Upgrades!$T$21="Local Bubble",POWER(Upgrades!$U$21,M313),1))+(IF(G313=0,0,(Upgrades!$J$15+G313*Upgrades!$K$15)*POWER(Upgrades!$L$15,G313)))*(IF(Upgrades!$T$13="Microlensing",POWER(Upgrades!$U$13,E313),1)*IF(Upgrades!$T$14="Microlensing",POWER(Upgrades!$U$14,F313),1)*IF(Upgrades!$T$16="Microlensing",POWER(Upgrades!$U$16,H313),1)*IF(Upgrades!$T$17="Microlensing",POWER(Upgrades!$U$17,I313),1)*IF(Upgrades!$T$18="Microlensing",POWER(Upgrades!$U$18,J313),1)*IF(Upgrades!$T$19="Microlensing",POWER(Upgrades!$U$19,K313),1)*IF(Upgrades!$T$20="Microlensing",POWER(Upgrades!$U$20,L313),1)*IF(Upgrades!$T$21="Microlensing",POWER(Upgrades!$U$21,M313),1))+(IF(H313=0,0,(Upgrades!$J$16+H313*Upgrades!$K$16)*POWER(Upgrades!$L$16,H313)))*(IF(Upgrades!$T$13="Roche Lobe Overflow",POWER(Upgrades!$U$13,E313),1)*IF(Upgrades!$T$14="Roche Lobe Overflow",POWER(Upgrades!$U$14,F313),1)*IF(Upgrades!$T$15="Roche Lobe Overflow",POWER(Upgrades!$U$15,G313),1)*IF(Upgrades!$T$17="Roche Lobe Overflow",POWER(Upgrades!$U$17,I313),1)*IF(Upgrades!$T$18="Roche Lobe Overflow",POWER(Upgrades!$U$18,J313),1)*IF(Upgrades!$T$19="Roche Lobe Overflow",POWER(Upgrades!$U$19,K313),1)*IF(Upgrades!$T$20="Roche Lobe Overflow",POWER(Upgrades!$U$20,L313),1)*IF(Upgrades!$T$21="Roche Lobe Overflow",POWER(Upgrades!$U$21,M313),1))+(IF(I313=0,0,(Upgrades!$J$17+I313*Upgrades!$K$17)*POWER(Upgrades!$L$17,I313)))*(IF(Upgrades!$T$13="Brown Dwarf",POWER(Upgrades!$U$13,E313),1)*IF(Upgrades!$T$14="Brown Dwarf",POWER(Upgrades!$U$14,F313),1)*IF(Upgrades!$T$15="Brown Dwarf",POWER(Upgrades!$U$15,G313),1)*IF(Upgrades!$T$16="Brown Dwarf",POWER(Upgrades!$U$16,H313),1)*IF(Upgrades!$T$18="Brown Dwarf",POWER(Upgrades!$U$18,J313),1)*IF(Upgrades!$T$19="Brown Dwarf",POWER(Upgrades!$U$19,K313),1)*IF(Upgrades!$T$20="Brown Dwarf",POWER(Upgrades!$U$20,L313),1)*IF(Upgrades!$T$21="Brown Dwarf",POWER(Upgrades!$U$21,M313),1))+(IF(J313=0,0,(Upgrades!$J$18+J313*Upgrades!$K$18)*POWER(Upgrades!$L$18,J313)))*(IF(Upgrades!$T$13="Binary Partner",POWER(Upgrades!$U$13,E313),1)*IF(Upgrades!$T$14="Binary Partner",POWER(Upgrades!$U$14,F313),1)*IF(Upgrades!$T$15="Binary Partner",POWER(Upgrades!$U$15,G313),1)*IF(Upgrades!$T$16="Binary Partner",POWER(Upgrades!$U$16,H313),1)*IF(Upgrades!$T$17="Binary Partner",POWER(Upgrades!$U$17,I313),1)*IF(Upgrades!$T$19="Binary Partner",POWER(Upgrades!$U$19,K313),1)*IF(Upgrades!$T$20="Binary Partner",POWER(Upgrades!$U$20,L313),1)*IF(Upgrades!$T$21="Binary Partner",POWER(Upgrades!$U$21,M313),1))+(IF(K313=0,0,(Upgrades!$J$19+K313*Upgrades!$K$19)*POWER(Upgrades!$L$19,K313)))*(IF(Upgrades!$T$13="Peculiar Velocity",POWER(Upgrades!$U$13,E313),1)*IF(Upgrades!$T$14="Peculiar Velocity",POWER(Upgrades!$U$14,F313),1)*IF(Upgrades!$T$15="Peculiar Velocity",POWER(Upgrades!$U$15,G313),1)*IF(Upgrades!$T$16="Peculiar Velocity",POWER(Upgrades!$U$16,H313),1)*IF(Upgrades!$T$17="Peculiar Velocity",POWER(Upgrades!$U$17,I313),1)*IF(Upgrades!$T$18="Peculiar Velocity",POWER(Upgrades!$U$18,J313),1)*IF(Upgrades!$T$20="Peculiar Velocity",POWER(Upgrades!$U$20,L313),1)*IF(Upgrades!$T$21="Peculiar Velocity",POWER(Upgrades!$U$21,M313),1))+(IF(L313=0,0,(Upgrades!$J$20+L313*Upgrades!$K$20)*POWER(Upgrades!$L$20,L313)))*(IF(Upgrades!$T$13="Open Cluster",POWER(Upgrades!$U$13,E313),1)*IF(Upgrades!$T$14="Open Cluster",POWER(Upgrades!$U$14,F313),1)*IF(Upgrades!$T$15="Open Cluster",POWER(Upgrades!$U$15,G313),1)*IF(Upgrades!$T$16="Open Cluster",POWER(Upgrades!$U$16,H313),1)*IF(Upgrades!$T$17="Open Cluster",POWER(Upgrades!$U$17,I313),1)*IF(Upgrades!$T$18="Open Cluster",POWER(Upgrades!$U$18,J313),1)*IF(Upgrades!$T$19="Open Cluster",POWER(Upgrades!$U$19,K313),1)*IF(Upgrades!$T$21="Open Cluster",POWER(Upgrades!$U$21,M313),1))+(IF(M313=0,0,(Upgrades!$J$21+M313*Upgrades!$K$21)*POWER(Upgrades!$L$21,M313)))*(IF(Upgrades!$T$13="Moving Group",POWER(Upgrades!$U$13,E313),1)*IF(Upgrades!$T$14="Moving Group",POWER(Upgrades!$U$14,F313),1)*IF(Upgrades!$T$15="Moving Group",POWER(Upgrades!$U$15,G313),1)*IF(Upgrades!$T$16="Moving Group",POWER(Upgrades!$U$16,H313),1)*IF(Upgrades!$T$17="Moving Group",POWER(Upgrades!$U$17,I313),1)*IF(Upgrades!$T$18="Moving Group",POWER(Upgrades!$U$18,J313),1)*IF(Upgrades!$T$19="Moving Group",POWER(Upgrades!$U$19,K313),1)*IF(Upgrades!$T$20="Moving Group",POWER(Upgrades!$U$20,L313),1)))*POWER(Upgrades!$Q$13,E313)*POWER(Upgrades!$Q$14,F313)*POWER(Upgrades!$Q$15,G313)*POWER(Upgrades!$Q$16,H313)*POWER(Upgrades!$Q$17,I313)*POWER(Upgrades!$Q$18,J313)*POWER(Upgrades!$Q$19,K313)*POWER(Upgrades!$Q$20,L313)*POWER(Upgrades!$Q$21,M313)*$G$6+$D$6</f>
        <v/>
      </c>
      <c r="P313" s="28">
        <f>((IF(E313=0,0,(Upgrades!$G$13+E313*Upgrades!$H$13)*POWER(Upgrades!$I$13,E313)))*(IF(Upgrades!$T$14="Stellar Kinematics",POWER(Upgrades!$U$14,F313),1)*IF(Upgrades!$T$15="Stellar Kinematics",POWER(Upgrades!$U$15,G313),1)*IF(Upgrades!$T$16="Stellar Kinematics",POWER(Upgrades!$U$16,H313),1)*IF(Upgrades!$T$17="Stellar Kinematics",POWER(Upgrades!$U$17,I313),1)*IF(Upgrades!$T$18="Stellar Kinematics",POWER(Upgrades!$U$18,J313),1)*IF(Upgrades!$T$19="Stellar Kinematics",POWER(Upgrades!$U$19,K313),1)*IF(Upgrades!$T$20="Stellar Kinematics",POWER(Upgrades!$U$20,L313),1)*IF(Upgrades!$T$21="Stellar Kinematics",POWER(Upgrades!$U$21,M313),1))+(IF(F313=0,0,(Upgrades!$G$14+F313*Upgrades!$H$14)*POWER(Upgrades!$I$14,F313)))*(IF(Upgrades!$T$13="Local Bubble",POWER(Upgrades!$U$13,E313),1)*IF(Upgrades!$T$15="Local Bubble",POWER(Upgrades!$U$15,G313),1)*IF(Upgrades!$T$16="Local Bubble",POWER(Upgrades!$U$16,H313),1)*IF(Upgrades!$T$17="Local Bubble",POWER(Upgrades!$U$17,I313),1)*IF(Upgrades!$T$18="Local Bubble",POWER(Upgrades!$U$18,J313),1)*IF(Upgrades!$T$19="Local Bubble",POWER(Upgrades!$U$19,K313),1)*IF(Upgrades!$T$20="Local Bubble",POWER(Upgrades!$U$20,L313),1)*IF(Upgrades!$T$21="Local Bubble",POWER(Upgrades!$U$21,M313),1))+(IF(G313=0,0,(Upgrades!$G$15+G313*Upgrades!$H$15)*POWER(Upgrades!$I$15,G313)))*(IF(Upgrades!$T$13="Microlensing",POWER(Upgrades!$U$13,E313),1)*IF(Upgrades!$T$14="Microlensing",POWER(Upgrades!$U$14,F313),1)*IF(Upgrades!$T$16="Microlensing",POWER(Upgrades!$U$16,H313),1)*IF(Upgrades!$T$17="Microlensing",POWER(Upgrades!$U$17,I313),1)*IF(Upgrades!$T$18="Microlensing",POWER(Upgrades!$U$18,J313),1)*IF(Upgrades!$T$19="Microlensing",POWER(Upgrades!$U$19,K313),1)*IF(Upgrades!$T$20="Microlensing",POWER(Upgrades!$U$20,L313),1)*IF(Upgrades!$T$21="Microlensing",POWER(Upgrades!$U$21,M313),1))+(IF(H313=0,0,(Upgrades!$G$16+H313*Upgrades!$H$16)*POWER(Upgrades!$I$16,H313)))*(IF(Upgrades!$T$13="Roche Lobe Overflow",POWER(Upgrades!$U$13,E313),1)*IF(Upgrades!$T$14="Roche Lobe Overflow",POWER(Upgrades!$U$14,F313),1)*IF(Upgrades!$T$15="Roche Lobe Overflow",POWER(Upgrades!$U$15,G313),1)*IF(Upgrades!$T$17="Roche Lobe Overflow",POWER(Upgrades!$U$17,I313),1)*IF(Upgrades!$T$18="Roche Lobe Overflow",POWER(Upgrades!$U$18,J313),1)*IF(Upgrades!$T$19="Roche Lobe Overflow",POWER(Upgrades!$U$19,K313),1)*IF(Upgrades!$T$20="Roche Lobe Overflow",POWER(Upgrades!$U$20,L313),1)*IF(Upgrades!$T$21="Roche Lobe Overflow",POWER(Upgrades!$U$21,M313),1))+(IF(I313=0,0,(Upgrades!$G$17+I313*Upgrades!$H$17)*POWER(Upgrades!$I$17,I313)))*(IF(Upgrades!$T$13="Brown Dwarf",POWER(Upgrades!$U$13,E313),1)*IF(Upgrades!$T$14="Brown Dwarf",POWER(Upgrades!$U$14,F313),1)*IF(Upgrades!$T$15="Brown Dwarf",POWER(Upgrades!$U$15,G313),1)*IF(Upgrades!$T$16="Brown Dwarf",POWER(Upgrades!$U$16,H313),1)*IF(Upgrades!$T$18="Brown Dwarf",POWER(Upgrades!$U$18,J313),1)*IF(Upgrades!$T$19="Brown Dwarf",POWER(Upgrades!$U$19,K313),1)*IF(Upgrades!$T$20="Brown Dwarf",POWER(Upgrades!$U$20,L313),1)*IF(Upgrades!$T$21="Brown Dwarf",POWER(Upgrades!$U$21,M313),1))+(IF(J313=0,0,(Upgrades!$G$18+J313*Upgrades!$H$18)*POWER(Upgrades!$I$18,J313)))*(IF(Upgrades!$T$13="Binary Partner",POWER(Upgrades!$U$13,E313),1)*IF(Upgrades!$T$14="Binary Partner",POWER(Upgrades!$U$14,F313),1)*IF(Upgrades!$T$15="Binary Partner",POWER(Upgrades!$U$15,G313),1)*IF(Upgrades!$T$16="Binary Partner",POWER(Upgrades!$U$16,H313),1)*IF(Upgrades!$T$17="Binary Partner",POWER(Upgrades!$U$17,I313),1)*IF(Upgrades!$T$19="Binary Partner",POWER(Upgrades!$U$19,K313),1)*IF(Upgrades!$T$20="Binary Partner",POWER(Upgrades!$U$20,L313),1)*IF(Upgrades!$T$21="Binary Partner",POWER(Upgrades!$U$21,M313),1))+(IF(K313=0,0,(Upgrades!$G$19+K313*Upgrades!$H$19)*POWER(Upgrades!$I$19,K313)))*(IF(Upgrades!$T$13="Peculiar Velocity",POWER(Upgrades!$U$13,E313),1)*IF(Upgrades!$T$14="Peculiar Velocity",POWER(Upgrades!$U$14,F313),1)*IF(Upgrades!$T$15="Peculiar Velocity",POWER(Upgrades!$U$15,G313),1)*IF(Upgrades!$T$16="Peculiar Velocity",POWER(Upgrades!$U$16,H313),1)*IF(Upgrades!$T$17="Peculiar Velocity",POWER(Upgrades!$U$17,I313),1)*IF(Upgrades!$T$18="Peculiar Velocity",POWER(Upgrades!$U$18,J313),1)*IF(Upgrades!$T$20="Peculiar Velocity",POWER(Upgrades!$U$20,L313),1)*IF(Upgrades!$T$21="Peculiar Velocity",POWER(Upgrades!$U$21,M313),1))+(IF(L313=0,0,(Upgrades!$G$20+L313*Upgrades!$H$20)*POWER(Upgrades!$I$20,L313)))*(IF(Upgrades!$T$13="Open Cluster",POWER(Upgrades!$U$13,E313),1)*IF(Upgrades!$T$14="Open Cluster",POWER(Upgrades!$U$14,F313),1)*IF(Upgrades!$T$15="Open Cluster",POWER(Upgrades!$U$15,G313),1)*IF(Upgrades!$T$16="Open Cluster",POWER(Upgrades!$U$16,H313),1)*IF(Upgrades!$T$17="Open Cluster",POWER(Upgrades!$U$17,I313),1)*IF(Upgrades!$T$18="Open Cluster",POWER(Upgrades!$U$18,J313),1)*IF(Upgrades!$T$19="Open Cluster",POWER(Upgrades!$U$19,K313),1)*IF(Upgrades!$T$21="Open Cluster",POWER(Upgrades!$U$21,M313),1))+(IF(M313=0,0,(Upgrades!$G$21+M313*Upgrades!$H$21)*POWER(Upgrades!$I$21,M313)))*(IF(Upgrades!$T$13="Moving Group",POWER(Upgrades!$U$13,E313),1)*IF(Upgrades!$T$14="Moving Group",POWER(Upgrades!$U$14,F313),1)*IF(Upgrades!$T$15="Moving Group",POWER(Upgrades!$U$15,G313),1)*IF(Upgrades!$T$16="Moving Group",POWER(Upgrades!$U$16,H313),1)*IF(Upgrades!$T$17="Moving Group",POWER(Upgrades!$U$17,I313),1)*IF(Upgrades!$T$18="Moving Group",POWER(Upgrades!$U$18,J313),1)*IF(Upgrades!$T$19="Moving Group",POWER(Upgrades!$U$19,K313),1)*IF(Upgrades!$T$20="Moving Group",POWER(Upgrades!$U$20,L313),1)))*POWER(Upgrades!$P$13,E313)*POWER(Upgrades!$P$14,F313)*POWER(Upgrades!$P$15,G313)*POWER(Upgrades!$P$16,H313)*POWER(Upgrades!$P$17,I313)*POWER(Upgrades!$P$18,J313)*POWER(Upgrades!$P$19,K313)*POWER(Upgrades!$P$20,L313)*POWER(Upgrades!$P$21,M313)*$F$6+$C$6</f>
        <v/>
      </c>
      <c r="Q313" s="28">
        <f>((IF(E313=0,0,(Upgrades!$M$13+E313*Upgrades!$N$13)*POWER(Upgrades!$O$13,E313)))*(IF(Upgrades!$T$14="Stellar Kinematics",POWER(Upgrades!$U$14,F313),1)*IF(Upgrades!$T$15="Stellar Kinematics",POWER(Upgrades!$U$15,G313),1)*IF(Upgrades!$T$16="Stellar Kinematics",POWER(Upgrades!$U$16,H313),1)*IF(Upgrades!$T$17="Stellar Kinematics",POWER(Upgrades!$U$17,I313),1)*IF(Upgrades!$T$18="Stellar Kinematics",POWER(Upgrades!$U$18,J313),1)*IF(Upgrades!$T$19="Stellar Kinematics",POWER(Upgrades!$U$19,K313),1)*IF(Upgrades!$T$20="Stellar Kinematics",POWER(Upgrades!$U$20,L313),1)*IF(Upgrades!$T$21="Stellar Kinematics",POWER(Upgrades!$U$21,M313),1))+(IF(F313=0,0,(Upgrades!$M$14+F313*Upgrades!$N$14)*POWER(Upgrades!$O$14,F313)))*(IF(Upgrades!$T$13="Local Bubble",POWER(Upgrades!$U$13,E313),1)*IF(Upgrades!$T$15="Local Bubble",POWER(Upgrades!$U$15,G313),1)*IF(Upgrades!$T$16="Local Bubble",POWER(Upgrades!$U$16,H313),1)*IF(Upgrades!$T$17="Local Bubble",POWER(Upgrades!$U$17,I313),1)*IF(Upgrades!$T$18="Local Bubble",POWER(Upgrades!$U$18,J313),1)*IF(Upgrades!$T$19="Local Bubble",POWER(Upgrades!$U$19,K313),1)*IF(Upgrades!$T$20="Local Bubble",POWER(Upgrades!$U$20,L313),1)*IF(Upgrades!$T$21="Local Bubble",POWER(Upgrades!$U$21,M313),1))+(IF(G313=0,0,(Upgrades!$M$15+G313*Upgrades!$N$15)*POWER(Upgrades!$O$15,G313)))*(IF(Upgrades!$T$13="Microlensing",POWER(Upgrades!$U$13,E313),1)*IF(Upgrades!$T$14="Microlensing",POWER(Upgrades!$U$14,F313),1)*IF(Upgrades!$T$16="Microlensing",POWER(Upgrades!$U$16,H313),1)*IF(Upgrades!$T$17="Microlensing",POWER(Upgrades!$U$17,I313),1)*IF(Upgrades!$T$18="Microlensing",POWER(Upgrades!$U$18,J313),1)*IF(Upgrades!$T$19="Microlensing",POWER(Upgrades!$U$19,K313),1)*IF(Upgrades!$T$20="Microlensing",POWER(Upgrades!$U$20,L313),1)*IF(Upgrades!$T$21="Microlensing",POWER(Upgrades!$U$21,M313),1))+(IF(H313=0,0,(Upgrades!$M$16+H313*Upgrades!$N$16)*POWER(Upgrades!$O$16,H313)))*(IF(Upgrades!$T$13="Roche Lobe Overflow",POWER(Upgrades!$U$13,E313),1)*IF(Upgrades!$T$14="Roche Lobe Overflow",POWER(Upgrades!$U$14,F313),1)*IF(Upgrades!$T$15="Roche Lobe Overflow",POWER(Upgrades!$U$15,G313),1)*IF(Upgrades!$T$17="Roche Lobe Overflow",POWER(Upgrades!$U$17,I313),1)*IF(Upgrades!$T$18="Roche Lobe Overflow",POWER(Upgrades!$U$18,J313),1)*IF(Upgrades!$T$19="Roche Lobe Overflow",POWER(Upgrades!$U$19,K313),1)*IF(Upgrades!$T$20="Roche Lobe Overflow",POWER(Upgrades!$U$20,L313),1)*IF(Upgrades!$T$21="Roche Lobe Overflow",POWER(Upgrades!$U$21,M313),1))+(IF(I313=0,0,(Upgrades!$M$17+I313*Upgrades!$N$17)*POWER(Upgrades!$O$17,I313)))*(IF(Upgrades!$T$13="Brown Dwarf",POWER(Upgrades!$U$13,E313),1)*IF(Upgrades!$T$14="Brown Dwarf",POWER(Upgrades!$U$14,F313),1)*IF(Upgrades!$T$15="Brown Dwarf",POWER(Upgrades!$U$15,G313),1)*IF(Upgrades!$T$16="Brown Dwarf",POWER(Upgrades!$U$16,H313),1)*IF(Upgrades!$T$18="Brown Dwarf",POWER(Upgrades!$U$18,J313),1)*IF(Upgrades!$T$19="Brown Dwarf",POWER(Upgrades!$U$19,K313),1)*IF(Upgrades!$T$20="Brown Dwarf",POWER(Upgrades!$U$20,L313),1)*IF(Upgrades!$T$21="Brown Dwarf",POWER(Upgrades!$U$21,M313),1))+(IF(J313=0,0,(Upgrades!$M$18+J313*Upgrades!$N$18)*POWER(Upgrades!$O$18,J313)))*(IF(Upgrades!$T$13="Binary Partner",POWER(Upgrades!$U$13,E313),1)*IF(Upgrades!$T$14="Binary Partner",POWER(Upgrades!$U$14,F313),1)*IF(Upgrades!$T$15="Binary Partner",POWER(Upgrades!$U$15,G313),1)*IF(Upgrades!$T$16="Binary Partner",POWER(Upgrades!$U$16,H313),1)*IF(Upgrades!$T$17="Binary Partner",POWER(Upgrades!$U$17,I313),1)*IF(Upgrades!$T$19="Binary Partner",POWER(Upgrades!$U$19,K313),1)*IF(Upgrades!$T$20="Binary Partner",POWER(Upgrades!$U$20,L313),1)*IF(Upgrades!$T$21="Binary Partner",POWER(Upgrades!$U$21,M313),1))+(IF(K313=0,0,(Upgrades!$M$19+K313*Upgrades!$N$19)*POWER(Upgrades!$O$19,K313)))*(IF(Upgrades!$T$13="Peculiar Velocity",POWER(Upgrades!$U$13,E313),1)*IF(Upgrades!$T$14="Peculiar Velocity",POWER(Upgrades!$U$14,F313),1)*IF(Upgrades!$T$15="Peculiar Velocity",POWER(Upgrades!$U$15,G313),1)*IF(Upgrades!$T$16="Peculiar Velocity",POWER(Upgrades!$U$16,H313),1)*IF(Upgrades!$T$17="Peculiar Velocity",POWER(Upgrades!$U$17,I313),1)*IF(Upgrades!$T$18="Peculiar Velocity",POWER(Upgrades!$U$18,J313),1)*IF(Upgrades!$T$20="Peculiar Velocity",POWER(Upgrades!$U$20,L313),1)*IF(Upgrades!$T$21="Peculiar Velocity",POWER(Upgrades!$U$21,M313),1))+(IF(L313=0,0,(Upgrades!$M$20+L313*Upgrades!$N$20)*POWER(Upgrades!$O$20,L313)))*(IF(Upgrades!$T$13="Open Cluster",POWER(Upgrades!$U$13,E313),1)*IF(Upgrades!$T$14="Open Cluster",POWER(Upgrades!$U$14,F313),1)*IF(Upgrades!$T$15="Open Cluster",POWER(Upgrades!$U$15,G313),1)*IF(Upgrades!$T$16="Open Cluster",POWER(Upgrades!$U$16,H313),1)*IF(Upgrades!$T$17="Open Cluster",POWER(Upgrades!$U$17,I313),1)*IF(Upgrades!$T$18="Open Cluster",POWER(Upgrades!$U$18,J313),1)*IF(Upgrades!$T$19="Open Cluster",POWER(Upgrades!$U$19,K313),1)*IF(Upgrades!$T$21="Open Cluster",POWER(Upgrades!$U$21,M313),1))+(IF(M313=0,0,(Upgrades!$M$21+M313*Upgrades!$N$21)*POWER(Upgrades!$O$21,M313)))*(IF(Upgrades!$T$13="Moving Group",POWER(Upgrades!$U$13,E313),1)*IF(Upgrades!$T$14="Moving Group",POWER(Upgrades!$U$14,F313),1)*IF(Upgrades!$T$15="Moving Group",POWER(Upgrades!$U$15,G313),1)*IF(Upgrades!$T$16="Moving Group",POWER(Upgrades!$U$16,H313),1)*IF(Upgrades!$T$17="Moving Group",POWER(Upgrades!$U$17,I313),1)*IF(Upgrades!$T$18="Moving Group",POWER(Upgrades!$U$18,J313),1)*IF(Upgrades!$T$19="Moving Group",POWER(Upgrades!$U$19,K313),1)*IF(Upgrades!$T$20="Moving Group",POWER(Upgrades!$U$20,L313),1)))*POWER(Upgrades!$R$13,E313)*POWER(Upgrades!$R$14,F313)*POWER(Upgrades!$R$15,G313)*POWER(Upgrades!$R$16,H313)*POWER(Upgrades!$R$17,I313)*POWER(Upgrades!$R$18,J313)*POWER(Upgrades!$R$19,K313)*POWER(Upgrades!$R$20,L313)*POWER(Upgrades!$R$21,M313)*$H$6+$E$6</f>
        <v/>
      </c>
      <c r="R313" s="27">
        <f>IF(N313=1,0,O313*Parameters!$B$10/60*Parameters!$B$11*10)</f>
        <v/>
      </c>
      <c r="S313" s="27">
        <f>IF(N313=1,0,Q313*O313*10)</f>
        <v/>
      </c>
      <c r="T313" s="27">
        <f>IF(N313=1,0,R313+S313+P313*10)</f>
        <v/>
      </c>
      <c r="U313" s="33">
        <f>BE313</f>
        <v/>
      </c>
      <c r="V313" s="22">
        <f>IF(U313="",0,IF(U313="transition",0,IF(U313="SK",AK313,IF(U313="LB",AL313,IF(U313="ML",AM313,IF(U313="RLO",AN313,IF(U313="BD",AO313,IF(U313="BiP",AP313,IF(U313="PV",AQ313,IF(U313="OC",AR313,IF(U313="MG",AS313,0))))))))))</f>
        <v/>
      </c>
      <c r="W313" s="27">
        <f>IF(U313="BiP",Upgrades!$F$18,IF(U313="PV",Upgrades!$F$19,IF(U313="OC",Upgrades!$F$20,IF(U313="MG",Upgrades!$F$21,IF(U313="transition",-Parameters!$B$18*Parameters!$B$19,0)))))</f>
        <v/>
      </c>
      <c r="X313" s="22">
        <f>C313+T313-V313</f>
        <v/>
      </c>
      <c r="Y313" s="30">
        <f>O313*Parameters!$B$10/60*Parameters!$B$11+Q313*O313+P313</f>
        <v/>
      </c>
      <c r="Z313" s="34">
        <f>IF(U313="transition","→ Tier 3 (Galactic Arm)",IF(U313="MG","Moving Group — pocket drifts together",IF(U313="OC","Open Cluster acquired",IF(U313="PV","Peculiar Velocity — passive multiplier active",IF(U313="BiP","Binary Partner — pair bond formed",IF(AND(AU313=1,N313=0,AT313&lt;&gt;1),"Cohesion ready (waiting on completionists)","")))))) </f>
        <v/>
      </c>
      <c r="AA313" s="27">
        <f>(IF(E313=0,0,(Upgrades!$G$13+E313*Upgrades!$H$13)*POWER(Upgrades!$I$13,E313)))*(IF(Upgrades!$T$14="Stellar Kinematics",POWER(Upgrades!$U$14,F313),1)*IF(Upgrades!$T$15="Stellar Kinematics",POWER(Upgrades!$U$15,G313),1)*IF(Upgrades!$T$16="Stellar Kinematics",POWER(Upgrades!$U$16,H313),1)*IF(Upgrades!$T$17="Stellar Kinematics",POWER(Upgrades!$U$17,I313),1)*IF(Upgrades!$T$18="Stellar Kinematics",POWER(Upgrades!$U$18,J313),1)*IF(Upgrades!$T$19="Stellar Kinematics",POWER(Upgrades!$U$19,K313),1)*IF(Upgrades!$T$20="Stellar Kinematics",POWER(Upgrades!$U$20,L313),1)*IF(Upgrades!$T$21="Stellar Kinematics",POWER(Upgrades!$U$21,M313),1))*POWER(Upgrades!$P$13,E313)*POWER(Upgrades!$P$14,F313)*POWER(Upgrades!$P$15,G313)*POWER(Upgrades!$P$16,H313)*POWER(Upgrades!$P$17,I313)*POWER(Upgrades!$P$18,J313)*POWER(Upgrades!$P$19,K313)*POWER(Upgrades!$P$20,L313)*POWER(Upgrades!$P$21,M313)*$F$6*60</f>
        <v/>
      </c>
      <c r="AB313" s="27">
        <f>(IF(F313=0,0,(Upgrades!$G$14+F313*Upgrades!$H$14)*POWER(Upgrades!$I$14,F313)))*(IF(Upgrades!$T$13="Local Bubble",POWER(Upgrades!$U$13,E313),1)*IF(Upgrades!$T$15="Local Bubble",POWER(Upgrades!$U$15,G313),1)*IF(Upgrades!$T$16="Local Bubble",POWER(Upgrades!$U$16,H313),1)*IF(Upgrades!$T$17="Local Bubble",POWER(Upgrades!$U$17,I313),1)*IF(Upgrades!$T$18="Local Bubble",POWER(Upgrades!$U$18,J313),1)*IF(Upgrades!$T$19="Local Bubble",POWER(Upgrades!$U$19,K313),1)*IF(Upgrades!$T$20="Local Bubble",POWER(Upgrades!$U$20,L313),1)*IF(Upgrades!$T$21="Local Bubble",POWER(Upgrades!$U$21,M313),1))*POWER(Upgrades!$P$13,E313)*POWER(Upgrades!$P$14,F313)*POWER(Upgrades!$P$15,G313)*POWER(Upgrades!$P$16,H313)*POWER(Upgrades!$P$17,I313)*POWER(Upgrades!$P$18,J313)*POWER(Upgrades!$P$19,K313)*POWER(Upgrades!$P$20,L313)*POWER(Upgrades!$P$21,M313)*$F$6*60</f>
        <v/>
      </c>
      <c r="AC313" s="27">
        <f>(IF(G313=0,0,(Upgrades!$J$15+G313*Upgrades!$K$15)*POWER(Upgrades!$L$15,G313)))*(IF(Upgrades!$T$13="Microlensing",POWER(Upgrades!$U$13,E313),1)*IF(Upgrades!$T$14="Microlensing",POWER(Upgrades!$U$14,F313),1)*IF(Upgrades!$T$16="Microlensing",POWER(Upgrades!$U$16,H313),1)*IF(Upgrades!$T$17="Microlensing",POWER(Upgrades!$U$17,I313),1)*IF(Upgrades!$T$18="Microlensing",POWER(Upgrades!$U$18,J313),1)*IF(Upgrades!$T$19="Microlensing",POWER(Upgrades!$U$19,K313),1)*IF(Upgrades!$T$20="Microlensing",POWER(Upgrades!$U$20,L313),1)*IF(Upgrades!$T$21="Microlensing",POWER(Upgrades!$U$21,M313),1))*POWER(Upgrades!$Q$13,E313)*POWER(Upgrades!$Q$14,F313)*POWER(Upgrades!$Q$15,G313)*POWER(Upgrades!$Q$16,H313)*POWER(Upgrades!$Q$17,I313)*POWER(Upgrades!$Q$18,J313)*POWER(Upgrades!$Q$19,K313)*POWER(Upgrades!$Q$20,L313)*POWER(Upgrades!$Q$21,M313)*$G$6*(Parameters!$B$10*Parameters!$B$11+Q313*60)</f>
        <v/>
      </c>
      <c r="AD313" s="27">
        <f>(IF(H313=0,0,(Upgrades!$M$16+H313*Upgrades!$N$16)*POWER(Upgrades!$O$16,H313)))*(IF(Upgrades!$T$13="Roche Lobe Overflow",POWER(Upgrades!$U$13,E313),1)*IF(Upgrades!$T$14="Roche Lobe Overflow",POWER(Upgrades!$U$14,F313),1)*IF(Upgrades!$T$15="Roche Lobe Overflow",POWER(Upgrades!$U$15,G313),1)*IF(Upgrades!$T$17="Roche Lobe Overflow",POWER(Upgrades!$U$17,I313),1)*IF(Upgrades!$T$18="Roche Lobe Overflow",POWER(Upgrades!$U$18,J313),1)*IF(Upgrades!$T$19="Roche Lobe Overflow",POWER(Upgrades!$U$19,K313),1)*IF(Upgrades!$T$20="Roche Lobe Overflow",POWER(Upgrades!$U$20,L313),1)*IF(Upgrades!$T$21="Roche Lobe Overflow",POWER(Upgrades!$U$21,M313),1))*POWER(Upgrades!$R$13,E313)*POWER(Upgrades!$R$14,F313)*POWER(Upgrades!$R$15,G313)*POWER(Upgrades!$R$16,H313)*POWER(Upgrades!$R$17,I313)*POWER(Upgrades!$R$18,J313)*POWER(Upgrades!$R$19,K313)*POWER(Upgrades!$R$20,L313)*POWER(Upgrades!$R$21,M313)*$H$6*O313*60</f>
        <v/>
      </c>
      <c r="AE313" s="27">
        <f>(IF(I313=0,0,(Upgrades!$G$17+I313*Upgrades!$H$17)*POWER(Upgrades!$I$17,I313)))*(IF(Upgrades!$T$13="Brown Dwarf",POWER(Upgrades!$U$13,E313),1)*IF(Upgrades!$T$14="Brown Dwarf",POWER(Upgrades!$U$14,F313),1)*IF(Upgrades!$T$15="Brown Dwarf",POWER(Upgrades!$U$15,G313),1)*IF(Upgrades!$T$16="Brown Dwarf",POWER(Upgrades!$U$16,H313),1)*IF(Upgrades!$T$18="Brown Dwarf",POWER(Upgrades!$U$18,J313),1)*IF(Upgrades!$T$19="Brown Dwarf",POWER(Upgrades!$U$19,K313),1)*IF(Upgrades!$T$20="Brown Dwarf",POWER(Upgrades!$U$20,L313),1)*IF(Upgrades!$T$21="Brown Dwarf",POWER(Upgrades!$U$21,M313),1))*POWER(Upgrades!$P$13,E313)*POWER(Upgrades!$P$14,F313)*POWER(Upgrades!$P$15,G313)*POWER(Upgrades!$P$16,H313)*POWER(Upgrades!$P$17,I313)*POWER(Upgrades!$P$18,J313)*POWER(Upgrades!$P$19,K313)*POWER(Upgrades!$P$20,L313)*POWER(Upgrades!$P$21,M313)*$F$6*60</f>
        <v/>
      </c>
      <c r="AF313" s="27" t="n">
        <v>0</v>
      </c>
      <c r="AG313" s="27" t="n">
        <v>0</v>
      </c>
      <c r="AH313" s="27" t="n">
        <v>0</v>
      </c>
      <c r="AI313" s="27">
        <f>(IF(M313=0,0,(Upgrades!$G$21+M313*Upgrades!$H$21)*POWER(Upgrades!$I$21,M313)))*(IF(Upgrades!$T$13="Moving Group",POWER(Upgrades!$U$13,E313),1)*IF(Upgrades!$T$14="Moving Group",POWER(Upgrades!$U$14,F313),1)*IF(Upgrades!$T$15="Moving Group",POWER(Upgrades!$U$15,G313),1)*IF(Upgrades!$T$16="Moving Group",POWER(Upgrades!$U$16,H313),1)*IF(Upgrades!$T$17="Moving Group",POWER(Upgrades!$U$17,I313),1)*IF(Upgrades!$T$18="Moving Group",POWER(Upgrades!$U$18,J313),1)*IF(Upgrades!$T$19="Moving Group",POWER(Upgrades!$U$19,K313),1)*IF(Upgrades!$T$20="Moving Group",POWER(Upgrades!$U$20,L313),1))*POWER(Upgrades!$P$13,E313)*POWER(Upgrades!$P$14,F313)*POWER(Upgrades!$P$15,G313)*POWER(Upgrades!$P$16,H313)*POWER(Upgrades!$P$17,I313)*POWER(Upgrades!$P$18,J313)*POWER(Upgrades!$P$19,K313)*POWER(Upgrades!$P$20,L313)*POWER(Upgrades!$P$21,M313)*$F$6*60</f>
        <v/>
      </c>
      <c r="AJ313" s="27">
        <f>$C$6*60</f>
        <v/>
      </c>
      <c r="AK313" s="22">
        <f>IF(E313&gt;=Upgrades!$E$13,"",Upgrades!$C$13*POWER(Upgrades!$D$13,E313))</f>
        <v/>
      </c>
      <c r="AL313" s="22">
        <f>IF(F313&gt;=Upgrades!$E$14,"",Upgrades!$C$14*POWER(Upgrades!$D$14,F313))</f>
        <v/>
      </c>
      <c r="AM313" s="22">
        <f>IF(G313&gt;=Upgrades!$E$15,"",Upgrades!$C$15*POWER(Upgrades!$D$15,G313))</f>
        <v/>
      </c>
      <c r="AN313" s="22">
        <f>IF(H313&gt;=Upgrades!$E$16,"",Upgrades!$C$16*POWER(Upgrades!$D$16,H313))</f>
        <v/>
      </c>
      <c r="AO313" s="22">
        <f>IF(I313&gt;=Upgrades!$E$17,"",Upgrades!$C$17*POWER(Upgrades!$D$17,I313))</f>
        <v/>
      </c>
      <c r="AP313" s="22">
        <f>IF(J313&gt;=Upgrades!$E$18,"",Upgrades!$C$18*POWER(Upgrades!$D$18,J313))</f>
        <v/>
      </c>
      <c r="AQ313" s="22">
        <f>IF(K313&gt;=Upgrades!$E$19,"",Upgrades!$C$19*POWER(Upgrades!$D$19,K313))</f>
        <v/>
      </c>
      <c r="AR313" s="22">
        <f>IF(L313&gt;=Upgrades!$E$20,"",Upgrades!$C$20*POWER(Upgrades!$D$20,L313))</f>
        <v/>
      </c>
      <c r="AS313" s="22">
        <f>IF(M313&gt;=Upgrades!$E$21,"",Upgrades!$C$21*POWER(Upgrades!$D$21,M313))</f>
        <v/>
      </c>
      <c r="AT313" s="26">
        <f>IF(AND(D313&gt;=Parameters!$B$18*Parameters!$B$19,(I313&gt;=Upgrades!$E$17)*(M313&gt;=Upgrades!$E$21)=1,N313=0),1,"")</f>
        <v/>
      </c>
      <c r="AU313" s="26">
        <f>IF(AND(D313&gt;=Parameters!$B$18*Parameters!$B$19,N313=0),1,"")</f>
        <v/>
      </c>
      <c r="AV313" s="22">
        <f>MIN(IF(ISNUMBER(AP313),AP313,9E15),IF(ISNUMBER(AQ313),AQ313,9E15),IF(ISNUMBER(AR313),AR313,9E15),IF(ISNUMBER(AS313),AS313,9E15))</f>
        <v/>
      </c>
      <c r="AW313" s="22">
        <f>MIN(IF(ISNUMBER(AK313),AK313,9E15),IF(ISNUMBER(AL313),AL313,9E15),IF(ISNUMBER(AM313),AM313,9E15),IF(ISNUMBER(AN313),AN313,9E15),IF(ISNUMBER(AO313),AO313,9E15))</f>
        <v/>
      </c>
      <c r="AX313" s="29">
        <f>IF(BD313&gt;Parameters!$B$21*(MAX(IF(AND(NOT(AND(AU313=1,AT313&lt;&gt;1)),ISNUMBER(AK313),AK313&lt;=(C313+T313)),AY313,0),IF(AND(NOT(AND(AU313=1,AT313&lt;&gt;1)),ISNUMBER(AL313),AL313&lt;=(C313+T313)),AZ313,0),IF(AND(NOT(AND(AU313=1,AT313&lt;&gt;1)),ISNUMBER(AM313),AM313&lt;=(C313+T313)),BA313,0),IF(AND(NOT(AND(AU313=1,AT313&lt;&gt;1)),ISNUMBER(AN313),AN313&lt;=(C313+T313)),BB313,0),IF(AND(ISNUMBER(AO313),AO313&lt;=(C313+T313)),BC313,0))),TRUE,FALSE)</f>
        <v/>
      </c>
      <c r="AY313" s="32">
        <f>IFERROR(Upgrades!$H$13*(POWER(Upgrades!$P$13,E313)*POWER(Upgrades!$P$14,F313)*POWER(Upgrades!$P$15,G313)*POWER(Upgrades!$P$16,H313)*POWER(Upgrades!$P$17,I313)*POWER(Upgrades!$P$18,J313)*POWER(Upgrades!$P$19,K313)*POWER(Upgrades!$P$20,L313)*POWER(Upgrades!$P$21,M313))*(IF(Upgrades!$T$14="Stellar Kinematics",POWER(Upgrades!$U$14,F313),1)*IF(Upgrades!$T$15="Stellar Kinematics",POWER(Upgrades!$U$15,G313),1)*IF(Upgrades!$T$16="Stellar Kinematics",POWER(Upgrades!$U$16,H313),1)*IF(Upgrades!$T$17="Stellar Kinematics",POWER(Upgrades!$U$17,I313),1)*IF(Upgrades!$T$18="Stellar Kinematics",POWER(Upgrades!$U$18,J313),1)*IF(Upgrades!$T$19="Stellar Kinematics",POWER(Upgrades!$U$19,K313),1)*IF(Upgrades!$T$20="Stellar Kinematics",POWER(Upgrades!$U$20,L313),1)*IF(Upgrades!$T$21="Stellar Kinematics",POWER(Upgrades!$U$21,M313),1))*$F$6/AK313,0)</f>
        <v/>
      </c>
      <c r="AZ313" s="32">
        <f>IFERROR(Upgrades!$H$14*(POWER(Upgrades!$P$13,E313)*POWER(Upgrades!$P$14,F313)*POWER(Upgrades!$P$15,G313)*POWER(Upgrades!$P$16,H313)*POWER(Upgrades!$P$17,I313)*POWER(Upgrades!$P$18,J313)*POWER(Upgrades!$P$19,K313)*POWER(Upgrades!$P$20,L313)*POWER(Upgrades!$P$21,M313))*(IF(Upgrades!$T$13="Local Bubble",POWER(Upgrades!$U$13,E313),1)*IF(Upgrades!$T$15="Local Bubble",POWER(Upgrades!$U$15,G313),1)*IF(Upgrades!$T$16="Local Bubble",POWER(Upgrades!$U$16,H313),1)*IF(Upgrades!$T$17="Local Bubble",POWER(Upgrades!$U$17,I313),1)*IF(Upgrades!$T$18="Local Bubble",POWER(Upgrades!$U$18,J313),1)*IF(Upgrades!$T$19="Local Bubble",POWER(Upgrades!$U$19,K313),1)*IF(Upgrades!$T$20="Local Bubble",POWER(Upgrades!$U$20,L313),1)*IF(Upgrades!$T$21="Local Bubble",POWER(Upgrades!$U$21,M313),1))*$F$6/AL313,0)</f>
        <v/>
      </c>
      <c r="BA313" s="32">
        <f>IFERROR(Upgrades!$K$15*(POWER(Upgrades!$Q$13,E313)*POWER(Upgrades!$Q$14,F313)*POWER(Upgrades!$Q$15,G313)*POWER(Upgrades!$Q$16,H313)*POWER(Upgrades!$Q$17,I313)*POWER(Upgrades!$Q$18,J313)*POWER(Upgrades!$Q$19,K313)*POWER(Upgrades!$Q$20,L313)*POWER(Upgrades!$Q$21,M313))*(IF(Upgrades!$T$13="Microlensing",POWER(Upgrades!$U$13,E313),1)*IF(Upgrades!$T$14="Microlensing",POWER(Upgrades!$U$14,F313),1)*IF(Upgrades!$T$16="Microlensing",POWER(Upgrades!$U$16,H313),1)*IF(Upgrades!$T$17="Microlensing",POWER(Upgrades!$U$17,I313),1)*IF(Upgrades!$T$18="Microlensing",POWER(Upgrades!$U$18,J313),1)*IF(Upgrades!$T$19="Microlensing",POWER(Upgrades!$U$19,K313),1)*IF(Upgrades!$T$20="Microlensing",POWER(Upgrades!$U$20,L313),1)*IF(Upgrades!$T$21="Microlensing",POWER(Upgrades!$U$21,M313),1))*$G$6*(Parameters!$B$10/60*Parameters!$B$11+Q313)/AM313,0)</f>
        <v/>
      </c>
      <c r="BB313" s="32">
        <f>IFERROR((Upgrades!$N$16*(POWER(Upgrades!$R$13,E313)*POWER(Upgrades!$R$14,F313)*POWER(Upgrades!$R$15,G313)*POWER(Upgrades!$R$16,H313)*POWER(Upgrades!$R$17,I313)*POWER(Upgrades!$R$18,J313)*POWER(Upgrades!$R$19,K313)*POWER(Upgrades!$R$20,L313)*POWER(Upgrades!$R$21,M313))*(IF(Upgrades!$T$13="Roche Lobe Overflow",POWER(Upgrades!$U$13,E313),1)*IF(Upgrades!$T$14="Roche Lobe Overflow",POWER(Upgrades!$U$14,F313),1)*IF(Upgrades!$T$15="Roche Lobe Overflow",POWER(Upgrades!$U$15,G313),1)*IF(Upgrades!$T$17="Roche Lobe Overflow",POWER(Upgrades!$U$17,I313),1)*IF(Upgrades!$T$18="Roche Lobe Overflow",POWER(Upgrades!$U$18,J313),1)*IF(Upgrades!$T$19="Roche Lobe Overflow",POWER(Upgrades!$U$19,K313),1)*IF(Upgrades!$T$20="Roche Lobe Overflow",POWER(Upgrades!$U$20,L313),1)*IF(Upgrades!$T$21="Roche Lobe Overflow",POWER(Upgrades!$U$21,M313),1))*$H$6*O313+((IF(F313=0,0,(Upgrades!$G$14+F313*Upgrades!$H$14)*POWER(Upgrades!$I$14,F313)))*(IF(Upgrades!$T$13="Local Bubble",POWER(Upgrades!$U$13,E313),1)*IF(Upgrades!$T$15="Local Bubble",POWER(Upgrades!$U$15,G313),1)*IF(Upgrades!$T$16="Local Bubble",POWER(Upgrades!$U$16,H313),1)*IF(Upgrades!$T$17="Local Bubble",POWER(Upgrades!$U$17,I313),1)*IF(Upgrades!$T$18="Local Bubble",POWER(Upgrades!$U$18,J313),1)*IF(Upgrades!$T$19="Local Bubble",POWER(Upgrades!$U$19,K313),1)*IF(Upgrades!$T$20="Local Bubble",POWER(Upgrades!$U$20,L313),1)*IF(Upgrades!$T$21="Local Bubble",POWER(Upgrades!$U$21,M313),1))*POWER(Upgrades!$P$13,E313)*POWER(Upgrades!$P$14,F313)*POWER(Upgrades!$P$15,G313)*POWER(Upgrades!$P$16,H313)*POWER(Upgrades!$P$17,I313)*POWER(Upgrades!$P$18,J313)*POWER(Upgrades!$P$19,K313)*POWER(Upgrades!$P$20,L313)*POWER(Upgrades!$P$21,M313)*$F$6)*0.05)/AN313,0)</f>
        <v/>
      </c>
      <c r="BC313" s="32">
        <f>IFERROR((Upgrades!$H$17*(POWER(Upgrades!$P$13,E313)*POWER(Upgrades!$P$14,F313)*POWER(Upgrades!$P$15,G313)*POWER(Upgrades!$P$16,H313)*POWER(Upgrades!$P$17,I313)*POWER(Upgrades!$P$18,J313)*POWER(Upgrades!$P$19,K313)*POWER(Upgrades!$P$20,L313)*POWER(Upgrades!$P$21,M313))*(IF(Upgrades!$T$13="Brown Dwarf",POWER(Upgrades!$U$13,E313),1)*IF(Upgrades!$T$14="Brown Dwarf",POWER(Upgrades!$U$14,F313),1)*IF(Upgrades!$T$15="Brown Dwarf",POWER(Upgrades!$U$15,G313),1)*IF(Upgrades!$T$16="Brown Dwarf",POWER(Upgrades!$U$16,H313),1)*IF(Upgrades!$T$18="Brown Dwarf",POWER(Upgrades!$U$18,J313),1)*IF(Upgrades!$T$19="Brown Dwarf",POWER(Upgrades!$U$19,K313),1)*IF(Upgrades!$T$20="Brown Dwarf",POWER(Upgrades!$U$20,L313),1)*IF(Upgrades!$T$21="Brown Dwarf",POWER(Upgrades!$U$21,M313),1))*$F$6+(((IF(H313=0,0,(Upgrades!$M$16+H313*Upgrades!$N$16)*POWER(Upgrades!$O$16,H313)))*(IF(Upgrades!$T$13="Roche Lobe Overflow",POWER(Upgrades!$U$13,E313),1)*IF(Upgrades!$T$14="Roche Lobe Overflow",POWER(Upgrades!$U$14,F313),1)*IF(Upgrades!$T$15="Roche Lobe Overflow",POWER(Upgrades!$U$15,G313),1)*IF(Upgrades!$T$17="Roche Lobe Overflow",POWER(Upgrades!$U$17,I313),1)*IF(Upgrades!$T$18="Roche Lobe Overflow",POWER(Upgrades!$U$18,J313),1)*IF(Upgrades!$T$19="Roche Lobe Overflow",POWER(Upgrades!$U$19,K313),1)*IF(Upgrades!$T$20="Roche Lobe Overflow",POWER(Upgrades!$U$20,L313),1)*IF(Upgrades!$T$21="Roche Lobe Overflow",POWER(Upgrades!$U$21,M313),1))*POWER(Upgrades!$R$13,E313)*POWER(Upgrades!$R$14,F313)*POWER(Upgrades!$R$15,G313)*POWER(Upgrades!$R$16,H313)*POWER(Upgrades!$R$17,I313)*POWER(Upgrades!$R$18,J313)*POWER(Upgrades!$R$19,K313)*POWER(Upgrades!$R$20,L313)*POWER(Upgrades!$R$21,M313)*$H$6)*O313)*0.10)/AO313,0)</f>
        <v/>
      </c>
      <c r="BD313" s="32">
        <f>MAX(IF(J313&gt;0,0,IFERROR(0.5*((IF(G313=0,0,(Upgrades!$J$15+G313*Upgrades!$K$15)*POWER(Upgrades!$L$15,G313)))*(IF(Upgrades!$T$13="Microlensing",POWER(Upgrades!$U$13,E313),1)*IF(Upgrades!$T$14="Microlensing",POWER(Upgrades!$U$14,F313),1)*IF(Upgrades!$T$16="Microlensing",POWER(Upgrades!$U$16,H313),1)*IF(Upgrades!$T$17="Microlensing",POWER(Upgrades!$U$17,I313),1)*IF(Upgrades!$T$18="Microlensing",POWER(Upgrades!$U$18,J313),1)*IF(Upgrades!$T$19="Microlensing",POWER(Upgrades!$U$19,K313),1)*IF(Upgrades!$T$20="Microlensing",POWER(Upgrades!$U$20,L313),1)*IF(Upgrades!$T$21="Microlensing",POWER(Upgrades!$U$21,M313),1))*(POWER(Upgrades!$Q$13,E313)*POWER(Upgrades!$Q$14,F313)*POWER(Upgrades!$Q$15,G313)*POWER(Upgrades!$Q$16,H313)*POWER(Upgrades!$Q$17,I313)*POWER(Upgrades!$Q$18,J313)*POWER(Upgrades!$Q$19,K313)*POWER(Upgrades!$Q$20,L313)*POWER(Upgrades!$Q$21,M313))*$G$6*(Parameters!$B$10/60*Parameters!$B$11+Q313))/Upgrades!$C$18,0)),IF(K313&gt;0,0,IFERROR(0.30*P313/Upgrades!$C$19,0)),IF(L313&gt;0,0,IFERROR(0.0001/Upgrades!$C$20,0)),IF(M313&gt;0,0,IFERROR((6.0*(POWER(Upgrades!$P$13,E313)*POWER(Upgrades!$P$14,F313)*POWER(Upgrades!$P$15,G313)*POWER(Upgrades!$P$16,H313)*POWER(Upgrades!$P$17,I313)*POWER(Upgrades!$P$18,J313)*POWER(Upgrades!$P$19,K313)*POWER(Upgrades!$P$20,L313)*POWER(Upgrades!$P$21,M313))*$F$6+0.20*O313*(Parameters!$B$10/60*Parameters!$B$11+Q313))/Upgrades!$C$21,0)),IF(AND(ISNUMBER(AK313),AK313&gt;(C313+T313)),AY313,0),IF(AND(ISNUMBER(AL313),AL313&gt;(C313+T313)),AZ313,0),IF(AND(ISNUMBER(AM313),AM313&gt;(C313+T313)),BA313,0),IF(AND(ISNUMBER(AN313),AN313&gt;(C313+T313)),BB313,0),IF(AND(ISNUMBER(AO313),AO313&gt;(C313+T313)),BC313,0))</f>
        <v/>
      </c>
      <c r="BE313" s="29">
        <f>IF(AT313=1,"transition",IF(MIN(IF(AND(J313=0,ISNUMBER(AP313),AP313&lt;=(C313+T313)),AP313,9E15),IF(AND(K313=0,ISNUMBER(AQ313),AQ313&lt;=(C313+T313)),AQ313,9E15),IF(AND(L313=0,ISNUMBER(AR313),AR313&lt;=(C313+T313)),AR313,9E15),IF(AND(M313=0,ISNUMBER(AS313),AS313&lt;=(C313+T313)),AS313,9E15))&lt;9E15,IF(AND(AND(J313=0,ISNUMBER(AP313),AP313&lt;=(C313+T313)),AP313=MIN(IF(AND(J313=0,ISNUMBER(AP313),AP313&lt;=(C313+T313)),AP313,9E15),IF(AND(K313=0,ISNUMBER(AQ313),AQ313&lt;=(C313+T313)),AQ313,9E15),IF(AND(L313=0,ISNUMBER(AR313),AR313&lt;=(C313+T313)),AR313,9E15),IF(AND(M313=0,ISNUMBER(AS313),AS313&lt;=(C313+T313)),AS313,9E15))),"BiP",IF(AND(AND(K313=0,ISNUMBER(AQ313),AQ313&lt;=(C313+T313)),AQ313=MIN(IF(AND(J313=0,ISNUMBER(AP313),AP313&lt;=(C313+T313)),AP313,9E15),IF(AND(K313=0,ISNUMBER(AQ313),AQ313&lt;=(C313+T313)),AQ313,9E15),IF(AND(L313=0,ISNUMBER(AR313),AR313&lt;=(C313+T313)),AR313,9E15),IF(AND(M313=0,ISNUMBER(AS313),AS313&lt;=(C313+T313)),AS313,9E15))),"PV",IF(AND(AND(L313=0,ISNUMBER(AR313),AR313&lt;=(C313+T313)),AR313=MIN(IF(AND(J313=0,ISNUMBER(AP313),AP313&lt;=(C313+T313)),AP313,9E15),IF(AND(K313=0,ISNUMBER(AQ313),AQ313&lt;=(C313+T313)),AQ313,9E15),IF(AND(L313=0,ISNUMBER(AR313),AR313&lt;=(C313+T313)),AR313,9E15),IF(AND(M313=0,ISNUMBER(AS313),AS313&lt;=(C313+T313)),AS313,9E15))),"OC","MG"))),IF(AX313=TRUE,"",IF(MAX(IF(AND(NOT(AND(AU313=1,AT313&lt;&gt;1)),ISNUMBER(AK313),AK313&lt;=(C313+T313)),AY313,0),IF(AND(NOT(AND(AU313=1,AT313&lt;&gt;1)),ISNUMBER(AL313),AL313&lt;=(C313+T313)),AZ313,0),IF(AND(NOT(AND(AU313=1,AT313&lt;&gt;1)),ISNUMBER(AM313),AM313&lt;=(C313+T313)),BA313,0),IF(AND(NOT(AND(AU313=1,AT313&lt;&gt;1)),ISNUMBER(AN313),AN313&lt;=(C313+T313)),BB313,0),IF(AND(ISNUMBER(AO313),AO313&lt;=(C313+T313)),BC313,0))&lt;=0,"",IF(AND(IF(AND(NOT(AND(AU313=1,AT313&lt;&gt;1)),ISNUMBER(AK313),AK313&lt;=(C313+T313)),AY313,0)&gt;0,IF(AND(NOT(AND(AU313=1,AT313&lt;&gt;1)),ISNUMBER(AK313),AK313&lt;=(C313+T313)),AY313,0)=MAX(IF(AND(NOT(AND(AU313=1,AT313&lt;&gt;1)),ISNUMBER(AK313),AK313&lt;=(C313+T313)),AY313,0),IF(AND(NOT(AND(AU313=1,AT313&lt;&gt;1)),ISNUMBER(AL313),AL313&lt;=(C313+T313)),AZ313,0),IF(AND(NOT(AND(AU313=1,AT313&lt;&gt;1)),ISNUMBER(AM313),AM313&lt;=(C313+T313)),BA313,0),IF(AND(NOT(AND(AU313=1,AT313&lt;&gt;1)),ISNUMBER(AN313),AN313&lt;=(C313+T313)),BB313,0),IF(AND(ISNUMBER(AO313),AO313&lt;=(C313+T313)),BC313,0))),"SK",IF(AND(IF(AND(NOT(AND(AU313=1,AT313&lt;&gt;1)),ISNUMBER(AL313),AL313&lt;=(C313+T313)),AZ313,0)&gt;0,IF(AND(NOT(AND(AU313=1,AT313&lt;&gt;1)),ISNUMBER(AL313),AL313&lt;=(C313+T313)),AZ313,0)=MAX(IF(AND(NOT(AND(AU313=1,AT313&lt;&gt;1)),ISNUMBER(AK313),AK313&lt;=(C313+T313)),AY313,0),IF(AND(NOT(AND(AU313=1,AT313&lt;&gt;1)),ISNUMBER(AL313),AL313&lt;=(C313+T313)),AZ313,0),IF(AND(NOT(AND(AU313=1,AT313&lt;&gt;1)),ISNUMBER(AM313),AM313&lt;=(C313+T313)),BA313,0),IF(AND(NOT(AND(AU313=1,AT313&lt;&gt;1)),ISNUMBER(AN313),AN313&lt;=(C313+T313)),BB313,0),IF(AND(ISNUMBER(AO313),AO313&lt;=(C313+T313)),BC313,0))),"LB",IF(AND(IF(AND(NOT(AND(AU313=1,AT313&lt;&gt;1)),ISNUMBER(AM313),AM313&lt;=(C313+T313)),BA313,0)&gt;0,IF(AND(NOT(AND(AU313=1,AT313&lt;&gt;1)),ISNUMBER(AM313),AM313&lt;=(C313+T313)),BA313,0)=MAX(IF(AND(NOT(AND(AU313=1,AT313&lt;&gt;1)),ISNUMBER(AK313),AK313&lt;=(C313+T313)),AY313,0),IF(AND(NOT(AND(AU313=1,AT313&lt;&gt;1)),ISNUMBER(AL313),AL313&lt;=(C313+T313)),AZ313,0),IF(AND(NOT(AND(AU313=1,AT313&lt;&gt;1)),ISNUMBER(AM313),AM313&lt;=(C313+T313)),BA313,0),IF(AND(NOT(AND(AU313=1,AT313&lt;&gt;1)),ISNUMBER(AN313),AN313&lt;=(C313+T313)),BB313,0),IF(AND(ISNUMBER(AO313),AO313&lt;=(C313+T313)),BC313,0))),"ML",IF(AND(IF(AND(NOT(AND(AU313=1,AT313&lt;&gt;1)),ISNUMBER(AN313),AN313&lt;=(C313+T313)),BB313,0)&gt;0,IF(AND(NOT(AND(AU313=1,AT313&lt;&gt;1)),ISNUMBER(AN313),AN313&lt;=(C313+T313)),BB313,0)=MAX(IF(AND(NOT(AND(AU313=1,AT313&lt;&gt;1)),ISNUMBER(AK313),AK313&lt;=(C313+T313)),AY313,0),IF(AND(NOT(AND(AU313=1,AT313&lt;&gt;1)),ISNUMBER(AL313),AL313&lt;=(C313+T313)),AZ313,0),IF(AND(NOT(AND(AU313=1,AT313&lt;&gt;1)),ISNUMBER(AM313),AM313&lt;=(C313+T313)),BA313,0),IF(AND(NOT(AND(AU313=1,AT313&lt;&gt;1)),ISNUMBER(AN313),AN313&lt;=(C313+T313)),BB313,0),IF(AND(ISNUMBER(AO313),AO313&lt;=(C313+T313)),BC313,0))),"RLO","BD"))))))))</f>
        <v/>
      </c>
    </row>
    <row r="314">
      <c r="A314" s="26" t="n">
        <v>303</v>
      </c>
      <c r="B314" s="27">
        <f>A314*10/60</f>
        <v/>
      </c>
      <c r="C314" s="22">
        <f>X313</f>
        <v/>
      </c>
      <c r="D314" s="27">
        <f>D313+W313</f>
        <v/>
      </c>
      <c r="E314" s="26">
        <f>E313+IF(U313="SK",1,0)</f>
        <v/>
      </c>
      <c r="F314" s="26">
        <f>F313+IF(U313="LB",1,0)</f>
        <v/>
      </c>
      <c r="G314" s="26">
        <f>G313+IF(U313="ML",1,0)</f>
        <v/>
      </c>
      <c r="H314" s="26">
        <f>H313+IF(U313="RLO",1,0)</f>
        <v/>
      </c>
      <c r="I314" s="26">
        <f>I313+IF(U313="BD",1,0)</f>
        <v/>
      </c>
      <c r="J314" s="26">
        <f>MAX(J313,IF(U313="BiP",1,0))</f>
        <v/>
      </c>
      <c r="K314" s="26">
        <f>MAX(K313,IF(U313="PV",1,0))</f>
        <v/>
      </c>
      <c r="L314" s="26">
        <f>MAX(L313,IF(U313="OC",1,0))</f>
        <v/>
      </c>
      <c r="M314" s="26">
        <f>MAX(M313,IF(U313="MG",1,0))</f>
        <v/>
      </c>
      <c r="N314" s="26">
        <f>MAX(N313,IF(U313="transition",1,0))</f>
        <v/>
      </c>
      <c r="O314" s="28">
        <f>(Parameters!$B$9+(IF(E314=0,0,(Upgrades!$J$13+E314*Upgrades!$K$13)*POWER(Upgrades!$L$13,E314)))*(IF(Upgrades!$T$14="Stellar Kinematics",POWER(Upgrades!$U$14,F314),1)*IF(Upgrades!$T$15="Stellar Kinematics",POWER(Upgrades!$U$15,G314),1)*IF(Upgrades!$T$16="Stellar Kinematics",POWER(Upgrades!$U$16,H314),1)*IF(Upgrades!$T$17="Stellar Kinematics",POWER(Upgrades!$U$17,I314),1)*IF(Upgrades!$T$18="Stellar Kinematics",POWER(Upgrades!$U$18,J314),1)*IF(Upgrades!$T$19="Stellar Kinematics",POWER(Upgrades!$U$19,K314),1)*IF(Upgrades!$T$20="Stellar Kinematics",POWER(Upgrades!$U$20,L314),1)*IF(Upgrades!$T$21="Stellar Kinematics",POWER(Upgrades!$U$21,M314),1))+(IF(F314=0,0,(Upgrades!$J$14+F314*Upgrades!$K$14)*POWER(Upgrades!$L$14,F314)))*(IF(Upgrades!$T$13="Local Bubble",POWER(Upgrades!$U$13,E314),1)*IF(Upgrades!$T$15="Local Bubble",POWER(Upgrades!$U$15,G314),1)*IF(Upgrades!$T$16="Local Bubble",POWER(Upgrades!$U$16,H314),1)*IF(Upgrades!$T$17="Local Bubble",POWER(Upgrades!$U$17,I314),1)*IF(Upgrades!$T$18="Local Bubble",POWER(Upgrades!$U$18,J314),1)*IF(Upgrades!$T$19="Local Bubble",POWER(Upgrades!$U$19,K314),1)*IF(Upgrades!$T$20="Local Bubble",POWER(Upgrades!$U$20,L314),1)*IF(Upgrades!$T$21="Local Bubble",POWER(Upgrades!$U$21,M314),1))+(IF(G314=0,0,(Upgrades!$J$15+G314*Upgrades!$K$15)*POWER(Upgrades!$L$15,G314)))*(IF(Upgrades!$T$13="Microlensing",POWER(Upgrades!$U$13,E314),1)*IF(Upgrades!$T$14="Microlensing",POWER(Upgrades!$U$14,F314),1)*IF(Upgrades!$T$16="Microlensing",POWER(Upgrades!$U$16,H314),1)*IF(Upgrades!$T$17="Microlensing",POWER(Upgrades!$U$17,I314),1)*IF(Upgrades!$T$18="Microlensing",POWER(Upgrades!$U$18,J314),1)*IF(Upgrades!$T$19="Microlensing",POWER(Upgrades!$U$19,K314),1)*IF(Upgrades!$T$20="Microlensing",POWER(Upgrades!$U$20,L314),1)*IF(Upgrades!$T$21="Microlensing",POWER(Upgrades!$U$21,M314),1))+(IF(H314=0,0,(Upgrades!$J$16+H314*Upgrades!$K$16)*POWER(Upgrades!$L$16,H314)))*(IF(Upgrades!$T$13="Roche Lobe Overflow",POWER(Upgrades!$U$13,E314),1)*IF(Upgrades!$T$14="Roche Lobe Overflow",POWER(Upgrades!$U$14,F314),1)*IF(Upgrades!$T$15="Roche Lobe Overflow",POWER(Upgrades!$U$15,G314),1)*IF(Upgrades!$T$17="Roche Lobe Overflow",POWER(Upgrades!$U$17,I314),1)*IF(Upgrades!$T$18="Roche Lobe Overflow",POWER(Upgrades!$U$18,J314),1)*IF(Upgrades!$T$19="Roche Lobe Overflow",POWER(Upgrades!$U$19,K314),1)*IF(Upgrades!$T$20="Roche Lobe Overflow",POWER(Upgrades!$U$20,L314),1)*IF(Upgrades!$T$21="Roche Lobe Overflow",POWER(Upgrades!$U$21,M314),1))+(IF(I314=0,0,(Upgrades!$J$17+I314*Upgrades!$K$17)*POWER(Upgrades!$L$17,I314)))*(IF(Upgrades!$T$13="Brown Dwarf",POWER(Upgrades!$U$13,E314),1)*IF(Upgrades!$T$14="Brown Dwarf",POWER(Upgrades!$U$14,F314),1)*IF(Upgrades!$T$15="Brown Dwarf",POWER(Upgrades!$U$15,G314),1)*IF(Upgrades!$T$16="Brown Dwarf",POWER(Upgrades!$U$16,H314),1)*IF(Upgrades!$T$18="Brown Dwarf",POWER(Upgrades!$U$18,J314),1)*IF(Upgrades!$T$19="Brown Dwarf",POWER(Upgrades!$U$19,K314),1)*IF(Upgrades!$T$20="Brown Dwarf",POWER(Upgrades!$U$20,L314),1)*IF(Upgrades!$T$21="Brown Dwarf",POWER(Upgrades!$U$21,M314),1))+(IF(J314=0,0,(Upgrades!$J$18+J314*Upgrades!$K$18)*POWER(Upgrades!$L$18,J314)))*(IF(Upgrades!$T$13="Binary Partner",POWER(Upgrades!$U$13,E314),1)*IF(Upgrades!$T$14="Binary Partner",POWER(Upgrades!$U$14,F314),1)*IF(Upgrades!$T$15="Binary Partner",POWER(Upgrades!$U$15,G314),1)*IF(Upgrades!$T$16="Binary Partner",POWER(Upgrades!$U$16,H314),1)*IF(Upgrades!$T$17="Binary Partner",POWER(Upgrades!$U$17,I314),1)*IF(Upgrades!$T$19="Binary Partner",POWER(Upgrades!$U$19,K314),1)*IF(Upgrades!$T$20="Binary Partner",POWER(Upgrades!$U$20,L314),1)*IF(Upgrades!$T$21="Binary Partner",POWER(Upgrades!$U$21,M314),1))+(IF(K314=0,0,(Upgrades!$J$19+K314*Upgrades!$K$19)*POWER(Upgrades!$L$19,K314)))*(IF(Upgrades!$T$13="Peculiar Velocity",POWER(Upgrades!$U$13,E314),1)*IF(Upgrades!$T$14="Peculiar Velocity",POWER(Upgrades!$U$14,F314),1)*IF(Upgrades!$T$15="Peculiar Velocity",POWER(Upgrades!$U$15,G314),1)*IF(Upgrades!$T$16="Peculiar Velocity",POWER(Upgrades!$U$16,H314),1)*IF(Upgrades!$T$17="Peculiar Velocity",POWER(Upgrades!$U$17,I314),1)*IF(Upgrades!$T$18="Peculiar Velocity",POWER(Upgrades!$U$18,J314),1)*IF(Upgrades!$T$20="Peculiar Velocity",POWER(Upgrades!$U$20,L314),1)*IF(Upgrades!$T$21="Peculiar Velocity",POWER(Upgrades!$U$21,M314),1))+(IF(L314=0,0,(Upgrades!$J$20+L314*Upgrades!$K$20)*POWER(Upgrades!$L$20,L314)))*(IF(Upgrades!$T$13="Open Cluster",POWER(Upgrades!$U$13,E314),1)*IF(Upgrades!$T$14="Open Cluster",POWER(Upgrades!$U$14,F314),1)*IF(Upgrades!$T$15="Open Cluster",POWER(Upgrades!$U$15,G314),1)*IF(Upgrades!$T$16="Open Cluster",POWER(Upgrades!$U$16,H314),1)*IF(Upgrades!$T$17="Open Cluster",POWER(Upgrades!$U$17,I314),1)*IF(Upgrades!$T$18="Open Cluster",POWER(Upgrades!$U$18,J314),1)*IF(Upgrades!$T$19="Open Cluster",POWER(Upgrades!$U$19,K314),1)*IF(Upgrades!$T$21="Open Cluster",POWER(Upgrades!$U$21,M314),1))+(IF(M314=0,0,(Upgrades!$J$21+M314*Upgrades!$K$21)*POWER(Upgrades!$L$21,M314)))*(IF(Upgrades!$T$13="Moving Group",POWER(Upgrades!$U$13,E314),1)*IF(Upgrades!$T$14="Moving Group",POWER(Upgrades!$U$14,F314),1)*IF(Upgrades!$T$15="Moving Group",POWER(Upgrades!$U$15,G314),1)*IF(Upgrades!$T$16="Moving Group",POWER(Upgrades!$U$16,H314),1)*IF(Upgrades!$T$17="Moving Group",POWER(Upgrades!$U$17,I314),1)*IF(Upgrades!$T$18="Moving Group",POWER(Upgrades!$U$18,J314),1)*IF(Upgrades!$T$19="Moving Group",POWER(Upgrades!$U$19,K314),1)*IF(Upgrades!$T$20="Moving Group",POWER(Upgrades!$U$20,L314),1)))*POWER(Upgrades!$Q$13,E314)*POWER(Upgrades!$Q$14,F314)*POWER(Upgrades!$Q$15,G314)*POWER(Upgrades!$Q$16,H314)*POWER(Upgrades!$Q$17,I314)*POWER(Upgrades!$Q$18,J314)*POWER(Upgrades!$Q$19,K314)*POWER(Upgrades!$Q$20,L314)*POWER(Upgrades!$Q$21,M314)*$G$6+$D$6</f>
        <v/>
      </c>
      <c r="P314" s="28">
        <f>((IF(E314=0,0,(Upgrades!$G$13+E314*Upgrades!$H$13)*POWER(Upgrades!$I$13,E314)))*(IF(Upgrades!$T$14="Stellar Kinematics",POWER(Upgrades!$U$14,F314),1)*IF(Upgrades!$T$15="Stellar Kinematics",POWER(Upgrades!$U$15,G314),1)*IF(Upgrades!$T$16="Stellar Kinematics",POWER(Upgrades!$U$16,H314),1)*IF(Upgrades!$T$17="Stellar Kinematics",POWER(Upgrades!$U$17,I314),1)*IF(Upgrades!$T$18="Stellar Kinematics",POWER(Upgrades!$U$18,J314),1)*IF(Upgrades!$T$19="Stellar Kinematics",POWER(Upgrades!$U$19,K314),1)*IF(Upgrades!$T$20="Stellar Kinematics",POWER(Upgrades!$U$20,L314),1)*IF(Upgrades!$T$21="Stellar Kinematics",POWER(Upgrades!$U$21,M314),1))+(IF(F314=0,0,(Upgrades!$G$14+F314*Upgrades!$H$14)*POWER(Upgrades!$I$14,F314)))*(IF(Upgrades!$T$13="Local Bubble",POWER(Upgrades!$U$13,E314),1)*IF(Upgrades!$T$15="Local Bubble",POWER(Upgrades!$U$15,G314),1)*IF(Upgrades!$T$16="Local Bubble",POWER(Upgrades!$U$16,H314),1)*IF(Upgrades!$T$17="Local Bubble",POWER(Upgrades!$U$17,I314),1)*IF(Upgrades!$T$18="Local Bubble",POWER(Upgrades!$U$18,J314),1)*IF(Upgrades!$T$19="Local Bubble",POWER(Upgrades!$U$19,K314),1)*IF(Upgrades!$T$20="Local Bubble",POWER(Upgrades!$U$20,L314),1)*IF(Upgrades!$T$21="Local Bubble",POWER(Upgrades!$U$21,M314),1))+(IF(G314=0,0,(Upgrades!$G$15+G314*Upgrades!$H$15)*POWER(Upgrades!$I$15,G314)))*(IF(Upgrades!$T$13="Microlensing",POWER(Upgrades!$U$13,E314),1)*IF(Upgrades!$T$14="Microlensing",POWER(Upgrades!$U$14,F314),1)*IF(Upgrades!$T$16="Microlensing",POWER(Upgrades!$U$16,H314),1)*IF(Upgrades!$T$17="Microlensing",POWER(Upgrades!$U$17,I314),1)*IF(Upgrades!$T$18="Microlensing",POWER(Upgrades!$U$18,J314),1)*IF(Upgrades!$T$19="Microlensing",POWER(Upgrades!$U$19,K314),1)*IF(Upgrades!$T$20="Microlensing",POWER(Upgrades!$U$20,L314),1)*IF(Upgrades!$T$21="Microlensing",POWER(Upgrades!$U$21,M314),1))+(IF(H314=0,0,(Upgrades!$G$16+H314*Upgrades!$H$16)*POWER(Upgrades!$I$16,H314)))*(IF(Upgrades!$T$13="Roche Lobe Overflow",POWER(Upgrades!$U$13,E314),1)*IF(Upgrades!$T$14="Roche Lobe Overflow",POWER(Upgrades!$U$14,F314),1)*IF(Upgrades!$T$15="Roche Lobe Overflow",POWER(Upgrades!$U$15,G314),1)*IF(Upgrades!$T$17="Roche Lobe Overflow",POWER(Upgrades!$U$17,I314),1)*IF(Upgrades!$T$18="Roche Lobe Overflow",POWER(Upgrades!$U$18,J314),1)*IF(Upgrades!$T$19="Roche Lobe Overflow",POWER(Upgrades!$U$19,K314),1)*IF(Upgrades!$T$20="Roche Lobe Overflow",POWER(Upgrades!$U$20,L314),1)*IF(Upgrades!$T$21="Roche Lobe Overflow",POWER(Upgrades!$U$21,M314),1))+(IF(I314=0,0,(Upgrades!$G$17+I314*Upgrades!$H$17)*POWER(Upgrades!$I$17,I314)))*(IF(Upgrades!$T$13="Brown Dwarf",POWER(Upgrades!$U$13,E314),1)*IF(Upgrades!$T$14="Brown Dwarf",POWER(Upgrades!$U$14,F314),1)*IF(Upgrades!$T$15="Brown Dwarf",POWER(Upgrades!$U$15,G314),1)*IF(Upgrades!$T$16="Brown Dwarf",POWER(Upgrades!$U$16,H314),1)*IF(Upgrades!$T$18="Brown Dwarf",POWER(Upgrades!$U$18,J314),1)*IF(Upgrades!$T$19="Brown Dwarf",POWER(Upgrades!$U$19,K314),1)*IF(Upgrades!$T$20="Brown Dwarf",POWER(Upgrades!$U$20,L314),1)*IF(Upgrades!$T$21="Brown Dwarf",POWER(Upgrades!$U$21,M314),1))+(IF(J314=0,0,(Upgrades!$G$18+J314*Upgrades!$H$18)*POWER(Upgrades!$I$18,J314)))*(IF(Upgrades!$T$13="Binary Partner",POWER(Upgrades!$U$13,E314),1)*IF(Upgrades!$T$14="Binary Partner",POWER(Upgrades!$U$14,F314),1)*IF(Upgrades!$T$15="Binary Partner",POWER(Upgrades!$U$15,G314),1)*IF(Upgrades!$T$16="Binary Partner",POWER(Upgrades!$U$16,H314),1)*IF(Upgrades!$T$17="Binary Partner",POWER(Upgrades!$U$17,I314),1)*IF(Upgrades!$T$19="Binary Partner",POWER(Upgrades!$U$19,K314),1)*IF(Upgrades!$T$20="Binary Partner",POWER(Upgrades!$U$20,L314),1)*IF(Upgrades!$T$21="Binary Partner",POWER(Upgrades!$U$21,M314),1))+(IF(K314=0,0,(Upgrades!$G$19+K314*Upgrades!$H$19)*POWER(Upgrades!$I$19,K314)))*(IF(Upgrades!$T$13="Peculiar Velocity",POWER(Upgrades!$U$13,E314),1)*IF(Upgrades!$T$14="Peculiar Velocity",POWER(Upgrades!$U$14,F314),1)*IF(Upgrades!$T$15="Peculiar Velocity",POWER(Upgrades!$U$15,G314),1)*IF(Upgrades!$T$16="Peculiar Velocity",POWER(Upgrades!$U$16,H314),1)*IF(Upgrades!$T$17="Peculiar Velocity",POWER(Upgrades!$U$17,I314),1)*IF(Upgrades!$T$18="Peculiar Velocity",POWER(Upgrades!$U$18,J314),1)*IF(Upgrades!$T$20="Peculiar Velocity",POWER(Upgrades!$U$20,L314),1)*IF(Upgrades!$T$21="Peculiar Velocity",POWER(Upgrades!$U$21,M314),1))+(IF(L314=0,0,(Upgrades!$G$20+L314*Upgrades!$H$20)*POWER(Upgrades!$I$20,L314)))*(IF(Upgrades!$T$13="Open Cluster",POWER(Upgrades!$U$13,E314),1)*IF(Upgrades!$T$14="Open Cluster",POWER(Upgrades!$U$14,F314),1)*IF(Upgrades!$T$15="Open Cluster",POWER(Upgrades!$U$15,G314),1)*IF(Upgrades!$T$16="Open Cluster",POWER(Upgrades!$U$16,H314),1)*IF(Upgrades!$T$17="Open Cluster",POWER(Upgrades!$U$17,I314),1)*IF(Upgrades!$T$18="Open Cluster",POWER(Upgrades!$U$18,J314),1)*IF(Upgrades!$T$19="Open Cluster",POWER(Upgrades!$U$19,K314),1)*IF(Upgrades!$T$21="Open Cluster",POWER(Upgrades!$U$21,M314),1))+(IF(M314=0,0,(Upgrades!$G$21+M314*Upgrades!$H$21)*POWER(Upgrades!$I$21,M314)))*(IF(Upgrades!$T$13="Moving Group",POWER(Upgrades!$U$13,E314),1)*IF(Upgrades!$T$14="Moving Group",POWER(Upgrades!$U$14,F314),1)*IF(Upgrades!$T$15="Moving Group",POWER(Upgrades!$U$15,G314),1)*IF(Upgrades!$T$16="Moving Group",POWER(Upgrades!$U$16,H314),1)*IF(Upgrades!$T$17="Moving Group",POWER(Upgrades!$U$17,I314),1)*IF(Upgrades!$T$18="Moving Group",POWER(Upgrades!$U$18,J314),1)*IF(Upgrades!$T$19="Moving Group",POWER(Upgrades!$U$19,K314),1)*IF(Upgrades!$T$20="Moving Group",POWER(Upgrades!$U$20,L314),1)))*POWER(Upgrades!$P$13,E314)*POWER(Upgrades!$P$14,F314)*POWER(Upgrades!$P$15,G314)*POWER(Upgrades!$P$16,H314)*POWER(Upgrades!$P$17,I314)*POWER(Upgrades!$P$18,J314)*POWER(Upgrades!$P$19,K314)*POWER(Upgrades!$P$20,L314)*POWER(Upgrades!$P$21,M314)*$F$6+$C$6</f>
        <v/>
      </c>
      <c r="Q314" s="28">
        <f>((IF(E314=0,0,(Upgrades!$M$13+E314*Upgrades!$N$13)*POWER(Upgrades!$O$13,E314)))*(IF(Upgrades!$T$14="Stellar Kinematics",POWER(Upgrades!$U$14,F314),1)*IF(Upgrades!$T$15="Stellar Kinematics",POWER(Upgrades!$U$15,G314),1)*IF(Upgrades!$T$16="Stellar Kinematics",POWER(Upgrades!$U$16,H314),1)*IF(Upgrades!$T$17="Stellar Kinematics",POWER(Upgrades!$U$17,I314),1)*IF(Upgrades!$T$18="Stellar Kinematics",POWER(Upgrades!$U$18,J314),1)*IF(Upgrades!$T$19="Stellar Kinematics",POWER(Upgrades!$U$19,K314),1)*IF(Upgrades!$T$20="Stellar Kinematics",POWER(Upgrades!$U$20,L314),1)*IF(Upgrades!$T$21="Stellar Kinematics",POWER(Upgrades!$U$21,M314),1))+(IF(F314=0,0,(Upgrades!$M$14+F314*Upgrades!$N$14)*POWER(Upgrades!$O$14,F314)))*(IF(Upgrades!$T$13="Local Bubble",POWER(Upgrades!$U$13,E314),1)*IF(Upgrades!$T$15="Local Bubble",POWER(Upgrades!$U$15,G314),1)*IF(Upgrades!$T$16="Local Bubble",POWER(Upgrades!$U$16,H314),1)*IF(Upgrades!$T$17="Local Bubble",POWER(Upgrades!$U$17,I314),1)*IF(Upgrades!$T$18="Local Bubble",POWER(Upgrades!$U$18,J314),1)*IF(Upgrades!$T$19="Local Bubble",POWER(Upgrades!$U$19,K314),1)*IF(Upgrades!$T$20="Local Bubble",POWER(Upgrades!$U$20,L314),1)*IF(Upgrades!$T$21="Local Bubble",POWER(Upgrades!$U$21,M314),1))+(IF(G314=0,0,(Upgrades!$M$15+G314*Upgrades!$N$15)*POWER(Upgrades!$O$15,G314)))*(IF(Upgrades!$T$13="Microlensing",POWER(Upgrades!$U$13,E314),1)*IF(Upgrades!$T$14="Microlensing",POWER(Upgrades!$U$14,F314),1)*IF(Upgrades!$T$16="Microlensing",POWER(Upgrades!$U$16,H314),1)*IF(Upgrades!$T$17="Microlensing",POWER(Upgrades!$U$17,I314),1)*IF(Upgrades!$T$18="Microlensing",POWER(Upgrades!$U$18,J314),1)*IF(Upgrades!$T$19="Microlensing",POWER(Upgrades!$U$19,K314),1)*IF(Upgrades!$T$20="Microlensing",POWER(Upgrades!$U$20,L314),1)*IF(Upgrades!$T$21="Microlensing",POWER(Upgrades!$U$21,M314),1))+(IF(H314=0,0,(Upgrades!$M$16+H314*Upgrades!$N$16)*POWER(Upgrades!$O$16,H314)))*(IF(Upgrades!$T$13="Roche Lobe Overflow",POWER(Upgrades!$U$13,E314),1)*IF(Upgrades!$T$14="Roche Lobe Overflow",POWER(Upgrades!$U$14,F314),1)*IF(Upgrades!$T$15="Roche Lobe Overflow",POWER(Upgrades!$U$15,G314),1)*IF(Upgrades!$T$17="Roche Lobe Overflow",POWER(Upgrades!$U$17,I314),1)*IF(Upgrades!$T$18="Roche Lobe Overflow",POWER(Upgrades!$U$18,J314),1)*IF(Upgrades!$T$19="Roche Lobe Overflow",POWER(Upgrades!$U$19,K314),1)*IF(Upgrades!$T$20="Roche Lobe Overflow",POWER(Upgrades!$U$20,L314),1)*IF(Upgrades!$T$21="Roche Lobe Overflow",POWER(Upgrades!$U$21,M314),1))+(IF(I314=0,0,(Upgrades!$M$17+I314*Upgrades!$N$17)*POWER(Upgrades!$O$17,I314)))*(IF(Upgrades!$T$13="Brown Dwarf",POWER(Upgrades!$U$13,E314),1)*IF(Upgrades!$T$14="Brown Dwarf",POWER(Upgrades!$U$14,F314),1)*IF(Upgrades!$T$15="Brown Dwarf",POWER(Upgrades!$U$15,G314),1)*IF(Upgrades!$T$16="Brown Dwarf",POWER(Upgrades!$U$16,H314),1)*IF(Upgrades!$T$18="Brown Dwarf",POWER(Upgrades!$U$18,J314),1)*IF(Upgrades!$T$19="Brown Dwarf",POWER(Upgrades!$U$19,K314),1)*IF(Upgrades!$T$20="Brown Dwarf",POWER(Upgrades!$U$20,L314),1)*IF(Upgrades!$T$21="Brown Dwarf",POWER(Upgrades!$U$21,M314),1))+(IF(J314=0,0,(Upgrades!$M$18+J314*Upgrades!$N$18)*POWER(Upgrades!$O$18,J314)))*(IF(Upgrades!$T$13="Binary Partner",POWER(Upgrades!$U$13,E314),1)*IF(Upgrades!$T$14="Binary Partner",POWER(Upgrades!$U$14,F314),1)*IF(Upgrades!$T$15="Binary Partner",POWER(Upgrades!$U$15,G314),1)*IF(Upgrades!$T$16="Binary Partner",POWER(Upgrades!$U$16,H314),1)*IF(Upgrades!$T$17="Binary Partner",POWER(Upgrades!$U$17,I314),1)*IF(Upgrades!$T$19="Binary Partner",POWER(Upgrades!$U$19,K314),1)*IF(Upgrades!$T$20="Binary Partner",POWER(Upgrades!$U$20,L314),1)*IF(Upgrades!$T$21="Binary Partner",POWER(Upgrades!$U$21,M314),1))+(IF(K314=0,0,(Upgrades!$M$19+K314*Upgrades!$N$19)*POWER(Upgrades!$O$19,K314)))*(IF(Upgrades!$T$13="Peculiar Velocity",POWER(Upgrades!$U$13,E314),1)*IF(Upgrades!$T$14="Peculiar Velocity",POWER(Upgrades!$U$14,F314),1)*IF(Upgrades!$T$15="Peculiar Velocity",POWER(Upgrades!$U$15,G314),1)*IF(Upgrades!$T$16="Peculiar Velocity",POWER(Upgrades!$U$16,H314),1)*IF(Upgrades!$T$17="Peculiar Velocity",POWER(Upgrades!$U$17,I314),1)*IF(Upgrades!$T$18="Peculiar Velocity",POWER(Upgrades!$U$18,J314),1)*IF(Upgrades!$T$20="Peculiar Velocity",POWER(Upgrades!$U$20,L314),1)*IF(Upgrades!$T$21="Peculiar Velocity",POWER(Upgrades!$U$21,M314),1))+(IF(L314=0,0,(Upgrades!$M$20+L314*Upgrades!$N$20)*POWER(Upgrades!$O$20,L314)))*(IF(Upgrades!$T$13="Open Cluster",POWER(Upgrades!$U$13,E314),1)*IF(Upgrades!$T$14="Open Cluster",POWER(Upgrades!$U$14,F314),1)*IF(Upgrades!$T$15="Open Cluster",POWER(Upgrades!$U$15,G314),1)*IF(Upgrades!$T$16="Open Cluster",POWER(Upgrades!$U$16,H314),1)*IF(Upgrades!$T$17="Open Cluster",POWER(Upgrades!$U$17,I314),1)*IF(Upgrades!$T$18="Open Cluster",POWER(Upgrades!$U$18,J314),1)*IF(Upgrades!$T$19="Open Cluster",POWER(Upgrades!$U$19,K314),1)*IF(Upgrades!$T$21="Open Cluster",POWER(Upgrades!$U$21,M314),1))+(IF(M314=0,0,(Upgrades!$M$21+M314*Upgrades!$N$21)*POWER(Upgrades!$O$21,M314)))*(IF(Upgrades!$T$13="Moving Group",POWER(Upgrades!$U$13,E314),1)*IF(Upgrades!$T$14="Moving Group",POWER(Upgrades!$U$14,F314),1)*IF(Upgrades!$T$15="Moving Group",POWER(Upgrades!$U$15,G314),1)*IF(Upgrades!$T$16="Moving Group",POWER(Upgrades!$U$16,H314),1)*IF(Upgrades!$T$17="Moving Group",POWER(Upgrades!$U$17,I314),1)*IF(Upgrades!$T$18="Moving Group",POWER(Upgrades!$U$18,J314),1)*IF(Upgrades!$T$19="Moving Group",POWER(Upgrades!$U$19,K314),1)*IF(Upgrades!$T$20="Moving Group",POWER(Upgrades!$U$20,L314),1)))*POWER(Upgrades!$R$13,E314)*POWER(Upgrades!$R$14,F314)*POWER(Upgrades!$R$15,G314)*POWER(Upgrades!$R$16,H314)*POWER(Upgrades!$R$17,I314)*POWER(Upgrades!$R$18,J314)*POWER(Upgrades!$R$19,K314)*POWER(Upgrades!$R$20,L314)*POWER(Upgrades!$R$21,M314)*$H$6+$E$6</f>
        <v/>
      </c>
      <c r="R314" s="27">
        <f>IF(N314=1,0,O314*Parameters!$B$10/60*Parameters!$B$11*10)</f>
        <v/>
      </c>
      <c r="S314" s="27">
        <f>IF(N314=1,0,Q314*O314*10)</f>
        <v/>
      </c>
      <c r="T314" s="27">
        <f>IF(N314=1,0,R314+S314+P314*10)</f>
        <v/>
      </c>
      <c r="U314" s="33">
        <f>BE314</f>
        <v/>
      </c>
      <c r="V314" s="22">
        <f>IF(U314="",0,IF(U314="transition",0,IF(U314="SK",AK314,IF(U314="LB",AL314,IF(U314="ML",AM314,IF(U314="RLO",AN314,IF(U314="BD",AO314,IF(U314="BiP",AP314,IF(U314="PV",AQ314,IF(U314="OC",AR314,IF(U314="MG",AS314,0))))))))))</f>
        <v/>
      </c>
      <c r="W314" s="27">
        <f>IF(U314="BiP",Upgrades!$F$18,IF(U314="PV",Upgrades!$F$19,IF(U314="OC",Upgrades!$F$20,IF(U314="MG",Upgrades!$F$21,IF(U314="transition",-Parameters!$B$18*Parameters!$B$19,0)))))</f>
        <v/>
      </c>
      <c r="X314" s="22">
        <f>C314+T314-V314</f>
        <v/>
      </c>
      <c r="Y314" s="30">
        <f>O314*Parameters!$B$10/60*Parameters!$B$11+Q314*O314+P314</f>
        <v/>
      </c>
      <c r="Z314" s="34">
        <f>IF(U314="transition","→ Tier 3 (Galactic Arm)",IF(U314="MG","Moving Group — pocket drifts together",IF(U314="OC","Open Cluster acquired",IF(U314="PV","Peculiar Velocity — passive multiplier active",IF(U314="BiP","Binary Partner — pair bond formed",IF(AND(AU314=1,N314=0,AT314&lt;&gt;1),"Cohesion ready (waiting on completionists)","")))))) </f>
        <v/>
      </c>
      <c r="AA314" s="27">
        <f>(IF(E314=0,0,(Upgrades!$G$13+E314*Upgrades!$H$13)*POWER(Upgrades!$I$13,E314)))*(IF(Upgrades!$T$14="Stellar Kinematics",POWER(Upgrades!$U$14,F314),1)*IF(Upgrades!$T$15="Stellar Kinematics",POWER(Upgrades!$U$15,G314),1)*IF(Upgrades!$T$16="Stellar Kinematics",POWER(Upgrades!$U$16,H314),1)*IF(Upgrades!$T$17="Stellar Kinematics",POWER(Upgrades!$U$17,I314),1)*IF(Upgrades!$T$18="Stellar Kinematics",POWER(Upgrades!$U$18,J314),1)*IF(Upgrades!$T$19="Stellar Kinematics",POWER(Upgrades!$U$19,K314),1)*IF(Upgrades!$T$20="Stellar Kinematics",POWER(Upgrades!$U$20,L314),1)*IF(Upgrades!$T$21="Stellar Kinematics",POWER(Upgrades!$U$21,M314),1))*POWER(Upgrades!$P$13,E314)*POWER(Upgrades!$P$14,F314)*POWER(Upgrades!$P$15,G314)*POWER(Upgrades!$P$16,H314)*POWER(Upgrades!$P$17,I314)*POWER(Upgrades!$P$18,J314)*POWER(Upgrades!$P$19,K314)*POWER(Upgrades!$P$20,L314)*POWER(Upgrades!$P$21,M314)*$F$6*60</f>
        <v/>
      </c>
      <c r="AB314" s="27">
        <f>(IF(F314=0,0,(Upgrades!$G$14+F314*Upgrades!$H$14)*POWER(Upgrades!$I$14,F314)))*(IF(Upgrades!$T$13="Local Bubble",POWER(Upgrades!$U$13,E314),1)*IF(Upgrades!$T$15="Local Bubble",POWER(Upgrades!$U$15,G314),1)*IF(Upgrades!$T$16="Local Bubble",POWER(Upgrades!$U$16,H314),1)*IF(Upgrades!$T$17="Local Bubble",POWER(Upgrades!$U$17,I314),1)*IF(Upgrades!$T$18="Local Bubble",POWER(Upgrades!$U$18,J314),1)*IF(Upgrades!$T$19="Local Bubble",POWER(Upgrades!$U$19,K314),1)*IF(Upgrades!$T$20="Local Bubble",POWER(Upgrades!$U$20,L314),1)*IF(Upgrades!$T$21="Local Bubble",POWER(Upgrades!$U$21,M314),1))*POWER(Upgrades!$P$13,E314)*POWER(Upgrades!$P$14,F314)*POWER(Upgrades!$P$15,G314)*POWER(Upgrades!$P$16,H314)*POWER(Upgrades!$P$17,I314)*POWER(Upgrades!$P$18,J314)*POWER(Upgrades!$P$19,K314)*POWER(Upgrades!$P$20,L314)*POWER(Upgrades!$P$21,M314)*$F$6*60</f>
        <v/>
      </c>
      <c r="AC314" s="27">
        <f>(IF(G314=0,0,(Upgrades!$J$15+G314*Upgrades!$K$15)*POWER(Upgrades!$L$15,G314)))*(IF(Upgrades!$T$13="Microlensing",POWER(Upgrades!$U$13,E314),1)*IF(Upgrades!$T$14="Microlensing",POWER(Upgrades!$U$14,F314),1)*IF(Upgrades!$T$16="Microlensing",POWER(Upgrades!$U$16,H314),1)*IF(Upgrades!$T$17="Microlensing",POWER(Upgrades!$U$17,I314),1)*IF(Upgrades!$T$18="Microlensing",POWER(Upgrades!$U$18,J314),1)*IF(Upgrades!$T$19="Microlensing",POWER(Upgrades!$U$19,K314),1)*IF(Upgrades!$T$20="Microlensing",POWER(Upgrades!$U$20,L314),1)*IF(Upgrades!$T$21="Microlensing",POWER(Upgrades!$U$21,M314),1))*POWER(Upgrades!$Q$13,E314)*POWER(Upgrades!$Q$14,F314)*POWER(Upgrades!$Q$15,G314)*POWER(Upgrades!$Q$16,H314)*POWER(Upgrades!$Q$17,I314)*POWER(Upgrades!$Q$18,J314)*POWER(Upgrades!$Q$19,K314)*POWER(Upgrades!$Q$20,L314)*POWER(Upgrades!$Q$21,M314)*$G$6*(Parameters!$B$10*Parameters!$B$11+Q314*60)</f>
        <v/>
      </c>
      <c r="AD314" s="27">
        <f>(IF(H314=0,0,(Upgrades!$M$16+H314*Upgrades!$N$16)*POWER(Upgrades!$O$16,H314)))*(IF(Upgrades!$T$13="Roche Lobe Overflow",POWER(Upgrades!$U$13,E314),1)*IF(Upgrades!$T$14="Roche Lobe Overflow",POWER(Upgrades!$U$14,F314),1)*IF(Upgrades!$T$15="Roche Lobe Overflow",POWER(Upgrades!$U$15,G314),1)*IF(Upgrades!$T$17="Roche Lobe Overflow",POWER(Upgrades!$U$17,I314),1)*IF(Upgrades!$T$18="Roche Lobe Overflow",POWER(Upgrades!$U$18,J314),1)*IF(Upgrades!$T$19="Roche Lobe Overflow",POWER(Upgrades!$U$19,K314),1)*IF(Upgrades!$T$20="Roche Lobe Overflow",POWER(Upgrades!$U$20,L314),1)*IF(Upgrades!$T$21="Roche Lobe Overflow",POWER(Upgrades!$U$21,M314),1))*POWER(Upgrades!$R$13,E314)*POWER(Upgrades!$R$14,F314)*POWER(Upgrades!$R$15,G314)*POWER(Upgrades!$R$16,H314)*POWER(Upgrades!$R$17,I314)*POWER(Upgrades!$R$18,J314)*POWER(Upgrades!$R$19,K314)*POWER(Upgrades!$R$20,L314)*POWER(Upgrades!$R$21,M314)*$H$6*O314*60</f>
        <v/>
      </c>
      <c r="AE314" s="27">
        <f>(IF(I314=0,0,(Upgrades!$G$17+I314*Upgrades!$H$17)*POWER(Upgrades!$I$17,I314)))*(IF(Upgrades!$T$13="Brown Dwarf",POWER(Upgrades!$U$13,E314),1)*IF(Upgrades!$T$14="Brown Dwarf",POWER(Upgrades!$U$14,F314),1)*IF(Upgrades!$T$15="Brown Dwarf",POWER(Upgrades!$U$15,G314),1)*IF(Upgrades!$T$16="Brown Dwarf",POWER(Upgrades!$U$16,H314),1)*IF(Upgrades!$T$18="Brown Dwarf",POWER(Upgrades!$U$18,J314),1)*IF(Upgrades!$T$19="Brown Dwarf",POWER(Upgrades!$U$19,K314),1)*IF(Upgrades!$T$20="Brown Dwarf",POWER(Upgrades!$U$20,L314),1)*IF(Upgrades!$T$21="Brown Dwarf",POWER(Upgrades!$U$21,M314),1))*POWER(Upgrades!$P$13,E314)*POWER(Upgrades!$P$14,F314)*POWER(Upgrades!$P$15,G314)*POWER(Upgrades!$P$16,H314)*POWER(Upgrades!$P$17,I314)*POWER(Upgrades!$P$18,J314)*POWER(Upgrades!$P$19,K314)*POWER(Upgrades!$P$20,L314)*POWER(Upgrades!$P$21,M314)*$F$6*60</f>
        <v/>
      </c>
      <c r="AF314" s="27" t="n">
        <v>0</v>
      </c>
      <c r="AG314" s="27" t="n">
        <v>0</v>
      </c>
      <c r="AH314" s="27" t="n">
        <v>0</v>
      </c>
      <c r="AI314" s="27">
        <f>(IF(M314=0,0,(Upgrades!$G$21+M314*Upgrades!$H$21)*POWER(Upgrades!$I$21,M314)))*(IF(Upgrades!$T$13="Moving Group",POWER(Upgrades!$U$13,E314),1)*IF(Upgrades!$T$14="Moving Group",POWER(Upgrades!$U$14,F314),1)*IF(Upgrades!$T$15="Moving Group",POWER(Upgrades!$U$15,G314),1)*IF(Upgrades!$T$16="Moving Group",POWER(Upgrades!$U$16,H314),1)*IF(Upgrades!$T$17="Moving Group",POWER(Upgrades!$U$17,I314),1)*IF(Upgrades!$T$18="Moving Group",POWER(Upgrades!$U$18,J314),1)*IF(Upgrades!$T$19="Moving Group",POWER(Upgrades!$U$19,K314),1)*IF(Upgrades!$T$20="Moving Group",POWER(Upgrades!$U$20,L314),1))*POWER(Upgrades!$P$13,E314)*POWER(Upgrades!$P$14,F314)*POWER(Upgrades!$P$15,G314)*POWER(Upgrades!$P$16,H314)*POWER(Upgrades!$P$17,I314)*POWER(Upgrades!$P$18,J314)*POWER(Upgrades!$P$19,K314)*POWER(Upgrades!$P$20,L314)*POWER(Upgrades!$P$21,M314)*$F$6*60</f>
        <v/>
      </c>
      <c r="AJ314" s="27">
        <f>$C$6*60</f>
        <v/>
      </c>
      <c r="AK314" s="22">
        <f>IF(E314&gt;=Upgrades!$E$13,"",Upgrades!$C$13*POWER(Upgrades!$D$13,E314))</f>
        <v/>
      </c>
      <c r="AL314" s="22">
        <f>IF(F314&gt;=Upgrades!$E$14,"",Upgrades!$C$14*POWER(Upgrades!$D$14,F314))</f>
        <v/>
      </c>
      <c r="AM314" s="22">
        <f>IF(G314&gt;=Upgrades!$E$15,"",Upgrades!$C$15*POWER(Upgrades!$D$15,G314))</f>
        <v/>
      </c>
      <c r="AN314" s="22">
        <f>IF(H314&gt;=Upgrades!$E$16,"",Upgrades!$C$16*POWER(Upgrades!$D$16,H314))</f>
        <v/>
      </c>
      <c r="AO314" s="22">
        <f>IF(I314&gt;=Upgrades!$E$17,"",Upgrades!$C$17*POWER(Upgrades!$D$17,I314))</f>
        <v/>
      </c>
      <c r="AP314" s="22">
        <f>IF(J314&gt;=Upgrades!$E$18,"",Upgrades!$C$18*POWER(Upgrades!$D$18,J314))</f>
        <v/>
      </c>
      <c r="AQ314" s="22">
        <f>IF(K314&gt;=Upgrades!$E$19,"",Upgrades!$C$19*POWER(Upgrades!$D$19,K314))</f>
        <v/>
      </c>
      <c r="AR314" s="22">
        <f>IF(L314&gt;=Upgrades!$E$20,"",Upgrades!$C$20*POWER(Upgrades!$D$20,L314))</f>
        <v/>
      </c>
      <c r="AS314" s="22">
        <f>IF(M314&gt;=Upgrades!$E$21,"",Upgrades!$C$21*POWER(Upgrades!$D$21,M314))</f>
        <v/>
      </c>
      <c r="AT314" s="26">
        <f>IF(AND(D314&gt;=Parameters!$B$18*Parameters!$B$19,(I314&gt;=Upgrades!$E$17)*(M314&gt;=Upgrades!$E$21)=1,N314=0),1,"")</f>
        <v/>
      </c>
      <c r="AU314" s="26">
        <f>IF(AND(D314&gt;=Parameters!$B$18*Parameters!$B$19,N314=0),1,"")</f>
        <v/>
      </c>
      <c r="AV314" s="22">
        <f>MIN(IF(ISNUMBER(AP314),AP314,9E15),IF(ISNUMBER(AQ314),AQ314,9E15),IF(ISNUMBER(AR314),AR314,9E15),IF(ISNUMBER(AS314),AS314,9E15))</f>
        <v/>
      </c>
      <c r="AW314" s="22">
        <f>MIN(IF(ISNUMBER(AK314),AK314,9E15),IF(ISNUMBER(AL314),AL314,9E15),IF(ISNUMBER(AM314),AM314,9E15),IF(ISNUMBER(AN314),AN314,9E15),IF(ISNUMBER(AO314),AO314,9E15))</f>
        <v/>
      </c>
      <c r="AX314" s="29">
        <f>IF(BD314&gt;Parameters!$B$21*(MAX(IF(AND(NOT(AND(AU314=1,AT314&lt;&gt;1)),ISNUMBER(AK314),AK314&lt;=(C314+T314)),AY314,0),IF(AND(NOT(AND(AU314=1,AT314&lt;&gt;1)),ISNUMBER(AL314),AL314&lt;=(C314+T314)),AZ314,0),IF(AND(NOT(AND(AU314=1,AT314&lt;&gt;1)),ISNUMBER(AM314),AM314&lt;=(C314+T314)),BA314,0),IF(AND(NOT(AND(AU314=1,AT314&lt;&gt;1)),ISNUMBER(AN314),AN314&lt;=(C314+T314)),BB314,0),IF(AND(ISNUMBER(AO314),AO314&lt;=(C314+T314)),BC314,0))),TRUE,FALSE)</f>
        <v/>
      </c>
      <c r="AY314" s="32">
        <f>IFERROR(Upgrades!$H$13*(POWER(Upgrades!$P$13,E314)*POWER(Upgrades!$P$14,F314)*POWER(Upgrades!$P$15,G314)*POWER(Upgrades!$P$16,H314)*POWER(Upgrades!$P$17,I314)*POWER(Upgrades!$P$18,J314)*POWER(Upgrades!$P$19,K314)*POWER(Upgrades!$P$20,L314)*POWER(Upgrades!$P$21,M314))*(IF(Upgrades!$T$14="Stellar Kinematics",POWER(Upgrades!$U$14,F314),1)*IF(Upgrades!$T$15="Stellar Kinematics",POWER(Upgrades!$U$15,G314),1)*IF(Upgrades!$T$16="Stellar Kinematics",POWER(Upgrades!$U$16,H314),1)*IF(Upgrades!$T$17="Stellar Kinematics",POWER(Upgrades!$U$17,I314),1)*IF(Upgrades!$T$18="Stellar Kinematics",POWER(Upgrades!$U$18,J314),1)*IF(Upgrades!$T$19="Stellar Kinematics",POWER(Upgrades!$U$19,K314),1)*IF(Upgrades!$T$20="Stellar Kinematics",POWER(Upgrades!$U$20,L314),1)*IF(Upgrades!$T$21="Stellar Kinematics",POWER(Upgrades!$U$21,M314),1))*$F$6/AK314,0)</f>
        <v/>
      </c>
      <c r="AZ314" s="32">
        <f>IFERROR(Upgrades!$H$14*(POWER(Upgrades!$P$13,E314)*POWER(Upgrades!$P$14,F314)*POWER(Upgrades!$P$15,G314)*POWER(Upgrades!$P$16,H314)*POWER(Upgrades!$P$17,I314)*POWER(Upgrades!$P$18,J314)*POWER(Upgrades!$P$19,K314)*POWER(Upgrades!$P$20,L314)*POWER(Upgrades!$P$21,M314))*(IF(Upgrades!$T$13="Local Bubble",POWER(Upgrades!$U$13,E314),1)*IF(Upgrades!$T$15="Local Bubble",POWER(Upgrades!$U$15,G314),1)*IF(Upgrades!$T$16="Local Bubble",POWER(Upgrades!$U$16,H314),1)*IF(Upgrades!$T$17="Local Bubble",POWER(Upgrades!$U$17,I314),1)*IF(Upgrades!$T$18="Local Bubble",POWER(Upgrades!$U$18,J314),1)*IF(Upgrades!$T$19="Local Bubble",POWER(Upgrades!$U$19,K314),1)*IF(Upgrades!$T$20="Local Bubble",POWER(Upgrades!$U$20,L314),1)*IF(Upgrades!$T$21="Local Bubble",POWER(Upgrades!$U$21,M314),1))*$F$6/AL314,0)</f>
        <v/>
      </c>
      <c r="BA314" s="32">
        <f>IFERROR(Upgrades!$K$15*(POWER(Upgrades!$Q$13,E314)*POWER(Upgrades!$Q$14,F314)*POWER(Upgrades!$Q$15,G314)*POWER(Upgrades!$Q$16,H314)*POWER(Upgrades!$Q$17,I314)*POWER(Upgrades!$Q$18,J314)*POWER(Upgrades!$Q$19,K314)*POWER(Upgrades!$Q$20,L314)*POWER(Upgrades!$Q$21,M314))*(IF(Upgrades!$T$13="Microlensing",POWER(Upgrades!$U$13,E314),1)*IF(Upgrades!$T$14="Microlensing",POWER(Upgrades!$U$14,F314),1)*IF(Upgrades!$T$16="Microlensing",POWER(Upgrades!$U$16,H314),1)*IF(Upgrades!$T$17="Microlensing",POWER(Upgrades!$U$17,I314),1)*IF(Upgrades!$T$18="Microlensing",POWER(Upgrades!$U$18,J314),1)*IF(Upgrades!$T$19="Microlensing",POWER(Upgrades!$U$19,K314),1)*IF(Upgrades!$T$20="Microlensing",POWER(Upgrades!$U$20,L314),1)*IF(Upgrades!$T$21="Microlensing",POWER(Upgrades!$U$21,M314),1))*$G$6*(Parameters!$B$10/60*Parameters!$B$11+Q314)/AM314,0)</f>
        <v/>
      </c>
      <c r="BB314" s="32">
        <f>IFERROR((Upgrades!$N$16*(POWER(Upgrades!$R$13,E314)*POWER(Upgrades!$R$14,F314)*POWER(Upgrades!$R$15,G314)*POWER(Upgrades!$R$16,H314)*POWER(Upgrades!$R$17,I314)*POWER(Upgrades!$R$18,J314)*POWER(Upgrades!$R$19,K314)*POWER(Upgrades!$R$20,L314)*POWER(Upgrades!$R$21,M314))*(IF(Upgrades!$T$13="Roche Lobe Overflow",POWER(Upgrades!$U$13,E314),1)*IF(Upgrades!$T$14="Roche Lobe Overflow",POWER(Upgrades!$U$14,F314),1)*IF(Upgrades!$T$15="Roche Lobe Overflow",POWER(Upgrades!$U$15,G314),1)*IF(Upgrades!$T$17="Roche Lobe Overflow",POWER(Upgrades!$U$17,I314),1)*IF(Upgrades!$T$18="Roche Lobe Overflow",POWER(Upgrades!$U$18,J314),1)*IF(Upgrades!$T$19="Roche Lobe Overflow",POWER(Upgrades!$U$19,K314),1)*IF(Upgrades!$T$20="Roche Lobe Overflow",POWER(Upgrades!$U$20,L314),1)*IF(Upgrades!$T$21="Roche Lobe Overflow",POWER(Upgrades!$U$21,M314),1))*$H$6*O314+((IF(F314=0,0,(Upgrades!$G$14+F314*Upgrades!$H$14)*POWER(Upgrades!$I$14,F314)))*(IF(Upgrades!$T$13="Local Bubble",POWER(Upgrades!$U$13,E314),1)*IF(Upgrades!$T$15="Local Bubble",POWER(Upgrades!$U$15,G314),1)*IF(Upgrades!$T$16="Local Bubble",POWER(Upgrades!$U$16,H314),1)*IF(Upgrades!$T$17="Local Bubble",POWER(Upgrades!$U$17,I314),1)*IF(Upgrades!$T$18="Local Bubble",POWER(Upgrades!$U$18,J314),1)*IF(Upgrades!$T$19="Local Bubble",POWER(Upgrades!$U$19,K314),1)*IF(Upgrades!$T$20="Local Bubble",POWER(Upgrades!$U$20,L314),1)*IF(Upgrades!$T$21="Local Bubble",POWER(Upgrades!$U$21,M314),1))*POWER(Upgrades!$P$13,E314)*POWER(Upgrades!$P$14,F314)*POWER(Upgrades!$P$15,G314)*POWER(Upgrades!$P$16,H314)*POWER(Upgrades!$P$17,I314)*POWER(Upgrades!$P$18,J314)*POWER(Upgrades!$P$19,K314)*POWER(Upgrades!$P$20,L314)*POWER(Upgrades!$P$21,M314)*$F$6)*0.05)/AN314,0)</f>
        <v/>
      </c>
      <c r="BC314" s="32">
        <f>IFERROR((Upgrades!$H$17*(POWER(Upgrades!$P$13,E314)*POWER(Upgrades!$P$14,F314)*POWER(Upgrades!$P$15,G314)*POWER(Upgrades!$P$16,H314)*POWER(Upgrades!$P$17,I314)*POWER(Upgrades!$P$18,J314)*POWER(Upgrades!$P$19,K314)*POWER(Upgrades!$P$20,L314)*POWER(Upgrades!$P$21,M314))*(IF(Upgrades!$T$13="Brown Dwarf",POWER(Upgrades!$U$13,E314),1)*IF(Upgrades!$T$14="Brown Dwarf",POWER(Upgrades!$U$14,F314),1)*IF(Upgrades!$T$15="Brown Dwarf",POWER(Upgrades!$U$15,G314),1)*IF(Upgrades!$T$16="Brown Dwarf",POWER(Upgrades!$U$16,H314),1)*IF(Upgrades!$T$18="Brown Dwarf",POWER(Upgrades!$U$18,J314),1)*IF(Upgrades!$T$19="Brown Dwarf",POWER(Upgrades!$U$19,K314),1)*IF(Upgrades!$T$20="Brown Dwarf",POWER(Upgrades!$U$20,L314),1)*IF(Upgrades!$T$21="Brown Dwarf",POWER(Upgrades!$U$21,M314),1))*$F$6+(((IF(H314=0,0,(Upgrades!$M$16+H314*Upgrades!$N$16)*POWER(Upgrades!$O$16,H314)))*(IF(Upgrades!$T$13="Roche Lobe Overflow",POWER(Upgrades!$U$13,E314),1)*IF(Upgrades!$T$14="Roche Lobe Overflow",POWER(Upgrades!$U$14,F314),1)*IF(Upgrades!$T$15="Roche Lobe Overflow",POWER(Upgrades!$U$15,G314),1)*IF(Upgrades!$T$17="Roche Lobe Overflow",POWER(Upgrades!$U$17,I314),1)*IF(Upgrades!$T$18="Roche Lobe Overflow",POWER(Upgrades!$U$18,J314),1)*IF(Upgrades!$T$19="Roche Lobe Overflow",POWER(Upgrades!$U$19,K314),1)*IF(Upgrades!$T$20="Roche Lobe Overflow",POWER(Upgrades!$U$20,L314),1)*IF(Upgrades!$T$21="Roche Lobe Overflow",POWER(Upgrades!$U$21,M314),1))*POWER(Upgrades!$R$13,E314)*POWER(Upgrades!$R$14,F314)*POWER(Upgrades!$R$15,G314)*POWER(Upgrades!$R$16,H314)*POWER(Upgrades!$R$17,I314)*POWER(Upgrades!$R$18,J314)*POWER(Upgrades!$R$19,K314)*POWER(Upgrades!$R$20,L314)*POWER(Upgrades!$R$21,M314)*$H$6)*O314)*0.10)/AO314,0)</f>
        <v/>
      </c>
      <c r="BD314" s="32">
        <f>MAX(IF(J314&gt;0,0,IFERROR(0.5*((IF(G314=0,0,(Upgrades!$J$15+G314*Upgrades!$K$15)*POWER(Upgrades!$L$15,G314)))*(IF(Upgrades!$T$13="Microlensing",POWER(Upgrades!$U$13,E314),1)*IF(Upgrades!$T$14="Microlensing",POWER(Upgrades!$U$14,F314),1)*IF(Upgrades!$T$16="Microlensing",POWER(Upgrades!$U$16,H314),1)*IF(Upgrades!$T$17="Microlensing",POWER(Upgrades!$U$17,I314),1)*IF(Upgrades!$T$18="Microlensing",POWER(Upgrades!$U$18,J314),1)*IF(Upgrades!$T$19="Microlensing",POWER(Upgrades!$U$19,K314),1)*IF(Upgrades!$T$20="Microlensing",POWER(Upgrades!$U$20,L314),1)*IF(Upgrades!$T$21="Microlensing",POWER(Upgrades!$U$21,M314),1))*(POWER(Upgrades!$Q$13,E314)*POWER(Upgrades!$Q$14,F314)*POWER(Upgrades!$Q$15,G314)*POWER(Upgrades!$Q$16,H314)*POWER(Upgrades!$Q$17,I314)*POWER(Upgrades!$Q$18,J314)*POWER(Upgrades!$Q$19,K314)*POWER(Upgrades!$Q$20,L314)*POWER(Upgrades!$Q$21,M314))*$G$6*(Parameters!$B$10/60*Parameters!$B$11+Q314))/Upgrades!$C$18,0)),IF(K314&gt;0,0,IFERROR(0.30*P314/Upgrades!$C$19,0)),IF(L314&gt;0,0,IFERROR(0.0001/Upgrades!$C$20,0)),IF(M314&gt;0,0,IFERROR((6.0*(POWER(Upgrades!$P$13,E314)*POWER(Upgrades!$P$14,F314)*POWER(Upgrades!$P$15,G314)*POWER(Upgrades!$P$16,H314)*POWER(Upgrades!$P$17,I314)*POWER(Upgrades!$P$18,J314)*POWER(Upgrades!$P$19,K314)*POWER(Upgrades!$P$20,L314)*POWER(Upgrades!$P$21,M314))*$F$6+0.20*O314*(Parameters!$B$10/60*Parameters!$B$11+Q314))/Upgrades!$C$21,0)),IF(AND(ISNUMBER(AK314),AK314&gt;(C314+T314)),AY314,0),IF(AND(ISNUMBER(AL314),AL314&gt;(C314+T314)),AZ314,0),IF(AND(ISNUMBER(AM314),AM314&gt;(C314+T314)),BA314,0),IF(AND(ISNUMBER(AN314),AN314&gt;(C314+T314)),BB314,0),IF(AND(ISNUMBER(AO314),AO314&gt;(C314+T314)),BC314,0))</f>
        <v/>
      </c>
      <c r="BE314" s="29">
        <f>IF(AT314=1,"transition",IF(MIN(IF(AND(J314=0,ISNUMBER(AP314),AP314&lt;=(C314+T314)),AP314,9E15),IF(AND(K314=0,ISNUMBER(AQ314),AQ314&lt;=(C314+T314)),AQ314,9E15),IF(AND(L314=0,ISNUMBER(AR314),AR314&lt;=(C314+T314)),AR314,9E15),IF(AND(M314=0,ISNUMBER(AS314),AS314&lt;=(C314+T314)),AS314,9E15))&lt;9E15,IF(AND(AND(J314=0,ISNUMBER(AP314),AP314&lt;=(C314+T314)),AP314=MIN(IF(AND(J314=0,ISNUMBER(AP314),AP314&lt;=(C314+T314)),AP314,9E15),IF(AND(K314=0,ISNUMBER(AQ314),AQ314&lt;=(C314+T314)),AQ314,9E15),IF(AND(L314=0,ISNUMBER(AR314),AR314&lt;=(C314+T314)),AR314,9E15),IF(AND(M314=0,ISNUMBER(AS314),AS314&lt;=(C314+T314)),AS314,9E15))),"BiP",IF(AND(AND(K314=0,ISNUMBER(AQ314),AQ314&lt;=(C314+T314)),AQ314=MIN(IF(AND(J314=0,ISNUMBER(AP314),AP314&lt;=(C314+T314)),AP314,9E15),IF(AND(K314=0,ISNUMBER(AQ314),AQ314&lt;=(C314+T314)),AQ314,9E15),IF(AND(L314=0,ISNUMBER(AR314),AR314&lt;=(C314+T314)),AR314,9E15),IF(AND(M314=0,ISNUMBER(AS314),AS314&lt;=(C314+T314)),AS314,9E15))),"PV",IF(AND(AND(L314=0,ISNUMBER(AR314),AR314&lt;=(C314+T314)),AR314=MIN(IF(AND(J314=0,ISNUMBER(AP314),AP314&lt;=(C314+T314)),AP314,9E15),IF(AND(K314=0,ISNUMBER(AQ314),AQ314&lt;=(C314+T314)),AQ314,9E15),IF(AND(L314=0,ISNUMBER(AR314),AR314&lt;=(C314+T314)),AR314,9E15),IF(AND(M314=0,ISNUMBER(AS314),AS314&lt;=(C314+T314)),AS314,9E15))),"OC","MG"))),IF(AX314=TRUE,"",IF(MAX(IF(AND(NOT(AND(AU314=1,AT314&lt;&gt;1)),ISNUMBER(AK314),AK314&lt;=(C314+T314)),AY314,0),IF(AND(NOT(AND(AU314=1,AT314&lt;&gt;1)),ISNUMBER(AL314),AL314&lt;=(C314+T314)),AZ314,0),IF(AND(NOT(AND(AU314=1,AT314&lt;&gt;1)),ISNUMBER(AM314),AM314&lt;=(C314+T314)),BA314,0),IF(AND(NOT(AND(AU314=1,AT314&lt;&gt;1)),ISNUMBER(AN314),AN314&lt;=(C314+T314)),BB314,0),IF(AND(ISNUMBER(AO314),AO314&lt;=(C314+T314)),BC314,0))&lt;=0,"",IF(AND(IF(AND(NOT(AND(AU314=1,AT314&lt;&gt;1)),ISNUMBER(AK314),AK314&lt;=(C314+T314)),AY314,0)&gt;0,IF(AND(NOT(AND(AU314=1,AT314&lt;&gt;1)),ISNUMBER(AK314),AK314&lt;=(C314+T314)),AY314,0)=MAX(IF(AND(NOT(AND(AU314=1,AT314&lt;&gt;1)),ISNUMBER(AK314),AK314&lt;=(C314+T314)),AY314,0),IF(AND(NOT(AND(AU314=1,AT314&lt;&gt;1)),ISNUMBER(AL314),AL314&lt;=(C314+T314)),AZ314,0),IF(AND(NOT(AND(AU314=1,AT314&lt;&gt;1)),ISNUMBER(AM314),AM314&lt;=(C314+T314)),BA314,0),IF(AND(NOT(AND(AU314=1,AT314&lt;&gt;1)),ISNUMBER(AN314),AN314&lt;=(C314+T314)),BB314,0),IF(AND(ISNUMBER(AO314),AO314&lt;=(C314+T314)),BC314,0))),"SK",IF(AND(IF(AND(NOT(AND(AU314=1,AT314&lt;&gt;1)),ISNUMBER(AL314),AL314&lt;=(C314+T314)),AZ314,0)&gt;0,IF(AND(NOT(AND(AU314=1,AT314&lt;&gt;1)),ISNUMBER(AL314),AL314&lt;=(C314+T314)),AZ314,0)=MAX(IF(AND(NOT(AND(AU314=1,AT314&lt;&gt;1)),ISNUMBER(AK314),AK314&lt;=(C314+T314)),AY314,0),IF(AND(NOT(AND(AU314=1,AT314&lt;&gt;1)),ISNUMBER(AL314),AL314&lt;=(C314+T314)),AZ314,0),IF(AND(NOT(AND(AU314=1,AT314&lt;&gt;1)),ISNUMBER(AM314),AM314&lt;=(C314+T314)),BA314,0),IF(AND(NOT(AND(AU314=1,AT314&lt;&gt;1)),ISNUMBER(AN314),AN314&lt;=(C314+T314)),BB314,0),IF(AND(ISNUMBER(AO314),AO314&lt;=(C314+T314)),BC314,0))),"LB",IF(AND(IF(AND(NOT(AND(AU314=1,AT314&lt;&gt;1)),ISNUMBER(AM314),AM314&lt;=(C314+T314)),BA314,0)&gt;0,IF(AND(NOT(AND(AU314=1,AT314&lt;&gt;1)),ISNUMBER(AM314),AM314&lt;=(C314+T314)),BA314,0)=MAX(IF(AND(NOT(AND(AU314=1,AT314&lt;&gt;1)),ISNUMBER(AK314),AK314&lt;=(C314+T314)),AY314,0),IF(AND(NOT(AND(AU314=1,AT314&lt;&gt;1)),ISNUMBER(AL314),AL314&lt;=(C314+T314)),AZ314,0),IF(AND(NOT(AND(AU314=1,AT314&lt;&gt;1)),ISNUMBER(AM314),AM314&lt;=(C314+T314)),BA314,0),IF(AND(NOT(AND(AU314=1,AT314&lt;&gt;1)),ISNUMBER(AN314),AN314&lt;=(C314+T314)),BB314,0),IF(AND(ISNUMBER(AO314),AO314&lt;=(C314+T314)),BC314,0))),"ML",IF(AND(IF(AND(NOT(AND(AU314=1,AT314&lt;&gt;1)),ISNUMBER(AN314),AN314&lt;=(C314+T314)),BB314,0)&gt;0,IF(AND(NOT(AND(AU314=1,AT314&lt;&gt;1)),ISNUMBER(AN314),AN314&lt;=(C314+T314)),BB314,0)=MAX(IF(AND(NOT(AND(AU314=1,AT314&lt;&gt;1)),ISNUMBER(AK314),AK314&lt;=(C314+T314)),AY314,0),IF(AND(NOT(AND(AU314=1,AT314&lt;&gt;1)),ISNUMBER(AL314),AL314&lt;=(C314+T314)),AZ314,0),IF(AND(NOT(AND(AU314=1,AT314&lt;&gt;1)),ISNUMBER(AM314),AM314&lt;=(C314+T314)),BA314,0),IF(AND(NOT(AND(AU314=1,AT314&lt;&gt;1)),ISNUMBER(AN314),AN314&lt;=(C314+T314)),BB314,0),IF(AND(ISNUMBER(AO314),AO314&lt;=(C314+T314)),BC314,0))),"RLO","BD"))))))))</f>
        <v/>
      </c>
    </row>
    <row r="315">
      <c r="A315" s="26" t="n">
        <v>304</v>
      </c>
      <c r="B315" s="27">
        <f>A315*10/60</f>
        <v/>
      </c>
      <c r="C315" s="22">
        <f>X314</f>
        <v/>
      </c>
      <c r="D315" s="27">
        <f>D314+W314</f>
        <v/>
      </c>
      <c r="E315" s="26">
        <f>E314+IF(U314="SK",1,0)</f>
        <v/>
      </c>
      <c r="F315" s="26">
        <f>F314+IF(U314="LB",1,0)</f>
        <v/>
      </c>
      <c r="G315" s="26">
        <f>G314+IF(U314="ML",1,0)</f>
        <v/>
      </c>
      <c r="H315" s="26">
        <f>H314+IF(U314="RLO",1,0)</f>
        <v/>
      </c>
      <c r="I315" s="26">
        <f>I314+IF(U314="BD",1,0)</f>
        <v/>
      </c>
      <c r="J315" s="26">
        <f>MAX(J314,IF(U314="BiP",1,0))</f>
        <v/>
      </c>
      <c r="K315" s="26">
        <f>MAX(K314,IF(U314="PV",1,0))</f>
        <v/>
      </c>
      <c r="L315" s="26">
        <f>MAX(L314,IF(U314="OC",1,0))</f>
        <v/>
      </c>
      <c r="M315" s="26">
        <f>MAX(M314,IF(U314="MG",1,0))</f>
        <v/>
      </c>
      <c r="N315" s="26">
        <f>MAX(N314,IF(U314="transition",1,0))</f>
        <v/>
      </c>
      <c r="O315" s="28">
        <f>(Parameters!$B$9+(IF(E315=0,0,(Upgrades!$J$13+E315*Upgrades!$K$13)*POWER(Upgrades!$L$13,E315)))*(IF(Upgrades!$T$14="Stellar Kinematics",POWER(Upgrades!$U$14,F315),1)*IF(Upgrades!$T$15="Stellar Kinematics",POWER(Upgrades!$U$15,G315),1)*IF(Upgrades!$T$16="Stellar Kinematics",POWER(Upgrades!$U$16,H315),1)*IF(Upgrades!$T$17="Stellar Kinematics",POWER(Upgrades!$U$17,I315),1)*IF(Upgrades!$T$18="Stellar Kinematics",POWER(Upgrades!$U$18,J315),1)*IF(Upgrades!$T$19="Stellar Kinematics",POWER(Upgrades!$U$19,K315),1)*IF(Upgrades!$T$20="Stellar Kinematics",POWER(Upgrades!$U$20,L315),1)*IF(Upgrades!$T$21="Stellar Kinematics",POWER(Upgrades!$U$21,M315),1))+(IF(F315=0,0,(Upgrades!$J$14+F315*Upgrades!$K$14)*POWER(Upgrades!$L$14,F315)))*(IF(Upgrades!$T$13="Local Bubble",POWER(Upgrades!$U$13,E315),1)*IF(Upgrades!$T$15="Local Bubble",POWER(Upgrades!$U$15,G315),1)*IF(Upgrades!$T$16="Local Bubble",POWER(Upgrades!$U$16,H315),1)*IF(Upgrades!$T$17="Local Bubble",POWER(Upgrades!$U$17,I315),1)*IF(Upgrades!$T$18="Local Bubble",POWER(Upgrades!$U$18,J315),1)*IF(Upgrades!$T$19="Local Bubble",POWER(Upgrades!$U$19,K315),1)*IF(Upgrades!$T$20="Local Bubble",POWER(Upgrades!$U$20,L315),1)*IF(Upgrades!$T$21="Local Bubble",POWER(Upgrades!$U$21,M315),1))+(IF(G315=0,0,(Upgrades!$J$15+G315*Upgrades!$K$15)*POWER(Upgrades!$L$15,G315)))*(IF(Upgrades!$T$13="Microlensing",POWER(Upgrades!$U$13,E315),1)*IF(Upgrades!$T$14="Microlensing",POWER(Upgrades!$U$14,F315),1)*IF(Upgrades!$T$16="Microlensing",POWER(Upgrades!$U$16,H315),1)*IF(Upgrades!$T$17="Microlensing",POWER(Upgrades!$U$17,I315),1)*IF(Upgrades!$T$18="Microlensing",POWER(Upgrades!$U$18,J315),1)*IF(Upgrades!$T$19="Microlensing",POWER(Upgrades!$U$19,K315),1)*IF(Upgrades!$T$20="Microlensing",POWER(Upgrades!$U$20,L315),1)*IF(Upgrades!$T$21="Microlensing",POWER(Upgrades!$U$21,M315),1))+(IF(H315=0,0,(Upgrades!$J$16+H315*Upgrades!$K$16)*POWER(Upgrades!$L$16,H315)))*(IF(Upgrades!$T$13="Roche Lobe Overflow",POWER(Upgrades!$U$13,E315),1)*IF(Upgrades!$T$14="Roche Lobe Overflow",POWER(Upgrades!$U$14,F315),1)*IF(Upgrades!$T$15="Roche Lobe Overflow",POWER(Upgrades!$U$15,G315),1)*IF(Upgrades!$T$17="Roche Lobe Overflow",POWER(Upgrades!$U$17,I315),1)*IF(Upgrades!$T$18="Roche Lobe Overflow",POWER(Upgrades!$U$18,J315),1)*IF(Upgrades!$T$19="Roche Lobe Overflow",POWER(Upgrades!$U$19,K315),1)*IF(Upgrades!$T$20="Roche Lobe Overflow",POWER(Upgrades!$U$20,L315),1)*IF(Upgrades!$T$21="Roche Lobe Overflow",POWER(Upgrades!$U$21,M315),1))+(IF(I315=0,0,(Upgrades!$J$17+I315*Upgrades!$K$17)*POWER(Upgrades!$L$17,I315)))*(IF(Upgrades!$T$13="Brown Dwarf",POWER(Upgrades!$U$13,E315),1)*IF(Upgrades!$T$14="Brown Dwarf",POWER(Upgrades!$U$14,F315),1)*IF(Upgrades!$T$15="Brown Dwarf",POWER(Upgrades!$U$15,G315),1)*IF(Upgrades!$T$16="Brown Dwarf",POWER(Upgrades!$U$16,H315),1)*IF(Upgrades!$T$18="Brown Dwarf",POWER(Upgrades!$U$18,J315),1)*IF(Upgrades!$T$19="Brown Dwarf",POWER(Upgrades!$U$19,K315),1)*IF(Upgrades!$T$20="Brown Dwarf",POWER(Upgrades!$U$20,L315),1)*IF(Upgrades!$T$21="Brown Dwarf",POWER(Upgrades!$U$21,M315),1))+(IF(J315=0,0,(Upgrades!$J$18+J315*Upgrades!$K$18)*POWER(Upgrades!$L$18,J315)))*(IF(Upgrades!$T$13="Binary Partner",POWER(Upgrades!$U$13,E315),1)*IF(Upgrades!$T$14="Binary Partner",POWER(Upgrades!$U$14,F315),1)*IF(Upgrades!$T$15="Binary Partner",POWER(Upgrades!$U$15,G315),1)*IF(Upgrades!$T$16="Binary Partner",POWER(Upgrades!$U$16,H315),1)*IF(Upgrades!$T$17="Binary Partner",POWER(Upgrades!$U$17,I315),1)*IF(Upgrades!$T$19="Binary Partner",POWER(Upgrades!$U$19,K315),1)*IF(Upgrades!$T$20="Binary Partner",POWER(Upgrades!$U$20,L315),1)*IF(Upgrades!$T$21="Binary Partner",POWER(Upgrades!$U$21,M315),1))+(IF(K315=0,0,(Upgrades!$J$19+K315*Upgrades!$K$19)*POWER(Upgrades!$L$19,K315)))*(IF(Upgrades!$T$13="Peculiar Velocity",POWER(Upgrades!$U$13,E315),1)*IF(Upgrades!$T$14="Peculiar Velocity",POWER(Upgrades!$U$14,F315),1)*IF(Upgrades!$T$15="Peculiar Velocity",POWER(Upgrades!$U$15,G315),1)*IF(Upgrades!$T$16="Peculiar Velocity",POWER(Upgrades!$U$16,H315),1)*IF(Upgrades!$T$17="Peculiar Velocity",POWER(Upgrades!$U$17,I315),1)*IF(Upgrades!$T$18="Peculiar Velocity",POWER(Upgrades!$U$18,J315),1)*IF(Upgrades!$T$20="Peculiar Velocity",POWER(Upgrades!$U$20,L315),1)*IF(Upgrades!$T$21="Peculiar Velocity",POWER(Upgrades!$U$21,M315),1))+(IF(L315=0,0,(Upgrades!$J$20+L315*Upgrades!$K$20)*POWER(Upgrades!$L$20,L315)))*(IF(Upgrades!$T$13="Open Cluster",POWER(Upgrades!$U$13,E315),1)*IF(Upgrades!$T$14="Open Cluster",POWER(Upgrades!$U$14,F315),1)*IF(Upgrades!$T$15="Open Cluster",POWER(Upgrades!$U$15,G315),1)*IF(Upgrades!$T$16="Open Cluster",POWER(Upgrades!$U$16,H315),1)*IF(Upgrades!$T$17="Open Cluster",POWER(Upgrades!$U$17,I315),1)*IF(Upgrades!$T$18="Open Cluster",POWER(Upgrades!$U$18,J315),1)*IF(Upgrades!$T$19="Open Cluster",POWER(Upgrades!$U$19,K315),1)*IF(Upgrades!$T$21="Open Cluster",POWER(Upgrades!$U$21,M315),1))+(IF(M315=0,0,(Upgrades!$J$21+M315*Upgrades!$K$21)*POWER(Upgrades!$L$21,M315)))*(IF(Upgrades!$T$13="Moving Group",POWER(Upgrades!$U$13,E315),1)*IF(Upgrades!$T$14="Moving Group",POWER(Upgrades!$U$14,F315),1)*IF(Upgrades!$T$15="Moving Group",POWER(Upgrades!$U$15,G315),1)*IF(Upgrades!$T$16="Moving Group",POWER(Upgrades!$U$16,H315),1)*IF(Upgrades!$T$17="Moving Group",POWER(Upgrades!$U$17,I315),1)*IF(Upgrades!$T$18="Moving Group",POWER(Upgrades!$U$18,J315),1)*IF(Upgrades!$T$19="Moving Group",POWER(Upgrades!$U$19,K315),1)*IF(Upgrades!$T$20="Moving Group",POWER(Upgrades!$U$20,L315),1)))*POWER(Upgrades!$Q$13,E315)*POWER(Upgrades!$Q$14,F315)*POWER(Upgrades!$Q$15,G315)*POWER(Upgrades!$Q$16,H315)*POWER(Upgrades!$Q$17,I315)*POWER(Upgrades!$Q$18,J315)*POWER(Upgrades!$Q$19,K315)*POWER(Upgrades!$Q$20,L315)*POWER(Upgrades!$Q$21,M315)*$G$6+$D$6</f>
        <v/>
      </c>
      <c r="P315" s="28">
        <f>((IF(E315=0,0,(Upgrades!$G$13+E315*Upgrades!$H$13)*POWER(Upgrades!$I$13,E315)))*(IF(Upgrades!$T$14="Stellar Kinematics",POWER(Upgrades!$U$14,F315),1)*IF(Upgrades!$T$15="Stellar Kinematics",POWER(Upgrades!$U$15,G315),1)*IF(Upgrades!$T$16="Stellar Kinematics",POWER(Upgrades!$U$16,H315),1)*IF(Upgrades!$T$17="Stellar Kinematics",POWER(Upgrades!$U$17,I315),1)*IF(Upgrades!$T$18="Stellar Kinematics",POWER(Upgrades!$U$18,J315),1)*IF(Upgrades!$T$19="Stellar Kinematics",POWER(Upgrades!$U$19,K315),1)*IF(Upgrades!$T$20="Stellar Kinematics",POWER(Upgrades!$U$20,L315),1)*IF(Upgrades!$T$21="Stellar Kinematics",POWER(Upgrades!$U$21,M315),1))+(IF(F315=0,0,(Upgrades!$G$14+F315*Upgrades!$H$14)*POWER(Upgrades!$I$14,F315)))*(IF(Upgrades!$T$13="Local Bubble",POWER(Upgrades!$U$13,E315),1)*IF(Upgrades!$T$15="Local Bubble",POWER(Upgrades!$U$15,G315),1)*IF(Upgrades!$T$16="Local Bubble",POWER(Upgrades!$U$16,H315),1)*IF(Upgrades!$T$17="Local Bubble",POWER(Upgrades!$U$17,I315),1)*IF(Upgrades!$T$18="Local Bubble",POWER(Upgrades!$U$18,J315),1)*IF(Upgrades!$T$19="Local Bubble",POWER(Upgrades!$U$19,K315),1)*IF(Upgrades!$T$20="Local Bubble",POWER(Upgrades!$U$20,L315),1)*IF(Upgrades!$T$21="Local Bubble",POWER(Upgrades!$U$21,M315),1))+(IF(G315=0,0,(Upgrades!$G$15+G315*Upgrades!$H$15)*POWER(Upgrades!$I$15,G315)))*(IF(Upgrades!$T$13="Microlensing",POWER(Upgrades!$U$13,E315),1)*IF(Upgrades!$T$14="Microlensing",POWER(Upgrades!$U$14,F315),1)*IF(Upgrades!$T$16="Microlensing",POWER(Upgrades!$U$16,H315),1)*IF(Upgrades!$T$17="Microlensing",POWER(Upgrades!$U$17,I315),1)*IF(Upgrades!$T$18="Microlensing",POWER(Upgrades!$U$18,J315),1)*IF(Upgrades!$T$19="Microlensing",POWER(Upgrades!$U$19,K315),1)*IF(Upgrades!$T$20="Microlensing",POWER(Upgrades!$U$20,L315),1)*IF(Upgrades!$T$21="Microlensing",POWER(Upgrades!$U$21,M315),1))+(IF(H315=0,0,(Upgrades!$G$16+H315*Upgrades!$H$16)*POWER(Upgrades!$I$16,H315)))*(IF(Upgrades!$T$13="Roche Lobe Overflow",POWER(Upgrades!$U$13,E315),1)*IF(Upgrades!$T$14="Roche Lobe Overflow",POWER(Upgrades!$U$14,F315),1)*IF(Upgrades!$T$15="Roche Lobe Overflow",POWER(Upgrades!$U$15,G315),1)*IF(Upgrades!$T$17="Roche Lobe Overflow",POWER(Upgrades!$U$17,I315),1)*IF(Upgrades!$T$18="Roche Lobe Overflow",POWER(Upgrades!$U$18,J315),1)*IF(Upgrades!$T$19="Roche Lobe Overflow",POWER(Upgrades!$U$19,K315),1)*IF(Upgrades!$T$20="Roche Lobe Overflow",POWER(Upgrades!$U$20,L315),1)*IF(Upgrades!$T$21="Roche Lobe Overflow",POWER(Upgrades!$U$21,M315),1))+(IF(I315=0,0,(Upgrades!$G$17+I315*Upgrades!$H$17)*POWER(Upgrades!$I$17,I315)))*(IF(Upgrades!$T$13="Brown Dwarf",POWER(Upgrades!$U$13,E315),1)*IF(Upgrades!$T$14="Brown Dwarf",POWER(Upgrades!$U$14,F315),1)*IF(Upgrades!$T$15="Brown Dwarf",POWER(Upgrades!$U$15,G315),1)*IF(Upgrades!$T$16="Brown Dwarf",POWER(Upgrades!$U$16,H315),1)*IF(Upgrades!$T$18="Brown Dwarf",POWER(Upgrades!$U$18,J315),1)*IF(Upgrades!$T$19="Brown Dwarf",POWER(Upgrades!$U$19,K315),1)*IF(Upgrades!$T$20="Brown Dwarf",POWER(Upgrades!$U$20,L315),1)*IF(Upgrades!$T$21="Brown Dwarf",POWER(Upgrades!$U$21,M315),1))+(IF(J315=0,0,(Upgrades!$G$18+J315*Upgrades!$H$18)*POWER(Upgrades!$I$18,J315)))*(IF(Upgrades!$T$13="Binary Partner",POWER(Upgrades!$U$13,E315),1)*IF(Upgrades!$T$14="Binary Partner",POWER(Upgrades!$U$14,F315),1)*IF(Upgrades!$T$15="Binary Partner",POWER(Upgrades!$U$15,G315),1)*IF(Upgrades!$T$16="Binary Partner",POWER(Upgrades!$U$16,H315),1)*IF(Upgrades!$T$17="Binary Partner",POWER(Upgrades!$U$17,I315),1)*IF(Upgrades!$T$19="Binary Partner",POWER(Upgrades!$U$19,K315),1)*IF(Upgrades!$T$20="Binary Partner",POWER(Upgrades!$U$20,L315),1)*IF(Upgrades!$T$21="Binary Partner",POWER(Upgrades!$U$21,M315),1))+(IF(K315=0,0,(Upgrades!$G$19+K315*Upgrades!$H$19)*POWER(Upgrades!$I$19,K315)))*(IF(Upgrades!$T$13="Peculiar Velocity",POWER(Upgrades!$U$13,E315),1)*IF(Upgrades!$T$14="Peculiar Velocity",POWER(Upgrades!$U$14,F315),1)*IF(Upgrades!$T$15="Peculiar Velocity",POWER(Upgrades!$U$15,G315),1)*IF(Upgrades!$T$16="Peculiar Velocity",POWER(Upgrades!$U$16,H315),1)*IF(Upgrades!$T$17="Peculiar Velocity",POWER(Upgrades!$U$17,I315),1)*IF(Upgrades!$T$18="Peculiar Velocity",POWER(Upgrades!$U$18,J315),1)*IF(Upgrades!$T$20="Peculiar Velocity",POWER(Upgrades!$U$20,L315),1)*IF(Upgrades!$T$21="Peculiar Velocity",POWER(Upgrades!$U$21,M315),1))+(IF(L315=0,0,(Upgrades!$G$20+L315*Upgrades!$H$20)*POWER(Upgrades!$I$20,L315)))*(IF(Upgrades!$T$13="Open Cluster",POWER(Upgrades!$U$13,E315),1)*IF(Upgrades!$T$14="Open Cluster",POWER(Upgrades!$U$14,F315),1)*IF(Upgrades!$T$15="Open Cluster",POWER(Upgrades!$U$15,G315),1)*IF(Upgrades!$T$16="Open Cluster",POWER(Upgrades!$U$16,H315),1)*IF(Upgrades!$T$17="Open Cluster",POWER(Upgrades!$U$17,I315),1)*IF(Upgrades!$T$18="Open Cluster",POWER(Upgrades!$U$18,J315),1)*IF(Upgrades!$T$19="Open Cluster",POWER(Upgrades!$U$19,K315),1)*IF(Upgrades!$T$21="Open Cluster",POWER(Upgrades!$U$21,M315),1))+(IF(M315=0,0,(Upgrades!$G$21+M315*Upgrades!$H$21)*POWER(Upgrades!$I$21,M315)))*(IF(Upgrades!$T$13="Moving Group",POWER(Upgrades!$U$13,E315),1)*IF(Upgrades!$T$14="Moving Group",POWER(Upgrades!$U$14,F315),1)*IF(Upgrades!$T$15="Moving Group",POWER(Upgrades!$U$15,G315),1)*IF(Upgrades!$T$16="Moving Group",POWER(Upgrades!$U$16,H315),1)*IF(Upgrades!$T$17="Moving Group",POWER(Upgrades!$U$17,I315),1)*IF(Upgrades!$T$18="Moving Group",POWER(Upgrades!$U$18,J315),1)*IF(Upgrades!$T$19="Moving Group",POWER(Upgrades!$U$19,K315),1)*IF(Upgrades!$T$20="Moving Group",POWER(Upgrades!$U$20,L315),1)))*POWER(Upgrades!$P$13,E315)*POWER(Upgrades!$P$14,F315)*POWER(Upgrades!$P$15,G315)*POWER(Upgrades!$P$16,H315)*POWER(Upgrades!$P$17,I315)*POWER(Upgrades!$P$18,J315)*POWER(Upgrades!$P$19,K315)*POWER(Upgrades!$P$20,L315)*POWER(Upgrades!$P$21,M315)*$F$6+$C$6</f>
        <v/>
      </c>
      <c r="Q315" s="28">
        <f>((IF(E315=0,0,(Upgrades!$M$13+E315*Upgrades!$N$13)*POWER(Upgrades!$O$13,E315)))*(IF(Upgrades!$T$14="Stellar Kinematics",POWER(Upgrades!$U$14,F315),1)*IF(Upgrades!$T$15="Stellar Kinematics",POWER(Upgrades!$U$15,G315),1)*IF(Upgrades!$T$16="Stellar Kinematics",POWER(Upgrades!$U$16,H315),1)*IF(Upgrades!$T$17="Stellar Kinematics",POWER(Upgrades!$U$17,I315),1)*IF(Upgrades!$T$18="Stellar Kinematics",POWER(Upgrades!$U$18,J315),1)*IF(Upgrades!$T$19="Stellar Kinematics",POWER(Upgrades!$U$19,K315),1)*IF(Upgrades!$T$20="Stellar Kinematics",POWER(Upgrades!$U$20,L315),1)*IF(Upgrades!$T$21="Stellar Kinematics",POWER(Upgrades!$U$21,M315),1))+(IF(F315=0,0,(Upgrades!$M$14+F315*Upgrades!$N$14)*POWER(Upgrades!$O$14,F315)))*(IF(Upgrades!$T$13="Local Bubble",POWER(Upgrades!$U$13,E315),1)*IF(Upgrades!$T$15="Local Bubble",POWER(Upgrades!$U$15,G315),1)*IF(Upgrades!$T$16="Local Bubble",POWER(Upgrades!$U$16,H315),1)*IF(Upgrades!$T$17="Local Bubble",POWER(Upgrades!$U$17,I315),1)*IF(Upgrades!$T$18="Local Bubble",POWER(Upgrades!$U$18,J315),1)*IF(Upgrades!$T$19="Local Bubble",POWER(Upgrades!$U$19,K315),1)*IF(Upgrades!$T$20="Local Bubble",POWER(Upgrades!$U$20,L315),1)*IF(Upgrades!$T$21="Local Bubble",POWER(Upgrades!$U$21,M315),1))+(IF(G315=0,0,(Upgrades!$M$15+G315*Upgrades!$N$15)*POWER(Upgrades!$O$15,G315)))*(IF(Upgrades!$T$13="Microlensing",POWER(Upgrades!$U$13,E315),1)*IF(Upgrades!$T$14="Microlensing",POWER(Upgrades!$U$14,F315),1)*IF(Upgrades!$T$16="Microlensing",POWER(Upgrades!$U$16,H315),1)*IF(Upgrades!$T$17="Microlensing",POWER(Upgrades!$U$17,I315),1)*IF(Upgrades!$T$18="Microlensing",POWER(Upgrades!$U$18,J315),1)*IF(Upgrades!$T$19="Microlensing",POWER(Upgrades!$U$19,K315),1)*IF(Upgrades!$T$20="Microlensing",POWER(Upgrades!$U$20,L315),1)*IF(Upgrades!$T$21="Microlensing",POWER(Upgrades!$U$21,M315),1))+(IF(H315=0,0,(Upgrades!$M$16+H315*Upgrades!$N$16)*POWER(Upgrades!$O$16,H315)))*(IF(Upgrades!$T$13="Roche Lobe Overflow",POWER(Upgrades!$U$13,E315),1)*IF(Upgrades!$T$14="Roche Lobe Overflow",POWER(Upgrades!$U$14,F315),1)*IF(Upgrades!$T$15="Roche Lobe Overflow",POWER(Upgrades!$U$15,G315),1)*IF(Upgrades!$T$17="Roche Lobe Overflow",POWER(Upgrades!$U$17,I315),1)*IF(Upgrades!$T$18="Roche Lobe Overflow",POWER(Upgrades!$U$18,J315),1)*IF(Upgrades!$T$19="Roche Lobe Overflow",POWER(Upgrades!$U$19,K315),1)*IF(Upgrades!$T$20="Roche Lobe Overflow",POWER(Upgrades!$U$20,L315),1)*IF(Upgrades!$T$21="Roche Lobe Overflow",POWER(Upgrades!$U$21,M315),1))+(IF(I315=0,0,(Upgrades!$M$17+I315*Upgrades!$N$17)*POWER(Upgrades!$O$17,I315)))*(IF(Upgrades!$T$13="Brown Dwarf",POWER(Upgrades!$U$13,E315),1)*IF(Upgrades!$T$14="Brown Dwarf",POWER(Upgrades!$U$14,F315),1)*IF(Upgrades!$T$15="Brown Dwarf",POWER(Upgrades!$U$15,G315),1)*IF(Upgrades!$T$16="Brown Dwarf",POWER(Upgrades!$U$16,H315),1)*IF(Upgrades!$T$18="Brown Dwarf",POWER(Upgrades!$U$18,J315),1)*IF(Upgrades!$T$19="Brown Dwarf",POWER(Upgrades!$U$19,K315),1)*IF(Upgrades!$T$20="Brown Dwarf",POWER(Upgrades!$U$20,L315),1)*IF(Upgrades!$T$21="Brown Dwarf",POWER(Upgrades!$U$21,M315),1))+(IF(J315=0,0,(Upgrades!$M$18+J315*Upgrades!$N$18)*POWER(Upgrades!$O$18,J315)))*(IF(Upgrades!$T$13="Binary Partner",POWER(Upgrades!$U$13,E315),1)*IF(Upgrades!$T$14="Binary Partner",POWER(Upgrades!$U$14,F315),1)*IF(Upgrades!$T$15="Binary Partner",POWER(Upgrades!$U$15,G315),1)*IF(Upgrades!$T$16="Binary Partner",POWER(Upgrades!$U$16,H315),1)*IF(Upgrades!$T$17="Binary Partner",POWER(Upgrades!$U$17,I315),1)*IF(Upgrades!$T$19="Binary Partner",POWER(Upgrades!$U$19,K315),1)*IF(Upgrades!$T$20="Binary Partner",POWER(Upgrades!$U$20,L315),1)*IF(Upgrades!$T$21="Binary Partner",POWER(Upgrades!$U$21,M315),1))+(IF(K315=0,0,(Upgrades!$M$19+K315*Upgrades!$N$19)*POWER(Upgrades!$O$19,K315)))*(IF(Upgrades!$T$13="Peculiar Velocity",POWER(Upgrades!$U$13,E315),1)*IF(Upgrades!$T$14="Peculiar Velocity",POWER(Upgrades!$U$14,F315),1)*IF(Upgrades!$T$15="Peculiar Velocity",POWER(Upgrades!$U$15,G315),1)*IF(Upgrades!$T$16="Peculiar Velocity",POWER(Upgrades!$U$16,H315),1)*IF(Upgrades!$T$17="Peculiar Velocity",POWER(Upgrades!$U$17,I315),1)*IF(Upgrades!$T$18="Peculiar Velocity",POWER(Upgrades!$U$18,J315),1)*IF(Upgrades!$T$20="Peculiar Velocity",POWER(Upgrades!$U$20,L315),1)*IF(Upgrades!$T$21="Peculiar Velocity",POWER(Upgrades!$U$21,M315),1))+(IF(L315=0,0,(Upgrades!$M$20+L315*Upgrades!$N$20)*POWER(Upgrades!$O$20,L315)))*(IF(Upgrades!$T$13="Open Cluster",POWER(Upgrades!$U$13,E315),1)*IF(Upgrades!$T$14="Open Cluster",POWER(Upgrades!$U$14,F315),1)*IF(Upgrades!$T$15="Open Cluster",POWER(Upgrades!$U$15,G315),1)*IF(Upgrades!$T$16="Open Cluster",POWER(Upgrades!$U$16,H315),1)*IF(Upgrades!$T$17="Open Cluster",POWER(Upgrades!$U$17,I315),1)*IF(Upgrades!$T$18="Open Cluster",POWER(Upgrades!$U$18,J315),1)*IF(Upgrades!$T$19="Open Cluster",POWER(Upgrades!$U$19,K315),1)*IF(Upgrades!$T$21="Open Cluster",POWER(Upgrades!$U$21,M315),1))+(IF(M315=0,0,(Upgrades!$M$21+M315*Upgrades!$N$21)*POWER(Upgrades!$O$21,M315)))*(IF(Upgrades!$T$13="Moving Group",POWER(Upgrades!$U$13,E315),1)*IF(Upgrades!$T$14="Moving Group",POWER(Upgrades!$U$14,F315),1)*IF(Upgrades!$T$15="Moving Group",POWER(Upgrades!$U$15,G315),1)*IF(Upgrades!$T$16="Moving Group",POWER(Upgrades!$U$16,H315),1)*IF(Upgrades!$T$17="Moving Group",POWER(Upgrades!$U$17,I315),1)*IF(Upgrades!$T$18="Moving Group",POWER(Upgrades!$U$18,J315),1)*IF(Upgrades!$T$19="Moving Group",POWER(Upgrades!$U$19,K315),1)*IF(Upgrades!$T$20="Moving Group",POWER(Upgrades!$U$20,L315),1)))*POWER(Upgrades!$R$13,E315)*POWER(Upgrades!$R$14,F315)*POWER(Upgrades!$R$15,G315)*POWER(Upgrades!$R$16,H315)*POWER(Upgrades!$R$17,I315)*POWER(Upgrades!$R$18,J315)*POWER(Upgrades!$R$19,K315)*POWER(Upgrades!$R$20,L315)*POWER(Upgrades!$R$21,M315)*$H$6+$E$6</f>
        <v/>
      </c>
      <c r="R315" s="27">
        <f>IF(N315=1,0,O315*Parameters!$B$10/60*Parameters!$B$11*10)</f>
        <v/>
      </c>
      <c r="S315" s="27">
        <f>IF(N315=1,0,Q315*O315*10)</f>
        <v/>
      </c>
      <c r="T315" s="27">
        <f>IF(N315=1,0,R315+S315+P315*10)</f>
        <v/>
      </c>
      <c r="U315" s="33">
        <f>BE315</f>
        <v/>
      </c>
      <c r="V315" s="22">
        <f>IF(U315="",0,IF(U315="transition",0,IF(U315="SK",AK315,IF(U315="LB",AL315,IF(U315="ML",AM315,IF(U315="RLO",AN315,IF(U315="BD",AO315,IF(U315="BiP",AP315,IF(U315="PV",AQ315,IF(U315="OC",AR315,IF(U315="MG",AS315,0))))))))))</f>
        <v/>
      </c>
      <c r="W315" s="27">
        <f>IF(U315="BiP",Upgrades!$F$18,IF(U315="PV",Upgrades!$F$19,IF(U315="OC",Upgrades!$F$20,IF(U315="MG",Upgrades!$F$21,IF(U315="transition",-Parameters!$B$18*Parameters!$B$19,0)))))</f>
        <v/>
      </c>
      <c r="X315" s="22">
        <f>C315+T315-V315</f>
        <v/>
      </c>
      <c r="Y315" s="30">
        <f>O315*Parameters!$B$10/60*Parameters!$B$11+Q315*O315+P315</f>
        <v/>
      </c>
      <c r="Z315" s="34">
        <f>IF(U315="transition","→ Tier 3 (Galactic Arm)",IF(U315="MG","Moving Group — pocket drifts together",IF(U315="OC","Open Cluster acquired",IF(U315="PV","Peculiar Velocity — passive multiplier active",IF(U315="BiP","Binary Partner — pair bond formed",IF(AND(AU315=1,N315=0,AT315&lt;&gt;1),"Cohesion ready (waiting on completionists)","")))))) </f>
        <v/>
      </c>
      <c r="AA315" s="27">
        <f>(IF(E315=0,0,(Upgrades!$G$13+E315*Upgrades!$H$13)*POWER(Upgrades!$I$13,E315)))*(IF(Upgrades!$T$14="Stellar Kinematics",POWER(Upgrades!$U$14,F315),1)*IF(Upgrades!$T$15="Stellar Kinematics",POWER(Upgrades!$U$15,G315),1)*IF(Upgrades!$T$16="Stellar Kinematics",POWER(Upgrades!$U$16,H315),1)*IF(Upgrades!$T$17="Stellar Kinematics",POWER(Upgrades!$U$17,I315),1)*IF(Upgrades!$T$18="Stellar Kinematics",POWER(Upgrades!$U$18,J315),1)*IF(Upgrades!$T$19="Stellar Kinematics",POWER(Upgrades!$U$19,K315),1)*IF(Upgrades!$T$20="Stellar Kinematics",POWER(Upgrades!$U$20,L315),1)*IF(Upgrades!$T$21="Stellar Kinematics",POWER(Upgrades!$U$21,M315),1))*POWER(Upgrades!$P$13,E315)*POWER(Upgrades!$P$14,F315)*POWER(Upgrades!$P$15,G315)*POWER(Upgrades!$P$16,H315)*POWER(Upgrades!$P$17,I315)*POWER(Upgrades!$P$18,J315)*POWER(Upgrades!$P$19,K315)*POWER(Upgrades!$P$20,L315)*POWER(Upgrades!$P$21,M315)*$F$6*60</f>
        <v/>
      </c>
      <c r="AB315" s="27">
        <f>(IF(F315=0,0,(Upgrades!$G$14+F315*Upgrades!$H$14)*POWER(Upgrades!$I$14,F315)))*(IF(Upgrades!$T$13="Local Bubble",POWER(Upgrades!$U$13,E315),1)*IF(Upgrades!$T$15="Local Bubble",POWER(Upgrades!$U$15,G315),1)*IF(Upgrades!$T$16="Local Bubble",POWER(Upgrades!$U$16,H315),1)*IF(Upgrades!$T$17="Local Bubble",POWER(Upgrades!$U$17,I315),1)*IF(Upgrades!$T$18="Local Bubble",POWER(Upgrades!$U$18,J315),1)*IF(Upgrades!$T$19="Local Bubble",POWER(Upgrades!$U$19,K315),1)*IF(Upgrades!$T$20="Local Bubble",POWER(Upgrades!$U$20,L315),1)*IF(Upgrades!$T$21="Local Bubble",POWER(Upgrades!$U$21,M315),1))*POWER(Upgrades!$P$13,E315)*POWER(Upgrades!$P$14,F315)*POWER(Upgrades!$P$15,G315)*POWER(Upgrades!$P$16,H315)*POWER(Upgrades!$P$17,I315)*POWER(Upgrades!$P$18,J315)*POWER(Upgrades!$P$19,K315)*POWER(Upgrades!$P$20,L315)*POWER(Upgrades!$P$21,M315)*$F$6*60</f>
        <v/>
      </c>
      <c r="AC315" s="27">
        <f>(IF(G315=0,0,(Upgrades!$J$15+G315*Upgrades!$K$15)*POWER(Upgrades!$L$15,G315)))*(IF(Upgrades!$T$13="Microlensing",POWER(Upgrades!$U$13,E315),1)*IF(Upgrades!$T$14="Microlensing",POWER(Upgrades!$U$14,F315),1)*IF(Upgrades!$T$16="Microlensing",POWER(Upgrades!$U$16,H315),1)*IF(Upgrades!$T$17="Microlensing",POWER(Upgrades!$U$17,I315),1)*IF(Upgrades!$T$18="Microlensing",POWER(Upgrades!$U$18,J315),1)*IF(Upgrades!$T$19="Microlensing",POWER(Upgrades!$U$19,K315),1)*IF(Upgrades!$T$20="Microlensing",POWER(Upgrades!$U$20,L315),1)*IF(Upgrades!$T$21="Microlensing",POWER(Upgrades!$U$21,M315),1))*POWER(Upgrades!$Q$13,E315)*POWER(Upgrades!$Q$14,F315)*POWER(Upgrades!$Q$15,G315)*POWER(Upgrades!$Q$16,H315)*POWER(Upgrades!$Q$17,I315)*POWER(Upgrades!$Q$18,J315)*POWER(Upgrades!$Q$19,K315)*POWER(Upgrades!$Q$20,L315)*POWER(Upgrades!$Q$21,M315)*$G$6*(Parameters!$B$10*Parameters!$B$11+Q315*60)</f>
        <v/>
      </c>
      <c r="AD315" s="27">
        <f>(IF(H315=0,0,(Upgrades!$M$16+H315*Upgrades!$N$16)*POWER(Upgrades!$O$16,H315)))*(IF(Upgrades!$T$13="Roche Lobe Overflow",POWER(Upgrades!$U$13,E315),1)*IF(Upgrades!$T$14="Roche Lobe Overflow",POWER(Upgrades!$U$14,F315),1)*IF(Upgrades!$T$15="Roche Lobe Overflow",POWER(Upgrades!$U$15,G315),1)*IF(Upgrades!$T$17="Roche Lobe Overflow",POWER(Upgrades!$U$17,I315),1)*IF(Upgrades!$T$18="Roche Lobe Overflow",POWER(Upgrades!$U$18,J315),1)*IF(Upgrades!$T$19="Roche Lobe Overflow",POWER(Upgrades!$U$19,K315),1)*IF(Upgrades!$T$20="Roche Lobe Overflow",POWER(Upgrades!$U$20,L315),1)*IF(Upgrades!$T$21="Roche Lobe Overflow",POWER(Upgrades!$U$21,M315),1))*POWER(Upgrades!$R$13,E315)*POWER(Upgrades!$R$14,F315)*POWER(Upgrades!$R$15,G315)*POWER(Upgrades!$R$16,H315)*POWER(Upgrades!$R$17,I315)*POWER(Upgrades!$R$18,J315)*POWER(Upgrades!$R$19,K315)*POWER(Upgrades!$R$20,L315)*POWER(Upgrades!$R$21,M315)*$H$6*O315*60</f>
        <v/>
      </c>
      <c r="AE315" s="27">
        <f>(IF(I315=0,0,(Upgrades!$G$17+I315*Upgrades!$H$17)*POWER(Upgrades!$I$17,I315)))*(IF(Upgrades!$T$13="Brown Dwarf",POWER(Upgrades!$U$13,E315),1)*IF(Upgrades!$T$14="Brown Dwarf",POWER(Upgrades!$U$14,F315),1)*IF(Upgrades!$T$15="Brown Dwarf",POWER(Upgrades!$U$15,G315),1)*IF(Upgrades!$T$16="Brown Dwarf",POWER(Upgrades!$U$16,H315),1)*IF(Upgrades!$T$18="Brown Dwarf",POWER(Upgrades!$U$18,J315),1)*IF(Upgrades!$T$19="Brown Dwarf",POWER(Upgrades!$U$19,K315),1)*IF(Upgrades!$T$20="Brown Dwarf",POWER(Upgrades!$U$20,L315),1)*IF(Upgrades!$T$21="Brown Dwarf",POWER(Upgrades!$U$21,M315),1))*POWER(Upgrades!$P$13,E315)*POWER(Upgrades!$P$14,F315)*POWER(Upgrades!$P$15,G315)*POWER(Upgrades!$P$16,H315)*POWER(Upgrades!$P$17,I315)*POWER(Upgrades!$P$18,J315)*POWER(Upgrades!$P$19,K315)*POWER(Upgrades!$P$20,L315)*POWER(Upgrades!$P$21,M315)*$F$6*60</f>
        <v/>
      </c>
      <c r="AF315" s="27" t="n">
        <v>0</v>
      </c>
      <c r="AG315" s="27" t="n">
        <v>0</v>
      </c>
      <c r="AH315" s="27" t="n">
        <v>0</v>
      </c>
      <c r="AI315" s="27">
        <f>(IF(M315=0,0,(Upgrades!$G$21+M315*Upgrades!$H$21)*POWER(Upgrades!$I$21,M315)))*(IF(Upgrades!$T$13="Moving Group",POWER(Upgrades!$U$13,E315),1)*IF(Upgrades!$T$14="Moving Group",POWER(Upgrades!$U$14,F315),1)*IF(Upgrades!$T$15="Moving Group",POWER(Upgrades!$U$15,G315),1)*IF(Upgrades!$T$16="Moving Group",POWER(Upgrades!$U$16,H315),1)*IF(Upgrades!$T$17="Moving Group",POWER(Upgrades!$U$17,I315),1)*IF(Upgrades!$T$18="Moving Group",POWER(Upgrades!$U$18,J315),1)*IF(Upgrades!$T$19="Moving Group",POWER(Upgrades!$U$19,K315),1)*IF(Upgrades!$T$20="Moving Group",POWER(Upgrades!$U$20,L315),1))*POWER(Upgrades!$P$13,E315)*POWER(Upgrades!$P$14,F315)*POWER(Upgrades!$P$15,G315)*POWER(Upgrades!$P$16,H315)*POWER(Upgrades!$P$17,I315)*POWER(Upgrades!$P$18,J315)*POWER(Upgrades!$P$19,K315)*POWER(Upgrades!$P$20,L315)*POWER(Upgrades!$P$21,M315)*$F$6*60</f>
        <v/>
      </c>
      <c r="AJ315" s="27">
        <f>$C$6*60</f>
        <v/>
      </c>
      <c r="AK315" s="22">
        <f>IF(E315&gt;=Upgrades!$E$13,"",Upgrades!$C$13*POWER(Upgrades!$D$13,E315))</f>
        <v/>
      </c>
      <c r="AL315" s="22">
        <f>IF(F315&gt;=Upgrades!$E$14,"",Upgrades!$C$14*POWER(Upgrades!$D$14,F315))</f>
        <v/>
      </c>
      <c r="AM315" s="22">
        <f>IF(G315&gt;=Upgrades!$E$15,"",Upgrades!$C$15*POWER(Upgrades!$D$15,G315))</f>
        <v/>
      </c>
      <c r="AN315" s="22">
        <f>IF(H315&gt;=Upgrades!$E$16,"",Upgrades!$C$16*POWER(Upgrades!$D$16,H315))</f>
        <v/>
      </c>
      <c r="AO315" s="22">
        <f>IF(I315&gt;=Upgrades!$E$17,"",Upgrades!$C$17*POWER(Upgrades!$D$17,I315))</f>
        <v/>
      </c>
      <c r="AP315" s="22">
        <f>IF(J315&gt;=Upgrades!$E$18,"",Upgrades!$C$18*POWER(Upgrades!$D$18,J315))</f>
        <v/>
      </c>
      <c r="AQ315" s="22">
        <f>IF(K315&gt;=Upgrades!$E$19,"",Upgrades!$C$19*POWER(Upgrades!$D$19,K315))</f>
        <v/>
      </c>
      <c r="AR315" s="22">
        <f>IF(L315&gt;=Upgrades!$E$20,"",Upgrades!$C$20*POWER(Upgrades!$D$20,L315))</f>
        <v/>
      </c>
      <c r="AS315" s="22">
        <f>IF(M315&gt;=Upgrades!$E$21,"",Upgrades!$C$21*POWER(Upgrades!$D$21,M315))</f>
        <v/>
      </c>
      <c r="AT315" s="26">
        <f>IF(AND(D315&gt;=Parameters!$B$18*Parameters!$B$19,(I315&gt;=Upgrades!$E$17)*(M315&gt;=Upgrades!$E$21)=1,N315=0),1,"")</f>
        <v/>
      </c>
      <c r="AU315" s="26">
        <f>IF(AND(D315&gt;=Parameters!$B$18*Parameters!$B$19,N315=0),1,"")</f>
        <v/>
      </c>
      <c r="AV315" s="22">
        <f>MIN(IF(ISNUMBER(AP315),AP315,9E15),IF(ISNUMBER(AQ315),AQ315,9E15),IF(ISNUMBER(AR315),AR315,9E15),IF(ISNUMBER(AS315),AS315,9E15))</f>
        <v/>
      </c>
      <c r="AW315" s="22">
        <f>MIN(IF(ISNUMBER(AK315),AK315,9E15),IF(ISNUMBER(AL315),AL315,9E15),IF(ISNUMBER(AM315),AM315,9E15),IF(ISNUMBER(AN315),AN315,9E15),IF(ISNUMBER(AO315),AO315,9E15))</f>
        <v/>
      </c>
      <c r="AX315" s="29">
        <f>IF(BD315&gt;Parameters!$B$21*(MAX(IF(AND(NOT(AND(AU315=1,AT315&lt;&gt;1)),ISNUMBER(AK315),AK315&lt;=(C315+T315)),AY315,0),IF(AND(NOT(AND(AU315=1,AT315&lt;&gt;1)),ISNUMBER(AL315),AL315&lt;=(C315+T315)),AZ315,0),IF(AND(NOT(AND(AU315=1,AT315&lt;&gt;1)),ISNUMBER(AM315),AM315&lt;=(C315+T315)),BA315,0),IF(AND(NOT(AND(AU315=1,AT315&lt;&gt;1)),ISNUMBER(AN315),AN315&lt;=(C315+T315)),BB315,0),IF(AND(ISNUMBER(AO315),AO315&lt;=(C315+T315)),BC315,0))),TRUE,FALSE)</f>
        <v/>
      </c>
      <c r="AY315" s="32">
        <f>IFERROR(Upgrades!$H$13*(POWER(Upgrades!$P$13,E315)*POWER(Upgrades!$P$14,F315)*POWER(Upgrades!$P$15,G315)*POWER(Upgrades!$P$16,H315)*POWER(Upgrades!$P$17,I315)*POWER(Upgrades!$P$18,J315)*POWER(Upgrades!$P$19,K315)*POWER(Upgrades!$P$20,L315)*POWER(Upgrades!$P$21,M315))*(IF(Upgrades!$T$14="Stellar Kinematics",POWER(Upgrades!$U$14,F315),1)*IF(Upgrades!$T$15="Stellar Kinematics",POWER(Upgrades!$U$15,G315),1)*IF(Upgrades!$T$16="Stellar Kinematics",POWER(Upgrades!$U$16,H315),1)*IF(Upgrades!$T$17="Stellar Kinematics",POWER(Upgrades!$U$17,I315),1)*IF(Upgrades!$T$18="Stellar Kinematics",POWER(Upgrades!$U$18,J315),1)*IF(Upgrades!$T$19="Stellar Kinematics",POWER(Upgrades!$U$19,K315),1)*IF(Upgrades!$T$20="Stellar Kinematics",POWER(Upgrades!$U$20,L315),1)*IF(Upgrades!$T$21="Stellar Kinematics",POWER(Upgrades!$U$21,M315),1))*$F$6/AK315,0)</f>
        <v/>
      </c>
      <c r="AZ315" s="32">
        <f>IFERROR(Upgrades!$H$14*(POWER(Upgrades!$P$13,E315)*POWER(Upgrades!$P$14,F315)*POWER(Upgrades!$P$15,G315)*POWER(Upgrades!$P$16,H315)*POWER(Upgrades!$P$17,I315)*POWER(Upgrades!$P$18,J315)*POWER(Upgrades!$P$19,K315)*POWER(Upgrades!$P$20,L315)*POWER(Upgrades!$P$21,M315))*(IF(Upgrades!$T$13="Local Bubble",POWER(Upgrades!$U$13,E315),1)*IF(Upgrades!$T$15="Local Bubble",POWER(Upgrades!$U$15,G315),1)*IF(Upgrades!$T$16="Local Bubble",POWER(Upgrades!$U$16,H315),1)*IF(Upgrades!$T$17="Local Bubble",POWER(Upgrades!$U$17,I315),1)*IF(Upgrades!$T$18="Local Bubble",POWER(Upgrades!$U$18,J315),1)*IF(Upgrades!$T$19="Local Bubble",POWER(Upgrades!$U$19,K315),1)*IF(Upgrades!$T$20="Local Bubble",POWER(Upgrades!$U$20,L315),1)*IF(Upgrades!$T$21="Local Bubble",POWER(Upgrades!$U$21,M315),1))*$F$6/AL315,0)</f>
        <v/>
      </c>
      <c r="BA315" s="32">
        <f>IFERROR(Upgrades!$K$15*(POWER(Upgrades!$Q$13,E315)*POWER(Upgrades!$Q$14,F315)*POWER(Upgrades!$Q$15,G315)*POWER(Upgrades!$Q$16,H315)*POWER(Upgrades!$Q$17,I315)*POWER(Upgrades!$Q$18,J315)*POWER(Upgrades!$Q$19,K315)*POWER(Upgrades!$Q$20,L315)*POWER(Upgrades!$Q$21,M315))*(IF(Upgrades!$T$13="Microlensing",POWER(Upgrades!$U$13,E315),1)*IF(Upgrades!$T$14="Microlensing",POWER(Upgrades!$U$14,F315),1)*IF(Upgrades!$T$16="Microlensing",POWER(Upgrades!$U$16,H315),1)*IF(Upgrades!$T$17="Microlensing",POWER(Upgrades!$U$17,I315),1)*IF(Upgrades!$T$18="Microlensing",POWER(Upgrades!$U$18,J315),1)*IF(Upgrades!$T$19="Microlensing",POWER(Upgrades!$U$19,K315),1)*IF(Upgrades!$T$20="Microlensing",POWER(Upgrades!$U$20,L315),1)*IF(Upgrades!$T$21="Microlensing",POWER(Upgrades!$U$21,M315),1))*$G$6*(Parameters!$B$10/60*Parameters!$B$11+Q315)/AM315,0)</f>
        <v/>
      </c>
      <c r="BB315" s="32">
        <f>IFERROR((Upgrades!$N$16*(POWER(Upgrades!$R$13,E315)*POWER(Upgrades!$R$14,F315)*POWER(Upgrades!$R$15,G315)*POWER(Upgrades!$R$16,H315)*POWER(Upgrades!$R$17,I315)*POWER(Upgrades!$R$18,J315)*POWER(Upgrades!$R$19,K315)*POWER(Upgrades!$R$20,L315)*POWER(Upgrades!$R$21,M315))*(IF(Upgrades!$T$13="Roche Lobe Overflow",POWER(Upgrades!$U$13,E315),1)*IF(Upgrades!$T$14="Roche Lobe Overflow",POWER(Upgrades!$U$14,F315),1)*IF(Upgrades!$T$15="Roche Lobe Overflow",POWER(Upgrades!$U$15,G315),1)*IF(Upgrades!$T$17="Roche Lobe Overflow",POWER(Upgrades!$U$17,I315),1)*IF(Upgrades!$T$18="Roche Lobe Overflow",POWER(Upgrades!$U$18,J315),1)*IF(Upgrades!$T$19="Roche Lobe Overflow",POWER(Upgrades!$U$19,K315),1)*IF(Upgrades!$T$20="Roche Lobe Overflow",POWER(Upgrades!$U$20,L315),1)*IF(Upgrades!$T$21="Roche Lobe Overflow",POWER(Upgrades!$U$21,M315),1))*$H$6*O315+((IF(F315=0,0,(Upgrades!$G$14+F315*Upgrades!$H$14)*POWER(Upgrades!$I$14,F315)))*(IF(Upgrades!$T$13="Local Bubble",POWER(Upgrades!$U$13,E315),1)*IF(Upgrades!$T$15="Local Bubble",POWER(Upgrades!$U$15,G315),1)*IF(Upgrades!$T$16="Local Bubble",POWER(Upgrades!$U$16,H315),1)*IF(Upgrades!$T$17="Local Bubble",POWER(Upgrades!$U$17,I315),1)*IF(Upgrades!$T$18="Local Bubble",POWER(Upgrades!$U$18,J315),1)*IF(Upgrades!$T$19="Local Bubble",POWER(Upgrades!$U$19,K315),1)*IF(Upgrades!$T$20="Local Bubble",POWER(Upgrades!$U$20,L315),1)*IF(Upgrades!$T$21="Local Bubble",POWER(Upgrades!$U$21,M315),1))*POWER(Upgrades!$P$13,E315)*POWER(Upgrades!$P$14,F315)*POWER(Upgrades!$P$15,G315)*POWER(Upgrades!$P$16,H315)*POWER(Upgrades!$P$17,I315)*POWER(Upgrades!$P$18,J315)*POWER(Upgrades!$P$19,K315)*POWER(Upgrades!$P$20,L315)*POWER(Upgrades!$P$21,M315)*$F$6)*0.05)/AN315,0)</f>
        <v/>
      </c>
      <c r="BC315" s="32">
        <f>IFERROR((Upgrades!$H$17*(POWER(Upgrades!$P$13,E315)*POWER(Upgrades!$P$14,F315)*POWER(Upgrades!$P$15,G315)*POWER(Upgrades!$P$16,H315)*POWER(Upgrades!$P$17,I315)*POWER(Upgrades!$P$18,J315)*POWER(Upgrades!$P$19,K315)*POWER(Upgrades!$P$20,L315)*POWER(Upgrades!$P$21,M315))*(IF(Upgrades!$T$13="Brown Dwarf",POWER(Upgrades!$U$13,E315),1)*IF(Upgrades!$T$14="Brown Dwarf",POWER(Upgrades!$U$14,F315),1)*IF(Upgrades!$T$15="Brown Dwarf",POWER(Upgrades!$U$15,G315),1)*IF(Upgrades!$T$16="Brown Dwarf",POWER(Upgrades!$U$16,H315),1)*IF(Upgrades!$T$18="Brown Dwarf",POWER(Upgrades!$U$18,J315),1)*IF(Upgrades!$T$19="Brown Dwarf",POWER(Upgrades!$U$19,K315),1)*IF(Upgrades!$T$20="Brown Dwarf",POWER(Upgrades!$U$20,L315),1)*IF(Upgrades!$T$21="Brown Dwarf",POWER(Upgrades!$U$21,M315),1))*$F$6+(((IF(H315=0,0,(Upgrades!$M$16+H315*Upgrades!$N$16)*POWER(Upgrades!$O$16,H315)))*(IF(Upgrades!$T$13="Roche Lobe Overflow",POWER(Upgrades!$U$13,E315),1)*IF(Upgrades!$T$14="Roche Lobe Overflow",POWER(Upgrades!$U$14,F315),1)*IF(Upgrades!$T$15="Roche Lobe Overflow",POWER(Upgrades!$U$15,G315),1)*IF(Upgrades!$T$17="Roche Lobe Overflow",POWER(Upgrades!$U$17,I315),1)*IF(Upgrades!$T$18="Roche Lobe Overflow",POWER(Upgrades!$U$18,J315),1)*IF(Upgrades!$T$19="Roche Lobe Overflow",POWER(Upgrades!$U$19,K315),1)*IF(Upgrades!$T$20="Roche Lobe Overflow",POWER(Upgrades!$U$20,L315),1)*IF(Upgrades!$T$21="Roche Lobe Overflow",POWER(Upgrades!$U$21,M315),1))*POWER(Upgrades!$R$13,E315)*POWER(Upgrades!$R$14,F315)*POWER(Upgrades!$R$15,G315)*POWER(Upgrades!$R$16,H315)*POWER(Upgrades!$R$17,I315)*POWER(Upgrades!$R$18,J315)*POWER(Upgrades!$R$19,K315)*POWER(Upgrades!$R$20,L315)*POWER(Upgrades!$R$21,M315)*$H$6)*O315)*0.10)/AO315,0)</f>
        <v/>
      </c>
      <c r="BD315" s="32">
        <f>MAX(IF(J315&gt;0,0,IFERROR(0.5*((IF(G315=0,0,(Upgrades!$J$15+G315*Upgrades!$K$15)*POWER(Upgrades!$L$15,G315)))*(IF(Upgrades!$T$13="Microlensing",POWER(Upgrades!$U$13,E315),1)*IF(Upgrades!$T$14="Microlensing",POWER(Upgrades!$U$14,F315),1)*IF(Upgrades!$T$16="Microlensing",POWER(Upgrades!$U$16,H315),1)*IF(Upgrades!$T$17="Microlensing",POWER(Upgrades!$U$17,I315),1)*IF(Upgrades!$T$18="Microlensing",POWER(Upgrades!$U$18,J315),1)*IF(Upgrades!$T$19="Microlensing",POWER(Upgrades!$U$19,K315),1)*IF(Upgrades!$T$20="Microlensing",POWER(Upgrades!$U$20,L315),1)*IF(Upgrades!$T$21="Microlensing",POWER(Upgrades!$U$21,M315),1))*(POWER(Upgrades!$Q$13,E315)*POWER(Upgrades!$Q$14,F315)*POWER(Upgrades!$Q$15,G315)*POWER(Upgrades!$Q$16,H315)*POWER(Upgrades!$Q$17,I315)*POWER(Upgrades!$Q$18,J315)*POWER(Upgrades!$Q$19,K315)*POWER(Upgrades!$Q$20,L315)*POWER(Upgrades!$Q$21,M315))*$G$6*(Parameters!$B$10/60*Parameters!$B$11+Q315))/Upgrades!$C$18,0)),IF(K315&gt;0,0,IFERROR(0.30*P315/Upgrades!$C$19,0)),IF(L315&gt;0,0,IFERROR(0.0001/Upgrades!$C$20,0)),IF(M315&gt;0,0,IFERROR((6.0*(POWER(Upgrades!$P$13,E315)*POWER(Upgrades!$P$14,F315)*POWER(Upgrades!$P$15,G315)*POWER(Upgrades!$P$16,H315)*POWER(Upgrades!$P$17,I315)*POWER(Upgrades!$P$18,J315)*POWER(Upgrades!$P$19,K315)*POWER(Upgrades!$P$20,L315)*POWER(Upgrades!$P$21,M315))*$F$6+0.20*O315*(Parameters!$B$10/60*Parameters!$B$11+Q315))/Upgrades!$C$21,0)),IF(AND(ISNUMBER(AK315),AK315&gt;(C315+T315)),AY315,0),IF(AND(ISNUMBER(AL315),AL315&gt;(C315+T315)),AZ315,0),IF(AND(ISNUMBER(AM315),AM315&gt;(C315+T315)),BA315,0),IF(AND(ISNUMBER(AN315),AN315&gt;(C315+T315)),BB315,0),IF(AND(ISNUMBER(AO315),AO315&gt;(C315+T315)),BC315,0))</f>
        <v/>
      </c>
      <c r="BE315" s="29">
        <f>IF(AT315=1,"transition",IF(MIN(IF(AND(J315=0,ISNUMBER(AP315),AP315&lt;=(C315+T315)),AP315,9E15),IF(AND(K315=0,ISNUMBER(AQ315),AQ315&lt;=(C315+T315)),AQ315,9E15),IF(AND(L315=0,ISNUMBER(AR315),AR315&lt;=(C315+T315)),AR315,9E15),IF(AND(M315=0,ISNUMBER(AS315),AS315&lt;=(C315+T315)),AS315,9E15))&lt;9E15,IF(AND(AND(J315=0,ISNUMBER(AP315),AP315&lt;=(C315+T315)),AP315=MIN(IF(AND(J315=0,ISNUMBER(AP315),AP315&lt;=(C315+T315)),AP315,9E15),IF(AND(K315=0,ISNUMBER(AQ315),AQ315&lt;=(C315+T315)),AQ315,9E15),IF(AND(L315=0,ISNUMBER(AR315),AR315&lt;=(C315+T315)),AR315,9E15),IF(AND(M315=0,ISNUMBER(AS315),AS315&lt;=(C315+T315)),AS315,9E15))),"BiP",IF(AND(AND(K315=0,ISNUMBER(AQ315),AQ315&lt;=(C315+T315)),AQ315=MIN(IF(AND(J315=0,ISNUMBER(AP315),AP315&lt;=(C315+T315)),AP315,9E15),IF(AND(K315=0,ISNUMBER(AQ315),AQ315&lt;=(C315+T315)),AQ315,9E15),IF(AND(L315=0,ISNUMBER(AR315),AR315&lt;=(C315+T315)),AR315,9E15),IF(AND(M315=0,ISNUMBER(AS315),AS315&lt;=(C315+T315)),AS315,9E15))),"PV",IF(AND(AND(L315=0,ISNUMBER(AR315),AR315&lt;=(C315+T315)),AR315=MIN(IF(AND(J315=0,ISNUMBER(AP315),AP315&lt;=(C315+T315)),AP315,9E15),IF(AND(K315=0,ISNUMBER(AQ315),AQ315&lt;=(C315+T315)),AQ315,9E15),IF(AND(L315=0,ISNUMBER(AR315),AR315&lt;=(C315+T315)),AR315,9E15),IF(AND(M315=0,ISNUMBER(AS315),AS315&lt;=(C315+T315)),AS315,9E15))),"OC","MG"))),IF(AX315=TRUE,"",IF(MAX(IF(AND(NOT(AND(AU315=1,AT315&lt;&gt;1)),ISNUMBER(AK315),AK315&lt;=(C315+T315)),AY315,0),IF(AND(NOT(AND(AU315=1,AT315&lt;&gt;1)),ISNUMBER(AL315),AL315&lt;=(C315+T315)),AZ315,0),IF(AND(NOT(AND(AU315=1,AT315&lt;&gt;1)),ISNUMBER(AM315),AM315&lt;=(C315+T315)),BA315,0),IF(AND(NOT(AND(AU315=1,AT315&lt;&gt;1)),ISNUMBER(AN315),AN315&lt;=(C315+T315)),BB315,0),IF(AND(ISNUMBER(AO315),AO315&lt;=(C315+T315)),BC315,0))&lt;=0,"",IF(AND(IF(AND(NOT(AND(AU315=1,AT315&lt;&gt;1)),ISNUMBER(AK315),AK315&lt;=(C315+T315)),AY315,0)&gt;0,IF(AND(NOT(AND(AU315=1,AT315&lt;&gt;1)),ISNUMBER(AK315),AK315&lt;=(C315+T315)),AY315,0)=MAX(IF(AND(NOT(AND(AU315=1,AT315&lt;&gt;1)),ISNUMBER(AK315),AK315&lt;=(C315+T315)),AY315,0),IF(AND(NOT(AND(AU315=1,AT315&lt;&gt;1)),ISNUMBER(AL315),AL315&lt;=(C315+T315)),AZ315,0),IF(AND(NOT(AND(AU315=1,AT315&lt;&gt;1)),ISNUMBER(AM315),AM315&lt;=(C315+T315)),BA315,0),IF(AND(NOT(AND(AU315=1,AT315&lt;&gt;1)),ISNUMBER(AN315),AN315&lt;=(C315+T315)),BB315,0),IF(AND(ISNUMBER(AO315),AO315&lt;=(C315+T315)),BC315,0))),"SK",IF(AND(IF(AND(NOT(AND(AU315=1,AT315&lt;&gt;1)),ISNUMBER(AL315),AL315&lt;=(C315+T315)),AZ315,0)&gt;0,IF(AND(NOT(AND(AU315=1,AT315&lt;&gt;1)),ISNUMBER(AL315),AL315&lt;=(C315+T315)),AZ315,0)=MAX(IF(AND(NOT(AND(AU315=1,AT315&lt;&gt;1)),ISNUMBER(AK315),AK315&lt;=(C315+T315)),AY315,0),IF(AND(NOT(AND(AU315=1,AT315&lt;&gt;1)),ISNUMBER(AL315),AL315&lt;=(C315+T315)),AZ315,0),IF(AND(NOT(AND(AU315=1,AT315&lt;&gt;1)),ISNUMBER(AM315),AM315&lt;=(C315+T315)),BA315,0),IF(AND(NOT(AND(AU315=1,AT315&lt;&gt;1)),ISNUMBER(AN315),AN315&lt;=(C315+T315)),BB315,0),IF(AND(ISNUMBER(AO315),AO315&lt;=(C315+T315)),BC315,0))),"LB",IF(AND(IF(AND(NOT(AND(AU315=1,AT315&lt;&gt;1)),ISNUMBER(AM315),AM315&lt;=(C315+T315)),BA315,0)&gt;0,IF(AND(NOT(AND(AU315=1,AT315&lt;&gt;1)),ISNUMBER(AM315),AM315&lt;=(C315+T315)),BA315,0)=MAX(IF(AND(NOT(AND(AU315=1,AT315&lt;&gt;1)),ISNUMBER(AK315),AK315&lt;=(C315+T315)),AY315,0),IF(AND(NOT(AND(AU315=1,AT315&lt;&gt;1)),ISNUMBER(AL315),AL315&lt;=(C315+T315)),AZ315,0),IF(AND(NOT(AND(AU315=1,AT315&lt;&gt;1)),ISNUMBER(AM315),AM315&lt;=(C315+T315)),BA315,0),IF(AND(NOT(AND(AU315=1,AT315&lt;&gt;1)),ISNUMBER(AN315),AN315&lt;=(C315+T315)),BB315,0),IF(AND(ISNUMBER(AO315),AO315&lt;=(C315+T315)),BC315,0))),"ML",IF(AND(IF(AND(NOT(AND(AU315=1,AT315&lt;&gt;1)),ISNUMBER(AN315),AN315&lt;=(C315+T315)),BB315,0)&gt;0,IF(AND(NOT(AND(AU315=1,AT315&lt;&gt;1)),ISNUMBER(AN315),AN315&lt;=(C315+T315)),BB315,0)=MAX(IF(AND(NOT(AND(AU315=1,AT315&lt;&gt;1)),ISNUMBER(AK315),AK315&lt;=(C315+T315)),AY315,0),IF(AND(NOT(AND(AU315=1,AT315&lt;&gt;1)),ISNUMBER(AL315),AL315&lt;=(C315+T315)),AZ315,0),IF(AND(NOT(AND(AU315=1,AT315&lt;&gt;1)),ISNUMBER(AM315),AM315&lt;=(C315+T315)),BA315,0),IF(AND(NOT(AND(AU315=1,AT315&lt;&gt;1)),ISNUMBER(AN315),AN315&lt;=(C315+T315)),BB315,0),IF(AND(ISNUMBER(AO315),AO315&lt;=(C315+T315)),BC315,0))),"RLO","BD"))))))))</f>
        <v/>
      </c>
    </row>
    <row r="316">
      <c r="A316" s="26" t="n">
        <v>305</v>
      </c>
      <c r="B316" s="27">
        <f>A316*10/60</f>
        <v/>
      </c>
      <c r="C316" s="22">
        <f>X315</f>
        <v/>
      </c>
      <c r="D316" s="27">
        <f>D315+W315</f>
        <v/>
      </c>
      <c r="E316" s="26">
        <f>E315+IF(U315="SK",1,0)</f>
        <v/>
      </c>
      <c r="F316" s="26">
        <f>F315+IF(U315="LB",1,0)</f>
        <v/>
      </c>
      <c r="G316" s="26">
        <f>G315+IF(U315="ML",1,0)</f>
        <v/>
      </c>
      <c r="H316" s="26">
        <f>H315+IF(U315="RLO",1,0)</f>
        <v/>
      </c>
      <c r="I316" s="26">
        <f>I315+IF(U315="BD",1,0)</f>
        <v/>
      </c>
      <c r="J316" s="26">
        <f>MAX(J315,IF(U315="BiP",1,0))</f>
        <v/>
      </c>
      <c r="K316" s="26">
        <f>MAX(K315,IF(U315="PV",1,0))</f>
        <v/>
      </c>
      <c r="L316" s="26">
        <f>MAX(L315,IF(U315="OC",1,0))</f>
        <v/>
      </c>
      <c r="M316" s="26">
        <f>MAX(M315,IF(U315="MG",1,0))</f>
        <v/>
      </c>
      <c r="N316" s="26">
        <f>MAX(N315,IF(U315="transition",1,0))</f>
        <v/>
      </c>
      <c r="O316" s="28">
        <f>(Parameters!$B$9+(IF(E316=0,0,(Upgrades!$J$13+E316*Upgrades!$K$13)*POWER(Upgrades!$L$13,E316)))*(IF(Upgrades!$T$14="Stellar Kinematics",POWER(Upgrades!$U$14,F316),1)*IF(Upgrades!$T$15="Stellar Kinematics",POWER(Upgrades!$U$15,G316),1)*IF(Upgrades!$T$16="Stellar Kinematics",POWER(Upgrades!$U$16,H316),1)*IF(Upgrades!$T$17="Stellar Kinematics",POWER(Upgrades!$U$17,I316),1)*IF(Upgrades!$T$18="Stellar Kinematics",POWER(Upgrades!$U$18,J316),1)*IF(Upgrades!$T$19="Stellar Kinematics",POWER(Upgrades!$U$19,K316),1)*IF(Upgrades!$T$20="Stellar Kinematics",POWER(Upgrades!$U$20,L316),1)*IF(Upgrades!$T$21="Stellar Kinematics",POWER(Upgrades!$U$21,M316),1))+(IF(F316=0,0,(Upgrades!$J$14+F316*Upgrades!$K$14)*POWER(Upgrades!$L$14,F316)))*(IF(Upgrades!$T$13="Local Bubble",POWER(Upgrades!$U$13,E316),1)*IF(Upgrades!$T$15="Local Bubble",POWER(Upgrades!$U$15,G316),1)*IF(Upgrades!$T$16="Local Bubble",POWER(Upgrades!$U$16,H316),1)*IF(Upgrades!$T$17="Local Bubble",POWER(Upgrades!$U$17,I316),1)*IF(Upgrades!$T$18="Local Bubble",POWER(Upgrades!$U$18,J316),1)*IF(Upgrades!$T$19="Local Bubble",POWER(Upgrades!$U$19,K316),1)*IF(Upgrades!$T$20="Local Bubble",POWER(Upgrades!$U$20,L316),1)*IF(Upgrades!$T$21="Local Bubble",POWER(Upgrades!$U$21,M316),1))+(IF(G316=0,0,(Upgrades!$J$15+G316*Upgrades!$K$15)*POWER(Upgrades!$L$15,G316)))*(IF(Upgrades!$T$13="Microlensing",POWER(Upgrades!$U$13,E316),1)*IF(Upgrades!$T$14="Microlensing",POWER(Upgrades!$U$14,F316),1)*IF(Upgrades!$T$16="Microlensing",POWER(Upgrades!$U$16,H316),1)*IF(Upgrades!$T$17="Microlensing",POWER(Upgrades!$U$17,I316),1)*IF(Upgrades!$T$18="Microlensing",POWER(Upgrades!$U$18,J316),1)*IF(Upgrades!$T$19="Microlensing",POWER(Upgrades!$U$19,K316),1)*IF(Upgrades!$T$20="Microlensing",POWER(Upgrades!$U$20,L316),1)*IF(Upgrades!$T$21="Microlensing",POWER(Upgrades!$U$21,M316),1))+(IF(H316=0,0,(Upgrades!$J$16+H316*Upgrades!$K$16)*POWER(Upgrades!$L$16,H316)))*(IF(Upgrades!$T$13="Roche Lobe Overflow",POWER(Upgrades!$U$13,E316),1)*IF(Upgrades!$T$14="Roche Lobe Overflow",POWER(Upgrades!$U$14,F316),1)*IF(Upgrades!$T$15="Roche Lobe Overflow",POWER(Upgrades!$U$15,G316),1)*IF(Upgrades!$T$17="Roche Lobe Overflow",POWER(Upgrades!$U$17,I316),1)*IF(Upgrades!$T$18="Roche Lobe Overflow",POWER(Upgrades!$U$18,J316),1)*IF(Upgrades!$T$19="Roche Lobe Overflow",POWER(Upgrades!$U$19,K316),1)*IF(Upgrades!$T$20="Roche Lobe Overflow",POWER(Upgrades!$U$20,L316),1)*IF(Upgrades!$T$21="Roche Lobe Overflow",POWER(Upgrades!$U$21,M316),1))+(IF(I316=0,0,(Upgrades!$J$17+I316*Upgrades!$K$17)*POWER(Upgrades!$L$17,I316)))*(IF(Upgrades!$T$13="Brown Dwarf",POWER(Upgrades!$U$13,E316),1)*IF(Upgrades!$T$14="Brown Dwarf",POWER(Upgrades!$U$14,F316),1)*IF(Upgrades!$T$15="Brown Dwarf",POWER(Upgrades!$U$15,G316),1)*IF(Upgrades!$T$16="Brown Dwarf",POWER(Upgrades!$U$16,H316),1)*IF(Upgrades!$T$18="Brown Dwarf",POWER(Upgrades!$U$18,J316),1)*IF(Upgrades!$T$19="Brown Dwarf",POWER(Upgrades!$U$19,K316),1)*IF(Upgrades!$T$20="Brown Dwarf",POWER(Upgrades!$U$20,L316),1)*IF(Upgrades!$T$21="Brown Dwarf",POWER(Upgrades!$U$21,M316),1))+(IF(J316=0,0,(Upgrades!$J$18+J316*Upgrades!$K$18)*POWER(Upgrades!$L$18,J316)))*(IF(Upgrades!$T$13="Binary Partner",POWER(Upgrades!$U$13,E316),1)*IF(Upgrades!$T$14="Binary Partner",POWER(Upgrades!$U$14,F316),1)*IF(Upgrades!$T$15="Binary Partner",POWER(Upgrades!$U$15,G316),1)*IF(Upgrades!$T$16="Binary Partner",POWER(Upgrades!$U$16,H316),1)*IF(Upgrades!$T$17="Binary Partner",POWER(Upgrades!$U$17,I316),1)*IF(Upgrades!$T$19="Binary Partner",POWER(Upgrades!$U$19,K316),1)*IF(Upgrades!$T$20="Binary Partner",POWER(Upgrades!$U$20,L316),1)*IF(Upgrades!$T$21="Binary Partner",POWER(Upgrades!$U$21,M316),1))+(IF(K316=0,0,(Upgrades!$J$19+K316*Upgrades!$K$19)*POWER(Upgrades!$L$19,K316)))*(IF(Upgrades!$T$13="Peculiar Velocity",POWER(Upgrades!$U$13,E316),1)*IF(Upgrades!$T$14="Peculiar Velocity",POWER(Upgrades!$U$14,F316),1)*IF(Upgrades!$T$15="Peculiar Velocity",POWER(Upgrades!$U$15,G316),1)*IF(Upgrades!$T$16="Peculiar Velocity",POWER(Upgrades!$U$16,H316),1)*IF(Upgrades!$T$17="Peculiar Velocity",POWER(Upgrades!$U$17,I316),1)*IF(Upgrades!$T$18="Peculiar Velocity",POWER(Upgrades!$U$18,J316),1)*IF(Upgrades!$T$20="Peculiar Velocity",POWER(Upgrades!$U$20,L316),1)*IF(Upgrades!$T$21="Peculiar Velocity",POWER(Upgrades!$U$21,M316),1))+(IF(L316=0,0,(Upgrades!$J$20+L316*Upgrades!$K$20)*POWER(Upgrades!$L$20,L316)))*(IF(Upgrades!$T$13="Open Cluster",POWER(Upgrades!$U$13,E316),1)*IF(Upgrades!$T$14="Open Cluster",POWER(Upgrades!$U$14,F316),1)*IF(Upgrades!$T$15="Open Cluster",POWER(Upgrades!$U$15,G316),1)*IF(Upgrades!$T$16="Open Cluster",POWER(Upgrades!$U$16,H316),1)*IF(Upgrades!$T$17="Open Cluster",POWER(Upgrades!$U$17,I316),1)*IF(Upgrades!$T$18="Open Cluster",POWER(Upgrades!$U$18,J316),1)*IF(Upgrades!$T$19="Open Cluster",POWER(Upgrades!$U$19,K316),1)*IF(Upgrades!$T$21="Open Cluster",POWER(Upgrades!$U$21,M316),1))+(IF(M316=0,0,(Upgrades!$J$21+M316*Upgrades!$K$21)*POWER(Upgrades!$L$21,M316)))*(IF(Upgrades!$T$13="Moving Group",POWER(Upgrades!$U$13,E316),1)*IF(Upgrades!$T$14="Moving Group",POWER(Upgrades!$U$14,F316),1)*IF(Upgrades!$T$15="Moving Group",POWER(Upgrades!$U$15,G316),1)*IF(Upgrades!$T$16="Moving Group",POWER(Upgrades!$U$16,H316),1)*IF(Upgrades!$T$17="Moving Group",POWER(Upgrades!$U$17,I316),1)*IF(Upgrades!$T$18="Moving Group",POWER(Upgrades!$U$18,J316),1)*IF(Upgrades!$T$19="Moving Group",POWER(Upgrades!$U$19,K316),1)*IF(Upgrades!$T$20="Moving Group",POWER(Upgrades!$U$20,L316),1)))*POWER(Upgrades!$Q$13,E316)*POWER(Upgrades!$Q$14,F316)*POWER(Upgrades!$Q$15,G316)*POWER(Upgrades!$Q$16,H316)*POWER(Upgrades!$Q$17,I316)*POWER(Upgrades!$Q$18,J316)*POWER(Upgrades!$Q$19,K316)*POWER(Upgrades!$Q$20,L316)*POWER(Upgrades!$Q$21,M316)*$G$6+$D$6</f>
        <v/>
      </c>
      <c r="P316" s="28">
        <f>((IF(E316=0,0,(Upgrades!$G$13+E316*Upgrades!$H$13)*POWER(Upgrades!$I$13,E316)))*(IF(Upgrades!$T$14="Stellar Kinematics",POWER(Upgrades!$U$14,F316),1)*IF(Upgrades!$T$15="Stellar Kinematics",POWER(Upgrades!$U$15,G316),1)*IF(Upgrades!$T$16="Stellar Kinematics",POWER(Upgrades!$U$16,H316),1)*IF(Upgrades!$T$17="Stellar Kinematics",POWER(Upgrades!$U$17,I316),1)*IF(Upgrades!$T$18="Stellar Kinematics",POWER(Upgrades!$U$18,J316),1)*IF(Upgrades!$T$19="Stellar Kinematics",POWER(Upgrades!$U$19,K316),1)*IF(Upgrades!$T$20="Stellar Kinematics",POWER(Upgrades!$U$20,L316),1)*IF(Upgrades!$T$21="Stellar Kinematics",POWER(Upgrades!$U$21,M316),1))+(IF(F316=0,0,(Upgrades!$G$14+F316*Upgrades!$H$14)*POWER(Upgrades!$I$14,F316)))*(IF(Upgrades!$T$13="Local Bubble",POWER(Upgrades!$U$13,E316),1)*IF(Upgrades!$T$15="Local Bubble",POWER(Upgrades!$U$15,G316),1)*IF(Upgrades!$T$16="Local Bubble",POWER(Upgrades!$U$16,H316),1)*IF(Upgrades!$T$17="Local Bubble",POWER(Upgrades!$U$17,I316),1)*IF(Upgrades!$T$18="Local Bubble",POWER(Upgrades!$U$18,J316),1)*IF(Upgrades!$T$19="Local Bubble",POWER(Upgrades!$U$19,K316),1)*IF(Upgrades!$T$20="Local Bubble",POWER(Upgrades!$U$20,L316),1)*IF(Upgrades!$T$21="Local Bubble",POWER(Upgrades!$U$21,M316),1))+(IF(G316=0,0,(Upgrades!$G$15+G316*Upgrades!$H$15)*POWER(Upgrades!$I$15,G316)))*(IF(Upgrades!$T$13="Microlensing",POWER(Upgrades!$U$13,E316),1)*IF(Upgrades!$T$14="Microlensing",POWER(Upgrades!$U$14,F316),1)*IF(Upgrades!$T$16="Microlensing",POWER(Upgrades!$U$16,H316),1)*IF(Upgrades!$T$17="Microlensing",POWER(Upgrades!$U$17,I316),1)*IF(Upgrades!$T$18="Microlensing",POWER(Upgrades!$U$18,J316),1)*IF(Upgrades!$T$19="Microlensing",POWER(Upgrades!$U$19,K316),1)*IF(Upgrades!$T$20="Microlensing",POWER(Upgrades!$U$20,L316),1)*IF(Upgrades!$T$21="Microlensing",POWER(Upgrades!$U$21,M316),1))+(IF(H316=0,0,(Upgrades!$G$16+H316*Upgrades!$H$16)*POWER(Upgrades!$I$16,H316)))*(IF(Upgrades!$T$13="Roche Lobe Overflow",POWER(Upgrades!$U$13,E316),1)*IF(Upgrades!$T$14="Roche Lobe Overflow",POWER(Upgrades!$U$14,F316),1)*IF(Upgrades!$T$15="Roche Lobe Overflow",POWER(Upgrades!$U$15,G316),1)*IF(Upgrades!$T$17="Roche Lobe Overflow",POWER(Upgrades!$U$17,I316),1)*IF(Upgrades!$T$18="Roche Lobe Overflow",POWER(Upgrades!$U$18,J316),1)*IF(Upgrades!$T$19="Roche Lobe Overflow",POWER(Upgrades!$U$19,K316),1)*IF(Upgrades!$T$20="Roche Lobe Overflow",POWER(Upgrades!$U$20,L316),1)*IF(Upgrades!$T$21="Roche Lobe Overflow",POWER(Upgrades!$U$21,M316),1))+(IF(I316=0,0,(Upgrades!$G$17+I316*Upgrades!$H$17)*POWER(Upgrades!$I$17,I316)))*(IF(Upgrades!$T$13="Brown Dwarf",POWER(Upgrades!$U$13,E316),1)*IF(Upgrades!$T$14="Brown Dwarf",POWER(Upgrades!$U$14,F316),1)*IF(Upgrades!$T$15="Brown Dwarf",POWER(Upgrades!$U$15,G316),1)*IF(Upgrades!$T$16="Brown Dwarf",POWER(Upgrades!$U$16,H316),1)*IF(Upgrades!$T$18="Brown Dwarf",POWER(Upgrades!$U$18,J316),1)*IF(Upgrades!$T$19="Brown Dwarf",POWER(Upgrades!$U$19,K316),1)*IF(Upgrades!$T$20="Brown Dwarf",POWER(Upgrades!$U$20,L316),1)*IF(Upgrades!$T$21="Brown Dwarf",POWER(Upgrades!$U$21,M316),1))+(IF(J316=0,0,(Upgrades!$G$18+J316*Upgrades!$H$18)*POWER(Upgrades!$I$18,J316)))*(IF(Upgrades!$T$13="Binary Partner",POWER(Upgrades!$U$13,E316),1)*IF(Upgrades!$T$14="Binary Partner",POWER(Upgrades!$U$14,F316),1)*IF(Upgrades!$T$15="Binary Partner",POWER(Upgrades!$U$15,G316),1)*IF(Upgrades!$T$16="Binary Partner",POWER(Upgrades!$U$16,H316),1)*IF(Upgrades!$T$17="Binary Partner",POWER(Upgrades!$U$17,I316),1)*IF(Upgrades!$T$19="Binary Partner",POWER(Upgrades!$U$19,K316),1)*IF(Upgrades!$T$20="Binary Partner",POWER(Upgrades!$U$20,L316),1)*IF(Upgrades!$T$21="Binary Partner",POWER(Upgrades!$U$21,M316),1))+(IF(K316=0,0,(Upgrades!$G$19+K316*Upgrades!$H$19)*POWER(Upgrades!$I$19,K316)))*(IF(Upgrades!$T$13="Peculiar Velocity",POWER(Upgrades!$U$13,E316),1)*IF(Upgrades!$T$14="Peculiar Velocity",POWER(Upgrades!$U$14,F316),1)*IF(Upgrades!$T$15="Peculiar Velocity",POWER(Upgrades!$U$15,G316),1)*IF(Upgrades!$T$16="Peculiar Velocity",POWER(Upgrades!$U$16,H316),1)*IF(Upgrades!$T$17="Peculiar Velocity",POWER(Upgrades!$U$17,I316),1)*IF(Upgrades!$T$18="Peculiar Velocity",POWER(Upgrades!$U$18,J316),1)*IF(Upgrades!$T$20="Peculiar Velocity",POWER(Upgrades!$U$20,L316),1)*IF(Upgrades!$T$21="Peculiar Velocity",POWER(Upgrades!$U$21,M316),1))+(IF(L316=0,0,(Upgrades!$G$20+L316*Upgrades!$H$20)*POWER(Upgrades!$I$20,L316)))*(IF(Upgrades!$T$13="Open Cluster",POWER(Upgrades!$U$13,E316),1)*IF(Upgrades!$T$14="Open Cluster",POWER(Upgrades!$U$14,F316),1)*IF(Upgrades!$T$15="Open Cluster",POWER(Upgrades!$U$15,G316),1)*IF(Upgrades!$T$16="Open Cluster",POWER(Upgrades!$U$16,H316),1)*IF(Upgrades!$T$17="Open Cluster",POWER(Upgrades!$U$17,I316),1)*IF(Upgrades!$T$18="Open Cluster",POWER(Upgrades!$U$18,J316),1)*IF(Upgrades!$T$19="Open Cluster",POWER(Upgrades!$U$19,K316),1)*IF(Upgrades!$T$21="Open Cluster",POWER(Upgrades!$U$21,M316),1))+(IF(M316=0,0,(Upgrades!$G$21+M316*Upgrades!$H$21)*POWER(Upgrades!$I$21,M316)))*(IF(Upgrades!$T$13="Moving Group",POWER(Upgrades!$U$13,E316),1)*IF(Upgrades!$T$14="Moving Group",POWER(Upgrades!$U$14,F316),1)*IF(Upgrades!$T$15="Moving Group",POWER(Upgrades!$U$15,G316),1)*IF(Upgrades!$T$16="Moving Group",POWER(Upgrades!$U$16,H316),1)*IF(Upgrades!$T$17="Moving Group",POWER(Upgrades!$U$17,I316),1)*IF(Upgrades!$T$18="Moving Group",POWER(Upgrades!$U$18,J316),1)*IF(Upgrades!$T$19="Moving Group",POWER(Upgrades!$U$19,K316),1)*IF(Upgrades!$T$20="Moving Group",POWER(Upgrades!$U$20,L316),1)))*POWER(Upgrades!$P$13,E316)*POWER(Upgrades!$P$14,F316)*POWER(Upgrades!$P$15,G316)*POWER(Upgrades!$P$16,H316)*POWER(Upgrades!$P$17,I316)*POWER(Upgrades!$P$18,J316)*POWER(Upgrades!$P$19,K316)*POWER(Upgrades!$P$20,L316)*POWER(Upgrades!$P$21,M316)*$F$6+$C$6</f>
        <v/>
      </c>
      <c r="Q316" s="28">
        <f>((IF(E316=0,0,(Upgrades!$M$13+E316*Upgrades!$N$13)*POWER(Upgrades!$O$13,E316)))*(IF(Upgrades!$T$14="Stellar Kinematics",POWER(Upgrades!$U$14,F316),1)*IF(Upgrades!$T$15="Stellar Kinematics",POWER(Upgrades!$U$15,G316),1)*IF(Upgrades!$T$16="Stellar Kinematics",POWER(Upgrades!$U$16,H316),1)*IF(Upgrades!$T$17="Stellar Kinematics",POWER(Upgrades!$U$17,I316),1)*IF(Upgrades!$T$18="Stellar Kinematics",POWER(Upgrades!$U$18,J316),1)*IF(Upgrades!$T$19="Stellar Kinematics",POWER(Upgrades!$U$19,K316),1)*IF(Upgrades!$T$20="Stellar Kinematics",POWER(Upgrades!$U$20,L316),1)*IF(Upgrades!$T$21="Stellar Kinematics",POWER(Upgrades!$U$21,M316),1))+(IF(F316=0,0,(Upgrades!$M$14+F316*Upgrades!$N$14)*POWER(Upgrades!$O$14,F316)))*(IF(Upgrades!$T$13="Local Bubble",POWER(Upgrades!$U$13,E316),1)*IF(Upgrades!$T$15="Local Bubble",POWER(Upgrades!$U$15,G316),1)*IF(Upgrades!$T$16="Local Bubble",POWER(Upgrades!$U$16,H316),1)*IF(Upgrades!$T$17="Local Bubble",POWER(Upgrades!$U$17,I316),1)*IF(Upgrades!$T$18="Local Bubble",POWER(Upgrades!$U$18,J316),1)*IF(Upgrades!$T$19="Local Bubble",POWER(Upgrades!$U$19,K316),1)*IF(Upgrades!$T$20="Local Bubble",POWER(Upgrades!$U$20,L316),1)*IF(Upgrades!$T$21="Local Bubble",POWER(Upgrades!$U$21,M316),1))+(IF(G316=0,0,(Upgrades!$M$15+G316*Upgrades!$N$15)*POWER(Upgrades!$O$15,G316)))*(IF(Upgrades!$T$13="Microlensing",POWER(Upgrades!$U$13,E316),1)*IF(Upgrades!$T$14="Microlensing",POWER(Upgrades!$U$14,F316),1)*IF(Upgrades!$T$16="Microlensing",POWER(Upgrades!$U$16,H316),1)*IF(Upgrades!$T$17="Microlensing",POWER(Upgrades!$U$17,I316),1)*IF(Upgrades!$T$18="Microlensing",POWER(Upgrades!$U$18,J316),1)*IF(Upgrades!$T$19="Microlensing",POWER(Upgrades!$U$19,K316),1)*IF(Upgrades!$T$20="Microlensing",POWER(Upgrades!$U$20,L316),1)*IF(Upgrades!$T$21="Microlensing",POWER(Upgrades!$U$21,M316),1))+(IF(H316=0,0,(Upgrades!$M$16+H316*Upgrades!$N$16)*POWER(Upgrades!$O$16,H316)))*(IF(Upgrades!$T$13="Roche Lobe Overflow",POWER(Upgrades!$U$13,E316),1)*IF(Upgrades!$T$14="Roche Lobe Overflow",POWER(Upgrades!$U$14,F316),1)*IF(Upgrades!$T$15="Roche Lobe Overflow",POWER(Upgrades!$U$15,G316),1)*IF(Upgrades!$T$17="Roche Lobe Overflow",POWER(Upgrades!$U$17,I316),1)*IF(Upgrades!$T$18="Roche Lobe Overflow",POWER(Upgrades!$U$18,J316),1)*IF(Upgrades!$T$19="Roche Lobe Overflow",POWER(Upgrades!$U$19,K316),1)*IF(Upgrades!$T$20="Roche Lobe Overflow",POWER(Upgrades!$U$20,L316),1)*IF(Upgrades!$T$21="Roche Lobe Overflow",POWER(Upgrades!$U$21,M316),1))+(IF(I316=0,0,(Upgrades!$M$17+I316*Upgrades!$N$17)*POWER(Upgrades!$O$17,I316)))*(IF(Upgrades!$T$13="Brown Dwarf",POWER(Upgrades!$U$13,E316),1)*IF(Upgrades!$T$14="Brown Dwarf",POWER(Upgrades!$U$14,F316),1)*IF(Upgrades!$T$15="Brown Dwarf",POWER(Upgrades!$U$15,G316),1)*IF(Upgrades!$T$16="Brown Dwarf",POWER(Upgrades!$U$16,H316),1)*IF(Upgrades!$T$18="Brown Dwarf",POWER(Upgrades!$U$18,J316),1)*IF(Upgrades!$T$19="Brown Dwarf",POWER(Upgrades!$U$19,K316),1)*IF(Upgrades!$T$20="Brown Dwarf",POWER(Upgrades!$U$20,L316),1)*IF(Upgrades!$T$21="Brown Dwarf",POWER(Upgrades!$U$21,M316),1))+(IF(J316=0,0,(Upgrades!$M$18+J316*Upgrades!$N$18)*POWER(Upgrades!$O$18,J316)))*(IF(Upgrades!$T$13="Binary Partner",POWER(Upgrades!$U$13,E316),1)*IF(Upgrades!$T$14="Binary Partner",POWER(Upgrades!$U$14,F316),1)*IF(Upgrades!$T$15="Binary Partner",POWER(Upgrades!$U$15,G316),1)*IF(Upgrades!$T$16="Binary Partner",POWER(Upgrades!$U$16,H316),1)*IF(Upgrades!$T$17="Binary Partner",POWER(Upgrades!$U$17,I316),1)*IF(Upgrades!$T$19="Binary Partner",POWER(Upgrades!$U$19,K316),1)*IF(Upgrades!$T$20="Binary Partner",POWER(Upgrades!$U$20,L316),1)*IF(Upgrades!$T$21="Binary Partner",POWER(Upgrades!$U$21,M316),1))+(IF(K316=0,0,(Upgrades!$M$19+K316*Upgrades!$N$19)*POWER(Upgrades!$O$19,K316)))*(IF(Upgrades!$T$13="Peculiar Velocity",POWER(Upgrades!$U$13,E316),1)*IF(Upgrades!$T$14="Peculiar Velocity",POWER(Upgrades!$U$14,F316),1)*IF(Upgrades!$T$15="Peculiar Velocity",POWER(Upgrades!$U$15,G316),1)*IF(Upgrades!$T$16="Peculiar Velocity",POWER(Upgrades!$U$16,H316),1)*IF(Upgrades!$T$17="Peculiar Velocity",POWER(Upgrades!$U$17,I316),1)*IF(Upgrades!$T$18="Peculiar Velocity",POWER(Upgrades!$U$18,J316),1)*IF(Upgrades!$T$20="Peculiar Velocity",POWER(Upgrades!$U$20,L316),1)*IF(Upgrades!$T$21="Peculiar Velocity",POWER(Upgrades!$U$21,M316),1))+(IF(L316=0,0,(Upgrades!$M$20+L316*Upgrades!$N$20)*POWER(Upgrades!$O$20,L316)))*(IF(Upgrades!$T$13="Open Cluster",POWER(Upgrades!$U$13,E316),1)*IF(Upgrades!$T$14="Open Cluster",POWER(Upgrades!$U$14,F316),1)*IF(Upgrades!$T$15="Open Cluster",POWER(Upgrades!$U$15,G316),1)*IF(Upgrades!$T$16="Open Cluster",POWER(Upgrades!$U$16,H316),1)*IF(Upgrades!$T$17="Open Cluster",POWER(Upgrades!$U$17,I316),1)*IF(Upgrades!$T$18="Open Cluster",POWER(Upgrades!$U$18,J316),1)*IF(Upgrades!$T$19="Open Cluster",POWER(Upgrades!$U$19,K316),1)*IF(Upgrades!$T$21="Open Cluster",POWER(Upgrades!$U$21,M316),1))+(IF(M316=0,0,(Upgrades!$M$21+M316*Upgrades!$N$21)*POWER(Upgrades!$O$21,M316)))*(IF(Upgrades!$T$13="Moving Group",POWER(Upgrades!$U$13,E316),1)*IF(Upgrades!$T$14="Moving Group",POWER(Upgrades!$U$14,F316),1)*IF(Upgrades!$T$15="Moving Group",POWER(Upgrades!$U$15,G316),1)*IF(Upgrades!$T$16="Moving Group",POWER(Upgrades!$U$16,H316),1)*IF(Upgrades!$T$17="Moving Group",POWER(Upgrades!$U$17,I316),1)*IF(Upgrades!$T$18="Moving Group",POWER(Upgrades!$U$18,J316),1)*IF(Upgrades!$T$19="Moving Group",POWER(Upgrades!$U$19,K316),1)*IF(Upgrades!$T$20="Moving Group",POWER(Upgrades!$U$20,L316),1)))*POWER(Upgrades!$R$13,E316)*POWER(Upgrades!$R$14,F316)*POWER(Upgrades!$R$15,G316)*POWER(Upgrades!$R$16,H316)*POWER(Upgrades!$R$17,I316)*POWER(Upgrades!$R$18,J316)*POWER(Upgrades!$R$19,K316)*POWER(Upgrades!$R$20,L316)*POWER(Upgrades!$R$21,M316)*$H$6+$E$6</f>
        <v/>
      </c>
      <c r="R316" s="27">
        <f>IF(N316=1,0,O316*Parameters!$B$10/60*Parameters!$B$11*10)</f>
        <v/>
      </c>
      <c r="S316" s="27">
        <f>IF(N316=1,0,Q316*O316*10)</f>
        <v/>
      </c>
      <c r="T316" s="27">
        <f>IF(N316=1,0,R316+S316+P316*10)</f>
        <v/>
      </c>
      <c r="U316" s="33">
        <f>BE316</f>
        <v/>
      </c>
      <c r="V316" s="22">
        <f>IF(U316="",0,IF(U316="transition",0,IF(U316="SK",AK316,IF(U316="LB",AL316,IF(U316="ML",AM316,IF(U316="RLO",AN316,IF(U316="BD",AO316,IF(U316="BiP",AP316,IF(U316="PV",AQ316,IF(U316="OC",AR316,IF(U316="MG",AS316,0))))))))))</f>
        <v/>
      </c>
      <c r="W316" s="27">
        <f>IF(U316="BiP",Upgrades!$F$18,IF(U316="PV",Upgrades!$F$19,IF(U316="OC",Upgrades!$F$20,IF(U316="MG",Upgrades!$F$21,IF(U316="transition",-Parameters!$B$18*Parameters!$B$19,0)))))</f>
        <v/>
      </c>
      <c r="X316" s="22">
        <f>C316+T316-V316</f>
        <v/>
      </c>
      <c r="Y316" s="30">
        <f>O316*Parameters!$B$10/60*Parameters!$B$11+Q316*O316+P316</f>
        <v/>
      </c>
      <c r="Z316" s="34">
        <f>IF(U316="transition","→ Tier 3 (Galactic Arm)",IF(U316="MG","Moving Group — pocket drifts together",IF(U316="OC","Open Cluster acquired",IF(U316="PV","Peculiar Velocity — passive multiplier active",IF(U316="BiP","Binary Partner — pair bond formed",IF(AND(AU316=1,N316=0,AT316&lt;&gt;1),"Cohesion ready (waiting on completionists)","")))))) </f>
        <v/>
      </c>
      <c r="AA316" s="27">
        <f>(IF(E316=0,0,(Upgrades!$G$13+E316*Upgrades!$H$13)*POWER(Upgrades!$I$13,E316)))*(IF(Upgrades!$T$14="Stellar Kinematics",POWER(Upgrades!$U$14,F316),1)*IF(Upgrades!$T$15="Stellar Kinematics",POWER(Upgrades!$U$15,G316),1)*IF(Upgrades!$T$16="Stellar Kinematics",POWER(Upgrades!$U$16,H316),1)*IF(Upgrades!$T$17="Stellar Kinematics",POWER(Upgrades!$U$17,I316),1)*IF(Upgrades!$T$18="Stellar Kinematics",POWER(Upgrades!$U$18,J316),1)*IF(Upgrades!$T$19="Stellar Kinematics",POWER(Upgrades!$U$19,K316),1)*IF(Upgrades!$T$20="Stellar Kinematics",POWER(Upgrades!$U$20,L316),1)*IF(Upgrades!$T$21="Stellar Kinematics",POWER(Upgrades!$U$21,M316),1))*POWER(Upgrades!$P$13,E316)*POWER(Upgrades!$P$14,F316)*POWER(Upgrades!$P$15,G316)*POWER(Upgrades!$P$16,H316)*POWER(Upgrades!$P$17,I316)*POWER(Upgrades!$P$18,J316)*POWER(Upgrades!$P$19,K316)*POWER(Upgrades!$P$20,L316)*POWER(Upgrades!$P$21,M316)*$F$6*60</f>
        <v/>
      </c>
      <c r="AB316" s="27">
        <f>(IF(F316=0,0,(Upgrades!$G$14+F316*Upgrades!$H$14)*POWER(Upgrades!$I$14,F316)))*(IF(Upgrades!$T$13="Local Bubble",POWER(Upgrades!$U$13,E316),1)*IF(Upgrades!$T$15="Local Bubble",POWER(Upgrades!$U$15,G316),1)*IF(Upgrades!$T$16="Local Bubble",POWER(Upgrades!$U$16,H316),1)*IF(Upgrades!$T$17="Local Bubble",POWER(Upgrades!$U$17,I316),1)*IF(Upgrades!$T$18="Local Bubble",POWER(Upgrades!$U$18,J316),1)*IF(Upgrades!$T$19="Local Bubble",POWER(Upgrades!$U$19,K316),1)*IF(Upgrades!$T$20="Local Bubble",POWER(Upgrades!$U$20,L316),1)*IF(Upgrades!$T$21="Local Bubble",POWER(Upgrades!$U$21,M316),1))*POWER(Upgrades!$P$13,E316)*POWER(Upgrades!$P$14,F316)*POWER(Upgrades!$P$15,G316)*POWER(Upgrades!$P$16,H316)*POWER(Upgrades!$P$17,I316)*POWER(Upgrades!$P$18,J316)*POWER(Upgrades!$P$19,K316)*POWER(Upgrades!$P$20,L316)*POWER(Upgrades!$P$21,M316)*$F$6*60</f>
        <v/>
      </c>
      <c r="AC316" s="27">
        <f>(IF(G316=0,0,(Upgrades!$J$15+G316*Upgrades!$K$15)*POWER(Upgrades!$L$15,G316)))*(IF(Upgrades!$T$13="Microlensing",POWER(Upgrades!$U$13,E316),1)*IF(Upgrades!$T$14="Microlensing",POWER(Upgrades!$U$14,F316),1)*IF(Upgrades!$T$16="Microlensing",POWER(Upgrades!$U$16,H316),1)*IF(Upgrades!$T$17="Microlensing",POWER(Upgrades!$U$17,I316),1)*IF(Upgrades!$T$18="Microlensing",POWER(Upgrades!$U$18,J316),1)*IF(Upgrades!$T$19="Microlensing",POWER(Upgrades!$U$19,K316),1)*IF(Upgrades!$T$20="Microlensing",POWER(Upgrades!$U$20,L316),1)*IF(Upgrades!$T$21="Microlensing",POWER(Upgrades!$U$21,M316),1))*POWER(Upgrades!$Q$13,E316)*POWER(Upgrades!$Q$14,F316)*POWER(Upgrades!$Q$15,G316)*POWER(Upgrades!$Q$16,H316)*POWER(Upgrades!$Q$17,I316)*POWER(Upgrades!$Q$18,J316)*POWER(Upgrades!$Q$19,K316)*POWER(Upgrades!$Q$20,L316)*POWER(Upgrades!$Q$21,M316)*$G$6*(Parameters!$B$10*Parameters!$B$11+Q316*60)</f>
        <v/>
      </c>
      <c r="AD316" s="27">
        <f>(IF(H316=0,0,(Upgrades!$M$16+H316*Upgrades!$N$16)*POWER(Upgrades!$O$16,H316)))*(IF(Upgrades!$T$13="Roche Lobe Overflow",POWER(Upgrades!$U$13,E316),1)*IF(Upgrades!$T$14="Roche Lobe Overflow",POWER(Upgrades!$U$14,F316),1)*IF(Upgrades!$T$15="Roche Lobe Overflow",POWER(Upgrades!$U$15,G316),1)*IF(Upgrades!$T$17="Roche Lobe Overflow",POWER(Upgrades!$U$17,I316),1)*IF(Upgrades!$T$18="Roche Lobe Overflow",POWER(Upgrades!$U$18,J316),1)*IF(Upgrades!$T$19="Roche Lobe Overflow",POWER(Upgrades!$U$19,K316),1)*IF(Upgrades!$T$20="Roche Lobe Overflow",POWER(Upgrades!$U$20,L316),1)*IF(Upgrades!$T$21="Roche Lobe Overflow",POWER(Upgrades!$U$21,M316),1))*POWER(Upgrades!$R$13,E316)*POWER(Upgrades!$R$14,F316)*POWER(Upgrades!$R$15,G316)*POWER(Upgrades!$R$16,H316)*POWER(Upgrades!$R$17,I316)*POWER(Upgrades!$R$18,J316)*POWER(Upgrades!$R$19,K316)*POWER(Upgrades!$R$20,L316)*POWER(Upgrades!$R$21,M316)*$H$6*O316*60</f>
        <v/>
      </c>
      <c r="AE316" s="27">
        <f>(IF(I316=0,0,(Upgrades!$G$17+I316*Upgrades!$H$17)*POWER(Upgrades!$I$17,I316)))*(IF(Upgrades!$T$13="Brown Dwarf",POWER(Upgrades!$U$13,E316),1)*IF(Upgrades!$T$14="Brown Dwarf",POWER(Upgrades!$U$14,F316),1)*IF(Upgrades!$T$15="Brown Dwarf",POWER(Upgrades!$U$15,G316),1)*IF(Upgrades!$T$16="Brown Dwarf",POWER(Upgrades!$U$16,H316),1)*IF(Upgrades!$T$18="Brown Dwarf",POWER(Upgrades!$U$18,J316),1)*IF(Upgrades!$T$19="Brown Dwarf",POWER(Upgrades!$U$19,K316),1)*IF(Upgrades!$T$20="Brown Dwarf",POWER(Upgrades!$U$20,L316),1)*IF(Upgrades!$T$21="Brown Dwarf",POWER(Upgrades!$U$21,M316),1))*POWER(Upgrades!$P$13,E316)*POWER(Upgrades!$P$14,F316)*POWER(Upgrades!$P$15,G316)*POWER(Upgrades!$P$16,H316)*POWER(Upgrades!$P$17,I316)*POWER(Upgrades!$P$18,J316)*POWER(Upgrades!$P$19,K316)*POWER(Upgrades!$P$20,L316)*POWER(Upgrades!$P$21,M316)*$F$6*60</f>
        <v/>
      </c>
      <c r="AF316" s="27" t="n">
        <v>0</v>
      </c>
      <c r="AG316" s="27" t="n">
        <v>0</v>
      </c>
      <c r="AH316" s="27" t="n">
        <v>0</v>
      </c>
      <c r="AI316" s="27">
        <f>(IF(M316=0,0,(Upgrades!$G$21+M316*Upgrades!$H$21)*POWER(Upgrades!$I$21,M316)))*(IF(Upgrades!$T$13="Moving Group",POWER(Upgrades!$U$13,E316),1)*IF(Upgrades!$T$14="Moving Group",POWER(Upgrades!$U$14,F316),1)*IF(Upgrades!$T$15="Moving Group",POWER(Upgrades!$U$15,G316),1)*IF(Upgrades!$T$16="Moving Group",POWER(Upgrades!$U$16,H316),1)*IF(Upgrades!$T$17="Moving Group",POWER(Upgrades!$U$17,I316),1)*IF(Upgrades!$T$18="Moving Group",POWER(Upgrades!$U$18,J316),1)*IF(Upgrades!$T$19="Moving Group",POWER(Upgrades!$U$19,K316),1)*IF(Upgrades!$T$20="Moving Group",POWER(Upgrades!$U$20,L316),1))*POWER(Upgrades!$P$13,E316)*POWER(Upgrades!$P$14,F316)*POWER(Upgrades!$P$15,G316)*POWER(Upgrades!$P$16,H316)*POWER(Upgrades!$P$17,I316)*POWER(Upgrades!$P$18,J316)*POWER(Upgrades!$P$19,K316)*POWER(Upgrades!$P$20,L316)*POWER(Upgrades!$P$21,M316)*$F$6*60</f>
        <v/>
      </c>
      <c r="AJ316" s="27">
        <f>$C$6*60</f>
        <v/>
      </c>
      <c r="AK316" s="22">
        <f>IF(E316&gt;=Upgrades!$E$13,"",Upgrades!$C$13*POWER(Upgrades!$D$13,E316))</f>
        <v/>
      </c>
      <c r="AL316" s="22">
        <f>IF(F316&gt;=Upgrades!$E$14,"",Upgrades!$C$14*POWER(Upgrades!$D$14,F316))</f>
        <v/>
      </c>
      <c r="AM316" s="22">
        <f>IF(G316&gt;=Upgrades!$E$15,"",Upgrades!$C$15*POWER(Upgrades!$D$15,G316))</f>
        <v/>
      </c>
      <c r="AN316" s="22">
        <f>IF(H316&gt;=Upgrades!$E$16,"",Upgrades!$C$16*POWER(Upgrades!$D$16,H316))</f>
        <v/>
      </c>
      <c r="AO316" s="22">
        <f>IF(I316&gt;=Upgrades!$E$17,"",Upgrades!$C$17*POWER(Upgrades!$D$17,I316))</f>
        <v/>
      </c>
      <c r="AP316" s="22">
        <f>IF(J316&gt;=Upgrades!$E$18,"",Upgrades!$C$18*POWER(Upgrades!$D$18,J316))</f>
        <v/>
      </c>
      <c r="AQ316" s="22">
        <f>IF(K316&gt;=Upgrades!$E$19,"",Upgrades!$C$19*POWER(Upgrades!$D$19,K316))</f>
        <v/>
      </c>
      <c r="AR316" s="22">
        <f>IF(L316&gt;=Upgrades!$E$20,"",Upgrades!$C$20*POWER(Upgrades!$D$20,L316))</f>
        <v/>
      </c>
      <c r="AS316" s="22">
        <f>IF(M316&gt;=Upgrades!$E$21,"",Upgrades!$C$21*POWER(Upgrades!$D$21,M316))</f>
        <v/>
      </c>
      <c r="AT316" s="26">
        <f>IF(AND(D316&gt;=Parameters!$B$18*Parameters!$B$19,(I316&gt;=Upgrades!$E$17)*(M316&gt;=Upgrades!$E$21)=1,N316=0),1,"")</f>
        <v/>
      </c>
      <c r="AU316" s="26">
        <f>IF(AND(D316&gt;=Parameters!$B$18*Parameters!$B$19,N316=0),1,"")</f>
        <v/>
      </c>
      <c r="AV316" s="22">
        <f>MIN(IF(ISNUMBER(AP316),AP316,9E15),IF(ISNUMBER(AQ316),AQ316,9E15),IF(ISNUMBER(AR316),AR316,9E15),IF(ISNUMBER(AS316),AS316,9E15))</f>
        <v/>
      </c>
      <c r="AW316" s="22">
        <f>MIN(IF(ISNUMBER(AK316),AK316,9E15),IF(ISNUMBER(AL316),AL316,9E15),IF(ISNUMBER(AM316),AM316,9E15),IF(ISNUMBER(AN316),AN316,9E15),IF(ISNUMBER(AO316),AO316,9E15))</f>
        <v/>
      </c>
      <c r="AX316" s="29">
        <f>IF(BD316&gt;Parameters!$B$21*(MAX(IF(AND(NOT(AND(AU316=1,AT316&lt;&gt;1)),ISNUMBER(AK316),AK316&lt;=(C316+T316)),AY316,0),IF(AND(NOT(AND(AU316=1,AT316&lt;&gt;1)),ISNUMBER(AL316),AL316&lt;=(C316+T316)),AZ316,0),IF(AND(NOT(AND(AU316=1,AT316&lt;&gt;1)),ISNUMBER(AM316),AM316&lt;=(C316+T316)),BA316,0),IF(AND(NOT(AND(AU316=1,AT316&lt;&gt;1)),ISNUMBER(AN316),AN316&lt;=(C316+T316)),BB316,0),IF(AND(ISNUMBER(AO316),AO316&lt;=(C316+T316)),BC316,0))),TRUE,FALSE)</f>
        <v/>
      </c>
      <c r="AY316" s="32">
        <f>IFERROR(Upgrades!$H$13*(POWER(Upgrades!$P$13,E316)*POWER(Upgrades!$P$14,F316)*POWER(Upgrades!$P$15,G316)*POWER(Upgrades!$P$16,H316)*POWER(Upgrades!$P$17,I316)*POWER(Upgrades!$P$18,J316)*POWER(Upgrades!$P$19,K316)*POWER(Upgrades!$P$20,L316)*POWER(Upgrades!$P$21,M316))*(IF(Upgrades!$T$14="Stellar Kinematics",POWER(Upgrades!$U$14,F316),1)*IF(Upgrades!$T$15="Stellar Kinematics",POWER(Upgrades!$U$15,G316),1)*IF(Upgrades!$T$16="Stellar Kinematics",POWER(Upgrades!$U$16,H316),1)*IF(Upgrades!$T$17="Stellar Kinematics",POWER(Upgrades!$U$17,I316),1)*IF(Upgrades!$T$18="Stellar Kinematics",POWER(Upgrades!$U$18,J316),1)*IF(Upgrades!$T$19="Stellar Kinematics",POWER(Upgrades!$U$19,K316),1)*IF(Upgrades!$T$20="Stellar Kinematics",POWER(Upgrades!$U$20,L316),1)*IF(Upgrades!$T$21="Stellar Kinematics",POWER(Upgrades!$U$21,M316),1))*$F$6/AK316,0)</f>
        <v/>
      </c>
      <c r="AZ316" s="32">
        <f>IFERROR(Upgrades!$H$14*(POWER(Upgrades!$P$13,E316)*POWER(Upgrades!$P$14,F316)*POWER(Upgrades!$P$15,G316)*POWER(Upgrades!$P$16,H316)*POWER(Upgrades!$P$17,I316)*POWER(Upgrades!$P$18,J316)*POWER(Upgrades!$P$19,K316)*POWER(Upgrades!$P$20,L316)*POWER(Upgrades!$P$21,M316))*(IF(Upgrades!$T$13="Local Bubble",POWER(Upgrades!$U$13,E316),1)*IF(Upgrades!$T$15="Local Bubble",POWER(Upgrades!$U$15,G316),1)*IF(Upgrades!$T$16="Local Bubble",POWER(Upgrades!$U$16,H316),1)*IF(Upgrades!$T$17="Local Bubble",POWER(Upgrades!$U$17,I316),1)*IF(Upgrades!$T$18="Local Bubble",POWER(Upgrades!$U$18,J316),1)*IF(Upgrades!$T$19="Local Bubble",POWER(Upgrades!$U$19,K316),1)*IF(Upgrades!$T$20="Local Bubble",POWER(Upgrades!$U$20,L316),1)*IF(Upgrades!$T$21="Local Bubble",POWER(Upgrades!$U$21,M316),1))*$F$6/AL316,0)</f>
        <v/>
      </c>
      <c r="BA316" s="32">
        <f>IFERROR(Upgrades!$K$15*(POWER(Upgrades!$Q$13,E316)*POWER(Upgrades!$Q$14,F316)*POWER(Upgrades!$Q$15,G316)*POWER(Upgrades!$Q$16,H316)*POWER(Upgrades!$Q$17,I316)*POWER(Upgrades!$Q$18,J316)*POWER(Upgrades!$Q$19,K316)*POWER(Upgrades!$Q$20,L316)*POWER(Upgrades!$Q$21,M316))*(IF(Upgrades!$T$13="Microlensing",POWER(Upgrades!$U$13,E316),1)*IF(Upgrades!$T$14="Microlensing",POWER(Upgrades!$U$14,F316),1)*IF(Upgrades!$T$16="Microlensing",POWER(Upgrades!$U$16,H316),1)*IF(Upgrades!$T$17="Microlensing",POWER(Upgrades!$U$17,I316),1)*IF(Upgrades!$T$18="Microlensing",POWER(Upgrades!$U$18,J316),1)*IF(Upgrades!$T$19="Microlensing",POWER(Upgrades!$U$19,K316),1)*IF(Upgrades!$T$20="Microlensing",POWER(Upgrades!$U$20,L316),1)*IF(Upgrades!$T$21="Microlensing",POWER(Upgrades!$U$21,M316),1))*$G$6*(Parameters!$B$10/60*Parameters!$B$11+Q316)/AM316,0)</f>
        <v/>
      </c>
      <c r="BB316" s="32">
        <f>IFERROR((Upgrades!$N$16*(POWER(Upgrades!$R$13,E316)*POWER(Upgrades!$R$14,F316)*POWER(Upgrades!$R$15,G316)*POWER(Upgrades!$R$16,H316)*POWER(Upgrades!$R$17,I316)*POWER(Upgrades!$R$18,J316)*POWER(Upgrades!$R$19,K316)*POWER(Upgrades!$R$20,L316)*POWER(Upgrades!$R$21,M316))*(IF(Upgrades!$T$13="Roche Lobe Overflow",POWER(Upgrades!$U$13,E316),1)*IF(Upgrades!$T$14="Roche Lobe Overflow",POWER(Upgrades!$U$14,F316),1)*IF(Upgrades!$T$15="Roche Lobe Overflow",POWER(Upgrades!$U$15,G316),1)*IF(Upgrades!$T$17="Roche Lobe Overflow",POWER(Upgrades!$U$17,I316),1)*IF(Upgrades!$T$18="Roche Lobe Overflow",POWER(Upgrades!$U$18,J316),1)*IF(Upgrades!$T$19="Roche Lobe Overflow",POWER(Upgrades!$U$19,K316),1)*IF(Upgrades!$T$20="Roche Lobe Overflow",POWER(Upgrades!$U$20,L316),1)*IF(Upgrades!$T$21="Roche Lobe Overflow",POWER(Upgrades!$U$21,M316),1))*$H$6*O316+((IF(F316=0,0,(Upgrades!$G$14+F316*Upgrades!$H$14)*POWER(Upgrades!$I$14,F316)))*(IF(Upgrades!$T$13="Local Bubble",POWER(Upgrades!$U$13,E316),1)*IF(Upgrades!$T$15="Local Bubble",POWER(Upgrades!$U$15,G316),1)*IF(Upgrades!$T$16="Local Bubble",POWER(Upgrades!$U$16,H316),1)*IF(Upgrades!$T$17="Local Bubble",POWER(Upgrades!$U$17,I316),1)*IF(Upgrades!$T$18="Local Bubble",POWER(Upgrades!$U$18,J316),1)*IF(Upgrades!$T$19="Local Bubble",POWER(Upgrades!$U$19,K316),1)*IF(Upgrades!$T$20="Local Bubble",POWER(Upgrades!$U$20,L316),1)*IF(Upgrades!$T$21="Local Bubble",POWER(Upgrades!$U$21,M316),1))*POWER(Upgrades!$P$13,E316)*POWER(Upgrades!$P$14,F316)*POWER(Upgrades!$P$15,G316)*POWER(Upgrades!$P$16,H316)*POWER(Upgrades!$P$17,I316)*POWER(Upgrades!$P$18,J316)*POWER(Upgrades!$P$19,K316)*POWER(Upgrades!$P$20,L316)*POWER(Upgrades!$P$21,M316)*$F$6)*0.05)/AN316,0)</f>
        <v/>
      </c>
      <c r="BC316" s="32">
        <f>IFERROR((Upgrades!$H$17*(POWER(Upgrades!$P$13,E316)*POWER(Upgrades!$P$14,F316)*POWER(Upgrades!$P$15,G316)*POWER(Upgrades!$P$16,H316)*POWER(Upgrades!$P$17,I316)*POWER(Upgrades!$P$18,J316)*POWER(Upgrades!$P$19,K316)*POWER(Upgrades!$P$20,L316)*POWER(Upgrades!$P$21,M316))*(IF(Upgrades!$T$13="Brown Dwarf",POWER(Upgrades!$U$13,E316),1)*IF(Upgrades!$T$14="Brown Dwarf",POWER(Upgrades!$U$14,F316),1)*IF(Upgrades!$T$15="Brown Dwarf",POWER(Upgrades!$U$15,G316),1)*IF(Upgrades!$T$16="Brown Dwarf",POWER(Upgrades!$U$16,H316),1)*IF(Upgrades!$T$18="Brown Dwarf",POWER(Upgrades!$U$18,J316),1)*IF(Upgrades!$T$19="Brown Dwarf",POWER(Upgrades!$U$19,K316),1)*IF(Upgrades!$T$20="Brown Dwarf",POWER(Upgrades!$U$20,L316),1)*IF(Upgrades!$T$21="Brown Dwarf",POWER(Upgrades!$U$21,M316),1))*$F$6+(((IF(H316=0,0,(Upgrades!$M$16+H316*Upgrades!$N$16)*POWER(Upgrades!$O$16,H316)))*(IF(Upgrades!$T$13="Roche Lobe Overflow",POWER(Upgrades!$U$13,E316),1)*IF(Upgrades!$T$14="Roche Lobe Overflow",POWER(Upgrades!$U$14,F316),1)*IF(Upgrades!$T$15="Roche Lobe Overflow",POWER(Upgrades!$U$15,G316),1)*IF(Upgrades!$T$17="Roche Lobe Overflow",POWER(Upgrades!$U$17,I316),1)*IF(Upgrades!$T$18="Roche Lobe Overflow",POWER(Upgrades!$U$18,J316),1)*IF(Upgrades!$T$19="Roche Lobe Overflow",POWER(Upgrades!$U$19,K316),1)*IF(Upgrades!$T$20="Roche Lobe Overflow",POWER(Upgrades!$U$20,L316),1)*IF(Upgrades!$T$21="Roche Lobe Overflow",POWER(Upgrades!$U$21,M316),1))*POWER(Upgrades!$R$13,E316)*POWER(Upgrades!$R$14,F316)*POWER(Upgrades!$R$15,G316)*POWER(Upgrades!$R$16,H316)*POWER(Upgrades!$R$17,I316)*POWER(Upgrades!$R$18,J316)*POWER(Upgrades!$R$19,K316)*POWER(Upgrades!$R$20,L316)*POWER(Upgrades!$R$21,M316)*$H$6)*O316)*0.10)/AO316,0)</f>
        <v/>
      </c>
      <c r="BD316" s="32">
        <f>MAX(IF(J316&gt;0,0,IFERROR(0.5*((IF(G316=0,0,(Upgrades!$J$15+G316*Upgrades!$K$15)*POWER(Upgrades!$L$15,G316)))*(IF(Upgrades!$T$13="Microlensing",POWER(Upgrades!$U$13,E316),1)*IF(Upgrades!$T$14="Microlensing",POWER(Upgrades!$U$14,F316),1)*IF(Upgrades!$T$16="Microlensing",POWER(Upgrades!$U$16,H316),1)*IF(Upgrades!$T$17="Microlensing",POWER(Upgrades!$U$17,I316),1)*IF(Upgrades!$T$18="Microlensing",POWER(Upgrades!$U$18,J316),1)*IF(Upgrades!$T$19="Microlensing",POWER(Upgrades!$U$19,K316),1)*IF(Upgrades!$T$20="Microlensing",POWER(Upgrades!$U$20,L316),1)*IF(Upgrades!$T$21="Microlensing",POWER(Upgrades!$U$21,M316),1))*(POWER(Upgrades!$Q$13,E316)*POWER(Upgrades!$Q$14,F316)*POWER(Upgrades!$Q$15,G316)*POWER(Upgrades!$Q$16,H316)*POWER(Upgrades!$Q$17,I316)*POWER(Upgrades!$Q$18,J316)*POWER(Upgrades!$Q$19,K316)*POWER(Upgrades!$Q$20,L316)*POWER(Upgrades!$Q$21,M316))*$G$6*(Parameters!$B$10/60*Parameters!$B$11+Q316))/Upgrades!$C$18,0)),IF(K316&gt;0,0,IFERROR(0.30*P316/Upgrades!$C$19,0)),IF(L316&gt;0,0,IFERROR(0.0001/Upgrades!$C$20,0)),IF(M316&gt;0,0,IFERROR((6.0*(POWER(Upgrades!$P$13,E316)*POWER(Upgrades!$P$14,F316)*POWER(Upgrades!$P$15,G316)*POWER(Upgrades!$P$16,H316)*POWER(Upgrades!$P$17,I316)*POWER(Upgrades!$P$18,J316)*POWER(Upgrades!$P$19,K316)*POWER(Upgrades!$P$20,L316)*POWER(Upgrades!$P$21,M316))*$F$6+0.20*O316*(Parameters!$B$10/60*Parameters!$B$11+Q316))/Upgrades!$C$21,0)),IF(AND(ISNUMBER(AK316),AK316&gt;(C316+T316)),AY316,0),IF(AND(ISNUMBER(AL316),AL316&gt;(C316+T316)),AZ316,0),IF(AND(ISNUMBER(AM316),AM316&gt;(C316+T316)),BA316,0),IF(AND(ISNUMBER(AN316),AN316&gt;(C316+T316)),BB316,0),IF(AND(ISNUMBER(AO316),AO316&gt;(C316+T316)),BC316,0))</f>
        <v/>
      </c>
      <c r="BE316" s="29">
        <f>IF(AT316=1,"transition",IF(MIN(IF(AND(J316=0,ISNUMBER(AP316),AP316&lt;=(C316+T316)),AP316,9E15),IF(AND(K316=0,ISNUMBER(AQ316),AQ316&lt;=(C316+T316)),AQ316,9E15),IF(AND(L316=0,ISNUMBER(AR316),AR316&lt;=(C316+T316)),AR316,9E15),IF(AND(M316=0,ISNUMBER(AS316),AS316&lt;=(C316+T316)),AS316,9E15))&lt;9E15,IF(AND(AND(J316=0,ISNUMBER(AP316),AP316&lt;=(C316+T316)),AP316=MIN(IF(AND(J316=0,ISNUMBER(AP316),AP316&lt;=(C316+T316)),AP316,9E15),IF(AND(K316=0,ISNUMBER(AQ316),AQ316&lt;=(C316+T316)),AQ316,9E15),IF(AND(L316=0,ISNUMBER(AR316),AR316&lt;=(C316+T316)),AR316,9E15),IF(AND(M316=0,ISNUMBER(AS316),AS316&lt;=(C316+T316)),AS316,9E15))),"BiP",IF(AND(AND(K316=0,ISNUMBER(AQ316),AQ316&lt;=(C316+T316)),AQ316=MIN(IF(AND(J316=0,ISNUMBER(AP316),AP316&lt;=(C316+T316)),AP316,9E15),IF(AND(K316=0,ISNUMBER(AQ316),AQ316&lt;=(C316+T316)),AQ316,9E15),IF(AND(L316=0,ISNUMBER(AR316),AR316&lt;=(C316+T316)),AR316,9E15),IF(AND(M316=0,ISNUMBER(AS316),AS316&lt;=(C316+T316)),AS316,9E15))),"PV",IF(AND(AND(L316=0,ISNUMBER(AR316),AR316&lt;=(C316+T316)),AR316=MIN(IF(AND(J316=0,ISNUMBER(AP316),AP316&lt;=(C316+T316)),AP316,9E15),IF(AND(K316=0,ISNUMBER(AQ316),AQ316&lt;=(C316+T316)),AQ316,9E15),IF(AND(L316=0,ISNUMBER(AR316),AR316&lt;=(C316+T316)),AR316,9E15),IF(AND(M316=0,ISNUMBER(AS316),AS316&lt;=(C316+T316)),AS316,9E15))),"OC","MG"))),IF(AX316=TRUE,"",IF(MAX(IF(AND(NOT(AND(AU316=1,AT316&lt;&gt;1)),ISNUMBER(AK316),AK316&lt;=(C316+T316)),AY316,0),IF(AND(NOT(AND(AU316=1,AT316&lt;&gt;1)),ISNUMBER(AL316),AL316&lt;=(C316+T316)),AZ316,0),IF(AND(NOT(AND(AU316=1,AT316&lt;&gt;1)),ISNUMBER(AM316),AM316&lt;=(C316+T316)),BA316,0),IF(AND(NOT(AND(AU316=1,AT316&lt;&gt;1)),ISNUMBER(AN316),AN316&lt;=(C316+T316)),BB316,0),IF(AND(ISNUMBER(AO316),AO316&lt;=(C316+T316)),BC316,0))&lt;=0,"",IF(AND(IF(AND(NOT(AND(AU316=1,AT316&lt;&gt;1)),ISNUMBER(AK316),AK316&lt;=(C316+T316)),AY316,0)&gt;0,IF(AND(NOT(AND(AU316=1,AT316&lt;&gt;1)),ISNUMBER(AK316),AK316&lt;=(C316+T316)),AY316,0)=MAX(IF(AND(NOT(AND(AU316=1,AT316&lt;&gt;1)),ISNUMBER(AK316),AK316&lt;=(C316+T316)),AY316,0),IF(AND(NOT(AND(AU316=1,AT316&lt;&gt;1)),ISNUMBER(AL316),AL316&lt;=(C316+T316)),AZ316,0),IF(AND(NOT(AND(AU316=1,AT316&lt;&gt;1)),ISNUMBER(AM316),AM316&lt;=(C316+T316)),BA316,0),IF(AND(NOT(AND(AU316=1,AT316&lt;&gt;1)),ISNUMBER(AN316),AN316&lt;=(C316+T316)),BB316,0),IF(AND(ISNUMBER(AO316),AO316&lt;=(C316+T316)),BC316,0))),"SK",IF(AND(IF(AND(NOT(AND(AU316=1,AT316&lt;&gt;1)),ISNUMBER(AL316),AL316&lt;=(C316+T316)),AZ316,0)&gt;0,IF(AND(NOT(AND(AU316=1,AT316&lt;&gt;1)),ISNUMBER(AL316),AL316&lt;=(C316+T316)),AZ316,0)=MAX(IF(AND(NOT(AND(AU316=1,AT316&lt;&gt;1)),ISNUMBER(AK316),AK316&lt;=(C316+T316)),AY316,0),IF(AND(NOT(AND(AU316=1,AT316&lt;&gt;1)),ISNUMBER(AL316),AL316&lt;=(C316+T316)),AZ316,0),IF(AND(NOT(AND(AU316=1,AT316&lt;&gt;1)),ISNUMBER(AM316),AM316&lt;=(C316+T316)),BA316,0),IF(AND(NOT(AND(AU316=1,AT316&lt;&gt;1)),ISNUMBER(AN316),AN316&lt;=(C316+T316)),BB316,0),IF(AND(ISNUMBER(AO316),AO316&lt;=(C316+T316)),BC316,0))),"LB",IF(AND(IF(AND(NOT(AND(AU316=1,AT316&lt;&gt;1)),ISNUMBER(AM316),AM316&lt;=(C316+T316)),BA316,0)&gt;0,IF(AND(NOT(AND(AU316=1,AT316&lt;&gt;1)),ISNUMBER(AM316),AM316&lt;=(C316+T316)),BA316,0)=MAX(IF(AND(NOT(AND(AU316=1,AT316&lt;&gt;1)),ISNUMBER(AK316),AK316&lt;=(C316+T316)),AY316,0),IF(AND(NOT(AND(AU316=1,AT316&lt;&gt;1)),ISNUMBER(AL316),AL316&lt;=(C316+T316)),AZ316,0),IF(AND(NOT(AND(AU316=1,AT316&lt;&gt;1)),ISNUMBER(AM316),AM316&lt;=(C316+T316)),BA316,0),IF(AND(NOT(AND(AU316=1,AT316&lt;&gt;1)),ISNUMBER(AN316),AN316&lt;=(C316+T316)),BB316,0),IF(AND(ISNUMBER(AO316),AO316&lt;=(C316+T316)),BC316,0))),"ML",IF(AND(IF(AND(NOT(AND(AU316=1,AT316&lt;&gt;1)),ISNUMBER(AN316),AN316&lt;=(C316+T316)),BB316,0)&gt;0,IF(AND(NOT(AND(AU316=1,AT316&lt;&gt;1)),ISNUMBER(AN316),AN316&lt;=(C316+T316)),BB316,0)=MAX(IF(AND(NOT(AND(AU316=1,AT316&lt;&gt;1)),ISNUMBER(AK316),AK316&lt;=(C316+T316)),AY316,0),IF(AND(NOT(AND(AU316=1,AT316&lt;&gt;1)),ISNUMBER(AL316),AL316&lt;=(C316+T316)),AZ316,0),IF(AND(NOT(AND(AU316=1,AT316&lt;&gt;1)),ISNUMBER(AM316),AM316&lt;=(C316+T316)),BA316,0),IF(AND(NOT(AND(AU316=1,AT316&lt;&gt;1)),ISNUMBER(AN316),AN316&lt;=(C316+T316)),BB316,0),IF(AND(ISNUMBER(AO316),AO316&lt;=(C316+T316)),BC316,0))),"RLO","BD"))))))))</f>
        <v/>
      </c>
    </row>
    <row r="317">
      <c r="A317" s="26" t="n">
        <v>306</v>
      </c>
      <c r="B317" s="27">
        <f>A317*10/60</f>
        <v/>
      </c>
      <c r="C317" s="22">
        <f>X316</f>
        <v/>
      </c>
      <c r="D317" s="27">
        <f>D316+W316</f>
        <v/>
      </c>
      <c r="E317" s="26">
        <f>E316+IF(U316="SK",1,0)</f>
        <v/>
      </c>
      <c r="F317" s="26">
        <f>F316+IF(U316="LB",1,0)</f>
        <v/>
      </c>
      <c r="G317" s="26">
        <f>G316+IF(U316="ML",1,0)</f>
        <v/>
      </c>
      <c r="H317" s="26">
        <f>H316+IF(U316="RLO",1,0)</f>
        <v/>
      </c>
      <c r="I317" s="26">
        <f>I316+IF(U316="BD",1,0)</f>
        <v/>
      </c>
      <c r="J317" s="26">
        <f>MAX(J316,IF(U316="BiP",1,0))</f>
        <v/>
      </c>
      <c r="K317" s="26">
        <f>MAX(K316,IF(U316="PV",1,0))</f>
        <v/>
      </c>
      <c r="L317" s="26">
        <f>MAX(L316,IF(U316="OC",1,0))</f>
        <v/>
      </c>
      <c r="M317" s="26">
        <f>MAX(M316,IF(U316="MG",1,0))</f>
        <v/>
      </c>
      <c r="N317" s="26">
        <f>MAX(N316,IF(U316="transition",1,0))</f>
        <v/>
      </c>
      <c r="O317" s="28">
        <f>(Parameters!$B$9+(IF(E317=0,0,(Upgrades!$J$13+E317*Upgrades!$K$13)*POWER(Upgrades!$L$13,E317)))*(IF(Upgrades!$T$14="Stellar Kinematics",POWER(Upgrades!$U$14,F317),1)*IF(Upgrades!$T$15="Stellar Kinematics",POWER(Upgrades!$U$15,G317),1)*IF(Upgrades!$T$16="Stellar Kinematics",POWER(Upgrades!$U$16,H317),1)*IF(Upgrades!$T$17="Stellar Kinematics",POWER(Upgrades!$U$17,I317),1)*IF(Upgrades!$T$18="Stellar Kinematics",POWER(Upgrades!$U$18,J317),1)*IF(Upgrades!$T$19="Stellar Kinematics",POWER(Upgrades!$U$19,K317),1)*IF(Upgrades!$T$20="Stellar Kinematics",POWER(Upgrades!$U$20,L317),1)*IF(Upgrades!$T$21="Stellar Kinematics",POWER(Upgrades!$U$21,M317),1))+(IF(F317=0,0,(Upgrades!$J$14+F317*Upgrades!$K$14)*POWER(Upgrades!$L$14,F317)))*(IF(Upgrades!$T$13="Local Bubble",POWER(Upgrades!$U$13,E317),1)*IF(Upgrades!$T$15="Local Bubble",POWER(Upgrades!$U$15,G317),1)*IF(Upgrades!$T$16="Local Bubble",POWER(Upgrades!$U$16,H317),1)*IF(Upgrades!$T$17="Local Bubble",POWER(Upgrades!$U$17,I317),1)*IF(Upgrades!$T$18="Local Bubble",POWER(Upgrades!$U$18,J317),1)*IF(Upgrades!$T$19="Local Bubble",POWER(Upgrades!$U$19,K317),1)*IF(Upgrades!$T$20="Local Bubble",POWER(Upgrades!$U$20,L317),1)*IF(Upgrades!$T$21="Local Bubble",POWER(Upgrades!$U$21,M317),1))+(IF(G317=0,0,(Upgrades!$J$15+G317*Upgrades!$K$15)*POWER(Upgrades!$L$15,G317)))*(IF(Upgrades!$T$13="Microlensing",POWER(Upgrades!$U$13,E317),1)*IF(Upgrades!$T$14="Microlensing",POWER(Upgrades!$U$14,F317),1)*IF(Upgrades!$T$16="Microlensing",POWER(Upgrades!$U$16,H317),1)*IF(Upgrades!$T$17="Microlensing",POWER(Upgrades!$U$17,I317),1)*IF(Upgrades!$T$18="Microlensing",POWER(Upgrades!$U$18,J317),1)*IF(Upgrades!$T$19="Microlensing",POWER(Upgrades!$U$19,K317),1)*IF(Upgrades!$T$20="Microlensing",POWER(Upgrades!$U$20,L317),1)*IF(Upgrades!$T$21="Microlensing",POWER(Upgrades!$U$21,M317),1))+(IF(H317=0,0,(Upgrades!$J$16+H317*Upgrades!$K$16)*POWER(Upgrades!$L$16,H317)))*(IF(Upgrades!$T$13="Roche Lobe Overflow",POWER(Upgrades!$U$13,E317),1)*IF(Upgrades!$T$14="Roche Lobe Overflow",POWER(Upgrades!$U$14,F317),1)*IF(Upgrades!$T$15="Roche Lobe Overflow",POWER(Upgrades!$U$15,G317),1)*IF(Upgrades!$T$17="Roche Lobe Overflow",POWER(Upgrades!$U$17,I317),1)*IF(Upgrades!$T$18="Roche Lobe Overflow",POWER(Upgrades!$U$18,J317),1)*IF(Upgrades!$T$19="Roche Lobe Overflow",POWER(Upgrades!$U$19,K317),1)*IF(Upgrades!$T$20="Roche Lobe Overflow",POWER(Upgrades!$U$20,L317),1)*IF(Upgrades!$T$21="Roche Lobe Overflow",POWER(Upgrades!$U$21,M317),1))+(IF(I317=0,0,(Upgrades!$J$17+I317*Upgrades!$K$17)*POWER(Upgrades!$L$17,I317)))*(IF(Upgrades!$T$13="Brown Dwarf",POWER(Upgrades!$U$13,E317),1)*IF(Upgrades!$T$14="Brown Dwarf",POWER(Upgrades!$U$14,F317),1)*IF(Upgrades!$T$15="Brown Dwarf",POWER(Upgrades!$U$15,G317),1)*IF(Upgrades!$T$16="Brown Dwarf",POWER(Upgrades!$U$16,H317),1)*IF(Upgrades!$T$18="Brown Dwarf",POWER(Upgrades!$U$18,J317),1)*IF(Upgrades!$T$19="Brown Dwarf",POWER(Upgrades!$U$19,K317),1)*IF(Upgrades!$T$20="Brown Dwarf",POWER(Upgrades!$U$20,L317),1)*IF(Upgrades!$T$21="Brown Dwarf",POWER(Upgrades!$U$21,M317),1))+(IF(J317=0,0,(Upgrades!$J$18+J317*Upgrades!$K$18)*POWER(Upgrades!$L$18,J317)))*(IF(Upgrades!$T$13="Binary Partner",POWER(Upgrades!$U$13,E317),1)*IF(Upgrades!$T$14="Binary Partner",POWER(Upgrades!$U$14,F317),1)*IF(Upgrades!$T$15="Binary Partner",POWER(Upgrades!$U$15,G317),1)*IF(Upgrades!$T$16="Binary Partner",POWER(Upgrades!$U$16,H317),1)*IF(Upgrades!$T$17="Binary Partner",POWER(Upgrades!$U$17,I317),1)*IF(Upgrades!$T$19="Binary Partner",POWER(Upgrades!$U$19,K317),1)*IF(Upgrades!$T$20="Binary Partner",POWER(Upgrades!$U$20,L317),1)*IF(Upgrades!$T$21="Binary Partner",POWER(Upgrades!$U$21,M317),1))+(IF(K317=0,0,(Upgrades!$J$19+K317*Upgrades!$K$19)*POWER(Upgrades!$L$19,K317)))*(IF(Upgrades!$T$13="Peculiar Velocity",POWER(Upgrades!$U$13,E317),1)*IF(Upgrades!$T$14="Peculiar Velocity",POWER(Upgrades!$U$14,F317),1)*IF(Upgrades!$T$15="Peculiar Velocity",POWER(Upgrades!$U$15,G317),1)*IF(Upgrades!$T$16="Peculiar Velocity",POWER(Upgrades!$U$16,H317),1)*IF(Upgrades!$T$17="Peculiar Velocity",POWER(Upgrades!$U$17,I317),1)*IF(Upgrades!$T$18="Peculiar Velocity",POWER(Upgrades!$U$18,J317),1)*IF(Upgrades!$T$20="Peculiar Velocity",POWER(Upgrades!$U$20,L317),1)*IF(Upgrades!$T$21="Peculiar Velocity",POWER(Upgrades!$U$21,M317),1))+(IF(L317=0,0,(Upgrades!$J$20+L317*Upgrades!$K$20)*POWER(Upgrades!$L$20,L317)))*(IF(Upgrades!$T$13="Open Cluster",POWER(Upgrades!$U$13,E317),1)*IF(Upgrades!$T$14="Open Cluster",POWER(Upgrades!$U$14,F317),1)*IF(Upgrades!$T$15="Open Cluster",POWER(Upgrades!$U$15,G317),1)*IF(Upgrades!$T$16="Open Cluster",POWER(Upgrades!$U$16,H317),1)*IF(Upgrades!$T$17="Open Cluster",POWER(Upgrades!$U$17,I317),1)*IF(Upgrades!$T$18="Open Cluster",POWER(Upgrades!$U$18,J317),1)*IF(Upgrades!$T$19="Open Cluster",POWER(Upgrades!$U$19,K317),1)*IF(Upgrades!$T$21="Open Cluster",POWER(Upgrades!$U$21,M317),1))+(IF(M317=0,0,(Upgrades!$J$21+M317*Upgrades!$K$21)*POWER(Upgrades!$L$21,M317)))*(IF(Upgrades!$T$13="Moving Group",POWER(Upgrades!$U$13,E317),1)*IF(Upgrades!$T$14="Moving Group",POWER(Upgrades!$U$14,F317),1)*IF(Upgrades!$T$15="Moving Group",POWER(Upgrades!$U$15,G317),1)*IF(Upgrades!$T$16="Moving Group",POWER(Upgrades!$U$16,H317),1)*IF(Upgrades!$T$17="Moving Group",POWER(Upgrades!$U$17,I317),1)*IF(Upgrades!$T$18="Moving Group",POWER(Upgrades!$U$18,J317),1)*IF(Upgrades!$T$19="Moving Group",POWER(Upgrades!$U$19,K317),1)*IF(Upgrades!$T$20="Moving Group",POWER(Upgrades!$U$20,L317),1)))*POWER(Upgrades!$Q$13,E317)*POWER(Upgrades!$Q$14,F317)*POWER(Upgrades!$Q$15,G317)*POWER(Upgrades!$Q$16,H317)*POWER(Upgrades!$Q$17,I317)*POWER(Upgrades!$Q$18,J317)*POWER(Upgrades!$Q$19,K317)*POWER(Upgrades!$Q$20,L317)*POWER(Upgrades!$Q$21,M317)*$G$6+$D$6</f>
        <v/>
      </c>
      <c r="P317" s="28">
        <f>((IF(E317=0,0,(Upgrades!$G$13+E317*Upgrades!$H$13)*POWER(Upgrades!$I$13,E317)))*(IF(Upgrades!$T$14="Stellar Kinematics",POWER(Upgrades!$U$14,F317),1)*IF(Upgrades!$T$15="Stellar Kinematics",POWER(Upgrades!$U$15,G317),1)*IF(Upgrades!$T$16="Stellar Kinematics",POWER(Upgrades!$U$16,H317),1)*IF(Upgrades!$T$17="Stellar Kinematics",POWER(Upgrades!$U$17,I317),1)*IF(Upgrades!$T$18="Stellar Kinematics",POWER(Upgrades!$U$18,J317),1)*IF(Upgrades!$T$19="Stellar Kinematics",POWER(Upgrades!$U$19,K317),1)*IF(Upgrades!$T$20="Stellar Kinematics",POWER(Upgrades!$U$20,L317),1)*IF(Upgrades!$T$21="Stellar Kinematics",POWER(Upgrades!$U$21,M317),1))+(IF(F317=0,0,(Upgrades!$G$14+F317*Upgrades!$H$14)*POWER(Upgrades!$I$14,F317)))*(IF(Upgrades!$T$13="Local Bubble",POWER(Upgrades!$U$13,E317),1)*IF(Upgrades!$T$15="Local Bubble",POWER(Upgrades!$U$15,G317),1)*IF(Upgrades!$T$16="Local Bubble",POWER(Upgrades!$U$16,H317),1)*IF(Upgrades!$T$17="Local Bubble",POWER(Upgrades!$U$17,I317),1)*IF(Upgrades!$T$18="Local Bubble",POWER(Upgrades!$U$18,J317),1)*IF(Upgrades!$T$19="Local Bubble",POWER(Upgrades!$U$19,K317),1)*IF(Upgrades!$T$20="Local Bubble",POWER(Upgrades!$U$20,L317),1)*IF(Upgrades!$T$21="Local Bubble",POWER(Upgrades!$U$21,M317),1))+(IF(G317=0,0,(Upgrades!$G$15+G317*Upgrades!$H$15)*POWER(Upgrades!$I$15,G317)))*(IF(Upgrades!$T$13="Microlensing",POWER(Upgrades!$U$13,E317),1)*IF(Upgrades!$T$14="Microlensing",POWER(Upgrades!$U$14,F317),1)*IF(Upgrades!$T$16="Microlensing",POWER(Upgrades!$U$16,H317),1)*IF(Upgrades!$T$17="Microlensing",POWER(Upgrades!$U$17,I317),1)*IF(Upgrades!$T$18="Microlensing",POWER(Upgrades!$U$18,J317),1)*IF(Upgrades!$T$19="Microlensing",POWER(Upgrades!$U$19,K317),1)*IF(Upgrades!$T$20="Microlensing",POWER(Upgrades!$U$20,L317),1)*IF(Upgrades!$T$21="Microlensing",POWER(Upgrades!$U$21,M317),1))+(IF(H317=0,0,(Upgrades!$G$16+H317*Upgrades!$H$16)*POWER(Upgrades!$I$16,H317)))*(IF(Upgrades!$T$13="Roche Lobe Overflow",POWER(Upgrades!$U$13,E317),1)*IF(Upgrades!$T$14="Roche Lobe Overflow",POWER(Upgrades!$U$14,F317),1)*IF(Upgrades!$T$15="Roche Lobe Overflow",POWER(Upgrades!$U$15,G317),1)*IF(Upgrades!$T$17="Roche Lobe Overflow",POWER(Upgrades!$U$17,I317),1)*IF(Upgrades!$T$18="Roche Lobe Overflow",POWER(Upgrades!$U$18,J317),1)*IF(Upgrades!$T$19="Roche Lobe Overflow",POWER(Upgrades!$U$19,K317),1)*IF(Upgrades!$T$20="Roche Lobe Overflow",POWER(Upgrades!$U$20,L317),1)*IF(Upgrades!$T$21="Roche Lobe Overflow",POWER(Upgrades!$U$21,M317),1))+(IF(I317=0,0,(Upgrades!$G$17+I317*Upgrades!$H$17)*POWER(Upgrades!$I$17,I317)))*(IF(Upgrades!$T$13="Brown Dwarf",POWER(Upgrades!$U$13,E317),1)*IF(Upgrades!$T$14="Brown Dwarf",POWER(Upgrades!$U$14,F317),1)*IF(Upgrades!$T$15="Brown Dwarf",POWER(Upgrades!$U$15,G317),1)*IF(Upgrades!$T$16="Brown Dwarf",POWER(Upgrades!$U$16,H317),1)*IF(Upgrades!$T$18="Brown Dwarf",POWER(Upgrades!$U$18,J317),1)*IF(Upgrades!$T$19="Brown Dwarf",POWER(Upgrades!$U$19,K317),1)*IF(Upgrades!$T$20="Brown Dwarf",POWER(Upgrades!$U$20,L317),1)*IF(Upgrades!$T$21="Brown Dwarf",POWER(Upgrades!$U$21,M317),1))+(IF(J317=0,0,(Upgrades!$G$18+J317*Upgrades!$H$18)*POWER(Upgrades!$I$18,J317)))*(IF(Upgrades!$T$13="Binary Partner",POWER(Upgrades!$U$13,E317),1)*IF(Upgrades!$T$14="Binary Partner",POWER(Upgrades!$U$14,F317),1)*IF(Upgrades!$T$15="Binary Partner",POWER(Upgrades!$U$15,G317),1)*IF(Upgrades!$T$16="Binary Partner",POWER(Upgrades!$U$16,H317),1)*IF(Upgrades!$T$17="Binary Partner",POWER(Upgrades!$U$17,I317),1)*IF(Upgrades!$T$19="Binary Partner",POWER(Upgrades!$U$19,K317),1)*IF(Upgrades!$T$20="Binary Partner",POWER(Upgrades!$U$20,L317),1)*IF(Upgrades!$T$21="Binary Partner",POWER(Upgrades!$U$21,M317),1))+(IF(K317=0,0,(Upgrades!$G$19+K317*Upgrades!$H$19)*POWER(Upgrades!$I$19,K317)))*(IF(Upgrades!$T$13="Peculiar Velocity",POWER(Upgrades!$U$13,E317),1)*IF(Upgrades!$T$14="Peculiar Velocity",POWER(Upgrades!$U$14,F317),1)*IF(Upgrades!$T$15="Peculiar Velocity",POWER(Upgrades!$U$15,G317),1)*IF(Upgrades!$T$16="Peculiar Velocity",POWER(Upgrades!$U$16,H317),1)*IF(Upgrades!$T$17="Peculiar Velocity",POWER(Upgrades!$U$17,I317),1)*IF(Upgrades!$T$18="Peculiar Velocity",POWER(Upgrades!$U$18,J317),1)*IF(Upgrades!$T$20="Peculiar Velocity",POWER(Upgrades!$U$20,L317),1)*IF(Upgrades!$T$21="Peculiar Velocity",POWER(Upgrades!$U$21,M317),1))+(IF(L317=0,0,(Upgrades!$G$20+L317*Upgrades!$H$20)*POWER(Upgrades!$I$20,L317)))*(IF(Upgrades!$T$13="Open Cluster",POWER(Upgrades!$U$13,E317),1)*IF(Upgrades!$T$14="Open Cluster",POWER(Upgrades!$U$14,F317),1)*IF(Upgrades!$T$15="Open Cluster",POWER(Upgrades!$U$15,G317),1)*IF(Upgrades!$T$16="Open Cluster",POWER(Upgrades!$U$16,H317),1)*IF(Upgrades!$T$17="Open Cluster",POWER(Upgrades!$U$17,I317),1)*IF(Upgrades!$T$18="Open Cluster",POWER(Upgrades!$U$18,J317),1)*IF(Upgrades!$T$19="Open Cluster",POWER(Upgrades!$U$19,K317),1)*IF(Upgrades!$T$21="Open Cluster",POWER(Upgrades!$U$21,M317),1))+(IF(M317=0,0,(Upgrades!$G$21+M317*Upgrades!$H$21)*POWER(Upgrades!$I$21,M317)))*(IF(Upgrades!$T$13="Moving Group",POWER(Upgrades!$U$13,E317),1)*IF(Upgrades!$T$14="Moving Group",POWER(Upgrades!$U$14,F317),1)*IF(Upgrades!$T$15="Moving Group",POWER(Upgrades!$U$15,G317),1)*IF(Upgrades!$T$16="Moving Group",POWER(Upgrades!$U$16,H317),1)*IF(Upgrades!$T$17="Moving Group",POWER(Upgrades!$U$17,I317),1)*IF(Upgrades!$T$18="Moving Group",POWER(Upgrades!$U$18,J317),1)*IF(Upgrades!$T$19="Moving Group",POWER(Upgrades!$U$19,K317),1)*IF(Upgrades!$T$20="Moving Group",POWER(Upgrades!$U$20,L317),1)))*POWER(Upgrades!$P$13,E317)*POWER(Upgrades!$P$14,F317)*POWER(Upgrades!$P$15,G317)*POWER(Upgrades!$P$16,H317)*POWER(Upgrades!$P$17,I317)*POWER(Upgrades!$P$18,J317)*POWER(Upgrades!$P$19,K317)*POWER(Upgrades!$P$20,L317)*POWER(Upgrades!$P$21,M317)*$F$6+$C$6</f>
        <v/>
      </c>
      <c r="Q317" s="28">
        <f>((IF(E317=0,0,(Upgrades!$M$13+E317*Upgrades!$N$13)*POWER(Upgrades!$O$13,E317)))*(IF(Upgrades!$T$14="Stellar Kinematics",POWER(Upgrades!$U$14,F317),1)*IF(Upgrades!$T$15="Stellar Kinematics",POWER(Upgrades!$U$15,G317),1)*IF(Upgrades!$T$16="Stellar Kinematics",POWER(Upgrades!$U$16,H317),1)*IF(Upgrades!$T$17="Stellar Kinematics",POWER(Upgrades!$U$17,I317),1)*IF(Upgrades!$T$18="Stellar Kinematics",POWER(Upgrades!$U$18,J317),1)*IF(Upgrades!$T$19="Stellar Kinematics",POWER(Upgrades!$U$19,K317),1)*IF(Upgrades!$T$20="Stellar Kinematics",POWER(Upgrades!$U$20,L317),1)*IF(Upgrades!$T$21="Stellar Kinematics",POWER(Upgrades!$U$21,M317),1))+(IF(F317=0,0,(Upgrades!$M$14+F317*Upgrades!$N$14)*POWER(Upgrades!$O$14,F317)))*(IF(Upgrades!$T$13="Local Bubble",POWER(Upgrades!$U$13,E317),1)*IF(Upgrades!$T$15="Local Bubble",POWER(Upgrades!$U$15,G317),1)*IF(Upgrades!$T$16="Local Bubble",POWER(Upgrades!$U$16,H317),1)*IF(Upgrades!$T$17="Local Bubble",POWER(Upgrades!$U$17,I317),1)*IF(Upgrades!$T$18="Local Bubble",POWER(Upgrades!$U$18,J317),1)*IF(Upgrades!$T$19="Local Bubble",POWER(Upgrades!$U$19,K317),1)*IF(Upgrades!$T$20="Local Bubble",POWER(Upgrades!$U$20,L317),1)*IF(Upgrades!$T$21="Local Bubble",POWER(Upgrades!$U$21,M317),1))+(IF(G317=0,0,(Upgrades!$M$15+G317*Upgrades!$N$15)*POWER(Upgrades!$O$15,G317)))*(IF(Upgrades!$T$13="Microlensing",POWER(Upgrades!$U$13,E317),1)*IF(Upgrades!$T$14="Microlensing",POWER(Upgrades!$U$14,F317),1)*IF(Upgrades!$T$16="Microlensing",POWER(Upgrades!$U$16,H317),1)*IF(Upgrades!$T$17="Microlensing",POWER(Upgrades!$U$17,I317),1)*IF(Upgrades!$T$18="Microlensing",POWER(Upgrades!$U$18,J317),1)*IF(Upgrades!$T$19="Microlensing",POWER(Upgrades!$U$19,K317),1)*IF(Upgrades!$T$20="Microlensing",POWER(Upgrades!$U$20,L317),1)*IF(Upgrades!$T$21="Microlensing",POWER(Upgrades!$U$21,M317),1))+(IF(H317=0,0,(Upgrades!$M$16+H317*Upgrades!$N$16)*POWER(Upgrades!$O$16,H317)))*(IF(Upgrades!$T$13="Roche Lobe Overflow",POWER(Upgrades!$U$13,E317),1)*IF(Upgrades!$T$14="Roche Lobe Overflow",POWER(Upgrades!$U$14,F317),1)*IF(Upgrades!$T$15="Roche Lobe Overflow",POWER(Upgrades!$U$15,G317),1)*IF(Upgrades!$T$17="Roche Lobe Overflow",POWER(Upgrades!$U$17,I317),1)*IF(Upgrades!$T$18="Roche Lobe Overflow",POWER(Upgrades!$U$18,J317),1)*IF(Upgrades!$T$19="Roche Lobe Overflow",POWER(Upgrades!$U$19,K317),1)*IF(Upgrades!$T$20="Roche Lobe Overflow",POWER(Upgrades!$U$20,L317),1)*IF(Upgrades!$T$21="Roche Lobe Overflow",POWER(Upgrades!$U$21,M317),1))+(IF(I317=0,0,(Upgrades!$M$17+I317*Upgrades!$N$17)*POWER(Upgrades!$O$17,I317)))*(IF(Upgrades!$T$13="Brown Dwarf",POWER(Upgrades!$U$13,E317),1)*IF(Upgrades!$T$14="Brown Dwarf",POWER(Upgrades!$U$14,F317),1)*IF(Upgrades!$T$15="Brown Dwarf",POWER(Upgrades!$U$15,G317),1)*IF(Upgrades!$T$16="Brown Dwarf",POWER(Upgrades!$U$16,H317),1)*IF(Upgrades!$T$18="Brown Dwarf",POWER(Upgrades!$U$18,J317),1)*IF(Upgrades!$T$19="Brown Dwarf",POWER(Upgrades!$U$19,K317),1)*IF(Upgrades!$T$20="Brown Dwarf",POWER(Upgrades!$U$20,L317),1)*IF(Upgrades!$T$21="Brown Dwarf",POWER(Upgrades!$U$21,M317),1))+(IF(J317=0,0,(Upgrades!$M$18+J317*Upgrades!$N$18)*POWER(Upgrades!$O$18,J317)))*(IF(Upgrades!$T$13="Binary Partner",POWER(Upgrades!$U$13,E317),1)*IF(Upgrades!$T$14="Binary Partner",POWER(Upgrades!$U$14,F317),1)*IF(Upgrades!$T$15="Binary Partner",POWER(Upgrades!$U$15,G317),1)*IF(Upgrades!$T$16="Binary Partner",POWER(Upgrades!$U$16,H317),1)*IF(Upgrades!$T$17="Binary Partner",POWER(Upgrades!$U$17,I317),1)*IF(Upgrades!$T$19="Binary Partner",POWER(Upgrades!$U$19,K317),1)*IF(Upgrades!$T$20="Binary Partner",POWER(Upgrades!$U$20,L317),1)*IF(Upgrades!$T$21="Binary Partner",POWER(Upgrades!$U$21,M317),1))+(IF(K317=0,0,(Upgrades!$M$19+K317*Upgrades!$N$19)*POWER(Upgrades!$O$19,K317)))*(IF(Upgrades!$T$13="Peculiar Velocity",POWER(Upgrades!$U$13,E317),1)*IF(Upgrades!$T$14="Peculiar Velocity",POWER(Upgrades!$U$14,F317),1)*IF(Upgrades!$T$15="Peculiar Velocity",POWER(Upgrades!$U$15,G317),1)*IF(Upgrades!$T$16="Peculiar Velocity",POWER(Upgrades!$U$16,H317),1)*IF(Upgrades!$T$17="Peculiar Velocity",POWER(Upgrades!$U$17,I317),1)*IF(Upgrades!$T$18="Peculiar Velocity",POWER(Upgrades!$U$18,J317),1)*IF(Upgrades!$T$20="Peculiar Velocity",POWER(Upgrades!$U$20,L317),1)*IF(Upgrades!$T$21="Peculiar Velocity",POWER(Upgrades!$U$21,M317),1))+(IF(L317=0,0,(Upgrades!$M$20+L317*Upgrades!$N$20)*POWER(Upgrades!$O$20,L317)))*(IF(Upgrades!$T$13="Open Cluster",POWER(Upgrades!$U$13,E317),1)*IF(Upgrades!$T$14="Open Cluster",POWER(Upgrades!$U$14,F317),1)*IF(Upgrades!$T$15="Open Cluster",POWER(Upgrades!$U$15,G317),1)*IF(Upgrades!$T$16="Open Cluster",POWER(Upgrades!$U$16,H317),1)*IF(Upgrades!$T$17="Open Cluster",POWER(Upgrades!$U$17,I317),1)*IF(Upgrades!$T$18="Open Cluster",POWER(Upgrades!$U$18,J317),1)*IF(Upgrades!$T$19="Open Cluster",POWER(Upgrades!$U$19,K317),1)*IF(Upgrades!$T$21="Open Cluster",POWER(Upgrades!$U$21,M317),1))+(IF(M317=0,0,(Upgrades!$M$21+M317*Upgrades!$N$21)*POWER(Upgrades!$O$21,M317)))*(IF(Upgrades!$T$13="Moving Group",POWER(Upgrades!$U$13,E317),1)*IF(Upgrades!$T$14="Moving Group",POWER(Upgrades!$U$14,F317),1)*IF(Upgrades!$T$15="Moving Group",POWER(Upgrades!$U$15,G317),1)*IF(Upgrades!$T$16="Moving Group",POWER(Upgrades!$U$16,H317),1)*IF(Upgrades!$T$17="Moving Group",POWER(Upgrades!$U$17,I317),1)*IF(Upgrades!$T$18="Moving Group",POWER(Upgrades!$U$18,J317),1)*IF(Upgrades!$T$19="Moving Group",POWER(Upgrades!$U$19,K317),1)*IF(Upgrades!$T$20="Moving Group",POWER(Upgrades!$U$20,L317),1)))*POWER(Upgrades!$R$13,E317)*POWER(Upgrades!$R$14,F317)*POWER(Upgrades!$R$15,G317)*POWER(Upgrades!$R$16,H317)*POWER(Upgrades!$R$17,I317)*POWER(Upgrades!$R$18,J317)*POWER(Upgrades!$R$19,K317)*POWER(Upgrades!$R$20,L317)*POWER(Upgrades!$R$21,M317)*$H$6+$E$6</f>
        <v/>
      </c>
      <c r="R317" s="27">
        <f>IF(N317=1,0,O317*Parameters!$B$10/60*Parameters!$B$11*10)</f>
        <v/>
      </c>
      <c r="S317" s="27">
        <f>IF(N317=1,0,Q317*O317*10)</f>
        <v/>
      </c>
      <c r="T317" s="27">
        <f>IF(N317=1,0,R317+S317+P317*10)</f>
        <v/>
      </c>
      <c r="U317" s="33">
        <f>BE317</f>
        <v/>
      </c>
      <c r="V317" s="22">
        <f>IF(U317="",0,IF(U317="transition",0,IF(U317="SK",AK317,IF(U317="LB",AL317,IF(U317="ML",AM317,IF(U317="RLO",AN317,IF(U317="BD",AO317,IF(U317="BiP",AP317,IF(U317="PV",AQ317,IF(U317="OC",AR317,IF(U317="MG",AS317,0))))))))))</f>
        <v/>
      </c>
      <c r="W317" s="27">
        <f>IF(U317="BiP",Upgrades!$F$18,IF(U317="PV",Upgrades!$F$19,IF(U317="OC",Upgrades!$F$20,IF(U317="MG",Upgrades!$F$21,IF(U317="transition",-Parameters!$B$18*Parameters!$B$19,0)))))</f>
        <v/>
      </c>
      <c r="X317" s="22">
        <f>C317+T317-V317</f>
        <v/>
      </c>
      <c r="Y317" s="30">
        <f>O317*Parameters!$B$10/60*Parameters!$B$11+Q317*O317+P317</f>
        <v/>
      </c>
      <c r="Z317" s="34">
        <f>IF(U317="transition","→ Tier 3 (Galactic Arm)",IF(U317="MG","Moving Group — pocket drifts together",IF(U317="OC","Open Cluster acquired",IF(U317="PV","Peculiar Velocity — passive multiplier active",IF(U317="BiP","Binary Partner — pair bond formed",IF(AND(AU317=1,N317=0,AT317&lt;&gt;1),"Cohesion ready (waiting on completionists)","")))))) </f>
        <v/>
      </c>
      <c r="AA317" s="27">
        <f>(IF(E317=0,0,(Upgrades!$G$13+E317*Upgrades!$H$13)*POWER(Upgrades!$I$13,E317)))*(IF(Upgrades!$T$14="Stellar Kinematics",POWER(Upgrades!$U$14,F317),1)*IF(Upgrades!$T$15="Stellar Kinematics",POWER(Upgrades!$U$15,G317),1)*IF(Upgrades!$T$16="Stellar Kinematics",POWER(Upgrades!$U$16,H317),1)*IF(Upgrades!$T$17="Stellar Kinematics",POWER(Upgrades!$U$17,I317),1)*IF(Upgrades!$T$18="Stellar Kinematics",POWER(Upgrades!$U$18,J317),1)*IF(Upgrades!$T$19="Stellar Kinematics",POWER(Upgrades!$U$19,K317),1)*IF(Upgrades!$T$20="Stellar Kinematics",POWER(Upgrades!$U$20,L317),1)*IF(Upgrades!$T$21="Stellar Kinematics",POWER(Upgrades!$U$21,M317),1))*POWER(Upgrades!$P$13,E317)*POWER(Upgrades!$P$14,F317)*POWER(Upgrades!$P$15,G317)*POWER(Upgrades!$P$16,H317)*POWER(Upgrades!$P$17,I317)*POWER(Upgrades!$P$18,J317)*POWER(Upgrades!$P$19,K317)*POWER(Upgrades!$P$20,L317)*POWER(Upgrades!$P$21,M317)*$F$6*60</f>
        <v/>
      </c>
      <c r="AB317" s="27">
        <f>(IF(F317=0,0,(Upgrades!$G$14+F317*Upgrades!$H$14)*POWER(Upgrades!$I$14,F317)))*(IF(Upgrades!$T$13="Local Bubble",POWER(Upgrades!$U$13,E317),1)*IF(Upgrades!$T$15="Local Bubble",POWER(Upgrades!$U$15,G317),1)*IF(Upgrades!$T$16="Local Bubble",POWER(Upgrades!$U$16,H317),1)*IF(Upgrades!$T$17="Local Bubble",POWER(Upgrades!$U$17,I317),1)*IF(Upgrades!$T$18="Local Bubble",POWER(Upgrades!$U$18,J317),1)*IF(Upgrades!$T$19="Local Bubble",POWER(Upgrades!$U$19,K317),1)*IF(Upgrades!$T$20="Local Bubble",POWER(Upgrades!$U$20,L317),1)*IF(Upgrades!$T$21="Local Bubble",POWER(Upgrades!$U$21,M317),1))*POWER(Upgrades!$P$13,E317)*POWER(Upgrades!$P$14,F317)*POWER(Upgrades!$P$15,G317)*POWER(Upgrades!$P$16,H317)*POWER(Upgrades!$P$17,I317)*POWER(Upgrades!$P$18,J317)*POWER(Upgrades!$P$19,K317)*POWER(Upgrades!$P$20,L317)*POWER(Upgrades!$P$21,M317)*$F$6*60</f>
        <v/>
      </c>
      <c r="AC317" s="27">
        <f>(IF(G317=0,0,(Upgrades!$J$15+G317*Upgrades!$K$15)*POWER(Upgrades!$L$15,G317)))*(IF(Upgrades!$T$13="Microlensing",POWER(Upgrades!$U$13,E317),1)*IF(Upgrades!$T$14="Microlensing",POWER(Upgrades!$U$14,F317),1)*IF(Upgrades!$T$16="Microlensing",POWER(Upgrades!$U$16,H317),1)*IF(Upgrades!$T$17="Microlensing",POWER(Upgrades!$U$17,I317),1)*IF(Upgrades!$T$18="Microlensing",POWER(Upgrades!$U$18,J317),1)*IF(Upgrades!$T$19="Microlensing",POWER(Upgrades!$U$19,K317),1)*IF(Upgrades!$T$20="Microlensing",POWER(Upgrades!$U$20,L317),1)*IF(Upgrades!$T$21="Microlensing",POWER(Upgrades!$U$21,M317),1))*POWER(Upgrades!$Q$13,E317)*POWER(Upgrades!$Q$14,F317)*POWER(Upgrades!$Q$15,G317)*POWER(Upgrades!$Q$16,H317)*POWER(Upgrades!$Q$17,I317)*POWER(Upgrades!$Q$18,J317)*POWER(Upgrades!$Q$19,K317)*POWER(Upgrades!$Q$20,L317)*POWER(Upgrades!$Q$21,M317)*$G$6*(Parameters!$B$10*Parameters!$B$11+Q317*60)</f>
        <v/>
      </c>
      <c r="AD317" s="27">
        <f>(IF(H317=0,0,(Upgrades!$M$16+H317*Upgrades!$N$16)*POWER(Upgrades!$O$16,H317)))*(IF(Upgrades!$T$13="Roche Lobe Overflow",POWER(Upgrades!$U$13,E317),1)*IF(Upgrades!$T$14="Roche Lobe Overflow",POWER(Upgrades!$U$14,F317),1)*IF(Upgrades!$T$15="Roche Lobe Overflow",POWER(Upgrades!$U$15,G317),1)*IF(Upgrades!$T$17="Roche Lobe Overflow",POWER(Upgrades!$U$17,I317),1)*IF(Upgrades!$T$18="Roche Lobe Overflow",POWER(Upgrades!$U$18,J317),1)*IF(Upgrades!$T$19="Roche Lobe Overflow",POWER(Upgrades!$U$19,K317),1)*IF(Upgrades!$T$20="Roche Lobe Overflow",POWER(Upgrades!$U$20,L317),1)*IF(Upgrades!$T$21="Roche Lobe Overflow",POWER(Upgrades!$U$21,M317),1))*POWER(Upgrades!$R$13,E317)*POWER(Upgrades!$R$14,F317)*POWER(Upgrades!$R$15,G317)*POWER(Upgrades!$R$16,H317)*POWER(Upgrades!$R$17,I317)*POWER(Upgrades!$R$18,J317)*POWER(Upgrades!$R$19,K317)*POWER(Upgrades!$R$20,L317)*POWER(Upgrades!$R$21,M317)*$H$6*O317*60</f>
        <v/>
      </c>
      <c r="AE317" s="27">
        <f>(IF(I317=0,0,(Upgrades!$G$17+I317*Upgrades!$H$17)*POWER(Upgrades!$I$17,I317)))*(IF(Upgrades!$T$13="Brown Dwarf",POWER(Upgrades!$U$13,E317),1)*IF(Upgrades!$T$14="Brown Dwarf",POWER(Upgrades!$U$14,F317),1)*IF(Upgrades!$T$15="Brown Dwarf",POWER(Upgrades!$U$15,G317),1)*IF(Upgrades!$T$16="Brown Dwarf",POWER(Upgrades!$U$16,H317),1)*IF(Upgrades!$T$18="Brown Dwarf",POWER(Upgrades!$U$18,J317),1)*IF(Upgrades!$T$19="Brown Dwarf",POWER(Upgrades!$U$19,K317),1)*IF(Upgrades!$T$20="Brown Dwarf",POWER(Upgrades!$U$20,L317),1)*IF(Upgrades!$T$21="Brown Dwarf",POWER(Upgrades!$U$21,M317),1))*POWER(Upgrades!$P$13,E317)*POWER(Upgrades!$P$14,F317)*POWER(Upgrades!$P$15,G317)*POWER(Upgrades!$P$16,H317)*POWER(Upgrades!$P$17,I317)*POWER(Upgrades!$P$18,J317)*POWER(Upgrades!$P$19,K317)*POWER(Upgrades!$P$20,L317)*POWER(Upgrades!$P$21,M317)*$F$6*60</f>
        <v/>
      </c>
      <c r="AF317" s="27" t="n">
        <v>0</v>
      </c>
      <c r="AG317" s="27" t="n">
        <v>0</v>
      </c>
      <c r="AH317" s="27" t="n">
        <v>0</v>
      </c>
      <c r="AI317" s="27">
        <f>(IF(M317=0,0,(Upgrades!$G$21+M317*Upgrades!$H$21)*POWER(Upgrades!$I$21,M317)))*(IF(Upgrades!$T$13="Moving Group",POWER(Upgrades!$U$13,E317),1)*IF(Upgrades!$T$14="Moving Group",POWER(Upgrades!$U$14,F317),1)*IF(Upgrades!$T$15="Moving Group",POWER(Upgrades!$U$15,G317),1)*IF(Upgrades!$T$16="Moving Group",POWER(Upgrades!$U$16,H317),1)*IF(Upgrades!$T$17="Moving Group",POWER(Upgrades!$U$17,I317),1)*IF(Upgrades!$T$18="Moving Group",POWER(Upgrades!$U$18,J317),1)*IF(Upgrades!$T$19="Moving Group",POWER(Upgrades!$U$19,K317),1)*IF(Upgrades!$T$20="Moving Group",POWER(Upgrades!$U$20,L317),1))*POWER(Upgrades!$P$13,E317)*POWER(Upgrades!$P$14,F317)*POWER(Upgrades!$P$15,G317)*POWER(Upgrades!$P$16,H317)*POWER(Upgrades!$P$17,I317)*POWER(Upgrades!$P$18,J317)*POWER(Upgrades!$P$19,K317)*POWER(Upgrades!$P$20,L317)*POWER(Upgrades!$P$21,M317)*$F$6*60</f>
        <v/>
      </c>
      <c r="AJ317" s="27">
        <f>$C$6*60</f>
        <v/>
      </c>
      <c r="AK317" s="22">
        <f>IF(E317&gt;=Upgrades!$E$13,"",Upgrades!$C$13*POWER(Upgrades!$D$13,E317))</f>
        <v/>
      </c>
      <c r="AL317" s="22">
        <f>IF(F317&gt;=Upgrades!$E$14,"",Upgrades!$C$14*POWER(Upgrades!$D$14,F317))</f>
        <v/>
      </c>
      <c r="AM317" s="22">
        <f>IF(G317&gt;=Upgrades!$E$15,"",Upgrades!$C$15*POWER(Upgrades!$D$15,G317))</f>
        <v/>
      </c>
      <c r="AN317" s="22">
        <f>IF(H317&gt;=Upgrades!$E$16,"",Upgrades!$C$16*POWER(Upgrades!$D$16,H317))</f>
        <v/>
      </c>
      <c r="AO317" s="22">
        <f>IF(I317&gt;=Upgrades!$E$17,"",Upgrades!$C$17*POWER(Upgrades!$D$17,I317))</f>
        <v/>
      </c>
      <c r="AP317" s="22">
        <f>IF(J317&gt;=Upgrades!$E$18,"",Upgrades!$C$18*POWER(Upgrades!$D$18,J317))</f>
        <v/>
      </c>
      <c r="AQ317" s="22">
        <f>IF(K317&gt;=Upgrades!$E$19,"",Upgrades!$C$19*POWER(Upgrades!$D$19,K317))</f>
        <v/>
      </c>
      <c r="AR317" s="22">
        <f>IF(L317&gt;=Upgrades!$E$20,"",Upgrades!$C$20*POWER(Upgrades!$D$20,L317))</f>
        <v/>
      </c>
      <c r="AS317" s="22">
        <f>IF(M317&gt;=Upgrades!$E$21,"",Upgrades!$C$21*POWER(Upgrades!$D$21,M317))</f>
        <v/>
      </c>
      <c r="AT317" s="26">
        <f>IF(AND(D317&gt;=Parameters!$B$18*Parameters!$B$19,(I317&gt;=Upgrades!$E$17)*(M317&gt;=Upgrades!$E$21)=1,N317=0),1,"")</f>
        <v/>
      </c>
      <c r="AU317" s="26">
        <f>IF(AND(D317&gt;=Parameters!$B$18*Parameters!$B$19,N317=0),1,"")</f>
        <v/>
      </c>
      <c r="AV317" s="22">
        <f>MIN(IF(ISNUMBER(AP317),AP317,9E15),IF(ISNUMBER(AQ317),AQ317,9E15),IF(ISNUMBER(AR317),AR317,9E15),IF(ISNUMBER(AS317),AS317,9E15))</f>
        <v/>
      </c>
      <c r="AW317" s="22">
        <f>MIN(IF(ISNUMBER(AK317),AK317,9E15),IF(ISNUMBER(AL317),AL317,9E15),IF(ISNUMBER(AM317),AM317,9E15),IF(ISNUMBER(AN317),AN317,9E15),IF(ISNUMBER(AO317),AO317,9E15))</f>
        <v/>
      </c>
      <c r="AX317" s="29">
        <f>IF(BD317&gt;Parameters!$B$21*(MAX(IF(AND(NOT(AND(AU317=1,AT317&lt;&gt;1)),ISNUMBER(AK317),AK317&lt;=(C317+T317)),AY317,0),IF(AND(NOT(AND(AU317=1,AT317&lt;&gt;1)),ISNUMBER(AL317),AL317&lt;=(C317+T317)),AZ317,0),IF(AND(NOT(AND(AU317=1,AT317&lt;&gt;1)),ISNUMBER(AM317),AM317&lt;=(C317+T317)),BA317,0),IF(AND(NOT(AND(AU317=1,AT317&lt;&gt;1)),ISNUMBER(AN317),AN317&lt;=(C317+T317)),BB317,0),IF(AND(ISNUMBER(AO317),AO317&lt;=(C317+T317)),BC317,0))),TRUE,FALSE)</f>
        <v/>
      </c>
      <c r="AY317" s="32">
        <f>IFERROR(Upgrades!$H$13*(POWER(Upgrades!$P$13,E317)*POWER(Upgrades!$P$14,F317)*POWER(Upgrades!$P$15,G317)*POWER(Upgrades!$P$16,H317)*POWER(Upgrades!$P$17,I317)*POWER(Upgrades!$P$18,J317)*POWER(Upgrades!$P$19,K317)*POWER(Upgrades!$P$20,L317)*POWER(Upgrades!$P$21,M317))*(IF(Upgrades!$T$14="Stellar Kinematics",POWER(Upgrades!$U$14,F317),1)*IF(Upgrades!$T$15="Stellar Kinematics",POWER(Upgrades!$U$15,G317),1)*IF(Upgrades!$T$16="Stellar Kinematics",POWER(Upgrades!$U$16,H317),1)*IF(Upgrades!$T$17="Stellar Kinematics",POWER(Upgrades!$U$17,I317),1)*IF(Upgrades!$T$18="Stellar Kinematics",POWER(Upgrades!$U$18,J317),1)*IF(Upgrades!$T$19="Stellar Kinematics",POWER(Upgrades!$U$19,K317),1)*IF(Upgrades!$T$20="Stellar Kinematics",POWER(Upgrades!$U$20,L317),1)*IF(Upgrades!$T$21="Stellar Kinematics",POWER(Upgrades!$U$21,M317),1))*$F$6/AK317,0)</f>
        <v/>
      </c>
      <c r="AZ317" s="32">
        <f>IFERROR(Upgrades!$H$14*(POWER(Upgrades!$P$13,E317)*POWER(Upgrades!$P$14,F317)*POWER(Upgrades!$P$15,G317)*POWER(Upgrades!$P$16,H317)*POWER(Upgrades!$P$17,I317)*POWER(Upgrades!$P$18,J317)*POWER(Upgrades!$P$19,K317)*POWER(Upgrades!$P$20,L317)*POWER(Upgrades!$P$21,M317))*(IF(Upgrades!$T$13="Local Bubble",POWER(Upgrades!$U$13,E317),1)*IF(Upgrades!$T$15="Local Bubble",POWER(Upgrades!$U$15,G317),1)*IF(Upgrades!$T$16="Local Bubble",POWER(Upgrades!$U$16,H317),1)*IF(Upgrades!$T$17="Local Bubble",POWER(Upgrades!$U$17,I317),1)*IF(Upgrades!$T$18="Local Bubble",POWER(Upgrades!$U$18,J317),1)*IF(Upgrades!$T$19="Local Bubble",POWER(Upgrades!$U$19,K317),1)*IF(Upgrades!$T$20="Local Bubble",POWER(Upgrades!$U$20,L317),1)*IF(Upgrades!$T$21="Local Bubble",POWER(Upgrades!$U$21,M317),1))*$F$6/AL317,0)</f>
        <v/>
      </c>
      <c r="BA317" s="32">
        <f>IFERROR(Upgrades!$K$15*(POWER(Upgrades!$Q$13,E317)*POWER(Upgrades!$Q$14,F317)*POWER(Upgrades!$Q$15,G317)*POWER(Upgrades!$Q$16,H317)*POWER(Upgrades!$Q$17,I317)*POWER(Upgrades!$Q$18,J317)*POWER(Upgrades!$Q$19,K317)*POWER(Upgrades!$Q$20,L317)*POWER(Upgrades!$Q$21,M317))*(IF(Upgrades!$T$13="Microlensing",POWER(Upgrades!$U$13,E317),1)*IF(Upgrades!$T$14="Microlensing",POWER(Upgrades!$U$14,F317),1)*IF(Upgrades!$T$16="Microlensing",POWER(Upgrades!$U$16,H317),1)*IF(Upgrades!$T$17="Microlensing",POWER(Upgrades!$U$17,I317),1)*IF(Upgrades!$T$18="Microlensing",POWER(Upgrades!$U$18,J317),1)*IF(Upgrades!$T$19="Microlensing",POWER(Upgrades!$U$19,K317),1)*IF(Upgrades!$T$20="Microlensing",POWER(Upgrades!$U$20,L317),1)*IF(Upgrades!$T$21="Microlensing",POWER(Upgrades!$U$21,M317),1))*$G$6*(Parameters!$B$10/60*Parameters!$B$11+Q317)/AM317,0)</f>
        <v/>
      </c>
      <c r="BB317" s="32">
        <f>IFERROR((Upgrades!$N$16*(POWER(Upgrades!$R$13,E317)*POWER(Upgrades!$R$14,F317)*POWER(Upgrades!$R$15,G317)*POWER(Upgrades!$R$16,H317)*POWER(Upgrades!$R$17,I317)*POWER(Upgrades!$R$18,J317)*POWER(Upgrades!$R$19,K317)*POWER(Upgrades!$R$20,L317)*POWER(Upgrades!$R$21,M317))*(IF(Upgrades!$T$13="Roche Lobe Overflow",POWER(Upgrades!$U$13,E317),1)*IF(Upgrades!$T$14="Roche Lobe Overflow",POWER(Upgrades!$U$14,F317),1)*IF(Upgrades!$T$15="Roche Lobe Overflow",POWER(Upgrades!$U$15,G317),1)*IF(Upgrades!$T$17="Roche Lobe Overflow",POWER(Upgrades!$U$17,I317),1)*IF(Upgrades!$T$18="Roche Lobe Overflow",POWER(Upgrades!$U$18,J317),1)*IF(Upgrades!$T$19="Roche Lobe Overflow",POWER(Upgrades!$U$19,K317),1)*IF(Upgrades!$T$20="Roche Lobe Overflow",POWER(Upgrades!$U$20,L317),1)*IF(Upgrades!$T$21="Roche Lobe Overflow",POWER(Upgrades!$U$21,M317),1))*$H$6*O317+((IF(F317=0,0,(Upgrades!$G$14+F317*Upgrades!$H$14)*POWER(Upgrades!$I$14,F317)))*(IF(Upgrades!$T$13="Local Bubble",POWER(Upgrades!$U$13,E317),1)*IF(Upgrades!$T$15="Local Bubble",POWER(Upgrades!$U$15,G317),1)*IF(Upgrades!$T$16="Local Bubble",POWER(Upgrades!$U$16,H317),1)*IF(Upgrades!$T$17="Local Bubble",POWER(Upgrades!$U$17,I317),1)*IF(Upgrades!$T$18="Local Bubble",POWER(Upgrades!$U$18,J317),1)*IF(Upgrades!$T$19="Local Bubble",POWER(Upgrades!$U$19,K317),1)*IF(Upgrades!$T$20="Local Bubble",POWER(Upgrades!$U$20,L317),1)*IF(Upgrades!$T$21="Local Bubble",POWER(Upgrades!$U$21,M317),1))*POWER(Upgrades!$P$13,E317)*POWER(Upgrades!$P$14,F317)*POWER(Upgrades!$P$15,G317)*POWER(Upgrades!$P$16,H317)*POWER(Upgrades!$P$17,I317)*POWER(Upgrades!$P$18,J317)*POWER(Upgrades!$P$19,K317)*POWER(Upgrades!$P$20,L317)*POWER(Upgrades!$P$21,M317)*$F$6)*0.05)/AN317,0)</f>
        <v/>
      </c>
      <c r="BC317" s="32">
        <f>IFERROR((Upgrades!$H$17*(POWER(Upgrades!$P$13,E317)*POWER(Upgrades!$P$14,F317)*POWER(Upgrades!$P$15,G317)*POWER(Upgrades!$P$16,H317)*POWER(Upgrades!$P$17,I317)*POWER(Upgrades!$P$18,J317)*POWER(Upgrades!$P$19,K317)*POWER(Upgrades!$P$20,L317)*POWER(Upgrades!$P$21,M317))*(IF(Upgrades!$T$13="Brown Dwarf",POWER(Upgrades!$U$13,E317),1)*IF(Upgrades!$T$14="Brown Dwarf",POWER(Upgrades!$U$14,F317),1)*IF(Upgrades!$T$15="Brown Dwarf",POWER(Upgrades!$U$15,G317),1)*IF(Upgrades!$T$16="Brown Dwarf",POWER(Upgrades!$U$16,H317),1)*IF(Upgrades!$T$18="Brown Dwarf",POWER(Upgrades!$U$18,J317),1)*IF(Upgrades!$T$19="Brown Dwarf",POWER(Upgrades!$U$19,K317),1)*IF(Upgrades!$T$20="Brown Dwarf",POWER(Upgrades!$U$20,L317),1)*IF(Upgrades!$T$21="Brown Dwarf",POWER(Upgrades!$U$21,M317),1))*$F$6+(((IF(H317=0,0,(Upgrades!$M$16+H317*Upgrades!$N$16)*POWER(Upgrades!$O$16,H317)))*(IF(Upgrades!$T$13="Roche Lobe Overflow",POWER(Upgrades!$U$13,E317),1)*IF(Upgrades!$T$14="Roche Lobe Overflow",POWER(Upgrades!$U$14,F317),1)*IF(Upgrades!$T$15="Roche Lobe Overflow",POWER(Upgrades!$U$15,G317),1)*IF(Upgrades!$T$17="Roche Lobe Overflow",POWER(Upgrades!$U$17,I317),1)*IF(Upgrades!$T$18="Roche Lobe Overflow",POWER(Upgrades!$U$18,J317),1)*IF(Upgrades!$T$19="Roche Lobe Overflow",POWER(Upgrades!$U$19,K317),1)*IF(Upgrades!$T$20="Roche Lobe Overflow",POWER(Upgrades!$U$20,L317),1)*IF(Upgrades!$T$21="Roche Lobe Overflow",POWER(Upgrades!$U$21,M317),1))*POWER(Upgrades!$R$13,E317)*POWER(Upgrades!$R$14,F317)*POWER(Upgrades!$R$15,G317)*POWER(Upgrades!$R$16,H317)*POWER(Upgrades!$R$17,I317)*POWER(Upgrades!$R$18,J317)*POWER(Upgrades!$R$19,K317)*POWER(Upgrades!$R$20,L317)*POWER(Upgrades!$R$21,M317)*$H$6)*O317)*0.10)/AO317,0)</f>
        <v/>
      </c>
      <c r="BD317" s="32">
        <f>MAX(IF(J317&gt;0,0,IFERROR(0.5*((IF(G317=0,0,(Upgrades!$J$15+G317*Upgrades!$K$15)*POWER(Upgrades!$L$15,G317)))*(IF(Upgrades!$T$13="Microlensing",POWER(Upgrades!$U$13,E317),1)*IF(Upgrades!$T$14="Microlensing",POWER(Upgrades!$U$14,F317),1)*IF(Upgrades!$T$16="Microlensing",POWER(Upgrades!$U$16,H317),1)*IF(Upgrades!$T$17="Microlensing",POWER(Upgrades!$U$17,I317),1)*IF(Upgrades!$T$18="Microlensing",POWER(Upgrades!$U$18,J317),1)*IF(Upgrades!$T$19="Microlensing",POWER(Upgrades!$U$19,K317),1)*IF(Upgrades!$T$20="Microlensing",POWER(Upgrades!$U$20,L317),1)*IF(Upgrades!$T$21="Microlensing",POWER(Upgrades!$U$21,M317),1))*(POWER(Upgrades!$Q$13,E317)*POWER(Upgrades!$Q$14,F317)*POWER(Upgrades!$Q$15,G317)*POWER(Upgrades!$Q$16,H317)*POWER(Upgrades!$Q$17,I317)*POWER(Upgrades!$Q$18,J317)*POWER(Upgrades!$Q$19,K317)*POWER(Upgrades!$Q$20,L317)*POWER(Upgrades!$Q$21,M317))*$G$6*(Parameters!$B$10/60*Parameters!$B$11+Q317))/Upgrades!$C$18,0)),IF(K317&gt;0,0,IFERROR(0.30*P317/Upgrades!$C$19,0)),IF(L317&gt;0,0,IFERROR(0.0001/Upgrades!$C$20,0)),IF(M317&gt;0,0,IFERROR((6.0*(POWER(Upgrades!$P$13,E317)*POWER(Upgrades!$P$14,F317)*POWER(Upgrades!$P$15,G317)*POWER(Upgrades!$P$16,H317)*POWER(Upgrades!$P$17,I317)*POWER(Upgrades!$P$18,J317)*POWER(Upgrades!$P$19,K317)*POWER(Upgrades!$P$20,L317)*POWER(Upgrades!$P$21,M317))*$F$6+0.20*O317*(Parameters!$B$10/60*Parameters!$B$11+Q317))/Upgrades!$C$21,0)),IF(AND(ISNUMBER(AK317),AK317&gt;(C317+T317)),AY317,0),IF(AND(ISNUMBER(AL317),AL317&gt;(C317+T317)),AZ317,0),IF(AND(ISNUMBER(AM317),AM317&gt;(C317+T317)),BA317,0),IF(AND(ISNUMBER(AN317),AN317&gt;(C317+T317)),BB317,0),IF(AND(ISNUMBER(AO317),AO317&gt;(C317+T317)),BC317,0))</f>
        <v/>
      </c>
      <c r="BE317" s="29">
        <f>IF(AT317=1,"transition",IF(MIN(IF(AND(J317=0,ISNUMBER(AP317),AP317&lt;=(C317+T317)),AP317,9E15),IF(AND(K317=0,ISNUMBER(AQ317),AQ317&lt;=(C317+T317)),AQ317,9E15),IF(AND(L317=0,ISNUMBER(AR317),AR317&lt;=(C317+T317)),AR317,9E15),IF(AND(M317=0,ISNUMBER(AS317),AS317&lt;=(C317+T317)),AS317,9E15))&lt;9E15,IF(AND(AND(J317=0,ISNUMBER(AP317),AP317&lt;=(C317+T317)),AP317=MIN(IF(AND(J317=0,ISNUMBER(AP317),AP317&lt;=(C317+T317)),AP317,9E15),IF(AND(K317=0,ISNUMBER(AQ317),AQ317&lt;=(C317+T317)),AQ317,9E15),IF(AND(L317=0,ISNUMBER(AR317),AR317&lt;=(C317+T317)),AR317,9E15),IF(AND(M317=0,ISNUMBER(AS317),AS317&lt;=(C317+T317)),AS317,9E15))),"BiP",IF(AND(AND(K317=0,ISNUMBER(AQ317),AQ317&lt;=(C317+T317)),AQ317=MIN(IF(AND(J317=0,ISNUMBER(AP317),AP317&lt;=(C317+T317)),AP317,9E15),IF(AND(K317=0,ISNUMBER(AQ317),AQ317&lt;=(C317+T317)),AQ317,9E15),IF(AND(L317=0,ISNUMBER(AR317),AR317&lt;=(C317+T317)),AR317,9E15),IF(AND(M317=0,ISNUMBER(AS317),AS317&lt;=(C317+T317)),AS317,9E15))),"PV",IF(AND(AND(L317=0,ISNUMBER(AR317),AR317&lt;=(C317+T317)),AR317=MIN(IF(AND(J317=0,ISNUMBER(AP317),AP317&lt;=(C317+T317)),AP317,9E15),IF(AND(K317=0,ISNUMBER(AQ317),AQ317&lt;=(C317+T317)),AQ317,9E15),IF(AND(L317=0,ISNUMBER(AR317),AR317&lt;=(C317+T317)),AR317,9E15),IF(AND(M317=0,ISNUMBER(AS317),AS317&lt;=(C317+T317)),AS317,9E15))),"OC","MG"))),IF(AX317=TRUE,"",IF(MAX(IF(AND(NOT(AND(AU317=1,AT317&lt;&gt;1)),ISNUMBER(AK317),AK317&lt;=(C317+T317)),AY317,0),IF(AND(NOT(AND(AU317=1,AT317&lt;&gt;1)),ISNUMBER(AL317),AL317&lt;=(C317+T317)),AZ317,0),IF(AND(NOT(AND(AU317=1,AT317&lt;&gt;1)),ISNUMBER(AM317),AM317&lt;=(C317+T317)),BA317,0),IF(AND(NOT(AND(AU317=1,AT317&lt;&gt;1)),ISNUMBER(AN317),AN317&lt;=(C317+T317)),BB317,0),IF(AND(ISNUMBER(AO317),AO317&lt;=(C317+T317)),BC317,0))&lt;=0,"",IF(AND(IF(AND(NOT(AND(AU317=1,AT317&lt;&gt;1)),ISNUMBER(AK317),AK317&lt;=(C317+T317)),AY317,0)&gt;0,IF(AND(NOT(AND(AU317=1,AT317&lt;&gt;1)),ISNUMBER(AK317),AK317&lt;=(C317+T317)),AY317,0)=MAX(IF(AND(NOT(AND(AU317=1,AT317&lt;&gt;1)),ISNUMBER(AK317),AK317&lt;=(C317+T317)),AY317,0),IF(AND(NOT(AND(AU317=1,AT317&lt;&gt;1)),ISNUMBER(AL317),AL317&lt;=(C317+T317)),AZ317,0),IF(AND(NOT(AND(AU317=1,AT317&lt;&gt;1)),ISNUMBER(AM317),AM317&lt;=(C317+T317)),BA317,0),IF(AND(NOT(AND(AU317=1,AT317&lt;&gt;1)),ISNUMBER(AN317),AN317&lt;=(C317+T317)),BB317,0),IF(AND(ISNUMBER(AO317),AO317&lt;=(C317+T317)),BC317,0))),"SK",IF(AND(IF(AND(NOT(AND(AU317=1,AT317&lt;&gt;1)),ISNUMBER(AL317),AL317&lt;=(C317+T317)),AZ317,0)&gt;0,IF(AND(NOT(AND(AU317=1,AT317&lt;&gt;1)),ISNUMBER(AL317),AL317&lt;=(C317+T317)),AZ317,0)=MAX(IF(AND(NOT(AND(AU317=1,AT317&lt;&gt;1)),ISNUMBER(AK317),AK317&lt;=(C317+T317)),AY317,0),IF(AND(NOT(AND(AU317=1,AT317&lt;&gt;1)),ISNUMBER(AL317),AL317&lt;=(C317+T317)),AZ317,0),IF(AND(NOT(AND(AU317=1,AT317&lt;&gt;1)),ISNUMBER(AM317),AM317&lt;=(C317+T317)),BA317,0),IF(AND(NOT(AND(AU317=1,AT317&lt;&gt;1)),ISNUMBER(AN317),AN317&lt;=(C317+T317)),BB317,0),IF(AND(ISNUMBER(AO317),AO317&lt;=(C317+T317)),BC317,0))),"LB",IF(AND(IF(AND(NOT(AND(AU317=1,AT317&lt;&gt;1)),ISNUMBER(AM317),AM317&lt;=(C317+T317)),BA317,0)&gt;0,IF(AND(NOT(AND(AU317=1,AT317&lt;&gt;1)),ISNUMBER(AM317),AM317&lt;=(C317+T317)),BA317,0)=MAX(IF(AND(NOT(AND(AU317=1,AT317&lt;&gt;1)),ISNUMBER(AK317),AK317&lt;=(C317+T317)),AY317,0),IF(AND(NOT(AND(AU317=1,AT317&lt;&gt;1)),ISNUMBER(AL317),AL317&lt;=(C317+T317)),AZ317,0),IF(AND(NOT(AND(AU317=1,AT317&lt;&gt;1)),ISNUMBER(AM317),AM317&lt;=(C317+T317)),BA317,0),IF(AND(NOT(AND(AU317=1,AT317&lt;&gt;1)),ISNUMBER(AN317),AN317&lt;=(C317+T317)),BB317,0),IF(AND(ISNUMBER(AO317),AO317&lt;=(C317+T317)),BC317,0))),"ML",IF(AND(IF(AND(NOT(AND(AU317=1,AT317&lt;&gt;1)),ISNUMBER(AN317),AN317&lt;=(C317+T317)),BB317,0)&gt;0,IF(AND(NOT(AND(AU317=1,AT317&lt;&gt;1)),ISNUMBER(AN317),AN317&lt;=(C317+T317)),BB317,0)=MAX(IF(AND(NOT(AND(AU317=1,AT317&lt;&gt;1)),ISNUMBER(AK317),AK317&lt;=(C317+T317)),AY317,0),IF(AND(NOT(AND(AU317=1,AT317&lt;&gt;1)),ISNUMBER(AL317),AL317&lt;=(C317+T317)),AZ317,0),IF(AND(NOT(AND(AU317=1,AT317&lt;&gt;1)),ISNUMBER(AM317),AM317&lt;=(C317+T317)),BA317,0),IF(AND(NOT(AND(AU317=1,AT317&lt;&gt;1)),ISNUMBER(AN317),AN317&lt;=(C317+T317)),BB317,0),IF(AND(ISNUMBER(AO317),AO317&lt;=(C317+T317)),BC317,0))),"RLO","BD"))))))))</f>
        <v/>
      </c>
    </row>
    <row r="318">
      <c r="A318" s="26" t="n">
        <v>307</v>
      </c>
      <c r="B318" s="27">
        <f>A318*10/60</f>
        <v/>
      </c>
      <c r="C318" s="22">
        <f>X317</f>
        <v/>
      </c>
      <c r="D318" s="27">
        <f>D317+W317</f>
        <v/>
      </c>
      <c r="E318" s="26">
        <f>E317+IF(U317="SK",1,0)</f>
        <v/>
      </c>
      <c r="F318" s="26">
        <f>F317+IF(U317="LB",1,0)</f>
        <v/>
      </c>
      <c r="G318" s="26">
        <f>G317+IF(U317="ML",1,0)</f>
        <v/>
      </c>
      <c r="H318" s="26">
        <f>H317+IF(U317="RLO",1,0)</f>
        <v/>
      </c>
      <c r="I318" s="26">
        <f>I317+IF(U317="BD",1,0)</f>
        <v/>
      </c>
      <c r="J318" s="26">
        <f>MAX(J317,IF(U317="BiP",1,0))</f>
        <v/>
      </c>
      <c r="K318" s="26">
        <f>MAX(K317,IF(U317="PV",1,0))</f>
        <v/>
      </c>
      <c r="L318" s="26">
        <f>MAX(L317,IF(U317="OC",1,0))</f>
        <v/>
      </c>
      <c r="M318" s="26">
        <f>MAX(M317,IF(U317="MG",1,0))</f>
        <v/>
      </c>
      <c r="N318" s="26">
        <f>MAX(N317,IF(U317="transition",1,0))</f>
        <v/>
      </c>
      <c r="O318" s="28">
        <f>(Parameters!$B$9+(IF(E318=0,0,(Upgrades!$J$13+E318*Upgrades!$K$13)*POWER(Upgrades!$L$13,E318)))*(IF(Upgrades!$T$14="Stellar Kinematics",POWER(Upgrades!$U$14,F318),1)*IF(Upgrades!$T$15="Stellar Kinematics",POWER(Upgrades!$U$15,G318),1)*IF(Upgrades!$T$16="Stellar Kinematics",POWER(Upgrades!$U$16,H318),1)*IF(Upgrades!$T$17="Stellar Kinematics",POWER(Upgrades!$U$17,I318),1)*IF(Upgrades!$T$18="Stellar Kinematics",POWER(Upgrades!$U$18,J318),1)*IF(Upgrades!$T$19="Stellar Kinematics",POWER(Upgrades!$U$19,K318),1)*IF(Upgrades!$T$20="Stellar Kinematics",POWER(Upgrades!$U$20,L318),1)*IF(Upgrades!$T$21="Stellar Kinematics",POWER(Upgrades!$U$21,M318),1))+(IF(F318=0,0,(Upgrades!$J$14+F318*Upgrades!$K$14)*POWER(Upgrades!$L$14,F318)))*(IF(Upgrades!$T$13="Local Bubble",POWER(Upgrades!$U$13,E318),1)*IF(Upgrades!$T$15="Local Bubble",POWER(Upgrades!$U$15,G318),1)*IF(Upgrades!$T$16="Local Bubble",POWER(Upgrades!$U$16,H318),1)*IF(Upgrades!$T$17="Local Bubble",POWER(Upgrades!$U$17,I318),1)*IF(Upgrades!$T$18="Local Bubble",POWER(Upgrades!$U$18,J318),1)*IF(Upgrades!$T$19="Local Bubble",POWER(Upgrades!$U$19,K318),1)*IF(Upgrades!$T$20="Local Bubble",POWER(Upgrades!$U$20,L318),1)*IF(Upgrades!$T$21="Local Bubble",POWER(Upgrades!$U$21,M318),1))+(IF(G318=0,0,(Upgrades!$J$15+G318*Upgrades!$K$15)*POWER(Upgrades!$L$15,G318)))*(IF(Upgrades!$T$13="Microlensing",POWER(Upgrades!$U$13,E318),1)*IF(Upgrades!$T$14="Microlensing",POWER(Upgrades!$U$14,F318),1)*IF(Upgrades!$T$16="Microlensing",POWER(Upgrades!$U$16,H318),1)*IF(Upgrades!$T$17="Microlensing",POWER(Upgrades!$U$17,I318),1)*IF(Upgrades!$T$18="Microlensing",POWER(Upgrades!$U$18,J318),1)*IF(Upgrades!$T$19="Microlensing",POWER(Upgrades!$U$19,K318),1)*IF(Upgrades!$T$20="Microlensing",POWER(Upgrades!$U$20,L318),1)*IF(Upgrades!$T$21="Microlensing",POWER(Upgrades!$U$21,M318),1))+(IF(H318=0,0,(Upgrades!$J$16+H318*Upgrades!$K$16)*POWER(Upgrades!$L$16,H318)))*(IF(Upgrades!$T$13="Roche Lobe Overflow",POWER(Upgrades!$U$13,E318),1)*IF(Upgrades!$T$14="Roche Lobe Overflow",POWER(Upgrades!$U$14,F318),1)*IF(Upgrades!$T$15="Roche Lobe Overflow",POWER(Upgrades!$U$15,G318),1)*IF(Upgrades!$T$17="Roche Lobe Overflow",POWER(Upgrades!$U$17,I318),1)*IF(Upgrades!$T$18="Roche Lobe Overflow",POWER(Upgrades!$U$18,J318),1)*IF(Upgrades!$T$19="Roche Lobe Overflow",POWER(Upgrades!$U$19,K318),1)*IF(Upgrades!$T$20="Roche Lobe Overflow",POWER(Upgrades!$U$20,L318),1)*IF(Upgrades!$T$21="Roche Lobe Overflow",POWER(Upgrades!$U$21,M318),1))+(IF(I318=0,0,(Upgrades!$J$17+I318*Upgrades!$K$17)*POWER(Upgrades!$L$17,I318)))*(IF(Upgrades!$T$13="Brown Dwarf",POWER(Upgrades!$U$13,E318),1)*IF(Upgrades!$T$14="Brown Dwarf",POWER(Upgrades!$U$14,F318),1)*IF(Upgrades!$T$15="Brown Dwarf",POWER(Upgrades!$U$15,G318),1)*IF(Upgrades!$T$16="Brown Dwarf",POWER(Upgrades!$U$16,H318),1)*IF(Upgrades!$T$18="Brown Dwarf",POWER(Upgrades!$U$18,J318),1)*IF(Upgrades!$T$19="Brown Dwarf",POWER(Upgrades!$U$19,K318),1)*IF(Upgrades!$T$20="Brown Dwarf",POWER(Upgrades!$U$20,L318),1)*IF(Upgrades!$T$21="Brown Dwarf",POWER(Upgrades!$U$21,M318),1))+(IF(J318=0,0,(Upgrades!$J$18+J318*Upgrades!$K$18)*POWER(Upgrades!$L$18,J318)))*(IF(Upgrades!$T$13="Binary Partner",POWER(Upgrades!$U$13,E318),1)*IF(Upgrades!$T$14="Binary Partner",POWER(Upgrades!$U$14,F318),1)*IF(Upgrades!$T$15="Binary Partner",POWER(Upgrades!$U$15,G318),1)*IF(Upgrades!$T$16="Binary Partner",POWER(Upgrades!$U$16,H318),1)*IF(Upgrades!$T$17="Binary Partner",POWER(Upgrades!$U$17,I318),1)*IF(Upgrades!$T$19="Binary Partner",POWER(Upgrades!$U$19,K318),1)*IF(Upgrades!$T$20="Binary Partner",POWER(Upgrades!$U$20,L318),1)*IF(Upgrades!$T$21="Binary Partner",POWER(Upgrades!$U$21,M318),1))+(IF(K318=0,0,(Upgrades!$J$19+K318*Upgrades!$K$19)*POWER(Upgrades!$L$19,K318)))*(IF(Upgrades!$T$13="Peculiar Velocity",POWER(Upgrades!$U$13,E318),1)*IF(Upgrades!$T$14="Peculiar Velocity",POWER(Upgrades!$U$14,F318),1)*IF(Upgrades!$T$15="Peculiar Velocity",POWER(Upgrades!$U$15,G318),1)*IF(Upgrades!$T$16="Peculiar Velocity",POWER(Upgrades!$U$16,H318),1)*IF(Upgrades!$T$17="Peculiar Velocity",POWER(Upgrades!$U$17,I318),1)*IF(Upgrades!$T$18="Peculiar Velocity",POWER(Upgrades!$U$18,J318),1)*IF(Upgrades!$T$20="Peculiar Velocity",POWER(Upgrades!$U$20,L318),1)*IF(Upgrades!$T$21="Peculiar Velocity",POWER(Upgrades!$U$21,M318),1))+(IF(L318=0,0,(Upgrades!$J$20+L318*Upgrades!$K$20)*POWER(Upgrades!$L$20,L318)))*(IF(Upgrades!$T$13="Open Cluster",POWER(Upgrades!$U$13,E318),1)*IF(Upgrades!$T$14="Open Cluster",POWER(Upgrades!$U$14,F318),1)*IF(Upgrades!$T$15="Open Cluster",POWER(Upgrades!$U$15,G318),1)*IF(Upgrades!$T$16="Open Cluster",POWER(Upgrades!$U$16,H318),1)*IF(Upgrades!$T$17="Open Cluster",POWER(Upgrades!$U$17,I318),1)*IF(Upgrades!$T$18="Open Cluster",POWER(Upgrades!$U$18,J318),1)*IF(Upgrades!$T$19="Open Cluster",POWER(Upgrades!$U$19,K318),1)*IF(Upgrades!$T$21="Open Cluster",POWER(Upgrades!$U$21,M318),1))+(IF(M318=0,0,(Upgrades!$J$21+M318*Upgrades!$K$21)*POWER(Upgrades!$L$21,M318)))*(IF(Upgrades!$T$13="Moving Group",POWER(Upgrades!$U$13,E318),1)*IF(Upgrades!$T$14="Moving Group",POWER(Upgrades!$U$14,F318),1)*IF(Upgrades!$T$15="Moving Group",POWER(Upgrades!$U$15,G318),1)*IF(Upgrades!$T$16="Moving Group",POWER(Upgrades!$U$16,H318),1)*IF(Upgrades!$T$17="Moving Group",POWER(Upgrades!$U$17,I318),1)*IF(Upgrades!$T$18="Moving Group",POWER(Upgrades!$U$18,J318),1)*IF(Upgrades!$T$19="Moving Group",POWER(Upgrades!$U$19,K318),1)*IF(Upgrades!$T$20="Moving Group",POWER(Upgrades!$U$20,L318),1)))*POWER(Upgrades!$Q$13,E318)*POWER(Upgrades!$Q$14,F318)*POWER(Upgrades!$Q$15,G318)*POWER(Upgrades!$Q$16,H318)*POWER(Upgrades!$Q$17,I318)*POWER(Upgrades!$Q$18,J318)*POWER(Upgrades!$Q$19,K318)*POWER(Upgrades!$Q$20,L318)*POWER(Upgrades!$Q$21,M318)*$G$6+$D$6</f>
        <v/>
      </c>
      <c r="P318" s="28">
        <f>((IF(E318=0,0,(Upgrades!$G$13+E318*Upgrades!$H$13)*POWER(Upgrades!$I$13,E318)))*(IF(Upgrades!$T$14="Stellar Kinematics",POWER(Upgrades!$U$14,F318),1)*IF(Upgrades!$T$15="Stellar Kinematics",POWER(Upgrades!$U$15,G318),1)*IF(Upgrades!$T$16="Stellar Kinematics",POWER(Upgrades!$U$16,H318),1)*IF(Upgrades!$T$17="Stellar Kinematics",POWER(Upgrades!$U$17,I318),1)*IF(Upgrades!$T$18="Stellar Kinematics",POWER(Upgrades!$U$18,J318),1)*IF(Upgrades!$T$19="Stellar Kinematics",POWER(Upgrades!$U$19,K318),1)*IF(Upgrades!$T$20="Stellar Kinematics",POWER(Upgrades!$U$20,L318),1)*IF(Upgrades!$T$21="Stellar Kinematics",POWER(Upgrades!$U$21,M318),1))+(IF(F318=0,0,(Upgrades!$G$14+F318*Upgrades!$H$14)*POWER(Upgrades!$I$14,F318)))*(IF(Upgrades!$T$13="Local Bubble",POWER(Upgrades!$U$13,E318),1)*IF(Upgrades!$T$15="Local Bubble",POWER(Upgrades!$U$15,G318),1)*IF(Upgrades!$T$16="Local Bubble",POWER(Upgrades!$U$16,H318),1)*IF(Upgrades!$T$17="Local Bubble",POWER(Upgrades!$U$17,I318),1)*IF(Upgrades!$T$18="Local Bubble",POWER(Upgrades!$U$18,J318),1)*IF(Upgrades!$T$19="Local Bubble",POWER(Upgrades!$U$19,K318),1)*IF(Upgrades!$T$20="Local Bubble",POWER(Upgrades!$U$20,L318),1)*IF(Upgrades!$T$21="Local Bubble",POWER(Upgrades!$U$21,M318),1))+(IF(G318=0,0,(Upgrades!$G$15+G318*Upgrades!$H$15)*POWER(Upgrades!$I$15,G318)))*(IF(Upgrades!$T$13="Microlensing",POWER(Upgrades!$U$13,E318),1)*IF(Upgrades!$T$14="Microlensing",POWER(Upgrades!$U$14,F318),1)*IF(Upgrades!$T$16="Microlensing",POWER(Upgrades!$U$16,H318),1)*IF(Upgrades!$T$17="Microlensing",POWER(Upgrades!$U$17,I318),1)*IF(Upgrades!$T$18="Microlensing",POWER(Upgrades!$U$18,J318),1)*IF(Upgrades!$T$19="Microlensing",POWER(Upgrades!$U$19,K318),1)*IF(Upgrades!$T$20="Microlensing",POWER(Upgrades!$U$20,L318),1)*IF(Upgrades!$T$21="Microlensing",POWER(Upgrades!$U$21,M318),1))+(IF(H318=0,0,(Upgrades!$G$16+H318*Upgrades!$H$16)*POWER(Upgrades!$I$16,H318)))*(IF(Upgrades!$T$13="Roche Lobe Overflow",POWER(Upgrades!$U$13,E318),1)*IF(Upgrades!$T$14="Roche Lobe Overflow",POWER(Upgrades!$U$14,F318),1)*IF(Upgrades!$T$15="Roche Lobe Overflow",POWER(Upgrades!$U$15,G318),1)*IF(Upgrades!$T$17="Roche Lobe Overflow",POWER(Upgrades!$U$17,I318),1)*IF(Upgrades!$T$18="Roche Lobe Overflow",POWER(Upgrades!$U$18,J318),1)*IF(Upgrades!$T$19="Roche Lobe Overflow",POWER(Upgrades!$U$19,K318),1)*IF(Upgrades!$T$20="Roche Lobe Overflow",POWER(Upgrades!$U$20,L318),1)*IF(Upgrades!$T$21="Roche Lobe Overflow",POWER(Upgrades!$U$21,M318),1))+(IF(I318=0,0,(Upgrades!$G$17+I318*Upgrades!$H$17)*POWER(Upgrades!$I$17,I318)))*(IF(Upgrades!$T$13="Brown Dwarf",POWER(Upgrades!$U$13,E318),1)*IF(Upgrades!$T$14="Brown Dwarf",POWER(Upgrades!$U$14,F318),1)*IF(Upgrades!$T$15="Brown Dwarf",POWER(Upgrades!$U$15,G318),1)*IF(Upgrades!$T$16="Brown Dwarf",POWER(Upgrades!$U$16,H318),1)*IF(Upgrades!$T$18="Brown Dwarf",POWER(Upgrades!$U$18,J318),1)*IF(Upgrades!$T$19="Brown Dwarf",POWER(Upgrades!$U$19,K318),1)*IF(Upgrades!$T$20="Brown Dwarf",POWER(Upgrades!$U$20,L318),1)*IF(Upgrades!$T$21="Brown Dwarf",POWER(Upgrades!$U$21,M318),1))+(IF(J318=0,0,(Upgrades!$G$18+J318*Upgrades!$H$18)*POWER(Upgrades!$I$18,J318)))*(IF(Upgrades!$T$13="Binary Partner",POWER(Upgrades!$U$13,E318),1)*IF(Upgrades!$T$14="Binary Partner",POWER(Upgrades!$U$14,F318),1)*IF(Upgrades!$T$15="Binary Partner",POWER(Upgrades!$U$15,G318),1)*IF(Upgrades!$T$16="Binary Partner",POWER(Upgrades!$U$16,H318),1)*IF(Upgrades!$T$17="Binary Partner",POWER(Upgrades!$U$17,I318),1)*IF(Upgrades!$T$19="Binary Partner",POWER(Upgrades!$U$19,K318),1)*IF(Upgrades!$T$20="Binary Partner",POWER(Upgrades!$U$20,L318),1)*IF(Upgrades!$T$21="Binary Partner",POWER(Upgrades!$U$21,M318),1))+(IF(K318=0,0,(Upgrades!$G$19+K318*Upgrades!$H$19)*POWER(Upgrades!$I$19,K318)))*(IF(Upgrades!$T$13="Peculiar Velocity",POWER(Upgrades!$U$13,E318),1)*IF(Upgrades!$T$14="Peculiar Velocity",POWER(Upgrades!$U$14,F318),1)*IF(Upgrades!$T$15="Peculiar Velocity",POWER(Upgrades!$U$15,G318),1)*IF(Upgrades!$T$16="Peculiar Velocity",POWER(Upgrades!$U$16,H318),1)*IF(Upgrades!$T$17="Peculiar Velocity",POWER(Upgrades!$U$17,I318),1)*IF(Upgrades!$T$18="Peculiar Velocity",POWER(Upgrades!$U$18,J318),1)*IF(Upgrades!$T$20="Peculiar Velocity",POWER(Upgrades!$U$20,L318),1)*IF(Upgrades!$T$21="Peculiar Velocity",POWER(Upgrades!$U$21,M318),1))+(IF(L318=0,0,(Upgrades!$G$20+L318*Upgrades!$H$20)*POWER(Upgrades!$I$20,L318)))*(IF(Upgrades!$T$13="Open Cluster",POWER(Upgrades!$U$13,E318),1)*IF(Upgrades!$T$14="Open Cluster",POWER(Upgrades!$U$14,F318),1)*IF(Upgrades!$T$15="Open Cluster",POWER(Upgrades!$U$15,G318),1)*IF(Upgrades!$T$16="Open Cluster",POWER(Upgrades!$U$16,H318),1)*IF(Upgrades!$T$17="Open Cluster",POWER(Upgrades!$U$17,I318),1)*IF(Upgrades!$T$18="Open Cluster",POWER(Upgrades!$U$18,J318),1)*IF(Upgrades!$T$19="Open Cluster",POWER(Upgrades!$U$19,K318),1)*IF(Upgrades!$T$21="Open Cluster",POWER(Upgrades!$U$21,M318),1))+(IF(M318=0,0,(Upgrades!$G$21+M318*Upgrades!$H$21)*POWER(Upgrades!$I$21,M318)))*(IF(Upgrades!$T$13="Moving Group",POWER(Upgrades!$U$13,E318),1)*IF(Upgrades!$T$14="Moving Group",POWER(Upgrades!$U$14,F318),1)*IF(Upgrades!$T$15="Moving Group",POWER(Upgrades!$U$15,G318),1)*IF(Upgrades!$T$16="Moving Group",POWER(Upgrades!$U$16,H318),1)*IF(Upgrades!$T$17="Moving Group",POWER(Upgrades!$U$17,I318),1)*IF(Upgrades!$T$18="Moving Group",POWER(Upgrades!$U$18,J318),1)*IF(Upgrades!$T$19="Moving Group",POWER(Upgrades!$U$19,K318),1)*IF(Upgrades!$T$20="Moving Group",POWER(Upgrades!$U$20,L318),1)))*POWER(Upgrades!$P$13,E318)*POWER(Upgrades!$P$14,F318)*POWER(Upgrades!$P$15,G318)*POWER(Upgrades!$P$16,H318)*POWER(Upgrades!$P$17,I318)*POWER(Upgrades!$P$18,J318)*POWER(Upgrades!$P$19,K318)*POWER(Upgrades!$P$20,L318)*POWER(Upgrades!$P$21,M318)*$F$6+$C$6</f>
        <v/>
      </c>
      <c r="Q318" s="28">
        <f>((IF(E318=0,0,(Upgrades!$M$13+E318*Upgrades!$N$13)*POWER(Upgrades!$O$13,E318)))*(IF(Upgrades!$T$14="Stellar Kinematics",POWER(Upgrades!$U$14,F318),1)*IF(Upgrades!$T$15="Stellar Kinematics",POWER(Upgrades!$U$15,G318),1)*IF(Upgrades!$T$16="Stellar Kinematics",POWER(Upgrades!$U$16,H318),1)*IF(Upgrades!$T$17="Stellar Kinematics",POWER(Upgrades!$U$17,I318),1)*IF(Upgrades!$T$18="Stellar Kinematics",POWER(Upgrades!$U$18,J318),1)*IF(Upgrades!$T$19="Stellar Kinematics",POWER(Upgrades!$U$19,K318),1)*IF(Upgrades!$T$20="Stellar Kinematics",POWER(Upgrades!$U$20,L318),1)*IF(Upgrades!$T$21="Stellar Kinematics",POWER(Upgrades!$U$21,M318),1))+(IF(F318=0,0,(Upgrades!$M$14+F318*Upgrades!$N$14)*POWER(Upgrades!$O$14,F318)))*(IF(Upgrades!$T$13="Local Bubble",POWER(Upgrades!$U$13,E318),1)*IF(Upgrades!$T$15="Local Bubble",POWER(Upgrades!$U$15,G318),1)*IF(Upgrades!$T$16="Local Bubble",POWER(Upgrades!$U$16,H318),1)*IF(Upgrades!$T$17="Local Bubble",POWER(Upgrades!$U$17,I318),1)*IF(Upgrades!$T$18="Local Bubble",POWER(Upgrades!$U$18,J318),1)*IF(Upgrades!$T$19="Local Bubble",POWER(Upgrades!$U$19,K318),1)*IF(Upgrades!$T$20="Local Bubble",POWER(Upgrades!$U$20,L318),1)*IF(Upgrades!$T$21="Local Bubble",POWER(Upgrades!$U$21,M318),1))+(IF(G318=0,0,(Upgrades!$M$15+G318*Upgrades!$N$15)*POWER(Upgrades!$O$15,G318)))*(IF(Upgrades!$T$13="Microlensing",POWER(Upgrades!$U$13,E318),1)*IF(Upgrades!$T$14="Microlensing",POWER(Upgrades!$U$14,F318),1)*IF(Upgrades!$T$16="Microlensing",POWER(Upgrades!$U$16,H318),1)*IF(Upgrades!$T$17="Microlensing",POWER(Upgrades!$U$17,I318),1)*IF(Upgrades!$T$18="Microlensing",POWER(Upgrades!$U$18,J318),1)*IF(Upgrades!$T$19="Microlensing",POWER(Upgrades!$U$19,K318),1)*IF(Upgrades!$T$20="Microlensing",POWER(Upgrades!$U$20,L318),1)*IF(Upgrades!$T$21="Microlensing",POWER(Upgrades!$U$21,M318),1))+(IF(H318=0,0,(Upgrades!$M$16+H318*Upgrades!$N$16)*POWER(Upgrades!$O$16,H318)))*(IF(Upgrades!$T$13="Roche Lobe Overflow",POWER(Upgrades!$U$13,E318),1)*IF(Upgrades!$T$14="Roche Lobe Overflow",POWER(Upgrades!$U$14,F318),1)*IF(Upgrades!$T$15="Roche Lobe Overflow",POWER(Upgrades!$U$15,G318),1)*IF(Upgrades!$T$17="Roche Lobe Overflow",POWER(Upgrades!$U$17,I318),1)*IF(Upgrades!$T$18="Roche Lobe Overflow",POWER(Upgrades!$U$18,J318),1)*IF(Upgrades!$T$19="Roche Lobe Overflow",POWER(Upgrades!$U$19,K318),1)*IF(Upgrades!$T$20="Roche Lobe Overflow",POWER(Upgrades!$U$20,L318),1)*IF(Upgrades!$T$21="Roche Lobe Overflow",POWER(Upgrades!$U$21,M318),1))+(IF(I318=0,0,(Upgrades!$M$17+I318*Upgrades!$N$17)*POWER(Upgrades!$O$17,I318)))*(IF(Upgrades!$T$13="Brown Dwarf",POWER(Upgrades!$U$13,E318),1)*IF(Upgrades!$T$14="Brown Dwarf",POWER(Upgrades!$U$14,F318),1)*IF(Upgrades!$T$15="Brown Dwarf",POWER(Upgrades!$U$15,G318),1)*IF(Upgrades!$T$16="Brown Dwarf",POWER(Upgrades!$U$16,H318),1)*IF(Upgrades!$T$18="Brown Dwarf",POWER(Upgrades!$U$18,J318),1)*IF(Upgrades!$T$19="Brown Dwarf",POWER(Upgrades!$U$19,K318),1)*IF(Upgrades!$T$20="Brown Dwarf",POWER(Upgrades!$U$20,L318),1)*IF(Upgrades!$T$21="Brown Dwarf",POWER(Upgrades!$U$21,M318),1))+(IF(J318=0,0,(Upgrades!$M$18+J318*Upgrades!$N$18)*POWER(Upgrades!$O$18,J318)))*(IF(Upgrades!$T$13="Binary Partner",POWER(Upgrades!$U$13,E318),1)*IF(Upgrades!$T$14="Binary Partner",POWER(Upgrades!$U$14,F318),1)*IF(Upgrades!$T$15="Binary Partner",POWER(Upgrades!$U$15,G318),1)*IF(Upgrades!$T$16="Binary Partner",POWER(Upgrades!$U$16,H318),1)*IF(Upgrades!$T$17="Binary Partner",POWER(Upgrades!$U$17,I318),1)*IF(Upgrades!$T$19="Binary Partner",POWER(Upgrades!$U$19,K318),1)*IF(Upgrades!$T$20="Binary Partner",POWER(Upgrades!$U$20,L318),1)*IF(Upgrades!$T$21="Binary Partner",POWER(Upgrades!$U$21,M318),1))+(IF(K318=0,0,(Upgrades!$M$19+K318*Upgrades!$N$19)*POWER(Upgrades!$O$19,K318)))*(IF(Upgrades!$T$13="Peculiar Velocity",POWER(Upgrades!$U$13,E318),1)*IF(Upgrades!$T$14="Peculiar Velocity",POWER(Upgrades!$U$14,F318),1)*IF(Upgrades!$T$15="Peculiar Velocity",POWER(Upgrades!$U$15,G318),1)*IF(Upgrades!$T$16="Peculiar Velocity",POWER(Upgrades!$U$16,H318),1)*IF(Upgrades!$T$17="Peculiar Velocity",POWER(Upgrades!$U$17,I318),1)*IF(Upgrades!$T$18="Peculiar Velocity",POWER(Upgrades!$U$18,J318),1)*IF(Upgrades!$T$20="Peculiar Velocity",POWER(Upgrades!$U$20,L318),1)*IF(Upgrades!$T$21="Peculiar Velocity",POWER(Upgrades!$U$21,M318),1))+(IF(L318=0,0,(Upgrades!$M$20+L318*Upgrades!$N$20)*POWER(Upgrades!$O$20,L318)))*(IF(Upgrades!$T$13="Open Cluster",POWER(Upgrades!$U$13,E318),1)*IF(Upgrades!$T$14="Open Cluster",POWER(Upgrades!$U$14,F318),1)*IF(Upgrades!$T$15="Open Cluster",POWER(Upgrades!$U$15,G318),1)*IF(Upgrades!$T$16="Open Cluster",POWER(Upgrades!$U$16,H318),1)*IF(Upgrades!$T$17="Open Cluster",POWER(Upgrades!$U$17,I318),1)*IF(Upgrades!$T$18="Open Cluster",POWER(Upgrades!$U$18,J318),1)*IF(Upgrades!$T$19="Open Cluster",POWER(Upgrades!$U$19,K318),1)*IF(Upgrades!$T$21="Open Cluster",POWER(Upgrades!$U$21,M318),1))+(IF(M318=0,0,(Upgrades!$M$21+M318*Upgrades!$N$21)*POWER(Upgrades!$O$21,M318)))*(IF(Upgrades!$T$13="Moving Group",POWER(Upgrades!$U$13,E318),1)*IF(Upgrades!$T$14="Moving Group",POWER(Upgrades!$U$14,F318),1)*IF(Upgrades!$T$15="Moving Group",POWER(Upgrades!$U$15,G318),1)*IF(Upgrades!$T$16="Moving Group",POWER(Upgrades!$U$16,H318),1)*IF(Upgrades!$T$17="Moving Group",POWER(Upgrades!$U$17,I318),1)*IF(Upgrades!$T$18="Moving Group",POWER(Upgrades!$U$18,J318),1)*IF(Upgrades!$T$19="Moving Group",POWER(Upgrades!$U$19,K318),1)*IF(Upgrades!$T$20="Moving Group",POWER(Upgrades!$U$20,L318),1)))*POWER(Upgrades!$R$13,E318)*POWER(Upgrades!$R$14,F318)*POWER(Upgrades!$R$15,G318)*POWER(Upgrades!$R$16,H318)*POWER(Upgrades!$R$17,I318)*POWER(Upgrades!$R$18,J318)*POWER(Upgrades!$R$19,K318)*POWER(Upgrades!$R$20,L318)*POWER(Upgrades!$R$21,M318)*$H$6+$E$6</f>
        <v/>
      </c>
      <c r="R318" s="27">
        <f>IF(N318=1,0,O318*Parameters!$B$10/60*Parameters!$B$11*10)</f>
        <v/>
      </c>
      <c r="S318" s="27">
        <f>IF(N318=1,0,Q318*O318*10)</f>
        <v/>
      </c>
      <c r="T318" s="27">
        <f>IF(N318=1,0,R318+S318+P318*10)</f>
        <v/>
      </c>
      <c r="U318" s="33">
        <f>BE318</f>
        <v/>
      </c>
      <c r="V318" s="22">
        <f>IF(U318="",0,IF(U318="transition",0,IF(U318="SK",AK318,IF(U318="LB",AL318,IF(U318="ML",AM318,IF(U318="RLO",AN318,IF(U318="BD",AO318,IF(U318="BiP",AP318,IF(U318="PV",AQ318,IF(U318="OC",AR318,IF(U318="MG",AS318,0))))))))))</f>
        <v/>
      </c>
      <c r="W318" s="27">
        <f>IF(U318="BiP",Upgrades!$F$18,IF(U318="PV",Upgrades!$F$19,IF(U318="OC",Upgrades!$F$20,IF(U318="MG",Upgrades!$F$21,IF(U318="transition",-Parameters!$B$18*Parameters!$B$19,0)))))</f>
        <v/>
      </c>
      <c r="X318" s="22">
        <f>C318+T318-V318</f>
        <v/>
      </c>
      <c r="Y318" s="30">
        <f>O318*Parameters!$B$10/60*Parameters!$B$11+Q318*O318+P318</f>
        <v/>
      </c>
      <c r="Z318" s="34">
        <f>IF(U318="transition","→ Tier 3 (Galactic Arm)",IF(U318="MG","Moving Group — pocket drifts together",IF(U318="OC","Open Cluster acquired",IF(U318="PV","Peculiar Velocity — passive multiplier active",IF(U318="BiP","Binary Partner — pair bond formed",IF(AND(AU318=1,N318=0,AT318&lt;&gt;1),"Cohesion ready (waiting on completionists)","")))))) </f>
        <v/>
      </c>
      <c r="AA318" s="27">
        <f>(IF(E318=0,0,(Upgrades!$G$13+E318*Upgrades!$H$13)*POWER(Upgrades!$I$13,E318)))*(IF(Upgrades!$T$14="Stellar Kinematics",POWER(Upgrades!$U$14,F318),1)*IF(Upgrades!$T$15="Stellar Kinematics",POWER(Upgrades!$U$15,G318),1)*IF(Upgrades!$T$16="Stellar Kinematics",POWER(Upgrades!$U$16,H318),1)*IF(Upgrades!$T$17="Stellar Kinematics",POWER(Upgrades!$U$17,I318),1)*IF(Upgrades!$T$18="Stellar Kinematics",POWER(Upgrades!$U$18,J318),1)*IF(Upgrades!$T$19="Stellar Kinematics",POWER(Upgrades!$U$19,K318),1)*IF(Upgrades!$T$20="Stellar Kinematics",POWER(Upgrades!$U$20,L318),1)*IF(Upgrades!$T$21="Stellar Kinematics",POWER(Upgrades!$U$21,M318),1))*POWER(Upgrades!$P$13,E318)*POWER(Upgrades!$P$14,F318)*POWER(Upgrades!$P$15,G318)*POWER(Upgrades!$P$16,H318)*POWER(Upgrades!$P$17,I318)*POWER(Upgrades!$P$18,J318)*POWER(Upgrades!$P$19,K318)*POWER(Upgrades!$P$20,L318)*POWER(Upgrades!$P$21,M318)*$F$6*60</f>
        <v/>
      </c>
      <c r="AB318" s="27">
        <f>(IF(F318=0,0,(Upgrades!$G$14+F318*Upgrades!$H$14)*POWER(Upgrades!$I$14,F318)))*(IF(Upgrades!$T$13="Local Bubble",POWER(Upgrades!$U$13,E318),1)*IF(Upgrades!$T$15="Local Bubble",POWER(Upgrades!$U$15,G318),1)*IF(Upgrades!$T$16="Local Bubble",POWER(Upgrades!$U$16,H318),1)*IF(Upgrades!$T$17="Local Bubble",POWER(Upgrades!$U$17,I318),1)*IF(Upgrades!$T$18="Local Bubble",POWER(Upgrades!$U$18,J318),1)*IF(Upgrades!$T$19="Local Bubble",POWER(Upgrades!$U$19,K318),1)*IF(Upgrades!$T$20="Local Bubble",POWER(Upgrades!$U$20,L318),1)*IF(Upgrades!$T$21="Local Bubble",POWER(Upgrades!$U$21,M318),1))*POWER(Upgrades!$P$13,E318)*POWER(Upgrades!$P$14,F318)*POWER(Upgrades!$P$15,G318)*POWER(Upgrades!$P$16,H318)*POWER(Upgrades!$P$17,I318)*POWER(Upgrades!$P$18,J318)*POWER(Upgrades!$P$19,K318)*POWER(Upgrades!$P$20,L318)*POWER(Upgrades!$P$21,M318)*$F$6*60</f>
        <v/>
      </c>
      <c r="AC318" s="27">
        <f>(IF(G318=0,0,(Upgrades!$J$15+G318*Upgrades!$K$15)*POWER(Upgrades!$L$15,G318)))*(IF(Upgrades!$T$13="Microlensing",POWER(Upgrades!$U$13,E318),1)*IF(Upgrades!$T$14="Microlensing",POWER(Upgrades!$U$14,F318),1)*IF(Upgrades!$T$16="Microlensing",POWER(Upgrades!$U$16,H318),1)*IF(Upgrades!$T$17="Microlensing",POWER(Upgrades!$U$17,I318),1)*IF(Upgrades!$T$18="Microlensing",POWER(Upgrades!$U$18,J318),1)*IF(Upgrades!$T$19="Microlensing",POWER(Upgrades!$U$19,K318),1)*IF(Upgrades!$T$20="Microlensing",POWER(Upgrades!$U$20,L318),1)*IF(Upgrades!$T$21="Microlensing",POWER(Upgrades!$U$21,M318),1))*POWER(Upgrades!$Q$13,E318)*POWER(Upgrades!$Q$14,F318)*POWER(Upgrades!$Q$15,G318)*POWER(Upgrades!$Q$16,H318)*POWER(Upgrades!$Q$17,I318)*POWER(Upgrades!$Q$18,J318)*POWER(Upgrades!$Q$19,K318)*POWER(Upgrades!$Q$20,L318)*POWER(Upgrades!$Q$21,M318)*$G$6*(Parameters!$B$10*Parameters!$B$11+Q318*60)</f>
        <v/>
      </c>
      <c r="AD318" s="27">
        <f>(IF(H318=0,0,(Upgrades!$M$16+H318*Upgrades!$N$16)*POWER(Upgrades!$O$16,H318)))*(IF(Upgrades!$T$13="Roche Lobe Overflow",POWER(Upgrades!$U$13,E318),1)*IF(Upgrades!$T$14="Roche Lobe Overflow",POWER(Upgrades!$U$14,F318),1)*IF(Upgrades!$T$15="Roche Lobe Overflow",POWER(Upgrades!$U$15,G318),1)*IF(Upgrades!$T$17="Roche Lobe Overflow",POWER(Upgrades!$U$17,I318),1)*IF(Upgrades!$T$18="Roche Lobe Overflow",POWER(Upgrades!$U$18,J318),1)*IF(Upgrades!$T$19="Roche Lobe Overflow",POWER(Upgrades!$U$19,K318),1)*IF(Upgrades!$T$20="Roche Lobe Overflow",POWER(Upgrades!$U$20,L318),1)*IF(Upgrades!$T$21="Roche Lobe Overflow",POWER(Upgrades!$U$21,M318),1))*POWER(Upgrades!$R$13,E318)*POWER(Upgrades!$R$14,F318)*POWER(Upgrades!$R$15,G318)*POWER(Upgrades!$R$16,H318)*POWER(Upgrades!$R$17,I318)*POWER(Upgrades!$R$18,J318)*POWER(Upgrades!$R$19,K318)*POWER(Upgrades!$R$20,L318)*POWER(Upgrades!$R$21,M318)*$H$6*O318*60</f>
        <v/>
      </c>
      <c r="AE318" s="27">
        <f>(IF(I318=0,0,(Upgrades!$G$17+I318*Upgrades!$H$17)*POWER(Upgrades!$I$17,I318)))*(IF(Upgrades!$T$13="Brown Dwarf",POWER(Upgrades!$U$13,E318),1)*IF(Upgrades!$T$14="Brown Dwarf",POWER(Upgrades!$U$14,F318),1)*IF(Upgrades!$T$15="Brown Dwarf",POWER(Upgrades!$U$15,G318),1)*IF(Upgrades!$T$16="Brown Dwarf",POWER(Upgrades!$U$16,H318),1)*IF(Upgrades!$T$18="Brown Dwarf",POWER(Upgrades!$U$18,J318),1)*IF(Upgrades!$T$19="Brown Dwarf",POWER(Upgrades!$U$19,K318),1)*IF(Upgrades!$T$20="Brown Dwarf",POWER(Upgrades!$U$20,L318),1)*IF(Upgrades!$T$21="Brown Dwarf",POWER(Upgrades!$U$21,M318),1))*POWER(Upgrades!$P$13,E318)*POWER(Upgrades!$P$14,F318)*POWER(Upgrades!$P$15,G318)*POWER(Upgrades!$P$16,H318)*POWER(Upgrades!$P$17,I318)*POWER(Upgrades!$P$18,J318)*POWER(Upgrades!$P$19,K318)*POWER(Upgrades!$P$20,L318)*POWER(Upgrades!$P$21,M318)*$F$6*60</f>
        <v/>
      </c>
      <c r="AF318" s="27" t="n">
        <v>0</v>
      </c>
      <c r="AG318" s="27" t="n">
        <v>0</v>
      </c>
      <c r="AH318" s="27" t="n">
        <v>0</v>
      </c>
      <c r="AI318" s="27">
        <f>(IF(M318=0,0,(Upgrades!$G$21+M318*Upgrades!$H$21)*POWER(Upgrades!$I$21,M318)))*(IF(Upgrades!$T$13="Moving Group",POWER(Upgrades!$U$13,E318),1)*IF(Upgrades!$T$14="Moving Group",POWER(Upgrades!$U$14,F318),1)*IF(Upgrades!$T$15="Moving Group",POWER(Upgrades!$U$15,G318),1)*IF(Upgrades!$T$16="Moving Group",POWER(Upgrades!$U$16,H318),1)*IF(Upgrades!$T$17="Moving Group",POWER(Upgrades!$U$17,I318),1)*IF(Upgrades!$T$18="Moving Group",POWER(Upgrades!$U$18,J318),1)*IF(Upgrades!$T$19="Moving Group",POWER(Upgrades!$U$19,K318),1)*IF(Upgrades!$T$20="Moving Group",POWER(Upgrades!$U$20,L318),1))*POWER(Upgrades!$P$13,E318)*POWER(Upgrades!$P$14,F318)*POWER(Upgrades!$P$15,G318)*POWER(Upgrades!$P$16,H318)*POWER(Upgrades!$P$17,I318)*POWER(Upgrades!$P$18,J318)*POWER(Upgrades!$P$19,K318)*POWER(Upgrades!$P$20,L318)*POWER(Upgrades!$P$21,M318)*$F$6*60</f>
        <v/>
      </c>
      <c r="AJ318" s="27">
        <f>$C$6*60</f>
        <v/>
      </c>
      <c r="AK318" s="22">
        <f>IF(E318&gt;=Upgrades!$E$13,"",Upgrades!$C$13*POWER(Upgrades!$D$13,E318))</f>
        <v/>
      </c>
      <c r="AL318" s="22">
        <f>IF(F318&gt;=Upgrades!$E$14,"",Upgrades!$C$14*POWER(Upgrades!$D$14,F318))</f>
        <v/>
      </c>
      <c r="AM318" s="22">
        <f>IF(G318&gt;=Upgrades!$E$15,"",Upgrades!$C$15*POWER(Upgrades!$D$15,G318))</f>
        <v/>
      </c>
      <c r="AN318" s="22">
        <f>IF(H318&gt;=Upgrades!$E$16,"",Upgrades!$C$16*POWER(Upgrades!$D$16,H318))</f>
        <v/>
      </c>
      <c r="AO318" s="22">
        <f>IF(I318&gt;=Upgrades!$E$17,"",Upgrades!$C$17*POWER(Upgrades!$D$17,I318))</f>
        <v/>
      </c>
      <c r="AP318" s="22">
        <f>IF(J318&gt;=Upgrades!$E$18,"",Upgrades!$C$18*POWER(Upgrades!$D$18,J318))</f>
        <v/>
      </c>
      <c r="AQ318" s="22">
        <f>IF(K318&gt;=Upgrades!$E$19,"",Upgrades!$C$19*POWER(Upgrades!$D$19,K318))</f>
        <v/>
      </c>
      <c r="AR318" s="22">
        <f>IF(L318&gt;=Upgrades!$E$20,"",Upgrades!$C$20*POWER(Upgrades!$D$20,L318))</f>
        <v/>
      </c>
      <c r="AS318" s="22">
        <f>IF(M318&gt;=Upgrades!$E$21,"",Upgrades!$C$21*POWER(Upgrades!$D$21,M318))</f>
        <v/>
      </c>
      <c r="AT318" s="26">
        <f>IF(AND(D318&gt;=Parameters!$B$18*Parameters!$B$19,(I318&gt;=Upgrades!$E$17)*(M318&gt;=Upgrades!$E$21)=1,N318=0),1,"")</f>
        <v/>
      </c>
      <c r="AU318" s="26">
        <f>IF(AND(D318&gt;=Parameters!$B$18*Parameters!$B$19,N318=0),1,"")</f>
        <v/>
      </c>
      <c r="AV318" s="22">
        <f>MIN(IF(ISNUMBER(AP318),AP318,9E15),IF(ISNUMBER(AQ318),AQ318,9E15),IF(ISNUMBER(AR318),AR318,9E15),IF(ISNUMBER(AS318),AS318,9E15))</f>
        <v/>
      </c>
      <c r="AW318" s="22">
        <f>MIN(IF(ISNUMBER(AK318),AK318,9E15),IF(ISNUMBER(AL318),AL318,9E15),IF(ISNUMBER(AM318),AM318,9E15),IF(ISNUMBER(AN318),AN318,9E15),IF(ISNUMBER(AO318),AO318,9E15))</f>
        <v/>
      </c>
      <c r="AX318" s="29">
        <f>IF(BD318&gt;Parameters!$B$21*(MAX(IF(AND(NOT(AND(AU318=1,AT318&lt;&gt;1)),ISNUMBER(AK318),AK318&lt;=(C318+T318)),AY318,0),IF(AND(NOT(AND(AU318=1,AT318&lt;&gt;1)),ISNUMBER(AL318),AL318&lt;=(C318+T318)),AZ318,0),IF(AND(NOT(AND(AU318=1,AT318&lt;&gt;1)),ISNUMBER(AM318),AM318&lt;=(C318+T318)),BA318,0),IF(AND(NOT(AND(AU318=1,AT318&lt;&gt;1)),ISNUMBER(AN318),AN318&lt;=(C318+T318)),BB318,0),IF(AND(ISNUMBER(AO318),AO318&lt;=(C318+T318)),BC318,0))),TRUE,FALSE)</f>
        <v/>
      </c>
      <c r="AY318" s="32">
        <f>IFERROR(Upgrades!$H$13*(POWER(Upgrades!$P$13,E318)*POWER(Upgrades!$P$14,F318)*POWER(Upgrades!$P$15,G318)*POWER(Upgrades!$P$16,H318)*POWER(Upgrades!$P$17,I318)*POWER(Upgrades!$P$18,J318)*POWER(Upgrades!$P$19,K318)*POWER(Upgrades!$P$20,L318)*POWER(Upgrades!$P$21,M318))*(IF(Upgrades!$T$14="Stellar Kinematics",POWER(Upgrades!$U$14,F318),1)*IF(Upgrades!$T$15="Stellar Kinematics",POWER(Upgrades!$U$15,G318),1)*IF(Upgrades!$T$16="Stellar Kinematics",POWER(Upgrades!$U$16,H318),1)*IF(Upgrades!$T$17="Stellar Kinematics",POWER(Upgrades!$U$17,I318),1)*IF(Upgrades!$T$18="Stellar Kinematics",POWER(Upgrades!$U$18,J318),1)*IF(Upgrades!$T$19="Stellar Kinematics",POWER(Upgrades!$U$19,K318),1)*IF(Upgrades!$T$20="Stellar Kinematics",POWER(Upgrades!$U$20,L318),1)*IF(Upgrades!$T$21="Stellar Kinematics",POWER(Upgrades!$U$21,M318),1))*$F$6/AK318,0)</f>
        <v/>
      </c>
      <c r="AZ318" s="32">
        <f>IFERROR(Upgrades!$H$14*(POWER(Upgrades!$P$13,E318)*POWER(Upgrades!$P$14,F318)*POWER(Upgrades!$P$15,G318)*POWER(Upgrades!$P$16,H318)*POWER(Upgrades!$P$17,I318)*POWER(Upgrades!$P$18,J318)*POWER(Upgrades!$P$19,K318)*POWER(Upgrades!$P$20,L318)*POWER(Upgrades!$P$21,M318))*(IF(Upgrades!$T$13="Local Bubble",POWER(Upgrades!$U$13,E318),1)*IF(Upgrades!$T$15="Local Bubble",POWER(Upgrades!$U$15,G318),1)*IF(Upgrades!$T$16="Local Bubble",POWER(Upgrades!$U$16,H318),1)*IF(Upgrades!$T$17="Local Bubble",POWER(Upgrades!$U$17,I318),1)*IF(Upgrades!$T$18="Local Bubble",POWER(Upgrades!$U$18,J318),1)*IF(Upgrades!$T$19="Local Bubble",POWER(Upgrades!$U$19,K318),1)*IF(Upgrades!$T$20="Local Bubble",POWER(Upgrades!$U$20,L318),1)*IF(Upgrades!$T$21="Local Bubble",POWER(Upgrades!$U$21,M318),1))*$F$6/AL318,0)</f>
        <v/>
      </c>
      <c r="BA318" s="32">
        <f>IFERROR(Upgrades!$K$15*(POWER(Upgrades!$Q$13,E318)*POWER(Upgrades!$Q$14,F318)*POWER(Upgrades!$Q$15,G318)*POWER(Upgrades!$Q$16,H318)*POWER(Upgrades!$Q$17,I318)*POWER(Upgrades!$Q$18,J318)*POWER(Upgrades!$Q$19,K318)*POWER(Upgrades!$Q$20,L318)*POWER(Upgrades!$Q$21,M318))*(IF(Upgrades!$T$13="Microlensing",POWER(Upgrades!$U$13,E318),1)*IF(Upgrades!$T$14="Microlensing",POWER(Upgrades!$U$14,F318),1)*IF(Upgrades!$T$16="Microlensing",POWER(Upgrades!$U$16,H318),1)*IF(Upgrades!$T$17="Microlensing",POWER(Upgrades!$U$17,I318),1)*IF(Upgrades!$T$18="Microlensing",POWER(Upgrades!$U$18,J318),1)*IF(Upgrades!$T$19="Microlensing",POWER(Upgrades!$U$19,K318),1)*IF(Upgrades!$T$20="Microlensing",POWER(Upgrades!$U$20,L318),1)*IF(Upgrades!$T$21="Microlensing",POWER(Upgrades!$U$21,M318),1))*$G$6*(Parameters!$B$10/60*Parameters!$B$11+Q318)/AM318,0)</f>
        <v/>
      </c>
      <c r="BB318" s="32">
        <f>IFERROR((Upgrades!$N$16*(POWER(Upgrades!$R$13,E318)*POWER(Upgrades!$R$14,F318)*POWER(Upgrades!$R$15,G318)*POWER(Upgrades!$R$16,H318)*POWER(Upgrades!$R$17,I318)*POWER(Upgrades!$R$18,J318)*POWER(Upgrades!$R$19,K318)*POWER(Upgrades!$R$20,L318)*POWER(Upgrades!$R$21,M318))*(IF(Upgrades!$T$13="Roche Lobe Overflow",POWER(Upgrades!$U$13,E318),1)*IF(Upgrades!$T$14="Roche Lobe Overflow",POWER(Upgrades!$U$14,F318),1)*IF(Upgrades!$T$15="Roche Lobe Overflow",POWER(Upgrades!$U$15,G318),1)*IF(Upgrades!$T$17="Roche Lobe Overflow",POWER(Upgrades!$U$17,I318),1)*IF(Upgrades!$T$18="Roche Lobe Overflow",POWER(Upgrades!$U$18,J318),1)*IF(Upgrades!$T$19="Roche Lobe Overflow",POWER(Upgrades!$U$19,K318),1)*IF(Upgrades!$T$20="Roche Lobe Overflow",POWER(Upgrades!$U$20,L318),1)*IF(Upgrades!$T$21="Roche Lobe Overflow",POWER(Upgrades!$U$21,M318),1))*$H$6*O318+((IF(F318=0,0,(Upgrades!$G$14+F318*Upgrades!$H$14)*POWER(Upgrades!$I$14,F318)))*(IF(Upgrades!$T$13="Local Bubble",POWER(Upgrades!$U$13,E318),1)*IF(Upgrades!$T$15="Local Bubble",POWER(Upgrades!$U$15,G318),1)*IF(Upgrades!$T$16="Local Bubble",POWER(Upgrades!$U$16,H318),1)*IF(Upgrades!$T$17="Local Bubble",POWER(Upgrades!$U$17,I318),1)*IF(Upgrades!$T$18="Local Bubble",POWER(Upgrades!$U$18,J318),1)*IF(Upgrades!$T$19="Local Bubble",POWER(Upgrades!$U$19,K318),1)*IF(Upgrades!$T$20="Local Bubble",POWER(Upgrades!$U$20,L318),1)*IF(Upgrades!$T$21="Local Bubble",POWER(Upgrades!$U$21,M318),1))*POWER(Upgrades!$P$13,E318)*POWER(Upgrades!$P$14,F318)*POWER(Upgrades!$P$15,G318)*POWER(Upgrades!$P$16,H318)*POWER(Upgrades!$P$17,I318)*POWER(Upgrades!$P$18,J318)*POWER(Upgrades!$P$19,K318)*POWER(Upgrades!$P$20,L318)*POWER(Upgrades!$P$21,M318)*$F$6)*0.05)/AN318,0)</f>
        <v/>
      </c>
      <c r="BC318" s="32">
        <f>IFERROR((Upgrades!$H$17*(POWER(Upgrades!$P$13,E318)*POWER(Upgrades!$P$14,F318)*POWER(Upgrades!$P$15,G318)*POWER(Upgrades!$P$16,H318)*POWER(Upgrades!$P$17,I318)*POWER(Upgrades!$P$18,J318)*POWER(Upgrades!$P$19,K318)*POWER(Upgrades!$P$20,L318)*POWER(Upgrades!$P$21,M318))*(IF(Upgrades!$T$13="Brown Dwarf",POWER(Upgrades!$U$13,E318),1)*IF(Upgrades!$T$14="Brown Dwarf",POWER(Upgrades!$U$14,F318),1)*IF(Upgrades!$T$15="Brown Dwarf",POWER(Upgrades!$U$15,G318),1)*IF(Upgrades!$T$16="Brown Dwarf",POWER(Upgrades!$U$16,H318),1)*IF(Upgrades!$T$18="Brown Dwarf",POWER(Upgrades!$U$18,J318),1)*IF(Upgrades!$T$19="Brown Dwarf",POWER(Upgrades!$U$19,K318),1)*IF(Upgrades!$T$20="Brown Dwarf",POWER(Upgrades!$U$20,L318),1)*IF(Upgrades!$T$21="Brown Dwarf",POWER(Upgrades!$U$21,M318),1))*$F$6+(((IF(H318=0,0,(Upgrades!$M$16+H318*Upgrades!$N$16)*POWER(Upgrades!$O$16,H318)))*(IF(Upgrades!$T$13="Roche Lobe Overflow",POWER(Upgrades!$U$13,E318),1)*IF(Upgrades!$T$14="Roche Lobe Overflow",POWER(Upgrades!$U$14,F318),1)*IF(Upgrades!$T$15="Roche Lobe Overflow",POWER(Upgrades!$U$15,G318),1)*IF(Upgrades!$T$17="Roche Lobe Overflow",POWER(Upgrades!$U$17,I318),1)*IF(Upgrades!$T$18="Roche Lobe Overflow",POWER(Upgrades!$U$18,J318),1)*IF(Upgrades!$T$19="Roche Lobe Overflow",POWER(Upgrades!$U$19,K318),1)*IF(Upgrades!$T$20="Roche Lobe Overflow",POWER(Upgrades!$U$20,L318),1)*IF(Upgrades!$T$21="Roche Lobe Overflow",POWER(Upgrades!$U$21,M318),1))*POWER(Upgrades!$R$13,E318)*POWER(Upgrades!$R$14,F318)*POWER(Upgrades!$R$15,G318)*POWER(Upgrades!$R$16,H318)*POWER(Upgrades!$R$17,I318)*POWER(Upgrades!$R$18,J318)*POWER(Upgrades!$R$19,K318)*POWER(Upgrades!$R$20,L318)*POWER(Upgrades!$R$21,M318)*$H$6)*O318)*0.10)/AO318,0)</f>
        <v/>
      </c>
      <c r="BD318" s="32">
        <f>MAX(IF(J318&gt;0,0,IFERROR(0.5*((IF(G318=0,0,(Upgrades!$J$15+G318*Upgrades!$K$15)*POWER(Upgrades!$L$15,G318)))*(IF(Upgrades!$T$13="Microlensing",POWER(Upgrades!$U$13,E318),1)*IF(Upgrades!$T$14="Microlensing",POWER(Upgrades!$U$14,F318),1)*IF(Upgrades!$T$16="Microlensing",POWER(Upgrades!$U$16,H318),1)*IF(Upgrades!$T$17="Microlensing",POWER(Upgrades!$U$17,I318),1)*IF(Upgrades!$T$18="Microlensing",POWER(Upgrades!$U$18,J318),1)*IF(Upgrades!$T$19="Microlensing",POWER(Upgrades!$U$19,K318),1)*IF(Upgrades!$T$20="Microlensing",POWER(Upgrades!$U$20,L318),1)*IF(Upgrades!$T$21="Microlensing",POWER(Upgrades!$U$21,M318),1))*(POWER(Upgrades!$Q$13,E318)*POWER(Upgrades!$Q$14,F318)*POWER(Upgrades!$Q$15,G318)*POWER(Upgrades!$Q$16,H318)*POWER(Upgrades!$Q$17,I318)*POWER(Upgrades!$Q$18,J318)*POWER(Upgrades!$Q$19,K318)*POWER(Upgrades!$Q$20,L318)*POWER(Upgrades!$Q$21,M318))*$G$6*(Parameters!$B$10/60*Parameters!$B$11+Q318))/Upgrades!$C$18,0)),IF(K318&gt;0,0,IFERROR(0.30*P318/Upgrades!$C$19,0)),IF(L318&gt;0,0,IFERROR(0.0001/Upgrades!$C$20,0)),IF(M318&gt;0,0,IFERROR((6.0*(POWER(Upgrades!$P$13,E318)*POWER(Upgrades!$P$14,F318)*POWER(Upgrades!$P$15,G318)*POWER(Upgrades!$P$16,H318)*POWER(Upgrades!$P$17,I318)*POWER(Upgrades!$P$18,J318)*POWER(Upgrades!$P$19,K318)*POWER(Upgrades!$P$20,L318)*POWER(Upgrades!$P$21,M318))*$F$6+0.20*O318*(Parameters!$B$10/60*Parameters!$B$11+Q318))/Upgrades!$C$21,0)),IF(AND(ISNUMBER(AK318),AK318&gt;(C318+T318)),AY318,0),IF(AND(ISNUMBER(AL318),AL318&gt;(C318+T318)),AZ318,0),IF(AND(ISNUMBER(AM318),AM318&gt;(C318+T318)),BA318,0),IF(AND(ISNUMBER(AN318),AN318&gt;(C318+T318)),BB318,0),IF(AND(ISNUMBER(AO318),AO318&gt;(C318+T318)),BC318,0))</f>
        <v/>
      </c>
      <c r="BE318" s="29">
        <f>IF(AT318=1,"transition",IF(MIN(IF(AND(J318=0,ISNUMBER(AP318),AP318&lt;=(C318+T318)),AP318,9E15),IF(AND(K318=0,ISNUMBER(AQ318),AQ318&lt;=(C318+T318)),AQ318,9E15),IF(AND(L318=0,ISNUMBER(AR318),AR318&lt;=(C318+T318)),AR318,9E15),IF(AND(M318=0,ISNUMBER(AS318),AS318&lt;=(C318+T318)),AS318,9E15))&lt;9E15,IF(AND(AND(J318=0,ISNUMBER(AP318),AP318&lt;=(C318+T318)),AP318=MIN(IF(AND(J318=0,ISNUMBER(AP318),AP318&lt;=(C318+T318)),AP318,9E15),IF(AND(K318=0,ISNUMBER(AQ318),AQ318&lt;=(C318+T318)),AQ318,9E15),IF(AND(L318=0,ISNUMBER(AR318),AR318&lt;=(C318+T318)),AR318,9E15),IF(AND(M318=0,ISNUMBER(AS318),AS318&lt;=(C318+T318)),AS318,9E15))),"BiP",IF(AND(AND(K318=0,ISNUMBER(AQ318),AQ318&lt;=(C318+T318)),AQ318=MIN(IF(AND(J318=0,ISNUMBER(AP318),AP318&lt;=(C318+T318)),AP318,9E15),IF(AND(K318=0,ISNUMBER(AQ318),AQ318&lt;=(C318+T318)),AQ318,9E15),IF(AND(L318=0,ISNUMBER(AR318),AR318&lt;=(C318+T318)),AR318,9E15),IF(AND(M318=0,ISNUMBER(AS318),AS318&lt;=(C318+T318)),AS318,9E15))),"PV",IF(AND(AND(L318=0,ISNUMBER(AR318),AR318&lt;=(C318+T318)),AR318=MIN(IF(AND(J318=0,ISNUMBER(AP318),AP318&lt;=(C318+T318)),AP318,9E15),IF(AND(K318=0,ISNUMBER(AQ318),AQ318&lt;=(C318+T318)),AQ318,9E15),IF(AND(L318=0,ISNUMBER(AR318),AR318&lt;=(C318+T318)),AR318,9E15),IF(AND(M318=0,ISNUMBER(AS318),AS318&lt;=(C318+T318)),AS318,9E15))),"OC","MG"))),IF(AX318=TRUE,"",IF(MAX(IF(AND(NOT(AND(AU318=1,AT318&lt;&gt;1)),ISNUMBER(AK318),AK318&lt;=(C318+T318)),AY318,0),IF(AND(NOT(AND(AU318=1,AT318&lt;&gt;1)),ISNUMBER(AL318),AL318&lt;=(C318+T318)),AZ318,0),IF(AND(NOT(AND(AU318=1,AT318&lt;&gt;1)),ISNUMBER(AM318),AM318&lt;=(C318+T318)),BA318,0),IF(AND(NOT(AND(AU318=1,AT318&lt;&gt;1)),ISNUMBER(AN318),AN318&lt;=(C318+T318)),BB318,0),IF(AND(ISNUMBER(AO318),AO318&lt;=(C318+T318)),BC318,0))&lt;=0,"",IF(AND(IF(AND(NOT(AND(AU318=1,AT318&lt;&gt;1)),ISNUMBER(AK318),AK318&lt;=(C318+T318)),AY318,0)&gt;0,IF(AND(NOT(AND(AU318=1,AT318&lt;&gt;1)),ISNUMBER(AK318),AK318&lt;=(C318+T318)),AY318,0)=MAX(IF(AND(NOT(AND(AU318=1,AT318&lt;&gt;1)),ISNUMBER(AK318),AK318&lt;=(C318+T318)),AY318,0),IF(AND(NOT(AND(AU318=1,AT318&lt;&gt;1)),ISNUMBER(AL318),AL318&lt;=(C318+T318)),AZ318,0),IF(AND(NOT(AND(AU318=1,AT318&lt;&gt;1)),ISNUMBER(AM318),AM318&lt;=(C318+T318)),BA318,0),IF(AND(NOT(AND(AU318=1,AT318&lt;&gt;1)),ISNUMBER(AN318),AN318&lt;=(C318+T318)),BB318,0),IF(AND(ISNUMBER(AO318),AO318&lt;=(C318+T318)),BC318,0))),"SK",IF(AND(IF(AND(NOT(AND(AU318=1,AT318&lt;&gt;1)),ISNUMBER(AL318),AL318&lt;=(C318+T318)),AZ318,0)&gt;0,IF(AND(NOT(AND(AU318=1,AT318&lt;&gt;1)),ISNUMBER(AL318),AL318&lt;=(C318+T318)),AZ318,0)=MAX(IF(AND(NOT(AND(AU318=1,AT318&lt;&gt;1)),ISNUMBER(AK318),AK318&lt;=(C318+T318)),AY318,0),IF(AND(NOT(AND(AU318=1,AT318&lt;&gt;1)),ISNUMBER(AL318),AL318&lt;=(C318+T318)),AZ318,0),IF(AND(NOT(AND(AU318=1,AT318&lt;&gt;1)),ISNUMBER(AM318),AM318&lt;=(C318+T318)),BA318,0),IF(AND(NOT(AND(AU318=1,AT318&lt;&gt;1)),ISNUMBER(AN318),AN318&lt;=(C318+T318)),BB318,0),IF(AND(ISNUMBER(AO318),AO318&lt;=(C318+T318)),BC318,0))),"LB",IF(AND(IF(AND(NOT(AND(AU318=1,AT318&lt;&gt;1)),ISNUMBER(AM318),AM318&lt;=(C318+T318)),BA318,0)&gt;0,IF(AND(NOT(AND(AU318=1,AT318&lt;&gt;1)),ISNUMBER(AM318),AM318&lt;=(C318+T318)),BA318,0)=MAX(IF(AND(NOT(AND(AU318=1,AT318&lt;&gt;1)),ISNUMBER(AK318),AK318&lt;=(C318+T318)),AY318,0),IF(AND(NOT(AND(AU318=1,AT318&lt;&gt;1)),ISNUMBER(AL318),AL318&lt;=(C318+T318)),AZ318,0),IF(AND(NOT(AND(AU318=1,AT318&lt;&gt;1)),ISNUMBER(AM318),AM318&lt;=(C318+T318)),BA318,0),IF(AND(NOT(AND(AU318=1,AT318&lt;&gt;1)),ISNUMBER(AN318),AN318&lt;=(C318+T318)),BB318,0),IF(AND(ISNUMBER(AO318),AO318&lt;=(C318+T318)),BC318,0))),"ML",IF(AND(IF(AND(NOT(AND(AU318=1,AT318&lt;&gt;1)),ISNUMBER(AN318),AN318&lt;=(C318+T318)),BB318,0)&gt;0,IF(AND(NOT(AND(AU318=1,AT318&lt;&gt;1)),ISNUMBER(AN318),AN318&lt;=(C318+T318)),BB318,0)=MAX(IF(AND(NOT(AND(AU318=1,AT318&lt;&gt;1)),ISNUMBER(AK318),AK318&lt;=(C318+T318)),AY318,0),IF(AND(NOT(AND(AU318=1,AT318&lt;&gt;1)),ISNUMBER(AL318),AL318&lt;=(C318+T318)),AZ318,0),IF(AND(NOT(AND(AU318=1,AT318&lt;&gt;1)),ISNUMBER(AM318),AM318&lt;=(C318+T318)),BA318,0),IF(AND(NOT(AND(AU318=1,AT318&lt;&gt;1)),ISNUMBER(AN318),AN318&lt;=(C318+T318)),BB318,0),IF(AND(ISNUMBER(AO318),AO318&lt;=(C318+T318)),BC318,0))),"RLO","BD"))))))))</f>
        <v/>
      </c>
    </row>
    <row r="319">
      <c r="A319" s="26" t="n">
        <v>308</v>
      </c>
      <c r="B319" s="27">
        <f>A319*10/60</f>
        <v/>
      </c>
      <c r="C319" s="22">
        <f>X318</f>
        <v/>
      </c>
      <c r="D319" s="27">
        <f>D318+W318</f>
        <v/>
      </c>
      <c r="E319" s="26">
        <f>E318+IF(U318="SK",1,0)</f>
        <v/>
      </c>
      <c r="F319" s="26">
        <f>F318+IF(U318="LB",1,0)</f>
        <v/>
      </c>
      <c r="G319" s="26">
        <f>G318+IF(U318="ML",1,0)</f>
        <v/>
      </c>
      <c r="H319" s="26">
        <f>H318+IF(U318="RLO",1,0)</f>
        <v/>
      </c>
      <c r="I319" s="26">
        <f>I318+IF(U318="BD",1,0)</f>
        <v/>
      </c>
      <c r="J319" s="26">
        <f>MAX(J318,IF(U318="BiP",1,0))</f>
        <v/>
      </c>
      <c r="K319" s="26">
        <f>MAX(K318,IF(U318="PV",1,0))</f>
        <v/>
      </c>
      <c r="L319" s="26">
        <f>MAX(L318,IF(U318="OC",1,0))</f>
        <v/>
      </c>
      <c r="M319" s="26">
        <f>MAX(M318,IF(U318="MG",1,0))</f>
        <v/>
      </c>
      <c r="N319" s="26">
        <f>MAX(N318,IF(U318="transition",1,0))</f>
        <v/>
      </c>
      <c r="O319" s="28">
        <f>(Parameters!$B$9+(IF(E319=0,0,(Upgrades!$J$13+E319*Upgrades!$K$13)*POWER(Upgrades!$L$13,E319)))*(IF(Upgrades!$T$14="Stellar Kinematics",POWER(Upgrades!$U$14,F319),1)*IF(Upgrades!$T$15="Stellar Kinematics",POWER(Upgrades!$U$15,G319),1)*IF(Upgrades!$T$16="Stellar Kinematics",POWER(Upgrades!$U$16,H319),1)*IF(Upgrades!$T$17="Stellar Kinematics",POWER(Upgrades!$U$17,I319),1)*IF(Upgrades!$T$18="Stellar Kinematics",POWER(Upgrades!$U$18,J319),1)*IF(Upgrades!$T$19="Stellar Kinematics",POWER(Upgrades!$U$19,K319),1)*IF(Upgrades!$T$20="Stellar Kinematics",POWER(Upgrades!$U$20,L319),1)*IF(Upgrades!$T$21="Stellar Kinematics",POWER(Upgrades!$U$21,M319),1))+(IF(F319=0,0,(Upgrades!$J$14+F319*Upgrades!$K$14)*POWER(Upgrades!$L$14,F319)))*(IF(Upgrades!$T$13="Local Bubble",POWER(Upgrades!$U$13,E319),1)*IF(Upgrades!$T$15="Local Bubble",POWER(Upgrades!$U$15,G319),1)*IF(Upgrades!$T$16="Local Bubble",POWER(Upgrades!$U$16,H319),1)*IF(Upgrades!$T$17="Local Bubble",POWER(Upgrades!$U$17,I319),1)*IF(Upgrades!$T$18="Local Bubble",POWER(Upgrades!$U$18,J319),1)*IF(Upgrades!$T$19="Local Bubble",POWER(Upgrades!$U$19,K319),1)*IF(Upgrades!$T$20="Local Bubble",POWER(Upgrades!$U$20,L319),1)*IF(Upgrades!$T$21="Local Bubble",POWER(Upgrades!$U$21,M319),1))+(IF(G319=0,0,(Upgrades!$J$15+G319*Upgrades!$K$15)*POWER(Upgrades!$L$15,G319)))*(IF(Upgrades!$T$13="Microlensing",POWER(Upgrades!$U$13,E319),1)*IF(Upgrades!$T$14="Microlensing",POWER(Upgrades!$U$14,F319),1)*IF(Upgrades!$T$16="Microlensing",POWER(Upgrades!$U$16,H319),1)*IF(Upgrades!$T$17="Microlensing",POWER(Upgrades!$U$17,I319),1)*IF(Upgrades!$T$18="Microlensing",POWER(Upgrades!$U$18,J319),1)*IF(Upgrades!$T$19="Microlensing",POWER(Upgrades!$U$19,K319),1)*IF(Upgrades!$T$20="Microlensing",POWER(Upgrades!$U$20,L319),1)*IF(Upgrades!$T$21="Microlensing",POWER(Upgrades!$U$21,M319),1))+(IF(H319=0,0,(Upgrades!$J$16+H319*Upgrades!$K$16)*POWER(Upgrades!$L$16,H319)))*(IF(Upgrades!$T$13="Roche Lobe Overflow",POWER(Upgrades!$U$13,E319),1)*IF(Upgrades!$T$14="Roche Lobe Overflow",POWER(Upgrades!$U$14,F319),1)*IF(Upgrades!$T$15="Roche Lobe Overflow",POWER(Upgrades!$U$15,G319),1)*IF(Upgrades!$T$17="Roche Lobe Overflow",POWER(Upgrades!$U$17,I319),1)*IF(Upgrades!$T$18="Roche Lobe Overflow",POWER(Upgrades!$U$18,J319),1)*IF(Upgrades!$T$19="Roche Lobe Overflow",POWER(Upgrades!$U$19,K319),1)*IF(Upgrades!$T$20="Roche Lobe Overflow",POWER(Upgrades!$U$20,L319),1)*IF(Upgrades!$T$21="Roche Lobe Overflow",POWER(Upgrades!$U$21,M319),1))+(IF(I319=0,0,(Upgrades!$J$17+I319*Upgrades!$K$17)*POWER(Upgrades!$L$17,I319)))*(IF(Upgrades!$T$13="Brown Dwarf",POWER(Upgrades!$U$13,E319),1)*IF(Upgrades!$T$14="Brown Dwarf",POWER(Upgrades!$U$14,F319),1)*IF(Upgrades!$T$15="Brown Dwarf",POWER(Upgrades!$U$15,G319),1)*IF(Upgrades!$T$16="Brown Dwarf",POWER(Upgrades!$U$16,H319),1)*IF(Upgrades!$T$18="Brown Dwarf",POWER(Upgrades!$U$18,J319),1)*IF(Upgrades!$T$19="Brown Dwarf",POWER(Upgrades!$U$19,K319),1)*IF(Upgrades!$T$20="Brown Dwarf",POWER(Upgrades!$U$20,L319),1)*IF(Upgrades!$T$21="Brown Dwarf",POWER(Upgrades!$U$21,M319),1))+(IF(J319=0,0,(Upgrades!$J$18+J319*Upgrades!$K$18)*POWER(Upgrades!$L$18,J319)))*(IF(Upgrades!$T$13="Binary Partner",POWER(Upgrades!$U$13,E319),1)*IF(Upgrades!$T$14="Binary Partner",POWER(Upgrades!$U$14,F319),1)*IF(Upgrades!$T$15="Binary Partner",POWER(Upgrades!$U$15,G319),1)*IF(Upgrades!$T$16="Binary Partner",POWER(Upgrades!$U$16,H319),1)*IF(Upgrades!$T$17="Binary Partner",POWER(Upgrades!$U$17,I319),1)*IF(Upgrades!$T$19="Binary Partner",POWER(Upgrades!$U$19,K319),1)*IF(Upgrades!$T$20="Binary Partner",POWER(Upgrades!$U$20,L319),1)*IF(Upgrades!$T$21="Binary Partner",POWER(Upgrades!$U$21,M319),1))+(IF(K319=0,0,(Upgrades!$J$19+K319*Upgrades!$K$19)*POWER(Upgrades!$L$19,K319)))*(IF(Upgrades!$T$13="Peculiar Velocity",POWER(Upgrades!$U$13,E319),1)*IF(Upgrades!$T$14="Peculiar Velocity",POWER(Upgrades!$U$14,F319),1)*IF(Upgrades!$T$15="Peculiar Velocity",POWER(Upgrades!$U$15,G319),1)*IF(Upgrades!$T$16="Peculiar Velocity",POWER(Upgrades!$U$16,H319),1)*IF(Upgrades!$T$17="Peculiar Velocity",POWER(Upgrades!$U$17,I319),1)*IF(Upgrades!$T$18="Peculiar Velocity",POWER(Upgrades!$U$18,J319),1)*IF(Upgrades!$T$20="Peculiar Velocity",POWER(Upgrades!$U$20,L319),1)*IF(Upgrades!$T$21="Peculiar Velocity",POWER(Upgrades!$U$21,M319),1))+(IF(L319=0,0,(Upgrades!$J$20+L319*Upgrades!$K$20)*POWER(Upgrades!$L$20,L319)))*(IF(Upgrades!$T$13="Open Cluster",POWER(Upgrades!$U$13,E319),1)*IF(Upgrades!$T$14="Open Cluster",POWER(Upgrades!$U$14,F319),1)*IF(Upgrades!$T$15="Open Cluster",POWER(Upgrades!$U$15,G319),1)*IF(Upgrades!$T$16="Open Cluster",POWER(Upgrades!$U$16,H319),1)*IF(Upgrades!$T$17="Open Cluster",POWER(Upgrades!$U$17,I319),1)*IF(Upgrades!$T$18="Open Cluster",POWER(Upgrades!$U$18,J319),1)*IF(Upgrades!$T$19="Open Cluster",POWER(Upgrades!$U$19,K319),1)*IF(Upgrades!$T$21="Open Cluster",POWER(Upgrades!$U$21,M319),1))+(IF(M319=0,0,(Upgrades!$J$21+M319*Upgrades!$K$21)*POWER(Upgrades!$L$21,M319)))*(IF(Upgrades!$T$13="Moving Group",POWER(Upgrades!$U$13,E319),1)*IF(Upgrades!$T$14="Moving Group",POWER(Upgrades!$U$14,F319),1)*IF(Upgrades!$T$15="Moving Group",POWER(Upgrades!$U$15,G319),1)*IF(Upgrades!$T$16="Moving Group",POWER(Upgrades!$U$16,H319),1)*IF(Upgrades!$T$17="Moving Group",POWER(Upgrades!$U$17,I319),1)*IF(Upgrades!$T$18="Moving Group",POWER(Upgrades!$U$18,J319),1)*IF(Upgrades!$T$19="Moving Group",POWER(Upgrades!$U$19,K319),1)*IF(Upgrades!$T$20="Moving Group",POWER(Upgrades!$U$20,L319),1)))*POWER(Upgrades!$Q$13,E319)*POWER(Upgrades!$Q$14,F319)*POWER(Upgrades!$Q$15,G319)*POWER(Upgrades!$Q$16,H319)*POWER(Upgrades!$Q$17,I319)*POWER(Upgrades!$Q$18,J319)*POWER(Upgrades!$Q$19,K319)*POWER(Upgrades!$Q$20,L319)*POWER(Upgrades!$Q$21,M319)*$G$6+$D$6</f>
        <v/>
      </c>
      <c r="P319" s="28">
        <f>((IF(E319=0,0,(Upgrades!$G$13+E319*Upgrades!$H$13)*POWER(Upgrades!$I$13,E319)))*(IF(Upgrades!$T$14="Stellar Kinematics",POWER(Upgrades!$U$14,F319),1)*IF(Upgrades!$T$15="Stellar Kinematics",POWER(Upgrades!$U$15,G319),1)*IF(Upgrades!$T$16="Stellar Kinematics",POWER(Upgrades!$U$16,H319),1)*IF(Upgrades!$T$17="Stellar Kinematics",POWER(Upgrades!$U$17,I319),1)*IF(Upgrades!$T$18="Stellar Kinematics",POWER(Upgrades!$U$18,J319),1)*IF(Upgrades!$T$19="Stellar Kinematics",POWER(Upgrades!$U$19,K319),1)*IF(Upgrades!$T$20="Stellar Kinematics",POWER(Upgrades!$U$20,L319),1)*IF(Upgrades!$T$21="Stellar Kinematics",POWER(Upgrades!$U$21,M319),1))+(IF(F319=0,0,(Upgrades!$G$14+F319*Upgrades!$H$14)*POWER(Upgrades!$I$14,F319)))*(IF(Upgrades!$T$13="Local Bubble",POWER(Upgrades!$U$13,E319),1)*IF(Upgrades!$T$15="Local Bubble",POWER(Upgrades!$U$15,G319),1)*IF(Upgrades!$T$16="Local Bubble",POWER(Upgrades!$U$16,H319),1)*IF(Upgrades!$T$17="Local Bubble",POWER(Upgrades!$U$17,I319),1)*IF(Upgrades!$T$18="Local Bubble",POWER(Upgrades!$U$18,J319),1)*IF(Upgrades!$T$19="Local Bubble",POWER(Upgrades!$U$19,K319),1)*IF(Upgrades!$T$20="Local Bubble",POWER(Upgrades!$U$20,L319),1)*IF(Upgrades!$T$21="Local Bubble",POWER(Upgrades!$U$21,M319),1))+(IF(G319=0,0,(Upgrades!$G$15+G319*Upgrades!$H$15)*POWER(Upgrades!$I$15,G319)))*(IF(Upgrades!$T$13="Microlensing",POWER(Upgrades!$U$13,E319),1)*IF(Upgrades!$T$14="Microlensing",POWER(Upgrades!$U$14,F319),1)*IF(Upgrades!$T$16="Microlensing",POWER(Upgrades!$U$16,H319),1)*IF(Upgrades!$T$17="Microlensing",POWER(Upgrades!$U$17,I319),1)*IF(Upgrades!$T$18="Microlensing",POWER(Upgrades!$U$18,J319),1)*IF(Upgrades!$T$19="Microlensing",POWER(Upgrades!$U$19,K319),1)*IF(Upgrades!$T$20="Microlensing",POWER(Upgrades!$U$20,L319),1)*IF(Upgrades!$T$21="Microlensing",POWER(Upgrades!$U$21,M319),1))+(IF(H319=0,0,(Upgrades!$G$16+H319*Upgrades!$H$16)*POWER(Upgrades!$I$16,H319)))*(IF(Upgrades!$T$13="Roche Lobe Overflow",POWER(Upgrades!$U$13,E319),1)*IF(Upgrades!$T$14="Roche Lobe Overflow",POWER(Upgrades!$U$14,F319),1)*IF(Upgrades!$T$15="Roche Lobe Overflow",POWER(Upgrades!$U$15,G319),1)*IF(Upgrades!$T$17="Roche Lobe Overflow",POWER(Upgrades!$U$17,I319),1)*IF(Upgrades!$T$18="Roche Lobe Overflow",POWER(Upgrades!$U$18,J319),1)*IF(Upgrades!$T$19="Roche Lobe Overflow",POWER(Upgrades!$U$19,K319),1)*IF(Upgrades!$T$20="Roche Lobe Overflow",POWER(Upgrades!$U$20,L319),1)*IF(Upgrades!$T$21="Roche Lobe Overflow",POWER(Upgrades!$U$21,M319),1))+(IF(I319=0,0,(Upgrades!$G$17+I319*Upgrades!$H$17)*POWER(Upgrades!$I$17,I319)))*(IF(Upgrades!$T$13="Brown Dwarf",POWER(Upgrades!$U$13,E319),1)*IF(Upgrades!$T$14="Brown Dwarf",POWER(Upgrades!$U$14,F319),1)*IF(Upgrades!$T$15="Brown Dwarf",POWER(Upgrades!$U$15,G319),1)*IF(Upgrades!$T$16="Brown Dwarf",POWER(Upgrades!$U$16,H319),1)*IF(Upgrades!$T$18="Brown Dwarf",POWER(Upgrades!$U$18,J319),1)*IF(Upgrades!$T$19="Brown Dwarf",POWER(Upgrades!$U$19,K319),1)*IF(Upgrades!$T$20="Brown Dwarf",POWER(Upgrades!$U$20,L319),1)*IF(Upgrades!$T$21="Brown Dwarf",POWER(Upgrades!$U$21,M319),1))+(IF(J319=0,0,(Upgrades!$G$18+J319*Upgrades!$H$18)*POWER(Upgrades!$I$18,J319)))*(IF(Upgrades!$T$13="Binary Partner",POWER(Upgrades!$U$13,E319),1)*IF(Upgrades!$T$14="Binary Partner",POWER(Upgrades!$U$14,F319),1)*IF(Upgrades!$T$15="Binary Partner",POWER(Upgrades!$U$15,G319),1)*IF(Upgrades!$T$16="Binary Partner",POWER(Upgrades!$U$16,H319),1)*IF(Upgrades!$T$17="Binary Partner",POWER(Upgrades!$U$17,I319),1)*IF(Upgrades!$T$19="Binary Partner",POWER(Upgrades!$U$19,K319),1)*IF(Upgrades!$T$20="Binary Partner",POWER(Upgrades!$U$20,L319),1)*IF(Upgrades!$T$21="Binary Partner",POWER(Upgrades!$U$21,M319),1))+(IF(K319=0,0,(Upgrades!$G$19+K319*Upgrades!$H$19)*POWER(Upgrades!$I$19,K319)))*(IF(Upgrades!$T$13="Peculiar Velocity",POWER(Upgrades!$U$13,E319),1)*IF(Upgrades!$T$14="Peculiar Velocity",POWER(Upgrades!$U$14,F319),1)*IF(Upgrades!$T$15="Peculiar Velocity",POWER(Upgrades!$U$15,G319),1)*IF(Upgrades!$T$16="Peculiar Velocity",POWER(Upgrades!$U$16,H319),1)*IF(Upgrades!$T$17="Peculiar Velocity",POWER(Upgrades!$U$17,I319),1)*IF(Upgrades!$T$18="Peculiar Velocity",POWER(Upgrades!$U$18,J319),1)*IF(Upgrades!$T$20="Peculiar Velocity",POWER(Upgrades!$U$20,L319),1)*IF(Upgrades!$T$21="Peculiar Velocity",POWER(Upgrades!$U$21,M319),1))+(IF(L319=0,0,(Upgrades!$G$20+L319*Upgrades!$H$20)*POWER(Upgrades!$I$20,L319)))*(IF(Upgrades!$T$13="Open Cluster",POWER(Upgrades!$U$13,E319),1)*IF(Upgrades!$T$14="Open Cluster",POWER(Upgrades!$U$14,F319),1)*IF(Upgrades!$T$15="Open Cluster",POWER(Upgrades!$U$15,G319),1)*IF(Upgrades!$T$16="Open Cluster",POWER(Upgrades!$U$16,H319),1)*IF(Upgrades!$T$17="Open Cluster",POWER(Upgrades!$U$17,I319),1)*IF(Upgrades!$T$18="Open Cluster",POWER(Upgrades!$U$18,J319),1)*IF(Upgrades!$T$19="Open Cluster",POWER(Upgrades!$U$19,K319),1)*IF(Upgrades!$T$21="Open Cluster",POWER(Upgrades!$U$21,M319),1))+(IF(M319=0,0,(Upgrades!$G$21+M319*Upgrades!$H$21)*POWER(Upgrades!$I$21,M319)))*(IF(Upgrades!$T$13="Moving Group",POWER(Upgrades!$U$13,E319),1)*IF(Upgrades!$T$14="Moving Group",POWER(Upgrades!$U$14,F319),1)*IF(Upgrades!$T$15="Moving Group",POWER(Upgrades!$U$15,G319),1)*IF(Upgrades!$T$16="Moving Group",POWER(Upgrades!$U$16,H319),1)*IF(Upgrades!$T$17="Moving Group",POWER(Upgrades!$U$17,I319),1)*IF(Upgrades!$T$18="Moving Group",POWER(Upgrades!$U$18,J319),1)*IF(Upgrades!$T$19="Moving Group",POWER(Upgrades!$U$19,K319),1)*IF(Upgrades!$T$20="Moving Group",POWER(Upgrades!$U$20,L319),1)))*POWER(Upgrades!$P$13,E319)*POWER(Upgrades!$P$14,F319)*POWER(Upgrades!$P$15,G319)*POWER(Upgrades!$P$16,H319)*POWER(Upgrades!$P$17,I319)*POWER(Upgrades!$P$18,J319)*POWER(Upgrades!$P$19,K319)*POWER(Upgrades!$P$20,L319)*POWER(Upgrades!$P$21,M319)*$F$6+$C$6</f>
        <v/>
      </c>
      <c r="Q319" s="28">
        <f>((IF(E319=0,0,(Upgrades!$M$13+E319*Upgrades!$N$13)*POWER(Upgrades!$O$13,E319)))*(IF(Upgrades!$T$14="Stellar Kinematics",POWER(Upgrades!$U$14,F319),1)*IF(Upgrades!$T$15="Stellar Kinematics",POWER(Upgrades!$U$15,G319),1)*IF(Upgrades!$T$16="Stellar Kinematics",POWER(Upgrades!$U$16,H319),1)*IF(Upgrades!$T$17="Stellar Kinematics",POWER(Upgrades!$U$17,I319),1)*IF(Upgrades!$T$18="Stellar Kinematics",POWER(Upgrades!$U$18,J319),1)*IF(Upgrades!$T$19="Stellar Kinematics",POWER(Upgrades!$U$19,K319),1)*IF(Upgrades!$T$20="Stellar Kinematics",POWER(Upgrades!$U$20,L319),1)*IF(Upgrades!$T$21="Stellar Kinematics",POWER(Upgrades!$U$21,M319),1))+(IF(F319=0,0,(Upgrades!$M$14+F319*Upgrades!$N$14)*POWER(Upgrades!$O$14,F319)))*(IF(Upgrades!$T$13="Local Bubble",POWER(Upgrades!$U$13,E319),1)*IF(Upgrades!$T$15="Local Bubble",POWER(Upgrades!$U$15,G319),1)*IF(Upgrades!$T$16="Local Bubble",POWER(Upgrades!$U$16,H319),1)*IF(Upgrades!$T$17="Local Bubble",POWER(Upgrades!$U$17,I319),1)*IF(Upgrades!$T$18="Local Bubble",POWER(Upgrades!$U$18,J319),1)*IF(Upgrades!$T$19="Local Bubble",POWER(Upgrades!$U$19,K319),1)*IF(Upgrades!$T$20="Local Bubble",POWER(Upgrades!$U$20,L319),1)*IF(Upgrades!$T$21="Local Bubble",POWER(Upgrades!$U$21,M319),1))+(IF(G319=0,0,(Upgrades!$M$15+G319*Upgrades!$N$15)*POWER(Upgrades!$O$15,G319)))*(IF(Upgrades!$T$13="Microlensing",POWER(Upgrades!$U$13,E319),1)*IF(Upgrades!$T$14="Microlensing",POWER(Upgrades!$U$14,F319),1)*IF(Upgrades!$T$16="Microlensing",POWER(Upgrades!$U$16,H319),1)*IF(Upgrades!$T$17="Microlensing",POWER(Upgrades!$U$17,I319),1)*IF(Upgrades!$T$18="Microlensing",POWER(Upgrades!$U$18,J319),1)*IF(Upgrades!$T$19="Microlensing",POWER(Upgrades!$U$19,K319),1)*IF(Upgrades!$T$20="Microlensing",POWER(Upgrades!$U$20,L319),1)*IF(Upgrades!$T$21="Microlensing",POWER(Upgrades!$U$21,M319),1))+(IF(H319=0,0,(Upgrades!$M$16+H319*Upgrades!$N$16)*POWER(Upgrades!$O$16,H319)))*(IF(Upgrades!$T$13="Roche Lobe Overflow",POWER(Upgrades!$U$13,E319),1)*IF(Upgrades!$T$14="Roche Lobe Overflow",POWER(Upgrades!$U$14,F319),1)*IF(Upgrades!$T$15="Roche Lobe Overflow",POWER(Upgrades!$U$15,G319),1)*IF(Upgrades!$T$17="Roche Lobe Overflow",POWER(Upgrades!$U$17,I319),1)*IF(Upgrades!$T$18="Roche Lobe Overflow",POWER(Upgrades!$U$18,J319),1)*IF(Upgrades!$T$19="Roche Lobe Overflow",POWER(Upgrades!$U$19,K319),1)*IF(Upgrades!$T$20="Roche Lobe Overflow",POWER(Upgrades!$U$20,L319),1)*IF(Upgrades!$T$21="Roche Lobe Overflow",POWER(Upgrades!$U$21,M319),1))+(IF(I319=0,0,(Upgrades!$M$17+I319*Upgrades!$N$17)*POWER(Upgrades!$O$17,I319)))*(IF(Upgrades!$T$13="Brown Dwarf",POWER(Upgrades!$U$13,E319),1)*IF(Upgrades!$T$14="Brown Dwarf",POWER(Upgrades!$U$14,F319),1)*IF(Upgrades!$T$15="Brown Dwarf",POWER(Upgrades!$U$15,G319),1)*IF(Upgrades!$T$16="Brown Dwarf",POWER(Upgrades!$U$16,H319),1)*IF(Upgrades!$T$18="Brown Dwarf",POWER(Upgrades!$U$18,J319),1)*IF(Upgrades!$T$19="Brown Dwarf",POWER(Upgrades!$U$19,K319),1)*IF(Upgrades!$T$20="Brown Dwarf",POWER(Upgrades!$U$20,L319),1)*IF(Upgrades!$T$21="Brown Dwarf",POWER(Upgrades!$U$21,M319),1))+(IF(J319=0,0,(Upgrades!$M$18+J319*Upgrades!$N$18)*POWER(Upgrades!$O$18,J319)))*(IF(Upgrades!$T$13="Binary Partner",POWER(Upgrades!$U$13,E319),1)*IF(Upgrades!$T$14="Binary Partner",POWER(Upgrades!$U$14,F319),1)*IF(Upgrades!$T$15="Binary Partner",POWER(Upgrades!$U$15,G319),1)*IF(Upgrades!$T$16="Binary Partner",POWER(Upgrades!$U$16,H319),1)*IF(Upgrades!$T$17="Binary Partner",POWER(Upgrades!$U$17,I319),1)*IF(Upgrades!$T$19="Binary Partner",POWER(Upgrades!$U$19,K319),1)*IF(Upgrades!$T$20="Binary Partner",POWER(Upgrades!$U$20,L319),1)*IF(Upgrades!$T$21="Binary Partner",POWER(Upgrades!$U$21,M319),1))+(IF(K319=0,0,(Upgrades!$M$19+K319*Upgrades!$N$19)*POWER(Upgrades!$O$19,K319)))*(IF(Upgrades!$T$13="Peculiar Velocity",POWER(Upgrades!$U$13,E319),1)*IF(Upgrades!$T$14="Peculiar Velocity",POWER(Upgrades!$U$14,F319),1)*IF(Upgrades!$T$15="Peculiar Velocity",POWER(Upgrades!$U$15,G319),1)*IF(Upgrades!$T$16="Peculiar Velocity",POWER(Upgrades!$U$16,H319),1)*IF(Upgrades!$T$17="Peculiar Velocity",POWER(Upgrades!$U$17,I319),1)*IF(Upgrades!$T$18="Peculiar Velocity",POWER(Upgrades!$U$18,J319),1)*IF(Upgrades!$T$20="Peculiar Velocity",POWER(Upgrades!$U$20,L319),1)*IF(Upgrades!$T$21="Peculiar Velocity",POWER(Upgrades!$U$21,M319),1))+(IF(L319=0,0,(Upgrades!$M$20+L319*Upgrades!$N$20)*POWER(Upgrades!$O$20,L319)))*(IF(Upgrades!$T$13="Open Cluster",POWER(Upgrades!$U$13,E319),1)*IF(Upgrades!$T$14="Open Cluster",POWER(Upgrades!$U$14,F319),1)*IF(Upgrades!$T$15="Open Cluster",POWER(Upgrades!$U$15,G319),1)*IF(Upgrades!$T$16="Open Cluster",POWER(Upgrades!$U$16,H319),1)*IF(Upgrades!$T$17="Open Cluster",POWER(Upgrades!$U$17,I319),1)*IF(Upgrades!$T$18="Open Cluster",POWER(Upgrades!$U$18,J319),1)*IF(Upgrades!$T$19="Open Cluster",POWER(Upgrades!$U$19,K319),1)*IF(Upgrades!$T$21="Open Cluster",POWER(Upgrades!$U$21,M319),1))+(IF(M319=0,0,(Upgrades!$M$21+M319*Upgrades!$N$21)*POWER(Upgrades!$O$21,M319)))*(IF(Upgrades!$T$13="Moving Group",POWER(Upgrades!$U$13,E319),1)*IF(Upgrades!$T$14="Moving Group",POWER(Upgrades!$U$14,F319),1)*IF(Upgrades!$T$15="Moving Group",POWER(Upgrades!$U$15,G319),1)*IF(Upgrades!$T$16="Moving Group",POWER(Upgrades!$U$16,H319),1)*IF(Upgrades!$T$17="Moving Group",POWER(Upgrades!$U$17,I319),1)*IF(Upgrades!$T$18="Moving Group",POWER(Upgrades!$U$18,J319),1)*IF(Upgrades!$T$19="Moving Group",POWER(Upgrades!$U$19,K319),1)*IF(Upgrades!$T$20="Moving Group",POWER(Upgrades!$U$20,L319),1)))*POWER(Upgrades!$R$13,E319)*POWER(Upgrades!$R$14,F319)*POWER(Upgrades!$R$15,G319)*POWER(Upgrades!$R$16,H319)*POWER(Upgrades!$R$17,I319)*POWER(Upgrades!$R$18,J319)*POWER(Upgrades!$R$19,K319)*POWER(Upgrades!$R$20,L319)*POWER(Upgrades!$R$21,M319)*$H$6+$E$6</f>
        <v/>
      </c>
      <c r="R319" s="27">
        <f>IF(N319=1,0,O319*Parameters!$B$10/60*Parameters!$B$11*10)</f>
        <v/>
      </c>
      <c r="S319" s="27">
        <f>IF(N319=1,0,Q319*O319*10)</f>
        <v/>
      </c>
      <c r="T319" s="27">
        <f>IF(N319=1,0,R319+S319+P319*10)</f>
        <v/>
      </c>
      <c r="U319" s="33">
        <f>BE319</f>
        <v/>
      </c>
      <c r="V319" s="22">
        <f>IF(U319="",0,IF(U319="transition",0,IF(U319="SK",AK319,IF(U319="LB",AL319,IF(U319="ML",AM319,IF(U319="RLO",AN319,IF(U319="BD",AO319,IF(U319="BiP",AP319,IF(U319="PV",AQ319,IF(U319="OC",AR319,IF(U319="MG",AS319,0))))))))))</f>
        <v/>
      </c>
      <c r="W319" s="27">
        <f>IF(U319="BiP",Upgrades!$F$18,IF(U319="PV",Upgrades!$F$19,IF(U319="OC",Upgrades!$F$20,IF(U319="MG",Upgrades!$F$21,IF(U319="transition",-Parameters!$B$18*Parameters!$B$19,0)))))</f>
        <v/>
      </c>
      <c r="X319" s="22">
        <f>C319+T319-V319</f>
        <v/>
      </c>
      <c r="Y319" s="30">
        <f>O319*Parameters!$B$10/60*Parameters!$B$11+Q319*O319+P319</f>
        <v/>
      </c>
      <c r="Z319" s="34">
        <f>IF(U319="transition","→ Tier 3 (Galactic Arm)",IF(U319="MG","Moving Group — pocket drifts together",IF(U319="OC","Open Cluster acquired",IF(U319="PV","Peculiar Velocity — passive multiplier active",IF(U319="BiP","Binary Partner — pair bond formed",IF(AND(AU319=1,N319=0,AT319&lt;&gt;1),"Cohesion ready (waiting on completionists)","")))))) </f>
        <v/>
      </c>
      <c r="AA319" s="27">
        <f>(IF(E319=0,0,(Upgrades!$G$13+E319*Upgrades!$H$13)*POWER(Upgrades!$I$13,E319)))*(IF(Upgrades!$T$14="Stellar Kinematics",POWER(Upgrades!$U$14,F319),1)*IF(Upgrades!$T$15="Stellar Kinematics",POWER(Upgrades!$U$15,G319),1)*IF(Upgrades!$T$16="Stellar Kinematics",POWER(Upgrades!$U$16,H319),1)*IF(Upgrades!$T$17="Stellar Kinematics",POWER(Upgrades!$U$17,I319),1)*IF(Upgrades!$T$18="Stellar Kinematics",POWER(Upgrades!$U$18,J319),1)*IF(Upgrades!$T$19="Stellar Kinematics",POWER(Upgrades!$U$19,K319),1)*IF(Upgrades!$T$20="Stellar Kinematics",POWER(Upgrades!$U$20,L319),1)*IF(Upgrades!$T$21="Stellar Kinematics",POWER(Upgrades!$U$21,M319),1))*POWER(Upgrades!$P$13,E319)*POWER(Upgrades!$P$14,F319)*POWER(Upgrades!$P$15,G319)*POWER(Upgrades!$P$16,H319)*POWER(Upgrades!$P$17,I319)*POWER(Upgrades!$P$18,J319)*POWER(Upgrades!$P$19,K319)*POWER(Upgrades!$P$20,L319)*POWER(Upgrades!$P$21,M319)*$F$6*60</f>
        <v/>
      </c>
      <c r="AB319" s="27">
        <f>(IF(F319=0,0,(Upgrades!$G$14+F319*Upgrades!$H$14)*POWER(Upgrades!$I$14,F319)))*(IF(Upgrades!$T$13="Local Bubble",POWER(Upgrades!$U$13,E319),1)*IF(Upgrades!$T$15="Local Bubble",POWER(Upgrades!$U$15,G319),1)*IF(Upgrades!$T$16="Local Bubble",POWER(Upgrades!$U$16,H319),1)*IF(Upgrades!$T$17="Local Bubble",POWER(Upgrades!$U$17,I319),1)*IF(Upgrades!$T$18="Local Bubble",POWER(Upgrades!$U$18,J319),1)*IF(Upgrades!$T$19="Local Bubble",POWER(Upgrades!$U$19,K319),1)*IF(Upgrades!$T$20="Local Bubble",POWER(Upgrades!$U$20,L319),1)*IF(Upgrades!$T$21="Local Bubble",POWER(Upgrades!$U$21,M319),1))*POWER(Upgrades!$P$13,E319)*POWER(Upgrades!$P$14,F319)*POWER(Upgrades!$P$15,G319)*POWER(Upgrades!$P$16,H319)*POWER(Upgrades!$P$17,I319)*POWER(Upgrades!$P$18,J319)*POWER(Upgrades!$P$19,K319)*POWER(Upgrades!$P$20,L319)*POWER(Upgrades!$P$21,M319)*$F$6*60</f>
        <v/>
      </c>
      <c r="AC319" s="27">
        <f>(IF(G319=0,0,(Upgrades!$J$15+G319*Upgrades!$K$15)*POWER(Upgrades!$L$15,G319)))*(IF(Upgrades!$T$13="Microlensing",POWER(Upgrades!$U$13,E319),1)*IF(Upgrades!$T$14="Microlensing",POWER(Upgrades!$U$14,F319),1)*IF(Upgrades!$T$16="Microlensing",POWER(Upgrades!$U$16,H319),1)*IF(Upgrades!$T$17="Microlensing",POWER(Upgrades!$U$17,I319),1)*IF(Upgrades!$T$18="Microlensing",POWER(Upgrades!$U$18,J319),1)*IF(Upgrades!$T$19="Microlensing",POWER(Upgrades!$U$19,K319),1)*IF(Upgrades!$T$20="Microlensing",POWER(Upgrades!$U$20,L319),1)*IF(Upgrades!$T$21="Microlensing",POWER(Upgrades!$U$21,M319),1))*POWER(Upgrades!$Q$13,E319)*POWER(Upgrades!$Q$14,F319)*POWER(Upgrades!$Q$15,G319)*POWER(Upgrades!$Q$16,H319)*POWER(Upgrades!$Q$17,I319)*POWER(Upgrades!$Q$18,J319)*POWER(Upgrades!$Q$19,K319)*POWER(Upgrades!$Q$20,L319)*POWER(Upgrades!$Q$21,M319)*$G$6*(Parameters!$B$10*Parameters!$B$11+Q319*60)</f>
        <v/>
      </c>
      <c r="AD319" s="27">
        <f>(IF(H319=0,0,(Upgrades!$M$16+H319*Upgrades!$N$16)*POWER(Upgrades!$O$16,H319)))*(IF(Upgrades!$T$13="Roche Lobe Overflow",POWER(Upgrades!$U$13,E319),1)*IF(Upgrades!$T$14="Roche Lobe Overflow",POWER(Upgrades!$U$14,F319),1)*IF(Upgrades!$T$15="Roche Lobe Overflow",POWER(Upgrades!$U$15,G319),1)*IF(Upgrades!$T$17="Roche Lobe Overflow",POWER(Upgrades!$U$17,I319),1)*IF(Upgrades!$T$18="Roche Lobe Overflow",POWER(Upgrades!$U$18,J319),1)*IF(Upgrades!$T$19="Roche Lobe Overflow",POWER(Upgrades!$U$19,K319),1)*IF(Upgrades!$T$20="Roche Lobe Overflow",POWER(Upgrades!$U$20,L319),1)*IF(Upgrades!$T$21="Roche Lobe Overflow",POWER(Upgrades!$U$21,M319),1))*POWER(Upgrades!$R$13,E319)*POWER(Upgrades!$R$14,F319)*POWER(Upgrades!$R$15,G319)*POWER(Upgrades!$R$16,H319)*POWER(Upgrades!$R$17,I319)*POWER(Upgrades!$R$18,J319)*POWER(Upgrades!$R$19,K319)*POWER(Upgrades!$R$20,L319)*POWER(Upgrades!$R$21,M319)*$H$6*O319*60</f>
        <v/>
      </c>
      <c r="AE319" s="27">
        <f>(IF(I319=0,0,(Upgrades!$G$17+I319*Upgrades!$H$17)*POWER(Upgrades!$I$17,I319)))*(IF(Upgrades!$T$13="Brown Dwarf",POWER(Upgrades!$U$13,E319),1)*IF(Upgrades!$T$14="Brown Dwarf",POWER(Upgrades!$U$14,F319),1)*IF(Upgrades!$T$15="Brown Dwarf",POWER(Upgrades!$U$15,G319),1)*IF(Upgrades!$T$16="Brown Dwarf",POWER(Upgrades!$U$16,H319),1)*IF(Upgrades!$T$18="Brown Dwarf",POWER(Upgrades!$U$18,J319),1)*IF(Upgrades!$T$19="Brown Dwarf",POWER(Upgrades!$U$19,K319),1)*IF(Upgrades!$T$20="Brown Dwarf",POWER(Upgrades!$U$20,L319),1)*IF(Upgrades!$T$21="Brown Dwarf",POWER(Upgrades!$U$21,M319),1))*POWER(Upgrades!$P$13,E319)*POWER(Upgrades!$P$14,F319)*POWER(Upgrades!$P$15,G319)*POWER(Upgrades!$P$16,H319)*POWER(Upgrades!$P$17,I319)*POWER(Upgrades!$P$18,J319)*POWER(Upgrades!$P$19,K319)*POWER(Upgrades!$P$20,L319)*POWER(Upgrades!$P$21,M319)*$F$6*60</f>
        <v/>
      </c>
      <c r="AF319" s="27" t="n">
        <v>0</v>
      </c>
      <c r="AG319" s="27" t="n">
        <v>0</v>
      </c>
      <c r="AH319" s="27" t="n">
        <v>0</v>
      </c>
      <c r="AI319" s="27">
        <f>(IF(M319=0,0,(Upgrades!$G$21+M319*Upgrades!$H$21)*POWER(Upgrades!$I$21,M319)))*(IF(Upgrades!$T$13="Moving Group",POWER(Upgrades!$U$13,E319),1)*IF(Upgrades!$T$14="Moving Group",POWER(Upgrades!$U$14,F319),1)*IF(Upgrades!$T$15="Moving Group",POWER(Upgrades!$U$15,G319),1)*IF(Upgrades!$T$16="Moving Group",POWER(Upgrades!$U$16,H319),1)*IF(Upgrades!$T$17="Moving Group",POWER(Upgrades!$U$17,I319),1)*IF(Upgrades!$T$18="Moving Group",POWER(Upgrades!$U$18,J319),1)*IF(Upgrades!$T$19="Moving Group",POWER(Upgrades!$U$19,K319),1)*IF(Upgrades!$T$20="Moving Group",POWER(Upgrades!$U$20,L319),1))*POWER(Upgrades!$P$13,E319)*POWER(Upgrades!$P$14,F319)*POWER(Upgrades!$P$15,G319)*POWER(Upgrades!$P$16,H319)*POWER(Upgrades!$P$17,I319)*POWER(Upgrades!$P$18,J319)*POWER(Upgrades!$P$19,K319)*POWER(Upgrades!$P$20,L319)*POWER(Upgrades!$P$21,M319)*$F$6*60</f>
        <v/>
      </c>
      <c r="AJ319" s="27">
        <f>$C$6*60</f>
        <v/>
      </c>
      <c r="AK319" s="22">
        <f>IF(E319&gt;=Upgrades!$E$13,"",Upgrades!$C$13*POWER(Upgrades!$D$13,E319))</f>
        <v/>
      </c>
      <c r="AL319" s="22">
        <f>IF(F319&gt;=Upgrades!$E$14,"",Upgrades!$C$14*POWER(Upgrades!$D$14,F319))</f>
        <v/>
      </c>
      <c r="AM319" s="22">
        <f>IF(G319&gt;=Upgrades!$E$15,"",Upgrades!$C$15*POWER(Upgrades!$D$15,G319))</f>
        <v/>
      </c>
      <c r="AN319" s="22">
        <f>IF(H319&gt;=Upgrades!$E$16,"",Upgrades!$C$16*POWER(Upgrades!$D$16,H319))</f>
        <v/>
      </c>
      <c r="AO319" s="22">
        <f>IF(I319&gt;=Upgrades!$E$17,"",Upgrades!$C$17*POWER(Upgrades!$D$17,I319))</f>
        <v/>
      </c>
      <c r="AP319" s="22">
        <f>IF(J319&gt;=Upgrades!$E$18,"",Upgrades!$C$18*POWER(Upgrades!$D$18,J319))</f>
        <v/>
      </c>
      <c r="AQ319" s="22">
        <f>IF(K319&gt;=Upgrades!$E$19,"",Upgrades!$C$19*POWER(Upgrades!$D$19,K319))</f>
        <v/>
      </c>
      <c r="AR319" s="22">
        <f>IF(L319&gt;=Upgrades!$E$20,"",Upgrades!$C$20*POWER(Upgrades!$D$20,L319))</f>
        <v/>
      </c>
      <c r="AS319" s="22">
        <f>IF(M319&gt;=Upgrades!$E$21,"",Upgrades!$C$21*POWER(Upgrades!$D$21,M319))</f>
        <v/>
      </c>
      <c r="AT319" s="26">
        <f>IF(AND(D319&gt;=Parameters!$B$18*Parameters!$B$19,(I319&gt;=Upgrades!$E$17)*(M319&gt;=Upgrades!$E$21)=1,N319=0),1,"")</f>
        <v/>
      </c>
      <c r="AU319" s="26">
        <f>IF(AND(D319&gt;=Parameters!$B$18*Parameters!$B$19,N319=0),1,"")</f>
        <v/>
      </c>
      <c r="AV319" s="22">
        <f>MIN(IF(ISNUMBER(AP319),AP319,9E15),IF(ISNUMBER(AQ319),AQ319,9E15),IF(ISNUMBER(AR319),AR319,9E15),IF(ISNUMBER(AS319),AS319,9E15))</f>
        <v/>
      </c>
      <c r="AW319" s="22">
        <f>MIN(IF(ISNUMBER(AK319),AK319,9E15),IF(ISNUMBER(AL319),AL319,9E15),IF(ISNUMBER(AM319),AM319,9E15),IF(ISNUMBER(AN319),AN319,9E15),IF(ISNUMBER(AO319),AO319,9E15))</f>
        <v/>
      </c>
      <c r="AX319" s="29">
        <f>IF(BD319&gt;Parameters!$B$21*(MAX(IF(AND(NOT(AND(AU319=1,AT319&lt;&gt;1)),ISNUMBER(AK319),AK319&lt;=(C319+T319)),AY319,0),IF(AND(NOT(AND(AU319=1,AT319&lt;&gt;1)),ISNUMBER(AL319),AL319&lt;=(C319+T319)),AZ319,0),IF(AND(NOT(AND(AU319=1,AT319&lt;&gt;1)),ISNUMBER(AM319),AM319&lt;=(C319+T319)),BA319,0),IF(AND(NOT(AND(AU319=1,AT319&lt;&gt;1)),ISNUMBER(AN319),AN319&lt;=(C319+T319)),BB319,0),IF(AND(ISNUMBER(AO319),AO319&lt;=(C319+T319)),BC319,0))),TRUE,FALSE)</f>
        <v/>
      </c>
      <c r="AY319" s="32">
        <f>IFERROR(Upgrades!$H$13*(POWER(Upgrades!$P$13,E319)*POWER(Upgrades!$P$14,F319)*POWER(Upgrades!$P$15,G319)*POWER(Upgrades!$P$16,H319)*POWER(Upgrades!$P$17,I319)*POWER(Upgrades!$P$18,J319)*POWER(Upgrades!$P$19,K319)*POWER(Upgrades!$P$20,L319)*POWER(Upgrades!$P$21,M319))*(IF(Upgrades!$T$14="Stellar Kinematics",POWER(Upgrades!$U$14,F319),1)*IF(Upgrades!$T$15="Stellar Kinematics",POWER(Upgrades!$U$15,G319),1)*IF(Upgrades!$T$16="Stellar Kinematics",POWER(Upgrades!$U$16,H319),1)*IF(Upgrades!$T$17="Stellar Kinematics",POWER(Upgrades!$U$17,I319),1)*IF(Upgrades!$T$18="Stellar Kinematics",POWER(Upgrades!$U$18,J319),1)*IF(Upgrades!$T$19="Stellar Kinematics",POWER(Upgrades!$U$19,K319),1)*IF(Upgrades!$T$20="Stellar Kinematics",POWER(Upgrades!$U$20,L319),1)*IF(Upgrades!$T$21="Stellar Kinematics",POWER(Upgrades!$U$21,M319),1))*$F$6/AK319,0)</f>
        <v/>
      </c>
      <c r="AZ319" s="32">
        <f>IFERROR(Upgrades!$H$14*(POWER(Upgrades!$P$13,E319)*POWER(Upgrades!$P$14,F319)*POWER(Upgrades!$P$15,G319)*POWER(Upgrades!$P$16,H319)*POWER(Upgrades!$P$17,I319)*POWER(Upgrades!$P$18,J319)*POWER(Upgrades!$P$19,K319)*POWER(Upgrades!$P$20,L319)*POWER(Upgrades!$P$21,M319))*(IF(Upgrades!$T$13="Local Bubble",POWER(Upgrades!$U$13,E319),1)*IF(Upgrades!$T$15="Local Bubble",POWER(Upgrades!$U$15,G319),1)*IF(Upgrades!$T$16="Local Bubble",POWER(Upgrades!$U$16,H319),1)*IF(Upgrades!$T$17="Local Bubble",POWER(Upgrades!$U$17,I319),1)*IF(Upgrades!$T$18="Local Bubble",POWER(Upgrades!$U$18,J319),1)*IF(Upgrades!$T$19="Local Bubble",POWER(Upgrades!$U$19,K319),1)*IF(Upgrades!$T$20="Local Bubble",POWER(Upgrades!$U$20,L319),1)*IF(Upgrades!$T$21="Local Bubble",POWER(Upgrades!$U$21,M319),1))*$F$6/AL319,0)</f>
        <v/>
      </c>
      <c r="BA319" s="32">
        <f>IFERROR(Upgrades!$K$15*(POWER(Upgrades!$Q$13,E319)*POWER(Upgrades!$Q$14,F319)*POWER(Upgrades!$Q$15,G319)*POWER(Upgrades!$Q$16,H319)*POWER(Upgrades!$Q$17,I319)*POWER(Upgrades!$Q$18,J319)*POWER(Upgrades!$Q$19,K319)*POWER(Upgrades!$Q$20,L319)*POWER(Upgrades!$Q$21,M319))*(IF(Upgrades!$T$13="Microlensing",POWER(Upgrades!$U$13,E319),1)*IF(Upgrades!$T$14="Microlensing",POWER(Upgrades!$U$14,F319),1)*IF(Upgrades!$T$16="Microlensing",POWER(Upgrades!$U$16,H319),1)*IF(Upgrades!$T$17="Microlensing",POWER(Upgrades!$U$17,I319),1)*IF(Upgrades!$T$18="Microlensing",POWER(Upgrades!$U$18,J319),1)*IF(Upgrades!$T$19="Microlensing",POWER(Upgrades!$U$19,K319),1)*IF(Upgrades!$T$20="Microlensing",POWER(Upgrades!$U$20,L319),1)*IF(Upgrades!$T$21="Microlensing",POWER(Upgrades!$U$21,M319),1))*$G$6*(Parameters!$B$10/60*Parameters!$B$11+Q319)/AM319,0)</f>
        <v/>
      </c>
      <c r="BB319" s="32">
        <f>IFERROR((Upgrades!$N$16*(POWER(Upgrades!$R$13,E319)*POWER(Upgrades!$R$14,F319)*POWER(Upgrades!$R$15,G319)*POWER(Upgrades!$R$16,H319)*POWER(Upgrades!$R$17,I319)*POWER(Upgrades!$R$18,J319)*POWER(Upgrades!$R$19,K319)*POWER(Upgrades!$R$20,L319)*POWER(Upgrades!$R$21,M319))*(IF(Upgrades!$T$13="Roche Lobe Overflow",POWER(Upgrades!$U$13,E319),1)*IF(Upgrades!$T$14="Roche Lobe Overflow",POWER(Upgrades!$U$14,F319),1)*IF(Upgrades!$T$15="Roche Lobe Overflow",POWER(Upgrades!$U$15,G319),1)*IF(Upgrades!$T$17="Roche Lobe Overflow",POWER(Upgrades!$U$17,I319),1)*IF(Upgrades!$T$18="Roche Lobe Overflow",POWER(Upgrades!$U$18,J319),1)*IF(Upgrades!$T$19="Roche Lobe Overflow",POWER(Upgrades!$U$19,K319),1)*IF(Upgrades!$T$20="Roche Lobe Overflow",POWER(Upgrades!$U$20,L319),1)*IF(Upgrades!$T$21="Roche Lobe Overflow",POWER(Upgrades!$U$21,M319),1))*$H$6*O319+((IF(F319=0,0,(Upgrades!$G$14+F319*Upgrades!$H$14)*POWER(Upgrades!$I$14,F319)))*(IF(Upgrades!$T$13="Local Bubble",POWER(Upgrades!$U$13,E319),1)*IF(Upgrades!$T$15="Local Bubble",POWER(Upgrades!$U$15,G319),1)*IF(Upgrades!$T$16="Local Bubble",POWER(Upgrades!$U$16,H319),1)*IF(Upgrades!$T$17="Local Bubble",POWER(Upgrades!$U$17,I319),1)*IF(Upgrades!$T$18="Local Bubble",POWER(Upgrades!$U$18,J319),1)*IF(Upgrades!$T$19="Local Bubble",POWER(Upgrades!$U$19,K319),1)*IF(Upgrades!$T$20="Local Bubble",POWER(Upgrades!$U$20,L319),1)*IF(Upgrades!$T$21="Local Bubble",POWER(Upgrades!$U$21,M319),1))*POWER(Upgrades!$P$13,E319)*POWER(Upgrades!$P$14,F319)*POWER(Upgrades!$P$15,G319)*POWER(Upgrades!$P$16,H319)*POWER(Upgrades!$P$17,I319)*POWER(Upgrades!$P$18,J319)*POWER(Upgrades!$P$19,K319)*POWER(Upgrades!$P$20,L319)*POWER(Upgrades!$P$21,M319)*$F$6)*0.05)/AN319,0)</f>
        <v/>
      </c>
      <c r="BC319" s="32">
        <f>IFERROR((Upgrades!$H$17*(POWER(Upgrades!$P$13,E319)*POWER(Upgrades!$P$14,F319)*POWER(Upgrades!$P$15,G319)*POWER(Upgrades!$P$16,H319)*POWER(Upgrades!$P$17,I319)*POWER(Upgrades!$P$18,J319)*POWER(Upgrades!$P$19,K319)*POWER(Upgrades!$P$20,L319)*POWER(Upgrades!$P$21,M319))*(IF(Upgrades!$T$13="Brown Dwarf",POWER(Upgrades!$U$13,E319),1)*IF(Upgrades!$T$14="Brown Dwarf",POWER(Upgrades!$U$14,F319),1)*IF(Upgrades!$T$15="Brown Dwarf",POWER(Upgrades!$U$15,G319),1)*IF(Upgrades!$T$16="Brown Dwarf",POWER(Upgrades!$U$16,H319),1)*IF(Upgrades!$T$18="Brown Dwarf",POWER(Upgrades!$U$18,J319),1)*IF(Upgrades!$T$19="Brown Dwarf",POWER(Upgrades!$U$19,K319),1)*IF(Upgrades!$T$20="Brown Dwarf",POWER(Upgrades!$U$20,L319),1)*IF(Upgrades!$T$21="Brown Dwarf",POWER(Upgrades!$U$21,M319),1))*$F$6+(((IF(H319=0,0,(Upgrades!$M$16+H319*Upgrades!$N$16)*POWER(Upgrades!$O$16,H319)))*(IF(Upgrades!$T$13="Roche Lobe Overflow",POWER(Upgrades!$U$13,E319),1)*IF(Upgrades!$T$14="Roche Lobe Overflow",POWER(Upgrades!$U$14,F319),1)*IF(Upgrades!$T$15="Roche Lobe Overflow",POWER(Upgrades!$U$15,G319),1)*IF(Upgrades!$T$17="Roche Lobe Overflow",POWER(Upgrades!$U$17,I319),1)*IF(Upgrades!$T$18="Roche Lobe Overflow",POWER(Upgrades!$U$18,J319),1)*IF(Upgrades!$T$19="Roche Lobe Overflow",POWER(Upgrades!$U$19,K319),1)*IF(Upgrades!$T$20="Roche Lobe Overflow",POWER(Upgrades!$U$20,L319),1)*IF(Upgrades!$T$21="Roche Lobe Overflow",POWER(Upgrades!$U$21,M319),1))*POWER(Upgrades!$R$13,E319)*POWER(Upgrades!$R$14,F319)*POWER(Upgrades!$R$15,G319)*POWER(Upgrades!$R$16,H319)*POWER(Upgrades!$R$17,I319)*POWER(Upgrades!$R$18,J319)*POWER(Upgrades!$R$19,K319)*POWER(Upgrades!$R$20,L319)*POWER(Upgrades!$R$21,M319)*$H$6)*O319)*0.10)/AO319,0)</f>
        <v/>
      </c>
      <c r="BD319" s="32">
        <f>MAX(IF(J319&gt;0,0,IFERROR(0.5*((IF(G319=0,0,(Upgrades!$J$15+G319*Upgrades!$K$15)*POWER(Upgrades!$L$15,G319)))*(IF(Upgrades!$T$13="Microlensing",POWER(Upgrades!$U$13,E319),1)*IF(Upgrades!$T$14="Microlensing",POWER(Upgrades!$U$14,F319),1)*IF(Upgrades!$T$16="Microlensing",POWER(Upgrades!$U$16,H319),1)*IF(Upgrades!$T$17="Microlensing",POWER(Upgrades!$U$17,I319),1)*IF(Upgrades!$T$18="Microlensing",POWER(Upgrades!$U$18,J319),1)*IF(Upgrades!$T$19="Microlensing",POWER(Upgrades!$U$19,K319),1)*IF(Upgrades!$T$20="Microlensing",POWER(Upgrades!$U$20,L319),1)*IF(Upgrades!$T$21="Microlensing",POWER(Upgrades!$U$21,M319),1))*(POWER(Upgrades!$Q$13,E319)*POWER(Upgrades!$Q$14,F319)*POWER(Upgrades!$Q$15,G319)*POWER(Upgrades!$Q$16,H319)*POWER(Upgrades!$Q$17,I319)*POWER(Upgrades!$Q$18,J319)*POWER(Upgrades!$Q$19,K319)*POWER(Upgrades!$Q$20,L319)*POWER(Upgrades!$Q$21,M319))*$G$6*(Parameters!$B$10/60*Parameters!$B$11+Q319))/Upgrades!$C$18,0)),IF(K319&gt;0,0,IFERROR(0.30*P319/Upgrades!$C$19,0)),IF(L319&gt;0,0,IFERROR(0.0001/Upgrades!$C$20,0)),IF(M319&gt;0,0,IFERROR((6.0*(POWER(Upgrades!$P$13,E319)*POWER(Upgrades!$P$14,F319)*POWER(Upgrades!$P$15,G319)*POWER(Upgrades!$P$16,H319)*POWER(Upgrades!$P$17,I319)*POWER(Upgrades!$P$18,J319)*POWER(Upgrades!$P$19,K319)*POWER(Upgrades!$P$20,L319)*POWER(Upgrades!$P$21,M319))*$F$6+0.20*O319*(Parameters!$B$10/60*Parameters!$B$11+Q319))/Upgrades!$C$21,0)),IF(AND(ISNUMBER(AK319),AK319&gt;(C319+T319)),AY319,0),IF(AND(ISNUMBER(AL319),AL319&gt;(C319+T319)),AZ319,0),IF(AND(ISNUMBER(AM319),AM319&gt;(C319+T319)),BA319,0),IF(AND(ISNUMBER(AN319),AN319&gt;(C319+T319)),BB319,0),IF(AND(ISNUMBER(AO319),AO319&gt;(C319+T319)),BC319,0))</f>
        <v/>
      </c>
      <c r="BE319" s="29">
        <f>IF(AT319=1,"transition",IF(MIN(IF(AND(J319=0,ISNUMBER(AP319),AP319&lt;=(C319+T319)),AP319,9E15),IF(AND(K319=0,ISNUMBER(AQ319),AQ319&lt;=(C319+T319)),AQ319,9E15),IF(AND(L319=0,ISNUMBER(AR319),AR319&lt;=(C319+T319)),AR319,9E15),IF(AND(M319=0,ISNUMBER(AS319),AS319&lt;=(C319+T319)),AS319,9E15))&lt;9E15,IF(AND(AND(J319=0,ISNUMBER(AP319),AP319&lt;=(C319+T319)),AP319=MIN(IF(AND(J319=0,ISNUMBER(AP319),AP319&lt;=(C319+T319)),AP319,9E15),IF(AND(K319=0,ISNUMBER(AQ319),AQ319&lt;=(C319+T319)),AQ319,9E15),IF(AND(L319=0,ISNUMBER(AR319),AR319&lt;=(C319+T319)),AR319,9E15),IF(AND(M319=0,ISNUMBER(AS319),AS319&lt;=(C319+T319)),AS319,9E15))),"BiP",IF(AND(AND(K319=0,ISNUMBER(AQ319),AQ319&lt;=(C319+T319)),AQ319=MIN(IF(AND(J319=0,ISNUMBER(AP319),AP319&lt;=(C319+T319)),AP319,9E15),IF(AND(K319=0,ISNUMBER(AQ319),AQ319&lt;=(C319+T319)),AQ319,9E15),IF(AND(L319=0,ISNUMBER(AR319),AR319&lt;=(C319+T319)),AR319,9E15),IF(AND(M319=0,ISNUMBER(AS319),AS319&lt;=(C319+T319)),AS319,9E15))),"PV",IF(AND(AND(L319=0,ISNUMBER(AR319),AR319&lt;=(C319+T319)),AR319=MIN(IF(AND(J319=0,ISNUMBER(AP319),AP319&lt;=(C319+T319)),AP319,9E15),IF(AND(K319=0,ISNUMBER(AQ319),AQ319&lt;=(C319+T319)),AQ319,9E15),IF(AND(L319=0,ISNUMBER(AR319),AR319&lt;=(C319+T319)),AR319,9E15),IF(AND(M319=0,ISNUMBER(AS319),AS319&lt;=(C319+T319)),AS319,9E15))),"OC","MG"))),IF(AX319=TRUE,"",IF(MAX(IF(AND(NOT(AND(AU319=1,AT319&lt;&gt;1)),ISNUMBER(AK319),AK319&lt;=(C319+T319)),AY319,0),IF(AND(NOT(AND(AU319=1,AT319&lt;&gt;1)),ISNUMBER(AL319),AL319&lt;=(C319+T319)),AZ319,0),IF(AND(NOT(AND(AU319=1,AT319&lt;&gt;1)),ISNUMBER(AM319),AM319&lt;=(C319+T319)),BA319,0),IF(AND(NOT(AND(AU319=1,AT319&lt;&gt;1)),ISNUMBER(AN319),AN319&lt;=(C319+T319)),BB319,0),IF(AND(ISNUMBER(AO319),AO319&lt;=(C319+T319)),BC319,0))&lt;=0,"",IF(AND(IF(AND(NOT(AND(AU319=1,AT319&lt;&gt;1)),ISNUMBER(AK319),AK319&lt;=(C319+T319)),AY319,0)&gt;0,IF(AND(NOT(AND(AU319=1,AT319&lt;&gt;1)),ISNUMBER(AK319),AK319&lt;=(C319+T319)),AY319,0)=MAX(IF(AND(NOT(AND(AU319=1,AT319&lt;&gt;1)),ISNUMBER(AK319),AK319&lt;=(C319+T319)),AY319,0),IF(AND(NOT(AND(AU319=1,AT319&lt;&gt;1)),ISNUMBER(AL319),AL319&lt;=(C319+T319)),AZ319,0),IF(AND(NOT(AND(AU319=1,AT319&lt;&gt;1)),ISNUMBER(AM319),AM319&lt;=(C319+T319)),BA319,0),IF(AND(NOT(AND(AU319=1,AT319&lt;&gt;1)),ISNUMBER(AN319),AN319&lt;=(C319+T319)),BB319,0),IF(AND(ISNUMBER(AO319),AO319&lt;=(C319+T319)),BC319,0))),"SK",IF(AND(IF(AND(NOT(AND(AU319=1,AT319&lt;&gt;1)),ISNUMBER(AL319),AL319&lt;=(C319+T319)),AZ319,0)&gt;0,IF(AND(NOT(AND(AU319=1,AT319&lt;&gt;1)),ISNUMBER(AL319),AL319&lt;=(C319+T319)),AZ319,0)=MAX(IF(AND(NOT(AND(AU319=1,AT319&lt;&gt;1)),ISNUMBER(AK319),AK319&lt;=(C319+T319)),AY319,0),IF(AND(NOT(AND(AU319=1,AT319&lt;&gt;1)),ISNUMBER(AL319),AL319&lt;=(C319+T319)),AZ319,0),IF(AND(NOT(AND(AU319=1,AT319&lt;&gt;1)),ISNUMBER(AM319),AM319&lt;=(C319+T319)),BA319,0),IF(AND(NOT(AND(AU319=1,AT319&lt;&gt;1)),ISNUMBER(AN319),AN319&lt;=(C319+T319)),BB319,0),IF(AND(ISNUMBER(AO319),AO319&lt;=(C319+T319)),BC319,0))),"LB",IF(AND(IF(AND(NOT(AND(AU319=1,AT319&lt;&gt;1)),ISNUMBER(AM319),AM319&lt;=(C319+T319)),BA319,0)&gt;0,IF(AND(NOT(AND(AU319=1,AT319&lt;&gt;1)),ISNUMBER(AM319),AM319&lt;=(C319+T319)),BA319,0)=MAX(IF(AND(NOT(AND(AU319=1,AT319&lt;&gt;1)),ISNUMBER(AK319),AK319&lt;=(C319+T319)),AY319,0),IF(AND(NOT(AND(AU319=1,AT319&lt;&gt;1)),ISNUMBER(AL319),AL319&lt;=(C319+T319)),AZ319,0),IF(AND(NOT(AND(AU319=1,AT319&lt;&gt;1)),ISNUMBER(AM319),AM319&lt;=(C319+T319)),BA319,0),IF(AND(NOT(AND(AU319=1,AT319&lt;&gt;1)),ISNUMBER(AN319),AN319&lt;=(C319+T319)),BB319,0),IF(AND(ISNUMBER(AO319),AO319&lt;=(C319+T319)),BC319,0))),"ML",IF(AND(IF(AND(NOT(AND(AU319=1,AT319&lt;&gt;1)),ISNUMBER(AN319),AN319&lt;=(C319+T319)),BB319,0)&gt;0,IF(AND(NOT(AND(AU319=1,AT319&lt;&gt;1)),ISNUMBER(AN319),AN319&lt;=(C319+T319)),BB319,0)=MAX(IF(AND(NOT(AND(AU319=1,AT319&lt;&gt;1)),ISNUMBER(AK319),AK319&lt;=(C319+T319)),AY319,0),IF(AND(NOT(AND(AU319=1,AT319&lt;&gt;1)),ISNUMBER(AL319),AL319&lt;=(C319+T319)),AZ319,0),IF(AND(NOT(AND(AU319=1,AT319&lt;&gt;1)),ISNUMBER(AM319),AM319&lt;=(C319+T319)),BA319,0),IF(AND(NOT(AND(AU319=1,AT319&lt;&gt;1)),ISNUMBER(AN319),AN319&lt;=(C319+T319)),BB319,0),IF(AND(ISNUMBER(AO319),AO319&lt;=(C319+T319)),BC319,0))),"RLO","BD"))))))))</f>
        <v/>
      </c>
    </row>
    <row r="320">
      <c r="A320" s="26" t="n">
        <v>309</v>
      </c>
      <c r="B320" s="27">
        <f>A320*10/60</f>
        <v/>
      </c>
      <c r="C320" s="22">
        <f>X319</f>
        <v/>
      </c>
      <c r="D320" s="27">
        <f>D319+W319</f>
        <v/>
      </c>
      <c r="E320" s="26">
        <f>E319+IF(U319="SK",1,0)</f>
        <v/>
      </c>
      <c r="F320" s="26">
        <f>F319+IF(U319="LB",1,0)</f>
        <v/>
      </c>
      <c r="G320" s="26">
        <f>G319+IF(U319="ML",1,0)</f>
        <v/>
      </c>
      <c r="H320" s="26">
        <f>H319+IF(U319="RLO",1,0)</f>
        <v/>
      </c>
      <c r="I320" s="26">
        <f>I319+IF(U319="BD",1,0)</f>
        <v/>
      </c>
      <c r="J320" s="26">
        <f>MAX(J319,IF(U319="BiP",1,0))</f>
        <v/>
      </c>
      <c r="K320" s="26">
        <f>MAX(K319,IF(U319="PV",1,0))</f>
        <v/>
      </c>
      <c r="L320" s="26">
        <f>MAX(L319,IF(U319="OC",1,0))</f>
        <v/>
      </c>
      <c r="M320" s="26">
        <f>MAX(M319,IF(U319="MG",1,0))</f>
        <v/>
      </c>
      <c r="N320" s="26">
        <f>MAX(N319,IF(U319="transition",1,0))</f>
        <v/>
      </c>
      <c r="O320" s="28">
        <f>(Parameters!$B$9+(IF(E320=0,0,(Upgrades!$J$13+E320*Upgrades!$K$13)*POWER(Upgrades!$L$13,E320)))*(IF(Upgrades!$T$14="Stellar Kinematics",POWER(Upgrades!$U$14,F320),1)*IF(Upgrades!$T$15="Stellar Kinematics",POWER(Upgrades!$U$15,G320),1)*IF(Upgrades!$T$16="Stellar Kinematics",POWER(Upgrades!$U$16,H320),1)*IF(Upgrades!$T$17="Stellar Kinematics",POWER(Upgrades!$U$17,I320),1)*IF(Upgrades!$T$18="Stellar Kinematics",POWER(Upgrades!$U$18,J320),1)*IF(Upgrades!$T$19="Stellar Kinematics",POWER(Upgrades!$U$19,K320),1)*IF(Upgrades!$T$20="Stellar Kinematics",POWER(Upgrades!$U$20,L320),1)*IF(Upgrades!$T$21="Stellar Kinematics",POWER(Upgrades!$U$21,M320),1))+(IF(F320=0,0,(Upgrades!$J$14+F320*Upgrades!$K$14)*POWER(Upgrades!$L$14,F320)))*(IF(Upgrades!$T$13="Local Bubble",POWER(Upgrades!$U$13,E320),1)*IF(Upgrades!$T$15="Local Bubble",POWER(Upgrades!$U$15,G320),1)*IF(Upgrades!$T$16="Local Bubble",POWER(Upgrades!$U$16,H320),1)*IF(Upgrades!$T$17="Local Bubble",POWER(Upgrades!$U$17,I320),1)*IF(Upgrades!$T$18="Local Bubble",POWER(Upgrades!$U$18,J320),1)*IF(Upgrades!$T$19="Local Bubble",POWER(Upgrades!$U$19,K320),1)*IF(Upgrades!$T$20="Local Bubble",POWER(Upgrades!$U$20,L320),1)*IF(Upgrades!$T$21="Local Bubble",POWER(Upgrades!$U$21,M320),1))+(IF(G320=0,0,(Upgrades!$J$15+G320*Upgrades!$K$15)*POWER(Upgrades!$L$15,G320)))*(IF(Upgrades!$T$13="Microlensing",POWER(Upgrades!$U$13,E320),1)*IF(Upgrades!$T$14="Microlensing",POWER(Upgrades!$U$14,F320),1)*IF(Upgrades!$T$16="Microlensing",POWER(Upgrades!$U$16,H320),1)*IF(Upgrades!$T$17="Microlensing",POWER(Upgrades!$U$17,I320),1)*IF(Upgrades!$T$18="Microlensing",POWER(Upgrades!$U$18,J320),1)*IF(Upgrades!$T$19="Microlensing",POWER(Upgrades!$U$19,K320),1)*IF(Upgrades!$T$20="Microlensing",POWER(Upgrades!$U$20,L320),1)*IF(Upgrades!$T$21="Microlensing",POWER(Upgrades!$U$21,M320),1))+(IF(H320=0,0,(Upgrades!$J$16+H320*Upgrades!$K$16)*POWER(Upgrades!$L$16,H320)))*(IF(Upgrades!$T$13="Roche Lobe Overflow",POWER(Upgrades!$U$13,E320),1)*IF(Upgrades!$T$14="Roche Lobe Overflow",POWER(Upgrades!$U$14,F320),1)*IF(Upgrades!$T$15="Roche Lobe Overflow",POWER(Upgrades!$U$15,G320),1)*IF(Upgrades!$T$17="Roche Lobe Overflow",POWER(Upgrades!$U$17,I320),1)*IF(Upgrades!$T$18="Roche Lobe Overflow",POWER(Upgrades!$U$18,J320),1)*IF(Upgrades!$T$19="Roche Lobe Overflow",POWER(Upgrades!$U$19,K320),1)*IF(Upgrades!$T$20="Roche Lobe Overflow",POWER(Upgrades!$U$20,L320),1)*IF(Upgrades!$T$21="Roche Lobe Overflow",POWER(Upgrades!$U$21,M320),1))+(IF(I320=0,0,(Upgrades!$J$17+I320*Upgrades!$K$17)*POWER(Upgrades!$L$17,I320)))*(IF(Upgrades!$T$13="Brown Dwarf",POWER(Upgrades!$U$13,E320),1)*IF(Upgrades!$T$14="Brown Dwarf",POWER(Upgrades!$U$14,F320),1)*IF(Upgrades!$T$15="Brown Dwarf",POWER(Upgrades!$U$15,G320),1)*IF(Upgrades!$T$16="Brown Dwarf",POWER(Upgrades!$U$16,H320),1)*IF(Upgrades!$T$18="Brown Dwarf",POWER(Upgrades!$U$18,J320),1)*IF(Upgrades!$T$19="Brown Dwarf",POWER(Upgrades!$U$19,K320),1)*IF(Upgrades!$T$20="Brown Dwarf",POWER(Upgrades!$U$20,L320),1)*IF(Upgrades!$T$21="Brown Dwarf",POWER(Upgrades!$U$21,M320),1))+(IF(J320=0,0,(Upgrades!$J$18+J320*Upgrades!$K$18)*POWER(Upgrades!$L$18,J320)))*(IF(Upgrades!$T$13="Binary Partner",POWER(Upgrades!$U$13,E320),1)*IF(Upgrades!$T$14="Binary Partner",POWER(Upgrades!$U$14,F320),1)*IF(Upgrades!$T$15="Binary Partner",POWER(Upgrades!$U$15,G320),1)*IF(Upgrades!$T$16="Binary Partner",POWER(Upgrades!$U$16,H320),1)*IF(Upgrades!$T$17="Binary Partner",POWER(Upgrades!$U$17,I320),1)*IF(Upgrades!$T$19="Binary Partner",POWER(Upgrades!$U$19,K320),1)*IF(Upgrades!$T$20="Binary Partner",POWER(Upgrades!$U$20,L320),1)*IF(Upgrades!$T$21="Binary Partner",POWER(Upgrades!$U$21,M320),1))+(IF(K320=0,0,(Upgrades!$J$19+K320*Upgrades!$K$19)*POWER(Upgrades!$L$19,K320)))*(IF(Upgrades!$T$13="Peculiar Velocity",POWER(Upgrades!$U$13,E320),1)*IF(Upgrades!$T$14="Peculiar Velocity",POWER(Upgrades!$U$14,F320),1)*IF(Upgrades!$T$15="Peculiar Velocity",POWER(Upgrades!$U$15,G320),1)*IF(Upgrades!$T$16="Peculiar Velocity",POWER(Upgrades!$U$16,H320),1)*IF(Upgrades!$T$17="Peculiar Velocity",POWER(Upgrades!$U$17,I320),1)*IF(Upgrades!$T$18="Peculiar Velocity",POWER(Upgrades!$U$18,J320),1)*IF(Upgrades!$T$20="Peculiar Velocity",POWER(Upgrades!$U$20,L320),1)*IF(Upgrades!$T$21="Peculiar Velocity",POWER(Upgrades!$U$21,M320),1))+(IF(L320=0,0,(Upgrades!$J$20+L320*Upgrades!$K$20)*POWER(Upgrades!$L$20,L320)))*(IF(Upgrades!$T$13="Open Cluster",POWER(Upgrades!$U$13,E320),1)*IF(Upgrades!$T$14="Open Cluster",POWER(Upgrades!$U$14,F320),1)*IF(Upgrades!$T$15="Open Cluster",POWER(Upgrades!$U$15,G320),1)*IF(Upgrades!$T$16="Open Cluster",POWER(Upgrades!$U$16,H320),1)*IF(Upgrades!$T$17="Open Cluster",POWER(Upgrades!$U$17,I320),1)*IF(Upgrades!$T$18="Open Cluster",POWER(Upgrades!$U$18,J320),1)*IF(Upgrades!$T$19="Open Cluster",POWER(Upgrades!$U$19,K320),1)*IF(Upgrades!$T$21="Open Cluster",POWER(Upgrades!$U$21,M320),1))+(IF(M320=0,0,(Upgrades!$J$21+M320*Upgrades!$K$21)*POWER(Upgrades!$L$21,M320)))*(IF(Upgrades!$T$13="Moving Group",POWER(Upgrades!$U$13,E320),1)*IF(Upgrades!$T$14="Moving Group",POWER(Upgrades!$U$14,F320),1)*IF(Upgrades!$T$15="Moving Group",POWER(Upgrades!$U$15,G320),1)*IF(Upgrades!$T$16="Moving Group",POWER(Upgrades!$U$16,H320),1)*IF(Upgrades!$T$17="Moving Group",POWER(Upgrades!$U$17,I320),1)*IF(Upgrades!$T$18="Moving Group",POWER(Upgrades!$U$18,J320),1)*IF(Upgrades!$T$19="Moving Group",POWER(Upgrades!$U$19,K320),1)*IF(Upgrades!$T$20="Moving Group",POWER(Upgrades!$U$20,L320),1)))*POWER(Upgrades!$Q$13,E320)*POWER(Upgrades!$Q$14,F320)*POWER(Upgrades!$Q$15,G320)*POWER(Upgrades!$Q$16,H320)*POWER(Upgrades!$Q$17,I320)*POWER(Upgrades!$Q$18,J320)*POWER(Upgrades!$Q$19,K320)*POWER(Upgrades!$Q$20,L320)*POWER(Upgrades!$Q$21,M320)*$G$6+$D$6</f>
        <v/>
      </c>
      <c r="P320" s="28">
        <f>((IF(E320=0,0,(Upgrades!$G$13+E320*Upgrades!$H$13)*POWER(Upgrades!$I$13,E320)))*(IF(Upgrades!$T$14="Stellar Kinematics",POWER(Upgrades!$U$14,F320),1)*IF(Upgrades!$T$15="Stellar Kinematics",POWER(Upgrades!$U$15,G320),1)*IF(Upgrades!$T$16="Stellar Kinematics",POWER(Upgrades!$U$16,H320),1)*IF(Upgrades!$T$17="Stellar Kinematics",POWER(Upgrades!$U$17,I320),1)*IF(Upgrades!$T$18="Stellar Kinematics",POWER(Upgrades!$U$18,J320),1)*IF(Upgrades!$T$19="Stellar Kinematics",POWER(Upgrades!$U$19,K320),1)*IF(Upgrades!$T$20="Stellar Kinematics",POWER(Upgrades!$U$20,L320),1)*IF(Upgrades!$T$21="Stellar Kinematics",POWER(Upgrades!$U$21,M320),1))+(IF(F320=0,0,(Upgrades!$G$14+F320*Upgrades!$H$14)*POWER(Upgrades!$I$14,F320)))*(IF(Upgrades!$T$13="Local Bubble",POWER(Upgrades!$U$13,E320),1)*IF(Upgrades!$T$15="Local Bubble",POWER(Upgrades!$U$15,G320),1)*IF(Upgrades!$T$16="Local Bubble",POWER(Upgrades!$U$16,H320),1)*IF(Upgrades!$T$17="Local Bubble",POWER(Upgrades!$U$17,I320),1)*IF(Upgrades!$T$18="Local Bubble",POWER(Upgrades!$U$18,J320),1)*IF(Upgrades!$T$19="Local Bubble",POWER(Upgrades!$U$19,K320),1)*IF(Upgrades!$T$20="Local Bubble",POWER(Upgrades!$U$20,L320),1)*IF(Upgrades!$T$21="Local Bubble",POWER(Upgrades!$U$21,M320),1))+(IF(G320=0,0,(Upgrades!$G$15+G320*Upgrades!$H$15)*POWER(Upgrades!$I$15,G320)))*(IF(Upgrades!$T$13="Microlensing",POWER(Upgrades!$U$13,E320),1)*IF(Upgrades!$T$14="Microlensing",POWER(Upgrades!$U$14,F320),1)*IF(Upgrades!$T$16="Microlensing",POWER(Upgrades!$U$16,H320),1)*IF(Upgrades!$T$17="Microlensing",POWER(Upgrades!$U$17,I320),1)*IF(Upgrades!$T$18="Microlensing",POWER(Upgrades!$U$18,J320),1)*IF(Upgrades!$T$19="Microlensing",POWER(Upgrades!$U$19,K320),1)*IF(Upgrades!$T$20="Microlensing",POWER(Upgrades!$U$20,L320),1)*IF(Upgrades!$T$21="Microlensing",POWER(Upgrades!$U$21,M320),1))+(IF(H320=0,0,(Upgrades!$G$16+H320*Upgrades!$H$16)*POWER(Upgrades!$I$16,H320)))*(IF(Upgrades!$T$13="Roche Lobe Overflow",POWER(Upgrades!$U$13,E320),1)*IF(Upgrades!$T$14="Roche Lobe Overflow",POWER(Upgrades!$U$14,F320),1)*IF(Upgrades!$T$15="Roche Lobe Overflow",POWER(Upgrades!$U$15,G320),1)*IF(Upgrades!$T$17="Roche Lobe Overflow",POWER(Upgrades!$U$17,I320),1)*IF(Upgrades!$T$18="Roche Lobe Overflow",POWER(Upgrades!$U$18,J320),1)*IF(Upgrades!$T$19="Roche Lobe Overflow",POWER(Upgrades!$U$19,K320),1)*IF(Upgrades!$T$20="Roche Lobe Overflow",POWER(Upgrades!$U$20,L320),1)*IF(Upgrades!$T$21="Roche Lobe Overflow",POWER(Upgrades!$U$21,M320),1))+(IF(I320=0,0,(Upgrades!$G$17+I320*Upgrades!$H$17)*POWER(Upgrades!$I$17,I320)))*(IF(Upgrades!$T$13="Brown Dwarf",POWER(Upgrades!$U$13,E320),1)*IF(Upgrades!$T$14="Brown Dwarf",POWER(Upgrades!$U$14,F320),1)*IF(Upgrades!$T$15="Brown Dwarf",POWER(Upgrades!$U$15,G320),1)*IF(Upgrades!$T$16="Brown Dwarf",POWER(Upgrades!$U$16,H320),1)*IF(Upgrades!$T$18="Brown Dwarf",POWER(Upgrades!$U$18,J320),1)*IF(Upgrades!$T$19="Brown Dwarf",POWER(Upgrades!$U$19,K320),1)*IF(Upgrades!$T$20="Brown Dwarf",POWER(Upgrades!$U$20,L320),1)*IF(Upgrades!$T$21="Brown Dwarf",POWER(Upgrades!$U$21,M320),1))+(IF(J320=0,0,(Upgrades!$G$18+J320*Upgrades!$H$18)*POWER(Upgrades!$I$18,J320)))*(IF(Upgrades!$T$13="Binary Partner",POWER(Upgrades!$U$13,E320),1)*IF(Upgrades!$T$14="Binary Partner",POWER(Upgrades!$U$14,F320),1)*IF(Upgrades!$T$15="Binary Partner",POWER(Upgrades!$U$15,G320),1)*IF(Upgrades!$T$16="Binary Partner",POWER(Upgrades!$U$16,H320),1)*IF(Upgrades!$T$17="Binary Partner",POWER(Upgrades!$U$17,I320),1)*IF(Upgrades!$T$19="Binary Partner",POWER(Upgrades!$U$19,K320),1)*IF(Upgrades!$T$20="Binary Partner",POWER(Upgrades!$U$20,L320),1)*IF(Upgrades!$T$21="Binary Partner",POWER(Upgrades!$U$21,M320),1))+(IF(K320=0,0,(Upgrades!$G$19+K320*Upgrades!$H$19)*POWER(Upgrades!$I$19,K320)))*(IF(Upgrades!$T$13="Peculiar Velocity",POWER(Upgrades!$U$13,E320),1)*IF(Upgrades!$T$14="Peculiar Velocity",POWER(Upgrades!$U$14,F320),1)*IF(Upgrades!$T$15="Peculiar Velocity",POWER(Upgrades!$U$15,G320),1)*IF(Upgrades!$T$16="Peculiar Velocity",POWER(Upgrades!$U$16,H320),1)*IF(Upgrades!$T$17="Peculiar Velocity",POWER(Upgrades!$U$17,I320),1)*IF(Upgrades!$T$18="Peculiar Velocity",POWER(Upgrades!$U$18,J320),1)*IF(Upgrades!$T$20="Peculiar Velocity",POWER(Upgrades!$U$20,L320),1)*IF(Upgrades!$T$21="Peculiar Velocity",POWER(Upgrades!$U$21,M320),1))+(IF(L320=0,0,(Upgrades!$G$20+L320*Upgrades!$H$20)*POWER(Upgrades!$I$20,L320)))*(IF(Upgrades!$T$13="Open Cluster",POWER(Upgrades!$U$13,E320),1)*IF(Upgrades!$T$14="Open Cluster",POWER(Upgrades!$U$14,F320),1)*IF(Upgrades!$T$15="Open Cluster",POWER(Upgrades!$U$15,G320),1)*IF(Upgrades!$T$16="Open Cluster",POWER(Upgrades!$U$16,H320),1)*IF(Upgrades!$T$17="Open Cluster",POWER(Upgrades!$U$17,I320),1)*IF(Upgrades!$T$18="Open Cluster",POWER(Upgrades!$U$18,J320),1)*IF(Upgrades!$T$19="Open Cluster",POWER(Upgrades!$U$19,K320),1)*IF(Upgrades!$T$21="Open Cluster",POWER(Upgrades!$U$21,M320),1))+(IF(M320=0,0,(Upgrades!$G$21+M320*Upgrades!$H$21)*POWER(Upgrades!$I$21,M320)))*(IF(Upgrades!$T$13="Moving Group",POWER(Upgrades!$U$13,E320),1)*IF(Upgrades!$T$14="Moving Group",POWER(Upgrades!$U$14,F320),1)*IF(Upgrades!$T$15="Moving Group",POWER(Upgrades!$U$15,G320),1)*IF(Upgrades!$T$16="Moving Group",POWER(Upgrades!$U$16,H320),1)*IF(Upgrades!$T$17="Moving Group",POWER(Upgrades!$U$17,I320),1)*IF(Upgrades!$T$18="Moving Group",POWER(Upgrades!$U$18,J320),1)*IF(Upgrades!$T$19="Moving Group",POWER(Upgrades!$U$19,K320),1)*IF(Upgrades!$T$20="Moving Group",POWER(Upgrades!$U$20,L320),1)))*POWER(Upgrades!$P$13,E320)*POWER(Upgrades!$P$14,F320)*POWER(Upgrades!$P$15,G320)*POWER(Upgrades!$P$16,H320)*POWER(Upgrades!$P$17,I320)*POWER(Upgrades!$P$18,J320)*POWER(Upgrades!$P$19,K320)*POWER(Upgrades!$P$20,L320)*POWER(Upgrades!$P$21,M320)*$F$6+$C$6</f>
        <v/>
      </c>
      <c r="Q320" s="28">
        <f>((IF(E320=0,0,(Upgrades!$M$13+E320*Upgrades!$N$13)*POWER(Upgrades!$O$13,E320)))*(IF(Upgrades!$T$14="Stellar Kinematics",POWER(Upgrades!$U$14,F320),1)*IF(Upgrades!$T$15="Stellar Kinematics",POWER(Upgrades!$U$15,G320),1)*IF(Upgrades!$T$16="Stellar Kinematics",POWER(Upgrades!$U$16,H320),1)*IF(Upgrades!$T$17="Stellar Kinematics",POWER(Upgrades!$U$17,I320),1)*IF(Upgrades!$T$18="Stellar Kinematics",POWER(Upgrades!$U$18,J320),1)*IF(Upgrades!$T$19="Stellar Kinematics",POWER(Upgrades!$U$19,K320),1)*IF(Upgrades!$T$20="Stellar Kinematics",POWER(Upgrades!$U$20,L320),1)*IF(Upgrades!$T$21="Stellar Kinematics",POWER(Upgrades!$U$21,M320),1))+(IF(F320=0,0,(Upgrades!$M$14+F320*Upgrades!$N$14)*POWER(Upgrades!$O$14,F320)))*(IF(Upgrades!$T$13="Local Bubble",POWER(Upgrades!$U$13,E320),1)*IF(Upgrades!$T$15="Local Bubble",POWER(Upgrades!$U$15,G320),1)*IF(Upgrades!$T$16="Local Bubble",POWER(Upgrades!$U$16,H320),1)*IF(Upgrades!$T$17="Local Bubble",POWER(Upgrades!$U$17,I320),1)*IF(Upgrades!$T$18="Local Bubble",POWER(Upgrades!$U$18,J320),1)*IF(Upgrades!$T$19="Local Bubble",POWER(Upgrades!$U$19,K320),1)*IF(Upgrades!$T$20="Local Bubble",POWER(Upgrades!$U$20,L320),1)*IF(Upgrades!$T$21="Local Bubble",POWER(Upgrades!$U$21,M320),1))+(IF(G320=0,0,(Upgrades!$M$15+G320*Upgrades!$N$15)*POWER(Upgrades!$O$15,G320)))*(IF(Upgrades!$T$13="Microlensing",POWER(Upgrades!$U$13,E320),1)*IF(Upgrades!$T$14="Microlensing",POWER(Upgrades!$U$14,F320),1)*IF(Upgrades!$T$16="Microlensing",POWER(Upgrades!$U$16,H320),1)*IF(Upgrades!$T$17="Microlensing",POWER(Upgrades!$U$17,I320),1)*IF(Upgrades!$T$18="Microlensing",POWER(Upgrades!$U$18,J320),1)*IF(Upgrades!$T$19="Microlensing",POWER(Upgrades!$U$19,K320),1)*IF(Upgrades!$T$20="Microlensing",POWER(Upgrades!$U$20,L320),1)*IF(Upgrades!$T$21="Microlensing",POWER(Upgrades!$U$21,M320),1))+(IF(H320=0,0,(Upgrades!$M$16+H320*Upgrades!$N$16)*POWER(Upgrades!$O$16,H320)))*(IF(Upgrades!$T$13="Roche Lobe Overflow",POWER(Upgrades!$U$13,E320),1)*IF(Upgrades!$T$14="Roche Lobe Overflow",POWER(Upgrades!$U$14,F320),1)*IF(Upgrades!$T$15="Roche Lobe Overflow",POWER(Upgrades!$U$15,G320),1)*IF(Upgrades!$T$17="Roche Lobe Overflow",POWER(Upgrades!$U$17,I320),1)*IF(Upgrades!$T$18="Roche Lobe Overflow",POWER(Upgrades!$U$18,J320),1)*IF(Upgrades!$T$19="Roche Lobe Overflow",POWER(Upgrades!$U$19,K320),1)*IF(Upgrades!$T$20="Roche Lobe Overflow",POWER(Upgrades!$U$20,L320),1)*IF(Upgrades!$T$21="Roche Lobe Overflow",POWER(Upgrades!$U$21,M320),1))+(IF(I320=0,0,(Upgrades!$M$17+I320*Upgrades!$N$17)*POWER(Upgrades!$O$17,I320)))*(IF(Upgrades!$T$13="Brown Dwarf",POWER(Upgrades!$U$13,E320),1)*IF(Upgrades!$T$14="Brown Dwarf",POWER(Upgrades!$U$14,F320),1)*IF(Upgrades!$T$15="Brown Dwarf",POWER(Upgrades!$U$15,G320),1)*IF(Upgrades!$T$16="Brown Dwarf",POWER(Upgrades!$U$16,H320),1)*IF(Upgrades!$T$18="Brown Dwarf",POWER(Upgrades!$U$18,J320),1)*IF(Upgrades!$T$19="Brown Dwarf",POWER(Upgrades!$U$19,K320),1)*IF(Upgrades!$T$20="Brown Dwarf",POWER(Upgrades!$U$20,L320),1)*IF(Upgrades!$T$21="Brown Dwarf",POWER(Upgrades!$U$21,M320),1))+(IF(J320=0,0,(Upgrades!$M$18+J320*Upgrades!$N$18)*POWER(Upgrades!$O$18,J320)))*(IF(Upgrades!$T$13="Binary Partner",POWER(Upgrades!$U$13,E320),1)*IF(Upgrades!$T$14="Binary Partner",POWER(Upgrades!$U$14,F320),1)*IF(Upgrades!$T$15="Binary Partner",POWER(Upgrades!$U$15,G320),1)*IF(Upgrades!$T$16="Binary Partner",POWER(Upgrades!$U$16,H320),1)*IF(Upgrades!$T$17="Binary Partner",POWER(Upgrades!$U$17,I320),1)*IF(Upgrades!$T$19="Binary Partner",POWER(Upgrades!$U$19,K320),1)*IF(Upgrades!$T$20="Binary Partner",POWER(Upgrades!$U$20,L320),1)*IF(Upgrades!$T$21="Binary Partner",POWER(Upgrades!$U$21,M320),1))+(IF(K320=0,0,(Upgrades!$M$19+K320*Upgrades!$N$19)*POWER(Upgrades!$O$19,K320)))*(IF(Upgrades!$T$13="Peculiar Velocity",POWER(Upgrades!$U$13,E320),1)*IF(Upgrades!$T$14="Peculiar Velocity",POWER(Upgrades!$U$14,F320),1)*IF(Upgrades!$T$15="Peculiar Velocity",POWER(Upgrades!$U$15,G320),1)*IF(Upgrades!$T$16="Peculiar Velocity",POWER(Upgrades!$U$16,H320),1)*IF(Upgrades!$T$17="Peculiar Velocity",POWER(Upgrades!$U$17,I320),1)*IF(Upgrades!$T$18="Peculiar Velocity",POWER(Upgrades!$U$18,J320),1)*IF(Upgrades!$T$20="Peculiar Velocity",POWER(Upgrades!$U$20,L320),1)*IF(Upgrades!$T$21="Peculiar Velocity",POWER(Upgrades!$U$21,M320),1))+(IF(L320=0,0,(Upgrades!$M$20+L320*Upgrades!$N$20)*POWER(Upgrades!$O$20,L320)))*(IF(Upgrades!$T$13="Open Cluster",POWER(Upgrades!$U$13,E320),1)*IF(Upgrades!$T$14="Open Cluster",POWER(Upgrades!$U$14,F320),1)*IF(Upgrades!$T$15="Open Cluster",POWER(Upgrades!$U$15,G320),1)*IF(Upgrades!$T$16="Open Cluster",POWER(Upgrades!$U$16,H320),1)*IF(Upgrades!$T$17="Open Cluster",POWER(Upgrades!$U$17,I320),1)*IF(Upgrades!$T$18="Open Cluster",POWER(Upgrades!$U$18,J320),1)*IF(Upgrades!$T$19="Open Cluster",POWER(Upgrades!$U$19,K320),1)*IF(Upgrades!$T$21="Open Cluster",POWER(Upgrades!$U$21,M320),1))+(IF(M320=0,0,(Upgrades!$M$21+M320*Upgrades!$N$21)*POWER(Upgrades!$O$21,M320)))*(IF(Upgrades!$T$13="Moving Group",POWER(Upgrades!$U$13,E320),1)*IF(Upgrades!$T$14="Moving Group",POWER(Upgrades!$U$14,F320),1)*IF(Upgrades!$T$15="Moving Group",POWER(Upgrades!$U$15,G320),1)*IF(Upgrades!$T$16="Moving Group",POWER(Upgrades!$U$16,H320),1)*IF(Upgrades!$T$17="Moving Group",POWER(Upgrades!$U$17,I320),1)*IF(Upgrades!$T$18="Moving Group",POWER(Upgrades!$U$18,J320),1)*IF(Upgrades!$T$19="Moving Group",POWER(Upgrades!$U$19,K320),1)*IF(Upgrades!$T$20="Moving Group",POWER(Upgrades!$U$20,L320),1)))*POWER(Upgrades!$R$13,E320)*POWER(Upgrades!$R$14,F320)*POWER(Upgrades!$R$15,G320)*POWER(Upgrades!$R$16,H320)*POWER(Upgrades!$R$17,I320)*POWER(Upgrades!$R$18,J320)*POWER(Upgrades!$R$19,K320)*POWER(Upgrades!$R$20,L320)*POWER(Upgrades!$R$21,M320)*$H$6+$E$6</f>
        <v/>
      </c>
      <c r="R320" s="27">
        <f>IF(N320=1,0,O320*Parameters!$B$10/60*Parameters!$B$11*10)</f>
        <v/>
      </c>
      <c r="S320" s="27">
        <f>IF(N320=1,0,Q320*O320*10)</f>
        <v/>
      </c>
      <c r="T320" s="27">
        <f>IF(N320=1,0,R320+S320+P320*10)</f>
        <v/>
      </c>
      <c r="U320" s="33">
        <f>BE320</f>
        <v/>
      </c>
      <c r="V320" s="22">
        <f>IF(U320="",0,IF(U320="transition",0,IF(U320="SK",AK320,IF(U320="LB",AL320,IF(U320="ML",AM320,IF(U320="RLO",AN320,IF(U320="BD",AO320,IF(U320="BiP",AP320,IF(U320="PV",AQ320,IF(U320="OC",AR320,IF(U320="MG",AS320,0))))))))))</f>
        <v/>
      </c>
      <c r="W320" s="27">
        <f>IF(U320="BiP",Upgrades!$F$18,IF(U320="PV",Upgrades!$F$19,IF(U320="OC",Upgrades!$F$20,IF(U320="MG",Upgrades!$F$21,IF(U320="transition",-Parameters!$B$18*Parameters!$B$19,0)))))</f>
        <v/>
      </c>
      <c r="X320" s="22">
        <f>C320+T320-V320</f>
        <v/>
      </c>
      <c r="Y320" s="30">
        <f>O320*Parameters!$B$10/60*Parameters!$B$11+Q320*O320+P320</f>
        <v/>
      </c>
      <c r="Z320" s="34">
        <f>IF(U320="transition","→ Tier 3 (Galactic Arm)",IF(U320="MG","Moving Group — pocket drifts together",IF(U320="OC","Open Cluster acquired",IF(U320="PV","Peculiar Velocity — passive multiplier active",IF(U320="BiP","Binary Partner — pair bond formed",IF(AND(AU320=1,N320=0,AT320&lt;&gt;1),"Cohesion ready (waiting on completionists)","")))))) </f>
        <v/>
      </c>
      <c r="AA320" s="27">
        <f>(IF(E320=0,0,(Upgrades!$G$13+E320*Upgrades!$H$13)*POWER(Upgrades!$I$13,E320)))*(IF(Upgrades!$T$14="Stellar Kinematics",POWER(Upgrades!$U$14,F320),1)*IF(Upgrades!$T$15="Stellar Kinematics",POWER(Upgrades!$U$15,G320),1)*IF(Upgrades!$T$16="Stellar Kinematics",POWER(Upgrades!$U$16,H320),1)*IF(Upgrades!$T$17="Stellar Kinematics",POWER(Upgrades!$U$17,I320),1)*IF(Upgrades!$T$18="Stellar Kinematics",POWER(Upgrades!$U$18,J320),1)*IF(Upgrades!$T$19="Stellar Kinematics",POWER(Upgrades!$U$19,K320),1)*IF(Upgrades!$T$20="Stellar Kinematics",POWER(Upgrades!$U$20,L320),1)*IF(Upgrades!$T$21="Stellar Kinematics",POWER(Upgrades!$U$21,M320),1))*POWER(Upgrades!$P$13,E320)*POWER(Upgrades!$P$14,F320)*POWER(Upgrades!$P$15,G320)*POWER(Upgrades!$P$16,H320)*POWER(Upgrades!$P$17,I320)*POWER(Upgrades!$P$18,J320)*POWER(Upgrades!$P$19,K320)*POWER(Upgrades!$P$20,L320)*POWER(Upgrades!$P$21,M320)*$F$6*60</f>
        <v/>
      </c>
      <c r="AB320" s="27">
        <f>(IF(F320=0,0,(Upgrades!$G$14+F320*Upgrades!$H$14)*POWER(Upgrades!$I$14,F320)))*(IF(Upgrades!$T$13="Local Bubble",POWER(Upgrades!$U$13,E320),1)*IF(Upgrades!$T$15="Local Bubble",POWER(Upgrades!$U$15,G320),1)*IF(Upgrades!$T$16="Local Bubble",POWER(Upgrades!$U$16,H320),1)*IF(Upgrades!$T$17="Local Bubble",POWER(Upgrades!$U$17,I320),1)*IF(Upgrades!$T$18="Local Bubble",POWER(Upgrades!$U$18,J320),1)*IF(Upgrades!$T$19="Local Bubble",POWER(Upgrades!$U$19,K320),1)*IF(Upgrades!$T$20="Local Bubble",POWER(Upgrades!$U$20,L320),1)*IF(Upgrades!$T$21="Local Bubble",POWER(Upgrades!$U$21,M320),1))*POWER(Upgrades!$P$13,E320)*POWER(Upgrades!$P$14,F320)*POWER(Upgrades!$P$15,G320)*POWER(Upgrades!$P$16,H320)*POWER(Upgrades!$P$17,I320)*POWER(Upgrades!$P$18,J320)*POWER(Upgrades!$P$19,K320)*POWER(Upgrades!$P$20,L320)*POWER(Upgrades!$P$21,M320)*$F$6*60</f>
        <v/>
      </c>
      <c r="AC320" s="27">
        <f>(IF(G320=0,0,(Upgrades!$J$15+G320*Upgrades!$K$15)*POWER(Upgrades!$L$15,G320)))*(IF(Upgrades!$T$13="Microlensing",POWER(Upgrades!$U$13,E320),1)*IF(Upgrades!$T$14="Microlensing",POWER(Upgrades!$U$14,F320),1)*IF(Upgrades!$T$16="Microlensing",POWER(Upgrades!$U$16,H320),1)*IF(Upgrades!$T$17="Microlensing",POWER(Upgrades!$U$17,I320),1)*IF(Upgrades!$T$18="Microlensing",POWER(Upgrades!$U$18,J320),1)*IF(Upgrades!$T$19="Microlensing",POWER(Upgrades!$U$19,K320),1)*IF(Upgrades!$T$20="Microlensing",POWER(Upgrades!$U$20,L320),1)*IF(Upgrades!$T$21="Microlensing",POWER(Upgrades!$U$21,M320),1))*POWER(Upgrades!$Q$13,E320)*POWER(Upgrades!$Q$14,F320)*POWER(Upgrades!$Q$15,G320)*POWER(Upgrades!$Q$16,H320)*POWER(Upgrades!$Q$17,I320)*POWER(Upgrades!$Q$18,J320)*POWER(Upgrades!$Q$19,K320)*POWER(Upgrades!$Q$20,L320)*POWER(Upgrades!$Q$21,M320)*$G$6*(Parameters!$B$10*Parameters!$B$11+Q320*60)</f>
        <v/>
      </c>
      <c r="AD320" s="27">
        <f>(IF(H320=0,0,(Upgrades!$M$16+H320*Upgrades!$N$16)*POWER(Upgrades!$O$16,H320)))*(IF(Upgrades!$T$13="Roche Lobe Overflow",POWER(Upgrades!$U$13,E320),1)*IF(Upgrades!$T$14="Roche Lobe Overflow",POWER(Upgrades!$U$14,F320),1)*IF(Upgrades!$T$15="Roche Lobe Overflow",POWER(Upgrades!$U$15,G320),1)*IF(Upgrades!$T$17="Roche Lobe Overflow",POWER(Upgrades!$U$17,I320),1)*IF(Upgrades!$T$18="Roche Lobe Overflow",POWER(Upgrades!$U$18,J320),1)*IF(Upgrades!$T$19="Roche Lobe Overflow",POWER(Upgrades!$U$19,K320),1)*IF(Upgrades!$T$20="Roche Lobe Overflow",POWER(Upgrades!$U$20,L320),1)*IF(Upgrades!$T$21="Roche Lobe Overflow",POWER(Upgrades!$U$21,M320),1))*POWER(Upgrades!$R$13,E320)*POWER(Upgrades!$R$14,F320)*POWER(Upgrades!$R$15,G320)*POWER(Upgrades!$R$16,H320)*POWER(Upgrades!$R$17,I320)*POWER(Upgrades!$R$18,J320)*POWER(Upgrades!$R$19,K320)*POWER(Upgrades!$R$20,L320)*POWER(Upgrades!$R$21,M320)*$H$6*O320*60</f>
        <v/>
      </c>
      <c r="AE320" s="27">
        <f>(IF(I320=0,0,(Upgrades!$G$17+I320*Upgrades!$H$17)*POWER(Upgrades!$I$17,I320)))*(IF(Upgrades!$T$13="Brown Dwarf",POWER(Upgrades!$U$13,E320),1)*IF(Upgrades!$T$14="Brown Dwarf",POWER(Upgrades!$U$14,F320),1)*IF(Upgrades!$T$15="Brown Dwarf",POWER(Upgrades!$U$15,G320),1)*IF(Upgrades!$T$16="Brown Dwarf",POWER(Upgrades!$U$16,H320),1)*IF(Upgrades!$T$18="Brown Dwarf",POWER(Upgrades!$U$18,J320),1)*IF(Upgrades!$T$19="Brown Dwarf",POWER(Upgrades!$U$19,K320),1)*IF(Upgrades!$T$20="Brown Dwarf",POWER(Upgrades!$U$20,L320),1)*IF(Upgrades!$T$21="Brown Dwarf",POWER(Upgrades!$U$21,M320),1))*POWER(Upgrades!$P$13,E320)*POWER(Upgrades!$P$14,F320)*POWER(Upgrades!$P$15,G320)*POWER(Upgrades!$P$16,H320)*POWER(Upgrades!$P$17,I320)*POWER(Upgrades!$P$18,J320)*POWER(Upgrades!$P$19,K320)*POWER(Upgrades!$P$20,L320)*POWER(Upgrades!$P$21,M320)*$F$6*60</f>
        <v/>
      </c>
      <c r="AF320" s="27" t="n">
        <v>0</v>
      </c>
      <c r="AG320" s="27" t="n">
        <v>0</v>
      </c>
      <c r="AH320" s="27" t="n">
        <v>0</v>
      </c>
      <c r="AI320" s="27">
        <f>(IF(M320=0,0,(Upgrades!$G$21+M320*Upgrades!$H$21)*POWER(Upgrades!$I$21,M320)))*(IF(Upgrades!$T$13="Moving Group",POWER(Upgrades!$U$13,E320),1)*IF(Upgrades!$T$14="Moving Group",POWER(Upgrades!$U$14,F320),1)*IF(Upgrades!$T$15="Moving Group",POWER(Upgrades!$U$15,G320),1)*IF(Upgrades!$T$16="Moving Group",POWER(Upgrades!$U$16,H320),1)*IF(Upgrades!$T$17="Moving Group",POWER(Upgrades!$U$17,I320),1)*IF(Upgrades!$T$18="Moving Group",POWER(Upgrades!$U$18,J320),1)*IF(Upgrades!$T$19="Moving Group",POWER(Upgrades!$U$19,K320),1)*IF(Upgrades!$T$20="Moving Group",POWER(Upgrades!$U$20,L320),1))*POWER(Upgrades!$P$13,E320)*POWER(Upgrades!$P$14,F320)*POWER(Upgrades!$P$15,G320)*POWER(Upgrades!$P$16,H320)*POWER(Upgrades!$P$17,I320)*POWER(Upgrades!$P$18,J320)*POWER(Upgrades!$P$19,K320)*POWER(Upgrades!$P$20,L320)*POWER(Upgrades!$P$21,M320)*$F$6*60</f>
        <v/>
      </c>
      <c r="AJ320" s="27">
        <f>$C$6*60</f>
        <v/>
      </c>
      <c r="AK320" s="22">
        <f>IF(E320&gt;=Upgrades!$E$13,"",Upgrades!$C$13*POWER(Upgrades!$D$13,E320))</f>
        <v/>
      </c>
      <c r="AL320" s="22">
        <f>IF(F320&gt;=Upgrades!$E$14,"",Upgrades!$C$14*POWER(Upgrades!$D$14,F320))</f>
        <v/>
      </c>
      <c r="AM320" s="22">
        <f>IF(G320&gt;=Upgrades!$E$15,"",Upgrades!$C$15*POWER(Upgrades!$D$15,G320))</f>
        <v/>
      </c>
      <c r="AN320" s="22">
        <f>IF(H320&gt;=Upgrades!$E$16,"",Upgrades!$C$16*POWER(Upgrades!$D$16,H320))</f>
        <v/>
      </c>
      <c r="AO320" s="22">
        <f>IF(I320&gt;=Upgrades!$E$17,"",Upgrades!$C$17*POWER(Upgrades!$D$17,I320))</f>
        <v/>
      </c>
      <c r="AP320" s="22">
        <f>IF(J320&gt;=Upgrades!$E$18,"",Upgrades!$C$18*POWER(Upgrades!$D$18,J320))</f>
        <v/>
      </c>
      <c r="AQ320" s="22">
        <f>IF(K320&gt;=Upgrades!$E$19,"",Upgrades!$C$19*POWER(Upgrades!$D$19,K320))</f>
        <v/>
      </c>
      <c r="AR320" s="22">
        <f>IF(L320&gt;=Upgrades!$E$20,"",Upgrades!$C$20*POWER(Upgrades!$D$20,L320))</f>
        <v/>
      </c>
      <c r="AS320" s="22">
        <f>IF(M320&gt;=Upgrades!$E$21,"",Upgrades!$C$21*POWER(Upgrades!$D$21,M320))</f>
        <v/>
      </c>
      <c r="AT320" s="26">
        <f>IF(AND(D320&gt;=Parameters!$B$18*Parameters!$B$19,(I320&gt;=Upgrades!$E$17)*(M320&gt;=Upgrades!$E$21)=1,N320=0),1,"")</f>
        <v/>
      </c>
      <c r="AU320" s="26">
        <f>IF(AND(D320&gt;=Parameters!$B$18*Parameters!$B$19,N320=0),1,"")</f>
        <v/>
      </c>
      <c r="AV320" s="22">
        <f>MIN(IF(ISNUMBER(AP320),AP320,9E15),IF(ISNUMBER(AQ320),AQ320,9E15),IF(ISNUMBER(AR320),AR320,9E15),IF(ISNUMBER(AS320),AS320,9E15))</f>
        <v/>
      </c>
      <c r="AW320" s="22">
        <f>MIN(IF(ISNUMBER(AK320),AK320,9E15),IF(ISNUMBER(AL320),AL320,9E15),IF(ISNUMBER(AM320),AM320,9E15),IF(ISNUMBER(AN320),AN320,9E15),IF(ISNUMBER(AO320),AO320,9E15))</f>
        <v/>
      </c>
      <c r="AX320" s="29">
        <f>IF(BD320&gt;Parameters!$B$21*(MAX(IF(AND(NOT(AND(AU320=1,AT320&lt;&gt;1)),ISNUMBER(AK320),AK320&lt;=(C320+T320)),AY320,0),IF(AND(NOT(AND(AU320=1,AT320&lt;&gt;1)),ISNUMBER(AL320),AL320&lt;=(C320+T320)),AZ320,0),IF(AND(NOT(AND(AU320=1,AT320&lt;&gt;1)),ISNUMBER(AM320),AM320&lt;=(C320+T320)),BA320,0),IF(AND(NOT(AND(AU320=1,AT320&lt;&gt;1)),ISNUMBER(AN320),AN320&lt;=(C320+T320)),BB320,0),IF(AND(ISNUMBER(AO320),AO320&lt;=(C320+T320)),BC320,0))),TRUE,FALSE)</f>
        <v/>
      </c>
      <c r="AY320" s="32">
        <f>IFERROR(Upgrades!$H$13*(POWER(Upgrades!$P$13,E320)*POWER(Upgrades!$P$14,F320)*POWER(Upgrades!$P$15,G320)*POWER(Upgrades!$P$16,H320)*POWER(Upgrades!$P$17,I320)*POWER(Upgrades!$P$18,J320)*POWER(Upgrades!$P$19,K320)*POWER(Upgrades!$P$20,L320)*POWER(Upgrades!$P$21,M320))*(IF(Upgrades!$T$14="Stellar Kinematics",POWER(Upgrades!$U$14,F320),1)*IF(Upgrades!$T$15="Stellar Kinematics",POWER(Upgrades!$U$15,G320),1)*IF(Upgrades!$T$16="Stellar Kinematics",POWER(Upgrades!$U$16,H320),1)*IF(Upgrades!$T$17="Stellar Kinematics",POWER(Upgrades!$U$17,I320),1)*IF(Upgrades!$T$18="Stellar Kinematics",POWER(Upgrades!$U$18,J320),1)*IF(Upgrades!$T$19="Stellar Kinematics",POWER(Upgrades!$U$19,K320),1)*IF(Upgrades!$T$20="Stellar Kinematics",POWER(Upgrades!$U$20,L320),1)*IF(Upgrades!$T$21="Stellar Kinematics",POWER(Upgrades!$U$21,M320),1))*$F$6/AK320,0)</f>
        <v/>
      </c>
      <c r="AZ320" s="32">
        <f>IFERROR(Upgrades!$H$14*(POWER(Upgrades!$P$13,E320)*POWER(Upgrades!$P$14,F320)*POWER(Upgrades!$P$15,G320)*POWER(Upgrades!$P$16,H320)*POWER(Upgrades!$P$17,I320)*POWER(Upgrades!$P$18,J320)*POWER(Upgrades!$P$19,K320)*POWER(Upgrades!$P$20,L320)*POWER(Upgrades!$P$21,M320))*(IF(Upgrades!$T$13="Local Bubble",POWER(Upgrades!$U$13,E320),1)*IF(Upgrades!$T$15="Local Bubble",POWER(Upgrades!$U$15,G320),1)*IF(Upgrades!$T$16="Local Bubble",POWER(Upgrades!$U$16,H320),1)*IF(Upgrades!$T$17="Local Bubble",POWER(Upgrades!$U$17,I320),1)*IF(Upgrades!$T$18="Local Bubble",POWER(Upgrades!$U$18,J320),1)*IF(Upgrades!$T$19="Local Bubble",POWER(Upgrades!$U$19,K320),1)*IF(Upgrades!$T$20="Local Bubble",POWER(Upgrades!$U$20,L320),1)*IF(Upgrades!$T$21="Local Bubble",POWER(Upgrades!$U$21,M320),1))*$F$6/AL320,0)</f>
        <v/>
      </c>
      <c r="BA320" s="32">
        <f>IFERROR(Upgrades!$K$15*(POWER(Upgrades!$Q$13,E320)*POWER(Upgrades!$Q$14,F320)*POWER(Upgrades!$Q$15,G320)*POWER(Upgrades!$Q$16,H320)*POWER(Upgrades!$Q$17,I320)*POWER(Upgrades!$Q$18,J320)*POWER(Upgrades!$Q$19,K320)*POWER(Upgrades!$Q$20,L320)*POWER(Upgrades!$Q$21,M320))*(IF(Upgrades!$T$13="Microlensing",POWER(Upgrades!$U$13,E320),1)*IF(Upgrades!$T$14="Microlensing",POWER(Upgrades!$U$14,F320),1)*IF(Upgrades!$T$16="Microlensing",POWER(Upgrades!$U$16,H320),1)*IF(Upgrades!$T$17="Microlensing",POWER(Upgrades!$U$17,I320),1)*IF(Upgrades!$T$18="Microlensing",POWER(Upgrades!$U$18,J320),1)*IF(Upgrades!$T$19="Microlensing",POWER(Upgrades!$U$19,K320),1)*IF(Upgrades!$T$20="Microlensing",POWER(Upgrades!$U$20,L320),1)*IF(Upgrades!$T$21="Microlensing",POWER(Upgrades!$U$21,M320),1))*$G$6*(Parameters!$B$10/60*Parameters!$B$11+Q320)/AM320,0)</f>
        <v/>
      </c>
      <c r="BB320" s="32">
        <f>IFERROR((Upgrades!$N$16*(POWER(Upgrades!$R$13,E320)*POWER(Upgrades!$R$14,F320)*POWER(Upgrades!$R$15,G320)*POWER(Upgrades!$R$16,H320)*POWER(Upgrades!$R$17,I320)*POWER(Upgrades!$R$18,J320)*POWER(Upgrades!$R$19,K320)*POWER(Upgrades!$R$20,L320)*POWER(Upgrades!$R$21,M320))*(IF(Upgrades!$T$13="Roche Lobe Overflow",POWER(Upgrades!$U$13,E320),1)*IF(Upgrades!$T$14="Roche Lobe Overflow",POWER(Upgrades!$U$14,F320),1)*IF(Upgrades!$T$15="Roche Lobe Overflow",POWER(Upgrades!$U$15,G320),1)*IF(Upgrades!$T$17="Roche Lobe Overflow",POWER(Upgrades!$U$17,I320),1)*IF(Upgrades!$T$18="Roche Lobe Overflow",POWER(Upgrades!$U$18,J320),1)*IF(Upgrades!$T$19="Roche Lobe Overflow",POWER(Upgrades!$U$19,K320),1)*IF(Upgrades!$T$20="Roche Lobe Overflow",POWER(Upgrades!$U$20,L320),1)*IF(Upgrades!$T$21="Roche Lobe Overflow",POWER(Upgrades!$U$21,M320),1))*$H$6*O320+((IF(F320=0,0,(Upgrades!$G$14+F320*Upgrades!$H$14)*POWER(Upgrades!$I$14,F320)))*(IF(Upgrades!$T$13="Local Bubble",POWER(Upgrades!$U$13,E320),1)*IF(Upgrades!$T$15="Local Bubble",POWER(Upgrades!$U$15,G320),1)*IF(Upgrades!$T$16="Local Bubble",POWER(Upgrades!$U$16,H320),1)*IF(Upgrades!$T$17="Local Bubble",POWER(Upgrades!$U$17,I320),1)*IF(Upgrades!$T$18="Local Bubble",POWER(Upgrades!$U$18,J320),1)*IF(Upgrades!$T$19="Local Bubble",POWER(Upgrades!$U$19,K320),1)*IF(Upgrades!$T$20="Local Bubble",POWER(Upgrades!$U$20,L320),1)*IF(Upgrades!$T$21="Local Bubble",POWER(Upgrades!$U$21,M320),1))*POWER(Upgrades!$P$13,E320)*POWER(Upgrades!$P$14,F320)*POWER(Upgrades!$P$15,G320)*POWER(Upgrades!$P$16,H320)*POWER(Upgrades!$P$17,I320)*POWER(Upgrades!$P$18,J320)*POWER(Upgrades!$P$19,K320)*POWER(Upgrades!$P$20,L320)*POWER(Upgrades!$P$21,M320)*$F$6)*0.05)/AN320,0)</f>
        <v/>
      </c>
      <c r="BC320" s="32">
        <f>IFERROR((Upgrades!$H$17*(POWER(Upgrades!$P$13,E320)*POWER(Upgrades!$P$14,F320)*POWER(Upgrades!$P$15,G320)*POWER(Upgrades!$P$16,H320)*POWER(Upgrades!$P$17,I320)*POWER(Upgrades!$P$18,J320)*POWER(Upgrades!$P$19,K320)*POWER(Upgrades!$P$20,L320)*POWER(Upgrades!$P$21,M320))*(IF(Upgrades!$T$13="Brown Dwarf",POWER(Upgrades!$U$13,E320),1)*IF(Upgrades!$T$14="Brown Dwarf",POWER(Upgrades!$U$14,F320),1)*IF(Upgrades!$T$15="Brown Dwarf",POWER(Upgrades!$U$15,G320),1)*IF(Upgrades!$T$16="Brown Dwarf",POWER(Upgrades!$U$16,H320),1)*IF(Upgrades!$T$18="Brown Dwarf",POWER(Upgrades!$U$18,J320),1)*IF(Upgrades!$T$19="Brown Dwarf",POWER(Upgrades!$U$19,K320),1)*IF(Upgrades!$T$20="Brown Dwarf",POWER(Upgrades!$U$20,L320),1)*IF(Upgrades!$T$21="Brown Dwarf",POWER(Upgrades!$U$21,M320),1))*$F$6+(((IF(H320=0,0,(Upgrades!$M$16+H320*Upgrades!$N$16)*POWER(Upgrades!$O$16,H320)))*(IF(Upgrades!$T$13="Roche Lobe Overflow",POWER(Upgrades!$U$13,E320),1)*IF(Upgrades!$T$14="Roche Lobe Overflow",POWER(Upgrades!$U$14,F320),1)*IF(Upgrades!$T$15="Roche Lobe Overflow",POWER(Upgrades!$U$15,G320),1)*IF(Upgrades!$T$17="Roche Lobe Overflow",POWER(Upgrades!$U$17,I320),1)*IF(Upgrades!$T$18="Roche Lobe Overflow",POWER(Upgrades!$U$18,J320),1)*IF(Upgrades!$T$19="Roche Lobe Overflow",POWER(Upgrades!$U$19,K320),1)*IF(Upgrades!$T$20="Roche Lobe Overflow",POWER(Upgrades!$U$20,L320),1)*IF(Upgrades!$T$21="Roche Lobe Overflow",POWER(Upgrades!$U$21,M320),1))*POWER(Upgrades!$R$13,E320)*POWER(Upgrades!$R$14,F320)*POWER(Upgrades!$R$15,G320)*POWER(Upgrades!$R$16,H320)*POWER(Upgrades!$R$17,I320)*POWER(Upgrades!$R$18,J320)*POWER(Upgrades!$R$19,K320)*POWER(Upgrades!$R$20,L320)*POWER(Upgrades!$R$21,M320)*$H$6)*O320)*0.10)/AO320,0)</f>
        <v/>
      </c>
      <c r="BD320" s="32">
        <f>MAX(IF(J320&gt;0,0,IFERROR(0.5*((IF(G320=0,0,(Upgrades!$J$15+G320*Upgrades!$K$15)*POWER(Upgrades!$L$15,G320)))*(IF(Upgrades!$T$13="Microlensing",POWER(Upgrades!$U$13,E320),1)*IF(Upgrades!$T$14="Microlensing",POWER(Upgrades!$U$14,F320),1)*IF(Upgrades!$T$16="Microlensing",POWER(Upgrades!$U$16,H320),1)*IF(Upgrades!$T$17="Microlensing",POWER(Upgrades!$U$17,I320),1)*IF(Upgrades!$T$18="Microlensing",POWER(Upgrades!$U$18,J320),1)*IF(Upgrades!$T$19="Microlensing",POWER(Upgrades!$U$19,K320),1)*IF(Upgrades!$T$20="Microlensing",POWER(Upgrades!$U$20,L320),1)*IF(Upgrades!$T$21="Microlensing",POWER(Upgrades!$U$21,M320),1))*(POWER(Upgrades!$Q$13,E320)*POWER(Upgrades!$Q$14,F320)*POWER(Upgrades!$Q$15,G320)*POWER(Upgrades!$Q$16,H320)*POWER(Upgrades!$Q$17,I320)*POWER(Upgrades!$Q$18,J320)*POWER(Upgrades!$Q$19,K320)*POWER(Upgrades!$Q$20,L320)*POWER(Upgrades!$Q$21,M320))*$G$6*(Parameters!$B$10/60*Parameters!$B$11+Q320))/Upgrades!$C$18,0)),IF(K320&gt;0,0,IFERROR(0.30*P320/Upgrades!$C$19,0)),IF(L320&gt;0,0,IFERROR(0.0001/Upgrades!$C$20,0)),IF(M320&gt;0,0,IFERROR((6.0*(POWER(Upgrades!$P$13,E320)*POWER(Upgrades!$P$14,F320)*POWER(Upgrades!$P$15,G320)*POWER(Upgrades!$P$16,H320)*POWER(Upgrades!$P$17,I320)*POWER(Upgrades!$P$18,J320)*POWER(Upgrades!$P$19,K320)*POWER(Upgrades!$P$20,L320)*POWER(Upgrades!$P$21,M320))*$F$6+0.20*O320*(Parameters!$B$10/60*Parameters!$B$11+Q320))/Upgrades!$C$21,0)),IF(AND(ISNUMBER(AK320),AK320&gt;(C320+T320)),AY320,0),IF(AND(ISNUMBER(AL320),AL320&gt;(C320+T320)),AZ320,0),IF(AND(ISNUMBER(AM320),AM320&gt;(C320+T320)),BA320,0),IF(AND(ISNUMBER(AN320),AN320&gt;(C320+T320)),BB320,0),IF(AND(ISNUMBER(AO320),AO320&gt;(C320+T320)),BC320,0))</f>
        <v/>
      </c>
      <c r="BE320" s="29">
        <f>IF(AT320=1,"transition",IF(MIN(IF(AND(J320=0,ISNUMBER(AP320),AP320&lt;=(C320+T320)),AP320,9E15),IF(AND(K320=0,ISNUMBER(AQ320),AQ320&lt;=(C320+T320)),AQ320,9E15),IF(AND(L320=0,ISNUMBER(AR320),AR320&lt;=(C320+T320)),AR320,9E15),IF(AND(M320=0,ISNUMBER(AS320),AS320&lt;=(C320+T320)),AS320,9E15))&lt;9E15,IF(AND(AND(J320=0,ISNUMBER(AP320),AP320&lt;=(C320+T320)),AP320=MIN(IF(AND(J320=0,ISNUMBER(AP320),AP320&lt;=(C320+T320)),AP320,9E15),IF(AND(K320=0,ISNUMBER(AQ320),AQ320&lt;=(C320+T320)),AQ320,9E15),IF(AND(L320=0,ISNUMBER(AR320),AR320&lt;=(C320+T320)),AR320,9E15),IF(AND(M320=0,ISNUMBER(AS320),AS320&lt;=(C320+T320)),AS320,9E15))),"BiP",IF(AND(AND(K320=0,ISNUMBER(AQ320),AQ320&lt;=(C320+T320)),AQ320=MIN(IF(AND(J320=0,ISNUMBER(AP320),AP320&lt;=(C320+T320)),AP320,9E15),IF(AND(K320=0,ISNUMBER(AQ320),AQ320&lt;=(C320+T320)),AQ320,9E15),IF(AND(L320=0,ISNUMBER(AR320),AR320&lt;=(C320+T320)),AR320,9E15),IF(AND(M320=0,ISNUMBER(AS320),AS320&lt;=(C320+T320)),AS320,9E15))),"PV",IF(AND(AND(L320=0,ISNUMBER(AR320),AR320&lt;=(C320+T320)),AR320=MIN(IF(AND(J320=0,ISNUMBER(AP320),AP320&lt;=(C320+T320)),AP320,9E15),IF(AND(K320=0,ISNUMBER(AQ320),AQ320&lt;=(C320+T320)),AQ320,9E15),IF(AND(L320=0,ISNUMBER(AR320),AR320&lt;=(C320+T320)),AR320,9E15),IF(AND(M320=0,ISNUMBER(AS320),AS320&lt;=(C320+T320)),AS320,9E15))),"OC","MG"))),IF(AX320=TRUE,"",IF(MAX(IF(AND(NOT(AND(AU320=1,AT320&lt;&gt;1)),ISNUMBER(AK320),AK320&lt;=(C320+T320)),AY320,0),IF(AND(NOT(AND(AU320=1,AT320&lt;&gt;1)),ISNUMBER(AL320),AL320&lt;=(C320+T320)),AZ320,0),IF(AND(NOT(AND(AU320=1,AT320&lt;&gt;1)),ISNUMBER(AM320),AM320&lt;=(C320+T320)),BA320,0),IF(AND(NOT(AND(AU320=1,AT320&lt;&gt;1)),ISNUMBER(AN320),AN320&lt;=(C320+T320)),BB320,0),IF(AND(ISNUMBER(AO320),AO320&lt;=(C320+T320)),BC320,0))&lt;=0,"",IF(AND(IF(AND(NOT(AND(AU320=1,AT320&lt;&gt;1)),ISNUMBER(AK320),AK320&lt;=(C320+T320)),AY320,0)&gt;0,IF(AND(NOT(AND(AU320=1,AT320&lt;&gt;1)),ISNUMBER(AK320),AK320&lt;=(C320+T320)),AY320,0)=MAX(IF(AND(NOT(AND(AU320=1,AT320&lt;&gt;1)),ISNUMBER(AK320),AK320&lt;=(C320+T320)),AY320,0),IF(AND(NOT(AND(AU320=1,AT320&lt;&gt;1)),ISNUMBER(AL320),AL320&lt;=(C320+T320)),AZ320,0),IF(AND(NOT(AND(AU320=1,AT320&lt;&gt;1)),ISNUMBER(AM320),AM320&lt;=(C320+T320)),BA320,0),IF(AND(NOT(AND(AU320=1,AT320&lt;&gt;1)),ISNUMBER(AN320),AN320&lt;=(C320+T320)),BB320,0),IF(AND(ISNUMBER(AO320),AO320&lt;=(C320+T320)),BC320,0))),"SK",IF(AND(IF(AND(NOT(AND(AU320=1,AT320&lt;&gt;1)),ISNUMBER(AL320),AL320&lt;=(C320+T320)),AZ320,0)&gt;0,IF(AND(NOT(AND(AU320=1,AT320&lt;&gt;1)),ISNUMBER(AL320),AL320&lt;=(C320+T320)),AZ320,0)=MAX(IF(AND(NOT(AND(AU320=1,AT320&lt;&gt;1)),ISNUMBER(AK320),AK320&lt;=(C320+T320)),AY320,0),IF(AND(NOT(AND(AU320=1,AT320&lt;&gt;1)),ISNUMBER(AL320),AL320&lt;=(C320+T320)),AZ320,0),IF(AND(NOT(AND(AU320=1,AT320&lt;&gt;1)),ISNUMBER(AM320),AM320&lt;=(C320+T320)),BA320,0),IF(AND(NOT(AND(AU320=1,AT320&lt;&gt;1)),ISNUMBER(AN320),AN320&lt;=(C320+T320)),BB320,0),IF(AND(ISNUMBER(AO320),AO320&lt;=(C320+T320)),BC320,0))),"LB",IF(AND(IF(AND(NOT(AND(AU320=1,AT320&lt;&gt;1)),ISNUMBER(AM320),AM320&lt;=(C320+T320)),BA320,0)&gt;0,IF(AND(NOT(AND(AU320=1,AT320&lt;&gt;1)),ISNUMBER(AM320),AM320&lt;=(C320+T320)),BA320,0)=MAX(IF(AND(NOT(AND(AU320=1,AT320&lt;&gt;1)),ISNUMBER(AK320),AK320&lt;=(C320+T320)),AY320,0),IF(AND(NOT(AND(AU320=1,AT320&lt;&gt;1)),ISNUMBER(AL320),AL320&lt;=(C320+T320)),AZ320,0),IF(AND(NOT(AND(AU320=1,AT320&lt;&gt;1)),ISNUMBER(AM320),AM320&lt;=(C320+T320)),BA320,0),IF(AND(NOT(AND(AU320=1,AT320&lt;&gt;1)),ISNUMBER(AN320),AN320&lt;=(C320+T320)),BB320,0),IF(AND(ISNUMBER(AO320),AO320&lt;=(C320+T320)),BC320,0))),"ML",IF(AND(IF(AND(NOT(AND(AU320=1,AT320&lt;&gt;1)),ISNUMBER(AN320),AN320&lt;=(C320+T320)),BB320,0)&gt;0,IF(AND(NOT(AND(AU320=1,AT320&lt;&gt;1)),ISNUMBER(AN320),AN320&lt;=(C320+T320)),BB320,0)=MAX(IF(AND(NOT(AND(AU320=1,AT320&lt;&gt;1)),ISNUMBER(AK320),AK320&lt;=(C320+T320)),AY320,0),IF(AND(NOT(AND(AU320=1,AT320&lt;&gt;1)),ISNUMBER(AL320),AL320&lt;=(C320+T320)),AZ320,0),IF(AND(NOT(AND(AU320=1,AT320&lt;&gt;1)),ISNUMBER(AM320),AM320&lt;=(C320+T320)),BA320,0),IF(AND(NOT(AND(AU320=1,AT320&lt;&gt;1)),ISNUMBER(AN320),AN320&lt;=(C320+T320)),BB320,0),IF(AND(ISNUMBER(AO320),AO320&lt;=(C320+T320)),BC320,0))),"RLO","BD"))))))))</f>
        <v/>
      </c>
    </row>
    <row r="321">
      <c r="A321" s="26" t="n">
        <v>310</v>
      </c>
      <c r="B321" s="27">
        <f>A321*10/60</f>
        <v/>
      </c>
      <c r="C321" s="22">
        <f>X320</f>
        <v/>
      </c>
      <c r="D321" s="27">
        <f>D320+W320</f>
        <v/>
      </c>
      <c r="E321" s="26">
        <f>E320+IF(U320="SK",1,0)</f>
        <v/>
      </c>
      <c r="F321" s="26">
        <f>F320+IF(U320="LB",1,0)</f>
        <v/>
      </c>
      <c r="G321" s="26">
        <f>G320+IF(U320="ML",1,0)</f>
        <v/>
      </c>
      <c r="H321" s="26">
        <f>H320+IF(U320="RLO",1,0)</f>
        <v/>
      </c>
      <c r="I321" s="26">
        <f>I320+IF(U320="BD",1,0)</f>
        <v/>
      </c>
      <c r="J321" s="26">
        <f>MAX(J320,IF(U320="BiP",1,0))</f>
        <v/>
      </c>
      <c r="K321" s="26">
        <f>MAX(K320,IF(U320="PV",1,0))</f>
        <v/>
      </c>
      <c r="L321" s="26">
        <f>MAX(L320,IF(U320="OC",1,0))</f>
        <v/>
      </c>
      <c r="M321" s="26">
        <f>MAX(M320,IF(U320="MG",1,0))</f>
        <v/>
      </c>
      <c r="N321" s="26">
        <f>MAX(N320,IF(U320="transition",1,0))</f>
        <v/>
      </c>
      <c r="O321" s="28">
        <f>(Parameters!$B$9+(IF(E321=0,0,(Upgrades!$J$13+E321*Upgrades!$K$13)*POWER(Upgrades!$L$13,E321)))*(IF(Upgrades!$T$14="Stellar Kinematics",POWER(Upgrades!$U$14,F321),1)*IF(Upgrades!$T$15="Stellar Kinematics",POWER(Upgrades!$U$15,G321),1)*IF(Upgrades!$T$16="Stellar Kinematics",POWER(Upgrades!$U$16,H321),1)*IF(Upgrades!$T$17="Stellar Kinematics",POWER(Upgrades!$U$17,I321),1)*IF(Upgrades!$T$18="Stellar Kinematics",POWER(Upgrades!$U$18,J321),1)*IF(Upgrades!$T$19="Stellar Kinematics",POWER(Upgrades!$U$19,K321),1)*IF(Upgrades!$T$20="Stellar Kinematics",POWER(Upgrades!$U$20,L321),1)*IF(Upgrades!$T$21="Stellar Kinematics",POWER(Upgrades!$U$21,M321),1))+(IF(F321=0,0,(Upgrades!$J$14+F321*Upgrades!$K$14)*POWER(Upgrades!$L$14,F321)))*(IF(Upgrades!$T$13="Local Bubble",POWER(Upgrades!$U$13,E321),1)*IF(Upgrades!$T$15="Local Bubble",POWER(Upgrades!$U$15,G321),1)*IF(Upgrades!$T$16="Local Bubble",POWER(Upgrades!$U$16,H321),1)*IF(Upgrades!$T$17="Local Bubble",POWER(Upgrades!$U$17,I321),1)*IF(Upgrades!$T$18="Local Bubble",POWER(Upgrades!$U$18,J321),1)*IF(Upgrades!$T$19="Local Bubble",POWER(Upgrades!$U$19,K321),1)*IF(Upgrades!$T$20="Local Bubble",POWER(Upgrades!$U$20,L321),1)*IF(Upgrades!$T$21="Local Bubble",POWER(Upgrades!$U$21,M321),1))+(IF(G321=0,0,(Upgrades!$J$15+G321*Upgrades!$K$15)*POWER(Upgrades!$L$15,G321)))*(IF(Upgrades!$T$13="Microlensing",POWER(Upgrades!$U$13,E321),1)*IF(Upgrades!$T$14="Microlensing",POWER(Upgrades!$U$14,F321),1)*IF(Upgrades!$T$16="Microlensing",POWER(Upgrades!$U$16,H321),1)*IF(Upgrades!$T$17="Microlensing",POWER(Upgrades!$U$17,I321),1)*IF(Upgrades!$T$18="Microlensing",POWER(Upgrades!$U$18,J321),1)*IF(Upgrades!$T$19="Microlensing",POWER(Upgrades!$U$19,K321),1)*IF(Upgrades!$T$20="Microlensing",POWER(Upgrades!$U$20,L321),1)*IF(Upgrades!$T$21="Microlensing",POWER(Upgrades!$U$21,M321),1))+(IF(H321=0,0,(Upgrades!$J$16+H321*Upgrades!$K$16)*POWER(Upgrades!$L$16,H321)))*(IF(Upgrades!$T$13="Roche Lobe Overflow",POWER(Upgrades!$U$13,E321),1)*IF(Upgrades!$T$14="Roche Lobe Overflow",POWER(Upgrades!$U$14,F321),1)*IF(Upgrades!$T$15="Roche Lobe Overflow",POWER(Upgrades!$U$15,G321),1)*IF(Upgrades!$T$17="Roche Lobe Overflow",POWER(Upgrades!$U$17,I321),1)*IF(Upgrades!$T$18="Roche Lobe Overflow",POWER(Upgrades!$U$18,J321),1)*IF(Upgrades!$T$19="Roche Lobe Overflow",POWER(Upgrades!$U$19,K321),1)*IF(Upgrades!$T$20="Roche Lobe Overflow",POWER(Upgrades!$U$20,L321),1)*IF(Upgrades!$T$21="Roche Lobe Overflow",POWER(Upgrades!$U$21,M321),1))+(IF(I321=0,0,(Upgrades!$J$17+I321*Upgrades!$K$17)*POWER(Upgrades!$L$17,I321)))*(IF(Upgrades!$T$13="Brown Dwarf",POWER(Upgrades!$U$13,E321),1)*IF(Upgrades!$T$14="Brown Dwarf",POWER(Upgrades!$U$14,F321),1)*IF(Upgrades!$T$15="Brown Dwarf",POWER(Upgrades!$U$15,G321),1)*IF(Upgrades!$T$16="Brown Dwarf",POWER(Upgrades!$U$16,H321),1)*IF(Upgrades!$T$18="Brown Dwarf",POWER(Upgrades!$U$18,J321),1)*IF(Upgrades!$T$19="Brown Dwarf",POWER(Upgrades!$U$19,K321),1)*IF(Upgrades!$T$20="Brown Dwarf",POWER(Upgrades!$U$20,L321),1)*IF(Upgrades!$T$21="Brown Dwarf",POWER(Upgrades!$U$21,M321),1))+(IF(J321=0,0,(Upgrades!$J$18+J321*Upgrades!$K$18)*POWER(Upgrades!$L$18,J321)))*(IF(Upgrades!$T$13="Binary Partner",POWER(Upgrades!$U$13,E321),1)*IF(Upgrades!$T$14="Binary Partner",POWER(Upgrades!$U$14,F321),1)*IF(Upgrades!$T$15="Binary Partner",POWER(Upgrades!$U$15,G321),1)*IF(Upgrades!$T$16="Binary Partner",POWER(Upgrades!$U$16,H321),1)*IF(Upgrades!$T$17="Binary Partner",POWER(Upgrades!$U$17,I321),1)*IF(Upgrades!$T$19="Binary Partner",POWER(Upgrades!$U$19,K321),1)*IF(Upgrades!$T$20="Binary Partner",POWER(Upgrades!$U$20,L321),1)*IF(Upgrades!$T$21="Binary Partner",POWER(Upgrades!$U$21,M321),1))+(IF(K321=0,0,(Upgrades!$J$19+K321*Upgrades!$K$19)*POWER(Upgrades!$L$19,K321)))*(IF(Upgrades!$T$13="Peculiar Velocity",POWER(Upgrades!$U$13,E321),1)*IF(Upgrades!$T$14="Peculiar Velocity",POWER(Upgrades!$U$14,F321),1)*IF(Upgrades!$T$15="Peculiar Velocity",POWER(Upgrades!$U$15,G321),1)*IF(Upgrades!$T$16="Peculiar Velocity",POWER(Upgrades!$U$16,H321),1)*IF(Upgrades!$T$17="Peculiar Velocity",POWER(Upgrades!$U$17,I321),1)*IF(Upgrades!$T$18="Peculiar Velocity",POWER(Upgrades!$U$18,J321),1)*IF(Upgrades!$T$20="Peculiar Velocity",POWER(Upgrades!$U$20,L321),1)*IF(Upgrades!$T$21="Peculiar Velocity",POWER(Upgrades!$U$21,M321),1))+(IF(L321=0,0,(Upgrades!$J$20+L321*Upgrades!$K$20)*POWER(Upgrades!$L$20,L321)))*(IF(Upgrades!$T$13="Open Cluster",POWER(Upgrades!$U$13,E321),1)*IF(Upgrades!$T$14="Open Cluster",POWER(Upgrades!$U$14,F321),1)*IF(Upgrades!$T$15="Open Cluster",POWER(Upgrades!$U$15,G321),1)*IF(Upgrades!$T$16="Open Cluster",POWER(Upgrades!$U$16,H321),1)*IF(Upgrades!$T$17="Open Cluster",POWER(Upgrades!$U$17,I321),1)*IF(Upgrades!$T$18="Open Cluster",POWER(Upgrades!$U$18,J321),1)*IF(Upgrades!$T$19="Open Cluster",POWER(Upgrades!$U$19,K321),1)*IF(Upgrades!$T$21="Open Cluster",POWER(Upgrades!$U$21,M321),1))+(IF(M321=0,0,(Upgrades!$J$21+M321*Upgrades!$K$21)*POWER(Upgrades!$L$21,M321)))*(IF(Upgrades!$T$13="Moving Group",POWER(Upgrades!$U$13,E321),1)*IF(Upgrades!$T$14="Moving Group",POWER(Upgrades!$U$14,F321),1)*IF(Upgrades!$T$15="Moving Group",POWER(Upgrades!$U$15,G321),1)*IF(Upgrades!$T$16="Moving Group",POWER(Upgrades!$U$16,H321),1)*IF(Upgrades!$T$17="Moving Group",POWER(Upgrades!$U$17,I321),1)*IF(Upgrades!$T$18="Moving Group",POWER(Upgrades!$U$18,J321),1)*IF(Upgrades!$T$19="Moving Group",POWER(Upgrades!$U$19,K321),1)*IF(Upgrades!$T$20="Moving Group",POWER(Upgrades!$U$20,L321),1)))*POWER(Upgrades!$Q$13,E321)*POWER(Upgrades!$Q$14,F321)*POWER(Upgrades!$Q$15,G321)*POWER(Upgrades!$Q$16,H321)*POWER(Upgrades!$Q$17,I321)*POWER(Upgrades!$Q$18,J321)*POWER(Upgrades!$Q$19,K321)*POWER(Upgrades!$Q$20,L321)*POWER(Upgrades!$Q$21,M321)*$G$6+$D$6</f>
        <v/>
      </c>
      <c r="P321" s="28">
        <f>((IF(E321=0,0,(Upgrades!$G$13+E321*Upgrades!$H$13)*POWER(Upgrades!$I$13,E321)))*(IF(Upgrades!$T$14="Stellar Kinematics",POWER(Upgrades!$U$14,F321),1)*IF(Upgrades!$T$15="Stellar Kinematics",POWER(Upgrades!$U$15,G321),1)*IF(Upgrades!$T$16="Stellar Kinematics",POWER(Upgrades!$U$16,H321),1)*IF(Upgrades!$T$17="Stellar Kinematics",POWER(Upgrades!$U$17,I321),1)*IF(Upgrades!$T$18="Stellar Kinematics",POWER(Upgrades!$U$18,J321),1)*IF(Upgrades!$T$19="Stellar Kinematics",POWER(Upgrades!$U$19,K321),1)*IF(Upgrades!$T$20="Stellar Kinematics",POWER(Upgrades!$U$20,L321),1)*IF(Upgrades!$T$21="Stellar Kinematics",POWER(Upgrades!$U$21,M321),1))+(IF(F321=0,0,(Upgrades!$G$14+F321*Upgrades!$H$14)*POWER(Upgrades!$I$14,F321)))*(IF(Upgrades!$T$13="Local Bubble",POWER(Upgrades!$U$13,E321),1)*IF(Upgrades!$T$15="Local Bubble",POWER(Upgrades!$U$15,G321),1)*IF(Upgrades!$T$16="Local Bubble",POWER(Upgrades!$U$16,H321),1)*IF(Upgrades!$T$17="Local Bubble",POWER(Upgrades!$U$17,I321),1)*IF(Upgrades!$T$18="Local Bubble",POWER(Upgrades!$U$18,J321),1)*IF(Upgrades!$T$19="Local Bubble",POWER(Upgrades!$U$19,K321),1)*IF(Upgrades!$T$20="Local Bubble",POWER(Upgrades!$U$20,L321),1)*IF(Upgrades!$T$21="Local Bubble",POWER(Upgrades!$U$21,M321),1))+(IF(G321=0,0,(Upgrades!$G$15+G321*Upgrades!$H$15)*POWER(Upgrades!$I$15,G321)))*(IF(Upgrades!$T$13="Microlensing",POWER(Upgrades!$U$13,E321),1)*IF(Upgrades!$T$14="Microlensing",POWER(Upgrades!$U$14,F321),1)*IF(Upgrades!$T$16="Microlensing",POWER(Upgrades!$U$16,H321),1)*IF(Upgrades!$T$17="Microlensing",POWER(Upgrades!$U$17,I321),1)*IF(Upgrades!$T$18="Microlensing",POWER(Upgrades!$U$18,J321),1)*IF(Upgrades!$T$19="Microlensing",POWER(Upgrades!$U$19,K321),1)*IF(Upgrades!$T$20="Microlensing",POWER(Upgrades!$U$20,L321),1)*IF(Upgrades!$T$21="Microlensing",POWER(Upgrades!$U$21,M321),1))+(IF(H321=0,0,(Upgrades!$G$16+H321*Upgrades!$H$16)*POWER(Upgrades!$I$16,H321)))*(IF(Upgrades!$T$13="Roche Lobe Overflow",POWER(Upgrades!$U$13,E321),1)*IF(Upgrades!$T$14="Roche Lobe Overflow",POWER(Upgrades!$U$14,F321),1)*IF(Upgrades!$T$15="Roche Lobe Overflow",POWER(Upgrades!$U$15,G321),1)*IF(Upgrades!$T$17="Roche Lobe Overflow",POWER(Upgrades!$U$17,I321),1)*IF(Upgrades!$T$18="Roche Lobe Overflow",POWER(Upgrades!$U$18,J321),1)*IF(Upgrades!$T$19="Roche Lobe Overflow",POWER(Upgrades!$U$19,K321),1)*IF(Upgrades!$T$20="Roche Lobe Overflow",POWER(Upgrades!$U$20,L321),1)*IF(Upgrades!$T$21="Roche Lobe Overflow",POWER(Upgrades!$U$21,M321),1))+(IF(I321=0,0,(Upgrades!$G$17+I321*Upgrades!$H$17)*POWER(Upgrades!$I$17,I321)))*(IF(Upgrades!$T$13="Brown Dwarf",POWER(Upgrades!$U$13,E321),1)*IF(Upgrades!$T$14="Brown Dwarf",POWER(Upgrades!$U$14,F321),1)*IF(Upgrades!$T$15="Brown Dwarf",POWER(Upgrades!$U$15,G321),1)*IF(Upgrades!$T$16="Brown Dwarf",POWER(Upgrades!$U$16,H321),1)*IF(Upgrades!$T$18="Brown Dwarf",POWER(Upgrades!$U$18,J321),1)*IF(Upgrades!$T$19="Brown Dwarf",POWER(Upgrades!$U$19,K321),1)*IF(Upgrades!$T$20="Brown Dwarf",POWER(Upgrades!$U$20,L321),1)*IF(Upgrades!$T$21="Brown Dwarf",POWER(Upgrades!$U$21,M321),1))+(IF(J321=0,0,(Upgrades!$G$18+J321*Upgrades!$H$18)*POWER(Upgrades!$I$18,J321)))*(IF(Upgrades!$T$13="Binary Partner",POWER(Upgrades!$U$13,E321),1)*IF(Upgrades!$T$14="Binary Partner",POWER(Upgrades!$U$14,F321),1)*IF(Upgrades!$T$15="Binary Partner",POWER(Upgrades!$U$15,G321),1)*IF(Upgrades!$T$16="Binary Partner",POWER(Upgrades!$U$16,H321),1)*IF(Upgrades!$T$17="Binary Partner",POWER(Upgrades!$U$17,I321),1)*IF(Upgrades!$T$19="Binary Partner",POWER(Upgrades!$U$19,K321),1)*IF(Upgrades!$T$20="Binary Partner",POWER(Upgrades!$U$20,L321),1)*IF(Upgrades!$T$21="Binary Partner",POWER(Upgrades!$U$21,M321),1))+(IF(K321=0,0,(Upgrades!$G$19+K321*Upgrades!$H$19)*POWER(Upgrades!$I$19,K321)))*(IF(Upgrades!$T$13="Peculiar Velocity",POWER(Upgrades!$U$13,E321),1)*IF(Upgrades!$T$14="Peculiar Velocity",POWER(Upgrades!$U$14,F321),1)*IF(Upgrades!$T$15="Peculiar Velocity",POWER(Upgrades!$U$15,G321),1)*IF(Upgrades!$T$16="Peculiar Velocity",POWER(Upgrades!$U$16,H321),1)*IF(Upgrades!$T$17="Peculiar Velocity",POWER(Upgrades!$U$17,I321),1)*IF(Upgrades!$T$18="Peculiar Velocity",POWER(Upgrades!$U$18,J321),1)*IF(Upgrades!$T$20="Peculiar Velocity",POWER(Upgrades!$U$20,L321),1)*IF(Upgrades!$T$21="Peculiar Velocity",POWER(Upgrades!$U$21,M321),1))+(IF(L321=0,0,(Upgrades!$G$20+L321*Upgrades!$H$20)*POWER(Upgrades!$I$20,L321)))*(IF(Upgrades!$T$13="Open Cluster",POWER(Upgrades!$U$13,E321),1)*IF(Upgrades!$T$14="Open Cluster",POWER(Upgrades!$U$14,F321),1)*IF(Upgrades!$T$15="Open Cluster",POWER(Upgrades!$U$15,G321),1)*IF(Upgrades!$T$16="Open Cluster",POWER(Upgrades!$U$16,H321),1)*IF(Upgrades!$T$17="Open Cluster",POWER(Upgrades!$U$17,I321),1)*IF(Upgrades!$T$18="Open Cluster",POWER(Upgrades!$U$18,J321),1)*IF(Upgrades!$T$19="Open Cluster",POWER(Upgrades!$U$19,K321),1)*IF(Upgrades!$T$21="Open Cluster",POWER(Upgrades!$U$21,M321),1))+(IF(M321=0,0,(Upgrades!$G$21+M321*Upgrades!$H$21)*POWER(Upgrades!$I$21,M321)))*(IF(Upgrades!$T$13="Moving Group",POWER(Upgrades!$U$13,E321),1)*IF(Upgrades!$T$14="Moving Group",POWER(Upgrades!$U$14,F321),1)*IF(Upgrades!$T$15="Moving Group",POWER(Upgrades!$U$15,G321),1)*IF(Upgrades!$T$16="Moving Group",POWER(Upgrades!$U$16,H321),1)*IF(Upgrades!$T$17="Moving Group",POWER(Upgrades!$U$17,I321),1)*IF(Upgrades!$T$18="Moving Group",POWER(Upgrades!$U$18,J321),1)*IF(Upgrades!$T$19="Moving Group",POWER(Upgrades!$U$19,K321),1)*IF(Upgrades!$T$20="Moving Group",POWER(Upgrades!$U$20,L321),1)))*POWER(Upgrades!$P$13,E321)*POWER(Upgrades!$P$14,F321)*POWER(Upgrades!$P$15,G321)*POWER(Upgrades!$P$16,H321)*POWER(Upgrades!$P$17,I321)*POWER(Upgrades!$P$18,J321)*POWER(Upgrades!$P$19,K321)*POWER(Upgrades!$P$20,L321)*POWER(Upgrades!$P$21,M321)*$F$6+$C$6</f>
        <v/>
      </c>
      <c r="Q321" s="28">
        <f>((IF(E321=0,0,(Upgrades!$M$13+E321*Upgrades!$N$13)*POWER(Upgrades!$O$13,E321)))*(IF(Upgrades!$T$14="Stellar Kinematics",POWER(Upgrades!$U$14,F321),1)*IF(Upgrades!$T$15="Stellar Kinematics",POWER(Upgrades!$U$15,G321),1)*IF(Upgrades!$T$16="Stellar Kinematics",POWER(Upgrades!$U$16,H321),1)*IF(Upgrades!$T$17="Stellar Kinematics",POWER(Upgrades!$U$17,I321),1)*IF(Upgrades!$T$18="Stellar Kinematics",POWER(Upgrades!$U$18,J321),1)*IF(Upgrades!$T$19="Stellar Kinematics",POWER(Upgrades!$U$19,K321),1)*IF(Upgrades!$T$20="Stellar Kinematics",POWER(Upgrades!$U$20,L321),1)*IF(Upgrades!$T$21="Stellar Kinematics",POWER(Upgrades!$U$21,M321),1))+(IF(F321=0,0,(Upgrades!$M$14+F321*Upgrades!$N$14)*POWER(Upgrades!$O$14,F321)))*(IF(Upgrades!$T$13="Local Bubble",POWER(Upgrades!$U$13,E321),1)*IF(Upgrades!$T$15="Local Bubble",POWER(Upgrades!$U$15,G321),1)*IF(Upgrades!$T$16="Local Bubble",POWER(Upgrades!$U$16,H321),1)*IF(Upgrades!$T$17="Local Bubble",POWER(Upgrades!$U$17,I321),1)*IF(Upgrades!$T$18="Local Bubble",POWER(Upgrades!$U$18,J321),1)*IF(Upgrades!$T$19="Local Bubble",POWER(Upgrades!$U$19,K321),1)*IF(Upgrades!$T$20="Local Bubble",POWER(Upgrades!$U$20,L321),1)*IF(Upgrades!$T$21="Local Bubble",POWER(Upgrades!$U$21,M321),1))+(IF(G321=0,0,(Upgrades!$M$15+G321*Upgrades!$N$15)*POWER(Upgrades!$O$15,G321)))*(IF(Upgrades!$T$13="Microlensing",POWER(Upgrades!$U$13,E321),1)*IF(Upgrades!$T$14="Microlensing",POWER(Upgrades!$U$14,F321),1)*IF(Upgrades!$T$16="Microlensing",POWER(Upgrades!$U$16,H321),1)*IF(Upgrades!$T$17="Microlensing",POWER(Upgrades!$U$17,I321),1)*IF(Upgrades!$T$18="Microlensing",POWER(Upgrades!$U$18,J321),1)*IF(Upgrades!$T$19="Microlensing",POWER(Upgrades!$U$19,K321),1)*IF(Upgrades!$T$20="Microlensing",POWER(Upgrades!$U$20,L321),1)*IF(Upgrades!$T$21="Microlensing",POWER(Upgrades!$U$21,M321),1))+(IF(H321=0,0,(Upgrades!$M$16+H321*Upgrades!$N$16)*POWER(Upgrades!$O$16,H321)))*(IF(Upgrades!$T$13="Roche Lobe Overflow",POWER(Upgrades!$U$13,E321),1)*IF(Upgrades!$T$14="Roche Lobe Overflow",POWER(Upgrades!$U$14,F321),1)*IF(Upgrades!$T$15="Roche Lobe Overflow",POWER(Upgrades!$U$15,G321),1)*IF(Upgrades!$T$17="Roche Lobe Overflow",POWER(Upgrades!$U$17,I321),1)*IF(Upgrades!$T$18="Roche Lobe Overflow",POWER(Upgrades!$U$18,J321),1)*IF(Upgrades!$T$19="Roche Lobe Overflow",POWER(Upgrades!$U$19,K321),1)*IF(Upgrades!$T$20="Roche Lobe Overflow",POWER(Upgrades!$U$20,L321),1)*IF(Upgrades!$T$21="Roche Lobe Overflow",POWER(Upgrades!$U$21,M321),1))+(IF(I321=0,0,(Upgrades!$M$17+I321*Upgrades!$N$17)*POWER(Upgrades!$O$17,I321)))*(IF(Upgrades!$T$13="Brown Dwarf",POWER(Upgrades!$U$13,E321),1)*IF(Upgrades!$T$14="Brown Dwarf",POWER(Upgrades!$U$14,F321),1)*IF(Upgrades!$T$15="Brown Dwarf",POWER(Upgrades!$U$15,G321),1)*IF(Upgrades!$T$16="Brown Dwarf",POWER(Upgrades!$U$16,H321),1)*IF(Upgrades!$T$18="Brown Dwarf",POWER(Upgrades!$U$18,J321),1)*IF(Upgrades!$T$19="Brown Dwarf",POWER(Upgrades!$U$19,K321),1)*IF(Upgrades!$T$20="Brown Dwarf",POWER(Upgrades!$U$20,L321),1)*IF(Upgrades!$T$21="Brown Dwarf",POWER(Upgrades!$U$21,M321),1))+(IF(J321=0,0,(Upgrades!$M$18+J321*Upgrades!$N$18)*POWER(Upgrades!$O$18,J321)))*(IF(Upgrades!$T$13="Binary Partner",POWER(Upgrades!$U$13,E321),1)*IF(Upgrades!$T$14="Binary Partner",POWER(Upgrades!$U$14,F321),1)*IF(Upgrades!$T$15="Binary Partner",POWER(Upgrades!$U$15,G321),1)*IF(Upgrades!$T$16="Binary Partner",POWER(Upgrades!$U$16,H321),1)*IF(Upgrades!$T$17="Binary Partner",POWER(Upgrades!$U$17,I321),1)*IF(Upgrades!$T$19="Binary Partner",POWER(Upgrades!$U$19,K321),1)*IF(Upgrades!$T$20="Binary Partner",POWER(Upgrades!$U$20,L321),1)*IF(Upgrades!$T$21="Binary Partner",POWER(Upgrades!$U$21,M321),1))+(IF(K321=0,0,(Upgrades!$M$19+K321*Upgrades!$N$19)*POWER(Upgrades!$O$19,K321)))*(IF(Upgrades!$T$13="Peculiar Velocity",POWER(Upgrades!$U$13,E321),1)*IF(Upgrades!$T$14="Peculiar Velocity",POWER(Upgrades!$U$14,F321),1)*IF(Upgrades!$T$15="Peculiar Velocity",POWER(Upgrades!$U$15,G321),1)*IF(Upgrades!$T$16="Peculiar Velocity",POWER(Upgrades!$U$16,H321),1)*IF(Upgrades!$T$17="Peculiar Velocity",POWER(Upgrades!$U$17,I321),1)*IF(Upgrades!$T$18="Peculiar Velocity",POWER(Upgrades!$U$18,J321),1)*IF(Upgrades!$T$20="Peculiar Velocity",POWER(Upgrades!$U$20,L321),1)*IF(Upgrades!$T$21="Peculiar Velocity",POWER(Upgrades!$U$21,M321),1))+(IF(L321=0,0,(Upgrades!$M$20+L321*Upgrades!$N$20)*POWER(Upgrades!$O$20,L321)))*(IF(Upgrades!$T$13="Open Cluster",POWER(Upgrades!$U$13,E321),1)*IF(Upgrades!$T$14="Open Cluster",POWER(Upgrades!$U$14,F321),1)*IF(Upgrades!$T$15="Open Cluster",POWER(Upgrades!$U$15,G321),1)*IF(Upgrades!$T$16="Open Cluster",POWER(Upgrades!$U$16,H321),1)*IF(Upgrades!$T$17="Open Cluster",POWER(Upgrades!$U$17,I321),1)*IF(Upgrades!$T$18="Open Cluster",POWER(Upgrades!$U$18,J321),1)*IF(Upgrades!$T$19="Open Cluster",POWER(Upgrades!$U$19,K321),1)*IF(Upgrades!$T$21="Open Cluster",POWER(Upgrades!$U$21,M321),1))+(IF(M321=0,0,(Upgrades!$M$21+M321*Upgrades!$N$21)*POWER(Upgrades!$O$21,M321)))*(IF(Upgrades!$T$13="Moving Group",POWER(Upgrades!$U$13,E321),1)*IF(Upgrades!$T$14="Moving Group",POWER(Upgrades!$U$14,F321),1)*IF(Upgrades!$T$15="Moving Group",POWER(Upgrades!$U$15,G321),1)*IF(Upgrades!$T$16="Moving Group",POWER(Upgrades!$U$16,H321),1)*IF(Upgrades!$T$17="Moving Group",POWER(Upgrades!$U$17,I321),1)*IF(Upgrades!$T$18="Moving Group",POWER(Upgrades!$U$18,J321),1)*IF(Upgrades!$T$19="Moving Group",POWER(Upgrades!$U$19,K321),1)*IF(Upgrades!$T$20="Moving Group",POWER(Upgrades!$U$20,L321),1)))*POWER(Upgrades!$R$13,E321)*POWER(Upgrades!$R$14,F321)*POWER(Upgrades!$R$15,G321)*POWER(Upgrades!$R$16,H321)*POWER(Upgrades!$R$17,I321)*POWER(Upgrades!$R$18,J321)*POWER(Upgrades!$R$19,K321)*POWER(Upgrades!$R$20,L321)*POWER(Upgrades!$R$21,M321)*$H$6+$E$6</f>
        <v/>
      </c>
      <c r="R321" s="27">
        <f>IF(N321=1,0,O321*Parameters!$B$10/60*Parameters!$B$11*10)</f>
        <v/>
      </c>
      <c r="S321" s="27">
        <f>IF(N321=1,0,Q321*O321*10)</f>
        <v/>
      </c>
      <c r="T321" s="27">
        <f>IF(N321=1,0,R321+S321+P321*10)</f>
        <v/>
      </c>
      <c r="U321" s="33">
        <f>BE321</f>
        <v/>
      </c>
      <c r="V321" s="22">
        <f>IF(U321="",0,IF(U321="transition",0,IF(U321="SK",AK321,IF(U321="LB",AL321,IF(U321="ML",AM321,IF(U321="RLO",AN321,IF(U321="BD",AO321,IF(U321="BiP",AP321,IF(U321="PV",AQ321,IF(U321="OC",AR321,IF(U321="MG",AS321,0))))))))))</f>
        <v/>
      </c>
      <c r="W321" s="27">
        <f>IF(U321="BiP",Upgrades!$F$18,IF(U321="PV",Upgrades!$F$19,IF(U321="OC",Upgrades!$F$20,IF(U321="MG",Upgrades!$F$21,IF(U321="transition",-Parameters!$B$18*Parameters!$B$19,0)))))</f>
        <v/>
      </c>
      <c r="X321" s="22">
        <f>C321+T321-V321</f>
        <v/>
      </c>
      <c r="Y321" s="30">
        <f>O321*Parameters!$B$10/60*Parameters!$B$11+Q321*O321+P321</f>
        <v/>
      </c>
      <c r="Z321" s="34">
        <f>IF(U321="transition","→ Tier 3 (Galactic Arm)",IF(U321="MG","Moving Group — pocket drifts together",IF(U321="OC","Open Cluster acquired",IF(U321="PV","Peculiar Velocity — passive multiplier active",IF(U321="BiP","Binary Partner — pair bond formed",IF(AND(AU321=1,N321=0,AT321&lt;&gt;1),"Cohesion ready (waiting on completionists)","")))))) </f>
        <v/>
      </c>
      <c r="AA321" s="27">
        <f>(IF(E321=0,0,(Upgrades!$G$13+E321*Upgrades!$H$13)*POWER(Upgrades!$I$13,E321)))*(IF(Upgrades!$T$14="Stellar Kinematics",POWER(Upgrades!$U$14,F321),1)*IF(Upgrades!$T$15="Stellar Kinematics",POWER(Upgrades!$U$15,G321),1)*IF(Upgrades!$T$16="Stellar Kinematics",POWER(Upgrades!$U$16,H321),1)*IF(Upgrades!$T$17="Stellar Kinematics",POWER(Upgrades!$U$17,I321),1)*IF(Upgrades!$T$18="Stellar Kinematics",POWER(Upgrades!$U$18,J321),1)*IF(Upgrades!$T$19="Stellar Kinematics",POWER(Upgrades!$U$19,K321),1)*IF(Upgrades!$T$20="Stellar Kinematics",POWER(Upgrades!$U$20,L321),1)*IF(Upgrades!$T$21="Stellar Kinematics",POWER(Upgrades!$U$21,M321),1))*POWER(Upgrades!$P$13,E321)*POWER(Upgrades!$P$14,F321)*POWER(Upgrades!$P$15,G321)*POWER(Upgrades!$P$16,H321)*POWER(Upgrades!$P$17,I321)*POWER(Upgrades!$P$18,J321)*POWER(Upgrades!$P$19,K321)*POWER(Upgrades!$P$20,L321)*POWER(Upgrades!$P$21,M321)*$F$6*60</f>
        <v/>
      </c>
      <c r="AB321" s="27">
        <f>(IF(F321=0,0,(Upgrades!$G$14+F321*Upgrades!$H$14)*POWER(Upgrades!$I$14,F321)))*(IF(Upgrades!$T$13="Local Bubble",POWER(Upgrades!$U$13,E321),1)*IF(Upgrades!$T$15="Local Bubble",POWER(Upgrades!$U$15,G321),1)*IF(Upgrades!$T$16="Local Bubble",POWER(Upgrades!$U$16,H321),1)*IF(Upgrades!$T$17="Local Bubble",POWER(Upgrades!$U$17,I321),1)*IF(Upgrades!$T$18="Local Bubble",POWER(Upgrades!$U$18,J321),1)*IF(Upgrades!$T$19="Local Bubble",POWER(Upgrades!$U$19,K321),1)*IF(Upgrades!$T$20="Local Bubble",POWER(Upgrades!$U$20,L321),1)*IF(Upgrades!$T$21="Local Bubble",POWER(Upgrades!$U$21,M321),1))*POWER(Upgrades!$P$13,E321)*POWER(Upgrades!$P$14,F321)*POWER(Upgrades!$P$15,G321)*POWER(Upgrades!$P$16,H321)*POWER(Upgrades!$P$17,I321)*POWER(Upgrades!$P$18,J321)*POWER(Upgrades!$P$19,K321)*POWER(Upgrades!$P$20,L321)*POWER(Upgrades!$P$21,M321)*$F$6*60</f>
        <v/>
      </c>
      <c r="AC321" s="27">
        <f>(IF(G321=0,0,(Upgrades!$J$15+G321*Upgrades!$K$15)*POWER(Upgrades!$L$15,G321)))*(IF(Upgrades!$T$13="Microlensing",POWER(Upgrades!$U$13,E321),1)*IF(Upgrades!$T$14="Microlensing",POWER(Upgrades!$U$14,F321),1)*IF(Upgrades!$T$16="Microlensing",POWER(Upgrades!$U$16,H321),1)*IF(Upgrades!$T$17="Microlensing",POWER(Upgrades!$U$17,I321),1)*IF(Upgrades!$T$18="Microlensing",POWER(Upgrades!$U$18,J321),1)*IF(Upgrades!$T$19="Microlensing",POWER(Upgrades!$U$19,K321),1)*IF(Upgrades!$T$20="Microlensing",POWER(Upgrades!$U$20,L321),1)*IF(Upgrades!$T$21="Microlensing",POWER(Upgrades!$U$21,M321),1))*POWER(Upgrades!$Q$13,E321)*POWER(Upgrades!$Q$14,F321)*POWER(Upgrades!$Q$15,G321)*POWER(Upgrades!$Q$16,H321)*POWER(Upgrades!$Q$17,I321)*POWER(Upgrades!$Q$18,J321)*POWER(Upgrades!$Q$19,K321)*POWER(Upgrades!$Q$20,L321)*POWER(Upgrades!$Q$21,M321)*$G$6*(Parameters!$B$10*Parameters!$B$11+Q321*60)</f>
        <v/>
      </c>
      <c r="AD321" s="27">
        <f>(IF(H321=0,0,(Upgrades!$M$16+H321*Upgrades!$N$16)*POWER(Upgrades!$O$16,H321)))*(IF(Upgrades!$T$13="Roche Lobe Overflow",POWER(Upgrades!$U$13,E321),1)*IF(Upgrades!$T$14="Roche Lobe Overflow",POWER(Upgrades!$U$14,F321),1)*IF(Upgrades!$T$15="Roche Lobe Overflow",POWER(Upgrades!$U$15,G321),1)*IF(Upgrades!$T$17="Roche Lobe Overflow",POWER(Upgrades!$U$17,I321),1)*IF(Upgrades!$T$18="Roche Lobe Overflow",POWER(Upgrades!$U$18,J321),1)*IF(Upgrades!$T$19="Roche Lobe Overflow",POWER(Upgrades!$U$19,K321),1)*IF(Upgrades!$T$20="Roche Lobe Overflow",POWER(Upgrades!$U$20,L321),1)*IF(Upgrades!$T$21="Roche Lobe Overflow",POWER(Upgrades!$U$21,M321),1))*POWER(Upgrades!$R$13,E321)*POWER(Upgrades!$R$14,F321)*POWER(Upgrades!$R$15,G321)*POWER(Upgrades!$R$16,H321)*POWER(Upgrades!$R$17,I321)*POWER(Upgrades!$R$18,J321)*POWER(Upgrades!$R$19,K321)*POWER(Upgrades!$R$20,L321)*POWER(Upgrades!$R$21,M321)*$H$6*O321*60</f>
        <v/>
      </c>
      <c r="AE321" s="27">
        <f>(IF(I321=0,0,(Upgrades!$G$17+I321*Upgrades!$H$17)*POWER(Upgrades!$I$17,I321)))*(IF(Upgrades!$T$13="Brown Dwarf",POWER(Upgrades!$U$13,E321),1)*IF(Upgrades!$T$14="Brown Dwarf",POWER(Upgrades!$U$14,F321),1)*IF(Upgrades!$T$15="Brown Dwarf",POWER(Upgrades!$U$15,G321),1)*IF(Upgrades!$T$16="Brown Dwarf",POWER(Upgrades!$U$16,H321),1)*IF(Upgrades!$T$18="Brown Dwarf",POWER(Upgrades!$U$18,J321),1)*IF(Upgrades!$T$19="Brown Dwarf",POWER(Upgrades!$U$19,K321),1)*IF(Upgrades!$T$20="Brown Dwarf",POWER(Upgrades!$U$20,L321),1)*IF(Upgrades!$T$21="Brown Dwarf",POWER(Upgrades!$U$21,M321),1))*POWER(Upgrades!$P$13,E321)*POWER(Upgrades!$P$14,F321)*POWER(Upgrades!$P$15,G321)*POWER(Upgrades!$P$16,H321)*POWER(Upgrades!$P$17,I321)*POWER(Upgrades!$P$18,J321)*POWER(Upgrades!$P$19,K321)*POWER(Upgrades!$P$20,L321)*POWER(Upgrades!$P$21,M321)*$F$6*60</f>
        <v/>
      </c>
      <c r="AF321" s="27" t="n">
        <v>0</v>
      </c>
      <c r="AG321" s="27" t="n">
        <v>0</v>
      </c>
      <c r="AH321" s="27" t="n">
        <v>0</v>
      </c>
      <c r="AI321" s="27">
        <f>(IF(M321=0,0,(Upgrades!$G$21+M321*Upgrades!$H$21)*POWER(Upgrades!$I$21,M321)))*(IF(Upgrades!$T$13="Moving Group",POWER(Upgrades!$U$13,E321),1)*IF(Upgrades!$T$14="Moving Group",POWER(Upgrades!$U$14,F321),1)*IF(Upgrades!$T$15="Moving Group",POWER(Upgrades!$U$15,G321),1)*IF(Upgrades!$T$16="Moving Group",POWER(Upgrades!$U$16,H321),1)*IF(Upgrades!$T$17="Moving Group",POWER(Upgrades!$U$17,I321),1)*IF(Upgrades!$T$18="Moving Group",POWER(Upgrades!$U$18,J321),1)*IF(Upgrades!$T$19="Moving Group",POWER(Upgrades!$U$19,K321),1)*IF(Upgrades!$T$20="Moving Group",POWER(Upgrades!$U$20,L321),1))*POWER(Upgrades!$P$13,E321)*POWER(Upgrades!$P$14,F321)*POWER(Upgrades!$P$15,G321)*POWER(Upgrades!$P$16,H321)*POWER(Upgrades!$P$17,I321)*POWER(Upgrades!$P$18,J321)*POWER(Upgrades!$P$19,K321)*POWER(Upgrades!$P$20,L321)*POWER(Upgrades!$P$21,M321)*$F$6*60</f>
        <v/>
      </c>
      <c r="AJ321" s="27">
        <f>$C$6*60</f>
        <v/>
      </c>
      <c r="AK321" s="22">
        <f>IF(E321&gt;=Upgrades!$E$13,"",Upgrades!$C$13*POWER(Upgrades!$D$13,E321))</f>
        <v/>
      </c>
      <c r="AL321" s="22">
        <f>IF(F321&gt;=Upgrades!$E$14,"",Upgrades!$C$14*POWER(Upgrades!$D$14,F321))</f>
        <v/>
      </c>
      <c r="AM321" s="22">
        <f>IF(G321&gt;=Upgrades!$E$15,"",Upgrades!$C$15*POWER(Upgrades!$D$15,G321))</f>
        <v/>
      </c>
      <c r="AN321" s="22">
        <f>IF(H321&gt;=Upgrades!$E$16,"",Upgrades!$C$16*POWER(Upgrades!$D$16,H321))</f>
        <v/>
      </c>
      <c r="AO321" s="22">
        <f>IF(I321&gt;=Upgrades!$E$17,"",Upgrades!$C$17*POWER(Upgrades!$D$17,I321))</f>
        <v/>
      </c>
      <c r="AP321" s="22">
        <f>IF(J321&gt;=Upgrades!$E$18,"",Upgrades!$C$18*POWER(Upgrades!$D$18,J321))</f>
        <v/>
      </c>
      <c r="AQ321" s="22">
        <f>IF(K321&gt;=Upgrades!$E$19,"",Upgrades!$C$19*POWER(Upgrades!$D$19,K321))</f>
        <v/>
      </c>
      <c r="AR321" s="22">
        <f>IF(L321&gt;=Upgrades!$E$20,"",Upgrades!$C$20*POWER(Upgrades!$D$20,L321))</f>
        <v/>
      </c>
      <c r="AS321" s="22">
        <f>IF(M321&gt;=Upgrades!$E$21,"",Upgrades!$C$21*POWER(Upgrades!$D$21,M321))</f>
        <v/>
      </c>
      <c r="AT321" s="26">
        <f>IF(AND(D321&gt;=Parameters!$B$18*Parameters!$B$19,(I321&gt;=Upgrades!$E$17)*(M321&gt;=Upgrades!$E$21)=1,N321=0),1,"")</f>
        <v/>
      </c>
      <c r="AU321" s="26">
        <f>IF(AND(D321&gt;=Parameters!$B$18*Parameters!$B$19,N321=0),1,"")</f>
        <v/>
      </c>
      <c r="AV321" s="22">
        <f>MIN(IF(ISNUMBER(AP321),AP321,9E15),IF(ISNUMBER(AQ321),AQ321,9E15),IF(ISNUMBER(AR321),AR321,9E15),IF(ISNUMBER(AS321),AS321,9E15))</f>
        <v/>
      </c>
      <c r="AW321" s="22">
        <f>MIN(IF(ISNUMBER(AK321),AK321,9E15),IF(ISNUMBER(AL321),AL321,9E15),IF(ISNUMBER(AM321),AM321,9E15),IF(ISNUMBER(AN321),AN321,9E15),IF(ISNUMBER(AO321),AO321,9E15))</f>
        <v/>
      </c>
      <c r="AX321" s="29">
        <f>IF(BD321&gt;Parameters!$B$21*(MAX(IF(AND(NOT(AND(AU321=1,AT321&lt;&gt;1)),ISNUMBER(AK321),AK321&lt;=(C321+T321)),AY321,0),IF(AND(NOT(AND(AU321=1,AT321&lt;&gt;1)),ISNUMBER(AL321),AL321&lt;=(C321+T321)),AZ321,0),IF(AND(NOT(AND(AU321=1,AT321&lt;&gt;1)),ISNUMBER(AM321),AM321&lt;=(C321+T321)),BA321,0),IF(AND(NOT(AND(AU321=1,AT321&lt;&gt;1)),ISNUMBER(AN321),AN321&lt;=(C321+T321)),BB321,0),IF(AND(ISNUMBER(AO321),AO321&lt;=(C321+T321)),BC321,0))),TRUE,FALSE)</f>
        <v/>
      </c>
      <c r="AY321" s="32">
        <f>IFERROR(Upgrades!$H$13*(POWER(Upgrades!$P$13,E321)*POWER(Upgrades!$P$14,F321)*POWER(Upgrades!$P$15,G321)*POWER(Upgrades!$P$16,H321)*POWER(Upgrades!$P$17,I321)*POWER(Upgrades!$P$18,J321)*POWER(Upgrades!$P$19,K321)*POWER(Upgrades!$P$20,L321)*POWER(Upgrades!$P$21,M321))*(IF(Upgrades!$T$14="Stellar Kinematics",POWER(Upgrades!$U$14,F321),1)*IF(Upgrades!$T$15="Stellar Kinematics",POWER(Upgrades!$U$15,G321),1)*IF(Upgrades!$T$16="Stellar Kinematics",POWER(Upgrades!$U$16,H321),1)*IF(Upgrades!$T$17="Stellar Kinematics",POWER(Upgrades!$U$17,I321),1)*IF(Upgrades!$T$18="Stellar Kinematics",POWER(Upgrades!$U$18,J321),1)*IF(Upgrades!$T$19="Stellar Kinematics",POWER(Upgrades!$U$19,K321),1)*IF(Upgrades!$T$20="Stellar Kinematics",POWER(Upgrades!$U$20,L321),1)*IF(Upgrades!$T$21="Stellar Kinematics",POWER(Upgrades!$U$21,M321),1))*$F$6/AK321,0)</f>
        <v/>
      </c>
      <c r="AZ321" s="32">
        <f>IFERROR(Upgrades!$H$14*(POWER(Upgrades!$P$13,E321)*POWER(Upgrades!$P$14,F321)*POWER(Upgrades!$P$15,G321)*POWER(Upgrades!$P$16,H321)*POWER(Upgrades!$P$17,I321)*POWER(Upgrades!$P$18,J321)*POWER(Upgrades!$P$19,K321)*POWER(Upgrades!$P$20,L321)*POWER(Upgrades!$P$21,M321))*(IF(Upgrades!$T$13="Local Bubble",POWER(Upgrades!$U$13,E321),1)*IF(Upgrades!$T$15="Local Bubble",POWER(Upgrades!$U$15,G321),1)*IF(Upgrades!$T$16="Local Bubble",POWER(Upgrades!$U$16,H321),1)*IF(Upgrades!$T$17="Local Bubble",POWER(Upgrades!$U$17,I321),1)*IF(Upgrades!$T$18="Local Bubble",POWER(Upgrades!$U$18,J321),1)*IF(Upgrades!$T$19="Local Bubble",POWER(Upgrades!$U$19,K321),1)*IF(Upgrades!$T$20="Local Bubble",POWER(Upgrades!$U$20,L321),1)*IF(Upgrades!$T$21="Local Bubble",POWER(Upgrades!$U$21,M321),1))*$F$6/AL321,0)</f>
        <v/>
      </c>
      <c r="BA321" s="32">
        <f>IFERROR(Upgrades!$K$15*(POWER(Upgrades!$Q$13,E321)*POWER(Upgrades!$Q$14,F321)*POWER(Upgrades!$Q$15,G321)*POWER(Upgrades!$Q$16,H321)*POWER(Upgrades!$Q$17,I321)*POWER(Upgrades!$Q$18,J321)*POWER(Upgrades!$Q$19,K321)*POWER(Upgrades!$Q$20,L321)*POWER(Upgrades!$Q$21,M321))*(IF(Upgrades!$T$13="Microlensing",POWER(Upgrades!$U$13,E321),1)*IF(Upgrades!$T$14="Microlensing",POWER(Upgrades!$U$14,F321),1)*IF(Upgrades!$T$16="Microlensing",POWER(Upgrades!$U$16,H321),1)*IF(Upgrades!$T$17="Microlensing",POWER(Upgrades!$U$17,I321),1)*IF(Upgrades!$T$18="Microlensing",POWER(Upgrades!$U$18,J321),1)*IF(Upgrades!$T$19="Microlensing",POWER(Upgrades!$U$19,K321),1)*IF(Upgrades!$T$20="Microlensing",POWER(Upgrades!$U$20,L321),1)*IF(Upgrades!$T$21="Microlensing",POWER(Upgrades!$U$21,M321),1))*$G$6*(Parameters!$B$10/60*Parameters!$B$11+Q321)/AM321,0)</f>
        <v/>
      </c>
      <c r="BB321" s="32">
        <f>IFERROR((Upgrades!$N$16*(POWER(Upgrades!$R$13,E321)*POWER(Upgrades!$R$14,F321)*POWER(Upgrades!$R$15,G321)*POWER(Upgrades!$R$16,H321)*POWER(Upgrades!$R$17,I321)*POWER(Upgrades!$R$18,J321)*POWER(Upgrades!$R$19,K321)*POWER(Upgrades!$R$20,L321)*POWER(Upgrades!$R$21,M321))*(IF(Upgrades!$T$13="Roche Lobe Overflow",POWER(Upgrades!$U$13,E321),1)*IF(Upgrades!$T$14="Roche Lobe Overflow",POWER(Upgrades!$U$14,F321),1)*IF(Upgrades!$T$15="Roche Lobe Overflow",POWER(Upgrades!$U$15,G321),1)*IF(Upgrades!$T$17="Roche Lobe Overflow",POWER(Upgrades!$U$17,I321),1)*IF(Upgrades!$T$18="Roche Lobe Overflow",POWER(Upgrades!$U$18,J321),1)*IF(Upgrades!$T$19="Roche Lobe Overflow",POWER(Upgrades!$U$19,K321),1)*IF(Upgrades!$T$20="Roche Lobe Overflow",POWER(Upgrades!$U$20,L321),1)*IF(Upgrades!$T$21="Roche Lobe Overflow",POWER(Upgrades!$U$21,M321),1))*$H$6*O321+((IF(F321=0,0,(Upgrades!$G$14+F321*Upgrades!$H$14)*POWER(Upgrades!$I$14,F321)))*(IF(Upgrades!$T$13="Local Bubble",POWER(Upgrades!$U$13,E321),1)*IF(Upgrades!$T$15="Local Bubble",POWER(Upgrades!$U$15,G321),1)*IF(Upgrades!$T$16="Local Bubble",POWER(Upgrades!$U$16,H321),1)*IF(Upgrades!$T$17="Local Bubble",POWER(Upgrades!$U$17,I321),1)*IF(Upgrades!$T$18="Local Bubble",POWER(Upgrades!$U$18,J321),1)*IF(Upgrades!$T$19="Local Bubble",POWER(Upgrades!$U$19,K321),1)*IF(Upgrades!$T$20="Local Bubble",POWER(Upgrades!$U$20,L321),1)*IF(Upgrades!$T$21="Local Bubble",POWER(Upgrades!$U$21,M321),1))*POWER(Upgrades!$P$13,E321)*POWER(Upgrades!$P$14,F321)*POWER(Upgrades!$P$15,G321)*POWER(Upgrades!$P$16,H321)*POWER(Upgrades!$P$17,I321)*POWER(Upgrades!$P$18,J321)*POWER(Upgrades!$P$19,K321)*POWER(Upgrades!$P$20,L321)*POWER(Upgrades!$P$21,M321)*$F$6)*0.05)/AN321,0)</f>
        <v/>
      </c>
      <c r="BC321" s="32">
        <f>IFERROR((Upgrades!$H$17*(POWER(Upgrades!$P$13,E321)*POWER(Upgrades!$P$14,F321)*POWER(Upgrades!$P$15,G321)*POWER(Upgrades!$P$16,H321)*POWER(Upgrades!$P$17,I321)*POWER(Upgrades!$P$18,J321)*POWER(Upgrades!$P$19,K321)*POWER(Upgrades!$P$20,L321)*POWER(Upgrades!$P$21,M321))*(IF(Upgrades!$T$13="Brown Dwarf",POWER(Upgrades!$U$13,E321),1)*IF(Upgrades!$T$14="Brown Dwarf",POWER(Upgrades!$U$14,F321),1)*IF(Upgrades!$T$15="Brown Dwarf",POWER(Upgrades!$U$15,G321),1)*IF(Upgrades!$T$16="Brown Dwarf",POWER(Upgrades!$U$16,H321),1)*IF(Upgrades!$T$18="Brown Dwarf",POWER(Upgrades!$U$18,J321),1)*IF(Upgrades!$T$19="Brown Dwarf",POWER(Upgrades!$U$19,K321),1)*IF(Upgrades!$T$20="Brown Dwarf",POWER(Upgrades!$U$20,L321),1)*IF(Upgrades!$T$21="Brown Dwarf",POWER(Upgrades!$U$21,M321),1))*$F$6+(((IF(H321=0,0,(Upgrades!$M$16+H321*Upgrades!$N$16)*POWER(Upgrades!$O$16,H321)))*(IF(Upgrades!$T$13="Roche Lobe Overflow",POWER(Upgrades!$U$13,E321),1)*IF(Upgrades!$T$14="Roche Lobe Overflow",POWER(Upgrades!$U$14,F321),1)*IF(Upgrades!$T$15="Roche Lobe Overflow",POWER(Upgrades!$U$15,G321),1)*IF(Upgrades!$T$17="Roche Lobe Overflow",POWER(Upgrades!$U$17,I321),1)*IF(Upgrades!$T$18="Roche Lobe Overflow",POWER(Upgrades!$U$18,J321),1)*IF(Upgrades!$T$19="Roche Lobe Overflow",POWER(Upgrades!$U$19,K321),1)*IF(Upgrades!$T$20="Roche Lobe Overflow",POWER(Upgrades!$U$20,L321),1)*IF(Upgrades!$T$21="Roche Lobe Overflow",POWER(Upgrades!$U$21,M321),1))*POWER(Upgrades!$R$13,E321)*POWER(Upgrades!$R$14,F321)*POWER(Upgrades!$R$15,G321)*POWER(Upgrades!$R$16,H321)*POWER(Upgrades!$R$17,I321)*POWER(Upgrades!$R$18,J321)*POWER(Upgrades!$R$19,K321)*POWER(Upgrades!$R$20,L321)*POWER(Upgrades!$R$21,M321)*$H$6)*O321)*0.10)/AO321,0)</f>
        <v/>
      </c>
      <c r="BD321" s="32">
        <f>MAX(IF(J321&gt;0,0,IFERROR(0.5*((IF(G321=0,0,(Upgrades!$J$15+G321*Upgrades!$K$15)*POWER(Upgrades!$L$15,G321)))*(IF(Upgrades!$T$13="Microlensing",POWER(Upgrades!$U$13,E321),1)*IF(Upgrades!$T$14="Microlensing",POWER(Upgrades!$U$14,F321),1)*IF(Upgrades!$T$16="Microlensing",POWER(Upgrades!$U$16,H321),1)*IF(Upgrades!$T$17="Microlensing",POWER(Upgrades!$U$17,I321),1)*IF(Upgrades!$T$18="Microlensing",POWER(Upgrades!$U$18,J321),1)*IF(Upgrades!$T$19="Microlensing",POWER(Upgrades!$U$19,K321),1)*IF(Upgrades!$T$20="Microlensing",POWER(Upgrades!$U$20,L321),1)*IF(Upgrades!$T$21="Microlensing",POWER(Upgrades!$U$21,M321),1))*(POWER(Upgrades!$Q$13,E321)*POWER(Upgrades!$Q$14,F321)*POWER(Upgrades!$Q$15,G321)*POWER(Upgrades!$Q$16,H321)*POWER(Upgrades!$Q$17,I321)*POWER(Upgrades!$Q$18,J321)*POWER(Upgrades!$Q$19,K321)*POWER(Upgrades!$Q$20,L321)*POWER(Upgrades!$Q$21,M321))*$G$6*(Parameters!$B$10/60*Parameters!$B$11+Q321))/Upgrades!$C$18,0)),IF(K321&gt;0,0,IFERROR(0.30*P321/Upgrades!$C$19,0)),IF(L321&gt;0,0,IFERROR(0.0001/Upgrades!$C$20,0)),IF(M321&gt;0,0,IFERROR((6.0*(POWER(Upgrades!$P$13,E321)*POWER(Upgrades!$P$14,F321)*POWER(Upgrades!$P$15,G321)*POWER(Upgrades!$P$16,H321)*POWER(Upgrades!$P$17,I321)*POWER(Upgrades!$P$18,J321)*POWER(Upgrades!$P$19,K321)*POWER(Upgrades!$P$20,L321)*POWER(Upgrades!$P$21,M321))*$F$6+0.20*O321*(Parameters!$B$10/60*Parameters!$B$11+Q321))/Upgrades!$C$21,0)),IF(AND(ISNUMBER(AK321),AK321&gt;(C321+T321)),AY321,0),IF(AND(ISNUMBER(AL321),AL321&gt;(C321+T321)),AZ321,0),IF(AND(ISNUMBER(AM321),AM321&gt;(C321+T321)),BA321,0),IF(AND(ISNUMBER(AN321),AN321&gt;(C321+T321)),BB321,0),IF(AND(ISNUMBER(AO321),AO321&gt;(C321+T321)),BC321,0))</f>
        <v/>
      </c>
      <c r="BE321" s="29">
        <f>IF(AT321=1,"transition",IF(MIN(IF(AND(J321=0,ISNUMBER(AP321),AP321&lt;=(C321+T321)),AP321,9E15),IF(AND(K321=0,ISNUMBER(AQ321),AQ321&lt;=(C321+T321)),AQ321,9E15),IF(AND(L321=0,ISNUMBER(AR321),AR321&lt;=(C321+T321)),AR321,9E15),IF(AND(M321=0,ISNUMBER(AS321),AS321&lt;=(C321+T321)),AS321,9E15))&lt;9E15,IF(AND(AND(J321=0,ISNUMBER(AP321),AP321&lt;=(C321+T321)),AP321=MIN(IF(AND(J321=0,ISNUMBER(AP321),AP321&lt;=(C321+T321)),AP321,9E15),IF(AND(K321=0,ISNUMBER(AQ321),AQ321&lt;=(C321+T321)),AQ321,9E15),IF(AND(L321=0,ISNUMBER(AR321),AR321&lt;=(C321+T321)),AR321,9E15),IF(AND(M321=0,ISNUMBER(AS321),AS321&lt;=(C321+T321)),AS321,9E15))),"BiP",IF(AND(AND(K321=0,ISNUMBER(AQ321),AQ321&lt;=(C321+T321)),AQ321=MIN(IF(AND(J321=0,ISNUMBER(AP321),AP321&lt;=(C321+T321)),AP321,9E15),IF(AND(K321=0,ISNUMBER(AQ321),AQ321&lt;=(C321+T321)),AQ321,9E15),IF(AND(L321=0,ISNUMBER(AR321),AR321&lt;=(C321+T321)),AR321,9E15),IF(AND(M321=0,ISNUMBER(AS321),AS321&lt;=(C321+T321)),AS321,9E15))),"PV",IF(AND(AND(L321=0,ISNUMBER(AR321),AR321&lt;=(C321+T321)),AR321=MIN(IF(AND(J321=0,ISNUMBER(AP321),AP321&lt;=(C321+T321)),AP321,9E15),IF(AND(K321=0,ISNUMBER(AQ321),AQ321&lt;=(C321+T321)),AQ321,9E15),IF(AND(L321=0,ISNUMBER(AR321),AR321&lt;=(C321+T321)),AR321,9E15),IF(AND(M321=0,ISNUMBER(AS321),AS321&lt;=(C321+T321)),AS321,9E15))),"OC","MG"))),IF(AX321=TRUE,"",IF(MAX(IF(AND(NOT(AND(AU321=1,AT321&lt;&gt;1)),ISNUMBER(AK321),AK321&lt;=(C321+T321)),AY321,0),IF(AND(NOT(AND(AU321=1,AT321&lt;&gt;1)),ISNUMBER(AL321),AL321&lt;=(C321+T321)),AZ321,0),IF(AND(NOT(AND(AU321=1,AT321&lt;&gt;1)),ISNUMBER(AM321),AM321&lt;=(C321+T321)),BA321,0),IF(AND(NOT(AND(AU321=1,AT321&lt;&gt;1)),ISNUMBER(AN321),AN321&lt;=(C321+T321)),BB321,0),IF(AND(ISNUMBER(AO321),AO321&lt;=(C321+T321)),BC321,0))&lt;=0,"",IF(AND(IF(AND(NOT(AND(AU321=1,AT321&lt;&gt;1)),ISNUMBER(AK321),AK321&lt;=(C321+T321)),AY321,0)&gt;0,IF(AND(NOT(AND(AU321=1,AT321&lt;&gt;1)),ISNUMBER(AK321),AK321&lt;=(C321+T321)),AY321,0)=MAX(IF(AND(NOT(AND(AU321=1,AT321&lt;&gt;1)),ISNUMBER(AK321),AK321&lt;=(C321+T321)),AY321,0),IF(AND(NOT(AND(AU321=1,AT321&lt;&gt;1)),ISNUMBER(AL321),AL321&lt;=(C321+T321)),AZ321,0),IF(AND(NOT(AND(AU321=1,AT321&lt;&gt;1)),ISNUMBER(AM321),AM321&lt;=(C321+T321)),BA321,0),IF(AND(NOT(AND(AU321=1,AT321&lt;&gt;1)),ISNUMBER(AN321),AN321&lt;=(C321+T321)),BB321,0),IF(AND(ISNUMBER(AO321),AO321&lt;=(C321+T321)),BC321,0))),"SK",IF(AND(IF(AND(NOT(AND(AU321=1,AT321&lt;&gt;1)),ISNUMBER(AL321),AL321&lt;=(C321+T321)),AZ321,0)&gt;0,IF(AND(NOT(AND(AU321=1,AT321&lt;&gt;1)),ISNUMBER(AL321),AL321&lt;=(C321+T321)),AZ321,0)=MAX(IF(AND(NOT(AND(AU321=1,AT321&lt;&gt;1)),ISNUMBER(AK321),AK321&lt;=(C321+T321)),AY321,0),IF(AND(NOT(AND(AU321=1,AT321&lt;&gt;1)),ISNUMBER(AL321),AL321&lt;=(C321+T321)),AZ321,0),IF(AND(NOT(AND(AU321=1,AT321&lt;&gt;1)),ISNUMBER(AM321),AM321&lt;=(C321+T321)),BA321,0),IF(AND(NOT(AND(AU321=1,AT321&lt;&gt;1)),ISNUMBER(AN321),AN321&lt;=(C321+T321)),BB321,0),IF(AND(ISNUMBER(AO321),AO321&lt;=(C321+T321)),BC321,0))),"LB",IF(AND(IF(AND(NOT(AND(AU321=1,AT321&lt;&gt;1)),ISNUMBER(AM321),AM321&lt;=(C321+T321)),BA321,0)&gt;0,IF(AND(NOT(AND(AU321=1,AT321&lt;&gt;1)),ISNUMBER(AM321),AM321&lt;=(C321+T321)),BA321,0)=MAX(IF(AND(NOT(AND(AU321=1,AT321&lt;&gt;1)),ISNUMBER(AK321),AK321&lt;=(C321+T321)),AY321,0),IF(AND(NOT(AND(AU321=1,AT321&lt;&gt;1)),ISNUMBER(AL321),AL321&lt;=(C321+T321)),AZ321,0),IF(AND(NOT(AND(AU321=1,AT321&lt;&gt;1)),ISNUMBER(AM321),AM321&lt;=(C321+T321)),BA321,0),IF(AND(NOT(AND(AU321=1,AT321&lt;&gt;1)),ISNUMBER(AN321),AN321&lt;=(C321+T321)),BB321,0),IF(AND(ISNUMBER(AO321),AO321&lt;=(C321+T321)),BC321,0))),"ML",IF(AND(IF(AND(NOT(AND(AU321=1,AT321&lt;&gt;1)),ISNUMBER(AN321),AN321&lt;=(C321+T321)),BB321,0)&gt;0,IF(AND(NOT(AND(AU321=1,AT321&lt;&gt;1)),ISNUMBER(AN321),AN321&lt;=(C321+T321)),BB321,0)=MAX(IF(AND(NOT(AND(AU321=1,AT321&lt;&gt;1)),ISNUMBER(AK321),AK321&lt;=(C321+T321)),AY321,0),IF(AND(NOT(AND(AU321=1,AT321&lt;&gt;1)),ISNUMBER(AL321),AL321&lt;=(C321+T321)),AZ321,0),IF(AND(NOT(AND(AU321=1,AT321&lt;&gt;1)),ISNUMBER(AM321),AM321&lt;=(C321+T321)),BA321,0),IF(AND(NOT(AND(AU321=1,AT321&lt;&gt;1)),ISNUMBER(AN321),AN321&lt;=(C321+T321)),BB321,0),IF(AND(ISNUMBER(AO321),AO321&lt;=(C321+T321)),BC321,0))),"RLO","BD"))))))))</f>
        <v/>
      </c>
    </row>
    <row r="322">
      <c r="A322" s="26" t="n">
        <v>311</v>
      </c>
      <c r="B322" s="27">
        <f>A322*10/60</f>
        <v/>
      </c>
      <c r="C322" s="22">
        <f>X321</f>
        <v/>
      </c>
      <c r="D322" s="27">
        <f>D321+W321</f>
        <v/>
      </c>
      <c r="E322" s="26">
        <f>E321+IF(U321="SK",1,0)</f>
        <v/>
      </c>
      <c r="F322" s="26">
        <f>F321+IF(U321="LB",1,0)</f>
        <v/>
      </c>
      <c r="G322" s="26">
        <f>G321+IF(U321="ML",1,0)</f>
        <v/>
      </c>
      <c r="H322" s="26">
        <f>H321+IF(U321="RLO",1,0)</f>
        <v/>
      </c>
      <c r="I322" s="26">
        <f>I321+IF(U321="BD",1,0)</f>
        <v/>
      </c>
      <c r="J322" s="26">
        <f>MAX(J321,IF(U321="BiP",1,0))</f>
        <v/>
      </c>
      <c r="K322" s="26">
        <f>MAX(K321,IF(U321="PV",1,0))</f>
        <v/>
      </c>
      <c r="L322" s="26">
        <f>MAX(L321,IF(U321="OC",1,0))</f>
        <v/>
      </c>
      <c r="M322" s="26">
        <f>MAX(M321,IF(U321="MG",1,0))</f>
        <v/>
      </c>
      <c r="N322" s="26">
        <f>MAX(N321,IF(U321="transition",1,0))</f>
        <v/>
      </c>
      <c r="O322" s="28">
        <f>(Parameters!$B$9+(IF(E322=0,0,(Upgrades!$J$13+E322*Upgrades!$K$13)*POWER(Upgrades!$L$13,E322)))*(IF(Upgrades!$T$14="Stellar Kinematics",POWER(Upgrades!$U$14,F322),1)*IF(Upgrades!$T$15="Stellar Kinematics",POWER(Upgrades!$U$15,G322),1)*IF(Upgrades!$T$16="Stellar Kinematics",POWER(Upgrades!$U$16,H322),1)*IF(Upgrades!$T$17="Stellar Kinematics",POWER(Upgrades!$U$17,I322),1)*IF(Upgrades!$T$18="Stellar Kinematics",POWER(Upgrades!$U$18,J322),1)*IF(Upgrades!$T$19="Stellar Kinematics",POWER(Upgrades!$U$19,K322),1)*IF(Upgrades!$T$20="Stellar Kinematics",POWER(Upgrades!$U$20,L322),1)*IF(Upgrades!$T$21="Stellar Kinematics",POWER(Upgrades!$U$21,M322),1))+(IF(F322=0,0,(Upgrades!$J$14+F322*Upgrades!$K$14)*POWER(Upgrades!$L$14,F322)))*(IF(Upgrades!$T$13="Local Bubble",POWER(Upgrades!$U$13,E322),1)*IF(Upgrades!$T$15="Local Bubble",POWER(Upgrades!$U$15,G322),1)*IF(Upgrades!$T$16="Local Bubble",POWER(Upgrades!$U$16,H322),1)*IF(Upgrades!$T$17="Local Bubble",POWER(Upgrades!$U$17,I322),1)*IF(Upgrades!$T$18="Local Bubble",POWER(Upgrades!$U$18,J322),1)*IF(Upgrades!$T$19="Local Bubble",POWER(Upgrades!$U$19,K322),1)*IF(Upgrades!$T$20="Local Bubble",POWER(Upgrades!$U$20,L322),1)*IF(Upgrades!$T$21="Local Bubble",POWER(Upgrades!$U$21,M322),1))+(IF(G322=0,0,(Upgrades!$J$15+G322*Upgrades!$K$15)*POWER(Upgrades!$L$15,G322)))*(IF(Upgrades!$T$13="Microlensing",POWER(Upgrades!$U$13,E322),1)*IF(Upgrades!$T$14="Microlensing",POWER(Upgrades!$U$14,F322),1)*IF(Upgrades!$T$16="Microlensing",POWER(Upgrades!$U$16,H322),1)*IF(Upgrades!$T$17="Microlensing",POWER(Upgrades!$U$17,I322),1)*IF(Upgrades!$T$18="Microlensing",POWER(Upgrades!$U$18,J322),1)*IF(Upgrades!$T$19="Microlensing",POWER(Upgrades!$U$19,K322),1)*IF(Upgrades!$T$20="Microlensing",POWER(Upgrades!$U$20,L322),1)*IF(Upgrades!$T$21="Microlensing",POWER(Upgrades!$U$21,M322),1))+(IF(H322=0,0,(Upgrades!$J$16+H322*Upgrades!$K$16)*POWER(Upgrades!$L$16,H322)))*(IF(Upgrades!$T$13="Roche Lobe Overflow",POWER(Upgrades!$U$13,E322),1)*IF(Upgrades!$T$14="Roche Lobe Overflow",POWER(Upgrades!$U$14,F322),1)*IF(Upgrades!$T$15="Roche Lobe Overflow",POWER(Upgrades!$U$15,G322),1)*IF(Upgrades!$T$17="Roche Lobe Overflow",POWER(Upgrades!$U$17,I322),1)*IF(Upgrades!$T$18="Roche Lobe Overflow",POWER(Upgrades!$U$18,J322),1)*IF(Upgrades!$T$19="Roche Lobe Overflow",POWER(Upgrades!$U$19,K322),1)*IF(Upgrades!$T$20="Roche Lobe Overflow",POWER(Upgrades!$U$20,L322),1)*IF(Upgrades!$T$21="Roche Lobe Overflow",POWER(Upgrades!$U$21,M322),1))+(IF(I322=0,0,(Upgrades!$J$17+I322*Upgrades!$K$17)*POWER(Upgrades!$L$17,I322)))*(IF(Upgrades!$T$13="Brown Dwarf",POWER(Upgrades!$U$13,E322),1)*IF(Upgrades!$T$14="Brown Dwarf",POWER(Upgrades!$U$14,F322),1)*IF(Upgrades!$T$15="Brown Dwarf",POWER(Upgrades!$U$15,G322),1)*IF(Upgrades!$T$16="Brown Dwarf",POWER(Upgrades!$U$16,H322),1)*IF(Upgrades!$T$18="Brown Dwarf",POWER(Upgrades!$U$18,J322),1)*IF(Upgrades!$T$19="Brown Dwarf",POWER(Upgrades!$U$19,K322),1)*IF(Upgrades!$T$20="Brown Dwarf",POWER(Upgrades!$U$20,L322),1)*IF(Upgrades!$T$21="Brown Dwarf",POWER(Upgrades!$U$21,M322),1))+(IF(J322=0,0,(Upgrades!$J$18+J322*Upgrades!$K$18)*POWER(Upgrades!$L$18,J322)))*(IF(Upgrades!$T$13="Binary Partner",POWER(Upgrades!$U$13,E322),1)*IF(Upgrades!$T$14="Binary Partner",POWER(Upgrades!$U$14,F322),1)*IF(Upgrades!$T$15="Binary Partner",POWER(Upgrades!$U$15,G322),1)*IF(Upgrades!$T$16="Binary Partner",POWER(Upgrades!$U$16,H322),1)*IF(Upgrades!$T$17="Binary Partner",POWER(Upgrades!$U$17,I322),1)*IF(Upgrades!$T$19="Binary Partner",POWER(Upgrades!$U$19,K322),1)*IF(Upgrades!$T$20="Binary Partner",POWER(Upgrades!$U$20,L322),1)*IF(Upgrades!$T$21="Binary Partner",POWER(Upgrades!$U$21,M322),1))+(IF(K322=0,0,(Upgrades!$J$19+K322*Upgrades!$K$19)*POWER(Upgrades!$L$19,K322)))*(IF(Upgrades!$T$13="Peculiar Velocity",POWER(Upgrades!$U$13,E322),1)*IF(Upgrades!$T$14="Peculiar Velocity",POWER(Upgrades!$U$14,F322),1)*IF(Upgrades!$T$15="Peculiar Velocity",POWER(Upgrades!$U$15,G322),1)*IF(Upgrades!$T$16="Peculiar Velocity",POWER(Upgrades!$U$16,H322),1)*IF(Upgrades!$T$17="Peculiar Velocity",POWER(Upgrades!$U$17,I322),1)*IF(Upgrades!$T$18="Peculiar Velocity",POWER(Upgrades!$U$18,J322),1)*IF(Upgrades!$T$20="Peculiar Velocity",POWER(Upgrades!$U$20,L322),1)*IF(Upgrades!$T$21="Peculiar Velocity",POWER(Upgrades!$U$21,M322),1))+(IF(L322=0,0,(Upgrades!$J$20+L322*Upgrades!$K$20)*POWER(Upgrades!$L$20,L322)))*(IF(Upgrades!$T$13="Open Cluster",POWER(Upgrades!$U$13,E322),1)*IF(Upgrades!$T$14="Open Cluster",POWER(Upgrades!$U$14,F322),1)*IF(Upgrades!$T$15="Open Cluster",POWER(Upgrades!$U$15,G322),1)*IF(Upgrades!$T$16="Open Cluster",POWER(Upgrades!$U$16,H322),1)*IF(Upgrades!$T$17="Open Cluster",POWER(Upgrades!$U$17,I322),1)*IF(Upgrades!$T$18="Open Cluster",POWER(Upgrades!$U$18,J322),1)*IF(Upgrades!$T$19="Open Cluster",POWER(Upgrades!$U$19,K322),1)*IF(Upgrades!$T$21="Open Cluster",POWER(Upgrades!$U$21,M322),1))+(IF(M322=0,0,(Upgrades!$J$21+M322*Upgrades!$K$21)*POWER(Upgrades!$L$21,M322)))*(IF(Upgrades!$T$13="Moving Group",POWER(Upgrades!$U$13,E322),1)*IF(Upgrades!$T$14="Moving Group",POWER(Upgrades!$U$14,F322),1)*IF(Upgrades!$T$15="Moving Group",POWER(Upgrades!$U$15,G322),1)*IF(Upgrades!$T$16="Moving Group",POWER(Upgrades!$U$16,H322),1)*IF(Upgrades!$T$17="Moving Group",POWER(Upgrades!$U$17,I322),1)*IF(Upgrades!$T$18="Moving Group",POWER(Upgrades!$U$18,J322),1)*IF(Upgrades!$T$19="Moving Group",POWER(Upgrades!$U$19,K322),1)*IF(Upgrades!$T$20="Moving Group",POWER(Upgrades!$U$20,L322),1)))*POWER(Upgrades!$Q$13,E322)*POWER(Upgrades!$Q$14,F322)*POWER(Upgrades!$Q$15,G322)*POWER(Upgrades!$Q$16,H322)*POWER(Upgrades!$Q$17,I322)*POWER(Upgrades!$Q$18,J322)*POWER(Upgrades!$Q$19,K322)*POWER(Upgrades!$Q$20,L322)*POWER(Upgrades!$Q$21,M322)*$G$6+$D$6</f>
        <v/>
      </c>
      <c r="P322" s="28">
        <f>((IF(E322=0,0,(Upgrades!$G$13+E322*Upgrades!$H$13)*POWER(Upgrades!$I$13,E322)))*(IF(Upgrades!$T$14="Stellar Kinematics",POWER(Upgrades!$U$14,F322),1)*IF(Upgrades!$T$15="Stellar Kinematics",POWER(Upgrades!$U$15,G322),1)*IF(Upgrades!$T$16="Stellar Kinematics",POWER(Upgrades!$U$16,H322),1)*IF(Upgrades!$T$17="Stellar Kinematics",POWER(Upgrades!$U$17,I322),1)*IF(Upgrades!$T$18="Stellar Kinematics",POWER(Upgrades!$U$18,J322),1)*IF(Upgrades!$T$19="Stellar Kinematics",POWER(Upgrades!$U$19,K322),1)*IF(Upgrades!$T$20="Stellar Kinematics",POWER(Upgrades!$U$20,L322),1)*IF(Upgrades!$T$21="Stellar Kinematics",POWER(Upgrades!$U$21,M322),1))+(IF(F322=0,0,(Upgrades!$G$14+F322*Upgrades!$H$14)*POWER(Upgrades!$I$14,F322)))*(IF(Upgrades!$T$13="Local Bubble",POWER(Upgrades!$U$13,E322),1)*IF(Upgrades!$T$15="Local Bubble",POWER(Upgrades!$U$15,G322),1)*IF(Upgrades!$T$16="Local Bubble",POWER(Upgrades!$U$16,H322),1)*IF(Upgrades!$T$17="Local Bubble",POWER(Upgrades!$U$17,I322),1)*IF(Upgrades!$T$18="Local Bubble",POWER(Upgrades!$U$18,J322),1)*IF(Upgrades!$T$19="Local Bubble",POWER(Upgrades!$U$19,K322),1)*IF(Upgrades!$T$20="Local Bubble",POWER(Upgrades!$U$20,L322),1)*IF(Upgrades!$T$21="Local Bubble",POWER(Upgrades!$U$21,M322),1))+(IF(G322=0,0,(Upgrades!$G$15+G322*Upgrades!$H$15)*POWER(Upgrades!$I$15,G322)))*(IF(Upgrades!$T$13="Microlensing",POWER(Upgrades!$U$13,E322),1)*IF(Upgrades!$T$14="Microlensing",POWER(Upgrades!$U$14,F322),1)*IF(Upgrades!$T$16="Microlensing",POWER(Upgrades!$U$16,H322),1)*IF(Upgrades!$T$17="Microlensing",POWER(Upgrades!$U$17,I322),1)*IF(Upgrades!$T$18="Microlensing",POWER(Upgrades!$U$18,J322),1)*IF(Upgrades!$T$19="Microlensing",POWER(Upgrades!$U$19,K322),1)*IF(Upgrades!$T$20="Microlensing",POWER(Upgrades!$U$20,L322),1)*IF(Upgrades!$T$21="Microlensing",POWER(Upgrades!$U$21,M322),1))+(IF(H322=0,0,(Upgrades!$G$16+H322*Upgrades!$H$16)*POWER(Upgrades!$I$16,H322)))*(IF(Upgrades!$T$13="Roche Lobe Overflow",POWER(Upgrades!$U$13,E322),1)*IF(Upgrades!$T$14="Roche Lobe Overflow",POWER(Upgrades!$U$14,F322),1)*IF(Upgrades!$T$15="Roche Lobe Overflow",POWER(Upgrades!$U$15,G322),1)*IF(Upgrades!$T$17="Roche Lobe Overflow",POWER(Upgrades!$U$17,I322),1)*IF(Upgrades!$T$18="Roche Lobe Overflow",POWER(Upgrades!$U$18,J322),1)*IF(Upgrades!$T$19="Roche Lobe Overflow",POWER(Upgrades!$U$19,K322),1)*IF(Upgrades!$T$20="Roche Lobe Overflow",POWER(Upgrades!$U$20,L322),1)*IF(Upgrades!$T$21="Roche Lobe Overflow",POWER(Upgrades!$U$21,M322),1))+(IF(I322=0,0,(Upgrades!$G$17+I322*Upgrades!$H$17)*POWER(Upgrades!$I$17,I322)))*(IF(Upgrades!$T$13="Brown Dwarf",POWER(Upgrades!$U$13,E322),1)*IF(Upgrades!$T$14="Brown Dwarf",POWER(Upgrades!$U$14,F322),1)*IF(Upgrades!$T$15="Brown Dwarf",POWER(Upgrades!$U$15,G322),1)*IF(Upgrades!$T$16="Brown Dwarf",POWER(Upgrades!$U$16,H322),1)*IF(Upgrades!$T$18="Brown Dwarf",POWER(Upgrades!$U$18,J322),1)*IF(Upgrades!$T$19="Brown Dwarf",POWER(Upgrades!$U$19,K322),1)*IF(Upgrades!$T$20="Brown Dwarf",POWER(Upgrades!$U$20,L322),1)*IF(Upgrades!$T$21="Brown Dwarf",POWER(Upgrades!$U$21,M322),1))+(IF(J322=0,0,(Upgrades!$G$18+J322*Upgrades!$H$18)*POWER(Upgrades!$I$18,J322)))*(IF(Upgrades!$T$13="Binary Partner",POWER(Upgrades!$U$13,E322),1)*IF(Upgrades!$T$14="Binary Partner",POWER(Upgrades!$U$14,F322),1)*IF(Upgrades!$T$15="Binary Partner",POWER(Upgrades!$U$15,G322),1)*IF(Upgrades!$T$16="Binary Partner",POWER(Upgrades!$U$16,H322),1)*IF(Upgrades!$T$17="Binary Partner",POWER(Upgrades!$U$17,I322),1)*IF(Upgrades!$T$19="Binary Partner",POWER(Upgrades!$U$19,K322),1)*IF(Upgrades!$T$20="Binary Partner",POWER(Upgrades!$U$20,L322),1)*IF(Upgrades!$T$21="Binary Partner",POWER(Upgrades!$U$21,M322),1))+(IF(K322=0,0,(Upgrades!$G$19+K322*Upgrades!$H$19)*POWER(Upgrades!$I$19,K322)))*(IF(Upgrades!$T$13="Peculiar Velocity",POWER(Upgrades!$U$13,E322),1)*IF(Upgrades!$T$14="Peculiar Velocity",POWER(Upgrades!$U$14,F322),1)*IF(Upgrades!$T$15="Peculiar Velocity",POWER(Upgrades!$U$15,G322),1)*IF(Upgrades!$T$16="Peculiar Velocity",POWER(Upgrades!$U$16,H322),1)*IF(Upgrades!$T$17="Peculiar Velocity",POWER(Upgrades!$U$17,I322),1)*IF(Upgrades!$T$18="Peculiar Velocity",POWER(Upgrades!$U$18,J322),1)*IF(Upgrades!$T$20="Peculiar Velocity",POWER(Upgrades!$U$20,L322),1)*IF(Upgrades!$T$21="Peculiar Velocity",POWER(Upgrades!$U$21,M322),1))+(IF(L322=0,0,(Upgrades!$G$20+L322*Upgrades!$H$20)*POWER(Upgrades!$I$20,L322)))*(IF(Upgrades!$T$13="Open Cluster",POWER(Upgrades!$U$13,E322),1)*IF(Upgrades!$T$14="Open Cluster",POWER(Upgrades!$U$14,F322),1)*IF(Upgrades!$T$15="Open Cluster",POWER(Upgrades!$U$15,G322),1)*IF(Upgrades!$T$16="Open Cluster",POWER(Upgrades!$U$16,H322),1)*IF(Upgrades!$T$17="Open Cluster",POWER(Upgrades!$U$17,I322),1)*IF(Upgrades!$T$18="Open Cluster",POWER(Upgrades!$U$18,J322),1)*IF(Upgrades!$T$19="Open Cluster",POWER(Upgrades!$U$19,K322),1)*IF(Upgrades!$T$21="Open Cluster",POWER(Upgrades!$U$21,M322),1))+(IF(M322=0,0,(Upgrades!$G$21+M322*Upgrades!$H$21)*POWER(Upgrades!$I$21,M322)))*(IF(Upgrades!$T$13="Moving Group",POWER(Upgrades!$U$13,E322),1)*IF(Upgrades!$T$14="Moving Group",POWER(Upgrades!$U$14,F322),1)*IF(Upgrades!$T$15="Moving Group",POWER(Upgrades!$U$15,G322),1)*IF(Upgrades!$T$16="Moving Group",POWER(Upgrades!$U$16,H322),1)*IF(Upgrades!$T$17="Moving Group",POWER(Upgrades!$U$17,I322),1)*IF(Upgrades!$T$18="Moving Group",POWER(Upgrades!$U$18,J322),1)*IF(Upgrades!$T$19="Moving Group",POWER(Upgrades!$U$19,K322),1)*IF(Upgrades!$T$20="Moving Group",POWER(Upgrades!$U$20,L322),1)))*POWER(Upgrades!$P$13,E322)*POWER(Upgrades!$P$14,F322)*POWER(Upgrades!$P$15,G322)*POWER(Upgrades!$P$16,H322)*POWER(Upgrades!$P$17,I322)*POWER(Upgrades!$P$18,J322)*POWER(Upgrades!$P$19,K322)*POWER(Upgrades!$P$20,L322)*POWER(Upgrades!$P$21,M322)*$F$6+$C$6</f>
        <v/>
      </c>
      <c r="Q322" s="28">
        <f>((IF(E322=0,0,(Upgrades!$M$13+E322*Upgrades!$N$13)*POWER(Upgrades!$O$13,E322)))*(IF(Upgrades!$T$14="Stellar Kinematics",POWER(Upgrades!$U$14,F322),1)*IF(Upgrades!$T$15="Stellar Kinematics",POWER(Upgrades!$U$15,G322),1)*IF(Upgrades!$T$16="Stellar Kinematics",POWER(Upgrades!$U$16,H322),1)*IF(Upgrades!$T$17="Stellar Kinematics",POWER(Upgrades!$U$17,I322),1)*IF(Upgrades!$T$18="Stellar Kinematics",POWER(Upgrades!$U$18,J322),1)*IF(Upgrades!$T$19="Stellar Kinematics",POWER(Upgrades!$U$19,K322),1)*IF(Upgrades!$T$20="Stellar Kinematics",POWER(Upgrades!$U$20,L322),1)*IF(Upgrades!$T$21="Stellar Kinematics",POWER(Upgrades!$U$21,M322),1))+(IF(F322=0,0,(Upgrades!$M$14+F322*Upgrades!$N$14)*POWER(Upgrades!$O$14,F322)))*(IF(Upgrades!$T$13="Local Bubble",POWER(Upgrades!$U$13,E322),1)*IF(Upgrades!$T$15="Local Bubble",POWER(Upgrades!$U$15,G322),1)*IF(Upgrades!$T$16="Local Bubble",POWER(Upgrades!$U$16,H322),1)*IF(Upgrades!$T$17="Local Bubble",POWER(Upgrades!$U$17,I322),1)*IF(Upgrades!$T$18="Local Bubble",POWER(Upgrades!$U$18,J322),1)*IF(Upgrades!$T$19="Local Bubble",POWER(Upgrades!$U$19,K322),1)*IF(Upgrades!$T$20="Local Bubble",POWER(Upgrades!$U$20,L322),1)*IF(Upgrades!$T$21="Local Bubble",POWER(Upgrades!$U$21,M322),1))+(IF(G322=0,0,(Upgrades!$M$15+G322*Upgrades!$N$15)*POWER(Upgrades!$O$15,G322)))*(IF(Upgrades!$T$13="Microlensing",POWER(Upgrades!$U$13,E322),1)*IF(Upgrades!$T$14="Microlensing",POWER(Upgrades!$U$14,F322),1)*IF(Upgrades!$T$16="Microlensing",POWER(Upgrades!$U$16,H322),1)*IF(Upgrades!$T$17="Microlensing",POWER(Upgrades!$U$17,I322),1)*IF(Upgrades!$T$18="Microlensing",POWER(Upgrades!$U$18,J322),1)*IF(Upgrades!$T$19="Microlensing",POWER(Upgrades!$U$19,K322),1)*IF(Upgrades!$T$20="Microlensing",POWER(Upgrades!$U$20,L322),1)*IF(Upgrades!$T$21="Microlensing",POWER(Upgrades!$U$21,M322),1))+(IF(H322=0,0,(Upgrades!$M$16+H322*Upgrades!$N$16)*POWER(Upgrades!$O$16,H322)))*(IF(Upgrades!$T$13="Roche Lobe Overflow",POWER(Upgrades!$U$13,E322),1)*IF(Upgrades!$T$14="Roche Lobe Overflow",POWER(Upgrades!$U$14,F322),1)*IF(Upgrades!$T$15="Roche Lobe Overflow",POWER(Upgrades!$U$15,G322),1)*IF(Upgrades!$T$17="Roche Lobe Overflow",POWER(Upgrades!$U$17,I322),1)*IF(Upgrades!$T$18="Roche Lobe Overflow",POWER(Upgrades!$U$18,J322),1)*IF(Upgrades!$T$19="Roche Lobe Overflow",POWER(Upgrades!$U$19,K322),1)*IF(Upgrades!$T$20="Roche Lobe Overflow",POWER(Upgrades!$U$20,L322),1)*IF(Upgrades!$T$21="Roche Lobe Overflow",POWER(Upgrades!$U$21,M322),1))+(IF(I322=0,0,(Upgrades!$M$17+I322*Upgrades!$N$17)*POWER(Upgrades!$O$17,I322)))*(IF(Upgrades!$T$13="Brown Dwarf",POWER(Upgrades!$U$13,E322),1)*IF(Upgrades!$T$14="Brown Dwarf",POWER(Upgrades!$U$14,F322),1)*IF(Upgrades!$T$15="Brown Dwarf",POWER(Upgrades!$U$15,G322),1)*IF(Upgrades!$T$16="Brown Dwarf",POWER(Upgrades!$U$16,H322),1)*IF(Upgrades!$T$18="Brown Dwarf",POWER(Upgrades!$U$18,J322),1)*IF(Upgrades!$T$19="Brown Dwarf",POWER(Upgrades!$U$19,K322),1)*IF(Upgrades!$T$20="Brown Dwarf",POWER(Upgrades!$U$20,L322),1)*IF(Upgrades!$T$21="Brown Dwarf",POWER(Upgrades!$U$21,M322),1))+(IF(J322=0,0,(Upgrades!$M$18+J322*Upgrades!$N$18)*POWER(Upgrades!$O$18,J322)))*(IF(Upgrades!$T$13="Binary Partner",POWER(Upgrades!$U$13,E322),1)*IF(Upgrades!$T$14="Binary Partner",POWER(Upgrades!$U$14,F322),1)*IF(Upgrades!$T$15="Binary Partner",POWER(Upgrades!$U$15,G322),1)*IF(Upgrades!$T$16="Binary Partner",POWER(Upgrades!$U$16,H322),1)*IF(Upgrades!$T$17="Binary Partner",POWER(Upgrades!$U$17,I322),1)*IF(Upgrades!$T$19="Binary Partner",POWER(Upgrades!$U$19,K322),1)*IF(Upgrades!$T$20="Binary Partner",POWER(Upgrades!$U$20,L322),1)*IF(Upgrades!$T$21="Binary Partner",POWER(Upgrades!$U$21,M322),1))+(IF(K322=0,0,(Upgrades!$M$19+K322*Upgrades!$N$19)*POWER(Upgrades!$O$19,K322)))*(IF(Upgrades!$T$13="Peculiar Velocity",POWER(Upgrades!$U$13,E322),1)*IF(Upgrades!$T$14="Peculiar Velocity",POWER(Upgrades!$U$14,F322),1)*IF(Upgrades!$T$15="Peculiar Velocity",POWER(Upgrades!$U$15,G322),1)*IF(Upgrades!$T$16="Peculiar Velocity",POWER(Upgrades!$U$16,H322),1)*IF(Upgrades!$T$17="Peculiar Velocity",POWER(Upgrades!$U$17,I322),1)*IF(Upgrades!$T$18="Peculiar Velocity",POWER(Upgrades!$U$18,J322),1)*IF(Upgrades!$T$20="Peculiar Velocity",POWER(Upgrades!$U$20,L322),1)*IF(Upgrades!$T$21="Peculiar Velocity",POWER(Upgrades!$U$21,M322),1))+(IF(L322=0,0,(Upgrades!$M$20+L322*Upgrades!$N$20)*POWER(Upgrades!$O$20,L322)))*(IF(Upgrades!$T$13="Open Cluster",POWER(Upgrades!$U$13,E322),1)*IF(Upgrades!$T$14="Open Cluster",POWER(Upgrades!$U$14,F322),1)*IF(Upgrades!$T$15="Open Cluster",POWER(Upgrades!$U$15,G322),1)*IF(Upgrades!$T$16="Open Cluster",POWER(Upgrades!$U$16,H322),1)*IF(Upgrades!$T$17="Open Cluster",POWER(Upgrades!$U$17,I322),1)*IF(Upgrades!$T$18="Open Cluster",POWER(Upgrades!$U$18,J322),1)*IF(Upgrades!$T$19="Open Cluster",POWER(Upgrades!$U$19,K322),1)*IF(Upgrades!$T$21="Open Cluster",POWER(Upgrades!$U$21,M322),1))+(IF(M322=0,0,(Upgrades!$M$21+M322*Upgrades!$N$21)*POWER(Upgrades!$O$21,M322)))*(IF(Upgrades!$T$13="Moving Group",POWER(Upgrades!$U$13,E322),1)*IF(Upgrades!$T$14="Moving Group",POWER(Upgrades!$U$14,F322),1)*IF(Upgrades!$T$15="Moving Group",POWER(Upgrades!$U$15,G322),1)*IF(Upgrades!$T$16="Moving Group",POWER(Upgrades!$U$16,H322),1)*IF(Upgrades!$T$17="Moving Group",POWER(Upgrades!$U$17,I322),1)*IF(Upgrades!$T$18="Moving Group",POWER(Upgrades!$U$18,J322),1)*IF(Upgrades!$T$19="Moving Group",POWER(Upgrades!$U$19,K322),1)*IF(Upgrades!$T$20="Moving Group",POWER(Upgrades!$U$20,L322),1)))*POWER(Upgrades!$R$13,E322)*POWER(Upgrades!$R$14,F322)*POWER(Upgrades!$R$15,G322)*POWER(Upgrades!$R$16,H322)*POWER(Upgrades!$R$17,I322)*POWER(Upgrades!$R$18,J322)*POWER(Upgrades!$R$19,K322)*POWER(Upgrades!$R$20,L322)*POWER(Upgrades!$R$21,M322)*$H$6+$E$6</f>
        <v/>
      </c>
      <c r="R322" s="27">
        <f>IF(N322=1,0,O322*Parameters!$B$10/60*Parameters!$B$11*10)</f>
        <v/>
      </c>
      <c r="S322" s="27">
        <f>IF(N322=1,0,Q322*O322*10)</f>
        <v/>
      </c>
      <c r="T322" s="27">
        <f>IF(N322=1,0,R322+S322+P322*10)</f>
        <v/>
      </c>
      <c r="U322" s="33">
        <f>BE322</f>
        <v/>
      </c>
      <c r="V322" s="22">
        <f>IF(U322="",0,IF(U322="transition",0,IF(U322="SK",AK322,IF(U322="LB",AL322,IF(U322="ML",AM322,IF(U322="RLO",AN322,IF(U322="BD",AO322,IF(U322="BiP",AP322,IF(U322="PV",AQ322,IF(U322="OC",AR322,IF(U322="MG",AS322,0))))))))))</f>
        <v/>
      </c>
      <c r="W322" s="27">
        <f>IF(U322="BiP",Upgrades!$F$18,IF(U322="PV",Upgrades!$F$19,IF(U322="OC",Upgrades!$F$20,IF(U322="MG",Upgrades!$F$21,IF(U322="transition",-Parameters!$B$18*Parameters!$B$19,0)))))</f>
        <v/>
      </c>
      <c r="X322" s="22">
        <f>C322+T322-V322</f>
        <v/>
      </c>
      <c r="Y322" s="30">
        <f>O322*Parameters!$B$10/60*Parameters!$B$11+Q322*O322+P322</f>
        <v/>
      </c>
      <c r="Z322" s="34">
        <f>IF(U322="transition","→ Tier 3 (Galactic Arm)",IF(U322="MG","Moving Group — pocket drifts together",IF(U322="OC","Open Cluster acquired",IF(U322="PV","Peculiar Velocity — passive multiplier active",IF(U322="BiP","Binary Partner — pair bond formed",IF(AND(AU322=1,N322=0,AT322&lt;&gt;1),"Cohesion ready (waiting on completionists)","")))))) </f>
        <v/>
      </c>
      <c r="AA322" s="27">
        <f>(IF(E322=0,0,(Upgrades!$G$13+E322*Upgrades!$H$13)*POWER(Upgrades!$I$13,E322)))*(IF(Upgrades!$T$14="Stellar Kinematics",POWER(Upgrades!$U$14,F322),1)*IF(Upgrades!$T$15="Stellar Kinematics",POWER(Upgrades!$U$15,G322),1)*IF(Upgrades!$T$16="Stellar Kinematics",POWER(Upgrades!$U$16,H322),1)*IF(Upgrades!$T$17="Stellar Kinematics",POWER(Upgrades!$U$17,I322),1)*IF(Upgrades!$T$18="Stellar Kinematics",POWER(Upgrades!$U$18,J322),1)*IF(Upgrades!$T$19="Stellar Kinematics",POWER(Upgrades!$U$19,K322),1)*IF(Upgrades!$T$20="Stellar Kinematics",POWER(Upgrades!$U$20,L322),1)*IF(Upgrades!$T$21="Stellar Kinematics",POWER(Upgrades!$U$21,M322),1))*POWER(Upgrades!$P$13,E322)*POWER(Upgrades!$P$14,F322)*POWER(Upgrades!$P$15,G322)*POWER(Upgrades!$P$16,H322)*POWER(Upgrades!$P$17,I322)*POWER(Upgrades!$P$18,J322)*POWER(Upgrades!$P$19,K322)*POWER(Upgrades!$P$20,L322)*POWER(Upgrades!$P$21,M322)*$F$6*60</f>
        <v/>
      </c>
      <c r="AB322" s="27">
        <f>(IF(F322=0,0,(Upgrades!$G$14+F322*Upgrades!$H$14)*POWER(Upgrades!$I$14,F322)))*(IF(Upgrades!$T$13="Local Bubble",POWER(Upgrades!$U$13,E322),1)*IF(Upgrades!$T$15="Local Bubble",POWER(Upgrades!$U$15,G322),1)*IF(Upgrades!$T$16="Local Bubble",POWER(Upgrades!$U$16,H322),1)*IF(Upgrades!$T$17="Local Bubble",POWER(Upgrades!$U$17,I322),1)*IF(Upgrades!$T$18="Local Bubble",POWER(Upgrades!$U$18,J322),1)*IF(Upgrades!$T$19="Local Bubble",POWER(Upgrades!$U$19,K322),1)*IF(Upgrades!$T$20="Local Bubble",POWER(Upgrades!$U$20,L322),1)*IF(Upgrades!$T$21="Local Bubble",POWER(Upgrades!$U$21,M322),1))*POWER(Upgrades!$P$13,E322)*POWER(Upgrades!$P$14,F322)*POWER(Upgrades!$P$15,G322)*POWER(Upgrades!$P$16,H322)*POWER(Upgrades!$P$17,I322)*POWER(Upgrades!$P$18,J322)*POWER(Upgrades!$P$19,K322)*POWER(Upgrades!$P$20,L322)*POWER(Upgrades!$P$21,M322)*$F$6*60</f>
        <v/>
      </c>
      <c r="AC322" s="27">
        <f>(IF(G322=0,0,(Upgrades!$J$15+G322*Upgrades!$K$15)*POWER(Upgrades!$L$15,G322)))*(IF(Upgrades!$T$13="Microlensing",POWER(Upgrades!$U$13,E322),1)*IF(Upgrades!$T$14="Microlensing",POWER(Upgrades!$U$14,F322),1)*IF(Upgrades!$T$16="Microlensing",POWER(Upgrades!$U$16,H322),1)*IF(Upgrades!$T$17="Microlensing",POWER(Upgrades!$U$17,I322),1)*IF(Upgrades!$T$18="Microlensing",POWER(Upgrades!$U$18,J322),1)*IF(Upgrades!$T$19="Microlensing",POWER(Upgrades!$U$19,K322),1)*IF(Upgrades!$T$20="Microlensing",POWER(Upgrades!$U$20,L322),1)*IF(Upgrades!$T$21="Microlensing",POWER(Upgrades!$U$21,M322),1))*POWER(Upgrades!$Q$13,E322)*POWER(Upgrades!$Q$14,F322)*POWER(Upgrades!$Q$15,G322)*POWER(Upgrades!$Q$16,H322)*POWER(Upgrades!$Q$17,I322)*POWER(Upgrades!$Q$18,J322)*POWER(Upgrades!$Q$19,K322)*POWER(Upgrades!$Q$20,L322)*POWER(Upgrades!$Q$21,M322)*$G$6*(Parameters!$B$10*Parameters!$B$11+Q322*60)</f>
        <v/>
      </c>
      <c r="AD322" s="27">
        <f>(IF(H322=0,0,(Upgrades!$M$16+H322*Upgrades!$N$16)*POWER(Upgrades!$O$16,H322)))*(IF(Upgrades!$T$13="Roche Lobe Overflow",POWER(Upgrades!$U$13,E322),1)*IF(Upgrades!$T$14="Roche Lobe Overflow",POWER(Upgrades!$U$14,F322),1)*IF(Upgrades!$T$15="Roche Lobe Overflow",POWER(Upgrades!$U$15,G322),1)*IF(Upgrades!$T$17="Roche Lobe Overflow",POWER(Upgrades!$U$17,I322),1)*IF(Upgrades!$T$18="Roche Lobe Overflow",POWER(Upgrades!$U$18,J322),1)*IF(Upgrades!$T$19="Roche Lobe Overflow",POWER(Upgrades!$U$19,K322),1)*IF(Upgrades!$T$20="Roche Lobe Overflow",POWER(Upgrades!$U$20,L322),1)*IF(Upgrades!$T$21="Roche Lobe Overflow",POWER(Upgrades!$U$21,M322),1))*POWER(Upgrades!$R$13,E322)*POWER(Upgrades!$R$14,F322)*POWER(Upgrades!$R$15,G322)*POWER(Upgrades!$R$16,H322)*POWER(Upgrades!$R$17,I322)*POWER(Upgrades!$R$18,J322)*POWER(Upgrades!$R$19,K322)*POWER(Upgrades!$R$20,L322)*POWER(Upgrades!$R$21,M322)*$H$6*O322*60</f>
        <v/>
      </c>
      <c r="AE322" s="27">
        <f>(IF(I322=0,0,(Upgrades!$G$17+I322*Upgrades!$H$17)*POWER(Upgrades!$I$17,I322)))*(IF(Upgrades!$T$13="Brown Dwarf",POWER(Upgrades!$U$13,E322),1)*IF(Upgrades!$T$14="Brown Dwarf",POWER(Upgrades!$U$14,F322),1)*IF(Upgrades!$T$15="Brown Dwarf",POWER(Upgrades!$U$15,G322),1)*IF(Upgrades!$T$16="Brown Dwarf",POWER(Upgrades!$U$16,H322),1)*IF(Upgrades!$T$18="Brown Dwarf",POWER(Upgrades!$U$18,J322),1)*IF(Upgrades!$T$19="Brown Dwarf",POWER(Upgrades!$U$19,K322),1)*IF(Upgrades!$T$20="Brown Dwarf",POWER(Upgrades!$U$20,L322),1)*IF(Upgrades!$T$21="Brown Dwarf",POWER(Upgrades!$U$21,M322),1))*POWER(Upgrades!$P$13,E322)*POWER(Upgrades!$P$14,F322)*POWER(Upgrades!$P$15,G322)*POWER(Upgrades!$P$16,H322)*POWER(Upgrades!$P$17,I322)*POWER(Upgrades!$P$18,J322)*POWER(Upgrades!$P$19,K322)*POWER(Upgrades!$P$20,L322)*POWER(Upgrades!$P$21,M322)*$F$6*60</f>
        <v/>
      </c>
      <c r="AF322" s="27" t="n">
        <v>0</v>
      </c>
      <c r="AG322" s="27" t="n">
        <v>0</v>
      </c>
      <c r="AH322" s="27" t="n">
        <v>0</v>
      </c>
      <c r="AI322" s="27">
        <f>(IF(M322=0,0,(Upgrades!$G$21+M322*Upgrades!$H$21)*POWER(Upgrades!$I$21,M322)))*(IF(Upgrades!$T$13="Moving Group",POWER(Upgrades!$U$13,E322),1)*IF(Upgrades!$T$14="Moving Group",POWER(Upgrades!$U$14,F322),1)*IF(Upgrades!$T$15="Moving Group",POWER(Upgrades!$U$15,G322),1)*IF(Upgrades!$T$16="Moving Group",POWER(Upgrades!$U$16,H322),1)*IF(Upgrades!$T$17="Moving Group",POWER(Upgrades!$U$17,I322),1)*IF(Upgrades!$T$18="Moving Group",POWER(Upgrades!$U$18,J322),1)*IF(Upgrades!$T$19="Moving Group",POWER(Upgrades!$U$19,K322),1)*IF(Upgrades!$T$20="Moving Group",POWER(Upgrades!$U$20,L322),1))*POWER(Upgrades!$P$13,E322)*POWER(Upgrades!$P$14,F322)*POWER(Upgrades!$P$15,G322)*POWER(Upgrades!$P$16,H322)*POWER(Upgrades!$P$17,I322)*POWER(Upgrades!$P$18,J322)*POWER(Upgrades!$P$19,K322)*POWER(Upgrades!$P$20,L322)*POWER(Upgrades!$P$21,M322)*$F$6*60</f>
        <v/>
      </c>
      <c r="AJ322" s="27">
        <f>$C$6*60</f>
        <v/>
      </c>
      <c r="AK322" s="22">
        <f>IF(E322&gt;=Upgrades!$E$13,"",Upgrades!$C$13*POWER(Upgrades!$D$13,E322))</f>
        <v/>
      </c>
      <c r="AL322" s="22">
        <f>IF(F322&gt;=Upgrades!$E$14,"",Upgrades!$C$14*POWER(Upgrades!$D$14,F322))</f>
        <v/>
      </c>
      <c r="AM322" s="22">
        <f>IF(G322&gt;=Upgrades!$E$15,"",Upgrades!$C$15*POWER(Upgrades!$D$15,G322))</f>
        <v/>
      </c>
      <c r="AN322" s="22">
        <f>IF(H322&gt;=Upgrades!$E$16,"",Upgrades!$C$16*POWER(Upgrades!$D$16,H322))</f>
        <v/>
      </c>
      <c r="AO322" s="22">
        <f>IF(I322&gt;=Upgrades!$E$17,"",Upgrades!$C$17*POWER(Upgrades!$D$17,I322))</f>
        <v/>
      </c>
      <c r="AP322" s="22">
        <f>IF(J322&gt;=Upgrades!$E$18,"",Upgrades!$C$18*POWER(Upgrades!$D$18,J322))</f>
        <v/>
      </c>
      <c r="AQ322" s="22">
        <f>IF(K322&gt;=Upgrades!$E$19,"",Upgrades!$C$19*POWER(Upgrades!$D$19,K322))</f>
        <v/>
      </c>
      <c r="AR322" s="22">
        <f>IF(L322&gt;=Upgrades!$E$20,"",Upgrades!$C$20*POWER(Upgrades!$D$20,L322))</f>
        <v/>
      </c>
      <c r="AS322" s="22">
        <f>IF(M322&gt;=Upgrades!$E$21,"",Upgrades!$C$21*POWER(Upgrades!$D$21,M322))</f>
        <v/>
      </c>
      <c r="AT322" s="26">
        <f>IF(AND(D322&gt;=Parameters!$B$18*Parameters!$B$19,(I322&gt;=Upgrades!$E$17)*(M322&gt;=Upgrades!$E$21)=1,N322=0),1,"")</f>
        <v/>
      </c>
      <c r="AU322" s="26">
        <f>IF(AND(D322&gt;=Parameters!$B$18*Parameters!$B$19,N322=0),1,"")</f>
        <v/>
      </c>
      <c r="AV322" s="22">
        <f>MIN(IF(ISNUMBER(AP322),AP322,9E15),IF(ISNUMBER(AQ322),AQ322,9E15),IF(ISNUMBER(AR322),AR322,9E15),IF(ISNUMBER(AS322),AS322,9E15))</f>
        <v/>
      </c>
      <c r="AW322" s="22">
        <f>MIN(IF(ISNUMBER(AK322),AK322,9E15),IF(ISNUMBER(AL322),AL322,9E15),IF(ISNUMBER(AM322),AM322,9E15),IF(ISNUMBER(AN322),AN322,9E15),IF(ISNUMBER(AO322),AO322,9E15))</f>
        <v/>
      </c>
      <c r="AX322" s="29">
        <f>IF(BD322&gt;Parameters!$B$21*(MAX(IF(AND(NOT(AND(AU322=1,AT322&lt;&gt;1)),ISNUMBER(AK322),AK322&lt;=(C322+T322)),AY322,0),IF(AND(NOT(AND(AU322=1,AT322&lt;&gt;1)),ISNUMBER(AL322),AL322&lt;=(C322+T322)),AZ322,0),IF(AND(NOT(AND(AU322=1,AT322&lt;&gt;1)),ISNUMBER(AM322),AM322&lt;=(C322+T322)),BA322,0),IF(AND(NOT(AND(AU322=1,AT322&lt;&gt;1)),ISNUMBER(AN322),AN322&lt;=(C322+T322)),BB322,0),IF(AND(ISNUMBER(AO322),AO322&lt;=(C322+T322)),BC322,0))),TRUE,FALSE)</f>
        <v/>
      </c>
      <c r="AY322" s="32">
        <f>IFERROR(Upgrades!$H$13*(POWER(Upgrades!$P$13,E322)*POWER(Upgrades!$P$14,F322)*POWER(Upgrades!$P$15,G322)*POWER(Upgrades!$P$16,H322)*POWER(Upgrades!$P$17,I322)*POWER(Upgrades!$P$18,J322)*POWER(Upgrades!$P$19,K322)*POWER(Upgrades!$P$20,L322)*POWER(Upgrades!$P$21,M322))*(IF(Upgrades!$T$14="Stellar Kinematics",POWER(Upgrades!$U$14,F322),1)*IF(Upgrades!$T$15="Stellar Kinematics",POWER(Upgrades!$U$15,G322),1)*IF(Upgrades!$T$16="Stellar Kinematics",POWER(Upgrades!$U$16,H322),1)*IF(Upgrades!$T$17="Stellar Kinematics",POWER(Upgrades!$U$17,I322),1)*IF(Upgrades!$T$18="Stellar Kinematics",POWER(Upgrades!$U$18,J322),1)*IF(Upgrades!$T$19="Stellar Kinematics",POWER(Upgrades!$U$19,K322),1)*IF(Upgrades!$T$20="Stellar Kinematics",POWER(Upgrades!$U$20,L322),1)*IF(Upgrades!$T$21="Stellar Kinematics",POWER(Upgrades!$U$21,M322),1))*$F$6/AK322,0)</f>
        <v/>
      </c>
      <c r="AZ322" s="32">
        <f>IFERROR(Upgrades!$H$14*(POWER(Upgrades!$P$13,E322)*POWER(Upgrades!$P$14,F322)*POWER(Upgrades!$P$15,G322)*POWER(Upgrades!$P$16,H322)*POWER(Upgrades!$P$17,I322)*POWER(Upgrades!$P$18,J322)*POWER(Upgrades!$P$19,K322)*POWER(Upgrades!$P$20,L322)*POWER(Upgrades!$P$21,M322))*(IF(Upgrades!$T$13="Local Bubble",POWER(Upgrades!$U$13,E322),1)*IF(Upgrades!$T$15="Local Bubble",POWER(Upgrades!$U$15,G322),1)*IF(Upgrades!$T$16="Local Bubble",POWER(Upgrades!$U$16,H322),1)*IF(Upgrades!$T$17="Local Bubble",POWER(Upgrades!$U$17,I322),1)*IF(Upgrades!$T$18="Local Bubble",POWER(Upgrades!$U$18,J322),1)*IF(Upgrades!$T$19="Local Bubble",POWER(Upgrades!$U$19,K322),1)*IF(Upgrades!$T$20="Local Bubble",POWER(Upgrades!$U$20,L322),1)*IF(Upgrades!$T$21="Local Bubble",POWER(Upgrades!$U$21,M322),1))*$F$6/AL322,0)</f>
        <v/>
      </c>
      <c r="BA322" s="32">
        <f>IFERROR(Upgrades!$K$15*(POWER(Upgrades!$Q$13,E322)*POWER(Upgrades!$Q$14,F322)*POWER(Upgrades!$Q$15,G322)*POWER(Upgrades!$Q$16,H322)*POWER(Upgrades!$Q$17,I322)*POWER(Upgrades!$Q$18,J322)*POWER(Upgrades!$Q$19,K322)*POWER(Upgrades!$Q$20,L322)*POWER(Upgrades!$Q$21,M322))*(IF(Upgrades!$T$13="Microlensing",POWER(Upgrades!$U$13,E322),1)*IF(Upgrades!$T$14="Microlensing",POWER(Upgrades!$U$14,F322),1)*IF(Upgrades!$T$16="Microlensing",POWER(Upgrades!$U$16,H322),1)*IF(Upgrades!$T$17="Microlensing",POWER(Upgrades!$U$17,I322),1)*IF(Upgrades!$T$18="Microlensing",POWER(Upgrades!$U$18,J322),1)*IF(Upgrades!$T$19="Microlensing",POWER(Upgrades!$U$19,K322),1)*IF(Upgrades!$T$20="Microlensing",POWER(Upgrades!$U$20,L322),1)*IF(Upgrades!$T$21="Microlensing",POWER(Upgrades!$U$21,M322),1))*$G$6*(Parameters!$B$10/60*Parameters!$B$11+Q322)/AM322,0)</f>
        <v/>
      </c>
      <c r="BB322" s="32">
        <f>IFERROR((Upgrades!$N$16*(POWER(Upgrades!$R$13,E322)*POWER(Upgrades!$R$14,F322)*POWER(Upgrades!$R$15,G322)*POWER(Upgrades!$R$16,H322)*POWER(Upgrades!$R$17,I322)*POWER(Upgrades!$R$18,J322)*POWER(Upgrades!$R$19,K322)*POWER(Upgrades!$R$20,L322)*POWER(Upgrades!$R$21,M322))*(IF(Upgrades!$T$13="Roche Lobe Overflow",POWER(Upgrades!$U$13,E322),1)*IF(Upgrades!$T$14="Roche Lobe Overflow",POWER(Upgrades!$U$14,F322),1)*IF(Upgrades!$T$15="Roche Lobe Overflow",POWER(Upgrades!$U$15,G322),1)*IF(Upgrades!$T$17="Roche Lobe Overflow",POWER(Upgrades!$U$17,I322),1)*IF(Upgrades!$T$18="Roche Lobe Overflow",POWER(Upgrades!$U$18,J322),1)*IF(Upgrades!$T$19="Roche Lobe Overflow",POWER(Upgrades!$U$19,K322),1)*IF(Upgrades!$T$20="Roche Lobe Overflow",POWER(Upgrades!$U$20,L322),1)*IF(Upgrades!$T$21="Roche Lobe Overflow",POWER(Upgrades!$U$21,M322),1))*$H$6*O322+((IF(F322=0,0,(Upgrades!$G$14+F322*Upgrades!$H$14)*POWER(Upgrades!$I$14,F322)))*(IF(Upgrades!$T$13="Local Bubble",POWER(Upgrades!$U$13,E322),1)*IF(Upgrades!$T$15="Local Bubble",POWER(Upgrades!$U$15,G322),1)*IF(Upgrades!$T$16="Local Bubble",POWER(Upgrades!$U$16,H322),1)*IF(Upgrades!$T$17="Local Bubble",POWER(Upgrades!$U$17,I322),1)*IF(Upgrades!$T$18="Local Bubble",POWER(Upgrades!$U$18,J322),1)*IF(Upgrades!$T$19="Local Bubble",POWER(Upgrades!$U$19,K322),1)*IF(Upgrades!$T$20="Local Bubble",POWER(Upgrades!$U$20,L322),1)*IF(Upgrades!$T$21="Local Bubble",POWER(Upgrades!$U$21,M322),1))*POWER(Upgrades!$P$13,E322)*POWER(Upgrades!$P$14,F322)*POWER(Upgrades!$P$15,G322)*POWER(Upgrades!$P$16,H322)*POWER(Upgrades!$P$17,I322)*POWER(Upgrades!$P$18,J322)*POWER(Upgrades!$P$19,K322)*POWER(Upgrades!$P$20,L322)*POWER(Upgrades!$P$21,M322)*$F$6)*0.05)/AN322,0)</f>
        <v/>
      </c>
      <c r="BC322" s="32">
        <f>IFERROR((Upgrades!$H$17*(POWER(Upgrades!$P$13,E322)*POWER(Upgrades!$P$14,F322)*POWER(Upgrades!$P$15,G322)*POWER(Upgrades!$P$16,H322)*POWER(Upgrades!$P$17,I322)*POWER(Upgrades!$P$18,J322)*POWER(Upgrades!$P$19,K322)*POWER(Upgrades!$P$20,L322)*POWER(Upgrades!$P$21,M322))*(IF(Upgrades!$T$13="Brown Dwarf",POWER(Upgrades!$U$13,E322),1)*IF(Upgrades!$T$14="Brown Dwarf",POWER(Upgrades!$U$14,F322),1)*IF(Upgrades!$T$15="Brown Dwarf",POWER(Upgrades!$U$15,G322),1)*IF(Upgrades!$T$16="Brown Dwarf",POWER(Upgrades!$U$16,H322),1)*IF(Upgrades!$T$18="Brown Dwarf",POWER(Upgrades!$U$18,J322),1)*IF(Upgrades!$T$19="Brown Dwarf",POWER(Upgrades!$U$19,K322),1)*IF(Upgrades!$T$20="Brown Dwarf",POWER(Upgrades!$U$20,L322),1)*IF(Upgrades!$T$21="Brown Dwarf",POWER(Upgrades!$U$21,M322),1))*$F$6+(((IF(H322=0,0,(Upgrades!$M$16+H322*Upgrades!$N$16)*POWER(Upgrades!$O$16,H322)))*(IF(Upgrades!$T$13="Roche Lobe Overflow",POWER(Upgrades!$U$13,E322),1)*IF(Upgrades!$T$14="Roche Lobe Overflow",POWER(Upgrades!$U$14,F322),1)*IF(Upgrades!$T$15="Roche Lobe Overflow",POWER(Upgrades!$U$15,G322),1)*IF(Upgrades!$T$17="Roche Lobe Overflow",POWER(Upgrades!$U$17,I322),1)*IF(Upgrades!$T$18="Roche Lobe Overflow",POWER(Upgrades!$U$18,J322),1)*IF(Upgrades!$T$19="Roche Lobe Overflow",POWER(Upgrades!$U$19,K322),1)*IF(Upgrades!$T$20="Roche Lobe Overflow",POWER(Upgrades!$U$20,L322),1)*IF(Upgrades!$T$21="Roche Lobe Overflow",POWER(Upgrades!$U$21,M322),1))*POWER(Upgrades!$R$13,E322)*POWER(Upgrades!$R$14,F322)*POWER(Upgrades!$R$15,G322)*POWER(Upgrades!$R$16,H322)*POWER(Upgrades!$R$17,I322)*POWER(Upgrades!$R$18,J322)*POWER(Upgrades!$R$19,K322)*POWER(Upgrades!$R$20,L322)*POWER(Upgrades!$R$21,M322)*$H$6)*O322)*0.10)/AO322,0)</f>
        <v/>
      </c>
      <c r="BD322" s="32">
        <f>MAX(IF(J322&gt;0,0,IFERROR(0.5*((IF(G322=0,0,(Upgrades!$J$15+G322*Upgrades!$K$15)*POWER(Upgrades!$L$15,G322)))*(IF(Upgrades!$T$13="Microlensing",POWER(Upgrades!$U$13,E322),1)*IF(Upgrades!$T$14="Microlensing",POWER(Upgrades!$U$14,F322),1)*IF(Upgrades!$T$16="Microlensing",POWER(Upgrades!$U$16,H322),1)*IF(Upgrades!$T$17="Microlensing",POWER(Upgrades!$U$17,I322),1)*IF(Upgrades!$T$18="Microlensing",POWER(Upgrades!$U$18,J322),1)*IF(Upgrades!$T$19="Microlensing",POWER(Upgrades!$U$19,K322),1)*IF(Upgrades!$T$20="Microlensing",POWER(Upgrades!$U$20,L322),1)*IF(Upgrades!$T$21="Microlensing",POWER(Upgrades!$U$21,M322),1))*(POWER(Upgrades!$Q$13,E322)*POWER(Upgrades!$Q$14,F322)*POWER(Upgrades!$Q$15,G322)*POWER(Upgrades!$Q$16,H322)*POWER(Upgrades!$Q$17,I322)*POWER(Upgrades!$Q$18,J322)*POWER(Upgrades!$Q$19,K322)*POWER(Upgrades!$Q$20,L322)*POWER(Upgrades!$Q$21,M322))*$G$6*(Parameters!$B$10/60*Parameters!$B$11+Q322))/Upgrades!$C$18,0)),IF(K322&gt;0,0,IFERROR(0.30*P322/Upgrades!$C$19,0)),IF(L322&gt;0,0,IFERROR(0.0001/Upgrades!$C$20,0)),IF(M322&gt;0,0,IFERROR((6.0*(POWER(Upgrades!$P$13,E322)*POWER(Upgrades!$P$14,F322)*POWER(Upgrades!$P$15,G322)*POWER(Upgrades!$P$16,H322)*POWER(Upgrades!$P$17,I322)*POWER(Upgrades!$P$18,J322)*POWER(Upgrades!$P$19,K322)*POWER(Upgrades!$P$20,L322)*POWER(Upgrades!$P$21,M322))*$F$6+0.20*O322*(Parameters!$B$10/60*Parameters!$B$11+Q322))/Upgrades!$C$21,0)),IF(AND(ISNUMBER(AK322),AK322&gt;(C322+T322)),AY322,0),IF(AND(ISNUMBER(AL322),AL322&gt;(C322+T322)),AZ322,0),IF(AND(ISNUMBER(AM322),AM322&gt;(C322+T322)),BA322,0),IF(AND(ISNUMBER(AN322),AN322&gt;(C322+T322)),BB322,0),IF(AND(ISNUMBER(AO322),AO322&gt;(C322+T322)),BC322,0))</f>
        <v/>
      </c>
      <c r="BE322" s="29">
        <f>IF(AT322=1,"transition",IF(MIN(IF(AND(J322=0,ISNUMBER(AP322),AP322&lt;=(C322+T322)),AP322,9E15),IF(AND(K322=0,ISNUMBER(AQ322),AQ322&lt;=(C322+T322)),AQ322,9E15),IF(AND(L322=0,ISNUMBER(AR322),AR322&lt;=(C322+T322)),AR322,9E15),IF(AND(M322=0,ISNUMBER(AS322),AS322&lt;=(C322+T322)),AS322,9E15))&lt;9E15,IF(AND(AND(J322=0,ISNUMBER(AP322),AP322&lt;=(C322+T322)),AP322=MIN(IF(AND(J322=0,ISNUMBER(AP322),AP322&lt;=(C322+T322)),AP322,9E15),IF(AND(K322=0,ISNUMBER(AQ322),AQ322&lt;=(C322+T322)),AQ322,9E15),IF(AND(L322=0,ISNUMBER(AR322),AR322&lt;=(C322+T322)),AR322,9E15),IF(AND(M322=0,ISNUMBER(AS322),AS322&lt;=(C322+T322)),AS322,9E15))),"BiP",IF(AND(AND(K322=0,ISNUMBER(AQ322),AQ322&lt;=(C322+T322)),AQ322=MIN(IF(AND(J322=0,ISNUMBER(AP322),AP322&lt;=(C322+T322)),AP322,9E15),IF(AND(K322=0,ISNUMBER(AQ322),AQ322&lt;=(C322+T322)),AQ322,9E15),IF(AND(L322=0,ISNUMBER(AR322),AR322&lt;=(C322+T322)),AR322,9E15),IF(AND(M322=0,ISNUMBER(AS322),AS322&lt;=(C322+T322)),AS322,9E15))),"PV",IF(AND(AND(L322=0,ISNUMBER(AR322),AR322&lt;=(C322+T322)),AR322=MIN(IF(AND(J322=0,ISNUMBER(AP322),AP322&lt;=(C322+T322)),AP322,9E15),IF(AND(K322=0,ISNUMBER(AQ322),AQ322&lt;=(C322+T322)),AQ322,9E15),IF(AND(L322=0,ISNUMBER(AR322),AR322&lt;=(C322+T322)),AR322,9E15),IF(AND(M322=0,ISNUMBER(AS322),AS322&lt;=(C322+T322)),AS322,9E15))),"OC","MG"))),IF(AX322=TRUE,"",IF(MAX(IF(AND(NOT(AND(AU322=1,AT322&lt;&gt;1)),ISNUMBER(AK322),AK322&lt;=(C322+T322)),AY322,0),IF(AND(NOT(AND(AU322=1,AT322&lt;&gt;1)),ISNUMBER(AL322),AL322&lt;=(C322+T322)),AZ322,0),IF(AND(NOT(AND(AU322=1,AT322&lt;&gt;1)),ISNUMBER(AM322),AM322&lt;=(C322+T322)),BA322,0),IF(AND(NOT(AND(AU322=1,AT322&lt;&gt;1)),ISNUMBER(AN322),AN322&lt;=(C322+T322)),BB322,0),IF(AND(ISNUMBER(AO322),AO322&lt;=(C322+T322)),BC322,0))&lt;=0,"",IF(AND(IF(AND(NOT(AND(AU322=1,AT322&lt;&gt;1)),ISNUMBER(AK322),AK322&lt;=(C322+T322)),AY322,0)&gt;0,IF(AND(NOT(AND(AU322=1,AT322&lt;&gt;1)),ISNUMBER(AK322),AK322&lt;=(C322+T322)),AY322,0)=MAX(IF(AND(NOT(AND(AU322=1,AT322&lt;&gt;1)),ISNUMBER(AK322),AK322&lt;=(C322+T322)),AY322,0),IF(AND(NOT(AND(AU322=1,AT322&lt;&gt;1)),ISNUMBER(AL322),AL322&lt;=(C322+T322)),AZ322,0),IF(AND(NOT(AND(AU322=1,AT322&lt;&gt;1)),ISNUMBER(AM322),AM322&lt;=(C322+T322)),BA322,0),IF(AND(NOT(AND(AU322=1,AT322&lt;&gt;1)),ISNUMBER(AN322),AN322&lt;=(C322+T322)),BB322,0),IF(AND(ISNUMBER(AO322),AO322&lt;=(C322+T322)),BC322,0))),"SK",IF(AND(IF(AND(NOT(AND(AU322=1,AT322&lt;&gt;1)),ISNUMBER(AL322),AL322&lt;=(C322+T322)),AZ322,0)&gt;0,IF(AND(NOT(AND(AU322=1,AT322&lt;&gt;1)),ISNUMBER(AL322),AL322&lt;=(C322+T322)),AZ322,0)=MAX(IF(AND(NOT(AND(AU322=1,AT322&lt;&gt;1)),ISNUMBER(AK322),AK322&lt;=(C322+T322)),AY322,0),IF(AND(NOT(AND(AU322=1,AT322&lt;&gt;1)),ISNUMBER(AL322),AL322&lt;=(C322+T322)),AZ322,0),IF(AND(NOT(AND(AU322=1,AT322&lt;&gt;1)),ISNUMBER(AM322),AM322&lt;=(C322+T322)),BA322,0),IF(AND(NOT(AND(AU322=1,AT322&lt;&gt;1)),ISNUMBER(AN322),AN322&lt;=(C322+T322)),BB322,0),IF(AND(ISNUMBER(AO322),AO322&lt;=(C322+T322)),BC322,0))),"LB",IF(AND(IF(AND(NOT(AND(AU322=1,AT322&lt;&gt;1)),ISNUMBER(AM322),AM322&lt;=(C322+T322)),BA322,0)&gt;0,IF(AND(NOT(AND(AU322=1,AT322&lt;&gt;1)),ISNUMBER(AM322),AM322&lt;=(C322+T322)),BA322,0)=MAX(IF(AND(NOT(AND(AU322=1,AT322&lt;&gt;1)),ISNUMBER(AK322),AK322&lt;=(C322+T322)),AY322,0),IF(AND(NOT(AND(AU322=1,AT322&lt;&gt;1)),ISNUMBER(AL322),AL322&lt;=(C322+T322)),AZ322,0),IF(AND(NOT(AND(AU322=1,AT322&lt;&gt;1)),ISNUMBER(AM322),AM322&lt;=(C322+T322)),BA322,0),IF(AND(NOT(AND(AU322=1,AT322&lt;&gt;1)),ISNUMBER(AN322),AN322&lt;=(C322+T322)),BB322,0),IF(AND(ISNUMBER(AO322),AO322&lt;=(C322+T322)),BC322,0))),"ML",IF(AND(IF(AND(NOT(AND(AU322=1,AT322&lt;&gt;1)),ISNUMBER(AN322),AN322&lt;=(C322+T322)),BB322,0)&gt;0,IF(AND(NOT(AND(AU322=1,AT322&lt;&gt;1)),ISNUMBER(AN322),AN322&lt;=(C322+T322)),BB322,0)=MAX(IF(AND(NOT(AND(AU322=1,AT322&lt;&gt;1)),ISNUMBER(AK322),AK322&lt;=(C322+T322)),AY322,0),IF(AND(NOT(AND(AU322=1,AT322&lt;&gt;1)),ISNUMBER(AL322),AL322&lt;=(C322+T322)),AZ322,0),IF(AND(NOT(AND(AU322=1,AT322&lt;&gt;1)),ISNUMBER(AM322),AM322&lt;=(C322+T322)),BA322,0),IF(AND(NOT(AND(AU322=1,AT322&lt;&gt;1)),ISNUMBER(AN322),AN322&lt;=(C322+T322)),BB322,0),IF(AND(ISNUMBER(AO322),AO322&lt;=(C322+T322)),BC322,0))),"RLO","BD"))))))))</f>
        <v/>
      </c>
    </row>
    <row r="323">
      <c r="A323" s="26" t="n">
        <v>312</v>
      </c>
      <c r="B323" s="27">
        <f>A323*10/60</f>
        <v/>
      </c>
      <c r="C323" s="22">
        <f>X322</f>
        <v/>
      </c>
      <c r="D323" s="27">
        <f>D322+W322</f>
        <v/>
      </c>
      <c r="E323" s="26">
        <f>E322+IF(U322="SK",1,0)</f>
        <v/>
      </c>
      <c r="F323" s="26">
        <f>F322+IF(U322="LB",1,0)</f>
        <v/>
      </c>
      <c r="G323" s="26">
        <f>G322+IF(U322="ML",1,0)</f>
        <v/>
      </c>
      <c r="H323" s="26">
        <f>H322+IF(U322="RLO",1,0)</f>
        <v/>
      </c>
      <c r="I323" s="26">
        <f>I322+IF(U322="BD",1,0)</f>
        <v/>
      </c>
      <c r="J323" s="26">
        <f>MAX(J322,IF(U322="BiP",1,0))</f>
        <v/>
      </c>
      <c r="K323" s="26">
        <f>MAX(K322,IF(U322="PV",1,0))</f>
        <v/>
      </c>
      <c r="L323" s="26">
        <f>MAX(L322,IF(U322="OC",1,0))</f>
        <v/>
      </c>
      <c r="M323" s="26">
        <f>MAX(M322,IF(U322="MG",1,0))</f>
        <v/>
      </c>
      <c r="N323" s="26">
        <f>MAX(N322,IF(U322="transition",1,0))</f>
        <v/>
      </c>
      <c r="O323" s="28">
        <f>(Parameters!$B$9+(IF(E323=0,0,(Upgrades!$J$13+E323*Upgrades!$K$13)*POWER(Upgrades!$L$13,E323)))*(IF(Upgrades!$T$14="Stellar Kinematics",POWER(Upgrades!$U$14,F323),1)*IF(Upgrades!$T$15="Stellar Kinematics",POWER(Upgrades!$U$15,G323),1)*IF(Upgrades!$T$16="Stellar Kinematics",POWER(Upgrades!$U$16,H323),1)*IF(Upgrades!$T$17="Stellar Kinematics",POWER(Upgrades!$U$17,I323),1)*IF(Upgrades!$T$18="Stellar Kinematics",POWER(Upgrades!$U$18,J323),1)*IF(Upgrades!$T$19="Stellar Kinematics",POWER(Upgrades!$U$19,K323),1)*IF(Upgrades!$T$20="Stellar Kinematics",POWER(Upgrades!$U$20,L323),1)*IF(Upgrades!$T$21="Stellar Kinematics",POWER(Upgrades!$U$21,M323),1))+(IF(F323=0,0,(Upgrades!$J$14+F323*Upgrades!$K$14)*POWER(Upgrades!$L$14,F323)))*(IF(Upgrades!$T$13="Local Bubble",POWER(Upgrades!$U$13,E323),1)*IF(Upgrades!$T$15="Local Bubble",POWER(Upgrades!$U$15,G323),1)*IF(Upgrades!$T$16="Local Bubble",POWER(Upgrades!$U$16,H323),1)*IF(Upgrades!$T$17="Local Bubble",POWER(Upgrades!$U$17,I323),1)*IF(Upgrades!$T$18="Local Bubble",POWER(Upgrades!$U$18,J323),1)*IF(Upgrades!$T$19="Local Bubble",POWER(Upgrades!$U$19,K323),1)*IF(Upgrades!$T$20="Local Bubble",POWER(Upgrades!$U$20,L323),1)*IF(Upgrades!$T$21="Local Bubble",POWER(Upgrades!$U$21,M323),1))+(IF(G323=0,0,(Upgrades!$J$15+G323*Upgrades!$K$15)*POWER(Upgrades!$L$15,G323)))*(IF(Upgrades!$T$13="Microlensing",POWER(Upgrades!$U$13,E323),1)*IF(Upgrades!$T$14="Microlensing",POWER(Upgrades!$U$14,F323),1)*IF(Upgrades!$T$16="Microlensing",POWER(Upgrades!$U$16,H323),1)*IF(Upgrades!$T$17="Microlensing",POWER(Upgrades!$U$17,I323),1)*IF(Upgrades!$T$18="Microlensing",POWER(Upgrades!$U$18,J323),1)*IF(Upgrades!$T$19="Microlensing",POWER(Upgrades!$U$19,K323),1)*IF(Upgrades!$T$20="Microlensing",POWER(Upgrades!$U$20,L323),1)*IF(Upgrades!$T$21="Microlensing",POWER(Upgrades!$U$21,M323),1))+(IF(H323=0,0,(Upgrades!$J$16+H323*Upgrades!$K$16)*POWER(Upgrades!$L$16,H323)))*(IF(Upgrades!$T$13="Roche Lobe Overflow",POWER(Upgrades!$U$13,E323),1)*IF(Upgrades!$T$14="Roche Lobe Overflow",POWER(Upgrades!$U$14,F323),1)*IF(Upgrades!$T$15="Roche Lobe Overflow",POWER(Upgrades!$U$15,G323),1)*IF(Upgrades!$T$17="Roche Lobe Overflow",POWER(Upgrades!$U$17,I323),1)*IF(Upgrades!$T$18="Roche Lobe Overflow",POWER(Upgrades!$U$18,J323),1)*IF(Upgrades!$T$19="Roche Lobe Overflow",POWER(Upgrades!$U$19,K323),1)*IF(Upgrades!$T$20="Roche Lobe Overflow",POWER(Upgrades!$U$20,L323),1)*IF(Upgrades!$T$21="Roche Lobe Overflow",POWER(Upgrades!$U$21,M323),1))+(IF(I323=0,0,(Upgrades!$J$17+I323*Upgrades!$K$17)*POWER(Upgrades!$L$17,I323)))*(IF(Upgrades!$T$13="Brown Dwarf",POWER(Upgrades!$U$13,E323),1)*IF(Upgrades!$T$14="Brown Dwarf",POWER(Upgrades!$U$14,F323),1)*IF(Upgrades!$T$15="Brown Dwarf",POWER(Upgrades!$U$15,G323),1)*IF(Upgrades!$T$16="Brown Dwarf",POWER(Upgrades!$U$16,H323),1)*IF(Upgrades!$T$18="Brown Dwarf",POWER(Upgrades!$U$18,J323),1)*IF(Upgrades!$T$19="Brown Dwarf",POWER(Upgrades!$U$19,K323),1)*IF(Upgrades!$T$20="Brown Dwarf",POWER(Upgrades!$U$20,L323),1)*IF(Upgrades!$T$21="Brown Dwarf",POWER(Upgrades!$U$21,M323),1))+(IF(J323=0,0,(Upgrades!$J$18+J323*Upgrades!$K$18)*POWER(Upgrades!$L$18,J323)))*(IF(Upgrades!$T$13="Binary Partner",POWER(Upgrades!$U$13,E323),1)*IF(Upgrades!$T$14="Binary Partner",POWER(Upgrades!$U$14,F323),1)*IF(Upgrades!$T$15="Binary Partner",POWER(Upgrades!$U$15,G323),1)*IF(Upgrades!$T$16="Binary Partner",POWER(Upgrades!$U$16,H323),1)*IF(Upgrades!$T$17="Binary Partner",POWER(Upgrades!$U$17,I323),1)*IF(Upgrades!$T$19="Binary Partner",POWER(Upgrades!$U$19,K323),1)*IF(Upgrades!$T$20="Binary Partner",POWER(Upgrades!$U$20,L323),1)*IF(Upgrades!$T$21="Binary Partner",POWER(Upgrades!$U$21,M323),1))+(IF(K323=0,0,(Upgrades!$J$19+K323*Upgrades!$K$19)*POWER(Upgrades!$L$19,K323)))*(IF(Upgrades!$T$13="Peculiar Velocity",POWER(Upgrades!$U$13,E323),1)*IF(Upgrades!$T$14="Peculiar Velocity",POWER(Upgrades!$U$14,F323),1)*IF(Upgrades!$T$15="Peculiar Velocity",POWER(Upgrades!$U$15,G323),1)*IF(Upgrades!$T$16="Peculiar Velocity",POWER(Upgrades!$U$16,H323),1)*IF(Upgrades!$T$17="Peculiar Velocity",POWER(Upgrades!$U$17,I323),1)*IF(Upgrades!$T$18="Peculiar Velocity",POWER(Upgrades!$U$18,J323),1)*IF(Upgrades!$T$20="Peculiar Velocity",POWER(Upgrades!$U$20,L323),1)*IF(Upgrades!$T$21="Peculiar Velocity",POWER(Upgrades!$U$21,M323),1))+(IF(L323=0,0,(Upgrades!$J$20+L323*Upgrades!$K$20)*POWER(Upgrades!$L$20,L323)))*(IF(Upgrades!$T$13="Open Cluster",POWER(Upgrades!$U$13,E323),1)*IF(Upgrades!$T$14="Open Cluster",POWER(Upgrades!$U$14,F323),1)*IF(Upgrades!$T$15="Open Cluster",POWER(Upgrades!$U$15,G323),1)*IF(Upgrades!$T$16="Open Cluster",POWER(Upgrades!$U$16,H323),1)*IF(Upgrades!$T$17="Open Cluster",POWER(Upgrades!$U$17,I323),1)*IF(Upgrades!$T$18="Open Cluster",POWER(Upgrades!$U$18,J323),1)*IF(Upgrades!$T$19="Open Cluster",POWER(Upgrades!$U$19,K323),1)*IF(Upgrades!$T$21="Open Cluster",POWER(Upgrades!$U$21,M323),1))+(IF(M323=0,0,(Upgrades!$J$21+M323*Upgrades!$K$21)*POWER(Upgrades!$L$21,M323)))*(IF(Upgrades!$T$13="Moving Group",POWER(Upgrades!$U$13,E323),1)*IF(Upgrades!$T$14="Moving Group",POWER(Upgrades!$U$14,F323),1)*IF(Upgrades!$T$15="Moving Group",POWER(Upgrades!$U$15,G323),1)*IF(Upgrades!$T$16="Moving Group",POWER(Upgrades!$U$16,H323),1)*IF(Upgrades!$T$17="Moving Group",POWER(Upgrades!$U$17,I323),1)*IF(Upgrades!$T$18="Moving Group",POWER(Upgrades!$U$18,J323),1)*IF(Upgrades!$T$19="Moving Group",POWER(Upgrades!$U$19,K323),1)*IF(Upgrades!$T$20="Moving Group",POWER(Upgrades!$U$20,L323),1)))*POWER(Upgrades!$Q$13,E323)*POWER(Upgrades!$Q$14,F323)*POWER(Upgrades!$Q$15,G323)*POWER(Upgrades!$Q$16,H323)*POWER(Upgrades!$Q$17,I323)*POWER(Upgrades!$Q$18,J323)*POWER(Upgrades!$Q$19,K323)*POWER(Upgrades!$Q$20,L323)*POWER(Upgrades!$Q$21,M323)*$G$6+$D$6</f>
        <v/>
      </c>
      <c r="P323" s="28">
        <f>((IF(E323=0,0,(Upgrades!$G$13+E323*Upgrades!$H$13)*POWER(Upgrades!$I$13,E323)))*(IF(Upgrades!$T$14="Stellar Kinematics",POWER(Upgrades!$U$14,F323),1)*IF(Upgrades!$T$15="Stellar Kinematics",POWER(Upgrades!$U$15,G323),1)*IF(Upgrades!$T$16="Stellar Kinematics",POWER(Upgrades!$U$16,H323),1)*IF(Upgrades!$T$17="Stellar Kinematics",POWER(Upgrades!$U$17,I323),1)*IF(Upgrades!$T$18="Stellar Kinematics",POWER(Upgrades!$U$18,J323),1)*IF(Upgrades!$T$19="Stellar Kinematics",POWER(Upgrades!$U$19,K323),1)*IF(Upgrades!$T$20="Stellar Kinematics",POWER(Upgrades!$U$20,L323),1)*IF(Upgrades!$T$21="Stellar Kinematics",POWER(Upgrades!$U$21,M323),1))+(IF(F323=0,0,(Upgrades!$G$14+F323*Upgrades!$H$14)*POWER(Upgrades!$I$14,F323)))*(IF(Upgrades!$T$13="Local Bubble",POWER(Upgrades!$U$13,E323),1)*IF(Upgrades!$T$15="Local Bubble",POWER(Upgrades!$U$15,G323),1)*IF(Upgrades!$T$16="Local Bubble",POWER(Upgrades!$U$16,H323),1)*IF(Upgrades!$T$17="Local Bubble",POWER(Upgrades!$U$17,I323),1)*IF(Upgrades!$T$18="Local Bubble",POWER(Upgrades!$U$18,J323),1)*IF(Upgrades!$T$19="Local Bubble",POWER(Upgrades!$U$19,K323),1)*IF(Upgrades!$T$20="Local Bubble",POWER(Upgrades!$U$20,L323),1)*IF(Upgrades!$T$21="Local Bubble",POWER(Upgrades!$U$21,M323),1))+(IF(G323=0,0,(Upgrades!$G$15+G323*Upgrades!$H$15)*POWER(Upgrades!$I$15,G323)))*(IF(Upgrades!$T$13="Microlensing",POWER(Upgrades!$U$13,E323),1)*IF(Upgrades!$T$14="Microlensing",POWER(Upgrades!$U$14,F323),1)*IF(Upgrades!$T$16="Microlensing",POWER(Upgrades!$U$16,H323),1)*IF(Upgrades!$T$17="Microlensing",POWER(Upgrades!$U$17,I323),1)*IF(Upgrades!$T$18="Microlensing",POWER(Upgrades!$U$18,J323),1)*IF(Upgrades!$T$19="Microlensing",POWER(Upgrades!$U$19,K323),1)*IF(Upgrades!$T$20="Microlensing",POWER(Upgrades!$U$20,L323),1)*IF(Upgrades!$T$21="Microlensing",POWER(Upgrades!$U$21,M323),1))+(IF(H323=0,0,(Upgrades!$G$16+H323*Upgrades!$H$16)*POWER(Upgrades!$I$16,H323)))*(IF(Upgrades!$T$13="Roche Lobe Overflow",POWER(Upgrades!$U$13,E323),1)*IF(Upgrades!$T$14="Roche Lobe Overflow",POWER(Upgrades!$U$14,F323),1)*IF(Upgrades!$T$15="Roche Lobe Overflow",POWER(Upgrades!$U$15,G323),1)*IF(Upgrades!$T$17="Roche Lobe Overflow",POWER(Upgrades!$U$17,I323),1)*IF(Upgrades!$T$18="Roche Lobe Overflow",POWER(Upgrades!$U$18,J323),1)*IF(Upgrades!$T$19="Roche Lobe Overflow",POWER(Upgrades!$U$19,K323),1)*IF(Upgrades!$T$20="Roche Lobe Overflow",POWER(Upgrades!$U$20,L323),1)*IF(Upgrades!$T$21="Roche Lobe Overflow",POWER(Upgrades!$U$21,M323),1))+(IF(I323=0,0,(Upgrades!$G$17+I323*Upgrades!$H$17)*POWER(Upgrades!$I$17,I323)))*(IF(Upgrades!$T$13="Brown Dwarf",POWER(Upgrades!$U$13,E323),1)*IF(Upgrades!$T$14="Brown Dwarf",POWER(Upgrades!$U$14,F323),1)*IF(Upgrades!$T$15="Brown Dwarf",POWER(Upgrades!$U$15,G323),1)*IF(Upgrades!$T$16="Brown Dwarf",POWER(Upgrades!$U$16,H323),1)*IF(Upgrades!$T$18="Brown Dwarf",POWER(Upgrades!$U$18,J323),1)*IF(Upgrades!$T$19="Brown Dwarf",POWER(Upgrades!$U$19,K323),1)*IF(Upgrades!$T$20="Brown Dwarf",POWER(Upgrades!$U$20,L323),1)*IF(Upgrades!$T$21="Brown Dwarf",POWER(Upgrades!$U$21,M323),1))+(IF(J323=0,0,(Upgrades!$G$18+J323*Upgrades!$H$18)*POWER(Upgrades!$I$18,J323)))*(IF(Upgrades!$T$13="Binary Partner",POWER(Upgrades!$U$13,E323),1)*IF(Upgrades!$T$14="Binary Partner",POWER(Upgrades!$U$14,F323),1)*IF(Upgrades!$T$15="Binary Partner",POWER(Upgrades!$U$15,G323),1)*IF(Upgrades!$T$16="Binary Partner",POWER(Upgrades!$U$16,H323),1)*IF(Upgrades!$T$17="Binary Partner",POWER(Upgrades!$U$17,I323),1)*IF(Upgrades!$T$19="Binary Partner",POWER(Upgrades!$U$19,K323),1)*IF(Upgrades!$T$20="Binary Partner",POWER(Upgrades!$U$20,L323),1)*IF(Upgrades!$T$21="Binary Partner",POWER(Upgrades!$U$21,M323),1))+(IF(K323=0,0,(Upgrades!$G$19+K323*Upgrades!$H$19)*POWER(Upgrades!$I$19,K323)))*(IF(Upgrades!$T$13="Peculiar Velocity",POWER(Upgrades!$U$13,E323),1)*IF(Upgrades!$T$14="Peculiar Velocity",POWER(Upgrades!$U$14,F323),1)*IF(Upgrades!$T$15="Peculiar Velocity",POWER(Upgrades!$U$15,G323),1)*IF(Upgrades!$T$16="Peculiar Velocity",POWER(Upgrades!$U$16,H323),1)*IF(Upgrades!$T$17="Peculiar Velocity",POWER(Upgrades!$U$17,I323),1)*IF(Upgrades!$T$18="Peculiar Velocity",POWER(Upgrades!$U$18,J323),1)*IF(Upgrades!$T$20="Peculiar Velocity",POWER(Upgrades!$U$20,L323),1)*IF(Upgrades!$T$21="Peculiar Velocity",POWER(Upgrades!$U$21,M323),1))+(IF(L323=0,0,(Upgrades!$G$20+L323*Upgrades!$H$20)*POWER(Upgrades!$I$20,L323)))*(IF(Upgrades!$T$13="Open Cluster",POWER(Upgrades!$U$13,E323),1)*IF(Upgrades!$T$14="Open Cluster",POWER(Upgrades!$U$14,F323),1)*IF(Upgrades!$T$15="Open Cluster",POWER(Upgrades!$U$15,G323),1)*IF(Upgrades!$T$16="Open Cluster",POWER(Upgrades!$U$16,H323),1)*IF(Upgrades!$T$17="Open Cluster",POWER(Upgrades!$U$17,I323),1)*IF(Upgrades!$T$18="Open Cluster",POWER(Upgrades!$U$18,J323),1)*IF(Upgrades!$T$19="Open Cluster",POWER(Upgrades!$U$19,K323),1)*IF(Upgrades!$T$21="Open Cluster",POWER(Upgrades!$U$21,M323),1))+(IF(M323=0,0,(Upgrades!$G$21+M323*Upgrades!$H$21)*POWER(Upgrades!$I$21,M323)))*(IF(Upgrades!$T$13="Moving Group",POWER(Upgrades!$U$13,E323),1)*IF(Upgrades!$T$14="Moving Group",POWER(Upgrades!$U$14,F323),1)*IF(Upgrades!$T$15="Moving Group",POWER(Upgrades!$U$15,G323),1)*IF(Upgrades!$T$16="Moving Group",POWER(Upgrades!$U$16,H323),1)*IF(Upgrades!$T$17="Moving Group",POWER(Upgrades!$U$17,I323),1)*IF(Upgrades!$T$18="Moving Group",POWER(Upgrades!$U$18,J323),1)*IF(Upgrades!$T$19="Moving Group",POWER(Upgrades!$U$19,K323),1)*IF(Upgrades!$T$20="Moving Group",POWER(Upgrades!$U$20,L323),1)))*POWER(Upgrades!$P$13,E323)*POWER(Upgrades!$P$14,F323)*POWER(Upgrades!$P$15,G323)*POWER(Upgrades!$P$16,H323)*POWER(Upgrades!$P$17,I323)*POWER(Upgrades!$P$18,J323)*POWER(Upgrades!$P$19,K323)*POWER(Upgrades!$P$20,L323)*POWER(Upgrades!$P$21,M323)*$F$6+$C$6</f>
        <v/>
      </c>
      <c r="Q323" s="28">
        <f>((IF(E323=0,0,(Upgrades!$M$13+E323*Upgrades!$N$13)*POWER(Upgrades!$O$13,E323)))*(IF(Upgrades!$T$14="Stellar Kinematics",POWER(Upgrades!$U$14,F323),1)*IF(Upgrades!$T$15="Stellar Kinematics",POWER(Upgrades!$U$15,G323),1)*IF(Upgrades!$T$16="Stellar Kinematics",POWER(Upgrades!$U$16,H323),1)*IF(Upgrades!$T$17="Stellar Kinematics",POWER(Upgrades!$U$17,I323),1)*IF(Upgrades!$T$18="Stellar Kinematics",POWER(Upgrades!$U$18,J323),1)*IF(Upgrades!$T$19="Stellar Kinematics",POWER(Upgrades!$U$19,K323),1)*IF(Upgrades!$T$20="Stellar Kinematics",POWER(Upgrades!$U$20,L323),1)*IF(Upgrades!$T$21="Stellar Kinematics",POWER(Upgrades!$U$21,M323),1))+(IF(F323=0,0,(Upgrades!$M$14+F323*Upgrades!$N$14)*POWER(Upgrades!$O$14,F323)))*(IF(Upgrades!$T$13="Local Bubble",POWER(Upgrades!$U$13,E323),1)*IF(Upgrades!$T$15="Local Bubble",POWER(Upgrades!$U$15,G323),1)*IF(Upgrades!$T$16="Local Bubble",POWER(Upgrades!$U$16,H323),1)*IF(Upgrades!$T$17="Local Bubble",POWER(Upgrades!$U$17,I323),1)*IF(Upgrades!$T$18="Local Bubble",POWER(Upgrades!$U$18,J323),1)*IF(Upgrades!$T$19="Local Bubble",POWER(Upgrades!$U$19,K323),1)*IF(Upgrades!$T$20="Local Bubble",POWER(Upgrades!$U$20,L323),1)*IF(Upgrades!$T$21="Local Bubble",POWER(Upgrades!$U$21,M323),1))+(IF(G323=0,0,(Upgrades!$M$15+G323*Upgrades!$N$15)*POWER(Upgrades!$O$15,G323)))*(IF(Upgrades!$T$13="Microlensing",POWER(Upgrades!$U$13,E323),1)*IF(Upgrades!$T$14="Microlensing",POWER(Upgrades!$U$14,F323),1)*IF(Upgrades!$T$16="Microlensing",POWER(Upgrades!$U$16,H323),1)*IF(Upgrades!$T$17="Microlensing",POWER(Upgrades!$U$17,I323),1)*IF(Upgrades!$T$18="Microlensing",POWER(Upgrades!$U$18,J323),1)*IF(Upgrades!$T$19="Microlensing",POWER(Upgrades!$U$19,K323),1)*IF(Upgrades!$T$20="Microlensing",POWER(Upgrades!$U$20,L323),1)*IF(Upgrades!$T$21="Microlensing",POWER(Upgrades!$U$21,M323),1))+(IF(H323=0,0,(Upgrades!$M$16+H323*Upgrades!$N$16)*POWER(Upgrades!$O$16,H323)))*(IF(Upgrades!$T$13="Roche Lobe Overflow",POWER(Upgrades!$U$13,E323),1)*IF(Upgrades!$T$14="Roche Lobe Overflow",POWER(Upgrades!$U$14,F323),1)*IF(Upgrades!$T$15="Roche Lobe Overflow",POWER(Upgrades!$U$15,G323),1)*IF(Upgrades!$T$17="Roche Lobe Overflow",POWER(Upgrades!$U$17,I323),1)*IF(Upgrades!$T$18="Roche Lobe Overflow",POWER(Upgrades!$U$18,J323),1)*IF(Upgrades!$T$19="Roche Lobe Overflow",POWER(Upgrades!$U$19,K323),1)*IF(Upgrades!$T$20="Roche Lobe Overflow",POWER(Upgrades!$U$20,L323),1)*IF(Upgrades!$T$21="Roche Lobe Overflow",POWER(Upgrades!$U$21,M323),1))+(IF(I323=0,0,(Upgrades!$M$17+I323*Upgrades!$N$17)*POWER(Upgrades!$O$17,I323)))*(IF(Upgrades!$T$13="Brown Dwarf",POWER(Upgrades!$U$13,E323),1)*IF(Upgrades!$T$14="Brown Dwarf",POWER(Upgrades!$U$14,F323),1)*IF(Upgrades!$T$15="Brown Dwarf",POWER(Upgrades!$U$15,G323),1)*IF(Upgrades!$T$16="Brown Dwarf",POWER(Upgrades!$U$16,H323),1)*IF(Upgrades!$T$18="Brown Dwarf",POWER(Upgrades!$U$18,J323),1)*IF(Upgrades!$T$19="Brown Dwarf",POWER(Upgrades!$U$19,K323),1)*IF(Upgrades!$T$20="Brown Dwarf",POWER(Upgrades!$U$20,L323),1)*IF(Upgrades!$T$21="Brown Dwarf",POWER(Upgrades!$U$21,M323),1))+(IF(J323=0,0,(Upgrades!$M$18+J323*Upgrades!$N$18)*POWER(Upgrades!$O$18,J323)))*(IF(Upgrades!$T$13="Binary Partner",POWER(Upgrades!$U$13,E323),1)*IF(Upgrades!$T$14="Binary Partner",POWER(Upgrades!$U$14,F323),1)*IF(Upgrades!$T$15="Binary Partner",POWER(Upgrades!$U$15,G323),1)*IF(Upgrades!$T$16="Binary Partner",POWER(Upgrades!$U$16,H323),1)*IF(Upgrades!$T$17="Binary Partner",POWER(Upgrades!$U$17,I323),1)*IF(Upgrades!$T$19="Binary Partner",POWER(Upgrades!$U$19,K323),1)*IF(Upgrades!$T$20="Binary Partner",POWER(Upgrades!$U$20,L323),1)*IF(Upgrades!$T$21="Binary Partner",POWER(Upgrades!$U$21,M323),1))+(IF(K323=0,0,(Upgrades!$M$19+K323*Upgrades!$N$19)*POWER(Upgrades!$O$19,K323)))*(IF(Upgrades!$T$13="Peculiar Velocity",POWER(Upgrades!$U$13,E323),1)*IF(Upgrades!$T$14="Peculiar Velocity",POWER(Upgrades!$U$14,F323),1)*IF(Upgrades!$T$15="Peculiar Velocity",POWER(Upgrades!$U$15,G323),1)*IF(Upgrades!$T$16="Peculiar Velocity",POWER(Upgrades!$U$16,H323),1)*IF(Upgrades!$T$17="Peculiar Velocity",POWER(Upgrades!$U$17,I323),1)*IF(Upgrades!$T$18="Peculiar Velocity",POWER(Upgrades!$U$18,J323),1)*IF(Upgrades!$T$20="Peculiar Velocity",POWER(Upgrades!$U$20,L323),1)*IF(Upgrades!$T$21="Peculiar Velocity",POWER(Upgrades!$U$21,M323),1))+(IF(L323=0,0,(Upgrades!$M$20+L323*Upgrades!$N$20)*POWER(Upgrades!$O$20,L323)))*(IF(Upgrades!$T$13="Open Cluster",POWER(Upgrades!$U$13,E323),1)*IF(Upgrades!$T$14="Open Cluster",POWER(Upgrades!$U$14,F323),1)*IF(Upgrades!$T$15="Open Cluster",POWER(Upgrades!$U$15,G323),1)*IF(Upgrades!$T$16="Open Cluster",POWER(Upgrades!$U$16,H323),1)*IF(Upgrades!$T$17="Open Cluster",POWER(Upgrades!$U$17,I323),1)*IF(Upgrades!$T$18="Open Cluster",POWER(Upgrades!$U$18,J323),1)*IF(Upgrades!$T$19="Open Cluster",POWER(Upgrades!$U$19,K323),1)*IF(Upgrades!$T$21="Open Cluster",POWER(Upgrades!$U$21,M323),1))+(IF(M323=0,0,(Upgrades!$M$21+M323*Upgrades!$N$21)*POWER(Upgrades!$O$21,M323)))*(IF(Upgrades!$T$13="Moving Group",POWER(Upgrades!$U$13,E323),1)*IF(Upgrades!$T$14="Moving Group",POWER(Upgrades!$U$14,F323),1)*IF(Upgrades!$T$15="Moving Group",POWER(Upgrades!$U$15,G323),1)*IF(Upgrades!$T$16="Moving Group",POWER(Upgrades!$U$16,H323),1)*IF(Upgrades!$T$17="Moving Group",POWER(Upgrades!$U$17,I323),1)*IF(Upgrades!$T$18="Moving Group",POWER(Upgrades!$U$18,J323),1)*IF(Upgrades!$T$19="Moving Group",POWER(Upgrades!$U$19,K323),1)*IF(Upgrades!$T$20="Moving Group",POWER(Upgrades!$U$20,L323),1)))*POWER(Upgrades!$R$13,E323)*POWER(Upgrades!$R$14,F323)*POWER(Upgrades!$R$15,G323)*POWER(Upgrades!$R$16,H323)*POWER(Upgrades!$R$17,I323)*POWER(Upgrades!$R$18,J323)*POWER(Upgrades!$R$19,K323)*POWER(Upgrades!$R$20,L323)*POWER(Upgrades!$R$21,M323)*$H$6+$E$6</f>
        <v/>
      </c>
      <c r="R323" s="27">
        <f>IF(N323=1,0,O323*Parameters!$B$10/60*Parameters!$B$11*10)</f>
        <v/>
      </c>
      <c r="S323" s="27">
        <f>IF(N323=1,0,Q323*O323*10)</f>
        <v/>
      </c>
      <c r="T323" s="27">
        <f>IF(N323=1,0,R323+S323+P323*10)</f>
        <v/>
      </c>
      <c r="U323" s="33">
        <f>BE323</f>
        <v/>
      </c>
      <c r="V323" s="22">
        <f>IF(U323="",0,IF(U323="transition",0,IF(U323="SK",AK323,IF(U323="LB",AL323,IF(U323="ML",AM323,IF(U323="RLO",AN323,IF(U323="BD",AO323,IF(U323="BiP",AP323,IF(U323="PV",AQ323,IF(U323="OC",AR323,IF(U323="MG",AS323,0))))))))))</f>
        <v/>
      </c>
      <c r="W323" s="27">
        <f>IF(U323="BiP",Upgrades!$F$18,IF(U323="PV",Upgrades!$F$19,IF(U323="OC",Upgrades!$F$20,IF(U323="MG",Upgrades!$F$21,IF(U323="transition",-Parameters!$B$18*Parameters!$B$19,0)))))</f>
        <v/>
      </c>
      <c r="X323" s="22">
        <f>C323+T323-V323</f>
        <v/>
      </c>
      <c r="Y323" s="30">
        <f>O323*Parameters!$B$10/60*Parameters!$B$11+Q323*O323+P323</f>
        <v/>
      </c>
      <c r="Z323" s="34">
        <f>IF(U323="transition","→ Tier 3 (Galactic Arm)",IF(U323="MG","Moving Group — pocket drifts together",IF(U323="OC","Open Cluster acquired",IF(U323="PV","Peculiar Velocity — passive multiplier active",IF(U323="BiP","Binary Partner — pair bond formed",IF(AND(AU323=1,N323=0,AT323&lt;&gt;1),"Cohesion ready (waiting on completionists)","")))))) </f>
        <v/>
      </c>
      <c r="AA323" s="27">
        <f>(IF(E323=0,0,(Upgrades!$G$13+E323*Upgrades!$H$13)*POWER(Upgrades!$I$13,E323)))*(IF(Upgrades!$T$14="Stellar Kinematics",POWER(Upgrades!$U$14,F323),1)*IF(Upgrades!$T$15="Stellar Kinematics",POWER(Upgrades!$U$15,G323),1)*IF(Upgrades!$T$16="Stellar Kinematics",POWER(Upgrades!$U$16,H323),1)*IF(Upgrades!$T$17="Stellar Kinematics",POWER(Upgrades!$U$17,I323),1)*IF(Upgrades!$T$18="Stellar Kinematics",POWER(Upgrades!$U$18,J323),1)*IF(Upgrades!$T$19="Stellar Kinematics",POWER(Upgrades!$U$19,K323),1)*IF(Upgrades!$T$20="Stellar Kinematics",POWER(Upgrades!$U$20,L323),1)*IF(Upgrades!$T$21="Stellar Kinematics",POWER(Upgrades!$U$21,M323),1))*POWER(Upgrades!$P$13,E323)*POWER(Upgrades!$P$14,F323)*POWER(Upgrades!$P$15,G323)*POWER(Upgrades!$P$16,H323)*POWER(Upgrades!$P$17,I323)*POWER(Upgrades!$P$18,J323)*POWER(Upgrades!$P$19,K323)*POWER(Upgrades!$P$20,L323)*POWER(Upgrades!$P$21,M323)*$F$6*60</f>
        <v/>
      </c>
      <c r="AB323" s="27">
        <f>(IF(F323=0,0,(Upgrades!$G$14+F323*Upgrades!$H$14)*POWER(Upgrades!$I$14,F323)))*(IF(Upgrades!$T$13="Local Bubble",POWER(Upgrades!$U$13,E323),1)*IF(Upgrades!$T$15="Local Bubble",POWER(Upgrades!$U$15,G323),1)*IF(Upgrades!$T$16="Local Bubble",POWER(Upgrades!$U$16,H323),1)*IF(Upgrades!$T$17="Local Bubble",POWER(Upgrades!$U$17,I323),1)*IF(Upgrades!$T$18="Local Bubble",POWER(Upgrades!$U$18,J323),1)*IF(Upgrades!$T$19="Local Bubble",POWER(Upgrades!$U$19,K323),1)*IF(Upgrades!$T$20="Local Bubble",POWER(Upgrades!$U$20,L323),1)*IF(Upgrades!$T$21="Local Bubble",POWER(Upgrades!$U$21,M323),1))*POWER(Upgrades!$P$13,E323)*POWER(Upgrades!$P$14,F323)*POWER(Upgrades!$P$15,G323)*POWER(Upgrades!$P$16,H323)*POWER(Upgrades!$P$17,I323)*POWER(Upgrades!$P$18,J323)*POWER(Upgrades!$P$19,K323)*POWER(Upgrades!$P$20,L323)*POWER(Upgrades!$P$21,M323)*$F$6*60</f>
        <v/>
      </c>
      <c r="AC323" s="27">
        <f>(IF(G323=0,0,(Upgrades!$J$15+G323*Upgrades!$K$15)*POWER(Upgrades!$L$15,G323)))*(IF(Upgrades!$T$13="Microlensing",POWER(Upgrades!$U$13,E323),1)*IF(Upgrades!$T$14="Microlensing",POWER(Upgrades!$U$14,F323),1)*IF(Upgrades!$T$16="Microlensing",POWER(Upgrades!$U$16,H323),1)*IF(Upgrades!$T$17="Microlensing",POWER(Upgrades!$U$17,I323),1)*IF(Upgrades!$T$18="Microlensing",POWER(Upgrades!$U$18,J323),1)*IF(Upgrades!$T$19="Microlensing",POWER(Upgrades!$U$19,K323),1)*IF(Upgrades!$T$20="Microlensing",POWER(Upgrades!$U$20,L323),1)*IF(Upgrades!$T$21="Microlensing",POWER(Upgrades!$U$21,M323),1))*POWER(Upgrades!$Q$13,E323)*POWER(Upgrades!$Q$14,F323)*POWER(Upgrades!$Q$15,G323)*POWER(Upgrades!$Q$16,H323)*POWER(Upgrades!$Q$17,I323)*POWER(Upgrades!$Q$18,J323)*POWER(Upgrades!$Q$19,K323)*POWER(Upgrades!$Q$20,L323)*POWER(Upgrades!$Q$21,M323)*$G$6*(Parameters!$B$10*Parameters!$B$11+Q323*60)</f>
        <v/>
      </c>
      <c r="AD323" s="27">
        <f>(IF(H323=0,0,(Upgrades!$M$16+H323*Upgrades!$N$16)*POWER(Upgrades!$O$16,H323)))*(IF(Upgrades!$T$13="Roche Lobe Overflow",POWER(Upgrades!$U$13,E323),1)*IF(Upgrades!$T$14="Roche Lobe Overflow",POWER(Upgrades!$U$14,F323),1)*IF(Upgrades!$T$15="Roche Lobe Overflow",POWER(Upgrades!$U$15,G323),1)*IF(Upgrades!$T$17="Roche Lobe Overflow",POWER(Upgrades!$U$17,I323),1)*IF(Upgrades!$T$18="Roche Lobe Overflow",POWER(Upgrades!$U$18,J323),1)*IF(Upgrades!$T$19="Roche Lobe Overflow",POWER(Upgrades!$U$19,K323),1)*IF(Upgrades!$T$20="Roche Lobe Overflow",POWER(Upgrades!$U$20,L323),1)*IF(Upgrades!$T$21="Roche Lobe Overflow",POWER(Upgrades!$U$21,M323),1))*POWER(Upgrades!$R$13,E323)*POWER(Upgrades!$R$14,F323)*POWER(Upgrades!$R$15,G323)*POWER(Upgrades!$R$16,H323)*POWER(Upgrades!$R$17,I323)*POWER(Upgrades!$R$18,J323)*POWER(Upgrades!$R$19,K323)*POWER(Upgrades!$R$20,L323)*POWER(Upgrades!$R$21,M323)*$H$6*O323*60</f>
        <v/>
      </c>
      <c r="AE323" s="27">
        <f>(IF(I323=0,0,(Upgrades!$G$17+I323*Upgrades!$H$17)*POWER(Upgrades!$I$17,I323)))*(IF(Upgrades!$T$13="Brown Dwarf",POWER(Upgrades!$U$13,E323),1)*IF(Upgrades!$T$14="Brown Dwarf",POWER(Upgrades!$U$14,F323),1)*IF(Upgrades!$T$15="Brown Dwarf",POWER(Upgrades!$U$15,G323),1)*IF(Upgrades!$T$16="Brown Dwarf",POWER(Upgrades!$U$16,H323),1)*IF(Upgrades!$T$18="Brown Dwarf",POWER(Upgrades!$U$18,J323),1)*IF(Upgrades!$T$19="Brown Dwarf",POWER(Upgrades!$U$19,K323),1)*IF(Upgrades!$T$20="Brown Dwarf",POWER(Upgrades!$U$20,L323),1)*IF(Upgrades!$T$21="Brown Dwarf",POWER(Upgrades!$U$21,M323),1))*POWER(Upgrades!$P$13,E323)*POWER(Upgrades!$P$14,F323)*POWER(Upgrades!$P$15,G323)*POWER(Upgrades!$P$16,H323)*POWER(Upgrades!$P$17,I323)*POWER(Upgrades!$P$18,J323)*POWER(Upgrades!$P$19,K323)*POWER(Upgrades!$P$20,L323)*POWER(Upgrades!$P$21,M323)*$F$6*60</f>
        <v/>
      </c>
      <c r="AF323" s="27" t="n">
        <v>0</v>
      </c>
      <c r="AG323" s="27" t="n">
        <v>0</v>
      </c>
      <c r="AH323" s="27" t="n">
        <v>0</v>
      </c>
      <c r="AI323" s="27">
        <f>(IF(M323=0,0,(Upgrades!$G$21+M323*Upgrades!$H$21)*POWER(Upgrades!$I$21,M323)))*(IF(Upgrades!$T$13="Moving Group",POWER(Upgrades!$U$13,E323),1)*IF(Upgrades!$T$14="Moving Group",POWER(Upgrades!$U$14,F323),1)*IF(Upgrades!$T$15="Moving Group",POWER(Upgrades!$U$15,G323),1)*IF(Upgrades!$T$16="Moving Group",POWER(Upgrades!$U$16,H323),1)*IF(Upgrades!$T$17="Moving Group",POWER(Upgrades!$U$17,I323),1)*IF(Upgrades!$T$18="Moving Group",POWER(Upgrades!$U$18,J323),1)*IF(Upgrades!$T$19="Moving Group",POWER(Upgrades!$U$19,K323),1)*IF(Upgrades!$T$20="Moving Group",POWER(Upgrades!$U$20,L323),1))*POWER(Upgrades!$P$13,E323)*POWER(Upgrades!$P$14,F323)*POWER(Upgrades!$P$15,G323)*POWER(Upgrades!$P$16,H323)*POWER(Upgrades!$P$17,I323)*POWER(Upgrades!$P$18,J323)*POWER(Upgrades!$P$19,K323)*POWER(Upgrades!$P$20,L323)*POWER(Upgrades!$P$21,M323)*$F$6*60</f>
        <v/>
      </c>
      <c r="AJ323" s="27">
        <f>$C$6*60</f>
        <v/>
      </c>
      <c r="AK323" s="22">
        <f>IF(E323&gt;=Upgrades!$E$13,"",Upgrades!$C$13*POWER(Upgrades!$D$13,E323))</f>
        <v/>
      </c>
      <c r="AL323" s="22">
        <f>IF(F323&gt;=Upgrades!$E$14,"",Upgrades!$C$14*POWER(Upgrades!$D$14,F323))</f>
        <v/>
      </c>
      <c r="AM323" s="22">
        <f>IF(G323&gt;=Upgrades!$E$15,"",Upgrades!$C$15*POWER(Upgrades!$D$15,G323))</f>
        <v/>
      </c>
      <c r="AN323" s="22">
        <f>IF(H323&gt;=Upgrades!$E$16,"",Upgrades!$C$16*POWER(Upgrades!$D$16,H323))</f>
        <v/>
      </c>
      <c r="AO323" s="22">
        <f>IF(I323&gt;=Upgrades!$E$17,"",Upgrades!$C$17*POWER(Upgrades!$D$17,I323))</f>
        <v/>
      </c>
      <c r="AP323" s="22">
        <f>IF(J323&gt;=Upgrades!$E$18,"",Upgrades!$C$18*POWER(Upgrades!$D$18,J323))</f>
        <v/>
      </c>
      <c r="AQ323" s="22">
        <f>IF(K323&gt;=Upgrades!$E$19,"",Upgrades!$C$19*POWER(Upgrades!$D$19,K323))</f>
        <v/>
      </c>
      <c r="AR323" s="22">
        <f>IF(L323&gt;=Upgrades!$E$20,"",Upgrades!$C$20*POWER(Upgrades!$D$20,L323))</f>
        <v/>
      </c>
      <c r="AS323" s="22">
        <f>IF(M323&gt;=Upgrades!$E$21,"",Upgrades!$C$21*POWER(Upgrades!$D$21,M323))</f>
        <v/>
      </c>
      <c r="AT323" s="26">
        <f>IF(AND(D323&gt;=Parameters!$B$18*Parameters!$B$19,(I323&gt;=Upgrades!$E$17)*(M323&gt;=Upgrades!$E$21)=1,N323=0),1,"")</f>
        <v/>
      </c>
      <c r="AU323" s="26">
        <f>IF(AND(D323&gt;=Parameters!$B$18*Parameters!$B$19,N323=0),1,"")</f>
        <v/>
      </c>
      <c r="AV323" s="22">
        <f>MIN(IF(ISNUMBER(AP323),AP323,9E15),IF(ISNUMBER(AQ323),AQ323,9E15),IF(ISNUMBER(AR323),AR323,9E15),IF(ISNUMBER(AS323),AS323,9E15))</f>
        <v/>
      </c>
      <c r="AW323" s="22">
        <f>MIN(IF(ISNUMBER(AK323),AK323,9E15),IF(ISNUMBER(AL323),AL323,9E15),IF(ISNUMBER(AM323),AM323,9E15),IF(ISNUMBER(AN323),AN323,9E15),IF(ISNUMBER(AO323),AO323,9E15))</f>
        <v/>
      </c>
      <c r="AX323" s="29">
        <f>IF(BD323&gt;Parameters!$B$21*(MAX(IF(AND(NOT(AND(AU323=1,AT323&lt;&gt;1)),ISNUMBER(AK323),AK323&lt;=(C323+T323)),AY323,0),IF(AND(NOT(AND(AU323=1,AT323&lt;&gt;1)),ISNUMBER(AL323),AL323&lt;=(C323+T323)),AZ323,0),IF(AND(NOT(AND(AU323=1,AT323&lt;&gt;1)),ISNUMBER(AM323),AM323&lt;=(C323+T323)),BA323,0),IF(AND(NOT(AND(AU323=1,AT323&lt;&gt;1)),ISNUMBER(AN323),AN323&lt;=(C323+T323)),BB323,0),IF(AND(ISNUMBER(AO323),AO323&lt;=(C323+T323)),BC323,0))),TRUE,FALSE)</f>
        <v/>
      </c>
      <c r="AY323" s="32">
        <f>IFERROR(Upgrades!$H$13*(POWER(Upgrades!$P$13,E323)*POWER(Upgrades!$P$14,F323)*POWER(Upgrades!$P$15,G323)*POWER(Upgrades!$P$16,H323)*POWER(Upgrades!$P$17,I323)*POWER(Upgrades!$P$18,J323)*POWER(Upgrades!$P$19,K323)*POWER(Upgrades!$P$20,L323)*POWER(Upgrades!$P$21,M323))*(IF(Upgrades!$T$14="Stellar Kinematics",POWER(Upgrades!$U$14,F323),1)*IF(Upgrades!$T$15="Stellar Kinematics",POWER(Upgrades!$U$15,G323),1)*IF(Upgrades!$T$16="Stellar Kinematics",POWER(Upgrades!$U$16,H323),1)*IF(Upgrades!$T$17="Stellar Kinematics",POWER(Upgrades!$U$17,I323),1)*IF(Upgrades!$T$18="Stellar Kinematics",POWER(Upgrades!$U$18,J323),1)*IF(Upgrades!$T$19="Stellar Kinematics",POWER(Upgrades!$U$19,K323),1)*IF(Upgrades!$T$20="Stellar Kinematics",POWER(Upgrades!$U$20,L323),1)*IF(Upgrades!$T$21="Stellar Kinematics",POWER(Upgrades!$U$21,M323),1))*$F$6/AK323,0)</f>
        <v/>
      </c>
      <c r="AZ323" s="32">
        <f>IFERROR(Upgrades!$H$14*(POWER(Upgrades!$P$13,E323)*POWER(Upgrades!$P$14,F323)*POWER(Upgrades!$P$15,G323)*POWER(Upgrades!$P$16,H323)*POWER(Upgrades!$P$17,I323)*POWER(Upgrades!$P$18,J323)*POWER(Upgrades!$P$19,K323)*POWER(Upgrades!$P$20,L323)*POWER(Upgrades!$P$21,M323))*(IF(Upgrades!$T$13="Local Bubble",POWER(Upgrades!$U$13,E323),1)*IF(Upgrades!$T$15="Local Bubble",POWER(Upgrades!$U$15,G323),1)*IF(Upgrades!$T$16="Local Bubble",POWER(Upgrades!$U$16,H323),1)*IF(Upgrades!$T$17="Local Bubble",POWER(Upgrades!$U$17,I323),1)*IF(Upgrades!$T$18="Local Bubble",POWER(Upgrades!$U$18,J323),1)*IF(Upgrades!$T$19="Local Bubble",POWER(Upgrades!$U$19,K323),1)*IF(Upgrades!$T$20="Local Bubble",POWER(Upgrades!$U$20,L323),1)*IF(Upgrades!$T$21="Local Bubble",POWER(Upgrades!$U$21,M323),1))*$F$6/AL323,0)</f>
        <v/>
      </c>
      <c r="BA323" s="32">
        <f>IFERROR(Upgrades!$K$15*(POWER(Upgrades!$Q$13,E323)*POWER(Upgrades!$Q$14,F323)*POWER(Upgrades!$Q$15,G323)*POWER(Upgrades!$Q$16,H323)*POWER(Upgrades!$Q$17,I323)*POWER(Upgrades!$Q$18,J323)*POWER(Upgrades!$Q$19,K323)*POWER(Upgrades!$Q$20,L323)*POWER(Upgrades!$Q$21,M323))*(IF(Upgrades!$T$13="Microlensing",POWER(Upgrades!$U$13,E323),1)*IF(Upgrades!$T$14="Microlensing",POWER(Upgrades!$U$14,F323),1)*IF(Upgrades!$T$16="Microlensing",POWER(Upgrades!$U$16,H323),1)*IF(Upgrades!$T$17="Microlensing",POWER(Upgrades!$U$17,I323),1)*IF(Upgrades!$T$18="Microlensing",POWER(Upgrades!$U$18,J323),1)*IF(Upgrades!$T$19="Microlensing",POWER(Upgrades!$U$19,K323),1)*IF(Upgrades!$T$20="Microlensing",POWER(Upgrades!$U$20,L323),1)*IF(Upgrades!$T$21="Microlensing",POWER(Upgrades!$U$21,M323),1))*$G$6*(Parameters!$B$10/60*Parameters!$B$11+Q323)/AM323,0)</f>
        <v/>
      </c>
      <c r="BB323" s="32">
        <f>IFERROR((Upgrades!$N$16*(POWER(Upgrades!$R$13,E323)*POWER(Upgrades!$R$14,F323)*POWER(Upgrades!$R$15,G323)*POWER(Upgrades!$R$16,H323)*POWER(Upgrades!$R$17,I323)*POWER(Upgrades!$R$18,J323)*POWER(Upgrades!$R$19,K323)*POWER(Upgrades!$R$20,L323)*POWER(Upgrades!$R$21,M323))*(IF(Upgrades!$T$13="Roche Lobe Overflow",POWER(Upgrades!$U$13,E323),1)*IF(Upgrades!$T$14="Roche Lobe Overflow",POWER(Upgrades!$U$14,F323),1)*IF(Upgrades!$T$15="Roche Lobe Overflow",POWER(Upgrades!$U$15,G323),1)*IF(Upgrades!$T$17="Roche Lobe Overflow",POWER(Upgrades!$U$17,I323),1)*IF(Upgrades!$T$18="Roche Lobe Overflow",POWER(Upgrades!$U$18,J323),1)*IF(Upgrades!$T$19="Roche Lobe Overflow",POWER(Upgrades!$U$19,K323),1)*IF(Upgrades!$T$20="Roche Lobe Overflow",POWER(Upgrades!$U$20,L323),1)*IF(Upgrades!$T$21="Roche Lobe Overflow",POWER(Upgrades!$U$21,M323),1))*$H$6*O323+((IF(F323=0,0,(Upgrades!$G$14+F323*Upgrades!$H$14)*POWER(Upgrades!$I$14,F323)))*(IF(Upgrades!$T$13="Local Bubble",POWER(Upgrades!$U$13,E323),1)*IF(Upgrades!$T$15="Local Bubble",POWER(Upgrades!$U$15,G323),1)*IF(Upgrades!$T$16="Local Bubble",POWER(Upgrades!$U$16,H323),1)*IF(Upgrades!$T$17="Local Bubble",POWER(Upgrades!$U$17,I323),1)*IF(Upgrades!$T$18="Local Bubble",POWER(Upgrades!$U$18,J323),1)*IF(Upgrades!$T$19="Local Bubble",POWER(Upgrades!$U$19,K323),1)*IF(Upgrades!$T$20="Local Bubble",POWER(Upgrades!$U$20,L323),1)*IF(Upgrades!$T$21="Local Bubble",POWER(Upgrades!$U$21,M323),1))*POWER(Upgrades!$P$13,E323)*POWER(Upgrades!$P$14,F323)*POWER(Upgrades!$P$15,G323)*POWER(Upgrades!$P$16,H323)*POWER(Upgrades!$P$17,I323)*POWER(Upgrades!$P$18,J323)*POWER(Upgrades!$P$19,K323)*POWER(Upgrades!$P$20,L323)*POWER(Upgrades!$P$21,M323)*$F$6)*0.05)/AN323,0)</f>
        <v/>
      </c>
      <c r="BC323" s="32">
        <f>IFERROR((Upgrades!$H$17*(POWER(Upgrades!$P$13,E323)*POWER(Upgrades!$P$14,F323)*POWER(Upgrades!$P$15,G323)*POWER(Upgrades!$P$16,H323)*POWER(Upgrades!$P$17,I323)*POWER(Upgrades!$P$18,J323)*POWER(Upgrades!$P$19,K323)*POWER(Upgrades!$P$20,L323)*POWER(Upgrades!$P$21,M323))*(IF(Upgrades!$T$13="Brown Dwarf",POWER(Upgrades!$U$13,E323),1)*IF(Upgrades!$T$14="Brown Dwarf",POWER(Upgrades!$U$14,F323),1)*IF(Upgrades!$T$15="Brown Dwarf",POWER(Upgrades!$U$15,G323),1)*IF(Upgrades!$T$16="Brown Dwarf",POWER(Upgrades!$U$16,H323),1)*IF(Upgrades!$T$18="Brown Dwarf",POWER(Upgrades!$U$18,J323),1)*IF(Upgrades!$T$19="Brown Dwarf",POWER(Upgrades!$U$19,K323),1)*IF(Upgrades!$T$20="Brown Dwarf",POWER(Upgrades!$U$20,L323),1)*IF(Upgrades!$T$21="Brown Dwarf",POWER(Upgrades!$U$21,M323),1))*$F$6+(((IF(H323=0,0,(Upgrades!$M$16+H323*Upgrades!$N$16)*POWER(Upgrades!$O$16,H323)))*(IF(Upgrades!$T$13="Roche Lobe Overflow",POWER(Upgrades!$U$13,E323),1)*IF(Upgrades!$T$14="Roche Lobe Overflow",POWER(Upgrades!$U$14,F323),1)*IF(Upgrades!$T$15="Roche Lobe Overflow",POWER(Upgrades!$U$15,G323),1)*IF(Upgrades!$T$17="Roche Lobe Overflow",POWER(Upgrades!$U$17,I323),1)*IF(Upgrades!$T$18="Roche Lobe Overflow",POWER(Upgrades!$U$18,J323),1)*IF(Upgrades!$T$19="Roche Lobe Overflow",POWER(Upgrades!$U$19,K323),1)*IF(Upgrades!$T$20="Roche Lobe Overflow",POWER(Upgrades!$U$20,L323),1)*IF(Upgrades!$T$21="Roche Lobe Overflow",POWER(Upgrades!$U$21,M323),1))*POWER(Upgrades!$R$13,E323)*POWER(Upgrades!$R$14,F323)*POWER(Upgrades!$R$15,G323)*POWER(Upgrades!$R$16,H323)*POWER(Upgrades!$R$17,I323)*POWER(Upgrades!$R$18,J323)*POWER(Upgrades!$R$19,K323)*POWER(Upgrades!$R$20,L323)*POWER(Upgrades!$R$21,M323)*$H$6)*O323)*0.10)/AO323,0)</f>
        <v/>
      </c>
      <c r="BD323" s="32">
        <f>MAX(IF(J323&gt;0,0,IFERROR(0.5*((IF(G323=0,0,(Upgrades!$J$15+G323*Upgrades!$K$15)*POWER(Upgrades!$L$15,G323)))*(IF(Upgrades!$T$13="Microlensing",POWER(Upgrades!$U$13,E323),1)*IF(Upgrades!$T$14="Microlensing",POWER(Upgrades!$U$14,F323),1)*IF(Upgrades!$T$16="Microlensing",POWER(Upgrades!$U$16,H323),1)*IF(Upgrades!$T$17="Microlensing",POWER(Upgrades!$U$17,I323),1)*IF(Upgrades!$T$18="Microlensing",POWER(Upgrades!$U$18,J323),1)*IF(Upgrades!$T$19="Microlensing",POWER(Upgrades!$U$19,K323),1)*IF(Upgrades!$T$20="Microlensing",POWER(Upgrades!$U$20,L323),1)*IF(Upgrades!$T$21="Microlensing",POWER(Upgrades!$U$21,M323),1))*(POWER(Upgrades!$Q$13,E323)*POWER(Upgrades!$Q$14,F323)*POWER(Upgrades!$Q$15,G323)*POWER(Upgrades!$Q$16,H323)*POWER(Upgrades!$Q$17,I323)*POWER(Upgrades!$Q$18,J323)*POWER(Upgrades!$Q$19,K323)*POWER(Upgrades!$Q$20,L323)*POWER(Upgrades!$Q$21,M323))*$G$6*(Parameters!$B$10/60*Parameters!$B$11+Q323))/Upgrades!$C$18,0)),IF(K323&gt;0,0,IFERROR(0.30*P323/Upgrades!$C$19,0)),IF(L323&gt;0,0,IFERROR(0.0001/Upgrades!$C$20,0)),IF(M323&gt;0,0,IFERROR((6.0*(POWER(Upgrades!$P$13,E323)*POWER(Upgrades!$P$14,F323)*POWER(Upgrades!$P$15,G323)*POWER(Upgrades!$P$16,H323)*POWER(Upgrades!$P$17,I323)*POWER(Upgrades!$P$18,J323)*POWER(Upgrades!$P$19,K323)*POWER(Upgrades!$P$20,L323)*POWER(Upgrades!$P$21,M323))*$F$6+0.20*O323*(Parameters!$B$10/60*Parameters!$B$11+Q323))/Upgrades!$C$21,0)),IF(AND(ISNUMBER(AK323),AK323&gt;(C323+T323)),AY323,0),IF(AND(ISNUMBER(AL323),AL323&gt;(C323+T323)),AZ323,0),IF(AND(ISNUMBER(AM323),AM323&gt;(C323+T323)),BA323,0),IF(AND(ISNUMBER(AN323),AN323&gt;(C323+T323)),BB323,0),IF(AND(ISNUMBER(AO323),AO323&gt;(C323+T323)),BC323,0))</f>
        <v/>
      </c>
      <c r="BE323" s="29">
        <f>IF(AT323=1,"transition",IF(MIN(IF(AND(J323=0,ISNUMBER(AP323),AP323&lt;=(C323+T323)),AP323,9E15),IF(AND(K323=0,ISNUMBER(AQ323),AQ323&lt;=(C323+T323)),AQ323,9E15),IF(AND(L323=0,ISNUMBER(AR323),AR323&lt;=(C323+T323)),AR323,9E15),IF(AND(M323=0,ISNUMBER(AS323),AS323&lt;=(C323+T323)),AS323,9E15))&lt;9E15,IF(AND(AND(J323=0,ISNUMBER(AP323),AP323&lt;=(C323+T323)),AP323=MIN(IF(AND(J323=0,ISNUMBER(AP323),AP323&lt;=(C323+T323)),AP323,9E15),IF(AND(K323=0,ISNUMBER(AQ323),AQ323&lt;=(C323+T323)),AQ323,9E15),IF(AND(L323=0,ISNUMBER(AR323),AR323&lt;=(C323+T323)),AR323,9E15),IF(AND(M323=0,ISNUMBER(AS323),AS323&lt;=(C323+T323)),AS323,9E15))),"BiP",IF(AND(AND(K323=0,ISNUMBER(AQ323),AQ323&lt;=(C323+T323)),AQ323=MIN(IF(AND(J323=0,ISNUMBER(AP323),AP323&lt;=(C323+T323)),AP323,9E15),IF(AND(K323=0,ISNUMBER(AQ323),AQ323&lt;=(C323+T323)),AQ323,9E15),IF(AND(L323=0,ISNUMBER(AR323),AR323&lt;=(C323+T323)),AR323,9E15),IF(AND(M323=0,ISNUMBER(AS323),AS323&lt;=(C323+T323)),AS323,9E15))),"PV",IF(AND(AND(L323=0,ISNUMBER(AR323),AR323&lt;=(C323+T323)),AR323=MIN(IF(AND(J323=0,ISNUMBER(AP323),AP323&lt;=(C323+T323)),AP323,9E15),IF(AND(K323=0,ISNUMBER(AQ323),AQ323&lt;=(C323+T323)),AQ323,9E15),IF(AND(L323=0,ISNUMBER(AR323),AR323&lt;=(C323+T323)),AR323,9E15),IF(AND(M323=0,ISNUMBER(AS323),AS323&lt;=(C323+T323)),AS323,9E15))),"OC","MG"))),IF(AX323=TRUE,"",IF(MAX(IF(AND(NOT(AND(AU323=1,AT323&lt;&gt;1)),ISNUMBER(AK323),AK323&lt;=(C323+T323)),AY323,0),IF(AND(NOT(AND(AU323=1,AT323&lt;&gt;1)),ISNUMBER(AL323),AL323&lt;=(C323+T323)),AZ323,0),IF(AND(NOT(AND(AU323=1,AT323&lt;&gt;1)),ISNUMBER(AM323),AM323&lt;=(C323+T323)),BA323,0),IF(AND(NOT(AND(AU323=1,AT323&lt;&gt;1)),ISNUMBER(AN323),AN323&lt;=(C323+T323)),BB323,0),IF(AND(ISNUMBER(AO323),AO323&lt;=(C323+T323)),BC323,0))&lt;=0,"",IF(AND(IF(AND(NOT(AND(AU323=1,AT323&lt;&gt;1)),ISNUMBER(AK323),AK323&lt;=(C323+T323)),AY323,0)&gt;0,IF(AND(NOT(AND(AU323=1,AT323&lt;&gt;1)),ISNUMBER(AK323),AK323&lt;=(C323+T323)),AY323,0)=MAX(IF(AND(NOT(AND(AU323=1,AT323&lt;&gt;1)),ISNUMBER(AK323),AK323&lt;=(C323+T323)),AY323,0),IF(AND(NOT(AND(AU323=1,AT323&lt;&gt;1)),ISNUMBER(AL323),AL323&lt;=(C323+T323)),AZ323,0),IF(AND(NOT(AND(AU323=1,AT323&lt;&gt;1)),ISNUMBER(AM323),AM323&lt;=(C323+T323)),BA323,0),IF(AND(NOT(AND(AU323=1,AT323&lt;&gt;1)),ISNUMBER(AN323),AN323&lt;=(C323+T323)),BB323,0),IF(AND(ISNUMBER(AO323),AO323&lt;=(C323+T323)),BC323,0))),"SK",IF(AND(IF(AND(NOT(AND(AU323=1,AT323&lt;&gt;1)),ISNUMBER(AL323),AL323&lt;=(C323+T323)),AZ323,0)&gt;0,IF(AND(NOT(AND(AU323=1,AT323&lt;&gt;1)),ISNUMBER(AL323),AL323&lt;=(C323+T323)),AZ323,0)=MAX(IF(AND(NOT(AND(AU323=1,AT323&lt;&gt;1)),ISNUMBER(AK323),AK323&lt;=(C323+T323)),AY323,0),IF(AND(NOT(AND(AU323=1,AT323&lt;&gt;1)),ISNUMBER(AL323),AL323&lt;=(C323+T323)),AZ323,0),IF(AND(NOT(AND(AU323=1,AT323&lt;&gt;1)),ISNUMBER(AM323),AM323&lt;=(C323+T323)),BA323,0),IF(AND(NOT(AND(AU323=1,AT323&lt;&gt;1)),ISNUMBER(AN323),AN323&lt;=(C323+T323)),BB323,0),IF(AND(ISNUMBER(AO323),AO323&lt;=(C323+T323)),BC323,0))),"LB",IF(AND(IF(AND(NOT(AND(AU323=1,AT323&lt;&gt;1)),ISNUMBER(AM323),AM323&lt;=(C323+T323)),BA323,0)&gt;0,IF(AND(NOT(AND(AU323=1,AT323&lt;&gt;1)),ISNUMBER(AM323),AM323&lt;=(C323+T323)),BA323,0)=MAX(IF(AND(NOT(AND(AU323=1,AT323&lt;&gt;1)),ISNUMBER(AK323),AK323&lt;=(C323+T323)),AY323,0),IF(AND(NOT(AND(AU323=1,AT323&lt;&gt;1)),ISNUMBER(AL323),AL323&lt;=(C323+T323)),AZ323,0),IF(AND(NOT(AND(AU323=1,AT323&lt;&gt;1)),ISNUMBER(AM323),AM323&lt;=(C323+T323)),BA323,0),IF(AND(NOT(AND(AU323=1,AT323&lt;&gt;1)),ISNUMBER(AN323),AN323&lt;=(C323+T323)),BB323,0),IF(AND(ISNUMBER(AO323),AO323&lt;=(C323+T323)),BC323,0))),"ML",IF(AND(IF(AND(NOT(AND(AU323=1,AT323&lt;&gt;1)),ISNUMBER(AN323),AN323&lt;=(C323+T323)),BB323,0)&gt;0,IF(AND(NOT(AND(AU323=1,AT323&lt;&gt;1)),ISNUMBER(AN323),AN323&lt;=(C323+T323)),BB323,0)=MAX(IF(AND(NOT(AND(AU323=1,AT323&lt;&gt;1)),ISNUMBER(AK323),AK323&lt;=(C323+T323)),AY323,0),IF(AND(NOT(AND(AU323=1,AT323&lt;&gt;1)),ISNUMBER(AL323),AL323&lt;=(C323+T323)),AZ323,0),IF(AND(NOT(AND(AU323=1,AT323&lt;&gt;1)),ISNUMBER(AM323),AM323&lt;=(C323+T323)),BA323,0),IF(AND(NOT(AND(AU323=1,AT323&lt;&gt;1)),ISNUMBER(AN323),AN323&lt;=(C323+T323)),BB323,0),IF(AND(ISNUMBER(AO323),AO323&lt;=(C323+T323)),BC323,0))),"RLO","BD"))))))))</f>
        <v/>
      </c>
    </row>
    <row r="324">
      <c r="A324" s="26" t="n">
        <v>313</v>
      </c>
      <c r="B324" s="27">
        <f>A324*10/60</f>
        <v/>
      </c>
      <c r="C324" s="22">
        <f>X323</f>
        <v/>
      </c>
      <c r="D324" s="27">
        <f>D323+W323</f>
        <v/>
      </c>
      <c r="E324" s="26">
        <f>E323+IF(U323="SK",1,0)</f>
        <v/>
      </c>
      <c r="F324" s="26">
        <f>F323+IF(U323="LB",1,0)</f>
        <v/>
      </c>
      <c r="G324" s="26">
        <f>G323+IF(U323="ML",1,0)</f>
        <v/>
      </c>
      <c r="H324" s="26">
        <f>H323+IF(U323="RLO",1,0)</f>
        <v/>
      </c>
      <c r="I324" s="26">
        <f>I323+IF(U323="BD",1,0)</f>
        <v/>
      </c>
      <c r="J324" s="26">
        <f>MAX(J323,IF(U323="BiP",1,0))</f>
        <v/>
      </c>
      <c r="K324" s="26">
        <f>MAX(K323,IF(U323="PV",1,0))</f>
        <v/>
      </c>
      <c r="L324" s="26">
        <f>MAX(L323,IF(U323="OC",1,0))</f>
        <v/>
      </c>
      <c r="M324" s="26">
        <f>MAX(M323,IF(U323="MG",1,0))</f>
        <v/>
      </c>
      <c r="N324" s="26">
        <f>MAX(N323,IF(U323="transition",1,0))</f>
        <v/>
      </c>
      <c r="O324" s="28">
        <f>(Parameters!$B$9+(IF(E324=0,0,(Upgrades!$J$13+E324*Upgrades!$K$13)*POWER(Upgrades!$L$13,E324)))*(IF(Upgrades!$T$14="Stellar Kinematics",POWER(Upgrades!$U$14,F324),1)*IF(Upgrades!$T$15="Stellar Kinematics",POWER(Upgrades!$U$15,G324),1)*IF(Upgrades!$T$16="Stellar Kinematics",POWER(Upgrades!$U$16,H324),1)*IF(Upgrades!$T$17="Stellar Kinematics",POWER(Upgrades!$U$17,I324),1)*IF(Upgrades!$T$18="Stellar Kinematics",POWER(Upgrades!$U$18,J324),1)*IF(Upgrades!$T$19="Stellar Kinematics",POWER(Upgrades!$U$19,K324),1)*IF(Upgrades!$T$20="Stellar Kinematics",POWER(Upgrades!$U$20,L324),1)*IF(Upgrades!$T$21="Stellar Kinematics",POWER(Upgrades!$U$21,M324),1))+(IF(F324=0,0,(Upgrades!$J$14+F324*Upgrades!$K$14)*POWER(Upgrades!$L$14,F324)))*(IF(Upgrades!$T$13="Local Bubble",POWER(Upgrades!$U$13,E324),1)*IF(Upgrades!$T$15="Local Bubble",POWER(Upgrades!$U$15,G324),1)*IF(Upgrades!$T$16="Local Bubble",POWER(Upgrades!$U$16,H324),1)*IF(Upgrades!$T$17="Local Bubble",POWER(Upgrades!$U$17,I324),1)*IF(Upgrades!$T$18="Local Bubble",POWER(Upgrades!$U$18,J324),1)*IF(Upgrades!$T$19="Local Bubble",POWER(Upgrades!$U$19,K324),1)*IF(Upgrades!$T$20="Local Bubble",POWER(Upgrades!$U$20,L324),1)*IF(Upgrades!$T$21="Local Bubble",POWER(Upgrades!$U$21,M324),1))+(IF(G324=0,0,(Upgrades!$J$15+G324*Upgrades!$K$15)*POWER(Upgrades!$L$15,G324)))*(IF(Upgrades!$T$13="Microlensing",POWER(Upgrades!$U$13,E324),1)*IF(Upgrades!$T$14="Microlensing",POWER(Upgrades!$U$14,F324),1)*IF(Upgrades!$T$16="Microlensing",POWER(Upgrades!$U$16,H324),1)*IF(Upgrades!$T$17="Microlensing",POWER(Upgrades!$U$17,I324),1)*IF(Upgrades!$T$18="Microlensing",POWER(Upgrades!$U$18,J324),1)*IF(Upgrades!$T$19="Microlensing",POWER(Upgrades!$U$19,K324),1)*IF(Upgrades!$T$20="Microlensing",POWER(Upgrades!$U$20,L324),1)*IF(Upgrades!$T$21="Microlensing",POWER(Upgrades!$U$21,M324),1))+(IF(H324=0,0,(Upgrades!$J$16+H324*Upgrades!$K$16)*POWER(Upgrades!$L$16,H324)))*(IF(Upgrades!$T$13="Roche Lobe Overflow",POWER(Upgrades!$U$13,E324),1)*IF(Upgrades!$T$14="Roche Lobe Overflow",POWER(Upgrades!$U$14,F324),1)*IF(Upgrades!$T$15="Roche Lobe Overflow",POWER(Upgrades!$U$15,G324),1)*IF(Upgrades!$T$17="Roche Lobe Overflow",POWER(Upgrades!$U$17,I324),1)*IF(Upgrades!$T$18="Roche Lobe Overflow",POWER(Upgrades!$U$18,J324),1)*IF(Upgrades!$T$19="Roche Lobe Overflow",POWER(Upgrades!$U$19,K324),1)*IF(Upgrades!$T$20="Roche Lobe Overflow",POWER(Upgrades!$U$20,L324),1)*IF(Upgrades!$T$21="Roche Lobe Overflow",POWER(Upgrades!$U$21,M324),1))+(IF(I324=0,0,(Upgrades!$J$17+I324*Upgrades!$K$17)*POWER(Upgrades!$L$17,I324)))*(IF(Upgrades!$T$13="Brown Dwarf",POWER(Upgrades!$U$13,E324),1)*IF(Upgrades!$T$14="Brown Dwarf",POWER(Upgrades!$U$14,F324),1)*IF(Upgrades!$T$15="Brown Dwarf",POWER(Upgrades!$U$15,G324),1)*IF(Upgrades!$T$16="Brown Dwarf",POWER(Upgrades!$U$16,H324),1)*IF(Upgrades!$T$18="Brown Dwarf",POWER(Upgrades!$U$18,J324),1)*IF(Upgrades!$T$19="Brown Dwarf",POWER(Upgrades!$U$19,K324),1)*IF(Upgrades!$T$20="Brown Dwarf",POWER(Upgrades!$U$20,L324),1)*IF(Upgrades!$T$21="Brown Dwarf",POWER(Upgrades!$U$21,M324),1))+(IF(J324=0,0,(Upgrades!$J$18+J324*Upgrades!$K$18)*POWER(Upgrades!$L$18,J324)))*(IF(Upgrades!$T$13="Binary Partner",POWER(Upgrades!$U$13,E324),1)*IF(Upgrades!$T$14="Binary Partner",POWER(Upgrades!$U$14,F324),1)*IF(Upgrades!$T$15="Binary Partner",POWER(Upgrades!$U$15,G324),1)*IF(Upgrades!$T$16="Binary Partner",POWER(Upgrades!$U$16,H324),1)*IF(Upgrades!$T$17="Binary Partner",POWER(Upgrades!$U$17,I324),1)*IF(Upgrades!$T$19="Binary Partner",POWER(Upgrades!$U$19,K324),1)*IF(Upgrades!$T$20="Binary Partner",POWER(Upgrades!$U$20,L324),1)*IF(Upgrades!$T$21="Binary Partner",POWER(Upgrades!$U$21,M324),1))+(IF(K324=0,0,(Upgrades!$J$19+K324*Upgrades!$K$19)*POWER(Upgrades!$L$19,K324)))*(IF(Upgrades!$T$13="Peculiar Velocity",POWER(Upgrades!$U$13,E324),1)*IF(Upgrades!$T$14="Peculiar Velocity",POWER(Upgrades!$U$14,F324),1)*IF(Upgrades!$T$15="Peculiar Velocity",POWER(Upgrades!$U$15,G324),1)*IF(Upgrades!$T$16="Peculiar Velocity",POWER(Upgrades!$U$16,H324),1)*IF(Upgrades!$T$17="Peculiar Velocity",POWER(Upgrades!$U$17,I324),1)*IF(Upgrades!$T$18="Peculiar Velocity",POWER(Upgrades!$U$18,J324),1)*IF(Upgrades!$T$20="Peculiar Velocity",POWER(Upgrades!$U$20,L324),1)*IF(Upgrades!$T$21="Peculiar Velocity",POWER(Upgrades!$U$21,M324),1))+(IF(L324=0,0,(Upgrades!$J$20+L324*Upgrades!$K$20)*POWER(Upgrades!$L$20,L324)))*(IF(Upgrades!$T$13="Open Cluster",POWER(Upgrades!$U$13,E324),1)*IF(Upgrades!$T$14="Open Cluster",POWER(Upgrades!$U$14,F324),1)*IF(Upgrades!$T$15="Open Cluster",POWER(Upgrades!$U$15,G324),1)*IF(Upgrades!$T$16="Open Cluster",POWER(Upgrades!$U$16,H324),1)*IF(Upgrades!$T$17="Open Cluster",POWER(Upgrades!$U$17,I324),1)*IF(Upgrades!$T$18="Open Cluster",POWER(Upgrades!$U$18,J324),1)*IF(Upgrades!$T$19="Open Cluster",POWER(Upgrades!$U$19,K324),1)*IF(Upgrades!$T$21="Open Cluster",POWER(Upgrades!$U$21,M324),1))+(IF(M324=0,0,(Upgrades!$J$21+M324*Upgrades!$K$21)*POWER(Upgrades!$L$21,M324)))*(IF(Upgrades!$T$13="Moving Group",POWER(Upgrades!$U$13,E324),1)*IF(Upgrades!$T$14="Moving Group",POWER(Upgrades!$U$14,F324),1)*IF(Upgrades!$T$15="Moving Group",POWER(Upgrades!$U$15,G324),1)*IF(Upgrades!$T$16="Moving Group",POWER(Upgrades!$U$16,H324),1)*IF(Upgrades!$T$17="Moving Group",POWER(Upgrades!$U$17,I324),1)*IF(Upgrades!$T$18="Moving Group",POWER(Upgrades!$U$18,J324),1)*IF(Upgrades!$T$19="Moving Group",POWER(Upgrades!$U$19,K324),1)*IF(Upgrades!$T$20="Moving Group",POWER(Upgrades!$U$20,L324),1)))*POWER(Upgrades!$Q$13,E324)*POWER(Upgrades!$Q$14,F324)*POWER(Upgrades!$Q$15,G324)*POWER(Upgrades!$Q$16,H324)*POWER(Upgrades!$Q$17,I324)*POWER(Upgrades!$Q$18,J324)*POWER(Upgrades!$Q$19,K324)*POWER(Upgrades!$Q$20,L324)*POWER(Upgrades!$Q$21,M324)*$G$6+$D$6</f>
        <v/>
      </c>
      <c r="P324" s="28">
        <f>((IF(E324=0,0,(Upgrades!$G$13+E324*Upgrades!$H$13)*POWER(Upgrades!$I$13,E324)))*(IF(Upgrades!$T$14="Stellar Kinematics",POWER(Upgrades!$U$14,F324),1)*IF(Upgrades!$T$15="Stellar Kinematics",POWER(Upgrades!$U$15,G324),1)*IF(Upgrades!$T$16="Stellar Kinematics",POWER(Upgrades!$U$16,H324),1)*IF(Upgrades!$T$17="Stellar Kinematics",POWER(Upgrades!$U$17,I324),1)*IF(Upgrades!$T$18="Stellar Kinematics",POWER(Upgrades!$U$18,J324),1)*IF(Upgrades!$T$19="Stellar Kinematics",POWER(Upgrades!$U$19,K324),1)*IF(Upgrades!$T$20="Stellar Kinematics",POWER(Upgrades!$U$20,L324),1)*IF(Upgrades!$T$21="Stellar Kinematics",POWER(Upgrades!$U$21,M324),1))+(IF(F324=0,0,(Upgrades!$G$14+F324*Upgrades!$H$14)*POWER(Upgrades!$I$14,F324)))*(IF(Upgrades!$T$13="Local Bubble",POWER(Upgrades!$U$13,E324),1)*IF(Upgrades!$T$15="Local Bubble",POWER(Upgrades!$U$15,G324),1)*IF(Upgrades!$T$16="Local Bubble",POWER(Upgrades!$U$16,H324),1)*IF(Upgrades!$T$17="Local Bubble",POWER(Upgrades!$U$17,I324),1)*IF(Upgrades!$T$18="Local Bubble",POWER(Upgrades!$U$18,J324),1)*IF(Upgrades!$T$19="Local Bubble",POWER(Upgrades!$U$19,K324),1)*IF(Upgrades!$T$20="Local Bubble",POWER(Upgrades!$U$20,L324),1)*IF(Upgrades!$T$21="Local Bubble",POWER(Upgrades!$U$21,M324),1))+(IF(G324=0,0,(Upgrades!$G$15+G324*Upgrades!$H$15)*POWER(Upgrades!$I$15,G324)))*(IF(Upgrades!$T$13="Microlensing",POWER(Upgrades!$U$13,E324),1)*IF(Upgrades!$T$14="Microlensing",POWER(Upgrades!$U$14,F324),1)*IF(Upgrades!$T$16="Microlensing",POWER(Upgrades!$U$16,H324),1)*IF(Upgrades!$T$17="Microlensing",POWER(Upgrades!$U$17,I324),1)*IF(Upgrades!$T$18="Microlensing",POWER(Upgrades!$U$18,J324),1)*IF(Upgrades!$T$19="Microlensing",POWER(Upgrades!$U$19,K324),1)*IF(Upgrades!$T$20="Microlensing",POWER(Upgrades!$U$20,L324),1)*IF(Upgrades!$T$21="Microlensing",POWER(Upgrades!$U$21,M324),1))+(IF(H324=0,0,(Upgrades!$G$16+H324*Upgrades!$H$16)*POWER(Upgrades!$I$16,H324)))*(IF(Upgrades!$T$13="Roche Lobe Overflow",POWER(Upgrades!$U$13,E324),1)*IF(Upgrades!$T$14="Roche Lobe Overflow",POWER(Upgrades!$U$14,F324),1)*IF(Upgrades!$T$15="Roche Lobe Overflow",POWER(Upgrades!$U$15,G324),1)*IF(Upgrades!$T$17="Roche Lobe Overflow",POWER(Upgrades!$U$17,I324),1)*IF(Upgrades!$T$18="Roche Lobe Overflow",POWER(Upgrades!$U$18,J324),1)*IF(Upgrades!$T$19="Roche Lobe Overflow",POWER(Upgrades!$U$19,K324),1)*IF(Upgrades!$T$20="Roche Lobe Overflow",POWER(Upgrades!$U$20,L324),1)*IF(Upgrades!$T$21="Roche Lobe Overflow",POWER(Upgrades!$U$21,M324),1))+(IF(I324=0,0,(Upgrades!$G$17+I324*Upgrades!$H$17)*POWER(Upgrades!$I$17,I324)))*(IF(Upgrades!$T$13="Brown Dwarf",POWER(Upgrades!$U$13,E324),1)*IF(Upgrades!$T$14="Brown Dwarf",POWER(Upgrades!$U$14,F324),1)*IF(Upgrades!$T$15="Brown Dwarf",POWER(Upgrades!$U$15,G324),1)*IF(Upgrades!$T$16="Brown Dwarf",POWER(Upgrades!$U$16,H324),1)*IF(Upgrades!$T$18="Brown Dwarf",POWER(Upgrades!$U$18,J324),1)*IF(Upgrades!$T$19="Brown Dwarf",POWER(Upgrades!$U$19,K324),1)*IF(Upgrades!$T$20="Brown Dwarf",POWER(Upgrades!$U$20,L324),1)*IF(Upgrades!$T$21="Brown Dwarf",POWER(Upgrades!$U$21,M324),1))+(IF(J324=0,0,(Upgrades!$G$18+J324*Upgrades!$H$18)*POWER(Upgrades!$I$18,J324)))*(IF(Upgrades!$T$13="Binary Partner",POWER(Upgrades!$U$13,E324),1)*IF(Upgrades!$T$14="Binary Partner",POWER(Upgrades!$U$14,F324),1)*IF(Upgrades!$T$15="Binary Partner",POWER(Upgrades!$U$15,G324),1)*IF(Upgrades!$T$16="Binary Partner",POWER(Upgrades!$U$16,H324),1)*IF(Upgrades!$T$17="Binary Partner",POWER(Upgrades!$U$17,I324),1)*IF(Upgrades!$T$19="Binary Partner",POWER(Upgrades!$U$19,K324),1)*IF(Upgrades!$T$20="Binary Partner",POWER(Upgrades!$U$20,L324),1)*IF(Upgrades!$T$21="Binary Partner",POWER(Upgrades!$U$21,M324),1))+(IF(K324=0,0,(Upgrades!$G$19+K324*Upgrades!$H$19)*POWER(Upgrades!$I$19,K324)))*(IF(Upgrades!$T$13="Peculiar Velocity",POWER(Upgrades!$U$13,E324),1)*IF(Upgrades!$T$14="Peculiar Velocity",POWER(Upgrades!$U$14,F324),1)*IF(Upgrades!$T$15="Peculiar Velocity",POWER(Upgrades!$U$15,G324),1)*IF(Upgrades!$T$16="Peculiar Velocity",POWER(Upgrades!$U$16,H324),1)*IF(Upgrades!$T$17="Peculiar Velocity",POWER(Upgrades!$U$17,I324),1)*IF(Upgrades!$T$18="Peculiar Velocity",POWER(Upgrades!$U$18,J324),1)*IF(Upgrades!$T$20="Peculiar Velocity",POWER(Upgrades!$U$20,L324),1)*IF(Upgrades!$T$21="Peculiar Velocity",POWER(Upgrades!$U$21,M324),1))+(IF(L324=0,0,(Upgrades!$G$20+L324*Upgrades!$H$20)*POWER(Upgrades!$I$20,L324)))*(IF(Upgrades!$T$13="Open Cluster",POWER(Upgrades!$U$13,E324),1)*IF(Upgrades!$T$14="Open Cluster",POWER(Upgrades!$U$14,F324),1)*IF(Upgrades!$T$15="Open Cluster",POWER(Upgrades!$U$15,G324),1)*IF(Upgrades!$T$16="Open Cluster",POWER(Upgrades!$U$16,H324),1)*IF(Upgrades!$T$17="Open Cluster",POWER(Upgrades!$U$17,I324),1)*IF(Upgrades!$T$18="Open Cluster",POWER(Upgrades!$U$18,J324),1)*IF(Upgrades!$T$19="Open Cluster",POWER(Upgrades!$U$19,K324),1)*IF(Upgrades!$T$21="Open Cluster",POWER(Upgrades!$U$21,M324),1))+(IF(M324=0,0,(Upgrades!$G$21+M324*Upgrades!$H$21)*POWER(Upgrades!$I$21,M324)))*(IF(Upgrades!$T$13="Moving Group",POWER(Upgrades!$U$13,E324),1)*IF(Upgrades!$T$14="Moving Group",POWER(Upgrades!$U$14,F324),1)*IF(Upgrades!$T$15="Moving Group",POWER(Upgrades!$U$15,G324),1)*IF(Upgrades!$T$16="Moving Group",POWER(Upgrades!$U$16,H324),1)*IF(Upgrades!$T$17="Moving Group",POWER(Upgrades!$U$17,I324),1)*IF(Upgrades!$T$18="Moving Group",POWER(Upgrades!$U$18,J324),1)*IF(Upgrades!$T$19="Moving Group",POWER(Upgrades!$U$19,K324),1)*IF(Upgrades!$T$20="Moving Group",POWER(Upgrades!$U$20,L324),1)))*POWER(Upgrades!$P$13,E324)*POWER(Upgrades!$P$14,F324)*POWER(Upgrades!$P$15,G324)*POWER(Upgrades!$P$16,H324)*POWER(Upgrades!$P$17,I324)*POWER(Upgrades!$P$18,J324)*POWER(Upgrades!$P$19,K324)*POWER(Upgrades!$P$20,L324)*POWER(Upgrades!$P$21,M324)*$F$6+$C$6</f>
        <v/>
      </c>
      <c r="Q324" s="28">
        <f>((IF(E324=0,0,(Upgrades!$M$13+E324*Upgrades!$N$13)*POWER(Upgrades!$O$13,E324)))*(IF(Upgrades!$T$14="Stellar Kinematics",POWER(Upgrades!$U$14,F324),1)*IF(Upgrades!$T$15="Stellar Kinematics",POWER(Upgrades!$U$15,G324),1)*IF(Upgrades!$T$16="Stellar Kinematics",POWER(Upgrades!$U$16,H324),1)*IF(Upgrades!$T$17="Stellar Kinematics",POWER(Upgrades!$U$17,I324),1)*IF(Upgrades!$T$18="Stellar Kinematics",POWER(Upgrades!$U$18,J324),1)*IF(Upgrades!$T$19="Stellar Kinematics",POWER(Upgrades!$U$19,K324),1)*IF(Upgrades!$T$20="Stellar Kinematics",POWER(Upgrades!$U$20,L324),1)*IF(Upgrades!$T$21="Stellar Kinematics",POWER(Upgrades!$U$21,M324),1))+(IF(F324=0,0,(Upgrades!$M$14+F324*Upgrades!$N$14)*POWER(Upgrades!$O$14,F324)))*(IF(Upgrades!$T$13="Local Bubble",POWER(Upgrades!$U$13,E324),1)*IF(Upgrades!$T$15="Local Bubble",POWER(Upgrades!$U$15,G324),1)*IF(Upgrades!$T$16="Local Bubble",POWER(Upgrades!$U$16,H324),1)*IF(Upgrades!$T$17="Local Bubble",POWER(Upgrades!$U$17,I324),1)*IF(Upgrades!$T$18="Local Bubble",POWER(Upgrades!$U$18,J324),1)*IF(Upgrades!$T$19="Local Bubble",POWER(Upgrades!$U$19,K324),1)*IF(Upgrades!$T$20="Local Bubble",POWER(Upgrades!$U$20,L324),1)*IF(Upgrades!$T$21="Local Bubble",POWER(Upgrades!$U$21,M324),1))+(IF(G324=0,0,(Upgrades!$M$15+G324*Upgrades!$N$15)*POWER(Upgrades!$O$15,G324)))*(IF(Upgrades!$T$13="Microlensing",POWER(Upgrades!$U$13,E324),1)*IF(Upgrades!$T$14="Microlensing",POWER(Upgrades!$U$14,F324),1)*IF(Upgrades!$T$16="Microlensing",POWER(Upgrades!$U$16,H324),1)*IF(Upgrades!$T$17="Microlensing",POWER(Upgrades!$U$17,I324),1)*IF(Upgrades!$T$18="Microlensing",POWER(Upgrades!$U$18,J324),1)*IF(Upgrades!$T$19="Microlensing",POWER(Upgrades!$U$19,K324),1)*IF(Upgrades!$T$20="Microlensing",POWER(Upgrades!$U$20,L324),1)*IF(Upgrades!$T$21="Microlensing",POWER(Upgrades!$U$21,M324),1))+(IF(H324=0,0,(Upgrades!$M$16+H324*Upgrades!$N$16)*POWER(Upgrades!$O$16,H324)))*(IF(Upgrades!$T$13="Roche Lobe Overflow",POWER(Upgrades!$U$13,E324),1)*IF(Upgrades!$T$14="Roche Lobe Overflow",POWER(Upgrades!$U$14,F324),1)*IF(Upgrades!$T$15="Roche Lobe Overflow",POWER(Upgrades!$U$15,G324),1)*IF(Upgrades!$T$17="Roche Lobe Overflow",POWER(Upgrades!$U$17,I324),1)*IF(Upgrades!$T$18="Roche Lobe Overflow",POWER(Upgrades!$U$18,J324),1)*IF(Upgrades!$T$19="Roche Lobe Overflow",POWER(Upgrades!$U$19,K324),1)*IF(Upgrades!$T$20="Roche Lobe Overflow",POWER(Upgrades!$U$20,L324),1)*IF(Upgrades!$T$21="Roche Lobe Overflow",POWER(Upgrades!$U$21,M324),1))+(IF(I324=0,0,(Upgrades!$M$17+I324*Upgrades!$N$17)*POWER(Upgrades!$O$17,I324)))*(IF(Upgrades!$T$13="Brown Dwarf",POWER(Upgrades!$U$13,E324),1)*IF(Upgrades!$T$14="Brown Dwarf",POWER(Upgrades!$U$14,F324),1)*IF(Upgrades!$T$15="Brown Dwarf",POWER(Upgrades!$U$15,G324),1)*IF(Upgrades!$T$16="Brown Dwarf",POWER(Upgrades!$U$16,H324),1)*IF(Upgrades!$T$18="Brown Dwarf",POWER(Upgrades!$U$18,J324),1)*IF(Upgrades!$T$19="Brown Dwarf",POWER(Upgrades!$U$19,K324),1)*IF(Upgrades!$T$20="Brown Dwarf",POWER(Upgrades!$U$20,L324),1)*IF(Upgrades!$T$21="Brown Dwarf",POWER(Upgrades!$U$21,M324),1))+(IF(J324=0,0,(Upgrades!$M$18+J324*Upgrades!$N$18)*POWER(Upgrades!$O$18,J324)))*(IF(Upgrades!$T$13="Binary Partner",POWER(Upgrades!$U$13,E324),1)*IF(Upgrades!$T$14="Binary Partner",POWER(Upgrades!$U$14,F324),1)*IF(Upgrades!$T$15="Binary Partner",POWER(Upgrades!$U$15,G324),1)*IF(Upgrades!$T$16="Binary Partner",POWER(Upgrades!$U$16,H324),1)*IF(Upgrades!$T$17="Binary Partner",POWER(Upgrades!$U$17,I324),1)*IF(Upgrades!$T$19="Binary Partner",POWER(Upgrades!$U$19,K324),1)*IF(Upgrades!$T$20="Binary Partner",POWER(Upgrades!$U$20,L324),1)*IF(Upgrades!$T$21="Binary Partner",POWER(Upgrades!$U$21,M324),1))+(IF(K324=0,0,(Upgrades!$M$19+K324*Upgrades!$N$19)*POWER(Upgrades!$O$19,K324)))*(IF(Upgrades!$T$13="Peculiar Velocity",POWER(Upgrades!$U$13,E324),1)*IF(Upgrades!$T$14="Peculiar Velocity",POWER(Upgrades!$U$14,F324),1)*IF(Upgrades!$T$15="Peculiar Velocity",POWER(Upgrades!$U$15,G324),1)*IF(Upgrades!$T$16="Peculiar Velocity",POWER(Upgrades!$U$16,H324),1)*IF(Upgrades!$T$17="Peculiar Velocity",POWER(Upgrades!$U$17,I324),1)*IF(Upgrades!$T$18="Peculiar Velocity",POWER(Upgrades!$U$18,J324),1)*IF(Upgrades!$T$20="Peculiar Velocity",POWER(Upgrades!$U$20,L324),1)*IF(Upgrades!$T$21="Peculiar Velocity",POWER(Upgrades!$U$21,M324),1))+(IF(L324=0,0,(Upgrades!$M$20+L324*Upgrades!$N$20)*POWER(Upgrades!$O$20,L324)))*(IF(Upgrades!$T$13="Open Cluster",POWER(Upgrades!$U$13,E324),1)*IF(Upgrades!$T$14="Open Cluster",POWER(Upgrades!$U$14,F324),1)*IF(Upgrades!$T$15="Open Cluster",POWER(Upgrades!$U$15,G324),1)*IF(Upgrades!$T$16="Open Cluster",POWER(Upgrades!$U$16,H324),1)*IF(Upgrades!$T$17="Open Cluster",POWER(Upgrades!$U$17,I324),1)*IF(Upgrades!$T$18="Open Cluster",POWER(Upgrades!$U$18,J324),1)*IF(Upgrades!$T$19="Open Cluster",POWER(Upgrades!$U$19,K324),1)*IF(Upgrades!$T$21="Open Cluster",POWER(Upgrades!$U$21,M324),1))+(IF(M324=0,0,(Upgrades!$M$21+M324*Upgrades!$N$21)*POWER(Upgrades!$O$21,M324)))*(IF(Upgrades!$T$13="Moving Group",POWER(Upgrades!$U$13,E324),1)*IF(Upgrades!$T$14="Moving Group",POWER(Upgrades!$U$14,F324),1)*IF(Upgrades!$T$15="Moving Group",POWER(Upgrades!$U$15,G324),1)*IF(Upgrades!$T$16="Moving Group",POWER(Upgrades!$U$16,H324),1)*IF(Upgrades!$T$17="Moving Group",POWER(Upgrades!$U$17,I324),1)*IF(Upgrades!$T$18="Moving Group",POWER(Upgrades!$U$18,J324),1)*IF(Upgrades!$T$19="Moving Group",POWER(Upgrades!$U$19,K324),1)*IF(Upgrades!$T$20="Moving Group",POWER(Upgrades!$U$20,L324),1)))*POWER(Upgrades!$R$13,E324)*POWER(Upgrades!$R$14,F324)*POWER(Upgrades!$R$15,G324)*POWER(Upgrades!$R$16,H324)*POWER(Upgrades!$R$17,I324)*POWER(Upgrades!$R$18,J324)*POWER(Upgrades!$R$19,K324)*POWER(Upgrades!$R$20,L324)*POWER(Upgrades!$R$21,M324)*$H$6+$E$6</f>
        <v/>
      </c>
      <c r="R324" s="27">
        <f>IF(N324=1,0,O324*Parameters!$B$10/60*Parameters!$B$11*10)</f>
        <v/>
      </c>
      <c r="S324" s="27">
        <f>IF(N324=1,0,Q324*O324*10)</f>
        <v/>
      </c>
      <c r="T324" s="27">
        <f>IF(N324=1,0,R324+S324+P324*10)</f>
        <v/>
      </c>
      <c r="U324" s="33">
        <f>BE324</f>
        <v/>
      </c>
      <c r="V324" s="22">
        <f>IF(U324="",0,IF(U324="transition",0,IF(U324="SK",AK324,IF(U324="LB",AL324,IF(U324="ML",AM324,IF(U324="RLO",AN324,IF(U324="BD",AO324,IF(U324="BiP",AP324,IF(U324="PV",AQ324,IF(U324="OC",AR324,IF(U324="MG",AS324,0))))))))))</f>
        <v/>
      </c>
      <c r="W324" s="27">
        <f>IF(U324="BiP",Upgrades!$F$18,IF(U324="PV",Upgrades!$F$19,IF(U324="OC",Upgrades!$F$20,IF(U324="MG",Upgrades!$F$21,IF(U324="transition",-Parameters!$B$18*Parameters!$B$19,0)))))</f>
        <v/>
      </c>
      <c r="X324" s="22">
        <f>C324+T324-V324</f>
        <v/>
      </c>
      <c r="Y324" s="30">
        <f>O324*Parameters!$B$10/60*Parameters!$B$11+Q324*O324+P324</f>
        <v/>
      </c>
      <c r="Z324" s="34">
        <f>IF(U324="transition","→ Tier 3 (Galactic Arm)",IF(U324="MG","Moving Group — pocket drifts together",IF(U324="OC","Open Cluster acquired",IF(U324="PV","Peculiar Velocity — passive multiplier active",IF(U324="BiP","Binary Partner — pair bond formed",IF(AND(AU324=1,N324=0,AT324&lt;&gt;1),"Cohesion ready (waiting on completionists)","")))))) </f>
        <v/>
      </c>
      <c r="AA324" s="27">
        <f>(IF(E324=0,0,(Upgrades!$G$13+E324*Upgrades!$H$13)*POWER(Upgrades!$I$13,E324)))*(IF(Upgrades!$T$14="Stellar Kinematics",POWER(Upgrades!$U$14,F324),1)*IF(Upgrades!$T$15="Stellar Kinematics",POWER(Upgrades!$U$15,G324),1)*IF(Upgrades!$T$16="Stellar Kinematics",POWER(Upgrades!$U$16,H324),1)*IF(Upgrades!$T$17="Stellar Kinematics",POWER(Upgrades!$U$17,I324),1)*IF(Upgrades!$T$18="Stellar Kinematics",POWER(Upgrades!$U$18,J324),1)*IF(Upgrades!$T$19="Stellar Kinematics",POWER(Upgrades!$U$19,K324),1)*IF(Upgrades!$T$20="Stellar Kinematics",POWER(Upgrades!$U$20,L324),1)*IF(Upgrades!$T$21="Stellar Kinematics",POWER(Upgrades!$U$21,M324),1))*POWER(Upgrades!$P$13,E324)*POWER(Upgrades!$P$14,F324)*POWER(Upgrades!$P$15,G324)*POWER(Upgrades!$P$16,H324)*POWER(Upgrades!$P$17,I324)*POWER(Upgrades!$P$18,J324)*POWER(Upgrades!$P$19,K324)*POWER(Upgrades!$P$20,L324)*POWER(Upgrades!$P$21,M324)*$F$6*60</f>
        <v/>
      </c>
      <c r="AB324" s="27">
        <f>(IF(F324=0,0,(Upgrades!$G$14+F324*Upgrades!$H$14)*POWER(Upgrades!$I$14,F324)))*(IF(Upgrades!$T$13="Local Bubble",POWER(Upgrades!$U$13,E324),1)*IF(Upgrades!$T$15="Local Bubble",POWER(Upgrades!$U$15,G324),1)*IF(Upgrades!$T$16="Local Bubble",POWER(Upgrades!$U$16,H324),1)*IF(Upgrades!$T$17="Local Bubble",POWER(Upgrades!$U$17,I324),1)*IF(Upgrades!$T$18="Local Bubble",POWER(Upgrades!$U$18,J324),1)*IF(Upgrades!$T$19="Local Bubble",POWER(Upgrades!$U$19,K324),1)*IF(Upgrades!$T$20="Local Bubble",POWER(Upgrades!$U$20,L324),1)*IF(Upgrades!$T$21="Local Bubble",POWER(Upgrades!$U$21,M324),1))*POWER(Upgrades!$P$13,E324)*POWER(Upgrades!$P$14,F324)*POWER(Upgrades!$P$15,G324)*POWER(Upgrades!$P$16,H324)*POWER(Upgrades!$P$17,I324)*POWER(Upgrades!$P$18,J324)*POWER(Upgrades!$P$19,K324)*POWER(Upgrades!$P$20,L324)*POWER(Upgrades!$P$21,M324)*$F$6*60</f>
        <v/>
      </c>
      <c r="AC324" s="27">
        <f>(IF(G324=0,0,(Upgrades!$J$15+G324*Upgrades!$K$15)*POWER(Upgrades!$L$15,G324)))*(IF(Upgrades!$T$13="Microlensing",POWER(Upgrades!$U$13,E324),1)*IF(Upgrades!$T$14="Microlensing",POWER(Upgrades!$U$14,F324),1)*IF(Upgrades!$T$16="Microlensing",POWER(Upgrades!$U$16,H324),1)*IF(Upgrades!$T$17="Microlensing",POWER(Upgrades!$U$17,I324),1)*IF(Upgrades!$T$18="Microlensing",POWER(Upgrades!$U$18,J324),1)*IF(Upgrades!$T$19="Microlensing",POWER(Upgrades!$U$19,K324),1)*IF(Upgrades!$T$20="Microlensing",POWER(Upgrades!$U$20,L324),1)*IF(Upgrades!$T$21="Microlensing",POWER(Upgrades!$U$21,M324),1))*POWER(Upgrades!$Q$13,E324)*POWER(Upgrades!$Q$14,F324)*POWER(Upgrades!$Q$15,G324)*POWER(Upgrades!$Q$16,H324)*POWER(Upgrades!$Q$17,I324)*POWER(Upgrades!$Q$18,J324)*POWER(Upgrades!$Q$19,K324)*POWER(Upgrades!$Q$20,L324)*POWER(Upgrades!$Q$21,M324)*$G$6*(Parameters!$B$10*Parameters!$B$11+Q324*60)</f>
        <v/>
      </c>
      <c r="AD324" s="27">
        <f>(IF(H324=0,0,(Upgrades!$M$16+H324*Upgrades!$N$16)*POWER(Upgrades!$O$16,H324)))*(IF(Upgrades!$T$13="Roche Lobe Overflow",POWER(Upgrades!$U$13,E324),1)*IF(Upgrades!$T$14="Roche Lobe Overflow",POWER(Upgrades!$U$14,F324),1)*IF(Upgrades!$T$15="Roche Lobe Overflow",POWER(Upgrades!$U$15,G324),1)*IF(Upgrades!$T$17="Roche Lobe Overflow",POWER(Upgrades!$U$17,I324),1)*IF(Upgrades!$T$18="Roche Lobe Overflow",POWER(Upgrades!$U$18,J324),1)*IF(Upgrades!$T$19="Roche Lobe Overflow",POWER(Upgrades!$U$19,K324),1)*IF(Upgrades!$T$20="Roche Lobe Overflow",POWER(Upgrades!$U$20,L324),1)*IF(Upgrades!$T$21="Roche Lobe Overflow",POWER(Upgrades!$U$21,M324),1))*POWER(Upgrades!$R$13,E324)*POWER(Upgrades!$R$14,F324)*POWER(Upgrades!$R$15,G324)*POWER(Upgrades!$R$16,H324)*POWER(Upgrades!$R$17,I324)*POWER(Upgrades!$R$18,J324)*POWER(Upgrades!$R$19,K324)*POWER(Upgrades!$R$20,L324)*POWER(Upgrades!$R$21,M324)*$H$6*O324*60</f>
        <v/>
      </c>
      <c r="AE324" s="27">
        <f>(IF(I324=0,0,(Upgrades!$G$17+I324*Upgrades!$H$17)*POWER(Upgrades!$I$17,I324)))*(IF(Upgrades!$T$13="Brown Dwarf",POWER(Upgrades!$U$13,E324),1)*IF(Upgrades!$T$14="Brown Dwarf",POWER(Upgrades!$U$14,F324),1)*IF(Upgrades!$T$15="Brown Dwarf",POWER(Upgrades!$U$15,G324),1)*IF(Upgrades!$T$16="Brown Dwarf",POWER(Upgrades!$U$16,H324),1)*IF(Upgrades!$T$18="Brown Dwarf",POWER(Upgrades!$U$18,J324),1)*IF(Upgrades!$T$19="Brown Dwarf",POWER(Upgrades!$U$19,K324),1)*IF(Upgrades!$T$20="Brown Dwarf",POWER(Upgrades!$U$20,L324),1)*IF(Upgrades!$T$21="Brown Dwarf",POWER(Upgrades!$U$21,M324),1))*POWER(Upgrades!$P$13,E324)*POWER(Upgrades!$P$14,F324)*POWER(Upgrades!$P$15,G324)*POWER(Upgrades!$P$16,H324)*POWER(Upgrades!$P$17,I324)*POWER(Upgrades!$P$18,J324)*POWER(Upgrades!$P$19,K324)*POWER(Upgrades!$P$20,L324)*POWER(Upgrades!$P$21,M324)*$F$6*60</f>
        <v/>
      </c>
      <c r="AF324" s="27" t="n">
        <v>0</v>
      </c>
      <c r="AG324" s="27" t="n">
        <v>0</v>
      </c>
      <c r="AH324" s="27" t="n">
        <v>0</v>
      </c>
      <c r="AI324" s="27">
        <f>(IF(M324=0,0,(Upgrades!$G$21+M324*Upgrades!$H$21)*POWER(Upgrades!$I$21,M324)))*(IF(Upgrades!$T$13="Moving Group",POWER(Upgrades!$U$13,E324),1)*IF(Upgrades!$T$14="Moving Group",POWER(Upgrades!$U$14,F324),1)*IF(Upgrades!$T$15="Moving Group",POWER(Upgrades!$U$15,G324),1)*IF(Upgrades!$T$16="Moving Group",POWER(Upgrades!$U$16,H324),1)*IF(Upgrades!$T$17="Moving Group",POWER(Upgrades!$U$17,I324),1)*IF(Upgrades!$T$18="Moving Group",POWER(Upgrades!$U$18,J324),1)*IF(Upgrades!$T$19="Moving Group",POWER(Upgrades!$U$19,K324),1)*IF(Upgrades!$T$20="Moving Group",POWER(Upgrades!$U$20,L324),1))*POWER(Upgrades!$P$13,E324)*POWER(Upgrades!$P$14,F324)*POWER(Upgrades!$P$15,G324)*POWER(Upgrades!$P$16,H324)*POWER(Upgrades!$P$17,I324)*POWER(Upgrades!$P$18,J324)*POWER(Upgrades!$P$19,K324)*POWER(Upgrades!$P$20,L324)*POWER(Upgrades!$P$21,M324)*$F$6*60</f>
        <v/>
      </c>
      <c r="AJ324" s="27">
        <f>$C$6*60</f>
        <v/>
      </c>
      <c r="AK324" s="22">
        <f>IF(E324&gt;=Upgrades!$E$13,"",Upgrades!$C$13*POWER(Upgrades!$D$13,E324))</f>
        <v/>
      </c>
      <c r="AL324" s="22">
        <f>IF(F324&gt;=Upgrades!$E$14,"",Upgrades!$C$14*POWER(Upgrades!$D$14,F324))</f>
        <v/>
      </c>
      <c r="AM324" s="22">
        <f>IF(G324&gt;=Upgrades!$E$15,"",Upgrades!$C$15*POWER(Upgrades!$D$15,G324))</f>
        <v/>
      </c>
      <c r="AN324" s="22">
        <f>IF(H324&gt;=Upgrades!$E$16,"",Upgrades!$C$16*POWER(Upgrades!$D$16,H324))</f>
        <v/>
      </c>
      <c r="AO324" s="22">
        <f>IF(I324&gt;=Upgrades!$E$17,"",Upgrades!$C$17*POWER(Upgrades!$D$17,I324))</f>
        <v/>
      </c>
      <c r="AP324" s="22">
        <f>IF(J324&gt;=Upgrades!$E$18,"",Upgrades!$C$18*POWER(Upgrades!$D$18,J324))</f>
        <v/>
      </c>
      <c r="AQ324" s="22">
        <f>IF(K324&gt;=Upgrades!$E$19,"",Upgrades!$C$19*POWER(Upgrades!$D$19,K324))</f>
        <v/>
      </c>
      <c r="AR324" s="22">
        <f>IF(L324&gt;=Upgrades!$E$20,"",Upgrades!$C$20*POWER(Upgrades!$D$20,L324))</f>
        <v/>
      </c>
      <c r="AS324" s="22">
        <f>IF(M324&gt;=Upgrades!$E$21,"",Upgrades!$C$21*POWER(Upgrades!$D$21,M324))</f>
        <v/>
      </c>
      <c r="AT324" s="26">
        <f>IF(AND(D324&gt;=Parameters!$B$18*Parameters!$B$19,(I324&gt;=Upgrades!$E$17)*(M324&gt;=Upgrades!$E$21)=1,N324=0),1,"")</f>
        <v/>
      </c>
      <c r="AU324" s="26">
        <f>IF(AND(D324&gt;=Parameters!$B$18*Parameters!$B$19,N324=0),1,"")</f>
        <v/>
      </c>
      <c r="AV324" s="22">
        <f>MIN(IF(ISNUMBER(AP324),AP324,9E15),IF(ISNUMBER(AQ324),AQ324,9E15),IF(ISNUMBER(AR324),AR324,9E15),IF(ISNUMBER(AS324),AS324,9E15))</f>
        <v/>
      </c>
      <c r="AW324" s="22">
        <f>MIN(IF(ISNUMBER(AK324),AK324,9E15),IF(ISNUMBER(AL324),AL324,9E15),IF(ISNUMBER(AM324),AM324,9E15),IF(ISNUMBER(AN324),AN324,9E15),IF(ISNUMBER(AO324),AO324,9E15))</f>
        <v/>
      </c>
      <c r="AX324" s="29">
        <f>IF(BD324&gt;Parameters!$B$21*(MAX(IF(AND(NOT(AND(AU324=1,AT324&lt;&gt;1)),ISNUMBER(AK324),AK324&lt;=(C324+T324)),AY324,0),IF(AND(NOT(AND(AU324=1,AT324&lt;&gt;1)),ISNUMBER(AL324),AL324&lt;=(C324+T324)),AZ324,0),IF(AND(NOT(AND(AU324=1,AT324&lt;&gt;1)),ISNUMBER(AM324),AM324&lt;=(C324+T324)),BA324,0),IF(AND(NOT(AND(AU324=1,AT324&lt;&gt;1)),ISNUMBER(AN324),AN324&lt;=(C324+T324)),BB324,0),IF(AND(ISNUMBER(AO324),AO324&lt;=(C324+T324)),BC324,0))),TRUE,FALSE)</f>
        <v/>
      </c>
      <c r="AY324" s="32">
        <f>IFERROR(Upgrades!$H$13*(POWER(Upgrades!$P$13,E324)*POWER(Upgrades!$P$14,F324)*POWER(Upgrades!$P$15,G324)*POWER(Upgrades!$P$16,H324)*POWER(Upgrades!$P$17,I324)*POWER(Upgrades!$P$18,J324)*POWER(Upgrades!$P$19,K324)*POWER(Upgrades!$P$20,L324)*POWER(Upgrades!$P$21,M324))*(IF(Upgrades!$T$14="Stellar Kinematics",POWER(Upgrades!$U$14,F324),1)*IF(Upgrades!$T$15="Stellar Kinematics",POWER(Upgrades!$U$15,G324),1)*IF(Upgrades!$T$16="Stellar Kinematics",POWER(Upgrades!$U$16,H324),1)*IF(Upgrades!$T$17="Stellar Kinematics",POWER(Upgrades!$U$17,I324),1)*IF(Upgrades!$T$18="Stellar Kinematics",POWER(Upgrades!$U$18,J324),1)*IF(Upgrades!$T$19="Stellar Kinematics",POWER(Upgrades!$U$19,K324),1)*IF(Upgrades!$T$20="Stellar Kinematics",POWER(Upgrades!$U$20,L324),1)*IF(Upgrades!$T$21="Stellar Kinematics",POWER(Upgrades!$U$21,M324),1))*$F$6/AK324,0)</f>
        <v/>
      </c>
      <c r="AZ324" s="32">
        <f>IFERROR(Upgrades!$H$14*(POWER(Upgrades!$P$13,E324)*POWER(Upgrades!$P$14,F324)*POWER(Upgrades!$P$15,G324)*POWER(Upgrades!$P$16,H324)*POWER(Upgrades!$P$17,I324)*POWER(Upgrades!$P$18,J324)*POWER(Upgrades!$P$19,K324)*POWER(Upgrades!$P$20,L324)*POWER(Upgrades!$P$21,M324))*(IF(Upgrades!$T$13="Local Bubble",POWER(Upgrades!$U$13,E324),1)*IF(Upgrades!$T$15="Local Bubble",POWER(Upgrades!$U$15,G324),1)*IF(Upgrades!$T$16="Local Bubble",POWER(Upgrades!$U$16,H324),1)*IF(Upgrades!$T$17="Local Bubble",POWER(Upgrades!$U$17,I324),1)*IF(Upgrades!$T$18="Local Bubble",POWER(Upgrades!$U$18,J324),1)*IF(Upgrades!$T$19="Local Bubble",POWER(Upgrades!$U$19,K324),1)*IF(Upgrades!$T$20="Local Bubble",POWER(Upgrades!$U$20,L324),1)*IF(Upgrades!$T$21="Local Bubble",POWER(Upgrades!$U$21,M324),1))*$F$6/AL324,0)</f>
        <v/>
      </c>
      <c r="BA324" s="32">
        <f>IFERROR(Upgrades!$K$15*(POWER(Upgrades!$Q$13,E324)*POWER(Upgrades!$Q$14,F324)*POWER(Upgrades!$Q$15,G324)*POWER(Upgrades!$Q$16,H324)*POWER(Upgrades!$Q$17,I324)*POWER(Upgrades!$Q$18,J324)*POWER(Upgrades!$Q$19,K324)*POWER(Upgrades!$Q$20,L324)*POWER(Upgrades!$Q$21,M324))*(IF(Upgrades!$T$13="Microlensing",POWER(Upgrades!$U$13,E324),1)*IF(Upgrades!$T$14="Microlensing",POWER(Upgrades!$U$14,F324),1)*IF(Upgrades!$T$16="Microlensing",POWER(Upgrades!$U$16,H324),1)*IF(Upgrades!$T$17="Microlensing",POWER(Upgrades!$U$17,I324),1)*IF(Upgrades!$T$18="Microlensing",POWER(Upgrades!$U$18,J324),1)*IF(Upgrades!$T$19="Microlensing",POWER(Upgrades!$U$19,K324),1)*IF(Upgrades!$T$20="Microlensing",POWER(Upgrades!$U$20,L324),1)*IF(Upgrades!$T$21="Microlensing",POWER(Upgrades!$U$21,M324),1))*$G$6*(Parameters!$B$10/60*Parameters!$B$11+Q324)/AM324,0)</f>
        <v/>
      </c>
      <c r="BB324" s="32">
        <f>IFERROR((Upgrades!$N$16*(POWER(Upgrades!$R$13,E324)*POWER(Upgrades!$R$14,F324)*POWER(Upgrades!$R$15,G324)*POWER(Upgrades!$R$16,H324)*POWER(Upgrades!$R$17,I324)*POWER(Upgrades!$R$18,J324)*POWER(Upgrades!$R$19,K324)*POWER(Upgrades!$R$20,L324)*POWER(Upgrades!$R$21,M324))*(IF(Upgrades!$T$13="Roche Lobe Overflow",POWER(Upgrades!$U$13,E324),1)*IF(Upgrades!$T$14="Roche Lobe Overflow",POWER(Upgrades!$U$14,F324),1)*IF(Upgrades!$T$15="Roche Lobe Overflow",POWER(Upgrades!$U$15,G324),1)*IF(Upgrades!$T$17="Roche Lobe Overflow",POWER(Upgrades!$U$17,I324),1)*IF(Upgrades!$T$18="Roche Lobe Overflow",POWER(Upgrades!$U$18,J324),1)*IF(Upgrades!$T$19="Roche Lobe Overflow",POWER(Upgrades!$U$19,K324),1)*IF(Upgrades!$T$20="Roche Lobe Overflow",POWER(Upgrades!$U$20,L324),1)*IF(Upgrades!$T$21="Roche Lobe Overflow",POWER(Upgrades!$U$21,M324),1))*$H$6*O324+((IF(F324=0,0,(Upgrades!$G$14+F324*Upgrades!$H$14)*POWER(Upgrades!$I$14,F324)))*(IF(Upgrades!$T$13="Local Bubble",POWER(Upgrades!$U$13,E324),1)*IF(Upgrades!$T$15="Local Bubble",POWER(Upgrades!$U$15,G324),1)*IF(Upgrades!$T$16="Local Bubble",POWER(Upgrades!$U$16,H324),1)*IF(Upgrades!$T$17="Local Bubble",POWER(Upgrades!$U$17,I324),1)*IF(Upgrades!$T$18="Local Bubble",POWER(Upgrades!$U$18,J324),1)*IF(Upgrades!$T$19="Local Bubble",POWER(Upgrades!$U$19,K324),1)*IF(Upgrades!$T$20="Local Bubble",POWER(Upgrades!$U$20,L324),1)*IF(Upgrades!$T$21="Local Bubble",POWER(Upgrades!$U$21,M324),1))*POWER(Upgrades!$P$13,E324)*POWER(Upgrades!$P$14,F324)*POWER(Upgrades!$P$15,G324)*POWER(Upgrades!$P$16,H324)*POWER(Upgrades!$P$17,I324)*POWER(Upgrades!$P$18,J324)*POWER(Upgrades!$P$19,K324)*POWER(Upgrades!$P$20,L324)*POWER(Upgrades!$P$21,M324)*$F$6)*0.05)/AN324,0)</f>
        <v/>
      </c>
      <c r="BC324" s="32">
        <f>IFERROR((Upgrades!$H$17*(POWER(Upgrades!$P$13,E324)*POWER(Upgrades!$P$14,F324)*POWER(Upgrades!$P$15,G324)*POWER(Upgrades!$P$16,H324)*POWER(Upgrades!$P$17,I324)*POWER(Upgrades!$P$18,J324)*POWER(Upgrades!$P$19,K324)*POWER(Upgrades!$P$20,L324)*POWER(Upgrades!$P$21,M324))*(IF(Upgrades!$T$13="Brown Dwarf",POWER(Upgrades!$U$13,E324),1)*IF(Upgrades!$T$14="Brown Dwarf",POWER(Upgrades!$U$14,F324),1)*IF(Upgrades!$T$15="Brown Dwarf",POWER(Upgrades!$U$15,G324),1)*IF(Upgrades!$T$16="Brown Dwarf",POWER(Upgrades!$U$16,H324),1)*IF(Upgrades!$T$18="Brown Dwarf",POWER(Upgrades!$U$18,J324),1)*IF(Upgrades!$T$19="Brown Dwarf",POWER(Upgrades!$U$19,K324),1)*IF(Upgrades!$T$20="Brown Dwarf",POWER(Upgrades!$U$20,L324),1)*IF(Upgrades!$T$21="Brown Dwarf",POWER(Upgrades!$U$21,M324),1))*$F$6+(((IF(H324=0,0,(Upgrades!$M$16+H324*Upgrades!$N$16)*POWER(Upgrades!$O$16,H324)))*(IF(Upgrades!$T$13="Roche Lobe Overflow",POWER(Upgrades!$U$13,E324),1)*IF(Upgrades!$T$14="Roche Lobe Overflow",POWER(Upgrades!$U$14,F324),1)*IF(Upgrades!$T$15="Roche Lobe Overflow",POWER(Upgrades!$U$15,G324),1)*IF(Upgrades!$T$17="Roche Lobe Overflow",POWER(Upgrades!$U$17,I324),1)*IF(Upgrades!$T$18="Roche Lobe Overflow",POWER(Upgrades!$U$18,J324),1)*IF(Upgrades!$T$19="Roche Lobe Overflow",POWER(Upgrades!$U$19,K324),1)*IF(Upgrades!$T$20="Roche Lobe Overflow",POWER(Upgrades!$U$20,L324),1)*IF(Upgrades!$T$21="Roche Lobe Overflow",POWER(Upgrades!$U$21,M324),1))*POWER(Upgrades!$R$13,E324)*POWER(Upgrades!$R$14,F324)*POWER(Upgrades!$R$15,G324)*POWER(Upgrades!$R$16,H324)*POWER(Upgrades!$R$17,I324)*POWER(Upgrades!$R$18,J324)*POWER(Upgrades!$R$19,K324)*POWER(Upgrades!$R$20,L324)*POWER(Upgrades!$R$21,M324)*$H$6)*O324)*0.10)/AO324,0)</f>
        <v/>
      </c>
      <c r="BD324" s="32">
        <f>MAX(IF(J324&gt;0,0,IFERROR(0.5*((IF(G324=0,0,(Upgrades!$J$15+G324*Upgrades!$K$15)*POWER(Upgrades!$L$15,G324)))*(IF(Upgrades!$T$13="Microlensing",POWER(Upgrades!$U$13,E324),1)*IF(Upgrades!$T$14="Microlensing",POWER(Upgrades!$U$14,F324),1)*IF(Upgrades!$T$16="Microlensing",POWER(Upgrades!$U$16,H324),1)*IF(Upgrades!$T$17="Microlensing",POWER(Upgrades!$U$17,I324),1)*IF(Upgrades!$T$18="Microlensing",POWER(Upgrades!$U$18,J324),1)*IF(Upgrades!$T$19="Microlensing",POWER(Upgrades!$U$19,K324),1)*IF(Upgrades!$T$20="Microlensing",POWER(Upgrades!$U$20,L324),1)*IF(Upgrades!$T$21="Microlensing",POWER(Upgrades!$U$21,M324),1))*(POWER(Upgrades!$Q$13,E324)*POWER(Upgrades!$Q$14,F324)*POWER(Upgrades!$Q$15,G324)*POWER(Upgrades!$Q$16,H324)*POWER(Upgrades!$Q$17,I324)*POWER(Upgrades!$Q$18,J324)*POWER(Upgrades!$Q$19,K324)*POWER(Upgrades!$Q$20,L324)*POWER(Upgrades!$Q$21,M324))*$G$6*(Parameters!$B$10/60*Parameters!$B$11+Q324))/Upgrades!$C$18,0)),IF(K324&gt;0,0,IFERROR(0.30*P324/Upgrades!$C$19,0)),IF(L324&gt;0,0,IFERROR(0.0001/Upgrades!$C$20,0)),IF(M324&gt;0,0,IFERROR((6.0*(POWER(Upgrades!$P$13,E324)*POWER(Upgrades!$P$14,F324)*POWER(Upgrades!$P$15,G324)*POWER(Upgrades!$P$16,H324)*POWER(Upgrades!$P$17,I324)*POWER(Upgrades!$P$18,J324)*POWER(Upgrades!$P$19,K324)*POWER(Upgrades!$P$20,L324)*POWER(Upgrades!$P$21,M324))*$F$6+0.20*O324*(Parameters!$B$10/60*Parameters!$B$11+Q324))/Upgrades!$C$21,0)),IF(AND(ISNUMBER(AK324),AK324&gt;(C324+T324)),AY324,0),IF(AND(ISNUMBER(AL324),AL324&gt;(C324+T324)),AZ324,0),IF(AND(ISNUMBER(AM324),AM324&gt;(C324+T324)),BA324,0),IF(AND(ISNUMBER(AN324),AN324&gt;(C324+T324)),BB324,0),IF(AND(ISNUMBER(AO324),AO324&gt;(C324+T324)),BC324,0))</f>
        <v/>
      </c>
      <c r="BE324" s="29">
        <f>IF(AT324=1,"transition",IF(MIN(IF(AND(J324=0,ISNUMBER(AP324),AP324&lt;=(C324+T324)),AP324,9E15),IF(AND(K324=0,ISNUMBER(AQ324),AQ324&lt;=(C324+T324)),AQ324,9E15),IF(AND(L324=0,ISNUMBER(AR324),AR324&lt;=(C324+T324)),AR324,9E15),IF(AND(M324=0,ISNUMBER(AS324),AS324&lt;=(C324+T324)),AS324,9E15))&lt;9E15,IF(AND(AND(J324=0,ISNUMBER(AP324),AP324&lt;=(C324+T324)),AP324=MIN(IF(AND(J324=0,ISNUMBER(AP324),AP324&lt;=(C324+T324)),AP324,9E15),IF(AND(K324=0,ISNUMBER(AQ324),AQ324&lt;=(C324+T324)),AQ324,9E15),IF(AND(L324=0,ISNUMBER(AR324),AR324&lt;=(C324+T324)),AR324,9E15),IF(AND(M324=0,ISNUMBER(AS324),AS324&lt;=(C324+T324)),AS324,9E15))),"BiP",IF(AND(AND(K324=0,ISNUMBER(AQ324),AQ324&lt;=(C324+T324)),AQ324=MIN(IF(AND(J324=0,ISNUMBER(AP324),AP324&lt;=(C324+T324)),AP324,9E15),IF(AND(K324=0,ISNUMBER(AQ324),AQ324&lt;=(C324+T324)),AQ324,9E15),IF(AND(L324=0,ISNUMBER(AR324),AR324&lt;=(C324+T324)),AR324,9E15),IF(AND(M324=0,ISNUMBER(AS324),AS324&lt;=(C324+T324)),AS324,9E15))),"PV",IF(AND(AND(L324=0,ISNUMBER(AR324),AR324&lt;=(C324+T324)),AR324=MIN(IF(AND(J324=0,ISNUMBER(AP324),AP324&lt;=(C324+T324)),AP324,9E15),IF(AND(K324=0,ISNUMBER(AQ324),AQ324&lt;=(C324+T324)),AQ324,9E15),IF(AND(L324=0,ISNUMBER(AR324),AR324&lt;=(C324+T324)),AR324,9E15),IF(AND(M324=0,ISNUMBER(AS324),AS324&lt;=(C324+T324)),AS324,9E15))),"OC","MG"))),IF(AX324=TRUE,"",IF(MAX(IF(AND(NOT(AND(AU324=1,AT324&lt;&gt;1)),ISNUMBER(AK324),AK324&lt;=(C324+T324)),AY324,0),IF(AND(NOT(AND(AU324=1,AT324&lt;&gt;1)),ISNUMBER(AL324),AL324&lt;=(C324+T324)),AZ324,0),IF(AND(NOT(AND(AU324=1,AT324&lt;&gt;1)),ISNUMBER(AM324),AM324&lt;=(C324+T324)),BA324,0),IF(AND(NOT(AND(AU324=1,AT324&lt;&gt;1)),ISNUMBER(AN324),AN324&lt;=(C324+T324)),BB324,0),IF(AND(ISNUMBER(AO324),AO324&lt;=(C324+T324)),BC324,0))&lt;=0,"",IF(AND(IF(AND(NOT(AND(AU324=1,AT324&lt;&gt;1)),ISNUMBER(AK324),AK324&lt;=(C324+T324)),AY324,0)&gt;0,IF(AND(NOT(AND(AU324=1,AT324&lt;&gt;1)),ISNUMBER(AK324),AK324&lt;=(C324+T324)),AY324,0)=MAX(IF(AND(NOT(AND(AU324=1,AT324&lt;&gt;1)),ISNUMBER(AK324),AK324&lt;=(C324+T324)),AY324,0),IF(AND(NOT(AND(AU324=1,AT324&lt;&gt;1)),ISNUMBER(AL324),AL324&lt;=(C324+T324)),AZ324,0),IF(AND(NOT(AND(AU324=1,AT324&lt;&gt;1)),ISNUMBER(AM324),AM324&lt;=(C324+T324)),BA324,0),IF(AND(NOT(AND(AU324=1,AT324&lt;&gt;1)),ISNUMBER(AN324),AN324&lt;=(C324+T324)),BB324,0),IF(AND(ISNUMBER(AO324),AO324&lt;=(C324+T324)),BC324,0))),"SK",IF(AND(IF(AND(NOT(AND(AU324=1,AT324&lt;&gt;1)),ISNUMBER(AL324),AL324&lt;=(C324+T324)),AZ324,0)&gt;0,IF(AND(NOT(AND(AU324=1,AT324&lt;&gt;1)),ISNUMBER(AL324),AL324&lt;=(C324+T324)),AZ324,0)=MAX(IF(AND(NOT(AND(AU324=1,AT324&lt;&gt;1)),ISNUMBER(AK324),AK324&lt;=(C324+T324)),AY324,0),IF(AND(NOT(AND(AU324=1,AT324&lt;&gt;1)),ISNUMBER(AL324),AL324&lt;=(C324+T324)),AZ324,0),IF(AND(NOT(AND(AU324=1,AT324&lt;&gt;1)),ISNUMBER(AM324),AM324&lt;=(C324+T324)),BA324,0),IF(AND(NOT(AND(AU324=1,AT324&lt;&gt;1)),ISNUMBER(AN324),AN324&lt;=(C324+T324)),BB324,0),IF(AND(ISNUMBER(AO324),AO324&lt;=(C324+T324)),BC324,0))),"LB",IF(AND(IF(AND(NOT(AND(AU324=1,AT324&lt;&gt;1)),ISNUMBER(AM324),AM324&lt;=(C324+T324)),BA324,0)&gt;0,IF(AND(NOT(AND(AU324=1,AT324&lt;&gt;1)),ISNUMBER(AM324),AM324&lt;=(C324+T324)),BA324,0)=MAX(IF(AND(NOT(AND(AU324=1,AT324&lt;&gt;1)),ISNUMBER(AK324),AK324&lt;=(C324+T324)),AY324,0),IF(AND(NOT(AND(AU324=1,AT324&lt;&gt;1)),ISNUMBER(AL324),AL324&lt;=(C324+T324)),AZ324,0),IF(AND(NOT(AND(AU324=1,AT324&lt;&gt;1)),ISNUMBER(AM324),AM324&lt;=(C324+T324)),BA324,0),IF(AND(NOT(AND(AU324=1,AT324&lt;&gt;1)),ISNUMBER(AN324),AN324&lt;=(C324+T324)),BB324,0),IF(AND(ISNUMBER(AO324),AO324&lt;=(C324+T324)),BC324,0))),"ML",IF(AND(IF(AND(NOT(AND(AU324=1,AT324&lt;&gt;1)),ISNUMBER(AN324),AN324&lt;=(C324+T324)),BB324,0)&gt;0,IF(AND(NOT(AND(AU324=1,AT324&lt;&gt;1)),ISNUMBER(AN324),AN324&lt;=(C324+T324)),BB324,0)=MAX(IF(AND(NOT(AND(AU324=1,AT324&lt;&gt;1)),ISNUMBER(AK324),AK324&lt;=(C324+T324)),AY324,0),IF(AND(NOT(AND(AU324=1,AT324&lt;&gt;1)),ISNUMBER(AL324),AL324&lt;=(C324+T324)),AZ324,0),IF(AND(NOT(AND(AU324=1,AT324&lt;&gt;1)),ISNUMBER(AM324),AM324&lt;=(C324+T324)),BA324,0),IF(AND(NOT(AND(AU324=1,AT324&lt;&gt;1)),ISNUMBER(AN324),AN324&lt;=(C324+T324)),BB324,0),IF(AND(ISNUMBER(AO324),AO324&lt;=(C324+T324)),BC324,0))),"RLO","BD"))))))))</f>
        <v/>
      </c>
    </row>
    <row r="325">
      <c r="A325" s="26" t="n">
        <v>314</v>
      </c>
      <c r="B325" s="27">
        <f>A325*10/60</f>
        <v/>
      </c>
      <c r="C325" s="22">
        <f>X324</f>
        <v/>
      </c>
      <c r="D325" s="27">
        <f>D324+W324</f>
        <v/>
      </c>
      <c r="E325" s="26">
        <f>E324+IF(U324="SK",1,0)</f>
        <v/>
      </c>
      <c r="F325" s="26">
        <f>F324+IF(U324="LB",1,0)</f>
        <v/>
      </c>
      <c r="G325" s="26">
        <f>G324+IF(U324="ML",1,0)</f>
        <v/>
      </c>
      <c r="H325" s="26">
        <f>H324+IF(U324="RLO",1,0)</f>
        <v/>
      </c>
      <c r="I325" s="26">
        <f>I324+IF(U324="BD",1,0)</f>
        <v/>
      </c>
      <c r="J325" s="26">
        <f>MAX(J324,IF(U324="BiP",1,0))</f>
        <v/>
      </c>
      <c r="K325" s="26">
        <f>MAX(K324,IF(U324="PV",1,0))</f>
        <v/>
      </c>
      <c r="L325" s="26">
        <f>MAX(L324,IF(U324="OC",1,0))</f>
        <v/>
      </c>
      <c r="M325" s="26">
        <f>MAX(M324,IF(U324="MG",1,0))</f>
        <v/>
      </c>
      <c r="N325" s="26">
        <f>MAX(N324,IF(U324="transition",1,0))</f>
        <v/>
      </c>
      <c r="O325" s="28">
        <f>(Parameters!$B$9+(IF(E325=0,0,(Upgrades!$J$13+E325*Upgrades!$K$13)*POWER(Upgrades!$L$13,E325)))*(IF(Upgrades!$T$14="Stellar Kinematics",POWER(Upgrades!$U$14,F325),1)*IF(Upgrades!$T$15="Stellar Kinematics",POWER(Upgrades!$U$15,G325),1)*IF(Upgrades!$T$16="Stellar Kinematics",POWER(Upgrades!$U$16,H325),1)*IF(Upgrades!$T$17="Stellar Kinematics",POWER(Upgrades!$U$17,I325),1)*IF(Upgrades!$T$18="Stellar Kinematics",POWER(Upgrades!$U$18,J325),1)*IF(Upgrades!$T$19="Stellar Kinematics",POWER(Upgrades!$U$19,K325),1)*IF(Upgrades!$T$20="Stellar Kinematics",POWER(Upgrades!$U$20,L325),1)*IF(Upgrades!$T$21="Stellar Kinematics",POWER(Upgrades!$U$21,M325),1))+(IF(F325=0,0,(Upgrades!$J$14+F325*Upgrades!$K$14)*POWER(Upgrades!$L$14,F325)))*(IF(Upgrades!$T$13="Local Bubble",POWER(Upgrades!$U$13,E325),1)*IF(Upgrades!$T$15="Local Bubble",POWER(Upgrades!$U$15,G325),1)*IF(Upgrades!$T$16="Local Bubble",POWER(Upgrades!$U$16,H325),1)*IF(Upgrades!$T$17="Local Bubble",POWER(Upgrades!$U$17,I325),1)*IF(Upgrades!$T$18="Local Bubble",POWER(Upgrades!$U$18,J325),1)*IF(Upgrades!$T$19="Local Bubble",POWER(Upgrades!$U$19,K325),1)*IF(Upgrades!$T$20="Local Bubble",POWER(Upgrades!$U$20,L325),1)*IF(Upgrades!$T$21="Local Bubble",POWER(Upgrades!$U$21,M325),1))+(IF(G325=0,0,(Upgrades!$J$15+G325*Upgrades!$K$15)*POWER(Upgrades!$L$15,G325)))*(IF(Upgrades!$T$13="Microlensing",POWER(Upgrades!$U$13,E325),1)*IF(Upgrades!$T$14="Microlensing",POWER(Upgrades!$U$14,F325),1)*IF(Upgrades!$T$16="Microlensing",POWER(Upgrades!$U$16,H325),1)*IF(Upgrades!$T$17="Microlensing",POWER(Upgrades!$U$17,I325),1)*IF(Upgrades!$T$18="Microlensing",POWER(Upgrades!$U$18,J325),1)*IF(Upgrades!$T$19="Microlensing",POWER(Upgrades!$U$19,K325),1)*IF(Upgrades!$T$20="Microlensing",POWER(Upgrades!$U$20,L325),1)*IF(Upgrades!$T$21="Microlensing",POWER(Upgrades!$U$21,M325),1))+(IF(H325=0,0,(Upgrades!$J$16+H325*Upgrades!$K$16)*POWER(Upgrades!$L$16,H325)))*(IF(Upgrades!$T$13="Roche Lobe Overflow",POWER(Upgrades!$U$13,E325),1)*IF(Upgrades!$T$14="Roche Lobe Overflow",POWER(Upgrades!$U$14,F325),1)*IF(Upgrades!$T$15="Roche Lobe Overflow",POWER(Upgrades!$U$15,G325),1)*IF(Upgrades!$T$17="Roche Lobe Overflow",POWER(Upgrades!$U$17,I325),1)*IF(Upgrades!$T$18="Roche Lobe Overflow",POWER(Upgrades!$U$18,J325),1)*IF(Upgrades!$T$19="Roche Lobe Overflow",POWER(Upgrades!$U$19,K325),1)*IF(Upgrades!$T$20="Roche Lobe Overflow",POWER(Upgrades!$U$20,L325),1)*IF(Upgrades!$T$21="Roche Lobe Overflow",POWER(Upgrades!$U$21,M325),1))+(IF(I325=0,0,(Upgrades!$J$17+I325*Upgrades!$K$17)*POWER(Upgrades!$L$17,I325)))*(IF(Upgrades!$T$13="Brown Dwarf",POWER(Upgrades!$U$13,E325),1)*IF(Upgrades!$T$14="Brown Dwarf",POWER(Upgrades!$U$14,F325),1)*IF(Upgrades!$T$15="Brown Dwarf",POWER(Upgrades!$U$15,G325),1)*IF(Upgrades!$T$16="Brown Dwarf",POWER(Upgrades!$U$16,H325),1)*IF(Upgrades!$T$18="Brown Dwarf",POWER(Upgrades!$U$18,J325),1)*IF(Upgrades!$T$19="Brown Dwarf",POWER(Upgrades!$U$19,K325),1)*IF(Upgrades!$T$20="Brown Dwarf",POWER(Upgrades!$U$20,L325),1)*IF(Upgrades!$T$21="Brown Dwarf",POWER(Upgrades!$U$21,M325),1))+(IF(J325=0,0,(Upgrades!$J$18+J325*Upgrades!$K$18)*POWER(Upgrades!$L$18,J325)))*(IF(Upgrades!$T$13="Binary Partner",POWER(Upgrades!$U$13,E325),1)*IF(Upgrades!$T$14="Binary Partner",POWER(Upgrades!$U$14,F325),1)*IF(Upgrades!$T$15="Binary Partner",POWER(Upgrades!$U$15,G325),1)*IF(Upgrades!$T$16="Binary Partner",POWER(Upgrades!$U$16,H325),1)*IF(Upgrades!$T$17="Binary Partner",POWER(Upgrades!$U$17,I325),1)*IF(Upgrades!$T$19="Binary Partner",POWER(Upgrades!$U$19,K325),1)*IF(Upgrades!$T$20="Binary Partner",POWER(Upgrades!$U$20,L325),1)*IF(Upgrades!$T$21="Binary Partner",POWER(Upgrades!$U$21,M325),1))+(IF(K325=0,0,(Upgrades!$J$19+K325*Upgrades!$K$19)*POWER(Upgrades!$L$19,K325)))*(IF(Upgrades!$T$13="Peculiar Velocity",POWER(Upgrades!$U$13,E325),1)*IF(Upgrades!$T$14="Peculiar Velocity",POWER(Upgrades!$U$14,F325),1)*IF(Upgrades!$T$15="Peculiar Velocity",POWER(Upgrades!$U$15,G325),1)*IF(Upgrades!$T$16="Peculiar Velocity",POWER(Upgrades!$U$16,H325),1)*IF(Upgrades!$T$17="Peculiar Velocity",POWER(Upgrades!$U$17,I325),1)*IF(Upgrades!$T$18="Peculiar Velocity",POWER(Upgrades!$U$18,J325),1)*IF(Upgrades!$T$20="Peculiar Velocity",POWER(Upgrades!$U$20,L325),1)*IF(Upgrades!$T$21="Peculiar Velocity",POWER(Upgrades!$U$21,M325),1))+(IF(L325=0,0,(Upgrades!$J$20+L325*Upgrades!$K$20)*POWER(Upgrades!$L$20,L325)))*(IF(Upgrades!$T$13="Open Cluster",POWER(Upgrades!$U$13,E325),1)*IF(Upgrades!$T$14="Open Cluster",POWER(Upgrades!$U$14,F325),1)*IF(Upgrades!$T$15="Open Cluster",POWER(Upgrades!$U$15,G325),1)*IF(Upgrades!$T$16="Open Cluster",POWER(Upgrades!$U$16,H325),1)*IF(Upgrades!$T$17="Open Cluster",POWER(Upgrades!$U$17,I325),1)*IF(Upgrades!$T$18="Open Cluster",POWER(Upgrades!$U$18,J325),1)*IF(Upgrades!$T$19="Open Cluster",POWER(Upgrades!$U$19,K325),1)*IF(Upgrades!$T$21="Open Cluster",POWER(Upgrades!$U$21,M325),1))+(IF(M325=0,0,(Upgrades!$J$21+M325*Upgrades!$K$21)*POWER(Upgrades!$L$21,M325)))*(IF(Upgrades!$T$13="Moving Group",POWER(Upgrades!$U$13,E325),1)*IF(Upgrades!$T$14="Moving Group",POWER(Upgrades!$U$14,F325),1)*IF(Upgrades!$T$15="Moving Group",POWER(Upgrades!$U$15,G325),1)*IF(Upgrades!$T$16="Moving Group",POWER(Upgrades!$U$16,H325),1)*IF(Upgrades!$T$17="Moving Group",POWER(Upgrades!$U$17,I325),1)*IF(Upgrades!$T$18="Moving Group",POWER(Upgrades!$U$18,J325),1)*IF(Upgrades!$T$19="Moving Group",POWER(Upgrades!$U$19,K325),1)*IF(Upgrades!$T$20="Moving Group",POWER(Upgrades!$U$20,L325),1)))*POWER(Upgrades!$Q$13,E325)*POWER(Upgrades!$Q$14,F325)*POWER(Upgrades!$Q$15,G325)*POWER(Upgrades!$Q$16,H325)*POWER(Upgrades!$Q$17,I325)*POWER(Upgrades!$Q$18,J325)*POWER(Upgrades!$Q$19,K325)*POWER(Upgrades!$Q$20,L325)*POWER(Upgrades!$Q$21,M325)*$G$6+$D$6</f>
        <v/>
      </c>
      <c r="P325" s="28">
        <f>((IF(E325=0,0,(Upgrades!$G$13+E325*Upgrades!$H$13)*POWER(Upgrades!$I$13,E325)))*(IF(Upgrades!$T$14="Stellar Kinematics",POWER(Upgrades!$U$14,F325),1)*IF(Upgrades!$T$15="Stellar Kinematics",POWER(Upgrades!$U$15,G325),1)*IF(Upgrades!$T$16="Stellar Kinematics",POWER(Upgrades!$U$16,H325),1)*IF(Upgrades!$T$17="Stellar Kinematics",POWER(Upgrades!$U$17,I325),1)*IF(Upgrades!$T$18="Stellar Kinematics",POWER(Upgrades!$U$18,J325),1)*IF(Upgrades!$T$19="Stellar Kinematics",POWER(Upgrades!$U$19,K325),1)*IF(Upgrades!$T$20="Stellar Kinematics",POWER(Upgrades!$U$20,L325),1)*IF(Upgrades!$T$21="Stellar Kinematics",POWER(Upgrades!$U$21,M325),1))+(IF(F325=0,0,(Upgrades!$G$14+F325*Upgrades!$H$14)*POWER(Upgrades!$I$14,F325)))*(IF(Upgrades!$T$13="Local Bubble",POWER(Upgrades!$U$13,E325),1)*IF(Upgrades!$T$15="Local Bubble",POWER(Upgrades!$U$15,G325),1)*IF(Upgrades!$T$16="Local Bubble",POWER(Upgrades!$U$16,H325),1)*IF(Upgrades!$T$17="Local Bubble",POWER(Upgrades!$U$17,I325),1)*IF(Upgrades!$T$18="Local Bubble",POWER(Upgrades!$U$18,J325),1)*IF(Upgrades!$T$19="Local Bubble",POWER(Upgrades!$U$19,K325),1)*IF(Upgrades!$T$20="Local Bubble",POWER(Upgrades!$U$20,L325),1)*IF(Upgrades!$T$21="Local Bubble",POWER(Upgrades!$U$21,M325),1))+(IF(G325=0,0,(Upgrades!$G$15+G325*Upgrades!$H$15)*POWER(Upgrades!$I$15,G325)))*(IF(Upgrades!$T$13="Microlensing",POWER(Upgrades!$U$13,E325),1)*IF(Upgrades!$T$14="Microlensing",POWER(Upgrades!$U$14,F325),1)*IF(Upgrades!$T$16="Microlensing",POWER(Upgrades!$U$16,H325),1)*IF(Upgrades!$T$17="Microlensing",POWER(Upgrades!$U$17,I325),1)*IF(Upgrades!$T$18="Microlensing",POWER(Upgrades!$U$18,J325),1)*IF(Upgrades!$T$19="Microlensing",POWER(Upgrades!$U$19,K325),1)*IF(Upgrades!$T$20="Microlensing",POWER(Upgrades!$U$20,L325),1)*IF(Upgrades!$T$21="Microlensing",POWER(Upgrades!$U$21,M325),1))+(IF(H325=0,0,(Upgrades!$G$16+H325*Upgrades!$H$16)*POWER(Upgrades!$I$16,H325)))*(IF(Upgrades!$T$13="Roche Lobe Overflow",POWER(Upgrades!$U$13,E325),1)*IF(Upgrades!$T$14="Roche Lobe Overflow",POWER(Upgrades!$U$14,F325),1)*IF(Upgrades!$T$15="Roche Lobe Overflow",POWER(Upgrades!$U$15,G325),1)*IF(Upgrades!$T$17="Roche Lobe Overflow",POWER(Upgrades!$U$17,I325),1)*IF(Upgrades!$T$18="Roche Lobe Overflow",POWER(Upgrades!$U$18,J325),1)*IF(Upgrades!$T$19="Roche Lobe Overflow",POWER(Upgrades!$U$19,K325),1)*IF(Upgrades!$T$20="Roche Lobe Overflow",POWER(Upgrades!$U$20,L325),1)*IF(Upgrades!$T$21="Roche Lobe Overflow",POWER(Upgrades!$U$21,M325),1))+(IF(I325=0,0,(Upgrades!$G$17+I325*Upgrades!$H$17)*POWER(Upgrades!$I$17,I325)))*(IF(Upgrades!$T$13="Brown Dwarf",POWER(Upgrades!$U$13,E325),1)*IF(Upgrades!$T$14="Brown Dwarf",POWER(Upgrades!$U$14,F325),1)*IF(Upgrades!$T$15="Brown Dwarf",POWER(Upgrades!$U$15,G325),1)*IF(Upgrades!$T$16="Brown Dwarf",POWER(Upgrades!$U$16,H325),1)*IF(Upgrades!$T$18="Brown Dwarf",POWER(Upgrades!$U$18,J325),1)*IF(Upgrades!$T$19="Brown Dwarf",POWER(Upgrades!$U$19,K325),1)*IF(Upgrades!$T$20="Brown Dwarf",POWER(Upgrades!$U$20,L325),1)*IF(Upgrades!$T$21="Brown Dwarf",POWER(Upgrades!$U$21,M325),1))+(IF(J325=0,0,(Upgrades!$G$18+J325*Upgrades!$H$18)*POWER(Upgrades!$I$18,J325)))*(IF(Upgrades!$T$13="Binary Partner",POWER(Upgrades!$U$13,E325),1)*IF(Upgrades!$T$14="Binary Partner",POWER(Upgrades!$U$14,F325),1)*IF(Upgrades!$T$15="Binary Partner",POWER(Upgrades!$U$15,G325),1)*IF(Upgrades!$T$16="Binary Partner",POWER(Upgrades!$U$16,H325),1)*IF(Upgrades!$T$17="Binary Partner",POWER(Upgrades!$U$17,I325),1)*IF(Upgrades!$T$19="Binary Partner",POWER(Upgrades!$U$19,K325),1)*IF(Upgrades!$T$20="Binary Partner",POWER(Upgrades!$U$20,L325),1)*IF(Upgrades!$T$21="Binary Partner",POWER(Upgrades!$U$21,M325),1))+(IF(K325=0,0,(Upgrades!$G$19+K325*Upgrades!$H$19)*POWER(Upgrades!$I$19,K325)))*(IF(Upgrades!$T$13="Peculiar Velocity",POWER(Upgrades!$U$13,E325),1)*IF(Upgrades!$T$14="Peculiar Velocity",POWER(Upgrades!$U$14,F325),1)*IF(Upgrades!$T$15="Peculiar Velocity",POWER(Upgrades!$U$15,G325),1)*IF(Upgrades!$T$16="Peculiar Velocity",POWER(Upgrades!$U$16,H325),1)*IF(Upgrades!$T$17="Peculiar Velocity",POWER(Upgrades!$U$17,I325),1)*IF(Upgrades!$T$18="Peculiar Velocity",POWER(Upgrades!$U$18,J325),1)*IF(Upgrades!$T$20="Peculiar Velocity",POWER(Upgrades!$U$20,L325),1)*IF(Upgrades!$T$21="Peculiar Velocity",POWER(Upgrades!$U$21,M325),1))+(IF(L325=0,0,(Upgrades!$G$20+L325*Upgrades!$H$20)*POWER(Upgrades!$I$20,L325)))*(IF(Upgrades!$T$13="Open Cluster",POWER(Upgrades!$U$13,E325),1)*IF(Upgrades!$T$14="Open Cluster",POWER(Upgrades!$U$14,F325),1)*IF(Upgrades!$T$15="Open Cluster",POWER(Upgrades!$U$15,G325),1)*IF(Upgrades!$T$16="Open Cluster",POWER(Upgrades!$U$16,H325),1)*IF(Upgrades!$T$17="Open Cluster",POWER(Upgrades!$U$17,I325),1)*IF(Upgrades!$T$18="Open Cluster",POWER(Upgrades!$U$18,J325),1)*IF(Upgrades!$T$19="Open Cluster",POWER(Upgrades!$U$19,K325),1)*IF(Upgrades!$T$21="Open Cluster",POWER(Upgrades!$U$21,M325),1))+(IF(M325=0,0,(Upgrades!$G$21+M325*Upgrades!$H$21)*POWER(Upgrades!$I$21,M325)))*(IF(Upgrades!$T$13="Moving Group",POWER(Upgrades!$U$13,E325),1)*IF(Upgrades!$T$14="Moving Group",POWER(Upgrades!$U$14,F325),1)*IF(Upgrades!$T$15="Moving Group",POWER(Upgrades!$U$15,G325),1)*IF(Upgrades!$T$16="Moving Group",POWER(Upgrades!$U$16,H325),1)*IF(Upgrades!$T$17="Moving Group",POWER(Upgrades!$U$17,I325),1)*IF(Upgrades!$T$18="Moving Group",POWER(Upgrades!$U$18,J325),1)*IF(Upgrades!$T$19="Moving Group",POWER(Upgrades!$U$19,K325),1)*IF(Upgrades!$T$20="Moving Group",POWER(Upgrades!$U$20,L325),1)))*POWER(Upgrades!$P$13,E325)*POWER(Upgrades!$P$14,F325)*POWER(Upgrades!$P$15,G325)*POWER(Upgrades!$P$16,H325)*POWER(Upgrades!$P$17,I325)*POWER(Upgrades!$P$18,J325)*POWER(Upgrades!$P$19,K325)*POWER(Upgrades!$P$20,L325)*POWER(Upgrades!$P$21,M325)*$F$6+$C$6</f>
        <v/>
      </c>
      <c r="Q325" s="28">
        <f>((IF(E325=0,0,(Upgrades!$M$13+E325*Upgrades!$N$13)*POWER(Upgrades!$O$13,E325)))*(IF(Upgrades!$T$14="Stellar Kinematics",POWER(Upgrades!$U$14,F325),1)*IF(Upgrades!$T$15="Stellar Kinematics",POWER(Upgrades!$U$15,G325),1)*IF(Upgrades!$T$16="Stellar Kinematics",POWER(Upgrades!$U$16,H325),1)*IF(Upgrades!$T$17="Stellar Kinematics",POWER(Upgrades!$U$17,I325),1)*IF(Upgrades!$T$18="Stellar Kinematics",POWER(Upgrades!$U$18,J325),1)*IF(Upgrades!$T$19="Stellar Kinematics",POWER(Upgrades!$U$19,K325),1)*IF(Upgrades!$T$20="Stellar Kinematics",POWER(Upgrades!$U$20,L325),1)*IF(Upgrades!$T$21="Stellar Kinematics",POWER(Upgrades!$U$21,M325),1))+(IF(F325=0,0,(Upgrades!$M$14+F325*Upgrades!$N$14)*POWER(Upgrades!$O$14,F325)))*(IF(Upgrades!$T$13="Local Bubble",POWER(Upgrades!$U$13,E325),1)*IF(Upgrades!$T$15="Local Bubble",POWER(Upgrades!$U$15,G325),1)*IF(Upgrades!$T$16="Local Bubble",POWER(Upgrades!$U$16,H325),1)*IF(Upgrades!$T$17="Local Bubble",POWER(Upgrades!$U$17,I325),1)*IF(Upgrades!$T$18="Local Bubble",POWER(Upgrades!$U$18,J325),1)*IF(Upgrades!$T$19="Local Bubble",POWER(Upgrades!$U$19,K325),1)*IF(Upgrades!$T$20="Local Bubble",POWER(Upgrades!$U$20,L325),1)*IF(Upgrades!$T$21="Local Bubble",POWER(Upgrades!$U$21,M325),1))+(IF(G325=0,0,(Upgrades!$M$15+G325*Upgrades!$N$15)*POWER(Upgrades!$O$15,G325)))*(IF(Upgrades!$T$13="Microlensing",POWER(Upgrades!$U$13,E325),1)*IF(Upgrades!$T$14="Microlensing",POWER(Upgrades!$U$14,F325),1)*IF(Upgrades!$T$16="Microlensing",POWER(Upgrades!$U$16,H325),1)*IF(Upgrades!$T$17="Microlensing",POWER(Upgrades!$U$17,I325),1)*IF(Upgrades!$T$18="Microlensing",POWER(Upgrades!$U$18,J325),1)*IF(Upgrades!$T$19="Microlensing",POWER(Upgrades!$U$19,K325),1)*IF(Upgrades!$T$20="Microlensing",POWER(Upgrades!$U$20,L325),1)*IF(Upgrades!$T$21="Microlensing",POWER(Upgrades!$U$21,M325),1))+(IF(H325=0,0,(Upgrades!$M$16+H325*Upgrades!$N$16)*POWER(Upgrades!$O$16,H325)))*(IF(Upgrades!$T$13="Roche Lobe Overflow",POWER(Upgrades!$U$13,E325),1)*IF(Upgrades!$T$14="Roche Lobe Overflow",POWER(Upgrades!$U$14,F325),1)*IF(Upgrades!$T$15="Roche Lobe Overflow",POWER(Upgrades!$U$15,G325),1)*IF(Upgrades!$T$17="Roche Lobe Overflow",POWER(Upgrades!$U$17,I325),1)*IF(Upgrades!$T$18="Roche Lobe Overflow",POWER(Upgrades!$U$18,J325),1)*IF(Upgrades!$T$19="Roche Lobe Overflow",POWER(Upgrades!$U$19,K325),1)*IF(Upgrades!$T$20="Roche Lobe Overflow",POWER(Upgrades!$U$20,L325),1)*IF(Upgrades!$T$21="Roche Lobe Overflow",POWER(Upgrades!$U$21,M325),1))+(IF(I325=0,0,(Upgrades!$M$17+I325*Upgrades!$N$17)*POWER(Upgrades!$O$17,I325)))*(IF(Upgrades!$T$13="Brown Dwarf",POWER(Upgrades!$U$13,E325),1)*IF(Upgrades!$T$14="Brown Dwarf",POWER(Upgrades!$U$14,F325),1)*IF(Upgrades!$T$15="Brown Dwarf",POWER(Upgrades!$U$15,G325),1)*IF(Upgrades!$T$16="Brown Dwarf",POWER(Upgrades!$U$16,H325),1)*IF(Upgrades!$T$18="Brown Dwarf",POWER(Upgrades!$U$18,J325),1)*IF(Upgrades!$T$19="Brown Dwarf",POWER(Upgrades!$U$19,K325),1)*IF(Upgrades!$T$20="Brown Dwarf",POWER(Upgrades!$U$20,L325),1)*IF(Upgrades!$T$21="Brown Dwarf",POWER(Upgrades!$U$21,M325),1))+(IF(J325=0,0,(Upgrades!$M$18+J325*Upgrades!$N$18)*POWER(Upgrades!$O$18,J325)))*(IF(Upgrades!$T$13="Binary Partner",POWER(Upgrades!$U$13,E325),1)*IF(Upgrades!$T$14="Binary Partner",POWER(Upgrades!$U$14,F325),1)*IF(Upgrades!$T$15="Binary Partner",POWER(Upgrades!$U$15,G325),1)*IF(Upgrades!$T$16="Binary Partner",POWER(Upgrades!$U$16,H325),1)*IF(Upgrades!$T$17="Binary Partner",POWER(Upgrades!$U$17,I325),1)*IF(Upgrades!$T$19="Binary Partner",POWER(Upgrades!$U$19,K325),1)*IF(Upgrades!$T$20="Binary Partner",POWER(Upgrades!$U$20,L325),1)*IF(Upgrades!$T$21="Binary Partner",POWER(Upgrades!$U$21,M325),1))+(IF(K325=0,0,(Upgrades!$M$19+K325*Upgrades!$N$19)*POWER(Upgrades!$O$19,K325)))*(IF(Upgrades!$T$13="Peculiar Velocity",POWER(Upgrades!$U$13,E325),1)*IF(Upgrades!$T$14="Peculiar Velocity",POWER(Upgrades!$U$14,F325),1)*IF(Upgrades!$T$15="Peculiar Velocity",POWER(Upgrades!$U$15,G325),1)*IF(Upgrades!$T$16="Peculiar Velocity",POWER(Upgrades!$U$16,H325),1)*IF(Upgrades!$T$17="Peculiar Velocity",POWER(Upgrades!$U$17,I325),1)*IF(Upgrades!$T$18="Peculiar Velocity",POWER(Upgrades!$U$18,J325),1)*IF(Upgrades!$T$20="Peculiar Velocity",POWER(Upgrades!$U$20,L325),1)*IF(Upgrades!$T$21="Peculiar Velocity",POWER(Upgrades!$U$21,M325),1))+(IF(L325=0,0,(Upgrades!$M$20+L325*Upgrades!$N$20)*POWER(Upgrades!$O$20,L325)))*(IF(Upgrades!$T$13="Open Cluster",POWER(Upgrades!$U$13,E325),1)*IF(Upgrades!$T$14="Open Cluster",POWER(Upgrades!$U$14,F325),1)*IF(Upgrades!$T$15="Open Cluster",POWER(Upgrades!$U$15,G325),1)*IF(Upgrades!$T$16="Open Cluster",POWER(Upgrades!$U$16,H325),1)*IF(Upgrades!$T$17="Open Cluster",POWER(Upgrades!$U$17,I325),1)*IF(Upgrades!$T$18="Open Cluster",POWER(Upgrades!$U$18,J325),1)*IF(Upgrades!$T$19="Open Cluster",POWER(Upgrades!$U$19,K325),1)*IF(Upgrades!$T$21="Open Cluster",POWER(Upgrades!$U$21,M325),1))+(IF(M325=0,0,(Upgrades!$M$21+M325*Upgrades!$N$21)*POWER(Upgrades!$O$21,M325)))*(IF(Upgrades!$T$13="Moving Group",POWER(Upgrades!$U$13,E325),1)*IF(Upgrades!$T$14="Moving Group",POWER(Upgrades!$U$14,F325),1)*IF(Upgrades!$T$15="Moving Group",POWER(Upgrades!$U$15,G325),1)*IF(Upgrades!$T$16="Moving Group",POWER(Upgrades!$U$16,H325),1)*IF(Upgrades!$T$17="Moving Group",POWER(Upgrades!$U$17,I325),1)*IF(Upgrades!$T$18="Moving Group",POWER(Upgrades!$U$18,J325),1)*IF(Upgrades!$T$19="Moving Group",POWER(Upgrades!$U$19,K325),1)*IF(Upgrades!$T$20="Moving Group",POWER(Upgrades!$U$20,L325),1)))*POWER(Upgrades!$R$13,E325)*POWER(Upgrades!$R$14,F325)*POWER(Upgrades!$R$15,G325)*POWER(Upgrades!$R$16,H325)*POWER(Upgrades!$R$17,I325)*POWER(Upgrades!$R$18,J325)*POWER(Upgrades!$R$19,K325)*POWER(Upgrades!$R$20,L325)*POWER(Upgrades!$R$21,M325)*$H$6+$E$6</f>
        <v/>
      </c>
      <c r="R325" s="27">
        <f>IF(N325=1,0,O325*Parameters!$B$10/60*Parameters!$B$11*10)</f>
        <v/>
      </c>
      <c r="S325" s="27">
        <f>IF(N325=1,0,Q325*O325*10)</f>
        <v/>
      </c>
      <c r="T325" s="27">
        <f>IF(N325=1,0,R325+S325+P325*10)</f>
        <v/>
      </c>
      <c r="U325" s="33">
        <f>BE325</f>
        <v/>
      </c>
      <c r="V325" s="22">
        <f>IF(U325="",0,IF(U325="transition",0,IF(U325="SK",AK325,IF(U325="LB",AL325,IF(U325="ML",AM325,IF(U325="RLO",AN325,IF(U325="BD",AO325,IF(U325="BiP",AP325,IF(U325="PV",AQ325,IF(U325="OC",AR325,IF(U325="MG",AS325,0))))))))))</f>
        <v/>
      </c>
      <c r="W325" s="27">
        <f>IF(U325="BiP",Upgrades!$F$18,IF(U325="PV",Upgrades!$F$19,IF(U325="OC",Upgrades!$F$20,IF(U325="MG",Upgrades!$F$21,IF(U325="transition",-Parameters!$B$18*Parameters!$B$19,0)))))</f>
        <v/>
      </c>
      <c r="X325" s="22">
        <f>C325+T325-V325</f>
        <v/>
      </c>
      <c r="Y325" s="30">
        <f>O325*Parameters!$B$10/60*Parameters!$B$11+Q325*O325+P325</f>
        <v/>
      </c>
      <c r="Z325" s="34">
        <f>IF(U325="transition","→ Tier 3 (Galactic Arm)",IF(U325="MG","Moving Group — pocket drifts together",IF(U325="OC","Open Cluster acquired",IF(U325="PV","Peculiar Velocity — passive multiplier active",IF(U325="BiP","Binary Partner — pair bond formed",IF(AND(AU325=1,N325=0,AT325&lt;&gt;1),"Cohesion ready (waiting on completionists)","")))))) </f>
        <v/>
      </c>
      <c r="AA325" s="27">
        <f>(IF(E325=0,0,(Upgrades!$G$13+E325*Upgrades!$H$13)*POWER(Upgrades!$I$13,E325)))*(IF(Upgrades!$T$14="Stellar Kinematics",POWER(Upgrades!$U$14,F325),1)*IF(Upgrades!$T$15="Stellar Kinematics",POWER(Upgrades!$U$15,G325),1)*IF(Upgrades!$T$16="Stellar Kinematics",POWER(Upgrades!$U$16,H325),1)*IF(Upgrades!$T$17="Stellar Kinematics",POWER(Upgrades!$U$17,I325),1)*IF(Upgrades!$T$18="Stellar Kinematics",POWER(Upgrades!$U$18,J325),1)*IF(Upgrades!$T$19="Stellar Kinematics",POWER(Upgrades!$U$19,K325),1)*IF(Upgrades!$T$20="Stellar Kinematics",POWER(Upgrades!$U$20,L325),1)*IF(Upgrades!$T$21="Stellar Kinematics",POWER(Upgrades!$U$21,M325),1))*POWER(Upgrades!$P$13,E325)*POWER(Upgrades!$P$14,F325)*POWER(Upgrades!$P$15,G325)*POWER(Upgrades!$P$16,H325)*POWER(Upgrades!$P$17,I325)*POWER(Upgrades!$P$18,J325)*POWER(Upgrades!$P$19,K325)*POWER(Upgrades!$P$20,L325)*POWER(Upgrades!$P$21,M325)*$F$6*60</f>
        <v/>
      </c>
      <c r="AB325" s="27">
        <f>(IF(F325=0,0,(Upgrades!$G$14+F325*Upgrades!$H$14)*POWER(Upgrades!$I$14,F325)))*(IF(Upgrades!$T$13="Local Bubble",POWER(Upgrades!$U$13,E325),1)*IF(Upgrades!$T$15="Local Bubble",POWER(Upgrades!$U$15,G325),1)*IF(Upgrades!$T$16="Local Bubble",POWER(Upgrades!$U$16,H325),1)*IF(Upgrades!$T$17="Local Bubble",POWER(Upgrades!$U$17,I325),1)*IF(Upgrades!$T$18="Local Bubble",POWER(Upgrades!$U$18,J325),1)*IF(Upgrades!$T$19="Local Bubble",POWER(Upgrades!$U$19,K325),1)*IF(Upgrades!$T$20="Local Bubble",POWER(Upgrades!$U$20,L325),1)*IF(Upgrades!$T$21="Local Bubble",POWER(Upgrades!$U$21,M325),1))*POWER(Upgrades!$P$13,E325)*POWER(Upgrades!$P$14,F325)*POWER(Upgrades!$P$15,G325)*POWER(Upgrades!$P$16,H325)*POWER(Upgrades!$P$17,I325)*POWER(Upgrades!$P$18,J325)*POWER(Upgrades!$P$19,K325)*POWER(Upgrades!$P$20,L325)*POWER(Upgrades!$P$21,M325)*$F$6*60</f>
        <v/>
      </c>
      <c r="AC325" s="27">
        <f>(IF(G325=0,0,(Upgrades!$J$15+G325*Upgrades!$K$15)*POWER(Upgrades!$L$15,G325)))*(IF(Upgrades!$T$13="Microlensing",POWER(Upgrades!$U$13,E325),1)*IF(Upgrades!$T$14="Microlensing",POWER(Upgrades!$U$14,F325),1)*IF(Upgrades!$T$16="Microlensing",POWER(Upgrades!$U$16,H325),1)*IF(Upgrades!$T$17="Microlensing",POWER(Upgrades!$U$17,I325),1)*IF(Upgrades!$T$18="Microlensing",POWER(Upgrades!$U$18,J325),1)*IF(Upgrades!$T$19="Microlensing",POWER(Upgrades!$U$19,K325),1)*IF(Upgrades!$T$20="Microlensing",POWER(Upgrades!$U$20,L325),1)*IF(Upgrades!$T$21="Microlensing",POWER(Upgrades!$U$21,M325),1))*POWER(Upgrades!$Q$13,E325)*POWER(Upgrades!$Q$14,F325)*POWER(Upgrades!$Q$15,G325)*POWER(Upgrades!$Q$16,H325)*POWER(Upgrades!$Q$17,I325)*POWER(Upgrades!$Q$18,J325)*POWER(Upgrades!$Q$19,K325)*POWER(Upgrades!$Q$20,L325)*POWER(Upgrades!$Q$21,M325)*$G$6*(Parameters!$B$10*Parameters!$B$11+Q325*60)</f>
        <v/>
      </c>
      <c r="AD325" s="27">
        <f>(IF(H325=0,0,(Upgrades!$M$16+H325*Upgrades!$N$16)*POWER(Upgrades!$O$16,H325)))*(IF(Upgrades!$T$13="Roche Lobe Overflow",POWER(Upgrades!$U$13,E325),1)*IF(Upgrades!$T$14="Roche Lobe Overflow",POWER(Upgrades!$U$14,F325),1)*IF(Upgrades!$T$15="Roche Lobe Overflow",POWER(Upgrades!$U$15,G325),1)*IF(Upgrades!$T$17="Roche Lobe Overflow",POWER(Upgrades!$U$17,I325),1)*IF(Upgrades!$T$18="Roche Lobe Overflow",POWER(Upgrades!$U$18,J325),1)*IF(Upgrades!$T$19="Roche Lobe Overflow",POWER(Upgrades!$U$19,K325),1)*IF(Upgrades!$T$20="Roche Lobe Overflow",POWER(Upgrades!$U$20,L325),1)*IF(Upgrades!$T$21="Roche Lobe Overflow",POWER(Upgrades!$U$21,M325),1))*POWER(Upgrades!$R$13,E325)*POWER(Upgrades!$R$14,F325)*POWER(Upgrades!$R$15,G325)*POWER(Upgrades!$R$16,H325)*POWER(Upgrades!$R$17,I325)*POWER(Upgrades!$R$18,J325)*POWER(Upgrades!$R$19,K325)*POWER(Upgrades!$R$20,L325)*POWER(Upgrades!$R$21,M325)*$H$6*O325*60</f>
        <v/>
      </c>
      <c r="AE325" s="27">
        <f>(IF(I325=0,0,(Upgrades!$G$17+I325*Upgrades!$H$17)*POWER(Upgrades!$I$17,I325)))*(IF(Upgrades!$T$13="Brown Dwarf",POWER(Upgrades!$U$13,E325),1)*IF(Upgrades!$T$14="Brown Dwarf",POWER(Upgrades!$U$14,F325),1)*IF(Upgrades!$T$15="Brown Dwarf",POWER(Upgrades!$U$15,G325),1)*IF(Upgrades!$T$16="Brown Dwarf",POWER(Upgrades!$U$16,H325),1)*IF(Upgrades!$T$18="Brown Dwarf",POWER(Upgrades!$U$18,J325),1)*IF(Upgrades!$T$19="Brown Dwarf",POWER(Upgrades!$U$19,K325),1)*IF(Upgrades!$T$20="Brown Dwarf",POWER(Upgrades!$U$20,L325),1)*IF(Upgrades!$T$21="Brown Dwarf",POWER(Upgrades!$U$21,M325),1))*POWER(Upgrades!$P$13,E325)*POWER(Upgrades!$P$14,F325)*POWER(Upgrades!$P$15,G325)*POWER(Upgrades!$P$16,H325)*POWER(Upgrades!$P$17,I325)*POWER(Upgrades!$P$18,J325)*POWER(Upgrades!$P$19,K325)*POWER(Upgrades!$P$20,L325)*POWER(Upgrades!$P$21,M325)*$F$6*60</f>
        <v/>
      </c>
      <c r="AF325" s="27" t="n">
        <v>0</v>
      </c>
      <c r="AG325" s="27" t="n">
        <v>0</v>
      </c>
      <c r="AH325" s="27" t="n">
        <v>0</v>
      </c>
      <c r="AI325" s="27">
        <f>(IF(M325=0,0,(Upgrades!$G$21+M325*Upgrades!$H$21)*POWER(Upgrades!$I$21,M325)))*(IF(Upgrades!$T$13="Moving Group",POWER(Upgrades!$U$13,E325),1)*IF(Upgrades!$T$14="Moving Group",POWER(Upgrades!$U$14,F325),1)*IF(Upgrades!$T$15="Moving Group",POWER(Upgrades!$U$15,G325),1)*IF(Upgrades!$T$16="Moving Group",POWER(Upgrades!$U$16,H325),1)*IF(Upgrades!$T$17="Moving Group",POWER(Upgrades!$U$17,I325),1)*IF(Upgrades!$T$18="Moving Group",POWER(Upgrades!$U$18,J325),1)*IF(Upgrades!$T$19="Moving Group",POWER(Upgrades!$U$19,K325),1)*IF(Upgrades!$T$20="Moving Group",POWER(Upgrades!$U$20,L325),1))*POWER(Upgrades!$P$13,E325)*POWER(Upgrades!$P$14,F325)*POWER(Upgrades!$P$15,G325)*POWER(Upgrades!$P$16,H325)*POWER(Upgrades!$P$17,I325)*POWER(Upgrades!$P$18,J325)*POWER(Upgrades!$P$19,K325)*POWER(Upgrades!$P$20,L325)*POWER(Upgrades!$P$21,M325)*$F$6*60</f>
        <v/>
      </c>
      <c r="AJ325" s="27">
        <f>$C$6*60</f>
        <v/>
      </c>
      <c r="AK325" s="22">
        <f>IF(E325&gt;=Upgrades!$E$13,"",Upgrades!$C$13*POWER(Upgrades!$D$13,E325))</f>
        <v/>
      </c>
      <c r="AL325" s="22">
        <f>IF(F325&gt;=Upgrades!$E$14,"",Upgrades!$C$14*POWER(Upgrades!$D$14,F325))</f>
        <v/>
      </c>
      <c r="AM325" s="22">
        <f>IF(G325&gt;=Upgrades!$E$15,"",Upgrades!$C$15*POWER(Upgrades!$D$15,G325))</f>
        <v/>
      </c>
      <c r="AN325" s="22">
        <f>IF(H325&gt;=Upgrades!$E$16,"",Upgrades!$C$16*POWER(Upgrades!$D$16,H325))</f>
        <v/>
      </c>
      <c r="AO325" s="22">
        <f>IF(I325&gt;=Upgrades!$E$17,"",Upgrades!$C$17*POWER(Upgrades!$D$17,I325))</f>
        <v/>
      </c>
      <c r="AP325" s="22">
        <f>IF(J325&gt;=Upgrades!$E$18,"",Upgrades!$C$18*POWER(Upgrades!$D$18,J325))</f>
        <v/>
      </c>
      <c r="AQ325" s="22">
        <f>IF(K325&gt;=Upgrades!$E$19,"",Upgrades!$C$19*POWER(Upgrades!$D$19,K325))</f>
        <v/>
      </c>
      <c r="AR325" s="22">
        <f>IF(L325&gt;=Upgrades!$E$20,"",Upgrades!$C$20*POWER(Upgrades!$D$20,L325))</f>
        <v/>
      </c>
      <c r="AS325" s="22">
        <f>IF(M325&gt;=Upgrades!$E$21,"",Upgrades!$C$21*POWER(Upgrades!$D$21,M325))</f>
        <v/>
      </c>
      <c r="AT325" s="26">
        <f>IF(AND(D325&gt;=Parameters!$B$18*Parameters!$B$19,(I325&gt;=Upgrades!$E$17)*(M325&gt;=Upgrades!$E$21)=1,N325=0),1,"")</f>
        <v/>
      </c>
      <c r="AU325" s="26">
        <f>IF(AND(D325&gt;=Parameters!$B$18*Parameters!$B$19,N325=0),1,"")</f>
        <v/>
      </c>
      <c r="AV325" s="22">
        <f>MIN(IF(ISNUMBER(AP325),AP325,9E15),IF(ISNUMBER(AQ325),AQ325,9E15),IF(ISNUMBER(AR325),AR325,9E15),IF(ISNUMBER(AS325),AS325,9E15))</f>
        <v/>
      </c>
      <c r="AW325" s="22">
        <f>MIN(IF(ISNUMBER(AK325),AK325,9E15),IF(ISNUMBER(AL325),AL325,9E15),IF(ISNUMBER(AM325),AM325,9E15),IF(ISNUMBER(AN325),AN325,9E15),IF(ISNUMBER(AO325),AO325,9E15))</f>
        <v/>
      </c>
      <c r="AX325" s="29">
        <f>IF(BD325&gt;Parameters!$B$21*(MAX(IF(AND(NOT(AND(AU325=1,AT325&lt;&gt;1)),ISNUMBER(AK325),AK325&lt;=(C325+T325)),AY325,0),IF(AND(NOT(AND(AU325=1,AT325&lt;&gt;1)),ISNUMBER(AL325),AL325&lt;=(C325+T325)),AZ325,0),IF(AND(NOT(AND(AU325=1,AT325&lt;&gt;1)),ISNUMBER(AM325),AM325&lt;=(C325+T325)),BA325,0),IF(AND(NOT(AND(AU325=1,AT325&lt;&gt;1)),ISNUMBER(AN325),AN325&lt;=(C325+T325)),BB325,0),IF(AND(ISNUMBER(AO325),AO325&lt;=(C325+T325)),BC325,0))),TRUE,FALSE)</f>
        <v/>
      </c>
      <c r="AY325" s="32">
        <f>IFERROR(Upgrades!$H$13*(POWER(Upgrades!$P$13,E325)*POWER(Upgrades!$P$14,F325)*POWER(Upgrades!$P$15,G325)*POWER(Upgrades!$P$16,H325)*POWER(Upgrades!$P$17,I325)*POWER(Upgrades!$P$18,J325)*POWER(Upgrades!$P$19,K325)*POWER(Upgrades!$P$20,L325)*POWER(Upgrades!$P$21,M325))*(IF(Upgrades!$T$14="Stellar Kinematics",POWER(Upgrades!$U$14,F325),1)*IF(Upgrades!$T$15="Stellar Kinematics",POWER(Upgrades!$U$15,G325),1)*IF(Upgrades!$T$16="Stellar Kinematics",POWER(Upgrades!$U$16,H325),1)*IF(Upgrades!$T$17="Stellar Kinematics",POWER(Upgrades!$U$17,I325),1)*IF(Upgrades!$T$18="Stellar Kinematics",POWER(Upgrades!$U$18,J325),1)*IF(Upgrades!$T$19="Stellar Kinematics",POWER(Upgrades!$U$19,K325),1)*IF(Upgrades!$T$20="Stellar Kinematics",POWER(Upgrades!$U$20,L325),1)*IF(Upgrades!$T$21="Stellar Kinematics",POWER(Upgrades!$U$21,M325),1))*$F$6/AK325,0)</f>
        <v/>
      </c>
      <c r="AZ325" s="32">
        <f>IFERROR(Upgrades!$H$14*(POWER(Upgrades!$P$13,E325)*POWER(Upgrades!$P$14,F325)*POWER(Upgrades!$P$15,G325)*POWER(Upgrades!$P$16,H325)*POWER(Upgrades!$P$17,I325)*POWER(Upgrades!$P$18,J325)*POWER(Upgrades!$P$19,K325)*POWER(Upgrades!$P$20,L325)*POWER(Upgrades!$P$21,M325))*(IF(Upgrades!$T$13="Local Bubble",POWER(Upgrades!$U$13,E325),1)*IF(Upgrades!$T$15="Local Bubble",POWER(Upgrades!$U$15,G325),1)*IF(Upgrades!$T$16="Local Bubble",POWER(Upgrades!$U$16,H325),1)*IF(Upgrades!$T$17="Local Bubble",POWER(Upgrades!$U$17,I325),1)*IF(Upgrades!$T$18="Local Bubble",POWER(Upgrades!$U$18,J325),1)*IF(Upgrades!$T$19="Local Bubble",POWER(Upgrades!$U$19,K325),1)*IF(Upgrades!$T$20="Local Bubble",POWER(Upgrades!$U$20,L325),1)*IF(Upgrades!$T$21="Local Bubble",POWER(Upgrades!$U$21,M325),1))*$F$6/AL325,0)</f>
        <v/>
      </c>
      <c r="BA325" s="32">
        <f>IFERROR(Upgrades!$K$15*(POWER(Upgrades!$Q$13,E325)*POWER(Upgrades!$Q$14,F325)*POWER(Upgrades!$Q$15,G325)*POWER(Upgrades!$Q$16,H325)*POWER(Upgrades!$Q$17,I325)*POWER(Upgrades!$Q$18,J325)*POWER(Upgrades!$Q$19,K325)*POWER(Upgrades!$Q$20,L325)*POWER(Upgrades!$Q$21,M325))*(IF(Upgrades!$T$13="Microlensing",POWER(Upgrades!$U$13,E325),1)*IF(Upgrades!$T$14="Microlensing",POWER(Upgrades!$U$14,F325),1)*IF(Upgrades!$T$16="Microlensing",POWER(Upgrades!$U$16,H325),1)*IF(Upgrades!$T$17="Microlensing",POWER(Upgrades!$U$17,I325),1)*IF(Upgrades!$T$18="Microlensing",POWER(Upgrades!$U$18,J325),1)*IF(Upgrades!$T$19="Microlensing",POWER(Upgrades!$U$19,K325),1)*IF(Upgrades!$T$20="Microlensing",POWER(Upgrades!$U$20,L325),1)*IF(Upgrades!$T$21="Microlensing",POWER(Upgrades!$U$21,M325),1))*$G$6*(Parameters!$B$10/60*Parameters!$B$11+Q325)/AM325,0)</f>
        <v/>
      </c>
      <c r="BB325" s="32">
        <f>IFERROR((Upgrades!$N$16*(POWER(Upgrades!$R$13,E325)*POWER(Upgrades!$R$14,F325)*POWER(Upgrades!$R$15,G325)*POWER(Upgrades!$R$16,H325)*POWER(Upgrades!$R$17,I325)*POWER(Upgrades!$R$18,J325)*POWER(Upgrades!$R$19,K325)*POWER(Upgrades!$R$20,L325)*POWER(Upgrades!$R$21,M325))*(IF(Upgrades!$T$13="Roche Lobe Overflow",POWER(Upgrades!$U$13,E325),1)*IF(Upgrades!$T$14="Roche Lobe Overflow",POWER(Upgrades!$U$14,F325),1)*IF(Upgrades!$T$15="Roche Lobe Overflow",POWER(Upgrades!$U$15,G325),1)*IF(Upgrades!$T$17="Roche Lobe Overflow",POWER(Upgrades!$U$17,I325),1)*IF(Upgrades!$T$18="Roche Lobe Overflow",POWER(Upgrades!$U$18,J325),1)*IF(Upgrades!$T$19="Roche Lobe Overflow",POWER(Upgrades!$U$19,K325),1)*IF(Upgrades!$T$20="Roche Lobe Overflow",POWER(Upgrades!$U$20,L325),1)*IF(Upgrades!$T$21="Roche Lobe Overflow",POWER(Upgrades!$U$21,M325),1))*$H$6*O325+((IF(F325=0,0,(Upgrades!$G$14+F325*Upgrades!$H$14)*POWER(Upgrades!$I$14,F325)))*(IF(Upgrades!$T$13="Local Bubble",POWER(Upgrades!$U$13,E325),1)*IF(Upgrades!$T$15="Local Bubble",POWER(Upgrades!$U$15,G325),1)*IF(Upgrades!$T$16="Local Bubble",POWER(Upgrades!$U$16,H325),1)*IF(Upgrades!$T$17="Local Bubble",POWER(Upgrades!$U$17,I325),1)*IF(Upgrades!$T$18="Local Bubble",POWER(Upgrades!$U$18,J325),1)*IF(Upgrades!$T$19="Local Bubble",POWER(Upgrades!$U$19,K325),1)*IF(Upgrades!$T$20="Local Bubble",POWER(Upgrades!$U$20,L325),1)*IF(Upgrades!$T$21="Local Bubble",POWER(Upgrades!$U$21,M325),1))*POWER(Upgrades!$P$13,E325)*POWER(Upgrades!$P$14,F325)*POWER(Upgrades!$P$15,G325)*POWER(Upgrades!$P$16,H325)*POWER(Upgrades!$P$17,I325)*POWER(Upgrades!$P$18,J325)*POWER(Upgrades!$P$19,K325)*POWER(Upgrades!$P$20,L325)*POWER(Upgrades!$P$21,M325)*$F$6)*0.05)/AN325,0)</f>
        <v/>
      </c>
      <c r="BC325" s="32">
        <f>IFERROR((Upgrades!$H$17*(POWER(Upgrades!$P$13,E325)*POWER(Upgrades!$P$14,F325)*POWER(Upgrades!$P$15,G325)*POWER(Upgrades!$P$16,H325)*POWER(Upgrades!$P$17,I325)*POWER(Upgrades!$P$18,J325)*POWER(Upgrades!$P$19,K325)*POWER(Upgrades!$P$20,L325)*POWER(Upgrades!$P$21,M325))*(IF(Upgrades!$T$13="Brown Dwarf",POWER(Upgrades!$U$13,E325),1)*IF(Upgrades!$T$14="Brown Dwarf",POWER(Upgrades!$U$14,F325),1)*IF(Upgrades!$T$15="Brown Dwarf",POWER(Upgrades!$U$15,G325),1)*IF(Upgrades!$T$16="Brown Dwarf",POWER(Upgrades!$U$16,H325),1)*IF(Upgrades!$T$18="Brown Dwarf",POWER(Upgrades!$U$18,J325),1)*IF(Upgrades!$T$19="Brown Dwarf",POWER(Upgrades!$U$19,K325),1)*IF(Upgrades!$T$20="Brown Dwarf",POWER(Upgrades!$U$20,L325),1)*IF(Upgrades!$T$21="Brown Dwarf",POWER(Upgrades!$U$21,M325),1))*$F$6+(((IF(H325=0,0,(Upgrades!$M$16+H325*Upgrades!$N$16)*POWER(Upgrades!$O$16,H325)))*(IF(Upgrades!$T$13="Roche Lobe Overflow",POWER(Upgrades!$U$13,E325),1)*IF(Upgrades!$T$14="Roche Lobe Overflow",POWER(Upgrades!$U$14,F325),1)*IF(Upgrades!$T$15="Roche Lobe Overflow",POWER(Upgrades!$U$15,G325),1)*IF(Upgrades!$T$17="Roche Lobe Overflow",POWER(Upgrades!$U$17,I325),1)*IF(Upgrades!$T$18="Roche Lobe Overflow",POWER(Upgrades!$U$18,J325),1)*IF(Upgrades!$T$19="Roche Lobe Overflow",POWER(Upgrades!$U$19,K325),1)*IF(Upgrades!$T$20="Roche Lobe Overflow",POWER(Upgrades!$U$20,L325),1)*IF(Upgrades!$T$21="Roche Lobe Overflow",POWER(Upgrades!$U$21,M325),1))*POWER(Upgrades!$R$13,E325)*POWER(Upgrades!$R$14,F325)*POWER(Upgrades!$R$15,G325)*POWER(Upgrades!$R$16,H325)*POWER(Upgrades!$R$17,I325)*POWER(Upgrades!$R$18,J325)*POWER(Upgrades!$R$19,K325)*POWER(Upgrades!$R$20,L325)*POWER(Upgrades!$R$21,M325)*$H$6)*O325)*0.10)/AO325,0)</f>
        <v/>
      </c>
      <c r="BD325" s="32">
        <f>MAX(IF(J325&gt;0,0,IFERROR(0.5*((IF(G325=0,0,(Upgrades!$J$15+G325*Upgrades!$K$15)*POWER(Upgrades!$L$15,G325)))*(IF(Upgrades!$T$13="Microlensing",POWER(Upgrades!$U$13,E325),1)*IF(Upgrades!$T$14="Microlensing",POWER(Upgrades!$U$14,F325),1)*IF(Upgrades!$T$16="Microlensing",POWER(Upgrades!$U$16,H325),1)*IF(Upgrades!$T$17="Microlensing",POWER(Upgrades!$U$17,I325),1)*IF(Upgrades!$T$18="Microlensing",POWER(Upgrades!$U$18,J325),1)*IF(Upgrades!$T$19="Microlensing",POWER(Upgrades!$U$19,K325),1)*IF(Upgrades!$T$20="Microlensing",POWER(Upgrades!$U$20,L325),1)*IF(Upgrades!$T$21="Microlensing",POWER(Upgrades!$U$21,M325),1))*(POWER(Upgrades!$Q$13,E325)*POWER(Upgrades!$Q$14,F325)*POWER(Upgrades!$Q$15,G325)*POWER(Upgrades!$Q$16,H325)*POWER(Upgrades!$Q$17,I325)*POWER(Upgrades!$Q$18,J325)*POWER(Upgrades!$Q$19,K325)*POWER(Upgrades!$Q$20,L325)*POWER(Upgrades!$Q$21,M325))*$G$6*(Parameters!$B$10/60*Parameters!$B$11+Q325))/Upgrades!$C$18,0)),IF(K325&gt;0,0,IFERROR(0.30*P325/Upgrades!$C$19,0)),IF(L325&gt;0,0,IFERROR(0.0001/Upgrades!$C$20,0)),IF(M325&gt;0,0,IFERROR((6.0*(POWER(Upgrades!$P$13,E325)*POWER(Upgrades!$P$14,F325)*POWER(Upgrades!$P$15,G325)*POWER(Upgrades!$P$16,H325)*POWER(Upgrades!$P$17,I325)*POWER(Upgrades!$P$18,J325)*POWER(Upgrades!$P$19,K325)*POWER(Upgrades!$P$20,L325)*POWER(Upgrades!$P$21,M325))*$F$6+0.20*O325*(Parameters!$B$10/60*Parameters!$B$11+Q325))/Upgrades!$C$21,0)),IF(AND(ISNUMBER(AK325),AK325&gt;(C325+T325)),AY325,0),IF(AND(ISNUMBER(AL325),AL325&gt;(C325+T325)),AZ325,0),IF(AND(ISNUMBER(AM325),AM325&gt;(C325+T325)),BA325,0),IF(AND(ISNUMBER(AN325),AN325&gt;(C325+T325)),BB325,0),IF(AND(ISNUMBER(AO325),AO325&gt;(C325+T325)),BC325,0))</f>
        <v/>
      </c>
      <c r="BE325" s="29">
        <f>IF(AT325=1,"transition",IF(MIN(IF(AND(J325=0,ISNUMBER(AP325),AP325&lt;=(C325+T325)),AP325,9E15),IF(AND(K325=0,ISNUMBER(AQ325),AQ325&lt;=(C325+T325)),AQ325,9E15),IF(AND(L325=0,ISNUMBER(AR325),AR325&lt;=(C325+T325)),AR325,9E15),IF(AND(M325=0,ISNUMBER(AS325),AS325&lt;=(C325+T325)),AS325,9E15))&lt;9E15,IF(AND(AND(J325=0,ISNUMBER(AP325),AP325&lt;=(C325+T325)),AP325=MIN(IF(AND(J325=0,ISNUMBER(AP325),AP325&lt;=(C325+T325)),AP325,9E15),IF(AND(K325=0,ISNUMBER(AQ325),AQ325&lt;=(C325+T325)),AQ325,9E15),IF(AND(L325=0,ISNUMBER(AR325),AR325&lt;=(C325+T325)),AR325,9E15),IF(AND(M325=0,ISNUMBER(AS325),AS325&lt;=(C325+T325)),AS325,9E15))),"BiP",IF(AND(AND(K325=0,ISNUMBER(AQ325),AQ325&lt;=(C325+T325)),AQ325=MIN(IF(AND(J325=0,ISNUMBER(AP325),AP325&lt;=(C325+T325)),AP325,9E15),IF(AND(K325=0,ISNUMBER(AQ325),AQ325&lt;=(C325+T325)),AQ325,9E15),IF(AND(L325=0,ISNUMBER(AR325),AR325&lt;=(C325+T325)),AR325,9E15),IF(AND(M325=0,ISNUMBER(AS325),AS325&lt;=(C325+T325)),AS325,9E15))),"PV",IF(AND(AND(L325=0,ISNUMBER(AR325),AR325&lt;=(C325+T325)),AR325=MIN(IF(AND(J325=0,ISNUMBER(AP325),AP325&lt;=(C325+T325)),AP325,9E15),IF(AND(K325=0,ISNUMBER(AQ325),AQ325&lt;=(C325+T325)),AQ325,9E15),IF(AND(L325=0,ISNUMBER(AR325),AR325&lt;=(C325+T325)),AR325,9E15),IF(AND(M325=0,ISNUMBER(AS325),AS325&lt;=(C325+T325)),AS325,9E15))),"OC","MG"))),IF(AX325=TRUE,"",IF(MAX(IF(AND(NOT(AND(AU325=1,AT325&lt;&gt;1)),ISNUMBER(AK325),AK325&lt;=(C325+T325)),AY325,0),IF(AND(NOT(AND(AU325=1,AT325&lt;&gt;1)),ISNUMBER(AL325),AL325&lt;=(C325+T325)),AZ325,0),IF(AND(NOT(AND(AU325=1,AT325&lt;&gt;1)),ISNUMBER(AM325),AM325&lt;=(C325+T325)),BA325,0),IF(AND(NOT(AND(AU325=1,AT325&lt;&gt;1)),ISNUMBER(AN325),AN325&lt;=(C325+T325)),BB325,0),IF(AND(ISNUMBER(AO325),AO325&lt;=(C325+T325)),BC325,0))&lt;=0,"",IF(AND(IF(AND(NOT(AND(AU325=1,AT325&lt;&gt;1)),ISNUMBER(AK325),AK325&lt;=(C325+T325)),AY325,0)&gt;0,IF(AND(NOT(AND(AU325=1,AT325&lt;&gt;1)),ISNUMBER(AK325),AK325&lt;=(C325+T325)),AY325,0)=MAX(IF(AND(NOT(AND(AU325=1,AT325&lt;&gt;1)),ISNUMBER(AK325),AK325&lt;=(C325+T325)),AY325,0),IF(AND(NOT(AND(AU325=1,AT325&lt;&gt;1)),ISNUMBER(AL325),AL325&lt;=(C325+T325)),AZ325,0),IF(AND(NOT(AND(AU325=1,AT325&lt;&gt;1)),ISNUMBER(AM325),AM325&lt;=(C325+T325)),BA325,0),IF(AND(NOT(AND(AU325=1,AT325&lt;&gt;1)),ISNUMBER(AN325),AN325&lt;=(C325+T325)),BB325,0),IF(AND(ISNUMBER(AO325),AO325&lt;=(C325+T325)),BC325,0))),"SK",IF(AND(IF(AND(NOT(AND(AU325=1,AT325&lt;&gt;1)),ISNUMBER(AL325),AL325&lt;=(C325+T325)),AZ325,0)&gt;0,IF(AND(NOT(AND(AU325=1,AT325&lt;&gt;1)),ISNUMBER(AL325),AL325&lt;=(C325+T325)),AZ325,0)=MAX(IF(AND(NOT(AND(AU325=1,AT325&lt;&gt;1)),ISNUMBER(AK325),AK325&lt;=(C325+T325)),AY325,0),IF(AND(NOT(AND(AU325=1,AT325&lt;&gt;1)),ISNUMBER(AL325),AL325&lt;=(C325+T325)),AZ325,0),IF(AND(NOT(AND(AU325=1,AT325&lt;&gt;1)),ISNUMBER(AM325),AM325&lt;=(C325+T325)),BA325,0),IF(AND(NOT(AND(AU325=1,AT325&lt;&gt;1)),ISNUMBER(AN325),AN325&lt;=(C325+T325)),BB325,0),IF(AND(ISNUMBER(AO325),AO325&lt;=(C325+T325)),BC325,0))),"LB",IF(AND(IF(AND(NOT(AND(AU325=1,AT325&lt;&gt;1)),ISNUMBER(AM325),AM325&lt;=(C325+T325)),BA325,0)&gt;0,IF(AND(NOT(AND(AU325=1,AT325&lt;&gt;1)),ISNUMBER(AM325),AM325&lt;=(C325+T325)),BA325,0)=MAX(IF(AND(NOT(AND(AU325=1,AT325&lt;&gt;1)),ISNUMBER(AK325),AK325&lt;=(C325+T325)),AY325,0),IF(AND(NOT(AND(AU325=1,AT325&lt;&gt;1)),ISNUMBER(AL325),AL325&lt;=(C325+T325)),AZ325,0),IF(AND(NOT(AND(AU325=1,AT325&lt;&gt;1)),ISNUMBER(AM325),AM325&lt;=(C325+T325)),BA325,0),IF(AND(NOT(AND(AU325=1,AT325&lt;&gt;1)),ISNUMBER(AN325),AN325&lt;=(C325+T325)),BB325,0),IF(AND(ISNUMBER(AO325),AO325&lt;=(C325+T325)),BC325,0))),"ML",IF(AND(IF(AND(NOT(AND(AU325=1,AT325&lt;&gt;1)),ISNUMBER(AN325),AN325&lt;=(C325+T325)),BB325,0)&gt;0,IF(AND(NOT(AND(AU325=1,AT325&lt;&gt;1)),ISNUMBER(AN325),AN325&lt;=(C325+T325)),BB325,0)=MAX(IF(AND(NOT(AND(AU325=1,AT325&lt;&gt;1)),ISNUMBER(AK325),AK325&lt;=(C325+T325)),AY325,0),IF(AND(NOT(AND(AU325=1,AT325&lt;&gt;1)),ISNUMBER(AL325),AL325&lt;=(C325+T325)),AZ325,0),IF(AND(NOT(AND(AU325=1,AT325&lt;&gt;1)),ISNUMBER(AM325),AM325&lt;=(C325+T325)),BA325,0),IF(AND(NOT(AND(AU325=1,AT325&lt;&gt;1)),ISNUMBER(AN325),AN325&lt;=(C325+T325)),BB325,0),IF(AND(ISNUMBER(AO325),AO325&lt;=(C325+T325)),BC325,0))),"RLO","BD"))))))))</f>
        <v/>
      </c>
    </row>
    <row r="326">
      <c r="A326" s="26" t="n">
        <v>315</v>
      </c>
      <c r="B326" s="27">
        <f>A326*10/60</f>
        <v/>
      </c>
      <c r="C326" s="22">
        <f>X325</f>
        <v/>
      </c>
      <c r="D326" s="27">
        <f>D325+W325</f>
        <v/>
      </c>
      <c r="E326" s="26">
        <f>E325+IF(U325="SK",1,0)</f>
        <v/>
      </c>
      <c r="F326" s="26">
        <f>F325+IF(U325="LB",1,0)</f>
        <v/>
      </c>
      <c r="G326" s="26">
        <f>G325+IF(U325="ML",1,0)</f>
        <v/>
      </c>
      <c r="H326" s="26">
        <f>H325+IF(U325="RLO",1,0)</f>
        <v/>
      </c>
      <c r="I326" s="26">
        <f>I325+IF(U325="BD",1,0)</f>
        <v/>
      </c>
      <c r="J326" s="26">
        <f>MAX(J325,IF(U325="BiP",1,0))</f>
        <v/>
      </c>
      <c r="K326" s="26">
        <f>MAX(K325,IF(U325="PV",1,0))</f>
        <v/>
      </c>
      <c r="L326" s="26">
        <f>MAX(L325,IF(U325="OC",1,0))</f>
        <v/>
      </c>
      <c r="M326" s="26">
        <f>MAX(M325,IF(U325="MG",1,0))</f>
        <v/>
      </c>
      <c r="N326" s="26">
        <f>MAX(N325,IF(U325="transition",1,0))</f>
        <v/>
      </c>
      <c r="O326" s="28">
        <f>(Parameters!$B$9+(IF(E326=0,0,(Upgrades!$J$13+E326*Upgrades!$K$13)*POWER(Upgrades!$L$13,E326)))*(IF(Upgrades!$T$14="Stellar Kinematics",POWER(Upgrades!$U$14,F326),1)*IF(Upgrades!$T$15="Stellar Kinematics",POWER(Upgrades!$U$15,G326),1)*IF(Upgrades!$T$16="Stellar Kinematics",POWER(Upgrades!$U$16,H326),1)*IF(Upgrades!$T$17="Stellar Kinematics",POWER(Upgrades!$U$17,I326),1)*IF(Upgrades!$T$18="Stellar Kinematics",POWER(Upgrades!$U$18,J326),1)*IF(Upgrades!$T$19="Stellar Kinematics",POWER(Upgrades!$U$19,K326),1)*IF(Upgrades!$T$20="Stellar Kinematics",POWER(Upgrades!$U$20,L326),1)*IF(Upgrades!$T$21="Stellar Kinematics",POWER(Upgrades!$U$21,M326),1))+(IF(F326=0,0,(Upgrades!$J$14+F326*Upgrades!$K$14)*POWER(Upgrades!$L$14,F326)))*(IF(Upgrades!$T$13="Local Bubble",POWER(Upgrades!$U$13,E326),1)*IF(Upgrades!$T$15="Local Bubble",POWER(Upgrades!$U$15,G326),1)*IF(Upgrades!$T$16="Local Bubble",POWER(Upgrades!$U$16,H326),1)*IF(Upgrades!$T$17="Local Bubble",POWER(Upgrades!$U$17,I326),1)*IF(Upgrades!$T$18="Local Bubble",POWER(Upgrades!$U$18,J326),1)*IF(Upgrades!$T$19="Local Bubble",POWER(Upgrades!$U$19,K326),1)*IF(Upgrades!$T$20="Local Bubble",POWER(Upgrades!$U$20,L326),1)*IF(Upgrades!$T$21="Local Bubble",POWER(Upgrades!$U$21,M326),1))+(IF(G326=0,0,(Upgrades!$J$15+G326*Upgrades!$K$15)*POWER(Upgrades!$L$15,G326)))*(IF(Upgrades!$T$13="Microlensing",POWER(Upgrades!$U$13,E326),1)*IF(Upgrades!$T$14="Microlensing",POWER(Upgrades!$U$14,F326),1)*IF(Upgrades!$T$16="Microlensing",POWER(Upgrades!$U$16,H326),1)*IF(Upgrades!$T$17="Microlensing",POWER(Upgrades!$U$17,I326),1)*IF(Upgrades!$T$18="Microlensing",POWER(Upgrades!$U$18,J326),1)*IF(Upgrades!$T$19="Microlensing",POWER(Upgrades!$U$19,K326),1)*IF(Upgrades!$T$20="Microlensing",POWER(Upgrades!$U$20,L326),1)*IF(Upgrades!$T$21="Microlensing",POWER(Upgrades!$U$21,M326),1))+(IF(H326=0,0,(Upgrades!$J$16+H326*Upgrades!$K$16)*POWER(Upgrades!$L$16,H326)))*(IF(Upgrades!$T$13="Roche Lobe Overflow",POWER(Upgrades!$U$13,E326),1)*IF(Upgrades!$T$14="Roche Lobe Overflow",POWER(Upgrades!$U$14,F326),1)*IF(Upgrades!$T$15="Roche Lobe Overflow",POWER(Upgrades!$U$15,G326),1)*IF(Upgrades!$T$17="Roche Lobe Overflow",POWER(Upgrades!$U$17,I326),1)*IF(Upgrades!$T$18="Roche Lobe Overflow",POWER(Upgrades!$U$18,J326),1)*IF(Upgrades!$T$19="Roche Lobe Overflow",POWER(Upgrades!$U$19,K326),1)*IF(Upgrades!$T$20="Roche Lobe Overflow",POWER(Upgrades!$U$20,L326),1)*IF(Upgrades!$T$21="Roche Lobe Overflow",POWER(Upgrades!$U$21,M326),1))+(IF(I326=0,0,(Upgrades!$J$17+I326*Upgrades!$K$17)*POWER(Upgrades!$L$17,I326)))*(IF(Upgrades!$T$13="Brown Dwarf",POWER(Upgrades!$U$13,E326),1)*IF(Upgrades!$T$14="Brown Dwarf",POWER(Upgrades!$U$14,F326),1)*IF(Upgrades!$T$15="Brown Dwarf",POWER(Upgrades!$U$15,G326),1)*IF(Upgrades!$T$16="Brown Dwarf",POWER(Upgrades!$U$16,H326),1)*IF(Upgrades!$T$18="Brown Dwarf",POWER(Upgrades!$U$18,J326),1)*IF(Upgrades!$T$19="Brown Dwarf",POWER(Upgrades!$U$19,K326),1)*IF(Upgrades!$T$20="Brown Dwarf",POWER(Upgrades!$U$20,L326),1)*IF(Upgrades!$T$21="Brown Dwarf",POWER(Upgrades!$U$21,M326),1))+(IF(J326=0,0,(Upgrades!$J$18+J326*Upgrades!$K$18)*POWER(Upgrades!$L$18,J326)))*(IF(Upgrades!$T$13="Binary Partner",POWER(Upgrades!$U$13,E326),1)*IF(Upgrades!$T$14="Binary Partner",POWER(Upgrades!$U$14,F326),1)*IF(Upgrades!$T$15="Binary Partner",POWER(Upgrades!$U$15,G326),1)*IF(Upgrades!$T$16="Binary Partner",POWER(Upgrades!$U$16,H326),1)*IF(Upgrades!$T$17="Binary Partner",POWER(Upgrades!$U$17,I326),1)*IF(Upgrades!$T$19="Binary Partner",POWER(Upgrades!$U$19,K326),1)*IF(Upgrades!$T$20="Binary Partner",POWER(Upgrades!$U$20,L326),1)*IF(Upgrades!$T$21="Binary Partner",POWER(Upgrades!$U$21,M326),1))+(IF(K326=0,0,(Upgrades!$J$19+K326*Upgrades!$K$19)*POWER(Upgrades!$L$19,K326)))*(IF(Upgrades!$T$13="Peculiar Velocity",POWER(Upgrades!$U$13,E326),1)*IF(Upgrades!$T$14="Peculiar Velocity",POWER(Upgrades!$U$14,F326),1)*IF(Upgrades!$T$15="Peculiar Velocity",POWER(Upgrades!$U$15,G326),1)*IF(Upgrades!$T$16="Peculiar Velocity",POWER(Upgrades!$U$16,H326),1)*IF(Upgrades!$T$17="Peculiar Velocity",POWER(Upgrades!$U$17,I326),1)*IF(Upgrades!$T$18="Peculiar Velocity",POWER(Upgrades!$U$18,J326),1)*IF(Upgrades!$T$20="Peculiar Velocity",POWER(Upgrades!$U$20,L326),1)*IF(Upgrades!$T$21="Peculiar Velocity",POWER(Upgrades!$U$21,M326),1))+(IF(L326=0,0,(Upgrades!$J$20+L326*Upgrades!$K$20)*POWER(Upgrades!$L$20,L326)))*(IF(Upgrades!$T$13="Open Cluster",POWER(Upgrades!$U$13,E326),1)*IF(Upgrades!$T$14="Open Cluster",POWER(Upgrades!$U$14,F326),1)*IF(Upgrades!$T$15="Open Cluster",POWER(Upgrades!$U$15,G326),1)*IF(Upgrades!$T$16="Open Cluster",POWER(Upgrades!$U$16,H326),1)*IF(Upgrades!$T$17="Open Cluster",POWER(Upgrades!$U$17,I326),1)*IF(Upgrades!$T$18="Open Cluster",POWER(Upgrades!$U$18,J326),1)*IF(Upgrades!$T$19="Open Cluster",POWER(Upgrades!$U$19,K326),1)*IF(Upgrades!$T$21="Open Cluster",POWER(Upgrades!$U$21,M326),1))+(IF(M326=0,0,(Upgrades!$J$21+M326*Upgrades!$K$21)*POWER(Upgrades!$L$21,M326)))*(IF(Upgrades!$T$13="Moving Group",POWER(Upgrades!$U$13,E326),1)*IF(Upgrades!$T$14="Moving Group",POWER(Upgrades!$U$14,F326),1)*IF(Upgrades!$T$15="Moving Group",POWER(Upgrades!$U$15,G326),1)*IF(Upgrades!$T$16="Moving Group",POWER(Upgrades!$U$16,H326),1)*IF(Upgrades!$T$17="Moving Group",POWER(Upgrades!$U$17,I326),1)*IF(Upgrades!$T$18="Moving Group",POWER(Upgrades!$U$18,J326),1)*IF(Upgrades!$T$19="Moving Group",POWER(Upgrades!$U$19,K326),1)*IF(Upgrades!$T$20="Moving Group",POWER(Upgrades!$U$20,L326),1)))*POWER(Upgrades!$Q$13,E326)*POWER(Upgrades!$Q$14,F326)*POWER(Upgrades!$Q$15,G326)*POWER(Upgrades!$Q$16,H326)*POWER(Upgrades!$Q$17,I326)*POWER(Upgrades!$Q$18,J326)*POWER(Upgrades!$Q$19,K326)*POWER(Upgrades!$Q$20,L326)*POWER(Upgrades!$Q$21,M326)*$G$6+$D$6</f>
        <v/>
      </c>
      <c r="P326" s="28">
        <f>((IF(E326=0,0,(Upgrades!$G$13+E326*Upgrades!$H$13)*POWER(Upgrades!$I$13,E326)))*(IF(Upgrades!$T$14="Stellar Kinematics",POWER(Upgrades!$U$14,F326),1)*IF(Upgrades!$T$15="Stellar Kinematics",POWER(Upgrades!$U$15,G326),1)*IF(Upgrades!$T$16="Stellar Kinematics",POWER(Upgrades!$U$16,H326),1)*IF(Upgrades!$T$17="Stellar Kinematics",POWER(Upgrades!$U$17,I326),1)*IF(Upgrades!$T$18="Stellar Kinematics",POWER(Upgrades!$U$18,J326),1)*IF(Upgrades!$T$19="Stellar Kinematics",POWER(Upgrades!$U$19,K326),1)*IF(Upgrades!$T$20="Stellar Kinematics",POWER(Upgrades!$U$20,L326),1)*IF(Upgrades!$T$21="Stellar Kinematics",POWER(Upgrades!$U$21,M326),1))+(IF(F326=0,0,(Upgrades!$G$14+F326*Upgrades!$H$14)*POWER(Upgrades!$I$14,F326)))*(IF(Upgrades!$T$13="Local Bubble",POWER(Upgrades!$U$13,E326),1)*IF(Upgrades!$T$15="Local Bubble",POWER(Upgrades!$U$15,G326),1)*IF(Upgrades!$T$16="Local Bubble",POWER(Upgrades!$U$16,H326),1)*IF(Upgrades!$T$17="Local Bubble",POWER(Upgrades!$U$17,I326),1)*IF(Upgrades!$T$18="Local Bubble",POWER(Upgrades!$U$18,J326),1)*IF(Upgrades!$T$19="Local Bubble",POWER(Upgrades!$U$19,K326),1)*IF(Upgrades!$T$20="Local Bubble",POWER(Upgrades!$U$20,L326),1)*IF(Upgrades!$T$21="Local Bubble",POWER(Upgrades!$U$21,M326),1))+(IF(G326=0,0,(Upgrades!$G$15+G326*Upgrades!$H$15)*POWER(Upgrades!$I$15,G326)))*(IF(Upgrades!$T$13="Microlensing",POWER(Upgrades!$U$13,E326),1)*IF(Upgrades!$T$14="Microlensing",POWER(Upgrades!$U$14,F326),1)*IF(Upgrades!$T$16="Microlensing",POWER(Upgrades!$U$16,H326),1)*IF(Upgrades!$T$17="Microlensing",POWER(Upgrades!$U$17,I326),1)*IF(Upgrades!$T$18="Microlensing",POWER(Upgrades!$U$18,J326),1)*IF(Upgrades!$T$19="Microlensing",POWER(Upgrades!$U$19,K326),1)*IF(Upgrades!$T$20="Microlensing",POWER(Upgrades!$U$20,L326),1)*IF(Upgrades!$T$21="Microlensing",POWER(Upgrades!$U$21,M326),1))+(IF(H326=0,0,(Upgrades!$G$16+H326*Upgrades!$H$16)*POWER(Upgrades!$I$16,H326)))*(IF(Upgrades!$T$13="Roche Lobe Overflow",POWER(Upgrades!$U$13,E326),1)*IF(Upgrades!$T$14="Roche Lobe Overflow",POWER(Upgrades!$U$14,F326),1)*IF(Upgrades!$T$15="Roche Lobe Overflow",POWER(Upgrades!$U$15,G326),1)*IF(Upgrades!$T$17="Roche Lobe Overflow",POWER(Upgrades!$U$17,I326),1)*IF(Upgrades!$T$18="Roche Lobe Overflow",POWER(Upgrades!$U$18,J326),1)*IF(Upgrades!$T$19="Roche Lobe Overflow",POWER(Upgrades!$U$19,K326),1)*IF(Upgrades!$T$20="Roche Lobe Overflow",POWER(Upgrades!$U$20,L326),1)*IF(Upgrades!$T$21="Roche Lobe Overflow",POWER(Upgrades!$U$21,M326),1))+(IF(I326=0,0,(Upgrades!$G$17+I326*Upgrades!$H$17)*POWER(Upgrades!$I$17,I326)))*(IF(Upgrades!$T$13="Brown Dwarf",POWER(Upgrades!$U$13,E326),1)*IF(Upgrades!$T$14="Brown Dwarf",POWER(Upgrades!$U$14,F326),1)*IF(Upgrades!$T$15="Brown Dwarf",POWER(Upgrades!$U$15,G326),1)*IF(Upgrades!$T$16="Brown Dwarf",POWER(Upgrades!$U$16,H326),1)*IF(Upgrades!$T$18="Brown Dwarf",POWER(Upgrades!$U$18,J326),1)*IF(Upgrades!$T$19="Brown Dwarf",POWER(Upgrades!$U$19,K326),1)*IF(Upgrades!$T$20="Brown Dwarf",POWER(Upgrades!$U$20,L326),1)*IF(Upgrades!$T$21="Brown Dwarf",POWER(Upgrades!$U$21,M326),1))+(IF(J326=0,0,(Upgrades!$G$18+J326*Upgrades!$H$18)*POWER(Upgrades!$I$18,J326)))*(IF(Upgrades!$T$13="Binary Partner",POWER(Upgrades!$U$13,E326),1)*IF(Upgrades!$T$14="Binary Partner",POWER(Upgrades!$U$14,F326),1)*IF(Upgrades!$T$15="Binary Partner",POWER(Upgrades!$U$15,G326),1)*IF(Upgrades!$T$16="Binary Partner",POWER(Upgrades!$U$16,H326),1)*IF(Upgrades!$T$17="Binary Partner",POWER(Upgrades!$U$17,I326),1)*IF(Upgrades!$T$19="Binary Partner",POWER(Upgrades!$U$19,K326),1)*IF(Upgrades!$T$20="Binary Partner",POWER(Upgrades!$U$20,L326),1)*IF(Upgrades!$T$21="Binary Partner",POWER(Upgrades!$U$21,M326),1))+(IF(K326=0,0,(Upgrades!$G$19+K326*Upgrades!$H$19)*POWER(Upgrades!$I$19,K326)))*(IF(Upgrades!$T$13="Peculiar Velocity",POWER(Upgrades!$U$13,E326),1)*IF(Upgrades!$T$14="Peculiar Velocity",POWER(Upgrades!$U$14,F326),1)*IF(Upgrades!$T$15="Peculiar Velocity",POWER(Upgrades!$U$15,G326),1)*IF(Upgrades!$T$16="Peculiar Velocity",POWER(Upgrades!$U$16,H326),1)*IF(Upgrades!$T$17="Peculiar Velocity",POWER(Upgrades!$U$17,I326),1)*IF(Upgrades!$T$18="Peculiar Velocity",POWER(Upgrades!$U$18,J326),1)*IF(Upgrades!$T$20="Peculiar Velocity",POWER(Upgrades!$U$20,L326),1)*IF(Upgrades!$T$21="Peculiar Velocity",POWER(Upgrades!$U$21,M326),1))+(IF(L326=0,0,(Upgrades!$G$20+L326*Upgrades!$H$20)*POWER(Upgrades!$I$20,L326)))*(IF(Upgrades!$T$13="Open Cluster",POWER(Upgrades!$U$13,E326),1)*IF(Upgrades!$T$14="Open Cluster",POWER(Upgrades!$U$14,F326),1)*IF(Upgrades!$T$15="Open Cluster",POWER(Upgrades!$U$15,G326),1)*IF(Upgrades!$T$16="Open Cluster",POWER(Upgrades!$U$16,H326),1)*IF(Upgrades!$T$17="Open Cluster",POWER(Upgrades!$U$17,I326),1)*IF(Upgrades!$T$18="Open Cluster",POWER(Upgrades!$U$18,J326),1)*IF(Upgrades!$T$19="Open Cluster",POWER(Upgrades!$U$19,K326),1)*IF(Upgrades!$T$21="Open Cluster",POWER(Upgrades!$U$21,M326),1))+(IF(M326=0,0,(Upgrades!$G$21+M326*Upgrades!$H$21)*POWER(Upgrades!$I$21,M326)))*(IF(Upgrades!$T$13="Moving Group",POWER(Upgrades!$U$13,E326),1)*IF(Upgrades!$T$14="Moving Group",POWER(Upgrades!$U$14,F326),1)*IF(Upgrades!$T$15="Moving Group",POWER(Upgrades!$U$15,G326),1)*IF(Upgrades!$T$16="Moving Group",POWER(Upgrades!$U$16,H326),1)*IF(Upgrades!$T$17="Moving Group",POWER(Upgrades!$U$17,I326),1)*IF(Upgrades!$T$18="Moving Group",POWER(Upgrades!$U$18,J326),1)*IF(Upgrades!$T$19="Moving Group",POWER(Upgrades!$U$19,K326),1)*IF(Upgrades!$T$20="Moving Group",POWER(Upgrades!$U$20,L326),1)))*POWER(Upgrades!$P$13,E326)*POWER(Upgrades!$P$14,F326)*POWER(Upgrades!$P$15,G326)*POWER(Upgrades!$P$16,H326)*POWER(Upgrades!$P$17,I326)*POWER(Upgrades!$P$18,J326)*POWER(Upgrades!$P$19,K326)*POWER(Upgrades!$P$20,L326)*POWER(Upgrades!$P$21,M326)*$F$6+$C$6</f>
        <v/>
      </c>
      <c r="Q326" s="28">
        <f>((IF(E326=0,0,(Upgrades!$M$13+E326*Upgrades!$N$13)*POWER(Upgrades!$O$13,E326)))*(IF(Upgrades!$T$14="Stellar Kinematics",POWER(Upgrades!$U$14,F326),1)*IF(Upgrades!$T$15="Stellar Kinematics",POWER(Upgrades!$U$15,G326),1)*IF(Upgrades!$T$16="Stellar Kinematics",POWER(Upgrades!$U$16,H326),1)*IF(Upgrades!$T$17="Stellar Kinematics",POWER(Upgrades!$U$17,I326),1)*IF(Upgrades!$T$18="Stellar Kinematics",POWER(Upgrades!$U$18,J326),1)*IF(Upgrades!$T$19="Stellar Kinematics",POWER(Upgrades!$U$19,K326),1)*IF(Upgrades!$T$20="Stellar Kinematics",POWER(Upgrades!$U$20,L326),1)*IF(Upgrades!$T$21="Stellar Kinematics",POWER(Upgrades!$U$21,M326),1))+(IF(F326=0,0,(Upgrades!$M$14+F326*Upgrades!$N$14)*POWER(Upgrades!$O$14,F326)))*(IF(Upgrades!$T$13="Local Bubble",POWER(Upgrades!$U$13,E326),1)*IF(Upgrades!$T$15="Local Bubble",POWER(Upgrades!$U$15,G326),1)*IF(Upgrades!$T$16="Local Bubble",POWER(Upgrades!$U$16,H326),1)*IF(Upgrades!$T$17="Local Bubble",POWER(Upgrades!$U$17,I326),1)*IF(Upgrades!$T$18="Local Bubble",POWER(Upgrades!$U$18,J326),1)*IF(Upgrades!$T$19="Local Bubble",POWER(Upgrades!$U$19,K326),1)*IF(Upgrades!$T$20="Local Bubble",POWER(Upgrades!$U$20,L326),1)*IF(Upgrades!$T$21="Local Bubble",POWER(Upgrades!$U$21,M326),1))+(IF(G326=0,0,(Upgrades!$M$15+G326*Upgrades!$N$15)*POWER(Upgrades!$O$15,G326)))*(IF(Upgrades!$T$13="Microlensing",POWER(Upgrades!$U$13,E326),1)*IF(Upgrades!$T$14="Microlensing",POWER(Upgrades!$U$14,F326),1)*IF(Upgrades!$T$16="Microlensing",POWER(Upgrades!$U$16,H326),1)*IF(Upgrades!$T$17="Microlensing",POWER(Upgrades!$U$17,I326),1)*IF(Upgrades!$T$18="Microlensing",POWER(Upgrades!$U$18,J326),1)*IF(Upgrades!$T$19="Microlensing",POWER(Upgrades!$U$19,K326),1)*IF(Upgrades!$T$20="Microlensing",POWER(Upgrades!$U$20,L326),1)*IF(Upgrades!$T$21="Microlensing",POWER(Upgrades!$U$21,M326),1))+(IF(H326=0,0,(Upgrades!$M$16+H326*Upgrades!$N$16)*POWER(Upgrades!$O$16,H326)))*(IF(Upgrades!$T$13="Roche Lobe Overflow",POWER(Upgrades!$U$13,E326),1)*IF(Upgrades!$T$14="Roche Lobe Overflow",POWER(Upgrades!$U$14,F326),1)*IF(Upgrades!$T$15="Roche Lobe Overflow",POWER(Upgrades!$U$15,G326),1)*IF(Upgrades!$T$17="Roche Lobe Overflow",POWER(Upgrades!$U$17,I326),1)*IF(Upgrades!$T$18="Roche Lobe Overflow",POWER(Upgrades!$U$18,J326),1)*IF(Upgrades!$T$19="Roche Lobe Overflow",POWER(Upgrades!$U$19,K326),1)*IF(Upgrades!$T$20="Roche Lobe Overflow",POWER(Upgrades!$U$20,L326),1)*IF(Upgrades!$T$21="Roche Lobe Overflow",POWER(Upgrades!$U$21,M326),1))+(IF(I326=0,0,(Upgrades!$M$17+I326*Upgrades!$N$17)*POWER(Upgrades!$O$17,I326)))*(IF(Upgrades!$T$13="Brown Dwarf",POWER(Upgrades!$U$13,E326),1)*IF(Upgrades!$T$14="Brown Dwarf",POWER(Upgrades!$U$14,F326),1)*IF(Upgrades!$T$15="Brown Dwarf",POWER(Upgrades!$U$15,G326),1)*IF(Upgrades!$T$16="Brown Dwarf",POWER(Upgrades!$U$16,H326),1)*IF(Upgrades!$T$18="Brown Dwarf",POWER(Upgrades!$U$18,J326),1)*IF(Upgrades!$T$19="Brown Dwarf",POWER(Upgrades!$U$19,K326),1)*IF(Upgrades!$T$20="Brown Dwarf",POWER(Upgrades!$U$20,L326),1)*IF(Upgrades!$T$21="Brown Dwarf",POWER(Upgrades!$U$21,M326),1))+(IF(J326=0,0,(Upgrades!$M$18+J326*Upgrades!$N$18)*POWER(Upgrades!$O$18,J326)))*(IF(Upgrades!$T$13="Binary Partner",POWER(Upgrades!$U$13,E326),1)*IF(Upgrades!$T$14="Binary Partner",POWER(Upgrades!$U$14,F326),1)*IF(Upgrades!$T$15="Binary Partner",POWER(Upgrades!$U$15,G326),1)*IF(Upgrades!$T$16="Binary Partner",POWER(Upgrades!$U$16,H326),1)*IF(Upgrades!$T$17="Binary Partner",POWER(Upgrades!$U$17,I326),1)*IF(Upgrades!$T$19="Binary Partner",POWER(Upgrades!$U$19,K326),1)*IF(Upgrades!$T$20="Binary Partner",POWER(Upgrades!$U$20,L326),1)*IF(Upgrades!$T$21="Binary Partner",POWER(Upgrades!$U$21,M326),1))+(IF(K326=0,0,(Upgrades!$M$19+K326*Upgrades!$N$19)*POWER(Upgrades!$O$19,K326)))*(IF(Upgrades!$T$13="Peculiar Velocity",POWER(Upgrades!$U$13,E326),1)*IF(Upgrades!$T$14="Peculiar Velocity",POWER(Upgrades!$U$14,F326),1)*IF(Upgrades!$T$15="Peculiar Velocity",POWER(Upgrades!$U$15,G326),1)*IF(Upgrades!$T$16="Peculiar Velocity",POWER(Upgrades!$U$16,H326),1)*IF(Upgrades!$T$17="Peculiar Velocity",POWER(Upgrades!$U$17,I326),1)*IF(Upgrades!$T$18="Peculiar Velocity",POWER(Upgrades!$U$18,J326),1)*IF(Upgrades!$T$20="Peculiar Velocity",POWER(Upgrades!$U$20,L326),1)*IF(Upgrades!$T$21="Peculiar Velocity",POWER(Upgrades!$U$21,M326),1))+(IF(L326=0,0,(Upgrades!$M$20+L326*Upgrades!$N$20)*POWER(Upgrades!$O$20,L326)))*(IF(Upgrades!$T$13="Open Cluster",POWER(Upgrades!$U$13,E326),1)*IF(Upgrades!$T$14="Open Cluster",POWER(Upgrades!$U$14,F326),1)*IF(Upgrades!$T$15="Open Cluster",POWER(Upgrades!$U$15,G326),1)*IF(Upgrades!$T$16="Open Cluster",POWER(Upgrades!$U$16,H326),1)*IF(Upgrades!$T$17="Open Cluster",POWER(Upgrades!$U$17,I326),1)*IF(Upgrades!$T$18="Open Cluster",POWER(Upgrades!$U$18,J326),1)*IF(Upgrades!$T$19="Open Cluster",POWER(Upgrades!$U$19,K326),1)*IF(Upgrades!$T$21="Open Cluster",POWER(Upgrades!$U$21,M326),1))+(IF(M326=0,0,(Upgrades!$M$21+M326*Upgrades!$N$21)*POWER(Upgrades!$O$21,M326)))*(IF(Upgrades!$T$13="Moving Group",POWER(Upgrades!$U$13,E326),1)*IF(Upgrades!$T$14="Moving Group",POWER(Upgrades!$U$14,F326),1)*IF(Upgrades!$T$15="Moving Group",POWER(Upgrades!$U$15,G326),1)*IF(Upgrades!$T$16="Moving Group",POWER(Upgrades!$U$16,H326),1)*IF(Upgrades!$T$17="Moving Group",POWER(Upgrades!$U$17,I326),1)*IF(Upgrades!$T$18="Moving Group",POWER(Upgrades!$U$18,J326),1)*IF(Upgrades!$T$19="Moving Group",POWER(Upgrades!$U$19,K326),1)*IF(Upgrades!$T$20="Moving Group",POWER(Upgrades!$U$20,L326),1)))*POWER(Upgrades!$R$13,E326)*POWER(Upgrades!$R$14,F326)*POWER(Upgrades!$R$15,G326)*POWER(Upgrades!$R$16,H326)*POWER(Upgrades!$R$17,I326)*POWER(Upgrades!$R$18,J326)*POWER(Upgrades!$R$19,K326)*POWER(Upgrades!$R$20,L326)*POWER(Upgrades!$R$21,M326)*$H$6+$E$6</f>
        <v/>
      </c>
      <c r="R326" s="27">
        <f>IF(N326=1,0,O326*Parameters!$B$10/60*Parameters!$B$11*10)</f>
        <v/>
      </c>
      <c r="S326" s="27">
        <f>IF(N326=1,0,Q326*O326*10)</f>
        <v/>
      </c>
      <c r="T326" s="27">
        <f>IF(N326=1,0,R326+S326+P326*10)</f>
        <v/>
      </c>
      <c r="U326" s="33">
        <f>BE326</f>
        <v/>
      </c>
      <c r="V326" s="22">
        <f>IF(U326="",0,IF(U326="transition",0,IF(U326="SK",AK326,IF(U326="LB",AL326,IF(U326="ML",AM326,IF(U326="RLO",AN326,IF(U326="BD",AO326,IF(U326="BiP",AP326,IF(U326="PV",AQ326,IF(U326="OC",AR326,IF(U326="MG",AS326,0))))))))))</f>
        <v/>
      </c>
      <c r="W326" s="27">
        <f>IF(U326="BiP",Upgrades!$F$18,IF(U326="PV",Upgrades!$F$19,IF(U326="OC",Upgrades!$F$20,IF(U326="MG",Upgrades!$F$21,IF(U326="transition",-Parameters!$B$18*Parameters!$B$19,0)))))</f>
        <v/>
      </c>
      <c r="X326" s="22">
        <f>C326+T326-V326</f>
        <v/>
      </c>
      <c r="Y326" s="30">
        <f>O326*Parameters!$B$10/60*Parameters!$B$11+Q326*O326+P326</f>
        <v/>
      </c>
      <c r="Z326" s="34">
        <f>IF(U326="transition","→ Tier 3 (Galactic Arm)",IF(U326="MG","Moving Group — pocket drifts together",IF(U326="OC","Open Cluster acquired",IF(U326="PV","Peculiar Velocity — passive multiplier active",IF(U326="BiP","Binary Partner — pair bond formed",IF(AND(AU326=1,N326=0,AT326&lt;&gt;1),"Cohesion ready (waiting on completionists)","")))))) </f>
        <v/>
      </c>
      <c r="AA326" s="27">
        <f>(IF(E326=0,0,(Upgrades!$G$13+E326*Upgrades!$H$13)*POWER(Upgrades!$I$13,E326)))*(IF(Upgrades!$T$14="Stellar Kinematics",POWER(Upgrades!$U$14,F326),1)*IF(Upgrades!$T$15="Stellar Kinematics",POWER(Upgrades!$U$15,G326),1)*IF(Upgrades!$T$16="Stellar Kinematics",POWER(Upgrades!$U$16,H326),1)*IF(Upgrades!$T$17="Stellar Kinematics",POWER(Upgrades!$U$17,I326),1)*IF(Upgrades!$T$18="Stellar Kinematics",POWER(Upgrades!$U$18,J326),1)*IF(Upgrades!$T$19="Stellar Kinematics",POWER(Upgrades!$U$19,K326),1)*IF(Upgrades!$T$20="Stellar Kinematics",POWER(Upgrades!$U$20,L326),1)*IF(Upgrades!$T$21="Stellar Kinematics",POWER(Upgrades!$U$21,M326),1))*POWER(Upgrades!$P$13,E326)*POWER(Upgrades!$P$14,F326)*POWER(Upgrades!$P$15,G326)*POWER(Upgrades!$P$16,H326)*POWER(Upgrades!$P$17,I326)*POWER(Upgrades!$P$18,J326)*POWER(Upgrades!$P$19,K326)*POWER(Upgrades!$P$20,L326)*POWER(Upgrades!$P$21,M326)*$F$6*60</f>
        <v/>
      </c>
      <c r="AB326" s="27">
        <f>(IF(F326=0,0,(Upgrades!$G$14+F326*Upgrades!$H$14)*POWER(Upgrades!$I$14,F326)))*(IF(Upgrades!$T$13="Local Bubble",POWER(Upgrades!$U$13,E326),1)*IF(Upgrades!$T$15="Local Bubble",POWER(Upgrades!$U$15,G326),1)*IF(Upgrades!$T$16="Local Bubble",POWER(Upgrades!$U$16,H326),1)*IF(Upgrades!$T$17="Local Bubble",POWER(Upgrades!$U$17,I326),1)*IF(Upgrades!$T$18="Local Bubble",POWER(Upgrades!$U$18,J326),1)*IF(Upgrades!$T$19="Local Bubble",POWER(Upgrades!$U$19,K326),1)*IF(Upgrades!$T$20="Local Bubble",POWER(Upgrades!$U$20,L326),1)*IF(Upgrades!$T$21="Local Bubble",POWER(Upgrades!$U$21,M326),1))*POWER(Upgrades!$P$13,E326)*POWER(Upgrades!$P$14,F326)*POWER(Upgrades!$P$15,G326)*POWER(Upgrades!$P$16,H326)*POWER(Upgrades!$P$17,I326)*POWER(Upgrades!$P$18,J326)*POWER(Upgrades!$P$19,K326)*POWER(Upgrades!$P$20,L326)*POWER(Upgrades!$P$21,M326)*$F$6*60</f>
        <v/>
      </c>
      <c r="AC326" s="27">
        <f>(IF(G326=0,0,(Upgrades!$J$15+G326*Upgrades!$K$15)*POWER(Upgrades!$L$15,G326)))*(IF(Upgrades!$T$13="Microlensing",POWER(Upgrades!$U$13,E326),1)*IF(Upgrades!$T$14="Microlensing",POWER(Upgrades!$U$14,F326),1)*IF(Upgrades!$T$16="Microlensing",POWER(Upgrades!$U$16,H326),1)*IF(Upgrades!$T$17="Microlensing",POWER(Upgrades!$U$17,I326),1)*IF(Upgrades!$T$18="Microlensing",POWER(Upgrades!$U$18,J326),1)*IF(Upgrades!$T$19="Microlensing",POWER(Upgrades!$U$19,K326),1)*IF(Upgrades!$T$20="Microlensing",POWER(Upgrades!$U$20,L326),1)*IF(Upgrades!$T$21="Microlensing",POWER(Upgrades!$U$21,M326),1))*POWER(Upgrades!$Q$13,E326)*POWER(Upgrades!$Q$14,F326)*POWER(Upgrades!$Q$15,G326)*POWER(Upgrades!$Q$16,H326)*POWER(Upgrades!$Q$17,I326)*POWER(Upgrades!$Q$18,J326)*POWER(Upgrades!$Q$19,K326)*POWER(Upgrades!$Q$20,L326)*POWER(Upgrades!$Q$21,M326)*$G$6*(Parameters!$B$10*Parameters!$B$11+Q326*60)</f>
        <v/>
      </c>
      <c r="AD326" s="27">
        <f>(IF(H326=0,0,(Upgrades!$M$16+H326*Upgrades!$N$16)*POWER(Upgrades!$O$16,H326)))*(IF(Upgrades!$T$13="Roche Lobe Overflow",POWER(Upgrades!$U$13,E326),1)*IF(Upgrades!$T$14="Roche Lobe Overflow",POWER(Upgrades!$U$14,F326),1)*IF(Upgrades!$T$15="Roche Lobe Overflow",POWER(Upgrades!$U$15,G326),1)*IF(Upgrades!$T$17="Roche Lobe Overflow",POWER(Upgrades!$U$17,I326),1)*IF(Upgrades!$T$18="Roche Lobe Overflow",POWER(Upgrades!$U$18,J326),1)*IF(Upgrades!$T$19="Roche Lobe Overflow",POWER(Upgrades!$U$19,K326),1)*IF(Upgrades!$T$20="Roche Lobe Overflow",POWER(Upgrades!$U$20,L326),1)*IF(Upgrades!$T$21="Roche Lobe Overflow",POWER(Upgrades!$U$21,M326),1))*POWER(Upgrades!$R$13,E326)*POWER(Upgrades!$R$14,F326)*POWER(Upgrades!$R$15,G326)*POWER(Upgrades!$R$16,H326)*POWER(Upgrades!$R$17,I326)*POWER(Upgrades!$R$18,J326)*POWER(Upgrades!$R$19,K326)*POWER(Upgrades!$R$20,L326)*POWER(Upgrades!$R$21,M326)*$H$6*O326*60</f>
        <v/>
      </c>
      <c r="AE326" s="27">
        <f>(IF(I326=0,0,(Upgrades!$G$17+I326*Upgrades!$H$17)*POWER(Upgrades!$I$17,I326)))*(IF(Upgrades!$T$13="Brown Dwarf",POWER(Upgrades!$U$13,E326),1)*IF(Upgrades!$T$14="Brown Dwarf",POWER(Upgrades!$U$14,F326),1)*IF(Upgrades!$T$15="Brown Dwarf",POWER(Upgrades!$U$15,G326),1)*IF(Upgrades!$T$16="Brown Dwarf",POWER(Upgrades!$U$16,H326),1)*IF(Upgrades!$T$18="Brown Dwarf",POWER(Upgrades!$U$18,J326),1)*IF(Upgrades!$T$19="Brown Dwarf",POWER(Upgrades!$U$19,K326),1)*IF(Upgrades!$T$20="Brown Dwarf",POWER(Upgrades!$U$20,L326),1)*IF(Upgrades!$T$21="Brown Dwarf",POWER(Upgrades!$U$21,M326),1))*POWER(Upgrades!$P$13,E326)*POWER(Upgrades!$P$14,F326)*POWER(Upgrades!$P$15,G326)*POWER(Upgrades!$P$16,H326)*POWER(Upgrades!$P$17,I326)*POWER(Upgrades!$P$18,J326)*POWER(Upgrades!$P$19,K326)*POWER(Upgrades!$P$20,L326)*POWER(Upgrades!$P$21,M326)*$F$6*60</f>
        <v/>
      </c>
      <c r="AF326" s="27" t="n">
        <v>0</v>
      </c>
      <c r="AG326" s="27" t="n">
        <v>0</v>
      </c>
      <c r="AH326" s="27" t="n">
        <v>0</v>
      </c>
      <c r="AI326" s="27">
        <f>(IF(M326=0,0,(Upgrades!$G$21+M326*Upgrades!$H$21)*POWER(Upgrades!$I$21,M326)))*(IF(Upgrades!$T$13="Moving Group",POWER(Upgrades!$U$13,E326),1)*IF(Upgrades!$T$14="Moving Group",POWER(Upgrades!$U$14,F326),1)*IF(Upgrades!$T$15="Moving Group",POWER(Upgrades!$U$15,G326),1)*IF(Upgrades!$T$16="Moving Group",POWER(Upgrades!$U$16,H326),1)*IF(Upgrades!$T$17="Moving Group",POWER(Upgrades!$U$17,I326),1)*IF(Upgrades!$T$18="Moving Group",POWER(Upgrades!$U$18,J326),1)*IF(Upgrades!$T$19="Moving Group",POWER(Upgrades!$U$19,K326),1)*IF(Upgrades!$T$20="Moving Group",POWER(Upgrades!$U$20,L326),1))*POWER(Upgrades!$P$13,E326)*POWER(Upgrades!$P$14,F326)*POWER(Upgrades!$P$15,G326)*POWER(Upgrades!$P$16,H326)*POWER(Upgrades!$P$17,I326)*POWER(Upgrades!$P$18,J326)*POWER(Upgrades!$P$19,K326)*POWER(Upgrades!$P$20,L326)*POWER(Upgrades!$P$21,M326)*$F$6*60</f>
        <v/>
      </c>
      <c r="AJ326" s="27">
        <f>$C$6*60</f>
        <v/>
      </c>
      <c r="AK326" s="22">
        <f>IF(E326&gt;=Upgrades!$E$13,"",Upgrades!$C$13*POWER(Upgrades!$D$13,E326))</f>
        <v/>
      </c>
      <c r="AL326" s="22">
        <f>IF(F326&gt;=Upgrades!$E$14,"",Upgrades!$C$14*POWER(Upgrades!$D$14,F326))</f>
        <v/>
      </c>
      <c r="AM326" s="22">
        <f>IF(G326&gt;=Upgrades!$E$15,"",Upgrades!$C$15*POWER(Upgrades!$D$15,G326))</f>
        <v/>
      </c>
      <c r="AN326" s="22">
        <f>IF(H326&gt;=Upgrades!$E$16,"",Upgrades!$C$16*POWER(Upgrades!$D$16,H326))</f>
        <v/>
      </c>
      <c r="AO326" s="22">
        <f>IF(I326&gt;=Upgrades!$E$17,"",Upgrades!$C$17*POWER(Upgrades!$D$17,I326))</f>
        <v/>
      </c>
      <c r="AP326" s="22">
        <f>IF(J326&gt;=Upgrades!$E$18,"",Upgrades!$C$18*POWER(Upgrades!$D$18,J326))</f>
        <v/>
      </c>
      <c r="AQ326" s="22">
        <f>IF(K326&gt;=Upgrades!$E$19,"",Upgrades!$C$19*POWER(Upgrades!$D$19,K326))</f>
        <v/>
      </c>
      <c r="AR326" s="22">
        <f>IF(L326&gt;=Upgrades!$E$20,"",Upgrades!$C$20*POWER(Upgrades!$D$20,L326))</f>
        <v/>
      </c>
      <c r="AS326" s="22">
        <f>IF(M326&gt;=Upgrades!$E$21,"",Upgrades!$C$21*POWER(Upgrades!$D$21,M326))</f>
        <v/>
      </c>
      <c r="AT326" s="26">
        <f>IF(AND(D326&gt;=Parameters!$B$18*Parameters!$B$19,(I326&gt;=Upgrades!$E$17)*(M326&gt;=Upgrades!$E$21)=1,N326=0),1,"")</f>
        <v/>
      </c>
      <c r="AU326" s="26">
        <f>IF(AND(D326&gt;=Parameters!$B$18*Parameters!$B$19,N326=0),1,"")</f>
        <v/>
      </c>
      <c r="AV326" s="22">
        <f>MIN(IF(ISNUMBER(AP326),AP326,9E15),IF(ISNUMBER(AQ326),AQ326,9E15),IF(ISNUMBER(AR326),AR326,9E15),IF(ISNUMBER(AS326),AS326,9E15))</f>
        <v/>
      </c>
      <c r="AW326" s="22">
        <f>MIN(IF(ISNUMBER(AK326),AK326,9E15),IF(ISNUMBER(AL326),AL326,9E15),IF(ISNUMBER(AM326),AM326,9E15),IF(ISNUMBER(AN326),AN326,9E15),IF(ISNUMBER(AO326),AO326,9E15))</f>
        <v/>
      </c>
      <c r="AX326" s="29">
        <f>IF(BD326&gt;Parameters!$B$21*(MAX(IF(AND(NOT(AND(AU326=1,AT326&lt;&gt;1)),ISNUMBER(AK326),AK326&lt;=(C326+T326)),AY326,0),IF(AND(NOT(AND(AU326=1,AT326&lt;&gt;1)),ISNUMBER(AL326),AL326&lt;=(C326+T326)),AZ326,0),IF(AND(NOT(AND(AU326=1,AT326&lt;&gt;1)),ISNUMBER(AM326),AM326&lt;=(C326+T326)),BA326,0),IF(AND(NOT(AND(AU326=1,AT326&lt;&gt;1)),ISNUMBER(AN326),AN326&lt;=(C326+T326)),BB326,0),IF(AND(ISNUMBER(AO326),AO326&lt;=(C326+T326)),BC326,0))),TRUE,FALSE)</f>
        <v/>
      </c>
      <c r="AY326" s="32">
        <f>IFERROR(Upgrades!$H$13*(POWER(Upgrades!$P$13,E326)*POWER(Upgrades!$P$14,F326)*POWER(Upgrades!$P$15,G326)*POWER(Upgrades!$P$16,H326)*POWER(Upgrades!$P$17,I326)*POWER(Upgrades!$P$18,J326)*POWER(Upgrades!$P$19,K326)*POWER(Upgrades!$P$20,L326)*POWER(Upgrades!$P$21,M326))*(IF(Upgrades!$T$14="Stellar Kinematics",POWER(Upgrades!$U$14,F326),1)*IF(Upgrades!$T$15="Stellar Kinematics",POWER(Upgrades!$U$15,G326),1)*IF(Upgrades!$T$16="Stellar Kinematics",POWER(Upgrades!$U$16,H326),1)*IF(Upgrades!$T$17="Stellar Kinematics",POWER(Upgrades!$U$17,I326),1)*IF(Upgrades!$T$18="Stellar Kinematics",POWER(Upgrades!$U$18,J326),1)*IF(Upgrades!$T$19="Stellar Kinematics",POWER(Upgrades!$U$19,K326),1)*IF(Upgrades!$T$20="Stellar Kinematics",POWER(Upgrades!$U$20,L326),1)*IF(Upgrades!$T$21="Stellar Kinematics",POWER(Upgrades!$U$21,M326),1))*$F$6/AK326,0)</f>
        <v/>
      </c>
      <c r="AZ326" s="32">
        <f>IFERROR(Upgrades!$H$14*(POWER(Upgrades!$P$13,E326)*POWER(Upgrades!$P$14,F326)*POWER(Upgrades!$P$15,G326)*POWER(Upgrades!$P$16,H326)*POWER(Upgrades!$P$17,I326)*POWER(Upgrades!$P$18,J326)*POWER(Upgrades!$P$19,K326)*POWER(Upgrades!$P$20,L326)*POWER(Upgrades!$P$21,M326))*(IF(Upgrades!$T$13="Local Bubble",POWER(Upgrades!$U$13,E326),1)*IF(Upgrades!$T$15="Local Bubble",POWER(Upgrades!$U$15,G326),1)*IF(Upgrades!$T$16="Local Bubble",POWER(Upgrades!$U$16,H326),1)*IF(Upgrades!$T$17="Local Bubble",POWER(Upgrades!$U$17,I326),1)*IF(Upgrades!$T$18="Local Bubble",POWER(Upgrades!$U$18,J326),1)*IF(Upgrades!$T$19="Local Bubble",POWER(Upgrades!$U$19,K326),1)*IF(Upgrades!$T$20="Local Bubble",POWER(Upgrades!$U$20,L326),1)*IF(Upgrades!$T$21="Local Bubble",POWER(Upgrades!$U$21,M326),1))*$F$6/AL326,0)</f>
        <v/>
      </c>
      <c r="BA326" s="32">
        <f>IFERROR(Upgrades!$K$15*(POWER(Upgrades!$Q$13,E326)*POWER(Upgrades!$Q$14,F326)*POWER(Upgrades!$Q$15,G326)*POWER(Upgrades!$Q$16,H326)*POWER(Upgrades!$Q$17,I326)*POWER(Upgrades!$Q$18,J326)*POWER(Upgrades!$Q$19,K326)*POWER(Upgrades!$Q$20,L326)*POWER(Upgrades!$Q$21,M326))*(IF(Upgrades!$T$13="Microlensing",POWER(Upgrades!$U$13,E326),1)*IF(Upgrades!$T$14="Microlensing",POWER(Upgrades!$U$14,F326),1)*IF(Upgrades!$T$16="Microlensing",POWER(Upgrades!$U$16,H326),1)*IF(Upgrades!$T$17="Microlensing",POWER(Upgrades!$U$17,I326),1)*IF(Upgrades!$T$18="Microlensing",POWER(Upgrades!$U$18,J326),1)*IF(Upgrades!$T$19="Microlensing",POWER(Upgrades!$U$19,K326),1)*IF(Upgrades!$T$20="Microlensing",POWER(Upgrades!$U$20,L326),1)*IF(Upgrades!$T$21="Microlensing",POWER(Upgrades!$U$21,M326),1))*$G$6*(Parameters!$B$10/60*Parameters!$B$11+Q326)/AM326,0)</f>
        <v/>
      </c>
      <c r="BB326" s="32">
        <f>IFERROR((Upgrades!$N$16*(POWER(Upgrades!$R$13,E326)*POWER(Upgrades!$R$14,F326)*POWER(Upgrades!$R$15,G326)*POWER(Upgrades!$R$16,H326)*POWER(Upgrades!$R$17,I326)*POWER(Upgrades!$R$18,J326)*POWER(Upgrades!$R$19,K326)*POWER(Upgrades!$R$20,L326)*POWER(Upgrades!$R$21,M326))*(IF(Upgrades!$T$13="Roche Lobe Overflow",POWER(Upgrades!$U$13,E326),1)*IF(Upgrades!$T$14="Roche Lobe Overflow",POWER(Upgrades!$U$14,F326),1)*IF(Upgrades!$T$15="Roche Lobe Overflow",POWER(Upgrades!$U$15,G326),1)*IF(Upgrades!$T$17="Roche Lobe Overflow",POWER(Upgrades!$U$17,I326),1)*IF(Upgrades!$T$18="Roche Lobe Overflow",POWER(Upgrades!$U$18,J326),1)*IF(Upgrades!$T$19="Roche Lobe Overflow",POWER(Upgrades!$U$19,K326),1)*IF(Upgrades!$T$20="Roche Lobe Overflow",POWER(Upgrades!$U$20,L326),1)*IF(Upgrades!$T$21="Roche Lobe Overflow",POWER(Upgrades!$U$21,M326),1))*$H$6*O326+((IF(F326=0,0,(Upgrades!$G$14+F326*Upgrades!$H$14)*POWER(Upgrades!$I$14,F326)))*(IF(Upgrades!$T$13="Local Bubble",POWER(Upgrades!$U$13,E326),1)*IF(Upgrades!$T$15="Local Bubble",POWER(Upgrades!$U$15,G326),1)*IF(Upgrades!$T$16="Local Bubble",POWER(Upgrades!$U$16,H326),1)*IF(Upgrades!$T$17="Local Bubble",POWER(Upgrades!$U$17,I326),1)*IF(Upgrades!$T$18="Local Bubble",POWER(Upgrades!$U$18,J326),1)*IF(Upgrades!$T$19="Local Bubble",POWER(Upgrades!$U$19,K326),1)*IF(Upgrades!$T$20="Local Bubble",POWER(Upgrades!$U$20,L326),1)*IF(Upgrades!$T$21="Local Bubble",POWER(Upgrades!$U$21,M326),1))*POWER(Upgrades!$P$13,E326)*POWER(Upgrades!$P$14,F326)*POWER(Upgrades!$P$15,G326)*POWER(Upgrades!$P$16,H326)*POWER(Upgrades!$P$17,I326)*POWER(Upgrades!$P$18,J326)*POWER(Upgrades!$P$19,K326)*POWER(Upgrades!$P$20,L326)*POWER(Upgrades!$P$21,M326)*$F$6)*0.05)/AN326,0)</f>
        <v/>
      </c>
      <c r="BC326" s="32">
        <f>IFERROR((Upgrades!$H$17*(POWER(Upgrades!$P$13,E326)*POWER(Upgrades!$P$14,F326)*POWER(Upgrades!$P$15,G326)*POWER(Upgrades!$P$16,H326)*POWER(Upgrades!$P$17,I326)*POWER(Upgrades!$P$18,J326)*POWER(Upgrades!$P$19,K326)*POWER(Upgrades!$P$20,L326)*POWER(Upgrades!$P$21,M326))*(IF(Upgrades!$T$13="Brown Dwarf",POWER(Upgrades!$U$13,E326),1)*IF(Upgrades!$T$14="Brown Dwarf",POWER(Upgrades!$U$14,F326),1)*IF(Upgrades!$T$15="Brown Dwarf",POWER(Upgrades!$U$15,G326),1)*IF(Upgrades!$T$16="Brown Dwarf",POWER(Upgrades!$U$16,H326),1)*IF(Upgrades!$T$18="Brown Dwarf",POWER(Upgrades!$U$18,J326),1)*IF(Upgrades!$T$19="Brown Dwarf",POWER(Upgrades!$U$19,K326),1)*IF(Upgrades!$T$20="Brown Dwarf",POWER(Upgrades!$U$20,L326),1)*IF(Upgrades!$T$21="Brown Dwarf",POWER(Upgrades!$U$21,M326),1))*$F$6+(((IF(H326=0,0,(Upgrades!$M$16+H326*Upgrades!$N$16)*POWER(Upgrades!$O$16,H326)))*(IF(Upgrades!$T$13="Roche Lobe Overflow",POWER(Upgrades!$U$13,E326),1)*IF(Upgrades!$T$14="Roche Lobe Overflow",POWER(Upgrades!$U$14,F326),1)*IF(Upgrades!$T$15="Roche Lobe Overflow",POWER(Upgrades!$U$15,G326),1)*IF(Upgrades!$T$17="Roche Lobe Overflow",POWER(Upgrades!$U$17,I326),1)*IF(Upgrades!$T$18="Roche Lobe Overflow",POWER(Upgrades!$U$18,J326),1)*IF(Upgrades!$T$19="Roche Lobe Overflow",POWER(Upgrades!$U$19,K326),1)*IF(Upgrades!$T$20="Roche Lobe Overflow",POWER(Upgrades!$U$20,L326),1)*IF(Upgrades!$T$21="Roche Lobe Overflow",POWER(Upgrades!$U$21,M326),1))*POWER(Upgrades!$R$13,E326)*POWER(Upgrades!$R$14,F326)*POWER(Upgrades!$R$15,G326)*POWER(Upgrades!$R$16,H326)*POWER(Upgrades!$R$17,I326)*POWER(Upgrades!$R$18,J326)*POWER(Upgrades!$R$19,K326)*POWER(Upgrades!$R$20,L326)*POWER(Upgrades!$R$21,M326)*$H$6)*O326)*0.10)/AO326,0)</f>
        <v/>
      </c>
      <c r="BD326" s="32">
        <f>MAX(IF(J326&gt;0,0,IFERROR(0.5*((IF(G326=0,0,(Upgrades!$J$15+G326*Upgrades!$K$15)*POWER(Upgrades!$L$15,G326)))*(IF(Upgrades!$T$13="Microlensing",POWER(Upgrades!$U$13,E326),1)*IF(Upgrades!$T$14="Microlensing",POWER(Upgrades!$U$14,F326),1)*IF(Upgrades!$T$16="Microlensing",POWER(Upgrades!$U$16,H326),1)*IF(Upgrades!$T$17="Microlensing",POWER(Upgrades!$U$17,I326),1)*IF(Upgrades!$T$18="Microlensing",POWER(Upgrades!$U$18,J326),1)*IF(Upgrades!$T$19="Microlensing",POWER(Upgrades!$U$19,K326),1)*IF(Upgrades!$T$20="Microlensing",POWER(Upgrades!$U$20,L326),1)*IF(Upgrades!$T$21="Microlensing",POWER(Upgrades!$U$21,M326),1))*(POWER(Upgrades!$Q$13,E326)*POWER(Upgrades!$Q$14,F326)*POWER(Upgrades!$Q$15,G326)*POWER(Upgrades!$Q$16,H326)*POWER(Upgrades!$Q$17,I326)*POWER(Upgrades!$Q$18,J326)*POWER(Upgrades!$Q$19,K326)*POWER(Upgrades!$Q$20,L326)*POWER(Upgrades!$Q$21,M326))*$G$6*(Parameters!$B$10/60*Parameters!$B$11+Q326))/Upgrades!$C$18,0)),IF(K326&gt;0,0,IFERROR(0.30*P326/Upgrades!$C$19,0)),IF(L326&gt;0,0,IFERROR(0.0001/Upgrades!$C$20,0)),IF(M326&gt;0,0,IFERROR((6.0*(POWER(Upgrades!$P$13,E326)*POWER(Upgrades!$P$14,F326)*POWER(Upgrades!$P$15,G326)*POWER(Upgrades!$P$16,H326)*POWER(Upgrades!$P$17,I326)*POWER(Upgrades!$P$18,J326)*POWER(Upgrades!$P$19,K326)*POWER(Upgrades!$P$20,L326)*POWER(Upgrades!$P$21,M326))*$F$6+0.20*O326*(Parameters!$B$10/60*Parameters!$B$11+Q326))/Upgrades!$C$21,0)),IF(AND(ISNUMBER(AK326),AK326&gt;(C326+T326)),AY326,0),IF(AND(ISNUMBER(AL326),AL326&gt;(C326+T326)),AZ326,0),IF(AND(ISNUMBER(AM326),AM326&gt;(C326+T326)),BA326,0),IF(AND(ISNUMBER(AN326),AN326&gt;(C326+T326)),BB326,0),IF(AND(ISNUMBER(AO326),AO326&gt;(C326+T326)),BC326,0))</f>
        <v/>
      </c>
      <c r="BE326" s="29">
        <f>IF(AT326=1,"transition",IF(MIN(IF(AND(J326=0,ISNUMBER(AP326),AP326&lt;=(C326+T326)),AP326,9E15),IF(AND(K326=0,ISNUMBER(AQ326),AQ326&lt;=(C326+T326)),AQ326,9E15),IF(AND(L326=0,ISNUMBER(AR326),AR326&lt;=(C326+T326)),AR326,9E15),IF(AND(M326=0,ISNUMBER(AS326),AS326&lt;=(C326+T326)),AS326,9E15))&lt;9E15,IF(AND(AND(J326=0,ISNUMBER(AP326),AP326&lt;=(C326+T326)),AP326=MIN(IF(AND(J326=0,ISNUMBER(AP326),AP326&lt;=(C326+T326)),AP326,9E15),IF(AND(K326=0,ISNUMBER(AQ326),AQ326&lt;=(C326+T326)),AQ326,9E15),IF(AND(L326=0,ISNUMBER(AR326),AR326&lt;=(C326+T326)),AR326,9E15),IF(AND(M326=0,ISNUMBER(AS326),AS326&lt;=(C326+T326)),AS326,9E15))),"BiP",IF(AND(AND(K326=0,ISNUMBER(AQ326),AQ326&lt;=(C326+T326)),AQ326=MIN(IF(AND(J326=0,ISNUMBER(AP326),AP326&lt;=(C326+T326)),AP326,9E15),IF(AND(K326=0,ISNUMBER(AQ326),AQ326&lt;=(C326+T326)),AQ326,9E15),IF(AND(L326=0,ISNUMBER(AR326),AR326&lt;=(C326+T326)),AR326,9E15),IF(AND(M326=0,ISNUMBER(AS326),AS326&lt;=(C326+T326)),AS326,9E15))),"PV",IF(AND(AND(L326=0,ISNUMBER(AR326),AR326&lt;=(C326+T326)),AR326=MIN(IF(AND(J326=0,ISNUMBER(AP326),AP326&lt;=(C326+T326)),AP326,9E15),IF(AND(K326=0,ISNUMBER(AQ326),AQ326&lt;=(C326+T326)),AQ326,9E15),IF(AND(L326=0,ISNUMBER(AR326),AR326&lt;=(C326+T326)),AR326,9E15),IF(AND(M326=0,ISNUMBER(AS326),AS326&lt;=(C326+T326)),AS326,9E15))),"OC","MG"))),IF(AX326=TRUE,"",IF(MAX(IF(AND(NOT(AND(AU326=1,AT326&lt;&gt;1)),ISNUMBER(AK326),AK326&lt;=(C326+T326)),AY326,0),IF(AND(NOT(AND(AU326=1,AT326&lt;&gt;1)),ISNUMBER(AL326),AL326&lt;=(C326+T326)),AZ326,0),IF(AND(NOT(AND(AU326=1,AT326&lt;&gt;1)),ISNUMBER(AM326),AM326&lt;=(C326+T326)),BA326,0),IF(AND(NOT(AND(AU326=1,AT326&lt;&gt;1)),ISNUMBER(AN326),AN326&lt;=(C326+T326)),BB326,0),IF(AND(ISNUMBER(AO326),AO326&lt;=(C326+T326)),BC326,0))&lt;=0,"",IF(AND(IF(AND(NOT(AND(AU326=1,AT326&lt;&gt;1)),ISNUMBER(AK326),AK326&lt;=(C326+T326)),AY326,0)&gt;0,IF(AND(NOT(AND(AU326=1,AT326&lt;&gt;1)),ISNUMBER(AK326),AK326&lt;=(C326+T326)),AY326,0)=MAX(IF(AND(NOT(AND(AU326=1,AT326&lt;&gt;1)),ISNUMBER(AK326),AK326&lt;=(C326+T326)),AY326,0),IF(AND(NOT(AND(AU326=1,AT326&lt;&gt;1)),ISNUMBER(AL326),AL326&lt;=(C326+T326)),AZ326,0),IF(AND(NOT(AND(AU326=1,AT326&lt;&gt;1)),ISNUMBER(AM326),AM326&lt;=(C326+T326)),BA326,0),IF(AND(NOT(AND(AU326=1,AT326&lt;&gt;1)),ISNUMBER(AN326),AN326&lt;=(C326+T326)),BB326,0),IF(AND(ISNUMBER(AO326),AO326&lt;=(C326+T326)),BC326,0))),"SK",IF(AND(IF(AND(NOT(AND(AU326=1,AT326&lt;&gt;1)),ISNUMBER(AL326),AL326&lt;=(C326+T326)),AZ326,0)&gt;0,IF(AND(NOT(AND(AU326=1,AT326&lt;&gt;1)),ISNUMBER(AL326),AL326&lt;=(C326+T326)),AZ326,0)=MAX(IF(AND(NOT(AND(AU326=1,AT326&lt;&gt;1)),ISNUMBER(AK326),AK326&lt;=(C326+T326)),AY326,0),IF(AND(NOT(AND(AU326=1,AT326&lt;&gt;1)),ISNUMBER(AL326),AL326&lt;=(C326+T326)),AZ326,0),IF(AND(NOT(AND(AU326=1,AT326&lt;&gt;1)),ISNUMBER(AM326),AM326&lt;=(C326+T326)),BA326,0),IF(AND(NOT(AND(AU326=1,AT326&lt;&gt;1)),ISNUMBER(AN326),AN326&lt;=(C326+T326)),BB326,0),IF(AND(ISNUMBER(AO326),AO326&lt;=(C326+T326)),BC326,0))),"LB",IF(AND(IF(AND(NOT(AND(AU326=1,AT326&lt;&gt;1)),ISNUMBER(AM326),AM326&lt;=(C326+T326)),BA326,0)&gt;0,IF(AND(NOT(AND(AU326=1,AT326&lt;&gt;1)),ISNUMBER(AM326),AM326&lt;=(C326+T326)),BA326,0)=MAX(IF(AND(NOT(AND(AU326=1,AT326&lt;&gt;1)),ISNUMBER(AK326),AK326&lt;=(C326+T326)),AY326,0),IF(AND(NOT(AND(AU326=1,AT326&lt;&gt;1)),ISNUMBER(AL326),AL326&lt;=(C326+T326)),AZ326,0),IF(AND(NOT(AND(AU326=1,AT326&lt;&gt;1)),ISNUMBER(AM326),AM326&lt;=(C326+T326)),BA326,0),IF(AND(NOT(AND(AU326=1,AT326&lt;&gt;1)),ISNUMBER(AN326),AN326&lt;=(C326+T326)),BB326,0),IF(AND(ISNUMBER(AO326),AO326&lt;=(C326+T326)),BC326,0))),"ML",IF(AND(IF(AND(NOT(AND(AU326=1,AT326&lt;&gt;1)),ISNUMBER(AN326),AN326&lt;=(C326+T326)),BB326,0)&gt;0,IF(AND(NOT(AND(AU326=1,AT326&lt;&gt;1)),ISNUMBER(AN326),AN326&lt;=(C326+T326)),BB326,0)=MAX(IF(AND(NOT(AND(AU326=1,AT326&lt;&gt;1)),ISNUMBER(AK326),AK326&lt;=(C326+T326)),AY326,0),IF(AND(NOT(AND(AU326=1,AT326&lt;&gt;1)),ISNUMBER(AL326),AL326&lt;=(C326+T326)),AZ326,0),IF(AND(NOT(AND(AU326=1,AT326&lt;&gt;1)),ISNUMBER(AM326),AM326&lt;=(C326+T326)),BA326,0),IF(AND(NOT(AND(AU326=1,AT326&lt;&gt;1)),ISNUMBER(AN326),AN326&lt;=(C326+T326)),BB326,0),IF(AND(ISNUMBER(AO326),AO326&lt;=(C326+T326)),BC326,0))),"RLO","BD"))))))))</f>
        <v/>
      </c>
    </row>
    <row r="327">
      <c r="A327" s="26" t="n">
        <v>316</v>
      </c>
      <c r="B327" s="27">
        <f>A327*10/60</f>
        <v/>
      </c>
      <c r="C327" s="22">
        <f>X326</f>
        <v/>
      </c>
      <c r="D327" s="27">
        <f>D326+W326</f>
        <v/>
      </c>
      <c r="E327" s="26">
        <f>E326+IF(U326="SK",1,0)</f>
        <v/>
      </c>
      <c r="F327" s="26">
        <f>F326+IF(U326="LB",1,0)</f>
        <v/>
      </c>
      <c r="G327" s="26">
        <f>G326+IF(U326="ML",1,0)</f>
        <v/>
      </c>
      <c r="H327" s="26">
        <f>H326+IF(U326="RLO",1,0)</f>
        <v/>
      </c>
      <c r="I327" s="26">
        <f>I326+IF(U326="BD",1,0)</f>
        <v/>
      </c>
      <c r="J327" s="26">
        <f>MAX(J326,IF(U326="BiP",1,0))</f>
        <v/>
      </c>
      <c r="K327" s="26">
        <f>MAX(K326,IF(U326="PV",1,0))</f>
        <v/>
      </c>
      <c r="L327" s="26">
        <f>MAX(L326,IF(U326="OC",1,0))</f>
        <v/>
      </c>
      <c r="M327" s="26">
        <f>MAX(M326,IF(U326="MG",1,0))</f>
        <v/>
      </c>
      <c r="N327" s="26">
        <f>MAX(N326,IF(U326="transition",1,0))</f>
        <v/>
      </c>
      <c r="O327" s="28">
        <f>(Parameters!$B$9+(IF(E327=0,0,(Upgrades!$J$13+E327*Upgrades!$K$13)*POWER(Upgrades!$L$13,E327)))*(IF(Upgrades!$T$14="Stellar Kinematics",POWER(Upgrades!$U$14,F327),1)*IF(Upgrades!$T$15="Stellar Kinematics",POWER(Upgrades!$U$15,G327),1)*IF(Upgrades!$T$16="Stellar Kinematics",POWER(Upgrades!$U$16,H327),1)*IF(Upgrades!$T$17="Stellar Kinematics",POWER(Upgrades!$U$17,I327),1)*IF(Upgrades!$T$18="Stellar Kinematics",POWER(Upgrades!$U$18,J327),1)*IF(Upgrades!$T$19="Stellar Kinematics",POWER(Upgrades!$U$19,K327),1)*IF(Upgrades!$T$20="Stellar Kinematics",POWER(Upgrades!$U$20,L327),1)*IF(Upgrades!$T$21="Stellar Kinematics",POWER(Upgrades!$U$21,M327),1))+(IF(F327=0,0,(Upgrades!$J$14+F327*Upgrades!$K$14)*POWER(Upgrades!$L$14,F327)))*(IF(Upgrades!$T$13="Local Bubble",POWER(Upgrades!$U$13,E327),1)*IF(Upgrades!$T$15="Local Bubble",POWER(Upgrades!$U$15,G327),1)*IF(Upgrades!$T$16="Local Bubble",POWER(Upgrades!$U$16,H327),1)*IF(Upgrades!$T$17="Local Bubble",POWER(Upgrades!$U$17,I327),1)*IF(Upgrades!$T$18="Local Bubble",POWER(Upgrades!$U$18,J327),1)*IF(Upgrades!$T$19="Local Bubble",POWER(Upgrades!$U$19,K327),1)*IF(Upgrades!$T$20="Local Bubble",POWER(Upgrades!$U$20,L327),1)*IF(Upgrades!$T$21="Local Bubble",POWER(Upgrades!$U$21,M327),1))+(IF(G327=0,0,(Upgrades!$J$15+G327*Upgrades!$K$15)*POWER(Upgrades!$L$15,G327)))*(IF(Upgrades!$T$13="Microlensing",POWER(Upgrades!$U$13,E327),1)*IF(Upgrades!$T$14="Microlensing",POWER(Upgrades!$U$14,F327),1)*IF(Upgrades!$T$16="Microlensing",POWER(Upgrades!$U$16,H327),1)*IF(Upgrades!$T$17="Microlensing",POWER(Upgrades!$U$17,I327),1)*IF(Upgrades!$T$18="Microlensing",POWER(Upgrades!$U$18,J327),1)*IF(Upgrades!$T$19="Microlensing",POWER(Upgrades!$U$19,K327),1)*IF(Upgrades!$T$20="Microlensing",POWER(Upgrades!$U$20,L327),1)*IF(Upgrades!$T$21="Microlensing",POWER(Upgrades!$U$21,M327),1))+(IF(H327=0,0,(Upgrades!$J$16+H327*Upgrades!$K$16)*POWER(Upgrades!$L$16,H327)))*(IF(Upgrades!$T$13="Roche Lobe Overflow",POWER(Upgrades!$U$13,E327),1)*IF(Upgrades!$T$14="Roche Lobe Overflow",POWER(Upgrades!$U$14,F327),1)*IF(Upgrades!$T$15="Roche Lobe Overflow",POWER(Upgrades!$U$15,G327),1)*IF(Upgrades!$T$17="Roche Lobe Overflow",POWER(Upgrades!$U$17,I327),1)*IF(Upgrades!$T$18="Roche Lobe Overflow",POWER(Upgrades!$U$18,J327),1)*IF(Upgrades!$T$19="Roche Lobe Overflow",POWER(Upgrades!$U$19,K327),1)*IF(Upgrades!$T$20="Roche Lobe Overflow",POWER(Upgrades!$U$20,L327),1)*IF(Upgrades!$T$21="Roche Lobe Overflow",POWER(Upgrades!$U$21,M327),1))+(IF(I327=0,0,(Upgrades!$J$17+I327*Upgrades!$K$17)*POWER(Upgrades!$L$17,I327)))*(IF(Upgrades!$T$13="Brown Dwarf",POWER(Upgrades!$U$13,E327),1)*IF(Upgrades!$T$14="Brown Dwarf",POWER(Upgrades!$U$14,F327),1)*IF(Upgrades!$T$15="Brown Dwarf",POWER(Upgrades!$U$15,G327),1)*IF(Upgrades!$T$16="Brown Dwarf",POWER(Upgrades!$U$16,H327),1)*IF(Upgrades!$T$18="Brown Dwarf",POWER(Upgrades!$U$18,J327),1)*IF(Upgrades!$T$19="Brown Dwarf",POWER(Upgrades!$U$19,K327),1)*IF(Upgrades!$T$20="Brown Dwarf",POWER(Upgrades!$U$20,L327),1)*IF(Upgrades!$T$21="Brown Dwarf",POWER(Upgrades!$U$21,M327),1))+(IF(J327=0,0,(Upgrades!$J$18+J327*Upgrades!$K$18)*POWER(Upgrades!$L$18,J327)))*(IF(Upgrades!$T$13="Binary Partner",POWER(Upgrades!$U$13,E327),1)*IF(Upgrades!$T$14="Binary Partner",POWER(Upgrades!$U$14,F327),1)*IF(Upgrades!$T$15="Binary Partner",POWER(Upgrades!$U$15,G327),1)*IF(Upgrades!$T$16="Binary Partner",POWER(Upgrades!$U$16,H327),1)*IF(Upgrades!$T$17="Binary Partner",POWER(Upgrades!$U$17,I327),1)*IF(Upgrades!$T$19="Binary Partner",POWER(Upgrades!$U$19,K327),1)*IF(Upgrades!$T$20="Binary Partner",POWER(Upgrades!$U$20,L327),1)*IF(Upgrades!$T$21="Binary Partner",POWER(Upgrades!$U$21,M327),1))+(IF(K327=0,0,(Upgrades!$J$19+K327*Upgrades!$K$19)*POWER(Upgrades!$L$19,K327)))*(IF(Upgrades!$T$13="Peculiar Velocity",POWER(Upgrades!$U$13,E327),1)*IF(Upgrades!$T$14="Peculiar Velocity",POWER(Upgrades!$U$14,F327),1)*IF(Upgrades!$T$15="Peculiar Velocity",POWER(Upgrades!$U$15,G327),1)*IF(Upgrades!$T$16="Peculiar Velocity",POWER(Upgrades!$U$16,H327),1)*IF(Upgrades!$T$17="Peculiar Velocity",POWER(Upgrades!$U$17,I327),1)*IF(Upgrades!$T$18="Peculiar Velocity",POWER(Upgrades!$U$18,J327),1)*IF(Upgrades!$T$20="Peculiar Velocity",POWER(Upgrades!$U$20,L327),1)*IF(Upgrades!$T$21="Peculiar Velocity",POWER(Upgrades!$U$21,M327),1))+(IF(L327=0,0,(Upgrades!$J$20+L327*Upgrades!$K$20)*POWER(Upgrades!$L$20,L327)))*(IF(Upgrades!$T$13="Open Cluster",POWER(Upgrades!$U$13,E327),1)*IF(Upgrades!$T$14="Open Cluster",POWER(Upgrades!$U$14,F327),1)*IF(Upgrades!$T$15="Open Cluster",POWER(Upgrades!$U$15,G327),1)*IF(Upgrades!$T$16="Open Cluster",POWER(Upgrades!$U$16,H327),1)*IF(Upgrades!$T$17="Open Cluster",POWER(Upgrades!$U$17,I327),1)*IF(Upgrades!$T$18="Open Cluster",POWER(Upgrades!$U$18,J327),1)*IF(Upgrades!$T$19="Open Cluster",POWER(Upgrades!$U$19,K327),1)*IF(Upgrades!$T$21="Open Cluster",POWER(Upgrades!$U$21,M327),1))+(IF(M327=0,0,(Upgrades!$J$21+M327*Upgrades!$K$21)*POWER(Upgrades!$L$21,M327)))*(IF(Upgrades!$T$13="Moving Group",POWER(Upgrades!$U$13,E327),1)*IF(Upgrades!$T$14="Moving Group",POWER(Upgrades!$U$14,F327),1)*IF(Upgrades!$T$15="Moving Group",POWER(Upgrades!$U$15,G327),1)*IF(Upgrades!$T$16="Moving Group",POWER(Upgrades!$U$16,H327),1)*IF(Upgrades!$T$17="Moving Group",POWER(Upgrades!$U$17,I327),1)*IF(Upgrades!$T$18="Moving Group",POWER(Upgrades!$U$18,J327),1)*IF(Upgrades!$T$19="Moving Group",POWER(Upgrades!$U$19,K327),1)*IF(Upgrades!$T$20="Moving Group",POWER(Upgrades!$U$20,L327),1)))*POWER(Upgrades!$Q$13,E327)*POWER(Upgrades!$Q$14,F327)*POWER(Upgrades!$Q$15,G327)*POWER(Upgrades!$Q$16,H327)*POWER(Upgrades!$Q$17,I327)*POWER(Upgrades!$Q$18,J327)*POWER(Upgrades!$Q$19,K327)*POWER(Upgrades!$Q$20,L327)*POWER(Upgrades!$Q$21,M327)*$G$6+$D$6</f>
        <v/>
      </c>
      <c r="P327" s="28">
        <f>((IF(E327=0,0,(Upgrades!$G$13+E327*Upgrades!$H$13)*POWER(Upgrades!$I$13,E327)))*(IF(Upgrades!$T$14="Stellar Kinematics",POWER(Upgrades!$U$14,F327),1)*IF(Upgrades!$T$15="Stellar Kinematics",POWER(Upgrades!$U$15,G327),1)*IF(Upgrades!$T$16="Stellar Kinematics",POWER(Upgrades!$U$16,H327),1)*IF(Upgrades!$T$17="Stellar Kinematics",POWER(Upgrades!$U$17,I327),1)*IF(Upgrades!$T$18="Stellar Kinematics",POWER(Upgrades!$U$18,J327),1)*IF(Upgrades!$T$19="Stellar Kinematics",POWER(Upgrades!$U$19,K327),1)*IF(Upgrades!$T$20="Stellar Kinematics",POWER(Upgrades!$U$20,L327),1)*IF(Upgrades!$T$21="Stellar Kinematics",POWER(Upgrades!$U$21,M327),1))+(IF(F327=0,0,(Upgrades!$G$14+F327*Upgrades!$H$14)*POWER(Upgrades!$I$14,F327)))*(IF(Upgrades!$T$13="Local Bubble",POWER(Upgrades!$U$13,E327),1)*IF(Upgrades!$T$15="Local Bubble",POWER(Upgrades!$U$15,G327),1)*IF(Upgrades!$T$16="Local Bubble",POWER(Upgrades!$U$16,H327),1)*IF(Upgrades!$T$17="Local Bubble",POWER(Upgrades!$U$17,I327),1)*IF(Upgrades!$T$18="Local Bubble",POWER(Upgrades!$U$18,J327),1)*IF(Upgrades!$T$19="Local Bubble",POWER(Upgrades!$U$19,K327),1)*IF(Upgrades!$T$20="Local Bubble",POWER(Upgrades!$U$20,L327),1)*IF(Upgrades!$T$21="Local Bubble",POWER(Upgrades!$U$21,M327),1))+(IF(G327=0,0,(Upgrades!$G$15+G327*Upgrades!$H$15)*POWER(Upgrades!$I$15,G327)))*(IF(Upgrades!$T$13="Microlensing",POWER(Upgrades!$U$13,E327),1)*IF(Upgrades!$T$14="Microlensing",POWER(Upgrades!$U$14,F327),1)*IF(Upgrades!$T$16="Microlensing",POWER(Upgrades!$U$16,H327),1)*IF(Upgrades!$T$17="Microlensing",POWER(Upgrades!$U$17,I327),1)*IF(Upgrades!$T$18="Microlensing",POWER(Upgrades!$U$18,J327),1)*IF(Upgrades!$T$19="Microlensing",POWER(Upgrades!$U$19,K327),1)*IF(Upgrades!$T$20="Microlensing",POWER(Upgrades!$U$20,L327),1)*IF(Upgrades!$T$21="Microlensing",POWER(Upgrades!$U$21,M327),1))+(IF(H327=0,0,(Upgrades!$G$16+H327*Upgrades!$H$16)*POWER(Upgrades!$I$16,H327)))*(IF(Upgrades!$T$13="Roche Lobe Overflow",POWER(Upgrades!$U$13,E327),1)*IF(Upgrades!$T$14="Roche Lobe Overflow",POWER(Upgrades!$U$14,F327),1)*IF(Upgrades!$T$15="Roche Lobe Overflow",POWER(Upgrades!$U$15,G327),1)*IF(Upgrades!$T$17="Roche Lobe Overflow",POWER(Upgrades!$U$17,I327),1)*IF(Upgrades!$T$18="Roche Lobe Overflow",POWER(Upgrades!$U$18,J327),1)*IF(Upgrades!$T$19="Roche Lobe Overflow",POWER(Upgrades!$U$19,K327),1)*IF(Upgrades!$T$20="Roche Lobe Overflow",POWER(Upgrades!$U$20,L327),1)*IF(Upgrades!$T$21="Roche Lobe Overflow",POWER(Upgrades!$U$21,M327),1))+(IF(I327=0,0,(Upgrades!$G$17+I327*Upgrades!$H$17)*POWER(Upgrades!$I$17,I327)))*(IF(Upgrades!$T$13="Brown Dwarf",POWER(Upgrades!$U$13,E327),1)*IF(Upgrades!$T$14="Brown Dwarf",POWER(Upgrades!$U$14,F327),1)*IF(Upgrades!$T$15="Brown Dwarf",POWER(Upgrades!$U$15,G327),1)*IF(Upgrades!$T$16="Brown Dwarf",POWER(Upgrades!$U$16,H327),1)*IF(Upgrades!$T$18="Brown Dwarf",POWER(Upgrades!$U$18,J327),1)*IF(Upgrades!$T$19="Brown Dwarf",POWER(Upgrades!$U$19,K327),1)*IF(Upgrades!$T$20="Brown Dwarf",POWER(Upgrades!$U$20,L327),1)*IF(Upgrades!$T$21="Brown Dwarf",POWER(Upgrades!$U$21,M327),1))+(IF(J327=0,0,(Upgrades!$G$18+J327*Upgrades!$H$18)*POWER(Upgrades!$I$18,J327)))*(IF(Upgrades!$T$13="Binary Partner",POWER(Upgrades!$U$13,E327),1)*IF(Upgrades!$T$14="Binary Partner",POWER(Upgrades!$U$14,F327),1)*IF(Upgrades!$T$15="Binary Partner",POWER(Upgrades!$U$15,G327),1)*IF(Upgrades!$T$16="Binary Partner",POWER(Upgrades!$U$16,H327),1)*IF(Upgrades!$T$17="Binary Partner",POWER(Upgrades!$U$17,I327),1)*IF(Upgrades!$T$19="Binary Partner",POWER(Upgrades!$U$19,K327),1)*IF(Upgrades!$T$20="Binary Partner",POWER(Upgrades!$U$20,L327),1)*IF(Upgrades!$T$21="Binary Partner",POWER(Upgrades!$U$21,M327),1))+(IF(K327=0,0,(Upgrades!$G$19+K327*Upgrades!$H$19)*POWER(Upgrades!$I$19,K327)))*(IF(Upgrades!$T$13="Peculiar Velocity",POWER(Upgrades!$U$13,E327),1)*IF(Upgrades!$T$14="Peculiar Velocity",POWER(Upgrades!$U$14,F327),1)*IF(Upgrades!$T$15="Peculiar Velocity",POWER(Upgrades!$U$15,G327),1)*IF(Upgrades!$T$16="Peculiar Velocity",POWER(Upgrades!$U$16,H327),1)*IF(Upgrades!$T$17="Peculiar Velocity",POWER(Upgrades!$U$17,I327),1)*IF(Upgrades!$T$18="Peculiar Velocity",POWER(Upgrades!$U$18,J327),1)*IF(Upgrades!$T$20="Peculiar Velocity",POWER(Upgrades!$U$20,L327),1)*IF(Upgrades!$T$21="Peculiar Velocity",POWER(Upgrades!$U$21,M327),1))+(IF(L327=0,0,(Upgrades!$G$20+L327*Upgrades!$H$20)*POWER(Upgrades!$I$20,L327)))*(IF(Upgrades!$T$13="Open Cluster",POWER(Upgrades!$U$13,E327),1)*IF(Upgrades!$T$14="Open Cluster",POWER(Upgrades!$U$14,F327),1)*IF(Upgrades!$T$15="Open Cluster",POWER(Upgrades!$U$15,G327),1)*IF(Upgrades!$T$16="Open Cluster",POWER(Upgrades!$U$16,H327),1)*IF(Upgrades!$T$17="Open Cluster",POWER(Upgrades!$U$17,I327),1)*IF(Upgrades!$T$18="Open Cluster",POWER(Upgrades!$U$18,J327),1)*IF(Upgrades!$T$19="Open Cluster",POWER(Upgrades!$U$19,K327),1)*IF(Upgrades!$T$21="Open Cluster",POWER(Upgrades!$U$21,M327),1))+(IF(M327=0,0,(Upgrades!$G$21+M327*Upgrades!$H$21)*POWER(Upgrades!$I$21,M327)))*(IF(Upgrades!$T$13="Moving Group",POWER(Upgrades!$U$13,E327),1)*IF(Upgrades!$T$14="Moving Group",POWER(Upgrades!$U$14,F327),1)*IF(Upgrades!$T$15="Moving Group",POWER(Upgrades!$U$15,G327),1)*IF(Upgrades!$T$16="Moving Group",POWER(Upgrades!$U$16,H327),1)*IF(Upgrades!$T$17="Moving Group",POWER(Upgrades!$U$17,I327),1)*IF(Upgrades!$T$18="Moving Group",POWER(Upgrades!$U$18,J327),1)*IF(Upgrades!$T$19="Moving Group",POWER(Upgrades!$U$19,K327),1)*IF(Upgrades!$T$20="Moving Group",POWER(Upgrades!$U$20,L327),1)))*POWER(Upgrades!$P$13,E327)*POWER(Upgrades!$P$14,F327)*POWER(Upgrades!$P$15,G327)*POWER(Upgrades!$P$16,H327)*POWER(Upgrades!$P$17,I327)*POWER(Upgrades!$P$18,J327)*POWER(Upgrades!$P$19,K327)*POWER(Upgrades!$P$20,L327)*POWER(Upgrades!$P$21,M327)*$F$6+$C$6</f>
        <v/>
      </c>
      <c r="Q327" s="28">
        <f>((IF(E327=0,0,(Upgrades!$M$13+E327*Upgrades!$N$13)*POWER(Upgrades!$O$13,E327)))*(IF(Upgrades!$T$14="Stellar Kinematics",POWER(Upgrades!$U$14,F327),1)*IF(Upgrades!$T$15="Stellar Kinematics",POWER(Upgrades!$U$15,G327),1)*IF(Upgrades!$T$16="Stellar Kinematics",POWER(Upgrades!$U$16,H327),1)*IF(Upgrades!$T$17="Stellar Kinematics",POWER(Upgrades!$U$17,I327),1)*IF(Upgrades!$T$18="Stellar Kinematics",POWER(Upgrades!$U$18,J327),1)*IF(Upgrades!$T$19="Stellar Kinematics",POWER(Upgrades!$U$19,K327),1)*IF(Upgrades!$T$20="Stellar Kinematics",POWER(Upgrades!$U$20,L327),1)*IF(Upgrades!$T$21="Stellar Kinematics",POWER(Upgrades!$U$21,M327),1))+(IF(F327=0,0,(Upgrades!$M$14+F327*Upgrades!$N$14)*POWER(Upgrades!$O$14,F327)))*(IF(Upgrades!$T$13="Local Bubble",POWER(Upgrades!$U$13,E327),1)*IF(Upgrades!$T$15="Local Bubble",POWER(Upgrades!$U$15,G327),1)*IF(Upgrades!$T$16="Local Bubble",POWER(Upgrades!$U$16,H327),1)*IF(Upgrades!$T$17="Local Bubble",POWER(Upgrades!$U$17,I327),1)*IF(Upgrades!$T$18="Local Bubble",POWER(Upgrades!$U$18,J327),1)*IF(Upgrades!$T$19="Local Bubble",POWER(Upgrades!$U$19,K327),1)*IF(Upgrades!$T$20="Local Bubble",POWER(Upgrades!$U$20,L327),1)*IF(Upgrades!$T$21="Local Bubble",POWER(Upgrades!$U$21,M327),1))+(IF(G327=0,0,(Upgrades!$M$15+G327*Upgrades!$N$15)*POWER(Upgrades!$O$15,G327)))*(IF(Upgrades!$T$13="Microlensing",POWER(Upgrades!$U$13,E327),1)*IF(Upgrades!$T$14="Microlensing",POWER(Upgrades!$U$14,F327),1)*IF(Upgrades!$T$16="Microlensing",POWER(Upgrades!$U$16,H327),1)*IF(Upgrades!$T$17="Microlensing",POWER(Upgrades!$U$17,I327),1)*IF(Upgrades!$T$18="Microlensing",POWER(Upgrades!$U$18,J327),1)*IF(Upgrades!$T$19="Microlensing",POWER(Upgrades!$U$19,K327),1)*IF(Upgrades!$T$20="Microlensing",POWER(Upgrades!$U$20,L327),1)*IF(Upgrades!$T$21="Microlensing",POWER(Upgrades!$U$21,M327),1))+(IF(H327=0,0,(Upgrades!$M$16+H327*Upgrades!$N$16)*POWER(Upgrades!$O$16,H327)))*(IF(Upgrades!$T$13="Roche Lobe Overflow",POWER(Upgrades!$U$13,E327),1)*IF(Upgrades!$T$14="Roche Lobe Overflow",POWER(Upgrades!$U$14,F327),1)*IF(Upgrades!$T$15="Roche Lobe Overflow",POWER(Upgrades!$U$15,G327),1)*IF(Upgrades!$T$17="Roche Lobe Overflow",POWER(Upgrades!$U$17,I327),1)*IF(Upgrades!$T$18="Roche Lobe Overflow",POWER(Upgrades!$U$18,J327),1)*IF(Upgrades!$T$19="Roche Lobe Overflow",POWER(Upgrades!$U$19,K327),1)*IF(Upgrades!$T$20="Roche Lobe Overflow",POWER(Upgrades!$U$20,L327),1)*IF(Upgrades!$T$21="Roche Lobe Overflow",POWER(Upgrades!$U$21,M327),1))+(IF(I327=0,0,(Upgrades!$M$17+I327*Upgrades!$N$17)*POWER(Upgrades!$O$17,I327)))*(IF(Upgrades!$T$13="Brown Dwarf",POWER(Upgrades!$U$13,E327),1)*IF(Upgrades!$T$14="Brown Dwarf",POWER(Upgrades!$U$14,F327),1)*IF(Upgrades!$T$15="Brown Dwarf",POWER(Upgrades!$U$15,G327),1)*IF(Upgrades!$T$16="Brown Dwarf",POWER(Upgrades!$U$16,H327),1)*IF(Upgrades!$T$18="Brown Dwarf",POWER(Upgrades!$U$18,J327),1)*IF(Upgrades!$T$19="Brown Dwarf",POWER(Upgrades!$U$19,K327),1)*IF(Upgrades!$T$20="Brown Dwarf",POWER(Upgrades!$U$20,L327),1)*IF(Upgrades!$T$21="Brown Dwarf",POWER(Upgrades!$U$21,M327),1))+(IF(J327=0,0,(Upgrades!$M$18+J327*Upgrades!$N$18)*POWER(Upgrades!$O$18,J327)))*(IF(Upgrades!$T$13="Binary Partner",POWER(Upgrades!$U$13,E327),1)*IF(Upgrades!$T$14="Binary Partner",POWER(Upgrades!$U$14,F327),1)*IF(Upgrades!$T$15="Binary Partner",POWER(Upgrades!$U$15,G327),1)*IF(Upgrades!$T$16="Binary Partner",POWER(Upgrades!$U$16,H327),1)*IF(Upgrades!$T$17="Binary Partner",POWER(Upgrades!$U$17,I327),1)*IF(Upgrades!$T$19="Binary Partner",POWER(Upgrades!$U$19,K327),1)*IF(Upgrades!$T$20="Binary Partner",POWER(Upgrades!$U$20,L327),1)*IF(Upgrades!$T$21="Binary Partner",POWER(Upgrades!$U$21,M327),1))+(IF(K327=0,0,(Upgrades!$M$19+K327*Upgrades!$N$19)*POWER(Upgrades!$O$19,K327)))*(IF(Upgrades!$T$13="Peculiar Velocity",POWER(Upgrades!$U$13,E327),1)*IF(Upgrades!$T$14="Peculiar Velocity",POWER(Upgrades!$U$14,F327),1)*IF(Upgrades!$T$15="Peculiar Velocity",POWER(Upgrades!$U$15,G327),1)*IF(Upgrades!$T$16="Peculiar Velocity",POWER(Upgrades!$U$16,H327),1)*IF(Upgrades!$T$17="Peculiar Velocity",POWER(Upgrades!$U$17,I327),1)*IF(Upgrades!$T$18="Peculiar Velocity",POWER(Upgrades!$U$18,J327),1)*IF(Upgrades!$T$20="Peculiar Velocity",POWER(Upgrades!$U$20,L327),1)*IF(Upgrades!$T$21="Peculiar Velocity",POWER(Upgrades!$U$21,M327),1))+(IF(L327=0,0,(Upgrades!$M$20+L327*Upgrades!$N$20)*POWER(Upgrades!$O$20,L327)))*(IF(Upgrades!$T$13="Open Cluster",POWER(Upgrades!$U$13,E327),1)*IF(Upgrades!$T$14="Open Cluster",POWER(Upgrades!$U$14,F327),1)*IF(Upgrades!$T$15="Open Cluster",POWER(Upgrades!$U$15,G327),1)*IF(Upgrades!$T$16="Open Cluster",POWER(Upgrades!$U$16,H327),1)*IF(Upgrades!$T$17="Open Cluster",POWER(Upgrades!$U$17,I327),1)*IF(Upgrades!$T$18="Open Cluster",POWER(Upgrades!$U$18,J327),1)*IF(Upgrades!$T$19="Open Cluster",POWER(Upgrades!$U$19,K327),1)*IF(Upgrades!$T$21="Open Cluster",POWER(Upgrades!$U$21,M327),1))+(IF(M327=0,0,(Upgrades!$M$21+M327*Upgrades!$N$21)*POWER(Upgrades!$O$21,M327)))*(IF(Upgrades!$T$13="Moving Group",POWER(Upgrades!$U$13,E327),1)*IF(Upgrades!$T$14="Moving Group",POWER(Upgrades!$U$14,F327),1)*IF(Upgrades!$T$15="Moving Group",POWER(Upgrades!$U$15,G327),1)*IF(Upgrades!$T$16="Moving Group",POWER(Upgrades!$U$16,H327),1)*IF(Upgrades!$T$17="Moving Group",POWER(Upgrades!$U$17,I327),1)*IF(Upgrades!$T$18="Moving Group",POWER(Upgrades!$U$18,J327),1)*IF(Upgrades!$T$19="Moving Group",POWER(Upgrades!$U$19,K327),1)*IF(Upgrades!$T$20="Moving Group",POWER(Upgrades!$U$20,L327),1)))*POWER(Upgrades!$R$13,E327)*POWER(Upgrades!$R$14,F327)*POWER(Upgrades!$R$15,G327)*POWER(Upgrades!$R$16,H327)*POWER(Upgrades!$R$17,I327)*POWER(Upgrades!$R$18,J327)*POWER(Upgrades!$R$19,K327)*POWER(Upgrades!$R$20,L327)*POWER(Upgrades!$R$21,M327)*$H$6+$E$6</f>
        <v/>
      </c>
      <c r="R327" s="27">
        <f>IF(N327=1,0,O327*Parameters!$B$10/60*Parameters!$B$11*10)</f>
        <v/>
      </c>
      <c r="S327" s="27">
        <f>IF(N327=1,0,Q327*O327*10)</f>
        <v/>
      </c>
      <c r="T327" s="27">
        <f>IF(N327=1,0,R327+S327+P327*10)</f>
        <v/>
      </c>
      <c r="U327" s="33">
        <f>BE327</f>
        <v/>
      </c>
      <c r="V327" s="22">
        <f>IF(U327="",0,IF(U327="transition",0,IF(U327="SK",AK327,IF(U327="LB",AL327,IF(U327="ML",AM327,IF(U327="RLO",AN327,IF(U327="BD",AO327,IF(U327="BiP",AP327,IF(U327="PV",AQ327,IF(U327="OC",AR327,IF(U327="MG",AS327,0))))))))))</f>
        <v/>
      </c>
      <c r="W327" s="27">
        <f>IF(U327="BiP",Upgrades!$F$18,IF(U327="PV",Upgrades!$F$19,IF(U327="OC",Upgrades!$F$20,IF(U327="MG",Upgrades!$F$21,IF(U327="transition",-Parameters!$B$18*Parameters!$B$19,0)))))</f>
        <v/>
      </c>
      <c r="X327" s="22">
        <f>C327+T327-V327</f>
        <v/>
      </c>
      <c r="Y327" s="30">
        <f>O327*Parameters!$B$10/60*Parameters!$B$11+Q327*O327+P327</f>
        <v/>
      </c>
      <c r="Z327" s="34">
        <f>IF(U327="transition","→ Tier 3 (Galactic Arm)",IF(U327="MG","Moving Group — pocket drifts together",IF(U327="OC","Open Cluster acquired",IF(U327="PV","Peculiar Velocity — passive multiplier active",IF(U327="BiP","Binary Partner — pair bond formed",IF(AND(AU327=1,N327=0,AT327&lt;&gt;1),"Cohesion ready (waiting on completionists)","")))))) </f>
        <v/>
      </c>
      <c r="AA327" s="27">
        <f>(IF(E327=0,0,(Upgrades!$G$13+E327*Upgrades!$H$13)*POWER(Upgrades!$I$13,E327)))*(IF(Upgrades!$T$14="Stellar Kinematics",POWER(Upgrades!$U$14,F327),1)*IF(Upgrades!$T$15="Stellar Kinematics",POWER(Upgrades!$U$15,G327),1)*IF(Upgrades!$T$16="Stellar Kinematics",POWER(Upgrades!$U$16,H327),1)*IF(Upgrades!$T$17="Stellar Kinematics",POWER(Upgrades!$U$17,I327),1)*IF(Upgrades!$T$18="Stellar Kinematics",POWER(Upgrades!$U$18,J327),1)*IF(Upgrades!$T$19="Stellar Kinematics",POWER(Upgrades!$U$19,K327),1)*IF(Upgrades!$T$20="Stellar Kinematics",POWER(Upgrades!$U$20,L327),1)*IF(Upgrades!$T$21="Stellar Kinematics",POWER(Upgrades!$U$21,M327),1))*POWER(Upgrades!$P$13,E327)*POWER(Upgrades!$P$14,F327)*POWER(Upgrades!$P$15,G327)*POWER(Upgrades!$P$16,H327)*POWER(Upgrades!$P$17,I327)*POWER(Upgrades!$P$18,J327)*POWER(Upgrades!$P$19,K327)*POWER(Upgrades!$P$20,L327)*POWER(Upgrades!$P$21,M327)*$F$6*60</f>
        <v/>
      </c>
      <c r="AB327" s="27">
        <f>(IF(F327=0,0,(Upgrades!$G$14+F327*Upgrades!$H$14)*POWER(Upgrades!$I$14,F327)))*(IF(Upgrades!$T$13="Local Bubble",POWER(Upgrades!$U$13,E327),1)*IF(Upgrades!$T$15="Local Bubble",POWER(Upgrades!$U$15,G327),1)*IF(Upgrades!$T$16="Local Bubble",POWER(Upgrades!$U$16,H327),1)*IF(Upgrades!$T$17="Local Bubble",POWER(Upgrades!$U$17,I327),1)*IF(Upgrades!$T$18="Local Bubble",POWER(Upgrades!$U$18,J327),1)*IF(Upgrades!$T$19="Local Bubble",POWER(Upgrades!$U$19,K327),1)*IF(Upgrades!$T$20="Local Bubble",POWER(Upgrades!$U$20,L327),1)*IF(Upgrades!$T$21="Local Bubble",POWER(Upgrades!$U$21,M327),1))*POWER(Upgrades!$P$13,E327)*POWER(Upgrades!$P$14,F327)*POWER(Upgrades!$P$15,G327)*POWER(Upgrades!$P$16,H327)*POWER(Upgrades!$P$17,I327)*POWER(Upgrades!$P$18,J327)*POWER(Upgrades!$P$19,K327)*POWER(Upgrades!$P$20,L327)*POWER(Upgrades!$P$21,M327)*$F$6*60</f>
        <v/>
      </c>
      <c r="AC327" s="27">
        <f>(IF(G327=0,0,(Upgrades!$J$15+G327*Upgrades!$K$15)*POWER(Upgrades!$L$15,G327)))*(IF(Upgrades!$T$13="Microlensing",POWER(Upgrades!$U$13,E327),1)*IF(Upgrades!$T$14="Microlensing",POWER(Upgrades!$U$14,F327),1)*IF(Upgrades!$T$16="Microlensing",POWER(Upgrades!$U$16,H327),1)*IF(Upgrades!$T$17="Microlensing",POWER(Upgrades!$U$17,I327),1)*IF(Upgrades!$T$18="Microlensing",POWER(Upgrades!$U$18,J327),1)*IF(Upgrades!$T$19="Microlensing",POWER(Upgrades!$U$19,K327),1)*IF(Upgrades!$T$20="Microlensing",POWER(Upgrades!$U$20,L327),1)*IF(Upgrades!$T$21="Microlensing",POWER(Upgrades!$U$21,M327),1))*POWER(Upgrades!$Q$13,E327)*POWER(Upgrades!$Q$14,F327)*POWER(Upgrades!$Q$15,G327)*POWER(Upgrades!$Q$16,H327)*POWER(Upgrades!$Q$17,I327)*POWER(Upgrades!$Q$18,J327)*POWER(Upgrades!$Q$19,K327)*POWER(Upgrades!$Q$20,L327)*POWER(Upgrades!$Q$21,M327)*$G$6*(Parameters!$B$10*Parameters!$B$11+Q327*60)</f>
        <v/>
      </c>
      <c r="AD327" s="27">
        <f>(IF(H327=0,0,(Upgrades!$M$16+H327*Upgrades!$N$16)*POWER(Upgrades!$O$16,H327)))*(IF(Upgrades!$T$13="Roche Lobe Overflow",POWER(Upgrades!$U$13,E327),1)*IF(Upgrades!$T$14="Roche Lobe Overflow",POWER(Upgrades!$U$14,F327),1)*IF(Upgrades!$T$15="Roche Lobe Overflow",POWER(Upgrades!$U$15,G327),1)*IF(Upgrades!$T$17="Roche Lobe Overflow",POWER(Upgrades!$U$17,I327),1)*IF(Upgrades!$T$18="Roche Lobe Overflow",POWER(Upgrades!$U$18,J327),1)*IF(Upgrades!$T$19="Roche Lobe Overflow",POWER(Upgrades!$U$19,K327),1)*IF(Upgrades!$T$20="Roche Lobe Overflow",POWER(Upgrades!$U$20,L327),1)*IF(Upgrades!$T$21="Roche Lobe Overflow",POWER(Upgrades!$U$21,M327),1))*POWER(Upgrades!$R$13,E327)*POWER(Upgrades!$R$14,F327)*POWER(Upgrades!$R$15,G327)*POWER(Upgrades!$R$16,H327)*POWER(Upgrades!$R$17,I327)*POWER(Upgrades!$R$18,J327)*POWER(Upgrades!$R$19,K327)*POWER(Upgrades!$R$20,L327)*POWER(Upgrades!$R$21,M327)*$H$6*O327*60</f>
        <v/>
      </c>
      <c r="AE327" s="27">
        <f>(IF(I327=0,0,(Upgrades!$G$17+I327*Upgrades!$H$17)*POWER(Upgrades!$I$17,I327)))*(IF(Upgrades!$T$13="Brown Dwarf",POWER(Upgrades!$U$13,E327),1)*IF(Upgrades!$T$14="Brown Dwarf",POWER(Upgrades!$U$14,F327),1)*IF(Upgrades!$T$15="Brown Dwarf",POWER(Upgrades!$U$15,G327),1)*IF(Upgrades!$T$16="Brown Dwarf",POWER(Upgrades!$U$16,H327),1)*IF(Upgrades!$T$18="Brown Dwarf",POWER(Upgrades!$U$18,J327),1)*IF(Upgrades!$T$19="Brown Dwarf",POWER(Upgrades!$U$19,K327),1)*IF(Upgrades!$T$20="Brown Dwarf",POWER(Upgrades!$U$20,L327),1)*IF(Upgrades!$T$21="Brown Dwarf",POWER(Upgrades!$U$21,M327),1))*POWER(Upgrades!$P$13,E327)*POWER(Upgrades!$P$14,F327)*POWER(Upgrades!$P$15,G327)*POWER(Upgrades!$P$16,H327)*POWER(Upgrades!$P$17,I327)*POWER(Upgrades!$P$18,J327)*POWER(Upgrades!$P$19,K327)*POWER(Upgrades!$P$20,L327)*POWER(Upgrades!$P$21,M327)*$F$6*60</f>
        <v/>
      </c>
      <c r="AF327" s="27" t="n">
        <v>0</v>
      </c>
      <c r="AG327" s="27" t="n">
        <v>0</v>
      </c>
      <c r="AH327" s="27" t="n">
        <v>0</v>
      </c>
      <c r="AI327" s="27">
        <f>(IF(M327=0,0,(Upgrades!$G$21+M327*Upgrades!$H$21)*POWER(Upgrades!$I$21,M327)))*(IF(Upgrades!$T$13="Moving Group",POWER(Upgrades!$U$13,E327),1)*IF(Upgrades!$T$14="Moving Group",POWER(Upgrades!$U$14,F327),1)*IF(Upgrades!$T$15="Moving Group",POWER(Upgrades!$U$15,G327),1)*IF(Upgrades!$T$16="Moving Group",POWER(Upgrades!$U$16,H327),1)*IF(Upgrades!$T$17="Moving Group",POWER(Upgrades!$U$17,I327),1)*IF(Upgrades!$T$18="Moving Group",POWER(Upgrades!$U$18,J327),1)*IF(Upgrades!$T$19="Moving Group",POWER(Upgrades!$U$19,K327),1)*IF(Upgrades!$T$20="Moving Group",POWER(Upgrades!$U$20,L327),1))*POWER(Upgrades!$P$13,E327)*POWER(Upgrades!$P$14,F327)*POWER(Upgrades!$P$15,G327)*POWER(Upgrades!$P$16,H327)*POWER(Upgrades!$P$17,I327)*POWER(Upgrades!$P$18,J327)*POWER(Upgrades!$P$19,K327)*POWER(Upgrades!$P$20,L327)*POWER(Upgrades!$P$21,M327)*$F$6*60</f>
        <v/>
      </c>
      <c r="AJ327" s="27">
        <f>$C$6*60</f>
        <v/>
      </c>
      <c r="AK327" s="22">
        <f>IF(E327&gt;=Upgrades!$E$13,"",Upgrades!$C$13*POWER(Upgrades!$D$13,E327))</f>
        <v/>
      </c>
      <c r="AL327" s="22">
        <f>IF(F327&gt;=Upgrades!$E$14,"",Upgrades!$C$14*POWER(Upgrades!$D$14,F327))</f>
        <v/>
      </c>
      <c r="AM327" s="22">
        <f>IF(G327&gt;=Upgrades!$E$15,"",Upgrades!$C$15*POWER(Upgrades!$D$15,G327))</f>
        <v/>
      </c>
      <c r="AN327" s="22">
        <f>IF(H327&gt;=Upgrades!$E$16,"",Upgrades!$C$16*POWER(Upgrades!$D$16,H327))</f>
        <v/>
      </c>
      <c r="AO327" s="22">
        <f>IF(I327&gt;=Upgrades!$E$17,"",Upgrades!$C$17*POWER(Upgrades!$D$17,I327))</f>
        <v/>
      </c>
      <c r="AP327" s="22">
        <f>IF(J327&gt;=Upgrades!$E$18,"",Upgrades!$C$18*POWER(Upgrades!$D$18,J327))</f>
        <v/>
      </c>
      <c r="AQ327" s="22">
        <f>IF(K327&gt;=Upgrades!$E$19,"",Upgrades!$C$19*POWER(Upgrades!$D$19,K327))</f>
        <v/>
      </c>
      <c r="AR327" s="22">
        <f>IF(L327&gt;=Upgrades!$E$20,"",Upgrades!$C$20*POWER(Upgrades!$D$20,L327))</f>
        <v/>
      </c>
      <c r="AS327" s="22">
        <f>IF(M327&gt;=Upgrades!$E$21,"",Upgrades!$C$21*POWER(Upgrades!$D$21,M327))</f>
        <v/>
      </c>
      <c r="AT327" s="26">
        <f>IF(AND(D327&gt;=Parameters!$B$18*Parameters!$B$19,(I327&gt;=Upgrades!$E$17)*(M327&gt;=Upgrades!$E$21)=1,N327=0),1,"")</f>
        <v/>
      </c>
      <c r="AU327" s="26">
        <f>IF(AND(D327&gt;=Parameters!$B$18*Parameters!$B$19,N327=0),1,"")</f>
        <v/>
      </c>
      <c r="AV327" s="22">
        <f>MIN(IF(ISNUMBER(AP327),AP327,9E15),IF(ISNUMBER(AQ327),AQ327,9E15),IF(ISNUMBER(AR327),AR327,9E15),IF(ISNUMBER(AS327),AS327,9E15))</f>
        <v/>
      </c>
      <c r="AW327" s="22">
        <f>MIN(IF(ISNUMBER(AK327),AK327,9E15),IF(ISNUMBER(AL327),AL327,9E15),IF(ISNUMBER(AM327),AM327,9E15),IF(ISNUMBER(AN327),AN327,9E15),IF(ISNUMBER(AO327),AO327,9E15))</f>
        <v/>
      </c>
      <c r="AX327" s="29">
        <f>IF(BD327&gt;Parameters!$B$21*(MAX(IF(AND(NOT(AND(AU327=1,AT327&lt;&gt;1)),ISNUMBER(AK327),AK327&lt;=(C327+T327)),AY327,0),IF(AND(NOT(AND(AU327=1,AT327&lt;&gt;1)),ISNUMBER(AL327),AL327&lt;=(C327+T327)),AZ327,0),IF(AND(NOT(AND(AU327=1,AT327&lt;&gt;1)),ISNUMBER(AM327),AM327&lt;=(C327+T327)),BA327,0),IF(AND(NOT(AND(AU327=1,AT327&lt;&gt;1)),ISNUMBER(AN327),AN327&lt;=(C327+T327)),BB327,0),IF(AND(ISNUMBER(AO327),AO327&lt;=(C327+T327)),BC327,0))),TRUE,FALSE)</f>
        <v/>
      </c>
      <c r="AY327" s="32">
        <f>IFERROR(Upgrades!$H$13*(POWER(Upgrades!$P$13,E327)*POWER(Upgrades!$P$14,F327)*POWER(Upgrades!$P$15,G327)*POWER(Upgrades!$P$16,H327)*POWER(Upgrades!$P$17,I327)*POWER(Upgrades!$P$18,J327)*POWER(Upgrades!$P$19,K327)*POWER(Upgrades!$P$20,L327)*POWER(Upgrades!$P$21,M327))*(IF(Upgrades!$T$14="Stellar Kinematics",POWER(Upgrades!$U$14,F327),1)*IF(Upgrades!$T$15="Stellar Kinematics",POWER(Upgrades!$U$15,G327),1)*IF(Upgrades!$T$16="Stellar Kinematics",POWER(Upgrades!$U$16,H327),1)*IF(Upgrades!$T$17="Stellar Kinematics",POWER(Upgrades!$U$17,I327),1)*IF(Upgrades!$T$18="Stellar Kinematics",POWER(Upgrades!$U$18,J327),1)*IF(Upgrades!$T$19="Stellar Kinematics",POWER(Upgrades!$U$19,K327),1)*IF(Upgrades!$T$20="Stellar Kinematics",POWER(Upgrades!$U$20,L327),1)*IF(Upgrades!$T$21="Stellar Kinematics",POWER(Upgrades!$U$21,M327),1))*$F$6/AK327,0)</f>
        <v/>
      </c>
      <c r="AZ327" s="32">
        <f>IFERROR(Upgrades!$H$14*(POWER(Upgrades!$P$13,E327)*POWER(Upgrades!$P$14,F327)*POWER(Upgrades!$P$15,G327)*POWER(Upgrades!$P$16,H327)*POWER(Upgrades!$P$17,I327)*POWER(Upgrades!$P$18,J327)*POWER(Upgrades!$P$19,K327)*POWER(Upgrades!$P$20,L327)*POWER(Upgrades!$P$21,M327))*(IF(Upgrades!$T$13="Local Bubble",POWER(Upgrades!$U$13,E327),1)*IF(Upgrades!$T$15="Local Bubble",POWER(Upgrades!$U$15,G327),1)*IF(Upgrades!$T$16="Local Bubble",POWER(Upgrades!$U$16,H327),1)*IF(Upgrades!$T$17="Local Bubble",POWER(Upgrades!$U$17,I327),1)*IF(Upgrades!$T$18="Local Bubble",POWER(Upgrades!$U$18,J327),1)*IF(Upgrades!$T$19="Local Bubble",POWER(Upgrades!$U$19,K327),1)*IF(Upgrades!$T$20="Local Bubble",POWER(Upgrades!$U$20,L327),1)*IF(Upgrades!$T$21="Local Bubble",POWER(Upgrades!$U$21,M327),1))*$F$6/AL327,0)</f>
        <v/>
      </c>
      <c r="BA327" s="32">
        <f>IFERROR(Upgrades!$K$15*(POWER(Upgrades!$Q$13,E327)*POWER(Upgrades!$Q$14,F327)*POWER(Upgrades!$Q$15,G327)*POWER(Upgrades!$Q$16,H327)*POWER(Upgrades!$Q$17,I327)*POWER(Upgrades!$Q$18,J327)*POWER(Upgrades!$Q$19,K327)*POWER(Upgrades!$Q$20,L327)*POWER(Upgrades!$Q$21,M327))*(IF(Upgrades!$T$13="Microlensing",POWER(Upgrades!$U$13,E327),1)*IF(Upgrades!$T$14="Microlensing",POWER(Upgrades!$U$14,F327),1)*IF(Upgrades!$T$16="Microlensing",POWER(Upgrades!$U$16,H327),1)*IF(Upgrades!$T$17="Microlensing",POWER(Upgrades!$U$17,I327),1)*IF(Upgrades!$T$18="Microlensing",POWER(Upgrades!$U$18,J327),1)*IF(Upgrades!$T$19="Microlensing",POWER(Upgrades!$U$19,K327),1)*IF(Upgrades!$T$20="Microlensing",POWER(Upgrades!$U$20,L327),1)*IF(Upgrades!$T$21="Microlensing",POWER(Upgrades!$U$21,M327),1))*$G$6*(Parameters!$B$10/60*Parameters!$B$11+Q327)/AM327,0)</f>
        <v/>
      </c>
      <c r="BB327" s="32">
        <f>IFERROR((Upgrades!$N$16*(POWER(Upgrades!$R$13,E327)*POWER(Upgrades!$R$14,F327)*POWER(Upgrades!$R$15,G327)*POWER(Upgrades!$R$16,H327)*POWER(Upgrades!$R$17,I327)*POWER(Upgrades!$R$18,J327)*POWER(Upgrades!$R$19,K327)*POWER(Upgrades!$R$20,L327)*POWER(Upgrades!$R$21,M327))*(IF(Upgrades!$T$13="Roche Lobe Overflow",POWER(Upgrades!$U$13,E327),1)*IF(Upgrades!$T$14="Roche Lobe Overflow",POWER(Upgrades!$U$14,F327),1)*IF(Upgrades!$T$15="Roche Lobe Overflow",POWER(Upgrades!$U$15,G327),1)*IF(Upgrades!$T$17="Roche Lobe Overflow",POWER(Upgrades!$U$17,I327),1)*IF(Upgrades!$T$18="Roche Lobe Overflow",POWER(Upgrades!$U$18,J327),1)*IF(Upgrades!$T$19="Roche Lobe Overflow",POWER(Upgrades!$U$19,K327),1)*IF(Upgrades!$T$20="Roche Lobe Overflow",POWER(Upgrades!$U$20,L327),1)*IF(Upgrades!$T$21="Roche Lobe Overflow",POWER(Upgrades!$U$21,M327),1))*$H$6*O327+((IF(F327=0,0,(Upgrades!$G$14+F327*Upgrades!$H$14)*POWER(Upgrades!$I$14,F327)))*(IF(Upgrades!$T$13="Local Bubble",POWER(Upgrades!$U$13,E327),1)*IF(Upgrades!$T$15="Local Bubble",POWER(Upgrades!$U$15,G327),1)*IF(Upgrades!$T$16="Local Bubble",POWER(Upgrades!$U$16,H327),1)*IF(Upgrades!$T$17="Local Bubble",POWER(Upgrades!$U$17,I327),1)*IF(Upgrades!$T$18="Local Bubble",POWER(Upgrades!$U$18,J327),1)*IF(Upgrades!$T$19="Local Bubble",POWER(Upgrades!$U$19,K327),1)*IF(Upgrades!$T$20="Local Bubble",POWER(Upgrades!$U$20,L327),1)*IF(Upgrades!$T$21="Local Bubble",POWER(Upgrades!$U$21,M327),1))*POWER(Upgrades!$P$13,E327)*POWER(Upgrades!$P$14,F327)*POWER(Upgrades!$P$15,G327)*POWER(Upgrades!$P$16,H327)*POWER(Upgrades!$P$17,I327)*POWER(Upgrades!$P$18,J327)*POWER(Upgrades!$P$19,K327)*POWER(Upgrades!$P$20,L327)*POWER(Upgrades!$P$21,M327)*$F$6)*0.05)/AN327,0)</f>
        <v/>
      </c>
      <c r="BC327" s="32">
        <f>IFERROR((Upgrades!$H$17*(POWER(Upgrades!$P$13,E327)*POWER(Upgrades!$P$14,F327)*POWER(Upgrades!$P$15,G327)*POWER(Upgrades!$P$16,H327)*POWER(Upgrades!$P$17,I327)*POWER(Upgrades!$P$18,J327)*POWER(Upgrades!$P$19,K327)*POWER(Upgrades!$P$20,L327)*POWER(Upgrades!$P$21,M327))*(IF(Upgrades!$T$13="Brown Dwarf",POWER(Upgrades!$U$13,E327),1)*IF(Upgrades!$T$14="Brown Dwarf",POWER(Upgrades!$U$14,F327),1)*IF(Upgrades!$T$15="Brown Dwarf",POWER(Upgrades!$U$15,G327),1)*IF(Upgrades!$T$16="Brown Dwarf",POWER(Upgrades!$U$16,H327),1)*IF(Upgrades!$T$18="Brown Dwarf",POWER(Upgrades!$U$18,J327),1)*IF(Upgrades!$T$19="Brown Dwarf",POWER(Upgrades!$U$19,K327),1)*IF(Upgrades!$T$20="Brown Dwarf",POWER(Upgrades!$U$20,L327),1)*IF(Upgrades!$T$21="Brown Dwarf",POWER(Upgrades!$U$21,M327),1))*$F$6+(((IF(H327=0,0,(Upgrades!$M$16+H327*Upgrades!$N$16)*POWER(Upgrades!$O$16,H327)))*(IF(Upgrades!$T$13="Roche Lobe Overflow",POWER(Upgrades!$U$13,E327),1)*IF(Upgrades!$T$14="Roche Lobe Overflow",POWER(Upgrades!$U$14,F327),1)*IF(Upgrades!$T$15="Roche Lobe Overflow",POWER(Upgrades!$U$15,G327),1)*IF(Upgrades!$T$17="Roche Lobe Overflow",POWER(Upgrades!$U$17,I327),1)*IF(Upgrades!$T$18="Roche Lobe Overflow",POWER(Upgrades!$U$18,J327),1)*IF(Upgrades!$T$19="Roche Lobe Overflow",POWER(Upgrades!$U$19,K327),1)*IF(Upgrades!$T$20="Roche Lobe Overflow",POWER(Upgrades!$U$20,L327),1)*IF(Upgrades!$T$21="Roche Lobe Overflow",POWER(Upgrades!$U$21,M327),1))*POWER(Upgrades!$R$13,E327)*POWER(Upgrades!$R$14,F327)*POWER(Upgrades!$R$15,G327)*POWER(Upgrades!$R$16,H327)*POWER(Upgrades!$R$17,I327)*POWER(Upgrades!$R$18,J327)*POWER(Upgrades!$R$19,K327)*POWER(Upgrades!$R$20,L327)*POWER(Upgrades!$R$21,M327)*$H$6)*O327)*0.10)/AO327,0)</f>
        <v/>
      </c>
      <c r="BD327" s="32">
        <f>MAX(IF(J327&gt;0,0,IFERROR(0.5*((IF(G327=0,0,(Upgrades!$J$15+G327*Upgrades!$K$15)*POWER(Upgrades!$L$15,G327)))*(IF(Upgrades!$T$13="Microlensing",POWER(Upgrades!$U$13,E327),1)*IF(Upgrades!$T$14="Microlensing",POWER(Upgrades!$U$14,F327),1)*IF(Upgrades!$T$16="Microlensing",POWER(Upgrades!$U$16,H327),1)*IF(Upgrades!$T$17="Microlensing",POWER(Upgrades!$U$17,I327),1)*IF(Upgrades!$T$18="Microlensing",POWER(Upgrades!$U$18,J327),1)*IF(Upgrades!$T$19="Microlensing",POWER(Upgrades!$U$19,K327),1)*IF(Upgrades!$T$20="Microlensing",POWER(Upgrades!$U$20,L327),1)*IF(Upgrades!$T$21="Microlensing",POWER(Upgrades!$U$21,M327),1))*(POWER(Upgrades!$Q$13,E327)*POWER(Upgrades!$Q$14,F327)*POWER(Upgrades!$Q$15,G327)*POWER(Upgrades!$Q$16,H327)*POWER(Upgrades!$Q$17,I327)*POWER(Upgrades!$Q$18,J327)*POWER(Upgrades!$Q$19,K327)*POWER(Upgrades!$Q$20,L327)*POWER(Upgrades!$Q$21,M327))*$G$6*(Parameters!$B$10/60*Parameters!$B$11+Q327))/Upgrades!$C$18,0)),IF(K327&gt;0,0,IFERROR(0.30*P327/Upgrades!$C$19,0)),IF(L327&gt;0,0,IFERROR(0.0001/Upgrades!$C$20,0)),IF(M327&gt;0,0,IFERROR((6.0*(POWER(Upgrades!$P$13,E327)*POWER(Upgrades!$P$14,F327)*POWER(Upgrades!$P$15,G327)*POWER(Upgrades!$P$16,H327)*POWER(Upgrades!$P$17,I327)*POWER(Upgrades!$P$18,J327)*POWER(Upgrades!$P$19,K327)*POWER(Upgrades!$P$20,L327)*POWER(Upgrades!$P$21,M327))*$F$6+0.20*O327*(Parameters!$B$10/60*Parameters!$B$11+Q327))/Upgrades!$C$21,0)),IF(AND(ISNUMBER(AK327),AK327&gt;(C327+T327)),AY327,0),IF(AND(ISNUMBER(AL327),AL327&gt;(C327+T327)),AZ327,0),IF(AND(ISNUMBER(AM327),AM327&gt;(C327+T327)),BA327,0),IF(AND(ISNUMBER(AN327),AN327&gt;(C327+T327)),BB327,0),IF(AND(ISNUMBER(AO327),AO327&gt;(C327+T327)),BC327,0))</f>
        <v/>
      </c>
      <c r="BE327" s="29">
        <f>IF(AT327=1,"transition",IF(MIN(IF(AND(J327=0,ISNUMBER(AP327),AP327&lt;=(C327+T327)),AP327,9E15),IF(AND(K327=0,ISNUMBER(AQ327),AQ327&lt;=(C327+T327)),AQ327,9E15),IF(AND(L327=0,ISNUMBER(AR327),AR327&lt;=(C327+T327)),AR327,9E15),IF(AND(M327=0,ISNUMBER(AS327),AS327&lt;=(C327+T327)),AS327,9E15))&lt;9E15,IF(AND(AND(J327=0,ISNUMBER(AP327),AP327&lt;=(C327+T327)),AP327=MIN(IF(AND(J327=0,ISNUMBER(AP327),AP327&lt;=(C327+T327)),AP327,9E15),IF(AND(K327=0,ISNUMBER(AQ327),AQ327&lt;=(C327+T327)),AQ327,9E15),IF(AND(L327=0,ISNUMBER(AR327),AR327&lt;=(C327+T327)),AR327,9E15),IF(AND(M327=0,ISNUMBER(AS327),AS327&lt;=(C327+T327)),AS327,9E15))),"BiP",IF(AND(AND(K327=0,ISNUMBER(AQ327),AQ327&lt;=(C327+T327)),AQ327=MIN(IF(AND(J327=0,ISNUMBER(AP327),AP327&lt;=(C327+T327)),AP327,9E15),IF(AND(K327=0,ISNUMBER(AQ327),AQ327&lt;=(C327+T327)),AQ327,9E15),IF(AND(L327=0,ISNUMBER(AR327),AR327&lt;=(C327+T327)),AR327,9E15),IF(AND(M327=0,ISNUMBER(AS327),AS327&lt;=(C327+T327)),AS327,9E15))),"PV",IF(AND(AND(L327=0,ISNUMBER(AR327),AR327&lt;=(C327+T327)),AR327=MIN(IF(AND(J327=0,ISNUMBER(AP327),AP327&lt;=(C327+T327)),AP327,9E15),IF(AND(K327=0,ISNUMBER(AQ327),AQ327&lt;=(C327+T327)),AQ327,9E15),IF(AND(L327=0,ISNUMBER(AR327),AR327&lt;=(C327+T327)),AR327,9E15),IF(AND(M327=0,ISNUMBER(AS327),AS327&lt;=(C327+T327)),AS327,9E15))),"OC","MG"))),IF(AX327=TRUE,"",IF(MAX(IF(AND(NOT(AND(AU327=1,AT327&lt;&gt;1)),ISNUMBER(AK327),AK327&lt;=(C327+T327)),AY327,0),IF(AND(NOT(AND(AU327=1,AT327&lt;&gt;1)),ISNUMBER(AL327),AL327&lt;=(C327+T327)),AZ327,0),IF(AND(NOT(AND(AU327=1,AT327&lt;&gt;1)),ISNUMBER(AM327),AM327&lt;=(C327+T327)),BA327,0),IF(AND(NOT(AND(AU327=1,AT327&lt;&gt;1)),ISNUMBER(AN327),AN327&lt;=(C327+T327)),BB327,0),IF(AND(ISNUMBER(AO327),AO327&lt;=(C327+T327)),BC327,0))&lt;=0,"",IF(AND(IF(AND(NOT(AND(AU327=1,AT327&lt;&gt;1)),ISNUMBER(AK327),AK327&lt;=(C327+T327)),AY327,0)&gt;0,IF(AND(NOT(AND(AU327=1,AT327&lt;&gt;1)),ISNUMBER(AK327),AK327&lt;=(C327+T327)),AY327,0)=MAX(IF(AND(NOT(AND(AU327=1,AT327&lt;&gt;1)),ISNUMBER(AK327),AK327&lt;=(C327+T327)),AY327,0),IF(AND(NOT(AND(AU327=1,AT327&lt;&gt;1)),ISNUMBER(AL327),AL327&lt;=(C327+T327)),AZ327,0),IF(AND(NOT(AND(AU327=1,AT327&lt;&gt;1)),ISNUMBER(AM327),AM327&lt;=(C327+T327)),BA327,0),IF(AND(NOT(AND(AU327=1,AT327&lt;&gt;1)),ISNUMBER(AN327),AN327&lt;=(C327+T327)),BB327,0),IF(AND(ISNUMBER(AO327),AO327&lt;=(C327+T327)),BC327,0))),"SK",IF(AND(IF(AND(NOT(AND(AU327=1,AT327&lt;&gt;1)),ISNUMBER(AL327),AL327&lt;=(C327+T327)),AZ327,0)&gt;0,IF(AND(NOT(AND(AU327=1,AT327&lt;&gt;1)),ISNUMBER(AL327),AL327&lt;=(C327+T327)),AZ327,0)=MAX(IF(AND(NOT(AND(AU327=1,AT327&lt;&gt;1)),ISNUMBER(AK327),AK327&lt;=(C327+T327)),AY327,0),IF(AND(NOT(AND(AU327=1,AT327&lt;&gt;1)),ISNUMBER(AL327),AL327&lt;=(C327+T327)),AZ327,0),IF(AND(NOT(AND(AU327=1,AT327&lt;&gt;1)),ISNUMBER(AM327),AM327&lt;=(C327+T327)),BA327,0),IF(AND(NOT(AND(AU327=1,AT327&lt;&gt;1)),ISNUMBER(AN327),AN327&lt;=(C327+T327)),BB327,0),IF(AND(ISNUMBER(AO327),AO327&lt;=(C327+T327)),BC327,0))),"LB",IF(AND(IF(AND(NOT(AND(AU327=1,AT327&lt;&gt;1)),ISNUMBER(AM327),AM327&lt;=(C327+T327)),BA327,0)&gt;0,IF(AND(NOT(AND(AU327=1,AT327&lt;&gt;1)),ISNUMBER(AM327),AM327&lt;=(C327+T327)),BA327,0)=MAX(IF(AND(NOT(AND(AU327=1,AT327&lt;&gt;1)),ISNUMBER(AK327),AK327&lt;=(C327+T327)),AY327,0),IF(AND(NOT(AND(AU327=1,AT327&lt;&gt;1)),ISNUMBER(AL327),AL327&lt;=(C327+T327)),AZ327,0),IF(AND(NOT(AND(AU327=1,AT327&lt;&gt;1)),ISNUMBER(AM327),AM327&lt;=(C327+T327)),BA327,0),IF(AND(NOT(AND(AU327=1,AT327&lt;&gt;1)),ISNUMBER(AN327),AN327&lt;=(C327+T327)),BB327,0),IF(AND(ISNUMBER(AO327),AO327&lt;=(C327+T327)),BC327,0))),"ML",IF(AND(IF(AND(NOT(AND(AU327=1,AT327&lt;&gt;1)),ISNUMBER(AN327),AN327&lt;=(C327+T327)),BB327,0)&gt;0,IF(AND(NOT(AND(AU327=1,AT327&lt;&gt;1)),ISNUMBER(AN327),AN327&lt;=(C327+T327)),BB327,0)=MAX(IF(AND(NOT(AND(AU327=1,AT327&lt;&gt;1)),ISNUMBER(AK327),AK327&lt;=(C327+T327)),AY327,0),IF(AND(NOT(AND(AU327=1,AT327&lt;&gt;1)),ISNUMBER(AL327),AL327&lt;=(C327+T327)),AZ327,0),IF(AND(NOT(AND(AU327=1,AT327&lt;&gt;1)),ISNUMBER(AM327),AM327&lt;=(C327+T327)),BA327,0),IF(AND(NOT(AND(AU327=1,AT327&lt;&gt;1)),ISNUMBER(AN327),AN327&lt;=(C327+T327)),BB327,0),IF(AND(ISNUMBER(AO327),AO327&lt;=(C327+T327)),BC327,0))),"RLO","BD"))))))))</f>
        <v/>
      </c>
    </row>
    <row r="328">
      <c r="A328" s="26" t="n">
        <v>317</v>
      </c>
      <c r="B328" s="27">
        <f>A328*10/60</f>
        <v/>
      </c>
      <c r="C328" s="22">
        <f>X327</f>
        <v/>
      </c>
      <c r="D328" s="27">
        <f>D327+W327</f>
        <v/>
      </c>
      <c r="E328" s="26">
        <f>E327+IF(U327="SK",1,0)</f>
        <v/>
      </c>
      <c r="F328" s="26">
        <f>F327+IF(U327="LB",1,0)</f>
        <v/>
      </c>
      <c r="G328" s="26">
        <f>G327+IF(U327="ML",1,0)</f>
        <v/>
      </c>
      <c r="H328" s="26">
        <f>H327+IF(U327="RLO",1,0)</f>
        <v/>
      </c>
      <c r="I328" s="26">
        <f>I327+IF(U327="BD",1,0)</f>
        <v/>
      </c>
      <c r="J328" s="26">
        <f>MAX(J327,IF(U327="BiP",1,0))</f>
        <v/>
      </c>
      <c r="K328" s="26">
        <f>MAX(K327,IF(U327="PV",1,0))</f>
        <v/>
      </c>
      <c r="L328" s="26">
        <f>MAX(L327,IF(U327="OC",1,0))</f>
        <v/>
      </c>
      <c r="M328" s="26">
        <f>MAX(M327,IF(U327="MG",1,0))</f>
        <v/>
      </c>
      <c r="N328" s="26">
        <f>MAX(N327,IF(U327="transition",1,0))</f>
        <v/>
      </c>
      <c r="O328" s="28">
        <f>(Parameters!$B$9+(IF(E328=0,0,(Upgrades!$J$13+E328*Upgrades!$K$13)*POWER(Upgrades!$L$13,E328)))*(IF(Upgrades!$T$14="Stellar Kinematics",POWER(Upgrades!$U$14,F328),1)*IF(Upgrades!$T$15="Stellar Kinematics",POWER(Upgrades!$U$15,G328),1)*IF(Upgrades!$T$16="Stellar Kinematics",POWER(Upgrades!$U$16,H328),1)*IF(Upgrades!$T$17="Stellar Kinematics",POWER(Upgrades!$U$17,I328),1)*IF(Upgrades!$T$18="Stellar Kinematics",POWER(Upgrades!$U$18,J328),1)*IF(Upgrades!$T$19="Stellar Kinematics",POWER(Upgrades!$U$19,K328),1)*IF(Upgrades!$T$20="Stellar Kinematics",POWER(Upgrades!$U$20,L328),1)*IF(Upgrades!$T$21="Stellar Kinematics",POWER(Upgrades!$U$21,M328),1))+(IF(F328=0,0,(Upgrades!$J$14+F328*Upgrades!$K$14)*POWER(Upgrades!$L$14,F328)))*(IF(Upgrades!$T$13="Local Bubble",POWER(Upgrades!$U$13,E328),1)*IF(Upgrades!$T$15="Local Bubble",POWER(Upgrades!$U$15,G328),1)*IF(Upgrades!$T$16="Local Bubble",POWER(Upgrades!$U$16,H328),1)*IF(Upgrades!$T$17="Local Bubble",POWER(Upgrades!$U$17,I328),1)*IF(Upgrades!$T$18="Local Bubble",POWER(Upgrades!$U$18,J328),1)*IF(Upgrades!$T$19="Local Bubble",POWER(Upgrades!$U$19,K328),1)*IF(Upgrades!$T$20="Local Bubble",POWER(Upgrades!$U$20,L328),1)*IF(Upgrades!$T$21="Local Bubble",POWER(Upgrades!$U$21,M328),1))+(IF(G328=0,0,(Upgrades!$J$15+G328*Upgrades!$K$15)*POWER(Upgrades!$L$15,G328)))*(IF(Upgrades!$T$13="Microlensing",POWER(Upgrades!$U$13,E328),1)*IF(Upgrades!$T$14="Microlensing",POWER(Upgrades!$U$14,F328),1)*IF(Upgrades!$T$16="Microlensing",POWER(Upgrades!$U$16,H328),1)*IF(Upgrades!$T$17="Microlensing",POWER(Upgrades!$U$17,I328),1)*IF(Upgrades!$T$18="Microlensing",POWER(Upgrades!$U$18,J328),1)*IF(Upgrades!$T$19="Microlensing",POWER(Upgrades!$U$19,K328),1)*IF(Upgrades!$T$20="Microlensing",POWER(Upgrades!$U$20,L328),1)*IF(Upgrades!$T$21="Microlensing",POWER(Upgrades!$U$21,M328),1))+(IF(H328=0,0,(Upgrades!$J$16+H328*Upgrades!$K$16)*POWER(Upgrades!$L$16,H328)))*(IF(Upgrades!$T$13="Roche Lobe Overflow",POWER(Upgrades!$U$13,E328),1)*IF(Upgrades!$T$14="Roche Lobe Overflow",POWER(Upgrades!$U$14,F328),1)*IF(Upgrades!$T$15="Roche Lobe Overflow",POWER(Upgrades!$U$15,G328),1)*IF(Upgrades!$T$17="Roche Lobe Overflow",POWER(Upgrades!$U$17,I328),1)*IF(Upgrades!$T$18="Roche Lobe Overflow",POWER(Upgrades!$U$18,J328),1)*IF(Upgrades!$T$19="Roche Lobe Overflow",POWER(Upgrades!$U$19,K328),1)*IF(Upgrades!$T$20="Roche Lobe Overflow",POWER(Upgrades!$U$20,L328),1)*IF(Upgrades!$T$21="Roche Lobe Overflow",POWER(Upgrades!$U$21,M328),1))+(IF(I328=0,0,(Upgrades!$J$17+I328*Upgrades!$K$17)*POWER(Upgrades!$L$17,I328)))*(IF(Upgrades!$T$13="Brown Dwarf",POWER(Upgrades!$U$13,E328),1)*IF(Upgrades!$T$14="Brown Dwarf",POWER(Upgrades!$U$14,F328),1)*IF(Upgrades!$T$15="Brown Dwarf",POWER(Upgrades!$U$15,G328),1)*IF(Upgrades!$T$16="Brown Dwarf",POWER(Upgrades!$U$16,H328),1)*IF(Upgrades!$T$18="Brown Dwarf",POWER(Upgrades!$U$18,J328),1)*IF(Upgrades!$T$19="Brown Dwarf",POWER(Upgrades!$U$19,K328),1)*IF(Upgrades!$T$20="Brown Dwarf",POWER(Upgrades!$U$20,L328),1)*IF(Upgrades!$T$21="Brown Dwarf",POWER(Upgrades!$U$21,M328),1))+(IF(J328=0,0,(Upgrades!$J$18+J328*Upgrades!$K$18)*POWER(Upgrades!$L$18,J328)))*(IF(Upgrades!$T$13="Binary Partner",POWER(Upgrades!$U$13,E328),1)*IF(Upgrades!$T$14="Binary Partner",POWER(Upgrades!$U$14,F328),1)*IF(Upgrades!$T$15="Binary Partner",POWER(Upgrades!$U$15,G328),1)*IF(Upgrades!$T$16="Binary Partner",POWER(Upgrades!$U$16,H328),1)*IF(Upgrades!$T$17="Binary Partner",POWER(Upgrades!$U$17,I328),1)*IF(Upgrades!$T$19="Binary Partner",POWER(Upgrades!$U$19,K328),1)*IF(Upgrades!$T$20="Binary Partner",POWER(Upgrades!$U$20,L328),1)*IF(Upgrades!$T$21="Binary Partner",POWER(Upgrades!$U$21,M328),1))+(IF(K328=0,0,(Upgrades!$J$19+K328*Upgrades!$K$19)*POWER(Upgrades!$L$19,K328)))*(IF(Upgrades!$T$13="Peculiar Velocity",POWER(Upgrades!$U$13,E328),1)*IF(Upgrades!$T$14="Peculiar Velocity",POWER(Upgrades!$U$14,F328),1)*IF(Upgrades!$T$15="Peculiar Velocity",POWER(Upgrades!$U$15,G328),1)*IF(Upgrades!$T$16="Peculiar Velocity",POWER(Upgrades!$U$16,H328),1)*IF(Upgrades!$T$17="Peculiar Velocity",POWER(Upgrades!$U$17,I328),1)*IF(Upgrades!$T$18="Peculiar Velocity",POWER(Upgrades!$U$18,J328),1)*IF(Upgrades!$T$20="Peculiar Velocity",POWER(Upgrades!$U$20,L328),1)*IF(Upgrades!$T$21="Peculiar Velocity",POWER(Upgrades!$U$21,M328),1))+(IF(L328=0,0,(Upgrades!$J$20+L328*Upgrades!$K$20)*POWER(Upgrades!$L$20,L328)))*(IF(Upgrades!$T$13="Open Cluster",POWER(Upgrades!$U$13,E328),1)*IF(Upgrades!$T$14="Open Cluster",POWER(Upgrades!$U$14,F328),1)*IF(Upgrades!$T$15="Open Cluster",POWER(Upgrades!$U$15,G328),1)*IF(Upgrades!$T$16="Open Cluster",POWER(Upgrades!$U$16,H328),1)*IF(Upgrades!$T$17="Open Cluster",POWER(Upgrades!$U$17,I328),1)*IF(Upgrades!$T$18="Open Cluster",POWER(Upgrades!$U$18,J328),1)*IF(Upgrades!$T$19="Open Cluster",POWER(Upgrades!$U$19,K328),1)*IF(Upgrades!$T$21="Open Cluster",POWER(Upgrades!$U$21,M328),1))+(IF(M328=0,0,(Upgrades!$J$21+M328*Upgrades!$K$21)*POWER(Upgrades!$L$21,M328)))*(IF(Upgrades!$T$13="Moving Group",POWER(Upgrades!$U$13,E328),1)*IF(Upgrades!$T$14="Moving Group",POWER(Upgrades!$U$14,F328),1)*IF(Upgrades!$T$15="Moving Group",POWER(Upgrades!$U$15,G328),1)*IF(Upgrades!$T$16="Moving Group",POWER(Upgrades!$U$16,H328),1)*IF(Upgrades!$T$17="Moving Group",POWER(Upgrades!$U$17,I328),1)*IF(Upgrades!$T$18="Moving Group",POWER(Upgrades!$U$18,J328),1)*IF(Upgrades!$T$19="Moving Group",POWER(Upgrades!$U$19,K328),1)*IF(Upgrades!$T$20="Moving Group",POWER(Upgrades!$U$20,L328),1)))*POWER(Upgrades!$Q$13,E328)*POWER(Upgrades!$Q$14,F328)*POWER(Upgrades!$Q$15,G328)*POWER(Upgrades!$Q$16,H328)*POWER(Upgrades!$Q$17,I328)*POWER(Upgrades!$Q$18,J328)*POWER(Upgrades!$Q$19,K328)*POWER(Upgrades!$Q$20,L328)*POWER(Upgrades!$Q$21,M328)*$G$6+$D$6</f>
        <v/>
      </c>
      <c r="P328" s="28">
        <f>((IF(E328=0,0,(Upgrades!$G$13+E328*Upgrades!$H$13)*POWER(Upgrades!$I$13,E328)))*(IF(Upgrades!$T$14="Stellar Kinematics",POWER(Upgrades!$U$14,F328),1)*IF(Upgrades!$T$15="Stellar Kinematics",POWER(Upgrades!$U$15,G328),1)*IF(Upgrades!$T$16="Stellar Kinematics",POWER(Upgrades!$U$16,H328),1)*IF(Upgrades!$T$17="Stellar Kinematics",POWER(Upgrades!$U$17,I328),1)*IF(Upgrades!$T$18="Stellar Kinematics",POWER(Upgrades!$U$18,J328),1)*IF(Upgrades!$T$19="Stellar Kinematics",POWER(Upgrades!$U$19,K328),1)*IF(Upgrades!$T$20="Stellar Kinematics",POWER(Upgrades!$U$20,L328),1)*IF(Upgrades!$T$21="Stellar Kinematics",POWER(Upgrades!$U$21,M328),1))+(IF(F328=0,0,(Upgrades!$G$14+F328*Upgrades!$H$14)*POWER(Upgrades!$I$14,F328)))*(IF(Upgrades!$T$13="Local Bubble",POWER(Upgrades!$U$13,E328),1)*IF(Upgrades!$T$15="Local Bubble",POWER(Upgrades!$U$15,G328),1)*IF(Upgrades!$T$16="Local Bubble",POWER(Upgrades!$U$16,H328),1)*IF(Upgrades!$T$17="Local Bubble",POWER(Upgrades!$U$17,I328),1)*IF(Upgrades!$T$18="Local Bubble",POWER(Upgrades!$U$18,J328),1)*IF(Upgrades!$T$19="Local Bubble",POWER(Upgrades!$U$19,K328),1)*IF(Upgrades!$T$20="Local Bubble",POWER(Upgrades!$U$20,L328),1)*IF(Upgrades!$T$21="Local Bubble",POWER(Upgrades!$U$21,M328),1))+(IF(G328=0,0,(Upgrades!$G$15+G328*Upgrades!$H$15)*POWER(Upgrades!$I$15,G328)))*(IF(Upgrades!$T$13="Microlensing",POWER(Upgrades!$U$13,E328),1)*IF(Upgrades!$T$14="Microlensing",POWER(Upgrades!$U$14,F328),1)*IF(Upgrades!$T$16="Microlensing",POWER(Upgrades!$U$16,H328),1)*IF(Upgrades!$T$17="Microlensing",POWER(Upgrades!$U$17,I328),1)*IF(Upgrades!$T$18="Microlensing",POWER(Upgrades!$U$18,J328),1)*IF(Upgrades!$T$19="Microlensing",POWER(Upgrades!$U$19,K328),1)*IF(Upgrades!$T$20="Microlensing",POWER(Upgrades!$U$20,L328),1)*IF(Upgrades!$T$21="Microlensing",POWER(Upgrades!$U$21,M328),1))+(IF(H328=0,0,(Upgrades!$G$16+H328*Upgrades!$H$16)*POWER(Upgrades!$I$16,H328)))*(IF(Upgrades!$T$13="Roche Lobe Overflow",POWER(Upgrades!$U$13,E328),1)*IF(Upgrades!$T$14="Roche Lobe Overflow",POWER(Upgrades!$U$14,F328),1)*IF(Upgrades!$T$15="Roche Lobe Overflow",POWER(Upgrades!$U$15,G328),1)*IF(Upgrades!$T$17="Roche Lobe Overflow",POWER(Upgrades!$U$17,I328),1)*IF(Upgrades!$T$18="Roche Lobe Overflow",POWER(Upgrades!$U$18,J328),1)*IF(Upgrades!$T$19="Roche Lobe Overflow",POWER(Upgrades!$U$19,K328),1)*IF(Upgrades!$T$20="Roche Lobe Overflow",POWER(Upgrades!$U$20,L328),1)*IF(Upgrades!$T$21="Roche Lobe Overflow",POWER(Upgrades!$U$21,M328),1))+(IF(I328=0,0,(Upgrades!$G$17+I328*Upgrades!$H$17)*POWER(Upgrades!$I$17,I328)))*(IF(Upgrades!$T$13="Brown Dwarf",POWER(Upgrades!$U$13,E328),1)*IF(Upgrades!$T$14="Brown Dwarf",POWER(Upgrades!$U$14,F328),1)*IF(Upgrades!$T$15="Brown Dwarf",POWER(Upgrades!$U$15,G328),1)*IF(Upgrades!$T$16="Brown Dwarf",POWER(Upgrades!$U$16,H328),1)*IF(Upgrades!$T$18="Brown Dwarf",POWER(Upgrades!$U$18,J328),1)*IF(Upgrades!$T$19="Brown Dwarf",POWER(Upgrades!$U$19,K328),1)*IF(Upgrades!$T$20="Brown Dwarf",POWER(Upgrades!$U$20,L328),1)*IF(Upgrades!$T$21="Brown Dwarf",POWER(Upgrades!$U$21,M328),1))+(IF(J328=0,0,(Upgrades!$G$18+J328*Upgrades!$H$18)*POWER(Upgrades!$I$18,J328)))*(IF(Upgrades!$T$13="Binary Partner",POWER(Upgrades!$U$13,E328),1)*IF(Upgrades!$T$14="Binary Partner",POWER(Upgrades!$U$14,F328),1)*IF(Upgrades!$T$15="Binary Partner",POWER(Upgrades!$U$15,G328),1)*IF(Upgrades!$T$16="Binary Partner",POWER(Upgrades!$U$16,H328),1)*IF(Upgrades!$T$17="Binary Partner",POWER(Upgrades!$U$17,I328),1)*IF(Upgrades!$T$19="Binary Partner",POWER(Upgrades!$U$19,K328),1)*IF(Upgrades!$T$20="Binary Partner",POWER(Upgrades!$U$20,L328),1)*IF(Upgrades!$T$21="Binary Partner",POWER(Upgrades!$U$21,M328),1))+(IF(K328=0,0,(Upgrades!$G$19+K328*Upgrades!$H$19)*POWER(Upgrades!$I$19,K328)))*(IF(Upgrades!$T$13="Peculiar Velocity",POWER(Upgrades!$U$13,E328),1)*IF(Upgrades!$T$14="Peculiar Velocity",POWER(Upgrades!$U$14,F328),1)*IF(Upgrades!$T$15="Peculiar Velocity",POWER(Upgrades!$U$15,G328),1)*IF(Upgrades!$T$16="Peculiar Velocity",POWER(Upgrades!$U$16,H328),1)*IF(Upgrades!$T$17="Peculiar Velocity",POWER(Upgrades!$U$17,I328),1)*IF(Upgrades!$T$18="Peculiar Velocity",POWER(Upgrades!$U$18,J328),1)*IF(Upgrades!$T$20="Peculiar Velocity",POWER(Upgrades!$U$20,L328),1)*IF(Upgrades!$T$21="Peculiar Velocity",POWER(Upgrades!$U$21,M328),1))+(IF(L328=0,0,(Upgrades!$G$20+L328*Upgrades!$H$20)*POWER(Upgrades!$I$20,L328)))*(IF(Upgrades!$T$13="Open Cluster",POWER(Upgrades!$U$13,E328),1)*IF(Upgrades!$T$14="Open Cluster",POWER(Upgrades!$U$14,F328),1)*IF(Upgrades!$T$15="Open Cluster",POWER(Upgrades!$U$15,G328),1)*IF(Upgrades!$T$16="Open Cluster",POWER(Upgrades!$U$16,H328),1)*IF(Upgrades!$T$17="Open Cluster",POWER(Upgrades!$U$17,I328),1)*IF(Upgrades!$T$18="Open Cluster",POWER(Upgrades!$U$18,J328),1)*IF(Upgrades!$T$19="Open Cluster",POWER(Upgrades!$U$19,K328),1)*IF(Upgrades!$T$21="Open Cluster",POWER(Upgrades!$U$21,M328),1))+(IF(M328=0,0,(Upgrades!$G$21+M328*Upgrades!$H$21)*POWER(Upgrades!$I$21,M328)))*(IF(Upgrades!$T$13="Moving Group",POWER(Upgrades!$U$13,E328),1)*IF(Upgrades!$T$14="Moving Group",POWER(Upgrades!$U$14,F328),1)*IF(Upgrades!$T$15="Moving Group",POWER(Upgrades!$U$15,G328),1)*IF(Upgrades!$T$16="Moving Group",POWER(Upgrades!$U$16,H328),1)*IF(Upgrades!$T$17="Moving Group",POWER(Upgrades!$U$17,I328),1)*IF(Upgrades!$T$18="Moving Group",POWER(Upgrades!$U$18,J328),1)*IF(Upgrades!$T$19="Moving Group",POWER(Upgrades!$U$19,K328),1)*IF(Upgrades!$T$20="Moving Group",POWER(Upgrades!$U$20,L328),1)))*POWER(Upgrades!$P$13,E328)*POWER(Upgrades!$P$14,F328)*POWER(Upgrades!$P$15,G328)*POWER(Upgrades!$P$16,H328)*POWER(Upgrades!$P$17,I328)*POWER(Upgrades!$P$18,J328)*POWER(Upgrades!$P$19,K328)*POWER(Upgrades!$P$20,L328)*POWER(Upgrades!$P$21,M328)*$F$6+$C$6</f>
        <v/>
      </c>
      <c r="Q328" s="28">
        <f>((IF(E328=0,0,(Upgrades!$M$13+E328*Upgrades!$N$13)*POWER(Upgrades!$O$13,E328)))*(IF(Upgrades!$T$14="Stellar Kinematics",POWER(Upgrades!$U$14,F328),1)*IF(Upgrades!$T$15="Stellar Kinematics",POWER(Upgrades!$U$15,G328),1)*IF(Upgrades!$T$16="Stellar Kinematics",POWER(Upgrades!$U$16,H328),1)*IF(Upgrades!$T$17="Stellar Kinematics",POWER(Upgrades!$U$17,I328),1)*IF(Upgrades!$T$18="Stellar Kinematics",POWER(Upgrades!$U$18,J328),1)*IF(Upgrades!$T$19="Stellar Kinematics",POWER(Upgrades!$U$19,K328),1)*IF(Upgrades!$T$20="Stellar Kinematics",POWER(Upgrades!$U$20,L328),1)*IF(Upgrades!$T$21="Stellar Kinematics",POWER(Upgrades!$U$21,M328),1))+(IF(F328=0,0,(Upgrades!$M$14+F328*Upgrades!$N$14)*POWER(Upgrades!$O$14,F328)))*(IF(Upgrades!$T$13="Local Bubble",POWER(Upgrades!$U$13,E328),1)*IF(Upgrades!$T$15="Local Bubble",POWER(Upgrades!$U$15,G328),1)*IF(Upgrades!$T$16="Local Bubble",POWER(Upgrades!$U$16,H328),1)*IF(Upgrades!$T$17="Local Bubble",POWER(Upgrades!$U$17,I328),1)*IF(Upgrades!$T$18="Local Bubble",POWER(Upgrades!$U$18,J328),1)*IF(Upgrades!$T$19="Local Bubble",POWER(Upgrades!$U$19,K328),1)*IF(Upgrades!$T$20="Local Bubble",POWER(Upgrades!$U$20,L328),1)*IF(Upgrades!$T$21="Local Bubble",POWER(Upgrades!$U$21,M328),1))+(IF(G328=0,0,(Upgrades!$M$15+G328*Upgrades!$N$15)*POWER(Upgrades!$O$15,G328)))*(IF(Upgrades!$T$13="Microlensing",POWER(Upgrades!$U$13,E328),1)*IF(Upgrades!$T$14="Microlensing",POWER(Upgrades!$U$14,F328),1)*IF(Upgrades!$T$16="Microlensing",POWER(Upgrades!$U$16,H328),1)*IF(Upgrades!$T$17="Microlensing",POWER(Upgrades!$U$17,I328),1)*IF(Upgrades!$T$18="Microlensing",POWER(Upgrades!$U$18,J328),1)*IF(Upgrades!$T$19="Microlensing",POWER(Upgrades!$U$19,K328),1)*IF(Upgrades!$T$20="Microlensing",POWER(Upgrades!$U$20,L328),1)*IF(Upgrades!$T$21="Microlensing",POWER(Upgrades!$U$21,M328),1))+(IF(H328=0,0,(Upgrades!$M$16+H328*Upgrades!$N$16)*POWER(Upgrades!$O$16,H328)))*(IF(Upgrades!$T$13="Roche Lobe Overflow",POWER(Upgrades!$U$13,E328),1)*IF(Upgrades!$T$14="Roche Lobe Overflow",POWER(Upgrades!$U$14,F328),1)*IF(Upgrades!$T$15="Roche Lobe Overflow",POWER(Upgrades!$U$15,G328),1)*IF(Upgrades!$T$17="Roche Lobe Overflow",POWER(Upgrades!$U$17,I328),1)*IF(Upgrades!$T$18="Roche Lobe Overflow",POWER(Upgrades!$U$18,J328),1)*IF(Upgrades!$T$19="Roche Lobe Overflow",POWER(Upgrades!$U$19,K328),1)*IF(Upgrades!$T$20="Roche Lobe Overflow",POWER(Upgrades!$U$20,L328),1)*IF(Upgrades!$T$21="Roche Lobe Overflow",POWER(Upgrades!$U$21,M328),1))+(IF(I328=0,0,(Upgrades!$M$17+I328*Upgrades!$N$17)*POWER(Upgrades!$O$17,I328)))*(IF(Upgrades!$T$13="Brown Dwarf",POWER(Upgrades!$U$13,E328),1)*IF(Upgrades!$T$14="Brown Dwarf",POWER(Upgrades!$U$14,F328),1)*IF(Upgrades!$T$15="Brown Dwarf",POWER(Upgrades!$U$15,G328),1)*IF(Upgrades!$T$16="Brown Dwarf",POWER(Upgrades!$U$16,H328),1)*IF(Upgrades!$T$18="Brown Dwarf",POWER(Upgrades!$U$18,J328),1)*IF(Upgrades!$T$19="Brown Dwarf",POWER(Upgrades!$U$19,K328),1)*IF(Upgrades!$T$20="Brown Dwarf",POWER(Upgrades!$U$20,L328),1)*IF(Upgrades!$T$21="Brown Dwarf",POWER(Upgrades!$U$21,M328),1))+(IF(J328=0,0,(Upgrades!$M$18+J328*Upgrades!$N$18)*POWER(Upgrades!$O$18,J328)))*(IF(Upgrades!$T$13="Binary Partner",POWER(Upgrades!$U$13,E328),1)*IF(Upgrades!$T$14="Binary Partner",POWER(Upgrades!$U$14,F328),1)*IF(Upgrades!$T$15="Binary Partner",POWER(Upgrades!$U$15,G328),1)*IF(Upgrades!$T$16="Binary Partner",POWER(Upgrades!$U$16,H328),1)*IF(Upgrades!$T$17="Binary Partner",POWER(Upgrades!$U$17,I328),1)*IF(Upgrades!$T$19="Binary Partner",POWER(Upgrades!$U$19,K328),1)*IF(Upgrades!$T$20="Binary Partner",POWER(Upgrades!$U$20,L328),1)*IF(Upgrades!$T$21="Binary Partner",POWER(Upgrades!$U$21,M328),1))+(IF(K328=0,0,(Upgrades!$M$19+K328*Upgrades!$N$19)*POWER(Upgrades!$O$19,K328)))*(IF(Upgrades!$T$13="Peculiar Velocity",POWER(Upgrades!$U$13,E328),1)*IF(Upgrades!$T$14="Peculiar Velocity",POWER(Upgrades!$U$14,F328),1)*IF(Upgrades!$T$15="Peculiar Velocity",POWER(Upgrades!$U$15,G328),1)*IF(Upgrades!$T$16="Peculiar Velocity",POWER(Upgrades!$U$16,H328),1)*IF(Upgrades!$T$17="Peculiar Velocity",POWER(Upgrades!$U$17,I328),1)*IF(Upgrades!$T$18="Peculiar Velocity",POWER(Upgrades!$U$18,J328),1)*IF(Upgrades!$T$20="Peculiar Velocity",POWER(Upgrades!$U$20,L328),1)*IF(Upgrades!$T$21="Peculiar Velocity",POWER(Upgrades!$U$21,M328),1))+(IF(L328=0,0,(Upgrades!$M$20+L328*Upgrades!$N$20)*POWER(Upgrades!$O$20,L328)))*(IF(Upgrades!$T$13="Open Cluster",POWER(Upgrades!$U$13,E328),1)*IF(Upgrades!$T$14="Open Cluster",POWER(Upgrades!$U$14,F328),1)*IF(Upgrades!$T$15="Open Cluster",POWER(Upgrades!$U$15,G328),1)*IF(Upgrades!$T$16="Open Cluster",POWER(Upgrades!$U$16,H328),1)*IF(Upgrades!$T$17="Open Cluster",POWER(Upgrades!$U$17,I328),1)*IF(Upgrades!$T$18="Open Cluster",POWER(Upgrades!$U$18,J328),1)*IF(Upgrades!$T$19="Open Cluster",POWER(Upgrades!$U$19,K328),1)*IF(Upgrades!$T$21="Open Cluster",POWER(Upgrades!$U$21,M328),1))+(IF(M328=0,0,(Upgrades!$M$21+M328*Upgrades!$N$21)*POWER(Upgrades!$O$21,M328)))*(IF(Upgrades!$T$13="Moving Group",POWER(Upgrades!$U$13,E328),1)*IF(Upgrades!$T$14="Moving Group",POWER(Upgrades!$U$14,F328),1)*IF(Upgrades!$T$15="Moving Group",POWER(Upgrades!$U$15,G328),1)*IF(Upgrades!$T$16="Moving Group",POWER(Upgrades!$U$16,H328),1)*IF(Upgrades!$T$17="Moving Group",POWER(Upgrades!$U$17,I328),1)*IF(Upgrades!$T$18="Moving Group",POWER(Upgrades!$U$18,J328),1)*IF(Upgrades!$T$19="Moving Group",POWER(Upgrades!$U$19,K328),1)*IF(Upgrades!$T$20="Moving Group",POWER(Upgrades!$U$20,L328),1)))*POWER(Upgrades!$R$13,E328)*POWER(Upgrades!$R$14,F328)*POWER(Upgrades!$R$15,G328)*POWER(Upgrades!$R$16,H328)*POWER(Upgrades!$R$17,I328)*POWER(Upgrades!$R$18,J328)*POWER(Upgrades!$R$19,K328)*POWER(Upgrades!$R$20,L328)*POWER(Upgrades!$R$21,M328)*$H$6+$E$6</f>
        <v/>
      </c>
      <c r="R328" s="27">
        <f>IF(N328=1,0,O328*Parameters!$B$10/60*Parameters!$B$11*10)</f>
        <v/>
      </c>
      <c r="S328" s="27">
        <f>IF(N328=1,0,Q328*O328*10)</f>
        <v/>
      </c>
      <c r="T328" s="27">
        <f>IF(N328=1,0,R328+S328+P328*10)</f>
        <v/>
      </c>
      <c r="U328" s="33">
        <f>BE328</f>
        <v/>
      </c>
      <c r="V328" s="22">
        <f>IF(U328="",0,IF(U328="transition",0,IF(U328="SK",AK328,IF(U328="LB",AL328,IF(U328="ML",AM328,IF(U328="RLO",AN328,IF(U328="BD",AO328,IF(U328="BiP",AP328,IF(U328="PV",AQ328,IF(U328="OC",AR328,IF(U328="MG",AS328,0))))))))))</f>
        <v/>
      </c>
      <c r="W328" s="27">
        <f>IF(U328="BiP",Upgrades!$F$18,IF(U328="PV",Upgrades!$F$19,IF(U328="OC",Upgrades!$F$20,IF(U328="MG",Upgrades!$F$21,IF(U328="transition",-Parameters!$B$18*Parameters!$B$19,0)))))</f>
        <v/>
      </c>
      <c r="X328" s="22">
        <f>C328+T328-V328</f>
        <v/>
      </c>
      <c r="Y328" s="30">
        <f>O328*Parameters!$B$10/60*Parameters!$B$11+Q328*O328+P328</f>
        <v/>
      </c>
      <c r="Z328" s="34">
        <f>IF(U328="transition","→ Tier 3 (Galactic Arm)",IF(U328="MG","Moving Group — pocket drifts together",IF(U328="OC","Open Cluster acquired",IF(U328="PV","Peculiar Velocity — passive multiplier active",IF(U328="BiP","Binary Partner — pair bond formed",IF(AND(AU328=1,N328=0,AT328&lt;&gt;1),"Cohesion ready (waiting on completionists)","")))))) </f>
        <v/>
      </c>
      <c r="AA328" s="27">
        <f>(IF(E328=0,0,(Upgrades!$G$13+E328*Upgrades!$H$13)*POWER(Upgrades!$I$13,E328)))*(IF(Upgrades!$T$14="Stellar Kinematics",POWER(Upgrades!$U$14,F328),1)*IF(Upgrades!$T$15="Stellar Kinematics",POWER(Upgrades!$U$15,G328),1)*IF(Upgrades!$T$16="Stellar Kinematics",POWER(Upgrades!$U$16,H328),1)*IF(Upgrades!$T$17="Stellar Kinematics",POWER(Upgrades!$U$17,I328),1)*IF(Upgrades!$T$18="Stellar Kinematics",POWER(Upgrades!$U$18,J328),1)*IF(Upgrades!$T$19="Stellar Kinematics",POWER(Upgrades!$U$19,K328),1)*IF(Upgrades!$T$20="Stellar Kinematics",POWER(Upgrades!$U$20,L328),1)*IF(Upgrades!$T$21="Stellar Kinematics",POWER(Upgrades!$U$21,M328),1))*POWER(Upgrades!$P$13,E328)*POWER(Upgrades!$P$14,F328)*POWER(Upgrades!$P$15,G328)*POWER(Upgrades!$P$16,H328)*POWER(Upgrades!$P$17,I328)*POWER(Upgrades!$P$18,J328)*POWER(Upgrades!$P$19,K328)*POWER(Upgrades!$P$20,L328)*POWER(Upgrades!$P$21,M328)*$F$6*60</f>
        <v/>
      </c>
      <c r="AB328" s="27">
        <f>(IF(F328=0,0,(Upgrades!$G$14+F328*Upgrades!$H$14)*POWER(Upgrades!$I$14,F328)))*(IF(Upgrades!$T$13="Local Bubble",POWER(Upgrades!$U$13,E328),1)*IF(Upgrades!$T$15="Local Bubble",POWER(Upgrades!$U$15,G328),1)*IF(Upgrades!$T$16="Local Bubble",POWER(Upgrades!$U$16,H328),1)*IF(Upgrades!$T$17="Local Bubble",POWER(Upgrades!$U$17,I328),1)*IF(Upgrades!$T$18="Local Bubble",POWER(Upgrades!$U$18,J328),1)*IF(Upgrades!$T$19="Local Bubble",POWER(Upgrades!$U$19,K328),1)*IF(Upgrades!$T$20="Local Bubble",POWER(Upgrades!$U$20,L328),1)*IF(Upgrades!$T$21="Local Bubble",POWER(Upgrades!$U$21,M328),1))*POWER(Upgrades!$P$13,E328)*POWER(Upgrades!$P$14,F328)*POWER(Upgrades!$P$15,G328)*POWER(Upgrades!$P$16,H328)*POWER(Upgrades!$P$17,I328)*POWER(Upgrades!$P$18,J328)*POWER(Upgrades!$P$19,K328)*POWER(Upgrades!$P$20,L328)*POWER(Upgrades!$P$21,M328)*$F$6*60</f>
        <v/>
      </c>
      <c r="AC328" s="27">
        <f>(IF(G328=0,0,(Upgrades!$J$15+G328*Upgrades!$K$15)*POWER(Upgrades!$L$15,G328)))*(IF(Upgrades!$T$13="Microlensing",POWER(Upgrades!$U$13,E328),1)*IF(Upgrades!$T$14="Microlensing",POWER(Upgrades!$U$14,F328),1)*IF(Upgrades!$T$16="Microlensing",POWER(Upgrades!$U$16,H328),1)*IF(Upgrades!$T$17="Microlensing",POWER(Upgrades!$U$17,I328),1)*IF(Upgrades!$T$18="Microlensing",POWER(Upgrades!$U$18,J328),1)*IF(Upgrades!$T$19="Microlensing",POWER(Upgrades!$U$19,K328),1)*IF(Upgrades!$T$20="Microlensing",POWER(Upgrades!$U$20,L328),1)*IF(Upgrades!$T$21="Microlensing",POWER(Upgrades!$U$21,M328),1))*POWER(Upgrades!$Q$13,E328)*POWER(Upgrades!$Q$14,F328)*POWER(Upgrades!$Q$15,G328)*POWER(Upgrades!$Q$16,H328)*POWER(Upgrades!$Q$17,I328)*POWER(Upgrades!$Q$18,J328)*POWER(Upgrades!$Q$19,K328)*POWER(Upgrades!$Q$20,L328)*POWER(Upgrades!$Q$21,M328)*$G$6*(Parameters!$B$10*Parameters!$B$11+Q328*60)</f>
        <v/>
      </c>
      <c r="AD328" s="27">
        <f>(IF(H328=0,0,(Upgrades!$M$16+H328*Upgrades!$N$16)*POWER(Upgrades!$O$16,H328)))*(IF(Upgrades!$T$13="Roche Lobe Overflow",POWER(Upgrades!$U$13,E328),1)*IF(Upgrades!$T$14="Roche Lobe Overflow",POWER(Upgrades!$U$14,F328),1)*IF(Upgrades!$T$15="Roche Lobe Overflow",POWER(Upgrades!$U$15,G328),1)*IF(Upgrades!$T$17="Roche Lobe Overflow",POWER(Upgrades!$U$17,I328),1)*IF(Upgrades!$T$18="Roche Lobe Overflow",POWER(Upgrades!$U$18,J328),1)*IF(Upgrades!$T$19="Roche Lobe Overflow",POWER(Upgrades!$U$19,K328),1)*IF(Upgrades!$T$20="Roche Lobe Overflow",POWER(Upgrades!$U$20,L328),1)*IF(Upgrades!$T$21="Roche Lobe Overflow",POWER(Upgrades!$U$21,M328),1))*POWER(Upgrades!$R$13,E328)*POWER(Upgrades!$R$14,F328)*POWER(Upgrades!$R$15,G328)*POWER(Upgrades!$R$16,H328)*POWER(Upgrades!$R$17,I328)*POWER(Upgrades!$R$18,J328)*POWER(Upgrades!$R$19,K328)*POWER(Upgrades!$R$20,L328)*POWER(Upgrades!$R$21,M328)*$H$6*O328*60</f>
        <v/>
      </c>
      <c r="AE328" s="27">
        <f>(IF(I328=0,0,(Upgrades!$G$17+I328*Upgrades!$H$17)*POWER(Upgrades!$I$17,I328)))*(IF(Upgrades!$T$13="Brown Dwarf",POWER(Upgrades!$U$13,E328),1)*IF(Upgrades!$T$14="Brown Dwarf",POWER(Upgrades!$U$14,F328),1)*IF(Upgrades!$T$15="Brown Dwarf",POWER(Upgrades!$U$15,G328),1)*IF(Upgrades!$T$16="Brown Dwarf",POWER(Upgrades!$U$16,H328),1)*IF(Upgrades!$T$18="Brown Dwarf",POWER(Upgrades!$U$18,J328),1)*IF(Upgrades!$T$19="Brown Dwarf",POWER(Upgrades!$U$19,K328),1)*IF(Upgrades!$T$20="Brown Dwarf",POWER(Upgrades!$U$20,L328),1)*IF(Upgrades!$T$21="Brown Dwarf",POWER(Upgrades!$U$21,M328),1))*POWER(Upgrades!$P$13,E328)*POWER(Upgrades!$P$14,F328)*POWER(Upgrades!$P$15,G328)*POWER(Upgrades!$P$16,H328)*POWER(Upgrades!$P$17,I328)*POWER(Upgrades!$P$18,J328)*POWER(Upgrades!$P$19,K328)*POWER(Upgrades!$P$20,L328)*POWER(Upgrades!$P$21,M328)*$F$6*60</f>
        <v/>
      </c>
      <c r="AF328" s="27" t="n">
        <v>0</v>
      </c>
      <c r="AG328" s="27" t="n">
        <v>0</v>
      </c>
      <c r="AH328" s="27" t="n">
        <v>0</v>
      </c>
      <c r="AI328" s="27">
        <f>(IF(M328=0,0,(Upgrades!$G$21+M328*Upgrades!$H$21)*POWER(Upgrades!$I$21,M328)))*(IF(Upgrades!$T$13="Moving Group",POWER(Upgrades!$U$13,E328),1)*IF(Upgrades!$T$14="Moving Group",POWER(Upgrades!$U$14,F328),1)*IF(Upgrades!$T$15="Moving Group",POWER(Upgrades!$U$15,G328),1)*IF(Upgrades!$T$16="Moving Group",POWER(Upgrades!$U$16,H328),1)*IF(Upgrades!$T$17="Moving Group",POWER(Upgrades!$U$17,I328),1)*IF(Upgrades!$T$18="Moving Group",POWER(Upgrades!$U$18,J328),1)*IF(Upgrades!$T$19="Moving Group",POWER(Upgrades!$U$19,K328),1)*IF(Upgrades!$T$20="Moving Group",POWER(Upgrades!$U$20,L328),1))*POWER(Upgrades!$P$13,E328)*POWER(Upgrades!$P$14,F328)*POWER(Upgrades!$P$15,G328)*POWER(Upgrades!$P$16,H328)*POWER(Upgrades!$P$17,I328)*POWER(Upgrades!$P$18,J328)*POWER(Upgrades!$P$19,K328)*POWER(Upgrades!$P$20,L328)*POWER(Upgrades!$P$21,M328)*$F$6*60</f>
        <v/>
      </c>
      <c r="AJ328" s="27">
        <f>$C$6*60</f>
        <v/>
      </c>
      <c r="AK328" s="22">
        <f>IF(E328&gt;=Upgrades!$E$13,"",Upgrades!$C$13*POWER(Upgrades!$D$13,E328))</f>
        <v/>
      </c>
      <c r="AL328" s="22">
        <f>IF(F328&gt;=Upgrades!$E$14,"",Upgrades!$C$14*POWER(Upgrades!$D$14,F328))</f>
        <v/>
      </c>
      <c r="AM328" s="22">
        <f>IF(G328&gt;=Upgrades!$E$15,"",Upgrades!$C$15*POWER(Upgrades!$D$15,G328))</f>
        <v/>
      </c>
      <c r="AN328" s="22">
        <f>IF(H328&gt;=Upgrades!$E$16,"",Upgrades!$C$16*POWER(Upgrades!$D$16,H328))</f>
        <v/>
      </c>
      <c r="AO328" s="22">
        <f>IF(I328&gt;=Upgrades!$E$17,"",Upgrades!$C$17*POWER(Upgrades!$D$17,I328))</f>
        <v/>
      </c>
      <c r="AP328" s="22">
        <f>IF(J328&gt;=Upgrades!$E$18,"",Upgrades!$C$18*POWER(Upgrades!$D$18,J328))</f>
        <v/>
      </c>
      <c r="AQ328" s="22">
        <f>IF(K328&gt;=Upgrades!$E$19,"",Upgrades!$C$19*POWER(Upgrades!$D$19,K328))</f>
        <v/>
      </c>
      <c r="AR328" s="22">
        <f>IF(L328&gt;=Upgrades!$E$20,"",Upgrades!$C$20*POWER(Upgrades!$D$20,L328))</f>
        <v/>
      </c>
      <c r="AS328" s="22">
        <f>IF(M328&gt;=Upgrades!$E$21,"",Upgrades!$C$21*POWER(Upgrades!$D$21,M328))</f>
        <v/>
      </c>
      <c r="AT328" s="26">
        <f>IF(AND(D328&gt;=Parameters!$B$18*Parameters!$B$19,(I328&gt;=Upgrades!$E$17)*(M328&gt;=Upgrades!$E$21)=1,N328=0),1,"")</f>
        <v/>
      </c>
      <c r="AU328" s="26">
        <f>IF(AND(D328&gt;=Parameters!$B$18*Parameters!$B$19,N328=0),1,"")</f>
        <v/>
      </c>
      <c r="AV328" s="22">
        <f>MIN(IF(ISNUMBER(AP328),AP328,9E15),IF(ISNUMBER(AQ328),AQ328,9E15),IF(ISNUMBER(AR328),AR328,9E15),IF(ISNUMBER(AS328),AS328,9E15))</f>
        <v/>
      </c>
      <c r="AW328" s="22">
        <f>MIN(IF(ISNUMBER(AK328),AK328,9E15),IF(ISNUMBER(AL328),AL328,9E15),IF(ISNUMBER(AM328),AM328,9E15),IF(ISNUMBER(AN328),AN328,9E15),IF(ISNUMBER(AO328),AO328,9E15))</f>
        <v/>
      </c>
      <c r="AX328" s="29">
        <f>IF(BD328&gt;Parameters!$B$21*(MAX(IF(AND(NOT(AND(AU328=1,AT328&lt;&gt;1)),ISNUMBER(AK328),AK328&lt;=(C328+T328)),AY328,0),IF(AND(NOT(AND(AU328=1,AT328&lt;&gt;1)),ISNUMBER(AL328),AL328&lt;=(C328+T328)),AZ328,0),IF(AND(NOT(AND(AU328=1,AT328&lt;&gt;1)),ISNUMBER(AM328),AM328&lt;=(C328+T328)),BA328,0),IF(AND(NOT(AND(AU328=1,AT328&lt;&gt;1)),ISNUMBER(AN328),AN328&lt;=(C328+T328)),BB328,0),IF(AND(ISNUMBER(AO328),AO328&lt;=(C328+T328)),BC328,0))),TRUE,FALSE)</f>
        <v/>
      </c>
      <c r="AY328" s="32">
        <f>IFERROR(Upgrades!$H$13*(POWER(Upgrades!$P$13,E328)*POWER(Upgrades!$P$14,F328)*POWER(Upgrades!$P$15,G328)*POWER(Upgrades!$P$16,H328)*POWER(Upgrades!$P$17,I328)*POWER(Upgrades!$P$18,J328)*POWER(Upgrades!$P$19,K328)*POWER(Upgrades!$P$20,L328)*POWER(Upgrades!$P$21,M328))*(IF(Upgrades!$T$14="Stellar Kinematics",POWER(Upgrades!$U$14,F328),1)*IF(Upgrades!$T$15="Stellar Kinematics",POWER(Upgrades!$U$15,G328),1)*IF(Upgrades!$T$16="Stellar Kinematics",POWER(Upgrades!$U$16,H328),1)*IF(Upgrades!$T$17="Stellar Kinematics",POWER(Upgrades!$U$17,I328),1)*IF(Upgrades!$T$18="Stellar Kinematics",POWER(Upgrades!$U$18,J328),1)*IF(Upgrades!$T$19="Stellar Kinematics",POWER(Upgrades!$U$19,K328),1)*IF(Upgrades!$T$20="Stellar Kinematics",POWER(Upgrades!$U$20,L328),1)*IF(Upgrades!$T$21="Stellar Kinematics",POWER(Upgrades!$U$21,M328),1))*$F$6/AK328,0)</f>
        <v/>
      </c>
      <c r="AZ328" s="32">
        <f>IFERROR(Upgrades!$H$14*(POWER(Upgrades!$P$13,E328)*POWER(Upgrades!$P$14,F328)*POWER(Upgrades!$P$15,G328)*POWER(Upgrades!$P$16,H328)*POWER(Upgrades!$P$17,I328)*POWER(Upgrades!$P$18,J328)*POWER(Upgrades!$P$19,K328)*POWER(Upgrades!$P$20,L328)*POWER(Upgrades!$P$21,M328))*(IF(Upgrades!$T$13="Local Bubble",POWER(Upgrades!$U$13,E328),1)*IF(Upgrades!$T$15="Local Bubble",POWER(Upgrades!$U$15,G328),1)*IF(Upgrades!$T$16="Local Bubble",POWER(Upgrades!$U$16,H328),1)*IF(Upgrades!$T$17="Local Bubble",POWER(Upgrades!$U$17,I328),1)*IF(Upgrades!$T$18="Local Bubble",POWER(Upgrades!$U$18,J328),1)*IF(Upgrades!$T$19="Local Bubble",POWER(Upgrades!$U$19,K328),1)*IF(Upgrades!$T$20="Local Bubble",POWER(Upgrades!$U$20,L328),1)*IF(Upgrades!$T$21="Local Bubble",POWER(Upgrades!$U$21,M328),1))*$F$6/AL328,0)</f>
        <v/>
      </c>
      <c r="BA328" s="32">
        <f>IFERROR(Upgrades!$K$15*(POWER(Upgrades!$Q$13,E328)*POWER(Upgrades!$Q$14,F328)*POWER(Upgrades!$Q$15,G328)*POWER(Upgrades!$Q$16,H328)*POWER(Upgrades!$Q$17,I328)*POWER(Upgrades!$Q$18,J328)*POWER(Upgrades!$Q$19,K328)*POWER(Upgrades!$Q$20,L328)*POWER(Upgrades!$Q$21,M328))*(IF(Upgrades!$T$13="Microlensing",POWER(Upgrades!$U$13,E328),1)*IF(Upgrades!$T$14="Microlensing",POWER(Upgrades!$U$14,F328),1)*IF(Upgrades!$T$16="Microlensing",POWER(Upgrades!$U$16,H328),1)*IF(Upgrades!$T$17="Microlensing",POWER(Upgrades!$U$17,I328),1)*IF(Upgrades!$T$18="Microlensing",POWER(Upgrades!$U$18,J328),1)*IF(Upgrades!$T$19="Microlensing",POWER(Upgrades!$U$19,K328),1)*IF(Upgrades!$T$20="Microlensing",POWER(Upgrades!$U$20,L328),1)*IF(Upgrades!$T$21="Microlensing",POWER(Upgrades!$U$21,M328),1))*$G$6*(Parameters!$B$10/60*Parameters!$B$11+Q328)/AM328,0)</f>
        <v/>
      </c>
      <c r="BB328" s="32">
        <f>IFERROR((Upgrades!$N$16*(POWER(Upgrades!$R$13,E328)*POWER(Upgrades!$R$14,F328)*POWER(Upgrades!$R$15,G328)*POWER(Upgrades!$R$16,H328)*POWER(Upgrades!$R$17,I328)*POWER(Upgrades!$R$18,J328)*POWER(Upgrades!$R$19,K328)*POWER(Upgrades!$R$20,L328)*POWER(Upgrades!$R$21,M328))*(IF(Upgrades!$T$13="Roche Lobe Overflow",POWER(Upgrades!$U$13,E328),1)*IF(Upgrades!$T$14="Roche Lobe Overflow",POWER(Upgrades!$U$14,F328),1)*IF(Upgrades!$T$15="Roche Lobe Overflow",POWER(Upgrades!$U$15,G328),1)*IF(Upgrades!$T$17="Roche Lobe Overflow",POWER(Upgrades!$U$17,I328),1)*IF(Upgrades!$T$18="Roche Lobe Overflow",POWER(Upgrades!$U$18,J328),1)*IF(Upgrades!$T$19="Roche Lobe Overflow",POWER(Upgrades!$U$19,K328),1)*IF(Upgrades!$T$20="Roche Lobe Overflow",POWER(Upgrades!$U$20,L328),1)*IF(Upgrades!$T$21="Roche Lobe Overflow",POWER(Upgrades!$U$21,M328),1))*$H$6*O328+((IF(F328=0,0,(Upgrades!$G$14+F328*Upgrades!$H$14)*POWER(Upgrades!$I$14,F328)))*(IF(Upgrades!$T$13="Local Bubble",POWER(Upgrades!$U$13,E328),1)*IF(Upgrades!$T$15="Local Bubble",POWER(Upgrades!$U$15,G328),1)*IF(Upgrades!$T$16="Local Bubble",POWER(Upgrades!$U$16,H328),1)*IF(Upgrades!$T$17="Local Bubble",POWER(Upgrades!$U$17,I328),1)*IF(Upgrades!$T$18="Local Bubble",POWER(Upgrades!$U$18,J328),1)*IF(Upgrades!$T$19="Local Bubble",POWER(Upgrades!$U$19,K328),1)*IF(Upgrades!$T$20="Local Bubble",POWER(Upgrades!$U$20,L328),1)*IF(Upgrades!$T$21="Local Bubble",POWER(Upgrades!$U$21,M328),1))*POWER(Upgrades!$P$13,E328)*POWER(Upgrades!$P$14,F328)*POWER(Upgrades!$P$15,G328)*POWER(Upgrades!$P$16,H328)*POWER(Upgrades!$P$17,I328)*POWER(Upgrades!$P$18,J328)*POWER(Upgrades!$P$19,K328)*POWER(Upgrades!$P$20,L328)*POWER(Upgrades!$P$21,M328)*$F$6)*0.05)/AN328,0)</f>
        <v/>
      </c>
      <c r="BC328" s="32">
        <f>IFERROR((Upgrades!$H$17*(POWER(Upgrades!$P$13,E328)*POWER(Upgrades!$P$14,F328)*POWER(Upgrades!$P$15,G328)*POWER(Upgrades!$P$16,H328)*POWER(Upgrades!$P$17,I328)*POWER(Upgrades!$P$18,J328)*POWER(Upgrades!$P$19,K328)*POWER(Upgrades!$P$20,L328)*POWER(Upgrades!$P$21,M328))*(IF(Upgrades!$T$13="Brown Dwarf",POWER(Upgrades!$U$13,E328),1)*IF(Upgrades!$T$14="Brown Dwarf",POWER(Upgrades!$U$14,F328),1)*IF(Upgrades!$T$15="Brown Dwarf",POWER(Upgrades!$U$15,G328),1)*IF(Upgrades!$T$16="Brown Dwarf",POWER(Upgrades!$U$16,H328),1)*IF(Upgrades!$T$18="Brown Dwarf",POWER(Upgrades!$U$18,J328),1)*IF(Upgrades!$T$19="Brown Dwarf",POWER(Upgrades!$U$19,K328),1)*IF(Upgrades!$T$20="Brown Dwarf",POWER(Upgrades!$U$20,L328),1)*IF(Upgrades!$T$21="Brown Dwarf",POWER(Upgrades!$U$21,M328),1))*$F$6+(((IF(H328=0,0,(Upgrades!$M$16+H328*Upgrades!$N$16)*POWER(Upgrades!$O$16,H328)))*(IF(Upgrades!$T$13="Roche Lobe Overflow",POWER(Upgrades!$U$13,E328),1)*IF(Upgrades!$T$14="Roche Lobe Overflow",POWER(Upgrades!$U$14,F328),1)*IF(Upgrades!$T$15="Roche Lobe Overflow",POWER(Upgrades!$U$15,G328),1)*IF(Upgrades!$T$17="Roche Lobe Overflow",POWER(Upgrades!$U$17,I328),1)*IF(Upgrades!$T$18="Roche Lobe Overflow",POWER(Upgrades!$U$18,J328),1)*IF(Upgrades!$T$19="Roche Lobe Overflow",POWER(Upgrades!$U$19,K328),1)*IF(Upgrades!$T$20="Roche Lobe Overflow",POWER(Upgrades!$U$20,L328),1)*IF(Upgrades!$T$21="Roche Lobe Overflow",POWER(Upgrades!$U$21,M328),1))*POWER(Upgrades!$R$13,E328)*POWER(Upgrades!$R$14,F328)*POWER(Upgrades!$R$15,G328)*POWER(Upgrades!$R$16,H328)*POWER(Upgrades!$R$17,I328)*POWER(Upgrades!$R$18,J328)*POWER(Upgrades!$R$19,K328)*POWER(Upgrades!$R$20,L328)*POWER(Upgrades!$R$21,M328)*$H$6)*O328)*0.10)/AO328,0)</f>
        <v/>
      </c>
      <c r="BD328" s="32">
        <f>MAX(IF(J328&gt;0,0,IFERROR(0.5*((IF(G328=0,0,(Upgrades!$J$15+G328*Upgrades!$K$15)*POWER(Upgrades!$L$15,G328)))*(IF(Upgrades!$T$13="Microlensing",POWER(Upgrades!$U$13,E328),1)*IF(Upgrades!$T$14="Microlensing",POWER(Upgrades!$U$14,F328),1)*IF(Upgrades!$T$16="Microlensing",POWER(Upgrades!$U$16,H328),1)*IF(Upgrades!$T$17="Microlensing",POWER(Upgrades!$U$17,I328),1)*IF(Upgrades!$T$18="Microlensing",POWER(Upgrades!$U$18,J328),1)*IF(Upgrades!$T$19="Microlensing",POWER(Upgrades!$U$19,K328),1)*IF(Upgrades!$T$20="Microlensing",POWER(Upgrades!$U$20,L328),1)*IF(Upgrades!$T$21="Microlensing",POWER(Upgrades!$U$21,M328),1))*(POWER(Upgrades!$Q$13,E328)*POWER(Upgrades!$Q$14,F328)*POWER(Upgrades!$Q$15,G328)*POWER(Upgrades!$Q$16,H328)*POWER(Upgrades!$Q$17,I328)*POWER(Upgrades!$Q$18,J328)*POWER(Upgrades!$Q$19,K328)*POWER(Upgrades!$Q$20,L328)*POWER(Upgrades!$Q$21,M328))*$G$6*(Parameters!$B$10/60*Parameters!$B$11+Q328))/Upgrades!$C$18,0)),IF(K328&gt;0,0,IFERROR(0.30*P328/Upgrades!$C$19,0)),IF(L328&gt;0,0,IFERROR(0.0001/Upgrades!$C$20,0)),IF(M328&gt;0,0,IFERROR((6.0*(POWER(Upgrades!$P$13,E328)*POWER(Upgrades!$P$14,F328)*POWER(Upgrades!$P$15,G328)*POWER(Upgrades!$P$16,H328)*POWER(Upgrades!$P$17,I328)*POWER(Upgrades!$P$18,J328)*POWER(Upgrades!$P$19,K328)*POWER(Upgrades!$P$20,L328)*POWER(Upgrades!$P$21,M328))*$F$6+0.20*O328*(Parameters!$B$10/60*Parameters!$B$11+Q328))/Upgrades!$C$21,0)),IF(AND(ISNUMBER(AK328),AK328&gt;(C328+T328)),AY328,0),IF(AND(ISNUMBER(AL328),AL328&gt;(C328+T328)),AZ328,0),IF(AND(ISNUMBER(AM328),AM328&gt;(C328+T328)),BA328,0),IF(AND(ISNUMBER(AN328),AN328&gt;(C328+T328)),BB328,0),IF(AND(ISNUMBER(AO328),AO328&gt;(C328+T328)),BC328,0))</f>
        <v/>
      </c>
      <c r="BE328" s="29">
        <f>IF(AT328=1,"transition",IF(MIN(IF(AND(J328=0,ISNUMBER(AP328),AP328&lt;=(C328+T328)),AP328,9E15),IF(AND(K328=0,ISNUMBER(AQ328),AQ328&lt;=(C328+T328)),AQ328,9E15),IF(AND(L328=0,ISNUMBER(AR328),AR328&lt;=(C328+T328)),AR328,9E15),IF(AND(M328=0,ISNUMBER(AS328),AS328&lt;=(C328+T328)),AS328,9E15))&lt;9E15,IF(AND(AND(J328=0,ISNUMBER(AP328),AP328&lt;=(C328+T328)),AP328=MIN(IF(AND(J328=0,ISNUMBER(AP328),AP328&lt;=(C328+T328)),AP328,9E15),IF(AND(K328=0,ISNUMBER(AQ328),AQ328&lt;=(C328+T328)),AQ328,9E15),IF(AND(L328=0,ISNUMBER(AR328),AR328&lt;=(C328+T328)),AR328,9E15),IF(AND(M328=0,ISNUMBER(AS328),AS328&lt;=(C328+T328)),AS328,9E15))),"BiP",IF(AND(AND(K328=0,ISNUMBER(AQ328),AQ328&lt;=(C328+T328)),AQ328=MIN(IF(AND(J328=0,ISNUMBER(AP328),AP328&lt;=(C328+T328)),AP328,9E15),IF(AND(K328=0,ISNUMBER(AQ328),AQ328&lt;=(C328+T328)),AQ328,9E15),IF(AND(L328=0,ISNUMBER(AR328),AR328&lt;=(C328+T328)),AR328,9E15),IF(AND(M328=0,ISNUMBER(AS328),AS328&lt;=(C328+T328)),AS328,9E15))),"PV",IF(AND(AND(L328=0,ISNUMBER(AR328),AR328&lt;=(C328+T328)),AR328=MIN(IF(AND(J328=0,ISNUMBER(AP328),AP328&lt;=(C328+T328)),AP328,9E15),IF(AND(K328=0,ISNUMBER(AQ328),AQ328&lt;=(C328+T328)),AQ328,9E15),IF(AND(L328=0,ISNUMBER(AR328),AR328&lt;=(C328+T328)),AR328,9E15),IF(AND(M328=0,ISNUMBER(AS328),AS328&lt;=(C328+T328)),AS328,9E15))),"OC","MG"))),IF(AX328=TRUE,"",IF(MAX(IF(AND(NOT(AND(AU328=1,AT328&lt;&gt;1)),ISNUMBER(AK328),AK328&lt;=(C328+T328)),AY328,0),IF(AND(NOT(AND(AU328=1,AT328&lt;&gt;1)),ISNUMBER(AL328),AL328&lt;=(C328+T328)),AZ328,0),IF(AND(NOT(AND(AU328=1,AT328&lt;&gt;1)),ISNUMBER(AM328),AM328&lt;=(C328+T328)),BA328,0),IF(AND(NOT(AND(AU328=1,AT328&lt;&gt;1)),ISNUMBER(AN328),AN328&lt;=(C328+T328)),BB328,0),IF(AND(ISNUMBER(AO328),AO328&lt;=(C328+T328)),BC328,0))&lt;=0,"",IF(AND(IF(AND(NOT(AND(AU328=1,AT328&lt;&gt;1)),ISNUMBER(AK328),AK328&lt;=(C328+T328)),AY328,0)&gt;0,IF(AND(NOT(AND(AU328=1,AT328&lt;&gt;1)),ISNUMBER(AK328),AK328&lt;=(C328+T328)),AY328,0)=MAX(IF(AND(NOT(AND(AU328=1,AT328&lt;&gt;1)),ISNUMBER(AK328),AK328&lt;=(C328+T328)),AY328,0),IF(AND(NOT(AND(AU328=1,AT328&lt;&gt;1)),ISNUMBER(AL328),AL328&lt;=(C328+T328)),AZ328,0),IF(AND(NOT(AND(AU328=1,AT328&lt;&gt;1)),ISNUMBER(AM328),AM328&lt;=(C328+T328)),BA328,0),IF(AND(NOT(AND(AU328=1,AT328&lt;&gt;1)),ISNUMBER(AN328),AN328&lt;=(C328+T328)),BB328,0),IF(AND(ISNUMBER(AO328),AO328&lt;=(C328+T328)),BC328,0))),"SK",IF(AND(IF(AND(NOT(AND(AU328=1,AT328&lt;&gt;1)),ISNUMBER(AL328),AL328&lt;=(C328+T328)),AZ328,0)&gt;0,IF(AND(NOT(AND(AU328=1,AT328&lt;&gt;1)),ISNUMBER(AL328),AL328&lt;=(C328+T328)),AZ328,0)=MAX(IF(AND(NOT(AND(AU328=1,AT328&lt;&gt;1)),ISNUMBER(AK328),AK328&lt;=(C328+T328)),AY328,0),IF(AND(NOT(AND(AU328=1,AT328&lt;&gt;1)),ISNUMBER(AL328),AL328&lt;=(C328+T328)),AZ328,0),IF(AND(NOT(AND(AU328=1,AT328&lt;&gt;1)),ISNUMBER(AM328),AM328&lt;=(C328+T328)),BA328,0),IF(AND(NOT(AND(AU328=1,AT328&lt;&gt;1)),ISNUMBER(AN328),AN328&lt;=(C328+T328)),BB328,0),IF(AND(ISNUMBER(AO328),AO328&lt;=(C328+T328)),BC328,0))),"LB",IF(AND(IF(AND(NOT(AND(AU328=1,AT328&lt;&gt;1)),ISNUMBER(AM328),AM328&lt;=(C328+T328)),BA328,0)&gt;0,IF(AND(NOT(AND(AU328=1,AT328&lt;&gt;1)),ISNUMBER(AM328),AM328&lt;=(C328+T328)),BA328,0)=MAX(IF(AND(NOT(AND(AU328=1,AT328&lt;&gt;1)),ISNUMBER(AK328),AK328&lt;=(C328+T328)),AY328,0),IF(AND(NOT(AND(AU328=1,AT328&lt;&gt;1)),ISNUMBER(AL328),AL328&lt;=(C328+T328)),AZ328,0),IF(AND(NOT(AND(AU328=1,AT328&lt;&gt;1)),ISNUMBER(AM328),AM328&lt;=(C328+T328)),BA328,0),IF(AND(NOT(AND(AU328=1,AT328&lt;&gt;1)),ISNUMBER(AN328),AN328&lt;=(C328+T328)),BB328,0),IF(AND(ISNUMBER(AO328),AO328&lt;=(C328+T328)),BC328,0))),"ML",IF(AND(IF(AND(NOT(AND(AU328=1,AT328&lt;&gt;1)),ISNUMBER(AN328),AN328&lt;=(C328+T328)),BB328,0)&gt;0,IF(AND(NOT(AND(AU328=1,AT328&lt;&gt;1)),ISNUMBER(AN328),AN328&lt;=(C328+T328)),BB328,0)=MAX(IF(AND(NOT(AND(AU328=1,AT328&lt;&gt;1)),ISNUMBER(AK328),AK328&lt;=(C328+T328)),AY328,0),IF(AND(NOT(AND(AU328=1,AT328&lt;&gt;1)),ISNUMBER(AL328),AL328&lt;=(C328+T328)),AZ328,0),IF(AND(NOT(AND(AU328=1,AT328&lt;&gt;1)),ISNUMBER(AM328),AM328&lt;=(C328+T328)),BA328,0),IF(AND(NOT(AND(AU328=1,AT328&lt;&gt;1)),ISNUMBER(AN328),AN328&lt;=(C328+T328)),BB328,0),IF(AND(ISNUMBER(AO328),AO328&lt;=(C328+T328)),BC328,0))),"RLO","BD"))))))))</f>
        <v/>
      </c>
    </row>
    <row r="329">
      <c r="A329" s="26" t="n">
        <v>318</v>
      </c>
      <c r="B329" s="27">
        <f>A329*10/60</f>
        <v/>
      </c>
      <c r="C329" s="22">
        <f>X328</f>
        <v/>
      </c>
      <c r="D329" s="27">
        <f>D328+W328</f>
        <v/>
      </c>
      <c r="E329" s="26">
        <f>E328+IF(U328="SK",1,0)</f>
        <v/>
      </c>
      <c r="F329" s="26">
        <f>F328+IF(U328="LB",1,0)</f>
        <v/>
      </c>
      <c r="G329" s="26">
        <f>G328+IF(U328="ML",1,0)</f>
        <v/>
      </c>
      <c r="H329" s="26">
        <f>H328+IF(U328="RLO",1,0)</f>
        <v/>
      </c>
      <c r="I329" s="26">
        <f>I328+IF(U328="BD",1,0)</f>
        <v/>
      </c>
      <c r="J329" s="26">
        <f>MAX(J328,IF(U328="BiP",1,0))</f>
        <v/>
      </c>
      <c r="K329" s="26">
        <f>MAX(K328,IF(U328="PV",1,0))</f>
        <v/>
      </c>
      <c r="L329" s="26">
        <f>MAX(L328,IF(U328="OC",1,0))</f>
        <v/>
      </c>
      <c r="M329" s="26">
        <f>MAX(M328,IF(U328="MG",1,0))</f>
        <v/>
      </c>
      <c r="N329" s="26">
        <f>MAX(N328,IF(U328="transition",1,0))</f>
        <v/>
      </c>
      <c r="O329" s="28">
        <f>(Parameters!$B$9+(IF(E329=0,0,(Upgrades!$J$13+E329*Upgrades!$K$13)*POWER(Upgrades!$L$13,E329)))*(IF(Upgrades!$T$14="Stellar Kinematics",POWER(Upgrades!$U$14,F329),1)*IF(Upgrades!$T$15="Stellar Kinematics",POWER(Upgrades!$U$15,G329),1)*IF(Upgrades!$T$16="Stellar Kinematics",POWER(Upgrades!$U$16,H329),1)*IF(Upgrades!$T$17="Stellar Kinematics",POWER(Upgrades!$U$17,I329),1)*IF(Upgrades!$T$18="Stellar Kinematics",POWER(Upgrades!$U$18,J329),1)*IF(Upgrades!$T$19="Stellar Kinematics",POWER(Upgrades!$U$19,K329),1)*IF(Upgrades!$T$20="Stellar Kinematics",POWER(Upgrades!$U$20,L329),1)*IF(Upgrades!$T$21="Stellar Kinematics",POWER(Upgrades!$U$21,M329),1))+(IF(F329=0,0,(Upgrades!$J$14+F329*Upgrades!$K$14)*POWER(Upgrades!$L$14,F329)))*(IF(Upgrades!$T$13="Local Bubble",POWER(Upgrades!$U$13,E329),1)*IF(Upgrades!$T$15="Local Bubble",POWER(Upgrades!$U$15,G329),1)*IF(Upgrades!$T$16="Local Bubble",POWER(Upgrades!$U$16,H329),1)*IF(Upgrades!$T$17="Local Bubble",POWER(Upgrades!$U$17,I329),1)*IF(Upgrades!$T$18="Local Bubble",POWER(Upgrades!$U$18,J329),1)*IF(Upgrades!$T$19="Local Bubble",POWER(Upgrades!$U$19,K329),1)*IF(Upgrades!$T$20="Local Bubble",POWER(Upgrades!$U$20,L329),1)*IF(Upgrades!$T$21="Local Bubble",POWER(Upgrades!$U$21,M329),1))+(IF(G329=0,0,(Upgrades!$J$15+G329*Upgrades!$K$15)*POWER(Upgrades!$L$15,G329)))*(IF(Upgrades!$T$13="Microlensing",POWER(Upgrades!$U$13,E329),1)*IF(Upgrades!$T$14="Microlensing",POWER(Upgrades!$U$14,F329),1)*IF(Upgrades!$T$16="Microlensing",POWER(Upgrades!$U$16,H329),1)*IF(Upgrades!$T$17="Microlensing",POWER(Upgrades!$U$17,I329),1)*IF(Upgrades!$T$18="Microlensing",POWER(Upgrades!$U$18,J329),1)*IF(Upgrades!$T$19="Microlensing",POWER(Upgrades!$U$19,K329),1)*IF(Upgrades!$T$20="Microlensing",POWER(Upgrades!$U$20,L329),1)*IF(Upgrades!$T$21="Microlensing",POWER(Upgrades!$U$21,M329),1))+(IF(H329=0,0,(Upgrades!$J$16+H329*Upgrades!$K$16)*POWER(Upgrades!$L$16,H329)))*(IF(Upgrades!$T$13="Roche Lobe Overflow",POWER(Upgrades!$U$13,E329),1)*IF(Upgrades!$T$14="Roche Lobe Overflow",POWER(Upgrades!$U$14,F329),1)*IF(Upgrades!$T$15="Roche Lobe Overflow",POWER(Upgrades!$U$15,G329),1)*IF(Upgrades!$T$17="Roche Lobe Overflow",POWER(Upgrades!$U$17,I329),1)*IF(Upgrades!$T$18="Roche Lobe Overflow",POWER(Upgrades!$U$18,J329),1)*IF(Upgrades!$T$19="Roche Lobe Overflow",POWER(Upgrades!$U$19,K329),1)*IF(Upgrades!$T$20="Roche Lobe Overflow",POWER(Upgrades!$U$20,L329),1)*IF(Upgrades!$T$21="Roche Lobe Overflow",POWER(Upgrades!$U$21,M329),1))+(IF(I329=0,0,(Upgrades!$J$17+I329*Upgrades!$K$17)*POWER(Upgrades!$L$17,I329)))*(IF(Upgrades!$T$13="Brown Dwarf",POWER(Upgrades!$U$13,E329),1)*IF(Upgrades!$T$14="Brown Dwarf",POWER(Upgrades!$U$14,F329),1)*IF(Upgrades!$T$15="Brown Dwarf",POWER(Upgrades!$U$15,G329),1)*IF(Upgrades!$T$16="Brown Dwarf",POWER(Upgrades!$U$16,H329),1)*IF(Upgrades!$T$18="Brown Dwarf",POWER(Upgrades!$U$18,J329),1)*IF(Upgrades!$T$19="Brown Dwarf",POWER(Upgrades!$U$19,K329),1)*IF(Upgrades!$T$20="Brown Dwarf",POWER(Upgrades!$U$20,L329),1)*IF(Upgrades!$T$21="Brown Dwarf",POWER(Upgrades!$U$21,M329),1))+(IF(J329=0,0,(Upgrades!$J$18+J329*Upgrades!$K$18)*POWER(Upgrades!$L$18,J329)))*(IF(Upgrades!$T$13="Binary Partner",POWER(Upgrades!$U$13,E329),1)*IF(Upgrades!$T$14="Binary Partner",POWER(Upgrades!$U$14,F329),1)*IF(Upgrades!$T$15="Binary Partner",POWER(Upgrades!$U$15,G329),1)*IF(Upgrades!$T$16="Binary Partner",POWER(Upgrades!$U$16,H329),1)*IF(Upgrades!$T$17="Binary Partner",POWER(Upgrades!$U$17,I329),1)*IF(Upgrades!$T$19="Binary Partner",POWER(Upgrades!$U$19,K329),1)*IF(Upgrades!$T$20="Binary Partner",POWER(Upgrades!$U$20,L329),1)*IF(Upgrades!$T$21="Binary Partner",POWER(Upgrades!$U$21,M329),1))+(IF(K329=0,0,(Upgrades!$J$19+K329*Upgrades!$K$19)*POWER(Upgrades!$L$19,K329)))*(IF(Upgrades!$T$13="Peculiar Velocity",POWER(Upgrades!$U$13,E329),1)*IF(Upgrades!$T$14="Peculiar Velocity",POWER(Upgrades!$U$14,F329),1)*IF(Upgrades!$T$15="Peculiar Velocity",POWER(Upgrades!$U$15,G329),1)*IF(Upgrades!$T$16="Peculiar Velocity",POWER(Upgrades!$U$16,H329),1)*IF(Upgrades!$T$17="Peculiar Velocity",POWER(Upgrades!$U$17,I329),1)*IF(Upgrades!$T$18="Peculiar Velocity",POWER(Upgrades!$U$18,J329),1)*IF(Upgrades!$T$20="Peculiar Velocity",POWER(Upgrades!$U$20,L329),1)*IF(Upgrades!$T$21="Peculiar Velocity",POWER(Upgrades!$U$21,M329),1))+(IF(L329=0,0,(Upgrades!$J$20+L329*Upgrades!$K$20)*POWER(Upgrades!$L$20,L329)))*(IF(Upgrades!$T$13="Open Cluster",POWER(Upgrades!$U$13,E329),1)*IF(Upgrades!$T$14="Open Cluster",POWER(Upgrades!$U$14,F329),1)*IF(Upgrades!$T$15="Open Cluster",POWER(Upgrades!$U$15,G329),1)*IF(Upgrades!$T$16="Open Cluster",POWER(Upgrades!$U$16,H329),1)*IF(Upgrades!$T$17="Open Cluster",POWER(Upgrades!$U$17,I329),1)*IF(Upgrades!$T$18="Open Cluster",POWER(Upgrades!$U$18,J329),1)*IF(Upgrades!$T$19="Open Cluster",POWER(Upgrades!$U$19,K329),1)*IF(Upgrades!$T$21="Open Cluster",POWER(Upgrades!$U$21,M329),1))+(IF(M329=0,0,(Upgrades!$J$21+M329*Upgrades!$K$21)*POWER(Upgrades!$L$21,M329)))*(IF(Upgrades!$T$13="Moving Group",POWER(Upgrades!$U$13,E329),1)*IF(Upgrades!$T$14="Moving Group",POWER(Upgrades!$U$14,F329),1)*IF(Upgrades!$T$15="Moving Group",POWER(Upgrades!$U$15,G329),1)*IF(Upgrades!$T$16="Moving Group",POWER(Upgrades!$U$16,H329),1)*IF(Upgrades!$T$17="Moving Group",POWER(Upgrades!$U$17,I329),1)*IF(Upgrades!$T$18="Moving Group",POWER(Upgrades!$U$18,J329),1)*IF(Upgrades!$T$19="Moving Group",POWER(Upgrades!$U$19,K329),1)*IF(Upgrades!$T$20="Moving Group",POWER(Upgrades!$U$20,L329),1)))*POWER(Upgrades!$Q$13,E329)*POWER(Upgrades!$Q$14,F329)*POWER(Upgrades!$Q$15,G329)*POWER(Upgrades!$Q$16,H329)*POWER(Upgrades!$Q$17,I329)*POWER(Upgrades!$Q$18,J329)*POWER(Upgrades!$Q$19,K329)*POWER(Upgrades!$Q$20,L329)*POWER(Upgrades!$Q$21,M329)*$G$6+$D$6</f>
        <v/>
      </c>
      <c r="P329" s="28">
        <f>((IF(E329=0,0,(Upgrades!$G$13+E329*Upgrades!$H$13)*POWER(Upgrades!$I$13,E329)))*(IF(Upgrades!$T$14="Stellar Kinematics",POWER(Upgrades!$U$14,F329),1)*IF(Upgrades!$T$15="Stellar Kinematics",POWER(Upgrades!$U$15,G329),1)*IF(Upgrades!$T$16="Stellar Kinematics",POWER(Upgrades!$U$16,H329),1)*IF(Upgrades!$T$17="Stellar Kinematics",POWER(Upgrades!$U$17,I329),1)*IF(Upgrades!$T$18="Stellar Kinematics",POWER(Upgrades!$U$18,J329),1)*IF(Upgrades!$T$19="Stellar Kinematics",POWER(Upgrades!$U$19,K329),1)*IF(Upgrades!$T$20="Stellar Kinematics",POWER(Upgrades!$U$20,L329),1)*IF(Upgrades!$T$21="Stellar Kinematics",POWER(Upgrades!$U$21,M329),1))+(IF(F329=0,0,(Upgrades!$G$14+F329*Upgrades!$H$14)*POWER(Upgrades!$I$14,F329)))*(IF(Upgrades!$T$13="Local Bubble",POWER(Upgrades!$U$13,E329),1)*IF(Upgrades!$T$15="Local Bubble",POWER(Upgrades!$U$15,G329),1)*IF(Upgrades!$T$16="Local Bubble",POWER(Upgrades!$U$16,H329),1)*IF(Upgrades!$T$17="Local Bubble",POWER(Upgrades!$U$17,I329),1)*IF(Upgrades!$T$18="Local Bubble",POWER(Upgrades!$U$18,J329),1)*IF(Upgrades!$T$19="Local Bubble",POWER(Upgrades!$U$19,K329),1)*IF(Upgrades!$T$20="Local Bubble",POWER(Upgrades!$U$20,L329),1)*IF(Upgrades!$T$21="Local Bubble",POWER(Upgrades!$U$21,M329),1))+(IF(G329=0,0,(Upgrades!$G$15+G329*Upgrades!$H$15)*POWER(Upgrades!$I$15,G329)))*(IF(Upgrades!$T$13="Microlensing",POWER(Upgrades!$U$13,E329),1)*IF(Upgrades!$T$14="Microlensing",POWER(Upgrades!$U$14,F329),1)*IF(Upgrades!$T$16="Microlensing",POWER(Upgrades!$U$16,H329),1)*IF(Upgrades!$T$17="Microlensing",POWER(Upgrades!$U$17,I329),1)*IF(Upgrades!$T$18="Microlensing",POWER(Upgrades!$U$18,J329),1)*IF(Upgrades!$T$19="Microlensing",POWER(Upgrades!$U$19,K329),1)*IF(Upgrades!$T$20="Microlensing",POWER(Upgrades!$U$20,L329),1)*IF(Upgrades!$T$21="Microlensing",POWER(Upgrades!$U$21,M329),1))+(IF(H329=0,0,(Upgrades!$G$16+H329*Upgrades!$H$16)*POWER(Upgrades!$I$16,H329)))*(IF(Upgrades!$T$13="Roche Lobe Overflow",POWER(Upgrades!$U$13,E329),1)*IF(Upgrades!$T$14="Roche Lobe Overflow",POWER(Upgrades!$U$14,F329),1)*IF(Upgrades!$T$15="Roche Lobe Overflow",POWER(Upgrades!$U$15,G329),1)*IF(Upgrades!$T$17="Roche Lobe Overflow",POWER(Upgrades!$U$17,I329),1)*IF(Upgrades!$T$18="Roche Lobe Overflow",POWER(Upgrades!$U$18,J329),1)*IF(Upgrades!$T$19="Roche Lobe Overflow",POWER(Upgrades!$U$19,K329),1)*IF(Upgrades!$T$20="Roche Lobe Overflow",POWER(Upgrades!$U$20,L329),1)*IF(Upgrades!$T$21="Roche Lobe Overflow",POWER(Upgrades!$U$21,M329),1))+(IF(I329=0,0,(Upgrades!$G$17+I329*Upgrades!$H$17)*POWER(Upgrades!$I$17,I329)))*(IF(Upgrades!$T$13="Brown Dwarf",POWER(Upgrades!$U$13,E329),1)*IF(Upgrades!$T$14="Brown Dwarf",POWER(Upgrades!$U$14,F329),1)*IF(Upgrades!$T$15="Brown Dwarf",POWER(Upgrades!$U$15,G329),1)*IF(Upgrades!$T$16="Brown Dwarf",POWER(Upgrades!$U$16,H329),1)*IF(Upgrades!$T$18="Brown Dwarf",POWER(Upgrades!$U$18,J329),1)*IF(Upgrades!$T$19="Brown Dwarf",POWER(Upgrades!$U$19,K329),1)*IF(Upgrades!$T$20="Brown Dwarf",POWER(Upgrades!$U$20,L329),1)*IF(Upgrades!$T$21="Brown Dwarf",POWER(Upgrades!$U$21,M329),1))+(IF(J329=0,0,(Upgrades!$G$18+J329*Upgrades!$H$18)*POWER(Upgrades!$I$18,J329)))*(IF(Upgrades!$T$13="Binary Partner",POWER(Upgrades!$U$13,E329),1)*IF(Upgrades!$T$14="Binary Partner",POWER(Upgrades!$U$14,F329),1)*IF(Upgrades!$T$15="Binary Partner",POWER(Upgrades!$U$15,G329),1)*IF(Upgrades!$T$16="Binary Partner",POWER(Upgrades!$U$16,H329),1)*IF(Upgrades!$T$17="Binary Partner",POWER(Upgrades!$U$17,I329),1)*IF(Upgrades!$T$19="Binary Partner",POWER(Upgrades!$U$19,K329),1)*IF(Upgrades!$T$20="Binary Partner",POWER(Upgrades!$U$20,L329),1)*IF(Upgrades!$T$21="Binary Partner",POWER(Upgrades!$U$21,M329),1))+(IF(K329=0,0,(Upgrades!$G$19+K329*Upgrades!$H$19)*POWER(Upgrades!$I$19,K329)))*(IF(Upgrades!$T$13="Peculiar Velocity",POWER(Upgrades!$U$13,E329),1)*IF(Upgrades!$T$14="Peculiar Velocity",POWER(Upgrades!$U$14,F329),1)*IF(Upgrades!$T$15="Peculiar Velocity",POWER(Upgrades!$U$15,G329),1)*IF(Upgrades!$T$16="Peculiar Velocity",POWER(Upgrades!$U$16,H329),1)*IF(Upgrades!$T$17="Peculiar Velocity",POWER(Upgrades!$U$17,I329),1)*IF(Upgrades!$T$18="Peculiar Velocity",POWER(Upgrades!$U$18,J329),1)*IF(Upgrades!$T$20="Peculiar Velocity",POWER(Upgrades!$U$20,L329),1)*IF(Upgrades!$T$21="Peculiar Velocity",POWER(Upgrades!$U$21,M329),1))+(IF(L329=0,0,(Upgrades!$G$20+L329*Upgrades!$H$20)*POWER(Upgrades!$I$20,L329)))*(IF(Upgrades!$T$13="Open Cluster",POWER(Upgrades!$U$13,E329),1)*IF(Upgrades!$T$14="Open Cluster",POWER(Upgrades!$U$14,F329),1)*IF(Upgrades!$T$15="Open Cluster",POWER(Upgrades!$U$15,G329),1)*IF(Upgrades!$T$16="Open Cluster",POWER(Upgrades!$U$16,H329),1)*IF(Upgrades!$T$17="Open Cluster",POWER(Upgrades!$U$17,I329),1)*IF(Upgrades!$T$18="Open Cluster",POWER(Upgrades!$U$18,J329),1)*IF(Upgrades!$T$19="Open Cluster",POWER(Upgrades!$U$19,K329),1)*IF(Upgrades!$T$21="Open Cluster",POWER(Upgrades!$U$21,M329),1))+(IF(M329=0,0,(Upgrades!$G$21+M329*Upgrades!$H$21)*POWER(Upgrades!$I$21,M329)))*(IF(Upgrades!$T$13="Moving Group",POWER(Upgrades!$U$13,E329),1)*IF(Upgrades!$T$14="Moving Group",POWER(Upgrades!$U$14,F329),1)*IF(Upgrades!$T$15="Moving Group",POWER(Upgrades!$U$15,G329),1)*IF(Upgrades!$T$16="Moving Group",POWER(Upgrades!$U$16,H329),1)*IF(Upgrades!$T$17="Moving Group",POWER(Upgrades!$U$17,I329),1)*IF(Upgrades!$T$18="Moving Group",POWER(Upgrades!$U$18,J329),1)*IF(Upgrades!$T$19="Moving Group",POWER(Upgrades!$U$19,K329),1)*IF(Upgrades!$T$20="Moving Group",POWER(Upgrades!$U$20,L329),1)))*POWER(Upgrades!$P$13,E329)*POWER(Upgrades!$P$14,F329)*POWER(Upgrades!$P$15,G329)*POWER(Upgrades!$P$16,H329)*POWER(Upgrades!$P$17,I329)*POWER(Upgrades!$P$18,J329)*POWER(Upgrades!$P$19,K329)*POWER(Upgrades!$P$20,L329)*POWER(Upgrades!$P$21,M329)*$F$6+$C$6</f>
        <v/>
      </c>
      <c r="Q329" s="28">
        <f>((IF(E329=0,0,(Upgrades!$M$13+E329*Upgrades!$N$13)*POWER(Upgrades!$O$13,E329)))*(IF(Upgrades!$T$14="Stellar Kinematics",POWER(Upgrades!$U$14,F329),1)*IF(Upgrades!$T$15="Stellar Kinematics",POWER(Upgrades!$U$15,G329),1)*IF(Upgrades!$T$16="Stellar Kinematics",POWER(Upgrades!$U$16,H329),1)*IF(Upgrades!$T$17="Stellar Kinematics",POWER(Upgrades!$U$17,I329),1)*IF(Upgrades!$T$18="Stellar Kinematics",POWER(Upgrades!$U$18,J329),1)*IF(Upgrades!$T$19="Stellar Kinematics",POWER(Upgrades!$U$19,K329),1)*IF(Upgrades!$T$20="Stellar Kinematics",POWER(Upgrades!$U$20,L329),1)*IF(Upgrades!$T$21="Stellar Kinematics",POWER(Upgrades!$U$21,M329),1))+(IF(F329=0,0,(Upgrades!$M$14+F329*Upgrades!$N$14)*POWER(Upgrades!$O$14,F329)))*(IF(Upgrades!$T$13="Local Bubble",POWER(Upgrades!$U$13,E329),1)*IF(Upgrades!$T$15="Local Bubble",POWER(Upgrades!$U$15,G329),1)*IF(Upgrades!$T$16="Local Bubble",POWER(Upgrades!$U$16,H329),1)*IF(Upgrades!$T$17="Local Bubble",POWER(Upgrades!$U$17,I329),1)*IF(Upgrades!$T$18="Local Bubble",POWER(Upgrades!$U$18,J329),1)*IF(Upgrades!$T$19="Local Bubble",POWER(Upgrades!$U$19,K329),1)*IF(Upgrades!$T$20="Local Bubble",POWER(Upgrades!$U$20,L329),1)*IF(Upgrades!$T$21="Local Bubble",POWER(Upgrades!$U$21,M329),1))+(IF(G329=0,0,(Upgrades!$M$15+G329*Upgrades!$N$15)*POWER(Upgrades!$O$15,G329)))*(IF(Upgrades!$T$13="Microlensing",POWER(Upgrades!$U$13,E329),1)*IF(Upgrades!$T$14="Microlensing",POWER(Upgrades!$U$14,F329),1)*IF(Upgrades!$T$16="Microlensing",POWER(Upgrades!$U$16,H329),1)*IF(Upgrades!$T$17="Microlensing",POWER(Upgrades!$U$17,I329),1)*IF(Upgrades!$T$18="Microlensing",POWER(Upgrades!$U$18,J329),1)*IF(Upgrades!$T$19="Microlensing",POWER(Upgrades!$U$19,K329),1)*IF(Upgrades!$T$20="Microlensing",POWER(Upgrades!$U$20,L329),1)*IF(Upgrades!$T$21="Microlensing",POWER(Upgrades!$U$21,M329),1))+(IF(H329=0,0,(Upgrades!$M$16+H329*Upgrades!$N$16)*POWER(Upgrades!$O$16,H329)))*(IF(Upgrades!$T$13="Roche Lobe Overflow",POWER(Upgrades!$U$13,E329),1)*IF(Upgrades!$T$14="Roche Lobe Overflow",POWER(Upgrades!$U$14,F329),1)*IF(Upgrades!$T$15="Roche Lobe Overflow",POWER(Upgrades!$U$15,G329),1)*IF(Upgrades!$T$17="Roche Lobe Overflow",POWER(Upgrades!$U$17,I329),1)*IF(Upgrades!$T$18="Roche Lobe Overflow",POWER(Upgrades!$U$18,J329),1)*IF(Upgrades!$T$19="Roche Lobe Overflow",POWER(Upgrades!$U$19,K329),1)*IF(Upgrades!$T$20="Roche Lobe Overflow",POWER(Upgrades!$U$20,L329),1)*IF(Upgrades!$T$21="Roche Lobe Overflow",POWER(Upgrades!$U$21,M329),1))+(IF(I329=0,0,(Upgrades!$M$17+I329*Upgrades!$N$17)*POWER(Upgrades!$O$17,I329)))*(IF(Upgrades!$T$13="Brown Dwarf",POWER(Upgrades!$U$13,E329),1)*IF(Upgrades!$T$14="Brown Dwarf",POWER(Upgrades!$U$14,F329),1)*IF(Upgrades!$T$15="Brown Dwarf",POWER(Upgrades!$U$15,G329),1)*IF(Upgrades!$T$16="Brown Dwarf",POWER(Upgrades!$U$16,H329),1)*IF(Upgrades!$T$18="Brown Dwarf",POWER(Upgrades!$U$18,J329),1)*IF(Upgrades!$T$19="Brown Dwarf",POWER(Upgrades!$U$19,K329),1)*IF(Upgrades!$T$20="Brown Dwarf",POWER(Upgrades!$U$20,L329),1)*IF(Upgrades!$T$21="Brown Dwarf",POWER(Upgrades!$U$21,M329),1))+(IF(J329=0,0,(Upgrades!$M$18+J329*Upgrades!$N$18)*POWER(Upgrades!$O$18,J329)))*(IF(Upgrades!$T$13="Binary Partner",POWER(Upgrades!$U$13,E329),1)*IF(Upgrades!$T$14="Binary Partner",POWER(Upgrades!$U$14,F329),1)*IF(Upgrades!$T$15="Binary Partner",POWER(Upgrades!$U$15,G329),1)*IF(Upgrades!$T$16="Binary Partner",POWER(Upgrades!$U$16,H329),1)*IF(Upgrades!$T$17="Binary Partner",POWER(Upgrades!$U$17,I329),1)*IF(Upgrades!$T$19="Binary Partner",POWER(Upgrades!$U$19,K329),1)*IF(Upgrades!$T$20="Binary Partner",POWER(Upgrades!$U$20,L329),1)*IF(Upgrades!$T$21="Binary Partner",POWER(Upgrades!$U$21,M329),1))+(IF(K329=0,0,(Upgrades!$M$19+K329*Upgrades!$N$19)*POWER(Upgrades!$O$19,K329)))*(IF(Upgrades!$T$13="Peculiar Velocity",POWER(Upgrades!$U$13,E329),1)*IF(Upgrades!$T$14="Peculiar Velocity",POWER(Upgrades!$U$14,F329),1)*IF(Upgrades!$T$15="Peculiar Velocity",POWER(Upgrades!$U$15,G329),1)*IF(Upgrades!$T$16="Peculiar Velocity",POWER(Upgrades!$U$16,H329),1)*IF(Upgrades!$T$17="Peculiar Velocity",POWER(Upgrades!$U$17,I329),1)*IF(Upgrades!$T$18="Peculiar Velocity",POWER(Upgrades!$U$18,J329),1)*IF(Upgrades!$T$20="Peculiar Velocity",POWER(Upgrades!$U$20,L329),1)*IF(Upgrades!$T$21="Peculiar Velocity",POWER(Upgrades!$U$21,M329),1))+(IF(L329=0,0,(Upgrades!$M$20+L329*Upgrades!$N$20)*POWER(Upgrades!$O$20,L329)))*(IF(Upgrades!$T$13="Open Cluster",POWER(Upgrades!$U$13,E329),1)*IF(Upgrades!$T$14="Open Cluster",POWER(Upgrades!$U$14,F329),1)*IF(Upgrades!$T$15="Open Cluster",POWER(Upgrades!$U$15,G329),1)*IF(Upgrades!$T$16="Open Cluster",POWER(Upgrades!$U$16,H329),1)*IF(Upgrades!$T$17="Open Cluster",POWER(Upgrades!$U$17,I329),1)*IF(Upgrades!$T$18="Open Cluster",POWER(Upgrades!$U$18,J329),1)*IF(Upgrades!$T$19="Open Cluster",POWER(Upgrades!$U$19,K329),1)*IF(Upgrades!$T$21="Open Cluster",POWER(Upgrades!$U$21,M329),1))+(IF(M329=0,0,(Upgrades!$M$21+M329*Upgrades!$N$21)*POWER(Upgrades!$O$21,M329)))*(IF(Upgrades!$T$13="Moving Group",POWER(Upgrades!$U$13,E329),1)*IF(Upgrades!$T$14="Moving Group",POWER(Upgrades!$U$14,F329),1)*IF(Upgrades!$T$15="Moving Group",POWER(Upgrades!$U$15,G329),1)*IF(Upgrades!$T$16="Moving Group",POWER(Upgrades!$U$16,H329),1)*IF(Upgrades!$T$17="Moving Group",POWER(Upgrades!$U$17,I329),1)*IF(Upgrades!$T$18="Moving Group",POWER(Upgrades!$U$18,J329),1)*IF(Upgrades!$T$19="Moving Group",POWER(Upgrades!$U$19,K329),1)*IF(Upgrades!$T$20="Moving Group",POWER(Upgrades!$U$20,L329),1)))*POWER(Upgrades!$R$13,E329)*POWER(Upgrades!$R$14,F329)*POWER(Upgrades!$R$15,G329)*POWER(Upgrades!$R$16,H329)*POWER(Upgrades!$R$17,I329)*POWER(Upgrades!$R$18,J329)*POWER(Upgrades!$R$19,K329)*POWER(Upgrades!$R$20,L329)*POWER(Upgrades!$R$21,M329)*$H$6+$E$6</f>
        <v/>
      </c>
      <c r="R329" s="27">
        <f>IF(N329=1,0,O329*Parameters!$B$10/60*Parameters!$B$11*10)</f>
        <v/>
      </c>
      <c r="S329" s="27">
        <f>IF(N329=1,0,Q329*O329*10)</f>
        <v/>
      </c>
      <c r="T329" s="27">
        <f>IF(N329=1,0,R329+S329+P329*10)</f>
        <v/>
      </c>
      <c r="U329" s="33">
        <f>BE329</f>
        <v/>
      </c>
      <c r="V329" s="22">
        <f>IF(U329="",0,IF(U329="transition",0,IF(U329="SK",AK329,IF(U329="LB",AL329,IF(U329="ML",AM329,IF(U329="RLO",AN329,IF(U329="BD",AO329,IF(U329="BiP",AP329,IF(U329="PV",AQ329,IF(U329="OC",AR329,IF(U329="MG",AS329,0))))))))))</f>
        <v/>
      </c>
      <c r="W329" s="27">
        <f>IF(U329="BiP",Upgrades!$F$18,IF(U329="PV",Upgrades!$F$19,IF(U329="OC",Upgrades!$F$20,IF(U329="MG",Upgrades!$F$21,IF(U329="transition",-Parameters!$B$18*Parameters!$B$19,0)))))</f>
        <v/>
      </c>
      <c r="X329" s="22">
        <f>C329+T329-V329</f>
        <v/>
      </c>
      <c r="Y329" s="30">
        <f>O329*Parameters!$B$10/60*Parameters!$B$11+Q329*O329+P329</f>
        <v/>
      </c>
      <c r="Z329" s="34">
        <f>IF(U329="transition","→ Tier 3 (Galactic Arm)",IF(U329="MG","Moving Group — pocket drifts together",IF(U329="OC","Open Cluster acquired",IF(U329="PV","Peculiar Velocity — passive multiplier active",IF(U329="BiP","Binary Partner — pair bond formed",IF(AND(AU329=1,N329=0,AT329&lt;&gt;1),"Cohesion ready (waiting on completionists)","")))))) </f>
        <v/>
      </c>
      <c r="AA329" s="27">
        <f>(IF(E329=0,0,(Upgrades!$G$13+E329*Upgrades!$H$13)*POWER(Upgrades!$I$13,E329)))*(IF(Upgrades!$T$14="Stellar Kinematics",POWER(Upgrades!$U$14,F329),1)*IF(Upgrades!$T$15="Stellar Kinematics",POWER(Upgrades!$U$15,G329),1)*IF(Upgrades!$T$16="Stellar Kinematics",POWER(Upgrades!$U$16,H329),1)*IF(Upgrades!$T$17="Stellar Kinematics",POWER(Upgrades!$U$17,I329),1)*IF(Upgrades!$T$18="Stellar Kinematics",POWER(Upgrades!$U$18,J329),1)*IF(Upgrades!$T$19="Stellar Kinematics",POWER(Upgrades!$U$19,K329),1)*IF(Upgrades!$T$20="Stellar Kinematics",POWER(Upgrades!$U$20,L329),1)*IF(Upgrades!$T$21="Stellar Kinematics",POWER(Upgrades!$U$21,M329),1))*POWER(Upgrades!$P$13,E329)*POWER(Upgrades!$P$14,F329)*POWER(Upgrades!$P$15,G329)*POWER(Upgrades!$P$16,H329)*POWER(Upgrades!$P$17,I329)*POWER(Upgrades!$P$18,J329)*POWER(Upgrades!$P$19,K329)*POWER(Upgrades!$P$20,L329)*POWER(Upgrades!$P$21,M329)*$F$6*60</f>
        <v/>
      </c>
      <c r="AB329" s="27">
        <f>(IF(F329=0,0,(Upgrades!$G$14+F329*Upgrades!$H$14)*POWER(Upgrades!$I$14,F329)))*(IF(Upgrades!$T$13="Local Bubble",POWER(Upgrades!$U$13,E329),1)*IF(Upgrades!$T$15="Local Bubble",POWER(Upgrades!$U$15,G329),1)*IF(Upgrades!$T$16="Local Bubble",POWER(Upgrades!$U$16,H329),1)*IF(Upgrades!$T$17="Local Bubble",POWER(Upgrades!$U$17,I329),1)*IF(Upgrades!$T$18="Local Bubble",POWER(Upgrades!$U$18,J329),1)*IF(Upgrades!$T$19="Local Bubble",POWER(Upgrades!$U$19,K329),1)*IF(Upgrades!$T$20="Local Bubble",POWER(Upgrades!$U$20,L329),1)*IF(Upgrades!$T$21="Local Bubble",POWER(Upgrades!$U$21,M329),1))*POWER(Upgrades!$P$13,E329)*POWER(Upgrades!$P$14,F329)*POWER(Upgrades!$P$15,G329)*POWER(Upgrades!$P$16,H329)*POWER(Upgrades!$P$17,I329)*POWER(Upgrades!$P$18,J329)*POWER(Upgrades!$P$19,K329)*POWER(Upgrades!$P$20,L329)*POWER(Upgrades!$P$21,M329)*$F$6*60</f>
        <v/>
      </c>
      <c r="AC329" s="27">
        <f>(IF(G329=0,0,(Upgrades!$J$15+G329*Upgrades!$K$15)*POWER(Upgrades!$L$15,G329)))*(IF(Upgrades!$T$13="Microlensing",POWER(Upgrades!$U$13,E329),1)*IF(Upgrades!$T$14="Microlensing",POWER(Upgrades!$U$14,F329),1)*IF(Upgrades!$T$16="Microlensing",POWER(Upgrades!$U$16,H329),1)*IF(Upgrades!$T$17="Microlensing",POWER(Upgrades!$U$17,I329),1)*IF(Upgrades!$T$18="Microlensing",POWER(Upgrades!$U$18,J329),1)*IF(Upgrades!$T$19="Microlensing",POWER(Upgrades!$U$19,K329),1)*IF(Upgrades!$T$20="Microlensing",POWER(Upgrades!$U$20,L329),1)*IF(Upgrades!$T$21="Microlensing",POWER(Upgrades!$U$21,M329),1))*POWER(Upgrades!$Q$13,E329)*POWER(Upgrades!$Q$14,F329)*POWER(Upgrades!$Q$15,G329)*POWER(Upgrades!$Q$16,H329)*POWER(Upgrades!$Q$17,I329)*POWER(Upgrades!$Q$18,J329)*POWER(Upgrades!$Q$19,K329)*POWER(Upgrades!$Q$20,L329)*POWER(Upgrades!$Q$21,M329)*$G$6*(Parameters!$B$10*Parameters!$B$11+Q329*60)</f>
        <v/>
      </c>
      <c r="AD329" s="27">
        <f>(IF(H329=0,0,(Upgrades!$M$16+H329*Upgrades!$N$16)*POWER(Upgrades!$O$16,H329)))*(IF(Upgrades!$T$13="Roche Lobe Overflow",POWER(Upgrades!$U$13,E329),1)*IF(Upgrades!$T$14="Roche Lobe Overflow",POWER(Upgrades!$U$14,F329),1)*IF(Upgrades!$T$15="Roche Lobe Overflow",POWER(Upgrades!$U$15,G329),1)*IF(Upgrades!$T$17="Roche Lobe Overflow",POWER(Upgrades!$U$17,I329),1)*IF(Upgrades!$T$18="Roche Lobe Overflow",POWER(Upgrades!$U$18,J329),1)*IF(Upgrades!$T$19="Roche Lobe Overflow",POWER(Upgrades!$U$19,K329),1)*IF(Upgrades!$T$20="Roche Lobe Overflow",POWER(Upgrades!$U$20,L329),1)*IF(Upgrades!$T$21="Roche Lobe Overflow",POWER(Upgrades!$U$21,M329),1))*POWER(Upgrades!$R$13,E329)*POWER(Upgrades!$R$14,F329)*POWER(Upgrades!$R$15,G329)*POWER(Upgrades!$R$16,H329)*POWER(Upgrades!$R$17,I329)*POWER(Upgrades!$R$18,J329)*POWER(Upgrades!$R$19,K329)*POWER(Upgrades!$R$20,L329)*POWER(Upgrades!$R$21,M329)*$H$6*O329*60</f>
        <v/>
      </c>
      <c r="AE329" s="27">
        <f>(IF(I329=0,0,(Upgrades!$G$17+I329*Upgrades!$H$17)*POWER(Upgrades!$I$17,I329)))*(IF(Upgrades!$T$13="Brown Dwarf",POWER(Upgrades!$U$13,E329),1)*IF(Upgrades!$T$14="Brown Dwarf",POWER(Upgrades!$U$14,F329),1)*IF(Upgrades!$T$15="Brown Dwarf",POWER(Upgrades!$U$15,G329),1)*IF(Upgrades!$T$16="Brown Dwarf",POWER(Upgrades!$U$16,H329),1)*IF(Upgrades!$T$18="Brown Dwarf",POWER(Upgrades!$U$18,J329),1)*IF(Upgrades!$T$19="Brown Dwarf",POWER(Upgrades!$U$19,K329),1)*IF(Upgrades!$T$20="Brown Dwarf",POWER(Upgrades!$U$20,L329),1)*IF(Upgrades!$T$21="Brown Dwarf",POWER(Upgrades!$U$21,M329),1))*POWER(Upgrades!$P$13,E329)*POWER(Upgrades!$P$14,F329)*POWER(Upgrades!$P$15,G329)*POWER(Upgrades!$P$16,H329)*POWER(Upgrades!$P$17,I329)*POWER(Upgrades!$P$18,J329)*POWER(Upgrades!$P$19,K329)*POWER(Upgrades!$P$20,L329)*POWER(Upgrades!$P$21,M329)*$F$6*60</f>
        <v/>
      </c>
      <c r="AF329" s="27" t="n">
        <v>0</v>
      </c>
      <c r="AG329" s="27" t="n">
        <v>0</v>
      </c>
      <c r="AH329" s="27" t="n">
        <v>0</v>
      </c>
      <c r="AI329" s="27">
        <f>(IF(M329=0,0,(Upgrades!$G$21+M329*Upgrades!$H$21)*POWER(Upgrades!$I$21,M329)))*(IF(Upgrades!$T$13="Moving Group",POWER(Upgrades!$U$13,E329),1)*IF(Upgrades!$T$14="Moving Group",POWER(Upgrades!$U$14,F329),1)*IF(Upgrades!$T$15="Moving Group",POWER(Upgrades!$U$15,G329),1)*IF(Upgrades!$T$16="Moving Group",POWER(Upgrades!$U$16,H329),1)*IF(Upgrades!$T$17="Moving Group",POWER(Upgrades!$U$17,I329),1)*IF(Upgrades!$T$18="Moving Group",POWER(Upgrades!$U$18,J329),1)*IF(Upgrades!$T$19="Moving Group",POWER(Upgrades!$U$19,K329),1)*IF(Upgrades!$T$20="Moving Group",POWER(Upgrades!$U$20,L329),1))*POWER(Upgrades!$P$13,E329)*POWER(Upgrades!$P$14,F329)*POWER(Upgrades!$P$15,G329)*POWER(Upgrades!$P$16,H329)*POWER(Upgrades!$P$17,I329)*POWER(Upgrades!$P$18,J329)*POWER(Upgrades!$P$19,K329)*POWER(Upgrades!$P$20,L329)*POWER(Upgrades!$P$21,M329)*$F$6*60</f>
        <v/>
      </c>
      <c r="AJ329" s="27">
        <f>$C$6*60</f>
        <v/>
      </c>
      <c r="AK329" s="22">
        <f>IF(E329&gt;=Upgrades!$E$13,"",Upgrades!$C$13*POWER(Upgrades!$D$13,E329))</f>
        <v/>
      </c>
      <c r="AL329" s="22">
        <f>IF(F329&gt;=Upgrades!$E$14,"",Upgrades!$C$14*POWER(Upgrades!$D$14,F329))</f>
        <v/>
      </c>
      <c r="AM329" s="22">
        <f>IF(G329&gt;=Upgrades!$E$15,"",Upgrades!$C$15*POWER(Upgrades!$D$15,G329))</f>
        <v/>
      </c>
      <c r="AN329" s="22">
        <f>IF(H329&gt;=Upgrades!$E$16,"",Upgrades!$C$16*POWER(Upgrades!$D$16,H329))</f>
        <v/>
      </c>
      <c r="AO329" s="22">
        <f>IF(I329&gt;=Upgrades!$E$17,"",Upgrades!$C$17*POWER(Upgrades!$D$17,I329))</f>
        <v/>
      </c>
      <c r="AP329" s="22">
        <f>IF(J329&gt;=Upgrades!$E$18,"",Upgrades!$C$18*POWER(Upgrades!$D$18,J329))</f>
        <v/>
      </c>
      <c r="AQ329" s="22">
        <f>IF(K329&gt;=Upgrades!$E$19,"",Upgrades!$C$19*POWER(Upgrades!$D$19,K329))</f>
        <v/>
      </c>
      <c r="AR329" s="22">
        <f>IF(L329&gt;=Upgrades!$E$20,"",Upgrades!$C$20*POWER(Upgrades!$D$20,L329))</f>
        <v/>
      </c>
      <c r="AS329" s="22">
        <f>IF(M329&gt;=Upgrades!$E$21,"",Upgrades!$C$21*POWER(Upgrades!$D$21,M329))</f>
        <v/>
      </c>
      <c r="AT329" s="26">
        <f>IF(AND(D329&gt;=Parameters!$B$18*Parameters!$B$19,(I329&gt;=Upgrades!$E$17)*(M329&gt;=Upgrades!$E$21)=1,N329=0),1,"")</f>
        <v/>
      </c>
      <c r="AU329" s="26">
        <f>IF(AND(D329&gt;=Parameters!$B$18*Parameters!$B$19,N329=0),1,"")</f>
        <v/>
      </c>
      <c r="AV329" s="22">
        <f>MIN(IF(ISNUMBER(AP329),AP329,9E15),IF(ISNUMBER(AQ329),AQ329,9E15),IF(ISNUMBER(AR329),AR329,9E15),IF(ISNUMBER(AS329),AS329,9E15))</f>
        <v/>
      </c>
      <c r="AW329" s="22">
        <f>MIN(IF(ISNUMBER(AK329),AK329,9E15),IF(ISNUMBER(AL329),AL329,9E15),IF(ISNUMBER(AM329),AM329,9E15),IF(ISNUMBER(AN329),AN329,9E15),IF(ISNUMBER(AO329),AO329,9E15))</f>
        <v/>
      </c>
      <c r="AX329" s="29">
        <f>IF(BD329&gt;Parameters!$B$21*(MAX(IF(AND(NOT(AND(AU329=1,AT329&lt;&gt;1)),ISNUMBER(AK329),AK329&lt;=(C329+T329)),AY329,0),IF(AND(NOT(AND(AU329=1,AT329&lt;&gt;1)),ISNUMBER(AL329),AL329&lt;=(C329+T329)),AZ329,0),IF(AND(NOT(AND(AU329=1,AT329&lt;&gt;1)),ISNUMBER(AM329),AM329&lt;=(C329+T329)),BA329,0),IF(AND(NOT(AND(AU329=1,AT329&lt;&gt;1)),ISNUMBER(AN329),AN329&lt;=(C329+T329)),BB329,0),IF(AND(ISNUMBER(AO329),AO329&lt;=(C329+T329)),BC329,0))),TRUE,FALSE)</f>
        <v/>
      </c>
      <c r="AY329" s="32">
        <f>IFERROR(Upgrades!$H$13*(POWER(Upgrades!$P$13,E329)*POWER(Upgrades!$P$14,F329)*POWER(Upgrades!$P$15,G329)*POWER(Upgrades!$P$16,H329)*POWER(Upgrades!$P$17,I329)*POWER(Upgrades!$P$18,J329)*POWER(Upgrades!$P$19,K329)*POWER(Upgrades!$P$20,L329)*POWER(Upgrades!$P$21,M329))*(IF(Upgrades!$T$14="Stellar Kinematics",POWER(Upgrades!$U$14,F329),1)*IF(Upgrades!$T$15="Stellar Kinematics",POWER(Upgrades!$U$15,G329),1)*IF(Upgrades!$T$16="Stellar Kinematics",POWER(Upgrades!$U$16,H329),1)*IF(Upgrades!$T$17="Stellar Kinematics",POWER(Upgrades!$U$17,I329),1)*IF(Upgrades!$T$18="Stellar Kinematics",POWER(Upgrades!$U$18,J329),1)*IF(Upgrades!$T$19="Stellar Kinematics",POWER(Upgrades!$U$19,K329),1)*IF(Upgrades!$T$20="Stellar Kinematics",POWER(Upgrades!$U$20,L329),1)*IF(Upgrades!$T$21="Stellar Kinematics",POWER(Upgrades!$U$21,M329),1))*$F$6/AK329,0)</f>
        <v/>
      </c>
      <c r="AZ329" s="32">
        <f>IFERROR(Upgrades!$H$14*(POWER(Upgrades!$P$13,E329)*POWER(Upgrades!$P$14,F329)*POWER(Upgrades!$P$15,G329)*POWER(Upgrades!$P$16,H329)*POWER(Upgrades!$P$17,I329)*POWER(Upgrades!$P$18,J329)*POWER(Upgrades!$P$19,K329)*POWER(Upgrades!$P$20,L329)*POWER(Upgrades!$P$21,M329))*(IF(Upgrades!$T$13="Local Bubble",POWER(Upgrades!$U$13,E329),1)*IF(Upgrades!$T$15="Local Bubble",POWER(Upgrades!$U$15,G329),1)*IF(Upgrades!$T$16="Local Bubble",POWER(Upgrades!$U$16,H329),1)*IF(Upgrades!$T$17="Local Bubble",POWER(Upgrades!$U$17,I329),1)*IF(Upgrades!$T$18="Local Bubble",POWER(Upgrades!$U$18,J329),1)*IF(Upgrades!$T$19="Local Bubble",POWER(Upgrades!$U$19,K329),1)*IF(Upgrades!$T$20="Local Bubble",POWER(Upgrades!$U$20,L329),1)*IF(Upgrades!$T$21="Local Bubble",POWER(Upgrades!$U$21,M329),1))*$F$6/AL329,0)</f>
        <v/>
      </c>
      <c r="BA329" s="32">
        <f>IFERROR(Upgrades!$K$15*(POWER(Upgrades!$Q$13,E329)*POWER(Upgrades!$Q$14,F329)*POWER(Upgrades!$Q$15,G329)*POWER(Upgrades!$Q$16,H329)*POWER(Upgrades!$Q$17,I329)*POWER(Upgrades!$Q$18,J329)*POWER(Upgrades!$Q$19,K329)*POWER(Upgrades!$Q$20,L329)*POWER(Upgrades!$Q$21,M329))*(IF(Upgrades!$T$13="Microlensing",POWER(Upgrades!$U$13,E329),1)*IF(Upgrades!$T$14="Microlensing",POWER(Upgrades!$U$14,F329),1)*IF(Upgrades!$T$16="Microlensing",POWER(Upgrades!$U$16,H329),1)*IF(Upgrades!$T$17="Microlensing",POWER(Upgrades!$U$17,I329),1)*IF(Upgrades!$T$18="Microlensing",POWER(Upgrades!$U$18,J329),1)*IF(Upgrades!$T$19="Microlensing",POWER(Upgrades!$U$19,K329),1)*IF(Upgrades!$T$20="Microlensing",POWER(Upgrades!$U$20,L329),1)*IF(Upgrades!$T$21="Microlensing",POWER(Upgrades!$U$21,M329),1))*$G$6*(Parameters!$B$10/60*Parameters!$B$11+Q329)/AM329,0)</f>
        <v/>
      </c>
      <c r="BB329" s="32">
        <f>IFERROR((Upgrades!$N$16*(POWER(Upgrades!$R$13,E329)*POWER(Upgrades!$R$14,F329)*POWER(Upgrades!$R$15,G329)*POWER(Upgrades!$R$16,H329)*POWER(Upgrades!$R$17,I329)*POWER(Upgrades!$R$18,J329)*POWER(Upgrades!$R$19,K329)*POWER(Upgrades!$R$20,L329)*POWER(Upgrades!$R$21,M329))*(IF(Upgrades!$T$13="Roche Lobe Overflow",POWER(Upgrades!$U$13,E329),1)*IF(Upgrades!$T$14="Roche Lobe Overflow",POWER(Upgrades!$U$14,F329),1)*IF(Upgrades!$T$15="Roche Lobe Overflow",POWER(Upgrades!$U$15,G329),1)*IF(Upgrades!$T$17="Roche Lobe Overflow",POWER(Upgrades!$U$17,I329),1)*IF(Upgrades!$T$18="Roche Lobe Overflow",POWER(Upgrades!$U$18,J329),1)*IF(Upgrades!$T$19="Roche Lobe Overflow",POWER(Upgrades!$U$19,K329),1)*IF(Upgrades!$T$20="Roche Lobe Overflow",POWER(Upgrades!$U$20,L329),1)*IF(Upgrades!$T$21="Roche Lobe Overflow",POWER(Upgrades!$U$21,M329),1))*$H$6*O329+((IF(F329=0,0,(Upgrades!$G$14+F329*Upgrades!$H$14)*POWER(Upgrades!$I$14,F329)))*(IF(Upgrades!$T$13="Local Bubble",POWER(Upgrades!$U$13,E329),1)*IF(Upgrades!$T$15="Local Bubble",POWER(Upgrades!$U$15,G329),1)*IF(Upgrades!$T$16="Local Bubble",POWER(Upgrades!$U$16,H329),1)*IF(Upgrades!$T$17="Local Bubble",POWER(Upgrades!$U$17,I329),1)*IF(Upgrades!$T$18="Local Bubble",POWER(Upgrades!$U$18,J329),1)*IF(Upgrades!$T$19="Local Bubble",POWER(Upgrades!$U$19,K329),1)*IF(Upgrades!$T$20="Local Bubble",POWER(Upgrades!$U$20,L329),1)*IF(Upgrades!$T$21="Local Bubble",POWER(Upgrades!$U$21,M329),1))*POWER(Upgrades!$P$13,E329)*POWER(Upgrades!$P$14,F329)*POWER(Upgrades!$P$15,G329)*POWER(Upgrades!$P$16,H329)*POWER(Upgrades!$P$17,I329)*POWER(Upgrades!$P$18,J329)*POWER(Upgrades!$P$19,K329)*POWER(Upgrades!$P$20,L329)*POWER(Upgrades!$P$21,M329)*$F$6)*0.05)/AN329,0)</f>
        <v/>
      </c>
      <c r="BC329" s="32">
        <f>IFERROR((Upgrades!$H$17*(POWER(Upgrades!$P$13,E329)*POWER(Upgrades!$P$14,F329)*POWER(Upgrades!$P$15,G329)*POWER(Upgrades!$P$16,H329)*POWER(Upgrades!$P$17,I329)*POWER(Upgrades!$P$18,J329)*POWER(Upgrades!$P$19,K329)*POWER(Upgrades!$P$20,L329)*POWER(Upgrades!$P$21,M329))*(IF(Upgrades!$T$13="Brown Dwarf",POWER(Upgrades!$U$13,E329),1)*IF(Upgrades!$T$14="Brown Dwarf",POWER(Upgrades!$U$14,F329),1)*IF(Upgrades!$T$15="Brown Dwarf",POWER(Upgrades!$U$15,G329),1)*IF(Upgrades!$T$16="Brown Dwarf",POWER(Upgrades!$U$16,H329),1)*IF(Upgrades!$T$18="Brown Dwarf",POWER(Upgrades!$U$18,J329),1)*IF(Upgrades!$T$19="Brown Dwarf",POWER(Upgrades!$U$19,K329),1)*IF(Upgrades!$T$20="Brown Dwarf",POWER(Upgrades!$U$20,L329),1)*IF(Upgrades!$T$21="Brown Dwarf",POWER(Upgrades!$U$21,M329),1))*$F$6+(((IF(H329=0,0,(Upgrades!$M$16+H329*Upgrades!$N$16)*POWER(Upgrades!$O$16,H329)))*(IF(Upgrades!$T$13="Roche Lobe Overflow",POWER(Upgrades!$U$13,E329),1)*IF(Upgrades!$T$14="Roche Lobe Overflow",POWER(Upgrades!$U$14,F329),1)*IF(Upgrades!$T$15="Roche Lobe Overflow",POWER(Upgrades!$U$15,G329),1)*IF(Upgrades!$T$17="Roche Lobe Overflow",POWER(Upgrades!$U$17,I329),1)*IF(Upgrades!$T$18="Roche Lobe Overflow",POWER(Upgrades!$U$18,J329),1)*IF(Upgrades!$T$19="Roche Lobe Overflow",POWER(Upgrades!$U$19,K329),1)*IF(Upgrades!$T$20="Roche Lobe Overflow",POWER(Upgrades!$U$20,L329),1)*IF(Upgrades!$T$21="Roche Lobe Overflow",POWER(Upgrades!$U$21,M329),1))*POWER(Upgrades!$R$13,E329)*POWER(Upgrades!$R$14,F329)*POWER(Upgrades!$R$15,G329)*POWER(Upgrades!$R$16,H329)*POWER(Upgrades!$R$17,I329)*POWER(Upgrades!$R$18,J329)*POWER(Upgrades!$R$19,K329)*POWER(Upgrades!$R$20,L329)*POWER(Upgrades!$R$21,M329)*$H$6)*O329)*0.10)/AO329,0)</f>
        <v/>
      </c>
      <c r="BD329" s="32">
        <f>MAX(IF(J329&gt;0,0,IFERROR(0.5*((IF(G329=0,0,(Upgrades!$J$15+G329*Upgrades!$K$15)*POWER(Upgrades!$L$15,G329)))*(IF(Upgrades!$T$13="Microlensing",POWER(Upgrades!$U$13,E329),1)*IF(Upgrades!$T$14="Microlensing",POWER(Upgrades!$U$14,F329),1)*IF(Upgrades!$T$16="Microlensing",POWER(Upgrades!$U$16,H329),1)*IF(Upgrades!$T$17="Microlensing",POWER(Upgrades!$U$17,I329),1)*IF(Upgrades!$T$18="Microlensing",POWER(Upgrades!$U$18,J329),1)*IF(Upgrades!$T$19="Microlensing",POWER(Upgrades!$U$19,K329),1)*IF(Upgrades!$T$20="Microlensing",POWER(Upgrades!$U$20,L329),1)*IF(Upgrades!$T$21="Microlensing",POWER(Upgrades!$U$21,M329),1))*(POWER(Upgrades!$Q$13,E329)*POWER(Upgrades!$Q$14,F329)*POWER(Upgrades!$Q$15,G329)*POWER(Upgrades!$Q$16,H329)*POWER(Upgrades!$Q$17,I329)*POWER(Upgrades!$Q$18,J329)*POWER(Upgrades!$Q$19,K329)*POWER(Upgrades!$Q$20,L329)*POWER(Upgrades!$Q$21,M329))*$G$6*(Parameters!$B$10/60*Parameters!$B$11+Q329))/Upgrades!$C$18,0)),IF(K329&gt;0,0,IFERROR(0.30*P329/Upgrades!$C$19,0)),IF(L329&gt;0,0,IFERROR(0.0001/Upgrades!$C$20,0)),IF(M329&gt;0,0,IFERROR((6.0*(POWER(Upgrades!$P$13,E329)*POWER(Upgrades!$P$14,F329)*POWER(Upgrades!$P$15,G329)*POWER(Upgrades!$P$16,H329)*POWER(Upgrades!$P$17,I329)*POWER(Upgrades!$P$18,J329)*POWER(Upgrades!$P$19,K329)*POWER(Upgrades!$P$20,L329)*POWER(Upgrades!$P$21,M329))*$F$6+0.20*O329*(Parameters!$B$10/60*Parameters!$B$11+Q329))/Upgrades!$C$21,0)),IF(AND(ISNUMBER(AK329),AK329&gt;(C329+T329)),AY329,0),IF(AND(ISNUMBER(AL329),AL329&gt;(C329+T329)),AZ329,0),IF(AND(ISNUMBER(AM329),AM329&gt;(C329+T329)),BA329,0),IF(AND(ISNUMBER(AN329),AN329&gt;(C329+T329)),BB329,0),IF(AND(ISNUMBER(AO329),AO329&gt;(C329+T329)),BC329,0))</f>
        <v/>
      </c>
      <c r="BE329" s="29">
        <f>IF(AT329=1,"transition",IF(MIN(IF(AND(J329=0,ISNUMBER(AP329),AP329&lt;=(C329+T329)),AP329,9E15),IF(AND(K329=0,ISNUMBER(AQ329),AQ329&lt;=(C329+T329)),AQ329,9E15),IF(AND(L329=0,ISNUMBER(AR329),AR329&lt;=(C329+T329)),AR329,9E15),IF(AND(M329=0,ISNUMBER(AS329),AS329&lt;=(C329+T329)),AS329,9E15))&lt;9E15,IF(AND(AND(J329=0,ISNUMBER(AP329),AP329&lt;=(C329+T329)),AP329=MIN(IF(AND(J329=0,ISNUMBER(AP329),AP329&lt;=(C329+T329)),AP329,9E15),IF(AND(K329=0,ISNUMBER(AQ329),AQ329&lt;=(C329+T329)),AQ329,9E15),IF(AND(L329=0,ISNUMBER(AR329),AR329&lt;=(C329+T329)),AR329,9E15),IF(AND(M329=0,ISNUMBER(AS329),AS329&lt;=(C329+T329)),AS329,9E15))),"BiP",IF(AND(AND(K329=0,ISNUMBER(AQ329),AQ329&lt;=(C329+T329)),AQ329=MIN(IF(AND(J329=0,ISNUMBER(AP329),AP329&lt;=(C329+T329)),AP329,9E15),IF(AND(K329=0,ISNUMBER(AQ329),AQ329&lt;=(C329+T329)),AQ329,9E15),IF(AND(L329=0,ISNUMBER(AR329),AR329&lt;=(C329+T329)),AR329,9E15),IF(AND(M329=0,ISNUMBER(AS329),AS329&lt;=(C329+T329)),AS329,9E15))),"PV",IF(AND(AND(L329=0,ISNUMBER(AR329),AR329&lt;=(C329+T329)),AR329=MIN(IF(AND(J329=0,ISNUMBER(AP329),AP329&lt;=(C329+T329)),AP329,9E15),IF(AND(K329=0,ISNUMBER(AQ329),AQ329&lt;=(C329+T329)),AQ329,9E15),IF(AND(L329=0,ISNUMBER(AR329),AR329&lt;=(C329+T329)),AR329,9E15),IF(AND(M329=0,ISNUMBER(AS329),AS329&lt;=(C329+T329)),AS329,9E15))),"OC","MG"))),IF(AX329=TRUE,"",IF(MAX(IF(AND(NOT(AND(AU329=1,AT329&lt;&gt;1)),ISNUMBER(AK329),AK329&lt;=(C329+T329)),AY329,0),IF(AND(NOT(AND(AU329=1,AT329&lt;&gt;1)),ISNUMBER(AL329),AL329&lt;=(C329+T329)),AZ329,0),IF(AND(NOT(AND(AU329=1,AT329&lt;&gt;1)),ISNUMBER(AM329),AM329&lt;=(C329+T329)),BA329,0),IF(AND(NOT(AND(AU329=1,AT329&lt;&gt;1)),ISNUMBER(AN329),AN329&lt;=(C329+T329)),BB329,0),IF(AND(ISNUMBER(AO329),AO329&lt;=(C329+T329)),BC329,0))&lt;=0,"",IF(AND(IF(AND(NOT(AND(AU329=1,AT329&lt;&gt;1)),ISNUMBER(AK329),AK329&lt;=(C329+T329)),AY329,0)&gt;0,IF(AND(NOT(AND(AU329=1,AT329&lt;&gt;1)),ISNUMBER(AK329),AK329&lt;=(C329+T329)),AY329,0)=MAX(IF(AND(NOT(AND(AU329=1,AT329&lt;&gt;1)),ISNUMBER(AK329),AK329&lt;=(C329+T329)),AY329,0),IF(AND(NOT(AND(AU329=1,AT329&lt;&gt;1)),ISNUMBER(AL329),AL329&lt;=(C329+T329)),AZ329,0),IF(AND(NOT(AND(AU329=1,AT329&lt;&gt;1)),ISNUMBER(AM329),AM329&lt;=(C329+T329)),BA329,0),IF(AND(NOT(AND(AU329=1,AT329&lt;&gt;1)),ISNUMBER(AN329),AN329&lt;=(C329+T329)),BB329,0),IF(AND(ISNUMBER(AO329),AO329&lt;=(C329+T329)),BC329,0))),"SK",IF(AND(IF(AND(NOT(AND(AU329=1,AT329&lt;&gt;1)),ISNUMBER(AL329),AL329&lt;=(C329+T329)),AZ329,0)&gt;0,IF(AND(NOT(AND(AU329=1,AT329&lt;&gt;1)),ISNUMBER(AL329),AL329&lt;=(C329+T329)),AZ329,0)=MAX(IF(AND(NOT(AND(AU329=1,AT329&lt;&gt;1)),ISNUMBER(AK329),AK329&lt;=(C329+T329)),AY329,0),IF(AND(NOT(AND(AU329=1,AT329&lt;&gt;1)),ISNUMBER(AL329),AL329&lt;=(C329+T329)),AZ329,0),IF(AND(NOT(AND(AU329=1,AT329&lt;&gt;1)),ISNUMBER(AM329),AM329&lt;=(C329+T329)),BA329,0),IF(AND(NOT(AND(AU329=1,AT329&lt;&gt;1)),ISNUMBER(AN329),AN329&lt;=(C329+T329)),BB329,0),IF(AND(ISNUMBER(AO329),AO329&lt;=(C329+T329)),BC329,0))),"LB",IF(AND(IF(AND(NOT(AND(AU329=1,AT329&lt;&gt;1)),ISNUMBER(AM329),AM329&lt;=(C329+T329)),BA329,0)&gt;0,IF(AND(NOT(AND(AU329=1,AT329&lt;&gt;1)),ISNUMBER(AM329),AM329&lt;=(C329+T329)),BA329,0)=MAX(IF(AND(NOT(AND(AU329=1,AT329&lt;&gt;1)),ISNUMBER(AK329),AK329&lt;=(C329+T329)),AY329,0),IF(AND(NOT(AND(AU329=1,AT329&lt;&gt;1)),ISNUMBER(AL329),AL329&lt;=(C329+T329)),AZ329,0),IF(AND(NOT(AND(AU329=1,AT329&lt;&gt;1)),ISNUMBER(AM329),AM329&lt;=(C329+T329)),BA329,0),IF(AND(NOT(AND(AU329=1,AT329&lt;&gt;1)),ISNUMBER(AN329),AN329&lt;=(C329+T329)),BB329,0),IF(AND(ISNUMBER(AO329),AO329&lt;=(C329+T329)),BC329,0))),"ML",IF(AND(IF(AND(NOT(AND(AU329=1,AT329&lt;&gt;1)),ISNUMBER(AN329),AN329&lt;=(C329+T329)),BB329,0)&gt;0,IF(AND(NOT(AND(AU329=1,AT329&lt;&gt;1)),ISNUMBER(AN329),AN329&lt;=(C329+T329)),BB329,0)=MAX(IF(AND(NOT(AND(AU329=1,AT329&lt;&gt;1)),ISNUMBER(AK329),AK329&lt;=(C329+T329)),AY329,0),IF(AND(NOT(AND(AU329=1,AT329&lt;&gt;1)),ISNUMBER(AL329),AL329&lt;=(C329+T329)),AZ329,0),IF(AND(NOT(AND(AU329=1,AT329&lt;&gt;1)),ISNUMBER(AM329),AM329&lt;=(C329+T329)),BA329,0),IF(AND(NOT(AND(AU329=1,AT329&lt;&gt;1)),ISNUMBER(AN329),AN329&lt;=(C329+T329)),BB329,0),IF(AND(ISNUMBER(AO329),AO329&lt;=(C329+T329)),BC329,0))),"RLO","BD"))))))))</f>
        <v/>
      </c>
    </row>
    <row r="330">
      <c r="A330" s="26" t="n">
        <v>319</v>
      </c>
      <c r="B330" s="27">
        <f>A330*10/60</f>
        <v/>
      </c>
      <c r="C330" s="22">
        <f>X329</f>
        <v/>
      </c>
      <c r="D330" s="27">
        <f>D329+W329</f>
        <v/>
      </c>
      <c r="E330" s="26">
        <f>E329+IF(U329="SK",1,0)</f>
        <v/>
      </c>
      <c r="F330" s="26">
        <f>F329+IF(U329="LB",1,0)</f>
        <v/>
      </c>
      <c r="G330" s="26">
        <f>G329+IF(U329="ML",1,0)</f>
        <v/>
      </c>
      <c r="H330" s="26">
        <f>H329+IF(U329="RLO",1,0)</f>
        <v/>
      </c>
      <c r="I330" s="26">
        <f>I329+IF(U329="BD",1,0)</f>
        <v/>
      </c>
      <c r="J330" s="26">
        <f>MAX(J329,IF(U329="BiP",1,0))</f>
        <v/>
      </c>
      <c r="K330" s="26">
        <f>MAX(K329,IF(U329="PV",1,0))</f>
        <v/>
      </c>
      <c r="L330" s="26">
        <f>MAX(L329,IF(U329="OC",1,0))</f>
        <v/>
      </c>
      <c r="M330" s="26">
        <f>MAX(M329,IF(U329="MG",1,0))</f>
        <v/>
      </c>
      <c r="N330" s="26">
        <f>MAX(N329,IF(U329="transition",1,0))</f>
        <v/>
      </c>
      <c r="O330" s="28">
        <f>(Parameters!$B$9+(IF(E330=0,0,(Upgrades!$J$13+E330*Upgrades!$K$13)*POWER(Upgrades!$L$13,E330)))*(IF(Upgrades!$T$14="Stellar Kinematics",POWER(Upgrades!$U$14,F330),1)*IF(Upgrades!$T$15="Stellar Kinematics",POWER(Upgrades!$U$15,G330),1)*IF(Upgrades!$T$16="Stellar Kinematics",POWER(Upgrades!$U$16,H330),1)*IF(Upgrades!$T$17="Stellar Kinematics",POWER(Upgrades!$U$17,I330),1)*IF(Upgrades!$T$18="Stellar Kinematics",POWER(Upgrades!$U$18,J330),1)*IF(Upgrades!$T$19="Stellar Kinematics",POWER(Upgrades!$U$19,K330),1)*IF(Upgrades!$T$20="Stellar Kinematics",POWER(Upgrades!$U$20,L330),1)*IF(Upgrades!$T$21="Stellar Kinematics",POWER(Upgrades!$U$21,M330),1))+(IF(F330=0,0,(Upgrades!$J$14+F330*Upgrades!$K$14)*POWER(Upgrades!$L$14,F330)))*(IF(Upgrades!$T$13="Local Bubble",POWER(Upgrades!$U$13,E330),1)*IF(Upgrades!$T$15="Local Bubble",POWER(Upgrades!$U$15,G330),1)*IF(Upgrades!$T$16="Local Bubble",POWER(Upgrades!$U$16,H330),1)*IF(Upgrades!$T$17="Local Bubble",POWER(Upgrades!$U$17,I330),1)*IF(Upgrades!$T$18="Local Bubble",POWER(Upgrades!$U$18,J330),1)*IF(Upgrades!$T$19="Local Bubble",POWER(Upgrades!$U$19,K330),1)*IF(Upgrades!$T$20="Local Bubble",POWER(Upgrades!$U$20,L330),1)*IF(Upgrades!$T$21="Local Bubble",POWER(Upgrades!$U$21,M330),1))+(IF(G330=0,0,(Upgrades!$J$15+G330*Upgrades!$K$15)*POWER(Upgrades!$L$15,G330)))*(IF(Upgrades!$T$13="Microlensing",POWER(Upgrades!$U$13,E330),1)*IF(Upgrades!$T$14="Microlensing",POWER(Upgrades!$U$14,F330),1)*IF(Upgrades!$T$16="Microlensing",POWER(Upgrades!$U$16,H330),1)*IF(Upgrades!$T$17="Microlensing",POWER(Upgrades!$U$17,I330),1)*IF(Upgrades!$T$18="Microlensing",POWER(Upgrades!$U$18,J330),1)*IF(Upgrades!$T$19="Microlensing",POWER(Upgrades!$U$19,K330),1)*IF(Upgrades!$T$20="Microlensing",POWER(Upgrades!$U$20,L330),1)*IF(Upgrades!$T$21="Microlensing",POWER(Upgrades!$U$21,M330),1))+(IF(H330=0,0,(Upgrades!$J$16+H330*Upgrades!$K$16)*POWER(Upgrades!$L$16,H330)))*(IF(Upgrades!$T$13="Roche Lobe Overflow",POWER(Upgrades!$U$13,E330),1)*IF(Upgrades!$T$14="Roche Lobe Overflow",POWER(Upgrades!$U$14,F330),1)*IF(Upgrades!$T$15="Roche Lobe Overflow",POWER(Upgrades!$U$15,G330),1)*IF(Upgrades!$T$17="Roche Lobe Overflow",POWER(Upgrades!$U$17,I330),1)*IF(Upgrades!$T$18="Roche Lobe Overflow",POWER(Upgrades!$U$18,J330),1)*IF(Upgrades!$T$19="Roche Lobe Overflow",POWER(Upgrades!$U$19,K330),1)*IF(Upgrades!$T$20="Roche Lobe Overflow",POWER(Upgrades!$U$20,L330),1)*IF(Upgrades!$T$21="Roche Lobe Overflow",POWER(Upgrades!$U$21,M330),1))+(IF(I330=0,0,(Upgrades!$J$17+I330*Upgrades!$K$17)*POWER(Upgrades!$L$17,I330)))*(IF(Upgrades!$T$13="Brown Dwarf",POWER(Upgrades!$U$13,E330),1)*IF(Upgrades!$T$14="Brown Dwarf",POWER(Upgrades!$U$14,F330),1)*IF(Upgrades!$T$15="Brown Dwarf",POWER(Upgrades!$U$15,G330),1)*IF(Upgrades!$T$16="Brown Dwarf",POWER(Upgrades!$U$16,H330),1)*IF(Upgrades!$T$18="Brown Dwarf",POWER(Upgrades!$U$18,J330),1)*IF(Upgrades!$T$19="Brown Dwarf",POWER(Upgrades!$U$19,K330),1)*IF(Upgrades!$T$20="Brown Dwarf",POWER(Upgrades!$U$20,L330),1)*IF(Upgrades!$T$21="Brown Dwarf",POWER(Upgrades!$U$21,M330),1))+(IF(J330=0,0,(Upgrades!$J$18+J330*Upgrades!$K$18)*POWER(Upgrades!$L$18,J330)))*(IF(Upgrades!$T$13="Binary Partner",POWER(Upgrades!$U$13,E330),1)*IF(Upgrades!$T$14="Binary Partner",POWER(Upgrades!$U$14,F330),1)*IF(Upgrades!$T$15="Binary Partner",POWER(Upgrades!$U$15,G330),1)*IF(Upgrades!$T$16="Binary Partner",POWER(Upgrades!$U$16,H330),1)*IF(Upgrades!$T$17="Binary Partner",POWER(Upgrades!$U$17,I330),1)*IF(Upgrades!$T$19="Binary Partner",POWER(Upgrades!$U$19,K330),1)*IF(Upgrades!$T$20="Binary Partner",POWER(Upgrades!$U$20,L330),1)*IF(Upgrades!$T$21="Binary Partner",POWER(Upgrades!$U$21,M330),1))+(IF(K330=0,0,(Upgrades!$J$19+K330*Upgrades!$K$19)*POWER(Upgrades!$L$19,K330)))*(IF(Upgrades!$T$13="Peculiar Velocity",POWER(Upgrades!$U$13,E330),1)*IF(Upgrades!$T$14="Peculiar Velocity",POWER(Upgrades!$U$14,F330),1)*IF(Upgrades!$T$15="Peculiar Velocity",POWER(Upgrades!$U$15,G330),1)*IF(Upgrades!$T$16="Peculiar Velocity",POWER(Upgrades!$U$16,H330),1)*IF(Upgrades!$T$17="Peculiar Velocity",POWER(Upgrades!$U$17,I330),1)*IF(Upgrades!$T$18="Peculiar Velocity",POWER(Upgrades!$U$18,J330),1)*IF(Upgrades!$T$20="Peculiar Velocity",POWER(Upgrades!$U$20,L330),1)*IF(Upgrades!$T$21="Peculiar Velocity",POWER(Upgrades!$U$21,M330),1))+(IF(L330=0,0,(Upgrades!$J$20+L330*Upgrades!$K$20)*POWER(Upgrades!$L$20,L330)))*(IF(Upgrades!$T$13="Open Cluster",POWER(Upgrades!$U$13,E330),1)*IF(Upgrades!$T$14="Open Cluster",POWER(Upgrades!$U$14,F330),1)*IF(Upgrades!$T$15="Open Cluster",POWER(Upgrades!$U$15,G330),1)*IF(Upgrades!$T$16="Open Cluster",POWER(Upgrades!$U$16,H330),1)*IF(Upgrades!$T$17="Open Cluster",POWER(Upgrades!$U$17,I330),1)*IF(Upgrades!$T$18="Open Cluster",POWER(Upgrades!$U$18,J330),1)*IF(Upgrades!$T$19="Open Cluster",POWER(Upgrades!$U$19,K330),1)*IF(Upgrades!$T$21="Open Cluster",POWER(Upgrades!$U$21,M330),1))+(IF(M330=0,0,(Upgrades!$J$21+M330*Upgrades!$K$21)*POWER(Upgrades!$L$21,M330)))*(IF(Upgrades!$T$13="Moving Group",POWER(Upgrades!$U$13,E330),1)*IF(Upgrades!$T$14="Moving Group",POWER(Upgrades!$U$14,F330),1)*IF(Upgrades!$T$15="Moving Group",POWER(Upgrades!$U$15,G330),1)*IF(Upgrades!$T$16="Moving Group",POWER(Upgrades!$U$16,H330),1)*IF(Upgrades!$T$17="Moving Group",POWER(Upgrades!$U$17,I330),1)*IF(Upgrades!$T$18="Moving Group",POWER(Upgrades!$U$18,J330),1)*IF(Upgrades!$T$19="Moving Group",POWER(Upgrades!$U$19,K330),1)*IF(Upgrades!$T$20="Moving Group",POWER(Upgrades!$U$20,L330),1)))*POWER(Upgrades!$Q$13,E330)*POWER(Upgrades!$Q$14,F330)*POWER(Upgrades!$Q$15,G330)*POWER(Upgrades!$Q$16,H330)*POWER(Upgrades!$Q$17,I330)*POWER(Upgrades!$Q$18,J330)*POWER(Upgrades!$Q$19,K330)*POWER(Upgrades!$Q$20,L330)*POWER(Upgrades!$Q$21,M330)*$G$6+$D$6</f>
        <v/>
      </c>
      <c r="P330" s="28">
        <f>((IF(E330=0,0,(Upgrades!$G$13+E330*Upgrades!$H$13)*POWER(Upgrades!$I$13,E330)))*(IF(Upgrades!$T$14="Stellar Kinematics",POWER(Upgrades!$U$14,F330),1)*IF(Upgrades!$T$15="Stellar Kinematics",POWER(Upgrades!$U$15,G330),1)*IF(Upgrades!$T$16="Stellar Kinematics",POWER(Upgrades!$U$16,H330),1)*IF(Upgrades!$T$17="Stellar Kinematics",POWER(Upgrades!$U$17,I330),1)*IF(Upgrades!$T$18="Stellar Kinematics",POWER(Upgrades!$U$18,J330),1)*IF(Upgrades!$T$19="Stellar Kinematics",POWER(Upgrades!$U$19,K330),1)*IF(Upgrades!$T$20="Stellar Kinematics",POWER(Upgrades!$U$20,L330),1)*IF(Upgrades!$T$21="Stellar Kinematics",POWER(Upgrades!$U$21,M330),1))+(IF(F330=0,0,(Upgrades!$G$14+F330*Upgrades!$H$14)*POWER(Upgrades!$I$14,F330)))*(IF(Upgrades!$T$13="Local Bubble",POWER(Upgrades!$U$13,E330),1)*IF(Upgrades!$T$15="Local Bubble",POWER(Upgrades!$U$15,G330),1)*IF(Upgrades!$T$16="Local Bubble",POWER(Upgrades!$U$16,H330),1)*IF(Upgrades!$T$17="Local Bubble",POWER(Upgrades!$U$17,I330),1)*IF(Upgrades!$T$18="Local Bubble",POWER(Upgrades!$U$18,J330),1)*IF(Upgrades!$T$19="Local Bubble",POWER(Upgrades!$U$19,K330),1)*IF(Upgrades!$T$20="Local Bubble",POWER(Upgrades!$U$20,L330),1)*IF(Upgrades!$T$21="Local Bubble",POWER(Upgrades!$U$21,M330),1))+(IF(G330=0,0,(Upgrades!$G$15+G330*Upgrades!$H$15)*POWER(Upgrades!$I$15,G330)))*(IF(Upgrades!$T$13="Microlensing",POWER(Upgrades!$U$13,E330),1)*IF(Upgrades!$T$14="Microlensing",POWER(Upgrades!$U$14,F330),1)*IF(Upgrades!$T$16="Microlensing",POWER(Upgrades!$U$16,H330),1)*IF(Upgrades!$T$17="Microlensing",POWER(Upgrades!$U$17,I330),1)*IF(Upgrades!$T$18="Microlensing",POWER(Upgrades!$U$18,J330),1)*IF(Upgrades!$T$19="Microlensing",POWER(Upgrades!$U$19,K330),1)*IF(Upgrades!$T$20="Microlensing",POWER(Upgrades!$U$20,L330),1)*IF(Upgrades!$T$21="Microlensing",POWER(Upgrades!$U$21,M330),1))+(IF(H330=0,0,(Upgrades!$G$16+H330*Upgrades!$H$16)*POWER(Upgrades!$I$16,H330)))*(IF(Upgrades!$T$13="Roche Lobe Overflow",POWER(Upgrades!$U$13,E330),1)*IF(Upgrades!$T$14="Roche Lobe Overflow",POWER(Upgrades!$U$14,F330),1)*IF(Upgrades!$T$15="Roche Lobe Overflow",POWER(Upgrades!$U$15,G330),1)*IF(Upgrades!$T$17="Roche Lobe Overflow",POWER(Upgrades!$U$17,I330),1)*IF(Upgrades!$T$18="Roche Lobe Overflow",POWER(Upgrades!$U$18,J330),1)*IF(Upgrades!$T$19="Roche Lobe Overflow",POWER(Upgrades!$U$19,K330),1)*IF(Upgrades!$T$20="Roche Lobe Overflow",POWER(Upgrades!$U$20,L330),1)*IF(Upgrades!$T$21="Roche Lobe Overflow",POWER(Upgrades!$U$21,M330),1))+(IF(I330=0,0,(Upgrades!$G$17+I330*Upgrades!$H$17)*POWER(Upgrades!$I$17,I330)))*(IF(Upgrades!$T$13="Brown Dwarf",POWER(Upgrades!$U$13,E330),1)*IF(Upgrades!$T$14="Brown Dwarf",POWER(Upgrades!$U$14,F330),1)*IF(Upgrades!$T$15="Brown Dwarf",POWER(Upgrades!$U$15,G330),1)*IF(Upgrades!$T$16="Brown Dwarf",POWER(Upgrades!$U$16,H330),1)*IF(Upgrades!$T$18="Brown Dwarf",POWER(Upgrades!$U$18,J330),1)*IF(Upgrades!$T$19="Brown Dwarf",POWER(Upgrades!$U$19,K330),1)*IF(Upgrades!$T$20="Brown Dwarf",POWER(Upgrades!$U$20,L330),1)*IF(Upgrades!$T$21="Brown Dwarf",POWER(Upgrades!$U$21,M330),1))+(IF(J330=0,0,(Upgrades!$G$18+J330*Upgrades!$H$18)*POWER(Upgrades!$I$18,J330)))*(IF(Upgrades!$T$13="Binary Partner",POWER(Upgrades!$U$13,E330),1)*IF(Upgrades!$T$14="Binary Partner",POWER(Upgrades!$U$14,F330),1)*IF(Upgrades!$T$15="Binary Partner",POWER(Upgrades!$U$15,G330),1)*IF(Upgrades!$T$16="Binary Partner",POWER(Upgrades!$U$16,H330),1)*IF(Upgrades!$T$17="Binary Partner",POWER(Upgrades!$U$17,I330),1)*IF(Upgrades!$T$19="Binary Partner",POWER(Upgrades!$U$19,K330),1)*IF(Upgrades!$T$20="Binary Partner",POWER(Upgrades!$U$20,L330),1)*IF(Upgrades!$T$21="Binary Partner",POWER(Upgrades!$U$21,M330),1))+(IF(K330=0,0,(Upgrades!$G$19+K330*Upgrades!$H$19)*POWER(Upgrades!$I$19,K330)))*(IF(Upgrades!$T$13="Peculiar Velocity",POWER(Upgrades!$U$13,E330),1)*IF(Upgrades!$T$14="Peculiar Velocity",POWER(Upgrades!$U$14,F330),1)*IF(Upgrades!$T$15="Peculiar Velocity",POWER(Upgrades!$U$15,G330),1)*IF(Upgrades!$T$16="Peculiar Velocity",POWER(Upgrades!$U$16,H330),1)*IF(Upgrades!$T$17="Peculiar Velocity",POWER(Upgrades!$U$17,I330),1)*IF(Upgrades!$T$18="Peculiar Velocity",POWER(Upgrades!$U$18,J330),1)*IF(Upgrades!$T$20="Peculiar Velocity",POWER(Upgrades!$U$20,L330),1)*IF(Upgrades!$T$21="Peculiar Velocity",POWER(Upgrades!$U$21,M330),1))+(IF(L330=0,0,(Upgrades!$G$20+L330*Upgrades!$H$20)*POWER(Upgrades!$I$20,L330)))*(IF(Upgrades!$T$13="Open Cluster",POWER(Upgrades!$U$13,E330),1)*IF(Upgrades!$T$14="Open Cluster",POWER(Upgrades!$U$14,F330),1)*IF(Upgrades!$T$15="Open Cluster",POWER(Upgrades!$U$15,G330),1)*IF(Upgrades!$T$16="Open Cluster",POWER(Upgrades!$U$16,H330),1)*IF(Upgrades!$T$17="Open Cluster",POWER(Upgrades!$U$17,I330),1)*IF(Upgrades!$T$18="Open Cluster",POWER(Upgrades!$U$18,J330),1)*IF(Upgrades!$T$19="Open Cluster",POWER(Upgrades!$U$19,K330),1)*IF(Upgrades!$T$21="Open Cluster",POWER(Upgrades!$U$21,M330),1))+(IF(M330=0,0,(Upgrades!$G$21+M330*Upgrades!$H$21)*POWER(Upgrades!$I$21,M330)))*(IF(Upgrades!$T$13="Moving Group",POWER(Upgrades!$U$13,E330),1)*IF(Upgrades!$T$14="Moving Group",POWER(Upgrades!$U$14,F330),1)*IF(Upgrades!$T$15="Moving Group",POWER(Upgrades!$U$15,G330),1)*IF(Upgrades!$T$16="Moving Group",POWER(Upgrades!$U$16,H330),1)*IF(Upgrades!$T$17="Moving Group",POWER(Upgrades!$U$17,I330),1)*IF(Upgrades!$T$18="Moving Group",POWER(Upgrades!$U$18,J330),1)*IF(Upgrades!$T$19="Moving Group",POWER(Upgrades!$U$19,K330),1)*IF(Upgrades!$T$20="Moving Group",POWER(Upgrades!$U$20,L330),1)))*POWER(Upgrades!$P$13,E330)*POWER(Upgrades!$P$14,F330)*POWER(Upgrades!$P$15,G330)*POWER(Upgrades!$P$16,H330)*POWER(Upgrades!$P$17,I330)*POWER(Upgrades!$P$18,J330)*POWER(Upgrades!$P$19,K330)*POWER(Upgrades!$P$20,L330)*POWER(Upgrades!$P$21,M330)*$F$6+$C$6</f>
        <v/>
      </c>
      <c r="Q330" s="28">
        <f>((IF(E330=0,0,(Upgrades!$M$13+E330*Upgrades!$N$13)*POWER(Upgrades!$O$13,E330)))*(IF(Upgrades!$T$14="Stellar Kinematics",POWER(Upgrades!$U$14,F330),1)*IF(Upgrades!$T$15="Stellar Kinematics",POWER(Upgrades!$U$15,G330),1)*IF(Upgrades!$T$16="Stellar Kinematics",POWER(Upgrades!$U$16,H330),1)*IF(Upgrades!$T$17="Stellar Kinematics",POWER(Upgrades!$U$17,I330),1)*IF(Upgrades!$T$18="Stellar Kinematics",POWER(Upgrades!$U$18,J330),1)*IF(Upgrades!$T$19="Stellar Kinematics",POWER(Upgrades!$U$19,K330),1)*IF(Upgrades!$T$20="Stellar Kinematics",POWER(Upgrades!$U$20,L330),1)*IF(Upgrades!$T$21="Stellar Kinematics",POWER(Upgrades!$U$21,M330),1))+(IF(F330=0,0,(Upgrades!$M$14+F330*Upgrades!$N$14)*POWER(Upgrades!$O$14,F330)))*(IF(Upgrades!$T$13="Local Bubble",POWER(Upgrades!$U$13,E330),1)*IF(Upgrades!$T$15="Local Bubble",POWER(Upgrades!$U$15,G330),1)*IF(Upgrades!$T$16="Local Bubble",POWER(Upgrades!$U$16,H330),1)*IF(Upgrades!$T$17="Local Bubble",POWER(Upgrades!$U$17,I330),1)*IF(Upgrades!$T$18="Local Bubble",POWER(Upgrades!$U$18,J330),1)*IF(Upgrades!$T$19="Local Bubble",POWER(Upgrades!$U$19,K330),1)*IF(Upgrades!$T$20="Local Bubble",POWER(Upgrades!$U$20,L330),1)*IF(Upgrades!$T$21="Local Bubble",POWER(Upgrades!$U$21,M330),1))+(IF(G330=0,0,(Upgrades!$M$15+G330*Upgrades!$N$15)*POWER(Upgrades!$O$15,G330)))*(IF(Upgrades!$T$13="Microlensing",POWER(Upgrades!$U$13,E330),1)*IF(Upgrades!$T$14="Microlensing",POWER(Upgrades!$U$14,F330),1)*IF(Upgrades!$T$16="Microlensing",POWER(Upgrades!$U$16,H330),1)*IF(Upgrades!$T$17="Microlensing",POWER(Upgrades!$U$17,I330),1)*IF(Upgrades!$T$18="Microlensing",POWER(Upgrades!$U$18,J330),1)*IF(Upgrades!$T$19="Microlensing",POWER(Upgrades!$U$19,K330),1)*IF(Upgrades!$T$20="Microlensing",POWER(Upgrades!$U$20,L330),1)*IF(Upgrades!$T$21="Microlensing",POWER(Upgrades!$U$21,M330),1))+(IF(H330=0,0,(Upgrades!$M$16+H330*Upgrades!$N$16)*POWER(Upgrades!$O$16,H330)))*(IF(Upgrades!$T$13="Roche Lobe Overflow",POWER(Upgrades!$U$13,E330),1)*IF(Upgrades!$T$14="Roche Lobe Overflow",POWER(Upgrades!$U$14,F330),1)*IF(Upgrades!$T$15="Roche Lobe Overflow",POWER(Upgrades!$U$15,G330),1)*IF(Upgrades!$T$17="Roche Lobe Overflow",POWER(Upgrades!$U$17,I330),1)*IF(Upgrades!$T$18="Roche Lobe Overflow",POWER(Upgrades!$U$18,J330),1)*IF(Upgrades!$T$19="Roche Lobe Overflow",POWER(Upgrades!$U$19,K330),1)*IF(Upgrades!$T$20="Roche Lobe Overflow",POWER(Upgrades!$U$20,L330),1)*IF(Upgrades!$T$21="Roche Lobe Overflow",POWER(Upgrades!$U$21,M330),1))+(IF(I330=0,0,(Upgrades!$M$17+I330*Upgrades!$N$17)*POWER(Upgrades!$O$17,I330)))*(IF(Upgrades!$T$13="Brown Dwarf",POWER(Upgrades!$U$13,E330),1)*IF(Upgrades!$T$14="Brown Dwarf",POWER(Upgrades!$U$14,F330),1)*IF(Upgrades!$T$15="Brown Dwarf",POWER(Upgrades!$U$15,G330),1)*IF(Upgrades!$T$16="Brown Dwarf",POWER(Upgrades!$U$16,H330),1)*IF(Upgrades!$T$18="Brown Dwarf",POWER(Upgrades!$U$18,J330),1)*IF(Upgrades!$T$19="Brown Dwarf",POWER(Upgrades!$U$19,K330),1)*IF(Upgrades!$T$20="Brown Dwarf",POWER(Upgrades!$U$20,L330),1)*IF(Upgrades!$T$21="Brown Dwarf",POWER(Upgrades!$U$21,M330),1))+(IF(J330=0,0,(Upgrades!$M$18+J330*Upgrades!$N$18)*POWER(Upgrades!$O$18,J330)))*(IF(Upgrades!$T$13="Binary Partner",POWER(Upgrades!$U$13,E330),1)*IF(Upgrades!$T$14="Binary Partner",POWER(Upgrades!$U$14,F330),1)*IF(Upgrades!$T$15="Binary Partner",POWER(Upgrades!$U$15,G330),1)*IF(Upgrades!$T$16="Binary Partner",POWER(Upgrades!$U$16,H330),1)*IF(Upgrades!$T$17="Binary Partner",POWER(Upgrades!$U$17,I330),1)*IF(Upgrades!$T$19="Binary Partner",POWER(Upgrades!$U$19,K330),1)*IF(Upgrades!$T$20="Binary Partner",POWER(Upgrades!$U$20,L330),1)*IF(Upgrades!$T$21="Binary Partner",POWER(Upgrades!$U$21,M330),1))+(IF(K330=0,0,(Upgrades!$M$19+K330*Upgrades!$N$19)*POWER(Upgrades!$O$19,K330)))*(IF(Upgrades!$T$13="Peculiar Velocity",POWER(Upgrades!$U$13,E330),1)*IF(Upgrades!$T$14="Peculiar Velocity",POWER(Upgrades!$U$14,F330),1)*IF(Upgrades!$T$15="Peculiar Velocity",POWER(Upgrades!$U$15,G330),1)*IF(Upgrades!$T$16="Peculiar Velocity",POWER(Upgrades!$U$16,H330),1)*IF(Upgrades!$T$17="Peculiar Velocity",POWER(Upgrades!$U$17,I330),1)*IF(Upgrades!$T$18="Peculiar Velocity",POWER(Upgrades!$U$18,J330),1)*IF(Upgrades!$T$20="Peculiar Velocity",POWER(Upgrades!$U$20,L330),1)*IF(Upgrades!$T$21="Peculiar Velocity",POWER(Upgrades!$U$21,M330),1))+(IF(L330=0,0,(Upgrades!$M$20+L330*Upgrades!$N$20)*POWER(Upgrades!$O$20,L330)))*(IF(Upgrades!$T$13="Open Cluster",POWER(Upgrades!$U$13,E330),1)*IF(Upgrades!$T$14="Open Cluster",POWER(Upgrades!$U$14,F330),1)*IF(Upgrades!$T$15="Open Cluster",POWER(Upgrades!$U$15,G330),1)*IF(Upgrades!$T$16="Open Cluster",POWER(Upgrades!$U$16,H330),1)*IF(Upgrades!$T$17="Open Cluster",POWER(Upgrades!$U$17,I330),1)*IF(Upgrades!$T$18="Open Cluster",POWER(Upgrades!$U$18,J330),1)*IF(Upgrades!$T$19="Open Cluster",POWER(Upgrades!$U$19,K330),1)*IF(Upgrades!$T$21="Open Cluster",POWER(Upgrades!$U$21,M330),1))+(IF(M330=0,0,(Upgrades!$M$21+M330*Upgrades!$N$21)*POWER(Upgrades!$O$21,M330)))*(IF(Upgrades!$T$13="Moving Group",POWER(Upgrades!$U$13,E330),1)*IF(Upgrades!$T$14="Moving Group",POWER(Upgrades!$U$14,F330),1)*IF(Upgrades!$T$15="Moving Group",POWER(Upgrades!$U$15,G330),1)*IF(Upgrades!$T$16="Moving Group",POWER(Upgrades!$U$16,H330),1)*IF(Upgrades!$T$17="Moving Group",POWER(Upgrades!$U$17,I330),1)*IF(Upgrades!$T$18="Moving Group",POWER(Upgrades!$U$18,J330),1)*IF(Upgrades!$T$19="Moving Group",POWER(Upgrades!$U$19,K330),1)*IF(Upgrades!$T$20="Moving Group",POWER(Upgrades!$U$20,L330),1)))*POWER(Upgrades!$R$13,E330)*POWER(Upgrades!$R$14,F330)*POWER(Upgrades!$R$15,G330)*POWER(Upgrades!$R$16,H330)*POWER(Upgrades!$R$17,I330)*POWER(Upgrades!$R$18,J330)*POWER(Upgrades!$R$19,K330)*POWER(Upgrades!$R$20,L330)*POWER(Upgrades!$R$21,M330)*$H$6+$E$6</f>
        <v/>
      </c>
      <c r="R330" s="27">
        <f>IF(N330=1,0,O330*Parameters!$B$10/60*Parameters!$B$11*10)</f>
        <v/>
      </c>
      <c r="S330" s="27">
        <f>IF(N330=1,0,Q330*O330*10)</f>
        <v/>
      </c>
      <c r="T330" s="27">
        <f>IF(N330=1,0,R330+S330+P330*10)</f>
        <v/>
      </c>
      <c r="U330" s="33">
        <f>BE330</f>
        <v/>
      </c>
      <c r="V330" s="22">
        <f>IF(U330="",0,IF(U330="transition",0,IF(U330="SK",AK330,IF(U330="LB",AL330,IF(U330="ML",AM330,IF(U330="RLO",AN330,IF(U330="BD",AO330,IF(U330="BiP",AP330,IF(U330="PV",AQ330,IF(U330="OC",AR330,IF(U330="MG",AS330,0))))))))))</f>
        <v/>
      </c>
      <c r="W330" s="27">
        <f>IF(U330="BiP",Upgrades!$F$18,IF(U330="PV",Upgrades!$F$19,IF(U330="OC",Upgrades!$F$20,IF(U330="MG",Upgrades!$F$21,IF(U330="transition",-Parameters!$B$18*Parameters!$B$19,0)))))</f>
        <v/>
      </c>
      <c r="X330" s="22">
        <f>C330+T330-V330</f>
        <v/>
      </c>
      <c r="Y330" s="30">
        <f>O330*Parameters!$B$10/60*Parameters!$B$11+Q330*O330+P330</f>
        <v/>
      </c>
      <c r="Z330" s="34">
        <f>IF(U330="transition","→ Tier 3 (Galactic Arm)",IF(U330="MG","Moving Group — pocket drifts together",IF(U330="OC","Open Cluster acquired",IF(U330="PV","Peculiar Velocity — passive multiplier active",IF(U330="BiP","Binary Partner — pair bond formed",IF(AND(AU330=1,N330=0,AT330&lt;&gt;1),"Cohesion ready (waiting on completionists)","")))))) </f>
        <v/>
      </c>
      <c r="AA330" s="27">
        <f>(IF(E330=0,0,(Upgrades!$G$13+E330*Upgrades!$H$13)*POWER(Upgrades!$I$13,E330)))*(IF(Upgrades!$T$14="Stellar Kinematics",POWER(Upgrades!$U$14,F330),1)*IF(Upgrades!$T$15="Stellar Kinematics",POWER(Upgrades!$U$15,G330),1)*IF(Upgrades!$T$16="Stellar Kinematics",POWER(Upgrades!$U$16,H330),1)*IF(Upgrades!$T$17="Stellar Kinematics",POWER(Upgrades!$U$17,I330),1)*IF(Upgrades!$T$18="Stellar Kinematics",POWER(Upgrades!$U$18,J330),1)*IF(Upgrades!$T$19="Stellar Kinematics",POWER(Upgrades!$U$19,K330),1)*IF(Upgrades!$T$20="Stellar Kinematics",POWER(Upgrades!$U$20,L330),1)*IF(Upgrades!$T$21="Stellar Kinematics",POWER(Upgrades!$U$21,M330),1))*POWER(Upgrades!$P$13,E330)*POWER(Upgrades!$P$14,F330)*POWER(Upgrades!$P$15,G330)*POWER(Upgrades!$P$16,H330)*POWER(Upgrades!$P$17,I330)*POWER(Upgrades!$P$18,J330)*POWER(Upgrades!$P$19,K330)*POWER(Upgrades!$P$20,L330)*POWER(Upgrades!$P$21,M330)*$F$6*60</f>
        <v/>
      </c>
      <c r="AB330" s="27">
        <f>(IF(F330=0,0,(Upgrades!$G$14+F330*Upgrades!$H$14)*POWER(Upgrades!$I$14,F330)))*(IF(Upgrades!$T$13="Local Bubble",POWER(Upgrades!$U$13,E330),1)*IF(Upgrades!$T$15="Local Bubble",POWER(Upgrades!$U$15,G330),1)*IF(Upgrades!$T$16="Local Bubble",POWER(Upgrades!$U$16,H330),1)*IF(Upgrades!$T$17="Local Bubble",POWER(Upgrades!$U$17,I330),1)*IF(Upgrades!$T$18="Local Bubble",POWER(Upgrades!$U$18,J330),1)*IF(Upgrades!$T$19="Local Bubble",POWER(Upgrades!$U$19,K330),1)*IF(Upgrades!$T$20="Local Bubble",POWER(Upgrades!$U$20,L330),1)*IF(Upgrades!$T$21="Local Bubble",POWER(Upgrades!$U$21,M330),1))*POWER(Upgrades!$P$13,E330)*POWER(Upgrades!$P$14,F330)*POWER(Upgrades!$P$15,G330)*POWER(Upgrades!$P$16,H330)*POWER(Upgrades!$P$17,I330)*POWER(Upgrades!$P$18,J330)*POWER(Upgrades!$P$19,K330)*POWER(Upgrades!$P$20,L330)*POWER(Upgrades!$P$21,M330)*$F$6*60</f>
        <v/>
      </c>
      <c r="AC330" s="27">
        <f>(IF(G330=0,0,(Upgrades!$J$15+G330*Upgrades!$K$15)*POWER(Upgrades!$L$15,G330)))*(IF(Upgrades!$T$13="Microlensing",POWER(Upgrades!$U$13,E330),1)*IF(Upgrades!$T$14="Microlensing",POWER(Upgrades!$U$14,F330),1)*IF(Upgrades!$T$16="Microlensing",POWER(Upgrades!$U$16,H330),1)*IF(Upgrades!$T$17="Microlensing",POWER(Upgrades!$U$17,I330),1)*IF(Upgrades!$T$18="Microlensing",POWER(Upgrades!$U$18,J330),1)*IF(Upgrades!$T$19="Microlensing",POWER(Upgrades!$U$19,K330),1)*IF(Upgrades!$T$20="Microlensing",POWER(Upgrades!$U$20,L330),1)*IF(Upgrades!$T$21="Microlensing",POWER(Upgrades!$U$21,M330),1))*POWER(Upgrades!$Q$13,E330)*POWER(Upgrades!$Q$14,F330)*POWER(Upgrades!$Q$15,G330)*POWER(Upgrades!$Q$16,H330)*POWER(Upgrades!$Q$17,I330)*POWER(Upgrades!$Q$18,J330)*POWER(Upgrades!$Q$19,K330)*POWER(Upgrades!$Q$20,L330)*POWER(Upgrades!$Q$21,M330)*$G$6*(Parameters!$B$10*Parameters!$B$11+Q330*60)</f>
        <v/>
      </c>
      <c r="AD330" s="27">
        <f>(IF(H330=0,0,(Upgrades!$M$16+H330*Upgrades!$N$16)*POWER(Upgrades!$O$16,H330)))*(IF(Upgrades!$T$13="Roche Lobe Overflow",POWER(Upgrades!$U$13,E330),1)*IF(Upgrades!$T$14="Roche Lobe Overflow",POWER(Upgrades!$U$14,F330),1)*IF(Upgrades!$T$15="Roche Lobe Overflow",POWER(Upgrades!$U$15,G330),1)*IF(Upgrades!$T$17="Roche Lobe Overflow",POWER(Upgrades!$U$17,I330),1)*IF(Upgrades!$T$18="Roche Lobe Overflow",POWER(Upgrades!$U$18,J330),1)*IF(Upgrades!$T$19="Roche Lobe Overflow",POWER(Upgrades!$U$19,K330),1)*IF(Upgrades!$T$20="Roche Lobe Overflow",POWER(Upgrades!$U$20,L330),1)*IF(Upgrades!$T$21="Roche Lobe Overflow",POWER(Upgrades!$U$21,M330),1))*POWER(Upgrades!$R$13,E330)*POWER(Upgrades!$R$14,F330)*POWER(Upgrades!$R$15,G330)*POWER(Upgrades!$R$16,H330)*POWER(Upgrades!$R$17,I330)*POWER(Upgrades!$R$18,J330)*POWER(Upgrades!$R$19,K330)*POWER(Upgrades!$R$20,L330)*POWER(Upgrades!$R$21,M330)*$H$6*O330*60</f>
        <v/>
      </c>
      <c r="AE330" s="27">
        <f>(IF(I330=0,0,(Upgrades!$G$17+I330*Upgrades!$H$17)*POWER(Upgrades!$I$17,I330)))*(IF(Upgrades!$T$13="Brown Dwarf",POWER(Upgrades!$U$13,E330),1)*IF(Upgrades!$T$14="Brown Dwarf",POWER(Upgrades!$U$14,F330),1)*IF(Upgrades!$T$15="Brown Dwarf",POWER(Upgrades!$U$15,G330),1)*IF(Upgrades!$T$16="Brown Dwarf",POWER(Upgrades!$U$16,H330),1)*IF(Upgrades!$T$18="Brown Dwarf",POWER(Upgrades!$U$18,J330),1)*IF(Upgrades!$T$19="Brown Dwarf",POWER(Upgrades!$U$19,K330),1)*IF(Upgrades!$T$20="Brown Dwarf",POWER(Upgrades!$U$20,L330),1)*IF(Upgrades!$T$21="Brown Dwarf",POWER(Upgrades!$U$21,M330),1))*POWER(Upgrades!$P$13,E330)*POWER(Upgrades!$P$14,F330)*POWER(Upgrades!$P$15,G330)*POWER(Upgrades!$P$16,H330)*POWER(Upgrades!$P$17,I330)*POWER(Upgrades!$P$18,J330)*POWER(Upgrades!$P$19,K330)*POWER(Upgrades!$P$20,L330)*POWER(Upgrades!$P$21,M330)*$F$6*60</f>
        <v/>
      </c>
      <c r="AF330" s="27" t="n">
        <v>0</v>
      </c>
      <c r="AG330" s="27" t="n">
        <v>0</v>
      </c>
      <c r="AH330" s="27" t="n">
        <v>0</v>
      </c>
      <c r="AI330" s="27">
        <f>(IF(M330=0,0,(Upgrades!$G$21+M330*Upgrades!$H$21)*POWER(Upgrades!$I$21,M330)))*(IF(Upgrades!$T$13="Moving Group",POWER(Upgrades!$U$13,E330),1)*IF(Upgrades!$T$14="Moving Group",POWER(Upgrades!$U$14,F330),1)*IF(Upgrades!$T$15="Moving Group",POWER(Upgrades!$U$15,G330),1)*IF(Upgrades!$T$16="Moving Group",POWER(Upgrades!$U$16,H330),1)*IF(Upgrades!$T$17="Moving Group",POWER(Upgrades!$U$17,I330),1)*IF(Upgrades!$T$18="Moving Group",POWER(Upgrades!$U$18,J330),1)*IF(Upgrades!$T$19="Moving Group",POWER(Upgrades!$U$19,K330),1)*IF(Upgrades!$T$20="Moving Group",POWER(Upgrades!$U$20,L330),1))*POWER(Upgrades!$P$13,E330)*POWER(Upgrades!$P$14,F330)*POWER(Upgrades!$P$15,G330)*POWER(Upgrades!$P$16,H330)*POWER(Upgrades!$P$17,I330)*POWER(Upgrades!$P$18,J330)*POWER(Upgrades!$P$19,K330)*POWER(Upgrades!$P$20,L330)*POWER(Upgrades!$P$21,M330)*$F$6*60</f>
        <v/>
      </c>
      <c r="AJ330" s="27">
        <f>$C$6*60</f>
        <v/>
      </c>
      <c r="AK330" s="22">
        <f>IF(E330&gt;=Upgrades!$E$13,"",Upgrades!$C$13*POWER(Upgrades!$D$13,E330))</f>
        <v/>
      </c>
      <c r="AL330" s="22">
        <f>IF(F330&gt;=Upgrades!$E$14,"",Upgrades!$C$14*POWER(Upgrades!$D$14,F330))</f>
        <v/>
      </c>
      <c r="AM330" s="22">
        <f>IF(G330&gt;=Upgrades!$E$15,"",Upgrades!$C$15*POWER(Upgrades!$D$15,G330))</f>
        <v/>
      </c>
      <c r="AN330" s="22">
        <f>IF(H330&gt;=Upgrades!$E$16,"",Upgrades!$C$16*POWER(Upgrades!$D$16,H330))</f>
        <v/>
      </c>
      <c r="AO330" s="22">
        <f>IF(I330&gt;=Upgrades!$E$17,"",Upgrades!$C$17*POWER(Upgrades!$D$17,I330))</f>
        <v/>
      </c>
      <c r="AP330" s="22">
        <f>IF(J330&gt;=Upgrades!$E$18,"",Upgrades!$C$18*POWER(Upgrades!$D$18,J330))</f>
        <v/>
      </c>
      <c r="AQ330" s="22">
        <f>IF(K330&gt;=Upgrades!$E$19,"",Upgrades!$C$19*POWER(Upgrades!$D$19,K330))</f>
        <v/>
      </c>
      <c r="AR330" s="22">
        <f>IF(L330&gt;=Upgrades!$E$20,"",Upgrades!$C$20*POWER(Upgrades!$D$20,L330))</f>
        <v/>
      </c>
      <c r="AS330" s="22">
        <f>IF(M330&gt;=Upgrades!$E$21,"",Upgrades!$C$21*POWER(Upgrades!$D$21,M330))</f>
        <v/>
      </c>
      <c r="AT330" s="26">
        <f>IF(AND(D330&gt;=Parameters!$B$18*Parameters!$B$19,(I330&gt;=Upgrades!$E$17)*(M330&gt;=Upgrades!$E$21)=1,N330=0),1,"")</f>
        <v/>
      </c>
      <c r="AU330" s="26">
        <f>IF(AND(D330&gt;=Parameters!$B$18*Parameters!$B$19,N330=0),1,"")</f>
        <v/>
      </c>
      <c r="AV330" s="22">
        <f>MIN(IF(ISNUMBER(AP330),AP330,9E15),IF(ISNUMBER(AQ330),AQ330,9E15),IF(ISNUMBER(AR330),AR330,9E15),IF(ISNUMBER(AS330),AS330,9E15))</f>
        <v/>
      </c>
      <c r="AW330" s="22">
        <f>MIN(IF(ISNUMBER(AK330),AK330,9E15),IF(ISNUMBER(AL330),AL330,9E15),IF(ISNUMBER(AM330),AM330,9E15),IF(ISNUMBER(AN330),AN330,9E15),IF(ISNUMBER(AO330),AO330,9E15))</f>
        <v/>
      </c>
      <c r="AX330" s="29">
        <f>IF(BD330&gt;Parameters!$B$21*(MAX(IF(AND(NOT(AND(AU330=1,AT330&lt;&gt;1)),ISNUMBER(AK330),AK330&lt;=(C330+T330)),AY330,0),IF(AND(NOT(AND(AU330=1,AT330&lt;&gt;1)),ISNUMBER(AL330),AL330&lt;=(C330+T330)),AZ330,0),IF(AND(NOT(AND(AU330=1,AT330&lt;&gt;1)),ISNUMBER(AM330),AM330&lt;=(C330+T330)),BA330,0),IF(AND(NOT(AND(AU330=1,AT330&lt;&gt;1)),ISNUMBER(AN330),AN330&lt;=(C330+T330)),BB330,0),IF(AND(ISNUMBER(AO330),AO330&lt;=(C330+T330)),BC330,0))),TRUE,FALSE)</f>
        <v/>
      </c>
      <c r="AY330" s="32">
        <f>IFERROR(Upgrades!$H$13*(POWER(Upgrades!$P$13,E330)*POWER(Upgrades!$P$14,F330)*POWER(Upgrades!$P$15,G330)*POWER(Upgrades!$P$16,H330)*POWER(Upgrades!$P$17,I330)*POWER(Upgrades!$P$18,J330)*POWER(Upgrades!$P$19,K330)*POWER(Upgrades!$P$20,L330)*POWER(Upgrades!$P$21,M330))*(IF(Upgrades!$T$14="Stellar Kinematics",POWER(Upgrades!$U$14,F330),1)*IF(Upgrades!$T$15="Stellar Kinematics",POWER(Upgrades!$U$15,G330),1)*IF(Upgrades!$T$16="Stellar Kinematics",POWER(Upgrades!$U$16,H330),1)*IF(Upgrades!$T$17="Stellar Kinematics",POWER(Upgrades!$U$17,I330),1)*IF(Upgrades!$T$18="Stellar Kinematics",POWER(Upgrades!$U$18,J330),1)*IF(Upgrades!$T$19="Stellar Kinematics",POWER(Upgrades!$U$19,K330),1)*IF(Upgrades!$T$20="Stellar Kinematics",POWER(Upgrades!$U$20,L330),1)*IF(Upgrades!$T$21="Stellar Kinematics",POWER(Upgrades!$U$21,M330),1))*$F$6/AK330,0)</f>
        <v/>
      </c>
      <c r="AZ330" s="32">
        <f>IFERROR(Upgrades!$H$14*(POWER(Upgrades!$P$13,E330)*POWER(Upgrades!$P$14,F330)*POWER(Upgrades!$P$15,G330)*POWER(Upgrades!$P$16,H330)*POWER(Upgrades!$P$17,I330)*POWER(Upgrades!$P$18,J330)*POWER(Upgrades!$P$19,K330)*POWER(Upgrades!$P$20,L330)*POWER(Upgrades!$P$21,M330))*(IF(Upgrades!$T$13="Local Bubble",POWER(Upgrades!$U$13,E330),1)*IF(Upgrades!$T$15="Local Bubble",POWER(Upgrades!$U$15,G330),1)*IF(Upgrades!$T$16="Local Bubble",POWER(Upgrades!$U$16,H330),1)*IF(Upgrades!$T$17="Local Bubble",POWER(Upgrades!$U$17,I330),1)*IF(Upgrades!$T$18="Local Bubble",POWER(Upgrades!$U$18,J330),1)*IF(Upgrades!$T$19="Local Bubble",POWER(Upgrades!$U$19,K330),1)*IF(Upgrades!$T$20="Local Bubble",POWER(Upgrades!$U$20,L330),1)*IF(Upgrades!$T$21="Local Bubble",POWER(Upgrades!$U$21,M330),1))*$F$6/AL330,0)</f>
        <v/>
      </c>
      <c r="BA330" s="32">
        <f>IFERROR(Upgrades!$K$15*(POWER(Upgrades!$Q$13,E330)*POWER(Upgrades!$Q$14,F330)*POWER(Upgrades!$Q$15,G330)*POWER(Upgrades!$Q$16,H330)*POWER(Upgrades!$Q$17,I330)*POWER(Upgrades!$Q$18,J330)*POWER(Upgrades!$Q$19,K330)*POWER(Upgrades!$Q$20,L330)*POWER(Upgrades!$Q$21,M330))*(IF(Upgrades!$T$13="Microlensing",POWER(Upgrades!$U$13,E330),1)*IF(Upgrades!$T$14="Microlensing",POWER(Upgrades!$U$14,F330),1)*IF(Upgrades!$T$16="Microlensing",POWER(Upgrades!$U$16,H330),1)*IF(Upgrades!$T$17="Microlensing",POWER(Upgrades!$U$17,I330),1)*IF(Upgrades!$T$18="Microlensing",POWER(Upgrades!$U$18,J330),1)*IF(Upgrades!$T$19="Microlensing",POWER(Upgrades!$U$19,K330),1)*IF(Upgrades!$T$20="Microlensing",POWER(Upgrades!$U$20,L330),1)*IF(Upgrades!$T$21="Microlensing",POWER(Upgrades!$U$21,M330),1))*$G$6*(Parameters!$B$10/60*Parameters!$B$11+Q330)/AM330,0)</f>
        <v/>
      </c>
      <c r="BB330" s="32">
        <f>IFERROR((Upgrades!$N$16*(POWER(Upgrades!$R$13,E330)*POWER(Upgrades!$R$14,F330)*POWER(Upgrades!$R$15,G330)*POWER(Upgrades!$R$16,H330)*POWER(Upgrades!$R$17,I330)*POWER(Upgrades!$R$18,J330)*POWER(Upgrades!$R$19,K330)*POWER(Upgrades!$R$20,L330)*POWER(Upgrades!$R$21,M330))*(IF(Upgrades!$T$13="Roche Lobe Overflow",POWER(Upgrades!$U$13,E330),1)*IF(Upgrades!$T$14="Roche Lobe Overflow",POWER(Upgrades!$U$14,F330),1)*IF(Upgrades!$T$15="Roche Lobe Overflow",POWER(Upgrades!$U$15,G330),1)*IF(Upgrades!$T$17="Roche Lobe Overflow",POWER(Upgrades!$U$17,I330),1)*IF(Upgrades!$T$18="Roche Lobe Overflow",POWER(Upgrades!$U$18,J330),1)*IF(Upgrades!$T$19="Roche Lobe Overflow",POWER(Upgrades!$U$19,K330),1)*IF(Upgrades!$T$20="Roche Lobe Overflow",POWER(Upgrades!$U$20,L330),1)*IF(Upgrades!$T$21="Roche Lobe Overflow",POWER(Upgrades!$U$21,M330),1))*$H$6*O330+((IF(F330=0,0,(Upgrades!$G$14+F330*Upgrades!$H$14)*POWER(Upgrades!$I$14,F330)))*(IF(Upgrades!$T$13="Local Bubble",POWER(Upgrades!$U$13,E330),1)*IF(Upgrades!$T$15="Local Bubble",POWER(Upgrades!$U$15,G330),1)*IF(Upgrades!$T$16="Local Bubble",POWER(Upgrades!$U$16,H330),1)*IF(Upgrades!$T$17="Local Bubble",POWER(Upgrades!$U$17,I330),1)*IF(Upgrades!$T$18="Local Bubble",POWER(Upgrades!$U$18,J330),1)*IF(Upgrades!$T$19="Local Bubble",POWER(Upgrades!$U$19,K330),1)*IF(Upgrades!$T$20="Local Bubble",POWER(Upgrades!$U$20,L330),1)*IF(Upgrades!$T$21="Local Bubble",POWER(Upgrades!$U$21,M330),1))*POWER(Upgrades!$P$13,E330)*POWER(Upgrades!$P$14,F330)*POWER(Upgrades!$P$15,G330)*POWER(Upgrades!$P$16,H330)*POWER(Upgrades!$P$17,I330)*POWER(Upgrades!$P$18,J330)*POWER(Upgrades!$P$19,K330)*POWER(Upgrades!$P$20,L330)*POWER(Upgrades!$P$21,M330)*$F$6)*0.05)/AN330,0)</f>
        <v/>
      </c>
      <c r="BC330" s="32">
        <f>IFERROR((Upgrades!$H$17*(POWER(Upgrades!$P$13,E330)*POWER(Upgrades!$P$14,F330)*POWER(Upgrades!$P$15,G330)*POWER(Upgrades!$P$16,H330)*POWER(Upgrades!$P$17,I330)*POWER(Upgrades!$P$18,J330)*POWER(Upgrades!$P$19,K330)*POWER(Upgrades!$P$20,L330)*POWER(Upgrades!$P$21,M330))*(IF(Upgrades!$T$13="Brown Dwarf",POWER(Upgrades!$U$13,E330),1)*IF(Upgrades!$T$14="Brown Dwarf",POWER(Upgrades!$U$14,F330),1)*IF(Upgrades!$T$15="Brown Dwarf",POWER(Upgrades!$U$15,G330),1)*IF(Upgrades!$T$16="Brown Dwarf",POWER(Upgrades!$U$16,H330),1)*IF(Upgrades!$T$18="Brown Dwarf",POWER(Upgrades!$U$18,J330),1)*IF(Upgrades!$T$19="Brown Dwarf",POWER(Upgrades!$U$19,K330),1)*IF(Upgrades!$T$20="Brown Dwarf",POWER(Upgrades!$U$20,L330),1)*IF(Upgrades!$T$21="Brown Dwarf",POWER(Upgrades!$U$21,M330),1))*$F$6+(((IF(H330=0,0,(Upgrades!$M$16+H330*Upgrades!$N$16)*POWER(Upgrades!$O$16,H330)))*(IF(Upgrades!$T$13="Roche Lobe Overflow",POWER(Upgrades!$U$13,E330),1)*IF(Upgrades!$T$14="Roche Lobe Overflow",POWER(Upgrades!$U$14,F330),1)*IF(Upgrades!$T$15="Roche Lobe Overflow",POWER(Upgrades!$U$15,G330),1)*IF(Upgrades!$T$17="Roche Lobe Overflow",POWER(Upgrades!$U$17,I330),1)*IF(Upgrades!$T$18="Roche Lobe Overflow",POWER(Upgrades!$U$18,J330),1)*IF(Upgrades!$T$19="Roche Lobe Overflow",POWER(Upgrades!$U$19,K330),1)*IF(Upgrades!$T$20="Roche Lobe Overflow",POWER(Upgrades!$U$20,L330),1)*IF(Upgrades!$T$21="Roche Lobe Overflow",POWER(Upgrades!$U$21,M330),1))*POWER(Upgrades!$R$13,E330)*POWER(Upgrades!$R$14,F330)*POWER(Upgrades!$R$15,G330)*POWER(Upgrades!$R$16,H330)*POWER(Upgrades!$R$17,I330)*POWER(Upgrades!$R$18,J330)*POWER(Upgrades!$R$19,K330)*POWER(Upgrades!$R$20,L330)*POWER(Upgrades!$R$21,M330)*$H$6)*O330)*0.10)/AO330,0)</f>
        <v/>
      </c>
      <c r="BD330" s="32">
        <f>MAX(IF(J330&gt;0,0,IFERROR(0.5*((IF(G330=0,0,(Upgrades!$J$15+G330*Upgrades!$K$15)*POWER(Upgrades!$L$15,G330)))*(IF(Upgrades!$T$13="Microlensing",POWER(Upgrades!$U$13,E330),1)*IF(Upgrades!$T$14="Microlensing",POWER(Upgrades!$U$14,F330),1)*IF(Upgrades!$T$16="Microlensing",POWER(Upgrades!$U$16,H330),1)*IF(Upgrades!$T$17="Microlensing",POWER(Upgrades!$U$17,I330),1)*IF(Upgrades!$T$18="Microlensing",POWER(Upgrades!$U$18,J330),1)*IF(Upgrades!$T$19="Microlensing",POWER(Upgrades!$U$19,K330),1)*IF(Upgrades!$T$20="Microlensing",POWER(Upgrades!$U$20,L330),1)*IF(Upgrades!$T$21="Microlensing",POWER(Upgrades!$U$21,M330),1))*(POWER(Upgrades!$Q$13,E330)*POWER(Upgrades!$Q$14,F330)*POWER(Upgrades!$Q$15,G330)*POWER(Upgrades!$Q$16,H330)*POWER(Upgrades!$Q$17,I330)*POWER(Upgrades!$Q$18,J330)*POWER(Upgrades!$Q$19,K330)*POWER(Upgrades!$Q$20,L330)*POWER(Upgrades!$Q$21,M330))*$G$6*(Parameters!$B$10/60*Parameters!$B$11+Q330))/Upgrades!$C$18,0)),IF(K330&gt;0,0,IFERROR(0.30*P330/Upgrades!$C$19,0)),IF(L330&gt;0,0,IFERROR(0.0001/Upgrades!$C$20,0)),IF(M330&gt;0,0,IFERROR((6.0*(POWER(Upgrades!$P$13,E330)*POWER(Upgrades!$P$14,F330)*POWER(Upgrades!$P$15,G330)*POWER(Upgrades!$P$16,H330)*POWER(Upgrades!$P$17,I330)*POWER(Upgrades!$P$18,J330)*POWER(Upgrades!$P$19,K330)*POWER(Upgrades!$P$20,L330)*POWER(Upgrades!$P$21,M330))*$F$6+0.20*O330*(Parameters!$B$10/60*Parameters!$B$11+Q330))/Upgrades!$C$21,0)),IF(AND(ISNUMBER(AK330),AK330&gt;(C330+T330)),AY330,0),IF(AND(ISNUMBER(AL330),AL330&gt;(C330+T330)),AZ330,0),IF(AND(ISNUMBER(AM330),AM330&gt;(C330+T330)),BA330,0),IF(AND(ISNUMBER(AN330),AN330&gt;(C330+T330)),BB330,0),IF(AND(ISNUMBER(AO330),AO330&gt;(C330+T330)),BC330,0))</f>
        <v/>
      </c>
      <c r="BE330" s="29">
        <f>IF(AT330=1,"transition",IF(MIN(IF(AND(J330=0,ISNUMBER(AP330),AP330&lt;=(C330+T330)),AP330,9E15),IF(AND(K330=0,ISNUMBER(AQ330),AQ330&lt;=(C330+T330)),AQ330,9E15),IF(AND(L330=0,ISNUMBER(AR330),AR330&lt;=(C330+T330)),AR330,9E15),IF(AND(M330=0,ISNUMBER(AS330),AS330&lt;=(C330+T330)),AS330,9E15))&lt;9E15,IF(AND(AND(J330=0,ISNUMBER(AP330),AP330&lt;=(C330+T330)),AP330=MIN(IF(AND(J330=0,ISNUMBER(AP330),AP330&lt;=(C330+T330)),AP330,9E15),IF(AND(K330=0,ISNUMBER(AQ330),AQ330&lt;=(C330+T330)),AQ330,9E15),IF(AND(L330=0,ISNUMBER(AR330),AR330&lt;=(C330+T330)),AR330,9E15),IF(AND(M330=0,ISNUMBER(AS330),AS330&lt;=(C330+T330)),AS330,9E15))),"BiP",IF(AND(AND(K330=0,ISNUMBER(AQ330),AQ330&lt;=(C330+T330)),AQ330=MIN(IF(AND(J330=0,ISNUMBER(AP330),AP330&lt;=(C330+T330)),AP330,9E15),IF(AND(K330=0,ISNUMBER(AQ330),AQ330&lt;=(C330+T330)),AQ330,9E15),IF(AND(L330=0,ISNUMBER(AR330),AR330&lt;=(C330+T330)),AR330,9E15),IF(AND(M330=0,ISNUMBER(AS330),AS330&lt;=(C330+T330)),AS330,9E15))),"PV",IF(AND(AND(L330=0,ISNUMBER(AR330),AR330&lt;=(C330+T330)),AR330=MIN(IF(AND(J330=0,ISNUMBER(AP330),AP330&lt;=(C330+T330)),AP330,9E15),IF(AND(K330=0,ISNUMBER(AQ330),AQ330&lt;=(C330+T330)),AQ330,9E15),IF(AND(L330=0,ISNUMBER(AR330),AR330&lt;=(C330+T330)),AR330,9E15),IF(AND(M330=0,ISNUMBER(AS330),AS330&lt;=(C330+T330)),AS330,9E15))),"OC","MG"))),IF(AX330=TRUE,"",IF(MAX(IF(AND(NOT(AND(AU330=1,AT330&lt;&gt;1)),ISNUMBER(AK330),AK330&lt;=(C330+T330)),AY330,0),IF(AND(NOT(AND(AU330=1,AT330&lt;&gt;1)),ISNUMBER(AL330),AL330&lt;=(C330+T330)),AZ330,0),IF(AND(NOT(AND(AU330=1,AT330&lt;&gt;1)),ISNUMBER(AM330),AM330&lt;=(C330+T330)),BA330,0),IF(AND(NOT(AND(AU330=1,AT330&lt;&gt;1)),ISNUMBER(AN330),AN330&lt;=(C330+T330)),BB330,0),IF(AND(ISNUMBER(AO330),AO330&lt;=(C330+T330)),BC330,0))&lt;=0,"",IF(AND(IF(AND(NOT(AND(AU330=1,AT330&lt;&gt;1)),ISNUMBER(AK330),AK330&lt;=(C330+T330)),AY330,0)&gt;0,IF(AND(NOT(AND(AU330=1,AT330&lt;&gt;1)),ISNUMBER(AK330),AK330&lt;=(C330+T330)),AY330,0)=MAX(IF(AND(NOT(AND(AU330=1,AT330&lt;&gt;1)),ISNUMBER(AK330),AK330&lt;=(C330+T330)),AY330,0),IF(AND(NOT(AND(AU330=1,AT330&lt;&gt;1)),ISNUMBER(AL330),AL330&lt;=(C330+T330)),AZ330,0),IF(AND(NOT(AND(AU330=1,AT330&lt;&gt;1)),ISNUMBER(AM330),AM330&lt;=(C330+T330)),BA330,0),IF(AND(NOT(AND(AU330=1,AT330&lt;&gt;1)),ISNUMBER(AN330),AN330&lt;=(C330+T330)),BB330,0),IF(AND(ISNUMBER(AO330),AO330&lt;=(C330+T330)),BC330,0))),"SK",IF(AND(IF(AND(NOT(AND(AU330=1,AT330&lt;&gt;1)),ISNUMBER(AL330),AL330&lt;=(C330+T330)),AZ330,0)&gt;0,IF(AND(NOT(AND(AU330=1,AT330&lt;&gt;1)),ISNUMBER(AL330),AL330&lt;=(C330+T330)),AZ330,0)=MAX(IF(AND(NOT(AND(AU330=1,AT330&lt;&gt;1)),ISNUMBER(AK330),AK330&lt;=(C330+T330)),AY330,0),IF(AND(NOT(AND(AU330=1,AT330&lt;&gt;1)),ISNUMBER(AL330),AL330&lt;=(C330+T330)),AZ330,0),IF(AND(NOT(AND(AU330=1,AT330&lt;&gt;1)),ISNUMBER(AM330),AM330&lt;=(C330+T330)),BA330,0),IF(AND(NOT(AND(AU330=1,AT330&lt;&gt;1)),ISNUMBER(AN330),AN330&lt;=(C330+T330)),BB330,0),IF(AND(ISNUMBER(AO330),AO330&lt;=(C330+T330)),BC330,0))),"LB",IF(AND(IF(AND(NOT(AND(AU330=1,AT330&lt;&gt;1)),ISNUMBER(AM330),AM330&lt;=(C330+T330)),BA330,0)&gt;0,IF(AND(NOT(AND(AU330=1,AT330&lt;&gt;1)),ISNUMBER(AM330),AM330&lt;=(C330+T330)),BA330,0)=MAX(IF(AND(NOT(AND(AU330=1,AT330&lt;&gt;1)),ISNUMBER(AK330),AK330&lt;=(C330+T330)),AY330,0),IF(AND(NOT(AND(AU330=1,AT330&lt;&gt;1)),ISNUMBER(AL330),AL330&lt;=(C330+T330)),AZ330,0),IF(AND(NOT(AND(AU330=1,AT330&lt;&gt;1)),ISNUMBER(AM330),AM330&lt;=(C330+T330)),BA330,0),IF(AND(NOT(AND(AU330=1,AT330&lt;&gt;1)),ISNUMBER(AN330),AN330&lt;=(C330+T330)),BB330,0),IF(AND(ISNUMBER(AO330),AO330&lt;=(C330+T330)),BC330,0))),"ML",IF(AND(IF(AND(NOT(AND(AU330=1,AT330&lt;&gt;1)),ISNUMBER(AN330),AN330&lt;=(C330+T330)),BB330,0)&gt;0,IF(AND(NOT(AND(AU330=1,AT330&lt;&gt;1)),ISNUMBER(AN330),AN330&lt;=(C330+T330)),BB330,0)=MAX(IF(AND(NOT(AND(AU330=1,AT330&lt;&gt;1)),ISNUMBER(AK330),AK330&lt;=(C330+T330)),AY330,0),IF(AND(NOT(AND(AU330=1,AT330&lt;&gt;1)),ISNUMBER(AL330),AL330&lt;=(C330+T330)),AZ330,0),IF(AND(NOT(AND(AU330=1,AT330&lt;&gt;1)),ISNUMBER(AM330),AM330&lt;=(C330+T330)),BA330,0),IF(AND(NOT(AND(AU330=1,AT330&lt;&gt;1)),ISNUMBER(AN330),AN330&lt;=(C330+T330)),BB330,0),IF(AND(ISNUMBER(AO330),AO330&lt;=(C330+T330)),BC330,0))),"RLO","BD"))))))))</f>
        <v/>
      </c>
    </row>
    <row r="331">
      <c r="A331" s="26" t="n">
        <v>320</v>
      </c>
      <c r="B331" s="27">
        <f>A331*10/60</f>
        <v/>
      </c>
      <c r="C331" s="22">
        <f>X330</f>
        <v/>
      </c>
      <c r="D331" s="27">
        <f>D330+W330</f>
        <v/>
      </c>
      <c r="E331" s="26">
        <f>E330+IF(U330="SK",1,0)</f>
        <v/>
      </c>
      <c r="F331" s="26">
        <f>F330+IF(U330="LB",1,0)</f>
        <v/>
      </c>
      <c r="G331" s="26">
        <f>G330+IF(U330="ML",1,0)</f>
        <v/>
      </c>
      <c r="H331" s="26">
        <f>H330+IF(U330="RLO",1,0)</f>
        <v/>
      </c>
      <c r="I331" s="26">
        <f>I330+IF(U330="BD",1,0)</f>
        <v/>
      </c>
      <c r="J331" s="26">
        <f>MAX(J330,IF(U330="BiP",1,0))</f>
        <v/>
      </c>
      <c r="K331" s="26">
        <f>MAX(K330,IF(U330="PV",1,0))</f>
        <v/>
      </c>
      <c r="L331" s="26">
        <f>MAX(L330,IF(U330="OC",1,0))</f>
        <v/>
      </c>
      <c r="M331" s="26">
        <f>MAX(M330,IF(U330="MG",1,0))</f>
        <v/>
      </c>
      <c r="N331" s="26">
        <f>MAX(N330,IF(U330="transition",1,0))</f>
        <v/>
      </c>
      <c r="O331" s="28">
        <f>(Parameters!$B$9+(IF(E331=0,0,(Upgrades!$J$13+E331*Upgrades!$K$13)*POWER(Upgrades!$L$13,E331)))*(IF(Upgrades!$T$14="Stellar Kinematics",POWER(Upgrades!$U$14,F331),1)*IF(Upgrades!$T$15="Stellar Kinematics",POWER(Upgrades!$U$15,G331),1)*IF(Upgrades!$T$16="Stellar Kinematics",POWER(Upgrades!$U$16,H331),1)*IF(Upgrades!$T$17="Stellar Kinematics",POWER(Upgrades!$U$17,I331),1)*IF(Upgrades!$T$18="Stellar Kinematics",POWER(Upgrades!$U$18,J331),1)*IF(Upgrades!$T$19="Stellar Kinematics",POWER(Upgrades!$U$19,K331),1)*IF(Upgrades!$T$20="Stellar Kinematics",POWER(Upgrades!$U$20,L331),1)*IF(Upgrades!$T$21="Stellar Kinematics",POWER(Upgrades!$U$21,M331),1))+(IF(F331=0,0,(Upgrades!$J$14+F331*Upgrades!$K$14)*POWER(Upgrades!$L$14,F331)))*(IF(Upgrades!$T$13="Local Bubble",POWER(Upgrades!$U$13,E331),1)*IF(Upgrades!$T$15="Local Bubble",POWER(Upgrades!$U$15,G331),1)*IF(Upgrades!$T$16="Local Bubble",POWER(Upgrades!$U$16,H331),1)*IF(Upgrades!$T$17="Local Bubble",POWER(Upgrades!$U$17,I331),1)*IF(Upgrades!$T$18="Local Bubble",POWER(Upgrades!$U$18,J331),1)*IF(Upgrades!$T$19="Local Bubble",POWER(Upgrades!$U$19,K331),1)*IF(Upgrades!$T$20="Local Bubble",POWER(Upgrades!$U$20,L331),1)*IF(Upgrades!$T$21="Local Bubble",POWER(Upgrades!$U$21,M331),1))+(IF(G331=0,0,(Upgrades!$J$15+G331*Upgrades!$K$15)*POWER(Upgrades!$L$15,G331)))*(IF(Upgrades!$T$13="Microlensing",POWER(Upgrades!$U$13,E331),1)*IF(Upgrades!$T$14="Microlensing",POWER(Upgrades!$U$14,F331),1)*IF(Upgrades!$T$16="Microlensing",POWER(Upgrades!$U$16,H331),1)*IF(Upgrades!$T$17="Microlensing",POWER(Upgrades!$U$17,I331),1)*IF(Upgrades!$T$18="Microlensing",POWER(Upgrades!$U$18,J331),1)*IF(Upgrades!$T$19="Microlensing",POWER(Upgrades!$U$19,K331),1)*IF(Upgrades!$T$20="Microlensing",POWER(Upgrades!$U$20,L331),1)*IF(Upgrades!$T$21="Microlensing",POWER(Upgrades!$U$21,M331),1))+(IF(H331=0,0,(Upgrades!$J$16+H331*Upgrades!$K$16)*POWER(Upgrades!$L$16,H331)))*(IF(Upgrades!$T$13="Roche Lobe Overflow",POWER(Upgrades!$U$13,E331),1)*IF(Upgrades!$T$14="Roche Lobe Overflow",POWER(Upgrades!$U$14,F331),1)*IF(Upgrades!$T$15="Roche Lobe Overflow",POWER(Upgrades!$U$15,G331),1)*IF(Upgrades!$T$17="Roche Lobe Overflow",POWER(Upgrades!$U$17,I331),1)*IF(Upgrades!$T$18="Roche Lobe Overflow",POWER(Upgrades!$U$18,J331),1)*IF(Upgrades!$T$19="Roche Lobe Overflow",POWER(Upgrades!$U$19,K331),1)*IF(Upgrades!$T$20="Roche Lobe Overflow",POWER(Upgrades!$U$20,L331),1)*IF(Upgrades!$T$21="Roche Lobe Overflow",POWER(Upgrades!$U$21,M331),1))+(IF(I331=0,0,(Upgrades!$J$17+I331*Upgrades!$K$17)*POWER(Upgrades!$L$17,I331)))*(IF(Upgrades!$T$13="Brown Dwarf",POWER(Upgrades!$U$13,E331),1)*IF(Upgrades!$T$14="Brown Dwarf",POWER(Upgrades!$U$14,F331),1)*IF(Upgrades!$T$15="Brown Dwarf",POWER(Upgrades!$U$15,G331),1)*IF(Upgrades!$T$16="Brown Dwarf",POWER(Upgrades!$U$16,H331),1)*IF(Upgrades!$T$18="Brown Dwarf",POWER(Upgrades!$U$18,J331),1)*IF(Upgrades!$T$19="Brown Dwarf",POWER(Upgrades!$U$19,K331),1)*IF(Upgrades!$T$20="Brown Dwarf",POWER(Upgrades!$U$20,L331),1)*IF(Upgrades!$T$21="Brown Dwarf",POWER(Upgrades!$U$21,M331),1))+(IF(J331=0,0,(Upgrades!$J$18+J331*Upgrades!$K$18)*POWER(Upgrades!$L$18,J331)))*(IF(Upgrades!$T$13="Binary Partner",POWER(Upgrades!$U$13,E331),1)*IF(Upgrades!$T$14="Binary Partner",POWER(Upgrades!$U$14,F331),1)*IF(Upgrades!$T$15="Binary Partner",POWER(Upgrades!$U$15,G331),1)*IF(Upgrades!$T$16="Binary Partner",POWER(Upgrades!$U$16,H331),1)*IF(Upgrades!$T$17="Binary Partner",POWER(Upgrades!$U$17,I331),1)*IF(Upgrades!$T$19="Binary Partner",POWER(Upgrades!$U$19,K331),1)*IF(Upgrades!$T$20="Binary Partner",POWER(Upgrades!$U$20,L331),1)*IF(Upgrades!$T$21="Binary Partner",POWER(Upgrades!$U$21,M331),1))+(IF(K331=0,0,(Upgrades!$J$19+K331*Upgrades!$K$19)*POWER(Upgrades!$L$19,K331)))*(IF(Upgrades!$T$13="Peculiar Velocity",POWER(Upgrades!$U$13,E331),1)*IF(Upgrades!$T$14="Peculiar Velocity",POWER(Upgrades!$U$14,F331),1)*IF(Upgrades!$T$15="Peculiar Velocity",POWER(Upgrades!$U$15,G331),1)*IF(Upgrades!$T$16="Peculiar Velocity",POWER(Upgrades!$U$16,H331),1)*IF(Upgrades!$T$17="Peculiar Velocity",POWER(Upgrades!$U$17,I331),1)*IF(Upgrades!$T$18="Peculiar Velocity",POWER(Upgrades!$U$18,J331),1)*IF(Upgrades!$T$20="Peculiar Velocity",POWER(Upgrades!$U$20,L331),1)*IF(Upgrades!$T$21="Peculiar Velocity",POWER(Upgrades!$U$21,M331),1))+(IF(L331=0,0,(Upgrades!$J$20+L331*Upgrades!$K$20)*POWER(Upgrades!$L$20,L331)))*(IF(Upgrades!$T$13="Open Cluster",POWER(Upgrades!$U$13,E331),1)*IF(Upgrades!$T$14="Open Cluster",POWER(Upgrades!$U$14,F331),1)*IF(Upgrades!$T$15="Open Cluster",POWER(Upgrades!$U$15,G331),1)*IF(Upgrades!$T$16="Open Cluster",POWER(Upgrades!$U$16,H331),1)*IF(Upgrades!$T$17="Open Cluster",POWER(Upgrades!$U$17,I331),1)*IF(Upgrades!$T$18="Open Cluster",POWER(Upgrades!$U$18,J331),1)*IF(Upgrades!$T$19="Open Cluster",POWER(Upgrades!$U$19,K331),1)*IF(Upgrades!$T$21="Open Cluster",POWER(Upgrades!$U$21,M331),1))+(IF(M331=0,0,(Upgrades!$J$21+M331*Upgrades!$K$21)*POWER(Upgrades!$L$21,M331)))*(IF(Upgrades!$T$13="Moving Group",POWER(Upgrades!$U$13,E331),1)*IF(Upgrades!$T$14="Moving Group",POWER(Upgrades!$U$14,F331),1)*IF(Upgrades!$T$15="Moving Group",POWER(Upgrades!$U$15,G331),1)*IF(Upgrades!$T$16="Moving Group",POWER(Upgrades!$U$16,H331),1)*IF(Upgrades!$T$17="Moving Group",POWER(Upgrades!$U$17,I331),1)*IF(Upgrades!$T$18="Moving Group",POWER(Upgrades!$U$18,J331),1)*IF(Upgrades!$T$19="Moving Group",POWER(Upgrades!$U$19,K331),1)*IF(Upgrades!$T$20="Moving Group",POWER(Upgrades!$U$20,L331),1)))*POWER(Upgrades!$Q$13,E331)*POWER(Upgrades!$Q$14,F331)*POWER(Upgrades!$Q$15,G331)*POWER(Upgrades!$Q$16,H331)*POWER(Upgrades!$Q$17,I331)*POWER(Upgrades!$Q$18,J331)*POWER(Upgrades!$Q$19,K331)*POWER(Upgrades!$Q$20,L331)*POWER(Upgrades!$Q$21,M331)*$G$6+$D$6</f>
        <v/>
      </c>
      <c r="P331" s="28">
        <f>((IF(E331=0,0,(Upgrades!$G$13+E331*Upgrades!$H$13)*POWER(Upgrades!$I$13,E331)))*(IF(Upgrades!$T$14="Stellar Kinematics",POWER(Upgrades!$U$14,F331),1)*IF(Upgrades!$T$15="Stellar Kinematics",POWER(Upgrades!$U$15,G331),1)*IF(Upgrades!$T$16="Stellar Kinematics",POWER(Upgrades!$U$16,H331),1)*IF(Upgrades!$T$17="Stellar Kinematics",POWER(Upgrades!$U$17,I331),1)*IF(Upgrades!$T$18="Stellar Kinematics",POWER(Upgrades!$U$18,J331),1)*IF(Upgrades!$T$19="Stellar Kinematics",POWER(Upgrades!$U$19,K331),1)*IF(Upgrades!$T$20="Stellar Kinematics",POWER(Upgrades!$U$20,L331),1)*IF(Upgrades!$T$21="Stellar Kinematics",POWER(Upgrades!$U$21,M331),1))+(IF(F331=0,0,(Upgrades!$G$14+F331*Upgrades!$H$14)*POWER(Upgrades!$I$14,F331)))*(IF(Upgrades!$T$13="Local Bubble",POWER(Upgrades!$U$13,E331),1)*IF(Upgrades!$T$15="Local Bubble",POWER(Upgrades!$U$15,G331),1)*IF(Upgrades!$T$16="Local Bubble",POWER(Upgrades!$U$16,H331),1)*IF(Upgrades!$T$17="Local Bubble",POWER(Upgrades!$U$17,I331),1)*IF(Upgrades!$T$18="Local Bubble",POWER(Upgrades!$U$18,J331),1)*IF(Upgrades!$T$19="Local Bubble",POWER(Upgrades!$U$19,K331),1)*IF(Upgrades!$T$20="Local Bubble",POWER(Upgrades!$U$20,L331),1)*IF(Upgrades!$T$21="Local Bubble",POWER(Upgrades!$U$21,M331),1))+(IF(G331=0,0,(Upgrades!$G$15+G331*Upgrades!$H$15)*POWER(Upgrades!$I$15,G331)))*(IF(Upgrades!$T$13="Microlensing",POWER(Upgrades!$U$13,E331),1)*IF(Upgrades!$T$14="Microlensing",POWER(Upgrades!$U$14,F331),1)*IF(Upgrades!$T$16="Microlensing",POWER(Upgrades!$U$16,H331),1)*IF(Upgrades!$T$17="Microlensing",POWER(Upgrades!$U$17,I331),1)*IF(Upgrades!$T$18="Microlensing",POWER(Upgrades!$U$18,J331),1)*IF(Upgrades!$T$19="Microlensing",POWER(Upgrades!$U$19,K331),1)*IF(Upgrades!$T$20="Microlensing",POWER(Upgrades!$U$20,L331),1)*IF(Upgrades!$T$21="Microlensing",POWER(Upgrades!$U$21,M331),1))+(IF(H331=0,0,(Upgrades!$G$16+H331*Upgrades!$H$16)*POWER(Upgrades!$I$16,H331)))*(IF(Upgrades!$T$13="Roche Lobe Overflow",POWER(Upgrades!$U$13,E331),1)*IF(Upgrades!$T$14="Roche Lobe Overflow",POWER(Upgrades!$U$14,F331),1)*IF(Upgrades!$T$15="Roche Lobe Overflow",POWER(Upgrades!$U$15,G331),1)*IF(Upgrades!$T$17="Roche Lobe Overflow",POWER(Upgrades!$U$17,I331),1)*IF(Upgrades!$T$18="Roche Lobe Overflow",POWER(Upgrades!$U$18,J331),1)*IF(Upgrades!$T$19="Roche Lobe Overflow",POWER(Upgrades!$U$19,K331),1)*IF(Upgrades!$T$20="Roche Lobe Overflow",POWER(Upgrades!$U$20,L331),1)*IF(Upgrades!$T$21="Roche Lobe Overflow",POWER(Upgrades!$U$21,M331),1))+(IF(I331=0,0,(Upgrades!$G$17+I331*Upgrades!$H$17)*POWER(Upgrades!$I$17,I331)))*(IF(Upgrades!$T$13="Brown Dwarf",POWER(Upgrades!$U$13,E331),1)*IF(Upgrades!$T$14="Brown Dwarf",POWER(Upgrades!$U$14,F331),1)*IF(Upgrades!$T$15="Brown Dwarf",POWER(Upgrades!$U$15,G331),1)*IF(Upgrades!$T$16="Brown Dwarf",POWER(Upgrades!$U$16,H331),1)*IF(Upgrades!$T$18="Brown Dwarf",POWER(Upgrades!$U$18,J331),1)*IF(Upgrades!$T$19="Brown Dwarf",POWER(Upgrades!$U$19,K331),1)*IF(Upgrades!$T$20="Brown Dwarf",POWER(Upgrades!$U$20,L331),1)*IF(Upgrades!$T$21="Brown Dwarf",POWER(Upgrades!$U$21,M331),1))+(IF(J331=0,0,(Upgrades!$G$18+J331*Upgrades!$H$18)*POWER(Upgrades!$I$18,J331)))*(IF(Upgrades!$T$13="Binary Partner",POWER(Upgrades!$U$13,E331),1)*IF(Upgrades!$T$14="Binary Partner",POWER(Upgrades!$U$14,F331),1)*IF(Upgrades!$T$15="Binary Partner",POWER(Upgrades!$U$15,G331),1)*IF(Upgrades!$T$16="Binary Partner",POWER(Upgrades!$U$16,H331),1)*IF(Upgrades!$T$17="Binary Partner",POWER(Upgrades!$U$17,I331),1)*IF(Upgrades!$T$19="Binary Partner",POWER(Upgrades!$U$19,K331),1)*IF(Upgrades!$T$20="Binary Partner",POWER(Upgrades!$U$20,L331),1)*IF(Upgrades!$T$21="Binary Partner",POWER(Upgrades!$U$21,M331),1))+(IF(K331=0,0,(Upgrades!$G$19+K331*Upgrades!$H$19)*POWER(Upgrades!$I$19,K331)))*(IF(Upgrades!$T$13="Peculiar Velocity",POWER(Upgrades!$U$13,E331),1)*IF(Upgrades!$T$14="Peculiar Velocity",POWER(Upgrades!$U$14,F331),1)*IF(Upgrades!$T$15="Peculiar Velocity",POWER(Upgrades!$U$15,G331),1)*IF(Upgrades!$T$16="Peculiar Velocity",POWER(Upgrades!$U$16,H331),1)*IF(Upgrades!$T$17="Peculiar Velocity",POWER(Upgrades!$U$17,I331),1)*IF(Upgrades!$T$18="Peculiar Velocity",POWER(Upgrades!$U$18,J331),1)*IF(Upgrades!$T$20="Peculiar Velocity",POWER(Upgrades!$U$20,L331),1)*IF(Upgrades!$T$21="Peculiar Velocity",POWER(Upgrades!$U$21,M331),1))+(IF(L331=0,0,(Upgrades!$G$20+L331*Upgrades!$H$20)*POWER(Upgrades!$I$20,L331)))*(IF(Upgrades!$T$13="Open Cluster",POWER(Upgrades!$U$13,E331),1)*IF(Upgrades!$T$14="Open Cluster",POWER(Upgrades!$U$14,F331),1)*IF(Upgrades!$T$15="Open Cluster",POWER(Upgrades!$U$15,G331),1)*IF(Upgrades!$T$16="Open Cluster",POWER(Upgrades!$U$16,H331),1)*IF(Upgrades!$T$17="Open Cluster",POWER(Upgrades!$U$17,I331),1)*IF(Upgrades!$T$18="Open Cluster",POWER(Upgrades!$U$18,J331),1)*IF(Upgrades!$T$19="Open Cluster",POWER(Upgrades!$U$19,K331),1)*IF(Upgrades!$T$21="Open Cluster",POWER(Upgrades!$U$21,M331),1))+(IF(M331=0,0,(Upgrades!$G$21+M331*Upgrades!$H$21)*POWER(Upgrades!$I$21,M331)))*(IF(Upgrades!$T$13="Moving Group",POWER(Upgrades!$U$13,E331),1)*IF(Upgrades!$T$14="Moving Group",POWER(Upgrades!$U$14,F331),1)*IF(Upgrades!$T$15="Moving Group",POWER(Upgrades!$U$15,G331),1)*IF(Upgrades!$T$16="Moving Group",POWER(Upgrades!$U$16,H331),1)*IF(Upgrades!$T$17="Moving Group",POWER(Upgrades!$U$17,I331),1)*IF(Upgrades!$T$18="Moving Group",POWER(Upgrades!$U$18,J331),1)*IF(Upgrades!$T$19="Moving Group",POWER(Upgrades!$U$19,K331),1)*IF(Upgrades!$T$20="Moving Group",POWER(Upgrades!$U$20,L331),1)))*POWER(Upgrades!$P$13,E331)*POWER(Upgrades!$P$14,F331)*POWER(Upgrades!$P$15,G331)*POWER(Upgrades!$P$16,H331)*POWER(Upgrades!$P$17,I331)*POWER(Upgrades!$P$18,J331)*POWER(Upgrades!$P$19,K331)*POWER(Upgrades!$P$20,L331)*POWER(Upgrades!$P$21,M331)*$F$6+$C$6</f>
        <v/>
      </c>
      <c r="Q331" s="28">
        <f>((IF(E331=0,0,(Upgrades!$M$13+E331*Upgrades!$N$13)*POWER(Upgrades!$O$13,E331)))*(IF(Upgrades!$T$14="Stellar Kinematics",POWER(Upgrades!$U$14,F331),1)*IF(Upgrades!$T$15="Stellar Kinematics",POWER(Upgrades!$U$15,G331),1)*IF(Upgrades!$T$16="Stellar Kinematics",POWER(Upgrades!$U$16,H331),1)*IF(Upgrades!$T$17="Stellar Kinematics",POWER(Upgrades!$U$17,I331),1)*IF(Upgrades!$T$18="Stellar Kinematics",POWER(Upgrades!$U$18,J331),1)*IF(Upgrades!$T$19="Stellar Kinematics",POWER(Upgrades!$U$19,K331),1)*IF(Upgrades!$T$20="Stellar Kinematics",POWER(Upgrades!$U$20,L331),1)*IF(Upgrades!$T$21="Stellar Kinematics",POWER(Upgrades!$U$21,M331),1))+(IF(F331=0,0,(Upgrades!$M$14+F331*Upgrades!$N$14)*POWER(Upgrades!$O$14,F331)))*(IF(Upgrades!$T$13="Local Bubble",POWER(Upgrades!$U$13,E331),1)*IF(Upgrades!$T$15="Local Bubble",POWER(Upgrades!$U$15,G331),1)*IF(Upgrades!$T$16="Local Bubble",POWER(Upgrades!$U$16,H331),1)*IF(Upgrades!$T$17="Local Bubble",POWER(Upgrades!$U$17,I331),1)*IF(Upgrades!$T$18="Local Bubble",POWER(Upgrades!$U$18,J331),1)*IF(Upgrades!$T$19="Local Bubble",POWER(Upgrades!$U$19,K331),1)*IF(Upgrades!$T$20="Local Bubble",POWER(Upgrades!$U$20,L331),1)*IF(Upgrades!$T$21="Local Bubble",POWER(Upgrades!$U$21,M331),1))+(IF(G331=0,0,(Upgrades!$M$15+G331*Upgrades!$N$15)*POWER(Upgrades!$O$15,G331)))*(IF(Upgrades!$T$13="Microlensing",POWER(Upgrades!$U$13,E331),1)*IF(Upgrades!$T$14="Microlensing",POWER(Upgrades!$U$14,F331),1)*IF(Upgrades!$T$16="Microlensing",POWER(Upgrades!$U$16,H331),1)*IF(Upgrades!$T$17="Microlensing",POWER(Upgrades!$U$17,I331),1)*IF(Upgrades!$T$18="Microlensing",POWER(Upgrades!$U$18,J331),1)*IF(Upgrades!$T$19="Microlensing",POWER(Upgrades!$U$19,K331),1)*IF(Upgrades!$T$20="Microlensing",POWER(Upgrades!$U$20,L331),1)*IF(Upgrades!$T$21="Microlensing",POWER(Upgrades!$U$21,M331),1))+(IF(H331=0,0,(Upgrades!$M$16+H331*Upgrades!$N$16)*POWER(Upgrades!$O$16,H331)))*(IF(Upgrades!$T$13="Roche Lobe Overflow",POWER(Upgrades!$U$13,E331),1)*IF(Upgrades!$T$14="Roche Lobe Overflow",POWER(Upgrades!$U$14,F331),1)*IF(Upgrades!$T$15="Roche Lobe Overflow",POWER(Upgrades!$U$15,G331),1)*IF(Upgrades!$T$17="Roche Lobe Overflow",POWER(Upgrades!$U$17,I331),1)*IF(Upgrades!$T$18="Roche Lobe Overflow",POWER(Upgrades!$U$18,J331),1)*IF(Upgrades!$T$19="Roche Lobe Overflow",POWER(Upgrades!$U$19,K331),1)*IF(Upgrades!$T$20="Roche Lobe Overflow",POWER(Upgrades!$U$20,L331),1)*IF(Upgrades!$T$21="Roche Lobe Overflow",POWER(Upgrades!$U$21,M331),1))+(IF(I331=0,0,(Upgrades!$M$17+I331*Upgrades!$N$17)*POWER(Upgrades!$O$17,I331)))*(IF(Upgrades!$T$13="Brown Dwarf",POWER(Upgrades!$U$13,E331),1)*IF(Upgrades!$T$14="Brown Dwarf",POWER(Upgrades!$U$14,F331),1)*IF(Upgrades!$T$15="Brown Dwarf",POWER(Upgrades!$U$15,G331),1)*IF(Upgrades!$T$16="Brown Dwarf",POWER(Upgrades!$U$16,H331),1)*IF(Upgrades!$T$18="Brown Dwarf",POWER(Upgrades!$U$18,J331),1)*IF(Upgrades!$T$19="Brown Dwarf",POWER(Upgrades!$U$19,K331),1)*IF(Upgrades!$T$20="Brown Dwarf",POWER(Upgrades!$U$20,L331),1)*IF(Upgrades!$T$21="Brown Dwarf",POWER(Upgrades!$U$21,M331),1))+(IF(J331=0,0,(Upgrades!$M$18+J331*Upgrades!$N$18)*POWER(Upgrades!$O$18,J331)))*(IF(Upgrades!$T$13="Binary Partner",POWER(Upgrades!$U$13,E331),1)*IF(Upgrades!$T$14="Binary Partner",POWER(Upgrades!$U$14,F331),1)*IF(Upgrades!$T$15="Binary Partner",POWER(Upgrades!$U$15,G331),1)*IF(Upgrades!$T$16="Binary Partner",POWER(Upgrades!$U$16,H331),1)*IF(Upgrades!$T$17="Binary Partner",POWER(Upgrades!$U$17,I331),1)*IF(Upgrades!$T$19="Binary Partner",POWER(Upgrades!$U$19,K331),1)*IF(Upgrades!$T$20="Binary Partner",POWER(Upgrades!$U$20,L331),1)*IF(Upgrades!$T$21="Binary Partner",POWER(Upgrades!$U$21,M331),1))+(IF(K331=0,0,(Upgrades!$M$19+K331*Upgrades!$N$19)*POWER(Upgrades!$O$19,K331)))*(IF(Upgrades!$T$13="Peculiar Velocity",POWER(Upgrades!$U$13,E331),1)*IF(Upgrades!$T$14="Peculiar Velocity",POWER(Upgrades!$U$14,F331),1)*IF(Upgrades!$T$15="Peculiar Velocity",POWER(Upgrades!$U$15,G331),1)*IF(Upgrades!$T$16="Peculiar Velocity",POWER(Upgrades!$U$16,H331),1)*IF(Upgrades!$T$17="Peculiar Velocity",POWER(Upgrades!$U$17,I331),1)*IF(Upgrades!$T$18="Peculiar Velocity",POWER(Upgrades!$U$18,J331),1)*IF(Upgrades!$T$20="Peculiar Velocity",POWER(Upgrades!$U$20,L331),1)*IF(Upgrades!$T$21="Peculiar Velocity",POWER(Upgrades!$U$21,M331),1))+(IF(L331=0,0,(Upgrades!$M$20+L331*Upgrades!$N$20)*POWER(Upgrades!$O$20,L331)))*(IF(Upgrades!$T$13="Open Cluster",POWER(Upgrades!$U$13,E331),1)*IF(Upgrades!$T$14="Open Cluster",POWER(Upgrades!$U$14,F331),1)*IF(Upgrades!$T$15="Open Cluster",POWER(Upgrades!$U$15,G331),1)*IF(Upgrades!$T$16="Open Cluster",POWER(Upgrades!$U$16,H331),1)*IF(Upgrades!$T$17="Open Cluster",POWER(Upgrades!$U$17,I331),1)*IF(Upgrades!$T$18="Open Cluster",POWER(Upgrades!$U$18,J331),1)*IF(Upgrades!$T$19="Open Cluster",POWER(Upgrades!$U$19,K331),1)*IF(Upgrades!$T$21="Open Cluster",POWER(Upgrades!$U$21,M331),1))+(IF(M331=0,0,(Upgrades!$M$21+M331*Upgrades!$N$21)*POWER(Upgrades!$O$21,M331)))*(IF(Upgrades!$T$13="Moving Group",POWER(Upgrades!$U$13,E331),1)*IF(Upgrades!$T$14="Moving Group",POWER(Upgrades!$U$14,F331),1)*IF(Upgrades!$T$15="Moving Group",POWER(Upgrades!$U$15,G331),1)*IF(Upgrades!$T$16="Moving Group",POWER(Upgrades!$U$16,H331),1)*IF(Upgrades!$T$17="Moving Group",POWER(Upgrades!$U$17,I331),1)*IF(Upgrades!$T$18="Moving Group",POWER(Upgrades!$U$18,J331),1)*IF(Upgrades!$T$19="Moving Group",POWER(Upgrades!$U$19,K331),1)*IF(Upgrades!$T$20="Moving Group",POWER(Upgrades!$U$20,L331),1)))*POWER(Upgrades!$R$13,E331)*POWER(Upgrades!$R$14,F331)*POWER(Upgrades!$R$15,G331)*POWER(Upgrades!$R$16,H331)*POWER(Upgrades!$R$17,I331)*POWER(Upgrades!$R$18,J331)*POWER(Upgrades!$R$19,K331)*POWER(Upgrades!$R$20,L331)*POWER(Upgrades!$R$21,M331)*$H$6+$E$6</f>
        <v/>
      </c>
      <c r="R331" s="27">
        <f>IF(N331=1,0,O331*Parameters!$B$10/60*Parameters!$B$11*10)</f>
        <v/>
      </c>
      <c r="S331" s="27">
        <f>IF(N331=1,0,Q331*O331*10)</f>
        <v/>
      </c>
      <c r="T331" s="27">
        <f>IF(N331=1,0,R331+S331+P331*10)</f>
        <v/>
      </c>
      <c r="U331" s="33">
        <f>BE331</f>
        <v/>
      </c>
      <c r="V331" s="22">
        <f>IF(U331="",0,IF(U331="transition",0,IF(U331="SK",AK331,IF(U331="LB",AL331,IF(U331="ML",AM331,IF(U331="RLO",AN331,IF(U331="BD",AO331,IF(U331="BiP",AP331,IF(U331="PV",AQ331,IF(U331="OC",AR331,IF(U331="MG",AS331,0))))))))))</f>
        <v/>
      </c>
      <c r="W331" s="27">
        <f>IF(U331="BiP",Upgrades!$F$18,IF(U331="PV",Upgrades!$F$19,IF(U331="OC",Upgrades!$F$20,IF(U331="MG",Upgrades!$F$21,IF(U331="transition",-Parameters!$B$18*Parameters!$B$19,0)))))</f>
        <v/>
      </c>
      <c r="X331" s="22">
        <f>C331+T331-V331</f>
        <v/>
      </c>
      <c r="Y331" s="30">
        <f>O331*Parameters!$B$10/60*Parameters!$B$11+Q331*O331+P331</f>
        <v/>
      </c>
      <c r="Z331" s="34">
        <f>IF(U331="transition","→ Tier 3 (Galactic Arm)",IF(U331="MG","Moving Group — pocket drifts together",IF(U331="OC","Open Cluster acquired",IF(U331="PV","Peculiar Velocity — passive multiplier active",IF(U331="BiP","Binary Partner — pair bond formed",IF(AND(AU331=1,N331=0,AT331&lt;&gt;1),"Cohesion ready (waiting on completionists)","")))))) </f>
        <v/>
      </c>
      <c r="AA331" s="27">
        <f>(IF(E331=0,0,(Upgrades!$G$13+E331*Upgrades!$H$13)*POWER(Upgrades!$I$13,E331)))*(IF(Upgrades!$T$14="Stellar Kinematics",POWER(Upgrades!$U$14,F331),1)*IF(Upgrades!$T$15="Stellar Kinematics",POWER(Upgrades!$U$15,G331),1)*IF(Upgrades!$T$16="Stellar Kinematics",POWER(Upgrades!$U$16,H331),1)*IF(Upgrades!$T$17="Stellar Kinematics",POWER(Upgrades!$U$17,I331),1)*IF(Upgrades!$T$18="Stellar Kinematics",POWER(Upgrades!$U$18,J331),1)*IF(Upgrades!$T$19="Stellar Kinematics",POWER(Upgrades!$U$19,K331),1)*IF(Upgrades!$T$20="Stellar Kinematics",POWER(Upgrades!$U$20,L331),1)*IF(Upgrades!$T$21="Stellar Kinematics",POWER(Upgrades!$U$21,M331),1))*POWER(Upgrades!$P$13,E331)*POWER(Upgrades!$P$14,F331)*POWER(Upgrades!$P$15,G331)*POWER(Upgrades!$P$16,H331)*POWER(Upgrades!$P$17,I331)*POWER(Upgrades!$P$18,J331)*POWER(Upgrades!$P$19,K331)*POWER(Upgrades!$P$20,L331)*POWER(Upgrades!$P$21,M331)*$F$6*60</f>
        <v/>
      </c>
      <c r="AB331" s="27">
        <f>(IF(F331=0,0,(Upgrades!$G$14+F331*Upgrades!$H$14)*POWER(Upgrades!$I$14,F331)))*(IF(Upgrades!$T$13="Local Bubble",POWER(Upgrades!$U$13,E331),1)*IF(Upgrades!$T$15="Local Bubble",POWER(Upgrades!$U$15,G331),1)*IF(Upgrades!$T$16="Local Bubble",POWER(Upgrades!$U$16,H331),1)*IF(Upgrades!$T$17="Local Bubble",POWER(Upgrades!$U$17,I331),1)*IF(Upgrades!$T$18="Local Bubble",POWER(Upgrades!$U$18,J331),1)*IF(Upgrades!$T$19="Local Bubble",POWER(Upgrades!$U$19,K331),1)*IF(Upgrades!$T$20="Local Bubble",POWER(Upgrades!$U$20,L331),1)*IF(Upgrades!$T$21="Local Bubble",POWER(Upgrades!$U$21,M331),1))*POWER(Upgrades!$P$13,E331)*POWER(Upgrades!$P$14,F331)*POWER(Upgrades!$P$15,G331)*POWER(Upgrades!$P$16,H331)*POWER(Upgrades!$P$17,I331)*POWER(Upgrades!$P$18,J331)*POWER(Upgrades!$P$19,K331)*POWER(Upgrades!$P$20,L331)*POWER(Upgrades!$P$21,M331)*$F$6*60</f>
        <v/>
      </c>
      <c r="AC331" s="27">
        <f>(IF(G331=0,0,(Upgrades!$J$15+G331*Upgrades!$K$15)*POWER(Upgrades!$L$15,G331)))*(IF(Upgrades!$T$13="Microlensing",POWER(Upgrades!$U$13,E331),1)*IF(Upgrades!$T$14="Microlensing",POWER(Upgrades!$U$14,F331),1)*IF(Upgrades!$T$16="Microlensing",POWER(Upgrades!$U$16,H331),1)*IF(Upgrades!$T$17="Microlensing",POWER(Upgrades!$U$17,I331),1)*IF(Upgrades!$T$18="Microlensing",POWER(Upgrades!$U$18,J331),1)*IF(Upgrades!$T$19="Microlensing",POWER(Upgrades!$U$19,K331),1)*IF(Upgrades!$T$20="Microlensing",POWER(Upgrades!$U$20,L331),1)*IF(Upgrades!$T$21="Microlensing",POWER(Upgrades!$U$21,M331),1))*POWER(Upgrades!$Q$13,E331)*POWER(Upgrades!$Q$14,F331)*POWER(Upgrades!$Q$15,G331)*POWER(Upgrades!$Q$16,H331)*POWER(Upgrades!$Q$17,I331)*POWER(Upgrades!$Q$18,J331)*POWER(Upgrades!$Q$19,K331)*POWER(Upgrades!$Q$20,L331)*POWER(Upgrades!$Q$21,M331)*$G$6*(Parameters!$B$10*Parameters!$B$11+Q331*60)</f>
        <v/>
      </c>
      <c r="AD331" s="27">
        <f>(IF(H331=0,0,(Upgrades!$M$16+H331*Upgrades!$N$16)*POWER(Upgrades!$O$16,H331)))*(IF(Upgrades!$T$13="Roche Lobe Overflow",POWER(Upgrades!$U$13,E331),1)*IF(Upgrades!$T$14="Roche Lobe Overflow",POWER(Upgrades!$U$14,F331),1)*IF(Upgrades!$T$15="Roche Lobe Overflow",POWER(Upgrades!$U$15,G331),1)*IF(Upgrades!$T$17="Roche Lobe Overflow",POWER(Upgrades!$U$17,I331),1)*IF(Upgrades!$T$18="Roche Lobe Overflow",POWER(Upgrades!$U$18,J331),1)*IF(Upgrades!$T$19="Roche Lobe Overflow",POWER(Upgrades!$U$19,K331),1)*IF(Upgrades!$T$20="Roche Lobe Overflow",POWER(Upgrades!$U$20,L331),1)*IF(Upgrades!$T$21="Roche Lobe Overflow",POWER(Upgrades!$U$21,M331),1))*POWER(Upgrades!$R$13,E331)*POWER(Upgrades!$R$14,F331)*POWER(Upgrades!$R$15,G331)*POWER(Upgrades!$R$16,H331)*POWER(Upgrades!$R$17,I331)*POWER(Upgrades!$R$18,J331)*POWER(Upgrades!$R$19,K331)*POWER(Upgrades!$R$20,L331)*POWER(Upgrades!$R$21,M331)*$H$6*O331*60</f>
        <v/>
      </c>
      <c r="AE331" s="27">
        <f>(IF(I331=0,0,(Upgrades!$G$17+I331*Upgrades!$H$17)*POWER(Upgrades!$I$17,I331)))*(IF(Upgrades!$T$13="Brown Dwarf",POWER(Upgrades!$U$13,E331),1)*IF(Upgrades!$T$14="Brown Dwarf",POWER(Upgrades!$U$14,F331),1)*IF(Upgrades!$T$15="Brown Dwarf",POWER(Upgrades!$U$15,G331),1)*IF(Upgrades!$T$16="Brown Dwarf",POWER(Upgrades!$U$16,H331),1)*IF(Upgrades!$T$18="Brown Dwarf",POWER(Upgrades!$U$18,J331),1)*IF(Upgrades!$T$19="Brown Dwarf",POWER(Upgrades!$U$19,K331),1)*IF(Upgrades!$T$20="Brown Dwarf",POWER(Upgrades!$U$20,L331),1)*IF(Upgrades!$T$21="Brown Dwarf",POWER(Upgrades!$U$21,M331),1))*POWER(Upgrades!$P$13,E331)*POWER(Upgrades!$P$14,F331)*POWER(Upgrades!$P$15,G331)*POWER(Upgrades!$P$16,H331)*POWER(Upgrades!$P$17,I331)*POWER(Upgrades!$P$18,J331)*POWER(Upgrades!$P$19,K331)*POWER(Upgrades!$P$20,L331)*POWER(Upgrades!$P$21,M331)*$F$6*60</f>
        <v/>
      </c>
      <c r="AF331" s="27" t="n">
        <v>0</v>
      </c>
      <c r="AG331" s="27" t="n">
        <v>0</v>
      </c>
      <c r="AH331" s="27" t="n">
        <v>0</v>
      </c>
      <c r="AI331" s="27">
        <f>(IF(M331=0,0,(Upgrades!$G$21+M331*Upgrades!$H$21)*POWER(Upgrades!$I$21,M331)))*(IF(Upgrades!$T$13="Moving Group",POWER(Upgrades!$U$13,E331),1)*IF(Upgrades!$T$14="Moving Group",POWER(Upgrades!$U$14,F331),1)*IF(Upgrades!$T$15="Moving Group",POWER(Upgrades!$U$15,G331),1)*IF(Upgrades!$T$16="Moving Group",POWER(Upgrades!$U$16,H331),1)*IF(Upgrades!$T$17="Moving Group",POWER(Upgrades!$U$17,I331),1)*IF(Upgrades!$T$18="Moving Group",POWER(Upgrades!$U$18,J331),1)*IF(Upgrades!$T$19="Moving Group",POWER(Upgrades!$U$19,K331),1)*IF(Upgrades!$T$20="Moving Group",POWER(Upgrades!$U$20,L331),1))*POWER(Upgrades!$P$13,E331)*POWER(Upgrades!$P$14,F331)*POWER(Upgrades!$P$15,G331)*POWER(Upgrades!$P$16,H331)*POWER(Upgrades!$P$17,I331)*POWER(Upgrades!$P$18,J331)*POWER(Upgrades!$P$19,K331)*POWER(Upgrades!$P$20,L331)*POWER(Upgrades!$P$21,M331)*$F$6*60</f>
        <v/>
      </c>
      <c r="AJ331" s="27">
        <f>$C$6*60</f>
        <v/>
      </c>
      <c r="AK331" s="22">
        <f>IF(E331&gt;=Upgrades!$E$13,"",Upgrades!$C$13*POWER(Upgrades!$D$13,E331))</f>
        <v/>
      </c>
      <c r="AL331" s="22">
        <f>IF(F331&gt;=Upgrades!$E$14,"",Upgrades!$C$14*POWER(Upgrades!$D$14,F331))</f>
        <v/>
      </c>
      <c r="AM331" s="22">
        <f>IF(G331&gt;=Upgrades!$E$15,"",Upgrades!$C$15*POWER(Upgrades!$D$15,G331))</f>
        <v/>
      </c>
      <c r="AN331" s="22">
        <f>IF(H331&gt;=Upgrades!$E$16,"",Upgrades!$C$16*POWER(Upgrades!$D$16,H331))</f>
        <v/>
      </c>
      <c r="AO331" s="22">
        <f>IF(I331&gt;=Upgrades!$E$17,"",Upgrades!$C$17*POWER(Upgrades!$D$17,I331))</f>
        <v/>
      </c>
      <c r="AP331" s="22">
        <f>IF(J331&gt;=Upgrades!$E$18,"",Upgrades!$C$18*POWER(Upgrades!$D$18,J331))</f>
        <v/>
      </c>
      <c r="AQ331" s="22">
        <f>IF(K331&gt;=Upgrades!$E$19,"",Upgrades!$C$19*POWER(Upgrades!$D$19,K331))</f>
        <v/>
      </c>
      <c r="AR331" s="22">
        <f>IF(L331&gt;=Upgrades!$E$20,"",Upgrades!$C$20*POWER(Upgrades!$D$20,L331))</f>
        <v/>
      </c>
      <c r="AS331" s="22">
        <f>IF(M331&gt;=Upgrades!$E$21,"",Upgrades!$C$21*POWER(Upgrades!$D$21,M331))</f>
        <v/>
      </c>
      <c r="AT331" s="26">
        <f>IF(AND(D331&gt;=Parameters!$B$18*Parameters!$B$19,(I331&gt;=Upgrades!$E$17)*(M331&gt;=Upgrades!$E$21)=1,N331=0),1,"")</f>
        <v/>
      </c>
      <c r="AU331" s="26">
        <f>IF(AND(D331&gt;=Parameters!$B$18*Parameters!$B$19,N331=0),1,"")</f>
        <v/>
      </c>
      <c r="AV331" s="22">
        <f>MIN(IF(ISNUMBER(AP331),AP331,9E15),IF(ISNUMBER(AQ331),AQ331,9E15),IF(ISNUMBER(AR331),AR331,9E15),IF(ISNUMBER(AS331),AS331,9E15))</f>
        <v/>
      </c>
      <c r="AW331" s="22">
        <f>MIN(IF(ISNUMBER(AK331),AK331,9E15),IF(ISNUMBER(AL331),AL331,9E15),IF(ISNUMBER(AM331),AM331,9E15),IF(ISNUMBER(AN331),AN331,9E15),IF(ISNUMBER(AO331),AO331,9E15))</f>
        <v/>
      </c>
      <c r="AX331" s="29">
        <f>IF(BD331&gt;Parameters!$B$21*(MAX(IF(AND(NOT(AND(AU331=1,AT331&lt;&gt;1)),ISNUMBER(AK331),AK331&lt;=(C331+T331)),AY331,0),IF(AND(NOT(AND(AU331=1,AT331&lt;&gt;1)),ISNUMBER(AL331),AL331&lt;=(C331+T331)),AZ331,0),IF(AND(NOT(AND(AU331=1,AT331&lt;&gt;1)),ISNUMBER(AM331),AM331&lt;=(C331+T331)),BA331,0),IF(AND(NOT(AND(AU331=1,AT331&lt;&gt;1)),ISNUMBER(AN331),AN331&lt;=(C331+T331)),BB331,0),IF(AND(ISNUMBER(AO331),AO331&lt;=(C331+T331)),BC331,0))),TRUE,FALSE)</f>
        <v/>
      </c>
      <c r="AY331" s="32">
        <f>IFERROR(Upgrades!$H$13*(POWER(Upgrades!$P$13,E331)*POWER(Upgrades!$P$14,F331)*POWER(Upgrades!$P$15,G331)*POWER(Upgrades!$P$16,H331)*POWER(Upgrades!$P$17,I331)*POWER(Upgrades!$P$18,J331)*POWER(Upgrades!$P$19,K331)*POWER(Upgrades!$P$20,L331)*POWER(Upgrades!$P$21,M331))*(IF(Upgrades!$T$14="Stellar Kinematics",POWER(Upgrades!$U$14,F331),1)*IF(Upgrades!$T$15="Stellar Kinematics",POWER(Upgrades!$U$15,G331),1)*IF(Upgrades!$T$16="Stellar Kinematics",POWER(Upgrades!$U$16,H331),1)*IF(Upgrades!$T$17="Stellar Kinematics",POWER(Upgrades!$U$17,I331),1)*IF(Upgrades!$T$18="Stellar Kinematics",POWER(Upgrades!$U$18,J331),1)*IF(Upgrades!$T$19="Stellar Kinematics",POWER(Upgrades!$U$19,K331),1)*IF(Upgrades!$T$20="Stellar Kinematics",POWER(Upgrades!$U$20,L331),1)*IF(Upgrades!$T$21="Stellar Kinematics",POWER(Upgrades!$U$21,M331),1))*$F$6/AK331,0)</f>
        <v/>
      </c>
      <c r="AZ331" s="32">
        <f>IFERROR(Upgrades!$H$14*(POWER(Upgrades!$P$13,E331)*POWER(Upgrades!$P$14,F331)*POWER(Upgrades!$P$15,G331)*POWER(Upgrades!$P$16,H331)*POWER(Upgrades!$P$17,I331)*POWER(Upgrades!$P$18,J331)*POWER(Upgrades!$P$19,K331)*POWER(Upgrades!$P$20,L331)*POWER(Upgrades!$P$21,M331))*(IF(Upgrades!$T$13="Local Bubble",POWER(Upgrades!$U$13,E331),1)*IF(Upgrades!$T$15="Local Bubble",POWER(Upgrades!$U$15,G331),1)*IF(Upgrades!$T$16="Local Bubble",POWER(Upgrades!$U$16,H331),1)*IF(Upgrades!$T$17="Local Bubble",POWER(Upgrades!$U$17,I331),1)*IF(Upgrades!$T$18="Local Bubble",POWER(Upgrades!$U$18,J331),1)*IF(Upgrades!$T$19="Local Bubble",POWER(Upgrades!$U$19,K331),1)*IF(Upgrades!$T$20="Local Bubble",POWER(Upgrades!$U$20,L331),1)*IF(Upgrades!$T$21="Local Bubble",POWER(Upgrades!$U$21,M331),1))*$F$6/AL331,0)</f>
        <v/>
      </c>
      <c r="BA331" s="32">
        <f>IFERROR(Upgrades!$K$15*(POWER(Upgrades!$Q$13,E331)*POWER(Upgrades!$Q$14,F331)*POWER(Upgrades!$Q$15,G331)*POWER(Upgrades!$Q$16,H331)*POWER(Upgrades!$Q$17,I331)*POWER(Upgrades!$Q$18,J331)*POWER(Upgrades!$Q$19,K331)*POWER(Upgrades!$Q$20,L331)*POWER(Upgrades!$Q$21,M331))*(IF(Upgrades!$T$13="Microlensing",POWER(Upgrades!$U$13,E331),1)*IF(Upgrades!$T$14="Microlensing",POWER(Upgrades!$U$14,F331),1)*IF(Upgrades!$T$16="Microlensing",POWER(Upgrades!$U$16,H331),1)*IF(Upgrades!$T$17="Microlensing",POWER(Upgrades!$U$17,I331),1)*IF(Upgrades!$T$18="Microlensing",POWER(Upgrades!$U$18,J331),1)*IF(Upgrades!$T$19="Microlensing",POWER(Upgrades!$U$19,K331),1)*IF(Upgrades!$T$20="Microlensing",POWER(Upgrades!$U$20,L331),1)*IF(Upgrades!$T$21="Microlensing",POWER(Upgrades!$U$21,M331),1))*$G$6*(Parameters!$B$10/60*Parameters!$B$11+Q331)/AM331,0)</f>
        <v/>
      </c>
      <c r="BB331" s="32">
        <f>IFERROR((Upgrades!$N$16*(POWER(Upgrades!$R$13,E331)*POWER(Upgrades!$R$14,F331)*POWER(Upgrades!$R$15,G331)*POWER(Upgrades!$R$16,H331)*POWER(Upgrades!$R$17,I331)*POWER(Upgrades!$R$18,J331)*POWER(Upgrades!$R$19,K331)*POWER(Upgrades!$R$20,L331)*POWER(Upgrades!$R$21,M331))*(IF(Upgrades!$T$13="Roche Lobe Overflow",POWER(Upgrades!$U$13,E331),1)*IF(Upgrades!$T$14="Roche Lobe Overflow",POWER(Upgrades!$U$14,F331),1)*IF(Upgrades!$T$15="Roche Lobe Overflow",POWER(Upgrades!$U$15,G331),1)*IF(Upgrades!$T$17="Roche Lobe Overflow",POWER(Upgrades!$U$17,I331),1)*IF(Upgrades!$T$18="Roche Lobe Overflow",POWER(Upgrades!$U$18,J331),1)*IF(Upgrades!$T$19="Roche Lobe Overflow",POWER(Upgrades!$U$19,K331),1)*IF(Upgrades!$T$20="Roche Lobe Overflow",POWER(Upgrades!$U$20,L331),1)*IF(Upgrades!$T$21="Roche Lobe Overflow",POWER(Upgrades!$U$21,M331),1))*$H$6*O331+((IF(F331=0,0,(Upgrades!$G$14+F331*Upgrades!$H$14)*POWER(Upgrades!$I$14,F331)))*(IF(Upgrades!$T$13="Local Bubble",POWER(Upgrades!$U$13,E331),1)*IF(Upgrades!$T$15="Local Bubble",POWER(Upgrades!$U$15,G331),1)*IF(Upgrades!$T$16="Local Bubble",POWER(Upgrades!$U$16,H331),1)*IF(Upgrades!$T$17="Local Bubble",POWER(Upgrades!$U$17,I331),1)*IF(Upgrades!$T$18="Local Bubble",POWER(Upgrades!$U$18,J331),1)*IF(Upgrades!$T$19="Local Bubble",POWER(Upgrades!$U$19,K331),1)*IF(Upgrades!$T$20="Local Bubble",POWER(Upgrades!$U$20,L331),1)*IF(Upgrades!$T$21="Local Bubble",POWER(Upgrades!$U$21,M331),1))*POWER(Upgrades!$P$13,E331)*POWER(Upgrades!$P$14,F331)*POWER(Upgrades!$P$15,G331)*POWER(Upgrades!$P$16,H331)*POWER(Upgrades!$P$17,I331)*POWER(Upgrades!$P$18,J331)*POWER(Upgrades!$P$19,K331)*POWER(Upgrades!$P$20,L331)*POWER(Upgrades!$P$21,M331)*$F$6)*0.05)/AN331,0)</f>
        <v/>
      </c>
      <c r="BC331" s="32">
        <f>IFERROR((Upgrades!$H$17*(POWER(Upgrades!$P$13,E331)*POWER(Upgrades!$P$14,F331)*POWER(Upgrades!$P$15,G331)*POWER(Upgrades!$P$16,H331)*POWER(Upgrades!$P$17,I331)*POWER(Upgrades!$P$18,J331)*POWER(Upgrades!$P$19,K331)*POWER(Upgrades!$P$20,L331)*POWER(Upgrades!$P$21,M331))*(IF(Upgrades!$T$13="Brown Dwarf",POWER(Upgrades!$U$13,E331),1)*IF(Upgrades!$T$14="Brown Dwarf",POWER(Upgrades!$U$14,F331),1)*IF(Upgrades!$T$15="Brown Dwarf",POWER(Upgrades!$U$15,G331),1)*IF(Upgrades!$T$16="Brown Dwarf",POWER(Upgrades!$U$16,H331),1)*IF(Upgrades!$T$18="Brown Dwarf",POWER(Upgrades!$U$18,J331),1)*IF(Upgrades!$T$19="Brown Dwarf",POWER(Upgrades!$U$19,K331),1)*IF(Upgrades!$T$20="Brown Dwarf",POWER(Upgrades!$U$20,L331),1)*IF(Upgrades!$T$21="Brown Dwarf",POWER(Upgrades!$U$21,M331),1))*$F$6+(((IF(H331=0,0,(Upgrades!$M$16+H331*Upgrades!$N$16)*POWER(Upgrades!$O$16,H331)))*(IF(Upgrades!$T$13="Roche Lobe Overflow",POWER(Upgrades!$U$13,E331),1)*IF(Upgrades!$T$14="Roche Lobe Overflow",POWER(Upgrades!$U$14,F331),1)*IF(Upgrades!$T$15="Roche Lobe Overflow",POWER(Upgrades!$U$15,G331),1)*IF(Upgrades!$T$17="Roche Lobe Overflow",POWER(Upgrades!$U$17,I331),1)*IF(Upgrades!$T$18="Roche Lobe Overflow",POWER(Upgrades!$U$18,J331),1)*IF(Upgrades!$T$19="Roche Lobe Overflow",POWER(Upgrades!$U$19,K331),1)*IF(Upgrades!$T$20="Roche Lobe Overflow",POWER(Upgrades!$U$20,L331),1)*IF(Upgrades!$T$21="Roche Lobe Overflow",POWER(Upgrades!$U$21,M331),1))*POWER(Upgrades!$R$13,E331)*POWER(Upgrades!$R$14,F331)*POWER(Upgrades!$R$15,G331)*POWER(Upgrades!$R$16,H331)*POWER(Upgrades!$R$17,I331)*POWER(Upgrades!$R$18,J331)*POWER(Upgrades!$R$19,K331)*POWER(Upgrades!$R$20,L331)*POWER(Upgrades!$R$21,M331)*$H$6)*O331)*0.10)/AO331,0)</f>
        <v/>
      </c>
      <c r="BD331" s="32">
        <f>MAX(IF(J331&gt;0,0,IFERROR(0.5*((IF(G331=0,0,(Upgrades!$J$15+G331*Upgrades!$K$15)*POWER(Upgrades!$L$15,G331)))*(IF(Upgrades!$T$13="Microlensing",POWER(Upgrades!$U$13,E331),1)*IF(Upgrades!$T$14="Microlensing",POWER(Upgrades!$U$14,F331),1)*IF(Upgrades!$T$16="Microlensing",POWER(Upgrades!$U$16,H331),1)*IF(Upgrades!$T$17="Microlensing",POWER(Upgrades!$U$17,I331),1)*IF(Upgrades!$T$18="Microlensing",POWER(Upgrades!$U$18,J331),1)*IF(Upgrades!$T$19="Microlensing",POWER(Upgrades!$U$19,K331),1)*IF(Upgrades!$T$20="Microlensing",POWER(Upgrades!$U$20,L331),1)*IF(Upgrades!$T$21="Microlensing",POWER(Upgrades!$U$21,M331),1))*(POWER(Upgrades!$Q$13,E331)*POWER(Upgrades!$Q$14,F331)*POWER(Upgrades!$Q$15,G331)*POWER(Upgrades!$Q$16,H331)*POWER(Upgrades!$Q$17,I331)*POWER(Upgrades!$Q$18,J331)*POWER(Upgrades!$Q$19,K331)*POWER(Upgrades!$Q$20,L331)*POWER(Upgrades!$Q$21,M331))*$G$6*(Parameters!$B$10/60*Parameters!$B$11+Q331))/Upgrades!$C$18,0)),IF(K331&gt;0,0,IFERROR(0.30*P331/Upgrades!$C$19,0)),IF(L331&gt;0,0,IFERROR(0.0001/Upgrades!$C$20,0)),IF(M331&gt;0,0,IFERROR((6.0*(POWER(Upgrades!$P$13,E331)*POWER(Upgrades!$P$14,F331)*POWER(Upgrades!$P$15,G331)*POWER(Upgrades!$P$16,H331)*POWER(Upgrades!$P$17,I331)*POWER(Upgrades!$P$18,J331)*POWER(Upgrades!$P$19,K331)*POWER(Upgrades!$P$20,L331)*POWER(Upgrades!$P$21,M331))*$F$6+0.20*O331*(Parameters!$B$10/60*Parameters!$B$11+Q331))/Upgrades!$C$21,0)),IF(AND(ISNUMBER(AK331),AK331&gt;(C331+T331)),AY331,0),IF(AND(ISNUMBER(AL331),AL331&gt;(C331+T331)),AZ331,0),IF(AND(ISNUMBER(AM331),AM331&gt;(C331+T331)),BA331,0),IF(AND(ISNUMBER(AN331),AN331&gt;(C331+T331)),BB331,0),IF(AND(ISNUMBER(AO331),AO331&gt;(C331+T331)),BC331,0))</f>
        <v/>
      </c>
      <c r="BE331" s="29">
        <f>IF(AT331=1,"transition",IF(MIN(IF(AND(J331=0,ISNUMBER(AP331),AP331&lt;=(C331+T331)),AP331,9E15),IF(AND(K331=0,ISNUMBER(AQ331),AQ331&lt;=(C331+T331)),AQ331,9E15),IF(AND(L331=0,ISNUMBER(AR331),AR331&lt;=(C331+T331)),AR331,9E15),IF(AND(M331=0,ISNUMBER(AS331),AS331&lt;=(C331+T331)),AS331,9E15))&lt;9E15,IF(AND(AND(J331=0,ISNUMBER(AP331),AP331&lt;=(C331+T331)),AP331=MIN(IF(AND(J331=0,ISNUMBER(AP331),AP331&lt;=(C331+T331)),AP331,9E15),IF(AND(K331=0,ISNUMBER(AQ331),AQ331&lt;=(C331+T331)),AQ331,9E15),IF(AND(L331=0,ISNUMBER(AR331),AR331&lt;=(C331+T331)),AR331,9E15),IF(AND(M331=0,ISNUMBER(AS331),AS331&lt;=(C331+T331)),AS331,9E15))),"BiP",IF(AND(AND(K331=0,ISNUMBER(AQ331),AQ331&lt;=(C331+T331)),AQ331=MIN(IF(AND(J331=0,ISNUMBER(AP331),AP331&lt;=(C331+T331)),AP331,9E15),IF(AND(K331=0,ISNUMBER(AQ331),AQ331&lt;=(C331+T331)),AQ331,9E15),IF(AND(L331=0,ISNUMBER(AR331),AR331&lt;=(C331+T331)),AR331,9E15),IF(AND(M331=0,ISNUMBER(AS331),AS331&lt;=(C331+T331)),AS331,9E15))),"PV",IF(AND(AND(L331=0,ISNUMBER(AR331),AR331&lt;=(C331+T331)),AR331=MIN(IF(AND(J331=0,ISNUMBER(AP331),AP331&lt;=(C331+T331)),AP331,9E15),IF(AND(K331=0,ISNUMBER(AQ331),AQ331&lt;=(C331+T331)),AQ331,9E15),IF(AND(L331=0,ISNUMBER(AR331),AR331&lt;=(C331+T331)),AR331,9E15),IF(AND(M331=0,ISNUMBER(AS331),AS331&lt;=(C331+T331)),AS331,9E15))),"OC","MG"))),IF(AX331=TRUE,"",IF(MAX(IF(AND(NOT(AND(AU331=1,AT331&lt;&gt;1)),ISNUMBER(AK331),AK331&lt;=(C331+T331)),AY331,0),IF(AND(NOT(AND(AU331=1,AT331&lt;&gt;1)),ISNUMBER(AL331),AL331&lt;=(C331+T331)),AZ331,0),IF(AND(NOT(AND(AU331=1,AT331&lt;&gt;1)),ISNUMBER(AM331),AM331&lt;=(C331+T331)),BA331,0),IF(AND(NOT(AND(AU331=1,AT331&lt;&gt;1)),ISNUMBER(AN331),AN331&lt;=(C331+T331)),BB331,0),IF(AND(ISNUMBER(AO331),AO331&lt;=(C331+T331)),BC331,0))&lt;=0,"",IF(AND(IF(AND(NOT(AND(AU331=1,AT331&lt;&gt;1)),ISNUMBER(AK331),AK331&lt;=(C331+T331)),AY331,0)&gt;0,IF(AND(NOT(AND(AU331=1,AT331&lt;&gt;1)),ISNUMBER(AK331),AK331&lt;=(C331+T331)),AY331,0)=MAX(IF(AND(NOT(AND(AU331=1,AT331&lt;&gt;1)),ISNUMBER(AK331),AK331&lt;=(C331+T331)),AY331,0),IF(AND(NOT(AND(AU331=1,AT331&lt;&gt;1)),ISNUMBER(AL331),AL331&lt;=(C331+T331)),AZ331,0),IF(AND(NOT(AND(AU331=1,AT331&lt;&gt;1)),ISNUMBER(AM331),AM331&lt;=(C331+T331)),BA331,0),IF(AND(NOT(AND(AU331=1,AT331&lt;&gt;1)),ISNUMBER(AN331),AN331&lt;=(C331+T331)),BB331,0),IF(AND(ISNUMBER(AO331),AO331&lt;=(C331+T331)),BC331,0))),"SK",IF(AND(IF(AND(NOT(AND(AU331=1,AT331&lt;&gt;1)),ISNUMBER(AL331),AL331&lt;=(C331+T331)),AZ331,0)&gt;0,IF(AND(NOT(AND(AU331=1,AT331&lt;&gt;1)),ISNUMBER(AL331),AL331&lt;=(C331+T331)),AZ331,0)=MAX(IF(AND(NOT(AND(AU331=1,AT331&lt;&gt;1)),ISNUMBER(AK331),AK331&lt;=(C331+T331)),AY331,0),IF(AND(NOT(AND(AU331=1,AT331&lt;&gt;1)),ISNUMBER(AL331),AL331&lt;=(C331+T331)),AZ331,0),IF(AND(NOT(AND(AU331=1,AT331&lt;&gt;1)),ISNUMBER(AM331),AM331&lt;=(C331+T331)),BA331,0),IF(AND(NOT(AND(AU331=1,AT331&lt;&gt;1)),ISNUMBER(AN331),AN331&lt;=(C331+T331)),BB331,0),IF(AND(ISNUMBER(AO331),AO331&lt;=(C331+T331)),BC331,0))),"LB",IF(AND(IF(AND(NOT(AND(AU331=1,AT331&lt;&gt;1)),ISNUMBER(AM331),AM331&lt;=(C331+T331)),BA331,0)&gt;0,IF(AND(NOT(AND(AU331=1,AT331&lt;&gt;1)),ISNUMBER(AM331),AM331&lt;=(C331+T331)),BA331,0)=MAX(IF(AND(NOT(AND(AU331=1,AT331&lt;&gt;1)),ISNUMBER(AK331),AK331&lt;=(C331+T331)),AY331,0),IF(AND(NOT(AND(AU331=1,AT331&lt;&gt;1)),ISNUMBER(AL331),AL331&lt;=(C331+T331)),AZ331,0),IF(AND(NOT(AND(AU331=1,AT331&lt;&gt;1)),ISNUMBER(AM331),AM331&lt;=(C331+T331)),BA331,0),IF(AND(NOT(AND(AU331=1,AT331&lt;&gt;1)),ISNUMBER(AN331),AN331&lt;=(C331+T331)),BB331,0),IF(AND(ISNUMBER(AO331),AO331&lt;=(C331+T331)),BC331,0))),"ML",IF(AND(IF(AND(NOT(AND(AU331=1,AT331&lt;&gt;1)),ISNUMBER(AN331),AN331&lt;=(C331+T331)),BB331,0)&gt;0,IF(AND(NOT(AND(AU331=1,AT331&lt;&gt;1)),ISNUMBER(AN331),AN331&lt;=(C331+T331)),BB331,0)=MAX(IF(AND(NOT(AND(AU331=1,AT331&lt;&gt;1)),ISNUMBER(AK331),AK331&lt;=(C331+T331)),AY331,0),IF(AND(NOT(AND(AU331=1,AT331&lt;&gt;1)),ISNUMBER(AL331),AL331&lt;=(C331+T331)),AZ331,0),IF(AND(NOT(AND(AU331=1,AT331&lt;&gt;1)),ISNUMBER(AM331),AM331&lt;=(C331+T331)),BA331,0),IF(AND(NOT(AND(AU331=1,AT331&lt;&gt;1)),ISNUMBER(AN331),AN331&lt;=(C331+T331)),BB331,0),IF(AND(ISNUMBER(AO331),AO331&lt;=(C331+T331)),BC331,0))),"RLO","BD"))))))))</f>
        <v/>
      </c>
    </row>
    <row r="332">
      <c r="A332" s="26" t="n">
        <v>321</v>
      </c>
      <c r="B332" s="27">
        <f>A332*10/60</f>
        <v/>
      </c>
      <c r="C332" s="22">
        <f>X331</f>
        <v/>
      </c>
      <c r="D332" s="27">
        <f>D331+W331</f>
        <v/>
      </c>
      <c r="E332" s="26">
        <f>E331+IF(U331="SK",1,0)</f>
        <v/>
      </c>
      <c r="F332" s="26">
        <f>F331+IF(U331="LB",1,0)</f>
        <v/>
      </c>
      <c r="G332" s="26">
        <f>G331+IF(U331="ML",1,0)</f>
        <v/>
      </c>
      <c r="H332" s="26">
        <f>H331+IF(U331="RLO",1,0)</f>
        <v/>
      </c>
      <c r="I332" s="26">
        <f>I331+IF(U331="BD",1,0)</f>
        <v/>
      </c>
      <c r="J332" s="26">
        <f>MAX(J331,IF(U331="BiP",1,0))</f>
        <v/>
      </c>
      <c r="K332" s="26">
        <f>MAX(K331,IF(U331="PV",1,0))</f>
        <v/>
      </c>
      <c r="L332" s="26">
        <f>MAX(L331,IF(U331="OC",1,0))</f>
        <v/>
      </c>
      <c r="M332" s="26">
        <f>MAX(M331,IF(U331="MG",1,0))</f>
        <v/>
      </c>
      <c r="N332" s="26">
        <f>MAX(N331,IF(U331="transition",1,0))</f>
        <v/>
      </c>
      <c r="O332" s="28">
        <f>(Parameters!$B$9+(IF(E332=0,0,(Upgrades!$J$13+E332*Upgrades!$K$13)*POWER(Upgrades!$L$13,E332)))*(IF(Upgrades!$T$14="Stellar Kinematics",POWER(Upgrades!$U$14,F332),1)*IF(Upgrades!$T$15="Stellar Kinematics",POWER(Upgrades!$U$15,G332),1)*IF(Upgrades!$T$16="Stellar Kinematics",POWER(Upgrades!$U$16,H332),1)*IF(Upgrades!$T$17="Stellar Kinematics",POWER(Upgrades!$U$17,I332),1)*IF(Upgrades!$T$18="Stellar Kinematics",POWER(Upgrades!$U$18,J332),1)*IF(Upgrades!$T$19="Stellar Kinematics",POWER(Upgrades!$U$19,K332),1)*IF(Upgrades!$T$20="Stellar Kinematics",POWER(Upgrades!$U$20,L332),1)*IF(Upgrades!$T$21="Stellar Kinematics",POWER(Upgrades!$U$21,M332),1))+(IF(F332=0,0,(Upgrades!$J$14+F332*Upgrades!$K$14)*POWER(Upgrades!$L$14,F332)))*(IF(Upgrades!$T$13="Local Bubble",POWER(Upgrades!$U$13,E332),1)*IF(Upgrades!$T$15="Local Bubble",POWER(Upgrades!$U$15,G332),1)*IF(Upgrades!$T$16="Local Bubble",POWER(Upgrades!$U$16,H332),1)*IF(Upgrades!$T$17="Local Bubble",POWER(Upgrades!$U$17,I332),1)*IF(Upgrades!$T$18="Local Bubble",POWER(Upgrades!$U$18,J332),1)*IF(Upgrades!$T$19="Local Bubble",POWER(Upgrades!$U$19,K332),1)*IF(Upgrades!$T$20="Local Bubble",POWER(Upgrades!$U$20,L332),1)*IF(Upgrades!$T$21="Local Bubble",POWER(Upgrades!$U$21,M332),1))+(IF(G332=0,0,(Upgrades!$J$15+G332*Upgrades!$K$15)*POWER(Upgrades!$L$15,G332)))*(IF(Upgrades!$T$13="Microlensing",POWER(Upgrades!$U$13,E332),1)*IF(Upgrades!$T$14="Microlensing",POWER(Upgrades!$U$14,F332),1)*IF(Upgrades!$T$16="Microlensing",POWER(Upgrades!$U$16,H332),1)*IF(Upgrades!$T$17="Microlensing",POWER(Upgrades!$U$17,I332),1)*IF(Upgrades!$T$18="Microlensing",POWER(Upgrades!$U$18,J332),1)*IF(Upgrades!$T$19="Microlensing",POWER(Upgrades!$U$19,K332),1)*IF(Upgrades!$T$20="Microlensing",POWER(Upgrades!$U$20,L332),1)*IF(Upgrades!$T$21="Microlensing",POWER(Upgrades!$U$21,M332),1))+(IF(H332=0,0,(Upgrades!$J$16+H332*Upgrades!$K$16)*POWER(Upgrades!$L$16,H332)))*(IF(Upgrades!$T$13="Roche Lobe Overflow",POWER(Upgrades!$U$13,E332),1)*IF(Upgrades!$T$14="Roche Lobe Overflow",POWER(Upgrades!$U$14,F332),1)*IF(Upgrades!$T$15="Roche Lobe Overflow",POWER(Upgrades!$U$15,G332),1)*IF(Upgrades!$T$17="Roche Lobe Overflow",POWER(Upgrades!$U$17,I332),1)*IF(Upgrades!$T$18="Roche Lobe Overflow",POWER(Upgrades!$U$18,J332),1)*IF(Upgrades!$T$19="Roche Lobe Overflow",POWER(Upgrades!$U$19,K332),1)*IF(Upgrades!$T$20="Roche Lobe Overflow",POWER(Upgrades!$U$20,L332),1)*IF(Upgrades!$T$21="Roche Lobe Overflow",POWER(Upgrades!$U$21,M332),1))+(IF(I332=0,0,(Upgrades!$J$17+I332*Upgrades!$K$17)*POWER(Upgrades!$L$17,I332)))*(IF(Upgrades!$T$13="Brown Dwarf",POWER(Upgrades!$U$13,E332),1)*IF(Upgrades!$T$14="Brown Dwarf",POWER(Upgrades!$U$14,F332),1)*IF(Upgrades!$T$15="Brown Dwarf",POWER(Upgrades!$U$15,G332),1)*IF(Upgrades!$T$16="Brown Dwarf",POWER(Upgrades!$U$16,H332),1)*IF(Upgrades!$T$18="Brown Dwarf",POWER(Upgrades!$U$18,J332),1)*IF(Upgrades!$T$19="Brown Dwarf",POWER(Upgrades!$U$19,K332),1)*IF(Upgrades!$T$20="Brown Dwarf",POWER(Upgrades!$U$20,L332),1)*IF(Upgrades!$T$21="Brown Dwarf",POWER(Upgrades!$U$21,M332),1))+(IF(J332=0,0,(Upgrades!$J$18+J332*Upgrades!$K$18)*POWER(Upgrades!$L$18,J332)))*(IF(Upgrades!$T$13="Binary Partner",POWER(Upgrades!$U$13,E332),1)*IF(Upgrades!$T$14="Binary Partner",POWER(Upgrades!$U$14,F332),1)*IF(Upgrades!$T$15="Binary Partner",POWER(Upgrades!$U$15,G332),1)*IF(Upgrades!$T$16="Binary Partner",POWER(Upgrades!$U$16,H332),1)*IF(Upgrades!$T$17="Binary Partner",POWER(Upgrades!$U$17,I332),1)*IF(Upgrades!$T$19="Binary Partner",POWER(Upgrades!$U$19,K332),1)*IF(Upgrades!$T$20="Binary Partner",POWER(Upgrades!$U$20,L332),1)*IF(Upgrades!$T$21="Binary Partner",POWER(Upgrades!$U$21,M332),1))+(IF(K332=0,0,(Upgrades!$J$19+K332*Upgrades!$K$19)*POWER(Upgrades!$L$19,K332)))*(IF(Upgrades!$T$13="Peculiar Velocity",POWER(Upgrades!$U$13,E332),1)*IF(Upgrades!$T$14="Peculiar Velocity",POWER(Upgrades!$U$14,F332),1)*IF(Upgrades!$T$15="Peculiar Velocity",POWER(Upgrades!$U$15,G332),1)*IF(Upgrades!$T$16="Peculiar Velocity",POWER(Upgrades!$U$16,H332),1)*IF(Upgrades!$T$17="Peculiar Velocity",POWER(Upgrades!$U$17,I332),1)*IF(Upgrades!$T$18="Peculiar Velocity",POWER(Upgrades!$U$18,J332),1)*IF(Upgrades!$T$20="Peculiar Velocity",POWER(Upgrades!$U$20,L332),1)*IF(Upgrades!$T$21="Peculiar Velocity",POWER(Upgrades!$U$21,M332),1))+(IF(L332=0,0,(Upgrades!$J$20+L332*Upgrades!$K$20)*POWER(Upgrades!$L$20,L332)))*(IF(Upgrades!$T$13="Open Cluster",POWER(Upgrades!$U$13,E332),1)*IF(Upgrades!$T$14="Open Cluster",POWER(Upgrades!$U$14,F332),1)*IF(Upgrades!$T$15="Open Cluster",POWER(Upgrades!$U$15,G332),1)*IF(Upgrades!$T$16="Open Cluster",POWER(Upgrades!$U$16,H332),1)*IF(Upgrades!$T$17="Open Cluster",POWER(Upgrades!$U$17,I332),1)*IF(Upgrades!$T$18="Open Cluster",POWER(Upgrades!$U$18,J332),1)*IF(Upgrades!$T$19="Open Cluster",POWER(Upgrades!$U$19,K332),1)*IF(Upgrades!$T$21="Open Cluster",POWER(Upgrades!$U$21,M332),1))+(IF(M332=0,0,(Upgrades!$J$21+M332*Upgrades!$K$21)*POWER(Upgrades!$L$21,M332)))*(IF(Upgrades!$T$13="Moving Group",POWER(Upgrades!$U$13,E332),1)*IF(Upgrades!$T$14="Moving Group",POWER(Upgrades!$U$14,F332),1)*IF(Upgrades!$T$15="Moving Group",POWER(Upgrades!$U$15,G332),1)*IF(Upgrades!$T$16="Moving Group",POWER(Upgrades!$U$16,H332),1)*IF(Upgrades!$T$17="Moving Group",POWER(Upgrades!$U$17,I332),1)*IF(Upgrades!$T$18="Moving Group",POWER(Upgrades!$U$18,J332),1)*IF(Upgrades!$T$19="Moving Group",POWER(Upgrades!$U$19,K332),1)*IF(Upgrades!$T$20="Moving Group",POWER(Upgrades!$U$20,L332),1)))*POWER(Upgrades!$Q$13,E332)*POWER(Upgrades!$Q$14,F332)*POWER(Upgrades!$Q$15,G332)*POWER(Upgrades!$Q$16,H332)*POWER(Upgrades!$Q$17,I332)*POWER(Upgrades!$Q$18,J332)*POWER(Upgrades!$Q$19,K332)*POWER(Upgrades!$Q$20,L332)*POWER(Upgrades!$Q$21,M332)*$G$6+$D$6</f>
        <v/>
      </c>
      <c r="P332" s="28">
        <f>((IF(E332=0,0,(Upgrades!$G$13+E332*Upgrades!$H$13)*POWER(Upgrades!$I$13,E332)))*(IF(Upgrades!$T$14="Stellar Kinematics",POWER(Upgrades!$U$14,F332),1)*IF(Upgrades!$T$15="Stellar Kinematics",POWER(Upgrades!$U$15,G332),1)*IF(Upgrades!$T$16="Stellar Kinematics",POWER(Upgrades!$U$16,H332),1)*IF(Upgrades!$T$17="Stellar Kinematics",POWER(Upgrades!$U$17,I332),1)*IF(Upgrades!$T$18="Stellar Kinematics",POWER(Upgrades!$U$18,J332),1)*IF(Upgrades!$T$19="Stellar Kinematics",POWER(Upgrades!$U$19,K332),1)*IF(Upgrades!$T$20="Stellar Kinematics",POWER(Upgrades!$U$20,L332),1)*IF(Upgrades!$T$21="Stellar Kinematics",POWER(Upgrades!$U$21,M332),1))+(IF(F332=0,0,(Upgrades!$G$14+F332*Upgrades!$H$14)*POWER(Upgrades!$I$14,F332)))*(IF(Upgrades!$T$13="Local Bubble",POWER(Upgrades!$U$13,E332),1)*IF(Upgrades!$T$15="Local Bubble",POWER(Upgrades!$U$15,G332),1)*IF(Upgrades!$T$16="Local Bubble",POWER(Upgrades!$U$16,H332),1)*IF(Upgrades!$T$17="Local Bubble",POWER(Upgrades!$U$17,I332),1)*IF(Upgrades!$T$18="Local Bubble",POWER(Upgrades!$U$18,J332),1)*IF(Upgrades!$T$19="Local Bubble",POWER(Upgrades!$U$19,K332),1)*IF(Upgrades!$T$20="Local Bubble",POWER(Upgrades!$U$20,L332),1)*IF(Upgrades!$T$21="Local Bubble",POWER(Upgrades!$U$21,M332),1))+(IF(G332=0,0,(Upgrades!$G$15+G332*Upgrades!$H$15)*POWER(Upgrades!$I$15,G332)))*(IF(Upgrades!$T$13="Microlensing",POWER(Upgrades!$U$13,E332),1)*IF(Upgrades!$T$14="Microlensing",POWER(Upgrades!$U$14,F332),1)*IF(Upgrades!$T$16="Microlensing",POWER(Upgrades!$U$16,H332),1)*IF(Upgrades!$T$17="Microlensing",POWER(Upgrades!$U$17,I332),1)*IF(Upgrades!$T$18="Microlensing",POWER(Upgrades!$U$18,J332),1)*IF(Upgrades!$T$19="Microlensing",POWER(Upgrades!$U$19,K332),1)*IF(Upgrades!$T$20="Microlensing",POWER(Upgrades!$U$20,L332),1)*IF(Upgrades!$T$21="Microlensing",POWER(Upgrades!$U$21,M332),1))+(IF(H332=0,0,(Upgrades!$G$16+H332*Upgrades!$H$16)*POWER(Upgrades!$I$16,H332)))*(IF(Upgrades!$T$13="Roche Lobe Overflow",POWER(Upgrades!$U$13,E332),1)*IF(Upgrades!$T$14="Roche Lobe Overflow",POWER(Upgrades!$U$14,F332),1)*IF(Upgrades!$T$15="Roche Lobe Overflow",POWER(Upgrades!$U$15,G332),1)*IF(Upgrades!$T$17="Roche Lobe Overflow",POWER(Upgrades!$U$17,I332),1)*IF(Upgrades!$T$18="Roche Lobe Overflow",POWER(Upgrades!$U$18,J332),1)*IF(Upgrades!$T$19="Roche Lobe Overflow",POWER(Upgrades!$U$19,K332),1)*IF(Upgrades!$T$20="Roche Lobe Overflow",POWER(Upgrades!$U$20,L332),1)*IF(Upgrades!$T$21="Roche Lobe Overflow",POWER(Upgrades!$U$21,M332),1))+(IF(I332=0,0,(Upgrades!$G$17+I332*Upgrades!$H$17)*POWER(Upgrades!$I$17,I332)))*(IF(Upgrades!$T$13="Brown Dwarf",POWER(Upgrades!$U$13,E332),1)*IF(Upgrades!$T$14="Brown Dwarf",POWER(Upgrades!$U$14,F332),1)*IF(Upgrades!$T$15="Brown Dwarf",POWER(Upgrades!$U$15,G332),1)*IF(Upgrades!$T$16="Brown Dwarf",POWER(Upgrades!$U$16,H332),1)*IF(Upgrades!$T$18="Brown Dwarf",POWER(Upgrades!$U$18,J332),1)*IF(Upgrades!$T$19="Brown Dwarf",POWER(Upgrades!$U$19,K332),1)*IF(Upgrades!$T$20="Brown Dwarf",POWER(Upgrades!$U$20,L332),1)*IF(Upgrades!$T$21="Brown Dwarf",POWER(Upgrades!$U$21,M332),1))+(IF(J332=0,0,(Upgrades!$G$18+J332*Upgrades!$H$18)*POWER(Upgrades!$I$18,J332)))*(IF(Upgrades!$T$13="Binary Partner",POWER(Upgrades!$U$13,E332),1)*IF(Upgrades!$T$14="Binary Partner",POWER(Upgrades!$U$14,F332),1)*IF(Upgrades!$T$15="Binary Partner",POWER(Upgrades!$U$15,G332),1)*IF(Upgrades!$T$16="Binary Partner",POWER(Upgrades!$U$16,H332),1)*IF(Upgrades!$T$17="Binary Partner",POWER(Upgrades!$U$17,I332),1)*IF(Upgrades!$T$19="Binary Partner",POWER(Upgrades!$U$19,K332),1)*IF(Upgrades!$T$20="Binary Partner",POWER(Upgrades!$U$20,L332),1)*IF(Upgrades!$T$21="Binary Partner",POWER(Upgrades!$U$21,M332),1))+(IF(K332=0,0,(Upgrades!$G$19+K332*Upgrades!$H$19)*POWER(Upgrades!$I$19,K332)))*(IF(Upgrades!$T$13="Peculiar Velocity",POWER(Upgrades!$U$13,E332),1)*IF(Upgrades!$T$14="Peculiar Velocity",POWER(Upgrades!$U$14,F332),1)*IF(Upgrades!$T$15="Peculiar Velocity",POWER(Upgrades!$U$15,G332),1)*IF(Upgrades!$T$16="Peculiar Velocity",POWER(Upgrades!$U$16,H332),1)*IF(Upgrades!$T$17="Peculiar Velocity",POWER(Upgrades!$U$17,I332),1)*IF(Upgrades!$T$18="Peculiar Velocity",POWER(Upgrades!$U$18,J332),1)*IF(Upgrades!$T$20="Peculiar Velocity",POWER(Upgrades!$U$20,L332),1)*IF(Upgrades!$T$21="Peculiar Velocity",POWER(Upgrades!$U$21,M332),1))+(IF(L332=0,0,(Upgrades!$G$20+L332*Upgrades!$H$20)*POWER(Upgrades!$I$20,L332)))*(IF(Upgrades!$T$13="Open Cluster",POWER(Upgrades!$U$13,E332),1)*IF(Upgrades!$T$14="Open Cluster",POWER(Upgrades!$U$14,F332),1)*IF(Upgrades!$T$15="Open Cluster",POWER(Upgrades!$U$15,G332),1)*IF(Upgrades!$T$16="Open Cluster",POWER(Upgrades!$U$16,H332),1)*IF(Upgrades!$T$17="Open Cluster",POWER(Upgrades!$U$17,I332),1)*IF(Upgrades!$T$18="Open Cluster",POWER(Upgrades!$U$18,J332),1)*IF(Upgrades!$T$19="Open Cluster",POWER(Upgrades!$U$19,K332),1)*IF(Upgrades!$T$21="Open Cluster",POWER(Upgrades!$U$21,M332),1))+(IF(M332=0,0,(Upgrades!$G$21+M332*Upgrades!$H$21)*POWER(Upgrades!$I$21,M332)))*(IF(Upgrades!$T$13="Moving Group",POWER(Upgrades!$U$13,E332),1)*IF(Upgrades!$T$14="Moving Group",POWER(Upgrades!$U$14,F332),1)*IF(Upgrades!$T$15="Moving Group",POWER(Upgrades!$U$15,G332),1)*IF(Upgrades!$T$16="Moving Group",POWER(Upgrades!$U$16,H332),1)*IF(Upgrades!$T$17="Moving Group",POWER(Upgrades!$U$17,I332),1)*IF(Upgrades!$T$18="Moving Group",POWER(Upgrades!$U$18,J332),1)*IF(Upgrades!$T$19="Moving Group",POWER(Upgrades!$U$19,K332),1)*IF(Upgrades!$T$20="Moving Group",POWER(Upgrades!$U$20,L332),1)))*POWER(Upgrades!$P$13,E332)*POWER(Upgrades!$P$14,F332)*POWER(Upgrades!$P$15,G332)*POWER(Upgrades!$P$16,H332)*POWER(Upgrades!$P$17,I332)*POWER(Upgrades!$P$18,J332)*POWER(Upgrades!$P$19,K332)*POWER(Upgrades!$P$20,L332)*POWER(Upgrades!$P$21,M332)*$F$6+$C$6</f>
        <v/>
      </c>
      <c r="Q332" s="28">
        <f>((IF(E332=0,0,(Upgrades!$M$13+E332*Upgrades!$N$13)*POWER(Upgrades!$O$13,E332)))*(IF(Upgrades!$T$14="Stellar Kinematics",POWER(Upgrades!$U$14,F332),1)*IF(Upgrades!$T$15="Stellar Kinematics",POWER(Upgrades!$U$15,G332),1)*IF(Upgrades!$T$16="Stellar Kinematics",POWER(Upgrades!$U$16,H332),1)*IF(Upgrades!$T$17="Stellar Kinematics",POWER(Upgrades!$U$17,I332),1)*IF(Upgrades!$T$18="Stellar Kinematics",POWER(Upgrades!$U$18,J332),1)*IF(Upgrades!$T$19="Stellar Kinematics",POWER(Upgrades!$U$19,K332),1)*IF(Upgrades!$T$20="Stellar Kinematics",POWER(Upgrades!$U$20,L332),1)*IF(Upgrades!$T$21="Stellar Kinematics",POWER(Upgrades!$U$21,M332),1))+(IF(F332=0,0,(Upgrades!$M$14+F332*Upgrades!$N$14)*POWER(Upgrades!$O$14,F332)))*(IF(Upgrades!$T$13="Local Bubble",POWER(Upgrades!$U$13,E332),1)*IF(Upgrades!$T$15="Local Bubble",POWER(Upgrades!$U$15,G332),1)*IF(Upgrades!$T$16="Local Bubble",POWER(Upgrades!$U$16,H332),1)*IF(Upgrades!$T$17="Local Bubble",POWER(Upgrades!$U$17,I332),1)*IF(Upgrades!$T$18="Local Bubble",POWER(Upgrades!$U$18,J332),1)*IF(Upgrades!$T$19="Local Bubble",POWER(Upgrades!$U$19,K332),1)*IF(Upgrades!$T$20="Local Bubble",POWER(Upgrades!$U$20,L332),1)*IF(Upgrades!$T$21="Local Bubble",POWER(Upgrades!$U$21,M332),1))+(IF(G332=0,0,(Upgrades!$M$15+G332*Upgrades!$N$15)*POWER(Upgrades!$O$15,G332)))*(IF(Upgrades!$T$13="Microlensing",POWER(Upgrades!$U$13,E332),1)*IF(Upgrades!$T$14="Microlensing",POWER(Upgrades!$U$14,F332),1)*IF(Upgrades!$T$16="Microlensing",POWER(Upgrades!$U$16,H332),1)*IF(Upgrades!$T$17="Microlensing",POWER(Upgrades!$U$17,I332),1)*IF(Upgrades!$T$18="Microlensing",POWER(Upgrades!$U$18,J332),1)*IF(Upgrades!$T$19="Microlensing",POWER(Upgrades!$U$19,K332),1)*IF(Upgrades!$T$20="Microlensing",POWER(Upgrades!$U$20,L332),1)*IF(Upgrades!$T$21="Microlensing",POWER(Upgrades!$U$21,M332),1))+(IF(H332=0,0,(Upgrades!$M$16+H332*Upgrades!$N$16)*POWER(Upgrades!$O$16,H332)))*(IF(Upgrades!$T$13="Roche Lobe Overflow",POWER(Upgrades!$U$13,E332),1)*IF(Upgrades!$T$14="Roche Lobe Overflow",POWER(Upgrades!$U$14,F332),1)*IF(Upgrades!$T$15="Roche Lobe Overflow",POWER(Upgrades!$U$15,G332),1)*IF(Upgrades!$T$17="Roche Lobe Overflow",POWER(Upgrades!$U$17,I332),1)*IF(Upgrades!$T$18="Roche Lobe Overflow",POWER(Upgrades!$U$18,J332),1)*IF(Upgrades!$T$19="Roche Lobe Overflow",POWER(Upgrades!$U$19,K332),1)*IF(Upgrades!$T$20="Roche Lobe Overflow",POWER(Upgrades!$U$20,L332),1)*IF(Upgrades!$T$21="Roche Lobe Overflow",POWER(Upgrades!$U$21,M332),1))+(IF(I332=0,0,(Upgrades!$M$17+I332*Upgrades!$N$17)*POWER(Upgrades!$O$17,I332)))*(IF(Upgrades!$T$13="Brown Dwarf",POWER(Upgrades!$U$13,E332),1)*IF(Upgrades!$T$14="Brown Dwarf",POWER(Upgrades!$U$14,F332),1)*IF(Upgrades!$T$15="Brown Dwarf",POWER(Upgrades!$U$15,G332),1)*IF(Upgrades!$T$16="Brown Dwarf",POWER(Upgrades!$U$16,H332),1)*IF(Upgrades!$T$18="Brown Dwarf",POWER(Upgrades!$U$18,J332),1)*IF(Upgrades!$T$19="Brown Dwarf",POWER(Upgrades!$U$19,K332),1)*IF(Upgrades!$T$20="Brown Dwarf",POWER(Upgrades!$U$20,L332),1)*IF(Upgrades!$T$21="Brown Dwarf",POWER(Upgrades!$U$21,M332),1))+(IF(J332=0,0,(Upgrades!$M$18+J332*Upgrades!$N$18)*POWER(Upgrades!$O$18,J332)))*(IF(Upgrades!$T$13="Binary Partner",POWER(Upgrades!$U$13,E332),1)*IF(Upgrades!$T$14="Binary Partner",POWER(Upgrades!$U$14,F332),1)*IF(Upgrades!$T$15="Binary Partner",POWER(Upgrades!$U$15,G332),1)*IF(Upgrades!$T$16="Binary Partner",POWER(Upgrades!$U$16,H332),1)*IF(Upgrades!$T$17="Binary Partner",POWER(Upgrades!$U$17,I332),1)*IF(Upgrades!$T$19="Binary Partner",POWER(Upgrades!$U$19,K332),1)*IF(Upgrades!$T$20="Binary Partner",POWER(Upgrades!$U$20,L332),1)*IF(Upgrades!$T$21="Binary Partner",POWER(Upgrades!$U$21,M332),1))+(IF(K332=0,0,(Upgrades!$M$19+K332*Upgrades!$N$19)*POWER(Upgrades!$O$19,K332)))*(IF(Upgrades!$T$13="Peculiar Velocity",POWER(Upgrades!$U$13,E332),1)*IF(Upgrades!$T$14="Peculiar Velocity",POWER(Upgrades!$U$14,F332),1)*IF(Upgrades!$T$15="Peculiar Velocity",POWER(Upgrades!$U$15,G332),1)*IF(Upgrades!$T$16="Peculiar Velocity",POWER(Upgrades!$U$16,H332),1)*IF(Upgrades!$T$17="Peculiar Velocity",POWER(Upgrades!$U$17,I332),1)*IF(Upgrades!$T$18="Peculiar Velocity",POWER(Upgrades!$U$18,J332),1)*IF(Upgrades!$T$20="Peculiar Velocity",POWER(Upgrades!$U$20,L332),1)*IF(Upgrades!$T$21="Peculiar Velocity",POWER(Upgrades!$U$21,M332),1))+(IF(L332=0,0,(Upgrades!$M$20+L332*Upgrades!$N$20)*POWER(Upgrades!$O$20,L332)))*(IF(Upgrades!$T$13="Open Cluster",POWER(Upgrades!$U$13,E332),1)*IF(Upgrades!$T$14="Open Cluster",POWER(Upgrades!$U$14,F332),1)*IF(Upgrades!$T$15="Open Cluster",POWER(Upgrades!$U$15,G332),1)*IF(Upgrades!$T$16="Open Cluster",POWER(Upgrades!$U$16,H332),1)*IF(Upgrades!$T$17="Open Cluster",POWER(Upgrades!$U$17,I332),1)*IF(Upgrades!$T$18="Open Cluster",POWER(Upgrades!$U$18,J332),1)*IF(Upgrades!$T$19="Open Cluster",POWER(Upgrades!$U$19,K332),1)*IF(Upgrades!$T$21="Open Cluster",POWER(Upgrades!$U$21,M332),1))+(IF(M332=0,0,(Upgrades!$M$21+M332*Upgrades!$N$21)*POWER(Upgrades!$O$21,M332)))*(IF(Upgrades!$T$13="Moving Group",POWER(Upgrades!$U$13,E332),1)*IF(Upgrades!$T$14="Moving Group",POWER(Upgrades!$U$14,F332),1)*IF(Upgrades!$T$15="Moving Group",POWER(Upgrades!$U$15,G332),1)*IF(Upgrades!$T$16="Moving Group",POWER(Upgrades!$U$16,H332),1)*IF(Upgrades!$T$17="Moving Group",POWER(Upgrades!$U$17,I332),1)*IF(Upgrades!$T$18="Moving Group",POWER(Upgrades!$U$18,J332),1)*IF(Upgrades!$T$19="Moving Group",POWER(Upgrades!$U$19,K332),1)*IF(Upgrades!$T$20="Moving Group",POWER(Upgrades!$U$20,L332),1)))*POWER(Upgrades!$R$13,E332)*POWER(Upgrades!$R$14,F332)*POWER(Upgrades!$R$15,G332)*POWER(Upgrades!$R$16,H332)*POWER(Upgrades!$R$17,I332)*POWER(Upgrades!$R$18,J332)*POWER(Upgrades!$R$19,K332)*POWER(Upgrades!$R$20,L332)*POWER(Upgrades!$R$21,M332)*$H$6+$E$6</f>
        <v/>
      </c>
      <c r="R332" s="27">
        <f>IF(N332=1,0,O332*Parameters!$B$10/60*Parameters!$B$11*10)</f>
        <v/>
      </c>
      <c r="S332" s="27">
        <f>IF(N332=1,0,Q332*O332*10)</f>
        <v/>
      </c>
      <c r="T332" s="27">
        <f>IF(N332=1,0,R332+S332+P332*10)</f>
        <v/>
      </c>
      <c r="U332" s="33">
        <f>BE332</f>
        <v/>
      </c>
      <c r="V332" s="22">
        <f>IF(U332="",0,IF(U332="transition",0,IF(U332="SK",AK332,IF(U332="LB",AL332,IF(U332="ML",AM332,IF(U332="RLO",AN332,IF(U332="BD",AO332,IF(U332="BiP",AP332,IF(U332="PV",AQ332,IF(U332="OC",AR332,IF(U332="MG",AS332,0))))))))))</f>
        <v/>
      </c>
      <c r="W332" s="27">
        <f>IF(U332="BiP",Upgrades!$F$18,IF(U332="PV",Upgrades!$F$19,IF(U332="OC",Upgrades!$F$20,IF(U332="MG",Upgrades!$F$21,IF(U332="transition",-Parameters!$B$18*Parameters!$B$19,0)))))</f>
        <v/>
      </c>
      <c r="X332" s="22">
        <f>C332+T332-V332</f>
        <v/>
      </c>
      <c r="Y332" s="30">
        <f>O332*Parameters!$B$10/60*Parameters!$B$11+Q332*O332+P332</f>
        <v/>
      </c>
      <c r="Z332" s="34">
        <f>IF(U332="transition","→ Tier 3 (Galactic Arm)",IF(U332="MG","Moving Group — pocket drifts together",IF(U332="OC","Open Cluster acquired",IF(U332="PV","Peculiar Velocity — passive multiplier active",IF(U332="BiP","Binary Partner — pair bond formed",IF(AND(AU332=1,N332=0,AT332&lt;&gt;1),"Cohesion ready (waiting on completionists)","")))))) </f>
        <v/>
      </c>
      <c r="AA332" s="27">
        <f>(IF(E332=0,0,(Upgrades!$G$13+E332*Upgrades!$H$13)*POWER(Upgrades!$I$13,E332)))*(IF(Upgrades!$T$14="Stellar Kinematics",POWER(Upgrades!$U$14,F332),1)*IF(Upgrades!$T$15="Stellar Kinematics",POWER(Upgrades!$U$15,G332),1)*IF(Upgrades!$T$16="Stellar Kinematics",POWER(Upgrades!$U$16,H332),1)*IF(Upgrades!$T$17="Stellar Kinematics",POWER(Upgrades!$U$17,I332),1)*IF(Upgrades!$T$18="Stellar Kinematics",POWER(Upgrades!$U$18,J332),1)*IF(Upgrades!$T$19="Stellar Kinematics",POWER(Upgrades!$U$19,K332),1)*IF(Upgrades!$T$20="Stellar Kinematics",POWER(Upgrades!$U$20,L332),1)*IF(Upgrades!$T$21="Stellar Kinematics",POWER(Upgrades!$U$21,M332),1))*POWER(Upgrades!$P$13,E332)*POWER(Upgrades!$P$14,F332)*POWER(Upgrades!$P$15,G332)*POWER(Upgrades!$P$16,H332)*POWER(Upgrades!$P$17,I332)*POWER(Upgrades!$P$18,J332)*POWER(Upgrades!$P$19,K332)*POWER(Upgrades!$P$20,L332)*POWER(Upgrades!$P$21,M332)*$F$6*60</f>
        <v/>
      </c>
      <c r="AB332" s="27">
        <f>(IF(F332=0,0,(Upgrades!$G$14+F332*Upgrades!$H$14)*POWER(Upgrades!$I$14,F332)))*(IF(Upgrades!$T$13="Local Bubble",POWER(Upgrades!$U$13,E332),1)*IF(Upgrades!$T$15="Local Bubble",POWER(Upgrades!$U$15,G332),1)*IF(Upgrades!$T$16="Local Bubble",POWER(Upgrades!$U$16,H332),1)*IF(Upgrades!$T$17="Local Bubble",POWER(Upgrades!$U$17,I332),1)*IF(Upgrades!$T$18="Local Bubble",POWER(Upgrades!$U$18,J332),1)*IF(Upgrades!$T$19="Local Bubble",POWER(Upgrades!$U$19,K332),1)*IF(Upgrades!$T$20="Local Bubble",POWER(Upgrades!$U$20,L332),1)*IF(Upgrades!$T$21="Local Bubble",POWER(Upgrades!$U$21,M332),1))*POWER(Upgrades!$P$13,E332)*POWER(Upgrades!$P$14,F332)*POWER(Upgrades!$P$15,G332)*POWER(Upgrades!$P$16,H332)*POWER(Upgrades!$P$17,I332)*POWER(Upgrades!$P$18,J332)*POWER(Upgrades!$P$19,K332)*POWER(Upgrades!$P$20,L332)*POWER(Upgrades!$P$21,M332)*$F$6*60</f>
        <v/>
      </c>
      <c r="AC332" s="27">
        <f>(IF(G332=0,0,(Upgrades!$J$15+G332*Upgrades!$K$15)*POWER(Upgrades!$L$15,G332)))*(IF(Upgrades!$T$13="Microlensing",POWER(Upgrades!$U$13,E332),1)*IF(Upgrades!$T$14="Microlensing",POWER(Upgrades!$U$14,F332),1)*IF(Upgrades!$T$16="Microlensing",POWER(Upgrades!$U$16,H332),1)*IF(Upgrades!$T$17="Microlensing",POWER(Upgrades!$U$17,I332),1)*IF(Upgrades!$T$18="Microlensing",POWER(Upgrades!$U$18,J332),1)*IF(Upgrades!$T$19="Microlensing",POWER(Upgrades!$U$19,K332),1)*IF(Upgrades!$T$20="Microlensing",POWER(Upgrades!$U$20,L332),1)*IF(Upgrades!$T$21="Microlensing",POWER(Upgrades!$U$21,M332),1))*POWER(Upgrades!$Q$13,E332)*POWER(Upgrades!$Q$14,F332)*POWER(Upgrades!$Q$15,G332)*POWER(Upgrades!$Q$16,H332)*POWER(Upgrades!$Q$17,I332)*POWER(Upgrades!$Q$18,J332)*POWER(Upgrades!$Q$19,K332)*POWER(Upgrades!$Q$20,L332)*POWER(Upgrades!$Q$21,M332)*$G$6*(Parameters!$B$10*Parameters!$B$11+Q332*60)</f>
        <v/>
      </c>
      <c r="AD332" s="27">
        <f>(IF(H332=0,0,(Upgrades!$M$16+H332*Upgrades!$N$16)*POWER(Upgrades!$O$16,H332)))*(IF(Upgrades!$T$13="Roche Lobe Overflow",POWER(Upgrades!$U$13,E332),1)*IF(Upgrades!$T$14="Roche Lobe Overflow",POWER(Upgrades!$U$14,F332),1)*IF(Upgrades!$T$15="Roche Lobe Overflow",POWER(Upgrades!$U$15,G332),1)*IF(Upgrades!$T$17="Roche Lobe Overflow",POWER(Upgrades!$U$17,I332),1)*IF(Upgrades!$T$18="Roche Lobe Overflow",POWER(Upgrades!$U$18,J332),1)*IF(Upgrades!$T$19="Roche Lobe Overflow",POWER(Upgrades!$U$19,K332),1)*IF(Upgrades!$T$20="Roche Lobe Overflow",POWER(Upgrades!$U$20,L332),1)*IF(Upgrades!$T$21="Roche Lobe Overflow",POWER(Upgrades!$U$21,M332),1))*POWER(Upgrades!$R$13,E332)*POWER(Upgrades!$R$14,F332)*POWER(Upgrades!$R$15,G332)*POWER(Upgrades!$R$16,H332)*POWER(Upgrades!$R$17,I332)*POWER(Upgrades!$R$18,J332)*POWER(Upgrades!$R$19,K332)*POWER(Upgrades!$R$20,L332)*POWER(Upgrades!$R$21,M332)*$H$6*O332*60</f>
        <v/>
      </c>
      <c r="AE332" s="27">
        <f>(IF(I332=0,0,(Upgrades!$G$17+I332*Upgrades!$H$17)*POWER(Upgrades!$I$17,I332)))*(IF(Upgrades!$T$13="Brown Dwarf",POWER(Upgrades!$U$13,E332),1)*IF(Upgrades!$T$14="Brown Dwarf",POWER(Upgrades!$U$14,F332),1)*IF(Upgrades!$T$15="Brown Dwarf",POWER(Upgrades!$U$15,G332),1)*IF(Upgrades!$T$16="Brown Dwarf",POWER(Upgrades!$U$16,H332),1)*IF(Upgrades!$T$18="Brown Dwarf",POWER(Upgrades!$U$18,J332),1)*IF(Upgrades!$T$19="Brown Dwarf",POWER(Upgrades!$U$19,K332),1)*IF(Upgrades!$T$20="Brown Dwarf",POWER(Upgrades!$U$20,L332),1)*IF(Upgrades!$T$21="Brown Dwarf",POWER(Upgrades!$U$21,M332),1))*POWER(Upgrades!$P$13,E332)*POWER(Upgrades!$P$14,F332)*POWER(Upgrades!$P$15,G332)*POWER(Upgrades!$P$16,H332)*POWER(Upgrades!$P$17,I332)*POWER(Upgrades!$P$18,J332)*POWER(Upgrades!$P$19,K332)*POWER(Upgrades!$P$20,L332)*POWER(Upgrades!$P$21,M332)*$F$6*60</f>
        <v/>
      </c>
      <c r="AF332" s="27" t="n">
        <v>0</v>
      </c>
      <c r="AG332" s="27" t="n">
        <v>0</v>
      </c>
      <c r="AH332" s="27" t="n">
        <v>0</v>
      </c>
      <c r="AI332" s="27">
        <f>(IF(M332=0,0,(Upgrades!$G$21+M332*Upgrades!$H$21)*POWER(Upgrades!$I$21,M332)))*(IF(Upgrades!$T$13="Moving Group",POWER(Upgrades!$U$13,E332),1)*IF(Upgrades!$T$14="Moving Group",POWER(Upgrades!$U$14,F332),1)*IF(Upgrades!$T$15="Moving Group",POWER(Upgrades!$U$15,G332),1)*IF(Upgrades!$T$16="Moving Group",POWER(Upgrades!$U$16,H332),1)*IF(Upgrades!$T$17="Moving Group",POWER(Upgrades!$U$17,I332),1)*IF(Upgrades!$T$18="Moving Group",POWER(Upgrades!$U$18,J332),1)*IF(Upgrades!$T$19="Moving Group",POWER(Upgrades!$U$19,K332),1)*IF(Upgrades!$T$20="Moving Group",POWER(Upgrades!$U$20,L332),1))*POWER(Upgrades!$P$13,E332)*POWER(Upgrades!$P$14,F332)*POWER(Upgrades!$P$15,G332)*POWER(Upgrades!$P$16,H332)*POWER(Upgrades!$P$17,I332)*POWER(Upgrades!$P$18,J332)*POWER(Upgrades!$P$19,K332)*POWER(Upgrades!$P$20,L332)*POWER(Upgrades!$P$21,M332)*$F$6*60</f>
        <v/>
      </c>
      <c r="AJ332" s="27">
        <f>$C$6*60</f>
        <v/>
      </c>
      <c r="AK332" s="22">
        <f>IF(E332&gt;=Upgrades!$E$13,"",Upgrades!$C$13*POWER(Upgrades!$D$13,E332))</f>
        <v/>
      </c>
      <c r="AL332" s="22">
        <f>IF(F332&gt;=Upgrades!$E$14,"",Upgrades!$C$14*POWER(Upgrades!$D$14,F332))</f>
        <v/>
      </c>
      <c r="AM332" s="22">
        <f>IF(G332&gt;=Upgrades!$E$15,"",Upgrades!$C$15*POWER(Upgrades!$D$15,G332))</f>
        <v/>
      </c>
      <c r="AN332" s="22">
        <f>IF(H332&gt;=Upgrades!$E$16,"",Upgrades!$C$16*POWER(Upgrades!$D$16,H332))</f>
        <v/>
      </c>
      <c r="AO332" s="22">
        <f>IF(I332&gt;=Upgrades!$E$17,"",Upgrades!$C$17*POWER(Upgrades!$D$17,I332))</f>
        <v/>
      </c>
      <c r="AP332" s="22">
        <f>IF(J332&gt;=Upgrades!$E$18,"",Upgrades!$C$18*POWER(Upgrades!$D$18,J332))</f>
        <v/>
      </c>
      <c r="AQ332" s="22">
        <f>IF(K332&gt;=Upgrades!$E$19,"",Upgrades!$C$19*POWER(Upgrades!$D$19,K332))</f>
        <v/>
      </c>
      <c r="AR332" s="22">
        <f>IF(L332&gt;=Upgrades!$E$20,"",Upgrades!$C$20*POWER(Upgrades!$D$20,L332))</f>
        <v/>
      </c>
      <c r="AS332" s="22">
        <f>IF(M332&gt;=Upgrades!$E$21,"",Upgrades!$C$21*POWER(Upgrades!$D$21,M332))</f>
        <v/>
      </c>
      <c r="AT332" s="26">
        <f>IF(AND(D332&gt;=Parameters!$B$18*Parameters!$B$19,(I332&gt;=Upgrades!$E$17)*(M332&gt;=Upgrades!$E$21)=1,N332=0),1,"")</f>
        <v/>
      </c>
      <c r="AU332" s="26">
        <f>IF(AND(D332&gt;=Parameters!$B$18*Parameters!$B$19,N332=0),1,"")</f>
        <v/>
      </c>
      <c r="AV332" s="22">
        <f>MIN(IF(ISNUMBER(AP332),AP332,9E15),IF(ISNUMBER(AQ332),AQ332,9E15),IF(ISNUMBER(AR332),AR332,9E15),IF(ISNUMBER(AS332),AS332,9E15))</f>
        <v/>
      </c>
      <c r="AW332" s="22">
        <f>MIN(IF(ISNUMBER(AK332),AK332,9E15),IF(ISNUMBER(AL332),AL332,9E15),IF(ISNUMBER(AM332),AM332,9E15),IF(ISNUMBER(AN332),AN332,9E15),IF(ISNUMBER(AO332),AO332,9E15))</f>
        <v/>
      </c>
      <c r="AX332" s="29">
        <f>IF(BD332&gt;Parameters!$B$21*(MAX(IF(AND(NOT(AND(AU332=1,AT332&lt;&gt;1)),ISNUMBER(AK332),AK332&lt;=(C332+T332)),AY332,0),IF(AND(NOT(AND(AU332=1,AT332&lt;&gt;1)),ISNUMBER(AL332),AL332&lt;=(C332+T332)),AZ332,0),IF(AND(NOT(AND(AU332=1,AT332&lt;&gt;1)),ISNUMBER(AM332),AM332&lt;=(C332+T332)),BA332,0),IF(AND(NOT(AND(AU332=1,AT332&lt;&gt;1)),ISNUMBER(AN332),AN332&lt;=(C332+T332)),BB332,0),IF(AND(ISNUMBER(AO332),AO332&lt;=(C332+T332)),BC332,0))),TRUE,FALSE)</f>
        <v/>
      </c>
      <c r="AY332" s="32">
        <f>IFERROR(Upgrades!$H$13*(POWER(Upgrades!$P$13,E332)*POWER(Upgrades!$P$14,F332)*POWER(Upgrades!$P$15,G332)*POWER(Upgrades!$P$16,H332)*POWER(Upgrades!$P$17,I332)*POWER(Upgrades!$P$18,J332)*POWER(Upgrades!$P$19,K332)*POWER(Upgrades!$P$20,L332)*POWER(Upgrades!$P$21,M332))*(IF(Upgrades!$T$14="Stellar Kinematics",POWER(Upgrades!$U$14,F332),1)*IF(Upgrades!$T$15="Stellar Kinematics",POWER(Upgrades!$U$15,G332),1)*IF(Upgrades!$T$16="Stellar Kinematics",POWER(Upgrades!$U$16,H332),1)*IF(Upgrades!$T$17="Stellar Kinematics",POWER(Upgrades!$U$17,I332),1)*IF(Upgrades!$T$18="Stellar Kinematics",POWER(Upgrades!$U$18,J332),1)*IF(Upgrades!$T$19="Stellar Kinematics",POWER(Upgrades!$U$19,K332),1)*IF(Upgrades!$T$20="Stellar Kinematics",POWER(Upgrades!$U$20,L332),1)*IF(Upgrades!$T$21="Stellar Kinematics",POWER(Upgrades!$U$21,M332),1))*$F$6/AK332,0)</f>
        <v/>
      </c>
      <c r="AZ332" s="32">
        <f>IFERROR(Upgrades!$H$14*(POWER(Upgrades!$P$13,E332)*POWER(Upgrades!$P$14,F332)*POWER(Upgrades!$P$15,G332)*POWER(Upgrades!$P$16,H332)*POWER(Upgrades!$P$17,I332)*POWER(Upgrades!$P$18,J332)*POWER(Upgrades!$P$19,K332)*POWER(Upgrades!$P$20,L332)*POWER(Upgrades!$P$21,M332))*(IF(Upgrades!$T$13="Local Bubble",POWER(Upgrades!$U$13,E332),1)*IF(Upgrades!$T$15="Local Bubble",POWER(Upgrades!$U$15,G332),1)*IF(Upgrades!$T$16="Local Bubble",POWER(Upgrades!$U$16,H332),1)*IF(Upgrades!$T$17="Local Bubble",POWER(Upgrades!$U$17,I332),1)*IF(Upgrades!$T$18="Local Bubble",POWER(Upgrades!$U$18,J332),1)*IF(Upgrades!$T$19="Local Bubble",POWER(Upgrades!$U$19,K332),1)*IF(Upgrades!$T$20="Local Bubble",POWER(Upgrades!$U$20,L332),1)*IF(Upgrades!$T$21="Local Bubble",POWER(Upgrades!$U$21,M332),1))*$F$6/AL332,0)</f>
        <v/>
      </c>
      <c r="BA332" s="32">
        <f>IFERROR(Upgrades!$K$15*(POWER(Upgrades!$Q$13,E332)*POWER(Upgrades!$Q$14,F332)*POWER(Upgrades!$Q$15,G332)*POWER(Upgrades!$Q$16,H332)*POWER(Upgrades!$Q$17,I332)*POWER(Upgrades!$Q$18,J332)*POWER(Upgrades!$Q$19,K332)*POWER(Upgrades!$Q$20,L332)*POWER(Upgrades!$Q$21,M332))*(IF(Upgrades!$T$13="Microlensing",POWER(Upgrades!$U$13,E332),1)*IF(Upgrades!$T$14="Microlensing",POWER(Upgrades!$U$14,F332),1)*IF(Upgrades!$T$16="Microlensing",POWER(Upgrades!$U$16,H332),1)*IF(Upgrades!$T$17="Microlensing",POWER(Upgrades!$U$17,I332),1)*IF(Upgrades!$T$18="Microlensing",POWER(Upgrades!$U$18,J332),1)*IF(Upgrades!$T$19="Microlensing",POWER(Upgrades!$U$19,K332),1)*IF(Upgrades!$T$20="Microlensing",POWER(Upgrades!$U$20,L332),1)*IF(Upgrades!$T$21="Microlensing",POWER(Upgrades!$U$21,M332),1))*$G$6*(Parameters!$B$10/60*Parameters!$B$11+Q332)/AM332,0)</f>
        <v/>
      </c>
      <c r="BB332" s="32">
        <f>IFERROR((Upgrades!$N$16*(POWER(Upgrades!$R$13,E332)*POWER(Upgrades!$R$14,F332)*POWER(Upgrades!$R$15,G332)*POWER(Upgrades!$R$16,H332)*POWER(Upgrades!$R$17,I332)*POWER(Upgrades!$R$18,J332)*POWER(Upgrades!$R$19,K332)*POWER(Upgrades!$R$20,L332)*POWER(Upgrades!$R$21,M332))*(IF(Upgrades!$T$13="Roche Lobe Overflow",POWER(Upgrades!$U$13,E332),1)*IF(Upgrades!$T$14="Roche Lobe Overflow",POWER(Upgrades!$U$14,F332),1)*IF(Upgrades!$T$15="Roche Lobe Overflow",POWER(Upgrades!$U$15,G332),1)*IF(Upgrades!$T$17="Roche Lobe Overflow",POWER(Upgrades!$U$17,I332),1)*IF(Upgrades!$T$18="Roche Lobe Overflow",POWER(Upgrades!$U$18,J332),1)*IF(Upgrades!$T$19="Roche Lobe Overflow",POWER(Upgrades!$U$19,K332),1)*IF(Upgrades!$T$20="Roche Lobe Overflow",POWER(Upgrades!$U$20,L332),1)*IF(Upgrades!$T$21="Roche Lobe Overflow",POWER(Upgrades!$U$21,M332),1))*$H$6*O332+((IF(F332=0,0,(Upgrades!$G$14+F332*Upgrades!$H$14)*POWER(Upgrades!$I$14,F332)))*(IF(Upgrades!$T$13="Local Bubble",POWER(Upgrades!$U$13,E332),1)*IF(Upgrades!$T$15="Local Bubble",POWER(Upgrades!$U$15,G332),1)*IF(Upgrades!$T$16="Local Bubble",POWER(Upgrades!$U$16,H332),1)*IF(Upgrades!$T$17="Local Bubble",POWER(Upgrades!$U$17,I332),1)*IF(Upgrades!$T$18="Local Bubble",POWER(Upgrades!$U$18,J332),1)*IF(Upgrades!$T$19="Local Bubble",POWER(Upgrades!$U$19,K332),1)*IF(Upgrades!$T$20="Local Bubble",POWER(Upgrades!$U$20,L332),1)*IF(Upgrades!$T$21="Local Bubble",POWER(Upgrades!$U$21,M332),1))*POWER(Upgrades!$P$13,E332)*POWER(Upgrades!$P$14,F332)*POWER(Upgrades!$P$15,G332)*POWER(Upgrades!$P$16,H332)*POWER(Upgrades!$P$17,I332)*POWER(Upgrades!$P$18,J332)*POWER(Upgrades!$P$19,K332)*POWER(Upgrades!$P$20,L332)*POWER(Upgrades!$P$21,M332)*$F$6)*0.05)/AN332,0)</f>
        <v/>
      </c>
      <c r="BC332" s="32">
        <f>IFERROR((Upgrades!$H$17*(POWER(Upgrades!$P$13,E332)*POWER(Upgrades!$P$14,F332)*POWER(Upgrades!$P$15,G332)*POWER(Upgrades!$P$16,H332)*POWER(Upgrades!$P$17,I332)*POWER(Upgrades!$P$18,J332)*POWER(Upgrades!$P$19,K332)*POWER(Upgrades!$P$20,L332)*POWER(Upgrades!$P$21,M332))*(IF(Upgrades!$T$13="Brown Dwarf",POWER(Upgrades!$U$13,E332),1)*IF(Upgrades!$T$14="Brown Dwarf",POWER(Upgrades!$U$14,F332),1)*IF(Upgrades!$T$15="Brown Dwarf",POWER(Upgrades!$U$15,G332),1)*IF(Upgrades!$T$16="Brown Dwarf",POWER(Upgrades!$U$16,H332),1)*IF(Upgrades!$T$18="Brown Dwarf",POWER(Upgrades!$U$18,J332),1)*IF(Upgrades!$T$19="Brown Dwarf",POWER(Upgrades!$U$19,K332),1)*IF(Upgrades!$T$20="Brown Dwarf",POWER(Upgrades!$U$20,L332),1)*IF(Upgrades!$T$21="Brown Dwarf",POWER(Upgrades!$U$21,M332),1))*$F$6+(((IF(H332=0,0,(Upgrades!$M$16+H332*Upgrades!$N$16)*POWER(Upgrades!$O$16,H332)))*(IF(Upgrades!$T$13="Roche Lobe Overflow",POWER(Upgrades!$U$13,E332),1)*IF(Upgrades!$T$14="Roche Lobe Overflow",POWER(Upgrades!$U$14,F332),1)*IF(Upgrades!$T$15="Roche Lobe Overflow",POWER(Upgrades!$U$15,G332),1)*IF(Upgrades!$T$17="Roche Lobe Overflow",POWER(Upgrades!$U$17,I332),1)*IF(Upgrades!$T$18="Roche Lobe Overflow",POWER(Upgrades!$U$18,J332),1)*IF(Upgrades!$T$19="Roche Lobe Overflow",POWER(Upgrades!$U$19,K332),1)*IF(Upgrades!$T$20="Roche Lobe Overflow",POWER(Upgrades!$U$20,L332),1)*IF(Upgrades!$T$21="Roche Lobe Overflow",POWER(Upgrades!$U$21,M332),1))*POWER(Upgrades!$R$13,E332)*POWER(Upgrades!$R$14,F332)*POWER(Upgrades!$R$15,G332)*POWER(Upgrades!$R$16,H332)*POWER(Upgrades!$R$17,I332)*POWER(Upgrades!$R$18,J332)*POWER(Upgrades!$R$19,K332)*POWER(Upgrades!$R$20,L332)*POWER(Upgrades!$R$21,M332)*$H$6)*O332)*0.10)/AO332,0)</f>
        <v/>
      </c>
      <c r="BD332" s="32">
        <f>MAX(IF(J332&gt;0,0,IFERROR(0.5*((IF(G332=0,0,(Upgrades!$J$15+G332*Upgrades!$K$15)*POWER(Upgrades!$L$15,G332)))*(IF(Upgrades!$T$13="Microlensing",POWER(Upgrades!$U$13,E332),1)*IF(Upgrades!$T$14="Microlensing",POWER(Upgrades!$U$14,F332),1)*IF(Upgrades!$T$16="Microlensing",POWER(Upgrades!$U$16,H332),1)*IF(Upgrades!$T$17="Microlensing",POWER(Upgrades!$U$17,I332),1)*IF(Upgrades!$T$18="Microlensing",POWER(Upgrades!$U$18,J332),1)*IF(Upgrades!$T$19="Microlensing",POWER(Upgrades!$U$19,K332),1)*IF(Upgrades!$T$20="Microlensing",POWER(Upgrades!$U$20,L332),1)*IF(Upgrades!$T$21="Microlensing",POWER(Upgrades!$U$21,M332),1))*(POWER(Upgrades!$Q$13,E332)*POWER(Upgrades!$Q$14,F332)*POWER(Upgrades!$Q$15,G332)*POWER(Upgrades!$Q$16,H332)*POWER(Upgrades!$Q$17,I332)*POWER(Upgrades!$Q$18,J332)*POWER(Upgrades!$Q$19,K332)*POWER(Upgrades!$Q$20,L332)*POWER(Upgrades!$Q$21,M332))*$G$6*(Parameters!$B$10/60*Parameters!$B$11+Q332))/Upgrades!$C$18,0)),IF(K332&gt;0,0,IFERROR(0.30*P332/Upgrades!$C$19,0)),IF(L332&gt;0,0,IFERROR(0.0001/Upgrades!$C$20,0)),IF(M332&gt;0,0,IFERROR((6.0*(POWER(Upgrades!$P$13,E332)*POWER(Upgrades!$P$14,F332)*POWER(Upgrades!$P$15,G332)*POWER(Upgrades!$P$16,H332)*POWER(Upgrades!$P$17,I332)*POWER(Upgrades!$P$18,J332)*POWER(Upgrades!$P$19,K332)*POWER(Upgrades!$P$20,L332)*POWER(Upgrades!$P$21,M332))*$F$6+0.20*O332*(Parameters!$B$10/60*Parameters!$B$11+Q332))/Upgrades!$C$21,0)),IF(AND(ISNUMBER(AK332),AK332&gt;(C332+T332)),AY332,0),IF(AND(ISNUMBER(AL332),AL332&gt;(C332+T332)),AZ332,0),IF(AND(ISNUMBER(AM332),AM332&gt;(C332+T332)),BA332,0),IF(AND(ISNUMBER(AN332),AN332&gt;(C332+T332)),BB332,0),IF(AND(ISNUMBER(AO332),AO332&gt;(C332+T332)),BC332,0))</f>
        <v/>
      </c>
      <c r="BE332" s="29">
        <f>IF(AT332=1,"transition",IF(MIN(IF(AND(J332=0,ISNUMBER(AP332),AP332&lt;=(C332+T332)),AP332,9E15),IF(AND(K332=0,ISNUMBER(AQ332),AQ332&lt;=(C332+T332)),AQ332,9E15),IF(AND(L332=0,ISNUMBER(AR332),AR332&lt;=(C332+T332)),AR332,9E15),IF(AND(M332=0,ISNUMBER(AS332),AS332&lt;=(C332+T332)),AS332,9E15))&lt;9E15,IF(AND(AND(J332=0,ISNUMBER(AP332),AP332&lt;=(C332+T332)),AP332=MIN(IF(AND(J332=0,ISNUMBER(AP332),AP332&lt;=(C332+T332)),AP332,9E15),IF(AND(K332=0,ISNUMBER(AQ332),AQ332&lt;=(C332+T332)),AQ332,9E15),IF(AND(L332=0,ISNUMBER(AR332),AR332&lt;=(C332+T332)),AR332,9E15),IF(AND(M332=0,ISNUMBER(AS332),AS332&lt;=(C332+T332)),AS332,9E15))),"BiP",IF(AND(AND(K332=0,ISNUMBER(AQ332),AQ332&lt;=(C332+T332)),AQ332=MIN(IF(AND(J332=0,ISNUMBER(AP332),AP332&lt;=(C332+T332)),AP332,9E15),IF(AND(K332=0,ISNUMBER(AQ332),AQ332&lt;=(C332+T332)),AQ332,9E15),IF(AND(L332=0,ISNUMBER(AR332),AR332&lt;=(C332+T332)),AR332,9E15),IF(AND(M332=0,ISNUMBER(AS332),AS332&lt;=(C332+T332)),AS332,9E15))),"PV",IF(AND(AND(L332=0,ISNUMBER(AR332),AR332&lt;=(C332+T332)),AR332=MIN(IF(AND(J332=0,ISNUMBER(AP332),AP332&lt;=(C332+T332)),AP332,9E15),IF(AND(K332=0,ISNUMBER(AQ332),AQ332&lt;=(C332+T332)),AQ332,9E15),IF(AND(L332=0,ISNUMBER(AR332),AR332&lt;=(C332+T332)),AR332,9E15),IF(AND(M332=0,ISNUMBER(AS332),AS332&lt;=(C332+T332)),AS332,9E15))),"OC","MG"))),IF(AX332=TRUE,"",IF(MAX(IF(AND(NOT(AND(AU332=1,AT332&lt;&gt;1)),ISNUMBER(AK332),AK332&lt;=(C332+T332)),AY332,0),IF(AND(NOT(AND(AU332=1,AT332&lt;&gt;1)),ISNUMBER(AL332),AL332&lt;=(C332+T332)),AZ332,0),IF(AND(NOT(AND(AU332=1,AT332&lt;&gt;1)),ISNUMBER(AM332),AM332&lt;=(C332+T332)),BA332,0),IF(AND(NOT(AND(AU332=1,AT332&lt;&gt;1)),ISNUMBER(AN332),AN332&lt;=(C332+T332)),BB332,0),IF(AND(ISNUMBER(AO332),AO332&lt;=(C332+T332)),BC332,0))&lt;=0,"",IF(AND(IF(AND(NOT(AND(AU332=1,AT332&lt;&gt;1)),ISNUMBER(AK332),AK332&lt;=(C332+T332)),AY332,0)&gt;0,IF(AND(NOT(AND(AU332=1,AT332&lt;&gt;1)),ISNUMBER(AK332),AK332&lt;=(C332+T332)),AY332,0)=MAX(IF(AND(NOT(AND(AU332=1,AT332&lt;&gt;1)),ISNUMBER(AK332),AK332&lt;=(C332+T332)),AY332,0),IF(AND(NOT(AND(AU332=1,AT332&lt;&gt;1)),ISNUMBER(AL332),AL332&lt;=(C332+T332)),AZ332,0),IF(AND(NOT(AND(AU332=1,AT332&lt;&gt;1)),ISNUMBER(AM332),AM332&lt;=(C332+T332)),BA332,0),IF(AND(NOT(AND(AU332=1,AT332&lt;&gt;1)),ISNUMBER(AN332),AN332&lt;=(C332+T332)),BB332,0),IF(AND(ISNUMBER(AO332),AO332&lt;=(C332+T332)),BC332,0))),"SK",IF(AND(IF(AND(NOT(AND(AU332=1,AT332&lt;&gt;1)),ISNUMBER(AL332),AL332&lt;=(C332+T332)),AZ332,0)&gt;0,IF(AND(NOT(AND(AU332=1,AT332&lt;&gt;1)),ISNUMBER(AL332),AL332&lt;=(C332+T332)),AZ332,0)=MAX(IF(AND(NOT(AND(AU332=1,AT332&lt;&gt;1)),ISNUMBER(AK332),AK332&lt;=(C332+T332)),AY332,0),IF(AND(NOT(AND(AU332=1,AT332&lt;&gt;1)),ISNUMBER(AL332),AL332&lt;=(C332+T332)),AZ332,0),IF(AND(NOT(AND(AU332=1,AT332&lt;&gt;1)),ISNUMBER(AM332),AM332&lt;=(C332+T332)),BA332,0),IF(AND(NOT(AND(AU332=1,AT332&lt;&gt;1)),ISNUMBER(AN332),AN332&lt;=(C332+T332)),BB332,0),IF(AND(ISNUMBER(AO332),AO332&lt;=(C332+T332)),BC332,0))),"LB",IF(AND(IF(AND(NOT(AND(AU332=1,AT332&lt;&gt;1)),ISNUMBER(AM332),AM332&lt;=(C332+T332)),BA332,0)&gt;0,IF(AND(NOT(AND(AU332=1,AT332&lt;&gt;1)),ISNUMBER(AM332),AM332&lt;=(C332+T332)),BA332,0)=MAX(IF(AND(NOT(AND(AU332=1,AT332&lt;&gt;1)),ISNUMBER(AK332),AK332&lt;=(C332+T332)),AY332,0),IF(AND(NOT(AND(AU332=1,AT332&lt;&gt;1)),ISNUMBER(AL332),AL332&lt;=(C332+T332)),AZ332,0),IF(AND(NOT(AND(AU332=1,AT332&lt;&gt;1)),ISNUMBER(AM332),AM332&lt;=(C332+T332)),BA332,0),IF(AND(NOT(AND(AU332=1,AT332&lt;&gt;1)),ISNUMBER(AN332),AN332&lt;=(C332+T332)),BB332,0),IF(AND(ISNUMBER(AO332),AO332&lt;=(C332+T332)),BC332,0))),"ML",IF(AND(IF(AND(NOT(AND(AU332=1,AT332&lt;&gt;1)),ISNUMBER(AN332),AN332&lt;=(C332+T332)),BB332,0)&gt;0,IF(AND(NOT(AND(AU332=1,AT332&lt;&gt;1)),ISNUMBER(AN332),AN332&lt;=(C332+T332)),BB332,0)=MAX(IF(AND(NOT(AND(AU332=1,AT332&lt;&gt;1)),ISNUMBER(AK332),AK332&lt;=(C332+T332)),AY332,0),IF(AND(NOT(AND(AU332=1,AT332&lt;&gt;1)),ISNUMBER(AL332),AL332&lt;=(C332+T332)),AZ332,0),IF(AND(NOT(AND(AU332=1,AT332&lt;&gt;1)),ISNUMBER(AM332),AM332&lt;=(C332+T332)),BA332,0),IF(AND(NOT(AND(AU332=1,AT332&lt;&gt;1)),ISNUMBER(AN332),AN332&lt;=(C332+T332)),BB332,0),IF(AND(ISNUMBER(AO332),AO332&lt;=(C332+T332)),BC332,0))),"RLO","BD"))))))))</f>
        <v/>
      </c>
    </row>
    <row r="333">
      <c r="A333" s="26" t="n">
        <v>322</v>
      </c>
      <c r="B333" s="27">
        <f>A333*10/60</f>
        <v/>
      </c>
      <c r="C333" s="22">
        <f>X332</f>
        <v/>
      </c>
      <c r="D333" s="27">
        <f>D332+W332</f>
        <v/>
      </c>
      <c r="E333" s="26">
        <f>E332+IF(U332="SK",1,0)</f>
        <v/>
      </c>
      <c r="F333" s="26">
        <f>F332+IF(U332="LB",1,0)</f>
        <v/>
      </c>
      <c r="G333" s="26">
        <f>G332+IF(U332="ML",1,0)</f>
        <v/>
      </c>
      <c r="H333" s="26">
        <f>H332+IF(U332="RLO",1,0)</f>
        <v/>
      </c>
      <c r="I333" s="26">
        <f>I332+IF(U332="BD",1,0)</f>
        <v/>
      </c>
      <c r="J333" s="26">
        <f>MAX(J332,IF(U332="BiP",1,0))</f>
        <v/>
      </c>
      <c r="K333" s="26">
        <f>MAX(K332,IF(U332="PV",1,0))</f>
        <v/>
      </c>
      <c r="L333" s="26">
        <f>MAX(L332,IF(U332="OC",1,0))</f>
        <v/>
      </c>
      <c r="M333" s="26">
        <f>MAX(M332,IF(U332="MG",1,0))</f>
        <v/>
      </c>
      <c r="N333" s="26">
        <f>MAX(N332,IF(U332="transition",1,0))</f>
        <v/>
      </c>
      <c r="O333" s="28">
        <f>(Parameters!$B$9+(IF(E333=0,0,(Upgrades!$J$13+E333*Upgrades!$K$13)*POWER(Upgrades!$L$13,E333)))*(IF(Upgrades!$T$14="Stellar Kinematics",POWER(Upgrades!$U$14,F333),1)*IF(Upgrades!$T$15="Stellar Kinematics",POWER(Upgrades!$U$15,G333),1)*IF(Upgrades!$T$16="Stellar Kinematics",POWER(Upgrades!$U$16,H333),1)*IF(Upgrades!$T$17="Stellar Kinematics",POWER(Upgrades!$U$17,I333),1)*IF(Upgrades!$T$18="Stellar Kinematics",POWER(Upgrades!$U$18,J333),1)*IF(Upgrades!$T$19="Stellar Kinematics",POWER(Upgrades!$U$19,K333),1)*IF(Upgrades!$T$20="Stellar Kinematics",POWER(Upgrades!$U$20,L333),1)*IF(Upgrades!$T$21="Stellar Kinematics",POWER(Upgrades!$U$21,M333),1))+(IF(F333=0,0,(Upgrades!$J$14+F333*Upgrades!$K$14)*POWER(Upgrades!$L$14,F333)))*(IF(Upgrades!$T$13="Local Bubble",POWER(Upgrades!$U$13,E333),1)*IF(Upgrades!$T$15="Local Bubble",POWER(Upgrades!$U$15,G333),1)*IF(Upgrades!$T$16="Local Bubble",POWER(Upgrades!$U$16,H333),1)*IF(Upgrades!$T$17="Local Bubble",POWER(Upgrades!$U$17,I333),1)*IF(Upgrades!$T$18="Local Bubble",POWER(Upgrades!$U$18,J333),1)*IF(Upgrades!$T$19="Local Bubble",POWER(Upgrades!$U$19,K333),1)*IF(Upgrades!$T$20="Local Bubble",POWER(Upgrades!$U$20,L333),1)*IF(Upgrades!$T$21="Local Bubble",POWER(Upgrades!$U$21,M333),1))+(IF(G333=0,0,(Upgrades!$J$15+G333*Upgrades!$K$15)*POWER(Upgrades!$L$15,G333)))*(IF(Upgrades!$T$13="Microlensing",POWER(Upgrades!$U$13,E333),1)*IF(Upgrades!$T$14="Microlensing",POWER(Upgrades!$U$14,F333),1)*IF(Upgrades!$T$16="Microlensing",POWER(Upgrades!$U$16,H333),1)*IF(Upgrades!$T$17="Microlensing",POWER(Upgrades!$U$17,I333),1)*IF(Upgrades!$T$18="Microlensing",POWER(Upgrades!$U$18,J333),1)*IF(Upgrades!$T$19="Microlensing",POWER(Upgrades!$U$19,K333),1)*IF(Upgrades!$T$20="Microlensing",POWER(Upgrades!$U$20,L333),1)*IF(Upgrades!$T$21="Microlensing",POWER(Upgrades!$U$21,M333),1))+(IF(H333=0,0,(Upgrades!$J$16+H333*Upgrades!$K$16)*POWER(Upgrades!$L$16,H333)))*(IF(Upgrades!$T$13="Roche Lobe Overflow",POWER(Upgrades!$U$13,E333),1)*IF(Upgrades!$T$14="Roche Lobe Overflow",POWER(Upgrades!$U$14,F333),1)*IF(Upgrades!$T$15="Roche Lobe Overflow",POWER(Upgrades!$U$15,G333),1)*IF(Upgrades!$T$17="Roche Lobe Overflow",POWER(Upgrades!$U$17,I333),1)*IF(Upgrades!$T$18="Roche Lobe Overflow",POWER(Upgrades!$U$18,J333),1)*IF(Upgrades!$T$19="Roche Lobe Overflow",POWER(Upgrades!$U$19,K333),1)*IF(Upgrades!$T$20="Roche Lobe Overflow",POWER(Upgrades!$U$20,L333),1)*IF(Upgrades!$T$21="Roche Lobe Overflow",POWER(Upgrades!$U$21,M333),1))+(IF(I333=0,0,(Upgrades!$J$17+I333*Upgrades!$K$17)*POWER(Upgrades!$L$17,I333)))*(IF(Upgrades!$T$13="Brown Dwarf",POWER(Upgrades!$U$13,E333),1)*IF(Upgrades!$T$14="Brown Dwarf",POWER(Upgrades!$U$14,F333),1)*IF(Upgrades!$T$15="Brown Dwarf",POWER(Upgrades!$U$15,G333),1)*IF(Upgrades!$T$16="Brown Dwarf",POWER(Upgrades!$U$16,H333),1)*IF(Upgrades!$T$18="Brown Dwarf",POWER(Upgrades!$U$18,J333),1)*IF(Upgrades!$T$19="Brown Dwarf",POWER(Upgrades!$U$19,K333),1)*IF(Upgrades!$T$20="Brown Dwarf",POWER(Upgrades!$U$20,L333),1)*IF(Upgrades!$T$21="Brown Dwarf",POWER(Upgrades!$U$21,M333),1))+(IF(J333=0,0,(Upgrades!$J$18+J333*Upgrades!$K$18)*POWER(Upgrades!$L$18,J333)))*(IF(Upgrades!$T$13="Binary Partner",POWER(Upgrades!$U$13,E333),1)*IF(Upgrades!$T$14="Binary Partner",POWER(Upgrades!$U$14,F333),1)*IF(Upgrades!$T$15="Binary Partner",POWER(Upgrades!$U$15,G333),1)*IF(Upgrades!$T$16="Binary Partner",POWER(Upgrades!$U$16,H333),1)*IF(Upgrades!$T$17="Binary Partner",POWER(Upgrades!$U$17,I333),1)*IF(Upgrades!$T$19="Binary Partner",POWER(Upgrades!$U$19,K333),1)*IF(Upgrades!$T$20="Binary Partner",POWER(Upgrades!$U$20,L333),1)*IF(Upgrades!$T$21="Binary Partner",POWER(Upgrades!$U$21,M333),1))+(IF(K333=0,0,(Upgrades!$J$19+K333*Upgrades!$K$19)*POWER(Upgrades!$L$19,K333)))*(IF(Upgrades!$T$13="Peculiar Velocity",POWER(Upgrades!$U$13,E333),1)*IF(Upgrades!$T$14="Peculiar Velocity",POWER(Upgrades!$U$14,F333),1)*IF(Upgrades!$T$15="Peculiar Velocity",POWER(Upgrades!$U$15,G333),1)*IF(Upgrades!$T$16="Peculiar Velocity",POWER(Upgrades!$U$16,H333),1)*IF(Upgrades!$T$17="Peculiar Velocity",POWER(Upgrades!$U$17,I333),1)*IF(Upgrades!$T$18="Peculiar Velocity",POWER(Upgrades!$U$18,J333),1)*IF(Upgrades!$T$20="Peculiar Velocity",POWER(Upgrades!$U$20,L333),1)*IF(Upgrades!$T$21="Peculiar Velocity",POWER(Upgrades!$U$21,M333),1))+(IF(L333=0,0,(Upgrades!$J$20+L333*Upgrades!$K$20)*POWER(Upgrades!$L$20,L333)))*(IF(Upgrades!$T$13="Open Cluster",POWER(Upgrades!$U$13,E333),1)*IF(Upgrades!$T$14="Open Cluster",POWER(Upgrades!$U$14,F333),1)*IF(Upgrades!$T$15="Open Cluster",POWER(Upgrades!$U$15,G333),1)*IF(Upgrades!$T$16="Open Cluster",POWER(Upgrades!$U$16,H333),1)*IF(Upgrades!$T$17="Open Cluster",POWER(Upgrades!$U$17,I333),1)*IF(Upgrades!$T$18="Open Cluster",POWER(Upgrades!$U$18,J333),1)*IF(Upgrades!$T$19="Open Cluster",POWER(Upgrades!$U$19,K333),1)*IF(Upgrades!$T$21="Open Cluster",POWER(Upgrades!$U$21,M333),1))+(IF(M333=0,0,(Upgrades!$J$21+M333*Upgrades!$K$21)*POWER(Upgrades!$L$21,M333)))*(IF(Upgrades!$T$13="Moving Group",POWER(Upgrades!$U$13,E333),1)*IF(Upgrades!$T$14="Moving Group",POWER(Upgrades!$U$14,F333),1)*IF(Upgrades!$T$15="Moving Group",POWER(Upgrades!$U$15,G333),1)*IF(Upgrades!$T$16="Moving Group",POWER(Upgrades!$U$16,H333),1)*IF(Upgrades!$T$17="Moving Group",POWER(Upgrades!$U$17,I333),1)*IF(Upgrades!$T$18="Moving Group",POWER(Upgrades!$U$18,J333),1)*IF(Upgrades!$T$19="Moving Group",POWER(Upgrades!$U$19,K333),1)*IF(Upgrades!$T$20="Moving Group",POWER(Upgrades!$U$20,L333),1)))*POWER(Upgrades!$Q$13,E333)*POWER(Upgrades!$Q$14,F333)*POWER(Upgrades!$Q$15,G333)*POWER(Upgrades!$Q$16,H333)*POWER(Upgrades!$Q$17,I333)*POWER(Upgrades!$Q$18,J333)*POWER(Upgrades!$Q$19,K333)*POWER(Upgrades!$Q$20,L333)*POWER(Upgrades!$Q$21,M333)*$G$6+$D$6</f>
        <v/>
      </c>
      <c r="P333" s="28">
        <f>((IF(E333=0,0,(Upgrades!$G$13+E333*Upgrades!$H$13)*POWER(Upgrades!$I$13,E333)))*(IF(Upgrades!$T$14="Stellar Kinematics",POWER(Upgrades!$U$14,F333),1)*IF(Upgrades!$T$15="Stellar Kinematics",POWER(Upgrades!$U$15,G333),1)*IF(Upgrades!$T$16="Stellar Kinematics",POWER(Upgrades!$U$16,H333),1)*IF(Upgrades!$T$17="Stellar Kinematics",POWER(Upgrades!$U$17,I333),1)*IF(Upgrades!$T$18="Stellar Kinematics",POWER(Upgrades!$U$18,J333),1)*IF(Upgrades!$T$19="Stellar Kinematics",POWER(Upgrades!$U$19,K333),1)*IF(Upgrades!$T$20="Stellar Kinematics",POWER(Upgrades!$U$20,L333),1)*IF(Upgrades!$T$21="Stellar Kinematics",POWER(Upgrades!$U$21,M333),1))+(IF(F333=0,0,(Upgrades!$G$14+F333*Upgrades!$H$14)*POWER(Upgrades!$I$14,F333)))*(IF(Upgrades!$T$13="Local Bubble",POWER(Upgrades!$U$13,E333),1)*IF(Upgrades!$T$15="Local Bubble",POWER(Upgrades!$U$15,G333),1)*IF(Upgrades!$T$16="Local Bubble",POWER(Upgrades!$U$16,H333),1)*IF(Upgrades!$T$17="Local Bubble",POWER(Upgrades!$U$17,I333),1)*IF(Upgrades!$T$18="Local Bubble",POWER(Upgrades!$U$18,J333),1)*IF(Upgrades!$T$19="Local Bubble",POWER(Upgrades!$U$19,K333),1)*IF(Upgrades!$T$20="Local Bubble",POWER(Upgrades!$U$20,L333),1)*IF(Upgrades!$T$21="Local Bubble",POWER(Upgrades!$U$21,M333),1))+(IF(G333=0,0,(Upgrades!$G$15+G333*Upgrades!$H$15)*POWER(Upgrades!$I$15,G333)))*(IF(Upgrades!$T$13="Microlensing",POWER(Upgrades!$U$13,E333),1)*IF(Upgrades!$T$14="Microlensing",POWER(Upgrades!$U$14,F333),1)*IF(Upgrades!$T$16="Microlensing",POWER(Upgrades!$U$16,H333),1)*IF(Upgrades!$T$17="Microlensing",POWER(Upgrades!$U$17,I333),1)*IF(Upgrades!$T$18="Microlensing",POWER(Upgrades!$U$18,J333),1)*IF(Upgrades!$T$19="Microlensing",POWER(Upgrades!$U$19,K333),1)*IF(Upgrades!$T$20="Microlensing",POWER(Upgrades!$U$20,L333),1)*IF(Upgrades!$T$21="Microlensing",POWER(Upgrades!$U$21,M333),1))+(IF(H333=0,0,(Upgrades!$G$16+H333*Upgrades!$H$16)*POWER(Upgrades!$I$16,H333)))*(IF(Upgrades!$T$13="Roche Lobe Overflow",POWER(Upgrades!$U$13,E333),1)*IF(Upgrades!$T$14="Roche Lobe Overflow",POWER(Upgrades!$U$14,F333),1)*IF(Upgrades!$T$15="Roche Lobe Overflow",POWER(Upgrades!$U$15,G333),1)*IF(Upgrades!$T$17="Roche Lobe Overflow",POWER(Upgrades!$U$17,I333),1)*IF(Upgrades!$T$18="Roche Lobe Overflow",POWER(Upgrades!$U$18,J333),1)*IF(Upgrades!$T$19="Roche Lobe Overflow",POWER(Upgrades!$U$19,K333),1)*IF(Upgrades!$T$20="Roche Lobe Overflow",POWER(Upgrades!$U$20,L333),1)*IF(Upgrades!$T$21="Roche Lobe Overflow",POWER(Upgrades!$U$21,M333),1))+(IF(I333=0,0,(Upgrades!$G$17+I333*Upgrades!$H$17)*POWER(Upgrades!$I$17,I333)))*(IF(Upgrades!$T$13="Brown Dwarf",POWER(Upgrades!$U$13,E333),1)*IF(Upgrades!$T$14="Brown Dwarf",POWER(Upgrades!$U$14,F333),1)*IF(Upgrades!$T$15="Brown Dwarf",POWER(Upgrades!$U$15,G333),1)*IF(Upgrades!$T$16="Brown Dwarf",POWER(Upgrades!$U$16,H333),1)*IF(Upgrades!$T$18="Brown Dwarf",POWER(Upgrades!$U$18,J333),1)*IF(Upgrades!$T$19="Brown Dwarf",POWER(Upgrades!$U$19,K333),1)*IF(Upgrades!$T$20="Brown Dwarf",POWER(Upgrades!$U$20,L333),1)*IF(Upgrades!$T$21="Brown Dwarf",POWER(Upgrades!$U$21,M333),1))+(IF(J333=0,0,(Upgrades!$G$18+J333*Upgrades!$H$18)*POWER(Upgrades!$I$18,J333)))*(IF(Upgrades!$T$13="Binary Partner",POWER(Upgrades!$U$13,E333),1)*IF(Upgrades!$T$14="Binary Partner",POWER(Upgrades!$U$14,F333),1)*IF(Upgrades!$T$15="Binary Partner",POWER(Upgrades!$U$15,G333),1)*IF(Upgrades!$T$16="Binary Partner",POWER(Upgrades!$U$16,H333),1)*IF(Upgrades!$T$17="Binary Partner",POWER(Upgrades!$U$17,I333),1)*IF(Upgrades!$T$19="Binary Partner",POWER(Upgrades!$U$19,K333),1)*IF(Upgrades!$T$20="Binary Partner",POWER(Upgrades!$U$20,L333),1)*IF(Upgrades!$T$21="Binary Partner",POWER(Upgrades!$U$21,M333),1))+(IF(K333=0,0,(Upgrades!$G$19+K333*Upgrades!$H$19)*POWER(Upgrades!$I$19,K333)))*(IF(Upgrades!$T$13="Peculiar Velocity",POWER(Upgrades!$U$13,E333),1)*IF(Upgrades!$T$14="Peculiar Velocity",POWER(Upgrades!$U$14,F333),1)*IF(Upgrades!$T$15="Peculiar Velocity",POWER(Upgrades!$U$15,G333),1)*IF(Upgrades!$T$16="Peculiar Velocity",POWER(Upgrades!$U$16,H333),1)*IF(Upgrades!$T$17="Peculiar Velocity",POWER(Upgrades!$U$17,I333),1)*IF(Upgrades!$T$18="Peculiar Velocity",POWER(Upgrades!$U$18,J333),1)*IF(Upgrades!$T$20="Peculiar Velocity",POWER(Upgrades!$U$20,L333),1)*IF(Upgrades!$T$21="Peculiar Velocity",POWER(Upgrades!$U$21,M333),1))+(IF(L333=0,0,(Upgrades!$G$20+L333*Upgrades!$H$20)*POWER(Upgrades!$I$20,L333)))*(IF(Upgrades!$T$13="Open Cluster",POWER(Upgrades!$U$13,E333),1)*IF(Upgrades!$T$14="Open Cluster",POWER(Upgrades!$U$14,F333),1)*IF(Upgrades!$T$15="Open Cluster",POWER(Upgrades!$U$15,G333),1)*IF(Upgrades!$T$16="Open Cluster",POWER(Upgrades!$U$16,H333),1)*IF(Upgrades!$T$17="Open Cluster",POWER(Upgrades!$U$17,I333),1)*IF(Upgrades!$T$18="Open Cluster",POWER(Upgrades!$U$18,J333),1)*IF(Upgrades!$T$19="Open Cluster",POWER(Upgrades!$U$19,K333),1)*IF(Upgrades!$T$21="Open Cluster",POWER(Upgrades!$U$21,M333),1))+(IF(M333=0,0,(Upgrades!$G$21+M333*Upgrades!$H$21)*POWER(Upgrades!$I$21,M333)))*(IF(Upgrades!$T$13="Moving Group",POWER(Upgrades!$U$13,E333),1)*IF(Upgrades!$T$14="Moving Group",POWER(Upgrades!$U$14,F333),1)*IF(Upgrades!$T$15="Moving Group",POWER(Upgrades!$U$15,G333),1)*IF(Upgrades!$T$16="Moving Group",POWER(Upgrades!$U$16,H333),1)*IF(Upgrades!$T$17="Moving Group",POWER(Upgrades!$U$17,I333),1)*IF(Upgrades!$T$18="Moving Group",POWER(Upgrades!$U$18,J333),1)*IF(Upgrades!$T$19="Moving Group",POWER(Upgrades!$U$19,K333),1)*IF(Upgrades!$T$20="Moving Group",POWER(Upgrades!$U$20,L333),1)))*POWER(Upgrades!$P$13,E333)*POWER(Upgrades!$P$14,F333)*POWER(Upgrades!$P$15,G333)*POWER(Upgrades!$P$16,H333)*POWER(Upgrades!$P$17,I333)*POWER(Upgrades!$P$18,J333)*POWER(Upgrades!$P$19,K333)*POWER(Upgrades!$P$20,L333)*POWER(Upgrades!$P$21,M333)*$F$6+$C$6</f>
        <v/>
      </c>
      <c r="Q333" s="28">
        <f>((IF(E333=0,0,(Upgrades!$M$13+E333*Upgrades!$N$13)*POWER(Upgrades!$O$13,E333)))*(IF(Upgrades!$T$14="Stellar Kinematics",POWER(Upgrades!$U$14,F333),1)*IF(Upgrades!$T$15="Stellar Kinematics",POWER(Upgrades!$U$15,G333),1)*IF(Upgrades!$T$16="Stellar Kinematics",POWER(Upgrades!$U$16,H333),1)*IF(Upgrades!$T$17="Stellar Kinematics",POWER(Upgrades!$U$17,I333),1)*IF(Upgrades!$T$18="Stellar Kinematics",POWER(Upgrades!$U$18,J333),1)*IF(Upgrades!$T$19="Stellar Kinematics",POWER(Upgrades!$U$19,K333),1)*IF(Upgrades!$T$20="Stellar Kinematics",POWER(Upgrades!$U$20,L333),1)*IF(Upgrades!$T$21="Stellar Kinematics",POWER(Upgrades!$U$21,M333),1))+(IF(F333=0,0,(Upgrades!$M$14+F333*Upgrades!$N$14)*POWER(Upgrades!$O$14,F333)))*(IF(Upgrades!$T$13="Local Bubble",POWER(Upgrades!$U$13,E333),1)*IF(Upgrades!$T$15="Local Bubble",POWER(Upgrades!$U$15,G333),1)*IF(Upgrades!$T$16="Local Bubble",POWER(Upgrades!$U$16,H333),1)*IF(Upgrades!$T$17="Local Bubble",POWER(Upgrades!$U$17,I333),1)*IF(Upgrades!$T$18="Local Bubble",POWER(Upgrades!$U$18,J333),1)*IF(Upgrades!$T$19="Local Bubble",POWER(Upgrades!$U$19,K333),1)*IF(Upgrades!$T$20="Local Bubble",POWER(Upgrades!$U$20,L333),1)*IF(Upgrades!$T$21="Local Bubble",POWER(Upgrades!$U$21,M333),1))+(IF(G333=0,0,(Upgrades!$M$15+G333*Upgrades!$N$15)*POWER(Upgrades!$O$15,G333)))*(IF(Upgrades!$T$13="Microlensing",POWER(Upgrades!$U$13,E333),1)*IF(Upgrades!$T$14="Microlensing",POWER(Upgrades!$U$14,F333),1)*IF(Upgrades!$T$16="Microlensing",POWER(Upgrades!$U$16,H333),1)*IF(Upgrades!$T$17="Microlensing",POWER(Upgrades!$U$17,I333),1)*IF(Upgrades!$T$18="Microlensing",POWER(Upgrades!$U$18,J333),1)*IF(Upgrades!$T$19="Microlensing",POWER(Upgrades!$U$19,K333),1)*IF(Upgrades!$T$20="Microlensing",POWER(Upgrades!$U$20,L333),1)*IF(Upgrades!$T$21="Microlensing",POWER(Upgrades!$U$21,M333),1))+(IF(H333=0,0,(Upgrades!$M$16+H333*Upgrades!$N$16)*POWER(Upgrades!$O$16,H333)))*(IF(Upgrades!$T$13="Roche Lobe Overflow",POWER(Upgrades!$U$13,E333),1)*IF(Upgrades!$T$14="Roche Lobe Overflow",POWER(Upgrades!$U$14,F333),1)*IF(Upgrades!$T$15="Roche Lobe Overflow",POWER(Upgrades!$U$15,G333),1)*IF(Upgrades!$T$17="Roche Lobe Overflow",POWER(Upgrades!$U$17,I333),1)*IF(Upgrades!$T$18="Roche Lobe Overflow",POWER(Upgrades!$U$18,J333),1)*IF(Upgrades!$T$19="Roche Lobe Overflow",POWER(Upgrades!$U$19,K333),1)*IF(Upgrades!$T$20="Roche Lobe Overflow",POWER(Upgrades!$U$20,L333),1)*IF(Upgrades!$T$21="Roche Lobe Overflow",POWER(Upgrades!$U$21,M333),1))+(IF(I333=0,0,(Upgrades!$M$17+I333*Upgrades!$N$17)*POWER(Upgrades!$O$17,I333)))*(IF(Upgrades!$T$13="Brown Dwarf",POWER(Upgrades!$U$13,E333),1)*IF(Upgrades!$T$14="Brown Dwarf",POWER(Upgrades!$U$14,F333),1)*IF(Upgrades!$T$15="Brown Dwarf",POWER(Upgrades!$U$15,G333),1)*IF(Upgrades!$T$16="Brown Dwarf",POWER(Upgrades!$U$16,H333),1)*IF(Upgrades!$T$18="Brown Dwarf",POWER(Upgrades!$U$18,J333),1)*IF(Upgrades!$T$19="Brown Dwarf",POWER(Upgrades!$U$19,K333),1)*IF(Upgrades!$T$20="Brown Dwarf",POWER(Upgrades!$U$20,L333),1)*IF(Upgrades!$T$21="Brown Dwarf",POWER(Upgrades!$U$21,M333),1))+(IF(J333=0,0,(Upgrades!$M$18+J333*Upgrades!$N$18)*POWER(Upgrades!$O$18,J333)))*(IF(Upgrades!$T$13="Binary Partner",POWER(Upgrades!$U$13,E333),1)*IF(Upgrades!$T$14="Binary Partner",POWER(Upgrades!$U$14,F333),1)*IF(Upgrades!$T$15="Binary Partner",POWER(Upgrades!$U$15,G333),1)*IF(Upgrades!$T$16="Binary Partner",POWER(Upgrades!$U$16,H333),1)*IF(Upgrades!$T$17="Binary Partner",POWER(Upgrades!$U$17,I333),1)*IF(Upgrades!$T$19="Binary Partner",POWER(Upgrades!$U$19,K333),1)*IF(Upgrades!$T$20="Binary Partner",POWER(Upgrades!$U$20,L333),1)*IF(Upgrades!$T$21="Binary Partner",POWER(Upgrades!$U$21,M333),1))+(IF(K333=0,0,(Upgrades!$M$19+K333*Upgrades!$N$19)*POWER(Upgrades!$O$19,K333)))*(IF(Upgrades!$T$13="Peculiar Velocity",POWER(Upgrades!$U$13,E333),1)*IF(Upgrades!$T$14="Peculiar Velocity",POWER(Upgrades!$U$14,F333),1)*IF(Upgrades!$T$15="Peculiar Velocity",POWER(Upgrades!$U$15,G333),1)*IF(Upgrades!$T$16="Peculiar Velocity",POWER(Upgrades!$U$16,H333),1)*IF(Upgrades!$T$17="Peculiar Velocity",POWER(Upgrades!$U$17,I333),1)*IF(Upgrades!$T$18="Peculiar Velocity",POWER(Upgrades!$U$18,J333),1)*IF(Upgrades!$T$20="Peculiar Velocity",POWER(Upgrades!$U$20,L333),1)*IF(Upgrades!$T$21="Peculiar Velocity",POWER(Upgrades!$U$21,M333),1))+(IF(L333=0,0,(Upgrades!$M$20+L333*Upgrades!$N$20)*POWER(Upgrades!$O$20,L333)))*(IF(Upgrades!$T$13="Open Cluster",POWER(Upgrades!$U$13,E333),1)*IF(Upgrades!$T$14="Open Cluster",POWER(Upgrades!$U$14,F333),1)*IF(Upgrades!$T$15="Open Cluster",POWER(Upgrades!$U$15,G333),1)*IF(Upgrades!$T$16="Open Cluster",POWER(Upgrades!$U$16,H333),1)*IF(Upgrades!$T$17="Open Cluster",POWER(Upgrades!$U$17,I333),1)*IF(Upgrades!$T$18="Open Cluster",POWER(Upgrades!$U$18,J333),1)*IF(Upgrades!$T$19="Open Cluster",POWER(Upgrades!$U$19,K333),1)*IF(Upgrades!$T$21="Open Cluster",POWER(Upgrades!$U$21,M333),1))+(IF(M333=0,0,(Upgrades!$M$21+M333*Upgrades!$N$21)*POWER(Upgrades!$O$21,M333)))*(IF(Upgrades!$T$13="Moving Group",POWER(Upgrades!$U$13,E333),1)*IF(Upgrades!$T$14="Moving Group",POWER(Upgrades!$U$14,F333),1)*IF(Upgrades!$T$15="Moving Group",POWER(Upgrades!$U$15,G333),1)*IF(Upgrades!$T$16="Moving Group",POWER(Upgrades!$U$16,H333),1)*IF(Upgrades!$T$17="Moving Group",POWER(Upgrades!$U$17,I333),1)*IF(Upgrades!$T$18="Moving Group",POWER(Upgrades!$U$18,J333),1)*IF(Upgrades!$T$19="Moving Group",POWER(Upgrades!$U$19,K333),1)*IF(Upgrades!$T$20="Moving Group",POWER(Upgrades!$U$20,L333),1)))*POWER(Upgrades!$R$13,E333)*POWER(Upgrades!$R$14,F333)*POWER(Upgrades!$R$15,G333)*POWER(Upgrades!$R$16,H333)*POWER(Upgrades!$R$17,I333)*POWER(Upgrades!$R$18,J333)*POWER(Upgrades!$R$19,K333)*POWER(Upgrades!$R$20,L333)*POWER(Upgrades!$R$21,M333)*$H$6+$E$6</f>
        <v/>
      </c>
      <c r="R333" s="27">
        <f>IF(N333=1,0,O333*Parameters!$B$10/60*Parameters!$B$11*10)</f>
        <v/>
      </c>
      <c r="S333" s="27">
        <f>IF(N333=1,0,Q333*O333*10)</f>
        <v/>
      </c>
      <c r="T333" s="27">
        <f>IF(N333=1,0,R333+S333+P333*10)</f>
        <v/>
      </c>
      <c r="U333" s="33">
        <f>BE333</f>
        <v/>
      </c>
      <c r="V333" s="22">
        <f>IF(U333="",0,IF(U333="transition",0,IF(U333="SK",AK333,IF(U333="LB",AL333,IF(U333="ML",AM333,IF(U333="RLO",AN333,IF(U333="BD",AO333,IF(U333="BiP",AP333,IF(U333="PV",AQ333,IF(U333="OC",AR333,IF(U333="MG",AS333,0))))))))))</f>
        <v/>
      </c>
      <c r="W333" s="27">
        <f>IF(U333="BiP",Upgrades!$F$18,IF(U333="PV",Upgrades!$F$19,IF(U333="OC",Upgrades!$F$20,IF(U333="MG",Upgrades!$F$21,IF(U333="transition",-Parameters!$B$18*Parameters!$B$19,0)))))</f>
        <v/>
      </c>
      <c r="X333" s="22">
        <f>C333+T333-V333</f>
        <v/>
      </c>
      <c r="Y333" s="30">
        <f>O333*Parameters!$B$10/60*Parameters!$B$11+Q333*O333+P333</f>
        <v/>
      </c>
      <c r="Z333" s="34">
        <f>IF(U333="transition","→ Tier 3 (Galactic Arm)",IF(U333="MG","Moving Group — pocket drifts together",IF(U333="OC","Open Cluster acquired",IF(U333="PV","Peculiar Velocity — passive multiplier active",IF(U333="BiP","Binary Partner — pair bond formed",IF(AND(AU333=1,N333=0,AT333&lt;&gt;1),"Cohesion ready (waiting on completionists)","")))))) </f>
        <v/>
      </c>
      <c r="AA333" s="27">
        <f>(IF(E333=0,0,(Upgrades!$G$13+E333*Upgrades!$H$13)*POWER(Upgrades!$I$13,E333)))*(IF(Upgrades!$T$14="Stellar Kinematics",POWER(Upgrades!$U$14,F333),1)*IF(Upgrades!$T$15="Stellar Kinematics",POWER(Upgrades!$U$15,G333),1)*IF(Upgrades!$T$16="Stellar Kinematics",POWER(Upgrades!$U$16,H333),1)*IF(Upgrades!$T$17="Stellar Kinematics",POWER(Upgrades!$U$17,I333),1)*IF(Upgrades!$T$18="Stellar Kinematics",POWER(Upgrades!$U$18,J333),1)*IF(Upgrades!$T$19="Stellar Kinematics",POWER(Upgrades!$U$19,K333),1)*IF(Upgrades!$T$20="Stellar Kinematics",POWER(Upgrades!$U$20,L333),1)*IF(Upgrades!$T$21="Stellar Kinematics",POWER(Upgrades!$U$21,M333),1))*POWER(Upgrades!$P$13,E333)*POWER(Upgrades!$P$14,F333)*POWER(Upgrades!$P$15,G333)*POWER(Upgrades!$P$16,H333)*POWER(Upgrades!$P$17,I333)*POWER(Upgrades!$P$18,J333)*POWER(Upgrades!$P$19,K333)*POWER(Upgrades!$P$20,L333)*POWER(Upgrades!$P$21,M333)*$F$6*60</f>
        <v/>
      </c>
      <c r="AB333" s="27">
        <f>(IF(F333=0,0,(Upgrades!$G$14+F333*Upgrades!$H$14)*POWER(Upgrades!$I$14,F333)))*(IF(Upgrades!$T$13="Local Bubble",POWER(Upgrades!$U$13,E333),1)*IF(Upgrades!$T$15="Local Bubble",POWER(Upgrades!$U$15,G333),1)*IF(Upgrades!$T$16="Local Bubble",POWER(Upgrades!$U$16,H333),1)*IF(Upgrades!$T$17="Local Bubble",POWER(Upgrades!$U$17,I333),1)*IF(Upgrades!$T$18="Local Bubble",POWER(Upgrades!$U$18,J333),1)*IF(Upgrades!$T$19="Local Bubble",POWER(Upgrades!$U$19,K333),1)*IF(Upgrades!$T$20="Local Bubble",POWER(Upgrades!$U$20,L333),1)*IF(Upgrades!$T$21="Local Bubble",POWER(Upgrades!$U$21,M333),1))*POWER(Upgrades!$P$13,E333)*POWER(Upgrades!$P$14,F333)*POWER(Upgrades!$P$15,G333)*POWER(Upgrades!$P$16,H333)*POWER(Upgrades!$P$17,I333)*POWER(Upgrades!$P$18,J333)*POWER(Upgrades!$P$19,K333)*POWER(Upgrades!$P$20,L333)*POWER(Upgrades!$P$21,M333)*$F$6*60</f>
        <v/>
      </c>
      <c r="AC333" s="27">
        <f>(IF(G333=0,0,(Upgrades!$J$15+G333*Upgrades!$K$15)*POWER(Upgrades!$L$15,G333)))*(IF(Upgrades!$T$13="Microlensing",POWER(Upgrades!$U$13,E333),1)*IF(Upgrades!$T$14="Microlensing",POWER(Upgrades!$U$14,F333),1)*IF(Upgrades!$T$16="Microlensing",POWER(Upgrades!$U$16,H333),1)*IF(Upgrades!$T$17="Microlensing",POWER(Upgrades!$U$17,I333),1)*IF(Upgrades!$T$18="Microlensing",POWER(Upgrades!$U$18,J333),1)*IF(Upgrades!$T$19="Microlensing",POWER(Upgrades!$U$19,K333),1)*IF(Upgrades!$T$20="Microlensing",POWER(Upgrades!$U$20,L333),1)*IF(Upgrades!$T$21="Microlensing",POWER(Upgrades!$U$21,M333),1))*POWER(Upgrades!$Q$13,E333)*POWER(Upgrades!$Q$14,F333)*POWER(Upgrades!$Q$15,G333)*POWER(Upgrades!$Q$16,H333)*POWER(Upgrades!$Q$17,I333)*POWER(Upgrades!$Q$18,J333)*POWER(Upgrades!$Q$19,K333)*POWER(Upgrades!$Q$20,L333)*POWER(Upgrades!$Q$21,M333)*$G$6*(Parameters!$B$10*Parameters!$B$11+Q333*60)</f>
        <v/>
      </c>
      <c r="AD333" s="27">
        <f>(IF(H333=0,0,(Upgrades!$M$16+H333*Upgrades!$N$16)*POWER(Upgrades!$O$16,H333)))*(IF(Upgrades!$T$13="Roche Lobe Overflow",POWER(Upgrades!$U$13,E333),1)*IF(Upgrades!$T$14="Roche Lobe Overflow",POWER(Upgrades!$U$14,F333),1)*IF(Upgrades!$T$15="Roche Lobe Overflow",POWER(Upgrades!$U$15,G333),1)*IF(Upgrades!$T$17="Roche Lobe Overflow",POWER(Upgrades!$U$17,I333),1)*IF(Upgrades!$T$18="Roche Lobe Overflow",POWER(Upgrades!$U$18,J333),1)*IF(Upgrades!$T$19="Roche Lobe Overflow",POWER(Upgrades!$U$19,K333),1)*IF(Upgrades!$T$20="Roche Lobe Overflow",POWER(Upgrades!$U$20,L333),1)*IF(Upgrades!$T$21="Roche Lobe Overflow",POWER(Upgrades!$U$21,M333),1))*POWER(Upgrades!$R$13,E333)*POWER(Upgrades!$R$14,F333)*POWER(Upgrades!$R$15,G333)*POWER(Upgrades!$R$16,H333)*POWER(Upgrades!$R$17,I333)*POWER(Upgrades!$R$18,J333)*POWER(Upgrades!$R$19,K333)*POWER(Upgrades!$R$20,L333)*POWER(Upgrades!$R$21,M333)*$H$6*O333*60</f>
        <v/>
      </c>
      <c r="AE333" s="27">
        <f>(IF(I333=0,0,(Upgrades!$G$17+I333*Upgrades!$H$17)*POWER(Upgrades!$I$17,I333)))*(IF(Upgrades!$T$13="Brown Dwarf",POWER(Upgrades!$U$13,E333),1)*IF(Upgrades!$T$14="Brown Dwarf",POWER(Upgrades!$U$14,F333),1)*IF(Upgrades!$T$15="Brown Dwarf",POWER(Upgrades!$U$15,G333),1)*IF(Upgrades!$T$16="Brown Dwarf",POWER(Upgrades!$U$16,H333),1)*IF(Upgrades!$T$18="Brown Dwarf",POWER(Upgrades!$U$18,J333),1)*IF(Upgrades!$T$19="Brown Dwarf",POWER(Upgrades!$U$19,K333),1)*IF(Upgrades!$T$20="Brown Dwarf",POWER(Upgrades!$U$20,L333),1)*IF(Upgrades!$T$21="Brown Dwarf",POWER(Upgrades!$U$21,M333),1))*POWER(Upgrades!$P$13,E333)*POWER(Upgrades!$P$14,F333)*POWER(Upgrades!$P$15,G333)*POWER(Upgrades!$P$16,H333)*POWER(Upgrades!$P$17,I333)*POWER(Upgrades!$P$18,J333)*POWER(Upgrades!$P$19,K333)*POWER(Upgrades!$P$20,L333)*POWER(Upgrades!$P$21,M333)*$F$6*60</f>
        <v/>
      </c>
      <c r="AF333" s="27" t="n">
        <v>0</v>
      </c>
      <c r="AG333" s="27" t="n">
        <v>0</v>
      </c>
      <c r="AH333" s="27" t="n">
        <v>0</v>
      </c>
      <c r="AI333" s="27">
        <f>(IF(M333=0,0,(Upgrades!$G$21+M333*Upgrades!$H$21)*POWER(Upgrades!$I$21,M333)))*(IF(Upgrades!$T$13="Moving Group",POWER(Upgrades!$U$13,E333),1)*IF(Upgrades!$T$14="Moving Group",POWER(Upgrades!$U$14,F333),1)*IF(Upgrades!$T$15="Moving Group",POWER(Upgrades!$U$15,G333),1)*IF(Upgrades!$T$16="Moving Group",POWER(Upgrades!$U$16,H333),1)*IF(Upgrades!$T$17="Moving Group",POWER(Upgrades!$U$17,I333),1)*IF(Upgrades!$T$18="Moving Group",POWER(Upgrades!$U$18,J333),1)*IF(Upgrades!$T$19="Moving Group",POWER(Upgrades!$U$19,K333),1)*IF(Upgrades!$T$20="Moving Group",POWER(Upgrades!$U$20,L333),1))*POWER(Upgrades!$P$13,E333)*POWER(Upgrades!$P$14,F333)*POWER(Upgrades!$P$15,G333)*POWER(Upgrades!$P$16,H333)*POWER(Upgrades!$P$17,I333)*POWER(Upgrades!$P$18,J333)*POWER(Upgrades!$P$19,K333)*POWER(Upgrades!$P$20,L333)*POWER(Upgrades!$P$21,M333)*$F$6*60</f>
        <v/>
      </c>
      <c r="AJ333" s="27">
        <f>$C$6*60</f>
        <v/>
      </c>
      <c r="AK333" s="22">
        <f>IF(E333&gt;=Upgrades!$E$13,"",Upgrades!$C$13*POWER(Upgrades!$D$13,E333))</f>
        <v/>
      </c>
      <c r="AL333" s="22">
        <f>IF(F333&gt;=Upgrades!$E$14,"",Upgrades!$C$14*POWER(Upgrades!$D$14,F333))</f>
        <v/>
      </c>
      <c r="AM333" s="22">
        <f>IF(G333&gt;=Upgrades!$E$15,"",Upgrades!$C$15*POWER(Upgrades!$D$15,G333))</f>
        <v/>
      </c>
      <c r="AN333" s="22">
        <f>IF(H333&gt;=Upgrades!$E$16,"",Upgrades!$C$16*POWER(Upgrades!$D$16,H333))</f>
        <v/>
      </c>
      <c r="AO333" s="22">
        <f>IF(I333&gt;=Upgrades!$E$17,"",Upgrades!$C$17*POWER(Upgrades!$D$17,I333))</f>
        <v/>
      </c>
      <c r="AP333" s="22">
        <f>IF(J333&gt;=Upgrades!$E$18,"",Upgrades!$C$18*POWER(Upgrades!$D$18,J333))</f>
        <v/>
      </c>
      <c r="AQ333" s="22">
        <f>IF(K333&gt;=Upgrades!$E$19,"",Upgrades!$C$19*POWER(Upgrades!$D$19,K333))</f>
        <v/>
      </c>
      <c r="AR333" s="22">
        <f>IF(L333&gt;=Upgrades!$E$20,"",Upgrades!$C$20*POWER(Upgrades!$D$20,L333))</f>
        <v/>
      </c>
      <c r="AS333" s="22">
        <f>IF(M333&gt;=Upgrades!$E$21,"",Upgrades!$C$21*POWER(Upgrades!$D$21,M333))</f>
        <v/>
      </c>
      <c r="AT333" s="26">
        <f>IF(AND(D333&gt;=Parameters!$B$18*Parameters!$B$19,(I333&gt;=Upgrades!$E$17)*(M333&gt;=Upgrades!$E$21)=1,N333=0),1,"")</f>
        <v/>
      </c>
      <c r="AU333" s="26">
        <f>IF(AND(D333&gt;=Parameters!$B$18*Parameters!$B$19,N333=0),1,"")</f>
        <v/>
      </c>
      <c r="AV333" s="22">
        <f>MIN(IF(ISNUMBER(AP333),AP333,9E15),IF(ISNUMBER(AQ333),AQ333,9E15),IF(ISNUMBER(AR333),AR333,9E15),IF(ISNUMBER(AS333),AS333,9E15))</f>
        <v/>
      </c>
      <c r="AW333" s="22">
        <f>MIN(IF(ISNUMBER(AK333),AK333,9E15),IF(ISNUMBER(AL333),AL333,9E15),IF(ISNUMBER(AM333),AM333,9E15),IF(ISNUMBER(AN333),AN333,9E15),IF(ISNUMBER(AO333),AO333,9E15))</f>
        <v/>
      </c>
      <c r="AX333" s="29">
        <f>IF(BD333&gt;Parameters!$B$21*(MAX(IF(AND(NOT(AND(AU333=1,AT333&lt;&gt;1)),ISNUMBER(AK333),AK333&lt;=(C333+T333)),AY333,0),IF(AND(NOT(AND(AU333=1,AT333&lt;&gt;1)),ISNUMBER(AL333),AL333&lt;=(C333+T333)),AZ333,0),IF(AND(NOT(AND(AU333=1,AT333&lt;&gt;1)),ISNUMBER(AM333),AM333&lt;=(C333+T333)),BA333,0),IF(AND(NOT(AND(AU333=1,AT333&lt;&gt;1)),ISNUMBER(AN333),AN333&lt;=(C333+T333)),BB333,0),IF(AND(ISNUMBER(AO333),AO333&lt;=(C333+T333)),BC333,0))),TRUE,FALSE)</f>
        <v/>
      </c>
      <c r="AY333" s="32">
        <f>IFERROR(Upgrades!$H$13*(POWER(Upgrades!$P$13,E333)*POWER(Upgrades!$P$14,F333)*POWER(Upgrades!$P$15,G333)*POWER(Upgrades!$P$16,H333)*POWER(Upgrades!$P$17,I333)*POWER(Upgrades!$P$18,J333)*POWER(Upgrades!$P$19,K333)*POWER(Upgrades!$P$20,L333)*POWER(Upgrades!$P$21,M333))*(IF(Upgrades!$T$14="Stellar Kinematics",POWER(Upgrades!$U$14,F333),1)*IF(Upgrades!$T$15="Stellar Kinematics",POWER(Upgrades!$U$15,G333),1)*IF(Upgrades!$T$16="Stellar Kinematics",POWER(Upgrades!$U$16,H333),1)*IF(Upgrades!$T$17="Stellar Kinematics",POWER(Upgrades!$U$17,I333),1)*IF(Upgrades!$T$18="Stellar Kinematics",POWER(Upgrades!$U$18,J333),1)*IF(Upgrades!$T$19="Stellar Kinematics",POWER(Upgrades!$U$19,K333),1)*IF(Upgrades!$T$20="Stellar Kinematics",POWER(Upgrades!$U$20,L333),1)*IF(Upgrades!$T$21="Stellar Kinematics",POWER(Upgrades!$U$21,M333),1))*$F$6/AK333,0)</f>
        <v/>
      </c>
      <c r="AZ333" s="32">
        <f>IFERROR(Upgrades!$H$14*(POWER(Upgrades!$P$13,E333)*POWER(Upgrades!$P$14,F333)*POWER(Upgrades!$P$15,G333)*POWER(Upgrades!$P$16,H333)*POWER(Upgrades!$P$17,I333)*POWER(Upgrades!$P$18,J333)*POWER(Upgrades!$P$19,K333)*POWER(Upgrades!$P$20,L333)*POWER(Upgrades!$P$21,M333))*(IF(Upgrades!$T$13="Local Bubble",POWER(Upgrades!$U$13,E333),1)*IF(Upgrades!$T$15="Local Bubble",POWER(Upgrades!$U$15,G333),1)*IF(Upgrades!$T$16="Local Bubble",POWER(Upgrades!$U$16,H333),1)*IF(Upgrades!$T$17="Local Bubble",POWER(Upgrades!$U$17,I333),1)*IF(Upgrades!$T$18="Local Bubble",POWER(Upgrades!$U$18,J333),1)*IF(Upgrades!$T$19="Local Bubble",POWER(Upgrades!$U$19,K333),1)*IF(Upgrades!$T$20="Local Bubble",POWER(Upgrades!$U$20,L333),1)*IF(Upgrades!$T$21="Local Bubble",POWER(Upgrades!$U$21,M333),1))*$F$6/AL333,0)</f>
        <v/>
      </c>
      <c r="BA333" s="32">
        <f>IFERROR(Upgrades!$K$15*(POWER(Upgrades!$Q$13,E333)*POWER(Upgrades!$Q$14,F333)*POWER(Upgrades!$Q$15,G333)*POWER(Upgrades!$Q$16,H333)*POWER(Upgrades!$Q$17,I333)*POWER(Upgrades!$Q$18,J333)*POWER(Upgrades!$Q$19,K333)*POWER(Upgrades!$Q$20,L333)*POWER(Upgrades!$Q$21,M333))*(IF(Upgrades!$T$13="Microlensing",POWER(Upgrades!$U$13,E333),1)*IF(Upgrades!$T$14="Microlensing",POWER(Upgrades!$U$14,F333),1)*IF(Upgrades!$T$16="Microlensing",POWER(Upgrades!$U$16,H333),1)*IF(Upgrades!$T$17="Microlensing",POWER(Upgrades!$U$17,I333),1)*IF(Upgrades!$T$18="Microlensing",POWER(Upgrades!$U$18,J333),1)*IF(Upgrades!$T$19="Microlensing",POWER(Upgrades!$U$19,K333),1)*IF(Upgrades!$T$20="Microlensing",POWER(Upgrades!$U$20,L333),1)*IF(Upgrades!$T$21="Microlensing",POWER(Upgrades!$U$21,M333),1))*$G$6*(Parameters!$B$10/60*Parameters!$B$11+Q333)/AM333,0)</f>
        <v/>
      </c>
      <c r="BB333" s="32">
        <f>IFERROR((Upgrades!$N$16*(POWER(Upgrades!$R$13,E333)*POWER(Upgrades!$R$14,F333)*POWER(Upgrades!$R$15,G333)*POWER(Upgrades!$R$16,H333)*POWER(Upgrades!$R$17,I333)*POWER(Upgrades!$R$18,J333)*POWER(Upgrades!$R$19,K333)*POWER(Upgrades!$R$20,L333)*POWER(Upgrades!$R$21,M333))*(IF(Upgrades!$T$13="Roche Lobe Overflow",POWER(Upgrades!$U$13,E333),1)*IF(Upgrades!$T$14="Roche Lobe Overflow",POWER(Upgrades!$U$14,F333),1)*IF(Upgrades!$T$15="Roche Lobe Overflow",POWER(Upgrades!$U$15,G333),1)*IF(Upgrades!$T$17="Roche Lobe Overflow",POWER(Upgrades!$U$17,I333),1)*IF(Upgrades!$T$18="Roche Lobe Overflow",POWER(Upgrades!$U$18,J333),1)*IF(Upgrades!$T$19="Roche Lobe Overflow",POWER(Upgrades!$U$19,K333),1)*IF(Upgrades!$T$20="Roche Lobe Overflow",POWER(Upgrades!$U$20,L333),1)*IF(Upgrades!$T$21="Roche Lobe Overflow",POWER(Upgrades!$U$21,M333),1))*$H$6*O333+((IF(F333=0,0,(Upgrades!$G$14+F333*Upgrades!$H$14)*POWER(Upgrades!$I$14,F333)))*(IF(Upgrades!$T$13="Local Bubble",POWER(Upgrades!$U$13,E333),1)*IF(Upgrades!$T$15="Local Bubble",POWER(Upgrades!$U$15,G333),1)*IF(Upgrades!$T$16="Local Bubble",POWER(Upgrades!$U$16,H333),1)*IF(Upgrades!$T$17="Local Bubble",POWER(Upgrades!$U$17,I333),1)*IF(Upgrades!$T$18="Local Bubble",POWER(Upgrades!$U$18,J333),1)*IF(Upgrades!$T$19="Local Bubble",POWER(Upgrades!$U$19,K333),1)*IF(Upgrades!$T$20="Local Bubble",POWER(Upgrades!$U$20,L333),1)*IF(Upgrades!$T$21="Local Bubble",POWER(Upgrades!$U$21,M333),1))*POWER(Upgrades!$P$13,E333)*POWER(Upgrades!$P$14,F333)*POWER(Upgrades!$P$15,G333)*POWER(Upgrades!$P$16,H333)*POWER(Upgrades!$P$17,I333)*POWER(Upgrades!$P$18,J333)*POWER(Upgrades!$P$19,K333)*POWER(Upgrades!$P$20,L333)*POWER(Upgrades!$P$21,M333)*$F$6)*0.05)/AN333,0)</f>
        <v/>
      </c>
      <c r="BC333" s="32">
        <f>IFERROR((Upgrades!$H$17*(POWER(Upgrades!$P$13,E333)*POWER(Upgrades!$P$14,F333)*POWER(Upgrades!$P$15,G333)*POWER(Upgrades!$P$16,H333)*POWER(Upgrades!$P$17,I333)*POWER(Upgrades!$P$18,J333)*POWER(Upgrades!$P$19,K333)*POWER(Upgrades!$P$20,L333)*POWER(Upgrades!$P$21,M333))*(IF(Upgrades!$T$13="Brown Dwarf",POWER(Upgrades!$U$13,E333),1)*IF(Upgrades!$T$14="Brown Dwarf",POWER(Upgrades!$U$14,F333),1)*IF(Upgrades!$T$15="Brown Dwarf",POWER(Upgrades!$U$15,G333),1)*IF(Upgrades!$T$16="Brown Dwarf",POWER(Upgrades!$U$16,H333),1)*IF(Upgrades!$T$18="Brown Dwarf",POWER(Upgrades!$U$18,J333),1)*IF(Upgrades!$T$19="Brown Dwarf",POWER(Upgrades!$U$19,K333),1)*IF(Upgrades!$T$20="Brown Dwarf",POWER(Upgrades!$U$20,L333),1)*IF(Upgrades!$T$21="Brown Dwarf",POWER(Upgrades!$U$21,M333),1))*$F$6+(((IF(H333=0,0,(Upgrades!$M$16+H333*Upgrades!$N$16)*POWER(Upgrades!$O$16,H333)))*(IF(Upgrades!$T$13="Roche Lobe Overflow",POWER(Upgrades!$U$13,E333),1)*IF(Upgrades!$T$14="Roche Lobe Overflow",POWER(Upgrades!$U$14,F333),1)*IF(Upgrades!$T$15="Roche Lobe Overflow",POWER(Upgrades!$U$15,G333),1)*IF(Upgrades!$T$17="Roche Lobe Overflow",POWER(Upgrades!$U$17,I333),1)*IF(Upgrades!$T$18="Roche Lobe Overflow",POWER(Upgrades!$U$18,J333),1)*IF(Upgrades!$T$19="Roche Lobe Overflow",POWER(Upgrades!$U$19,K333),1)*IF(Upgrades!$T$20="Roche Lobe Overflow",POWER(Upgrades!$U$20,L333),1)*IF(Upgrades!$T$21="Roche Lobe Overflow",POWER(Upgrades!$U$21,M333),1))*POWER(Upgrades!$R$13,E333)*POWER(Upgrades!$R$14,F333)*POWER(Upgrades!$R$15,G333)*POWER(Upgrades!$R$16,H333)*POWER(Upgrades!$R$17,I333)*POWER(Upgrades!$R$18,J333)*POWER(Upgrades!$R$19,K333)*POWER(Upgrades!$R$20,L333)*POWER(Upgrades!$R$21,M333)*$H$6)*O333)*0.10)/AO333,0)</f>
        <v/>
      </c>
      <c r="BD333" s="32">
        <f>MAX(IF(J333&gt;0,0,IFERROR(0.5*((IF(G333=0,0,(Upgrades!$J$15+G333*Upgrades!$K$15)*POWER(Upgrades!$L$15,G333)))*(IF(Upgrades!$T$13="Microlensing",POWER(Upgrades!$U$13,E333),1)*IF(Upgrades!$T$14="Microlensing",POWER(Upgrades!$U$14,F333),1)*IF(Upgrades!$T$16="Microlensing",POWER(Upgrades!$U$16,H333),1)*IF(Upgrades!$T$17="Microlensing",POWER(Upgrades!$U$17,I333),1)*IF(Upgrades!$T$18="Microlensing",POWER(Upgrades!$U$18,J333),1)*IF(Upgrades!$T$19="Microlensing",POWER(Upgrades!$U$19,K333),1)*IF(Upgrades!$T$20="Microlensing",POWER(Upgrades!$U$20,L333),1)*IF(Upgrades!$T$21="Microlensing",POWER(Upgrades!$U$21,M333),1))*(POWER(Upgrades!$Q$13,E333)*POWER(Upgrades!$Q$14,F333)*POWER(Upgrades!$Q$15,G333)*POWER(Upgrades!$Q$16,H333)*POWER(Upgrades!$Q$17,I333)*POWER(Upgrades!$Q$18,J333)*POWER(Upgrades!$Q$19,K333)*POWER(Upgrades!$Q$20,L333)*POWER(Upgrades!$Q$21,M333))*$G$6*(Parameters!$B$10/60*Parameters!$B$11+Q333))/Upgrades!$C$18,0)),IF(K333&gt;0,0,IFERROR(0.30*P333/Upgrades!$C$19,0)),IF(L333&gt;0,0,IFERROR(0.0001/Upgrades!$C$20,0)),IF(M333&gt;0,0,IFERROR((6.0*(POWER(Upgrades!$P$13,E333)*POWER(Upgrades!$P$14,F333)*POWER(Upgrades!$P$15,G333)*POWER(Upgrades!$P$16,H333)*POWER(Upgrades!$P$17,I333)*POWER(Upgrades!$P$18,J333)*POWER(Upgrades!$P$19,K333)*POWER(Upgrades!$P$20,L333)*POWER(Upgrades!$P$21,M333))*$F$6+0.20*O333*(Parameters!$B$10/60*Parameters!$B$11+Q333))/Upgrades!$C$21,0)),IF(AND(ISNUMBER(AK333),AK333&gt;(C333+T333)),AY333,0),IF(AND(ISNUMBER(AL333),AL333&gt;(C333+T333)),AZ333,0),IF(AND(ISNUMBER(AM333),AM333&gt;(C333+T333)),BA333,0),IF(AND(ISNUMBER(AN333),AN333&gt;(C333+T333)),BB333,0),IF(AND(ISNUMBER(AO333),AO333&gt;(C333+T333)),BC333,0))</f>
        <v/>
      </c>
      <c r="BE333" s="29">
        <f>IF(AT333=1,"transition",IF(MIN(IF(AND(J333=0,ISNUMBER(AP333),AP333&lt;=(C333+T333)),AP333,9E15),IF(AND(K333=0,ISNUMBER(AQ333),AQ333&lt;=(C333+T333)),AQ333,9E15),IF(AND(L333=0,ISNUMBER(AR333),AR333&lt;=(C333+T333)),AR333,9E15),IF(AND(M333=0,ISNUMBER(AS333),AS333&lt;=(C333+T333)),AS333,9E15))&lt;9E15,IF(AND(AND(J333=0,ISNUMBER(AP333),AP333&lt;=(C333+T333)),AP333=MIN(IF(AND(J333=0,ISNUMBER(AP333),AP333&lt;=(C333+T333)),AP333,9E15),IF(AND(K333=0,ISNUMBER(AQ333),AQ333&lt;=(C333+T333)),AQ333,9E15),IF(AND(L333=0,ISNUMBER(AR333),AR333&lt;=(C333+T333)),AR333,9E15),IF(AND(M333=0,ISNUMBER(AS333),AS333&lt;=(C333+T333)),AS333,9E15))),"BiP",IF(AND(AND(K333=0,ISNUMBER(AQ333),AQ333&lt;=(C333+T333)),AQ333=MIN(IF(AND(J333=0,ISNUMBER(AP333),AP333&lt;=(C333+T333)),AP333,9E15),IF(AND(K333=0,ISNUMBER(AQ333),AQ333&lt;=(C333+T333)),AQ333,9E15),IF(AND(L333=0,ISNUMBER(AR333),AR333&lt;=(C333+T333)),AR333,9E15),IF(AND(M333=0,ISNUMBER(AS333),AS333&lt;=(C333+T333)),AS333,9E15))),"PV",IF(AND(AND(L333=0,ISNUMBER(AR333),AR333&lt;=(C333+T333)),AR333=MIN(IF(AND(J333=0,ISNUMBER(AP333),AP333&lt;=(C333+T333)),AP333,9E15),IF(AND(K333=0,ISNUMBER(AQ333),AQ333&lt;=(C333+T333)),AQ333,9E15),IF(AND(L333=0,ISNUMBER(AR333),AR333&lt;=(C333+T333)),AR333,9E15),IF(AND(M333=0,ISNUMBER(AS333),AS333&lt;=(C333+T333)),AS333,9E15))),"OC","MG"))),IF(AX333=TRUE,"",IF(MAX(IF(AND(NOT(AND(AU333=1,AT333&lt;&gt;1)),ISNUMBER(AK333),AK333&lt;=(C333+T333)),AY333,0),IF(AND(NOT(AND(AU333=1,AT333&lt;&gt;1)),ISNUMBER(AL333),AL333&lt;=(C333+T333)),AZ333,0),IF(AND(NOT(AND(AU333=1,AT333&lt;&gt;1)),ISNUMBER(AM333),AM333&lt;=(C333+T333)),BA333,0),IF(AND(NOT(AND(AU333=1,AT333&lt;&gt;1)),ISNUMBER(AN333),AN333&lt;=(C333+T333)),BB333,0),IF(AND(ISNUMBER(AO333),AO333&lt;=(C333+T333)),BC333,0))&lt;=0,"",IF(AND(IF(AND(NOT(AND(AU333=1,AT333&lt;&gt;1)),ISNUMBER(AK333),AK333&lt;=(C333+T333)),AY333,0)&gt;0,IF(AND(NOT(AND(AU333=1,AT333&lt;&gt;1)),ISNUMBER(AK333),AK333&lt;=(C333+T333)),AY333,0)=MAX(IF(AND(NOT(AND(AU333=1,AT333&lt;&gt;1)),ISNUMBER(AK333),AK333&lt;=(C333+T333)),AY333,0),IF(AND(NOT(AND(AU333=1,AT333&lt;&gt;1)),ISNUMBER(AL333),AL333&lt;=(C333+T333)),AZ333,0),IF(AND(NOT(AND(AU333=1,AT333&lt;&gt;1)),ISNUMBER(AM333),AM333&lt;=(C333+T333)),BA333,0),IF(AND(NOT(AND(AU333=1,AT333&lt;&gt;1)),ISNUMBER(AN333),AN333&lt;=(C333+T333)),BB333,0),IF(AND(ISNUMBER(AO333),AO333&lt;=(C333+T333)),BC333,0))),"SK",IF(AND(IF(AND(NOT(AND(AU333=1,AT333&lt;&gt;1)),ISNUMBER(AL333),AL333&lt;=(C333+T333)),AZ333,0)&gt;0,IF(AND(NOT(AND(AU333=1,AT333&lt;&gt;1)),ISNUMBER(AL333),AL333&lt;=(C333+T333)),AZ333,0)=MAX(IF(AND(NOT(AND(AU333=1,AT333&lt;&gt;1)),ISNUMBER(AK333),AK333&lt;=(C333+T333)),AY333,0),IF(AND(NOT(AND(AU333=1,AT333&lt;&gt;1)),ISNUMBER(AL333),AL333&lt;=(C333+T333)),AZ333,0),IF(AND(NOT(AND(AU333=1,AT333&lt;&gt;1)),ISNUMBER(AM333),AM333&lt;=(C333+T333)),BA333,0),IF(AND(NOT(AND(AU333=1,AT333&lt;&gt;1)),ISNUMBER(AN333),AN333&lt;=(C333+T333)),BB333,0),IF(AND(ISNUMBER(AO333),AO333&lt;=(C333+T333)),BC333,0))),"LB",IF(AND(IF(AND(NOT(AND(AU333=1,AT333&lt;&gt;1)),ISNUMBER(AM333),AM333&lt;=(C333+T333)),BA333,0)&gt;0,IF(AND(NOT(AND(AU333=1,AT333&lt;&gt;1)),ISNUMBER(AM333),AM333&lt;=(C333+T333)),BA333,0)=MAX(IF(AND(NOT(AND(AU333=1,AT333&lt;&gt;1)),ISNUMBER(AK333),AK333&lt;=(C333+T333)),AY333,0),IF(AND(NOT(AND(AU333=1,AT333&lt;&gt;1)),ISNUMBER(AL333),AL333&lt;=(C333+T333)),AZ333,0),IF(AND(NOT(AND(AU333=1,AT333&lt;&gt;1)),ISNUMBER(AM333),AM333&lt;=(C333+T333)),BA333,0),IF(AND(NOT(AND(AU333=1,AT333&lt;&gt;1)),ISNUMBER(AN333),AN333&lt;=(C333+T333)),BB333,0),IF(AND(ISNUMBER(AO333),AO333&lt;=(C333+T333)),BC333,0))),"ML",IF(AND(IF(AND(NOT(AND(AU333=1,AT333&lt;&gt;1)),ISNUMBER(AN333),AN333&lt;=(C333+T333)),BB333,0)&gt;0,IF(AND(NOT(AND(AU333=1,AT333&lt;&gt;1)),ISNUMBER(AN333),AN333&lt;=(C333+T333)),BB333,0)=MAX(IF(AND(NOT(AND(AU333=1,AT333&lt;&gt;1)),ISNUMBER(AK333),AK333&lt;=(C333+T333)),AY333,0),IF(AND(NOT(AND(AU333=1,AT333&lt;&gt;1)),ISNUMBER(AL333),AL333&lt;=(C333+T333)),AZ333,0),IF(AND(NOT(AND(AU333=1,AT333&lt;&gt;1)),ISNUMBER(AM333),AM333&lt;=(C333+T333)),BA333,0),IF(AND(NOT(AND(AU333=1,AT333&lt;&gt;1)),ISNUMBER(AN333),AN333&lt;=(C333+T333)),BB333,0),IF(AND(ISNUMBER(AO333),AO333&lt;=(C333+T333)),BC333,0))),"RLO","BD"))))))))</f>
        <v/>
      </c>
    </row>
    <row r="334">
      <c r="A334" s="26" t="n">
        <v>323</v>
      </c>
      <c r="B334" s="27">
        <f>A334*10/60</f>
        <v/>
      </c>
      <c r="C334" s="22">
        <f>X333</f>
        <v/>
      </c>
      <c r="D334" s="27">
        <f>D333+W333</f>
        <v/>
      </c>
      <c r="E334" s="26">
        <f>E333+IF(U333="SK",1,0)</f>
        <v/>
      </c>
      <c r="F334" s="26">
        <f>F333+IF(U333="LB",1,0)</f>
        <v/>
      </c>
      <c r="G334" s="26">
        <f>G333+IF(U333="ML",1,0)</f>
        <v/>
      </c>
      <c r="H334" s="26">
        <f>H333+IF(U333="RLO",1,0)</f>
        <v/>
      </c>
      <c r="I334" s="26">
        <f>I333+IF(U333="BD",1,0)</f>
        <v/>
      </c>
      <c r="J334" s="26">
        <f>MAX(J333,IF(U333="BiP",1,0))</f>
        <v/>
      </c>
      <c r="K334" s="26">
        <f>MAX(K333,IF(U333="PV",1,0))</f>
        <v/>
      </c>
      <c r="L334" s="26">
        <f>MAX(L333,IF(U333="OC",1,0))</f>
        <v/>
      </c>
      <c r="M334" s="26">
        <f>MAX(M333,IF(U333="MG",1,0))</f>
        <v/>
      </c>
      <c r="N334" s="26">
        <f>MAX(N333,IF(U333="transition",1,0))</f>
        <v/>
      </c>
      <c r="O334" s="28">
        <f>(Parameters!$B$9+(IF(E334=0,0,(Upgrades!$J$13+E334*Upgrades!$K$13)*POWER(Upgrades!$L$13,E334)))*(IF(Upgrades!$T$14="Stellar Kinematics",POWER(Upgrades!$U$14,F334),1)*IF(Upgrades!$T$15="Stellar Kinematics",POWER(Upgrades!$U$15,G334),1)*IF(Upgrades!$T$16="Stellar Kinematics",POWER(Upgrades!$U$16,H334),1)*IF(Upgrades!$T$17="Stellar Kinematics",POWER(Upgrades!$U$17,I334),1)*IF(Upgrades!$T$18="Stellar Kinematics",POWER(Upgrades!$U$18,J334),1)*IF(Upgrades!$T$19="Stellar Kinematics",POWER(Upgrades!$U$19,K334),1)*IF(Upgrades!$T$20="Stellar Kinematics",POWER(Upgrades!$U$20,L334),1)*IF(Upgrades!$T$21="Stellar Kinematics",POWER(Upgrades!$U$21,M334),1))+(IF(F334=0,0,(Upgrades!$J$14+F334*Upgrades!$K$14)*POWER(Upgrades!$L$14,F334)))*(IF(Upgrades!$T$13="Local Bubble",POWER(Upgrades!$U$13,E334),1)*IF(Upgrades!$T$15="Local Bubble",POWER(Upgrades!$U$15,G334),1)*IF(Upgrades!$T$16="Local Bubble",POWER(Upgrades!$U$16,H334),1)*IF(Upgrades!$T$17="Local Bubble",POWER(Upgrades!$U$17,I334),1)*IF(Upgrades!$T$18="Local Bubble",POWER(Upgrades!$U$18,J334),1)*IF(Upgrades!$T$19="Local Bubble",POWER(Upgrades!$U$19,K334),1)*IF(Upgrades!$T$20="Local Bubble",POWER(Upgrades!$U$20,L334),1)*IF(Upgrades!$T$21="Local Bubble",POWER(Upgrades!$U$21,M334),1))+(IF(G334=0,0,(Upgrades!$J$15+G334*Upgrades!$K$15)*POWER(Upgrades!$L$15,G334)))*(IF(Upgrades!$T$13="Microlensing",POWER(Upgrades!$U$13,E334),1)*IF(Upgrades!$T$14="Microlensing",POWER(Upgrades!$U$14,F334),1)*IF(Upgrades!$T$16="Microlensing",POWER(Upgrades!$U$16,H334),1)*IF(Upgrades!$T$17="Microlensing",POWER(Upgrades!$U$17,I334),1)*IF(Upgrades!$T$18="Microlensing",POWER(Upgrades!$U$18,J334),1)*IF(Upgrades!$T$19="Microlensing",POWER(Upgrades!$U$19,K334),1)*IF(Upgrades!$T$20="Microlensing",POWER(Upgrades!$U$20,L334),1)*IF(Upgrades!$T$21="Microlensing",POWER(Upgrades!$U$21,M334),1))+(IF(H334=0,0,(Upgrades!$J$16+H334*Upgrades!$K$16)*POWER(Upgrades!$L$16,H334)))*(IF(Upgrades!$T$13="Roche Lobe Overflow",POWER(Upgrades!$U$13,E334),1)*IF(Upgrades!$T$14="Roche Lobe Overflow",POWER(Upgrades!$U$14,F334),1)*IF(Upgrades!$T$15="Roche Lobe Overflow",POWER(Upgrades!$U$15,G334),1)*IF(Upgrades!$T$17="Roche Lobe Overflow",POWER(Upgrades!$U$17,I334),1)*IF(Upgrades!$T$18="Roche Lobe Overflow",POWER(Upgrades!$U$18,J334),1)*IF(Upgrades!$T$19="Roche Lobe Overflow",POWER(Upgrades!$U$19,K334),1)*IF(Upgrades!$T$20="Roche Lobe Overflow",POWER(Upgrades!$U$20,L334),1)*IF(Upgrades!$T$21="Roche Lobe Overflow",POWER(Upgrades!$U$21,M334),1))+(IF(I334=0,0,(Upgrades!$J$17+I334*Upgrades!$K$17)*POWER(Upgrades!$L$17,I334)))*(IF(Upgrades!$T$13="Brown Dwarf",POWER(Upgrades!$U$13,E334),1)*IF(Upgrades!$T$14="Brown Dwarf",POWER(Upgrades!$U$14,F334),1)*IF(Upgrades!$T$15="Brown Dwarf",POWER(Upgrades!$U$15,G334),1)*IF(Upgrades!$T$16="Brown Dwarf",POWER(Upgrades!$U$16,H334),1)*IF(Upgrades!$T$18="Brown Dwarf",POWER(Upgrades!$U$18,J334),1)*IF(Upgrades!$T$19="Brown Dwarf",POWER(Upgrades!$U$19,K334),1)*IF(Upgrades!$T$20="Brown Dwarf",POWER(Upgrades!$U$20,L334),1)*IF(Upgrades!$T$21="Brown Dwarf",POWER(Upgrades!$U$21,M334),1))+(IF(J334=0,0,(Upgrades!$J$18+J334*Upgrades!$K$18)*POWER(Upgrades!$L$18,J334)))*(IF(Upgrades!$T$13="Binary Partner",POWER(Upgrades!$U$13,E334),1)*IF(Upgrades!$T$14="Binary Partner",POWER(Upgrades!$U$14,F334),1)*IF(Upgrades!$T$15="Binary Partner",POWER(Upgrades!$U$15,G334),1)*IF(Upgrades!$T$16="Binary Partner",POWER(Upgrades!$U$16,H334),1)*IF(Upgrades!$T$17="Binary Partner",POWER(Upgrades!$U$17,I334),1)*IF(Upgrades!$T$19="Binary Partner",POWER(Upgrades!$U$19,K334),1)*IF(Upgrades!$T$20="Binary Partner",POWER(Upgrades!$U$20,L334),1)*IF(Upgrades!$T$21="Binary Partner",POWER(Upgrades!$U$21,M334),1))+(IF(K334=0,0,(Upgrades!$J$19+K334*Upgrades!$K$19)*POWER(Upgrades!$L$19,K334)))*(IF(Upgrades!$T$13="Peculiar Velocity",POWER(Upgrades!$U$13,E334),1)*IF(Upgrades!$T$14="Peculiar Velocity",POWER(Upgrades!$U$14,F334),1)*IF(Upgrades!$T$15="Peculiar Velocity",POWER(Upgrades!$U$15,G334),1)*IF(Upgrades!$T$16="Peculiar Velocity",POWER(Upgrades!$U$16,H334),1)*IF(Upgrades!$T$17="Peculiar Velocity",POWER(Upgrades!$U$17,I334),1)*IF(Upgrades!$T$18="Peculiar Velocity",POWER(Upgrades!$U$18,J334),1)*IF(Upgrades!$T$20="Peculiar Velocity",POWER(Upgrades!$U$20,L334),1)*IF(Upgrades!$T$21="Peculiar Velocity",POWER(Upgrades!$U$21,M334),1))+(IF(L334=0,0,(Upgrades!$J$20+L334*Upgrades!$K$20)*POWER(Upgrades!$L$20,L334)))*(IF(Upgrades!$T$13="Open Cluster",POWER(Upgrades!$U$13,E334),1)*IF(Upgrades!$T$14="Open Cluster",POWER(Upgrades!$U$14,F334),1)*IF(Upgrades!$T$15="Open Cluster",POWER(Upgrades!$U$15,G334),1)*IF(Upgrades!$T$16="Open Cluster",POWER(Upgrades!$U$16,H334),1)*IF(Upgrades!$T$17="Open Cluster",POWER(Upgrades!$U$17,I334),1)*IF(Upgrades!$T$18="Open Cluster",POWER(Upgrades!$U$18,J334),1)*IF(Upgrades!$T$19="Open Cluster",POWER(Upgrades!$U$19,K334),1)*IF(Upgrades!$T$21="Open Cluster",POWER(Upgrades!$U$21,M334),1))+(IF(M334=0,0,(Upgrades!$J$21+M334*Upgrades!$K$21)*POWER(Upgrades!$L$21,M334)))*(IF(Upgrades!$T$13="Moving Group",POWER(Upgrades!$U$13,E334),1)*IF(Upgrades!$T$14="Moving Group",POWER(Upgrades!$U$14,F334),1)*IF(Upgrades!$T$15="Moving Group",POWER(Upgrades!$U$15,G334),1)*IF(Upgrades!$T$16="Moving Group",POWER(Upgrades!$U$16,H334),1)*IF(Upgrades!$T$17="Moving Group",POWER(Upgrades!$U$17,I334),1)*IF(Upgrades!$T$18="Moving Group",POWER(Upgrades!$U$18,J334),1)*IF(Upgrades!$T$19="Moving Group",POWER(Upgrades!$U$19,K334),1)*IF(Upgrades!$T$20="Moving Group",POWER(Upgrades!$U$20,L334),1)))*POWER(Upgrades!$Q$13,E334)*POWER(Upgrades!$Q$14,F334)*POWER(Upgrades!$Q$15,G334)*POWER(Upgrades!$Q$16,H334)*POWER(Upgrades!$Q$17,I334)*POWER(Upgrades!$Q$18,J334)*POWER(Upgrades!$Q$19,K334)*POWER(Upgrades!$Q$20,L334)*POWER(Upgrades!$Q$21,M334)*$G$6+$D$6</f>
        <v/>
      </c>
      <c r="P334" s="28">
        <f>((IF(E334=0,0,(Upgrades!$G$13+E334*Upgrades!$H$13)*POWER(Upgrades!$I$13,E334)))*(IF(Upgrades!$T$14="Stellar Kinematics",POWER(Upgrades!$U$14,F334),1)*IF(Upgrades!$T$15="Stellar Kinematics",POWER(Upgrades!$U$15,G334),1)*IF(Upgrades!$T$16="Stellar Kinematics",POWER(Upgrades!$U$16,H334),1)*IF(Upgrades!$T$17="Stellar Kinematics",POWER(Upgrades!$U$17,I334),1)*IF(Upgrades!$T$18="Stellar Kinematics",POWER(Upgrades!$U$18,J334),1)*IF(Upgrades!$T$19="Stellar Kinematics",POWER(Upgrades!$U$19,K334),1)*IF(Upgrades!$T$20="Stellar Kinematics",POWER(Upgrades!$U$20,L334),1)*IF(Upgrades!$T$21="Stellar Kinematics",POWER(Upgrades!$U$21,M334),1))+(IF(F334=0,0,(Upgrades!$G$14+F334*Upgrades!$H$14)*POWER(Upgrades!$I$14,F334)))*(IF(Upgrades!$T$13="Local Bubble",POWER(Upgrades!$U$13,E334),1)*IF(Upgrades!$T$15="Local Bubble",POWER(Upgrades!$U$15,G334),1)*IF(Upgrades!$T$16="Local Bubble",POWER(Upgrades!$U$16,H334),1)*IF(Upgrades!$T$17="Local Bubble",POWER(Upgrades!$U$17,I334),1)*IF(Upgrades!$T$18="Local Bubble",POWER(Upgrades!$U$18,J334),1)*IF(Upgrades!$T$19="Local Bubble",POWER(Upgrades!$U$19,K334),1)*IF(Upgrades!$T$20="Local Bubble",POWER(Upgrades!$U$20,L334),1)*IF(Upgrades!$T$21="Local Bubble",POWER(Upgrades!$U$21,M334),1))+(IF(G334=0,0,(Upgrades!$G$15+G334*Upgrades!$H$15)*POWER(Upgrades!$I$15,G334)))*(IF(Upgrades!$T$13="Microlensing",POWER(Upgrades!$U$13,E334),1)*IF(Upgrades!$T$14="Microlensing",POWER(Upgrades!$U$14,F334),1)*IF(Upgrades!$T$16="Microlensing",POWER(Upgrades!$U$16,H334),1)*IF(Upgrades!$T$17="Microlensing",POWER(Upgrades!$U$17,I334),1)*IF(Upgrades!$T$18="Microlensing",POWER(Upgrades!$U$18,J334),1)*IF(Upgrades!$T$19="Microlensing",POWER(Upgrades!$U$19,K334),1)*IF(Upgrades!$T$20="Microlensing",POWER(Upgrades!$U$20,L334),1)*IF(Upgrades!$T$21="Microlensing",POWER(Upgrades!$U$21,M334),1))+(IF(H334=0,0,(Upgrades!$G$16+H334*Upgrades!$H$16)*POWER(Upgrades!$I$16,H334)))*(IF(Upgrades!$T$13="Roche Lobe Overflow",POWER(Upgrades!$U$13,E334),1)*IF(Upgrades!$T$14="Roche Lobe Overflow",POWER(Upgrades!$U$14,F334),1)*IF(Upgrades!$T$15="Roche Lobe Overflow",POWER(Upgrades!$U$15,G334),1)*IF(Upgrades!$T$17="Roche Lobe Overflow",POWER(Upgrades!$U$17,I334),1)*IF(Upgrades!$T$18="Roche Lobe Overflow",POWER(Upgrades!$U$18,J334),1)*IF(Upgrades!$T$19="Roche Lobe Overflow",POWER(Upgrades!$U$19,K334),1)*IF(Upgrades!$T$20="Roche Lobe Overflow",POWER(Upgrades!$U$20,L334),1)*IF(Upgrades!$T$21="Roche Lobe Overflow",POWER(Upgrades!$U$21,M334),1))+(IF(I334=0,0,(Upgrades!$G$17+I334*Upgrades!$H$17)*POWER(Upgrades!$I$17,I334)))*(IF(Upgrades!$T$13="Brown Dwarf",POWER(Upgrades!$U$13,E334),1)*IF(Upgrades!$T$14="Brown Dwarf",POWER(Upgrades!$U$14,F334),1)*IF(Upgrades!$T$15="Brown Dwarf",POWER(Upgrades!$U$15,G334),1)*IF(Upgrades!$T$16="Brown Dwarf",POWER(Upgrades!$U$16,H334),1)*IF(Upgrades!$T$18="Brown Dwarf",POWER(Upgrades!$U$18,J334),1)*IF(Upgrades!$T$19="Brown Dwarf",POWER(Upgrades!$U$19,K334),1)*IF(Upgrades!$T$20="Brown Dwarf",POWER(Upgrades!$U$20,L334),1)*IF(Upgrades!$T$21="Brown Dwarf",POWER(Upgrades!$U$21,M334),1))+(IF(J334=0,0,(Upgrades!$G$18+J334*Upgrades!$H$18)*POWER(Upgrades!$I$18,J334)))*(IF(Upgrades!$T$13="Binary Partner",POWER(Upgrades!$U$13,E334),1)*IF(Upgrades!$T$14="Binary Partner",POWER(Upgrades!$U$14,F334),1)*IF(Upgrades!$T$15="Binary Partner",POWER(Upgrades!$U$15,G334),1)*IF(Upgrades!$T$16="Binary Partner",POWER(Upgrades!$U$16,H334),1)*IF(Upgrades!$T$17="Binary Partner",POWER(Upgrades!$U$17,I334),1)*IF(Upgrades!$T$19="Binary Partner",POWER(Upgrades!$U$19,K334),1)*IF(Upgrades!$T$20="Binary Partner",POWER(Upgrades!$U$20,L334),1)*IF(Upgrades!$T$21="Binary Partner",POWER(Upgrades!$U$21,M334),1))+(IF(K334=0,0,(Upgrades!$G$19+K334*Upgrades!$H$19)*POWER(Upgrades!$I$19,K334)))*(IF(Upgrades!$T$13="Peculiar Velocity",POWER(Upgrades!$U$13,E334),1)*IF(Upgrades!$T$14="Peculiar Velocity",POWER(Upgrades!$U$14,F334),1)*IF(Upgrades!$T$15="Peculiar Velocity",POWER(Upgrades!$U$15,G334),1)*IF(Upgrades!$T$16="Peculiar Velocity",POWER(Upgrades!$U$16,H334),1)*IF(Upgrades!$T$17="Peculiar Velocity",POWER(Upgrades!$U$17,I334),1)*IF(Upgrades!$T$18="Peculiar Velocity",POWER(Upgrades!$U$18,J334),1)*IF(Upgrades!$T$20="Peculiar Velocity",POWER(Upgrades!$U$20,L334),1)*IF(Upgrades!$T$21="Peculiar Velocity",POWER(Upgrades!$U$21,M334),1))+(IF(L334=0,0,(Upgrades!$G$20+L334*Upgrades!$H$20)*POWER(Upgrades!$I$20,L334)))*(IF(Upgrades!$T$13="Open Cluster",POWER(Upgrades!$U$13,E334),1)*IF(Upgrades!$T$14="Open Cluster",POWER(Upgrades!$U$14,F334),1)*IF(Upgrades!$T$15="Open Cluster",POWER(Upgrades!$U$15,G334),1)*IF(Upgrades!$T$16="Open Cluster",POWER(Upgrades!$U$16,H334),1)*IF(Upgrades!$T$17="Open Cluster",POWER(Upgrades!$U$17,I334),1)*IF(Upgrades!$T$18="Open Cluster",POWER(Upgrades!$U$18,J334),1)*IF(Upgrades!$T$19="Open Cluster",POWER(Upgrades!$U$19,K334),1)*IF(Upgrades!$T$21="Open Cluster",POWER(Upgrades!$U$21,M334),1))+(IF(M334=0,0,(Upgrades!$G$21+M334*Upgrades!$H$21)*POWER(Upgrades!$I$21,M334)))*(IF(Upgrades!$T$13="Moving Group",POWER(Upgrades!$U$13,E334),1)*IF(Upgrades!$T$14="Moving Group",POWER(Upgrades!$U$14,F334),1)*IF(Upgrades!$T$15="Moving Group",POWER(Upgrades!$U$15,G334),1)*IF(Upgrades!$T$16="Moving Group",POWER(Upgrades!$U$16,H334),1)*IF(Upgrades!$T$17="Moving Group",POWER(Upgrades!$U$17,I334),1)*IF(Upgrades!$T$18="Moving Group",POWER(Upgrades!$U$18,J334),1)*IF(Upgrades!$T$19="Moving Group",POWER(Upgrades!$U$19,K334),1)*IF(Upgrades!$T$20="Moving Group",POWER(Upgrades!$U$20,L334),1)))*POWER(Upgrades!$P$13,E334)*POWER(Upgrades!$P$14,F334)*POWER(Upgrades!$P$15,G334)*POWER(Upgrades!$P$16,H334)*POWER(Upgrades!$P$17,I334)*POWER(Upgrades!$P$18,J334)*POWER(Upgrades!$P$19,K334)*POWER(Upgrades!$P$20,L334)*POWER(Upgrades!$P$21,M334)*$F$6+$C$6</f>
        <v/>
      </c>
      <c r="Q334" s="28">
        <f>((IF(E334=0,0,(Upgrades!$M$13+E334*Upgrades!$N$13)*POWER(Upgrades!$O$13,E334)))*(IF(Upgrades!$T$14="Stellar Kinematics",POWER(Upgrades!$U$14,F334),1)*IF(Upgrades!$T$15="Stellar Kinematics",POWER(Upgrades!$U$15,G334),1)*IF(Upgrades!$T$16="Stellar Kinematics",POWER(Upgrades!$U$16,H334),1)*IF(Upgrades!$T$17="Stellar Kinematics",POWER(Upgrades!$U$17,I334),1)*IF(Upgrades!$T$18="Stellar Kinematics",POWER(Upgrades!$U$18,J334),1)*IF(Upgrades!$T$19="Stellar Kinematics",POWER(Upgrades!$U$19,K334),1)*IF(Upgrades!$T$20="Stellar Kinematics",POWER(Upgrades!$U$20,L334),1)*IF(Upgrades!$T$21="Stellar Kinematics",POWER(Upgrades!$U$21,M334),1))+(IF(F334=0,0,(Upgrades!$M$14+F334*Upgrades!$N$14)*POWER(Upgrades!$O$14,F334)))*(IF(Upgrades!$T$13="Local Bubble",POWER(Upgrades!$U$13,E334),1)*IF(Upgrades!$T$15="Local Bubble",POWER(Upgrades!$U$15,G334),1)*IF(Upgrades!$T$16="Local Bubble",POWER(Upgrades!$U$16,H334),1)*IF(Upgrades!$T$17="Local Bubble",POWER(Upgrades!$U$17,I334),1)*IF(Upgrades!$T$18="Local Bubble",POWER(Upgrades!$U$18,J334),1)*IF(Upgrades!$T$19="Local Bubble",POWER(Upgrades!$U$19,K334),1)*IF(Upgrades!$T$20="Local Bubble",POWER(Upgrades!$U$20,L334),1)*IF(Upgrades!$T$21="Local Bubble",POWER(Upgrades!$U$21,M334),1))+(IF(G334=0,0,(Upgrades!$M$15+G334*Upgrades!$N$15)*POWER(Upgrades!$O$15,G334)))*(IF(Upgrades!$T$13="Microlensing",POWER(Upgrades!$U$13,E334),1)*IF(Upgrades!$T$14="Microlensing",POWER(Upgrades!$U$14,F334),1)*IF(Upgrades!$T$16="Microlensing",POWER(Upgrades!$U$16,H334),1)*IF(Upgrades!$T$17="Microlensing",POWER(Upgrades!$U$17,I334),1)*IF(Upgrades!$T$18="Microlensing",POWER(Upgrades!$U$18,J334),1)*IF(Upgrades!$T$19="Microlensing",POWER(Upgrades!$U$19,K334),1)*IF(Upgrades!$T$20="Microlensing",POWER(Upgrades!$U$20,L334),1)*IF(Upgrades!$T$21="Microlensing",POWER(Upgrades!$U$21,M334),1))+(IF(H334=0,0,(Upgrades!$M$16+H334*Upgrades!$N$16)*POWER(Upgrades!$O$16,H334)))*(IF(Upgrades!$T$13="Roche Lobe Overflow",POWER(Upgrades!$U$13,E334),1)*IF(Upgrades!$T$14="Roche Lobe Overflow",POWER(Upgrades!$U$14,F334),1)*IF(Upgrades!$T$15="Roche Lobe Overflow",POWER(Upgrades!$U$15,G334),1)*IF(Upgrades!$T$17="Roche Lobe Overflow",POWER(Upgrades!$U$17,I334),1)*IF(Upgrades!$T$18="Roche Lobe Overflow",POWER(Upgrades!$U$18,J334),1)*IF(Upgrades!$T$19="Roche Lobe Overflow",POWER(Upgrades!$U$19,K334),1)*IF(Upgrades!$T$20="Roche Lobe Overflow",POWER(Upgrades!$U$20,L334),1)*IF(Upgrades!$T$21="Roche Lobe Overflow",POWER(Upgrades!$U$21,M334),1))+(IF(I334=0,0,(Upgrades!$M$17+I334*Upgrades!$N$17)*POWER(Upgrades!$O$17,I334)))*(IF(Upgrades!$T$13="Brown Dwarf",POWER(Upgrades!$U$13,E334),1)*IF(Upgrades!$T$14="Brown Dwarf",POWER(Upgrades!$U$14,F334),1)*IF(Upgrades!$T$15="Brown Dwarf",POWER(Upgrades!$U$15,G334),1)*IF(Upgrades!$T$16="Brown Dwarf",POWER(Upgrades!$U$16,H334),1)*IF(Upgrades!$T$18="Brown Dwarf",POWER(Upgrades!$U$18,J334),1)*IF(Upgrades!$T$19="Brown Dwarf",POWER(Upgrades!$U$19,K334),1)*IF(Upgrades!$T$20="Brown Dwarf",POWER(Upgrades!$U$20,L334),1)*IF(Upgrades!$T$21="Brown Dwarf",POWER(Upgrades!$U$21,M334),1))+(IF(J334=0,0,(Upgrades!$M$18+J334*Upgrades!$N$18)*POWER(Upgrades!$O$18,J334)))*(IF(Upgrades!$T$13="Binary Partner",POWER(Upgrades!$U$13,E334),1)*IF(Upgrades!$T$14="Binary Partner",POWER(Upgrades!$U$14,F334),1)*IF(Upgrades!$T$15="Binary Partner",POWER(Upgrades!$U$15,G334),1)*IF(Upgrades!$T$16="Binary Partner",POWER(Upgrades!$U$16,H334),1)*IF(Upgrades!$T$17="Binary Partner",POWER(Upgrades!$U$17,I334),1)*IF(Upgrades!$T$19="Binary Partner",POWER(Upgrades!$U$19,K334),1)*IF(Upgrades!$T$20="Binary Partner",POWER(Upgrades!$U$20,L334),1)*IF(Upgrades!$T$21="Binary Partner",POWER(Upgrades!$U$21,M334),1))+(IF(K334=0,0,(Upgrades!$M$19+K334*Upgrades!$N$19)*POWER(Upgrades!$O$19,K334)))*(IF(Upgrades!$T$13="Peculiar Velocity",POWER(Upgrades!$U$13,E334),1)*IF(Upgrades!$T$14="Peculiar Velocity",POWER(Upgrades!$U$14,F334),1)*IF(Upgrades!$T$15="Peculiar Velocity",POWER(Upgrades!$U$15,G334),1)*IF(Upgrades!$T$16="Peculiar Velocity",POWER(Upgrades!$U$16,H334),1)*IF(Upgrades!$T$17="Peculiar Velocity",POWER(Upgrades!$U$17,I334),1)*IF(Upgrades!$T$18="Peculiar Velocity",POWER(Upgrades!$U$18,J334),1)*IF(Upgrades!$T$20="Peculiar Velocity",POWER(Upgrades!$U$20,L334),1)*IF(Upgrades!$T$21="Peculiar Velocity",POWER(Upgrades!$U$21,M334),1))+(IF(L334=0,0,(Upgrades!$M$20+L334*Upgrades!$N$20)*POWER(Upgrades!$O$20,L334)))*(IF(Upgrades!$T$13="Open Cluster",POWER(Upgrades!$U$13,E334),1)*IF(Upgrades!$T$14="Open Cluster",POWER(Upgrades!$U$14,F334),1)*IF(Upgrades!$T$15="Open Cluster",POWER(Upgrades!$U$15,G334),1)*IF(Upgrades!$T$16="Open Cluster",POWER(Upgrades!$U$16,H334),1)*IF(Upgrades!$T$17="Open Cluster",POWER(Upgrades!$U$17,I334),1)*IF(Upgrades!$T$18="Open Cluster",POWER(Upgrades!$U$18,J334),1)*IF(Upgrades!$T$19="Open Cluster",POWER(Upgrades!$U$19,K334),1)*IF(Upgrades!$T$21="Open Cluster",POWER(Upgrades!$U$21,M334),1))+(IF(M334=0,0,(Upgrades!$M$21+M334*Upgrades!$N$21)*POWER(Upgrades!$O$21,M334)))*(IF(Upgrades!$T$13="Moving Group",POWER(Upgrades!$U$13,E334),1)*IF(Upgrades!$T$14="Moving Group",POWER(Upgrades!$U$14,F334),1)*IF(Upgrades!$T$15="Moving Group",POWER(Upgrades!$U$15,G334),1)*IF(Upgrades!$T$16="Moving Group",POWER(Upgrades!$U$16,H334),1)*IF(Upgrades!$T$17="Moving Group",POWER(Upgrades!$U$17,I334),1)*IF(Upgrades!$T$18="Moving Group",POWER(Upgrades!$U$18,J334),1)*IF(Upgrades!$T$19="Moving Group",POWER(Upgrades!$U$19,K334),1)*IF(Upgrades!$T$20="Moving Group",POWER(Upgrades!$U$20,L334),1)))*POWER(Upgrades!$R$13,E334)*POWER(Upgrades!$R$14,F334)*POWER(Upgrades!$R$15,G334)*POWER(Upgrades!$R$16,H334)*POWER(Upgrades!$R$17,I334)*POWER(Upgrades!$R$18,J334)*POWER(Upgrades!$R$19,K334)*POWER(Upgrades!$R$20,L334)*POWER(Upgrades!$R$21,M334)*$H$6+$E$6</f>
        <v/>
      </c>
      <c r="R334" s="27">
        <f>IF(N334=1,0,O334*Parameters!$B$10/60*Parameters!$B$11*10)</f>
        <v/>
      </c>
      <c r="S334" s="27">
        <f>IF(N334=1,0,Q334*O334*10)</f>
        <v/>
      </c>
      <c r="T334" s="27">
        <f>IF(N334=1,0,R334+S334+P334*10)</f>
        <v/>
      </c>
      <c r="U334" s="33">
        <f>BE334</f>
        <v/>
      </c>
      <c r="V334" s="22">
        <f>IF(U334="",0,IF(U334="transition",0,IF(U334="SK",AK334,IF(U334="LB",AL334,IF(U334="ML",AM334,IF(U334="RLO",AN334,IF(U334="BD",AO334,IF(U334="BiP",AP334,IF(U334="PV",AQ334,IF(U334="OC",AR334,IF(U334="MG",AS334,0))))))))))</f>
        <v/>
      </c>
      <c r="W334" s="27">
        <f>IF(U334="BiP",Upgrades!$F$18,IF(U334="PV",Upgrades!$F$19,IF(U334="OC",Upgrades!$F$20,IF(U334="MG",Upgrades!$F$21,IF(U334="transition",-Parameters!$B$18*Parameters!$B$19,0)))))</f>
        <v/>
      </c>
      <c r="X334" s="22">
        <f>C334+T334-V334</f>
        <v/>
      </c>
      <c r="Y334" s="30">
        <f>O334*Parameters!$B$10/60*Parameters!$B$11+Q334*O334+P334</f>
        <v/>
      </c>
      <c r="Z334" s="34">
        <f>IF(U334="transition","→ Tier 3 (Galactic Arm)",IF(U334="MG","Moving Group — pocket drifts together",IF(U334="OC","Open Cluster acquired",IF(U334="PV","Peculiar Velocity — passive multiplier active",IF(U334="BiP","Binary Partner — pair bond formed",IF(AND(AU334=1,N334=0,AT334&lt;&gt;1),"Cohesion ready (waiting on completionists)","")))))) </f>
        <v/>
      </c>
      <c r="AA334" s="27">
        <f>(IF(E334=0,0,(Upgrades!$G$13+E334*Upgrades!$H$13)*POWER(Upgrades!$I$13,E334)))*(IF(Upgrades!$T$14="Stellar Kinematics",POWER(Upgrades!$U$14,F334),1)*IF(Upgrades!$T$15="Stellar Kinematics",POWER(Upgrades!$U$15,G334),1)*IF(Upgrades!$T$16="Stellar Kinematics",POWER(Upgrades!$U$16,H334),1)*IF(Upgrades!$T$17="Stellar Kinematics",POWER(Upgrades!$U$17,I334),1)*IF(Upgrades!$T$18="Stellar Kinematics",POWER(Upgrades!$U$18,J334),1)*IF(Upgrades!$T$19="Stellar Kinematics",POWER(Upgrades!$U$19,K334),1)*IF(Upgrades!$T$20="Stellar Kinematics",POWER(Upgrades!$U$20,L334),1)*IF(Upgrades!$T$21="Stellar Kinematics",POWER(Upgrades!$U$21,M334),1))*POWER(Upgrades!$P$13,E334)*POWER(Upgrades!$P$14,F334)*POWER(Upgrades!$P$15,G334)*POWER(Upgrades!$P$16,H334)*POWER(Upgrades!$P$17,I334)*POWER(Upgrades!$P$18,J334)*POWER(Upgrades!$P$19,K334)*POWER(Upgrades!$P$20,L334)*POWER(Upgrades!$P$21,M334)*$F$6*60</f>
        <v/>
      </c>
      <c r="AB334" s="27">
        <f>(IF(F334=0,0,(Upgrades!$G$14+F334*Upgrades!$H$14)*POWER(Upgrades!$I$14,F334)))*(IF(Upgrades!$T$13="Local Bubble",POWER(Upgrades!$U$13,E334),1)*IF(Upgrades!$T$15="Local Bubble",POWER(Upgrades!$U$15,G334),1)*IF(Upgrades!$T$16="Local Bubble",POWER(Upgrades!$U$16,H334),1)*IF(Upgrades!$T$17="Local Bubble",POWER(Upgrades!$U$17,I334),1)*IF(Upgrades!$T$18="Local Bubble",POWER(Upgrades!$U$18,J334),1)*IF(Upgrades!$T$19="Local Bubble",POWER(Upgrades!$U$19,K334),1)*IF(Upgrades!$T$20="Local Bubble",POWER(Upgrades!$U$20,L334),1)*IF(Upgrades!$T$21="Local Bubble",POWER(Upgrades!$U$21,M334),1))*POWER(Upgrades!$P$13,E334)*POWER(Upgrades!$P$14,F334)*POWER(Upgrades!$P$15,G334)*POWER(Upgrades!$P$16,H334)*POWER(Upgrades!$P$17,I334)*POWER(Upgrades!$P$18,J334)*POWER(Upgrades!$P$19,K334)*POWER(Upgrades!$P$20,L334)*POWER(Upgrades!$P$21,M334)*$F$6*60</f>
        <v/>
      </c>
      <c r="AC334" s="27">
        <f>(IF(G334=0,0,(Upgrades!$J$15+G334*Upgrades!$K$15)*POWER(Upgrades!$L$15,G334)))*(IF(Upgrades!$T$13="Microlensing",POWER(Upgrades!$U$13,E334),1)*IF(Upgrades!$T$14="Microlensing",POWER(Upgrades!$U$14,F334),1)*IF(Upgrades!$T$16="Microlensing",POWER(Upgrades!$U$16,H334),1)*IF(Upgrades!$T$17="Microlensing",POWER(Upgrades!$U$17,I334),1)*IF(Upgrades!$T$18="Microlensing",POWER(Upgrades!$U$18,J334),1)*IF(Upgrades!$T$19="Microlensing",POWER(Upgrades!$U$19,K334),1)*IF(Upgrades!$T$20="Microlensing",POWER(Upgrades!$U$20,L334),1)*IF(Upgrades!$T$21="Microlensing",POWER(Upgrades!$U$21,M334),1))*POWER(Upgrades!$Q$13,E334)*POWER(Upgrades!$Q$14,F334)*POWER(Upgrades!$Q$15,G334)*POWER(Upgrades!$Q$16,H334)*POWER(Upgrades!$Q$17,I334)*POWER(Upgrades!$Q$18,J334)*POWER(Upgrades!$Q$19,K334)*POWER(Upgrades!$Q$20,L334)*POWER(Upgrades!$Q$21,M334)*$G$6*(Parameters!$B$10*Parameters!$B$11+Q334*60)</f>
        <v/>
      </c>
      <c r="AD334" s="27">
        <f>(IF(H334=0,0,(Upgrades!$M$16+H334*Upgrades!$N$16)*POWER(Upgrades!$O$16,H334)))*(IF(Upgrades!$T$13="Roche Lobe Overflow",POWER(Upgrades!$U$13,E334),1)*IF(Upgrades!$T$14="Roche Lobe Overflow",POWER(Upgrades!$U$14,F334),1)*IF(Upgrades!$T$15="Roche Lobe Overflow",POWER(Upgrades!$U$15,G334),1)*IF(Upgrades!$T$17="Roche Lobe Overflow",POWER(Upgrades!$U$17,I334),1)*IF(Upgrades!$T$18="Roche Lobe Overflow",POWER(Upgrades!$U$18,J334),1)*IF(Upgrades!$T$19="Roche Lobe Overflow",POWER(Upgrades!$U$19,K334),1)*IF(Upgrades!$T$20="Roche Lobe Overflow",POWER(Upgrades!$U$20,L334),1)*IF(Upgrades!$T$21="Roche Lobe Overflow",POWER(Upgrades!$U$21,M334),1))*POWER(Upgrades!$R$13,E334)*POWER(Upgrades!$R$14,F334)*POWER(Upgrades!$R$15,G334)*POWER(Upgrades!$R$16,H334)*POWER(Upgrades!$R$17,I334)*POWER(Upgrades!$R$18,J334)*POWER(Upgrades!$R$19,K334)*POWER(Upgrades!$R$20,L334)*POWER(Upgrades!$R$21,M334)*$H$6*O334*60</f>
        <v/>
      </c>
      <c r="AE334" s="27">
        <f>(IF(I334=0,0,(Upgrades!$G$17+I334*Upgrades!$H$17)*POWER(Upgrades!$I$17,I334)))*(IF(Upgrades!$T$13="Brown Dwarf",POWER(Upgrades!$U$13,E334),1)*IF(Upgrades!$T$14="Brown Dwarf",POWER(Upgrades!$U$14,F334),1)*IF(Upgrades!$T$15="Brown Dwarf",POWER(Upgrades!$U$15,G334),1)*IF(Upgrades!$T$16="Brown Dwarf",POWER(Upgrades!$U$16,H334),1)*IF(Upgrades!$T$18="Brown Dwarf",POWER(Upgrades!$U$18,J334),1)*IF(Upgrades!$T$19="Brown Dwarf",POWER(Upgrades!$U$19,K334),1)*IF(Upgrades!$T$20="Brown Dwarf",POWER(Upgrades!$U$20,L334),1)*IF(Upgrades!$T$21="Brown Dwarf",POWER(Upgrades!$U$21,M334),1))*POWER(Upgrades!$P$13,E334)*POWER(Upgrades!$P$14,F334)*POWER(Upgrades!$P$15,G334)*POWER(Upgrades!$P$16,H334)*POWER(Upgrades!$P$17,I334)*POWER(Upgrades!$P$18,J334)*POWER(Upgrades!$P$19,K334)*POWER(Upgrades!$P$20,L334)*POWER(Upgrades!$P$21,M334)*$F$6*60</f>
        <v/>
      </c>
      <c r="AF334" s="27" t="n">
        <v>0</v>
      </c>
      <c r="AG334" s="27" t="n">
        <v>0</v>
      </c>
      <c r="AH334" s="27" t="n">
        <v>0</v>
      </c>
      <c r="AI334" s="27">
        <f>(IF(M334=0,0,(Upgrades!$G$21+M334*Upgrades!$H$21)*POWER(Upgrades!$I$21,M334)))*(IF(Upgrades!$T$13="Moving Group",POWER(Upgrades!$U$13,E334),1)*IF(Upgrades!$T$14="Moving Group",POWER(Upgrades!$U$14,F334),1)*IF(Upgrades!$T$15="Moving Group",POWER(Upgrades!$U$15,G334),1)*IF(Upgrades!$T$16="Moving Group",POWER(Upgrades!$U$16,H334),1)*IF(Upgrades!$T$17="Moving Group",POWER(Upgrades!$U$17,I334),1)*IF(Upgrades!$T$18="Moving Group",POWER(Upgrades!$U$18,J334),1)*IF(Upgrades!$T$19="Moving Group",POWER(Upgrades!$U$19,K334),1)*IF(Upgrades!$T$20="Moving Group",POWER(Upgrades!$U$20,L334),1))*POWER(Upgrades!$P$13,E334)*POWER(Upgrades!$P$14,F334)*POWER(Upgrades!$P$15,G334)*POWER(Upgrades!$P$16,H334)*POWER(Upgrades!$P$17,I334)*POWER(Upgrades!$P$18,J334)*POWER(Upgrades!$P$19,K334)*POWER(Upgrades!$P$20,L334)*POWER(Upgrades!$P$21,M334)*$F$6*60</f>
        <v/>
      </c>
      <c r="AJ334" s="27">
        <f>$C$6*60</f>
        <v/>
      </c>
      <c r="AK334" s="22">
        <f>IF(E334&gt;=Upgrades!$E$13,"",Upgrades!$C$13*POWER(Upgrades!$D$13,E334))</f>
        <v/>
      </c>
      <c r="AL334" s="22">
        <f>IF(F334&gt;=Upgrades!$E$14,"",Upgrades!$C$14*POWER(Upgrades!$D$14,F334))</f>
        <v/>
      </c>
      <c r="AM334" s="22">
        <f>IF(G334&gt;=Upgrades!$E$15,"",Upgrades!$C$15*POWER(Upgrades!$D$15,G334))</f>
        <v/>
      </c>
      <c r="AN334" s="22">
        <f>IF(H334&gt;=Upgrades!$E$16,"",Upgrades!$C$16*POWER(Upgrades!$D$16,H334))</f>
        <v/>
      </c>
      <c r="AO334" s="22">
        <f>IF(I334&gt;=Upgrades!$E$17,"",Upgrades!$C$17*POWER(Upgrades!$D$17,I334))</f>
        <v/>
      </c>
      <c r="AP334" s="22">
        <f>IF(J334&gt;=Upgrades!$E$18,"",Upgrades!$C$18*POWER(Upgrades!$D$18,J334))</f>
        <v/>
      </c>
      <c r="AQ334" s="22">
        <f>IF(K334&gt;=Upgrades!$E$19,"",Upgrades!$C$19*POWER(Upgrades!$D$19,K334))</f>
        <v/>
      </c>
      <c r="AR334" s="22">
        <f>IF(L334&gt;=Upgrades!$E$20,"",Upgrades!$C$20*POWER(Upgrades!$D$20,L334))</f>
        <v/>
      </c>
      <c r="AS334" s="22">
        <f>IF(M334&gt;=Upgrades!$E$21,"",Upgrades!$C$21*POWER(Upgrades!$D$21,M334))</f>
        <v/>
      </c>
      <c r="AT334" s="26">
        <f>IF(AND(D334&gt;=Parameters!$B$18*Parameters!$B$19,(I334&gt;=Upgrades!$E$17)*(M334&gt;=Upgrades!$E$21)=1,N334=0),1,"")</f>
        <v/>
      </c>
      <c r="AU334" s="26">
        <f>IF(AND(D334&gt;=Parameters!$B$18*Parameters!$B$19,N334=0),1,"")</f>
        <v/>
      </c>
      <c r="AV334" s="22">
        <f>MIN(IF(ISNUMBER(AP334),AP334,9E15),IF(ISNUMBER(AQ334),AQ334,9E15),IF(ISNUMBER(AR334),AR334,9E15),IF(ISNUMBER(AS334),AS334,9E15))</f>
        <v/>
      </c>
      <c r="AW334" s="22">
        <f>MIN(IF(ISNUMBER(AK334),AK334,9E15),IF(ISNUMBER(AL334),AL334,9E15),IF(ISNUMBER(AM334),AM334,9E15),IF(ISNUMBER(AN334),AN334,9E15),IF(ISNUMBER(AO334),AO334,9E15))</f>
        <v/>
      </c>
      <c r="AX334" s="29">
        <f>IF(BD334&gt;Parameters!$B$21*(MAX(IF(AND(NOT(AND(AU334=1,AT334&lt;&gt;1)),ISNUMBER(AK334),AK334&lt;=(C334+T334)),AY334,0),IF(AND(NOT(AND(AU334=1,AT334&lt;&gt;1)),ISNUMBER(AL334),AL334&lt;=(C334+T334)),AZ334,0),IF(AND(NOT(AND(AU334=1,AT334&lt;&gt;1)),ISNUMBER(AM334),AM334&lt;=(C334+T334)),BA334,0),IF(AND(NOT(AND(AU334=1,AT334&lt;&gt;1)),ISNUMBER(AN334),AN334&lt;=(C334+T334)),BB334,0),IF(AND(ISNUMBER(AO334),AO334&lt;=(C334+T334)),BC334,0))),TRUE,FALSE)</f>
        <v/>
      </c>
      <c r="AY334" s="32">
        <f>IFERROR(Upgrades!$H$13*(POWER(Upgrades!$P$13,E334)*POWER(Upgrades!$P$14,F334)*POWER(Upgrades!$P$15,G334)*POWER(Upgrades!$P$16,H334)*POWER(Upgrades!$P$17,I334)*POWER(Upgrades!$P$18,J334)*POWER(Upgrades!$P$19,K334)*POWER(Upgrades!$P$20,L334)*POWER(Upgrades!$P$21,M334))*(IF(Upgrades!$T$14="Stellar Kinematics",POWER(Upgrades!$U$14,F334),1)*IF(Upgrades!$T$15="Stellar Kinematics",POWER(Upgrades!$U$15,G334),1)*IF(Upgrades!$T$16="Stellar Kinematics",POWER(Upgrades!$U$16,H334),1)*IF(Upgrades!$T$17="Stellar Kinematics",POWER(Upgrades!$U$17,I334),1)*IF(Upgrades!$T$18="Stellar Kinematics",POWER(Upgrades!$U$18,J334),1)*IF(Upgrades!$T$19="Stellar Kinematics",POWER(Upgrades!$U$19,K334),1)*IF(Upgrades!$T$20="Stellar Kinematics",POWER(Upgrades!$U$20,L334),1)*IF(Upgrades!$T$21="Stellar Kinematics",POWER(Upgrades!$U$21,M334),1))*$F$6/AK334,0)</f>
        <v/>
      </c>
      <c r="AZ334" s="32">
        <f>IFERROR(Upgrades!$H$14*(POWER(Upgrades!$P$13,E334)*POWER(Upgrades!$P$14,F334)*POWER(Upgrades!$P$15,G334)*POWER(Upgrades!$P$16,H334)*POWER(Upgrades!$P$17,I334)*POWER(Upgrades!$P$18,J334)*POWER(Upgrades!$P$19,K334)*POWER(Upgrades!$P$20,L334)*POWER(Upgrades!$P$21,M334))*(IF(Upgrades!$T$13="Local Bubble",POWER(Upgrades!$U$13,E334),1)*IF(Upgrades!$T$15="Local Bubble",POWER(Upgrades!$U$15,G334),1)*IF(Upgrades!$T$16="Local Bubble",POWER(Upgrades!$U$16,H334),1)*IF(Upgrades!$T$17="Local Bubble",POWER(Upgrades!$U$17,I334),1)*IF(Upgrades!$T$18="Local Bubble",POWER(Upgrades!$U$18,J334),1)*IF(Upgrades!$T$19="Local Bubble",POWER(Upgrades!$U$19,K334),1)*IF(Upgrades!$T$20="Local Bubble",POWER(Upgrades!$U$20,L334),1)*IF(Upgrades!$T$21="Local Bubble",POWER(Upgrades!$U$21,M334),1))*$F$6/AL334,0)</f>
        <v/>
      </c>
      <c r="BA334" s="32">
        <f>IFERROR(Upgrades!$K$15*(POWER(Upgrades!$Q$13,E334)*POWER(Upgrades!$Q$14,F334)*POWER(Upgrades!$Q$15,G334)*POWER(Upgrades!$Q$16,H334)*POWER(Upgrades!$Q$17,I334)*POWER(Upgrades!$Q$18,J334)*POWER(Upgrades!$Q$19,K334)*POWER(Upgrades!$Q$20,L334)*POWER(Upgrades!$Q$21,M334))*(IF(Upgrades!$T$13="Microlensing",POWER(Upgrades!$U$13,E334),1)*IF(Upgrades!$T$14="Microlensing",POWER(Upgrades!$U$14,F334),1)*IF(Upgrades!$T$16="Microlensing",POWER(Upgrades!$U$16,H334),1)*IF(Upgrades!$T$17="Microlensing",POWER(Upgrades!$U$17,I334),1)*IF(Upgrades!$T$18="Microlensing",POWER(Upgrades!$U$18,J334),1)*IF(Upgrades!$T$19="Microlensing",POWER(Upgrades!$U$19,K334),1)*IF(Upgrades!$T$20="Microlensing",POWER(Upgrades!$U$20,L334),1)*IF(Upgrades!$T$21="Microlensing",POWER(Upgrades!$U$21,M334),1))*$G$6*(Parameters!$B$10/60*Parameters!$B$11+Q334)/AM334,0)</f>
        <v/>
      </c>
      <c r="BB334" s="32">
        <f>IFERROR((Upgrades!$N$16*(POWER(Upgrades!$R$13,E334)*POWER(Upgrades!$R$14,F334)*POWER(Upgrades!$R$15,G334)*POWER(Upgrades!$R$16,H334)*POWER(Upgrades!$R$17,I334)*POWER(Upgrades!$R$18,J334)*POWER(Upgrades!$R$19,K334)*POWER(Upgrades!$R$20,L334)*POWER(Upgrades!$R$21,M334))*(IF(Upgrades!$T$13="Roche Lobe Overflow",POWER(Upgrades!$U$13,E334),1)*IF(Upgrades!$T$14="Roche Lobe Overflow",POWER(Upgrades!$U$14,F334),1)*IF(Upgrades!$T$15="Roche Lobe Overflow",POWER(Upgrades!$U$15,G334),1)*IF(Upgrades!$T$17="Roche Lobe Overflow",POWER(Upgrades!$U$17,I334),1)*IF(Upgrades!$T$18="Roche Lobe Overflow",POWER(Upgrades!$U$18,J334),1)*IF(Upgrades!$T$19="Roche Lobe Overflow",POWER(Upgrades!$U$19,K334),1)*IF(Upgrades!$T$20="Roche Lobe Overflow",POWER(Upgrades!$U$20,L334),1)*IF(Upgrades!$T$21="Roche Lobe Overflow",POWER(Upgrades!$U$21,M334),1))*$H$6*O334+((IF(F334=0,0,(Upgrades!$G$14+F334*Upgrades!$H$14)*POWER(Upgrades!$I$14,F334)))*(IF(Upgrades!$T$13="Local Bubble",POWER(Upgrades!$U$13,E334),1)*IF(Upgrades!$T$15="Local Bubble",POWER(Upgrades!$U$15,G334),1)*IF(Upgrades!$T$16="Local Bubble",POWER(Upgrades!$U$16,H334),1)*IF(Upgrades!$T$17="Local Bubble",POWER(Upgrades!$U$17,I334),1)*IF(Upgrades!$T$18="Local Bubble",POWER(Upgrades!$U$18,J334),1)*IF(Upgrades!$T$19="Local Bubble",POWER(Upgrades!$U$19,K334),1)*IF(Upgrades!$T$20="Local Bubble",POWER(Upgrades!$U$20,L334),1)*IF(Upgrades!$T$21="Local Bubble",POWER(Upgrades!$U$21,M334),1))*POWER(Upgrades!$P$13,E334)*POWER(Upgrades!$P$14,F334)*POWER(Upgrades!$P$15,G334)*POWER(Upgrades!$P$16,H334)*POWER(Upgrades!$P$17,I334)*POWER(Upgrades!$P$18,J334)*POWER(Upgrades!$P$19,K334)*POWER(Upgrades!$P$20,L334)*POWER(Upgrades!$P$21,M334)*$F$6)*0.05)/AN334,0)</f>
        <v/>
      </c>
      <c r="BC334" s="32">
        <f>IFERROR((Upgrades!$H$17*(POWER(Upgrades!$P$13,E334)*POWER(Upgrades!$P$14,F334)*POWER(Upgrades!$P$15,G334)*POWER(Upgrades!$P$16,H334)*POWER(Upgrades!$P$17,I334)*POWER(Upgrades!$P$18,J334)*POWER(Upgrades!$P$19,K334)*POWER(Upgrades!$P$20,L334)*POWER(Upgrades!$P$21,M334))*(IF(Upgrades!$T$13="Brown Dwarf",POWER(Upgrades!$U$13,E334),1)*IF(Upgrades!$T$14="Brown Dwarf",POWER(Upgrades!$U$14,F334),1)*IF(Upgrades!$T$15="Brown Dwarf",POWER(Upgrades!$U$15,G334),1)*IF(Upgrades!$T$16="Brown Dwarf",POWER(Upgrades!$U$16,H334),1)*IF(Upgrades!$T$18="Brown Dwarf",POWER(Upgrades!$U$18,J334),1)*IF(Upgrades!$T$19="Brown Dwarf",POWER(Upgrades!$U$19,K334),1)*IF(Upgrades!$T$20="Brown Dwarf",POWER(Upgrades!$U$20,L334),1)*IF(Upgrades!$T$21="Brown Dwarf",POWER(Upgrades!$U$21,M334),1))*$F$6+(((IF(H334=0,0,(Upgrades!$M$16+H334*Upgrades!$N$16)*POWER(Upgrades!$O$16,H334)))*(IF(Upgrades!$T$13="Roche Lobe Overflow",POWER(Upgrades!$U$13,E334),1)*IF(Upgrades!$T$14="Roche Lobe Overflow",POWER(Upgrades!$U$14,F334),1)*IF(Upgrades!$T$15="Roche Lobe Overflow",POWER(Upgrades!$U$15,G334),1)*IF(Upgrades!$T$17="Roche Lobe Overflow",POWER(Upgrades!$U$17,I334),1)*IF(Upgrades!$T$18="Roche Lobe Overflow",POWER(Upgrades!$U$18,J334),1)*IF(Upgrades!$T$19="Roche Lobe Overflow",POWER(Upgrades!$U$19,K334),1)*IF(Upgrades!$T$20="Roche Lobe Overflow",POWER(Upgrades!$U$20,L334),1)*IF(Upgrades!$T$21="Roche Lobe Overflow",POWER(Upgrades!$U$21,M334),1))*POWER(Upgrades!$R$13,E334)*POWER(Upgrades!$R$14,F334)*POWER(Upgrades!$R$15,G334)*POWER(Upgrades!$R$16,H334)*POWER(Upgrades!$R$17,I334)*POWER(Upgrades!$R$18,J334)*POWER(Upgrades!$R$19,K334)*POWER(Upgrades!$R$20,L334)*POWER(Upgrades!$R$21,M334)*$H$6)*O334)*0.10)/AO334,0)</f>
        <v/>
      </c>
      <c r="BD334" s="32">
        <f>MAX(IF(J334&gt;0,0,IFERROR(0.5*((IF(G334=0,0,(Upgrades!$J$15+G334*Upgrades!$K$15)*POWER(Upgrades!$L$15,G334)))*(IF(Upgrades!$T$13="Microlensing",POWER(Upgrades!$U$13,E334),1)*IF(Upgrades!$T$14="Microlensing",POWER(Upgrades!$U$14,F334),1)*IF(Upgrades!$T$16="Microlensing",POWER(Upgrades!$U$16,H334),1)*IF(Upgrades!$T$17="Microlensing",POWER(Upgrades!$U$17,I334),1)*IF(Upgrades!$T$18="Microlensing",POWER(Upgrades!$U$18,J334),1)*IF(Upgrades!$T$19="Microlensing",POWER(Upgrades!$U$19,K334),1)*IF(Upgrades!$T$20="Microlensing",POWER(Upgrades!$U$20,L334),1)*IF(Upgrades!$T$21="Microlensing",POWER(Upgrades!$U$21,M334),1))*(POWER(Upgrades!$Q$13,E334)*POWER(Upgrades!$Q$14,F334)*POWER(Upgrades!$Q$15,G334)*POWER(Upgrades!$Q$16,H334)*POWER(Upgrades!$Q$17,I334)*POWER(Upgrades!$Q$18,J334)*POWER(Upgrades!$Q$19,K334)*POWER(Upgrades!$Q$20,L334)*POWER(Upgrades!$Q$21,M334))*$G$6*(Parameters!$B$10/60*Parameters!$B$11+Q334))/Upgrades!$C$18,0)),IF(K334&gt;0,0,IFERROR(0.30*P334/Upgrades!$C$19,0)),IF(L334&gt;0,0,IFERROR(0.0001/Upgrades!$C$20,0)),IF(M334&gt;0,0,IFERROR((6.0*(POWER(Upgrades!$P$13,E334)*POWER(Upgrades!$P$14,F334)*POWER(Upgrades!$P$15,G334)*POWER(Upgrades!$P$16,H334)*POWER(Upgrades!$P$17,I334)*POWER(Upgrades!$P$18,J334)*POWER(Upgrades!$P$19,K334)*POWER(Upgrades!$P$20,L334)*POWER(Upgrades!$P$21,M334))*$F$6+0.20*O334*(Parameters!$B$10/60*Parameters!$B$11+Q334))/Upgrades!$C$21,0)),IF(AND(ISNUMBER(AK334),AK334&gt;(C334+T334)),AY334,0),IF(AND(ISNUMBER(AL334),AL334&gt;(C334+T334)),AZ334,0),IF(AND(ISNUMBER(AM334),AM334&gt;(C334+T334)),BA334,0),IF(AND(ISNUMBER(AN334),AN334&gt;(C334+T334)),BB334,0),IF(AND(ISNUMBER(AO334),AO334&gt;(C334+T334)),BC334,0))</f>
        <v/>
      </c>
      <c r="BE334" s="29">
        <f>IF(AT334=1,"transition",IF(MIN(IF(AND(J334=0,ISNUMBER(AP334),AP334&lt;=(C334+T334)),AP334,9E15),IF(AND(K334=0,ISNUMBER(AQ334),AQ334&lt;=(C334+T334)),AQ334,9E15),IF(AND(L334=0,ISNUMBER(AR334),AR334&lt;=(C334+T334)),AR334,9E15),IF(AND(M334=0,ISNUMBER(AS334),AS334&lt;=(C334+T334)),AS334,9E15))&lt;9E15,IF(AND(AND(J334=0,ISNUMBER(AP334),AP334&lt;=(C334+T334)),AP334=MIN(IF(AND(J334=0,ISNUMBER(AP334),AP334&lt;=(C334+T334)),AP334,9E15),IF(AND(K334=0,ISNUMBER(AQ334),AQ334&lt;=(C334+T334)),AQ334,9E15),IF(AND(L334=0,ISNUMBER(AR334),AR334&lt;=(C334+T334)),AR334,9E15),IF(AND(M334=0,ISNUMBER(AS334),AS334&lt;=(C334+T334)),AS334,9E15))),"BiP",IF(AND(AND(K334=0,ISNUMBER(AQ334),AQ334&lt;=(C334+T334)),AQ334=MIN(IF(AND(J334=0,ISNUMBER(AP334),AP334&lt;=(C334+T334)),AP334,9E15),IF(AND(K334=0,ISNUMBER(AQ334),AQ334&lt;=(C334+T334)),AQ334,9E15),IF(AND(L334=0,ISNUMBER(AR334),AR334&lt;=(C334+T334)),AR334,9E15),IF(AND(M334=0,ISNUMBER(AS334),AS334&lt;=(C334+T334)),AS334,9E15))),"PV",IF(AND(AND(L334=0,ISNUMBER(AR334),AR334&lt;=(C334+T334)),AR334=MIN(IF(AND(J334=0,ISNUMBER(AP334),AP334&lt;=(C334+T334)),AP334,9E15),IF(AND(K334=0,ISNUMBER(AQ334),AQ334&lt;=(C334+T334)),AQ334,9E15),IF(AND(L334=0,ISNUMBER(AR334),AR334&lt;=(C334+T334)),AR334,9E15),IF(AND(M334=0,ISNUMBER(AS334),AS334&lt;=(C334+T334)),AS334,9E15))),"OC","MG"))),IF(AX334=TRUE,"",IF(MAX(IF(AND(NOT(AND(AU334=1,AT334&lt;&gt;1)),ISNUMBER(AK334),AK334&lt;=(C334+T334)),AY334,0),IF(AND(NOT(AND(AU334=1,AT334&lt;&gt;1)),ISNUMBER(AL334),AL334&lt;=(C334+T334)),AZ334,0),IF(AND(NOT(AND(AU334=1,AT334&lt;&gt;1)),ISNUMBER(AM334),AM334&lt;=(C334+T334)),BA334,0),IF(AND(NOT(AND(AU334=1,AT334&lt;&gt;1)),ISNUMBER(AN334),AN334&lt;=(C334+T334)),BB334,0),IF(AND(ISNUMBER(AO334),AO334&lt;=(C334+T334)),BC334,0))&lt;=0,"",IF(AND(IF(AND(NOT(AND(AU334=1,AT334&lt;&gt;1)),ISNUMBER(AK334),AK334&lt;=(C334+T334)),AY334,0)&gt;0,IF(AND(NOT(AND(AU334=1,AT334&lt;&gt;1)),ISNUMBER(AK334),AK334&lt;=(C334+T334)),AY334,0)=MAX(IF(AND(NOT(AND(AU334=1,AT334&lt;&gt;1)),ISNUMBER(AK334),AK334&lt;=(C334+T334)),AY334,0),IF(AND(NOT(AND(AU334=1,AT334&lt;&gt;1)),ISNUMBER(AL334),AL334&lt;=(C334+T334)),AZ334,0),IF(AND(NOT(AND(AU334=1,AT334&lt;&gt;1)),ISNUMBER(AM334),AM334&lt;=(C334+T334)),BA334,0),IF(AND(NOT(AND(AU334=1,AT334&lt;&gt;1)),ISNUMBER(AN334),AN334&lt;=(C334+T334)),BB334,0),IF(AND(ISNUMBER(AO334),AO334&lt;=(C334+T334)),BC334,0))),"SK",IF(AND(IF(AND(NOT(AND(AU334=1,AT334&lt;&gt;1)),ISNUMBER(AL334),AL334&lt;=(C334+T334)),AZ334,0)&gt;0,IF(AND(NOT(AND(AU334=1,AT334&lt;&gt;1)),ISNUMBER(AL334),AL334&lt;=(C334+T334)),AZ334,0)=MAX(IF(AND(NOT(AND(AU334=1,AT334&lt;&gt;1)),ISNUMBER(AK334),AK334&lt;=(C334+T334)),AY334,0),IF(AND(NOT(AND(AU334=1,AT334&lt;&gt;1)),ISNUMBER(AL334),AL334&lt;=(C334+T334)),AZ334,0),IF(AND(NOT(AND(AU334=1,AT334&lt;&gt;1)),ISNUMBER(AM334),AM334&lt;=(C334+T334)),BA334,0),IF(AND(NOT(AND(AU334=1,AT334&lt;&gt;1)),ISNUMBER(AN334),AN334&lt;=(C334+T334)),BB334,0),IF(AND(ISNUMBER(AO334),AO334&lt;=(C334+T334)),BC334,0))),"LB",IF(AND(IF(AND(NOT(AND(AU334=1,AT334&lt;&gt;1)),ISNUMBER(AM334),AM334&lt;=(C334+T334)),BA334,0)&gt;0,IF(AND(NOT(AND(AU334=1,AT334&lt;&gt;1)),ISNUMBER(AM334),AM334&lt;=(C334+T334)),BA334,0)=MAX(IF(AND(NOT(AND(AU334=1,AT334&lt;&gt;1)),ISNUMBER(AK334),AK334&lt;=(C334+T334)),AY334,0),IF(AND(NOT(AND(AU334=1,AT334&lt;&gt;1)),ISNUMBER(AL334),AL334&lt;=(C334+T334)),AZ334,0),IF(AND(NOT(AND(AU334=1,AT334&lt;&gt;1)),ISNUMBER(AM334),AM334&lt;=(C334+T334)),BA334,0),IF(AND(NOT(AND(AU334=1,AT334&lt;&gt;1)),ISNUMBER(AN334),AN334&lt;=(C334+T334)),BB334,0),IF(AND(ISNUMBER(AO334),AO334&lt;=(C334+T334)),BC334,0))),"ML",IF(AND(IF(AND(NOT(AND(AU334=1,AT334&lt;&gt;1)),ISNUMBER(AN334),AN334&lt;=(C334+T334)),BB334,0)&gt;0,IF(AND(NOT(AND(AU334=1,AT334&lt;&gt;1)),ISNUMBER(AN334),AN334&lt;=(C334+T334)),BB334,0)=MAX(IF(AND(NOT(AND(AU334=1,AT334&lt;&gt;1)),ISNUMBER(AK334),AK334&lt;=(C334+T334)),AY334,0),IF(AND(NOT(AND(AU334=1,AT334&lt;&gt;1)),ISNUMBER(AL334),AL334&lt;=(C334+T334)),AZ334,0),IF(AND(NOT(AND(AU334=1,AT334&lt;&gt;1)),ISNUMBER(AM334),AM334&lt;=(C334+T334)),BA334,0),IF(AND(NOT(AND(AU334=1,AT334&lt;&gt;1)),ISNUMBER(AN334),AN334&lt;=(C334+T334)),BB334,0),IF(AND(ISNUMBER(AO334),AO334&lt;=(C334+T334)),BC334,0))),"RLO","BD"))))))))</f>
        <v/>
      </c>
    </row>
    <row r="335">
      <c r="A335" s="26" t="n">
        <v>324</v>
      </c>
      <c r="B335" s="27">
        <f>A335*10/60</f>
        <v/>
      </c>
      <c r="C335" s="22">
        <f>X334</f>
        <v/>
      </c>
      <c r="D335" s="27">
        <f>D334+W334</f>
        <v/>
      </c>
      <c r="E335" s="26">
        <f>E334+IF(U334="SK",1,0)</f>
        <v/>
      </c>
      <c r="F335" s="26">
        <f>F334+IF(U334="LB",1,0)</f>
        <v/>
      </c>
      <c r="G335" s="26">
        <f>G334+IF(U334="ML",1,0)</f>
        <v/>
      </c>
      <c r="H335" s="26">
        <f>H334+IF(U334="RLO",1,0)</f>
        <v/>
      </c>
      <c r="I335" s="26">
        <f>I334+IF(U334="BD",1,0)</f>
        <v/>
      </c>
      <c r="J335" s="26">
        <f>MAX(J334,IF(U334="BiP",1,0))</f>
        <v/>
      </c>
      <c r="K335" s="26">
        <f>MAX(K334,IF(U334="PV",1,0))</f>
        <v/>
      </c>
      <c r="L335" s="26">
        <f>MAX(L334,IF(U334="OC",1,0))</f>
        <v/>
      </c>
      <c r="M335" s="26">
        <f>MAX(M334,IF(U334="MG",1,0))</f>
        <v/>
      </c>
      <c r="N335" s="26">
        <f>MAX(N334,IF(U334="transition",1,0))</f>
        <v/>
      </c>
      <c r="O335" s="28">
        <f>(Parameters!$B$9+(IF(E335=0,0,(Upgrades!$J$13+E335*Upgrades!$K$13)*POWER(Upgrades!$L$13,E335)))*(IF(Upgrades!$T$14="Stellar Kinematics",POWER(Upgrades!$U$14,F335),1)*IF(Upgrades!$T$15="Stellar Kinematics",POWER(Upgrades!$U$15,G335),1)*IF(Upgrades!$T$16="Stellar Kinematics",POWER(Upgrades!$U$16,H335),1)*IF(Upgrades!$T$17="Stellar Kinematics",POWER(Upgrades!$U$17,I335),1)*IF(Upgrades!$T$18="Stellar Kinematics",POWER(Upgrades!$U$18,J335),1)*IF(Upgrades!$T$19="Stellar Kinematics",POWER(Upgrades!$U$19,K335),1)*IF(Upgrades!$T$20="Stellar Kinematics",POWER(Upgrades!$U$20,L335),1)*IF(Upgrades!$T$21="Stellar Kinematics",POWER(Upgrades!$U$21,M335),1))+(IF(F335=0,0,(Upgrades!$J$14+F335*Upgrades!$K$14)*POWER(Upgrades!$L$14,F335)))*(IF(Upgrades!$T$13="Local Bubble",POWER(Upgrades!$U$13,E335),1)*IF(Upgrades!$T$15="Local Bubble",POWER(Upgrades!$U$15,G335),1)*IF(Upgrades!$T$16="Local Bubble",POWER(Upgrades!$U$16,H335),1)*IF(Upgrades!$T$17="Local Bubble",POWER(Upgrades!$U$17,I335),1)*IF(Upgrades!$T$18="Local Bubble",POWER(Upgrades!$U$18,J335),1)*IF(Upgrades!$T$19="Local Bubble",POWER(Upgrades!$U$19,K335),1)*IF(Upgrades!$T$20="Local Bubble",POWER(Upgrades!$U$20,L335),1)*IF(Upgrades!$T$21="Local Bubble",POWER(Upgrades!$U$21,M335),1))+(IF(G335=0,0,(Upgrades!$J$15+G335*Upgrades!$K$15)*POWER(Upgrades!$L$15,G335)))*(IF(Upgrades!$T$13="Microlensing",POWER(Upgrades!$U$13,E335),1)*IF(Upgrades!$T$14="Microlensing",POWER(Upgrades!$U$14,F335),1)*IF(Upgrades!$T$16="Microlensing",POWER(Upgrades!$U$16,H335),1)*IF(Upgrades!$T$17="Microlensing",POWER(Upgrades!$U$17,I335),1)*IF(Upgrades!$T$18="Microlensing",POWER(Upgrades!$U$18,J335),1)*IF(Upgrades!$T$19="Microlensing",POWER(Upgrades!$U$19,K335),1)*IF(Upgrades!$T$20="Microlensing",POWER(Upgrades!$U$20,L335),1)*IF(Upgrades!$T$21="Microlensing",POWER(Upgrades!$U$21,M335),1))+(IF(H335=0,0,(Upgrades!$J$16+H335*Upgrades!$K$16)*POWER(Upgrades!$L$16,H335)))*(IF(Upgrades!$T$13="Roche Lobe Overflow",POWER(Upgrades!$U$13,E335),1)*IF(Upgrades!$T$14="Roche Lobe Overflow",POWER(Upgrades!$U$14,F335),1)*IF(Upgrades!$T$15="Roche Lobe Overflow",POWER(Upgrades!$U$15,G335),1)*IF(Upgrades!$T$17="Roche Lobe Overflow",POWER(Upgrades!$U$17,I335),1)*IF(Upgrades!$T$18="Roche Lobe Overflow",POWER(Upgrades!$U$18,J335),1)*IF(Upgrades!$T$19="Roche Lobe Overflow",POWER(Upgrades!$U$19,K335),1)*IF(Upgrades!$T$20="Roche Lobe Overflow",POWER(Upgrades!$U$20,L335),1)*IF(Upgrades!$T$21="Roche Lobe Overflow",POWER(Upgrades!$U$21,M335),1))+(IF(I335=0,0,(Upgrades!$J$17+I335*Upgrades!$K$17)*POWER(Upgrades!$L$17,I335)))*(IF(Upgrades!$T$13="Brown Dwarf",POWER(Upgrades!$U$13,E335),1)*IF(Upgrades!$T$14="Brown Dwarf",POWER(Upgrades!$U$14,F335),1)*IF(Upgrades!$T$15="Brown Dwarf",POWER(Upgrades!$U$15,G335),1)*IF(Upgrades!$T$16="Brown Dwarf",POWER(Upgrades!$U$16,H335),1)*IF(Upgrades!$T$18="Brown Dwarf",POWER(Upgrades!$U$18,J335),1)*IF(Upgrades!$T$19="Brown Dwarf",POWER(Upgrades!$U$19,K335),1)*IF(Upgrades!$T$20="Brown Dwarf",POWER(Upgrades!$U$20,L335),1)*IF(Upgrades!$T$21="Brown Dwarf",POWER(Upgrades!$U$21,M335),1))+(IF(J335=0,0,(Upgrades!$J$18+J335*Upgrades!$K$18)*POWER(Upgrades!$L$18,J335)))*(IF(Upgrades!$T$13="Binary Partner",POWER(Upgrades!$U$13,E335),1)*IF(Upgrades!$T$14="Binary Partner",POWER(Upgrades!$U$14,F335),1)*IF(Upgrades!$T$15="Binary Partner",POWER(Upgrades!$U$15,G335),1)*IF(Upgrades!$T$16="Binary Partner",POWER(Upgrades!$U$16,H335),1)*IF(Upgrades!$T$17="Binary Partner",POWER(Upgrades!$U$17,I335),1)*IF(Upgrades!$T$19="Binary Partner",POWER(Upgrades!$U$19,K335),1)*IF(Upgrades!$T$20="Binary Partner",POWER(Upgrades!$U$20,L335),1)*IF(Upgrades!$T$21="Binary Partner",POWER(Upgrades!$U$21,M335),1))+(IF(K335=0,0,(Upgrades!$J$19+K335*Upgrades!$K$19)*POWER(Upgrades!$L$19,K335)))*(IF(Upgrades!$T$13="Peculiar Velocity",POWER(Upgrades!$U$13,E335),1)*IF(Upgrades!$T$14="Peculiar Velocity",POWER(Upgrades!$U$14,F335),1)*IF(Upgrades!$T$15="Peculiar Velocity",POWER(Upgrades!$U$15,G335),1)*IF(Upgrades!$T$16="Peculiar Velocity",POWER(Upgrades!$U$16,H335),1)*IF(Upgrades!$T$17="Peculiar Velocity",POWER(Upgrades!$U$17,I335),1)*IF(Upgrades!$T$18="Peculiar Velocity",POWER(Upgrades!$U$18,J335),1)*IF(Upgrades!$T$20="Peculiar Velocity",POWER(Upgrades!$U$20,L335),1)*IF(Upgrades!$T$21="Peculiar Velocity",POWER(Upgrades!$U$21,M335),1))+(IF(L335=0,0,(Upgrades!$J$20+L335*Upgrades!$K$20)*POWER(Upgrades!$L$20,L335)))*(IF(Upgrades!$T$13="Open Cluster",POWER(Upgrades!$U$13,E335),1)*IF(Upgrades!$T$14="Open Cluster",POWER(Upgrades!$U$14,F335),1)*IF(Upgrades!$T$15="Open Cluster",POWER(Upgrades!$U$15,G335),1)*IF(Upgrades!$T$16="Open Cluster",POWER(Upgrades!$U$16,H335),1)*IF(Upgrades!$T$17="Open Cluster",POWER(Upgrades!$U$17,I335),1)*IF(Upgrades!$T$18="Open Cluster",POWER(Upgrades!$U$18,J335),1)*IF(Upgrades!$T$19="Open Cluster",POWER(Upgrades!$U$19,K335),1)*IF(Upgrades!$T$21="Open Cluster",POWER(Upgrades!$U$21,M335),1))+(IF(M335=0,0,(Upgrades!$J$21+M335*Upgrades!$K$21)*POWER(Upgrades!$L$21,M335)))*(IF(Upgrades!$T$13="Moving Group",POWER(Upgrades!$U$13,E335),1)*IF(Upgrades!$T$14="Moving Group",POWER(Upgrades!$U$14,F335),1)*IF(Upgrades!$T$15="Moving Group",POWER(Upgrades!$U$15,G335),1)*IF(Upgrades!$T$16="Moving Group",POWER(Upgrades!$U$16,H335),1)*IF(Upgrades!$T$17="Moving Group",POWER(Upgrades!$U$17,I335),1)*IF(Upgrades!$T$18="Moving Group",POWER(Upgrades!$U$18,J335),1)*IF(Upgrades!$T$19="Moving Group",POWER(Upgrades!$U$19,K335),1)*IF(Upgrades!$T$20="Moving Group",POWER(Upgrades!$U$20,L335),1)))*POWER(Upgrades!$Q$13,E335)*POWER(Upgrades!$Q$14,F335)*POWER(Upgrades!$Q$15,G335)*POWER(Upgrades!$Q$16,H335)*POWER(Upgrades!$Q$17,I335)*POWER(Upgrades!$Q$18,J335)*POWER(Upgrades!$Q$19,K335)*POWER(Upgrades!$Q$20,L335)*POWER(Upgrades!$Q$21,M335)*$G$6+$D$6</f>
        <v/>
      </c>
      <c r="P335" s="28">
        <f>((IF(E335=0,0,(Upgrades!$G$13+E335*Upgrades!$H$13)*POWER(Upgrades!$I$13,E335)))*(IF(Upgrades!$T$14="Stellar Kinematics",POWER(Upgrades!$U$14,F335),1)*IF(Upgrades!$T$15="Stellar Kinematics",POWER(Upgrades!$U$15,G335),1)*IF(Upgrades!$T$16="Stellar Kinematics",POWER(Upgrades!$U$16,H335),1)*IF(Upgrades!$T$17="Stellar Kinematics",POWER(Upgrades!$U$17,I335),1)*IF(Upgrades!$T$18="Stellar Kinematics",POWER(Upgrades!$U$18,J335),1)*IF(Upgrades!$T$19="Stellar Kinematics",POWER(Upgrades!$U$19,K335),1)*IF(Upgrades!$T$20="Stellar Kinematics",POWER(Upgrades!$U$20,L335),1)*IF(Upgrades!$T$21="Stellar Kinematics",POWER(Upgrades!$U$21,M335),1))+(IF(F335=0,0,(Upgrades!$G$14+F335*Upgrades!$H$14)*POWER(Upgrades!$I$14,F335)))*(IF(Upgrades!$T$13="Local Bubble",POWER(Upgrades!$U$13,E335),1)*IF(Upgrades!$T$15="Local Bubble",POWER(Upgrades!$U$15,G335),1)*IF(Upgrades!$T$16="Local Bubble",POWER(Upgrades!$U$16,H335),1)*IF(Upgrades!$T$17="Local Bubble",POWER(Upgrades!$U$17,I335),1)*IF(Upgrades!$T$18="Local Bubble",POWER(Upgrades!$U$18,J335),1)*IF(Upgrades!$T$19="Local Bubble",POWER(Upgrades!$U$19,K335),1)*IF(Upgrades!$T$20="Local Bubble",POWER(Upgrades!$U$20,L335),1)*IF(Upgrades!$T$21="Local Bubble",POWER(Upgrades!$U$21,M335),1))+(IF(G335=0,0,(Upgrades!$G$15+G335*Upgrades!$H$15)*POWER(Upgrades!$I$15,G335)))*(IF(Upgrades!$T$13="Microlensing",POWER(Upgrades!$U$13,E335),1)*IF(Upgrades!$T$14="Microlensing",POWER(Upgrades!$U$14,F335),1)*IF(Upgrades!$T$16="Microlensing",POWER(Upgrades!$U$16,H335),1)*IF(Upgrades!$T$17="Microlensing",POWER(Upgrades!$U$17,I335),1)*IF(Upgrades!$T$18="Microlensing",POWER(Upgrades!$U$18,J335),1)*IF(Upgrades!$T$19="Microlensing",POWER(Upgrades!$U$19,K335),1)*IF(Upgrades!$T$20="Microlensing",POWER(Upgrades!$U$20,L335),1)*IF(Upgrades!$T$21="Microlensing",POWER(Upgrades!$U$21,M335),1))+(IF(H335=0,0,(Upgrades!$G$16+H335*Upgrades!$H$16)*POWER(Upgrades!$I$16,H335)))*(IF(Upgrades!$T$13="Roche Lobe Overflow",POWER(Upgrades!$U$13,E335),1)*IF(Upgrades!$T$14="Roche Lobe Overflow",POWER(Upgrades!$U$14,F335),1)*IF(Upgrades!$T$15="Roche Lobe Overflow",POWER(Upgrades!$U$15,G335),1)*IF(Upgrades!$T$17="Roche Lobe Overflow",POWER(Upgrades!$U$17,I335),1)*IF(Upgrades!$T$18="Roche Lobe Overflow",POWER(Upgrades!$U$18,J335),1)*IF(Upgrades!$T$19="Roche Lobe Overflow",POWER(Upgrades!$U$19,K335),1)*IF(Upgrades!$T$20="Roche Lobe Overflow",POWER(Upgrades!$U$20,L335),1)*IF(Upgrades!$T$21="Roche Lobe Overflow",POWER(Upgrades!$U$21,M335),1))+(IF(I335=0,0,(Upgrades!$G$17+I335*Upgrades!$H$17)*POWER(Upgrades!$I$17,I335)))*(IF(Upgrades!$T$13="Brown Dwarf",POWER(Upgrades!$U$13,E335),1)*IF(Upgrades!$T$14="Brown Dwarf",POWER(Upgrades!$U$14,F335),1)*IF(Upgrades!$T$15="Brown Dwarf",POWER(Upgrades!$U$15,G335),1)*IF(Upgrades!$T$16="Brown Dwarf",POWER(Upgrades!$U$16,H335),1)*IF(Upgrades!$T$18="Brown Dwarf",POWER(Upgrades!$U$18,J335),1)*IF(Upgrades!$T$19="Brown Dwarf",POWER(Upgrades!$U$19,K335),1)*IF(Upgrades!$T$20="Brown Dwarf",POWER(Upgrades!$U$20,L335),1)*IF(Upgrades!$T$21="Brown Dwarf",POWER(Upgrades!$U$21,M335),1))+(IF(J335=0,0,(Upgrades!$G$18+J335*Upgrades!$H$18)*POWER(Upgrades!$I$18,J335)))*(IF(Upgrades!$T$13="Binary Partner",POWER(Upgrades!$U$13,E335),1)*IF(Upgrades!$T$14="Binary Partner",POWER(Upgrades!$U$14,F335),1)*IF(Upgrades!$T$15="Binary Partner",POWER(Upgrades!$U$15,G335),1)*IF(Upgrades!$T$16="Binary Partner",POWER(Upgrades!$U$16,H335),1)*IF(Upgrades!$T$17="Binary Partner",POWER(Upgrades!$U$17,I335),1)*IF(Upgrades!$T$19="Binary Partner",POWER(Upgrades!$U$19,K335),1)*IF(Upgrades!$T$20="Binary Partner",POWER(Upgrades!$U$20,L335),1)*IF(Upgrades!$T$21="Binary Partner",POWER(Upgrades!$U$21,M335),1))+(IF(K335=0,0,(Upgrades!$G$19+K335*Upgrades!$H$19)*POWER(Upgrades!$I$19,K335)))*(IF(Upgrades!$T$13="Peculiar Velocity",POWER(Upgrades!$U$13,E335),1)*IF(Upgrades!$T$14="Peculiar Velocity",POWER(Upgrades!$U$14,F335),1)*IF(Upgrades!$T$15="Peculiar Velocity",POWER(Upgrades!$U$15,G335),1)*IF(Upgrades!$T$16="Peculiar Velocity",POWER(Upgrades!$U$16,H335),1)*IF(Upgrades!$T$17="Peculiar Velocity",POWER(Upgrades!$U$17,I335),1)*IF(Upgrades!$T$18="Peculiar Velocity",POWER(Upgrades!$U$18,J335),1)*IF(Upgrades!$T$20="Peculiar Velocity",POWER(Upgrades!$U$20,L335),1)*IF(Upgrades!$T$21="Peculiar Velocity",POWER(Upgrades!$U$21,M335),1))+(IF(L335=0,0,(Upgrades!$G$20+L335*Upgrades!$H$20)*POWER(Upgrades!$I$20,L335)))*(IF(Upgrades!$T$13="Open Cluster",POWER(Upgrades!$U$13,E335),1)*IF(Upgrades!$T$14="Open Cluster",POWER(Upgrades!$U$14,F335),1)*IF(Upgrades!$T$15="Open Cluster",POWER(Upgrades!$U$15,G335),1)*IF(Upgrades!$T$16="Open Cluster",POWER(Upgrades!$U$16,H335),1)*IF(Upgrades!$T$17="Open Cluster",POWER(Upgrades!$U$17,I335),1)*IF(Upgrades!$T$18="Open Cluster",POWER(Upgrades!$U$18,J335),1)*IF(Upgrades!$T$19="Open Cluster",POWER(Upgrades!$U$19,K335),1)*IF(Upgrades!$T$21="Open Cluster",POWER(Upgrades!$U$21,M335),1))+(IF(M335=0,0,(Upgrades!$G$21+M335*Upgrades!$H$21)*POWER(Upgrades!$I$21,M335)))*(IF(Upgrades!$T$13="Moving Group",POWER(Upgrades!$U$13,E335),1)*IF(Upgrades!$T$14="Moving Group",POWER(Upgrades!$U$14,F335),1)*IF(Upgrades!$T$15="Moving Group",POWER(Upgrades!$U$15,G335),1)*IF(Upgrades!$T$16="Moving Group",POWER(Upgrades!$U$16,H335),1)*IF(Upgrades!$T$17="Moving Group",POWER(Upgrades!$U$17,I335),1)*IF(Upgrades!$T$18="Moving Group",POWER(Upgrades!$U$18,J335),1)*IF(Upgrades!$T$19="Moving Group",POWER(Upgrades!$U$19,K335),1)*IF(Upgrades!$T$20="Moving Group",POWER(Upgrades!$U$20,L335),1)))*POWER(Upgrades!$P$13,E335)*POWER(Upgrades!$P$14,F335)*POWER(Upgrades!$P$15,G335)*POWER(Upgrades!$P$16,H335)*POWER(Upgrades!$P$17,I335)*POWER(Upgrades!$P$18,J335)*POWER(Upgrades!$P$19,K335)*POWER(Upgrades!$P$20,L335)*POWER(Upgrades!$P$21,M335)*$F$6+$C$6</f>
        <v/>
      </c>
      <c r="Q335" s="28">
        <f>((IF(E335=0,0,(Upgrades!$M$13+E335*Upgrades!$N$13)*POWER(Upgrades!$O$13,E335)))*(IF(Upgrades!$T$14="Stellar Kinematics",POWER(Upgrades!$U$14,F335),1)*IF(Upgrades!$T$15="Stellar Kinematics",POWER(Upgrades!$U$15,G335),1)*IF(Upgrades!$T$16="Stellar Kinematics",POWER(Upgrades!$U$16,H335),1)*IF(Upgrades!$T$17="Stellar Kinematics",POWER(Upgrades!$U$17,I335),1)*IF(Upgrades!$T$18="Stellar Kinematics",POWER(Upgrades!$U$18,J335),1)*IF(Upgrades!$T$19="Stellar Kinematics",POWER(Upgrades!$U$19,K335),1)*IF(Upgrades!$T$20="Stellar Kinematics",POWER(Upgrades!$U$20,L335),1)*IF(Upgrades!$T$21="Stellar Kinematics",POWER(Upgrades!$U$21,M335),1))+(IF(F335=0,0,(Upgrades!$M$14+F335*Upgrades!$N$14)*POWER(Upgrades!$O$14,F335)))*(IF(Upgrades!$T$13="Local Bubble",POWER(Upgrades!$U$13,E335),1)*IF(Upgrades!$T$15="Local Bubble",POWER(Upgrades!$U$15,G335),1)*IF(Upgrades!$T$16="Local Bubble",POWER(Upgrades!$U$16,H335),1)*IF(Upgrades!$T$17="Local Bubble",POWER(Upgrades!$U$17,I335),1)*IF(Upgrades!$T$18="Local Bubble",POWER(Upgrades!$U$18,J335),1)*IF(Upgrades!$T$19="Local Bubble",POWER(Upgrades!$U$19,K335),1)*IF(Upgrades!$T$20="Local Bubble",POWER(Upgrades!$U$20,L335),1)*IF(Upgrades!$T$21="Local Bubble",POWER(Upgrades!$U$21,M335),1))+(IF(G335=0,0,(Upgrades!$M$15+G335*Upgrades!$N$15)*POWER(Upgrades!$O$15,G335)))*(IF(Upgrades!$T$13="Microlensing",POWER(Upgrades!$U$13,E335),1)*IF(Upgrades!$T$14="Microlensing",POWER(Upgrades!$U$14,F335),1)*IF(Upgrades!$T$16="Microlensing",POWER(Upgrades!$U$16,H335),1)*IF(Upgrades!$T$17="Microlensing",POWER(Upgrades!$U$17,I335),1)*IF(Upgrades!$T$18="Microlensing",POWER(Upgrades!$U$18,J335),1)*IF(Upgrades!$T$19="Microlensing",POWER(Upgrades!$U$19,K335),1)*IF(Upgrades!$T$20="Microlensing",POWER(Upgrades!$U$20,L335),1)*IF(Upgrades!$T$21="Microlensing",POWER(Upgrades!$U$21,M335),1))+(IF(H335=0,0,(Upgrades!$M$16+H335*Upgrades!$N$16)*POWER(Upgrades!$O$16,H335)))*(IF(Upgrades!$T$13="Roche Lobe Overflow",POWER(Upgrades!$U$13,E335),1)*IF(Upgrades!$T$14="Roche Lobe Overflow",POWER(Upgrades!$U$14,F335),1)*IF(Upgrades!$T$15="Roche Lobe Overflow",POWER(Upgrades!$U$15,G335),1)*IF(Upgrades!$T$17="Roche Lobe Overflow",POWER(Upgrades!$U$17,I335),1)*IF(Upgrades!$T$18="Roche Lobe Overflow",POWER(Upgrades!$U$18,J335),1)*IF(Upgrades!$T$19="Roche Lobe Overflow",POWER(Upgrades!$U$19,K335),1)*IF(Upgrades!$T$20="Roche Lobe Overflow",POWER(Upgrades!$U$20,L335),1)*IF(Upgrades!$T$21="Roche Lobe Overflow",POWER(Upgrades!$U$21,M335),1))+(IF(I335=0,0,(Upgrades!$M$17+I335*Upgrades!$N$17)*POWER(Upgrades!$O$17,I335)))*(IF(Upgrades!$T$13="Brown Dwarf",POWER(Upgrades!$U$13,E335),1)*IF(Upgrades!$T$14="Brown Dwarf",POWER(Upgrades!$U$14,F335),1)*IF(Upgrades!$T$15="Brown Dwarf",POWER(Upgrades!$U$15,G335),1)*IF(Upgrades!$T$16="Brown Dwarf",POWER(Upgrades!$U$16,H335),1)*IF(Upgrades!$T$18="Brown Dwarf",POWER(Upgrades!$U$18,J335),1)*IF(Upgrades!$T$19="Brown Dwarf",POWER(Upgrades!$U$19,K335),1)*IF(Upgrades!$T$20="Brown Dwarf",POWER(Upgrades!$U$20,L335),1)*IF(Upgrades!$T$21="Brown Dwarf",POWER(Upgrades!$U$21,M335),1))+(IF(J335=0,0,(Upgrades!$M$18+J335*Upgrades!$N$18)*POWER(Upgrades!$O$18,J335)))*(IF(Upgrades!$T$13="Binary Partner",POWER(Upgrades!$U$13,E335),1)*IF(Upgrades!$T$14="Binary Partner",POWER(Upgrades!$U$14,F335),1)*IF(Upgrades!$T$15="Binary Partner",POWER(Upgrades!$U$15,G335),1)*IF(Upgrades!$T$16="Binary Partner",POWER(Upgrades!$U$16,H335),1)*IF(Upgrades!$T$17="Binary Partner",POWER(Upgrades!$U$17,I335),1)*IF(Upgrades!$T$19="Binary Partner",POWER(Upgrades!$U$19,K335),1)*IF(Upgrades!$T$20="Binary Partner",POWER(Upgrades!$U$20,L335),1)*IF(Upgrades!$T$21="Binary Partner",POWER(Upgrades!$U$21,M335),1))+(IF(K335=0,0,(Upgrades!$M$19+K335*Upgrades!$N$19)*POWER(Upgrades!$O$19,K335)))*(IF(Upgrades!$T$13="Peculiar Velocity",POWER(Upgrades!$U$13,E335),1)*IF(Upgrades!$T$14="Peculiar Velocity",POWER(Upgrades!$U$14,F335),1)*IF(Upgrades!$T$15="Peculiar Velocity",POWER(Upgrades!$U$15,G335),1)*IF(Upgrades!$T$16="Peculiar Velocity",POWER(Upgrades!$U$16,H335),1)*IF(Upgrades!$T$17="Peculiar Velocity",POWER(Upgrades!$U$17,I335),1)*IF(Upgrades!$T$18="Peculiar Velocity",POWER(Upgrades!$U$18,J335),1)*IF(Upgrades!$T$20="Peculiar Velocity",POWER(Upgrades!$U$20,L335),1)*IF(Upgrades!$T$21="Peculiar Velocity",POWER(Upgrades!$U$21,M335),1))+(IF(L335=0,0,(Upgrades!$M$20+L335*Upgrades!$N$20)*POWER(Upgrades!$O$20,L335)))*(IF(Upgrades!$T$13="Open Cluster",POWER(Upgrades!$U$13,E335),1)*IF(Upgrades!$T$14="Open Cluster",POWER(Upgrades!$U$14,F335),1)*IF(Upgrades!$T$15="Open Cluster",POWER(Upgrades!$U$15,G335),1)*IF(Upgrades!$T$16="Open Cluster",POWER(Upgrades!$U$16,H335),1)*IF(Upgrades!$T$17="Open Cluster",POWER(Upgrades!$U$17,I335),1)*IF(Upgrades!$T$18="Open Cluster",POWER(Upgrades!$U$18,J335),1)*IF(Upgrades!$T$19="Open Cluster",POWER(Upgrades!$U$19,K335),1)*IF(Upgrades!$T$21="Open Cluster",POWER(Upgrades!$U$21,M335),1))+(IF(M335=0,0,(Upgrades!$M$21+M335*Upgrades!$N$21)*POWER(Upgrades!$O$21,M335)))*(IF(Upgrades!$T$13="Moving Group",POWER(Upgrades!$U$13,E335),1)*IF(Upgrades!$T$14="Moving Group",POWER(Upgrades!$U$14,F335),1)*IF(Upgrades!$T$15="Moving Group",POWER(Upgrades!$U$15,G335),1)*IF(Upgrades!$T$16="Moving Group",POWER(Upgrades!$U$16,H335),1)*IF(Upgrades!$T$17="Moving Group",POWER(Upgrades!$U$17,I335),1)*IF(Upgrades!$T$18="Moving Group",POWER(Upgrades!$U$18,J335),1)*IF(Upgrades!$T$19="Moving Group",POWER(Upgrades!$U$19,K335),1)*IF(Upgrades!$T$20="Moving Group",POWER(Upgrades!$U$20,L335),1)))*POWER(Upgrades!$R$13,E335)*POWER(Upgrades!$R$14,F335)*POWER(Upgrades!$R$15,G335)*POWER(Upgrades!$R$16,H335)*POWER(Upgrades!$R$17,I335)*POWER(Upgrades!$R$18,J335)*POWER(Upgrades!$R$19,K335)*POWER(Upgrades!$R$20,L335)*POWER(Upgrades!$R$21,M335)*$H$6+$E$6</f>
        <v/>
      </c>
      <c r="R335" s="27">
        <f>IF(N335=1,0,O335*Parameters!$B$10/60*Parameters!$B$11*10)</f>
        <v/>
      </c>
      <c r="S335" s="27">
        <f>IF(N335=1,0,Q335*O335*10)</f>
        <v/>
      </c>
      <c r="T335" s="27">
        <f>IF(N335=1,0,R335+S335+P335*10)</f>
        <v/>
      </c>
      <c r="U335" s="33">
        <f>BE335</f>
        <v/>
      </c>
      <c r="V335" s="22">
        <f>IF(U335="",0,IF(U335="transition",0,IF(U335="SK",AK335,IF(U335="LB",AL335,IF(U335="ML",AM335,IF(U335="RLO",AN335,IF(U335="BD",AO335,IF(U335="BiP",AP335,IF(U335="PV",AQ335,IF(U335="OC",AR335,IF(U335="MG",AS335,0))))))))))</f>
        <v/>
      </c>
      <c r="W335" s="27">
        <f>IF(U335="BiP",Upgrades!$F$18,IF(U335="PV",Upgrades!$F$19,IF(U335="OC",Upgrades!$F$20,IF(U335="MG",Upgrades!$F$21,IF(U335="transition",-Parameters!$B$18*Parameters!$B$19,0)))))</f>
        <v/>
      </c>
      <c r="X335" s="22">
        <f>C335+T335-V335</f>
        <v/>
      </c>
      <c r="Y335" s="30">
        <f>O335*Parameters!$B$10/60*Parameters!$B$11+Q335*O335+P335</f>
        <v/>
      </c>
      <c r="Z335" s="34">
        <f>IF(U335="transition","→ Tier 3 (Galactic Arm)",IF(U335="MG","Moving Group — pocket drifts together",IF(U335="OC","Open Cluster acquired",IF(U335="PV","Peculiar Velocity — passive multiplier active",IF(U335="BiP","Binary Partner — pair bond formed",IF(AND(AU335=1,N335=0,AT335&lt;&gt;1),"Cohesion ready (waiting on completionists)","")))))) </f>
        <v/>
      </c>
      <c r="AA335" s="27">
        <f>(IF(E335=0,0,(Upgrades!$G$13+E335*Upgrades!$H$13)*POWER(Upgrades!$I$13,E335)))*(IF(Upgrades!$T$14="Stellar Kinematics",POWER(Upgrades!$U$14,F335),1)*IF(Upgrades!$T$15="Stellar Kinematics",POWER(Upgrades!$U$15,G335),1)*IF(Upgrades!$T$16="Stellar Kinematics",POWER(Upgrades!$U$16,H335),1)*IF(Upgrades!$T$17="Stellar Kinematics",POWER(Upgrades!$U$17,I335),1)*IF(Upgrades!$T$18="Stellar Kinematics",POWER(Upgrades!$U$18,J335),1)*IF(Upgrades!$T$19="Stellar Kinematics",POWER(Upgrades!$U$19,K335),1)*IF(Upgrades!$T$20="Stellar Kinematics",POWER(Upgrades!$U$20,L335),1)*IF(Upgrades!$T$21="Stellar Kinematics",POWER(Upgrades!$U$21,M335),1))*POWER(Upgrades!$P$13,E335)*POWER(Upgrades!$P$14,F335)*POWER(Upgrades!$P$15,G335)*POWER(Upgrades!$P$16,H335)*POWER(Upgrades!$P$17,I335)*POWER(Upgrades!$P$18,J335)*POWER(Upgrades!$P$19,K335)*POWER(Upgrades!$P$20,L335)*POWER(Upgrades!$P$21,M335)*$F$6*60</f>
        <v/>
      </c>
      <c r="AB335" s="27">
        <f>(IF(F335=0,0,(Upgrades!$G$14+F335*Upgrades!$H$14)*POWER(Upgrades!$I$14,F335)))*(IF(Upgrades!$T$13="Local Bubble",POWER(Upgrades!$U$13,E335),1)*IF(Upgrades!$T$15="Local Bubble",POWER(Upgrades!$U$15,G335),1)*IF(Upgrades!$T$16="Local Bubble",POWER(Upgrades!$U$16,H335),1)*IF(Upgrades!$T$17="Local Bubble",POWER(Upgrades!$U$17,I335),1)*IF(Upgrades!$T$18="Local Bubble",POWER(Upgrades!$U$18,J335),1)*IF(Upgrades!$T$19="Local Bubble",POWER(Upgrades!$U$19,K335),1)*IF(Upgrades!$T$20="Local Bubble",POWER(Upgrades!$U$20,L335),1)*IF(Upgrades!$T$21="Local Bubble",POWER(Upgrades!$U$21,M335),1))*POWER(Upgrades!$P$13,E335)*POWER(Upgrades!$P$14,F335)*POWER(Upgrades!$P$15,G335)*POWER(Upgrades!$P$16,H335)*POWER(Upgrades!$P$17,I335)*POWER(Upgrades!$P$18,J335)*POWER(Upgrades!$P$19,K335)*POWER(Upgrades!$P$20,L335)*POWER(Upgrades!$P$21,M335)*$F$6*60</f>
        <v/>
      </c>
      <c r="AC335" s="27">
        <f>(IF(G335=0,0,(Upgrades!$J$15+G335*Upgrades!$K$15)*POWER(Upgrades!$L$15,G335)))*(IF(Upgrades!$T$13="Microlensing",POWER(Upgrades!$U$13,E335),1)*IF(Upgrades!$T$14="Microlensing",POWER(Upgrades!$U$14,F335),1)*IF(Upgrades!$T$16="Microlensing",POWER(Upgrades!$U$16,H335),1)*IF(Upgrades!$T$17="Microlensing",POWER(Upgrades!$U$17,I335),1)*IF(Upgrades!$T$18="Microlensing",POWER(Upgrades!$U$18,J335),1)*IF(Upgrades!$T$19="Microlensing",POWER(Upgrades!$U$19,K335),1)*IF(Upgrades!$T$20="Microlensing",POWER(Upgrades!$U$20,L335),1)*IF(Upgrades!$T$21="Microlensing",POWER(Upgrades!$U$21,M335),1))*POWER(Upgrades!$Q$13,E335)*POWER(Upgrades!$Q$14,F335)*POWER(Upgrades!$Q$15,G335)*POWER(Upgrades!$Q$16,H335)*POWER(Upgrades!$Q$17,I335)*POWER(Upgrades!$Q$18,J335)*POWER(Upgrades!$Q$19,K335)*POWER(Upgrades!$Q$20,L335)*POWER(Upgrades!$Q$21,M335)*$G$6*(Parameters!$B$10*Parameters!$B$11+Q335*60)</f>
        <v/>
      </c>
      <c r="AD335" s="27">
        <f>(IF(H335=0,0,(Upgrades!$M$16+H335*Upgrades!$N$16)*POWER(Upgrades!$O$16,H335)))*(IF(Upgrades!$T$13="Roche Lobe Overflow",POWER(Upgrades!$U$13,E335),1)*IF(Upgrades!$T$14="Roche Lobe Overflow",POWER(Upgrades!$U$14,F335),1)*IF(Upgrades!$T$15="Roche Lobe Overflow",POWER(Upgrades!$U$15,G335),1)*IF(Upgrades!$T$17="Roche Lobe Overflow",POWER(Upgrades!$U$17,I335),1)*IF(Upgrades!$T$18="Roche Lobe Overflow",POWER(Upgrades!$U$18,J335),1)*IF(Upgrades!$T$19="Roche Lobe Overflow",POWER(Upgrades!$U$19,K335),1)*IF(Upgrades!$T$20="Roche Lobe Overflow",POWER(Upgrades!$U$20,L335),1)*IF(Upgrades!$T$21="Roche Lobe Overflow",POWER(Upgrades!$U$21,M335),1))*POWER(Upgrades!$R$13,E335)*POWER(Upgrades!$R$14,F335)*POWER(Upgrades!$R$15,G335)*POWER(Upgrades!$R$16,H335)*POWER(Upgrades!$R$17,I335)*POWER(Upgrades!$R$18,J335)*POWER(Upgrades!$R$19,K335)*POWER(Upgrades!$R$20,L335)*POWER(Upgrades!$R$21,M335)*$H$6*O335*60</f>
        <v/>
      </c>
      <c r="AE335" s="27">
        <f>(IF(I335=0,0,(Upgrades!$G$17+I335*Upgrades!$H$17)*POWER(Upgrades!$I$17,I335)))*(IF(Upgrades!$T$13="Brown Dwarf",POWER(Upgrades!$U$13,E335),1)*IF(Upgrades!$T$14="Brown Dwarf",POWER(Upgrades!$U$14,F335),1)*IF(Upgrades!$T$15="Brown Dwarf",POWER(Upgrades!$U$15,G335),1)*IF(Upgrades!$T$16="Brown Dwarf",POWER(Upgrades!$U$16,H335),1)*IF(Upgrades!$T$18="Brown Dwarf",POWER(Upgrades!$U$18,J335),1)*IF(Upgrades!$T$19="Brown Dwarf",POWER(Upgrades!$U$19,K335),1)*IF(Upgrades!$T$20="Brown Dwarf",POWER(Upgrades!$U$20,L335),1)*IF(Upgrades!$T$21="Brown Dwarf",POWER(Upgrades!$U$21,M335),1))*POWER(Upgrades!$P$13,E335)*POWER(Upgrades!$P$14,F335)*POWER(Upgrades!$P$15,G335)*POWER(Upgrades!$P$16,H335)*POWER(Upgrades!$P$17,I335)*POWER(Upgrades!$P$18,J335)*POWER(Upgrades!$P$19,K335)*POWER(Upgrades!$P$20,L335)*POWER(Upgrades!$P$21,M335)*$F$6*60</f>
        <v/>
      </c>
      <c r="AF335" s="27" t="n">
        <v>0</v>
      </c>
      <c r="AG335" s="27" t="n">
        <v>0</v>
      </c>
      <c r="AH335" s="27" t="n">
        <v>0</v>
      </c>
      <c r="AI335" s="27">
        <f>(IF(M335=0,0,(Upgrades!$G$21+M335*Upgrades!$H$21)*POWER(Upgrades!$I$21,M335)))*(IF(Upgrades!$T$13="Moving Group",POWER(Upgrades!$U$13,E335),1)*IF(Upgrades!$T$14="Moving Group",POWER(Upgrades!$U$14,F335),1)*IF(Upgrades!$T$15="Moving Group",POWER(Upgrades!$U$15,G335),1)*IF(Upgrades!$T$16="Moving Group",POWER(Upgrades!$U$16,H335),1)*IF(Upgrades!$T$17="Moving Group",POWER(Upgrades!$U$17,I335),1)*IF(Upgrades!$T$18="Moving Group",POWER(Upgrades!$U$18,J335),1)*IF(Upgrades!$T$19="Moving Group",POWER(Upgrades!$U$19,K335),1)*IF(Upgrades!$T$20="Moving Group",POWER(Upgrades!$U$20,L335),1))*POWER(Upgrades!$P$13,E335)*POWER(Upgrades!$P$14,F335)*POWER(Upgrades!$P$15,G335)*POWER(Upgrades!$P$16,H335)*POWER(Upgrades!$P$17,I335)*POWER(Upgrades!$P$18,J335)*POWER(Upgrades!$P$19,K335)*POWER(Upgrades!$P$20,L335)*POWER(Upgrades!$P$21,M335)*$F$6*60</f>
        <v/>
      </c>
      <c r="AJ335" s="27">
        <f>$C$6*60</f>
        <v/>
      </c>
      <c r="AK335" s="22">
        <f>IF(E335&gt;=Upgrades!$E$13,"",Upgrades!$C$13*POWER(Upgrades!$D$13,E335))</f>
        <v/>
      </c>
      <c r="AL335" s="22">
        <f>IF(F335&gt;=Upgrades!$E$14,"",Upgrades!$C$14*POWER(Upgrades!$D$14,F335))</f>
        <v/>
      </c>
      <c r="AM335" s="22">
        <f>IF(G335&gt;=Upgrades!$E$15,"",Upgrades!$C$15*POWER(Upgrades!$D$15,G335))</f>
        <v/>
      </c>
      <c r="AN335" s="22">
        <f>IF(H335&gt;=Upgrades!$E$16,"",Upgrades!$C$16*POWER(Upgrades!$D$16,H335))</f>
        <v/>
      </c>
      <c r="AO335" s="22">
        <f>IF(I335&gt;=Upgrades!$E$17,"",Upgrades!$C$17*POWER(Upgrades!$D$17,I335))</f>
        <v/>
      </c>
      <c r="AP335" s="22">
        <f>IF(J335&gt;=Upgrades!$E$18,"",Upgrades!$C$18*POWER(Upgrades!$D$18,J335))</f>
        <v/>
      </c>
      <c r="AQ335" s="22">
        <f>IF(K335&gt;=Upgrades!$E$19,"",Upgrades!$C$19*POWER(Upgrades!$D$19,K335))</f>
        <v/>
      </c>
      <c r="AR335" s="22">
        <f>IF(L335&gt;=Upgrades!$E$20,"",Upgrades!$C$20*POWER(Upgrades!$D$20,L335))</f>
        <v/>
      </c>
      <c r="AS335" s="22">
        <f>IF(M335&gt;=Upgrades!$E$21,"",Upgrades!$C$21*POWER(Upgrades!$D$21,M335))</f>
        <v/>
      </c>
      <c r="AT335" s="26">
        <f>IF(AND(D335&gt;=Parameters!$B$18*Parameters!$B$19,(I335&gt;=Upgrades!$E$17)*(M335&gt;=Upgrades!$E$21)=1,N335=0),1,"")</f>
        <v/>
      </c>
      <c r="AU335" s="26">
        <f>IF(AND(D335&gt;=Parameters!$B$18*Parameters!$B$19,N335=0),1,"")</f>
        <v/>
      </c>
      <c r="AV335" s="22">
        <f>MIN(IF(ISNUMBER(AP335),AP335,9E15),IF(ISNUMBER(AQ335),AQ335,9E15),IF(ISNUMBER(AR335),AR335,9E15),IF(ISNUMBER(AS335),AS335,9E15))</f>
        <v/>
      </c>
      <c r="AW335" s="22">
        <f>MIN(IF(ISNUMBER(AK335),AK335,9E15),IF(ISNUMBER(AL335),AL335,9E15),IF(ISNUMBER(AM335),AM335,9E15),IF(ISNUMBER(AN335),AN335,9E15),IF(ISNUMBER(AO335),AO335,9E15))</f>
        <v/>
      </c>
      <c r="AX335" s="29">
        <f>IF(BD335&gt;Parameters!$B$21*(MAX(IF(AND(NOT(AND(AU335=1,AT335&lt;&gt;1)),ISNUMBER(AK335),AK335&lt;=(C335+T335)),AY335,0),IF(AND(NOT(AND(AU335=1,AT335&lt;&gt;1)),ISNUMBER(AL335),AL335&lt;=(C335+T335)),AZ335,0),IF(AND(NOT(AND(AU335=1,AT335&lt;&gt;1)),ISNUMBER(AM335),AM335&lt;=(C335+T335)),BA335,0),IF(AND(NOT(AND(AU335=1,AT335&lt;&gt;1)),ISNUMBER(AN335),AN335&lt;=(C335+T335)),BB335,0),IF(AND(ISNUMBER(AO335),AO335&lt;=(C335+T335)),BC335,0))),TRUE,FALSE)</f>
        <v/>
      </c>
      <c r="AY335" s="32">
        <f>IFERROR(Upgrades!$H$13*(POWER(Upgrades!$P$13,E335)*POWER(Upgrades!$P$14,F335)*POWER(Upgrades!$P$15,G335)*POWER(Upgrades!$P$16,H335)*POWER(Upgrades!$P$17,I335)*POWER(Upgrades!$P$18,J335)*POWER(Upgrades!$P$19,K335)*POWER(Upgrades!$P$20,L335)*POWER(Upgrades!$P$21,M335))*(IF(Upgrades!$T$14="Stellar Kinematics",POWER(Upgrades!$U$14,F335),1)*IF(Upgrades!$T$15="Stellar Kinematics",POWER(Upgrades!$U$15,G335),1)*IF(Upgrades!$T$16="Stellar Kinematics",POWER(Upgrades!$U$16,H335),1)*IF(Upgrades!$T$17="Stellar Kinematics",POWER(Upgrades!$U$17,I335),1)*IF(Upgrades!$T$18="Stellar Kinematics",POWER(Upgrades!$U$18,J335),1)*IF(Upgrades!$T$19="Stellar Kinematics",POWER(Upgrades!$U$19,K335),1)*IF(Upgrades!$T$20="Stellar Kinematics",POWER(Upgrades!$U$20,L335),1)*IF(Upgrades!$T$21="Stellar Kinematics",POWER(Upgrades!$U$21,M335),1))*$F$6/AK335,0)</f>
        <v/>
      </c>
      <c r="AZ335" s="32">
        <f>IFERROR(Upgrades!$H$14*(POWER(Upgrades!$P$13,E335)*POWER(Upgrades!$P$14,F335)*POWER(Upgrades!$P$15,G335)*POWER(Upgrades!$P$16,H335)*POWER(Upgrades!$P$17,I335)*POWER(Upgrades!$P$18,J335)*POWER(Upgrades!$P$19,K335)*POWER(Upgrades!$P$20,L335)*POWER(Upgrades!$P$21,M335))*(IF(Upgrades!$T$13="Local Bubble",POWER(Upgrades!$U$13,E335),1)*IF(Upgrades!$T$15="Local Bubble",POWER(Upgrades!$U$15,G335),1)*IF(Upgrades!$T$16="Local Bubble",POWER(Upgrades!$U$16,H335),1)*IF(Upgrades!$T$17="Local Bubble",POWER(Upgrades!$U$17,I335),1)*IF(Upgrades!$T$18="Local Bubble",POWER(Upgrades!$U$18,J335),1)*IF(Upgrades!$T$19="Local Bubble",POWER(Upgrades!$U$19,K335),1)*IF(Upgrades!$T$20="Local Bubble",POWER(Upgrades!$U$20,L335),1)*IF(Upgrades!$T$21="Local Bubble",POWER(Upgrades!$U$21,M335),1))*$F$6/AL335,0)</f>
        <v/>
      </c>
      <c r="BA335" s="32">
        <f>IFERROR(Upgrades!$K$15*(POWER(Upgrades!$Q$13,E335)*POWER(Upgrades!$Q$14,F335)*POWER(Upgrades!$Q$15,G335)*POWER(Upgrades!$Q$16,H335)*POWER(Upgrades!$Q$17,I335)*POWER(Upgrades!$Q$18,J335)*POWER(Upgrades!$Q$19,K335)*POWER(Upgrades!$Q$20,L335)*POWER(Upgrades!$Q$21,M335))*(IF(Upgrades!$T$13="Microlensing",POWER(Upgrades!$U$13,E335),1)*IF(Upgrades!$T$14="Microlensing",POWER(Upgrades!$U$14,F335),1)*IF(Upgrades!$T$16="Microlensing",POWER(Upgrades!$U$16,H335),1)*IF(Upgrades!$T$17="Microlensing",POWER(Upgrades!$U$17,I335),1)*IF(Upgrades!$T$18="Microlensing",POWER(Upgrades!$U$18,J335),1)*IF(Upgrades!$T$19="Microlensing",POWER(Upgrades!$U$19,K335),1)*IF(Upgrades!$T$20="Microlensing",POWER(Upgrades!$U$20,L335),1)*IF(Upgrades!$T$21="Microlensing",POWER(Upgrades!$U$21,M335),1))*$G$6*(Parameters!$B$10/60*Parameters!$B$11+Q335)/AM335,0)</f>
        <v/>
      </c>
      <c r="BB335" s="32">
        <f>IFERROR((Upgrades!$N$16*(POWER(Upgrades!$R$13,E335)*POWER(Upgrades!$R$14,F335)*POWER(Upgrades!$R$15,G335)*POWER(Upgrades!$R$16,H335)*POWER(Upgrades!$R$17,I335)*POWER(Upgrades!$R$18,J335)*POWER(Upgrades!$R$19,K335)*POWER(Upgrades!$R$20,L335)*POWER(Upgrades!$R$21,M335))*(IF(Upgrades!$T$13="Roche Lobe Overflow",POWER(Upgrades!$U$13,E335),1)*IF(Upgrades!$T$14="Roche Lobe Overflow",POWER(Upgrades!$U$14,F335),1)*IF(Upgrades!$T$15="Roche Lobe Overflow",POWER(Upgrades!$U$15,G335),1)*IF(Upgrades!$T$17="Roche Lobe Overflow",POWER(Upgrades!$U$17,I335),1)*IF(Upgrades!$T$18="Roche Lobe Overflow",POWER(Upgrades!$U$18,J335),1)*IF(Upgrades!$T$19="Roche Lobe Overflow",POWER(Upgrades!$U$19,K335),1)*IF(Upgrades!$T$20="Roche Lobe Overflow",POWER(Upgrades!$U$20,L335),1)*IF(Upgrades!$T$21="Roche Lobe Overflow",POWER(Upgrades!$U$21,M335),1))*$H$6*O335+((IF(F335=0,0,(Upgrades!$G$14+F335*Upgrades!$H$14)*POWER(Upgrades!$I$14,F335)))*(IF(Upgrades!$T$13="Local Bubble",POWER(Upgrades!$U$13,E335),1)*IF(Upgrades!$T$15="Local Bubble",POWER(Upgrades!$U$15,G335),1)*IF(Upgrades!$T$16="Local Bubble",POWER(Upgrades!$U$16,H335),1)*IF(Upgrades!$T$17="Local Bubble",POWER(Upgrades!$U$17,I335),1)*IF(Upgrades!$T$18="Local Bubble",POWER(Upgrades!$U$18,J335),1)*IF(Upgrades!$T$19="Local Bubble",POWER(Upgrades!$U$19,K335),1)*IF(Upgrades!$T$20="Local Bubble",POWER(Upgrades!$U$20,L335),1)*IF(Upgrades!$T$21="Local Bubble",POWER(Upgrades!$U$21,M335),1))*POWER(Upgrades!$P$13,E335)*POWER(Upgrades!$P$14,F335)*POWER(Upgrades!$P$15,G335)*POWER(Upgrades!$P$16,H335)*POWER(Upgrades!$P$17,I335)*POWER(Upgrades!$P$18,J335)*POWER(Upgrades!$P$19,K335)*POWER(Upgrades!$P$20,L335)*POWER(Upgrades!$P$21,M335)*$F$6)*0.05)/AN335,0)</f>
        <v/>
      </c>
      <c r="BC335" s="32">
        <f>IFERROR((Upgrades!$H$17*(POWER(Upgrades!$P$13,E335)*POWER(Upgrades!$P$14,F335)*POWER(Upgrades!$P$15,G335)*POWER(Upgrades!$P$16,H335)*POWER(Upgrades!$P$17,I335)*POWER(Upgrades!$P$18,J335)*POWER(Upgrades!$P$19,K335)*POWER(Upgrades!$P$20,L335)*POWER(Upgrades!$P$21,M335))*(IF(Upgrades!$T$13="Brown Dwarf",POWER(Upgrades!$U$13,E335),1)*IF(Upgrades!$T$14="Brown Dwarf",POWER(Upgrades!$U$14,F335),1)*IF(Upgrades!$T$15="Brown Dwarf",POWER(Upgrades!$U$15,G335),1)*IF(Upgrades!$T$16="Brown Dwarf",POWER(Upgrades!$U$16,H335),1)*IF(Upgrades!$T$18="Brown Dwarf",POWER(Upgrades!$U$18,J335),1)*IF(Upgrades!$T$19="Brown Dwarf",POWER(Upgrades!$U$19,K335),1)*IF(Upgrades!$T$20="Brown Dwarf",POWER(Upgrades!$U$20,L335),1)*IF(Upgrades!$T$21="Brown Dwarf",POWER(Upgrades!$U$21,M335),1))*$F$6+(((IF(H335=0,0,(Upgrades!$M$16+H335*Upgrades!$N$16)*POWER(Upgrades!$O$16,H335)))*(IF(Upgrades!$T$13="Roche Lobe Overflow",POWER(Upgrades!$U$13,E335),1)*IF(Upgrades!$T$14="Roche Lobe Overflow",POWER(Upgrades!$U$14,F335),1)*IF(Upgrades!$T$15="Roche Lobe Overflow",POWER(Upgrades!$U$15,G335),1)*IF(Upgrades!$T$17="Roche Lobe Overflow",POWER(Upgrades!$U$17,I335),1)*IF(Upgrades!$T$18="Roche Lobe Overflow",POWER(Upgrades!$U$18,J335),1)*IF(Upgrades!$T$19="Roche Lobe Overflow",POWER(Upgrades!$U$19,K335),1)*IF(Upgrades!$T$20="Roche Lobe Overflow",POWER(Upgrades!$U$20,L335),1)*IF(Upgrades!$T$21="Roche Lobe Overflow",POWER(Upgrades!$U$21,M335),1))*POWER(Upgrades!$R$13,E335)*POWER(Upgrades!$R$14,F335)*POWER(Upgrades!$R$15,G335)*POWER(Upgrades!$R$16,H335)*POWER(Upgrades!$R$17,I335)*POWER(Upgrades!$R$18,J335)*POWER(Upgrades!$R$19,K335)*POWER(Upgrades!$R$20,L335)*POWER(Upgrades!$R$21,M335)*$H$6)*O335)*0.10)/AO335,0)</f>
        <v/>
      </c>
      <c r="BD335" s="32">
        <f>MAX(IF(J335&gt;0,0,IFERROR(0.5*((IF(G335=0,0,(Upgrades!$J$15+G335*Upgrades!$K$15)*POWER(Upgrades!$L$15,G335)))*(IF(Upgrades!$T$13="Microlensing",POWER(Upgrades!$U$13,E335),1)*IF(Upgrades!$T$14="Microlensing",POWER(Upgrades!$U$14,F335),1)*IF(Upgrades!$T$16="Microlensing",POWER(Upgrades!$U$16,H335),1)*IF(Upgrades!$T$17="Microlensing",POWER(Upgrades!$U$17,I335),1)*IF(Upgrades!$T$18="Microlensing",POWER(Upgrades!$U$18,J335),1)*IF(Upgrades!$T$19="Microlensing",POWER(Upgrades!$U$19,K335),1)*IF(Upgrades!$T$20="Microlensing",POWER(Upgrades!$U$20,L335),1)*IF(Upgrades!$T$21="Microlensing",POWER(Upgrades!$U$21,M335),1))*(POWER(Upgrades!$Q$13,E335)*POWER(Upgrades!$Q$14,F335)*POWER(Upgrades!$Q$15,G335)*POWER(Upgrades!$Q$16,H335)*POWER(Upgrades!$Q$17,I335)*POWER(Upgrades!$Q$18,J335)*POWER(Upgrades!$Q$19,K335)*POWER(Upgrades!$Q$20,L335)*POWER(Upgrades!$Q$21,M335))*$G$6*(Parameters!$B$10/60*Parameters!$B$11+Q335))/Upgrades!$C$18,0)),IF(K335&gt;0,0,IFERROR(0.30*P335/Upgrades!$C$19,0)),IF(L335&gt;0,0,IFERROR(0.0001/Upgrades!$C$20,0)),IF(M335&gt;0,0,IFERROR((6.0*(POWER(Upgrades!$P$13,E335)*POWER(Upgrades!$P$14,F335)*POWER(Upgrades!$P$15,G335)*POWER(Upgrades!$P$16,H335)*POWER(Upgrades!$P$17,I335)*POWER(Upgrades!$P$18,J335)*POWER(Upgrades!$P$19,K335)*POWER(Upgrades!$P$20,L335)*POWER(Upgrades!$P$21,M335))*$F$6+0.20*O335*(Parameters!$B$10/60*Parameters!$B$11+Q335))/Upgrades!$C$21,0)),IF(AND(ISNUMBER(AK335),AK335&gt;(C335+T335)),AY335,0),IF(AND(ISNUMBER(AL335),AL335&gt;(C335+T335)),AZ335,0),IF(AND(ISNUMBER(AM335),AM335&gt;(C335+T335)),BA335,0),IF(AND(ISNUMBER(AN335),AN335&gt;(C335+T335)),BB335,0),IF(AND(ISNUMBER(AO335),AO335&gt;(C335+T335)),BC335,0))</f>
        <v/>
      </c>
      <c r="BE335" s="29">
        <f>IF(AT335=1,"transition",IF(MIN(IF(AND(J335=0,ISNUMBER(AP335),AP335&lt;=(C335+T335)),AP335,9E15),IF(AND(K335=0,ISNUMBER(AQ335),AQ335&lt;=(C335+T335)),AQ335,9E15),IF(AND(L335=0,ISNUMBER(AR335),AR335&lt;=(C335+T335)),AR335,9E15),IF(AND(M335=0,ISNUMBER(AS335),AS335&lt;=(C335+T335)),AS335,9E15))&lt;9E15,IF(AND(AND(J335=0,ISNUMBER(AP335),AP335&lt;=(C335+T335)),AP335=MIN(IF(AND(J335=0,ISNUMBER(AP335),AP335&lt;=(C335+T335)),AP335,9E15),IF(AND(K335=0,ISNUMBER(AQ335),AQ335&lt;=(C335+T335)),AQ335,9E15),IF(AND(L335=0,ISNUMBER(AR335),AR335&lt;=(C335+T335)),AR335,9E15),IF(AND(M335=0,ISNUMBER(AS335),AS335&lt;=(C335+T335)),AS335,9E15))),"BiP",IF(AND(AND(K335=0,ISNUMBER(AQ335),AQ335&lt;=(C335+T335)),AQ335=MIN(IF(AND(J335=0,ISNUMBER(AP335),AP335&lt;=(C335+T335)),AP335,9E15),IF(AND(K335=0,ISNUMBER(AQ335),AQ335&lt;=(C335+T335)),AQ335,9E15),IF(AND(L335=0,ISNUMBER(AR335),AR335&lt;=(C335+T335)),AR335,9E15),IF(AND(M335=0,ISNUMBER(AS335),AS335&lt;=(C335+T335)),AS335,9E15))),"PV",IF(AND(AND(L335=0,ISNUMBER(AR335),AR335&lt;=(C335+T335)),AR335=MIN(IF(AND(J335=0,ISNUMBER(AP335),AP335&lt;=(C335+T335)),AP335,9E15),IF(AND(K335=0,ISNUMBER(AQ335),AQ335&lt;=(C335+T335)),AQ335,9E15),IF(AND(L335=0,ISNUMBER(AR335),AR335&lt;=(C335+T335)),AR335,9E15),IF(AND(M335=0,ISNUMBER(AS335),AS335&lt;=(C335+T335)),AS335,9E15))),"OC","MG"))),IF(AX335=TRUE,"",IF(MAX(IF(AND(NOT(AND(AU335=1,AT335&lt;&gt;1)),ISNUMBER(AK335),AK335&lt;=(C335+T335)),AY335,0),IF(AND(NOT(AND(AU335=1,AT335&lt;&gt;1)),ISNUMBER(AL335),AL335&lt;=(C335+T335)),AZ335,0),IF(AND(NOT(AND(AU335=1,AT335&lt;&gt;1)),ISNUMBER(AM335),AM335&lt;=(C335+T335)),BA335,0),IF(AND(NOT(AND(AU335=1,AT335&lt;&gt;1)),ISNUMBER(AN335),AN335&lt;=(C335+T335)),BB335,0),IF(AND(ISNUMBER(AO335),AO335&lt;=(C335+T335)),BC335,0))&lt;=0,"",IF(AND(IF(AND(NOT(AND(AU335=1,AT335&lt;&gt;1)),ISNUMBER(AK335),AK335&lt;=(C335+T335)),AY335,0)&gt;0,IF(AND(NOT(AND(AU335=1,AT335&lt;&gt;1)),ISNUMBER(AK335),AK335&lt;=(C335+T335)),AY335,0)=MAX(IF(AND(NOT(AND(AU335=1,AT335&lt;&gt;1)),ISNUMBER(AK335),AK335&lt;=(C335+T335)),AY335,0),IF(AND(NOT(AND(AU335=1,AT335&lt;&gt;1)),ISNUMBER(AL335),AL335&lt;=(C335+T335)),AZ335,0),IF(AND(NOT(AND(AU335=1,AT335&lt;&gt;1)),ISNUMBER(AM335),AM335&lt;=(C335+T335)),BA335,0),IF(AND(NOT(AND(AU335=1,AT335&lt;&gt;1)),ISNUMBER(AN335),AN335&lt;=(C335+T335)),BB335,0),IF(AND(ISNUMBER(AO335),AO335&lt;=(C335+T335)),BC335,0))),"SK",IF(AND(IF(AND(NOT(AND(AU335=1,AT335&lt;&gt;1)),ISNUMBER(AL335),AL335&lt;=(C335+T335)),AZ335,0)&gt;0,IF(AND(NOT(AND(AU335=1,AT335&lt;&gt;1)),ISNUMBER(AL335),AL335&lt;=(C335+T335)),AZ335,0)=MAX(IF(AND(NOT(AND(AU335=1,AT335&lt;&gt;1)),ISNUMBER(AK335),AK335&lt;=(C335+T335)),AY335,0),IF(AND(NOT(AND(AU335=1,AT335&lt;&gt;1)),ISNUMBER(AL335),AL335&lt;=(C335+T335)),AZ335,0),IF(AND(NOT(AND(AU335=1,AT335&lt;&gt;1)),ISNUMBER(AM335),AM335&lt;=(C335+T335)),BA335,0),IF(AND(NOT(AND(AU335=1,AT335&lt;&gt;1)),ISNUMBER(AN335),AN335&lt;=(C335+T335)),BB335,0),IF(AND(ISNUMBER(AO335),AO335&lt;=(C335+T335)),BC335,0))),"LB",IF(AND(IF(AND(NOT(AND(AU335=1,AT335&lt;&gt;1)),ISNUMBER(AM335),AM335&lt;=(C335+T335)),BA335,0)&gt;0,IF(AND(NOT(AND(AU335=1,AT335&lt;&gt;1)),ISNUMBER(AM335),AM335&lt;=(C335+T335)),BA335,0)=MAX(IF(AND(NOT(AND(AU335=1,AT335&lt;&gt;1)),ISNUMBER(AK335),AK335&lt;=(C335+T335)),AY335,0),IF(AND(NOT(AND(AU335=1,AT335&lt;&gt;1)),ISNUMBER(AL335),AL335&lt;=(C335+T335)),AZ335,0),IF(AND(NOT(AND(AU335=1,AT335&lt;&gt;1)),ISNUMBER(AM335),AM335&lt;=(C335+T335)),BA335,0),IF(AND(NOT(AND(AU335=1,AT335&lt;&gt;1)),ISNUMBER(AN335),AN335&lt;=(C335+T335)),BB335,0),IF(AND(ISNUMBER(AO335),AO335&lt;=(C335+T335)),BC335,0))),"ML",IF(AND(IF(AND(NOT(AND(AU335=1,AT335&lt;&gt;1)),ISNUMBER(AN335),AN335&lt;=(C335+T335)),BB335,0)&gt;0,IF(AND(NOT(AND(AU335=1,AT335&lt;&gt;1)),ISNUMBER(AN335),AN335&lt;=(C335+T335)),BB335,0)=MAX(IF(AND(NOT(AND(AU335=1,AT335&lt;&gt;1)),ISNUMBER(AK335),AK335&lt;=(C335+T335)),AY335,0),IF(AND(NOT(AND(AU335=1,AT335&lt;&gt;1)),ISNUMBER(AL335),AL335&lt;=(C335+T335)),AZ335,0),IF(AND(NOT(AND(AU335=1,AT335&lt;&gt;1)),ISNUMBER(AM335),AM335&lt;=(C335+T335)),BA335,0),IF(AND(NOT(AND(AU335=1,AT335&lt;&gt;1)),ISNUMBER(AN335),AN335&lt;=(C335+T335)),BB335,0),IF(AND(ISNUMBER(AO335),AO335&lt;=(C335+T335)),BC335,0))),"RLO","BD"))))))))</f>
        <v/>
      </c>
    </row>
    <row r="336">
      <c r="A336" s="26" t="n">
        <v>325</v>
      </c>
      <c r="B336" s="27">
        <f>A336*10/60</f>
        <v/>
      </c>
      <c r="C336" s="22">
        <f>X335</f>
        <v/>
      </c>
      <c r="D336" s="27">
        <f>D335+W335</f>
        <v/>
      </c>
      <c r="E336" s="26">
        <f>E335+IF(U335="SK",1,0)</f>
        <v/>
      </c>
      <c r="F336" s="26">
        <f>F335+IF(U335="LB",1,0)</f>
        <v/>
      </c>
      <c r="G336" s="26">
        <f>G335+IF(U335="ML",1,0)</f>
        <v/>
      </c>
      <c r="H336" s="26">
        <f>H335+IF(U335="RLO",1,0)</f>
        <v/>
      </c>
      <c r="I336" s="26">
        <f>I335+IF(U335="BD",1,0)</f>
        <v/>
      </c>
      <c r="J336" s="26">
        <f>MAX(J335,IF(U335="BiP",1,0))</f>
        <v/>
      </c>
      <c r="K336" s="26">
        <f>MAX(K335,IF(U335="PV",1,0))</f>
        <v/>
      </c>
      <c r="L336" s="26">
        <f>MAX(L335,IF(U335="OC",1,0))</f>
        <v/>
      </c>
      <c r="M336" s="26">
        <f>MAX(M335,IF(U335="MG",1,0))</f>
        <v/>
      </c>
      <c r="N336" s="26">
        <f>MAX(N335,IF(U335="transition",1,0))</f>
        <v/>
      </c>
      <c r="O336" s="28">
        <f>(Parameters!$B$9+(IF(E336=0,0,(Upgrades!$J$13+E336*Upgrades!$K$13)*POWER(Upgrades!$L$13,E336)))*(IF(Upgrades!$T$14="Stellar Kinematics",POWER(Upgrades!$U$14,F336),1)*IF(Upgrades!$T$15="Stellar Kinematics",POWER(Upgrades!$U$15,G336),1)*IF(Upgrades!$T$16="Stellar Kinematics",POWER(Upgrades!$U$16,H336),1)*IF(Upgrades!$T$17="Stellar Kinematics",POWER(Upgrades!$U$17,I336),1)*IF(Upgrades!$T$18="Stellar Kinematics",POWER(Upgrades!$U$18,J336),1)*IF(Upgrades!$T$19="Stellar Kinematics",POWER(Upgrades!$U$19,K336),1)*IF(Upgrades!$T$20="Stellar Kinematics",POWER(Upgrades!$U$20,L336),1)*IF(Upgrades!$T$21="Stellar Kinematics",POWER(Upgrades!$U$21,M336),1))+(IF(F336=0,0,(Upgrades!$J$14+F336*Upgrades!$K$14)*POWER(Upgrades!$L$14,F336)))*(IF(Upgrades!$T$13="Local Bubble",POWER(Upgrades!$U$13,E336),1)*IF(Upgrades!$T$15="Local Bubble",POWER(Upgrades!$U$15,G336),1)*IF(Upgrades!$T$16="Local Bubble",POWER(Upgrades!$U$16,H336),1)*IF(Upgrades!$T$17="Local Bubble",POWER(Upgrades!$U$17,I336),1)*IF(Upgrades!$T$18="Local Bubble",POWER(Upgrades!$U$18,J336),1)*IF(Upgrades!$T$19="Local Bubble",POWER(Upgrades!$U$19,K336),1)*IF(Upgrades!$T$20="Local Bubble",POWER(Upgrades!$U$20,L336),1)*IF(Upgrades!$T$21="Local Bubble",POWER(Upgrades!$U$21,M336),1))+(IF(G336=0,0,(Upgrades!$J$15+G336*Upgrades!$K$15)*POWER(Upgrades!$L$15,G336)))*(IF(Upgrades!$T$13="Microlensing",POWER(Upgrades!$U$13,E336),1)*IF(Upgrades!$T$14="Microlensing",POWER(Upgrades!$U$14,F336),1)*IF(Upgrades!$T$16="Microlensing",POWER(Upgrades!$U$16,H336),1)*IF(Upgrades!$T$17="Microlensing",POWER(Upgrades!$U$17,I336),1)*IF(Upgrades!$T$18="Microlensing",POWER(Upgrades!$U$18,J336),1)*IF(Upgrades!$T$19="Microlensing",POWER(Upgrades!$U$19,K336),1)*IF(Upgrades!$T$20="Microlensing",POWER(Upgrades!$U$20,L336),1)*IF(Upgrades!$T$21="Microlensing",POWER(Upgrades!$U$21,M336),1))+(IF(H336=0,0,(Upgrades!$J$16+H336*Upgrades!$K$16)*POWER(Upgrades!$L$16,H336)))*(IF(Upgrades!$T$13="Roche Lobe Overflow",POWER(Upgrades!$U$13,E336),1)*IF(Upgrades!$T$14="Roche Lobe Overflow",POWER(Upgrades!$U$14,F336),1)*IF(Upgrades!$T$15="Roche Lobe Overflow",POWER(Upgrades!$U$15,G336),1)*IF(Upgrades!$T$17="Roche Lobe Overflow",POWER(Upgrades!$U$17,I336),1)*IF(Upgrades!$T$18="Roche Lobe Overflow",POWER(Upgrades!$U$18,J336),1)*IF(Upgrades!$T$19="Roche Lobe Overflow",POWER(Upgrades!$U$19,K336),1)*IF(Upgrades!$T$20="Roche Lobe Overflow",POWER(Upgrades!$U$20,L336),1)*IF(Upgrades!$T$21="Roche Lobe Overflow",POWER(Upgrades!$U$21,M336),1))+(IF(I336=0,0,(Upgrades!$J$17+I336*Upgrades!$K$17)*POWER(Upgrades!$L$17,I336)))*(IF(Upgrades!$T$13="Brown Dwarf",POWER(Upgrades!$U$13,E336),1)*IF(Upgrades!$T$14="Brown Dwarf",POWER(Upgrades!$U$14,F336),1)*IF(Upgrades!$T$15="Brown Dwarf",POWER(Upgrades!$U$15,G336),1)*IF(Upgrades!$T$16="Brown Dwarf",POWER(Upgrades!$U$16,H336),1)*IF(Upgrades!$T$18="Brown Dwarf",POWER(Upgrades!$U$18,J336),1)*IF(Upgrades!$T$19="Brown Dwarf",POWER(Upgrades!$U$19,K336),1)*IF(Upgrades!$T$20="Brown Dwarf",POWER(Upgrades!$U$20,L336),1)*IF(Upgrades!$T$21="Brown Dwarf",POWER(Upgrades!$U$21,M336),1))+(IF(J336=0,0,(Upgrades!$J$18+J336*Upgrades!$K$18)*POWER(Upgrades!$L$18,J336)))*(IF(Upgrades!$T$13="Binary Partner",POWER(Upgrades!$U$13,E336),1)*IF(Upgrades!$T$14="Binary Partner",POWER(Upgrades!$U$14,F336),1)*IF(Upgrades!$T$15="Binary Partner",POWER(Upgrades!$U$15,G336),1)*IF(Upgrades!$T$16="Binary Partner",POWER(Upgrades!$U$16,H336),1)*IF(Upgrades!$T$17="Binary Partner",POWER(Upgrades!$U$17,I336),1)*IF(Upgrades!$T$19="Binary Partner",POWER(Upgrades!$U$19,K336),1)*IF(Upgrades!$T$20="Binary Partner",POWER(Upgrades!$U$20,L336),1)*IF(Upgrades!$T$21="Binary Partner",POWER(Upgrades!$U$21,M336),1))+(IF(K336=0,0,(Upgrades!$J$19+K336*Upgrades!$K$19)*POWER(Upgrades!$L$19,K336)))*(IF(Upgrades!$T$13="Peculiar Velocity",POWER(Upgrades!$U$13,E336),1)*IF(Upgrades!$T$14="Peculiar Velocity",POWER(Upgrades!$U$14,F336),1)*IF(Upgrades!$T$15="Peculiar Velocity",POWER(Upgrades!$U$15,G336),1)*IF(Upgrades!$T$16="Peculiar Velocity",POWER(Upgrades!$U$16,H336),1)*IF(Upgrades!$T$17="Peculiar Velocity",POWER(Upgrades!$U$17,I336),1)*IF(Upgrades!$T$18="Peculiar Velocity",POWER(Upgrades!$U$18,J336),1)*IF(Upgrades!$T$20="Peculiar Velocity",POWER(Upgrades!$U$20,L336),1)*IF(Upgrades!$T$21="Peculiar Velocity",POWER(Upgrades!$U$21,M336),1))+(IF(L336=0,0,(Upgrades!$J$20+L336*Upgrades!$K$20)*POWER(Upgrades!$L$20,L336)))*(IF(Upgrades!$T$13="Open Cluster",POWER(Upgrades!$U$13,E336),1)*IF(Upgrades!$T$14="Open Cluster",POWER(Upgrades!$U$14,F336),1)*IF(Upgrades!$T$15="Open Cluster",POWER(Upgrades!$U$15,G336),1)*IF(Upgrades!$T$16="Open Cluster",POWER(Upgrades!$U$16,H336),1)*IF(Upgrades!$T$17="Open Cluster",POWER(Upgrades!$U$17,I336),1)*IF(Upgrades!$T$18="Open Cluster",POWER(Upgrades!$U$18,J336),1)*IF(Upgrades!$T$19="Open Cluster",POWER(Upgrades!$U$19,K336),1)*IF(Upgrades!$T$21="Open Cluster",POWER(Upgrades!$U$21,M336),1))+(IF(M336=0,0,(Upgrades!$J$21+M336*Upgrades!$K$21)*POWER(Upgrades!$L$21,M336)))*(IF(Upgrades!$T$13="Moving Group",POWER(Upgrades!$U$13,E336),1)*IF(Upgrades!$T$14="Moving Group",POWER(Upgrades!$U$14,F336),1)*IF(Upgrades!$T$15="Moving Group",POWER(Upgrades!$U$15,G336),1)*IF(Upgrades!$T$16="Moving Group",POWER(Upgrades!$U$16,H336),1)*IF(Upgrades!$T$17="Moving Group",POWER(Upgrades!$U$17,I336),1)*IF(Upgrades!$T$18="Moving Group",POWER(Upgrades!$U$18,J336),1)*IF(Upgrades!$T$19="Moving Group",POWER(Upgrades!$U$19,K336),1)*IF(Upgrades!$T$20="Moving Group",POWER(Upgrades!$U$20,L336),1)))*POWER(Upgrades!$Q$13,E336)*POWER(Upgrades!$Q$14,F336)*POWER(Upgrades!$Q$15,G336)*POWER(Upgrades!$Q$16,H336)*POWER(Upgrades!$Q$17,I336)*POWER(Upgrades!$Q$18,J336)*POWER(Upgrades!$Q$19,K336)*POWER(Upgrades!$Q$20,L336)*POWER(Upgrades!$Q$21,M336)*$G$6+$D$6</f>
        <v/>
      </c>
      <c r="P336" s="28">
        <f>((IF(E336=0,0,(Upgrades!$G$13+E336*Upgrades!$H$13)*POWER(Upgrades!$I$13,E336)))*(IF(Upgrades!$T$14="Stellar Kinematics",POWER(Upgrades!$U$14,F336),1)*IF(Upgrades!$T$15="Stellar Kinematics",POWER(Upgrades!$U$15,G336),1)*IF(Upgrades!$T$16="Stellar Kinematics",POWER(Upgrades!$U$16,H336),1)*IF(Upgrades!$T$17="Stellar Kinematics",POWER(Upgrades!$U$17,I336),1)*IF(Upgrades!$T$18="Stellar Kinematics",POWER(Upgrades!$U$18,J336),1)*IF(Upgrades!$T$19="Stellar Kinematics",POWER(Upgrades!$U$19,K336),1)*IF(Upgrades!$T$20="Stellar Kinematics",POWER(Upgrades!$U$20,L336),1)*IF(Upgrades!$T$21="Stellar Kinematics",POWER(Upgrades!$U$21,M336),1))+(IF(F336=0,0,(Upgrades!$G$14+F336*Upgrades!$H$14)*POWER(Upgrades!$I$14,F336)))*(IF(Upgrades!$T$13="Local Bubble",POWER(Upgrades!$U$13,E336),1)*IF(Upgrades!$T$15="Local Bubble",POWER(Upgrades!$U$15,G336),1)*IF(Upgrades!$T$16="Local Bubble",POWER(Upgrades!$U$16,H336),1)*IF(Upgrades!$T$17="Local Bubble",POWER(Upgrades!$U$17,I336),1)*IF(Upgrades!$T$18="Local Bubble",POWER(Upgrades!$U$18,J336),1)*IF(Upgrades!$T$19="Local Bubble",POWER(Upgrades!$U$19,K336),1)*IF(Upgrades!$T$20="Local Bubble",POWER(Upgrades!$U$20,L336),1)*IF(Upgrades!$T$21="Local Bubble",POWER(Upgrades!$U$21,M336),1))+(IF(G336=0,0,(Upgrades!$G$15+G336*Upgrades!$H$15)*POWER(Upgrades!$I$15,G336)))*(IF(Upgrades!$T$13="Microlensing",POWER(Upgrades!$U$13,E336),1)*IF(Upgrades!$T$14="Microlensing",POWER(Upgrades!$U$14,F336),1)*IF(Upgrades!$T$16="Microlensing",POWER(Upgrades!$U$16,H336),1)*IF(Upgrades!$T$17="Microlensing",POWER(Upgrades!$U$17,I336),1)*IF(Upgrades!$T$18="Microlensing",POWER(Upgrades!$U$18,J336),1)*IF(Upgrades!$T$19="Microlensing",POWER(Upgrades!$U$19,K336),1)*IF(Upgrades!$T$20="Microlensing",POWER(Upgrades!$U$20,L336),1)*IF(Upgrades!$T$21="Microlensing",POWER(Upgrades!$U$21,M336),1))+(IF(H336=0,0,(Upgrades!$G$16+H336*Upgrades!$H$16)*POWER(Upgrades!$I$16,H336)))*(IF(Upgrades!$T$13="Roche Lobe Overflow",POWER(Upgrades!$U$13,E336),1)*IF(Upgrades!$T$14="Roche Lobe Overflow",POWER(Upgrades!$U$14,F336),1)*IF(Upgrades!$T$15="Roche Lobe Overflow",POWER(Upgrades!$U$15,G336),1)*IF(Upgrades!$T$17="Roche Lobe Overflow",POWER(Upgrades!$U$17,I336),1)*IF(Upgrades!$T$18="Roche Lobe Overflow",POWER(Upgrades!$U$18,J336),1)*IF(Upgrades!$T$19="Roche Lobe Overflow",POWER(Upgrades!$U$19,K336),1)*IF(Upgrades!$T$20="Roche Lobe Overflow",POWER(Upgrades!$U$20,L336),1)*IF(Upgrades!$T$21="Roche Lobe Overflow",POWER(Upgrades!$U$21,M336),1))+(IF(I336=0,0,(Upgrades!$G$17+I336*Upgrades!$H$17)*POWER(Upgrades!$I$17,I336)))*(IF(Upgrades!$T$13="Brown Dwarf",POWER(Upgrades!$U$13,E336),1)*IF(Upgrades!$T$14="Brown Dwarf",POWER(Upgrades!$U$14,F336),1)*IF(Upgrades!$T$15="Brown Dwarf",POWER(Upgrades!$U$15,G336),1)*IF(Upgrades!$T$16="Brown Dwarf",POWER(Upgrades!$U$16,H336),1)*IF(Upgrades!$T$18="Brown Dwarf",POWER(Upgrades!$U$18,J336),1)*IF(Upgrades!$T$19="Brown Dwarf",POWER(Upgrades!$U$19,K336),1)*IF(Upgrades!$T$20="Brown Dwarf",POWER(Upgrades!$U$20,L336),1)*IF(Upgrades!$T$21="Brown Dwarf",POWER(Upgrades!$U$21,M336),1))+(IF(J336=0,0,(Upgrades!$G$18+J336*Upgrades!$H$18)*POWER(Upgrades!$I$18,J336)))*(IF(Upgrades!$T$13="Binary Partner",POWER(Upgrades!$U$13,E336),1)*IF(Upgrades!$T$14="Binary Partner",POWER(Upgrades!$U$14,F336),1)*IF(Upgrades!$T$15="Binary Partner",POWER(Upgrades!$U$15,G336),1)*IF(Upgrades!$T$16="Binary Partner",POWER(Upgrades!$U$16,H336),1)*IF(Upgrades!$T$17="Binary Partner",POWER(Upgrades!$U$17,I336),1)*IF(Upgrades!$T$19="Binary Partner",POWER(Upgrades!$U$19,K336),1)*IF(Upgrades!$T$20="Binary Partner",POWER(Upgrades!$U$20,L336),1)*IF(Upgrades!$T$21="Binary Partner",POWER(Upgrades!$U$21,M336),1))+(IF(K336=0,0,(Upgrades!$G$19+K336*Upgrades!$H$19)*POWER(Upgrades!$I$19,K336)))*(IF(Upgrades!$T$13="Peculiar Velocity",POWER(Upgrades!$U$13,E336),1)*IF(Upgrades!$T$14="Peculiar Velocity",POWER(Upgrades!$U$14,F336),1)*IF(Upgrades!$T$15="Peculiar Velocity",POWER(Upgrades!$U$15,G336),1)*IF(Upgrades!$T$16="Peculiar Velocity",POWER(Upgrades!$U$16,H336),1)*IF(Upgrades!$T$17="Peculiar Velocity",POWER(Upgrades!$U$17,I336),1)*IF(Upgrades!$T$18="Peculiar Velocity",POWER(Upgrades!$U$18,J336),1)*IF(Upgrades!$T$20="Peculiar Velocity",POWER(Upgrades!$U$20,L336),1)*IF(Upgrades!$T$21="Peculiar Velocity",POWER(Upgrades!$U$21,M336),1))+(IF(L336=0,0,(Upgrades!$G$20+L336*Upgrades!$H$20)*POWER(Upgrades!$I$20,L336)))*(IF(Upgrades!$T$13="Open Cluster",POWER(Upgrades!$U$13,E336),1)*IF(Upgrades!$T$14="Open Cluster",POWER(Upgrades!$U$14,F336),1)*IF(Upgrades!$T$15="Open Cluster",POWER(Upgrades!$U$15,G336),1)*IF(Upgrades!$T$16="Open Cluster",POWER(Upgrades!$U$16,H336),1)*IF(Upgrades!$T$17="Open Cluster",POWER(Upgrades!$U$17,I336),1)*IF(Upgrades!$T$18="Open Cluster",POWER(Upgrades!$U$18,J336),1)*IF(Upgrades!$T$19="Open Cluster",POWER(Upgrades!$U$19,K336),1)*IF(Upgrades!$T$21="Open Cluster",POWER(Upgrades!$U$21,M336),1))+(IF(M336=0,0,(Upgrades!$G$21+M336*Upgrades!$H$21)*POWER(Upgrades!$I$21,M336)))*(IF(Upgrades!$T$13="Moving Group",POWER(Upgrades!$U$13,E336),1)*IF(Upgrades!$T$14="Moving Group",POWER(Upgrades!$U$14,F336),1)*IF(Upgrades!$T$15="Moving Group",POWER(Upgrades!$U$15,G336),1)*IF(Upgrades!$T$16="Moving Group",POWER(Upgrades!$U$16,H336),1)*IF(Upgrades!$T$17="Moving Group",POWER(Upgrades!$U$17,I336),1)*IF(Upgrades!$T$18="Moving Group",POWER(Upgrades!$U$18,J336),1)*IF(Upgrades!$T$19="Moving Group",POWER(Upgrades!$U$19,K336),1)*IF(Upgrades!$T$20="Moving Group",POWER(Upgrades!$U$20,L336),1)))*POWER(Upgrades!$P$13,E336)*POWER(Upgrades!$P$14,F336)*POWER(Upgrades!$P$15,G336)*POWER(Upgrades!$P$16,H336)*POWER(Upgrades!$P$17,I336)*POWER(Upgrades!$P$18,J336)*POWER(Upgrades!$P$19,K336)*POWER(Upgrades!$P$20,L336)*POWER(Upgrades!$P$21,M336)*$F$6+$C$6</f>
        <v/>
      </c>
      <c r="Q336" s="28">
        <f>((IF(E336=0,0,(Upgrades!$M$13+E336*Upgrades!$N$13)*POWER(Upgrades!$O$13,E336)))*(IF(Upgrades!$T$14="Stellar Kinematics",POWER(Upgrades!$U$14,F336),1)*IF(Upgrades!$T$15="Stellar Kinematics",POWER(Upgrades!$U$15,G336),1)*IF(Upgrades!$T$16="Stellar Kinematics",POWER(Upgrades!$U$16,H336),1)*IF(Upgrades!$T$17="Stellar Kinematics",POWER(Upgrades!$U$17,I336),1)*IF(Upgrades!$T$18="Stellar Kinematics",POWER(Upgrades!$U$18,J336),1)*IF(Upgrades!$T$19="Stellar Kinematics",POWER(Upgrades!$U$19,K336),1)*IF(Upgrades!$T$20="Stellar Kinematics",POWER(Upgrades!$U$20,L336),1)*IF(Upgrades!$T$21="Stellar Kinematics",POWER(Upgrades!$U$21,M336),1))+(IF(F336=0,0,(Upgrades!$M$14+F336*Upgrades!$N$14)*POWER(Upgrades!$O$14,F336)))*(IF(Upgrades!$T$13="Local Bubble",POWER(Upgrades!$U$13,E336),1)*IF(Upgrades!$T$15="Local Bubble",POWER(Upgrades!$U$15,G336),1)*IF(Upgrades!$T$16="Local Bubble",POWER(Upgrades!$U$16,H336),1)*IF(Upgrades!$T$17="Local Bubble",POWER(Upgrades!$U$17,I336),1)*IF(Upgrades!$T$18="Local Bubble",POWER(Upgrades!$U$18,J336),1)*IF(Upgrades!$T$19="Local Bubble",POWER(Upgrades!$U$19,K336),1)*IF(Upgrades!$T$20="Local Bubble",POWER(Upgrades!$U$20,L336),1)*IF(Upgrades!$T$21="Local Bubble",POWER(Upgrades!$U$21,M336),1))+(IF(G336=0,0,(Upgrades!$M$15+G336*Upgrades!$N$15)*POWER(Upgrades!$O$15,G336)))*(IF(Upgrades!$T$13="Microlensing",POWER(Upgrades!$U$13,E336),1)*IF(Upgrades!$T$14="Microlensing",POWER(Upgrades!$U$14,F336),1)*IF(Upgrades!$T$16="Microlensing",POWER(Upgrades!$U$16,H336),1)*IF(Upgrades!$T$17="Microlensing",POWER(Upgrades!$U$17,I336),1)*IF(Upgrades!$T$18="Microlensing",POWER(Upgrades!$U$18,J336),1)*IF(Upgrades!$T$19="Microlensing",POWER(Upgrades!$U$19,K336),1)*IF(Upgrades!$T$20="Microlensing",POWER(Upgrades!$U$20,L336),1)*IF(Upgrades!$T$21="Microlensing",POWER(Upgrades!$U$21,M336),1))+(IF(H336=0,0,(Upgrades!$M$16+H336*Upgrades!$N$16)*POWER(Upgrades!$O$16,H336)))*(IF(Upgrades!$T$13="Roche Lobe Overflow",POWER(Upgrades!$U$13,E336),1)*IF(Upgrades!$T$14="Roche Lobe Overflow",POWER(Upgrades!$U$14,F336),1)*IF(Upgrades!$T$15="Roche Lobe Overflow",POWER(Upgrades!$U$15,G336),1)*IF(Upgrades!$T$17="Roche Lobe Overflow",POWER(Upgrades!$U$17,I336),1)*IF(Upgrades!$T$18="Roche Lobe Overflow",POWER(Upgrades!$U$18,J336),1)*IF(Upgrades!$T$19="Roche Lobe Overflow",POWER(Upgrades!$U$19,K336),1)*IF(Upgrades!$T$20="Roche Lobe Overflow",POWER(Upgrades!$U$20,L336),1)*IF(Upgrades!$T$21="Roche Lobe Overflow",POWER(Upgrades!$U$21,M336),1))+(IF(I336=0,0,(Upgrades!$M$17+I336*Upgrades!$N$17)*POWER(Upgrades!$O$17,I336)))*(IF(Upgrades!$T$13="Brown Dwarf",POWER(Upgrades!$U$13,E336),1)*IF(Upgrades!$T$14="Brown Dwarf",POWER(Upgrades!$U$14,F336),1)*IF(Upgrades!$T$15="Brown Dwarf",POWER(Upgrades!$U$15,G336),1)*IF(Upgrades!$T$16="Brown Dwarf",POWER(Upgrades!$U$16,H336),1)*IF(Upgrades!$T$18="Brown Dwarf",POWER(Upgrades!$U$18,J336),1)*IF(Upgrades!$T$19="Brown Dwarf",POWER(Upgrades!$U$19,K336),1)*IF(Upgrades!$T$20="Brown Dwarf",POWER(Upgrades!$U$20,L336),1)*IF(Upgrades!$T$21="Brown Dwarf",POWER(Upgrades!$U$21,M336),1))+(IF(J336=0,0,(Upgrades!$M$18+J336*Upgrades!$N$18)*POWER(Upgrades!$O$18,J336)))*(IF(Upgrades!$T$13="Binary Partner",POWER(Upgrades!$U$13,E336),1)*IF(Upgrades!$T$14="Binary Partner",POWER(Upgrades!$U$14,F336),1)*IF(Upgrades!$T$15="Binary Partner",POWER(Upgrades!$U$15,G336),1)*IF(Upgrades!$T$16="Binary Partner",POWER(Upgrades!$U$16,H336),1)*IF(Upgrades!$T$17="Binary Partner",POWER(Upgrades!$U$17,I336),1)*IF(Upgrades!$T$19="Binary Partner",POWER(Upgrades!$U$19,K336),1)*IF(Upgrades!$T$20="Binary Partner",POWER(Upgrades!$U$20,L336),1)*IF(Upgrades!$T$21="Binary Partner",POWER(Upgrades!$U$21,M336),1))+(IF(K336=0,0,(Upgrades!$M$19+K336*Upgrades!$N$19)*POWER(Upgrades!$O$19,K336)))*(IF(Upgrades!$T$13="Peculiar Velocity",POWER(Upgrades!$U$13,E336),1)*IF(Upgrades!$T$14="Peculiar Velocity",POWER(Upgrades!$U$14,F336),1)*IF(Upgrades!$T$15="Peculiar Velocity",POWER(Upgrades!$U$15,G336),1)*IF(Upgrades!$T$16="Peculiar Velocity",POWER(Upgrades!$U$16,H336),1)*IF(Upgrades!$T$17="Peculiar Velocity",POWER(Upgrades!$U$17,I336),1)*IF(Upgrades!$T$18="Peculiar Velocity",POWER(Upgrades!$U$18,J336),1)*IF(Upgrades!$T$20="Peculiar Velocity",POWER(Upgrades!$U$20,L336),1)*IF(Upgrades!$T$21="Peculiar Velocity",POWER(Upgrades!$U$21,M336),1))+(IF(L336=0,0,(Upgrades!$M$20+L336*Upgrades!$N$20)*POWER(Upgrades!$O$20,L336)))*(IF(Upgrades!$T$13="Open Cluster",POWER(Upgrades!$U$13,E336),1)*IF(Upgrades!$T$14="Open Cluster",POWER(Upgrades!$U$14,F336),1)*IF(Upgrades!$T$15="Open Cluster",POWER(Upgrades!$U$15,G336),1)*IF(Upgrades!$T$16="Open Cluster",POWER(Upgrades!$U$16,H336),1)*IF(Upgrades!$T$17="Open Cluster",POWER(Upgrades!$U$17,I336),1)*IF(Upgrades!$T$18="Open Cluster",POWER(Upgrades!$U$18,J336),1)*IF(Upgrades!$T$19="Open Cluster",POWER(Upgrades!$U$19,K336),1)*IF(Upgrades!$T$21="Open Cluster",POWER(Upgrades!$U$21,M336),1))+(IF(M336=0,0,(Upgrades!$M$21+M336*Upgrades!$N$21)*POWER(Upgrades!$O$21,M336)))*(IF(Upgrades!$T$13="Moving Group",POWER(Upgrades!$U$13,E336),1)*IF(Upgrades!$T$14="Moving Group",POWER(Upgrades!$U$14,F336),1)*IF(Upgrades!$T$15="Moving Group",POWER(Upgrades!$U$15,G336),1)*IF(Upgrades!$T$16="Moving Group",POWER(Upgrades!$U$16,H336),1)*IF(Upgrades!$T$17="Moving Group",POWER(Upgrades!$U$17,I336),1)*IF(Upgrades!$T$18="Moving Group",POWER(Upgrades!$U$18,J336),1)*IF(Upgrades!$T$19="Moving Group",POWER(Upgrades!$U$19,K336),1)*IF(Upgrades!$T$20="Moving Group",POWER(Upgrades!$U$20,L336),1)))*POWER(Upgrades!$R$13,E336)*POWER(Upgrades!$R$14,F336)*POWER(Upgrades!$R$15,G336)*POWER(Upgrades!$R$16,H336)*POWER(Upgrades!$R$17,I336)*POWER(Upgrades!$R$18,J336)*POWER(Upgrades!$R$19,K336)*POWER(Upgrades!$R$20,L336)*POWER(Upgrades!$R$21,M336)*$H$6+$E$6</f>
        <v/>
      </c>
      <c r="R336" s="27">
        <f>IF(N336=1,0,O336*Parameters!$B$10/60*Parameters!$B$11*10)</f>
        <v/>
      </c>
      <c r="S336" s="27">
        <f>IF(N336=1,0,Q336*O336*10)</f>
        <v/>
      </c>
      <c r="T336" s="27">
        <f>IF(N336=1,0,R336+S336+P336*10)</f>
        <v/>
      </c>
      <c r="U336" s="33">
        <f>BE336</f>
        <v/>
      </c>
      <c r="V336" s="22">
        <f>IF(U336="",0,IF(U336="transition",0,IF(U336="SK",AK336,IF(U336="LB",AL336,IF(U336="ML",AM336,IF(U336="RLO",AN336,IF(U336="BD",AO336,IF(U336="BiP",AP336,IF(U336="PV",AQ336,IF(U336="OC",AR336,IF(U336="MG",AS336,0))))))))))</f>
        <v/>
      </c>
      <c r="W336" s="27">
        <f>IF(U336="BiP",Upgrades!$F$18,IF(U336="PV",Upgrades!$F$19,IF(U336="OC",Upgrades!$F$20,IF(U336="MG",Upgrades!$F$21,IF(U336="transition",-Parameters!$B$18*Parameters!$B$19,0)))))</f>
        <v/>
      </c>
      <c r="X336" s="22">
        <f>C336+T336-V336</f>
        <v/>
      </c>
      <c r="Y336" s="30">
        <f>O336*Parameters!$B$10/60*Parameters!$B$11+Q336*O336+P336</f>
        <v/>
      </c>
      <c r="Z336" s="34">
        <f>IF(U336="transition","→ Tier 3 (Galactic Arm)",IF(U336="MG","Moving Group — pocket drifts together",IF(U336="OC","Open Cluster acquired",IF(U336="PV","Peculiar Velocity — passive multiplier active",IF(U336="BiP","Binary Partner — pair bond formed",IF(AND(AU336=1,N336=0,AT336&lt;&gt;1),"Cohesion ready (waiting on completionists)","")))))) </f>
        <v/>
      </c>
      <c r="AA336" s="27">
        <f>(IF(E336=0,0,(Upgrades!$G$13+E336*Upgrades!$H$13)*POWER(Upgrades!$I$13,E336)))*(IF(Upgrades!$T$14="Stellar Kinematics",POWER(Upgrades!$U$14,F336),1)*IF(Upgrades!$T$15="Stellar Kinematics",POWER(Upgrades!$U$15,G336),1)*IF(Upgrades!$T$16="Stellar Kinematics",POWER(Upgrades!$U$16,H336),1)*IF(Upgrades!$T$17="Stellar Kinematics",POWER(Upgrades!$U$17,I336),1)*IF(Upgrades!$T$18="Stellar Kinematics",POWER(Upgrades!$U$18,J336),1)*IF(Upgrades!$T$19="Stellar Kinematics",POWER(Upgrades!$U$19,K336),1)*IF(Upgrades!$T$20="Stellar Kinematics",POWER(Upgrades!$U$20,L336),1)*IF(Upgrades!$T$21="Stellar Kinematics",POWER(Upgrades!$U$21,M336),1))*POWER(Upgrades!$P$13,E336)*POWER(Upgrades!$P$14,F336)*POWER(Upgrades!$P$15,G336)*POWER(Upgrades!$P$16,H336)*POWER(Upgrades!$P$17,I336)*POWER(Upgrades!$P$18,J336)*POWER(Upgrades!$P$19,K336)*POWER(Upgrades!$P$20,L336)*POWER(Upgrades!$P$21,M336)*$F$6*60</f>
        <v/>
      </c>
      <c r="AB336" s="27">
        <f>(IF(F336=0,0,(Upgrades!$G$14+F336*Upgrades!$H$14)*POWER(Upgrades!$I$14,F336)))*(IF(Upgrades!$T$13="Local Bubble",POWER(Upgrades!$U$13,E336),1)*IF(Upgrades!$T$15="Local Bubble",POWER(Upgrades!$U$15,G336),1)*IF(Upgrades!$T$16="Local Bubble",POWER(Upgrades!$U$16,H336),1)*IF(Upgrades!$T$17="Local Bubble",POWER(Upgrades!$U$17,I336),1)*IF(Upgrades!$T$18="Local Bubble",POWER(Upgrades!$U$18,J336),1)*IF(Upgrades!$T$19="Local Bubble",POWER(Upgrades!$U$19,K336),1)*IF(Upgrades!$T$20="Local Bubble",POWER(Upgrades!$U$20,L336),1)*IF(Upgrades!$T$21="Local Bubble",POWER(Upgrades!$U$21,M336),1))*POWER(Upgrades!$P$13,E336)*POWER(Upgrades!$P$14,F336)*POWER(Upgrades!$P$15,G336)*POWER(Upgrades!$P$16,H336)*POWER(Upgrades!$P$17,I336)*POWER(Upgrades!$P$18,J336)*POWER(Upgrades!$P$19,K336)*POWER(Upgrades!$P$20,L336)*POWER(Upgrades!$P$21,M336)*$F$6*60</f>
        <v/>
      </c>
      <c r="AC336" s="27">
        <f>(IF(G336=0,0,(Upgrades!$J$15+G336*Upgrades!$K$15)*POWER(Upgrades!$L$15,G336)))*(IF(Upgrades!$T$13="Microlensing",POWER(Upgrades!$U$13,E336),1)*IF(Upgrades!$T$14="Microlensing",POWER(Upgrades!$U$14,F336),1)*IF(Upgrades!$T$16="Microlensing",POWER(Upgrades!$U$16,H336),1)*IF(Upgrades!$T$17="Microlensing",POWER(Upgrades!$U$17,I336),1)*IF(Upgrades!$T$18="Microlensing",POWER(Upgrades!$U$18,J336),1)*IF(Upgrades!$T$19="Microlensing",POWER(Upgrades!$U$19,K336),1)*IF(Upgrades!$T$20="Microlensing",POWER(Upgrades!$U$20,L336),1)*IF(Upgrades!$T$21="Microlensing",POWER(Upgrades!$U$21,M336),1))*POWER(Upgrades!$Q$13,E336)*POWER(Upgrades!$Q$14,F336)*POWER(Upgrades!$Q$15,G336)*POWER(Upgrades!$Q$16,H336)*POWER(Upgrades!$Q$17,I336)*POWER(Upgrades!$Q$18,J336)*POWER(Upgrades!$Q$19,K336)*POWER(Upgrades!$Q$20,L336)*POWER(Upgrades!$Q$21,M336)*$G$6*(Parameters!$B$10*Parameters!$B$11+Q336*60)</f>
        <v/>
      </c>
      <c r="AD336" s="27">
        <f>(IF(H336=0,0,(Upgrades!$M$16+H336*Upgrades!$N$16)*POWER(Upgrades!$O$16,H336)))*(IF(Upgrades!$T$13="Roche Lobe Overflow",POWER(Upgrades!$U$13,E336),1)*IF(Upgrades!$T$14="Roche Lobe Overflow",POWER(Upgrades!$U$14,F336),1)*IF(Upgrades!$T$15="Roche Lobe Overflow",POWER(Upgrades!$U$15,G336),1)*IF(Upgrades!$T$17="Roche Lobe Overflow",POWER(Upgrades!$U$17,I336),1)*IF(Upgrades!$T$18="Roche Lobe Overflow",POWER(Upgrades!$U$18,J336),1)*IF(Upgrades!$T$19="Roche Lobe Overflow",POWER(Upgrades!$U$19,K336),1)*IF(Upgrades!$T$20="Roche Lobe Overflow",POWER(Upgrades!$U$20,L336),1)*IF(Upgrades!$T$21="Roche Lobe Overflow",POWER(Upgrades!$U$21,M336),1))*POWER(Upgrades!$R$13,E336)*POWER(Upgrades!$R$14,F336)*POWER(Upgrades!$R$15,G336)*POWER(Upgrades!$R$16,H336)*POWER(Upgrades!$R$17,I336)*POWER(Upgrades!$R$18,J336)*POWER(Upgrades!$R$19,K336)*POWER(Upgrades!$R$20,L336)*POWER(Upgrades!$R$21,M336)*$H$6*O336*60</f>
        <v/>
      </c>
      <c r="AE336" s="27">
        <f>(IF(I336=0,0,(Upgrades!$G$17+I336*Upgrades!$H$17)*POWER(Upgrades!$I$17,I336)))*(IF(Upgrades!$T$13="Brown Dwarf",POWER(Upgrades!$U$13,E336),1)*IF(Upgrades!$T$14="Brown Dwarf",POWER(Upgrades!$U$14,F336),1)*IF(Upgrades!$T$15="Brown Dwarf",POWER(Upgrades!$U$15,G336),1)*IF(Upgrades!$T$16="Brown Dwarf",POWER(Upgrades!$U$16,H336),1)*IF(Upgrades!$T$18="Brown Dwarf",POWER(Upgrades!$U$18,J336),1)*IF(Upgrades!$T$19="Brown Dwarf",POWER(Upgrades!$U$19,K336),1)*IF(Upgrades!$T$20="Brown Dwarf",POWER(Upgrades!$U$20,L336),1)*IF(Upgrades!$T$21="Brown Dwarf",POWER(Upgrades!$U$21,M336),1))*POWER(Upgrades!$P$13,E336)*POWER(Upgrades!$P$14,F336)*POWER(Upgrades!$P$15,G336)*POWER(Upgrades!$P$16,H336)*POWER(Upgrades!$P$17,I336)*POWER(Upgrades!$P$18,J336)*POWER(Upgrades!$P$19,K336)*POWER(Upgrades!$P$20,L336)*POWER(Upgrades!$P$21,M336)*$F$6*60</f>
        <v/>
      </c>
      <c r="AF336" s="27" t="n">
        <v>0</v>
      </c>
      <c r="AG336" s="27" t="n">
        <v>0</v>
      </c>
      <c r="AH336" s="27" t="n">
        <v>0</v>
      </c>
      <c r="AI336" s="27">
        <f>(IF(M336=0,0,(Upgrades!$G$21+M336*Upgrades!$H$21)*POWER(Upgrades!$I$21,M336)))*(IF(Upgrades!$T$13="Moving Group",POWER(Upgrades!$U$13,E336),1)*IF(Upgrades!$T$14="Moving Group",POWER(Upgrades!$U$14,F336),1)*IF(Upgrades!$T$15="Moving Group",POWER(Upgrades!$U$15,G336),1)*IF(Upgrades!$T$16="Moving Group",POWER(Upgrades!$U$16,H336),1)*IF(Upgrades!$T$17="Moving Group",POWER(Upgrades!$U$17,I336),1)*IF(Upgrades!$T$18="Moving Group",POWER(Upgrades!$U$18,J336),1)*IF(Upgrades!$T$19="Moving Group",POWER(Upgrades!$U$19,K336),1)*IF(Upgrades!$T$20="Moving Group",POWER(Upgrades!$U$20,L336),1))*POWER(Upgrades!$P$13,E336)*POWER(Upgrades!$P$14,F336)*POWER(Upgrades!$P$15,G336)*POWER(Upgrades!$P$16,H336)*POWER(Upgrades!$P$17,I336)*POWER(Upgrades!$P$18,J336)*POWER(Upgrades!$P$19,K336)*POWER(Upgrades!$P$20,L336)*POWER(Upgrades!$P$21,M336)*$F$6*60</f>
        <v/>
      </c>
      <c r="AJ336" s="27">
        <f>$C$6*60</f>
        <v/>
      </c>
      <c r="AK336" s="22">
        <f>IF(E336&gt;=Upgrades!$E$13,"",Upgrades!$C$13*POWER(Upgrades!$D$13,E336))</f>
        <v/>
      </c>
      <c r="AL336" s="22">
        <f>IF(F336&gt;=Upgrades!$E$14,"",Upgrades!$C$14*POWER(Upgrades!$D$14,F336))</f>
        <v/>
      </c>
      <c r="AM336" s="22">
        <f>IF(G336&gt;=Upgrades!$E$15,"",Upgrades!$C$15*POWER(Upgrades!$D$15,G336))</f>
        <v/>
      </c>
      <c r="AN336" s="22">
        <f>IF(H336&gt;=Upgrades!$E$16,"",Upgrades!$C$16*POWER(Upgrades!$D$16,H336))</f>
        <v/>
      </c>
      <c r="AO336" s="22">
        <f>IF(I336&gt;=Upgrades!$E$17,"",Upgrades!$C$17*POWER(Upgrades!$D$17,I336))</f>
        <v/>
      </c>
      <c r="AP336" s="22">
        <f>IF(J336&gt;=Upgrades!$E$18,"",Upgrades!$C$18*POWER(Upgrades!$D$18,J336))</f>
        <v/>
      </c>
      <c r="AQ336" s="22">
        <f>IF(K336&gt;=Upgrades!$E$19,"",Upgrades!$C$19*POWER(Upgrades!$D$19,K336))</f>
        <v/>
      </c>
      <c r="AR336" s="22">
        <f>IF(L336&gt;=Upgrades!$E$20,"",Upgrades!$C$20*POWER(Upgrades!$D$20,L336))</f>
        <v/>
      </c>
      <c r="AS336" s="22">
        <f>IF(M336&gt;=Upgrades!$E$21,"",Upgrades!$C$21*POWER(Upgrades!$D$21,M336))</f>
        <v/>
      </c>
      <c r="AT336" s="26">
        <f>IF(AND(D336&gt;=Parameters!$B$18*Parameters!$B$19,(I336&gt;=Upgrades!$E$17)*(M336&gt;=Upgrades!$E$21)=1,N336=0),1,"")</f>
        <v/>
      </c>
      <c r="AU336" s="26">
        <f>IF(AND(D336&gt;=Parameters!$B$18*Parameters!$B$19,N336=0),1,"")</f>
        <v/>
      </c>
      <c r="AV336" s="22">
        <f>MIN(IF(ISNUMBER(AP336),AP336,9E15),IF(ISNUMBER(AQ336),AQ336,9E15),IF(ISNUMBER(AR336),AR336,9E15),IF(ISNUMBER(AS336),AS336,9E15))</f>
        <v/>
      </c>
      <c r="AW336" s="22">
        <f>MIN(IF(ISNUMBER(AK336),AK336,9E15),IF(ISNUMBER(AL336),AL336,9E15),IF(ISNUMBER(AM336),AM336,9E15),IF(ISNUMBER(AN336),AN336,9E15),IF(ISNUMBER(AO336),AO336,9E15))</f>
        <v/>
      </c>
      <c r="AX336" s="29">
        <f>IF(BD336&gt;Parameters!$B$21*(MAX(IF(AND(NOT(AND(AU336=1,AT336&lt;&gt;1)),ISNUMBER(AK336),AK336&lt;=(C336+T336)),AY336,0),IF(AND(NOT(AND(AU336=1,AT336&lt;&gt;1)),ISNUMBER(AL336),AL336&lt;=(C336+T336)),AZ336,0),IF(AND(NOT(AND(AU336=1,AT336&lt;&gt;1)),ISNUMBER(AM336),AM336&lt;=(C336+T336)),BA336,0),IF(AND(NOT(AND(AU336=1,AT336&lt;&gt;1)),ISNUMBER(AN336),AN336&lt;=(C336+T336)),BB336,0),IF(AND(ISNUMBER(AO336),AO336&lt;=(C336+T336)),BC336,0))),TRUE,FALSE)</f>
        <v/>
      </c>
      <c r="AY336" s="32">
        <f>IFERROR(Upgrades!$H$13*(POWER(Upgrades!$P$13,E336)*POWER(Upgrades!$P$14,F336)*POWER(Upgrades!$P$15,G336)*POWER(Upgrades!$P$16,H336)*POWER(Upgrades!$P$17,I336)*POWER(Upgrades!$P$18,J336)*POWER(Upgrades!$P$19,K336)*POWER(Upgrades!$P$20,L336)*POWER(Upgrades!$P$21,M336))*(IF(Upgrades!$T$14="Stellar Kinematics",POWER(Upgrades!$U$14,F336),1)*IF(Upgrades!$T$15="Stellar Kinematics",POWER(Upgrades!$U$15,G336),1)*IF(Upgrades!$T$16="Stellar Kinematics",POWER(Upgrades!$U$16,H336),1)*IF(Upgrades!$T$17="Stellar Kinematics",POWER(Upgrades!$U$17,I336),1)*IF(Upgrades!$T$18="Stellar Kinematics",POWER(Upgrades!$U$18,J336),1)*IF(Upgrades!$T$19="Stellar Kinematics",POWER(Upgrades!$U$19,K336),1)*IF(Upgrades!$T$20="Stellar Kinematics",POWER(Upgrades!$U$20,L336),1)*IF(Upgrades!$T$21="Stellar Kinematics",POWER(Upgrades!$U$21,M336),1))*$F$6/AK336,0)</f>
        <v/>
      </c>
      <c r="AZ336" s="32">
        <f>IFERROR(Upgrades!$H$14*(POWER(Upgrades!$P$13,E336)*POWER(Upgrades!$P$14,F336)*POWER(Upgrades!$P$15,G336)*POWER(Upgrades!$P$16,H336)*POWER(Upgrades!$P$17,I336)*POWER(Upgrades!$P$18,J336)*POWER(Upgrades!$P$19,K336)*POWER(Upgrades!$P$20,L336)*POWER(Upgrades!$P$21,M336))*(IF(Upgrades!$T$13="Local Bubble",POWER(Upgrades!$U$13,E336),1)*IF(Upgrades!$T$15="Local Bubble",POWER(Upgrades!$U$15,G336),1)*IF(Upgrades!$T$16="Local Bubble",POWER(Upgrades!$U$16,H336),1)*IF(Upgrades!$T$17="Local Bubble",POWER(Upgrades!$U$17,I336),1)*IF(Upgrades!$T$18="Local Bubble",POWER(Upgrades!$U$18,J336),1)*IF(Upgrades!$T$19="Local Bubble",POWER(Upgrades!$U$19,K336),1)*IF(Upgrades!$T$20="Local Bubble",POWER(Upgrades!$U$20,L336),1)*IF(Upgrades!$T$21="Local Bubble",POWER(Upgrades!$U$21,M336),1))*$F$6/AL336,0)</f>
        <v/>
      </c>
      <c r="BA336" s="32">
        <f>IFERROR(Upgrades!$K$15*(POWER(Upgrades!$Q$13,E336)*POWER(Upgrades!$Q$14,F336)*POWER(Upgrades!$Q$15,G336)*POWER(Upgrades!$Q$16,H336)*POWER(Upgrades!$Q$17,I336)*POWER(Upgrades!$Q$18,J336)*POWER(Upgrades!$Q$19,K336)*POWER(Upgrades!$Q$20,L336)*POWER(Upgrades!$Q$21,M336))*(IF(Upgrades!$T$13="Microlensing",POWER(Upgrades!$U$13,E336),1)*IF(Upgrades!$T$14="Microlensing",POWER(Upgrades!$U$14,F336),1)*IF(Upgrades!$T$16="Microlensing",POWER(Upgrades!$U$16,H336),1)*IF(Upgrades!$T$17="Microlensing",POWER(Upgrades!$U$17,I336),1)*IF(Upgrades!$T$18="Microlensing",POWER(Upgrades!$U$18,J336),1)*IF(Upgrades!$T$19="Microlensing",POWER(Upgrades!$U$19,K336),1)*IF(Upgrades!$T$20="Microlensing",POWER(Upgrades!$U$20,L336),1)*IF(Upgrades!$T$21="Microlensing",POWER(Upgrades!$U$21,M336),1))*$G$6*(Parameters!$B$10/60*Parameters!$B$11+Q336)/AM336,0)</f>
        <v/>
      </c>
      <c r="BB336" s="32">
        <f>IFERROR((Upgrades!$N$16*(POWER(Upgrades!$R$13,E336)*POWER(Upgrades!$R$14,F336)*POWER(Upgrades!$R$15,G336)*POWER(Upgrades!$R$16,H336)*POWER(Upgrades!$R$17,I336)*POWER(Upgrades!$R$18,J336)*POWER(Upgrades!$R$19,K336)*POWER(Upgrades!$R$20,L336)*POWER(Upgrades!$R$21,M336))*(IF(Upgrades!$T$13="Roche Lobe Overflow",POWER(Upgrades!$U$13,E336),1)*IF(Upgrades!$T$14="Roche Lobe Overflow",POWER(Upgrades!$U$14,F336),1)*IF(Upgrades!$T$15="Roche Lobe Overflow",POWER(Upgrades!$U$15,G336),1)*IF(Upgrades!$T$17="Roche Lobe Overflow",POWER(Upgrades!$U$17,I336),1)*IF(Upgrades!$T$18="Roche Lobe Overflow",POWER(Upgrades!$U$18,J336),1)*IF(Upgrades!$T$19="Roche Lobe Overflow",POWER(Upgrades!$U$19,K336),1)*IF(Upgrades!$T$20="Roche Lobe Overflow",POWER(Upgrades!$U$20,L336),1)*IF(Upgrades!$T$21="Roche Lobe Overflow",POWER(Upgrades!$U$21,M336),1))*$H$6*O336+((IF(F336=0,0,(Upgrades!$G$14+F336*Upgrades!$H$14)*POWER(Upgrades!$I$14,F336)))*(IF(Upgrades!$T$13="Local Bubble",POWER(Upgrades!$U$13,E336),1)*IF(Upgrades!$T$15="Local Bubble",POWER(Upgrades!$U$15,G336),1)*IF(Upgrades!$T$16="Local Bubble",POWER(Upgrades!$U$16,H336),1)*IF(Upgrades!$T$17="Local Bubble",POWER(Upgrades!$U$17,I336),1)*IF(Upgrades!$T$18="Local Bubble",POWER(Upgrades!$U$18,J336),1)*IF(Upgrades!$T$19="Local Bubble",POWER(Upgrades!$U$19,K336),1)*IF(Upgrades!$T$20="Local Bubble",POWER(Upgrades!$U$20,L336),1)*IF(Upgrades!$T$21="Local Bubble",POWER(Upgrades!$U$21,M336),1))*POWER(Upgrades!$P$13,E336)*POWER(Upgrades!$P$14,F336)*POWER(Upgrades!$P$15,G336)*POWER(Upgrades!$P$16,H336)*POWER(Upgrades!$P$17,I336)*POWER(Upgrades!$P$18,J336)*POWER(Upgrades!$P$19,K336)*POWER(Upgrades!$P$20,L336)*POWER(Upgrades!$P$21,M336)*$F$6)*0.05)/AN336,0)</f>
        <v/>
      </c>
      <c r="BC336" s="32">
        <f>IFERROR((Upgrades!$H$17*(POWER(Upgrades!$P$13,E336)*POWER(Upgrades!$P$14,F336)*POWER(Upgrades!$P$15,G336)*POWER(Upgrades!$P$16,H336)*POWER(Upgrades!$P$17,I336)*POWER(Upgrades!$P$18,J336)*POWER(Upgrades!$P$19,K336)*POWER(Upgrades!$P$20,L336)*POWER(Upgrades!$P$21,M336))*(IF(Upgrades!$T$13="Brown Dwarf",POWER(Upgrades!$U$13,E336),1)*IF(Upgrades!$T$14="Brown Dwarf",POWER(Upgrades!$U$14,F336),1)*IF(Upgrades!$T$15="Brown Dwarf",POWER(Upgrades!$U$15,G336),1)*IF(Upgrades!$T$16="Brown Dwarf",POWER(Upgrades!$U$16,H336),1)*IF(Upgrades!$T$18="Brown Dwarf",POWER(Upgrades!$U$18,J336),1)*IF(Upgrades!$T$19="Brown Dwarf",POWER(Upgrades!$U$19,K336),1)*IF(Upgrades!$T$20="Brown Dwarf",POWER(Upgrades!$U$20,L336),1)*IF(Upgrades!$T$21="Brown Dwarf",POWER(Upgrades!$U$21,M336),1))*$F$6+(((IF(H336=0,0,(Upgrades!$M$16+H336*Upgrades!$N$16)*POWER(Upgrades!$O$16,H336)))*(IF(Upgrades!$T$13="Roche Lobe Overflow",POWER(Upgrades!$U$13,E336),1)*IF(Upgrades!$T$14="Roche Lobe Overflow",POWER(Upgrades!$U$14,F336),1)*IF(Upgrades!$T$15="Roche Lobe Overflow",POWER(Upgrades!$U$15,G336),1)*IF(Upgrades!$T$17="Roche Lobe Overflow",POWER(Upgrades!$U$17,I336),1)*IF(Upgrades!$T$18="Roche Lobe Overflow",POWER(Upgrades!$U$18,J336),1)*IF(Upgrades!$T$19="Roche Lobe Overflow",POWER(Upgrades!$U$19,K336),1)*IF(Upgrades!$T$20="Roche Lobe Overflow",POWER(Upgrades!$U$20,L336),1)*IF(Upgrades!$T$21="Roche Lobe Overflow",POWER(Upgrades!$U$21,M336),1))*POWER(Upgrades!$R$13,E336)*POWER(Upgrades!$R$14,F336)*POWER(Upgrades!$R$15,G336)*POWER(Upgrades!$R$16,H336)*POWER(Upgrades!$R$17,I336)*POWER(Upgrades!$R$18,J336)*POWER(Upgrades!$R$19,K336)*POWER(Upgrades!$R$20,L336)*POWER(Upgrades!$R$21,M336)*$H$6)*O336)*0.10)/AO336,0)</f>
        <v/>
      </c>
      <c r="BD336" s="32">
        <f>MAX(IF(J336&gt;0,0,IFERROR(0.5*((IF(G336=0,0,(Upgrades!$J$15+G336*Upgrades!$K$15)*POWER(Upgrades!$L$15,G336)))*(IF(Upgrades!$T$13="Microlensing",POWER(Upgrades!$U$13,E336),1)*IF(Upgrades!$T$14="Microlensing",POWER(Upgrades!$U$14,F336),1)*IF(Upgrades!$T$16="Microlensing",POWER(Upgrades!$U$16,H336),1)*IF(Upgrades!$T$17="Microlensing",POWER(Upgrades!$U$17,I336),1)*IF(Upgrades!$T$18="Microlensing",POWER(Upgrades!$U$18,J336),1)*IF(Upgrades!$T$19="Microlensing",POWER(Upgrades!$U$19,K336),1)*IF(Upgrades!$T$20="Microlensing",POWER(Upgrades!$U$20,L336),1)*IF(Upgrades!$T$21="Microlensing",POWER(Upgrades!$U$21,M336),1))*(POWER(Upgrades!$Q$13,E336)*POWER(Upgrades!$Q$14,F336)*POWER(Upgrades!$Q$15,G336)*POWER(Upgrades!$Q$16,H336)*POWER(Upgrades!$Q$17,I336)*POWER(Upgrades!$Q$18,J336)*POWER(Upgrades!$Q$19,K336)*POWER(Upgrades!$Q$20,L336)*POWER(Upgrades!$Q$21,M336))*$G$6*(Parameters!$B$10/60*Parameters!$B$11+Q336))/Upgrades!$C$18,0)),IF(K336&gt;0,0,IFERROR(0.30*P336/Upgrades!$C$19,0)),IF(L336&gt;0,0,IFERROR(0.0001/Upgrades!$C$20,0)),IF(M336&gt;0,0,IFERROR((6.0*(POWER(Upgrades!$P$13,E336)*POWER(Upgrades!$P$14,F336)*POWER(Upgrades!$P$15,G336)*POWER(Upgrades!$P$16,H336)*POWER(Upgrades!$P$17,I336)*POWER(Upgrades!$P$18,J336)*POWER(Upgrades!$P$19,K336)*POWER(Upgrades!$P$20,L336)*POWER(Upgrades!$P$21,M336))*$F$6+0.20*O336*(Parameters!$B$10/60*Parameters!$B$11+Q336))/Upgrades!$C$21,0)),IF(AND(ISNUMBER(AK336),AK336&gt;(C336+T336)),AY336,0),IF(AND(ISNUMBER(AL336),AL336&gt;(C336+T336)),AZ336,0),IF(AND(ISNUMBER(AM336),AM336&gt;(C336+T336)),BA336,0),IF(AND(ISNUMBER(AN336),AN336&gt;(C336+T336)),BB336,0),IF(AND(ISNUMBER(AO336),AO336&gt;(C336+T336)),BC336,0))</f>
        <v/>
      </c>
      <c r="BE336" s="29">
        <f>IF(AT336=1,"transition",IF(MIN(IF(AND(J336=0,ISNUMBER(AP336),AP336&lt;=(C336+T336)),AP336,9E15),IF(AND(K336=0,ISNUMBER(AQ336),AQ336&lt;=(C336+T336)),AQ336,9E15),IF(AND(L336=0,ISNUMBER(AR336),AR336&lt;=(C336+T336)),AR336,9E15),IF(AND(M336=0,ISNUMBER(AS336),AS336&lt;=(C336+T336)),AS336,9E15))&lt;9E15,IF(AND(AND(J336=0,ISNUMBER(AP336),AP336&lt;=(C336+T336)),AP336=MIN(IF(AND(J336=0,ISNUMBER(AP336),AP336&lt;=(C336+T336)),AP336,9E15),IF(AND(K336=0,ISNUMBER(AQ336),AQ336&lt;=(C336+T336)),AQ336,9E15),IF(AND(L336=0,ISNUMBER(AR336),AR336&lt;=(C336+T336)),AR336,9E15),IF(AND(M336=0,ISNUMBER(AS336),AS336&lt;=(C336+T336)),AS336,9E15))),"BiP",IF(AND(AND(K336=0,ISNUMBER(AQ336),AQ336&lt;=(C336+T336)),AQ336=MIN(IF(AND(J336=0,ISNUMBER(AP336),AP336&lt;=(C336+T336)),AP336,9E15),IF(AND(K336=0,ISNUMBER(AQ336),AQ336&lt;=(C336+T336)),AQ336,9E15),IF(AND(L336=0,ISNUMBER(AR336),AR336&lt;=(C336+T336)),AR336,9E15),IF(AND(M336=0,ISNUMBER(AS336),AS336&lt;=(C336+T336)),AS336,9E15))),"PV",IF(AND(AND(L336=0,ISNUMBER(AR336),AR336&lt;=(C336+T336)),AR336=MIN(IF(AND(J336=0,ISNUMBER(AP336),AP336&lt;=(C336+T336)),AP336,9E15),IF(AND(K336=0,ISNUMBER(AQ336),AQ336&lt;=(C336+T336)),AQ336,9E15),IF(AND(L336=0,ISNUMBER(AR336),AR336&lt;=(C336+T336)),AR336,9E15),IF(AND(M336=0,ISNUMBER(AS336),AS336&lt;=(C336+T336)),AS336,9E15))),"OC","MG"))),IF(AX336=TRUE,"",IF(MAX(IF(AND(NOT(AND(AU336=1,AT336&lt;&gt;1)),ISNUMBER(AK336),AK336&lt;=(C336+T336)),AY336,0),IF(AND(NOT(AND(AU336=1,AT336&lt;&gt;1)),ISNUMBER(AL336),AL336&lt;=(C336+T336)),AZ336,0),IF(AND(NOT(AND(AU336=1,AT336&lt;&gt;1)),ISNUMBER(AM336),AM336&lt;=(C336+T336)),BA336,0),IF(AND(NOT(AND(AU336=1,AT336&lt;&gt;1)),ISNUMBER(AN336),AN336&lt;=(C336+T336)),BB336,0),IF(AND(ISNUMBER(AO336),AO336&lt;=(C336+T336)),BC336,0))&lt;=0,"",IF(AND(IF(AND(NOT(AND(AU336=1,AT336&lt;&gt;1)),ISNUMBER(AK336),AK336&lt;=(C336+T336)),AY336,0)&gt;0,IF(AND(NOT(AND(AU336=1,AT336&lt;&gt;1)),ISNUMBER(AK336),AK336&lt;=(C336+T336)),AY336,0)=MAX(IF(AND(NOT(AND(AU336=1,AT336&lt;&gt;1)),ISNUMBER(AK336),AK336&lt;=(C336+T336)),AY336,0),IF(AND(NOT(AND(AU336=1,AT336&lt;&gt;1)),ISNUMBER(AL336),AL336&lt;=(C336+T336)),AZ336,0),IF(AND(NOT(AND(AU336=1,AT336&lt;&gt;1)),ISNUMBER(AM336),AM336&lt;=(C336+T336)),BA336,0),IF(AND(NOT(AND(AU336=1,AT336&lt;&gt;1)),ISNUMBER(AN336),AN336&lt;=(C336+T336)),BB336,0),IF(AND(ISNUMBER(AO336),AO336&lt;=(C336+T336)),BC336,0))),"SK",IF(AND(IF(AND(NOT(AND(AU336=1,AT336&lt;&gt;1)),ISNUMBER(AL336),AL336&lt;=(C336+T336)),AZ336,0)&gt;0,IF(AND(NOT(AND(AU336=1,AT336&lt;&gt;1)),ISNUMBER(AL336),AL336&lt;=(C336+T336)),AZ336,0)=MAX(IF(AND(NOT(AND(AU336=1,AT336&lt;&gt;1)),ISNUMBER(AK336),AK336&lt;=(C336+T336)),AY336,0),IF(AND(NOT(AND(AU336=1,AT336&lt;&gt;1)),ISNUMBER(AL336),AL336&lt;=(C336+T336)),AZ336,0),IF(AND(NOT(AND(AU336=1,AT336&lt;&gt;1)),ISNUMBER(AM336),AM336&lt;=(C336+T336)),BA336,0),IF(AND(NOT(AND(AU336=1,AT336&lt;&gt;1)),ISNUMBER(AN336),AN336&lt;=(C336+T336)),BB336,0),IF(AND(ISNUMBER(AO336),AO336&lt;=(C336+T336)),BC336,0))),"LB",IF(AND(IF(AND(NOT(AND(AU336=1,AT336&lt;&gt;1)),ISNUMBER(AM336),AM336&lt;=(C336+T336)),BA336,0)&gt;0,IF(AND(NOT(AND(AU336=1,AT336&lt;&gt;1)),ISNUMBER(AM336),AM336&lt;=(C336+T336)),BA336,0)=MAX(IF(AND(NOT(AND(AU336=1,AT336&lt;&gt;1)),ISNUMBER(AK336),AK336&lt;=(C336+T336)),AY336,0),IF(AND(NOT(AND(AU336=1,AT336&lt;&gt;1)),ISNUMBER(AL336),AL336&lt;=(C336+T336)),AZ336,0),IF(AND(NOT(AND(AU336=1,AT336&lt;&gt;1)),ISNUMBER(AM336),AM336&lt;=(C336+T336)),BA336,0),IF(AND(NOT(AND(AU336=1,AT336&lt;&gt;1)),ISNUMBER(AN336),AN336&lt;=(C336+T336)),BB336,0),IF(AND(ISNUMBER(AO336),AO336&lt;=(C336+T336)),BC336,0))),"ML",IF(AND(IF(AND(NOT(AND(AU336=1,AT336&lt;&gt;1)),ISNUMBER(AN336),AN336&lt;=(C336+T336)),BB336,0)&gt;0,IF(AND(NOT(AND(AU336=1,AT336&lt;&gt;1)),ISNUMBER(AN336),AN336&lt;=(C336+T336)),BB336,0)=MAX(IF(AND(NOT(AND(AU336=1,AT336&lt;&gt;1)),ISNUMBER(AK336),AK336&lt;=(C336+T336)),AY336,0),IF(AND(NOT(AND(AU336=1,AT336&lt;&gt;1)),ISNUMBER(AL336),AL336&lt;=(C336+T336)),AZ336,0),IF(AND(NOT(AND(AU336=1,AT336&lt;&gt;1)),ISNUMBER(AM336),AM336&lt;=(C336+T336)),BA336,0),IF(AND(NOT(AND(AU336=1,AT336&lt;&gt;1)),ISNUMBER(AN336),AN336&lt;=(C336+T336)),BB336,0),IF(AND(ISNUMBER(AO336),AO336&lt;=(C336+T336)),BC336,0))),"RLO","BD"))))))))</f>
        <v/>
      </c>
    </row>
    <row r="337">
      <c r="A337" s="26" t="n">
        <v>326</v>
      </c>
      <c r="B337" s="27">
        <f>A337*10/60</f>
        <v/>
      </c>
      <c r="C337" s="22">
        <f>X336</f>
        <v/>
      </c>
      <c r="D337" s="27">
        <f>D336+W336</f>
        <v/>
      </c>
      <c r="E337" s="26">
        <f>E336+IF(U336="SK",1,0)</f>
        <v/>
      </c>
      <c r="F337" s="26">
        <f>F336+IF(U336="LB",1,0)</f>
        <v/>
      </c>
      <c r="G337" s="26">
        <f>G336+IF(U336="ML",1,0)</f>
        <v/>
      </c>
      <c r="H337" s="26">
        <f>H336+IF(U336="RLO",1,0)</f>
        <v/>
      </c>
      <c r="I337" s="26">
        <f>I336+IF(U336="BD",1,0)</f>
        <v/>
      </c>
      <c r="J337" s="26">
        <f>MAX(J336,IF(U336="BiP",1,0))</f>
        <v/>
      </c>
      <c r="K337" s="26">
        <f>MAX(K336,IF(U336="PV",1,0))</f>
        <v/>
      </c>
      <c r="L337" s="26">
        <f>MAX(L336,IF(U336="OC",1,0))</f>
        <v/>
      </c>
      <c r="M337" s="26">
        <f>MAX(M336,IF(U336="MG",1,0))</f>
        <v/>
      </c>
      <c r="N337" s="26">
        <f>MAX(N336,IF(U336="transition",1,0))</f>
        <v/>
      </c>
      <c r="O337" s="28">
        <f>(Parameters!$B$9+(IF(E337=0,0,(Upgrades!$J$13+E337*Upgrades!$K$13)*POWER(Upgrades!$L$13,E337)))*(IF(Upgrades!$T$14="Stellar Kinematics",POWER(Upgrades!$U$14,F337),1)*IF(Upgrades!$T$15="Stellar Kinematics",POWER(Upgrades!$U$15,G337),1)*IF(Upgrades!$T$16="Stellar Kinematics",POWER(Upgrades!$U$16,H337),1)*IF(Upgrades!$T$17="Stellar Kinematics",POWER(Upgrades!$U$17,I337),1)*IF(Upgrades!$T$18="Stellar Kinematics",POWER(Upgrades!$U$18,J337),1)*IF(Upgrades!$T$19="Stellar Kinematics",POWER(Upgrades!$U$19,K337),1)*IF(Upgrades!$T$20="Stellar Kinematics",POWER(Upgrades!$U$20,L337),1)*IF(Upgrades!$T$21="Stellar Kinematics",POWER(Upgrades!$U$21,M337),1))+(IF(F337=0,0,(Upgrades!$J$14+F337*Upgrades!$K$14)*POWER(Upgrades!$L$14,F337)))*(IF(Upgrades!$T$13="Local Bubble",POWER(Upgrades!$U$13,E337),1)*IF(Upgrades!$T$15="Local Bubble",POWER(Upgrades!$U$15,G337),1)*IF(Upgrades!$T$16="Local Bubble",POWER(Upgrades!$U$16,H337),1)*IF(Upgrades!$T$17="Local Bubble",POWER(Upgrades!$U$17,I337),1)*IF(Upgrades!$T$18="Local Bubble",POWER(Upgrades!$U$18,J337),1)*IF(Upgrades!$T$19="Local Bubble",POWER(Upgrades!$U$19,K337),1)*IF(Upgrades!$T$20="Local Bubble",POWER(Upgrades!$U$20,L337),1)*IF(Upgrades!$T$21="Local Bubble",POWER(Upgrades!$U$21,M337),1))+(IF(G337=0,0,(Upgrades!$J$15+G337*Upgrades!$K$15)*POWER(Upgrades!$L$15,G337)))*(IF(Upgrades!$T$13="Microlensing",POWER(Upgrades!$U$13,E337),1)*IF(Upgrades!$T$14="Microlensing",POWER(Upgrades!$U$14,F337),1)*IF(Upgrades!$T$16="Microlensing",POWER(Upgrades!$U$16,H337),1)*IF(Upgrades!$T$17="Microlensing",POWER(Upgrades!$U$17,I337),1)*IF(Upgrades!$T$18="Microlensing",POWER(Upgrades!$U$18,J337),1)*IF(Upgrades!$T$19="Microlensing",POWER(Upgrades!$U$19,K337),1)*IF(Upgrades!$T$20="Microlensing",POWER(Upgrades!$U$20,L337),1)*IF(Upgrades!$T$21="Microlensing",POWER(Upgrades!$U$21,M337),1))+(IF(H337=0,0,(Upgrades!$J$16+H337*Upgrades!$K$16)*POWER(Upgrades!$L$16,H337)))*(IF(Upgrades!$T$13="Roche Lobe Overflow",POWER(Upgrades!$U$13,E337),1)*IF(Upgrades!$T$14="Roche Lobe Overflow",POWER(Upgrades!$U$14,F337),1)*IF(Upgrades!$T$15="Roche Lobe Overflow",POWER(Upgrades!$U$15,G337),1)*IF(Upgrades!$T$17="Roche Lobe Overflow",POWER(Upgrades!$U$17,I337),1)*IF(Upgrades!$T$18="Roche Lobe Overflow",POWER(Upgrades!$U$18,J337),1)*IF(Upgrades!$T$19="Roche Lobe Overflow",POWER(Upgrades!$U$19,K337),1)*IF(Upgrades!$T$20="Roche Lobe Overflow",POWER(Upgrades!$U$20,L337),1)*IF(Upgrades!$T$21="Roche Lobe Overflow",POWER(Upgrades!$U$21,M337),1))+(IF(I337=0,0,(Upgrades!$J$17+I337*Upgrades!$K$17)*POWER(Upgrades!$L$17,I337)))*(IF(Upgrades!$T$13="Brown Dwarf",POWER(Upgrades!$U$13,E337),1)*IF(Upgrades!$T$14="Brown Dwarf",POWER(Upgrades!$U$14,F337),1)*IF(Upgrades!$T$15="Brown Dwarf",POWER(Upgrades!$U$15,G337),1)*IF(Upgrades!$T$16="Brown Dwarf",POWER(Upgrades!$U$16,H337),1)*IF(Upgrades!$T$18="Brown Dwarf",POWER(Upgrades!$U$18,J337),1)*IF(Upgrades!$T$19="Brown Dwarf",POWER(Upgrades!$U$19,K337),1)*IF(Upgrades!$T$20="Brown Dwarf",POWER(Upgrades!$U$20,L337),1)*IF(Upgrades!$T$21="Brown Dwarf",POWER(Upgrades!$U$21,M337),1))+(IF(J337=0,0,(Upgrades!$J$18+J337*Upgrades!$K$18)*POWER(Upgrades!$L$18,J337)))*(IF(Upgrades!$T$13="Binary Partner",POWER(Upgrades!$U$13,E337),1)*IF(Upgrades!$T$14="Binary Partner",POWER(Upgrades!$U$14,F337),1)*IF(Upgrades!$T$15="Binary Partner",POWER(Upgrades!$U$15,G337),1)*IF(Upgrades!$T$16="Binary Partner",POWER(Upgrades!$U$16,H337),1)*IF(Upgrades!$T$17="Binary Partner",POWER(Upgrades!$U$17,I337),1)*IF(Upgrades!$T$19="Binary Partner",POWER(Upgrades!$U$19,K337),1)*IF(Upgrades!$T$20="Binary Partner",POWER(Upgrades!$U$20,L337),1)*IF(Upgrades!$T$21="Binary Partner",POWER(Upgrades!$U$21,M337),1))+(IF(K337=0,0,(Upgrades!$J$19+K337*Upgrades!$K$19)*POWER(Upgrades!$L$19,K337)))*(IF(Upgrades!$T$13="Peculiar Velocity",POWER(Upgrades!$U$13,E337),1)*IF(Upgrades!$T$14="Peculiar Velocity",POWER(Upgrades!$U$14,F337),1)*IF(Upgrades!$T$15="Peculiar Velocity",POWER(Upgrades!$U$15,G337),1)*IF(Upgrades!$T$16="Peculiar Velocity",POWER(Upgrades!$U$16,H337),1)*IF(Upgrades!$T$17="Peculiar Velocity",POWER(Upgrades!$U$17,I337),1)*IF(Upgrades!$T$18="Peculiar Velocity",POWER(Upgrades!$U$18,J337),1)*IF(Upgrades!$T$20="Peculiar Velocity",POWER(Upgrades!$U$20,L337),1)*IF(Upgrades!$T$21="Peculiar Velocity",POWER(Upgrades!$U$21,M337),1))+(IF(L337=0,0,(Upgrades!$J$20+L337*Upgrades!$K$20)*POWER(Upgrades!$L$20,L337)))*(IF(Upgrades!$T$13="Open Cluster",POWER(Upgrades!$U$13,E337),1)*IF(Upgrades!$T$14="Open Cluster",POWER(Upgrades!$U$14,F337),1)*IF(Upgrades!$T$15="Open Cluster",POWER(Upgrades!$U$15,G337),1)*IF(Upgrades!$T$16="Open Cluster",POWER(Upgrades!$U$16,H337),1)*IF(Upgrades!$T$17="Open Cluster",POWER(Upgrades!$U$17,I337),1)*IF(Upgrades!$T$18="Open Cluster",POWER(Upgrades!$U$18,J337),1)*IF(Upgrades!$T$19="Open Cluster",POWER(Upgrades!$U$19,K337),1)*IF(Upgrades!$T$21="Open Cluster",POWER(Upgrades!$U$21,M337),1))+(IF(M337=0,0,(Upgrades!$J$21+M337*Upgrades!$K$21)*POWER(Upgrades!$L$21,M337)))*(IF(Upgrades!$T$13="Moving Group",POWER(Upgrades!$U$13,E337),1)*IF(Upgrades!$T$14="Moving Group",POWER(Upgrades!$U$14,F337),1)*IF(Upgrades!$T$15="Moving Group",POWER(Upgrades!$U$15,G337),1)*IF(Upgrades!$T$16="Moving Group",POWER(Upgrades!$U$16,H337),1)*IF(Upgrades!$T$17="Moving Group",POWER(Upgrades!$U$17,I337),1)*IF(Upgrades!$T$18="Moving Group",POWER(Upgrades!$U$18,J337),1)*IF(Upgrades!$T$19="Moving Group",POWER(Upgrades!$U$19,K337),1)*IF(Upgrades!$T$20="Moving Group",POWER(Upgrades!$U$20,L337),1)))*POWER(Upgrades!$Q$13,E337)*POWER(Upgrades!$Q$14,F337)*POWER(Upgrades!$Q$15,G337)*POWER(Upgrades!$Q$16,H337)*POWER(Upgrades!$Q$17,I337)*POWER(Upgrades!$Q$18,J337)*POWER(Upgrades!$Q$19,K337)*POWER(Upgrades!$Q$20,L337)*POWER(Upgrades!$Q$21,M337)*$G$6+$D$6</f>
        <v/>
      </c>
      <c r="P337" s="28">
        <f>((IF(E337=0,0,(Upgrades!$G$13+E337*Upgrades!$H$13)*POWER(Upgrades!$I$13,E337)))*(IF(Upgrades!$T$14="Stellar Kinematics",POWER(Upgrades!$U$14,F337),1)*IF(Upgrades!$T$15="Stellar Kinematics",POWER(Upgrades!$U$15,G337),1)*IF(Upgrades!$T$16="Stellar Kinematics",POWER(Upgrades!$U$16,H337),1)*IF(Upgrades!$T$17="Stellar Kinematics",POWER(Upgrades!$U$17,I337),1)*IF(Upgrades!$T$18="Stellar Kinematics",POWER(Upgrades!$U$18,J337),1)*IF(Upgrades!$T$19="Stellar Kinematics",POWER(Upgrades!$U$19,K337),1)*IF(Upgrades!$T$20="Stellar Kinematics",POWER(Upgrades!$U$20,L337),1)*IF(Upgrades!$T$21="Stellar Kinematics",POWER(Upgrades!$U$21,M337),1))+(IF(F337=0,0,(Upgrades!$G$14+F337*Upgrades!$H$14)*POWER(Upgrades!$I$14,F337)))*(IF(Upgrades!$T$13="Local Bubble",POWER(Upgrades!$U$13,E337),1)*IF(Upgrades!$T$15="Local Bubble",POWER(Upgrades!$U$15,G337),1)*IF(Upgrades!$T$16="Local Bubble",POWER(Upgrades!$U$16,H337),1)*IF(Upgrades!$T$17="Local Bubble",POWER(Upgrades!$U$17,I337),1)*IF(Upgrades!$T$18="Local Bubble",POWER(Upgrades!$U$18,J337),1)*IF(Upgrades!$T$19="Local Bubble",POWER(Upgrades!$U$19,K337),1)*IF(Upgrades!$T$20="Local Bubble",POWER(Upgrades!$U$20,L337),1)*IF(Upgrades!$T$21="Local Bubble",POWER(Upgrades!$U$21,M337),1))+(IF(G337=0,0,(Upgrades!$G$15+G337*Upgrades!$H$15)*POWER(Upgrades!$I$15,G337)))*(IF(Upgrades!$T$13="Microlensing",POWER(Upgrades!$U$13,E337),1)*IF(Upgrades!$T$14="Microlensing",POWER(Upgrades!$U$14,F337),1)*IF(Upgrades!$T$16="Microlensing",POWER(Upgrades!$U$16,H337),1)*IF(Upgrades!$T$17="Microlensing",POWER(Upgrades!$U$17,I337),1)*IF(Upgrades!$T$18="Microlensing",POWER(Upgrades!$U$18,J337),1)*IF(Upgrades!$T$19="Microlensing",POWER(Upgrades!$U$19,K337),1)*IF(Upgrades!$T$20="Microlensing",POWER(Upgrades!$U$20,L337),1)*IF(Upgrades!$T$21="Microlensing",POWER(Upgrades!$U$21,M337),1))+(IF(H337=0,0,(Upgrades!$G$16+H337*Upgrades!$H$16)*POWER(Upgrades!$I$16,H337)))*(IF(Upgrades!$T$13="Roche Lobe Overflow",POWER(Upgrades!$U$13,E337),1)*IF(Upgrades!$T$14="Roche Lobe Overflow",POWER(Upgrades!$U$14,F337),1)*IF(Upgrades!$T$15="Roche Lobe Overflow",POWER(Upgrades!$U$15,G337),1)*IF(Upgrades!$T$17="Roche Lobe Overflow",POWER(Upgrades!$U$17,I337),1)*IF(Upgrades!$T$18="Roche Lobe Overflow",POWER(Upgrades!$U$18,J337),1)*IF(Upgrades!$T$19="Roche Lobe Overflow",POWER(Upgrades!$U$19,K337),1)*IF(Upgrades!$T$20="Roche Lobe Overflow",POWER(Upgrades!$U$20,L337),1)*IF(Upgrades!$T$21="Roche Lobe Overflow",POWER(Upgrades!$U$21,M337),1))+(IF(I337=0,0,(Upgrades!$G$17+I337*Upgrades!$H$17)*POWER(Upgrades!$I$17,I337)))*(IF(Upgrades!$T$13="Brown Dwarf",POWER(Upgrades!$U$13,E337),1)*IF(Upgrades!$T$14="Brown Dwarf",POWER(Upgrades!$U$14,F337),1)*IF(Upgrades!$T$15="Brown Dwarf",POWER(Upgrades!$U$15,G337),1)*IF(Upgrades!$T$16="Brown Dwarf",POWER(Upgrades!$U$16,H337),1)*IF(Upgrades!$T$18="Brown Dwarf",POWER(Upgrades!$U$18,J337),1)*IF(Upgrades!$T$19="Brown Dwarf",POWER(Upgrades!$U$19,K337),1)*IF(Upgrades!$T$20="Brown Dwarf",POWER(Upgrades!$U$20,L337),1)*IF(Upgrades!$T$21="Brown Dwarf",POWER(Upgrades!$U$21,M337),1))+(IF(J337=0,0,(Upgrades!$G$18+J337*Upgrades!$H$18)*POWER(Upgrades!$I$18,J337)))*(IF(Upgrades!$T$13="Binary Partner",POWER(Upgrades!$U$13,E337),1)*IF(Upgrades!$T$14="Binary Partner",POWER(Upgrades!$U$14,F337),1)*IF(Upgrades!$T$15="Binary Partner",POWER(Upgrades!$U$15,G337),1)*IF(Upgrades!$T$16="Binary Partner",POWER(Upgrades!$U$16,H337),1)*IF(Upgrades!$T$17="Binary Partner",POWER(Upgrades!$U$17,I337),1)*IF(Upgrades!$T$19="Binary Partner",POWER(Upgrades!$U$19,K337),1)*IF(Upgrades!$T$20="Binary Partner",POWER(Upgrades!$U$20,L337),1)*IF(Upgrades!$T$21="Binary Partner",POWER(Upgrades!$U$21,M337),1))+(IF(K337=0,0,(Upgrades!$G$19+K337*Upgrades!$H$19)*POWER(Upgrades!$I$19,K337)))*(IF(Upgrades!$T$13="Peculiar Velocity",POWER(Upgrades!$U$13,E337),1)*IF(Upgrades!$T$14="Peculiar Velocity",POWER(Upgrades!$U$14,F337),1)*IF(Upgrades!$T$15="Peculiar Velocity",POWER(Upgrades!$U$15,G337),1)*IF(Upgrades!$T$16="Peculiar Velocity",POWER(Upgrades!$U$16,H337),1)*IF(Upgrades!$T$17="Peculiar Velocity",POWER(Upgrades!$U$17,I337),1)*IF(Upgrades!$T$18="Peculiar Velocity",POWER(Upgrades!$U$18,J337),1)*IF(Upgrades!$T$20="Peculiar Velocity",POWER(Upgrades!$U$20,L337),1)*IF(Upgrades!$T$21="Peculiar Velocity",POWER(Upgrades!$U$21,M337),1))+(IF(L337=0,0,(Upgrades!$G$20+L337*Upgrades!$H$20)*POWER(Upgrades!$I$20,L337)))*(IF(Upgrades!$T$13="Open Cluster",POWER(Upgrades!$U$13,E337),1)*IF(Upgrades!$T$14="Open Cluster",POWER(Upgrades!$U$14,F337),1)*IF(Upgrades!$T$15="Open Cluster",POWER(Upgrades!$U$15,G337),1)*IF(Upgrades!$T$16="Open Cluster",POWER(Upgrades!$U$16,H337),1)*IF(Upgrades!$T$17="Open Cluster",POWER(Upgrades!$U$17,I337),1)*IF(Upgrades!$T$18="Open Cluster",POWER(Upgrades!$U$18,J337),1)*IF(Upgrades!$T$19="Open Cluster",POWER(Upgrades!$U$19,K337),1)*IF(Upgrades!$T$21="Open Cluster",POWER(Upgrades!$U$21,M337),1))+(IF(M337=0,0,(Upgrades!$G$21+M337*Upgrades!$H$21)*POWER(Upgrades!$I$21,M337)))*(IF(Upgrades!$T$13="Moving Group",POWER(Upgrades!$U$13,E337),1)*IF(Upgrades!$T$14="Moving Group",POWER(Upgrades!$U$14,F337),1)*IF(Upgrades!$T$15="Moving Group",POWER(Upgrades!$U$15,G337),1)*IF(Upgrades!$T$16="Moving Group",POWER(Upgrades!$U$16,H337),1)*IF(Upgrades!$T$17="Moving Group",POWER(Upgrades!$U$17,I337),1)*IF(Upgrades!$T$18="Moving Group",POWER(Upgrades!$U$18,J337),1)*IF(Upgrades!$T$19="Moving Group",POWER(Upgrades!$U$19,K337),1)*IF(Upgrades!$T$20="Moving Group",POWER(Upgrades!$U$20,L337),1)))*POWER(Upgrades!$P$13,E337)*POWER(Upgrades!$P$14,F337)*POWER(Upgrades!$P$15,G337)*POWER(Upgrades!$P$16,H337)*POWER(Upgrades!$P$17,I337)*POWER(Upgrades!$P$18,J337)*POWER(Upgrades!$P$19,K337)*POWER(Upgrades!$P$20,L337)*POWER(Upgrades!$P$21,M337)*$F$6+$C$6</f>
        <v/>
      </c>
      <c r="Q337" s="28">
        <f>((IF(E337=0,0,(Upgrades!$M$13+E337*Upgrades!$N$13)*POWER(Upgrades!$O$13,E337)))*(IF(Upgrades!$T$14="Stellar Kinematics",POWER(Upgrades!$U$14,F337),1)*IF(Upgrades!$T$15="Stellar Kinematics",POWER(Upgrades!$U$15,G337),1)*IF(Upgrades!$T$16="Stellar Kinematics",POWER(Upgrades!$U$16,H337),1)*IF(Upgrades!$T$17="Stellar Kinematics",POWER(Upgrades!$U$17,I337),1)*IF(Upgrades!$T$18="Stellar Kinematics",POWER(Upgrades!$U$18,J337),1)*IF(Upgrades!$T$19="Stellar Kinematics",POWER(Upgrades!$U$19,K337),1)*IF(Upgrades!$T$20="Stellar Kinematics",POWER(Upgrades!$U$20,L337),1)*IF(Upgrades!$T$21="Stellar Kinematics",POWER(Upgrades!$U$21,M337),1))+(IF(F337=0,0,(Upgrades!$M$14+F337*Upgrades!$N$14)*POWER(Upgrades!$O$14,F337)))*(IF(Upgrades!$T$13="Local Bubble",POWER(Upgrades!$U$13,E337),1)*IF(Upgrades!$T$15="Local Bubble",POWER(Upgrades!$U$15,G337),1)*IF(Upgrades!$T$16="Local Bubble",POWER(Upgrades!$U$16,H337),1)*IF(Upgrades!$T$17="Local Bubble",POWER(Upgrades!$U$17,I337),1)*IF(Upgrades!$T$18="Local Bubble",POWER(Upgrades!$U$18,J337),1)*IF(Upgrades!$T$19="Local Bubble",POWER(Upgrades!$U$19,K337),1)*IF(Upgrades!$T$20="Local Bubble",POWER(Upgrades!$U$20,L337),1)*IF(Upgrades!$T$21="Local Bubble",POWER(Upgrades!$U$21,M337),1))+(IF(G337=0,0,(Upgrades!$M$15+G337*Upgrades!$N$15)*POWER(Upgrades!$O$15,G337)))*(IF(Upgrades!$T$13="Microlensing",POWER(Upgrades!$U$13,E337),1)*IF(Upgrades!$T$14="Microlensing",POWER(Upgrades!$U$14,F337),1)*IF(Upgrades!$T$16="Microlensing",POWER(Upgrades!$U$16,H337),1)*IF(Upgrades!$T$17="Microlensing",POWER(Upgrades!$U$17,I337),1)*IF(Upgrades!$T$18="Microlensing",POWER(Upgrades!$U$18,J337),1)*IF(Upgrades!$T$19="Microlensing",POWER(Upgrades!$U$19,K337),1)*IF(Upgrades!$T$20="Microlensing",POWER(Upgrades!$U$20,L337),1)*IF(Upgrades!$T$21="Microlensing",POWER(Upgrades!$U$21,M337),1))+(IF(H337=0,0,(Upgrades!$M$16+H337*Upgrades!$N$16)*POWER(Upgrades!$O$16,H337)))*(IF(Upgrades!$T$13="Roche Lobe Overflow",POWER(Upgrades!$U$13,E337),1)*IF(Upgrades!$T$14="Roche Lobe Overflow",POWER(Upgrades!$U$14,F337),1)*IF(Upgrades!$T$15="Roche Lobe Overflow",POWER(Upgrades!$U$15,G337),1)*IF(Upgrades!$T$17="Roche Lobe Overflow",POWER(Upgrades!$U$17,I337),1)*IF(Upgrades!$T$18="Roche Lobe Overflow",POWER(Upgrades!$U$18,J337),1)*IF(Upgrades!$T$19="Roche Lobe Overflow",POWER(Upgrades!$U$19,K337),1)*IF(Upgrades!$T$20="Roche Lobe Overflow",POWER(Upgrades!$U$20,L337),1)*IF(Upgrades!$T$21="Roche Lobe Overflow",POWER(Upgrades!$U$21,M337),1))+(IF(I337=0,0,(Upgrades!$M$17+I337*Upgrades!$N$17)*POWER(Upgrades!$O$17,I337)))*(IF(Upgrades!$T$13="Brown Dwarf",POWER(Upgrades!$U$13,E337),1)*IF(Upgrades!$T$14="Brown Dwarf",POWER(Upgrades!$U$14,F337),1)*IF(Upgrades!$T$15="Brown Dwarf",POWER(Upgrades!$U$15,G337),1)*IF(Upgrades!$T$16="Brown Dwarf",POWER(Upgrades!$U$16,H337),1)*IF(Upgrades!$T$18="Brown Dwarf",POWER(Upgrades!$U$18,J337),1)*IF(Upgrades!$T$19="Brown Dwarf",POWER(Upgrades!$U$19,K337),1)*IF(Upgrades!$T$20="Brown Dwarf",POWER(Upgrades!$U$20,L337),1)*IF(Upgrades!$T$21="Brown Dwarf",POWER(Upgrades!$U$21,M337),1))+(IF(J337=0,0,(Upgrades!$M$18+J337*Upgrades!$N$18)*POWER(Upgrades!$O$18,J337)))*(IF(Upgrades!$T$13="Binary Partner",POWER(Upgrades!$U$13,E337),1)*IF(Upgrades!$T$14="Binary Partner",POWER(Upgrades!$U$14,F337),1)*IF(Upgrades!$T$15="Binary Partner",POWER(Upgrades!$U$15,G337),1)*IF(Upgrades!$T$16="Binary Partner",POWER(Upgrades!$U$16,H337),1)*IF(Upgrades!$T$17="Binary Partner",POWER(Upgrades!$U$17,I337),1)*IF(Upgrades!$T$19="Binary Partner",POWER(Upgrades!$U$19,K337),1)*IF(Upgrades!$T$20="Binary Partner",POWER(Upgrades!$U$20,L337),1)*IF(Upgrades!$T$21="Binary Partner",POWER(Upgrades!$U$21,M337),1))+(IF(K337=0,0,(Upgrades!$M$19+K337*Upgrades!$N$19)*POWER(Upgrades!$O$19,K337)))*(IF(Upgrades!$T$13="Peculiar Velocity",POWER(Upgrades!$U$13,E337),1)*IF(Upgrades!$T$14="Peculiar Velocity",POWER(Upgrades!$U$14,F337),1)*IF(Upgrades!$T$15="Peculiar Velocity",POWER(Upgrades!$U$15,G337),1)*IF(Upgrades!$T$16="Peculiar Velocity",POWER(Upgrades!$U$16,H337),1)*IF(Upgrades!$T$17="Peculiar Velocity",POWER(Upgrades!$U$17,I337),1)*IF(Upgrades!$T$18="Peculiar Velocity",POWER(Upgrades!$U$18,J337),1)*IF(Upgrades!$T$20="Peculiar Velocity",POWER(Upgrades!$U$20,L337),1)*IF(Upgrades!$T$21="Peculiar Velocity",POWER(Upgrades!$U$21,M337),1))+(IF(L337=0,0,(Upgrades!$M$20+L337*Upgrades!$N$20)*POWER(Upgrades!$O$20,L337)))*(IF(Upgrades!$T$13="Open Cluster",POWER(Upgrades!$U$13,E337),1)*IF(Upgrades!$T$14="Open Cluster",POWER(Upgrades!$U$14,F337),1)*IF(Upgrades!$T$15="Open Cluster",POWER(Upgrades!$U$15,G337),1)*IF(Upgrades!$T$16="Open Cluster",POWER(Upgrades!$U$16,H337),1)*IF(Upgrades!$T$17="Open Cluster",POWER(Upgrades!$U$17,I337),1)*IF(Upgrades!$T$18="Open Cluster",POWER(Upgrades!$U$18,J337),1)*IF(Upgrades!$T$19="Open Cluster",POWER(Upgrades!$U$19,K337),1)*IF(Upgrades!$T$21="Open Cluster",POWER(Upgrades!$U$21,M337),1))+(IF(M337=0,0,(Upgrades!$M$21+M337*Upgrades!$N$21)*POWER(Upgrades!$O$21,M337)))*(IF(Upgrades!$T$13="Moving Group",POWER(Upgrades!$U$13,E337),1)*IF(Upgrades!$T$14="Moving Group",POWER(Upgrades!$U$14,F337),1)*IF(Upgrades!$T$15="Moving Group",POWER(Upgrades!$U$15,G337),1)*IF(Upgrades!$T$16="Moving Group",POWER(Upgrades!$U$16,H337),1)*IF(Upgrades!$T$17="Moving Group",POWER(Upgrades!$U$17,I337),1)*IF(Upgrades!$T$18="Moving Group",POWER(Upgrades!$U$18,J337),1)*IF(Upgrades!$T$19="Moving Group",POWER(Upgrades!$U$19,K337),1)*IF(Upgrades!$T$20="Moving Group",POWER(Upgrades!$U$20,L337),1)))*POWER(Upgrades!$R$13,E337)*POWER(Upgrades!$R$14,F337)*POWER(Upgrades!$R$15,G337)*POWER(Upgrades!$R$16,H337)*POWER(Upgrades!$R$17,I337)*POWER(Upgrades!$R$18,J337)*POWER(Upgrades!$R$19,K337)*POWER(Upgrades!$R$20,L337)*POWER(Upgrades!$R$21,M337)*$H$6+$E$6</f>
        <v/>
      </c>
      <c r="R337" s="27">
        <f>IF(N337=1,0,O337*Parameters!$B$10/60*Parameters!$B$11*10)</f>
        <v/>
      </c>
      <c r="S337" s="27">
        <f>IF(N337=1,0,Q337*O337*10)</f>
        <v/>
      </c>
      <c r="T337" s="27">
        <f>IF(N337=1,0,R337+S337+P337*10)</f>
        <v/>
      </c>
      <c r="U337" s="33">
        <f>BE337</f>
        <v/>
      </c>
      <c r="V337" s="22">
        <f>IF(U337="",0,IF(U337="transition",0,IF(U337="SK",AK337,IF(U337="LB",AL337,IF(U337="ML",AM337,IF(U337="RLO",AN337,IF(U337="BD",AO337,IF(U337="BiP",AP337,IF(U337="PV",AQ337,IF(U337="OC",AR337,IF(U337="MG",AS337,0))))))))))</f>
        <v/>
      </c>
      <c r="W337" s="27">
        <f>IF(U337="BiP",Upgrades!$F$18,IF(U337="PV",Upgrades!$F$19,IF(U337="OC",Upgrades!$F$20,IF(U337="MG",Upgrades!$F$21,IF(U337="transition",-Parameters!$B$18*Parameters!$B$19,0)))))</f>
        <v/>
      </c>
      <c r="X337" s="22">
        <f>C337+T337-V337</f>
        <v/>
      </c>
      <c r="Y337" s="30">
        <f>O337*Parameters!$B$10/60*Parameters!$B$11+Q337*O337+P337</f>
        <v/>
      </c>
      <c r="Z337" s="34">
        <f>IF(U337="transition","→ Tier 3 (Galactic Arm)",IF(U337="MG","Moving Group — pocket drifts together",IF(U337="OC","Open Cluster acquired",IF(U337="PV","Peculiar Velocity — passive multiplier active",IF(U337="BiP","Binary Partner — pair bond formed",IF(AND(AU337=1,N337=0,AT337&lt;&gt;1),"Cohesion ready (waiting on completionists)","")))))) </f>
        <v/>
      </c>
      <c r="AA337" s="27">
        <f>(IF(E337=0,0,(Upgrades!$G$13+E337*Upgrades!$H$13)*POWER(Upgrades!$I$13,E337)))*(IF(Upgrades!$T$14="Stellar Kinematics",POWER(Upgrades!$U$14,F337),1)*IF(Upgrades!$T$15="Stellar Kinematics",POWER(Upgrades!$U$15,G337),1)*IF(Upgrades!$T$16="Stellar Kinematics",POWER(Upgrades!$U$16,H337),1)*IF(Upgrades!$T$17="Stellar Kinematics",POWER(Upgrades!$U$17,I337),1)*IF(Upgrades!$T$18="Stellar Kinematics",POWER(Upgrades!$U$18,J337),1)*IF(Upgrades!$T$19="Stellar Kinematics",POWER(Upgrades!$U$19,K337),1)*IF(Upgrades!$T$20="Stellar Kinematics",POWER(Upgrades!$U$20,L337),1)*IF(Upgrades!$T$21="Stellar Kinematics",POWER(Upgrades!$U$21,M337),1))*POWER(Upgrades!$P$13,E337)*POWER(Upgrades!$P$14,F337)*POWER(Upgrades!$P$15,G337)*POWER(Upgrades!$P$16,H337)*POWER(Upgrades!$P$17,I337)*POWER(Upgrades!$P$18,J337)*POWER(Upgrades!$P$19,K337)*POWER(Upgrades!$P$20,L337)*POWER(Upgrades!$P$21,M337)*$F$6*60</f>
        <v/>
      </c>
      <c r="AB337" s="27">
        <f>(IF(F337=0,0,(Upgrades!$G$14+F337*Upgrades!$H$14)*POWER(Upgrades!$I$14,F337)))*(IF(Upgrades!$T$13="Local Bubble",POWER(Upgrades!$U$13,E337),1)*IF(Upgrades!$T$15="Local Bubble",POWER(Upgrades!$U$15,G337),1)*IF(Upgrades!$T$16="Local Bubble",POWER(Upgrades!$U$16,H337),1)*IF(Upgrades!$T$17="Local Bubble",POWER(Upgrades!$U$17,I337),1)*IF(Upgrades!$T$18="Local Bubble",POWER(Upgrades!$U$18,J337),1)*IF(Upgrades!$T$19="Local Bubble",POWER(Upgrades!$U$19,K337),1)*IF(Upgrades!$T$20="Local Bubble",POWER(Upgrades!$U$20,L337),1)*IF(Upgrades!$T$21="Local Bubble",POWER(Upgrades!$U$21,M337),1))*POWER(Upgrades!$P$13,E337)*POWER(Upgrades!$P$14,F337)*POWER(Upgrades!$P$15,G337)*POWER(Upgrades!$P$16,H337)*POWER(Upgrades!$P$17,I337)*POWER(Upgrades!$P$18,J337)*POWER(Upgrades!$P$19,K337)*POWER(Upgrades!$P$20,L337)*POWER(Upgrades!$P$21,M337)*$F$6*60</f>
        <v/>
      </c>
      <c r="AC337" s="27">
        <f>(IF(G337=0,0,(Upgrades!$J$15+G337*Upgrades!$K$15)*POWER(Upgrades!$L$15,G337)))*(IF(Upgrades!$T$13="Microlensing",POWER(Upgrades!$U$13,E337),1)*IF(Upgrades!$T$14="Microlensing",POWER(Upgrades!$U$14,F337),1)*IF(Upgrades!$T$16="Microlensing",POWER(Upgrades!$U$16,H337),1)*IF(Upgrades!$T$17="Microlensing",POWER(Upgrades!$U$17,I337),1)*IF(Upgrades!$T$18="Microlensing",POWER(Upgrades!$U$18,J337),1)*IF(Upgrades!$T$19="Microlensing",POWER(Upgrades!$U$19,K337),1)*IF(Upgrades!$T$20="Microlensing",POWER(Upgrades!$U$20,L337),1)*IF(Upgrades!$T$21="Microlensing",POWER(Upgrades!$U$21,M337),1))*POWER(Upgrades!$Q$13,E337)*POWER(Upgrades!$Q$14,F337)*POWER(Upgrades!$Q$15,G337)*POWER(Upgrades!$Q$16,H337)*POWER(Upgrades!$Q$17,I337)*POWER(Upgrades!$Q$18,J337)*POWER(Upgrades!$Q$19,K337)*POWER(Upgrades!$Q$20,L337)*POWER(Upgrades!$Q$21,M337)*$G$6*(Parameters!$B$10*Parameters!$B$11+Q337*60)</f>
        <v/>
      </c>
      <c r="AD337" s="27">
        <f>(IF(H337=0,0,(Upgrades!$M$16+H337*Upgrades!$N$16)*POWER(Upgrades!$O$16,H337)))*(IF(Upgrades!$T$13="Roche Lobe Overflow",POWER(Upgrades!$U$13,E337),1)*IF(Upgrades!$T$14="Roche Lobe Overflow",POWER(Upgrades!$U$14,F337),1)*IF(Upgrades!$T$15="Roche Lobe Overflow",POWER(Upgrades!$U$15,G337),1)*IF(Upgrades!$T$17="Roche Lobe Overflow",POWER(Upgrades!$U$17,I337),1)*IF(Upgrades!$T$18="Roche Lobe Overflow",POWER(Upgrades!$U$18,J337),1)*IF(Upgrades!$T$19="Roche Lobe Overflow",POWER(Upgrades!$U$19,K337),1)*IF(Upgrades!$T$20="Roche Lobe Overflow",POWER(Upgrades!$U$20,L337),1)*IF(Upgrades!$T$21="Roche Lobe Overflow",POWER(Upgrades!$U$21,M337),1))*POWER(Upgrades!$R$13,E337)*POWER(Upgrades!$R$14,F337)*POWER(Upgrades!$R$15,G337)*POWER(Upgrades!$R$16,H337)*POWER(Upgrades!$R$17,I337)*POWER(Upgrades!$R$18,J337)*POWER(Upgrades!$R$19,K337)*POWER(Upgrades!$R$20,L337)*POWER(Upgrades!$R$21,M337)*$H$6*O337*60</f>
        <v/>
      </c>
      <c r="AE337" s="27">
        <f>(IF(I337=0,0,(Upgrades!$G$17+I337*Upgrades!$H$17)*POWER(Upgrades!$I$17,I337)))*(IF(Upgrades!$T$13="Brown Dwarf",POWER(Upgrades!$U$13,E337),1)*IF(Upgrades!$T$14="Brown Dwarf",POWER(Upgrades!$U$14,F337),1)*IF(Upgrades!$T$15="Brown Dwarf",POWER(Upgrades!$U$15,G337),1)*IF(Upgrades!$T$16="Brown Dwarf",POWER(Upgrades!$U$16,H337),1)*IF(Upgrades!$T$18="Brown Dwarf",POWER(Upgrades!$U$18,J337),1)*IF(Upgrades!$T$19="Brown Dwarf",POWER(Upgrades!$U$19,K337),1)*IF(Upgrades!$T$20="Brown Dwarf",POWER(Upgrades!$U$20,L337),1)*IF(Upgrades!$T$21="Brown Dwarf",POWER(Upgrades!$U$21,M337),1))*POWER(Upgrades!$P$13,E337)*POWER(Upgrades!$P$14,F337)*POWER(Upgrades!$P$15,G337)*POWER(Upgrades!$P$16,H337)*POWER(Upgrades!$P$17,I337)*POWER(Upgrades!$P$18,J337)*POWER(Upgrades!$P$19,K337)*POWER(Upgrades!$P$20,L337)*POWER(Upgrades!$P$21,M337)*$F$6*60</f>
        <v/>
      </c>
      <c r="AF337" s="27" t="n">
        <v>0</v>
      </c>
      <c r="AG337" s="27" t="n">
        <v>0</v>
      </c>
      <c r="AH337" s="27" t="n">
        <v>0</v>
      </c>
      <c r="AI337" s="27">
        <f>(IF(M337=0,0,(Upgrades!$G$21+M337*Upgrades!$H$21)*POWER(Upgrades!$I$21,M337)))*(IF(Upgrades!$T$13="Moving Group",POWER(Upgrades!$U$13,E337),1)*IF(Upgrades!$T$14="Moving Group",POWER(Upgrades!$U$14,F337),1)*IF(Upgrades!$T$15="Moving Group",POWER(Upgrades!$U$15,G337),1)*IF(Upgrades!$T$16="Moving Group",POWER(Upgrades!$U$16,H337),1)*IF(Upgrades!$T$17="Moving Group",POWER(Upgrades!$U$17,I337),1)*IF(Upgrades!$T$18="Moving Group",POWER(Upgrades!$U$18,J337),1)*IF(Upgrades!$T$19="Moving Group",POWER(Upgrades!$U$19,K337),1)*IF(Upgrades!$T$20="Moving Group",POWER(Upgrades!$U$20,L337),1))*POWER(Upgrades!$P$13,E337)*POWER(Upgrades!$P$14,F337)*POWER(Upgrades!$P$15,G337)*POWER(Upgrades!$P$16,H337)*POWER(Upgrades!$P$17,I337)*POWER(Upgrades!$P$18,J337)*POWER(Upgrades!$P$19,K337)*POWER(Upgrades!$P$20,L337)*POWER(Upgrades!$P$21,M337)*$F$6*60</f>
        <v/>
      </c>
      <c r="AJ337" s="27">
        <f>$C$6*60</f>
        <v/>
      </c>
      <c r="AK337" s="22">
        <f>IF(E337&gt;=Upgrades!$E$13,"",Upgrades!$C$13*POWER(Upgrades!$D$13,E337))</f>
        <v/>
      </c>
      <c r="AL337" s="22">
        <f>IF(F337&gt;=Upgrades!$E$14,"",Upgrades!$C$14*POWER(Upgrades!$D$14,F337))</f>
        <v/>
      </c>
      <c r="AM337" s="22">
        <f>IF(G337&gt;=Upgrades!$E$15,"",Upgrades!$C$15*POWER(Upgrades!$D$15,G337))</f>
        <v/>
      </c>
      <c r="AN337" s="22">
        <f>IF(H337&gt;=Upgrades!$E$16,"",Upgrades!$C$16*POWER(Upgrades!$D$16,H337))</f>
        <v/>
      </c>
      <c r="AO337" s="22">
        <f>IF(I337&gt;=Upgrades!$E$17,"",Upgrades!$C$17*POWER(Upgrades!$D$17,I337))</f>
        <v/>
      </c>
      <c r="AP337" s="22">
        <f>IF(J337&gt;=Upgrades!$E$18,"",Upgrades!$C$18*POWER(Upgrades!$D$18,J337))</f>
        <v/>
      </c>
      <c r="AQ337" s="22">
        <f>IF(K337&gt;=Upgrades!$E$19,"",Upgrades!$C$19*POWER(Upgrades!$D$19,K337))</f>
        <v/>
      </c>
      <c r="AR337" s="22">
        <f>IF(L337&gt;=Upgrades!$E$20,"",Upgrades!$C$20*POWER(Upgrades!$D$20,L337))</f>
        <v/>
      </c>
      <c r="AS337" s="22">
        <f>IF(M337&gt;=Upgrades!$E$21,"",Upgrades!$C$21*POWER(Upgrades!$D$21,M337))</f>
        <v/>
      </c>
      <c r="AT337" s="26">
        <f>IF(AND(D337&gt;=Parameters!$B$18*Parameters!$B$19,(I337&gt;=Upgrades!$E$17)*(M337&gt;=Upgrades!$E$21)=1,N337=0),1,"")</f>
        <v/>
      </c>
      <c r="AU337" s="26">
        <f>IF(AND(D337&gt;=Parameters!$B$18*Parameters!$B$19,N337=0),1,"")</f>
        <v/>
      </c>
      <c r="AV337" s="22">
        <f>MIN(IF(ISNUMBER(AP337),AP337,9E15),IF(ISNUMBER(AQ337),AQ337,9E15),IF(ISNUMBER(AR337),AR337,9E15),IF(ISNUMBER(AS337),AS337,9E15))</f>
        <v/>
      </c>
      <c r="AW337" s="22">
        <f>MIN(IF(ISNUMBER(AK337),AK337,9E15),IF(ISNUMBER(AL337),AL337,9E15),IF(ISNUMBER(AM337),AM337,9E15),IF(ISNUMBER(AN337),AN337,9E15),IF(ISNUMBER(AO337),AO337,9E15))</f>
        <v/>
      </c>
      <c r="AX337" s="29">
        <f>IF(BD337&gt;Parameters!$B$21*(MAX(IF(AND(NOT(AND(AU337=1,AT337&lt;&gt;1)),ISNUMBER(AK337),AK337&lt;=(C337+T337)),AY337,0),IF(AND(NOT(AND(AU337=1,AT337&lt;&gt;1)),ISNUMBER(AL337),AL337&lt;=(C337+T337)),AZ337,0),IF(AND(NOT(AND(AU337=1,AT337&lt;&gt;1)),ISNUMBER(AM337),AM337&lt;=(C337+T337)),BA337,0),IF(AND(NOT(AND(AU337=1,AT337&lt;&gt;1)),ISNUMBER(AN337),AN337&lt;=(C337+T337)),BB337,0),IF(AND(ISNUMBER(AO337),AO337&lt;=(C337+T337)),BC337,0))),TRUE,FALSE)</f>
        <v/>
      </c>
      <c r="AY337" s="32">
        <f>IFERROR(Upgrades!$H$13*(POWER(Upgrades!$P$13,E337)*POWER(Upgrades!$P$14,F337)*POWER(Upgrades!$P$15,G337)*POWER(Upgrades!$P$16,H337)*POWER(Upgrades!$P$17,I337)*POWER(Upgrades!$P$18,J337)*POWER(Upgrades!$P$19,K337)*POWER(Upgrades!$P$20,L337)*POWER(Upgrades!$P$21,M337))*(IF(Upgrades!$T$14="Stellar Kinematics",POWER(Upgrades!$U$14,F337),1)*IF(Upgrades!$T$15="Stellar Kinematics",POWER(Upgrades!$U$15,G337),1)*IF(Upgrades!$T$16="Stellar Kinematics",POWER(Upgrades!$U$16,H337),1)*IF(Upgrades!$T$17="Stellar Kinematics",POWER(Upgrades!$U$17,I337),1)*IF(Upgrades!$T$18="Stellar Kinematics",POWER(Upgrades!$U$18,J337),1)*IF(Upgrades!$T$19="Stellar Kinematics",POWER(Upgrades!$U$19,K337),1)*IF(Upgrades!$T$20="Stellar Kinematics",POWER(Upgrades!$U$20,L337),1)*IF(Upgrades!$T$21="Stellar Kinematics",POWER(Upgrades!$U$21,M337),1))*$F$6/AK337,0)</f>
        <v/>
      </c>
      <c r="AZ337" s="32">
        <f>IFERROR(Upgrades!$H$14*(POWER(Upgrades!$P$13,E337)*POWER(Upgrades!$P$14,F337)*POWER(Upgrades!$P$15,G337)*POWER(Upgrades!$P$16,H337)*POWER(Upgrades!$P$17,I337)*POWER(Upgrades!$P$18,J337)*POWER(Upgrades!$P$19,K337)*POWER(Upgrades!$P$20,L337)*POWER(Upgrades!$P$21,M337))*(IF(Upgrades!$T$13="Local Bubble",POWER(Upgrades!$U$13,E337),1)*IF(Upgrades!$T$15="Local Bubble",POWER(Upgrades!$U$15,G337),1)*IF(Upgrades!$T$16="Local Bubble",POWER(Upgrades!$U$16,H337),1)*IF(Upgrades!$T$17="Local Bubble",POWER(Upgrades!$U$17,I337),1)*IF(Upgrades!$T$18="Local Bubble",POWER(Upgrades!$U$18,J337),1)*IF(Upgrades!$T$19="Local Bubble",POWER(Upgrades!$U$19,K337),1)*IF(Upgrades!$T$20="Local Bubble",POWER(Upgrades!$U$20,L337),1)*IF(Upgrades!$T$21="Local Bubble",POWER(Upgrades!$U$21,M337),1))*$F$6/AL337,0)</f>
        <v/>
      </c>
      <c r="BA337" s="32">
        <f>IFERROR(Upgrades!$K$15*(POWER(Upgrades!$Q$13,E337)*POWER(Upgrades!$Q$14,F337)*POWER(Upgrades!$Q$15,G337)*POWER(Upgrades!$Q$16,H337)*POWER(Upgrades!$Q$17,I337)*POWER(Upgrades!$Q$18,J337)*POWER(Upgrades!$Q$19,K337)*POWER(Upgrades!$Q$20,L337)*POWER(Upgrades!$Q$21,M337))*(IF(Upgrades!$T$13="Microlensing",POWER(Upgrades!$U$13,E337),1)*IF(Upgrades!$T$14="Microlensing",POWER(Upgrades!$U$14,F337),1)*IF(Upgrades!$T$16="Microlensing",POWER(Upgrades!$U$16,H337),1)*IF(Upgrades!$T$17="Microlensing",POWER(Upgrades!$U$17,I337),1)*IF(Upgrades!$T$18="Microlensing",POWER(Upgrades!$U$18,J337),1)*IF(Upgrades!$T$19="Microlensing",POWER(Upgrades!$U$19,K337),1)*IF(Upgrades!$T$20="Microlensing",POWER(Upgrades!$U$20,L337),1)*IF(Upgrades!$T$21="Microlensing",POWER(Upgrades!$U$21,M337),1))*$G$6*(Parameters!$B$10/60*Parameters!$B$11+Q337)/AM337,0)</f>
        <v/>
      </c>
      <c r="BB337" s="32">
        <f>IFERROR((Upgrades!$N$16*(POWER(Upgrades!$R$13,E337)*POWER(Upgrades!$R$14,F337)*POWER(Upgrades!$R$15,G337)*POWER(Upgrades!$R$16,H337)*POWER(Upgrades!$R$17,I337)*POWER(Upgrades!$R$18,J337)*POWER(Upgrades!$R$19,K337)*POWER(Upgrades!$R$20,L337)*POWER(Upgrades!$R$21,M337))*(IF(Upgrades!$T$13="Roche Lobe Overflow",POWER(Upgrades!$U$13,E337),1)*IF(Upgrades!$T$14="Roche Lobe Overflow",POWER(Upgrades!$U$14,F337),1)*IF(Upgrades!$T$15="Roche Lobe Overflow",POWER(Upgrades!$U$15,G337),1)*IF(Upgrades!$T$17="Roche Lobe Overflow",POWER(Upgrades!$U$17,I337),1)*IF(Upgrades!$T$18="Roche Lobe Overflow",POWER(Upgrades!$U$18,J337),1)*IF(Upgrades!$T$19="Roche Lobe Overflow",POWER(Upgrades!$U$19,K337),1)*IF(Upgrades!$T$20="Roche Lobe Overflow",POWER(Upgrades!$U$20,L337),1)*IF(Upgrades!$T$21="Roche Lobe Overflow",POWER(Upgrades!$U$21,M337),1))*$H$6*O337+((IF(F337=0,0,(Upgrades!$G$14+F337*Upgrades!$H$14)*POWER(Upgrades!$I$14,F337)))*(IF(Upgrades!$T$13="Local Bubble",POWER(Upgrades!$U$13,E337),1)*IF(Upgrades!$T$15="Local Bubble",POWER(Upgrades!$U$15,G337),1)*IF(Upgrades!$T$16="Local Bubble",POWER(Upgrades!$U$16,H337),1)*IF(Upgrades!$T$17="Local Bubble",POWER(Upgrades!$U$17,I337),1)*IF(Upgrades!$T$18="Local Bubble",POWER(Upgrades!$U$18,J337),1)*IF(Upgrades!$T$19="Local Bubble",POWER(Upgrades!$U$19,K337),1)*IF(Upgrades!$T$20="Local Bubble",POWER(Upgrades!$U$20,L337),1)*IF(Upgrades!$T$21="Local Bubble",POWER(Upgrades!$U$21,M337),1))*POWER(Upgrades!$P$13,E337)*POWER(Upgrades!$P$14,F337)*POWER(Upgrades!$P$15,G337)*POWER(Upgrades!$P$16,H337)*POWER(Upgrades!$P$17,I337)*POWER(Upgrades!$P$18,J337)*POWER(Upgrades!$P$19,K337)*POWER(Upgrades!$P$20,L337)*POWER(Upgrades!$P$21,M337)*$F$6)*0.05)/AN337,0)</f>
        <v/>
      </c>
      <c r="BC337" s="32">
        <f>IFERROR((Upgrades!$H$17*(POWER(Upgrades!$P$13,E337)*POWER(Upgrades!$P$14,F337)*POWER(Upgrades!$P$15,G337)*POWER(Upgrades!$P$16,H337)*POWER(Upgrades!$P$17,I337)*POWER(Upgrades!$P$18,J337)*POWER(Upgrades!$P$19,K337)*POWER(Upgrades!$P$20,L337)*POWER(Upgrades!$P$21,M337))*(IF(Upgrades!$T$13="Brown Dwarf",POWER(Upgrades!$U$13,E337),1)*IF(Upgrades!$T$14="Brown Dwarf",POWER(Upgrades!$U$14,F337),1)*IF(Upgrades!$T$15="Brown Dwarf",POWER(Upgrades!$U$15,G337),1)*IF(Upgrades!$T$16="Brown Dwarf",POWER(Upgrades!$U$16,H337),1)*IF(Upgrades!$T$18="Brown Dwarf",POWER(Upgrades!$U$18,J337),1)*IF(Upgrades!$T$19="Brown Dwarf",POWER(Upgrades!$U$19,K337),1)*IF(Upgrades!$T$20="Brown Dwarf",POWER(Upgrades!$U$20,L337),1)*IF(Upgrades!$T$21="Brown Dwarf",POWER(Upgrades!$U$21,M337),1))*$F$6+(((IF(H337=0,0,(Upgrades!$M$16+H337*Upgrades!$N$16)*POWER(Upgrades!$O$16,H337)))*(IF(Upgrades!$T$13="Roche Lobe Overflow",POWER(Upgrades!$U$13,E337),1)*IF(Upgrades!$T$14="Roche Lobe Overflow",POWER(Upgrades!$U$14,F337),1)*IF(Upgrades!$T$15="Roche Lobe Overflow",POWER(Upgrades!$U$15,G337),1)*IF(Upgrades!$T$17="Roche Lobe Overflow",POWER(Upgrades!$U$17,I337),1)*IF(Upgrades!$T$18="Roche Lobe Overflow",POWER(Upgrades!$U$18,J337),1)*IF(Upgrades!$T$19="Roche Lobe Overflow",POWER(Upgrades!$U$19,K337),1)*IF(Upgrades!$T$20="Roche Lobe Overflow",POWER(Upgrades!$U$20,L337),1)*IF(Upgrades!$T$21="Roche Lobe Overflow",POWER(Upgrades!$U$21,M337),1))*POWER(Upgrades!$R$13,E337)*POWER(Upgrades!$R$14,F337)*POWER(Upgrades!$R$15,G337)*POWER(Upgrades!$R$16,H337)*POWER(Upgrades!$R$17,I337)*POWER(Upgrades!$R$18,J337)*POWER(Upgrades!$R$19,K337)*POWER(Upgrades!$R$20,L337)*POWER(Upgrades!$R$21,M337)*$H$6)*O337)*0.10)/AO337,0)</f>
        <v/>
      </c>
      <c r="BD337" s="32">
        <f>MAX(IF(J337&gt;0,0,IFERROR(0.5*((IF(G337=0,0,(Upgrades!$J$15+G337*Upgrades!$K$15)*POWER(Upgrades!$L$15,G337)))*(IF(Upgrades!$T$13="Microlensing",POWER(Upgrades!$U$13,E337),1)*IF(Upgrades!$T$14="Microlensing",POWER(Upgrades!$U$14,F337),1)*IF(Upgrades!$T$16="Microlensing",POWER(Upgrades!$U$16,H337),1)*IF(Upgrades!$T$17="Microlensing",POWER(Upgrades!$U$17,I337),1)*IF(Upgrades!$T$18="Microlensing",POWER(Upgrades!$U$18,J337),1)*IF(Upgrades!$T$19="Microlensing",POWER(Upgrades!$U$19,K337),1)*IF(Upgrades!$T$20="Microlensing",POWER(Upgrades!$U$20,L337),1)*IF(Upgrades!$T$21="Microlensing",POWER(Upgrades!$U$21,M337),1))*(POWER(Upgrades!$Q$13,E337)*POWER(Upgrades!$Q$14,F337)*POWER(Upgrades!$Q$15,G337)*POWER(Upgrades!$Q$16,H337)*POWER(Upgrades!$Q$17,I337)*POWER(Upgrades!$Q$18,J337)*POWER(Upgrades!$Q$19,K337)*POWER(Upgrades!$Q$20,L337)*POWER(Upgrades!$Q$21,M337))*$G$6*(Parameters!$B$10/60*Parameters!$B$11+Q337))/Upgrades!$C$18,0)),IF(K337&gt;0,0,IFERROR(0.30*P337/Upgrades!$C$19,0)),IF(L337&gt;0,0,IFERROR(0.0001/Upgrades!$C$20,0)),IF(M337&gt;0,0,IFERROR((6.0*(POWER(Upgrades!$P$13,E337)*POWER(Upgrades!$P$14,F337)*POWER(Upgrades!$P$15,G337)*POWER(Upgrades!$P$16,H337)*POWER(Upgrades!$P$17,I337)*POWER(Upgrades!$P$18,J337)*POWER(Upgrades!$P$19,K337)*POWER(Upgrades!$P$20,L337)*POWER(Upgrades!$P$21,M337))*$F$6+0.20*O337*(Parameters!$B$10/60*Parameters!$B$11+Q337))/Upgrades!$C$21,0)),IF(AND(ISNUMBER(AK337),AK337&gt;(C337+T337)),AY337,0),IF(AND(ISNUMBER(AL337),AL337&gt;(C337+T337)),AZ337,0),IF(AND(ISNUMBER(AM337),AM337&gt;(C337+T337)),BA337,0),IF(AND(ISNUMBER(AN337),AN337&gt;(C337+T337)),BB337,0),IF(AND(ISNUMBER(AO337),AO337&gt;(C337+T337)),BC337,0))</f>
        <v/>
      </c>
      <c r="BE337" s="29">
        <f>IF(AT337=1,"transition",IF(MIN(IF(AND(J337=0,ISNUMBER(AP337),AP337&lt;=(C337+T337)),AP337,9E15),IF(AND(K337=0,ISNUMBER(AQ337),AQ337&lt;=(C337+T337)),AQ337,9E15),IF(AND(L337=0,ISNUMBER(AR337),AR337&lt;=(C337+T337)),AR337,9E15),IF(AND(M337=0,ISNUMBER(AS337),AS337&lt;=(C337+T337)),AS337,9E15))&lt;9E15,IF(AND(AND(J337=0,ISNUMBER(AP337),AP337&lt;=(C337+T337)),AP337=MIN(IF(AND(J337=0,ISNUMBER(AP337),AP337&lt;=(C337+T337)),AP337,9E15),IF(AND(K337=0,ISNUMBER(AQ337),AQ337&lt;=(C337+T337)),AQ337,9E15),IF(AND(L337=0,ISNUMBER(AR337),AR337&lt;=(C337+T337)),AR337,9E15),IF(AND(M337=0,ISNUMBER(AS337),AS337&lt;=(C337+T337)),AS337,9E15))),"BiP",IF(AND(AND(K337=0,ISNUMBER(AQ337),AQ337&lt;=(C337+T337)),AQ337=MIN(IF(AND(J337=0,ISNUMBER(AP337),AP337&lt;=(C337+T337)),AP337,9E15),IF(AND(K337=0,ISNUMBER(AQ337),AQ337&lt;=(C337+T337)),AQ337,9E15),IF(AND(L337=0,ISNUMBER(AR337),AR337&lt;=(C337+T337)),AR337,9E15),IF(AND(M337=0,ISNUMBER(AS337),AS337&lt;=(C337+T337)),AS337,9E15))),"PV",IF(AND(AND(L337=0,ISNUMBER(AR337),AR337&lt;=(C337+T337)),AR337=MIN(IF(AND(J337=0,ISNUMBER(AP337),AP337&lt;=(C337+T337)),AP337,9E15),IF(AND(K337=0,ISNUMBER(AQ337),AQ337&lt;=(C337+T337)),AQ337,9E15),IF(AND(L337=0,ISNUMBER(AR337),AR337&lt;=(C337+T337)),AR337,9E15),IF(AND(M337=0,ISNUMBER(AS337),AS337&lt;=(C337+T337)),AS337,9E15))),"OC","MG"))),IF(AX337=TRUE,"",IF(MAX(IF(AND(NOT(AND(AU337=1,AT337&lt;&gt;1)),ISNUMBER(AK337),AK337&lt;=(C337+T337)),AY337,0),IF(AND(NOT(AND(AU337=1,AT337&lt;&gt;1)),ISNUMBER(AL337),AL337&lt;=(C337+T337)),AZ337,0),IF(AND(NOT(AND(AU337=1,AT337&lt;&gt;1)),ISNUMBER(AM337),AM337&lt;=(C337+T337)),BA337,0),IF(AND(NOT(AND(AU337=1,AT337&lt;&gt;1)),ISNUMBER(AN337),AN337&lt;=(C337+T337)),BB337,0),IF(AND(ISNUMBER(AO337),AO337&lt;=(C337+T337)),BC337,0))&lt;=0,"",IF(AND(IF(AND(NOT(AND(AU337=1,AT337&lt;&gt;1)),ISNUMBER(AK337),AK337&lt;=(C337+T337)),AY337,0)&gt;0,IF(AND(NOT(AND(AU337=1,AT337&lt;&gt;1)),ISNUMBER(AK337),AK337&lt;=(C337+T337)),AY337,0)=MAX(IF(AND(NOT(AND(AU337=1,AT337&lt;&gt;1)),ISNUMBER(AK337),AK337&lt;=(C337+T337)),AY337,0),IF(AND(NOT(AND(AU337=1,AT337&lt;&gt;1)),ISNUMBER(AL337),AL337&lt;=(C337+T337)),AZ337,0),IF(AND(NOT(AND(AU337=1,AT337&lt;&gt;1)),ISNUMBER(AM337),AM337&lt;=(C337+T337)),BA337,0),IF(AND(NOT(AND(AU337=1,AT337&lt;&gt;1)),ISNUMBER(AN337),AN337&lt;=(C337+T337)),BB337,0),IF(AND(ISNUMBER(AO337),AO337&lt;=(C337+T337)),BC337,0))),"SK",IF(AND(IF(AND(NOT(AND(AU337=1,AT337&lt;&gt;1)),ISNUMBER(AL337),AL337&lt;=(C337+T337)),AZ337,0)&gt;0,IF(AND(NOT(AND(AU337=1,AT337&lt;&gt;1)),ISNUMBER(AL337),AL337&lt;=(C337+T337)),AZ337,0)=MAX(IF(AND(NOT(AND(AU337=1,AT337&lt;&gt;1)),ISNUMBER(AK337),AK337&lt;=(C337+T337)),AY337,0),IF(AND(NOT(AND(AU337=1,AT337&lt;&gt;1)),ISNUMBER(AL337),AL337&lt;=(C337+T337)),AZ337,0),IF(AND(NOT(AND(AU337=1,AT337&lt;&gt;1)),ISNUMBER(AM337),AM337&lt;=(C337+T337)),BA337,0),IF(AND(NOT(AND(AU337=1,AT337&lt;&gt;1)),ISNUMBER(AN337),AN337&lt;=(C337+T337)),BB337,0),IF(AND(ISNUMBER(AO337),AO337&lt;=(C337+T337)),BC337,0))),"LB",IF(AND(IF(AND(NOT(AND(AU337=1,AT337&lt;&gt;1)),ISNUMBER(AM337),AM337&lt;=(C337+T337)),BA337,0)&gt;0,IF(AND(NOT(AND(AU337=1,AT337&lt;&gt;1)),ISNUMBER(AM337),AM337&lt;=(C337+T337)),BA337,0)=MAX(IF(AND(NOT(AND(AU337=1,AT337&lt;&gt;1)),ISNUMBER(AK337),AK337&lt;=(C337+T337)),AY337,0),IF(AND(NOT(AND(AU337=1,AT337&lt;&gt;1)),ISNUMBER(AL337),AL337&lt;=(C337+T337)),AZ337,0),IF(AND(NOT(AND(AU337=1,AT337&lt;&gt;1)),ISNUMBER(AM337),AM337&lt;=(C337+T337)),BA337,0),IF(AND(NOT(AND(AU337=1,AT337&lt;&gt;1)),ISNUMBER(AN337),AN337&lt;=(C337+T337)),BB337,0),IF(AND(ISNUMBER(AO337),AO337&lt;=(C337+T337)),BC337,0))),"ML",IF(AND(IF(AND(NOT(AND(AU337=1,AT337&lt;&gt;1)),ISNUMBER(AN337),AN337&lt;=(C337+T337)),BB337,0)&gt;0,IF(AND(NOT(AND(AU337=1,AT337&lt;&gt;1)),ISNUMBER(AN337),AN337&lt;=(C337+T337)),BB337,0)=MAX(IF(AND(NOT(AND(AU337=1,AT337&lt;&gt;1)),ISNUMBER(AK337),AK337&lt;=(C337+T337)),AY337,0),IF(AND(NOT(AND(AU337=1,AT337&lt;&gt;1)),ISNUMBER(AL337),AL337&lt;=(C337+T337)),AZ337,0),IF(AND(NOT(AND(AU337=1,AT337&lt;&gt;1)),ISNUMBER(AM337),AM337&lt;=(C337+T337)),BA337,0),IF(AND(NOT(AND(AU337=1,AT337&lt;&gt;1)),ISNUMBER(AN337),AN337&lt;=(C337+T337)),BB337,0),IF(AND(ISNUMBER(AO337),AO337&lt;=(C337+T337)),BC337,0))),"RLO","BD"))))))))</f>
        <v/>
      </c>
    </row>
    <row r="338">
      <c r="A338" s="26" t="n">
        <v>327</v>
      </c>
      <c r="B338" s="27">
        <f>A338*10/60</f>
        <v/>
      </c>
      <c r="C338" s="22">
        <f>X337</f>
        <v/>
      </c>
      <c r="D338" s="27">
        <f>D337+W337</f>
        <v/>
      </c>
      <c r="E338" s="26">
        <f>E337+IF(U337="SK",1,0)</f>
        <v/>
      </c>
      <c r="F338" s="26">
        <f>F337+IF(U337="LB",1,0)</f>
        <v/>
      </c>
      <c r="G338" s="26">
        <f>G337+IF(U337="ML",1,0)</f>
        <v/>
      </c>
      <c r="H338" s="26">
        <f>H337+IF(U337="RLO",1,0)</f>
        <v/>
      </c>
      <c r="I338" s="26">
        <f>I337+IF(U337="BD",1,0)</f>
        <v/>
      </c>
      <c r="J338" s="26">
        <f>MAX(J337,IF(U337="BiP",1,0))</f>
        <v/>
      </c>
      <c r="K338" s="26">
        <f>MAX(K337,IF(U337="PV",1,0))</f>
        <v/>
      </c>
      <c r="L338" s="26">
        <f>MAX(L337,IF(U337="OC",1,0))</f>
        <v/>
      </c>
      <c r="M338" s="26">
        <f>MAX(M337,IF(U337="MG",1,0))</f>
        <v/>
      </c>
      <c r="N338" s="26">
        <f>MAX(N337,IF(U337="transition",1,0))</f>
        <v/>
      </c>
      <c r="O338" s="28">
        <f>(Parameters!$B$9+(IF(E338=0,0,(Upgrades!$J$13+E338*Upgrades!$K$13)*POWER(Upgrades!$L$13,E338)))*(IF(Upgrades!$T$14="Stellar Kinematics",POWER(Upgrades!$U$14,F338),1)*IF(Upgrades!$T$15="Stellar Kinematics",POWER(Upgrades!$U$15,G338),1)*IF(Upgrades!$T$16="Stellar Kinematics",POWER(Upgrades!$U$16,H338),1)*IF(Upgrades!$T$17="Stellar Kinematics",POWER(Upgrades!$U$17,I338),1)*IF(Upgrades!$T$18="Stellar Kinematics",POWER(Upgrades!$U$18,J338),1)*IF(Upgrades!$T$19="Stellar Kinematics",POWER(Upgrades!$U$19,K338),1)*IF(Upgrades!$T$20="Stellar Kinematics",POWER(Upgrades!$U$20,L338),1)*IF(Upgrades!$T$21="Stellar Kinematics",POWER(Upgrades!$U$21,M338),1))+(IF(F338=0,0,(Upgrades!$J$14+F338*Upgrades!$K$14)*POWER(Upgrades!$L$14,F338)))*(IF(Upgrades!$T$13="Local Bubble",POWER(Upgrades!$U$13,E338),1)*IF(Upgrades!$T$15="Local Bubble",POWER(Upgrades!$U$15,G338),1)*IF(Upgrades!$T$16="Local Bubble",POWER(Upgrades!$U$16,H338),1)*IF(Upgrades!$T$17="Local Bubble",POWER(Upgrades!$U$17,I338),1)*IF(Upgrades!$T$18="Local Bubble",POWER(Upgrades!$U$18,J338),1)*IF(Upgrades!$T$19="Local Bubble",POWER(Upgrades!$U$19,K338),1)*IF(Upgrades!$T$20="Local Bubble",POWER(Upgrades!$U$20,L338),1)*IF(Upgrades!$T$21="Local Bubble",POWER(Upgrades!$U$21,M338),1))+(IF(G338=0,0,(Upgrades!$J$15+G338*Upgrades!$K$15)*POWER(Upgrades!$L$15,G338)))*(IF(Upgrades!$T$13="Microlensing",POWER(Upgrades!$U$13,E338),1)*IF(Upgrades!$T$14="Microlensing",POWER(Upgrades!$U$14,F338),1)*IF(Upgrades!$T$16="Microlensing",POWER(Upgrades!$U$16,H338),1)*IF(Upgrades!$T$17="Microlensing",POWER(Upgrades!$U$17,I338),1)*IF(Upgrades!$T$18="Microlensing",POWER(Upgrades!$U$18,J338),1)*IF(Upgrades!$T$19="Microlensing",POWER(Upgrades!$U$19,K338),1)*IF(Upgrades!$T$20="Microlensing",POWER(Upgrades!$U$20,L338),1)*IF(Upgrades!$T$21="Microlensing",POWER(Upgrades!$U$21,M338),1))+(IF(H338=0,0,(Upgrades!$J$16+H338*Upgrades!$K$16)*POWER(Upgrades!$L$16,H338)))*(IF(Upgrades!$T$13="Roche Lobe Overflow",POWER(Upgrades!$U$13,E338),1)*IF(Upgrades!$T$14="Roche Lobe Overflow",POWER(Upgrades!$U$14,F338),1)*IF(Upgrades!$T$15="Roche Lobe Overflow",POWER(Upgrades!$U$15,G338),1)*IF(Upgrades!$T$17="Roche Lobe Overflow",POWER(Upgrades!$U$17,I338),1)*IF(Upgrades!$T$18="Roche Lobe Overflow",POWER(Upgrades!$U$18,J338),1)*IF(Upgrades!$T$19="Roche Lobe Overflow",POWER(Upgrades!$U$19,K338),1)*IF(Upgrades!$T$20="Roche Lobe Overflow",POWER(Upgrades!$U$20,L338),1)*IF(Upgrades!$T$21="Roche Lobe Overflow",POWER(Upgrades!$U$21,M338),1))+(IF(I338=0,0,(Upgrades!$J$17+I338*Upgrades!$K$17)*POWER(Upgrades!$L$17,I338)))*(IF(Upgrades!$T$13="Brown Dwarf",POWER(Upgrades!$U$13,E338),1)*IF(Upgrades!$T$14="Brown Dwarf",POWER(Upgrades!$U$14,F338),1)*IF(Upgrades!$T$15="Brown Dwarf",POWER(Upgrades!$U$15,G338),1)*IF(Upgrades!$T$16="Brown Dwarf",POWER(Upgrades!$U$16,H338),1)*IF(Upgrades!$T$18="Brown Dwarf",POWER(Upgrades!$U$18,J338),1)*IF(Upgrades!$T$19="Brown Dwarf",POWER(Upgrades!$U$19,K338),1)*IF(Upgrades!$T$20="Brown Dwarf",POWER(Upgrades!$U$20,L338),1)*IF(Upgrades!$T$21="Brown Dwarf",POWER(Upgrades!$U$21,M338),1))+(IF(J338=0,0,(Upgrades!$J$18+J338*Upgrades!$K$18)*POWER(Upgrades!$L$18,J338)))*(IF(Upgrades!$T$13="Binary Partner",POWER(Upgrades!$U$13,E338),1)*IF(Upgrades!$T$14="Binary Partner",POWER(Upgrades!$U$14,F338),1)*IF(Upgrades!$T$15="Binary Partner",POWER(Upgrades!$U$15,G338),1)*IF(Upgrades!$T$16="Binary Partner",POWER(Upgrades!$U$16,H338),1)*IF(Upgrades!$T$17="Binary Partner",POWER(Upgrades!$U$17,I338),1)*IF(Upgrades!$T$19="Binary Partner",POWER(Upgrades!$U$19,K338),1)*IF(Upgrades!$T$20="Binary Partner",POWER(Upgrades!$U$20,L338),1)*IF(Upgrades!$T$21="Binary Partner",POWER(Upgrades!$U$21,M338),1))+(IF(K338=0,0,(Upgrades!$J$19+K338*Upgrades!$K$19)*POWER(Upgrades!$L$19,K338)))*(IF(Upgrades!$T$13="Peculiar Velocity",POWER(Upgrades!$U$13,E338),1)*IF(Upgrades!$T$14="Peculiar Velocity",POWER(Upgrades!$U$14,F338),1)*IF(Upgrades!$T$15="Peculiar Velocity",POWER(Upgrades!$U$15,G338),1)*IF(Upgrades!$T$16="Peculiar Velocity",POWER(Upgrades!$U$16,H338),1)*IF(Upgrades!$T$17="Peculiar Velocity",POWER(Upgrades!$U$17,I338),1)*IF(Upgrades!$T$18="Peculiar Velocity",POWER(Upgrades!$U$18,J338),1)*IF(Upgrades!$T$20="Peculiar Velocity",POWER(Upgrades!$U$20,L338),1)*IF(Upgrades!$T$21="Peculiar Velocity",POWER(Upgrades!$U$21,M338),1))+(IF(L338=0,0,(Upgrades!$J$20+L338*Upgrades!$K$20)*POWER(Upgrades!$L$20,L338)))*(IF(Upgrades!$T$13="Open Cluster",POWER(Upgrades!$U$13,E338),1)*IF(Upgrades!$T$14="Open Cluster",POWER(Upgrades!$U$14,F338),1)*IF(Upgrades!$T$15="Open Cluster",POWER(Upgrades!$U$15,G338),1)*IF(Upgrades!$T$16="Open Cluster",POWER(Upgrades!$U$16,H338),1)*IF(Upgrades!$T$17="Open Cluster",POWER(Upgrades!$U$17,I338),1)*IF(Upgrades!$T$18="Open Cluster",POWER(Upgrades!$U$18,J338),1)*IF(Upgrades!$T$19="Open Cluster",POWER(Upgrades!$U$19,K338),1)*IF(Upgrades!$T$21="Open Cluster",POWER(Upgrades!$U$21,M338),1))+(IF(M338=0,0,(Upgrades!$J$21+M338*Upgrades!$K$21)*POWER(Upgrades!$L$21,M338)))*(IF(Upgrades!$T$13="Moving Group",POWER(Upgrades!$U$13,E338),1)*IF(Upgrades!$T$14="Moving Group",POWER(Upgrades!$U$14,F338),1)*IF(Upgrades!$T$15="Moving Group",POWER(Upgrades!$U$15,G338),1)*IF(Upgrades!$T$16="Moving Group",POWER(Upgrades!$U$16,H338),1)*IF(Upgrades!$T$17="Moving Group",POWER(Upgrades!$U$17,I338),1)*IF(Upgrades!$T$18="Moving Group",POWER(Upgrades!$U$18,J338),1)*IF(Upgrades!$T$19="Moving Group",POWER(Upgrades!$U$19,K338),1)*IF(Upgrades!$T$20="Moving Group",POWER(Upgrades!$U$20,L338),1)))*POWER(Upgrades!$Q$13,E338)*POWER(Upgrades!$Q$14,F338)*POWER(Upgrades!$Q$15,G338)*POWER(Upgrades!$Q$16,H338)*POWER(Upgrades!$Q$17,I338)*POWER(Upgrades!$Q$18,J338)*POWER(Upgrades!$Q$19,K338)*POWER(Upgrades!$Q$20,L338)*POWER(Upgrades!$Q$21,M338)*$G$6+$D$6</f>
        <v/>
      </c>
      <c r="P338" s="28">
        <f>((IF(E338=0,0,(Upgrades!$G$13+E338*Upgrades!$H$13)*POWER(Upgrades!$I$13,E338)))*(IF(Upgrades!$T$14="Stellar Kinematics",POWER(Upgrades!$U$14,F338),1)*IF(Upgrades!$T$15="Stellar Kinematics",POWER(Upgrades!$U$15,G338),1)*IF(Upgrades!$T$16="Stellar Kinematics",POWER(Upgrades!$U$16,H338),1)*IF(Upgrades!$T$17="Stellar Kinematics",POWER(Upgrades!$U$17,I338),1)*IF(Upgrades!$T$18="Stellar Kinematics",POWER(Upgrades!$U$18,J338),1)*IF(Upgrades!$T$19="Stellar Kinematics",POWER(Upgrades!$U$19,K338),1)*IF(Upgrades!$T$20="Stellar Kinematics",POWER(Upgrades!$U$20,L338),1)*IF(Upgrades!$T$21="Stellar Kinematics",POWER(Upgrades!$U$21,M338),1))+(IF(F338=0,0,(Upgrades!$G$14+F338*Upgrades!$H$14)*POWER(Upgrades!$I$14,F338)))*(IF(Upgrades!$T$13="Local Bubble",POWER(Upgrades!$U$13,E338),1)*IF(Upgrades!$T$15="Local Bubble",POWER(Upgrades!$U$15,G338),1)*IF(Upgrades!$T$16="Local Bubble",POWER(Upgrades!$U$16,H338),1)*IF(Upgrades!$T$17="Local Bubble",POWER(Upgrades!$U$17,I338),1)*IF(Upgrades!$T$18="Local Bubble",POWER(Upgrades!$U$18,J338),1)*IF(Upgrades!$T$19="Local Bubble",POWER(Upgrades!$U$19,K338),1)*IF(Upgrades!$T$20="Local Bubble",POWER(Upgrades!$U$20,L338),1)*IF(Upgrades!$T$21="Local Bubble",POWER(Upgrades!$U$21,M338),1))+(IF(G338=0,0,(Upgrades!$G$15+G338*Upgrades!$H$15)*POWER(Upgrades!$I$15,G338)))*(IF(Upgrades!$T$13="Microlensing",POWER(Upgrades!$U$13,E338),1)*IF(Upgrades!$T$14="Microlensing",POWER(Upgrades!$U$14,F338),1)*IF(Upgrades!$T$16="Microlensing",POWER(Upgrades!$U$16,H338),1)*IF(Upgrades!$T$17="Microlensing",POWER(Upgrades!$U$17,I338),1)*IF(Upgrades!$T$18="Microlensing",POWER(Upgrades!$U$18,J338),1)*IF(Upgrades!$T$19="Microlensing",POWER(Upgrades!$U$19,K338),1)*IF(Upgrades!$T$20="Microlensing",POWER(Upgrades!$U$20,L338),1)*IF(Upgrades!$T$21="Microlensing",POWER(Upgrades!$U$21,M338),1))+(IF(H338=0,0,(Upgrades!$G$16+H338*Upgrades!$H$16)*POWER(Upgrades!$I$16,H338)))*(IF(Upgrades!$T$13="Roche Lobe Overflow",POWER(Upgrades!$U$13,E338),1)*IF(Upgrades!$T$14="Roche Lobe Overflow",POWER(Upgrades!$U$14,F338),1)*IF(Upgrades!$T$15="Roche Lobe Overflow",POWER(Upgrades!$U$15,G338),1)*IF(Upgrades!$T$17="Roche Lobe Overflow",POWER(Upgrades!$U$17,I338),1)*IF(Upgrades!$T$18="Roche Lobe Overflow",POWER(Upgrades!$U$18,J338),1)*IF(Upgrades!$T$19="Roche Lobe Overflow",POWER(Upgrades!$U$19,K338),1)*IF(Upgrades!$T$20="Roche Lobe Overflow",POWER(Upgrades!$U$20,L338),1)*IF(Upgrades!$T$21="Roche Lobe Overflow",POWER(Upgrades!$U$21,M338),1))+(IF(I338=0,0,(Upgrades!$G$17+I338*Upgrades!$H$17)*POWER(Upgrades!$I$17,I338)))*(IF(Upgrades!$T$13="Brown Dwarf",POWER(Upgrades!$U$13,E338),1)*IF(Upgrades!$T$14="Brown Dwarf",POWER(Upgrades!$U$14,F338),1)*IF(Upgrades!$T$15="Brown Dwarf",POWER(Upgrades!$U$15,G338),1)*IF(Upgrades!$T$16="Brown Dwarf",POWER(Upgrades!$U$16,H338),1)*IF(Upgrades!$T$18="Brown Dwarf",POWER(Upgrades!$U$18,J338),1)*IF(Upgrades!$T$19="Brown Dwarf",POWER(Upgrades!$U$19,K338),1)*IF(Upgrades!$T$20="Brown Dwarf",POWER(Upgrades!$U$20,L338),1)*IF(Upgrades!$T$21="Brown Dwarf",POWER(Upgrades!$U$21,M338),1))+(IF(J338=0,0,(Upgrades!$G$18+J338*Upgrades!$H$18)*POWER(Upgrades!$I$18,J338)))*(IF(Upgrades!$T$13="Binary Partner",POWER(Upgrades!$U$13,E338),1)*IF(Upgrades!$T$14="Binary Partner",POWER(Upgrades!$U$14,F338),1)*IF(Upgrades!$T$15="Binary Partner",POWER(Upgrades!$U$15,G338),1)*IF(Upgrades!$T$16="Binary Partner",POWER(Upgrades!$U$16,H338),1)*IF(Upgrades!$T$17="Binary Partner",POWER(Upgrades!$U$17,I338),1)*IF(Upgrades!$T$19="Binary Partner",POWER(Upgrades!$U$19,K338),1)*IF(Upgrades!$T$20="Binary Partner",POWER(Upgrades!$U$20,L338),1)*IF(Upgrades!$T$21="Binary Partner",POWER(Upgrades!$U$21,M338),1))+(IF(K338=0,0,(Upgrades!$G$19+K338*Upgrades!$H$19)*POWER(Upgrades!$I$19,K338)))*(IF(Upgrades!$T$13="Peculiar Velocity",POWER(Upgrades!$U$13,E338),1)*IF(Upgrades!$T$14="Peculiar Velocity",POWER(Upgrades!$U$14,F338),1)*IF(Upgrades!$T$15="Peculiar Velocity",POWER(Upgrades!$U$15,G338),1)*IF(Upgrades!$T$16="Peculiar Velocity",POWER(Upgrades!$U$16,H338),1)*IF(Upgrades!$T$17="Peculiar Velocity",POWER(Upgrades!$U$17,I338),1)*IF(Upgrades!$T$18="Peculiar Velocity",POWER(Upgrades!$U$18,J338),1)*IF(Upgrades!$T$20="Peculiar Velocity",POWER(Upgrades!$U$20,L338),1)*IF(Upgrades!$T$21="Peculiar Velocity",POWER(Upgrades!$U$21,M338),1))+(IF(L338=0,0,(Upgrades!$G$20+L338*Upgrades!$H$20)*POWER(Upgrades!$I$20,L338)))*(IF(Upgrades!$T$13="Open Cluster",POWER(Upgrades!$U$13,E338),1)*IF(Upgrades!$T$14="Open Cluster",POWER(Upgrades!$U$14,F338),1)*IF(Upgrades!$T$15="Open Cluster",POWER(Upgrades!$U$15,G338),1)*IF(Upgrades!$T$16="Open Cluster",POWER(Upgrades!$U$16,H338),1)*IF(Upgrades!$T$17="Open Cluster",POWER(Upgrades!$U$17,I338),1)*IF(Upgrades!$T$18="Open Cluster",POWER(Upgrades!$U$18,J338),1)*IF(Upgrades!$T$19="Open Cluster",POWER(Upgrades!$U$19,K338),1)*IF(Upgrades!$T$21="Open Cluster",POWER(Upgrades!$U$21,M338),1))+(IF(M338=0,0,(Upgrades!$G$21+M338*Upgrades!$H$21)*POWER(Upgrades!$I$21,M338)))*(IF(Upgrades!$T$13="Moving Group",POWER(Upgrades!$U$13,E338),1)*IF(Upgrades!$T$14="Moving Group",POWER(Upgrades!$U$14,F338),1)*IF(Upgrades!$T$15="Moving Group",POWER(Upgrades!$U$15,G338),1)*IF(Upgrades!$T$16="Moving Group",POWER(Upgrades!$U$16,H338),1)*IF(Upgrades!$T$17="Moving Group",POWER(Upgrades!$U$17,I338),1)*IF(Upgrades!$T$18="Moving Group",POWER(Upgrades!$U$18,J338),1)*IF(Upgrades!$T$19="Moving Group",POWER(Upgrades!$U$19,K338),1)*IF(Upgrades!$T$20="Moving Group",POWER(Upgrades!$U$20,L338),1)))*POWER(Upgrades!$P$13,E338)*POWER(Upgrades!$P$14,F338)*POWER(Upgrades!$P$15,G338)*POWER(Upgrades!$P$16,H338)*POWER(Upgrades!$P$17,I338)*POWER(Upgrades!$P$18,J338)*POWER(Upgrades!$P$19,K338)*POWER(Upgrades!$P$20,L338)*POWER(Upgrades!$P$21,M338)*$F$6+$C$6</f>
        <v/>
      </c>
      <c r="Q338" s="28">
        <f>((IF(E338=0,0,(Upgrades!$M$13+E338*Upgrades!$N$13)*POWER(Upgrades!$O$13,E338)))*(IF(Upgrades!$T$14="Stellar Kinematics",POWER(Upgrades!$U$14,F338),1)*IF(Upgrades!$T$15="Stellar Kinematics",POWER(Upgrades!$U$15,G338),1)*IF(Upgrades!$T$16="Stellar Kinematics",POWER(Upgrades!$U$16,H338),1)*IF(Upgrades!$T$17="Stellar Kinematics",POWER(Upgrades!$U$17,I338),1)*IF(Upgrades!$T$18="Stellar Kinematics",POWER(Upgrades!$U$18,J338),1)*IF(Upgrades!$T$19="Stellar Kinematics",POWER(Upgrades!$U$19,K338),1)*IF(Upgrades!$T$20="Stellar Kinematics",POWER(Upgrades!$U$20,L338),1)*IF(Upgrades!$T$21="Stellar Kinematics",POWER(Upgrades!$U$21,M338),1))+(IF(F338=0,0,(Upgrades!$M$14+F338*Upgrades!$N$14)*POWER(Upgrades!$O$14,F338)))*(IF(Upgrades!$T$13="Local Bubble",POWER(Upgrades!$U$13,E338),1)*IF(Upgrades!$T$15="Local Bubble",POWER(Upgrades!$U$15,G338),1)*IF(Upgrades!$T$16="Local Bubble",POWER(Upgrades!$U$16,H338),1)*IF(Upgrades!$T$17="Local Bubble",POWER(Upgrades!$U$17,I338),1)*IF(Upgrades!$T$18="Local Bubble",POWER(Upgrades!$U$18,J338),1)*IF(Upgrades!$T$19="Local Bubble",POWER(Upgrades!$U$19,K338),1)*IF(Upgrades!$T$20="Local Bubble",POWER(Upgrades!$U$20,L338),1)*IF(Upgrades!$T$21="Local Bubble",POWER(Upgrades!$U$21,M338),1))+(IF(G338=0,0,(Upgrades!$M$15+G338*Upgrades!$N$15)*POWER(Upgrades!$O$15,G338)))*(IF(Upgrades!$T$13="Microlensing",POWER(Upgrades!$U$13,E338),1)*IF(Upgrades!$T$14="Microlensing",POWER(Upgrades!$U$14,F338),1)*IF(Upgrades!$T$16="Microlensing",POWER(Upgrades!$U$16,H338),1)*IF(Upgrades!$T$17="Microlensing",POWER(Upgrades!$U$17,I338),1)*IF(Upgrades!$T$18="Microlensing",POWER(Upgrades!$U$18,J338),1)*IF(Upgrades!$T$19="Microlensing",POWER(Upgrades!$U$19,K338),1)*IF(Upgrades!$T$20="Microlensing",POWER(Upgrades!$U$20,L338),1)*IF(Upgrades!$T$21="Microlensing",POWER(Upgrades!$U$21,M338),1))+(IF(H338=0,0,(Upgrades!$M$16+H338*Upgrades!$N$16)*POWER(Upgrades!$O$16,H338)))*(IF(Upgrades!$T$13="Roche Lobe Overflow",POWER(Upgrades!$U$13,E338),1)*IF(Upgrades!$T$14="Roche Lobe Overflow",POWER(Upgrades!$U$14,F338),1)*IF(Upgrades!$T$15="Roche Lobe Overflow",POWER(Upgrades!$U$15,G338),1)*IF(Upgrades!$T$17="Roche Lobe Overflow",POWER(Upgrades!$U$17,I338),1)*IF(Upgrades!$T$18="Roche Lobe Overflow",POWER(Upgrades!$U$18,J338),1)*IF(Upgrades!$T$19="Roche Lobe Overflow",POWER(Upgrades!$U$19,K338),1)*IF(Upgrades!$T$20="Roche Lobe Overflow",POWER(Upgrades!$U$20,L338),1)*IF(Upgrades!$T$21="Roche Lobe Overflow",POWER(Upgrades!$U$21,M338),1))+(IF(I338=0,0,(Upgrades!$M$17+I338*Upgrades!$N$17)*POWER(Upgrades!$O$17,I338)))*(IF(Upgrades!$T$13="Brown Dwarf",POWER(Upgrades!$U$13,E338),1)*IF(Upgrades!$T$14="Brown Dwarf",POWER(Upgrades!$U$14,F338),1)*IF(Upgrades!$T$15="Brown Dwarf",POWER(Upgrades!$U$15,G338),1)*IF(Upgrades!$T$16="Brown Dwarf",POWER(Upgrades!$U$16,H338),1)*IF(Upgrades!$T$18="Brown Dwarf",POWER(Upgrades!$U$18,J338),1)*IF(Upgrades!$T$19="Brown Dwarf",POWER(Upgrades!$U$19,K338),1)*IF(Upgrades!$T$20="Brown Dwarf",POWER(Upgrades!$U$20,L338),1)*IF(Upgrades!$T$21="Brown Dwarf",POWER(Upgrades!$U$21,M338),1))+(IF(J338=0,0,(Upgrades!$M$18+J338*Upgrades!$N$18)*POWER(Upgrades!$O$18,J338)))*(IF(Upgrades!$T$13="Binary Partner",POWER(Upgrades!$U$13,E338),1)*IF(Upgrades!$T$14="Binary Partner",POWER(Upgrades!$U$14,F338),1)*IF(Upgrades!$T$15="Binary Partner",POWER(Upgrades!$U$15,G338),1)*IF(Upgrades!$T$16="Binary Partner",POWER(Upgrades!$U$16,H338),1)*IF(Upgrades!$T$17="Binary Partner",POWER(Upgrades!$U$17,I338),1)*IF(Upgrades!$T$19="Binary Partner",POWER(Upgrades!$U$19,K338),1)*IF(Upgrades!$T$20="Binary Partner",POWER(Upgrades!$U$20,L338),1)*IF(Upgrades!$T$21="Binary Partner",POWER(Upgrades!$U$21,M338),1))+(IF(K338=0,0,(Upgrades!$M$19+K338*Upgrades!$N$19)*POWER(Upgrades!$O$19,K338)))*(IF(Upgrades!$T$13="Peculiar Velocity",POWER(Upgrades!$U$13,E338),1)*IF(Upgrades!$T$14="Peculiar Velocity",POWER(Upgrades!$U$14,F338),1)*IF(Upgrades!$T$15="Peculiar Velocity",POWER(Upgrades!$U$15,G338),1)*IF(Upgrades!$T$16="Peculiar Velocity",POWER(Upgrades!$U$16,H338),1)*IF(Upgrades!$T$17="Peculiar Velocity",POWER(Upgrades!$U$17,I338),1)*IF(Upgrades!$T$18="Peculiar Velocity",POWER(Upgrades!$U$18,J338),1)*IF(Upgrades!$T$20="Peculiar Velocity",POWER(Upgrades!$U$20,L338),1)*IF(Upgrades!$T$21="Peculiar Velocity",POWER(Upgrades!$U$21,M338),1))+(IF(L338=0,0,(Upgrades!$M$20+L338*Upgrades!$N$20)*POWER(Upgrades!$O$20,L338)))*(IF(Upgrades!$T$13="Open Cluster",POWER(Upgrades!$U$13,E338),1)*IF(Upgrades!$T$14="Open Cluster",POWER(Upgrades!$U$14,F338),1)*IF(Upgrades!$T$15="Open Cluster",POWER(Upgrades!$U$15,G338),1)*IF(Upgrades!$T$16="Open Cluster",POWER(Upgrades!$U$16,H338),1)*IF(Upgrades!$T$17="Open Cluster",POWER(Upgrades!$U$17,I338),1)*IF(Upgrades!$T$18="Open Cluster",POWER(Upgrades!$U$18,J338),1)*IF(Upgrades!$T$19="Open Cluster",POWER(Upgrades!$U$19,K338),1)*IF(Upgrades!$T$21="Open Cluster",POWER(Upgrades!$U$21,M338),1))+(IF(M338=0,0,(Upgrades!$M$21+M338*Upgrades!$N$21)*POWER(Upgrades!$O$21,M338)))*(IF(Upgrades!$T$13="Moving Group",POWER(Upgrades!$U$13,E338),1)*IF(Upgrades!$T$14="Moving Group",POWER(Upgrades!$U$14,F338),1)*IF(Upgrades!$T$15="Moving Group",POWER(Upgrades!$U$15,G338),1)*IF(Upgrades!$T$16="Moving Group",POWER(Upgrades!$U$16,H338),1)*IF(Upgrades!$T$17="Moving Group",POWER(Upgrades!$U$17,I338),1)*IF(Upgrades!$T$18="Moving Group",POWER(Upgrades!$U$18,J338),1)*IF(Upgrades!$T$19="Moving Group",POWER(Upgrades!$U$19,K338),1)*IF(Upgrades!$T$20="Moving Group",POWER(Upgrades!$U$20,L338),1)))*POWER(Upgrades!$R$13,E338)*POWER(Upgrades!$R$14,F338)*POWER(Upgrades!$R$15,G338)*POWER(Upgrades!$R$16,H338)*POWER(Upgrades!$R$17,I338)*POWER(Upgrades!$R$18,J338)*POWER(Upgrades!$R$19,K338)*POWER(Upgrades!$R$20,L338)*POWER(Upgrades!$R$21,M338)*$H$6+$E$6</f>
        <v/>
      </c>
      <c r="R338" s="27">
        <f>IF(N338=1,0,O338*Parameters!$B$10/60*Parameters!$B$11*10)</f>
        <v/>
      </c>
      <c r="S338" s="27">
        <f>IF(N338=1,0,Q338*O338*10)</f>
        <v/>
      </c>
      <c r="T338" s="27">
        <f>IF(N338=1,0,R338+S338+P338*10)</f>
        <v/>
      </c>
      <c r="U338" s="33">
        <f>BE338</f>
        <v/>
      </c>
      <c r="V338" s="22">
        <f>IF(U338="",0,IF(U338="transition",0,IF(U338="SK",AK338,IF(U338="LB",AL338,IF(U338="ML",AM338,IF(U338="RLO",AN338,IF(U338="BD",AO338,IF(U338="BiP",AP338,IF(U338="PV",AQ338,IF(U338="OC",AR338,IF(U338="MG",AS338,0))))))))))</f>
        <v/>
      </c>
      <c r="W338" s="27">
        <f>IF(U338="BiP",Upgrades!$F$18,IF(U338="PV",Upgrades!$F$19,IF(U338="OC",Upgrades!$F$20,IF(U338="MG",Upgrades!$F$21,IF(U338="transition",-Parameters!$B$18*Parameters!$B$19,0)))))</f>
        <v/>
      </c>
      <c r="X338" s="22">
        <f>C338+T338-V338</f>
        <v/>
      </c>
      <c r="Y338" s="30">
        <f>O338*Parameters!$B$10/60*Parameters!$B$11+Q338*O338+P338</f>
        <v/>
      </c>
      <c r="Z338" s="34">
        <f>IF(U338="transition","→ Tier 3 (Galactic Arm)",IF(U338="MG","Moving Group — pocket drifts together",IF(U338="OC","Open Cluster acquired",IF(U338="PV","Peculiar Velocity — passive multiplier active",IF(U338="BiP","Binary Partner — pair bond formed",IF(AND(AU338=1,N338=0,AT338&lt;&gt;1),"Cohesion ready (waiting on completionists)","")))))) </f>
        <v/>
      </c>
      <c r="AA338" s="27">
        <f>(IF(E338=0,0,(Upgrades!$G$13+E338*Upgrades!$H$13)*POWER(Upgrades!$I$13,E338)))*(IF(Upgrades!$T$14="Stellar Kinematics",POWER(Upgrades!$U$14,F338),1)*IF(Upgrades!$T$15="Stellar Kinematics",POWER(Upgrades!$U$15,G338),1)*IF(Upgrades!$T$16="Stellar Kinematics",POWER(Upgrades!$U$16,H338),1)*IF(Upgrades!$T$17="Stellar Kinematics",POWER(Upgrades!$U$17,I338),1)*IF(Upgrades!$T$18="Stellar Kinematics",POWER(Upgrades!$U$18,J338),1)*IF(Upgrades!$T$19="Stellar Kinematics",POWER(Upgrades!$U$19,K338),1)*IF(Upgrades!$T$20="Stellar Kinematics",POWER(Upgrades!$U$20,L338),1)*IF(Upgrades!$T$21="Stellar Kinematics",POWER(Upgrades!$U$21,M338),1))*POWER(Upgrades!$P$13,E338)*POWER(Upgrades!$P$14,F338)*POWER(Upgrades!$P$15,G338)*POWER(Upgrades!$P$16,H338)*POWER(Upgrades!$P$17,I338)*POWER(Upgrades!$P$18,J338)*POWER(Upgrades!$P$19,K338)*POWER(Upgrades!$P$20,L338)*POWER(Upgrades!$P$21,M338)*$F$6*60</f>
        <v/>
      </c>
      <c r="AB338" s="27">
        <f>(IF(F338=0,0,(Upgrades!$G$14+F338*Upgrades!$H$14)*POWER(Upgrades!$I$14,F338)))*(IF(Upgrades!$T$13="Local Bubble",POWER(Upgrades!$U$13,E338),1)*IF(Upgrades!$T$15="Local Bubble",POWER(Upgrades!$U$15,G338),1)*IF(Upgrades!$T$16="Local Bubble",POWER(Upgrades!$U$16,H338),1)*IF(Upgrades!$T$17="Local Bubble",POWER(Upgrades!$U$17,I338),1)*IF(Upgrades!$T$18="Local Bubble",POWER(Upgrades!$U$18,J338),1)*IF(Upgrades!$T$19="Local Bubble",POWER(Upgrades!$U$19,K338),1)*IF(Upgrades!$T$20="Local Bubble",POWER(Upgrades!$U$20,L338),1)*IF(Upgrades!$T$21="Local Bubble",POWER(Upgrades!$U$21,M338),1))*POWER(Upgrades!$P$13,E338)*POWER(Upgrades!$P$14,F338)*POWER(Upgrades!$P$15,G338)*POWER(Upgrades!$P$16,H338)*POWER(Upgrades!$P$17,I338)*POWER(Upgrades!$P$18,J338)*POWER(Upgrades!$P$19,K338)*POWER(Upgrades!$P$20,L338)*POWER(Upgrades!$P$21,M338)*$F$6*60</f>
        <v/>
      </c>
      <c r="AC338" s="27">
        <f>(IF(G338=0,0,(Upgrades!$J$15+G338*Upgrades!$K$15)*POWER(Upgrades!$L$15,G338)))*(IF(Upgrades!$T$13="Microlensing",POWER(Upgrades!$U$13,E338),1)*IF(Upgrades!$T$14="Microlensing",POWER(Upgrades!$U$14,F338),1)*IF(Upgrades!$T$16="Microlensing",POWER(Upgrades!$U$16,H338),1)*IF(Upgrades!$T$17="Microlensing",POWER(Upgrades!$U$17,I338),1)*IF(Upgrades!$T$18="Microlensing",POWER(Upgrades!$U$18,J338),1)*IF(Upgrades!$T$19="Microlensing",POWER(Upgrades!$U$19,K338),1)*IF(Upgrades!$T$20="Microlensing",POWER(Upgrades!$U$20,L338),1)*IF(Upgrades!$T$21="Microlensing",POWER(Upgrades!$U$21,M338),1))*POWER(Upgrades!$Q$13,E338)*POWER(Upgrades!$Q$14,F338)*POWER(Upgrades!$Q$15,G338)*POWER(Upgrades!$Q$16,H338)*POWER(Upgrades!$Q$17,I338)*POWER(Upgrades!$Q$18,J338)*POWER(Upgrades!$Q$19,K338)*POWER(Upgrades!$Q$20,L338)*POWER(Upgrades!$Q$21,M338)*$G$6*(Parameters!$B$10*Parameters!$B$11+Q338*60)</f>
        <v/>
      </c>
      <c r="AD338" s="27">
        <f>(IF(H338=0,0,(Upgrades!$M$16+H338*Upgrades!$N$16)*POWER(Upgrades!$O$16,H338)))*(IF(Upgrades!$T$13="Roche Lobe Overflow",POWER(Upgrades!$U$13,E338),1)*IF(Upgrades!$T$14="Roche Lobe Overflow",POWER(Upgrades!$U$14,F338),1)*IF(Upgrades!$T$15="Roche Lobe Overflow",POWER(Upgrades!$U$15,G338),1)*IF(Upgrades!$T$17="Roche Lobe Overflow",POWER(Upgrades!$U$17,I338),1)*IF(Upgrades!$T$18="Roche Lobe Overflow",POWER(Upgrades!$U$18,J338),1)*IF(Upgrades!$T$19="Roche Lobe Overflow",POWER(Upgrades!$U$19,K338),1)*IF(Upgrades!$T$20="Roche Lobe Overflow",POWER(Upgrades!$U$20,L338),1)*IF(Upgrades!$T$21="Roche Lobe Overflow",POWER(Upgrades!$U$21,M338),1))*POWER(Upgrades!$R$13,E338)*POWER(Upgrades!$R$14,F338)*POWER(Upgrades!$R$15,G338)*POWER(Upgrades!$R$16,H338)*POWER(Upgrades!$R$17,I338)*POWER(Upgrades!$R$18,J338)*POWER(Upgrades!$R$19,K338)*POWER(Upgrades!$R$20,L338)*POWER(Upgrades!$R$21,M338)*$H$6*O338*60</f>
        <v/>
      </c>
      <c r="AE338" s="27">
        <f>(IF(I338=0,0,(Upgrades!$G$17+I338*Upgrades!$H$17)*POWER(Upgrades!$I$17,I338)))*(IF(Upgrades!$T$13="Brown Dwarf",POWER(Upgrades!$U$13,E338),1)*IF(Upgrades!$T$14="Brown Dwarf",POWER(Upgrades!$U$14,F338),1)*IF(Upgrades!$T$15="Brown Dwarf",POWER(Upgrades!$U$15,G338),1)*IF(Upgrades!$T$16="Brown Dwarf",POWER(Upgrades!$U$16,H338),1)*IF(Upgrades!$T$18="Brown Dwarf",POWER(Upgrades!$U$18,J338),1)*IF(Upgrades!$T$19="Brown Dwarf",POWER(Upgrades!$U$19,K338),1)*IF(Upgrades!$T$20="Brown Dwarf",POWER(Upgrades!$U$20,L338),1)*IF(Upgrades!$T$21="Brown Dwarf",POWER(Upgrades!$U$21,M338),1))*POWER(Upgrades!$P$13,E338)*POWER(Upgrades!$P$14,F338)*POWER(Upgrades!$P$15,G338)*POWER(Upgrades!$P$16,H338)*POWER(Upgrades!$P$17,I338)*POWER(Upgrades!$P$18,J338)*POWER(Upgrades!$P$19,K338)*POWER(Upgrades!$P$20,L338)*POWER(Upgrades!$P$21,M338)*$F$6*60</f>
        <v/>
      </c>
      <c r="AF338" s="27" t="n">
        <v>0</v>
      </c>
      <c r="AG338" s="27" t="n">
        <v>0</v>
      </c>
      <c r="AH338" s="27" t="n">
        <v>0</v>
      </c>
      <c r="AI338" s="27">
        <f>(IF(M338=0,0,(Upgrades!$G$21+M338*Upgrades!$H$21)*POWER(Upgrades!$I$21,M338)))*(IF(Upgrades!$T$13="Moving Group",POWER(Upgrades!$U$13,E338),1)*IF(Upgrades!$T$14="Moving Group",POWER(Upgrades!$U$14,F338),1)*IF(Upgrades!$T$15="Moving Group",POWER(Upgrades!$U$15,G338),1)*IF(Upgrades!$T$16="Moving Group",POWER(Upgrades!$U$16,H338),1)*IF(Upgrades!$T$17="Moving Group",POWER(Upgrades!$U$17,I338),1)*IF(Upgrades!$T$18="Moving Group",POWER(Upgrades!$U$18,J338),1)*IF(Upgrades!$T$19="Moving Group",POWER(Upgrades!$U$19,K338),1)*IF(Upgrades!$T$20="Moving Group",POWER(Upgrades!$U$20,L338),1))*POWER(Upgrades!$P$13,E338)*POWER(Upgrades!$P$14,F338)*POWER(Upgrades!$P$15,G338)*POWER(Upgrades!$P$16,H338)*POWER(Upgrades!$P$17,I338)*POWER(Upgrades!$P$18,J338)*POWER(Upgrades!$P$19,K338)*POWER(Upgrades!$P$20,L338)*POWER(Upgrades!$P$21,M338)*$F$6*60</f>
        <v/>
      </c>
      <c r="AJ338" s="27">
        <f>$C$6*60</f>
        <v/>
      </c>
      <c r="AK338" s="22">
        <f>IF(E338&gt;=Upgrades!$E$13,"",Upgrades!$C$13*POWER(Upgrades!$D$13,E338))</f>
        <v/>
      </c>
      <c r="AL338" s="22">
        <f>IF(F338&gt;=Upgrades!$E$14,"",Upgrades!$C$14*POWER(Upgrades!$D$14,F338))</f>
        <v/>
      </c>
      <c r="AM338" s="22">
        <f>IF(G338&gt;=Upgrades!$E$15,"",Upgrades!$C$15*POWER(Upgrades!$D$15,G338))</f>
        <v/>
      </c>
      <c r="AN338" s="22">
        <f>IF(H338&gt;=Upgrades!$E$16,"",Upgrades!$C$16*POWER(Upgrades!$D$16,H338))</f>
        <v/>
      </c>
      <c r="AO338" s="22">
        <f>IF(I338&gt;=Upgrades!$E$17,"",Upgrades!$C$17*POWER(Upgrades!$D$17,I338))</f>
        <v/>
      </c>
      <c r="AP338" s="22">
        <f>IF(J338&gt;=Upgrades!$E$18,"",Upgrades!$C$18*POWER(Upgrades!$D$18,J338))</f>
        <v/>
      </c>
      <c r="AQ338" s="22">
        <f>IF(K338&gt;=Upgrades!$E$19,"",Upgrades!$C$19*POWER(Upgrades!$D$19,K338))</f>
        <v/>
      </c>
      <c r="AR338" s="22">
        <f>IF(L338&gt;=Upgrades!$E$20,"",Upgrades!$C$20*POWER(Upgrades!$D$20,L338))</f>
        <v/>
      </c>
      <c r="AS338" s="22">
        <f>IF(M338&gt;=Upgrades!$E$21,"",Upgrades!$C$21*POWER(Upgrades!$D$21,M338))</f>
        <v/>
      </c>
      <c r="AT338" s="26">
        <f>IF(AND(D338&gt;=Parameters!$B$18*Parameters!$B$19,(I338&gt;=Upgrades!$E$17)*(M338&gt;=Upgrades!$E$21)=1,N338=0),1,"")</f>
        <v/>
      </c>
      <c r="AU338" s="26">
        <f>IF(AND(D338&gt;=Parameters!$B$18*Parameters!$B$19,N338=0),1,"")</f>
        <v/>
      </c>
      <c r="AV338" s="22">
        <f>MIN(IF(ISNUMBER(AP338),AP338,9E15),IF(ISNUMBER(AQ338),AQ338,9E15),IF(ISNUMBER(AR338),AR338,9E15),IF(ISNUMBER(AS338),AS338,9E15))</f>
        <v/>
      </c>
      <c r="AW338" s="22">
        <f>MIN(IF(ISNUMBER(AK338),AK338,9E15),IF(ISNUMBER(AL338),AL338,9E15),IF(ISNUMBER(AM338),AM338,9E15),IF(ISNUMBER(AN338),AN338,9E15),IF(ISNUMBER(AO338),AO338,9E15))</f>
        <v/>
      </c>
      <c r="AX338" s="29">
        <f>IF(BD338&gt;Parameters!$B$21*(MAX(IF(AND(NOT(AND(AU338=1,AT338&lt;&gt;1)),ISNUMBER(AK338),AK338&lt;=(C338+T338)),AY338,0),IF(AND(NOT(AND(AU338=1,AT338&lt;&gt;1)),ISNUMBER(AL338),AL338&lt;=(C338+T338)),AZ338,0),IF(AND(NOT(AND(AU338=1,AT338&lt;&gt;1)),ISNUMBER(AM338),AM338&lt;=(C338+T338)),BA338,0),IF(AND(NOT(AND(AU338=1,AT338&lt;&gt;1)),ISNUMBER(AN338),AN338&lt;=(C338+T338)),BB338,0),IF(AND(ISNUMBER(AO338),AO338&lt;=(C338+T338)),BC338,0))),TRUE,FALSE)</f>
        <v/>
      </c>
      <c r="AY338" s="32">
        <f>IFERROR(Upgrades!$H$13*(POWER(Upgrades!$P$13,E338)*POWER(Upgrades!$P$14,F338)*POWER(Upgrades!$P$15,G338)*POWER(Upgrades!$P$16,H338)*POWER(Upgrades!$P$17,I338)*POWER(Upgrades!$P$18,J338)*POWER(Upgrades!$P$19,K338)*POWER(Upgrades!$P$20,L338)*POWER(Upgrades!$P$21,M338))*(IF(Upgrades!$T$14="Stellar Kinematics",POWER(Upgrades!$U$14,F338),1)*IF(Upgrades!$T$15="Stellar Kinematics",POWER(Upgrades!$U$15,G338),1)*IF(Upgrades!$T$16="Stellar Kinematics",POWER(Upgrades!$U$16,H338),1)*IF(Upgrades!$T$17="Stellar Kinematics",POWER(Upgrades!$U$17,I338),1)*IF(Upgrades!$T$18="Stellar Kinematics",POWER(Upgrades!$U$18,J338),1)*IF(Upgrades!$T$19="Stellar Kinematics",POWER(Upgrades!$U$19,K338),1)*IF(Upgrades!$T$20="Stellar Kinematics",POWER(Upgrades!$U$20,L338),1)*IF(Upgrades!$T$21="Stellar Kinematics",POWER(Upgrades!$U$21,M338),1))*$F$6/AK338,0)</f>
        <v/>
      </c>
      <c r="AZ338" s="32">
        <f>IFERROR(Upgrades!$H$14*(POWER(Upgrades!$P$13,E338)*POWER(Upgrades!$P$14,F338)*POWER(Upgrades!$P$15,G338)*POWER(Upgrades!$P$16,H338)*POWER(Upgrades!$P$17,I338)*POWER(Upgrades!$P$18,J338)*POWER(Upgrades!$P$19,K338)*POWER(Upgrades!$P$20,L338)*POWER(Upgrades!$P$21,M338))*(IF(Upgrades!$T$13="Local Bubble",POWER(Upgrades!$U$13,E338),1)*IF(Upgrades!$T$15="Local Bubble",POWER(Upgrades!$U$15,G338),1)*IF(Upgrades!$T$16="Local Bubble",POWER(Upgrades!$U$16,H338),1)*IF(Upgrades!$T$17="Local Bubble",POWER(Upgrades!$U$17,I338),1)*IF(Upgrades!$T$18="Local Bubble",POWER(Upgrades!$U$18,J338),1)*IF(Upgrades!$T$19="Local Bubble",POWER(Upgrades!$U$19,K338),1)*IF(Upgrades!$T$20="Local Bubble",POWER(Upgrades!$U$20,L338),1)*IF(Upgrades!$T$21="Local Bubble",POWER(Upgrades!$U$21,M338),1))*$F$6/AL338,0)</f>
        <v/>
      </c>
      <c r="BA338" s="32">
        <f>IFERROR(Upgrades!$K$15*(POWER(Upgrades!$Q$13,E338)*POWER(Upgrades!$Q$14,F338)*POWER(Upgrades!$Q$15,G338)*POWER(Upgrades!$Q$16,H338)*POWER(Upgrades!$Q$17,I338)*POWER(Upgrades!$Q$18,J338)*POWER(Upgrades!$Q$19,K338)*POWER(Upgrades!$Q$20,L338)*POWER(Upgrades!$Q$21,M338))*(IF(Upgrades!$T$13="Microlensing",POWER(Upgrades!$U$13,E338),1)*IF(Upgrades!$T$14="Microlensing",POWER(Upgrades!$U$14,F338),1)*IF(Upgrades!$T$16="Microlensing",POWER(Upgrades!$U$16,H338),1)*IF(Upgrades!$T$17="Microlensing",POWER(Upgrades!$U$17,I338),1)*IF(Upgrades!$T$18="Microlensing",POWER(Upgrades!$U$18,J338),1)*IF(Upgrades!$T$19="Microlensing",POWER(Upgrades!$U$19,K338),1)*IF(Upgrades!$T$20="Microlensing",POWER(Upgrades!$U$20,L338),1)*IF(Upgrades!$T$21="Microlensing",POWER(Upgrades!$U$21,M338),1))*$G$6*(Parameters!$B$10/60*Parameters!$B$11+Q338)/AM338,0)</f>
        <v/>
      </c>
      <c r="BB338" s="32">
        <f>IFERROR((Upgrades!$N$16*(POWER(Upgrades!$R$13,E338)*POWER(Upgrades!$R$14,F338)*POWER(Upgrades!$R$15,G338)*POWER(Upgrades!$R$16,H338)*POWER(Upgrades!$R$17,I338)*POWER(Upgrades!$R$18,J338)*POWER(Upgrades!$R$19,K338)*POWER(Upgrades!$R$20,L338)*POWER(Upgrades!$R$21,M338))*(IF(Upgrades!$T$13="Roche Lobe Overflow",POWER(Upgrades!$U$13,E338),1)*IF(Upgrades!$T$14="Roche Lobe Overflow",POWER(Upgrades!$U$14,F338),1)*IF(Upgrades!$T$15="Roche Lobe Overflow",POWER(Upgrades!$U$15,G338),1)*IF(Upgrades!$T$17="Roche Lobe Overflow",POWER(Upgrades!$U$17,I338),1)*IF(Upgrades!$T$18="Roche Lobe Overflow",POWER(Upgrades!$U$18,J338),1)*IF(Upgrades!$T$19="Roche Lobe Overflow",POWER(Upgrades!$U$19,K338),1)*IF(Upgrades!$T$20="Roche Lobe Overflow",POWER(Upgrades!$U$20,L338),1)*IF(Upgrades!$T$21="Roche Lobe Overflow",POWER(Upgrades!$U$21,M338),1))*$H$6*O338+((IF(F338=0,0,(Upgrades!$G$14+F338*Upgrades!$H$14)*POWER(Upgrades!$I$14,F338)))*(IF(Upgrades!$T$13="Local Bubble",POWER(Upgrades!$U$13,E338),1)*IF(Upgrades!$T$15="Local Bubble",POWER(Upgrades!$U$15,G338),1)*IF(Upgrades!$T$16="Local Bubble",POWER(Upgrades!$U$16,H338),1)*IF(Upgrades!$T$17="Local Bubble",POWER(Upgrades!$U$17,I338),1)*IF(Upgrades!$T$18="Local Bubble",POWER(Upgrades!$U$18,J338),1)*IF(Upgrades!$T$19="Local Bubble",POWER(Upgrades!$U$19,K338),1)*IF(Upgrades!$T$20="Local Bubble",POWER(Upgrades!$U$20,L338),1)*IF(Upgrades!$T$21="Local Bubble",POWER(Upgrades!$U$21,M338),1))*POWER(Upgrades!$P$13,E338)*POWER(Upgrades!$P$14,F338)*POWER(Upgrades!$P$15,G338)*POWER(Upgrades!$P$16,H338)*POWER(Upgrades!$P$17,I338)*POWER(Upgrades!$P$18,J338)*POWER(Upgrades!$P$19,K338)*POWER(Upgrades!$P$20,L338)*POWER(Upgrades!$P$21,M338)*$F$6)*0.05)/AN338,0)</f>
        <v/>
      </c>
      <c r="BC338" s="32">
        <f>IFERROR((Upgrades!$H$17*(POWER(Upgrades!$P$13,E338)*POWER(Upgrades!$P$14,F338)*POWER(Upgrades!$P$15,G338)*POWER(Upgrades!$P$16,H338)*POWER(Upgrades!$P$17,I338)*POWER(Upgrades!$P$18,J338)*POWER(Upgrades!$P$19,K338)*POWER(Upgrades!$P$20,L338)*POWER(Upgrades!$P$21,M338))*(IF(Upgrades!$T$13="Brown Dwarf",POWER(Upgrades!$U$13,E338),1)*IF(Upgrades!$T$14="Brown Dwarf",POWER(Upgrades!$U$14,F338),1)*IF(Upgrades!$T$15="Brown Dwarf",POWER(Upgrades!$U$15,G338),1)*IF(Upgrades!$T$16="Brown Dwarf",POWER(Upgrades!$U$16,H338),1)*IF(Upgrades!$T$18="Brown Dwarf",POWER(Upgrades!$U$18,J338),1)*IF(Upgrades!$T$19="Brown Dwarf",POWER(Upgrades!$U$19,K338),1)*IF(Upgrades!$T$20="Brown Dwarf",POWER(Upgrades!$U$20,L338),1)*IF(Upgrades!$T$21="Brown Dwarf",POWER(Upgrades!$U$21,M338),1))*$F$6+(((IF(H338=0,0,(Upgrades!$M$16+H338*Upgrades!$N$16)*POWER(Upgrades!$O$16,H338)))*(IF(Upgrades!$T$13="Roche Lobe Overflow",POWER(Upgrades!$U$13,E338),1)*IF(Upgrades!$T$14="Roche Lobe Overflow",POWER(Upgrades!$U$14,F338),1)*IF(Upgrades!$T$15="Roche Lobe Overflow",POWER(Upgrades!$U$15,G338),1)*IF(Upgrades!$T$17="Roche Lobe Overflow",POWER(Upgrades!$U$17,I338),1)*IF(Upgrades!$T$18="Roche Lobe Overflow",POWER(Upgrades!$U$18,J338),1)*IF(Upgrades!$T$19="Roche Lobe Overflow",POWER(Upgrades!$U$19,K338),1)*IF(Upgrades!$T$20="Roche Lobe Overflow",POWER(Upgrades!$U$20,L338),1)*IF(Upgrades!$T$21="Roche Lobe Overflow",POWER(Upgrades!$U$21,M338),1))*POWER(Upgrades!$R$13,E338)*POWER(Upgrades!$R$14,F338)*POWER(Upgrades!$R$15,G338)*POWER(Upgrades!$R$16,H338)*POWER(Upgrades!$R$17,I338)*POWER(Upgrades!$R$18,J338)*POWER(Upgrades!$R$19,K338)*POWER(Upgrades!$R$20,L338)*POWER(Upgrades!$R$21,M338)*$H$6)*O338)*0.10)/AO338,0)</f>
        <v/>
      </c>
      <c r="BD338" s="32">
        <f>MAX(IF(J338&gt;0,0,IFERROR(0.5*((IF(G338=0,0,(Upgrades!$J$15+G338*Upgrades!$K$15)*POWER(Upgrades!$L$15,G338)))*(IF(Upgrades!$T$13="Microlensing",POWER(Upgrades!$U$13,E338),1)*IF(Upgrades!$T$14="Microlensing",POWER(Upgrades!$U$14,F338),1)*IF(Upgrades!$T$16="Microlensing",POWER(Upgrades!$U$16,H338),1)*IF(Upgrades!$T$17="Microlensing",POWER(Upgrades!$U$17,I338),1)*IF(Upgrades!$T$18="Microlensing",POWER(Upgrades!$U$18,J338),1)*IF(Upgrades!$T$19="Microlensing",POWER(Upgrades!$U$19,K338),1)*IF(Upgrades!$T$20="Microlensing",POWER(Upgrades!$U$20,L338),1)*IF(Upgrades!$T$21="Microlensing",POWER(Upgrades!$U$21,M338),1))*(POWER(Upgrades!$Q$13,E338)*POWER(Upgrades!$Q$14,F338)*POWER(Upgrades!$Q$15,G338)*POWER(Upgrades!$Q$16,H338)*POWER(Upgrades!$Q$17,I338)*POWER(Upgrades!$Q$18,J338)*POWER(Upgrades!$Q$19,K338)*POWER(Upgrades!$Q$20,L338)*POWER(Upgrades!$Q$21,M338))*$G$6*(Parameters!$B$10/60*Parameters!$B$11+Q338))/Upgrades!$C$18,0)),IF(K338&gt;0,0,IFERROR(0.30*P338/Upgrades!$C$19,0)),IF(L338&gt;0,0,IFERROR(0.0001/Upgrades!$C$20,0)),IF(M338&gt;0,0,IFERROR((6.0*(POWER(Upgrades!$P$13,E338)*POWER(Upgrades!$P$14,F338)*POWER(Upgrades!$P$15,G338)*POWER(Upgrades!$P$16,H338)*POWER(Upgrades!$P$17,I338)*POWER(Upgrades!$P$18,J338)*POWER(Upgrades!$P$19,K338)*POWER(Upgrades!$P$20,L338)*POWER(Upgrades!$P$21,M338))*$F$6+0.20*O338*(Parameters!$B$10/60*Parameters!$B$11+Q338))/Upgrades!$C$21,0)),IF(AND(ISNUMBER(AK338),AK338&gt;(C338+T338)),AY338,0),IF(AND(ISNUMBER(AL338),AL338&gt;(C338+T338)),AZ338,0),IF(AND(ISNUMBER(AM338),AM338&gt;(C338+T338)),BA338,0),IF(AND(ISNUMBER(AN338),AN338&gt;(C338+T338)),BB338,0),IF(AND(ISNUMBER(AO338),AO338&gt;(C338+T338)),BC338,0))</f>
        <v/>
      </c>
      <c r="BE338" s="29">
        <f>IF(AT338=1,"transition",IF(MIN(IF(AND(J338=0,ISNUMBER(AP338),AP338&lt;=(C338+T338)),AP338,9E15),IF(AND(K338=0,ISNUMBER(AQ338),AQ338&lt;=(C338+T338)),AQ338,9E15),IF(AND(L338=0,ISNUMBER(AR338),AR338&lt;=(C338+T338)),AR338,9E15),IF(AND(M338=0,ISNUMBER(AS338),AS338&lt;=(C338+T338)),AS338,9E15))&lt;9E15,IF(AND(AND(J338=0,ISNUMBER(AP338),AP338&lt;=(C338+T338)),AP338=MIN(IF(AND(J338=0,ISNUMBER(AP338),AP338&lt;=(C338+T338)),AP338,9E15),IF(AND(K338=0,ISNUMBER(AQ338),AQ338&lt;=(C338+T338)),AQ338,9E15),IF(AND(L338=0,ISNUMBER(AR338),AR338&lt;=(C338+T338)),AR338,9E15),IF(AND(M338=0,ISNUMBER(AS338),AS338&lt;=(C338+T338)),AS338,9E15))),"BiP",IF(AND(AND(K338=0,ISNUMBER(AQ338),AQ338&lt;=(C338+T338)),AQ338=MIN(IF(AND(J338=0,ISNUMBER(AP338),AP338&lt;=(C338+T338)),AP338,9E15),IF(AND(K338=0,ISNUMBER(AQ338),AQ338&lt;=(C338+T338)),AQ338,9E15),IF(AND(L338=0,ISNUMBER(AR338),AR338&lt;=(C338+T338)),AR338,9E15),IF(AND(M338=0,ISNUMBER(AS338),AS338&lt;=(C338+T338)),AS338,9E15))),"PV",IF(AND(AND(L338=0,ISNUMBER(AR338),AR338&lt;=(C338+T338)),AR338=MIN(IF(AND(J338=0,ISNUMBER(AP338),AP338&lt;=(C338+T338)),AP338,9E15),IF(AND(K338=0,ISNUMBER(AQ338),AQ338&lt;=(C338+T338)),AQ338,9E15),IF(AND(L338=0,ISNUMBER(AR338),AR338&lt;=(C338+T338)),AR338,9E15),IF(AND(M338=0,ISNUMBER(AS338),AS338&lt;=(C338+T338)),AS338,9E15))),"OC","MG"))),IF(AX338=TRUE,"",IF(MAX(IF(AND(NOT(AND(AU338=1,AT338&lt;&gt;1)),ISNUMBER(AK338),AK338&lt;=(C338+T338)),AY338,0),IF(AND(NOT(AND(AU338=1,AT338&lt;&gt;1)),ISNUMBER(AL338),AL338&lt;=(C338+T338)),AZ338,0),IF(AND(NOT(AND(AU338=1,AT338&lt;&gt;1)),ISNUMBER(AM338),AM338&lt;=(C338+T338)),BA338,0),IF(AND(NOT(AND(AU338=1,AT338&lt;&gt;1)),ISNUMBER(AN338),AN338&lt;=(C338+T338)),BB338,0),IF(AND(ISNUMBER(AO338),AO338&lt;=(C338+T338)),BC338,0))&lt;=0,"",IF(AND(IF(AND(NOT(AND(AU338=1,AT338&lt;&gt;1)),ISNUMBER(AK338),AK338&lt;=(C338+T338)),AY338,0)&gt;0,IF(AND(NOT(AND(AU338=1,AT338&lt;&gt;1)),ISNUMBER(AK338),AK338&lt;=(C338+T338)),AY338,0)=MAX(IF(AND(NOT(AND(AU338=1,AT338&lt;&gt;1)),ISNUMBER(AK338),AK338&lt;=(C338+T338)),AY338,0),IF(AND(NOT(AND(AU338=1,AT338&lt;&gt;1)),ISNUMBER(AL338),AL338&lt;=(C338+T338)),AZ338,0),IF(AND(NOT(AND(AU338=1,AT338&lt;&gt;1)),ISNUMBER(AM338),AM338&lt;=(C338+T338)),BA338,0),IF(AND(NOT(AND(AU338=1,AT338&lt;&gt;1)),ISNUMBER(AN338),AN338&lt;=(C338+T338)),BB338,0),IF(AND(ISNUMBER(AO338),AO338&lt;=(C338+T338)),BC338,0))),"SK",IF(AND(IF(AND(NOT(AND(AU338=1,AT338&lt;&gt;1)),ISNUMBER(AL338),AL338&lt;=(C338+T338)),AZ338,0)&gt;0,IF(AND(NOT(AND(AU338=1,AT338&lt;&gt;1)),ISNUMBER(AL338),AL338&lt;=(C338+T338)),AZ338,0)=MAX(IF(AND(NOT(AND(AU338=1,AT338&lt;&gt;1)),ISNUMBER(AK338),AK338&lt;=(C338+T338)),AY338,0),IF(AND(NOT(AND(AU338=1,AT338&lt;&gt;1)),ISNUMBER(AL338),AL338&lt;=(C338+T338)),AZ338,0),IF(AND(NOT(AND(AU338=1,AT338&lt;&gt;1)),ISNUMBER(AM338),AM338&lt;=(C338+T338)),BA338,0),IF(AND(NOT(AND(AU338=1,AT338&lt;&gt;1)),ISNUMBER(AN338),AN338&lt;=(C338+T338)),BB338,0),IF(AND(ISNUMBER(AO338),AO338&lt;=(C338+T338)),BC338,0))),"LB",IF(AND(IF(AND(NOT(AND(AU338=1,AT338&lt;&gt;1)),ISNUMBER(AM338),AM338&lt;=(C338+T338)),BA338,0)&gt;0,IF(AND(NOT(AND(AU338=1,AT338&lt;&gt;1)),ISNUMBER(AM338),AM338&lt;=(C338+T338)),BA338,0)=MAX(IF(AND(NOT(AND(AU338=1,AT338&lt;&gt;1)),ISNUMBER(AK338),AK338&lt;=(C338+T338)),AY338,0),IF(AND(NOT(AND(AU338=1,AT338&lt;&gt;1)),ISNUMBER(AL338),AL338&lt;=(C338+T338)),AZ338,0),IF(AND(NOT(AND(AU338=1,AT338&lt;&gt;1)),ISNUMBER(AM338),AM338&lt;=(C338+T338)),BA338,0),IF(AND(NOT(AND(AU338=1,AT338&lt;&gt;1)),ISNUMBER(AN338),AN338&lt;=(C338+T338)),BB338,0),IF(AND(ISNUMBER(AO338),AO338&lt;=(C338+T338)),BC338,0))),"ML",IF(AND(IF(AND(NOT(AND(AU338=1,AT338&lt;&gt;1)),ISNUMBER(AN338),AN338&lt;=(C338+T338)),BB338,0)&gt;0,IF(AND(NOT(AND(AU338=1,AT338&lt;&gt;1)),ISNUMBER(AN338),AN338&lt;=(C338+T338)),BB338,0)=MAX(IF(AND(NOT(AND(AU338=1,AT338&lt;&gt;1)),ISNUMBER(AK338),AK338&lt;=(C338+T338)),AY338,0),IF(AND(NOT(AND(AU338=1,AT338&lt;&gt;1)),ISNUMBER(AL338),AL338&lt;=(C338+T338)),AZ338,0),IF(AND(NOT(AND(AU338=1,AT338&lt;&gt;1)),ISNUMBER(AM338),AM338&lt;=(C338+T338)),BA338,0),IF(AND(NOT(AND(AU338=1,AT338&lt;&gt;1)),ISNUMBER(AN338),AN338&lt;=(C338+T338)),BB338,0),IF(AND(ISNUMBER(AO338),AO338&lt;=(C338+T338)),BC338,0))),"RLO","BD"))))))))</f>
        <v/>
      </c>
    </row>
    <row r="339">
      <c r="A339" s="26" t="n">
        <v>328</v>
      </c>
      <c r="B339" s="27">
        <f>A339*10/60</f>
        <v/>
      </c>
      <c r="C339" s="22">
        <f>X338</f>
        <v/>
      </c>
      <c r="D339" s="27">
        <f>D338+W338</f>
        <v/>
      </c>
      <c r="E339" s="26">
        <f>E338+IF(U338="SK",1,0)</f>
        <v/>
      </c>
      <c r="F339" s="26">
        <f>F338+IF(U338="LB",1,0)</f>
        <v/>
      </c>
      <c r="G339" s="26">
        <f>G338+IF(U338="ML",1,0)</f>
        <v/>
      </c>
      <c r="H339" s="26">
        <f>H338+IF(U338="RLO",1,0)</f>
        <v/>
      </c>
      <c r="I339" s="26">
        <f>I338+IF(U338="BD",1,0)</f>
        <v/>
      </c>
      <c r="J339" s="26">
        <f>MAX(J338,IF(U338="BiP",1,0))</f>
        <v/>
      </c>
      <c r="K339" s="26">
        <f>MAX(K338,IF(U338="PV",1,0))</f>
        <v/>
      </c>
      <c r="L339" s="26">
        <f>MAX(L338,IF(U338="OC",1,0))</f>
        <v/>
      </c>
      <c r="M339" s="26">
        <f>MAX(M338,IF(U338="MG",1,0))</f>
        <v/>
      </c>
      <c r="N339" s="26">
        <f>MAX(N338,IF(U338="transition",1,0))</f>
        <v/>
      </c>
      <c r="O339" s="28">
        <f>(Parameters!$B$9+(IF(E339=0,0,(Upgrades!$J$13+E339*Upgrades!$K$13)*POWER(Upgrades!$L$13,E339)))*(IF(Upgrades!$T$14="Stellar Kinematics",POWER(Upgrades!$U$14,F339),1)*IF(Upgrades!$T$15="Stellar Kinematics",POWER(Upgrades!$U$15,G339),1)*IF(Upgrades!$T$16="Stellar Kinematics",POWER(Upgrades!$U$16,H339),1)*IF(Upgrades!$T$17="Stellar Kinematics",POWER(Upgrades!$U$17,I339),1)*IF(Upgrades!$T$18="Stellar Kinematics",POWER(Upgrades!$U$18,J339),1)*IF(Upgrades!$T$19="Stellar Kinematics",POWER(Upgrades!$U$19,K339),1)*IF(Upgrades!$T$20="Stellar Kinematics",POWER(Upgrades!$U$20,L339),1)*IF(Upgrades!$T$21="Stellar Kinematics",POWER(Upgrades!$U$21,M339),1))+(IF(F339=0,0,(Upgrades!$J$14+F339*Upgrades!$K$14)*POWER(Upgrades!$L$14,F339)))*(IF(Upgrades!$T$13="Local Bubble",POWER(Upgrades!$U$13,E339),1)*IF(Upgrades!$T$15="Local Bubble",POWER(Upgrades!$U$15,G339),1)*IF(Upgrades!$T$16="Local Bubble",POWER(Upgrades!$U$16,H339),1)*IF(Upgrades!$T$17="Local Bubble",POWER(Upgrades!$U$17,I339),1)*IF(Upgrades!$T$18="Local Bubble",POWER(Upgrades!$U$18,J339),1)*IF(Upgrades!$T$19="Local Bubble",POWER(Upgrades!$U$19,K339),1)*IF(Upgrades!$T$20="Local Bubble",POWER(Upgrades!$U$20,L339),1)*IF(Upgrades!$T$21="Local Bubble",POWER(Upgrades!$U$21,M339),1))+(IF(G339=0,0,(Upgrades!$J$15+G339*Upgrades!$K$15)*POWER(Upgrades!$L$15,G339)))*(IF(Upgrades!$T$13="Microlensing",POWER(Upgrades!$U$13,E339),1)*IF(Upgrades!$T$14="Microlensing",POWER(Upgrades!$U$14,F339),1)*IF(Upgrades!$T$16="Microlensing",POWER(Upgrades!$U$16,H339),1)*IF(Upgrades!$T$17="Microlensing",POWER(Upgrades!$U$17,I339),1)*IF(Upgrades!$T$18="Microlensing",POWER(Upgrades!$U$18,J339),1)*IF(Upgrades!$T$19="Microlensing",POWER(Upgrades!$U$19,K339),1)*IF(Upgrades!$T$20="Microlensing",POWER(Upgrades!$U$20,L339),1)*IF(Upgrades!$T$21="Microlensing",POWER(Upgrades!$U$21,M339),1))+(IF(H339=0,0,(Upgrades!$J$16+H339*Upgrades!$K$16)*POWER(Upgrades!$L$16,H339)))*(IF(Upgrades!$T$13="Roche Lobe Overflow",POWER(Upgrades!$U$13,E339),1)*IF(Upgrades!$T$14="Roche Lobe Overflow",POWER(Upgrades!$U$14,F339),1)*IF(Upgrades!$T$15="Roche Lobe Overflow",POWER(Upgrades!$U$15,G339),1)*IF(Upgrades!$T$17="Roche Lobe Overflow",POWER(Upgrades!$U$17,I339),1)*IF(Upgrades!$T$18="Roche Lobe Overflow",POWER(Upgrades!$U$18,J339),1)*IF(Upgrades!$T$19="Roche Lobe Overflow",POWER(Upgrades!$U$19,K339),1)*IF(Upgrades!$T$20="Roche Lobe Overflow",POWER(Upgrades!$U$20,L339),1)*IF(Upgrades!$T$21="Roche Lobe Overflow",POWER(Upgrades!$U$21,M339),1))+(IF(I339=0,0,(Upgrades!$J$17+I339*Upgrades!$K$17)*POWER(Upgrades!$L$17,I339)))*(IF(Upgrades!$T$13="Brown Dwarf",POWER(Upgrades!$U$13,E339),1)*IF(Upgrades!$T$14="Brown Dwarf",POWER(Upgrades!$U$14,F339),1)*IF(Upgrades!$T$15="Brown Dwarf",POWER(Upgrades!$U$15,G339),1)*IF(Upgrades!$T$16="Brown Dwarf",POWER(Upgrades!$U$16,H339),1)*IF(Upgrades!$T$18="Brown Dwarf",POWER(Upgrades!$U$18,J339),1)*IF(Upgrades!$T$19="Brown Dwarf",POWER(Upgrades!$U$19,K339),1)*IF(Upgrades!$T$20="Brown Dwarf",POWER(Upgrades!$U$20,L339),1)*IF(Upgrades!$T$21="Brown Dwarf",POWER(Upgrades!$U$21,M339),1))+(IF(J339=0,0,(Upgrades!$J$18+J339*Upgrades!$K$18)*POWER(Upgrades!$L$18,J339)))*(IF(Upgrades!$T$13="Binary Partner",POWER(Upgrades!$U$13,E339),1)*IF(Upgrades!$T$14="Binary Partner",POWER(Upgrades!$U$14,F339),1)*IF(Upgrades!$T$15="Binary Partner",POWER(Upgrades!$U$15,G339),1)*IF(Upgrades!$T$16="Binary Partner",POWER(Upgrades!$U$16,H339),1)*IF(Upgrades!$T$17="Binary Partner",POWER(Upgrades!$U$17,I339),1)*IF(Upgrades!$T$19="Binary Partner",POWER(Upgrades!$U$19,K339),1)*IF(Upgrades!$T$20="Binary Partner",POWER(Upgrades!$U$20,L339),1)*IF(Upgrades!$T$21="Binary Partner",POWER(Upgrades!$U$21,M339),1))+(IF(K339=0,0,(Upgrades!$J$19+K339*Upgrades!$K$19)*POWER(Upgrades!$L$19,K339)))*(IF(Upgrades!$T$13="Peculiar Velocity",POWER(Upgrades!$U$13,E339),1)*IF(Upgrades!$T$14="Peculiar Velocity",POWER(Upgrades!$U$14,F339),1)*IF(Upgrades!$T$15="Peculiar Velocity",POWER(Upgrades!$U$15,G339),1)*IF(Upgrades!$T$16="Peculiar Velocity",POWER(Upgrades!$U$16,H339),1)*IF(Upgrades!$T$17="Peculiar Velocity",POWER(Upgrades!$U$17,I339),1)*IF(Upgrades!$T$18="Peculiar Velocity",POWER(Upgrades!$U$18,J339),1)*IF(Upgrades!$T$20="Peculiar Velocity",POWER(Upgrades!$U$20,L339),1)*IF(Upgrades!$T$21="Peculiar Velocity",POWER(Upgrades!$U$21,M339),1))+(IF(L339=0,0,(Upgrades!$J$20+L339*Upgrades!$K$20)*POWER(Upgrades!$L$20,L339)))*(IF(Upgrades!$T$13="Open Cluster",POWER(Upgrades!$U$13,E339),1)*IF(Upgrades!$T$14="Open Cluster",POWER(Upgrades!$U$14,F339),1)*IF(Upgrades!$T$15="Open Cluster",POWER(Upgrades!$U$15,G339),1)*IF(Upgrades!$T$16="Open Cluster",POWER(Upgrades!$U$16,H339),1)*IF(Upgrades!$T$17="Open Cluster",POWER(Upgrades!$U$17,I339),1)*IF(Upgrades!$T$18="Open Cluster",POWER(Upgrades!$U$18,J339),1)*IF(Upgrades!$T$19="Open Cluster",POWER(Upgrades!$U$19,K339),1)*IF(Upgrades!$T$21="Open Cluster",POWER(Upgrades!$U$21,M339),1))+(IF(M339=0,0,(Upgrades!$J$21+M339*Upgrades!$K$21)*POWER(Upgrades!$L$21,M339)))*(IF(Upgrades!$T$13="Moving Group",POWER(Upgrades!$U$13,E339),1)*IF(Upgrades!$T$14="Moving Group",POWER(Upgrades!$U$14,F339),1)*IF(Upgrades!$T$15="Moving Group",POWER(Upgrades!$U$15,G339),1)*IF(Upgrades!$T$16="Moving Group",POWER(Upgrades!$U$16,H339),1)*IF(Upgrades!$T$17="Moving Group",POWER(Upgrades!$U$17,I339),1)*IF(Upgrades!$T$18="Moving Group",POWER(Upgrades!$U$18,J339),1)*IF(Upgrades!$T$19="Moving Group",POWER(Upgrades!$U$19,K339),1)*IF(Upgrades!$T$20="Moving Group",POWER(Upgrades!$U$20,L339),1)))*POWER(Upgrades!$Q$13,E339)*POWER(Upgrades!$Q$14,F339)*POWER(Upgrades!$Q$15,G339)*POWER(Upgrades!$Q$16,H339)*POWER(Upgrades!$Q$17,I339)*POWER(Upgrades!$Q$18,J339)*POWER(Upgrades!$Q$19,K339)*POWER(Upgrades!$Q$20,L339)*POWER(Upgrades!$Q$21,M339)*$G$6+$D$6</f>
        <v/>
      </c>
      <c r="P339" s="28">
        <f>((IF(E339=0,0,(Upgrades!$G$13+E339*Upgrades!$H$13)*POWER(Upgrades!$I$13,E339)))*(IF(Upgrades!$T$14="Stellar Kinematics",POWER(Upgrades!$U$14,F339),1)*IF(Upgrades!$T$15="Stellar Kinematics",POWER(Upgrades!$U$15,G339),1)*IF(Upgrades!$T$16="Stellar Kinematics",POWER(Upgrades!$U$16,H339),1)*IF(Upgrades!$T$17="Stellar Kinematics",POWER(Upgrades!$U$17,I339),1)*IF(Upgrades!$T$18="Stellar Kinematics",POWER(Upgrades!$U$18,J339),1)*IF(Upgrades!$T$19="Stellar Kinematics",POWER(Upgrades!$U$19,K339),1)*IF(Upgrades!$T$20="Stellar Kinematics",POWER(Upgrades!$U$20,L339),1)*IF(Upgrades!$T$21="Stellar Kinematics",POWER(Upgrades!$U$21,M339),1))+(IF(F339=0,0,(Upgrades!$G$14+F339*Upgrades!$H$14)*POWER(Upgrades!$I$14,F339)))*(IF(Upgrades!$T$13="Local Bubble",POWER(Upgrades!$U$13,E339),1)*IF(Upgrades!$T$15="Local Bubble",POWER(Upgrades!$U$15,G339),1)*IF(Upgrades!$T$16="Local Bubble",POWER(Upgrades!$U$16,H339),1)*IF(Upgrades!$T$17="Local Bubble",POWER(Upgrades!$U$17,I339),1)*IF(Upgrades!$T$18="Local Bubble",POWER(Upgrades!$U$18,J339),1)*IF(Upgrades!$T$19="Local Bubble",POWER(Upgrades!$U$19,K339),1)*IF(Upgrades!$T$20="Local Bubble",POWER(Upgrades!$U$20,L339),1)*IF(Upgrades!$T$21="Local Bubble",POWER(Upgrades!$U$21,M339),1))+(IF(G339=0,0,(Upgrades!$G$15+G339*Upgrades!$H$15)*POWER(Upgrades!$I$15,G339)))*(IF(Upgrades!$T$13="Microlensing",POWER(Upgrades!$U$13,E339),1)*IF(Upgrades!$T$14="Microlensing",POWER(Upgrades!$U$14,F339),1)*IF(Upgrades!$T$16="Microlensing",POWER(Upgrades!$U$16,H339),1)*IF(Upgrades!$T$17="Microlensing",POWER(Upgrades!$U$17,I339),1)*IF(Upgrades!$T$18="Microlensing",POWER(Upgrades!$U$18,J339),1)*IF(Upgrades!$T$19="Microlensing",POWER(Upgrades!$U$19,K339),1)*IF(Upgrades!$T$20="Microlensing",POWER(Upgrades!$U$20,L339),1)*IF(Upgrades!$T$21="Microlensing",POWER(Upgrades!$U$21,M339),1))+(IF(H339=0,0,(Upgrades!$G$16+H339*Upgrades!$H$16)*POWER(Upgrades!$I$16,H339)))*(IF(Upgrades!$T$13="Roche Lobe Overflow",POWER(Upgrades!$U$13,E339),1)*IF(Upgrades!$T$14="Roche Lobe Overflow",POWER(Upgrades!$U$14,F339),1)*IF(Upgrades!$T$15="Roche Lobe Overflow",POWER(Upgrades!$U$15,G339),1)*IF(Upgrades!$T$17="Roche Lobe Overflow",POWER(Upgrades!$U$17,I339),1)*IF(Upgrades!$T$18="Roche Lobe Overflow",POWER(Upgrades!$U$18,J339),1)*IF(Upgrades!$T$19="Roche Lobe Overflow",POWER(Upgrades!$U$19,K339),1)*IF(Upgrades!$T$20="Roche Lobe Overflow",POWER(Upgrades!$U$20,L339),1)*IF(Upgrades!$T$21="Roche Lobe Overflow",POWER(Upgrades!$U$21,M339),1))+(IF(I339=0,0,(Upgrades!$G$17+I339*Upgrades!$H$17)*POWER(Upgrades!$I$17,I339)))*(IF(Upgrades!$T$13="Brown Dwarf",POWER(Upgrades!$U$13,E339),1)*IF(Upgrades!$T$14="Brown Dwarf",POWER(Upgrades!$U$14,F339),1)*IF(Upgrades!$T$15="Brown Dwarf",POWER(Upgrades!$U$15,G339),1)*IF(Upgrades!$T$16="Brown Dwarf",POWER(Upgrades!$U$16,H339),1)*IF(Upgrades!$T$18="Brown Dwarf",POWER(Upgrades!$U$18,J339),1)*IF(Upgrades!$T$19="Brown Dwarf",POWER(Upgrades!$U$19,K339),1)*IF(Upgrades!$T$20="Brown Dwarf",POWER(Upgrades!$U$20,L339),1)*IF(Upgrades!$T$21="Brown Dwarf",POWER(Upgrades!$U$21,M339),1))+(IF(J339=0,0,(Upgrades!$G$18+J339*Upgrades!$H$18)*POWER(Upgrades!$I$18,J339)))*(IF(Upgrades!$T$13="Binary Partner",POWER(Upgrades!$U$13,E339),1)*IF(Upgrades!$T$14="Binary Partner",POWER(Upgrades!$U$14,F339),1)*IF(Upgrades!$T$15="Binary Partner",POWER(Upgrades!$U$15,G339),1)*IF(Upgrades!$T$16="Binary Partner",POWER(Upgrades!$U$16,H339),1)*IF(Upgrades!$T$17="Binary Partner",POWER(Upgrades!$U$17,I339),1)*IF(Upgrades!$T$19="Binary Partner",POWER(Upgrades!$U$19,K339),1)*IF(Upgrades!$T$20="Binary Partner",POWER(Upgrades!$U$20,L339),1)*IF(Upgrades!$T$21="Binary Partner",POWER(Upgrades!$U$21,M339),1))+(IF(K339=0,0,(Upgrades!$G$19+K339*Upgrades!$H$19)*POWER(Upgrades!$I$19,K339)))*(IF(Upgrades!$T$13="Peculiar Velocity",POWER(Upgrades!$U$13,E339),1)*IF(Upgrades!$T$14="Peculiar Velocity",POWER(Upgrades!$U$14,F339),1)*IF(Upgrades!$T$15="Peculiar Velocity",POWER(Upgrades!$U$15,G339),1)*IF(Upgrades!$T$16="Peculiar Velocity",POWER(Upgrades!$U$16,H339),1)*IF(Upgrades!$T$17="Peculiar Velocity",POWER(Upgrades!$U$17,I339),1)*IF(Upgrades!$T$18="Peculiar Velocity",POWER(Upgrades!$U$18,J339),1)*IF(Upgrades!$T$20="Peculiar Velocity",POWER(Upgrades!$U$20,L339),1)*IF(Upgrades!$T$21="Peculiar Velocity",POWER(Upgrades!$U$21,M339),1))+(IF(L339=0,0,(Upgrades!$G$20+L339*Upgrades!$H$20)*POWER(Upgrades!$I$20,L339)))*(IF(Upgrades!$T$13="Open Cluster",POWER(Upgrades!$U$13,E339),1)*IF(Upgrades!$T$14="Open Cluster",POWER(Upgrades!$U$14,F339),1)*IF(Upgrades!$T$15="Open Cluster",POWER(Upgrades!$U$15,G339),1)*IF(Upgrades!$T$16="Open Cluster",POWER(Upgrades!$U$16,H339),1)*IF(Upgrades!$T$17="Open Cluster",POWER(Upgrades!$U$17,I339),1)*IF(Upgrades!$T$18="Open Cluster",POWER(Upgrades!$U$18,J339),1)*IF(Upgrades!$T$19="Open Cluster",POWER(Upgrades!$U$19,K339),1)*IF(Upgrades!$T$21="Open Cluster",POWER(Upgrades!$U$21,M339),1))+(IF(M339=0,0,(Upgrades!$G$21+M339*Upgrades!$H$21)*POWER(Upgrades!$I$21,M339)))*(IF(Upgrades!$T$13="Moving Group",POWER(Upgrades!$U$13,E339),1)*IF(Upgrades!$T$14="Moving Group",POWER(Upgrades!$U$14,F339),1)*IF(Upgrades!$T$15="Moving Group",POWER(Upgrades!$U$15,G339),1)*IF(Upgrades!$T$16="Moving Group",POWER(Upgrades!$U$16,H339),1)*IF(Upgrades!$T$17="Moving Group",POWER(Upgrades!$U$17,I339),1)*IF(Upgrades!$T$18="Moving Group",POWER(Upgrades!$U$18,J339),1)*IF(Upgrades!$T$19="Moving Group",POWER(Upgrades!$U$19,K339),1)*IF(Upgrades!$T$20="Moving Group",POWER(Upgrades!$U$20,L339),1)))*POWER(Upgrades!$P$13,E339)*POWER(Upgrades!$P$14,F339)*POWER(Upgrades!$P$15,G339)*POWER(Upgrades!$P$16,H339)*POWER(Upgrades!$P$17,I339)*POWER(Upgrades!$P$18,J339)*POWER(Upgrades!$P$19,K339)*POWER(Upgrades!$P$20,L339)*POWER(Upgrades!$P$21,M339)*$F$6+$C$6</f>
        <v/>
      </c>
      <c r="Q339" s="28">
        <f>((IF(E339=0,0,(Upgrades!$M$13+E339*Upgrades!$N$13)*POWER(Upgrades!$O$13,E339)))*(IF(Upgrades!$T$14="Stellar Kinematics",POWER(Upgrades!$U$14,F339),1)*IF(Upgrades!$T$15="Stellar Kinematics",POWER(Upgrades!$U$15,G339),1)*IF(Upgrades!$T$16="Stellar Kinematics",POWER(Upgrades!$U$16,H339),1)*IF(Upgrades!$T$17="Stellar Kinematics",POWER(Upgrades!$U$17,I339),1)*IF(Upgrades!$T$18="Stellar Kinematics",POWER(Upgrades!$U$18,J339),1)*IF(Upgrades!$T$19="Stellar Kinematics",POWER(Upgrades!$U$19,K339),1)*IF(Upgrades!$T$20="Stellar Kinematics",POWER(Upgrades!$U$20,L339),1)*IF(Upgrades!$T$21="Stellar Kinematics",POWER(Upgrades!$U$21,M339),1))+(IF(F339=0,0,(Upgrades!$M$14+F339*Upgrades!$N$14)*POWER(Upgrades!$O$14,F339)))*(IF(Upgrades!$T$13="Local Bubble",POWER(Upgrades!$U$13,E339),1)*IF(Upgrades!$T$15="Local Bubble",POWER(Upgrades!$U$15,G339),1)*IF(Upgrades!$T$16="Local Bubble",POWER(Upgrades!$U$16,H339),1)*IF(Upgrades!$T$17="Local Bubble",POWER(Upgrades!$U$17,I339),1)*IF(Upgrades!$T$18="Local Bubble",POWER(Upgrades!$U$18,J339),1)*IF(Upgrades!$T$19="Local Bubble",POWER(Upgrades!$U$19,K339),1)*IF(Upgrades!$T$20="Local Bubble",POWER(Upgrades!$U$20,L339),1)*IF(Upgrades!$T$21="Local Bubble",POWER(Upgrades!$U$21,M339),1))+(IF(G339=0,0,(Upgrades!$M$15+G339*Upgrades!$N$15)*POWER(Upgrades!$O$15,G339)))*(IF(Upgrades!$T$13="Microlensing",POWER(Upgrades!$U$13,E339),1)*IF(Upgrades!$T$14="Microlensing",POWER(Upgrades!$U$14,F339),1)*IF(Upgrades!$T$16="Microlensing",POWER(Upgrades!$U$16,H339),1)*IF(Upgrades!$T$17="Microlensing",POWER(Upgrades!$U$17,I339),1)*IF(Upgrades!$T$18="Microlensing",POWER(Upgrades!$U$18,J339),1)*IF(Upgrades!$T$19="Microlensing",POWER(Upgrades!$U$19,K339),1)*IF(Upgrades!$T$20="Microlensing",POWER(Upgrades!$U$20,L339),1)*IF(Upgrades!$T$21="Microlensing",POWER(Upgrades!$U$21,M339),1))+(IF(H339=0,0,(Upgrades!$M$16+H339*Upgrades!$N$16)*POWER(Upgrades!$O$16,H339)))*(IF(Upgrades!$T$13="Roche Lobe Overflow",POWER(Upgrades!$U$13,E339),1)*IF(Upgrades!$T$14="Roche Lobe Overflow",POWER(Upgrades!$U$14,F339),1)*IF(Upgrades!$T$15="Roche Lobe Overflow",POWER(Upgrades!$U$15,G339),1)*IF(Upgrades!$T$17="Roche Lobe Overflow",POWER(Upgrades!$U$17,I339),1)*IF(Upgrades!$T$18="Roche Lobe Overflow",POWER(Upgrades!$U$18,J339),1)*IF(Upgrades!$T$19="Roche Lobe Overflow",POWER(Upgrades!$U$19,K339),1)*IF(Upgrades!$T$20="Roche Lobe Overflow",POWER(Upgrades!$U$20,L339),1)*IF(Upgrades!$T$21="Roche Lobe Overflow",POWER(Upgrades!$U$21,M339),1))+(IF(I339=0,0,(Upgrades!$M$17+I339*Upgrades!$N$17)*POWER(Upgrades!$O$17,I339)))*(IF(Upgrades!$T$13="Brown Dwarf",POWER(Upgrades!$U$13,E339),1)*IF(Upgrades!$T$14="Brown Dwarf",POWER(Upgrades!$U$14,F339),1)*IF(Upgrades!$T$15="Brown Dwarf",POWER(Upgrades!$U$15,G339),1)*IF(Upgrades!$T$16="Brown Dwarf",POWER(Upgrades!$U$16,H339),1)*IF(Upgrades!$T$18="Brown Dwarf",POWER(Upgrades!$U$18,J339),1)*IF(Upgrades!$T$19="Brown Dwarf",POWER(Upgrades!$U$19,K339),1)*IF(Upgrades!$T$20="Brown Dwarf",POWER(Upgrades!$U$20,L339),1)*IF(Upgrades!$T$21="Brown Dwarf",POWER(Upgrades!$U$21,M339),1))+(IF(J339=0,0,(Upgrades!$M$18+J339*Upgrades!$N$18)*POWER(Upgrades!$O$18,J339)))*(IF(Upgrades!$T$13="Binary Partner",POWER(Upgrades!$U$13,E339),1)*IF(Upgrades!$T$14="Binary Partner",POWER(Upgrades!$U$14,F339),1)*IF(Upgrades!$T$15="Binary Partner",POWER(Upgrades!$U$15,G339),1)*IF(Upgrades!$T$16="Binary Partner",POWER(Upgrades!$U$16,H339),1)*IF(Upgrades!$T$17="Binary Partner",POWER(Upgrades!$U$17,I339),1)*IF(Upgrades!$T$19="Binary Partner",POWER(Upgrades!$U$19,K339),1)*IF(Upgrades!$T$20="Binary Partner",POWER(Upgrades!$U$20,L339),1)*IF(Upgrades!$T$21="Binary Partner",POWER(Upgrades!$U$21,M339),1))+(IF(K339=0,0,(Upgrades!$M$19+K339*Upgrades!$N$19)*POWER(Upgrades!$O$19,K339)))*(IF(Upgrades!$T$13="Peculiar Velocity",POWER(Upgrades!$U$13,E339),1)*IF(Upgrades!$T$14="Peculiar Velocity",POWER(Upgrades!$U$14,F339),1)*IF(Upgrades!$T$15="Peculiar Velocity",POWER(Upgrades!$U$15,G339),1)*IF(Upgrades!$T$16="Peculiar Velocity",POWER(Upgrades!$U$16,H339),1)*IF(Upgrades!$T$17="Peculiar Velocity",POWER(Upgrades!$U$17,I339),1)*IF(Upgrades!$T$18="Peculiar Velocity",POWER(Upgrades!$U$18,J339),1)*IF(Upgrades!$T$20="Peculiar Velocity",POWER(Upgrades!$U$20,L339),1)*IF(Upgrades!$T$21="Peculiar Velocity",POWER(Upgrades!$U$21,M339),1))+(IF(L339=0,0,(Upgrades!$M$20+L339*Upgrades!$N$20)*POWER(Upgrades!$O$20,L339)))*(IF(Upgrades!$T$13="Open Cluster",POWER(Upgrades!$U$13,E339),1)*IF(Upgrades!$T$14="Open Cluster",POWER(Upgrades!$U$14,F339),1)*IF(Upgrades!$T$15="Open Cluster",POWER(Upgrades!$U$15,G339),1)*IF(Upgrades!$T$16="Open Cluster",POWER(Upgrades!$U$16,H339),1)*IF(Upgrades!$T$17="Open Cluster",POWER(Upgrades!$U$17,I339),1)*IF(Upgrades!$T$18="Open Cluster",POWER(Upgrades!$U$18,J339),1)*IF(Upgrades!$T$19="Open Cluster",POWER(Upgrades!$U$19,K339),1)*IF(Upgrades!$T$21="Open Cluster",POWER(Upgrades!$U$21,M339),1))+(IF(M339=0,0,(Upgrades!$M$21+M339*Upgrades!$N$21)*POWER(Upgrades!$O$21,M339)))*(IF(Upgrades!$T$13="Moving Group",POWER(Upgrades!$U$13,E339),1)*IF(Upgrades!$T$14="Moving Group",POWER(Upgrades!$U$14,F339),1)*IF(Upgrades!$T$15="Moving Group",POWER(Upgrades!$U$15,G339),1)*IF(Upgrades!$T$16="Moving Group",POWER(Upgrades!$U$16,H339),1)*IF(Upgrades!$T$17="Moving Group",POWER(Upgrades!$U$17,I339),1)*IF(Upgrades!$T$18="Moving Group",POWER(Upgrades!$U$18,J339),1)*IF(Upgrades!$T$19="Moving Group",POWER(Upgrades!$U$19,K339),1)*IF(Upgrades!$T$20="Moving Group",POWER(Upgrades!$U$20,L339),1)))*POWER(Upgrades!$R$13,E339)*POWER(Upgrades!$R$14,F339)*POWER(Upgrades!$R$15,G339)*POWER(Upgrades!$R$16,H339)*POWER(Upgrades!$R$17,I339)*POWER(Upgrades!$R$18,J339)*POWER(Upgrades!$R$19,K339)*POWER(Upgrades!$R$20,L339)*POWER(Upgrades!$R$21,M339)*$H$6+$E$6</f>
        <v/>
      </c>
      <c r="R339" s="27">
        <f>IF(N339=1,0,O339*Parameters!$B$10/60*Parameters!$B$11*10)</f>
        <v/>
      </c>
      <c r="S339" s="27">
        <f>IF(N339=1,0,Q339*O339*10)</f>
        <v/>
      </c>
      <c r="T339" s="27">
        <f>IF(N339=1,0,R339+S339+P339*10)</f>
        <v/>
      </c>
      <c r="U339" s="33">
        <f>BE339</f>
        <v/>
      </c>
      <c r="V339" s="22">
        <f>IF(U339="",0,IF(U339="transition",0,IF(U339="SK",AK339,IF(U339="LB",AL339,IF(U339="ML",AM339,IF(U339="RLO",AN339,IF(U339="BD",AO339,IF(U339="BiP",AP339,IF(U339="PV",AQ339,IF(U339="OC",AR339,IF(U339="MG",AS339,0))))))))))</f>
        <v/>
      </c>
      <c r="W339" s="27">
        <f>IF(U339="BiP",Upgrades!$F$18,IF(U339="PV",Upgrades!$F$19,IF(U339="OC",Upgrades!$F$20,IF(U339="MG",Upgrades!$F$21,IF(U339="transition",-Parameters!$B$18*Parameters!$B$19,0)))))</f>
        <v/>
      </c>
      <c r="X339" s="22">
        <f>C339+T339-V339</f>
        <v/>
      </c>
      <c r="Y339" s="30">
        <f>O339*Parameters!$B$10/60*Parameters!$B$11+Q339*O339+P339</f>
        <v/>
      </c>
      <c r="Z339" s="34">
        <f>IF(U339="transition","→ Tier 3 (Galactic Arm)",IF(U339="MG","Moving Group — pocket drifts together",IF(U339="OC","Open Cluster acquired",IF(U339="PV","Peculiar Velocity — passive multiplier active",IF(U339="BiP","Binary Partner — pair bond formed",IF(AND(AU339=1,N339=0,AT339&lt;&gt;1),"Cohesion ready (waiting on completionists)","")))))) </f>
        <v/>
      </c>
      <c r="AA339" s="27">
        <f>(IF(E339=0,0,(Upgrades!$G$13+E339*Upgrades!$H$13)*POWER(Upgrades!$I$13,E339)))*(IF(Upgrades!$T$14="Stellar Kinematics",POWER(Upgrades!$U$14,F339),1)*IF(Upgrades!$T$15="Stellar Kinematics",POWER(Upgrades!$U$15,G339),1)*IF(Upgrades!$T$16="Stellar Kinematics",POWER(Upgrades!$U$16,H339),1)*IF(Upgrades!$T$17="Stellar Kinematics",POWER(Upgrades!$U$17,I339),1)*IF(Upgrades!$T$18="Stellar Kinematics",POWER(Upgrades!$U$18,J339),1)*IF(Upgrades!$T$19="Stellar Kinematics",POWER(Upgrades!$U$19,K339),1)*IF(Upgrades!$T$20="Stellar Kinematics",POWER(Upgrades!$U$20,L339),1)*IF(Upgrades!$T$21="Stellar Kinematics",POWER(Upgrades!$U$21,M339),1))*POWER(Upgrades!$P$13,E339)*POWER(Upgrades!$P$14,F339)*POWER(Upgrades!$P$15,G339)*POWER(Upgrades!$P$16,H339)*POWER(Upgrades!$P$17,I339)*POWER(Upgrades!$P$18,J339)*POWER(Upgrades!$P$19,K339)*POWER(Upgrades!$P$20,L339)*POWER(Upgrades!$P$21,M339)*$F$6*60</f>
        <v/>
      </c>
      <c r="AB339" s="27">
        <f>(IF(F339=0,0,(Upgrades!$G$14+F339*Upgrades!$H$14)*POWER(Upgrades!$I$14,F339)))*(IF(Upgrades!$T$13="Local Bubble",POWER(Upgrades!$U$13,E339),1)*IF(Upgrades!$T$15="Local Bubble",POWER(Upgrades!$U$15,G339),1)*IF(Upgrades!$T$16="Local Bubble",POWER(Upgrades!$U$16,H339),1)*IF(Upgrades!$T$17="Local Bubble",POWER(Upgrades!$U$17,I339),1)*IF(Upgrades!$T$18="Local Bubble",POWER(Upgrades!$U$18,J339),1)*IF(Upgrades!$T$19="Local Bubble",POWER(Upgrades!$U$19,K339),1)*IF(Upgrades!$T$20="Local Bubble",POWER(Upgrades!$U$20,L339),1)*IF(Upgrades!$T$21="Local Bubble",POWER(Upgrades!$U$21,M339),1))*POWER(Upgrades!$P$13,E339)*POWER(Upgrades!$P$14,F339)*POWER(Upgrades!$P$15,G339)*POWER(Upgrades!$P$16,H339)*POWER(Upgrades!$P$17,I339)*POWER(Upgrades!$P$18,J339)*POWER(Upgrades!$P$19,K339)*POWER(Upgrades!$P$20,L339)*POWER(Upgrades!$P$21,M339)*$F$6*60</f>
        <v/>
      </c>
      <c r="AC339" s="27">
        <f>(IF(G339=0,0,(Upgrades!$J$15+G339*Upgrades!$K$15)*POWER(Upgrades!$L$15,G339)))*(IF(Upgrades!$T$13="Microlensing",POWER(Upgrades!$U$13,E339),1)*IF(Upgrades!$T$14="Microlensing",POWER(Upgrades!$U$14,F339),1)*IF(Upgrades!$T$16="Microlensing",POWER(Upgrades!$U$16,H339),1)*IF(Upgrades!$T$17="Microlensing",POWER(Upgrades!$U$17,I339),1)*IF(Upgrades!$T$18="Microlensing",POWER(Upgrades!$U$18,J339),1)*IF(Upgrades!$T$19="Microlensing",POWER(Upgrades!$U$19,K339),1)*IF(Upgrades!$T$20="Microlensing",POWER(Upgrades!$U$20,L339),1)*IF(Upgrades!$T$21="Microlensing",POWER(Upgrades!$U$21,M339),1))*POWER(Upgrades!$Q$13,E339)*POWER(Upgrades!$Q$14,F339)*POWER(Upgrades!$Q$15,G339)*POWER(Upgrades!$Q$16,H339)*POWER(Upgrades!$Q$17,I339)*POWER(Upgrades!$Q$18,J339)*POWER(Upgrades!$Q$19,K339)*POWER(Upgrades!$Q$20,L339)*POWER(Upgrades!$Q$21,M339)*$G$6*(Parameters!$B$10*Parameters!$B$11+Q339*60)</f>
        <v/>
      </c>
      <c r="AD339" s="27">
        <f>(IF(H339=0,0,(Upgrades!$M$16+H339*Upgrades!$N$16)*POWER(Upgrades!$O$16,H339)))*(IF(Upgrades!$T$13="Roche Lobe Overflow",POWER(Upgrades!$U$13,E339),1)*IF(Upgrades!$T$14="Roche Lobe Overflow",POWER(Upgrades!$U$14,F339),1)*IF(Upgrades!$T$15="Roche Lobe Overflow",POWER(Upgrades!$U$15,G339),1)*IF(Upgrades!$T$17="Roche Lobe Overflow",POWER(Upgrades!$U$17,I339),1)*IF(Upgrades!$T$18="Roche Lobe Overflow",POWER(Upgrades!$U$18,J339),1)*IF(Upgrades!$T$19="Roche Lobe Overflow",POWER(Upgrades!$U$19,K339),1)*IF(Upgrades!$T$20="Roche Lobe Overflow",POWER(Upgrades!$U$20,L339),1)*IF(Upgrades!$T$21="Roche Lobe Overflow",POWER(Upgrades!$U$21,M339),1))*POWER(Upgrades!$R$13,E339)*POWER(Upgrades!$R$14,F339)*POWER(Upgrades!$R$15,G339)*POWER(Upgrades!$R$16,H339)*POWER(Upgrades!$R$17,I339)*POWER(Upgrades!$R$18,J339)*POWER(Upgrades!$R$19,K339)*POWER(Upgrades!$R$20,L339)*POWER(Upgrades!$R$21,M339)*$H$6*O339*60</f>
        <v/>
      </c>
      <c r="AE339" s="27">
        <f>(IF(I339=0,0,(Upgrades!$G$17+I339*Upgrades!$H$17)*POWER(Upgrades!$I$17,I339)))*(IF(Upgrades!$T$13="Brown Dwarf",POWER(Upgrades!$U$13,E339),1)*IF(Upgrades!$T$14="Brown Dwarf",POWER(Upgrades!$U$14,F339),1)*IF(Upgrades!$T$15="Brown Dwarf",POWER(Upgrades!$U$15,G339),1)*IF(Upgrades!$T$16="Brown Dwarf",POWER(Upgrades!$U$16,H339),1)*IF(Upgrades!$T$18="Brown Dwarf",POWER(Upgrades!$U$18,J339),1)*IF(Upgrades!$T$19="Brown Dwarf",POWER(Upgrades!$U$19,K339),1)*IF(Upgrades!$T$20="Brown Dwarf",POWER(Upgrades!$U$20,L339),1)*IF(Upgrades!$T$21="Brown Dwarf",POWER(Upgrades!$U$21,M339),1))*POWER(Upgrades!$P$13,E339)*POWER(Upgrades!$P$14,F339)*POWER(Upgrades!$P$15,G339)*POWER(Upgrades!$P$16,H339)*POWER(Upgrades!$P$17,I339)*POWER(Upgrades!$P$18,J339)*POWER(Upgrades!$P$19,K339)*POWER(Upgrades!$P$20,L339)*POWER(Upgrades!$P$21,M339)*$F$6*60</f>
        <v/>
      </c>
      <c r="AF339" s="27" t="n">
        <v>0</v>
      </c>
      <c r="AG339" s="27" t="n">
        <v>0</v>
      </c>
      <c r="AH339" s="27" t="n">
        <v>0</v>
      </c>
      <c r="AI339" s="27">
        <f>(IF(M339=0,0,(Upgrades!$G$21+M339*Upgrades!$H$21)*POWER(Upgrades!$I$21,M339)))*(IF(Upgrades!$T$13="Moving Group",POWER(Upgrades!$U$13,E339),1)*IF(Upgrades!$T$14="Moving Group",POWER(Upgrades!$U$14,F339),1)*IF(Upgrades!$T$15="Moving Group",POWER(Upgrades!$U$15,G339),1)*IF(Upgrades!$T$16="Moving Group",POWER(Upgrades!$U$16,H339),1)*IF(Upgrades!$T$17="Moving Group",POWER(Upgrades!$U$17,I339),1)*IF(Upgrades!$T$18="Moving Group",POWER(Upgrades!$U$18,J339),1)*IF(Upgrades!$T$19="Moving Group",POWER(Upgrades!$U$19,K339),1)*IF(Upgrades!$T$20="Moving Group",POWER(Upgrades!$U$20,L339),1))*POWER(Upgrades!$P$13,E339)*POWER(Upgrades!$P$14,F339)*POWER(Upgrades!$P$15,G339)*POWER(Upgrades!$P$16,H339)*POWER(Upgrades!$P$17,I339)*POWER(Upgrades!$P$18,J339)*POWER(Upgrades!$P$19,K339)*POWER(Upgrades!$P$20,L339)*POWER(Upgrades!$P$21,M339)*$F$6*60</f>
        <v/>
      </c>
      <c r="AJ339" s="27">
        <f>$C$6*60</f>
        <v/>
      </c>
      <c r="AK339" s="22">
        <f>IF(E339&gt;=Upgrades!$E$13,"",Upgrades!$C$13*POWER(Upgrades!$D$13,E339))</f>
        <v/>
      </c>
      <c r="AL339" s="22">
        <f>IF(F339&gt;=Upgrades!$E$14,"",Upgrades!$C$14*POWER(Upgrades!$D$14,F339))</f>
        <v/>
      </c>
      <c r="AM339" s="22">
        <f>IF(G339&gt;=Upgrades!$E$15,"",Upgrades!$C$15*POWER(Upgrades!$D$15,G339))</f>
        <v/>
      </c>
      <c r="AN339" s="22">
        <f>IF(H339&gt;=Upgrades!$E$16,"",Upgrades!$C$16*POWER(Upgrades!$D$16,H339))</f>
        <v/>
      </c>
      <c r="AO339" s="22">
        <f>IF(I339&gt;=Upgrades!$E$17,"",Upgrades!$C$17*POWER(Upgrades!$D$17,I339))</f>
        <v/>
      </c>
      <c r="AP339" s="22">
        <f>IF(J339&gt;=Upgrades!$E$18,"",Upgrades!$C$18*POWER(Upgrades!$D$18,J339))</f>
        <v/>
      </c>
      <c r="AQ339" s="22">
        <f>IF(K339&gt;=Upgrades!$E$19,"",Upgrades!$C$19*POWER(Upgrades!$D$19,K339))</f>
        <v/>
      </c>
      <c r="AR339" s="22">
        <f>IF(L339&gt;=Upgrades!$E$20,"",Upgrades!$C$20*POWER(Upgrades!$D$20,L339))</f>
        <v/>
      </c>
      <c r="AS339" s="22">
        <f>IF(M339&gt;=Upgrades!$E$21,"",Upgrades!$C$21*POWER(Upgrades!$D$21,M339))</f>
        <v/>
      </c>
      <c r="AT339" s="26">
        <f>IF(AND(D339&gt;=Parameters!$B$18*Parameters!$B$19,(I339&gt;=Upgrades!$E$17)*(M339&gt;=Upgrades!$E$21)=1,N339=0),1,"")</f>
        <v/>
      </c>
      <c r="AU339" s="26">
        <f>IF(AND(D339&gt;=Parameters!$B$18*Parameters!$B$19,N339=0),1,"")</f>
        <v/>
      </c>
      <c r="AV339" s="22">
        <f>MIN(IF(ISNUMBER(AP339),AP339,9E15),IF(ISNUMBER(AQ339),AQ339,9E15),IF(ISNUMBER(AR339),AR339,9E15),IF(ISNUMBER(AS339),AS339,9E15))</f>
        <v/>
      </c>
      <c r="AW339" s="22">
        <f>MIN(IF(ISNUMBER(AK339),AK339,9E15),IF(ISNUMBER(AL339),AL339,9E15),IF(ISNUMBER(AM339),AM339,9E15),IF(ISNUMBER(AN339),AN339,9E15),IF(ISNUMBER(AO339),AO339,9E15))</f>
        <v/>
      </c>
      <c r="AX339" s="29">
        <f>IF(BD339&gt;Parameters!$B$21*(MAX(IF(AND(NOT(AND(AU339=1,AT339&lt;&gt;1)),ISNUMBER(AK339),AK339&lt;=(C339+T339)),AY339,0),IF(AND(NOT(AND(AU339=1,AT339&lt;&gt;1)),ISNUMBER(AL339),AL339&lt;=(C339+T339)),AZ339,0),IF(AND(NOT(AND(AU339=1,AT339&lt;&gt;1)),ISNUMBER(AM339),AM339&lt;=(C339+T339)),BA339,0),IF(AND(NOT(AND(AU339=1,AT339&lt;&gt;1)),ISNUMBER(AN339),AN339&lt;=(C339+T339)),BB339,0),IF(AND(ISNUMBER(AO339),AO339&lt;=(C339+T339)),BC339,0))),TRUE,FALSE)</f>
        <v/>
      </c>
      <c r="AY339" s="32">
        <f>IFERROR(Upgrades!$H$13*(POWER(Upgrades!$P$13,E339)*POWER(Upgrades!$P$14,F339)*POWER(Upgrades!$P$15,G339)*POWER(Upgrades!$P$16,H339)*POWER(Upgrades!$P$17,I339)*POWER(Upgrades!$P$18,J339)*POWER(Upgrades!$P$19,K339)*POWER(Upgrades!$P$20,L339)*POWER(Upgrades!$P$21,M339))*(IF(Upgrades!$T$14="Stellar Kinematics",POWER(Upgrades!$U$14,F339),1)*IF(Upgrades!$T$15="Stellar Kinematics",POWER(Upgrades!$U$15,G339),1)*IF(Upgrades!$T$16="Stellar Kinematics",POWER(Upgrades!$U$16,H339),1)*IF(Upgrades!$T$17="Stellar Kinematics",POWER(Upgrades!$U$17,I339),1)*IF(Upgrades!$T$18="Stellar Kinematics",POWER(Upgrades!$U$18,J339),1)*IF(Upgrades!$T$19="Stellar Kinematics",POWER(Upgrades!$U$19,K339),1)*IF(Upgrades!$T$20="Stellar Kinematics",POWER(Upgrades!$U$20,L339),1)*IF(Upgrades!$T$21="Stellar Kinematics",POWER(Upgrades!$U$21,M339),1))*$F$6/AK339,0)</f>
        <v/>
      </c>
      <c r="AZ339" s="32">
        <f>IFERROR(Upgrades!$H$14*(POWER(Upgrades!$P$13,E339)*POWER(Upgrades!$P$14,F339)*POWER(Upgrades!$P$15,G339)*POWER(Upgrades!$P$16,H339)*POWER(Upgrades!$P$17,I339)*POWER(Upgrades!$P$18,J339)*POWER(Upgrades!$P$19,K339)*POWER(Upgrades!$P$20,L339)*POWER(Upgrades!$P$21,M339))*(IF(Upgrades!$T$13="Local Bubble",POWER(Upgrades!$U$13,E339),1)*IF(Upgrades!$T$15="Local Bubble",POWER(Upgrades!$U$15,G339),1)*IF(Upgrades!$T$16="Local Bubble",POWER(Upgrades!$U$16,H339),1)*IF(Upgrades!$T$17="Local Bubble",POWER(Upgrades!$U$17,I339),1)*IF(Upgrades!$T$18="Local Bubble",POWER(Upgrades!$U$18,J339),1)*IF(Upgrades!$T$19="Local Bubble",POWER(Upgrades!$U$19,K339),1)*IF(Upgrades!$T$20="Local Bubble",POWER(Upgrades!$U$20,L339),1)*IF(Upgrades!$T$21="Local Bubble",POWER(Upgrades!$U$21,M339),1))*$F$6/AL339,0)</f>
        <v/>
      </c>
      <c r="BA339" s="32">
        <f>IFERROR(Upgrades!$K$15*(POWER(Upgrades!$Q$13,E339)*POWER(Upgrades!$Q$14,F339)*POWER(Upgrades!$Q$15,G339)*POWER(Upgrades!$Q$16,H339)*POWER(Upgrades!$Q$17,I339)*POWER(Upgrades!$Q$18,J339)*POWER(Upgrades!$Q$19,K339)*POWER(Upgrades!$Q$20,L339)*POWER(Upgrades!$Q$21,M339))*(IF(Upgrades!$T$13="Microlensing",POWER(Upgrades!$U$13,E339),1)*IF(Upgrades!$T$14="Microlensing",POWER(Upgrades!$U$14,F339),1)*IF(Upgrades!$T$16="Microlensing",POWER(Upgrades!$U$16,H339),1)*IF(Upgrades!$T$17="Microlensing",POWER(Upgrades!$U$17,I339),1)*IF(Upgrades!$T$18="Microlensing",POWER(Upgrades!$U$18,J339),1)*IF(Upgrades!$T$19="Microlensing",POWER(Upgrades!$U$19,K339),1)*IF(Upgrades!$T$20="Microlensing",POWER(Upgrades!$U$20,L339),1)*IF(Upgrades!$T$21="Microlensing",POWER(Upgrades!$U$21,M339),1))*$G$6*(Parameters!$B$10/60*Parameters!$B$11+Q339)/AM339,0)</f>
        <v/>
      </c>
      <c r="BB339" s="32">
        <f>IFERROR((Upgrades!$N$16*(POWER(Upgrades!$R$13,E339)*POWER(Upgrades!$R$14,F339)*POWER(Upgrades!$R$15,G339)*POWER(Upgrades!$R$16,H339)*POWER(Upgrades!$R$17,I339)*POWER(Upgrades!$R$18,J339)*POWER(Upgrades!$R$19,K339)*POWER(Upgrades!$R$20,L339)*POWER(Upgrades!$R$21,M339))*(IF(Upgrades!$T$13="Roche Lobe Overflow",POWER(Upgrades!$U$13,E339),1)*IF(Upgrades!$T$14="Roche Lobe Overflow",POWER(Upgrades!$U$14,F339),1)*IF(Upgrades!$T$15="Roche Lobe Overflow",POWER(Upgrades!$U$15,G339),1)*IF(Upgrades!$T$17="Roche Lobe Overflow",POWER(Upgrades!$U$17,I339),1)*IF(Upgrades!$T$18="Roche Lobe Overflow",POWER(Upgrades!$U$18,J339),1)*IF(Upgrades!$T$19="Roche Lobe Overflow",POWER(Upgrades!$U$19,K339),1)*IF(Upgrades!$T$20="Roche Lobe Overflow",POWER(Upgrades!$U$20,L339),1)*IF(Upgrades!$T$21="Roche Lobe Overflow",POWER(Upgrades!$U$21,M339),1))*$H$6*O339+((IF(F339=0,0,(Upgrades!$G$14+F339*Upgrades!$H$14)*POWER(Upgrades!$I$14,F339)))*(IF(Upgrades!$T$13="Local Bubble",POWER(Upgrades!$U$13,E339),1)*IF(Upgrades!$T$15="Local Bubble",POWER(Upgrades!$U$15,G339),1)*IF(Upgrades!$T$16="Local Bubble",POWER(Upgrades!$U$16,H339),1)*IF(Upgrades!$T$17="Local Bubble",POWER(Upgrades!$U$17,I339),1)*IF(Upgrades!$T$18="Local Bubble",POWER(Upgrades!$U$18,J339),1)*IF(Upgrades!$T$19="Local Bubble",POWER(Upgrades!$U$19,K339),1)*IF(Upgrades!$T$20="Local Bubble",POWER(Upgrades!$U$20,L339),1)*IF(Upgrades!$T$21="Local Bubble",POWER(Upgrades!$U$21,M339),1))*POWER(Upgrades!$P$13,E339)*POWER(Upgrades!$P$14,F339)*POWER(Upgrades!$P$15,G339)*POWER(Upgrades!$P$16,H339)*POWER(Upgrades!$P$17,I339)*POWER(Upgrades!$P$18,J339)*POWER(Upgrades!$P$19,K339)*POWER(Upgrades!$P$20,L339)*POWER(Upgrades!$P$21,M339)*$F$6)*0.05)/AN339,0)</f>
        <v/>
      </c>
      <c r="BC339" s="32">
        <f>IFERROR((Upgrades!$H$17*(POWER(Upgrades!$P$13,E339)*POWER(Upgrades!$P$14,F339)*POWER(Upgrades!$P$15,G339)*POWER(Upgrades!$P$16,H339)*POWER(Upgrades!$P$17,I339)*POWER(Upgrades!$P$18,J339)*POWER(Upgrades!$P$19,K339)*POWER(Upgrades!$P$20,L339)*POWER(Upgrades!$P$21,M339))*(IF(Upgrades!$T$13="Brown Dwarf",POWER(Upgrades!$U$13,E339),1)*IF(Upgrades!$T$14="Brown Dwarf",POWER(Upgrades!$U$14,F339),1)*IF(Upgrades!$T$15="Brown Dwarf",POWER(Upgrades!$U$15,G339),1)*IF(Upgrades!$T$16="Brown Dwarf",POWER(Upgrades!$U$16,H339),1)*IF(Upgrades!$T$18="Brown Dwarf",POWER(Upgrades!$U$18,J339),1)*IF(Upgrades!$T$19="Brown Dwarf",POWER(Upgrades!$U$19,K339),1)*IF(Upgrades!$T$20="Brown Dwarf",POWER(Upgrades!$U$20,L339),1)*IF(Upgrades!$T$21="Brown Dwarf",POWER(Upgrades!$U$21,M339),1))*$F$6+(((IF(H339=0,0,(Upgrades!$M$16+H339*Upgrades!$N$16)*POWER(Upgrades!$O$16,H339)))*(IF(Upgrades!$T$13="Roche Lobe Overflow",POWER(Upgrades!$U$13,E339),1)*IF(Upgrades!$T$14="Roche Lobe Overflow",POWER(Upgrades!$U$14,F339),1)*IF(Upgrades!$T$15="Roche Lobe Overflow",POWER(Upgrades!$U$15,G339),1)*IF(Upgrades!$T$17="Roche Lobe Overflow",POWER(Upgrades!$U$17,I339),1)*IF(Upgrades!$T$18="Roche Lobe Overflow",POWER(Upgrades!$U$18,J339),1)*IF(Upgrades!$T$19="Roche Lobe Overflow",POWER(Upgrades!$U$19,K339),1)*IF(Upgrades!$T$20="Roche Lobe Overflow",POWER(Upgrades!$U$20,L339),1)*IF(Upgrades!$T$21="Roche Lobe Overflow",POWER(Upgrades!$U$21,M339),1))*POWER(Upgrades!$R$13,E339)*POWER(Upgrades!$R$14,F339)*POWER(Upgrades!$R$15,G339)*POWER(Upgrades!$R$16,H339)*POWER(Upgrades!$R$17,I339)*POWER(Upgrades!$R$18,J339)*POWER(Upgrades!$R$19,K339)*POWER(Upgrades!$R$20,L339)*POWER(Upgrades!$R$21,M339)*$H$6)*O339)*0.10)/AO339,0)</f>
        <v/>
      </c>
      <c r="BD339" s="32">
        <f>MAX(IF(J339&gt;0,0,IFERROR(0.5*((IF(G339=0,0,(Upgrades!$J$15+G339*Upgrades!$K$15)*POWER(Upgrades!$L$15,G339)))*(IF(Upgrades!$T$13="Microlensing",POWER(Upgrades!$U$13,E339),1)*IF(Upgrades!$T$14="Microlensing",POWER(Upgrades!$U$14,F339),1)*IF(Upgrades!$T$16="Microlensing",POWER(Upgrades!$U$16,H339),1)*IF(Upgrades!$T$17="Microlensing",POWER(Upgrades!$U$17,I339),1)*IF(Upgrades!$T$18="Microlensing",POWER(Upgrades!$U$18,J339),1)*IF(Upgrades!$T$19="Microlensing",POWER(Upgrades!$U$19,K339),1)*IF(Upgrades!$T$20="Microlensing",POWER(Upgrades!$U$20,L339),1)*IF(Upgrades!$T$21="Microlensing",POWER(Upgrades!$U$21,M339),1))*(POWER(Upgrades!$Q$13,E339)*POWER(Upgrades!$Q$14,F339)*POWER(Upgrades!$Q$15,G339)*POWER(Upgrades!$Q$16,H339)*POWER(Upgrades!$Q$17,I339)*POWER(Upgrades!$Q$18,J339)*POWER(Upgrades!$Q$19,K339)*POWER(Upgrades!$Q$20,L339)*POWER(Upgrades!$Q$21,M339))*$G$6*(Parameters!$B$10/60*Parameters!$B$11+Q339))/Upgrades!$C$18,0)),IF(K339&gt;0,0,IFERROR(0.30*P339/Upgrades!$C$19,0)),IF(L339&gt;0,0,IFERROR(0.0001/Upgrades!$C$20,0)),IF(M339&gt;0,0,IFERROR((6.0*(POWER(Upgrades!$P$13,E339)*POWER(Upgrades!$P$14,F339)*POWER(Upgrades!$P$15,G339)*POWER(Upgrades!$P$16,H339)*POWER(Upgrades!$P$17,I339)*POWER(Upgrades!$P$18,J339)*POWER(Upgrades!$P$19,K339)*POWER(Upgrades!$P$20,L339)*POWER(Upgrades!$P$21,M339))*$F$6+0.20*O339*(Parameters!$B$10/60*Parameters!$B$11+Q339))/Upgrades!$C$21,0)),IF(AND(ISNUMBER(AK339),AK339&gt;(C339+T339)),AY339,0),IF(AND(ISNUMBER(AL339),AL339&gt;(C339+T339)),AZ339,0),IF(AND(ISNUMBER(AM339),AM339&gt;(C339+T339)),BA339,0),IF(AND(ISNUMBER(AN339),AN339&gt;(C339+T339)),BB339,0),IF(AND(ISNUMBER(AO339),AO339&gt;(C339+T339)),BC339,0))</f>
        <v/>
      </c>
      <c r="BE339" s="29">
        <f>IF(AT339=1,"transition",IF(MIN(IF(AND(J339=0,ISNUMBER(AP339),AP339&lt;=(C339+T339)),AP339,9E15),IF(AND(K339=0,ISNUMBER(AQ339),AQ339&lt;=(C339+T339)),AQ339,9E15),IF(AND(L339=0,ISNUMBER(AR339),AR339&lt;=(C339+T339)),AR339,9E15),IF(AND(M339=0,ISNUMBER(AS339),AS339&lt;=(C339+T339)),AS339,9E15))&lt;9E15,IF(AND(AND(J339=0,ISNUMBER(AP339),AP339&lt;=(C339+T339)),AP339=MIN(IF(AND(J339=0,ISNUMBER(AP339),AP339&lt;=(C339+T339)),AP339,9E15),IF(AND(K339=0,ISNUMBER(AQ339),AQ339&lt;=(C339+T339)),AQ339,9E15),IF(AND(L339=0,ISNUMBER(AR339),AR339&lt;=(C339+T339)),AR339,9E15),IF(AND(M339=0,ISNUMBER(AS339),AS339&lt;=(C339+T339)),AS339,9E15))),"BiP",IF(AND(AND(K339=0,ISNUMBER(AQ339),AQ339&lt;=(C339+T339)),AQ339=MIN(IF(AND(J339=0,ISNUMBER(AP339),AP339&lt;=(C339+T339)),AP339,9E15),IF(AND(K339=0,ISNUMBER(AQ339),AQ339&lt;=(C339+T339)),AQ339,9E15),IF(AND(L339=0,ISNUMBER(AR339),AR339&lt;=(C339+T339)),AR339,9E15),IF(AND(M339=0,ISNUMBER(AS339),AS339&lt;=(C339+T339)),AS339,9E15))),"PV",IF(AND(AND(L339=0,ISNUMBER(AR339),AR339&lt;=(C339+T339)),AR339=MIN(IF(AND(J339=0,ISNUMBER(AP339),AP339&lt;=(C339+T339)),AP339,9E15),IF(AND(K339=0,ISNUMBER(AQ339),AQ339&lt;=(C339+T339)),AQ339,9E15),IF(AND(L339=0,ISNUMBER(AR339),AR339&lt;=(C339+T339)),AR339,9E15),IF(AND(M339=0,ISNUMBER(AS339),AS339&lt;=(C339+T339)),AS339,9E15))),"OC","MG"))),IF(AX339=TRUE,"",IF(MAX(IF(AND(NOT(AND(AU339=1,AT339&lt;&gt;1)),ISNUMBER(AK339),AK339&lt;=(C339+T339)),AY339,0),IF(AND(NOT(AND(AU339=1,AT339&lt;&gt;1)),ISNUMBER(AL339),AL339&lt;=(C339+T339)),AZ339,0),IF(AND(NOT(AND(AU339=1,AT339&lt;&gt;1)),ISNUMBER(AM339),AM339&lt;=(C339+T339)),BA339,0),IF(AND(NOT(AND(AU339=1,AT339&lt;&gt;1)),ISNUMBER(AN339),AN339&lt;=(C339+T339)),BB339,0),IF(AND(ISNUMBER(AO339),AO339&lt;=(C339+T339)),BC339,0))&lt;=0,"",IF(AND(IF(AND(NOT(AND(AU339=1,AT339&lt;&gt;1)),ISNUMBER(AK339),AK339&lt;=(C339+T339)),AY339,0)&gt;0,IF(AND(NOT(AND(AU339=1,AT339&lt;&gt;1)),ISNUMBER(AK339),AK339&lt;=(C339+T339)),AY339,0)=MAX(IF(AND(NOT(AND(AU339=1,AT339&lt;&gt;1)),ISNUMBER(AK339),AK339&lt;=(C339+T339)),AY339,0),IF(AND(NOT(AND(AU339=1,AT339&lt;&gt;1)),ISNUMBER(AL339),AL339&lt;=(C339+T339)),AZ339,0),IF(AND(NOT(AND(AU339=1,AT339&lt;&gt;1)),ISNUMBER(AM339),AM339&lt;=(C339+T339)),BA339,0),IF(AND(NOT(AND(AU339=1,AT339&lt;&gt;1)),ISNUMBER(AN339),AN339&lt;=(C339+T339)),BB339,0),IF(AND(ISNUMBER(AO339),AO339&lt;=(C339+T339)),BC339,0))),"SK",IF(AND(IF(AND(NOT(AND(AU339=1,AT339&lt;&gt;1)),ISNUMBER(AL339),AL339&lt;=(C339+T339)),AZ339,0)&gt;0,IF(AND(NOT(AND(AU339=1,AT339&lt;&gt;1)),ISNUMBER(AL339),AL339&lt;=(C339+T339)),AZ339,0)=MAX(IF(AND(NOT(AND(AU339=1,AT339&lt;&gt;1)),ISNUMBER(AK339),AK339&lt;=(C339+T339)),AY339,0),IF(AND(NOT(AND(AU339=1,AT339&lt;&gt;1)),ISNUMBER(AL339),AL339&lt;=(C339+T339)),AZ339,0),IF(AND(NOT(AND(AU339=1,AT339&lt;&gt;1)),ISNUMBER(AM339),AM339&lt;=(C339+T339)),BA339,0),IF(AND(NOT(AND(AU339=1,AT339&lt;&gt;1)),ISNUMBER(AN339),AN339&lt;=(C339+T339)),BB339,0),IF(AND(ISNUMBER(AO339),AO339&lt;=(C339+T339)),BC339,0))),"LB",IF(AND(IF(AND(NOT(AND(AU339=1,AT339&lt;&gt;1)),ISNUMBER(AM339),AM339&lt;=(C339+T339)),BA339,0)&gt;0,IF(AND(NOT(AND(AU339=1,AT339&lt;&gt;1)),ISNUMBER(AM339),AM339&lt;=(C339+T339)),BA339,0)=MAX(IF(AND(NOT(AND(AU339=1,AT339&lt;&gt;1)),ISNUMBER(AK339),AK339&lt;=(C339+T339)),AY339,0),IF(AND(NOT(AND(AU339=1,AT339&lt;&gt;1)),ISNUMBER(AL339),AL339&lt;=(C339+T339)),AZ339,0),IF(AND(NOT(AND(AU339=1,AT339&lt;&gt;1)),ISNUMBER(AM339),AM339&lt;=(C339+T339)),BA339,0),IF(AND(NOT(AND(AU339=1,AT339&lt;&gt;1)),ISNUMBER(AN339),AN339&lt;=(C339+T339)),BB339,0),IF(AND(ISNUMBER(AO339),AO339&lt;=(C339+T339)),BC339,0))),"ML",IF(AND(IF(AND(NOT(AND(AU339=1,AT339&lt;&gt;1)),ISNUMBER(AN339),AN339&lt;=(C339+T339)),BB339,0)&gt;0,IF(AND(NOT(AND(AU339=1,AT339&lt;&gt;1)),ISNUMBER(AN339),AN339&lt;=(C339+T339)),BB339,0)=MAX(IF(AND(NOT(AND(AU339=1,AT339&lt;&gt;1)),ISNUMBER(AK339),AK339&lt;=(C339+T339)),AY339,0),IF(AND(NOT(AND(AU339=1,AT339&lt;&gt;1)),ISNUMBER(AL339),AL339&lt;=(C339+T339)),AZ339,0),IF(AND(NOT(AND(AU339=1,AT339&lt;&gt;1)),ISNUMBER(AM339),AM339&lt;=(C339+T339)),BA339,0),IF(AND(NOT(AND(AU339=1,AT339&lt;&gt;1)),ISNUMBER(AN339),AN339&lt;=(C339+T339)),BB339,0),IF(AND(ISNUMBER(AO339),AO339&lt;=(C339+T339)),BC339,0))),"RLO","BD"))))))))</f>
        <v/>
      </c>
    </row>
    <row r="340">
      <c r="A340" s="26" t="n">
        <v>329</v>
      </c>
      <c r="B340" s="27">
        <f>A340*10/60</f>
        <v/>
      </c>
      <c r="C340" s="22">
        <f>X339</f>
        <v/>
      </c>
      <c r="D340" s="27">
        <f>D339+W339</f>
        <v/>
      </c>
      <c r="E340" s="26">
        <f>E339+IF(U339="SK",1,0)</f>
        <v/>
      </c>
      <c r="F340" s="26">
        <f>F339+IF(U339="LB",1,0)</f>
        <v/>
      </c>
      <c r="G340" s="26">
        <f>G339+IF(U339="ML",1,0)</f>
        <v/>
      </c>
      <c r="H340" s="26">
        <f>H339+IF(U339="RLO",1,0)</f>
        <v/>
      </c>
      <c r="I340" s="26">
        <f>I339+IF(U339="BD",1,0)</f>
        <v/>
      </c>
      <c r="J340" s="26">
        <f>MAX(J339,IF(U339="BiP",1,0))</f>
        <v/>
      </c>
      <c r="K340" s="26">
        <f>MAX(K339,IF(U339="PV",1,0))</f>
        <v/>
      </c>
      <c r="L340" s="26">
        <f>MAX(L339,IF(U339="OC",1,0))</f>
        <v/>
      </c>
      <c r="M340" s="26">
        <f>MAX(M339,IF(U339="MG",1,0))</f>
        <v/>
      </c>
      <c r="N340" s="26">
        <f>MAX(N339,IF(U339="transition",1,0))</f>
        <v/>
      </c>
      <c r="O340" s="28">
        <f>(Parameters!$B$9+(IF(E340=0,0,(Upgrades!$J$13+E340*Upgrades!$K$13)*POWER(Upgrades!$L$13,E340)))*(IF(Upgrades!$T$14="Stellar Kinematics",POWER(Upgrades!$U$14,F340),1)*IF(Upgrades!$T$15="Stellar Kinematics",POWER(Upgrades!$U$15,G340),1)*IF(Upgrades!$T$16="Stellar Kinematics",POWER(Upgrades!$U$16,H340),1)*IF(Upgrades!$T$17="Stellar Kinematics",POWER(Upgrades!$U$17,I340),1)*IF(Upgrades!$T$18="Stellar Kinematics",POWER(Upgrades!$U$18,J340),1)*IF(Upgrades!$T$19="Stellar Kinematics",POWER(Upgrades!$U$19,K340),1)*IF(Upgrades!$T$20="Stellar Kinematics",POWER(Upgrades!$U$20,L340),1)*IF(Upgrades!$T$21="Stellar Kinematics",POWER(Upgrades!$U$21,M340),1))+(IF(F340=0,0,(Upgrades!$J$14+F340*Upgrades!$K$14)*POWER(Upgrades!$L$14,F340)))*(IF(Upgrades!$T$13="Local Bubble",POWER(Upgrades!$U$13,E340),1)*IF(Upgrades!$T$15="Local Bubble",POWER(Upgrades!$U$15,G340),1)*IF(Upgrades!$T$16="Local Bubble",POWER(Upgrades!$U$16,H340),1)*IF(Upgrades!$T$17="Local Bubble",POWER(Upgrades!$U$17,I340),1)*IF(Upgrades!$T$18="Local Bubble",POWER(Upgrades!$U$18,J340),1)*IF(Upgrades!$T$19="Local Bubble",POWER(Upgrades!$U$19,K340),1)*IF(Upgrades!$T$20="Local Bubble",POWER(Upgrades!$U$20,L340),1)*IF(Upgrades!$T$21="Local Bubble",POWER(Upgrades!$U$21,M340),1))+(IF(G340=0,0,(Upgrades!$J$15+G340*Upgrades!$K$15)*POWER(Upgrades!$L$15,G340)))*(IF(Upgrades!$T$13="Microlensing",POWER(Upgrades!$U$13,E340),1)*IF(Upgrades!$T$14="Microlensing",POWER(Upgrades!$U$14,F340),1)*IF(Upgrades!$T$16="Microlensing",POWER(Upgrades!$U$16,H340),1)*IF(Upgrades!$T$17="Microlensing",POWER(Upgrades!$U$17,I340),1)*IF(Upgrades!$T$18="Microlensing",POWER(Upgrades!$U$18,J340),1)*IF(Upgrades!$T$19="Microlensing",POWER(Upgrades!$U$19,K340),1)*IF(Upgrades!$T$20="Microlensing",POWER(Upgrades!$U$20,L340),1)*IF(Upgrades!$T$21="Microlensing",POWER(Upgrades!$U$21,M340),1))+(IF(H340=0,0,(Upgrades!$J$16+H340*Upgrades!$K$16)*POWER(Upgrades!$L$16,H340)))*(IF(Upgrades!$T$13="Roche Lobe Overflow",POWER(Upgrades!$U$13,E340),1)*IF(Upgrades!$T$14="Roche Lobe Overflow",POWER(Upgrades!$U$14,F340),1)*IF(Upgrades!$T$15="Roche Lobe Overflow",POWER(Upgrades!$U$15,G340),1)*IF(Upgrades!$T$17="Roche Lobe Overflow",POWER(Upgrades!$U$17,I340),1)*IF(Upgrades!$T$18="Roche Lobe Overflow",POWER(Upgrades!$U$18,J340),1)*IF(Upgrades!$T$19="Roche Lobe Overflow",POWER(Upgrades!$U$19,K340),1)*IF(Upgrades!$T$20="Roche Lobe Overflow",POWER(Upgrades!$U$20,L340),1)*IF(Upgrades!$T$21="Roche Lobe Overflow",POWER(Upgrades!$U$21,M340),1))+(IF(I340=0,0,(Upgrades!$J$17+I340*Upgrades!$K$17)*POWER(Upgrades!$L$17,I340)))*(IF(Upgrades!$T$13="Brown Dwarf",POWER(Upgrades!$U$13,E340),1)*IF(Upgrades!$T$14="Brown Dwarf",POWER(Upgrades!$U$14,F340),1)*IF(Upgrades!$T$15="Brown Dwarf",POWER(Upgrades!$U$15,G340),1)*IF(Upgrades!$T$16="Brown Dwarf",POWER(Upgrades!$U$16,H340),1)*IF(Upgrades!$T$18="Brown Dwarf",POWER(Upgrades!$U$18,J340),1)*IF(Upgrades!$T$19="Brown Dwarf",POWER(Upgrades!$U$19,K340),1)*IF(Upgrades!$T$20="Brown Dwarf",POWER(Upgrades!$U$20,L340),1)*IF(Upgrades!$T$21="Brown Dwarf",POWER(Upgrades!$U$21,M340),1))+(IF(J340=0,0,(Upgrades!$J$18+J340*Upgrades!$K$18)*POWER(Upgrades!$L$18,J340)))*(IF(Upgrades!$T$13="Binary Partner",POWER(Upgrades!$U$13,E340),1)*IF(Upgrades!$T$14="Binary Partner",POWER(Upgrades!$U$14,F340),1)*IF(Upgrades!$T$15="Binary Partner",POWER(Upgrades!$U$15,G340),1)*IF(Upgrades!$T$16="Binary Partner",POWER(Upgrades!$U$16,H340),1)*IF(Upgrades!$T$17="Binary Partner",POWER(Upgrades!$U$17,I340),1)*IF(Upgrades!$T$19="Binary Partner",POWER(Upgrades!$U$19,K340),1)*IF(Upgrades!$T$20="Binary Partner",POWER(Upgrades!$U$20,L340),1)*IF(Upgrades!$T$21="Binary Partner",POWER(Upgrades!$U$21,M340),1))+(IF(K340=0,0,(Upgrades!$J$19+K340*Upgrades!$K$19)*POWER(Upgrades!$L$19,K340)))*(IF(Upgrades!$T$13="Peculiar Velocity",POWER(Upgrades!$U$13,E340),1)*IF(Upgrades!$T$14="Peculiar Velocity",POWER(Upgrades!$U$14,F340),1)*IF(Upgrades!$T$15="Peculiar Velocity",POWER(Upgrades!$U$15,G340),1)*IF(Upgrades!$T$16="Peculiar Velocity",POWER(Upgrades!$U$16,H340),1)*IF(Upgrades!$T$17="Peculiar Velocity",POWER(Upgrades!$U$17,I340),1)*IF(Upgrades!$T$18="Peculiar Velocity",POWER(Upgrades!$U$18,J340),1)*IF(Upgrades!$T$20="Peculiar Velocity",POWER(Upgrades!$U$20,L340),1)*IF(Upgrades!$T$21="Peculiar Velocity",POWER(Upgrades!$U$21,M340),1))+(IF(L340=0,0,(Upgrades!$J$20+L340*Upgrades!$K$20)*POWER(Upgrades!$L$20,L340)))*(IF(Upgrades!$T$13="Open Cluster",POWER(Upgrades!$U$13,E340),1)*IF(Upgrades!$T$14="Open Cluster",POWER(Upgrades!$U$14,F340),1)*IF(Upgrades!$T$15="Open Cluster",POWER(Upgrades!$U$15,G340),1)*IF(Upgrades!$T$16="Open Cluster",POWER(Upgrades!$U$16,H340),1)*IF(Upgrades!$T$17="Open Cluster",POWER(Upgrades!$U$17,I340),1)*IF(Upgrades!$T$18="Open Cluster",POWER(Upgrades!$U$18,J340),1)*IF(Upgrades!$T$19="Open Cluster",POWER(Upgrades!$U$19,K340),1)*IF(Upgrades!$T$21="Open Cluster",POWER(Upgrades!$U$21,M340),1))+(IF(M340=0,0,(Upgrades!$J$21+M340*Upgrades!$K$21)*POWER(Upgrades!$L$21,M340)))*(IF(Upgrades!$T$13="Moving Group",POWER(Upgrades!$U$13,E340),1)*IF(Upgrades!$T$14="Moving Group",POWER(Upgrades!$U$14,F340),1)*IF(Upgrades!$T$15="Moving Group",POWER(Upgrades!$U$15,G340),1)*IF(Upgrades!$T$16="Moving Group",POWER(Upgrades!$U$16,H340),1)*IF(Upgrades!$T$17="Moving Group",POWER(Upgrades!$U$17,I340),1)*IF(Upgrades!$T$18="Moving Group",POWER(Upgrades!$U$18,J340),1)*IF(Upgrades!$T$19="Moving Group",POWER(Upgrades!$U$19,K340),1)*IF(Upgrades!$T$20="Moving Group",POWER(Upgrades!$U$20,L340),1)))*POWER(Upgrades!$Q$13,E340)*POWER(Upgrades!$Q$14,F340)*POWER(Upgrades!$Q$15,G340)*POWER(Upgrades!$Q$16,H340)*POWER(Upgrades!$Q$17,I340)*POWER(Upgrades!$Q$18,J340)*POWER(Upgrades!$Q$19,K340)*POWER(Upgrades!$Q$20,L340)*POWER(Upgrades!$Q$21,M340)*$G$6+$D$6</f>
        <v/>
      </c>
      <c r="P340" s="28">
        <f>((IF(E340=0,0,(Upgrades!$G$13+E340*Upgrades!$H$13)*POWER(Upgrades!$I$13,E340)))*(IF(Upgrades!$T$14="Stellar Kinematics",POWER(Upgrades!$U$14,F340),1)*IF(Upgrades!$T$15="Stellar Kinematics",POWER(Upgrades!$U$15,G340),1)*IF(Upgrades!$T$16="Stellar Kinematics",POWER(Upgrades!$U$16,H340),1)*IF(Upgrades!$T$17="Stellar Kinematics",POWER(Upgrades!$U$17,I340),1)*IF(Upgrades!$T$18="Stellar Kinematics",POWER(Upgrades!$U$18,J340),1)*IF(Upgrades!$T$19="Stellar Kinematics",POWER(Upgrades!$U$19,K340),1)*IF(Upgrades!$T$20="Stellar Kinematics",POWER(Upgrades!$U$20,L340),1)*IF(Upgrades!$T$21="Stellar Kinematics",POWER(Upgrades!$U$21,M340),1))+(IF(F340=0,0,(Upgrades!$G$14+F340*Upgrades!$H$14)*POWER(Upgrades!$I$14,F340)))*(IF(Upgrades!$T$13="Local Bubble",POWER(Upgrades!$U$13,E340),1)*IF(Upgrades!$T$15="Local Bubble",POWER(Upgrades!$U$15,G340),1)*IF(Upgrades!$T$16="Local Bubble",POWER(Upgrades!$U$16,H340),1)*IF(Upgrades!$T$17="Local Bubble",POWER(Upgrades!$U$17,I340),1)*IF(Upgrades!$T$18="Local Bubble",POWER(Upgrades!$U$18,J340),1)*IF(Upgrades!$T$19="Local Bubble",POWER(Upgrades!$U$19,K340),1)*IF(Upgrades!$T$20="Local Bubble",POWER(Upgrades!$U$20,L340),1)*IF(Upgrades!$T$21="Local Bubble",POWER(Upgrades!$U$21,M340),1))+(IF(G340=0,0,(Upgrades!$G$15+G340*Upgrades!$H$15)*POWER(Upgrades!$I$15,G340)))*(IF(Upgrades!$T$13="Microlensing",POWER(Upgrades!$U$13,E340),1)*IF(Upgrades!$T$14="Microlensing",POWER(Upgrades!$U$14,F340),1)*IF(Upgrades!$T$16="Microlensing",POWER(Upgrades!$U$16,H340),1)*IF(Upgrades!$T$17="Microlensing",POWER(Upgrades!$U$17,I340),1)*IF(Upgrades!$T$18="Microlensing",POWER(Upgrades!$U$18,J340),1)*IF(Upgrades!$T$19="Microlensing",POWER(Upgrades!$U$19,K340),1)*IF(Upgrades!$T$20="Microlensing",POWER(Upgrades!$U$20,L340),1)*IF(Upgrades!$T$21="Microlensing",POWER(Upgrades!$U$21,M340),1))+(IF(H340=0,0,(Upgrades!$G$16+H340*Upgrades!$H$16)*POWER(Upgrades!$I$16,H340)))*(IF(Upgrades!$T$13="Roche Lobe Overflow",POWER(Upgrades!$U$13,E340),1)*IF(Upgrades!$T$14="Roche Lobe Overflow",POWER(Upgrades!$U$14,F340),1)*IF(Upgrades!$T$15="Roche Lobe Overflow",POWER(Upgrades!$U$15,G340),1)*IF(Upgrades!$T$17="Roche Lobe Overflow",POWER(Upgrades!$U$17,I340),1)*IF(Upgrades!$T$18="Roche Lobe Overflow",POWER(Upgrades!$U$18,J340),1)*IF(Upgrades!$T$19="Roche Lobe Overflow",POWER(Upgrades!$U$19,K340),1)*IF(Upgrades!$T$20="Roche Lobe Overflow",POWER(Upgrades!$U$20,L340),1)*IF(Upgrades!$T$21="Roche Lobe Overflow",POWER(Upgrades!$U$21,M340),1))+(IF(I340=0,0,(Upgrades!$G$17+I340*Upgrades!$H$17)*POWER(Upgrades!$I$17,I340)))*(IF(Upgrades!$T$13="Brown Dwarf",POWER(Upgrades!$U$13,E340),1)*IF(Upgrades!$T$14="Brown Dwarf",POWER(Upgrades!$U$14,F340),1)*IF(Upgrades!$T$15="Brown Dwarf",POWER(Upgrades!$U$15,G340),1)*IF(Upgrades!$T$16="Brown Dwarf",POWER(Upgrades!$U$16,H340),1)*IF(Upgrades!$T$18="Brown Dwarf",POWER(Upgrades!$U$18,J340),1)*IF(Upgrades!$T$19="Brown Dwarf",POWER(Upgrades!$U$19,K340),1)*IF(Upgrades!$T$20="Brown Dwarf",POWER(Upgrades!$U$20,L340),1)*IF(Upgrades!$T$21="Brown Dwarf",POWER(Upgrades!$U$21,M340),1))+(IF(J340=0,0,(Upgrades!$G$18+J340*Upgrades!$H$18)*POWER(Upgrades!$I$18,J340)))*(IF(Upgrades!$T$13="Binary Partner",POWER(Upgrades!$U$13,E340),1)*IF(Upgrades!$T$14="Binary Partner",POWER(Upgrades!$U$14,F340),1)*IF(Upgrades!$T$15="Binary Partner",POWER(Upgrades!$U$15,G340),1)*IF(Upgrades!$T$16="Binary Partner",POWER(Upgrades!$U$16,H340),1)*IF(Upgrades!$T$17="Binary Partner",POWER(Upgrades!$U$17,I340),1)*IF(Upgrades!$T$19="Binary Partner",POWER(Upgrades!$U$19,K340),1)*IF(Upgrades!$T$20="Binary Partner",POWER(Upgrades!$U$20,L340),1)*IF(Upgrades!$T$21="Binary Partner",POWER(Upgrades!$U$21,M340),1))+(IF(K340=0,0,(Upgrades!$G$19+K340*Upgrades!$H$19)*POWER(Upgrades!$I$19,K340)))*(IF(Upgrades!$T$13="Peculiar Velocity",POWER(Upgrades!$U$13,E340),1)*IF(Upgrades!$T$14="Peculiar Velocity",POWER(Upgrades!$U$14,F340),1)*IF(Upgrades!$T$15="Peculiar Velocity",POWER(Upgrades!$U$15,G340),1)*IF(Upgrades!$T$16="Peculiar Velocity",POWER(Upgrades!$U$16,H340),1)*IF(Upgrades!$T$17="Peculiar Velocity",POWER(Upgrades!$U$17,I340),1)*IF(Upgrades!$T$18="Peculiar Velocity",POWER(Upgrades!$U$18,J340),1)*IF(Upgrades!$T$20="Peculiar Velocity",POWER(Upgrades!$U$20,L340),1)*IF(Upgrades!$T$21="Peculiar Velocity",POWER(Upgrades!$U$21,M340),1))+(IF(L340=0,0,(Upgrades!$G$20+L340*Upgrades!$H$20)*POWER(Upgrades!$I$20,L340)))*(IF(Upgrades!$T$13="Open Cluster",POWER(Upgrades!$U$13,E340),1)*IF(Upgrades!$T$14="Open Cluster",POWER(Upgrades!$U$14,F340),1)*IF(Upgrades!$T$15="Open Cluster",POWER(Upgrades!$U$15,G340),1)*IF(Upgrades!$T$16="Open Cluster",POWER(Upgrades!$U$16,H340),1)*IF(Upgrades!$T$17="Open Cluster",POWER(Upgrades!$U$17,I340),1)*IF(Upgrades!$T$18="Open Cluster",POWER(Upgrades!$U$18,J340),1)*IF(Upgrades!$T$19="Open Cluster",POWER(Upgrades!$U$19,K340),1)*IF(Upgrades!$T$21="Open Cluster",POWER(Upgrades!$U$21,M340),1))+(IF(M340=0,0,(Upgrades!$G$21+M340*Upgrades!$H$21)*POWER(Upgrades!$I$21,M340)))*(IF(Upgrades!$T$13="Moving Group",POWER(Upgrades!$U$13,E340),1)*IF(Upgrades!$T$14="Moving Group",POWER(Upgrades!$U$14,F340),1)*IF(Upgrades!$T$15="Moving Group",POWER(Upgrades!$U$15,G340),1)*IF(Upgrades!$T$16="Moving Group",POWER(Upgrades!$U$16,H340),1)*IF(Upgrades!$T$17="Moving Group",POWER(Upgrades!$U$17,I340),1)*IF(Upgrades!$T$18="Moving Group",POWER(Upgrades!$U$18,J340),1)*IF(Upgrades!$T$19="Moving Group",POWER(Upgrades!$U$19,K340),1)*IF(Upgrades!$T$20="Moving Group",POWER(Upgrades!$U$20,L340),1)))*POWER(Upgrades!$P$13,E340)*POWER(Upgrades!$P$14,F340)*POWER(Upgrades!$P$15,G340)*POWER(Upgrades!$P$16,H340)*POWER(Upgrades!$P$17,I340)*POWER(Upgrades!$P$18,J340)*POWER(Upgrades!$P$19,K340)*POWER(Upgrades!$P$20,L340)*POWER(Upgrades!$P$21,M340)*$F$6+$C$6</f>
        <v/>
      </c>
      <c r="Q340" s="28">
        <f>((IF(E340=0,0,(Upgrades!$M$13+E340*Upgrades!$N$13)*POWER(Upgrades!$O$13,E340)))*(IF(Upgrades!$T$14="Stellar Kinematics",POWER(Upgrades!$U$14,F340),1)*IF(Upgrades!$T$15="Stellar Kinematics",POWER(Upgrades!$U$15,G340),1)*IF(Upgrades!$T$16="Stellar Kinematics",POWER(Upgrades!$U$16,H340),1)*IF(Upgrades!$T$17="Stellar Kinematics",POWER(Upgrades!$U$17,I340),1)*IF(Upgrades!$T$18="Stellar Kinematics",POWER(Upgrades!$U$18,J340),1)*IF(Upgrades!$T$19="Stellar Kinematics",POWER(Upgrades!$U$19,K340),1)*IF(Upgrades!$T$20="Stellar Kinematics",POWER(Upgrades!$U$20,L340),1)*IF(Upgrades!$T$21="Stellar Kinematics",POWER(Upgrades!$U$21,M340),1))+(IF(F340=0,0,(Upgrades!$M$14+F340*Upgrades!$N$14)*POWER(Upgrades!$O$14,F340)))*(IF(Upgrades!$T$13="Local Bubble",POWER(Upgrades!$U$13,E340),1)*IF(Upgrades!$T$15="Local Bubble",POWER(Upgrades!$U$15,G340),1)*IF(Upgrades!$T$16="Local Bubble",POWER(Upgrades!$U$16,H340),1)*IF(Upgrades!$T$17="Local Bubble",POWER(Upgrades!$U$17,I340),1)*IF(Upgrades!$T$18="Local Bubble",POWER(Upgrades!$U$18,J340),1)*IF(Upgrades!$T$19="Local Bubble",POWER(Upgrades!$U$19,K340),1)*IF(Upgrades!$T$20="Local Bubble",POWER(Upgrades!$U$20,L340),1)*IF(Upgrades!$T$21="Local Bubble",POWER(Upgrades!$U$21,M340),1))+(IF(G340=0,0,(Upgrades!$M$15+G340*Upgrades!$N$15)*POWER(Upgrades!$O$15,G340)))*(IF(Upgrades!$T$13="Microlensing",POWER(Upgrades!$U$13,E340),1)*IF(Upgrades!$T$14="Microlensing",POWER(Upgrades!$U$14,F340),1)*IF(Upgrades!$T$16="Microlensing",POWER(Upgrades!$U$16,H340),1)*IF(Upgrades!$T$17="Microlensing",POWER(Upgrades!$U$17,I340),1)*IF(Upgrades!$T$18="Microlensing",POWER(Upgrades!$U$18,J340),1)*IF(Upgrades!$T$19="Microlensing",POWER(Upgrades!$U$19,K340),1)*IF(Upgrades!$T$20="Microlensing",POWER(Upgrades!$U$20,L340),1)*IF(Upgrades!$T$21="Microlensing",POWER(Upgrades!$U$21,M340),1))+(IF(H340=0,0,(Upgrades!$M$16+H340*Upgrades!$N$16)*POWER(Upgrades!$O$16,H340)))*(IF(Upgrades!$T$13="Roche Lobe Overflow",POWER(Upgrades!$U$13,E340),1)*IF(Upgrades!$T$14="Roche Lobe Overflow",POWER(Upgrades!$U$14,F340),1)*IF(Upgrades!$T$15="Roche Lobe Overflow",POWER(Upgrades!$U$15,G340),1)*IF(Upgrades!$T$17="Roche Lobe Overflow",POWER(Upgrades!$U$17,I340),1)*IF(Upgrades!$T$18="Roche Lobe Overflow",POWER(Upgrades!$U$18,J340),1)*IF(Upgrades!$T$19="Roche Lobe Overflow",POWER(Upgrades!$U$19,K340),1)*IF(Upgrades!$T$20="Roche Lobe Overflow",POWER(Upgrades!$U$20,L340),1)*IF(Upgrades!$T$21="Roche Lobe Overflow",POWER(Upgrades!$U$21,M340),1))+(IF(I340=0,0,(Upgrades!$M$17+I340*Upgrades!$N$17)*POWER(Upgrades!$O$17,I340)))*(IF(Upgrades!$T$13="Brown Dwarf",POWER(Upgrades!$U$13,E340),1)*IF(Upgrades!$T$14="Brown Dwarf",POWER(Upgrades!$U$14,F340),1)*IF(Upgrades!$T$15="Brown Dwarf",POWER(Upgrades!$U$15,G340),1)*IF(Upgrades!$T$16="Brown Dwarf",POWER(Upgrades!$U$16,H340),1)*IF(Upgrades!$T$18="Brown Dwarf",POWER(Upgrades!$U$18,J340),1)*IF(Upgrades!$T$19="Brown Dwarf",POWER(Upgrades!$U$19,K340),1)*IF(Upgrades!$T$20="Brown Dwarf",POWER(Upgrades!$U$20,L340),1)*IF(Upgrades!$T$21="Brown Dwarf",POWER(Upgrades!$U$21,M340),1))+(IF(J340=0,0,(Upgrades!$M$18+J340*Upgrades!$N$18)*POWER(Upgrades!$O$18,J340)))*(IF(Upgrades!$T$13="Binary Partner",POWER(Upgrades!$U$13,E340),1)*IF(Upgrades!$T$14="Binary Partner",POWER(Upgrades!$U$14,F340),1)*IF(Upgrades!$T$15="Binary Partner",POWER(Upgrades!$U$15,G340),1)*IF(Upgrades!$T$16="Binary Partner",POWER(Upgrades!$U$16,H340),1)*IF(Upgrades!$T$17="Binary Partner",POWER(Upgrades!$U$17,I340),1)*IF(Upgrades!$T$19="Binary Partner",POWER(Upgrades!$U$19,K340),1)*IF(Upgrades!$T$20="Binary Partner",POWER(Upgrades!$U$20,L340),1)*IF(Upgrades!$T$21="Binary Partner",POWER(Upgrades!$U$21,M340),1))+(IF(K340=0,0,(Upgrades!$M$19+K340*Upgrades!$N$19)*POWER(Upgrades!$O$19,K340)))*(IF(Upgrades!$T$13="Peculiar Velocity",POWER(Upgrades!$U$13,E340),1)*IF(Upgrades!$T$14="Peculiar Velocity",POWER(Upgrades!$U$14,F340),1)*IF(Upgrades!$T$15="Peculiar Velocity",POWER(Upgrades!$U$15,G340),1)*IF(Upgrades!$T$16="Peculiar Velocity",POWER(Upgrades!$U$16,H340),1)*IF(Upgrades!$T$17="Peculiar Velocity",POWER(Upgrades!$U$17,I340),1)*IF(Upgrades!$T$18="Peculiar Velocity",POWER(Upgrades!$U$18,J340),1)*IF(Upgrades!$T$20="Peculiar Velocity",POWER(Upgrades!$U$20,L340),1)*IF(Upgrades!$T$21="Peculiar Velocity",POWER(Upgrades!$U$21,M340),1))+(IF(L340=0,0,(Upgrades!$M$20+L340*Upgrades!$N$20)*POWER(Upgrades!$O$20,L340)))*(IF(Upgrades!$T$13="Open Cluster",POWER(Upgrades!$U$13,E340),1)*IF(Upgrades!$T$14="Open Cluster",POWER(Upgrades!$U$14,F340),1)*IF(Upgrades!$T$15="Open Cluster",POWER(Upgrades!$U$15,G340),1)*IF(Upgrades!$T$16="Open Cluster",POWER(Upgrades!$U$16,H340),1)*IF(Upgrades!$T$17="Open Cluster",POWER(Upgrades!$U$17,I340),1)*IF(Upgrades!$T$18="Open Cluster",POWER(Upgrades!$U$18,J340),1)*IF(Upgrades!$T$19="Open Cluster",POWER(Upgrades!$U$19,K340),1)*IF(Upgrades!$T$21="Open Cluster",POWER(Upgrades!$U$21,M340),1))+(IF(M340=0,0,(Upgrades!$M$21+M340*Upgrades!$N$21)*POWER(Upgrades!$O$21,M340)))*(IF(Upgrades!$T$13="Moving Group",POWER(Upgrades!$U$13,E340),1)*IF(Upgrades!$T$14="Moving Group",POWER(Upgrades!$U$14,F340),1)*IF(Upgrades!$T$15="Moving Group",POWER(Upgrades!$U$15,G340),1)*IF(Upgrades!$T$16="Moving Group",POWER(Upgrades!$U$16,H340),1)*IF(Upgrades!$T$17="Moving Group",POWER(Upgrades!$U$17,I340),1)*IF(Upgrades!$T$18="Moving Group",POWER(Upgrades!$U$18,J340),1)*IF(Upgrades!$T$19="Moving Group",POWER(Upgrades!$U$19,K340),1)*IF(Upgrades!$T$20="Moving Group",POWER(Upgrades!$U$20,L340),1)))*POWER(Upgrades!$R$13,E340)*POWER(Upgrades!$R$14,F340)*POWER(Upgrades!$R$15,G340)*POWER(Upgrades!$R$16,H340)*POWER(Upgrades!$R$17,I340)*POWER(Upgrades!$R$18,J340)*POWER(Upgrades!$R$19,K340)*POWER(Upgrades!$R$20,L340)*POWER(Upgrades!$R$21,M340)*$H$6+$E$6</f>
        <v/>
      </c>
      <c r="R340" s="27">
        <f>IF(N340=1,0,O340*Parameters!$B$10/60*Parameters!$B$11*10)</f>
        <v/>
      </c>
      <c r="S340" s="27">
        <f>IF(N340=1,0,Q340*O340*10)</f>
        <v/>
      </c>
      <c r="T340" s="27">
        <f>IF(N340=1,0,R340+S340+P340*10)</f>
        <v/>
      </c>
      <c r="U340" s="33">
        <f>BE340</f>
        <v/>
      </c>
      <c r="V340" s="22">
        <f>IF(U340="",0,IF(U340="transition",0,IF(U340="SK",AK340,IF(U340="LB",AL340,IF(U340="ML",AM340,IF(U340="RLO",AN340,IF(U340="BD",AO340,IF(U340="BiP",AP340,IF(U340="PV",AQ340,IF(U340="OC",AR340,IF(U340="MG",AS340,0))))))))))</f>
        <v/>
      </c>
      <c r="W340" s="27">
        <f>IF(U340="BiP",Upgrades!$F$18,IF(U340="PV",Upgrades!$F$19,IF(U340="OC",Upgrades!$F$20,IF(U340="MG",Upgrades!$F$21,IF(U340="transition",-Parameters!$B$18*Parameters!$B$19,0)))))</f>
        <v/>
      </c>
      <c r="X340" s="22">
        <f>C340+T340-V340</f>
        <v/>
      </c>
      <c r="Y340" s="30">
        <f>O340*Parameters!$B$10/60*Parameters!$B$11+Q340*O340+P340</f>
        <v/>
      </c>
      <c r="Z340" s="34">
        <f>IF(U340="transition","→ Tier 3 (Galactic Arm)",IF(U340="MG","Moving Group — pocket drifts together",IF(U340="OC","Open Cluster acquired",IF(U340="PV","Peculiar Velocity — passive multiplier active",IF(U340="BiP","Binary Partner — pair bond formed",IF(AND(AU340=1,N340=0,AT340&lt;&gt;1),"Cohesion ready (waiting on completionists)","")))))) </f>
        <v/>
      </c>
      <c r="AA340" s="27">
        <f>(IF(E340=0,0,(Upgrades!$G$13+E340*Upgrades!$H$13)*POWER(Upgrades!$I$13,E340)))*(IF(Upgrades!$T$14="Stellar Kinematics",POWER(Upgrades!$U$14,F340),1)*IF(Upgrades!$T$15="Stellar Kinematics",POWER(Upgrades!$U$15,G340),1)*IF(Upgrades!$T$16="Stellar Kinematics",POWER(Upgrades!$U$16,H340),1)*IF(Upgrades!$T$17="Stellar Kinematics",POWER(Upgrades!$U$17,I340),1)*IF(Upgrades!$T$18="Stellar Kinematics",POWER(Upgrades!$U$18,J340),1)*IF(Upgrades!$T$19="Stellar Kinematics",POWER(Upgrades!$U$19,K340),1)*IF(Upgrades!$T$20="Stellar Kinematics",POWER(Upgrades!$U$20,L340),1)*IF(Upgrades!$T$21="Stellar Kinematics",POWER(Upgrades!$U$21,M340),1))*POWER(Upgrades!$P$13,E340)*POWER(Upgrades!$P$14,F340)*POWER(Upgrades!$P$15,G340)*POWER(Upgrades!$P$16,H340)*POWER(Upgrades!$P$17,I340)*POWER(Upgrades!$P$18,J340)*POWER(Upgrades!$P$19,K340)*POWER(Upgrades!$P$20,L340)*POWER(Upgrades!$P$21,M340)*$F$6*60</f>
        <v/>
      </c>
      <c r="AB340" s="27">
        <f>(IF(F340=0,0,(Upgrades!$G$14+F340*Upgrades!$H$14)*POWER(Upgrades!$I$14,F340)))*(IF(Upgrades!$T$13="Local Bubble",POWER(Upgrades!$U$13,E340),1)*IF(Upgrades!$T$15="Local Bubble",POWER(Upgrades!$U$15,G340),1)*IF(Upgrades!$T$16="Local Bubble",POWER(Upgrades!$U$16,H340),1)*IF(Upgrades!$T$17="Local Bubble",POWER(Upgrades!$U$17,I340),1)*IF(Upgrades!$T$18="Local Bubble",POWER(Upgrades!$U$18,J340),1)*IF(Upgrades!$T$19="Local Bubble",POWER(Upgrades!$U$19,K340),1)*IF(Upgrades!$T$20="Local Bubble",POWER(Upgrades!$U$20,L340),1)*IF(Upgrades!$T$21="Local Bubble",POWER(Upgrades!$U$21,M340),1))*POWER(Upgrades!$P$13,E340)*POWER(Upgrades!$P$14,F340)*POWER(Upgrades!$P$15,G340)*POWER(Upgrades!$P$16,H340)*POWER(Upgrades!$P$17,I340)*POWER(Upgrades!$P$18,J340)*POWER(Upgrades!$P$19,K340)*POWER(Upgrades!$P$20,L340)*POWER(Upgrades!$P$21,M340)*$F$6*60</f>
        <v/>
      </c>
      <c r="AC340" s="27">
        <f>(IF(G340=0,0,(Upgrades!$J$15+G340*Upgrades!$K$15)*POWER(Upgrades!$L$15,G340)))*(IF(Upgrades!$T$13="Microlensing",POWER(Upgrades!$U$13,E340),1)*IF(Upgrades!$T$14="Microlensing",POWER(Upgrades!$U$14,F340),1)*IF(Upgrades!$T$16="Microlensing",POWER(Upgrades!$U$16,H340),1)*IF(Upgrades!$T$17="Microlensing",POWER(Upgrades!$U$17,I340),1)*IF(Upgrades!$T$18="Microlensing",POWER(Upgrades!$U$18,J340),1)*IF(Upgrades!$T$19="Microlensing",POWER(Upgrades!$U$19,K340),1)*IF(Upgrades!$T$20="Microlensing",POWER(Upgrades!$U$20,L340),1)*IF(Upgrades!$T$21="Microlensing",POWER(Upgrades!$U$21,M340),1))*POWER(Upgrades!$Q$13,E340)*POWER(Upgrades!$Q$14,F340)*POWER(Upgrades!$Q$15,G340)*POWER(Upgrades!$Q$16,H340)*POWER(Upgrades!$Q$17,I340)*POWER(Upgrades!$Q$18,J340)*POWER(Upgrades!$Q$19,K340)*POWER(Upgrades!$Q$20,L340)*POWER(Upgrades!$Q$21,M340)*$G$6*(Parameters!$B$10*Parameters!$B$11+Q340*60)</f>
        <v/>
      </c>
      <c r="AD340" s="27">
        <f>(IF(H340=0,0,(Upgrades!$M$16+H340*Upgrades!$N$16)*POWER(Upgrades!$O$16,H340)))*(IF(Upgrades!$T$13="Roche Lobe Overflow",POWER(Upgrades!$U$13,E340),1)*IF(Upgrades!$T$14="Roche Lobe Overflow",POWER(Upgrades!$U$14,F340),1)*IF(Upgrades!$T$15="Roche Lobe Overflow",POWER(Upgrades!$U$15,G340),1)*IF(Upgrades!$T$17="Roche Lobe Overflow",POWER(Upgrades!$U$17,I340),1)*IF(Upgrades!$T$18="Roche Lobe Overflow",POWER(Upgrades!$U$18,J340),1)*IF(Upgrades!$T$19="Roche Lobe Overflow",POWER(Upgrades!$U$19,K340),1)*IF(Upgrades!$T$20="Roche Lobe Overflow",POWER(Upgrades!$U$20,L340),1)*IF(Upgrades!$T$21="Roche Lobe Overflow",POWER(Upgrades!$U$21,M340),1))*POWER(Upgrades!$R$13,E340)*POWER(Upgrades!$R$14,F340)*POWER(Upgrades!$R$15,G340)*POWER(Upgrades!$R$16,H340)*POWER(Upgrades!$R$17,I340)*POWER(Upgrades!$R$18,J340)*POWER(Upgrades!$R$19,K340)*POWER(Upgrades!$R$20,L340)*POWER(Upgrades!$R$21,M340)*$H$6*O340*60</f>
        <v/>
      </c>
      <c r="AE340" s="27">
        <f>(IF(I340=0,0,(Upgrades!$G$17+I340*Upgrades!$H$17)*POWER(Upgrades!$I$17,I340)))*(IF(Upgrades!$T$13="Brown Dwarf",POWER(Upgrades!$U$13,E340),1)*IF(Upgrades!$T$14="Brown Dwarf",POWER(Upgrades!$U$14,F340),1)*IF(Upgrades!$T$15="Brown Dwarf",POWER(Upgrades!$U$15,G340),1)*IF(Upgrades!$T$16="Brown Dwarf",POWER(Upgrades!$U$16,H340),1)*IF(Upgrades!$T$18="Brown Dwarf",POWER(Upgrades!$U$18,J340),1)*IF(Upgrades!$T$19="Brown Dwarf",POWER(Upgrades!$U$19,K340),1)*IF(Upgrades!$T$20="Brown Dwarf",POWER(Upgrades!$U$20,L340),1)*IF(Upgrades!$T$21="Brown Dwarf",POWER(Upgrades!$U$21,M340),1))*POWER(Upgrades!$P$13,E340)*POWER(Upgrades!$P$14,F340)*POWER(Upgrades!$P$15,G340)*POWER(Upgrades!$P$16,H340)*POWER(Upgrades!$P$17,I340)*POWER(Upgrades!$P$18,J340)*POWER(Upgrades!$P$19,K340)*POWER(Upgrades!$P$20,L340)*POWER(Upgrades!$P$21,M340)*$F$6*60</f>
        <v/>
      </c>
      <c r="AF340" s="27" t="n">
        <v>0</v>
      </c>
      <c r="AG340" s="27" t="n">
        <v>0</v>
      </c>
      <c r="AH340" s="27" t="n">
        <v>0</v>
      </c>
      <c r="AI340" s="27">
        <f>(IF(M340=0,0,(Upgrades!$G$21+M340*Upgrades!$H$21)*POWER(Upgrades!$I$21,M340)))*(IF(Upgrades!$T$13="Moving Group",POWER(Upgrades!$U$13,E340),1)*IF(Upgrades!$T$14="Moving Group",POWER(Upgrades!$U$14,F340),1)*IF(Upgrades!$T$15="Moving Group",POWER(Upgrades!$U$15,G340),1)*IF(Upgrades!$T$16="Moving Group",POWER(Upgrades!$U$16,H340),1)*IF(Upgrades!$T$17="Moving Group",POWER(Upgrades!$U$17,I340),1)*IF(Upgrades!$T$18="Moving Group",POWER(Upgrades!$U$18,J340),1)*IF(Upgrades!$T$19="Moving Group",POWER(Upgrades!$U$19,K340),1)*IF(Upgrades!$T$20="Moving Group",POWER(Upgrades!$U$20,L340),1))*POWER(Upgrades!$P$13,E340)*POWER(Upgrades!$P$14,F340)*POWER(Upgrades!$P$15,G340)*POWER(Upgrades!$P$16,H340)*POWER(Upgrades!$P$17,I340)*POWER(Upgrades!$P$18,J340)*POWER(Upgrades!$P$19,K340)*POWER(Upgrades!$P$20,L340)*POWER(Upgrades!$P$21,M340)*$F$6*60</f>
        <v/>
      </c>
      <c r="AJ340" s="27">
        <f>$C$6*60</f>
        <v/>
      </c>
      <c r="AK340" s="22">
        <f>IF(E340&gt;=Upgrades!$E$13,"",Upgrades!$C$13*POWER(Upgrades!$D$13,E340))</f>
        <v/>
      </c>
      <c r="AL340" s="22">
        <f>IF(F340&gt;=Upgrades!$E$14,"",Upgrades!$C$14*POWER(Upgrades!$D$14,F340))</f>
        <v/>
      </c>
      <c r="AM340" s="22">
        <f>IF(G340&gt;=Upgrades!$E$15,"",Upgrades!$C$15*POWER(Upgrades!$D$15,G340))</f>
        <v/>
      </c>
      <c r="AN340" s="22">
        <f>IF(H340&gt;=Upgrades!$E$16,"",Upgrades!$C$16*POWER(Upgrades!$D$16,H340))</f>
        <v/>
      </c>
      <c r="AO340" s="22">
        <f>IF(I340&gt;=Upgrades!$E$17,"",Upgrades!$C$17*POWER(Upgrades!$D$17,I340))</f>
        <v/>
      </c>
      <c r="AP340" s="22">
        <f>IF(J340&gt;=Upgrades!$E$18,"",Upgrades!$C$18*POWER(Upgrades!$D$18,J340))</f>
        <v/>
      </c>
      <c r="AQ340" s="22">
        <f>IF(K340&gt;=Upgrades!$E$19,"",Upgrades!$C$19*POWER(Upgrades!$D$19,K340))</f>
        <v/>
      </c>
      <c r="AR340" s="22">
        <f>IF(L340&gt;=Upgrades!$E$20,"",Upgrades!$C$20*POWER(Upgrades!$D$20,L340))</f>
        <v/>
      </c>
      <c r="AS340" s="22">
        <f>IF(M340&gt;=Upgrades!$E$21,"",Upgrades!$C$21*POWER(Upgrades!$D$21,M340))</f>
        <v/>
      </c>
      <c r="AT340" s="26">
        <f>IF(AND(D340&gt;=Parameters!$B$18*Parameters!$B$19,(I340&gt;=Upgrades!$E$17)*(M340&gt;=Upgrades!$E$21)=1,N340=0),1,"")</f>
        <v/>
      </c>
      <c r="AU340" s="26">
        <f>IF(AND(D340&gt;=Parameters!$B$18*Parameters!$B$19,N340=0),1,"")</f>
        <v/>
      </c>
      <c r="AV340" s="22">
        <f>MIN(IF(ISNUMBER(AP340),AP340,9E15),IF(ISNUMBER(AQ340),AQ340,9E15),IF(ISNUMBER(AR340),AR340,9E15),IF(ISNUMBER(AS340),AS340,9E15))</f>
        <v/>
      </c>
      <c r="AW340" s="22">
        <f>MIN(IF(ISNUMBER(AK340),AK340,9E15),IF(ISNUMBER(AL340),AL340,9E15),IF(ISNUMBER(AM340),AM340,9E15),IF(ISNUMBER(AN340),AN340,9E15),IF(ISNUMBER(AO340),AO340,9E15))</f>
        <v/>
      </c>
      <c r="AX340" s="29">
        <f>IF(BD340&gt;Parameters!$B$21*(MAX(IF(AND(NOT(AND(AU340=1,AT340&lt;&gt;1)),ISNUMBER(AK340),AK340&lt;=(C340+T340)),AY340,0),IF(AND(NOT(AND(AU340=1,AT340&lt;&gt;1)),ISNUMBER(AL340),AL340&lt;=(C340+T340)),AZ340,0),IF(AND(NOT(AND(AU340=1,AT340&lt;&gt;1)),ISNUMBER(AM340),AM340&lt;=(C340+T340)),BA340,0),IF(AND(NOT(AND(AU340=1,AT340&lt;&gt;1)),ISNUMBER(AN340),AN340&lt;=(C340+T340)),BB340,0),IF(AND(ISNUMBER(AO340),AO340&lt;=(C340+T340)),BC340,0))),TRUE,FALSE)</f>
        <v/>
      </c>
      <c r="AY340" s="32">
        <f>IFERROR(Upgrades!$H$13*(POWER(Upgrades!$P$13,E340)*POWER(Upgrades!$P$14,F340)*POWER(Upgrades!$P$15,G340)*POWER(Upgrades!$P$16,H340)*POWER(Upgrades!$P$17,I340)*POWER(Upgrades!$P$18,J340)*POWER(Upgrades!$P$19,K340)*POWER(Upgrades!$P$20,L340)*POWER(Upgrades!$P$21,M340))*(IF(Upgrades!$T$14="Stellar Kinematics",POWER(Upgrades!$U$14,F340),1)*IF(Upgrades!$T$15="Stellar Kinematics",POWER(Upgrades!$U$15,G340),1)*IF(Upgrades!$T$16="Stellar Kinematics",POWER(Upgrades!$U$16,H340),1)*IF(Upgrades!$T$17="Stellar Kinematics",POWER(Upgrades!$U$17,I340),1)*IF(Upgrades!$T$18="Stellar Kinematics",POWER(Upgrades!$U$18,J340),1)*IF(Upgrades!$T$19="Stellar Kinematics",POWER(Upgrades!$U$19,K340),1)*IF(Upgrades!$T$20="Stellar Kinematics",POWER(Upgrades!$U$20,L340),1)*IF(Upgrades!$T$21="Stellar Kinematics",POWER(Upgrades!$U$21,M340),1))*$F$6/AK340,0)</f>
        <v/>
      </c>
      <c r="AZ340" s="32">
        <f>IFERROR(Upgrades!$H$14*(POWER(Upgrades!$P$13,E340)*POWER(Upgrades!$P$14,F340)*POWER(Upgrades!$P$15,G340)*POWER(Upgrades!$P$16,H340)*POWER(Upgrades!$P$17,I340)*POWER(Upgrades!$P$18,J340)*POWER(Upgrades!$P$19,K340)*POWER(Upgrades!$P$20,L340)*POWER(Upgrades!$P$21,M340))*(IF(Upgrades!$T$13="Local Bubble",POWER(Upgrades!$U$13,E340),1)*IF(Upgrades!$T$15="Local Bubble",POWER(Upgrades!$U$15,G340),1)*IF(Upgrades!$T$16="Local Bubble",POWER(Upgrades!$U$16,H340),1)*IF(Upgrades!$T$17="Local Bubble",POWER(Upgrades!$U$17,I340),1)*IF(Upgrades!$T$18="Local Bubble",POWER(Upgrades!$U$18,J340),1)*IF(Upgrades!$T$19="Local Bubble",POWER(Upgrades!$U$19,K340),1)*IF(Upgrades!$T$20="Local Bubble",POWER(Upgrades!$U$20,L340),1)*IF(Upgrades!$T$21="Local Bubble",POWER(Upgrades!$U$21,M340),1))*$F$6/AL340,0)</f>
        <v/>
      </c>
      <c r="BA340" s="32">
        <f>IFERROR(Upgrades!$K$15*(POWER(Upgrades!$Q$13,E340)*POWER(Upgrades!$Q$14,F340)*POWER(Upgrades!$Q$15,G340)*POWER(Upgrades!$Q$16,H340)*POWER(Upgrades!$Q$17,I340)*POWER(Upgrades!$Q$18,J340)*POWER(Upgrades!$Q$19,K340)*POWER(Upgrades!$Q$20,L340)*POWER(Upgrades!$Q$21,M340))*(IF(Upgrades!$T$13="Microlensing",POWER(Upgrades!$U$13,E340),1)*IF(Upgrades!$T$14="Microlensing",POWER(Upgrades!$U$14,F340),1)*IF(Upgrades!$T$16="Microlensing",POWER(Upgrades!$U$16,H340),1)*IF(Upgrades!$T$17="Microlensing",POWER(Upgrades!$U$17,I340),1)*IF(Upgrades!$T$18="Microlensing",POWER(Upgrades!$U$18,J340),1)*IF(Upgrades!$T$19="Microlensing",POWER(Upgrades!$U$19,K340),1)*IF(Upgrades!$T$20="Microlensing",POWER(Upgrades!$U$20,L340),1)*IF(Upgrades!$T$21="Microlensing",POWER(Upgrades!$U$21,M340),1))*$G$6*(Parameters!$B$10/60*Parameters!$B$11+Q340)/AM340,0)</f>
        <v/>
      </c>
      <c r="BB340" s="32">
        <f>IFERROR((Upgrades!$N$16*(POWER(Upgrades!$R$13,E340)*POWER(Upgrades!$R$14,F340)*POWER(Upgrades!$R$15,G340)*POWER(Upgrades!$R$16,H340)*POWER(Upgrades!$R$17,I340)*POWER(Upgrades!$R$18,J340)*POWER(Upgrades!$R$19,K340)*POWER(Upgrades!$R$20,L340)*POWER(Upgrades!$R$21,M340))*(IF(Upgrades!$T$13="Roche Lobe Overflow",POWER(Upgrades!$U$13,E340),1)*IF(Upgrades!$T$14="Roche Lobe Overflow",POWER(Upgrades!$U$14,F340),1)*IF(Upgrades!$T$15="Roche Lobe Overflow",POWER(Upgrades!$U$15,G340),1)*IF(Upgrades!$T$17="Roche Lobe Overflow",POWER(Upgrades!$U$17,I340),1)*IF(Upgrades!$T$18="Roche Lobe Overflow",POWER(Upgrades!$U$18,J340),1)*IF(Upgrades!$T$19="Roche Lobe Overflow",POWER(Upgrades!$U$19,K340),1)*IF(Upgrades!$T$20="Roche Lobe Overflow",POWER(Upgrades!$U$20,L340),1)*IF(Upgrades!$T$21="Roche Lobe Overflow",POWER(Upgrades!$U$21,M340),1))*$H$6*O340+((IF(F340=0,0,(Upgrades!$G$14+F340*Upgrades!$H$14)*POWER(Upgrades!$I$14,F340)))*(IF(Upgrades!$T$13="Local Bubble",POWER(Upgrades!$U$13,E340),1)*IF(Upgrades!$T$15="Local Bubble",POWER(Upgrades!$U$15,G340),1)*IF(Upgrades!$T$16="Local Bubble",POWER(Upgrades!$U$16,H340),1)*IF(Upgrades!$T$17="Local Bubble",POWER(Upgrades!$U$17,I340),1)*IF(Upgrades!$T$18="Local Bubble",POWER(Upgrades!$U$18,J340),1)*IF(Upgrades!$T$19="Local Bubble",POWER(Upgrades!$U$19,K340),1)*IF(Upgrades!$T$20="Local Bubble",POWER(Upgrades!$U$20,L340),1)*IF(Upgrades!$T$21="Local Bubble",POWER(Upgrades!$U$21,M340),1))*POWER(Upgrades!$P$13,E340)*POWER(Upgrades!$P$14,F340)*POWER(Upgrades!$P$15,G340)*POWER(Upgrades!$P$16,H340)*POWER(Upgrades!$P$17,I340)*POWER(Upgrades!$P$18,J340)*POWER(Upgrades!$P$19,K340)*POWER(Upgrades!$P$20,L340)*POWER(Upgrades!$P$21,M340)*$F$6)*0.05)/AN340,0)</f>
        <v/>
      </c>
      <c r="BC340" s="32">
        <f>IFERROR((Upgrades!$H$17*(POWER(Upgrades!$P$13,E340)*POWER(Upgrades!$P$14,F340)*POWER(Upgrades!$P$15,G340)*POWER(Upgrades!$P$16,H340)*POWER(Upgrades!$P$17,I340)*POWER(Upgrades!$P$18,J340)*POWER(Upgrades!$P$19,K340)*POWER(Upgrades!$P$20,L340)*POWER(Upgrades!$P$21,M340))*(IF(Upgrades!$T$13="Brown Dwarf",POWER(Upgrades!$U$13,E340),1)*IF(Upgrades!$T$14="Brown Dwarf",POWER(Upgrades!$U$14,F340),1)*IF(Upgrades!$T$15="Brown Dwarf",POWER(Upgrades!$U$15,G340),1)*IF(Upgrades!$T$16="Brown Dwarf",POWER(Upgrades!$U$16,H340),1)*IF(Upgrades!$T$18="Brown Dwarf",POWER(Upgrades!$U$18,J340),1)*IF(Upgrades!$T$19="Brown Dwarf",POWER(Upgrades!$U$19,K340),1)*IF(Upgrades!$T$20="Brown Dwarf",POWER(Upgrades!$U$20,L340),1)*IF(Upgrades!$T$21="Brown Dwarf",POWER(Upgrades!$U$21,M340),1))*$F$6+(((IF(H340=0,0,(Upgrades!$M$16+H340*Upgrades!$N$16)*POWER(Upgrades!$O$16,H340)))*(IF(Upgrades!$T$13="Roche Lobe Overflow",POWER(Upgrades!$U$13,E340),1)*IF(Upgrades!$T$14="Roche Lobe Overflow",POWER(Upgrades!$U$14,F340),1)*IF(Upgrades!$T$15="Roche Lobe Overflow",POWER(Upgrades!$U$15,G340),1)*IF(Upgrades!$T$17="Roche Lobe Overflow",POWER(Upgrades!$U$17,I340),1)*IF(Upgrades!$T$18="Roche Lobe Overflow",POWER(Upgrades!$U$18,J340),1)*IF(Upgrades!$T$19="Roche Lobe Overflow",POWER(Upgrades!$U$19,K340),1)*IF(Upgrades!$T$20="Roche Lobe Overflow",POWER(Upgrades!$U$20,L340),1)*IF(Upgrades!$T$21="Roche Lobe Overflow",POWER(Upgrades!$U$21,M340),1))*POWER(Upgrades!$R$13,E340)*POWER(Upgrades!$R$14,F340)*POWER(Upgrades!$R$15,G340)*POWER(Upgrades!$R$16,H340)*POWER(Upgrades!$R$17,I340)*POWER(Upgrades!$R$18,J340)*POWER(Upgrades!$R$19,K340)*POWER(Upgrades!$R$20,L340)*POWER(Upgrades!$R$21,M340)*$H$6)*O340)*0.10)/AO340,0)</f>
        <v/>
      </c>
      <c r="BD340" s="32">
        <f>MAX(IF(J340&gt;0,0,IFERROR(0.5*((IF(G340=0,0,(Upgrades!$J$15+G340*Upgrades!$K$15)*POWER(Upgrades!$L$15,G340)))*(IF(Upgrades!$T$13="Microlensing",POWER(Upgrades!$U$13,E340),1)*IF(Upgrades!$T$14="Microlensing",POWER(Upgrades!$U$14,F340),1)*IF(Upgrades!$T$16="Microlensing",POWER(Upgrades!$U$16,H340),1)*IF(Upgrades!$T$17="Microlensing",POWER(Upgrades!$U$17,I340),1)*IF(Upgrades!$T$18="Microlensing",POWER(Upgrades!$U$18,J340),1)*IF(Upgrades!$T$19="Microlensing",POWER(Upgrades!$U$19,K340),1)*IF(Upgrades!$T$20="Microlensing",POWER(Upgrades!$U$20,L340),1)*IF(Upgrades!$T$21="Microlensing",POWER(Upgrades!$U$21,M340),1))*(POWER(Upgrades!$Q$13,E340)*POWER(Upgrades!$Q$14,F340)*POWER(Upgrades!$Q$15,G340)*POWER(Upgrades!$Q$16,H340)*POWER(Upgrades!$Q$17,I340)*POWER(Upgrades!$Q$18,J340)*POWER(Upgrades!$Q$19,K340)*POWER(Upgrades!$Q$20,L340)*POWER(Upgrades!$Q$21,M340))*$G$6*(Parameters!$B$10/60*Parameters!$B$11+Q340))/Upgrades!$C$18,0)),IF(K340&gt;0,0,IFERROR(0.30*P340/Upgrades!$C$19,0)),IF(L340&gt;0,0,IFERROR(0.0001/Upgrades!$C$20,0)),IF(M340&gt;0,0,IFERROR((6.0*(POWER(Upgrades!$P$13,E340)*POWER(Upgrades!$P$14,F340)*POWER(Upgrades!$P$15,G340)*POWER(Upgrades!$P$16,H340)*POWER(Upgrades!$P$17,I340)*POWER(Upgrades!$P$18,J340)*POWER(Upgrades!$P$19,K340)*POWER(Upgrades!$P$20,L340)*POWER(Upgrades!$P$21,M340))*$F$6+0.20*O340*(Parameters!$B$10/60*Parameters!$B$11+Q340))/Upgrades!$C$21,0)),IF(AND(ISNUMBER(AK340),AK340&gt;(C340+T340)),AY340,0),IF(AND(ISNUMBER(AL340),AL340&gt;(C340+T340)),AZ340,0),IF(AND(ISNUMBER(AM340),AM340&gt;(C340+T340)),BA340,0),IF(AND(ISNUMBER(AN340),AN340&gt;(C340+T340)),BB340,0),IF(AND(ISNUMBER(AO340),AO340&gt;(C340+T340)),BC340,0))</f>
        <v/>
      </c>
      <c r="BE340" s="29">
        <f>IF(AT340=1,"transition",IF(MIN(IF(AND(J340=0,ISNUMBER(AP340),AP340&lt;=(C340+T340)),AP340,9E15),IF(AND(K340=0,ISNUMBER(AQ340),AQ340&lt;=(C340+T340)),AQ340,9E15),IF(AND(L340=0,ISNUMBER(AR340),AR340&lt;=(C340+T340)),AR340,9E15),IF(AND(M340=0,ISNUMBER(AS340),AS340&lt;=(C340+T340)),AS340,9E15))&lt;9E15,IF(AND(AND(J340=0,ISNUMBER(AP340),AP340&lt;=(C340+T340)),AP340=MIN(IF(AND(J340=0,ISNUMBER(AP340),AP340&lt;=(C340+T340)),AP340,9E15),IF(AND(K340=0,ISNUMBER(AQ340),AQ340&lt;=(C340+T340)),AQ340,9E15),IF(AND(L340=0,ISNUMBER(AR340),AR340&lt;=(C340+T340)),AR340,9E15),IF(AND(M340=0,ISNUMBER(AS340),AS340&lt;=(C340+T340)),AS340,9E15))),"BiP",IF(AND(AND(K340=0,ISNUMBER(AQ340),AQ340&lt;=(C340+T340)),AQ340=MIN(IF(AND(J340=0,ISNUMBER(AP340),AP340&lt;=(C340+T340)),AP340,9E15),IF(AND(K340=0,ISNUMBER(AQ340),AQ340&lt;=(C340+T340)),AQ340,9E15),IF(AND(L340=0,ISNUMBER(AR340),AR340&lt;=(C340+T340)),AR340,9E15),IF(AND(M340=0,ISNUMBER(AS340),AS340&lt;=(C340+T340)),AS340,9E15))),"PV",IF(AND(AND(L340=0,ISNUMBER(AR340),AR340&lt;=(C340+T340)),AR340=MIN(IF(AND(J340=0,ISNUMBER(AP340),AP340&lt;=(C340+T340)),AP340,9E15),IF(AND(K340=0,ISNUMBER(AQ340),AQ340&lt;=(C340+T340)),AQ340,9E15),IF(AND(L340=0,ISNUMBER(AR340),AR340&lt;=(C340+T340)),AR340,9E15),IF(AND(M340=0,ISNUMBER(AS340),AS340&lt;=(C340+T340)),AS340,9E15))),"OC","MG"))),IF(AX340=TRUE,"",IF(MAX(IF(AND(NOT(AND(AU340=1,AT340&lt;&gt;1)),ISNUMBER(AK340),AK340&lt;=(C340+T340)),AY340,0),IF(AND(NOT(AND(AU340=1,AT340&lt;&gt;1)),ISNUMBER(AL340),AL340&lt;=(C340+T340)),AZ340,0),IF(AND(NOT(AND(AU340=1,AT340&lt;&gt;1)),ISNUMBER(AM340),AM340&lt;=(C340+T340)),BA340,0),IF(AND(NOT(AND(AU340=1,AT340&lt;&gt;1)),ISNUMBER(AN340),AN340&lt;=(C340+T340)),BB340,0),IF(AND(ISNUMBER(AO340),AO340&lt;=(C340+T340)),BC340,0))&lt;=0,"",IF(AND(IF(AND(NOT(AND(AU340=1,AT340&lt;&gt;1)),ISNUMBER(AK340),AK340&lt;=(C340+T340)),AY340,0)&gt;0,IF(AND(NOT(AND(AU340=1,AT340&lt;&gt;1)),ISNUMBER(AK340),AK340&lt;=(C340+T340)),AY340,0)=MAX(IF(AND(NOT(AND(AU340=1,AT340&lt;&gt;1)),ISNUMBER(AK340),AK340&lt;=(C340+T340)),AY340,0),IF(AND(NOT(AND(AU340=1,AT340&lt;&gt;1)),ISNUMBER(AL340),AL340&lt;=(C340+T340)),AZ340,0),IF(AND(NOT(AND(AU340=1,AT340&lt;&gt;1)),ISNUMBER(AM340),AM340&lt;=(C340+T340)),BA340,0),IF(AND(NOT(AND(AU340=1,AT340&lt;&gt;1)),ISNUMBER(AN340),AN340&lt;=(C340+T340)),BB340,0),IF(AND(ISNUMBER(AO340),AO340&lt;=(C340+T340)),BC340,0))),"SK",IF(AND(IF(AND(NOT(AND(AU340=1,AT340&lt;&gt;1)),ISNUMBER(AL340),AL340&lt;=(C340+T340)),AZ340,0)&gt;0,IF(AND(NOT(AND(AU340=1,AT340&lt;&gt;1)),ISNUMBER(AL340),AL340&lt;=(C340+T340)),AZ340,0)=MAX(IF(AND(NOT(AND(AU340=1,AT340&lt;&gt;1)),ISNUMBER(AK340),AK340&lt;=(C340+T340)),AY340,0),IF(AND(NOT(AND(AU340=1,AT340&lt;&gt;1)),ISNUMBER(AL340),AL340&lt;=(C340+T340)),AZ340,0),IF(AND(NOT(AND(AU340=1,AT340&lt;&gt;1)),ISNUMBER(AM340),AM340&lt;=(C340+T340)),BA340,0),IF(AND(NOT(AND(AU340=1,AT340&lt;&gt;1)),ISNUMBER(AN340),AN340&lt;=(C340+T340)),BB340,0),IF(AND(ISNUMBER(AO340),AO340&lt;=(C340+T340)),BC340,0))),"LB",IF(AND(IF(AND(NOT(AND(AU340=1,AT340&lt;&gt;1)),ISNUMBER(AM340),AM340&lt;=(C340+T340)),BA340,0)&gt;0,IF(AND(NOT(AND(AU340=1,AT340&lt;&gt;1)),ISNUMBER(AM340),AM340&lt;=(C340+T340)),BA340,0)=MAX(IF(AND(NOT(AND(AU340=1,AT340&lt;&gt;1)),ISNUMBER(AK340),AK340&lt;=(C340+T340)),AY340,0),IF(AND(NOT(AND(AU340=1,AT340&lt;&gt;1)),ISNUMBER(AL340),AL340&lt;=(C340+T340)),AZ340,0),IF(AND(NOT(AND(AU340=1,AT340&lt;&gt;1)),ISNUMBER(AM340),AM340&lt;=(C340+T340)),BA340,0),IF(AND(NOT(AND(AU340=1,AT340&lt;&gt;1)),ISNUMBER(AN340),AN340&lt;=(C340+T340)),BB340,0),IF(AND(ISNUMBER(AO340),AO340&lt;=(C340+T340)),BC340,0))),"ML",IF(AND(IF(AND(NOT(AND(AU340=1,AT340&lt;&gt;1)),ISNUMBER(AN340),AN340&lt;=(C340+T340)),BB340,0)&gt;0,IF(AND(NOT(AND(AU340=1,AT340&lt;&gt;1)),ISNUMBER(AN340),AN340&lt;=(C340+T340)),BB340,0)=MAX(IF(AND(NOT(AND(AU340=1,AT340&lt;&gt;1)),ISNUMBER(AK340),AK340&lt;=(C340+T340)),AY340,0),IF(AND(NOT(AND(AU340=1,AT340&lt;&gt;1)),ISNUMBER(AL340),AL340&lt;=(C340+T340)),AZ340,0),IF(AND(NOT(AND(AU340=1,AT340&lt;&gt;1)),ISNUMBER(AM340),AM340&lt;=(C340+T340)),BA340,0),IF(AND(NOT(AND(AU340=1,AT340&lt;&gt;1)),ISNUMBER(AN340),AN340&lt;=(C340+T340)),BB340,0),IF(AND(ISNUMBER(AO340),AO340&lt;=(C340+T340)),BC340,0))),"RLO","BD"))))))))</f>
        <v/>
      </c>
    </row>
    <row r="341">
      <c r="A341" s="26" t="n">
        <v>330</v>
      </c>
      <c r="B341" s="27">
        <f>A341*10/60</f>
        <v/>
      </c>
      <c r="C341" s="22">
        <f>X340</f>
        <v/>
      </c>
      <c r="D341" s="27">
        <f>D340+W340</f>
        <v/>
      </c>
      <c r="E341" s="26">
        <f>E340+IF(U340="SK",1,0)</f>
        <v/>
      </c>
      <c r="F341" s="26">
        <f>F340+IF(U340="LB",1,0)</f>
        <v/>
      </c>
      <c r="G341" s="26">
        <f>G340+IF(U340="ML",1,0)</f>
        <v/>
      </c>
      <c r="H341" s="26">
        <f>H340+IF(U340="RLO",1,0)</f>
        <v/>
      </c>
      <c r="I341" s="26">
        <f>I340+IF(U340="BD",1,0)</f>
        <v/>
      </c>
      <c r="J341" s="26">
        <f>MAX(J340,IF(U340="BiP",1,0))</f>
        <v/>
      </c>
      <c r="K341" s="26">
        <f>MAX(K340,IF(U340="PV",1,0))</f>
        <v/>
      </c>
      <c r="L341" s="26">
        <f>MAX(L340,IF(U340="OC",1,0))</f>
        <v/>
      </c>
      <c r="M341" s="26">
        <f>MAX(M340,IF(U340="MG",1,0))</f>
        <v/>
      </c>
      <c r="N341" s="26">
        <f>MAX(N340,IF(U340="transition",1,0))</f>
        <v/>
      </c>
      <c r="O341" s="28">
        <f>(Parameters!$B$9+(IF(E341=0,0,(Upgrades!$J$13+E341*Upgrades!$K$13)*POWER(Upgrades!$L$13,E341)))*(IF(Upgrades!$T$14="Stellar Kinematics",POWER(Upgrades!$U$14,F341),1)*IF(Upgrades!$T$15="Stellar Kinematics",POWER(Upgrades!$U$15,G341),1)*IF(Upgrades!$T$16="Stellar Kinematics",POWER(Upgrades!$U$16,H341),1)*IF(Upgrades!$T$17="Stellar Kinematics",POWER(Upgrades!$U$17,I341),1)*IF(Upgrades!$T$18="Stellar Kinematics",POWER(Upgrades!$U$18,J341),1)*IF(Upgrades!$T$19="Stellar Kinematics",POWER(Upgrades!$U$19,K341),1)*IF(Upgrades!$T$20="Stellar Kinematics",POWER(Upgrades!$U$20,L341),1)*IF(Upgrades!$T$21="Stellar Kinematics",POWER(Upgrades!$U$21,M341),1))+(IF(F341=0,0,(Upgrades!$J$14+F341*Upgrades!$K$14)*POWER(Upgrades!$L$14,F341)))*(IF(Upgrades!$T$13="Local Bubble",POWER(Upgrades!$U$13,E341),1)*IF(Upgrades!$T$15="Local Bubble",POWER(Upgrades!$U$15,G341),1)*IF(Upgrades!$T$16="Local Bubble",POWER(Upgrades!$U$16,H341),1)*IF(Upgrades!$T$17="Local Bubble",POWER(Upgrades!$U$17,I341),1)*IF(Upgrades!$T$18="Local Bubble",POWER(Upgrades!$U$18,J341),1)*IF(Upgrades!$T$19="Local Bubble",POWER(Upgrades!$U$19,K341),1)*IF(Upgrades!$T$20="Local Bubble",POWER(Upgrades!$U$20,L341),1)*IF(Upgrades!$T$21="Local Bubble",POWER(Upgrades!$U$21,M341),1))+(IF(G341=0,0,(Upgrades!$J$15+G341*Upgrades!$K$15)*POWER(Upgrades!$L$15,G341)))*(IF(Upgrades!$T$13="Microlensing",POWER(Upgrades!$U$13,E341),1)*IF(Upgrades!$T$14="Microlensing",POWER(Upgrades!$U$14,F341),1)*IF(Upgrades!$T$16="Microlensing",POWER(Upgrades!$U$16,H341),1)*IF(Upgrades!$T$17="Microlensing",POWER(Upgrades!$U$17,I341),1)*IF(Upgrades!$T$18="Microlensing",POWER(Upgrades!$U$18,J341),1)*IF(Upgrades!$T$19="Microlensing",POWER(Upgrades!$U$19,K341),1)*IF(Upgrades!$T$20="Microlensing",POWER(Upgrades!$U$20,L341),1)*IF(Upgrades!$T$21="Microlensing",POWER(Upgrades!$U$21,M341),1))+(IF(H341=0,0,(Upgrades!$J$16+H341*Upgrades!$K$16)*POWER(Upgrades!$L$16,H341)))*(IF(Upgrades!$T$13="Roche Lobe Overflow",POWER(Upgrades!$U$13,E341),1)*IF(Upgrades!$T$14="Roche Lobe Overflow",POWER(Upgrades!$U$14,F341),1)*IF(Upgrades!$T$15="Roche Lobe Overflow",POWER(Upgrades!$U$15,G341),1)*IF(Upgrades!$T$17="Roche Lobe Overflow",POWER(Upgrades!$U$17,I341),1)*IF(Upgrades!$T$18="Roche Lobe Overflow",POWER(Upgrades!$U$18,J341),1)*IF(Upgrades!$T$19="Roche Lobe Overflow",POWER(Upgrades!$U$19,K341),1)*IF(Upgrades!$T$20="Roche Lobe Overflow",POWER(Upgrades!$U$20,L341),1)*IF(Upgrades!$T$21="Roche Lobe Overflow",POWER(Upgrades!$U$21,M341),1))+(IF(I341=0,0,(Upgrades!$J$17+I341*Upgrades!$K$17)*POWER(Upgrades!$L$17,I341)))*(IF(Upgrades!$T$13="Brown Dwarf",POWER(Upgrades!$U$13,E341),1)*IF(Upgrades!$T$14="Brown Dwarf",POWER(Upgrades!$U$14,F341),1)*IF(Upgrades!$T$15="Brown Dwarf",POWER(Upgrades!$U$15,G341),1)*IF(Upgrades!$T$16="Brown Dwarf",POWER(Upgrades!$U$16,H341),1)*IF(Upgrades!$T$18="Brown Dwarf",POWER(Upgrades!$U$18,J341),1)*IF(Upgrades!$T$19="Brown Dwarf",POWER(Upgrades!$U$19,K341),1)*IF(Upgrades!$T$20="Brown Dwarf",POWER(Upgrades!$U$20,L341),1)*IF(Upgrades!$T$21="Brown Dwarf",POWER(Upgrades!$U$21,M341),1))+(IF(J341=0,0,(Upgrades!$J$18+J341*Upgrades!$K$18)*POWER(Upgrades!$L$18,J341)))*(IF(Upgrades!$T$13="Binary Partner",POWER(Upgrades!$U$13,E341),1)*IF(Upgrades!$T$14="Binary Partner",POWER(Upgrades!$U$14,F341),1)*IF(Upgrades!$T$15="Binary Partner",POWER(Upgrades!$U$15,G341),1)*IF(Upgrades!$T$16="Binary Partner",POWER(Upgrades!$U$16,H341),1)*IF(Upgrades!$T$17="Binary Partner",POWER(Upgrades!$U$17,I341),1)*IF(Upgrades!$T$19="Binary Partner",POWER(Upgrades!$U$19,K341),1)*IF(Upgrades!$T$20="Binary Partner",POWER(Upgrades!$U$20,L341),1)*IF(Upgrades!$T$21="Binary Partner",POWER(Upgrades!$U$21,M341),1))+(IF(K341=0,0,(Upgrades!$J$19+K341*Upgrades!$K$19)*POWER(Upgrades!$L$19,K341)))*(IF(Upgrades!$T$13="Peculiar Velocity",POWER(Upgrades!$U$13,E341),1)*IF(Upgrades!$T$14="Peculiar Velocity",POWER(Upgrades!$U$14,F341),1)*IF(Upgrades!$T$15="Peculiar Velocity",POWER(Upgrades!$U$15,G341),1)*IF(Upgrades!$T$16="Peculiar Velocity",POWER(Upgrades!$U$16,H341),1)*IF(Upgrades!$T$17="Peculiar Velocity",POWER(Upgrades!$U$17,I341),1)*IF(Upgrades!$T$18="Peculiar Velocity",POWER(Upgrades!$U$18,J341),1)*IF(Upgrades!$T$20="Peculiar Velocity",POWER(Upgrades!$U$20,L341),1)*IF(Upgrades!$T$21="Peculiar Velocity",POWER(Upgrades!$U$21,M341),1))+(IF(L341=0,0,(Upgrades!$J$20+L341*Upgrades!$K$20)*POWER(Upgrades!$L$20,L341)))*(IF(Upgrades!$T$13="Open Cluster",POWER(Upgrades!$U$13,E341),1)*IF(Upgrades!$T$14="Open Cluster",POWER(Upgrades!$U$14,F341),1)*IF(Upgrades!$T$15="Open Cluster",POWER(Upgrades!$U$15,G341),1)*IF(Upgrades!$T$16="Open Cluster",POWER(Upgrades!$U$16,H341),1)*IF(Upgrades!$T$17="Open Cluster",POWER(Upgrades!$U$17,I341),1)*IF(Upgrades!$T$18="Open Cluster",POWER(Upgrades!$U$18,J341),1)*IF(Upgrades!$T$19="Open Cluster",POWER(Upgrades!$U$19,K341),1)*IF(Upgrades!$T$21="Open Cluster",POWER(Upgrades!$U$21,M341),1))+(IF(M341=0,0,(Upgrades!$J$21+M341*Upgrades!$K$21)*POWER(Upgrades!$L$21,M341)))*(IF(Upgrades!$T$13="Moving Group",POWER(Upgrades!$U$13,E341),1)*IF(Upgrades!$T$14="Moving Group",POWER(Upgrades!$U$14,F341),1)*IF(Upgrades!$T$15="Moving Group",POWER(Upgrades!$U$15,G341),1)*IF(Upgrades!$T$16="Moving Group",POWER(Upgrades!$U$16,H341),1)*IF(Upgrades!$T$17="Moving Group",POWER(Upgrades!$U$17,I341),1)*IF(Upgrades!$T$18="Moving Group",POWER(Upgrades!$U$18,J341),1)*IF(Upgrades!$T$19="Moving Group",POWER(Upgrades!$U$19,K341),1)*IF(Upgrades!$T$20="Moving Group",POWER(Upgrades!$U$20,L341),1)))*POWER(Upgrades!$Q$13,E341)*POWER(Upgrades!$Q$14,F341)*POWER(Upgrades!$Q$15,G341)*POWER(Upgrades!$Q$16,H341)*POWER(Upgrades!$Q$17,I341)*POWER(Upgrades!$Q$18,J341)*POWER(Upgrades!$Q$19,K341)*POWER(Upgrades!$Q$20,L341)*POWER(Upgrades!$Q$21,M341)*$G$6+$D$6</f>
        <v/>
      </c>
      <c r="P341" s="28">
        <f>((IF(E341=0,0,(Upgrades!$G$13+E341*Upgrades!$H$13)*POWER(Upgrades!$I$13,E341)))*(IF(Upgrades!$T$14="Stellar Kinematics",POWER(Upgrades!$U$14,F341),1)*IF(Upgrades!$T$15="Stellar Kinematics",POWER(Upgrades!$U$15,G341),1)*IF(Upgrades!$T$16="Stellar Kinematics",POWER(Upgrades!$U$16,H341),1)*IF(Upgrades!$T$17="Stellar Kinematics",POWER(Upgrades!$U$17,I341),1)*IF(Upgrades!$T$18="Stellar Kinematics",POWER(Upgrades!$U$18,J341),1)*IF(Upgrades!$T$19="Stellar Kinematics",POWER(Upgrades!$U$19,K341),1)*IF(Upgrades!$T$20="Stellar Kinematics",POWER(Upgrades!$U$20,L341),1)*IF(Upgrades!$T$21="Stellar Kinematics",POWER(Upgrades!$U$21,M341),1))+(IF(F341=0,0,(Upgrades!$G$14+F341*Upgrades!$H$14)*POWER(Upgrades!$I$14,F341)))*(IF(Upgrades!$T$13="Local Bubble",POWER(Upgrades!$U$13,E341),1)*IF(Upgrades!$T$15="Local Bubble",POWER(Upgrades!$U$15,G341),1)*IF(Upgrades!$T$16="Local Bubble",POWER(Upgrades!$U$16,H341),1)*IF(Upgrades!$T$17="Local Bubble",POWER(Upgrades!$U$17,I341),1)*IF(Upgrades!$T$18="Local Bubble",POWER(Upgrades!$U$18,J341),1)*IF(Upgrades!$T$19="Local Bubble",POWER(Upgrades!$U$19,K341),1)*IF(Upgrades!$T$20="Local Bubble",POWER(Upgrades!$U$20,L341),1)*IF(Upgrades!$T$21="Local Bubble",POWER(Upgrades!$U$21,M341),1))+(IF(G341=0,0,(Upgrades!$G$15+G341*Upgrades!$H$15)*POWER(Upgrades!$I$15,G341)))*(IF(Upgrades!$T$13="Microlensing",POWER(Upgrades!$U$13,E341),1)*IF(Upgrades!$T$14="Microlensing",POWER(Upgrades!$U$14,F341),1)*IF(Upgrades!$T$16="Microlensing",POWER(Upgrades!$U$16,H341),1)*IF(Upgrades!$T$17="Microlensing",POWER(Upgrades!$U$17,I341),1)*IF(Upgrades!$T$18="Microlensing",POWER(Upgrades!$U$18,J341),1)*IF(Upgrades!$T$19="Microlensing",POWER(Upgrades!$U$19,K341),1)*IF(Upgrades!$T$20="Microlensing",POWER(Upgrades!$U$20,L341),1)*IF(Upgrades!$T$21="Microlensing",POWER(Upgrades!$U$21,M341),1))+(IF(H341=0,0,(Upgrades!$G$16+H341*Upgrades!$H$16)*POWER(Upgrades!$I$16,H341)))*(IF(Upgrades!$T$13="Roche Lobe Overflow",POWER(Upgrades!$U$13,E341),1)*IF(Upgrades!$T$14="Roche Lobe Overflow",POWER(Upgrades!$U$14,F341),1)*IF(Upgrades!$T$15="Roche Lobe Overflow",POWER(Upgrades!$U$15,G341),1)*IF(Upgrades!$T$17="Roche Lobe Overflow",POWER(Upgrades!$U$17,I341),1)*IF(Upgrades!$T$18="Roche Lobe Overflow",POWER(Upgrades!$U$18,J341),1)*IF(Upgrades!$T$19="Roche Lobe Overflow",POWER(Upgrades!$U$19,K341),1)*IF(Upgrades!$T$20="Roche Lobe Overflow",POWER(Upgrades!$U$20,L341),1)*IF(Upgrades!$T$21="Roche Lobe Overflow",POWER(Upgrades!$U$21,M341),1))+(IF(I341=0,0,(Upgrades!$G$17+I341*Upgrades!$H$17)*POWER(Upgrades!$I$17,I341)))*(IF(Upgrades!$T$13="Brown Dwarf",POWER(Upgrades!$U$13,E341),1)*IF(Upgrades!$T$14="Brown Dwarf",POWER(Upgrades!$U$14,F341),1)*IF(Upgrades!$T$15="Brown Dwarf",POWER(Upgrades!$U$15,G341),1)*IF(Upgrades!$T$16="Brown Dwarf",POWER(Upgrades!$U$16,H341),1)*IF(Upgrades!$T$18="Brown Dwarf",POWER(Upgrades!$U$18,J341),1)*IF(Upgrades!$T$19="Brown Dwarf",POWER(Upgrades!$U$19,K341),1)*IF(Upgrades!$T$20="Brown Dwarf",POWER(Upgrades!$U$20,L341),1)*IF(Upgrades!$T$21="Brown Dwarf",POWER(Upgrades!$U$21,M341),1))+(IF(J341=0,0,(Upgrades!$G$18+J341*Upgrades!$H$18)*POWER(Upgrades!$I$18,J341)))*(IF(Upgrades!$T$13="Binary Partner",POWER(Upgrades!$U$13,E341),1)*IF(Upgrades!$T$14="Binary Partner",POWER(Upgrades!$U$14,F341),1)*IF(Upgrades!$T$15="Binary Partner",POWER(Upgrades!$U$15,G341),1)*IF(Upgrades!$T$16="Binary Partner",POWER(Upgrades!$U$16,H341),1)*IF(Upgrades!$T$17="Binary Partner",POWER(Upgrades!$U$17,I341),1)*IF(Upgrades!$T$19="Binary Partner",POWER(Upgrades!$U$19,K341),1)*IF(Upgrades!$T$20="Binary Partner",POWER(Upgrades!$U$20,L341),1)*IF(Upgrades!$T$21="Binary Partner",POWER(Upgrades!$U$21,M341),1))+(IF(K341=0,0,(Upgrades!$G$19+K341*Upgrades!$H$19)*POWER(Upgrades!$I$19,K341)))*(IF(Upgrades!$T$13="Peculiar Velocity",POWER(Upgrades!$U$13,E341),1)*IF(Upgrades!$T$14="Peculiar Velocity",POWER(Upgrades!$U$14,F341),1)*IF(Upgrades!$T$15="Peculiar Velocity",POWER(Upgrades!$U$15,G341),1)*IF(Upgrades!$T$16="Peculiar Velocity",POWER(Upgrades!$U$16,H341),1)*IF(Upgrades!$T$17="Peculiar Velocity",POWER(Upgrades!$U$17,I341),1)*IF(Upgrades!$T$18="Peculiar Velocity",POWER(Upgrades!$U$18,J341),1)*IF(Upgrades!$T$20="Peculiar Velocity",POWER(Upgrades!$U$20,L341),1)*IF(Upgrades!$T$21="Peculiar Velocity",POWER(Upgrades!$U$21,M341),1))+(IF(L341=0,0,(Upgrades!$G$20+L341*Upgrades!$H$20)*POWER(Upgrades!$I$20,L341)))*(IF(Upgrades!$T$13="Open Cluster",POWER(Upgrades!$U$13,E341),1)*IF(Upgrades!$T$14="Open Cluster",POWER(Upgrades!$U$14,F341),1)*IF(Upgrades!$T$15="Open Cluster",POWER(Upgrades!$U$15,G341),1)*IF(Upgrades!$T$16="Open Cluster",POWER(Upgrades!$U$16,H341),1)*IF(Upgrades!$T$17="Open Cluster",POWER(Upgrades!$U$17,I341),1)*IF(Upgrades!$T$18="Open Cluster",POWER(Upgrades!$U$18,J341),1)*IF(Upgrades!$T$19="Open Cluster",POWER(Upgrades!$U$19,K341),1)*IF(Upgrades!$T$21="Open Cluster",POWER(Upgrades!$U$21,M341),1))+(IF(M341=0,0,(Upgrades!$G$21+M341*Upgrades!$H$21)*POWER(Upgrades!$I$21,M341)))*(IF(Upgrades!$T$13="Moving Group",POWER(Upgrades!$U$13,E341),1)*IF(Upgrades!$T$14="Moving Group",POWER(Upgrades!$U$14,F341),1)*IF(Upgrades!$T$15="Moving Group",POWER(Upgrades!$U$15,G341),1)*IF(Upgrades!$T$16="Moving Group",POWER(Upgrades!$U$16,H341),1)*IF(Upgrades!$T$17="Moving Group",POWER(Upgrades!$U$17,I341),1)*IF(Upgrades!$T$18="Moving Group",POWER(Upgrades!$U$18,J341),1)*IF(Upgrades!$T$19="Moving Group",POWER(Upgrades!$U$19,K341),1)*IF(Upgrades!$T$20="Moving Group",POWER(Upgrades!$U$20,L341),1)))*POWER(Upgrades!$P$13,E341)*POWER(Upgrades!$P$14,F341)*POWER(Upgrades!$P$15,G341)*POWER(Upgrades!$P$16,H341)*POWER(Upgrades!$P$17,I341)*POWER(Upgrades!$P$18,J341)*POWER(Upgrades!$P$19,K341)*POWER(Upgrades!$P$20,L341)*POWER(Upgrades!$P$21,M341)*$F$6+$C$6</f>
        <v/>
      </c>
      <c r="Q341" s="28">
        <f>((IF(E341=0,0,(Upgrades!$M$13+E341*Upgrades!$N$13)*POWER(Upgrades!$O$13,E341)))*(IF(Upgrades!$T$14="Stellar Kinematics",POWER(Upgrades!$U$14,F341),1)*IF(Upgrades!$T$15="Stellar Kinematics",POWER(Upgrades!$U$15,G341),1)*IF(Upgrades!$T$16="Stellar Kinematics",POWER(Upgrades!$U$16,H341),1)*IF(Upgrades!$T$17="Stellar Kinematics",POWER(Upgrades!$U$17,I341),1)*IF(Upgrades!$T$18="Stellar Kinematics",POWER(Upgrades!$U$18,J341),1)*IF(Upgrades!$T$19="Stellar Kinematics",POWER(Upgrades!$U$19,K341),1)*IF(Upgrades!$T$20="Stellar Kinematics",POWER(Upgrades!$U$20,L341),1)*IF(Upgrades!$T$21="Stellar Kinematics",POWER(Upgrades!$U$21,M341),1))+(IF(F341=0,0,(Upgrades!$M$14+F341*Upgrades!$N$14)*POWER(Upgrades!$O$14,F341)))*(IF(Upgrades!$T$13="Local Bubble",POWER(Upgrades!$U$13,E341),1)*IF(Upgrades!$T$15="Local Bubble",POWER(Upgrades!$U$15,G341),1)*IF(Upgrades!$T$16="Local Bubble",POWER(Upgrades!$U$16,H341),1)*IF(Upgrades!$T$17="Local Bubble",POWER(Upgrades!$U$17,I341),1)*IF(Upgrades!$T$18="Local Bubble",POWER(Upgrades!$U$18,J341),1)*IF(Upgrades!$T$19="Local Bubble",POWER(Upgrades!$U$19,K341),1)*IF(Upgrades!$T$20="Local Bubble",POWER(Upgrades!$U$20,L341),1)*IF(Upgrades!$T$21="Local Bubble",POWER(Upgrades!$U$21,M341),1))+(IF(G341=0,0,(Upgrades!$M$15+G341*Upgrades!$N$15)*POWER(Upgrades!$O$15,G341)))*(IF(Upgrades!$T$13="Microlensing",POWER(Upgrades!$U$13,E341),1)*IF(Upgrades!$T$14="Microlensing",POWER(Upgrades!$U$14,F341),1)*IF(Upgrades!$T$16="Microlensing",POWER(Upgrades!$U$16,H341),1)*IF(Upgrades!$T$17="Microlensing",POWER(Upgrades!$U$17,I341),1)*IF(Upgrades!$T$18="Microlensing",POWER(Upgrades!$U$18,J341),1)*IF(Upgrades!$T$19="Microlensing",POWER(Upgrades!$U$19,K341),1)*IF(Upgrades!$T$20="Microlensing",POWER(Upgrades!$U$20,L341),1)*IF(Upgrades!$T$21="Microlensing",POWER(Upgrades!$U$21,M341),1))+(IF(H341=0,0,(Upgrades!$M$16+H341*Upgrades!$N$16)*POWER(Upgrades!$O$16,H341)))*(IF(Upgrades!$T$13="Roche Lobe Overflow",POWER(Upgrades!$U$13,E341),1)*IF(Upgrades!$T$14="Roche Lobe Overflow",POWER(Upgrades!$U$14,F341),1)*IF(Upgrades!$T$15="Roche Lobe Overflow",POWER(Upgrades!$U$15,G341),1)*IF(Upgrades!$T$17="Roche Lobe Overflow",POWER(Upgrades!$U$17,I341),1)*IF(Upgrades!$T$18="Roche Lobe Overflow",POWER(Upgrades!$U$18,J341),1)*IF(Upgrades!$T$19="Roche Lobe Overflow",POWER(Upgrades!$U$19,K341),1)*IF(Upgrades!$T$20="Roche Lobe Overflow",POWER(Upgrades!$U$20,L341),1)*IF(Upgrades!$T$21="Roche Lobe Overflow",POWER(Upgrades!$U$21,M341),1))+(IF(I341=0,0,(Upgrades!$M$17+I341*Upgrades!$N$17)*POWER(Upgrades!$O$17,I341)))*(IF(Upgrades!$T$13="Brown Dwarf",POWER(Upgrades!$U$13,E341),1)*IF(Upgrades!$T$14="Brown Dwarf",POWER(Upgrades!$U$14,F341),1)*IF(Upgrades!$T$15="Brown Dwarf",POWER(Upgrades!$U$15,G341),1)*IF(Upgrades!$T$16="Brown Dwarf",POWER(Upgrades!$U$16,H341),1)*IF(Upgrades!$T$18="Brown Dwarf",POWER(Upgrades!$U$18,J341),1)*IF(Upgrades!$T$19="Brown Dwarf",POWER(Upgrades!$U$19,K341),1)*IF(Upgrades!$T$20="Brown Dwarf",POWER(Upgrades!$U$20,L341),1)*IF(Upgrades!$T$21="Brown Dwarf",POWER(Upgrades!$U$21,M341),1))+(IF(J341=0,0,(Upgrades!$M$18+J341*Upgrades!$N$18)*POWER(Upgrades!$O$18,J341)))*(IF(Upgrades!$T$13="Binary Partner",POWER(Upgrades!$U$13,E341),1)*IF(Upgrades!$T$14="Binary Partner",POWER(Upgrades!$U$14,F341),1)*IF(Upgrades!$T$15="Binary Partner",POWER(Upgrades!$U$15,G341),1)*IF(Upgrades!$T$16="Binary Partner",POWER(Upgrades!$U$16,H341),1)*IF(Upgrades!$T$17="Binary Partner",POWER(Upgrades!$U$17,I341),1)*IF(Upgrades!$T$19="Binary Partner",POWER(Upgrades!$U$19,K341),1)*IF(Upgrades!$T$20="Binary Partner",POWER(Upgrades!$U$20,L341),1)*IF(Upgrades!$T$21="Binary Partner",POWER(Upgrades!$U$21,M341),1))+(IF(K341=0,0,(Upgrades!$M$19+K341*Upgrades!$N$19)*POWER(Upgrades!$O$19,K341)))*(IF(Upgrades!$T$13="Peculiar Velocity",POWER(Upgrades!$U$13,E341),1)*IF(Upgrades!$T$14="Peculiar Velocity",POWER(Upgrades!$U$14,F341),1)*IF(Upgrades!$T$15="Peculiar Velocity",POWER(Upgrades!$U$15,G341),1)*IF(Upgrades!$T$16="Peculiar Velocity",POWER(Upgrades!$U$16,H341),1)*IF(Upgrades!$T$17="Peculiar Velocity",POWER(Upgrades!$U$17,I341),1)*IF(Upgrades!$T$18="Peculiar Velocity",POWER(Upgrades!$U$18,J341),1)*IF(Upgrades!$T$20="Peculiar Velocity",POWER(Upgrades!$U$20,L341),1)*IF(Upgrades!$T$21="Peculiar Velocity",POWER(Upgrades!$U$21,M341),1))+(IF(L341=0,0,(Upgrades!$M$20+L341*Upgrades!$N$20)*POWER(Upgrades!$O$20,L341)))*(IF(Upgrades!$T$13="Open Cluster",POWER(Upgrades!$U$13,E341),1)*IF(Upgrades!$T$14="Open Cluster",POWER(Upgrades!$U$14,F341),1)*IF(Upgrades!$T$15="Open Cluster",POWER(Upgrades!$U$15,G341),1)*IF(Upgrades!$T$16="Open Cluster",POWER(Upgrades!$U$16,H341),1)*IF(Upgrades!$T$17="Open Cluster",POWER(Upgrades!$U$17,I341),1)*IF(Upgrades!$T$18="Open Cluster",POWER(Upgrades!$U$18,J341),1)*IF(Upgrades!$T$19="Open Cluster",POWER(Upgrades!$U$19,K341),1)*IF(Upgrades!$T$21="Open Cluster",POWER(Upgrades!$U$21,M341),1))+(IF(M341=0,0,(Upgrades!$M$21+M341*Upgrades!$N$21)*POWER(Upgrades!$O$21,M341)))*(IF(Upgrades!$T$13="Moving Group",POWER(Upgrades!$U$13,E341),1)*IF(Upgrades!$T$14="Moving Group",POWER(Upgrades!$U$14,F341),1)*IF(Upgrades!$T$15="Moving Group",POWER(Upgrades!$U$15,G341),1)*IF(Upgrades!$T$16="Moving Group",POWER(Upgrades!$U$16,H341),1)*IF(Upgrades!$T$17="Moving Group",POWER(Upgrades!$U$17,I341),1)*IF(Upgrades!$T$18="Moving Group",POWER(Upgrades!$U$18,J341),1)*IF(Upgrades!$T$19="Moving Group",POWER(Upgrades!$U$19,K341),1)*IF(Upgrades!$T$20="Moving Group",POWER(Upgrades!$U$20,L341),1)))*POWER(Upgrades!$R$13,E341)*POWER(Upgrades!$R$14,F341)*POWER(Upgrades!$R$15,G341)*POWER(Upgrades!$R$16,H341)*POWER(Upgrades!$R$17,I341)*POWER(Upgrades!$R$18,J341)*POWER(Upgrades!$R$19,K341)*POWER(Upgrades!$R$20,L341)*POWER(Upgrades!$R$21,M341)*$H$6+$E$6</f>
        <v/>
      </c>
      <c r="R341" s="27">
        <f>IF(N341=1,0,O341*Parameters!$B$10/60*Parameters!$B$11*10)</f>
        <v/>
      </c>
      <c r="S341" s="27">
        <f>IF(N341=1,0,Q341*O341*10)</f>
        <v/>
      </c>
      <c r="T341" s="27">
        <f>IF(N341=1,0,R341+S341+P341*10)</f>
        <v/>
      </c>
      <c r="U341" s="33">
        <f>BE341</f>
        <v/>
      </c>
      <c r="V341" s="22">
        <f>IF(U341="",0,IF(U341="transition",0,IF(U341="SK",AK341,IF(U341="LB",AL341,IF(U341="ML",AM341,IF(U341="RLO",AN341,IF(U341="BD",AO341,IF(U341="BiP",AP341,IF(U341="PV",AQ341,IF(U341="OC",AR341,IF(U341="MG",AS341,0))))))))))</f>
        <v/>
      </c>
      <c r="W341" s="27">
        <f>IF(U341="BiP",Upgrades!$F$18,IF(U341="PV",Upgrades!$F$19,IF(U341="OC",Upgrades!$F$20,IF(U341="MG",Upgrades!$F$21,IF(U341="transition",-Parameters!$B$18*Parameters!$B$19,0)))))</f>
        <v/>
      </c>
      <c r="X341" s="22">
        <f>C341+T341-V341</f>
        <v/>
      </c>
      <c r="Y341" s="30">
        <f>O341*Parameters!$B$10/60*Parameters!$B$11+Q341*O341+P341</f>
        <v/>
      </c>
      <c r="Z341" s="34">
        <f>IF(U341="transition","→ Tier 3 (Galactic Arm)",IF(U341="MG","Moving Group — pocket drifts together",IF(U341="OC","Open Cluster acquired",IF(U341="PV","Peculiar Velocity — passive multiplier active",IF(U341="BiP","Binary Partner — pair bond formed",IF(AND(AU341=1,N341=0,AT341&lt;&gt;1),"Cohesion ready (waiting on completionists)","")))))) </f>
        <v/>
      </c>
      <c r="AA341" s="27">
        <f>(IF(E341=0,0,(Upgrades!$G$13+E341*Upgrades!$H$13)*POWER(Upgrades!$I$13,E341)))*(IF(Upgrades!$T$14="Stellar Kinematics",POWER(Upgrades!$U$14,F341),1)*IF(Upgrades!$T$15="Stellar Kinematics",POWER(Upgrades!$U$15,G341),1)*IF(Upgrades!$T$16="Stellar Kinematics",POWER(Upgrades!$U$16,H341),1)*IF(Upgrades!$T$17="Stellar Kinematics",POWER(Upgrades!$U$17,I341),1)*IF(Upgrades!$T$18="Stellar Kinematics",POWER(Upgrades!$U$18,J341),1)*IF(Upgrades!$T$19="Stellar Kinematics",POWER(Upgrades!$U$19,K341),1)*IF(Upgrades!$T$20="Stellar Kinematics",POWER(Upgrades!$U$20,L341),1)*IF(Upgrades!$T$21="Stellar Kinematics",POWER(Upgrades!$U$21,M341),1))*POWER(Upgrades!$P$13,E341)*POWER(Upgrades!$P$14,F341)*POWER(Upgrades!$P$15,G341)*POWER(Upgrades!$P$16,H341)*POWER(Upgrades!$P$17,I341)*POWER(Upgrades!$P$18,J341)*POWER(Upgrades!$P$19,K341)*POWER(Upgrades!$P$20,L341)*POWER(Upgrades!$P$21,M341)*$F$6*60</f>
        <v/>
      </c>
      <c r="AB341" s="27">
        <f>(IF(F341=0,0,(Upgrades!$G$14+F341*Upgrades!$H$14)*POWER(Upgrades!$I$14,F341)))*(IF(Upgrades!$T$13="Local Bubble",POWER(Upgrades!$U$13,E341),1)*IF(Upgrades!$T$15="Local Bubble",POWER(Upgrades!$U$15,G341),1)*IF(Upgrades!$T$16="Local Bubble",POWER(Upgrades!$U$16,H341),1)*IF(Upgrades!$T$17="Local Bubble",POWER(Upgrades!$U$17,I341),1)*IF(Upgrades!$T$18="Local Bubble",POWER(Upgrades!$U$18,J341),1)*IF(Upgrades!$T$19="Local Bubble",POWER(Upgrades!$U$19,K341),1)*IF(Upgrades!$T$20="Local Bubble",POWER(Upgrades!$U$20,L341),1)*IF(Upgrades!$T$21="Local Bubble",POWER(Upgrades!$U$21,M341),1))*POWER(Upgrades!$P$13,E341)*POWER(Upgrades!$P$14,F341)*POWER(Upgrades!$P$15,G341)*POWER(Upgrades!$P$16,H341)*POWER(Upgrades!$P$17,I341)*POWER(Upgrades!$P$18,J341)*POWER(Upgrades!$P$19,K341)*POWER(Upgrades!$P$20,L341)*POWER(Upgrades!$P$21,M341)*$F$6*60</f>
        <v/>
      </c>
      <c r="AC341" s="27">
        <f>(IF(G341=0,0,(Upgrades!$J$15+G341*Upgrades!$K$15)*POWER(Upgrades!$L$15,G341)))*(IF(Upgrades!$T$13="Microlensing",POWER(Upgrades!$U$13,E341),1)*IF(Upgrades!$T$14="Microlensing",POWER(Upgrades!$U$14,F341),1)*IF(Upgrades!$T$16="Microlensing",POWER(Upgrades!$U$16,H341),1)*IF(Upgrades!$T$17="Microlensing",POWER(Upgrades!$U$17,I341),1)*IF(Upgrades!$T$18="Microlensing",POWER(Upgrades!$U$18,J341),1)*IF(Upgrades!$T$19="Microlensing",POWER(Upgrades!$U$19,K341),1)*IF(Upgrades!$T$20="Microlensing",POWER(Upgrades!$U$20,L341),1)*IF(Upgrades!$T$21="Microlensing",POWER(Upgrades!$U$21,M341),1))*POWER(Upgrades!$Q$13,E341)*POWER(Upgrades!$Q$14,F341)*POWER(Upgrades!$Q$15,G341)*POWER(Upgrades!$Q$16,H341)*POWER(Upgrades!$Q$17,I341)*POWER(Upgrades!$Q$18,J341)*POWER(Upgrades!$Q$19,K341)*POWER(Upgrades!$Q$20,L341)*POWER(Upgrades!$Q$21,M341)*$G$6*(Parameters!$B$10*Parameters!$B$11+Q341*60)</f>
        <v/>
      </c>
      <c r="AD341" s="27">
        <f>(IF(H341=0,0,(Upgrades!$M$16+H341*Upgrades!$N$16)*POWER(Upgrades!$O$16,H341)))*(IF(Upgrades!$T$13="Roche Lobe Overflow",POWER(Upgrades!$U$13,E341),1)*IF(Upgrades!$T$14="Roche Lobe Overflow",POWER(Upgrades!$U$14,F341),1)*IF(Upgrades!$T$15="Roche Lobe Overflow",POWER(Upgrades!$U$15,G341),1)*IF(Upgrades!$T$17="Roche Lobe Overflow",POWER(Upgrades!$U$17,I341),1)*IF(Upgrades!$T$18="Roche Lobe Overflow",POWER(Upgrades!$U$18,J341),1)*IF(Upgrades!$T$19="Roche Lobe Overflow",POWER(Upgrades!$U$19,K341),1)*IF(Upgrades!$T$20="Roche Lobe Overflow",POWER(Upgrades!$U$20,L341),1)*IF(Upgrades!$T$21="Roche Lobe Overflow",POWER(Upgrades!$U$21,M341),1))*POWER(Upgrades!$R$13,E341)*POWER(Upgrades!$R$14,F341)*POWER(Upgrades!$R$15,G341)*POWER(Upgrades!$R$16,H341)*POWER(Upgrades!$R$17,I341)*POWER(Upgrades!$R$18,J341)*POWER(Upgrades!$R$19,K341)*POWER(Upgrades!$R$20,L341)*POWER(Upgrades!$R$21,M341)*$H$6*O341*60</f>
        <v/>
      </c>
      <c r="AE341" s="27">
        <f>(IF(I341=0,0,(Upgrades!$G$17+I341*Upgrades!$H$17)*POWER(Upgrades!$I$17,I341)))*(IF(Upgrades!$T$13="Brown Dwarf",POWER(Upgrades!$U$13,E341),1)*IF(Upgrades!$T$14="Brown Dwarf",POWER(Upgrades!$U$14,F341),1)*IF(Upgrades!$T$15="Brown Dwarf",POWER(Upgrades!$U$15,G341),1)*IF(Upgrades!$T$16="Brown Dwarf",POWER(Upgrades!$U$16,H341),1)*IF(Upgrades!$T$18="Brown Dwarf",POWER(Upgrades!$U$18,J341),1)*IF(Upgrades!$T$19="Brown Dwarf",POWER(Upgrades!$U$19,K341),1)*IF(Upgrades!$T$20="Brown Dwarf",POWER(Upgrades!$U$20,L341),1)*IF(Upgrades!$T$21="Brown Dwarf",POWER(Upgrades!$U$21,M341),1))*POWER(Upgrades!$P$13,E341)*POWER(Upgrades!$P$14,F341)*POWER(Upgrades!$P$15,G341)*POWER(Upgrades!$P$16,H341)*POWER(Upgrades!$P$17,I341)*POWER(Upgrades!$P$18,J341)*POWER(Upgrades!$P$19,K341)*POWER(Upgrades!$P$20,L341)*POWER(Upgrades!$P$21,M341)*$F$6*60</f>
        <v/>
      </c>
      <c r="AF341" s="27" t="n">
        <v>0</v>
      </c>
      <c r="AG341" s="27" t="n">
        <v>0</v>
      </c>
      <c r="AH341" s="27" t="n">
        <v>0</v>
      </c>
      <c r="AI341" s="27">
        <f>(IF(M341=0,0,(Upgrades!$G$21+M341*Upgrades!$H$21)*POWER(Upgrades!$I$21,M341)))*(IF(Upgrades!$T$13="Moving Group",POWER(Upgrades!$U$13,E341),1)*IF(Upgrades!$T$14="Moving Group",POWER(Upgrades!$U$14,F341),1)*IF(Upgrades!$T$15="Moving Group",POWER(Upgrades!$U$15,G341),1)*IF(Upgrades!$T$16="Moving Group",POWER(Upgrades!$U$16,H341),1)*IF(Upgrades!$T$17="Moving Group",POWER(Upgrades!$U$17,I341),1)*IF(Upgrades!$T$18="Moving Group",POWER(Upgrades!$U$18,J341),1)*IF(Upgrades!$T$19="Moving Group",POWER(Upgrades!$U$19,K341),1)*IF(Upgrades!$T$20="Moving Group",POWER(Upgrades!$U$20,L341),1))*POWER(Upgrades!$P$13,E341)*POWER(Upgrades!$P$14,F341)*POWER(Upgrades!$P$15,G341)*POWER(Upgrades!$P$16,H341)*POWER(Upgrades!$P$17,I341)*POWER(Upgrades!$P$18,J341)*POWER(Upgrades!$P$19,K341)*POWER(Upgrades!$P$20,L341)*POWER(Upgrades!$P$21,M341)*$F$6*60</f>
        <v/>
      </c>
      <c r="AJ341" s="27">
        <f>$C$6*60</f>
        <v/>
      </c>
      <c r="AK341" s="22">
        <f>IF(E341&gt;=Upgrades!$E$13,"",Upgrades!$C$13*POWER(Upgrades!$D$13,E341))</f>
        <v/>
      </c>
      <c r="AL341" s="22">
        <f>IF(F341&gt;=Upgrades!$E$14,"",Upgrades!$C$14*POWER(Upgrades!$D$14,F341))</f>
        <v/>
      </c>
      <c r="AM341" s="22">
        <f>IF(G341&gt;=Upgrades!$E$15,"",Upgrades!$C$15*POWER(Upgrades!$D$15,G341))</f>
        <v/>
      </c>
      <c r="AN341" s="22">
        <f>IF(H341&gt;=Upgrades!$E$16,"",Upgrades!$C$16*POWER(Upgrades!$D$16,H341))</f>
        <v/>
      </c>
      <c r="AO341" s="22">
        <f>IF(I341&gt;=Upgrades!$E$17,"",Upgrades!$C$17*POWER(Upgrades!$D$17,I341))</f>
        <v/>
      </c>
      <c r="AP341" s="22">
        <f>IF(J341&gt;=Upgrades!$E$18,"",Upgrades!$C$18*POWER(Upgrades!$D$18,J341))</f>
        <v/>
      </c>
      <c r="AQ341" s="22">
        <f>IF(K341&gt;=Upgrades!$E$19,"",Upgrades!$C$19*POWER(Upgrades!$D$19,K341))</f>
        <v/>
      </c>
      <c r="AR341" s="22">
        <f>IF(L341&gt;=Upgrades!$E$20,"",Upgrades!$C$20*POWER(Upgrades!$D$20,L341))</f>
        <v/>
      </c>
      <c r="AS341" s="22">
        <f>IF(M341&gt;=Upgrades!$E$21,"",Upgrades!$C$21*POWER(Upgrades!$D$21,M341))</f>
        <v/>
      </c>
      <c r="AT341" s="26">
        <f>IF(AND(D341&gt;=Parameters!$B$18*Parameters!$B$19,(I341&gt;=Upgrades!$E$17)*(M341&gt;=Upgrades!$E$21)=1,N341=0),1,"")</f>
        <v/>
      </c>
      <c r="AU341" s="26">
        <f>IF(AND(D341&gt;=Parameters!$B$18*Parameters!$B$19,N341=0),1,"")</f>
        <v/>
      </c>
      <c r="AV341" s="22">
        <f>MIN(IF(ISNUMBER(AP341),AP341,9E15),IF(ISNUMBER(AQ341),AQ341,9E15),IF(ISNUMBER(AR341),AR341,9E15),IF(ISNUMBER(AS341),AS341,9E15))</f>
        <v/>
      </c>
      <c r="AW341" s="22">
        <f>MIN(IF(ISNUMBER(AK341),AK341,9E15),IF(ISNUMBER(AL341),AL341,9E15),IF(ISNUMBER(AM341),AM341,9E15),IF(ISNUMBER(AN341),AN341,9E15),IF(ISNUMBER(AO341),AO341,9E15))</f>
        <v/>
      </c>
      <c r="AX341" s="29">
        <f>IF(BD341&gt;Parameters!$B$21*(MAX(IF(AND(NOT(AND(AU341=1,AT341&lt;&gt;1)),ISNUMBER(AK341),AK341&lt;=(C341+T341)),AY341,0),IF(AND(NOT(AND(AU341=1,AT341&lt;&gt;1)),ISNUMBER(AL341),AL341&lt;=(C341+T341)),AZ341,0),IF(AND(NOT(AND(AU341=1,AT341&lt;&gt;1)),ISNUMBER(AM341),AM341&lt;=(C341+T341)),BA341,0),IF(AND(NOT(AND(AU341=1,AT341&lt;&gt;1)),ISNUMBER(AN341),AN341&lt;=(C341+T341)),BB341,0),IF(AND(ISNUMBER(AO341),AO341&lt;=(C341+T341)),BC341,0))),TRUE,FALSE)</f>
        <v/>
      </c>
      <c r="AY341" s="32">
        <f>IFERROR(Upgrades!$H$13*(POWER(Upgrades!$P$13,E341)*POWER(Upgrades!$P$14,F341)*POWER(Upgrades!$P$15,G341)*POWER(Upgrades!$P$16,H341)*POWER(Upgrades!$P$17,I341)*POWER(Upgrades!$P$18,J341)*POWER(Upgrades!$P$19,K341)*POWER(Upgrades!$P$20,L341)*POWER(Upgrades!$P$21,M341))*(IF(Upgrades!$T$14="Stellar Kinematics",POWER(Upgrades!$U$14,F341),1)*IF(Upgrades!$T$15="Stellar Kinematics",POWER(Upgrades!$U$15,G341),1)*IF(Upgrades!$T$16="Stellar Kinematics",POWER(Upgrades!$U$16,H341),1)*IF(Upgrades!$T$17="Stellar Kinematics",POWER(Upgrades!$U$17,I341),1)*IF(Upgrades!$T$18="Stellar Kinematics",POWER(Upgrades!$U$18,J341),1)*IF(Upgrades!$T$19="Stellar Kinematics",POWER(Upgrades!$U$19,K341),1)*IF(Upgrades!$T$20="Stellar Kinematics",POWER(Upgrades!$U$20,L341),1)*IF(Upgrades!$T$21="Stellar Kinematics",POWER(Upgrades!$U$21,M341),1))*$F$6/AK341,0)</f>
        <v/>
      </c>
      <c r="AZ341" s="32">
        <f>IFERROR(Upgrades!$H$14*(POWER(Upgrades!$P$13,E341)*POWER(Upgrades!$P$14,F341)*POWER(Upgrades!$P$15,G341)*POWER(Upgrades!$P$16,H341)*POWER(Upgrades!$P$17,I341)*POWER(Upgrades!$P$18,J341)*POWER(Upgrades!$P$19,K341)*POWER(Upgrades!$P$20,L341)*POWER(Upgrades!$P$21,M341))*(IF(Upgrades!$T$13="Local Bubble",POWER(Upgrades!$U$13,E341),1)*IF(Upgrades!$T$15="Local Bubble",POWER(Upgrades!$U$15,G341),1)*IF(Upgrades!$T$16="Local Bubble",POWER(Upgrades!$U$16,H341),1)*IF(Upgrades!$T$17="Local Bubble",POWER(Upgrades!$U$17,I341),1)*IF(Upgrades!$T$18="Local Bubble",POWER(Upgrades!$U$18,J341),1)*IF(Upgrades!$T$19="Local Bubble",POWER(Upgrades!$U$19,K341),1)*IF(Upgrades!$T$20="Local Bubble",POWER(Upgrades!$U$20,L341),1)*IF(Upgrades!$T$21="Local Bubble",POWER(Upgrades!$U$21,M341),1))*$F$6/AL341,0)</f>
        <v/>
      </c>
      <c r="BA341" s="32">
        <f>IFERROR(Upgrades!$K$15*(POWER(Upgrades!$Q$13,E341)*POWER(Upgrades!$Q$14,F341)*POWER(Upgrades!$Q$15,G341)*POWER(Upgrades!$Q$16,H341)*POWER(Upgrades!$Q$17,I341)*POWER(Upgrades!$Q$18,J341)*POWER(Upgrades!$Q$19,K341)*POWER(Upgrades!$Q$20,L341)*POWER(Upgrades!$Q$21,M341))*(IF(Upgrades!$T$13="Microlensing",POWER(Upgrades!$U$13,E341),1)*IF(Upgrades!$T$14="Microlensing",POWER(Upgrades!$U$14,F341),1)*IF(Upgrades!$T$16="Microlensing",POWER(Upgrades!$U$16,H341),1)*IF(Upgrades!$T$17="Microlensing",POWER(Upgrades!$U$17,I341),1)*IF(Upgrades!$T$18="Microlensing",POWER(Upgrades!$U$18,J341),1)*IF(Upgrades!$T$19="Microlensing",POWER(Upgrades!$U$19,K341),1)*IF(Upgrades!$T$20="Microlensing",POWER(Upgrades!$U$20,L341),1)*IF(Upgrades!$T$21="Microlensing",POWER(Upgrades!$U$21,M341),1))*$G$6*(Parameters!$B$10/60*Parameters!$B$11+Q341)/AM341,0)</f>
        <v/>
      </c>
      <c r="BB341" s="32">
        <f>IFERROR((Upgrades!$N$16*(POWER(Upgrades!$R$13,E341)*POWER(Upgrades!$R$14,F341)*POWER(Upgrades!$R$15,G341)*POWER(Upgrades!$R$16,H341)*POWER(Upgrades!$R$17,I341)*POWER(Upgrades!$R$18,J341)*POWER(Upgrades!$R$19,K341)*POWER(Upgrades!$R$20,L341)*POWER(Upgrades!$R$21,M341))*(IF(Upgrades!$T$13="Roche Lobe Overflow",POWER(Upgrades!$U$13,E341),1)*IF(Upgrades!$T$14="Roche Lobe Overflow",POWER(Upgrades!$U$14,F341),1)*IF(Upgrades!$T$15="Roche Lobe Overflow",POWER(Upgrades!$U$15,G341),1)*IF(Upgrades!$T$17="Roche Lobe Overflow",POWER(Upgrades!$U$17,I341),1)*IF(Upgrades!$T$18="Roche Lobe Overflow",POWER(Upgrades!$U$18,J341),1)*IF(Upgrades!$T$19="Roche Lobe Overflow",POWER(Upgrades!$U$19,K341),1)*IF(Upgrades!$T$20="Roche Lobe Overflow",POWER(Upgrades!$U$20,L341),1)*IF(Upgrades!$T$21="Roche Lobe Overflow",POWER(Upgrades!$U$21,M341),1))*$H$6*O341+((IF(F341=0,0,(Upgrades!$G$14+F341*Upgrades!$H$14)*POWER(Upgrades!$I$14,F341)))*(IF(Upgrades!$T$13="Local Bubble",POWER(Upgrades!$U$13,E341),1)*IF(Upgrades!$T$15="Local Bubble",POWER(Upgrades!$U$15,G341),1)*IF(Upgrades!$T$16="Local Bubble",POWER(Upgrades!$U$16,H341),1)*IF(Upgrades!$T$17="Local Bubble",POWER(Upgrades!$U$17,I341),1)*IF(Upgrades!$T$18="Local Bubble",POWER(Upgrades!$U$18,J341),1)*IF(Upgrades!$T$19="Local Bubble",POWER(Upgrades!$U$19,K341),1)*IF(Upgrades!$T$20="Local Bubble",POWER(Upgrades!$U$20,L341),1)*IF(Upgrades!$T$21="Local Bubble",POWER(Upgrades!$U$21,M341),1))*POWER(Upgrades!$P$13,E341)*POWER(Upgrades!$P$14,F341)*POWER(Upgrades!$P$15,G341)*POWER(Upgrades!$P$16,H341)*POWER(Upgrades!$P$17,I341)*POWER(Upgrades!$P$18,J341)*POWER(Upgrades!$P$19,K341)*POWER(Upgrades!$P$20,L341)*POWER(Upgrades!$P$21,M341)*$F$6)*0.05)/AN341,0)</f>
        <v/>
      </c>
      <c r="BC341" s="32">
        <f>IFERROR((Upgrades!$H$17*(POWER(Upgrades!$P$13,E341)*POWER(Upgrades!$P$14,F341)*POWER(Upgrades!$P$15,G341)*POWER(Upgrades!$P$16,H341)*POWER(Upgrades!$P$17,I341)*POWER(Upgrades!$P$18,J341)*POWER(Upgrades!$P$19,K341)*POWER(Upgrades!$P$20,L341)*POWER(Upgrades!$P$21,M341))*(IF(Upgrades!$T$13="Brown Dwarf",POWER(Upgrades!$U$13,E341),1)*IF(Upgrades!$T$14="Brown Dwarf",POWER(Upgrades!$U$14,F341),1)*IF(Upgrades!$T$15="Brown Dwarf",POWER(Upgrades!$U$15,G341),1)*IF(Upgrades!$T$16="Brown Dwarf",POWER(Upgrades!$U$16,H341),1)*IF(Upgrades!$T$18="Brown Dwarf",POWER(Upgrades!$U$18,J341),1)*IF(Upgrades!$T$19="Brown Dwarf",POWER(Upgrades!$U$19,K341),1)*IF(Upgrades!$T$20="Brown Dwarf",POWER(Upgrades!$U$20,L341),1)*IF(Upgrades!$T$21="Brown Dwarf",POWER(Upgrades!$U$21,M341),1))*$F$6+(((IF(H341=0,0,(Upgrades!$M$16+H341*Upgrades!$N$16)*POWER(Upgrades!$O$16,H341)))*(IF(Upgrades!$T$13="Roche Lobe Overflow",POWER(Upgrades!$U$13,E341),1)*IF(Upgrades!$T$14="Roche Lobe Overflow",POWER(Upgrades!$U$14,F341),1)*IF(Upgrades!$T$15="Roche Lobe Overflow",POWER(Upgrades!$U$15,G341),1)*IF(Upgrades!$T$17="Roche Lobe Overflow",POWER(Upgrades!$U$17,I341),1)*IF(Upgrades!$T$18="Roche Lobe Overflow",POWER(Upgrades!$U$18,J341),1)*IF(Upgrades!$T$19="Roche Lobe Overflow",POWER(Upgrades!$U$19,K341),1)*IF(Upgrades!$T$20="Roche Lobe Overflow",POWER(Upgrades!$U$20,L341),1)*IF(Upgrades!$T$21="Roche Lobe Overflow",POWER(Upgrades!$U$21,M341),1))*POWER(Upgrades!$R$13,E341)*POWER(Upgrades!$R$14,F341)*POWER(Upgrades!$R$15,G341)*POWER(Upgrades!$R$16,H341)*POWER(Upgrades!$R$17,I341)*POWER(Upgrades!$R$18,J341)*POWER(Upgrades!$R$19,K341)*POWER(Upgrades!$R$20,L341)*POWER(Upgrades!$R$21,M341)*$H$6)*O341)*0.10)/AO341,0)</f>
        <v/>
      </c>
      <c r="BD341" s="32">
        <f>MAX(IF(J341&gt;0,0,IFERROR(0.5*((IF(G341=0,0,(Upgrades!$J$15+G341*Upgrades!$K$15)*POWER(Upgrades!$L$15,G341)))*(IF(Upgrades!$T$13="Microlensing",POWER(Upgrades!$U$13,E341),1)*IF(Upgrades!$T$14="Microlensing",POWER(Upgrades!$U$14,F341),1)*IF(Upgrades!$T$16="Microlensing",POWER(Upgrades!$U$16,H341),1)*IF(Upgrades!$T$17="Microlensing",POWER(Upgrades!$U$17,I341),1)*IF(Upgrades!$T$18="Microlensing",POWER(Upgrades!$U$18,J341),1)*IF(Upgrades!$T$19="Microlensing",POWER(Upgrades!$U$19,K341),1)*IF(Upgrades!$T$20="Microlensing",POWER(Upgrades!$U$20,L341),1)*IF(Upgrades!$T$21="Microlensing",POWER(Upgrades!$U$21,M341),1))*(POWER(Upgrades!$Q$13,E341)*POWER(Upgrades!$Q$14,F341)*POWER(Upgrades!$Q$15,G341)*POWER(Upgrades!$Q$16,H341)*POWER(Upgrades!$Q$17,I341)*POWER(Upgrades!$Q$18,J341)*POWER(Upgrades!$Q$19,K341)*POWER(Upgrades!$Q$20,L341)*POWER(Upgrades!$Q$21,M341))*$G$6*(Parameters!$B$10/60*Parameters!$B$11+Q341))/Upgrades!$C$18,0)),IF(K341&gt;0,0,IFERROR(0.30*P341/Upgrades!$C$19,0)),IF(L341&gt;0,0,IFERROR(0.0001/Upgrades!$C$20,0)),IF(M341&gt;0,0,IFERROR((6.0*(POWER(Upgrades!$P$13,E341)*POWER(Upgrades!$P$14,F341)*POWER(Upgrades!$P$15,G341)*POWER(Upgrades!$P$16,H341)*POWER(Upgrades!$P$17,I341)*POWER(Upgrades!$P$18,J341)*POWER(Upgrades!$P$19,K341)*POWER(Upgrades!$P$20,L341)*POWER(Upgrades!$P$21,M341))*$F$6+0.20*O341*(Parameters!$B$10/60*Parameters!$B$11+Q341))/Upgrades!$C$21,0)),IF(AND(ISNUMBER(AK341),AK341&gt;(C341+T341)),AY341,0),IF(AND(ISNUMBER(AL341),AL341&gt;(C341+T341)),AZ341,0),IF(AND(ISNUMBER(AM341),AM341&gt;(C341+T341)),BA341,0),IF(AND(ISNUMBER(AN341),AN341&gt;(C341+T341)),BB341,0),IF(AND(ISNUMBER(AO341),AO341&gt;(C341+T341)),BC341,0))</f>
        <v/>
      </c>
      <c r="BE341" s="29">
        <f>IF(AT341=1,"transition",IF(MIN(IF(AND(J341=0,ISNUMBER(AP341),AP341&lt;=(C341+T341)),AP341,9E15),IF(AND(K341=0,ISNUMBER(AQ341),AQ341&lt;=(C341+T341)),AQ341,9E15),IF(AND(L341=0,ISNUMBER(AR341),AR341&lt;=(C341+T341)),AR341,9E15),IF(AND(M341=0,ISNUMBER(AS341),AS341&lt;=(C341+T341)),AS341,9E15))&lt;9E15,IF(AND(AND(J341=0,ISNUMBER(AP341),AP341&lt;=(C341+T341)),AP341=MIN(IF(AND(J341=0,ISNUMBER(AP341),AP341&lt;=(C341+T341)),AP341,9E15),IF(AND(K341=0,ISNUMBER(AQ341),AQ341&lt;=(C341+T341)),AQ341,9E15),IF(AND(L341=0,ISNUMBER(AR341),AR341&lt;=(C341+T341)),AR341,9E15),IF(AND(M341=0,ISNUMBER(AS341),AS341&lt;=(C341+T341)),AS341,9E15))),"BiP",IF(AND(AND(K341=0,ISNUMBER(AQ341),AQ341&lt;=(C341+T341)),AQ341=MIN(IF(AND(J341=0,ISNUMBER(AP341),AP341&lt;=(C341+T341)),AP341,9E15),IF(AND(K341=0,ISNUMBER(AQ341),AQ341&lt;=(C341+T341)),AQ341,9E15),IF(AND(L341=0,ISNUMBER(AR341),AR341&lt;=(C341+T341)),AR341,9E15),IF(AND(M341=0,ISNUMBER(AS341),AS341&lt;=(C341+T341)),AS341,9E15))),"PV",IF(AND(AND(L341=0,ISNUMBER(AR341),AR341&lt;=(C341+T341)),AR341=MIN(IF(AND(J341=0,ISNUMBER(AP341),AP341&lt;=(C341+T341)),AP341,9E15),IF(AND(K341=0,ISNUMBER(AQ341),AQ341&lt;=(C341+T341)),AQ341,9E15),IF(AND(L341=0,ISNUMBER(AR341),AR341&lt;=(C341+T341)),AR341,9E15),IF(AND(M341=0,ISNUMBER(AS341),AS341&lt;=(C341+T341)),AS341,9E15))),"OC","MG"))),IF(AX341=TRUE,"",IF(MAX(IF(AND(NOT(AND(AU341=1,AT341&lt;&gt;1)),ISNUMBER(AK341),AK341&lt;=(C341+T341)),AY341,0),IF(AND(NOT(AND(AU341=1,AT341&lt;&gt;1)),ISNUMBER(AL341),AL341&lt;=(C341+T341)),AZ341,0),IF(AND(NOT(AND(AU341=1,AT341&lt;&gt;1)),ISNUMBER(AM341),AM341&lt;=(C341+T341)),BA341,0),IF(AND(NOT(AND(AU341=1,AT341&lt;&gt;1)),ISNUMBER(AN341),AN341&lt;=(C341+T341)),BB341,0),IF(AND(ISNUMBER(AO341),AO341&lt;=(C341+T341)),BC341,0))&lt;=0,"",IF(AND(IF(AND(NOT(AND(AU341=1,AT341&lt;&gt;1)),ISNUMBER(AK341),AK341&lt;=(C341+T341)),AY341,0)&gt;0,IF(AND(NOT(AND(AU341=1,AT341&lt;&gt;1)),ISNUMBER(AK341),AK341&lt;=(C341+T341)),AY341,0)=MAX(IF(AND(NOT(AND(AU341=1,AT341&lt;&gt;1)),ISNUMBER(AK341),AK341&lt;=(C341+T341)),AY341,0),IF(AND(NOT(AND(AU341=1,AT341&lt;&gt;1)),ISNUMBER(AL341),AL341&lt;=(C341+T341)),AZ341,0),IF(AND(NOT(AND(AU341=1,AT341&lt;&gt;1)),ISNUMBER(AM341),AM341&lt;=(C341+T341)),BA341,0),IF(AND(NOT(AND(AU341=1,AT341&lt;&gt;1)),ISNUMBER(AN341),AN341&lt;=(C341+T341)),BB341,0),IF(AND(ISNUMBER(AO341),AO341&lt;=(C341+T341)),BC341,0))),"SK",IF(AND(IF(AND(NOT(AND(AU341=1,AT341&lt;&gt;1)),ISNUMBER(AL341),AL341&lt;=(C341+T341)),AZ341,0)&gt;0,IF(AND(NOT(AND(AU341=1,AT341&lt;&gt;1)),ISNUMBER(AL341),AL341&lt;=(C341+T341)),AZ341,0)=MAX(IF(AND(NOT(AND(AU341=1,AT341&lt;&gt;1)),ISNUMBER(AK341),AK341&lt;=(C341+T341)),AY341,0),IF(AND(NOT(AND(AU341=1,AT341&lt;&gt;1)),ISNUMBER(AL341),AL341&lt;=(C341+T341)),AZ341,0),IF(AND(NOT(AND(AU341=1,AT341&lt;&gt;1)),ISNUMBER(AM341),AM341&lt;=(C341+T341)),BA341,0),IF(AND(NOT(AND(AU341=1,AT341&lt;&gt;1)),ISNUMBER(AN341),AN341&lt;=(C341+T341)),BB341,0),IF(AND(ISNUMBER(AO341),AO341&lt;=(C341+T341)),BC341,0))),"LB",IF(AND(IF(AND(NOT(AND(AU341=1,AT341&lt;&gt;1)),ISNUMBER(AM341),AM341&lt;=(C341+T341)),BA341,0)&gt;0,IF(AND(NOT(AND(AU341=1,AT341&lt;&gt;1)),ISNUMBER(AM341),AM341&lt;=(C341+T341)),BA341,0)=MAX(IF(AND(NOT(AND(AU341=1,AT341&lt;&gt;1)),ISNUMBER(AK341),AK341&lt;=(C341+T341)),AY341,0),IF(AND(NOT(AND(AU341=1,AT341&lt;&gt;1)),ISNUMBER(AL341),AL341&lt;=(C341+T341)),AZ341,0),IF(AND(NOT(AND(AU341=1,AT341&lt;&gt;1)),ISNUMBER(AM341),AM341&lt;=(C341+T341)),BA341,0),IF(AND(NOT(AND(AU341=1,AT341&lt;&gt;1)),ISNUMBER(AN341),AN341&lt;=(C341+T341)),BB341,0),IF(AND(ISNUMBER(AO341),AO341&lt;=(C341+T341)),BC341,0))),"ML",IF(AND(IF(AND(NOT(AND(AU341=1,AT341&lt;&gt;1)),ISNUMBER(AN341),AN341&lt;=(C341+T341)),BB341,0)&gt;0,IF(AND(NOT(AND(AU341=1,AT341&lt;&gt;1)),ISNUMBER(AN341),AN341&lt;=(C341+T341)),BB341,0)=MAX(IF(AND(NOT(AND(AU341=1,AT341&lt;&gt;1)),ISNUMBER(AK341),AK341&lt;=(C341+T341)),AY341,0),IF(AND(NOT(AND(AU341=1,AT341&lt;&gt;1)),ISNUMBER(AL341),AL341&lt;=(C341+T341)),AZ341,0),IF(AND(NOT(AND(AU341=1,AT341&lt;&gt;1)),ISNUMBER(AM341),AM341&lt;=(C341+T341)),BA341,0),IF(AND(NOT(AND(AU341=1,AT341&lt;&gt;1)),ISNUMBER(AN341),AN341&lt;=(C341+T341)),BB341,0),IF(AND(ISNUMBER(AO341),AO341&lt;=(C341+T341)),BC341,0))),"RLO","BD"))))))))</f>
        <v/>
      </c>
    </row>
    <row r="342">
      <c r="A342" s="26" t="n">
        <v>331</v>
      </c>
      <c r="B342" s="27">
        <f>A342*10/60</f>
        <v/>
      </c>
      <c r="C342" s="22">
        <f>X341</f>
        <v/>
      </c>
      <c r="D342" s="27">
        <f>D341+W341</f>
        <v/>
      </c>
      <c r="E342" s="26">
        <f>E341+IF(U341="SK",1,0)</f>
        <v/>
      </c>
      <c r="F342" s="26">
        <f>F341+IF(U341="LB",1,0)</f>
        <v/>
      </c>
      <c r="G342" s="26">
        <f>G341+IF(U341="ML",1,0)</f>
        <v/>
      </c>
      <c r="H342" s="26">
        <f>H341+IF(U341="RLO",1,0)</f>
        <v/>
      </c>
      <c r="I342" s="26">
        <f>I341+IF(U341="BD",1,0)</f>
        <v/>
      </c>
      <c r="J342" s="26">
        <f>MAX(J341,IF(U341="BiP",1,0))</f>
        <v/>
      </c>
      <c r="K342" s="26">
        <f>MAX(K341,IF(U341="PV",1,0))</f>
        <v/>
      </c>
      <c r="L342" s="26">
        <f>MAX(L341,IF(U341="OC",1,0))</f>
        <v/>
      </c>
      <c r="M342" s="26">
        <f>MAX(M341,IF(U341="MG",1,0))</f>
        <v/>
      </c>
      <c r="N342" s="26">
        <f>MAX(N341,IF(U341="transition",1,0))</f>
        <v/>
      </c>
      <c r="O342" s="28">
        <f>(Parameters!$B$9+(IF(E342=0,0,(Upgrades!$J$13+E342*Upgrades!$K$13)*POWER(Upgrades!$L$13,E342)))*(IF(Upgrades!$T$14="Stellar Kinematics",POWER(Upgrades!$U$14,F342),1)*IF(Upgrades!$T$15="Stellar Kinematics",POWER(Upgrades!$U$15,G342),1)*IF(Upgrades!$T$16="Stellar Kinematics",POWER(Upgrades!$U$16,H342),1)*IF(Upgrades!$T$17="Stellar Kinematics",POWER(Upgrades!$U$17,I342),1)*IF(Upgrades!$T$18="Stellar Kinematics",POWER(Upgrades!$U$18,J342),1)*IF(Upgrades!$T$19="Stellar Kinematics",POWER(Upgrades!$U$19,K342),1)*IF(Upgrades!$T$20="Stellar Kinematics",POWER(Upgrades!$U$20,L342),1)*IF(Upgrades!$T$21="Stellar Kinematics",POWER(Upgrades!$U$21,M342),1))+(IF(F342=0,0,(Upgrades!$J$14+F342*Upgrades!$K$14)*POWER(Upgrades!$L$14,F342)))*(IF(Upgrades!$T$13="Local Bubble",POWER(Upgrades!$U$13,E342),1)*IF(Upgrades!$T$15="Local Bubble",POWER(Upgrades!$U$15,G342),1)*IF(Upgrades!$T$16="Local Bubble",POWER(Upgrades!$U$16,H342),1)*IF(Upgrades!$T$17="Local Bubble",POWER(Upgrades!$U$17,I342),1)*IF(Upgrades!$T$18="Local Bubble",POWER(Upgrades!$U$18,J342),1)*IF(Upgrades!$T$19="Local Bubble",POWER(Upgrades!$U$19,K342),1)*IF(Upgrades!$T$20="Local Bubble",POWER(Upgrades!$U$20,L342),1)*IF(Upgrades!$T$21="Local Bubble",POWER(Upgrades!$U$21,M342),1))+(IF(G342=0,0,(Upgrades!$J$15+G342*Upgrades!$K$15)*POWER(Upgrades!$L$15,G342)))*(IF(Upgrades!$T$13="Microlensing",POWER(Upgrades!$U$13,E342),1)*IF(Upgrades!$T$14="Microlensing",POWER(Upgrades!$U$14,F342),1)*IF(Upgrades!$T$16="Microlensing",POWER(Upgrades!$U$16,H342),1)*IF(Upgrades!$T$17="Microlensing",POWER(Upgrades!$U$17,I342),1)*IF(Upgrades!$T$18="Microlensing",POWER(Upgrades!$U$18,J342),1)*IF(Upgrades!$T$19="Microlensing",POWER(Upgrades!$U$19,K342),1)*IF(Upgrades!$T$20="Microlensing",POWER(Upgrades!$U$20,L342),1)*IF(Upgrades!$T$21="Microlensing",POWER(Upgrades!$U$21,M342),1))+(IF(H342=0,0,(Upgrades!$J$16+H342*Upgrades!$K$16)*POWER(Upgrades!$L$16,H342)))*(IF(Upgrades!$T$13="Roche Lobe Overflow",POWER(Upgrades!$U$13,E342),1)*IF(Upgrades!$T$14="Roche Lobe Overflow",POWER(Upgrades!$U$14,F342),1)*IF(Upgrades!$T$15="Roche Lobe Overflow",POWER(Upgrades!$U$15,G342),1)*IF(Upgrades!$T$17="Roche Lobe Overflow",POWER(Upgrades!$U$17,I342),1)*IF(Upgrades!$T$18="Roche Lobe Overflow",POWER(Upgrades!$U$18,J342),1)*IF(Upgrades!$T$19="Roche Lobe Overflow",POWER(Upgrades!$U$19,K342),1)*IF(Upgrades!$T$20="Roche Lobe Overflow",POWER(Upgrades!$U$20,L342),1)*IF(Upgrades!$T$21="Roche Lobe Overflow",POWER(Upgrades!$U$21,M342),1))+(IF(I342=0,0,(Upgrades!$J$17+I342*Upgrades!$K$17)*POWER(Upgrades!$L$17,I342)))*(IF(Upgrades!$T$13="Brown Dwarf",POWER(Upgrades!$U$13,E342),1)*IF(Upgrades!$T$14="Brown Dwarf",POWER(Upgrades!$U$14,F342),1)*IF(Upgrades!$T$15="Brown Dwarf",POWER(Upgrades!$U$15,G342),1)*IF(Upgrades!$T$16="Brown Dwarf",POWER(Upgrades!$U$16,H342),1)*IF(Upgrades!$T$18="Brown Dwarf",POWER(Upgrades!$U$18,J342),1)*IF(Upgrades!$T$19="Brown Dwarf",POWER(Upgrades!$U$19,K342),1)*IF(Upgrades!$T$20="Brown Dwarf",POWER(Upgrades!$U$20,L342),1)*IF(Upgrades!$T$21="Brown Dwarf",POWER(Upgrades!$U$21,M342),1))+(IF(J342=0,0,(Upgrades!$J$18+J342*Upgrades!$K$18)*POWER(Upgrades!$L$18,J342)))*(IF(Upgrades!$T$13="Binary Partner",POWER(Upgrades!$U$13,E342),1)*IF(Upgrades!$T$14="Binary Partner",POWER(Upgrades!$U$14,F342),1)*IF(Upgrades!$T$15="Binary Partner",POWER(Upgrades!$U$15,G342),1)*IF(Upgrades!$T$16="Binary Partner",POWER(Upgrades!$U$16,H342),1)*IF(Upgrades!$T$17="Binary Partner",POWER(Upgrades!$U$17,I342),1)*IF(Upgrades!$T$19="Binary Partner",POWER(Upgrades!$U$19,K342),1)*IF(Upgrades!$T$20="Binary Partner",POWER(Upgrades!$U$20,L342),1)*IF(Upgrades!$T$21="Binary Partner",POWER(Upgrades!$U$21,M342),1))+(IF(K342=0,0,(Upgrades!$J$19+K342*Upgrades!$K$19)*POWER(Upgrades!$L$19,K342)))*(IF(Upgrades!$T$13="Peculiar Velocity",POWER(Upgrades!$U$13,E342),1)*IF(Upgrades!$T$14="Peculiar Velocity",POWER(Upgrades!$U$14,F342),1)*IF(Upgrades!$T$15="Peculiar Velocity",POWER(Upgrades!$U$15,G342),1)*IF(Upgrades!$T$16="Peculiar Velocity",POWER(Upgrades!$U$16,H342),1)*IF(Upgrades!$T$17="Peculiar Velocity",POWER(Upgrades!$U$17,I342),1)*IF(Upgrades!$T$18="Peculiar Velocity",POWER(Upgrades!$U$18,J342),1)*IF(Upgrades!$T$20="Peculiar Velocity",POWER(Upgrades!$U$20,L342),1)*IF(Upgrades!$T$21="Peculiar Velocity",POWER(Upgrades!$U$21,M342),1))+(IF(L342=0,0,(Upgrades!$J$20+L342*Upgrades!$K$20)*POWER(Upgrades!$L$20,L342)))*(IF(Upgrades!$T$13="Open Cluster",POWER(Upgrades!$U$13,E342),1)*IF(Upgrades!$T$14="Open Cluster",POWER(Upgrades!$U$14,F342),1)*IF(Upgrades!$T$15="Open Cluster",POWER(Upgrades!$U$15,G342),1)*IF(Upgrades!$T$16="Open Cluster",POWER(Upgrades!$U$16,H342),1)*IF(Upgrades!$T$17="Open Cluster",POWER(Upgrades!$U$17,I342),1)*IF(Upgrades!$T$18="Open Cluster",POWER(Upgrades!$U$18,J342),1)*IF(Upgrades!$T$19="Open Cluster",POWER(Upgrades!$U$19,K342),1)*IF(Upgrades!$T$21="Open Cluster",POWER(Upgrades!$U$21,M342),1))+(IF(M342=0,0,(Upgrades!$J$21+M342*Upgrades!$K$21)*POWER(Upgrades!$L$21,M342)))*(IF(Upgrades!$T$13="Moving Group",POWER(Upgrades!$U$13,E342),1)*IF(Upgrades!$T$14="Moving Group",POWER(Upgrades!$U$14,F342),1)*IF(Upgrades!$T$15="Moving Group",POWER(Upgrades!$U$15,G342),1)*IF(Upgrades!$T$16="Moving Group",POWER(Upgrades!$U$16,H342),1)*IF(Upgrades!$T$17="Moving Group",POWER(Upgrades!$U$17,I342),1)*IF(Upgrades!$T$18="Moving Group",POWER(Upgrades!$U$18,J342),1)*IF(Upgrades!$T$19="Moving Group",POWER(Upgrades!$U$19,K342),1)*IF(Upgrades!$T$20="Moving Group",POWER(Upgrades!$U$20,L342),1)))*POWER(Upgrades!$Q$13,E342)*POWER(Upgrades!$Q$14,F342)*POWER(Upgrades!$Q$15,G342)*POWER(Upgrades!$Q$16,H342)*POWER(Upgrades!$Q$17,I342)*POWER(Upgrades!$Q$18,J342)*POWER(Upgrades!$Q$19,K342)*POWER(Upgrades!$Q$20,L342)*POWER(Upgrades!$Q$21,M342)*$G$6+$D$6</f>
        <v/>
      </c>
      <c r="P342" s="28">
        <f>((IF(E342=0,0,(Upgrades!$G$13+E342*Upgrades!$H$13)*POWER(Upgrades!$I$13,E342)))*(IF(Upgrades!$T$14="Stellar Kinematics",POWER(Upgrades!$U$14,F342),1)*IF(Upgrades!$T$15="Stellar Kinematics",POWER(Upgrades!$U$15,G342),1)*IF(Upgrades!$T$16="Stellar Kinematics",POWER(Upgrades!$U$16,H342),1)*IF(Upgrades!$T$17="Stellar Kinematics",POWER(Upgrades!$U$17,I342),1)*IF(Upgrades!$T$18="Stellar Kinematics",POWER(Upgrades!$U$18,J342),1)*IF(Upgrades!$T$19="Stellar Kinematics",POWER(Upgrades!$U$19,K342),1)*IF(Upgrades!$T$20="Stellar Kinematics",POWER(Upgrades!$U$20,L342),1)*IF(Upgrades!$T$21="Stellar Kinematics",POWER(Upgrades!$U$21,M342),1))+(IF(F342=0,0,(Upgrades!$G$14+F342*Upgrades!$H$14)*POWER(Upgrades!$I$14,F342)))*(IF(Upgrades!$T$13="Local Bubble",POWER(Upgrades!$U$13,E342),1)*IF(Upgrades!$T$15="Local Bubble",POWER(Upgrades!$U$15,G342),1)*IF(Upgrades!$T$16="Local Bubble",POWER(Upgrades!$U$16,H342),1)*IF(Upgrades!$T$17="Local Bubble",POWER(Upgrades!$U$17,I342),1)*IF(Upgrades!$T$18="Local Bubble",POWER(Upgrades!$U$18,J342),1)*IF(Upgrades!$T$19="Local Bubble",POWER(Upgrades!$U$19,K342),1)*IF(Upgrades!$T$20="Local Bubble",POWER(Upgrades!$U$20,L342),1)*IF(Upgrades!$T$21="Local Bubble",POWER(Upgrades!$U$21,M342),1))+(IF(G342=0,0,(Upgrades!$G$15+G342*Upgrades!$H$15)*POWER(Upgrades!$I$15,G342)))*(IF(Upgrades!$T$13="Microlensing",POWER(Upgrades!$U$13,E342),1)*IF(Upgrades!$T$14="Microlensing",POWER(Upgrades!$U$14,F342),1)*IF(Upgrades!$T$16="Microlensing",POWER(Upgrades!$U$16,H342),1)*IF(Upgrades!$T$17="Microlensing",POWER(Upgrades!$U$17,I342),1)*IF(Upgrades!$T$18="Microlensing",POWER(Upgrades!$U$18,J342),1)*IF(Upgrades!$T$19="Microlensing",POWER(Upgrades!$U$19,K342),1)*IF(Upgrades!$T$20="Microlensing",POWER(Upgrades!$U$20,L342),1)*IF(Upgrades!$T$21="Microlensing",POWER(Upgrades!$U$21,M342),1))+(IF(H342=0,0,(Upgrades!$G$16+H342*Upgrades!$H$16)*POWER(Upgrades!$I$16,H342)))*(IF(Upgrades!$T$13="Roche Lobe Overflow",POWER(Upgrades!$U$13,E342),1)*IF(Upgrades!$T$14="Roche Lobe Overflow",POWER(Upgrades!$U$14,F342),1)*IF(Upgrades!$T$15="Roche Lobe Overflow",POWER(Upgrades!$U$15,G342),1)*IF(Upgrades!$T$17="Roche Lobe Overflow",POWER(Upgrades!$U$17,I342),1)*IF(Upgrades!$T$18="Roche Lobe Overflow",POWER(Upgrades!$U$18,J342),1)*IF(Upgrades!$T$19="Roche Lobe Overflow",POWER(Upgrades!$U$19,K342),1)*IF(Upgrades!$T$20="Roche Lobe Overflow",POWER(Upgrades!$U$20,L342),1)*IF(Upgrades!$T$21="Roche Lobe Overflow",POWER(Upgrades!$U$21,M342),1))+(IF(I342=0,0,(Upgrades!$G$17+I342*Upgrades!$H$17)*POWER(Upgrades!$I$17,I342)))*(IF(Upgrades!$T$13="Brown Dwarf",POWER(Upgrades!$U$13,E342),1)*IF(Upgrades!$T$14="Brown Dwarf",POWER(Upgrades!$U$14,F342),1)*IF(Upgrades!$T$15="Brown Dwarf",POWER(Upgrades!$U$15,G342),1)*IF(Upgrades!$T$16="Brown Dwarf",POWER(Upgrades!$U$16,H342),1)*IF(Upgrades!$T$18="Brown Dwarf",POWER(Upgrades!$U$18,J342),1)*IF(Upgrades!$T$19="Brown Dwarf",POWER(Upgrades!$U$19,K342),1)*IF(Upgrades!$T$20="Brown Dwarf",POWER(Upgrades!$U$20,L342),1)*IF(Upgrades!$T$21="Brown Dwarf",POWER(Upgrades!$U$21,M342),1))+(IF(J342=0,0,(Upgrades!$G$18+J342*Upgrades!$H$18)*POWER(Upgrades!$I$18,J342)))*(IF(Upgrades!$T$13="Binary Partner",POWER(Upgrades!$U$13,E342),1)*IF(Upgrades!$T$14="Binary Partner",POWER(Upgrades!$U$14,F342),1)*IF(Upgrades!$T$15="Binary Partner",POWER(Upgrades!$U$15,G342),1)*IF(Upgrades!$T$16="Binary Partner",POWER(Upgrades!$U$16,H342),1)*IF(Upgrades!$T$17="Binary Partner",POWER(Upgrades!$U$17,I342),1)*IF(Upgrades!$T$19="Binary Partner",POWER(Upgrades!$U$19,K342),1)*IF(Upgrades!$T$20="Binary Partner",POWER(Upgrades!$U$20,L342),1)*IF(Upgrades!$T$21="Binary Partner",POWER(Upgrades!$U$21,M342),1))+(IF(K342=0,0,(Upgrades!$G$19+K342*Upgrades!$H$19)*POWER(Upgrades!$I$19,K342)))*(IF(Upgrades!$T$13="Peculiar Velocity",POWER(Upgrades!$U$13,E342),1)*IF(Upgrades!$T$14="Peculiar Velocity",POWER(Upgrades!$U$14,F342),1)*IF(Upgrades!$T$15="Peculiar Velocity",POWER(Upgrades!$U$15,G342),1)*IF(Upgrades!$T$16="Peculiar Velocity",POWER(Upgrades!$U$16,H342),1)*IF(Upgrades!$T$17="Peculiar Velocity",POWER(Upgrades!$U$17,I342),1)*IF(Upgrades!$T$18="Peculiar Velocity",POWER(Upgrades!$U$18,J342),1)*IF(Upgrades!$T$20="Peculiar Velocity",POWER(Upgrades!$U$20,L342),1)*IF(Upgrades!$T$21="Peculiar Velocity",POWER(Upgrades!$U$21,M342),1))+(IF(L342=0,0,(Upgrades!$G$20+L342*Upgrades!$H$20)*POWER(Upgrades!$I$20,L342)))*(IF(Upgrades!$T$13="Open Cluster",POWER(Upgrades!$U$13,E342),1)*IF(Upgrades!$T$14="Open Cluster",POWER(Upgrades!$U$14,F342),1)*IF(Upgrades!$T$15="Open Cluster",POWER(Upgrades!$U$15,G342),1)*IF(Upgrades!$T$16="Open Cluster",POWER(Upgrades!$U$16,H342),1)*IF(Upgrades!$T$17="Open Cluster",POWER(Upgrades!$U$17,I342),1)*IF(Upgrades!$T$18="Open Cluster",POWER(Upgrades!$U$18,J342),1)*IF(Upgrades!$T$19="Open Cluster",POWER(Upgrades!$U$19,K342),1)*IF(Upgrades!$T$21="Open Cluster",POWER(Upgrades!$U$21,M342),1))+(IF(M342=0,0,(Upgrades!$G$21+M342*Upgrades!$H$21)*POWER(Upgrades!$I$21,M342)))*(IF(Upgrades!$T$13="Moving Group",POWER(Upgrades!$U$13,E342),1)*IF(Upgrades!$T$14="Moving Group",POWER(Upgrades!$U$14,F342),1)*IF(Upgrades!$T$15="Moving Group",POWER(Upgrades!$U$15,G342),1)*IF(Upgrades!$T$16="Moving Group",POWER(Upgrades!$U$16,H342),1)*IF(Upgrades!$T$17="Moving Group",POWER(Upgrades!$U$17,I342),1)*IF(Upgrades!$T$18="Moving Group",POWER(Upgrades!$U$18,J342),1)*IF(Upgrades!$T$19="Moving Group",POWER(Upgrades!$U$19,K342),1)*IF(Upgrades!$T$20="Moving Group",POWER(Upgrades!$U$20,L342),1)))*POWER(Upgrades!$P$13,E342)*POWER(Upgrades!$P$14,F342)*POWER(Upgrades!$P$15,G342)*POWER(Upgrades!$P$16,H342)*POWER(Upgrades!$P$17,I342)*POWER(Upgrades!$P$18,J342)*POWER(Upgrades!$P$19,K342)*POWER(Upgrades!$P$20,L342)*POWER(Upgrades!$P$21,M342)*$F$6+$C$6</f>
        <v/>
      </c>
      <c r="Q342" s="28">
        <f>((IF(E342=0,0,(Upgrades!$M$13+E342*Upgrades!$N$13)*POWER(Upgrades!$O$13,E342)))*(IF(Upgrades!$T$14="Stellar Kinematics",POWER(Upgrades!$U$14,F342),1)*IF(Upgrades!$T$15="Stellar Kinematics",POWER(Upgrades!$U$15,G342),1)*IF(Upgrades!$T$16="Stellar Kinematics",POWER(Upgrades!$U$16,H342),1)*IF(Upgrades!$T$17="Stellar Kinematics",POWER(Upgrades!$U$17,I342),1)*IF(Upgrades!$T$18="Stellar Kinematics",POWER(Upgrades!$U$18,J342),1)*IF(Upgrades!$T$19="Stellar Kinematics",POWER(Upgrades!$U$19,K342),1)*IF(Upgrades!$T$20="Stellar Kinematics",POWER(Upgrades!$U$20,L342),1)*IF(Upgrades!$T$21="Stellar Kinematics",POWER(Upgrades!$U$21,M342),1))+(IF(F342=0,0,(Upgrades!$M$14+F342*Upgrades!$N$14)*POWER(Upgrades!$O$14,F342)))*(IF(Upgrades!$T$13="Local Bubble",POWER(Upgrades!$U$13,E342),1)*IF(Upgrades!$T$15="Local Bubble",POWER(Upgrades!$U$15,G342),1)*IF(Upgrades!$T$16="Local Bubble",POWER(Upgrades!$U$16,H342),1)*IF(Upgrades!$T$17="Local Bubble",POWER(Upgrades!$U$17,I342),1)*IF(Upgrades!$T$18="Local Bubble",POWER(Upgrades!$U$18,J342),1)*IF(Upgrades!$T$19="Local Bubble",POWER(Upgrades!$U$19,K342),1)*IF(Upgrades!$T$20="Local Bubble",POWER(Upgrades!$U$20,L342),1)*IF(Upgrades!$T$21="Local Bubble",POWER(Upgrades!$U$21,M342),1))+(IF(G342=0,0,(Upgrades!$M$15+G342*Upgrades!$N$15)*POWER(Upgrades!$O$15,G342)))*(IF(Upgrades!$T$13="Microlensing",POWER(Upgrades!$U$13,E342),1)*IF(Upgrades!$T$14="Microlensing",POWER(Upgrades!$U$14,F342),1)*IF(Upgrades!$T$16="Microlensing",POWER(Upgrades!$U$16,H342),1)*IF(Upgrades!$T$17="Microlensing",POWER(Upgrades!$U$17,I342),1)*IF(Upgrades!$T$18="Microlensing",POWER(Upgrades!$U$18,J342),1)*IF(Upgrades!$T$19="Microlensing",POWER(Upgrades!$U$19,K342),1)*IF(Upgrades!$T$20="Microlensing",POWER(Upgrades!$U$20,L342),1)*IF(Upgrades!$T$21="Microlensing",POWER(Upgrades!$U$21,M342),1))+(IF(H342=0,0,(Upgrades!$M$16+H342*Upgrades!$N$16)*POWER(Upgrades!$O$16,H342)))*(IF(Upgrades!$T$13="Roche Lobe Overflow",POWER(Upgrades!$U$13,E342),1)*IF(Upgrades!$T$14="Roche Lobe Overflow",POWER(Upgrades!$U$14,F342),1)*IF(Upgrades!$T$15="Roche Lobe Overflow",POWER(Upgrades!$U$15,G342),1)*IF(Upgrades!$T$17="Roche Lobe Overflow",POWER(Upgrades!$U$17,I342),1)*IF(Upgrades!$T$18="Roche Lobe Overflow",POWER(Upgrades!$U$18,J342),1)*IF(Upgrades!$T$19="Roche Lobe Overflow",POWER(Upgrades!$U$19,K342),1)*IF(Upgrades!$T$20="Roche Lobe Overflow",POWER(Upgrades!$U$20,L342),1)*IF(Upgrades!$T$21="Roche Lobe Overflow",POWER(Upgrades!$U$21,M342),1))+(IF(I342=0,0,(Upgrades!$M$17+I342*Upgrades!$N$17)*POWER(Upgrades!$O$17,I342)))*(IF(Upgrades!$T$13="Brown Dwarf",POWER(Upgrades!$U$13,E342),1)*IF(Upgrades!$T$14="Brown Dwarf",POWER(Upgrades!$U$14,F342),1)*IF(Upgrades!$T$15="Brown Dwarf",POWER(Upgrades!$U$15,G342),1)*IF(Upgrades!$T$16="Brown Dwarf",POWER(Upgrades!$U$16,H342),1)*IF(Upgrades!$T$18="Brown Dwarf",POWER(Upgrades!$U$18,J342),1)*IF(Upgrades!$T$19="Brown Dwarf",POWER(Upgrades!$U$19,K342),1)*IF(Upgrades!$T$20="Brown Dwarf",POWER(Upgrades!$U$20,L342),1)*IF(Upgrades!$T$21="Brown Dwarf",POWER(Upgrades!$U$21,M342),1))+(IF(J342=0,0,(Upgrades!$M$18+J342*Upgrades!$N$18)*POWER(Upgrades!$O$18,J342)))*(IF(Upgrades!$T$13="Binary Partner",POWER(Upgrades!$U$13,E342),1)*IF(Upgrades!$T$14="Binary Partner",POWER(Upgrades!$U$14,F342),1)*IF(Upgrades!$T$15="Binary Partner",POWER(Upgrades!$U$15,G342),1)*IF(Upgrades!$T$16="Binary Partner",POWER(Upgrades!$U$16,H342),1)*IF(Upgrades!$T$17="Binary Partner",POWER(Upgrades!$U$17,I342),1)*IF(Upgrades!$T$19="Binary Partner",POWER(Upgrades!$U$19,K342),1)*IF(Upgrades!$T$20="Binary Partner",POWER(Upgrades!$U$20,L342),1)*IF(Upgrades!$T$21="Binary Partner",POWER(Upgrades!$U$21,M342),1))+(IF(K342=0,0,(Upgrades!$M$19+K342*Upgrades!$N$19)*POWER(Upgrades!$O$19,K342)))*(IF(Upgrades!$T$13="Peculiar Velocity",POWER(Upgrades!$U$13,E342),1)*IF(Upgrades!$T$14="Peculiar Velocity",POWER(Upgrades!$U$14,F342),1)*IF(Upgrades!$T$15="Peculiar Velocity",POWER(Upgrades!$U$15,G342),1)*IF(Upgrades!$T$16="Peculiar Velocity",POWER(Upgrades!$U$16,H342),1)*IF(Upgrades!$T$17="Peculiar Velocity",POWER(Upgrades!$U$17,I342),1)*IF(Upgrades!$T$18="Peculiar Velocity",POWER(Upgrades!$U$18,J342),1)*IF(Upgrades!$T$20="Peculiar Velocity",POWER(Upgrades!$U$20,L342),1)*IF(Upgrades!$T$21="Peculiar Velocity",POWER(Upgrades!$U$21,M342),1))+(IF(L342=0,0,(Upgrades!$M$20+L342*Upgrades!$N$20)*POWER(Upgrades!$O$20,L342)))*(IF(Upgrades!$T$13="Open Cluster",POWER(Upgrades!$U$13,E342),1)*IF(Upgrades!$T$14="Open Cluster",POWER(Upgrades!$U$14,F342),1)*IF(Upgrades!$T$15="Open Cluster",POWER(Upgrades!$U$15,G342),1)*IF(Upgrades!$T$16="Open Cluster",POWER(Upgrades!$U$16,H342),1)*IF(Upgrades!$T$17="Open Cluster",POWER(Upgrades!$U$17,I342),1)*IF(Upgrades!$T$18="Open Cluster",POWER(Upgrades!$U$18,J342),1)*IF(Upgrades!$T$19="Open Cluster",POWER(Upgrades!$U$19,K342),1)*IF(Upgrades!$T$21="Open Cluster",POWER(Upgrades!$U$21,M342),1))+(IF(M342=0,0,(Upgrades!$M$21+M342*Upgrades!$N$21)*POWER(Upgrades!$O$21,M342)))*(IF(Upgrades!$T$13="Moving Group",POWER(Upgrades!$U$13,E342),1)*IF(Upgrades!$T$14="Moving Group",POWER(Upgrades!$U$14,F342),1)*IF(Upgrades!$T$15="Moving Group",POWER(Upgrades!$U$15,G342),1)*IF(Upgrades!$T$16="Moving Group",POWER(Upgrades!$U$16,H342),1)*IF(Upgrades!$T$17="Moving Group",POWER(Upgrades!$U$17,I342),1)*IF(Upgrades!$T$18="Moving Group",POWER(Upgrades!$U$18,J342),1)*IF(Upgrades!$T$19="Moving Group",POWER(Upgrades!$U$19,K342),1)*IF(Upgrades!$T$20="Moving Group",POWER(Upgrades!$U$20,L342),1)))*POWER(Upgrades!$R$13,E342)*POWER(Upgrades!$R$14,F342)*POWER(Upgrades!$R$15,G342)*POWER(Upgrades!$R$16,H342)*POWER(Upgrades!$R$17,I342)*POWER(Upgrades!$R$18,J342)*POWER(Upgrades!$R$19,K342)*POWER(Upgrades!$R$20,L342)*POWER(Upgrades!$R$21,M342)*$H$6+$E$6</f>
        <v/>
      </c>
      <c r="R342" s="27">
        <f>IF(N342=1,0,O342*Parameters!$B$10/60*Parameters!$B$11*10)</f>
        <v/>
      </c>
      <c r="S342" s="27">
        <f>IF(N342=1,0,Q342*O342*10)</f>
        <v/>
      </c>
      <c r="T342" s="27">
        <f>IF(N342=1,0,R342+S342+P342*10)</f>
        <v/>
      </c>
      <c r="U342" s="33">
        <f>BE342</f>
        <v/>
      </c>
      <c r="V342" s="22">
        <f>IF(U342="",0,IF(U342="transition",0,IF(U342="SK",AK342,IF(U342="LB",AL342,IF(U342="ML",AM342,IF(U342="RLO",AN342,IF(U342="BD",AO342,IF(U342="BiP",AP342,IF(U342="PV",AQ342,IF(U342="OC",AR342,IF(U342="MG",AS342,0))))))))))</f>
        <v/>
      </c>
      <c r="W342" s="27">
        <f>IF(U342="BiP",Upgrades!$F$18,IF(U342="PV",Upgrades!$F$19,IF(U342="OC",Upgrades!$F$20,IF(U342="MG",Upgrades!$F$21,IF(U342="transition",-Parameters!$B$18*Parameters!$B$19,0)))))</f>
        <v/>
      </c>
      <c r="X342" s="22">
        <f>C342+T342-V342</f>
        <v/>
      </c>
      <c r="Y342" s="30">
        <f>O342*Parameters!$B$10/60*Parameters!$B$11+Q342*O342+P342</f>
        <v/>
      </c>
      <c r="Z342" s="34">
        <f>IF(U342="transition","→ Tier 3 (Galactic Arm)",IF(U342="MG","Moving Group — pocket drifts together",IF(U342="OC","Open Cluster acquired",IF(U342="PV","Peculiar Velocity — passive multiplier active",IF(U342="BiP","Binary Partner — pair bond formed",IF(AND(AU342=1,N342=0,AT342&lt;&gt;1),"Cohesion ready (waiting on completionists)","")))))) </f>
        <v/>
      </c>
      <c r="AA342" s="27">
        <f>(IF(E342=0,0,(Upgrades!$G$13+E342*Upgrades!$H$13)*POWER(Upgrades!$I$13,E342)))*(IF(Upgrades!$T$14="Stellar Kinematics",POWER(Upgrades!$U$14,F342),1)*IF(Upgrades!$T$15="Stellar Kinematics",POWER(Upgrades!$U$15,G342),1)*IF(Upgrades!$T$16="Stellar Kinematics",POWER(Upgrades!$U$16,H342),1)*IF(Upgrades!$T$17="Stellar Kinematics",POWER(Upgrades!$U$17,I342),1)*IF(Upgrades!$T$18="Stellar Kinematics",POWER(Upgrades!$U$18,J342),1)*IF(Upgrades!$T$19="Stellar Kinematics",POWER(Upgrades!$U$19,K342),1)*IF(Upgrades!$T$20="Stellar Kinematics",POWER(Upgrades!$U$20,L342),1)*IF(Upgrades!$T$21="Stellar Kinematics",POWER(Upgrades!$U$21,M342),1))*POWER(Upgrades!$P$13,E342)*POWER(Upgrades!$P$14,F342)*POWER(Upgrades!$P$15,G342)*POWER(Upgrades!$P$16,H342)*POWER(Upgrades!$P$17,I342)*POWER(Upgrades!$P$18,J342)*POWER(Upgrades!$P$19,K342)*POWER(Upgrades!$P$20,L342)*POWER(Upgrades!$P$21,M342)*$F$6*60</f>
        <v/>
      </c>
      <c r="AB342" s="27">
        <f>(IF(F342=0,0,(Upgrades!$G$14+F342*Upgrades!$H$14)*POWER(Upgrades!$I$14,F342)))*(IF(Upgrades!$T$13="Local Bubble",POWER(Upgrades!$U$13,E342),1)*IF(Upgrades!$T$15="Local Bubble",POWER(Upgrades!$U$15,G342),1)*IF(Upgrades!$T$16="Local Bubble",POWER(Upgrades!$U$16,H342),1)*IF(Upgrades!$T$17="Local Bubble",POWER(Upgrades!$U$17,I342),1)*IF(Upgrades!$T$18="Local Bubble",POWER(Upgrades!$U$18,J342),1)*IF(Upgrades!$T$19="Local Bubble",POWER(Upgrades!$U$19,K342),1)*IF(Upgrades!$T$20="Local Bubble",POWER(Upgrades!$U$20,L342),1)*IF(Upgrades!$T$21="Local Bubble",POWER(Upgrades!$U$21,M342),1))*POWER(Upgrades!$P$13,E342)*POWER(Upgrades!$P$14,F342)*POWER(Upgrades!$P$15,G342)*POWER(Upgrades!$P$16,H342)*POWER(Upgrades!$P$17,I342)*POWER(Upgrades!$P$18,J342)*POWER(Upgrades!$P$19,K342)*POWER(Upgrades!$P$20,L342)*POWER(Upgrades!$P$21,M342)*$F$6*60</f>
        <v/>
      </c>
      <c r="AC342" s="27">
        <f>(IF(G342=0,0,(Upgrades!$J$15+G342*Upgrades!$K$15)*POWER(Upgrades!$L$15,G342)))*(IF(Upgrades!$T$13="Microlensing",POWER(Upgrades!$U$13,E342),1)*IF(Upgrades!$T$14="Microlensing",POWER(Upgrades!$U$14,F342),1)*IF(Upgrades!$T$16="Microlensing",POWER(Upgrades!$U$16,H342),1)*IF(Upgrades!$T$17="Microlensing",POWER(Upgrades!$U$17,I342),1)*IF(Upgrades!$T$18="Microlensing",POWER(Upgrades!$U$18,J342),1)*IF(Upgrades!$T$19="Microlensing",POWER(Upgrades!$U$19,K342),1)*IF(Upgrades!$T$20="Microlensing",POWER(Upgrades!$U$20,L342),1)*IF(Upgrades!$T$21="Microlensing",POWER(Upgrades!$U$21,M342),1))*POWER(Upgrades!$Q$13,E342)*POWER(Upgrades!$Q$14,F342)*POWER(Upgrades!$Q$15,G342)*POWER(Upgrades!$Q$16,H342)*POWER(Upgrades!$Q$17,I342)*POWER(Upgrades!$Q$18,J342)*POWER(Upgrades!$Q$19,K342)*POWER(Upgrades!$Q$20,L342)*POWER(Upgrades!$Q$21,M342)*$G$6*(Parameters!$B$10*Parameters!$B$11+Q342*60)</f>
        <v/>
      </c>
      <c r="AD342" s="27">
        <f>(IF(H342=0,0,(Upgrades!$M$16+H342*Upgrades!$N$16)*POWER(Upgrades!$O$16,H342)))*(IF(Upgrades!$T$13="Roche Lobe Overflow",POWER(Upgrades!$U$13,E342),1)*IF(Upgrades!$T$14="Roche Lobe Overflow",POWER(Upgrades!$U$14,F342),1)*IF(Upgrades!$T$15="Roche Lobe Overflow",POWER(Upgrades!$U$15,G342),1)*IF(Upgrades!$T$17="Roche Lobe Overflow",POWER(Upgrades!$U$17,I342),1)*IF(Upgrades!$T$18="Roche Lobe Overflow",POWER(Upgrades!$U$18,J342),1)*IF(Upgrades!$T$19="Roche Lobe Overflow",POWER(Upgrades!$U$19,K342),1)*IF(Upgrades!$T$20="Roche Lobe Overflow",POWER(Upgrades!$U$20,L342),1)*IF(Upgrades!$T$21="Roche Lobe Overflow",POWER(Upgrades!$U$21,M342),1))*POWER(Upgrades!$R$13,E342)*POWER(Upgrades!$R$14,F342)*POWER(Upgrades!$R$15,G342)*POWER(Upgrades!$R$16,H342)*POWER(Upgrades!$R$17,I342)*POWER(Upgrades!$R$18,J342)*POWER(Upgrades!$R$19,K342)*POWER(Upgrades!$R$20,L342)*POWER(Upgrades!$R$21,M342)*$H$6*O342*60</f>
        <v/>
      </c>
      <c r="AE342" s="27">
        <f>(IF(I342=0,0,(Upgrades!$G$17+I342*Upgrades!$H$17)*POWER(Upgrades!$I$17,I342)))*(IF(Upgrades!$T$13="Brown Dwarf",POWER(Upgrades!$U$13,E342),1)*IF(Upgrades!$T$14="Brown Dwarf",POWER(Upgrades!$U$14,F342),1)*IF(Upgrades!$T$15="Brown Dwarf",POWER(Upgrades!$U$15,G342),1)*IF(Upgrades!$T$16="Brown Dwarf",POWER(Upgrades!$U$16,H342),1)*IF(Upgrades!$T$18="Brown Dwarf",POWER(Upgrades!$U$18,J342),1)*IF(Upgrades!$T$19="Brown Dwarf",POWER(Upgrades!$U$19,K342),1)*IF(Upgrades!$T$20="Brown Dwarf",POWER(Upgrades!$U$20,L342),1)*IF(Upgrades!$T$21="Brown Dwarf",POWER(Upgrades!$U$21,M342),1))*POWER(Upgrades!$P$13,E342)*POWER(Upgrades!$P$14,F342)*POWER(Upgrades!$P$15,G342)*POWER(Upgrades!$P$16,H342)*POWER(Upgrades!$P$17,I342)*POWER(Upgrades!$P$18,J342)*POWER(Upgrades!$P$19,K342)*POWER(Upgrades!$P$20,L342)*POWER(Upgrades!$P$21,M342)*$F$6*60</f>
        <v/>
      </c>
      <c r="AF342" s="27" t="n">
        <v>0</v>
      </c>
      <c r="AG342" s="27" t="n">
        <v>0</v>
      </c>
      <c r="AH342" s="27" t="n">
        <v>0</v>
      </c>
      <c r="AI342" s="27">
        <f>(IF(M342=0,0,(Upgrades!$G$21+M342*Upgrades!$H$21)*POWER(Upgrades!$I$21,M342)))*(IF(Upgrades!$T$13="Moving Group",POWER(Upgrades!$U$13,E342),1)*IF(Upgrades!$T$14="Moving Group",POWER(Upgrades!$U$14,F342),1)*IF(Upgrades!$T$15="Moving Group",POWER(Upgrades!$U$15,G342),1)*IF(Upgrades!$T$16="Moving Group",POWER(Upgrades!$U$16,H342),1)*IF(Upgrades!$T$17="Moving Group",POWER(Upgrades!$U$17,I342),1)*IF(Upgrades!$T$18="Moving Group",POWER(Upgrades!$U$18,J342),1)*IF(Upgrades!$T$19="Moving Group",POWER(Upgrades!$U$19,K342),1)*IF(Upgrades!$T$20="Moving Group",POWER(Upgrades!$U$20,L342),1))*POWER(Upgrades!$P$13,E342)*POWER(Upgrades!$P$14,F342)*POWER(Upgrades!$P$15,G342)*POWER(Upgrades!$P$16,H342)*POWER(Upgrades!$P$17,I342)*POWER(Upgrades!$P$18,J342)*POWER(Upgrades!$P$19,K342)*POWER(Upgrades!$P$20,L342)*POWER(Upgrades!$P$21,M342)*$F$6*60</f>
        <v/>
      </c>
      <c r="AJ342" s="27">
        <f>$C$6*60</f>
        <v/>
      </c>
      <c r="AK342" s="22">
        <f>IF(E342&gt;=Upgrades!$E$13,"",Upgrades!$C$13*POWER(Upgrades!$D$13,E342))</f>
        <v/>
      </c>
      <c r="AL342" s="22">
        <f>IF(F342&gt;=Upgrades!$E$14,"",Upgrades!$C$14*POWER(Upgrades!$D$14,F342))</f>
        <v/>
      </c>
      <c r="AM342" s="22">
        <f>IF(G342&gt;=Upgrades!$E$15,"",Upgrades!$C$15*POWER(Upgrades!$D$15,G342))</f>
        <v/>
      </c>
      <c r="AN342" s="22">
        <f>IF(H342&gt;=Upgrades!$E$16,"",Upgrades!$C$16*POWER(Upgrades!$D$16,H342))</f>
        <v/>
      </c>
      <c r="AO342" s="22">
        <f>IF(I342&gt;=Upgrades!$E$17,"",Upgrades!$C$17*POWER(Upgrades!$D$17,I342))</f>
        <v/>
      </c>
      <c r="AP342" s="22">
        <f>IF(J342&gt;=Upgrades!$E$18,"",Upgrades!$C$18*POWER(Upgrades!$D$18,J342))</f>
        <v/>
      </c>
      <c r="AQ342" s="22">
        <f>IF(K342&gt;=Upgrades!$E$19,"",Upgrades!$C$19*POWER(Upgrades!$D$19,K342))</f>
        <v/>
      </c>
      <c r="AR342" s="22">
        <f>IF(L342&gt;=Upgrades!$E$20,"",Upgrades!$C$20*POWER(Upgrades!$D$20,L342))</f>
        <v/>
      </c>
      <c r="AS342" s="22">
        <f>IF(M342&gt;=Upgrades!$E$21,"",Upgrades!$C$21*POWER(Upgrades!$D$21,M342))</f>
        <v/>
      </c>
      <c r="AT342" s="26">
        <f>IF(AND(D342&gt;=Parameters!$B$18*Parameters!$B$19,(I342&gt;=Upgrades!$E$17)*(M342&gt;=Upgrades!$E$21)=1,N342=0),1,"")</f>
        <v/>
      </c>
      <c r="AU342" s="26">
        <f>IF(AND(D342&gt;=Parameters!$B$18*Parameters!$B$19,N342=0),1,"")</f>
        <v/>
      </c>
      <c r="AV342" s="22">
        <f>MIN(IF(ISNUMBER(AP342),AP342,9E15),IF(ISNUMBER(AQ342),AQ342,9E15),IF(ISNUMBER(AR342),AR342,9E15),IF(ISNUMBER(AS342),AS342,9E15))</f>
        <v/>
      </c>
      <c r="AW342" s="22">
        <f>MIN(IF(ISNUMBER(AK342),AK342,9E15),IF(ISNUMBER(AL342),AL342,9E15),IF(ISNUMBER(AM342),AM342,9E15),IF(ISNUMBER(AN342),AN342,9E15),IF(ISNUMBER(AO342),AO342,9E15))</f>
        <v/>
      </c>
      <c r="AX342" s="29">
        <f>IF(BD342&gt;Parameters!$B$21*(MAX(IF(AND(NOT(AND(AU342=1,AT342&lt;&gt;1)),ISNUMBER(AK342),AK342&lt;=(C342+T342)),AY342,0),IF(AND(NOT(AND(AU342=1,AT342&lt;&gt;1)),ISNUMBER(AL342),AL342&lt;=(C342+T342)),AZ342,0),IF(AND(NOT(AND(AU342=1,AT342&lt;&gt;1)),ISNUMBER(AM342),AM342&lt;=(C342+T342)),BA342,0),IF(AND(NOT(AND(AU342=1,AT342&lt;&gt;1)),ISNUMBER(AN342),AN342&lt;=(C342+T342)),BB342,0),IF(AND(ISNUMBER(AO342),AO342&lt;=(C342+T342)),BC342,0))),TRUE,FALSE)</f>
        <v/>
      </c>
      <c r="AY342" s="32">
        <f>IFERROR(Upgrades!$H$13*(POWER(Upgrades!$P$13,E342)*POWER(Upgrades!$P$14,F342)*POWER(Upgrades!$P$15,G342)*POWER(Upgrades!$P$16,H342)*POWER(Upgrades!$P$17,I342)*POWER(Upgrades!$P$18,J342)*POWER(Upgrades!$P$19,K342)*POWER(Upgrades!$P$20,L342)*POWER(Upgrades!$P$21,M342))*(IF(Upgrades!$T$14="Stellar Kinematics",POWER(Upgrades!$U$14,F342),1)*IF(Upgrades!$T$15="Stellar Kinematics",POWER(Upgrades!$U$15,G342),1)*IF(Upgrades!$T$16="Stellar Kinematics",POWER(Upgrades!$U$16,H342),1)*IF(Upgrades!$T$17="Stellar Kinematics",POWER(Upgrades!$U$17,I342),1)*IF(Upgrades!$T$18="Stellar Kinematics",POWER(Upgrades!$U$18,J342),1)*IF(Upgrades!$T$19="Stellar Kinematics",POWER(Upgrades!$U$19,K342),1)*IF(Upgrades!$T$20="Stellar Kinematics",POWER(Upgrades!$U$20,L342),1)*IF(Upgrades!$T$21="Stellar Kinematics",POWER(Upgrades!$U$21,M342),1))*$F$6/AK342,0)</f>
        <v/>
      </c>
      <c r="AZ342" s="32">
        <f>IFERROR(Upgrades!$H$14*(POWER(Upgrades!$P$13,E342)*POWER(Upgrades!$P$14,F342)*POWER(Upgrades!$P$15,G342)*POWER(Upgrades!$P$16,H342)*POWER(Upgrades!$P$17,I342)*POWER(Upgrades!$P$18,J342)*POWER(Upgrades!$P$19,K342)*POWER(Upgrades!$P$20,L342)*POWER(Upgrades!$P$21,M342))*(IF(Upgrades!$T$13="Local Bubble",POWER(Upgrades!$U$13,E342),1)*IF(Upgrades!$T$15="Local Bubble",POWER(Upgrades!$U$15,G342),1)*IF(Upgrades!$T$16="Local Bubble",POWER(Upgrades!$U$16,H342),1)*IF(Upgrades!$T$17="Local Bubble",POWER(Upgrades!$U$17,I342),1)*IF(Upgrades!$T$18="Local Bubble",POWER(Upgrades!$U$18,J342),1)*IF(Upgrades!$T$19="Local Bubble",POWER(Upgrades!$U$19,K342),1)*IF(Upgrades!$T$20="Local Bubble",POWER(Upgrades!$U$20,L342),1)*IF(Upgrades!$T$21="Local Bubble",POWER(Upgrades!$U$21,M342),1))*$F$6/AL342,0)</f>
        <v/>
      </c>
      <c r="BA342" s="32">
        <f>IFERROR(Upgrades!$K$15*(POWER(Upgrades!$Q$13,E342)*POWER(Upgrades!$Q$14,F342)*POWER(Upgrades!$Q$15,G342)*POWER(Upgrades!$Q$16,H342)*POWER(Upgrades!$Q$17,I342)*POWER(Upgrades!$Q$18,J342)*POWER(Upgrades!$Q$19,K342)*POWER(Upgrades!$Q$20,L342)*POWER(Upgrades!$Q$21,M342))*(IF(Upgrades!$T$13="Microlensing",POWER(Upgrades!$U$13,E342),1)*IF(Upgrades!$T$14="Microlensing",POWER(Upgrades!$U$14,F342),1)*IF(Upgrades!$T$16="Microlensing",POWER(Upgrades!$U$16,H342),1)*IF(Upgrades!$T$17="Microlensing",POWER(Upgrades!$U$17,I342),1)*IF(Upgrades!$T$18="Microlensing",POWER(Upgrades!$U$18,J342),1)*IF(Upgrades!$T$19="Microlensing",POWER(Upgrades!$U$19,K342),1)*IF(Upgrades!$T$20="Microlensing",POWER(Upgrades!$U$20,L342),1)*IF(Upgrades!$T$21="Microlensing",POWER(Upgrades!$U$21,M342),1))*$G$6*(Parameters!$B$10/60*Parameters!$B$11+Q342)/AM342,0)</f>
        <v/>
      </c>
      <c r="BB342" s="32">
        <f>IFERROR((Upgrades!$N$16*(POWER(Upgrades!$R$13,E342)*POWER(Upgrades!$R$14,F342)*POWER(Upgrades!$R$15,G342)*POWER(Upgrades!$R$16,H342)*POWER(Upgrades!$R$17,I342)*POWER(Upgrades!$R$18,J342)*POWER(Upgrades!$R$19,K342)*POWER(Upgrades!$R$20,L342)*POWER(Upgrades!$R$21,M342))*(IF(Upgrades!$T$13="Roche Lobe Overflow",POWER(Upgrades!$U$13,E342),1)*IF(Upgrades!$T$14="Roche Lobe Overflow",POWER(Upgrades!$U$14,F342),1)*IF(Upgrades!$T$15="Roche Lobe Overflow",POWER(Upgrades!$U$15,G342),1)*IF(Upgrades!$T$17="Roche Lobe Overflow",POWER(Upgrades!$U$17,I342),1)*IF(Upgrades!$T$18="Roche Lobe Overflow",POWER(Upgrades!$U$18,J342),1)*IF(Upgrades!$T$19="Roche Lobe Overflow",POWER(Upgrades!$U$19,K342),1)*IF(Upgrades!$T$20="Roche Lobe Overflow",POWER(Upgrades!$U$20,L342),1)*IF(Upgrades!$T$21="Roche Lobe Overflow",POWER(Upgrades!$U$21,M342),1))*$H$6*O342+((IF(F342=0,0,(Upgrades!$G$14+F342*Upgrades!$H$14)*POWER(Upgrades!$I$14,F342)))*(IF(Upgrades!$T$13="Local Bubble",POWER(Upgrades!$U$13,E342),1)*IF(Upgrades!$T$15="Local Bubble",POWER(Upgrades!$U$15,G342),1)*IF(Upgrades!$T$16="Local Bubble",POWER(Upgrades!$U$16,H342),1)*IF(Upgrades!$T$17="Local Bubble",POWER(Upgrades!$U$17,I342),1)*IF(Upgrades!$T$18="Local Bubble",POWER(Upgrades!$U$18,J342),1)*IF(Upgrades!$T$19="Local Bubble",POWER(Upgrades!$U$19,K342),1)*IF(Upgrades!$T$20="Local Bubble",POWER(Upgrades!$U$20,L342),1)*IF(Upgrades!$T$21="Local Bubble",POWER(Upgrades!$U$21,M342),1))*POWER(Upgrades!$P$13,E342)*POWER(Upgrades!$P$14,F342)*POWER(Upgrades!$P$15,G342)*POWER(Upgrades!$P$16,H342)*POWER(Upgrades!$P$17,I342)*POWER(Upgrades!$P$18,J342)*POWER(Upgrades!$P$19,K342)*POWER(Upgrades!$P$20,L342)*POWER(Upgrades!$P$21,M342)*$F$6)*0.05)/AN342,0)</f>
        <v/>
      </c>
      <c r="BC342" s="32">
        <f>IFERROR((Upgrades!$H$17*(POWER(Upgrades!$P$13,E342)*POWER(Upgrades!$P$14,F342)*POWER(Upgrades!$P$15,G342)*POWER(Upgrades!$P$16,H342)*POWER(Upgrades!$P$17,I342)*POWER(Upgrades!$P$18,J342)*POWER(Upgrades!$P$19,K342)*POWER(Upgrades!$P$20,L342)*POWER(Upgrades!$P$21,M342))*(IF(Upgrades!$T$13="Brown Dwarf",POWER(Upgrades!$U$13,E342),1)*IF(Upgrades!$T$14="Brown Dwarf",POWER(Upgrades!$U$14,F342),1)*IF(Upgrades!$T$15="Brown Dwarf",POWER(Upgrades!$U$15,G342),1)*IF(Upgrades!$T$16="Brown Dwarf",POWER(Upgrades!$U$16,H342),1)*IF(Upgrades!$T$18="Brown Dwarf",POWER(Upgrades!$U$18,J342),1)*IF(Upgrades!$T$19="Brown Dwarf",POWER(Upgrades!$U$19,K342),1)*IF(Upgrades!$T$20="Brown Dwarf",POWER(Upgrades!$U$20,L342),1)*IF(Upgrades!$T$21="Brown Dwarf",POWER(Upgrades!$U$21,M342),1))*$F$6+(((IF(H342=0,0,(Upgrades!$M$16+H342*Upgrades!$N$16)*POWER(Upgrades!$O$16,H342)))*(IF(Upgrades!$T$13="Roche Lobe Overflow",POWER(Upgrades!$U$13,E342),1)*IF(Upgrades!$T$14="Roche Lobe Overflow",POWER(Upgrades!$U$14,F342),1)*IF(Upgrades!$T$15="Roche Lobe Overflow",POWER(Upgrades!$U$15,G342),1)*IF(Upgrades!$T$17="Roche Lobe Overflow",POWER(Upgrades!$U$17,I342),1)*IF(Upgrades!$T$18="Roche Lobe Overflow",POWER(Upgrades!$U$18,J342),1)*IF(Upgrades!$T$19="Roche Lobe Overflow",POWER(Upgrades!$U$19,K342),1)*IF(Upgrades!$T$20="Roche Lobe Overflow",POWER(Upgrades!$U$20,L342),1)*IF(Upgrades!$T$21="Roche Lobe Overflow",POWER(Upgrades!$U$21,M342),1))*POWER(Upgrades!$R$13,E342)*POWER(Upgrades!$R$14,F342)*POWER(Upgrades!$R$15,G342)*POWER(Upgrades!$R$16,H342)*POWER(Upgrades!$R$17,I342)*POWER(Upgrades!$R$18,J342)*POWER(Upgrades!$R$19,K342)*POWER(Upgrades!$R$20,L342)*POWER(Upgrades!$R$21,M342)*$H$6)*O342)*0.10)/AO342,0)</f>
        <v/>
      </c>
      <c r="BD342" s="32">
        <f>MAX(IF(J342&gt;0,0,IFERROR(0.5*((IF(G342=0,0,(Upgrades!$J$15+G342*Upgrades!$K$15)*POWER(Upgrades!$L$15,G342)))*(IF(Upgrades!$T$13="Microlensing",POWER(Upgrades!$U$13,E342),1)*IF(Upgrades!$T$14="Microlensing",POWER(Upgrades!$U$14,F342),1)*IF(Upgrades!$T$16="Microlensing",POWER(Upgrades!$U$16,H342),1)*IF(Upgrades!$T$17="Microlensing",POWER(Upgrades!$U$17,I342),1)*IF(Upgrades!$T$18="Microlensing",POWER(Upgrades!$U$18,J342),1)*IF(Upgrades!$T$19="Microlensing",POWER(Upgrades!$U$19,K342),1)*IF(Upgrades!$T$20="Microlensing",POWER(Upgrades!$U$20,L342),1)*IF(Upgrades!$T$21="Microlensing",POWER(Upgrades!$U$21,M342),1))*(POWER(Upgrades!$Q$13,E342)*POWER(Upgrades!$Q$14,F342)*POWER(Upgrades!$Q$15,G342)*POWER(Upgrades!$Q$16,H342)*POWER(Upgrades!$Q$17,I342)*POWER(Upgrades!$Q$18,J342)*POWER(Upgrades!$Q$19,K342)*POWER(Upgrades!$Q$20,L342)*POWER(Upgrades!$Q$21,M342))*$G$6*(Parameters!$B$10/60*Parameters!$B$11+Q342))/Upgrades!$C$18,0)),IF(K342&gt;0,0,IFERROR(0.30*P342/Upgrades!$C$19,0)),IF(L342&gt;0,0,IFERROR(0.0001/Upgrades!$C$20,0)),IF(M342&gt;0,0,IFERROR((6.0*(POWER(Upgrades!$P$13,E342)*POWER(Upgrades!$P$14,F342)*POWER(Upgrades!$P$15,G342)*POWER(Upgrades!$P$16,H342)*POWER(Upgrades!$P$17,I342)*POWER(Upgrades!$P$18,J342)*POWER(Upgrades!$P$19,K342)*POWER(Upgrades!$P$20,L342)*POWER(Upgrades!$P$21,M342))*$F$6+0.20*O342*(Parameters!$B$10/60*Parameters!$B$11+Q342))/Upgrades!$C$21,0)),IF(AND(ISNUMBER(AK342),AK342&gt;(C342+T342)),AY342,0),IF(AND(ISNUMBER(AL342),AL342&gt;(C342+T342)),AZ342,0),IF(AND(ISNUMBER(AM342),AM342&gt;(C342+T342)),BA342,0),IF(AND(ISNUMBER(AN342),AN342&gt;(C342+T342)),BB342,0),IF(AND(ISNUMBER(AO342),AO342&gt;(C342+T342)),BC342,0))</f>
        <v/>
      </c>
      <c r="BE342" s="29">
        <f>IF(AT342=1,"transition",IF(MIN(IF(AND(J342=0,ISNUMBER(AP342),AP342&lt;=(C342+T342)),AP342,9E15),IF(AND(K342=0,ISNUMBER(AQ342),AQ342&lt;=(C342+T342)),AQ342,9E15),IF(AND(L342=0,ISNUMBER(AR342),AR342&lt;=(C342+T342)),AR342,9E15),IF(AND(M342=0,ISNUMBER(AS342),AS342&lt;=(C342+T342)),AS342,9E15))&lt;9E15,IF(AND(AND(J342=0,ISNUMBER(AP342),AP342&lt;=(C342+T342)),AP342=MIN(IF(AND(J342=0,ISNUMBER(AP342),AP342&lt;=(C342+T342)),AP342,9E15),IF(AND(K342=0,ISNUMBER(AQ342),AQ342&lt;=(C342+T342)),AQ342,9E15),IF(AND(L342=0,ISNUMBER(AR342),AR342&lt;=(C342+T342)),AR342,9E15),IF(AND(M342=0,ISNUMBER(AS342),AS342&lt;=(C342+T342)),AS342,9E15))),"BiP",IF(AND(AND(K342=0,ISNUMBER(AQ342),AQ342&lt;=(C342+T342)),AQ342=MIN(IF(AND(J342=0,ISNUMBER(AP342),AP342&lt;=(C342+T342)),AP342,9E15),IF(AND(K342=0,ISNUMBER(AQ342),AQ342&lt;=(C342+T342)),AQ342,9E15),IF(AND(L342=0,ISNUMBER(AR342),AR342&lt;=(C342+T342)),AR342,9E15),IF(AND(M342=0,ISNUMBER(AS342),AS342&lt;=(C342+T342)),AS342,9E15))),"PV",IF(AND(AND(L342=0,ISNUMBER(AR342),AR342&lt;=(C342+T342)),AR342=MIN(IF(AND(J342=0,ISNUMBER(AP342),AP342&lt;=(C342+T342)),AP342,9E15),IF(AND(K342=0,ISNUMBER(AQ342),AQ342&lt;=(C342+T342)),AQ342,9E15),IF(AND(L342=0,ISNUMBER(AR342),AR342&lt;=(C342+T342)),AR342,9E15),IF(AND(M342=0,ISNUMBER(AS342),AS342&lt;=(C342+T342)),AS342,9E15))),"OC","MG"))),IF(AX342=TRUE,"",IF(MAX(IF(AND(NOT(AND(AU342=1,AT342&lt;&gt;1)),ISNUMBER(AK342),AK342&lt;=(C342+T342)),AY342,0),IF(AND(NOT(AND(AU342=1,AT342&lt;&gt;1)),ISNUMBER(AL342),AL342&lt;=(C342+T342)),AZ342,0),IF(AND(NOT(AND(AU342=1,AT342&lt;&gt;1)),ISNUMBER(AM342),AM342&lt;=(C342+T342)),BA342,0),IF(AND(NOT(AND(AU342=1,AT342&lt;&gt;1)),ISNUMBER(AN342),AN342&lt;=(C342+T342)),BB342,0),IF(AND(ISNUMBER(AO342),AO342&lt;=(C342+T342)),BC342,0))&lt;=0,"",IF(AND(IF(AND(NOT(AND(AU342=1,AT342&lt;&gt;1)),ISNUMBER(AK342),AK342&lt;=(C342+T342)),AY342,0)&gt;0,IF(AND(NOT(AND(AU342=1,AT342&lt;&gt;1)),ISNUMBER(AK342),AK342&lt;=(C342+T342)),AY342,0)=MAX(IF(AND(NOT(AND(AU342=1,AT342&lt;&gt;1)),ISNUMBER(AK342),AK342&lt;=(C342+T342)),AY342,0),IF(AND(NOT(AND(AU342=1,AT342&lt;&gt;1)),ISNUMBER(AL342),AL342&lt;=(C342+T342)),AZ342,0),IF(AND(NOT(AND(AU342=1,AT342&lt;&gt;1)),ISNUMBER(AM342),AM342&lt;=(C342+T342)),BA342,0),IF(AND(NOT(AND(AU342=1,AT342&lt;&gt;1)),ISNUMBER(AN342),AN342&lt;=(C342+T342)),BB342,0),IF(AND(ISNUMBER(AO342),AO342&lt;=(C342+T342)),BC342,0))),"SK",IF(AND(IF(AND(NOT(AND(AU342=1,AT342&lt;&gt;1)),ISNUMBER(AL342),AL342&lt;=(C342+T342)),AZ342,0)&gt;0,IF(AND(NOT(AND(AU342=1,AT342&lt;&gt;1)),ISNUMBER(AL342),AL342&lt;=(C342+T342)),AZ342,0)=MAX(IF(AND(NOT(AND(AU342=1,AT342&lt;&gt;1)),ISNUMBER(AK342),AK342&lt;=(C342+T342)),AY342,0),IF(AND(NOT(AND(AU342=1,AT342&lt;&gt;1)),ISNUMBER(AL342),AL342&lt;=(C342+T342)),AZ342,0),IF(AND(NOT(AND(AU342=1,AT342&lt;&gt;1)),ISNUMBER(AM342),AM342&lt;=(C342+T342)),BA342,0),IF(AND(NOT(AND(AU342=1,AT342&lt;&gt;1)),ISNUMBER(AN342),AN342&lt;=(C342+T342)),BB342,0),IF(AND(ISNUMBER(AO342),AO342&lt;=(C342+T342)),BC342,0))),"LB",IF(AND(IF(AND(NOT(AND(AU342=1,AT342&lt;&gt;1)),ISNUMBER(AM342),AM342&lt;=(C342+T342)),BA342,0)&gt;0,IF(AND(NOT(AND(AU342=1,AT342&lt;&gt;1)),ISNUMBER(AM342),AM342&lt;=(C342+T342)),BA342,0)=MAX(IF(AND(NOT(AND(AU342=1,AT342&lt;&gt;1)),ISNUMBER(AK342),AK342&lt;=(C342+T342)),AY342,0),IF(AND(NOT(AND(AU342=1,AT342&lt;&gt;1)),ISNUMBER(AL342),AL342&lt;=(C342+T342)),AZ342,0),IF(AND(NOT(AND(AU342=1,AT342&lt;&gt;1)),ISNUMBER(AM342),AM342&lt;=(C342+T342)),BA342,0),IF(AND(NOT(AND(AU342=1,AT342&lt;&gt;1)),ISNUMBER(AN342),AN342&lt;=(C342+T342)),BB342,0),IF(AND(ISNUMBER(AO342),AO342&lt;=(C342+T342)),BC342,0))),"ML",IF(AND(IF(AND(NOT(AND(AU342=1,AT342&lt;&gt;1)),ISNUMBER(AN342),AN342&lt;=(C342+T342)),BB342,0)&gt;0,IF(AND(NOT(AND(AU342=1,AT342&lt;&gt;1)),ISNUMBER(AN342),AN342&lt;=(C342+T342)),BB342,0)=MAX(IF(AND(NOT(AND(AU342=1,AT342&lt;&gt;1)),ISNUMBER(AK342),AK342&lt;=(C342+T342)),AY342,0),IF(AND(NOT(AND(AU342=1,AT342&lt;&gt;1)),ISNUMBER(AL342),AL342&lt;=(C342+T342)),AZ342,0),IF(AND(NOT(AND(AU342=1,AT342&lt;&gt;1)),ISNUMBER(AM342),AM342&lt;=(C342+T342)),BA342,0),IF(AND(NOT(AND(AU342=1,AT342&lt;&gt;1)),ISNUMBER(AN342),AN342&lt;=(C342+T342)),BB342,0),IF(AND(ISNUMBER(AO342),AO342&lt;=(C342+T342)),BC342,0))),"RLO","BD"))))))))</f>
        <v/>
      </c>
    </row>
    <row r="343">
      <c r="A343" s="26" t="n">
        <v>332</v>
      </c>
      <c r="B343" s="27">
        <f>A343*10/60</f>
        <v/>
      </c>
      <c r="C343" s="22">
        <f>X342</f>
        <v/>
      </c>
      <c r="D343" s="27">
        <f>D342+W342</f>
        <v/>
      </c>
      <c r="E343" s="26">
        <f>E342+IF(U342="SK",1,0)</f>
        <v/>
      </c>
      <c r="F343" s="26">
        <f>F342+IF(U342="LB",1,0)</f>
        <v/>
      </c>
      <c r="G343" s="26">
        <f>G342+IF(U342="ML",1,0)</f>
        <v/>
      </c>
      <c r="H343" s="26">
        <f>H342+IF(U342="RLO",1,0)</f>
        <v/>
      </c>
      <c r="I343" s="26">
        <f>I342+IF(U342="BD",1,0)</f>
        <v/>
      </c>
      <c r="J343" s="26">
        <f>MAX(J342,IF(U342="BiP",1,0))</f>
        <v/>
      </c>
      <c r="K343" s="26">
        <f>MAX(K342,IF(U342="PV",1,0))</f>
        <v/>
      </c>
      <c r="L343" s="26">
        <f>MAX(L342,IF(U342="OC",1,0))</f>
        <v/>
      </c>
      <c r="M343" s="26">
        <f>MAX(M342,IF(U342="MG",1,0))</f>
        <v/>
      </c>
      <c r="N343" s="26">
        <f>MAX(N342,IF(U342="transition",1,0))</f>
        <v/>
      </c>
      <c r="O343" s="28">
        <f>(Parameters!$B$9+(IF(E343=0,0,(Upgrades!$J$13+E343*Upgrades!$K$13)*POWER(Upgrades!$L$13,E343)))*(IF(Upgrades!$T$14="Stellar Kinematics",POWER(Upgrades!$U$14,F343),1)*IF(Upgrades!$T$15="Stellar Kinematics",POWER(Upgrades!$U$15,G343),1)*IF(Upgrades!$T$16="Stellar Kinematics",POWER(Upgrades!$U$16,H343),1)*IF(Upgrades!$T$17="Stellar Kinematics",POWER(Upgrades!$U$17,I343),1)*IF(Upgrades!$T$18="Stellar Kinematics",POWER(Upgrades!$U$18,J343),1)*IF(Upgrades!$T$19="Stellar Kinematics",POWER(Upgrades!$U$19,K343),1)*IF(Upgrades!$T$20="Stellar Kinematics",POWER(Upgrades!$U$20,L343),1)*IF(Upgrades!$T$21="Stellar Kinematics",POWER(Upgrades!$U$21,M343),1))+(IF(F343=0,0,(Upgrades!$J$14+F343*Upgrades!$K$14)*POWER(Upgrades!$L$14,F343)))*(IF(Upgrades!$T$13="Local Bubble",POWER(Upgrades!$U$13,E343),1)*IF(Upgrades!$T$15="Local Bubble",POWER(Upgrades!$U$15,G343),1)*IF(Upgrades!$T$16="Local Bubble",POWER(Upgrades!$U$16,H343),1)*IF(Upgrades!$T$17="Local Bubble",POWER(Upgrades!$U$17,I343),1)*IF(Upgrades!$T$18="Local Bubble",POWER(Upgrades!$U$18,J343),1)*IF(Upgrades!$T$19="Local Bubble",POWER(Upgrades!$U$19,K343),1)*IF(Upgrades!$T$20="Local Bubble",POWER(Upgrades!$U$20,L343),1)*IF(Upgrades!$T$21="Local Bubble",POWER(Upgrades!$U$21,M343),1))+(IF(G343=0,0,(Upgrades!$J$15+G343*Upgrades!$K$15)*POWER(Upgrades!$L$15,G343)))*(IF(Upgrades!$T$13="Microlensing",POWER(Upgrades!$U$13,E343),1)*IF(Upgrades!$T$14="Microlensing",POWER(Upgrades!$U$14,F343),1)*IF(Upgrades!$T$16="Microlensing",POWER(Upgrades!$U$16,H343),1)*IF(Upgrades!$T$17="Microlensing",POWER(Upgrades!$U$17,I343),1)*IF(Upgrades!$T$18="Microlensing",POWER(Upgrades!$U$18,J343),1)*IF(Upgrades!$T$19="Microlensing",POWER(Upgrades!$U$19,K343),1)*IF(Upgrades!$T$20="Microlensing",POWER(Upgrades!$U$20,L343),1)*IF(Upgrades!$T$21="Microlensing",POWER(Upgrades!$U$21,M343),1))+(IF(H343=0,0,(Upgrades!$J$16+H343*Upgrades!$K$16)*POWER(Upgrades!$L$16,H343)))*(IF(Upgrades!$T$13="Roche Lobe Overflow",POWER(Upgrades!$U$13,E343),1)*IF(Upgrades!$T$14="Roche Lobe Overflow",POWER(Upgrades!$U$14,F343),1)*IF(Upgrades!$T$15="Roche Lobe Overflow",POWER(Upgrades!$U$15,G343),1)*IF(Upgrades!$T$17="Roche Lobe Overflow",POWER(Upgrades!$U$17,I343),1)*IF(Upgrades!$T$18="Roche Lobe Overflow",POWER(Upgrades!$U$18,J343),1)*IF(Upgrades!$T$19="Roche Lobe Overflow",POWER(Upgrades!$U$19,K343),1)*IF(Upgrades!$T$20="Roche Lobe Overflow",POWER(Upgrades!$U$20,L343),1)*IF(Upgrades!$T$21="Roche Lobe Overflow",POWER(Upgrades!$U$21,M343),1))+(IF(I343=0,0,(Upgrades!$J$17+I343*Upgrades!$K$17)*POWER(Upgrades!$L$17,I343)))*(IF(Upgrades!$T$13="Brown Dwarf",POWER(Upgrades!$U$13,E343),1)*IF(Upgrades!$T$14="Brown Dwarf",POWER(Upgrades!$U$14,F343),1)*IF(Upgrades!$T$15="Brown Dwarf",POWER(Upgrades!$U$15,G343),1)*IF(Upgrades!$T$16="Brown Dwarf",POWER(Upgrades!$U$16,H343),1)*IF(Upgrades!$T$18="Brown Dwarf",POWER(Upgrades!$U$18,J343),1)*IF(Upgrades!$T$19="Brown Dwarf",POWER(Upgrades!$U$19,K343),1)*IF(Upgrades!$T$20="Brown Dwarf",POWER(Upgrades!$U$20,L343),1)*IF(Upgrades!$T$21="Brown Dwarf",POWER(Upgrades!$U$21,M343),1))+(IF(J343=0,0,(Upgrades!$J$18+J343*Upgrades!$K$18)*POWER(Upgrades!$L$18,J343)))*(IF(Upgrades!$T$13="Binary Partner",POWER(Upgrades!$U$13,E343),1)*IF(Upgrades!$T$14="Binary Partner",POWER(Upgrades!$U$14,F343),1)*IF(Upgrades!$T$15="Binary Partner",POWER(Upgrades!$U$15,G343),1)*IF(Upgrades!$T$16="Binary Partner",POWER(Upgrades!$U$16,H343),1)*IF(Upgrades!$T$17="Binary Partner",POWER(Upgrades!$U$17,I343),1)*IF(Upgrades!$T$19="Binary Partner",POWER(Upgrades!$U$19,K343),1)*IF(Upgrades!$T$20="Binary Partner",POWER(Upgrades!$U$20,L343),1)*IF(Upgrades!$T$21="Binary Partner",POWER(Upgrades!$U$21,M343),1))+(IF(K343=0,0,(Upgrades!$J$19+K343*Upgrades!$K$19)*POWER(Upgrades!$L$19,K343)))*(IF(Upgrades!$T$13="Peculiar Velocity",POWER(Upgrades!$U$13,E343),1)*IF(Upgrades!$T$14="Peculiar Velocity",POWER(Upgrades!$U$14,F343),1)*IF(Upgrades!$T$15="Peculiar Velocity",POWER(Upgrades!$U$15,G343),1)*IF(Upgrades!$T$16="Peculiar Velocity",POWER(Upgrades!$U$16,H343),1)*IF(Upgrades!$T$17="Peculiar Velocity",POWER(Upgrades!$U$17,I343),1)*IF(Upgrades!$T$18="Peculiar Velocity",POWER(Upgrades!$U$18,J343),1)*IF(Upgrades!$T$20="Peculiar Velocity",POWER(Upgrades!$U$20,L343),1)*IF(Upgrades!$T$21="Peculiar Velocity",POWER(Upgrades!$U$21,M343),1))+(IF(L343=0,0,(Upgrades!$J$20+L343*Upgrades!$K$20)*POWER(Upgrades!$L$20,L343)))*(IF(Upgrades!$T$13="Open Cluster",POWER(Upgrades!$U$13,E343),1)*IF(Upgrades!$T$14="Open Cluster",POWER(Upgrades!$U$14,F343),1)*IF(Upgrades!$T$15="Open Cluster",POWER(Upgrades!$U$15,G343),1)*IF(Upgrades!$T$16="Open Cluster",POWER(Upgrades!$U$16,H343),1)*IF(Upgrades!$T$17="Open Cluster",POWER(Upgrades!$U$17,I343),1)*IF(Upgrades!$T$18="Open Cluster",POWER(Upgrades!$U$18,J343),1)*IF(Upgrades!$T$19="Open Cluster",POWER(Upgrades!$U$19,K343),1)*IF(Upgrades!$T$21="Open Cluster",POWER(Upgrades!$U$21,M343),1))+(IF(M343=0,0,(Upgrades!$J$21+M343*Upgrades!$K$21)*POWER(Upgrades!$L$21,M343)))*(IF(Upgrades!$T$13="Moving Group",POWER(Upgrades!$U$13,E343),1)*IF(Upgrades!$T$14="Moving Group",POWER(Upgrades!$U$14,F343),1)*IF(Upgrades!$T$15="Moving Group",POWER(Upgrades!$U$15,G343),1)*IF(Upgrades!$T$16="Moving Group",POWER(Upgrades!$U$16,H343),1)*IF(Upgrades!$T$17="Moving Group",POWER(Upgrades!$U$17,I343),1)*IF(Upgrades!$T$18="Moving Group",POWER(Upgrades!$U$18,J343),1)*IF(Upgrades!$T$19="Moving Group",POWER(Upgrades!$U$19,K343),1)*IF(Upgrades!$T$20="Moving Group",POWER(Upgrades!$U$20,L343),1)))*POWER(Upgrades!$Q$13,E343)*POWER(Upgrades!$Q$14,F343)*POWER(Upgrades!$Q$15,G343)*POWER(Upgrades!$Q$16,H343)*POWER(Upgrades!$Q$17,I343)*POWER(Upgrades!$Q$18,J343)*POWER(Upgrades!$Q$19,K343)*POWER(Upgrades!$Q$20,L343)*POWER(Upgrades!$Q$21,M343)*$G$6+$D$6</f>
        <v/>
      </c>
      <c r="P343" s="28">
        <f>((IF(E343=0,0,(Upgrades!$G$13+E343*Upgrades!$H$13)*POWER(Upgrades!$I$13,E343)))*(IF(Upgrades!$T$14="Stellar Kinematics",POWER(Upgrades!$U$14,F343),1)*IF(Upgrades!$T$15="Stellar Kinematics",POWER(Upgrades!$U$15,G343),1)*IF(Upgrades!$T$16="Stellar Kinematics",POWER(Upgrades!$U$16,H343),1)*IF(Upgrades!$T$17="Stellar Kinematics",POWER(Upgrades!$U$17,I343),1)*IF(Upgrades!$T$18="Stellar Kinematics",POWER(Upgrades!$U$18,J343),1)*IF(Upgrades!$T$19="Stellar Kinematics",POWER(Upgrades!$U$19,K343),1)*IF(Upgrades!$T$20="Stellar Kinematics",POWER(Upgrades!$U$20,L343),1)*IF(Upgrades!$T$21="Stellar Kinematics",POWER(Upgrades!$U$21,M343),1))+(IF(F343=0,0,(Upgrades!$G$14+F343*Upgrades!$H$14)*POWER(Upgrades!$I$14,F343)))*(IF(Upgrades!$T$13="Local Bubble",POWER(Upgrades!$U$13,E343),1)*IF(Upgrades!$T$15="Local Bubble",POWER(Upgrades!$U$15,G343),1)*IF(Upgrades!$T$16="Local Bubble",POWER(Upgrades!$U$16,H343),1)*IF(Upgrades!$T$17="Local Bubble",POWER(Upgrades!$U$17,I343),1)*IF(Upgrades!$T$18="Local Bubble",POWER(Upgrades!$U$18,J343),1)*IF(Upgrades!$T$19="Local Bubble",POWER(Upgrades!$U$19,K343),1)*IF(Upgrades!$T$20="Local Bubble",POWER(Upgrades!$U$20,L343),1)*IF(Upgrades!$T$21="Local Bubble",POWER(Upgrades!$U$21,M343),1))+(IF(G343=0,0,(Upgrades!$G$15+G343*Upgrades!$H$15)*POWER(Upgrades!$I$15,G343)))*(IF(Upgrades!$T$13="Microlensing",POWER(Upgrades!$U$13,E343),1)*IF(Upgrades!$T$14="Microlensing",POWER(Upgrades!$U$14,F343),1)*IF(Upgrades!$T$16="Microlensing",POWER(Upgrades!$U$16,H343),1)*IF(Upgrades!$T$17="Microlensing",POWER(Upgrades!$U$17,I343),1)*IF(Upgrades!$T$18="Microlensing",POWER(Upgrades!$U$18,J343),1)*IF(Upgrades!$T$19="Microlensing",POWER(Upgrades!$U$19,K343),1)*IF(Upgrades!$T$20="Microlensing",POWER(Upgrades!$U$20,L343),1)*IF(Upgrades!$T$21="Microlensing",POWER(Upgrades!$U$21,M343),1))+(IF(H343=0,0,(Upgrades!$G$16+H343*Upgrades!$H$16)*POWER(Upgrades!$I$16,H343)))*(IF(Upgrades!$T$13="Roche Lobe Overflow",POWER(Upgrades!$U$13,E343),1)*IF(Upgrades!$T$14="Roche Lobe Overflow",POWER(Upgrades!$U$14,F343),1)*IF(Upgrades!$T$15="Roche Lobe Overflow",POWER(Upgrades!$U$15,G343),1)*IF(Upgrades!$T$17="Roche Lobe Overflow",POWER(Upgrades!$U$17,I343),1)*IF(Upgrades!$T$18="Roche Lobe Overflow",POWER(Upgrades!$U$18,J343),1)*IF(Upgrades!$T$19="Roche Lobe Overflow",POWER(Upgrades!$U$19,K343),1)*IF(Upgrades!$T$20="Roche Lobe Overflow",POWER(Upgrades!$U$20,L343),1)*IF(Upgrades!$T$21="Roche Lobe Overflow",POWER(Upgrades!$U$21,M343),1))+(IF(I343=0,0,(Upgrades!$G$17+I343*Upgrades!$H$17)*POWER(Upgrades!$I$17,I343)))*(IF(Upgrades!$T$13="Brown Dwarf",POWER(Upgrades!$U$13,E343),1)*IF(Upgrades!$T$14="Brown Dwarf",POWER(Upgrades!$U$14,F343),1)*IF(Upgrades!$T$15="Brown Dwarf",POWER(Upgrades!$U$15,G343),1)*IF(Upgrades!$T$16="Brown Dwarf",POWER(Upgrades!$U$16,H343),1)*IF(Upgrades!$T$18="Brown Dwarf",POWER(Upgrades!$U$18,J343),1)*IF(Upgrades!$T$19="Brown Dwarf",POWER(Upgrades!$U$19,K343),1)*IF(Upgrades!$T$20="Brown Dwarf",POWER(Upgrades!$U$20,L343),1)*IF(Upgrades!$T$21="Brown Dwarf",POWER(Upgrades!$U$21,M343),1))+(IF(J343=0,0,(Upgrades!$G$18+J343*Upgrades!$H$18)*POWER(Upgrades!$I$18,J343)))*(IF(Upgrades!$T$13="Binary Partner",POWER(Upgrades!$U$13,E343),1)*IF(Upgrades!$T$14="Binary Partner",POWER(Upgrades!$U$14,F343),1)*IF(Upgrades!$T$15="Binary Partner",POWER(Upgrades!$U$15,G343),1)*IF(Upgrades!$T$16="Binary Partner",POWER(Upgrades!$U$16,H343),1)*IF(Upgrades!$T$17="Binary Partner",POWER(Upgrades!$U$17,I343),1)*IF(Upgrades!$T$19="Binary Partner",POWER(Upgrades!$U$19,K343),1)*IF(Upgrades!$T$20="Binary Partner",POWER(Upgrades!$U$20,L343),1)*IF(Upgrades!$T$21="Binary Partner",POWER(Upgrades!$U$21,M343),1))+(IF(K343=0,0,(Upgrades!$G$19+K343*Upgrades!$H$19)*POWER(Upgrades!$I$19,K343)))*(IF(Upgrades!$T$13="Peculiar Velocity",POWER(Upgrades!$U$13,E343),1)*IF(Upgrades!$T$14="Peculiar Velocity",POWER(Upgrades!$U$14,F343),1)*IF(Upgrades!$T$15="Peculiar Velocity",POWER(Upgrades!$U$15,G343),1)*IF(Upgrades!$T$16="Peculiar Velocity",POWER(Upgrades!$U$16,H343),1)*IF(Upgrades!$T$17="Peculiar Velocity",POWER(Upgrades!$U$17,I343),1)*IF(Upgrades!$T$18="Peculiar Velocity",POWER(Upgrades!$U$18,J343),1)*IF(Upgrades!$T$20="Peculiar Velocity",POWER(Upgrades!$U$20,L343),1)*IF(Upgrades!$T$21="Peculiar Velocity",POWER(Upgrades!$U$21,M343),1))+(IF(L343=0,0,(Upgrades!$G$20+L343*Upgrades!$H$20)*POWER(Upgrades!$I$20,L343)))*(IF(Upgrades!$T$13="Open Cluster",POWER(Upgrades!$U$13,E343),1)*IF(Upgrades!$T$14="Open Cluster",POWER(Upgrades!$U$14,F343),1)*IF(Upgrades!$T$15="Open Cluster",POWER(Upgrades!$U$15,G343),1)*IF(Upgrades!$T$16="Open Cluster",POWER(Upgrades!$U$16,H343),1)*IF(Upgrades!$T$17="Open Cluster",POWER(Upgrades!$U$17,I343),1)*IF(Upgrades!$T$18="Open Cluster",POWER(Upgrades!$U$18,J343),1)*IF(Upgrades!$T$19="Open Cluster",POWER(Upgrades!$U$19,K343),1)*IF(Upgrades!$T$21="Open Cluster",POWER(Upgrades!$U$21,M343),1))+(IF(M343=0,0,(Upgrades!$G$21+M343*Upgrades!$H$21)*POWER(Upgrades!$I$21,M343)))*(IF(Upgrades!$T$13="Moving Group",POWER(Upgrades!$U$13,E343),1)*IF(Upgrades!$T$14="Moving Group",POWER(Upgrades!$U$14,F343),1)*IF(Upgrades!$T$15="Moving Group",POWER(Upgrades!$U$15,G343),1)*IF(Upgrades!$T$16="Moving Group",POWER(Upgrades!$U$16,H343),1)*IF(Upgrades!$T$17="Moving Group",POWER(Upgrades!$U$17,I343),1)*IF(Upgrades!$T$18="Moving Group",POWER(Upgrades!$U$18,J343),1)*IF(Upgrades!$T$19="Moving Group",POWER(Upgrades!$U$19,K343),1)*IF(Upgrades!$T$20="Moving Group",POWER(Upgrades!$U$20,L343),1)))*POWER(Upgrades!$P$13,E343)*POWER(Upgrades!$P$14,F343)*POWER(Upgrades!$P$15,G343)*POWER(Upgrades!$P$16,H343)*POWER(Upgrades!$P$17,I343)*POWER(Upgrades!$P$18,J343)*POWER(Upgrades!$P$19,K343)*POWER(Upgrades!$P$20,L343)*POWER(Upgrades!$P$21,M343)*$F$6+$C$6</f>
        <v/>
      </c>
      <c r="Q343" s="28">
        <f>((IF(E343=0,0,(Upgrades!$M$13+E343*Upgrades!$N$13)*POWER(Upgrades!$O$13,E343)))*(IF(Upgrades!$T$14="Stellar Kinematics",POWER(Upgrades!$U$14,F343),1)*IF(Upgrades!$T$15="Stellar Kinematics",POWER(Upgrades!$U$15,G343),1)*IF(Upgrades!$T$16="Stellar Kinematics",POWER(Upgrades!$U$16,H343),1)*IF(Upgrades!$T$17="Stellar Kinematics",POWER(Upgrades!$U$17,I343),1)*IF(Upgrades!$T$18="Stellar Kinematics",POWER(Upgrades!$U$18,J343),1)*IF(Upgrades!$T$19="Stellar Kinematics",POWER(Upgrades!$U$19,K343),1)*IF(Upgrades!$T$20="Stellar Kinematics",POWER(Upgrades!$U$20,L343),1)*IF(Upgrades!$T$21="Stellar Kinematics",POWER(Upgrades!$U$21,M343),1))+(IF(F343=0,0,(Upgrades!$M$14+F343*Upgrades!$N$14)*POWER(Upgrades!$O$14,F343)))*(IF(Upgrades!$T$13="Local Bubble",POWER(Upgrades!$U$13,E343),1)*IF(Upgrades!$T$15="Local Bubble",POWER(Upgrades!$U$15,G343),1)*IF(Upgrades!$T$16="Local Bubble",POWER(Upgrades!$U$16,H343),1)*IF(Upgrades!$T$17="Local Bubble",POWER(Upgrades!$U$17,I343),1)*IF(Upgrades!$T$18="Local Bubble",POWER(Upgrades!$U$18,J343),1)*IF(Upgrades!$T$19="Local Bubble",POWER(Upgrades!$U$19,K343),1)*IF(Upgrades!$T$20="Local Bubble",POWER(Upgrades!$U$20,L343),1)*IF(Upgrades!$T$21="Local Bubble",POWER(Upgrades!$U$21,M343),1))+(IF(G343=0,0,(Upgrades!$M$15+G343*Upgrades!$N$15)*POWER(Upgrades!$O$15,G343)))*(IF(Upgrades!$T$13="Microlensing",POWER(Upgrades!$U$13,E343),1)*IF(Upgrades!$T$14="Microlensing",POWER(Upgrades!$U$14,F343),1)*IF(Upgrades!$T$16="Microlensing",POWER(Upgrades!$U$16,H343),1)*IF(Upgrades!$T$17="Microlensing",POWER(Upgrades!$U$17,I343),1)*IF(Upgrades!$T$18="Microlensing",POWER(Upgrades!$U$18,J343),1)*IF(Upgrades!$T$19="Microlensing",POWER(Upgrades!$U$19,K343),1)*IF(Upgrades!$T$20="Microlensing",POWER(Upgrades!$U$20,L343),1)*IF(Upgrades!$T$21="Microlensing",POWER(Upgrades!$U$21,M343),1))+(IF(H343=0,0,(Upgrades!$M$16+H343*Upgrades!$N$16)*POWER(Upgrades!$O$16,H343)))*(IF(Upgrades!$T$13="Roche Lobe Overflow",POWER(Upgrades!$U$13,E343),1)*IF(Upgrades!$T$14="Roche Lobe Overflow",POWER(Upgrades!$U$14,F343),1)*IF(Upgrades!$T$15="Roche Lobe Overflow",POWER(Upgrades!$U$15,G343),1)*IF(Upgrades!$T$17="Roche Lobe Overflow",POWER(Upgrades!$U$17,I343),1)*IF(Upgrades!$T$18="Roche Lobe Overflow",POWER(Upgrades!$U$18,J343),1)*IF(Upgrades!$T$19="Roche Lobe Overflow",POWER(Upgrades!$U$19,K343),1)*IF(Upgrades!$T$20="Roche Lobe Overflow",POWER(Upgrades!$U$20,L343),1)*IF(Upgrades!$T$21="Roche Lobe Overflow",POWER(Upgrades!$U$21,M343),1))+(IF(I343=0,0,(Upgrades!$M$17+I343*Upgrades!$N$17)*POWER(Upgrades!$O$17,I343)))*(IF(Upgrades!$T$13="Brown Dwarf",POWER(Upgrades!$U$13,E343),1)*IF(Upgrades!$T$14="Brown Dwarf",POWER(Upgrades!$U$14,F343),1)*IF(Upgrades!$T$15="Brown Dwarf",POWER(Upgrades!$U$15,G343),1)*IF(Upgrades!$T$16="Brown Dwarf",POWER(Upgrades!$U$16,H343),1)*IF(Upgrades!$T$18="Brown Dwarf",POWER(Upgrades!$U$18,J343),1)*IF(Upgrades!$T$19="Brown Dwarf",POWER(Upgrades!$U$19,K343),1)*IF(Upgrades!$T$20="Brown Dwarf",POWER(Upgrades!$U$20,L343),1)*IF(Upgrades!$T$21="Brown Dwarf",POWER(Upgrades!$U$21,M343),1))+(IF(J343=0,0,(Upgrades!$M$18+J343*Upgrades!$N$18)*POWER(Upgrades!$O$18,J343)))*(IF(Upgrades!$T$13="Binary Partner",POWER(Upgrades!$U$13,E343),1)*IF(Upgrades!$T$14="Binary Partner",POWER(Upgrades!$U$14,F343),1)*IF(Upgrades!$T$15="Binary Partner",POWER(Upgrades!$U$15,G343),1)*IF(Upgrades!$T$16="Binary Partner",POWER(Upgrades!$U$16,H343),1)*IF(Upgrades!$T$17="Binary Partner",POWER(Upgrades!$U$17,I343),1)*IF(Upgrades!$T$19="Binary Partner",POWER(Upgrades!$U$19,K343),1)*IF(Upgrades!$T$20="Binary Partner",POWER(Upgrades!$U$20,L343),1)*IF(Upgrades!$T$21="Binary Partner",POWER(Upgrades!$U$21,M343),1))+(IF(K343=0,0,(Upgrades!$M$19+K343*Upgrades!$N$19)*POWER(Upgrades!$O$19,K343)))*(IF(Upgrades!$T$13="Peculiar Velocity",POWER(Upgrades!$U$13,E343),1)*IF(Upgrades!$T$14="Peculiar Velocity",POWER(Upgrades!$U$14,F343),1)*IF(Upgrades!$T$15="Peculiar Velocity",POWER(Upgrades!$U$15,G343),1)*IF(Upgrades!$T$16="Peculiar Velocity",POWER(Upgrades!$U$16,H343),1)*IF(Upgrades!$T$17="Peculiar Velocity",POWER(Upgrades!$U$17,I343),1)*IF(Upgrades!$T$18="Peculiar Velocity",POWER(Upgrades!$U$18,J343),1)*IF(Upgrades!$T$20="Peculiar Velocity",POWER(Upgrades!$U$20,L343),1)*IF(Upgrades!$T$21="Peculiar Velocity",POWER(Upgrades!$U$21,M343),1))+(IF(L343=0,0,(Upgrades!$M$20+L343*Upgrades!$N$20)*POWER(Upgrades!$O$20,L343)))*(IF(Upgrades!$T$13="Open Cluster",POWER(Upgrades!$U$13,E343),1)*IF(Upgrades!$T$14="Open Cluster",POWER(Upgrades!$U$14,F343),1)*IF(Upgrades!$T$15="Open Cluster",POWER(Upgrades!$U$15,G343),1)*IF(Upgrades!$T$16="Open Cluster",POWER(Upgrades!$U$16,H343),1)*IF(Upgrades!$T$17="Open Cluster",POWER(Upgrades!$U$17,I343),1)*IF(Upgrades!$T$18="Open Cluster",POWER(Upgrades!$U$18,J343),1)*IF(Upgrades!$T$19="Open Cluster",POWER(Upgrades!$U$19,K343),1)*IF(Upgrades!$T$21="Open Cluster",POWER(Upgrades!$U$21,M343),1))+(IF(M343=0,0,(Upgrades!$M$21+M343*Upgrades!$N$21)*POWER(Upgrades!$O$21,M343)))*(IF(Upgrades!$T$13="Moving Group",POWER(Upgrades!$U$13,E343),1)*IF(Upgrades!$T$14="Moving Group",POWER(Upgrades!$U$14,F343),1)*IF(Upgrades!$T$15="Moving Group",POWER(Upgrades!$U$15,G343),1)*IF(Upgrades!$T$16="Moving Group",POWER(Upgrades!$U$16,H343),1)*IF(Upgrades!$T$17="Moving Group",POWER(Upgrades!$U$17,I343),1)*IF(Upgrades!$T$18="Moving Group",POWER(Upgrades!$U$18,J343),1)*IF(Upgrades!$T$19="Moving Group",POWER(Upgrades!$U$19,K343),1)*IF(Upgrades!$T$20="Moving Group",POWER(Upgrades!$U$20,L343),1)))*POWER(Upgrades!$R$13,E343)*POWER(Upgrades!$R$14,F343)*POWER(Upgrades!$R$15,G343)*POWER(Upgrades!$R$16,H343)*POWER(Upgrades!$R$17,I343)*POWER(Upgrades!$R$18,J343)*POWER(Upgrades!$R$19,K343)*POWER(Upgrades!$R$20,L343)*POWER(Upgrades!$R$21,M343)*$H$6+$E$6</f>
        <v/>
      </c>
      <c r="R343" s="27">
        <f>IF(N343=1,0,O343*Parameters!$B$10/60*Parameters!$B$11*10)</f>
        <v/>
      </c>
      <c r="S343" s="27">
        <f>IF(N343=1,0,Q343*O343*10)</f>
        <v/>
      </c>
      <c r="T343" s="27">
        <f>IF(N343=1,0,R343+S343+P343*10)</f>
        <v/>
      </c>
      <c r="U343" s="33">
        <f>BE343</f>
        <v/>
      </c>
      <c r="V343" s="22">
        <f>IF(U343="",0,IF(U343="transition",0,IF(U343="SK",AK343,IF(U343="LB",AL343,IF(U343="ML",AM343,IF(U343="RLO",AN343,IF(U343="BD",AO343,IF(U343="BiP",AP343,IF(U343="PV",AQ343,IF(U343="OC",AR343,IF(U343="MG",AS343,0))))))))))</f>
        <v/>
      </c>
      <c r="W343" s="27">
        <f>IF(U343="BiP",Upgrades!$F$18,IF(U343="PV",Upgrades!$F$19,IF(U343="OC",Upgrades!$F$20,IF(U343="MG",Upgrades!$F$21,IF(U343="transition",-Parameters!$B$18*Parameters!$B$19,0)))))</f>
        <v/>
      </c>
      <c r="X343" s="22">
        <f>C343+T343-V343</f>
        <v/>
      </c>
      <c r="Y343" s="30">
        <f>O343*Parameters!$B$10/60*Parameters!$B$11+Q343*O343+P343</f>
        <v/>
      </c>
      <c r="Z343" s="34">
        <f>IF(U343="transition","→ Tier 3 (Galactic Arm)",IF(U343="MG","Moving Group — pocket drifts together",IF(U343="OC","Open Cluster acquired",IF(U343="PV","Peculiar Velocity — passive multiplier active",IF(U343="BiP","Binary Partner — pair bond formed",IF(AND(AU343=1,N343=0,AT343&lt;&gt;1),"Cohesion ready (waiting on completionists)","")))))) </f>
        <v/>
      </c>
      <c r="AA343" s="27">
        <f>(IF(E343=0,0,(Upgrades!$G$13+E343*Upgrades!$H$13)*POWER(Upgrades!$I$13,E343)))*(IF(Upgrades!$T$14="Stellar Kinematics",POWER(Upgrades!$U$14,F343),1)*IF(Upgrades!$T$15="Stellar Kinematics",POWER(Upgrades!$U$15,G343),1)*IF(Upgrades!$T$16="Stellar Kinematics",POWER(Upgrades!$U$16,H343),1)*IF(Upgrades!$T$17="Stellar Kinematics",POWER(Upgrades!$U$17,I343),1)*IF(Upgrades!$T$18="Stellar Kinematics",POWER(Upgrades!$U$18,J343),1)*IF(Upgrades!$T$19="Stellar Kinematics",POWER(Upgrades!$U$19,K343),1)*IF(Upgrades!$T$20="Stellar Kinematics",POWER(Upgrades!$U$20,L343),1)*IF(Upgrades!$T$21="Stellar Kinematics",POWER(Upgrades!$U$21,M343),1))*POWER(Upgrades!$P$13,E343)*POWER(Upgrades!$P$14,F343)*POWER(Upgrades!$P$15,G343)*POWER(Upgrades!$P$16,H343)*POWER(Upgrades!$P$17,I343)*POWER(Upgrades!$P$18,J343)*POWER(Upgrades!$P$19,K343)*POWER(Upgrades!$P$20,L343)*POWER(Upgrades!$P$21,M343)*$F$6*60</f>
        <v/>
      </c>
      <c r="AB343" s="27">
        <f>(IF(F343=0,0,(Upgrades!$G$14+F343*Upgrades!$H$14)*POWER(Upgrades!$I$14,F343)))*(IF(Upgrades!$T$13="Local Bubble",POWER(Upgrades!$U$13,E343),1)*IF(Upgrades!$T$15="Local Bubble",POWER(Upgrades!$U$15,G343),1)*IF(Upgrades!$T$16="Local Bubble",POWER(Upgrades!$U$16,H343),1)*IF(Upgrades!$T$17="Local Bubble",POWER(Upgrades!$U$17,I343),1)*IF(Upgrades!$T$18="Local Bubble",POWER(Upgrades!$U$18,J343),1)*IF(Upgrades!$T$19="Local Bubble",POWER(Upgrades!$U$19,K343),1)*IF(Upgrades!$T$20="Local Bubble",POWER(Upgrades!$U$20,L343),1)*IF(Upgrades!$T$21="Local Bubble",POWER(Upgrades!$U$21,M343),1))*POWER(Upgrades!$P$13,E343)*POWER(Upgrades!$P$14,F343)*POWER(Upgrades!$P$15,G343)*POWER(Upgrades!$P$16,H343)*POWER(Upgrades!$P$17,I343)*POWER(Upgrades!$P$18,J343)*POWER(Upgrades!$P$19,K343)*POWER(Upgrades!$P$20,L343)*POWER(Upgrades!$P$21,M343)*$F$6*60</f>
        <v/>
      </c>
      <c r="AC343" s="27">
        <f>(IF(G343=0,0,(Upgrades!$J$15+G343*Upgrades!$K$15)*POWER(Upgrades!$L$15,G343)))*(IF(Upgrades!$T$13="Microlensing",POWER(Upgrades!$U$13,E343),1)*IF(Upgrades!$T$14="Microlensing",POWER(Upgrades!$U$14,F343),1)*IF(Upgrades!$T$16="Microlensing",POWER(Upgrades!$U$16,H343),1)*IF(Upgrades!$T$17="Microlensing",POWER(Upgrades!$U$17,I343),1)*IF(Upgrades!$T$18="Microlensing",POWER(Upgrades!$U$18,J343),1)*IF(Upgrades!$T$19="Microlensing",POWER(Upgrades!$U$19,K343),1)*IF(Upgrades!$T$20="Microlensing",POWER(Upgrades!$U$20,L343),1)*IF(Upgrades!$T$21="Microlensing",POWER(Upgrades!$U$21,M343),1))*POWER(Upgrades!$Q$13,E343)*POWER(Upgrades!$Q$14,F343)*POWER(Upgrades!$Q$15,G343)*POWER(Upgrades!$Q$16,H343)*POWER(Upgrades!$Q$17,I343)*POWER(Upgrades!$Q$18,J343)*POWER(Upgrades!$Q$19,K343)*POWER(Upgrades!$Q$20,L343)*POWER(Upgrades!$Q$21,M343)*$G$6*(Parameters!$B$10*Parameters!$B$11+Q343*60)</f>
        <v/>
      </c>
      <c r="AD343" s="27">
        <f>(IF(H343=0,0,(Upgrades!$M$16+H343*Upgrades!$N$16)*POWER(Upgrades!$O$16,H343)))*(IF(Upgrades!$T$13="Roche Lobe Overflow",POWER(Upgrades!$U$13,E343),1)*IF(Upgrades!$T$14="Roche Lobe Overflow",POWER(Upgrades!$U$14,F343),1)*IF(Upgrades!$T$15="Roche Lobe Overflow",POWER(Upgrades!$U$15,G343),1)*IF(Upgrades!$T$17="Roche Lobe Overflow",POWER(Upgrades!$U$17,I343),1)*IF(Upgrades!$T$18="Roche Lobe Overflow",POWER(Upgrades!$U$18,J343),1)*IF(Upgrades!$T$19="Roche Lobe Overflow",POWER(Upgrades!$U$19,K343),1)*IF(Upgrades!$T$20="Roche Lobe Overflow",POWER(Upgrades!$U$20,L343),1)*IF(Upgrades!$T$21="Roche Lobe Overflow",POWER(Upgrades!$U$21,M343),1))*POWER(Upgrades!$R$13,E343)*POWER(Upgrades!$R$14,F343)*POWER(Upgrades!$R$15,G343)*POWER(Upgrades!$R$16,H343)*POWER(Upgrades!$R$17,I343)*POWER(Upgrades!$R$18,J343)*POWER(Upgrades!$R$19,K343)*POWER(Upgrades!$R$20,L343)*POWER(Upgrades!$R$21,M343)*$H$6*O343*60</f>
        <v/>
      </c>
      <c r="AE343" s="27">
        <f>(IF(I343=0,0,(Upgrades!$G$17+I343*Upgrades!$H$17)*POWER(Upgrades!$I$17,I343)))*(IF(Upgrades!$T$13="Brown Dwarf",POWER(Upgrades!$U$13,E343),1)*IF(Upgrades!$T$14="Brown Dwarf",POWER(Upgrades!$U$14,F343),1)*IF(Upgrades!$T$15="Brown Dwarf",POWER(Upgrades!$U$15,G343),1)*IF(Upgrades!$T$16="Brown Dwarf",POWER(Upgrades!$U$16,H343),1)*IF(Upgrades!$T$18="Brown Dwarf",POWER(Upgrades!$U$18,J343),1)*IF(Upgrades!$T$19="Brown Dwarf",POWER(Upgrades!$U$19,K343),1)*IF(Upgrades!$T$20="Brown Dwarf",POWER(Upgrades!$U$20,L343),1)*IF(Upgrades!$T$21="Brown Dwarf",POWER(Upgrades!$U$21,M343),1))*POWER(Upgrades!$P$13,E343)*POWER(Upgrades!$P$14,F343)*POWER(Upgrades!$P$15,G343)*POWER(Upgrades!$P$16,H343)*POWER(Upgrades!$P$17,I343)*POWER(Upgrades!$P$18,J343)*POWER(Upgrades!$P$19,K343)*POWER(Upgrades!$P$20,L343)*POWER(Upgrades!$P$21,M343)*$F$6*60</f>
        <v/>
      </c>
      <c r="AF343" s="27" t="n">
        <v>0</v>
      </c>
      <c r="AG343" s="27" t="n">
        <v>0</v>
      </c>
      <c r="AH343" s="27" t="n">
        <v>0</v>
      </c>
      <c r="AI343" s="27">
        <f>(IF(M343=0,0,(Upgrades!$G$21+M343*Upgrades!$H$21)*POWER(Upgrades!$I$21,M343)))*(IF(Upgrades!$T$13="Moving Group",POWER(Upgrades!$U$13,E343),1)*IF(Upgrades!$T$14="Moving Group",POWER(Upgrades!$U$14,F343),1)*IF(Upgrades!$T$15="Moving Group",POWER(Upgrades!$U$15,G343),1)*IF(Upgrades!$T$16="Moving Group",POWER(Upgrades!$U$16,H343),1)*IF(Upgrades!$T$17="Moving Group",POWER(Upgrades!$U$17,I343),1)*IF(Upgrades!$T$18="Moving Group",POWER(Upgrades!$U$18,J343),1)*IF(Upgrades!$T$19="Moving Group",POWER(Upgrades!$U$19,K343),1)*IF(Upgrades!$T$20="Moving Group",POWER(Upgrades!$U$20,L343),1))*POWER(Upgrades!$P$13,E343)*POWER(Upgrades!$P$14,F343)*POWER(Upgrades!$P$15,G343)*POWER(Upgrades!$P$16,H343)*POWER(Upgrades!$P$17,I343)*POWER(Upgrades!$P$18,J343)*POWER(Upgrades!$P$19,K343)*POWER(Upgrades!$P$20,L343)*POWER(Upgrades!$P$21,M343)*$F$6*60</f>
        <v/>
      </c>
      <c r="AJ343" s="27">
        <f>$C$6*60</f>
        <v/>
      </c>
      <c r="AK343" s="22">
        <f>IF(E343&gt;=Upgrades!$E$13,"",Upgrades!$C$13*POWER(Upgrades!$D$13,E343))</f>
        <v/>
      </c>
      <c r="AL343" s="22">
        <f>IF(F343&gt;=Upgrades!$E$14,"",Upgrades!$C$14*POWER(Upgrades!$D$14,F343))</f>
        <v/>
      </c>
      <c r="AM343" s="22">
        <f>IF(G343&gt;=Upgrades!$E$15,"",Upgrades!$C$15*POWER(Upgrades!$D$15,G343))</f>
        <v/>
      </c>
      <c r="AN343" s="22">
        <f>IF(H343&gt;=Upgrades!$E$16,"",Upgrades!$C$16*POWER(Upgrades!$D$16,H343))</f>
        <v/>
      </c>
      <c r="AO343" s="22">
        <f>IF(I343&gt;=Upgrades!$E$17,"",Upgrades!$C$17*POWER(Upgrades!$D$17,I343))</f>
        <v/>
      </c>
      <c r="AP343" s="22">
        <f>IF(J343&gt;=Upgrades!$E$18,"",Upgrades!$C$18*POWER(Upgrades!$D$18,J343))</f>
        <v/>
      </c>
      <c r="AQ343" s="22">
        <f>IF(K343&gt;=Upgrades!$E$19,"",Upgrades!$C$19*POWER(Upgrades!$D$19,K343))</f>
        <v/>
      </c>
      <c r="AR343" s="22">
        <f>IF(L343&gt;=Upgrades!$E$20,"",Upgrades!$C$20*POWER(Upgrades!$D$20,L343))</f>
        <v/>
      </c>
      <c r="AS343" s="22">
        <f>IF(M343&gt;=Upgrades!$E$21,"",Upgrades!$C$21*POWER(Upgrades!$D$21,M343))</f>
        <v/>
      </c>
      <c r="AT343" s="26">
        <f>IF(AND(D343&gt;=Parameters!$B$18*Parameters!$B$19,(I343&gt;=Upgrades!$E$17)*(M343&gt;=Upgrades!$E$21)=1,N343=0),1,"")</f>
        <v/>
      </c>
      <c r="AU343" s="26">
        <f>IF(AND(D343&gt;=Parameters!$B$18*Parameters!$B$19,N343=0),1,"")</f>
        <v/>
      </c>
      <c r="AV343" s="22">
        <f>MIN(IF(ISNUMBER(AP343),AP343,9E15),IF(ISNUMBER(AQ343),AQ343,9E15),IF(ISNUMBER(AR343),AR343,9E15),IF(ISNUMBER(AS343),AS343,9E15))</f>
        <v/>
      </c>
      <c r="AW343" s="22">
        <f>MIN(IF(ISNUMBER(AK343),AK343,9E15),IF(ISNUMBER(AL343),AL343,9E15),IF(ISNUMBER(AM343),AM343,9E15),IF(ISNUMBER(AN343),AN343,9E15),IF(ISNUMBER(AO343),AO343,9E15))</f>
        <v/>
      </c>
      <c r="AX343" s="29">
        <f>IF(BD343&gt;Parameters!$B$21*(MAX(IF(AND(NOT(AND(AU343=1,AT343&lt;&gt;1)),ISNUMBER(AK343),AK343&lt;=(C343+T343)),AY343,0),IF(AND(NOT(AND(AU343=1,AT343&lt;&gt;1)),ISNUMBER(AL343),AL343&lt;=(C343+T343)),AZ343,0),IF(AND(NOT(AND(AU343=1,AT343&lt;&gt;1)),ISNUMBER(AM343),AM343&lt;=(C343+T343)),BA343,0),IF(AND(NOT(AND(AU343=1,AT343&lt;&gt;1)),ISNUMBER(AN343),AN343&lt;=(C343+T343)),BB343,0),IF(AND(ISNUMBER(AO343),AO343&lt;=(C343+T343)),BC343,0))),TRUE,FALSE)</f>
        <v/>
      </c>
      <c r="AY343" s="32">
        <f>IFERROR(Upgrades!$H$13*(POWER(Upgrades!$P$13,E343)*POWER(Upgrades!$P$14,F343)*POWER(Upgrades!$P$15,G343)*POWER(Upgrades!$P$16,H343)*POWER(Upgrades!$P$17,I343)*POWER(Upgrades!$P$18,J343)*POWER(Upgrades!$P$19,K343)*POWER(Upgrades!$P$20,L343)*POWER(Upgrades!$P$21,M343))*(IF(Upgrades!$T$14="Stellar Kinematics",POWER(Upgrades!$U$14,F343),1)*IF(Upgrades!$T$15="Stellar Kinematics",POWER(Upgrades!$U$15,G343),1)*IF(Upgrades!$T$16="Stellar Kinematics",POWER(Upgrades!$U$16,H343),1)*IF(Upgrades!$T$17="Stellar Kinematics",POWER(Upgrades!$U$17,I343),1)*IF(Upgrades!$T$18="Stellar Kinematics",POWER(Upgrades!$U$18,J343),1)*IF(Upgrades!$T$19="Stellar Kinematics",POWER(Upgrades!$U$19,K343),1)*IF(Upgrades!$T$20="Stellar Kinematics",POWER(Upgrades!$U$20,L343),1)*IF(Upgrades!$T$21="Stellar Kinematics",POWER(Upgrades!$U$21,M343),1))*$F$6/AK343,0)</f>
        <v/>
      </c>
      <c r="AZ343" s="32">
        <f>IFERROR(Upgrades!$H$14*(POWER(Upgrades!$P$13,E343)*POWER(Upgrades!$P$14,F343)*POWER(Upgrades!$P$15,G343)*POWER(Upgrades!$P$16,H343)*POWER(Upgrades!$P$17,I343)*POWER(Upgrades!$P$18,J343)*POWER(Upgrades!$P$19,K343)*POWER(Upgrades!$P$20,L343)*POWER(Upgrades!$P$21,M343))*(IF(Upgrades!$T$13="Local Bubble",POWER(Upgrades!$U$13,E343),1)*IF(Upgrades!$T$15="Local Bubble",POWER(Upgrades!$U$15,G343),1)*IF(Upgrades!$T$16="Local Bubble",POWER(Upgrades!$U$16,H343),1)*IF(Upgrades!$T$17="Local Bubble",POWER(Upgrades!$U$17,I343),1)*IF(Upgrades!$T$18="Local Bubble",POWER(Upgrades!$U$18,J343),1)*IF(Upgrades!$T$19="Local Bubble",POWER(Upgrades!$U$19,K343),1)*IF(Upgrades!$T$20="Local Bubble",POWER(Upgrades!$U$20,L343),1)*IF(Upgrades!$T$21="Local Bubble",POWER(Upgrades!$U$21,M343),1))*$F$6/AL343,0)</f>
        <v/>
      </c>
      <c r="BA343" s="32">
        <f>IFERROR(Upgrades!$K$15*(POWER(Upgrades!$Q$13,E343)*POWER(Upgrades!$Q$14,F343)*POWER(Upgrades!$Q$15,G343)*POWER(Upgrades!$Q$16,H343)*POWER(Upgrades!$Q$17,I343)*POWER(Upgrades!$Q$18,J343)*POWER(Upgrades!$Q$19,K343)*POWER(Upgrades!$Q$20,L343)*POWER(Upgrades!$Q$21,M343))*(IF(Upgrades!$T$13="Microlensing",POWER(Upgrades!$U$13,E343),1)*IF(Upgrades!$T$14="Microlensing",POWER(Upgrades!$U$14,F343),1)*IF(Upgrades!$T$16="Microlensing",POWER(Upgrades!$U$16,H343),1)*IF(Upgrades!$T$17="Microlensing",POWER(Upgrades!$U$17,I343),1)*IF(Upgrades!$T$18="Microlensing",POWER(Upgrades!$U$18,J343),1)*IF(Upgrades!$T$19="Microlensing",POWER(Upgrades!$U$19,K343),1)*IF(Upgrades!$T$20="Microlensing",POWER(Upgrades!$U$20,L343),1)*IF(Upgrades!$T$21="Microlensing",POWER(Upgrades!$U$21,M343),1))*$G$6*(Parameters!$B$10/60*Parameters!$B$11+Q343)/AM343,0)</f>
        <v/>
      </c>
      <c r="BB343" s="32">
        <f>IFERROR((Upgrades!$N$16*(POWER(Upgrades!$R$13,E343)*POWER(Upgrades!$R$14,F343)*POWER(Upgrades!$R$15,G343)*POWER(Upgrades!$R$16,H343)*POWER(Upgrades!$R$17,I343)*POWER(Upgrades!$R$18,J343)*POWER(Upgrades!$R$19,K343)*POWER(Upgrades!$R$20,L343)*POWER(Upgrades!$R$21,M343))*(IF(Upgrades!$T$13="Roche Lobe Overflow",POWER(Upgrades!$U$13,E343),1)*IF(Upgrades!$T$14="Roche Lobe Overflow",POWER(Upgrades!$U$14,F343),1)*IF(Upgrades!$T$15="Roche Lobe Overflow",POWER(Upgrades!$U$15,G343),1)*IF(Upgrades!$T$17="Roche Lobe Overflow",POWER(Upgrades!$U$17,I343),1)*IF(Upgrades!$T$18="Roche Lobe Overflow",POWER(Upgrades!$U$18,J343),1)*IF(Upgrades!$T$19="Roche Lobe Overflow",POWER(Upgrades!$U$19,K343),1)*IF(Upgrades!$T$20="Roche Lobe Overflow",POWER(Upgrades!$U$20,L343),1)*IF(Upgrades!$T$21="Roche Lobe Overflow",POWER(Upgrades!$U$21,M343),1))*$H$6*O343+((IF(F343=0,0,(Upgrades!$G$14+F343*Upgrades!$H$14)*POWER(Upgrades!$I$14,F343)))*(IF(Upgrades!$T$13="Local Bubble",POWER(Upgrades!$U$13,E343),1)*IF(Upgrades!$T$15="Local Bubble",POWER(Upgrades!$U$15,G343),1)*IF(Upgrades!$T$16="Local Bubble",POWER(Upgrades!$U$16,H343),1)*IF(Upgrades!$T$17="Local Bubble",POWER(Upgrades!$U$17,I343),1)*IF(Upgrades!$T$18="Local Bubble",POWER(Upgrades!$U$18,J343),1)*IF(Upgrades!$T$19="Local Bubble",POWER(Upgrades!$U$19,K343),1)*IF(Upgrades!$T$20="Local Bubble",POWER(Upgrades!$U$20,L343),1)*IF(Upgrades!$T$21="Local Bubble",POWER(Upgrades!$U$21,M343),1))*POWER(Upgrades!$P$13,E343)*POWER(Upgrades!$P$14,F343)*POWER(Upgrades!$P$15,G343)*POWER(Upgrades!$P$16,H343)*POWER(Upgrades!$P$17,I343)*POWER(Upgrades!$P$18,J343)*POWER(Upgrades!$P$19,K343)*POWER(Upgrades!$P$20,L343)*POWER(Upgrades!$P$21,M343)*$F$6)*0.05)/AN343,0)</f>
        <v/>
      </c>
      <c r="BC343" s="32">
        <f>IFERROR((Upgrades!$H$17*(POWER(Upgrades!$P$13,E343)*POWER(Upgrades!$P$14,F343)*POWER(Upgrades!$P$15,G343)*POWER(Upgrades!$P$16,H343)*POWER(Upgrades!$P$17,I343)*POWER(Upgrades!$P$18,J343)*POWER(Upgrades!$P$19,K343)*POWER(Upgrades!$P$20,L343)*POWER(Upgrades!$P$21,M343))*(IF(Upgrades!$T$13="Brown Dwarf",POWER(Upgrades!$U$13,E343),1)*IF(Upgrades!$T$14="Brown Dwarf",POWER(Upgrades!$U$14,F343),1)*IF(Upgrades!$T$15="Brown Dwarf",POWER(Upgrades!$U$15,G343),1)*IF(Upgrades!$T$16="Brown Dwarf",POWER(Upgrades!$U$16,H343),1)*IF(Upgrades!$T$18="Brown Dwarf",POWER(Upgrades!$U$18,J343),1)*IF(Upgrades!$T$19="Brown Dwarf",POWER(Upgrades!$U$19,K343),1)*IF(Upgrades!$T$20="Brown Dwarf",POWER(Upgrades!$U$20,L343),1)*IF(Upgrades!$T$21="Brown Dwarf",POWER(Upgrades!$U$21,M343),1))*$F$6+(((IF(H343=0,0,(Upgrades!$M$16+H343*Upgrades!$N$16)*POWER(Upgrades!$O$16,H343)))*(IF(Upgrades!$T$13="Roche Lobe Overflow",POWER(Upgrades!$U$13,E343),1)*IF(Upgrades!$T$14="Roche Lobe Overflow",POWER(Upgrades!$U$14,F343),1)*IF(Upgrades!$T$15="Roche Lobe Overflow",POWER(Upgrades!$U$15,G343),1)*IF(Upgrades!$T$17="Roche Lobe Overflow",POWER(Upgrades!$U$17,I343),1)*IF(Upgrades!$T$18="Roche Lobe Overflow",POWER(Upgrades!$U$18,J343),1)*IF(Upgrades!$T$19="Roche Lobe Overflow",POWER(Upgrades!$U$19,K343),1)*IF(Upgrades!$T$20="Roche Lobe Overflow",POWER(Upgrades!$U$20,L343),1)*IF(Upgrades!$T$21="Roche Lobe Overflow",POWER(Upgrades!$U$21,M343),1))*POWER(Upgrades!$R$13,E343)*POWER(Upgrades!$R$14,F343)*POWER(Upgrades!$R$15,G343)*POWER(Upgrades!$R$16,H343)*POWER(Upgrades!$R$17,I343)*POWER(Upgrades!$R$18,J343)*POWER(Upgrades!$R$19,K343)*POWER(Upgrades!$R$20,L343)*POWER(Upgrades!$R$21,M343)*$H$6)*O343)*0.10)/AO343,0)</f>
        <v/>
      </c>
      <c r="BD343" s="32">
        <f>MAX(IF(J343&gt;0,0,IFERROR(0.5*((IF(G343=0,0,(Upgrades!$J$15+G343*Upgrades!$K$15)*POWER(Upgrades!$L$15,G343)))*(IF(Upgrades!$T$13="Microlensing",POWER(Upgrades!$U$13,E343),1)*IF(Upgrades!$T$14="Microlensing",POWER(Upgrades!$U$14,F343),1)*IF(Upgrades!$T$16="Microlensing",POWER(Upgrades!$U$16,H343),1)*IF(Upgrades!$T$17="Microlensing",POWER(Upgrades!$U$17,I343),1)*IF(Upgrades!$T$18="Microlensing",POWER(Upgrades!$U$18,J343),1)*IF(Upgrades!$T$19="Microlensing",POWER(Upgrades!$U$19,K343),1)*IF(Upgrades!$T$20="Microlensing",POWER(Upgrades!$U$20,L343),1)*IF(Upgrades!$T$21="Microlensing",POWER(Upgrades!$U$21,M343),1))*(POWER(Upgrades!$Q$13,E343)*POWER(Upgrades!$Q$14,F343)*POWER(Upgrades!$Q$15,G343)*POWER(Upgrades!$Q$16,H343)*POWER(Upgrades!$Q$17,I343)*POWER(Upgrades!$Q$18,J343)*POWER(Upgrades!$Q$19,K343)*POWER(Upgrades!$Q$20,L343)*POWER(Upgrades!$Q$21,M343))*$G$6*(Parameters!$B$10/60*Parameters!$B$11+Q343))/Upgrades!$C$18,0)),IF(K343&gt;0,0,IFERROR(0.30*P343/Upgrades!$C$19,0)),IF(L343&gt;0,0,IFERROR(0.0001/Upgrades!$C$20,0)),IF(M343&gt;0,0,IFERROR((6.0*(POWER(Upgrades!$P$13,E343)*POWER(Upgrades!$P$14,F343)*POWER(Upgrades!$P$15,G343)*POWER(Upgrades!$P$16,H343)*POWER(Upgrades!$P$17,I343)*POWER(Upgrades!$P$18,J343)*POWER(Upgrades!$P$19,K343)*POWER(Upgrades!$P$20,L343)*POWER(Upgrades!$P$21,M343))*$F$6+0.20*O343*(Parameters!$B$10/60*Parameters!$B$11+Q343))/Upgrades!$C$21,0)),IF(AND(ISNUMBER(AK343),AK343&gt;(C343+T343)),AY343,0),IF(AND(ISNUMBER(AL343),AL343&gt;(C343+T343)),AZ343,0),IF(AND(ISNUMBER(AM343),AM343&gt;(C343+T343)),BA343,0),IF(AND(ISNUMBER(AN343),AN343&gt;(C343+T343)),BB343,0),IF(AND(ISNUMBER(AO343),AO343&gt;(C343+T343)),BC343,0))</f>
        <v/>
      </c>
      <c r="BE343" s="29">
        <f>IF(AT343=1,"transition",IF(MIN(IF(AND(J343=0,ISNUMBER(AP343),AP343&lt;=(C343+T343)),AP343,9E15),IF(AND(K343=0,ISNUMBER(AQ343),AQ343&lt;=(C343+T343)),AQ343,9E15),IF(AND(L343=0,ISNUMBER(AR343),AR343&lt;=(C343+T343)),AR343,9E15),IF(AND(M343=0,ISNUMBER(AS343),AS343&lt;=(C343+T343)),AS343,9E15))&lt;9E15,IF(AND(AND(J343=0,ISNUMBER(AP343),AP343&lt;=(C343+T343)),AP343=MIN(IF(AND(J343=0,ISNUMBER(AP343),AP343&lt;=(C343+T343)),AP343,9E15),IF(AND(K343=0,ISNUMBER(AQ343),AQ343&lt;=(C343+T343)),AQ343,9E15),IF(AND(L343=0,ISNUMBER(AR343),AR343&lt;=(C343+T343)),AR343,9E15),IF(AND(M343=0,ISNUMBER(AS343),AS343&lt;=(C343+T343)),AS343,9E15))),"BiP",IF(AND(AND(K343=0,ISNUMBER(AQ343),AQ343&lt;=(C343+T343)),AQ343=MIN(IF(AND(J343=0,ISNUMBER(AP343),AP343&lt;=(C343+T343)),AP343,9E15),IF(AND(K343=0,ISNUMBER(AQ343),AQ343&lt;=(C343+T343)),AQ343,9E15),IF(AND(L343=0,ISNUMBER(AR343),AR343&lt;=(C343+T343)),AR343,9E15),IF(AND(M343=0,ISNUMBER(AS343),AS343&lt;=(C343+T343)),AS343,9E15))),"PV",IF(AND(AND(L343=0,ISNUMBER(AR343),AR343&lt;=(C343+T343)),AR343=MIN(IF(AND(J343=0,ISNUMBER(AP343),AP343&lt;=(C343+T343)),AP343,9E15),IF(AND(K343=0,ISNUMBER(AQ343),AQ343&lt;=(C343+T343)),AQ343,9E15),IF(AND(L343=0,ISNUMBER(AR343),AR343&lt;=(C343+T343)),AR343,9E15),IF(AND(M343=0,ISNUMBER(AS343),AS343&lt;=(C343+T343)),AS343,9E15))),"OC","MG"))),IF(AX343=TRUE,"",IF(MAX(IF(AND(NOT(AND(AU343=1,AT343&lt;&gt;1)),ISNUMBER(AK343),AK343&lt;=(C343+T343)),AY343,0),IF(AND(NOT(AND(AU343=1,AT343&lt;&gt;1)),ISNUMBER(AL343),AL343&lt;=(C343+T343)),AZ343,0),IF(AND(NOT(AND(AU343=1,AT343&lt;&gt;1)),ISNUMBER(AM343),AM343&lt;=(C343+T343)),BA343,0),IF(AND(NOT(AND(AU343=1,AT343&lt;&gt;1)),ISNUMBER(AN343),AN343&lt;=(C343+T343)),BB343,0),IF(AND(ISNUMBER(AO343),AO343&lt;=(C343+T343)),BC343,0))&lt;=0,"",IF(AND(IF(AND(NOT(AND(AU343=1,AT343&lt;&gt;1)),ISNUMBER(AK343),AK343&lt;=(C343+T343)),AY343,0)&gt;0,IF(AND(NOT(AND(AU343=1,AT343&lt;&gt;1)),ISNUMBER(AK343),AK343&lt;=(C343+T343)),AY343,0)=MAX(IF(AND(NOT(AND(AU343=1,AT343&lt;&gt;1)),ISNUMBER(AK343),AK343&lt;=(C343+T343)),AY343,0),IF(AND(NOT(AND(AU343=1,AT343&lt;&gt;1)),ISNUMBER(AL343),AL343&lt;=(C343+T343)),AZ343,0),IF(AND(NOT(AND(AU343=1,AT343&lt;&gt;1)),ISNUMBER(AM343),AM343&lt;=(C343+T343)),BA343,0),IF(AND(NOT(AND(AU343=1,AT343&lt;&gt;1)),ISNUMBER(AN343),AN343&lt;=(C343+T343)),BB343,0),IF(AND(ISNUMBER(AO343),AO343&lt;=(C343+T343)),BC343,0))),"SK",IF(AND(IF(AND(NOT(AND(AU343=1,AT343&lt;&gt;1)),ISNUMBER(AL343),AL343&lt;=(C343+T343)),AZ343,0)&gt;0,IF(AND(NOT(AND(AU343=1,AT343&lt;&gt;1)),ISNUMBER(AL343),AL343&lt;=(C343+T343)),AZ343,0)=MAX(IF(AND(NOT(AND(AU343=1,AT343&lt;&gt;1)),ISNUMBER(AK343),AK343&lt;=(C343+T343)),AY343,0),IF(AND(NOT(AND(AU343=1,AT343&lt;&gt;1)),ISNUMBER(AL343),AL343&lt;=(C343+T343)),AZ343,0),IF(AND(NOT(AND(AU343=1,AT343&lt;&gt;1)),ISNUMBER(AM343),AM343&lt;=(C343+T343)),BA343,0),IF(AND(NOT(AND(AU343=1,AT343&lt;&gt;1)),ISNUMBER(AN343),AN343&lt;=(C343+T343)),BB343,0),IF(AND(ISNUMBER(AO343),AO343&lt;=(C343+T343)),BC343,0))),"LB",IF(AND(IF(AND(NOT(AND(AU343=1,AT343&lt;&gt;1)),ISNUMBER(AM343),AM343&lt;=(C343+T343)),BA343,0)&gt;0,IF(AND(NOT(AND(AU343=1,AT343&lt;&gt;1)),ISNUMBER(AM343),AM343&lt;=(C343+T343)),BA343,0)=MAX(IF(AND(NOT(AND(AU343=1,AT343&lt;&gt;1)),ISNUMBER(AK343),AK343&lt;=(C343+T343)),AY343,0),IF(AND(NOT(AND(AU343=1,AT343&lt;&gt;1)),ISNUMBER(AL343),AL343&lt;=(C343+T343)),AZ343,0),IF(AND(NOT(AND(AU343=1,AT343&lt;&gt;1)),ISNUMBER(AM343),AM343&lt;=(C343+T343)),BA343,0),IF(AND(NOT(AND(AU343=1,AT343&lt;&gt;1)),ISNUMBER(AN343),AN343&lt;=(C343+T343)),BB343,0),IF(AND(ISNUMBER(AO343),AO343&lt;=(C343+T343)),BC343,0))),"ML",IF(AND(IF(AND(NOT(AND(AU343=1,AT343&lt;&gt;1)),ISNUMBER(AN343),AN343&lt;=(C343+T343)),BB343,0)&gt;0,IF(AND(NOT(AND(AU343=1,AT343&lt;&gt;1)),ISNUMBER(AN343),AN343&lt;=(C343+T343)),BB343,0)=MAX(IF(AND(NOT(AND(AU343=1,AT343&lt;&gt;1)),ISNUMBER(AK343),AK343&lt;=(C343+T343)),AY343,0),IF(AND(NOT(AND(AU343=1,AT343&lt;&gt;1)),ISNUMBER(AL343),AL343&lt;=(C343+T343)),AZ343,0),IF(AND(NOT(AND(AU343=1,AT343&lt;&gt;1)),ISNUMBER(AM343),AM343&lt;=(C343+T343)),BA343,0),IF(AND(NOT(AND(AU343=1,AT343&lt;&gt;1)),ISNUMBER(AN343),AN343&lt;=(C343+T343)),BB343,0),IF(AND(ISNUMBER(AO343),AO343&lt;=(C343+T343)),BC343,0))),"RLO","BD"))))))))</f>
        <v/>
      </c>
    </row>
    <row r="344">
      <c r="A344" s="26" t="n">
        <v>333</v>
      </c>
      <c r="B344" s="27">
        <f>A344*10/60</f>
        <v/>
      </c>
      <c r="C344" s="22">
        <f>X343</f>
        <v/>
      </c>
      <c r="D344" s="27">
        <f>D343+W343</f>
        <v/>
      </c>
      <c r="E344" s="26">
        <f>E343+IF(U343="SK",1,0)</f>
        <v/>
      </c>
      <c r="F344" s="26">
        <f>F343+IF(U343="LB",1,0)</f>
        <v/>
      </c>
      <c r="G344" s="26">
        <f>G343+IF(U343="ML",1,0)</f>
        <v/>
      </c>
      <c r="H344" s="26">
        <f>H343+IF(U343="RLO",1,0)</f>
        <v/>
      </c>
      <c r="I344" s="26">
        <f>I343+IF(U343="BD",1,0)</f>
        <v/>
      </c>
      <c r="J344" s="26">
        <f>MAX(J343,IF(U343="BiP",1,0))</f>
        <v/>
      </c>
      <c r="K344" s="26">
        <f>MAX(K343,IF(U343="PV",1,0))</f>
        <v/>
      </c>
      <c r="L344" s="26">
        <f>MAX(L343,IF(U343="OC",1,0))</f>
        <v/>
      </c>
      <c r="M344" s="26">
        <f>MAX(M343,IF(U343="MG",1,0))</f>
        <v/>
      </c>
      <c r="N344" s="26">
        <f>MAX(N343,IF(U343="transition",1,0))</f>
        <v/>
      </c>
      <c r="O344" s="28">
        <f>(Parameters!$B$9+(IF(E344=0,0,(Upgrades!$J$13+E344*Upgrades!$K$13)*POWER(Upgrades!$L$13,E344)))*(IF(Upgrades!$T$14="Stellar Kinematics",POWER(Upgrades!$U$14,F344),1)*IF(Upgrades!$T$15="Stellar Kinematics",POWER(Upgrades!$U$15,G344),1)*IF(Upgrades!$T$16="Stellar Kinematics",POWER(Upgrades!$U$16,H344),1)*IF(Upgrades!$T$17="Stellar Kinematics",POWER(Upgrades!$U$17,I344),1)*IF(Upgrades!$T$18="Stellar Kinematics",POWER(Upgrades!$U$18,J344),1)*IF(Upgrades!$T$19="Stellar Kinematics",POWER(Upgrades!$U$19,K344),1)*IF(Upgrades!$T$20="Stellar Kinematics",POWER(Upgrades!$U$20,L344),1)*IF(Upgrades!$T$21="Stellar Kinematics",POWER(Upgrades!$U$21,M344),1))+(IF(F344=0,0,(Upgrades!$J$14+F344*Upgrades!$K$14)*POWER(Upgrades!$L$14,F344)))*(IF(Upgrades!$T$13="Local Bubble",POWER(Upgrades!$U$13,E344),1)*IF(Upgrades!$T$15="Local Bubble",POWER(Upgrades!$U$15,G344),1)*IF(Upgrades!$T$16="Local Bubble",POWER(Upgrades!$U$16,H344),1)*IF(Upgrades!$T$17="Local Bubble",POWER(Upgrades!$U$17,I344),1)*IF(Upgrades!$T$18="Local Bubble",POWER(Upgrades!$U$18,J344),1)*IF(Upgrades!$T$19="Local Bubble",POWER(Upgrades!$U$19,K344),1)*IF(Upgrades!$T$20="Local Bubble",POWER(Upgrades!$U$20,L344),1)*IF(Upgrades!$T$21="Local Bubble",POWER(Upgrades!$U$21,M344),1))+(IF(G344=0,0,(Upgrades!$J$15+G344*Upgrades!$K$15)*POWER(Upgrades!$L$15,G344)))*(IF(Upgrades!$T$13="Microlensing",POWER(Upgrades!$U$13,E344),1)*IF(Upgrades!$T$14="Microlensing",POWER(Upgrades!$U$14,F344),1)*IF(Upgrades!$T$16="Microlensing",POWER(Upgrades!$U$16,H344),1)*IF(Upgrades!$T$17="Microlensing",POWER(Upgrades!$U$17,I344),1)*IF(Upgrades!$T$18="Microlensing",POWER(Upgrades!$U$18,J344),1)*IF(Upgrades!$T$19="Microlensing",POWER(Upgrades!$U$19,K344),1)*IF(Upgrades!$T$20="Microlensing",POWER(Upgrades!$U$20,L344),1)*IF(Upgrades!$T$21="Microlensing",POWER(Upgrades!$U$21,M344),1))+(IF(H344=0,0,(Upgrades!$J$16+H344*Upgrades!$K$16)*POWER(Upgrades!$L$16,H344)))*(IF(Upgrades!$T$13="Roche Lobe Overflow",POWER(Upgrades!$U$13,E344),1)*IF(Upgrades!$T$14="Roche Lobe Overflow",POWER(Upgrades!$U$14,F344),1)*IF(Upgrades!$T$15="Roche Lobe Overflow",POWER(Upgrades!$U$15,G344),1)*IF(Upgrades!$T$17="Roche Lobe Overflow",POWER(Upgrades!$U$17,I344),1)*IF(Upgrades!$T$18="Roche Lobe Overflow",POWER(Upgrades!$U$18,J344),1)*IF(Upgrades!$T$19="Roche Lobe Overflow",POWER(Upgrades!$U$19,K344),1)*IF(Upgrades!$T$20="Roche Lobe Overflow",POWER(Upgrades!$U$20,L344),1)*IF(Upgrades!$T$21="Roche Lobe Overflow",POWER(Upgrades!$U$21,M344),1))+(IF(I344=0,0,(Upgrades!$J$17+I344*Upgrades!$K$17)*POWER(Upgrades!$L$17,I344)))*(IF(Upgrades!$T$13="Brown Dwarf",POWER(Upgrades!$U$13,E344),1)*IF(Upgrades!$T$14="Brown Dwarf",POWER(Upgrades!$U$14,F344),1)*IF(Upgrades!$T$15="Brown Dwarf",POWER(Upgrades!$U$15,G344),1)*IF(Upgrades!$T$16="Brown Dwarf",POWER(Upgrades!$U$16,H344),1)*IF(Upgrades!$T$18="Brown Dwarf",POWER(Upgrades!$U$18,J344),1)*IF(Upgrades!$T$19="Brown Dwarf",POWER(Upgrades!$U$19,K344),1)*IF(Upgrades!$T$20="Brown Dwarf",POWER(Upgrades!$U$20,L344),1)*IF(Upgrades!$T$21="Brown Dwarf",POWER(Upgrades!$U$21,M344),1))+(IF(J344=0,0,(Upgrades!$J$18+J344*Upgrades!$K$18)*POWER(Upgrades!$L$18,J344)))*(IF(Upgrades!$T$13="Binary Partner",POWER(Upgrades!$U$13,E344),1)*IF(Upgrades!$T$14="Binary Partner",POWER(Upgrades!$U$14,F344),1)*IF(Upgrades!$T$15="Binary Partner",POWER(Upgrades!$U$15,G344),1)*IF(Upgrades!$T$16="Binary Partner",POWER(Upgrades!$U$16,H344),1)*IF(Upgrades!$T$17="Binary Partner",POWER(Upgrades!$U$17,I344),1)*IF(Upgrades!$T$19="Binary Partner",POWER(Upgrades!$U$19,K344),1)*IF(Upgrades!$T$20="Binary Partner",POWER(Upgrades!$U$20,L344),1)*IF(Upgrades!$T$21="Binary Partner",POWER(Upgrades!$U$21,M344),1))+(IF(K344=0,0,(Upgrades!$J$19+K344*Upgrades!$K$19)*POWER(Upgrades!$L$19,K344)))*(IF(Upgrades!$T$13="Peculiar Velocity",POWER(Upgrades!$U$13,E344),1)*IF(Upgrades!$T$14="Peculiar Velocity",POWER(Upgrades!$U$14,F344),1)*IF(Upgrades!$T$15="Peculiar Velocity",POWER(Upgrades!$U$15,G344),1)*IF(Upgrades!$T$16="Peculiar Velocity",POWER(Upgrades!$U$16,H344),1)*IF(Upgrades!$T$17="Peculiar Velocity",POWER(Upgrades!$U$17,I344),1)*IF(Upgrades!$T$18="Peculiar Velocity",POWER(Upgrades!$U$18,J344),1)*IF(Upgrades!$T$20="Peculiar Velocity",POWER(Upgrades!$U$20,L344),1)*IF(Upgrades!$T$21="Peculiar Velocity",POWER(Upgrades!$U$21,M344),1))+(IF(L344=0,0,(Upgrades!$J$20+L344*Upgrades!$K$20)*POWER(Upgrades!$L$20,L344)))*(IF(Upgrades!$T$13="Open Cluster",POWER(Upgrades!$U$13,E344),1)*IF(Upgrades!$T$14="Open Cluster",POWER(Upgrades!$U$14,F344),1)*IF(Upgrades!$T$15="Open Cluster",POWER(Upgrades!$U$15,G344),1)*IF(Upgrades!$T$16="Open Cluster",POWER(Upgrades!$U$16,H344),1)*IF(Upgrades!$T$17="Open Cluster",POWER(Upgrades!$U$17,I344),1)*IF(Upgrades!$T$18="Open Cluster",POWER(Upgrades!$U$18,J344),1)*IF(Upgrades!$T$19="Open Cluster",POWER(Upgrades!$U$19,K344),1)*IF(Upgrades!$T$21="Open Cluster",POWER(Upgrades!$U$21,M344),1))+(IF(M344=0,0,(Upgrades!$J$21+M344*Upgrades!$K$21)*POWER(Upgrades!$L$21,M344)))*(IF(Upgrades!$T$13="Moving Group",POWER(Upgrades!$U$13,E344),1)*IF(Upgrades!$T$14="Moving Group",POWER(Upgrades!$U$14,F344),1)*IF(Upgrades!$T$15="Moving Group",POWER(Upgrades!$U$15,G344),1)*IF(Upgrades!$T$16="Moving Group",POWER(Upgrades!$U$16,H344),1)*IF(Upgrades!$T$17="Moving Group",POWER(Upgrades!$U$17,I344),1)*IF(Upgrades!$T$18="Moving Group",POWER(Upgrades!$U$18,J344),1)*IF(Upgrades!$T$19="Moving Group",POWER(Upgrades!$U$19,K344),1)*IF(Upgrades!$T$20="Moving Group",POWER(Upgrades!$U$20,L344),1)))*POWER(Upgrades!$Q$13,E344)*POWER(Upgrades!$Q$14,F344)*POWER(Upgrades!$Q$15,G344)*POWER(Upgrades!$Q$16,H344)*POWER(Upgrades!$Q$17,I344)*POWER(Upgrades!$Q$18,J344)*POWER(Upgrades!$Q$19,K344)*POWER(Upgrades!$Q$20,L344)*POWER(Upgrades!$Q$21,M344)*$G$6+$D$6</f>
        <v/>
      </c>
      <c r="P344" s="28">
        <f>((IF(E344=0,0,(Upgrades!$G$13+E344*Upgrades!$H$13)*POWER(Upgrades!$I$13,E344)))*(IF(Upgrades!$T$14="Stellar Kinematics",POWER(Upgrades!$U$14,F344),1)*IF(Upgrades!$T$15="Stellar Kinematics",POWER(Upgrades!$U$15,G344),1)*IF(Upgrades!$T$16="Stellar Kinematics",POWER(Upgrades!$U$16,H344),1)*IF(Upgrades!$T$17="Stellar Kinematics",POWER(Upgrades!$U$17,I344),1)*IF(Upgrades!$T$18="Stellar Kinematics",POWER(Upgrades!$U$18,J344),1)*IF(Upgrades!$T$19="Stellar Kinematics",POWER(Upgrades!$U$19,K344),1)*IF(Upgrades!$T$20="Stellar Kinematics",POWER(Upgrades!$U$20,L344),1)*IF(Upgrades!$T$21="Stellar Kinematics",POWER(Upgrades!$U$21,M344),1))+(IF(F344=0,0,(Upgrades!$G$14+F344*Upgrades!$H$14)*POWER(Upgrades!$I$14,F344)))*(IF(Upgrades!$T$13="Local Bubble",POWER(Upgrades!$U$13,E344),1)*IF(Upgrades!$T$15="Local Bubble",POWER(Upgrades!$U$15,G344),1)*IF(Upgrades!$T$16="Local Bubble",POWER(Upgrades!$U$16,H344),1)*IF(Upgrades!$T$17="Local Bubble",POWER(Upgrades!$U$17,I344),1)*IF(Upgrades!$T$18="Local Bubble",POWER(Upgrades!$U$18,J344),1)*IF(Upgrades!$T$19="Local Bubble",POWER(Upgrades!$U$19,K344),1)*IF(Upgrades!$T$20="Local Bubble",POWER(Upgrades!$U$20,L344),1)*IF(Upgrades!$T$21="Local Bubble",POWER(Upgrades!$U$21,M344),1))+(IF(G344=0,0,(Upgrades!$G$15+G344*Upgrades!$H$15)*POWER(Upgrades!$I$15,G344)))*(IF(Upgrades!$T$13="Microlensing",POWER(Upgrades!$U$13,E344),1)*IF(Upgrades!$T$14="Microlensing",POWER(Upgrades!$U$14,F344),1)*IF(Upgrades!$T$16="Microlensing",POWER(Upgrades!$U$16,H344),1)*IF(Upgrades!$T$17="Microlensing",POWER(Upgrades!$U$17,I344),1)*IF(Upgrades!$T$18="Microlensing",POWER(Upgrades!$U$18,J344),1)*IF(Upgrades!$T$19="Microlensing",POWER(Upgrades!$U$19,K344),1)*IF(Upgrades!$T$20="Microlensing",POWER(Upgrades!$U$20,L344),1)*IF(Upgrades!$T$21="Microlensing",POWER(Upgrades!$U$21,M344),1))+(IF(H344=0,0,(Upgrades!$G$16+H344*Upgrades!$H$16)*POWER(Upgrades!$I$16,H344)))*(IF(Upgrades!$T$13="Roche Lobe Overflow",POWER(Upgrades!$U$13,E344),1)*IF(Upgrades!$T$14="Roche Lobe Overflow",POWER(Upgrades!$U$14,F344),1)*IF(Upgrades!$T$15="Roche Lobe Overflow",POWER(Upgrades!$U$15,G344),1)*IF(Upgrades!$T$17="Roche Lobe Overflow",POWER(Upgrades!$U$17,I344),1)*IF(Upgrades!$T$18="Roche Lobe Overflow",POWER(Upgrades!$U$18,J344),1)*IF(Upgrades!$T$19="Roche Lobe Overflow",POWER(Upgrades!$U$19,K344),1)*IF(Upgrades!$T$20="Roche Lobe Overflow",POWER(Upgrades!$U$20,L344),1)*IF(Upgrades!$T$21="Roche Lobe Overflow",POWER(Upgrades!$U$21,M344),1))+(IF(I344=0,0,(Upgrades!$G$17+I344*Upgrades!$H$17)*POWER(Upgrades!$I$17,I344)))*(IF(Upgrades!$T$13="Brown Dwarf",POWER(Upgrades!$U$13,E344),1)*IF(Upgrades!$T$14="Brown Dwarf",POWER(Upgrades!$U$14,F344),1)*IF(Upgrades!$T$15="Brown Dwarf",POWER(Upgrades!$U$15,G344),1)*IF(Upgrades!$T$16="Brown Dwarf",POWER(Upgrades!$U$16,H344),1)*IF(Upgrades!$T$18="Brown Dwarf",POWER(Upgrades!$U$18,J344),1)*IF(Upgrades!$T$19="Brown Dwarf",POWER(Upgrades!$U$19,K344),1)*IF(Upgrades!$T$20="Brown Dwarf",POWER(Upgrades!$U$20,L344),1)*IF(Upgrades!$T$21="Brown Dwarf",POWER(Upgrades!$U$21,M344),1))+(IF(J344=0,0,(Upgrades!$G$18+J344*Upgrades!$H$18)*POWER(Upgrades!$I$18,J344)))*(IF(Upgrades!$T$13="Binary Partner",POWER(Upgrades!$U$13,E344),1)*IF(Upgrades!$T$14="Binary Partner",POWER(Upgrades!$U$14,F344),1)*IF(Upgrades!$T$15="Binary Partner",POWER(Upgrades!$U$15,G344),1)*IF(Upgrades!$T$16="Binary Partner",POWER(Upgrades!$U$16,H344),1)*IF(Upgrades!$T$17="Binary Partner",POWER(Upgrades!$U$17,I344),1)*IF(Upgrades!$T$19="Binary Partner",POWER(Upgrades!$U$19,K344),1)*IF(Upgrades!$T$20="Binary Partner",POWER(Upgrades!$U$20,L344),1)*IF(Upgrades!$T$21="Binary Partner",POWER(Upgrades!$U$21,M344),1))+(IF(K344=0,0,(Upgrades!$G$19+K344*Upgrades!$H$19)*POWER(Upgrades!$I$19,K344)))*(IF(Upgrades!$T$13="Peculiar Velocity",POWER(Upgrades!$U$13,E344),1)*IF(Upgrades!$T$14="Peculiar Velocity",POWER(Upgrades!$U$14,F344),1)*IF(Upgrades!$T$15="Peculiar Velocity",POWER(Upgrades!$U$15,G344),1)*IF(Upgrades!$T$16="Peculiar Velocity",POWER(Upgrades!$U$16,H344),1)*IF(Upgrades!$T$17="Peculiar Velocity",POWER(Upgrades!$U$17,I344),1)*IF(Upgrades!$T$18="Peculiar Velocity",POWER(Upgrades!$U$18,J344),1)*IF(Upgrades!$T$20="Peculiar Velocity",POWER(Upgrades!$U$20,L344),1)*IF(Upgrades!$T$21="Peculiar Velocity",POWER(Upgrades!$U$21,M344),1))+(IF(L344=0,0,(Upgrades!$G$20+L344*Upgrades!$H$20)*POWER(Upgrades!$I$20,L344)))*(IF(Upgrades!$T$13="Open Cluster",POWER(Upgrades!$U$13,E344),1)*IF(Upgrades!$T$14="Open Cluster",POWER(Upgrades!$U$14,F344),1)*IF(Upgrades!$T$15="Open Cluster",POWER(Upgrades!$U$15,G344),1)*IF(Upgrades!$T$16="Open Cluster",POWER(Upgrades!$U$16,H344),1)*IF(Upgrades!$T$17="Open Cluster",POWER(Upgrades!$U$17,I344),1)*IF(Upgrades!$T$18="Open Cluster",POWER(Upgrades!$U$18,J344),1)*IF(Upgrades!$T$19="Open Cluster",POWER(Upgrades!$U$19,K344),1)*IF(Upgrades!$T$21="Open Cluster",POWER(Upgrades!$U$21,M344),1))+(IF(M344=0,0,(Upgrades!$G$21+M344*Upgrades!$H$21)*POWER(Upgrades!$I$21,M344)))*(IF(Upgrades!$T$13="Moving Group",POWER(Upgrades!$U$13,E344),1)*IF(Upgrades!$T$14="Moving Group",POWER(Upgrades!$U$14,F344),1)*IF(Upgrades!$T$15="Moving Group",POWER(Upgrades!$U$15,G344),1)*IF(Upgrades!$T$16="Moving Group",POWER(Upgrades!$U$16,H344),1)*IF(Upgrades!$T$17="Moving Group",POWER(Upgrades!$U$17,I344),1)*IF(Upgrades!$T$18="Moving Group",POWER(Upgrades!$U$18,J344),1)*IF(Upgrades!$T$19="Moving Group",POWER(Upgrades!$U$19,K344),1)*IF(Upgrades!$T$20="Moving Group",POWER(Upgrades!$U$20,L344),1)))*POWER(Upgrades!$P$13,E344)*POWER(Upgrades!$P$14,F344)*POWER(Upgrades!$P$15,G344)*POWER(Upgrades!$P$16,H344)*POWER(Upgrades!$P$17,I344)*POWER(Upgrades!$P$18,J344)*POWER(Upgrades!$P$19,K344)*POWER(Upgrades!$P$20,L344)*POWER(Upgrades!$P$21,M344)*$F$6+$C$6</f>
        <v/>
      </c>
      <c r="Q344" s="28">
        <f>((IF(E344=0,0,(Upgrades!$M$13+E344*Upgrades!$N$13)*POWER(Upgrades!$O$13,E344)))*(IF(Upgrades!$T$14="Stellar Kinematics",POWER(Upgrades!$U$14,F344),1)*IF(Upgrades!$T$15="Stellar Kinematics",POWER(Upgrades!$U$15,G344),1)*IF(Upgrades!$T$16="Stellar Kinematics",POWER(Upgrades!$U$16,H344),1)*IF(Upgrades!$T$17="Stellar Kinematics",POWER(Upgrades!$U$17,I344),1)*IF(Upgrades!$T$18="Stellar Kinematics",POWER(Upgrades!$U$18,J344),1)*IF(Upgrades!$T$19="Stellar Kinematics",POWER(Upgrades!$U$19,K344),1)*IF(Upgrades!$T$20="Stellar Kinematics",POWER(Upgrades!$U$20,L344),1)*IF(Upgrades!$T$21="Stellar Kinematics",POWER(Upgrades!$U$21,M344),1))+(IF(F344=0,0,(Upgrades!$M$14+F344*Upgrades!$N$14)*POWER(Upgrades!$O$14,F344)))*(IF(Upgrades!$T$13="Local Bubble",POWER(Upgrades!$U$13,E344),1)*IF(Upgrades!$T$15="Local Bubble",POWER(Upgrades!$U$15,G344),1)*IF(Upgrades!$T$16="Local Bubble",POWER(Upgrades!$U$16,H344),1)*IF(Upgrades!$T$17="Local Bubble",POWER(Upgrades!$U$17,I344),1)*IF(Upgrades!$T$18="Local Bubble",POWER(Upgrades!$U$18,J344),1)*IF(Upgrades!$T$19="Local Bubble",POWER(Upgrades!$U$19,K344),1)*IF(Upgrades!$T$20="Local Bubble",POWER(Upgrades!$U$20,L344),1)*IF(Upgrades!$T$21="Local Bubble",POWER(Upgrades!$U$21,M344),1))+(IF(G344=0,0,(Upgrades!$M$15+G344*Upgrades!$N$15)*POWER(Upgrades!$O$15,G344)))*(IF(Upgrades!$T$13="Microlensing",POWER(Upgrades!$U$13,E344),1)*IF(Upgrades!$T$14="Microlensing",POWER(Upgrades!$U$14,F344),1)*IF(Upgrades!$T$16="Microlensing",POWER(Upgrades!$U$16,H344),1)*IF(Upgrades!$T$17="Microlensing",POWER(Upgrades!$U$17,I344),1)*IF(Upgrades!$T$18="Microlensing",POWER(Upgrades!$U$18,J344),1)*IF(Upgrades!$T$19="Microlensing",POWER(Upgrades!$U$19,K344),1)*IF(Upgrades!$T$20="Microlensing",POWER(Upgrades!$U$20,L344),1)*IF(Upgrades!$T$21="Microlensing",POWER(Upgrades!$U$21,M344),1))+(IF(H344=0,0,(Upgrades!$M$16+H344*Upgrades!$N$16)*POWER(Upgrades!$O$16,H344)))*(IF(Upgrades!$T$13="Roche Lobe Overflow",POWER(Upgrades!$U$13,E344),1)*IF(Upgrades!$T$14="Roche Lobe Overflow",POWER(Upgrades!$U$14,F344),1)*IF(Upgrades!$T$15="Roche Lobe Overflow",POWER(Upgrades!$U$15,G344),1)*IF(Upgrades!$T$17="Roche Lobe Overflow",POWER(Upgrades!$U$17,I344),1)*IF(Upgrades!$T$18="Roche Lobe Overflow",POWER(Upgrades!$U$18,J344),1)*IF(Upgrades!$T$19="Roche Lobe Overflow",POWER(Upgrades!$U$19,K344),1)*IF(Upgrades!$T$20="Roche Lobe Overflow",POWER(Upgrades!$U$20,L344),1)*IF(Upgrades!$T$21="Roche Lobe Overflow",POWER(Upgrades!$U$21,M344),1))+(IF(I344=0,0,(Upgrades!$M$17+I344*Upgrades!$N$17)*POWER(Upgrades!$O$17,I344)))*(IF(Upgrades!$T$13="Brown Dwarf",POWER(Upgrades!$U$13,E344),1)*IF(Upgrades!$T$14="Brown Dwarf",POWER(Upgrades!$U$14,F344),1)*IF(Upgrades!$T$15="Brown Dwarf",POWER(Upgrades!$U$15,G344),1)*IF(Upgrades!$T$16="Brown Dwarf",POWER(Upgrades!$U$16,H344),1)*IF(Upgrades!$T$18="Brown Dwarf",POWER(Upgrades!$U$18,J344),1)*IF(Upgrades!$T$19="Brown Dwarf",POWER(Upgrades!$U$19,K344),1)*IF(Upgrades!$T$20="Brown Dwarf",POWER(Upgrades!$U$20,L344),1)*IF(Upgrades!$T$21="Brown Dwarf",POWER(Upgrades!$U$21,M344),1))+(IF(J344=0,0,(Upgrades!$M$18+J344*Upgrades!$N$18)*POWER(Upgrades!$O$18,J344)))*(IF(Upgrades!$T$13="Binary Partner",POWER(Upgrades!$U$13,E344),1)*IF(Upgrades!$T$14="Binary Partner",POWER(Upgrades!$U$14,F344),1)*IF(Upgrades!$T$15="Binary Partner",POWER(Upgrades!$U$15,G344),1)*IF(Upgrades!$T$16="Binary Partner",POWER(Upgrades!$U$16,H344),1)*IF(Upgrades!$T$17="Binary Partner",POWER(Upgrades!$U$17,I344),1)*IF(Upgrades!$T$19="Binary Partner",POWER(Upgrades!$U$19,K344),1)*IF(Upgrades!$T$20="Binary Partner",POWER(Upgrades!$U$20,L344),1)*IF(Upgrades!$T$21="Binary Partner",POWER(Upgrades!$U$21,M344),1))+(IF(K344=0,0,(Upgrades!$M$19+K344*Upgrades!$N$19)*POWER(Upgrades!$O$19,K344)))*(IF(Upgrades!$T$13="Peculiar Velocity",POWER(Upgrades!$U$13,E344),1)*IF(Upgrades!$T$14="Peculiar Velocity",POWER(Upgrades!$U$14,F344),1)*IF(Upgrades!$T$15="Peculiar Velocity",POWER(Upgrades!$U$15,G344),1)*IF(Upgrades!$T$16="Peculiar Velocity",POWER(Upgrades!$U$16,H344),1)*IF(Upgrades!$T$17="Peculiar Velocity",POWER(Upgrades!$U$17,I344),1)*IF(Upgrades!$T$18="Peculiar Velocity",POWER(Upgrades!$U$18,J344),1)*IF(Upgrades!$T$20="Peculiar Velocity",POWER(Upgrades!$U$20,L344),1)*IF(Upgrades!$T$21="Peculiar Velocity",POWER(Upgrades!$U$21,M344),1))+(IF(L344=0,0,(Upgrades!$M$20+L344*Upgrades!$N$20)*POWER(Upgrades!$O$20,L344)))*(IF(Upgrades!$T$13="Open Cluster",POWER(Upgrades!$U$13,E344),1)*IF(Upgrades!$T$14="Open Cluster",POWER(Upgrades!$U$14,F344),1)*IF(Upgrades!$T$15="Open Cluster",POWER(Upgrades!$U$15,G344),1)*IF(Upgrades!$T$16="Open Cluster",POWER(Upgrades!$U$16,H344),1)*IF(Upgrades!$T$17="Open Cluster",POWER(Upgrades!$U$17,I344),1)*IF(Upgrades!$T$18="Open Cluster",POWER(Upgrades!$U$18,J344),1)*IF(Upgrades!$T$19="Open Cluster",POWER(Upgrades!$U$19,K344),1)*IF(Upgrades!$T$21="Open Cluster",POWER(Upgrades!$U$21,M344),1))+(IF(M344=0,0,(Upgrades!$M$21+M344*Upgrades!$N$21)*POWER(Upgrades!$O$21,M344)))*(IF(Upgrades!$T$13="Moving Group",POWER(Upgrades!$U$13,E344),1)*IF(Upgrades!$T$14="Moving Group",POWER(Upgrades!$U$14,F344),1)*IF(Upgrades!$T$15="Moving Group",POWER(Upgrades!$U$15,G344),1)*IF(Upgrades!$T$16="Moving Group",POWER(Upgrades!$U$16,H344),1)*IF(Upgrades!$T$17="Moving Group",POWER(Upgrades!$U$17,I344),1)*IF(Upgrades!$T$18="Moving Group",POWER(Upgrades!$U$18,J344),1)*IF(Upgrades!$T$19="Moving Group",POWER(Upgrades!$U$19,K344),1)*IF(Upgrades!$T$20="Moving Group",POWER(Upgrades!$U$20,L344),1)))*POWER(Upgrades!$R$13,E344)*POWER(Upgrades!$R$14,F344)*POWER(Upgrades!$R$15,G344)*POWER(Upgrades!$R$16,H344)*POWER(Upgrades!$R$17,I344)*POWER(Upgrades!$R$18,J344)*POWER(Upgrades!$R$19,K344)*POWER(Upgrades!$R$20,L344)*POWER(Upgrades!$R$21,M344)*$H$6+$E$6</f>
        <v/>
      </c>
      <c r="R344" s="27">
        <f>IF(N344=1,0,O344*Parameters!$B$10/60*Parameters!$B$11*10)</f>
        <v/>
      </c>
      <c r="S344" s="27">
        <f>IF(N344=1,0,Q344*O344*10)</f>
        <v/>
      </c>
      <c r="T344" s="27">
        <f>IF(N344=1,0,R344+S344+P344*10)</f>
        <v/>
      </c>
      <c r="U344" s="33">
        <f>BE344</f>
        <v/>
      </c>
      <c r="V344" s="22">
        <f>IF(U344="",0,IF(U344="transition",0,IF(U344="SK",AK344,IF(U344="LB",AL344,IF(U344="ML",AM344,IF(U344="RLO",AN344,IF(U344="BD",AO344,IF(U344="BiP",AP344,IF(U344="PV",AQ344,IF(U344="OC",AR344,IF(U344="MG",AS344,0))))))))))</f>
        <v/>
      </c>
      <c r="W344" s="27">
        <f>IF(U344="BiP",Upgrades!$F$18,IF(U344="PV",Upgrades!$F$19,IF(U344="OC",Upgrades!$F$20,IF(U344="MG",Upgrades!$F$21,IF(U344="transition",-Parameters!$B$18*Parameters!$B$19,0)))))</f>
        <v/>
      </c>
      <c r="X344" s="22">
        <f>C344+T344-V344</f>
        <v/>
      </c>
      <c r="Y344" s="30">
        <f>O344*Parameters!$B$10/60*Parameters!$B$11+Q344*O344+P344</f>
        <v/>
      </c>
      <c r="Z344" s="34">
        <f>IF(U344="transition","→ Tier 3 (Galactic Arm)",IF(U344="MG","Moving Group — pocket drifts together",IF(U344="OC","Open Cluster acquired",IF(U344="PV","Peculiar Velocity — passive multiplier active",IF(U344="BiP","Binary Partner — pair bond formed",IF(AND(AU344=1,N344=0,AT344&lt;&gt;1),"Cohesion ready (waiting on completionists)","")))))) </f>
        <v/>
      </c>
      <c r="AA344" s="27">
        <f>(IF(E344=0,0,(Upgrades!$G$13+E344*Upgrades!$H$13)*POWER(Upgrades!$I$13,E344)))*(IF(Upgrades!$T$14="Stellar Kinematics",POWER(Upgrades!$U$14,F344),1)*IF(Upgrades!$T$15="Stellar Kinematics",POWER(Upgrades!$U$15,G344),1)*IF(Upgrades!$T$16="Stellar Kinematics",POWER(Upgrades!$U$16,H344),1)*IF(Upgrades!$T$17="Stellar Kinematics",POWER(Upgrades!$U$17,I344),1)*IF(Upgrades!$T$18="Stellar Kinematics",POWER(Upgrades!$U$18,J344),1)*IF(Upgrades!$T$19="Stellar Kinematics",POWER(Upgrades!$U$19,K344),1)*IF(Upgrades!$T$20="Stellar Kinematics",POWER(Upgrades!$U$20,L344),1)*IF(Upgrades!$T$21="Stellar Kinematics",POWER(Upgrades!$U$21,M344),1))*POWER(Upgrades!$P$13,E344)*POWER(Upgrades!$P$14,F344)*POWER(Upgrades!$P$15,G344)*POWER(Upgrades!$P$16,H344)*POWER(Upgrades!$P$17,I344)*POWER(Upgrades!$P$18,J344)*POWER(Upgrades!$P$19,K344)*POWER(Upgrades!$P$20,L344)*POWER(Upgrades!$P$21,M344)*$F$6*60</f>
        <v/>
      </c>
      <c r="AB344" s="27">
        <f>(IF(F344=0,0,(Upgrades!$G$14+F344*Upgrades!$H$14)*POWER(Upgrades!$I$14,F344)))*(IF(Upgrades!$T$13="Local Bubble",POWER(Upgrades!$U$13,E344),1)*IF(Upgrades!$T$15="Local Bubble",POWER(Upgrades!$U$15,G344),1)*IF(Upgrades!$T$16="Local Bubble",POWER(Upgrades!$U$16,H344),1)*IF(Upgrades!$T$17="Local Bubble",POWER(Upgrades!$U$17,I344),1)*IF(Upgrades!$T$18="Local Bubble",POWER(Upgrades!$U$18,J344),1)*IF(Upgrades!$T$19="Local Bubble",POWER(Upgrades!$U$19,K344),1)*IF(Upgrades!$T$20="Local Bubble",POWER(Upgrades!$U$20,L344),1)*IF(Upgrades!$T$21="Local Bubble",POWER(Upgrades!$U$21,M344),1))*POWER(Upgrades!$P$13,E344)*POWER(Upgrades!$P$14,F344)*POWER(Upgrades!$P$15,G344)*POWER(Upgrades!$P$16,H344)*POWER(Upgrades!$P$17,I344)*POWER(Upgrades!$P$18,J344)*POWER(Upgrades!$P$19,K344)*POWER(Upgrades!$P$20,L344)*POWER(Upgrades!$P$21,M344)*$F$6*60</f>
        <v/>
      </c>
      <c r="AC344" s="27">
        <f>(IF(G344=0,0,(Upgrades!$J$15+G344*Upgrades!$K$15)*POWER(Upgrades!$L$15,G344)))*(IF(Upgrades!$T$13="Microlensing",POWER(Upgrades!$U$13,E344),1)*IF(Upgrades!$T$14="Microlensing",POWER(Upgrades!$U$14,F344),1)*IF(Upgrades!$T$16="Microlensing",POWER(Upgrades!$U$16,H344),1)*IF(Upgrades!$T$17="Microlensing",POWER(Upgrades!$U$17,I344),1)*IF(Upgrades!$T$18="Microlensing",POWER(Upgrades!$U$18,J344),1)*IF(Upgrades!$T$19="Microlensing",POWER(Upgrades!$U$19,K344),1)*IF(Upgrades!$T$20="Microlensing",POWER(Upgrades!$U$20,L344),1)*IF(Upgrades!$T$21="Microlensing",POWER(Upgrades!$U$21,M344),1))*POWER(Upgrades!$Q$13,E344)*POWER(Upgrades!$Q$14,F344)*POWER(Upgrades!$Q$15,G344)*POWER(Upgrades!$Q$16,H344)*POWER(Upgrades!$Q$17,I344)*POWER(Upgrades!$Q$18,J344)*POWER(Upgrades!$Q$19,K344)*POWER(Upgrades!$Q$20,L344)*POWER(Upgrades!$Q$21,M344)*$G$6*(Parameters!$B$10*Parameters!$B$11+Q344*60)</f>
        <v/>
      </c>
      <c r="AD344" s="27">
        <f>(IF(H344=0,0,(Upgrades!$M$16+H344*Upgrades!$N$16)*POWER(Upgrades!$O$16,H344)))*(IF(Upgrades!$T$13="Roche Lobe Overflow",POWER(Upgrades!$U$13,E344),1)*IF(Upgrades!$T$14="Roche Lobe Overflow",POWER(Upgrades!$U$14,F344),1)*IF(Upgrades!$T$15="Roche Lobe Overflow",POWER(Upgrades!$U$15,G344),1)*IF(Upgrades!$T$17="Roche Lobe Overflow",POWER(Upgrades!$U$17,I344),1)*IF(Upgrades!$T$18="Roche Lobe Overflow",POWER(Upgrades!$U$18,J344),1)*IF(Upgrades!$T$19="Roche Lobe Overflow",POWER(Upgrades!$U$19,K344),1)*IF(Upgrades!$T$20="Roche Lobe Overflow",POWER(Upgrades!$U$20,L344),1)*IF(Upgrades!$T$21="Roche Lobe Overflow",POWER(Upgrades!$U$21,M344),1))*POWER(Upgrades!$R$13,E344)*POWER(Upgrades!$R$14,F344)*POWER(Upgrades!$R$15,G344)*POWER(Upgrades!$R$16,H344)*POWER(Upgrades!$R$17,I344)*POWER(Upgrades!$R$18,J344)*POWER(Upgrades!$R$19,K344)*POWER(Upgrades!$R$20,L344)*POWER(Upgrades!$R$21,M344)*$H$6*O344*60</f>
        <v/>
      </c>
      <c r="AE344" s="27">
        <f>(IF(I344=0,0,(Upgrades!$G$17+I344*Upgrades!$H$17)*POWER(Upgrades!$I$17,I344)))*(IF(Upgrades!$T$13="Brown Dwarf",POWER(Upgrades!$U$13,E344),1)*IF(Upgrades!$T$14="Brown Dwarf",POWER(Upgrades!$U$14,F344),1)*IF(Upgrades!$T$15="Brown Dwarf",POWER(Upgrades!$U$15,G344),1)*IF(Upgrades!$T$16="Brown Dwarf",POWER(Upgrades!$U$16,H344),1)*IF(Upgrades!$T$18="Brown Dwarf",POWER(Upgrades!$U$18,J344),1)*IF(Upgrades!$T$19="Brown Dwarf",POWER(Upgrades!$U$19,K344),1)*IF(Upgrades!$T$20="Brown Dwarf",POWER(Upgrades!$U$20,L344),1)*IF(Upgrades!$T$21="Brown Dwarf",POWER(Upgrades!$U$21,M344),1))*POWER(Upgrades!$P$13,E344)*POWER(Upgrades!$P$14,F344)*POWER(Upgrades!$P$15,G344)*POWER(Upgrades!$P$16,H344)*POWER(Upgrades!$P$17,I344)*POWER(Upgrades!$P$18,J344)*POWER(Upgrades!$P$19,K344)*POWER(Upgrades!$P$20,L344)*POWER(Upgrades!$P$21,M344)*$F$6*60</f>
        <v/>
      </c>
      <c r="AF344" s="27" t="n">
        <v>0</v>
      </c>
      <c r="AG344" s="27" t="n">
        <v>0</v>
      </c>
      <c r="AH344" s="27" t="n">
        <v>0</v>
      </c>
      <c r="AI344" s="27">
        <f>(IF(M344=0,0,(Upgrades!$G$21+M344*Upgrades!$H$21)*POWER(Upgrades!$I$21,M344)))*(IF(Upgrades!$T$13="Moving Group",POWER(Upgrades!$U$13,E344),1)*IF(Upgrades!$T$14="Moving Group",POWER(Upgrades!$U$14,F344),1)*IF(Upgrades!$T$15="Moving Group",POWER(Upgrades!$U$15,G344),1)*IF(Upgrades!$T$16="Moving Group",POWER(Upgrades!$U$16,H344),1)*IF(Upgrades!$T$17="Moving Group",POWER(Upgrades!$U$17,I344),1)*IF(Upgrades!$T$18="Moving Group",POWER(Upgrades!$U$18,J344),1)*IF(Upgrades!$T$19="Moving Group",POWER(Upgrades!$U$19,K344),1)*IF(Upgrades!$T$20="Moving Group",POWER(Upgrades!$U$20,L344),1))*POWER(Upgrades!$P$13,E344)*POWER(Upgrades!$P$14,F344)*POWER(Upgrades!$P$15,G344)*POWER(Upgrades!$P$16,H344)*POWER(Upgrades!$P$17,I344)*POWER(Upgrades!$P$18,J344)*POWER(Upgrades!$P$19,K344)*POWER(Upgrades!$P$20,L344)*POWER(Upgrades!$P$21,M344)*$F$6*60</f>
        <v/>
      </c>
      <c r="AJ344" s="27">
        <f>$C$6*60</f>
        <v/>
      </c>
      <c r="AK344" s="22">
        <f>IF(E344&gt;=Upgrades!$E$13,"",Upgrades!$C$13*POWER(Upgrades!$D$13,E344))</f>
        <v/>
      </c>
      <c r="AL344" s="22">
        <f>IF(F344&gt;=Upgrades!$E$14,"",Upgrades!$C$14*POWER(Upgrades!$D$14,F344))</f>
        <v/>
      </c>
      <c r="AM344" s="22">
        <f>IF(G344&gt;=Upgrades!$E$15,"",Upgrades!$C$15*POWER(Upgrades!$D$15,G344))</f>
        <v/>
      </c>
      <c r="AN344" s="22">
        <f>IF(H344&gt;=Upgrades!$E$16,"",Upgrades!$C$16*POWER(Upgrades!$D$16,H344))</f>
        <v/>
      </c>
      <c r="AO344" s="22">
        <f>IF(I344&gt;=Upgrades!$E$17,"",Upgrades!$C$17*POWER(Upgrades!$D$17,I344))</f>
        <v/>
      </c>
      <c r="AP344" s="22">
        <f>IF(J344&gt;=Upgrades!$E$18,"",Upgrades!$C$18*POWER(Upgrades!$D$18,J344))</f>
        <v/>
      </c>
      <c r="AQ344" s="22">
        <f>IF(K344&gt;=Upgrades!$E$19,"",Upgrades!$C$19*POWER(Upgrades!$D$19,K344))</f>
        <v/>
      </c>
      <c r="AR344" s="22">
        <f>IF(L344&gt;=Upgrades!$E$20,"",Upgrades!$C$20*POWER(Upgrades!$D$20,L344))</f>
        <v/>
      </c>
      <c r="AS344" s="22">
        <f>IF(M344&gt;=Upgrades!$E$21,"",Upgrades!$C$21*POWER(Upgrades!$D$21,M344))</f>
        <v/>
      </c>
      <c r="AT344" s="26">
        <f>IF(AND(D344&gt;=Parameters!$B$18*Parameters!$B$19,(I344&gt;=Upgrades!$E$17)*(M344&gt;=Upgrades!$E$21)=1,N344=0),1,"")</f>
        <v/>
      </c>
      <c r="AU344" s="26">
        <f>IF(AND(D344&gt;=Parameters!$B$18*Parameters!$B$19,N344=0),1,"")</f>
        <v/>
      </c>
      <c r="AV344" s="22">
        <f>MIN(IF(ISNUMBER(AP344),AP344,9E15),IF(ISNUMBER(AQ344),AQ344,9E15),IF(ISNUMBER(AR344),AR344,9E15),IF(ISNUMBER(AS344),AS344,9E15))</f>
        <v/>
      </c>
      <c r="AW344" s="22">
        <f>MIN(IF(ISNUMBER(AK344),AK344,9E15),IF(ISNUMBER(AL344),AL344,9E15),IF(ISNUMBER(AM344),AM344,9E15),IF(ISNUMBER(AN344),AN344,9E15),IF(ISNUMBER(AO344),AO344,9E15))</f>
        <v/>
      </c>
      <c r="AX344" s="29">
        <f>IF(BD344&gt;Parameters!$B$21*(MAX(IF(AND(NOT(AND(AU344=1,AT344&lt;&gt;1)),ISNUMBER(AK344),AK344&lt;=(C344+T344)),AY344,0),IF(AND(NOT(AND(AU344=1,AT344&lt;&gt;1)),ISNUMBER(AL344),AL344&lt;=(C344+T344)),AZ344,0),IF(AND(NOT(AND(AU344=1,AT344&lt;&gt;1)),ISNUMBER(AM344),AM344&lt;=(C344+T344)),BA344,0),IF(AND(NOT(AND(AU344=1,AT344&lt;&gt;1)),ISNUMBER(AN344),AN344&lt;=(C344+T344)),BB344,0),IF(AND(ISNUMBER(AO344),AO344&lt;=(C344+T344)),BC344,0))),TRUE,FALSE)</f>
        <v/>
      </c>
      <c r="AY344" s="32">
        <f>IFERROR(Upgrades!$H$13*(POWER(Upgrades!$P$13,E344)*POWER(Upgrades!$P$14,F344)*POWER(Upgrades!$P$15,G344)*POWER(Upgrades!$P$16,H344)*POWER(Upgrades!$P$17,I344)*POWER(Upgrades!$P$18,J344)*POWER(Upgrades!$P$19,K344)*POWER(Upgrades!$P$20,L344)*POWER(Upgrades!$P$21,M344))*(IF(Upgrades!$T$14="Stellar Kinematics",POWER(Upgrades!$U$14,F344),1)*IF(Upgrades!$T$15="Stellar Kinematics",POWER(Upgrades!$U$15,G344),1)*IF(Upgrades!$T$16="Stellar Kinematics",POWER(Upgrades!$U$16,H344),1)*IF(Upgrades!$T$17="Stellar Kinematics",POWER(Upgrades!$U$17,I344),1)*IF(Upgrades!$T$18="Stellar Kinematics",POWER(Upgrades!$U$18,J344),1)*IF(Upgrades!$T$19="Stellar Kinematics",POWER(Upgrades!$U$19,K344),1)*IF(Upgrades!$T$20="Stellar Kinematics",POWER(Upgrades!$U$20,L344),1)*IF(Upgrades!$T$21="Stellar Kinematics",POWER(Upgrades!$U$21,M344),1))*$F$6/AK344,0)</f>
        <v/>
      </c>
      <c r="AZ344" s="32">
        <f>IFERROR(Upgrades!$H$14*(POWER(Upgrades!$P$13,E344)*POWER(Upgrades!$P$14,F344)*POWER(Upgrades!$P$15,G344)*POWER(Upgrades!$P$16,H344)*POWER(Upgrades!$P$17,I344)*POWER(Upgrades!$P$18,J344)*POWER(Upgrades!$P$19,K344)*POWER(Upgrades!$P$20,L344)*POWER(Upgrades!$P$21,M344))*(IF(Upgrades!$T$13="Local Bubble",POWER(Upgrades!$U$13,E344),1)*IF(Upgrades!$T$15="Local Bubble",POWER(Upgrades!$U$15,G344),1)*IF(Upgrades!$T$16="Local Bubble",POWER(Upgrades!$U$16,H344),1)*IF(Upgrades!$T$17="Local Bubble",POWER(Upgrades!$U$17,I344),1)*IF(Upgrades!$T$18="Local Bubble",POWER(Upgrades!$U$18,J344),1)*IF(Upgrades!$T$19="Local Bubble",POWER(Upgrades!$U$19,K344),1)*IF(Upgrades!$T$20="Local Bubble",POWER(Upgrades!$U$20,L344),1)*IF(Upgrades!$T$21="Local Bubble",POWER(Upgrades!$U$21,M344),1))*$F$6/AL344,0)</f>
        <v/>
      </c>
      <c r="BA344" s="32">
        <f>IFERROR(Upgrades!$K$15*(POWER(Upgrades!$Q$13,E344)*POWER(Upgrades!$Q$14,F344)*POWER(Upgrades!$Q$15,G344)*POWER(Upgrades!$Q$16,H344)*POWER(Upgrades!$Q$17,I344)*POWER(Upgrades!$Q$18,J344)*POWER(Upgrades!$Q$19,K344)*POWER(Upgrades!$Q$20,L344)*POWER(Upgrades!$Q$21,M344))*(IF(Upgrades!$T$13="Microlensing",POWER(Upgrades!$U$13,E344),1)*IF(Upgrades!$T$14="Microlensing",POWER(Upgrades!$U$14,F344),1)*IF(Upgrades!$T$16="Microlensing",POWER(Upgrades!$U$16,H344),1)*IF(Upgrades!$T$17="Microlensing",POWER(Upgrades!$U$17,I344),1)*IF(Upgrades!$T$18="Microlensing",POWER(Upgrades!$U$18,J344),1)*IF(Upgrades!$T$19="Microlensing",POWER(Upgrades!$U$19,K344),1)*IF(Upgrades!$T$20="Microlensing",POWER(Upgrades!$U$20,L344),1)*IF(Upgrades!$T$21="Microlensing",POWER(Upgrades!$U$21,M344),1))*$G$6*(Parameters!$B$10/60*Parameters!$B$11+Q344)/AM344,0)</f>
        <v/>
      </c>
      <c r="BB344" s="32">
        <f>IFERROR((Upgrades!$N$16*(POWER(Upgrades!$R$13,E344)*POWER(Upgrades!$R$14,F344)*POWER(Upgrades!$R$15,G344)*POWER(Upgrades!$R$16,H344)*POWER(Upgrades!$R$17,I344)*POWER(Upgrades!$R$18,J344)*POWER(Upgrades!$R$19,K344)*POWER(Upgrades!$R$20,L344)*POWER(Upgrades!$R$21,M344))*(IF(Upgrades!$T$13="Roche Lobe Overflow",POWER(Upgrades!$U$13,E344),1)*IF(Upgrades!$T$14="Roche Lobe Overflow",POWER(Upgrades!$U$14,F344),1)*IF(Upgrades!$T$15="Roche Lobe Overflow",POWER(Upgrades!$U$15,G344),1)*IF(Upgrades!$T$17="Roche Lobe Overflow",POWER(Upgrades!$U$17,I344),1)*IF(Upgrades!$T$18="Roche Lobe Overflow",POWER(Upgrades!$U$18,J344),1)*IF(Upgrades!$T$19="Roche Lobe Overflow",POWER(Upgrades!$U$19,K344),1)*IF(Upgrades!$T$20="Roche Lobe Overflow",POWER(Upgrades!$U$20,L344),1)*IF(Upgrades!$T$21="Roche Lobe Overflow",POWER(Upgrades!$U$21,M344),1))*$H$6*O344+((IF(F344=0,0,(Upgrades!$G$14+F344*Upgrades!$H$14)*POWER(Upgrades!$I$14,F344)))*(IF(Upgrades!$T$13="Local Bubble",POWER(Upgrades!$U$13,E344),1)*IF(Upgrades!$T$15="Local Bubble",POWER(Upgrades!$U$15,G344),1)*IF(Upgrades!$T$16="Local Bubble",POWER(Upgrades!$U$16,H344),1)*IF(Upgrades!$T$17="Local Bubble",POWER(Upgrades!$U$17,I344),1)*IF(Upgrades!$T$18="Local Bubble",POWER(Upgrades!$U$18,J344),1)*IF(Upgrades!$T$19="Local Bubble",POWER(Upgrades!$U$19,K344),1)*IF(Upgrades!$T$20="Local Bubble",POWER(Upgrades!$U$20,L344),1)*IF(Upgrades!$T$21="Local Bubble",POWER(Upgrades!$U$21,M344),1))*POWER(Upgrades!$P$13,E344)*POWER(Upgrades!$P$14,F344)*POWER(Upgrades!$P$15,G344)*POWER(Upgrades!$P$16,H344)*POWER(Upgrades!$P$17,I344)*POWER(Upgrades!$P$18,J344)*POWER(Upgrades!$P$19,K344)*POWER(Upgrades!$P$20,L344)*POWER(Upgrades!$P$21,M344)*$F$6)*0.05)/AN344,0)</f>
        <v/>
      </c>
      <c r="BC344" s="32">
        <f>IFERROR((Upgrades!$H$17*(POWER(Upgrades!$P$13,E344)*POWER(Upgrades!$P$14,F344)*POWER(Upgrades!$P$15,G344)*POWER(Upgrades!$P$16,H344)*POWER(Upgrades!$P$17,I344)*POWER(Upgrades!$P$18,J344)*POWER(Upgrades!$P$19,K344)*POWER(Upgrades!$P$20,L344)*POWER(Upgrades!$P$21,M344))*(IF(Upgrades!$T$13="Brown Dwarf",POWER(Upgrades!$U$13,E344),1)*IF(Upgrades!$T$14="Brown Dwarf",POWER(Upgrades!$U$14,F344),1)*IF(Upgrades!$T$15="Brown Dwarf",POWER(Upgrades!$U$15,G344),1)*IF(Upgrades!$T$16="Brown Dwarf",POWER(Upgrades!$U$16,H344),1)*IF(Upgrades!$T$18="Brown Dwarf",POWER(Upgrades!$U$18,J344),1)*IF(Upgrades!$T$19="Brown Dwarf",POWER(Upgrades!$U$19,K344),1)*IF(Upgrades!$T$20="Brown Dwarf",POWER(Upgrades!$U$20,L344),1)*IF(Upgrades!$T$21="Brown Dwarf",POWER(Upgrades!$U$21,M344),1))*$F$6+(((IF(H344=0,0,(Upgrades!$M$16+H344*Upgrades!$N$16)*POWER(Upgrades!$O$16,H344)))*(IF(Upgrades!$T$13="Roche Lobe Overflow",POWER(Upgrades!$U$13,E344),1)*IF(Upgrades!$T$14="Roche Lobe Overflow",POWER(Upgrades!$U$14,F344),1)*IF(Upgrades!$T$15="Roche Lobe Overflow",POWER(Upgrades!$U$15,G344),1)*IF(Upgrades!$T$17="Roche Lobe Overflow",POWER(Upgrades!$U$17,I344),1)*IF(Upgrades!$T$18="Roche Lobe Overflow",POWER(Upgrades!$U$18,J344),1)*IF(Upgrades!$T$19="Roche Lobe Overflow",POWER(Upgrades!$U$19,K344),1)*IF(Upgrades!$T$20="Roche Lobe Overflow",POWER(Upgrades!$U$20,L344),1)*IF(Upgrades!$T$21="Roche Lobe Overflow",POWER(Upgrades!$U$21,M344),1))*POWER(Upgrades!$R$13,E344)*POWER(Upgrades!$R$14,F344)*POWER(Upgrades!$R$15,G344)*POWER(Upgrades!$R$16,H344)*POWER(Upgrades!$R$17,I344)*POWER(Upgrades!$R$18,J344)*POWER(Upgrades!$R$19,K344)*POWER(Upgrades!$R$20,L344)*POWER(Upgrades!$R$21,M344)*$H$6)*O344)*0.10)/AO344,0)</f>
        <v/>
      </c>
      <c r="BD344" s="32">
        <f>MAX(IF(J344&gt;0,0,IFERROR(0.5*((IF(G344=0,0,(Upgrades!$J$15+G344*Upgrades!$K$15)*POWER(Upgrades!$L$15,G344)))*(IF(Upgrades!$T$13="Microlensing",POWER(Upgrades!$U$13,E344),1)*IF(Upgrades!$T$14="Microlensing",POWER(Upgrades!$U$14,F344),1)*IF(Upgrades!$T$16="Microlensing",POWER(Upgrades!$U$16,H344),1)*IF(Upgrades!$T$17="Microlensing",POWER(Upgrades!$U$17,I344),1)*IF(Upgrades!$T$18="Microlensing",POWER(Upgrades!$U$18,J344),1)*IF(Upgrades!$T$19="Microlensing",POWER(Upgrades!$U$19,K344),1)*IF(Upgrades!$T$20="Microlensing",POWER(Upgrades!$U$20,L344),1)*IF(Upgrades!$T$21="Microlensing",POWER(Upgrades!$U$21,M344),1))*(POWER(Upgrades!$Q$13,E344)*POWER(Upgrades!$Q$14,F344)*POWER(Upgrades!$Q$15,G344)*POWER(Upgrades!$Q$16,H344)*POWER(Upgrades!$Q$17,I344)*POWER(Upgrades!$Q$18,J344)*POWER(Upgrades!$Q$19,K344)*POWER(Upgrades!$Q$20,L344)*POWER(Upgrades!$Q$21,M344))*$G$6*(Parameters!$B$10/60*Parameters!$B$11+Q344))/Upgrades!$C$18,0)),IF(K344&gt;0,0,IFERROR(0.30*P344/Upgrades!$C$19,0)),IF(L344&gt;0,0,IFERROR(0.0001/Upgrades!$C$20,0)),IF(M344&gt;0,0,IFERROR((6.0*(POWER(Upgrades!$P$13,E344)*POWER(Upgrades!$P$14,F344)*POWER(Upgrades!$P$15,G344)*POWER(Upgrades!$P$16,H344)*POWER(Upgrades!$P$17,I344)*POWER(Upgrades!$P$18,J344)*POWER(Upgrades!$P$19,K344)*POWER(Upgrades!$P$20,L344)*POWER(Upgrades!$P$21,M344))*$F$6+0.20*O344*(Parameters!$B$10/60*Parameters!$B$11+Q344))/Upgrades!$C$21,0)),IF(AND(ISNUMBER(AK344),AK344&gt;(C344+T344)),AY344,0),IF(AND(ISNUMBER(AL344),AL344&gt;(C344+T344)),AZ344,0),IF(AND(ISNUMBER(AM344),AM344&gt;(C344+T344)),BA344,0),IF(AND(ISNUMBER(AN344),AN344&gt;(C344+T344)),BB344,0),IF(AND(ISNUMBER(AO344),AO344&gt;(C344+T344)),BC344,0))</f>
        <v/>
      </c>
      <c r="BE344" s="29">
        <f>IF(AT344=1,"transition",IF(MIN(IF(AND(J344=0,ISNUMBER(AP344),AP344&lt;=(C344+T344)),AP344,9E15),IF(AND(K344=0,ISNUMBER(AQ344),AQ344&lt;=(C344+T344)),AQ344,9E15),IF(AND(L344=0,ISNUMBER(AR344),AR344&lt;=(C344+T344)),AR344,9E15),IF(AND(M344=0,ISNUMBER(AS344),AS344&lt;=(C344+T344)),AS344,9E15))&lt;9E15,IF(AND(AND(J344=0,ISNUMBER(AP344),AP344&lt;=(C344+T344)),AP344=MIN(IF(AND(J344=0,ISNUMBER(AP344),AP344&lt;=(C344+T344)),AP344,9E15),IF(AND(K344=0,ISNUMBER(AQ344),AQ344&lt;=(C344+T344)),AQ344,9E15),IF(AND(L344=0,ISNUMBER(AR344),AR344&lt;=(C344+T344)),AR344,9E15),IF(AND(M344=0,ISNUMBER(AS344),AS344&lt;=(C344+T344)),AS344,9E15))),"BiP",IF(AND(AND(K344=0,ISNUMBER(AQ344),AQ344&lt;=(C344+T344)),AQ344=MIN(IF(AND(J344=0,ISNUMBER(AP344),AP344&lt;=(C344+T344)),AP344,9E15),IF(AND(K344=0,ISNUMBER(AQ344),AQ344&lt;=(C344+T344)),AQ344,9E15),IF(AND(L344=0,ISNUMBER(AR344),AR344&lt;=(C344+T344)),AR344,9E15),IF(AND(M344=0,ISNUMBER(AS344),AS344&lt;=(C344+T344)),AS344,9E15))),"PV",IF(AND(AND(L344=0,ISNUMBER(AR344),AR344&lt;=(C344+T344)),AR344=MIN(IF(AND(J344=0,ISNUMBER(AP344),AP344&lt;=(C344+T344)),AP344,9E15),IF(AND(K344=0,ISNUMBER(AQ344),AQ344&lt;=(C344+T344)),AQ344,9E15),IF(AND(L344=0,ISNUMBER(AR344),AR344&lt;=(C344+T344)),AR344,9E15),IF(AND(M344=0,ISNUMBER(AS344),AS344&lt;=(C344+T344)),AS344,9E15))),"OC","MG"))),IF(AX344=TRUE,"",IF(MAX(IF(AND(NOT(AND(AU344=1,AT344&lt;&gt;1)),ISNUMBER(AK344),AK344&lt;=(C344+T344)),AY344,0),IF(AND(NOT(AND(AU344=1,AT344&lt;&gt;1)),ISNUMBER(AL344),AL344&lt;=(C344+T344)),AZ344,0),IF(AND(NOT(AND(AU344=1,AT344&lt;&gt;1)),ISNUMBER(AM344),AM344&lt;=(C344+T344)),BA344,0),IF(AND(NOT(AND(AU344=1,AT344&lt;&gt;1)),ISNUMBER(AN344),AN344&lt;=(C344+T344)),BB344,0),IF(AND(ISNUMBER(AO344),AO344&lt;=(C344+T344)),BC344,0))&lt;=0,"",IF(AND(IF(AND(NOT(AND(AU344=1,AT344&lt;&gt;1)),ISNUMBER(AK344),AK344&lt;=(C344+T344)),AY344,0)&gt;0,IF(AND(NOT(AND(AU344=1,AT344&lt;&gt;1)),ISNUMBER(AK344),AK344&lt;=(C344+T344)),AY344,0)=MAX(IF(AND(NOT(AND(AU344=1,AT344&lt;&gt;1)),ISNUMBER(AK344),AK344&lt;=(C344+T344)),AY344,0),IF(AND(NOT(AND(AU344=1,AT344&lt;&gt;1)),ISNUMBER(AL344),AL344&lt;=(C344+T344)),AZ344,0),IF(AND(NOT(AND(AU344=1,AT344&lt;&gt;1)),ISNUMBER(AM344),AM344&lt;=(C344+T344)),BA344,0),IF(AND(NOT(AND(AU344=1,AT344&lt;&gt;1)),ISNUMBER(AN344),AN344&lt;=(C344+T344)),BB344,0),IF(AND(ISNUMBER(AO344),AO344&lt;=(C344+T344)),BC344,0))),"SK",IF(AND(IF(AND(NOT(AND(AU344=1,AT344&lt;&gt;1)),ISNUMBER(AL344),AL344&lt;=(C344+T344)),AZ344,0)&gt;0,IF(AND(NOT(AND(AU344=1,AT344&lt;&gt;1)),ISNUMBER(AL344),AL344&lt;=(C344+T344)),AZ344,0)=MAX(IF(AND(NOT(AND(AU344=1,AT344&lt;&gt;1)),ISNUMBER(AK344),AK344&lt;=(C344+T344)),AY344,0),IF(AND(NOT(AND(AU344=1,AT344&lt;&gt;1)),ISNUMBER(AL344),AL344&lt;=(C344+T344)),AZ344,0),IF(AND(NOT(AND(AU344=1,AT344&lt;&gt;1)),ISNUMBER(AM344),AM344&lt;=(C344+T344)),BA344,0),IF(AND(NOT(AND(AU344=1,AT344&lt;&gt;1)),ISNUMBER(AN344),AN344&lt;=(C344+T344)),BB344,0),IF(AND(ISNUMBER(AO344),AO344&lt;=(C344+T344)),BC344,0))),"LB",IF(AND(IF(AND(NOT(AND(AU344=1,AT344&lt;&gt;1)),ISNUMBER(AM344),AM344&lt;=(C344+T344)),BA344,0)&gt;0,IF(AND(NOT(AND(AU344=1,AT344&lt;&gt;1)),ISNUMBER(AM344),AM344&lt;=(C344+T344)),BA344,0)=MAX(IF(AND(NOT(AND(AU344=1,AT344&lt;&gt;1)),ISNUMBER(AK344),AK344&lt;=(C344+T344)),AY344,0),IF(AND(NOT(AND(AU344=1,AT344&lt;&gt;1)),ISNUMBER(AL344),AL344&lt;=(C344+T344)),AZ344,0),IF(AND(NOT(AND(AU344=1,AT344&lt;&gt;1)),ISNUMBER(AM344),AM344&lt;=(C344+T344)),BA344,0),IF(AND(NOT(AND(AU344=1,AT344&lt;&gt;1)),ISNUMBER(AN344),AN344&lt;=(C344+T344)),BB344,0),IF(AND(ISNUMBER(AO344),AO344&lt;=(C344+T344)),BC344,0))),"ML",IF(AND(IF(AND(NOT(AND(AU344=1,AT344&lt;&gt;1)),ISNUMBER(AN344),AN344&lt;=(C344+T344)),BB344,0)&gt;0,IF(AND(NOT(AND(AU344=1,AT344&lt;&gt;1)),ISNUMBER(AN344),AN344&lt;=(C344+T344)),BB344,0)=MAX(IF(AND(NOT(AND(AU344=1,AT344&lt;&gt;1)),ISNUMBER(AK344),AK344&lt;=(C344+T344)),AY344,0),IF(AND(NOT(AND(AU344=1,AT344&lt;&gt;1)),ISNUMBER(AL344),AL344&lt;=(C344+T344)),AZ344,0),IF(AND(NOT(AND(AU344=1,AT344&lt;&gt;1)),ISNUMBER(AM344),AM344&lt;=(C344+T344)),BA344,0),IF(AND(NOT(AND(AU344=1,AT344&lt;&gt;1)),ISNUMBER(AN344),AN344&lt;=(C344+T344)),BB344,0),IF(AND(ISNUMBER(AO344),AO344&lt;=(C344+T344)),BC344,0))),"RLO","BD"))))))))</f>
        <v/>
      </c>
    </row>
    <row r="345">
      <c r="A345" s="26" t="n">
        <v>334</v>
      </c>
      <c r="B345" s="27">
        <f>A345*10/60</f>
        <v/>
      </c>
      <c r="C345" s="22">
        <f>X344</f>
        <v/>
      </c>
      <c r="D345" s="27">
        <f>D344+W344</f>
        <v/>
      </c>
      <c r="E345" s="26">
        <f>E344+IF(U344="SK",1,0)</f>
        <v/>
      </c>
      <c r="F345" s="26">
        <f>F344+IF(U344="LB",1,0)</f>
        <v/>
      </c>
      <c r="G345" s="26">
        <f>G344+IF(U344="ML",1,0)</f>
        <v/>
      </c>
      <c r="H345" s="26">
        <f>H344+IF(U344="RLO",1,0)</f>
        <v/>
      </c>
      <c r="I345" s="26">
        <f>I344+IF(U344="BD",1,0)</f>
        <v/>
      </c>
      <c r="J345" s="26">
        <f>MAX(J344,IF(U344="BiP",1,0))</f>
        <v/>
      </c>
      <c r="K345" s="26">
        <f>MAX(K344,IF(U344="PV",1,0))</f>
        <v/>
      </c>
      <c r="L345" s="26">
        <f>MAX(L344,IF(U344="OC",1,0))</f>
        <v/>
      </c>
      <c r="M345" s="26">
        <f>MAX(M344,IF(U344="MG",1,0))</f>
        <v/>
      </c>
      <c r="N345" s="26">
        <f>MAX(N344,IF(U344="transition",1,0))</f>
        <v/>
      </c>
      <c r="O345" s="28">
        <f>(Parameters!$B$9+(IF(E345=0,0,(Upgrades!$J$13+E345*Upgrades!$K$13)*POWER(Upgrades!$L$13,E345)))*(IF(Upgrades!$T$14="Stellar Kinematics",POWER(Upgrades!$U$14,F345),1)*IF(Upgrades!$T$15="Stellar Kinematics",POWER(Upgrades!$U$15,G345),1)*IF(Upgrades!$T$16="Stellar Kinematics",POWER(Upgrades!$U$16,H345),1)*IF(Upgrades!$T$17="Stellar Kinematics",POWER(Upgrades!$U$17,I345),1)*IF(Upgrades!$T$18="Stellar Kinematics",POWER(Upgrades!$U$18,J345),1)*IF(Upgrades!$T$19="Stellar Kinematics",POWER(Upgrades!$U$19,K345),1)*IF(Upgrades!$T$20="Stellar Kinematics",POWER(Upgrades!$U$20,L345),1)*IF(Upgrades!$T$21="Stellar Kinematics",POWER(Upgrades!$U$21,M345),1))+(IF(F345=0,0,(Upgrades!$J$14+F345*Upgrades!$K$14)*POWER(Upgrades!$L$14,F345)))*(IF(Upgrades!$T$13="Local Bubble",POWER(Upgrades!$U$13,E345),1)*IF(Upgrades!$T$15="Local Bubble",POWER(Upgrades!$U$15,G345),1)*IF(Upgrades!$T$16="Local Bubble",POWER(Upgrades!$U$16,H345),1)*IF(Upgrades!$T$17="Local Bubble",POWER(Upgrades!$U$17,I345),1)*IF(Upgrades!$T$18="Local Bubble",POWER(Upgrades!$U$18,J345),1)*IF(Upgrades!$T$19="Local Bubble",POWER(Upgrades!$U$19,K345),1)*IF(Upgrades!$T$20="Local Bubble",POWER(Upgrades!$U$20,L345),1)*IF(Upgrades!$T$21="Local Bubble",POWER(Upgrades!$U$21,M345),1))+(IF(G345=0,0,(Upgrades!$J$15+G345*Upgrades!$K$15)*POWER(Upgrades!$L$15,G345)))*(IF(Upgrades!$T$13="Microlensing",POWER(Upgrades!$U$13,E345),1)*IF(Upgrades!$T$14="Microlensing",POWER(Upgrades!$U$14,F345),1)*IF(Upgrades!$T$16="Microlensing",POWER(Upgrades!$U$16,H345),1)*IF(Upgrades!$T$17="Microlensing",POWER(Upgrades!$U$17,I345),1)*IF(Upgrades!$T$18="Microlensing",POWER(Upgrades!$U$18,J345),1)*IF(Upgrades!$T$19="Microlensing",POWER(Upgrades!$U$19,K345),1)*IF(Upgrades!$T$20="Microlensing",POWER(Upgrades!$U$20,L345),1)*IF(Upgrades!$T$21="Microlensing",POWER(Upgrades!$U$21,M345),1))+(IF(H345=0,0,(Upgrades!$J$16+H345*Upgrades!$K$16)*POWER(Upgrades!$L$16,H345)))*(IF(Upgrades!$T$13="Roche Lobe Overflow",POWER(Upgrades!$U$13,E345),1)*IF(Upgrades!$T$14="Roche Lobe Overflow",POWER(Upgrades!$U$14,F345),1)*IF(Upgrades!$T$15="Roche Lobe Overflow",POWER(Upgrades!$U$15,G345),1)*IF(Upgrades!$T$17="Roche Lobe Overflow",POWER(Upgrades!$U$17,I345),1)*IF(Upgrades!$T$18="Roche Lobe Overflow",POWER(Upgrades!$U$18,J345),1)*IF(Upgrades!$T$19="Roche Lobe Overflow",POWER(Upgrades!$U$19,K345),1)*IF(Upgrades!$T$20="Roche Lobe Overflow",POWER(Upgrades!$U$20,L345),1)*IF(Upgrades!$T$21="Roche Lobe Overflow",POWER(Upgrades!$U$21,M345),1))+(IF(I345=0,0,(Upgrades!$J$17+I345*Upgrades!$K$17)*POWER(Upgrades!$L$17,I345)))*(IF(Upgrades!$T$13="Brown Dwarf",POWER(Upgrades!$U$13,E345),1)*IF(Upgrades!$T$14="Brown Dwarf",POWER(Upgrades!$U$14,F345),1)*IF(Upgrades!$T$15="Brown Dwarf",POWER(Upgrades!$U$15,G345),1)*IF(Upgrades!$T$16="Brown Dwarf",POWER(Upgrades!$U$16,H345),1)*IF(Upgrades!$T$18="Brown Dwarf",POWER(Upgrades!$U$18,J345),1)*IF(Upgrades!$T$19="Brown Dwarf",POWER(Upgrades!$U$19,K345),1)*IF(Upgrades!$T$20="Brown Dwarf",POWER(Upgrades!$U$20,L345),1)*IF(Upgrades!$T$21="Brown Dwarf",POWER(Upgrades!$U$21,M345),1))+(IF(J345=0,0,(Upgrades!$J$18+J345*Upgrades!$K$18)*POWER(Upgrades!$L$18,J345)))*(IF(Upgrades!$T$13="Binary Partner",POWER(Upgrades!$U$13,E345),1)*IF(Upgrades!$T$14="Binary Partner",POWER(Upgrades!$U$14,F345),1)*IF(Upgrades!$T$15="Binary Partner",POWER(Upgrades!$U$15,G345),1)*IF(Upgrades!$T$16="Binary Partner",POWER(Upgrades!$U$16,H345),1)*IF(Upgrades!$T$17="Binary Partner",POWER(Upgrades!$U$17,I345),1)*IF(Upgrades!$T$19="Binary Partner",POWER(Upgrades!$U$19,K345),1)*IF(Upgrades!$T$20="Binary Partner",POWER(Upgrades!$U$20,L345),1)*IF(Upgrades!$T$21="Binary Partner",POWER(Upgrades!$U$21,M345),1))+(IF(K345=0,0,(Upgrades!$J$19+K345*Upgrades!$K$19)*POWER(Upgrades!$L$19,K345)))*(IF(Upgrades!$T$13="Peculiar Velocity",POWER(Upgrades!$U$13,E345),1)*IF(Upgrades!$T$14="Peculiar Velocity",POWER(Upgrades!$U$14,F345),1)*IF(Upgrades!$T$15="Peculiar Velocity",POWER(Upgrades!$U$15,G345),1)*IF(Upgrades!$T$16="Peculiar Velocity",POWER(Upgrades!$U$16,H345),1)*IF(Upgrades!$T$17="Peculiar Velocity",POWER(Upgrades!$U$17,I345),1)*IF(Upgrades!$T$18="Peculiar Velocity",POWER(Upgrades!$U$18,J345),1)*IF(Upgrades!$T$20="Peculiar Velocity",POWER(Upgrades!$U$20,L345),1)*IF(Upgrades!$T$21="Peculiar Velocity",POWER(Upgrades!$U$21,M345),1))+(IF(L345=0,0,(Upgrades!$J$20+L345*Upgrades!$K$20)*POWER(Upgrades!$L$20,L345)))*(IF(Upgrades!$T$13="Open Cluster",POWER(Upgrades!$U$13,E345),1)*IF(Upgrades!$T$14="Open Cluster",POWER(Upgrades!$U$14,F345),1)*IF(Upgrades!$T$15="Open Cluster",POWER(Upgrades!$U$15,G345),1)*IF(Upgrades!$T$16="Open Cluster",POWER(Upgrades!$U$16,H345),1)*IF(Upgrades!$T$17="Open Cluster",POWER(Upgrades!$U$17,I345),1)*IF(Upgrades!$T$18="Open Cluster",POWER(Upgrades!$U$18,J345),1)*IF(Upgrades!$T$19="Open Cluster",POWER(Upgrades!$U$19,K345),1)*IF(Upgrades!$T$21="Open Cluster",POWER(Upgrades!$U$21,M345),1))+(IF(M345=0,0,(Upgrades!$J$21+M345*Upgrades!$K$21)*POWER(Upgrades!$L$21,M345)))*(IF(Upgrades!$T$13="Moving Group",POWER(Upgrades!$U$13,E345),1)*IF(Upgrades!$T$14="Moving Group",POWER(Upgrades!$U$14,F345),1)*IF(Upgrades!$T$15="Moving Group",POWER(Upgrades!$U$15,G345),1)*IF(Upgrades!$T$16="Moving Group",POWER(Upgrades!$U$16,H345),1)*IF(Upgrades!$T$17="Moving Group",POWER(Upgrades!$U$17,I345),1)*IF(Upgrades!$T$18="Moving Group",POWER(Upgrades!$U$18,J345),1)*IF(Upgrades!$T$19="Moving Group",POWER(Upgrades!$U$19,K345),1)*IF(Upgrades!$T$20="Moving Group",POWER(Upgrades!$U$20,L345),1)))*POWER(Upgrades!$Q$13,E345)*POWER(Upgrades!$Q$14,F345)*POWER(Upgrades!$Q$15,G345)*POWER(Upgrades!$Q$16,H345)*POWER(Upgrades!$Q$17,I345)*POWER(Upgrades!$Q$18,J345)*POWER(Upgrades!$Q$19,K345)*POWER(Upgrades!$Q$20,L345)*POWER(Upgrades!$Q$21,M345)*$G$6+$D$6</f>
        <v/>
      </c>
      <c r="P345" s="28">
        <f>((IF(E345=0,0,(Upgrades!$G$13+E345*Upgrades!$H$13)*POWER(Upgrades!$I$13,E345)))*(IF(Upgrades!$T$14="Stellar Kinematics",POWER(Upgrades!$U$14,F345),1)*IF(Upgrades!$T$15="Stellar Kinematics",POWER(Upgrades!$U$15,G345),1)*IF(Upgrades!$T$16="Stellar Kinematics",POWER(Upgrades!$U$16,H345),1)*IF(Upgrades!$T$17="Stellar Kinematics",POWER(Upgrades!$U$17,I345),1)*IF(Upgrades!$T$18="Stellar Kinematics",POWER(Upgrades!$U$18,J345),1)*IF(Upgrades!$T$19="Stellar Kinematics",POWER(Upgrades!$U$19,K345),1)*IF(Upgrades!$T$20="Stellar Kinematics",POWER(Upgrades!$U$20,L345),1)*IF(Upgrades!$T$21="Stellar Kinematics",POWER(Upgrades!$U$21,M345),1))+(IF(F345=0,0,(Upgrades!$G$14+F345*Upgrades!$H$14)*POWER(Upgrades!$I$14,F345)))*(IF(Upgrades!$T$13="Local Bubble",POWER(Upgrades!$U$13,E345),1)*IF(Upgrades!$T$15="Local Bubble",POWER(Upgrades!$U$15,G345),1)*IF(Upgrades!$T$16="Local Bubble",POWER(Upgrades!$U$16,H345),1)*IF(Upgrades!$T$17="Local Bubble",POWER(Upgrades!$U$17,I345),1)*IF(Upgrades!$T$18="Local Bubble",POWER(Upgrades!$U$18,J345),1)*IF(Upgrades!$T$19="Local Bubble",POWER(Upgrades!$U$19,K345),1)*IF(Upgrades!$T$20="Local Bubble",POWER(Upgrades!$U$20,L345),1)*IF(Upgrades!$T$21="Local Bubble",POWER(Upgrades!$U$21,M345),1))+(IF(G345=0,0,(Upgrades!$G$15+G345*Upgrades!$H$15)*POWER(Upgrades!$I$15,G345)))*(IF(Upgrades!$T$13="Microlensing",POWER(Upgrades!$U$13,E345),1)*IF(Upgrades!$T$14="Microlensing",POWER(Upgrades!$U$14,F345),1)*IF(Upgrades!$T$16="Microlensing",POWER(Upgrades!$U$16,H345),1)*IF(Upgrades!$T$17="Microlensing",POWER(Upgrades!$U$17,I345),1)*IF(Upgrades!$T$18="Microlensing",POWER(Upgrades!$U$18,J345),1)*IF(Upgrades!$T$19="Microlensing",POWER(Upgrades!$U$19,K345),1)*IF(Upgrades!$T$20="Microlensing",POWER(Upgrades!$U$20,L345),1)*IF(Upgrades!$T$21="Microlensing",POWER(Upgrades!$U$21,M345),1))+(IF(H345=0,0,(Upgrades!$G$16+H345*Upgrades!$H$16)*POWER(Upgrades!$I$16,H345)))*(IF(Upgrades!$T$13="Roche Lobe Overflow",POWER(Upgrades!$U$13,E345),1)*IF(Upgrades!$T$14="Roche Lobe Overflow",POWER(Upgrades!$U$14,F345),1)*IF(Upgrades!$T$15="Roche Lobe Overflow",POWER(Upgrades!$U$15,G345),1)*IF(Upgrades!$T$17="Roche Lobe Overflow",POWER(Upgrades!$U$17,I345),1)*IF(Upgrades!$T$18="Roche Lobe Overflow",POWER(Upgrades!$U$18,J345),1)*IF(Upgrades!$T$19="Roche Lobe Overflow",POWER(Upgrades!$U$19,K345),1)*IF(Upgrades!$T$20="Roche Lobe Overflow",POWER(Upgrades!$U$20,L345),1)*IF(Upgrades!$T$21="Roche Lobe Overflow",POWER(Upgrades!$U$21,M345),1))+(IF(I345=0,0,(Upgrades!$G$17+I345*Upgrades!$H$17)*POWER(Upgrades!$I$17,I345)))*(IF(Upgrades!$T$13="Brown Dwarf",POWER(Upgrades!$U$13,E345),1)*IF(Upgrades!$T$14="Brown Dwarf",POWER(Upgrades!$U$14,F345),1)*IF(Upgrades!$T$15="Brown Dwarf",POWER(Upgrades!$U$15,G345),1)*IF(Upgrades!$T$16="Brown Dwarf",POWER(Upgrades!$U$16,H345),1)*IF(Upgrades!$T$18="Brown Dwarf",POWER(Upgrades!$U$18,J345),1)*IF(Upgrades!$T$19="Brown Dwarf",POWER(Upgrades!$U$19,K345),1)*IF(Upgrades!$T$20="Brown Dwarf",POWER(Upgrades!$U$20,L345),1)*IF(Upgrades!$T$21="Brown Dwarf",POWER(Upgrades!$U$21,M345),1))+(IF(J345=0,0,(Upgrades!$G$18+J345*Upgrades!$H$18)*POWER(Upgrades!$I$18,J345)))*(IF(Upgrades!$T$13="Binary Partner",POWER(Upgrades!$U$13,E345),1)*IF(Upgrades!$T$14="Binary Partner",POWER(Upgrades!$U$14,F345),1)*IF(Upgrades!$T$15="Binary Partner",POWER(Upgrades!$U$15,G345),1)*IF(Upgrades!$T$16="Binary Partner",POWER(Upgrades!$U$16,H345),1)*IF(Upgrades!$T$17="Binary Partner",POWER(Upgrades!$U$17,I345),1)*IF(Upgrades!$T$19="Binary Partner",POWER(Upgrades!$U$19,K345),1)*IF(Upgrades!$T$20="Binary Partner",POWER(Upgrades!$U$20,L345),1)*IF(Upgrades!$T$21="Binary Partner",POWER(Upgrades!$U$21,M345),1))+(IF(K345=0,0,(Upgrades!$G$19+K345*Upgrades!$H$19)*POWER(Upgrades!$I$19,K345)))*(IF(Upgrades!$T$13="Peculiar Velocity",POWER(Upgrades!$U$13,E345),1)*IF(Upgrades!$T$14="Peculiar Velocity",POWER(Upgrades!$U$14,F345),1)*IF(Upgrades!$T$15="Peculiar Velocity",POWER(Upgrades!$U$15,G345),1)*IF(Upgrades!$T$16="Peculiar Velocity",POWER(Upgrades!$U$16,H345),1)*IF(Upgrades!$T$17="Peculiar Velocity",POWER(Upgrades!$U$17,I345),1)*IF(Upgrades!$T$18="Peculiar Velocity",POWER(Upgrades!$U$18,J345),1)*IF(Upgrades!$T$20="Peculiar Velocity",POWER(Upgrades!$U$20,L345),1)*IF(Upgrades!$T$21="Peculiar Velocity",POWER(Upgrades!$U$21,M345),1))+(IF(L345=0,0,(Upgrades!$G$20+L345*Upgrades!$H$20)*POWER(Upgrades!$I$20,L345)))*(IF(Upgrades!$T$13="Open Cluster",POWER(Upgrades!$U$13,E345),1)*IF(Upgrades!$T$14="Open Cluster",POWER(Upgrades!$U$14,F345),1)*IF(Upgrades!$T$15="Open Cluster",POWER(Upgrades!$U$15,G345),1)*IF(Upgrades!$T$16="Open Cluster",POWER(Upgrades!$U$16,H345),1)*IF(Upgrades!$T$17="Open Cluster",POWER(Upgrades!$U$17,I345),1)*IF(Upgrades!$T$18="Open Cluster",POWER(Upgrades!$U$18,J345),1)*IF(Upgrades!$T$19="Open Cluster",POWER(Upgrades!$U$19,K345),1)*IF(Upgrades!$T$21="Open Cluster",POWER(Upgrades!$U$21,M345),1))+(IF(M345=0,0,(Upgrades!$G$21+M345*Upgrades!$H$21)*POWER(Upgrades!$I$21,M345)))*(IF(Upgrades!$T$13="Moving Group",POWER(Upgrades!$U$13,E345),1)*IF(Upgrades!$T$14="Moving Group",POWER(Upgrades!$U$14,F345),1)*IF(Upgrades!$T$15="Moving Group",POWER(Upgrades!$U$15,G345),1)*IF(Upgrades!$T$16="Moving Group",POWER(Upgrades!$U$16,H345),1)*IF(Upgrades!$T$17="Moving Group",POWER(Upgrades!$U$17,I345),1)*IF(Upgrades!$T$18="Moving Group",POWER(Upgrades!$U$18,J345),1)*IF(Upgrades!$T$19="Moving Group",POWER(Upgrades!$U$19,K345),1)*IF(Upgrades!$T$20="Moving Group",POWER(Upgrades!$U$20,L345),1)))*POWER(Upgrades!$P$13,E345)*POWER(Upgrades!$P$14,F345)*POWER(Upgrades!$P$15,G345)*POWER(Upgrades!$P$16,H345)*POWER(Upgrades!$P$17,I345)*POWER(Upgrades!$P$18,J345)*POWER(Upgrades!$P$19,K345)*POWER(Upgrades!$P$20,L345)*POWER(Upgrades!$P$21,M345)*$F$6+$C$6</f>
        <v/>
      </c>
      <c r="Q345" s="28">
        <f>((IF(E345=0,0,(Upgrades!$M$13+E345*Upgrades!$N$13)*POWER(Upgrades!$O$13,E345)))*(IF(Upgrades!$T$14="Stellar Kinematics",POWER(Upgrades!$U$14,F345),1)*IF(Upgrades!$T$15="Stellar Kinematics",POWER(Upgrades!$U$15,G345),1)*IF(Upgrades!$T$16="Stellar Kinematics",POWER(Upgrades!$U$16,H345),1)*IF(Upgrades!$T$17="Stellar Kinematics",POWER(Upgrades!$U$17,I345),1)*IF(Upgrades!$T$18="Stellar Kinematics",POWER(Upgrades!$U$18,J345),1)*IF(Upgrades!$T$19="Stellar Kinematics",POWER(Upgrades!$U$19,K345),1)*IF(Upgrades!$T$20="Stellar Kinematics",POWER(Upgrades!$U$20,L345),1)*IF(Upgrades!$T$21="Stellar Kinematics",POWER(Upgrades!$U$21,M345),1))+(IF(F345=0,0,(Upgrades!$M$14+F345*Upgrades!$N$14)*POWER(Upgrades!$O$14,F345)))*(IF(Upgrades!$T$13="Local Bubble",POWER(Upgrades!$U$13,E345),1)*IF(Upgrades!$T$15="Local Bubble",POWER(Upgrades!$U$15,G345),1)*IF(Upgrades!$T$16="Local Bubble",POWER(Upgrades!$U$16,H345),1)*IF(Upgrades!$T$17="Local Bubble",POWER(Upgrades!$U$17,I345),1)*IF(Upgrades!$T$18="Local Bubble",POWER(Upgrades!$U$18,J345),1)*IF(Upgrades!$T$19="Local Bubble",POWER(Upgrades!$U$19,K345),1)*IF(Upgrades!$T$20="Local Bubble",POWER(Upgrades!$U$20,L345),1)*IF(Upgrades!$T$21="Local Bubble",POWER(Upgrades!$U$21,M345),1))+(IF(G345=0,0,(Upgrades!$M$15+G345*Upgrades!$N$15)*POWER(Upgrades!$O$15,G345)))*(IF(Upgrades!$T$13="Microlensing",POWER(Upgrades!$U$13,E345),1)*IF(Upgrades!$T$14="Microlensing",POWER(Upgrades!$U$14,F345),1)*IF(Upgrades!$T$16="Microlensing",POWER(Upgrades!$U$16,H345),1)*IF(Upgrades!$T$17="Microlensing",POWER(Upgrades!$U$17,I345),1)*IF(Upgrades!$T$18="Microlensing",POWER(Upgrades!$U$18,J345),1)*IF(Upgrades!$T$19="Microlensing",POWER(Upgrades!$U$19,K345),1)*IF(Upgrades!$T$20="Microlensing",POWER(Upgrades!$U$20,L345),1)*IF(Upgrades!$T$21="Microlensing",POWER(Upgrades!$U$21,M345),1))+(IF(H345=0,0,(Upgrades!$M$16+H345*Upgrades!$N$16)*POWER(Upgrades!$O$16,H345)))*(IF(Upgrades!$T$13="Roche Lobe Overflow",POWER(Upgrades!$U$13,E345),1)*IF(Upgrades!$T$14="Roche Lobe Overflow",POWER(Upgrades!$U$14,F345),1)*IF(Upgrades!$T$15="Roche Lobe Overflow",POWER(Upgrades!$U$15,G345),1)*IF(Upgrades!$T$17="Roche Lobe Overflow",POWER(Upgrades!$U$17,I345),1)*IF(Upgrades!$T$18="Roche Lobe Overflow",POWER(Upgrades!$U$18,J345),1)*IF(Upgrades!$T$19="Roche Lobe Overflow",POWER(Upgrades!$U$19,K345),1)*IF(Upgrades!$T$20="Roche Lobe Overflow",POWER(Upgrades!$U$20,L345),1)*IF(Upgrades!$T$21="Roche Lobe Overflow",POWER(Upgrades!$U$21,M345),1))+(IF(I345=0,0,(Upgrades!$M$17+I345*Upgrades!$N$17)*POWER(Upgrades!$O$17,I345)))*(IF(Upgrades!$T$13="Brown Dwarf",POWER(Upgrades!$U$13,E345),1)*IF(Upgrades!$T$14="Brown Dwarf",POWER(Upgrades!$U$14,F345),1)*IF(Upgrades!$T$15="Brown Dwarf",POWER(Upgrades!$U$15,G345),1)*IF(Upgrades!$T$16="Brown Dwarf",POWER(Upgrades!$U$16,H345),1)*IF(Upgrades!$T$18="Brown Dwarf",POWER(Upgrades!$U$18,J345),1)*IF(Upgrades!$T$19="Brown Dwarf",POWER(Upgrades!$U$19,K345),1)*IF(Upgrades!$T$20="Brown Dwarf",POWER(Upgrades!$U$20,L345),1)*IF(Upgrades!$T$21="Brown Dwarf",POWER(Upgrades!$U$21,M345),1))+(IF(J345=0,0,(Upgrades!$M$18+J345*Upgrades!$N$18)*POWER(Upgrades!$O$18,J345)))*(IF(Upgrades!$T$13="Binary Partner",POWER(Upgrades!$U$13,E345),1)*IF(Upgrades!$T$14="Binary Partner",POWER(Upgrades!$U$14,F345),1)*IF(Upgrades!$T$15="Binary Partner",POWER(Upgrades!$U$15,G345),1)*IF(Upgrades!$T$16="Binary Partner",POWER(Upgrades!$U$16,H345),1)*IF(Upgrades!$T$17="Binary Partner",POWER(Upgrades!$U$17,I345),1)*IF(Upgrades!$T$19="Binary Partner",POWER(Upgrades!$U$19,K345),1)*IF(Upgrades!$T$20="Binary Partner",POWER(Upgrades!$U$20,L345),1)*IF(Upgrades!$T$21="Binary Partner",POWER(Upgrades!$U$21,M345),1))+(IF(K345=0,0,(Upgrades!$M$19+K345*Upgrades!$N$19)*POWER(Upgrades!$O$19,K345)))*(IF(Upgrades!$T$13="Peculiar Velocity",POWER(Upgrades!$U$13,E345),1)*IF(Upgrades!$T$14="Peculiar Velocity",POWER(Upgrades!$U$14,F345),1)*IF(Upgrades!$T$15="Peculiar Velocity",POWER(Upgrades!$U$15,G345),1)*IF(Upgrades!$T$16="Peculiar Velocity",POWER(Upgrades!$U$16,H345),1)*IF(Upgrades!$T$17="Peculiar Velocity",POWER(Upgrades!$U$17,I345),1)*IF(Upgrades!$T$18="Peculiar Velocity",POWER(Upgrades!$U$18,J345),1)*IF(Upgrades!$T$20="Peculiar Velocity",POWER(Upgrades!$U$20,L345),1)*IF(Upgrades!$T$21="Peculiar Velocity",POWER(Upgrades!$U$21,M345),1))+(IF(L345=0,0,(Upgrades!$M$20+L345*Upgrades!$N$20)*POWER(Upgrades!$O$20,L345)))*(IF(Upgrades!$T$13="Open Cluster",POWER(Upgrades!$U$13,E345),1)*IF(Upgrades!$T$14="Open Cluster",POWER(Upgrades!$U$14,F345),1)*IF(Upgrades!$T$15="Open Cluster",POWER(Upgrades!$U$15,G345),1)*IF(Upgrades!$T$16="Open Cluster",POWER(Upgrades!$U$16,H345),1)*IF(Upgrades!$T$17="Open Cluster",POWER(Upgrades!$U$17,I345),1)*IF(Upgrades!$T$18="Open Cluster",POWER(Upgrades!$U$18,J345),1)*IF(Upgrades!$T$19="Open Cluster",POWER(Upgrades!$U$19,K345),1)*IF(Upgrades!$T$21="Open Cluster",POWER(Upgrades!$U$21,M345),1))+(IF(M345=0,0,(Upgrades!$M$21+M345*Upgrades!$N$21)*POWER(Upgrades!$O$21,M345)))*(IF(Upgrades!$T$13="Moving Group",POWER(Upgrades!$U$13,E345),1)*IF(Upgrades!$T$14="Moving Group",POWER(Upgrades!$U$14,F345),1)*IF(Upgrades!$T$15="Moving Group",POWER(Upgrades!$U$15,G345),1)*IF(Upgrades!$T$16="Moving Group",POWER(Upgrades!$U$16,H345),1)*IF(Upgrades!$T$17="Moving Group",POWER(Upgrades!$U$17,I345),1)*IF(Upgrades!$T$18="Moving Group",POWER(Upgrades!$U$18,J345),1)*IF(Upgrades!$T$19="Moving Group",POWER(Upgrades!$U$19,K345),1)*IF(Upgrades!$T$20="Moving Group",POWER(Upgrades!$U$20,L345),1)))*POWER(Upgrades!$R$13,E345)*POWER(Upgrades!$R$14,F345)*POWER(Upgrades!$R$15,G345)*POWER(Upgrades!$R$16,H345)*POWER(Upgrades!$R$17,I345)*POWER(Upgrades!$R$18,J345)*POWER(Upgrades!$R$19,K345)*POWER(Upgrades!$R$20,L345)*POWER(Upgrades!$R$21,M345)*$H$6+$E$6</f>
        <v/>
      </c>
      <c r="R345" s="27">
        <f>IF(N345=1,0,O345*Parameters!$B$10/60*Parameters!$B$11*10)</f>
        <v/>
      </c>
      <c r="S345" s="27">
        <f>IF(N345=1,0,Q345*O345*10)</f>
        <v/>
      </c>
      <c r="T345" s="27">
        <f>IF(N345=1,0,R345+S345+P345*10)</f>
        <v/>
      </c>
      <c r="U345" s="33">
        <f>BE345</f>
        <v/>
      </c>
      <c r="V345" s="22">
        <f>IF(U345="",0,IF(U345="transition",0,IF(U345="SK",AK345,IF(U345="LB",AL345,IF(U345="ML",AM345,IF(U345="RLO",AN345,IF(U345="BD",AO345,IF(U345="BiP",AP345,IF(U345="PV",AQ345,IF(U345="OC",AR345,IF(U345="MG",AS345,0))))))))))</f>
        <v/>
      </c>
      <c r="W345" s="27">
        <f>IF(U345="BiP",Upgrades!$F$18,IF(U345="PV",Upgrades!$F$19,IF(U345="OC",Upgrades!$F$20,IF(U345="MG",Upgrades!$F$21,IF(U345="transition",-Parameters!$B$18*Parameters!$B$19,0)))))</f>
        <v/>
      </c>
      <c r="X345" s="22">
        <f>C345+T345-V345</f>
        <v/>
      </c>
      <c r="Y345" s="30">
        <f>O345*Parameters!$B$10/60*Parameters!$B$11+Q345*O345+P345</f>
        <v/>
      </c>
      <c r="Z345" s="34">
        <f>IF(U345="transition","→ Tier 3 (Galactic Arm)",IF(U345="MG","Moving Group — pocket drifts together",IF(U345="OC","Open Cluster acquired",IF(U345="PV","Peculiar Velocity — passive multiplier active",IF(U345="BiP","Binary Partner — pair bond formed",IF(AND(AU345=1,N345=0,AT345&lt;&gt;1),"Cohesion ready (waiting on completionists)","")))))) </f>
        <v/>
      </c>
      <c r="AA345" s="27">
        <f>(IF(E345=0,0,(Upgrades!$G$13+E345*Upgrades!$H$13)*POWER(Upgrades!$I$13,E345)))*(IF(Upgrades!$T$14="Stellar Kinematics",POWER(Upgrades!$U$14,F345),1)*IF(Upgrades!$T$15="Stellar Kinematics",POWER(Upgrades!$U$15,G345),1)*IF(Upgrades!$T$16="Stellar Kinematics",POWER(Upgrades!$U$16,H345),1)*IF(Upgrades!$T$17="Stellar Kinematics",POWER(Upgrades!$U$17,I345),1)*IF(Upgrades!$T$18="Stellar Kinematics",POWER(Upgrades!$U$18,J345),1)*IF(Upgrades!$T$19="Stellar Kinematics",POWER(Upgrades!$U$19,K345),1)*IF(Upgrades!$T$20="Stellar Kinematics",POWER(Upgrades!$U$20,L345),1)*IF(Upgrades!$T$21="Stellar Kinematics",POWER(Upgrades!$U$21,M345),1))*POWER(Upgrades!$P$13,E345)*POWER(Upgrades!$P$14,F345)*POWER(Upgrades!$P$15,G345)*POWER(Upgrades!$P$16,H345)*POWER(Upgrades!$P$17,I345)*POWER(Upgrades!$P$18,J345)*POWER(Upgrades!$P$19,K345)*POWER(Upgrades!$P$20,L345)*POWER(Upgrades!$P$21,M345)*$F$6*60</f>
        <v/>
      </c>
      <c r="AB345" s="27">
        <f>(IF(F345=0,0,(Upgrades!$G$14+F345*Upgrades!$H$14)*POWER(Upgrades!$I$14,F345)))*(IF(Upgrades!$T$13="Local Bubble",POWER(Upgrades!$U$13,E345),1)*IF(Upgrades!$T$15="Local Bubble",POWER(Upgrades!$U$15,G345),1)*IF(Upgrades!$T$16="Local Bubble",POWER(Upgrades!$U$16,H345),1)*IF(Upgrades!$T$17="Local Bubble",POWER(Upgrades!$U$17,I345),1)*IF(Upgrades!$T$18="Local Bubble",POWER(Upgrades!$U$18,J345),1)*IF(Upgrades!$T$19="Local Bubble",POWER(Upgrades!$U$19,K345),1)*IF(Upgrades!$T$20="Local Bubble",POWER(Upgrades!$U$20,L345),1)*IF(Upgrades!$T$21="Local Bubble",POWER(Upgrades!$U$21,M345),1))*POWER(Upgrades!$P$13,E345)*POWER(Upgrades!$P$14,F345)*POWER(Upgrades!$P$15,G345)*POWER(Upgrades!$P$16,H345)*POWER(Upgrades!$P$17,I345)*POWER(Upgrades!$P$18,J345)*POWER(Upgrades!$P$19,K345)*POWER(Upgrades!$P$20,L345)*POWER(Upgrades!$P$21,M345)*$F$6*60</f>
        <v/>
      </c>
      <c r="AC345" s="27">
        <f>(IF(G345=0,0,(Upgrades!$J$15+G345*Upgrades!$K$15)*POWER(Upgrades!$L$15,G345)))*(IF(Upgrades!$T$13="Microlensing",POWER(Upgrades!$U$13,E345),1)*IF(Upgrades!$T$14="Microlensing",POWER(Upgrades!$U$14,F345),1)*IF(Upgrades!$T$16="Microlensing",POWER(Upgrades!$U$16,H345),1)*IF(Upgrades!$T$17="Microlensing",POWER(Upgrades!$U$17,I345),1)*IF(Upgrades!$T$18="Microlensing",POWER(Upgrades!$U$18,J345),1)*IF(Upgrades!$T$19="Microlensing",POWER(Upgrades!$U$19,K345),1)*IF(Upgrades!$T$20="Microlensing",POWER(Upgrades!$U$20,L345),1)*IF(Upgrades!$T$21="Microlensing",POWER(Upgrades!$U$21,M345),1))*POWER(Upgrades!$Q$13,E345)*POWER(Upgrades!$Q$14,F345)*POWER(Upgrades!$Q$15,G345)*POWER(Upgrades!$Q$16,H345)*POWER(Upgrades!$Q$17,I345)*POWER(Upgrades!$Q$18,J345)*POWER(Upgrades!$Q$19,K345)*POWER(Upgrades!$Q$20,L345)*POWER(Upgrades!$Q$21,M345)*$G$6*(Parameters!$B$10*Parameters!$B$11+Q345*60)</f>
        <v/>
      </c>
      <c r="AD345" s="27">
        <f>(IF(H345=0,0,(Upgrades!$M$16+H345*Upgrades!$N$16)*POWER(Upgrades!$O$16,H345)))*(IF(Upgrades!$T$13="Roche Lobe Overflow",POWER(Upgrades!$U$13,E345),1)*IF(Upgrades!$T$14="Roche Lobe Overflow",POWER(Upgrades!$U$14,F345),1)*IF(Upgrades!$T$15="Roche Lobe Overflow",POWER(Upgrades!$U$15,G345),1)*IF(Upgrades!$T$17="Roche Lobe Overflow",POWER(Upgrades!$U$17,I345),1)*IF(Upgrades!$T$18="Roche Lobe Overflow",POWER(Upgrades!$U$18,J345),1)*IF(Upgrades!$T$19="Roche Lobe Overflow",POWER(Upgrades!$U$19,K345),1)*IF(Upgrades!$T$20="Roche Lobe Overflow",POWER(Upgrades!$U$20,L345),1)*IF(Upgrades!$T$21="Roche Lobe Overflow",POWER(Upgrades!$U$21,M345),1))*POWER(Upgrades!$R$13,E345)*POWER(Upgrades!$R$14,F345)*POWER(Upgrades!$R$15,G345)*POWER(Upgrades!$R$16,H345)*POWER(Upgrades!$R$17,I345)*POWER(Upgrades!$R$18,J345)*POWER(Upgrades!$R$19,K345)*POWER(Upgrades!$R$20,L345)*POWER(Upgrades!$R$21,M345)*$H$6*O345*60</f>
        <v/>
      </c>
      <c r="AE345" s="27">
        <f>(IF(I345=0,0,(Upgrades!$G$17+I345*Upgrades!$H$17)*POWER(Upgrades!$I$17,I345)))*(IF(Upgrades!$T$13="Brown Dwarf",POWER(Upgrades!$U$13,E345),1)*IF(Upgrades!$T$14="Brown Dwarf",POWER(Upgrades!$U$14,F345),1)*IF(Upgrades!$T$15="Brown Dwarf",POWER(Upgrades!$U$15,G345),1)*IF(Upgrades!$T$16="Brown Dwarf",POWER(Upgrades!$U$16,H345),1)*IF(Upgrades!$T$18="Brown Dwarf",POWER(Upgrades!$U$18,J345),1)*IF(Upgrades!$T$19="Brown Dwarf",POWER(Upgrades!$U$19,K345),1)*IF(Upgrades!$T$20="Brown Dwarf",POWER(Upgrades!$U$20,L345),1)*IF(Upgrades!$T$21="Brown Dwarf",POWER(Upgrades!$U$21,M345),1))*POWER(Upgrades!$P$13,E345)*POWER(Upgrades!$P$14,F345)*POWER(Upgrades!$P$15,G345)*POWER(Upgrades!$P$16,H345)*POWER(Upgrades!$P$17,I345)*POWER(Upgrades!$P$18,J345)*POWER(Upgrades!$P$19,K345)*POWER(Upgrades!$P$20,L345)*POWER(Upgrades!$P$21,M345)*$F$6*60</f>
        <v/>
      </c>
      <c r="AF345" s="27" t="n">
        <v>0</v>
      </c>
      <c r="AG345" s="27" t="n">
        <v>0</v>
      </c>
      <c r="AH345" s="27" t="n">
        <v>0</v>
      </c>
      <c r="AI345" s="27">
        <f>(IF(M345=0,0,(Upgrades!$G$21+M345*Upgrades!$H$21)*POWER(Upgrades!$I$21,M345)))*(IF(Upgrades!$T$13="Moving Group",POWER(Upgrades!$U$13,E345),1)*IF(Upgrades!$T$14="Moving Group",POWER(Upgrades!$U$14,F345),1)*IF(Upgrades!$T$15="Moving Group",POWER(Upgrades!$U$15,G345),1)*IF(Upgrades!$T$16="Moving Group",POWER(Upgrades!$U$16,H345),1)*IF(Upgrades!$T$17="Moving Group",POWER(Upgrades!$U$17,I345),1)*IF(Upgrades!$T$18="Moving Group",POWER(Upgrades!$U$18,J345),1)*IF(Upgrades!$T$19="Moving Group",POWER(Upgrades!$U$19,K345),1)*IF(Upgrades!$T$20="Moving Group",POWER(Upgrades!$U$20,L345),1))*POWER(Upgrades!$P$13,E345)*POWER(Upgrades!$P$14,F345)*POWER(Upgrades!$P$15,G345)*POWER(Upgrades!$P$16,H345)*POWER(Upgrades!$P$17,I345)*POWER(Upgrades!$P$18,J345)*POWER(Upgrades!$P$19,K345)*POWER(Upgrades!$P$20,L345)*POWER(Upgrades!$P$21,M345)*$F$6*60</f>
        <v/>
      </c>
      <c r="AJ345" s="27">
        <f>$C$6*60</f>
        <v/>
      </c>
      <c r="AK345" s="22">
        <f>IF(E345&gt;=Upgrades!$E$13,"",Upgrades!$C$13*POWER(Upgrades!$D$13,E345))</f>
        <v/>
      </c>
      <c r="AL345" s="22">
        <f>IF(F345&gt;=Upgrades!$E$14,"",Upgrades!$C$14*POWER(Upgrades!$D$14,F345))</f>
        <v/>
      </c>
      <c r="AM345" s="22">
        <f>IF(G345&gt;=Upgrades!$E$15,"",Upgrades!$C$15*POWER(Upgrades!$D$15,G345))</f>
        <v/>
      </c>
      <c r="AN345" s="22">
        <f>IF(H345&gt;=Upgrades!$E$16,"",Upgrades!$C$16*POWER(Upgrades!$D$16,H345))</f>
        <v/>
      </c>
      <c r="AO345" s="22">
        <f>IF(I345&gt;=Upgrades!$E$17,"",Upgrades!$C$17*POWER(Upgrades!$D$17,I345))</f>
        <v/>
      </c>
      <c r="AP345" s="22">
        <f>IF(J345&gt;=Upgrades!$E$18,"",Upgrades!$C$18*POWER(Upgrades!$D$18,J345))</f>
        <v/>
      </c>
      <c r="AQ345" s="22">
        <f>IF(K345&gt;=Upgrades!$E$19,"",Upgrades!$C$19*POWER(Upgrades!$D$19,K345))</f>
        <v/>
      </c>
      <c r="AR345" s="22">
        <f>IF(L345&gt;=Upgrades!$E$20,"",Upgrades!$C$20*POWER(Upgrades!$D$20,L345))</f>
        <v/>
      </c>
      <c r="AS345" s="22">
        <f>IF(M345&gt;=Upgrades!$E$21,"",Upgrades!$C$21*POWER(Upgrades!$D$21,M345))</f>
        <v/>
      </c>
      <c r="AT345" s="26">
        <f>IF(AND(D345&gt;=Parameters!$B$18*Parameters!$B$19,(I345&gt;=Upgrades!$E$17)*(M345&gt;=Upgrades!$E$21)=1,N345=0),1,"")</f>
        <v/>
      </c>
      <c r="AU345" s="26">
        <f>IF(AND(D345&gt;=Parameters!$B$18*Parameters!$B$19,N345=0),1,"")</f>
        <v/>
      </c>
      <c r="AV345" s="22">
        <f>MIN(IF(ISNUMBER(AP345),AP345,9E15),IF(ISNUMBER(AQ345),AQ345,9E15),IF(ISNUMBER(AR345),AR345,9E15),IF(ISNUMBER(AS345),AS345,9E15))</f>
        <v/>
      </c>
      <c r="AW345" s="22">
        <f>MIN(IF(ISNUMBER(AK345),AK345,9E15),IF(ISNUMBER(AL345),AL345,9E15),IF(ISNUMBER(AM345),AM345,9E15),IF(ISNUMBER(AN345),AN345,9E15),IF(ISNUMBER(AO345),AO345,9E15))</f>
        <v/>
      </c>
      <c r="AX345" s="29">
        <f>IF(BD345&gt;Parameters!$B$21*(MAX(IF(AND(NOT(AND(AU345=1,AT345&lt;&gt;1)),ISNUMBER(AK345),AK345&lt;=(C345+T345)),AY345,0),IF(AND(NOT(AND(AU345=1,AT345&lt;&gt;1)),ISNUMBER(AL345),AL345&lt;=(C345+T345)),AZ345,0),IF(AND(NOT(AND(AU345=1,AT345&lt;&gt;1)),ISNUMBER(AM345),AM345&lt;=(C345+T345)),BA345,0),IF(AND(NOT(AND(AU345=1,AT345&lt;&gt;1)),ISNUMBER(AN345),AN345&lt;=(C345+T345)),BB345,0),IF(AND(ISNUMBER(AO345),AO345&lt;=(C345+T345)),BC345,0))),TRUE,FALSE)</f>
        <v/>
      </c>
      <c r="AY345" s="32">
        <f>IFERROR(Upgrades!$H$13*(POWER(Upgrades!$P$13,E345)*POWER(Upgrades!$P$14,F345)*POWER(Upgrades!$P$15,G345)*POWER(Upgrades!$P$16,H345)*POWER(Upgrades!$P$17,I345)*POWER(Upgrades!$P$18,J345)*POWER(Upgrades!$P$19,K345)*POWER(Upgrades!$P$20,L345)*POWER(Upgrades!$P$21,M345))*(IF(Upgrades!$T$14="Stellar Kinematics",POWER(Upgrades!$U$14,F345),1)*IF(Upgrades!$T$15="Stellar Kinematics",POWER(Upgrades!$U$15,G345),1)*IF(Upgrades!$T$16="Stellar Kinematics",POWER(Upgrades!$U$16,H345),1)*IF(Upgrades!$T$17="Stellar Kinematics",POWER(Upgrades!$U$17,I345),1)*IF(Upgrades!$T$18="Stellar Kinematics",POWER(Upgrades!$U$18,J345),1)*IF(Upgrades!$T$19="Stellar Kinematics",POWER(Upgrades!$U$19,K345),1)*IF(Upgrades!$T$20="Stellar Kinematics",POWER(Upgrades!$U$20,L345),1)*IF(Upgrades!$T$21="Stellar Kinematics",POWER(Upgrades!$U$21,M345),1))*$F$6/AK345,0)</f>
        <v/>
      </c>
      <c r="AZ345" s="32">
        <f>IFERROR(Upgrades!$H$14*(POWER(Upgrades!$P$13,E345)*POWER(Upgrades!$P$14,F345)*POWER(Upgrades!$P$15,G345)*POWER(Upgrades!$P$16,H345)*POWER(Upgrades!$P$17,I345)*POWER(Upgrades!$P$18,J345)*POWER(Upgrades!$P$19,K345)*POWER(Upgrades!$P$20,L345)*POWER(Upgrades!$P$21,M345))*(IF(Upgrades!$T$13="Local Bubble",POWER(Upgrades!$U$13,E345),1)*IF(Upgrades!$T$15="Local Bubble",POWER(Upgrades!$U$15,G345),1)*IF(Upgrades!$T$16="Local Bubble",POWER(Upgrades!$U$16,H345),1)*IF(Upgrades!$T$17="Local Bubble",POWER(Upgrades!$U$17,I345),1)*IF(Upgrades!$T$18="Local Bubble",POWER(Upgrades!$U$18,J345),1)*IF(Upgrades!$T$19="Local Bubble",POWER(Upgrades!$U$19,K345),1)*IF(Upgrades!$T$20="Local Bubble",POWER(Upgrades!$U$20,L345),1)*IF(Upgrades!$T$21="Local Bubble",POWER(Upgrades!$U$21,M345),1))*$F$6/AL345,0)</f>
        <v/>
      </c>
      <c r="BA345" s="32">
        <f>IFERROR(Upgrades!$K$15*(POWER(Upgrades!$Q$13,E345)*POWER(Upgrades!$Q$14,F345)*POWER(Upgrades!$Q$15,G345)*POWER(Upgrades!$Q$16,H345)*POWER(Upgrades!$Q$17,I345)*POWER(Upgrades!$Q$18,J345)*POWER(Upgrades!$Q$19,K345)*POWER(Upgrades!$Q$20,L345)*POWER(Upgrades!$Q$21,M345))*(IF(Upgrades!$T$13="Microlensing",POWER(Upgrades!$U$13,E345),1)*IF(Upgrades!$T$14="Microlensing",POWER(Upgrades!$U$14,F345),1)*IF(Upgrades!$T$16="Microlensing",POWER(Upgrades!$U$16,H345),1)*IF(Upgrades!$T$17="Microlensing",POWER(Upgrades!$U$17,I345),1)*IF(Upgrades!$T$18="Microlensing",POWER(Upgrades!$U$18,J345),1)*IF(Upgrades!$T$19="Microlensing",POWER(Upgrades!$U$19,K345),1)*IF(Upgrades!$T$20="Microlensing",POWER(Upgrades!$U$20,L345),1)*IF(Upgrades!$T$21="Microlensing",POWER(Upgrades!$U$21,M345),1))*$G$6*(Parameters!$B$10/60*Parameters!$B$11+Q345)/AM345,0)</f>
        <v/>
      </c>
      <c r="BB345" s="32">
        <f>IFERROR((Upgrades!$N$16*(POWER(Upgrades!$R$13,E345)*POWER(Upgrades!$R$14,F345)*POWER(Upgrades!$R$15,G345)*POWER(Upgrades!$R$16,H345)*POWER(Upgrades!$R$17,I345)*POWER(Upgrades!$R$18,J345)*POWER(Upgrades!$R$19,K345)*POWER(Upgrades!$R$20,L345)*POWER(Upgrades!$R$21,M345))*(IF(Upgrades!$T$13="Roche Lobe Overflow",POWER(Upgrades!$U$13,E345),1)*IF(Upgrades!$T$14="Roche Lobe Overflow",POWER(Upgrades!$U$14,F345),1)*IF(Upgrades!$T$15="Roche Lobe Overflow",POWER(Upgrades!$U$15,G345),1)*IF(Upgrades!$T$17="Roche Lobe Overflow",POWER(Upgrades!$U$17,I345),1)*IF(Upgrades!$T$18="Roche Lobe Overflow",POWER(Upgrades!$U$18,J345),1)*IF(Upgrades!$T$19="Roche Lobe Overflow",POWER(Upgrades!$U$19,K345),1)*IF(Upgrades!$T$20="Roche Lobe Overflow",POWER(Upgrades!$U$20,L345),1)*IF(Upgrades!$T$21="Roche Lobe Overflow",POWER(Upgrades!$U$21,M345),1))*$H$6*O345+((IF(F345=0,0,(Upgrades!$G$14+F345*Upgrades!$H$14)*POWER(Upgrades!$I$14,F345)))*(IF(Upgrades!$T$13="Local Bubble",POWER(Upgrades!$U$13,E345),1)*IF(Upgrades!$T$15="Local Bubble",POWER(Upgrades!$U$15,G345),1)*IF(Upgrades!$T$16="Local Bubble",POWER(Upgrades!$U$16,H345),1)*IF(Upgrades!$T$17="Local Bubble",POWER(Upgrades!$U$17,I345),1)*IF(Upgrades!$T$18="Local Bubble",POWER(Upgrades!$U$18,J345),1)*IF(Upgrades!$T$19="Local Bubble",POWER(Upgrades!$U$19,K345),1)*IF(Upgrades!$T$20="Local Bubble",POWER(Upgrades!$U$20,L345),1)*IF(Upgrades!$T$21="Local Bubble",POWER(Upgrades!$U$21,M345),1))*POWER(Upgrades!$P$13,E345)*POWER(Upgrades!$P$14,F345)*POWER(Upgrades!$P$15,G345)*POWER(Upgrades!$P$16,H345)*POWER(Upgrades!$P$17,I345)*POWER(Upgrades!$P$18,J345)*POWER(Upgrades!$P$19,K345)*POWER(Upgrades!$P$20,L345)*POWER(Upgrades!$P$21,M345)*$F$6)*0.05)/AN345,0)</f>
        <v/>
      </c>
      <c r="BC345" s="32">
        <f>IFERROR((Upgrades!$H$17*(POWER(Upgrades!$P$13,E345)*POWER(Upgrades!$P$14,F345)*POWER(Upgrades!$P$15,G345)*POWER(Upgrades!$P$16,H345)*POWER(Upgrades!$P$17,I345)*POWER(Upgrades!$P$18,J345)*POWER(Upgrades!$P$19,K345)*POWER(Upgrades!$P$20,L345)*POWER(Upgrades!$P$21,M345))*(IF(Upgrades!$T$13="Brown Dwarf",POWER(Upgrades!$U$13,E345),1)*IF(Upgrades!$T$14="Brown Dwarf",POWER(Upgrades!$U$14,F345),1)*IF(Upgrades!$T$15="Brown Dwarf",POWER(Upgrades!$U$15,G345),1)*IF(Upgrades!$T$16="Brown Dwarf",POWER(Upgrades!$U$16,H345),1)*IF(Upgrades!$T$18="Brown Dwarf",POWER(Upgrades!$U$18,J345),1)*IF(Upgrades!$T$19="Brown Dwarf",POWER(Upgrades!$U$19,K345),1)*IF(Upgrades!$T$20="Brown Dwarf",POWER(Upgrades!$U$20,L345),1)*IF(Upgrades!$T$21="Brown Dwarf",POWER(Upgrades!$U$21,M345),1))*$F$6+(((IF(H345=0,0,(Upgrades!$M$16+H345*Upgrades!$N$16)*POWER(Upgrades!$O$16,H345)))*(IF(Upgrades!$T$13="Roche Lobe Overflow",POWER(Upgrades!$U$13,E345),1)*IF(Upgrades!$T$14="Roche Lobe Overflow",POWER(Upgrades!$U$14,F345),1)*IF(Upgrades!$T$15="Roche Lobe Overflow",POWER(Upgrades!$U$15,G345),1)*IF(Upgrades!$T$17="Roche Lobe Overflow",POWER(Upgrades!$U$17,I345),1)*IF(Upgrades!$T$18="Roche Lobe Overflow",POWER(Upgrades!$U$18,J345),1)*IF(Upgrades!$T$19="Roche Lobe Overflow",POWER(Upgrades!$U$19,K345),1)*IF(Upgrades!$T$20="Roche Lobe Overflow",POWER(Upgrades!$U$20,L345),1)*IF(Upgrades!$T$21="Roche Lobe Overflow",POWER(Upgrades!$U$21,M345),1))*POWER(Upgrades!$R$13,E345)*POWER(Upgrades!$R$14,F345)*POWER(Upgrades!$R$15,G345)*POWER(Upgrades!$R$16,H345)*POWER(Upgrades!$R$17,I345)*POWER(Upgrades!$R$18,J345)*POWER(Upgrades!$R$19,K345)*POWER(Upgrades!$R$20,L345)*POWER(Upgrades!$R$21,M345)*$H$6)*O345)*0.10)/AO345,0)</f>
        <v/>
      </c>
      <c r="BD345" s="32">
        <f>MAX(IF(J345&gt;0,0,IFERROR(0.5*((IF(G345=0,0,(Upgrades!$J$15+G345*Upgrades!$K$15)*POWER(Upgrades!$L$15,G345)))*(IF(Upgrades!$T$13="Microlensing",POWER(Upgrades!$U$13,E345),1)*IF(Upgrades!$T$14="Microlensing",POWER(Upgrades!$U$14,F345),1)*IF(Upgrades!$T$16="Microlensing",POWER(Upgrades!$U$16,H345),1)*IF(Upgrades!$T$17="Microlensing",POWER(Upgrades!$U$17,I345),1)*IF(Upgrades!$T$18="Microlensing",POWER(Upgrades!$U$18,J345),1)*IF(Upgrades!$T$19="Microlensing",POWER(Upgrades!$U$19,K345),1)*IF(Upgrades!$T$20="Microlensing",POWER(Upgrades!$U$20,L345),1)*IF(Upgrades!$T$21="Microlensing",POWER(Upgrades!$U$21,M345),1))*(POWER(Upgrades!$Q$13,E345)*POWER(Upgrades!$Q$14,F345)*POWER(Upgrades!$Q$15,G345)*POWER(Upgrades!$Q$16,H345)*POWER(Upgrades!$Q$17,I345)*POWER(Upgrades!$Q$18,J345)*POWER(Upgrades!$Q$19,K345)*POWER(Upgrades!$Q$20,L345)*POWER(Upgrades!$Q$21,M345))*$G$6*(Parameters!$B$10/60*Parameters!$B$11+Q345))/Upgrades!$C$18,0)),IF(K345&gt;0,0,IFERROR(0.30*P345/Upgrades!$C$19,0)),IF(L345&gt;0,0,IFERROR(0.0001/Upgrades!$C$20,0)),IF(M345&gt;0,0,IFERROR((6.0*(POWER(Upgrades!$P$13,E345)*POWER(Upgrades!$P$14,F345)*POWER(Upgrades!$P$15,G345)*POWER(Upgrades!$P$16,H345)*POWER(Upgrades!$P$17,I345)*POWER(Upgrades!$P$18,J345)*POWER(Upgrades!$P$19,K345)*POWER(Upgrades!$P$20,L345)*POWER(Upgrades!$P$21,M345))*$F$6+0.20*O345*(Parameters!$B$10/60*Parameters!$B$11+Q345))/Upgrades!$C$21,0)),IF(AND(ISNUMBER(AK345),AK345&gt;(C345+T345)),AY345,0),IF(AND(ISNUMBER(AL345),AL345&gt;(C345+T345)),AZ345,0),IF(AND(ISNUMBER(AM345),AM345&gt;(C345+T345)),BA345,0),IF(AND(ISNUMBER(AN345),AN345&gt;(C345+T345)),BB345,0),IF(AND(ISNUMBER(AO345),AO345&gt;(C345+T345)),BC345,0))</f>
        <v/>
      </c>
      <c r="BE345" s="29">
        <f>IF(AT345=1,"transition",IF(MIN(IF(AND(J345=0,ISNUMBER(AP345),AP345&lt;=(C345+T345)),AP345,9E15),IF(AND(K345=0,ISNUMBER(AQ345),AQ345&lt;=(C345+T345)),AQ345,9E15),IF(AND(L345=0,ISNUMBER(AR345),AR345&lt;=(C345+T345)),AR345,9E15),IF(AND(M345=0,ISNUMBER(AS345),AS345&lt;=(C345+T345)),AS345,9E15))&lt;9E15,IF(AND(AND(J345=0,ISNUMBER(AP345),AP345&lt;=(C345+T345)),AP345=MIN(IF(AND(J345=0,ISNUMBER(AP345),AP345&lt;=(C345+T345)),AP345,9E15),IF(AND(K345=0,ISNUMBER(AQ345),AQ345&lt;=(C345+T345)),AQ345,9E15),IF(AND(L345=0,ISNUMBER(AR345),AR345&lt;=(C345+T345)),AR345,9E15),IF(AND(M345=0,ISNUMBER(AS345),AS345&lt;=(C345+T345)),AS345,9E15))),"BiP",IF(AND(AND(K345=0,ISNUMBER(AQ345),AQ345&lt;=(C345+T345)),AQ345=MIN(IF(AND(J345=0,ISNUMBER(AP345),AP345&lt;=(C345+T345)),AP345,9E15),IF(AND(K345=0,ISNUMBER(AQ345),AQ345&lt;=(C345+T345)),AQ345,9E15),IF(AND(L345=0,ISNUMBER(AR345),AR345&lt;=(C345+T345)),AR345,9E15),IF(AND(M345=0,ISNUMBER(AS345),AS345&lt;=(C345+T345)),AS345,9E15))),"PV",IF(AND(AND(L345=0,ISNUMBER(AR345),AR345&lt;=(C345+T345)),AR345=MIN(IF(AND(J345=0,ISNUMBER(AP345),AP345&lt;=(C345+T345)),AP345,9E15),IF(AND(K345=0,ISNUMBER(AQ345),AQ345&lt;=(C345+T345)),AQ345,9E15),IF(AND(L345=0,ISNUMBER(AR345),AR345&lt;=(C345+T345)),AR345,9E15),IF(AND(M345=0,ISNUMBER(AS345),AS345&lt;=(C345+T345)),AS345,9E15))),"OC","MG"))),IF(AX345=TRUE,"",IF(MAX(IF(AND(NOT(AND(AU345=1,AT345&lt;&gt;1)),ISNUMBER(AK345),AK345&lt;=(C345+T345)),AY345,0),IF(AND(NOT(AND(AU345=1,AT345&lt;&gt;1)),ISNUMBER(AL345),AL345&lt;=(C345+T345)),AZ345,0),IF(AND(NOT(AND(AU345=1,AT345&lt;&gt;1)),ISNUMBER(AM345),AM345&lt;=(C345+T345)),BA345,0),IF(AND(NOT(AND(AU345=1,AT345&lt;&gt;1)),ISNUMBER(AN345),AN345&lt;=(C345+T345)),BB345,0),IF(AND(ISNUMBER(AO345),AO345&lt;=(C345+T345)),BC345,0))&lt;=0,"",IF(AND(IF(AND(NOT(AND(AU345=1,AT345&lt;&gt;1)),ISNUMBER(AK345),AK345&lt;=(C345+T345)),AY345,0)&gt;0,IF(AND(NOT(AND(AU345=1,AT345&lt;&gt;1)),ISNUMBER(AK345),AK345&lt;=(C345+T345)),AY345,0)=MAX(IF(AND(NOT(AND(AU345=1,AT345&lt;&gt;1)),ISNUMBER(AK345),AK345&lt;=(C345+T345)),AY345,0),IF(AND(NOT(AND(AU345=1,AT345&lt;&gt;1)),ISNUMBER(AL345),AL345&lt;=(C345+T345)),AZ345,0),IF(AND(NOT(AND(AU345=1,AT345&lt;&gt;1)),ISNUMBER(AM345),AM345&lt;=(C345+T345)),BA345,0),IF(AND(NOT(AND(AU345=1,AT345&lt;&gt;1)),ISNUMBER(AN345),AN345&lt;=(C345+T345)),BB345,0),IF(AND(ISNUMBER(AO345),AO345&lt;=(C345+T345)),BC345,0))),"SK",IF(AND(IF(AND(NOT(AND(AU345=1,AT345&lt;&gt;1)),ISNUMBER(AL345),AL345&lt;=(C345+T345)),AZ345,0)&gt;0,IF(AND(NOT(AND(AU345=1,AT345&lt;&gt;1)),ISNUMBER(AL345),AL345&lt;=(C345+T345)),AZ345,0)=MAX(IF(AND(NOT(AND(AU345=1,AT345&lt;&gt;1)),ISNUMBER(AK345),AK345&lt;=(C345+T345)),AY345,0),IF(AND(NOT(AND(AU345=1,AT345&lt;&gt;1)),ISNUMBER(AL345),AL345&lt;=(C345+T345)),AZ345,0),IF(AND(NOT(AND(AU345=1,AT345&lt;&gt;1)),ISNUMBER(AM345),AM345&lt;=(C345+T345)),BA345,0),IF(AND(NOT(AND(AU345=1,AT345&lt;&gt;1)),ISNUMBER(AN345),AN345&lt;=(C345+T345)),BB345,0),IF(AND(ISNUMBER(AO345),AO345&lt;=(C345+T345)),BC345,0))),"LB",IF(AND(IF(AND(NOT(AND(AU345=1,AT345&lt;&gt;1)),ISNUMBER(AM345),AM345&lt;=(C345+T345)),BA345,0)&gt;0,IF(AND(NOT(AND(AU345=1,AT345&lt;&gt;1)),ISNUMBER(AM345),AM345&lt;=(C345+T345)),BA345,0)=MAX(IF(AND(NOT(AND(AU345=1,AT345&lt;&gt;1)),ISNUMBER(AK345),AK345&lt;=(C345+T345)),AY345,0),IF(AND(NOT(AND(AU345=1,AT345&lt;&gt;1)),ISNUMBER(AL345),AL345&lt;=(C345+T345)),AZ345,0),IF(AND(NOT(AND(AU345=1,AT345&lt;&gt;1)),ISNUMBER(AM345),AM345&lt;=(C345+T345)),BA345,0),IF(AND(NOT(AND(AU345=1,AT345&lt;&gt;1)),ISNUMBER(AN345),AN345&lt;=(C345+T345)),BB345,0),IF(AND(ISNUMBER(AO345),AO345&lt;=(C345+T345)),BC345,0))),"ML",IF(AND(IF(AND(NOT(AND(AU345=1,AT345&lt;&gt;1)),ISNUMBER(AN345),AN345&lt;=(C345+T345)),BB345,0)&gt;0,IF(AND(NOT(AND(AU345=1,AT345&lt;&gt;1)),ISNUMBER(AN345),AN345&lt;=(C345+T345)),BB345,0)=MAX(IF(AND(NOT(AND(AU345=1,AT345&lt;&gt;1)),ISNUMBER(AK345),AK345&lt;=(C345+T345)),AY345,0),IF(AND(NOT(AND(AU345=1,AT345&lt;&gt;1)),ISNUMBER(AL345),AL345&lt;=(C345+T345)),AZ345,0),IF(AND(NOT(AND(AU345=1,AT345&lt;&gt;1)),ISNUMBER(AM345),AM345&lt;=(C345+T345)),BA345,0),IF(AND(NOT(AND(AU345=1,AT345&lt;&gt;1)),ISNUMBER(AN345),AN345&lt;=(C345+T345)),BB345,0),IF(AND(ISNUMBER(AO345),AO345&lt;=(C345+T345)),BC345,0))),"RLO","BD"))))))))</f>
        <v/>
      </c>
    </row>
    <row r="346">
      <c r="A346" s="26" t="n">
        <v>335</v>
      </c>
      <c r="B346" s="27">
        <f>A346*10/60</f>
        <v/>
      </c>
      <c r="C346" s="22">
        <f>X345</f>
        <v/>
      </c>
      <c r="D346" s="27">
        <f>D345+W345</f>
        <v/>
      </c>
      <c r="E346" s="26">
        <f>E345+IF(U345="SK",1,0)</f>
        <v/>
      </c>
      <c r="F346" s="26">
        <f>F345+IF(U345="LB",1,0)</f>
        <v/>
      </c>
      <c r="G346" s="26">
        <f>G345+IF(U345="ML",1,0)</f>
        <v/>
      </c>
      <c r="H346" s="26">
        <f>H345+IF(U345="RLO",1,0)</f>
        <v/>
      </c>
      <c r="I346" s="26">
        <f>I345+IF(U345="BD",1,0)</f>
        <v/>
      </c>
      <c r="J346" s="26">
        <f>MAX(J345,IF(U345="BiP",1,0))</f>
        <v/>
      </c>
      <c r="K346" s="26">
        <f>MAX(K345,IF(U345="PV",1,0))</f>
        <v/>
      </c>
      <c r="L346" s="26">
        <f>MAX(L345,IF(U345="OC",1,0))</f>
        <v/>
      </c>
      <c r="M346" s="26">
        <f>MAX(M345,IF(U345="MG",1,0))</f>
        <v/>
      </c>
      <c r="N346" s="26">
        <f>MAX(N345,IF(U345="transition",1,0))</f>
        <v/>
      </c>
      <c r="O346" s="28">
        <f>(Parameters!$B$9+(IF(E346=0,0,(Upgrades!$J$13+E346*Upgrades!$K$13)*POWER(Upgrades!$L$13,E346)))*(IF(Upgrades!$T$14="Stellar Kinematics",POWER(Upgrades!$U$14,F346),1)*IF(Upgrades!$T$15="Stellar Kinematics",POWER(Upgrades!$U$15,G346),1)*IF(Upgrades!$T$16="Stellar Kinematics",POWER(Upgrades!$U$16,H346),1)*IF(Upgrades!$T$17="Stellar Kinematics",POWER(Upgrades!$U$17,I346),1)*IF(Upgrades!$T$18="Stellar Kinematics",POWER(Upgrades!$U$18,J346),1)*IF(Upgrades!$T$19="Stellar Kinematics",POWER(Upgrades!$U$19,K346),1)*IF(Upgrades!$T$20="Stellar Kinematics",POWER(Upgrades!$U$20,L346),1)*IF(Upgrades!$T$21="Stellar Kinematics",POWER(Upgrades!$U$21,M346),1))+(IF(F346=0,0,(Upgrades!$J$14+F346*Upgrades!$K$14)*POWER(Upgrades!$L$14,F346)))*(IF(Upgrades!$T$13="Local Bubble",POWER(Upgrades!$U$13,E346),1)*IF(Upgrades!$T$15="Local Bubble",POWER(Upgrades!$U$15,G346),1)*IF(Upgrades!$T$16="Local Bubble",POWER(Upgrades!$U$16,H346),1)*IF(Upgrades!$T$17="Local Bubble",POWER(Upgrades!$U$17,I346),1)*IF(Upgrades!$T$18="Local Bubble",POWER(Upgrades!$U$18,J346),1)*IF(Upgrades!$T$19="Local Bubble",POWER(Upgrades!$U$19,K346),1)*IF(Upgrades!$T$20="Local Bubble",POWER(Upgrades!$U$20,L346),1)*IF(Upgrades!$T$21="Local Bubble",POWER(Upgrades!$U$21,M346),1))+(IF(G346=0,0,(Upgrades!$J$15+G346*Upgrades!$K$15)*POWER(Upgrades!$L$15,G346)))*(IF(Upgrades!$T$13="Microlensing",POWER(Upgrades!$U$13,E346),1)*IF(Upgrades!$T$14="Microlensing",POWER(Upgrades!$U$14,F346),1)*IF(Upgrades!$T$16="Microlensing",POWER(Upgrades!$U$16,H346),1)*IF(Upgrades!$T$17="Microlensing",POWER(Upgrades!$U$17,I346),1)*IF(Upgrades!$T$18="Microlensing",POWER(Upgrades!$U$18,J346),1)*IF(Upgrades!$T$19="Microlensing",POWER(Upgrades!$U$19,K346),1)*IF(Upgrades!$T$20="Microlensing",POWER(Upgrades!$U$20,L346),1)*IF(Upgrades!$T$21="Microlensing",POWER(Upgrades!$U$21,M346),1))+(IF(H346=0,0,(Upgrades!$J$16+H346*Upgrades!$K$16)*POWER(Upgrades!$L$16,H346)))*(IF(Upgrades!$T$13="Roche Lobe Overflow",POWER(Upgrades!$U$13,E346),1)*IF(Upgrades!$T$14="Roche Lobe Overflow",POWER(Upgrades!$U$14,F346),1)*IF(Upgrades!$T$15="Roche Lobe Overflow",POWER(Upgrades!$U$15,G346),1)*IF(Upgrades!$T$17="Roche Lobe Overflow",POWER(Upgrades!$U$17,I346),1)*IF(Upgrades!$T$18="Roche Lobe Overflow",POWER(Upgrades!$U$18,J346),1)*IF(Upgrades!$T$19="Roche Lobe Overflow",POWER(Upgrades!$U$19,K346),1)*IF(Upgrades!$T$20="Roche Lobe Overflow",POWER(Upgrades!$U$20,L346),1)*IF(Upgrades!$T$21="Roche Lobe Overflow",POWER(Upgrades!$U$21,M346),1))+(IF(I346=0,0,(Upgrades!$J$17+I346*Upgrades!$K$17)*POWER(Upgrades!$L$17,I346)))*(IF(Upgrades!$T$13="Brown Dwarf",POWER(Upgrades!$U$13,E346),1)*IF(Upgrades!$T$14="Brown Dwarf",POWER(Upgrades!$U$14,F346),1)*IF(Upgrades!$T$15="Brown Dwarf",POWER(Upgrades!$U$15,G346),1)*IF(Upgrades!$T$16="Brown Dwarf",POWER(Upgrades!$U$16,H346),1)*IF(Upgrades!$T$18="Brown Dwarf",POWER(Upgrades!$U$18,J346),1)*IF(Upgrades!$T$19="Brown Dwarf",POWER(Upgrades!$U$19,K346),1)*IF(Upgrades!$T$20="Brown Dwarf",POWER(Upgrades!$U$20,L346),1)*IF(Upgrades!$T$21="Brown Dwarf",POWER(Upgrades!$U$21,M346),1))+(IF(J346=0,0,(Upgrades!$J$18+J346*Upgrades!$K$18)*POWER(Upgrades!$L$18,J346)))*(IF(Upgrades!$T$13="Binary Partner",POWER(Upgrades!$U$13,E346),1)*IF(Upgrades!$T$14="Binary Partner",POWER(Upgrades!$U$14,F346),1)*IF(Upgrades!$T$15="Binary Partner",POWER(Upgrades!$U$15,G346),1)*IF(Upgrades!$T$16="Binary Partner",POWER(Upgrades!$U$16,H346),1)*IF(Upgrades!$T$17="Binary Partner",POWER(Upgrades!$U$17,I346),1)*IF(Upgrades!$T$19="Binary Partner",POWER(Upgrades!$U$19,K346),1)*IF(Upgrades!$T$20="Binary Partner",POWER(Upgrades!$U$20,L346),1)*IF(Upgrades!$T$21="Binary Partner",POWER(Upgrades!$U$21,M346),1))+(IF(K346=0,0,(Upgrades!$J$19+K346*Upgrades!$K$19)*POWER(Upgrades!$L$19,K346)))*(IF(Upgrades!$T$13="Peculiar Velocity",POWER(Upgrades!$U$13,E346),1)*IF(Upgrades!$T$14="Peculiar Velocity",POWER(Upgrades!$U$14,F346),1)*IF(Upgrades!$T$15="Peculiar Velocity",POWER(Upgrades!$U$15,G346),1)*IF(Upgrades!$T$16="Peculiar Velocity",POWER(Upgrades!$U$16,H346),1)*IF(Upgrades!$T$17="Peculiar Velocity",POWER(Upgrades!$U$17,I346),1)*IF(Upgrades!$T$18="Peculiar Velocity",POWER(Upgrades!$U$18,J346),1)*IF(Upgrades!$T$20="Peculiar Velocity",POWER(Upgrades!$U$20,L346),1)*IF(Upgrades!$T$21="Peculiar Velocity",POWER(Upgrades!$U$21,M346),1))+(IF(L346=0,0,(Upgrades!$J$20+L346*Upgrades!$K$20)*POWER(Upgrades!$L$20,L346)))*(IF(Upgrades!$T$13="Open Cluster",POWER(Upgrades!$U$13,E346),1)*IF(Upgrades!$T$14="Open Cluster",POWER(Upgrades!$U$14,F346),1)*IF(Upgrades!$T$15="Open Cluster",POWER(Upgrades!$U$15,G346),1)*IF(Upgrades!$T$16="Open Cluster",POWER(Upgrades!$U$16,H346),1)*IF(Upgrades!$T$17="Open Cluster",POWER(Upgrades!$U$17,I346),1)*IF(Upgrades!$T$18="Open Cluster",POWER(Upgrades!$U$18,J346),1)*IF(Upgrades!$T$19="Open Cluster",POWER(Upgrades!$U$19,K346),1)*IF(Upgrades!$T$21="Open Cluster",POWER(Upgrades!$U$21,M346),1))+(IF(M346=0,0,(Upgrades!$J$21+M346*Upgrades!$K$21)*POWER(Upgrades!$L$21,M346)))*(IF(Upgrades!$T$13="Moving Group",POWER(Upgrades!$U$13,E346),1)*IF(Upgrades!$T$14="Moving Group",POWER(Upgrades!$U$14,F346),1)*IF(Upgrades!$T$15="Moving Group",POWER(Upgrades!$U$15,G346),1)*IF(Upgrades!$T$16="Moving Group",POWER(Upgrades!$U$16,H346),1)*IF(Upgrades!$T$17="Moving Group",POWER(Upgrades!$U$17,I346),1)*IF(Upgrades!$T$18="Moving Group",POWER(Upgrades!$U$18,J346),1)*IF(Upgrades!$T$19="Moving Group",POWER(Upgrades!$U$19,K346),1)*IF(Upgrades!$T$20="Moving Group",POWER(Upgrades!$U$20,L346),1)))*POWER(Upgrades!$Q$13,E346)*POWER(Upgrades!$Q$14,F346)*POWER(Upgrades!$Q$15,G346)*POWER(Upgrades!$Q$16,H346)*POWER(Upgrades!$Q$17,I346)*POWER(Upgrades!$Q$18,J346)*POWER(Upgrades!$Q$19,K346)*POWER(Upgrades!$Q$20,L346)*POWER(Upgrades!$Q$21,M346)*$G$6+$D$6</f>
        <v/>
      </c>
      <c r="P346" s="28">
        <f>((IF(E346=0,0,(Upgrades!$G$13+E346*Upgrades!$H$13)*POWER(Upgrades!$I$13,E346)))*(IF(Upgrades!$T$14="Stellar Kinematics",POWER(Upgrades!$U$14,F346),1)*IF(Upgrades!$T$15="Stellar Kinematics",POWER(Upgrades!$U$15,G346),1)*IF(Upgrades!$T$16="Stellar Kinematics",POWER(Upgrades!$U$16,H346),1)*IF(Upgrades!$T$17="Stellar Kinematics",POWER(Upgrades!$U$17,I346),1)*IF(Upgrades!$T$18="Stellar Kinematics",POWER(Upgrades!$U$18,J346),1)*IF(Upgrades!$T$19="Stellar Kinematics",POWER(Upgrades!$U$19,K346),1)*IF(Upgrades!$T$20="Stellar Kinematics",POWER(Upgrades!$U$20,L346),1)*IF(Upgrades!$T$21="Stellar Kinematics",POWER(Upgrades!$U$21,M346),1))+(IF(F346=0,0,(Upgrades!$G$14+F346*Upgrades!$H$14)*POWER(Upgrades!$I$14,F346)))*(IF(Upgrades!$T$13="Local Bubble",POWER(Upgrades!$U$13,E346),1)*IF(Upgrades!$T$15="Local Bubble",POWER(Upgrades!$U$15,G346),1)*IF(Upgrades!$T$16="Local Bubble",POWER(Upgrades!$U$16,H346),1)*IF(Upgrades!$T$17="Local Bubble",POWER(Upgrades!$U$17,I346),1)*IF(Upgrades!$T$18="Local Bubble",POWER(Upgrades!$U$18,J346),1)*IF(Upgrades!$T$19="Local Bubble",POWER(Upgrades!$U$19,K346),1)*IF(Upgrades!$T$20="Local Bubble",POWER(Upgrades!$U$20,L346),1)*IF(Upgrades!$T$21="Local Bubble",POWER(Upgrades!$U$21,M346),1))+(IF(G346=0,0,(Upgrades!$G$15+G346*Upgrades!$H$15)*POWER(Upgrades!$I$15,G346)))*(IF(Upgrades!$T$13="Microlensing",POWER(Upgrades!$U$13,E346),1)*IF(Upgrades!$T$14="Microlensing",POWER(Upgrades!$U$14,F346),1)*IF(Upgrades!$T$16="Microlensing",POWER(Upgrades!$U$16,H346),1)*IF(Upgrades!$T$17="Microlensing",POWER(Upgrades!$U$17,I346),1)*IF(Upgrades!$T$18="Microlensing",POWER(Upgrades!$U$18,J346),1)*IF(Upgrades!$T$19="Microlensing",POWER(Upgrades!$U$19,K346),1)*IF(Upgrades!$T$20="Microlensing",POWER(Upgrades!$U$20,L346),1)*IF(Upgrades!$T$21="Microlensing",POWER(Upgrades!$U$21,M346),1))+(IF(H346=0,0,(Upgrades!$G$16+H346*Upgrades!$H$16)*POWER(Upgrades!$I$16,H346)))*(IF(Upgrades!$T$13="Roche Lobe Overflow",POWER(Upgrades!$U$13,E346),1)*IF(Upgrades!$T$14="Roche Lobe Overflow",POWER(Upgrades!$U$14,F346),1)*IF(Upgrades!$T$15="Roche Lobe Overflow",POWER(Upgrades!$U$15,G346),1)*IF(Upgrades!$T$17="Roche Lobe Overflow",POWER(Upgrades!$U$17,I346),1)*IF(Upgrades!$T$18="Roche Lobe Overflow",POWER(Upgrades!$U$18,J346),1)*IF(Upgrades!$T$19="Roche Lobe Overflow",POWER(Upgrades!$U$19,K346),1)*IF(Upgrades!$T$20="Roche Lobe Overflow",POWER(Upgrades!$U$20,L346),1)*IF(Upgrades!$T$21="Roche Lobe Overflow",POWER(Upgrades!$U$21,M346),1))+(IF(I346=0,0,(Upgrades!$G$17+I346*Upgrades!$H$17)*POWER(Upgrades!$I$17,I346)))*(IF(Upgrades!$T$13="Brown Dwarf",POWER(Upgrades!$U$13,E346),1)*IF(Upgrades!$T$14="Brown Dwarf",POWER(Upgrades!$U$14,F346),1)*IF(Upgrades!$T$15="Brown Dwarf",POWER(Upgrades!$U$15,G346),1)*IF(Upgrades!$T$16="Brown Dwarf",POWER(Upgrades!$U$16,H346),1)*IF(Upgrades!$T$18="Brown Dwarf",POWER(Upgrades!$U$18,J346),1)*IF(Upgrades!$T$19="Brown Dwarf",POWER(Upgrades!$U$19,K346),1)*IF(Upgrades!$T$20="Brown Dwarf",POWER(Upgrades!$U$20,L346),1)*IF(Upgrades!$T$21="Brown Dwarf",POWER(Upgrades!$U$21,M346),1))+(IF(J346=0,0,(Upgrades!$G$18+J346*Upgrades!$H$18)*POWER(Upgrades!$I$18,J346)))*(IF(Upgrades!$T$13="Binary Partner",POWER(Upgrades!$U$13,E346),1)*IF(Upgrades!$T$14="Binary Partner",POWER(Upgrades!$U$14,F346),1)*IF(Upgrades!$T$15="Binary Partner",POWER(Upgrades!$U$15,G346),1)*IF(Upgrades!$T$16="Binary Partner",POWER(Upgrades!$U$16,H346),1)*IF(Upgrades!$T$17="Binary Partner",POWER(Upgrades!$U$17,I346),1)*IF(Upgrades!$T$19="Binary Partner",POWER(Upgrades!$U$19,K346),1)*IF(Upgrades!$T$20="Binary Partner",POWER(Upgrades!$U$20,L346),1)*IF(Upgrades!$T$21="Binary Partner",POWER(Upgrades!$U$21,M346),1))+(IF(K346=0,0,(Upgrades!$G$19+K346*Upgrades!$H$19)*POWER(Upgrades!$I$19,K346)))*(IF(Upgrades!$T$13="Peculiar Velocity",POWER(Upgrades!$U$13,E346),1)*IF(Upgrades!$T$14="Peculiar Velocity",POWER(Upgrades!$U$14,F346),1)*IF(Upgrades!$T$15="Peculiar Velocity",POWER(Upgrades!$U$15,G346),1)*IF(Upgrades!$T$16="Peculiar Velocity",POWER(Upgrades!$U$16,H346),1)*IF(Upgrades!$T$17="Peculiar Velocity",POWER(Upgrades!$U$17,I346),1)*IF(Upgrades!$T$18="Peculiar Velocity",POWER(Upgrades!$U$18,J346),1)*IF(Upgrades!$T$20="Peculiar Velocity",POWER(Upgrades!$U$20,L346),1)*IF(Upgrades!$T$21="Peculiar Velocity",POWER(Upgrades!$U$21,M346),1))+(IF(L346=0,0,(Upgrades!$G$20+L346*Upgrades!$H$20)*POWER(Upgrades!$I$20,L346)))*(IF(Upgrades!$T$13="Open Cluster",POWER(Upgrades!$U$13,E346),1)*IF(Upgrades!$T$14="Open Cluster",POWER(Upgrades!$U$14,F346),1)*IF(Upgrades!$T$15="Open Cluster",POWER(Upgrades!$U$15,G346),1)*IF(Upgrades!$T$16="Open Cluster",POWER(Upgrades!$U$16,H346),1)*IF(Upgrades!$T$17="Open Cluster",POWER(Upgrades!$U$17,I346),1)*IF(Upgrades!$T$18="Open Cluster",POWER(Upgrades!$U$18,J346),1)*IF(Upgrades!$T$19="Open Cluster",POWER(Upgrades!$U$19,K346),1)*IF(Upgrades!$T$21="Open Cluster",POWER(Upgrades!$U$21,M346),1))+(IF(M346=0,0,(Upgrades!$G$21+M346*Upgrades!$H$21)*POWER(Upgrades!$I$21,M346)))*(IF(Upgrades!$T$13="Moving Group",POWER(Upgrades!$U$13,E346),1)*IF(Upgrades!$T$14="Moving Group",POWER(Upgrades!$U$14,F346),1)*IF(Upgrades!$T$15="Moving Group",POWER(Upgrades!$U$15,G346),1)*IF(Upgrades!$T$16="Moving Group",POWER(Upgrades!$U$16,H346),1)*IF(Upgrades!$T$17="Moving Group",POWER(Upgrades!$U$17,I346),1)*IF(Upgrades!$T$18="Moving Group",POWER(Upgrades!$U$18,J346),1)*IF(Upgrades!$T$19="Moving Group",POWER(Upgrades!$U$19,K346),1)*IF(Upgrades!$T$20="Moving Group",POWER(Upgrades!$U$20,L346),1)))*POWER(Upgrades!$P$13,E346)*POWER(Upgrades!$P$14,F346)*POWER(Upgrades!$P$15,G346)*POWER(Upgrades!$P$16,H346)*POWER(Upgrades!$P$17,I346)*POWER(Upgrades!$P$18,J346)*POWER(Upgrades!$P$19,K346)*POWER(Upgrades!$P$20,L346)*POWER(Upgrades!$P$21,M346)*$F$6+$C$6</f>
        <v/>
      </c>
      <c r="Q346" s="28">
        <f>((IF(E346=0,0,(Upgrades!$M$13+E346*Upgrades!$N$13)*POWER(Upgrades!$O$13,E346)))*(IF(Upgrades!$T$14="Stellar Kinematics",POWER(Upgrades!$U$14,F346),1)*IF(Upgrades!$T$15="Stellar Kinematics",POWER(Upgrades!$U$15,G346),1)*IF(Upgrades!$T$16="Stellar Kinematics",POWER(Upgrades!$U$16,H346),1)*IF(Upgrades!$T$17="Stellar Kinematics",POWER(Upgrades!$U$17,I346),1)*IF(Upgrades!$T$18="Stellar Kinematics",POWER(Upgrades!$U$18,J346),1)*IF(Upgrades!$T$19="Stellar Kinematics",POWER(Upgrades!$U$19,K346),1)*IF(Upgrades!$T$20="Stellar Kinematics",POWER(Upgrades!$U$20,L346),1)*IF(Upgrades!$T$21="Stellar Kinematics",POWER(Upgrades!$U$21,M346),1))+(IF(F346=0,0,(Upgrades!$M$14+F346*Upgrades!$N$14)*POWER(Upgrades!$O$14,F346)))*(IF(Upgrades!$T$13="Local Bubble",POWER(Upgrades!$U$13,E346),1)*IF(Upgrades!$T$15="Local Bubble",POWER(Upgrades!$U$15,G346),1)*IF(Upgrades!$T$16="Local Bubble",POWER(Upgrades!$U$16,H346),1)*IF(Upgrades!$T$17="Local Bubble",POWER(Upgrades!$U$17,I346),1)*IF(Upgrades!$T$18="Local Bubble",POWER(Upgrades!$U$18,J346),1)*IF(Upgrades!$T$19="Local Bubble",POWER(Upgrades!$U$19,K346),1)*IF(Upgrades!$T$20="Local Bubble",POWER(Upgrades!$U$20,L346),1)*IF(Upgrades!$T$21="Local Bubble",POWER(Upgrades!$U$21,M346),1))+(IF(G346=0,0,(Upgrades!$M$15+G346*Upgrades!$N$15)*POWER(Upgrades!$O$15,G346)))*(IF(Upgrades!$T$13="Microlensing",POWER(Upgrades!$U$13,E346),1)*IF(Upgrades!$T$14="Microlensing",POWER(Upgrades!$U$14,F346),1)*IF(Upgrades!$T$16="Microlensing",POWER(Upgrades!$U$16,H346),1)*IF(Upgrades!$T$17="Microlensing",POWER(Upgrades!$U$17,I346),1)*IF(Upgrades!$T$18="Microlensing",POWER(Upgrades!$U$18,J346),1)*IF(Upgrades!$T$19="Microlensing",POWER(Upgrades!$U$19,K346),1)*IF(Upgrades!$T$20="Microlensing",POWER(Upgrades!$U$20,L346),1)*IF(Upgrades!$T$21="Microlensing",POWER(Upgrades!$U$21,M346),1))+(IF(H346=0,0,(Upgrades!$M$16+H346*Upgrades!$N$16)*POWER(Upgrades!$O$16,H346)))*(IF(Upgrades!$T$13="Roche Lobe Overflow",POWER(Upgrades!$U$13,E346),1)*IF(Upgrades!$T$14="Roche Lobe Overflow",POWER(Upgrades!$U$14,F346),1)*IF(Upgrades!$T$15="Roche Lobe Overflow",POWER(Upgrades!$U$15,G346),1)*IF(Upgrades!$T$17="Roche Lobe Overflow",POWER(Upgrades!$U$17,I346),1)*IF(Upgrades!$T$18="Roche Lobe Overflow",POWER(Upgrades!$U$18,J346),1)*IF(Upgrades!$T$19="Roche Lobe Overflow",POWER(Upgrades!$U$19,K346),1)*IF(Upgrades!$T$20="Roche Lobe Overflow",POWER(Upgrades!$U$20,L346),1)*IF(Upgrades!$T$21="Roche Lobe Overflow",POWER(Upgrades!$U$21,M346),1))+(IF(I346=0,0,(Upgrades!$M$17+I346*Upgrades!$N$17)*POWER(Upgrades!$O$17,I346)))*(IF(Upgrades!$T$13="Brown Dwarf",POWER(Upgrades!$U$13,E346),1)*IF(Upgrades!$T$14="Brown Dwarf",POWER(Upgrades!$U$14,F346),1)*IF(Upgrades!$T$15="Brown Dwarf",POWER(Upgrades!$U$15,G346),1)*IF(Upgrades!$T$16="Brown Dwarf",POWER(Upgrades!$U$16,H346),1)*IF(Upgrades!$T$18="Brown Dwarf",POWER(Upgrades!$U$18,J346),1)*IF(Upgrades!$T$19="Brown Dwarf",POWER(Upgrades!$U$19,K346),1)*IF(Upgrades!$T$20="Brown Dwarf",POWER(Upgrades!$U$20,L346),1)*IF(Upgrades!$T$21="Brown Dwarf",POWER(Upgrades!$U$21,M346),1))+(IF(J346=0,0,(Upgrades!$M$18+J346*Upgrades!$N$18)*POWER(Upgrades!$O$18,J346)))*(IF(Upgrades!$T$13="Binary Partner",POWER(Upgrades!$U$13,E346),1)*IF(Upgrades!$T$14="Binary Partner",POWER(Upgrades!$U$14,F346),1)*IF(Upgrades!$T$15="Binary Partner",POWER(Upgrades!$U$15,G346),1)*IF(Upgrades!$T$16="Binary Partner",POWER(Upgrades!$U$16,H346),1)*IF(Upgrades!$T$17="Binary Partner",POWER(Upgrades!$U$17,I346),1)*IF(Upgrades!$T$19="Binary Partner",POWER(Upgrades!$U$19,K346),1)*IF(Upgrades!$T$20="Binary Partner",POWER(Upgrades!$U$20,L346),1)*IF(Upgrades!$T$21="Binary Partner",POWER(Upgrades!$U$21,M346),1))+(IF(K346=0,0,(Upgrades!$M$19+K346*Upgrades!$N$19)*POWER(Upgrades!$O$19,K346)))*(IF(Upgrades!$T$13="Peculiar Velocity",POWER(Upgrades!$U$13,E346),1)*IF(Upgrades!$T$14="Peculiar Velocity",POWER(Upgrades!$U$14,F346),1)*IF(Upgrades!$T$15="Peculiar Velocity",POWER(Upgrades!$U$15,G346),1)*IF(Upgrades!$T$16="Peculiar Velocity",POWER(Upgrades!$U$16,H346),1)*IF(Upgrades!$T$17="Peculiar Velocity",POWER(Upgrades!$U$17,I346),1)*IF(Upgrades!$T$18="Peculiar Velocity",POWER(Upgrades!$U$18,J346),1)*IF(Upgrades!$T$20="Peculiar Velocity",POWER(Upgrades!$U$20,L346),1)*IF(Upgrades!$T$21="Peculiar Velocity",POWER(Upgrades!$U$21,M346),1))+(IF(L346=0,0,(Upgrades!$M$20+L346*Upgrades!$N$20)*POWER(Upgrades!$O$20,L346)))*(IF(Upgrades!$T$13="Open Cluster",POWER(Upgrades!$U$13,E346),1)*IF(Upgrades!$T$14="Open Cluster",POWER(Upgrades!$U$14,F346),1)*IF(Upgrades!$T$15="Open Cluster",POWER(Upgrades!$U$15,G346),1)*IF(Upgrades!$T$16="Open Cluster",POWER(Upgrades!$U$16,H346),1)*IF(Upgrades!$T$17="Open Cluster",POWER(Upgrades!$U$17,I346),1)*IF(Upgrades!$T$18="Open Cluster",POWER(Upgrades!$U$18,J346),1)*IF(Upgrades!$T$19="Open Cluster",POWER(Upgrades!$U$19,K346),1)*IF(Upgrades!$T$21="Open Cluster",POWER(Upgrades!$U$21,M346),1))+(IF(M346=0,0,(Upgrades!$M$21+M346*Upgrades!$N$21)*POWER(Upgrades!$O$21,M346)))*(IF(Upgrades!$T$13="Moving Group",POWER(Upgrades!$U$13,E346),1)*IF(Upgrades!$T$14="Moving Group",POWER(Upgrades!$U$14,F346),1)*IF(Upgrades!$T$15="Moving Group",POWER(Upgrades!$U$15,G346),1)*IF(Upgrades!$T$16="Moving Group",POWER(Upgrades!$U$16,H346),1)*IF(Upgrades!$T$17="Moving Group",POWER(Upgrades!$U$17,I346),1)*IF(Upgrades!$T$18="Moving Group",POWER(Upgrades!$U$18,J346),1)*IF(Upgrades!$T$19="Moving Group",POWER(Upgrades!$U$19,K346),1)*IF(Upgrades!$T$20="Moving Group",POWER(Upgrades!$U$20,L346),1)))*POWER(Upgrades!$R$13,E346)*POWER(Upgrades!$R$14,F346)*POWER(Upgrades!$R$15,G346)*POWER(Upgrades!$R$16,H346)*POWER(Upgrades!$R$17,I346)*POWER(Upgrades!$R$18,J346)*POWER(Upgrades!$R$19,K346)*POWER(Upgrades!$R$20,L346)*POWER(Upgrades!$R$21,M346)*$H$6+$E$6</f>
        <v/>
      </c>
      <c r="R346" s="27">
        <f>IF(N346=1,0,O346*Parameters!$B$10/60*Parameters!$B$11*10)</f>
        <v/>
      </c>
      <c r="S346" s="27">
        <f>IF(N346=1,0,Q346*O346*10)</f>
        <v/>
      </c>
      <c r="T346" s="27">
        <f>IF(N346=1,0,R346+S346+P346*10)</f>
        <v/>
      </c>
      <c r="U346" s="33">
        <f>BE346</f>
        <v/>
      </c>
      <c r="V346" s="22">
        <f>IF(U346="",0,IF(U346="transition",0,IF(U346="SK",AK346,IF(U346="LB",AL346,IF(U346="ML",AM346,IF(U346="RLO",AN346,IF(U346="BD",AO346,IF(U346="BiP",AP346,IF(U346="PV",AQ346,IF(U346="OC",AR346,IF(U346="MG",AS346,0))))))))))</f>
        <v/>
      </c>
      <c r="W346" s="27">
        <f>IF(U346="BiP",Upgrades!$F$18,IF(U346="PV",Upgrades!$F$19,IF(U346="OC",Upgrades!$F$20,IF(U346="MG",Upgrades!$F$21,IF(U346="transition",-Parameters!$B$18*Parameters!$B$19,0)))))</f>
        <v/>
      </c>
      <c r="X346" s="22">
        <f>C346+T346-V346</f>
        <v/>
      </c>
      <c r="Y346" s="30">
        <f>O346*Parameters!$B$10/60*Parameters!$B$11+Q346*O346+P346</f>
        <v/>
      </c>
      <c r="Z346" s="34">
        <f>IF(U346="transition","→ Tier 3 (Galactic Arm)",IF(U346="MG","Moving Group — pocket drifts together",IF(U346="OC","Open Cluster acquired",IF(U346="PV","Peculiar Velocity — passive multiplier active",IF(U346="BiP","Binary Partner — pair bond formed",IF(AND(AU346=1,N346=0,AT346&lt;&gt;1),"Cohesion ready (waiting on completionists)","")))))) </f>
        <v/>
      </c>
      <c r="AA346" s="27">
        <f>(IF(E346=0,0,(Upgrades!$G$13+E346*Upgrades!$H$13)*POWER(Upgrades!$I$13,E346)))*(IF(Upgrades!$T$14="Stellar Kinematics",POWER(Upgrades!$U$14,F346),1)*IF(Upgrades!$T$15="Stellar Kinematics",POWER(Upgrades!$U$15,G346),1)*IF(Upgrades!$T$16="Stellar Kinematics",POWER(Upgrades!$U$16,H346),1)*IF(Upgrades!$T$17="Stellar Kinematics",POWER(Upgrades!$U$17,I346),1)*IF(Upgrades!$T$18="Stellar Kinematics",POWER(Upgrades!$U$18,J346),1)*IF(Upgrades!$T$19="Stellar Kinematics",POWER(Upgrades!$U$19,K346),1)*IF(Upgrades!$T$20="Stellar Kinematics",POWER(Upgrades!$U$20,L346),1)*IF(Upgrades!$T$21="Stellar Kinematics",POWER(Upgrades!$U$21,M346),1))*POWER(Upgrades!$P$13,E346)*POWER(Upgrades!$P$14,F346)*POWER(Upgrades!$P$15,G346)*POWER(Upgrades!$P$16,H346)*POWER(Upgrades!$P$17,I346)*POWER(Upgrades!$P$18,J346)*POWER(Upgrades!$P$19,K346)*POWER(Upgrades!$P$20,L346)*POWER(Upgrades!$P$21,M346)*$F$6*60</f>
        <v/>
      </c>
      <c r="AB346" s="27">
        <f>(IF(F346=0,0,(Upgrades!$G$14+F346*Upgrades!$H$14)*POWER(Upgrades!$I$14,F346)))*(IF(Upgrades!$T$13="Local Bubble",POWER(Upgrades!$U$13,E346),1)*IF(Upgrades!$T$15="Local Bubble",POWER(Upgrades!$U$15,G346),1)*IF(Upgrades!$T$16="Local Bubble",POWER(Upgrades!$U$16,H346),1)*IF(Upgrades!$T$17="Local Bubble",POWER(Upgrades!$U$17,I346),1)*IF(Upgrades!$T$18="Local Bubble",POWER(Upgrades!$U$18,J346),1)*IF(Upgrades!$T$19="Local Bubble",POWER(Upgrades!$U$19,K346),1)*IF(Upgrades!$T$20="Local Bubble",POWER(Upgrades!$U$20,L346),1)*IF(Upgrades!$T$21="Local Bubble",POWER(Upgrades!$U$21,M346),1))*POWER(Upgrades!$P$13,E346)*POWER(Upgrades!$P$14,F346)*POWER(Upgrades!$P$15,G346)*POWER(Upgrades!$P$16,H346)*POWER(Upgrades!$P$17,I346)*POWER(Upgrades!$P$18,J346)*POWER(Upgrades!$P$19,K346)*POWER(Upgrades!$P$20,L346)*POWER(Upgrades!$P$21,M346)*$F$6*60</f>
        <v/>
      </c>
      <c r="AC346" s="27">
        <f>(IF(G346=0,0,(Upgrades!$J$15+G346*Upgrades!$K$15)*POWER(Upgrades!$L$15,G346)))*(IF(Upgrades!$T$13="Microlensing",POWER(Upgrades!$U$13,E346),1)*IF(Upgrades!$T$14="Microlensing",POWER(Upgrades!$U$14,F346),1)*IF(Upgrades!$T$16="Microlensing",POWER(Upgrades!$U$16,H346),1)*IF(Upgrades!$T$17="Microlensing",POWER(Upgrades!$U$17,I346),1)*IF(Upgrades!$T$18="Microlensing",POWER(Upgrades!$U$18,J346),1)*IF(Upgrades!$T$19="Microlensing",POWER(Upgrades!$U$19,K346),1)*IF(Upgrades!$T$20="Microlensing",POWER(Upgrades!$U$20,L346),1)*IF(Upgrades!$T$21="Microlensing",POWER(Upgrades!$U$21,M346),1))*POWER(Upgrades!$Q$13,E346)*POWER(Upgrades!$Q$14,F346)*POWER(Upgrades!$Q$15,G346)*POWER(Upgrades!$Q$16,H346)*POWER(Upgrades!$Q$17,I346)*POWER(Upgrades!$Q$18,J346)*POWER(Upgrades!$Q$19,K346)*POWER(Upgrades!$Q$20,L346)*POWER(Upgrades!$Q$21,M346)*$G$6*(Parameters!$B$10*Parameters!$B$11+Q346*60)</f>
        <v/>
      </c>
      <c r="AD346" s="27">
        <f>(IF(H346=0,0,(Upgrades!$M$16+H346*Upgrades!$N$16)*POWER(Upgrades!$O$16,H346)))*(IF(Upgrades!$T$13="Roche Lobe Overflow",POWER(Upgrades!$U$13,E346),1)*IF(Upgrades!$T$14="Roche Lobe Overflow",POWER(Upgrades!$U$14,F346),1)*IF(Upgrades!$T$15="Roche Lobe Overflow",POWER(Upgrades!$U$15,G346),1)*IF(Upgrades!$T$17="Roche Lobe Overflow",POWER(Upgrades!$U$17,I346),1)*IF(Upgrades!$T$18="Roche Lobe Overflow",POWER(Upgrades!$U$18,J346),1)*IF(Upgrades!$T$19="Roche Lobe Overflow",POWER(Upgrades!$U$19,K346),1)*IF(Upgrades!$T$20="Roche Lobe Overflow",POWER(Upgrades!$U$20,L346),1)*IF(Upgrades!$T$21="Roche Lobe Overflow",POWER(Upgrades!$U$21,M346),1))*POWER(Upgrades!$R$13,E346)*POWER(Upgrades!$R$14,F346)*POWER(Upgrades!$R$15,G346)*POWER(Upgrades!$R$16,H346)*POWER(Upgrades!$R$17,I346)*POWER(Upgrades!$R$18,J346)*POWER(Upgrades!$R$19,K346)*POWER(Upgrades!$R$20,L346)*POWER(Upgrades!$R$21,M346)*$H$6*O346*60</f>
        <v/>
      </c>
      <c r="AE346" s="27">
        <f>(IF(I346=0,0,(Upgrades!$G$17+I346*Upgrades!$H$17)*POWER(Upgrades!$I$17,I346)))*(IF(Upgrades!$T$13="Brown Dwarf",POWER(Upgrades!$U$13,E346),1)*IF(Upgrades!$T$14="Brown Dwarf",POWER(Upgrades!$U$14,F346),1)*IF(Upgrades!$T$15="Brown Dwarf",POWER(Upgrades!$U$15,G346),1)*IF(Upgrades!$T$16="Brown Dwarf",POWER(Upgrades!$U$16,H346),1)*IF(Upgrades!$T$18="Brown Dwarf",POWER(Upgrades!$U$18,J346),1)*IF(Upgrades!$T$19="Brown Dwarf",POWER(Upgrades!$U$19,K346),1)*IF(Upgrades!$T$20="Brown Dwarf",POWER(Upgrades!$U$20,L346),1)*IF(Upgrades!$T$21="Brown Dwarf",POWER(Upgrades!$U$21,M346),1))*POWER(Upgrades!$P$13,E346)*POWER(Upgrades!$P$14,F346)*POWER(Upgrades!$P$15,G346)*POWER(Upgrades!$P$16,H346)*POWER(Upgrades!$P$17,I346)*POWER(Upgrades!$P$18,J346)*POWER(Upgrades!$P$19,K346)*POWER(Upgrades!$P$20,L346)*POWER(Upgrades!$P$21,M346)*$F$6*60</f>
        <v/>
      </c>
      <c r="AF346" s="27" t="n">
        <v>0</v>
      </c>
      <c r="AG346" s="27" t="n">
        <v>0</v>
      </c>
      <c r="AH346" s="27" t="n">
        <v>0</v>
      </c>
      <c r="AI346" s="27">
        <f>(IF(M346=0,0,(Upgrades!$G$21+M346*Upgrades!$H$21)*POWER(Upgrades!$I$21,M346)))*(IF(Upgrades!$T$13="Moving Group",POWER(Upgrades!$U$13,E346),1)*IF(Upgrades!$T$14="Moving Group",POWER(Upgrades!$U$14,F346),1)*IF(Upgrades!$T$15="Moving Group",POWER(Upgrades!$U$15,G346),1)*IF(Upgrades!$T$16="Moving Group",POWER(Upgrades!$U$16,H346),1)*IF(Upgrades!$T$17="Moving Group",POWER(Upgrades!$U$17,I346),1)*IF(Upgrades!$T$18="Moving Group",POWER(Upgrades!$U$18,J346),1)*IF(Upgrades!$T$19="Moving Group",POWER(Upgrades!$U$19,K346),1)*IF(Upgrades!$T$20="Moving Group",POWER(Upgrades!$U$20,L346),1))*POWER(Upgrades!$P$13,E346)*POWER(Upgrades!$P$14,F346)*POWER(Upgrades!$P$15,G346)*POWER(Upgrades!$P$16,H346)*POWER(Upgrades!$P$17,I346)*POWER(Upgrades!$P$18,J346)*POWER(Upgrades!$P$19,K346)*POWER(Upgrades!$P$20,L346)*POWER(Upgrades!$P$21,M346)*$F$6*60</f>
        <v/>
      </c>
      <c r="AJ346" s="27">
        <f>$C$6*60</f>
        <v/>
      </c>
      <c r="AK346" s="22">
        <f>IF(E346&gt;=Upgrades!$E$13,"",Upgrades!$C$13*POWER(Upgrades!$D$13,E346))</f>
        <v/>
      </c>
      <c r="AL346" s="22">
        <f>IF(F346&gt;=Upgrades!$E$14,"",Upgrades!$C$14*POWER(Upgrades!$D$14,F346))</f>
        <v/>
      </c>
      <c r="AM346" s="22">
        <f>IF(G346&gt;=Upgrades!$E$15,"",Upgrades!$C$15*POWER(Upgrades!$D$15,G346))</f>
        <v/>
      </c>
      <c r="AN346" s="22">
        <f>IF(H346&gt;=Upgrades!$E$16,"",Upgrades!$C$16*POWER(Upgrades!$D$16,H346))</f>
        <v/>
      </c>
      <c r="AO346" s="22">
        <f>IF(I346&gt;=Upgrades!$E$17,"",Upgrades!$C$17*POWER(Upgrades!$D$17,I346))</f>
        <v/>
      </c>
      <c r="AP346" s="22">
        <f>IF(J346&gt;=Upgrades!$E$18,"",Upgrades!$C$18*POWER(Upgrades!$D$18,J346))</f>
        <v/>
      </c>
      <c r="AQ346" s="22">
        <f>IF(K346&gt;=Upgrades!$E$19,"",Upgrades!$C$19*POWER(Upgrades!$D$19,K346))</f>
        <v/>
      </c>
      <c r="AR346" s="22">
        <f>IF(L346&gt;=Upgrades!$E$20,"",Upgrades!$C$20*POWER(Upgrades!$D$20,L346))</f>
        <v/>
      </c>
      <c r="AS346" s="22">
        <f>IF(M346&gt;=Upgrades!$E$21,"",Upgrades!$C$21*POWER(Upgrades!$D$21,M346))</f>
        <v/>
      </c>
      <c r="AT346" s="26">
        <f>IF(AND(D346&gt;=Parameters!$B$18*Parameters!$B$19,(I346&gt;=Upgrades!$E$17)*(M346&gt;=Upgrades!$E$21)=1,N346=0),1,"")</f>
        <v/>
      </c>
      <c r="AU346" s="26">
        <f>IF(AND(D346&gt;=Parameters!$B$18*Parameters!$B$19,N346=0),1,"")</f>
        <v/>
      </c>
      <c r="AV346" s="22">
        <f>MIN(IF(ISNUMBER(AP346),AP346,9E15),IF(ISNUMBER(AQ346),AQ346,9E15),IF(ISNUMBER(AR346),AR346,9E15),IF(ISNUMBER(AS346),AS346,9E15))</f>
        <v/>
      </c>
      <c r="AW346" s="22">
        <f>MIN(IF(ISNUMBER(AK346),AK346,9E15),IF(ISNUMBER(AL346),AL346,9E15),IF(ISNUMBER(AM346),AM346,9E15),IF(ISNUMBER(AN346),AN346,9E15),IF(ISNUMBER(AO346),AO346,9E15))</f>
        <v/>
      </c>
      <c r="AX346" s="29">
        <f>IF(BD346&gt;Parameters!$B$21*(MAX(IF(AND(NOT(AND(AU346=1,AT346&lt;&gt;1)),ISNUMBER(AK346),AK346&lt;=(C346+T346)),AY346,0),IF(AND(NOT(AND(AU346=1,AT346&lt;&gt;1)),ISNUMBER(AL346),AL346&lt;=(C346+T346)),AZ346,0),IF(AND(NOT(AND(AU346=1,AT346&lt;&gt;1)),ISNUMBER(AM346),AM346&lt;=(C346+T346)),BA346,0),IF(AND(NOT(AND(AU346=1,AT346&lt;&gt;1)),ISNUMBER(AN346),AN346&lt;=(C346+T346)),BB346,0),IF(AND(ISNUMBER(AO346),AO346&lt;=(C346+T346)),BC346,0))),TRUE,FALSE)</f>
        <v/>
      </c>
      <c r="AY346" s="32">
        <f>IFERROR(Upgrades!$H$13*(POWER(Upgrades!$P$13,E346)*POWER(Upgrades!$P$14,F346)*POWER(Upgrades!$P$15,G346)*POWER(Upgrades!$P$16,H346)*POWER(Upgrades!$P$17,I346)*POWER(Upgrades!$P$18,J346)*POWER(Upgrades!$P$19,K346)*POWER(Upgrades!$P$20,L346)*POWER(Upgrades!$P$21,M346))*(IF(Upgrades!$T$14="Stellar Kinematics",POWER(Upgrades!$U$14,F346),1)*IF(Upgrades!$T$15="Stellar Kinematics",POWER(Upgrades!$U$15,G346),1)*IF(Upgrades!$T$16="Stellar Kinematics",POWER(Upgrades!$U$16,H346),1)*IF(Upgrades!$T$17="Stellar Kinematics",POWER(Upgrades!$U$17,I346),1)*IF(Upgrades!$T$18="Stellar Kinematics",POWER(Upgrades!$U$18,J346),1)*IF(Upgrades!$T$19="Stellar Kinematics",POWER(Upgrades!$U$19,K346),1)*IF(Upgrades!$T$20="Stellar Kinematics",POWER(Upgrades!$U$20,L346),1)*IF(Upgrades!$T$21="Stellar Kinematics",POWER(Upgrades!$U$21,M346),1))*$F$6/AK346,0)</f>
        <v/>
      </c>
      <c r="AZ346" s="32">
        <f>IFERROR(Upgrades!$H$14*(POWER(Upgrades!$P$13,E346)*POWER(Upgrades!$P$14,F346)*POWER(Upgrades!$P$15,G346)*POWER(Upgrades!$P$16,H346)*POWER(Upgrades!$P$17,I346)*POWER(Upgrades!$P$18,J346)*POWER(Upgrades!$P$19,K346)*POWER(Upgrades!$P$20,L346)*POWER(Upgrades!$P$21,M346))*(IF(Upgrades!$T$13="Local Bubble",POWER(Upgrades!$U$13,E346),1)*IF(Upgrades!$T$15="Local Bubble",POWER(Upgrades!$U$15,G346),1)*IF(Upgrades!$T$16="Local Bubble",POWER(Upgrades!$U$16,H346),1)*IF(Upgrades!$T$17="Local Bubble",POWER(Upgrades!$U$17,I346),1)*IF(Upgrades!$T$18="Local Bubble",POWER(Upgrades!$U$18,J346),1)*IF(Upgrades!$T$19="Local Bubble",POWER(Upgrades!$U$19,K346),1)*IF(Upgrades!$T$20="Local Bubble",POWER(Upgrades!$U$20,L346),1)*IF(Upgrades!$T$21="Local Bubble",POWER(Upgrades!$U$21,M346),1))*$F$6/AL346,0)</f>
        <v/>
      </c>
      <c r="BA346" s="32">
        <f>IFERROR(Upgrades!$K$15*(POWER(Upgrades!$Q$13,E346)*POWER(Upgrades!$Q$14,F346)*POWER(Upgrades!$Q$15,G346)*POWER(Upgrades!$Q$16,H346)*POWER(Upgrades!$Q$17,I346)*POWER(Upgrades!$Q$18,J346)*POWER(Upgrades!$Q$19,K346)*POWER(Upgrades!$Q$20,L346)*POWER(Upgrades!$Q$21,M346))*(IF(Upgrades!$T$13="Microlensing",POWER(Upgrades!$U$13,E346),1)*IF(Upgrades!$T$14="Microlensing",POWER(Upgrades!$U$14,F346),1)*IF(Upgrades!$T$16="Microlensing",POWER(Upgrades!$U$16,H346),1)*IF(Upgrades!$T$17="Microlensing",POWER(Upgrades!$U$17,I346),1)*IF(Upgrades!$T$18="Microlensing",POWER(Upgrades!$U$18,J346),1)*IF(Upgrades!$T$19="Microlensing",POWER(Upgrades!$U$19,K346),1)*IF(Upgrades!$T$20="Microlensing",POWER(Upgrades!$U$20,L346),1)*IF(Upgrades!$T$21="Microlensing",POWER(Upgrades!$U$21,M346),1))*$G$6*(Parameters!$B$10/60*Parameters!$B$11+Q346)/AM346,0)</f>
        <v/>
      </c>
      <c r="BB346" s="32">
        <f>IFERROR((Upgrades!$N$16*(POWER(Upgrades!$R$13,E346)*POWER(Upgrades!$R$14,F346)*POWER(Upgrades!$R$15,G346)*POWER(Upgrades!$R$16,H346)*POWER(Upgrades!$R$17,I346)*POWER(Upgrades!$R$18,J346)*POWER(Upgrades!$R$19,K346)*POWER(Upgrades!$R$20,L346)*POWER(Upgrades!$R$21,M346))*(IF(Upgrades!$T$13="Roche Lobe Overflow",POWER(Upgrades!$U$13,E346),1)*IF(Upgrades!$T$14="Roche Lobe Overflow",POWER(Upgrades!$U$14,F346),1)*IF(Upgrades!$T$15="Roche Lobe Overflow",POWER(Upgrades!$U$15,G346),1)*IF(Upgrades!$T$17="Roche Lobe Overflow",POWER(Upgrades!$U$17,I346),1)*IF(Upgrades!$T$18="Roche Lobe Overflow",POWER(Upgrades!$U$18,J346),1)*IF(Upgrades!$T$19="Roche Lobe Overflow",POWER(Upgrades!$U$19,K346),1)*IF(Upgrades!$T$20="Roche Lobe Overflow",POWER(Upgrades!$U$20,L346),1)*IF(Upgrades!$T$21="Roche Lobe Overflow",POWER(Upgrades!$U$21,M346),1))*$H$6*O346+((IF(F346=0,0,(Upgrades!$G$14+F346*Upgrades!$H$14)*POWER(Upgrades!$I$14,F346)))*(IF(Upgrades!$T$13="Local Bubble",POWER(Upgrades!$U$13,E346),1)*IF(Upgrades!$T$15="Local Bubble",POWER(Upgrades!$U$15,G346),1)*IF(Upgrades!$T$16="Local Bubble",POWER(Upgrades!$U$16,H346),1)*IF(Upgrades!$T$17="Local Bubble",POWER(Upgrades!$U$17,I346),1)*IF(Upgrades!$T$18="Local Bubble",POWER(Upgrades!$U$18,J346),1)*IF(Upgrades!$T$19="Local Bubble",POWER(Upgrades!$U$19,K346),1)*IF(Upgrades!$T$20="Local Bubble",POWER(Upgrades!$U$20,L346),1)*IF(Upgrades!$T$21="Local Bubble",POWER(Upgrades!$U$21,M346),1))*POWER(Upgrades!$P$13,E346)*POWER(Upgrades!$P$14,F346)*POWER(Upgrades!$P$15,G346)*POWER(Upgrades!$P$16,H346)*POWER(Upgrades!$P$17,I346)*POWER(Upgrades!$P$18,J346)*POWER(Upgrades!$P$19,K346)*POWER(Upgrades!$P$20,L346)*POWER(Upgrades!$P$21,M346)*$F$6)*0.05)/AN346,0)</f>
        <v/>
      </c>
      <c r="BC346" s="32">
        <f>IFERROR((Upgrades!$H$17*(POWER(Upgrades!$P$13,E346)*POWER(Upgrades!$P$14,F346)*POWER(Upgrades!$P$15,G346)*POWER(Upgrades!$P$16,H346)*POWER(Upgrades!$P$17,I346)*POWER(Upgrades!$P$18,J346)*POWER(Upgrades!$P$19,K346)*POWER(Upgrades!$P$20,L346)*POWER(Upgrades!$P$21,M346))*(IF(Upgrades!$T$13="Brown Dwarf",POWER(Upgrades!$U$13,E346),1)*IF(Upgrades!$T$14="Brown Dwarf",POWER(Upgrades!$U$14,F346),1)*IF(Upgrades!$T$15="Brown Dwarf",POWER(Upgrades!$U$15,G346),1)*IF(Upgrades!$T$16="Brown Dwarf",POWER(Upgrades!$U$16,H346),1)*IF(Upgrades!$T$18="Brown Dwarf",POWER(Upgrades!$U$18,J346),1)*IF(Upgrades!$T$19="Brown Dwarf",POWER(Upgrades!$U$19,K346),1)*IF(Upgrades!$T$20="Brown Dwarf",POWER(Upgrades!$U$20,L346),1)*IF(Upgrades!$T$21="Brown Dwarf",POWER(Upgrades!$U$21,M346),1))*$F$6+(((IF(H346=0,0,(Upgrades!$M$16+H346*Upgrades!$N$16)*POWER(Upgrades!$O$16,H346)))*(IF(Upgrades!$T$13="Roche Lobe Overflow",POWER(Upgrades!$U$13,E346),1)*IF(Upgrades!$T$14="Roche Lobe Overflow",POWER(Upgrades!$U$14,F346),1)*IF(Upgrades!$T$15="Roche Lobe Overflow",POWER(Upgrades!$U$15,G346),1)*IF(Upgrades!$T$17="Roche Lobe Overflow",POWER(Upgrades!$U$17,I346),1)*IF(Upgrades!$T$18="Roche Lobe Overflow",POWER(Upgrades!$U$18,J346),1)*IF(Upgrades!$T$19="Roche Lobe Overflow",POWER(Upgrades!$U$19,K346),1)*IF(Upgrades!$T$20="Roche Lobe Overflow",POWER(Upgrades!$U$20,L346),1)*IF(Upgrades!$T$21="Roche Lobe Overflow",POWER(Upgrades!$U$21,M346),1))*POWER(Upgrades!$R$13,E346)*POWER(Upgrades!$R$14,F346)*POWER(Upgrades!$R$15,G346)*POWER(Upgrades!$R$16,H346)*POWER(Upgrades!$R$17,I346)*POWER(Upgrades!$R$18,J346)*POWER(Upgrades!$R$19,K346)*POWER(Upgrades!$R$20,L346)*POWER(Upgrades!$R$21,M346)*$H$6)*O346)*0.10)/AO346,0)</f>
        <v/>
      </c>
      <c r="BD346" s="32">
        <f>MAX(IF(J346&gt;0,0,IFERROR(0.5*((IF(G346=0,0,(Upgrades!$J$15+G346*Upgrades!$K$15)*POWER(Upgrades!$L$15,G346)))*(IF(Upgrades!$T$13="Microlensing",POWER(Upgrades!$U$13,E346),1)*IF(Upgrades!$T$14="Microlensing",POWER(Upgrades!$U$14,F346),1)*IF(Upgrades!$T$16="Microlensing",POWER(Upgrades!$U$16,H346),1)*IF(Upgrades!$T$17="Microlensing",POWER(Upgrades!$U$17,I346),1)*IF(Upgrades!$T$18="Microlensing",POWER(Upgrades!$U$18,J346),1)*IF(Upgrades!$T$19="Microlensing",POWER(Upgrades!$U$19,K346),1)*IF(Upgrades!$T$20="Microlensing",POWER(Upgrades!$U$20,L346),1)*IF(Upgrades!$T$21="Microlensing",POWER(Upgrades!$U$21,M346),1))*(POWER(Upgrades!$Q$13,E346)*POWER(Upgrades!$Q$14,F346)*POWER(Upgrades!$Q$15,G346)*POWER(Upgrades!$Q$16,H346)*POWER(Upgrades!$Q$17,I346)*POWER(Upgrades!$Q$18,J346)*POWER(Upgrades!$Q$19,K346)*POWER(Upgrades!$Q$20,L346)*POWER(Upgrades!$Q$21,M346))*$G$6*(Parameters!$B$10/60*Parameters!$B$11+Q346))/Upgrades!$C$18,0)),IF(K346&gt;0,0,IFERROR(0.30*P346/Upgrades!$C$19,0)),IF(L346&gt;0,0,IFERROR(0.0001/Upgrades!$C$20,0)),IF(M346&gt;0,0,IFERROR((6.0*(POWER(Upgrades!$P$13,E346)*POWER(Upgrades!$P$14,F346)*POWER(Upgrades!$P$15,G346)*POWER(Upgrades!$P$16,H346)*POWER(Upgrades!$P$17,I346)*POWER(Upgrades!$P$18,J346)*POWER(Upgrades!$P$19,K346)*POWER(Upgrades!$P$20,L346)*POWER(Upgrades!$P$21,M346))*$F$6+0.20*O346*(Parameters!$B$10/60*Parameters!$B$11+Q346))/Upgrades!$C$21,0)),IF(AND(ISNUMBER(AK346),AK346&gt;(C346+T346)),AY346,0),IF(AND(ISNUMBER(AL346),AL346&gt;(C346+T346)),AZ346,0),IF(AND(ISNUMBER(AM346),AM346&gt;(C346+T346)),BA346,0),IF(AND(ISNUMBER(AN346),AN346&gt;(C346+T346)),BB346,0),IF(AND(ISNUMBER(AO346),AO346&gt;(C346+T346)),BC346,0))</f>
        <v/>
      </c>
      <c r="BE346" s="29">
        <f>IF(AT346=1,"transition",IF(MIN(IF(AND(J346=0,ISNUMBER(AP346),AP346&lt;=(C346+T346)),AP346,9E15),IF(AND(K346=0,ISNUMBER(AQ346),AQ346&lt;=(C346+T346)),AQ346,9E15),IF(AND(L346=0,ISNUMBER(AR346),AR346&lt;=(C346+T346)),AR346,9E15),IF(AND(M346=0,ISNUMBER(AS346),AS346&lt;=(C346+T346)),AS346,9E15))&lt;9E15,IF(AND(AND(J346=0,ISNUMBER(AP346),AP346&lt;=(C346+T346)),AP346=MIN(IF(AND(J346=0,ISNUMBER(AP346),AP346&lt;=(C346+T346)),AP346,9E15),IF(AND(K346=0,ISNUMBER(AQ346),AQ346&lt;=(C346+T346)),AQ346,9E15),IF(AND(L346=0,ISNUMBER(AR346),AR346&lt;=(C346+T346)),AR346,9E15),IF(AND(M346=0,ISNUMBER(AS346),AS346&lt;=(C346+T346)),AS346,9E15))),"BiP",IF(AND(AND(K346=0,ISNUMBER(AQ346),AQ346&lt;=(C346+T346)),AQ346=MIN(IF(AND(J346=0,ISNUMBER(AP346),AP346&lt;=(C346+T346)),AP346,9E15),IF(AND(K346=0,ISNUMBER(AQ346),AQ346&lt;=(C346+T346)),AQ346,9E15),IF(AND(L346=0,ISNUMBER(AR346),AR346&lt;=(C346+T346)),AR346,9E15),IF(AND(M346=0,ISNUMBER(AS346),AS346&lt;=(C346+T346)),AS346,9E15))),"PV",IF(AND(AND(L346=0,ISNUMBER(AR346),AR346&lt;=(C346+T346)),AR346=MIN(IF(AND(J346=0,ISNUMBER(AP346),AP346&lt;=(C346+T346)),AP346,9E15),IF(AND(K346=0,ISNUMBER(AQ346),AQ346&lt;=(C346+T346)),AQ346,9E15),IF(AND(L346=0,ISNUMBER(AR346),AR346&lt;=(C346+T346)),AR346,9E15),IF(AND(M346=0,ISNUMBER(AS346),AS346&lt;=(C346+T346)),AS346,9E15))),"OC","MG"))),IF(AX346=TRUE,"",IF(MAX(IF(AND(NOT(AND(AU346=1,AT346&lt;&gt;1)),ISNUMBER(AK346),AK346&lt;=(C346+T346)),AY346,0),IF(AND(NOT(AND(AU346=1,AT346&lt;&gt;1)),ISNUMBER(AL346),AL346&lt;=(C346+T346)),AZ346,0),IF(AND(NOT(AND(AU346=1,AT346&lt;&gt;1)),ISNUMBER(AM346),AM346&lt;=(C346+T346)),BA346,0),IF(AND(NOT(AND(AU346=1,AT346&lt;&gt;1)),ISNUMBER(AN346),AN346&lt;=(C346+T346)),BB346,0),IF(AND(ISNUMBER(AO346),AO346&lt;=(C346+T346)),BC346,0))&lt;=0,"",IF(AND(IF(AND(NOT(AND(AU346=1,AT346&lt;&gt;1)),ISNUMBER(AK346),AK346&lt;=(C346+T346)),AY346,0)&gt;0,IF(AND(NOT(AND(AU346=1,AT346&lt;&gt;1)),ISNUMBER(AK346),AK346&lt;=(C346+T346)),AY346,0)=MAX(IF(AND(NOT(AND(AU346=1,AT346&lt;&gt;1)),ISNUMBER(AK346),AK346&lt;=(C346+T346)),AY346,0),IF(AND(NOT(AND(AU346=1,AT346&lt;&gt;1)),ISNUMBER(AL346),AL346&lt;=(C346+T346)),AZ346,0),IF(AND(NOT(AND(AU346=1,AT346&lt;&gt;1)),ISNUMBER(AM346),AM346&lt;=(C346+T346)),BA346,0),IF(AND(NOT(AND(AU346=1,AT346&lt;&gt;1)),ISNUMBER(AN346),AN346&lt;=(C346+T346)),BB346,0),IF(AND(ISNUMBER(AO346),AO346&lt;=(C346+T346)),BC346,0))),"SK",IF(AND(IF(AND(NOT(AND(AU346=1,AT346&lt;&gt;1)),ISNUMBER(AL346),AL346&lt;=(C346+T346)),AZ346,0)&gt;0,IF(AND(NOT(AND(AU346=1,AT346&lt;&gt;1)),ISNUMBER(AL346),AL346&lt;=(C346+T346)),AZ346,0)=MAX(IF(AND(NOT(AND(AU346=1,AT346&lt;&gt;1)),ISNUMBER(AK346),AK346&lt;=(C346+T346)),AY346,0),IF(AND(NOT(AND(AU346=1,AT346&lt;&gt;1)),ISNUMBER(AL346),AL346&lt;=(C346+T346)),AZ346,0),IF(AND(NOT(AND(AU346=1,AT346&lt;&gt;1)),ISNUMBER(AM346),AM346&lt;=(C346+T346)),BA346,0),IF(AND(NOT(AND(AU346=1,AT346&lt;&gt;1)),ISNUMBER(AN346),AN346&lt;=(C346+T346)),BB346,0),IF(AND(ISNUMBER(AO346),AO346&lt;=(C346+T346)),BC346,0))),"LB",IF(AND(IF(AND(NOT(AND(AU346=1,AT346&lt;&gt;1)),ISNUMBER(AM346),AM346&lt;=(C346+T346)),BA346,0)&gt;0,IF(AND(NOT(AND(AU346=1,AT346&lt;&gt;1)),ISNUMBER(AM346),AM346&lt;=(C346+T346)),BA346,0)=MAX(IF(AND(NOT(AND(AU346=1,AT346&lt;&gt;1)),ISNUMBER(AK346),AK346&lt;=(C346+T346)),AY346,0),IF(AND(NOT(AND(AU346=1,AT346&lt;&gt;1)),ISNUMBER(AL346),AL346&lt;=(C346+T346)),AZ346,0),IF(AND(NOT(AND(AU346=1,AT346&lt;&gt;1)),ISNUMBER(AM346),AM346&lt;=(C346+T346)),BA346,0),IF(AND(NOT(AND(AU346=1,AT346&lt;&gt;1)),ISNUMBER(AN346),AN346&lt;=(C346+T346)),BB346,0),IF(AND(ISNUMBER(AO346),AO346&lt;=(C346+T346)),BC346,0))),"ML",IF(AND(IF(AND(NOT(AND(AU346=1,AT346&lt;&gt;1)),ISNUMBER(AN346),AN346&lt;=(C346+T346)),BB346,0)&gt;0,IF(AND(NOT(AND(AU346=1,AT346&lt;&gt;1)),ISNUMBER(AN346),AN346&lt;=(C346+T346)),BB346,0)=MAX(IF(AND(NOT(AND(AU346=1,AT346&lt;&gt;1)),ISNUMBER(AK346),AK346&lt;=(C346+T346)),AY346,0),IF(AND(NOT(AND(AU346=1,AT346&lt;&gt;1)),ISNUMBER(AL346),AL346&lt;=(C346+T346)),AZ346,0),IF(AND(NOT(AND(AU346=1,AT346&lt;&gt;1)),ISNUMBER(AM346),AM346&lt;=(C346+T346)),BA346,0),IF(AND(NOT(AND(AU346=1,AT346&lt;&gt;1)),ISNUMBER(AN346),AN346&lt;=(C346+T346)),BB346,0),IF(AND(ISNUMBER(AO346),AO346&lt;=(C346+T346)),BC346,0))),"RLO","BD"))))))))</f>
        <v/>
      </c>
    </row>
    <row r="347">
      <c r="A347" s="26" t="n">
        <v>336</v>
      </c>
      <c r="B347" s="27">
        <f>A347*10/60</f>
        <v/>
      </c>
      <c r="C347" s="22">
        <f>X346</f>
        <v/>
      </c>
      <c r="D347" s="27">
        <f>D346+W346</f>
        <v/>
      </c>
      <c r="E347" s="26">
        <f>E346+IF(U346="SK",1,0)</f>
        <v/>
      </c>
      <c r="F347" s="26">
        <f>F346+IF(U346="LB",1,0)</f>
        <v/>
      </c>
      <c r="G347" s="26">
        <f>G346+IF(U346="ML",1,0)</f>
        <v/>
      </c>
      <c r="H347" s="26">
        <f>H346+IF(U346="RLO",1,0)</f>
        <v/>
      </c>
      <c r="I347" s="26">
        <f>I346+IF(U346="BD",1,0)</f>
        <v/>
      </c>
      <c r="J347" s="26">
        <f>MAX(J346,IF(U346="BiP",1,0))</f>
        <v/>
      </c>
      <c r="K347" s="26">
        <f>MAX(K346,IF(U346="PV",1,0))</f>
        <v/>
      </c>
      <c r="L347" s="26">
        <f>MAX(L346,IF(U346="OC",1,0))</f>
        <v/>
      </c>
      <c r="M347" s="26">
        <f>MAX(M346,IF(U346="MG",1,0))</f>
        <v/>
      </c>
      <c r="N347" s="26">
        <f>MAX(N346,IF(U346="transition",1,0))</f>
        <v/>
      </c>
      <c r="O347" s="28">
        <f>(Parameters!$B$9+(IF(E347=0,0,(Upgrades!$J$13+E347*Upgrades!$K$13)*POWER(Upgrades!$L$13,E347)))*(IF(Upgrades!$T$14="Stellar Kinematics",POWER(Upgrades!$U$14,F347),1)*IF(Upgrades!$T$15="Stellar Kinematics",POWER(Upgrades!$U$15,G347),1)*IF(Upgrades!$T$16="Stellar Kinematics",POWER(Upgrades!$U$16,H347),1)*IF(Upgrades!$T$17="Stellar Kinematics",POWER(Upgrades!$U$17,I347),1)*IF(Upgrades!$T$18="Stellar Kinematics",POWER(Upgrades!$U$18,J347),1)*IF(Upgrades!$T$19="Stellar Kinematics",POWER(Upgrades!$U$19,K347),1)*IF(Upgrades!$T$20="Stellar Kinematics",POWER(Upgrades!$U$20,L347),1)*IF(Upgrades!$T$21="Stellar Kinematics",POWER(Upgrades!$U$21,M347),1))+(IF(F347=0,0,(Upgrades!$J$14+F347*Upgrades!$K$14)*POWER(Upgrades!$L$14,F347)))*(IF(Upgrades!$T$13="Local Bubble",POWER(Upgrades!$U$13,E347),1)*IF(Upgrades!$T$15="Local Bubble",POWER(Upgrades!$U$15,G347),1)*IF(Upgrades!$T$16="Local Bubble",POWER(Upgrades!$U$16,H347),1)*IF(Upgrades!$T$17="Local Bubble",POWER(Upgrades!$U$17,I347),1)*IF(Upgrades!$T$18="Local Bubble",POWER(Upgrades!$U$18,J347),1)*IF(Upgrades!$T$19="Local Bubble",POWER(Upgrades!$U$19,K347),1)*IF(Upgrades!$T$20="Local Bubble",POWER(Upgrades!$U$20,L347),1)*IF(Upgrades!$T$21="Local Bubble",POWER(Upgrades!$U$21,M347),1))+(IF(G347=0,0,(Upgrades!$J$15+G347*Upgrades!$K$15)*POWER(Upgrades!$L$15,G347)))*(IF(Upgrades!$T$13="Microlensing",POWER(Upgrades!$U$13,E347),1)*IF(Upgrades!$T$14="Microlensing",POWER(Upgrades!$U$14,F347),1)*IF(Upgrades!$T$16="Microlensing",POWER(Upgrades!$U$16,H347),1)*IF(Upgrades!$T$17="Microlensing",POWER(Upgrades!$U$17,I347),1)*IF(Upgrades!$T$18="Microlensing",POWER(Upgrades!$U$18,J347),1)*IF(Upgrades!$T$19="Microlensing",POWER(Upgrades!$U$19,K347),1)*IF(Upgrades!$T$20="Microlensing",POWER(Upgrades!$U$20,L347),1)*IF(Upgrades!$T$21="Microlensing",POWER(Upgrades!$U$21,M347),1))+(IF(H347=0,0,(Upgrades!$J$16+H347*Upgrades!$K$16)*POWER(Upgrades!$L$16,H347)))*(IF(Upgrades!$T$13="Roche Lobe Overflow",POWER(Upgrades!$U$13,E347),1)*IF(Upgrades!$T$14="Roche Lobe Overflow",POWER(Upgrades!$U$14,F347),1)*IF(Upgrades!$T$15="Roche Lobe Overflow",POWER(Upgrades!$U$15,G347),1)*IF(Upgrades!$T$17="Roche Lobe Overflow",POWER(Upgrades!$U$17,I347),1)*IF(Upgrades!$T$18="Roche Lobe Overflow",POWER(Upgrades!$U$18,J347),1)*IF(Upgrades!$T$19="Roche Lobe Overflow",POWER(Upgrades!$U$19,K347),1)*IF(Upgrades!$T$20="Roche Lobe Overflow",POWER(Upgrades!$U$20,L347),1)*IF(Upgrades!$T$21="Roche Lobe Overflow",POWER(Upgrades!$U$21,M347),1))+(IF(I347=0,0,(Upgrades!$J$17+I347*Upgrades!$K$17)*POWER(Upgrades!$L$17,I347)))*(IF(Upgrades!$T$13="Brown Dwarf",POWER(Upgrades!$U$13,E347),1)*IF(Upgrades!$T$14="Brown Dwarf",POWER(Upgrades!$U$14,F347),1)*IF(Upgrades!$T$15="Brown Dwarf",POWER(Upgrades!$U$15,G347),1)*IF(Upgrades!$T$16="Brown Dwarf",POWER(Upgrades!$U$16,H347),1)*IF(Upgrades!$T$18="Brown Dwarf",POWER(Upgrades!$U$18,J347),1)*IF(Upgrades!$T$19="Brown Dwarf",POWER(Upgrades!$U$19,K347),1)*IF(Upgrades!$T$20="Brown Dwarf",POWER(Upgrades!$U$20,L347),1)*IF(Upgrades!$T$21="Brown Dwarf",POWER(Upgrades!$U$21,M347),1))+(IF(J347=0,0,(Upgrades!$J$18+J347*Upgrades!$K$18)*POWER(Upgrades!$L$18,J347)))*(IF(Upgrades!$T$13="Binary Partner",POWER(Upgrades!$U$13,E347),1)*IF(Upgrades!$T$14="Binary Partner",POWER(Upgrades!$U$14,F347),1)*IF(Upgrades!$T$15="Binary Partner",POWER(Upgrades!$U$15,G347),1)*IF(Upgrades!$T$16="Binary Partner",POWER(Upgrades!$U$16,H347),1)*IF(Upgrades!$T$17="Binary Partner",POWER(Upgrades!$U$17,I347),1)*IF(Upgrades!$T$19="Binary Partner",POWER(Upgrades!$U$19,K347),1)*IF(Upgrades!$T$20="Binary Partner",POWER(Upgrades!$U$20,L347),1)*IF(Upgrades!$T$21="Binary Partner",POWER(Upgrades!$U$21,M347),1))+(IF(K347=0,0,(Upgrades!$J$19+K347*Upgrades!$K$19)*POWER(Upgrades!$L$19,K347)))*(IF(Upgrades!$T$13="Peculiar Velocity",POWER(Upgrades!$U$13,E347),1)*IF(Upgrades!$T$14="Peculiar Velocity",POWER(Upgrades!$U$14,F347),1)*IF(Upgrades!$T$15="Peculiar Velocity",POWER(Upgrades!$U$15,G347),1)*IF(Upgrades!$T$16="Peculiar Velocity",POWER(Upgrades!$U$16,H347),1)*IF(Upgrades!$T$17="Peculiar Velocity",POWER(Upgrades!$U$17,I347),1)*IF(Upgrades!$T$18="Peculiar Velocity",POWER(Upgrades!$U$18,J347),1)*IF(Upgrades!$T$20="Peculiar Velocity",POWER(Upgrades!$U$20,L347),1)*IF(Upgrades!$T$21="Peculiar Velocity",POWER(Upgrades!$U$21,M347),1))+(IF(L347=0,0,(Upgrades!$J$20+L347*Upgrades!$K$20)*POWER(Upgrades!$L$20,L347)))*(IF(Upgrades!$T$13="Open Cluster",POWER(Upgrades!$U$13,E347),1)*IF(Upgrades!$T$14="Open Cluster",POWER(Upgrades!$U$14,F347),1)*IF(Upgrades!$T$15="Open Cluster",POWER(Upgrades!$U$15,G347),1)*IF(Upgrades!$T$16="Open Cluster",POWER(Upgrades!$U$16,H347),1)*IF(Upgrades!$T$17="Open Cluster",POWER(Upgrades!$U$17,I347),1)*IF(Upgrades!$T$18="Open Cluster",POWER(Upgrades!$U$18,J347),1)*IF(Upgrades!$T$19="Open Cluster",POWER(Upgrades!$U$19,K347),1)*IF(Upgrades!$T$21="Open Cluster",POWER(Upgrades!$U$21,M347),1))+(IF(M347=0,0,(Upgrades!$J$21+M347*Upgrades!$K$21)*POWER(Upgrades!$L$21,M347)))*(IF(Upgrades!$T$13="Moving Group",POWER(Upgrades!$U$13,E347),1)*IF(Upgrades!$T$14="Moving Group",POWER(Upgrades!$U$14,F347),1)*IF(Upgrades!$T$15="Moving Group",POWER(Upgrades!$U$15,G347),1)*IF(Upgrades!$T$16="Moving Group",POWER(Upgrades!$U$16,H347),1)*IF(Upgrades!$T$17="Moving Group",POWER(Upgrades!$U$17,I347),1)*IF(Upgrades!$T$18="Moving Group",POWER(Upgrades!$U$18,J347),1)*IF(Upgrades!$T$19="Moving Group",POWER(Upgrades!$U$19,K347),1)*IF(Upgrades!$T$20="Moving Group",POWER(Upgrades!$U$20,L347),1)))*POWER(Upgrades!$Q$13,E347)*POWER(Upgrades!$Q$14,F347)*POWER(Upgrades!$Q$15,G347)*POWER(Upgrades!$Q$16,H347)*POWER(Upgrades!$Q$17,I347)*POWER(Upgrades!$Q$18,J347)*POWER(Upgrades!$Q$19,K347)*POWER(Upgrades!$Q$20,L347)*POWER(Upgrades!$Q$21,M347)*$G$6+$D$6</f>
        <v/>
      </c>
      <c r="P347" s="28">
        <f>((IF(E347=0,0,(Upgrades!$G$13+E347*Upgrades!$H$13)*POWER(Upgrades!$I$13,E347)))*(IF(Upgrades!$T$14="Stellar Kinematics",POWER(Upgrades!$U$14,F347),1)*IF(Upgrades!$T$15="Stellar Kinematics",POWER(Upgrades!$U$15,G347),1)*IF(Upgrades!$T$16="Stellar Kinematics",POWER(Upgrades!$U$16,H347),1)*IF(Upgrades!$T$17="Stellar Kinematics",POWER(Upgrades!$U$17,I347),1)*IF(Upgrades!$T$18="Stellar Kinematics",POWER(Upgrades!$U$18,J347),1)*IF(Upgrades!$T$19="Stellar Kinematics",POWER(Upgrades!$U$19,K347),1)*IF(Upgrades!$T$20="Stellar Kinematics",POWER(Upgrades!$U$20,L347),1)*IF(Upgrades!$T$21="Stellar Kinematics",POWER(Upgrades!$U$21,M347),1))+(IF(F347=0,0,(Upgrades!$G$14+F347*Upgrades!$H$14)*POWER(Upgrades!$I$14,F347)))*(IF(Upgrades!$T$13="Local Bubble",POWER(Upgrades!$U$13,E347),1)*IF(Upgrades!$T$15="Local Bubble",POWER(Upgrades!$U$15,G347),1)*IF(Upgrades!$T$16="Local Bubble",POWER(Upgrades!$U$16,H347),1)*IF(Upgrades!$T$17="Local Bubble",POWER(Upgrades!$U$17,I347),1)*IF(Upgrades!$T$18="Local Bubble",POWER(Upgrades!$U$18,J347),1)*IF(Upgrades!$T$19="Local Bubble",POWER(Upgrades!$U$19,K347),1)*IF(Upgrades!$T$20="Local Bubble",POWER(Upgrades!$U$20,L347),1)*IF(Upgrades!$T$21="Local Bubble",POWER(Upgrades!$U$21,M347),1))+(IF(G347=0,0,(Upgrades!$G$15+G347*Upgrades!$H$15)*POWER(Upgrades!$I$15,G347)))*(IF(Upgrades!$T$13="Microlensing",POWER(Upgrades!$U$13,E347),1)*IF(Upgrades!$T$14="Microlensing",POWER(Upgrades!$U$14,F347),1)*IF(Upgrades!$T$16="Microlensing",POWER(Upgrades!$U$16,H347),1)*IF(Upgrades!$T$17="Microlensing",POWER(Upgrades!$U$17,I347),1)*IF(Upgrades!$T$18="Microlensing",POWER(Upgrades!$U$18,J347),1)*IF(Upgrades!$T$19="Microlensing",POWER(Upgrades!$U$19,K347),1)*IF(Upgrades!$T$20="Microlensing",POWER(Upgrades!$U$20,L347),1)*IF(Upgrades!$T$21="Microlensing",POWER(Upgrades!$U$21,M347),1))+(IF(H347=0,0,(Upgrades!$G$16+H347*Upgrades!$H$16)*POWER(Upgrades!$I$16,H347)))*(IF(Upgrades!$T$13="Roche Lobe Overflow",POWER(Upgrades!$U$13,E347),1)*IF(Upgrades!$T$14="Roche Lobe Overflow",POWER(Upgrades!$U$14,F347),1)*IF(Upgrades!$T$15="Roche Lobe Overflow",POWER(Upgrades!$U$15,G347),1)*IF(Upgrades!$T$17="Roche Lobe Overflow",POWER(Upgrades!$U$17,I347),1)*IF(Upgrades!$T$18="Roche Lobe Overflow",POWER(Upgrades!$U$18,J347),1)*IF(Upgrades!$T$19="Roche Lobe Overflow",POWER(Upgrades!$U$19,K347),1)*IF(Upgrades!$T$20="Roche Lobe Overflow",POWER(Upgrades!$U$20,L347),1)*IF(Upgrades!$T$21="Roche Lobe Overflow",POWER(Upgrades!$U$21,M347),1))+(IF(I347=0,0,(Upgrades!$G$17+I347*Upgrades!$H$17)*POWER(Upgrades!$I$17,I347)))*(IF(Upgrades!$T$13="Brown Dwarf",POWER(Upgrades!$U$13,E347),1)*IF(Upgrades!$T$14="Brown Dwarf",POWER(Upgrades!$U$14,F347),1)*IF(Upgrades!$T$15="Brown Dwarf",POWER(Upgrades!$U$15,G347),1)*IF(Upgrades!$T$16="Brown Dwarf",POWER(Upgrades!$U$16,H347),1)*IF(Upgrades!$T$18="Brown Dwarf",POWER(Upgrades!$U$18,J347),1)*IF(Upgrades!$T$19="Brown Dwarf",POWER(Upgrades!$U$19,K347),1)*IF(Upgrades!$T$20="Brown Dwarf",POWER(Upgrades!$U$20,L347),1)*IF(Upgrades!$T$21="Brown Dwarf",POWER(Upgrades!$U$21,M347),1))+(IF(J347=0,0,(Upgrades!$G$18+J347*Upgrades!$H$18)*POWER(Upgrades!$I$18,J347)))*(IF(Upgrades!$T$13="Binary Partner",POWER(Upgrades!$U$13,E347),1)*IF(Upgrades!$T$14="Binary Partner",POWER(Upgrades!$U$14,F347),1)*IF(Upgrades!$T$15="Binary Partner",POWER(Upgrades!$U$15,G347),1)*IF(Upgrades!$T$16="Binary Partner",POWER(Upgrades!$U$16,H347),1)*IF(Upgrades!$T$17="Binary Partner",POWER(Upgrades!$U$17,I347),1)*IF(Upgrades!$T$19="Binary Partner",POWER(Upgrades!$U$19,K347),1)*IF(Upgrades!$T$20="Binary Partner",POWER(Upgrades!$U$20,L347),1)*IF(Upgrades!$T$21="Binary Partner",POWER(Upgrades!$U$21,M347),1))+(IF(K347=0,0,(Upgrades!$G$19+K347*Upgrades!$H$19)*POWER(Upgrades!$I$19,K347)))*(IF(Upgrades!$T$13="Peculiar Velocity",POWER(Upgrades!$U$13,E347),1)*IF(Upgrades!$T$14="Peculiar Velocity",POWER(Upgrades!$U$14,F347),1)*IF(Upgrades!$T$15="Peculiar Velocity",POWER(Upgrades!$U$15,G347),1)*IF(Upgrades!$T$16="Peculiar Velocity",POWER(Upgrades!$U$16,H347),1)*IF(Upgrades!$T$17="Peculiar Velocity",POWER(Upgrades!$U$17,I347),1)*IF(Upgrades!$T$18="Peculiar Velocity",POWER(Upgrades!$U$18,J347),1)*IF(Upgrades!$T$20="Peculiar Velocity",POWER(Upgrades!$U$20,L347),1)*IF(Upgrades!$T$21="Peculiar Velocity",POWER(Upgrades!$U$21,M347),1))+(IF(L347=0,0,(Upgrades!$G$20+L347*Upgrades!$H$20)*POWER(Upgrades!$I$20,L347)))*(IF(Upgrades!$T$13="Open Cluster",POWER(Upgrades!$U$13,E347),1)*IF(Upgrades!$T$14="Open Cluster",POWER(Upgrades!$U$14,F347),1)*IF(Upgrades!$T$15="Open Cluster",POWER(Upgrades!$U$15,G347),1)*IF(Upgrades!$T$16="Open Cluster",POWER(Upgrades!$U$16,H347),1)*IF(Upgrades!$T$17="Open Cluster",POWER(Upgrades!$U$17,I347),1)*IF(Upgrades!$T$18="Open Cluster",POWER(Upgrades!$U$18,J347),1)*IF(Upgrades!$T$19="Open Cluster",POWER(Upgrades!$U$19,K347),1)*IF(Upgrades!$T$21="Open Cluster",POWER(Upgrades!$U$21,M347),1))+(IF(M347=0,0,(Upgrades!$G$21+M347*Upgrades!$H$21)*POWER(Upgrades!$I$21,M347)))*(IF(Upgrades!$T$13="Moving Group",POWER(Upgrades!$U$13,E347),1)*IF(Upgrades!$T$14="Moving Group",POWER(Upgrades!$U$14,F347),1)*IF(Upgrades!$T$15="Moving Group",POWER(Upgrades!$U$15,G347),1)*IF(Upgrades!$T$16="Moving Group",POWER(Upgrades!$U$16,H347),1)*IF(Upgrades!$T$17="Moving Group",POWER(Upgrades!$U$17,I347),1)*IF(Upgrades!$T$18="Moving Group",POWER(Upgrades!$U$18,J347),1)*IF(Upgrades!$T$19="Moving Group",POWER(Upgrades!$U$19,K347),1)*IF(Upgrades!$T$20="Moving Group",POWER(Upgrades!$U$20,L347),1)))*POWER(Upgrades!$P$13,E347)*POWER(Upgrades!$P$14,F347)*POWER(Upgrades!$P$15,G347)*POWER(Upgrades!$P$16,H347)*POWER(Upgrades!$P$17,I347)*POWER(Upgrades!$P$18,J347)*POWER(Upgrades!$P$19,K347)*POWER(Upgrades!$P$20,L347)*POWER(Upgrades!$P$21,M347)*$F$6+$C$6</f>
        <v/>
      </c>
      <c r="Q347" s="28">
        <f>((IF(E347=0,0,(Upgrades!$M$13+E347*Upgrades!$N$13)*POWER(Upgrades!$O$13,E347)))*(IF(Upgrades!$T$14="Stellar Kinematics",POWER(Upgrades!$U$14,F347),1)*IF(Upgrades!$T$15="Stellar Kinematics",POWER(Upgrades!$U$15,G347),1)*IF(Upgrades!$T$16="Stellar Kinematics",POWER(Upgrades!$U$16,H347),1)*IF(Upgrades!$T$17="Stellar Kinematics",POWER(Upgrades!$U$17,I347),1)*IF(Upgrades!$T$18="Stellar Kinematics",POWER(Upgrades!$U$18,J347),1)*IF(Upgrades!$T$19="Stellar Kinematics",POWER(Upgrades!$U$19,K347),1)*IF(Upgrades!$T$20="Stellar Kinematics",POWER(Upgrades!$U$20,L347),1)*IF(Upgrades!$T$21="Stellar Kinematics",POWER(Upgrades!$U$21,M347),1))+(IF(F347=0,0,(Upgrades!$M$14+F347*Upgrades!$N$14)*POWER(Upgrades!$O$14,F347)))*(IF(Upgrades!$T$13="Local Bubble",POWER(Upgrades!$U$13,E347),1)*IF(Upgrades!$T$15="Local Bubble",POWER(Upgrades!$U$15,G347),1)*IF(Upgrades!$T$16="Local Bubble",POWER(Upgrades!$U$16,H347),1)*IF(Upgrades!$T$17="Local Bubble",POWER(Upgrades!$U$17,I347),1)*IF(Upgrades!$T$18="Local Bubble",POWER(Upgrades!$U$18,J347),1)*IF(Upgrades!$T$19="Local Bubble",POWER(Upgrades!$U$19,K347),1)*IF(Upgrades!$T$20="Local Bubble",POWER(Upgrades!$U$20,L347),1)*IF(Upgrades!$T$21="Local Bubble",POWER(Upgrades!$U$21,M347),1))+(IF(G347=0,0,(Upgrades!$M$15+G347*Upgrades!$N$15)*POWER(Upgrades!$O$15,G347)))*(IF(Upgrades!$T$13="Microlensing",POWER(Upgrades!$U$13,E347),1)*IF(Upgrades!$T$14="Microlensing",POWER(Upgrades!$U$14,F347),1)*IF(Upgrades!$T$16="Microlensing",POWER(Upgrades!$U$16,H347),1)*IF(Upgrades!$T$17="Microlensing",POWER(Upgrades!$U$17,I347),1)*IF(Upgrades!$T$18="Microlensing",POWER(Upgrades!$U$18,J347),1)*IF(Upgrades!$T$19="Microlensing",POWER(Upgrades!$U$19,K347),1)*IF(Upgrades!$T$20="Microlensing",POWER(Upgrades!$U$20,L347),1)*IF(Upgrades!$T$21="Microlensing",POWER(Upgrades!$U$21,M347),1))+(IF(H347=0,0,(Upgrades!$M$16+H347*Upgrades!$N$16)*POWER(Upgrades!$O$16,H347)))*(IF(Upgrades!$T$13="Roche Lobe Overflow",POWER(Upgrades!$U$13,E347),1)*IF(Upgrades!$T$14="Roche Lobe Overflow",POWER(Upgrades!$U$14,F347),1)*IF(Upgrades!$T$15="Roche Lobe Overflow",POWER(Upgrades!$U$15,G347),1)*IF(Upgrades!$T$17="Roche Lobe Overflow",POWER(Upgrades!$U$17,I347),1)*IF(Upgrades!$T$18="Roche Lobe Overflow",POWER(Upgrades!$U$18,J347),1)*IF(Upgrades!$T$19="Roche Lobe Overflow",POWER(Upgrades!$U$19,K347),1)*IF(Upgrades!$T$20="Roche Lobe Overflow",POWER(Upgrades!$U$20,L347),1)*IF(Upgrades!$T$21="Roche Lobe Overflow",POWER(Upgrades!$U$21,M347),1))+(IF(I347=0,0,(Upgrades!$M$17+I347*Upgrades!$N$17)*POWER(Upgrades!$O$17,I347)))*(IF(Upgrades!$T$13="Brown Dwarf",POWER(Upgrades!$U$13,E347),1)*IF(Upgrades!$T$14="Brown Dwarf",POWER(Upgrades!$U$14,F347),1)*IF(Upgrades!$T$15="Brown Dwarf",POWER(Upgrades!$U$15,G347),1)*IF(Upgrades!$T$16="Brown Dwarf",POWER(Upgrades!$U$16,H347),1)*IF(Upgrades!$T$18="Brown Dwarf",POWER(Upgrades!$U$18,J347),1)*IF(Upgrades!$T$19="Brown Dwarf",POWER(Upgrades!$U$19,K347),1)*IF(Upgrades!$T$20="Brown Dwarf",POWER(Upgrades!$U$20,L347),1)*IF(Upgrades!$T$21="Brown Dwarf",POWER(Upgrades!$U$21,M347),1))+(IF(J347=0,0,(Upgrades!$M$18+J347*Upgrades!$N$18)*POWER(Upgrades!$O$18,J347)))*(IF(Upgrades!$T$13="Binary Partner",POWER(Upgrades!$U$13,E347),1)*IF(Upgrades!$T$14="Binary Partner",POWER(Upgrades!$U$14,F347),1)*IF(Upgrades!$T$15="Binary Partner",POWER(Upgrades!$U$15,G347),1)*IF(Upgrades!$T$16="Binary Partner",POWER(Upgrades!$U$16,H347),1)*IF(Upgrades!$T$17="Binary Partner",POWER(Upgrades!$U$17,I347),1)*IF(Upgrades!$T$19="Binary Partner",POWER(Upgrades!$U$19,K347),1)*IF(Upgrades!$T$20="Binary Partner",POWER(Upgrades!$U$20,L347),1)*IF(Upgrades!$T$21="Binary Partner",POWER(Upgrades!$U$21,M347),1))+(IF(K347=0,0,(Upgrades!$M$19+K347*Upgrades!$N$19)*POWER(Upgrades!$O$19,K347)))*(IF(Upgrades!$T$13="Peculiar Velocity",POWER(Upgrades!$U$13,E347),1)*IF(Upgrades!$T$14="Peculiar Velocity",POWER(Upgrades!$U$14,F347),1)*IF(Upgrades!$T$15="Peculiar Velocity",POWER(Upgrades!$U$15,G347),1)*IF(Upgrades!$T$16="Peculiar Velocity",POWER(Upgrades!$U$16,H347),1)*IF(Upgrades!$T$17="Peculiar Velocity",POWER(Upgrades!$U$17,I347),1)*IF(Upgrades!$T$18="Peculiar Velocity",POWER(Upgrades!$U$18,J347),1)*IF(Upgrades!$T$20="Peculiar Velocity",POWER(Upgrades!$U$20,L347),1)*IF(Upgrades!$T$21="Peculiar Velocity",POWER(Upgrades!$U$21,M347),1))+(IF(L347=0,0,(Upgrades!$M$20+L347*Upgrades!$N$20)*POWER(Upgrades!$O$20,L347)))*(IF(Upgrades!$T$13="Open Cluster",POWER(Upgrades!$U$13,E347),1)*IF(Upgrades!$T$14="Open Cluster",POWER(Upgrades!$U$14,F347),1)*IF(Upgrades!$T$15="Open Cluster",POWER(Upgrades!$U$15,G347),1)*IF(Upgrades!$T$16="Open Cluster",POWER(Upgrades!$U$16,H347),1)*IF(Upgrades!$T$17="Open Cluster",POWER(Upgrades!$U$17,I347),1)*IF(Upgrades!$T$18="Open Cluster",POWER(Upgrades!$U$18,J347),1)*IF(Upgrades!$T$19="Open Cluster",POWER(Upgrades!$U$19,K347),1)*IF(Upgrades!$T$21="Open Cluster",POWER(Upgrades!$U$21,M347),1))+(IF(M347=0,0,(Upgrades!$M$21+M347*Upgrades!$N$21)*POWER(Upgrades!$O$21,M347)))*(IF(Upgrades!$T$13="Moving Group",POWER(Upgrades!$U$13,E347),1)*IF(Upgrades!$T$14="Moving Group",POWER(Upgrades!$U$14,F347),1)*IF(Upgrades!$T$15="Moving Group",POWER(Upgrades!$U$15,G347),1)*IF(Upgrades!$T$16="Moving Group",POWER(Upgrades!$U$16,H347),1)*IF(Upgrades!$T$17="Moving Group",POWER(Upgrades!$U$17,I347),1)*IF(Upgrades!$T$18="Moving Group",POWER(Upgrades!$U$18,J347),1)*IF(Upgrades!$T$19="Moving Group",POWER(Upgrades!$U$19,K347),1)*IF(Upgrades!$T$20="Moving Group",POWER(Upgrades!$U$20,L347),1)))*POWER(Upgrades!$R$13,E347)*POWER(Upgrades!$R$14,F347)*POWER(Upgrades!$R$15,G347)*POWER(Upgrades!$R$16,H347)*POWER(Upgrades!$R$17,I347)*POWER(Upgrades!$R$18,J347)*POWER(Upgrades!$R$19,K347)*POWER(Upgrades!$R$20,L347)*POWER(Upgrades!$R$21,M347)*$H$6+$E$6</f>
        <v/>
      </c>
      <c r="R347" s="27">
        <f>IF(N347=1,0,O347*Parameters!$B$10/60*Parameters!$B$11*10)</f>
        <v/>
      </c>
      <c r="S347" s="27">
        <f>IF(N347=1,0,Q347*O347*10)</f>
        <v/>
      </c>
      <c r="T347" s="27">
        <f>IF(N347=1,0,R347+S347+P347*10)</f>
        <v/>
      </c>
      <c r="U347" s="33">
        <f>BE347</f>
        <v/>
      </c>
      <c r="V347" s="22">
        <f>IF(U347="",0,IF(U347="transition",0,IF(U347="SK",AK347,IF(U347="LB",AL347,IF(U347="ML",AM347,IF(U347="RLO",AN347,IF(U347="BD",AO347,IF(U347="BiP",AP347,IF(U347="PV",AQ347,IF(U347="OC",AR347,IF(U347="MG",AS347,0))))))))))</f>
        <v/>
      </c>
      <c r="W347" s="27">
        <f>IF(U347="BiP",Upgrades!$F$18,IF(U347="PV",Upgrades!$F$19,IF(U347="OC",Upgrades!$F$20,IF(U347="MG",Upgrades!$F$21,IF(U347="transition",-Parameters!$B$18*Parameters!$B$19,0)))))</f>
        <v/>
      </c>
      <c r="X347" s="22">
        <f>C347+T347-V347</f>
        <v/>
      </c>
      <c r="Y347" s="30">
        <f>O347*Parameters!$B$10/60*Parameters!$B$11+Q347*O347+P347</f>
        <v/>
      </c>
      <c r="Z347" s="34">
        <f>IF(U347="transition","→ Tier 3 (Galactic Arm)",IF(U347="MG","Moving Group — pocket drifts together",IF(U347="OC","Open Cluster acquired",IF(U347="PV","Peculiar Velocity — passive multiplier active",IF(U347="BiP","Binary Partner — pair bond formed",IF(AND(AU347=1,N347=0,AT347&lt;&gt;1),"Cohesion ready (waiting on completionists)","")))))) </f>
        <v/>
      </c>
      <c r="AA347" s="27">
        <f>(IF(E347=0,0,(Upgrades!$G$13+E347*Upgrades!$H$13)*POWER(Upgrades!$I$13,E347)))*(IF(Upgrades!$T$14="Stellar Kinematics",POWER(Upgrades!$U$14,F347),1)*IF(Upgrades!$T$15="Stellar Kinematics",POWER(Upgrades!$U$15,G347),1)*IF(Upgrades!$T$16="Stellar Kinematics",POWER(Upgrades!$U$16,H347),1)*IF(Upgrades!$T$17="Stellar Kinematics",POWER(Upgrades!$U$17,I347),1)*IF(Upgrades!$T$18="Stellar Kinematics",POWER(Upgrades!$U$18,J347),1)*IF(Upgrades!$T$19="Stellar Kinematics",POWER(Upgrades!$U$19,K347),1)*IF(Upgrades!$T$20="Stellar Kinematics",POWER(Upgrades!$U$20,L347),1)*IF(Upgrades!$T$21="Stellar Kinematics",POWER(Upgrades!$U$21,M347),1))*POWER(Upgrades!$P$13,E347)*POWER(Upgrades!$P$14,F347)*POWER(Upgrades!$P$15,G347)*POWER(Upgrades!$P$16,H347)*POWER(Upgrades!$P$17,I347)*POWER(Upgrades!$P$18,J347)*POWER(Upgrades!$P$19,K347)*POWER(Upgrades!$P$20,L347)*POWER(Upgrades!$P$21,M347)*$F$6*60</f>
        <v/>
      </c>
      <c r="AB347" s="27">
        <f>(IF(F347=0,0,(Upgrades!$G$14+F347*Upgrades!$H$14)*POWER(Upgrades!$I$14,F347)))*(IF(Upgrades!$T$13="Local Bubble",POWER(Upgrades!$U$13,E347),1)*IF(Upgrades!$T$15="Local Bubble",POWER(Upgrades!$U$15,G347),1)*IF(Upgrades!$T$16="Local Bubble",POWER(Upgrades!$U$16,H347),1)*IF(Upgrades!$T$17="Local Bubble",POWER(Upgrades!$U$17,I347),1)*IF(Upgrades!$T$18="Local Bubble",POWER(Upgrades!$U$18,J347),1)*IF(Upgrades!$T$19="Local Bubble",POWER(Upgrades!$U$19,K347),1)*IF(Upgrades!$T$20="Local Bubble",POWER(Upgrades!$U$20,L347),1)*IF(Upgrades!$T$21="Local Bubble",POWER(Upgrades!$U$21,M347),1))*POWER(Upgrades!$P$13,E347)*POWER(Upgrades!$P$14,F347)*POWER(Upgrades!$P$15,G347)*POWER(Upgrades!$P$16,H347)*POWER(Upgrades!$P$17,I347)*POWER(Upgrades!$P$18,J347)*POWER(Upgrades!$P$19,K347)*POWER(Upgrades!$P$20,L347)*POWER(Upgrades!$P$21,M347)*$F$6*60</f>
        <v/>
      </c>
      <c r="AC347" s="27">
        <f>(IF(G347=0,0,(Upgrades!$J$15+G347*Upgrades!$K$15)*POWER(Upgrades!$L$15,G347)))*(IF(Upgrades!$T$13="Microlensing",POWER(Upgrades!$U$13,E347),1)*IF(Upgrades!$T$14="Microlensing",POWER(Upgrades!$U$14,F347),1)*IF(Upgrades!$T$16="Microlensing",POWER(Upgrades!$U$16,H347),1)*IF(Upgrades!$T$17="Microlensing",POWER(Upgrades!$U$17,I347),1)*IF(Upgrades!$T$18="Microlensing",POWER(Upgrades!$U$18,J347),1)*IF(Upgrades!$T$19="Microlensing",POWER(Upgrades!$U$19,K347),1)*IF(Upgrades!$T$20="Microlensing",POWER(Upgrades!$U$20,L347),1)*IF(Upgrades!$T$21="Microlensing",POWER(Upgrades!$U$21,M347),1))*POWER(Upgrades!$Q$13,E347)*POWER(Upgrades!$Q$14,F347)*POWER(Upgrades!$Q$15,G347)*POWER(Upgrades!$Q$16,H347)*POWER(Upgrades!$Q$17,I347)*POWER(Upgrades!$Q$18,J347)*POWER(Upgrades!$Q$19,K347)*POWER(Upgrades!$Q$20,L347)*POWER(Upgrades!$Q$21,M347)*$G$6*(Parameters!$B$10*Parameters!$B$11+Q347*60)</f>
        <v/>
      </c>
      <c r="AD347" s="27">
        <f>(IF(H347=0,0,(Upgrades!$M$16+H347*Upgrades!$N$16)*POWER(Upgrades!$O$16,H347)))*(IF(Upgrades!$T$13="Roche Lobe Overflow",POWER(Upgrades!$U$13,E347),1)*IF(Upgrades!$T$14="Roche Lobe Overflow",POWER(Upgrades!$U$14,F347),1)*IF(Upgrades!$T$15="Roche Lobe Overflow",POWER(Upgrades!$U$15,G347),1)*IF(Upgrades!$T$17="Roche Lobe Overflow",POWER(Upgrades!$U$17,I347),1)*IF(Upgrades!$T$18="Roche Lobe Overflow",POWER(Upgrades!$U$18,J347),1)*IF(Upgrades!$T$19="Roche Lobe Overflow",POWER(Upgrades!$U$19,K347),1)*IF(Upgrades!$T$20="Roche Lobe Overflow",POWER(Upgrades!$U$20,L347),1)*IF(Upgrades!$T$21="Roche Lobe Overflow",POWER(Upgrades!$U$21,M347),1))*POWER(Upgrades!$R$13,E347)*POWER(Upgrades!$R$14,F347)*POWER(Upgrades!$R$15,G347)*POWER(Upgrades!$R$16,H347)*POWER(Upgrades!$R$17,I347)*POWER(Upgrades!$R$18,J347)*POWER(Upgrades!$R$19,K347)*POWER(Upgrades!$R$20,L347)*POWER(Upgrades!$R$21,M347)*$H$6*O347*60</f>
        <v/>
      </c>
      <c r="AE347" s="27">
        <f>(IF(I347=0,0,(Upgrades!$G$17+I347*Upgrades!$H$17)*POWER(Upgrades!$I$17,I347)))*(IF(Upgrades!$T$13="Brown Dwarf",POWER(Upgrades!$U$13,E347),1)*IF(Upgrades!$T$14="Brown Dwarf",POWER(Upgrades!$U$14,F347),1)*IF(Upgrades!$T$15="Brown Dwarf",POWER(Upgrades!$U$15,G347),1)*IF(Upgrades!$T$16="Brown Dwarf",POWER(Upgrades!$U$16,H347),1)*IF(Upgrades!$T$18="Brown Dwarf",POWER(Upgrades!$U$18,J347),1)*IF(Upgrades!$T$19="Brown Dwarf",POWER(Upgrades!$U$19,K347),1)*IF(Upgrades!$T$20="Brown Dwarf",POWER(Upgrades!$U$20,L347),1)*IF(Upgrades!$T$21="Brown Dwarf",POWER(Upgrades!$U$21,M347),1))*POWER(Upgrades!$P$13,E347)*POWER(Upgrades!$P$14,F347)*POWER(Upgrades!$P$15,G347)*POWER(Upgrades!$P$16,H347)*POWER(Upgrades!$P$17,I347)*POWER(Upgrades!$P$18,J347)*POWER(Upgrades!$P$19,K347)*POWER(Upgrades!$P$20,L347)*POWER(Upgrades!$P$21,M347)*$F$6*60</f>
        <v/>
      </c>
      <c r="AF347" s="27" t="n">
        <v>0</v>
      </c>
      <c r="AG347" s="27" t="n">
        <v>0</v>
      </c>
      <c r="AH347" s="27" t="n">
        <v>0</v>
      </c>
      <c r="AI347" s="27">
        <f>(IF(M347=0,0,(Upgrades!$G$21+M347*Upgrades!$H$21)*POWER(Upgrades!$I$21,M347)))*(IF(Upgrades!$T$13="Moving Group",POWER(Upgrades!$U$13,E347),1)*IF(Upgrades!$T$14="Moving Group",POWER(Upgrades!$U$14,F347),1)*IF(Upgrades!$T$15="Moving Group",POWER(Upgrades!$U$15,G347),1)*IF(Upgrades!$T$16="Moving Group",POWER(Upgrades!$U$16,H347),1)*IF(Upgrades!$T$17="Moving Group",POWER(Upgrades!$U$17,I347),1)*IF(Upgrades!$T$18="Moving Group",POWER(Upgrades!$U$18,J347),1)*IF(Upgrades!$T$19="Moving Group",POWER(Upgrades!$U$19,K347),1)*IF(Upgrades!$T$20="Moving Group",POWER(Upgrades!$U$20,L347),1))*POWER(Upgrades!$P$13,E347)*POWER(Upgrades!$P$14,F347)*POWER(Upgrades!$P$15,G347)*POWER(Upgrades!$P$16,H347)*POWER(Upgrades!$P$17,I347)*POWER(Upgrades!$P$18,J347)*POWER(Upgrades!$P$19,K347)*POWER(Upgrades!$P$20,L347)*POWER(Upgrades!$P$21,M347)*$F$6*60</f>
        <v/>
      </c>
      <c r="AJ347" s="27">
        <f>$C$6*60</f>
        <v/>
      </c>
      <c r="AK347" s="22">
        <f>IF(E347&gt;=Upgrades!$E$13,"",Upgrades!$C$13*POWER(Upgrades!$D$13,E347))</f>
        <v/>
      </c>
      <c r="AL347" s="22">
        <f>IF(F347&gt;=Upgrades!$E$14,"",Upgrades!$C$14*POWER(Upgrades!$D$14,F347))</f>
        <v/>
      </c>
      <c r="AM347" s="22">
        <f>IF(G347&gt;=Upgrades!$E$15,"",Upgrades!$C$15*POWER(Upgrades!$D$15,G347))</f>
        <v/>
      </c>
      <c r="AN347" s="22">
        <f>IF(H347&gt;=Upgrades!$E$16,"",Upgrades!$C$16*POWER(Upgrades!$D$16,H347))</f>
        <v/>
      </c>
      <c r="AO347" s="22">
        <f>IF(I347&gt;=Upgrades!$E$17,"",Upgrades!$C$17*POWER(Upgrades!$D$17,I347))</f>
        <v/>
      </c>
      <c r="AP347" s="22">
        <f>IF(J347&gt;=Upgrades!$E$18,"",Upgrades!$C$18*POWER(Upgrades!$D$18,J347))</f>
        <v/>
      </c>
      <c r="AQ347" s="22">
        <f>IF(K347&gt;=Upgrades!$E$19,"",Upgrades!$C$19*POWER(Upgrades!$D$19,K347))</f>
        <v/>
      </c>
      <c r="AR347" s="22">
        <f>IF(L347&gt;=Upgrades!$E$20,"",Upgrades!$C$20*POWER(Upgrades!$D$20,L347))</f>
        <v/>
      </c>
      <c r="AS347" s="22">
        <f>IF(M347&gt;=Upgrades!$E$21,"",Upgrades!$C$21*POWER(Upgrades!$D$21,M347))</f>
        <v/>
      </c>
      <c r="AT347" s="26">
        <f>IF(AND(D347&gt;=Parameters!$B$18*Parameters!$B$19,(I347&gt;=Upgrades!$E$17)*(M347&gt;=Upgrades!$E$21)=1,N347=0),1,"")</f>
        <v/>
      </c>
      <c r="AU347" s="26">
        <f>IF(AND(D347&gt;=Parameters!$B$18*Parameters!$B$19,N347=0),1,"")</f>
        <v/>
      </c>
      <c r="AV347" s="22">
        <f>MIN(IF(ISNUMBER(AP347),AP347,9E15),IF(ISNUMBER(AQ347),AQ347,9E15),IF(ISNUMBER(AR347),AR347,9E15),IF(ISNUMBER(AS347),AS347,9E15))</f>
        <v/>
      </c>
      <c r="AW347" s="22">
        <f>MIN(IF(ISNUMBER(AK347),AK347,9E15),IF(ISNUMBER(AL347),AL347,9E15),IF(ISNUMBER(AM347),AM347,9E15),IF(ISNUMBER(AN347),AN347,9E15),IF(ISNUMBER(AO347),AO347,9E15))</f>
        <v/>
      </c>
      <c r="AX347" s="29">
        <f>IF(BD347&gt;Parameters!$B$21*(MAX(IF(AND(NOT(AND(AU347=1,AT347&lt;&gt;1)),ISNUMBER(AK347),AK347&lt;=(C347+T347)),AY347,0),IF(AND(NOT(AND(AU347=1,AT347&lt;&gt;1)),ISNUMBER(AL347),AL347&lt;=(C347+T347)),AZ347,0),IF(AND(NOT(AND(AU347=1,AT347&lt;&gt;1)),ISNUMBER(AM347),AM347&lt;=(C347+T347)),BA347,0),IF(AND(NOT(AND(AU347=1,AT347&lt;&gt;1)),ISNUMBER(AN347),AN347&lt;=(C347+T347)),BB347,0),IF(AND(ISNUMBER(AO347),AO347&lt;=(C347+T347)),BC347,0))),TRUE,FALSE)</f>
        <v/>
      </c>
      <c r="AY347" s="32">
        <f>IFERROR(Upgrades!$H$13*(POWER(Upgrades!$P$13,E347)*POWER(Upgrades!$P$14,F347)*POWER(Upgrades!$P$15,G347)*POWER(Upgrades!$P$16,H347)*POWER(Upgrades!$P$17,I347)*POWER(Upgrades!$P$18,J347)*POWER(Upgrades!$P$19,K347)*POWER(Upgrades!$P$20,L347)*POWER(Upgrades!$P$21,M347))*(IF(Upgrades!$T$14="Stellar Kinematics",POWER(Upgrades!$U$14,F347),1)*IF(Upgrades!$T$15="Stellar Kinematics",POWER(Upgrades!$U$15,G347),1)*IF(Upgrades!$T$16="Stellar Kinematics",POWER(Upgrades!$U$16,H347),1)*IF(Upgrades!$T$17="Stellar Kinematics",POWER(Upgrades!$U$17,I347),1)*IF(Upgrades!$T$18="Stellar Kinematics",POWER(Upgrades!$U$18,J347),1)*IF(Upgrades!$T$19="Stellar Kinematics",POWER(Upgrades!$U$19,K347),1)*IF(Upgrades!$T$20="Stellar Kinematics",POWER(Upgrades!$U$20,L347),1)*IF(Upgrades!$T$21="Stellar Kinematics",POWER(Upgrades!$U$21,M347),1))*$F$6/AK347,0)</f>
        <v/>
      </c>
      <c r="AZ347" s="32">
        <f>IFERROR(Upgrades!$H$14*(POWER(Upgrades!$P$13,E347)*POWER(Upgrades!$P$14,F347)*POWER(Upgrades!$P$15,G347)*POWER(Upgrades!$P$16,H347)*POWER(Upgrades!$P$17,I347)*POWER(Upgrades!$P$18,J347)*POWER(Upgrades!$P$19,K347)*POWER(Upgrades!$P$20,L347)*POWER(Upgrades!$P$21,M347))*(IF(Upgrades!$T$13="Local Bubble",POWER(Upgrades!$U$13,E347),1)*IF(Upgrades!$T$15="Local Bubble",POWER(Upgrades!$U$15,G347),1)*IF(Upgrades!$T$16="Local Bubble",POWER(Upgrades!$U$16,H347),1)*IF(Upgrades!$T$17="Local Bubble",POWER(Upgrades!$U$17,I347),1)*IF(Upgrades!$T$18="Local Bubble",POWER(Upgrades!$U$18,J347),1)*IF(Upgrades!$T$19="Local Bubble",POWER(Upgrades!$U$19,K347),1)*IF(Upgrades!$T$20="Local Bubble",POWER(Upgrades!$U$20,L347),1)*IF(Upgrades!$T$21="Local Bubble",POWER(Upgrades!$U$21,M347),1))*$F$6/AL347,0)</f>
        <v/>
      </c>
      <c r="BA347" s="32">
        <f>IFERROR(Upgrades!$K$15*(POWER(Upgrades!$Q$13,E347)*POWER(Upgrades!$Q$14,F347)*POWER(Upgrades!$Q$15,G347)*POWER(Upgrades!$Q$16,H347)*POWER(Upgrades!$Q$17,I347)*POWER(Upgrades!$Q$18,J347)*POWER(Upgrades!$Q$19,K347)*POWER(Upgrades!$Q$20,L347)*POWER(Upgrades!$Q$21,M347))*(IF(Upgrades!$T$13="Microlensing",POWER(Upgrades!$U$13,E347),1)*IF(Upgrades!$T$14="Microlensing",POWER(Upgrades!$U$14,F347),1)*IF(Upgrades!$T$16="Microlensing",POWER(Upgrades!$U$16,H347),1)*IF(Upgrades!$T$17="Microlensing",POWER(Upgrades!$U$17,I347),1)*IF(Upgrades!$T$18="Microlensing",POWER(Upgrades!$U$18,J347),1)*IF(Upgrades!$T$19="Microlensing",POWER(Upgrades!$U$19,K347),1)*IF(Upgrades!$T$20="Microlensing",POWER(Upgrades!$U$20,L347),1)*IF(Upgrades!$T$21="Microlensing",POWER(Upgrades!$U$21,M347),1))*$G$6*(Parameters!$B$10/60*Parameters!$B$11+Q347)/AM347,0)</f>
        <v/>
      </c>
      <c r="BB347" s="32">
        <f>IFERROR((Upgrades!$N$16*(POWER(Upgrades!$R$13,E347)*POWER(Upgrades!$R$14,F347)*POWER(Upgrades!$R$15,G347)*POWER(Upgrades!$R$16,H347)*POWER(Upgrades!$R$17,I347)*POWER(Upgrades!$R$18,J347)*POWER(Upgrades!$R$19,K347)*POWER(Upgrades!$R$20,L347)*POWER(Upgrades!$R$21,M347))*(IF(Upgrades!$T$13="Roche Lobe Overflow",POWER(Upgrades!$U$13,E347),1)*IF(Upgrades!$T$14="Roche Lobe Overflow",POWER(Upgrades!$U$14,F347),1)*IF(Upgrades!$T$15="Roche Lobe Overflow",POWER(Upgrades!$U$15,G347),1)*IF(Upgrades!$T$17="Roche Lobe Overflow",POWER(Upgrades!$U$17,I347),1)*IF(Upgrades!$T$18="Roche Lobe Overflow",POWER(Upgrades!$U$18,J347),1)*IF(Upgrades!$T$19="Roche Lobe Overflow",POWER(Upgrades!$U$19,K347),1)*IF(Upgrades!$T$20="Roche Lobe Overflow",POWER(Upgrades!$U$20,L347),1)*IF(Upgrades!$T$21="Roche Lobe Overflow",POWER(Upgrades!$U$21,M347),1))*$H$6*O347+((IF(F347=0,0,(Upgrades!$G$14+F347*Upgrades!$H$14)*POWER(Upgrades!$I$14,F347)))*(IF(Upgrades!$T$13="Local Bubble",POWER(Upgrades!$U$13,E347),1)*IF(Upgrades!$T$15="Local Bubble",POWER(Upgrades!$U$15,G347),1)*IF(Upgrades!$T$16="Local Bubble",POWER(Upgrades!$U$16,H347),1)*IF(Upgrades!$T$17="Local Bubble",POWER(Upgrades!$U$17,I347),1)*IF(Upgrades!$T$18="Local Bubble",POWER(Upgrades!$U$18,J347),1)*IF(Upgrades!$T$19="Local Bubble",POWER(Upgrades!$U$19,K347),1)*IF(Upgrades!$T$20="Local Bubble",POWER(Upgrades!$U$20,L347),1)*IF(Upgrades!$T$21="Local Bubble",POWER(Upgrades!$U$21,M347),1))*POWER(Upgrades!$P$13,E347)*POWER(Upgrades!$P$14,F347)*POWER(Upgrades!$P$15,G347)*POWER(Upgrades!$P$16,H347)*POWER(Upgrades!$P$17,I347)*POWER(Upgrades!$P$18,J347)*POWER(Upgrades!$P$19,K347)*POWER(Upgrades!$P$20,L347)*POWER(Upgrades!$P$21,M347)*$F$6)*0.05)/AN347,0)</f>
        <v/>
      </c>
      <c r="BC347" s="32">
        <f>IFERROR((Upgrades!$H$17*(POWER(Upgrades!$P$13,E347)*POWER(Upgrades!$P$14,F347)*POWER(Upgrades!$P$15,G347)*POWER(Upgrades!$P$16,H347)*POWER(Upgrades!$P$17,I347)*POWER(Upgrades!$P$18,J347)*POWER(Upgrades!$P$19,K347)*POWER(Upgrades!$P$20,L347)*POWER(Upgrades!$P$21,M347))*(IF(Upgrades!$T$13="Brown Dwarf",POWER(Upgrades!$U$13,E347),1)*IF(Upgrades!$T$14="Brown Dwarf",POWER(Upgrades!$U$14,F347),1)*IF(Upgrades!$T$15="Brown Dwarf",POWER(Upgrades!$U$15,G347),1)*IF(Upgrades!$T$16="Brown Dwarf",POWER(Upgrades!$U$16,H347),1)*IF(Upgrades!$T$18="Brown Dwarf",POWER(Upgrades!$U$18,J347),1)*IF(Upgrades!$T$19="Brown Dwarf",POWER(Upgrades!$U$19,K347),1)*IF(Upgrades!$T$20="Brown Dwarf",POWER(Upgrades!$U$20,L347),1)*IF(Upgrades!$T$21="Brown Dwarf",POWER(Upgrades!$U$21,M347),1))*$F$6+(((IF(H347=0,0,(Upgrades!$M$16+H347*Upgrades!$N$16)*POWER(Upgrades!$O$16,H347)))*(IF(Upgrades!$T$13="Roche Lobe Overflow",POWER(Upgrades!$U$13,E347),1)*IF(Upgrades!$T$14="Roche Lobe Overflow",POWER(Upgrades!$U$14,F347),1)*IF(Upgrades!$T$15="Roche Lobe Overflow",POWER(Upgrades!$U$15,G347),1)*IF(Upgrades!$T$17="Roche Lobe Overflow",POWER(Upgrades!$U$17,I347),1)*IF(Upgrades!$T$18="Roche Lobe Overflow",POWER(Upgrades!$U$18,J347),1)*IF(Upgrades!$T$19="Roche Lobe Overflow",POWER(Upgrades!$U$19,K347),1)*IF(Upgrades!$T$20="Roche Lobe Overflow",POWER(Upgrades!$U$20,L347),1)*IF(Upgrades!$T$21="Roche Lobe Overflow",POWER(Upgrades!$U$21,M347),1))*POWER(Upgrades!$R$13,E347)*POWER(Upgrades!$R$14,F347)*POWER(Upgrades!$R$15,G347)*POWER(Upgrades!$R$16,H347)*POWER(Upgrades!$R$17,I347)*POWER(Upgrades!$R$18,J347)*POWER(Upgrades!$R$19,K347)*POWER(Upgrades!$R$20,L347)*POWER(Upgrades!$R$21,M347)*$H$6)*O347)*0.10)/AO347,0)</f>
        <v/>
      </c>
      <c r="BD347" s="32">
        <f>MAX(IF(J347&gt;0,0,IFERROR(0.5*((IF(G347=0,0,(Upgrades!$J$15+G347*Upgrades!$K$15)*POWER(Upgrades!$L$15,G347)))*(IF(Upgrades!$T$13="Microlensing",POWER(Upgrades!$U$13,E347),1)*IF(Upgrades!$T$14="Microlensing",POWER(Upgrades!$U$14,F347),1)*IF(Upgrades!$T$16="Microlensing",POWER(Upgrades!$U$16,H347),1)*IF(Upgrades!$T$17="Microlensing",POWER(Upgrades!$U$17,I347),1)*IF(Upgrades!$T$18="Microlensing",POWER(Upgrades!$U$18,J347),1)*IF(Upgrades!$T$19="Microlensing",POWER(Upgrades!$U$19,K347),1)*IF(Upgrades!$T$20="Microlensing",POWER(Upgrades!$U$20,L347),1)*IF(Upgrades!$T$21="Microlensing",POWER(Upgrades!$U$21,M347),1))*(POWER(Upgrades!$Q$13,E347)*POWER(Upgrades!$Q$14,F347)*POWER(Upgrades!$Q$15,G347)*POWER(Upgrades!$Q$16,H347)*POWER(Upgrades!$Q$17,I347)*POWER(Upgrades!$Q$18,J347)*POWER(Upgrades!$Q$19,K347)*POWER(Upgrades!$Q$20,L347)*POWER(Upgrades!$Q$21,M347))*$G$6*(Parameters!$B$10/60*Parameters!$B$11+Q347))/Upgrades!$C$18,0)),IF(K347&gt;0,0,IFERROR(0.30*P347/Upgrades!$C$19,0)),IF(L347&gt;0,0,IFERROR(0.0001/Upgrades!$C$20,0)),IF(M347&gt;0,0,IFERROR((6.0*(POWER(Upgrades!$P$13,E347)*POWER(Upgrades!$P$14,F347)*POWER(Upgrades!$P$15,G347)*POWER(Upgrades!$P$16,H347)*POWER(Upgrades!$P$17,I347)*POWER(Upgrades!$P$18,J347)*POWER(Upgrades!$P$19,K347)*POWER(Upgrades!$P$20,L347)*POWER(Upgrades!$P$21,M347))*$F$6+0.20*O347*(Parameters!$B$10/60*Parameters!$B$11+Q347))/Upgrades!$C$21,0)),IF(AND(ISNUMBER(AK347),AK347&gt;(C347+T347)),AY347,0),IF(AND(ISNUMBER(AL347),AL347&gt;(C347+T347)),AZ347,0),IF(AND(ISNUMBER(AM347),AM347&gt;(C347+T347)),BA347,0),IF(AND(ISNUMBER(AN347),AN347&gt;(C347+T347)),BB347,0),IF(AND(ISNUMBER(AO347),AO347&gt;(C347+T347)),BC347,0))</f>
        <v/>
      </c>
      <c r="BE347" s="29">
        <f>IF(AT347=1,"transition",IF(MIN(IF(AND(J347=0,ISNUMBER(AP347),AP347&lt;=(C347+T347)),AP347,9E15),IF(AND(K347=0,ISNUMBER(AQ347),AQ347&lt;=(C347+T347)),AQ347,9E15),IF(AND(L347=0,ISNUMBER(AR347),AR347&lt;=(C347+T347)),AR347,9E15),IF(AND(M347=0,ISNUMBER(AS347),AS347&lt;=(C347+T347)),AS347,9E15))&lt;9E15,IF(AND(AND(J347=0,ISNUMBER(AP347),AP347&lt;=(C347+T347)),AP347=MIN(IF(AND(J347=0,ISNUMBER(AP347),AP347&lt;=(C347+T347)),AP347,9E15),IF(AND(K347=0,ISNUMBER(AQ347),AQ347&lt;=(C347+T347)),AQ347,9E15),IF(AND(L347=0,ISNUMBER(AR347),AR347&lt;=(C347+T347)),AR347,9E15),IF(AND(M347=0,ISNUMBER(AS347),AS347&lt;=(C347+T347)),AS347,9E15))),"BiP",IF(AND(AND(K347=0,ISNUMBER(AQ347),AQ347&lt;=(C347+T347)),AQ347=MIN(IF(AND(J347=0,ISNUMBER(AP347),AP347&lt;=(C347+T347)),AP347,9E15),IF(AND(K347=0,ISNUMBER(AQ347),AQ347&lt;=(C347+T347)),AQ347,9E15),IF(AND(L347=0,ISNUMBER(AR347),AR347&lt;=(C347+T347)),AR347,9E15),IF(AND(M347=0,ISNUMBER(AS347),AS347&lt;=(C347+T347)),AS347,9E15))),"PV",IF(AND(AND(L347=0,ISNUMBER(AR347),AR347&lt;=(C347+T347)),AR347=MIN(IF(AND(J347=0,ISNUMBER(AP347),AP347&lt;=(C347+T347)),AP347,9E15),IF(AND(K347=0,ISNUMBER(AQ347),AQ347&lt;=(C347+T347)),AQ347,9E15),IF(AND(L347=0,ISNUMBER(AR347),AR347&lt;=(C347+T347)),AR347,9E15),IF(AND(M347=0,ISNUMBER(AS347),AS347&lt;=(C347+T347)),AS347,9E15))),"OC","MG"))),IF(AX347=TRUE,"",IF(MAX(IF(AND(NOT(AND(AU347=1,AT347&lt;&gt;1)),ISNUMBER(AK347),AK347&lt;=(C347+T347)),AY347,0),IF(AND(NOT(AND(AU347=1,AT347&lt;&gt;1)),ISNUMBER(AL347),AL347&lt;=(C347+T347)),AZ347,0),IF(AND(NOT(AND(AU347=1,AT347&lt;&gt;1)),ISNUMBER(AM347),AM347&lt;=(C347+T347)),BA347,0),IF(AND(NOT(AND(AU347=1,AT347&lt;&gt;1)),ISNUMBER(AN347),AN347&lt;=(C347+T347)),BB347,0),IF(AND(ISNUMBER(AO347),AO347&lt;=(C347+T347)),BC347,0))&lt;=0,"",IF(AND(IF(AND(NOT(AND(AU347=1,AT347&lt;&gt;1)),ISNUMBER(AK347),AK347&lt;=(C347+T347)),AY347,0)&gt;0,IF(AND(NOT(AND(AU347=1,AT347&lt;&gt;1)),ISNUMBER(AK347),AK347&lt;=(C347+T347)),AY347,0)=MAX(IF(AND(NOT(AND(AU347=1,AT347&lt;&gt;1)),ISNUMBER(AK347),AK347&lt;=(C347+T347)),AY347,0),IF(AND(NOT(AND(AU347=1,AT347&lt;&gt;1)),ISNUMBER(AL347),AL347&lt;=(C347+T347)),AZ347,0),IF(AND(NOT(AND(AU347=1,AT347&lt;&gt;1)),ISNUMBER(AM347),AM347&lt;=(C347+T347)),BA347,0),IF(AND(NOT(AND(AU347=1,AT347&lt;&gt;1)),ISNUMBER(AN347),AN347&lt;=(C347+T347)),BB347,0),IF(AND(ISNUMBER(AO347),AO347&lt;=(C347+T347)),BC347,0))),"SK",IF(AND(IF(AND(NOT(AND(AU347=1,AT347&lt;&gt;1)),ISNUMBER(AL347),AL347&lt;=(C347+T347)),AZ347,0)&gt;0,IF(AND(NOT(AND(AU347=1,AT347&lt;&gt;1)),ISNUMBER(AL347),AL347&lt;=(C347+T347)),AZ347,0)=MAX(IF(AND(NOT(AND(AU347=1,AT347&lt;&gt;1)),ISNUMBER(AK347),AK347&lt;=(C347+T347)),AY347,0),IF(AND(NOT(AND(AU347=1,AT347&lt;&gt;1)),ISNUMBER(AL347),AL347&lt;=(C347+T347)),AZ347,0),IF(AND(NOT(AND(AU347=1,AT347&lt;&gt;1)),ISNUMBER(AM347),AM347&lt;=(C347+T347)),BA347,0),IF(AND(NOT(AND(AU347=1,AT347&lt;&gt;1)),ISNUMBER(AN347),AN347&lt;=(C347+T347)),BB347,0),IF(AND(ISNUMBER(AO347),AO347&lt;=(C347+T347)),BC347,0))),"LB",IF(AND(IF(AND(NOT(AND(AU347=1,AT347&lt;&gt;1)),ISNUMBER(AM347),AM347&lt;=(C347+T347)),BA347,0)&gt;0,IF(AND(NOT(AND(AU347=1,AT347&lt;&gt;1)),ISNUMBER(AM347),AM347&lt;=(C347+T347)),BA347,0)=MAX(IF(AND(NOT(AND(AU347=1,AT347&lt;&gt;1)),ISNUMBER(AK347),AK347&lt;=(C347+T347)),AY347,0),IF(AND(NOT(AND(AU347=1,AT347&lt;&gt;1)),ISNUMBER(AL347),AL347&lt;=(C347+T347)),AZ347,0),IF(AND(NOT(AND(AU347=1,AT347&lt;&gt;1)),ISNUMBER(AM347),AM347&lt;=(C347+T347)),BA347,0),IF(AND(NOT(AND(AU347=1,AT347&lt;&gt;1)),ISNUMBER(AN347),AN347&lt;=(C347+T347)),BB347,0),IF(AND(ISNUMBER(AO347),AO347&lt;=(C347+T347)),BC347,0))),"ML",IF(AND(IF(AND(NOT(AND(AU347=1,AT347&lt;&gt;1)),ISNUMBER(AN347),AN347&lt;=(C347+T347)),BB347,0)&gt;0,IF(AND(NOT(AND(AU347=1,AT347&lt;&gt;1)),ISNUMBER(AN347),AN347&lt;=(C347+T347)),BB347,0)=MAX(IF(AND(NOT(AND(AU347=1,AT347&lt;&gt;1)),ISNUMBER(AK347),AK347&lt;=(C347+T347)),AY347,0),IF(AND(NOT(AND(AU347=1,AT347&lt;&gt;1)),ISNUMBER(AL347),AL347&lt;=(C347+T347)),AZ347,0),IF(AND(NOT(AND(AU347=1,AT347&lt;&gt;1)),ISNUMBER(AM347),AM347&lt;=(C347+T347)),BA347,0),IF(AND(NOT(AND(AU347=1,AT347&lt;&gt;1)),ISNUMBER(AN347),AN347&lt;=(C347+T347)),BB347,0),IF(AND(ISNUMBER(AO347),AO347&lt;=(C347+T347)),BC347,0))),"RLO","BD"))))))))</f>
        <v/>
      </c>
    </row>
    <row r="348">
      <c r="A348" s="26" t="n">
        <v>337</v>
      </c>
      <c r="B348" s="27">
        <f>A348*10/60</f>
        <v/>
      </c>
      <c r="C348" s="22">
        <f>X347</f>
        <v/>
      </c>
      <c r="D348" s="27">
        <f>D347+W347</f>
        <v/>
      </c>
      <c r="E348" s="26">
        <f>E347+IF(U347="SK",1,0)</f>
        <v/>
      </c>
      <c r="F348" s="26">
        <f>F347+IF(U347="LB",1,0)</f>
        <v/>
      </c>
      <c r="G348" s="26">
        <f>G347+IF(U347="ML",1,0)</f>
        <v/>
      </c>
      <c r="H348" s="26">
        <f>H347+IF(U347="RLO",1,0)</f>
        <v/>
      </c>
      <c r="I348" s="26">
        <f>I347+IF(U347="BD",1,0)</f>
        <v/>
      </c>
      <c r="J348" s="26">
        <f>MAX(J347,IF(U347="BiP",1,0))</f>
        <v/>
      </c>
      <c r="K348" s="26">
        <f>MAX(K347,IF(U347="PV",1,0))</f>
        <v/>
      </c>
      <c r="L348" s="26">
        <f>MAX(L347,IF(U347="OC",1,0))</f>
        <v/>
      </c>
      <c r="M348" s="26">
        <f>MAX(M347,IF(U347="MG",1,0))</f>
        <v/>
      </c>
      <c r="N348" s="26">
        <f>MAX(N347,IF(U347="transition",1,0))</f>
        <v/>
      </c>
      <c r="O348" s="28">
        <f>(Parameters!$B$9+(IF(E348=0,0,(Upgrades!$J$13+E348*Upgrades!$K$13)*POWER(Upgrades!$L$13,E348)))*(IF(Upgrades!$T$14="Stellar Kinematics",POWER(Upgrades!$U$14,F348),1)*IF(Upgrades!$T$15="Stellar Kinematics",POWER(Upgrades!$U$15,G348),1)*IF(Upgrades!$T$16="Stellar Kinematics",POWER(Upgrades!$U$16,H348),1)*IF(Upgrades!$T$17="Stellar Kinematics",POWER(Upgrades!$U$17,I348),1)*IF(Upgrades!$T$18="Stellar Kinematics",POWER(Upgrades!$U$18,J348),1)*IF(Upgrades!$T$19="Stellar Kinematics",POWER(Upgrades!$U$19,K348),1)*IF(Upgrades!$T$20="Stellar Kinematics",POWER(Upgrades!$U$20,L348),1)*IF(Upgrades!$T$21="Stellar Kinematics",POWER(Upgrades!$U$21,M348),1))+(IF(F348=0,0,(Upgrades!$J$14+F348*Upgrades!$K$14)*POWER(Upgrades!$L$14,F348)))*(IF(Upgrades!$T$13="Local Bubble",POWER(Upgrades!$U$13,E348),1)*IF(Upgrades!$T$15="Local Bubble",POWER(Upgrades!$U$15,G348),1)*IF(Upgrades!$T$16="Local Bubble",POWER(Upgrades!$U$16,H348),1)*IF(Upgrades!$T$17="Local Bubble",POWER(Upgrades!$U$17,I348),1)*IF(Upgrades!$T$18="Local Bubble",POWER(Upgrades!$U$18,J348),1)*IF(Upgrades!$T$19="Local Bubble",POWER(Upgrades!$U$19,K348),1)*IF(Upgrades!$T$20="Local Bubble",POWER(Upgrades!$U$20,L348),1)*IF(Upgrades!$T$21="Local Bubble",POWER(Upgrades!$U$21,M348),1))+(IF(G348=0,0,(Upgrades!$J$15+G348*Upgrades!$K$15)*POWER(Upgrades!$L$15,G348)))*(IF(Upgrades!$T$13="Microlensing",POWER(Upgrades!$U$13,E348),1)*IF(Upgrades!$T$14="Microlensing",POWER(Upgrades!$U$14,F348),1)*IF(Upgrades!$T$16="Microlensing",POWER(Upgrades!$U$16,H348),1)*IF(Upgrades!$T$17="Microlensing",POWER(Upgrades!$U$17,I348),1)*IF(Upgrades!$T$18="Microlensing",POWER(Upgrades!$U$18,J348),1)*IF(Upgrades!$T$19="Microlensing",POWER(Upgrades!$U$19,K348),1)*IF(Upgrades!$T$20="Microlensing",POWER(Upgrades!$U$20,L348),1)*IF(Upgrades!$T$21="Microlensing",POWER(Upgrades!$U$21,M348),1))+(IF(H348=0,0,(Upgrades!$J$16+H348*Upgrades!$K$16)*POWER(Upgrades!$L$16,H348)))*(IF(Upgrades!$T$13="Roche Lobe Overflow",POWER(Upgrades!$U$13,E348),1)*IF(Upgrades!$T$14="Roche Lobe Overflow",POWER(Upgrades!$U$14,F348),1)*IF(Upgrades!$T$15="Roche Lobe Overflow",POWER(Upgrades!$U$15,G348),1)*IF(Upgrades!$T$17="Roche Lobe Overflow",POWER(Upgrades!$U$17,I348),1)*IF(Upgrades!$T$18="Roche Lobe Overflow",POWER(Upgrades!$U$18,J348),1)*IF(Upgrades!$T$19="Roche Lobe Overflow",POWER(Upgrades!$U$19,K348),1)*IF(Upgrades!$T$20="Roche Lobe Overflow",POWER(Upgrades!$U$20,L348),1)*IF(Upgrades!$T$21="Roche Lobe Overflow",POWER(Upgrades!$U$21,M348),1))+(IF(I348=0,0,(Upgrades!$J$17+I348*Upgrades!$K$17)*POWER(Upgrades!$L$17,I348)))*(IF(Upgrades!$T$13="Brown Dwarf",POWER(Upgrades!$U$13,E348),1)*IF(Upgrades!$T$14="Brown Dwarf",POWER(Upgrades!$U$14,F348),1)*IF(Upgrades!$T$15="Brown Dwarf",POWER(Upgrades!$U$15,G348),1)*IF(Upgrades!$T$16="Brown Dwarf",POWER(Upgrades!$U$16,H348),1)*IF(Upgrades!$T$18="Brown Dwarf",POWER(Upgrades!$U$18,J348),1)*IF(Upgrades!$T$19="Brown Dwarf",POWER(Upgrades!$U$19,K348),1)*IF(Upgrades!$T$20="Brown Dwarf",POWER(Upgrades!$U$20,L348),1)*IF(Upgrades!$T$21="Brown Dwarf",POWER(Upgrades!$U$21,M348),1))+(IF(J348=0,0,(Upgrades!$J$18+J348*Upgrades!$K$18)*POWER(Upgrades!$L$18,J348)))*(IF(Upgrades!$T$13="Binary Partner",POWER(Upgrades!$U$13,E348),1)*IF(Upgrades!$T$14="Binary Partner",POWER(Upgrades!$U$14,F348),1)*IF(Upgrades!$T$15="Binary Partner",POWER(Upgrades!$U$15,G348),1)*IF(Upgrades!$T$16="Binary Partner",POWER(Upgrades!$U$16,H348),1)*IF(Upgrades!$T$17="Binary Partner",POWER(Upgrades!$U$17,I348),1)*IF(Upgrades!$T$19="Binary Partner",POWER(Upgrades!$U$19,K348),1)*IF(Upgrades!$T$20="Binary Partner",POWER(Upgrades!$U$20,L348),1)*IF(Upgrades!$T$21="Binary Partner",POWER(Upgrades!$U$21,M348),1))+(IF(K348=0,0,(Upgrades!$J$19+K348*Upgrades!$K$19)*POWER(Upgrades!$L$19,K348)))*(IF(Upgrades!$T$13="Peculiar Velocity",POWER(Upgrades!$U$13,E348),1)*IF(Upgrades!$T$14="Peculiar Velocity",POWER(Upgrades!$U$14,F348),1)*IF(Upgrades!$T$15="Peculiar Velocity",POWER(Upgrades!$U$15,G348),1)*IF(Upgrades!$T$16="Peculiar Velocity",POWER(Upgrades!$U$16,H348),1)*IF(Upgrades!$T$17="Peculiar Velocity",POWER(Upgrades!$U$17,I348),1)*IF(Upgrades!$T$18="Peculiar Velocity",POWER(Upgrades!$U$18,J348),1)*IF(Upgrades!$T$20="Peculiar Velocity",POWER(Upgrades!$U$20,L348),1)*IF(Upgrades!$T$21="Peculiar Velocity",POWER(Upgrades!$U$21,M348),1))+(IF(L348=0,0,(Upgrades!$J$20+L348*Upgrades!$K$20)*POWER(Upgrades!$L$20,L348)))*(IF(Upgrades!$T$13="Open Cluster",POWER(Upgrades!$U$13,E348),1)*IF(Upgrades!$T$14="Open Cluster",POWER(Upgrades!$U$14,F348),1)*IF(Upgrades!$T$15="Open Cluster",POWER(Upgrades!$U$15,G348),1)*IF(Upgrades!$T$16="Open Cluster",POWER(Upgrades!$U$16,H348),1)*IF(Upgrades!$T$17="Open Cluster",POWER(Upgrades!$U$17,I348),1)*IF(Upgrades!$T$18="Open Cluster",POWER(Upgrades!$U$18,J348),1)*IF(Upgrades!$T$19="Open Cluster",POWER(Upgrades!$U$19,K348),1)*IF(Upgrades!$T$21="Open Cluster",POWER(Upgrades!$U$21,M348),1))+(IF(M348=0,0,(Upgrades!$J$21+M348*Upgrades!$K$21)*POWER(Upgrades!$L$21,M348)))*(IF(Upgrades!$T$13="Moving Group",POWER(Upgrades!$U$13,E348),1)*IF(Upgrades!$T$14="Moving Group",POWER(Upgrades!$U$14,F348),1)*IF(Upgrades!$T$15="Moving Group",POWER(Upgrades!$U$15,G348),1)*IF(Upgrades!$T$16="Moving Group",POWER(Upgrades!$U$16,H348),1)*IF(Upgrades!$T$17="Moving Group",POWER(Upgrades!$U$17,I348),1)*IF(Upgrades!$T$18="Moving Group",POWER(Upgrades!$U$18,J348),1)*IF(Upgrades!$T$19="Moving Group",POWER(Upgrades!$U$19,K348),1)*IF(Upgrades!$T$20="Moving Group",POWER(Upgrades!$U$20,L348),1)))*POWER(Upgrades!$Q$13,E348)*POWER(Upgrades!$Q$14,F348)*POWER(Upgrades!$Q$15,G348)*POWER(Upgrades!$Q$16,H348)*POWER(Upgrades!$Q$17,I348)*POWER(Upgrades!$Q$18,J348)*POWER(Upgrades!$Q$19,K348)*POWER(Upgrades!$Q$20,L348)*POWER(Upgrades!$Q$21,M348)*$G$6+$D$6</f>
        <v/>
      </c>
      <c r="P348" s="28">
        <f>((IF(E348=0,0,(Upgrades!$G$13+E348*Upgrades!$H$13)*POWER(Upgrades!$I$13,E348)))*(IF(Upgrades!$T$14="Stellar Kinematics",POWER(Upgrades!$U$14,F348),1)*IF(Upgrades!$T$15="Stellar Kinematics",POWER(Upgrades!$U$15,G348),1)*IF(Upgrades!$T$16="Stellar Kinematics",POWER(Upgrades!$U$16,H348),1)*IF(Upgrades!$T$17="Stellar Kinematics",POWER(Upgrades!$U$17,I348),1)*IF(Upgrades!$T$18="Stellar Kinematics",POWER(Upgrades!$U$18,J348),1)*IF(Upgrades!$T$19="Stellar Kinematics",POWER(Upgrades!$U$19,K348),1)*IF(Upgrades!$T$20="Stellar Kinematics",POWER(Upgrades!$U$20,L348),1)*IF(Upgrades!$T$21="Stellar Kinematics",POWER(Upgrades!$U$21,M348),1))+(IF(F348=0,0,(Upgrades!$G$14+F348*Upgrades!$H$14)*POWER(Upgrades!$I$14,F348)))*(IF(Upgrades!$T$13="Local Bubble",POWER(Upgrades!$U$13,E348),1)*IF(Upgrades!$T$15="Local Bubble",POWER(Upgrades!$U$15,G348),1)*IF(Upgrades!$T$16="Local Bubble",POWER(Upgrades!$U$16,H348),1)*IF(Upgrades!$T$17="Local Bubble",POWER(Upgrades!$U$17,I348),1)*IF(Upgrades!$T$18="Local Bubble",POWER(Upgrades!$U$18,J348),1)*IF(Upgrades!$T$19="Local Bubble",POWER(Upgrades!$U$19,K348),1)*IF(Upgrades!$T$20="Local Bubble",POWER(Upgrades!$U$20,L348),1)*IF(Upgrades!$T$21="Local Bubble",POWER(Upgrades!$U$21,M348),1))+(IF(G348=0,0,(Upgrades!$G$15+G348*Upgrades!$H$15)*POWER(Upgrades!$I$15,G348)))*(IF(Upgrades!$T$13="Microlensing",POWER(Upgrades!$U$13,E348),1)*IF(Upgrades!$T$14="Microlensing",POWER(Upgrades!$U$14,F348),1)*IF(Upgrades!$T$16="Microlensing",POWER(Upgrades!$U$16,H348),1)*IF(Upgrades!$T$17="Microlensing",POWER(Upgrades!$U$17,I348),1)*IF(Upgrades!$T$18="Microlensing",POWER(Upgrades!$U$18,J348),1)*IF(Upgrades!$T$19="Microlensing",POWER(Upgrades!$U$19,K348),1)*IF(Upgrades!$T$20="Microlensing",POWER(Upgrades!$U$20,L348),1)*IF(Upgrades!$T$21="Microlensing",POWER(Upgrades!$U$21,M348),1))+(IF(H348=0,0,(Upgrades!$G$16+H348*Upgrades!$H$16)*POWER(Upgrades!$I$16,H348)))*(IF(Upgrades!$T$13="Roche Lobe Overflow",POWER(Upgrades!$U$13,E348),1)*IF(Upgrades!$T$14="Roche Lobe Overflow",POWER(Upgrades!$U$14,F348),1)*IF(Upgrades!$T$15="Roche Lobe Overflow",POWER(Upgrades!$U$15,G348),1)*IF(Upgrades!$T$17="Roche Lobe Overflow",POWER(Upgrades!$U$17,I348),1)*IF(Upgrades!$T$18="Roche Lobe Overflow",POWER(Upgrades!$U$18,J348),1)*IF(Upgrades!$T$19="Roche Lobe Overflow",POWER(Upgrades!$U$19,K348),1)*IF(Upgrades!$T$20="Roche Lobe Overflow",POWER(Upgrades!$U$20,L348),1)*IF(Upgrades!$T$21="Roche Lobe Overflow",POWER(Upgrades!$U$21,M348),1))+(IF(I348=0,0,(Upgrades!$G$17+I348*Upgrades!$H$17)*POWER(Upgrades!$I$17,I348)))*(IF(Upgrades!$T$13="Brown Dwarf",POWER(Upgrades!$U$13,E348),1)*IF(Upgrades!$T$14="Brown Dwarf",POWER(Upgrades!$U$14,F348),1)*IF(Upgrades!$T$15="Brown Dwarf",POWER(Upgrades!$U$15,G348),1)*IF(Upgrades!$T$16="Brown Dwarf",POWER(Upgrades!$U$16,H348),1)*IF(Upgrades!$T$18="Brown Dwarf",POWER(Upgrades!$U$18,J348),1)*IF(Upgrades!$T$19="Brown Dwarf",POWER(Upgrades!$U$19,K348),1)*IF(Upgrades!$T$20="Brown Dwarf",POWER(Upgrades!$U$20,L348),1)*IF(Upgrades!$T$21="Brown Dwarf",POWER(Upgrades!$U$21,M348),1))+(IF(J348=0,0,(Upgrades!$G$18+J348*Upgrades!$H$18)*POWER(Upgrades!$I$18,J348)))*(IF(Upgrades!$T$13="Binary Partner",POWER(Upgrades!$U$13,E348),1)*IF(Upgrades!$T$14="Binary Partner",POWER(Upgrades!$U$14,F348),1)*IF(Upgrades!$T$15="Binary Partner",POWER(Upgrades!$U$15,G348),1)*IF(Upgrades!$T$16="Binary Partner",POWER(Upgrades!$U$16,H348),1)*IF(Upgrades!$T$17="Binary Partner",POWER(Upgrades!$U$17,I348),1)*IF(Upgrades!$T$19="Binary Partner",POWER(Upgrades!$U$19,K348),1)*IF(Upgrades!$T$20="Binary Partner",POWER(Upgrades!$U$20,L348),1)*IF(Upgrades!$T$21="Binary Partner",POWER(Upgrades!$U$21,M348),1))+(IF(K348=0,0,(Upgrades!$G$19+K348*Upgrades!$H$19)*POWER(Upgrades!$I$19,K348)))*(IF(Upgrades!$T$13="Peculiar Velocity",POWER(Upgrades!$U$13,E348),1)*IF(Upgrades!$T$14="Peculiar Velocity",POWER(Upgrades!$U$14,F348),1)*IF(Upgrades!$T$15="Peculiar Velocity",POWER(Upgrades!$U$15,G348),1)*IF(Upgrades!$T$16="Peculiar Velocity",POWER(Upgrades!$U$16,H348),1)*IF(Upgrades!$T$17="Peculiar Velocity",POWER(Upgrades!$U$17,I348),1)*IF(Upgrades!$T$18="Peculiar Velocity",POWER(Upgrades!$U$18,J348),1)*IF(Upgrades!$T$20="Peculiar Velocity",POWER(Upgrades!$U$20,L348),1)*IF(Upgrades!$T$21="Peculiar Velocity",POWER(Upgrades!$U$21,M348),1))+(IF(L348=0,0,(Upgrades!$G$20+L348*Upgrades!$H$20)*POWER(Upgrades!$I$20,L348)))*(IF(Upgrades!$T$13="Open Cluster",POWER(Upgrades!$U$13,E348),1)*IF(Upgrades!$T$14="Open Cluster",POWER(Upgrades!$U$14,F348),1)*IF(Upgrades!$T$15="Open Cluster",POWER(Upgrades!$U$15,G348),1)*IF(Upgrades!$T$16="Open Cluster",POWER(Upgrades!$U$16,H348),1)*IF(Upgrades!$T$17="Open Cluster",POWER(Upgrades!$U$17,I348),1)*IF(Upgrades!$T$18="Open Cluster",POWER(Upgrades!$U$18,J348),1)*IF(Upgrades!$T$19="Open Cluster",POWER(Upgrades!$U$19,K348),1)*IF(Upgrades!$T$21="Open Cluster",POWER(Upgrades!$U$21,M348),1))+(IF(M348=0,0,(Upgrades!$G$21+M348*Upgrades!$H$21)*POWER(Upgrades!$I$21,M348)))*(IF(Upgrades!$T$13="Moving Group",POWER(Upgrades!$U$13,E348),1)*IF(Upgrades!$T$14="Moving Group",POWER(Upgrades!$U$14,F348),1)*IF(Upgrades!$T$15="Moving Group",POWER(Upgrades!$U$15,G348),1)*IF(Upgrades!$T$16="Moving Group",POWER(Upgrades!$U$16,H348),1)*IF(Upgrades!$T$17="Moving Group",POWER(Upgrades!$U$17,I348),1)*IF(Upgrades!$T$18="Moving Group",POWER(Upgrades!$U$18,J348),1)*IF(Upgrades!$T$19="Moving Group",POWER(Upgrades!$U$19,K348),1)*IF(Upgrades!$T$20="Moving Group",POWER(Upgrades!$U$20,L348),1)))*POWER(Upgrades!$P$13,E348)*POWER(Upgrades!$P$14,F348)*POWER(Upgrades!$P$15,G348)*POWER(Upgrades!$P$16,H348)*POWER(Upgrades!$P$17,I348)*POWER(Upgrades!$P$18,J348)*POWER(Upgrades!$P$19,K348)*POWER(Upgrades!$P$20,L348)*POWER(Upgrades!$P$21,M348)*$F$6+$C$6</f>
        <v/>
      </c>
      <c r="Q348" s="28">
        <f>((IF(E348=0,0,(Upgrades!$M$13+E348*Upgrades!$N$13)*POWER(Upgrades!$O$13,E348)))*(IF(Upgrades!$T$14="Stellar Kinematics",POWER(Upgrades!$U$14,F348),1)*IF(Upgrades!$T$15="Stellar Kinematics",POWER(Upgrades!$U$15,G348),1)*IF(Upgrades!$T$16="Stellar Kinematics",POWER(Upgrades!$U$16,H348),1)*IF(Upgrades!$T$17="Stellar Kinematics",POWER(Upgrades!$U$17,I348),1)*IF(Upgrades!$T$18="Stellar Kinematics",POWER(Upgrades!$U$18,J348),1)*IF(Upgrades!$T$19="Stellar Kinematics",POWER(Upgrades!$U$19,K348),1)*IF(Upgrades!$T$20="Stellar Kinematics",POWER(Upgrades!$U$20,L348),1)*IF(Upgrades!$T$21="Stellar Kinematics",POWER(Upgrades!$U$21,M348),1))+(IF(F348=0,0,(Upgrades!$M$14+F348*Upgrades!$N$14)*POWER(Upgrades!$O$14,F348)))*(IF(Upgrades!$T$13="Local Bubble",POWER(Upgrades!$U$13,E348),1)*IF(Upgrades!$T$15="Local Bubble",POWER(Upgrades!$U$15,G348),1)*IF(Upgrades!$T$16="Local Bubble",POWER(Upgrades!$U$16,H348),1)*IF(Upgrades!$T$17="Local Bubble",POWER(Upgrades!$U$17,I348),1)*IF(Upgrades!$T$18="Local Bubble",POWER(Upgrades!$U$18,J348),1)*IF(Upgrades!$T$19="Local Bubble",POWER(Upgrades!$U$19,K348),1)*IF(Upgrades!$T$20="Local Bubble",POWER(Upgrades!$U$20,L348),1)*IF(Upgrades!$T$21="Local Bubble",POWER(Upgrades!$U$21,M348),1))+(IF(G348=0,0,(Upgrades!$M$15+G348*Upgrades!$N$15)*POWER(Upgrades!$O$15,G348)))*(IF(Upgrades!$T$13="Microlensing",POWER(Upgrades!$U$13,E348),1)*IF(Upgrades!$T$14="Microlensing",POWER(Upgrades!$U$14,F348),1)*IF(Upgrades!$T$16="Microlensing",POWER(Upgrades!$U$16,H348),1)*IF(Upgrades!$T$17="Microlensing",POWER(Upgrades!$U$17,I348),1)*IF(Upgrades!$T$18="Microlensing",POWER(Upgrades!$U$18,J348),1)*IF(Upgrades!$T$19="Microlensing",POWER(Upgrades!$U$19,K348),1)*IF(Upgrades!$T$20="Microlensing",POWER(Upgrades!$U$20,L348),1)*IF(Upgrades!$T$21="Microlensing",POWER(Upgrades!$U$21,M348),1))+(IF(H348=0,0,(Upgrades!$M$16+H348*Upgrades!$N$16)*POWER(Upgrades!$O$16,H348)))*(IF(Upgrades!$T$13="Roche Lobe Overflow",POWER(Upgrades!$U$13,E348),1)*IF(Upgrades!$T$14="Roche Lobe Overflow",POWER(Upgrades!$U$14,F348),1)*IF(Upgrades!$T$15="Roche Lobe Overflow",POWER(Upgrades!$U$15,G348),1)*IF(Upgrades!$T$17="Roche Lobe Overflow",POWER(Upgrades!$U$17,I348),1)*IF(Upgrades!$T$18="Roche Lobe Overflow",POWER(Upgrades!$U$18,J348),1)*IF(Upgrades!$T$19="Roche Lobe Overflow",POWER(Upgrades!$U$19,K348),1)*IF(Upgrades!$T$20="Roche Lobe Overflow",POWER(Upgrades!$U$20,L348),1)*IF(Upgrades!$T$21="Roche Lobe Overflow",POWER(Upgrades!$U$21,M348),1))+(IF(I348=0,0,(Upgrades!$M$17+I348*Upgrades!$N$17)*POWER(Upgrades!$O$17,I348)))*(IF(Upgrades!$T$13="Brown Dwarf",POWER(Upgrades!$U$13,E348),1)*IF(Upgrades!$T$14="Brown Dwarf",POWER(Upgrades!$U$14,F348),1)*IF(Upgrades!$T$15="Brown Dwarf",POWER(Upgrades!$U$15,G348),1)*IF(Upgrades!$T$16="Brown Dwarf",POWER(Upgrades!$U$16,H348),1)*IF(Upgrades!$T$18="Brown Dwarf",POWER(Upgrades!$U$18,J348),1)*IF(Upgrades!$T$19="Brown Dwarf",POWER(Upgrades!$U$19,K348),1)*IF(Upgrades!$T$20="Brown Dwarf",POWER(Upgrades!$U$20,L348),1)*IF(Upgrades!$T$21="Brown Dwarf",POWER(Upgrades!$U$21,M348),1))+(IF(J348=0,0,(Upgrades!$M$18+J348*Upgrades!$N$18)*POWER(Upgrades!$O$18,J348)))*(IF(Upgrades!$T$13="Binary Partner",POWER(Upgrades!$U$13,E348),1)*IF(Upgrades!$T$14="Binary Partner",POWER(Upgrades!$U$14,F348),1)*IF(Upgrades!$T$15="Binary Partner",POWER(Upgrades!$U$15,G348),1)*IF(Upgrades!$T$16="Binary Partner",POWER(Upgrades!$U$16,H348),1)*IF(Upgrades!$T$17="Binary Partner",POWER(Upgrades!$U$17,I348),1)*IF(Upgrades!$T$19="Binary Partner",POWER(Upgrades!$U$19,K348),1)*IF(Upgrades!$T$20="Binary Partner",POWER(Upgrades!$U$20,L348),1)*IF(Upgrades!$T$21="Binary Partner",POWER(Upgrades!$U$21,M348),1))+(IF(K348=0,0,(Upgrades!$M$19+K348*Upgrades!$N$19)*POWER(Upgrades!$O$19,K348)))*(IF(Upgrades!$T$13="Peculiar Velocity",POWER(Upgrades!$U$13,E348),1)*IF(Upgrades!$T$14="Peculiar Velocity",POWER(Upgrades!$U$14,F348),1)*IF(Upgrades!$T$15="Peculiar Velocity",POWER(Upgrades!$U$15,G348),1)*IF(Upgrades!$T$16="Peculiar Velocity",POWER(Upgrades!$U$16,H348),1)*IF(Upgrades!$T$17="Peculiar Velocity",POWER(Upgrades!$U$17,I348),1)*IF(Upgrades!$T$18="Peculiar Velocity",POWER(Upgrades!$U$18,J348),1)*IF(Upgrades!$T$20="Peculiar Velocity",POWER(Upgrades!$U$20,L348),1)*IF(Upgrades!$T$21="Peculiar Velocity",POWER(Upgrades!$U$21,M348),1))+(IF(L348=0,0,(Upgrades!$M$20+L348*Upgrades!$N$20)*POWER(Upgrades!$O$20,L348)))*(IF(Upgrades!$T$13="Open Cluster",POWER(Upgrades!$U$13,E348),1)*IF(Upgrades!$T$14="Open Cluster",POWER(Upgrades!$U$14,F348),1)*IF(Upgrades!$T$15="Open Cluster",POWER(Upgrades!$U$15,G348),1)*IF(Upgrades!$T$16="Open Cluster",POWER(Upgrades!$U$16,H348),1)*IF(Upgrades!$T$17="Open Cluster",POWER(Upgrades!$U$17,I348),1)*IF(Upgrades!$T$18="Open Cluster",POWER(Upgrades!$U$18,J348),1)*IF(Upgrades!$T$19="Open Cluster",POWER(Upgrades!$U$19,K348),1)*IF(Upgrades!$T$21="Open Cluster",POWER(Upgrades!$U$21,M348),1))+(IF(M348=0,0,(Upgrades!$M$21+M348*Upgrades!$N$21)*POWER(Upgrades!$O$21,M348)))*(IF(Upgrades!$T$13="Moving Group",POWER(Upgrades!$U$13,E348),1)*IF(Upgrades!$T$14="Moving Group",POWER(Upgrades!$U$14,F348),1)*IF(Upgrades!$T$15="Moving Group",POWER(Upgrades!$U$15,G348),1)*IF(Upgrades!$T$16="Moving Group",POWER(Upgrades!$U$16,H348),1)*IF(Upgrades!$T$17="Moving Group",POWER(Upgrades!$U$17,I348),1)*IF(Upgrades!$T$18="Moving Group",POWER(Upgrades!$U$18,J348),1)*IF(Upgrades!$T$19="Moving Group",POWER(Upgrades!$U$19,K348),1)*IF(Upgrades!$T$20="Moving Group",POWER(Upgrades!$U$20,L348),1)))*POWER(Upgrades!$R$13,E348)*POWER(Upgrades!$R$14,F348)*POWER(Upgrades!$R$15,G348)*POWER(Upgrades!$R$16,H348)*POWER(Upgrades!$R$17,I348)*POWER(Upgrades!$R$18,J348)*POWER(Upgrades!$R$19,K348)*POWER(Upgrades!$R$20,L348)*POWER(Upgrades!$R$21,M348)*$H$6+$E$6</f>
        <v/>
      </c>
      <c r="R348" s="27">
        <f>IF(N348=1,0,O348*Parameters!$B$10/60*Parameters!$B$11*10)</f>
        <v/>
      </c>
      <c r="S348" s="27">
        <f>IF(N348=1,0,Q348*O348*10)</f>
        <v/>
      </c>
      <c r="T348" s="27">
        <f>IF(N348=1,0,R348+S348+P348*10)</f>
        <v/>
      </c>
      <c r="U348" s="33">
        <f>BE348</f>
        <v/>
      </c>
      <c r="V348" s="22">
        <f>IF(U348="",0,IF(U348="transition",0,IF(U348="SK",AK348,IF(U348="LB",AL348,IF(U348="ML",AM348,IF(U348="RLO",AN348,IF(U348="BD",AO348,IF(U348="BiP",AP348,IF(U348="PV",AQ348,IF(U348="OC",AR348,IF(U348="MG",AS348,0))))))))))</f>
        <v/>
      </c>
      <c r="W348" s="27">
        <f>IF(U348="BiP",Upgrades!$F$18,IF(U348="PV",Upgrades!$F$19,IF(U348="OC",Upgrades!$F$20,IF(U348="MG",Upgrades!$F$21,IF(U348="transition",-Parameters!$B$18*Parameters!$B$19,0)))))</f>
        <v/>
      </c>
      <c r="X348" s="22">
        <f>C348+T348-V348</f>
        <v/>
      </c>
      <c r="Y348" s="30">
        <f>O348*Parameters!$B$10/60*Parameters!$B$11+Q348*O348+P348</f>
        <v/>
      </c>
      <c r="Z348" s="34">
        <f>IF(U348="transition","→ Tier 3 (Galactic Arm)",IF(U348="MG","Moving Group — pocket drifts together",IF(U348="OC","Open Cluster acquired",IF(U348="PV","Peculiar Velocity — passive multiplier active",IF(U348="BiP","Binary Partner — pair bond formed",IF(AND(AU348=1,N348=0,AT348&lt;&gt;1),"Cohesion ready (waiting on completionists)","")))))) </f>
        <v/>
      </c>
      <c r="AA348" s="27">
        <f>(IF(E348=0,0,(Upgrades!$G$13+E348*Upgrades!$H$13)*POWER(Upgrades!$I$13,E348)))*(IF(Upgrades!$T$14="Stellar Kinematics",POWER(Upgrades!$U$14,F348),1)*IF(Upgrades!$T$15="Stellar Kinematics",POWER(Upgrades!$U$15,G348),1)*IF(Upgrades!$T$16="Stellar Kinematics",POWER(Upgrades!$U$16,H348),1)*IF(Upgrades!$T$17="Stellar Kinematics",POWER(Upgrades!$U$17,I348),1)*IF(Upgrades!$T$18="Stellar Kinematics",POWER(Upgrades!$U$18,J348),1)*IF(Upgrades!$T$19="Stellar Kinematics",POWER(Upgrades!$U$19,K348),1)*IF(Upgrades!$T$20="Stellar Kinematics",POWER(Upgrades!$U$20,L348),1)*IF(Upgrades!$T$21="Stellar Kinematics",POWER(Upgrades!$U$21,M348),1))*POWER(Upgrades!$P$13,E348)*POWER(Upgrades!$P$14,F348)*POWER(Upgrades!$P$15,G348)*POWER(Upgrades!$P$16,H348)*POWER(Upgrades!$P$17,I348)*POWER(Upgrades!$P$18,J348)*POWER(Upgrades!$P$19,K348)*POWER(Upgrades!$P$20,L348)*POWER(Upgrades!$P$21,M348)*$F$6*60</f>
        <v/>
      </c>
      <c r="AB348" s="27">
        <f>(IF(F348=0,0,(Upgrades!$G$14+F348*Upgrades!$H$14)*POWER(Upgrades!$I$14,F348)))*(IF(Upgrades!$T$13="Local Bubble",POWER(Upgrades!$U$13,E348),1)*IF(Upgrades!$T$15="Local Bubble",POWER(Upgrades!$U$15,G348),1)*IF(Upgrades!$T$16="Local Bubble",POWER(Upgrades!$U$16,H348),1)*IF(Upgrades!$T$17="Local Bubble",POWER(Upgrades!$U$17,I348),1)*IF(Upgrades!$T$18="Local Bubble",POWER(Upgrades!$U$18,J348),1)*IF(Upgrades!$T$19="Local Bubble",POWER(Upgrades!$U$19,K348),1)*IF(Upgrades!$T$20="Local Bubble",POWER(Upgrades!$U$20,L348),1)*IF(Upgrades!$T$21="Local Bubble",POWER(Upgrades!$U$21,M348),1))*POWER(Upgrades!$P$13,E348)*POWER(Upgrades!$P$14,F348)*POWER(Upgrades!$P$15,G348)*POWER(Upgrades!$P$16,H348)*POWER(Upgrades!$P$17,I348)*POWER(Upgrades!$P$18,J348)*POWER(Upgrades!$P$19,K348)*POWER(Upgrades!$P$20,L348)*POWER(Upgrades!$P$21,M348)*$F$6*60</f>
        <v/>
      </c>
      <c r="AC348" s="27">
        <f>(IF(G348=0,0,(Upgrades!$J$15+G348*Upgrades!$K$15)*POWER(Upgrades!$L$15,G348)))*(IF(Upgrades!$T$13="Microlensing",POWER(Upgrades!$U$13,E348),1)*IF(Upgrades!$T$14="Microlensing",POWER(Upgrades!$U$14,F348),1)*IF(Upgrades!$T$16="Microlensing",POWER(Upgrades!$U$16,H348),1)*IF(Upgrades!$T$17="Microlensing",POWER(Upgrades!$U$17,I348),1)*IF(Upgrades!$T$18="Microlensing",POWER(Upgrades!$U$18,J348),1)*IF(Upgrades!$T$19="Microlensing",POWER(Upgrades!$U$19,K348),1)*IF(Upgrades!$T$20="Microlensing",POWER(Upgrades!$U$20,L348),1)*IF(Upgrades!$T$21="Microlensing",POWER(Upgrades!$U$21,M348),1))*POWER(Upgrades!$Q$13,E348)*POWER(Upgrades!$Q$14,F348)*POWER(Upgrades!$Q$15,G348)*POWER(Upgrades!$Q$16,H348)*POWER(Upgrades!$Q$17,I348)*POWER(Upgrades!$Q$18,J348)*POWER(Upgrades!$Q$19,K348)*POWER(Upgrades!$Q$20,L348)*POWER(Upgrades!$Q$21,M348)*$G$6*(Parameters!$B$10*Parameters!$B$11+Q348*60)</f>
        <v/>
      </c>
      <c r="AD348" s="27">
        <f>(IF(H348=0,0,(Upgrades!$M$16+H348*Upgrades!$N$16)*POWER(Upgrades!$O$16,H348)))*(IF(Upgrades!$T$13="Roche Lobe Overflow",POWER(Upgrades!$U$13,E348),1)*IF(Upgrades!$T$14="Roche Lobe Overflow",POWER(Upgrades!$U$14,F348),1)*IF(Upgrades!$T$15="Roche Lobe Overflow",POWER(Upgrades!$U$15,G348),1)*IF(Upgrades!$T$17="Roche Lobe Overflow",POWER(Upgrades!$U$17,I348),1)*IF(Upgrades!$T$18="Roche Lobe Overflow",POWER(Upgrades!$U$18,J348),1)*IF(Upgrades!$T$19="Roche Lobe Overflow",POWER(Upgrades!$U$19,K348),1)*IF(Upgrades!$T$20="Roche Lobe Overflow",POWER(Upgrades!$U$20,L348),1)*IF(Upgrades!$T$21="Roche Lobe Overflow",POWER(Upgrades!$U$21,M348),1))*POWER(Upgrades!$R$13,E348)*POWER(Upgrades!$R$14,F348)*POWER(Upgrades!$R$15,G348)*POWER(Upgrades!$R$16,H348)*POWER(Upgrades!$R$17,I348)*POWER(Upgrades!$R$18,J348)*POWER(Upgrades!$R$19,K348)*POWER(Upgrades!$R$20,L348)*POWER(Upgrades!$R$21,M348)*$H$6*O348*60</f>
        <v/>
      </c>
      <c r="AE348" s="27">
        <f>(IF(I348=0,0,(Upgrades!$G$17+I348*Upgrades!$H$17)*POWER(Upgrades!$I$17,I348)))*(IF(Upgrades!$T$13="Brown Dwarf",POWER(Upgrades!$U$13,E348),1)*IF(Upgrades!$T$14="Brown Dwarf",POWER(Upgrades!$U$14,F348),1)*IF(Upgrades!$T$15="Brown Dwarf",POWER(Upgrades!$U$15,G348),1)*IF(Upgrades!$T$16="Brown Dwarf",POWER(Upgrades!$U$16,H348),1)*IF(Upgrades!$T$18="Brown Dwarf",POWER(Upgrades!$U$18,J348),1)*IF(Upgrades!$T$19="Brown Dwarf",POWER(Upgrades!$U$19,K348),1)*IF(Upgrades!$T$20="Brown Dwarf",POWER(Upgrades!$U$20,L348),1)*IF(Upgrades!$T$21="Brown Dwarf",POWER(Upgrades!$U$21,M348),1))*POWER(Upgrades!$P$13,E348)*POWER(Upgrades!$P$14,F348)*POWER(Upgrades!$P$15,G348)*POWER(Upgrades!$P$16,H348)*POWER(Upgrades!$P$17,I348)*POWER(Upgrades!$P$18,J348)*POWER(Upgrades!$P$19,K348)*POWER(Upgrades!$P$20,L348)*POWER(Upgrades!$P$21,M348)*$F$6*60</f>
        <v/>
      </c>
      <c r="AF348" s="27" t="n">
        <v>0</v>
      </c>
      <c r="AG348" s="27" t="n">
        <v>0</v>
      </c>
      <c r="AH348" s="27" t="n">
        <v>0</v>
      </c>
      <c r="AI348" s="27">
        <f>(IF(M348=0,0,(Upgrades!$G$21+M348*Upgrades!$H$21)*POWER(Upgrades!$I$21,M348)))*(IF(Upgrades!$T$13="Moving Group",POWER(Upgrades!$U$13,E348),1)*IF(Upgrades!$T$14="Moving Group",POWER(Upgrades!$U$14,F348),1)*IF(Upgrades!$T$15="Moving Group",POWER(Upgrades!$U$15,G348),1)*IF(Upgrades!$T$16="Moving Group",POWER(Upgrades!$U$16,H348),1)*IF(Upgrades!$T$17="Moving Group",POWER(Upgrades!$U$17,I348),1)*IF(Upgrades!$T$18="Moving Group",POWER(Upgrades!$U$18,J348),1)*IF(Upgrades!$T$19="Moving Group",POWER(Upgrades!$U$19,K348),1)*IF(Upgrades!$T$20="Moving Group",POWER(Upgrades!$U$20,L348),1))*POWER(Upgrades!$P$13,E348)*POWER(Upgrades!$P$14,F348)*POWER(Upgrades!$P$15,G348)*POWER(Upgrades!$P$16,H348)*POWER(Upgrades!$P$17,I348)*POWER(Upgrades!$P$18,J348)*POWER(Upgrades!$P$19,K348)*POWER(Upgrades!$P$20,L348)*POWER(Upgrades!$P$21,M348)*$F$6*60</f>
        <v/>
      </c>
      <c r="AJ348" s="27">
        <f>$C$6*60</f>
        <v/>
      </c>
      <c r="AK348" s="22">
        <f>IF(E348&gt;=Upgrades!$E$13,"",Upgrades!$C$13*POWER(Upgrades!$D$13,E348))</f>
        <v/>
      </c>
      <c r="AL348" s="22">
        <f>IF(F348&gt;=Upgrades!$E$14,"",Upgrades!$C$14*POWER(Upgrades!$D$14,F348))</f>
        <v/>
      </c>
      <c r="AM348" s="22">
        <f>IF(G348&gt;=Upgrades!$E$15,"",Upgrades!$C$15*POWER(Upgrades!$D$15,G348))</f>
        <v/>
      </c>
      <c r="AN348" s="22">
        <f>IF(H348&gt;=Upgrades!$E$16,"",Upgrades!$C$16*POWER(Upgrades!$D$16,H348))</f>
        <v/>
      </c>
      <c r="AO348" s="22">
        <f>IF(I348&gt;=Upgrades!$E$17,"",Upgrades!$C$17*POWER(Upgrades!$D$17,I348))</f>
        <v/>
      </c>
      <c r="AP348" s="22">
        <f>IF(J348&gt;=Upgrades!$E$18,"",Upgrades!$C$18*POWER(Upgrades!$D$18,J348))</f>
        <v/>
      </c>
      <c r="AQ348" s="22">
        <f>IF(K348&gt;=Upgrades!$E$19,"",Upgrades!$C$19*POWER(Upgrades!$D$19,K348))</f>
        <v/>
      </c>
      <c r="AR348" s="22">
        <f>IF(L348&gt;=Upgrades!$E$20,"",Upgrades!$C$20*POWER(Upgrades!$D$20,L348))</f>
        <v/>
      </c>
      <c r="AS348" s="22">
        <f>IF(M348&gt;=Upgrades!$E$21,"",Upgrades!$C$21*POWER(Upgrades!$D$21,M348))</f>
        <v/>
      </c>
      <c r="AT348" s="26">
        <f>IF(AND(D348&gt;=Parameters!$B$18*Parameters!$B$19,(I348&gt;=Upgrades!$E$17)*(M348&gt;=Upgrades!$E$21)=1,N348=0),1,"")</f>
        <v/>
      </c>
      <c r="AU348" s="26">
        <f>IF(AND(D348&gt;=Parameters!$B$18*Parameters!$B$19,N348=0),1,"")</f>
        <v/>
      </c>
      <c r="AV348" s="22">
        <f>MIN(IF(ISNUMBER(AP348),AP348,9E15),IF(ISNUMBER(AQ348),AQ348,9E15),IF(ISNUMBER(AR348),AR348,9E15),IF(ISNUMBER(AS348),AS348,9E15))</f>
        <v/>
      </c>
      <c r="AW348" s="22">
        <f>MIN(IF(ISNUMBER(AK348),AK348,9E15),IF(ISNUMBER(AL348),AL348,9E15),IF(ISNUMBER(AM348),AM348,9E15),IF(ISNUMBER(AN348),AN348,9E15),IF(ISNUMBER(AO348),AO348,9E15))</f>
        <v/>
      </c>
      <c r="AX348" s="29">
        <f>IF(BD348&gt;Parameters!$B$21*(MAX(IF(AND(NOT(AND(AU348=1,AT348&lt;&gt;1)),ISNUMBER(AK348),AK348&lt;=(C348+T348)),AY348,0),IF(AND(NOT(AND(AU348=1,AT348&lt;&gt;1)),ISNUMBER(AL348),AL348&lt;=(C348+T348)),AZ348,0),IF(AND(NOT(AND(AU348=1,AT348&lt;&gt;1)),ISNUMBER(AM348),AM348&lt;=(C348+T348)),BA348,0),IF(AND(NOT(AND(AU348=1,AT348&lt;&gt;1)),ISNUMBER(AN348),AN348&lt;=(C348+T348)),BB348,0),IF(AND(ISNUMBER(AO348),AO348&lt;=(C348+T348)),BC348,0))),TRUE,FALSE)</f>
        <v/>
      </c>
      <c r="AY348" s="32">
        <f>IFERROR(Upgrades!$H$13*(POWER(Upgrades!$P$13,E348)*POWER(Upgrades!$P$14,F348)*POWER(Upgrades!$P$15,G348)*POWER(Upgrades!$P$16,H348)*POWER(Upgrades!$P$17,I348)*POWER(Upgrades!$P$18,J348)*POWER(Upgrades!$P$19,K348)*POWER(Upgrades!$P$20,L348)*POWER(Upgrades!$P$21,M348))*(IF(Upgrades!$T$14="Stellar Kinematics",POWER(Upgrades!$U$14,F348),1)*IF(Upgrades!$T$15="Stellar Kinematics",POWER(Upgrades!$U$15,G348),1)*IF(Upgrades!$T$16="Stellar Kinematics",POWER(Upgrades!$U$16,H348),1)*IF(Upgrades!$T$17="Stellar Kinematics",POWER(Upgrades!$U$17,I348),1)*IF(Upgrades!$T$18="Stellar Kinematics",POWER(Upgrades!$U$18,J348),1)*IF(Upgrades!$T$19="Stellar Kinematics",POWER(Upgrades!$U$19,K348),1)*IF(Upgrades!$T$20="Stellar Kinematics",POWER(Upgrades!$U$20,L348),1)*IF(Upgrades!$T$21="Stellar Kinematics",POWER(Upgrades!$U$21,M348),1))*$F$6/AK348,0)</f>
        <v/>
      </c>
      <c r="AZ348" s="32">
        <f>IFERROR(Upgrades!$H$14*(POWER(Upgrades!$P$13,E348)*POWER(Upgrades!$P$14,F348)*POWER(Upgrades!$P$15,G348)*POWER(Upgrades!$P$16,H348)*POWER(Upgrades!$P$17,I348)*POWER(Upgrades!$P$18,J348)*POWER(Upgrades!$P$19,K348)*POWER(Upgrades!$P$20,L348)*POWER(Upgrades!$P$21,M348))*(IF(Upgrades!$T$13="Local Bubble",POWER(Upgrades!$U$13,E348),1)*IF(Upgrades!$T$15="Local Bubble",POWER(Upgrades!$U$15,G348),1)*IF(Upgrades!$T$16="Local Bubble",POWER(Upgrades!$U$16,H348),1)*IF(Upgrades!$T$17="Local Bubble",POWER(Upgrades!$U$17,I348),1)*IF(Upgrades!$T$18="Local Bubble",POWER(Upgrades!$U$18,J348),1)*IF(Upgrades!$T$19="Local Bubble",POWER(Upgrades!$U$19,K348),1)*IF(Upgrades!$T$20="Local Bubble",POWER(Upgrades!$U$20,L348),1)*IF(Upgrades!$T$21="Local Bubble",POWER(Upgrades!$U$21,M348),1))*$F$6/AL348,0)</f>
        <v/>
      </c>
      <c r="BA348" s="32">
        <f>IFERROR(Upgrades!$K$15*(POWER(Upgrades!$Q$13,E348)*POWER(Upgrades!$Q$14,F348)*POWER(Upgrades!$Q$15,G348)*POWER(Upgrades!$Q$16,H348)*POWER(Upgrades!$Q$17,I348)*POWER(Upgrades!$Q$18,J348)*POWER(Upgrades!$Q$19,K348)*POWER(Upgrades!$Q$20,L348)*POWER(Upgrades!$Q$21,M348))*(IF(Upgrades!$T$13="Microlensing",POWER(Upgrades!$U$13,E348),1)*IF(Upgrades!$T$14="Microlensing",POWER(Upgrades!$U$14,F348),1)*IF(Upgrades!$T$16="Microlensing",POWER(Upgrades!$U$16,H348),1)*IF(Upgrades!$T$17="Microlensing",POWER(Upgrades!$U$17,I348),1)*IF(Upgrades!$T$18="Microlensing",POWER(Upgrades!$U$18,J348),1)*IF(Upgrades!$T$19="Microlensing",POWER(Upgrades!$U$19,K348),1)*IF(Upgrades!$T$20="Microlensing",POWER(Upgrades!$U$20,L348),1)*IF(Upgrades!$T$21="Microlensing",POWER(Upgrades!$U$21,M348),1))*$G$6*(Parameters!$B$10/60*Parameters!$B$11+Q348)/AM348,0)</f>
        <v/>
      </c>
      <c r="BB348" s="32">
        <f>IFERROR((Upgrades!$N$16*(POWER(Upgrades!$R$13,E348)*POWER(Upgrades!$R$14,F348)*POWER(Upgrades!$R$15,G348)*POWER(Upgrades!$R$16,H348)*POWER(Upgrades!$R$17,I348)*POWER(Upgrades!$R$18,J348)*POWER(Upgrades!$R$19,K348)*POWER(Upgrades!$R$20,L348)*POWER(Upgrades!$R$21,M348))*(IF(Upgrades!$T$13="Roche Lobe Overflow",POWER(Upgrades!$U$13,E348),1)*IF(Upgrades!$T$14="Roche Lobe Overflow",POWER(Upgrades!$U$14,F348),1)*IF(Upgrades!$T$15="Roche Lobe Overflow",POWER(Upgrades!$U$15,G348),1)*IF(Upgrades!$T$17="Roche Lobe Overflow",POWER(Upgrades!$U$17,I348),1)*IF(Upgrades!$T$18="Roche Lobe Overflow",POWER(Upgrades!$U$18,J348),1)*IF(Upgrades!$T$19="Roche Lobe Overflow",POWER(Upgrades!$U$19,K348),1)*IF(Upgrades!$T$20="Roche Lobe Overflow",POWER(Upgrades!$U$20,L348),1)*IF(Upgrades!$T$21="Roche Lobe Overflow",POWER(Upgrades!$U$21,M348),1))*$H$6*O348+((IF(F348=0,0,(Upgrades!$G$14+F348*Upgrades!$H$14)*POWER(Upgrades!$I$14,F348)))*(IF(Upgrades!$T$13="Local Bubble",POWER(Upgrades!$U$13,E348),1)*IF(Upgrades!$T$15="Local Bubble",POWER(Upgrades!$U$15,G348),1)*IF(Upgrades!$T$16="Local Bubble",POWER(Upgrades!$U$16,H348),1)*IF(Upgrades!$T$17="Local Bubble",POWER(Upgrades!$U$17,I348),1)*IF(Upgrades!$T$18="Local Bubble",POWER(Upgrades!$U$18,J348),1)*IF(Upgrades!$T$19="Local Bubble",POWER(Upgrades!$U$19,K348),1)*IF(Upgrades!$T$20="Local Bubble",POWER(Upgrades!$U$20,L348),1)*IF(Upgrades!$T$21="Local Bubble",POWER(Upgrades!$U$21,M348),1))*POWER(Upgrades!$P$13,E348)*POWER(Upgrades!$P$14,F348)*POWER(Upgrades!$P$15,G348)*POWER(Upgrades!$P$16,H348)*POWER(Upgrades!$P$17,I348)*POWER(Upgrades!$P$18,J348)*POWER(Upgrades!$P$19,K348)*POWER(Upgrades!$P$20,L348)*POWER(Upgrades!$P$21,M348)*$F$6)*0.05)/AN348,0)</f>
        <v/>
      </c>
      <c r="BC348" s="32">
        <f>IFERROR((Upgrades!$H$17*(POWER(Upgrades!$P$13,E348)*POWER(Upgrades!$P$14,F348)*POWER(Upgrades!$P$15,G348)*POWER(Upgrades!$P$16,H348)*POWER(Upgrades!$P$17,I348)*POWER(Upgrades!$P$18,J348)*POWER(Upgrades!$P$19,K348)*POWER(Upgrades!$P$20,L348)*POWER(Upgrades!$P$21,M348))*(IF(Upgrades!$T$13="Brown Dwarf",POWER(Upgrades!$U$13,E348),1)*IF(Upgrades!$T$14="Brown Dwarf",POWER(Upgrades!$U$14,F348),1)*IF(Upgrades!$T$15="Brown Dwarf",POWER(Upgrades!$U$15,G348),1)*IF(Upgrades!$T$16="Brown Dwarf",POWER(Upgrades!$U$16,H348),1)*IF(Upgrades!$T$18="Brown Dwarf",POWER(Upgrades!$U$18,J348),1)*IF(Upgrades!$T$19="Brown Dwarf",POWER(Upgrades!$U$19,K348),1)*IF(Upgrades!$T$20="Brown Dwarf",POWER(Upgrades!$U$20,L348),1)*IF(Upgrades!$T$21="Brown Dwarf",POWER(Upgrades!$U$21,M348),1))*$F$6+(((IF(H348=0,0,(Upgrades!$M$16+H348*Upgrades!$N$16)*POWER(Upgrades!$O$16,H348)))*(IF(Upgrades!$T$13="Roche Lobe Overflow",POWER(Upgrades!$U$13,E348),1)*IF(Upgrades!$T$14="Roche Lobe Overflow",POWER(Upgrades!$U$14,F348),1)*IF(Upgrades!$T$15="Roche Lobe Overflow",POWER(Upgrades!$U$15,G348),1)*IF(Upgrades!$T$17="Roche Lobe Overflow",POWER(Upgrades!$U$17,I348),1)*IF(Upgrades!$T$18="Roche Lobe Overflow",POWER(Upgrades!$U$18,J348),1)*IF(Upgrades!$T$19="Roche Lobe Overflow",POWER(Upgrades!$U$19,K348),1)*IF(Upgrades!$T$20="Roche Lobe Overflow",POWER(Upgrades!$U$20,L348),1)*IF(Upgrades!$T$21="Roche Lobe Overflow",POWER(Upgrades!$U$21,M348),1))*POWER(Upgrades!$R$13,E348)*POWER(Upgrades!$R$14,F348)*POWER(Upgrades!$R$15,G348)*POWER(Upgrades!$R$16,H348)*POWER(Upgrades!$R$17,I348)*POWER(Upgrades!$R$18,J348)*POWER(Upgrades!$R$19,K348)*POWER(Upgrades!$R$20,L348)*POWER(Upgrades!$R$21,M348)*$H$6)*O348)*0.10)/AO348,0)</f>
        <v/>
      </c>
      <c r="BD348" s="32">
        <f>MAX(IF(J348&gt;0,0,IFERROR(0.5*((IF(G348=0,0,(Upgrades!$J$15+G348*Upgrades!$K$15)*POWER(Upgrades!$L$15,G348)))*(IF(Upgrades!$T$13="Microlensing",POWER(Upgrades!$U$13,E348),1)*IF(Upgrades!$T$14="Microlensing",POWER(Upgrades!$U$14,F348),1)*IF(Upgrades!$T$16="Microlensing",POWER(Upgrades!$U$16,H348),1)*IF(Upgrades!$T$17="Microlensing",POWER(Upgrades!$U$17,I348),1)*IF(Upgrades!$T$18="Microlensing",POWER(Upgrades!$U$18,J348),1)*IF(Upgrades!$T$19="Microlensing",POWER(Upgrades!$U$19,K348),1)*IF(Upgrades!$T$20="Microlensing",POWER(Upgrades!$U$20,L348),1)*IF(Upgrades!$T$21="Microlensing",POWER(Upgrades!$U$21,M348),1))*(POWER(Upgrades!$Q$13,E348)*POWER(Upgrades!$Q$14,F348)*POWER(Upgrades!$Q$15,G348)*POWER(Upgrades!$Q$16,H348)*POWER(Upgrades!$Q$17,I348)*POWER(Upgrades!$Q$18,J348)*POWER(Upgrades!$Q$19,K348)*POWER(Upgrades!$Q$20,L348)*POWER(Upgrades!$Q$21,M348))*$G$6*(Parameters!$B$10/60*Parameters!$B$11+Q348))/Upgrades!$C$18,0)),IF(K348&gt;0,0,IFERROR(0.30*P348/Upgrades!$C$19,0)),IF(L348&gt;0,0,IFERROR(0.0001/Upgrades!$C$20,0)),IF(M348&gt;0,0,IFERROR((6.0*(POWER(Upgrades!$P$13,E348)*POWER(Upgrades!$P$14,F348)*POWER(Upgrades!$P$15,G348)*POWER(Upgrades!$P$16,H348)*POWER(Upgrades!$P$17,I348)*POWER(Upgrades!$P$18,J348)*POWER(Upgrades!$P$19,K348)*POWER(Upgrades!$P$20,L348)*POWER(Upgrades!$P$21,M348))*$F$6+0.20*O348*(Parameters!$B$10/60*Parameters!$B$11+Q348))/Upgrades!$C$21,0)),IF(AND(ISNUMBER(AK348),AK348&gt;(C348+T348)),AY348,0),IF(AND(ISNUMBER(AL348),AL348&gt;(C348+T348)),AZ348,0),IF(AND(ISNUMBER(AM348),AM348&gt;(C348+T348)),BA348,0),IF(AND(ISNUMBER(AN348),AN348&gt;(C348+T348)),BB348,0),IF(AND(ISNUMBER(AO348),AO348&gt;(C348+T348)),BC348,0))</f>
        <v/>
      </c>
      <c r="BE348" s="29">
        <f>IF(AT348=1,"transition",IF(MIN(IF(AND(J348=0,ISNUMBER(AP348),AP348&lt;=(C348+T348)),AP348,9E15),IF(AND(K348=0,ISNUMBER(AQ348),AQ348&lt;=(C348+T348)),AQ348,9E15),IF(AND(L348=0,ISNUMBER(AR348),AR348&lt;=(C348+T348)),AR348,9E15),IF(AND(M348=0,ISNUMBER(AS348),AS348&lt;=(C348+T348)),AS348,9E15))&lt;9E15,IF(AND(AND(J348=0,ISNUMBER(AP348),AP348&lt;=(C348+T348)),AP348=MIN(IF(AND(J348=0,ISNUMBER(AP348),AP348&lt;=(C348+T348)),AP348,9E15),IF(AND(K348=0,ISNUMBER(AQ348),AQ348&lt;=(C348+T348)),AQ348,9E15),IF(AND(L348=0,ISNUMBER(AR348),AR348&lt;=(C348+T348)),AR348,9E15),IF(AND(M348=0,ISNUMBER(AS348),AS348&lt;=(C348+T348)),AS348,9E15))),"BiP",IF(AND(AND(K348=0,ISNUMBER(AQ348),AQ348&lt;=(C348+T348)),AQ348=MIN(IF(AND(J348=0,ISNUMBER(AP348),AP348&lt;=(C348+T348)),AP348,9E15),IF(AND(K348=0,ISNUMBER(AQ348),AQ348&lt;=(C348+T348)),AQ348,9E15),IF(AND(L348=0,ISNUMBER(AR348),AR348&lt;=(C348+T348)),AR348,9E15),IF(AND(M348=0,ISNUMBER(AS348),AS348&lt;=(C348+T348)),AS348,9E15))),"PV",IF(AND(AND(L348=0,ISNUMBER(AR348),AR348&lt;=(C348+T348)),AR348=MIN(IF(AND(J348=0,ISNUMBER(AP348),AP348&lt;=(C348+T348)),AP348,9E15),IF(AND(K348=0,ISNUMBER(AQ348),AQ348&lt;=(C348+T348)),AQ348,9E15),IF(AND(L348=0,ISNUMBER(AR348),AR348&lt;=(C348+T348)),AR348,9E15),IF(AND(M348=0,ISNUMBER(AS348),AS348&lt;=(C348+T348)),AS348,9E15))),"OC","MG"))),IF(AX348=TRUE,"",IF(MAX(IF(AND(NOT(AND(AU348=1,AT348&lt;&gt;1)),ISNUMBER(AK348),AK348&lt;=(C348+T348)),AY348,0),IF(AND(NOT(AND(AU348=1,AT348&lt;&gt;1)),ISNUMBER(AL348),AL348&lt;=(C348+T348)),AZ348,0),IF(AND(NOT(AND(AU348=1,AT348&lt;&gt;1)),ISNUMBER(AM348),AM348&lt;=(C348+T348)),BA348,0),IF(AND(NOT(AND(AU348=1,AT348&lt;&gt;1)),ISNUMBER(AN348),AN348&lt;=(C348+T348)),BB348,0),IF(AND(ISNUMBER(AO348),AO348&lt;=(C348+T348)),BC348,0))&lt;=0,"",IF(AND(IF(AND(NOT(AND(AU348=1,AT348&lt;&gt;1)),ISNUMBER(AK348),AK348&lt;=(C348+T348)),AY348,0)&gt;0,IF(AND(NOT(AND(AU348=1,AT348&lt;&gt;1)),ISNUMBER(AK348),AK348&lt;=(C348+T348)),AY348,0)=MAX(IF(AND(NOT(AND(AU348=1,AT348&lt;&gt;1)),ISNUMBER(AK348),AK348&lt;=(C348+T348)),AY348,0),IF(AND(NOT(AND(AU348=1,AT348&lt;&gt;1)),ISNUMBER(AL348),AL348&lt;=(C348+T348)),AZ348,0),IF(AND(NOT(AND(AU348=1,AT348&lt;&gt;1)),ISNUMBER(AM348),AM348&lt;=(C348+T348)),BA348,0),IF(AND(NOT(AND(AU348=1,AT348&lt;&gt;1)),ISNUMBER(AN348),AN348&lt;=(C348+T348)),BB348,0),IF(AND(ISNUMBER(AO348),AO348&lt;=(C348+T348)),BC348,0))),"SK",IF(AND(IF(AND(NOT(AND(AU348=1,AT348&lt;&gt;1)),ISNUMBER(AL348),AL348&lt;=(C348+T348)),AZ348,0)&gt;0,IF(AND(NOT(AND(AU348=1,AT348&lt;&gt;1)),ISNUMBER(AL348),AL348&lt;=(C348+T348)),AZ348,0)=MAX(IF(AND(NOT(AND(AU348=1,AT348&lt;&gt;1)),ISNUMBER(AK348),AK348&lt;=(C348+T348)),AY348,0),IF(AND(NOT(AND(AU348=1,AT348&lt;&gt;1)),ISNUMBER(AL348),AL348&lt;=(C348+T348)),AZ348,0),IF(AND(NOT(AND(AU348=1,AT348&lt;&gt;1)),ISNUMBER(AM348),AM348&lt;=(C348+T348)),BA348,0),IF(AND(NOT(AND(AU348=1,AT348&lt;&gt;1)),ISNUMBER(AN348),AN348&lt;=(C348+T348)),BB348,0),IF(AND(ISNUMBER(AO348),AO348&lt;=(C348+T348)),BC348,0))),"LB",IF(AND(IF(AND(NOT(AND(AU348=1,AT348&lt;&gt;1)),ISNUMBER(AM348),AM348&lt;=(C348+T348)),BA348,0)&gt;0,IF(AND(NOT(AND(AU348=1,AT348&lt;&gt;1)),ISNUMBER(AM348),AM348&lt;=(C348+T348)),BA348,0)=MAX(IF(AND(NOT(AND(AU348=1,AT348&lt;&gt;1)),ISNUMBER(AK348),AK348&lt;=(C348+T348)),AY348,0),IF(AND(NOT(AND(AU348=1,AT348&lt;&gt;1)),ISNUMBER(AL348),AL348&lt;=(C348+T348)),AZ348,0),IF(AND(NOT(AND(AU348=1,AT348&lt;&gt;1)),ISNUMBER(AM348),AM348&lt;=(C348+T348)),BA348,0),IF(AND(NOT(AND(AU348=1,AT348&lt;&gt;1)),ISNUMBER(AN348),AN348&lt;=(C348+T348)),BB348,0),IF(AND(ISNUMBER(AO348),AO348&lt;=(C348+T348)),BC348,0))),"ML",IF(AND(IF(AND(NOT(AND(AU348=1,AT348&lt;&gt;1)),ISNUMBER(AN348),AN348&lt;=(C348+T348)),BB348,0)&gt;0,IF(AND(NOT(AND(AU348=1,AT348&lt;&gt;1)),ISNUMBER(AN348),AN348&lt;=(C348+T348)),BB348,0)=MAX(IF(AND(NOT(AND(AU348=1,AT348&lt;&gt;1)),ISNUMBER(AK348),AK348&lt;=(C348+T348)),AY348,0),IF(AND(NOT(AND(AU348=1,AT348&lt;&gt;1)),ISNUMBER(AL348),AL348&lt;=(C348+T348)),AZ348,0),IF(AND(NOT(AND(AU348=1,AT348&lt;&gt;1)),ISNUMBER(AM348),AM348&lt;=(C348+T348)),BA348,0),IF(AND(NOT(AND(AU348=1,AT348&lt;&gt;1)),ISNUMBER(AN348),AN348&lt;=(C348+T348)),BB348,0),IF(AND(ISNUMBER(AO348),AO348&lt;=(C348+T348)),BC348,0))),"RLO","BD"))))))))</f>
        <v/>
      </c>
    </row>
    <row r="349">
      <c r="A349" s="26" t="n">
        <v>338</v>
      </c>
      <c r="B349" s="27">
        <f>A349*10/60</f>
        <v/>
      </c>
      <c r="C349" s="22">
        <f>X348</f>
        <v/>
      </c>
      <c r="D349" s="27">
        <f>D348+W348</f>
        <v/>
      </c>
      <c r="E349" s="26">
        <f>E348+IF(U348="SK",1,0)</f>
        <v/>
      </c>
      <c r="F349" s="26">
        <f>F348+IF(U348="LB",1,0)</f>
        <v/>
      </c>
      <c r="G349" s="26">
        <f>G348+IF(U348="ML",1,0)</f>
        <v/>
      </c>
      <c r="H349" s="26">
        <f>H348+IF(U348="RLO",1,0)</f>
        <v/>
      </c>
      <c r="I349" s="26">
        <f>I348+IF(U348="BD",1,0)</f>
        <v/>
      </c>
      <c r="J349" s="26">
        <f>MAX(J348,IF(U348="BiP",1,0))</f>
        <v/>
      </c>
      <c r="K349" s="26">
        <f>MAX(K348,IF(U348="PV",1,0))</f>
        <v/>
      </c>
      <c r="L349" s="26">
        <f>MAX(L348,IF(U348="OC",1,0))</f>
        <v/>
      </c>
      <c r="M349" s="26">
        <f>MAX(M348,IF(U348="MG",1,0))</f>
        <v/>
      </c>
      <c r="N349" s="26">
        <f>MAX(N348,IF(U348="transition",1,0))</f>
        <v/>
      </c>
      <c r="O349" s="28">
        <f>(Parameters!$B$9+(IF(E349=0,0,(Upgrades!$J$13+E349*Upgrades!$K$13)*POWER(Upgrades!$L$13,E349)))*(IF(Upgrades!$T$14="Stellar Kinematics",POWER(Upgrades!$U$14,F349),1)*IF(Upgrades!$T$15="Stellar Kinematics",POWER(Upgrades!$U$15,G349),1)*IF(Upgrades!$T$16="Stellar Kinematics",POWER(Upgrades!$U$16,H349),1)*IF(Upgrades!$T$17="Stellar Kinematics",POWER(Upgrades!$U$17,I349),1)*IF(Upgrades!$T$18="Stellar Kinematics",POWER(Upgrades!$U$18,J349),1)*IF(Upgrades!$T$19="Stellar Kinematics",POWER(Upgrades!$U$19,K349),1)*IF(Upgrades!$T$20="Stellar Kinematics",POWER(Upgrades!$U$20,L349),1)*IF(Upgrades!$T$21="Stellar Kinematics",POWER(Upgrades!$U$21,M349),1))+(IF(F349=0,0,(Upgrades!$J$14+F349*Upgrades!$K$14)*POWER(Upgrades!$L$14,F349)))*(IF(Upgrades!$T$13="Local Bubble",POWER(Upgrades!$U$13,E349),1)*IF(Upgrades!$T$15="Local Bubble",POWER(Upgrades!$U$15,G349),1)*IF(Upgrades!$T$16="Local Bubble",POWER(Upgrades!$U$16,H349),1)*IF(Upgrades!$T$17="Local Bubble",POWER(Upgrades!$U$17,I349),1)*IF(Upgrades!$T$18="Local Bubble",POWER(Upgrades!$U$18,J349),1)*IF(Upgrades!$T$19="Local Bubble",POWER(Upgrades!$U$19,K349),1)*IF(Upgrades!$T$20="Local Bubble",POWER(Upgrades!$U$20,L349),1)*IF(Upgrades!$T$21="Local Bubble",POWER(Upgrades!$U$21,M349),1))+(IF(G349=0,0,(Upgrades!$J$15+G349*Upgrades!$K$15)*POWER(Upgrades!$L$15,G349)))*(IF(Upgrades!$T$13="Microlensing",POWER(Upgrades!$U$13,E349),1)*IF(Upgrades!$T$14="Microlensing",POWER(Upgrades!$U$14,F349),1)*IF(Upgrades!$T$16="Microlensing",POWER(Upgrades!$U$16,H349),1)*IF(Upgrades!$T$17="Microlensing",POWER(Upgrades!$U$17,I349),1)*IF(Upgrades!$T$18="Microlensing",POWER(Upgrades!$U$18,J349),1)*IF(Upgrades!$T$19="Microlensing",POWER(Upgrades!$U$19,K349),1)*IF(Upgrades!$T$20="Microlensing",POWER(Upgrades!$U$20,L349),1)*IF(Upgrades!$T$21="Microlensing",POWER(Upgrades!$U$21,M349),1))+(IF(H349=0,0,(Upgrades!$J$16+H349*Upgrades!$K$16)*POWER(Upgrades!$L$16,H349)))*(IF(Upgrades!$T$13="Roche Lobe Overflow",POWER(Upgrades!$U$13,E349),1)*IF(Upgrades!$T$14="Roche Lobe Overflow",POWER(Upgrades!$U$14,F349),1)*IF(Upgrades!$T$15="Roche Lobe Overflow",POWER(Upgrades!$U$15,G349),1)*IF(Upgrades!$T$17="Roche Lobe Overflow",POWER(Upgrades!$U$17,I349),1)*IF(Upgrades!$T$18="Roche Lobe Overflow",POWER(Upgrades!$U$18,J349),1)*IF(Upgrades!$T$19="Roche Lobe Overflow",POWER(Upgrades!$U$19,K349),1)*IF(Upgrades!$T$20="Roche Lobe Overflow",POWER(Upgrades!$U$20,L349),1)*IF(Upgrades!$T$21="Roche Lobe Overflow",POWER(Upgrades!$U$21,M349),1))+(IF(I349=0,0,(Upgrades!$J$17+I349*Upgrades!$K$17)*POWER(Upgrades!$L$17,I349)))*(IF(Upgrades!$T$13="Brown Dwarf",POWER(Upgrades!$U$13,E349),1)*IF(Upgrades!$T$14="Brown Dwarf",POWER(Upgrades!$U$14,F349),1)*IF(Upgrades!$T$15="Brown Dwarf",POWER(Upgrades!$U$15,G349),1)*IF(Upgrades!$T$16="Brown Dwarf",POWER(Upgrades!$U$16,H349),1)*IF(Upgrades!$T$18="Brown Dwarf",POWER(Upgrades!$U$18,J349),1)*IF(Upgrades!$T$19="Brown Dwarf",POWER(Upgrades!$U$19,K349),1)*IF(Upgrades!$T$20="Brown Dwarf",POWER(Upgrades!$U$20,L349),1)*IF(Upgrades!$T$21="Brown Dwarf",POWER(Upgrades!$U$21,M349),1))+(IF(J349=0,0,(Upgrades!$J$18+J349*Upgrades!$K$18)*POWER(Upgrades!$L$18,J349)))*(IF(Upgrades!$T$13="Binary Partner",POWER(Upgrades!$U$13,E349),1)*IF(Upgrades!$T$14="Binary Partner",POWER(Upgrades!$U$14,F349),1)*IF(Upgrades!$T$15="Binary Partner",POWER(Upgrades!$U$15,G349),1)*IF(Upgrades!$T$16="Binary Partner",POWER(Upgrades!$U$16,H349),1)*IF(Upgrades!$T$17="Binary Partner",POWER(Upgrades!$U$17,I349),1)*IF(Upgrades!$T$19="Binary Partner",POWER(Upgrades!$U$19,K349),1)*IF(Upgrades!$T$20="Binary Partner",POWER(Upgrades!$U$20,L349),1)*IF(Upgrades!$T$21="Binary Partner",POWER(Upgrades!$U$21,M349),1))+(IF(K349=0,0,(Upgrades!$J$19+K349*Upgrades!$K$19)*POWER(Upgrades!$L$19,K349)))*(IF(Upgrades!$T$13="Peculiar Velocity",POWER(Upgrades!$U$13,E349),1)*IF(Upgrades!$T$14="Peculiar Velocity",POWER(Upgrades!$U$14,F349),1)*IF(Upgrades!$T$15="Peculiar Velocity",POWER(Upgrades!$U$15,G349),1)*IF(Upgrades!$T$16="Peculiar Velocity",POWER(Upgrades!$U$16,H349),1)*IF(Upgrades!$T$17="Peculiar Velocity",POWER(Upgrades!$U$17,I349),1)*IF(Upgrades!$T$18="Peculiar Velocity",POWER(Upgrades!$U$18,J349),1)*IF(Upgrades!$T$20="Peculiar Velocity",POWER(Upgrades!$U$20,L349),1)*IF(Upgrades!$T$21="Peculiar Velocity",POWER(Upgrades!$U$21,M349),1))+(IF(L349=0,0,(Upgrades!$J$20+L349*Upgrades!$K$20)*POWER(Upgrades!$L$20,L349)))*(IF(Upgrades!$T$13="Open Cluster",POWER(Upgrades!$U$13,E349),1)*IF(Upgrades!$T$14="Open Cluster",POWER(Upgrades!$U$14,F349),1)*IF(Upgrades!$T$15="Open Cluster",POWER(Upgrades!$U$15,G349),1)*IF(Upgrades!$T$16="Open Cluster",POWER(Upgrades!$U$16,H349),1)*IF(Upgrades!$T$17="Open Cluster",POWER(Upgrades!$U$17,I349),1)*IF(Upgrades!$T$18="Open Cluster",POWER(Upgrades!$U$18,J349),1)*IF(Upgrades!$T$19="Open Cluster",POWER(Upgrades!$U$19,K349),1)*IF(Upgrades!$T$21="Open Cluster",POWER(Upgrades!$U$21,M349),1))+(IF(M349=0,0,(Upgrades!$J$21+M349*Upgrades!$K$21)*POWER(Upgrades!$L$21,M349)))*(IF(Upgrades!$T$13="Moving Group",POWER(Upgrades!$U$13,E349),1)*IF(Upgrades!$T$14="Moving Group",POWER(Upgrades!$U$14,F349),1)*IF(Upgrades!$T$15="Moving Group",POWER(Upgrades!$U$15,G349),1)*IF(Upgrades!$T$16="Moving Group",POWER(Upgrades!$U$16,H349),1)*IF(Upgrades!$T$17="Moving Group",POWER(Upgrades!$U$17,I349),1)*IF(Upgrades!$T$18="Moving Group",POWER(Upgrades!$U$18,J349),1)*IF(Upgrades!$T$19="Moving Group",POWER(Upgrades!$U$19,K349),1)*IF(Upgrades!$T$20="Moving Group",POWER(Upgrades!$U$20,L349),1)))*POWER(Upgrades!$Q$13,E349)*POWER(Upgrades!$Q$14,F349)*POWER(Upgrades!$Q$15,G349)*POWER(Upgrades!$Q$16,H349)*POWER(Upgrades!$Q$17,I349)*POWER(Upgrades!$Q$18,J349)*POWER(Upgrades!$Q$19,K349)*POWER(Upgrades!$Q$20,L349)*POWER(Upgrades!$Q$21,M349)*$G$6+$D$6</f>
        <v/>
      </c>
      <c r="P349" s="28">
        <f>((IF(E349=0,0,(Upgrades!$G$13+E349*Upgrades!$H$13)*POWER(Upgrades!$I$13,E349)))*(IF(Upgrades!$T$14="Stellar Kinematics",POWER(Upgrades!$U$14,F349),1)*IF(Upgrades!$T$15="Stellar Kinematics",POWER(Upgrades!$U$15,G349),1)*IF(Upgrades!$T$16="Stellar Kinematics",POWER(Upgrades!$U$16,H349),1)*IF(Upgrades!$T$17="Stellar Kinematics",POWER(Upgrades!$U$17,I349),1)*IF(Upgrades!$T$18="Stellar Kinematics",POWER(Upgrades!$U$18,J349),1)*IF(Upgrades!$T$19="Stellar Kinematics",POWER(Upgrades!$U$19,K349),1)*IF(Upgrades!$T$20="Stellar Kinematics",POWER(Upgrades!$U$20,L349),1)*IF(Upgrades!$T$21="Stellar Kinematics",POWER(Upgrades!$U$21,M349),1))+(IF(F349=0,0,(Upgrades!$G$14+F349*Upgrades!$H$14)*POWER(Upgrades!$I$14,F349)))*(IF(Upgrades!$T$13="Local Bubble",POWER(Upgrades!$U$13,E349),1)*IF(Upgrades!$T$15="Local Bubble",POWER(Upgrades!$U$15,G349),1)*IF(Upgrades!$T$16="Local Bubble",POWER(Upgrades!$U$16,H349),1)*IF(Upgrades!$T$17="Local Bubble",POWER(Upgrades!$U$17,I349),1)*IF(Upgrades!$T$18="Local Bubble",POWER(Upgrades!$U$18,J349),1)*IF(Upgrades!$T$19="Local Bubble",POWER(Upgrades!$U$19,K349),1)*IF(Upgrades!$T$20="Local Bubble",POWER(Upgrades!$U$20,L349),1)*IF(Upgrades!$T$21="Local Bubble",POWER(Upgrades!$U$21,M349),1))+(IF(G349=0,0,(Upgrades!$G$15+G349*Upgrades!$H$15)*POWER(Upgrades!$I$15,G349)))*(IF(Upgrades!$T$13="Microlensing",POWER(Upgrades!$U$13,E349),1)*IF(Upgrades!$T$14="Microlensing",POWER(Upgrades!$U$14,F349),1)*IF(Upgrades!$T$16="Microlensing",POWER(Upgrades!$U$16,H349),1)*IF(Upgrades!$T$17="Microlensing",POWER(Upgrades!$U$17,I349),1)*IF(Upgrades!$T$18="Microlensing",POWER(Upgrades!$U$18,J349),1)*IF(Upgrades!$T$19="Microlensing",POWER(Upgrades!$U$19,K349),1)*IF(Upgrades!$T$20="Microlensing",POWER(Upgrades!$U$20,L349),1)*IF(Upgrades!$T$21="Microlensing",POWER(Upgrades!$U$21,M349),1))+(IF(H349=0,0,(Upgrades!$G$16+H349*Upgrades!$H$16)*POWER(Upgrades!$I$16,H349)))*(IF(Upgrades!$T$13="Roche Lobe Overflow",POWER(Upgrades!$U$13,E349),1)*IF(Upgrades!$T$14="Roche Lobe Overflow",POWER(Upgrades!$U$14,F349),1)*IF(Upgrades!$T$15="Roche Lobe Overflow",POWER(Upgrades!$U$15,G349),1)*IF(Upgrades!$T$17="Roche Lobe Overflow",POWER(Upgrades!$U$17,I349),1)*IF(Upgrades!$T$18="Roche Lobe Overflow",POWER(Upgrades!$U$18,J349),1)*IF(Upgrades!$T$19="Roche Lobe Overflow",POWER(Upgrades!$U$19,K349),1)*IF(Upgrades!$T$20="Roche Lobe Overflow",POWER(Upgrades!$U$20,L349),1)*IF(Upgrades!$T$21="Roche Lobe Overflow",POWER(Upgrades!$U$21,M349),1))+(IF(I349=0,0,(Upgrades!$G$17+I349*Upgrades!$H$17)*POWER(Upgrades!$I$17,I349)))*(IF(Upgrades!$T$13="Brown Dwarf",POWER(Upgrades!$U$13,E349),1)*IF(Upgrades!$T$14="Brown Dwarf",POWER(Upgrades!$U$14,F349),1)*IF(Upgrades!$T$15="Brown Dwarf",POWER(Upgrades!$U$15,G349),1)*IF(Upgrades!$T$16="Brown Dwarf",POWER(Upgrades!$U$16,H349),1)*IF(Upgrades!$T$18="Brown Dwarf",POWER(Upgrades!$U$18,J349),1)*IF(Upgrades!$T$19="Brown Dwarf",POWER(Upgrades!$U$19,K349),1)*IF(Upgrades!$T$20="Brown Dwarf",POWER(Upgrades!$U$20,L349),1)*IF(Upgrades!$T$21="Brown Dwarf",POWER(Upgrades!$U$21,M349),1))+(IF(J349=0,0,(Upgrades!$G$18+J349*Upgrades!$H$18)*POWER(Upgrades!$I$18,J349)))*(IF(Upgrades!$T$13="Binary Partner",POWER(Upgrades!$U$13,E349),1)*IF(Upgrades!$T$14="Binary Partner",POWER(Upgrades!$U$14,F349),1)*IF(Upgrades!$T$15="Binary Partner",POWER(Upgrades!$U$15,G349),1)*IF(Upgrades!$T$16="Binary Partner",POWER(Upgrades!$U$16,H349),1)*IF(Upgrades!$T$17="Binary Partner",POWER(Upgrades!$U$17,I349),1)*IF(Upgrades!$T$19="Binary Partner",POWER(Upgrades!$U$19,K349),1)*IF(Upgrades!$T$20="Binary Partner",POWER(Upgrades!$U$20,L349),1)*IF(Upgrades!$T$21="Binary Partner",POWER(Upgrades!$U$21,M349),1))+(IF(K349=0,0,(Upgrades!$G$19+K349*Upgrades!$H$19)*POWER(Upgrades!$I$19,K349)))*(IF(Upgrades!$T$13="Peculiar Velocity",POWER(Upgrades!$U$13,E349),1)*IF(Upgrades!$T$14="Peculiar Velocity",POWER(Upgrades!$U$14,F349),1)*IF(Upgrades!$T$15="Peculiar Velocity",POWER(Upgrades!$U$15,G349),1)*IF(Upgrades!$T$16="Peculiar Velocity",POWER(Upgrades!$U$16,H349),1)*IF(Upgrades!$T$17="Peculiar Velocity",POWER(Upgrades!$U$17,I349),1)*IF(Upgrades!$T$18="Peculiar Velocity",POWER(Upgrades!$U$18,J349),1)*IF(Upgrades!$T$20="Peculiar Velocity",POWER(Upgrades!$U$20,L349),1)*IF(Upgrades!$T$21="Peculiar Velocity",POWER(Upgrades!$U$21,M349),1))+(IF(L349=0,0,(Upgrades!$G$20+L349*Upgrades!$H$20)*POWER(Upgrades!$I$20,L349)))*(IF(Upgrades!$T$13="Open Cluster",POWER(Upgrades!$U$13,E349),1)*IF(Upgrades!$T$14="Open Cluster",POWER(Upgrades!$U$14,F349),1)*IF(Upgrades!$T$15="Open Cluster",POWER(Upgrades!$U$15,G349),1)*IF(Upgrades!$T$16="Open Cluster",POWER(Upgrades!$U$16,H349),1)*IF(Upgrades!$T$17="Open Cluster",POWER(Upgrades!$U$17,I349),1)*IF(Upgrades!$T$18="Open Cluster",POWER(Upgrades!$U$18,J349),1)*IF(Upgrades!$T$19="Open Cluster",POWER(Upgrades!$U$19,K349),1)*IF(Upgrades!$T$21="Open Cluster",POWER(Upgrades!$U$21,M349),1))+(IF(M349=0,0,(Upgrades!$G$21+M349*Upgrades!$H$21)*POWER(Upgrades!$I$21,M349)))*(IF(Upgrades!$T$13="Moving Group",POWER(Upgrades!$U$13,E349),1)*IF(Upgrades!$T$14="Moving Group",POWER(Upgrades!$U$14,F349),1)*IF(Upgrades!$T$15="Moving Group",POWER(Upgrades!$U$15,G349),1)*IF(Upgrades!$T$16="Moving Group",POWER(Upgrades!$U$16,H349),1)*IF(Upgrades!$T$17="Moving Group",POWER(Upgrades!$U$17,I349),1)*IF(Upgrades!$T$18="Moving Group",POWER(Upgrades!$U$18,J349),1)*IF(Upgrades!$T$19="Moving Group",POWER(Upgrades!$U$19,K349),1)*IF(Upgrades!$T$20="Moving Group",POWER(Upgrades!$U$20,L349),1)))*POWER(Upgrades!$P$13,E349)*POWER(Upgrades!$P$14,F349)*POWER(Upgrades!$P$15,G349)*POWER(Upgrades!$P$16,H349)*POWER(Upgrades!$P$17,I349)*POWER(Upgrades!$P$18,J349)*POWER(Upgrades!$P$19,K349)*POWER(Upgrades!$P$20,L349)*POWER(Upgrades!$P$21,M349)*$F$6+$C$6</f>
        <v/>
      </c>
      <c r="Q349" s="28">
        <f>((IF(E349=0,0,(Upgrades!$M$13+E349*Upgrades!$N$13)*POWER(Upgrades!$O$13,E349)))*(IF(Upgrades!$T$14="Stellar Kinematics",POWER(Upgrades!$U$14,F349),1)*IF(Upgrades!$T$15="Stellar Kinematics",POWER(Upgrades!$U$15,G349),1)*IF(Upgrades!$T$16="Stellar Kinematics",POWER(Upgrades!$U$16,H349),1)*IF(Upgrades!$T$17="Stellar Kinematics",POWER(Upgrades!$U$17,I349),1)*IF(Upgrades!$T$18="Stellar Kinematics",POWER(Upgrades!$U$18,J349),1)*IF(Upgrades!$T$19="Stellar Kinematics",POWER(Upgrades!$U$19,K349),1)*IF(Upgrades!$T$20="Stellar Kinematics",POWER(Upgrades!$U$20,L349),1)*IF(Upgrades!$T$21="Stellar Kinematics",POWER(Upgrades!$U$21,M349),1))+(IF(F349=0,0,(Upgrades!$M$14+F349*Upgrades!$N$14)*POWER(Upgrades!$O$14,F349)))*(IF(Upgrades!$T$13="Local Bubble",POWER(Upgrades!$U$13,E349),1)*IF(Upgrades!$T$15="Local Bubble",POWER(Upgrades!$U$15,G349),1)*IF(Upgrades!$T$16="Local Bubble",POWER(Upgrades!$U$16,H349),1)*IF(Upgrades!$T$17="Local Bubble",POWER(Upgrades!$U$17,I349),1)*IF(Upgrades!$T$18="Local Bubble",POWER(Upgrades!$U$18,J349),1)*IF(Upgrades!$T$19="Local Bubble",POWER(Upgrades!$U$19,K349),1)*IF(Upgrades!$T$20="Local Bubble",POWER(Upgrades!$U$20,L349),1)*IF(Upgrades!$T$21="Local Bubble",POWER(Upgrades!$U$21,M349),1))+(IF(G349=0,0,(Upgrades!$M$15+G349*Upgrades!$N$15)*POWER(Upgrades!$O$15,G349)))*(IF(Upgrades!$T$13="Microlensing",POWER(Upgrades!$U$13,E349),1)*IF(Upgrades!$T$14="Microlensing",POWER(Upgrades!$U$14,F349),1)*IF(Upgrades!$T$16="Microlensing",POWER(Upgrades!$U$16,H349),1)*IF(Upgrades!$T$17="Microlensing",POWER(Upgrades!$U$17,I349),1)*IF(Upgrades!$T$18="Microlensing",POWER(Upgrades!$U$18,J349),1)*IF(Upgrades!$T$19="Microlensing",POWER(Upgrades!$U$19,K349),1)*IF(Upgrades!$T$20="Microlensing",POWER(Upgrades!$U$20,L349),1)*IF(Upgrades!$T$21="Microlensing",POWER(Upgrades!$U$21,M349),1))+(IF(H349=0,0,(Upgrades!$M$16+H349*Upgrades!$N$16)*POWER(Upgrades!$O$16,H349)))*(IF(Upgrades!$T$13="Roche Lobe Overflow",POWER(Upgrades!$U$13,E349),1)*IF(Upgrades!$T$14="Roche Lobe Overflow",POWER(Upgrades!$U$14,F349),1)*IF(Upgrades!$T$15="Roche Lobe Overflow",POWER(Upgrades!$U$15,G349),1)*IF(Upgrades!$T$17="Roche Lobe Overflow",POWER(Upgrades!$U$17,I349),1)*IF(Upgrades!$T$18="Roche Lobe Overflow",POWER(Upgrades!$U$18,J349),1)*IF(Upgrades!$T$19="Roche Lobe Overflow",POWER(Upgrades!$U$19,K349),1)*IF(Upgrades!$T$20="Roche Lobe Overflow",POWER(Upgrades!$U$20,L349),1)*IF(Upgrades!$T$21="Roche Lobe Overflow",POWER(Upgrades!$U$21,M349),1))+(IF(I349=0,0,(Upgrades!$M$17+I349*Upgrades!$N$17)*POWER(Upgrades!$O$17,I349)))*(IF(Upgrades!$T$13="Brown Dwarf",POWER(Upgrades!$U$13,E349),1)*IF(Upgrades!$T$14="Brown Dwarf",POWER(Upgrades!$U$14,F349),1)*IF(Upgrades!$T$15="Brown Dwarf",POWER(Upgrades!$U$15,G349),1)*IF(Upgrades!$T$16="Brown Dwarf",POWER(Upgrades!$U$16,H349),1)*IF(Upgrades!$T$18="Brown Dwarf",POWER(Upgrades!$U$18,J349),1)*IF(Upgrades!$T$19="Brown Dwarf",POWER(Upgrades!$U$19,K349),1)*IF(Upgrades!$T$20="Brown Dwarf",POWER(Upgrades!$U$20,L349),1)*IF(Upgrades!$T$21="Brown Dwarf",POWER(Upgrades!$U$21,M349),1))+(IF(J349=0,0,(Upgrades!$M$18+J349*Upgrades!$N$18)*POWER(Upgrades!$O$18,J349)))*(IF(Upgrades!$T$13="Binary Partner",POWER(Upgrades!$U$13,E349),1)*IF(Upgrades!$T$14="Binary Partner",POWER(Upgrades!$U$14,F349),1)*IF(Upgrades!$T$15="Binary Partner",POWER(Upgrades!$U$15,G349),1)*IF(Upgrades!$T$16="Binary Partner",POWER(Upgrades!$U$16,H349),1)*IF(Upgrades!$T$17="Binary Partner",POWER(Upgrades!$U$17,I349),1)*IF(Upgrades!$T$19="Binary Partner",POWER(Upgrades!$U$19,K349),1)*IF(Upgrades!$T$20="Binary Partner",POWER(Upgrades!$U$20,L349),1)*IF(Upgrades!$T$21="Binary Partner",POWER(Upgrades!$U$21,M349),1))+(IF(K349=0,0,(Upgrades!$M$19+K349*Upgrades!$N$19)*POWER(Upgrades!$O$19,K349)))*(IF(Upgrades!$T$13="Peculiar Velocity",POWER(Upgrades!$U$13,E349),1)*IF(Upgrades!$T$14="Peculiar Velocity",POWER(Upgrades!$U$14,F349),1)*IF(Upgrades!$T$15="Peculiar Velocity",POWER(Upgrades!$U$15,G349),1)*IF(Upgrades!$T$16="Peculiar Velocity",POWER(Upgrades!$U$16,H349),1)*IF(Upgrades!$T$17="Peculiar Velocity",POWER(Upgrades!$U$17,I349),1)*IF(Upgrades!$T$18="Peculiar Velocity",POWER(Upgrades!$U$18,J349),1)*IF(Upgrades!$T$20="Peculiar Velocity",POWER(Upgrades!$U$20,L349),1)*IF(Upgrades!$T$21="Peculiar Velocity",POWER(Upgrades!$U$21,M349),1))+(IF(L349=0,0,(Upgrades!$M$20+L349*Upgrades!$N$20)*POWER(Upgrades!$O$20,L349)))*(IF(Upgrades!$T$13="Open Cluster",POWER(Upgrades!$U$13,E349),1)*IF(Upgrades!$T$14="Open Cluster",POWER(Upgrades!$U$14,F349),1)*IF(Upgrades!$T$15="Open Cluster",POWER(Upgrades!$U$15,G349),1)*IF(Upgrades!$T$16="Open Cluster",POWER(Upgrades!$U$16,H349),1)*IF(Upgrades!$T$17="Open Cluster",POWER(Upgrades!$U$17,I349),1)*IF(Upgrades!$T$18="Open Cluster",POWER(Upgrades!$U$18,J349),1)*IF(Upgrades!$T$19="Open Cluster",POWER(Upgrades!$U$19,K349),1)*IF(Upgrades!$T$21="Open Cluster",POWER(Upgrades!$U$21,M349),1))+(IF(M349=0,0,(Upgrades!$M$21+M349*Upgrades!$N$21)*POWER(Upgrades!$O$21,M349)))*(IF(Upgrades!$T$13="Moving Group",POWER(Upgrades!$U$13,E349),1)*IF(Upgrades!$T$14="Moving Group",POWER(Upgrades!$U$14,F349),1)*IF(Upgrades!$T$15="Moving Group",POWER(Upgrades!$U$15,G349),1)*IF(Upgrades!$T$16="Moving Group",POWER(Upgrades!$U$16,H349),1)*IF(Upgrades!$T$17="Moving Group",POWER(Upgrades!$U$17,I349),1)*IF(Upgrades!$T$18="Moving Group",POWER(Upgrades!$U$18,J349),1)*IF(Upgrades!$T$19="Moving Group",POWER(Upgrades!$U$19,K349),1)*IF(Upgrades!$T$20="Moving Group",POWER(Upgrades!$U$20,L349),1)))*POWER(Upgrades!$R$13,E349)*POWER(Upgrades!$R$14,F349)*POWER(Upgrades!$R$15,G349)*POWER(Upgrades!$R$16,H349)*POWER(Upgrades!$R$17,I349)*POWER(Upgrades!$R$18,J349)*POWER(Upgrades!$R$19,K349)*POWER(Upgrades!$R$20,L349)*POWER(Upgrades!$R$21,M349)*$H$6+$E$6</f>
        <v/>
      </c>
      <c r="R349" s="27">
        <f>IF(N349=1,0,O349*Parameters!$B$10/60*Parameters!$B$11*10)</f>
        <v/>
      </c>
      <c r="S349" s="27">
        <f>IF(N349=1,0,Q349*O349*10)</f>
        <v/>
      </c>
      <c r="T349" s="27">
        <f>IF(N349=1,0,R349+S349+P349*10)</f>
        <v/>
      </c>
      <c r="U349" s="33">
        <f>BE349</f>
        <v/>
      </c>
      <c r="V349" s="22">
        <f>IF(U349="",0,IF(U349="transition",0,IF(U349="SK",AK349,IF(U349="LB",AL349,IF(U349="ML",AM349,IF(U349="RLO",AN349,IF(U349="BD",AO349,IF(U349="BiP",AP349,IF(U349="PV",AQ349,IF(U349="OC",AR349,IF(U349="MG",AS349,0))))))))))</f>
        <v/>
      </c>
      <c r="W349" s="27">
        <f>IF(U349="BiP",Upgrades!$F$18,IF(U349="PV",Upgrades!$F$19,IF(U349="OC",Upgrades!$F$20,IF(U349="MG",Upgrades!$F$21,IF(U349="transition",-Parameters!$B$18*Parameters!$B$19,0)))))</f>
        <v/>
      </c>
      <c r="X349" s="22">
        <f>C349+T349-V349</f>
        <v/>
      </c>
      <c r="Y349" s="30">
        <f>O349*Parameters!$B$10/60*Parameters!$B$11+Q349*O349+P349</f>
        <v/>
      </c>
      <c r="Z349" s="34">
        <f>IF(U349="transition","→ Tier 3 (Galactic Arm)",IF(U349="MG","Moving Group — pocket drifts together",IF(U349="OC","Open Cluster acquired",IF(U349="PV","Peculiar Velocity — passive multiplier active",IF(U349="BiP","Binary Partner — pair bond formed",IF(AND(AU349=1,N349=0,AT349&lt;&gt;1),"Cohesion ready (waiting on completionists)","")))))) </f>
        <v/>
      </c>
      <c r="AA349" s="27">
        <f>(IF(E349=0,0,(Upgrades!$G$13+E349*Upgrades!$H$13)*POWER(Upgrades!$I$13,E349)))*(IF(Upgrades!$T$14="Stellar Kinematics",POWER(Upgrades!$U$14,F349),1)*IF(Upgrades!$T$15="Stellar Kinematics",POWER(Upgrades!$U$15,G349),1)*IF(Upgrades!$T$16="Stellar Kinematics",POWER(Upgrades!$U$16,H349),1)*IF(Upgrades!$T$17="Stellar Kinematics",POWER(Upgrades!$U$17,I349),1)*IF(Upgrades!$T$18="Stellar Kinematics",POWER(Upgrades!$U$18,J349),1)*IF(Upgrades!$T$19="Stellar Kinematics",POWER(Upgrades!$U$19,K349),1)*IF(Upgrades!$T$20="Stellar Kinematics",POWER(Upgrades!$U$20,L349),1)*IF(Upgrades!$T$21="Stellar Kinematics",POWER(Upgrades!$U$21,M349),1))*POWER(Upgrades!$P$13,E349)*POWER(Upgrades!$P$14,F349)*POWER(Upgrades!$P$15,G349)*POWER(Upgrades!$P$16,H349)*POWER(Upgrades!$P$17,I349)*POWER(Upgrades!$P$18,J349)*POWER(Upgrades!$P$19,K349)*POWER(Upgrades!$P$20,L349)*POWER(Upgrades!$P$21,M349)*$F$6*60</f>
        <v/>
      </c>
      <c r="AB349" s="27">
        <f>(IF(F349=0,0,(Upgrades!$G$14+F349*Upgrades!$H$14)*POWER(Upgrades!$I$14,F349)))*(IF(Upgrades!$T$13="Local Bubble",POWER(Upgrades!$U$13,E349),1)*IF(Upgrades!$T$15="Local Bubble",POWER(Upgrades!$U$15,G349),1)*IF(Upgrades!$T$16="Local Bubble",POWER(Upgrades!$U$16,H349),1)*IF(Upgrades!$T$17="Local Bubble",POWER(Upgrades!$U$17,I349),1)*IF(Upgrades!$T$18="Local Bubble",POWER(Upgrades!$U$18,J349),1)*IF(Upgrades!$T$19="Local Bubble",POWER(Upgrades!$U$19,K349),1)*IF(Upgrades!$T$20="Local Bubble",POWER(Upgrades!$U$20,L349),1)*IF(Upgrades!$T$21="Local Bubble",POWER(Upgrades!$U$21,M349),1))*POWER(Upgrades!$P$13,E349)*POWER(Upgrades!$P$14,F349)*POWER(Upgrades!$P$15,G349)*POWER(Upgrades!$P$16,H349)*POWER(Upgrades!$P$17,I349)*POWER(Upgrades!$P$18,J349)*POWER(Upgrades!$P$19,K349)*POWER(Upgrades!$P$20,L349)*POWER(Upgrades!$P$21,M349)*$F$6*60</f>
        <v/>
      </c>
      <c r="AC349" s="27">
        <f>(IF(G349=0,0,(Upgrades!$J$15+G349*Upgrades!$K$15)*POWER(Upgrades!$L$15,G349)))*(IF(Upgrades!$T$13="Microlensing",POWER(Upgrades!$U$13,E349),1)*IF(Upgrades!$T$14="Microlensing",POWER(Upgrades!$U$14,F349),1)*IF(Upgrades!$T$16="Microlensing",POWER(Upgrades!$U$16,H349),1)*IF(Upgrades!$T$17="Microlensing",POWER(Upgrades!$U$17,I349),1)*IF(Upgrades!$T$18="Microlensing",POWER(Upgrades!$U$18,J349),1)*IF(Upgrades!$T$19="Microlensing",POWER(Upgrades!$U$19,K349),1)*IF(Upgrades!$T$20="Microlensing",POWER(Upgrades!$U$20,L349),1)*IF(Upgrades!$T$21="Microlensing",POWER(Upgrades!$U$21,M349),1))*POWER(Upgrades!$Q$13,E349)*POWER(Upgrades!$Q$14,F349)*POWER(Upgrades!$Q$15,G349)*POWER(Upgrades!$Q$16,H349)*POWER(Upgrades!$Q$17,I349)*POWER(Upgrades!$Q$18,J349)*POWER(Upgrades!$Q$19,K349)*POWER(Upgrades!$Q$20,L349)*POWER(Upgrades!$Q$21,M349)*$G$6*(Parameters!$B$10*Parameters!$B$11+Q349*60)</f>
        <v/>
      </c>
      <c r="AD349" s="27">
        <f>(IF(H349=0,0,(Upgrades!$M$16+H349*Upgrades!$N$16)*POWER(Upgrades!$O$16,H349)))*(IF(Upgrades!$T$13="Roche Lobe Overflow",POWER(Upgrades!$U$13,E349),1)*IF(Upgrades!$T$14="Roche Lobe Overflow",POWER(Upgrades!$U$14,F349),1)*IF(Upgrades!$T$15="Roche Lobe Overflow",POWER(Upgrades!$U$15,G349),1)*IF(Upgrades!$T$17="Roche Lobe Overflow",POWER(Upgrades!$U$17,I349),1)*IF(Upgrades!$T$18="Roche Lobe Overflow",POWER(Upgrades!$U$18,J349),1)*IF(Upgrades!$T$19="Roche Lobe Overflow",POWER(Upgrades!$U$19,K349),1)*IF(Upgrades!$T$20="Roche Lobe Overflow",POWER(Upgrades!$U$20,L349),1)*IF(Upgrades!$T$21="Roche Lobe Overflow",POWER(Upgrades!$U$21,M349),1))*POWER(Upgrades!$R$13,E349)*POWER(Upgrades!$R$14,F349)*POWER(Upgrades!$R$15,G349)*POWER(Upgrades!$R$16,H349)*POWER(Upgrades!$R$17,I349)*POWER(Upgrades!$R$18,J349)*POWER(Upgrades!$R$19,K349)*POWER(Upgrades!$R$20,L349)*POWER(Upgrades!$R$21,M349)*$H$6*O349*60</f>
        <v/>
      </c>
      <c r="AE349" s="27">
        <f>(IF(I349=0,0,(Upgrades!$G$17+I349*Upgrades!$H$17)*POWER(Upgrades!$I$17,I349)))*(IF(Upgrades!$T$13="Brown Dwarf",POWER(Upgrades!$U$13,E349),1)*IF(Upgrades!$T$14="Brown Dwarf",POWER(Upgrades!$U$14,F349),1)*IF(Upgrades!$T$15="Brown Dwarf",POWER(Upgrades!$U$15,G349),1)*IF(Upgrades!$T$16="Brown Dwarf",POWER(Upgrades!$U$16,H349),1)*IF(Upgrades!$T$18="Brown Dwarf",POWER(Upgrades!$U$18,J349),1)*IF(Upgrades!$T$19="Brown Dwarf",POWER(Upgrades!$U$19,K349),1)*IF(Upgrades!$T$20="Brown Dwarf",POWER(Upgrades!$U$20,L349),1)*IF(Upgrades!$T$21="Brown Dwarf",POWER(Upgrades!$U$21,M349),1))*POWER(Upgrades!$P$13,E349)*POWER(Upgrades!$P$14,F349)*POWER(Upgrades!$P$15,G349)*POWER(Upgrades!$P$16,H349)*POWER(Upgrades!$P$17,I349)*POWER(Upgrades!$P$18,J349)*POWER(Upgrades!$P$19,K349)*POWER(Upgrades!$P$20,L349)*POWER(Upgrades!$P$21,M349)*$F$6*60</f>
        <v/>
      </c>
      <c r="AF349" s="27" t="n">
        <v>0</v>
      </c>
      <c r="AG349" s="27" t="n">
        <v>0</v>
      </c>
      <c r="AH349" s="27" t="n">
        <v>0</v>
      </c>
      <c r="AI349" s="27">
        <f>(IF(M349=0,0,(Upgrades!$G$21+M349*Upgrades!$H$21)*POWER(Upgrades!$I$21,M349)))*(IF(Upgrades!$T$13="Moving Group",POWER(Upgrades!$U$13,E349),1)*IF(Upgrades!$T$14="Moving Group",POWER(Upgrades!$U$14,F349),1)*IF(Upgrades!$T$15="Moving Group",POWER(Upgrades!$U$15,G349),1)*IF(Upgrades!$T$16="Moving Group",POWER(Upgrades!$U$16,H349),1)*IF(Upgrades!$T$17="Moving Group",POWER(Upgrades!$U$17,I349),1)*IF(Upgrades!$T$18="Moving Group",POWER(Upgrades!$U$18,J349),1)*IF(Upgrades!$T$19="Moving Group",POWER(Upgrades!$U$19,K349),1)*IF(Upgrades!$T$20="Moving Group",POWER(Upgrades!$U$20,L349),1))*POWER(Upgrades!$P$13,E349)*POWER(Upgrades!$P$14,F349)*POWER(Upgrades!$P$15,G349)*POWER(Upgrades!$P$16,H349)*POWER(Upgrades!$P$17,I349)*POWER(Upgrades!$P$18,J349)*POWER(Upgrades!$P$19,K349)*POWER(Upgrades!$P$20,L349)*POWER(Upgrades!$P$21,M349)*$F$6*60</f>
        <v/>
      </c>
      <c r="AJ349" s="27">
        <f>$C$6*60</f>
        <v/>
      </c>
      <c r="AK349" s="22">
        <f>IF(E349&gt;=Upgrades!$E$13,"",Upgrades!$C$13*POWER(Upgrades!$D$13,E349))</f>
        <v/>
      </c>
      <c r="AL349" s="22">
        <f>IF(F349&gt;=Upgrades!$E$14,"",Upgrades!$C$14*POWER(Upgrades!$D$14,F349))</f>
        <v/>
      </c>
      <c r="AM349" s="22">
        <f>IF(G349&gt;=Upgrades!$E$15,"",Upgrades!$C$15*POWER(Upgrades!$D$15,G349))</f>
        <v/>
      </c>
      <c r="AN349" s="22">
        <f>IF(H349&gt;=Upgrades!$E$16,"",Upgrades!$C$16*POWER(Upgrades!$D$16,H349))</f>
        <v/>
      </c>
      <c r="AO349" s="22">
        <f>IF(I349&gt;=Upgrades!$E$17,"",Upgrades!$C$17*POWER(Upgrades!$D$17,I349))</f>
        <v/>
      </c>
      <c r="AP349" s="22">
        <f>IF(J349&gt;=Upgrades!$E$18,"",Upgrades!$C$18*POWER(Upgrades!$D$18,J349))</f>
        <v/>
      </c>
      <c r="AQ349" s="22">
        <f>IF(K349&gt;=Upgrades!$E$19,"",Upgrades!$C$19*POWER(Upgrades!$D$19,K349))</f>
        <v/>
      </c>
      <c r="AR349" s="22">
        <f>IF(L349&gt;=Upgrades!$E$20,"",Upgrades!$C$20*POWER(Upgrades!$D$20,L349))</f>
        <v/>
      </c>
      <c r="AS349" s="22">
        <f>IF(M349&gt;=Upgrades!$E$21,"",Upgrades!$C$21*POWER(Upgrades!$D$21,M349))</f>
        <v/>
      </c>
      <c r="AT349" s="26">
        <f>IF(AND(D349&gt;=Parameters!$B$18*Parameters!$B$19,(I349&gt;=Upgrades!$E$17)*(M349&gt;=Upgrades!$E$21)=1,N349=0),1,"")</f>
        <v/>
      </c>
      <c r="AU349" s="26">
        <f>IF(AND(D349&gt;=Parameters!$B$18*Parameters!$B$19,N349=0),1,"")</f>
        <v/>
      </c>
      <c r="AV349" s="22">
        <f>MIN(IF(ISNUMBER(AP349),AP349,9E15),IF(ISNUMBER(AQ349),AQ349,9E15),IF(ISNUMBER(AR349),AR349,9E15),IF(ISNUMBER(AS349),AS349,9E15))</f>
        <v/>
      </c>
      <c r="AW349" s="22">
        <f>MIN(IF(ISNUMBER(AK349),AK349,9E15),IF(ISNUMBER(AL349),AL349,9E15),IF(ISNUMBER(AM349),AM349,9E15),IF(ISNUMBER(AN349),AN349,9E15),IF(ISNUMBER(AO349),AO349,9E15))</f>
        <v/>
      </c>
      <c r="AX349" s="29">
        <f>IF(BD349&gt;Parameters!$B$21*(MAX(IF(AND(NOT(AND(AU349=1,AT349&lt;&gt;1)),ISNUMBER(AK349),AK349&lt;=(C349+T349)),AY349,0),IF(AND(NOT(AND(AU349=1,AT349&lt;&gt;1)),ISNUMBER(AL349),AL349&lt;=(C349+T349)),AZ349,0),IF(AND(NOT(AND(AU349=1,AT349&lt;&gt;1)),ISNUMBER(AM349),AM349&lt;=(C349+T349)),BA349,0),IF(AND(NOT(AND(AU349=1,AT349&lt;&gt;1)),ISNUMBER(AN349),AN349&lt;=(C349+T349)),BB349,0),IF(AND(ISNUMBER(AO349),AO349&lt;=(C349+T349)),BC349,0))),TRUE,FALSE)</f>
        <v/>
      </c>
      <c r="AY349" s="32">
        <f>IFERROR(Upgrades!$H$13*(POWER(Upgrades!$P$13,E349)*POWER(Upgrades!$P$14,F349)*POWER(Upgrades!$P$15,G349)*POWER(Upgrades!$P$16,H349)*POWER(Upgrades!$P$17,I349)*POWER(Upgrades!$P$18,J349)*POWER(Upgrades!$P$19,K349)*POWER(Upgrades!$P$20,L349)*POWER(Upgrades!$P$21,M349))*(IF(Upgrades!$T$14="Stellar Kinematics",POWER(Upgrades!$U$14,F349),1)*IF(Upgrades!$T$15="Stellar Kinematics",POWER(Upgrades!$U$15,G349),1)*IF(Upgrades!$T$16="Stellar Kinematics",POWER(Upgrades!$U$16,H349),1)*IF(Upgrades!$T$17="Stellar Kinematics",POWER(Upgrades!$U$17,I349),1)*IF(Upgrades!$T$18="Stellar Kinematics",POWER(Upgrades!$U$18,J349),1)*IF(Upgrades!$T$19="Stellar Kinematics",POWER(Upgrades!$U$19,K349),1)*IF(Upgrades!$T$20="Stellar Kinematics",POWER(Upgrades!$U$20,L349),1)*IF(Upgrades!$T$21="Stellar Kinematics",POWER(Upgrades!$U$21,M349),1))*$F$6/AK349,0)</f>
        <v/>
      </c>
      <c r="AZ349" s="32">
        <f>IFERROR(Upgrades!$H$14*(POWER(Upgrades!$P$13,E349)*POWER(Upgrades!$P$14,F349)*POWER(Upgrades!$P$15,G349)*POWER(Upgrades!$P$16,H349)*POWER(Upgrades!$P$17,I349)*POWER(Upgrades!$P$18,J349)*POWER(Upgrades!$P$19,K349)*POWER(Upgrades!$P$20,L349)*POWER(Upgrades!$P$21,M349))*(IF(Upgrades!$T$13="Local Bubble",POWER(Upgrades!$U$13,E349),1)*IF(Upgrades!$T$15="Local Bubble",POWER(Upgrades!$U$15,G349),1)*IF(Upgrades!$T$16="Local Bubble",POWER(Upgrades!$U$16,H349),1)*IF(Upgrades!$T$17="Local Bubble",POWER(Upgrades!$U$17,I349),1)*IF(Upgrades!$T$18="Local Bubble",POWER(Upgrades!$U$18,J349),1)*IF(Upgrades!$T$19="Local Bubble",POWER(Upgrades!$U$19,K349),1)*IF(Upgrades!$T$20="Local Bubble",POWER(Upgrades!$U$20,L349),1)*IF(Upgrades!$T$21="Local Bubble",POWER(Upgrades!$U$21,M349),1))*$F$6/AL349,0)</f>
        <v/>
      </c>
      <c r="BA349" s="32">
        <f>IFERROR(Upgrades!$K$15*(POWER(Upgrades!$Q$13,E349)*POWER(Upgrades!$Q$14,F349)*POWER(Upgrades!$Q$15,G349)*POWER(Upgrades!$Q$16,H349)*POWER(Upgrades!$Q$17,I349)*POWER(Upgrades!$Q$18,J349)*POWER(Upgrades!$Q$19,K349)*POWER(Upgrades!$Q$20,L349)*POWER(Upgrades!$Q$21,M349))*(IF(Upgrades!$T$13="Microlensing",POWER(Upgrades!$U$13,E349),1)*IF(Upgrades!$T$14="Microlensing",POWER(Upgrades!$U$14,F349),1)*IF(Upgrades!$T$16="Microlensing",POWER(Upgrades!$U$16,H349),1)*IF(Upgrades!$T$17="Microlensing",POWER(Upgrades!$U$17,I349),1)*IF(Upgrades!$T$18="Microlensing",POWER(Upgrades!$U$18,J349),1)*IF(Upgrades!$T$19="Microlensing",POWER(Upgrades!$U$19,K349),1)*IF(Upgrades!$T$20="Microlensing",POWER(Upgrades!$U$20,L349),1)*IF(Upgrades!$T$21="Microlensing",POWER(Upgrades!$U$21,M349),1))*$G$6*(Parameters!$B$10/60*Parameters!$B$11+Q349)/AM349,0)</f>
        <v/>
      </c>
      <c r="BB349" s="32">
        <f>IFERROR((Upgrades!$N$16*(POWER(Upgrades!$R$13,E349)*POWER(Upgrades!$R$14,F349)*POWER(Upgrades!$R$15,G349)*POWER(Upgrades!$R$16,H349)*POWER(Upgrades!$R$17,I349)*POWER(Upgrades!$R$18,J349)*POWER(Upgrades!$R$19,K349)*POWER(Upgrades!$R$20,L349)*POWER(Upgrades!$R$21,M349))*(IF(Upgrades!$T$13="Roche Lobe Overflow",POWER(Upgrades!$U$13,E349),1)*IF(Upgrades!$T$14="Roche Lobe Overflow",POWER(Upgrades!$U$14,F349),1)*IF(Upgrades!$T$15="Roche Lobe Overflow",POWER(Upgrades!$U$15,G349),1)*IF(Upgrades!$T$17="Roche Lobe Overflow",POWER(Upgrades!$U$17,I349),1)*IF(Upgrades!$T$18="Roche Lobe Overflow",POWER(Upgrades!$U$18,J349),1)*IF(Upgrades!$T$19="Roche Lobe Overflow",POWER(Upgrades!$U$19,K349),1)*IF(Upgrades!$T$20="Roche Lobe Overflow",POWER(Upgrades!$U$20,L349),1)*IF(Upgrades!$T$21="Roche Lobe Overflow",POWER(Upgrades!$U$21,M349),1))*$H$6*O349+((IF(F349=0,0,(Upgrades!$G$14+F349*Upgrades!$H$14)*POWER(Upgrades!$I$14,F349)))*(IF(Upgrades!$T$13="Local Bubble",POWER(Upgrades!$U$13,E349),1)*IF(Upgrades!$T$15="Local Bubble",POWER(Upgrades!$U$15,G349),1)*IF(Upgrades!$T$16="Local Bubble",POWER(Upgrades!$U$16,H349),1)*IF(Upgrades!$T$17="Local Bubble",POWER(Upgrades!$U$17,I349),1)*IF(Upgrades!$T$18="Local Bubble",POWER(Upgrades!$U$18,J349),1)*IF(Upgrades!$T$19="Local Bubble",POWER(Upgrades!$U$19,K349),1)*IF(Upgrades!$T$20="Local Bubble",POWER(Upgrades!$U$20,L349),1)*IF(Upgrades!$T$21="Local Bubble",POWER(Upgrades!$U$21,M349),1))*POWER(Upgrades!$P$13,E349)*POWER(Upgrades!$P$14,F349)*POWER(Upgrades!$P$15,G349)*POWER(Upgrades!$P$16,H349)*POWER(Upgrades!$P$17,I349)*POWER(Upgrades!$P$18,J349)*POWER(Upgrades!$P$19,K349)*POWER(Upgrades!$P$20,L349)*POWER(Upgrades!$P$21,M349)*$F$6)*0.05)/AN349,0)</f>
        <v/>
      </c>
      <c r="BC349" s="32">
        <f>IFERROR((Upgrades!$H$17*(POWER(Upgrades!$P$13,E349)*POWER(Upgrades!$P$14,F349)*POWER(Upgrades!$P$15,G349)*POWER(Upgrades!$P$16,H349)*POWER(Upgrades!$P$17,I349)*POWER(Upgrades!$P$18,J349)*POWER(Upgrades!$P$19,K349)*POWER(Upgrades!$P$20,L349)*POWER(Upgrades!$P$21,M349))*(IF(Upgrades!$T$13="Brown Dwarf",POWER(Upgrades!$U$13,E349),1)*IF(Upgrades!$T$14="Brown Dwarf",POWER(Upgrades!$U$14,F349),1)*IF(Upgrades!$T$15="Brown Dwarf",POWER(Upgrades!$U$15,G349),1)*IF(Upgrades!$T$16="Brown Dwarf",POWER(Upgrades!$U$16,H349),1)*IF(Upgrades!$T$18="Brown Dwarf",POWER(Upgrades!$U$18,J349),1)*IF(Upgrades!$T$19="Brown Dwarf",POWER(Upgrades!$U$19,K349),1)*IF(Upgrades!$T$20="Brown Dwarf",POWER(Upgrades!$U$20,L349),1)*IF(Upgrades!$T$21="Brown Dwarf",POWER(Upgrades!$U$21,M349),1))*$F$6+(((IF(H349=0,0,(Upgrades!$M$16+H349*Upgrades!$N$16)*POWER(Upgrades!$O$16,H349)))*(IF(Upgrades!$T$13="Roche Lobe Overflow",POWER(Upgrades!$U$13,E349),1)*IF(Upgrades!$T$14="Roche Lobe Overflow",POWER(Upgrades!$U$14,F349),1)*IF(Upgrades!$T$15="Roche Lobe Overflow",POWER(Upgrades!$U$15,G349),1)*IF(Upgrades!$T$17="Roche Lobe Overflow",POWER(Upgrades!$U$17,I349),1)*IF(Upgrades!$T$18="Roche Lobe Overflow",POWER(Upgrades!$U$18,J349),1)*IF(Upgrades!$T$19="Roche Lobe Overflow",POWER(Upgrades!$U$19,K349),1)*IF(Upgrades!$T$20="Roche Lobe Overflow",POWER(Upgrades!$U$20,L349),1)*IF(Upgrades!$T$21="Roche Lobe Overflow",POWER(Upgrades!$U$21,M349),1))*POWER(Upgrades!$R$13,E349)*POWER(Upgrades!$R$14,F349)*POWER(Upgrades!$R$15,G349)*POWER(Upgrades!$R$16,H349)*POWER(Upgrades!$R$17,I349)*POWER(Upgrades!$R$18,J349)*POWER(Upgrades!$R$19,K349)*POWER(Upgrades!$R$20,L349)*POWER(Upgrades!$R$21,M349)*$H$6)*O349)*0.10)/AO349,0)</f>
        <v/>
      </c>
      <c r="BD349" s="32">
        <f>MAX(IF(J349&gt;0,0,IFERROR(0.5*((IF(G349=0,0,(Upgrades!$J$15+G349*Upgrades!$K$15)*POWER(Upgrades!$L$15,G349)))*(IF(Upgrades!$T$13="Microlensing",POWER(Upgrades!$U$13,E349),1)*IF(Upgrades!$T$14="Microlensing",POWER(Upgrades!$U$14,F349),1)*IF(Upgrades!$T$16="Microlensing",POWER(Upgrades!$U$16,H349),1)*IF(Upgrades!$T$17="Microlensing",POWER(Upgrades!$U$17,I349),1)*IF(Upgrades!$T$18="Microlensing",POWER(Upgrades!$U$18,J349),1)*IF(Upgrades!$T$19="Microlensing",POWER(Upgrades!$U$19,K349),1)*IF(Upgrades!$T$20="Microlensing",POWER(Upgrades!$U$20,L349),1)*IF(Upgrades!$T$21="Microlensing",POWER(Upgrades!$U$21,M349),1))*(POWER(Upgrades!$Q$13,E349)*POWER(Upgrades!$Q$14,F349)*POWER(Upgrades!$Q$15,G349)*POWER(Upgrades!$Q$16,H349)*POWER(Upgrades!$Q$17,I349)*POWER(Upgrades!$Q$18,J349)*POWER(Upgrades!$Q$19,K349)*POWER(Upgrades!$Q$20,L349)*POWER(Upgrades!$Q$21,M349))*$G$6*(Parameters!$B$10/60*Parameters!$B$11+Q349))/Upgrades!$C$18,0)),IF(K349&gt;0,0,IFERROR(0.30*P349/Upgrades!$C$19,0)),IF(L349&gt;0,0,IFERROR(0.0001/Upgrades!$C$20,0)),IF(M349&gt;0,0,IFERROR((6.0*(POWER(Upgrades!$P$13,E349)*POWER(Upgrades!$P$14,F349)*POWER(Upgrades!$P$15,G349)*POWER(Upgrades!$P$16,H349)*POWER(Upgrades!$P$17,I349)*POWER(Upgrades!$P$18,J349)*POWER(Upgrades!$P$19,K349)*POWER(Upgrades!$P$20,L349)*POWER(Upgrades!$P$21,M349))*$F$6+0.20*O349*(Parameters!$B$10/60*Parameters!$B$11+Q349))/Upgrades!$C$21,0)),IF(AND(ISNUMBER(AK349),AK349&gt;(C349+T349)),AY349,0),IF(AND(ISNUMBER(AL349),AL349&gt;(C349+T349)),AZ349,0),IF(AND(ISNUMBER(AM349),AM349&gt;(C349+T349)),BA349,0),IF(AND(ISNUMBER(AN349),AN349&gt;(C349+T349)),BB349,0),IF(AND(ISNUMBER(AO349),AO349&gt;(C349+T349)),BC349,0))</f>
        <v/>
      </c>
      <c r="BE349" s="29">
        <f>IF(AT349=1,"transition",IF(MIN(IF(AND(J349=0,ISNUMBER(AP349),AP349&lt;=(C349+T349)),AP349,9E15),IF(AND(K349=0,ISNUMBER(AQ349),AQ349&lt;=(C349+T349)),AQ349,9E15),IF(AND(L349=0,ISNUMBER(AR349),AR349&lt;=(C349+T349)),AR349,9E15),IF(AND(M349=0,ISNUMBER(AS349),AS349&lt;=(C349+T349)),AS349,9E15))&lt;9E15,IF(AND(AND(J349=0,ISNUMBER(AP349),AP349&lt;=(C349+T349)),AP349=MIN(IF(AND(J349=0,ISNUMBER(AP349),AP349&lt;=(C349+T349)),AP349,9E15),IF(AND(K349=0,ISNUMBER(AQ349),AQ349&lt;=(C349+T349)),AQ349,9E15),IF(AND(L349=0,ISNUMBER(AR349),AR349&lt;=(C349+T349)),AR349,9E15),IF(AND(M349=0,ISNUMBER(AS349),AS349&lt;=(C349+T349)),AS349,9E15))),"BiP",IF(AND(AND(K349=0,ISNUMBER(AQ349),AQ349&lt;=(C349+T349)),AQ349=MIN(IF(AND(J349=0,ISNUMBER(AP349),AP349&lt;=(C349+T349)),AP349,9E15),IF(AND(K349=0,ISNUMBER(AQ349),AQ349&lt;=(C349+T349)),AQ349,9E15),IF(AND(L349=0,ISNUMBER(AR349),AR349&lt;=(C349+T349)),AR349,9E15),IF(AND(M349=0,ISNUMBER(AS349),AS349&lt;=(C349+T349)),AS349,9E15))),"PV",IF(AND(AND(L349=0,ISNUMBER(AR349),AR349&lt;=(C349+T349)),AR349=MIN(IF(AND(J349=0,ISNUMBER(AP349),AP349&lt;=(C349+T349)),AP349,9E15),IF(AND(K349=0,ISNUMBER(AQ349),AQ349&lt;=(C349+T349)),AQ349,9E15),IF(AND(L349=0,ISNUMBER(AR349),AR349&lt;=(C349+T349)),AR349,9E15),IF(AND(M349=0,ISNUMBER(AS349),AS349&lt;=(C349+T349)),AS349,9E15))),"OC","MG"))),IF(AX349=TRUE,"",IF(MAX(IF(AND(NOT(AND(AU349=1,AT349&lt;&gt;1)),ISNUMBER(AK349),AK349&lt;=(C349+T349)),AY349,0),IF(AND(NOT(AND(AU349=1,AT349&lt;&gt;1)),ISNUMBER(AL349),AL349&lt;=(C349+T349)),AZ349,0),IF(AND(NOT(AND(AU349=1,AT349&lt;&gt;1)),ISNUMBER(AM349),AM349&lt;=(C349+T349)),BA349,0),IF(AND(NOT(AND(AU349=1,AT349&lt;&gt;1)),ISNUMBER(AN349),AN349&lt;=(C349+T349)),BB349,0),IF(AND(ISNUMBER(AO349),AO349&lt;=(C349+T349)),BC349,0))&lt;=0,"",IF(AND(IF(AND(NOT(AND(AU349=1,AT349&lt;&gt;1)),ISNUMBER(AK349),AK349&lt;=(C349+T349)),AY349,0)&gt;0,IF(AND(NOT(AND(AU349=1,AT349&lt;&gt;1)),ISNUMBER(AK349),AK349&lt;=(C349+T349)),AY349,0)=MAX(IF(AND(NOT(AND(AU349=1,AT349&lt;&gt;1)),ISNUMBER(AK349),AK349&lt;=(C349+T349)),AY349,0),IF(AND(NOT(AND(AU349=1,AT349&lt;&gt;1)),ISNUMBER(AL349),AL349&lt;=(C349+T349)),AZ349,0),IF(AND(NOT(AND(AU349=1,AT349&lt;&gt;1)),ISNUMBER(AM349),AM349&lt;=(C349+T349)),BA349,0),IF(AND(NOT(AND(AU349=1,AT349&lt;&gt;1)),ISNUMBER(AN349),AN349&lt;=(C349+T349)),BB349,0),IF(AND(ISNUMBER(AO349),AO349&lt;=(C349+T349)),BC349,0))),"SK",IF(AND(IF(AND(NOT(AND(AU349=1,AT349&lt;&gt;1)),ISNUMBER(AL349),AL349&lt;=(C349+T349)),AZ349,0)&gt;0,IF(AND(NOT(AND(AU349=1,AT349&lt;&gt;1)),ISNUMBER(AL349),AL349&lt;=(C349+T349)),AZ349,0)=MAX(IF(AND(NOT(AND(AU349=1,AT349&lt;&gt;1)),ISNUMBER(AK349),AK349&lt;=(C349+T349)),AY349,0),IF(AND(NOT(AND(AU349=1,AT349&lt;&gt;1)),ISNUMBER(AL349),AL349&lt;=(C349+T349)),AZ349,0),IF(AND(NOT(AND(AU349=1,AT349&lt;&gt;1)),ISNUMBER(AM349),AM349&lt;=(C349+T349)),BA349,0),IF(AND(NOT(AND(AU349=1,AT349&lt;&gt;1)),ISNUMBER(AN349),AN349&lt;=(C349+T349)),BB349,0),IF(AND(ISNUMBER(AO349),AO349&lt;=(C349+T349)),BC349,0))),"LB",IF(AND(IF(AND(NOT(AND(AU349=1,AT349&lt;&gt;1)),ISNUMBER(AM349),AM349&lt;=(C349+T349)),BA349,0)&gt;0,IF(AND(NOT(AND(AU349=1,AT349&lt;&gt;1)),ISNUMBER(AM349),AM349&lt;=(C349+T349)),BA349,0)=MAX(IF(AND(NOT(AND(AU349=1,AT349&lt;&gt;1)),ISNUMBER(AK349),AK349&lt;=(C349+T349)),AY349,0),IF(AND(NOT(AND(AU349=1,AT349&lt;&gt;1)),ISNUMBER(AL349),AL349&lt;=(C349+T349)),AZ349,0),IF(AND(NOT(AND(AU349=1,AT349&lt;&gt;1)),ISNUMBER(AM349),AM349&lt;=(C349+T349)),BA349,0),IF(AND(NOT(AND(AU349=1,AT349&lt;&gt;1)),ISNUMBER(AN349),AN349&lt;=(C349+T349)),BB349,0),IF(AND(ISNUMBER(AO349),AO349&lt;=(C349+T349)),BC349,0))),"ML",IF(AND(IF(AND(NOT(AND(AU349=1,AT349&lt;&gt;1)),ISNUMBER(AN349),AN349&lt;=(C349+T349)),BB349,0)&gt;0,IF(AND(NOT(AND(AU349=1,AT349&lt;&gt;1)),ISNUMBER(AN349),AN349&lt;=(C349+T349)),BB349,0)=MAX(IF(AND(NOT(AND(AU349=1,AT349&lt;&gt;1)),ISNUMBER(AK349),AK349&lt;=(C349+T349)),AY349,0),IF(AND(NOT(AND(AU349=1,AT349&lt;&gt;1)),ISNUMBER(AL349),AL349&lt;=(C349+T349)),AZ349,0),IF(AND(NOT(AND(AU349=1,AT349&lt;&gt;1)),ISNUMBER(AM349),AM349&lt;=(C349+T349)),BA349,0),IF(AND(NOT(AND(AU349=1,AT349&lt;&gt;1)),ISNUMBER(AN349),AN349&lt;=(C349+T349)),BB349,0),IF(AND(ISNUMBER(AO349),AO349&lt;=(C349+T349)),BC349,0))),"RLO","BD"))))))))</f>
        <v/>
      </c>
    </row>
    <row r="350">
      <c r="A350" s="26" t="n">
        <v>339</v>
      </c>
      <c r="B350" s="27">
        <f>A350*10/60</f>
        <v/>
      </c>
      <c r="C350" s="22">
        <f>X349</f>
        <v/>
      </c>
      <c r="D350" s="27">
        <f>D349+W349</f>
        <v/>
      </c>
      <c r="E350" s="26">
        <f>E349+IF(U349="SK",1,0)</f>
        <v/>
      </c>
      <c r="F350" s="26">
        <f>F349+IF(U349="LB",1,0)</f>
        <v/>
      </c>
      <c r="G350" s="26">
        <f>G349+IF(U349="ML",1,0)</f>
        <v/>
      </c>
      <c r="H350" s="26">
        <f>H349+IF(U349="RLO",1,0)</f>
        <v/>
      </c>
      <c r="I350" s="26">
        <f>I349+IF(U349="BD",1,0)</f>
        <v/>
      </c>
      <c r="J350" s="26">
        <f>MAX(J349,IF(U349="BiP",1,0))</f>
        <v/>
      </c>
      <c r="K350" s="26">
        <f>MAX(K349,IF(U349="PV",1,0))</f>
        <v/>
      </c>
      <c r="L350" s="26">
        <f>MAX(L349,IF(U349="OC",1,0))</f>
        <v/>
      </c>
      <c r="M350" s="26">
        <f>MAX(M349,IF(U349="MG",1,0))</f>
        <v/>
      </c>
      <c r="N350" s="26">
        <f>MAX(N349,IF(U349="transition",1,0))</f>
        <v/>
      </c>
      <c r="O350" s="28">
        <f>(Parameters!$B$9+(IF(E350=0,0,(Upgrades!$J$13+E350*Upgrades!$K$13)*POWER(Upgrades!$L$13,E350)))*(IF(Upgrades!$T$14="Stellar Kinematics",POWER(Upgrades!$U$14,F350),1)*IF(Upgrades!$T$15="Stellar Kinematics",POWER(Upgrades!$U$15,G350),1)*IF(Upgrades!$T$16="Stellar Kinematics",POWER(Upgrades!$U$16,H350),1)*IF(Upgrades!$T$17="Stellar Kinematics",POWER(Upgrades!$U$17,I350),1)*IF(Upgrades!$T$18="Stellar Kinematics",POWER(Upgrades!$U$18,J350),1)*IF(Upgrades!$T$19="Stellar Kinematics",POWER(Upgrades!$U$19,K350),1)*IF(Upgrades!$T$20="Stellar Kinematics",POWER(Upgrades!$U$20,L350),1)*IF(Upgrades!$T$21="Stellar Kinematics",POWER(Upgrades!$U$21,M350),1))+(IF(F350=0,0,(Upgrades!$J$14+F350*Upgrades!$K$14)*POWER(Upgrades!$L$14,F350)))*(IF(Upgrades!$T$13="Local Bubble",POWER(Upgrades!$U$13,E350),1)*IF(Upgrades!$T$15="Local Bubble",POWER(Upgrades!$U$15,G350),1)*IF(Upgrades!$T$16="Local Bubble",POWER(Upgrades!$U$16,H350),1)*IF(Upgrades!$T$17="Local Bubble",POWER(Upgrades!$U$17,I350),1)*IF(Upgrades!$T$18="Local Bubble",POWER(Upgrades!$U$18,J350),1)*IF(Upgrades!$T$19="Local Bubble",POWER(Upgrades!$U$19,K350),1)*IF(Upgrades!$T$20="Local Bubble",POWER(Upgrades!$U$20,L350),1)*IF(Upgrades!$T$21="Local Bubble",POWER(Upgrades!$U$21,M350),1))+(IF(G350=0,0,(Upgrades!$J$15+G350*Upgrades!$K$15)*POWER(Upgrades!$L$15,G350)))*(IF(Upgrades!$T$13="Microlensing",POWER(Upgrades!$U$13,E350),1)*IF(Upgrades!$T$14="Microlensing",POWER(Upgrades!$U$14,F350),1)*IF(Upgrades!$T$16="Microlensing",POWER(Upgrades!$U$16,H350),1)*IF(Upgrades!$T$17="Microlensing",POWER(Upgrades!$U$17,I350),1)*IF(Upgrades!$T$18="Microlensing",POWER(Upgrades!$U$18,J350),1)*IF(Upgrades!$T$19="Microlensing",POWER(Upgrades!$U$19,K350),1)*IF(Upgrades!$T$20="Microlensing",POWER(Upgrades!$U$20,L350),1)*IF(Upgrades!$T$21="Microlensing",POWER(Upgrades!$U$21,M350),1))+(IF(H350=0,0,(Upgrades!$J$16+H350*Upgrades!$K$16)*POWER(Upgrades!$L$16,H350)))*(IF(Upgrades!$T$13="Roche Lobe Overflow",POWER(Upgrades!$U$13,E350),1)*IF(Upgrades!$T$14="Roche Lobe Overflow",POWER(Upgrades!$U$14,F350),1)*IF(Upgrades!$T$15="Roche Lobe Overflow",POWER(Upgrades!$U$15,G350),1)*IF(Upgrades!$T$17="Roche Lobe Overflow",POWER(Upgrades!$U$17,I350),1)*IF(Upgrades!$T$18="Roche Lobe Overflow",POWER(Upgrades!$U$18,J350),1)*IF(Upgrades!$T$19="Roche Lobe Overflow",POWER(Upgrades!$U$19,K350),1)*IF(Upgrades!$T$20="Roche Lobe Overflow",POWER(Upgrades!$U$20,L350),1)*IF(Upgrades!$T$21="Roche Lobe Overflow",POWER(Upgrades!$U$21,M350),1))+(IF(I350=0,0,(Upgrades!$J$17+I350*Upgrades!$K$17)*POWER(Upgrades!$L$17,I350)))*(IF(Upgrades!$T$13="Brown Dwarf",POWER(Upgrades!$U$13,E350),1)*IF(Upgrades!$T$14="Brown Dwarf",POWER(Upgrades!$U$14,F350),1)*IF(Upgrades!$T$15="Brown Dwarf",POWER(Upgrades!$U$15,G350),1)*IF(Upgrades!$T$16="Brown Dwarf",POWER(Upgrades!$U$16,H350),1)*IF(Upgrades!$T$18="Brown Dwarf",POWER(Upgrades!$U$18,J350),1)*IF(Upgrades!$T$19="Brown Dwarf",POWER(Upgrades!$U$19,K350),1)*IF(Upgrades!$T$20="Brown Dwarf",POWER(Upgrades!$U$20,L350),1)*IF(Upgrades!$T$21="Brown Dwarf",POWER(Upgrades!$U$21,M350),1))+(IF(J350=0,0,(Upgrades!$J$18+J350*Upgrades!$K$18)*POWER(Upgrades!$L$18,J350)))*(IF(Upgrades!$T$13="Binary Partner",POWER(Upgrades!$U$13,E350),1)*IF(Upgrades!$T$14="Binary Partner",POWER(Upgrades!$U$14,F350),1)*IF(Upgrades!$T$15="Binary Partner",POWER(Upgrades!$U$15,G350),1)*IF(Upgrades!$T$16="Binary Partner",POWER(Upgrades!$U$16,H350),1)*IF(Upgrades!$T$17="Binary Partner",POWER(Upgrades!$U$17,I350),1)*IF(Upgrades!$T$19="Binary Partner",POWER(Upgrades!$U$19,K350),1)*IF(Upgrades!$T$20="Binary Partner",POWER(Upgrades!$U$20,L350),1)*IF(Upgrades!$T$21="Binary Partner",POWER(Upgrades!$U$21,M350),1))+(IF(K350=0,0,(Upgrades!$J$19+K350*Upgrades!$K$19)*POWER(Upgrades!$L$19,K350)))*(IF(Upgrades!$T$13="Peculiar Velocity",POWER(Upgrades!$U$13,E350),1)*IF(Upgrades!$T$14="Peculiar Velocity",POWER(Upgrades!$U$14,F350),1)*IF(Upgrades!$T$15="Peculiar Velocity",POWER(Upgrades!$U$15,G350),1)*IF(Upgrades!$T$16="Peculiar Velocity",POWER(Upgrades!$U$16,H350),1)*IF(Upgrades!$T$17="Peculiar Velocity",POWER(Upgrades!$U$17,I350),1)*IF(Upgrades!$T$18="Peculiar Velocity",POWER(Upgrades!$U$18,J350),1)*IF(Upgrades!$T$20="Peculiar Velocity",POWER(Upgrades!$U$20,L350),1)*IF(Upgrades!$T$21="Peculiar Velocity",POWER(Upgrades!$U$21,M350),1))+(IF(L350=0,0,(Upgrades!$J$20+L350*Upgrades!$K$20)*POWER(Upgrades!$L$20,L350)))*(IF(Upgrades!$T$13="Open Cluster",POWER(Upgrades!$U$13,E350),1)*IF(Upgrades!$T$14="Open Cluster",POWER(Upgrades!$U$14,F350),1)*IF(Upgrades!$T$15="Open Cluster",POWER(Upgrades!$U$15,G350),1)*IF(Upgrades!$T$16="Open Cluster",POWER(Upgrades!$U$16,H350),1)*IF(Upgrades!$T$17="Open Cluster",POWER(Upgrades!$U$17,I350),1)*IF(Upgrades!$T$18="Open Cluster",POWER(Upgrades!$U$18,J350),1)*IF(Upgrades!$T$19="Open Cluster",POWER(Upgrades!$U$19,K350),1)*IF(Upgrades!$T$21="Open Cluster",POWER(Upgrades!$U$21,M350),1))+(IF(M350=0,0,(Upgrades!$J$21+M350*Upgrades!$K$21)*POWER(Upgrades!$L$21,M350)))*(IF(Upgrades!$T$13="Moving Group",POWER(Upgrades!$U$13,E350),1)*IF(Upgrades!$T$14="Moving Group",POWER(Upgrades!$U$14,F350),1)*IF(Upgrades!$T$15="Moving Group",POWER(Upgrades!$U$15,G350),1)*IF(Upgrades!$T$16="Moving Group",POWER(Upgrades!$U$16,H350),1)*IF(Upgrades!$T$17="Moving Group",POWER(Upgrades!$U$17,I350),1)*IF(Upgrades!$T$18="Moving Group",POWER(Upgrades!$U$18,J350),1)*IF(Upgrades!$T$19="Moving Group",POWER(Upgrades!$U$19,K350),1)*IF(Upgrades!$T$20="Moving Group",POWER(Upgrades!$U$20,L350),1)))*POWER(Upgrades!$Q$13,E350)*POWER(Upgrades!$Q$14,F350)*POWER(Upgrades!$Q$15,G350)*POWER(Upgrades!$Q$16,H350)*POWER(Upgrades!$Q$17,I350)*POWER(Upgrades!$Q$18,J350)*POWER(Upgrades!$Q$19,K350)*POWER(Upgrades!$Q$20,L350)*POWER(Upgrades!$Q$21,M350)*$G$6+$D$6</f>
        <v/>
      </c>
      <c r="P350" s="28">
        <f>((IF(E350=0,0,(Upgrades!$G$13+E350*Upgrades!$H$13)*POWER(Upgrades!$I$13,E350)))*(IF(Upgrades!$T$14="Stellar Kinematics",POWER(Upgrades!$U$14,F350),1)*IF(Upgrades!$T$15="Stellar Kinematics",POWER(Upgrades!$U$15,G350),1)*IF(Upgrades!$T$16="Stellar Kinematics",POWER(Upgrades!$U$16,H350),1)*IF(Upgrades!$T$17="Stellar Kinematics",POWER(Upgrades!$U$17,I350),1)*IF(Upgrades!$T$18="Stellar Kinematics",POWER(Upgrades!$U$18,J350),1)*IF(Upgrades!$T$19="Stellar Kinematics",POWER(Upgrades!$U$19,K350),1)*IF(Upgrades!$T$20="Stellar Kinematics",POWER(Upgrades!$U$20,L350),1)*IF(Upgrades!$T$21="Stellar Kinematics",POWER(Upgrades!$U$21,M350),1))+(IF(F350=0,0,(Upgrades!$G$14+F350*Upgrades!$H$14)*POWER(Upgrades!$I$14,F350)))*(IF(Upgrades!$T$13="Local Bubble",POWER(Upgrades!$U$13,E350),1)*IF(Upgrades!$T$15="Local Bubble",POWER(Upgrades!$U$15,G350),1)*IF(Upgrades!$T$16="Local Bubble",POWER(Upgrades!$U$16,H350),1)*IF(Upgrades!$T$17="Local Bubble",POWER(Upgrades!$U$17,I350),1)*IF(Upgrades!$T$18="Local Bubble",POWER(Upgrades!$U$18,J350),1)*IF(Upgrades!$T$19="Local Bubble",POWER(Upgrades!$U$19,K350),1)*IF(Upgrades!$T$20="Local Bubble",POWER(Upgrades!$U$20,L350),1)*IF(Upgrades!$T$21="Local Bubble",POWER(Upgrades!$U$21,M350),1))+(IF(G350=0,0,(Upgrades!$G$15+G350*Upgrades!$H$15)*POWER(Upgrades!$I$15,G350)))*(IF(Upgrades!$T$13="Microlensing",POWER(Upgrades!$U$13,E350),1)*IF(Upgrades!$T$14="Microlensing",POWER(Upgrades!$U$14,F350),1)*IF(Upgrades!$T$16="Microlensing",POWER(Upgrades!$U$16,H350),1)*IF(Upgrades!$T$17="Microlensing",POWER(Upgrades!$U$17,I350),1)*IF(Upgrades!$T$18="Microlensing",POWER(Upgrades!$U$18,J350),1)*IF(Upgrades!$T$19="Microlensing",POWER(Upgrades!$U$19,K350),1)*IF(Upgrades!$T$20="Microlensing",POWER(Upgrades!$U$20,L350),1)*IF(Upgrades!$T$21="Microlensing",POWER(Upgrades!$U$21,M350),1))+(IF(H350=0,0,(Upgrades!$G$16+H350*Upgrades!$H$16)*POWER(Upgrades!$I$16,H350)))*(IF(Upgrades!$T$13="Roche Lobe Overflow",POWER(Upgrades!$U$13,E350),1)*IF(Upgrades!$T$14="Roche Lobe Overflow",POWER(Upgrades!$U$14,F350),1)*IF(Upgrades!$T$15="Roche Lobe Overflow",POWER(Upgrades!$U$15,G350),1)*IF(Upgrades!$T$17="Roche Lobe Overflow",POWER(Upgrades!$U$17,I350),1)*IF(Upgrades!$T$18="Roche Lobe Overflow",POWER(Upgrades!$U$18,J350),1)*IF(Upgrades!$T$19="Roche Lobe Overflow",POWER(Upgrades!$U$19,K350),1)*IF(Upgrades!$T$20="Roche Lobe Overflow",POWER(Upgrades!$U$20,L350),1)*IF(Upgrades!$T$21="Roche Lobe Overflow",POWER(Upgrades!$U$21,M350),1))+(IF(I350=0,0,(Upgrades!$G$17+I350*Upgrades!$H$17)*POWER(Upgrades!$I$17,I350)))*(IF(Upgrades!$T$13="Brown Dwarf",POWER(Upgrades!$U$13,E350),1)*IF(Upgrades!$T$14="Brown Dwarf",POWER(Upgrades!$U$14,F350),1)*IF(Upgrades!$T$15="Brown Dwarf",POWER(Upgrades!$U$15,G350),1)*IF(Upgrades!$T$16="Brown Dwarf",POWER(Upgrades!$U$16,H350),1)*IF(Upgrades!$T$18="Brown Dwarf",POWER(Upgrades!$U$18,J350),1)*IF(Upgrades!$T$19="Brown Dwarf",POWER(Upgrades!$U$19,K350),1)*IF(Upgrades!$T$20="Brown Dwarf",POWER(Upgrades!$U$20,L350),1)*IF(Upgrades!$T$21="Brown Dwarf",POWER(Upgrades!$U$21,M350),1))+(IF(J350=0,0,(Upgrades!$G$18+J350*Upgrades!$H$18)*POWER(Upgrades!$I$18,J350)))*(IF(Upgrades!$T$13="Binary Partner",POWER(Upgrades!$U$13,E350),1)*IF(Upgrades!$T$14="Binary Partner",POWER(Upgrades!$U$14,F350),1)*IF(Upgrades!$T$15="Binary Partner",POWER(Upgrades!$U$15,G350),1)*IF(Upgrades!$T$16="Binary Partner",POWER(Upgrades!$U$16,H350),1)*IF(Upgrades!$T$17="Binary Partner",POWER(Upgrades!$U$17,I350),1)*IF(Upgrades!$T$19="Binary Partner",POWER(Upgrades!$U$19,K350),1)*IF(Upgrades!$T$20="Binary Partner",POWER(Upgrades!$U$20,L350),1)*IF(Upgrades!$T$21="Binary Partner",POWER(Upgrades!$U$21,M350),1))+(IF(K350=0,0,(Upgrades!$G$19+K350*Upgrades!$H$19)*POWER(Upgrades!$I$19,K350)))*(IF(Upgrades!$T$13="Peculiar Velocity",POWER(Upgrades!$U$13,E350),1)*IF(Upgrades!$T$14="Peculiar Velocity",POWER(Upgrades!$U$14,F350),1)*IF(Upgrades!$T$15="Peculiar Velocity",POWER(Upgrades!$U$15,G350),1)*IF(Upgrades!$T$16="Peculiar Velocity",POWER(Upgrades!$U$16,H350),1)*IF(Upgrades!$T$17="Peculiar Velocity",POWER(Upgrades!$U$17,I350),1)*IF(Upgrades!$T$18="Peculiar Velocity",POWER(Upgrades!$U$18,J350),1)*IF(Upgrades!$T$20="Peculiar Velocity",POWER(Upgrades!$U$20,L350),1)*IF(Upgrades!$T$21="Peculiar Velocity",POWER(Upgrades!$U$21,M350),1))+(IF(L350=0,0,(Upgrades!$G$20+L350*Upgrades!$H$20)*POWER(Upgrades!$I$20,L350)))*(IF(Upgrades!$T$13="Open Cluster",POWER(Upgrades!$U$13,E350),1)*IF(Upgrades!$T$14="Open Cluster",POWER(Upgrades!$U$14,F350),1)*IF(Upgrades!$T$15="Open Cluster",POWER(Upgrades!$U$15,G350),1)*IF(Upgrades!$T$16="Open Cluster",POWER(Upgrades!$U$16,H350),1)*IF(Upgrades!$T$17="Open Cluster",POWER(Upgrades!$U$17,I350),1)*IF(Upgrades!$T$18="Open Cluster",POWER(Upgrades!$U$18,J350),1)*IF(Upgrades!$T$19="Open Cluster",POWER(Upgrades!$U$19,K350),1)*IF(Upgrades!$T$21="Open Cluster",POWER(Upgrades!$U$21,M350),1))+(IF(M350=0,0,(Upgrades!$G$21+M350*Upgrades!$H$21)*POWER(Upgrades!$I$21,M350)))*(IF(Upgrades!$T$13="Moving Group",POWER(Upgrades!$U$13,E350),1)*IF(Upgrades!$T$14="Moving Group",POWER(Upgrades!$U$14,F350),1)*IF(Upgrades!$T$15="Moving Group",POWER(Upgrades!$U$15,G350),1)*IF(Upgrades!$T$16="Moving Group",POWER(Upgrades!$U$16,H350),1)*IF(Upgrades!$T$17="Moving Group",POWER(Upgrades!$U$17,I350),1)*IF(Upgrades!$T$18="Moving Group",POWER(Upgrades!$U$18,J350),1)*IF(Upgrades!$T$19="Moving Group",POWER(Upgrades!$U$19,K350),1)*IF(Upgrades!$T$20="Moving Group",POWER(Upgrades!$U$20,L350),1)))*POWER(Upgrades!$P$13,E350)*POWER(Upgrades!$P$14,F350)*POWER(Upgrades!$P$15,G350)*POWER(Upgrades!$P$16,H350)*POWER(Upgrades!$P$17,I350)*POWER(Upgrades!$P$18,J350)*POWER(Upgrades!$P$19,K350)*POWER(Upgrades!$P$20,L350)*POWER(Upgrades!$P$21,M350)*$F$6+$C$6</f>
        <v/>
      </c>
      <c r="Q350" s="28">
        <f>((IF(E350=0,0,(Upgrades!$M$13+E350*Upgrades!$N$13)*POWER(Upgrades!$O$13,E350)))*(IF(Upgrades!$T$14="Stellar Kinematics",POWER(Upgrades!$U$14,F350),1)*IF(Upgrades!$T$15="Stellar Kinematics",POWER(Upgrades!$U$15,G350),1)*IF(Upgrades!$T$16="Stellar Kinematics",POWER(Upgrades!$U$16,H350),1)*IF(Upgrades!$T$17="Stellar Kinematics",POWER(Upgrades!$U$17,I350),1)*IF(Upgrades!$T$18="Stellar Kinematics",POWER(Upgrades!$U$18,J350),1)*IF(Upgrades!$T$19="Stellar Kinematics",POWER(Upgrades!$U$19,K350),1)*IF(Upgrades!$T$20="Stellar Kinematics",POWER(Upgrades!$U$20,L350),1)*IF(Upgrades!$T$21="Stellar Kinematics",POWER(Upgrades!$U$21,M350),1))+(IF(F350=0,0,(Upgrades!$M$14+F350*Upgrades!$N$14)*POWER(Upgrades!$O$14,F350)))*(IF(Upgrades!$T$13="Local Bubble",POWER(Upgrades!$U$13,E350),1)*IF(Upgrades!$T$15="Local Bubble",POWER(Upgrades!$U$15,G350),1)*IF(Upgrades!$T$16="Local Bubble",POWER(Upgrades!$U$16,H350),1)*IF(Upgrades!$T$17="Local Bubble",POWER(Upgrades!$U$17,I350),1)*IF(Upgrades!$T$18="Local Bubble",POWER(Upgrades!$U$18,J350),1)*IF(Upgrades!$T$19="Local Bubble",POWER(Upgrades!$U$19,K350),1)*IF(Upgrades!$T$20="Local Bubble",POWER(Upgrades!$U$20,L350),1)*IF(Upgrades!$T$21="Local Bubble",POWER(Upgrades!$U$21,M350),1))+(IF(G350=0,0,(Upgrades!$M$15+G350*Upgrades!$N$15)*POWER(Upgrades!$O$15,G350)))*(IF(Upgrades!$T$13="Microlensing",POWER(Upgrades!$U$13,E350),1)*IF(Upgrades!$T$14="Microlensing",POWER(Upgrades!$U$14,F350),1)*IF(Upgrades!$T$16="Microlensing",POWER(Upgrades!$U$16,H350),1)*IF(Upgrades!$T$17="Microlensing",POWER(Upgrades!$U$17,I350),1)*IF(Upgrades!$T$18="Microlensing",POWER(Upgrades!$U$18,J350),1)*IF(Upgrades!$T$19="Microlensing",POWER(Upgrades!$U$19,K350),1)*IF(Upgrades!$T$20="Microlensing",POWER(Upgrades!$U$20,L350),1)*IF(Upgrades!$T$21="Microlensing",POWER(Upgrades!$U$21,M350),1))+(IF(H350=0,0,(Upgrades!$M$16+H350*Upgrades!$N$16)*POWER(Upgrades!$O$16,H350)))*(IF(Upgrades!$T$13="Roche Lobe Overflow",POWER(Upgrades!$U$13,E350),1)*IF(Upgrades!$T$14="Roche Lobe Overflow",POWER(Upgrades!$U$14,F350),1)*IF(Upgrades!$T$15="Roche Lobe Overflow",POWER(Upgrades!$U$15,G350),1)*IF(Upgrades!$T$17="Roche Lobe Overflow",POWER(Upgrades!$U$17,I350),1)*IF(Upgrades!$T$18="Roche Lobe Overflow",POWER(Upgrades!$U$18,J350),1)*IF(Upgrades!$T$19="Roche Lobe Overflow",POWER(Upgrades!$U$19,K350),1)*IF(Upgrades!$T$20="Roche Lobe Overflow",POWER(Upgrades!$U$20,L350),1)*IF(Upgrades!$T$21="Roche Lobe Overflow",POWER(Upgrades!$U$21,M350),1))+(IF(I350=0,0,(Upgrades!$M$17+I350*Upgrades!$N$17)*POWER(Upgrades!$O$17,I350)))*(IF(Upgrades!$T$13="Brown Dwarf",POWER(Upgrades!$U$13,E350),1)*IF(Upgrades!$T$14="Brown Dwarf",POWER(Upgrades!$U$14,F350),1)*IF(Upgrades!$T$15="Brown Dwarf",POWER(Upgrades!$U$15,G350),1)*IF(Upgrades!$T$16="Brown Dwarf",POWER(Upgrades!$U$16,H350),1)*IF(Upgrades!$T$18="Brown Dwarf",POWER(Upgrades!$U$18,J350),1)*IF(Upgrades!$T$19="Brown Dwarf",POWER(Upgrades!$U$19,K350),1)*IF(Upgrades!$T$20="Brown Dwarf",POWER(Upgrades!$U$20,L350),1)*IF(Upgrades!$T$21="Brown Dwarf",POWER(Upgrades!$U$21,M350),1))+(IF(J350=0,0,(Upgrades!$M$18+J350*Upgrades!$N$18)*POWER(Upgrades!$O$18,J350)))*(IF(Upgrades!$T$13="Binary Partner",POWER(Upgrades!$U$13,E350),1)*IF(Upgrades!$T$14="Binary Partner",POWER(Upgrades!$U$14,F350),1)*IF(Upgrades!$T$15="Binary Partner",POWER(Upgrades!$U$15,G350),1)*IF(Upgrades!$T$16="Binary Partner",POWER(Upgrades!$U$16,H350),1)*IF(Upgrades!$T$17="Binary Partner",POWER(Upgrades!$U$17,I350),1)*IF(Upgrades!$T$19="Binary Partner",POWER(Upgrades!$U$19,K350),1)*IF(Upgrades!$T$20="Binary Partner",POWER(Upgrades!$U$20,L350),1)*IF(Upgrades!$T$21="Binary Partner",POWER(Upgrades!$U$21,M350),1))+(IF(K350=0,0,(Upgrades!$M$19+K350*Upgrades!$N$19)*POWER(Upgrades!$O$19,K350)))*(IF(Upgrades!$T$13="Peculiar Velocity",POWER(Upgrades!$U$13,E350),1)*IF(Upgrades!$T$14="Peculiar Velocity",POWER(Upgrades!$U$14,F350),1)*IF(Upgrades!$T$15="Peculiar Velocity",POWER(Upgrades!$U$15,G350),1)*IF(Upgrades!$T$16="Peculiar Velocity",POWER(Upgrades!$U$16,H350),1)*IF(Upgrades!$T$17="Peculiar Velocity",POWER(Upgrades!$U$17,I350),1)*IF(Upgrades!$T$18="Peculiar Velocity",POWER(Upgrades!$U$18,J350),1)*IF(Upgrades!$T$20="Peculiar Velocity",POWER(Upgrades!$U$20,L350),1)*IF(Upgrades!$T$21="Peculiar Velocity",POWER(Upgrades!$U$21,M350),1))+(IF(L350=0,0,(Upgrades!$M$20+L350*Upgrades!$N$20)*POWER(Upgrades!$O$20,L350)))*(IF(Upgrades!$T$13="Open Cluster",POWER(Upgrades!$U$13,E350),1)*IF(Upgrades!$T$14="Open Cluster",POWER(Upgrades!$U$14,F350),1)*IF(Upgrades!$T$15="Open Cluster",POWER(Upgrades!$U$15,G350),1)*IF(Upgrades!$T$16="Open Cluster",POWER(Upgrades!$U$16,H350),1)*IF(Upgrades!$T$17="Open Cluster",POWER(Upgrades!$U$17,I350),1)*IF(Upgrades!$T$18="Open Cluster",POWER(Upgrades!$U$18,J350),1)*IF(Upgrades!$T$19="Open Cluster",POWER(Upgrades!$U$19,K350),1)*IF(Upgrades!$T$21="Open Cluster",POWER(Upgrades!$U$21,M350),1))+(IF(M350=0,0,(Upgrades!$M$21+M350*Upgrades!$N$21)*POWER(Upgrades!$O$21,M350)))*(IF(Upgrades!$T$13="Moving Group",POWER(Upgrades!$U$13,E350),1)*IF(Upgrades!$T$14="Moving Group",POWER(Upgrades!$U$14,F350),1)*IF(Upgrades!$T$15="Moving Group",POWER(Upgrades!$U$15,G350),1)*IF(Upgrades!$T$16="Moving Group",POWER(Upgrades!$U$16,H350),1)*IF(Upgrades!$T$17="Moving Group",POWER(Upgrades!$U$17,I350),1)*IF(Upgrades!$T$18="Moving Group",POWER(Upgrades!$U$18,J350),1)*IF(Upgrades!$T$19="Moving Group",POWER(Upgrades!$U$19,K350),1)*IF(Upgrades!$T$20="Moving Group",POWER(Upgrades!$U$20,L350),1)))*POWER(Upgrades!$R$13,E350)*POWER(Upgrades!$R$14,F350)*POWER(Upgrades!$R$15,G350)*POWER(Upgrades!$R$16,H350)*POWER(Upgrades!$R$17,I350)*POWER(Upgrades!$R$18,J350)*POWER(Upgrades!$R$19,K350)*POWER(Upgrades!$R$20,L350)*POWER(Upgrades!$R$21,M350)*$H$6+$E$6</f>
        <v/>
      </c>
      <c r="R350" s="27">
        <f>IF(N350=1,0,O350*Parameters!$B$10/60*Parameters!$B$11*10)</f>
        <v/>
      </c>
      <c r="S350" s="27">
        <f>IF(N350=1,0,Q350*O350*10)</f>
        <v/>
      </c>
      <c r="T350" s="27">
        <f>IF(N350=1,0,R350+S350+P350*10)</f>
        <v/>
      </c>
      <c r="U350" s="33">
        <f>BE350</f>
        <v/>
      </c>
      <c r="V350" s="22">
        <f>IF(U350="",0,IF(U350="transition",0,IF(U350="SK",AK350,IF(U350="LB",AL350,IF(U350="ML",AM350,IF(U350="RLO",AN350,IF(U350="BD",AO350,IF(U350="BiP",AP350,IF(U350="PV",AQ350,IF(U350="OC",AR350,IF(U350="MG",AS350,0))))))))))</f>
        <v/>
      </c>
      <c r="W350" s="27">
        <f>IF(U350="BiP",Upgrades!$F$18,IF(U350="PV",Upgrades!$F$19,IF(U350="OC",Upgrades!$F$20,IF(U350="MG",Upgrades!$F$21,IF(U350="transition",-Parameters!$B$18*Parameters!$B$19,0)))))</f>
        <v/>
      </c>
      <c r="X350" s="22">
        <f>C350+T350-V350</f>
        <v/>
      </c>
      <c r="Y350" s="30">
        <f>O350*Parameters!$B$10/60*Parameters!$B$11+Q350*O350+P350</f>
        <v/>
      </c>
      <c r="Z350" s="34">
        <f>IF(U350="transition","→ Tier 3 (Galactic Arm)",IF(U350="MG","Moving Group — pocket drifts together",IF(U350="OC","Open Cluster acquired",IF(U350="PV","Peculiar Velocity — passive multiplier active",IF(U350="BiP","Binary Partner — pair bond formed",IF(AND(AU350=1,N350=0,AT350&lt;&gt;1),"Cohesion ready (waiting on completionists)","")))))) </f>
        <v/>
      </c>
      <c r="AA350" s="27">
        <f>(IF(E350=0,0,(Upgrades!$G$13+E350*Upgrades!$H$13)*POWER(Upgrades!$I$13,E350)))*(IF(Upgrades!$T$14="Stellar Kinematics",POWER(Upgrades!$U$14,F350),1)*IF(Upgrades!$T$15="Stellar Kinematics",POWER(Upgrades!$U$15,G350),1)*IF(Upgrades!$T$16="Stellar Kinematics",POWER(Upgrades!$U$16,H350),1)*IF(Upgrades!$T$17="Stellar Kinematics",POWER(Upgrades!$U$17,I350),1)*IF(Upgrades!$T$18="Stellar Kinematics",POWER(Upgrades!$U$18,J350),1)*IF(Upgrades!$T$19="Stellar Kinematics",POWER(Upgrades!$U$19,K350),1)*IF(Upgrades!$T$20="Stellar Kinematics",POWER(Upgrades!$U$20,L350),1)*IF(Upgrades!$T$21="Stellar Kinematics",POWER(Upgrades!$U$21,M350),1))*POWER(Upgrades!$P$13,E350)*POWER(Upgrades!$P$14,F350)*POWER(Upgrades!$P$15,G350)*POWER(Upgrades!$P$16,H350)*POWER(Upgrades!$P$17,I350)*POWER(Upgrades!$P$18,J350)*POWER(Upgrades!$P$19,K350)*POWER(Upgrades!$P$20,L350)*POWER(Upgrades!$P$21,M350)*$F$6*60</f>
        <v/>
      </c>
      <c r="AB350" s="27">
        <f>(IF(F350=0,0,(Upgrades!$G$14+F350*Upgrades!$H$14)*POWER(Upgrades!$I$14,F350)))*(IF(Upgrades!$T$13="Local Bubble",POWER(Upgrades!$U$13,E350),1)*IF(Upgrades!$T$15="Local Bubble",POWER(Upgrades!$U$15,G350),1)*IF(Upgrades!$T$16="Local Bubble",POWER(Upgrades!$U$16,H350),1)*IF(Upgrades!$T$17="Local Bubble",POWER(Upgrades!$U$17,I350),1)*IF(Upgrades!$T$18="Local Bubble",POWER(Upgrades!$U$18,J350),1)*IF(Upgrades!$T$19="Local Bubble",POWER(Upgrades!$U$19,K350),1)*IF(Upgrades!$T$20="Local Bubble",POWER(Upgrades!$U$20,L350),1)*IF(Upgrades!$T$21="Local Bubble",POWER(Upgrades!$U$21,M350),1))*POWER(Upgrades!$P$13,E350)*POWER(Upgrades!$P$14,F350)*POWER(Upgrades!$P$15,G350)*POWER(Upgrades!$P$16,H350)*POWER(Upgrades!$P$17,I350)*POWER(Upgrades!$P$18,J350)*POWER(Upgrades!$P$19,K350)*POWER(Upgrades!$P$20,L350)*POWER(Upgrades!$P$21,M350)*$F$6*60</f>
        <v/>
      </c>
      <c r="AC350" s="27">
        <f>(IF(G350=0,0,(Upgrades!$J$15+G350*Upgrades!$K$15)*POWER(Upgrades!$L$15,G350)))*(IF(Upgrades!$T$13="Microlensing",POWER(Upgrades!$U$13,E350),1)*IF(Upgrades!$T$14="Microlensing",POWER(Upgrades!$U$14,F350),1)*IF(Upgrades!$T$16="Microlensing",POWER(Upgrades!$U$16,H350),1)*IF(Upgrades!$T$17="Microlensing",POWER(Upgrades!$U$17,I350),1)*IF(Upgrades!$T$18="Microlensing",POWER(Upgrades!$U$18,J350),1)*IF(Upgrades!$T$19="Microlensing",POWER(Upgrades!$U$19,K350),1)*IF(Upgrades!$T$20="Microlensing",POWER(Upgrades!$U$20,L350),1)*IF(Upgrades!$T$21="Microlensing",POWER(Upgrades!$U$21,M350),1))*POWER(Upgrades!$Q$13,E350)*POWER(Upgrades!$Q$14,F350)*POWER(Upgrades!$Q$15,G350)*POWER(Upgrades!$Q$16,H350)*POWER(Upgrades!$Q$17,I350)*POWER(Upgrades!$Q$18,J350)*POWER(Upgrades!$Q$19,K350)*POWER(Upgrades!$Q$20,L350)*POWER(Upgrades!$Q$21,M350)*$G$6*(Parameters!$B$10*Parameters!$B$11+Q350*60)</f>
        <v/>
      </c>
      <c r="AD350" s="27">
        <f>(IF(H350=0,0,(Upgrades!$M$16+H350*Upgrades!$N$16)*POWER(Upgrades!$O$16,H350)))*(IF(Upgrades!$T$13="Roche Lobe Overflow",POWER(Upgrades!$U$13,E350),1)*IF(Upgrades!$T$14="Roche Lobe Overflow",POWER(Upgrades!$U$14,F350),1)*IF(Upgrades!$T$15="Roche Lobe Overflow",POWER(Upgrades!$U$15,G350),1)*IF(Upgrades!$T$17="Roche Lobe Overflow",POWER(Upgrades!$U$17,I350),1)*IF(Upgrades!$T$18="Roche Lobe Overflow",POWER(Upgrades!$U$18,J350),1)*IF(Upgrades!$T$19="Roche Lobe Overflow",POWER(Upgrades!$U$19,K350),1)*IF(Upgrades!$T$20="Roche Lobe Overflow",POWER(Upgrades!$U$20,L350),1)*IF(Upgrades!$T$21="Roche Lobe Overflow",POWER(Upgrades!$U$21,M350),1))*POWER(Upgrades!$R$13,E350)*POWER(Upgrades!$R$14,F350)*POWER(Upgrades!$R$15,G350)*POWER(Upgrades!$R$16,H350)*POWER(Upgrades!$R$17,I350)*POWER(Upgrades!$R$18,J350)*POWER(Upgrades!$R$19,K350)*POWER(Upgrades!$R$20,L350)*POWER(Upgrades!$R$21,M350)*$H$6*O350*60</f>
        <v/>
      </c>
      <c r="AE350" s="27">
        <f>(IF(I350=0,0,(Upgrades!$G$17+I350*Upgrades!$H$17)*POWER(Upgrades!$I$17,I350)))*(IF(Upgrades!$T$13="Brown Dwarf",POWER(Upgrades!$U$13,E350),1)*IF(Upgrades!$T$14="Brown Dwarf",POWER(Upgrades!$U$14,F350),1)*IF(Upgrades!$T$15="Brown Dwarf",POWER(Upgrades!$U$15,G350),1)*IF(Upgrades!$T$16="Brown Dwarf",POWER(Upgrades!$U$16,H350),1)*IF(Upgrades!$T$18="Brown Dwarf",POWER(Upgrades!$U$18,J350),1)*IF(Upgrades!$T$19="Brown Dwarf",POWER(Upgrades!$U$19,K350),1)*IF(Upgrades!$T$20="Brown Dwarf",POWER(Upgrades!$U$20,L350),1)*IF(Upgrades!$T$21="Brown Dwarf",POWER(Upgrades!$U$21,M350),1))*POWER(Upgrades!$P$13,E350)*POWER(Upgrades!$P$14,F350)*POWER(Upgrades!$P$15,G350)*POWER(Upgrades!$P$16,H350)*POWER(Upgrades!$P$17,I350)*POWER(Upgrades!$P$18,J350)*POWER(Upgrades!$P$19,K350)*POWER(Upgrades!$P$20,L350)*POWER(Upgrades!$P$21,M350)*$F$6*60</f>
        <v/>
      </c>
      <c r="AF350" s="27" t="n">
        <v>0</v>
      </c>
      <c r="AG350" s="27" t="n">
        <v>0</v>
      </c>
      <c r="AH350" s="27" t="n">
        <v>0</v>
      </c>
      <c r="AI350" s="27">
        <f>(IF(M350=0,0,(Upgrades!$G$21+M350*Upgrades!$H$21)*POWER(Upgrades!$I$21,M350)))*(IF(Upgrades!$T$13="Moving Group",POWER(Upgrades!$U$13,E350),1)*IF(Upgrades!$T$14="Moving Group",POWER(Upgrades!$U$14,F350),1)*IF(Upgrades!$T$15="Moving Group",POWER(Upgrades!$U$15,G350),1)*IF(Upgrades!$T$16="Moving Group",POWER(Upgrades!$U$16,H350),1)*IF(Upgrades!$T$17="Moving Group",POWER(Upgrades!$U$17,I350),1)*IF(Upgrades!$T$18="Moving Group",POWER(Upgrades!$U$18,J350),1)*IF(Upgrades!$T$19="Moving Group",POWER(Upgrades!$U$19,K350),1)*IF(Upgrades!$T$20="Moving Group",POWER(Upgrades!$U$20,L350),1))*POWER(Upgrades!$P$13,E350)*POWER(Upgrades!$P$14,F350)*POWER(Upgrades!$P$15,G350)*POWER(Upgrades!$P$16,H350)*POWER(Upgrades!$P$17,I350)*POWER(Upgrades!$P$18,J350)*POWER(Upgrades!$P$19,K350)*POWER(Upgrades!$P$20,L350)*POWER(Upgrades!$P$21,M350)*$F$6*60</f>
        <v/>
      </c>
      <c r="AJ350" s="27">
        <f>$C$6*60</f>
        <v/>
      </c>
      <c r="AK350" s="22">
        <f>IF(E350&gt;=Upgrades!$E$13,"",Upgrades!$C$13*POWER(Upgrades!$D$13,E350))</f>
        <v/>
      </c>
      <c r="AL350" s="22">
        <f>IF(F350&gt;=Upgrades!$E$14,"",Upgrades!$C$14*POWER(Upgrades!$D$14,F350))</f>
        <v/>
      </c>
      <c r="AM350" s="22">
        <f>IF(G350&gt;=Upgrades!$E$15,"",Upgrades!$C$15*POWER(Upgrades!$D$15,G350))</f>
        <v/>
      </c>
      <c r="AN350" s="22">
        <f>IF(H350&gt;=Upgrades!$E$16,"",Upgrades!$C$16*POWER(Upgrades!$D$16,H350))</f>
        <v/>
      </c>
      <c r="AO350" s="22">
        <f>IF(I350&gt;=Upgrades!$E$17,"",Upgrades!$C$17*POWER(Upgrades!$D$17,I350))</f>
        <v/>
      </c>
      <c r="AP350" s="22">
        <f>IF(J350&gt;=Upgrades!$E$18,"",Upgrades!$C$18*POWER(Upgrades!$D$18,J350))</f>
        <v/>
      </c>
      <c r="AQ350" s="22">
        <f>IF(K350&gt;=Upgrades!$E$19,"",Upgrades!$C$19*POWER(Upgrades!$D$19,K350))</f>
        <v/>
      </c>
      <c r="AR350" s="22">
        <f>IF(L350&gt;=Upgrades!$E$20,"",Upgrades!$C$20*POWER(Upgrades!$D$20,L350))</f>
        <v/>
      </c>
      <c r="AS350" s="22">
        <f>IF(M350&gt;=Upgrades!$E$21,"",Upgrades!$C$21*POWER(Upgrades!$D$21,M350))</f>
        <v/>
      </c>
      <c r="AT350" s="26">
        <f>IF(AND(D350&gt;=Parameters!$B$18*Parameters!$B$19,(I350&gt;=Upgrades!$E$17)*(M350&gt;=Upgrades!$E$21)=1,N350=0),1,"")</f>
        <v/>
      </c>
      <c r="AU350" s="26">
        <f>IF(AND(D350&gt;=Parameters!$B$18*Parameters!$B$19,N350=0),1,"")</f>
        <v/>
      </c>
      <c r="AV350" s="22">
        <f>MIN(IF(ISNUMBER(AP350),AP350,9E15),IF(ISNUMBER(AQ350),AQ350,9E15),IF(ISNUMBER(AR350),AR350,9E15),IF(ISNUMBER(AS350),AS350,9E15))</f>
        <v/>
      </c>
      <c r="AW350" s="22">
        <f>MIN(IF(ISNUMBER(AK350),AK350,9E15),IF(ISNUMBER(AL350),AL350,9E15),IF(ISNUMBER(AM350),AM350,9E15),IF(ISNUMBER(AN350),AN350,9E15),IF(ISNUMBER(AO350),AO350,9E15))</f>
        <v/>
      </c>
      <c r="AX350" s="29">
        <f>IF(BD350&gt;Parameters!$B$21*(MAX(IF(AND(NOT(AND(AU350=1,AT350&lt;&gt;1)),ISNUMBER(AK350),AK350&lt;=(C350+T350)),AY350,0),IF(AND(NOT(AND(AU350=1,AT350&lt;&gt;1)),ISNUMBER(AL350),AL350&lt;=(C350+T350)),AZ350,0),IF(AND(NOT(AND(AU350=1,AT350&lt;&gt;1)),ISNUMBER(AM350),AM350&lt;=(C350+T350)),BA350,0),IF(AND(NOT(AND(AU350=1,AT350&lt;&gt;1)),ISNUMBER(AN350),AN350&lt;=(C350+T350)),BB350,0),IF(AND(ISNUMBER(AO350),AO350&lt;=(C350+T350)),BC350,0))),TRUE,FALSE)</f>
        <v/>
      </c>
      <c r="AY350" s="32">
        <f>IFERROR(Upgrades!$H$13*(POWER(Upgrades!$P$13,E350)*POWER(Upgrades!$P$14,F350)*POWER(Upgrades!$P$15,G350)*POWER(Upgrades!$P$16,H350)*POWER(Upgrades!$P$17,I350)*POWER(Upgrades!$P$18,J350)*POWER(Upgrades!$P$19,K350)*POWER(Upgrades!$P$20,L350)*POWER(Upgrades!$P$21,M350))*(IF(Upgrades!$T$14="Stellar Kinematics",POWER(Upgrades!$U$14,F350),1)*IF(Upgrades!$T$15="Stellar Kinematics",POWER(Upgrades!$U$15,G350),1)*IF(Upgrades!$T$16="Stellar Kinematics",POWER(Upgrades!$U$16,H350),1)*IF(Upgrades!$T$17="Stellar Kinematics",POWER(Upgrades!$U$17,I350),1)*IF(Upgrades!$T$18="Stellar Kinematics",POWER(Upgrades!$U$18,J350),1)*IF(Upgrades!$T$19="Stellar Kinematics",POWER(Upgrades!$U$19,K350),1)*IF(Upgrades!$T$20="Stellar Kinematics",POWER(Upgrades!$U$20,L350),1)*IF(Upgrades!$T$21="Stellar Kinematics",POWER(Upgrades!$U$21,M350),1))*$F$6/AK350,0)</f>
        <v/>
      </c>
      <c r="AZ350" s="32">
        <f>IFERROR(Upgrades!$H$14*(POWER(Upgrades!$P$13,E350)*POWER(Upgrades!$P$14,F350)*POWER(Upgrades!$P$15,G350)*POWER(Upgrades!$P$16,H350)*POWER(Upgrades!$P$17,I350)*POWER(Upgrades!$P$18,J350)*POWER(Upgrades!$P$19,K350)*POWER(Upgrades!$P$20,L350)*POWER(Upgrades!$P$21,M350))*(IF(Upgrades!$T$13="Local Bubble",POWER(Upgrades!$U$13,E350),1)*IF(Upgrades!$T$15="Local Bubble",POWER(Upgrades!$U$15,G350),1)*IF(Upgrades!$T$16="Local Bubble",POWER(Upgrades!$U$16,H350),1)*IF(Upgrades!$T$17="Local Bubble",POWER(Upgrades!$U$17,I350),1)*IF(Upgrades!$T$18="Local Bubble",POWER(Upgrades!$U$18,J350),1)*IF(Upgrades!$T$19="Local Bubble",POWER(Upgrades!$U$19,K350),1)*IF(Upgrades!$T$20="Local Bubble",POWER(Upgrades!$U$20,L350),1)*IF(Upgrades!$T$21="Local Bubble",POWER(Upgrades!$U$21,M350),1))*$F$6/AL350,0)</f>
        <v/>
      </c>
      <c r="BA350" s="32">
        <f>IFERROR(Upgrades!$K$15*(POWER(Upgrades!$Q$13,E350)*POWER(Upgrades!$Q$14,F350)*POWER(Upgrades!$Q$15,G350)*POWER(Upgrades!$Q$16,H350)*POWER(Upgrades!$Q$17,I350)*POWER(Upgrades!$Q$18,J350)*POWER(Upgrades!$Q$19,K350)*POWER(Upgrades!$Q$20,L350)*POWER(Upgrades!$Q$21,M350))*(IF(Upgrades!$T$13="Microlensing",POWER(Upgrades!$U$13,E350),1)*IF(Upgrades!$T$14="Microlensing",POWER(Upgrades!$U$14,F350),1)*IF(Upgrades!$T$16="Microlensing",POWER(Upgrades!$U$16,H350),1)*IF(Upgrades!$T$17="Microlensing",POWER(Upgrades!$U$17,I350),1)*IF(Upgrades!$T$18="Microlensing",POWER(Upgrades!$U$18,J350),1)*IF(Upgrades!$T$19="Microlensing",POWER(Upgrades!$U$19,K350),1)*IF(Upgrades!$T$20="Microlensing",POWER(Upgrades!$U$20,L350),1)*IF(Upgrades!$T$21="Microlensing",POWER(Upgrades!$U$21,M350),1))*$G$6*(Parameters!$B$10/60*Parameters!$B$11+Q350)/AM350,0)</f>
        <v/>
      </c>
      <c r="BB350" s="32">
        <f>IFERROR((Upgrades!$N$16*(POWER(Upgrades!$R$13,E350)*POWER(Upgrades!$R$14,F350)*POWER(Upgrades!$R$15,G350)*POWER(Upgrades!$R$16,H350)*POWER(Upgrades!$R$17,I350)*POWER(Upgrades!$R$18,J350)*POWER(Upgrades!$R$19,K350)*POWER(Upgrades!$R$20,L350)*POWER(Upgrades!$R$21,M350))*(IF(Upgrades!$T$13="Roche Lobe Overflow",POWER(Upgrades!$U$13,E350),1)*IF(Upgrades!$T$14="Roche Lobe Overflow",POWER(Upgrades!$U$14,F350),1)*IF(Upgrades!$T$15="Roche Lobe Overflow",POWER(Upgrades!$U$15,G350),1)*IF(Upgrades!$T$17="Roche Lobe Overflow",POWER(Upgrades!$U$17,I350),1)*IF(Upgrades!$T$18="Roche Lobe Overflow",POWER(Upgrades!$U$18,J350),1)*IF(Upgrades!$T$19="Roche Lobe Overflow",POWER(Upgrades!$U$19,K350),1)*IF(Upgrades!$T$20="Roche Lobe Overflow",POWER(Upgrades!$U$20,L350),1)*IF(Upgrades!$T$21="Roche Lobe Overflow",POWER(Upgrades!$U$21,M350),1))*$H$6*O350+((IF(F350=0,0,(Upgrades!$G$14+F350*Upgrades!$H$14)*POWER(Upgrades!$I$14,F350)))*(IF(Upgrades!$T$13="Local Bubble",POWER(Upgrades!$U$13,E350),1)*IF(Upgrades!$T$15="Local Bubble",POWER(Upgrades!$U$15,G350),1)*IF(Upgrades!$T$16="Local Bubble",POWER(Upgrades!$U$16,H350),1)*IF(Upgrades!$T$17="Local Bubble",POWER(Upgrades!$U$17,I350),1)*IF(Upgrades!$T$18="Local Bubble",POWER(Upgrades!$U$18,J350),1)*IF(Upgrades!$T$19="Local Bubble",POWER(Upgrades!$U$19,K350),1)*IF(Upgrades!$T$20="Local Bubble",POWER(Upgrades!$U$20,L350),1)*IF(Upgrades!$T$21="Local Bubble",POWER(Upgrades!$U$21,M350),1))*POWER(Upgrades!$P$13,E350)*POWER(Upgrades!$P$14,F350)*POWER(Upgrades!$P$15,G350)*POWER(Upgrades!$P$16,H350)*POWER(Upgrades!$P$17,I350)*POWER(Upgrades!$P$18,J350)*POWER(Upgrades!$P$19,K350)*POWER(Upgrades!$P$20,L350)*POWER(Upgrades!$P$21,M350)*$F$6)*0.05)/AN350,0)</f>
        <v/>
      </c>
      <c r="BC350" s="32">
        <f>IFERROR((Upgrades!$H$17*(POWER(Upgrades!$P$13,E350)*POWER(Upgrades!$P$14,F350)*POWER(Upgrades!$P$15,G350)*POWER(Upgrades!$P$16,H350)*POWER(Upgrades!$P$17,I350)*POWER(Upgrades!$P$18,J350)*POWER(Upgrades!$P$19,K350)*POWER(Upgrades!$P$20,L350)*POWER(Upgrades!$P$21,M350))*(IF(Upgrades!$T$13="Brown Dwarf",POWER(Upgrades!$U$13,E350),1)*IF(Upgrades!$T$14="Brown Dwarf",POWER(Upgrades!$U$14,F350),1)*IF(Upgrades!$T$15="Brown Dwarf",POWER(Upgrades!$U$15,G350),1)*IF(Upgrades!$T$16="Brown Dwarf",POWER(Upgrades!$U$16,H350),1)*IF(Upgrades!$T$18="Brown Dwarf",POWER(Upgrades!$U$18,J350),1)*IF(Upgrades!$T$19="Brown Dwarf",POWER(Upgrades!$U$19,K350),1)*IF(Upgrades!$T$20="Brown Dwarf",POWER(Upgrades!$U$20,L350),1)*IF(Upgrades!$T$21="Brown Dwarf",POWER(Upgrades!$U$21,M350),1))*$F$6+(((IF(H350=0,0,(Upgrades!$M$16+H350*Upgrades!$N$16)*POWER(Upgrades!$O$16,H350)))*(IF(Upgrades!$T$13="Roche Lobe Overflow",POWER(Upgrades!$U$13,E350),1)*IF(Upgrades!$T$14="Roche Lobe Overflow",POWER(Upgrades!$U$14,F350),1)*IF(Upgrades!$T$15="Roche Lobe Overflow",POWER(Upgrades!$U$15,G350),1)*IF(Upgrades!$T$17="Roche Lobe Overflow",POWER(Upgrades!$U$17,I350),1)*IF(Upgrades!$T$18="Roche Lobe Overflow",POWER(Upgrades!$U$18,J350),1)*IF(Upgrades!$T$19="Roche Lobe Overflow",POWER(Upgrades!$U$19,K350),1)*IF(Upgrades!$T$20="Roche Lobe Overflow",POWER(Upgrades!$U$20,L350),1)*IF(Upgrades!$T$21="Roche Lobe Overflow",POWER(Upgrades!$U$21,M350),1))*POWER(Upgrades!$R$13,E350)*POWER(Upgrades!$R$14,F350)*POWER(Upgrades!$R$15,G350)*POWER(Upgrades!$R$16,H350)*POWER(Upgrades!$R$17,I350)*POWER(Upgrades!$R$18,J350)*POWER(Upgrades!$R$19,K350)*POWER(Upgrades!$R$20,L350)*POWER(Upgrades!$R$21,M350)*$H$6)*O350)*0.10)/AO350,0)</f>
        <v/>
      </c>
      <c r="BD350" s="32">
        <f>MAX(IF(J350&gt;0,0,IFERROR(0.5*((IF(G350=0,0,(Upgrades!$J$15+G350*Upgrades!$K$15)*POWER(Upgrades!$L$15,G350)))*(IF(Upgrades!$T$13="Microlensing",POWER(Upgrades!$U$13,E350),1)*IF(Upgrades!$T$14="Microlensing",POWER(Upgrades!$U$14,F350),1)*IF(Upgrades!$T$16="Microlensing",POWER(Upgrades!$U$16,H350),1)*IF(Upgrades!$T$17="Microlensing",POWER(Upgrades!$U$17,I350),1)*IF(Upgrades!$T$18="Microlensing",POWER(Upgrades!$U$18,J350),1)*IF(Upgrades!$T$19="Microlensing",POWER(Upgrades!$U$19,K350),1)*IF(Upgrades!$T$20="Microlensing",POWER(Upgrades!$U$20,L350),1)*IF(Upgrades!$T$21="Microlensing",POWER(Upgrades!$U$21,M350),1))*(POWER(Upgrades!$Q$13,E350)*POWER(Upgrades!$Q$14,F350)*POWER(Upgrades!$Q$15,G350)*POWER(Upgrades!$Q$16,H350)*POWER(Upgrades!$Q$17,I350)*POWER(Upgrades!$Q$18,J350)*POWER(Upgrades!$Q$19,K350)*POWER(Upgrades!$Q$20,L350)*POWER(Upgrades!$Q$21,M350))*$G$6*(Parameters!$B$10/60*Parameters!$B$11+Q350))/Upgrades!$C$18,0)),IF(K350&gt;0,0,IFERROR(0.30*P350/Upgrades!$C$19,0)),IF(L350&gt;0,0,IFERROR(0.0001/Upgrades!$C$20,0)),IF(M350&gt;0,0,IFERROR((6.0*(POWER(Upgrades!$P$13,E350)*POWER(Upgrades!$P$14,F350)*POWER(Upgrades!$P$15,G350)*POWER(Upgrades!$P$16,H350)*POWER(Upgrades!$P$17,I350)*POWER(Upgrades!$P$18,J350)*POWER(Upgrades!$P$19,K350)*POWER(Upgrades!$P$20,L350)*POWER(Upgrades!$P$21,M350))*$F$6+0.20*O350*(Parameters!$B$10/60*Parameters!$B$11+Q350))/Upgrades!$C$21,0)),IF(AND(ISNUMBER(AK350),AK350&gt;(C350+T350)),AY350,0),IF(AND(ISNUMBER(AL350),AL350&gt;(C350+T350)),AZ350,0),IF(AND(ISNUMBER(AM350),AM350&gt;(C350+T350)),BA350,0),IF(AND(ISNUMBER(AN350),AN350&gt;(C350+T350)),BB350,0),IF(AND(ISNUMBER(AO350),AO350&gt;(C350+T350)),BC350,0))</f>
        <v/>
      </c>
      <c r="BE350" s="29">
        <f>IF(AT350=1,"transition",IF(MIN(IF(AND(J350=0,ISNUMBER(AP350),AP350&lt;=(C350+T350)),AP350,9E15),IF(AND(K350=0,ISNUMBER(AQ350),AQ350&lt;=(C350+T350)),AQ350,9E15),IF(AND(L350=0,ISNUMBER(AR350),AR350&lt;=(C350+T350)),AR350,9E15),IF(AND(M350=0,ISNUMBER(AS350),AS350&lt;=(C350+T350)),AS350,9E15))&lt;9E15,IF(AND(AND(J350=0,ISNUMBER(AP350),AP350&lt;=(C350+T350)),AP350=MIN(IF(AND(J350=0,ISNUMBER(AP350),AP350&lt;=(C350+T350)),AP350,9E15),IF(AND(K350=0,ISNUMBER(AQ350),AQ350&lt;=(C350+T350)),AQ350,9E15),IF(AND(L350=0,ISNUMBER(AR350),AR350&lt;=(C350+T350)),AR350,9E15),IF(AND(M350=0,ISNUMBER(AS350),AS350&lt;=(C350+T350)),AS350,9E15))),"BiP",IF(AND(AND(K350=0,ISNUMBER(AQ350),AQ350&lt;=(C350+T350)),AQ350=MIN(IF(AND(J350=0,ISNUMBER(AP350),AP350&lt;=(C350+T350)),AP350,9E15),IF(AND(K350=0,ISNUMBER(AQ350),AQ350&lt;=(C350+T350)),AQ350,9E15),IF(AND(L350=0,ISNUMBER(AR350),AR350&lt;=(C350+T350)),AR350,9E15),IF(AND(M350=0,ISNUMBER(AS350),AS350&lt;=(C350+T350)),AS350,9E15))),"PV",IF(AND(AND(L350=0,ISNUMBER(AR350),AR350&lt;=(C350+T350)),AR350=MIN(IF(AND(J350=0,ISNUMBER(AP350),AP350&lt;=(C350+T350)),AP350,9E15),IF(AND(K350=0,ISNUMBER(AQ350),AQ350&lt;=(C350+T350)),AQ350,9E15),IF(AND(L350=0,ISNUMBER(AR350),AR350&lt;=(C350+T350)),AR350,9E15),IF(AND(M350=0,ISNUMBER(AS350),AS350&lt;=(C350+T350)),AS350,9E15))),"OC","MG"))),IF(AX350=TRUE,"",IF(MAX(IF(AND(NOT(AND(AU350=1,AT350&lt;&gt;1)),ISNUMBER(AK350),AK350&lt;=(C350+T350)),AY350,0),IF(AND(NOT(AND(AU350=1,AT350&lt;&gt;1)),ISNUMBER(AL350),AL350&lt;=(C350+T350)),AZ350,0),IF(AND(NOT(AND(AU350=1,AT350&lt;&gt;1)),ISNUMBER(AM350),AM350&lt;=(C350+T350)),BA350,0),IF(AND(NOT(AND(AU350=1,AT350&lt;&gt;1)),ISNUMBER(AN350),AN350&lt;=(C350+T350)),BB350,0),IF(AND(ISNUMBER(AO350),AO350&lt;=(C350+T350)),BC350,0))&lt;=0,"",IF(AND(IF(AND(NOT(AND(AU350=1,AT350&lt;&gt;1)),ISNUMBER(AK350),AK350&lt;=(C350+T350)),AY350,0)&gt;0,IF(AND(NOT(AND(AU350=1,AT350&lt;&gt;1)),ISNUMBER(AK350),AK350&lt;=(C350+T350)),AY350,0)=MAX(IF(AND(NOT(AND(AU350=1,AT350&lt;&gt;1)),ISNUMBER(AK350),AK350&lt;=(C350+T350)),AY350,0),IF(AND(NOT(AND(AU350=1,AT350&lt;&gt;1)),ISNUMBER(AL350),AL350&lt;=(C350+T350)),AZ350,0),IF(AND(NOT(AND(AU350=1,AT350&lt;&gt;1)),ISNUMBER(AM350),AM350&lt;=(C350+T350)),BA350,0),IF(AND(NOT(AND(AU350=1,AT350&lt;&gt;1)),ISNUMBER(AN350),AN350&lt;=(C350+T350)),BB350,0),IF(AND(ISNUMBER(AO350),AO350&lt;=(C350+T350)),BC350,0))),"SK",IF(AND(IF(AND(NOT(AND(AU350=1,AT350&lt;&gt;1)),ISNUMBER(AL350),AL350&lt;=(C350+T350)),AZ350,0)&gt;0,IF(AND(NOT(AND(AU350=1,AT350&lt;&gt;1)),ISNUMBER(AL350),AL350&lt;=(C350+T350)),AZ350,0)=MAX(IF(AND(NOT(AND(AU350=1,AT350&lt;&gt;1)),ISNUMBER(AK350),AK350&lt;=(C350+T350)),AY350,0),IF(AND(NOT(AND(AU350=1,AT350&lt;&gt;1)),ISNUMBER(AL350),AL350&lt;=(C350+T350)),AZ350,0),IF(AND(NOT(AND(AU350=1,AT350&lt;&gt;1)),ISNUMBER(AM350),AM350&lt;=(C350+T350)),BA350,0),IF(AND(NOT(AND(AU350=1,AT350&lt;&gt;1)),ISNUMBER(AN350),AN350&lt;=(C350+T350)),BB350,0),IF(AND(ISNUMBER(AO350),AO350&lt;=(C350+T350)),BC350,0))),"LB",IF(AND(IF(AND(NOT(AND(AU350=1,AT350&lt;&gt;1)),ISNUMBER(AM350),AM350&lt;=(C350+T350)),BA350,0)&gt;0,IF(AND(NOT(AND(AU350=1,AT350&lt;&gt;1)),ISNUMBER(AM350),AM350&lt;=(C350+T350)),BA350,0)=MAX(IF(AND(NOT(AND(AU350=1,AT350&lt;&gt;1)),ISNUMBER(AK350),AK350&lt;=(C350+T350)),AY350,0),IF(AND(NOT(AND(AU350=1,AT350&lt;&gt;1)),ISNUMBER(AL350),AL350&lt;=(C350+T350)),AZ350,0),IF(AND(NOT(AND(AU350=1,AT350&lt;&gt;1)),ISNUMBER(AM350),AM350&lt;=(C350+T350)),BA350,0),IF(AND(NOT(AND(AU350=1,AT350&lt;&gt;1)),ISNUMBER(AN350),AN350&lt;=(C350+T350)),BB350,0),IF(AND(ISNUMBER(AO350),AO350&lt;=(C350+T350)),BC350,0))),"ML",IF(AND(IF(AND(NOT(AND(AU350=1,AT350&lt;&gt;1)),ISNUMBER(AN350),AN350&lt;=(C350+T350)),BB350,0)&gt;0,IF(AND(NOT(AND(AU350=1,AT350&lt;&gt;1)),ISNUMBER(AN350),AN350&lt;=(C350+T350)),BB350,0)=MAX(IF(AND(NOT(AND(AU350=1,AT350&lt;&gt;1)),ISNUMBER(AK350),AK350&lt;=(C350+T350)),AY350,0),IF(AND(NOT(AND(AU350=1,AT350&lt;&gt;1)),ISNUMBER(AL350),AL350&lt;=(C350+T350)),AZ350,0),IF(AND(NOT(AND(AU350=1,AT350&lt;&gt;1)),ISNUMBER(AM350),AM350&lt;=(C350+T350)),BA350,0),IF(AND(NOT(AND(AU350=1,AT350&lt;&gt;1)),ISNUMBER(AN350),AN350&lt;=(C350+T350)),BB350,0),IF(AND(ISNUMBER(AO350),AO350&lt;=(C350+T350)),BC350,0))),"RLO","BD"))))))))</f>
        <v/>
      </c>
    </row>
    <row r="351">
      <c r="A351" s="26" t="n">
        <v>340</v>
      </c>
      <c r="B351" s="27">
        <f>A351*10/60</f>
        <v/>
      </c>
      <c r="C351" s="22">
        <f>X350</f>
        <v/>
      </c>
      <c r="D351" s="27">
        <f>D350+W350</f>
        <v/>
      </c>
      <c r="E351" s="26">
        <f>E350+IF(U350="SK",1,0)</f>
        <v/>
      </c>
      <c r="F351" s="26">
        <f>F350+IF(U350="LB",1,0)</f>
        <v/>
      </c>
      <c r="G351" s="26">
        <f>G350+IF(U350="ML",1,0)</f>
        <v/>
      </c>
      <c r="H351" s="26">
        <f>H350+IF(U350="RLO",1,0)</f>
        <v/>
      </c>
      <c r="I351" s="26">
        <f>I350+IF(U350="BD",1,0)</f>
        <v/>
      </c>
      <c r="J351" s="26">
        <f>MAX(J350,IF(U350="BiP",1,0))</f>
        <v/>
      </c>
      <c r="K351" s="26">
        <f>MAX(K350,IF(U350="PV",1,0))</f>
        <v/>
      </c>
      <c r="L351" s="26">
        <f>MAX(L350,IF(U350="OC",1,0))</f>
        <v/>
      </c>
      <c r="M351" s="26">
        <f>MAX(M350,IF(U350="MG",1,0))</f>
        <v/>
      </c>
      <c r="N351" s="26">
        <f>MAX(N350,IF(U350="transition",1,0))</f>
        <v/>
      </c>
      <c r="O351" s="28">
        <f>(Parameters!$B$9+(IF(E351=0,0,(Upgrades!$J$13+E351*Upgrades!$K$13)*POWER(Upgrades!$L$13,E351)))*(IF(Upgrades!$T$14="Stellar Kinematics",POWER(Upgrades!$U$14,F351),1)*IF(Upgrades!$T$15="Stellar Kinematics",POWER(Upgrades!$U$15,G351),1)*IF(Upgrades!$T$16="Stellar Kinematics",POWER(Upgrades!$U$16,H351),1)*IF(Upgrades!$T$17="Stellar Kinematics",POWER(Upgrades!$U$17,I351),1)*IF(Upgrades!$T$18="Stellar Kinematics",POWER(Upgrades!$U$18,J351),1)*IF(Upgrades!$T$19="Stellar Kinematics",POWER(Upgrades!$U$19,K351),1)*IF(Upgrades!$T$20="Stellar Kinematics",POWER(Upgrades!$U$20,L351),1)*IF(Upgrades!$T$21="Stellar Kinematics",POWER(Upgrades!$U$21,M351),1))+(IF(F351=0,0,(Upgrades!$J$14+F351*Upgrades!$K$14)*POWER(Upgrades!$L$14,F351)))*(IF(Upgrades!$T$13="Local Bubble",POWER(Upgrades!$U$13,E351),1)*IF(Upgrades!$T$15="Local Bubble",POWER(Upgrades!$U$15,G351),1)*IF(Upgrades!$T$16="Local Bubble",POWER(Upgrades!$U$16,H351),1)*IF(Upgrades!$T$17="Local Bubble",POWER(Upgrades!$U$17,I351),1)*IF(Upgrades!$T$18="Local Bubble",POWER(Upgrades!$U$18,J351),1)*IF(Upgrades!$T$19="Local Bubble",POWER(Upgrades!$U$19,K351),1)*IF(Upgrades!$T$20="Local Bubble",POWER(Upgrades!$U$20,L351),1)*IF(Upgrades!$T$21="Local Bubble",POWER(Upgrades!$U$21,M351),1))+(IF(G351=0,0,(Upgrades!$J$15+G351*Upgrades!$K$15)*POWER(Upgrades!$L$15,G351)))*(IF(Upgrades!$T$13="Microlensing",POWER(Upgrades!$U$13,E351),1)*IF(Upgrades!$T$14="Microlensing",POWER(Upgrades!$U$14,F351),1)*IF(Upgrades!$T$16="Microlensing",POWER(Upgrades!$U$16,H351),1)*IF(Upgrades!$T$17="Microlensing",POWER(Upgrades!$U$17,I351),1)*IF(Upgrades!$T$18="Microlensing",POWER(Upgrades!$U$18,J351),1)*IF(Upgrades!$T$19="Microlensing",POWER(Upgrades!$U$19,K351),1)*IF(Upgrades!$T$20="Microlensing",POWER(Upgrades!$U$20,L351),1)*IF(Upgrades!$T$21="Microlensing",POWER(Upgrades!$U$21,M351),1))+(IF(H351=0,0,(Upgrades!$J$16+H351*Upgrades!$K$16)*POWER(Upgrades!$L$16,H351)))*(IF(Upgrades!$T$13="Roche Lobe Overflow",POWER(Upgrades!$U$13,E351),1)*IF(Upgrades!$T$14="Roche Lobe Overflow",POWER(Upgrades!$U$14,F351),1)*IF(Upgrades!$T$15="Roche Lobe Overflow",POWER(Upgrades!$U$15,G351),1)*IF(Upgrades!$T$17="Roche Lobe Overflow",POWER(Upgrades!$U$17,I351),1)*IF(Upgrades!$T$18="Roche Lobe Overflow",POWER(Upgrades!$U$18,J351),1)*IF(Upgrades!$T$19="Roche Lobe Overflow",POWER(Upgrades!$U$19,K351),1)*IF(Upgrades!$T$20="Roche Lobe Overflow",POWER(Upgrades!$U$20,L351),1)*IF(Upgrades!$T$21="Roche Lobe Overflow",POWER(Upgrades!$U$21,M351),1))+(IF(I351=0,0,(Upgrades!$J$17+I351*Upgrades!$K$17)*POWER(Upgrades!$L$17,I351)))*(IF(Upgrades!$T$13="Brown Dwarf",POWER(Upgrades!$U$13,E351),1)*IF(Upgrades!$T$14="Brown Dwarf",POWER(Upgrades!$U$14,F351),1)*IF(Upgrades!$T$15="Brown Dwarf",POWER(Upgrades!$U$15,G351),1)*IF(Upgrades!$T$16="Brown Dwarf",POWER(Upgrades!$U$16,H351),1)*IF(Upgrades!$T$18="Brown Dwarf",POWER(Upgrades!$U$18,J351),1)*IF(Upgrades!$T$19="Brown Dwarf",POWER(Upgrades!$U$19,K351),1)*IF(Upgrades!$T$20="Brown Dwarf",POWER(Upgrades!$U$20,L351),1)*IF(Upgrades!$T$21="Brown Dwarf",POWER(Upgrades!$U$21,M351),1))+(IF(J351=0,0,(Upgrades!$J$18+J351*Upgrades!$K$18)*POWER(Upgrades!$L$18,J351)))*(IF(Upgrades!$T$13="Binary Partner",POWER(Upgrades!$U$13,E351),1)*IF(Upgrades!$T$14="Binary Partner",POWER(Upgrades!$U$14,F351),1)*IF(Upgrades!$T$15="Binary Partner",POWER(Upgrades!$U$15,G351),1)*IF(Upgrades!$T$16="Binary Partner",POWER(Upgrades!$U$16,H351),1)*IF(Upgrades!$T$17="Binary Partner",POWER(Upgrades!$U$17,I351),1)*IF(Upgrades!$T$19="Binary Partner",POWER(Upgrades!$U$19,K351),1)*IF(Upgrades!$T$20="Binary Partner",POWER(Upgrades!$U$20,L351),1)*IF(Upgrades!$T$21="Binary Partner",POWER(Upgrades!$U$21,M351),1))+(IF(K351=0,0,(Upgrades!$J$19+K351*Upgrades!$K$19)*POWER(Upgrades!$L$19,K351)))*(IF(Upgrades!$T$13="Peculiar Velocity",POWER(Upgrades!$U$13,E351),1)*IF(Upgrades!$T$14="Peculiar Velocity",POWER(Upgrades!$U$14,F351),1)*IF(Upgrades!$T$15="Peculiar Velocity",POWER(Upgrades!$U$15,G351),1)*IF(Upgrades!$T$16="Peculiar Velocity",POWER(Upgrades!$U$16,H351),1)*IF(Upgrades!$T$17="Peculiar Velocity",POWER(Upgrades!$U$17,I351),1)*IF(Upgrades!$T$18="Peculiar Velocity",POWER(Upgrades!$U$18,J351),1)*IF(Upgrades!$T$20="Peculiar Velocity",POWER(Upgrades!$U$20,L351),1)*IF(Upgrades!$T$21="Peculiar Velocity",POWER(Upgrades!$U$21,M351),1))+(IF(L351=0,0,(Upgrades!$J$20+L351*Upgrades!$K$20)*POWER(Upgrades!$L$20,L351)))*(IF(Upgrades!$T$13="Open Cluster",POWER(Upgrades!$U$13,E351),1)*IF(Upgrades!$T$14="Open Cluster",POWER(Upgrades!$U$14,F351),1)*IF(Upgrades!$T$15="Open Cluster",POWER(Upgrades!$U$15,G351),1)*IF(Upgrades!$T$16="Open Cluster",POWER(Upgrades!$U$16,H351),1)*IF(Upgrades!$T$17="Open Cluster",POWER(Upgrades!$U$17,I351),1)*IF(Upgrades!$T$18="Open Cluster",POWER(Upgrades!$U$18,J351),1)*IF(Upgrades!$T$19="Open Cluster",POWER(Upgrades!$U$19,K351),1)*IF(Upgrades!$T$21="Open Cluster",POWER(Upgrades!$U$21,M351),1))+(IF(M351=0,0,(Upgrades!$J$21+M351*Upgrades!$K$21)*POWER(Upgrades!$L$21,M351)))*(IF(Upgrades!$T$13="Moving Group",POWER(Upgrades!$U$13,E351),1)*IF(Upgrades!$T$14="Moving Group",POWER(Upgrades!$U$14,F351),1)*IF(Upgrades!$T$15="Moving Group",POWER(Upgrades!$U$15,G351),1)*IF(Upgrades!$T$16="Moving Group",POWER(Upgrades!$U$16,H351),1)*IF(Upgrades!$T$17="Moving Group",POWER(Upgrades!$U$17,I351),1)*IF(Upgrades!$T$18="Moving Group",POWER(Upgrades!$U$18,J351),1)*IF(Upgrades!$T$19="Moving Group",POWER(Upgrades!$U$19,K351),1)*IF(Upgrades!$T$20="Moving Group",POWER(Upgrades!$U$20,L351),1)))*POWER(Upgrades!$Q$13,E351)*POWER(Upgrades!$Q$14,F351)*POWER(Upgrades!$Q$15,G351)*POWER(Upgrades!$Q$16,H351)*POWER(Upgrades!$Q$17,I351)*POWER(Upgrades!$Q$18,J351)*POWER(Upgrades!$Q$19,K351)*POWER(Upgrades!$Q$20,L351)*POWER(Upgrades!$Q$21,M351)*$G$6+$D$6</f>
        <v/>
      </c>
      <c r="P351" s="28">
        <f>((IF(E351=0,0,(Upgrades!$G$13+E351*Upgrades!$H$13)*POWER(Upgrades!$I$13,E351)))*(IF(Upgrades!$T$14="Stellar Kinematics",POWER(Upgrades!$U$14,F351),1)*IF(Upgrades!$T$15="Stellar Kinematics",POWER(Upgrades!$U$15,G351),1)*IF(Upgrades!$T$16="Stellar Kinematics",POWER(Upgrades!$U$16,H351),1)*IF(Upgrades!$T$17="Stellar Kinematics",POWER(Upgrades!$U$17,I351),1)*IF(Upgrades!$T$18="Stellar Kinematics",POWER(Upgrades!$U$18,J351),1)*IF(Upgrades!$T$19="Stellar Kinematics",POWER(Upgrades!$U$19,K351),1)*IF(Upgrades!$T$20="Stellar Kinematics",POWER(Upgrades!$U$20,L351),1)*IF(Upgrades!$T$21="Stellar Kinematics",POWER(Upgrades!$U$21,M351),1))+(IF(F351=0,0,(Upgrades!$G$14+F351*Upgrades!$H$14)*POWER(Upgrades!$I$14,F351)))*(IF(Upgrades!$T$13="Local Bubble",POWER(Upgrades!$U$13,E351),1)*IF(Upgrades!$T$15="Local Bubble",POWER(Upgrades!$U$15,G351),1)*IF(Upgrades!$T$16="Local Bubble",POWER(Upgrades!$U$16,H351),1)*IF(Upgrades!$T$17="Local Bubble",POWER(Upgrades!$U$17,I351),1)*IF(Upgrades!$T$18="Local Bubble",POWER(Upgrades!$U$18,J351),1)*IF(Upgrades!$T$19="Local Bubble",POWER(Upgrades!$U$19,K351),1)*IF(Upgrades!$T$20="Local Bubble",POWER(Upgrades!$U$20,L351),1)*IF(Upgrades!$T$21="Local Bubble",POWER(Upgrades!$U$21,M351),1))+(IF(G351=0,0,(Upgrades!$G$15+G351*Upgrades!$H$15)*POWER(Upgrades!$I$15,G351)))*(IF(Upgrades!$T$13="Microlensing",POWER(Upgrades!$U$13,E351),1)*IF(Upgrades!$T$14="Microlensing",POWER(Upgrades!$U$14,F351),1)*IF(Upgrades!$T$16="Microlensing",POWER(Upgrades!$U$16,H351),1)*IF(Upgrades!$T$17="Microlensing",POWER(Upgrades!$U$17,I351),1)*IF(Upgrades!$T$18="Microlensing",POWER(Upgrades!$U$18,J351),1)*IF(Upgrades!$T$19="Microlensing",POWER(Upgrades!$U$19,K351),1)*IF(Upgrades!$T$20="Microlensing",POWER(Upgrades!$U$20,L351),1)*IF(Upgrades!$T$21="Microlensing",POWER(Upgrades!$U$21,M351),1))+(IF(H351=0,0,(Upgrades!$G$16+H351*Upgrades!$H$16)*POWER(Upgrades!$I$16,H351)))*(IF(Upgrades!$T$13="Roche Lobe Overflow",POWER(Upgrades!$U$13,E351),1)*IF(Upgrades!$T$14="Roche Lobe Overflow",POWER(Upgrades!$U$14,F351),1)*IF(Upgrades!$T$15="Roche Lobe Overflow",POWER(Upgrades!$U$15,G351),1)*IF(Upgrades!$T$17="Roche Lobe Overflow",POWER(Upgrades!$U$17,I351),1)*IF(Upgrades!$T$18="Roche Lobe Overflow",POWER(Upgrades!$U$18,J351),1)*IF(Upgrades!$T$19="Roche Lobe Overflow",POWER(Upgrades!$U$19,K351),1)*IF(Upgrades!$T$20="Roche Lobe Overflow",POWER(Upgrades!$U$20,L351),1)*IF(Upgrades!$T$21="Roche Lobe Overflow",POWER(Upgrades!$U$21,M351),1))+(IF(I351=0,0,(Upgrades!$G$17+I351*Upgrades!$H$17)*POWER(Upgrades!$I$17,I351)))*(IF(Upgrades!$T$13="Brown Dwarf",POWER(Upgrades!$U$13,E351),1)*IF(Upgrades!$T$14="Brown Dwarf",POWER(Upgrades!$U$14,F351),1)*IF(Upgrades!$T$15="Brown Dwarf",POWER(Upgrades!$U$15,G351),1)*IF(Upgrades!$T$16="Brown Dwarf",POWER(Upgrades!$U$16,H351),1)*IF(Upgrades!$T$18="Brown Dwarf",POWER(Upgrades!$U$18,J351),1)*IF(Upgrades!$T$19="Brown Dwarf",POWER(Upgrades!$U$19,K351),1)*IF(Upgrades!$T$20="Brown Dwarf",POWER(Upgrades!$U$20,L351),1)*IF(Upgrades!$T$21="Brown Dwarf",POWER(Upgrades!$U$21,M351),1))+(IF(J351=0,0,(Upgrades!$G$18+J351*Upgrades!$H$18)*POWER(Upgrades!$I$18,J351)))*(IF(Upgrades!$T$13="Binary Partner",POWER(Upgrades!$U$13,E351),1)*IF(Upgrades!$T$14="Binary Partner",POWER(Upgrades!$U$14,F351),1)*IF(Upgrades!$T$15="Binary Partner",POWER(Upgrades!$U$15,G351),1)*IF(Upgrades!$T$16="Binary Partner",POWER(Upgrades!$U$16,H351),1)*IF(Upgrades!$T$17="Binary Partner",POWER(Upgrades!$U$17,I351),1)*IF(Upgrades!$T$19="Binary Partner",POWER(Upgrades!$U$19,K351),1)*IF(Upgrades!$T$20="Binary Partner",POWER(Upgrades!$U$20,L351),1)*IF(Upgrades!$T$21="Binary Partner",POWER(Upgrades!$U$21,M351),1))+(IF(K351=0,0,(Upgrades!$G$19+K351*Upgrades!$H$19)*POWER(Upgrades!$I$19,K351)))*(IF(Upgrades!$T$13="Peculiar Velocity",POWER(Upgrades!$U$13,E351),1)*IF(Upgrades!$T$14="Peculiar Velocity",POWER(Upgrades!$U$14,F351),1)*IF(Upgrades!$T$15="Peculiar Velocity",POWER(Upgrades!$U$15,G351),1)*IF(Upgrades!$T$16="Peculiar Velocity",POWER(Upgrades!$U$16,H351),1)*IF(Upgrades!$T$17="Peculiar Velocity",POWER(Upgrades!$U$17,I351),1)*IF(Upgrades!$T$18="Peculiar Velocity",POWER(Upgrades!$U$18,J351),1)*IF(Upgrades!$T$20="Peculiar Velocity",POWER(Upgrades!$U$20,L351),1)*IF(Upgrades!$T$21="Peculiar Velocity",POWER(Upgrades!$U$21,M351),1))+(IF(L351=0,0,(Upgrades!$G$20+L351*Upgrades!$H$20)*POWER(Upgrades!$I$20,L351)))*(IF(Upgrades!$T$13="Open Cluster",POWER(Upgrades!$U$13,E351),1)*IF(Upgrades!$T$14="Open Cluster",POWER(Upgrades!$U$14,F351),1)*IF(Upgrades!$T$15="Open Cluster",POWER(Upgrades!$U$15,G351),1)*IF(Upgrades!$T$16="Open Cluster",POWER(Upgrades!$U$16,H351),1)*IF(Upgrades!$T$17="Open Cluster",POWER(Upgrades!$U$17,I351),1)*IF(Upgrades!$T$18="Open Cluster",POWER(Upgrades!$U$18,J351),1)*IF(Upgrades!$T$19="Open Cluster",POWER(Upgrades!$U$19,K351),1)*IF(Upgrades!$T$21="Open Cluster",POWER(Upgrades!$U$21,M351),1))+(IF(M351=0,0,(Upgrades!$G$21+M351*Upgrades!$H$21)*POWER(Upgrades!$I$21,M351)))*(IF(Upgrades!$T$13="Moving Group",POWER(Upgrades!$U$13,E351),1)*IF(Upgrades!$T$14="Moving Group",POWER(Upgrades!$U$14,F351),1)*IF(Upgrades!$T$15="Moving Group",POWER(Upgrades!$U$15,G351),1)*IF(Upgrades!$T$16="Moving Group",POWER(Upgrades!$U$16,H351),1)*IF(Upgrades!$T$17="Moving Group",POWER(Upgrades!$U$17,I351),1)*IF(Upgrades!$T$18="Moving Group",POWER(Upgrades!$U$18,J351),1)*IF(Upgrades!$T$19="Moving Group",POWER(Upgrades!$U$19,K351),1)*IF(Upgrades!$T$20="Moving Group",POWER(Upgrades!$U$20,L351),1)))*POWER(Upgrades!$P$13,E351)*POWER(Upgrades!$P$14,F351)*POWER(Upgrades!$P$15,G351)*POWER(Upgrades!$P$16,H351)*POWER(Upgrades!$P$17,I351)*POWER(Upgrades!$P$18,J351)*POWER(Upgrades!$P$19,K351)*POWER(Upgrades!$P$20,L351)*POWER(Upgrades!$P$21,M351)*$F$6+$C$6</f>
        <v/>
      </c>
      <c r="Q351" s="28">
        <f>((IF(E351=0,0,(Upgrades!$M$13+E351*Upgrades!$N$13)*POWER(Upgrades!$O$13,E351)))*(IF(Upgrades!$T$14="Stellar Kinematics",POWER(Upgrades!$U$14,F351),1)*IF(Upgrades!$T$15="Stellar Kinematics",POWER(Upgrades!$U$15,G351),1)*IF(Upgrades!$T$16="Stellar Kinematics",POWER(Upgrades!$U$16,H351),1)*IF(Upgrades!$T$17="Stellar Kinematics",POWER(Upgrades!$U$17,I351),1)*IF(Upgrades!$T$18="Stellar Kinematics",POWER(Upgrades!$U$18,J351),1)*IF(Upgrades!$T$19="Stellar Kinematics",POWER(Upgrades!$U$19,K351),1)*IF(Upgrades!$T$20="Stellar Kinematics",POWER(Upgrades!$U$20,L351),1)*IF(Upgrades!$T$21="Stellar Kinematics",POWER(Upgrades!$U$21,M351),1))+(IF(F351=0,0,(Upgrades!$M$14+F351*Upgrades!$N$14)*POWER(Upgrades!$O$14,F351)))*(IF(Upgrades!$T$13="Local Bubble",POWER(Upgrades!$U$13,E351),1)*IF(Upgrades!$T$15="Local Bubble",POWER(Upgrades!$U$15,G351),1)*IF(Upgrades!$T$16="Local Bubble",POWER(Upgrades!$U$16,H351),1)*IF(Upgrades!$T$17="Local Bubble",POWER(Upgrades!$U$17,I351),1)*IF(Upgrades!$T$18="Local Bubble",POWER(Upgrades!$U$18,J351),1)*IF(Upgrades!$T$19="Local Bubble",POWER(Upgrades!$U$19,K351),1)*IF(Upgrades!$T$20="Local Bubble",POWER(Upgrades!$U$20,L351),1)*IF(Upgrades!$T$21="Local Bubble",POWER(Upgrades!$U$21,M351),1))+(IF(G351=0,0,(Upgrades!$M$15+G351*Upgrades!$N$15)*POWER(Upgrades!$O$15,G351)))*(IF(Upgrades!$T$13="Microlensing",POWER(Upgrades!$U$13,E351),1)*IF(Upgrades!$T$14="Microlensing",POWER(Upgrades!$U$14,F351),1)*IF(Upgrades!$T$16="Microlensing",POWER(Upgrades!$U$16,H351),1)*IF(Upgrades!$T$17="Microlensing",POWER(Upgrades!$U$17,I351),1)*IF(Upgrades!$T$18="Microlensing",POWER(Upgrades!$U$18,J351),1)*IF(Upgrades!$T$19="Microlensing",POWER(Upgrades!$U$19,K351),1)*IF(Upgrades!$T$20="Microlensing",POWER(Upgrades!$U$20,L351),1)*IF(Upgrades!$T$21="Microlensing",POWER(Upgrades!$U$21,M351),1))+(IF(H351=0,0,(Upgrades!$M$16+H351*Upgrades!$N$16)*POWER(Upgrades!$O$16,H351)))*(IF(Upgrades!$T$13="Roche Lobe Overflow",POWER(Upgrades!$U$13,E351),1)*IF(Upgrades!$T$14="Roche Lobe Overflow",POWER(Upgrades!$U$14,F351),1)*IF(Upgrades!$T$15="Roche Lobe Overflow",POWER(Upgrades!$U$15,G351),1)*IF(Upgrades!$T$17="Roche Lobe Overflow",POWER(Upgrades!$U$17,I351),1)*IF(Upgrades!$T$18="Roche Lobe Overflow",POWER(Upgrades!$U$18,J351),1)*IF(Upgrades!$T$19="Roche Lobe Overflow",POWER(Upgrades!$U$19,K351),1)*IF(Upgrades!$T$20="Roche Lobe Overflow",POWER(Upgrades!$U$20,L351),1)*IF(Upgrades!$T$21="Roche Lobe Overflow",POWER(Upgrades!$U$21,M351),1))+(IF(I351=0,0,(Upgrades!$M$17+I351*Upgrades!$N$17)*POWER(Upgrades!$O$17,I351)))*(IF(Upgrades!$T$13="Brown Dwarf",POWER(Upgrades!$U$13,E351),1)*IF(Upgrades!$T$14="Brown Dwarf",POWER(Upgrades!$U$14,F351),1)*IF(Upgrades!$T$15="Brown Dwarf",POWER(Upgrades!$U$15,G351),1)*IF(Upgrades!$T$16="Brown Dwarf",POWER(Upgrades!$U$16,H351),1)*IF(Upgrades!$T$18="Brown Dwarf",POWER(Upgrades!$U$18,J351),1)*IF(Upgrades!$T$19="Brown Dwarf",POWER(Upgrades!$U$19,K351),1)*IF(Upgrades!$T$20="Brown Dwarf",POWER(Upgrades!$U$20,L351),1)*IF(Upgrades!$T$21="Brown Dwarf",POWER(Upgrades!$U$21,M351),1))+(IF(J351=0,0,(Upgrades!$M$18+J351*Upgrades!$N$18)*POWER(Upgrades!$O$18,J351)))*(IF(Upgrades!$T$13="Binary Partner",POWER(Upgrades!$U$13,E351),1)*IF(Upgrades!$T$14="Binary Partner",POWER(Upgrades!$U$14,F351),1)*IF(Upgrades!$T$15="Binary Partner",POWER(Upgrades!$U$15,G351),1)*IF(Upgrades!$T$16="Binary Partner",POWER(Upgrades!$U$16,H351),1)*IF(Upgrades!$T$17="Binary Partner",POWER(Upgrades!$U$17,I351),1)*IF(Upgrades!$T$19="Binary Partner",POWER(Upgrades!$U$19,K351),1)*IF(Upgrades!$T$20="Binary Partner",POWER(Upgrades!$U$20,L351),1)*IF(Upgrades!$T$21="Binary Partner",POWER(Upgrades!$U$21,M351),1))+(IF(K351=0,0,(Upgrades!$M$19+K351*Upgrades!$N$19)*POWER(Upgrades!$O$19,K351)))*(IF(Upgrades!$T$13="Peculiar Velocity",POWER(Upgrades!$U$13,E351),1)*IF(Upgrades!$T$14="Peculiar Velocity",POWER(Upgrades!$U$14,F351),1)*IF(Upgrades!$T$15="Peculiar Velocity",POWER(Upgrades!$U$15,G351),1)*IF(Upgrades!$T$16="Peculiar Velocity",POWER(Upgrades!$U$16,H351),1)*IF(Upgrades!$T$17="Peculiar Velocity",POWER(Upgrades!$U$17,I351),1)*IF(Upgrades!$T$18="Peculiar Velocity",POWER(Upgrades!$U$18,J351),1)*IF(Upgrades!$T$20="Peculiar Velocity",POWER(Upgrades!$U$20,L351),1)*IF(Upgrades!$T$21="Peculiar Velocity",POWER(Upgrades!$U$21,M351),1))+(IF(L351=0,0,(Upgrades!$M$20+L351*Upgrades!$N$20)*POWER(Upgrades!$O$20,L351)))*(IF(Upgrades!$T$13="Open Cluster",POWER(Upgrades!$U$13,E351),1)*IF(Upgrades!$T$14="Open Cluster",POWER(Upgrades!$U$14,F351),1)*IF(Upgrades!$T$15="Open Cluster",POWER(Upgrades!$U$15,G351),1)*IF(Upgrades!$T$16="Open Cluster",POWER(Upgrades!$U$16,H351),1)*IF(Upgrades!$T$17="Open Cluster",POWER(Upgrades!$U$17,I351),1)*IF(Upgrades!$T$18="Open Cluster",POWER(Upgrades!$U$18,J351),1)*IF(Upgrades!$T$19="Open Cluster",POWER(Upgrades!$U$19,K351),1)*IF(Upgrades!$T$21="Open Cluster",POWER(Upgrades!$U$21,M351),1))+(IF(M351=0,0,(Upgrades!$M$21+M351*Upgrades!$N$21)*POWER(Upgrades!$O$21,M351)))*(IF(Upgrades!$T$13="Moving Group",POWER(Upgrades!$U$13,E351),1)*IF(Upgrades!$T$14="Moving Group",POWER(Upgrades!$U$14,F351),1)*IF(Upgrades!$T$15="Moving Group",POWER(Upgrades!$U$15,G351),1)*IF(Upgrades!$T$16="Moving Group",POWER(Upgrades!$U$16,H351),1)*IF(Upgrades!$T$17="Moving Group",POWER(Upgrades!$U$17,I351),1)*IF(Upgrades!$T$18="Moving Group",POWER(Upgrades!$U$18,J351),1)*IF(Upgrades!$T$19="Moving Group",POWER(Upgrades!$U$19,K351),1)*IF(Upgrades!$T$20="Moving Group",POWER(Upgrades!$U$20,L351),1)))*POWER(Upgrades!$R$13,E351)*POWER(Upgrades!$R$14,F351)*POWER(Upgrades!$R$15,G351)*POWER(Upgrades!$R$16,H351)*POWER(Upgrades!$R$17,I351)*POWER(Upgrades!$R$18,J351)*POWER(Upgrades!$R$19,K351)*POWER(Upgrades!$R$20,L351)*POWER(Upgrades!$R$21,M351)*$H$6+$E$6</f>
        <v/>
      </c>
      <c r="R351" s="27">
        <f>IF(N351=1,0,O351*Parameters!$B$10/60*Parameters!$B$11*10)</f>
        <v/>
      </c>
      <c r="S351" s="27">
        <f>IF(N351=1,0,Q351*O351*10)</f>
        <v/>
      </c>
      <c r="T351" s="27">
        <f>IF(N351=1,0,R351+S351+P351*10)</f>
        <v/>
      </c>
      <c r="U351" s="33">
        <f>BE351</f>
        <v/>
      </c>
      <c r="V351" s="22">
        <f>IF(U351="",0,IF(U351="transition",0,IF(U351="SK",AK351,IF(U351="LB",AL351,IF(U351="ML",AM351,IF(U351="RLO",AN351,IF(U351="BD",AO351,IF(U351="BiP",AP351,IF(U351="PV",AQ351,IF(U351="OC",AR351,IF(U351="MG",AS351,0))))))))))</f>
        <v/>
      </c>
      <c r="W351" s="27">
        <f>IF(U351="BiP",Upgrades!$F$18,IF(U351="PV",Upgrades!$F$19,IF(U351="OC",Upgrades!$F$20,IF(U351="MG",Upgrades!$F$21,IF(U351="transition",-Parameters!$B$18*Parameters!$B$19,0)))))</f>
        <v/>
      </c>
      <c r="X351" s="22">
        <f>C351+T351-V351</f>
        <v/>
      </c>
      <c r="Y351" s="30">
        <f>O351*Parameters!$B$10/60*Parameters!$B$11+Q351*O351+P351</f>
        <v/>
      </c>
      <c r="Z351" s="34">
        <f>IF(U351="transition","→ Tier 3 (Galactic Arm)",IF(U351="MG","Moving Group — pocket drifts together",IF(U351="OC","Open Cluster acquired",IF(U351="PV","Peculiar Velocity — passive multiplier active",IF(U351="BiP","Binary Partner — pair bond formed",IF(AND(AU351=1,N351=0,AT351&lt;&gt;1),"Cohesion ready (waiting on completionists)","")))))) </f>
        <v/>
      </c>
      <c r="AA351" s="27">
        <f>(IF(E351=0,0,(Upgrades!$G$13+E351*Upgrades!$H$13)*POWER(Upgrades!$I$13,E351)))*(IF(Upgrades!$T$14="Stellar Kinematics",POWER(Upgrades!$U$14,F351),1)*IF(Upgrades!$T$15="Stellar Kinematics",POWER(Upgrades!$U$15,G351),1)*IF(Upgrades!$T$16="Stellar Kinematics",POWER(Upgrades!$U$16,H351),1)*IF(Upgrades!$T$17="Stellar Kinematics",POWER(Upgrades!$U$17,I351),1)*IF(Upgrades!$T$18="Stellar Kinematics",POWER(Upgrades!$U$18,J351),1)*IF(Upgrades!$T$19="Stellar Kinematics",POWER(Upgrades!$U$19,K351),1)*IF(Upgrades!$T$20="Stellar Kinematics",POWER(Upgrades!$U$20,L351),1)*IF(Upgrades!$T$21="Stellar Kinematics",POWER(Upgrades!$U$21,M351),1))*POWER(Upgrades!$P$13,E351)*POWER(Upgrades!$P$14,F351)*POWER(Upgrades!$P$15,G351)*POWER(Upgrades!$P$16,H351)*POWER(Upgrades!$P$17,I351)*POWER(Upgrades!$P$18,J351)*POWER(Upgrades!$P$19,K351)*POWER(Upgrades!$P$20,L351)*POWER(Upgrades!$P$21,M351)*$F$6*60</f>
        <v/>
      </c>
      <c r="AB351" s="27">
        <f>(IF(F351=0,0,(Upgrades!$G$14+F351*Upgrades!$H$14)*POWER(Upgrades!$I$14,F351)))*(IF(Upgrades!$T$13="Local Bubble",POWER(Upgrades!$U$13,E351),1)*IF(Upgrades!$T$15="Local Bubble",POWER(Upgrades!$U$15,G351),1)*IF(Upgrades!$T$16="Local Bubble",POWER(Upgrades!$U$16,H351),1)*IF(Upgrades!$T$17="Local Bubble",POWER(Upgrades!$U$17,I351),1)*IF(Upgrades!$T$18="Local Bubble",POWER(Upgrades!$U$18,J351),1)*IF(Upgrades!$T$19="Local Bubble",POWER(Upgrades!$U$19,K351),1)*IF(Upgrades!$T$20="Local Bubble",POWER(Upgrades!$U$20,L351),1)*IF(Upgrades!$T$21="Local Bubble",POWER(Upgrades!$U$21,M351),1))*POWER(Upgrades!$P$13,E351)*POWER(Upgrades!$P$14,F351)*POWER(Upgrades!$P$15,G351)*POWER(Upgrades!$P$16,H351)*POWER(Upgrades!$P$17,I351)*POWER(Upgrades!$P$18,J351)*POWER(Upgrades!$P$19,K351)*POWER(Upgrades!$P$20,L351)*POWER(Upgrades!$P$21,M351)*$F$6*60</f>
        <v/>
      </c>
      <c r="AC351" s="27">
        <f>(IF(G351=0,0,(Upgrades!$J$15+G351*Upgrades!$K$15)*POWER(Upgrades!$L$15,G351)))*(IF(Upgrades!$T$13="Microlensing",POWER(Upgrades!$U$13,E351),1)*IF(Upgrades!$T$14="Microlensing",POWER(Upgrades!$U$14,F351),1)*IF(Upgrades!$T$16="Microlensing",POWER(Upgrades!$U$16,H351),1)*IF(Upgrades!$T$17="Microlensing",POWER(Upgrades!$U$17,I351),1)*IF(Upgrades!$T$18="Microlensing",POWER(Upgrades!$U$18,J351),1)*IF(Upgrades!$T$19="Microlensing",POWER(Upgrades!$U$19,K351),1)*IF(Upgrades!$T$20="Microlensing",POWER(Upgrades!$U$20,L351),1)*IF(Upgrades!$T$21="Microlensing",POWER(Upgrades!$U$21,M351),1))*POWER(Upgrades!$Q$13,E351)*POWER(Upgrades!$Q$14,F351)*POWER(Upgrades!$Q$15,G351)*POWER(Upgrades!$Q$16,H351)*POWER(Upgrades!$Q$17,I351)*POWER(Upgrades!$Q$18,J351)*POWER(Upgrades!$Q$19,K351)*POWER(Upgrades!$Q$20,L351)*POWER(Upgrades!$Q$21,M351)*$G$6*(Parameters!$B$10*Parameters!$B$11+Q351*60)</f>
        <v/>
      </c>
      <c r="AD351" s="27">
        <f>(IF(H351=0,0,(Upgrades!$M$16+H351*Upgrades!$N$16)*POWER(Upgrades!$O$16,H351)))*(IF(Upgrades!$T$13="Roche Lobe Overflow",POWER(Upgrades!$U$13,E351),1)*IF(Upgrades!$T$14="Roche Lobe Overflow",POWER(Upgrades!$U$14,F351),1)*IF(Upgrades!$T$15="Roche Lobe Overflow",POWER(Upgrades!$U$15,G351),1)*IF(Upgrades!$T$17="Roche Lobe Overflow",POWER(Upgrades!$U$17,I351),1)*IF(Upgrades!$T$18="Roche Lobe Overflow",POWER(Upgrades!$U$18,J351),1)*IF(Upgrades!$T$19="Roche Lobe Overflow",POWER(Upgrades!$U$19,K351),1)*IF(Upgrades!$T$20="Roche Lobe Overflow",POWER(Upgrades!$U$20,L351),1)*IF(Upgrades!$T$21="Roche Lobe Overflow",POWER(Upgrades!$U$21,M351),1))*POWER(Upgrades!$R$13,E351)*POWER(Upgrades!$R$14,F351)*POWER(Upgrades!$R$15,G351)*POWER(Upgrades!$R$16,H351)*POWER(Upgrades!$R$17,I351)*POWER(Upgrades!$R$18,J351)*POWER(Upgrades!$R$19,K351)*POWER(Upgrades!$R$20,L351)*POWER(Upgrades!$R$21,M351)*$H$6*O351*60</f>
        <v/>
      </c>
      <c r="AE351" s="27">
        <f>(IF(I351=0,0,(Upgrades!$G$17+I351*Upgrades!$H$17)*POWER(Upgrades!$I$17,I351)))*(IF(Upgrades!$T$13="Brown Dwarf",POWER(Upgrades!$U$13,E351),1)*IF(Upgrades!$T$14="Brown Dwarf",POWER(Upgrades!$U$14,F351),1)*IF(Upgrades!$T$15="Brown Dwarf",POWER(Upgrades!$U$15,G351),1)*IF(Upgrades!$T$16="Brown Dwarf",POWER(Upgrades!$U$16,H351),1)*IF(Upgrades!$T$18="Brown Dwarf",POWER(Upgrades!$U$18,J351),1)*IF(Upgrades!$T$19="Brown Dwarf",POWER(Upgrades!$U$19,K351),1)*IF(Upgrades!$T$20="Brown Dwarf",POWER(Upgrades!$U$20,L351),1)*IF(Upgrades!$T$21="Brown Dwarf",POWER(Upgrades!$U$21,M351),1))*POWER(Upgrades!$P$13,E351)*POWER(Upgrades!$P$14,F351)*POWER(Upgrades!$P$15,G351)*POWER(Upgrades!$P$16,H351)*POWER(Upgrades!$P$17,I351)*POWER(Upgrades!$P$18,J351)*POWER(Upgrades!$P$19,K351)*POWER(Upgrades!$P$20,L351)*POWER(Upgrades!$P$21,M351)*$F$6*60</f>
        <v/>
      </c>
      <c r="AF351" s="27" t="n">
        <v>0</v>
      </c>
      <c r="AG351" s="27" t="n">
        <v>0</v>
      </c>
      <c r="AH351" s="27" t="n">
        <v>0</v>
      </c>
      <c r="AI351" s="27">
        <f>(IF(M351=0,0,(Upgrades!$G$21+M351*Upgrades!$H$21)*POWER(Upgrades!$I$21,M351)))*(IF(Upgrades!$T$13="Moving Group",POWER(Upgrades!$U$13,E351),1)*IF(Upgrades!$T$14="Moving Group",POWER(Upgrades!$U$14,F351),1)*IF(Upgrades!$T$15="Moving Group",POWER(Upgrades!$U$15,G351),1)*IF(Upgrades!$T$16="Moving Group",POWER(Upgrades!$U$16,H351),1)*IF(Upgrades!$T$17="Moving Group",POWER(Upgrades!$U$17,I351),1)*IF(Upgrades!$T$18="Moving Group",POWER(Upgrades!$U$18,J351),1)*IF(Upgrades!$T$19="Moving Group",POWER(Upgrades!$U$19,K351),1)*IF(Upgrades!$T$20="Moving Group",POWER(Upgrades!$U$20,L351),1))*POWER(Upgrades!$P$13,E351)*POWER(Upgrades!$P$14,F351)*POWER(Upgrades!$P$15,G351)*POWER(Upgrades!$P$16,H351)*POWER(Upgrades!$P$17,I351)*POWER(Upgrades!$P$18,J351)*POWER(Upgrades!$P$19,K351)*POWER(Upgrades!$P$20,L351)*POWER(Upgrades!$P$21,M351)*$F$6*60</f>
        <v/>
      </c>
      <c r="AJ351" s="27">
        <f>$C$6*60</f>
        <v/>
      </c>
      <c r="AK351" s="22">
        <f>IF(E351&gt;=Upgrades!$E$13,"",Upgrades!$C$13*POWER(Upgrades!$D$13,E351))</f>
        <v/>
      </c>
      <c r="AL351" s="22">
        <f>IF(F351&gt;=Upgrades!$E$14,"",Upgrades!$C$14*POWER(Upgrades!$D$14,F351))</f>
        <v/>
      </c>
      <c r="AM351" s="22">
        <f>IF(G351&gt;=Upgrades!$E$15,"",Upgrades!$C$15*POWER(Upgrades!$D$15,G351))</f>
        <v/>
      </c>
      <c r="AN351" s="22">
        <f>IF(H351&gt;=Upgrades!$E$16,"",Upgrades!$C$16*POWER(Upgrades!$D$16,H351))</f>
        <v/>
      </c>
      <c r="AO351" s="22">
        <f>IF(I351&gt;=Upgrades!$E$17,"",Upgrades!$C$17*POWER(Upgrades!$D$17,I351))</f>
        <v/>
      </c>
      <c r="AP351" s="22">
        <f>IF(J351&gt;=Upgrades!$E$18,"",Upgrades!$C$18*POWER(Upgrades!$D$18,J351))</f>
        <v/>
      </c>
      <c r="AQ351" s="22">
        <f>IF(K351&gt;=Upgrades!$E$19,"",Upgrades!$C$19*POWER(Upgrades!$D$19,K351))</f>
        <v/>
      </c>
      <c r="AR351" s="22">
        <f>IF(L351&gt;=Upgrades!$E$20,"",Upgrades!$C$20*POWER(Upgrades!$D$20,L351))</f>
        <v/>
      </c>
      <c r="AS351" s="22">
        <f>IF(M351&gt;=Upgrades!$E$21,"",Upgrades!$C$21*POWER(Upgrades!$D$21,M351))</f>
        <v/>
      </c>
      <c r="AT351" s="26">
        <f>IF(AND(D351&gt;=Parameters!$B$18*Parameters!$B$19,(I351&gt;=Upgrades!$E$17)*(M351&gt;=Upgrades!$E$21)=1,N351=0),1,"")</f>
        <v/>
      </c>
      <c r="AU351" s="26">
        <f>IF(AND(D351&gt;=Parameters!$B$18*Parameters!$B$19,N351=0),1,"")</f>
        <v/>
      </c>
      <c r="AV351" s="22">
        <f>MIN(IF(ISNUMBER(AP351),AP351,9E15),IF(ISNUMBER(AQ351),AQ351,9E15),IF(ISNUMBER(AR351),AR351,9E15),IF(ISNUMBER(AS351),AS351,9E15))</f>
        <v/>
      </c>
      <c r="AW351" s="22">
        <f>MIN(IF(ISNUMBER(AK351),AK351,9E15),IF(ISNUMBER(AL351),AL351,9E15),IF(ISNUMBER(AM351),AM351,9E15),IF(ISNUMBER(AN351),AN351,9E15),IF(ISNUMBER(AO351),AO351,9E15))</f>
        <v/>
      </c>
      <c r="AX351" s="29">
        <f>IF(BD351&gt;Parameters!$B$21*(MAX(IF(AND(NOT(AND(AU351=1,AT351&lt;&gt;1)),ISNUMBER(AK351),AK351&lt;=(C351+T351)),AY351,0),IF(AND(NOT(AND(AU351=1,AT351&lt;&gt;1)),ISNUMBER(AL351),AL351&lt;=(C351+T351)),AZ351,0),IF(AND(NOT(AND(AU351=1,AT351&lt;&gt;1)),ISNUMBER(AM351),AM351&lt;=(C351+T351)),BA351,0),IF(AND(NOT(AND(AU351=1,AT351&lt;&gt;1)),ISNUMBER(AN351),AN351&lt;=(C351+T351)),BB351,0),IF(AND(ISNUMBER(AO351),AO351&lt;=(C351+T351)),BC351,0))),TRUE,FALSE)</f>
        <v/>
      </c>
      <c r="AY351" s="32">
        <f>IFERROR(Upgrades!$H$13*(POWER(Upgrades!$P$13,E351)*POWER(Upgrades!$P$14,F351)*POWER(Upgrades!$P$15,G351)*POWER(Upgrades!$P$16,H351)*POWER(Upgrades!$P$17,I351)*POWER(Upgrades!$P$18,J351)*POWER(Upgrades!$P$19,K351)*POWER(Upgrades!$P$20,L351)*POWER(Upgrades!$P$21,M351))*(IF(Upgrades!$T$14="Stellar Kinematics",POWER(Upgrades!$U$14,F351),1)*IF(Upgrades!$T$15="Stellar Kinematics",POWER(Upgrades!$U$15,G351),1)*IF(Upgrades!$T$16="Stellar Kinematics",POWER(Upgrades!$U$16,H351),1)*IF(Upgrades!$T$17="Stellar Kinematics",POWER(Upgrades!$U$17,I351),1)*IF(Upgrades!$T$18="Stellar Kinematics",POWER(Upgrades!$U$18,J351),1)*IF(Upgrades!$T$19="Stellar Kinematics",POWER(Upgrades!$U$19,K351),1)*IF(Upgrades!$T$20="Stellar Kinematics",POWER(Upgrades!$U$20,L351),1)*IF(Upgrades!$T$21="Stellar Kinematics",POWER(Upgrades!$U$21,M351),1))*$F$6/AK351,0)</f>
        <v/>
      </c>
      <c r="AZ351" s="32">
        <f>IFERROR(Upgrades!$H$14*(POWER(Upgrades!$P$13,E351)*POWER(Upgrades!$P$14,F351)*POWER(Upgrades!$P$15,G351)*POWER(Upgrades!$P$16,H351)*POWER(Upgrades!$P$17,I351)*POWER(Upgrades!$P$18,J351)*POWER(Upgrades!$P$19,K351)*POWER(Upgrades!$P$20,L351)*POWER(Upgrades!$P$21,M351))*(IF(Upgrades!$T$13="Local Bubble",POWER(Upgrades!$U$13,E351),1)*IF(Upgrades!$T$15="Local Bubble",POWER(Upgrades!$U$15,G351),1)*IF(Upgrades!$T$16="Local Bubble",POWER(Upgrades!$U$16,H351),1)*IF(Upgrades!$T$17="Local Bubble",POWER(Upgrades!$U$17,I351),1)*IF(Upgrades!$T$18="Local Bubble",POWER(Upgrades!$U$18,J351),1)*IF(Upgrades!$T$19="Local Bubble",POWER(Upgrades!$U$19,K351),1)*IF(Upgrades!$T$20="Local Bubble",POWER(Upgrades!$U$20,L351),1)*IF(Upgrades!$T$21="Local Bubble",POWER(Upgrades!$U$21,M351),1))*$F$6/AL351,0)</f>
        <v/>
      </c>
      <c r="BA351" s="32">
        <f>IFERROR(Upgrades!$K$15*(POWER(Upgrades!$Q$13,E351)*POWER(Upgrades!$Q$14,F351)*POWER(Upgrades!$Q$15,G351)*POWER(Upgrades!$Q$16,H351)*POWER(Upgrades!$Q$17,I351)*POWER(Upgrades!$Q$18,J351)*POWER(Upgrades!$Q$19,K351)*POWER(Upgrades!$Q$20,L351)*POWER(Upgrades!$Q$21,M351))*(IF(Upgrades!$T$13="Microlensing",POWER(Upgrades!$U$13,E351),1)*IF(Upgrades!$T$14="Microlensing",POWER(Upgrades!$U$14,F351),1)*IF(Upgrades!$T$16="Microlensing",POWER(Upgrades!$U$16,H351),1)*IF(Upgrades!$T$17="Microlensing",POWER(Upgrades!$U$17,I351),1)*IF(Upgrades!$T$18="Microlensing",POWER(Upgrades!$U$18,J351),1)*IF(Upgrades!$T$19="Microlensing",POWER(Upgrades!$U$19,K351),1)*IF(Upgrades!$T$20="Microlensing",POWER(Upgrades!$U$20,L351),1)*IF(Upgrades!$T$21="Microlensing",POWER(Upgrades!$U$21,M351),1))*$G$6*(Parameters!$B$10/60*Parameters!$B$11+Q351)/AM351,0)</f>
        <v/>
      </c>
      <c r="BB351" s="32">
        <f>IFERROR((Upgrades!$N$16*(POWER(Upgrades!$R$13,E351)*POWER(Upgrades!$R$14,F351)*POWER(Upgrades!$R$15,G351)*POWER(Upgrades!$R$16,H351)*POWER(Upgrades!$R$17,I351)*POWER(Upgrades!$R$18,J351)*POWER(Upgrades!$R$19,K351)*POWER(Upgrades!$R$20,L351)*POWER(Upgrades!$R$21,M351))*(IF(Upgrades!$T$13="Roche Lobe Overflow",POWER(Upgrades!$U$13,E351),1)*IF(Upgrades!$T$14="Roche Lobe Overflow",POWER(Upgrades!$U$14,F351),1)*IF(Upgrades!$T$15="Roche Lobe Overflow",POWER(Upgrades!$U$15,G351),1)*IF(Upgrades!$T$17="Roche Lobe Overflow",POWER(Upgrades!$U$17,I351),1)*IF(Upgrades!$T$18="Roche Lobe Overflow",POWER(Upgrades!$U$18,J351),1)*IF(Upgrades!$T$19="Roche Lobe Overflow",POWER(Upgrades!$U$19,K351),1)*IF(Upgrades!$T$20="Roche Lobe Overflow",POWER(Upgrades!$U$20,L351),1)*IF(Upgrades!$T$21="Roche Lobe Overflow",POWER(Upgrades!$U$21,M351),1))*$H$6*O351+((IF(F351=0,0,(Upgrades!$G$14+F351*Upgrades!$H$14)*POWER(Upgrades!$I$14,F351)))*(IF(Upgrades!$T$13="Local Bubble",POWER(Upgrades!$U$13,E351),1)*IF(Upgrades!$T$15="Local Bubble",POWER(Upgrades!$U$15,G351),1)*IF(Upgrades!$T$16="Local Bubble",POWER(Upgrades!$U$16,H351),1)*IF(Upgrades!$T$17="Local Bubble",POWER(Upgrades!$U$17,I351),1)*IF(Upgrades!$T$18="Local Bubble",POWER(Upgrades!$U$18,J351),1)*IF(Upgrades!$T$19="Local Bubble",POWER(Upgrades!$U$19,K351),1)*IF(Upgrades!$T$20="Local Bubble",POWER(Upgrades!$U$20,L351),1)*IF(Upgrades!$T$21="Local Bubble",POWER(Upgrades!$U$21,M351),1))*POWER(Upgrades!$P$13,E351)*POWER(Upgrades!$P$14,F351)*POWER(Upgrades!$P$15,G351)*POWER(Upgrades!$P$16,H351)*POWER(Upgrades!$P$17,I351)*POWER(Upgrades!$P$18,J351)*POWER(Upgrades!$P$19,K351)*POWER(Upgrades!$P$20,L351)*POWER(Upgrades!$P$21,M351)*$F$6)*0.05)/AN351,0)</f>
        <v/>
      </c>
      <c r="BC351" s="32">
        <f>IFERROR((Upgrades!$H$17*(POWER(Upgrades!$P$13,E351)*POWER(Upgrades!$P$14,F351)*POWER(Upgrades!$P$15,G351)*POWER(Upgrades!$P$16,H351)*POWER(Upgrades!$P$17,I351)*POWER(Upgrades!$P$18,J351)*POWER(Upgrades!$P$19,K351)*POWER(Upgrades!$P$20,L351)*POWER(Upgrades!$P$21,M351))*(IF(Upgrades!$T$13="Brown Dwarf",POWER(Upgrades!$U$13,E351),1)*IF(Upgrades!$T$14="Brown Dwarf",POWER(Upgrades!$U$14,F351),1)*IF(Upgrades!$T$15="Brown Dwarf",POWER(Upgrades!$U$15,G351),1)*IF(Upgrades!$T$16="Brown Dwarf",POWER(Upgrades!$U$16,H351),1)*IF(Upgrades!$T$18="Brown Dwarf",POWER(Upgrades!$U$18,J351),1)*IF(Upgrades!$T$19="Brown Dwarf",POWER(Upgrades!$U$19,K351),1)*IF(Upgrades!$T$20="Brown Dwarf",POWER(Upgrades!$U$20,L351),1)*IF(Upgrades!$T$21="Brown Dwarf",POWER(Upgrades!$U$21,M351),1))*$F$6+(((IF(H351=0,0,(Upgrades!$M$16+H351*Upgrades!$N$16)*POWER(Upgrades!$O$16,H351)))*(IF(Upgrades!$T$13="Roche Lobe Overflow",POWER(Upgrades!$U$13,E351),1)*IF(Upgrades!$T$14="Roche Lobe Overflow",POWER(Upgrades!$U$14,F351),1)*IF(Upgrades!$T$15="Roche Lobe Overflow",POWER(Upgrades!$U$15,G351),1)*IF(Upgrades!$T$17="Roche Lobe Overflow",POWER(Upgrades!$U$17,I351),1)*IF(Upgrades!$T$18="Roche Lobe Overflow",POWER(Upgrades!$U$18,J351),1)*IF(Upgrades!$T$19="Roche Lobe Overflow",POWER(Upgrades!$U$19,K351),1)*IF(Upgrades!$T$20="Roche Lobe Overflow",POWER(Upgrades!$U$20,L351),1)*IF(Upgrades!$T$21="Roche Lobe Overflow",POWER(Upgrades!$U$21,M351),1))*POWER(Upgrades!$R$13,E351)*POWER(Upgrades!$R$14,F351)*POWER(Upgrades!$R$15,G351)*POWER(Upgrades!$R$16,H351)*POWER(Upgrades!$R$17,I351)*POWER(Upgrades!$R$18,J351)*POWER(Upgrades!$R$19,K351)*POWER(Upgrades!$R$20,L351)*POWER(Upgrades!$R$21,M351)*$H$6)*O351)*0.10)/AO351,0)</f>
        <v/>
      </c>
      <c r="BD351" s="32">
        <f>MAX(IF(J351&gt;0,0,IFERROR(0.5*((IF(G351=0,0,(Upgrades!$J$15+G351*Upgrades!$K$15)*POWER(Upgrades!$L$15,G351)))*(IF(Upgrades!$T$13="Microlensing",POWER(Upgrades!$U$13,E351),1)*IF(Upgrades!$T$14="Microlensing",POWER(Upgrades!$U$14,F351),1)*IF(Upgrades!$T$16="Microlensing",POWER(Upgrades!$U$16,H351),1)*IF(Upgrades!$T$17="Microlensing",POWER(Upgrades!$U$17,I351),1)*IF(Upgrades!$T$18="Microlensing",POWER(Upgrades!$U$18,J351),1)*IF(Upgrades!$T$19="Microlensing",POWER(Upgrades!$U$19,K351),1)*IF(Upgrades!$T$20="Microlensing",POWER(Upgrades!$U$20,L351),1)*IF(Upgrades!$T$21="Microlensing",POWER(Upgrades!$U$21,M351),1))*(POWER(Upgrades!$Q$13,E351)*POWER(Upgrades!$Q$14,F351)*POWER(Upgrades!$Q$15,G351)*POWER(Upgrades!$Q$16,H351)*POWER(Upgrades!$Q$17,I351)*POWER(Upgrades!$Q$18,J351)*POWER(Upgrades!$Q$19,K351)*POWER(Upgrades!$Q$20,L351)*POWER(Upgrades!$Q$21,M351))*$G$6*(Parameters!$B$10/60*Parameters!$B$11+Q351))/Upgrades!$C$18,0)),IF(K351&gt;0,0,IFERROR(0.30*P351/Upgrades!$C$19,0)),IF(L351&gt;0,0,IFERROR(0.0001/Upgrades!$C$20,0)),IF(M351&gt;0,0,IFERROR((6.0*(POWER(Upgrades!$P$13,E351)*POWER(Upgrades!$P$14,F351)*POWER(Upgrades!$P$15,G351)*POWER(Upgrades!$P$16,H351)*POWER(Upgrades!$P$17,I351)*POWER(Upgrades!$P$18,J351)*POWER(Upgrades!$P$19,K351)*POWER(Upgrades!$P$20,L351)*POWER(Upgrades!$P$21,M351))*$F$6+0.20*O351*(Parameters!$B$10/60*Parameters!$B$11+Q351))/Upgrades!$C$21,0)),IF(AND(ISNUMBER(AK351),AK351&gt;(C351+T351)),AY351,0),IF(AND(ISNUMBER(AL351),AL351&gt;(C351+T351)),AZ351,0),IF(AND(ISNUMBER(AM351),AM351&gt;(C351+T351)),BA351,0),IF(AND(ISNUMBER(AN351),AN351&gt;(C351+T351)),BB351,0),IF(AND(ISNUMBER(AO351),AO351&gt;(C351+T351)),BC351,0))</f>
        <v/>
      </c>
      <c r="BE351" s="29">
        <f>IF(AT351=1,"transition",IF(MIN(IF(AND(J351=0,ISNUMBER(AP351),AP351&lt;=(C351+T351)),AP351,9E15),IF(AND(K351=0,ISNUMBER(AQ351),AQ351&lt;=(C351+T351)),AQ351,9E15),IF(AND(L351=0,ISNUMBER(AR351),AR351&lt;=(C351+T351)),AR351,9E15),IF(AND(M351=0,ISNUMBER(AS351),AS351&lt;=(C351+T351)),AS351,9E15))&lt;9E15,IF(AND(AND(J351=0,ISNUMBER(AP351),AP351&lt;=(C351+T351)),AP351=MIN(IF(AND(J351=0,ISNUMBER(AP351),AP351&lt;=(C351+T351)),AP351,9E15),IF(AND(K351=0,ISNUMBER(AQ351),AQ351&lt;=(C351+T351)),AQ351,9E15),IF(AND(L351=0,ISNUMBER(AR351),AR351&lt;=(C351+T351)),AR351,9E15),IF(AND(M351=0,ISNUMBER(AS351),AS351&lt;=(C351+T351)),AS351,9E15))),"BiP",IF(AND(AND(K351=0,ISNUMBER(AQ351),AQ351&lt;=(C351+T351)),AQ351=MIN(IF(AND(J351=0,ISNUMBER(AP351),AP351&lt;=(C351+T351)),AP351,9E15),IF(AND(K351=0,ISNUMBER(AQ351),AQ351&lt;=(C351+T351)),AQ351,9E15),IF(AND(L351=0,ISNUMBER(AR351),AR351&lt;=(C351+T351)),AR351,9E15),IF(AND(M351=0,ISNUMBER(AS351),AS351&lt;=(C351+T351)),AS351,9E15))),"PV",IF(AND(AND(L351=0,ISNUMBER(AR351),AR351&lt;=(C351+T351)),AR351=MIN(IF(AND(J351=0,ISNUMBER(AP351),AP351&lt;=(C351+T351)),AP351,9E15),IF(AND(K351=0,ISNUMBER(AQ351),AQ351&lt;=(C351+T351)),AQ351,9E15),IF(AND(L351=0,ISNUMBER(AR351),AR351&lt;=(C351+T351)),AR351,9E15),IF(AND(M351=0,ISNUMBER(AS351),AS351&lt;=(C351+T351)),AS351,9E15))),"OC","MG"))),IF(AX351=TRUE,"",IF(MAX(IF(AND(NOT(AND(AU351=1,AT351&lt;&gt;1)),ISNUMBER(AK351),AK351&lt;=(C351+T351)),AY351,0),IF(AND(NOT(AND(AU351=1,AT351&lt;&gt;1)),ISNUMBER(AL351),AL351&lt;=(C351+T351)),AZ351,0),IF(AND(NOT(AND(AU351=1,AT351&lt;&gt;1)),ISNUMBER(AM351),AM351&lt;=(C351+T351)),BA351,0),IF(AND(NOT(AND(AU351=1,AT351&lt;&gt;1)),ISNUMBER(AN351),AN351&lt;=(C351+T351)),BB351,0),IF(AND(ISNUMBER(AO351),AO351&lt;=(C351+T351)),BC351,0))&lt;=0,"",IF(AND(IF(AND(NOT(AND(AU351=1,AT351&lt;&gt;1)),ISNUMBER(AK351),AK351&lt;=(C351+T351)),AY351,0)&gt;0,IF(AND(NOT(AND(AU351=1,AT351&lt;&gt;1)),ISNUMBER(AK351),AK351&lt;=(C351+T351)),AY351,0)=MAX(IF(AND(NOT(AND(AU351=1,AT351&lt;&gt;1)),ISNUMBER(AK351),AK351&lt;=(C351+T351)),AY351,0),IF(AND(NOT(AND(AU351=1,AT351&lt;&gt;1)),ISNUMBER(AL351),AL351&lt;=(C351+T351)),AZ351,0),IF(AND(NOT(AND(AU351=1,AT351&lt;&gt;1)),ISNUMBER(AM351),AM351&lt;=(C351+T351)),BA351,0),IF(AND(NOT(AND(AU351=1,AT351&lt;&gt;1)),ISNUMBER(AN351),AN351&lt;=(C351+T351)),BB351,0),IF(AND(ISNUMBER(AO351),AO351&lt;=(C351+T351)),BC351,0))),"SK",IF(AND(IF(AND(NOT(AND(AU351=1,AT351&lt;&gt;1)),ISNUMBER(AL351),AL351&lt;=(C351+T351)),AZ351,0)&gt;0,IF(AND(NOT(AND(AU351=1,AT351&lt;&gt;1)),ISNUMBER(AL351),AL351&lt;=(C351+T351)),AZ351,0)=MAX(IF(AND(NOT(AND(AU351=1,AT351&lt;&gt;1)),ISNUMBER(AK351),AK351&lt;=(C351+T351)),AY351,0),IF(AND(NOT(AND(AU351=1,AT351&lt;&gt;1)),ISNUMBER(AL351),AL351&lt;=(C351+T351)),AZ351,0),IF(AND(NOT(AND(AU351=1,AT351&lt;&gt;1)),ISNUMBER(AM351),AM351&lt;=(C351+T351)),BA351,0),IF(AND(NOT(AND(AU351=1,AT351&lt;&gt;1)),ISNUMBER(AN351),AN351&lt;=(C351+T351)),BB351,0),IF(AND(ISNUMBER(AO351),AO351&lt;=(C351+T351)),BC351,0))),"LB",IF(AND(IF(AND(NOT(AND(AU351=1,AT351&lt;&gt;1)),ISNUMBER(AM351),AM351&lt;=(C351+T351)),BA351,0)&gt;0,IF(AND(NOT(AND(AU351=1,AT351&lt;&gt;1)),ISNUMBER(AM351),AM351&lt;=(C351+T351)),BA351,0)=MAX(IF(AND(NOT(AND(AU351=1,AT351&lt;&gt;1)),ISNUMBER(AK351),AK351&lt;=(C351+T351)),AY351,0),IF(AND(NOT(AND(AU351=1,AT351&lt;&gt;1)),ISNUMBER(AL351),AL351&lt;=(C351+T351)),AZ351,0),IF(AND(NOT(AND(AU351=1,AT351&lt;&gt;1)),ISNUMBER(AM351),AM351&lt;=(C351+T351)),BA351,0),IF(AND(NOT(AND(AU351=1,AT351&lt;&gt;1)),ISNUMBER(AN351),AN351&lt;=(C351+T351)),BB351,0),IF(AND(ISNUMBER(AO351),AO351&lt;=(C351+T351)),BC351,0))),"ML",IF(AND(IF(AND(NOT(AND(AU351=1,AT351&lt;&gt;1)),ISNUMBER(AN351),AN351&lt;=(C351+T351)),BB351,0)&gt;0,IF(AND(NOT(AND(AU351=1,AT351&lt;&gt;1)),ISNUMBER(AN351),AN351&lt;=(C351+T351)),BB351,0)=MAX(IF(AND(NOT(AND(AU351=1,AT351&lt;&gt;1)),ISNUMBER(AK351),AK351&lt;=(C351+T351)),AY351,0),IF(AND(NOT(AND(AU351=1,AT351&lt;&gt;1)),ISNUMBER(AL351),AL351&lt;=(C351+T351)),AZ351,0),IF(AND(NOT(AND(AU351=1,AT351&lt;&gt;1)),ISNUMBER(AM351),AM351&lt;=(C351+T351)),BA351,0),IF(AND(NOT(AND(AU351=1,AT351&lt;&gt;1)),ISNUMBER(AN351),AN351&lt;=(C351+T351)),BB351,0),IF(AND(ISNUMBER(AO351),AO351&lt;=(C351+T351)),BC351,0))),"RLO","BD"))))))))</f>
        <v/>
      </c>
    </row>
    <row r="352">
      <c r="A352" s="26" t="n">
        <v>341</v>
      </c>
      <c r="B352" s="27">
        <f>A352*10/60</f>
        <v/>
      </c>
      <c r="C352" s="22">
        <f>X351</f>
        <v/>
      </c>
      <c r="D352" s="27">
        <f>D351+W351</f>
        <v/>
      </c>
      <c r="E352" s="26">
        <f>E351+IF(U351="SK",1,0)</f>
        <v/>
      </c>
      <c r="F352" s="26">
        <f>F351+IF(U351="LB",1,0)</f>
        <v/>
      </c>
      <c r="G352" s="26">
        <f>G351+IF(U351="ML",1,0)</f>
        <v/>
      </c>
      <c r="H352" s="26">
        <f>H351+IF(U351="RLO",1,0)</f>
        <v/>
      </c>
      <c r="I352" s="26">
        <f>I351+IF(U351="BD",1,0)</f>
        <v/>
      </c>
      <c r="J352" s="26">
        <f>MAX(J351,IF(U351="BiP",1,0))</f>
        <v/>
      </c>
      <c r="K352" s="26">
        <f>MAX(K351,IF(U351="PV",1,0))</f>
        <v/>
      </c>
      <c r="L352" s="26">
        <f>MAX(L351,IF(U351="OC",1,0))</f>
        <v/>
      </c>
      <c r="M352" s="26">
        <f>MAX(M351,IF(U351="MG",1,0))</f>
        <v/>
      </c>
      <c r="N352" s="26">
        <f>MAX(N351,IF(U351="transition",1,0))</f>
        <v/>
      </c>
      <c r="O352" s="28">
        <f>(Parameters!$B$9+(IF(E352=0,0,(Upgrades!$J$13+E352*Upgrades!$K$13)*POWER(Upgrades!$L$13,E352)))*(IF(Upgrades!$T$14="Stellar Kinematics",POWER(Upgrades!$U$14,F352),1)*IF(Upgrades!$T$15="Stellar Kinematics",POWER(Upgrades!$U$15,G352),1)*IF(Upgrades!$T$16="Stellar Kinematics",POWER(Upgrades!$U$16,H352),1)*IF(Upgrades!$T$17="Stellar Kinematics",POWER(Upgrades!$U$17,I352),1)*IF(Upgrades!$T$18="Stellar Kinematics",POWER(Upgrades!$U$18,J352),1)*IF(Upgrades!$T$19="Stellar Kinematics",POWER(Upgrades!$U$19,K352),1)*IF(Upgrades!$T$20="Stellar Kinematics",POWER(Upgrades!$U$20,L352),1)*IF(Upgrades!$T$21="Stellar Kinematics",POWER(Upgrades!$U$21,M352),1))+(IF(F352=0,0,(Upgrades!$J$14+F352*Upgrades!$K$14)*POWER(Upgrades!$L$14,F352)))*(IF(Upgrades!$T$13="Local Bubble",POWER(Upgrades!$U$13,E352),1)*IF(Upgrades!$T$15="Local Bubble",POWER(Upgrades!$U$15,G352),1)*IF(Upgrades!$T$16="Local Bubble",POWER(Upgrades!$U$16,H352),1)*IF(Upgrades!$T$17="Local Bubble",POWER(Upgrades!$U$17,I352),1)*IF(Upgrades!$T$18="Local Bubble",POWER(Upgrades!$U$18,J352),1)*IF(Upgrades!$T$19="Local Bubble",POWER(Upgrades!$U$19,K352),1)*IF(Upgrades!$T$20="Local Bubble",POWER(Upgrades!$U$20,L352),1)*IF(Upgrades!$T$21="Local Bubble",POWER(Upgrades!$U$21,M352),1))+(IF(G352=0,0,(Upgrades!$J$15+G352*Upgrades!$K$15)*POWER(Upgrades!$L$15,G352)))*(IF(Upgrades!$T$13="Microlensing",POWER(Upgrades!$U$13,E352),1)*IF(Upgrades!$T$14="Microlensing",POWER(Upgrades!$U$14,F352),1)*IF(Upgrades!$T$16="Microlensing",POWER(Upgrades!$U$16,H352),1)*IF(Upgrades!$T$17="Microlensing",POWER(Upgrades!$U$17,I352),1)*IF(Upgrades!$T$18="Microlensing",POWER(Upgrades!$U$18,J352),1)*IF(Upgrades!$T$19="Microlensing",POWER(Upgrades!$U$19,K352),1)*IF(Upgrades!$T$20="Microlensing",POWER(Upgrades!$U$20,L352),1)*IF(Upgrades!$T$21="Microlensing",POWER(Upgrades!$U$21,M352),1))+(IF(H352=0,0,(Upgrades!$J$16+H352*Upgrades!$K$16)*POWER(Upgrades!$L$16,H352)))*(IF(Upgrades!$T$13="Roche Lobe Overflow",POWER(Upgrades!$U$13,E352),1)*IF(Upgrades!$T$14="Roche Lobe Overflow",POWER(Upgrades!$U$14,F352),1)*IF(Upgrades!$T$15="Roche Lobe Overflow",POWER(Upgrades!$U$15,G352),1)*IF(Upgrades!$T$17="Roche Lobe Overflow",POWER(Upgrades!$U$17,I352),1)*IF(Upgrades!$T$18="Roche Lobe Overflow",POWER(Upgrades!$U$18,J352),1)*IF(Upgrades!$T$19="Roche Lobe Overflow",POWER(Upgrades!$U$19,K352),1)*IF(Upgrades!$T$20="Roche Lobe Overflow",POWER(Upgrades!$U$20,L352),1)*IF(Upgrades!$T$21="Roche Lobe Overflow",POWER(Upgrades!$U$21,M352),1))+(IF(I352=0,0,(Upgrades!$J$17+I352*Upgrades!$K$17)*POWER(Upgrades!$L$17,I352)))*(IF(Upgrades!$T$13="Brown Dwarf",POWER(Upgrades!$U$13,E352),1)*IF(Upgrades!$T$14="Brown Dwarf",POWER(Upgrades!$U$14,F352),1)*IF(Upgrades!$T$15="Brown Dwarf",POWER(Upgrades!$U$15,G352),1)*IF(Upgrades!$T$16="Brown Dwarf",POWER(Upgrades!$U$16,H352),1)*IF(Upgrades!$T$18="Brown Dwarf",POWER(Upgrades!$U$18,J352),1)*IF(Upgrades!$T$19="Brown Dwarf",POWER(Upgrades!$U$19,K352),1)*IF(Upgrades!$T$20="Brown Dwarf",POWER(Upgrades!$U$20,L352),1)*IF(Upgrades!$T$21="Brown Dwarf",POWER(Upgrades!$U$21,M352),1))+(IF(J352=0,0,(Upgrades!$J$18+J352*Upgrades!$K$18)*POWER(Upgrades!$L$18,J352)))*(IF(Upgrades!$T$13="Binary Partner",POWER(Upgrades!$U$13,E352),1)*IF(Upgrades!$T$14="Binary Partner",POWER(Upgrades!$U$14,F352),1)*IF(Upgrades!$T$15="Binary Partner",POWER(Upgrades!$U$15,G352),1)*IF(Upgrades!$T$16="Binary Partner",POWER(Upgrades!$U$16,H352),1)*IF(Upgrades!$T$17="Binary Partner",POWER(Upgrades!$U$17,I352),1)*IF(Upgrades!$T$19="Binary Partner",POWER(Upgrades!$U$19,K352),1)*IF(Upgrades!$T$20="Binary Partner",POWER(Upgrades!$U$20,L352),1)*IF(Upgrades!$T$21="Binary Partner",POWER(Upgrades!$U$21,M352),1))+(IF(K352=0,0,(Upgrades!$J$19+K352*Upgrades!$K$19)*POWER(Upgrades!$L$19,K352)))*(IF(Upgrades!$T$13="Peculiar Velocity",POWER(Upgrades!$U$13,E352),1)*IF(Upgrades!$T$14="Peculiar Velocity",POWER(Upgrades!$U$14,F352),1)*IF(Upgrades!$T$15="Peculiar Velocity",POWER(Upgrades!$U$15,G352),1)*IF(Upgrades!$T$16="Peculiar Velocity",POWER(Upgrades!$U$16,H352),1)*IF(Upgrades!$T$17="Peculiar Velocity",POWER(Upgrades!$U$17,I352),1)*IF(Upgrades!$T$18="Peculiar Velocity",POWER(Upgrades!$U$18,J352),1)*IF(Upgrades!$T$20="Peculiar Velocity",POWER(Upgrades!$U$20,L352),1)*IF(Upgrades!$T$21="Peculiar Velocity",POWER(Upgrades!$U$21,M352),1))+(IF(L352=0,0,(Upgrades!$J$20+L352*Upgrades!$K$20)*POWER(Upgrades!$L$20,L352)))*(IF(Upgrades!$T$13="Open Cluster",POWER(Upgrades!$U$13,E352),1)*IF(Upgrades!$T$14="Open Cluster",POWER(Upgrades!$U$14,F352),1)*IF(Upgrades!$T$15="Open Cluster",POWER(Upgrades!$U$15,G352),1)*IF(Upgrades!$T$16="Open Cluster",POWER(Upgrades!$U$16,H352),1)*IF(Upgrades!$T$17="Open Cluster",POWER(Upgrades!$U$17,I352),1)*IF(Upgrades!$T$18="Open Cluster",POWER(Upgrades!$U$18,J352),1)*IF(Upgrades!$T$19="Open Cluster",POWER(Upgrades!$U$19,K352),1)*IF(Upgrades!$T$21="Open Cluster",POWER(Upgrades!$U$21,M352),1))+(IF(M352=0,0,(Upgrades!$J$21+M352*Upgrades!$K$21)*POWER(Upgrades!$L$21,M352)))*(IF(Upgrades!$T$13="Moving Group",POWER(Upgrades!$U$13,E352),1)*IF(Upgrades!$T$14="Moving Group",POWER(Upgrades!$U$14,F352),1)*IF(Upgrades!$T$15="Moving Group",POWER(Upgrades!$U$15,G352),1)*IF(Upgrades!$T$16="Moving Group",POWER(Upgrades!$U$16,H352),1)*IF(Upgrades!$T$17="Moving Group",POWER(Upgrades!$U$17,I352),1)*IF(Upgrades!$T$18="Moving Group",POWER(Upgrades!$U$18,J352),1)*IF(Upgrades!$T$19="Moving Group",POWER(Upgrades!$U$19,K352),1)*IF(Upgrades!$T$20="Moving Group",POWER(Upgrades!$U$20,L352),1)))*POWER(Upgrades!$Q$13,E352)*POWER(Upgrades!$Q$14,F352)*POWER(Upgrades!$Q$15,G352)*POWER(Upgrades!$Q$16,H352)*POWER(Upgrades!$Q$17,I352)*POWER(Upgrades!$Q$18,J352)*POWER(Upgrades!$Q$19,K352)*POWER(Upgrades!$Q$20,L352)*POWER(Upgrades!$Q$21,M352)*$G$6+$D$6</f>
        <v/>
      </c>
      <c r="P352" s="28">
        <f>((IF(E352=0,0,(Upgrades!$G$13+E352*Upgrades!$H$13)*POWER(Upgrades!$I$13,E352)))*(IF(Upgrades!$T$14="Stellar Kinematics",POWER(Upgrades!$U$14,F352),1)*IF(Upgrades!$T$15="Stellar Kinematics",POWER(Upgrades!$U$15,G352),1)*IF(Upgrades!$T$16="Stellar Kinematics",POWER(Upgrades!$U$16,H352),1)*IF(Upgrades!$T$17="Stellar Kinematics",POWER(Upgrades!$U$17,I352),1)*IF(Upgrades!$T$18="Stellar Kinematics",POWER(Upgrades!$U$18,J352),1)*IF(Upgrades!$T$19="Stellar Kinematics",POWER(Upgrades!$U$19,K352),1)*IF(Upgrades!$T$20="Stellar Kinematics",POWER(Upgrades!$U$20,L352),1)*IF(Upgrades!$T$21="Stellar Kinematics",POWER(Upgrades!$U$21,M352),1))+(IF(F352=0,0,(Upgrades!$G$14+F352*Upgrades!$H$14)*POWER(Upgrades!$I$14,F352)))*(IF(Upgrades!$T$13="Local Bubble",POWER(Upgrades!$U$13,E352),1)*IF(Upgrades!$T$15="Local Bubble",POWER(Upgrades!$U$15,G352),1)*IF(Upgrades!$T$16="Local Bubble",POWER(Upgrades!$U$16,H352),1)*IF(Upgrades!$T$17="Local Bubble",POWER(Upgrades!$U$17,I352),1)*IF(Upgrades!$T$18="Local Bubble",POWER(Upgrades!$U$18,J352),1)*IF(Upgrades!$T$19="Local Bubble",POWER(Upgrades!$U$19,K352),1)*IF(Upgrades!$T$20="Local Bubble",POWER(Upgrades!$U$20,L352),1)*IF(Upgrades!$T$21="Local Bubble",POWER(Upgrades!$U$21,M352),1))+(IF(G352=0,0,(Upgrades!$G$15+G352*Upgrades!$H$15)*POWER(Upgrades!$I$15,G352)))*(IF(Upgrades!$T$13="Microlensing",POWER(Upgrades!$U$13,E352),1)*IF(Upgrades!$T$14="Microlensing",POWER(Upgrades!$U$14,F352),1)*IF(Upgrades!$T$16="Microlensing",POWER(Upgrades!$U$16,H352),1)*IF(Upgrades!$T$17="Microlensing",POWER(Upgrades!$U$17,I352),1)*IF(Upgrades!$T$18="Microlensing",POWER(Upgrades!$U$18,J352),1)*IF(Upgrades!$T$19="Microlensing",POWER(Upgrades!$U$19,K352),1)*IF(Upgrades!$T$20="Microlensing",POWER(Upgrades!$U$20,L352),1)*IF(Upgrades!$T$21="Microlensing",POWER(Upgrades!$U$21,M352),1))+(IF(H352=0,0,(Upgrades!$G$16+H352*Upgrades!$H$16)*POWER(Upgrades!$I$16,H352)))*(IF(Upgrades!$T$13="Roche Lobe Overflow",POWER(Upgrades!$U$13,E352),1)*IF(Upgrades!$T$14="Roche Lobe Overflow",POWER(Upgrades!$U$14,F352),1)*IF(Upgrades!$T$15="Roche Lobe Overflow",POWER(Upgrades!$U$15,G352),1)*IF(Upgrades!$T$17="Roche Lobe Overflow",POWER(Upgrades!$U$17,I352),1)*IF(Upgrades!$T$18="Roche Lobe Overflow",POWER(Upgrades!$U$18,J352),1)*IF(Upgrades!$T$19="Roche Lobe Overflow",POWER(Upgrades!$U$19,K352),1)*IF(Upgrades!$T$20="Roche Lobe Overflow",POWER(Upgrades!$U$20,L352),1)*IF(Upgrades!$T$21="Roche Lobe Overflow",POWER(Upgrades!$U$21,M352),1))+(IF(I352=0,0,(Upgrades!$G$17+I352*Upgrades!$H$17)*POWER(Upgrades!$I$17,I352)))*(IF(Upgrades!$T$13="Brown Dwarf",POWER(Upgrades!$U$13,E352),1)*IF(Upgrades!$T$14="Brown Dwarf",POWER(Upgrades!$U$14,F352),1)*IF(Upgrades!$T$15="Brown Dwarf",POWER(Upgrades!$U$15,G352),1)*IF(Upgrades!$T$16="Brown Dwarf",POWER(Upgrades!$U$16,H352),1)*IF(Upgrades!$T$18="Brown Dwarf",POWER(Upgrades!$U$18,J352),1)*IF(Upgrades!$T$19="Brown Dwarf",POWER(Upgrades!$U$19,K352),1)*IF(Upgrades!$T$20="Brown Dwarf",POWER(Upgrades!$U$20,L352),1)*IF(Upgrades!$T$21="Brown Dwarf",POWER(Upgrades!$U$21,M352),1))+(IF(J352=0,0,(Upgrades!$G$18+J352*Upgrades!$H$18)*POWER(Upgrades!$I$18,J352)))*(IF(Upgrades!$T$13="Binary Partner",POWER(Upgrades!$U$13,E352),1)*IF(Upgrades!$T$14="Binary Partner",POWER(Upgrades!$U$14,F352),1)*IF(Upgrades!$T$15="Binary Partner",POWER(Upgrades!$U$15,G352),1)*IF(Upgrades!$T$16="Binary Partner",POWER(Upgrades!$U$16,H352),1)*IF(Upgrades!$T$17="Binary Partner",POWER(Upgrades!$U$17,I352),1)*IF(Upgrades!$T$19="Binary Partner",POWER(Upgrades!$U$19,K352),1)*IF(Upgrades!$T$20="Binary Partner",POWER(Upgrades!$U$20,L352),1)*IF(Upgrades!$T$21="Binary Partner",POWER(Upgrades!$U$21,M352),1))+(IF(K352=0,0,(Upgrades!$G$19+K352*Upgrades!$H$19)*POWER(Upgrades!$I$19,K352)))*(IF(Upgrades!$T$13="Peculiar Velocity",POWER(Upgrades!$U$13,E352),1)*IF(Upgrades!$T$14="Peculiar Velocity",POWER(Upgrades!$U$14,F352),1)*IF(Upgrades!$T$15="Peculiar Velocity",POWER(Upgrades!$U$15,G352),1)*IF(Upgrades!$T$16="Peculiar Velocity",POWER(Upgrades!$U$16,H352),1)*IF(Upgrades!$T$17="Peculiar Velocity",POWER(Upgrades!$U$17,I352),1)*IF(Upgrades!$T$18="Peculiar Velocity",POWER(Upgrades!$U$18,J352),1)*IF(Upgrades!$T$20="Peculiar Velocity",POWER(Upgrades!$U$20,L352),1)*IF(Upgrades!$T$21="Peculiar Velocity",POWER(Upgrades!$U$21,M352),1))+(IF(L352=0,0,(Upgrades!$G$20+L352*Upgrades!$H$20)*POWER(Upgrades!$I$20,L352)))*(IF(Upgrades!$T$13="Open Cluster",POWER(Upgrades!$U$13,E352),1)*IF(Upgrades!$T$14="Open Cluster",POWER(Upgrades!$U$14,F352),1)*IF(Upgrades!$T$15="Open Cluster",POWER(Upgrades!$U$15,G352),1)*IF(Upgrades!$T$16="Open Cluster",POWER(Upgrades!$U$16,H352),1)*IF(Upgrades!$T$17="Open Cluster",POWER(Upgrades!$U$17,I352),1)*IF(Upgrades!$T$18="Open Cluster",POWER(Upgrades!$U$18,J352),1)*IF(Upgrades!$T$19="Open Cluster",POWER(Upgrades!$U$19,K352),1)*IF(Upgrades!$T$21="Open Cluster",POWER(Upgrades!$U$21,M352),1))+(IF(M352=0,0,(Upgrades!$G$21+M352*Upgrades!$H$21)*POWER(Upgrades!$I$21,M352)))*(IF(Upgrades!$T$13="Moving Group",POWER(Upgrades!$U$13,E352),1)*IF(Upgrades!$T$14="Moving Group",POWER(Upgrades!$U$14,F352),1)*IF(Upgrades!$T$15="Moving Group",POWER(Upgrades!$U$15,G352),1)*IF(Upgrades!$T$16="Moving Group",POWER(Upgrades!$U$16,H352),1)*IF(Upgrades!$T$17="Moving Group",POWER(Upgrades!$U$17,I352),1)*IF(Upgrades!$T$18="Moving Group",POWER(Upgrades!$U$18,J352),1)*IF(Upgrades!$T$19="Moving Group",POWER(Upgrades!$U$19,K352),1)*IF(Upgrades!$T$20="Moving Group",POWER(Upgrades!$U$20,L352),1)))*POWER(Upgrades!$P$13,E352)*POWER(Upgrades!$P$14,F352)*POWER(Upgrades!$P$15,G352)*POWER(Upgrades!$P$16,H352)*POWER(Upgrades!$P$17,I352)*POWER(Upgrades!$P$18,J352)*POWER(Upgrades!$P$19,K352)*POWER(Upgrades!$P$20,L352)*POWER(Upgrades!$P$21,M352)*$F$6+$C$6</f>
        <v/>
      </c>
      <c r="Q352" s="28">
        <f>((IF(E352=0,0,(Upgrades!$M$13+E352*Upgrades!$N$13)*POWER(Upgrades!$O$13,E352)))*(IF(Upgrades!$T$14="Stellar Kinematics",POWER(Upgrades!$U$14,F352),1)*IF(Upgrades!$T$15="Stellar Kinematics",POWER(Upgrades!$U$15,G352),1)*IF(Upgrades!$T$16="Stellar Kinematics",POWER(Upgrades!$U$16,H352),1)*IF(Upgrades!$T$17="Stellar Kinematics",POWER(Upgrades!$U$17,I352),1)*IF(Upgrades!$T$18="Stellar Kinematics",POWER(Upgrades!$U$18,J352),1)*IF(Upgrades!$T$19="Stellar Kinematics",POWER(Upgrades!$U$19,K352),1)*IF(Upgrades!$T$20="Stellar Kinematics",POWER(Upgrades!$U$20,L352),1)*IF(Upgrades!$T$21="Stellar Kinematics",POWER(Upgrades!$U$21,M352),1))+(IF(F352=0,0,(Upgrades!$M$14+F352*Upgrades!$N$14)*POWER(Upgrades!$O$14,F352)))*(IF(Upgrades!$T$13="Local Bubble",POWER(Upgrades!$U$13,E352),1)*IF(Upgrades!$T$15="Local Bubble",POWER(Upgrades!$U$15,G352),1)*IF(Upgrades!$T$16="Local Bubble",POWER(Upgrades!$U$16,H352),1)*IF(Upgrades!$T$17="Local Bubble",POWER(Upgrades!$U$17,I352),1)*IF(Upgrades!$T$18="Local Bubble",POWER(Upgrades!$U$18,J352),1)*IF(Upgrades!$T$19="Local Bubble",POWER(Upgrades!$U$19,K352),1)*IF(Upgrades!$T$20="Local Bubble",POWER(Upgrades!$U$20,L352),1)*IF(Upgrades!$T$21="Local Bubble",POWER(Upgrades!$U$21,M352),1))+(IF(G352=0,0,(Upgrades!$M$15+G352*Upgrades!$N$15)*POWER(Upgrades!$O$15,G352)))*(IF(Upgrades!$T$13="Microlensing",POWER(Upgrades!$U$13,E352),1)*IF(Upgrades!$T$14="Microlensing",POWER(Upgrades!$U$14,F352),1)*IF(Upgrades!$T$16="Microlensing",POWER(Upgrades!$U$16,H352),1)*IF(Upgrades!$T$17="Microlensing",POWER(Upgrades!$U$17,I352),1)*IF(Upgrades!$T$18="Microlensing",POWER(Upgrades!$U$18,J352),1)*IF(Upgrades!$T$19="Microlensing",POWER(Upgrades!$U$19,K352),1)*IF(Upgrades!$T$20="Microlensing",POWER(Upgrades!$U$20,L352),1)*IF(Upgrades!$T$21="Microlensing",POWER(Upgrades!$U$21,M352),1))+(IF(H352=0,0,(Upgrades!$M$16+H352*Upgrades!$N$16)*POWER(Upgrades!$O$16,H352)))*(IF(Upgrades!$T$13="Roche Lobe Overflow",POWER(Upgrades!$U$13,E352),1)*IF(Upgrades!$T$14="Roche Lobe Overflow",POWER(Upgrades!$U$14,F352),1)*IF(Upgrades!$T$15="Roche Lobe Overflow",POWER(Upgrades!$U$15,G352),1)*IF(Upgrades!$T$17="Roche Lobe Overflow",POWER(Upgrades!$U$17,I352),1)*IF(Upgrades!$T$18="Roche Lobe Overflow",POWER(Upgrades!$U$18,J352),1)*IF(Upgrades!$T$19="Roche Lobe Overflow",POWER(Upgrades!$U$19,K352),1)*IF(Upgrades!$T$20="Roche Lobe Overflow",POWER(Upgrades!$U$20,L352),1)*IF(Upgrades!$T$21="Roche Lobe Overflow",POWER(Upgrades!$U$21,M352),1))+(IF(I352=0,0,(Upgrades!$M$17+I352*Upgrades!$N$17)*POWER(Upgrades!$O$17,I352)))*(IF(Upgrades!$T$13="Brown Dwarf",POWER(Upgrades!$U$13,E352),1)*IF(Upgrades!$T$14="Brown Dwarf",POWER(Upgrades!$U$14,F352),1)*IF(Upgrades!$T$15="Brown Dwarf",POWER(Upgrades!$U$15,G352),1)*IF(Upgrades!$T$16="Brown Dwarf",POWER(Upgrades!$U$16,H352),1)*IF(Upgrades!$T$18="Brown Dwarf",POWER(Upgrades!$U$18,J352),1)*IF(Upgrades!$T$19="Brown Dwarf",POWER(Upgrades!$U$19,K352),1)*IF(Upgrades!$T$20="Brown Dwarf",POWER(Upgrades!$U$20,L352),1)*IF(Upgrades!$T$21="Brown Dwarf",POWER(Upgrades!$U$21,M352),1))+(IF(J352=0,0,(Upgrades!$M$18+J352*Upgrades!$N$18)*POWER(Upgrades!$O$18,J352)))*(IF(Upgrades!$T$13="Binary Partner",POWER(Upgrades!$U$13,E352),1)*IF(Upgrades!$T$14="Binary Partner",POWER(Upgrades!$U$14,F352),1)*IF(Upgrades!$T$15="Binary Partner",POWER(Upgrades!$U$15,G352),1)*IF(Upgrades!$T$16="Binary Partner",POWER(Upgrades!$U$16,H352),1)*IF(Upgrades!$T$17="Binary Partner",POWER(Upgrades!$U$17,I352),1)*IF(Upgrades!$T$19="Binary Partner",POWER(Upgrades!$U$19,K352),1)*IF(Upgrades!$T$20="Binary Partner",POWER(Upgrades!$U$20,L352),1)*IF(Upgrades!$T$21="Binary Partner",POWER(Upgrades!$U$21,M352),1))+(IF(K352=0,0,(Upgrades!$M$19+K352*Upgrades!$N$19)*POWER(Upgrades!$O$19,K352)))*(IF(Upgrades!$T$13="Peculiar Velocity",POWER(Upgrades!$U$13,E352),1)*IF(Upgrades!$T$14="Peculiar Velocity",POWER(Upgrades!$U$14,F352),1)*IF(Upgrades!$T$15="Peculiar Velocity",POWER(Upgrades!$U$15,G352),1)*IF(Upgrades!$T$16="Peculiar Velocity",POWER(Upgrades!$U$16,H352),1)*IF(Upgrades!$T$17="Peculiar Velocity",POWER(Upgrades!$U$17,I352),1)*IF(Upgrades!$T$18="Peculiar Velocity",POWER(Upgrades!$U$18,J352),1)*IF(Upgrades!$T$20="Peculiar Velocity",POWER(Upgrades!$U$20,L352),1)*IF(Upgrades!$T$21="Peculiar Velocity",POWER(Upgrades!$U$21,M352),1))+(IF(L352=0,0,(Upgrades!$M$20+L352*Upgrades!$N$20)*POWER(Upgrades!$O$20,L352)))*(IF(Upgrades!$T$13="Open Cluster",POWER(Upgrades!$U$13,E352),1)*IF(Upgrades!$T$14="Open Cluster",POWER(Upgrades!$U$14,F352),1)*IF(Upgrades!$T$15="Open Cluster",POWER(Upgrades!$U$15,G352),1)*IF(Upgrades!$T$16="Open Cluster",POWER(Upgrades!$U$16,H352),1)*IF(Upgrades!$T$17="Open Cluster",POWER(Upgrades!$U$17,I352),1)*IF(Upgrades!$T$18="Open Cluster",POWER(Upgrades!$U$18,J352),1)*IF(Upgrades!$T$19="Open Cluster",POWER(Upgrades!$U$19,K352),1)*IF(Upgrades!$T$21="Open Cluster",POWER(Upgrades!$U$21,M352),1))+(IF(M352=0,0,(Upgrades!$M$21+M352*Upgrades!$N$21)*POWER(Upgrades!$O$21,M352)))*(IF(Upgrades!$T$13="Moving Group",POWER(Upgrades!$U$13,E352),1)*IF(Upgrades!$T$14="Moving Group",POWER(Upgrades!$U$14,F352),1)*IF(Upgrades!$T$15="Moving Group",POWER(Upgrades!$U$15,G352),1)*IF(Upgrades!$T$16="Moving Group",POWER(Upgrades!$U$16,H352),1)*IF(Upgrades!$T$17="Moving Group",POWER(Upgrades!$U$17,I352),1)*IF(Upgrades!$T$18="Moving Group",POWER(Upgrades!$U$18,J352),1)*IF(Upgrades!$T$19="Moving Group",POWER(Upgrades!$U$19,K352),1)*IF(Upgrades!$T$20="Moving Group",POWER(Upgrades!$U$20,L352),1)))*POWER(Upgrades!$R$13,E352)*POWER(Upgrades!$R$14,F352)*POWER(Upgrades!$R$15,G352)*POWER(Upgrades!$R$16,H352)*POWER(Upgrades!$R$17,I352)*POWER(Upgrades!$R$18,J352)*POWER(Upgrades!$R$19,K352)*POWER(Upgrades!$R$20,L352)*POWER(Upgrades!$R$21,M352)*$H$6+$E$6</f>
        <v/>
      </c>
      <c r="R352" s="27">
        <f>IF(N352=1,0,O352*Parameters!$B$10/60*Parameters!$B$11*10)</f>
        <v/>
      </c>
      <c r="S352" s="27">
        <f>IF(N352=1,0,Q352*O352*10)</f>
        <v/>
      </c>
      <c r="T352" s="27">
        <f>IF(N352=1,0,R352+S352+P352*10)</f>
        <v/>
      </c>
      <c r="U352" s="33">
        <f>BE352</f>
        <v/>
      </c>
      <c r="V352" s="22">
        <f>IF(U352="",0,IF(U352="transition",0,IF(U352="SK",AK352,IF(U352="LB",AL352,IF(U352="ML",AM352,IF(U352="RLO",AN352,IF(U352="BD",AO352,IF(U352="BiP",AP352,IF(U352="PV",AQ352,IF(U352="OC",AR352,IF(U352="MG",AS352,0))))))))))</f>
        <v/>
      </c>
      <c r="W352" s="27">
        <f>IF(U352="BiP",Upgrades!$F$18,IF(U352="PV",Upgrades!$F$19,IF(U352="OC",Upgrades!$F$20,IF(U352="MG",Upgrades!$F$21,IF(U352="transition",-Parameters!$B$18*Parameters!$B$19,0)))))</f>
        <v/>
      </c>
      <c r="X352" s="22">
        <f>C352+T352-V352</f>
        <v/>
      </c>
      <c r="Y352" s="30">
        <f>O352*Parameters!$B$10/60*Parameters!$B$11+Q352*O352+P352</f>
        <v/>
      </c>
      <c r="Z352" s="34">
        <f>IF(U352="transition","→ Tier 3 (Galactic Arm)",IF(U352="MG","Moving Group — pocket drifts together",IF(U352="OC","Open Cluster acquired",IF(U352="PV","Peculiar Velocity — passive multiplier active",IF(U352="BiP","Binary Partner — pair bond formed",IF(AND(AU352=1,N352=0,AT352&lt;&gt;1),"Cohesion ready (waiting on completionists)","")))))) </f>
        <v/>
      </c>
      <c r="AA352" s="27">
        <f>(IF(E352=0,0,(Upgrades!$G$13+E352*Upgrades!$H$13)*POWER(Upgrades!$I$13,E352)))*(IF(Upgrades!$T$14="Stellar Kinematics",POWER(Upgrades!$U$14,F352),1)*IF(Upgrades!$T$15="Stellar Kinematics",POWER(Upgrades!$U$15,G352),1)*IF(Upgrades!$T$16="Stellar Kinematics",POWER(Upgrades!$U$16,H352),1)*IF(Upgrades!$T$17="Stellar Kinematics",POWER(Upgrades!$U$17,I352),1)*IF(Upgrades!$T$18="Stellar Kinematics",POWER(Upgrades!$U$18,J352),1)*IF(Upgrades!$T$19="Stellar Kinematics",POWER(Upgrades!$U$19,K352),1)*IF(Upgrades!$T$20="Stellar Kinematics",POWER(Upgrades!$U$20,L352),1)*IF(Upgrades!$T$21="Stellar Kinematics",POWER(Upgrades!$U$21,M352),1))*POWER(Upgrades!$P$13,E352)*POWER(Upgrades!$P$14,F352)*POWER(Upgrades!$P$15,G352)*POWER(Upgrades!$P$16,H352)*POWER(Upgrades!$P$17,I352)*POWER(Upgrades!$P$18,J352)*POWER(Upgrades!$P$19,K352)*POWER(Upgrades!$P$20,L352)*POWER(Upgrades!$P$21,M352)*$F$6*60</f>
        <v/>
      </c>
      <c r="AB352" s="27">
        <f>(IF(F352=0,0,(Upgrades!$G$14+F352*Upgrades!$H$14)*POWER(Upgrades!$I$14,F352)))*(IF(Upgrades!$T$13="Local Bubble",POWER(Upgrades!$U$13,E352),1)*IF(Upgrades!$T$15="Local Bubble",POWER(Upgrades!$U$15,G352),1)*IF(Upgrades!$T$16="Local Bubble",POWER(Upgrades!$U$16,H352),1)*IF(Upgrades!$T$17="Local Bubble",POWER(Upgrades!$U$17,I352),1)*IF(Upgrades!$T$18="Local Bubble",POWER(Upgrades!$U$18,J352),1)*IF(Upgrades!$T$19="Local Bubble",POWER(Upgrades!$U$19,K352),1)*IF(Upgrades!$T$20="Local Bubble",POWER(Upgrades!$U$20,L352),1)*IF(Upgrades!$T$21="Local Bubble",POWER(Upgrades!$U$21,M352),1))*POWER(Upgrades!$P$13,E352)*POWER(Upgrades!$P$14,F352)*POWER(Upgrades!$P$15,G352)*POWER(Upgrades!$P$16,H352)*POWER(Upgrades!$P$17,I352)*POWER(Upgrades!$P$18,J352)*POWER(Upgrades!$P$19,K352)*POWER(Upgrades!$P$20,L352)*POWER(Upgrades!$P$21,M352)*$F$6*60</f>
        <v/>
      </c>
      <c r="AC352" s="27">
        <f>(IF(G352=0,0,(Upgrades!$J$15+G352*Upgrades!$K$15)*POWER(Upgrades!$L$15,G352)))*(IF(Upgrades!$T$13="Microlensing",POWER(Upgrades!$U$13,E352),1)*IF(Upgrades!$T$14="Microlensing",POWER(Upgrades!$U$14,F352),1)*IF(Upgrades!$T$16="Microlensing",POWER(Upgrades!$U$16,H352),1)*IF(Upgrades!$T$17="Microlensing",POWER(Upgrades!$U$17,I352),1)*IF(Upgrades!$T$18="Microlensing",POWER(Upgrades!$U$18,J352),1)*IF(Upgrades!$T$19="Microlensing",POWER(Upgrades!$U$19,K352),1)*IF(Upgrades!$T$20="Microlensing",POWER(Upgrades!$U$20,L352),1)*IF(Upgrades!$T$21="Microlensing",POWER(Upgrades!$U$21,M352),1))*POWER(Upgrades!$Q$13,E352)*POWER(Upgrades!$Q$14,F352)*POWER(Upgrades!$Q$15,G352)*POWER(Upgrades!$Q$16,H352)*POWER(Upgrades!$Q$17,I352)*POWER(Upgrades!$Q$18,J352)*POWER(Upgrades!$Q$19,K352)*POWER(Upgrades!$Q$20,L352)*POWER(Upgrades!$Q$21,M352)*$G$6*(Parameters!$B$10*Parameters!$B$11+Q352*60)</f>
        <v/>
      </c>
      <c r="AD352" s="27">
        <f>(IF(H352=0,0,(Upgrades!$M$16+H352*Upgrades!$N$16)*POWER(Upgrades!$O$16,H352)))*(IF(Upgrades!$T$13="Roche Lobe Overflow",POWER(Upgrades!$U$13,E352),1)*IF(Upgrades!$T$14="Roche Lobe Overflow",POWER(Upgrades!$U$14,F352),1)*IF(Upgrades!$T$15="Roche Lobe Overflow",POWER(Upgrades!$U$15,G352),1)*IF(Upgrades!$T$17="Roche Lobe Overflow",POWER(Upgrades!$U$17,I352),1)*IF(Upgrades!$T$18="Roche Lobe Overflow",POWER(Upgrades!$U$18,J352),1)*IF(Upgrades!$T$19="Roche Lobe Overflow",POWER(Upgrades!$U$19,K352),1)*IF(Upgrades!$T$20="Roche Lobe Overflow",POWER(Upgrades!$U$20,L352),1)*IF(Upgrades!$T$21="Roche Lobe Overflow",POWER(Upgrades!$U$21,M352),1))*POWER(Upgrades!$R$13,E352)*POWER(Upgrades!$R$14,F352)*POWER(Upgrades!$R$15,G352)*POWER(Upgrades!$R$16,H352)*POWER(Upgrades!$R$17,I352)*POWER(Upgrades!$R$18,J352)*POWER(Upgrades!$R$19,K352)*POWER(Upgrades!$R$20,L352)*POWER(Upgrades!$R$21,M352)*$H$6*O352*60</f>
        <v/>
      </c>
      <c r="AE352" s="27">
        <f>(IF(I352=0,0,(Upgrades!$G$17+I352*Upgrades!$H$17)*POWER(Upgrades!$I$17,I352)))*(IF(Upgrades!$T$13="Brown Dwarf",POWER(Upgrades!$U$13,E352),1)*IF(Upgrades!$T$14="Brown Dwarf",POWER(Upgrades!$U$14,F352),1)*IF(Upgrades!$T$15="Brown Dwarf",POWER(Upgrades!$U$15,G352),1)*IF(Upgrades!$T$16="Brown Dwarf",POWER(Upgrades!$U$16,H352),1)*IF(Upgrades!$T$18="Brown Dwarf",POWER(Upgrades!$U$18,J352),1)*IF(Upgrades!$T$19="Brown Dwarf",POWER(Upgrades!$U$19,K352),1)*IF(Upgrades!$T$20="Brown Dwarf",POWER(Upgrades!$U$20,L352),1)*IF(Upgrades!$T$21="Brown Dwarf",POWER(Upgrades!$U$21,M352),1))*POWER(Upgrades!$P$13,E352)*POWER(Upgrades!$P$14,F352)*POWER(Upgrades!$P$15,G352)*POWER(Upgrades!$P$16,H352)*POWER(Upgrades!$P$17,I352)*POWER(Upgrades!$P$18,J352)*POWER(Upgrades!$P$19,K352)*POWER(Upgrades!$P$20,L352)*POWER(Upgrades!$P$21,M352)*$F$6*60</f>
        <v/>
      </c>
      <c r="AF352" s="27" t="n">
        <v>0</v>
      </c>
      <c r="AG352" s="27" t="n">
        <v>0</v>
      </c>
      <c r="AH352" s="27" t="n">
        <v>0</v>
      </c>
      <c r="AI352" s="27">
        <f>(IF(M352=0,0,(Upgrades!$G$21+M352*Upgrades!$H$21)*POWER(Upgrades!$I$21,M352)))*(IF(Upgrades!$T$13="Moving Group",POWER(Upgrades!$U$13,E352),1)*IF(Upgrades!$T$14="Moving Group",POWER(Upgrades!$U$14,F352),1)*IF(Upgrades!$T$15="Moving Group",POWER(Upgrades!$U$15,G352),1)*IF(Upgrades!$T$16="Moving Group",POWER(Upgrades!$U$16,H352),1)*IF(Upgrades!$T$17="Moving Group",POWER(Upgrades!$U$17,I352),1)*IF(Upgrades!$T$18="Moving Group",POWER(Upgrades!$U$18,J352),1)*IF(Upgrades!$T$19="Moving Group",POWER(Upgrades!$U$19,K352),1)*IF(Upgrades!$T$20="Moving Group",POWER(Upgrades!$U$20,L352),1))*POWER(Upgrades!$P$13,E352)*POWER(Upgrades!$P$14,F352)*POWER(Upgrades!$P$15,G352)*POWER(Upgrades!$P$16,H352)*POWER(Upgrades!$P$17,I352)*POWER(Upgrades!$P$18,J352)*POWER(Upgrades!$P$19,K352)*POWER(Upgrades!$P$20,L352)*POWER(Upgrades!$P$21,M352)*$F$6*60</f>
        <v/>
      </c>
      <c r="AJ352" s="27">
        <f>$C$6*60</f>
        <v/>
      </c>
      <c r="AK352" s="22">
        <f>IF(E352&gt;=Upgrades!$E$13,"",Upgrades!$C$13*POWER(Upgrades!$D$13,E352))</f>
        <v/>
      </c>
      <c r="AL352" s="22">
        <f>IF(F352&gt;=Upgrades!$E$14,"",Upgrades!$C$14*POWER(Upgrades!$D$14,F352))</f>
        <v/>
      </c>
      <c r="AM352" s="22">
        <f>IF(G352&gt;=Upgrades!$E$15,"",Upgrades!$C$15*POWER(Upgrades!$D$15,G352))</f>
        <v/>
      </c>
      <c r="AN352" s="22">
        <f>IF(H352&gt;=Upgrades!$E$16,"",Upgrades!$C$16*POWER(Upgrades!$D$16,H352))</f>
        <v/>
      </c>
      <c r="AO352" s="22">
        <f>IF(I352&gt;=Upgrades!$E$17,"",Upgrades!$C$17*POWER(Upgrades!$D$17,I352))</f>
        <v/>
      </c>
      <c r="AP352" s="22">
        <f>IF(J352&gt;=Upgrades!$E$18,"",Upgrades!$C$18*POWER(Upgrades!$D$18,J352))</f>
        <v/>
      </c>
      <c r="AQ352" s="22">
        <f>IF(K352&gt;=Upgrades!$E$19,"",Upgrades!$C$19*POWER(Upgrades!$D$19,K352))</f>
        <v/>
      </c>
      <c r="AR352" s="22">
        <f>IF(L352&gt;=Upgrades!$E$20,"",Upgrades!$C$20*POWER(Upgrades!$D$20,L352))</f>
        <v/>
      </c>
      <c r="AS352" s="22">
        <f>IF(M352&gt;=Upgrades!$E$21,"",Upgrades!$C$21*POWER(Upgrades!$D$21,M352))</f>
        <v/>
      </c>
      <c r="AT352" s="26">
        <f>IF(AND(D352&gt;=Parameters!$B$18*Parameters!$B$19,(I352&gt;=Upgrades!$E$17)*(M352&gt;=Upgrades!$E$21)=1,N352=0),1,"")</f>
        <v/>
      </c>
      <c r="AU352" s="26">
        <f>IF(AND(D352&gt;=Parameters!$B$18*Parameters!$B$19,N352=0),1,"")</f>
        <v/>
      </c>
      <c r="AV352" s="22">
        <f>MIN(IF(ISNUMBER(AP352),AP352,9E15),IF(ISNUMBER(AQ352),AQ352,9E15),IF(ISNUMBER(AR352),AR352,9E15),IF(ISNUMBER(AS352),AS352,9E15))</f>
        <v/>
      </c>
      <c r="AW352" s="22">
        <f>MIN(IF(ISNUMBER(AK352),AK352,9E15),IF(ISNUMBER(AL352),AL352,9E15),IF(ISNUMBER(AM352),AM352,9E15),IF(ISNUMBER(AN352),AN352,9E15),IF(ISNUMBER(AO352),AO352,9E15))</f>
        <v/>
      </c>
      <c r="AX352" s="29">
        <f>IF(BD352&gt;Parameters!$B$21*(MAX(IF(AND(NOT(AND(AU352=1,AT352&lt;&gt;1)),ISNUMBER(AK352),AK352&lt;=(C352+T352)),AY352,0),IF(AND(NOT(AND(AU352=1,AT352&lt;&gt;1)),ISNUMBER(AL352),AL352&lt;=(C352+T352)),AZ352,0),IF(AND(NOT(AND(AU352=1,AT352&lt;&gt;1)),ISNUMBER(AM352),AM352&lt;=(C352+T352)),BA352,0),IF(AND(NOT(AND(AU352=1,AT352&lt;&gt;1)),ISNUMBER(AN352),AN352&lt;=(C352+T352)),BB352,0),IF(AND(ISNUMBER(AO352),AO352&lt;=(C352+T352)),BC352,0))),TRUE,FALSE)</f>
        <v/>
      </c>
      <c r="AY352" s="32">
        <f>IFERROR(Upgrades!$H$13*(POWER(Upgrades!$P$13,E352)*POWER(Upgrades!$P$14,F352)*POWER(Upgrades!$P$15,G352)*POWER(Upgrades!$P$16,H352)*POWER(Upgrades!$P$17,I352)*POWER(Upgrades!$P$18,J352)*POWER(Upgrades!$P$19,K352)*POWER(Upgrades!$P$20,L352)*POWER(Upgrades!$P$21,M352))*(IF(Upgrades!$T$14="Stellar Kinematics",POWER(Upgrades!$U$14,F352),1)*IF(Upgrades!$T$15="Stellar Kinematics",POWER(Upgrades!$U$15,G352),1)*IF(Upgrades!$T$16="Stellar Kinematics",POWER(Upgrades!$U$16,H352),1)*IF(Upgrades!$T$17="Stellar Kinematics",POWER(Upgrades!$U$17,I352),1)*IF(Upgrades!$T$18="Stellar Kinematics",POWER(Upgrades!$U$18,J352),1)*IF(Upgrades!$T$19="Stellar Kinematics",POWER(Upgrades!$U$19,K352),1)*IF(Upgrades!$T$20="Stellar Kinematics",POWER(Upgrades!$U$20,L352),1)*IF(Upgrades!$T$21="Stellar Kinematics",POWER(Upgrades!$U$21,M352),1))*$F$6/AK352,0)</f>
        <v/>
      </c>
      <c r="AZ352" s="32">
        <f>IFERROR(Upgrades!$H$14*(POWER(Upgrades!$P$13,E352)*POWER(Upgrades!$P$14,F352)*POWER(Upgrades!$P$15,G352)*POWER(Upgrades!$P$16,H352)*POWER(Upgrades!$P$17,I352)*POWER(Upgrades!$P$18,J352)*POWER(Upgrades!$P$19,K352)*POWER(Upgrades!$P$20,L352)*POWER(Upgrades!$P$21,M352))*(IF(Upgrades!$T$13="Local Bubble",POWER(Upgrades!$U$13,E352),1)*IF(Upgrades!$T$15="Local Bubble",POWER(Upgrades!$U$15,G352),1)*IF(Upgrades!$T$16="Local Bubble",POWER(Upgrades!$U$16,H352),1)*IF(Upgrades!$T$17="Local Bubble",POWER(Upgrades!$U$17,I352),1)*IF(Upgrades!$T$18="Local Bubble",POWER(Upgrades!$U$18,J352),1)*IF(Upgrades!$T$19="Local Bubble",POWER(Upgrades!$U$19,K352),1)*IF(Upgrades!$T$20="Local Bubble",POWER(Upgrades!$U$20,L352),1)*IF(Upgrades!$T$21="Local Bubble",POWER(Upgrades!$U$21,M352),1))*$F$6/AL352,0)</f>
        <v/>
      </c>
      <c r="BA352" s="32">
        <f>IFERROR(Upgrades!$K$15*(POWER(Upgrades!$Q$13,E352)*POWER(Upgrades!$Q$14,F352)*POWER(Upgrades!$Q$15,G352)*POWER(Upgrades!$Q$16,H352)*POWER(Upgrades!$Q$17,I352)*POWER(Upgrades!$Q$18,J352)*POWER(Upgrades!$Q$19,K352)*POWER(Upgrades!$Q$20,L352)*POWER(Upgrades!$Q$21,M352))*(IF(Upgrades!$T$13="Microlensing",POWER(Upgrades!$U$13,E352),1)*IF(Upgrades!$T$14="Microlensing",POWER(Upgrades!$U$14,F352),1)*IF(Upgrades!$T$16="Microlensing",POWER(Upgrades!$U$16,H352),1)*IF(Upgrades!$T$17="Microlensing",POWER(Upgrades!$U$17,I352),1)*IF(Upgrades!$T$18="Microlensing",POWER(Upgrades!$U$18,J352),1)*IF(Upgrades!$T$19="Microlensing",POWER(Upgrades!$U$19,K352),1)*IF(Upgrades!$T$20="Microlensing",POWER(Upgrades!$U$20,L352),1)*IF(Upgrades!$T$21="Microlensing",POWER(Upgrades!$U$21,M352),1))*$G$6*(Parameters!$B$10/60*Parameters!$B$11+Q352)/AM352,0)</f>
        <v/>
      </c>
      <c r="BB352" s="32">
        <f>IFERROR((Upgrades!$N$16*(POWER(Upgrades!$R$13,E352)*POWER(Upgrades!$R$14,F352)*POWER(Upgrades!$R$15,G352)*POWER(Upgrades!$R$16,H352)*POWER(Upgrades!$R$17,I352)*POWER(Upgrades!$R$18,J352)*POWER(Upgrades!$R$19,K352)*POWER(Upgrades!$R$20,L352)*POWER(Upgrades!$R$21,M352))*(IF(Upgrades!$T$13="Roche Lobe Overflow",POWER(Upgrades!$U$13,E352),1)*IF(Upgrades!$T$14="Roche Lobe Overflow",POWER(Upgrades!$U$14,F352),1)*IF(Upgrades!$T$15="Roche Lobe Overflow",POWER(Upgrades!$U$15,G352),1)*IF(Upgrades!$T$17="Roche Lobe Overflow",POWER(Upgrades!$U$17,I352),1)*IF(Upgrades!$T$18="Roche Lobe Overflow",POWER(Upgrades!$U$18,J352),1)*IF(Upgrades!$T$19="Roche Lobe Overflow",POWER(Upgrades!$U$19,K352),1)*IF(Upgrades!$T$20="Roche Lobe Overflow",POWER(Upgrades!$U$20,L352),1)*IF(Upgrades!$T$21="Roche Lobe Overflow",POWER(Upgrades!$U$21,M352),1))*$H$6*O352+((IF(F352=0,0,(Upgrades!$G$14+F352*Upgrades!$H$14)*POWER(Upgrades!$I$14,F352)))*(IF(Upgrades!$T$13="Local Bubble",POWER(Upgrades!$U$13,E352),1)*IF(Upgrades!$T$15="Local Bubble",POWER(Upgrades!$U$15,G352),1)*IF(Upgrades!$T$16="Local Bubble",POWER(Upgrades!$U$16,H352),1)*IF(Upgrades!$T$17="Local Bubble",POWER(Upgrades!$U$17,I352),1)*IF(Upgrades!$T$18="Local Bubble",POWER(Upgrades!$U$18,J352),1)*IF(Upgrades!$T$19="Local Bubble",POWER(Upgrades!$U$19,K352),1)*IF(Upgrades!$T$20="Local Bubble",POWER(Upgrades!$U$20,L352),1)*IF(Upgrades!$T$21="Local Bubble",POWER(Upgrades!$U$21,M352),1))*POWER(Upgrades!$P$13,E352)*POWER(Upgrades!$P$14,F352)*POWER(Upgrades!$P$15,G352)*POWER(Upgrades!$P$16,H352)*POWER(Upgrades!$P$17,I352)*POWER(Upgrades!$P$18,J352)*POWER(Upgrades!$P$19,K352)*POWER(Upgrades!$P$20,L352)*POWER(Upgrades!$P$21,M352)*$F$6)*0.05)/AN352,0)</f>
        <v/>
      </c>
      <c r="BC352" s="32">
        <f>IFERROR((Upgrades!$H$17*(POWER(Upgrades!$P$13,E352)*POWER(Upgrades!$P$14,F352)*POWER(Upgrades!$P$15,G352)*POWER(Upgrades!$P$16,H352)*POWER(Upgrades!$P$17,I352)*POWER(Upgrades!$P$18,J352)*POWER(Upgrades!$P$19,K352)*POWER(Upgrades!$P$20,L352)*POWER(Upgrades!$P$21,M352))*(IF(Upgrades!$T$13="Brown Dwarf",POWER(Upgrades!$U$13,E352),1)*IF(Upgrades!$T$14="Brown Dwarf",POWER(Upgrades!$U$14,F352),1)*IF(Upgrades!$T$15="Brown Dwarf",POWER(Upgrades!$U$15,G352),1)*IF(Upgrades!$T$16="Brown Dwarf",POWER(Upgrades!$U$16,H352),1)*IF(Upgrades!$T$18="Brown Dwarf",POWER(Upgrades!$U$18,J352),1)*IF(Upgrades!$T$19="Brown Dwarf",POWER(Upgrades!$U$19,K352),1)*IF(Upgrades!$T$20="Brown Dwarf",POWER(Upgrades!$U$20,L352),1)*IF(Upgrades!$T$21="Brown Dwarf",POWER(Upgrades!$U$21,M352),1))*$F$6+(((IF(H352=0,0,(Upgrades!$M$16+H352*Upgrades!$N$16)*POWER(Upgrades!$O$16,H352)))*(IF(Upgrades!$T$13="Roche Lobe Overflow",POWER(Upgrades!$U$13,E352),1)*IF(Upgrades!$T$14="Roche Lobe Overflow",POWER(Upgrades!$U$14,F352),1)*IF(Upgrades!$T$15="Roche Lobe Overflow",POWER(Upgrades!$U$15,G352),1)*IF(Upgrades!$T$17="Roche Lobe Overflow",POWER(Upgrades!$U$17,I352),1)*IF(Upgrades!$T$18="Roche Lobe Overflow",POWER(Upgrades!$U$18,J352),1)*IF(Upgrades!$T$19="Roche Lobe Overflow",POWER(Upgrades!$U$19,K352),1)*IF(Upgrades!$T$20="Roche Lobe Overflow",POWER(Upgrades!$U$20,L352),1)*IF(Upgrades!$T$21="Roche Lobe Overflow",POWER(Upgrades!$U$21,M352),1))*POWER(Upgrades!$R$13,E352)*POWER(Upgrades!$R$14,F352)*POWER(Upgrades!$R$15,G352)*POWER(Upgrades!$R$16,H352)*POWER(Upgrades!$R$17,I352)*POWER(Upgrades!$R$18,J352)*POWER(Upgrades!$R$19,K352)*POWER(Upgrades!$R$20,L352)*POWER(Upgrades!$R$21,M352)*$H$6)*O352)*0.10)/AO352,0)</f>
        <v/>
      </c>
      <c r="BD352" s="32">
        <f>MAX(IF(J352&gt;0,0,IFERROR(0.5*((IF(G352=0,0,(Upgrades!$J$15+G352*Upgrades!$K$15)*POWER(Upgrades!$L$15,G352)))*(IF(Upgrades!$T$13="Microlensing",POWER(Upgrades!$U$13,E352),1)*IF(Upgrades!$T$14="Microlensing",POWER(Upgrades!$U$14,F352),1)*IF(Upgrades!$T$16="Microlensing",POWER(Upgrades!$U$16,H352),1)*IF(Upgrades!$T$17="Microlensing",POWER(Upgrades!$U$17,I352),1)*IF(Upgrades!$T$18="Microlensing",POWER(Upgrades!$U$18,J352),1)*IF(Upgrades!$T$19="Microlensing",POWER(Upgrades!$U$19,K352),1)*IF(Upgrades!$T$20="Microlensing",POWER(Upgrades!$U$20,L352),1)*IF(Upgrades!$T$21="Microlensing",POWER(Upgrades!$U$21,M352),1))*(POWER(Upgrades!$Q$13,E352)*POWER(Upgrades!$Q$14,F352)*POWER(Upgrades!$Q$15,G352)*POWER(Upgrades!$Q$16,H352)*POWER(Upgrades!$Q$17,I352)*POWER(Upgrades!$Q$18,J352)*POWER(Upgrades!$Q$19,K352)*POWER(Upgrades!$Q$20,L352)*POWER(Upgrades!$Q$21,M352))*$G$6*(Parameters!$B$10/60*Parameters!$B$11+Q352))/Upgrades!$C$18,0)),IF(K352&gt;0,0,IFERROR(0.30*P352/Upgrades!$C$19,0)),IF(L352&gt;0,0,IFERROR(0.0001/Upgrades!$C$20,0)),IF(M352&gt;0,0,IFERROR((6.0*(POWER(Upgrades!$P$13,E352)*POWER(Upgrades!$P$14,F352)*POWER(Upgrades!$P$15,G352)*POWER(Upgrades!$P$16,H352)*POWER(Upgrades!$P$17,I352)*POWER(Upgrades!$P$18,J352)*POWER(Upgrades!$P$19,K352)*POWER(Upgrades!$P$20,L352)*POWER(Upgrades!$P$21,M352))*$F$6+0.20*O352*(Parameters!$B$10/60*Parameters!$B$11+Q352))/Upgrades!$C$21,0)),IF(AND(ISNUMBER(AK352),AK352&gt;(C352+T352)),AY352,0),IF(AND(ISNUMBER(AL352),AL352&gt;(C352+T352)),AZ352,0),IF(AND(ISNUMBER(AM352),AM352&gt;(C352+T352)),BA352,0),IF(AND(ISNUMBER(AN352),AN352&gt;(C352+T352)),BB352,0),IF(AND(ISNUMBER(AO352),AO352&gt;(C352+T352)),BC352,0))</f>
        <v/>
      </c>
      <c r="BE352" s="29">
        <f>IF(AT352=1,"transition",IF(MIN(IF(AND(J352=0,ISNUMBER(AP352),AP352&lt;=(C352+T352)),AP352,9E15),IF(AND(K352=0,ISNUMBER(AQ352),AQ352&lt;=(C352+T352)),AQ352,9E15),IF(AND(L352=0,ISNUMBER(AR352),AR352&lt;=(C352+T352)),AR352,9E15),IF(AND(M352=0,ISNUMBER(AS352),AS352&lt;=(C352+T352)),AS352,9E15))&lt;9E15,IF(AND(AND(J352=0,ISNUMBER(AP352),AP352&lt;=(C352+T352)),AP352=MIN(IF(AND(J352=0,ISNUMBER(AP352),AP352&lt;=(C352+T352)),AP352,9E15),IF(AND(K352=0,ISNUMBER(AQ352),AQ352&lt;=(C352+T352)),AQ352,9E15),IF(AND(L352=0,ISNUMBER(AR352),AR352&lt;=(C352+T352)),AR352,9E15),IF(AND(M352=0,ISNUMBER(AS352),AS352&lt;=(C352+T352)),AS352,9E15))),"BiP",IF(AND(AND(K352=0,ISNUMBER(AQ352),AQ352&lt;=(C352+T352)),AQ352=MIN(IF(AND(J352=0,ISNUMBER(AP352),AP352&lt;=(C352+T352)),AP352,9E15),IF(AND(K352=0,ISNUMBER(AQ352),AQ352&lt;=(C352+T352)),AQ352,9E15),IF(AND(L352=0,ISNUMBER(AR352),AR352&lt;=(C352+T352)),AR352,9E15),IF(AND(M352=0,ISNUMBER(AS352),AS352&lt;=(C352+T352)),AS352,9E15))),"PV",IF(AND(AND(L352=0,ISNUMBER(AR352),AR352&lt;=(C352+T352)),AR352=MIN(IF(AND(J352=0,ISNUMBER(AP352),AP352&lt;=(C352+T352)),AP352,9E15),IF(AND(K352=0,ISNUMBER(AQ352),AQ352&lt;=(C352+T352)),AQ352,9E15),IF(AND(L352=0,ISNUMBER(AR352),AR352&lt;=(C352+T352)),AR352,9E15),IF(AND(M352=0,ISNUMBER(AS352),AS352&lt;=(C352+T352)),AS352,9E15))),"OC","MG"))),IF(AX352=TRUE,"",IF(MAX(IF(AND(NOT(AND(AU352=1,AT352&lt;&gt;1)),ISNUMBER(AK352),AK352&lt;=(C352+T352)),AY352,0),IF(AND(NOT(AND(AU352=1,AT352&lt;&gt;1)),ISNUMBER(AL352),AL352&lt;=(C352+T352)),AZ352,0),IF(AND(NOT(AND(AU352=1,AT352&lt;&gt;1)),ISNUMBER(AM352),AM352&lt;=(C352+T352)),BA352,0),IF(AND(NOT(AND(AU352=1,AT352&lt;&gt;1)),ISNUMBER(AN352),AN352&lt;=(C352+T352)),BB352,0),IF(AND(ISNUMBER(AO352),AO352&lt;=(C352+T352)),BC352,0))&lt;=0,"",IF(AND(IF(AND(NOT(AND(AU352=1,AT352&lt;&gt;1)),ISNUMBER(AK352),AK352&lt;=(C352+T352)),AY352,0)&gt;0,IF(AND(NOT(AND(AU352=1,AT352&lt;&gt;1)),ISNUMBER(AK352),AK352&lt;=(C352+T352)),AY352,0)=MAX(IF(AND(NOT(AND(AU352=1,AT352&lt;&gt;1)),ISNUMBER(AK352),AK352&lt;=(C352+T352)),AY352,0),IF(AND(NOT(AND(AU352=1,AT352&lt;&gt;1)),ISNUMBER(AL352),AL352&lt;=(C352+T352)),AZ352,0),IF(AND(NOT(AND(AU352=1,AT352&lt;&gt;1)),ISNUMBER(AM352),AM352&lt;=(C352+T352)),BA352,0),IF(AND(NOT(AND(AU352=1,AT352&lt;&gt;1)),ISNUMBER(AN352),AN352&lt;=(C352+T352)),BB352,0),IF(AND(ISNUMBER(AO352),AO352&lt;=(C352+T352)),BC352,0))),"SK",IF(AND(IF(AND(NOT(AND(AU352=1,AT352&lt;&gt;1)),ISNUMBER(AL352),AL352&lt;=(C352+T352)),AZ352,0)&gt;0,IF(AND(NOT(AND(AU352=1,AT352&lt;&gt;1)),ISNUMBER(AL352),AL352&lt;=(C352+T352)),AZ352,0)=MAX(IF(AND(NOT(AND(AU352=1,AT352&lt;&gt;1)),ISNUMBER(AK352),AK352&lt;=(C352+T352)),AY352,0),IF(AND(NOT(AND(AU352=1,AT352&lt;&gt;1)),ISNUMBER(AL352),AL352&lt;=(C352+T352)),AZ352,0),IF(AND(NOT(AND(AU352=1,AT352&lt;&gt;1)),ISNUMBER(AM352),AM352&lt;=(C352+T352)),BA352,0),IF(AND(NOT(AND(AU352=1,AT352&lt;&gt;1)),ISNUMBER(AN352),AN352&lt;=(C352+T352)),BB352,0),IF(AND(ISNUMBER(AO352),AO352&lt;=(C352+T352)),BC352,0))),"LB",IF(AND(IF(AND(NOT(AND(AU352=1,AT352&lt;&gt;1)),ISNUMBER(AM352),AM352&lt;=(C352+T352)),BA352,0)&gt;0,IF(AND(NOT(AND(AU352=1,AT352&lt;&gt;1)),ISNUMBER(AM352),AM352&lt;=(C352+T352)),BA352,0)=MAX(IF(AND(NOT(AND(AU352=1,AT352&lt;&gt;1)),ISNUMBER(AK352),AK352&lt;=(C352+T352)),AY352,0),IF(AND(NOT(AND(AU352=1,AT352&lt;&gt;1)),ISNUMBER(AL352),AL352&lt;=(C352+T352)),AZ352,0),IF(AND(NOT(AND(AU352=1,AT352&lt;&gt;1)),ISNUMBER(AM352),AM352&lt;=(C352+T352)),BA352,0),IF(AND(NOT(AND(AU352=1,AT352&lt;&gt;1)),ISNUMBER(AN352),AN352&lt;=(C352+T352)),BB352,0),IF(AND(ISNUMBER(AO352),AO352&lt;=(C352+T352)),BC352,0))),"ML",IF(AND(IF(AND(NOT(AND(AU352=1,AT352&lt;&gt;1)),ISNUMBER(AN352),AN352&lt;=(C352+T352)),BB352,0)&gt;0,IF(AND(NOT(AND(AU352=1,AT352&lt;&gt;1)),ISNUMBER(AN352),AN352&lt;=(C352+T352)),BB352,0)=MAX(IF(AND(NOT(AND(AU352=1,AT352&lt;&gt;1)),ISNUMBER(AK352),AK352&lt;=(C352+T352)),AY352,0),IF(AND(NOT(AND(AU352=1,AT352&lt;&gt;1)),ISNUMBER(AL352),AL352&lt;=(C352+T352)),AZ352,0),IF(AND(NOT(AND(AU352=1,AT352&lt;&gt;1)),ISNUMBER(AM352),AM352&lt;=(C352+T352)),BA352,0),IF(AND(NOT(AND(AU352=1,AT352&lt;&gt;1)),ISNUMBER(AN352),AN352&lt;=(C352+T352)),BB352,0),IF(AND(ISNUMBER(AO352),AO352&lt;=(C352+T352)),BC352,0))),"RLO","BD"))))))))</f>
        <v/>
      </c>
    </row>
    <row r="353">
      <c r="A353" s="26" t="n">
        <v>342</v>
      </c>
      <c r="B353" s="27">
        <f>A353*10/60</f>
        <v/>
      </c>
      <c r="C353" s="22">
        <f>X352</f>
        <v/>
      </c>
      <c r="D353" s="27">
        <f>D352+W352</f>
        <v/>
      </c>
      <c r="E353" s="26">
        <f>E352+IF(U352="SK",1,0)</f>
        <v/>
      </c>
      <c r="F353" s="26">
        <f>F352+IF(U352="LB",1,0)</f>
        <v/>
      </c>
      <c r="G353" s="26">
        <f>G352+IF(U352="ML",1,0)</f>
        <v/>
      </c>
      <c r="H353" s="26">
        <f>H352+IF(U352="RLO",1,0)</f>
        <v/>
      </c>
      <c r="I353" s="26">
        <f>I352+IF(U352="BD",1,0)</f>
        <v/>
      </c>
      <c r="J353" s="26">
        <f>MAX(J352,IF(U352="BiP",1,0))</f>
        <v/>
      </c>
      <c r="K353" s="26">
        <f>MAX(K352,IF(U352="PV",1,0))</f>
        <v/>
      </c>
      <c r="L353" s="26">
        <f>MAX(L352,IF(U352="OC",1,0))</f>
        <v/>
      </c>
      <c r="M353" s="26">
        <f>MAX(M352,IF(U352="MG",1,0))</f>
        <v/>
      </c>
      <c r="N353" s="26">
        <f>MAX(N352,IF(U352="transition",1,0))</f>
        <v/>
      </c>
      <c r="O353" s="28">
        <f>(Parameters!$B$9+(IF(E353=0,0,(Upgrades!$J$13+E353*Upgrades!$K$13)*POWER(Upgrades!$L$13,E353)))*(IF(Upgrades!$T$14="Stellar Kinematics",POWER(Upgrades!$U$14,F353),1)*IF(Upgrades!$T$15="Stellar Kinematics",POWER(Upgrades!$U$15,G353),1)*IF(Upgrades!$T$16="Stellar Kinematics",POWER(Upgrades!$U$16,H353),1)*IF(Upgrades!$T$17="Stellar Kinematics",POWER(Upgrades!$U$17,I353),1)*IF(Upgrades!$T$18="Stellar Kinematics",POWER(Upgrades!$U$18,J353),1)*IF(Upgrades!$T$19="Stellar Kinematics",POWER(Upgrades!$U$19,K353),1)*IF(Upgrades!$T$20="Stellar Kinematics",POWER(Upgrades!$U$20,L353),1)*IF(Upgrades!$T$21="Stellar Kinematics",POWER(Upgrades!$U$21,M353),1))+(IF(F353=0,0,(Upgrades!$J$14+F353*Upgrades!$K$14)*POWER(Upgrades!$L$14,F353)))*(IF(Upgrades!$T$13="Local Bubble",POWER(Upgrades!$U$13,E353),1)*IF(Upgrades!$T$15="Local Bubble",POWER(Upgrades!$U$15,G353),1)*IF(Upgrades!$T$16="Local Bubble",POWER(Upgrades!$U$16,H353),1)*IF(Upgrades!$T$17="Local Bubble",POWER(Upgrades!$U$17,I353),1)*IF(Upgrades!$T$18="Local Bubble",POWER(Upgrades!$U$18,J353),1)*IF(Upgrades!$T$19="Local Bubble",POWER(Upgrades!$U$19,K353),1)*IF(Upgrades!$T$20="Local Bubble",POWER(Upgrades!$U$20,L353),1)*IF(Upgrades!$T$21="Local Bubble",POWER(Upgrades!$U$21,M353),1))+(IF(G353=0,0,(Upgrades!$J$15+G353*Upgrades!$K$15)*POWER(Upgrades!$L$15,G353)))*(IF(Upgrades!$T$13="Microlensing",POWER(Upgrades!$U$13,E353),1)*IF(Upgrades!$T$14="Microlensing",POWER(Upgrades!$U$14,F353),1)*IF(Upgrades!$T$16="Microlensing",POWER(Upgrades!$U$16,H353),1)*IF(Upgrades!$T$17="Microlensing",POWER(Upgrades!$U$17,I353),1)*IF(Upgrades!$T$18="Microlensing",POWER(Upgrades!$U$18,J353),1)*IF(Upgrades!$T$19="Microlensing",POWER(Upgrades!$U$19,K353),1)*IF(Upgrades!$T$20="Microlensing",POWER(Upgrades!$U$20,L353),1)*IF(Upgrades!$T$21="Microlensing",POWER(Upgrades!$U$21,M353),1))+(IF(H353=0,0,(Upgrades!$J$16+H353*Upgrades!$K$16)*POWER(Upgrades!$L$16,H353)))*(IF(Upgrades!$T$13="Roche Lobe Overflow",POWER(Upgrades!$U$13,E353),1)*IF(Upgrades!$T$14="Roche Lobe Overflow",POWER(Upgrades!$U$14,F353),1)*IF(Upgrades!$T$15="Roche Lobe Overflow",POWER(Upgrades!$U$15,G353),1)*IF(Upgrades!$T$17="Roche Lobe Overflow",POWER(Upgrades!$U$17,I353),1)*IF(Upgrades!$T$18="Roche Lobe Overflow",POWER(Upgrades!$U$18,J353),1)*IF(Upgrades!$T$19="Roche Lobe Overflow",POWER(Upgrades!$U$19,K353),1)*IF(Upgrades!$T$20="Roche Lobe Overflow",POWER(Upgrades!$U$20,L353),1)*IF(Upgrades!$T$21="Roche Lobe Overflow",POWER(Upgrades!$U$21,M353),1))+(IF(I353=0,0,(Upgrades!$J$17+I353*Upgrades!$K$17)*POWER(Upgrades!$L$17,I353)))*(IF(Upgrades!$T$13="Brown Dwarf",POWER(Upgrades!$U$13,E353),1)*IF(Upgrades!$T$14="Brown Dwarf",POWER(Upgrades!$U$14,F353),1)*IF(Upgrades!$T$15="Brown Dwarf",POWER(Upgrades!$U$15,G353),1)*IF(Upgrades!$T$16="Brown Dwarf",POWER(Upgrades!$U$16,H353),1)*IF(Upgrades!$T$18="Brown Dwarf",POWER(Upgrades!$U$18,J353),1)*IF(Upgrades!$T$19="Brown Dwarf",POWER(Upgrades!$U$19,K353),1)*IF(Upgrades!$T$20="Brown Dwarf",POWER(Upgrades!$U$20,L353),1)*IF(Upgrades!$T$21="Brown Dwarf",POWER(Upgrades!$U$21,M353),1))+(IF(J353=0,0,(Upgrades!$J$18+J353*Upgrades!$K$18)*POWER(Upgrades!$L$18,J353)))*(IF(Upgrades!$T$13="Binary Partner",POWER(Upgrades!$U$13,E353),1)*IF(Upgrades!$T$14="Binary Partner",POWER(Upgrades!$U$14,F353),1)*IF(Upgrades!$T$15="Binary Partner",POWER(Upgrades!$U$15,G353),1)*IF(Upgrades!$T$16="Binary Partner",POWER(Upgrades!$U$16,H353),1)*IF(Upgrades!$T$17="Binary Partner",POWER(Upgrades!$U$17,I353),1)*IF(Upgrades!$T$19="Binary Partner",POWER(Upgrades!$U$19,K353),1)*IF(Upgrades!$T$20="Binary Partner",POWER(Upgrades!$U$20,L353),1)*IF(Upgrades!$T$21="Binary Partner",POWER(Upgrades!$U$21,M353),1))+(IF(K353=0,0,(Upgrades!$J$19+K353*Upgrades!$K$19)*POWER(Upgrades!$L$19,K353)))*(IF(Upgrades!$T$13="Peculiar Velocity",POWER(Upgrades!$U$13,E353),1)*IF(Upgrades!$T$14="Peculiar Velocity",POWER(Upgrades!$U$14,F353),1)*IF(Upgrades!$T$15="Peculiar Velocity",POWER(Upgrades!$U$15,G353),1)*IF(Upgrades!$T$16="Peculiar Velocity",POWER(Upgrades!$U$16,H353),1)*IF(Upgrades!$T$17="Peculiar Velocity",POWER(Upgrades!$U$17,I353),1)*IF(Upgrades!$T$18="Peculiar Velocity",POWER(Upgrades!$U$18,J353),1)*IF(Upgrades!$T$20="Peculiar Velocity",POWER(Upgrades!$U$20,L353),1)*IF(Upgrades!$T$21="Peculiar Velocity",POWER(Upgrades!$U$21,M353),1))+(IF(L353=0,0,(Upgrades!$J$20+L353*Upgrades!$K$20)*POWER(Upgrades!$L$20,L353)))*(IF(Upgrades!$T$13="Open Cluster",POWER(Upgrades!$U$13,E353),1)*IF(Upgrades!$T$14="Open Cluster",POWER(Upgrades!$U$14,F353),1)*IF(Upgrades!$T$15="Open Cluster",POWER(Upgrades!$U$15,G353),1)*IF(Upgrades!$T$16="Open Cluster",POWER(Upgrades!$U$16,H353),1)*IF(Upgrades!$T$17="Open Cluster",POWER(Upgrades!$U$17,I353),1)*IF(Upgrades!$T$18="Open Cluster",POWER(Upgrades!$U$18,J353),1)*IF(Upgrades!$T$19="Open Cluster",POWER(Upgrades!$U$19,K353),1)*IF(Upgrades!$T$21="Open Cluster",POWER(Upgrades!$U$21,M353),1))+(IF(M353=0,0,(Upgrades!$J$21+M353*Upgrades!$K$21)*POWER(Upgrades!$L$21,M353)))*(IF(Upgrades!$T$13="Moving Group",POWER(Upgrades!$U$13,E353),1)*IF(Upgrades!$T$14="Moving Group",POWER(Upgrades!$U$14,F353),1)*IF(Upgrades!$T$15="Moving Group",POWER(Upgrades!$U$15,G353),1)*IF(Upgrades!$T$16="Moving Group",POWER(Upgrades!$U$16,H353),1)*IF(Upgrades!$T$17="Moving Group",POWER(Upgrades!$U$17,I353),1)*IF(Upgrades!$T$18="Moving Group",POWER(Upgrades!$U$18,J353),1)*IF(Upgrades!$T$19="Moving Group",POWER(Upgrades!$U$19,K353),1)*IF(Upgrades!$T$20="Moving Group",POWER(Upgrades!$U$20,L353),1)))*POWER(Upgrades!$Q$13,E353)*POWER(Upgrades!$Q$14,F353)*POWER(Upgrades!$Q$15,G353)*POWER(Upgrades!$Q$16,H353)*POWER(Upgrades!$Q$17,I353)*POWER(Upgrades!$Q$18,J353)*POWER(Upgrades!$Q$19,K353)*POWER(Upgrades!$Q$20,L353)*POWER(Upgrades!$Q$21,M353)*$G$6+$D$6</f>
        <v/>
      </c>
      <c r="P353" s="28">
        <f>((IF(E353=0,0,(Upgrades!$G$13+E353*Upgrades!$H$13)*POWER(Upgrades!$I$13,E353)))*(IF(Upgrades!$T$14="Stellar Kinematics",POWER(Upgrades!$U$14,F353),1)*IF(Upgrades!$T$15="Stellar Kinematics",POWER(Upgrades!$U$15,G353),1)*IF(Upgrades!$T$16="Stellar Kinematics",POWER(Upgrades!$U$16,H353),1)*IF(Upgrades!$T$17="Stellar Kinematics",POWER(Upgrades!$U$17,I353),1)*IF(Upgrades!$T$18="Stellar Kinematics",POWER(Upgrades!$U$18,J353),1)*IF(Upgrades!$T$19="Stellar Kinematics",POWER(Upgrades!$U$19,K353),1)*IF(Upgrades!$T$20="Stellar Kinematics",POWER(Upgrades!$U$20,L353),1)*IF(Upgrades!$T$21="Stellar Kinematics",POWER(Upgrades!$U$21,M353),1))+(IF(F353=0,0,(Upgrades!$G$14+F353*Upgrades!$H$14)*POWER(Upgrades!$I$14,F353)))*(IF(Upgrades!$T$13="Local Bubble",POWER(Upgrades!$U$13,E353),1)*IF(Upgrades!$T$15="Local Bubble",POWER(Upgrades!$U$15,G353),1)*IF(Upgrades!$T$16="Local Bubble",POWER(Upgrades!$U$16,H353),1)*IF(Upgrades!$T$17="Local Bubble",POWER(Upgrades!$U$17,I353),1)*IF(Upgrades!$T$18="Local Bubble",POWER(Upgrades!$U$18,J353),1)*IF(Upgrades!$T$19="Local Bubble",POWER(Upgrades!$U$19,K353),1)*IF(Upgrades!$T$20="Local Bubble",POWER(Upgrades!$U$20,L353),1)*IF(Upgrades!$T$21="Local Bubble",POWER(Upgrades!$U$21,M353),1))+(IF(G353=0,0,(Upgrades!$G$15+G353*Upgrades!$H$15)*POWER(Upgrades!$I$15,G353)))*(IF(Upgrades!$T$13="Microlensing",POWER(Upgrades!$U$13,E353),1)*IF(Upgrades!$T$14="Microlensing",POWER(Upgrades!$U$14,F353),1)*IF(Upgrades!$T$16="Microlensing",POWER(Upgrades!$U$16,H353),1)*IF(Upgrades!$T$17="Microlensing",POWER(Upgrades!$U$17,I353),1)*IF(Upgrades!$T$18="Microlensing",POWER(Upgrades!$U$18,J353),1)*IF(Upgrades!$T$19="Microlensing",POWER(Upgrades!$U$19,K353),1)*IF(Upgrades!$T$20="Microlensing",POWER(Upgrades!$U$20,L353),1)*IF(Upgrades!$T$21="Microlensing",POWER(Upgrades!$U$21,M353),1))+(IF(H353=0,0,(Upgrades!$G$16+H353*Upgrades!$H$16)*POWER(Upgrades!$I$16,H353)))*(IF(Upgrades!$T$13="Roche Lobe Overflow",POWER(Upgrades!$U$13,E353),1)*IF(Upgrades!$T$14="Roche Lobe Overflow",POWER(Upgrades!$U$14,F353),1)*IF(Upgrades!$T$15="Roche Lobe Overflow",POWER(Upgrades!$U$15,G353),1)*IF(Upgrades!$T$17="Roche Lobe Overflow",POWER(Upgrades!$U$17,I353),1)*IF(Upgrades!$T$18="Roche Lobe Overflow",POWER(Upgrades!$U$18,J353),1)*IF(Upgrades!$T$19="Roche Lobe Overflow",POWER(Upgrades!$U$19,K353),1)*IF(Upgrades!$T$20="Roche Lobe Overflow",POWER(Upgrades!$U$20,L353),1)*IF(Upgrades!$T$21="Roche Lobe Overflow",POWER(Upgrades!$U$21,M353),1))+(IF(I353=0,0,(Upgrades!$G$17+I353*Upgrades!$H$17)*POWER(Upgrades!$I$17,I353)))*(IF(Upgrades!$T$13="Brown Dwarf",POWER(Upgrades!$U$13,E353),1)*IF(Upgrades!$T$14="Brown Dwarf",POWER(Upgrades!$U$14,F353),1)*IF(Upgrades!$T$15="Brown Dwarf",POWER(Upgrades!$U$15,G353),1)*IF(Upgrades!$T$16="Brown Dwarf",POWER(Upgrades!$U$16,H353),1)*IF(Upgrades!$T$18="Brown Dwarf",POWER(Upgrades!$U$18,J353),1)*IF(Upgrades!$T$19="Brown Dwarf",POWER(Upgrades!$U$19,K353),1)*IF(Upgrades!$T$20="Brown Dwarf",POWER(Upgrades!$U$20,L353),1)*IF(Upgrades!$T$21="Brown Dwarf",POWER(Upgrades!$U$21,M353),1))+(IF(J353=0,0,(Upgrades!$G$18+J353*Upgrades!$H$18)*POWER(Upgrades!$I$18,J353)))*(IF(Upgrades!$T$13="Binary Partner",POWER(Upgrades!$U$13,E353),1)*IF(Upgrades!$T$14="Binary Partner",POWER(Upgrades!$U$14,F353),1)*IF(Upgrades!$T$15="Binary Partner",POWER(Upgrades!$U$15,G353),1)*IF(Upgrades!$T$16="Binary Partner",POWER(Upgrades!$U$16,H353),1)*IF(Upgrades!$T$17="Binary Partner",POWER(Upgrades!$U$17,I353),1)*IF(Upgrades!$T$19="Binary Partner",POWER(Upgrades!$U$19,K353),1)*IF(Upgrades!$T$20="Binary Partner",POWER(Upgrades!$U$20,L353),1)*IF(Upgrades!$T$21="Binary Partner",POWER(Upgrades!$U$21,M353),1))+(IF(K353=0,0,(Upgrades!$G$19+K353*Upgrades!$H$19)*POWER(Upgrades!$I$19,K353)))*(IF(Upgrades!$T$13="Peculiar Velocity",POWER(Upgrades!$U$13,E353),1)*IF(Upgrades!$T$14="Peculiar Velocity",POWER(Upgrades!$U$14,F353),1)*IF(Upgrades!$T$15="Peculiar Velocity",POWER(Upgrades!$U$15,G353),1)*IF(Upgrades!$T$16="Peculiar Velocity",POWER(Upgrades!$U$16,H353),1)*IF(Upgrades!$T$17="Peculiar Velocity",POWER(Upgrades!$U$17,I353),1)*IF(Upgrades!$T$18="Peculiar Velocity",POWER(Upgrades!$U$18,J353),1)*IF(Upgrades!$T$20="Peculiar Velocity",POWER(Upgrades!$U$20,L353),1)*IF(Upgrades!$T$21="Peculiar Velocity",POWER(Upgrades!$U$21,M353),1))+(IF(L353=0,0,(Upgrades!$G$20+L353*Upgrades!$H$20)*POWER(Upgrades!$I$20,L353)))*(IF(Upgrades!$T$13="Open Cluster",POWER(Upgrades!$U$13,E353),1)*IF(Upgrades!$T$14="Open Cluster",POWER(Upgrades!$U$14,F353),1)*IF(Upgrades!$T$15="Open Cluster",POWER(Upgrades!$U$15,G353),1)*IF(Upgrades!$T$16="Open Cluster",POWER(Upgrades!$U$16,H353),1)*IF(Upgrades!$T$17="Open Cluster",POWER(Upgrades!$U$17,I353),1)*IF(Upgrades!$T$18="Open Cluster",POWER(Upgrades!$U$18,J353),1)*IF(Upgrades!$T$19="Open Cluster",POWER(Upgrades!$U$19,K353),1)*IF(Upgrades!$T$21="Open Cluster",POWER(Upgrades!$U$21,M353),1))+(IF(M353=0,0,(Upgrades!$G$21+M353*Upgrades!$H$21)*POWER(Upgrades!$I$21,M353)))*(IF(Upgrades!$T$13="Moving Group",POWER(Upgrades!$U$13,E353),1)*IF(Upgrades!$T$14="Moving Group",POWER(Upgrades!$U$14,F353),1)*IF(Upgrades!$T$15="Moving Group",POWER(Upgrades!$U$15,G353),1)*IF(Upgrades!$T$16="Moving Group",POWER(Upgrades!$U$16,H353),1)*IF(Upgrades!$T$17="Moving Group",POWER(Upgrades!$U$17,I353),1)*IF(Upgrades!$T$18="Moving Group",POWER(Upgrades!$U$18,J353),1)*IF(Upgrades!$T$19="Moving Group",POWER(Upgrades!$U$19,K353),1)*IF(Upgrades!$T$20="Moving Group",POWER(Upgrades!$U$20,L353),1)))*POWER(Upgrades!$P$13,E353)*POWER(Upgrades!$P$14,F353)*POWER(Upgrades!$P$15,G353)*POWER(Upgrades!$P$16,H353)*POWER(Upgrades!$P$17,I353)*POWER(Upgrades!$P$18,J353)*POWER(Upgrades!$P$19,K353)*POWER(Upgrades!$P$20,L353)*POWER(Upgrades!$P$21,M353)*$F$6+$C$6</f>
        <v/>
      </c>
      <c r="Q353" s="28">
        <f>((IF(E353=0,0,(Upgrades!$M$13+E353*Upgrades!$N$13)*POWER(Upgrades!$O$13,E353)))*(IF(Upgrades!$T$14="Stellar Kinematics",POWER(Upgrades!$U$14,F353),1)*IF(Upgrades!$T$15="Stellar Kinematics",POWER(Upgrades!$U$15,G353),1)*IF(Upgrades!$T$16="Stellar Kinematics",POWER(Upgrades!$U$16,H353),1)*IF(Upgrades!$T$17="Stellar Kinematics",POWER(Upgrades!$U$17,I353),1)*IF(Upgrades!$T$18="Stellar Kinematics",POWER(Upgrades!$U$18,J353),1)*IF(Upgrades!$T$19="Stellar Kinematics",POWER(Upgrades!$U$19,K353),1)*IF(Upgrades!$T$20="Stellar Kinematics",POWER(Upgrades!$U$20,L353),1)*IF(Upgrades!$T$21="Stellar Kinematics",POWER(Upgrades!$U$21,M353),1))+(IF(F353=0,0,(Upgrades!$M$14+F353*Upgrades!$N$14)*POWER(Upgrades!$O$14,F353)))*(IF(Upgrades!$T$13="Local Bubble",POWER(Upgrades!$U$13,E353),1)*IF(Upgrades!$T$15="Local Bubble",POWER(Upgrades!$U$15,G353),1)*IF(Upgrades!$T$16="Local Bubble",POWER(Upgrades!$U$16,H353),1)*IF(Upgrades!$T$17="Local Bubble",POWER(Upgrades!$U$17,I353),1)*IF(Upgrades!$T$18="Local Bubble",POWER(Upgrades!$U$18,J353),1)*IF(Upgrades!$T$19="Local Bubble",POWER(Upgrades!$U$19,K353),1)*IF(Upgrades!$T$20="Local Bubble",POWER(Upgrades!$U$20,L353),1)*IF(Upgrades!$T$21="Local Bubble",POWER(Upgrades!$U$21,M353),1))+(IF(G353=0,0,(Upgrades!$M$15+G353*Upgrades!$N$15)*POWER(Upgrades!$O$15,G353)))*(IF(Upgrades!$T$13="Microlensing",POWER(Upgrades!$U$13,E353),1)*IF(Upgrades!$T$14="Microlensing",POWER(Upgrades!$U$14,F353),1)*IF(Upgrades!$T$16="Microlensing",POWER(Upgrades!$U$16,H353),1)*IF(Upgrades!$T$17="Microlensing",POWER(Upgrades!$U$17,I353),1)*IF(Upgrades!$T$18="Microlensing",POWER(Upgrades!$U$18,J353),1)*IF(Upgrades!$T$19="Microlensing",POWER(Upgrades!$U$19,K353),1)*IF(Upgrades!$T$20="Microlensing",POWER(Upgrades!$U$20,L353),1)*IF(Upgrades!$T$21="Microlensing",POWER(Upgrades!$U$21,M353),1))+(IF(H353=0,0,(Upgrades!$M$16+H353*Upgrades!$N$16)*POWER(Upgrades!$O$16,H353)))*(IF(Upgrades!$T$13="Roche Lobe Overflow",POWER(Upgrades!$U$13,E353),1)*IF(Upgrades!$T$14="Roche Lobe Overflow",POWER(Upgrades!$U$14,F353),1)*IF(Upgrades!$T$15="Roche Lobe Overflow",POWER(Upgrades!$U$15,G353),1)*IF(Upgrades!$T$17="Roche Lobe Overflow",POWER(Upgrades!$U$17,I353),1)*IF(Upgrades!$T$18="Roche Lobe Overflow",POWER(Upgrades!$U$18,J353),1)*IF(Upgrades!$T$19="Roche Lobe Overflow",POWER(Upgrades!$U$19,K353),1)*IF(Upgrades!$T$20="Roche Lobe Overflow",POWER(Upgrades!$U$20,L353),1)*IF(Upgrades!$T$21="Roche Lobe Overflow",POWER(Upgrades!$U$21,M353),1))+(IF(I353=0,0,(Upgrades!$M$17+I353*Upgrades!$N$17)*POWER(Upgrades!$O$17,I353)))*(IF(Upgrades!$T$13="Brown Dwarf",POWER(Upgrades!$U$13,E353),1)*IF(Upgrades!$T$14="Brown Dwarf",POWER(Upgrades!$U$14,F353),1)*IF(Upgrades!$T$15="Brown Dwarf",POWER(Upgrades!$U$15,G353),1)*IF(Upgrades!$T$16="Brown Dwarf",POWER(Upgrades!$U$16,H353),1)*IF(Upgrades!$T$18="Brown Dwarf",POWER(Upgrades!$U$18,J353),1)*IF(Upgrades!$T$19="Brown Dwarf",POWER(Upgrades!$U$19,K353),1)*IF(Upgrades!$T$20="Brown Dwarf",POWER(Upgrades!$U$20,L353),1)*IF(Upgrades!$T$21="Brown Dwarf",POWER(Upgrades!$U$21,M353),1))+(IF(J353=0,0,(Upgrades!$M$18+J353*Upgrades!$N$18)*POWER(Upgrades!$O$18,J353)))*(IF(Upgrades!$T$13="Binary Partner",POWER(Upgrades!$U$13,E353),1)*IF(Upgrades!$T$14="Binary Partner",POWER(Upgrades!$U$14,F353),1)*IF(Upgrades!$T$15="Binary Partner",POWER(Upgrades!$U$15,G353),1)*IF(Upgrades!$T$16="Binary Partner",POWER(Upgrades!$U$16,H353),1)*IF(Upgrades!$T$17="Binary Partner",POWER(Upgrades!$U$17,I353),1)*IF(Upgrades!$T$19="Binary Partner",POWER(Upgrades!$U$19,K353),1)*IF(Upgrades!$T$20="Binary Partner",POWER(Upgrades!$U$20,L353),1)*IF(Upgrades!$T$21="Binary Partner",POWER(Upgrades!$U$21,M353),1))+(IF(K353=0,0,(Upgrades!$M$19+K353*Upgrades!$N$19)*POWER(Upgrades!$O$19,K353)))*(IF(Upgrades!$T$13="Peculiar Velocity",POWER(Upgrades!$U$13,E353),1)*IF(Upgrades!$T$14="Peculiar Velocity",POWER(Upgrades!$U$14,F353),1)*IF(Upgrades!$T$15="Peculiar Velocity",POWER(Upgrades!$U$15,G353),1)*IF(Upgrades!$T$16="Peculiar Velocity",POWER(Upgrades!$U$16,H353),1)*IF(Upgrades!$T$17="Peculiar Velocity",POWER(Upgrades!$U$17,I353),1)*IF(Upgrades!$T$18="Peculiar Velocity",POWER(Upgrades!$U$18,J353),1)*IF(Upgrades!$T$20="Peculiar Velocity",POWER(Upgrades!$U$20,L353),1)*IF(Upgrades!$T$21="Peculiar Velocity",POWER(Upgrades!$U$21,M353),1))+(IF(L353=0,0,(Upgrades!$M$20+L353*Upgrades!$N$20)*POWER(Upgrades!$O$20,L353)))*(IF(Upgrades!$T$13="Open Cluster",POWER(Upgrades!$U$13,E353),1)*IF(Upgrades!$T$14="Open Cluster",POWER(Upgrades!$U$14,F353),1)*IF(Upgrades!$T$15="Open Cluster",POWER(Upgrades!$U$15,G353),1)*IF(Upgrades!$T$16="Open Cluster",POWER(Upgrades!$U$16,H353),1)*IF(Upgrades!$T$17="Open Cluster",POWER(Upgrades!$U$17,I353),1)*IF(Upgrades!$T$18="Open Cluster",POWER(Upgrades!$U$18,J353),1)*IF(Upgrades!$T$19="Open Cluster",POWER(Upgrades!$U$19,K353),1)*IF(Upgrades!$T$21="Open Cluster",POWER(Upgrades!$U$21,M353),1))+(IF(M353=0,0,(Upgrades!$M$21+M353*Upgrades!$N$21)*POWER(Upgrades!$O$21,M353)))*(IF(Upgrades!$T$13="Moving Group",POWER(Upgrades!$U$13,E353),1)*IF(Upgrades!$T$14="Moving Group",POWER(Upgrades!$U$14,F353),1)*IF(Upgrades!$T$15="Moving Group",POWER(Upgrades!$U$15,G353),1)*IF(Upgrades!$T$16="Moving Group",POWER(Upgrades!$U$16,H353),1)*IF(Upgrades!$T$17="Moving Group",POWER(Upgrades!$U$17,I353),1)*IF(Upgrades!$T$18="Moving Group",POWER(Upgrades!$U$18,J353),1)*IF(Upgrades!$T$19="Moving Group",POWER(Upgrades!$U$19,K353),1)*IF(Upgrades!$T$20="Moving Group",POWER(Upgrades!$U$20,L353),1)))*POWER(Upgrades!$R$13,E353)*POWER(Upgrades!$R$14,F353)*POWER(Upgrades!$R$15,G353)*POWER(Upgrades!$R$16,H353)*POWER(Upgrades!$R$17,I353)*POWER(Upgrades!$R$18,J353)*POWER(Upgrades!$R$19,K353)*POWER(Upgrades!$R$20,L353)*POWER(Upgrades!$R$21,M353)*$H$6+$E$6</f>
        <v/>
      </c>
      <c r="R353" s="27">
        <f>IF(N353=1,0,O353*Parameters!$B$10/60*Parameters!$B$11*10)</f>
        <v/>
      </c>
      <c r="S353" s="27">
        <f>IF(N353=1,0,Q353*O353*10)</f>
        <v/>
      </c>
      <c r="T353" s="27">
        <f>IF(N353=1,0,R353+S353+P353*10)</f>
        <v/>
      </c>
      <c r="U353" s="33">
        <f>BE353</f>
        <v/>
      </c>
      <c r="V353" s="22">
        <f>IF(U353="",0,IF(U353="transition",0,IF(U353="SK",AK353,IF(U353="LB",AL353,IF(U353="ML",AM353,IF(U353="RLO",AN353,IF(U353="BD",AO353,IF(U353="BiP",AP353,IF(U353="PV",AQ353,IF(U353="OC",AR353,IF(U353="MG",AS353,0))))))))))</f>
        <v/>
      </c>
      <c r="W353" s="27">
        <f>IF(U353="BiP",Upgrades!$F$18,IF(U353="PV",Upgrades!$F$19,IF(U353="OC",Upgrades!$F$20,IF(U353="MG",Upgrades!$F$21,IF(U353="transition",-Parameters!$B$18*Parameters!$B$19,0)))))</f>
        <v/>
      </c>
      <c r="X353" s="22">
        <f>C353+T353-V353</f>
        <v/>
      </c>
      <c r="Y353" s="30">
        <f>O353*Parameters!$B$10/60*Parameters!$B$11+Q353*O353+P353</f>
        <v/>
      </c>
      <c r="Z353" s="34">
        <f>IF(U353="transition","→ Tier 3 (Galactic Arm)",IF(U353="MG","Moving Group — pocket drifts together",IF(U353="OC","Open Cluster acquired",IF(U353="PV","Peculiar Velocity — passive multiplier active",IF(U353="BiP","Binary Partner — pair bond formed",IF(AND(AU353=1,N353=0,AT353&lt;&gt;1),"Cohesion ready (waiting on completionists)","")))))) </f>
        <v/>
      </c>
      <c r="AA353" s="27">
        <f>(IF(E353=0,0,(Upgrades!$G$13+E353*Upgrades!$H$13)*POWER(Upgrades!$I$13,E353)))*(IF(Upgrades!$T$14="Stellar Kinematics",POWER(Upgrades!$U$14,F353),1)*IF(Upgrades!$T$15="Stellar Kinematics",POWER(Upgrades!$U$15,G353),1)*IF(Upgrades!$T$16="Stellar Kinematics",POWER(Upgrades!$U$16,H353),1)*IF(Upgrades!$T$17="Stellar Kinematics",POWER(Upgrades!$U$17,I353),1)*IF(Upgrades!$T$18="Stellar Kinematics",POWER(Upgrades!$U$18,J353),1)*IF(Upgrades!$T$19="Stellar Kinematics",POWER(Upgrades!$U$19,K353),1)*IF(Upgrades!$T$20="Stellar Kinematics",POWER(Upgrades!$U$20,L353),1)*IF(Upgrades!$T$21="Stellar Kinematics",POWER(Upgrades!$U$21,M353),1))*POWER(Upgrades!$P$13,E353)*POWER(Upgrades!$P$14,F353)*POWER(Upgrades!$P$15,G353)*POWER(Upgrades!$P$16,H353)*POWER(Upgrades!$P$17,I353)*POWER(Upgrades!$P$18,J353)*POWER(Upgrades!$P$19,K353)*POWER(Upgrades!$P$20,L353)*POWER(Upgrades!$P$21,M353)*$F$6*60</f>
        <v/>
      </c>
      <c r="AB353" s="27">
        <f>(IF(F353=0,0,(Upgrades!$G$14+F353*Upgrades!$H$14)*POWER(Upgrades!$I$14,F353)))*(IF(Upgrades!$T$13="Local Bubble",POWER(Upgrades!$U$13,E353),1)*IF(Upgrades!$T$15="Local Bubble",POWER(Upgrades!$U$15,G353),1)*IF(Upgrades!$T$16="Local Bubble",POWER(Upgrades!$U$16,H353),1)*IF(Upgrades!$T$17="Local Bubble",POWER(Upgrades!$U$17,I353),1)*IF(Upgrades!$T$18="Local Bubble",POWER(Upgrades!$U$18,J353),1)*IF(Upgrades!$T$19="Local Bubble",POWER(Upgrades!$U$19,K353),1)*IF(Upgrades!$T$20="Local Bubble",POWER(Upgrades!$U$20,L353),1)*IF(Upgrades!$T$21="Local Bubble",POWER(Upgrades!$U$21,M353),1))*POWER(Upgrades!$P$13,E353)*POWER(Upgrades!$P$14,F353)*POWER(Upgrades!$P$15,G353)*POWER(Upgrades!$P$16,H353)*POWER(Upgrades!$P$17,I353)*POWER(Upgrades!$P$18,J353)*POWER(Upgrades!$P$19,K353)*POWER(Upgrades!$P$20,L353)*POWER(Upgrades!$P$21,M353)*$F$6*60</f>
        <v/>
      </c>
      <c r="AC353" s="27">
        <f>(IF(G353=0,0,(Upgrades!$J$15+G353*Upgrades!$K$15)*POWER(Upgrades!$L$15,G353)))*(IF(Upgrades!$T$13="Microlensing",POWER(Upgrades!$U$13,E353),1)*IF(Upgrades!$T$14="Microlensing",POWER(Upgrades!$U$14,F353),1)*IF(Upgrades!$T$16="Microlensing",POWER(Upgrades!$U$16,H353),1)*IF(Upgrades!$T$17="Microlensing",POWER(Upgrades!$U$17,I353),1)*IF(Upgrades!$T$18="Microlensing",POWER(Upgrades!$U$18,J353),1)*IF(Upgrades!$T$19="Microlensing",POWER(Upgrades!$U$19,K353),1)*IF(Upgrades!$T$20="Microlensing",POWER(Upgrades!$U$20,L353),1)*IF(Upgrades!$T$21="Microlensing",POWER(Upgrades!$U$21,M353),1))*POWER(Upgrades!$Q$13,E353)*POWER(Upgrades!$Q$14,F353)*POWER(Upgrades!$Q$15,G353)*POWER(Upgrades!$Q$16,H353)*POWER(Upgrades!$Q$17,I353)*POWER(Upgrades!$Q$18,J353)*POWER(Upgrades!$Q$19,K353)*POWER(Upgrades!$Q$20,L353)*POWER(Upgrades!$Q$21,M353)*$G$6*(Parameters!$B$10*Parameters!$B$11+Q353*60)</f>
        <v/>
      </c>
      <c r="AD353" s="27">
        <f>(IF(H353=0,0,(Upgrades!$M$16+H353*Upgrades!$N$16)*POWER(Upgrades!$O$16,H353)))*(IF(Upgrades!$T$13="Roche Lobe Overflow",POWER(Upgrades!$U$13,E353),1)*IF(Upgrades!$T$14="Roche Lobe Overflow",POWER(Upgrades!$U$14,F353),1)*IF(Upgrades!$T$15="Roche Lobe Overflow",POWER(Upgrades!$U$15,G353),1)*IF(Upgrades!$T$17="Roche Lobe Overflow",POWER(Upgrades!$U$17,I353),1)*IF(Upgrades!$T$18="Roche Lobe Overflow",POWER(Upgrades!$U$18,J353),1)*IF(Upgrades!$T$19="Roche Lobe Overflow",POWER(Upgrades!$U$19,K353),1)*IF(Upgrades!$T$20="Roche Lobe Overflow",POWER(Upgrades!$U$20,L353),1)*IF(Upgrades!$T$21="Roche Lobe Overflow",POWER(Upgrades!$U$21,M353),1))*POWER(Upgrades!$R$13,E353)*POWER(Upgrades!$R$14,F353)*POWER(Upgrades!$R$15,G353)*POWER(Upgrades!$R$16,H353)*POWER(Upgrades!$R$17,I353)*POWER(Upgrades!$R$18,J353)*POWER(Upgrades!$R$19,K353)*POWER(Upgrades!$R$20,L353)*POWER(Upgrades!$R$21,M353)*$H$6*O353*60</f>
        <v/>
      </c>
      <c r="AE353" s="27">
        <f>(IF(I353=0,0,(Upgrades!$G$17+I353*Upgrades!$H$17)*POWER(Upgrades!$I$17,I353)))*(IF(Upgrades!$T$13="Brown Dwarf",POWER(Upgrades!$U$13,E353),1)*IF(Upgrades!$T$14="Brown Dwarf",POWER(Upgrades!$U$14,F353),1)*IF(Upgrades!$T$15="Brown Dwarf",POWER(Upgrades!$U$15,G353),1)*IF(Upgrades!$T$16="Brown Dwarf",POWER(Upgrades!$U$16,H353),1)*IF(Upgrades!$T$18="Brown Dwarf",POWER(Upgrades!$U$18,J353),1)*IF(Upgrades!$T$19="Brown Dwarf",POWER(Upgrades!$U$19,K353),1)*IF(Upgrades!$T$20="Brown Dwarf",POWER(Upgrades!$U$20,L353),1)*IF(Upgrades!$T$21="Brown Dwarf",POWER(Upgrades!$U$21,M353),1))*POWER(Upgrades!$P$13,E353)*POWER(Upgrades!$P$14,F353)*POWER(Upgrades!$P$15,G353)*POWER(Upgrades!$P$16,H353)*POWER(Upgrades!$P$17,I353)*POWER(Upgrades!$P$18,J353)*POWER(Upgrades!$P$19,K353)*POWER(Upgrades!$P$20,L353)*POWER(Upgrades!$P$21,M353)*$F$6*60</f>
        <v/>
      </c>
      <c r="AF353" s="27" t="n">
        <v>0</v>
      </c>
      <c r="AG353" s="27" t="n">
        <v>0</v>
      </c>
      <c r="AH353" s="27" t="n">
        <v>0</v>
      </c>
      <c r="AI353" s="27">
        <f>(IF(M353=0,0,(Upgrades!$G$21+M353*Upgrades!$H$21)*POWER(Upgrades!$I$21,M353)))*(IF(Upgrades!$T$13="Moving Group",POWER(Upgrades!$U$13,E353),1)*IF(Upgrades!$T$14="Moving Group",POWER(Upgrades!$U$14,F353),1)*IF(Upgrades!$T$15="Moving Group",POWER(Upgrades!$U$15,G353),1)*IF(Upgrades!$T$16="Moving Group",POWER(Upgrades!$U$16,H353),1)*IF(Upgrades!$T$17="Moving Group",POWER(Upgrades!$U$17,I353),1)*IF(Upgrades!$T$18="Moving Group",POWER(Upgrades!$U$18,J353),1)*IF(Upgrades!$T$19="Moving Group",POWER(Upgrades!$U$19,K353),1)*IF(Upgrades!$T$20="Moving Group",POWER(Upgrades!$U$20,L353),1))*POWER(Upgrades!$P$13,E353)*POWER(Upgrades!$P$14,F353)*POWER(Upgrades!$P$15,G353)*POWER(Upgrades!$P$16,H353)*POWER(Upgrades!$P$17,I353)*POWER(Upgrades!$P$18,J353)*POWER(Upgrades!$P$19,K353)*POWER(Upgrades!$P$20,L353)*POWER(Upgrades!$P$21,M353)*$F$6*60</f>
        <v/>
      </c>
      <c r="AJ353" s="27">
        <f>$C$6*60</f>
        <v/>
      </c>
      <c r="AK353" s="22">
        <f>IF(E353&gt;=Upgrades!$E$13,"",Upgrades!$C$13*POWER(Upgrades!$D$13,E353))</f>
        <v/>
      </c>
      <c r="AL353" s="22">
        <f>IF(F353&gt;=Upgrades!$E$14,"",Upgrades!$C$14*POWER(Upgrades!$D$14,F353))</f>
        <v/>
      </c>
      <c r="AM353" s="22">
        <f>IF(G353&gt;=Upgrades!$E$15,"",Upgrades!$C$15*POWER(Upgrades!$D$15,G353))</f>
        <v/>
      </c>
      <c r="AN353" s="22">
        <f>IF(H353&gt;=Upgrades!$E$16,"",Upgrades!$C$16*POWER(Upgrades!$D$16,H353))</f>
        <v/>
      </c>
      <c r="AO353" s="22">
        <f>IF(I353&gt;=Upgrades!$E$17,"",Upgrades!$C$17*POWER(Upgrades!$D$17,I353))</f>
        <v/>
      </c>
      <c r="AP353" s="22">
        <f>IF(J353&gt;=Upgrades!$E$18,"",Upgrades!$C$18*POWER(Upgrades!$D$18,J353))</f>
        <v/>
      </c>
      <c r="AQ353" s="22">
        <f>IF(K353&gt;=Upgrades!$E$19,"",Upgrades!$C$19*POWER(Upgrades!$D$19,K353))</f>
        <v/>
      </c>
      <c r="AR353" s="22">
        <f>IF(L353&gt;=Upgrades!$E$20,"",Upgrades!$C$20*POWER(Upgrades!$D$20,L353))</f>
        <v/>
      </c>
      <c r="AS353" s="22">
        <f>IF(M353&gt;=Upgrades!$E$21,"",Upgrades!$C$21*POWER(Upgrades!$D$21,M353))</f>
        <v/>
      </c>
      <c r="AT353" s="26">
        <f>IF(AND(D353&gt;=Parameters!$B$18*Parameters!$B$19,(I353&gt;=Upgrades!$E$17)*(M353&gt;=Upgrades!$E$21)=1,N353=0),1,"")</f>
        <v/>
      </c>
      <c r="AU353" s="26">
        <f>IF(AND(D353&gt;=Parameters!$B$18*Parameters!$B$19,N353=0),1,"")</f>
        <v/>
      </c>
      <c r="AV353" s="22">
        <f>MIN(IF(ISNUMBER(AP353),AP353,9E15),IF(ISNUMBER(AQ353),AQ353,9E15),IF(ISNUMBER(AR353),AR353,9E15),IF(ISNUMBER(AS353),AS353,9E15))</f>
        <v/>
      </c>
      <c r="AW353" s="22">
        <f>MIN(IF(ISNUMBER(AK353),AK353,9E15),IF(ISNUMBER(AL353),AL353,9E15),IF(ISNUMBER(AM353),AM353,9E15),IF(ISNUMBER(AN353),AN353,9E15),IF(ISNUMBER(AO353),AO353,9E15))</f>
        <v/>
      </c>
      <c r="AX353" s="29">
        <f>IF(BD353&gt;Parameters!$B$21*(MAX(IF(AND(NOT(AND(AU353=1,AT353&lt;&gt;1)),ISNUMBER(AK353),AK353&lt;=(C353+T353)),AY353,0),IF(AND(NOT(AND(AU353=1,AT353&lt;&gt;1)),ISNUMBER(AL353),AL353&lt;=(C353+T353)),AZ353,0),IF(AND(NOT(AND(AU353=1,AT353&lt;&gt;1)),ISNUMBER(AM353),AM353&lt;=(C353+T353)),BA353,0),IF(AND(NOT(AND(AU353=1,AT353&lt;&gt;1)),ISNUMBER(AN353),AN353&lt;=(C353+T353)),BB353,0),IF(AND(ISNUMBER(AO353),AO353&lt;=(C353+T353)),BC353,0))),TRUE,FALSE)</f>
        <v/>
      </c>
      <c r="AY353" s="32">
        <f>IFERROR(Upgrades!$H$13*(POWER(Upgrades!$P$13,E353)*POWER(Upgrades!$P$14,F353)*POWER(Upgrades!$P$15,G353)*POWER(Upgrades!$P$16,H353)*POWER(Upgrades!$P$17,I353)*POWER(Upgrades!$P$18,J353)*POWER(Upgrades!$P$19,K353)*POWER(Upgrades!$P$20,L353)*POWER(Upgrades!$P$21,M353))*(IF(Upgrades!$T$14="Stellar Kinematics",POWER(Upgrades!$U$14,F353),1)*IF(Upgrades!$T$15="Stellar Kinematics",POWER(Upgrades!$U$15,G353),1)*IF(Upgrades!$T$16="Stellar Kinematics",POWER(Upgrades!$U$16,H353),1)*IF(Upgrades!$T$17="Stellar Kinematics",POWER(Upgrades!$U$17,I353),1)*IF(Upgrades!$T$18="Stellar Kinematics",POWER(Upgrades!$U$18,J353),1)*IF(Upgrades!$T$19="Stellar Kinematics",POWER(Upgrades!$U$19,K353),1)*IF(Upgrades!$T$20="Stellar Kinematics",POWER(Upgrades!$U$20,L353),1)*IF(Upgrades!$T$21="Stellar Kinematics",POWER(Upgrades!$U$21,M353),1))*$F$6/AK353,0)</f>
        <v/>
      </c>
      <c r="AZ353" s="32">
        <f>IFERROR(Upgrades!$H$14*(POWER(Upgrades!$P$13,E353)*POWER(Upgrades!$P$14,F353)*POWER(Upgrades!$P$15,G353)*POWER(Upgrades!$P$16,H353)*POWER(Upgrades!$P$17,I353)*POWER(Upgrades!$P$18,J353)*POWER(Upgrades!$P$19,K353)*POWER(Upgrades!$P$20,L353)*POWER(Upgrades!$P$21,M353))*(IF(Upgrades!$T$13="Local Bubble",POWER(Upgrades!$U$13,E353),1)*IF(Upgrades!$T$15="Local Bubble",POWER(Upgrades!$U$15,G353),1)*IF(Upgrades!$T$16="Local Bubble",POWER(Upgrades!$U$16,H353),1)*IF(Upgrades!$T$17="Local Bubble",POWER(Upgrades!$U$17,I353),1)*IF(Upgrades!$T$18="Local Bubble",POWER(Upgrades!$U$18,J353),1)*IF(Upgrades!$T$19="Local Bubble",POWER(Upgrades!$U$19,K353),1)*IF(Upgrades!$T$20="Local Bubble",POWER(Upgrades!$U$20,L353),1)*IF(Upgrades!$T$21="Local Bubble",POWER(Upgrades!$U$21,M353),1))*$F$6/AL353,0)</f>
        <v/>
      </c>
      <c r="BA353" s="32">
        <f>IFERROR(Upgrades!$K$15*(POWER(Upgrades!$Q$13,E353)*POWER(Upgrades!$Q$14,F353)*POWER(Upgrades!$Q$15,G353)*POWER(Upgrades!$Q$16,H353)*POWER(Upgrades!$Q$17,I353)*POWER(Upgrades!$Q$18,J353)*POWER(Upgrades!$Q$19,K353)*POWER(Upgrades!$Q$20,L353)*POWER(Upgrades!$Q$21,M353))*(IF(Upgrades!$T$13="Microlensing",POWER(Upgrades!$U$13,E353),1)*IF(Upgrades!$T$14="Microlensing",POWER(Upgrades!$U$14,F353),1)*IF(Upgrades!$T$16="Microlensing",POWER(Upgrades!$U$16,H353),1)*IF(Upgrades!$T$17="Microlensing",POWER(Upgrades!$U$17,I353),1)*IF(Upgrades!$T$18="Microlensing",POWER(Upgrades!$U$18,J353),1)*IF(Upgrades!$T$19="Microlensing",POWER(Upgrades!$U$19,K353),1)*IF(Upgrades!$T$20="Microlensing",POWER(Upgrades!$U$20,L353),1)*IF(Upgrades!$T$21="Microlensing",POWER(Upgrades!$U$21,M353),1))*$G$6*(Parameters!$B$10/60*Parameters!$B$11+Q353)/AM353,0)</f>
        <v/>
      </c>
      <c r="BB353" s="32">
        <f>IFERROR((Upgrades!$N$16*(POWER(Upgrades!$R$13,E353)*POWER(Upgrades!$R$14,F353)*POWER(Upgrades!$R$15,G353)*POWER(Upgrades!$R$16,H353)*POWER(Upgrades!$R$17,I353)*POWER(Upgrades!$R$18,J353)*POWER(Upgrades!$R$19,K353)*POWER(Upgrades!$R$20,L353)*POWER(Upgrades!$R$21,M353))*(IF(Upgrades!$T$13="Roche Lobe Overflow",POWER(Upgrades!$U$13,E353),1)*IF(Upgrades!$T$14="Roche Lobe Overflow",POWER(Upgrades!$U$14,F353),1)*IF(Upgrades!$T$15="Roche Lobe Overflow",POWER(Upgrades!$U$15,G353),1)*IF(Upgrades!$T$17="Roche Lobe Overflow",POWER(Upgrades!$U$17,I353),1)*IF(Upgrades!$T$18="Roche Lobe Overflow",POWER(Upgrades!$U$18,J353),1)*IF(Upgrades!$T$19="Roche Lobe Overflow",POWER(Upgrades!$U$19,K353),1)*IF(Upgrades!$T$20="Roche Lobe Overflow",POWER(Upgrades!$U$20,L353),1)*IF(Upgrades!$T$21="Roche Lobe Overflow",POWER(Upgrades!$U$21,M353),1))*$H$6*O353+((IF(F353=0,0,(Upgrades!$G$14+F353*Upgrades!$H$14)*POWER(Upgrades!$I$14,F353)))*(IF(Upgrades!$T$13="Local Bubble",POWER(Upgrades!$U$13,E353),1)*IF(Upgrades!$T$15="Local Bubble",POWER(Upgrades!$U$15,G353),1)*IF(Upgrades!$T$16="Local Bubble",POWER(Upgrades!$U$16,H353),1)*IF(Upgrades!$T$17="Local Bubble",POWER(Upgrades!$U$17,I353),1)*IF(Upgrades!$T$18="Local Bubble",POWER(Upgrades!$U$18,J353),1)*IF(Upgrades!$T$19="Local Bubble",POWER(Upgrades!$U$19,K353),1)*IF(Upgrades!$T$20="Local Bubble",POWER(Upgrades!$U$20,L353),1)*IF(Upgrades!$T$21="Local Bubble",POWER(Upgrades!$U$21,M353),1))*POWER(Upgrades!$P$13,E353)*POWER(Upgrades!$P$14,F353)*POWER(Upgrades!$P$15,G353)*POWER(Upgrades!$P$16,H353)*POWER(Upgrades!$P$17,I353)*POWER(Upgrades!$P$18,J353)*POWER(Upgrades!$P$19,K353)*POWER(Upgrades!$P$20,L353)*POWER(Upgrades!$P$21,M353)*$F$6)*0.05)/AN353,0)</f>
        <v/>
      </c>
      <c r="BC353" s="32">
        <f>IFERROR((Upgrades!$H$17*(POWER(Upgrades!$P$13,E353)*POWER(Upgrades!$P$14,F353)*POWER(Upgrades!$P$15,G353)*POWER(Upgrades!$P$16,H353)*POWER(Upgrades!$P$17,I353)*POWER(Upgrades!$P$18,J353)*POWER(Upgrades!$P$19,K353)*POWER(Upgrades!$P$20,L353)*POWER(Upgrades!$P$21,M353))*(IF(Upgrades!$T$13="Brown Dwarf",POWER(Upgrades!$U$13,E353),1)*IF(Upgrades!$T$14="Brown Dwarf",POWER(Upgrades!$U$14,F353),1)*IF(Upgrades!$T$15="Brown Dwarf",POWER(Upgrades!$U$15,G353),1)*IF(Upgrades!$T$16="Brown Dwarf",POWER(Upgrades!$U$16,H353),1)*IF(Upgrades!$T$18="Brown Dwarf",POWER(Upgrades!$U$18,J353),1)*IF(Upgrades!$T$19="Brown Dwarf",POWER(Upgrades!$U$19,K353),1)*IF(Upgrades!$T$20="Brown Dwarf",POWER(Upgrades!$U$20,L353),1)*IF(Upgrades!$T$21="Brown Dwarf",POWER(Upgrades!$U$21,M353),1))*$F$6+(((IF(H353=0,0,(Upgrades!$M$16+H353*Upgrades!$N$16)*POWER(Upgrades!$O$16,H353)))*(IF(Upgrades!$T$13="Roche Lobe Overflow",POWER(Upgrades!$U$13,E353),1)*IF(Upgrades!$T$14="Roche Lobe Overflow",POWER(Upgrades!$U$14,F353),1)*IF(Upgrades!$T$15="Roche Lobe Overflow",POWER(Upgrades!$U$15,G353),1)*IF(Upgrades!$T$17="Roche Lobe Overflow",POWER(Upgrades!$U$17,I353),1)*IF(Upgrades!$T$18="Roche Lobe Overflow",POWER(Upgrades!$U$18,J353),1)*IF(Upgrades!$T$19="Roche Lobe Overflow",POWER(Upgrades!$U$19,K353),1)*IF(Upgrades!$T$20="Roche Lobe Overflow",POWER(Upgrades!$U$20,L353),1)*IF(Upgrades!$T$21="Roche Lobe Overflow",POWER(Upgrades!$U$21,M353),1))*POWER(Upgrades!$R$13,E353)*POWER(Upgrades!$R$14,F353)*POWER(Upgrades!$R$15,G353)*POWER(Upgrades!$R$16,H353)*POWER(Upgrades!$R$17,I353)*POWER(Upgrades!$R$18,J353)*POWER(Upgrades!$R$19,K353)*POWER(Upgrades!$R$20,L353)*POWER(Upgrades!$R$21,M353)*$H$6)*O353)*0.10)/AO353,0)</f>
        <v/>
      </c>
      <c r="BD353" s="32">
        <f>MAX(IF(J353&gt;0,0,IFERROR(0.5*((IF(G353=0,0,(Upgrades!$J$15+G353*Upgrades!$K$15)*POWER(Upgrades!$L$15,G353)))*(IF(Upgrades!$T$13="Microlensing",POWER(Upgrades!$U$13,E353),1)*IF(Upgrades!$T$14="Microlensing",POWER(Upgrades!$U$14,F353),1)*IF(Upgrades!$T$16="Microlensing",POWER(Upgrades!$U$16,H353),1)*IF(Upgrades!$T$17="Microlensing",POWER(Upgrades!$U$17,I353),1)*IF(Upgrades!$T$18="Microlensing",POWER(Upgrades!$U$18,J353),1)*IF(Upgrades!$T$19="Microlensing",POWER(Upgrades!$U$19,K353),1)*IF(Upgrades!$T$20="Microlensing",POWER(Upgrades!$U$20,L353),1)*IF(Upgrades!$T$21="Microlensing",POWER(Upgrades!$U$21,M353),1))*(POWER(Upgrades!$Q$13,E353)*POWER(Upgrades!$Q$14,F353)*POWER(Upgrades!$Q$15,G353)*POWER(Upgrades!$Q$16,H353)*POWER(Upgrades!$Q$17,I353)*POWER(Upgrades!$Q$18,J353)*POWER(Upgrades!$Q$19,K353)*POWER(Upgrades!$Q$20,L353)*POWER(Upgrades!$Q$21,M353))*$G$6*(Parameters!$B$10/60*Parameters!$B$11+Q353))/Upgrades!$C$18,0)),IF(K353&gt;0,0,IFERROR(0.30*P353/Upgrades!$C$19,0)),IF(L353&gt;0,0,IFERROR(0.0001/Upgrades!$C$20,0)),IF(M353&gt;0,0,IFERROR((6.0*(POWER(Upgrades!$P$13,E353)*POWER(Upgrades!$P$14,F353)*POWER(Upgrades!$P$15,G353)*POWER(Upgrades!$P$16,H353)*POWER(Upgrades!$P$17,I353)*POWER(Upgrades!$P$18,J353)*POWER(Upgrades!$P$19,K353)*POWER(Upgrades!$P$20,L353)*POWER(Upgrades!$P$21,M353))*$F$6+0.20*O353*(Parameters!$B$10/60*Parameters!$B$11+Q353))/Upgrades!$C$21,0)),IF(AND(ISNUMBER(AK353),AK353&gt;(C353+T353)),AY353,0),IF(AND(ISNUMBER(AL353),AL353&gt;(C353+T353)),AZ353,0),IF(AND(ISNUMBER(AM353),AM353&gt;(C353+T353)),BA353,0),IF(AND(ISNUMBER(AN353),AN353&gt;(C353+T353)),BB353,0),IF(AND(ISNUMBER(AO353),AO353&gt;(C353+T353)),BC353,0))</f>
        <v/>
      </c>
      <c r="BE353" s="29">
        <f>IF(AT353=1,"transition",IF(MIN(IF(AND(J353=0,ISNUMBER(AP353),AP353&lt;=(C353+T353)),AP353,9E15),IF(AND(K353=0,ISNUMBER(AQ353),AQ353&lt;=(C353+T353)),AQ353,9E15),IF(AND(L353=0,ISNUMBER(AR353),AR353&lt;=(C353+T353)),AR353,9E15),IF(AND(M353=0,ISNUMBER(AS353),AS353&lt;=(C353+T353)),AS353,9E15))&lt;9E15,IF(AND(AND(J353=0,ISNUMBER(AP353),AP353&lt;=(C353+T353)),AP353=MIN(IF(AND(J353=0,ISNUMBER(AP353),AP353&lt;=(C353+T353)),AP353,9E15),IF(AND(K353=0,ISNUMBER(AQ353),AQ353&lt;=(C353+T353)),AQ353,9E15),IF(AND(L353=0,ISNUMBER(AR353),AR353&lt;=(C353+T353)),AR353,9E15),IF(AND(M353=0,ISNUMBER(AS353),AS353&lt;=(C353+T353)),AS353,9E15))),"BiP",IF(AND(AND(K353=0,ISNUMBER(AQ353),AQ353&lt;=(C353+T353)),AQ353=MIN(IF(AND(J353=0,ISNUMBER(AP353),AP353&lt;=(C353+T353)),AP353,9E15),IF(AND(K353=0,ISNUMBER(AQ353),AQ353&lt;=(C353+T353)),AQ353,9E15),IF(AND(L353=0,ISNUMBER(AR353),AR353&lt;=(C353+T353)),AR353,9E15),IF(AND(M353=0,ISNUMBER(AS353),AS353&lt;=(C353+T353)),AS353,9E15))),"PV",IF(AND(AND(L353=0,ISNUMBER(AR353),AR353&lt;=(C353+T353)),AR353=MIN(IF(AND(J353=0,ISNUMBER(AP353),AP353&lt;=(C353+T353)),AP353,9E15),IF(AND(K353=0,ISNUMBER(AQ353),AQ353&lt;=(C353+T353)),AQ353,9E15),IF(AND(L353=0,ISNUMBER(AR353),AR353&lt;=(C353+T353)),AR353,9E15),IF(AND(M353=0,ISNUMBER(AS353),AS353&lt;=(C353+T353)),AS353,9E15))),"OC","MG"))),IF(AX353=TRUE,"",IF(MAX(IF(AND(NOT(AND(AU353=1,AT353&lt;&gt;1)),ISNUMBER(AK353),AK353&lt;=(C353+T353)),AY353,0),IF(AND(NOT(AND(AU353=1,AT353&lt;&gt;1)),ISNUMBER(AL353),AL353&lt;=(C353+T353)),AZ353,0),IF(AND(NOT(AND(AU353=1,AT353&lt;&gt;1)),ISNUMBER(AM353),AM353&lt;=(C353+T353)),BA353,0),IF(AND(NOT(AND(AU353=1,AT353&lt;&gt;1)),ISNUMBER(AN353),AN353&lt;=(C353+T353)),BB353,0),IF(AND(ISNUMBER(AO353),AO353&lt;=(C353+T353)),BC353,0))&lt;=0,"",IF(AND(IF(AND(NOT(AND(AU353=1,AT353&lt;&gt;1)),ISNUMBER(AK353),AK353&lt;=(C353+T353)),AY353,0)&gt;0,IF(AND(NOT(AND(AU353=1,AT353&lt;&gt;1)),ISNUMBER(AK353),AK353&lt;=(C353+T353)),AY353,0)=MAX(IF(AND(NOT(AND(AU353=1,AT353&lt;&gt;1)),ISNUMBER(AK353),AK353&lt;=(C353+T353)),AY353,0),IF(AND(NOT(AND(AU353=1,AT353&lt;&gt;1)),ISNUMBER(AL353),AL353&lt;=(C353+T353)),AZ353,0),IF(AND(NOT(AND(AU353=1,AT353&lt;&gt;1)),ISNUMBER(AM353),AM353&lt;=(C353+T353)),BA353,0),IF(AND(NOT(AND(AU353=1,AT353&lt;&gt;1)),ISNUMBER(AN353),AN353&lt;=(C353+T353)),BB353,0),IF(AND(ISNUMBER(AO353),AO353&lt;=(C353+T353)),BC353,0))),"SK",IF(AND(IF(AND(NOT(AND(AU353=1,AT353&lt;&gt;1)),ISNUMBER(AL353),AL353&lt;=(C353+T353)),AZ353,0)&gt;0,IF(AND(NOT(AND(AU353=1,AT353&lt;&gt;1)),ISNUMBER(AL353),AL353&lt;=(C353+T353)),AZ353,0)=MAX(IF(AND(NOT(AND(AU353=1,AT353&lt;&gt;1)),ISNUMBER(AK353),AK353&lt;=(C353+T353)),AY353,0),IF(AND(NOT(AND(AU353=1,AT353&lt;&gt;1)),ISNUMBER(AL353),AL353&lt;=(C353+T353)),AZ353,0),IF(AND(NOT(AND(AU353=1,AT353&lt;&gt;1)),ISNUMBER(AM353),AM353&lt;=(C353+T353)),BA353,0),IF(AND(NOT(AND(AU353=1,AT353&lt;&gt;1)),ISNUMBER(AN353),AN353&lt;=(C353+T353)),BB353,0),IF(AND(ISNUMBER(AO353),AO353&lt;=(C353+T353)),BC353,0))),"LB",IF(AND(IF(AND(NOT(AND(AU353=1,AT353&lt;&gt;1)),ISNUMBER(AM353),AM353&lt;=(C353+T353)),BA353,0)&gt;0,IF(AND(NOT(AND(AU353=1,AT353&lt;&gt;1)),ISNUMBER(AM353),AM353&lt;=(C353+T353)),BA353,0)=MAX(IF(AND(NOT(AND(AU353=1,AT353&lt;&gt;1)),ISNUMBER(AK353),AK353&lt;=(C353+T353)),AY353,0),IF(AND(NOT(AND(AU353=1,AT353&lt;&gt;1)),ISNUMBER(AL353),AL353&lt;=(C353+T353)),AZ353,0),IF(AND(NOT(AND(AU353=1,AT353&lt;&gt;1)),ISNUMBER(AM353),AM353&lt;=(C353+T353)),BA353,0),IF(AND(NOT(AND(AU353=1,AT353&lt;&gt;1)),ISNUMBER(AN353),AN353&lt;=(C353+T353)),BB353,0),IF(AND(ISNUMBER(AO353),AO353&lt;=(C353+T353)),BC353,0))),"ML",IF(AND(IF(AND(NOT(AND(AU353=1,AT353&lt;&gt;1)),ISNUMBER(AN353),AN353&lt;=(C353+T353)),BB353,0)&gt;0,IF(AND(NOT(AND(AU353=1,AT353&lt;&gt;1)),ISNUMBER(AN353),AN353&lt;=(C353+T353)),BB353,0)=MAX(IF(AND(NOT(AND(AU353=1,AT353&lt;&gt;1)),ISNUMBER(AK353),AK353&lt;=(C353+T353)),AY353,0),IF(AND(NOT(AND(AU353=1,AT353&lt;&gt;1)),ISNUMBER(AL353),AL353&lt;=(C353+T353)),AZ353,0),IF(AND(NOT(AND(AU353=1,AT353&lt;&gt;1)),ISNUMBER(AM353),AM353&lt;=(C353+T353)),BA353,0),IF(AND(NOT(AND(AU353=1,AT353&lt;&gt;1)),ISNUMBER(AN353),AN353&lt;=(C353+T353)),BB353,0),IF(AND(ISNUMBER(AO353),AO353&lt;=(C353+T353)),BC353,0))),"RLO","BD"))))))))</f>
        <v/>
      </c>
    </row>
    <row r="354">
      <c r="A354" s="26" t="n">
        <v>343</v>
      </c>
      <c r="B354" s="27">
        <f>A354*10/60</f>
        <v/>
      </c>
      <c r="C354" s="22">
        <f>X353</f>
        <v/>
      </c>
      <c r="D354" s="27">
        <f>D353+W353</f>
        <v/>
      </c>
      <c r="E354" s="26">
        <f>E353+IF(U353="SK",1,0)</f>
        <v/>
      </c>
      <c r="F354" s="26">
        <f>F353+IF(U353="LB",1,0)</f>
        <v/>
      </c>
      <c r="G354" s="26">
        <f>G353+IF(U353="ML",1,0)</f>
        <v/>
      </c>
      <c r="H354" s="26">
        <f>H353+IF(U353="RLO",1,0)</f>
        <v/>
      </c>
      <c r="I354" s="26">
        <f>I353+IF(U353="BD",1,0)</f>
        <v/>
      </c>
      <c r="J354" s="26">
        <f>MAX(J353,IF(U353="BiP",1,0))</f>
        <v/>
      </c>
      <c r="K354" s="26">
        <f>MAX(K353,IF(U353="PV",1,0))</f>
        <v/>
      </c>
      <c r="L354" s="26">
        <f>MAX(L353,IF(U353="OC",1,0))</f>
        <v/>
      </c>
      <c r="M354" s="26">
        <f>MAX(M353,IF(U353="MG",1,0))</f>
        <v/>
      </c>
      <c r="N354" s="26">
        <f>MAX(N353,IF(U353="transition",1,0))</f>
        <v/>
      </c>
      <c r="O354" s="28">
        <f>(Parameters!$B$9+(IF(E354=0,0,(Upgrades!$J$13+E354*Upgrades!$K$13)*POWER(Upgrades!$L$13,E354)))*(IF(Upgrades!$T$14="Stellar Kinematics",POWER(Upgrades!$U$14,F354),1)*IF(Upgrades!$T$15="Stellar Kinematics",POWER(Upgrades!$U$15,G354),1)*IF(Upgrades!$T$16="Stellar Kinematics",POWER(Upgrades!$U$16,H354),1)*IF(Upgrades!$T$17="Stellar Kinematics",POWER(Upgrades!$U$17,I354),1)*IF(Upgrades!$T$18="Stellar Kinematics",POWER(Upgrades!$U$18,J354),1)*IF(Upgrades!$T$19="Stellar Kinematics",POWER(Upgrades!$U$19,K354),1)*IF(Upgrades!$T$20="Stellar Kinematics",POWER(Upgrades!$U$20,L354),1)*IF(Upgrades!$T$21="Stellar Kinematics",POWER(Upgrades!$U$21,M354),1))+(IF(F354=0,0,(Upgrades!$J$14+F354*Upgrades!$K$14)*POWER(Upgrades!$L$14,F354)))*(IF(Upgrades!$T$13="Local Bubble",POWER(Upgrades!$U$13,E354),1)*IF(Upgrades!$T$15="Local Bubble",POWER(Upgrades!$U$15,G354),1)*IF(Upgrades!$T$16="Local Bubble",POWER(Upgrades!$U$16,H354),1)*IF(Upgrades!$T$17="Local Bubble",POWER(Upgrades!$U$17,I354),1)*IF(Upgrades!$T$18="Local Bubble",POWER(Upgrades!$U$18,J354),1)*IF(Upgrades!$T$19="Local Bubble",POWER(Upgrades!$U$19,K354),1)*IF(Upgrades!$T$20="Local Bubble",POWER(Upgrades!$U$20,L354),1)*IF(Upgrades!$T$21="Local Bubble",POWER(Upgrades!$U$21,M354),1))+(IF(G354=0,0,(Upgrades!$J$15+G354*Upgrades!$K$15)*POWER(Upgrades!$L$15,G354)))*(IF(Upgrades!$T$13="Microlensing",POWER(Upgrades!$U$13,E354),1)*IF(Upgrades!$T$14="Microlensing",POWER(Upgrades!$U$14,F354),1)*IF(Upgrades!$T$16="Microlensing",POWER(Upgrades!$U$16,H354),1)*IF(Upgrades!$T$17="Microlensing",POWER(Upgrades!$U$17,I354),1)*IF(Upgrades!$T$18="Microlensing",POWER(Upgrades!$U$18,J354),1)*IF(Upgrades!$T$19="Microlensing",POWER(Upgrades!$U$19,K354),1)*IF(Upgrades!$T$20="Microlensing",POWER(Upgrades!$U$20,L354),1)*IF(Upgrades!$T$21="Microlensing",POWER(Upgrades!$U$21,M354),1))+(IF(H354=0,0,(Upgrades!$J$16+H354*Upgrades!$K$16)*POWER(Upgrades!$L$16,H354)))*(IF(Upgrades!$T$13="Roche Lobe Overflow",POWER(Upgrades!$U$13,E354),1)*IF(Upgrades!$T$14="Roche Lobe Overflow",POWER(Upgrades!$U$14,F354),1)*IF(Upgrades!$T$15="Roche Lobe Overflow",POWER(Upgrades!$U$15,G354),1)*IF(Upgrades!$T$17="Roche Lobe Overflow",POWER(Upgrades!$U$17,I354),1)*IF(Upgrades!$T$18="Roche Lobe Overflow",POWER(Upgrades!$U$18,J354),1)*IF(Upgrades!$T$19="Roche Lobe Overflow",POWER(Upgrades!$U$19,K354),1)*IF(Upgrades!$T$20="Roche Lobe Overflow",POWER(Upgrades!$U$20,L354),1)*IF(Upgrades!$T$21="Roche Lobe Overflow",POWER(Upgrades!$U$21,M354),1))+(IF(I354=0,0,(Upgrades!$J$17+I354*Upgrades!$K$17)*POWER(Upgrades!$L$17,I354)))*(IF(Upgrades!$T$13="Brown Dwarf",POWER(Upgrades!$U$13,E354),1)*IF(Upgrades!$T$14="Brown Dwarf",POWER(Upgrades!$U$14,F354),1)*IF(Upgrades!$T$15="Brown Dwarf",POWER(Upgrades!$U$15,G354),1)*IF(Upgrades!$T$16="Brown Dwarf",POWER(Upgrades!$U$16,H354),1)*IF(Upgrades!$T$18="Brown Dwarf",POWER(Upgrades!$U$18,J354),1)*IF(Upgrades!$T$19="Brown Dwarf",POWER(Upgrades!$U$19,K354),1)*IF(Upgrades!$T$20="Brown Dwarf",POWER(Upgrades!$U$20,L354),1)*IF(Upgrades!$T$21="Brown Dwarf",POWER(Upgrades!$U$21,M354),1))+(IF(J354=0,0,(Upgrades!$J$18+J354*Upgrades!$K$18)*POWER(Upgrades!$L$18,J354)))*(IF(Upgrades!$T$13="Binary Partner",POWER(Upgrades!$U$13,E354),1)*IF(Upgrades!$T$14="Binary Partner",POWER(Upgrades!$U$14,F354),1)*IF(Upgrades!$T$15="Binary Partner",POWER(Upgrades!$U$15,G354),1)*IF(Upgrades!$T$16="Binary Partner",POWER(Upgrades!$U$16,H354),1)*IF(Upgrades!$T$17="Binary Partner",POWER(Upgrades!$U$17,I354),1)*IF(Upgrades!$T$19="Binary Partner",POWER(Upgrades!$U$19,K354),1)*IF(Upgrades!$T$20="Binary Partner",POWER(Upgrades!$U$20,L354),1)*IF(Upgrades!$T$21="Binary Partner",POWER(Upgrades!$U$21,M354),1))+(IF(K354=0,0,(Upgrades!$J$19+K354*Upgrades!$K$19)*POWER(Upgrades!$L$19,K354)))*(IF(Upgrades!$T$13="Peculiar Velocity",POWER(Upgrades!$U$13,E354),1)*IF(Upgrades!$T$14="Peculiar Velocity",POWER(Upgrades!$U$14,F354),1)*IF(Upgrades!$T$15="Peculiar Velocity",POWER(Upgrades!$U$15,G354),1)*IF(Upgrades!$T$16="Peculiar Velocity",POWER(Upgrades!$U$16,H354),1)*IF(Upgrades!$T$17="Peculiar Velocity",POWER(Upgrades!$U$17,I354),1)*IF(Upgrades!$T$18="Peculiar Velocity",POWER(Upgrades!$U$18,J354),1)*IF(Upgrades!$T$20="Peculiar Velocity",POWER(Upgrades!$U$20,L354),1)*IF(Upgrades!$T$21="Peculiar Velocity",POWER(Upgrades!$U$21,M354),1))+(IF(L354=0,0,(Upgrades!$J$20+L354*Upgrades!$K$20)*POWER(Upgrades!$L$20,L354)))*(IF(Upgrades!$T$13="Open Cluster",POWER(Upgrades!$U$13,E354),1)*IF(Upgrades!$T$14="Open Cluster",POWER(Upgrades!$U$14,F354),1)*IF(Upgrades!$T$15="Open Cluster",POWER(Upgrades!$U$15,G354),1)*IF(Upgrades!$T$16="Open Cluster",POWER(Upgrades!$U$16,H354),1)*IF(Upgrades!$T$17="Open Cluster",POWER(Upgrades!$U$17,I354),1)*IF(Upgrades!$T$18="Open Cluster",POWER(Upgrades!$U$18,J354),1)*IF(Upgrades!$T$19="Open Cluster",POWER(Upgrades!$U$19,K354),1)*IF(Upgrades!$T$21="Open Cluster",POWER(Upgrades!$U$21,M354),1))+(IF(M354=0,0,(Upgrades!$J$21+M354*Upgrades!$K$21)*POWER(Upgrades!$L$21,M354)))*(IF(Upgrades!$T$13="Moving Group",POWER(Upgrades!$U$13,E354),1)*IF(Upgrades!$T$14="Moving Group",POWER(Upgrades!$U$14,F354),1)*IF(Upgrades!$T$15="Moving Group",POWER(Upgrades!$U$15,G354),1)*IF(Upgrades!$T$16="Moving Group",POWER(Upgrades!$U$16,H354),1)*IF(Upgrades!$T$17="Moving Group",POWER(Upgrades!$U$17,I354),1)*IF(Upgrades!$T$18="Moving Group",POWER(Upgrades!$U$18,J354),1)*IF(Upgrades!$T$19="Moving Group",POWER(Upgrades!$U$19,K354),1)*IF(Upgrades!$T$20="Moving Group",POWER(Upgrades!$U$20,L354),1)))*POWER(Upgrades!$Q$13,E354)*POWER(Upgrades!$Q$14,F354)*POWER(Upgrades!$Q$15,G354)*POWER(Upgrades!$Q$16,H354)*POWER(Upgrades!$Q$17,I354)*POWER(Upgrades!$Q$18,J354)*POWER(Upgrades!$Q$19,K354)*POWER(Upgrades!$Q$20,L354)*POWER(Upgrades!$Q$21,M354)*$G$6+$D$6</f>
        <v/>
      </c>
      <c r="P354" s="28">
        <f>((IF(E354=0,0,(Upgrades!$G$13+E354*Upgrades!$H$13)*POWER(Upgrades!$I$13,E354)))*(IF(Upgrades!$T$14="Stellar Kinematics",POWER(Upgrades!$U$14,F354),1)*IF(Upgrades!$T$15="Stellar Kinematics",POWER(Upgrades!$U$15,G354),1)*IF(Upgrades!$T$16="Stellar Kinematics",POWER(Upgrades!$U$16,H354),1)*IF(Upgrades!$T$17="Stellar Kinematics",POWER(Upgrades!$U$17,I354),1)*IF(Upgrades!$T$18="Stellar Kinematics",POWER(Upgrades!$U$18,J354),1)*IF(Upgrades!$T$19="Stellar Kinematics",POWER(Upgrades!$U$19,K354),1)*IF(Upgrades!$T$20="Stellar Kinematics",POWER(Upgrades!$U$20,L354),1)*IF(Upgrades!$T$21="Stellar Kinematics",POWER(Upgrades!$U$21,M354),1))+(IF(F354=0,0,(Upgrades!$G$14+F354*Upgrades!$H$14)*POWER(Upgrades!$I$14,F354)))*(IF(Upgrades!$T$13="Local Bubble",POWER(Upgrades!$U$13,E354),1)*IF(Upgrades!$T$15="Local Bubble",POWER(Upgrades!$U$15,G354),1)*IF(Upgrades!$T$16="Local Bubble",POWER(Upgrades!$U$16,H354),1)*IF(Upgrades!$T$17="Local Bubble",POWER(Upgrades!$U$17,I354),1)*IF(Upgrades!$T$18="Local Bubble",POWER(Upgrades!$U$18,J354),1)*IF(Upgrades!$T$19="Local Bubble",POWER(Upgrades!$U$19,K354),1)*IF(Upgrades!$T$20="Local Bubble",POWER(Upgrades!$U$20,L354),1)*IF(Upgrades!$T$21="Local Bubble",POWER(Upgrades!$U$21,M354),1))+(IF(G354=0,0,(Upgrades!$G$15+G354*Upgrades!$H$15)*POWER(Upgrades!$I$15,G354)))*(IF(Upgrades!$T$13="Microlensing",POWER(Upgrades!$U$13,E354),1)*IF(Upgrades!$T$14="Microlensing",POWER(Upgrades!$U$14,F354),1)*IF(Upgrades!$T$16="Microlensing",POWER(Upgrades!$U$16,H354),1)*IF(Upgrades!$T$17="Microlensing",POWER(Upgrades!$U$17,I354),1)*IF(Upgrades!$T$18="Microlensing",POWER(Upgrades!$U$18,J354),1)*IF(Upgrades!$T$19="Microlensing",POWER(Upgrades!$U$19,K354),1)*IF(Upgrades!$T$20="Microlensing",POWER(Upgrades!$U$20,L354),1)*IF(Upgrades!$T$21="Microlensing",POWER(Upgrades!$U$21,M354),1))+(IF(H354=0,0,(Upgrades!$G$16+H354*Upgrades!$H$16)*POWER(Upgrades!$I$16,H354)))*(IF(Upgrades!$T$13="Roche Lobe Overflow",POWER(Upgrades!$U$13,E354),1)*IF(Upgrades!$T$14="Roche Lobe Overflow",POWER(Upgrades!$U$14,F354),1)*IF(Upgrades!$T$15="Roche Lobe Overflow",POWER(Upgrades!$U$15,G354),1)*IF(Upgrades!$T$17="Roche Lobe Overflow",POWER(Upgrades!$U$17,I354),1)*IF(Upgrades!$T$18="Roche Lobe Overflow",POWER(Upgrades!$U$18,J354),1)*IF(Upgrades!$T$19="Roche Lobe Overflow",POWER(Upgrades!$U$19,K354),1)*IF(Upgrades!$T$20="Roche Lobe Overflow",POWER(Upgrades!$U$20,L354),1)*IF(Upgrades!$T$21="Roche Lobe Overflow",POWER(Upgrades!$U$21,M354),1))+(IF(I354=0,0,(Upgrades!$G$17+I354*Upgrades!$H$17)*POWER(Upgrades!$I$17,I354)))*(IF(Upgrades!$T$13="Brown Dwarf",POWER(Upgrades!$U$13,E354),1)*IF(Upgrades!$T$14="Brown Dwarf",POWER(Upgrades!$U$14,F354),1)*IF(Upgrades!$T$15="Brown Dwarf",POWER(Upgrades!$U$15,G354),1)*IF(Upgrades!$T$16="Brown Dwarf",POWER(Upgrades!$U$16,H354),1)*IF(Upgrades!$T$18="Brown Dwarf",POWER(Upgrades!$U$18,J354),1)*IF(Upgrades!$T$19="Brown Dwarf",POWER(Upgrades!$U$19,K354),1)*IF(Upgrades!$T$20="Brown Dwarf",POWER(Upgrades!$U$20,L354),1)*IF(Upgrades!$T$21="Brown Dwarf",POWER(Upgrades!$U$21,M354),1))+(IF(J354=0,0,(Upgrades!$G$18+J354*Upgrades!$H$18)*POWER(Upgrades!$I$18,J354)))*(IF(Upgrades!$T$13="Binary Partner",POWER(Upgrades!$U$13,E354),1)*IF(Upgrades!$T$14="Binary Partner",POWER(Upgrades!$U$14,F354),1)*IF(Upgrades!$T$15="Binary Partner",POWER(Upgrades!$U$15,G354),1)*IF(Upgrades!$T$16="Binary Partner",POWER(Upgrades!$U$16,H354),1)*IF(Upgrades!$T$17="Binary Partner",POWER(Upgrades!$U$17,I354),1)*IF(Upgrades!$T$19="Binary Partner",POWER(Upgrades!$U$19,K354),1)*IF(Upgrades!$T$20="Binary Partner",POWER(Upgrades!$U$20,L354),1)*IF(Upgrades!$T$21="Binary Partner",POWER(Upgrades!$U$21,M354),1))+(IF(K354=0,0,(Upgrades!$G$19+K354*Upgrades!$H$19)*POWER(Upgrades!$I$19,K354)))*(IF(Upgrades!$T$13="Peculiar Velocity",POWER(Upgrades!$U$13,E354),1)*IF(Upgrades!$T$14="Peculiar Velocity",POWER(Upgrades!$U$14,F354),1)*IF(Upgrades!$T$15="Peculiar Velocity",POWER(Upgrades!$U$15,G354),1)*IF(Upgrades!$T$16="Peculiar Velocity",POWER(Upgrades!$U$16,H354),1)*IF(Upgrades!$T$17="Peculiar Velocity",POWER(Upgrades!$U$17,I354),1)*IF(Upgrades!$T$18="Peculiar Velocity",POWER(Upgrades!$U$18,J354),1)*IF(Upgrades!$T$20="Peculiar Velocity",POWER(Upgrades!$U$20,L354),1)*IF(Upgrades!$T$21="Peculiar Velocity",POWER(Upgrades!$U$21,M354),1))+(IF(L354=0,0,(Upgrades!$G$20+L354*Upgrades!$H$20)*POWER(Upgrades!$I$20,L354)))*(IF(Upgrades!$T$13="Open Cluster",POWER(Upgrades!$U$13,E354),1)*IF(Upgrades!$T$14="Open Cluster",POWER(Upgrades!$U$14,F354),1)*IF(Upgrades!$T$15="Open Cluster",POWER(Upgrades!$U$15,G354),1)*IF(Upgrades!$T$16="Open Cluster",POWER(Upgrades!$U$16,H354),1)*IF(Upgrades!$T$17="Open Cluster",POWER(Upgrades!$U$17,I354),1)*IF(Upgrades!$T$18="Open Cluster",POWER(Upgrades!$U$18,J354),1)*IF(Upgrades!$T$19="Open Cluster",POWER(Upgrades!$U$19,K354),1)*IF(Upgrades!$T$21="Open Cluster",POWER(Upgrades!$U$21,M354),1))+(IF(M354=0,0,(Upgrades!$G$21+M354*Upgrades!$H$21)*POWER(Upgrades!$I$21,M354)))*(IF(Upgrades!$T$13="Moving Group",POWER(Upgrades!$U$13,E354),1)*IF(Upgrades!$T$14="Moving Group",POWER(Upgrades!$U$14,F354),1)*IF(Upgrades!$T$15="Moving Group",POWER(Upgrades!$U$15,G354),1)*IF(Upgrades!$T$16="Moving Group",POWER(Upgrades!$U$16,H354),1)*IF(Upgrades!$T$17="Moving Group",POWER(Upgrades!$U$17,I354),1)*IF(Upgrades!$T$18="Moving Group",POWER(Upgrades!$U$18,J354),1)*IF(Upgrades!$T$19="Moving Group",POWER(Upgrades!$U$19,K354),1)*IF(Upgrades!$T$20="Moving Group",POWER(Upgrades!$U$20,L354),1)))*POWER(Upgrades!$P$13,E354)*POWER(Upgrades!$P$14,F354)*POWER(Upgrades!$P$15,G354)*POWER(Upgrades!$P$16,H354)*POWER(Upgrades!$P$17,I354)*POWER(Upgrades!$P$18,J354)*POWER(Upgrades!$P$19,K354)*POWER(Upgrades!$P$20,L354)*POWER(Upgrades!$P$21,M354)*$F$6+$C$6</f>
        <v/>
      </c>
      <c r="Q354" s="28">
        <f>((IF(E354=0,0,(Upgrades!$M$13+E354*Upgrades!$N$13)*POWER(Upgrades!$O$13,E354)))*(IF(Upgrades!$T$14="Stellar Kinematics",POWER(Upgrades!$U$14,F354),1)*IF(Upgrades!$T$15="Stellar Kinematics",POWER(Upgrades!$U$15,G354),1)*IF(Upgrades!$T$16="Stellar Kinematics",POWER(Upgrades!$U$16,H354),1)*IF(Upgrades!$T$17="Stellar Kinematics",POWER(Upgrades!$U$17,I354),1)*IF(Upgrades!$T$18="Stellar Kinematics",POWER(Upgrades!$U$18,J354),1)*IF(Upgrades!$T$19="Stellar Kinematics",POWER(Upgrades!$U$19,K354),1)*IF(Upgrades!$T$20="Stellar Kinematics",POWER(Upgrades!$U$20,L354),1)*IF(Upgrades!$T$21="Stellar Kinematics",POWER(Upgrades!$U$21,M354),1))+(IF(F354=0,0,(Upgrades!$M$14+F354*Upgrades!$N$14)*POWER(Upgrades!$O$14,F354)))*(IF(Upgrades!$T$13="Local Bubble",POWER(Upgrades!$U$13,E354),1)*IF(Upgrades!$T$15="Local Bubble",POWER(Upgrades!$U$15,G354),1)*IF(Upgrades!$T$16="Local Bubble",POWER(Upgrades!$U$16,H354),1)*IF(Upgrades!$T$17="Local Bubble",POWER(Upgrades!$U$17,I354),1)*IF(Upgrades!$T$18="Local Bubble",POWER(Upgrades!$U$18,J354),1)*IF(Upgrades!$T$19="Local Bubble",POWER(Upgrades!$U$19,K354),1)*IF(Upgrades!$T$20="Local Bubble",POWER(Upgrades!$U$20,L354),1)*IF(Upgrades!$T$21="Local Bubble",POWER(Upgrades!$U$21,M354),1))+(IF(G354=0,0,(Upgrades!$M$15+G354*Upgrades!$N$15)*POWER(Upgrades!$O$15,G354)))*(IF(Upgrades!$T$13="Microlensing",POWER(Upgrades!$U$13,E354),1)*IF(Upgrades!$T$14="Microlensing",POWER(Upgrades!$U$14,F354),1)*IF(Upgrades!$T$16="Microlensing",POWER(Upgrades!$U$16,H354),1)*IF(Upgrades!$T$17="Microlensing",POWER(Upgrades!$U$17,I354),1)*IF(Upgrades!$T$18="Microlensing",POWER(Upgrades!$U$18,J354),1)*IF(Upgrades!$T$19="Microlensing",POWER(Upgrades!$U$19,K354),1)*IF(Upgrades!$T$20="Microlensing",POWER(Upgrades!$U$20,L354),1)*IF(Upgrades!$T$21="Microlensing",POWER(Upgrades!$U$21,M354),1))+(IF(H354=0,0,(Upgrades!$M$16+H354*Upgrades!$N$16)*POWER(Upgrades!$O$16,H354)))*(IF(Upgrades!$T$13="Roche Lobe Overflow",POWER(Upgrades!$U$13,E354),1)*IF(Upgrades!$T$14="Roche Lobe Overflow",POWER(Upgrades!$U$14,F354),1)*IF(Upgrades!$T$15="Roche Lobe Overflow",POWER(Upgrades!$U$15,G354),1)*IF(Upgrades!$T$17="Roche Lobe Overflow",POWER(Upgrades!$U$17,I354),1)*IF(Upgrades!$T$18="Roche Lobe Overflow",POWER(Upgrades!$U$18,J354),1)*IF(Upgrades!$T$19="Roche Lobe Overflow",POWER(Upgrades!$U$19,K354),1)*IF(Upgrades!$T$20="Roche Lobe Overflow",POWER(Upgrades!$U$20,L354),1)*IF(Upgrades!$T$21="Roche Lobe Overflow",POWER(Upgrades!$U$21,M354),1))+(IF(I354=0,0,(Upgrades!$M$17+I354*Upgrades!$N$17)*POWER(Upgrades!$O$17,I354)))*(IF(Upgrades!$T$13="Brown Dwarf",POWER(Upgrades!$U$13,E354),1)*IF(Upgrades!$T$14="Brown Dwarf",POWER(Upgrades!$U$14,F354),1)*IF(Upgrades!$T$15="Brown Dwarf",POWER(Upgrades!$U$15,G354),1)*IF(Upgrades!$T$16="Brown Dwarf",POWER(Upgrades!$U$16,H354),1)*IF(Upgrades!$T$18="Brown Dwarf",POWER(Upgrades!$U$18,J354),1)*IF(Upgrades!$T$19="Brown Dwarf",POWER(Upgrades!$U$19,K354),1)*IF(Upgrades!$T$20="Brown Dwarf",POWER(Upgrades!$U$20,L354),1)*IF(Upgrades!$T$21="Brown Dwarf",POWER(Upgrades!$U$21,M354),1))+(IF(J354=0,0,(Upgrades!$M$18+J354*Upgrades!$N$18)*POWER(Upgrades!$O$18,J354)))*(IF(Upgrades!$T$13="Binary Partner",POWER(Upgrades!$U$13,E354),1)*IF(Upgrades!$T$14="Binary Partner",POWER(Upgrades!$U$14,F354),1)*IF(Upgrades!$T$15="Binary Partner",POWER(Upgrades!$U$15,G354),1)*IF(Upgrades!$T$16="Binary Partner",POWER(Upgrades!$U$16,H354),1)*IF(Upgrades!$T$17="Binary Partner",POWER(Upgrades!$U$17,I354),1)*IF(Upgrades!$T$19="Binary Partner",POWER(Upgrades!$U$19,K354),1)*IF(Upgrades!$T$20="Binary Partner",POWER(Upgrades!$U$20,L354),1)*IF(Upgrades!$T$21="Binary Partner",POWER(Upgrades!$U$21,M354),1))+(IF(K354=0,0,(Upgrades!$M$19+K354*Upgrades!$N$19)*POWER(Upgrades!$O$19,K354)))*(IF(Upgrades!$T$13="Peculiar Velocity",POWER(Upgrades!$U$13,E354),1)*IF(Upgrades!$T$14="Peculiar Velocity",POWER(Upgrades!$U$14,F354),1)*IF(Upgrades!$T$15="Peculiar Velocity",POWER(Upgrades!$U$15,G354),1)*IF(Upgrades!$T$16="Peculiar Velocity",POWER(Upgrades!$U$16,H354),1)*IF(Upgrades!$T$17="Peculiar Velocity",POWER(Upgrades!$U$17,I354),1)*IF(Upgrades!$T$18="Peculiar Velocity",POWER(Upgrades!$U$18,J354),1)*IF(Upgrades!$T$20="Peculiar Velocity",POWER(Upgrades!$U$20,L354),1)*IF(Upgrades!$T$21="Peculiar Velocity",POWER(Upgrades!$U$21,M354),1))+(IF(L354=0,0,(Upgrades!$M$20+L354*Upgrades!$N$20)*POWER(Upgrades!$O$20,L354)))*(IF(Upgrades!$T$13="Open Cluster",POWER(Upgrades!$U$13,E354),1)*IF(Upgrades!$T$14="Open Cluster",POWER(Upgrades!$U$14,F354),1)*IF(Upgrades!$T$15="Open Cluster",POWER(Upgrades!$U$15,G354),1)*IF(Upgrades!$T$16="Open Cluster",POWER(Upgrades!$U$16,H354),1)*IF(Upgrades!$T$17="Open Cluster",POWER(Upgrades!$U$17,I354),1)*IF(Upgrades!$T$18="Open Cluster",POWER(Upgrades!$U$18,J354),1)*IF(Upgrades!$T$19="Open Cluster",POWER(Upgrades!$U$19,K354),1)*IF(Upgrades!$T$21="Open Cluster",POWER(Upgrades!$U$21,M354),1))+(IF(M354=0,0,(Upgrades!$M$21+M354*Upgrades!$N$21)*POWER(Upgrades!$O$21,M354)))*(IF(Upgrades!$T$13="Moving Group",POWER(Upgrades!$U$13,E354),1)*IF(Upgrades!$T$14="Moving Group",POWER(Upgrades!$U$14,F354),1)*IF(Upgrades!$T$15="Moving Group",POWER(Upgrades!$U$15,G354),1)*IF(Upgrades!$T$16="Moving Group",POWER(Upgrades!$U$16,H354),1)*IF(Upgrades!$T$17="Moving Group",POWER(Upgrades!$U$17,I354),1)*IF(Upgrades!$T$18="Moving Group",POWER(Upgrades!$U$18,J354),1)*IF(Upgrades!$T$19="Moving Group",POWER(Upgrades!$U$19,K354),1)*IF(Upgrades!$T$20="Moving Group",POWER(Upgrades!$U$20,L354),1)))*POWER(Upgrades!$R$13,E354)*POWER(Upgrades!$R$14,F354)*POWER(Upgrades!$R$15,G354)*POWER(Upgrades!$R$16,H354)*POWER(Upgrades!$R$17,I354)*POWER(Upgrades!$R$18,J354)*POWER(Upgrades!$R$19,K354)*POWER(Upgrades!$R$20,L354)*POWER(Upgrades!$R$21,M354)*$H$6+$E$6</f>
        <v/>
      </c>
      <c r="R354" s="27">
        <f>IF(N354=1,0,O354*Parameters!$B$10/60*Parameters!$B$11*10)</f>
        <v/>
      </c>
      <c r="S354" s="27">
        <f>IF(N354=1,0,Q354*O354*10)</f>
        <v/>
      </c>
      <c r="T354" s="27">
        <f>IF(N354=1,0,R354+S354+P354*10)</f>
        <v/>
      </c>
      <c r="U354" s="33">
        <f>BE354</f>
        <v/>
      </c>
      <c r="V354" s="22">
        <f>IF(U354="",0,IF(U354="transition",0,IF(U354="SK",AK354,IF(U354="LB",AL354,IF(U354="ML",AM354,IF(U354="RLO",AN354,IF(U354="BD",AO354,IF(U354="BiP",AP354,IF(U354="PV",AQ354,IF(U354="OC",AR354,IF(U354="MG",AS354,0))))))))))</f>
        <v/>
      </c>
      <c r="W354" s="27">
        <f>IF(U354="BiP",Upgrades!$F$18,IF(U354="PV",Upgrades!$F$19,IF(U354="OC",Upgrades!$F$20,IF(U354="MG",Upgrades!$F$21,IF(U354="transition",-Parameters!$B$18*Parameters!$B$19,0)))))</f>
        <v/>
      </c>
      <c r="X354" s="22">
        <f>C354+T354-V354</f>
        <v/>
      </c>
      <c r="Y354" s="30">
        <f>O354*Parameters!$B$10/60*Parameters!$B$11+Q354*O354+P354</f>
        <v/>
      </c>
      <c r="Z354" s="34">
        <f>IF(U354="transition","→ Tier 3 (Galactic Arm)",IF(U354="MG","Moving Group — pocket drifts together",IF(U354="OC","Open Cluster acquired",IF(U354="PV","Peculiar Velocity — passive multiplier active",IF(U354="BiP","Binary Partner — pair bond formed",IF(AND(AU354=1,N354=0,AT354&lt;&gt;1),"Cohesion ready (waiting on completionists)","")))))) </f>
        <v/>
      </c>
      <c r="AA354" s="27">
        <f>(IF(E354=0,0,(Upgrades!$G$13+E354*Upgrades!$H$13)*POWER(Upgrades!$I$13,E354)))*(IF(Upgrades!$T$14="Stellar Kinematics",POWER(Upgrades!$U$14,F354),1)*IF(Upgrades!$T$15="Stellar Kinematics",POWER(Upgrades!$U$15,G354),1)*IF(Upgrades!$T$16="Stellar Kinematics",POWER(Upgrades!$U$16,H354),1)*IF(Upgrades!$T$17="Stellar Kinematics",POWER(Upgrades!$U$17,I354),1)*IF(Upgrades!$T$18="Stellar Kinematics",POWER(Upgrades!$U$18,J354),1)*IF(Upgrades!$T$19="Stellar Kinematics",POWER(Upgrades!$U$19,K354),1)*IF(Upgrades!$T$20="Stellar Kinematics",POWER(Upgrades!$U$20,L354),1)*IF(Upgrades!$T$21="Stellar Kinematics",POWER(Upgrades!$U$21,M354),1))*POWER(Upgrades!$P$13,E354)*POWER(Upgrades!$P$14,F354)*POWER(Upgrades!$P$15,G354)*POWER(Upgrades!$P$16,H354)*POWER(Upgrades!$P$17,I354)*POWER(Upgrades!$P$18,J354)*POWER(Upgrades!$P$19,K354)*POWER(Upgrades!$P$20,L354)*POWER(Upgrades!$P$21,M354)*$F$6*60</f>
        <v/>
      </c>
      <c r="AB354" s="27">
        <f>(IF(F354=0,0,(Upgrades!$G$14+F354*Upgrades!$H$14)*POWER(Upgrades!$I$14,F354)))*(IF(Upgrades!$T$13="Local Bubble",POWER(Upgrades!$U$13,E354),1)*IF(Upgrades!$T$15="Local Bubble",POWER(Upgrades!$U$15,G354),1)*IF(Upgrades!$T$16="Local Bubble",POWER(Upgrades!$U$16,H354),1)*IF(Upgrades!$T$17="Local Bubble",POWER(Upgrades!$U$17,I354),1)*IF(Upgrades!$T$18="Local Bubble",POWER(Upgrades!$U$18,J354),1)*IF(Upgrades!$T$19="Local Bubble",POWER(Upgrades!$U$19,K354),1)*IF(Upgrades!$T$20="Local Bubble",POWER(Upgrades!$U$20,L354),1)*IF(Upgrades!$T$21="Local Bubble",POWER(Upgrades!$U$21,M354),1))*POWER(Upgrades!$P$13,E354)*POWER(Upgrades!$P$14,F354)*POWER(Upgrades!$P$15,G354)*POWER(Upgrades!$P$16,H354)*POWER(Upgrades!$P$17,I354)*POWER(Upgrades!$P$18,J354)*POWER(Upgrades!$P$19,K354)*POWER(Upgrades!$P$20,L354)*POWER(Upgrades!$P$21,M354)*$F$6*60</f>
        <v/>
      </c>
      <c r="AC354" s="27">
        <f>(IF(G354=0,0,(Upgrades!$J$15+G354*Upgrades!$K$15)*POWER(Upgrades!$L$15,G354)))*(IF(Upgrades!$T$13="Microlensing",POWER(Upgrades!$U$13,E354),1)*IF(Upgrades!$T$14="Microlensing",POWER(Upgrades!$U$14,F354),1)*IF(Upgrades!$T$16="Microlensing",POWER(Upgrades!$U$16,H354),1)*IF(Upgrades!$T$17="Microlensing",POWER(Upgrades!$U$17,I354),1)*IF(Upgrades!$T$18="Microlensing",POWER(Upgrades!$U$18,J354),1)*IF(Upgrades!$T$19="Microlensing",POWER(Upgrades!$U$19,K354),1)*IF(Upgrades!$T$20="Microlensing",POWER(Upgrades!$U$20,L354),1)*IF(Upgrades!$T$21="Microlensing",POWER(Upgrades!$U$21,M354),1))*POWER(Upgrades!$Q$13,E354)*POWER(Upgrades!$Q$14,F354)*POWER(Upgrades!$Q$15,G354)*POWER(Upgrades!$Q$16,H354)*POWER(Upgrades!$Q$17,I354)*POWER(Upgrades!$Q$18,J354)*POWER(Upgrades!$Q$19,K354)*POWER(Upgrades!$Q$20,L354)*POWER(Upgrades!$Q$21,M354)*$G$6*(Parameters!$B$10*Parameters!$B$11+Q354*60)</f>
        <v/>
      </c>
      <c r="AD354" s="27">
        <f>(IF(H354=0,0,(Upgrades!$M$16+H354*Upgrades!$N$16)*POWER(Upgrades!$O$16,H354)))*(IF(Upgrades!$T$13="Roche Lobe Overflow",POWER(Upgrades!$U$13,E354),1)*IF(Upgrades!$T$14="Roche Lobe Overflow",POWER(Upgrades!$U$14,F354),1)*IF(Upgrades!$T$15="Roche Lobe Overflow",POWER(Upgrades!$U$15,G354),1)*IF(Upgrades!$T$17="Roche Lobe Overflow",POWER(Upgrades!$U$17,I354),1)*IF(Upgrades!$T$18="Roche Lobe Overflow",POWER(Upgrades!$U$18,J354),1)*IF(Upgrades!$T$19="Roche Lobe Overflow",POWER(Upgrades!$U$19,K354),1)*IF(Upgrades!$T$20="Roche Lobe Overflow",POWER(Upgrades!$U$20,L354),1)*IF(Upgrades!$T$21="Roche Lobe Overflow",POWER(Upgrades!$U$21,M354),1))*POWER(Upgrades!$R$13,E354)*POWER(Upgrades!$R$14,F354)*POWER(Upgrades!$R$15,G354)*POWER(Upgrades!$R$16,H354)*POWER(Upgrades!$R$17,I354)*POWER(Upgrades!$R$18,J354)*POWER(Upgrades!$R$19,K354)*POWER(Upgrades!$R$20,L354)*POWER(Upgrades!$R$21,M354)*$H$6*O354*60</f>
        <v/>
      </c>
      <c r="AE354" s="27">
        <f>(IF(I354=0,0,(Upgrades!$G$17+I354*Upgrades!$H$17)*POWER(Upgrades!$I$17,I354)))*(IF(Upgrades!$T$13="Brown Dwarf",POWER(Upgrades!$U$13,E354),1)*IF(Upgrades!$T$14="Brown Dwarf",POWER(Upgrades!$U$14,F354),1)*IF(Upgrades!$T$15="Brown Dwarf",POWER(Upgrades!$U$15,G354),1)*IF(Upgrades!$T$16="Brown Dwarf",POWER(Upgrades!$U$16,H354),1)*IF(Upgrades!$T$18="Brown Dwarf",POWER(Upgrades!$U$18,J354),1)*IF(Upgrades!$T$19="Brown Dwarf",POWER(Upgrades!$U$19,K354),1)*IF(Upgrades!$T$20="Brown Dwarf",POWER(Upgrades!$U$20,L354),1)*IF(Upgrades!$T$21="Brown Dwarf",POWER(Upgrades!$U$21,M354),1))*POWER(Upgrades!$P$13,E354)*POWER(Upgrades!$P$14,F354)*POWER(Upgrades!$P$15,G354)*POWER(Upgrades!$P$16,H354)*POWER(Upgrades!$P$17,I354)*POWER(Upgrades!$P$18,J354)*POWER(Upgrades!$P$19,K354)*POWER(Upgrades!$P$20,L354)*POWER(Upgrades!$P$21,M354)*$F$6*60</f>
        <v/>
      </c>
      <c r="AF354" s="27" t="n">
        <v>0</v>
      </c>
      <c r="AG354" s="27" t="n">
        <v>0</v>
      </c>
      <c r="AH354" s="27" t="n">
        <v>0</v>
      </c>
      <c r="AI354" s="27">
        <f>(IF(M354=0,0,(Upgrades!$G$21+M354*Upgrades!$H$21)*POWER(Upgrades!$I$21,M354)))*(IF(Upgrades!$T$13="Moving Group",POWER(Upgrades!$U$13,E354),1)*IF(Upgrades!$T$14="Moving Group",POWER(Upgrades!$U$14,F354),1)*IF(Upgrades!$T$15="Moving Group",POWER(Upgrades!$U$15,G354),1)*IF(Upgrades!$T$16="Moving Group",POWER(Upgrades!$U$16,H354),1)*IF(Upgrades!$T$17="Moving Group",POWER(Upgrades!$U$17,I354),1)*IF(Upgrades!$T$18="Moving Group",POWER(Upgrades!$U$18,J354),1)*IF(Upgrades!$T$19="Moving Group",POWER(Upgrades!$U$19,K354),1)*IF(Upgrades!$T$20="Moving Group",POWER(Upgrades!$U$20,L354),1))*POWER(Upgrades!$P$13,E354)*POWER(Upgrades!$P$14,F354)*POWER(Upgrades!$P$15,G354)*POWER(Upgrades!$P$16,H354)*POWER(Upgrades!$P$17,I354)*POWER(Upgrades!$P$18,J354)*POWER(Upgrades!$P$19,K354)*POWER(Upgrades!$P$20,L354)*POWER(Upgrades!$P$21,M354)*$F$6*60</f>
        <v/>
      </c>
      <c r="AJ354" s="27">
        <f>$C$6*60</f>
        <v/>
      </c>
      <c r="AK354" s="22">
        <f>IF(E354&gt;=Upgrades!$E$13,"",Upgrades!$C$13*POWER(Upgrades!$D$13,E354))</f>
        <v/>
      </c>
      <c r="AL354" s="22">
        <f>IF(F354&gt;=Upgrades!$E$14,"",Upgrades!$C$14*POWER(Upgrades!$D$14,F354))</f>
        <v/>
      </c>
      <c r="AM354" s="22">
        <f>IF(G354&gt;=Upgrades!$E$15,"",Upgrades!$C$15*POWER(Upgrades!$D$15,G354))</f>
        <v/>
      </c>
      <c r="AN354" s="22">
        <f>IF(H354&gt;=Upgrades!$E$16,"",Upgrades!$C$16*POWER(Upgrades!$D$16,H354))</f>
        <v/>
      </c>
      <c r="AO354" s="22">
        <f>IF(I354&gt;=Upgrades!$E$17,"",Upgrades!$C$17*POWER(Upgrades!$D$17,I354))</f>
        <v/>
      </c>
      <c r="AP354" s="22">
        <f>IF(J354&gt;=Upgrades!$E$18,"",Upgrades!$C$18*POWER(Upgrades!$D$18,J354))</f>
        <v/>
      </c>
      <c r="AQ354" s="22">
        <f>IF(K354&gt;=Upgrades!$E$19,"",Upgrades!$C$19*POWER(Upgrades!$D$19,K354))</f>
        <v/>
      </c>
      <c r="AR354" s="22">
        <f>IF(L354&gt;=Upgrades!$E$20,"",Upgrades!$C$20*POWER(Upgrades!$D$20,L354))</f>
        <v/>
      </c>
      <c r="AS354" s="22">
        <f>IF(M354&gt;=Upgrades!$E$21,"",Upgrades!$C$21*POWER(Upgrades!$D$21,M354))</f>
        <v/>
      </c>
      <c r="AT354" s="26">
        <f>IF(AND(D354&gt;=Parameters!$B$18*Parameters!$B$19,(I354&gt;=Upgrades!$E$17)*(M354&gt;=Upgrades!$E$21)=1,N354=0),1,"")</f>
        <v/>
      </c>
      <c r="AU354" s="26">
        <f>IF(AND(D354&gt;=Parameters!$B$18*Parameters!$B$19,N354=0),1,"")</f>
        <v/>
      </c>
      <c r="AV354" s="22">
        <f>MIN(IF(ISNUMBER(AP354),AP354,9E15),IF(ISNUMBER(AQ354),AQ354,9E15),IF(ISNUMBER(AR354),AR354,9E15),IF(ISNUMBER(AS354),AS354,9E15))</f>
        <v/>
      </c>
      <c r="AW354" s="22">
        <f>MIN(IF(ISNUMBER(AK354),AK354,9E15),IF(ISNUMBER(AL354),AL354,9E15),IF(ISNUMBER(AM354),AM354,9E15),IF(ISNUMBER(AN354),AN354,9E15),IF(ISNUMBER(AO354),AO354,9E15))</f>
        <v/>
      </c>
      <c r="AX354" s="29">
        <f>IF(BD354&gt;Parameters!$B$21*(MAX(IF(AND(NOT(AND(AU354=1,AT354&lt;&gt;1)),ISNUMBER(AK354),AK354&lt;=(C354+T354)),AY354,0),IF(AND(NOT(AND(AU354=1,AT354&lt;&gt;1)),ISNUMBER(AL354),AL354&lt;=(C354+T354)),AZ354,0),IF(AND(NOT(AND(AU354=1,AT354&lt;&gt;1)),ISNUMBER(AM354),AM354&lt;=(C354+T354)),BA354,0),IF(AND(NOT(AND(AU354=1,AT354&lt;&gt;1)),ISNUMBER(AN354),AN354&lt;=(C354+T354)),BB354,0),IF(AND(ISNUMBER(AO354),AO354&lt;=(C354+T354)),BC354,0))),TRUE,FALSE)</f>
        <v/>
      </c>
      <c r="AY354" s="32">
        <f>IFERROR(Upgrades!$H$13*(POWER(Upgrades!$P$13,E354)*POWER(Upgrades!$P$14,F354)*POWER(Upgrades!$P$15,G354)*POWER(Upgrades!$P$16,H354)*POWER(Upgrades!$P$17,I354)*POWER(Upgrades!$P$18,J354)*POWER(Upgrades!$P$19,K354)*POWER(Upgrades!$P$20,L354)*POWER(Upgrades!$P$21,M354))*(IF(Upgrades!$T$14="Stellar Kinematics",POWER(Upgrades!$U$14,F354),1)*IF(Upgrades!$T$15="Stellar Kinematics",POWER(Upgrades!$U$15,G354),1)*IF(Upgrades!$T$16="Stellar Kinematics",POWER(Upgrades!$U$16,H354),1)*IF(Upgrades!$T$17="Stellar Kinematics",POWER(Upgrades!$U$17,I354),1)*IF(Upgrades!$T$18="Stellar Kinematics",POWER(Upgrades!$U$18,J354),1)*IF(Upgrades!$T$19="Stellar Kinematics",POWER(Upgrades!$U$19,K354),1)*IF(Upgrades!$T$20="Stellar Kinematics",POWER(Upgrades!$U$20,L354),1)*IF(Upgrades!$T$21="Stellar Kinematics",POWER(Upgrades!$U$21,M354),1))*$F$6/AK354,0)</f>
        <v/>
      </c>
      <c r="AZ354" s="32">
        <f>IFERROR(Upgrades!$H$14*(POWER(Upgrades!$P$13,E354)*POWER(Upgrades!$P$14,F354)*POWER(Upgrades!$P$15,G354)*POWER(Upgrades!$P$16,H354)*POWER(Upgrades!$P$17,I354)*POWER(Upgrades!$P$18,J354)*POWER(Upgrades!$P$19,K354)*POWER(Upgrades!$P$20,L354)*POWER(Upgrades!$P$21,M354))*(IF(Upgrades!$T$13="Local Bubble",POWER(Upgrades!$U$13,E354),1)*IF(Upgrades!$T$15="Local Bubble",POWER(Upgrades!$U$15,G354),1)*IF(Upgrades!$T$16="Local Bubble",POWER(Upgrades!$U$16,H354),1)*IF(Upgrades!$T$17="Local Bubble",POWER(Upgrades!$U$17,I354),1)*IF(Upgrades!$T$18="Local Bubble",POWER(Upgrades!$U$18,J354),1)*IF(Upgrades!$T$19="Local Bubble",POWER(Upgrades!$U$19,K354),1)*IF(Upgrades!$T$20="Local Bubble",POWER(Upgrades!$U$20,L354),1)*IF(Upgrades!$T$21="Local Bubble",POWER(Upgrades!$U$21,M354),1))*$F$6/AL354,0)</f>
        <v/>
      </c>
      <c r="BA354" s="32">
        <f>IFERROR(Upgrades!$K$15*(POWER(Upgrades!$Q$13,E354)*POWER(Upgrades!$Q$14,F354)*POWER(Upgrades!$Q$15,G354)*POWER(Upgrades!$Q$16,H354)*POWER(Upgrades!$Q$17,I354)*POWER(Upgrades!$Q$18,J354)*POWER(Upgrades!$Q$19,K354)*POWER(Upgrades!$Q$20,L354)*POWER(Upgrades!$Q$21,M354))*(IF(Upgrades!$T$13="Microlensing",POWER(Upgrades!$U$13,E354),1)*IF(Upgrades!$T$14="Microlensing",POWER(Upgrades!$U$14,F354),1)*IF(Upgrades!$T$16="Microlensing",POWER(Upgrades!$U$16,H354),1)*IF(Upgrades!$T$17="Microlensing",POWER(Upgrades!$U$17,I354),1)*IF(Upgrades!$T$18="Microlensing",POWER(Upgrades!$U$18,J354),1)*IF(Upgrades!$T$19="Microlensing",POWER(Upgrades!$U$19,K354),1)*IF(Upgrades!$T$20="Microlensing",POWER(Upgrades!$U$20,L354),1)*IF(Upgrades!$T$21="Microlensing",POWER(Upgrades!$U$21,M354),1))*$G$6*(Parameters!$B$10/60*Parameters!$B$11+Q354)/AM354,0)</f>
        <v/>
      </c>
      <c r="BB354" s="32">
        <f>IFERROR((Upgrades!$N$16*(POWER(Upgrades!$R$13,E354)*POWER(Upgrades!$R$14,F354)*POWER(Upgrades!$R$15,G354)*POWER(Upgrades!$R$16,H354)*POWER(Upgrades!$R$17,I354)*POWER(Upgrades!$R$18,J354)*POWER(Upgrades!$R$19,K354)*POWER(Upgrades!$R$20,L354)*POWER(Upgrades!$R$21,M354))*(IF(Upgrades!$T$13="Roche Lobe Overflow",POWER(Upgrades!$U$13,E354),1)*IF(Upgrades!$T$14="Roche Lobe Overflow",POWER(Upgrades!$U$14,F354),1)*IF(Upgrades!$T$15="Roche Lobe Overflow",POWER(Upgrades!$U$15,G354),1)*IF(Upgrades!$T$17="Roche Lobe Overflow",POWER(Upgrades!$U$17,I354),1)*IF(Upgrades!$T$18="Roche Lobe Overflow",POWER(Upgrades!$U$18,J354),1)*IF(Upgrades!$T$19="Roche Lobe Overflow",POWER(Upgrades!$U$19,K354),1)*IF(Upgrades!$T$20="Roche Lobe Overflow",POWER(Upgrades!$U$20,L354),1)*IF(Upgrades!$T$21="Roche Lobe Overflow",POWER(Upgrades!$U$21,M354),1))*$H$6*O354+((IF(F354=0,0,(Upgrades!$G$14+F354*Upgrades!$H$14)*POWER(Upgrades!$I$14,F354)))*(IF(Upgrades!$T$13="Local Bubble",POWER(Upgrades!$U$13,E354),1)*IF(Upgrades!$T$15="Local Bubble",POWER(Upgrades!$U$15,G354),1)*IF(Upgrades!$T$16="Local Bubble",POWER(Upgrades!$U$16,H354),1)*IF(Upgrades!$T$17="Local Bubble",POWER(Upgrades!$U$17,I354),1)*IF(Upgrades!$T$18="Local Bubble",POWER(Upgrades!$U$18,J354),1)*IF(Upgrades!$T$19="Local Bubble",POWER(Upgrades!$U$19,K354),1)*IF(Upgrades!$T$20="Local Bubble",POWER(Upgrades!$U$20,L354),1)*IF(Upgrades!$T$21="Local Bubble",POWER(Upgrades!$U$21,M354),1))*POWER(Upgrades!$P$13,E354)*POWER(Upgrades!$P$14,F354)*POWER(Upgrades!$P$15,G354)*POWER(Upgrades!$P$16,H354)*POWER(Upgrades!$P$17,I354)*POWER(Upgrades!$P$18,J354)*POWER(Upgrades!$P$19,K354)*POWER(Upgrades!$P$20,L354)*POWER(Upgrades!$P$21,M354)*$F$6)*0.05)/AN354,0)</f>
        <v/>
      </c>
      <c r="BC354" s="32">
        <f>IFERROR((Upgrades!$H$17*(POWER(Upgrades!$P$13,E354)*POWER(Upgrades!$P$14,F354)*POWER(Upgrades!$P$15,G354)*POWER(Upgrades!$P$16,H354)*POWER(Upgrades!$P$17,I354)*POWER(Upgrades!$P$18,J354)*POWER(Upgrades!$P$19,K354)*POWER(Upgrades!$P$20,L354)*POWER(Upgrades!$P$21,M354))*(IF(Upgrades!$T$13="Brown Dwarf",POWER(Upgrades!$U$13,E354),1)*IF(Upgrades!$T$14="Brown Dwarf",POWER(Upgrades!$U$14,F354),1)*IF(Upgrades!$T$15="Brown Dwarf",POWER(Upgrades!$U$15,G354),1)*IF(Upgrades!$T$16="Brown Dwarf",POWER(Upgrades!$U$16,H354),1)*IF(Upgrades!$T$18="Brown Dwarf",POWER(Upgrades!$U$18,J354),1)*IF(Upgrades!$T$19="Brown Dwarf",POWER(Upgrades!$U$19,K354),1)*IF(Upgrades!$T$20="Brown Dwarf",POWER(Upgrades!$U$20,L354),1)*IF(Upgrades!$T$21="Brown Dwarf",POWER(Upgrades!$U$21,M354),1))*$F$6+(((IF(H354=0,0,(Upgrades!$M$16+H354*Upgrades!$N$16)*POWER(Upgrades!$O$16,H354)))*(IF(Upgrades!$T$13="Roche Lobe Overflow",POWER(Upgrades!$U$13,E354),1)*IF(Upgrades!$T$14="Roche Lobe Overflow",POWER(Upgrades!$U$14,F354),1)*IF(Upgrades!$T$15="Roche Lobe Overflow",POWER(Upgrades!$U$15,G354),1)*IF(Upgrades!$T$17="Roche Lobe Overflow",POWER(Upgrades!$U$17,I354),1)*IF(Upgrades!$T$18="Roche Lobe Overflow",POWER(Upgrades!$U$18,J354),1)*IF(Upgrades!$T$19="Roche Lobe Overflow",POWER(Upgrades!$U$19,K354),1)*IF(Upgrades!$T$20="Roche Lobe Overflow",POWER(Upgrades!$U$20,L354),1)*IF(Upgrades!$T$21="Roche Lobe Overflow",POWER(Upgrades!$U$21,M354),1))*POWER(Upgrades!$R$13,E354)*POWER(Upgrades!$R$14,F354)*POWER(Upgrades!$R$15,G354)*POWER(Upgrades!$R$16,H354)*POWER(Upgrades!$R$17,I354)*POWER(Upgrades!$R$18,J354)*POWER(Upgrades!$R$19,K354)*POWER(Upgrades!$R$20,L354)*POWER(Upgrades!$R$21,M354)*$H$6)*O354)*0.10)/AO354,0)</f>
        <v/>
      </c>
      <c r="BD354" s="32">
        <f>MAX(IF(J354&gt;0,0,IFERROR(0.5*((IF(G354=0,0,(Upgrades!$J$15+G354*Upgrades!$K$15)*POWER(Upgrades!$L$15,G354)))*(IF(Upgrades!$T$13="Microlensing",POWER(Upgrades!$U$13,E354),1)*IF(Upgrades!$T$14="Microlensing",POWER(Upgrades!$U$14,F354),1)*IF(Upgrades!$T$16="Microlensing",POWER(Upgrades!$U$16,H354),1)*IF(Upgrades!$T$17="Microlensing",POWER(Upgrades!$U$17,I354),1)*IF(Upgrades!$T$18="Microlensing",POWER(Upgrades!$U$18,J354),1)*IF(Upgrades!$T$19="Microlensing",POWER(Upgrades!$U$19,K354),1)*IF(Upgrades!$T$20="Microlensing",POWER(Upgrades!$U$20,L354),1)*IF(Upgrades!$T$21="Microlensing",POWER(Upgrades!$U$21,M354),1))*(POWER(Upgrades!$Q$13,E354)*POWER(Upgrades!$Q$14,F354)*POWER(Upgrades!$Q$15,G354)*POWER(Upgrades!$Q$16,H354)*POWER(Upgrades!$Q$17,I354)*POWER(Upgrades!$Q$18,J354)*POWER(Upgrades!$Q$19,K354)*POWER(Upgrades!$Q$20,L354)*POWER(Upgrades!$Q$21,M354))*$G$6*(Parameters!$B$10/60*Parameters!$B$11+Q354))/Upgrades!$C$18,0)),IF(K354&gt;0,0,IFERROR(0.30*P354/Upgrades!$C$19,0)),IF(L354&gt;0,0,IFERROR(0.0001/Upgrades!$C$20,0)),IF(M354&gt;0,0,IFERROR((6.0*(POWER(Upgrades!$P$13,E354)*POWER(Upgrades!$P$14,F354)*POWER(Upgrades!$P$15,G354)*POWER(Upgrades!$P$16,H354)*POWER(Upgrades!$P$17,I354)*POWER(Upgrades!$P$18,J354)*POWER(Upgrades!$P$19,K354)*POWER(Upgrades!$P$20,L354)*POWER(Upgrades!$P$21,M354))*$F$6+0.20*O354*(Parameters!$B$10/60*Parameters!$B$11+Q354))/Upgrades!$C$21,0)),IF(AND(ISNUMBER(AK354),AK354&gt;(C354+T354)),AY354,0),IF(AND(ISNUMBER(AL354),AL354&gt;(C354+T354)),AZ354,0),IF(AND(ISNUMBER(AM354),AM354&gt;(C354+T354)),BA354,0),IF(AND(ISNUMBER(AN354),AN354&gt;(C354+T354)),BB354,0),IF(AND(ISNUMBER(AO354),AO354&gt;(C354+T354)),BC354,0))</f>
        <v/>
      </c>
      <c r="BE354" s="29">
        <f>IF(AT354=1,"transition",IF(MIN(IF(AND(J354=0,ISNUMBER(AP354),AP354&lt;=(C354+T354)),AP354,9E15),IF(AND(K354=0,ISNUMBER(AQ354),AQ354&lt;=(C354+T354)),AQ354,9E15),IF(AND(L354=0,ISNUMBER(AR354),AR354&lt;=(C354+T354)),AR354,9E15),IF(AND(M354=0,ISNUMBER(AS354),AS354&lt;=(C354+T354)),AS354,9E15))&lt;9E15,IF(AND(AND(J354=0,ISNUMBER(AP354),AP354&lt;=(C354+T354)),AP354=MIN(IF(AND(J354=0,ISNUMBER(AP354),AP354&lt;=(C354+T354)),AP354,9E15),IF(AND(K354=0,ISNUMBER(AQ354),AQ354&lt;=(C354+T354)),AQ354,9E15),IF(AND(L354=0,ISNUMBER(AR354),AR354&lt;=(C354+T354)),AR354,9E15),IF(AND(M354=0,ISNUMBER(AS354),AS354&lt;=(C354+T354)),AS354,9E15))),"BiP",IF(AND(AND(K354=0,ISNUMBER(AQ354),AQ354&lt;=(C354+T354)),AQ354=MIN(IF(AND(J354=0,ISNUMBER(AP354),AP354&lt;=(C354+T354)),AP354,9E15),IF(AND(K354=0,ISNUMBER(AQ354),AQ354&lt;=(C354+T354)),AQ354,9E15),IF(AND(L354=0,ISNUMBER(AR354),AR354&lt;=(C354+T354)),AR354,9E15),IF(AND(M354=0,ISNUMBER(AS354),AS354&lt;=(C354+T354)),AS354,9E15))),"PV",IF(AND(AND(L354=0,ISNUMBER(AR354),AR354&lt;=(C354+T354)),AR354=MIN(IF(AND(J354=0,ISNUMBER(AP354),AP354&lt;=(C354+T354)),AP354,9E15),IF(AND(K354=0,ISNUMBER(AQ354),AQ354&lt;=(C354+T354)),AQ354,9E15),IF(AND(L354=0,ISNUMBER(AR354),AR354&lt;=(C354+T354)),AR354,9E15),IF(AND(M354=0,ISNUMBER(AS354),AS354&lt;=(C354+T354)),AS354,9E15))),"OC","MG"))),IF(AX354=TRUE,"",IF(MAX(IF(AND(NOT(AND(AU354=1,AT354&lt;&gt;1)),ISNUMBER(AK354),AK354&lt;=(C354+T354)),AY354,0),IF(AND(NOT(AND(AU354=1,AT354&lt;&gt;1)),ISNUMBER(AL354),AL354&lt;=(C354+T354)),AZ354,0),IF(AND(NOT(AND(AU354=1,AT354&lt;&gt;1)),ISNUMBER(AM354),AM354&lt;=(C354+T354)),BA354,0),IF(AND(NOT(AND(AU354=1,AT354&lt;&gt;1)),ISNUMBER(AN354),AN354&lt;=(C354+T354)),BB354,0),IF(AND(ISNUMBER(AO354),AO354&lt;=(C354+T354)),BC354,0))&lt;=0,"",IF(AND(IF(AND(NOT(AND(AU354=1,AT354&lt;&gt;1)),ISNUMBER(AK354),AK354&lt;=(C354+T354)),AY354,0)&gt;0,IF(AND(NOT(AND(AU354=1,AT354&lt;&gt;1)),ISNUMBER(AK354),AK354&lt;=(C354+T354)),AY354,0)=MAX(IF(AND(NOT(AND(AU354=1,AT354&lt;&gt;1)),ISNUMBER(AK354),AK354&lt;=(C354+T354)),AY354,0),IF(AND(NOT(AND(AU354=1,AT354&lt;&gt;1)),ISNUMBER(AL354),AL354&lt;=(C354+T354)),AZ354,0),IF(AND(NOT(AND(AU354=1,AT354&lt;&gt;1)),ISNUMBER(AM354),AM354&lt;=(C354+T354)),BA354,0),IF(AND(NOT(AND(AU354=1,AT354&lt;&gt;1)),ISNUMBER(AN354),AN354&lt;=(C354+T354)),BB354,0),IF(AND(ISNUMBER(AO354),AO354&lt;=(C354+T354)),BC354,0))),"SK",IF(AND(IF(AND(NOT(AND(AU354=1,AT354&lt;&gt;1)),ISNUMBER(AL354),AL354&lt;=(C354+T354)),AZ354,0)&gt;0,IF(AND(NOT(AND(AU354=1,AT354&lt;&gt;1)),ISNUMBER(AL354),AL354&lt;=(C354+T354)),AZ354,0)=MAX(IF(AND(NOT(AND(AU354=1,AT354&lt;&gt;1)),ISNUMBER(AK354),AK354&lt;=(C354+T354)),AY354,0),IF(AND(NOT(AND(AU354=1,AT354&lt;&gt;1)),ISNUMBER(AL354),AL354&lt;=(C354+T354)),AZ354,0),IF(AND(NOT(AND(AU354=1,AT354&lt;&gt;1)),ISNUMBER(AM354),AM354&lt;=(C354+T354)),BA354,0),IF(AND(NOT(AND(AU354=1,AT354&lt;&gt;1)),ISNUMBER(AN354),AN354&lt;=(C354+T354)),BB354,0),IF(AND(ISNUMBER(AO354),AO354&lt;=(C354+T354)),BC354,0))),"LB",IF(AND(IF(AND(NOT(AND(AU354=1,AT354&lt;&gt;1)),ISNUMBER(AM354),AM354&lt;=(C354+T354)),BA354,0)&gt;0,IF(AND(NOT(AND(AU354=1,AT354&lt;&gt;1)),ISNUMBER(AM354),AM354&lt;=(C354+T354)),BA354,0)=MAX(IF(AND(NOT(AND(AU354=1,AT354&lt;&gt;1)),ISNUMBER(AK354),AK354&lt;=(C354+T354)),AY354,0),IF(AND(NOT(AND(AU354=1,AT354&lt;&gt;1)),ISNUMBER(AL354),AL354&lt;=(C354+T354)),AZ354,0),IF(AND(NOT(AND(AU354=1,AT354&lt;&gt;1)),ISNUMBER(AM354),AM354&lt;=(C354+T354)),BA354,0),IF(AND(NOT(AND(AU354=1,AT354&lt;&gt;1)),ISNUMBER(AN354),AN354&lt;=(C354+T354)),BB354,0),IF(AND(ISNUMBER(AO354),AO354&lt;=(C354+T354)),BC354,0))),"ML",IF(AND(IF(AND(NOT(AND(AU354=1,AT354&lt;&gt;1)),ISNUMBER(AN354),AN354&lt;=(C354+T354)),BB354,0)&gt;0,IF(AND(NOT(AND(AU354=1,AT354&lt;&gt;1)),ISNUMBER(AN354),AN354&lt;=(C354+T354)),BB354,0)=MAX(IF(AND(NOT(AND(AU354=1,AT354&lt;&gt;1)),ISNUMBER(AK354),AK354&lt;=(C354+T354)),AY354,0),IF(AND(NOT(AND(AU354=1,AT354&lt;&gt;1)),ISNUMBER(AL354),AL354&lt;=(C354+T354)),AZ354,0),IF(AND(NOT(AND(AU354=1,AT354&lt;&gt;1)),ISNUMBER(AM354),AM354&lt;=(C354+T354)),BA354,0),IF(AND(NOT(AND(AU354=1,AT354&lt;&gt;1)),ISNUMBER(AN354),AN354&lt;=(C354+T354)),BB354,0),IF(AND(ISNUMBER(AO354),AO354&lt;=(C354+T354)),BC354,0))),"RLO","BD"))))))))</f>
        <v/>
      </c>
    </row>
    <row r="355">
      <c r="A355" s="26" t="n">
        <v>344</v>
      </c>
      <c r="B355" s="27">
        <f>A355*10/60</f>
        <v/>
      </c>
      <c r="C355" s="22">
        <f>X354</f>
        <v/>
      </c>
      <c r="D355" s="27">
        <f>D354+W354</f>
        <v/>
      </c>
      <c r="E355" s="26">
        <f>E354+IF(U354="SK",1,0)</f>
        <v/>
      </c>
      <c r="F355" s="26">
        <f>F354+IF(U354="LB",1,0)</f>
        <v/>
      </c>
      <c r="G355" s="26">
        <f>G354+IF(U354="ML",1,0)</f>
        <v/>
      </c>
      <c r="H355" s="26">
        <f>H354+IF(U354="RLO",1,0)</f>
        <v/>
      </c>
      <c r="I355" s="26">
        <f>I354+IF(U354="BD",1,0)</f>
        <v/>
      </c>
      <c r="J355" s="26">
        <f>MAX(J354,IF(U354="BiP",1,0))</f>
        <v/>
      </c>
      <c r="K355" s="26">
        <f>MAX(K354,IF(U354="PV",1,0))</f>
        <v/>
      </c>
      <c r="L355" s="26">
        <f>MAX(L354,IF(U354="OC",1,0))</f>
        <v/>
      </c>
      <c r="M355" s="26">
        <f>MAX(M354,IF(U354="MG",1,0))</f>
        <v/>
      </c>
      <c r="N355" s="26">
        <f>MAX(N354,IF(U354="transition",1,0))</f>
        <v/>
      </c>
      <c r="O355" s="28">
        <f>(Parameters!$B$9+(IF(E355=0,0,(Upgrades!$J$13+E355*Upgrades!$K$13)*POWER(Upgrades!$L$13,E355)))*(IF(Upgrades!$T$14="Stellar Kinematics",POWER(Upgrades!$U$14,F355),1)*IF(Upgrades!$T$15="Stellar Kinematics",POWER(Upgrades!$U$15,G355),1)*IF(Upgrades!$T$16="Stellar Kinematics",POWER(Upgrades!$U$16,H355),1)*IF(Upgrades!$T$17="Stellar Kinematics",POWER(Upgrades!$U$17,I355),1)*IF(Upgrades!$T$18="Stellar Kinematics",POWER(Upgrades!$U$18,J355),1)*IF(Upgrades!$T$19="Stellar Kinematics",POWER(Upgrades!$U$19,K355),1)*IF(Upgrades!$T$20="Stellar Kinematics",POWER(Upgrades!$U$20,L355),1)*IF(Upgrades!$T$21="Stellar Kinematics",POWER(Upgrades!$U$21,M355),1))+(IF(F355=0,0,(Upgrades!$J$14+F355*Upgrades!$K$14)*POWER(Upgrades!$L$14,F355)))*(IF(Upgrades!$T$13="Local Bubble",POWER(Upgrades!$U$13,E355),1)*IF(Upgrades!$T$15="Local Bubble",POWER(Upgrades!$U$15,G355),1)*IF(Upgrades!$T$16="Local Bubble",POWER(Upgrades!$U$16,H355),1)*IF(Upgrades!$T$17="Local Bubble",POWER(Upgrades!$U$17,I355),1)*IF(Upgrades!$T$18="Local Bubble",POWER(Upgrades!$U$18,J355),1)*IF(Upgrades!$T$19="Local Bubble",POWER(Upgrades!$U$19,K355),1)*IF(Upgrades!$T$20="Local Bubble",POWER(Upgrades!$U$20,L355),1)*IF(Upgrades!$T$21="Local Bubble",POWER(Upgrades!$U$21,M355),1))+(IF(G355=0,0,(Upgrades!$J$15+G355*Upgrades!$K$15)*POWER(Upgrades!$L$15,G355)))*(IF(Upgrades!$T$13="Microlensing",POWER(Upgrades!$U$13,E355),1)*IF(Upgrades!$T$14="Microlensing",POWER(Upgrades!$U$14,F355),1)*IF(Upgrades!$T$16="Microlensing",POWER(Upgrades!$U$16,H355),1)*IF(Upgrades!$T$17="Microlensing",POWER(Upgrades!$U$17,I355),1)*IF(Upgrades!$T$18="Microlensing",POWER(Upgrades!$U$18,J355),1)*IF(Upgrades!$T$19="Microlensing",POWER(Upgrades!$U$19,K355),1)*IF(Upgrades!$T$20="Microlensing",POWER(Upgrades!$U$20,L355),1)*IF(Upgrades!$T$21="Microlensing",POWER(Upgrades!$U$21,M355),1))+(IF(H355=0,0,(Upgrades!$J$16+H355*Upgrades!$K$16)*POWER(Upgrades!$L$16,H355)))*(IF(Upgrades!$T$13="Roche Lobe Overflow",POWER(Upgrades!$U$13,E355),1)*IF(Upgrades!$T$14="Roche Lobe Overflow",POWER(Upgrades!$U$14,F355),1)*IF(Upgrades!$T$15="Roche Lobe Overflow",POWER(Upgrades!$U$15,G355),1)*IF(Upgrades!$T$17="Roche Lobe Overflow",POWER(Upgrades!$U$17,I355),1)*IF(Upgrades!$T$18="Roche Lobe Overflow",POWER(Upgrades!$U$18,J355),1)*IF(Upgrades!$T$19="Roche Lobe Overflow",POWER(Upgrades!$U$19,K355),1)*IF(Upgrades!$T$20="Roche Lobe Overflow",POWER(Upgrades!$U$20,L355),1)*IF(Upgrades!$T$21="Roche Lobe Overflow",POWER(Upgrades!$U$21,M355),1))+(IF(I355=0,0,(Upgrades!$J$17+I355*Upgrades!$K$17)*POWER(Upgrades!$L$17,I355)))*(IF(Upgrades!$T$13="Brown Dwarf",POWER(Upgrades!$U$13,E355),1)*IF(Upgrades!$T$14="Brown Dwarf",POWER(Upgrades!$U$14,F355),1)*IF(Upgrades!$T$15="Brown Dwarf",POWER(Upgrades!$U$15,G355),1)*IF(Upgrades!$T$16="Brown Dwarf",POWER(Upgrades!$U$16,H355),1)*IF(Upgrades!$T$18="Brown Dwarf",POWER(Upgrades!$U$18,J355),1)*IF(Upgrades!$T$19="Brown Dwarf",POWER(Upgrades!$U$19,K355),1)*IF(Upgrades!$T$20="Brown Dwarf",POWER(Upgrades!$U$20,L355),1)*IF(Upgrades!$T$21="Brown Dwarf",POWER(Upgrades!$U$21,M355),1))+(IF(J355=0,0,(Upgrades!$J$18+J355*Upgrades!$K$18)*POWER(Upgrades!$L$18,J355)))*(IF(Upgrades!$T$13="Binary Partner",POWER(Upgrades!$U$13,E355),1)*IF(Upgrades!$T$14="Binary Partner",POWER(Upgrades!$U$14,F355),1)*IF(Upgrades!$T$15="Binary Partner",POWER(Upgrades!$U$15,G355),1)*IF(Upgrades!$T$16="Binary Partner",POWER(Upgrades!$U$16,H355),1)*IF(Upgrades!$T$17="Binary Partner",POWER(Upgrades!$U$17,I355),1)*IF(Upgrades!$T$19="Binary Partner",POWER(Upgrades!$U$19,K355),1)*IF(Upgrades!$T$20="Binary Partner",POWER(Upgrades!$U$20,L355),1)*IF(Upgrades!$T$21="Binary Partner",POWER(Upgrades!$U$21,M355),1))+(IF(K355=0,0,(Upgrades!$J$19+K355*Upgrades!$K$19)*POWER(Upgrades!$L$19,K355)))*(IF(Upgrades!$T$13="Peculiar Velocity",POWER(Upgrades!$U$13,E355),1)*IF(Upgrades!$T$14="Peculiar Velocity",POWER(Upgrades!$U$14,F355),1)*IF(Upgrades!$T$15="Peculiar Velocity",POWER(Upgrades!$U$15,G355),1)*IF(Upgrades!$T$16="Peculiar Velocity",POWER(Upgrades!$U$16,H355),1)*IF(Upgrades!$T$17="Peculiar Velocity",POWER(Upgrades!$U$17,I355),1)*IF(Upgrades!$T$18="Peculiar Velocity",POWER(Upgrades!$U$18,J355),1)*IF(Upgrades!$T$20="Peculiar Velocity",POWER(Upgrades!$U$20,L355),1)*IF(Upgrades!$T$21="Peculiar Velocity",POWER(Upgrades!$U$21,M355),1))+(IF(L355=0,0,(Upgrades!$J$20+L355*Upgrades!$K$20)*POWER(Upgrades!$L$20,L355)))*(IF(Upgrades!$T$13="Open Cluster",POWER(Upgrades!$U$13,E355),1)*IF(Upgrades!$T$14="Open Cluster",POWER(Upgrades!$U$14,F355),1)*IF(Upgrades!$T$15="Open Cluster",POWER(Upgrades!$U$15,G355),1)*IF(Upgrades!$T$16="Open Cluster",POWER(Upgrades!$U$16,H355),1)*IF(Upgrades!$T$17="Open Cluster",POWER(Upgrades!$U$17,I355),1)*IF(Upgrades!$T$18="Open Cluster",POWER(Upgrades!$U$18,J355),1)*IF(Upgrades!$T$19="Open Cluster",POWER(Upgrades!$U$19,K355),1)*IF(Upgrades!$T$21="Open Cluster",POWER(Upgrades!$U$21,M355),1))+(IF(M355=0,0,(Upgrades!$J$21+M355*Upgrades!$K$21)*POWER(Upgrades!$L$21,M355)))*(IF(Upgrades!$T$13="Moving Group",POWER(Upgrades!$U$13,E355),1)*IF(Upgrades!$T$14="Moving Group",POWER(Upgrades!$U$14,F355),1)*IF(Upgrades!$T$15="Moving Group",POWER(Upgrades!$U$15,G355),1)*IF(Upgrades!$T$16="Moving Group",POWER(Upgrades!$U$16,H355),1)*IF(Upgrades!$T$17="Moving Group",POWER(Upgrades!$U$17,I355),1)*IF(Upgrades!$T$18="Moving Group",POWER(Upgrades!$U$18,J355),1)*IF(Upgrades!$T$19="Moving Group",POWER(Upgrades!$U$19,K355),1)*IF(Upgrades!$T$20="Moving Group",POWER(Upgrades!$U$20,L355),1)))*POWER(Upgrades!$Q$13,E355)*POWER(Upgrades!$Q$14,F355)*POWER(Upgrades!$Q$15,G355)*POWER(Upgrades!$Q$16,H355)*POWER(Upgrades!$Q$17,I355)*POWER(Upgrades!$Q$18,J355)*POWER(Upgrades!$Q$19,K355)*POWER(Upgrades!$Q$20,L355)*POWER(Upgrades!$Q$21,M355)*$G$6+$D$6</f>
        <v/>
      </c>
      <c r="P355" s="28">
        <f>((IF(E355=0,0,(Upgrades!$G$13+E355*Upgrades!$H$13)*POWER(Upgrades!$I$13,E355)))*(IF(Upgrades!$T$14="Stellar Kinematics",POWER(Upgrades!$U$14,F355),1)*IF(Upgrades!$T$15="Stellar Kinematics",POWER(Upgrades!$U$15,G355),1)*IF(Upgrades!$T$16="Stellar Kinematics",POWER(Upgrades!$U$16,H355),1)*IF(Upgrades!$T$17="Stellar Kinematics",POWER(Upgrades!$U$17,I355),1)*IF(Upgrades!$T$18="Stellar Kinematics",POWER(Upgrades!$U$18,J355),1)*IF(Upgrades!$T$19="Stellar Kinematics",POWER(Upgrades!$U$19,K355),1)*IF(Upgrades!$T$20="Stellar Kinematics",POWER(Upgrades!$U$20,L355),1)*IF(Upgrades!$T$21="Stellar Kinematics",POWER(Upgrades!$U$21,M355),1))+(IF(F355=0,0,(Upgrades!$G$14+F355*Upgrades!$H$14)*POWER(Upgrades!$I$14,F355)))*(IF(Upgrades!$T$13="Local Bubble",POWER(Upgrades!$U$13,E355),1)*IF(Upgrades!$T$15="Local Bubble",POWER(Upgrades!$U$15,G355),1)*IF(Upgrades!$T$16="Local Bubble",POWER(Upgrades!$U$16,H355),1)*IF(Upgrades!$T$17="Local Bubble",POWER(Upgrades!$U$17,I355),1)*IF(Upgrades!$T$18="Local Bubble",POWER(Upgrades!$U$18,J355),1)*IF(Upgrades!$T$19="Local Bubble",POWER(Upgrades!$U$19,K355),1)*IF(Upgrades!$T$20="Local Bubble",POWER(Upgrades!$U$20,L355),1)*IF(Upgrades!$T$21="Local Bubble",POWER(Upgrades!$U$21,M355),1))+(IF(G355=0,0,(Upgrades!$G$15+G355*Upgrades!$H$15)*POWER(Upgrades!$I$15,G355)))*(IF(Upgrades!$T$13="Microlensing",POWER(Upgrades!$U$13,E355),1)*IF(Upgrades!$T$14="Microlensing",POWER(Upgrades!$U$14,F355),1)*IF(Upgrades!$T$16="Microlensing",POWER(Upgrades!$U$16,H355),1)*IF(Upgrades!$T$17="Microlensing",POWER(Upgrades!$U$17,I355),1)*IF(Upgrades!$T$18="Microlensing",POWER(Upgrades!$U$18,J355),1)*IF(Upgrades!$T$19="Microlensing",POWER(Upgrades!$U$19,K355),1)*IF(Upgrades!$T$20="Microlensing",POWER(Upgrades!$U$20,L355),1)*IF(Upgrades!$T$21="Microlensing",POWER(Upgrades!$U$21,M355),1))+(IF(H355=0,0,(Upgrades!$G$16+H355*Upgrades!$H$16)*POWER(Upgrades!$I$16,H355)))*(IF(Upgrades!$T$13="Roche Lobe Overflow",POWER(Upgrades!$U$13,E355),1)*IF(Upgrades!$T$14="Roche Lobe Overflow",POWER(Upgrades!$U$14,F355),1)*IF(Upgrades!$T$15="Roche Lobe Overflow",POWER(Upgrades!$U$15,G355),1)*IF(Upgrades!$T$17="Roche Lobe Overflow",POWER(Upgrades!$U$17,I355),1)*IF(Upgrades!$T$18="Roche Lobe Overflow",POWER(Upgrades!$U$18,J355),1)*IF(Upgrades!$T$19="Roche Lobe Overflow",POWER(Upgrades!$U$19,K355),1)*IF(Upgrades!$T$20="Roche Lobe Overflow",POWER(Upgrades!$U$20,L355),1)*IF(Upgrades!$T$21="Roche Lobe Overflow",POWER(Upgrades!$U$21,M355),1))+(IF(I355=0,0,(Upgrades!$G$17+I355*Upgrades!$H$17)*POWER(Upgrades!$I$17,I355)))*(IF(Upgrades!$T$13="Brown Dwarf",POWER(Upgrades!$U$13,E355),1)*IF(Upgrades!$T$14="Brown Dwarf",POWER(Upgrades!$U$14,F355),1)*IF(Upgrades!$T$15="Brown Dwarf",POWER(Upgrades!$U$15,G355),1)*IF(Upgrades!$T$16="Brown Dwarf",POWER(Upgrades!$U$16,H355),1)*IF(Upgrades!$T$18="Brown Dwarf",POWER(Upgrades!$U$18,J355),1)*IF(Upgrades!$T$19="Brown Dwarf",POWER(Upgrades!$U$19,K355),1)*IF(Upgrades!$T$20="Brown Dwarf",POWER(Upgrades!$U$20,L355),1)*IF(Upgrades!$T$21="Brown Dwarf",POWER(Upgrades!$U$21,M355),1))+(IF(J355=0,0,(Upgrades!$G$18+J355*Upgrades!$H$18)*POWER(Upgrades!$I$18,J355)))*(IF(Upgrades!$T$13="Binary Partner",POWER(Upgrades!$U$13,E355),1)*IF(Upgrades!$T$14="Binary Partner",POWER(Upgrades!$U$14,F355),1)*IF(Upgrades!$T$15="Binary Partner",POWER(Upgrades!$U$15,G355),1)*IF(Upgrades!$T$16="Binary Partner",POWER(Upgrades!$U$16,H355),1)*IF(Upgrades!$T$17="Binary Partner",POWER(Upgrades!$U$17,I355),1)*IF(Upgrades!$T$19="Binary Partner",POWER(Upgrades!$U$19,K355),1)*IF(Upgrades!$T$20="Binary Partner",POWER(Upgrades!$U$20,L355),1)*IF(Upgrades!$T$21="Binary Partner",POWER(Upgrades!$U$21,M355),1))+(IF(K355=0,0,(Upgrades!$G$19+K355*Upgrades!$H$19)*POWER(Upgrades!$I$19,K355)))*(IF(Upgrades!$T$13="Peculiar Velocity",POWER(Upgrades!$U$13,E355),1)*IF(Upgrades!$T$14="Peculiar Velocity",POWER(Upgrades!$U$14,F355),1)*IF(Upgrades!$T$15="Peculiar Velocity",POWER(Upgrades!$U$15,G355),1)*IF(Upgrades!$T$16="Peculiar Velocity",POWER(Upgrades!$U$16,H355),1)*IF(Upgrades!$T$17="Peculiar Velocity",POWER(Upgrades!$U$17,I355),1)*IF(Upgrades!$T$18="Peculiar Velocity",POWER(Upgrades!$U$18,J355),1)*IF(Upgrades!$T$20="Peculiar Velocity",POWER(Upgrades!$U$20,L355),1)*IF(Upgrades!$T$21="Peculiar Velocity",POWER(Upgrades!$U$21,M355),1))+(IF(L355=0,0,(Upgrades!$G$20+L355*Upgrades!$H$20)*POWER(Upgrades!$I$20,L355)))*(IF(Upgrades!$T$13="Open Cluster",POWER(Upgrades!$U$13,E355),1)*IF(Upgrades!$T$14="Open Cluster",POWER(Upgrades!$U$14,F355),1)*IF(Upgrades!$T$15="Open Cluster",POWER(Upgrades!$U$15,G355),1)*IF(Upgrades!$T$16="Open Cluster",POWER(Upgrades!$U$16,H355),1)*IF(Upgrades!$T$17="Open Cluster",POWER(Upgrades!$U$17,I355),1)*IF(Upgrades!$T$18="Open Cluster",POWER(Upgrades!$U$18,J355),1)*IF(Upgrades!$T$19="Open Cluster",POWER(Upgrades!$U$19,K355),1)*IF(Upgrades!$T$21="Open Cluster",POWER(Upgrades!$U$21,M355),1))+(IF(M355=0,0,(Upgrades!$G$21+M355*Upgrades!$H$21)*POWER(Upgrades!$I$21,M355)))*(IF(Upgrades!$T$13="Moving Group",POWER(Upgrades!$U$13,E355),1)*IF(Upgrades!$T$14="Moving Group",POWER(Upgrades!$U$14,F355),1)*IF(Upgrades!$T$15="Moving Group",POWER(Upgrades!$U$15,G355),1)*IF(Upgrades!$T$16="Moving Group",POWER(Upgrades!$U$16,H355),1)*IF(Upgrades!$T$17="Moving Group",POWER(Upgrades!$U$17,I355),1)*IF(Upgrades!$T$18="Moving Group",POWER(Upgrades!$U$18,J355),1)*IF(Upgrades!$T$19="Moving Group",POWER(Upgrades!$U$19,K355),1)*IF(Upgrades!$T$20="Moving Group",POWER(Upgrades!$U$20,L355),1)))*POWER(Upgrades!$P$13,E355)*POWER(Upgrades!$P$14,F355)*POWER(Upgrades!$P$15,G355)*POWER(Upgrades!$P$16,H355)*POWER(Upgrades!$P$17,I355)*POWER(Upgrades!$P$18,J355)*POWER(Upgrades!$P$19,K355)*POWER(Upgrades!$P$20,L355)*POWER(Upgrades!$P$21,M355)*$F$6+$C$6</f>
        <v/>
      </c>
      <c r="Q355" s="28">
        <f>((IF(E355=0,0,(Upgrades!$M$13+E355*Upgrades!$N$13)*POWER(Upgrades!$O$13,E355)))*(IF(Upgrades!$T$14="Stellar Kinematics",POWER(Upgrades!$U$14,F355),1)*IF(Upgrades!$T$15="Stellar Kinematics",POWER(Upgrades!$U$15,G355),1)*IF(Upgrades!$T$16="Stellar Kinematics",POWER(Upgrades!$U$16,H355),1)*IF(Upgrades!$T$17="Stellar Kinematics",POWER(Upgrades!$U$17,I355),1)*IF(Upgrades!$T$18="Stellar Kinematics",POWER(Upgrades!$U$18,J355),1)*IF(Upgrades!$T$19="Stellar Kinematics",POWER(Upgrades!$U$19,K355),1)*IF(Upgrades!$T$20="Stellar Kinematics",POWER(Upgrades!$U$20,L355),1)*IF(Upgrades!$T$21="Stellar Kinematics",POWER(Upgrades!$U$21,M355),1))+(IF(F355=0,0,(Upgrades!$M$14+F355*Upgrades!$N$14)*POWER(Upgrades!$O$14,F355)))*(IF(Upgrades!$T$13="Local Bubble",POWER(Upgrades!$U$13,E355),1)*IF(Upgrades!$T$15="Local Bubble",POWER(Upgrades!$U$15,G355),1)*IF(Upgrades!$T$16="Local Bubble",POWER(Upgrades!$U$16,H355),1)*IF(Upgrades!$T$17="Local Bubble",POWER(Upgrades!$U$17,I355),1)*IF(Upgrades!$T$18="Local Bubble",POWER(Upgrades!$U$18,J355),1)*IF(Upgrades!$T$19="Local Bubble",POWER(Upgrades!$U$19,K355),1)*IF(Upgrades!$T$20="Local Bubble",POWER(Upgrades!$U$20,L355),1)*IF(Upgrades!$T$21="Local Bubble",POWER(Upgrades!$U$21,M355),1))+(IF(G355=0,0,(Upgrades!$M$15+G355*Upgrades!$N$15)*POWER(Upgrades!$O$15,G355)))*(IF(Upgrades!$T$13="Microlensing",POWER(Upgrades!$U$13,E355),1)*IF(Upgrades!$T$14="Microlensing",POWER(Upgrades!$U$14,F355),1)*IF(Upgrades!$T$16="Microlensing",POWER(Upgrades!$U$16,H355),1)*IF(Upgrades!$T$17="Microlensing",POWER(Upgrades!$U$17,I355),1)*IF(Upgrades!$T$18="Microlensing",POWER(Upgrades!$U$18,J355),1)*IF(Upgrades!$T$19="Microlensing",POWER(Upgrades!$U$19,K355),1)*IF(Upgrades!$T$20="Microlensing",POWER(Upgrades!$U$20,L355),1)*IF(Upgrades!$T$21="Microlensing",POWER(Upgrades!$U$21,M355),1))+(IF(H355=0,0,(Upgrades!$M$16+H355*Upgrades!$N$16)*POWER(Upgrades!$O$16,H355)))*(IF(Upgrades!$T$13="Roche Lobe Overflow",POWER(Upgrades!$U$13,E355),1)*IF(Upgrades!$T$14="Roche Lobe Overflow",POWER(Upgrades!$U$14,F355),1)*IF(Upgrades!$T$15="Roche Lobe Overflow",POWER(Upgrades!$U$15,G355),1)*IF(Upgrades!$T$17="Roche Lobe Overflow",POWER(Upgrades!$U$17,I355),1)*IF(Upgrades!$T$18="Roche Lobe Overflow",POWER(Upgrades!$U$18,J355),1)*IF(Upgrades!$T$19="Roche Lobe Overflow",POWER(Upgrades!$U$19,K355),1)*IF(Upgrades!$T$20="Roche Lobe Overflow",POWER(Upgrades!$U$20,L355),1)*IF(Upgrades!$T$21="Roche Lobe Overflow",POWER(Upgrades!$U$21,M355),1))+(IF(I355=0,0,(Upgrades!$M$17+I355*Upgrades!$N$17)*POWER(Upgrades!$O$17,I355)))*(IF(Upgrades!$T$13="Brown Dwarf",POWER(Upgrades!$U$13,E355),1)*IF(Upgrades!$T$14="Brown Dwarf",POWER(Upgrades!$U$14,F355),1)*IF(Upgrades!$T$15="Brown Dwarf",POWER(Upgrades!$U$15,G355),1)*IF(Upgrades!$T$16="Brown Dwarf",POWER(Upgrades!$U$16,H355),1)*IF(Upgrades!$T$18="Brown Dwarf",POWER(Upgrades!$U$18,J355),1)*IF(Upgrades!$T$19="Brown Dwarf",POWER(Upgrades!$U$19,K355),1)*IF(Upgrades!$T$20="Brown Dwarf",POWER(Upgrades!$U$20,L355),1)*IF(Upgrades!$T$21="Brown Dwarf",POWER(Upgrades!$U$21,M355),1))+(IF(J355=0,0,(Upgrades!$M$18+J355*Upgrades!$N$18)*POWER(Upgrades!$O$18,J355)))*(IF(Upgrades!$T$13="Binary Partner",POWER(Upgrades!$U$13,E355),1)*IF(Upgrades!$T$14="Binary Partner",POWER(Upgrades!$U$14,F355),1)*IF(Upgrades!$T$15="Binary Partner",POWER(Upgrades!$U$15,G355),1)*IF(Upgrades!$T$16="Binary Partner",POWER(Upgrades!$U$16,H355),1)*IF(Upgrades!$T$17="Binary Partner",POWER(Upgrades!$U$17,I355),1)*IF(Upgrades!$T$19="Binary Partner",POWER(Upgrades!$U$19,K355),1)*IF(Upgrades!$T$20="Binary Partner",POWER(Upgrades!$U$20,L355),1)*IF(Upgrades!$T$21="Binary Partner",POWER(Upgrades!$U$21,M355),1))+(IF(K355=0,0,(Upgrades!$M$19+K355*Upgrades!$N$19)*POWER(Upgrades!$O$19,K355)))*(IF(Upgrades!$T$13="Peculiar Velocity",POWER(Upgrades!$U$13,E355),1)*IF(Upgrades!$T$14="Peculiar Velocity",POWER(Upgrades!$U$14,F355),1)*IF(Upgrades!$T$15="Peculiar Velocity",POWER(Upgrades!$U$15,G355),1)*IF(Upgrades!$T$16="Peculiar Velocity",POWER(Upgrades!$U$16,H355),1)*IF(Upgrades!$T$17="Peculiar Velocity",POWER(Upgrades!$U$17,I355),1)*IF(Upgrades!$T$18="Peculiar Velocity",POWER(Upgrades!$U$18,J355),1)*IF(Upgrades!$T$20="Peculiar Velocity",POWER(Upgrades!$U$20,L355),1)*IF(Upgrades!$T$21="Peculiar Velocity",POWER(Upgrades!$U$21,M355),1))+(IF(L355=0,0,(Upgrades!$M$20+L355*Upgrades!$N$20)*POWER(Upgrades!$O$20,L355)))*(IF(Upgrades!$T$13="Open Cluster",POWER(Upgrades!$U$13,E355),1)*IF(Upgrades!$T$14="Open Cluster",POWER(Upgrades!$U$14,F355),1)*IF(Upgrades!$T$15="Open Cluster",POWER(Upgrades!$U$15,G355),1)*IF(Upgrades!$T$16="Open Cluster",POWER(Upgrades!$U$16,H355),1)*IF(Upgrades!$T$17="Open Cluster",POWER(Upgrades!$U$17,I355),1)*IF(Upgrades!$T$18="Open Cluster",POWER(Upgrades!$U$18,J355),1)*IF(Upgrades!$T$19="Open Cluster",POWER(Upgrades!$U$19,K355),1)*IF(Upgrades!$T$21="Open Cluster",POWER(Upgrades!$U$21,M355),1))+(IF(M355=0,0,(Upgrades!$M$21+M355*Upgrades!$N$21)*POWER(Upgrades!$O$21,M355)))*(IF(Upgrades!$T$13="Moving Group",POWER(Upgrades!$U$13,E355),1)*IF(Upgrades!$T$14="Moving Group",POWER(Upgrades!$U$14,F355),1)*IF(Upgrades!$T$15="Moving Group",POWER(Upgrades!$U$15,G355),1)*IF(Upgrades!$T$16="Moving Group",POWER(Upgrades!$U$16,H355),1)*IF(Upgrades!$T$17="Moving Group",POWER(Upgrades!$U$17,I355),1)*IF(Upgrades!$T$18="Moving Group",POWER(Upgrades!$U$18,J355),1)*IF(Upgrades!$T$19="Moving Group",POWER(Upgrades!$U$19,K355),1)*IF(Upgrades!$T$20="Moving Group",POWER(Upgrades!$U$20,L355),1)))*POWER(Upgrades!$R$13,E355)*POWER(Upgrades!$R$14,F355)*POWER(Upgrades!$R$15,G355)*POWER(Upgrades!$R$16,H355)*POWER(Upgrades!$R$17,I355)*POWER(Upgrades!$R$18,J355)*POWER(Upgrades!$R$19,K355)*POWER(Upgrades!$R$20,L355)*POWER(Upgrades!$R$21,M355)*$H$6+$E$6</f>
        <v/>
      </c>
      <c r="R355" s="27">
        <f>IF(N355=1,0,O355*Parameters!$B$10/60*Parameters!$B$11*10)</f>
        <v/>
      </c>
      <c r="S355" s="27">
        <f>IF(N355=1,0,Q355*O355*10)</f>
        <v/>
      </c>
      <c r="T355" s="27">
        <f>IF(N355=1,0,R355+S355+P355*10)</f>
        <v/>
      </c>
      <c r="U355" s="33">
        <f>BE355</f>
        <v/>
      </c>
      <c r="V355" s="22">
        <f>IF(U355="",0,IF(U355="transition",0,IF(U355="SK",AK355,IF(U355="LB",AL355,IF(U355="ML",AM355,IF(U355="RLO",AN355,IF(U355="BD",AO355,IF(U355="BiP",AP355,IF(U355="PV",AQ355,IF(U355="OC",AR355,IF(U355="MG",AS355,0))))))))))</f>
        <v/>
      </c>
      <c r="W355" s="27">
        <f>IF(U355="BiP",Upgrades!$F$18,IF(U355="PV",Upgrades!$F$19,IF(U355="OC",Upgrades!$F$20,IF(U355="MG",Upgrades!$F$21,IF(U355="transition",-Parameters!$B$18*Parameters!$B$19,0)))))</f>
        <v/>
      </c>
      <c r="X355" s="22">
        <f>C355+T355-V355</f>
        <v/>
      </c>
      <c r="Y355" s="30">
        <f>O355*Parameters!$B$10/60*Parameters!$B$11+Q355*O355+P355</f>
        <v/>
      </c>
      <c r="Z355" s="34">
        <f>IF(U355="transition","→ Tier 3 (Galactic Arm)",IF(U355="MG","Moving Group — pocket drifts together",IF(U355="OC","Open Cluster acquired",IF(U355="PV","Peculiar Velocity — passive multiplier active",IF(U355="BiP","Binary Partner — pair bond formed",IF(AND(AU355=1,N355=0,AT355&lt;&gt;1),"Cohesion ready (waiting on completionists)","")))))) </f>
        <v/>
      </c>
      <c r="AA355" s="27">
        <f>(IF(E355=0,0,(Upgrades!$G$13+E355*Upgrades!$H$13)*POWER(Upgrades!$I$13,E355)))*(IF(Upgrades!$T$14="Stellar Kinematics",POWER(Upgrades!$U$14,F355),1)*IF(Upgrades!$T$15="Stellar Kinematics",POWER(Upgrades!$U$15,G355),1)*IF(Upgrades!$T$16="Stellar Kinematics",POWER(Upgrades!$U$16,H355),1)*IF(Upgrades!$T$17="Stellar Kinematics",POWER(Upgrades!$U$17,I355),1)*IF(Upgrades!$T$18="Stellar Kinematics",POWER(Upgrades!$U$18,J355),1)*IF(Upgrades!$T$19="Stellar Kinematics",POWER(Upgrades!$U$19,K355),1)*IF(Upgrades!$T$20="Stellar Kinematics",POWER(Upgrades!$U$20,L355),1)*IF(Upgrades!$T$21="Stellar Kinematics",POWER(Upgrades!$U$21,M355),1))*POWER(Upgrades!$P$13,E355)*POWER(Upgrades!$P$14,F355)*POWER(Upgrades!$P$15,G355)*POWER(Upgrades!$P$16,H355)*POWER(Upgrades!$P$17,I355)*POWER(Upgrades!$P$18,J355)*POWER(Upgrades!$P$19,K355)*POWER(Upgrades!$P$20,L355)*POWER(Upgrades!$P$21,M355)*$F$6*60</f>
        <v/>
      </c>
      <c r="AB355" s="27">
        <f>(IF(F355=0,0,(Upgrades!$G$14+F355*Upgrades!$H$14)*POWER(Upgrades!$I$14,F355)))*(IF(Upgrades!$T$13="Local Bubble",POWER(Upgrades!$U$13,E355),1)*IF(Upgrades!$T$15="Local Bubble",POWER(Upgrades!$U$15,G355),1)*IF(Upgrades!$T$16="Local Bubble",POWER(Upgrades!$U$16,H355),1)*IF(Upgrades!$T$17="Local Bubble",POWER(Upgrades!$U$17,I355),1)*IF(Upgrades!$T$18="Local Bubble",POWER(Upgrades!$U$18,J355),1)*IF(Upgrades!$T$19="Local Bubble",POWER(Upgrades!$U$19,K355),1)*IF(Upgrades!$T$20="Local Bubble",POWER(Upgrades!$U$20,L355),1)*IF(Upgrades!$T$21="Local Bubble",POWER(Upgrades!$U$21,M355),1))*POWER(Upgrades!$P$13,E355)*POWER(Upgrades!$P$14,F355)*POWER(Upgrades!$P$15,G355)*POWER(Upgrades!$P$16,H355)*POWER(Upgrades!$P$17,I355)*POWER(Upgrades!$P$18,J355)*POWER(Upgrades!$P$19,K355)*POWER(Upgrades!$P$20,L355)*POWER(Upgrades!$P$21,M355)*$F$6*60</f>
        <v/>
      </c>
      <c r="AC355" s="27">
        <f>(IF(G355=0,0,(Upgrades!$J$15+G355*Upgrades!$K$15)*POWER(Upgrades!$L$15,G355)))*(IF(Upgrades!$T$13="Microlensing",POWER(Upgrades!$U$13,E355),1)*IF(Upgrades!$T$14="Microlensing",POWER(Upgrades!$U$14,F355),1)*IF(Upgrades!$T$16="Microlensing",POWER(Upgrades!$U$16,H355),1)*IF(Upgrades!$T$17="Microlensing",POWER(Upgrades!$U$17,I355),1)*IF(Upgrades!$T$18="Microlensing",POWER(Upgrades!$U$18,J355),1)*IF(Upgrades!$T$19="Microlensing",POWER(Upgrades!$U$19,K355),1)*IF(Upgrades!$T$20="Microlensing",POWER(Upgrades!$U$20,L355),1)*IF(Upgrades!$T$21="Microlensing",POWER(Upgrades!$U$21,M355),1))*POWER(Upgrades!$Q$13,E355)*POWER(Upgrades!$Q$14,F355)*POWER(Upgrades!$Q$15,G355)*POWER(Upgrades!$Q$16,H355)*POWER(Upgrades!$Q$17,I355)*POWER(Upgrades!$Q$18,J355)*POWER(Upgrades!$Q$19,K355)*POWER(Upgrades!$Q$20,L355)*POWER(Upgrades!$Q$21,M355)*$G$6*(Parameters!$B$10*Parameters!$B$11+Q355*60)</f>
        <v/>
      </c>
      <c r="AD355" s="27">
        <f>(IF(H355=0,0,(Upgrades!$M$16+H355*Upgrades!$N$16)*POWER(Upgrades!$O$16,H355)))*(IF(Upgrades!$T$13="Roche Lobe Overflow",POWER(Upgrades!$U$13,E355),1)*IF(Upgrades!$T$14="Roche Lobe Overflow",POWER(Upgrades!$U$14,F355),1)*IF(Upgrades!$T$15="Roche Lobe Overflow",POWER(Upgrades!$U$15,G355),1)*IF(Upgrades!$T$17="Roche Lobe Overflow",POWER(Upgrades!$U$17,I355),1)*IF(Upgrades!$T$18="Roche Lobe Overflow",POWER(Upgrades!$U$18,J355),1)*IF(Upgrades!$T$19="Roche Lobe Overflow",POWER(Upgrades!$U$19,K355),1)*IF(Upgrades!$T$20="Roche Lobe Overflow",POWER(Upgrades!$U$20,L355),1)*IF(Upgrades!$T$21="Roche Lobe Overflow",POWER(Upgrades!$U$21,M355),1))*POWER(Upgrades!$R$13,E355)*POWER(Upgrades!$R$14,F355)*POWER(Upgrades!$R$15,G355)*POWER(Upgrades!$R$16,H355)*POWER(Upgrades!$R$17,I355)*POWER(Upgrades!$R$18,J355)*POWER(Upgrades!$R$19,K355)*POWER(Upgrades!$R$20,L355)*POWER(Upgrades!$R$21,M355)*$H$6*O355*60</f>
        <v/>
      </c>
      <c r="AE355" s="27">
        <f>(IF(I355=0,0,(Upgrades!$G$17+I355*Upgrades!$H$17)*POWER(Upgrades!$I$17,I355)))*(IF(Upgrades!$T$13="Brown Dwarf",POWER(Upgrades!$U$13,E355),1)*IF(Upgrades!$T$14="Brown Dwarf",POWER(Upgrades!$U$14,F355),1)*IF(Upgrades!$T$15="Brown Dwarf",POWER(Upgrades!$U$15,G355),1)*IF(Upgrades!$T$16="Brown Dwarf",POWER(Upgrades!$U$16,H355),1)*IF(Upgrades!$T$18="Brown Dwarf",POWER(Upgrades!$U$18,J355),1)*IF(Upgrades!$T$19="Brown Dwarf",POWER(Upgrades!$U$19,K355),1)*IF(Upgrades!$T$20="Brown Dwarf",POWER(Upgrades!$U$20,L355),1)*IF(Upgrades!$T$21="Brown Dwarf",POWER(Upgrades!$U$21,M355),1))*POWER(Upgrades!$P$13,E355)*POWER(Upgrades!$P$14,F355)*POWER(Upgrades!$P$15,G355)*POWER(Upgrades!$P$16,H355)*POWER(Upgrades!$P$17,I355)*POWER(Upgrades!$P$18,J355)*POWER(Upgrades!$P$19,K355)*POWER(Upgrades!$P$20,L355)*POWER(Upgrades!$P$21,M355)*$F$6*60</f>
        <v/>
      </c>
      <c r="AF355" s="27" t="n">
        <v>0</v>
      </c>
      <c r="AG355" s="27" t="n">
        <v>0</v>
      </c>
      <c r="AH355" s="27" t="n">
        <v>0</v>
      </c>
      <c r="AI355" s="27">
        <f>(IF(M355=0,0,(Upgrades!$G$21+M355*Upgrades!$H$21)*POWER(Upgrades!$I$21,M355)))*(IF(Upgrades!$T$13="Moving Group",POWER(Upgrades!$U$13,E355),1)*IF(Upgrades!$T$14="Moving Group",POWER(Upgrades!$U$14,F355),1)*IF(Upgrades!$T$15="Moving Group",POWER(Upgrades!$U$15,G355),1)*IF(Upgrades!$T$16="Moving Group",POWER(Upgrades!$U$16,H355),1)*IF(Upgrades!$T$17="Moving Group",POWER(Upgrades!$U$17,I355),1)*IF(Upgrades!$T$18="Moving Group",POWER(Upgrades!$U$18,J355),1)*IF(Upgrades!$T$19="Moving Group",POWER(Upgrades!$U$19,K355),1)*IF(Upgrades!$T$20="Moving Group",POWER(Upgrades!$U$20,L355),1))*POWER(Upgrades!$P$13,E355)*POWER(Upgrades!$P$14,F355)*POWER(Upgrades!$P$15,G355)*POWER(Upgrades!$P$16,H355)*POWER(Upgrades!$P$17,I355)*POWER(Upgrades!$P$18,J355)*POWER(Upgrades!$P$19,K355)*POWER(Upgrades!$P$20,L355)*POWER(Upgrades!$P$21,M355)*$F$6*60</f>
        <v/>
      </c>
      <c r="AJ355" s="27">
        <f>$C$6*60</f>
        <v/>
      </c>
      <c r="AK355" s="22">
        <f>IF(E355&gt;=Upgrades!$E$13,"",Upgrades!$C$13*POWER(Upgrades!$D$13,E355))</f>
        <v/>
      </c>
      <c r="AL355" s="22">
        <f>IF(F355&gt;=Upgrades!$E$14,"",Upgrades!$C$14*POWER(Upgrades!$D$14,F355))</f>
        <v/>
      </c>
      <c r="AM355" s="22">
        <f>IF(G355&gt;=Upgrades!$E$15,"",Upgrades!$C$15*POWER(Upgrades!$D$15,G355))</f>
        <v/>
      </c>
      <c r="AN355" s="22">
        <f>IF(H355&gt;=Upgrades!$E$16,"",Upgrades!$C$16*POWER(Upgrades!$D$16,H355))</f>
        <v/>
      </c>
      <c r="AO355" s="22">
        <f>IF(I355&gt;=Upgrades!$E$17,"",Upgrades!$C$17*POWER(Upgrades!$D$17,I355))</f>
        <v/>
      </c>
      <c r="AP355" s="22">
        <f>IF(J355&gt;=Upgrades!$E$18,"",Upgrades!$C$18*POWER(Upgrades!$D$18,J355))</f>
        <v/>
      </c>
      <c r="AQ355" s="22">
        <f>IF(K355&gt;=Upgrades!$E$19,"",Upgrades!$C$19*POWER(Upgrades!$D$19,K355))</f>
        <v/>
      </c>
      <c r="AR355" s="22">
        <f>IF(L355&gt;=Upgrades!$E$20,"",Upgrades!$C$20*POWER(Upgrades!$D$20,L355))</f>
        <v/>
      </c>
      <c r="AS355" s="22">
        <f>IF(M355&gt;=Upgrades!$E$21,"",Upgrades!$C$21*POWER(Upgrades!$D$21,M355))</f>
        <v/>
      </c>
      <c r="AT355" s="26">
        <f>IF(AND(D355&gt;=Parameters!$B$18*Parameters!$B$19,(I355&gt;=Upgrades!$E$17)*(M355&gt;=Upgrades!$E$21)=1,N355=0),1,"")</f>
        <v/>
      </c>
      <c r="AU355" s="26">
        <f>IF(AND(D355&gt;=Parameters!$B$18*Parameters!$B$19,N355=0),1,"")</f>
        <v/>
      </c>
      <c r="AV355" s="22">
        <f>MIN(IF(ISNUMBER(AP355),AP355,9E15),IF(ISNUMBER(AQ355),AQ355,9E15),IF(ISNUMBER(AR355),AR355,9E15),IF(ISNUMBER(AS355),AS355,9E15))</f>
        <v/>
      </c>
      <c r="AW355" s="22">
        <f>MIN(IF(ISNUMBER(AK355),AK355,9E15),IF(ISNUMBER(AL355),AL355,9E15),IF(ISNUMBER(AM355),AM355,9E15),IF(ISNUMBER(AN355),AN355,9E15),IF(ISNUMBER(AO355),AO355,9E15))</f>
        <v/>
      </c>
      <c r="AX355" s="29">
        <f>IF(BD355&gt;Parameters!$B$21*(MAX(IF(AND(NOT(AND(AU355=1,AT355&lt;&gt;1)),ISNUMBER(AK355),AK355&lt;=(C355+T355)),AY355,0),IF(AND(NOT(AND(AU355=1,AT355&lt;&gt;1)),ISNUMBER(AL355),AL355&lt;=(C355+T355)),AZ355,0),IF(AND(NOT(AND(AU355=1,AT355&lt;&gt;1)),ISNUMBER(AM355),AM355&lt;=(C355+T355)),BA355,0),IF(AND(NOT(AND(AU355=1,AT355&lt;&gt;1)),ISNUMBER(AN355),AN355&lt;=(C355+T355)),BB355,0),IF(AND(ISNUMBER(AO355),AO355&lt;=(C355+T355)),BC355,0))),TRUE,FALSE)</f>
        <v/>
      </c>
      <c r="AY355" s="32">
        <f>IFERROR(Upgrades!$H$13*(POWER(Upgrades!$P$13,E355)*POWER(Upgrades!$P$14,F355)*POWER(Upgrades!$P$15,G355)*POWER(Upgrades!$P$16,H355)*POWER(Upgrades!$P$17,I355)*POWER(Upgrades!$P$18,J355)*POWER(Upgrades!$P$19,K355)*POWER(Upgrades!$P$20,L355)*POWER(Upgrades!$P$21,M355))*(IF(Upgrades!$T$14="Stellar Kinematics",POWER(Upgrades!$U$14,F355),1)*IF(Upgrades!$T$15="Stellar Kinematics",POWER(Upgrades!$U$15,G355),1)*IF(Upgrades!$T$16="Stellar Kinematics",POWER(Upgrades!$U$16,H355),1)*IF(Upgrades!$T$17="Stellar Kinematics",POWER(Upgrades!$U$17,I355),1)*IF(Upgrades!$T$18="Stellar Kinematics",POWER(Upgrades!$U$18,J355),1)*IF(Upgrades!$T$19="Stellar Kinematics",POWER(Upgrades!$U$19,K355),1)*IF(Upgrades!$T$20="Stellar Kinematics",POWER(Upgrades!$U$20,L355),1)*IF(Upgrades!$T$21="Stellar Kinematics",POWER(Upgrades!$U$21,M355),1))*$F$6/AK355,0)</f>
        <v/>
      </c>
      <c r="AZ355" s="32">
        <f>IFERROR(Upgrades!$H$14*(POWER(Upgrades!$P$13,E355)*POWER(Upgrades!$P$14,F355)*POWER(Upgrades!$P$15,G355)*POWER(Upgrades!$P$16,H355)*POWER(Upgrades!$P$17,I355)*POWER(Upgrades!$P$18,J355)*POWER(Upgrades!$P$19,K355)*POWER(Upgrades!$P$20,L355)*POWER(Upgrades!$P$21,M355))*(IF(Upgrades!$T$13="Local Bubble",POWER(Upgrades!$U$13,E355),1)*IF(Upgrades!$T$15="Local Bubble",POWER(Upgrades!$U$15,G355),1)*IF(Upgrades!$T$16="Local Bubble",POWER(Upgrades!$U$16,H355),1)*IF(Upgrades!$T$17="Local Bubble",POWER(Upgrades!$U$17,I355),1)*IF(Upgrades!$T$18="Local Bubble",POWER(Upgrades!$U$18,J355),1)*IF(Upgrades!$T$19="Local Bubble",POWER(Upgrades!$U$19,K355),1)*IF(Upgrades!$T$20="Local Bubble",POWER(Upgrades!$U$20,L355),1)*IF(Upgrades!$T$21="Local Bubble",POWER(Upgrades!$U$21,M355),1))*$F$6/AL355,0)</f>
        <v/>
      </c>
      <c r="BA355" s="32">
        <f>IFERROR(Upgrades!$K$15*(POWER(Upgrades!$Q$13,E355)*POWER(Upgrades!$Q$14,F355)*POWER(Upgrades!$Q$15,G355)*POWER(Upgrades!$Q$16,H355)*POWER(Upgrades!$Q$17,I355)*POWER(Upgrades!$Q$18,J355)*POWER(Upgrades!$Q$19,K355)*POWER(Upgrades!$Q$20,L355)*POWER(Upgrades!$Q$21,M355))*(IF(Upgrades!$T$13="Microlensing",POWER(Upgrades!$U$13,E355),1)*IF(Upgrades!$T$14="Microlensing",POWER(Upgrades!$U$14,F355),1)*IF(Upgrades!$T$16="Microlensing",POWER(Upgrades!$U$16,H355),1)*IF(Upgrades!$T$17="Microlensing",POWER(Upgrades!$U$17,I355),1)*IF(Upgrades!$T$18="Microlensing",POWER(Upgrades!$U$18,J355),1)*IF(Upgrades!$T$19="Microlensing",POWER(Upgrades!$U$19,K355),1)*IF(Upgrades!$T$20="Microlensing",POWER(Upgrades!$U$20,L355),1)*IF(Upgrades!$T$21="Microlensing",POWER(Upgrades!$U$21,M355),1))*$G$6*(Parameters!$B$10/60*Parameters!$B$11+Q355)/AM355,0)</f>
        <v/>
      </c>
      <c r="BB355" s="32">
        <f>IFERROR((Upgrades!$N$16*(POWER(Upgrades!$R$13,E355)*POWER(Upgrades!$R$14,F355)*POWER(Upgrades!$R$15,G355)*POWER(Upgrades!$R$16,H355)*POWER(Upgrades!$R$17,I355)*POWER(Upgrades!$R$18,J355)*POWER(Upgrades!$R$19,K355)*POWER(Upgrades!$R$20,L355)*POWER(Upgrades!$R$21,M355))*(IF(Upgrades!$T$13="Roche Lobe Overflow",POWER(Upgrades!$U$13,E355),1)*IF(Upgrades!$T$14="Roche Lobe Overflow",POWER(Upgrades!$U$14,F355),1)*IF(Upgrades!$T$15="Roche Lobe Overflow",POWER(Upgrades!$U$15,G355),1)*IF(Upgrades!$T$17="Roche Lobe Overflow",POWER(Upgrades!$U$17,I355),1)*IF(Upgrades!$T$18="Roche Lobe Overflow",POWER(Upgrades!$U$18,J355),1)*IF(Upgrades!$T$19="Roche Lobe Overflow",POWER(Upgrades!$U$19,K355),1)*IF(Upgrades!$T$20="Roche Lobe Overflow",POWER(Upgrades!$U$20,L355),1)*IF(Upgrades!$T$21="Roche Lobe Overflow",POWER(Upgrades!$U$21,M355),1))*$H$6*O355+((IF(F355=0,0,(Upgrades!$G$14+F355*Upgrades!$H$14)*POWER(Upgrades!$I$14,F355)))*(IF(Upgrades!$T$13="Local Bubble",POWER(Upgrades!$U$13,E355),1)*IF(Upgrades!$T$15="Local Bubble",POWER(Upgrades!$U$15,G355),1)*IF(Upgrades!$T$16="Local Bubble",POWER(Upgrades!$U$16,H355),1)*IF(Upgrades!$T$17="Local Bubble",POWER(Upgrades!$U$17,I355),1)*IF(Upgrades!$T$18="Local Bubble",POWER(Upgrades!$U$18,J355),1)*IF(Upgrades!$T$19="Local Bubble",POWER(Upgrades!$U$19,K355),1)*IF(Upgrades!$T$20="Local Bubble",POWER(Upgrades!$U$20,L355),1)*IF(Upgrades!$T$21="Local Bubble",POWER(Upgrades!$U$21,M355),1))*POWER(Upgrades!$P$13,E355)*POWER(Upgrades!$P$14,F355)*POWER(Upgrades!$P$15,G355)*POWER(Upgrades!$P$16,H355)*POWER(Upgrades!$P$17,I355)*POWER(Upgrades!$P$18,J355)*POWER(Upgrades!$P$19,K355)*POWER(Upgrades!$P$20,L355)*POWER(Upgrades!$P$21,M355)*$F$6)*0.05)/AN355,0)</f>
        <v/>
      </c>
      <c r="BC355" s="32">
        <f>IFERROR((Upgrades!$H$17*(POWER(Upgrades!$P$13,E355)*POWER(Upgrades!$P$14,F355)*POWER(Upgrades!$P$15,G355)*POWER(Upgrades!$P$16,H355)*POWER(Upgrades!$P$17,I355)*POWER(Upgrades!$P$18,J355)*POWER(Upgrades!$P$19,K355)*POWER(Upgrades!$P$20,L355)*POWER(Upgrades!$P$21,M355))*(IF(Upgrades!$T$13="Brown Dwarf",POWER(Upgrades!$U$13,E355),1)*IF(Upgrades!$T$14="Brown Dwarf",POWER(Upgrades!$U$14,F355),1)*IF(Upgrades!$T$15="Brown Dwarf",POWER(Upgrades!$U$15,G355),1)*IF(Upgrades!$T$16="Brown Dwarf",POWER(Upgrades!$U$16,H355),1)*IF(Upgrades!$T$18="Brown Dwarf",POWER(Upgrades!$U$18,J355),1)*IF(Upgrades!$T$19="Brown Dwarf",POWER(Upgrades!$U$19,K355),1)*IF(Upgrades!$T$20="Brown Dwarf",POWER(Upgrades!$U$20,L355),1)*IF(Upgrades!$T$21="Brown Dwarf",POWER(Upgrades!$U$21,M355),1))*$F$6+(((IF(H355=0,0,(Upgrades!$M$16+H355*Upgrades!$N$16)*POWER(Upgrades!$O$16,H355)))*(IF(Upgrades!$T$13="Roche Lobe Overflow",POWER(Upgrades!$U$13,E355),1)*IF(Upgrades!$T$14="Roche Lobe Overflow",POWER(Upgrades!$U$14,F355),1)*IF(Upgrades!$T$15="Roche Lobe Overflow",POWER(Upgrades!$U$15,G355),1)*IF(Upgrades!$T$17="Roche Lobe Overflow",POWER(Upgrades!$U$17,I355),1)*IF(Upgrades!$T$18="Roche Lobe Overflow",POWER(Upgrades!$U$18,J355),1)*IF(Upgrades!$T$19="Roche Lobe Overflow",POWER(Upgrades!$U$19,K355),1)*IF(Upgrades!$T$20="Roche Lobe Overflow",POWER(Upgrades!$U$20,L355),1)*IF(Upgrades!$T$21="Roche Lobe Overflow",POWER(Upgrades!$U$21,M355),1))*POWER(Upgrades!$R$13,E355)*POWER(Upgrades!$R$14,F355)*POWER(Upgrades!$R$15,G355)*POWER(Upgrades!$R$16,H355)*POWER(Upgrades!$R$17,I355)*POWER(Upgrades!$R$18,J355)*POWER(Upgrades!$R$19,K355)*POWER(Upgrades!$R$20,L355)*POWER(Upgrades!$R$21,M355)*$H$6)*O355)*0.10)/AO355,0)</f>
        <v/>
      </c>
      <c r="BD355" s="32">
        <f>MAX(IF(J355&gt;0,0,IFERROR(0.5*((IF(G355=0,0,(Upgrades!$J$15+G355*Upgrades!$K$15)*POWER(Upgrades!$L$15,G355)))*(IF(Upgrades!$T$13="Microlensing",POWER(Upgrades!$U$13,E355),1)*IF(Upgrades!$T$14="Microlensing",POWER(Upgrades!$U$14,F355),1)*IF(Upgrades!$T$16="Microlensing",POWER(Upgrades!$U$16,H355),1)*IF(Upgrades!$T$17="Microlensing",POWER(Upgrades!$U$17,I355),1)*IF(Upgrades!$T$18="Microlensing",POWER(Upgrades!$U$18,J355),1)*IF(Upgrades!$T$19="Microlensing",POWER(Upgrades!$U$19,K355),1)*IF(Upgrades!$T$20="Microlensing",POWER(Upgrades!$U$20,L355),1)*IF(Upgrades!$T$21="Microlensing",POWER(Upgrades!$U$21,M355),1))*(POWER(Upgrades!$Q$13,E355)*POWER(Upgrades!$Q$14,F355)*POWER(Upgrades!$Q$15,G355)*POWER(Upgrades!$Q$16,H355)*POWER(Upgrades!$Q$17,I355)*POWER(Upgrades!$Q$18,J355)*POWER(Upgrades!$Q$19,K355)*POWER(Upgrades!$Q$20,L355)*POWER(Upgrades!$Q$21,M355))*$G$6*(Parameters!$B$10/60*Parameters!$B$11+Q355))/Upgrades!$C$18,0)),IF(K355&gt;0,0,IFERROR(0.30*P355/Upgrades!$C$19,0)),IF(L355&gt;0,0,IFERROR(0.0001/Upgrades!$C$20,0)),IF(M355&gt;0,0,IFERROR((6.0*(POWER(Upgrades!$P$13,E355)*POWER(Upgrades!$P$14,F355)*POWER(Upgrades!$P$15,G355)*POWER(Upgrades!$P$16,H355)*POWER(Upgrades!$P$17,I355)*POWER(Upgrades!$P$18,J355)*POWER(Upgrades!$P$19,K355)*POWER(Upgrades!$P$20,L355)*POWER(Upgrades!$P$21,M355))*$F$6+0.20*O355*(Parameters!$B$10/60*Parameters!$B$11+Q355))/Upgrades!$C$21,0)),IF(AND(ISNUMBER(AK355),AK355&gt;(C355+T355)),AY355,0),IF(AND(ISNUMBER(AL355),AL355&gt;(C355+T355)),AZ355,0),IF(AND(ISNUMBER(AM355),AM355&gt;(C355+T355)),BA355,0),IF(AND(ISNUMBER(AN355),AN355&gt;(C355+T355)),BB355,0),IF(AND(ISNUMBER(AO355),AO355&gt;(C355+T355)),BC355,0))</f>
        <v/>
      </c>
      <c r="BE355" s="29">
        <f>IF(AT355=1,"transition",IF(MIN(IF(AND(J355=0,ISNUMBER(AP355),AP355&lt;=(C355+T355)),AP355,9E15),IF(AND(K355=0,ISNUMBER(AQ355),AQ355&lt;=(C355+T355)),AQ355,9E15),IF(AND(L355=0,ISNUMBER(AR355),AR355&lt;=(C355+T355)),AR355,9E15),IF(AND(M355=0,ISNUMBER(AS355),AS355&lt;=(C355+T355)),AS355,9E15))&lt;9E15,IF(AND(AND(J355=0,ISNUMBER(AP355),AP355&lt;=(C355+T355)),AP355=MIN(IF(AND(J355=0,ISNUMBER(AP355),AP355&lt;=(C355+T355)),AP355,9E15),IF(AND(K355=0,ISNUMBER(AQ355),AQ355&lt;=(C355+T355)),AQ355,9E15),IF(AND(L355=0,ISNUMBER(AR355),AR355&lt;=(C355+T355)),AR355,9E15),IF(AND(M355=0,ISNUMBER(AS355),AS355&lt;=(C355+T355)),AS355,9E15))),"BiP",IF(AND(AND(K355=0,ISNUMBER(AQ355),AQ355&lt;=(C355+T355)),AQ355=MIN(IF(AND(J355=0,ISNUMBER(AP355),AP355&lt;=(C355+T355)),AP355,9E15),IF(AND(K355=0,ISNUMBER(AQ355),AQ355&lt;=(C355+T355)),AQ355,9E15),IF(AND(L355=0,ISNUMBER(AR355),AR355&lt;=(C355+T355)),AR355,9E15),IF(AND(M355=0,ISNUMBER(AS355),AS355&lt;=(C355+T355)),AS355,9E15))),"PV",IF(AND(AND(L355=0,ISNUMBER(AR355),AR355&lt;=(C355+T355)),AR355=MIN(IF(AND(J355=0,ISNUMBER(AP355),AP355&lt;=(C355+T355)),AP355,9E15),IF(AND(K355=0,ISNUMBER(AQ355),AQ355&lt;=(C355+T355)),AQ355,9E15),IF(AND(L355=0,ISNUMBER(AR355),AR355&lt;=(C355+T355)),AR355,9E15),IF(AND(M355=0,ISNUMBER(AS355),AS355&lt;=(C355+T355)),AS355,9E15))),"OC","MG"))),IF(AX355=TRUE,"",IF(MAX(IF(AND(NOT(AND(AU355=1,AT355&lt;&gt;1)),ISNUMBER(AK355),AK355&lt;=(C355+T355)),AY355,0),IF(AND(NOT(AND(AU355=1,AT355&lt;&gt;1)),ISNUMBER(AL355),AL355&lt;=(C355+T355)),AZ355,0),IF(AND(NOT(AND(AU355=1,AT355&lt;&gt;1)),ISNUMBER(AM355),AM355&lt;=(C355+T355)),BA355,0),IF(AND(NOT(AND(AU355=1,AT355&lt;&gt;1)),ISNUMBER(AN355),AN355&lt;=(C355+T355)),BB355,0),IF(AND(ISNUMBER(AO355),AO355&lt;=(C355+T355)),BC355,0))&lt;=0,"",IF(AND(IF(AND(NOT(AND(AU355=1,AT355&lt;&gt;1)),ISNUMBER(AK355),AK355&lt;=(C355+T355)),AY355,0)&gt;0,IF(AND(NOT(AND(AU355=1,AT355&lt;&gt;1)),ISNUMBER(AK355),AK355&lt;=(C355+T355)),AY355,0)=MAX(IF(AND(NOT(AND(AU355=1,AT355&lt;&gt;1)),ISNUMBER(AK355),AK355&lt;=(C355+T355)),AY355,0),IF(AND(NOT(AND(AU355=1,AT355&lt;&gt;1)),ISNUMBER(AL355),AL355&lt;=(C355+T355)),AZ355,0),IF(AND(NOT(AND(AU355=1,AT355&lt;&gt;1)),ISNUMBER(AM355),AM355&lt;=(C355+T355)),BA355,0),IF(AND(NOT(AND(AU355=1,AT355&lt;&gt;1)),ISNUMBER(AN355),AN355&lt;=(C355+T355)),BB355,0),IF(AND(ISNUMBER(AO355),AO355&lt;=(C355+T355)),BC355,0))),"SK",IF(AND(IF(AND(NOT(AND(AU355=1,AT355&lt;&gt;1)),ISNUMBER(AL355),AL355&lt;=(C355+T355)),AZ355,0)&gt;0,IF(AND(NOT(AND(AU355=1,AT355&lt;&gt;1)),ISNUMBER(AL355),AL355&lt;=(C355+T355)),AZ355,0)=MAX(IF(AND(NOT(AND(AU355=1,AT355&lt;&gt;1)),ISNUMBER(AK355),AK355&lt;=(C355+T355)),AY355,0),IF(AND(NOT(AND(AU355=1,AT355&lt;&gt;1)),ISNUMBER(AL355),AL355&lt;=(C355+T355)),AZ355,0),IF(AND(NOT(AND(AU355=1,AT355&lt;&gt;1)),ISNUMBER(AM355),AM355&lt;=(C355+T355)),BA355,0),IF(AND(NOT(AND(AU355=1,AT355&lt;&gt;1)),ISNUMBER(AN355),AN355&lt;=(C355+T355)),BB355,0),IF(AND(ISNUMBER(AO355),AO355&lt;=(C355+T355)),BC355,0))),"LB",IF(AND(IF(AND(NOT(AND(AU355=1,AT355&lt;&gt;1)),ISNUMBER(AM355),AM355&lt;=(C355+T355)),BA355,0)&gt;0,IF(AND(NOT(AND(AU355=1,AT355&lt;&gt;1)),ISNUMBER(AM355),AM355&lt;=(C355+T355)),BA355,0)=MAX(IF(AND(NOT(AND(AU355=1,AT355&lt;&gt;1)),ISNUMBER(AK355),AK355&lt;=(C355+T355)),AY355,0),IF(AND(NOT(AND(AU355=1,AT355&lt;&gt;1)),ISNUMBER(AL355),AL355&lt;=(C355+T355)),AZ355,0),IF(AND(NOT(AND(AU355=1,AT355&lt;&gt;1)),ISNUMBER(AM355),AM355&lt;=(C355+T355)),BA355,0),IF(AND(NOT(AND(AU355=1,AT355&lt;&gt;1)),ISNUMBER(AN355),AN355&lt;=(C355+T355)),BB355,0),IF(AND(ISNUMBER(AO355),AO355&lt;=(C355+T355)),BC355,0))),"ML",IF(AND(IF(AND(NOT(AND(AU355=1,AT355&lt;&gt;1)),ISNUMBER(AN355),AN355&lt;=(C355+T355)),BB355,0)&gt;0,IF(AND(NOT(AND(AU355=1,AT355&lt;&gt;1)),ISNUMBER(AN355),AN355&lt;=(C355+T355)),BB355,0)=MAX(IF(AND(NOT(AND(AU355=1,AT355&lt;&gt;1)),ISNUMBER(AK355),AK355&lt;=(C355+T355)),AY355,0),IF(AND(NOT(AND(AU355=1,AT355&lt;&gt;1)),ISNUMBER(AL355),AL355&lt;=(C355+T355)),AZ355,0),IF(AND(NOT(AND(AU355=1,AT355&lt;&gt;1)),ISNUMBER(AM355),AM355&lt;=(C355+T355)),BA355,0),IF(AND(NOT(AND(AU355=1,AT355&lt;&gt;1)),ISNUMBER(AN355),AN355&lt;=(C355+T355)),BB355,0),IF(AND(ISNUMBER(AO355),AO355&lt;=(C355+T355)),BC355,0))),"RLO","BD"))))))))</f>
        <v/>
      </c>
    </row>
    <row r="356">
      <c r="A356" s="26" t="n">
        <v>345</v>
      </c>
      <c r="B356" s="27">
        <f>A356*10/60</f>
        <v/>
      </c>
      <c r="C356" s="22">
        <f>X355</f>
        <v/>
      </c>
      <c r="D356" s="27">
        <f>D355+W355</f>
        <v/>
      </c>
      <c r="E356" s="26">
        <f>E355+IF(U355="SK",1,0)</f>
        <v/>
      </c>
      <c r="F356" s="26">
        <f>F355+IF(U355="LB",1,0)</f>
        <v/>
      </c>
      <c r="G356" s="26">
        <f>G355+IF(U355="ML",1,0)</f>
        <v/>
      </c>
      <c r="H356" s="26">
        <f>H355+IF(U355="RLO",1,0)</f>
        <v/>
      </c>
      <c r="I356" s="26">
        <f>I355+IF(U355="BD",1,0)</f>
        <v/>
      </c>
      <c r="J356" s="26">
        <f>MAX(J355,IF(U355="BiP",1,0))</f>
        <v/>
      </c>
      <c r="K356" s="26">
        <f>MAX(K355,IF(U355="PV",1,0))</f>
        <v/>
      </c>
      <c r="L356" s="26">
        <f>MAX(L355,IF(U355="OC",1,0))</f>
        <v/>
      </c>
      <c r="M356" s="26">
        <f>MAX(M355,IF(U355="MG",1,0))</f>
        <v/>
      </c>
      <c r="N356" s="26">
        <f>MAX(N355,IF(U355="transition",1,0))</f>
        <v/>
      </c>
      <c r="O356" s="28">
        <f>(Parameters!$B$9+(IF(E356=0,0,(Upgrades!$J$13+E356*Upgrades!$K$13)*POWER(Upgrades!$L$13,E356)))*(IF(Upgrades!$T$14="Stellar Kinematics",POWER(Upgrades!$U$14,F356),1)*IF(Upgrades!$T$15="Stellar Kinematics",POWER(Upgrades!$U$15,G356),1)*IF(Upgrades!$T$16="Stellar Kinematics",POWER(Upgrades!$U$16,H356),1)*IF(Upgrades!$T$17="Stellar Kinematics",POWER(Upgrades!$U$17,I356),1)*IF(Upgrades!$T$18="Stellar Kinematics",POWER(Upgrades!$U$18,J356),1)*IF(Upgrades!$T$19="Stellar Kinematics",POWER(Upgrades!$U$19,K356),1)*IF(Upgrades!$T$20="Stellar Kinematics",POWER(Upgrades!$U$20,L356),1)*IF(Upgrades!$T$21="Stellar Kinematics",POWER(Upgrades!$U$21,M356),1))+(IF(F356=0,0,(Upgrades!$J$14+F356*Upgrades!$K$14)*POWER(Upgrades!$L$14,F356)))*(IF(Upgrades!$T$13="Local Bubble",POWER(Upgrades!$U$13,E356),1)*IF(Upgrades!$T$15="Local Bubble",POWER(Upgrades!$U$15,G356),1)*IF(Upgrades!$T$16="Local Bubble",POWER(Upgrades!$U$16,H356),1)*IF(Upgrades!$T$17="Local Bubble",POWER(Upgrades!$U$17,I356),1)*IF(Upgrades!$T$18="Local Bubble",POWER(Upgrades!$U$18,J356),1)*IF(Upgrades!$T$19="Local Bubble",POWER(Upgrades!$U$19,K356),1)*IF(Upgrades!$T$20="Local Bubble",POWER(Upgrades!$U$20,L356),1)*IF(Upgrades!$T$21="Local Bubble",POWER(Upgrades!$U$21,M356),1))+(IF(G356=0,0,(Upgrades!$J$15+G356*Upgrades!$K$15)*POWER(Upgrades!$L$15,G356)))*(IF(Upgrades!$T$13="Microlensing",POWER(Upgrades!$U$13,E356),1)*IF(Upgrades!$T$14="Microlensing",POWER(Upgrades!$U$14,F356),1)*IF(Upgrades!$T$16="Microlensing",POWER(Upgrades!$U$16,H356),1)*IF(Upgrades!$T$17="Microlensing",POWER(Upgrades!$U$17,I356),1)*IF(Upgrades!$T$18="Microlensing",POWER(Upgrades!$U$18,J356),1)*IF(Upgrades!$T$19="Microlensing",POWER(Upgrades!$U$19,K356),1)*IF(Upgrades!$T$20="Microlensing",POWER(Upgrades!$U$20,L356),1)*IF(Upgrades!$T$21="Microlensing",POWER(Upgrades!$U$21,M356),1))+(IF(H356=0,0,(Upgrades!$J$16+H356*Upgrades!$K$16)*POWER(Upgrades!$L$16,H356)))*(IF(Upgrades!$T$13="Roche Lobe Overflow",POWER(Upgrades!$U$13,E356),1)*IF(Upgrades!$T$14="Roche Lobe Overflow",POWER(Upgrades!$U$14,F356),1)*IF(Upgrades!$T$15="Roche Lobe Overflow",POWER(Upgrades!$U$15,G356),1)*IF(Upgrades!$T$17="Roche Lobe Overflow",POWER(Upgrades!$U$17,I356),1)*IF(Upgrades!$T$18="Roche Lobe Overflow",POWER(Upgrades!$U$18,J356),1)*IF(Upgrades!$T$19="Roche Lobe Overflow",POWER(Upgrades!$U$19,K356),1)*IF(Upgrades!$T$20="Roche Lobe Overflow",POWER(Upgrades!$U$20,L356),1)*IF(Upgrades!$T$21="Roche Lobe Overflow",POWER(Upgrades!$U$21,M356),1))+(IF(I356=0,0,(Upgrades!$J$17+I356*Upgrades!$K$17)*POWER(Upgrades!$L$17,I356)))*(IF(Upgrades!$T$13="Brown Dwarf",POWER(Upgrades!$U$13,E356),1)*IF(Upgrades!$T$14="Brown Dwarf",POWER(Upgrades!$U$14,F356),1)*IF(Upgrades!$T$15="Brown Dwarf",POWER(Upgrades!$U$15,G356),1)*IF(Upgrades!$T$16="Brown Dwarf",POWER(Upgrades!$U$16,H356),1)*IF(Upgrades!$T$18="Brown Dwarf",POWER(Upgrades!$U$18,J356),1)*IF(Upgrades!$T$19="Brown Dwarf",POWER(Upgrades!$U$19,K356),1)*IF(Upgrades!$T$20="Brown Dwarf",POWER(Upgrades!$U$20,L356),1)*IF(Upgrades!$T$21="Brown Dwarf",POWER(Upgrades!$U$21,M356),1))+(IF(J356=0,0,(Upgrades!$J$18+J356*Upgrades!$K$18)*POWER(Upgrades!$L$18,J356)))*(IF(Upgrades!$T$13="Binary Partner",POWER(Upgrades!$U$13,E356),1)*IF(Upgrades!$T$14="Binary Partner",POWER(Upgrades!$U$14,F356),1)*IF(Upgrades!$T$15="Binary Partner",POWER(Upgrades!$U$15,G356),1)*IF(Upgrades!$T$16="Binary Partner",POWER(Upgrades!$U$16,H356),1)*IF(Upgrades!$T$17="Binary Partner",POWER(Upgrades!$U$17,I356),1)*IF(Upgrades!$T$19="Binary Partner",POWER(Upgrades!$U$19,K356),1)*IF(Upgrades!$T$20="Binary Partner",POWER(Upgrades!$U$20,L356),1)*IF(Upgrades!$T$21="Binary Partner",POWER(Upgrades!$U$21,M356),1))+(IF(K356=0,0,(Upgrades!$J$19+K356*Upgrades!$K$19)*POWER(Upgrades!$L$19,K356)))*(IF(Upgrades!$T$13="Peculiar Velocity",POWER(Upgrades!$U$13,E356),1)*IF(Upgrades!$T$14="Peculiar Velocity",POWER(Upgrades!$U$14,F356),1)*IF(Upgrades!$T$15="Peculiar Velocity",POWER(Upgrades!$U$15,G356),1)*IF(Upgrades!$T$16="Peculiar Velocity",POWER(Upgrades!$U$16,H356),1)*IF(Upgrades!$T$17="Peculiar Velocity",POWER(Upgrades!$U$17,I356),1)*IF(Upgrades!$T$18="Peculiar Velocity",POWER(Upgrades!$U$18,J356),1)*IF(Upgrades!$T$20="Peculiar Velocity",POWER(Upgrades!$U$20,L356),1)*IF(Upgrades!$T$21="Peculiar Velocity",POWER(Upgrades!$U$21,M356),1))+(IF(L356=0,0,(Upgrades!$J$20+L356*Upgrades!$K$20)*POWER(Upgrades!$L$20,L356)))*(IF(Upgrades!$T$13="Open Cluster",POWER(Upgrades!$U$13,E356),1)*IF(Upgrades!$T$14="Open Cluster",POWER(Upgrades!$U$14,F356),1)*IF(Upgrades!$T$15="Open Cluster",POWER(Upgrades!$U$15,G356),1)*IF(Upgrades!$T$16="Open Cluster",POWER(Upgrades!$U$16,H356),1)*IF(Upgrades!$T$17="Open Cluster",POWER(Upgrades!$U$17,I356),1)*IF(Upgrades!$T$18="Open Cluster",POWER(Upgrades!$U$18,J356),1)*IF(Upgrades!$T$19="Open Cluster",POWER(Upgrades!$U$19,K356),1)*IF(Upgrades!$T$21="Open Cluster",POWER(Upgrades!$U$21,M356),1))+(IF(M356=0,0,(Upgrades!$J$21+M356*Upgrades!$K$21)*POWER(Upgrades!$L$21,M356)))*(IF(Upgrades!$T$13="Moving Group",POWER(Upgrades!$U$13,E356),1)*IF(Upgrades!$T$14="Moving Group",POWER(Upgrades!$U$14,F356),1)*IF(Upgrades!$T$15="Moving Group",POWER(Upgrades!$U$15,G356),1)*IF(Upgrades!$T$16="Moving Group",POWER(Upgrades!$U$16,H356),1)*IF(Upgrades!$T$17="Moving Group",POWER(Upgrades!$U$17,I356),1)*IF(Upgrades!$T$18="Moving Group",POWER(Upgrades!$U$18,J356),1)*IF(Upgrades!$T$19="Moving Group",POWER(Upgrades!$U$19,K356),1)*IF(Upgrades!$T$20="Moving Group",POWER(Upgrades!$U$20,L356),1)))*POWER(Upgrades!$Q$13,E356)*POWER(Upgrades!$Q$14,F356)*POWER(Upgrades!$Q$15,G356)*POWER(Upgrades!$Q$16,H356)*POWER(Upgrades!$Q$17,I356)*POWER(Upgrades!$Q$18,J356)*POWER(Upgrades!$Q$19,K356)*POWER(Upgrades!$Q$20,L356)*POWER(Upgrades!$Q$21,M356)*$G$6+$D$6</f>
        <v/>
      </c>
      <c r="P356" s="28">
        <f>((IF(E356=0,0,(Upgrades!$G$13+E356*Upgrades!$H$13)*POWER(Upgrades!$I$13,E356)))*(IF(Upgrades!$T$14="Stellar Kinematics",POWER(Upgrades!$U$14,F356),1)*IF(Upgrades!$T$15="Stellar Kinematics",POWER(Upgrades!$U$15,G356),1)*IF(Upgrades!$T$16="Stellar Kinematics",POWER(Upgrades!$U$16,H356),1)*IF(Upgrades!$T$17="Stellar Kinematics",POWER(Upgrades!$U$17,I356),1)*IF(Upgrades!$T$18="Stellar Kinematics",POWER(Upgrades!$U$18,J356),1)*IF(Upgrades!$T$19="Stellar Kinematics",POWER(Upgrades!$U$19,K356),1)*IF(Upgrades!$T$20="Stellar Kinematics",POWER(Upgrades!$U$20,L356),1)*IF(Upgrades!$T$21="Stellar Kinematics",POWER(Upgrades!$U$21,M356),1))+(IF(F356=0,0,(Upgrades!$G$14+F356*Upgrades!$H$14)*POWER(Upgrades!$I$14,F356)))*(IF(Upgrades!$T$13="Local Bubble",POWER(Upgrades!$U$13,E356),1)*IF(Upgrades!$T$15="Local Bubble",POWER(Upgrades!$U$15,G356),1)*IF(Upgrades!$T$16="Local Bubble",POWER(Upgrades!$U$16,H356),1)*IF(Upgrades!$T$17="Local Bubble",POWER(Upgrades!$U$17,I356),1)*IF(Upgrades!$T$18="Local Bubble",POWER(Upgrades!$U$18,J356),1)*IF(Upgrades!$T$19="Local Bubble",POWER(Upgrades!$U$19,K356),1)*IF(Upgrades!$T$20="Local Bubble",POWER(Upgrades!$U$20,L356),1)*IF(Upgrades!$T$21="Local Bubble",POWER(Upgrades!$U$21,M356),1))+(IF(G356=0,0,(Upgrades!$G$15+G356*Upgrades!$H$15)*POWER(Upgrades!$I$15,G356)))*(IF(Upgrades!$T$13="Microlensing",POWER(Upgrades!$U$13,E356),1)*IF(Upgrades!$T$14="Microlensing",POWER(Upgrades!$U$14,F356),1)*IF(Upgrades!$T$16="Microlensing",POWER(Upgrades!$U$16,H356),1)*IF(Upgrades!$T$17="Microlensing",POWER(Upgrades!$U$17,I356),1)*IF(Upgrades!$T$18="Microlensing",POWER(Upgrades!$U$18,J356),1)*IF(Upgrades!$T$19="Microlensing",POWER(Upgrades!$U$19,K356),1)*IF(Upgrades!$T$20="Microlensing",POWER(Upgrades!$U$20,L356),1)*IF(Upgrades!$T$21="Microlensing",POWER(Upgrades!$U$21,M356),1))+(IF(H356=0,0,(Upgrades!$G$16+H356*Upgrades!$H$16)*POWER(Upgrades!$I$16,H356)))*(IF(Upgrades!$T$13="Roche Lobe Overflow",POWER(Upgrades!$U$13,E356),1)*IF(Upgrades!$T$14="Roche Lobe Overflow",POWER(Upgrades!$U$14,F356),1)*IF(Upgrades!$T$15="Roche Lobe Overflow",POWER(Upgrades!$U$15,G356),1)*IF(Upgrades!$T$17="Roche Lobe Overflow",POWER(Upgrades!$U$17,I356),1)*IF(Upgrades!$T$18="Roche Lobe Overflow",POWER(Upgrades!$U$18,J356),1)*IF(Upgrades!$T$19="Roche Lobe Overflow",POWER(Upgrades!$U$19,K356),1)*IF(Upgrades!$T$20="Roche Lobe Overflow",POWER(Upgrades!$U$20,L356),1)*IF(Upgrades!$T$21="Roche Lobe Overflow",POWER(Upgrades!$U$21,M356),1))+(IF(I356=0,0,(Upgrades!$G$17+I356*Upgrades!$H$17)*POWER(Upgrades!$I$17,I356)))*(IF(Upgrades!$T$13="Brown Dwarf",POWER(Upgrades!$U$13,E356),1)*IF(Upgrades!$T$14="Brown Dwarf",POWER(Upgrades!$U$14,F356),1)*IF(Upgrades!$T$15="Brown Dwarf",POWER(Upgrades!$U$15,G356),1)*IF(Upgrades!$T$16="Brown Dwarf",POWER(Upgrades!$U$16,H356),1)*IF(Upgrades!$T$18="Brown Dwarf",POWER(Upgrades!$U$18,J356),1)*IF(Upgrades!$T$19="Brown Dwarf",POWER(Upgrades!$U$19,K356),1)*IF(Upgrades!$T$20="Brown Dwarf",POWER(Upgrades!$U$20,L356),1)*IF(Upgrades!$T$21="Brown Dwarf",POWER(Upgrades!$U$21,M356),1))+(IF(J356=0,0,(Upgrades!$G$18+J356*Upgrades!$H$18)*POWER(Upgrades!$I$18,J356)))*(IF(Upgrades!$T$13="Binary Partner",POWER(Upgrades!$U$13,E356),1)*IF(Upgrades!$T$14="Binary Partner",POWER(Upgrades!$U$14,F356),1)*IF(Upgrades!$T$15="Binary Partner",POWER(Upgrades!$U$15,G356),1)*IF(Upgrades!$T$16="Binary Partner",POWER(Upgrades!$U$16,H356),1)*IF(Upgrades!$T$17="Binary Partner",POWER(Upgrades!$U$17,I356),1)*IF(Upgrades!$T$19="Binary Partner",POWER(Upgrades!$U$19,K356),1)*IF(Upgrades!$T$20="Binary Partner",POWER(Upgrades!$U$20,L356),1)*IF(Upgrades!$T$21="Binary Partner",POWER(Upgrades!$U$21,M356),1))+(IF(K356=0,0,(Upgrades!$G$19+K356*Upgrades!$H$19)*POWER(Upgrades!$I$19,K356)))*(IF(Upgrades!$T$13="Peculiar Velocity",POWER(Upgrades!$U$13,E356),1)*IF(Upgrades!$T$14="Peculiar Velocity",POWER(Upgrades!$U$14,F356),1)*IF(Upgrades!$T$15="Peculiar Velocity",POWER(Upgrades!$U$15,G356),1)*IF(Upgrades!$T$16="Peculiar Velocity",POWER(Upgrades!$U$16,H356),1)*IF(Upgrades!$T$17="Peculiar Velocity",POWER(Upgrades!$U$17,I356),1)*IF(Upgrades!$T$18="Peculiar Velocity",POWER(Upgrades!$U$18,J356),1)*IF(Upgrades!$T$20="Peculiar Velocity",POWER(Upgrades!$U$20,L356),1)*IF(Upgrades!$T$21="Peculiar Velocity",POWER(Upgrades!$U$21,M356),1))+(IF(L356=0,0,(Upgrades!$G$20+L356*Upgrades!$H$20)*POWER(Upgrades!$I$20,L356)))*(IF(Upgrades!$T$13="Open Cluster",POWER(Upgrades!$U$13,E356),1)*IF(Upgrades!$T$14="Open Cluster",POWER(Upgrades!$U$14,F356),1)*IF(Upgrades!$T$15="Open Cluster",POWER(Upgrades!$U$15,G356),1)*IF(Upgrades!$T$16="Open Cluster",POWER(Upgrades!$U$16,H356),1)*IF(Upgrades!$T$17="Open Cluster",POWER(Upgrades!$U$17,I356),1)*IF(Upgrades!$T$18="Open Cluster",POWER(Upgrades!$U$18,J356),1)*IF(Upgrades!$T$19="Open Cluster",POWER(Upgrades!$U$19,K356),1)*IF(Upgrades!$T$21="Open Cluster",POWER(Upgrades!$U$21,M356),1))+(IF(M356=0,0,(Upgrades!$G$21+M356*Upgrades!$H$21)*POWER(Upgrades!$I$21,M356)))*(IF(Upgrades!$T$13="Moving Group",POWER(Upgrades!$U$13,E356),1)*IF(Upgrades!$T$14="Moving Group",POWER(Upgrades!$U$14,F356),1)*IF(Upgrades!$T$15="Moving Group",POWER(Upgrades!$U$15,G356),1)*IF(Upgrades!$T$16="Moving Group",POWER(Upgrades!$U$16,H356),1)*IF(Upgrades!$T$17="Moving Group",POWER(Upgrades!$U$17,I356),1)*IF(Upgrades!$T$18="Moving Group",POWER(Upgrades!$U$18,J356),1)*IF(Upgrades!$T$19="Moving Group",POWER(Upgrades!$U$19,K356),1)*IF(Upgrades!$T$20="Moving Group",POWER(Upgrades!$U$20,L356),1)))*POWER(Upgrades!$P$13,E356)*POWER(Upgrades!$P$14,F356)*POWER(Upgrades!$P$15,G356)*POWER(Upgrades!$P$16,H356)*POWER(Upgrades!$P$17,I356)*POWER(Upgrades!$P$18,J356)*POWER(Upgrades!$P$19,K356)*POWER(Upgrades!$P$20,L356)*POWER(Upgrades!$P$21,M356)*$F$6+$C$6</f>
        <v/>
      </c>
      <c r="Q356" s="28">
        <f>((IF(E356=0,0,(Upgrades!$M$13+E356*Upgrades!$N$13)*POWER(Upgrades!$O$13,E356)))*(IF(Upgrades!$T$14="Stellar Kinematics",POWER(Upgrades!$U$14,F356),1)*IF(Upgrades!$T$15="Stellar Kinematics",POWER(Upgrades!$U$15,G356),1)*IF(Upgrades!$T$16="Stellar Kinematics",POWER(Upgrades!$U$16,H356),1)*IF(Upgrades!$T$17="Stellar Kinematics",POWER(Upgrades!$U$17,I356),1)*IF(Upgrades!$T$18="Stellar Kinematics",POWER(Upgrades!$U$18,J356),1)*IF(Upgrades!$T$19="Stellar Kinematics",POWER(Upgrades!$U$19,K356),1)*IF(Upgrades!$T$20="Stellar Kinematics",POWER(Upgrades!$U$20,L356),1)*IF(Upgrades!$T$21="Stellar Kinematics",POWER(Upgrades!$U$21,M356),1))+(IF(F356=0,0,(Upgrades!$M$14+F356*Upgrades!$N$14)*POWER(Upgrades!$O$14,F356)))*(IF(Upgrades!$T$13="Local Bubble",POWER(Upgrades!$U$13,E356),1)*IF(Upgrades!$T$15="Local Bubble",POWER(Upgrades!$U$15,G356),1)*IF(Upgrades!$T$16="Local Bubble",POWER(Upgrades!$U$16,H356),1)*IF(Upgrades!$T$17="Local Bubble",POWER(Upgrades!$U$17,I356),1)*IF(Upgrades!$T$18="Local Bubble",POWER(Upgrades!$U$18,J356),1)*IF(Upgrades!$T$19="Local Bubble",POWER(Upgrades!$U$19,K356),1)*IF(Upgrades!$T$20="Local Bubble",POWER(Upgrades!$U$20,L356),1)*IF(Upgrades!$T$21="Local Bubble",POWER(Upgrades!$U$21,M356),1))+(IF(G356=0,0,(Upgrades!$M$15+G356*Upgrades!$N$15)*POWER(Upgrades!$O$15,G356)))*(IF(Upgrades!$T$13="Microlensing",POWER(Upgrades!$U$13,E356),1)*IF(Upgrades!$T$14="Microlensing",POWER(Upgrades!$U$14,F356),1)*IF(Upgrades!$T$16="Microlensing",POWER(Upgrades!$U$16,H356),1)*IF(Upgrades!$T$17="Microlensing",POWER(Upgrades!$U$17,I356),1)*IF(Upgrades!$T$18="Microlensing",POWER(Upgrades!$U$18,J356),1)*IF(Upgrades!$T$19="Microlensing",POWER(Upgrades!$U$19,K356),1)*IF(Upgrades!$T$20="Microlensing",POWER(Upgrades!$U$20,L356),1)*IF(Upgrades!$T$21="Microlensing",POWER(Upgrades!$U$21,M356),1))+(IF(H356=0,0,(Upgrades!$M$16+H356*Upgrades!$N$16)*POWER(Upgrades!$O$16,H356)))*(IF(Upgrades!$T$13="Roche Lobe Overflow",POWER(Upgrades!$U$13,E356),1)*IF(Upgrades!$T$14="Roche Lobe Overflow",POWER(Upgrades!$U$14,F356),1)*IF(Upgrades!$T$15="Roche Lobe Overflow",POWER(Upgrades!$U$15,G356),1)*IF(Upgrades!$T$17="Roche Lobe Overflow",POWER(Upgrades!$U$17,I356),1)*IF(Upgrades!$T$18="Roche Lobe Overflow",POWER(Upgrades!$U$18,J356),1)*IF(Upgrades!$T$19="Roche Lobe Overflow",POWER(Upgrades!$U$19,K356),1)*IF(Upgrades!$T$20="Roche Lobe Overflow",POWER(Upgrades!$U$20,L356),1)*IF(Upgrades!$T$21="Roche Lobe Overflow",POWER(Upgrades!$U$21,M356),1))+(IF(I356=0,0,(Upgrades!$M$17+I356*Upgrades!$N$17)*POWER(Upgrades!$O$17,I356)))*(IF(Upgrades!$T$13="Brown Dwarf",POWER(Upgrades!$U$13,E356),1)*IF(Upgrades!$T$14="Brown Dwarf",POWER(Upgrades!$U$14,F356),1)*IF(Upgrades!$T$15="Brown Dwarf",POWER(Upgrades!$U$15,G356),1)*IF(Upgrades!$T$16="Brown Dwarf",POWER(Upgrades!$U$16,H356),1)*IF(Upgrades!$T$18="Brown Dwarf",POWER(Upgrades!$U$18,J356),1)*IF(Upgrades!$T$19="Brown Dwarf",POWER(Upgrades!$U$19,K356),1)*IF(Upgrades!$T$20="Brown Dwarf",POWER(Upgrades!$U$20,L356),1)*IF(Upgrades!$T$21="Brown Dwarf",POWER(Upgrades!$U$21,M356),1))+(IF(J356=0,0,(Upgrades!$M$18+J356*Upgrades!$N$18)*POWER(Upgrades!$O$18,J356)))*(IF(Upgrades!$T$13="Binary Partner",POWER(Upgrades!$U$13,E356),1)*IF(Upgrades!$T$14="Binary Partner",POWER(Upgrades!$U$14,F356),1)*IF(Upgrades!$T$15="Binary Partner",POWER(Upgrades!$U$15,G356),1)*IF(Upgrades!$T$16="Binary Partner",POWER(Upgrades!$U$16,H356),1)*IF(Upgrades!$T$17="Binary Partner",POWER(Upgrades!$U$17,I356),1)*IF(Upgrades!$T$19="Binary Partner",POWER(Upgrades!$U$19,K356),1)*IF(Upgrades!$T$20="Binary Partner",POWER(Upgrades!$U$20,L356),1)*IF(Upgrades!$T$21="Binary Partner",POWER(Upgrades!$U$21,M356),1))+(IF(K356=0,0,(Upgrades!$M$19+K356*Upgrades!$N$19)*POWER(Upgrades!$O$19,K356)))*(IF(Upgrades!$T$13="Peculiar Velocity",POWER(Upgrades!$U$13,E356),1)*IF(Upgrades!$T$14="Peculiar Velocity",POWER(Upgrades!$U$14,F356),1)*IF(Upgrades!$T$15="Peculiar Velocity",POWER(Upgrades!$U$15,G356),1)*IF(Upgrades!$T$16="Peculiar Velocity",POWER(Upgrades!$U$16,H356),1)*IF(Upgrades!$T$17="Peculiar Velocity",POWER(Upgrades!$U$17,I356),1)*IF(Upgrades!$T$18="Peculiar Velocity",POWER(Upgrades!$U$18,J356),1)*IF(Upgrades!$T$20="Peculiar Velocity",POWER(Upgrades!$U$20,L356),1)*IF(Upgrades!$T$21="Peculiar Velocity",POWER(Upgrades!$U$21,M356),1))+(IF(L356=0,0,(Upgrades!$M$20+L356*Upgrades!$N$20)*POWER(Upgrades!$O$20,L356)))*(IF(Upgrades!$T$13="Open Cluster",POWER(Upgrades!$U$13,E356),1)*IF(Upgrades!$T$14="Open Cluster",POWER(Upgrades!$U$14,F356),1)*IF(Upgrades!$T$15="Open Cluster",POWER(Upgrades!$U$15,G356),1)*IF(Upgrades!$T$16="Open Cluster",POWER(Upgrades!$U$16,H356),1)*IF(Upgrades!$T$17="Open Cluster",POWER(Upgrades!$U$17,I356),1)*IF(Upgrades!$T$18="Open Cluster",POWER(Upgrades!$U$18,J356),1)*IF(Upgrades!$T$19="Open Cluster",POWER(Upgrades!$U$19,K356),1)*IF(Upgrades!$T$21="Open Cluster",POWER(Upgrades!$U$21,M356),1))+(IF(M356=0,0,(Upgrades!$M$21+M356*Upgrades!$N$21)*POWER(Upgrades!$O$21,M356)))*(IF(Upgrades!$T$13="Moving Group",POWER(Upgrades!$U$13,E356),1)*IF(Upgrades!$T$14="Moving Group",POWER(Upgrades!$U$14,F356),1)*IF(Upgrades!$T$15="Moving Group",POWER(Upgrades!$U$15,G356),1)*IF(Upgrades!$T$16="Moving Group",POWER(Upgrades!$U$16,H356),1)*IF(Upgrades!$T$17="Moving Group",POWER(Upgrades!$U$17,I356),1)*IF(Upgrades!$T$18="Moving Group",POWER(Upgrades!$U$18,J356),1)*IF(Upgrades!$T$19="Moving Group",POWER(Upgrades!$U$19,K356),1)*IF(Upgrades!$T$20="Moving Group",POWER(Upgrades!$U$20,L356),1)))*POWER(Upgrades!$R$13,E356)*POWER(Upgrades!$R$14,F356)*POWER(Upgrades!$R$15,G356)*POWER(Upgrades!$R$16,H356)*POWER(Upgrades!$R$17,I356)*POWER(Upgrades!$R$18,J356)*POWER(Upgrades!$R$19,K356)*POWER(Upgrades!$R$20,L356)*POWER(Upgrades!$R$21,M356)*$H$6+$E$6</f>
        <v/>
      </c>
      <c r="R356" s="27">
        <f>IF(N356=1,0,O356*Parameters!$B$10/60*Parameters!$B$11*10)</f>
        <v/>
      </c>
      <c r="S356" s="27">
        <f>IF(N356=1,0,Q356*O356*10)</f>
        <v/>
      </c>
      <c r="T356" s="27">
        <f>IF(N356=1,0,R356+S356+P356*10)</f>
        <v/>
      </c>
      <c r="U356" s="33">
        <f>BE356</f>
        <v/>
      </c>
      <c r="V356" s="22">
        <f>IF(U356="",0,IF(U356="transition",0,IF(U356="SK",AK356,IF(U356="LB",AL356,IF(U356="ML",AM356,IF(U356="RLO",AN356,IF(U356="BD",AO356,IF(U356="BiP",AP356,IF(U356="PV",AQ356,IF(U356="OC",AR356,IF(U356="MG",AS356,0))))))))))</f>
        <v/>
      </c>
      <c r="W356" s="27">
        <f>IF(U356="BiP",Upgrades!$F$18,IF(U356="PV",Upgrades!$F$19,IF(U356="OC",Upgrades!$F$20,IF(U356="MG",Upgrades!$F$21,IF(U356="transition",-Parameters!$B$18*Parameters!$B$19,0)))))</f>
        <v/>
      </c>
      <c r="X356" s="22">
        <f>C356+T356-V356</f>
        <v/>
      </c>
      <c r="Y356" s="30">
        <f>O356*Parameters!$B$10/60*Parameters!$B$11+Q356*O356+P356</f>
        <v/>
      </c>
      <c r="Z356" s="34">
        <f>IF(U356="transition","→ Tier 3 (Galactic Arm)",IF(U356="MG","Moving Group — pocket drifts together",IF(U356="OC","Open Cluster acquired",IF(U356="PV","Peculiar Velocity — passive multiplier active",IF(U356="BiP","Binary Partner — pair bond formed",IF(AND(AU356=1,N356=0,AT356&lt;&gt;1),"Cohesion ready (waiting on completionists)","")))))) </f>
        <v/>
      </c>
      <c r="AA356" s="27">
        <f>(IF(E356=0,0,(Upgrades!$G$13+E356*Upgrades!$H$13)*POWER(Upgrades!$I$13,E356)))*(IF(Upgrades!$T$14="Stellar Kinematics",POWER(Upgrades!$U$14,F356),1)*IF(Upgrades!$T$15="Stellar Kinematics",POWER(Upgrades!$U$15,G356),1)*IF(Upgrades!$T$16="Stellar Kinematics",POWER(Upgrades!$U$16,H356),1)*IF(Upgrades!$T$17="Stellar Kinematics",POWER(Upgrades!$U$17,I356),1)*IF(Upgrades!$T$18="Stellar Kinematics",POWER(Upgrades!$U$18,J356),1)*IF(Upgrades!$T$19="Stellar Kinematics",POWER(Upgrades!$U$19,K356),1)*IF(Upgrades!$T$20="Stellar Kinematics",POWER(Upgrades!$U$20,L356),1)*IF(Upgrades!$T$21="Stellar Kinematics",POWER(Upgrades!$U$21,M356),1))*POWER(Upgrades!$P$13,E356)*POWER(Upgrades!$P$14,F356)*POWER(Upgrades!$P$15,G356)*POWER(Upgrades!$P$16,H356)*POWER(Upgrades!$P$17,I356)*POWER(Upgrades!$P$18,J356)*POWER(Upgrades!$P$19,K356)*POWER(Upgrades!$P$20,L356)*POWER(Upgrades!$P$21,M356)*$F$6*60</f>
        <v/>
      </c>
      <c r="AB356" s="27">
        <f>(IF(F356=0,0,(Upgrades!$G$14+F356*Upgrades!$H$14)*POWER(Upgrades!$I$14,F356)))*(IF(Upgrades!$T$13="Local Bubble",POWER(Upgrades!$U$13,E356),1)*IF(Upgrades!$T$15="Local Bubble",POWER(Upgrades!$U$15,G356),1)*IF(Upgrades!$T$16="Local Bubble",POWER(Upgrades!$U$16,H356),1)*IF(Upgrades!$T$17="Local Bubble",POWER(Upgrades!$U$17,I356),1)*IF(Upgrades!$T$18="Local Bubble",POWER(Upgrades!$U$18,J356),1)*IF(Upgrades!$T$19="Local Bubble",POWER(Upgrades!$U$19,K356),1)*IF(Upgrades!$T$20="Local Bubble",POWER(Upgrades!$U$20,L356),1)*IF(Upgrades!$T$21="Local Bubble",POWER(Upgrades!$U$21,M356),1))*POWER(Upgrades!$P$13,E356)*POWER(Upgrades!$P$14,F356)*POWER(Upgrades!$P$15,G356)*POWER(Upgrades!$P$16,H356)*POWER(Upgrades!$P$17,I356)*POWER(Upgrades!$P$18,J356)*POWER(Upgrades!$P$19,K356)*POWER(Upgrades!$P$20,L356)*POWER(Upgrades!$P$21,M356)*$F$6*60</f>
        <v/>
      </c>
      <c r="AC356" s="27">
        <f>(IF(G356=0,0,(Upgrades!$J$15+G356*Upgrades!$K$15)*POWER(Upgrades!$L$15,G356)))*(IF(Upgrades!$T$13="Microlensing",POWER(Upgrades!$U$13,E356),1)*IF(Upgrades!$T$14="Microlensing",POWER(Upgrades!$U$14,F356),1)*IF(Upgrades!$T$16="Microlensing",POWER(Upgrades!$U$16,H356),1)*IF(Upgrades!$T$17="Microlensing",POWER(Upgrades!$U$17,I356),1)*IF(Upgrades!$T$18="Microlensing",POWER(Upgrades!$U$18,J356),1)*IF(Upgrades!$T$19="Microlensing",POWER(Upgrades!$U$19,K356),1)*IF(Upgrades!$T$20="Microlensing",POWER(Upgrades!$U$20,L356),1)*IF(Upgrades!$T$21="Microlensing",POWER(Upgrades!$U$21,M356),1))*POWER(Upgrades!$Q$13,E356)*POWER(Upgrades!$Q$14,F356)*POWER(Upgrades!$Q$15,G356)*POWER(Upgrades!$Q$16,H356)*POWER(Upgrades!$Q$17,I356)*POWER(Upgrades!$Q$18,J356)*POWER(Upgrades!$Q$19,K356)*POWER(Upgrades!$Q$20,L356)*POWER(Upgrades!$Q$21,M356)*$G$6*(Parameters!$B$10*Parameters!$B$11+Q356*60)</f>
        <v/>
      </c>
      <c r="AD356" s="27">
        <f>(IF(H356=0,0,(Upgrades!$M$16+H356*Upgrades!$N$16)*POWER(Upgrades!$O$16,H356)))*(IF(Upgrades!$T$13="Roche Lobe Overflow",POWER(Upgrades!$U$13,E356),1)*IF(Upgrades!$T$14="Roche Lobe Overflow",POWER(Upgrades!$U$14,F356),1)*IF(Upgrades!$T$15="Roche Lobe Overflow",POWER(Upgrades!$U$15,G356),1)*IF(Upgrades!$T$17="Roche Lobe Overflow",POWER(Upgrades!$U$17,I356),1)*IF(Upgrades!$T$18="Roche Lobe Overflow",POWER(Upgrades!$U$18,J356),1)*IF(Upgrades!$T$19="Roche Lobe Overflow",POWER(Upgrades!$U$19,K356),1)*IF(Upgrades!$T$20="Roche Lobe Overflow",POWER(Upgrades!$U$20,L356),1)*IF(Upgrades!$T$21="Roche Lobe Overflow",POWER(Upgrades!$U$21,M356),1))*POWER(Upgrades!$R$13,E356)*POWER(Upgrades!$R$14,F356)*POWER(Upgrades!$R$15,G356)*POWER(Upgrades!$R$16,H356)*POWER(Upgrades!$R$17,I356)*POWER(Upgrades!$R$18,J356)*POWER(Upgrades!$R$19,K356)*POWER(Upgrades!$R$20,L356)*POWER(Upgrades!$R$21,M356)*$H$6*O356*60</f>
        <v/>
      </c>
      <c r="AE356" s="27">
        <f>(IF(I356=0,0,(Upgrades!$G$17+I356*Upgrades!$H$17)*POWER(Upgrades!$I$17,I356)))*(IF(Upgrades!$T$13="Brown Dwarf",POWER(Upgrades!$U$13,E356),1)*IF(Upgrades!$T$14="Brown Dwarf",POWER(Upgrades!$U$14,F356),1)*IF(Upgrades!$T$15="Brown Dwarf",POWER(Upgrades!$U$15,G356),1)*IF(Upgrades!$T$16="Brown Dwarf",POWER(Upgrades!$U$16,H356),1)*IF(Upgrades!$T$18="Brown Dwarf",POWER(Upgrades!$U$18,J356),1)*IF(Upgrades!$T$19="Brown Dwarf",POWER(Upgrades!$U$19,K356),1)*IF(Upgrades!$T$20="Brown Dwarf",POWER(Upgrades!$U$20,L356),1)*IF(Upgrades!$T$21="Brown Dwarf",POWER(Upgrades!$U$21,M356),1))*POWER(Upgrades!$P$13,E356)*POWER(Upgrades!$P$14,F356)*POWER(Upgrades!$P$15,G356)*POWER(Upgrades!$P$16,H356)*POWER(Upgrades!$P$17,I356)*POWER(Upgrades!$P$18,J356)*POWER(Upgrades!$P$19,K356)*POWER(Upgrades!$P$20,L356)*POWER(Upgrades!$P$21,M356)*$F$6*60</f>
        <v/>
      </c>
      <c r="AF356" s="27" t="n">
        <v>0</v>
      </c>
      <c r="AG356" s="27" t="n">
        <v>0</v>
      </c>
      <c r="AH356" s="27" t="n">
        <v>0</v>
      </c>
      <c r="AI356" s="27">
        <f>(IF(M356=0,0,(Upgrades!$G$21+M356*Upgrades!$H$21)*POWER(Upgrades!$I$21,M356)))*(IF(Upgrades!$T$13="Moving Group",POWER(Upgrades!$U$13,E356),1)*IF(Upgrades!$T$14="Moving Group",POWER(Upgrades!$U$14,F356),1)*IF(Upgrades!$T$15="Moving Group",POWER(Upgrades!$U$15,G356),1)*IF(Upgrades!$T$16="Moving Group",POWER(Upgrades!$U$16,H356),1)*IF(Upgrades!$T$17="Moving Group",POWER(Upgrades!$U$17,I356),1)*IF(Upgrades!$T$18="Moving Group",POWER(Upgrades!$U$18,J356),1)*IF(Upgrades!$T$19="Moving Group",POWER(Upgrades!$U$19,K356),1)*IF(Upgrades!$T$20="Moving Group",POWER(Upgrades!$U$20,L356),1))*POWER(Upgrades!$P$13,E356)*POWER(Upgrades!$P$14,F356)*POWER(Upgrades!$P$15,G356)*POWER(Upgrades!$P$16,H356)*POWER(Upgrades!$P$17,I356)*POWER(Upgrades!$P$18,J356)*POWER(Upgrades!$P$19,K356)*POWER(Upgrades!$P$20,L356)*POWER(Upgrades!$P$21,M356)*$F$6*60</f>
        <v/>
      </c>
      <c r="AJ356" s="27">
        <f>$C$6*60</f>
        <v/>
      </c>
      <c r="AK356" s="22">
        <f>IF(E356&gt;=Upgrades!$E$13,"",Upgrades!$C$13*POWER(Upgrades!$D$13,E356))</f>
        <v/>
      </c>
      <c r="AL356" s="22">
        <f>IF(F356&gt;=Upgrades!$E$14,"",Upgrades!$C$14*POWER(Upgrades!$D$14,F356))</f>
        <v/>
      </c>
      <c r="AM356" s="22">
        <f>IF(G356&gt;=Upgrades!$E$15,"",Upgrades!$C$15*POWER(Upgrades!$D$15,G356))</f>
        <v/>
      </c>
      <c r="AN356" s="22">
        <f>IF(H356&gt;=Upgrades!$E$16,"",Upgrades!$C$16*POWER(Upgrades!$D$16,H356))</f>
        <v/>
      </c>
      <c r="AO356" s="22">
        <f>IF(I356&gt;=Upgrades!$E$17,"",Upgrades!$C$17*POWER(Upgrades!$D$17,I356))</f>
        <v/>
      </c>
      <c r="AP356" s="22">
        <f>IF(J356&gt;=Upgrades!$E$18,"",Upgrades!$C$18*POWER(Upgrades!$D$18,J356))</f>
        <v/>
      </c>
      <c r="AQ356" s="22">
        <f>IF(K356&gt;=Upgrades!$E$19,"",Upgrades!$C$19*POWER(Upgrades!$D$19,K356))</f>
        <v/>
      </c>
      <c r="AR356" s="22">
        <f>IF(L356&gt;=Upgrades!$E$20,"",Upgrades!$C$20*POWER(Upgrades!$D$20,L356))</f>
        <v/>
      </c>
      <c r="AS356" s="22">
        <f>IF(M356&gt;=Upgrades!$E$21,"",Upgrades!$C$21*POWER(Upgrades!$D$21,M356))</f>
        <v/>
      </c>
      <c r="AT356" s="26">
        <f>IF(AND(D356&gt;=Parameters!$B$18*Parameters!$B$19,(I356&gt;=Upgrades!$E$17)*(M356&gt;=Upgrades!$E$21)=1,N356=0),1,"")</f>
        <v/>
      </c>
      <c r="AU356" s="26">
        <f>IF(AND(D356&gt;=Parameters!$B$18*Parameters!$B$19,N356=0),1,"")</f>
        <v/>
      </c>
      <c r="AV356" s="22">
        <f>MIN(IF(ISNUMBER(AP356),AP356,9E15),IF(ISNUMBER(AQ356),AQ356,9E15),IF(ISNUMBER(AR356),AR356,9E15),IF(ISNUMBER(AS356),AS356,9E15))</f>
        <v/>
      </c>
      <c r="AW356" s="22">
        <f>MIN(IF(ISNUMBER(AK356),AK356,9E15),IF(ISNUMBER(AL356),AL356,9E15),IF(ISNUMBER(AM356),AM356,9E15),IF(ISNUMBER(AN356),AN356,9E15),IF(ISNUMBER(AO356),AO356,9E15))</f>
        <v/>
      </c>
      <c r="AX356" s="29">
        <f>IF(BD356&gt;Parameters!$B$21*(MAX(IF(AND(NOT(AND(AU356=1,AT356&lt;&gt;1)),ISNUMBER(AK356),AK356&lt;=(C356+T356)),AY356,0),IF(AND(NOT(AND(AU356=1,AT356&lt;&gt;1)),ISNUMBER(AL356),AL356&lt;=(C356+T356)),AZ356,0),IF(AND(NOT(AND(AU356=1,AT356&lt;&gt;1)),ISNUMBER(AM356),AM356&lt;=(C356+T356)),BA356,0),IF(AND(NOT(AND(AU356=1,AT356&lt;&gt;1)),ISNUMBER(AN356),AN356&lt;=(C356+T356)),BB356,0),IF(AND(ISNUMBER(AO356),AO356&lt;=(C356+T356)),BC356,0))),TRUE,FALSE)</f>
        <v/>
      </c>
      <c r="AY356" s="32">
        <f>IFERROR(Upgrades!$H$13*(POWER(Upgrades!$P$13,E356)*POWER(Upgrades!$P$14,F356)*POWER(Upgrades!$P$15,G356)*POWER(Upgrades!$P$16,H356)*POWER(Upgrades!$P$17,I356)*POWER(Upgrades!$P$18,J356)*POWER(Upgrades!$P$19,K356)*POWER(Upgrades!$P$20,L356)*POWER(Upgrades!$P$21,M356))*(IF(Upgrades!$T$14="Stellar Kinematics",POWER(Upgrades!$U$14,F356),1)*IF(Upgrades!$T$15="Stellar Kinematics",POWER(Upgrades!$U$15,G356),1)*IF(Upgrades!$T$16="Stellar Kinematics",POWER(Upgrades!$U$16,H356),1)*IF(Upgrades!$T$17="Stellar Kinematics",POWER(Upgrades!$U$17,I356),1)*IF(Upgrades!$T$18="Stellar Kinematics",POWER(Upgrades!$U$18,J356),1)*IF(Upgrades!$T$19="Stellar Kinematics",POWER(Upgrades!$U$19,K356),1)*IF(Upgrades!$T$20="Stellar Kinematics",POWER(Upgrades!$U$20,L356),1)*IF(Upgrades!$T$21="Stellar Kinematics",POWER(Upgrades!$U$21,M356),1))*$F$6/AK356,0)</f>
        <v/>
      </c>
      <c r="AZ356" s="32">
        <f>IFERROR(Upgrades!$H$14*(POWER(Upgrades!$P$13,E356)*POWER(Upgrades!$P$14,F356)*POWER(Upgrades!$P$15,G356)*POWER(Upgrades!$P$16,H356)*POWER(Upgrades!$P$17,I356)*POWER(Upgrades!$P$18,J356)*POWER(Upgrades!$P$19,K356)*POWER(Upgrades!$P$20,L356)*POWER(Upgrades!$P$21,M356))*(IF(Upgrades!$T$13="Local Bubble",POWER(Upgrades!$U$13,E356),1)*IF(Upgrades!$T$15="Local Bubble",POWER(Upgrades!$U$15,G356),1)*IF(Upgrades!$T$16="Local Bubble",POWER(Upgrades!$U$16,H356),1)*IF(Upgrades!$T$17="Local Bubble",POWER(Upgrades!$U$17,I356),1)*IF(Upgrades!$T$18="Local Bubble",POWER(Upgrades!$U$18,J356),1)*IF(Upgrades!$T$19="Local Bubble",POWER(Upgrades!$U$19,K356),1)*IF(Upgrades!$T$20="Local Bubble",POWER(Upgrades!$U$20,L356),1)*IF(Upgrades!$T$21="Local Bubble",POWER(Upgrades!$U$21,M356),1))*$F$6/AL356,0)</f>
        <v/>
      </c>
      <c r="BA356" s="32">
        <f>IFERROR(Upgrades!$K$15*(POWER(Upgrades!$Q$13,E356)*POWER(Upgrades!$Q$14,F356)*POWER(Upgrades!$Q$15,G356)*POWER(Upgrades!$Q$16,H356)*POWER(Upgrades!$Q$17,I356)*POWER(Upgrades!$Q$18,J356)*POWER(Upgrades!$Q$19,K356)*POWER(Upgrades!$Q$20,L356)*POWER(Upgrades!$Q$21,M356))*(IF(Upgrades!$T$13="Microlensing",POWER(Upgrades!$U$13,E356),1)*IF(Upgrades!$T$14="Microlensing",POWER(Upgrades!$U$14,F356),1)*IF(Upgrades!$T$16="Microlensing",POWER(Upgrades!$U$16,H356),1)*IF(Upgrades!$T$17="Microlensing",POWER(Upgrades!$U$17,I356),1)*IF(Upgrades!$T$18="Microlensing",POWER(Upgrades!$U$18,J356),1)*IF(Upgrades!$T$19="Microlensing",POWER(Upgrades!$U$19,K356),1)*IF(Upgrades!$T$20="Microlensing",POWER(Upgrades!$U$20,L356),1)*IF(Upgrades!$T$21="Microlensing",POWER(Upgrades!$U$21,M356),1))*$G$6*(Parameters!$B$10/60*Parameters!$B$11+Q356)/AM356,0)</f>
        <v/>
      </c>
      <c r="BB356" s="32">
        <f>IFERROR((Upgrades!$N$16*(POWER(Upgrades!$R$13,E356)*POWER(Upgrades!$R$14,F356)*POWER(Upgrades!$R$15,G356)*POWER(Upgrades!$R$16,H356)*POWER(Upgrades!$R$17,I356)*POWER(Upgrades!$R$18,J356)*POWER(Upgrades!$R$19,K356)*POWER(Upgrades!$R$20,L356)*POWER(Upgrades!$R$21,M356))*(IF(Upgrades!$T$13="Roche Lobe Overflow",POWER(Upgrades!$U$13,E356),1)*IF(Upgrades!$T$14="Roche Lobe Overflow",POWER(Upgrades!$U$14,F356),1)*IF(Upgrades!$T$15="Roche Lobe Overflow",POWER(Upgrades!$U$15,G356),1)*IF(Upgrades!$T$17="Roche Lobe Overflow",POWER(Upgrades!$U$17,I356),1)*IF(Upgrades!$T$18="Roche Lobe Overflow",POWER(Upgrades!$U$18,J356),1)*IF(Upgrades!$T$19="Roche Lobe Overflow",POWER(Upgrades!$U$19,K356),1)*IF(Upgrades!$T$20="Roche Lobe Overflow",POWER(Upgrades!$U$20,L356),1)*IF(Upgrades!$T$21="Roche Lobe Overflow",POWER(Upgrades!$U$21,M356),1))*$H$6*O356+((IF(F356=0,0,(Upgrades!$G$14+F356*Upgrades!$H$14)*POWER(Upgrades!$I$14,F356)))*(IF(Upgrades!$T$13="Local Bubble",POWER(Upgrades!$U$13,E356),1)*IF(Upgrades!$T$15="Local Bubble",POWER(Upgrades!$U$15,G356),1)*IF(Upgrades!$T$16="Local Bubble",POWER(Upgrades!$U$16,H356),1)*IF(Upgrades!$T$17="Local Bubble",POWER(Upgrades!$U$17,I356),1)*IF(Upgrades!$T$18="Local Bubble",POWER(Upgrades!$U$18,J356),1)*IF(Upgrades!$T$19="Local Bubble",POWER(Upgrades!$U$19,K356),1)*IF(Upgrades!$T$20="Local Bubble",POWER(Upgrades!$U$20,L356),1)*IF(Upgrades!$T$21="Local Bubble",POWER(Upgrades!$U$21,M356),1))*POWER(Upgrades!$P$13,E356)*POWER(Upgrades!$P$14,F356)*POWER(Upgrades!$P$15,G356)*POWER(Upgrades!$P$16,H356)*POWER(Upgrades!$P$17,I356)*POWER(Upgrades!$P$18,J356)*POWER(Upgrades!$P$19,K356)*POWER(Upgrades!$P$20,L356)*POWER(Upgrades!$P$21,M356)*$F$6)*0.05)/AN356,0)</f>
        <v/>
      </c>
      <c r="BC356" s="32">
        <f>IFERROR((Upgrades!$H$17*(POWER(Upgrades!$P$13,E356)*POWER(Upgrades!$P$14,F356)*POWER(Upgrades!$P$15,G356)*POWER(Upgrades!$P$16,H356)*POWER(Upgrades!$P$17,I356)*POWER(Upgrades!$P$18,J356)*POWER(Upgrades!$P$19,K356)*POWER(Upgrades!$P$20,L356)*POWER(Upgrades!$P$21,M356))*(IF(Upgrades!$T$13="Brown Dwarf",POWER(Upgrades!$U$13,E356),1)*IF(Upgrades!$T$14="Brown Dwarf",POWER(Upgrades!$U$14,F356),1)*IF(Upgrades!$T$15="Brown Dwarf",POWER(Upgrades!$U$15,G356),1)*IF(Upgrades!$T$16="Brown Dwarf",POWER(Upgrades!$U$16,H356),1)*IF(Upgrades!$T$18="Brown Dwarf",POWER(Upgrades!$U$18,J356),1)*IF(Upgrades!$T$19="Brown Dwarf",POWER(Upgrades!$U$19,K356),1)*IF(Upgrades!$T$20="Brown Dwarf",POWER(Upgrades!$U$20,L356),1)*IF(Upgrades!$T$21="Brown Dwarf",POWER(Upgrades!$U$21,M356),1))*$F$6+(((IF(H356=0,0,(Upgrades!$M$16+H356*Upgrades!$N$16)*POWER(Upgrades!$O$16,H356)))*(IF(Upgrades!$T$13="Roche Lobe Overflow",POWER(Upgrades!$U$13,E356),1)*IF(Upgrades!$T$14="Roche Lobe Overflow",POWER(Upgrades!$U$14,F356),1)*IF(Upgrades!$T$15="Roche Lobe Overflow",POWER(Upgrades!$U$15,G356),1)*IF(Upgrades!$T$17="Roche Lobe Overflow",POWER(Upgrades!$U$17,I356),1)*IF(Upgrades!$T$18="Roche Lobe Overflow",POWER(Upgrades!$U$18,J356),1)*IF(Upgrades!$T$19="Roche Lobe Overflow",POWER(Upgrades!$U$19,K356),1)*IF(Upgrades!$T$20="Roche Lobe Overflow",POWER(Upgrades!$U$20,L356),1)*IF(Upgrades!$T$21="Roche Lobe Overflow",POWER(Upgrades!$U$21,M356),1))*POWER(Upgrades!$R$13,E356)*POWER(Upgrades!$R$14,F356)*POWER(Upgrades!$R$15,G356)*POWER(Upgrades!$R$16,H356)*POWER(Upgrades!$R$17,I356)*POWER(Upgrades!$R$18,J356)*POWER(Upgrades!$R$19,K356)*POWER(Upgrades!$R$20,L356)*POWER(Upgrades!$R$21,M356)*$H$6)*O356)*0.10)/AO356,0)</f>
        <v/>
      </c>
      <c r="BD356" s="32">
        <f>MAX(IF(J356&gt;0,0,IFERROR(0.5*((IF(G356=0,0,(Upgrades!$J$15+G356*Upgrades!$K$15)*POWER(Upgrades!$L$15,G356)))*(IF(Upgrades!$T$13="Microlensing",POWER(Upgrades!$U$13,E356),1)*IF(Upgrades!$T$14="Microlensing",POWER(Upgrades!$U$14,F356),1)*IF(Upgrades!$T$16="Microlensing",POWER(Upgrades!$U$16,H356),1)*IF(Upgrades!$T$17="Microlensing",POWER(Upgrades!$U$17,I356),1)*IF(Upgrades!$T$18="Microlensing",POWER(Upgrades!$U$18,J356),1)*IF(Upgrades!$T$19="Microlensing",POWER(Upgrades!$U$19,K356),1)*IF(Upgrades!$T$20="Microlensing",POWER(Upgrades!$U$20,L356),1)*IF(Upgrades!$T$21="Microlensing",POWER(Upgrades!$U$21,M356),1))*(POWER(Upgrades!$Q$13,E356)*POWER(Upgrades!$Q$14,F356)*POWER(Upgrades!$Q$15,G356)*POWER(Upgrades!$Q$16,H356)*POWER(Upgrades!$Q$17,I356)*POWER(Upgrades!$Q$18,J356)*POWER(Upgrades!$Q$19,K356)*POWER(Upgrades!$Q$20,L356)*POWER(Upgrades!$Q$21,M356))*$G$6*(Parameters!$B$10/60*Parameters!$B$11+Q356))/Upgrades!$C$18,0)),IF(K356&gt;0,0,IFERROR(0.30*P356/Upgrades!$C$19,0)),IF(L356&gt;0,0,IFERROR(0.0001/Upgrades!$C$20,0)),IF(M356&gt;0,0,IFERROR((6.0*(POWER(Upgrades!$P$13,E356)*POWER(Upgrades!$P$14,F356)*POWER(Upgrades!$P$15,G356)*POWER(Upgrades!$P$16,H356)*POWER(Upgrades!$P$17,I356)*POWER(Upgrades!$P$18,J356)*POWER(Upgrades!$P$19,K356)*POWER(Upgrades!$P$20,L356)*POWER(Upgrades!$P$21,M356))*$F$6+0.20*O356*(Parameters!$B$10/60*Parameters!$B$11+Q356))/Upgrades!$C$21,0)),IF(AND(ISNUMBER(AK356),AK356&gt;(C356+T356)),AY356,0),IF(AND(ISNUMBER(AL356),AL356&gt;(C356+T356)),AZ356,0),IF(AND(ISNUMBER(AM356),AM356&gt;(C356+T356)),BA356,0),IF(AND(ISNUMBER(AN356),AN356&gt;(C356+T356)),BB356,0),IF(AND(ISNUMBER(AO356),AO356&gt;(C356+T356)),BC356,0))</f>
        <v/>
      </c>
      <c r="BE356" s="29">
        <f>IF(AT356=1,"transition",IF(MIN(IF(AND(J356=0,ISNUMBER(AP356),AP356&lt;=(C356+T356)),AP356,9E15),IF(AND(K356=0,ISNUMBER(AQ356),AQ356&lt;=(C356+T356)),AQ356,9E15),IF(AND(L356=0,ISNUMBER(AR356),AR356&lt;=(C356+T356)),AR356,9E15),IF(AND(M356=0,ISNUMBER(AS356),AS356&lt;=(C356+T356)),AS356,9E15))&lt;9E15,IF(AND(AND(J356=0,ISNUMBER(AP356),AP356&lt;=(C356+T356)),AP356=MIN(IF(AND(J356=0,ISNUMBER(AP356),AP356&lt;=(C356+T356)),AP356,9E15),IF(AND(K356=0,ISNUMBER(AQ356),AQ356&lt;=(C356+T356)),AQ356,9E15),IF(AND(L356=0,ISNUMBER(AR356),AR356&lt;=(C356+T356)),AR356,9E15),IF(AND(M356=0,ISNUMBER(AS356),AS356&lt;=(C356+T356)),AS356,9E15))),"BiP",IF(AND(AND(K356=0,ISNUMBER(AQ356),AQ356&lt;=(C356+T356)),AQ356=MIN(IF(AND(J356=0,ISNUMBER(AP356),AP356&lt;=(C356+T356)),AP356,9E15),IF(AND(K356=0,ISNUMBER(AQ356),AQ356&lt;=(C356+T356)),AQ356,9E15),IF(AND(L356=0,ISNUMBER(AR356),AR356&lt;=(C356+T356)),AR356,9E15),IF(AND(M356=0,ISNUMBER(AS356),AS356&lt;=(C356+T356)),AS356,9E15))),"PV",IF(AND(AND(L356=0,ISNUMBER(AR356),AR356&lt;=(C356+T356)),AR356=MIN(IF(AND(J356=0,ISNUMBER(AP356),AP356&lt;=(C356+T356)),AP356,9E15),IF(AND(K356=0,ISNUMBER(AQ356),AQ356&lt;=(C356+T356)),AQ356,9E15),IF(AND(L356=0,ISNUMBER(AR356),AR356&lt;=(C356+T356)),AR356,9E15),IF(AND(M356=0,ISNUMBER(AS356),AS356&lt;=(C356+T356)),AS356,9E15))),"OC","MG"))),IF(AX356=TRUE,"",IF(MAX(IF(AND(NOT(AND(AU356=1,AT356&lt;&gt;1)),ISNUMBER(AK356),AK356&lt;=(C356+T356)),AY356,0),IF(AND(NOT(AND(AU356=1,AT356&lt;&gt;1)),ISNUMBER(AL356),AL356&lt;=(C356+T356)),AZ356,0),IF(AND(NOT(AND(AU356=1,AT356&lt;&gt;1)),ISNUMBER(AM356),AM356&lt;=(C356+T356)),BA356,0),IF(AND(NOT(AND(AU356=1,AT356&lt;&gt;1)),ISNUMBER(AN356),AN356&lt;=(C356+T356)),BB356,0),IF(AND(ISNUMBER(AO356),AO356&lt;=(C356+T356)),BC356,0))&lt;=0,"",IF(AND(IF(AND(NOT(AND(AU356=1,AT356&lt;&gt;1)),ISNUMBER(AK356),AK356&lt;=(C356+T356)),AY356,0)&gt;0,IF(AND(NOT(AND(AU356=1,AT356&lt;&gt;1)),ISNUMBER(AK356),AK356&lt;=(C356+T356)),AY356,0)=MAX(IF(AND(NOT(AND(AU356=1,AT356&lt;&gt;1)),ISNUMBER(AK356),AK356&lt;=(C356+T356)),AY356,0),IF(AND(NOT(AND(AU356=1,AT356&lt;&gt;1)),ISNUMBER(AL356),AL356&lt;=(C356+T356)),AZ356,0),IF(AND(NOT(AND(AU356=1,AT356&lt;&gt;1)),ISNUMBER(AM356),AM356&lt;=(C356+T356)),BA356,0),IF(AND(NOT(AND(AU356=1,AT356&lt;&gt;1)),ISNUMBER(AN356),AN356&lt;=(C356+T356)),BB356,0),IF(AND(ISNUMBER(AO356),AO356&lt;=(C356+T356)),BC356,0))),"SK",IF(AND(IF(AND(NOT(AND(AU356=1,AT356&lt;&gt;1)),ISNUMBER(AL356),AL356&lt;=(C356+T356)),AZ356,0)&gt;0,IF(AND(NOT(AND(AU356=1,AT356&lt;&gt;1)),ISNUMBER(AL356),AL356&lt;=(C356+T356)),AZ356,0)=MAX(IF(AND(NOT(AND(AU356=1,AT356&lt;&gt;1)),ISNUMBER(AK356),AK356&lt;=(C356+T356)),AY356,0),IF(AND(NOT(AND(AU356=1,AT356&lt;&gt;1)),ISNUMBER(AL356),AL356&lt;=(C356+T356)),AZ356,0),IF(AND(NOT(AND(AU356=1,AT356&lt;&gt;1)),ISNUMBER(AM356),AM356&lt;=(C356+T356)),BA356,0),IF(AND(NOT(AND(AU356=1,AT356&lt;&gt;1)),ISNUMBER(AN356),AN356&lt;=(C356+T356)),BB356,0),IF(AND(ISNUMBER(AO356),AO356&lt;=(C356+T356)),BC356,0))),"LB",IF(AND(IF(AND(NOT(AND(AU356=1,AT356&lt;&gt;1)),ISNUMBER(AM356),AM356&lt;=(C356+T356)),BA356,0)&gt;0,IF(AND(NOT(AND(AU356=1,AT356&lt;&gt;1)),ISNUMBER(AM356),AM356&lt;=(C356+T356)),BA356,0)=MAX(IF(AND(NOT(AND(AU356=1,AT356&lt;&gt;1)),ISNUMBER(AK356),AK356&lt;=(C356+T356)),AY356,0),IF(AND(NOT(AND(AU356=1,AT356&lt;&gt;1)),ISNUMBER(AL356),AL356&lt;=(C356+T356)),AZ356,0),IF(AND(NOT(AND(AU356=1,AT356&lt;&gt;1)),ISNUMBER(AM356),AM356&lt;=(C356+T356)),BA356,0),IF(AND(NOT(AND(AU356=1,AT356&lt;&gt;1)),ISNUMBER(AN356),AN356&lt;=(C356+T356)),BB356,0),IF(AND(ISNUMBER(AO356),AO356&lt;=(C356+T356)),BC356,0))),"ML",IF(AND(IF(AND(NOT(AND(AU356=1,AT356&lt;&gt;1)),ISNUMBER(AN356),AN356&lt;=(C356+T356)),BB356,0)&gt;0,IF(AND(NOT(AND(AU356=1,AT356&lt;&gt;1)),ISNUMBER(AN356),AN356&lt;=(C356+T356)),BB356,0)=MAX(IF(AND(NOT(AND(AU356=1,AT356&lt;&gt;1)),ISNUMBER(AK356),AK356&lt;=(C356+T356)),AY356,0),IF(AND(NOT(AND(AU356=1,AT356&lt;&gt;1)),ISNUMBER(AL356),AL356&lt;=(C356+T356)),AZ356,0),IF(AND(NOT(AND(AU356=1,AT356&lt;&gt;1)),ISNUMBER(AM356),AM356&lt;=(C356+T356)),BA356,0),IF(AND(NOT(AND(AU356=1,AT356&lt;&gt;1)),ISNUMBER(AN356),AN356&lt;=(C356+T356)),BB356,0),IF(AND(ISNUMBER(AO356),AO356&lt;=(C356+T356)),BC356,0))),"RLO","BD"))))))))</f>
        <v/>
      </c>
    </row>
    <row r="357">
      <c r="A357" s="26" t="n">
        <v>346</v>
      </c>
      <c r="B357" s="27">
        <f>A357*10/60</f>
        <v/>
      </c>
      <c r="C357" s="22">
        <f>X356</f>
        <v/>
      </c>
      <c r="D357" s="27">
        <f>D356+W356</f>
        <v/>
      </c>
      <c r="E357" s="26">
        <f>E356+IF(U356="SK",1,0)</f>
        <v/>
      </c>
      <c r="F357" s="26">
        <f>F356+IF(U356="LB",1,0)</f>
        <v/>
      </c>
      <c r="G357" s="26">
        <f>G356+IF(U356="ML",1,0)</f>
        <v/>
      </c>
      <c r="H357" s="26">
        <f>H356+IF(U356="RLO",1,0)</f>
        <v/>
      </c>
      <c r="I357" s="26">
        <f>I356+IF(U356="BD",1,0)</f>
        <v/>
      </c>
      <c r="J357" s="26">
        <f>MAX(J356,IF(U356="BiP",1,0))</f>
        <v/>
      </c>
      <c r="K357" s="26">
        <f>MAX(K356,IF(U356="PV",1,0))</f>
        <v/>
      </c>
      <c r="L357" s="26">
        <f>MAX(L356,IF(U356="OC",1,0))</f>
        <v/>
      </c>
      <c r="M357" s="26">
        <f>MAX(M356,IF(U356="MG",1,0))</f>
        <v/>
      </c>
      <c r="N357" s="26">
        <f>MAX(N356,IF(U356="transition",1,0))</f>
        <v/>
      </c>
      <c r="O357" s="28">
        <f>(Parameters!$B$9+(IF(E357=0,0,(Upgrades!$J$13+E357*Upgrades!$K$13)*POWER(Upgrades!$L$13,E357)))*(IF(Upgrades!$T$14="Stellar Kinematics",POWER(Upgrades!$U$14,F357),1)*IF(Upgrades!$T$15="Stellar Kinematics",POWER(Upgrades!$U$15,G357),1)*IF(Upgrades!$T$16="Stellar Kinematics",POWER(Upgrades!$U$16,H357),1)*IF(Upgrades!$T$17="Stellar Kinematics",POWER(Upgrades!$U$17,I357),1)*IF(Upgrades!$T$18="Stellar Kinematics",POWER(Upgrades!$U$18,J357),1)*IF(Upgrades!$T$19="Stellar Kinematics",POWER(Upgrades!$U$19,K357),1)*IF(Upgrades!$T$20="Stellar Kinematics",POWER(Upgrades!$U$20,L357),1)*IF(Upgrades!$T$21="Stellar Kinematics",POWER(Upgrades!$U$21,M357),1))+(IF(F357=0,0,(Upgrades!$J$14+F357*Upgrades!$K$14)*POWER(Upgrades!$L$14,F357)))*(IF(Upgrades!$T$13="Local Bubble",POWER(Upgrades!$U$13,E357),1)*IF(Upgrades!$T$15="Local Bubble",POWER(Upgrades!$U$15,G357),1)*IF(Upgrades!$T$16="Local Bubble",POWER(Upgrades!$U$16,H357),1)*IF(Upgrades!$T$17="Local Bubble",POWER(Upgrades!$U$17,I357),1)*IF(Upgrades!$T$18="Local Bubble",POWER(Upgrades!$U$18,J357),1)*IF(Upgrades!$T$19="Local Bubble",POWER(Upgrades!$U$19,K357),1)*IF(Upgrades!$T$20="Local Bubble",POWER(Upgrades!$U$20,L357),1)*IF(Upgrades!$T$21="Local Bubble",POWER(Upgrades!$U$21,M357),1))+(IF(G357=0,0,(Upgrades!$J$15+G357*Upgrades!$K$15)*POWER(Upgrades!$L$15,G357)))*(IF(Upgrades!$T$13="Microlensing",POWER(Upgrades!$U$13,E357),1)*IF(Upgrades!$T$14="Microlensing",POWER(Upgrades!$U$14,F357),1)*IF(Upgrades!$T$16="Microlensing",POWER(Upgrades!$U$16,H357),1)*IF(Upgrades!$T$17="Microlensing",POWER(Upgrades!$U$17,I357),1)*IF(Upgrades!$T$18="Microlensing",POWER(Upgrades!$U$18,J357),1)*IF(Upgrades!$T$19="Microlensing",POWER(Upgrades!$U$19,K357),1)*IF(Upgrades!$T$20="Microlensing",POWER(Upgrades!$U$20,L357),1)*IF(Upgrades!$T$21="Microlensing",POWER(Upgrades!$U$21,M357),1))+(IF(H357=0,0,(Upgrades!$J$16+H357*Upgrades!$K$16)*POWER(Upgrades!$L$16,H357)))*(IF(Upgrades!$T$13="Roche Lobe Overflow",POWER(Upgrades!$U$13,E357),1)*IF(Upgrades!$T$14="Roche Lobe Overflow",POWER(Upgrades!$U$14,F357),1)*IF(Upgrades!$T$15="Roche Lobe Overflow",POWER(Upgrades!$U$15,G357),1)*IF(Upgrades!$T$17="Roche Lobe Overflow",POWER(Upgrades!$U$17,I357),1)*IF(Upgrades!$T$18="Roche Lobe Overflow",POWER(Upgrades!$U$18,J357),1)*IF(Upgrades!$T$19="Roche Lobe Overflow",POWER(Upgrades!$U$19,K357),1)*IF(Upgrades!$T$20="Roche Lobe Overflow",POWER(Upgrades!$U$20,L357),1)*IF(Upgrades!$T$21="Roche Lobe Overflow",POWER(Upgrades!$U$21,M357),1))+(IF(I357=0,0,(Upgrades!$J$17+I357*Upgrades!$K$17)*POWER(Upgrades!$L$17,I357)))*(IF(Upgrades!$T$13="Brown Dwarf",POWER(Upgrades!$U$13,E357),1)*IF(Upgrades!$T$14="Brown Dwarf",POWER(Upgrades!$U$14,F357),1)*IF(Upgrades!$T$15="Brown Dwarf",POWER(Upgrades!$U$15,G357),1)*IF(Upgrades!$T$16="Brown Dwarf",POWER(Upgrades!$U$16,H357),1)*IF(Upgrades!$T$18="Brown Dwarf",POWER(Upgrades!$U$18,J357),1)*IF(Upgrades!$T$19="Brown Dwarf",POWER(Upgrades!$U$19,K357),1)*IF(Upgrades!$T$20="Brown Dwarf",POWER(Upgrades!$U$20,L357),1)*IF(Upgrades!$T$21="Brown Dwarf",POWER(Upgrades!$U$21,M357),1))+(IF(J357=0,0,(Upgrades!$J$18+J357*Upgrades!$K$18)*POWER(Upgrades!$L$18,J357)))*(IF(Upgrades!$T$13="Binary Partner",POWER(Upgrades!$U$13,E357),1)*IF(Upgrades!$T$14="Binary Partner",POWER(Upgrades!$U$14,F357),1)*IF(Upgrades!$T$15="Binary Partner",POWER(Upgrades!$U$15,G357),1)*IF(Upgrades!$T$16="Binary Partner",POWER(Upgrades!$U$16,H357),1)*IF(Upgrades!$T$17="Binary Partner",POWER(Upgrades!$U$17,I357),1)*IF(Upgrades!$T$19="Binary Partner",POWER(Upgrades!$U$19,K357),1)*IF(Upgrades!$T$20="Binary Partner",POWER(Upgrades!$U$20,L357),1)*IF(Upgrades!$T$21="Binary Partner",POWER(Upgrades!$U$21,M357),1))+(IF(K357=0,0,(Upgrades!$J$19+K357*Upgrades!$K$19)*POWER(Upgrades!$L$19,K357)))*(IF(Upgrades!$T$13="Peculiar Velocity",POWER(Upgrades!$U$13,E357),1)*IF(Upgrades!$T$14="Peculiar Velocity",POWER(Upgrades!$U$14,F357),1)*IF(Upgrades!$T$15="Peculiar Velocity",POWER(Upgrades!$U$15,G357),1)*IF(Upgrades!$T$16="Peculiar Velocity",POWER(Upgrades!$U$16,H357),1)*IF(Upgrades!$T$17="Peculiar Velocity",POWER(Upgrades!$U$17,I357),1)*IF(Upgrades!$T$18="Peculiar Velocity",POWER(Upgrades!$U$18,J357),1)*IF(Upgrades!$T$20="Peculiar Velocity",POWER(Upgrades!$U$20,L357),1)*IF(Upgrades!$T$21="Peculiar Velocity",POWER(Upgrades!$U$21,M357),1))+(IF(L357=0,0,(Upgrades!$J$20+L357*Upgrades!$K$20)*POWER(Upgrades!$L$20,L357)))*(IF(Upgrades!$T$13="Open Cluster",POWER(Upgrades!$U$13,E357),1)*IF(Upgrades!$T$14="Open Cluster",POWER(Upgrades!$U$14,F357),1)*IF(Upgrades!$T$15="Open Cluster",POWER(Upgrades!$U$15,G357),1)*IF(Upgrades!$T$16="Open Cluster",POWER(Upgrades!$U$16,H357),1)*IF(Upgrades!$T$17="Open Cluster",POWER(Upgrades!$U$17,I357),1)*IF(Upgrades!$T$18="Open Cluster",POWER(Upgrades!$U$18,J357),1)*IF(Upgrades!$T$19="Open Cluster",POWER(Upgrades!$U$19,K357),1)*IF(Upgrades!$T$21="Open Cluster",POWER(Upgrades!$U$21,M357),1))+(IF(M357=0,0,(Upgrades!$J$21+M357*Upgrades!$K$21)*POWER(Upgrades!$L$21,M357)))*(IF(Upgrades!$T$13="Moving Group",POWER(Upgrades!$U$13,E357),1)*IF(Upgrades!$T$14="Moving Group",POWER(Upgrades!$U$14,F357),1)*IF(Upgrades!$T$15="Moving Group",POWER(Upgrades!$U$15,G357),1)*IF(Upgrades!$T$16="Moving Group",POWER(Upgrades!$U$16,H357),1)*IF(Upgrades!$T$17="Moving Group",POWER(Upgrades!$U$17,I357),1)*IF(Upgrades!$T$18="Moving Group",POWER(Upgrades!$U$18,J357),1)*IF(Upgrades!$T$19="Moving Group",POWER(Upgrades!$U$19,K357),1)*IF(Upgrades!$T$20="Moving Group",POWER(Upgrades!$U$20,L357),1)))*POWER(Upgrades!$Q$13,E357)*POWER(Upgrades!$Q$14,F357)*POWER(Upgrades!$Q$15,G357)*POWER(Upgrades!$Q$16,H357)*POWER(Upgrades!$Q$17,I357)*POWER(Upgrades!$Q$18,J357)*POWER(Upgrades!$Q$19,K357)*POWER(Upgrades!$Q$20,L357)*POWER(Upgrades!$Q$21,M357)*$G$6+$D$6</f>
        <v/>
      </c>
      <c r="P357" s="28">
        <f>((IF(E357=0,0,(Upgrades!$G$13+E357*Upgrades!$H$13)*POWER(Upgrades!$I$13,E357)))*(IF(Upgrades!$T$14="Stellar Kinematics",POWER(Upgrades!$U$14,F357),1)*IF(Upgrades!$T$15="Stellar Kinematics",POWER(Upgrades!$U$15,G357),1)*IF(Upgrades!$T$16="Stellar Kinematics",POWER(Upgrades!$U$16,H357),1)*IF(Upgrades!$T$17="Stellar Kinematics",POWER(Upgrades!$U$17,I357),1)*IF(Upgrades!$T$18="Stellar Kinematics",POWER(Upgrades!$U$18,J357),1)*IF(Upgrades!$T$19="Stellar Kinematics",POWER(Upgrades!$U$19,K357),1)*IF(Upgrades!$T$20="Stellar Kinematics",POWER(Upgrades!$U$20,L357),1)*IF(Upgrades!$T$21="Stellar Kinematics",POWER(Upgrades!$U$21,M357),1))+(IF(F357=0,0,(Upgrades!$G$14+F357*Upgrades!$H$14)*POWER(Upgrades!$I$14,F357)))*(IF(Upgrades!$T$13="Local Bubble",POWER(Upgrades!$U$13,E357),1)*IF(Upgrades!$T$15="Local Bubble",POWER(Upgrades!$U$15,G357),1)*IF(Upgrades!$T$16="Local Bubble",POWER(Upgrades!$U$16,H357),1)*IF(Upgrades!$T$17="Local Bubble",POWER(Upgrades!$U$17,I357),1)*IF(Upgrades!$T$18="Local Bubble",POWER(Upgrades!$U$18,J357),1)*IF(Upgrades!$T$19="Local Bubble",POWER(Upgrades!$U$19,K357),1)*IF(Upgrades!$T$20="Local Bubble",POWER(Upgrades!$U$20,L357),1)*IF(Upgrades!$T$21="Local Bubble",POWER(Upgrades!$U$21,M357),1))+(IF(G357=0,0,(Upgrades!$G$15+G357*Upgrades!$H$15)*POWER(Upgrades!$I$15,G357)))*(IF(Upgrades!$T$13="Microlensing",POWER(Upgrades!$U$13,E357),1)*IF(Upgrades!$T$14="Microlensing",POWER(Upgrades!$U$14,F357),1)*IF(Upgrades!$T$16="Microlensing",POWER(Upgrades!$U$16,H357),1)*IF(Upgrades!$T$17="Microlensing",POWER(Upgrades!$U$17,I357),1)*IF(Upgrades!$T$18="Microlensing",POWER(Upgrades!$U$18,J357),1)*IF(Upgrades!$T$19="Microlensing",POWER(Upgrades!$U$19,K357),1)*IF(Upgrades!$T$20="Microlensing",POWER(Upgrades!$U$20,L357),1)*IF(Upgrades!$T$21="Microlensing",POWER(Upgrades!$U$21,M357),1))+(IF(H357=0,0,(Upgrades!$G$16+H357*Upgrades!$H$16)*POWER(Upgrades!$I$16,H357)))*(IF(Upgrades!$T$13="Roche Lobe Overflow",POWER(Upgrades!$U$13,E357),1)*IF(Upgrades!$T$14="Roche Lobe Overflow",POWER(Upgrades!$U$14,F357),1)*IF(Upgrades!$T$15="Roche Lobe Overflow",POWER(Upgrades!$U$15,G357),1)*IF(Upgrades!$T$17="Roche Lobe Overflow",POWER(Upgrades!$U$17,I357),1)*IF(Upgrades!$T$18="Roche Lobe Overflow",POWER(Upgrades!$U$18,J357),1)*IF(Upgrades!$T$19="Roche Lobe Overflow",POWER(Upgrades!$U$19,K357),1)*IF(Upgrades!$T$20="Roche Lobe Overflow",POWER(Upgrades!$U$20,L357),1)*IF(Upgrades!$T$21="Roche Lobe Overflow",POWER(Upgrades!$U$21,M357),1))+(IF(I357=0,0,(Upgrades!$G$17+I357*Upgrades!$H$17)*POWER(Upgrades!$I$17,I357)))*(IF(Upgrades!$T$13="Brown Dwarf",POWER(Upgrades!$U$13,E357),1)*IF(Upgrades!$T$14="Brown Dwarf",POWER(Upgrades!$U$14,F357),1)*IF(Upgrades!$T$15="Brown Dwarf",POWER(Upgrades!$U$15,G357),1)*IF(Upgrades!$T$16="Brown Dwarf",POWER(Upgrades!$U$16,H357),1)*IF(Upgrades!$T$18="Brown Dwarf",POWER(Upgrades!$U$18,J357),1)*IF(Upgrades!$T$19="Brown Dwarf",POWER(Upgrades!$U$19,K357),1)*IF(Upgrades!$T$20="Brown Dwarf",POWER(Upgrades!$U$20,L357),1)*IF(Upgrades!$T$21="Brown Dwarf",POWER(Upgrades!$U$21,M357),1))+(IF(J357=0,0,(Upgrades!$G$18+J357*Upgrades!$H$18)*POWER(Upgrades!$I$18,J357)))*(IF(Upgrades!$T$13="Binary Partner",POWER(Upgrades!$U$13,E357),1)*IF(Upgrades!$T$14="Binary Partner",POWER(Upgrades!$U$14,F357),1)*IF(Upgrades!$T$15="Binary Partner",POWER(Upgrades!$U$15,G357),1)*IF(Upgrades!$T$16="Binary Partner",POWER(Upgrades!$U$16,H357),1)*IF(Upgrades!$T$17="Binary Partner",POWER(Upgrades!$U$17,I357),1)*IF(Upgrades!$T$19="Binary Partner",POWER(Upgrades!$U$19,K357),1)*IF(Upgrades!$T$20="Binary Partner",POWER(Upgrades!$U$20,L357),1)*IF(Upgrades!$T$21="Binary Partner",POWER(Upgrades!$U$21,M357),1))+(IF(K357=0,0,(Upgrades!$G$19+K357*Upgrades!$H$19)*POWER(Upgrades!$I$19,K357)))*(IF(Upgrades!$T$13="Peculiar Velocity",POWER(Upgrades!$U$13,E357),1)*IF(Upgrades!$T$14="Peculiar Velocity",POWER(Upgrades!$U$14,F357),1)*IF(Upgrades!$T$15="Peculiar Velocity",POWER(Upgrades!$U$15,G357),1)*IF(Upgrades!$T$16="Peculiar Velocity",POWER(Upgrades!$U$16,H357),1)*IF(Upgrades!$T$17="Peculiar Velocity",POWER(Upgrades!$U$17,I357),1)*IF(Upgrades!$T$18="Peculiar Velocity",POWER(Upgrades!$U$18,J357),1)*IF(Upgrades!$T$20="Peculiar Velocity",POWER(Upgrades!$U$20,L357),1)*IF(Upgrades!$T$21="Peculiar Velocity",POWER(Upgrades!$U$21,M357),1))+(IF(L357=0,0,(Upgrades!$G$20+L357*Upgrades!$H$20)*POWER(Upgrades!$I$20,L357)))*(IF(Upgrades!$T$13="Open Cluster",POWER(Upgrades!$U$13,E357),1)*IF(Upgrades!$T$14="Open Cluster",POWER(Upgrades!$U$14,F357),1)*IF(Upgrades!$T$15="Open Cluster",POWER(Upgrades!$U$15,G357),1)*IF(Upgrades!$T$16="Open Cluster",POWER(Upgrades!$U$16,H357),1)*IF(Upgrades!$T$17="Open Cluster",POWER(Upgrades!$U$17,I357),1)*IF(Upgrades!$T$18="Open Cluster",POWER(Upgrades!$U$18,J357),1)*IF(Upgrades!$T$19="Open Cluster",POWER(Upgrades!$U$19,K357),1)*IF(Upgrades!$T$21="Open Cluster",POWER(Upgrades!$U$21,M357),1))+(IF(M357=0,0,(Upgrades!$G$21+M357*Upgrades!$H$21)*POWER(Upgrades!$I$21,M357)))*(IF(Upgrades!$T$13="Moving Group",POWER(Upgrades!$U$13,E357),1)*IF(Upgrades!$T$14="Moving Group",POWER(Upgrades!$U$14,F357),1)*IF(Upgrades!$T$15="Moving Group",POWER(Upgrades!$U$15,G357),1)*IF(Upgrades!$T$16="Moving Group",POWER(Upgrades!$U$16,H357),1)*IF(Upgrades!$T$17="Moving Group",POWER(Upgrades!$U$17,I357),1)*IF(Upgrades!$T$18="Moving Group",POWER(Upgrades!$U$18,J357),1)*IF(Upgrades!$T$19="Moving Group",POWER(Upgrades!$U$19,K357),1)*IF(Upgrades!$T$20="Moving Group",POWER(Upgrades!$U$20,L357),1)))*POWER(Upgrades!$P$13,E357)*POWER(Upgrades!$P$14,F357)*POWER(Upgrades!$P$15,G357)*POWER(Upgrades!$P$16,H357)*POWER(Upgrades!$P$17,I357)*POWER(Upgrades!$P$18,J357)*POWER(Upgrades!$P$19,K357)*POWER(Upgrades!$P$20,L357)*POWER(Upgrades!$P$21,M357)*$F$6+$C$6</f>
        <v/>
      </c>
      <c r="Q357" s="28">
        <f>((IF(E357=0,0,(Upgrades!$M$13+E357*Upgrades!$N$13)*POWER(Upgrades!$O$13,E357)))*(IF(Upgrades!$T$14="Stellar Kinematics",POWER(Upgrades!$U$14,F357),1)*IF(Upgrades!$T$15="Stellar Kinematics",POWER(Upgrades!$U$15,G357),1)*IF(Upgrades!$T$16="Stellar Kinematics",POWER(Upgrades!$U$16,H357),1)*IF(Upgrades!$T$17="Stellar Kinematics",POWER(Upgrades!$U$17,I357),1)*IF(Upgrades!$T$18="Stellar Kinematics",POWER(Upgrades!$U$18,J357),1)*IF(Upgrades!$T$19="Stellar Kinematics",POWER(Upgrades!$U$19,K357),1)*IF(Upgrades!$T$20="Stellar Kinematics",POWER(Upgrades!$U$20,L357),1)*IF(Upgrades!$T$21="Stellar Kinematics",POWER(Upgrades!$U$21,M357),1))+(IF(F357=0,0,(Upgrades!$M$14+F357*Upgrades!$N$14)*POWER(Upgrades!$O$14,F357)))*(IF(Upgrades!$T$13="Local Bubble",POWER(Upgrades!$U$13,E357),1)*IF(Upgrades!$T$15="Local Bubble",POWER(Upgrades!$U$15,G357),1)*IF(Upgrades!$T$16="Local Bubble",POWER(Upgrades!$U$16,H357),1)*IF(Upgrades!$T$17="Local Bubble",POWER(Upgrades!$U$17,I357),1)*IF(Upgrades!$T$18="Local Bubble",POWER(Upgrades!$U$18,J357),1)*IF(Upgrades!$T$19="Local Bubble",POWER(Upgrades!$U$19,K357),1)*IF(Upgrades!$T$20="Local Bubble",POWER(Upgrades!$U$20,L357),1)*IF(Upgrades!$T$21="Local Bubble",POWER(Upgrades!$U$21,M357),1))+(IF(G357=0,0,(Upgrades!$M$15+G357*Upgrades!$N$15)*POWER(Upgrades!$O$15,G357)))*(IF(Upgrades!$T$13="Microlensing",POWER(Upgrades!$U$13,E357),1)*IF(Upgrades!$T$14="Microlensing",POWER(Upgrades!$U$14,F357),1)*IF(Upgrades!$T$16="Microlensing",POWER(Upgrades!$U$16,H357),1)*IF(Upgrades!$T$17="Microlensing",POWER(Upgrades!$U$17,I357),1)*IF(Upgrades!$T$18="Microlensing",POWER(Upgrades!$U$18,J357),1)*IF(Upgrades!$T$19="Microlensing",POWER(Upgrades!$U$19,K357),1)*IF(Upgrades!$T$20="Microlensing",POWER(Upgrades!$U$20,L357),1)*IF(Upgrades!$T$21="Microlensing",POWER(Upgrades!$U$21,M357),1))+(IF(H357=0,0,(Upgrades!$M$16+H357*Upgrades!$N$16)*POWER(Upgrades!$O$16,H357)))*(IF(Upgrades!$T$13="Roche Lobe Overflow",POWER(Upgrades!$U$13,E357),1)*IF(Upgrades!$T$14="Roche Lobe Overflow",POWER(Upgrades!$U$14,F357),1)*IF(Upgrades!$T$15="Roche Lobe Overflow",POWER(Upgrades!$U$15,G357),1)*IF(Upgrades!$T$17="Roche Lobe Overflow",POWER(Upgrades!$U$17,I357),1)*IF(Upgrades!$T$18="Roche Lobe Overflow",POWER(Upgrades!$U$18,J357),1)*IF(Upgrades!$T$19="Roche Lobe Overflow",POWER(Upgrades!$U$19,K357),1)*IF(Upgrades!$T$20="Roche Lobe Overflow",POWER(Upgrades!$U$20,L357),1)*IF(Upgrades!$T$21="Roche Lobe Overflow",POWER(Upgrades!$U$21,M357),1))+(IF(I357=0,0,(Upgrades!$M$17+I357*Upgrades!$N$17)*POWER(Upgrades!$O$17,I357)))*(IF(Upgrades!$T$13="Brown Dwarf",POWER(Upgrades!$U$13,E357),1)*IF(Upgrades!$T$14="Brown Dwarf",POWER(Upgrades!$U$14,F357),1)*IF(Upgrades!$T$15="Brown Dwarf",POWER(Upgrades!$U$15,G357),1)*IF(Upgrades!$T$16="Brown Dwarf",POWER(Upgrades!$U$16,H357),1)*IF(Upgrades!$T$18="Brown Dwarf",POWER(Upgrades!$U$18,J357),1)*IF(Upgrades!$T$19="Brown Dwarf",POWER(Upgrades!$U$19,K357),1)*IF(Upgrades!$T$20="Brown Dwarf",POWER(Upgrades!$U$20,L357),1)*IF(Upgrades!$T$21="Brown Dwarf",POWER(Upgrades!$U$21,M357),1))+(IF(J357=0,0,(Upgrades!$M$18+J357*Upgrades!$N$18)*POWER(Upgrades!$O$18,J357)))*(IF(Upgrades!$T$13="Binary Partner",POWER(Upgrades!$U$13,E357),1)*IF(Upgrades!$T$14="Binary Partner",POWER(Upgrades!$U$14,F357),1)*IF(Upgrades!$T$15="Binary Partner",POWER(Upgrades!$U$15,G357),1)*IF(Upgrades!$T$16="Binary Partner",POWER(Upgrades!$U$16,H357),1)*IF(Upgrades!$T$17="Binary Partner",POWER(Upgrades!$U$17,I357),1)*IF(Upgrades!$T$19="Binary Partner",POWER(Upgrades!$U$19,K357),1)*IF(Upgrades!$T$20="Binary Partner",POWER(Upgrades!$U$20,L357),1)*IF(Upgrades!$T$21="Binary Partner",POWER(Upgrades!$U$21,M357),1))+(IF(K357=0,0,(Upgrades!$M$19+K357*Upgrades!$N$19)*POWER(Upgrades!$O$19,K357)))*(IF(Upgrades!$T$13="Peculiar Velocity",POWER(Upgrades!$U$13,E357),1)*IF(Upgrades!$T$14="Peculiar Velocity",POWER(Upgrades!$U$14,F357),1)*IF(Upgrades!$T$15="Peculiar Velocity",POWER(Upgrades!$U$15,G357),1)*IF(Upgrades!$T$16="Peculiar Velocity",POWER(Upgrades!$U$16,H357),1)*IF(Upgrades!$T$17="Peculiar Velocity",POWER(Upgrades!$U$17,I357),1)*IF(Upgrades!$T$18="Peculiar Velocity",POWER(Upgrades!$U$18,J357),1)*IF(Upgrades!$T$20="Peculiar Velocity",POWER(Upgrades!$U$20,L357),1)*IF(Upgrades!$T$21="Peculiar Velocity",POWER(Upgrades!$U$21,M357),1))+(IF(L357=0,0,(Upgrades!$M$20+L357*Upgrades!$N$20)*POWER(Upgrades!$O$20,L357)))*(IF(Upgrades!$T$13="Open Cluster",POWER(Upgrades!$U$13,E357),1)*IF(Upgrades!$T$14="Open Cluster",POWER(Upgrades!$U$14,F357),1)*IF(Upgrades!$T$15="Open Cluster",POWER(Upgrades!$U$15,G357),1)*IF(Upgrades!$T$16="Open Cluster",POWER(Upgrades!$U$16,H357),1)*IF(Upgrades!$T$17="Open Cluster",POWER(Upgrades!$U$17,I357),1)*IF(Upgrades!$T$18="Open Cluster",POWER(Upgrades!$U$18,J357),1)*IF(Upgrades!$T$19="Open Cluster",POWER(Upgrades!$U$19,K357),1)*IF(Upgrades!$T$21="Open Cluster",POWER(Upgrades!$U$21,M357),1))+(IF(M357=0,0,(Upgrades!$M$21+M357*Upgrades!$N$21)*POWER(Upgrades!$O$21,M357)))*(IF(Upgrades!$T$13="Moving Group",POWER(Upgrades!$U$13,E357),1)*IF(Upgrades!$T$14="Moving Group",POWER(Upgrades!$U$14,F357),1)*IF(Upgrades!$T$15="Moving Group",POWER(Upgrades!$U$15,G357),1)*IF(Upgrades!$T$16="Moving Group",POWER(Upgrades!$U$16,H357),1)*IF(Upgrades!$T$17="Moving Group",POWER(Upgrades!$U$17,I357),1)*IF(Upgrades!$T$18="Moving Group",POWER(Upgrades!$U$18,J357),1)*IF(Upgrades!$T$19="Moving Group",POWER(Upgrades!$U$19,K357),1)*IF(Upgrades!$T$20="Moving Group",POWER(Upgrades!$U$20,L357),1)))*POWER(Upgrades!$R$13,E357)*POWER(Upgrades!$R$14,F357)*POWER(Upgrades!$R$15,G357)*POWER(Upgrades!$R$16,H357)*POWER(Upgrades!$R$17,I357)*POWER(Upgrades!$R$18,J357)*POWER(Upgrades!$R$19,K357)*POWER(Upgrades!$R$20,L357)*POWER(Upgrades!$R$21,M357)*$H$6+$E$6</f>
        <v/>
      </c>
      <c r="R357" s="27">
        <f>IF(N357=1,0,O357*Parameters!$B$10/60*Parameters!$B$11*10)</f>
        <v/>
      </c>
      <c r="S357" s="27">
        <f>IF(N357=1,0,Q357*O357*10)</f>
        <v/>
      </c>
      <c r="T357" s="27">
        <f>IF(N357=1,0,R357+S357+P357*10)</f>
        <v/>
      </c>
      <c r="U357" s="33">
        <f>BE357</f>
        <v/>
      </c>
      <c r="V357" s="22">
        <f>IF(U357="",0,IF(U357="transition",0,IF(U357="SK",AK357,IF(U357="LB",AL357,IF(U357="ML",AM357,IF(U357="RLO",AN357,IF(U357="BD",AO357,IF(U357="BiP",AP357,IF(U357="PV",AQ357,IF(U357="OC",AR357,IF(U357="MG",AS357,0))))))))))</f>
        <v/>
      </c>
      <c r="W357" s="27">
        <f>IF(U357="BiP",Upgrades!$F$18,IF(U357="PV",Upgrades!$F$19,IF(U357="OC",Upgrades!$F$20,IF(U357="MG",Upgrades!$F$21,IF(U357="transition",-Parameters!$B$18*Parameters!$B$19,0)))))</f>
        <v/>
      </c>
      <c r="X357" s="22">
        <f>C357+T357-V357</f>
        <v/>
      </c>
      <c r="Y357" s="30">
        <f>O357*Parameters!$B$10/60*Parameters!$B$11+Q357*O357+P357</f>
        <v/>
      </c>
      <c r="Z357" s="34">
        <f>IF(U357="transition","→ Tier 3 (Galactic Arm)",IF(U357="MG","Moving Group — pocket drifts together",IF(U357="OC","Open Cluster acquired",IF(U357="PV","Peculiar Velocity — passive multiplier active",IF(U357="BiP","Binary Partner — pair bond formed",IF(AND(AU357=1,N357=0,AT357&lt;&gt;1),"Cohesion ready (waiting on completionists)","")))))) </f>
        <v/>
      </c>
      <c r="AA357" s="27">
        <f>(IF(E357=0,0,(Upgrades!$G$13+E357*Upgrades!$H$13)*POWER(Upgrades!$I$13,E357)))*(IF(Upgrades!$T$14="Stellar Kinematics",POWER(Upgrades!$U$14,F357),1)*IF(Upgrades!$T$15="Stellar Kinematics",POWER(Upgrades!$U$15,G357),1)*IF(Upgrades!$T$16="Stellar Kinematics",POWER(Upgrades!$U$16,H357),1)*IF(Upgrades!$T$17="Stellar Kinematics",POWER(Upgrades!$U$17,I357),1)*IF(Upgrades!$T$18="Stellar Kinematics",POWER(Upgrades!$U$18,J357),1)*IF(Upgrades!$T$19="Stellar Kinematics",POWER(Upgrades!$U$19,K357),1)*IF(Upgrades!$T$20="Stellar Kinematics",POWER(Upgrades!$U$20,L357),1)*IF(Upgrades!$T$21="Stellar Kinematics",POWER(Upgrades!$U$21,M357),1))*POWER(Upgrades!$P$13,E357)*POWER(Upgrades!$P$14,F357)*POWER(Upgrades!$P$15,G357)*POWER(Upgrades!$P$16,H357)*POWER(Upgrades!$P$17,I357)*POWER(Upgrades!$P$18,J357)*POWER(Upgrades!$P$19,K357)*POWER(Upgrades!$P$20,L357)*POWER(Upgrades!$P$21,M357)*$F$6*60</f>
        <v/>
      </c>
      <c r="AB357" s="27">
        <f>(IF(F357=0,0,(Upgrades!$G$14+F357*Upgrades!$H$14)*POWER(Upgrades!$I$14,F357)))*(IF(Upgrades!$T$13="Local Bubble",POWER(Upgrades!$U$13,E357),1)*IF(Upgrades!$T$15="Local Bubble",POWER(Upgrades!$U$15,G357),1)*IF(Upgrades!$T$16="Local Bubble",POWER(Upgrades!$U$16,H357),1)*IF(Upgrades!$T$17="Local Bubble",POWER(Upgrades!$U$17,I357),1)*IF(Upgrades!$T$18="Local Bubble",POWER(Upgrades!$U$18,J357),1)*IF(Upgrades!$T$19="Local Bubble",POWER(Upgrades!$U$19,K357),1)*IF(Upgrades!$T$20="Local Bubble",POWER(Upgrades!$U$20,L357),1)*IF(Upgrades!$T$21="Local Bubble",POWER(Upgrades!$U$21,M357),1))*POWER(Upgrades!$P$13,E357)*POWER(Upgrades!$P$14,F357)*POWER(Upgrades!$P$15,G357)*POWER(Upgrades!$P$16,H357)*POWER(Upgrades!$P$17,I357)*POWER(Upgrades!$P$18,J357)*POWER(Upgrades!$P$19,K357)*POWER(Upgrades!$P$20,L357)*POWER(Upgrades!$P$21,M357)*$F$6*60</f>
        <v/>
      </c>
      <c r="AC357" s="27">
        <f>(IF(G357=0,0,(Upgrades!$J$15+G357*Upgrades!$K$15)*POWER(Upgrades!$L$15,G357)))*(IF(Upgrades!$T$13="Microlensing",POWER(Upgrades!$U$13,E357),1)*IF(Upgrades!$T$14="Microlensing",POWER(Upgrades!$U$14,F357),1)*IF(Upgrades!$T$16="Microlensing",POWER(Upgrades!$U$16,H357),1)*IF(Upgrades!$T$17="Microlensing",POWER(Upgrades!$U$17,I357),1)*IF(Upgrades!$T$18="Microlensing",POWER(Upgrades!$U$18,J357),1)*IF(Upgrades!$T$19="Microlensing",POWER(Upgrades!$U$19,K357),1)*IF(Upgrades!$T$20="Microlensing",POWER(Upgrades!$U$20,L357),1)*IF(Upgrades!$T$21="Microlensing",POWER(Upgrades!$U$21,M357),1))*POWER(Upgrades!$Q$13,E357)*POWER(Upgrades!$Q$14,F357)*POWER(Upgrades!$Q$15,G357)*POWER(Upgrades!$Q$16,H357)*POWER(Upgrades!$Q$17,I357)*POWER(Upgrades!$Q$18,J357)*POWER(Upgrades!$Q$19,K357)*POWER(Upgrades!$Q$20,L357)*POWER(Upgrades!$Q$21,M357)*$G$6*(Parameters!$B$10*Parameters!$B$11+Q357*60)</f>
        <v/>
      </c>
      <c r="AD357" s="27">
        <f>(IF(H357=0,0,(Upgrades!$M$16+H357*Upgrades!$N$16)*POWER(Upgrades!$O$16,H357)))*(IF(Upgrades!$T$13="Roche Lobe Overflow",POWER(Upgrades!$U$13,E357),1)*IF(Upgrades!$T$14="Roche Lobe Overflow",POWER(Upgrades!$U$14,F357),1)*IF(Upgrades!$T$15="Roche Lobe Overflow",POWER(Upgrades!$U$15,G357),1)*IF(Upgrades!$T$17="Roche Lobe Overflow",POWER(Upgrades!$U$17,I357),1)*IF(Upgrades!$T$18="Roche Lobe Overflow",POWER(Upgrades!$U$18,J357),1)*IF(Upgrades!$T$19="Roche Lobe Overflow",POWER(Upgrades!$U$19,K357),1)*IF(Upgrades!$T$20="Roche Lobe Overflow",POWER(Upgrades!$U$20,L357),1)*IF(Upgrades!$T$21="Roche Lobe Overflow",POWER(Upgrades!$U$21,M357),1))*POWER(Upgrades!$R$13,E357)*POWER(Upgrades!$R$14,F357)*POWER(Upgrades!$R$15,G357)*POWER(Upgrades!$R$16,H357)*POWER(Upgrades!$R$17,I357)*POWER(Upgrades!$R$18,J357)*POWER(Upgrades!$R$19,K357)*POWER(Upgrades!$R$20,L357)*POWER(Upgrades!$R$21,M357)*$H$6*O357*60</f>
        <v/>
      </c>
      <c r="AE357" s="27">
        <f>(IF(I357=0,0,(Upgrades!$G$17+I357*Upgrades!$H$17)*POWER(Upgrades!$I$17,I357)))*(IF(Upgrades!$T$13="Brown Dwarf",POWER(Upgrades!$U$13,E357),1)*IF(Upgrades!$T$14="Brown Dwarf",POWER(Upgrades!$U$14,F357),1)*IF(Upgrades!$T$15="Brown Dwarf",POWER(Upgrades!$U$15,G357),1)*IF(Upgrades!$T$16="Brown Dwarf",POWER(Upgrades!$U$16,H357),1)*IF(Upgrades!$T$18="Brown Dwarf",POWER(Upgrades!$U$18,J357),1)*IF(Upgrades!$T$19="Brown Dwarf",POWER(Upgrades!$U$19,K357),1)*IF(Upgrades!$T$20="Brown Dwarf",POWER(Upgrades!$U$20,L357),1)*IF(Upgrades!$T$21="Brown Dwarf",POWER(Upgrades!$U$21,M357),1))*POWER(Upgrades!$P$13,E357)*POWER(Upgrades!$P$14,F357)*POWER(Upgrades!$P$15,G357)*POWER(Upgrades!$P$16,H357)*POWER(Upgrades!$P$17,I357)*POWER(Upgrades!$P$18,J357)*POWER(Upgrades!$P$19,K357)*POWER(Upgrades!$P$20,L357)*POWER(Upgrades!$P$21,M357)*$F$6*60</f>
        <v/>
      </c>
      <c r="AF357" s="27" t="n">
        <v>0</v>
      </c>
      <c r="AG357" s="27" t="n">
        <v>0</v>
      </c>
      <c r="AH357" s="27" t="n">
        <v>0</v>
      </c>
      <c r="AI357" s="27">
        <f>(IF(M357=0,0,(Upgrades!$G$21+M357*Upgrades!$H$21)*POWER(Upgrades!$I$21,M357)))*(IF(Upgrades!$T$13="Moving Group",POWER(Upgrades!$U$13,E357),1)*IF(Upgrades!$T$14="Moving Group",POWER(Upgrades!$U$14,F357),1)*IF(Upgrades!$T$15="Moving Group",POWER(Upgrades!$U$15,G357),1)*IF(Upgrades!$T$16="Moving Group",POWER(Upgrades!$U$16,H357),1)*IF(Upgrades!$T$17="Moving Group",POWER(Upgrades!$U$17,I357),1)*IF(Upgrades!$T$18="Moving Group",POWER(Upgrades!$U$18,J357),1)*IF(Upgrades!$T$19="Moving Group",POWER(Upgrades!$U$19,K357),1)*IF(Upgrades!$T$20="Moving Group",POWER(Upgrades!$U$20,L357),1))*POWER(Upgrades!$P$13,E357)*POWER(Upgrades!$P$14,F357)*POWER(Upgrades!$P$15,G357)*POWER(Upgrades!$P$16,H357)*POWER(Upgrades!$P$17,I357)*POWER(Upgrades!$P$18,J357)*POWER(Upgrades!$P$19,K357)*POWER(Upgrades!$P$20,L357)*POWER(Upgrades!$P$21,M357)*$F$6*60</f>
        <v/>
      </c>
      <c r="AJ357" s="27">
        <f>$C$6*60</f>
        <v/>
      </c>
      <c r="AK357" s="22">
        <f>IF(E357&gt;=Upgrades!$E$13,"",Upgrades!$C$13*POWER(Upgrades!$D$13,E357))</f>
        <v/>
      </c>
      <c r="AL357" s="22">
        <f>IF(F357&gt;=Upgrades!$E$14,"",Upgrades!$C$14*POWER(Upgrades!$D$14,F357))</f>
        <v/>
      </c>
      <c r="AM357" s="22">
        <f>IF(G357&gt;=Upgrades!$E$15,"",Upgrades!$C$15*POWER(Upgrades!$D$15,G357))</f>
        <v/>
      </c>
      <c r="AN357" s="22">
        <f>IF(H357&gt;=Upgrades!$E$16,"",Upgrades!$C$16*POWER(Upgrades!$D$16,H357))</f>
        <v/>
      </c>
      <c r="AO357" s="22">
        <f>IF(I357&gt;=Upgrades!$E$17,"",Upgrades!$C$17*POWER(Upgrades!$D$17,I357))</f>
        <v/>
      </c>
      <c r="AP357" s="22">
        <f>IF(J357&gt;=Upgrades!$E$18,"",Upgrades!$C$18*POWER(Upgrades!$D$18,J357))</f>
        <v/>
      </c>
      <c r="AQ357" s="22">
        <f>IF(K357&gt;=Upgrades!$E$19,"",Upgrades!$C$19*POWER(Upgrades!$D$19,K357))</f>
        <v/>
      </c>
      <c r="AR357" s="22">
        <f>IF(L357&gt;=Upgrades!$E$20,"",Upgrades!$C$20*POWER(Upgrades!$D$20,L357))</f>
        <v/>
      </c>
      <c r="AS357" s="22">
        <f>IF(M357&gt;=Upgrades!$E$21,"",Upgrades!$C$21*POWER(Upgrades!$D$21,M357))</f>
        <v/>
      </c>
      <c r="AT357" s="26">
        <f>IF(AND(D357&gt;=Parameters!$B$18*Parameters!$B$19,(I357&gt;=Upgrades!$E$17)*(M357&gt;=Upgrades!$E$21)=1,N357=0),1,"")</f>
        <v/>
      </c>
      <c r="AU357" s="26">
        <f>IF(AND(D357&gt;=Parameters!$B$18*Parameters!$B$19,N357=0),1,"")</f>
        <v/>
      </c>
      <c r="AV357" s="22">
        <f>MIN(IF(ISNUMBER(AP357),AP357,9E15),IF(ISNUMBER(AQ357),AQ357,9E15),IF(ISNUMBER(AR357),AR357,9E15),IF(ISNUMBER(AS357),AS357,9E15))</f>
        <v/>
      </c>
      <c r="AW357" s="22">
        <f>MIN(IF(ISNUMBER(AK357),AK357,9E15),IF(ISNUMBER(AL357),AL357,9E15),IF(ISNUMBER(AM357),AM357,9E15),IF(ISNUMBER(AN357),AN357,9E15),IF(ISNUMBER(AO357),AO357,9E15))</f>
        <v/>
      </c>
      <c r="AX357" s="29">
        <f>IF(BD357&gt;Parameters!$B$21*(MAX(IF(AND(NOT(AND(AU357=1,AT357&lt;&gt;1)),ISNUMBER(AK357),AK357&lt;=(C357+T357)),AY357,0),IF(AND(NOT(AND(AU357=1,AT357&lt;&gt;1)),ISNUMBER(AL357),AL357&lt;=(C357+T357)),AZ357,0),IF(AND(NOT(AND(AU357=1,AT357&lt;&gt;1)),ISNUMBER(AM357),AM357&lt;=(C357+T357)),BA357,0),IF(AND(NOT(AND(AU357=1,AT357&lt;&gt;1)),ISNUMBER(AN357),AN357&lt;=(C357+T357)),BB357,0),IF(AND(ISNUMBER(AO357),AO357&lt;=(C357+T357)),BC357,0))),TRUE,FALSE)</f>
        <v/>
      </c>
      <c r="AY357" s="32">
        <f>IFERROR(Upgrades!$H$13*(POWER(Upgrades!$P$13,E357)*POWER(Upgrades!$P$14,F357)*POWER(Upgrades!$P$15,G357)*POWER(Upgrades!$P$16,H357)*POWER(Upgrades!$P$17,I357)*POWER(Upgrades!$P$18,J357)*POWER(Upgrades!$P$19,K357)*POWER(Upgrades!$P$20,L357)*POWER(Upgrades!$P$21,M357))*(IF(Upgrades!$T$14="Stellar Kinematics",POWER(Upgrades!$U$14,F357),1)*IF(Upgrades!$T$15="Stellar Kinematics",POWER(Upgrades!$U$15,G357),1)*IF(Upgrades!$T$16="Stellar Kinematics",POWER(Upgrades!$U$16,H357),1)*IF(Upgrades!$T$17="Stellar Kinematics",POWER(Upgrades!$U$17,I357),1)*IF(Upgrades!$T$18="Stellar Kinematics",POWER(Upgrades!$U$18,J357),1)*IF(Upgrades!$T$19="Stellar Kinematics",POWER(Upgrades!$U$19,K357),1)*IF(Upgrades!$T$20="Stellar Kinematics",POWER(Upgrades!$U$20,L357),1)*IF(Upgrades!$T$21="Stellar Kinematics",POWER(Upgrades!$U$21,M357),1))*$F$6/AK357,0)</f>
        <v/>
      </c>
      <c r="AZ357" s="32">
        <f>IFERROR(Upgrades!$H$14*(POWER(Upgrades!$P$13,E357)*POWER(Upgrades!$P$14,F357)*POWER(Upgrades!$P$15,G357)*POWER(Upgrades!$P$16,H357)*POWER(Upgrades!$P$17,I357)*POWER(Upgrades!$P$18,J357)*POWER(Upgrades!$P$19,K357)*POWER(Upgrades!$P$20,L357)*POWER(Upgrades!$P$21,M357))*(IF(Upgrades!$T$13="Local Bubble",POWER(Upgrades!$U$13,E357),1)*IF(Upgrades!$T$15="Local Bubble",POWER(Upgrades!$U$15,G357),1)*IF(Upgrades!$T$16="Local Bubble",POWER(Upgrades!$U$16,H357),1)*IF(Upgrades!$T$17="Local Bubble",POWER(Upgrades!$U$17,I357),1)*IF(Upgrades!$T$18="Local Bubble",POWER(Upgrades!$U$18,J357),1)*IF(Upgrades!$T$19="Local Bubble",POWER(Upgrades!$U$19,K357),1)*IF(Upgrades!$T$20="Local Bubble",POWER(Upgrades!$U$20,L357),1)*IF(Upgrades!$T$21="Local Bubble",POWER(Upgrades!$U$21,M357),1))*$F$6/AL357,0)</f>
        <v/>
      </c>
      <c r="BA357" s="32">
        <f>IFERROR(Upgrades!$K$15*(POWER(Upgrades!$Q$13,E357)*POWER(Upgrades!$Q$14,F357)*POWER(Upgrades!$Q$15,G357)*POWER(Upgrades!$Q$16,H357)*POWER(Upgrades!$Q$17,I357)*POWER(Upgrades!$Q$18,J357)*POWER(Upgrades!$Q$19,K357)*POWER(Upgrades!$Q$20,L357)*POWER(Upgrades!$Q$21,M357))*(IF(Upgrades!$T$13="Microlensing",POWER(Upgrades!$U$13,E357),1)*IF(Upgrades!$T$14="Microlensing",POWER(Upgrades!$U$14,F357),1)*IF(Upgrades!$T$16="Microlensing",POWER(Upgrades!$U$16,H357),1)*IF(Upgrades!$T$17="Microlensing",POWER(Upgrades!$U$17,I357),1)*IF(Upgrades!$T$18="Microlensing",POWER(Upgrades!$U$18,J357),1)*IF(Upgrades!$T$19="Microlensing",POWER(Upgrades!$U$19,K357),1)*IF(Upgrades!$T$20="Microlensing",POWER(Upgrades!$U$20,L357),1)*IF(Upgrades!$T$21="Microlensing",POWER(Upgrades!$U$21,M357),1))*$G$6*(Parameters!$B$10/60*Parameters!$B$11+Q357)/AM357,0)</f>
        <v/>
      </c>
      <c r="BB357" s="32">
        <f>IFERROR((Upgrades!$N$16*(POWER(Upgrades!$R$13,E357)*POWER(Upgrades!$R$14,F357)*POWER(Upgrades!$R$15,G357)*POWER(Upgrades!$R$16,H357)*POWER(Upgrades!$R$17,I357)*POWER(Upgrades!$R$18,J357)*POWER(Upgrades!$R$19,K357)*POWER(Upgrades!$R$20,L357)*POWER(Upgrades!$R$21,M357))*(IF(Upgrades!$T$13="Roche Lobe Overflow",POWER(Upgrades!$U$13,E357),1)*IF(Upgrades!$T$14="Roche Lobe Overflow",POWER(Upgrades!$U$14,F357),1)*IF(Upgrades!$T$15="Roche Lobe Overflow",POWER(Upgrades!$U$15,G357),1)*IF(Upgrades!$T$17="Roche Lobe Overflow",POWER(Upgrades!$U$17,I357),1)*IF(Upgrades!$T$18="Roche Lobe Overflow",POWER(Upgrades!$U$18,J357),1)*IF(Upgrades!$T$19="Roche Lobe Overflow",POWER(Upgrades!$U$19,K357),1)*IF(Upgrades!$T$20="Roche Lobe Overflow",POWER(Upgrades!$U$20,L357),1)*IF(Upgrades!$T$21="Roche Lobe Overflow",POWER(Upgrades!$U$21,M357),1))*$H$6*O357+((IF(F357=0,0,(Upgrades!$G$14+F357*Upgrades!$H$14)*POWER(Upgrades!$I$14,F357)))*(IF(Upgrades!$T$13="Local Bubble",POWER(Upgrades!$U$13,E357),1)*IF(Upgrades!$T$15="Local Bubble",POWER(Upgrades!$U$15,G357),1)*IF(Upgrades!$T$16="Local Bubble",POWER(Upgrades!$U$16,H357),1)*IF(Upgrades!$T$17="Local Bubble",POWER(Upgrades!$U$17,I357),1)*IF(Upgrades!$T$18="Local Bubble",POWER(Upgrades!$U$18,J357),1)*IF(Upgrades!$T$19="Local Bubble",POWER(Upgrades!$U$19,K357),1)*IF(Upgrades!$T$20="Local Bubble",POWER(Upgrades!$U$20,L357),1)*IF(Upgrades!$T$21="Local Bubble",POWER(Upgrades!$U$21,M357),1))*POWER(Upgrades!$P$13,E357)*POWER(Upgrades!$P$14,F357)*POWER(Upgrades!$P$15,G357)*POWER(Upgrades!$P$16,H357)*POWER(Upgrades!$P$17,I357)*POWER(Upgrades!$P$18,J357)*POWER(Upgrades!$P$19,K357)*POWER(Upgrades!$P$20,L357)*POWER(Upgrades!$P$21,M357)*$F$6)*0.05)/AN357,0)</f>
        <v/>
      </c>
      <c r="BC357" s="32">
        <f>IFERROR((Upgrades!$H$17*(POWER(Upgrades!$P$13,E357)*POWER(Upgrades!$P$14,F357)*POWER(Upgrades!$P$15,G357)*POWER(Upgrades!$P$16,H357)*POWER(Upgrades!$P$17,I357)*POWER(Upgrades!$P$18,J357)*POWER(Upgrades!$P$19,K357)*POWER(Upgrades!$P$20,L357)*POWER(Upgrades!$P$21,M357))*(IF(Upgrades!$T$13="Brown Dwarf",POWER(Upgrades!$U$13,E357),1)*IF(Upgrades!$T$14="Brown Dwarf",POWER(Upgrades!$U$14,F357),1)*IF(Upgrades!$T$15="Brown Dwarf",POWER(Upgrades!$U$15,G357),1)*IF(Upgrades!$T$16="Brown Dwarf",POWER(Upgrades!$U$16,H357),1)*IF(Upgrades!$T$18="Brown Dwarf",POWER(Upgrades!$U$18,J357),1)*IF(Upgrades!$T$19="Brown Dwarf",POWER(Upgrades!$U$19,K357),1)*IF(Upgrades!$T$20="Brown Dwarf",POWER(Upgrades!$U$20,L357),1)*IF(Upgrades!$T$21="Brown Dwarf",POWER(Upgrades!$U$21,M357),1))*$F$6+(((IF(H357=0,0,(Upgrades!$M$16+H357*Upgrades!$N$16)*POWER(Upgrades!$O$16,H357)))*(IF(Upgrades!$T$13="Roche Lobe Overflow",POWER(Upgrades!$U$13,E357),1)*IF(Upgrades!$T$14="Roche Lobe Overflow",POWER(Upgrades!$U$14,F357),1)*IF(Upgrades!$T$15="Roche Lobe Overflow",POWER(Upgrades!$U$15,G357),1)*IF(Upgrades!$T$17="Roche Lobe Overflow",POWER(Upgrades!$U$17,I357),1)*IF(Upgrades!$T$18="Roche Lobe Overflow",POWER(Upgrades!$U$18,J357),1)*IF(Upgrades!$T$19="Roche Lobe Overflow",POWER(Upgrades!$U$19,K357),1)*IF(Upgrades!$T$20="Roche Lobe Overflow",POWER(Upgrades!$U$20,L357),1)*IF(Upgrades!$T$21="Roche Lobe Overflow",POWER(Upgrades!$U$21,M357),1))*POWER(Upgrades!$R$13,E357)*POWER(Upgrades!$R$14,F357)*POWER(Upgrades!$R$15,G357)*POWER(Upgrades!$R$16,H357)*POWER(Upgrades!$R$17,I357)*POWER(Upgrades!$R$18,J357)*POWER(Upgrades!$R$19,K357)*POWER(Upgrades!$R$20,L357)*POWER(Upgrades!$R$21,M357)*$H$6)*O357)*0.10)/AO357,0)</f>
        <v/>
      </c>
      <c r="BD357" s="32">
        <f>MAX(IF(J357&gt;0,0,IFERROR(0.5*((IF(G357=0,0,(Upgrades!$J$15+G357*Upgrades!$K$15)*POWER(Upgrades!$L$15,G357)))*(IF(Upgrades!$T$13="Microlensing",POWER(Upgrades!$U$13,E357),1)*IF(Upgrades!$T$14="Microlensing",POWER(Upgrades!$U$14,F357),1)*IF(Upgrades!$T$16="Microlensing",POWER(Upgrades!$U$16,H357),1)*IF(Upgrades!$T$17="Microlensing",POWER(Upgrades!$U$17,I357),1)*IF(Upgrades!$T$18="Microlensing",POWER(Upgrades!$U$18,J357),1)*IF(Upgrades!$T$19="Microlensing",POWER(Upgrades!$U$19,K357),1)*IF(Upgrades!$T$20="Microlensing",POWER(Upgrades!$U$20,L357),1)*IF(Upgrades!$T$21="Microlensing",POWER(Upgrades!$U$21,M357),1))*(POWER(Upgrades!$Q$13,E357)*POWER(Upgrades!$Q$14,F357)*POWER(Upgrades!$Q$15,G357)*POWER(Upgrades!$Q$16,H357)*POWER(Upgrades!$Q$17,I357)*POWER(Upgrades!$Q$18,J357)*POWER(Upgrades!$Q$19,K357)*POWER(Upgrades!$Q$20,L357)*POWER(Upgrades!$Q$21,M357))*$G$6*(Parameters!$B$10/60*Parameters!$B$11+Q357))/Upgrades!$C$18,0)),IF(K357&gt;0,0,IFERROR(0.30*P357/Upgrades!$C$19,0)),IF(L357&gt;0,0,IFERROR(0.0001/Upgrades!$C$20,0)),IF(M357&gt;0,0,IFERROR((6.0*(POWER(Upgrades!$P$13,E357)*POWER(Upgrades!$P$14,F357)*POWER(Upgrades!$P$15,G357)*POWER(Upgrades!$P$16,H357)*POWER(Upgrades!$P$17,I357)*POWER(Upgrades!$P$18,J357)*POWER(Upgrades!$P$19,K357)*POWER(Upgrades!$P$20,L357)*POWER(Upgrades!$P$21,M357))*$F$6+0.20*O357*(Parameters!$B$10/60*Parameters!$B$11+Q357))/Upgrades!$C$21,0)),IF(AND(ISNUMBER(AK357),AK357&gt;(C357+T357)),AY357,0),IF(AND(ISNUMBER(AL357),AL357&gt;(C357+T357)),AZ357,0),IF(AND(ISNUMBER(AM357),AM357&gt;(C357+T357)),BA357,0),IF(AND(ISNUMBER(AN357),AN357&gt;(C357+T357)),BB357,0),IF(AND(ISNUMBER(AO357),AO357&gt;(C357+T357)),BC357,0))</f>
        <v/>
      </c>
      <c r="BE357" s="29">
        <f>IF(AT357=1,"transition",IF(MIN(IF(AND(J357=0,ISNUMBER(AP357),AP357&lt;=(C357+T357)),AP357,9E15),IF(AND(K357=0,ISNUMBER(AQ357),AQ357&lt;=(C357+T357)),AQ357,9E15),IF(AND(L357=0,ISNUMBER(AR357),AR357&lt;=(C357+T357)),AR357,9E15),IF(AND(M357=0,ISNUMBER(AS357),AS357&lt;=(C357+T357)),AS357,9E15))&lt;9E15,IF(AND(AND(J357=0,ISNUMBER(AP357),AP357&lt;=(C357+T357)),AP357=MIN(IF(AND(J357=0,ISNUMBER(AP357),AP357&lt;=(C357+T357)),AP357,9E15),IF(AND(K357=0,ISNUMBER(AQ357),AQ357&lt;=(C357+T357)),AQ357,9E15),IF(AND(L357=0,ISNUMBER(AR357),AR357&lt;=(C357+T357)),AR357,9E15),IF(AND(M357=0,ISNUMBER(AS357),AS357&lt;=(C357+T357)),AS357,9E15))),"BiP",IF(AND(AND(K357=0,ISNUMBER(AQ357),AQ357&lt;=(C357+T357)),AQ357=MIN(IF(AND(J357=0,ISNUMBER(AP357),AP357&lt;=(C357+T357)),AP357,9E15),IF(AND(K357=0,ISNUMBER(AQ357),AQ357&lt;=(C357+T357)),AQ357,9E15),IF(AND(L357=0,ISNUMBER(AR357),AR357&lt;=(C357+T357)),AR357,9E15),IF(AND(M357=0,ISNUMBER(AS357),AS357&lt;=(C357+T357)),AS357,9E15))),"PV",IF(AND(AND(L357=0,ISNUMBER(AR357),AR357&lt;=(C357+T357)),AR357=MIN(IF(AND(J357=0,ISNUMBER(AP357),AP357&lt;=(C357+T357)),AP357,9E15),IF(AND(K357=0,ISNUMBER(AQ357),AQ357&lt;=(C357+T357)),AQ357,9E15),IF(AND(L357=0,ISNUMBER(AR357),AR357&lt;=(C357+T357)),AR357,9E15),IF(AND(M357=0,ISNUMBER(AS357),AS357&lt;=(C357+T357)),AS357,9E15))),"OC","MG"))),IF(AX357=TRUE,"",IF(MAX(IF(AND(NOT(AND(AU357=1,AT357&lt;&gt;1)),ISNUMBER(AK357),AK357&lt;=(C357+T357)),AY357,0),IF(AND(NOT(AND(AU357=1,AT357&lt;&gt;1)),ISNUMBER(AL357),AL357&lt;=(C357+T357)),AZ357,0),IF(AND(NOT(AND(AU357=1,AT357&lt;&gt;1)),ISNUMBER(AM357),AM357&lt;=(C357+T357)),BA357,0),IF(AND(NOT(AND(AU357=1,AT357&lt;&gt;1)),ISNUMBER(AN357),AN357&lt;=(C357+T357)),BB357,0),IF(AND(ISNUMBER(AO357),AO357&lt;=(C357+T357)),BC357,0))&lt;=0,"",IF(AND(IF(AND(NOT(AND(AU357=1,AT357&lt;&gt;1)),ISNUMBER(AK357),AK357&lt;=(C357+T357)),AY357,0)&gt;0,IF(AND(NOT(AND(AU357=1,AT357&lt;&gt;1)),ISNUMBER(AK357),AK357&lt;=(C357+T357)),AY357,0)=MAX(IF(AND(NOT(AND(AU357=1,AT357&lt;&gt;1)),ISNUMBER(AK357),AK357&lt;=(C357+T357)),AY357,0),IF(AND(NOT(AND(AU357=1,AT357&lt;&gt;1)),ISNUMBER(AL357),AL357&lt;=(C357+T357)),AZ357,0),IF(AND(NOT(AND(AU357=1,AT357&lt;&gt;1)),ISNUMBER(AM357),AM357&lt;=(C357+T357)),BA357,0),IF(AND(NOT(AND(AU357=1,AT357&lt;&gt;1)),ISNUMBER(AN357),AN357&lt;=(C357+T357)),BB357,0),IF(AND(ISNUMBER(AO357),AO357&lt;=(C357+T357)),BC357,0))),"SK",IF(AND(IF(AND(NOT(AND(AU357=1,AT357&lt;&gt;1)),ISNUMBER(AL357),AL357&lt;=(C357+T357)),AZ357,0)&gt;0,IF(AND(NOT(AND(AU357=1,AT357&lt;&gt;1)),ISNUMBER(AL357),AL357&lt;=(C357+T357)),AZ357,0)=MAX(IF(AND(NOT(AND(AU357=1,AT357&lt;&gt;1)),ISNUMBER(AK357),AK357&lt;=(C357+T357)),AY357,0),IF(AND(NOT(AND(AU357=1,AT357&lt;&gt;1)),ISNUMBER(AL357),AL357&lt;=(C357+T357)),AZ357,0),IF(AND(NOT(AND(AU357=1,AT357&lt;&gt;1)),ISNUMBER(AM357),AM357&lt;=(C357+T357)),BA357,0),IF(AND(NOT(AND(AU357=1,AT357&lt;&gt;1)),ISNUMBER(AN357),AN357&lt;=(C357+T357)),BB357,0),IF(AND(ISNUMBER(AO357),AO357&lt;=(C357+T357)),BC357,0))),"LB",IF(AND(IF(AND(NOT(AND(AU357=1,AT357&lt;&gt;1)),ISNUMBER(AM357),AM357&lt;=(C357+T357)),BA357,0)&gt;0,IF(AND(NOT(AND(AU357=1,AT357&lt;&gt;1)),ISNUMBER(AM357),AM357&lt;=(C357+T357)),BA357,0)=MAX(IF(AND(NOT(AND(AU357=1,AT357&lt;&gt;1)),ISNUMBER(AK357),AK357&lt;=(C357+T357)),AY357,0),IF(AND(NOT(AND(AU357=1,AT357&lt;&gt;1)),ISNUMBER(AL357),AL357&lt;=(C357+T357)),AZ357,0),IF(AND(NOT(AND(AU357=1,AT357&lt;&gt;1)),ISNUMBER(AM357),AM357&lt;=(C357+T357)),BA357,0),IF(AND(NOT(AND(AU357=1,AT357&lt;&gt;1)),ISNUMBER(AN357),AN357&lt;=(C357+T357)),BB357,0),IF(AND(ISNUMBER(AO357),AO357&lt;=(C357+T357)),BC357,0))),"ML",IF(AND(IF(AND(NOT(AND(AU357=1,AT357&lt;&gt;1)),ISNUMBER(AN357),AN357&lt;=(C357+T357)),BB357,0)&gt;0,IF(AND(NOT(AND(AU357=1,AT357&lt;&gt;1)),ISNUMBER(AN357),AN357&lt;=(C357+T357)),BB357,0)=MAX(IF(AND(NOT(AND(AU357=1,AT357&lt;&gt;1)),ISNUMBER(AK357),AK357&lt;=(C357+T357)),AY357,0),IF(AND(NOT(AND(AU357=1,AT357&lt;&gt;1)),ISNUMBER(AL357),AL357&lt;=(C357+T357)),AZ357,0),IF(AND(NOT(AND(AU357=1,AT357&lt;&gt;1)),ISNUMBER(AM357),AM357&lt;=(C357+T357)),BA357,0),IF(AND(NOT(AND(AU357=1,AT357&lt;&gt;1)),ISNUMBER(AN357),AN357&lt;=(C357+T357)),BB357,0),IF(AND(ISNUMBER(AO357),AO357&lt;=(C357+T357)),BC357,0))),"RLO","BD"))))))))</f>
        <v/>
      </c>
    </row>
    <row r="358">
      <c r="A358" s="26" t="n">
        <v>347</v>
      </c>
      <c r="B358" s="27">
        <f>A358*10/60</f>
        <v/>
      </c>
      <c r="C358" s="22">
        <f>X357</f>
        <v/>
      </c>
      <c r="D358" s="27">
        <f>D357+W357</f>
        <v/>
      </c>
      <c r="E358" s="26">
        <f>E357+IF(U357="SK",1,0)</f>
        <v/>
      </c>
      <c r="F358" s="26">
        <f>F357+IF(U357="LB",1,0)</f>
        <v/>
      </c>
      <c r="G358" s="26">
        <f>G357+IF(U357="ML",1,0)</f>
        <v/>
      </c>
      <c r="H358" s="26">
        <f>H357+IF(U357="RLO",1,0)</f>
        <v/>
      </c>
      <c r="I358" s="26">
        <f>I357+IF(U357="BD",1,0)</f>
        <v/>
      </c>
      <c r="J358" s="26">
        <f>MAX(J357,IF(U357="BiP",1,0))</f>
        <v/>
      </c>
      <c r="K358" s="26">
        <f>MAX(K357,IF(U357="PV",1,0))</f>
        <v/>
      </c>
      <c r="L358" s="26">
        <f>MAX(L357,IF(U357="OC",1,0))</f>
        <v/>
      </c>
      <c r="M358" s="26">
        <f>MAX(M357,IF(U357="MG",1,0))</f>
        <v/>
      </c>
      <c r="N358" s="26">
        <f>MAX(N357,IF(U357="transition",1,0))</f>
        <v/>
      </c>
      <c r="O358" s="28">
        <f>(Parameters!$B$9+(IF(E358=0,0,(Upgrades!$J$13+E358*Upgrades!$K$13)*POWER(Upgrades!$L$13,E358)))*(IF(Upgrades!$T$14="Stellar Kinematics",POWER(Upgrades!$U$14,F358),1)*IF(Upgrades!$T$15="Stellar Kinematics",POWER(Upgrades!$U$15,G358),1)*IF(Upgrades!$T$16="Stellar Kinematics",POWER(Upgrades!$U$16,H358),1)*IF(Upgrades!$T$17="Stellar Kinematics",POWER(Upgrades!$U$17,I358),1)*IF(Upgrades!$T$18="Stellar Kinematics",POWER(Upgrades!$U$18,J358),1)*IF(Upgrades!$T$19="Stellar Kinematics",POWER(Upgrades!$U$19,K358),1)*IF(Upgrades!$T$20="Stellar Kinematics",POWER(Upgrades!$U$20,L358),1)*IF(Upgrades!$T$21="Stellar Kinematics",POWER(Upgrades!$U$21,M358),1))+(IF(F358=0,0,(Upgrades!$J$14+F358*Upgrades!$K$14)*POWER(Upgrades!$L$14,F358)))*(IF(Upgrades!$T$13="Local Bubble",POWER(Upgrades!$U$13,E358),1)*IF(Upgrades!$T$15="Local Bubble",POWER(Upgrades!$U$15,G358),1)*IF(Upgrades!$T$16="Local Bubble",POWER(Upgrades!$U$16,H358),1)*IF(Upgrades!$T$17="Local Bubble",POWER(Upgrades!$U$17,I358),1)*IF(Upgrades!$T$18="Local Bubble",POWER(Upgrades!$U$18,J358),1)*IF(Upgrades!$T$19="Local Bubble",POWER(Upgrades!$U$19,K358),1)*IF(Upgrades!$T$20="Local Bubble",POWER(Upgrades!$U$20,L358),1)*IF(Upgrades!$T$21="Local Bubble",POWER(Upgrades!$U$21,M358),1))+(IF(G358=0,0,(Upgrades!$J$15+G358*Upgrades!$K$15)*POWER(Upgrades!$L$15,G358)))*(IF(Upgrades!$T$13="Microlensing",POWER(Upgrades!$U$13,E358),1)*IF(Upgrades!$T$14="Microlensing",POWER(Upgrades!$U$14,F358),1)*IF(Upgrades!$T$16="Microlensing",POWER(Upgrades!$U$16,H358),1)*IF(Upgrades!$T$17="Microlensing",POWER(Upgrades!$U$17,I358),1)*IF(Upgrades!$T$18="Microlensing",POWER(Upgrades!$U$18,J358),1)*IF(Upgrades!$T$19="Microlensing",POWER(Upgrades!$U$19,K358),1)*IF(Upgrades!$T$20="Microlensing",POWER(Upgrades!$U$20,L358),1)*IF(Upgrades!$T$21="Microlensing",POWER(Upgrades!$U$21,M358),1))+(IF(H358=0,0,(Upgrades!$J$16+H358*Upgrades!$K$16)*POWER(Upgrades!$L$16,H358)))*(IF(Upgrades!$T$13="Roche Lobe Overflow",POWER(Upgrades!$U$13,E358),1)*IF(Upgrades!$T$14="Roche Lobe Overflow",POWER(Upgrades!$U$14,F358),1)*IF(Upgrades!$T$15="Roche Lobe Overflow",POWER(Upgrades!$U$15,G358),1)*IF(Upgrades!$T$17="Roche Lobe Overflow",POWER(Upgrades!$U$17,I358),1)*IF(Upgrades!$T$18="Roche Lobe Overflow",POWER(Upgrades!$U$18,J358),1)*IF(Upgrades!$T$19="Roche Lobe Overflow",POWER(Upgrades!$U$19,K358),1)*IF(Upgrades!$T$20="Roche Lobe Overflow",POWER(Upgrades!$U$20,L358),1)*IF(Upgrades!$T$21="Roche Lobe Overflow",POWER(Upgrades!$U$21,M358),1))+(IF(I358=0,0,(Upgrades!$J$17+I358*Upgrades!$K$17)*POWER(Upgrades!$L$17,I358)))*(IF(Upgrades!$T$13="Brown Dwarf",POWER(Upgrades!$U$13,E358),1)*IF(Upgrades!$T$14="Brown Dwarf",POWER(Upgrades!$U$14,F358),1)*IF(Upgrades!$T$15="Brown Dwarf",POWER(Upgrades!$U$15,G358),1)*IF(Upgrades!$T$16="Brown Dwarf",POWER(Upgrades!$U$16,H358),1)*IF(Upgrades!$T$18="Brown Dwarf",POWER(Upgrades!$U$18,J358),1)*IF(Upgrades!$T$19="Brown Dwarf",POWER(Upgrades!$U$19,K358),1)*IF(Upgrades!$T$20="Brown Dwarf",POWER(Upgrades!$U$20,L358),1)*IF(Upgrades!$T$21="Brown Dwarf",POWER(Upgrades!$U$21,M358),1))+(IF(J358=0,0,(Upgrades!$J$18+J358*Upgrades!$K$18)*POWER(Upgrades!$L$18,J358)))*(IF(Upgrades!$T$13="Binary Partner",POWER(Upgrades!$U$13,E358),1)*IF(Upgrades!$T$14="Binary Partner",POWER(Upgrades!$U$14,F358),1)*IF(Upgrades!$T$15="Binary Partner",POWER(Upgrades!$U$15,G358),1)*IF(Upgrades!$T$16="Binary Partner",POWER(Upgrades!$U$16,H358),1)*IF(Upgrades!$T$17="Binary Partner",POWER(Upgrades!$U$17,I358),1)*IF(Upgrades!$T$19="Binary Partner",POWER(Upgrades!$U$19,K358),1)*IF(Upgrades!$T$20="Binary Partner",POWER(Upgrades!$U$20,L358),1)*IF(Upgrades!$T$21="Binary Partner",POWER(Upgrades!$U$21,M358),1))+(IF(K358=0,0,(Upgrades!$J$19+K358*Upgrades!$K$19)*POWER(Upgrades!$L$19,K358)))*(IF(Upgrades!$T$13="Peculiar Velocity",POWER(Upgrades!$U$13,E358),1)*IF(Upgrades!$T$14="Peculiar Velocity",POWER(Upgrades!$U$14,F358),1)*IF(Upgrades!$T$15="Peculiar Velocity",POWER(Upgrades!$U$15,G358),1)*IF(Upgrades!$T$16="Peculiar Velocity",POWER(Upgrades!$U$16,H358),1)*IF(Upgrades!$T$17="Peculiar Velocity",POWER(Upgrades!$U$17,I358),1)*IF(Upgrades!$T$18="Peculiar Velocity",POWER(Upgrades!$U$18,J358),1)*IF(Upgrades!$T$20="Peculiar Velocity",POWER(Upgrades!$U$20,L358),1)*IF(Upgrades!$T$21="Peculiar Velocity",POWER(Upgrades!$U$21,M358),1))+(IF(L358=0,0,(Upgrades!$J$20+L358*Upgrades!$K$20)*POWER(Upgrades!$L$20,L358)))*(IF(Upgrades!$T$13="Open Cluster",POWER(Upgrades!$U$13,E358),1)*IF(Upgrades!$T$14="Open Cluster",POWER(Upgrades!$U$14,F358),1)*IF(Upgrades!$T$15="Open Cluster",POWER(Upgrades!$U$15,G358),1)*IF(Upgrades!$T$16="Open Cluster",POWER(Upgrades!$U$16,H358),1)*IF(Upgrades!$T$17="Open Cluster",POWER(Upgrades!$U$17,I358),1)*IF(Upgrades!$T$18="Open Cluster",POWER(Upgrades!$U$18,J358),1)*IF(Upgrades!$T$19="Open Cluster",POWER(Upgrades!$U$19,K358),1)*IF(Upgrades!$T$21="Open Cluster",POWER(Upgrades!$U$21,M358),1))+(IF(M358=0,0,(Upgrades!$J$21+M358*Upgrades!$K$21)*POWER(Upgrades!$L$21,M358)))*(IF(Upgrades!$T$13="Moving Group",POWER(Upgrades!$U$13,E358),1)*IF(Upgrades!$T$14="Moving Group",POWER(Upgrades!$U$14,F358),1)*IF(Upgrades!$T$15="Moving Group",POWER(Upgrades!$U$15,G358),1)*IF(Upgrades!$T$16="Moving Group",POWER(Upgrades!$U$16,H358),1)*IF(Upgrades!$T$17="Moving Group",POWER(Upgrades!$U$17,I358),1)*IF(Upgrades!$T$18="Moving Group",POWER(Upgrades!$U$18,J358),1)*IF(Upgrades!$T$19="Moving Group",POWER(Upgrades!$U$19,K358),1)*IF(Upgrades!$T$20="Moving Group",POWER(Upgrades!$U$20,L358),1)))*POWER(Upgrades!$Q$13,E358)*POWER(Upgrades!$Q$14,F358)*POWER(Upgrades!$Q$15,G358)*POWER(Upgrades!$Q$16,H358)*POWER(Upgrades!$Q$17,I358)*POWER(Upgrades!$Q$18,J358)*POWER(Upgrades!$Q$19,K358)*POWER(Upgrades!$Q$20,L358)*POWER(Upgrades!$Q$21,M358)*$G$6+$D$6</f>
        <v/>
      </c>
      <c r="P358" s="28">
        <f>((IF(E358=0,0,(Upgrades!$G$13+E358*Upgrades!$H$13)*POWER(Upgrades!$I$13,E358)))*(IF(Upgrades!$T$14="Stellar Kinematics",POWER(Upgrades!$U$14,F358),1)*IF(Upgrades!$T$15="Stellar Kinematics",POWER(Upgrades!$U$15,G358),1)*IF(Upgrades!$T$16="Stellar Kinematics",POWER(Upgrades!$U$16,H358),1)*IF(Upgrades!$T$17="Stellar Kinematics",POWER(Upgrades!$U$17,I358),1)*IF(Upgrades!$T$18="Stellar Kinematics",POWER(Upgrades!$U$18,J358),1)*IF(Upgrades!$T$19="Stellar Kinematics",POWER(Upgrades!$U$19,K358),1)*IF(Upgrades!$T$20="Stellar Kinematics",POWER(Upgrades!$U$20,L358),1)*IF(Upgrades!$T$21="Stellar Kinematics",POWER(Upgrades!$U$21,M358),1))+(IF(F358=0,0,(Upgrades!$G$14+F358*Upgrades!$H$14)*POWER(Upgrades!$I$14,F358)))*(IF(Upgrades!$T$13="Local Bubble",POWER(Upgrades!$U$13,E358),1)*IF(Upgrades!$T$15="Local Bubble",POWER(Upgrades!$U$15,G358),1)*IF(Upgrades!$T$16="Local Bubble",POWER(Upgrades!$U$16,H358),1)*IF(Upgrades!$T$17="Local Bubble",POWER(Upgrades!$U$17,I358),1)*IF(Upgrades!$T$18="Local Bubble",POWER(Upgrades!$U$18,J358),1)*IF(Upgrades!$T$19="Local Bubble",POWER(Upgrades!$U$19,K358),1)*IF(Upgrades!$T$20="Local Bubble",POWER(Upgrades!$U$20,L358),1)*IF(Upgrades!$T$21="Local Bubble",POWER(Upgrades!$U$21,M358),1))+(IF(G358=0,0,(Upgrades!$G$15+G358*Upgrades!$H$15)*POWER(Upgrades!$I$15,G358)))*(IF(Upgrades!$T$13="Microlensing",POWER(Upgrades!$U$13,E358),1)*IF(Upgrades!$T$14="Microlensing",POWER(Upgrades!$U$14,F358),1)*IF(Upgrades!$T$16="Microlensing",POWER(Upgrades!$U$16,H358),1)*IF(Upgrades!$T$17="Microlensing",POWER(Upgrades!$U$17,I358),1)*IF(Upgrades!$T$18="Microlensing",POWER(Upgrades!$U$18,J358),1)*IF(Upgrades!$T$19="Microlensing",POWER(Upgrades!$U$19,K358),1)*IF(Upgrades!$T$20="Microlensing",POWER(Upgrades!$U$20,L358),1)*IF(Upgrades!$T$21="Microlensing",POWER(Upgrades!$U$21,M358),1))+(IF(H358=0,0,(Upgrades!$G$16+H358*Upgrades!$H$16)*POWER(Upgrades!$I$16,H358)))*(IF(Upgrades!$T$13="Roche Lobe Overflow",POWER(Upgrades!$U$13,E358),1)*IF(Upgrades!$T$14="Roche Lobe Overflow",POWER(Upgrades!$U$14,F358),1)*IF(Upgrades!$T$15="Roche Lobe Overflow",POWER(Upgrades!$U$15,G358),1)*IF(Upgrades!$T$17="Roche Lobe Overflow",POWER(Upgrades!$U$17,I358),1)*IF(Upgrades!$T$18="Roche Lobe Overflow",POWER(Upgrades!$U$18,J358),1)*IF(Upgrades!$T$19="Roche Lobe Overflow",POWER(Upgrades!$U$19,K358),1)*IF(Upgrades!$T$20="Roche Lobe Overflow",POWER(Upgrades!$U$20,L358),1)*IF(Upgrades!$T$21="Roche Lobe Overflow",POWER(Upgrades!$U$21,M358),1))+(IF(I358=0,0,(Upgrades!$G$17+I358*Upgrades!$H$17)*POWER(Upgrades!$I$17,I358)))*(IF(Upgrades!$T$13="Brown Dwarf",POWER(Upgrades!$U$13,E358),1)*IF(Upgrades!$T$14="Brown Dwarf",POWER(Upgrades!$U$14,F358),1)*IF(Upgrades!$T$15="Brown Dwarf",POWER(Upgrades!$U$15,G358),1)*IF(Upgrades!$T$16="Brown Dwarf",POWER(Upgrades!$U$16,H358),1)*IF(Upgrades!$T$18="Brown Dwarf",POWER(Upgrades!$U$18,J358),1)*IF(Upgrades!$T$19="Brown Dwarf",POWER(Upgrades!$U$19,K358),1)*IF(Upgrades!$T$20="Brown Dwarf",POWER(Upgrades!$U$20,L358),1)*IF(Upgrades!$T$21="Brown Dwarf",POWER(Upgrades!$U$21,M358),1))+(IF(J358=0,0,(Upgrades!$G$18+J358*Upgrades!$H$18)*POWER(Upgrades!$I$18,J358)))*(IF(Upgrades!$T$13="Binary Partner",POWER(Upgrades!$U$13,E358),1)*IF(Upgrades!$T$14="Binary Partner",POWER(Upgrades!$U$14,F358),1)*IF(Upgrades!$T$15="Binary Partner",POWER(Upgrades!$U$15,G358),1)*IF(Upgrades!$T$16="Binary Partner",POWER(Upgrades!$U$16,H358),1)*IF(Upgrades!$T$17="Binary Partner",POWER(Upgrades!$U$17,I358),1)*IF(Upgrades!$T$19="Binary Partner",POWER(Upgrades!$U$19,K358),1)*IF(Upgrades!$T$20="Binary Partner",POWER(Upgrades!$U$20,L358),1)*IF(Upgrades!$T$21="Binary Partner",POWER(Upgrades!$U$21,M358),1))+(IF(K358=0,0,(Upgrades!$G$19+K358*Upgrades!$H$19)*POWER(Upgrades!$I$19,K358)))*(IF(Upgrades!$T$13="Peculiar Velocity",POWER(Upgrades!$U$13,E358),1)*IF(Upgrades!$T$14="Peculiar Velocity",POWER(Upgrades!$U$14,F358),1)*IF(Upgrades!$T$15="Peculiar Velocity",POWER(Upgrades!$U$15,G358),1)*IF(Upgrades!$T$16="Peculiar Velocity",POWER(Upgrades!$U$16,H358),1)*IF(Upgrades!$T$17="Peculiar Velocity",POWER(Upgrades!$U$17,I358),1)*IF(Upgrades!$T$18="Peculiar Velocity",POWER(Upgrades!$U$18,J358),1)*IF(Upgrades!$T$20="Peculiar Velocity",POWER(Upgrades!$U$20,L358),1)*IF(Upgrades!$T$21="Peculiar Velocity",POWER(Upgrades!$U$21,M358),1))+(IF(L358=0,0,(Upgrades!$G$20+L358*Upgrades!$H$20)*POWER(Upgrades!$I$20,L358)))*(IF(Upgrades!$T$13="Open Cluster",POWER(Upgrades!$U$13,E358),1)*IF(Upgrades!$T$14="Open Cluster",POWER(Upgrades!$U$14,F358),1)*IF(Upgrades!$T$15="Open Cluster",POWER(Upgrades!$U$15,G358),1)*IF(Upgrades!$T$16="Open Cluster",POWER(Upgrades!$U$16,H358),1)*IF(Upgrades!$T$17="Open Cluster",POWER(Upgrades!$U$17,I358),1)*IF(Upgrades!$T$18="Open Cluster",POWER(Upgrades!$U$18,J358),1)*IF(Upgrades!$T$19="Open Cluster",POWER(Upgrades!$U$19,K358),1)*IF(Upgrades!$T$21="Open Cluster",POWER(Upgrades!$U$21,M358),1))+(IF(M358=0,0,(Upgrades!$G$21+M358*Upgrades!$H$21)*POWER(Upgrades!$I$21,M358)))*(IF(Upgrades!$T$13="Moving Group",POWER(Upgrades!$U$13,E358),1)*IF(Upgrades!$T$14="Moving Group",POWER(Upgrades!$U$14,F358),1)*IF(Upgrades!$T$15="Moving Group",POWER(Upgrades!$U$15,G358),1)*IF(Upgrades!$T$16="Moving Group",POWER(Upgrades!$U$16,H358),1)*IF(Upgrades!$T$17="Moving Group",POWER(Upgrades!$U$17,I358),1)*IF(Upgrades!$T$18="Moving Group",POWER(Upgrades!$U$18,J358),1)*IF(Upgrades!$T$19="Moving Group",POWER(Upgrades!$U$19,K358),1)*IF(Upgrades!$T$20="Moving Group",POWER(Upgrades!$U$20,L358),1)))*POWER(Upgrades!$P$13,E358)*POWER(Upgrades!$P$14,F358)*POWER(Upgrades!$P$15,G358)*POWER(Upgrades!$P$16,H358)*POWER(Upgrades!$P$17,I358)*POWER(Upgrades!$P$18,J358)*POWER(Upgrades!$P$19,K358)*POWER(Upgrades!$P$20,L358)*POWER(Upgrades!$P$21,M358)*$F$6+$C$6</f>
        <v/>
      </c>
      <c r="Q358" s="28">
        <f>((IF(E358=0,0,(Upgrades!$M$13+E358*Upgrades!$N$13)*POWER(Upgrades!$O$13,E358)))*(IF(Upgrades!$T$14="Stellar Kinematics",POWER(Upgrades!$U$14,F358),1)*IF(Upgrades!$T$15="Stellar Kinematics",POWER(Upgrades!$U$15,G358),1)*IF(Upgrades!$T$16="Stellar Kinematics",POWER(Upgrades!$U$16,H358),1)*IF(Upgrades!$T$17="Stellar Kinematics",POWER(Upgrades!$U$17,I358),1)*IF(Upgrades!$T$18="Stellar Kinematics",POWER(Upgrades!$U$18,J358),1)*IF(Upgrades!$T$19="Stellar Kinematics",POWER(Upgrades!$U$19,K358),1)*IF(Upgrades!$T$20="Stellar Kinematics",POWER(Upgrades!$U$20,L358),1)*IF(Upgrades!$T$21="Stellar Kinematics",POWER(Upgrades!$U$21,M358),1))+(IF(F358=0,0,(Upgrades!$M$14+F358*Upgrades!$N$14)*POWER(Upgrades!$O$14,F358)))*(IF(Upgrades!$T$13="Local Bubble",POWER(Upgrades!$U$13,E358),1)*IF(Upgrades!$T$15="Local Bubble",POWER(Upgrades!$U$15,G358),1)*IF(Upgrades!$T$16="Local Bubble",POWER(Upgrades!$U$16,H358),1)*IF(Upgrades!$T$17="Local Bubble",POWER(Upgrades!$U$17,I358),1)*IF(Upgrades!$T$18="Local Bubble",POWER(Upgrades!$U$18,J358),1)*IF(Upgrades!$T$19="Local Bubble",POWER(Upgrades!$U$19,K358),1)*IF(Upgrades!$T$20="Local Bubble",POWER(Upgrades!$U$20,L358),1)*IF(Upgrades!$T$21="Local Bubble",POWER(Upgrades!$U$21,M358),1))+(IF(G358=0,0,(Upgrades!$M$15+G358*Upgrades!$N$15)*POWER(Upgrades!$O$15,G358)))*(IF(Upgrades!$T$13="Microlensing",POWER(Upgrades!$U$13,E358),1)*IF(Upgrades!$T$14="Microlensing",POWER(Upgrades!$U$14,F358),1)*IF(Upgrades!$T$16="Microlensing",POWER(Upgrades!$U$16,H358),1)*IF(Upgrades!$T$17="Microlensing",POWER(Upgrades!$U$17,I358),1)*IF(Upgrades!$T$18="Microlensing",POWER(Upgrades!$U$18,J358),1)*IF(Upgrades!$T$19="Microlensing",POWER(Upgrades!$U$19,K358),1)*IF(Upgrades!$T$20="Microlensing",POWER(Upgrades!$U$20,L358),1)*IF(Upgrades!$T$21="Microlensing",POWER(Upgrades!$U$21,M358),1))+(IF(H358=0,0,(Upgrades!$M$16+H358*Upgrades!$N$16)*POWER(Upgrades!$O$16,H358)))*(IF(Upgrades!$T$13="Roche Lobe Overflow",POWER(Upgrades!$U$13,E358),1)*IF(Upgrades!$T$14="Roche Lobe Overflow",POWER(Upgrades!$U$14,F358),1)*IF(Upgrades!$T$15="Roche Lobe Overflow",POWER(Upgrades!$U$15,G358),1)*IF(Upgrades!$T$17="Roche Lobe Overflow",POWER(Upgrades!$U$17,I358),1)*IF(Upgrades!$T$18="Roche Lobe Overflow",POWER(Upgrades!$U$18,J358),1)*IF(Upgrades!$T$19="Roche Lobe Overflow",POWER(Upgrades!$U$19,K358),1)*IF(Upgrades!$T$20="Roche Lobe Overflow",POWER(Upgrades!$U$20,L358),1)*IF(Upgrades!$T$21="Roche Lobe Overflow",POWER(Upgrades!$U$21,M358),1))+(IF(I358=0,0,(Upgrades!$M$17+I358*Upgrades!$N$17)*POWER(Upgrades!$O$17,I358)))*(IF(Upgrades!$T$13="Brown Dwarf",POWER(Upgrades!$U$13,E358),1)*IF(Upgrades!$T$14="Brown Dwarf",POWER(Upgrades!$U$14,F358),1)*IF(Upgrades!$T$15="Brown Dwarf",POWER(Upgrades!$U$15,G358),1)*IF(Upgrades!$T$16="Brown Dwarf",POWER(Upgrades!$U$16,H358),1)*IF(Upgrades!$T$18="Brown Dwarf",POWER(Upgrades!$U$18,J358),1)*IF(Upgrades!$T$19="Brown Dwarf",POWER(Upgrades!$U$19,K358),1)*IF(Upgrades!$T$20="Brown Dwarf",POWER(Upgrades!$U$20,L358),1)*IF(Upgrades!$T$21="Brown Dwarf",POWER(Upgrades!$U$21,M358),1))+(IF(J358=0,0,(Upgrades!$M$18+J358*Upgrades!$N$18)*POWER(Upgrades!$O$18,J358)))*(IF(Upgrades!$T$13="Binary Partner",POWER(Upgrades!$U$13,E358),1)*IF(Upgrades!$T$14="Binary Partner",POWER(Upgrades!$U$14,F358),1)*IF(Upgrades!$T$15="Binary Partner",POWER(Upgrades!$U$15,G358),1)*IF(Upgrades!$T$16="Binary Partner",POWER(Upgrades!$U$16,H358),1)*IF(Upgrades!$T$17="Binary Partner",POWER(Upgrades!$U$17,I358),1)*IF(Upgrades!$T$19="Binary Partner",POWER(Upgrades!$U$19,K358),1)*IF(Upgrades!$T$20="Binary Partner",POWER(Upgrades!$U$20,L358),1)*IF(Upgrades!$T$21="Binary Partner",POWER(Upgrades!$U$21,M358),1))+(IF(K358=0,0,(Upgrades!$M$19+K358*Upgrades!$N$19)*POWER(Upgrades!$O$19,K358)))*(IF(Upgrades!$T$13="Peculiar Velocity",POWER(Upgrades!$U$13,E358),1)*IF(Upgrades!$T$14="Peculiar Velocity",POWER(Upgrades!$U$14,F358),1)*IF(Upgrades!$T$15="Peculiar Velocity",POWER(Upgrades!$U$15,G358),1)*IF(Upgrades!$T$16="Peculiar Velocity",POWER(Upgrades!$U$16,H358),1)*IF(Upgrades!$T$17="Peculiar Velocity",POWER(Upgrades!$U$17,I358),1)*IF(Upgrades!$T$18="Peculiar Velocity",POWER(Upgrades!$U$18,J358),1)*IF(Upgrades!$T$20="Peculiar Velocity",POWER(Upgrades!$U$20,L358),1)*IF(Upgrades!$T$21="Peculiar Velocity",POWER(Upgrades!$U$21,M358),1))+(IF(L358=0,0,(Upgrades!$M$20+L358*Upgrades!$N$20)*POWER(Upgrades!$O$20,L358)))*(IF(Upgrades!$T$13="Open Cluster",POWER(Upgrades!$U$13,E358),1)*IF(Upgrades!$T$14="Open Cluster",POWER(Upgrades!$U$14,F358),1)*IF(Upgrades!$T$15="Open Cluster",POWER(Upgrades!$U$15,G358),1)*IF(Upgrades!$T$16="Open Cluster",POWER(Upgrades!$U$16,H358),1)*IF(Upgrades!$T$17="Open Cluster",POWER(Upgrades!$U$17,I358),1)*IF(Upgrades!$T$18="Open Cluster",POWER(Upgrades!$U$18,J358),1)*IF(Upgrades!$T$19="Open Cluster",POWER(Upgrades!$U$19,K358),1)*IF(Upgrades!$T$21="Open Cluster",POWER(Upgrades!$U$21,M358),1))+(IF(M358=0,0,(Upgrades!$M$21+M358*Upgrades!$N$21)*POWER(Upgrades!$O$21,M358)))*(IF(Upgrades!$T$13="Moving Group",POWER(Upgrades!$U$13,E358),1)*IF(Upgrades!$T$14="Moving Group",POWER(Upgrades!$U$14,F358),1)*IF(Upgrades!$T$15="Moving Group",POWER(Upgrades!$U$15,G358),1)*IF(Upgrades!$T$16="Moving Group",POWER(Upgrades!$U$16,H358),1)*IF(Upgrades!$T$17="Moving Group",POWER(Upgrades!$U$17,I358),1)*IF(Upgrades!$T$18="Moving Group",POWER(Upgrades!$U$18,J358),1)*IF(Upgrades!$T$19="Moving Group",POWER(Upgrades!$U$19,K358),1)*IF(Upgrades!$T$20="Moving Group",POWER(Upgrades!$U$20,L358),1)))*POWER(Upgrades!$R$13,E358)*POWER(Upgrades!$R$14,F358)*POWER(Upgrades!$R$15,G358)*POWER(Upgrades!$R$16,H358)*POWER(Upgrades!$R$17,I358)*POWER(Upgrades!$R$18,J358)*POWER(Upgrades!$R$19,K358)*POWER(Upgrades!$R$20,L358)*POWER(Upgrades!$R$21,M358)*$H$6+$E$6</f>
        <v/>
      </c>
      <c r="R358" s="27">
        <f>IF(N358=1,0,O358*Parameters!$B$10/60*Parameters!$B$11*10)</f>
        <v/>
      </c>
      <c r="S358" s="27">
        <f>IF(N358=1,0,Q358*O358*10)</f>
        <v/>
      </c>
      <c r="T358" s="27">
        <f>IF(N358=1,0,R358+S358+P358*10)</f>
        <v/>
      </c>
      <c r="U358" s="33">
        <f>BE358</f>
        <v/>
      </c>
      <c r="V358" s="22">
        <f>IF(U358="",0,IF(U358="transition",0,IF(U358="SK",AK358,IF(U358="LB",AL358,IF(U358="ML",AM358,IF(U358="RLO",AN358,IF(U358="BD",AO358,IF(U358="BiP",AP358,IF(U358="PV",AQ358,IF(U358="OC",AR358,IF(U358="MG",AS358,0))))))))))</f>
        <v/>
      </c>
      <c r="W358" s="27">
        <f>IF(U358="BiP",Upgrades!$F$18,IF(U358="PV",Upgrades!$F$19,IF(U358="OC",Upgrades!$F$20,IF(U358="MG",Upgrades!$F$21,IF(U358="transition",-Parameters!$B$18*Parameters!$B$19,0)))))</f>
        <v/>
      </c>
      <c r="X358" s="22">
        <f>C358+T358-V358</f>
        <v/>
      </c>
      <c r="Y358" s="30">
        <f>O358*Parameters!$B$10/60*Parameters!$B$11+Q358*O358+P358</f>
        <v/>
      </c>
      <c r="Z358" s="34">
        <f>IF(U358="transition","→ Tier 3 (Galactic Arm)",IF(U358="MG","Moving Group — pocket drifts together",IF(U358="OC","Open Cluster acquired",IF(U358="PV","Peculiar Velocity — passive multiplier active",IF(U358="BiP","Binary Partner — pair bond formed",IF(AND(AU358=1,N358=0,AT358&lt;&gt;1),"Cohesion ready (waiting on completionists)","")))))) </f>
        <v/>
      </c>
      <c r="AA358" s="27">
        <f>(IF(E358=0,0,(Upgrades!$G$13+E358*Upgrades!$H$13)*POWER(Upgrades!$I$13,E358)))*(IF(Upgrades!$T$14="Stellar Kinematics",POWER(Upgrades!$U$14,F358),1)*IF(Upgrades!$T$15="Stellar Kinematics",POWER(Upgrades!$U$15,G358),1)*IF(Upgrades!$T$16="Stellar Kinematics",POWER(Upgrades!$U$16,H358),1)*IF(Upgrades!$T$17="Stellar Kinematics",POWER(Upgrades!$U$17,I358),1)*IF(Upgrades!$T$18="Stellar Kinematics",POWER(Upgrades!$U$18,J358),1)*IF(Upgrades!$T$19="Stellar Kinematics",POWER(Upgrades!$U$19,K358),1)*IF(Upgrades!$T$20="Stellar Kinematics",POWER(Upgrades!$U$20,L358),1)*IF(Upgrades!$T$21="Stellar Kinematics",POWER(Upgrades!$U$21,M358),1))*POWER(Upgrades!$P$13,E358)*POWER(Upgrades!$P$14,F358)*POWER(Upgrades!$P$15,G358)*POWER(Upgrades!$P$16,H358)*POWER(Upgrades!$P$17,I358)*POWER(Upgrades!$P$18,J358)*POWER(Upgrades!$P$19,K358)*POWER(Upgrades!$P$20,L358)*POWER(Upgrades!$P$21,M358)*$F$6*60</f>
        <v/>
      </c>
      <c r="AB358" s="27">
        <f>(IF(F358=0,0,(Upgrades!$G$14+F358*Upgrades!$H$14)*POWER(Upgrades!$I$14,F358)))*(IF(Upgrades!$T$13="Local Bubble",POWER(Upgrades!$U$13,E358),1)*IF(Upgrades!$T$15="Local Bubble",POWER(Upgrades!$U$15,G358),1)*IF(Upgrades!$T$16="Local Bubble",POWER(Upgrades!$U$16,H358),1)*IF(Upgrades!$T$17="Local Bubble",POWER(Upgrades!$U$17,I358),1)*IF(Upgrades!$T$18="Local Bubble",POWER(Upgrades!$U$18,J358),1)*IF(Upgrades!$T$19="Local Bubble",POWER(Upgrades!$U$19,K358),1)*IF(Upgrades!$T$20="Local Bubble",POWER(Upgrades!$U$20,L358),1)*IF(Upgrades!$T$21="Local Bubble",POWER(Upgrades!$U$21,M358),1))*POWER(Upgrades!$P$13,E358)*POWER(Upgrades!$P$14,F358)*POWER(Upgrades!$P$15,G358)*POWER(Upgrades!$P$16,H358)*POWER(Upgrades!$P$17,I358)*POWER(Upgrades!$P$18,J358)*POWER(Upgrades!$P$19,K358)*POWER(Upgrades!$P$20,L358)*POWER(Upgrades!$P$21,M358)*$F$6*60</f>
        <v/>
      </c>
      <c r="AC358" s="27">
        <f>(IF(G358=0,0,(Upgrades!$J$15+G358*Upgrades!$K$15)*POWER(Upgrades!$L$15,G358)))*(IF(Upgrades!$T$13="Microlensing",POWER(Upgrades!$U$13,E358),1)*IF(Upgrades!$T$14="Microlensing",POWER(Upgrades!$U$14,F358),1)*IF(Upgrades!$T$16="Microlensing",POWER(Upgrades!$U$16,H358),1)*IF(Upgrades!$T$17="Microlensing",POWER(Upgrades!$U$17,I358),1)*IF(Upgrades!$T$18="Microlensing",POWER(Upgrades!$U$18,J358),1)*IF(Upgrades!$T$19="Microlensing",POWER(Upgrades!$U$19,K358),1)*IF(Upgrades!$T$20="Microlensing",POWER(Upgrades!$U$20,L358),1)*IF(Upgrades!$T$21="Microlensing",POWER(Upgrades!$U$21,M358),1))*POWER(Upgrades!$Q$13,E358)*POWER(Upgrades!$Q$14,F358)*POWER(Upgrades!$Q$15,G358)*POWER(Upgrades!$Q$16,H358)*POWER(Upgrades!$Q$17,I358)*POWER(Upgrades!$Q$18,J358)*POWER(Upgrades!$Q$19,K358)*POWER(Upgrades!$Q$20,L358)*POWER(Upgrades!$Q$21,M358)*$G$6*(Parameters!$B$10*Parameters!$B$11+Q358*60)</f>
        <v/>
      </c>
      <c r="AD358" s="27">
        <f>(IF(H358=0,0,(Upgrades!$M$16+H358*Upgrades!$N$16)*POWER(Upgrades!$O$16,H358)))*(IF(Upgrades!$T$13="Roche Lobe Overflow",POWER(Upgrades!$U$13,E358),1)*IF(Upgrades!$T$14="Roche Lobe Overflow",POWER(Upgrades!$U$14,F358),1)*IF(Upgrades!$T$15="Roche Lobe Overflow",POWER(Upgrades!$U$15,G358),1)*IF(Upgrades!$T$17="Roche Lobe Overflow",POWER(Upgrades!$U$17,I358),1)*IF(Upgrades!$T$18="Roche Lobe Overflow",POWER(Upgrades!$U$18,J358),1)*IF(Upgrades!$T$19="Roche Lobe Overflow",POWER(Upgrades!$U$19,K358),1)*IF(Upgrades!$T$20="Roche Lobe Overflow",POWER(Upgrades!$U$20,L358),1)*IF(Upgrades!$T$21="Roche Lobe Overflow",POWER(Upgrades!$U$21,M358),1))*POWER(Upgrades!$R$13,E358)*POWER(Upgrades!$R$14,F358)*POWER(Upgrades!$R$15,G358)*POWER(Upgrades!$R$16,H358)*POWER(Upgrades!$R$17,I358)*POWER(Upgrades!$R$18,J358)*POWER(Upgrades!$R$19,K358)*POWER(Upgrades!$R$20,L358)*POWER(Upgrades!$R$21,M358)*$H$6*O358*60</f>
        <v/>
      </c>
      <c r="AE358" s="27">
        <f>(IF(I358=0,0,(Upgrades!$G$17+I358*Upgrades!$H$17)*POWER(Upgrades!$I$17,I358)))*(IF(Upgrades!$T$13="Brown Dwarf",POWER(Upgrades!$U$13,E358),1)*IF(Upgrades!$T$14="Brown Dwarf",POWER(Upgrades!$U$14,F358),1)*IF(Upgrades!$T$15="Brown Dwarf",POWER(Upgrades!$U$15,G358),1)*IF(Upgrades!$T$16="Brown Dwarf",POWER(Upgrades!$U$16,H358),1)*IF(Upgrades!$T$18="Brown Dwarf",POWER(Upgrades!$U$18,J358),1)*IF(Upgrades!$T$19="Brown Dwarf",POWER(Upgrades!$U$19,K358),1)*IF(Upgrades!$T$20="Brown Dwarf",POWER(Upgrades!$U$20,L358),1)*IF(Upgrades!$T$21="Brown Dwarf",POWER(Upgrades!$U$21,M358),1))*POWER(Upgrades!$P$13,E358)*POWER(Upgrades!$P$14,F358)*POWER(Upgrades!$P$15,G358)*POWER(Upgrades!$P$16,H358)*POWER(Upgrades!$P$17,I358)*POWER(Upgrades!$P$18,J358)*POWER(Upgrades!$P$19,K358)*POWER(Upgrades!$P$20,L358)*POWER(Upgrades!$P$21,M358)*$F$6*60</f>
        <v/>
      </c>
      <c r="AF358" s="27" t="n">
        <v>0</v>
      </c>
      <c r="AG358" s="27" t="n">
        <v>0</v>
      </c>
      <c r="AH358" s="27" t="n">
        <v>0</v>
      </c>
      <c r="AI358" s="27">
        <f>(IF(M358=0,0,(Upgrades!$G$21+M358*Upgrades!$H$21)*POWER(Upgrades!$I$21,M358)))*(IF(Upgrades!$T$13="Moving Group",POWER(Upgrades!$U$13,E358),1)*IF(Upgrades!$T$14="Moving Group",POWER(Upgrades!$U$14,F358),1)*IF(Upgrades!$T$15="Moving Group",POWER(Upgrades!$U$15,G358),1)*IF(Upgrades!$T$16="Moving Group",POWER(Upgrades!$U$16,H358),1)*IF(Upgrades!$T$17="Moving Group",POWER(Upgrades!$U$17,I358),1)*IF(Upgrades!$T$18="Moving Group",POWER(Upgrades!$U$18,J358),1)*IF(Upgrades!$T$19="Moving Group",POWER(Upgrades!$U$19,K358),1)*IF(Upgrades!$T$20="Moving Group",POWER(Upgrades!$U$20,L358),1))*POWER(Upgrades!$P$13,E358)*POWER(Upgrades!$P$14,F358)*POWER(Upgrades!$P$15,G358)*POWER(Upgrades!$P$16,H358)*POWER(Upgrades!$P$17,I358)*POWER(Upgrades!$P$18,J358)*POWER(Upgrades!$P$19,K358)*POWER(Upgrades!$P$20,L358)*POWER(Upgrades!$P$21,M358)*$F$6*60</f>
        <v/>
      </c>
      <c r="AJ358" s="27">
        <f>$C$6*60</f>
        <v/>
      </c>
      <c r="AK358" s="22">
        <f>IF(E358&gt;=Upgrades!$E$13,"",Upgrades!$C$13*POWER(Upgrades!$D$13,E358))</f>
        <v/>
      </c>
      <c r="AL358" s="22">
        <f>IF(F358&gt;=Upgrades!$E$14,"",Upgrades!$C$14*POWER(Upgrades!$D$14,F358))</f>
        <v/>
      </c>
      <c r="AM358" s="22">
        <f>IF(G358&gt;=Upgrades!$E$15,"",Upgrades!$C$15*POWER(Upgrades!$D$15,G358))</f>
        <v/>
      </c>
      <c r="AN358" s="22">
        <f>IF(H358&gt;=Upgrades!$E$16,"",Upgrades!$C$16*POWER(Upgrades!$D$16,H358))</f>
        <v/>
      </c>
      <c r="AO358" s="22">
        <f>IF(I358&gt;=Upgrades!$E$17,"",Upgrades!$C$17*POWER(Upgrades!$D$17,I358))</f>
        <v/>
      </c>
      <c r="AP358" s="22">
        <f>IF(J358&gt;=Upgrades!$E$18,"",Upgrades!$C$18*POWER(Upgrades!$D$18,J358))</f>
        <v/>
      </c>
      <c r="AQ358" s="22">
        <f>IF(K358&gt;=Upgrades!$E$19,"",Upgrades!$C$19*POWER(Upgrades!$D$19,K358))</f>
        <v/>
      </c>
      <c r="AR358" s="22">
        <f>IF(L358&gt;=Upgrades!$E$20,"",Upgrades!$C$20*POWER(Upgrades!$D$20,L358))</f>
        <v/>
      </c>
      <c r="AS358" s="22">
        <f>IF(M358&gt;=Upgrades!$E$21,"",Upgrades!$C$21*POWER(Upgrades!$D$21,M358))</f>
        <v/>
      </c>
      <c r="AT358" s="26">
        <f>IF(AND(D358&gt;=Parameters!$B$18*Parameters!$B$19,(I358&gt;=Upgrades!$E$17)*(M358&gt;=Upgrades!$E$21)=1,N358=0),1,"")</f>
        <v/>
      </c>
      <c r="AU358" s="26">
        <f>IF(AND(D358&gt;=Parameters!$B$18*Parameters!$B$19,N358=0),1,"")</f>
        <v/>
      </c>
      <c r="AV358" s="22">
        <f>MIN(IF(ISNUMBER(AP358),AP358,9E15),IF(ISNUMBER(AQ358),AQ358,9E15),IF(ISNUMBER(AR358),AR358,9E15),IF(ISNUMBER(AS358),AS358,9E15))</f>
        <v/>
      </c>
      <c r="AW358" s="22">
        <f>MIN(IF(ISNUMBER(AK358),AK358,9E15),IF(ISNUMBER(AL358),AL358,9E15),IF(ISNUMBER(AM358),AM358,9E15),IF(ISNUMBER(AN358),AN358,9E15),IF(ISNUMBER(AO358),AO358,9E15))</f>
        <v/>
      </c>
      <c r="AX358" s="29">
        <f>IF(BD358&gt;Parameters!$B$21*(MAX(IF(AND(NOT(AND(AU358=1,AT358&lt;&gt;1)),ISNUMBER(AK358),AK358&lt;=(C358+T358)),AY358,0),IF(AND(NOT(AND(AU358=1,AT358&lt;&gt;1)),ISNUMBER(AL358),AL358&lt;=(C358+T358)),AZ358,0),IF(AND(NOT(AND(AU358=1,AT358&lt;&gt;1)),ISNUMBER(AM358),AM358&lt;=(C358+T358)),BA358,0),IF(AND(NOT(AND(AU358=1,AT358&lt;&gt;1)),ISNUMBER(AN358),AN358&lt;=(C358+T358)),BB358,0),IF(AND(ISNUMBER(AO358),AO358&lt;=(C358+T358)),BC358,0))),TRUE,FALSE)</f>
        <v/>
      </c>
      <c r="AY358" s="32">
        <f>IFERROR(Upgrades!$H$13*(POWER(Upgrades!$P$13,E358)*POWER(Upgrades!$P$14,F358)*POWER(Upgrades!$P$15,G358)*POWER(Upgrades!$P$16,H358)*POWER(Upgrades!$P$17,I358)*POWER(Upgrades!$P$18,J358)*POWER(Upgrades!$P$19,K358)*POWER(Upgrades!$P$20,L358)*POWER(Upgrades!$P$21,M358))*(IF(Upgrades!$T$14="Stellar Kinematics",POWER(Upgrades!$U$14,F358),1)*IF(Upgrades!$T$15="Stellar Kinematics",POWER(Upgrades!$U$15,G358),1)*IF(Upgrades!$T$16="Stellar Kinematics",POWER(Upgrades!$U$16,H358),1)*IF(Upgrades!$T$17="Stellar Kinematics",POWER(Upgrades!$U$17,I358),1)*IF(Upgrades!$T$18="Stellar Kinematics",POWER(Upgrades!$U$18,J358),1)*IF(Upgrades!$T$19="Stellar Kinematics",POWER(Upgrades!$U$19,K358),1)*IF(Upgrades!$T$20="Stellar Kinematics",POWER(Upgrades!$U$20,L358),1)*IF(Upgrades!$T$21="Stellar Kinematics",POWER(Upgrades!$U$21,M358),1))*$F$6/AK358,0)</f>
        <v/>
      </c>
      <c r="AZ358" s="32">
        <f>IFERROR(Upgrades!$H$14*(POWER(Upgrades!$P$13,E358)*POWER(Upgrades!$P$14,F358)*POWER(Upgrades!$P$15,G358)*POWER(Upgrades!$P$16,H358)*POWER(Upgrades!$P$17,I358)*POWER(Upgrades!$P$18,J358)*POWER(Upgrades!$P$19,K358)*POWER(Upgrades!$P$20,L358)*POWER(Upgrades!$P$21,M358))*(IF(Upgrades!$T$13="Local Bubble",POWER(Upgrades!$U$13,E358),1)*IF(Upgrades!$T$15="Local Bubble",POWER(Upgrades!$U$15,G358),1)*IF(Upgrades!$T$16="Local Bubble",POWER(Upgrades!$U$16,H358),1)*IF(Upgrades!$T$17="Local Bubble",POWER(Upgrades!$U$17,I358),1)*IF(Upgrades!$T$18="Local Bubble",POWER(Upgrades!$U$18,J358),1)*IF(Upgrades!$T$19="Local Bubble",POWER(Upgrades!$U$19,K358),1)*IF(Upgrades!$T$20="Local Bubble",POWER(Upgrades!$U$20,L358),1)*IF(Upgrades!$T$21="Local Bubble",POWER(Upgrades!$U$21,M358),1))*$F$6/AL358,0)</f>
        <v/>
      </c>
      <c r="BA358" s="32">
        <f>IFERROR(Upgrades!$K$15*(POWER(Upgrades!$Q$13,E358)*POWER(Upgrades!$Q$14,F358)*POWER(Upgrades!$Q$15,G358)*POWER(Upgrades!$Q$16,H358)*POWER(Upgrades!$Q$17,I358)*POWER(Upgrades!$Q$18,J358)*POWER(Upgrades!$Q$19,K358)*POWER(Upgrades!$Q$20,L358)*POWER(Upgrades!$Q$21,M358))*(IF(Upgrades!$T$13="Microlensing",POWER(Upgrades!$U$13,E358),1)*IF(Upgrades!$T$14="Microlensing",POWER(Upgrades!$U$14,F358),1)*IF(Upgrades!$T$16="Microlensing",POWER(Upgrades!$U$16,H358),1)*IF(Upgrades!$T$17="Microlensing",POWER(Upgrades!$U$17,I358),1)*IF(Upgrades!$T$18="Microlensing",POWER(Upgrades!$U$18,J358),1)*IF(Upgrades!$T$19="Microlensing",POWER(Upgrades!$U$19,K358),1)*IF(Upgrades!$T$20="Microlensing",POWER(Upgrades!$U$20,L358),1)*IF(Upgrades!$T$21="Microlensing",POWER(Upgrades!$U$21,M358),1))*$G$6*(Parameters!$B$10/60*Parameters!$B$11+Q358)/AM358,0)</f>
        <v/>
      </c>
      <c r="BB358" s="32">
        <f>IFERROR((Upgrades!$N$16*(POWER(Upgrades!$R$13,E358)*POWER(Upgrades!$R$14,F358)*POWER(Upgrades!$R$15,G358)*POWER(Upgrades!$R$16,H358)*POWER(Upgrades!$R$17,I358)*POWER(Upgrades!$R$18,J358)*POWER(Upgrades!$R$19,K358)*POWER(Upgrades!$R$20,L358)*POWER(Upgrades!$R$21,M358))*(IF(Upgrades!$T$13="Roche Lobe Overflow",POWER(Upgrades!$U$13,E358),1)*IF(Upgrades!$T$14="Roche Lobe Overflow",POWER(Upgrades!$U$14,F358),1)*IF(Upgrades!$T$15="Roche Lobe Overflow",POWER(Upgrades!$U$15,G358),1)*IF(Upgrades!$T$17="Roche Lobe Overflow",POWER(Upgrades!$U$17,I358),1)*IF(Upgrades!$T$18="Roche Lobe Overflow",POWER(Upgrades!$U$18,J358),1)*IF(Upgrades!$T$19="Roche Lobe Overflow",POWER(Upgrades!$U$19,K358),1)*IF(Upgrades!$T$20="Roche Lobe Overflow",POWER(Upgrades!$U$20,L358),1)*IF(Upgrades!$T$21="Roche Lobe Overflow",POWER(Upgrades!$U$21,M358),1))*$H$6*O358+((IF(F358=0,0,(Upgrades!$G$14+F358*Upgrades!$H$14)*POWER(Upgrades!$I$14,F358)))*(IF(Upgrades!$T$13="Local Bubble",POWER(Upgrades!$U$13,E358),1)*IF(Upgrades!$T$15="Local Bubble",POWER(Upgrades!$U$15,G358),1)*IF(Upgrades!$T$16="Local Bubble",POWER(Upgrades!$U$16,H358),1)*IF(Upgrades!$T$17="Local Bubble",POWER(Upgrades!$U$17,I358),1)*IF(Upgrades!$T$18="Local Bubble",POWER(Upgrades!$U$18,J358),1)*IF(Upgrades!$T$19="Local Bubble",POWER(Upgrades!$U$19,K358),1)*IF(Upgrades!$T$20="Local Bubble",POWER(Upgrades!$U$20,L358),1)*IF(Upgrades!$T$21="Local Bubble",POWER(Upgrades!$U$21,M358),1))*POWER(Upgrades!$P$13,E358)*POWER(Upgrades!$P$14,F358)*POWER(Upgrades!$P$15,G358)*POWER(Upgrades!$P$16,H358)*POWER(Upgrades!$P$17,I358)*POWER(Upgrades!$P$18,J358)*POWER(Upgrades!$P$19,K358)*POWER(Upgrades!$P$20,L358)*POWER(Upgrades!$P$21,M358)*$F$6)*0.05)/AN358,0)</f>
        <v/>
      </c>
      <c r="BC358" s="32">
        <f>IFERROR((Upgrades!$H$17*(POWER(Upgrades!$P$13,E358)*POWER(Upgrades!$P$14,F358)*POWER(Upgrades!$P$15,G358)*POWER(Upgrades!$P$16,H358)*POWER(Upgrades!$P$17,I358)*POWER(Upgrades!$P$18,J358)*POWER(Upgrades!$P$19,K358)*POWER(Upgrades!$P$20,L358)*POWER(Upgrades!$P$21,M358))*(IF(Upgrades!$T$13="Brown Dwarf",POWER(Upgrades!$U$13,E358),1)*IF(Upgrades!$T$14="Brown Dwarf",POWER(Upgrades!$U$14,F358),1)*IF(Upgrades!$T$15="Brown Dwarf",POWER(Upgrades!$U$15,G358),1)*IF(Upgrades!$T$16="Brown Dwarf",POWER(Upgrades!$U$16,H358),1)*IF(Upgrades!$T$18="Brown Dwarf",POWER(Upgrades!$U$18,J358),1)*IF(Upgrades!$T$19="Brown Dwarf",POWER(Upgrades!$U$19,K358),1)*IF(Upgrades!$T$20="Brown Dwarf",POWER(Upgrades!$U$20,L358),1)*IF(Upgrades!$T$21="Brown Dwarf",POWER(Upgrades!$U$21,M358),1))*$F$6+(((IF(H358=0,0,(Upgrades!$M$16+H358*Upgrades!$N$16)*POWER(Upgrades!$O$16,H358)))*(IF(Upgrades!$T$13="Roche Lobe Overflow",POWER(Upgrades!$U$13,E358),1)*IF(Upgrades!$T$14="Roche Lobe Overflow",POWER(Upgrades!$U$14,F358),1)*IF(Upgrades!$T$15="Roche Lobe Overflow",POWER(Upgrades!$U$15,G358),1)*IF(Upgrades!$T$17="Roche Lobe Overflow",POWER(Upgrades!$U$17,I358),1)*IF(Upgrades!$T$18="Roche Lobe Overflow",POWER(Upgrades!$U$18,J358),1)*IF(Upgrades!$T$19="Roche Lobe Overflow",POWER(Upgrades!$U$19,K358),1)*IF(Upgrades!$T$20="Roche Lobe Overflow",POWER(Upgrades!$U$20,L358),1)*IF(Upgrades!$T$21="Roche Lobe Overflow",POWER(Upgrades!$U$21,M358),1))*POWER(Upgrades!$R$13,E358)*POWER(Upgrades!$R$14,F358)*POWER(Upgrades!$R$15,G358)*POWER(Upgrades!$R$16,H358)*POWER(Upgrades!$R$17,I358)*POWER(Upgrades!$R$18,J358)*POWER(Upgrades!$R$19,K358)*POWER(Upgrades!$R$20,L358)*POWER(Upgrades!$R$21,M358)*$H$6)*O358)*0.10)/AO358,0)</f>
        <v/>
      </c>
      <c r="BD358" s="32">
        <f>MAX(IF(J358&gt;0,0,IFERROR(0.5*((IF(G358=0,0,(Upgrades!$J$15+G358*Upgrades!$K$15)*POWER(Upgrades!$L$15,G358)))*(IF(Upgrades!$T$13="Microlensing",POWER(Upgrades!$U$13,E358),1)*IF(Upgrades!$T$14="Microlensing",POWER(Upgrades!$U$14,F358),1)*IF(Upgrades!$T$16="Microlensing",POWER(Upgrades!$U$16,H358),1)*IF(Upgrades!$T$17="Microlensing",POWER(Upgrades!$U$17,I358),1)*IF(Upgrades!$T$18="Microlensing",POWER(Upgrades!$U$18,J358),1)*IF(Upgrades!$T$19="Microlensing",POWER(Upgrades!$U$19,K358),1)*IF(Upgrades!$T$20="Microlensing",POWER(Upgrades!$U$20,L358),1)*IF(Upgrades!$T$21="Microlensing",POWER(Upgrades!$U$21,M358),1))*(POWER(Upgrades!$Q$13,E358)*POWER(Upgrades!$Q$14,F358)*POWER(Upgrades!$Q$15,G358)*POWER(Upgrades!$Q$16,H358)*POWER(Upgrades!$Q$17,I358)*POWER(Upgrades!$Q$18,J358)*POWER(Upgrades!$Q$19,K358)*POWER(Upgrades!$Q$20,L358)*POWER(Upgrades!$Q$21,M358))*$G$6*(Parameters!$B$10/60*Parameters!$B$11+Q358))/Upgrades!$C$18,0)),IF(K358&gt;0,0,IFERROR(0.30*P358/Upgrades!$C$19,0)),IF(L358&gt;0,0,IFERROR(0.0001/Upgrades!$C$20,0)),IF(M358&gt;0,0,IFERROR((6.0*(POWER(Upgrades!$P$13,E358)*POWER(Upgrades!$P$14,F358)*POWER(Upgrades!$P$15,G358)*POWER(Upgrades!$P$16,H358)*POWER(Upgrades!$P$17,I358)*POWER(Upgrades!$P$18,J358)*POWER(Upgrades!$P$19,K358)*POWER(Upgrades!$P$20,L358)*POWER(Upgrades!$P$21,M358))*$F$6+0.20*O358*(Parameters!$B$10/60*Parameters!$B$11+Q358))/Upgrades!$C$21,0)),IF(AND(ISNUMBER(AK358),AK358&gt;(C358+T358)),AY358,0),IF(AND(ISNUMBER(AL358),AL358&gt;(C358+T358)),AZ358,0),IF(AND(ISNUMBER(AM358),AM358&gt;(C358+T358)),BA358,0),IF(AND(ISNUMBER(AN358),AN358&gt;(C358+T358)),BB358,0),IF(AND(ISNUMBER(AO358),AO358&gt;(C358+T358)),BC358,0))</f>
        <v/>
      </c>
      <c r="BE358" s="29">
        <f>IF(AT358=1,"transition",IF(MIN(IF(AND(J358=0,ISNUMBER(AP358),AP358&lt;=(C358+T358)),AP358,9E15),IF(AND(K358=0,ISNUMBER(AQ358),AQ358&lt;=(C358+T358)),AQ358,9E15),IF(AND(L358=0,ISNUMBER(AR358),AR358&lt;=(C358+T358)),AR358,9E15),IF(AND(M358=0,ISNUMBER(AS358),AS358&lt;=(C358+T358)),AS358,9E15))&lt;9E15,IF(AND(AND(J358=0,ISNUMBER(AP358),AP358&lt;=(C358+T358)),AP358=MIN(IF(AND(J358=0,ISNUMBER(AP358),AP358&lt;=(C358+T358)),AP358,9E15),IF(AND(K358=0,ISNUMBER(AQ358),AQ358&lt;=(C358+T358)),AQ358,9E15),IF(AND(L358=0,ISNUMBER(AR358),AR358&lt;=(C358+T358)),AR358,9E15),IF(AND(M358=0,ISNUMBER(AS358),AS358&lt;=(C358+T358)),AS358,9E15))),"BiP",IF(AND(AND(K358=0,ISNUMBER(AQ358),AQ358&lt;=(C358+T358)),AQ358=MIN(IF(AND(J358=0,ISNUMBER(AP358),AP358&lt;=(C358+T358)),AP358,9E15),IF(AND(K358=0,ISNUMBER(AQ358),AQ358&lt;=(C358+T358)),AQ358,9E15),IF(AND(L358=0,ISNUMBER(AR358),AR358&lt;=(C358+T358)),AR358,9E15),IF(AND(M358=0,ISNUMBER(AS358),AS358&lt;=(C358+T358)),AS358,9E15))),"PV",IF(AND(AND(L358=0,ISNUMBER(AR358),AR358&lt;=(C358+T358)),AR358=MIN(IF(AND(J358=0,ISNUMBER(AP358),AP358&lt;=(C358+T358)),AP358,9E15),IF(AND(K358=0,ISNUMBER(AQ358),AQ358&lt;=(C358+T358)),AQ358,9E15),IF(AND(L358=0,ISNUMBER(AR358),AR358&lt;=(C358+T358)),AR358,9E15),IF(AND(M358=0,ISNUMBER(AS358),AS358&lt;=(C358+T358)),AS358,9E15))),"OC","MG"))),IF(AX358=TRUE,"",IF(MAX(IF(AND(NOT(AND(AU358=1,AT358&lt;&gt;1)),ISNUMBER(AK358),AK358&lt;=(C358+T358)),AY358,0),IF(AND(NOT(AND(AU358=1,AT358&lt;&gt;1)),ISNUMBER(AL358),AL358&lt;=(C358+T358)),AZ358,0),IF(AND(NOT(AND(AU358=1,AT358&lt;&gt;1)),ISNUMBER(AM358),AM358&lt;=(C358+T358)),BA358,0),IF(AND(NOT(AND(AU358=1,AT358&lt;&gt;1)),ISNUMBER(AN358),AN358&lt;=(C358+T358)),BB358,0),IF(AND(ISNUMBER(AO358),AO358&lt;=(C358+T358)),BC358,0))&lt;=0,"",IF(AND(IF(AND(NOT(AND(AU358=1,AT358&lt;&gt;1)),ISNUMBER(AK358),AK358&lt;=(C358+T358)),AY358,0)&gt;0,IF(AND(NOT(AND(AU358=1,AT358&lt;&gt;1)),ISNUMBER(AK358),AK358&lt;=(C358+T358)),AY358,0)=MAX(IF(AND(NOT(AND(AU358=1,AT358&lt;&gt;1)),ISNUMBER(AK358),AK358&lt;=(C358+T358)),AY358,0),IF(AND(NOT(AND(AU358=1,AT358&lt;&gt;1)),ISNUMBER(AL358),AL358&lt;=(C358+T358)),AZ358,0),IF(AND(NOT(AND(AU358=1,AT358&lt;&gt;1)),ISNUMBER(AM358),AM358&lt;=(C358+T358)),BA358,0),IF(AND(NOT(AND(AU358=1,AT358&lt;&gt;1)),ISNUMBER(AN358),AN358&lt;=(C358+T358)),BB358,0),IF(AND(ISNUMBER(AO358),AO358&lt;=(C358+T358)),BC358,0))),"SK",IF(AND(IF(AND(NOT(AND(AU358=1,AT358&lt;&gt;1)),ISNUMBER(AL358),AL358&lt;=(C358+T358)),AZ358,0)&gt;0,IF(AND(NOT(AND(AU358=1,AT358&lt;&gt;1)),ISNUMBER(AL358),AL358&lt;=(C358+T358)),AZ358,0)=MAX(IF(AND(NOT(AND(AU358=1,AT358&lt;&gt;1)),ISNUMBER(AK358),AK358&lt;=(C358+T358)),AY358,0),IF(AND(NOT(AND(AU358=1,AT358&lt;&gt;1)),ISNUMBER(AL358),AL358&lt;=(C358+T358)),AZ358,0),IF(AND(NOT(AND(AU358=1,AT358&lt;&gt;1)),ISNUMBER(AM358),AM358&lt;=(C358+T358)),BA358,0),IF(AND(NOT(AND(AU358=1,AT358&lt;&gt;1)),ISNUMBER(AN358),AN358&lt;=(C358+T358)),BB358,0),IF(AND(ISNUMBER(AO358),AO358&lt;=(C358+T358)),BC358,0))),"LB",IF(AND(IF(AND(NOT(AND(AU358=1,AT358&lt;&gt;1)),ISNUMBER(AM358),AM358&lt;=(C358+T358)),BA358,0)&gt;0,IF(AND(NOT(AND(AU358=1,AT358&lt;&gt;1)),ISNUMBER(AM358),AM358&lt;=(C358+T358)),BA358,0)=MAX(IF(AND(NOT(AND(AU358=1,AT358&lt;&gt;1)),ISNUMBER(AK358),AK358&lt;=(C358+T358)),AY358,0),IF(AND(NOT(AND(AU358=1,AT358&lt;&gt;1)),ISNUMBER(AL358),AL358&lt;=(C358+T358)),AZ358,0),IF(AND(NOT(AND(AU358=1,AT358&lt;&gt;1)),ISNUMBER(AM358),AM358&lt;=(C358+T358)),BA358,0),IF(AND(NOT(AND(AU358=1,AT358&lt;&gt;1)),ISNUMBER(AN358),AN358&lt;=(C358+T358)),BB358,0),IF(AND(ISNUMBER(AO358),AO358&lt;=(C358+T358)),BC358,0))),"ML",IF(AND(IF(AND(NOT(AND(AU358=1,AT358&lt;&gt;1)),ISNUMBER(AN358),AN358&lt;=(C358+T358)),BB358,0)&gt;0,IF(AND(NOT(AND(AU358=1,AT358&lt;&gt;1)),ISNUMBER(AN358),AN358&lt;=(C358+T358)),BB358,0)=MAX(IF(AND(NOT(AND(AU358=1,AT358&lt;&gt;1)),ISNUMBER(AK358),AK358&lt;=(C358+T358)),AY358,0),IF(AND(NOT(AND(AU358=1,AT358&lt;&gt;1)),ISNUMBER(AL358),AL358&lt;=(C358+T358)),AZ358,0),IF(AND(NOT(AND(AU358=1,AT358&lt;&gt;1)),ISNUMBER(AM358),AM358&lt;=(C358+T358)),BA358,0),IF(AND(NOT(AND(AU358=1,AT358&lt;&gt;1)),ISNUMBER(AN358),AN358&lt;=(C358+T358)),BB358,0),IF(AND(ISNUMBER(AO358),AO358&lt;=(C358+T358)),BC358,0))),"RLO","BD"))))))))</f>
        <v/>
      </c>
    </row>
    <row r="359">
      <c r="A359" s="26" t="n">
        <v>348</v>
      </c>
      <c r="B359" s="27">
        <f>A359*10/60</f>
        <v/>
      </c>
      <c r="C359" s="22">
        <f>X358</f>
        <v/>
      </c>
      <c r="D359" s="27">
        <f>D358+W358</f>
        <v/>
      </c>
      <c r="E359" s="26">
        <f>E358+IF(U358="SK",1,0)</f>
        <v/>
      </c>
      <c r="F359" s="26">
        <f>F358+IF(U358="LB",1,0)</f>
        <v/>
      </c>
      <c r="G359" s="26">
        <f>G358+IF(U358="ML",1,0)</f>
        <v/>
      </c>
      <c r="H359" s="26">
        <f>H358+IF(U358="RLO",1,0)</f>
        <v/>
      </c>
      <c r="I359" s="26">
        <f>I358+IF(U358="BD",1,0)</f>
        <v/>
      </c>
      <c r="J359" s="26">
        <f>MAX(J358,IF(U358="BiP",1,0))</f>
        <v/>
      </c>
      <c r="K359" s="26">
        <f>MAX(K358,IF(U358="PV",1,0))</f>
        <v/>
      </c>
      <c r="L359" s="26">
        <f>MAX(L358,IF(U358="OC",1,0))</f>
        <v/>
      </c>
      <c r="M359" s="26">
        <f>MAX(M358,IF(U358="MG",1,0))</f>
        <v/>
      </c>
      <c r="N359" s="26">
        <f>MAX(N358,IF(U358="transition",1,0))</f>
        <v/>
      </c>
      <c r="O359" s="28">
        <f>(Parameters!$B$9+(IF(E359=0,0,(Upgrades!$J$13+E359*Upgrades!$K$13)*POWER(Upgrades!$L$13,E359)))*(IF(Upgrades!$T$14="Stellar Kinematics",POWER(Upgrades!$U$14,F359),1)*IF(Upgrades!$T$15="Stellar Kinematics",POWER(Upgrades!$U$15,G359),1)*IF(Upgrades!$T$16="Stellar Kinematics",POWER(Upgrades!$U$16,H359),1)*IF(Upgrades!$T$17="Stellar Kinematics",POWER(Upgrades!$U$17,I359),1)*IF(Upgrades!$T$18="Stellar Kinematics",POWER(Upgrades!$U$18,J359),1)*IF(Upgrades!$T$19="Stellar Kinematics",POWER(Upgrades!$U$19,K359),1)*IF(Upgrades!$T$20="Stellar Kinematics",POWER(Upgrades!$U$20,L359),1)*IF(Upgrades!$T$21="Stellar Kinematics",POWER(Upgrades!$U$21,M359),1))+(IF(F359=0,0,(Upgrades!$J$14+F359*Upgrades!$K$14)*POWER(Upgrades!$L$14,F359)))*(IF(Upgrades!$T$13="Local Bubble",POWER(Upgrades!$U$13,E359),1)*IF(Upgrades!$T$15="Local Bubble",POWER(Upgrades!$U$15,G359),1)*IF(Upgrades!$T$16="Local Bubble",POWER(Upgrades!$U$16,H359),1)*IF(Upgrades!$T$17="Local Bubble",POWER(Upgrades!$U$17,I359),1)*IF(Upgrades!$T$18="Local Bubble",POWER(Upgrades!$U$18,J359),1)*IF(Upgrades!$T$19="Local Bubble",POWER(Upgrades!$U$19,K359),1)*IF(Upgrades!$T$20="Local Bubble",POWER(Upgrades!$U$20,L359),1)*IF(Upgrades!$T$21="Local Bubble",POWER(Upgrades!$U$21,M359),1))+(IF(G359=0,0,(Upgrades!$J$15+G359*Upgrades!$K$15)*POWER(Upgrades!$L$15,G359)))*(IF(Upgrades!$T$13="Microlensing",POWER(Upgrades!$U$13,E359),1)*IF(Upgrades!$T$14="Microlensing",POWER(Upgrades!$U$14,F359),1)*IF(Upgrades!$T$16="Microlensing",POWER(Upgrades!$U$16,H359),1)*IF(Upgrades!$T$17="Microlensing",POWER(Upgrades!$U$17,I359),1)*IF(Upgrades!$T$18="Microlensing",POWER(Upgrades!$U$18,J359),1)*IF(Upgrades!$T$19="Microlensing",POWER(Upgrades!$U$19,K359),1)*IF(Upgrades!$T$20="Microlensing",POWER(Upgrades!$U$20,L359),1)*IF(Upgrades!$T$21="Microlensing",POWER(Upgrades!$U$21,M359),1))+(IF(H359=0,0,(Upgrades!$J$16+H359*Upgrades!$K$16)*POWER(Upgrades!$L$16,H359)))*(IF(Upgrades!$T$13="Roche Lobe Overflow",POWER(Upgrades!$U$13,E359),1)*IF(Upgrades!$T$14="Roche Lobe Overflow",POWER(Upgrades!$U$14,F359),1)*IF(Upgrades!$T$15="Roche Lobe Overflow",POWER(Upgrades!$U$15,G359),1)*IF(Upgrades!$T$17="Roche Lobe Overflow",POWER(Upgrades!$U$17,I359),1)*IF(Upgrades!$T$18="Roche Lobe Overflow",POWER(Upgrades!$U$18,J359),1)*IF(Upgrades!$T$19="Roche Lobe Overflow",POWER(Upgrades!$U$19,K359),1)*IF(Upgrades!$T$20="Roche Lobe Overflow",POWER(Upgrades!$U$20,L359),1)*IF(Upgrades!$T$21="Roche Lobe Overflow",POWER(Upgrades!$U$21,M359),1))+(IF(I359=0,0,(Upgrades!$J$17+I359*Upgrades!$K$17)*POWER(Upgrades!$L$17,I359)))*(IF(Upgrades!$T$13="Brown Dwarf",POWER(Upgrades!$U$13,E359),1)*IF(Upgrades!$T$14="Brown Dwarf",POWER(Upgrades!$U$14,F359),1)*IF(Upgrades!$T$15="Brown Dwarf",POWER(Upgrades!$U$15,G359),1)*IF(Upgrades!$T$16="Brown Dwarf",POWER(Upgrades!$U$16,H359),1)*IF(Upgrades!$T$18="Brown Dwarf",POWER(Upgrades!$U$18,J359),1)*IF(Upgrades!$T$19="Brown Dwarf",POWER(Upgrades!$U$19,K359),1)*IF(Upgrades!$T$20="Brown Dwarf",POWER(Upgrades!$U$20,L359),1)*IF(Upgrades!$T$21="Brown Dwarf",POWER(Upgrades!$U$21,M359),1))+(IF(J359=0,0,(Upgrades!$J$18+J359*Upgrades!$K$18)*POWER(Upgrades!$L$18,J359)))*(IF(Upgrades!$T$13="Binary Partner",POWER(Upgrades!$U$13,E359),1)*IF(Upgrades!$T$14="Binary Partner",POWER(Upgrades!$U$14,F359),1)*IF(Upgrades!$T$15="Binary Partner",POWER(Upgrades!$U$15,G359),1)*IF(Upgrades!$T$16="Binary Partner",POWER(Upgrades!$U$16,H359),1)*IF(Upgrades!$T$17="Binary Partner",POWER(Upgrades!$U$17,I359),1)*IF(Upgrades!$T$19="Binary Partner",POWER(Upgrades!$U$19,K359),1)*IF(Upgrades!$T$20="Binary Partner",POWER(Upgrades!$U$20,L359),1)*IF(Upgrades!$T$21="Binary Partner",POWER(Upgrades!$U$21,M359),1))+(IF(K359=0,0,(Upgrades!$J$19+K359*Upgrades!$K$19)*POWER(Upgrades!$L$19,K359)))*(IF(Upgrades!$T$13="Peculiar Velocity",POWER(Upgrades!$U$13,E359),1)*IF(Upgrades!$T$14="Peculiar Velocity",POWER(Upgrades!$U$14,F359),1)*IF(Upgrades!$T$15="Peculiar Velocity",POWER(Upgrades!$U$15,G359),1)*IF(Upgrades!$T$16="Peculiar Velocity",POWER(Upgrades!$U$16,H359),1)*IF(Upgrades!$T$17="Peculiar Velocity",POWER(Upgrades!$U$17,I359),1)*IF(Upgrades!$T$18="Peculiar Velocity",POWER(Upgrades!$U$18,J359),1)*IF(Upgrades!$T$20="Peculiar Velocity",POWER(Upgrades!$U$20,L359),1)*IF(Upgrades!$T$21="Peculiar Velocity",POWER(Upgrades!$U$21,M359),1))+(IF(L359=0,0,(Upgrades!$J$20+L359*Upgrades!$K$20)*POWER(Upgrades!$L$20,L359)))*(IF(Upgrades!$T$13="Open Cluster",POWER(Upgrades!$U$13,E359),1)*IF(Upgrades!$T$14="Open Cluster",POWER(Upgrades!$U$14,F359),1)*IF(Upgrades!$T$15="Open Cluster",POWER(Upgrades!$U$15,G359),1)*IF(Upgrades!$T$16="Open Cluster",POWER(Upgrades!$U$16,H359),1)*IF(Upgrades!$T$17="Open Cluster",POWER(Upgrades!$U$17,I359),1)*IF(Upgrades!$T$18="Open Cluster",POWER(Upgrades!$U$18,J359),1)*IF(Upgrades!$T$19="Open Cluster",POWER(Upgrades!$U$19,K359),1)*IF(Upgrades!$T$21="Open Cluster",POWER(Upgrades!$U$21,M359),1))+(IF(M359=0,0,(Upgrades!$J$21+M359*Upgrades!$K$21)*POWER(Upgrades!$L$21,M359)))*(IF(Upgrades!$T$13="Moving Group",POWER(Upgrades!$U$13,E359),1)*IF(Upgrades!$T$14="Moving Group",POWER(Upgrades!$U$14,F359),1)*IF(Upgrades!$T$15="Moving Group",POWER(Upgrades!$U$15,G359),1)*IF(Upgrades!$T$16="Moving Group",POWER(Upgrades!$U$16,H359),1)*IF(Upgrades!$T$17="Moving Group",POWER(Upgrades!$U$17,I359),1)*IF(Upgrades!$T$18="Moving Group",POWER(Upgrades!$U$18,J359),1)*IF(Upgrades!$T$19="Moving Group",POWER(Upgrades!$U$19,K359),1)*IF(Upgrades!$T$20="Moving Group",POWER(Upgrades!$U$20,L359),1)))*POWER(Upgrades!$Q$13,E359)*POWER(Upgrades!$Q$14,F359)*POWER(Upgrades!$Q$15,G359)*POWER(Upgrades!$Q$16,H359)*POWER(Upgrades!$Q$17,I359)*POWER(Upgrades!$Q$18,J359)*POWER(Upgrades!$Q$19,K359)*POWER(Upgrades!$Q$20,L359)*POWER(Upgrades!$Q$21,M359)*$G$6+$D$6</f>
        <v/>
      </c>
      <c r="P359" s="28">
        <f>((IF(E359=0,0,(Upgrades!$G$13+E359*Upgrades!$H$13)*POWER(Upgrades!$I$13,E359)))*(IF(Upgrades!$T$14="Stellar Kinematics",POWER(Upgrades!$U$14,F359),1)*IF(Upgrades!$T$15="Stellar Kinematics",POWER(Upgrades!$U$15,G359),1)*IF(Upgrades!$T$16="Stellar Kinematics",POWER(Upgrades!$U$16,H359),1)*IF(Upgrades!$T$17="Stellar Kinematics",POWER(Upgrades!$U$17,I359),1)*IF(Upgrades!$T$18="Stellar Kinematics",POWER(Upgrades!$U$18,J359),1)*IF(Upgrades!$T$19="Stellar Kinematics",POWER(Upgrades!$U$19,K359),1)*IF(Upgrades!$T$20="Stellar Kinematics",POWER(Upgrades!$U$20,L359),1)*IF(Upgrades!$T$21="Stellar Kinematics",POWER(Upgrades!$U$21,M359),1))+(IF(F359=0,0,(Upgrades!$G$14+F359*Upgrades!$H$14)*POWER(Upgrades!$I$14,F359)))*(IF(Upgrades!$T$13="Local Bubble",POWER(Upgrades!$U$13,E359),1)*IF(Upgrades!$T$15="Local Bubble",POWER(Upgrades!$U$15,G359),1)*IF(Upgrades!$T$16="Local Bubble",POWER(Upgrades!$U$16,H359),1)*IF(Upgrades!$T$17="Local Bubble",POWER(Upgrades!$U$17,I359),1)*IF(Upgrades!$T$18="Local Bubble",POWER(Upgrades!$U$18,J359),1)*IF(Upgrades!$T$19="Local Bubble",POWER(Upgrades!$U$19,K359),1)*IF(Upgrades!$T$20="Local Bubble",POWER(Upgrades!$U$20,L359),1)*IF(Upgrades!$T$21="Local Bubble",POWER(Upgrades!$U$21,M359),1))+(IF(G359=0,0,(Upgrades!$G$15+G359*Upgrades!$H$15)*POWER(Upgrades!$I$15,G359)))*(IF(Upgrades!$T$13="Microlensing",POWER(Upgrades!$U$13,E359),1)*IF(Upgrades!$T$14="Microlensing",POWER(Upgrades!$U$14,F359),1)*IF(Upgrades!$T$16="Microlensing",POWER(Upgrades!$U$16,H359),1)*IF(Upgrades!$T$17="Microlensing",POWER(Upgrades!$U$17,I359),1)*IF(Upgrades!$T$18="Microlensing",POWER(Upgrades!$U$18,J359),1)*IF(Upgrades!$T$19="Microlensing",POWER(Upgrades!$U$19,K359),1)*IF(Upgrades!$T$20="Microlensing",POWER(Upgrades!$U$20,L359),1)*IF(Upgrades!$T$21="Microlensing",POWER(Upgrades!$U$21,M359),1))+(IF(H359=0,0,(Upgrades!$G$16+H359*Upgrades!$H$16)*POWER(Upgrades!$I$16,H359)))*(IF(Upgrades!$T$13="Roche Lobe Overflow",POWER(Upgrades!$U$13,E359),1)*IF(Upgrades!$T$14="Roche Lobe Overflow",POWER(Upgrades!$U$14,F359),1)*IF(Upgrades!$T$15="Roche Lobe Overflow",POWER(Upgrades!$U$15,G359),1)*IF(Upgrades!$T$17="Roche Lobe Overflow",POWER(Upgrades!$U$17,I359),1)*IF(Upgrades!$T$18="Roche Lobe Overflow",POWER(Upgrades!$U$18,J359),1)*IF(Upgrades!$T$19="Roche Lobe Overflow",POWER(Upgrades!$U$19,K359),1)*IF(Upgrades!$T$20="Roche Lobe Overflow",POWER(Upgrades!$U$20,L359),1)*IF(Upgrades!$T$21="Roche Lobe Overflow",POWER(Upgrades!$U$21,M359),1))+(IF(I359=0,0,(Upgrades!$G$17+I359*Upgrades!$H$17)*POWER(Upgrades!$I$17,I359)))*(IF(Upgrades!$T$13="Brown Dwarf",POWER(Upgrades!$U$13,E359),1)*IF(Upgrades!$T$14="Brown Dwarf",POWER(Upgrades!$U$14,F359),1)*IF(Upgrades!$T$15="Brown Dwarf",POWER(Upgrades!$U$15,G359),1)*IF(Upgrades!$T$16="Brown Dwarf",POWER(Upgrades!$U$16,H359),1)*IF(Upgrades!$T$18="Brown Dwarf",POWER(Upgrades!$U$18,J359),1)*IF(Upgrades!$T$19="Brown Dwarf",POWER(Upgrades!$U$19,K359),1)*IF(Upgrades!$T$20="Brown Dwarf",POWER(Upgrades!$U$20,L359),1)*IF(Upgrades!$T$21="Brown Dwarf",POWER(Upgrades!$U$21,M359),1))+(IF(J359=0,0,(Upgrades!$G$18+J359*Upgrades!$H$18)*POWER(Upgrades!$I$18,J359)))*(IF(Upgrades!$T$13="Binary Partner",POWER(Upgrades!$U$13,E359),1)*IF(Upgrades!$T$14="Binary Partner",POWER(Upgrades!$U$14,F359),1)*IF(Upgrades!$T$15="Binary Partner",POWER(Upgrades!$U$15,G359),1)*IF(Upgrades!$T$16="Binary Partner",POWER(Upgrades!$U$16,H359),1)*IF(Upgrades!$T$17="Binary Partner",POWER(Upgrades!$U$17,I359),1)*IF(Upgrades!$T$19="Binary Partner",POWER(Upgrades!$U$19,K359),1)*IF(Upgrades!$T$20="Binary Partner",POWER(Upgrades!$U$20,L359),1)*IF(Upgrades!$T$21="Binary Partner",POWER(Upgrades!$U$21,M359),1))+(IF(K359=0,0,(Upgrades!$G$19+K359*Upgrades!$H$19)*POWER(Upgrades!$I$19,K359)))*(IF(Upgrades!$T$13="Peculiar Velocity",POWER(Upgrades!$U$13,E359),1)*IF(Upgrades!$T$14="Peculiar Velocity",POWER(Upgrades!$U$14,F359),1)*IF(Upgrades!$T$15="Peculiar Velocity",POWER(Upgrades!$U$15,G359),1)*IF(Upgrades!$T$16="Peculiar Velocity",POWER(Upgrades!$U$16,H359),1)*IF(Upgrades!$T$17="Peculiar Velocity",POWER(Upgrades!$U$17,I359),1)*IF(Upgrades!$T$18="Peculiar Velocity",POWER(Upgrades!$U$18,J359),1)*IF(Upgrades!$T$20="Peculiar Velocity",POWER(Upgrades!$U$20,L359),1)*IF(Upgrades!$T$21="Peculiar Velocity",POWER(Upgrades!$U$21,M359),1))+(IF(L359=0,0,(Upgrades!$G$20+L359*Upgrades!$H$20)*POWER(Upgrades!$I$20,L359)))*(IF(Upgrades!$T$13="Open Cluster",POWER(Upgrades!$U$13,E359),1)*IF(Upgrades!$T$14="Open Cluster",POWER(Upgrades!$U$14,F359),1)*IF(Upgrades!$T$15="Open Cluster",POWER(Upgrades!$U$15,G359),1)*IF(Upgrades!$T$16="Open Cluster",POWER(Upgrades!$U$16,H359),1)*IF(Upgrades!$T$17="Open Cluster",POWER(Upgrades!$U$17,I359),1)*IF(Upgrades!$T$18="Open Cluster",POWER(Upgrades!$U$18,J359),1)*IF(Upgrades!$T$19="Open Cluster",POWER(Upgrades!$U$19,K359),1)*IF(Upgrades!$T$21="Open Cluster",POWER(Upgrades!$U$21,M359),1))+(IF(M359=0,0,(Upgrades!$G$21+M359*Upgrades!$H$21)*POWER(Upgrades!$I$21,M359)))*(IF(Upgrades!$T$13="Moving Group",POWER(Upgrades!$U$13,E359),1)*IF(Upgrades!$T$14="Moving Group",POWER(Upgrades!$U$14,F359),1)*IF(Upgrades!$T$15="Moving Group",POWER(Upgrades!$U$15,G359),1)*IF(Upgrades!$T$16="Moving Group",POWER(Upgrades!$U$16,H359),1)*IF(Upgrades!$T$17="Moving Group",POWER(Upgrades!$U$17,I359),1)*IF(Upgrades!$T$18="Moving Group",POWER(Upgrades!$U$18,J359),1)*IF(Upgrades!$T$19="Moving Group",POWER(Upgrades!$U$19,K359),1)*IF(Upgrades!$T$20="Moving Group",POWER(Upgrades!$U$20,L359),1)))*POWER(Upgrades!$P$13,E359)*POWER(Upgrades!$P$14,F359)*POWER(Upgrades!$P$15,G359)*POWER(Upgrades!$P$16,H359)*POWER(Upgrades!$P$17,I359)*POWER(Upgrades!$P$18,J359)*POWER(Upgrades!$P$19,K359)*POWER(Upgrades!$P$20,L359)*POWER(Upgrades!$P$21,M359)*$F$6+$C$6</f>
        <v/>
      </c>
      <c r="Q359" s="28">
        <f>((IF(E359=0,0,(Upgrades!$M$13+E359*Upgrades!$N$13)*POWER(Upgrades!$O$13,E359)))*(IF(Upgrades!$T$14="Stellar Kinematics",POWER(Upgrades!$U$14,F359),1)*IF(Upgrades!$T$15="Stellar Kinematics",POWER(Upgrades!$U$15,G359),1)*IF(Upgrades!$T$16="Stellar Kinematics",POWER(Upgrades!$U$16,H359),1)*IF(Upgrades!$T$17="Stellar Kinematics",POWER(Upgrades!$U$17,I359),1)*IF(Upgrades!$T$18="Stellar Kinematics",POWER(Upgrades!$U$18,J359),1)*IF(Upgrades!$T$19="Stellar Kinematics",POWER(Upgrades!$U$19,K359),1)*IF(Upgrades!$T$20="Stellar Kinematics",POWER(Upgrades!$U$20,L359),1)*IF(Upgrades!$T$21="Stellar Kinematics",POWER(Upgrades!$U$21,M359),1))+(IF(F359=0,0,(Upgrades!$M$14+F359*Upgrades!$N$14)*POWER(Upgrades!$O$14,F359)))*(IF(Upgrades!$T$13="Local Bubble",POWER(Upgrades!$U$13,E359),1)*IF(Upgrades!$T$15="Local Bubble",POWER(Upgrades!$U$15,G359),1)*IF(Upgrades!$T$16="Local Bubble",POWER(Upgrades!$U$16,H359),1)*IF(Upgrades!$T$17="Local Bubble",POWER(Upgrades!$U$17,I359),1)*IF(Upgrades!$T$18="Local Bubble",POWER(Upgrades!$U$18,J359),1)*IF(Upgrades!$T$19="Local Bubble",POWER(Upgrades!$U$19,K359),1)*IF(Upgrades!$T$20="Local Bubble",POWER(Upgrades!$U$20,L359),1)*IF(Upgrades!$T$21="Local Bubble",POWER(Upgrades!$U$21,M359),1))+(IF(G359=0,0,(Upgrades!$M$15+G359*Upgrades!$N$15)*POWER(Upgrades!$O$15,G359)))*(IF(Upgrades!$T$13="Microlensing",POWER(Upgrades!$U$13,E359),1)*IF(Upgrades!$T$14="Microlensing",POWER(Upgrades!$U$14,F359),1)*IF(Upgrades!$T$16="Microlensing",POWER(Upgrades!$U$16,H359),1)*IF(Upgrades!$T$17="Microlensing",POWER(Upgrades!$U$17,I359),1)*IF(Upgrades!$T$18="Microlensing",POWER(Upgrades!$U$18,J359),1)*IF(Upgrades!$T$19="Microlensing",POWER(Upgrades!$U$19,K359),1)*IF(Upgrades!$T$20="Microlensing",POWER(Upgrades!$U$20,L359),1)*IF(Upgrades!$T$21="Microlensing",POWER(Upgrades!$U$21,M359),1))+(IF(H359=0,0,(Upgrades!$M$16+H359*Upgrades!$N$16)*POWER(Upgrades!$O$16,H359)))*(IF(Upgrades!$T$13="Roche Lobe Overflow",POWER(Upgrades!$U$13,E359),1)*IF(Upgrades!$T$14="Roche Lobe Overflow",POWER(Upgrades!$U$14,F359),1)*IF(Upgrades!$T$15="Roche Lobe Overflow",POWER(Upgrades!$U$15,G359),1)*IF(Upgrades!$T$17="Roche Lobe Overflow",POWER(Upgrades!$U$17,I359),1)*IF(Upgrades!$T$18="Roche Lobe Overflow",POWER(Upgrades!$U$18,J359),1)*IF(Upgrades!$T$19="Roche Lobe Overflow",POWER(Upgrades!$U$19,K359),1)*IF(Upgrades!$T$20="Roche Lobe Overflow",POWER(Upgrades!$U$20,L359),1)*IF(Upgrades!$T$21="Roche Lobe Overflow",POWER(Upgrades!$U$21,M359),1))+(IF(I359=0,0,(Upgrades!$M$17+I359*Upgrades!$N$17)*POWER(Upgrades!$O$17,I359)))*(IF(Upgrades!$T$13="Brown Dwarf",POWER(Upgrades!$U$13,E359),1)*IF(Upgrades!$T$14="Brown Dwarf",POWER(Upgrades!$U$14,F359),1)*IF(Upgrades!$T$15="Brown Dwarf",POWER(Upgrades!$U$15,G359),1)*IF(Upgrades!$T$16="Brown Dwarf",POWER(Upgrades!$U$16,H359),1)*IF(Upgrades!$T$18="Brown Dwarf",POWER(Upgrades!$U$18,J359),1)*IF(Upgrades!$T$19="Brown Dwarf",POWER(Upgrades!$U$19,K359),1)*IF(Upgrades!$T$20="Brown Dwarf",POWER(Upgrades!$U$20,L359),1)*IF(Upgrades!$T$21="Brown Dwarf",POWER(Upgrades!$U$21,M359),1))+(IF(J359=0,0,(Upgrades!$M$18+J359*Upgrades!$N$18)*POWER(Upgrades!$O$18,J359)))*(IF(Upgrades!$T$13="Binary Partner",POWER(Upgrades!$U$13,E359),1)*IF(Upgrades!$T$14="Binary Partner",POWER(Upgrades!$U$14,F359),1)*IF(Upgrades!$T$15="Binary Partner",POWER(Upgrades!$U$15,G359),1)*IF(Upgrades!$T$16="Binary Partner",POWER(Upgrades!$U$16,H359),1)*IF(Upgrades!$T$17="Binary Partner",POWER(Upgrades!$U$17,I359),1)*IF(Upgrades!$T$19="Binary Partner",POWER(Upgrades!$U$19,K359),1)*IF(Upgrades!$T$20="Binary Partner",POWER(Upgrades!$U$20,L359),1)*IF(Upgrades!$T$21="Binary Partner",POWER(Upgrades!$U$21,M359),1))+(IF(K359=0,0,(Upgrades!$M$19+K359*Upgrades!$N$19)*POWER(Upgrades!$O$19,K359)))*(IF(Upgrades!$T$13="Peculiar Velocity",POWER(Upgrades!$U$13,E359),1)*IF(Upgrades!$T$14="Peculiar Velocity",POWER(Upgrades!$U$14,F359),1)*IF(Upgrades!$T$15="Peculiar Velocity",POWER(Upgrades!$U$15,G359),1)*IF(Upgrades!$T$16="Peculiar Velocity",POWER(Upgrades!$U$16,H359),1)*IF(Upgrades!$T$17="Peculiar Velocity",POWER(Upgrades!$U$17,I359),1)*IF(Upgrades!$T$18="Peculiar Velocity",POWER(Upgrades!$U$18,J359),1)*IF(Upgrades!$T$20="Peculiar Velocity",POWER(Upgrades!$U$20,L359),1)*IF(Upgrades!$T$21="Peculiar Velocity",POWER(Upgrades!$U$21,M359),1))+(IF(L359=0,0,(Upgrades!$M$20+L359*Upgrades!$N$20)*POWER(Upgrades!$O$20,L359)))*(IF(Upgrades!$T$13="Open Cluster",POWER(Upgrades!$U$13,E359),1)*IF(Upgrades!$T$14="Open Cluster",POWER(Upgrades!$U$14,F359),1)*IF(Upgrades!$T$15="Open Cluster",POWER(Upgrades!$U$15,G359),1)*IF(Upgrades!$T$16="Open Cluster",POWER(Upgrades!$U$16,H359),1)*IF(Upgrades!$T$17="Open Cluster",POWER(Upgrades!$U$17,I359),1)*IF(Upgrades!$T$18="Open Cluster",POWER(Upgrades!$U$18,J359),1)*IF(Upgrades!$T$19="Open Cluster",POWER(Upgrades!$U$19,K359),1)*IF(Upgrades!$T$21="Open Cluster",POWER(Upgrades!$U$21,M359),1))+(IF(M359=0,0,(Upgrades!$M$21+M359*Upgrades!$N$21)*POWER(Upgrades!$O$21,M359)))*(IF(Upgrades!$T$13="Moving Group",POWER(Upgrades!$U$13,E359),1)*IF(Upgrades!$T$14="Moving Group",POWER(Upgrades!$U$14,F359),1)*IF(Upgrades!$T$15="Moving Group",POWER(Upgrades!$U$15,G359),1)*IF(Upgrades!$T$16="Moving Group",POWER(Upgrades!$U$16,H359),1)*IF(Upgrades!$T$17="Moving Group",POWER(Upgrades!$U$17,I359),1)*IF(Upgrades!$T$18="Moving Group",POWER(Upgrades!$U$18,J359),1)*IF(Upgrades!$T$19="Moving Group",POWER(Upgrades!$U$19,K359),1)*IF(Upgrades!$T$20="Moving Group",POWER(Upgrades!$U$20,L359),1)))*POWER(Upgrades!$R$13,E359)*POWER(Upgrades!$R$14,F359)*POWER(Upgrades!$R$15,G359)*POWER(Upgrades!$R$16,H359)*POWER(Upgrades!$R$17,I359)*POWER(Upgrades!$R$18,J359)*POWER(Upgrades!$R$19,K359)*POWER(Upgrades!$R$20,L359)*POWER(Upgrades!$R$21,M359)*$H$6+$E$6</f>
        <v/>
      </c>
      <c r="R359" s="27">
        <f>IF(N359=1,0,O359*Parameters!$B$10/60*Parameters!$B$11*10)</f>
        <v/>
      </c>
      <c r="S359" s="27">
        <f>IF(N359=1,0,Q359*O359*10)</f>
        <v/>
      </c>
      <c r="T359" s="27">
        <f>IF(N359=1,0,R359+S359+P359*10)</f>
        <v/>
      </c>
      <c r="U359" s="33">
        <f>BE359</f>
        <v/>
      </c>
      <c r="V359" s="22">
        <f>IF(U359="",0,IF(U359="transition",0,IF(U359="SK",AK359,IF(U359="LB",AL359,IF(U359="ML",AM359,IF(U359="RLO",AN359,IF(U359="BD",AO359,IF(U359="BiP",AP359,IF(U359="PV",AQ359,IF(U359="OC",AR359,IF(U359="MG",AS359,0))))))))))</f>
        <v/>
      </c>
      <c r="W359" s="27">
        <f>IF(U359="BiP",Upgrades!$F$18,IF(U359="PV",Upgrades!$F$19,IF(U359="OC",Upgrades!$F$20,IF(U359="MG",Upgrades!$F$21,IF(U359="transition",-Parameters!$B$18*Parameters!$B$19,0)))))</f>
        <v/>
      </c>
      <c r="X359" s="22">
        <f>C359+T359-V359</f>
        <v/>
      </c>
      <c r="Y359" s="30">
        <f>O359*Parameters!$B$10/60*Parameters!$B$11+Q359*O359+P359</f>
        <v/>
      </c>
      <c r="Z359" s="34">
        <f>IF(U359="transition","→ Tier 3 (Galactic Arm)",IF(U359="MG","Moving Group — pocket drifts together",IF(U359="OC","Open Cluster acquired",IF(U359="PV","Peculiar Velocity — passive multiplier active",IF(U359="BiP","Binary Partner — pair bond formed",IF(AND(AU359=1,N359=0,AT359&lt;&gt;1),"Cohesion ready (waiting on completionists)","")))))) </f>
        <v/>
      </c>
      <c r="AA359" s="27">
        <f>(IF(E359=0,0,(Upgrades!$G$13+E359*Upgrades!$H$13)*POWER(Upgrades!$I$13,E359)))*(IF(Upgrades!$T$14="Stellar Kinematics",POWER(Upgrades!$U$14,F359),1)*IF(Upgrades!$T$15="Stellar Kinematics",POWER(Upgrades!$U$15,G359),1)*IF(Upgrades!$T$16="Stellar Kinematics",POWER(Upgrades!$U$16,H359),1)*IF(Upgrades!$T$17="Stellar Kinematics",POWER(Upgrades!$U$17,I359),1)*IF(Upgrades!$T$18="Stellar Kinematics",POWER(Upgrades!$U$18,J359),1)*IF(Upgrades!$T$19="Stellar Kinematics",POWER(Upgrades!$U$19,K359),1)*IF(Upgrades!$T$20="Stellar Kinematics",POWER(Upgrades!$U$20,L359),1)*IF(Upgrades!$T$21="Stellar Kinematics",POWER(Upgrades!$U$21,M359),1))*POWER(Upgrades!$P$13,E359)*POWER(Upgrades!$P$14,F359)*POWER(Upgrades!$P$15,G359)*POWER(Upgrades!$P$16,H359)*POWER(Upgrades!$P$17,I359)*POWER(Upgrades!$P$18,J359)*POWER(Upgrades!$P$19,K359)*POWER(Upgrades!$P$20,L359)*POWER(Upgrades!$P$21,M359)*$F$6*60</f>
        <v/>
      </c>
      <c r="AB359" s="27">
        <f>(IF(F359=0,0,(Upgrades!$G$14+F359*Upgrades!$H$14)*POWER(Upgrades!$I$14,F359)))*(IF(Upgrades!$T$13="Local Bubble",POWER(Upgrades!$U$13,E359),1)*IF(Upgrades!$T$15="Local Bubble",POWER(Upgrades!$U$15,G359),1)*IF(Upgrades!$T$16="Local Bubble",POWER(Upgrades!$U$16,H359),1)*IF(Upgrades!$T$17="Local Bubble",POWER(Upgrades!$U$17,I359),1)*IF(Upgrades!$T$18="Local Bubble",POWER(Upgrades!$U$18,J359),1)*IF(Upgrades!$T$19="Local Bubble",POWER(Upgrades!$U$19,K359),1)*IF(Upgrades!$T$20="Local Bubble",POWER(Upgrades!$U$20,L359),1)*IF(Upgrades!$T$21="Local Bubble",POWER(Upgrades!$U$21,M359),1))*POWER(Upgrades!$P$13,E359)*POWER(Upgrades!$P$14,F359)*POWER(Upgrades!$P$15,G359)*POWER(Upgrades!$P$16,H359)*POWER(Upgrades!$P$17,I359)*POWER(Upgrades!$P$18,J359)*POWER(Upgrades!$P$19,K359)*POWER(Upgrades!$P$20,L359)*POWER(Upgrades!$P$21,M359)*$F$6*60</f>
        <v/>
      </c>
      <c r="AC359" s="27">
        <f>(IF(G359=0,0,(Upgrades!$J$15+G359*Upgrades!$K$15)*POWER(Upgrades!$L$15,G359)))*(IF(Upgrades!$T$13="Microlensing",POWER(Upgrades!$U$13,E359),1)*IF(Upgrades!$T$14="Microlensing",POWER(Upgrades!$U$14,F359),1)*IF(Upgrades!$T$16="Microlensing",POWER(Upgrades!$U$16,H359),1)*IF(Upgrades!$T$17="Microlensing",POWER(Upgrades!$U$17,I359),1)*IF(Upgrades!$T$18="Microlensing",POWER(Upgrades!$U$18,J359),1)*IF(Upgrades!$T$19="Microlensing",POWER(Upgrades!$U$19,K359),1)*IF(Upgrades!$T$20="Microlensing",POWER(Upgrades!$U$20,L359),1)*IF(Upgrades!$T$21="Microlensing",POWER(Upgrades!$U$21,M359),1))*POWER(Upgrades!$Q$13,E359)*POWER(Upgrades!$Q$14,F359)*POWER(Upgrades!$Q$15,G359)*POWER(Upgrades!$Q$16,H359)*POWER(Upgrades!$Q$17,I359)*POWER(Upgrades!$Q$18,J359)*POWER(Upgrades!$Q$19,K359)*POWER(Upgrades!$Q$20,L359)*POWER(Upgrades!$Q$21,M359)*$G$6*(Parameters!$B$10*Parameters!$B$11+Q359*60)</f>
        <v/>
      </c>
      <c r="AD359" s="27">
        <f>(IF(H359=0,0,(Upgrades!$M$16+H359*Upgrades!$N$16)*POWER(Upgrades!$O$16,H359)))*(IF(Upgrades!$T$13="Roche Lobe Overflow",POWER(Upgrades!$U$13,E359),1)*IF(Upgrades!$T$14="Roche Lobe Overflow",POWER(Upgrades!$U$14,F359),1)*IF(Upgrades!$T$15="Roche Lobe Overflow",POWER(Upgrades!$U$15,G359),1)*IF(Upgrades!$T$17="Roche Lobe Overflow",POWER(Upgrades!$U$17,I359),1)*IF(Upgrades!$T$18="Roche Lobe Overflow",POWER(Upgrades!$U$18,J359),1)*IF(Upgrades!$T$19="Roche Lobe Overflow",POWER(Upgrades!$U$19,K359),1)*IF(Upgrades!$T$20="Roche Lobe Overflow",POWER(Upgrades!$U$20,L359),1)*IF(Upgrades!$T$21="Roche Lobe Overflow",POWER(Upgrades!$U$21,M359),1))*POWER(Upgrades!$R$13,E359)*POWER(Upgrades!$R$14,F359)*POWER(Upgrades!$R$15,G359)*POWER(Upgrades!$R$16,H359)*POWER(Upgrades!$R$17,I359)*POWER(Upgrades!$R$18,J359)*POWER(Upgrades!$R$19,K359)*POWER(Upgrades!$R$20,L359)*POWER(Upgrades!$R$21,M359)*$H$6*O359*60</f>
        <v/>
      </c>
      <c r="AE359" s="27">
        <f>(IF(I359=0,0,(Upgrades!$G$17+I359*Upgrades!$H$17)*POWER(Upgrades!$I$17,I359)))*(IF(Upgrades!$T$13="Brown Dwarf",POWER(Upgrades!$U$13,E359),1)*IF(Upgrades!$T$14="Brown Dwarf",POWER(Upgrades!$U$14,F359),1)*IF(Upgrades!$T$15="Brown Dwarf",POWER(Upgrades!$U$15,G359),1)*IF(Upgrades!$T$16="Brown Dwarf",POWER(Upgrades!$U$16,H359),1)*IF(Upgrades!$T$18="Brown Dwarf",POWER(Upgrades!$U$18,J359),1)*IF(Upgrades!$T$19="Brown Dwarf",POWER(Upgrades!$U$19,K359),1)*IF(Upgrades!$T$20="Brown Dwarf",POWER(Upgrades!$U$20,L359),1)*IF(Upgrades!$T$21="Brown Dwarf",POWER(Upgrades!$U$21,M359),1))*POWER(Upgrades!$P$13,E359)*POWER(Upgrades!$P$14,F359)*POWER(Upgrades!$P$15,G359)*POWER(Upgrades!$P$16,H359)*POWER(Upgrades!$P$17,I359)*POWER(Upgrades!$P$18,J359)*POWER(Upgrades!$P$19,K359)*POWER(Upgrades!$P$20,L359)*POWER(Upgrades!$P$21,M359)*$F$6*60</f>
        <v/>
      </c>
      <c r="AF359" s="27" t="n">
        <v>0</v>
      </c>
      <c r="AG359" s="27" t="n">
        <v>0</v>
      </c>
      <c r="AH359" s="27" t="n">
        <v>0</v>
      </c>
      <c r="AI359" s="27">
        <f>(IF(M359=0,0,(Upgrades!$G$21+M359*Upgrades!$H$21)*POWER(Upgrades!$I$21,M359)))*(IF(Upgrades!$T$13="Moving Group",POWER(Upgrades!$U$13,E359),1)*IF(Upgrades!$T$14="Moving Group",POWER(Upgrades!$U$14,F359),1)*IF(Upgrades!$T$15="Moving Group",POWER(Upgrades!$U$15,G359),1)*IF(Upgrades!$T$16="Moving Group",POWER(Upgrades!$U$16,H359),1)*IF(Upgrades!$T$17="Moving Group",POWER(Upgrades!$U$17,I359),1)*IF(Upgrades!$T$18="Moving Group",POWER(Upgrades!$U$18,J359),1)*IF(Upgrades!$T$19="Moving Group",POWER(Upgrades!$U$19,K359),1)*IF(Upgrades!$T$20="Moving Group",POWER(Upgrades!$U$20,L359),1))*POWER(Upgrades!$P$13,E359)*POWER(Upgrades!$P$14,F359)*POWER(Upgrades!$P$15,G359)*POWER(Upgrades!$P$16,H359)*POWER(Upgrades!$P$17,I359)*POWER(Upgrades!$P$18,J359)*POWER(Upgrades!$P$19,K359)*POWER(Upgrades!$P$20,L359)*POWER(Upgrades!$P$21,M359)*$F$6*60</f>
        <v/>
      </c>
      <c r="AJ359" s="27">
        <f>$C$6*60</f>
        <v/>
      </c>
      <c r="AK359" s="22">
        <f>IF(E359&gt;=Upgrades!$E$13,"",Upgrades!$C$13*POWER(Upgrades!$D$13,E359))</f>
        <v/>
      </c>
      <c r="AL359" s="22">
        <f>IF(F359&gt;=Upgrades!$E$14,"",Upgrades!$C$14*POWER(Upgrades!$D$14,F359))</f>
        <v/>
      </c>
      <c r="AM359" s="22">
        <f>IF(G359&gt;=Upgrades!$E$15,"",Upgrades!$C$15*POWER(Upgrades!$D$15,G359))</f>
        <v/>
      </c>
      <c r="AN359" s="22">
        <f>IF(H359&gt;=Upgrades!$E$16,"",Upgrades!$C$16*POWER(Upgrades!$D$16,H359))</f>
        <v/>
      </c>
      <c r="AO359" s="22">
        <f>IF(I359&gt;=Upgrades!$E$17,"",Upgrades!$C$17*POWER(Upgrades!$D$17,I359))</f>
        <v/>
      </c>
      <c r="AP359" s="22">
        <f>IF(J359&gt;=Upgrades!$E$18,"",Upgrades!$C$18*POWER(Upgrades!$D$18,J359))</f>
        <v/>
      </c>
      <c r="AQ359" s="22">
        <f>IF(K359&gt;=Upgrades!$E$19,"",Upgrades!$C$19*POWER(Upgrades!$D$19,K359))</f>
        <v/>
      </c>
      <c r="AR359" s="22">
        <f>IF(L359&gt;=Upgrades!$E$20,"",Upgrades!$C$20*POWER(Upgrades!$D$20,L359))</f>
        <v/>
      </c>
      <c r="AS359" s="22">
        <f>IF(M359&gt;=Upgrades!$E$21,"",Upgrades!$C$21*POWER(Upgrades!$D$21,M359))</f>
        <v/>
      </c>
      <c r="AT359" s="26">
        <f>IF(AND(D359&gt;=Parameters!$B$18*Parameters!$B$19,(I359&gt;=Upgrades!$E$17)*(M359&gt;=Upgrades!$E$21)=1,N359=0),1,"")</f>
        <v/>
      </c>
      <c r="AU359" s="26">
        <f>IF(AND(D359&gt;=Parameters!$B$18*Parameters!$B$19,N359=0),1,"")</f>
        <v/>
      </c>
      <c r="AV359" s="22">
        <f>MIN(IF(ISNUMBER(AP359),AP359,9E15),IF(ISNUMBER(AQ359),AQ359,9E15),IF(ISNUMBER(AR359),AR359,9E15),IF(ISNUMBER(AS359),AS359,9E15))</f>
        <v/>
      </c>
      <c r="AW359" s="22">
        <f>MIN(IF(ISNUMBER(AK359),AK359,9E15),IF(ISNUMBER(AL359),AL359,9E15),IF(ISNUMBER(AM359),AM359,9E15),IF(ISNUMBER(AN359),AN359,9E15),IF(ISNUMBER(AO359),AO359,9E15))</f>
        <v/>
      </c>
      <c r="AX359" s="29">
        <f>IF(BD359&gt;Parameters!$B$21*(MAX(IF(AND(NOT(AND(AU359=1,AT359&lt;&gt;1)),ISNUMBER(AK359),AK359&lt;=(C359+T359)),AY359,0),IF(AND(NOT(AND(AU359=1,AT359&lt;&gt;1)),ISNUMBER(AL359),AL359&lt;=(C359+T359)),AZ359,0),IF(AND(NOT(AND(AU359=1,AT359&lt;&gt;1)),ISNUMBER(AM359),AM359&lt;=(C359+T359)),BA359,0),IF(AND(NOT(AND(AU359=1,AT359&lt;&gt;1)),ISNUMBER(AN359),AN359&lt;=(C359+T359)),BB359,0),IF(AND(ISNUMBER(AO359),AO359&lt;=(C359+T359)),BC359,0))),TRUE,FALSE)</f>
        <v/>
      </c>
      <c r="AY359" s="32">
        <f>IFERROR(Upgrades!$H$13*(POWER(Upgrades!$P$13,E359)*POWER(Upgrades!$P$14,F359)*POWER(Upgrades!$P$15,G359)*POWER(Upgrades!$P$16,H359)*POWER(Upgrades!$P$17,I359)*POWER(Upgrades!$P$18,J359)*POWER(Upgrades!$P$19,K359)*POWER(Upgrades!$P$20,L359)*POWER(Upgrades!$P$21,M359))*(IF(Upgrades!$T$14="Stellar Kinematics",POWER(Upgrades!$U$14,F359),1)*IF(Upgrades!$T$15="Stellar Kinematics",POWER(Upgrades!$U$15,G359),1)*IF(Upgrades!$T$16="Stellar Kinematics",POWER(Upgrades!$U$16,H359),1)*IF(Upgrades!$T$17="Stellar Kinematics",POWER(Upgrades!$U$17,I359),1)*IF(Upgrades!$T$18="Stellar Kinematics",POWER(Upgrades!$U$18,J359),1)*IF(Upgrades!$T$19="Stellar Kinematics",POWER(Upgrades!$U$19,K359),1)*IF(Upgrades!$T$20="Stellar Kinematics",POWER(Upgrades!$U$20,L359),1)*IF(Upgrades!$T$21="Stellar Kinematics",POWER(Upgrades!$U$21,M359),1))*$F$6/AK359,0)</f>
        <v/>
      </c>
      <c r="AZ359" s="32">
        <f>IFERROR(Upgrades!$H$14*(POWER(Upgrades!$P$13,E359)*POWER(Upgrades!$P$14,F359)*POWER(Upgrades!$P$15,G359)*POWER(Upgrades!$P$16,H359)*POWER(Upgrades!$P$17,I359)*POWER(Upgrades!$P$18,J359)*POWER(Upgrades!$P$19,K359)*POWER(Upgrades!$P$20,L359)*POWER(Upgrades!$P$21,M359))*(IF(Upgrades!$T$13="Local Bubble",POWER(Upgrades!$U$13,E359),1)*IF(Upgrades!$T$15="Local Bubble",POWER(Upgrades!$U$15,G359),1)*IF(Upgrades!$T$16="Local Bubble",POWER(Upgrades!$U$16,H359),1)*IF(Upgrades!$T$17="Local Bubble",POWER(Upgrades!$U$17,I359),1)*IF(Upgrades!$T$18="Local Bubble",POWER(Upgrades!$U$18,J359),1)*IF(Upgrades!$T$19="Local Bubble",POWER(Upgrades!$U$19,K359),1)*IF(Upgrades!$T$20="Local Bubble",POWER(Upgrades!$U$20,L359),1)*IF(Upgrades!$T$21="Local Bubble",POWER(Upgrades!$U$21,M359),1))*$F$6/AL359,0)</f>
        <v/>
      </c>
      <c r="BA359" s="32">
        <f>IFERROR(Upgrades!$K$15*(POWER(Upgrades!$Q$13,E359)*POWER(Upgrades!$Q$14,F359)*POWER(Upgrades!$Q$15,G359)*POWER(Upgrades!$Q$16,H359)*POWER(Upgrades!$Q$17,I359)*POWER(Upgrades!$Q$18,J359)*POWER(Upgrades!$Q$19,K359)*POWER(Upgrades!$Q$20,L359)*POWER(Upgrades!$Q$21,M359))*(IF(Upgrades!$T$13="Microlensing",POWER(Upgrades!$U$13,E359),1)*IF(Upgrades!$T$14="Microlensing",POWER(Upgrades!$U$14,F359),1)*IF(Upgrades!$T$16="Microlensing",POWER(Upgrades!$U$16,H359),1)*IF(Upgrades!$T$17="Microlensing",POWER(Upgrades!$U$17,I359),1)*IF(Upgrades!$T$18="Microlensing",POWER(Upgrades!$U$18,J359),1)*IF(Upgrades!$T$19="Microlensing",POWER(Upgrades!$U$19,K359),1)*IF(Upgrades!$T$20="Microlensing",POWER(Upgrades!$U$20,L359),1)*IF(Upgrades!$T$21="Microlensing",POWER(Upgrades!$U$21,M359),1))*$G$6*(Parameters!$B$10/60*Parameters!$B$11+Q359)/AM359,0)</f>
        <v/>
      </c>
      <c r="BB359" s="32">
        <f>IFERROR((Upgrades!$N$16*(POWER(Upgrades!$R$13,E359)*POWER(Upgrades!$R$14,F359)*POWER(Upgrades!$R$15,G359)*POWER(Upgrades!$R$16,H359)*POWER(Upgrades!$R$17,I359)*POWER(Upgrades!$R$18,J359)*POWER(Upgrades!$R$19,K359)*POWER(Upgrades!$R$20,L359)*POWER(Upgrades!$R$21,M359))*(IF(Upgrades!$T$13="Roche Lobe Overflow",POWER(Upgrades!$U$13,E359),1)*IF(Upgrades!$T$14="Roche Lobe Overflow",POWER(Upgrades!$U$14,F359),1)*IF(Upgrades!$T$15="Roche Lobe Overflow",POWER(Upgrades!$U$15,G359),1)*IF(Upgrades!$T$17="Roche Lobe Overflow",POWER(Upgrades!$U$17,I359),1)*IF(Upgrades!$T$18="Roche Lobe Overflow",POWER(Upgrades!$U$18,J359),1)*IF(Upgrades!$T$19="Roche Lobe Overflow",POWER(Upgrades!$U$19,K359),1)*IF(Upgrades!$T$20="Roche Lobe Overflow",POWER(Upgrades!$U$20,L359),1)*IF(Upgrades!$T$21="Roche Lobe Overflow",POWER(Upgrades!$U$21,M359),1))*$H$6*O359+((IF(F359=0,0,(Upgrades!$G$14+F359*Upgrades!$H$14)*POWER(Upgrades!$I$14,F359)))*(IF(Upgrades!$T$13="Local Bubble",POWER(Upgrades!$U$13,E359),1)*IF(Upgrades!$T$15="Local Bubble",POWER(Upgrades!$U$15,G359),1)*IF(Upgrades!$T$16="Local Bubble",POWER(Upgrades!$U$16,H359),1)*IF(Upgrades!$T$17="Local Bubble",POWER(Upgrades!$U$17,I359),1)*IF(Upgrades!$T$18="Local Bubble",POWER(Upgrades!$U$18,J359),1)*IF(Upgrades!$T$19="Local Bubble",POWER(Upgrades!$U$19,K359),1)*IF(Upgrades!$T$20="Local Bubble",POWER(Upgrades!$U$20,L359),1)*IF(Upgrades!$T$21="Local Bubble",POWER(Upgrades!$U$21,M359),1))*POWER(Upgrades!$P$13,E359)*POWER(Upgrades!$P$14,F359)*POWER(Upgrades!$P$15,G359)*POWER(Upgrades!$P$16,H359)*POWER(Upgrades!$P$17,I359)*POWER(Upgrades!$P$18,J359)*POWER(Upgrades!$P$19,K359)*POWER(Upgrades!$P$20,L359)*POWER(Upgrades!$P$21,M359)*$F$6)*0.05)/AN359,0)</f>
        <v/>
      </c>
      <c r="BC359" s="32">
        <f>IFERROR((Upgrades!$H$17*(POWER(Upgrades!$P$13,E359)*POWER(Upgrades!$P$14,F359)*POWER(Upgrades!$P$15,G359)*POWER(Upgrades!$P$16,H359)*POWER(Upgrades!$P$17,I359)*POWER(Upgrades!$P$18,J359)*POWER(Upgrades!$P$19,K359)*POWER(Upgrades!$P$20,L359)*POWER(Upgrades!$P$21,M359))*(IF(Upgrades!$T$13="Brown Dwarf",POWER(Upgrades!$U$13,E359),1)*IF(Upgrades!$T$14="Brown Dwarf",POWER(Upgrades!$U$14,F359),1)*IF(Upgrades!$T$15="Brown Dwarf",POWER(Upgrades!$U$15,G359),1)*IF(Upgrades!$T$16="Brown Dwarf",POWER(Upgrades!$U$16,H359),1)*IF(Upgrades!$T$18="Brown Dwarf",POWER(Upgrades!$U$18,J359),1)*IF(Upgrades!$T$19="Brown Dwarf",POWER(Upgrades!$U$19,K359),1)*IF(Upgrades!$T$20="Brown Dwarf",POWER(Upgrades!$U$20,L359),1)*IF(Upgrades!$T$21="Brown Dwarf",POWER(Upgrades!$U$21,M359),1))*$F$6+(((IF(H359=0,0,(Upgrades!$M$16+H359*Upgrades!$N$16)*POWER(Upgrades!$O$16,H359)))*(IF(Upgrades!$T$13="Roche Lobe Overflow",POWER(Upgrades!$U$13,E359),1)*IF(Upgrades!$T$14="Roche Lobe Overflow",POWER(Upgrades!$U$14,F359),1)*IF(Upgrades!$T$15="Roche Lobe Overflow",POWER(Upgrades!$U$15,G359),1)*IF(Upgrades!$T$17="Roche Lobe Overflow",POWER(Upgrades!$U$17,I359),1)*IF(Upgrades!$T$18="Roche Lobe Overflow",POWER(Upgrades!$U$18,J359),1)*IF(Upgrades!$T$19="Roche Lobe Overflow",POWER(Upgrades!$U$19,K359),1)*IF(Upgrades!$T$20="Roche Lobe Overflow",POWER(Upgrades!$U$20,L359),1)*IF(Upgrades!$T$21="Roche Lobe Overflow",POWER(Upgrades!$U$21,M359),1))*POWER(Upgrades!$R$13,E359)*POWER(Upgrades!$R$14,F359)*POWER(Upgrades!$R$15,G359)*POWER(Upgrades!$R$16,H359)*POWER(Upgrades!$R$17,I359)*POWER(Upgrades!$R$18,J359)*POWER(Upgrades!$R$19,K359)*POWER(Upgrades!$R$20,L359)*POWER(Upgrades!$R$21,M359)*$H$6)*O359)*0.10)/AO359,0)</f>
        <v/>
      </c>
      <c r="BD359" s="32">
        <f>MAX(IF(J359&gt;0,0,IFERROR(0.5*((IF(G359=0,0,(Upgrades!$J$15+G359*Upgrades!$K$15)*POWER(Upgrades!$L$15,G359)))*(IF(Upgrades!$T$13="Microlensing",POWER(Upgrades!$U$13,E359),1)*IF(Upgrades!$T$14="Microlensing",POWER(Upgrades!$U$14,F359),1)*IF(Upgrades!$T$16="Microlensing",POWER(Upgrades!$U$16,H359),1)*IF(Upgrades!$T$17="Microlensing",POWER(Upgrades!$U$17,I359),1)*IF(Upgrades!$T$18="Microlensing",POWER(Upgrades!$U$18,J359),1)*IF(Upgrades!$T$19="Microlensing",POWER(Upgrades!$U$19,K359),1)*IF(Upgrades!$T$20="Microlensing",POWER(Upgrades!$U$20,L359),1)*IF(Upgrades!$T$21="Microlensing",POWER(Upgrades!$U$21,M359),1))*(POWER(Upgrades!$Q$13,E359)*POWER(Upgrades!$Q$14,F359)*POWER(Upgrades!$Q$15,G359)*POWER(Upgrades!$Q$16,H359)*POWER(Upgrades!$Q$17,I359)*POWER(Upgrades!$Q$18,J359)*POWER(Upgrades!$Q$19,K359)*POWER(Upgrades!$Q$20,L359)*POWER(Upgrades!$Q$21,M359))*$G$6*(Parameters!$B$10/60*Parameters!$B$11+Q359))/Upgrades!$C$18,0)),IF(K359&gt;0,0,IFERROR(0.30*P359/Upgrades!$C$19,0)),IF(L359&gt;0,0,IFERROR(0.0001/Upgrades!$C$20,0)),IF(M359&gt;0,0,IFERROR((6.0*(POWER(Upgrades!$P$13,E359)*POWER(Upgrades!$P$14,F359)*POWER(Upgrades!$P$15,G359)*POWER(Upgrades!$P$16,H359)*POWER(Upgrades!$P$17,I359)*POWER(Upgrades!$P$18,J359)*POWER(Upgrades!$P$19,K359)*POWER(Upgrades!$P$20,L359)*POWER(Upgrades!$P$21,M359))*$F$6+0.20*O359*(Parameters!$B$10/60*Parameters!$B$11+Q359))/Upgrades!$C$21,0)),IF(AND(ISNUMBER(AK359),AK359&gt;(C359+T359)),AY359,0),IF(AND(ISNUMBER(AL359),AL359&gt;(C359+T359)),AZ359,0),IF(AND(ISNUMBER(AM359),AM359&gt;(C359+T359)),BA359,0),IF(AND(ISNUMBER(AN359),AN359&gt;(C359+T359)),BB359,0),IF(AND(ISNUMBER(AO359),AO359&gt;(C359+T359)),BC359,0))</f>
        <v/>
      </c>
      <c r="BE359" s="29">
        <f>IF(AT359=1,"transition",IF(MIN(IF(AND(J359=0,ISNUMBER(AP359),AP359&lt;=(C359+T359)),AP359,9E15),IF(AND(K359=0,ISNUMBER(AQ359),AQ359&lt;=(C359+T359)),AQ359,9E15),IF(AND(L359=0,ISNUMBER(AR359),AR359&lt;=(C359+T359)),AR359,9E15),IF(AND(M359=0,ISNUMBER(AS359),AS359&lt;=(C359+T359)),AS359,9E15))&lt;9E15,IF(AND(AND(J359=0,ISNUMBER(AP359),AP359&lt;=(C359+T359)),AP359=MIN(IF(AND(J359=0,ISNUMBER(AP359),AP359&lt;=(C359+T359)),AP359,9E15),IF(AND(K359=0,ISNUMBER(AQ359),AQ359&lt;=(C359+T359)),AQ359,9E15),IF(AND(L359=0,ISNUMBER(AR359),AR359&lt;=(C359+T359)),AR359,9E15),IF(AND(M359=0,ISNUMBER(AS359),AS359&lt;=(C359+T359)),AS359,9E15))),"BiP",IF(AND(AND(K359=0,ISNUMBER(AQ359),AQ359&lt;=(C359+T359)),AQ359=MIN(IF(AND(J359=0,ISNUMBER(AP359),AP359&lt;=(C359+T359)),AP359,9E15),IF(AND(K359=0,ISNUMBER(AQ359),AQ359&lt;=(C359+T359)),AQ359,9E15),IF(AND(L359=0,ISNUMBER(AR359),AR359&lt;=(C359+T359)),AR359,9E15),IF(AND(M359=0,ISNUMBER(AS359),AS359&lt;=(C359+T359)),AS359,9E15))),"PV",IF(AND(AND(L359=0,ISNUMBER(AR359),AR359&lt;=(C359+T359)),AR359=MIN(IF(AND(J359=0,ISNUMBER(AP359),AP359&lt;=(C359+T359)),AP359,9E15),IF(AND(K359=0,ISNUMBER(AQ359),AQ359&lt;=(C359+T359)),AQ359,9E15),IF(AND(L359=0,ISNUMBER(AR359),AR359&lt;=(C359+T359)),AR359,9E15),IF(AND(M359=0,ISNUMBER(AS359),AS359&lt;=(C359+T359)),AS359,9E15))),"OC","MG"))),IF(AX359=TRUE,"",IF(MAX(IF(AND(NOT(AND(AU359=1,AT359&lt;&gt;1)),ISNUMBER(AK359),AK359&lt;=(C359+T359)),AY359,0),IF(AND(NOT(AND(AU359=1,AT359&lt;&gt;1)),ISNUMBER(AL359),AL359&lt;=(C359+T359)),AZ359,0),IF(AND(NOT(AND(AU359=1,AT359&lt;&gt;1)),ISNUMBER(AM359),AM359&lt;=(C359+T359)),BA359,0),IF(AND(NOT(AND(AU359=1,AT359&lt;&gt;1)),ISNUMBER(AN359),AN359&lt;=(C359+T359)),BB359,0),IF(AND(ISNUMBER(AO359),AO359&lt;=(C359+T359)),BC359,0))&lt;=0,"",IF(AND(IF(AND(NOT(AND(AU359=1,AT359&lt;&gt;1)),ISNUMBER(AK359),AK359&lt;=(C359+T359)),AY359,0)&gt;0,IF(AND(NOT(AND(AU359=1,AT359&lt;&gt;1)),ISNUMBER(AK359),AK359&lt;=(C359+T359)),AY359,0)=MAX(IF(AND(NOT(AND(AU359=1,AT359&lt;&gt;1)),ISNUMBER(AK359),AK359&lt;=(C359+T359)),AY359,0),IF(AND(NOT(AND(AU359=1,AT359&lt;&gt;1)),ISNUMBER(AL359),AL359&lt;=(C359+T359)),AZ359,0),IF(AND(NOT(AND(AU359=1,AT359&lt;&gt;1)),ISNUMBER(AM359),AM359&lt;=(C359+T359)),BA359,0),IF(AND(NOT(AND(AU359=1,AT359&lt;&gt;1)),ISNUMBER(AN359),AN359&lt;=(C359+T359)),BB359,0),IF(AND(ISNUMBER(AO359),AO359&lt;=(C359+T359)),BC359,0))),"SK",IF(AND(IF(AND(NOT(AND(AU359=1,AT359&lt;&gt;1)),ISNUMBER(AL359),AL359&lt;=(C359+T359)),AZ359,0)&gt;0,IF(AND(NOT(AND(AU359=1,AT359&lt;&gt;1)),ISNUMBER(AL359),AL359&lt;=(C359+T359)),AZ359,0)=MAX(IF(AND(NOT(AND(AU359=1,AT359&lt;&gt;1)),ISNUMBER(AK359),AK359&lt;=(C359+T359)),AY359,0),IF(AND(NOT(AND(AU359=1,AT359&lt;&gt;1)),ISNUMBER(AL359),AL359&lt;=(C359+T359)),AZ359,0),IF(AND(NOT(AND(AU359=1,AT359&lt;&gt;1)),ISNUMBER(AM359),AM359&lt;=(C359+T359)),BA359,0),IF(AND(NOT(AND(AU359=1,AT359&lt;&gt;1)),ISNUMBER(AN359),AN359&lt;=(C359+T359)),BB359,0),IF(AND(ISNUMBER(AO359),AO359&lt;=(C359+T359)),BC359,0))),"LB",IF(AND(IF(AND(NOT(AND(AU359=1,AT359&lt;&gt;1)),ISNUMBER(AM359),AM359&lt;=(C359+T359)),BA359,0)&gt;0,IF(AND(NOT(AND(AU359=1,AT359&lt;&gt;1)),ISNUMBER(AM359),AM359&lt;=(C359+T359)),BA359,0)=MAX(IF(AND(NOT(AND(AU359=1,AT359&lt;&gt;1)),ISNUMBER(AK359),AK359&lt;=(C359+T359)),AY359,0),IF(AND(NOT(AND(AU359=1,AT359&lt;&gt;1)),ISNUMBER(AL359),AL359&lt;=(C359+T359)),AZ359,0),IF(AND(NOT(AND(AU359=1,AT359&lt;&gt;1)),ISNUMBER(AM359),AM359&lt;=(C359+T359)),BA359,0),IF(AND(NOT(AND(AU359=1,AT359&lt;&gt;1)),ISNUMBER(AN359),AN359&lt;=(C359+T359)),BB359,0),IF(AND(ISNUMBER(AO359),AO359&lt;=(C359+T359)),BC359,0))),"ML",IF(AND(IF(AND(NOT(AND(AU359=1,AT359&lt;&gt;1)),ISNUMBER(AN359),AN359&lt;=(C359+T359)),BB359,0)&gt;0,IF(AND(NOT(AND(AU359=1,AT359&lt;&gt;1)),ISNUMBER(AN359),AN359&lt;=(C359+T359)),BB359,0)=MAX(IF(AND(NOT(AND(AU359=1,AT359&lt;&gt;1)),ISNUMBER(AK359),AK359&lt;=(C359+T359)),AY359,0),IF(AND(NOT(AND(AU359=1,AT359&lt;&gt;1)),ISNUMBER(AL359),AL359&lt;=(C359+T359)),AZ359,0),IF(AND(NOT(AND(AU359=1,AT359&lt;&gt;1)),ISNUMBER(AM359),AM359&lt;=(C359+T359)),BA359,0),IF(AND(NOT(AND(AU359=1,AT359&lt;&gt;1)),ISNUMBER(AN359),AN359&lt;=(C359+T359)),BB359,0),IF(AND(ISNUMBER(AO359),AO359&lt;=(C359+T359)),BC359,0))),"RLO","BD"))))))))</f>
        <v/>
      </c>
    </row>
    <row r="360">
      <c r="A360" s="26" t="n">
        <v>349</v>
      </c>
      <c r="B360" s="27">
        <f>A360*10/60</f>
        <v/>
      </c>
      <c r="C360" s="22">
        <f>X359</f>
        <v/>
      </c>
      <c r="D360" s="27">
        <f>D359+W359</f>
        <v/>
      </c>
      <c r="E360" s="26">
        <f>E359+IF(U359="SK",1,0)</f>
        <v/>
      </c>
      <c r="F360" s="26">
        <f>F359+IF(U359="LB",1,0)</f>
        <v/>
      </c>
      <c r="G360" s="26">
        <f>G359+IF(U359="ML",1,0)</f>
        <v/>
      </c>
      <c r="H360" s="26">
        <f>H359+IF(U359="RLO",1,0)</f>
        <v/>
      </c>
      <c r="I360" s="26">
        <f>I359+IF(U359="BD",1,0)</f>
        <v/>
      </c>
      <c r="J360" s="26">
        <f>MAX(J359,IF(U359="BiP",1,0))</f>
        <v/>
      </c>
      <c r="K360" s="26">
        <f>MAX(K359,IF(U359="PV",1,0))</f>
        <v/>
      </c>
      <c r="L360" s="26">
        <f>MAX(L359,IF(U359="OC",1,0))</f>
        <v/>
      </c>
      <c r="M360" s="26">
        <f>MAX(M359,IF(U359="MG",1,0))</f>
        <v/>
      </c>
      <c r="N360" s="26">
        <f>MAX(N359,IF(U359="transition",1,0))</f>
        <v/>
      </c>
      <c r="O360" s="28">
        <f>(Parameters!$B$9+(IF(E360=0,0,(Upgrades!$J$13+E360*Upgrades!$K$13)*POWER(Upgrades!$L$13,E360)))*(IF(Upgrades!$T$14="Stellar Kinematics",POWER(Upgrades!$U$14,F360),1)*IF(Upgrades!$T$15="Stellar Kinematics",POWER(Upgrades!$U$15,G360),1)*IF(Upgrades!$T$16="Stellar Kinematics",POWER(Upgrades!$U$16,H360),1)*IF(Upgrades!$T$17="Stellar Kinematics",POWER(Upgrades!$U$17,I360),1)*IF(Upgrades!$T$18="Stellar Kinematics",POWER(Upgrades!$U$18,J360),1)*IF(Upgrades!$T$19="Stellar Kinematics",POWER(Upgrades!$U$19,K360),1)*IF(Upgrades!$T$20="Stellar Kinematics",POWER(Upgrades!$U$20,L360),1)*IF(Upgrades!$T$21="Stellar Kinematics",POWER(Upgrades!$U$21,M360),1))+(IF(F360=0,0,(Upgrades!$J$14+F360*Upgrades!$K$14)*POWER(Upgrades!$L$14,F360)))*(IF(Upgrades!$T$13="Local Bubble",POWER(Upgrades!$U$13,E360),1)*IF(Upgrades!$T$15="Local Bubble",POWER(Upgrades!$U$15,G360),1)*IF(Upgrades!$T$16="Local Bubble",POWER(Upgrades!$U$16,H360),1)*IF(Upgrades!$T$17="Local Bubble",POWER(Upgrades!$U$17,I360),1)*IF(Upgrades!$T$18="Local Bubble",POWER(Upgrades!$U$18,J360),1)*IF(Upgrades!$T$19="Local Bubble",POWER(Upgrades!$U$19,K360),1)*IF(Upgrades!$T$20="Local Bubble",POWER(Upgrades!$U$20,L360),1)*IF(Upgrades!$T$21="Local Bubble",POWER(Upgrades!$U$21,M360),1))+(IF(G360=0,0,(Upgrades!$J$15+G360*Upgrades!$K$15)*POWER(Upgrades!$L$15,G360)))*(IF(Upgrades!$T$13="Microlensing",POWER(Upgrades!$U$13,E360),1)*IF(Upgrades!$T$14="Microlensing",POWER(Upgrades!$U$14,F360),1)*IF(Upgrades!$T$16="Microlensing",POWER(Upgrades!$U$16,H360),1)*IF(Upgrades!$T$17="Microlensing",POWER(Upgrades!$U$17,I360),1)*IF(Upgrades!$T$18="Microlensing",POWER(Upgrades!$U$18,J360),1)*IF(Upgrades!$T$19="Microlensing",POWER(Upgrades!$U$19,K360),1)*IF(Upgrades!$T$20="Microlensing",POWER(Upgrades!$U$20,L360),1)*IF(Upgrades!$T$21="Microlensing",POWER(Upgrades!$U$21,M360),1))+(IF(H360=0,0,(Upgrades!$J$16+H360*Upgrades!$K$16)*POWER(Upgrades!$L$16,H360)))*(IF(Upgrades!$T$13="Roche Lobe Overflow",POWER(Upgrades!$U$13,E360),1)*IF(Upgrades!$T$14="Roche Lobe Overflow",POWER(Upgrades!$U$14,F360),1)*IF(Upgrades!$T$15="Roche Lobe Overflow",POWER(Upgrades!$U$15,G360),1)*IF(Upgrades!$T$17="Roche Lobe Overflow",POWER(Upgrades!$U$17,I360),1)*IF(Upgrades!$T$18="Roche Lobe Overflow",POWER(Upgrades!$U$18,J360),1)*IF(Upgrades!$T$19="Roche Lobe Overflow",POWER(Upgrades!$U$19,K360),1)*IF(Upgrades!$T$20="Roche Lobe Overflow",POWER(Upgrades!$U$20,L360),1)*IF(Upgrades!$T$21="Roche Lobe Overflow",POWER(Upgrades!$U$21,M360),1))+(IF(I360=0,0,(Upgrades!$J$17+I360*Upgrades!$K$17)*POWER(Upgrades!$L$17,I360)))*(IF(Upgrades!$T$13="Brown Dwarf",POWER(Upgrades!$U$13,E360),1)*IF(Upgrades!$T$14="Brown Dwarf",POWER(Upgrades!$U$14,F360),1)*IF(Upgrades!$T$15="Brown Dwarf",POWER(Upgrades!$U$15,G360),1)*IF(Upgrades!$T$16="Brown Dwarf",POWER(Upgrades!$U$16,H360),1)*IF(Upgrades!$T$18="Brown Dwarf",POWER(Upgrades!$U$18,J360),1)*IF(Upgrades!$T$19="Brown Dwarf",POWER(Upgrades!$U$19,K360),1)*IF(Upgrades!$T$20="Brown Dwarf",POWER(Upgrades!$U$20,L360),1)*IF(Upgrades!$T$21="Brown Dwarf",POWER(Upgrades!$U$21,M360),1))+(IF(J360=0,0,(Upgrades!$J$18+J360*Upgrades!$K$18)*POWER(Upgrades!$L$18,J360)))*(IF(Upgrades!$T$13="Binary Partner",POWER(Upgrades!$U$13,E360),1)*IF(Upgrades!$T$14="Binary Partner",POWER(Upgrades!$U$14,F360),1)*IF(Upgrades!$T$15="Binary Partner",POWER(Upgrades!$U$15,G360),1)*IF(Upgrades!$T$16="Binary Partner",POWER(Upgrades!$U$16,H360),1)*IF(Upgrades!$T$17="Binary Partner",POWER(Upgrades!$U$17,I360),1)*IF(Upgrades!$T$19="Binary Partner",POWER(Upgrades!$U$19,K360),1)*IF(Upgrades!$T$20="Binary Partner",POWER(Upgrades!$U$20,L360),1)*IF(Upgrades!$T$21="Binary Partner",POWER(Upgrades!$U$21,M360),1))+(IF(K360=0,0,(Upgrades!$J$19+K360*Upgrades!$K$19)*POWER(Upgrades!$L$19,K360)))*(IF(Upgrades!$T$13="Peculiar Velocity",POWER(Upgrades!$U$13,E360),1)*IF(Upgrades!$T$14="Peculiar Velocity",POWER(Upgrades!$U$14,F360),1)*IF(Upgrades!$T$15="Peculiar Velocity",POWER(Upgrades!$U$15,G360),1)*IF(Upgrades!$T$16="Peculiar Velocity",POWER(Upgrades!$U$16,H360),1)*IF(Upgrades!$T$17="Peculiar Velocity",POWER(Upgrades!$U$17,I360),1)*IF(Upgrades!$T$18="Peculiar Velocity",POWER(Upgrades!$U$18,J360),1)*IF(Upgrades!$T$20="Peculiar Velocity",POWER(Upgrades!$U$20,L360),1)*IF(Upgrades!$T$21="Peculiar Velocity",POWER(Upgrades!$U$21,M360),1))+(IF(L360=0,0,(Upgrades!$J$20+L360*Upgrades!$K$20)*POWER(Upgrades!$L$20,L360)))*(IF(Upgrades!$T$13="Open Cluster",POWER(Upgrades!$U$13,E360),1)*IF(Upgrades!$T$14="Open Cluster",POWER(Upgrades!$U$14,F360),1)*IF(Upgrades!$T$15="Open Cluster",POWER(Upgrades!$U$15,G360),1)*IF(Upgrades!$T$16="Open Cluster",POWER(Upgrades!$U$16,H360),1)*IF(Upgrades!$T$17="Open Cluster",POWER(Upgrades!$U$17,I360),1)*IF(Upgrades!$T$18="Open Cluster",POWER(Upgrades!$U$18,J360),1)*IF(Upgrades!$T$19="Open Cluster",POWER(Upgrades!$U$19,K360),1)*IF(Upgrades!$T$21="Open Cluster",POWER(Upgrades!$U$21,M360),1))+(IF(M360=0,0,(Upgrades!$J$21+M360*Upgrades!$K$21)*POWER(Upgrades!$L$21,M360)))*(IF(Upgrades!$T$13="Moving Group",POWER(Upgrades!$U$13,E360),1)*IF(Upgrades!$T$14="Moving Group",POWER(Upgrades!$U$14,F360),1)*IF(Upgrades!$T$15="Moving Group",POWER(Upgrades!$U$15,G360),1)*IF(Upgrades!$T$16="Moving Group",POWER(Upgrades!$U$16,H360),1)*IF(Upgrades!$T$17="Moving Group",POWER(Upgrades!$U$17,I360),1)*IF(Upgrades!$T$18="Moving Group",POWER(Upgrades!$U$18,J360),1)*IF(Upgrades!$T$19="Moving Group",POWER(Upgrades!$U$19,K360),1)*IF(Upgrades!$T$20="Moving Group",POWER(Upgrades!$U$20,L360),1)))*POWER(Upgrades!$Q$13,E360)*POWER(Upgrades!$Q$14,F360)*POWER(Upgrades!$Q$15,G360)*POWER(Upgrades!$Q$16,H360)*POWER(Upgrades!$Q$17,I360)*POWER(Upgrades!$Q$18,J360)*POWER(Upgrades!$Q$19,K360)*POWER(Upgrades!$Q$20,L360)*POWER(Upgrades!$Q$21,M360)*$G$6+$D$6</f>
        <v/>
      </c>
      <c r="P360" s="28">
        <f>((IF(E360=0,0,(Upgrades!$G$13+E360*Upgrades!$H$13)*POWER(Upgrades!$I$13,E360)))*(IF(Upgrades!$T$14="Stellar Kinematics",POWER(Upgrades!$U$14,F360),1)*IF(Upgrades!$T$15="Stellar Kinematics",POWER(Upgrades!$U$15,G360),1)*IF(Upgrades!$T$16="Stellar Kinematics",POWER(Upgrades!$U$16,H360),1)*IF(Upgrades!$T$17="Stellar Kinematics",POWER(Upgrades!$U$17,I360),1)*IF(Upgrades!$T$18="Stellar Kinematics",POWER(Upgrades!$U$18,J360),1)*IF(Upgrades!$T$19="Stellar Kinematics",POWER(Upgrades!$U$19,K360),1)*IF(Upgrades!$T$20="Stellar Kinematics",POWER(Upgrades!$U$20,L360),1)*IF(Upgrades!$T$21="Stellar Kinematics",POWER(Upgrades!$U$21,M360),1))+(IF(F360=0,0,(Upgrades!$G$14+F360*Upgrades!$H$14)*POWER(Upgrades!$I$14,F360)))*(IF(Upgrades!$T$13="Local Bubble",POWER(Upgrades!$U$13,E360),1)*IF(Upgrades!$T$15="Local Bubble",POWER(Upgrades!$U$15,G360),1)*IF(Upgrades!$T$16="Local Bubble",POWER(Upgrades!$U$16,H360),1)*IF(Upgrades!$T$17="Local Bubble",POWER(Upgrades!$U$17,I360),1)*IF(Upgrades!$T$18="Local Bubble",POWER(Upgrades!$U$18,J360),1)*IF(Upgrades!$T$19="Local Bubble",POWER(Upgrades!$U$19,K360),1)*IF(Upgrades!$T$20="Local Bubble",POWER(Upgrades!$U$20,L360),1)*IF(Upgrades!$T$21="Local Bubble",POWER(Upgrades!$U$21,M360),1))+(IF(G360=0,0,(Upgrades!$G$15+G360*Upgrades!$H$15)*POWER(Upgrades!$I$15,G360)))*(IF(Upgrades!$T$13="Microlensing",POWER(Upgrades!$U$13,E360),1)*IF(Upgrades!$T$14="Microlensing",POWER(Upgrades!$U$14,F360),1)*IF(Upgrades!$T$16="Microlensing",POWER(Upgrades!$U$16,H360),1)*IF(Upgrades!$T$17="Microlensing",POWER(Upgrades!$U$17,I360),1)*IF(Upgrades!$T$18="Microlensing",POWER(Upgrades!$U$18,J360),1)*IF(Upgrades!$T$19="Microlensing",POWER(Upgrades!$U$19,K360),1)*IF(Upgrades!$T$20="Microlensing",POWER(Upgrades!$U$20,L360),1)*IF(Upgrades!$T$21="Microlensing",POWER(Upgrades!$U$21,M360),1))+(IF(H360=0,0,(Upgrades!$G$16+H360*Upgrades!$H$16)*POWER(Upgrades!$I$16,H360)))*(IF(Upgrades!$T$13="Roche Lobe Overflow",POWER(Upgrades!$U$13,E360),1)*IF(Upgrades!$T$14="Roche Lobe Overflow",POWER(Upgrades!$U$14,F360),1)*IF(Upgrades!$T$15="Roche Lobe Overflow",POWER(Upgrades!$U$15,G360),1)*IF(Upgrades!$T$17="Roche Lobe Overflow",POWER(Upgrades!$U$17,I360),1)*IF(Upgrades!$T$18="Roche Lobe Overflow",POWER(Upgrades!$U$18,J360),1)*IF(Upgrades!$T$19="Roche Lobe Overflow",POWER(Upgrades!$U$19,K360),1)*IF(Upgrades!$T$20="Roche Lobe Overflow",POWER(Upgrades!$U$20,L360),1)*IF(Upgrades!$T$21="Roche Lobe Overflow",POWER(Upgrades!$U$21,M360),1))+(IF(I360=0,0,(Upgrades!$G$17+I360*Upgrades!$H$17)*POWER(Upgrades!$I$17,I360)))*(IF(Upgrades!$T$13="Brown Dwarf",POWER(Upgrades!$U$13,E360),1)*IF(Upgrades!$T$14="Brown Dwarf",POWER(Upgrades!$U$14,F360),1)*IF(Upgrades!$T$15="Brown Dwarf",POWER(Upgrades!$U$15,G360),1)*IF(Upgrades!$T$16="Brown Dwarf",POWER(Upgrades!$U$16,H360),1)*IF(Upgrades!$T$18="Brown Dwarf",POWER(Upgrades!$U$18,J360),1)*IF(Upgrades!$T$19="Brown Dwarf",POWER(Upgrades!$U$19,K360),1)*IF(Upgrades!$T$20="Brown Dwarf",POWER(Upgrades!$U$20,L360),1)*IF(Upgrades!$T$21="Brown Dwarf",POWER(Upgrades!$U$21,M360),1))+(IF(J360=0,0,(Upgrades!$G$18+J360*Upgrades!$H$18)*POWER(Upgrades!$I$18,J360)))*(IF(Upgrades!$T$13="Binary Partner",POWER(Upgrades!$U$13,E360),1)*IF(Upgrades!$T$14="Binary Partner",POWER(Upgrades!$U$14,F360),1)*IF(Upgrades!$T$15="Binary Partner",POWER(Upgrades!$U$15,G360),1)*IF(Upgrades!$T$16="Binary Partner",POWER(Upgrades!$U$16,H360),1)*IF(Upgrades!$T$17="Binary Partner",POWER(Upgrades!$U$17,I360),1)*IF(Upgrades!$T$19="Binary Partner",POWER(Upgrades!$U$19,K360),1)*IF(Upgrades!$T$20="Binary Partner",POWER(Upgrades!$U$20,L360),1)*IF(Upgrades!$T$21="Binary Partner",POWER(Upgrades!$U$21,M360),1))+(IF(K360=0,0,(Upgrades!$G$19+K360*Upgrades!$H$19)*POWER(Upgrades!$I$19,K360)))*(IF(Upgrades!$T$13="Peculiar Velocity",POWER(Upgrades!$U$13,E360),1)*IF(Upgrades!$T$14="Peculiar Velocity",POWER(Upgrades!$U$14,F360),1)*IF(Upgrades!$T$15="Peculiar Velocity",POWER(Upgrades!$U$15,G360),1)*IF(Upgrades!$T$16="Peculiar Velocity",POWER(Upgrades!$U$16,H360),1)*IF(Upgrades!$T$17="Peculiar Velocity",POWER(Upgrades!$U$17,I360),1)*IF(Upgrades!$T$18="Peculiar Velocity",POWER(Upgrades!$U$18,J360),1)*IF(Upgrades!$T$20="Peculiar Velocity",POWER(Upgrades!$U$20,L360),1)*IF(Upgrades!$T$21="Peculiar Velocity",POWER(Upgrades!$U$21,M360),1))+(IF(L360=0,0,(Upgrades!$G$20+L360*Upgrades!$H$20)*POWER(Upgrades!$I$20,L360)))*(IF(Upgrades!$T$13="Open Cluster",POWER(Upgrades!$U$13,E360),1)*IF(Upgrades!$T$14="Open Cluster",POWER(Upgrades!$U$14,F360),1)*IF(Upgrades!$T$15="Open Cluster",POWER(Upgrades!$U$15,G360),1)*IF(Upgrades!$T$16="Open Cluster",POWER(Upgrades!$U$16,H360),1)*IF(Upgrades!$T$17="Open Cluster",POWER(Upgrades!$U$17,I360),1)*IF(Upgrades!$T$18="Open Cluster",POWER(Upgrades!$U$18,J360),1)*IF(Upgrades!$T$19="Open Cluster",POWER(Upgrades!$U$19,K360),1)*IF(Upgrades!$T$21="Open Cluster",POWER(Upgrades!$U$21,M360),1))+(IF(M360=0,0,(Upgrades!$G$21+M360*Upgrades!$H$21)*POWER(Upgrades!$I$21,M360)))*(IF(Upgrades!$T$13="Moving Group",POWER(Upgrades!$U$13,E360),1)*IF(Upgrades!$T$14="Moving Group",POWER(Upgrades!$U$14,F360),1)*IF(Upgrades!$T$15="Moving Group",POWER(Upgrades!$U$15,G360),1)*IF(Upgrades!$T$16="Moving Group",POWER(Upgrades!$U$16,H360),1)*IF(Upgrades!$T$17="Moving Group",POWER(Upgrades!$U$17,I360),1)*IF(Upgrades!$T$18="Moving Group",POWER(Upgrades!$U$18,J360),1)*IF(Upgrades!$T$19="Moving Group",POWER(Upgrades!$U$19,K360),1)*IF(Upgrades!$T$20="Moving Group",POWER(Upgrades!$U$20,L360),1)))*POWER(Upgrades!$P$13,E360)*POWER(Upgrades!$P$14,F360)*POWER(Upgrades!$P$15,G360)*POWER(Upgrades!$P$16,H360)*POWER(Upgrades!$P$17,I360)*POWER(Upgrades!$P$18,J360)*POWER(Upgrades!$P$19,K360)*POWER(Upgrades!$P$20,L360)*POWER(Upgrades!$P$21,M360)*$F$6+$C$6</f>
        <v/>
      </c>
      <c r="Q360" s="28">
        <f>((IF(E360=0,0,(Upgrades!$M$13+E360*Upgrades!$N$13)*POWER(Upgrades!$O$13,E360)))*(IF(Upgrades!$T$14="Stellar Kinematics",POWER(Upgrades!$U$14,F360),1)*IF(Upgrades!$T$15="Stellar Kinematics",POWER(Upgrades!$U$15,G360),1)*IF(Upgrades!$T$16="Stellar Kinematics",POWER(Upgrades!$U$16,H360),1)*IF(Upgrades!$T$17="Stellar Kinematics",POWER(Upgrades!$U$17,I360),1)*IF(Upgrades!$T$18="Stellar Kinematics",POWER(Upgrades!$U$18,J360),1)*IF(Upgrades!$T$19="Stellar Kinematics",POWER(Upgrades!$U$19,K360),1)*IF(Upgrades!$T$20="Stellar Kinematics",POWER(Upgrades!$U$20,L360),1)*IF(Upgrades!$T$21="Stellar Kinematics",POWER(Upgrades!$U$21,M360),1))+(IF(F360=0,0,(Upgrades!$M$14+F360*Upgrades!$N$14)*POWER(Upgrades!$O$14,F360)))*(IF(Upgrades!$T$13="Local Bubble",POWER(Upgrades!$U$13,E360),1)*IF(Upgrades!$T$15="Local Bubble",POWER(Upgrades!$U$15,G360),1)*IF(Upgrades!$T$16="Local Bubble",POWER(Upgrades!$U$16,H360),1)*IF(Upgrades!$T$17="Local Bubble",POWER(Upgrades!$U$17,I360),1)*IF(Upgrades!$T$18="Local Bubble",POWER(Upgrades!$U$18,J360),1)*IF(Upgrades!$T$19="Local Bubble",POWER(Upgrades!$U$19,K360),1)*IF(Upgrades!$T$20="Local Bubble",POWER(Upgrades!$U$20,L360),1)*IF(Upgrades!$T$21="Local Bubble",POWER(Upgrades!$U$21,M360),1))+(IF(G360=0,0,(Upgrades!$M$15+G360*Upgrades!$N$15)*POWER(Upgrades!$O$15,G360)))*(IF(Upgrades!$T$13="Microlensing",POWER(Upgrades!$U$13,E360),1)*IF(Upgrades!$T$14="Microlensing",POWER(Upgrades!$U$14,F360),1)*IF(Upgrades!$T$16="Microlensing",POWER(Upgrades!$U$16,H360),1)*IF(Upgrades!$T$17="Microlensing",POWER(Upgrades!$U$17,I360),1)*IF(Upgrades!$T$18="Microlensing",POWER(Upgrades!$U$18,J360),1)*IF(Upgrades!$T$19="Microlensing",POWER(Upgrades!$U$19,K360),1)*IF(Upgrades!$T$20="Microlensing",POWER(Upgrades!$U$20,L360),1)*IF(Upgrades!$T$21="Microlensing",POWER(Upgrades!$U$21,M360),1))+(IF(H360=0,0,(Upgrades!$M$16+H360*Upgrades!$N$16)*POWER(Upgrades!$O$16,H360)))*(IF(Upgrades!$T$13="Roche Lobe Overflow",POWER(Upgrades!$U$13,E360),1)*IF(Upgrades!$T$14="Roche Lobe Overflow",POWER(Upgrades!$U$14,F360),1)*IF(Upgrades!$T$15="Roche Lobe Overflow",POWER(Upgrades!$U$15,G360),1)*IF(Upgrades!$T$17="Roche Lobe Overflow",POWER(Upgrades!$U$17,I360),1)*IF(Upgrades!$T$18="Roche Lobe Overflow",POWER(Upgrades!$U$18,J360),1)*IF(Upgrades!$T$19="Roche Lobe Overflow",POWER(Upgrades!$U$19,K360),1)*IF(Upgrades!$T$20="Roche Lobe Overflow",POWER(Upgrades!$U$20,L360),1)*IF(Upgrades!$T$21="Roche Lobe Overflow",POWER(Upgrades!$U$21,M360),1))+(IF(I360=0,0,(Upgrades!$M$17+I360*Upgrades!$N$17)*POWER(Upgrades!$O$17,I360)))*(IF(Upgrades!$T$13="Brown Dwarf",POWER(Upgrades!$U$13,E360),1)*IF(Upgrades!$T$14="Brown Dwarf",POWER(Upgrades!$U$14,F360),1)*IF(Upgrades!$T$15="Brown Dwarf",POWER(Upgrades!$U$15,G360),1)*IF(Upgrades!$T$16="Brown Dwarf",POWER(Upgrades!$U$16,H360),1)*IF(Upgrades!$T$18="Brown Dwarf",POWER(Upgrades!$U$18,J360),1)*IF(Upgrades!$T$19="Brown Dwarf",POWER(Upgrades!$U$19,K360),1)*IF(Upgrades!$T$20="Brown Dwarf",POWER(Upgrades!$U$20,L360),1)*IF(Upgrades!$T$21="Brown Dwarf",POWER(Upgrades!$U$21,M360),1))+(IF(J360=0,0,(Upgrades!$M$18+J360*Upgrades!$N$18)*POWER(Upgrades!$O$18,J360)))*(IF(Upgrades!$T$13="Binary Partner",POWER(Upgrades!$U$13,E360),1)*IF(Upgrades!$T$14="Binary Partner",POWER(Upgrades!$U$14,F360),1)*IF(Upgrades!$T$15="Binary Partner",POWER(Upgrades!$U$15,G360),1)*IF(Upgrades!$T$16="Binary Partner",POWER(Upgrades!$U$16,H360),1)*IF(Upgrades!$T$17="Binary Partner",POWER(Upgrades!$U$17,I360),1)*IF(Upgrades!$T$19="Binary Partner",POWER(Upgrades!$U$19,K360),1)*IF(Upgrades!$T$20="Binary Partner",POWER(Upgrades!$U$20,L360),1)*IF(Upgrades!$T$21="Binary Partner",POWER(Upgrades!$U$21,M360),1))+(IF(K360=0,0,(Upgrades!$M$19+K360*Upgrades!$N$19)*POWER(Upgrades!$O$19,K360)))*(IF(Upgrades!$T$13="Peculiar Velocity",POWER(Upgrades!$U$13,E360),1)*IF(Upgrades!$T$14="Peculiar Velocity",POWER(Upgrades!$U$14,F360),1)*IF(Upgrades!$T$15="Peculiar Velocity",POWER(Upgrades!$U$15,G360),1)*IF(Upgrades!$T$16="Peculiar Velocity",POWER(Upgrades!$U$16,H360),1)*IF(Upgrades!$T$17="Peculiar Velocity",POWER(Upgrades!$U$17,I360),1)*IF(Upgrades!$T$18="Peculiar Velocity",POWER(Upgrades!$U$18,J360),1)*IF(Upgrades!$T$20="Peculiar Velocity",POWER(Upgrades!$U$20,L360),1)*IF(Upgrades!$T$21="Peculiar Velocity",POWER(Upgrades!$U$21,M360),1))+(IF(L360=0,0,(Upgrades!$M$20+L360*Upgrades!$N$20)*POWER(Upgrades!$O$20,L360)))*(IF(Upgrades!$T$13="Open Cluster",POWER(Upgrades!$U$13,E360),1)*IF(Upgrades!$T$14="Open Cluster",POWER(Upgrades!$U$14,F360),1)*IF(Upgrades!$T$15="Open Cluster",POWER(Upgrades!$U$15,G360),1)*IF(Upgrades!$T$16="Open Cluster",POWER(Upgrades!$U$16,H360),1)*IF(Upgrades!$T$17="Open Cluster",POWER(Upgrades!$U$17,I360),1)*IF(Upgrades!$T$18="Open Cluster",POWER(Upgrades!$U$18,J360),1)*IF(Upgrades!$T$19="Open Cluster",POWER(Upgrades!$U$19,K360),1)*IF(Upgrades!$T$21="Open Cluster",POWER(Upgrades!$U$21,M360),1))+(IF(M360=0,0,(Upgrades!$M$21+M360*Upgrades!$N$21)*POWER(Upgrades!$O$21,M360)))*(IF(Upgrades!$T$13="Moving Group",POWER(Upgrades!$U$13,E360),1)*IF(Upgrades!$T$14="Moving Group",POWER(Upgrades!$U$14,F360),1)*IF(Upgrades!$T$15="Moving Group",POWER(Upgrades!$U$15,G360),1)*IF(Upgrades!$T$16="Moving Group",POWER(Upgrades!$U$16,H360),1)*IF(Upgrades!$T$17="Moving Group",POWER(Upgrades!$U$17,I360),1)*IF(Upgrades!$T$18="Moving Group",POWER(Upgrades!$U$18,J360),1)*IF(Upgrades!$T$19="Moving Group",POWER(Upgrades!$U$19,K360),1)*IF(Upgrades!$T$20="Moving Group",POWER(Upgrades!$U$20,L360),1)))*POWER(Upgrades!$R$13,E360)*POWER(Upgrades!$R$14,F360)*POWER(Upgrades!$R$15,G360)*POWER(Upgrades!$R$16,H360)*POWER(Upgrades!$R$17,I360)*POWER(Upgrades!$R$18,J360)*POWER(Upgrades!$R$19,K360)*POWER(Upgrades!$R$20,L360)*POWER(Upgrades!$R$21,M360)*$H$6+$E$6</f>
        <v/>
      </c>
      <c r="R360" s="27">
        <f>IF(N360=1,0,O360*Parameters!$B$10/60*Parameters!$B$11*10)</f>
        <v/>
      </c>
      <c r="S360" s="27">
        <f>IF(N360=1,0,Q360*O360*10)</f>
        <v/>
      </c>
      <c r="T360" s="27">
        <f>IF(N360=1,0,R360+S360+P360*10)</f>
        <v/>
      </c>
      <c r="U360" s="33">
        <f>BE360</f>
        <v/>
      </c>
      <c r="V360" s="22">
        <f>IF(U360="",0,IF(U360="transition",0,IF(U360="SK",AK360,IF(U360="LB",AL360,IF(U360="ML",AM360,IF(U360="RLO",AN360,IF(U360="BD",AO360,IF(U360="BiP",AP360,IF(U360="PV",AQ360,IF(U360="OC",AR360,IF(U360="MG",AS360,0))))))))))</f>
        <v/>
      </c>
      <c r="W360" s="27">
        <f>IF(U360="BiP",Upgrades!$F$18,IF(U360="PV",Upgrades!$F$19,IF(U360="OC",Upgrades!$F$20,IF(U360="MG",Upgrades!$F$21,IF(U360="transition",-Parameters!$B$18*Parameters!$B$19,0)))))</f>
        <v/>
      </c>
      <c r="X360" s="22">
        <f>C360+T360-V360</f>
        <v/>
      </c>
      <c r="Y360" s="30">
        <f>O360*Parameters!$B$10/60*Parameters!$B$11+Q360*O360+P360</f>
        <v/>
      </c>
      <c r="Z360" s="34">
        <f>IF(U360="transition","→ Tier 3 (Galactic Arm)",IF(U360="MG","Moving Group — pocket drifts together",IF(U360="OC","Open Cluster acquired",IF(U360="PV","Peculiar Velocity — passive multiplier active",IF(U360="BiP","Binary Partner — pair bond formed",IF(AND(AU360=1,N360=0,AT360&lt;&gt;1),"Cohesion ready (waiting on completionists)","")))))) </f>
        <v/>
      </c>
      <c r="AA360" s="27">
        <f>(IF(E360=0,0,(Upgrades!$G$13+E360*Upgrades!$H$13)*POWER(Upgrades!$I$13,E360)))*(IF(Upgrades!$T$14="Stellar Kinematics",POWER(Upgrades!$U$14,F360),1)*IF(Upgrades!$T$15="Stellar Kinematics",POWER(Upgrades!$U$15,G360),1)*IF(Upgrades!$T$16="Stellar Kinematics",POWER(Upgrades!$U$16,H360),1)*IF(Upgrades!$T$17="Stellar Kinematics",POWER(Upgrades!$U$17,I360),1)*IF(Upgrades!$T$18="Stellar Kinematics",POWER(Upgrades!$U$18,J360),1)*IF(Upgrades!$T$19="Stellar Kinematics",POWER(Upgrades!$U$19,K360),1)*IF(Upgrades!$T$20="Stellar Kinematics",POWER(Upgrades!$U$20,L360),1)*IF(Upgrades!$T$21="Stellar Kinematics",POWER(Upgrades!$U$21,M360),1))*POWER(Upgrades!$P$13,E360)*POWER(Upgrades!$P$14,F360)*POWER(Upgrades!$P$15,G360)*POWER(Upgrades!$P$16,H360)*POWER(Upgrades!$P$17,I360)*POWER(Upgrades!$P$18,J360)*POWER(Upgrades!$P$19,K360)*POWER(Upgrades!$P$20,L360)*POWER(Upgrades!$P$21,M360)*$F$6*60</f>
        <v/>
      </c>
      <c r="AB360" s="27">
        <f>(IF(F360=0,0,(Upgrades!$G$14+F360*Upgrades!$H$14)*POWER(Upgrades!$I$14,F360)))*(IF(Upgrades!$T$13="Local Bubble",POWER(Upgrades!$U$13,E360),1)*IF(Upgrades!$T$15="Local Bubble",POWER(Upgrades!$U$15,G360),1)*IF(Upgrades!$T$16="Local Bubble",POWER(Upgrades!$U$16,H360),1)*IF(Upgrades!$T$17="Local Bubble",POWER(Upgrades!$U$17,I360),1)*IF(Upgrades!$T$18="Local Bubble",POWER(Upgrades!$U$18,J360),1)*IF(Upgrades!$T$19="Local Bubble",POWER(Upgrades!$U$19,K360),1)*IF(Upgrades!$T$20="Local Bubble",POWER(Upgrades!$U$20,L360),1)*IF(Upgrades!$T$21="Local Bubble",POWER(Upgrades!$U$21,M360),1))*POWER(Upgrades!$P$13,E360)*POWER(Upgrades!$P$14,F360)*POWER(Upgrades!$P$15,G360)*POWER(Upgrades!$P$16,H360)*POWER(Upgrades!$P$17,I360)*POWER(Upgrades!$P$18,J360)*POWER(Upgrades!$P$19,K360)*POWER(Upgrades!$P$20,L360)*POWER(Upgrades!$P$21,M360)*$F$6*60</f>
        <v/>
      </c>
      <c r="AC360" s="27">
        <f>(IF(G360=0,0,(Upgrades!$J$15+G360*Upgrades!$K$15)*POWER(Upgrades!$L$15,G360)))*(IF(Upgrades!$T$13="Microlensing",POWER(Upgrades!$U$13,E360),1)*IF(Upgrades!$T$14="Microlensing",POWER(Upgrades!$U$14,F360),1)*IF(Upgrades!$T$16="Microlensing",POWER(Upgrades!$U$16,H360),1)*IF(Upgrades!$T$17="Microlensing",POWER(Upgrades!$U$17,I360),1)*IF(Upgrades!$T$18="Microlensing",POWER(Upgrades!$U$18,J360),1)*IF(Upgrades!$T$19="Microlensing",POWER(Upgrades!$U$19,K360),1)*IF(Upgrades!$T$20="Microlensing",POWER(Upgrades!$U$20,L360),1)*IF(Upgrades!$T$21="Microlensing",POWER(Upgrades!$U$21,M360),1))*POWER(Upgrades!$Q$13,E360)*POWER(Upgrades!$Q$14,F360)*POWER(Upgrades!$Q$15,G360)*POWER(Upgrades!$Q$16,H360)*POWER(Upgrades!$Q$17,I360)*POWER(Upgrades!$Q$18,J360)*POWER(Upgrades!$Q$19,K360)*POWER(Upgrades!$Q$20,L360)*POWER(Upgrades!$Q$21,M360)*$G$6*(Parameters!$B$10*Parameters!$B$11+Q360*60)</f>
        <v/>
      </c>
      <c r="AD360" s="27">
        <f>(IF(H360=0,0,(Upgrades!$M$16+H360*Upgrades!$N$16)*POWER(Upgrades!$O$16,H360)))*(IF(Upgrades!$T$13="Roche Lobe Overflow",POWER(Upgrades!$U$13,E360),1)*IF(Upgrades!$T$14="Roche Lobe Overflow",POWER(Upgrades!$U$14,F360),1)*IF(Upgrades!$T$15="Roche Lobe Overflow",POWER(Upgrades!$U$15,G360),1)*IF(Upgrades!$T$17="Roche Lobe Overflow",POWER(Upgrades!$U$17,I360),1)*IF(Upgrades!$T$18="Roche Lobe Overflow",POWER(Upgrades!$U$18,J360),1)*IF(Upgrades!$T$19="Roche Lobe Overflow",POWER(Upgrades!$U$19,K360),1)*IF(Upgrades!$T$20="Roche Lobe Overflow",POWER(Upgrades!$U$20,L360),1)*IF(Upgrades!$T$21="Roche Lobe Overflow",POWER(Upgrades!$U$21,M360),1))*POWER(Upgrades!$R$13,E360)*POWER(Upgrades!$R$14,F360)*POWER(Upgrades!$R$15,G360)*POWER(Upgrades!$R$16,H360)*POWER(Upgrades!$R$17,I360)*POWER(Upgrades!$R$18,J360)*POWER(Upgrades!$R$19,K360)*POWER(Upgrades!$R$20,L360)*POWER(Upgrades!$R$21,M360)*$H$6*O360*60</f>
        <v/>
      </c>
      <c r="AE360" s="27">
        <f>(IF(I360=0,0,(Upgrades!$G$17+I360*Upgrades!$H$17)*POWER(Upgrades!$I$17,I360)))*(IF(Upgrades!$T$13="Brown Dwarf",POWER(Upgrades!$U$13,E360),1)*IF(Upgrades!$T$14="Brown Dwarf",POWER(Upgrades!$U$14,F360),1)*IF(Upgrades!$T$15="Brown Dwarf",POWER(Upgrades!$U$15,G360),1)*IF(Upgrades!$T$16="Brown Dwarf",POWER(Upgrades!$U$16,H360),1)*IF(Upgrades!$T$18="Brown Dwarf",POWER(Upgrades!$U$18,J360),1)*IF(Upgrades!$T$19="Brown Dwarf",POWER(Upgrades!$U$19,K360),1)*IF(Upgrades!$T$20="Brown Dwarf",POWER(Upgrades!$U$20,L360),1)*IF(Upgrades!$T$21="Brown Dwarf",POWER(Upgrades!$U$21,M360),1))*POWER(Upgrades!$P$13,E360)*POWER(Upgrades!$P$14,F360)*POWER(Upgrades!$P$15,G360)*POWER(Upgrades!$P$16,H360)*POWER(Upgrades!$P$17,I360)*POWER(Upgrades!$P$18,J360)*POWER(Upgrades!$P$19,K360)*POWER(Upgrades!$P$20,L360)*POWER(Upgrades!$P$21,M360)*$F$6*60</f>
        <v/>
      </c>
      <c r="AF360" s="27" t="n">
        <v>0</v>
      </c>
      <c r="AG360" s="27" t="n">
        <v>0</v>
      </c>
      <c r="AH360" s="27" t="n">
        <v>0</v>
      </c>
      <c r="AI360" s="27">
        <f>(IF(M360=0,0,(Upgrades!$G$21+M360*Upgrades!$H$21)*POWER(Upgrades!$I$21,M360)))*(IF(Upgrades!$T$13="Moving Group",POWER(Upgrades!$U$13,E360),1)*IF(Upgrades!$T$14="Moving Group",POWER(Upgrades!$U$14,F360),1)*IF(Upgrades!$T$15="Moving Group",POWER(Upgrades!$U$15,G360),1)*IF(Upgrades!$T$16="Moving Group",POWER(Upgrades!$U$16,H360),1)*IF(Upgrades!$T$17="Moving Group",POWER(Upgrades!$U$17,I360),1)*IF(Upgrades!$T$18="Moving Group",POWER(Upgrades!$U$18,J360),1)*IF(Upgrades!$T$19="Moving Group",POWER(Upgrades!$U$19,K360),1)*IF(Upgrades!$T$20="Moving Group",POWER(Upgrades!$U$20,L360),1))*POWER(Upgrades!$P$13,E360)*POWER(Upgrades!$P$14,F360)*POWER(Upgrades!$P$15,G360)*POWER(Upgrades!$P$16,H360)*POWER(Upgrades!$P$17,I360)*POWER(Upgrades!$P$18,J360)*POWER(Upgrades!$P$19,K360)*POWER(Upgrades!$P$20,L360)*POWER(Upgrades!$P$21,M360)*$F$6*60</f>
        <v/>
      </c>
      <c r="AJ360" s="27">
        <f>$C$6*60</f>
        <v/>
      </c>
      <c r="AK360" s="22">
        <f>IF(E360&gt;=Upgrades!$E$13,"",Upgrades!$C$13*POWER(Upgrades!$D$13,E360))</f>
        <v/>
      </c>
      <c r="AL360" s="22">
        <f>IF(F360&gt;=Upgrades!$E$14,"",Upgrades!$C$14*POWER(Upgrades!$D$14,F360))</f>
        <v/>
      </c>
      <c r="AM360" s="22">
        <f>IF(G360&gt;=Upgrades!$E$15,"",Upgrades!$C$15*POWER(Upgrades!$D$15,G360))</f>
        <v/>
      </c>
      <c r="AN360" s="22">
        <f>IF(H360&gt;=Upgrades!$E$16,"",Upgrades!$C$16*POWER(Upgrades!$D$16,H360))</f>
        <v/>
      </c>
      <c r="AO360" s="22">
        <f>IF(I360&gt;=Upgrades!$E$17,"",Upgrades!$C$17*POWER(Upgrades!$D$17,I360))</f>
        <v/>
      </c>
      <c r="AP360" s="22">
        <f>IF(J360&gt;=Upgrades!$E$18,"",Upgrades!$C$18*POWER(Upgrades!$D$18,J360))</f>
        <v/>
      </c>
      <c r="AQ360" s="22">
        <f>IF(K360&gt;=Upgrades!$E$19,"",Upgrades!$C$19*POWER(Upgrades!$D$19,K360))</f>
        <v/>
      </c>
      <c r="AR360" s="22">
        <f>IF(L360&gt;=Upgrades!$E$20,"",Upgrades!$C$20*POWER(Upgrades!$D$20,L360))</f>
        <v/>
      </c>
      <c r="AS360" s="22">
        <f>IF(M360&gt;=Upgrades!$E$21,"",Upgrades!$C$21*POWER(Upgrades!$D$21,M360))</f>
        <v/>
      </c>
      <c r="AT360" s="26">
        <f>IF(AND(D360&gt;=Parameters!$B$18*Parameters!$B$19,(I360&gt;=Upgrades!$E$17)*(M360&gt;=Upgrades!$E$21)=1,N360=0),1,"")</f>
        <v/>
      </c>
      <c r="AU360" s="26">
        <f>IF(AND(D360&gt;=Parameters!$B$18*Parameters!$B$19,N360=0),1,"")</f>
        <v/>
      </c>
      <c r="AV360" s="22">
        <f>MIN(IF(ISNUMBER(AP360),AP360,9E15),IF(ISNUMBER(AQ360),AQ360,9E15),IF(ISNUMBER(AR360),AR360,9E15),IF(ISNUMBER(AS360),AS360,9E15))</f>
        <v/>
      </c>
      <c r="AW360" s="22">
        <f>MIN(IF(ISNUMBER(AK360),AK360,9E15),IF(ISNUMBER(AL360),AL360,9E15),IF(ISNUMBER(AM360),AM360,9E15),IF(ISNUMBER(AN360),AN360,9E15),IF(ISNUMBER(AO360),AO360,9E15))</f>
        <v/>
      </c>
      <c r="AX360" s="29">
        <f>IF(BD360&gt;Parameters!$B$21*(MAX(IF(AND(NOT(AND(AU360=1,AT360&lt;&gt;1)),ISNUMBER(AK360),AK360&lt;=(C360+T360)),AY360,0),IF(AND(NOT(AND(AU360=1,AT360&lt;&gt;1)),ISNUMBER(AL360),AL360&lt;=(C360+T360)),AZ360,0),IF(AND(NOT(AND(AU360=1,AT360&lt;&gt;1)),ISNUMBER(AM360),AM360&lt;=(C360+T360)),BA360,0),IF(AND(NOT(AND(AU360=1,AT360&lt;&gt;1)),ISNUMBER(AN360),AN360&lt;=(C360+T360)),BB360,0),IF(AND(ISNUMBER(AO360),AO360&lt;=(C360+T360)),BC360,0))),TRUE,FALSE)</f>
        <v/>
      </c>
      <c r="AY360" s="32">
        <f>IFERROR(Upgrades!$H$13*(POWER(Upgrades!$P$13,E360)*POWER(Upgrades!$P$14,F360)*POWER(Upgrades!$P$15,G360)*POWER(Upgrades!$P$16,H360)*POWER(Upgrades!$P$17,I360)*POWER(Upgrades!$P$18,J360)*POWER(Upgrades!$P$19,K360)*POWER(Upgrades!$P$20,L360)*POWER(Upgrades!$P$21,M360))*(IF(Upgrades!$T$14="Stellar Kinematics",POWER(Upgrades!$U$14,F360),1)*IF(Upgrades!$T$15="Stellar Kinematics",POWER(Upgrades!$U$15,G360),1)*IF(Upgrades!$T$16="Stellar Kinematics",POWER(Upgrades!$U$16,H360),1)*IF(Upgrades!$T$17="Stellar Kinematics",POWER(Upgrades!$U$17,I360),1)*IF(Upgrades!$T$18="Stellar Kinematics",POWER(Upgrades!$U$18,J360),1)*IF(Upgrades!$T$19="Stellar Kinematics",POWER(Upgrades!$U$19,K360),1)*IF(Upgrades!$T$20="Stellar Kinematics",POWER(Upgrades!$U$20,L360),1)*IF(Upgrades!$T$21="Stellar Kinematics",POWER(Upgrades!$U$21,M360),1))*$F$6/AK360,0)</f>
        <v/>
      </c>
      <c r="AZ360" s="32">
        <f>IFERROR(Upgrades!$H$14*(POWER(Upgrades!$P$13,E360)*POWER(Upgrades!$P$14,F360)*POWER(Upgrades!$P$15,G360)*POWER(Upgrades!$P$16,H360)*POWER(Upgrades!$P$17,I360)*POWER(Upgrades!$P$18,J360)*POWER(Upgrades!$P$19,K360)*POWER(Upgrades!$P$20,L360)*POWER(Upgrades!$P$21,M360))*(IF(Upgrades!$T$13="Local Bubble",POWER(Upgrades!$U$13,E360),1)*IF(Upgrades!$T$15="Local Bubble",POWER(Upgrades!$U$15,G360),1)*IF(Upgrades!$T$16="Local Bubble",POWER(Upgrades!$U$16,H360),1)*IF(Upgrades!$T$17="Local Bubble",POWER(Upgrades!$U$17,I360),1)*IF(Upgrades!$T$18="Local Bubble",POWER(Upgrades!$U$18,J360),1)*IF(Upgrades!$T$19="Local Bubble",POWER(Upgrades!$U$19,K360),1)*IF(Upgrades!$T$20="Local Bubble",POWER(Upgrades!$U$20,L360),1)*IF(Upgrades!$T$21="Local Bubble",POWER(Upgrades!$U$21,M360),1))*$F$6/AL360,0)</f>
        <v/>
      </c>
      <c r="BA360" s="32">
        <f>IFERROR(Upgrades!$K$15*(POWER(Upgrades!$Q$13,E360)*POWER(Upgrades!$Q$14,F360)*POWER(Upgrades!$Q$15,G360)*POWER(Upgrades!$Q$16,H360)*POWER(Upgrades!$Q$17,I360)*POWER(Upgrades!$Q$18,J360)*POWER(Upgrades!$Q$19,K360)*POWER(Upgrades!$Q$20,L360)*POWER(Upgrades!$Q$21,M360))*(IF(Upgrades!$T$13="Microlensing",POWER(Upgrades!$U$13,E360),1)*IF(Upgrades!$T$14="Microlensing",POWER(Upgrades!$U$14,F360),1)*IF(Upgrades!$T$16="Microlensing",POWER(Upgrades!$U$16,H360),1)*IF(Upgrades!$T$17="Microlensing",POWER(Upgrades!$U$17,I360),1)*IF(Upgrades!$T$18="Microlensing",POWER(Upgrades!$U$18,J360),1)*IF(Upgrades!$T$19="Microlensing",POWER(Upgrades!$U$19,K360),1)*IF(Upgrades!$T$20="Microlensing",POWER(Upgrades!$U$20,L360),1)*IF(Upgrades!$T$21="Microlensing",POWER(Upgrades!$U$21,M360),1))*$G$6*(Parameters!$B$10/60*Parameters!$B$11+Q360)/AM360,0)</f>
        <v/>
      </c>
      <c r="BB360" s="32">
        <f>IFERROR((Upgrades!$N$16*(POWER(Upgrades!$R$13,E360)*POWER(Upgrades!$R$14,F360)*POWER(Upgrades!$R$15,G360)*POWER(Upgrades!$R$16,H360)*POWER(Upgrades!$R$17,I360)*POWER(Upgrades!$R$18,J360)*POWER(Upgrades!$R$19,K360)*POWER(Upgrades!$R$20,L360)*POWER(Upgrades!$R$21,M360))*(IF(Upgrades!$T$13="Roche Lobe Overflow",POWER(Upgrades!$U$13,E360),1)*IF(Upgrades!$T$14="Roche Lobe Overflow",POWER(Upgrades!$U$14,F360),1)*IF(Upgrades!$T$15="Roche Lobe Overflow",POWER(Upgrades!$U$15,G360),1)*IF(Upgrades!$T$17="Roche Lobe Overflow",POWER(Upgrades!$U$17,I360),1)*IF(Upgrades!$T$18="Roche Lobe Overflow",POWER(Upgrades!$U$18,J360),1)*IF(Upgrades!$T$19="Roche Lobe Overflow",POWER(Upgrades!$U$19,K360),1)*IF(Upgrades!$T$20="Roche Lobe Overflow",POWER(Upgrades!$U$20,L360),1)*IF(Upgrades!$T$21="Roche Lobe Overflow",POWER(Upgrades!$U$21,M360),1))*$H$6*O360+((IF(F360=0,0,(Upgrades!$G$14+F360*Upgrades!$H$14)*POWER(Upgrades!$I$14,F360)))*(IF(Upgrades!$T$13="Local Bubble",POWER(Upgrades!$U$13,E360),1)*IF(Upgrades!$T$15="Local Bubble",POWER(Upgrades!$U$15,G360),1)*IF(Upgrades!$T$16="Local Bubble",POWER(Upgrades!$U$16,H360),1)*IF(Upgrades!$T$17="Local Bubble",POWER(Upgrades!$U$17,I360),1)*IF(Upgrades!$T$18="Local Bubble",POWER(Upgrades!$U$18,J360),1)*IF(Upgrades!$T$19="Local Bubble",POWER(Upgrades!$U$19,K360),1)*IF(Upgrades!$T$20="Local Bubble",POWER(Upgrades!$U$20,L360),1)*IF(Upgrades!$T$21="Local Bubble",POWER(Upgrades!$U$21,M360),1))*POWER(Upgrades!$P$13,E360)*POWER(Upgrades!$P$14,F360)*POWER(Upgrades!$P$15,G360)*POWER(Upgrades!$P$16,H360)*POWER(Upgrades!$P$17,I360)*POWER(Upgrades!$P$18,J360)*POWER(Upgrades!$P$19,K360)*POWER(Upgrades!$P$20,L360)*POWER(Upgrades!$P$21,M360)*$F$6)*0.05)/AN360,0)</f>
        <v/>
      </c>
      <c r="BC360" s="32">
        <f>IFERROR((Upgrades!$H$17*(POWER(Upgrades!$P$13,E360)*POWER(Upgrades!$P$14,F360)*POWER(Upgrades!$P$15,G360)*POWER(Upgrades!$P$16,H360)*POWER(Upgrades!$P$17,I360)*POWER(Upgrades!$P$18,J360)*POWER(Upgrades!$P$19,K360)*POWER(Upgrades!$P$20,L360)*POWER(Upgrades!$P$21,M360))*(IF(Upgrades!$T$13="Brown Dwarf",POWER(Upgrades!$U$13,E360),1)*IF(Upgrades!$T$14="Brown Dwarf",POWER(Upgrades!$U$14,F360),1)*IF(Upgrades!$T$15="Brown Dwarf",POWER(Upgrades!$U$15,G360),1)*IF(Upgrades!$T$16="Brown Dwarf",POWER(Upgrades!$U$16,H360),1)*IF(Upgrades!$T$18="Brown Dwarf",POWER(Upgrades!$U$18,J360),1)*IF(Upgrades!$T$19="Brown Dwarf",POWER(Upgrades!$U$19,K360),1)*IF(Upgrades!$T$20="Brown Dwarf",POWER(Upgrades!$U$20,L360),1)*IF(Upgrades!$T$21="Brown Dwarf",POWER(Upgrades!$U$21,M360),1))*$F$6+(((IF(H360=0,0,(Upgrades!$M$16+H360*Upgrades!$N$16)*POWER(Upgrades!$O$16,H360)))*(IF(Upgrades!$T$13="Roche Lobe Overflow",POWER(Upgrades!$U$13,E360),1)*IF(Upgrades!$T$14="Roche Lobe Overflow",POWER(Upgrades!$U$14,F360),1)*IF(Upgrades!$T$15="Roche Lobe Overflow",POWER(Upgrades!$U$15,G360),1)*IF(Upgrades!$T$17="Roche Lobe Overflow",POWER(Upgrades!$U$17,I360),1)*IF(Upgrades!$T$18="Roche Lobe Overflow",POWER(Upgrades!$U$18,J360),1)*IF(Upgrades!$T$19="Roche Lobe Overflow",POWER(Upgrades!$U$19,K360),1)*IF(Upgrades!$T$20="Roche Lobe Overflow",POWER(Upgrades!$U$20,L360),1)*IF(Upgrades!$T$21="Roche Lobe Overflow",POWER(Upgrades!$U$21,M360),1))*POWER(Upgrades!$R$13,E360)*POWER(Upgrades!$R$14,F360)*POWER(Upgrades!$R$15,G360)*POWER(Upgrades!$R$16,H360)*POWER(Upgrades!$R$17,I360)*POWER(Upgrades!$R$18,J360)*POWER(Upgrades!$R$19,K360)*POWER(Upgrades!$R$20,L360)*POWER(Upgrades!$R$21,M360)*$H$6)*O360)*0.10)/AO360,0)</f>
        <v/>
      </c>
      <c r="BD360" s="32">
        <f>MAX(IF(J360&gt;0,0,IFERROR(0.5*((IF(G360=0,0,(Upgrades!$J$15+G360*Upgrades!$K$15)*POWER(Upgrades!$L$15,G360)))*(IF(Upgrades!$T$13="Microlensing",POWER(Upgrades!$U$13,E360),1)*IF(Upgrades!$T$14="Microlensing",POWER(Upgrades!$U$14,F360),1)*IF(Upgrades!$T$16="Microlensing",POWER(Upgrades!$U$16,H360),1)*IF(Upgrades!$T$17="Microlensing",POWER(Upgrades!$U$17,I360),1)*IF(Upgrades!$T$18="Microlensing",POWER(Upgrades!$U$18,J360),1)*IF(Upgrades!$T$19="Microlensing",POWER(Upgrades!$U$19,K360),1)*IF(Upgrades!$T$20="Microlensing",POWER(Upgrades!$U$20,L360),1)*IF(Upgrades!$T$21="Microlensing",POWER(Upgrades!$U$21,M360),1))*(POWER(Upgrades!$Q$13,E360)*POWER(Upgrades!$Q$14,F360)*POWER(Upgrades!$Q$15,G360)*POWER(Upgrades!$Q$16,H360)*POWER(Upgrades!$Q$17,I360)*POWER(Upgrades!$Q$18,J360)*POWER(Upgrades!$Q$19,K360)*POWER(Upgrades!$Q$20,L360)*POWER(Upgrades!$Q$21,M360))*$G$6*(Parameters!$B$10/60*Parameters!$B$11+Q360))/Upgrades!$C$18,0)),IF(K360&gt;0,0,IFERROR(0.30*P360/Upgrades!$C$19,0)),IF(L360&gt;0,0,IFERROR(0.0001/Upgrades!$C$20,0)),IF(M360&gt;0,0,IFERROR((6.0*(POWER(Upgrades!$P$13,E360)*POWER(Upgrades!$P$14,F360)*POWER(Upgrades!$P$15,G360)*POWER(Upgrades!$P$16,H360)*POWER(Upgrades!$P$17,I360)*POWER(Upgrades!$P$18,J360)*POWER(Upgrades!$P$19,K360)*POWER(Upgrades!$P$20,L360)*POWER(Upgrades!$P$21,M360))*$F$6+0.20*O360*(Parameters!$B$10/60*Parameters!$B$11+Q360))/Upgrades!$C$21,0)),IF(AND(ISNUMBER(AK360),AK360&gt;(C360+T360)),AY360,0),IF(AND(ISNUMBER(AL360),AL360&gt;(C360+T360)),AZ360,0),IF(AND(ISNUMBER(AM360),AM360&gt;(C360+T360)),BA360,0),IF(AND(ISNUMBER(AN360),AN360&gt;(C360+T360)),BB360,0),IF(AND(ISNUMBER(AO360),AO360&gt;(C360+T360)),BC360,0))</f>
        <v/>
      </c>
      <c r="BE360" s="29">
        <f>IF(AT360=1,"transition",IF(MIN(IF(AND(J360=0,ISNUMBER(AP360),AP360&lt;=(C360+T360)),AP360,9E15),IF(AND(K360=0,ISNUMBER(AQ360),AQ360&lt;=(C360+T360)),AQ360,9E15),IF(AND(L360=0,ISNUMBER(AR360),AR360&lt;=(C360+T360)),AR360,9E15),IF(AND(M360=0,ISNUMBER(AS360),AS360&lt;=(C360+T360)),AS360,9E15))&lt;9E15,IF(AND(AND(J360=0,ISNUMBER(AP360),AP360&lt;=(C360+T360)),AP360=MIN(IF(AND(J360=0,ISNUMBER(AP360),AP360&lt;=(C360+T360)),AP360,9E15),IF(AND(K360=0,ISNUMBER(AQ360),AQ360&lt;=(C360+T360)),AQ360,9E15),IF(AND(L360=0,ISNUMBER(AR360),AR360&lt;=(C360+T360)),AR360,9E15),IF(AND(M360=0,ISNUMBER(AS360),AS360&lt;=(C360+T360)),AS360,9E15))),"BiP",IF(AND(AND(K360=0,ISNUMBER(AQ360),AQ360&lt;=(C360+T360)),AQ360=MIN(IF(AND(J360=0,ISNUMBER(AP360),AP360&lt;=(C360+T360)),AP360,9E15),IF(AND(K360=0,ISNUMBER(AQ360),AQ360&lt;=(C360+T360)),AQ360,9E15),IF(AND(L360=0,ISNUMBER(AR360),AR360&lt;=(C360+T360)),AR360,9E15),IF(AND(M360=0,ISNUMBER(AS360),AS360&lt;=(C360+T360)),AS360,9E15))),"PV",IF(AND(AND(L360=0,ISNUMBER(AR360),AR360&lt;=(C360+T360)),AR360=MIN(IF(AND(J360=0,ISNUMBER(AP360),AP360&lt;=(C360+T360)),AP360,9E15),IF(AND(K360=0,ISNUMBER(AQ360),AQ360&lt;=(C360+T360)),AQ360,9E15),IF(AND(L360=0,ISNUMBER(AR360),AR360&lt;=(C360+T360)),AR360,9E15),IF(AND(M360=0,ISNUMBER(AS360),AS360&lt;=(C360+T360)),AS360,9E15))),"OC","MG"))),IF(AX360=TRUE,"",IF(MAX(IF(AND(NOT(AND(AU360=1,AT360&lt;&gt;1)),ISNUMBER(AK360),AK360&lt;=(C360+T360)),AY360,0),IF(AND(NOT(AND(AU360=1,AT360&lt;&gt;1)),ISNUMBER(AL360),AL360&lt;=(C360+T360)),AZ360,0),IF(AND(NOT(AND(AU360=1,AT360&lt;&gt;1)),ISNUMBER(AM360),AM360&lt;=(C360+T360)),BA360,0),IF(AND(NOT(AND(AU360=1,AT360&lt;&gt;1)),ISNUMBER(AN360),AN360&lt;=(C360+T360)),BB360,0),IF(AND(ISNUMBER(AO360),AO360&lt;=(C360+T360)),BC360,0))&lt;=0,"",IF(AND(IF(AND(NOT(AND(AU360=1,AT360&lt;&gt;1)),ISNUMBER(AK360),AK360&lt;=(C360+T360)),AY360,0)&gt;0,IF(AND(NOT(AND(AU360=1,AT360&lt;&gt;1)),ISNUMBER(AK360),AK360&lt;=(C360+T360)),AY360,0)=MAX(IF(AND(NOT(AND(AU360=1,AT360&lt;&gt;1)),ISNUMBER(AK360),AK360&lt;=(C360+T360)),AY360,0),IF(AND(NOT(AND(AU360=1,AT360&lt;&gt;1)),ISNUMBER(AL360),AL360&lt;=(C360+T360)),AZ360,0),IF(AND(NOT(AND(AU360=1,AT360&lt;&gt;1)),ISNUMBER(AM360),AM360&lt;=(C360+T360)),BA360,0),IF(AND(NOT(AND(AU360=1,AT360&lt;&gt;1)),ISNUMBER(AN360),AN360&lt;=(C360+T360)),BB360,0),IF(AND(ISNUMBER(AO360),AO360&lt;=(C360+T360)),BC360,0))),"SK",IF(AND(IF(AND(NOT(AND(AU360=1,AT360&lt;&gt;1)),ISNUMBER(AL360),AL360&lt;=(C360+T360)),AZ360,0)&gt;0,IF(AND(NOT(AND(AU360=1,AT360&lt;&gt;1)),ISNUMBER(AL360),AL360&lt;=(C360+T360)),AZ360,0)=MAX(IF(AND(NOT(AND(AU360=1,AT360&lt;&gt;1)),ISNUMBER(AK360),AK360&lt;=(C360+T360)),AY360,0),IF(AND(NOT(AND(AU360=1,AT360&lt;&gt;1)),ISNUMBER(AL360),AL360&lt;=(C360+T360)),AZ360,0),IF(AND(NOT(AND(AU360=1,AT360&lt;&gt;1)),ISNUMBER(AM360),AM360&lt;=(C360+T360)),BA360,0),IF(AND(NOT(AND(AU360=1,AT360&lt;&gt;1)),ISNUMBER(AN360),AN360&lt;=(C360+T360)),BB360,0),IF(AND(ISNUMBER(AO360),AO360&lt;=(C360+T360)),BC360,0))),"LB",IF(AND(IF(AND(NOT(AND(AU360=1,AT360&lt;&gt;1)),ISNUMBER(AM360),AM360&lt;=(C360+T360)),BA360,0)&gt;0,IF(AND(NOT(AND(AU360=1,AT360&lt;&gt;1)),ISNUMBER(AM360),AM360&lt;=(C360+T360)),BA360,0)=MAX(IF(AND(NOT(AND(AU360=1,AT360&lt;&gt;1)),ISNUMBER(AK360),AK360&lt;=(C360+T360)),AY360,0),IF(AND(NOT(AND(AU360=1,AT360&lt;&gt;1)),ISNUMBER(AL360),AL360&lt;=(C360+T360)),AZ360,0),IF(AND(NOT(AND(AU360=1,AT360&lt;&gt;1)),ISNUMBER(AM360),AM360&lt;=(C360+T360)),BA360,0),IF(AND(NOT(AND(AU360=1,AT360&lt;&gt;1)),ISNUMBER(AN360),AN360&lt;=(C360+T360)),BB360,0),IF(AND(ISNUMBER(AO360),AO360&lt;=(C360+T360)),BC360,0))),"ML",IF(AND(IF(AND(NOT(AND(AU360=1,AT360&lt;&gt;1)),ISNUMBER(AN360),AN360&lt;=(C360+T360)),BB360,0)&gt;0,IF(AND(NOT(AND(AU360=1,AT360&lt;&gt;1)),ISNUMBER(AN360),AN360&lt;=(C360+T360)),BB360,0)=MAX(IF(AND(NOT(AND(AU360=1,AT360&lt;&gt;1)),ISNUMBER(AK360),AK360&lt;=(C360+T360)),AY360,0),IF(AND(NOT(AND(AU360=1,AT360&lt;&gt;1)),ISNUMBER(AL360),AL360&lt;=(C360+T360)),AZ360,0),IF(AND(NOT(AND(AU360=1,AT360&lt;&gt;1)),ISNUMBER(AM360),AM360&lt;=(C360+T360)),BA360,0),IF(AND(NOT(AND(AU360=1,AT360&lt;&gt;1)),ISNUMBER(AN360),AN360&lt;=(C360+T360)),BB360,0),IF(AND(ISNUMBER(AO360),AO360&lt;=(C360+T360)),BC360,0))),"RLO","BD"))))))))</f>
        <v/>
      </c>
    </row>
    <row r="361">
      <c r="A361" s="26" t="n">
        <v>350</v>
      </c>
      <c r="B361" s="27">
        <f>A361*10/60</f>
        <v/>
      </c>
      <c r="C361" s="22">
        <f>X360</f>
        <v/>
      </c>
      <c r="D361" s="27">
        <f>D360+W360</f>
        <v/>
      </c>
      <c r="E361" s="26">
        <f>E360+IF(U360="SK",1,0)</f>
        <v/>
      </c>
      <c r="F361" s="26">
        <f>F360+IF(U360="LB",1,0)</f>
        <v/>
      </c>
      <c r="G361" s="26">
        <f>G360+IF(U360="ML",1,0)</f>
        <v/>
      </c>
      <c r="H361" s="26">
        <f>H360+IF(U360="RLO",1,0)</f>
        <v/>
      </c>
      <c r="I361" s="26">
        <f>I360+IF(U360="BD",1,0)</f>
        <v/>
      </c>
      <c r="J361" s="26">
        <f>MAX(J360,IF(U360="BiP",1,0))</f>
        <v/>
      </c>
      <c r="K361" s="26">
        <f>MAX(K360,IF(U360="PV",1,0))</f>
        <v/>
      </c>
      <c r="L361" s="26">
        <f>MAX(L360,IF(U360="OC",1,0))</f>
        <v/>
      </c>
      <c r="M361" s="26">
        <f>MAX(M360,IF(U360="MG",1,0))</f>
        <v/>
      </c>
      <c r="N361" s="26">
        <f>MAX(N360,IF(U360="transition",1,0))</f>
        <v/>
      </c>
      <c r="O361" s="28">
        <f>(Parameters!$B$9+(IF(E361=0,0,(Upgrades!$J$13+E361*Upgrades!$K$13)*POWER(Upgrades!$L$13,E361)))*(IF(Upgrades!$T$14="Stellar Kinematics",POWER(Upgrades!$U$14,F361),1)*IF(Upgrades!$T$15="Stellar Kinematics",POWER(Upgrades!$U$15,G361),1)*IF(Upgrades!$T$16="Stellar Kinematics",POWER(Upgrades!$U$16,H361),1)*IF(Upgrades!$T$17="Stellar Kinematics",POWER(Upgrades!$U$17,I361),1)*IF(Upgrades!$T$18="Stellar Kinematics",POWER(Upgrades!$U$18,J361),1)*IF(Upgrades!$T$19="Stellar Kinematics",POWER(Upgrades!$U$19,K361),1)*IF(Upgrades!$T$20="Stellar Kinematics",POWER(Upgrades!$U$20,L361),1)*IF(Upgrades!$T$21="Stellar Kinematics",POWER(Upgrades!$U$21,M361),1))+(IF(F361=0,0,(Upgrades!$J$14+F361*Upgrades!$K$14)*POWER(Upgrades!$L$14,F361)))*(IF(Upgrades!$T$13="Local Bubble",POWER(Upgrades!$U$13,E361),1)*IF(Upgrades!$T$15="Local Bubble",POWER(Upgrades!$U$15,G361),1)*IF(Upgrades!$T$16="Local Bubble",POWER(Upgrades!$U$16,H361),1)*IF(Upgrades!$T$17="Local Bubble",POWER(Upgrades!$U$17,I361),1)*IF(Upgrades!$T$18="Local Bubble",POWER(Upgrades!$U$18,J361),1)*IF(Upgrades!$T$19="Local Bubble",POWER(Upgrades!$U$19,K361),1)*IF(Upgrades!$T$20="Local Bubble",POWER(Upgrades!$U$20,L361),1)*IF(Upgrades!$T$21="Local Bubble",POWER(Upgrades!$U$21,M361),1))+(IF(G361=0,0,(Upgrades!$J$15+G361*Upgrades!$K$15)*POWER(Upgrades!$L$15,G361)))*(IF(Upgrades!$T$13="Microlensing",POWER(Upgrades!$U$13,E361),1)*IF(Upgrades!$T$14="Microlensing",POWER(Upgrades!$U$14,F361),1)*IF(Upgrades!$T$16="Microlensing",POWER(Upgrades!$U$16,H361),1)*IF(Upgrades!$T$17="Microlensing",POWER(Upgrades!$U$17,I361),1)*IF(Upgrades!$T$18="Microlensing",POWER(Upgrades!$U$18,J361),1)*IF(Upgrades!$T$19="Microlensing",POWER(Upgrades!$U$19,K361),1)*IF(Upgrades!$T$20="Microlensing",POWER(Upgrades!$U$20,L361),1)*IF(Upgrades!$T$21="Microlensing",POWER(Upgrades!$U$21,M361),1))+(IF(H361=0,0,(Upgrades!$J$16+H361*Upgrades!$K$16)*POWER(Upgrades!$L$16,H361)))*(IF(Upgrades!$T$13="Roche Lobe Overflow",POWER(Upgrades!$U$13,E361),1)*IF(Upgrades!$T$14="Roche Lobe Overflow",POWER(Upgrades!$U$14,F361),1)*IF(Upgrades!$T$15="Roche Lobe Overflow",POWER(Upgrades!$U$15,G361),1)*IF(Upgrades!$T$17="Roche Lobe Overflow",POWER(Upgrades!$U$17,I361),1)*IF(Upgrades!$T$18="Roche Lobe Overflow",POWER(Upgrades!$U$18,J361),1)*IF(Upgrades!$T$19="Roche Lobe Overflow",POWER(Upgrades!$U$19,K361),1)*IF(Upgrades!$T$20="Roche Lobe Overflow",POWER(Upgrades!$U$20,L361),1)*IF(Upgrades!$T$21="Roche Lobe Overflow",POWER(Upgrades!$U$21,M361),1))+(IF(I361=0,0,(Upgrades!$J$17+I361*Upgrades!$K$17)*POWER(Upgrades!$L$17,I361)))*(IF(Upgrades!$T$13="Brown Dwarf",POWER(Upgrades!$U$13,E361),1)*IF(Upgrades!$T$14="Brown Dwarf",POWER(Upgrades!$U$14,F361),1)*IF(Upgrades!$T$15="Brown Dwarf",POWER(Upgrades!$U$15,G361),1)*IF(Upgrades!$T$16="Brown Dwarf",POWER(Upgrades!$U$16,H361),1)*IF(Upgrades!$T$18="Brown Dwarf",POWER(Upgrades!$U$18,J361),1)*IF(Upgrades!$T$19="Brown Dwarf",POWER(Upgrades!$U$19,K361),1)*IF(Upgrades!$T$20="Brown Dwarf",POWER(Upgrades!$U$20,L361),1)*IF(Upgrades!$T$21="Brown Dwarf",POWER(Upgrades!$U$21,M361),1))+(IF(J361=0,0,(Upgrades!$J$18+J361*Upgrades!$K$18)*POWER(Upgrades!$L$18,J361)))*(IF(Upgrades!$T$13="Binary Partner",POWER(Upgrades!$U$13,E361),1)*IF(Upgrades!$T$14="Binary Partner",POWER(Upgrades!$U$14,F361),1)*IF(Upgrades!$T$15="Binary Partner",POWER(Upgrades!$U$15,G361),1)*IF(Upgrades!$T$16="Binary Partner",POWER(Upgrades!$U$16,H361),1)*IF(Upgrades!$T$17="Binary Partner",POWER(Upgrades!$U$17,I361),1)*IF(Upgrades!$T$19="Binary Partner",POWER(Upgrades!$U$19,K361),1)*IF(Upgrades!$T$20="Binary Partner",POWER(Upgrades!$U$20,L361),1)*IF(Upgrades!$T$21="Binary Partner",POWER(Upgrades!$U$21,M361),1))+(IF(K361=0,0,(Upgrades!$J$19+K361*Upgrades!$K$19)*POWER(Upgrades!$L$19,K361)))*(IF(Upgrades!$T$13="Peculiar Velocity",POWER(Upgrades!$U$13,E361),1)*IF(Upgrades!$T$14="Peculiar Velocity",POWER(Upgrades!$U$14,F361),1)*IF(Upgrades!$T$15="Peculiar Velocity",POWER(Upgrades!$U$15,G361),1)*IF(Upgrades!$T$16="Peculiar Velocity",POWER(Upgrades!$U$16,H361),1)*IF(Upgrades!$T$17="Peculiar Velocity",POWER(Upgrades!$U$17,I361),1)*IF(Upgrades!$T$18="Peculiar Velocity",POWER(Upgrades!$U$18,J361),1)*IF(Upgrades!$T$20="Peculiar Velocity",POWER(Upgrades!$U$20,L361),1)*IF(Upgrades!$T$21="Peculiar Velocity",POWER(Upgrades!$U$21,M361),1))+(IF(L361=0,0,(Upgrades!$J$20+L361*Upgrades!$K$20)*POWER(Upgrades!$L$20,L361)))*(IF(Upgrades!$T$13="Open Cluster",POWER(Upgrades!$U$13,E361),1)*IF(Upgrades!$T$14="Open Cluster",POWER(Upgrades!$U$14,F361),1)*IF(Upgrades!$T$15="Open Cluster",POWER(Upgrades!$U$15,G361),1)*IF(Upgrades!$T$16="Open Cluster",POWER(Upgrades!$U$16,H361),1)*IF(Upgrades!$T$17="Open Cluster",POWER(Upgrades!$U$17,I361),1)*IF(Upgrades!$T$18="Open Cluster",POWER(Upgrades!$U$18,J361),1)*IF(Upgrades!$T$19="Open Cluster",POWER(Upgrades!$U$19,K361),1)*IF(Upgrades!$T$21="Open Cluster",POWER(Upgrades!$U$21,M361),1))+(IF(M361=0,0,(Upgrades!$J$21+M361*Upgrades!$K$21)*POWER(Upgrades!$L$21,M361)))*(IF(Upgrades!$T$13="Moving Group",POWER(Upgrades!$U$13,E361),1)*IF(Upgrades!$T$14="Moving Group",POWER(Upgrades!$U$14,F361),1)*IF(Upgrades!$T$15="Moving Group",POWER(Upgrades!$U$15,G361),1)*IF(Upgrades!$T$16="Moving Group",POWER(Upgrades!$U$16,H361),1)*IF(Upgrades!$T$17="Moving Group",POWER(Upgrades!$U$17,I361),1)*IF(Upgrades!$T$18="Moving Group",POWER(Upgrades!$U$18,J361),1)*IF(Upgrades!$T$19="Moving Group",POWER(Upgrades!$U$19,K361),1)*IF(Upgrades!$T$20="Moving Group",POWER(Upgrades!$U$20,L361),1)))*POWER(Upgrades!$Q$13,E361)*POWER(Upgrades!$Q$14,F361)*POWER(Upgrades!$Q$15,G361)*POWER(Upgrades!$Q$16,H361)*POWER(Upgrades!$Q$17,I361)*POWER(Upgrades!$Q$18,J361)*POWER(Upgrades!$Q$19,K361)*POWER(Upgrades!$Q$20,L361)*POWER(Upgrades!$Q$21,M361)*$G$6+$D$6</f>
        <v/>
      </c>
      <c r="P361" s="28">
        <f>((IF(E361=0,0,(Upgrades!$G$13+E361*Upgrades!$H$13)*POWER(Upgrades!$I$13,E361)))*(IF(Upgrades!$T$14="Stellar Kinematics",POWER(Upgrades!$U$14,F361),1)*IF(Upgrades!$T$15="Stellar Kinematics",POWER(Upgrades!$U$15,G361),1)*IF(Upgrades!$T$16="Stellar Kinematics",POWER(Upgrades!$U$16,H361),1)*IF(Upgrades!$T$17="Stellar Kinematics",POWER(Upgrades!$U$17,I361),1)*IF(Upgrades!$T$18="Stellar Kinematics",POWER(Upgrades!$U$18,J361),1)*IF(Upgrades!$T$19="Stellar Kinematics",POWER(Upgrades!$U$19,K361),1)*IF(Upgrades!$T$20="Stellar Kinematics",POWER(Upgrades!$U$20,L361),1)*IF(Upgrades!$T$21="Stellar Kinematics",POWER(Upgrades!$U$21,M361),1))+(IF(F361=0,0,(Upgrades!$G$14+F361*Upgrades!$H$14)*POWER(Upgrades!$I$14,F361)))*(IF(Upgrades!$T$13="Local Bubble",POWER(Upgrades!$U$13,E361),1)*IF(Upgrades!$T$15="Local Bubble",POWER(Upgrades!$U$15,G361),1)*IF(Upgrades!$T$16="Local Bubble",POWER(Upgrades!$U$16,H361),1)*IF(Upgrades!$T$17="Local Bubble",POWER(Upgrades!$U$17,I361),1)*IF(Upgrades!$T$18="Local Bubble",POWER(Upgrades!$U$18,J361),1)*IF(Upgrades!$T$19="Local Bubble",POWER(Upgrades!$U$19,K361),1)*IF(Upgrades!$T$20="Local Bubble",POWER(Upgrades!$U$20,L361),1)*IF(Upgrades!$T$21="Local Bubble",POWER(Upgrades!$U$21,M361),1))+(IF(G361=0,0,(Upgrades!$G$15+G361*Upgrades!$H$15)*POWER(Upgrades!$I$15,G361)))*(IF(Upgrades!$T$13="Microlensing",POWER(Upgrades!$U$13,E361),1)*IF(Upgrades!$T$14="Microlensing",POWER(Upgrades!$U$14,F361),1)*IF(Upgrades!$T$16="Microlensing",POWER(Upgrades!$U$16,H361),1)*IF(Upgrades!$T$17="Microlensing",POWER(Upgrades!$U$17,I361),1)*IF(Upgrades!$T$18="Microlensing",POWER(Upgrades!$U$18,J361),1)*IF(Upgrades!$T$19="Microlensing",POWER(Upgrades!$U$19,K361),1)*IF(Upgrades!$T$20="Microlensing",POWER(Upgrades!$U$20,L361),1)*IF(Upgrades!$T$21="Microlensing",POWER(Upgrades!$U$21,M361),1))+(IF(H361=0,0,(Upgrades!$G$16+H361*Upgrades!$H$16)*POWER(Upgrades!$I$16,H361)))*(IF(Upgrades!$T$13="Roche Lobe Overflow",POWER(Upgrades!$U$13,E361),1)*IF(Upgrades!$T$14="Roche Lobe Overflow",POWER(Upgrades!$U$14,F361),1)*IF(Upgrades!$T$15="Roche Lobe Overflow",POWER(Upgrades!$U$15,G361),1)*IF(Upgrades!$T$17="Roche Lobe Overflow",POWER(Upgrades!$U$17,I361),1)*IF(Upgrades!$T$18="Roche Lobe Overflow",POWER(Upgrades!$U$18,J361),1)*IF(Upgrades!$T$19="Roche Lobe Overflow",POWER(Upgrades!$U$19,K361),1)*IF(Upgrades!$T$20="Roche Lobe Overflow",POWER(Upgrades!$U$20,L361),1)*IF(Upgrades!$T$21="Roche Lobe Overflow",POWER(Upgrades!$U$21,M361),1))+(IF(I361=0,0,(Upgrades!$G$17+I361*Upgrades!$H$17)*POWER(Upgrades!$I$17,I361)))*(IF(Upgrades!$T$13="Brown Dwarf",POWER(Upgrades!$U$13,E361),1)*IF(Upgrades!$T$14="Brown Dwarf",POWER(Upgrades!$U$14,F361),1)*IF(Upgrades!$T$15="Brown Dwarf",POWER(Upgrades!$U$15,G361),1)*IF(Upgrades!$T$16="Brown Dwarf",POWER(Upgrades!$U$16,H361),1)*IF(Upgrades!$T$18="Brown Dwarf",POWER(Upgrades!$U$18,J361),1)*IF(Upgrades!$T$19="Brown Dwarf",POWER(Upgrades!$U$19,K361),1)*IF(Upgrades!$T$20="Brown Dwarf",POWER(Upgrades!$U$20,L361),1)*IF(Upgrades!$T$21="Brown Dwarf",POWER(Upgrades!$U$21,M361),1))+(IF(J361=0,0,(Upgrades!$G$18+J361*Upgrades!$H$18)*POWER(Upgrades!$I$18,J361)))*(IF(Upgrades!$T$13="Binary Partner",POWER(Upgrades!$U$13,E361),1)*IF(Upgrades!$T$14="Binary Partner",POWER(Upgrades!$U$14,F361),1)*IF(Upgrades!$T$15="Binary Partner",POWER(Upgrades!$U$15,G361),1)*IF(Upgrades!$T$16="Binary Partner",POWER(Upgrades!$U$16,H361),1)*IF(Upgrades!$T$17="Binary Partner",POWER(Upgrades!$U$17,I361),1)*IF(Upgrades!$T$19="Binary Partner",POWER(Upgrades!$U$19,K361),1)*IF(Upgrades!$T$20="Binary Partner",POWER(Upgrades!$U$20,L361),1)*IF(Upgrades!$T$21="Binary Partner",POWER(Upgrades!$U$21,M361),1))+(IF(K361=0,0,(Upgrades!$G$19+K361*Upgrades!$H$19)*POWER(Upgrades!$I$19,K361)))*(IF(Upgrades!$T$13="Peculiar Velocity",POWER(Upgrades!$U$13,E361),1)*IF(Upgrades!$T$14="Peculiar Velocity",POWER(Upgrades!$U$14,F361),1)*IF(Upgrades!$T$15="Peculiar Velocity",POWER(Upgrades!$U$15,G361),1)*IF(Upgrades!$T$16="Peculiar Velocity",POWER(Upgrades!$U$16,H361),1)*IF(Upgrades!$T$17="Peculiar Velocity",POWER(Upgrades!$U$17,I361),1)*IF(Upgrades!$T$18="Peculiar Velocity",POWER(Upgrades!$U$18,J361),1)*IF(Upgrades!$T$20="Peculiar Velocity",POWER(Upgrades!$U$20,L361),1)*IF(Upgrades!$T$21="Peculiar Velocity",POWER(Upgrades!$U$21,M361),1))+(IF(L361=0,0,(Upgrades!$G$20+L361*Upgrades!$H$20)*POWER(Upgrades!$I$20,L361)))*(IF(Upgrades!$T$13="Open Cluster",POWER(Upgrades!$U$13,E361),1)*IF(Upgrades!$T$14="Open Cluster",POWER(Upgrades!$U$14,F361),1)*IF(Upgrades!$T$15="Open Cluster",POWER(Upgrades!$U$15,G361),1)*IF(Upgrades!$T$16="Open Cluster",POWER(Upgrades!$U$16,H361),1)*IF(Upgrades!$T$17="Open Cluster",POWER(Upgrades!$U$17,I361),1)*IF(Upgrades!$T$18="Open Cluster",POWER(Upgrades!$U$18,J361),1)*IF(Upgrades!$T$19="Open Cluster",POWER(Upgrades!$U$19,K361),1)*IF(Upgrades!$T$21="Open Cluster",POWER(Upgrades!$U$21,M361),1))+(IF(M361=0,0,(Upgrades!$G$21+M361*Upgrades!$H$21)*POWER(Upgrades!$I$21,M361)))*(IF(Upgrades!$T$13="Moving Group",POWER(Upgrades!$U$13,E361),1)*IF(Upgrades!$T$14="Moving Group",POWER(Upgrades!$U$14,F361),1)*IF(Upgrades!$T$15="Moving Group",POWER(Upgrades!$U$15,G361),1)*IF(Upgrades!$T$16="Moving Group",POWER(Upgrades!$U$16,H361),1)*IF(Upgrades!$T$17="Moving Group",POWER(Upgrades!$U$17,I361),1)*IF(Upgrades!$T$18="Moving Group",POWER(Upgrades!$U$18,J361),1)*IF(Upgrades!$T$19="Moving Group",POWER(Upgrades!$U$19,K361),1)*IF(Upgrades!$T$20="Moving Group",POWER(Upgrades!$U$20,L361),1)))*POWER(Upgrades!$P$13,E361)*POWER(Upgrades!$P$14,F361)*POWER(Upgrades!$P$15,G361)*POWER(Upgrades!$P$16,H361)*POWER(Upgrades!$P$17,I361)*POWER(Upgrades!$P$18,J361)*POWER(Upgrades!$P$19,K361)*POWER(Upgrades!$P$20,L361)*POWER(Upgrades!$P$21,M361)*$F$6+$C$6</f>
        <v/>
      </c>
      <c r="Q361" s="28">
        <f>((IF(E361=0,0,(Upgrades!$M$13+E361*Upgrades!$N$13)*POWER(Upgrades!$O$13,E361)))*(IF(Upgrades!$T$14="Stellar Kinematics",POWER(Upgrades!$U$14,F361),1)*IF(Upgrades!$T$15="Stellar Kinematics",POWER(Upgrades!$U$15,G361),1)*IF(Upgrades!$T$16="Stellar Kinematics",POWER(Upgrades!$U$16,H361),1)*IF(Upgrades!$T$17="Stellar Kinematics",POWER(Upgrades!$U$17,I361),1)*IF(Upgrades!$T$18="Stellar Kinematics",POWER(Upgrades!$U$18,J361),1)*IF(Upgrades!$T$19="Stellar Kinematics",POWER(Upgrades!$U$19,K361),1)*IF(Upgrades!$T$20="Stellar Kinematics",POWER(Upgrades!$U$20,L361),1)*IF(Upgrades!$T$21="Stellar Kinematics",POWER(Upgrades!$U$21,M361),1))+(IF(F361=0,0,(Upgrades!$M$14+F361*Upgrades!$N$14)*POWER(Upgrades!$O$14,F361)))*(IF(Upgrades!$T$13="Local Bubble",POWER(Upgrades!$U$13,E361),1)*IF(Upgrades!$T$15="Local Bubble",POWER(Upgrades!$U$15,G361),1)*IF(Upgrades!$T$16="Local Bubble",POWER(Upgrades!$U$16,H361),1)*IF(Upgrades!$T$17="Local Bubble",POWER(Upgrades!$U$17,I361),1)*IF(Upgrades!$T$18="Local Bubble",POWER(Upgrades!$U$18,J361),1)*IF(Upgrades!$T$19="Local Bubble",POWER(Upgrades!$U$19,K361),1)*IF(Upgrades!$T$20="Local Bubble",POWER(Upgrades!$U$20,L361),1)*IF(Upgrades!$T$21="Local Bubble",POWER(Upgrades!$U$21,M361),1))+(IF(G361=0,0,(Upgrades!$M$15+G361*Upgrades!$N$15)*POWER(Upgrades!$O$15,G361)))*(IF(Upgrades!$T$13="Microlensing",POWER(Upgrades!$U$13,E361),1)*IF(Upgrades!$T$14="Microlensing",POWER(Upgrades!$U$14,F361),1)*IF(Upgrades!$T$16="Microlensing",POWER(Upgrades!$U$16,H361),1)*IF(Upgrades!$T$17="Microlensing",POWER(Upgrades!$U$17,I361),1)*IF(Upgrades!$T$18="Microlensing",POWER(Upgrades!$U$18,J361),1)*IF(Upgrades!$T$19="Microlensing",POWER(Upgrades!$U$19,K361),1)*IF(Upgrades!$T$20="Microlensing",POWER(Upgrades!$U$20,L361),1)*IF(Upgrades!$T$21="Microlensing",POWER(Upgrades!$U$21,M361),1))+(IF(H361=0,0,(Upgrades!$M$16+H361*Upgrades!$N$16)*POWER(Upgrades!$O$16,H361)))*(IF(Upgrades!$T$13="Roche Lobe Overflow",POWER(Upgrades!$U$13,E361),1)*IF(Upgrades!$T$14="Roche Lobe Overflow",POWER(Upgrades!$U$14,F361),1)*IF(Upgrades!$T$15="Roche Lobe Overflow",POWER(Upgrades!$U$15,G361),1)*IF(Upgrades!$T$17="Roche Lobe Overflow",POWER(Upgrades!$U$17,I361),1)*IF(Upgrades!$T$18="Roche Lobe Overflow",POWER(Upgrades!$U$18,J361),1)*IF(Upgrades!$T$19="Roche Lobe Overflow",POWER(Upgrades!$U$19,K361),1)*IF(Upgrades!$T$20="Roche Lobe Overflow",POWER(Upgrades!$U$20,L361),1)*IF(Upgrades!$T$21="Roche Lobe Overflow",POWER(Upgrades!$U$21,M361),1))+(IF(I361=0,0,(Upgrades!$M$17+I361*Upgrades!$N$17)*POWER(Upgrades!$O$17,I361)))*(IF(Upgrades!$T$13="Brown Dwarf",POWER(Upgrades!$U$13,E361),1)*IF(Upgrades!$T$14="Brown Dwarf",POWER(Upgrades!$U$14,F361),1)*IF(Upgrades!$T$15="Brown Dwarf",POWER(Upgrades!$U$15,G361),1)*IF(Upgrades!$T$16="Brown Dwarf",POWER(Upgrades!$U$16,H361),1)*IF(Upgrades!$T$18="Brown Dwarf",POWER(Upgrades!$U$18,J361),1)*IF(Upgrades!$T$19="Brown Dwarf",POWER(Upgrades!$U$19,K361),1)*IF(Upgrades!$T$20="Brown Dwarf",POWER(Upgrades!$U$20,L361),1)*IF(Upgrades!$T$21="Brown Dwarf",POWER(Upgrades!$U$21,M361),1))+(IF(J361=0,0,(Upgrades!$M$18+J361*Upgrades!$N$18)*POWER(Upgrades!$O$18,J361)))*(IF(Upgrades!$T$13="Binary Partner",POWER(Upgrades!$U$13,E361),1)*IF(Upgrades!$T$14="Binary Partner",POWER(Upgrades!$U$14,F361),1)*IF(Upgrades!$T$15="Binary Partner",POWER(Upgrades!$U$15,G361),1)*IF(Upgrades!$T$16="Binary Partner",POWER(Upgrades!$U$16,H361),1)*IF(Upgrades!$T$17="Binary Partner",POWER(Upgrades!$U$17,I361),1)*IF(Upgrades!$T$19="Binary Partner",POWER(Upgrades!$U$19,K361),1)*IF(Upgrades!$T$20="Binary Partner",POWER(Upgrades!$U$20,L361),1)*IF(Upgrades!$T$21="Binary Partner",POWER(Upgrades!$U$21,M361),1))+(IF(K361=0,0,(Upgrades!$M$19+K361*Upgrades!$N$19)*POWER(Upgrades!$O$19,K361)))*(IF(Upgrades!$T$13="Peculiar Velocity",POWER(Upgrades!$U$13,E361),1)*IF(Upgrades!$T$14="Peculiar Velocity",POWER(Upgrades!$U$14,F361),1)*IF(Upgrades!$T$15="Peculiar Velocity",POWER(Upgrades!$U$15,G361),1)*IF(Upgrades!$T$16="Peculiar Velocity",POWER(Upgrades!$U$16,H361),1)*IF(Upgrades!$T$17="Peculiar Velocity",POWER(Upgrades!$U$17,I361),1)*IF(Upgrades!$T$18="Peculiar Velocity",POWER(Upgrades!$U$18,J361),1)*IF(Upgrades!$T$20="Peculiar Velocity",POWER(Upgrades!$U$20,L361),1)*IF(Upgrades!$T$21="Peculiar Velocity",POWER(Upgrades!$U$21,M361),1))+(IF(L361=0,0,(Upgrades!$M$20+L361*Upgrades!$N$20)*POWER(Upgrades!$O$20,L361)))*(IF(Upgrades!$T$13="Open Cluster",POWER(Upgrades!$U$13,E361),1)*IF(Upgrades!$T$14="Open Cluster",POWER(Upgrades!$U$14,F361),1)*IF(Upgrades!$T$15="Open Cluster",POWER(Upgrades!$U$15,G361),1)*IF(Upgrades!$T$16="Open Cluster",POWER(Upgrades!$U$16,H361),1)*IF(Upgrades!$T$17="Open Cluster",POWER(Upgrades!$U$17,I361),1)*IF(Upgrades!$T$18="Open Cluster",POWER(Upgrades!$U$18,J361),1)*IF(Upgrades!$T$19="Open Cluster",POWER(Upgrades!$U$19,K361),1)*IF(Upgrades!$T$21="Open Cluster",POWER(Upgrades!$U$21,M361),1))+(IF(M361=0,0,(Upgrades!$M$21+M361*Upgrades!$N$21)*POWER(Upgrades!$O$21,M361)))*(IF(Upgrades!$T$13="Moving Group",POWER(Upgrades!$U$13,E361),1)*IF(Upgrades!$T$14="Moving Group",POWER(Upgrades!$U$14,F361),1)*IF(Upgrades!$T$15="Moving Group",POWER(Upgrades!$U$15,G361),1)*IF(Upgrades!$T$16="Moving Group",POWER(Upgrades!$U$16,H361),1)*IF(Upgrades!$T$17="Moving Group",POWER(Upgrades!$U$17,I361),1)*IF(Upgrades!$T$18="Moving Group",POWER(Upgrades!$U$18,J361),1)*IF(Upgrades!$T$19="Moving Group",POWER(Upgrades!$U$19,K361),1)*IF(Upgrades!$T$20="Moving Group",POWER(Upgrades!$U$20,L361),1)))*POWER(Upgrades!$R$13,E361)*POWER(Upgrades!$R$14,F361)*POWER(Upgrades!$R$15,G361)*POWER(Upgrades!$R$16,H361)*POWER(Upgrades!$R$17,I361)*POWER(Upgrades!$R$18,J361)*POWER(Upgrades!$R$19,K361)*POWER(Upgrades!$R$20,L361)*POWER(Upgrades!$R$21,M361)*$H$6+$E$6</f>
        <v/>
      </c>
      <c r="R361" s="27">
        <f>IF(N361=1,0,O361*Parameters!$B$10/60*Parameters!$B$11*10)</f>
        <v/>
      </c>
      <c r="S361" s="27">
        <f>IF(N361=1,0,Q361*O361*10)</f>
        <v/>
      </c>
      <c r="T361" s="27">
        <f>IF(N361=1,0,R361+S361+P361*10)</f>
        <v/>
      </c>
      <c r="U361" s="33">
        <f>BE361</f>
        <v/>
      </c>
      <c r="V361" s="22">
        <f>IF(U361="",0,IF(U361="transition",0,IF(U361="SK",AK361,IF(U361="LB",AL361,IF(U361="ML",AM361,IF(U361="RLO",AN361,IF(U361="BD",AO361,IF(U361="BiP",AP361,IF(U361="PV",AQ361,IF(U361="OC",AR361,IF(U361="MG",AS361,0))))))))))</f>
        <v/>
      </c>
      <c r="W361" s="27">
        <f>IF(U361="BiP",Upgrades!$F$18,IF(U361="PV",Upgrades!$F$19,IF(U361="OC",Upgrades!$F$20,IF(U361="MG",Upgrades!$F$21,IF(U361="transition",-Parameters!$B$18*Parameters!$B$19,0)))))</f>
        <v/>
      </c>
      <c r="X361" s="22">
        <f>C361+T361-V361</f>
        <v/>
      </c>
      <c r="Y361" s="30">
        <f>O361*Parameters!$B$10/60*Parameters!$B$11+Q361*O361+P361</f>
        <v/>
      </c>
      <c r="Z361" s="34">
        <f>IF(U361="transition","→ Tier 3 (Galactic Arm)",IF(U361="MG","Moving Group — pocket drifts together",IF(U361="OC","Open Cluster acquired",IF(U361="PV","Peculiar Velocity — passive multiplier active",IF(U361="BiP","Binary Partner — pair bond formed",IF(AND(AU361=1,N361=0,AT361&lt;&gt;1),"Cohesion ready (waiting on completionists)","")))))) </f>
        <v/>
      </c>
      <c r="AA361" s="27">
        <f>(IF(E361=0,0,(Upgrades!$G$13+E361*Upgrades!$H$13)*POWER(Upgrades!$I$13,E361)))*(IF(Upgrades!$T$14="Stellar Kinematics",POWER(Upgrades!$U$14,F361),1)*IF(Upgrades!$T$15="Stellar Kinematics",POWER(Upgrades!$U$15,G361),1)*IF(Upgrades!$T$16="Stellar Kinematics",POWER(Upgrades!$U$16,H361),1)*IF(Upgrades!$T$17="Stellar Kinematics",POWER(Upgrades!$U$17,I361),1)*IF(Upgrades!$T$18="Stellar Kinematics",POWER(Upgrades!$U$18,J361),1)*IF(Upgrades!$T$19="Stellar Kinematics",POWER(Upgrades!$U$19,K361),1)*IF(Upgrades!$T$20="Stellar Kinematics",POWER(Upgrades!$U$20,L361),1)*IF(Upgrades!$T$21="Stellar Kinematics",POWER(Upgrades!$U$21,M361),1))*POWER(Upgrades!$P$13,E361)*POWER(Upgrades!$P$14,F361)*POWER(Upgrades!$P$15,G361)*POWER(Upgrades!$P$16,H361)*POWER(Upgrades!$P$17,I361)*POWER(Upgrades!$P$18,J361)*POWER(Upgrades!$P$19,K361)*POWER(Upgrades!$P$20,L361)*POWER(Upgrades!$P$21,M361)*$F$6*60</f>
        <v/>
      </c>
      <c r="AB361" s="27">
        <f>(IF(F361=0,0,(Upgrades!$G$14+F361*Upgrades!$H$14)*POWER(Upgrades!$I$14,F361)))*(IF(Upgrades!$T$13="Local Bubble",POWER(Upgrades!$U$13,E361),1)*IF(Upgrades!$T$15="Local Bubble",POWER(Upgrades!$U$15,G361),1)*IF(Upgrades!$T$16="Local Bubble",POWER(Upgrades!$U$16,H361),1)*IF(Upgrades!$T$17="Local Bubble",POWER(Upgrades!$U$17,I361),1)*IF(Upgrades!$T$18="Local Bubble",POWER(Upgrades!$U$18,J361),1)*IF(Upgrades!$T$19="Local Bubble",POWER(Upgrades!$U$19,K361),1)*IF(Upgrades!$T$20="Local Bubble",POWER(Upgrades!$U$20,L361),1)*IF(Upgrades!$T$21="Local Bubble",POWER(Upgrades!$U$21,M361),1))*POWER(Upgrades!$P$13,E361)*POWER(Upgrades!$P$14,F361)*POWER(Upgrades!$P$15,G361)*POWER(Upgrades!$P$16,H361)*POWER(Upgrades!$P$17,I361)*POWER(Upgrades!$P$18,J361)*POWER(Upgrades!$P$19,K361)*POWER(Upgrades!$P$20,L361)*POWER(Upgrades!$P$21,M361)*$F$6*60</f>
        <v/>
      </c>
      <c r="AC361" s="27">
        <f>(IF(G361=0,0,(Upgrades!$J$15+G361*Upgrades!$K$15)*POWER(Upgrades!$L$15,G361)))*(IF(Upgrades!$T$13="Microlensing",POWER(Upgrades!$U$13,E361),1)*IF(Upgrades!$T$14="Microlensing",POWER(Upgrades!$U$14,F361),1)*IF(Upgrades!$T$16="Microlensing",POWER(Upgrades!$U$16,H361),1)*IF(Upgrades!$T$17="Microlensing",POWER(Upgrades!$U$17,I361),1)*IF(Upgrades!$T$18="Microlensing",POWER(Upgrades!$U$18,J361),1)*IF(Upgrades!$T$19="Microlensing",POWER(Upgrades!$U$19,K361),1)*IF(Upgrades!$T$20="Microlensing",POWER(Upgrades!$U$20,L361),1)*IF(Upgrades!$T$21="Microlensing",POWER(Upgrades!$U$21,M361),1))*POWER(Upgrades!$Q$13,E361)*POWER(Upgrades!$Q$14,F361)*POWER(Upgrades!$Q$15,G361)*POWER(Upgrades!$Q$16,H361)*POWER(Upgrades!$Q$17,I361)*POWER(Upgrades!$Q$18,J361)*POWER(Upgrades!$Q$19,K361)*POWER(Upgrades!$Q$20,L361)*POWER(Upgrades!$Q$21,M361)*$G$6*(Parameters!$B$10*Parameters!$B$11+Q361*60)</f>
        <v/>
      </c>
      <c r="AD361" s="27">
        <f>(IF(H361=0,0,(Upgrades!$M$16+H361*Upgrades!$N$16)*POWER(Upgrades!$O$16,H361)))*(IF(Upgrades!$T$13="Roche Lobe Overflow",POWER(Upgrades!$U$13,E361),1)*IF(Upgrades!$T$14="Roche Lobe Overflow",POWER(Upgrades!$U$14,F361),1)*IF(Upgrades!$T$15="Roche Lobe Overflow",POWER(Upgrades!$U$15,G361),1)*IF(Upgrades!$T$17="Roche Lobe Overflow",POWER(Upgrades!$U$17,I361),1)*IF(Upgrades!$T$18="Roche Lobe Overflow",POWER(Upgrades!$U$18,J361),1)*IF(Upgrades!$T$19="Roche Lobe Overflow",POWER(Upgrades!$U$19,K361),1)*IF(Upgrades!$T$20="Roche Lobe Overflow",POWER(Upgrades!$U$20,L361),1)*IF(Upgrades!$T$21="Roche Lobe Overflow",POWER(Upgrades!$U$21,M361),1))*POWER(Upgrades!$R$13,E361)*POWER(Upgrades!$R$14,F361)*POWER(Upgrades!$R$15,G361)*POWER(Upgrades!$R$16,H361)*POWER(Upgrades!$R$17,I361)*POWER(Upgrades!$R$18,J361)*POWER(Upgrades!$R$19,K361)*POWER(Upgrades!$R$20,L361)*POWER(Upgrades!$R$21,M361)*$H$6*O361*60</f>
        <v/>
      </c>
      <c r="AE361" s="27">
        <f>(IF(I361=0,0,(Upgrades!$G$17+I361*Upgrades!$H$17)*POWER(Upgrades!$I$17,I361)))*(IF(Upgrades!$T$13="Brown Dwarf",POWER(Upgrades!$U$13,E361),1)*IF(Upgrades!$T$14="Brown Dwarf",POWER(Upgrades!$U$14,F361),1)*IF(Upgrades!$T$15="Brown Dwarf",POWER(Upgrades!$U$15,G361),1)*IF(Upgrades!$T$16="Brown Dwarf",POWER(Upgrades!$U$16,H361),1)*IF(Upgrades!$T$18="Brown Dwarf",POWER(Upgrades!$U$18,J361),1)*IF(Upgrades!$T$19="Brown Dwarf",POWER(Upgrades!$U$19,K361),1)*IF(Upgrades!$T$20="Brown Dwarf",POWER(Upgrades!$U$20,L361),1)*IF(Upgrades!$T$21="Brown Dwarf",POWER(Upgrades!$U$21,M361),1))*POWER(Upgrades!$P$13,E361)*POWER(Upgrades!$P$14,F361)*POWER(Upgrades!$P$15,G361)*POWER(Upgrades!$P$16,H361)*POWER(Upgrades!$P$17,I361)*POWER(Upgrades!$P$18,J361)*POWER(Upgrades!$P$19,K361)*POWER(Upgrades!$P$20,L361)*POWER(Upgrades!$P$21,M361)*$F$6*60</f>
        <v/>
      </c>
      <c r="AF361" s="27" t="n">
        <v>0</v>
      </c>
      <c r="AG361" s="27" t="n">
        <v>0</v>
      </c>
      <c r="AH361" s="27" t="n">
        <v>0</v>
      </c>
      <c r="AI361" s="27">
        <f>(IF(M361=0,0,(Upgrades!$G$21+M361*Upgrades!$H$21)*POWER(Upgrades!$I$21,M361)))*(IF(Upgrades!$T$13="Moving Group",POWER(Upgrades!$U$13,E361),1)*IF(Upgrades!$T$14="Moving Group",POWER(Upgrades!$U$14,F361),1)*IF(Upgrades!$T$15="Moving Group",POWER(Upgrades!$U$15,G361),1)*IF(Upgrades!$T$16="Moving Group",POWER(Upgrades!$U$16,H361),1)*IF(Upgrades!$T$17="Moving Group",POWER(Upgrades!$U$17,I361),1)*IF(Upgrades!$T$18="Moving Group",POWER(Upgrades!$U$18,J361),1)*IF(Upgrades!$T$19="Moving Group",POWER(Upgrades!$U$19,K361),1)*IF(Upgrades!$T$20="Moving Group",POWER(Upgrades!$U$20,L361),1))*POWER(Upgrades!$P$13,E361)*POWER(Upgrades!$P$14,F361)*POWER(Upgrades!$P$15,G361)*POWER(Upgrades!$P$16,H361)*POWER(Upgrades!$P$17,I361)*POWER(Upgrades!$P$18,J361)*POWER(Upgrades!$P$19,K361)*POWER(Upgrades!$P$20,L361)*POWER(Upgrades!$P$21,M361)*$F$6*60</f>
        <v/>
      </c>
      <c r="AJ361" s="27">
        <f>$C$6*60</f>
        <v/>
      </c>
      <c r="AK361" s="22">
        <f>IF(E361&gt;=Upgrades!$E$13,"",Upgrades!$C$13*POWER(Upgrades!$D$13,E361))</f>
        <v/>
      </c>
      <c r="AL361" s="22">
        <f>IF(F361&gt;=Upgrades!$E$14,"",Upgrades!$C$14*POWER(Upgrades!$D$14,F361))</f>
        <v/>
      </c>
      <c r="AM361" s="22">
        <f>IF(G361&gt;=Upgrades!$E$15,"",Upgrades!$C$15*POWER(Upgrades!$D$15,G361))</f>
        <v/>
      </c>
      <c r="AN361" s="22">
        <f>IF(H361&gt;=Upgrades!$E$16,"",Upgrades!$C$16*POWER(Upgrades!$D$16,H361))</f>
        <v/>
      </c>
      <c r="AO361" s="22">
        <f>IF(I361&gt;=Upgrades!$E$17,"",Upgrades!$C$17*POWER(Upgrades!$D$17,I361))</f>
        <v/>
      </c>
      <c r="AP361" s="22">
        <f>IF(J361&gt;=Upgrades!$E$18,"",Upgrades!$C$18*POWER(Upgrades!$D$18,J361))</f>
        <v/>
      </c>
      <c r="AQ361" s="22">
        <f>IF(K361&gt;=Upgrades!$E$19,"",Upgrades!$C$19*POWER(Upgrades!$D$19,K361))</f>
        <v/>
      </c>
      <c r="AR361" s="22">
        <f>IF(L361&gt;=Upgrades!$E$20,"",Upgrades!$C$20*POWER(Upgrades!$D$20,L361))</f>
        <v/>
      </c>
      <c r="AS361" s="22">
        <f>IF(M361&gt;=Upgrades!$E$21,"",Upgrades!$C$21*POWER(Upgrades!$D$21,M361))</f>
        <v/>
      </c>
      <c r="AT361" s="26">
        <f>IF(AND(D361&gt;=Parameters!$B$18*Parameters!$B$19,(I361&gt;=Upgrades!$E$17)*(M361&gt;=Upgrades!$E$21)=1,N361=0),1,"")</f>
        <v/>
      </c>
      <c r="AU361" s="26">
        <f>IF(AND(D361&gt;=Parameters!$B$18*Parameters!$B$19,N361=0),1,"")</f>
        <v/>
      </c>
      <c r="AV361" s="22">
        <f>MIN(IF(ISNUMBER(AP361),AP361,9E15),IF(ISNUMBER(AQ361),AQ361,9E15),IF(ISNUMBER(AR361),AR361,9E15),IF(ISNUMBER(AS361),AS361,9E15))</f>
        <v/>
      </c>
      <c r="AW361" s="22">
        <f>MIN(IF(ISNUMBER(AK361),AK361,9E15),IF(ISNUMBER(AL361),AL361,9E15),IF(ISNUMBER(AM361),AM361,9E15),IF(ISNUMBER(AN361),AN361,9E15),IF(ISNUMBER(AO361),AO361,9E15))</f>
        <v/>
      </c>
      <c r="AX361" s="29">
        <f>IF(BD361&gt;Parameters!$B$21*(MAX(IF(AND(NOT(AND(AU361=1,AT361&lt;&gt;1)),ISNUMBER(AK361),AK361&lt;=(C361+T361)),AY361,0),IF(AND(NOT(AND(AU361=1,AT361&lt;&gt;1)),ISNUMBER(AL361),AL361&lt;=(C361+T361)),AZ361,0),IF(AND(NOT(AND(AU361=1,AT361&lt;&gt;1)),ISNUMBER(AM361),AM361&lt;=(C361+T361)),BA361,0),IF(AND(NOT(AND(AU361=1,AT361&lt;&gt;1)),ISNUMBER(AN361),AN361&lt;=(C361+T361)),BB361,0),IF(AND(ISNUMBER(AO361),AO361&lt;=(C361+T361)),BC361,0))),TRUE,FALSE)</f>
        <v/>
      </c>
      <c r="AY361" s="32">
        <f>IFERROR(Upgrades!$H$13*(POWER(Upgrades!$P$13,E361)*POWER(Upgrades!$P$14,F361)*POWER(Upgrades!$P$15,G361)*POWER(Upgrades!$P$16,H361)*POWER(Upgrades!$P$17,I361)*POWER(Upgrades!$P$18,J361)*POWER(Upgrades!$P$19,K361)*POWER(Upgrades!$P$20,L361)*POWER(Upgrades!$P$21,M361))*(IF(Upgrades!$T$14="Stellar Kinematics",POWER(Upgrades!$U$14,F361),1)*IF(Upgrades!$T$15="Stellar Kinematics",POWER(Upgrades!$U$15,G361),1)*IF(Upgrades!$T$16="Stellar Kinematics",POWER(Upgrades!$U$16,H361),1)*IF(Upgrades!$T$17="Stellar Kinematics",POWER(Upgrades!$U$17,I361),1)*IF(Upgrades!$T$18="Stellar Kinematics",POWER(Upgrades!$U$18,J361),1)*IF(Upgrades!$T$19="Stellar Kinematics",POWER(Upgrades!$U$19,K361),1)*IF(Upgrades!$T$20="Stellar Kinematics",POWER(Upgrades!$U$20,L361),1)*IF(Upgrades!$T$21="Stellar Kinematics",POWER(Upgrades!$U$21,M361),1))*$F$6/AK361,0)</f>
        <v/>
      </c>
      <c r="AZ361" s="32">
        <f>IFERROR(Upgrades!$H$14*(POWER(Upgrades!$P$13,E361)*POWER(Upgrades!$P$14,F361)*POWER(Upgrades!$P$15,G361)*POWER(Upgrades!$P$16,H361)*POWER(Upgrades!$P$17,I361)*POWER(Upgrades!$P$18,J361)*POWER(Upgrades!$P$19,K361)*POWER(Upgrades!$P$20,L361)*POWER(Upgrades!$P$21,M361))*(IF(Upgrades!$T$13="Local Bubble",POWER(Upgrades!$U$13,E361),1)*IF(Upgrades!$T$15="Local Bubble",POWER(Upgrades!$U$15,G361),1)*IF(Upgrades!$T$16="Local Bubble",POWER(Upgrades!$U$16,H361),1)*IF(Upgrades!$T$17="Local Bubble",POWER(Upgrades!$U$17,I361),1)*IF(Upgrades!$T$18="Local Bubble",POWER(Upgrades!$U$18,J361),1)*IF(Upgrades!$T$19="Local Bubble",POWER(Upgrades!$U$19,K361),1)*IF(Upgrades!$T$20="Local Bubble",POWER(Upgrades!$U$20,L361),1)*IF(Upgrades!$T$21="Local Bubble",POWER(Upgrades!$U$21,M361),1))*$F$6/AL361,0)</f>
        <v/>
      </c>
      <c r="BA361" s="32">
        <f>IFERROR(Upgrades!$K$15*(POWER(Upgrades!$Q$13,E361)*POWER(Upgrades!$Q$14,F361)*POWER(Upgrades!$Q$15,G361)*POWER(Upgrades!$Q$16,H361)*POWER(Upgrades!$Q$17,I361)*POWER(Upgrades!$Q$18,J361)*POWER(Upgrades!$Q$19,K361)*POWER(Upgrades!$Q$20,L361)*POWER(Upgrades!$Q$21,M361))*(IF(Upgrades!$T$13="Microlensing",POWER(Upgrades!$U$13,E361),1)*IF(Upgrades!$T$14="Microlensing",POWER(Upgrades!$U$14,F361),1)*IF(Upgrades!$T$16="Microlensing",POWER(Upgrades!$U$16,H361),1)*IF(Upgrades!$T$17="Microlensing",POWER(Upgrades!$U$17,I361),1)*IF(Upgrades!$T$18="Microlensing",POWER(Upgrades!$U$18,J361),1)*IF(Upgrades!$T$19="Microlensing",POWER(Upgrades!$U$19,K361),1)*IF(Upgrades!$T$20="Microlensing",POWER(Upgrades!$U$20,L361),1)*IF(Upgrades!$T$21="Microlensing",POWER(Upgrades!$U$21,M361),1))*$G$6*(Parameters!$B$10/60*Parameters!$B$11+Q361)/AM361,0)</f>
        <v/>
      </c>
      <c r="BB361" s="32">
        <f>IFERROR((Upgrades!$N$16*(POWER(Upgrades!$R$13,E361)*POWER(Upgrades!$R$14,F361)*POWER(Upgrades!$R$15,G361)*POWER(Upgrades!$R$16,H361)*POWER(Upgrades!$R$17,I361)*POWER(Upgrades!$R$18,J361)*POWER(Upgrades!$R$19,K361)*POWER(Upgrades!$R$20,L361)*POWER(Upgrades!$R$21,M361))*(IF(Upgrades!$T$13="Roche Lobe Overflow",POWER(Upgrades!$U$13,E361),1)*IF(Upgrades!$T$14="Roche Lobe Overflow",POWER(Upgrades!$U$14,F361),1)*IF(Upgrades!$T$15="Roche Lobe Overflow",POWER(Upgrades!$U$15,G361),1)*IF(Upgrades!$T$17="Roche Lobe Overflow",POWER(Upgrades!$U$17,I361),1)*IF(Upgrades!$T$18="Roche Lobe Overflow",POWER(Upgrades!$U$18,J361),1)*IF(Upgrades!$T$19="Roche Lobe Overflow",POWER(Upgrades!$U$19,K361),1)*IF(Upgrades!$T$20="Roche Lobe Overflow",POWER(Upgrades!$U$20,L361),1)*IF(Upgrades!$T$21="Roche Lobe Overflow",POWER(Upgrades!$U$21,M361),1))*$H$6*O361+((IF(F361=0,0,(Upgrades!$G$14+F361*Upgrades!$H$14)*POWER(Upgrades!$I$14,F361)))*(IF(Upgrades!$T$13="Local Bubble",POWER(Upgrades!$U$13,E361),1)*IF(Upgrades!$T$15="Local Bubble",POWER(Upgrades!$U$15,G361),1)*IF(Upgrades!$T$16="Local Bubble",POWER(Upgrades!$U$16,H361),1)*IF(Upgrades!$T$17="Local Bubble",POWER(Upgrades!$U$17,I361),1)*IF(Upgrades!$T$18="Local Bubble",POWER(Upgrades!$U$18,J361),1)*IF(Upgrades!$T$19="Local Bubble",POWER(Upgrades!$U$19,K361),1)*IF(Upgrades!$T$20="Local Bubble",POWER(Upgrades!$U$20,L361),1)*IF(Upgrades!$T$21="Local Bubble",POWER(Upgrades!$U$21,M361),1))*POWER(Upgrades!$P$13,E361)*POWER(Upgrades!$P$14,F361)*POWER(Upgrades!$P$15,G361)*POWER(Upgrades!$P$16,H361)*POWER(Upgrades!$P$17,I361)*POWER(Upgrades!$P$18,J361)*POWER(Upgrades!$P$19,K361)*POWER(Upgrades!$P$20,L361)*POWER(Upgrades!$P$21,M361)*$F$6)*0.05)/AN361,0)</f>
        <v/>
      </c>
      <c r="BC361" s="32">
        <f>IFERROR((Upgrades!$H$17*(POWER(Upgrades!$P$13,E361)*POWER(Upgrades!$P$14,F361)*POWER(Upgrades!$P$15,G361)*POWER(Upgrades!$P$16,H361)*POWER(Upgrades!$P$17,I361)*POWER(Upgrades!$P$18,J361)*POWER(Upgrades!$P$19,K361)*POWER(Upgrades!$P$20,L361)*POWER(Upgrades!$P$21,M361))*(IF(Upgrades!$T$13="Brown Dwarf",POWER(Upgrades!$U$13,E361),1)*IF(Upgrades!$T$14="Brown Dwarf",POWER(Upgrades!$U$14,F361),1)*IF(Upgrades!$T$15="Brown Dwarf",POWER(Upgrades!$U$15,G361),1)*IF(Upgrades!$T$16="Brown Dwarf",POWER(Upgrades!$U$16,H361),1)*IF(Upgrades!$T$18="Brown Dwarf",POWER(Upgrades!$U$18,J361),1)*IF(Upgrades!$T$19="Brown Dwarf",POWER(Upgrades!$U$19,K361),1)*IF(Upgrades!$T$20="Brown Dwarf",POWER(Upgrades!$U$20,L361),1)*IF(Upgrades!$T$21="Brown Dwarf",POWER(Upgrades!$U$21,M361),1))*$F$6+(((IF(H361=0,0,(Upgrades!$M$16+H361*Upgrades!$N$16)*POWER(Upgrades!$O$16,H361)))*(IF(Upgrades!$T$13="Roche Lobe Overflow",POWER(Upgrades!$U$13,E361),1)*IF(Upgrades!$T$14="Roche Lobe Overflow",POWER(Upgrades!$U$14,F361),1)*IF(Upgrades!$T$15="Roche Lobe Overflow",POWER(Upgrades!$U$15,G361),1)*IF(Upgrades!$T$17="Roche Lobe Overflow",POWER(Upgrades!$U$17,I361),1)*IF(Upgrades!$T$18="Roche Lobe Overflow",POWER(Upgrades!$U$18,J361),1)*IF(Upgrades!$T$19="Roche Lobe Overflow",POWER(Upgrades!$U$19,K361),1)*IF(Upgrades!$T$20="Roche Lobe Overflow",POWER(Upgrades!$U$20,L361),1)*IF(Upgrades!$T$21="Roche Lobe Overflow",POWER(Upgrades!$U$21,M361),1))*POWER(Upgrades!$R$13,E361)*POWER(Upgrades!$R$14,F361)*POWER(Upgrades!$R$15,G361)*POWER(Upgrades!$R$16,H361)*POWER(Upgrades!$R$17,I361)*POWER(Upgrades!$R$18,J361)*POWER(Upgrades!$R$19,K361)*POWER(Upgrades!$R$20,L361)*POWER(Upgrades!$R$21,M361)*$H$6)*O361)*0.10)/AO361,0)</f>
        <v/>
      </c>
      <c r="BD361" s="32">
        <f>MAX(IF(J361&gt;0,0,IFERROR(0.5*((IF(G361=0,0,(Upgrades!$J$15+G361*Upgrades!$K$15)*POWER(Upgrades!$L$15,G361)))*(IF(Upgrades!$T$13="Microlensing",POWER(Upgrades!$U$13,E361),1)*IF(Upgrades!$T$14="Microlensing",POWER(Upgrades!$U$14,F361),1)*IF(Upgrades!$T$16="Microlensing",POWER(Upgrades!$U$16,H361),1)*IF(Upgrades!$T$17="Microlensing",POWER(Upgrades!$U$17,I361),1)*IF(Upgrades!$T$18="Microlensing",POWER(Upgrades!$U$18,J361),1)*IF(Upgrades!$T$19="Microlensing",POWER(Upgrades!$U$19,K361),1)*IF(Upgrades!$T$20="Microlensing",POWER(Upgrades!$U$20,L361),1)*IF(Upgrades!$T$21="Microlensing",POWER(Upgrades!$U$21,M361),1))*(POWER(Upgrades!$Q$13,E361)*POWER(Upgrades!$Q$14,F361)*POWER(Upgrades!$Q$15,G361)*POWER(Upgrades!$Q$16,H361)*POWER(Upgrades!$Q$17,I361)*POWER(Upgrades!$Q$18,J361)*POWER(Upgrades!$Q$19,K361)*POWER(Upgrades!$Q$20,L361)*POWER(Upgrades!$Q$21,M361))*$G$6*(Parameters!$B$10/60*Parameters!$B$11+Q361))/Upgrades!$C$18,0)),IF(K361&gt;0,0,IFERROR(0.30*P361/Upgrades!$C$19,0)),IF(L361&gt;0,0,IFERROR(0.0001/Upgrades!$C$20,0)),IF(M361&gt;0,0,IFERROR((6.0*(POWER(Upgrades!$P$13,E361)*POWER(Upgrades!$P$14,F361)*POWER(Upgrades!$P$15,G361)*POWER(Upgrades!$P$16,H361)*POWER(Upgrades!$P$17,I361)*POWER(Upgrades!$P$18,J361)*POWER(Upgrades!$P$19,K361)*POWER(Upgrades!$P$20,L361)*POWER(Upgrades!$P$21,M361))*$F$6+0.20*O361*(Parameters!$B$10/60*Parameters!$B$11+Q361))/Upgrades!$C$21,0)),IF(AND(ISNUMBER(AK361),AK361&gt;(C361+T361)),AY361,0),IF(AND(ISNUMBER(AL361),AL361&gt;(C361+T361)),AZ361,0),IF(AND(ISNUMBER(AM361),AM361&gt;(C361+T361)),BA361,0),IF(AND(ISNUMBER(AN361),AN361&gt;(C361+T361)),BB361,0),IF(AND(ISNUMBER(AO361),AO361&gt;(C361+T361)),BC361,0))</f>
        <v/>
      </c>
      <c r="BE361" s="29">
        <f>IF(AT361=1,"transition",IF(MIN(IF(AND(J361=0,ISNUMBER(AP361),AP361&lt;=(C361+T361)),AP361,9E15),IF(AND(K361=0,ISNUMBER(AQ361),AQ361&lt;=(C361+T361)),AQ361,9E15),IF(AND(L361=0,ISNUMBER(AR361),AR361&lt;=(C361+T361)),AR361,9E15),IF(AND(M361=0,ISNUMBER(AS361),AS361&lt;=(C361+T361)),AS361,9E15))&lt;9E15,IF(AND(AND(J361=0,ISNUMBER(AP361),AP361&lt;=(C361+T361)),AP361=MIN(IF(AND(J361=0,ISNUMBER(AP361),AP361&lt;=(C361+T361)),AP361,9E15),IF(AND(K361=0,ISNUMBER(AQ361),AQ361&lt;=(C361+T361)),AQ361,9E15),IF(AND(L361=0,ISNUMBER(AR361),AR361&lt;=(C361+T361)),AR361,9E15),IF(AND(M361=0,ISNUMBER(AS361),AS361&lt;=(C361+T361)),AS361,9E15))),"BiP",IF(AND(AND(K361=0,ISNUMBER(AQ361),AQ361&lt;=(C361+T361)),AQ361=MIN(IF(AND(J361=0,ISNUMBER(AP361),AP361&lt;=(C361+T361)),AP361,9E15),IF(AND(K361=0,ISNUMBER(AQ361),AQ361&lt;=(C361+T361)),AQ361,9E15),IF(AND(L361=0,ISNUMBER(AR361),AR361&lt;=(C361+T361)),AR361,9E15),IF(AND(M361=0,ISNUMBER(AS361),AS361&lt;=(C361+T361)),AS361,9E15))),"PV",IF(AND(AND(L361=0,ISNUMBER(AR361),AR361&lt;=(C361+T361)),AR361=MIN(IF(AND(J361=0,ISNUMBER(AP361),AP361&lt;=(C361+T361)),AP361,9E15),IF(AND(K361=0,ISNUMBER(AQ361),AQ361&lt;=(C361+T361)),AQ361,9E15),IF(AND(L361=0,ISNUMBER(AR361),AR361&lt;=(C361+T361)),AR361,9E15),IF(AND(M361=0,ISNUMBER(AS361),AS361&lt;=(C361+T361)),AS361,9E15))),"OC","MG"))),IF(AX361=TRUE,"",IF(MAX(IF(AND(NOT(AND(AU361=1,AT361&lt;&gt;1)),ISNUMBER(AK361),AK361&lt;=(C361+T361)),AY361,0),IF(AND(NOT(AND(AU361=1,AT361&lt;&gt;1)),ISNUMBER(AL361),AL361&lt;=(C361+T361)),AZ361,0),IF(AND(NOT(AND(AU361=1,AT361&lt;&gt;1)),ISNUMBER(AM361),AM361&lt;=(C361+T361)),BA361,0),IF(AND(NOT(AND(AU361=1,AT361&lt;&gt;1)),ISNUMBER(AN361),AN361&lt;=(C361+T361)),BB361,0),IF(AND(ISNUMBER(AO361),AO361&lt;=(C361+T361)),BC361,0))&lt;=0,"",IF(AND(IF(AND(NOT(AND(AU361=1,AT361&lt;&gt;1)),ISNUMBER(AK361),AK361&lt;=(C361+T361)),AY361,0)&gt;0,IF(AND(NOT(AND(AU361=1,AT361&lt;&gt;1)),ISNUMBER(AK361),AK361&lt;=(C361+T361)),AY361,0)=MAX(IF(AND(NOT(AND(AU361=1,AT361&lt;&gt;1)),ISNUMBER(AK361),AK361&lt;=(C361+T361)),AY361,0),IF(AND(NOT(AND(AU361=1,AT361&lt;&gt;1)),ISNUMBER(AL361),AL361&lt;=(C361+T361)),AZ361,0),IF(AND(NOT(AND(AU361=1,AT361&lt;&gt;1)),ISNUMBER(AM361),AM361&lt;=(C361+T361)),BA361,0),IF(AND(NOT(AND(AU361=1,AT361&lt;&gt;1)),ISNUMBER(AN361),AN361&lt;=(C361+T361)),BB361,0),IF(AND(ISNUMBER(AO361),AO361&lt;=(C361+T361)),BC361,0))),"SK",IF(AND(IF(AND(NOT(AND(AU361=1,AT361&lt;&gt;1)),ISNUMBER(AL361),AL361&lt;=(C361+T361)),AZ361,0)&gt;0,IF(AND(NOT(AND(AU361=1,AT361&lt;&gt;1)),ISNUMBER(AL361),AL361&lt;=(C361+T361)),AZ361,0)=MAX(IF(AND(NOT(AND(AU361=1,AT361&lt;&gt;1)),ISNUMBER(AK361),AK361&lt;=(C361+T361)),AY361,0),IF(AND(NOT(AND(AU361=1,AT361&lt;&gt;1)),ISNUMBER(AL361),AL361&lt;=(C361+T361)),AZ361,0),IF(AND(NOT(AND(AU361=1,AT361&lt;&gt;1)),ISNUMBER(AM361),AM361&lt;=(C361+T361)),BA361,0),IF(AND(NOT(AND(AU361=1,AT361&lt;&gt;1)),ISNUMBER(AN361),AN361&lt;=(C361+T361)),BB361,0),IF(AND(ISNUMBER(AO361),AO361&lt;=(C361+T361)),BC361,0))),"LB",IF(AND(IF(AND(NOT(AND(AU361=1,AT361&lt;&gt;1)),ISNUMBER(AM361),AM361&lt;=(C361+T361)),BA361,0)&gt;0,IF(AND(NOT(AND(AU361=1,AT361&lt;&gt;1)),ISNUMBER(AM361),AM361&lt;=(C361+T361)),BA361,0)=MAX(IF(AND(NOT(AND(AU361=1,AT361&lt;&gt;1)),ISNUMBER(AK361),AK361&lt;=(C361+T361)),AY361,0),IF(AND(NOT(AND(AU361=1,AT361&lt;&gt;1)),ISNUMBER(AL361),AL361&lt;=(C361+T361)),AZ361,0),IF(AND(NOT(AND(AU361=1,AT361&lt;&gt;1)),ISNUMBER(AM361),AM361&lt;=(C361+T361)),BA361,0),IF(AND(NOT(AND(AU361=1,AT361&lt;&gt;1)),ISNUMBER(AN361),AN361&lt;=(C361+T361)),BB361,0),IF(AND(ISNUMBER(AO361),AO361&lt;=(C361+T361)),BC361,0))),"ML",IF(AND(IF(AND(NOT(AND(AU361=1,AT361&lt;&gt;1)),ISNUMBER(AN361),AN361&lt;=(C361+T361)),BB361,0)&gt;0,IF(AND(NOT(AND(AU361=1,AT361&lt;&gt;1)),ISNUMBER(AN361),AN361&lt;=(C361+T361)),BB361,0)=MAX(IF(AND(NOT(AND(AU361=1,AT361&lt;&gt;1)),ISNUMBER(AK361),AK361&lt;=(C361+T361)),AY361,0),IF(AND(NOT(AND(AU361=1,AT361&lt;&gt;1)),ISNUMBER(AL361),AL361&lt;=(C361+T361)),AZ361,0),IF(AND(NOT(AND(AU361=1,AT361&lt;&gt;1)),ISNUMBER(AM361),AM361&lt;=(C361+T361)),BA361,0),IF(AND(NOT(AND(AU361=1,AT361&lt;&gt;1)),ISNUMBER(AN361),AN361&lt;=(C361+T361)),BB361,0),IF(AND(ISNUMBER(AO361),AO361&lt;=(C361+T361)),BC361,0))),"RLO","BD"))))))))</f>
        <v/>
      </c>
    </row>
    <row r="362">
      <c r="A362" s="26" t="n">
        <v>351</v>
      </c>
      <c r="B362" s="27">
        <f>A362*10/60</f>
        <v/>
      </c>
      <c r="C362" s="22">
        <f>X361</f>
        <v/>
      </c>
      <c r="D362" s="27">
        <f>D361+W361</f>
        <v/>
      </c>
      <c r="E362" s="26">
        <f>E361+IF(U361="SK",1,0)</f>
        <v/>
      </c>
      <c r="F362" s="26">
        <f>F361+IF(U361="LB",1,0)</f>
        <v/>
      </c>
      <c r="G362" s="26">
        <f>G361+IF(U361="ML",1,0)</f>
        <v/>
      </c>
      <c r="H362" s="26">
        <f>H361+IF(U361="RLO",1,0)</f>
        <v/>
      </c>
      <c r="I362" s="26">
        <f>I361+IF(U361="BD",1,0)</f>
        <v/>
      </c>
      <c r="J362" s="26">
        <f>MAX(J361,IF(U361="BiP",1,0))</f>
        <v/>
      </c>
      <c r="K362" s="26">
        <f>MAX(K361,IF(U361="PV",1,0))</f>
        <v/>
      </c>
      <c r="L362" s="26">
        <f>MAX(L361,IF(U361="OC",1,0))</f>
        <v/>
      </c>
      <c r="M362" s="26">
        <f>MAX(M361,IF(U361="MG",1,0))</f>
        <v/>
      </c>
      <c r="N362" s="26">
        <f>MAX(N361,IF(U361="transition",1,0))</f>
        <v/>
      </c>
      <c r="O362" s="28">
        <f>(Parameters!$B$9+(IF(E362=0,0,(Upgrades!$J$13+E362*Upgrades!$K$13)*POWER(Upgrades!$L$13,E362)))*(IF(Upgrades!$T$14="Stellar Kinematics",POWER(Upgrades!$U$14,F362),1)*IF(Upgrades!$T$15="Stellar Kinematics",POWER(Upgrades!$U$15,G362),1)*IF(Upgrades!$T$16="Stellar Kinematics",POWER(Upgrades!$U$16,H362),1)*IF(Upgrades!$T$17="Stellar Kinematics",POWER(Upgrades!$U$17,I362),1)*IF(Upgrades!$T$18="Stellar Kinematics",POWER(Upgrades!$U$18,J362),1)*IF(Upgrades!$T$19="Stellar Kinematics",POWER(Upgrades!$U$19,K362),1)*IF(Upgrades!$T$20="Stellar Kinematics",POWER(Upgrades!$U$20,L362),1)*IF(Upgrades!$T$21="Stellar Kinematics",POWER(Upgrades!$U$21,M362),1))+(IF(F362=0,0,(Upgrades!$J$14+F362*Upgrades!$K$14)*POWER(Upgrades!$L$14,F362)))*(IF(Upgrades!$T$13="Local Bubble",POWER(Upgrades!$U$13,E362),1)*IF(Upgrades!$T$15="Local Bubble",POWER(Upgrades!$U$15,G362),1)*IF(Upgrades!$T$16="Local Bubble",POWER(Upgrades!$U$16,H362),1)*IF(Upgrades!$T$17="Local Bubble",POWER(Upgrades!$U$17,I362),1)*IF(Upgrades!$T$18="Local Bubble",POWER(Upgrades!$U$18,J362),1)*IF(Upgrades!$T$19="Local Bubble",POWER(Upgrades!$U$19,K362),1)*IF(Upgrades!$T$20="Local Bubble",POWER(Upgrades!$U$20,L362),1)*IF(Upgrades!$T$21="Local Bubble",POWER(Upgrades!$U$21,M362),1))+(IF(G362=0,0,(Upgrades!$J$15+G362*Upgrades!$K$15)*POWER(Upgrades!$L$15,G362)))*(IF(Upgrades!$T$13="Microlensing",POWER(Upgrades!$U$13,E362),1)*IF(Upgrades!$T$14="Microlensing",POWER(Upgrades!$U$14,F362),1)*IF(Upgrades!$T$16="Microlensing",POWER(Upgrades!$U$16,H362),1)*IF(Upgrades!$T$17="Microlensing",POWER(Upgrades!$U$17,I362),1)*IF(Upgrades!$T$18="Microlensing",POWER(Upgrades!$U$18,J362),1)*IF(Upgrades!$T$19="Microlensing",POWER(Upgrades!$U$19,K362),1)*IF(Upgrades!$T$20="Microlensing",POWER(Upgrades!$U$20,L362),1)*IF(Upgrades!$T$21="Microlensing",POWER(Upgrades!$U$21,M362),1))+(IF(H362=0,0,(Upgrades!$J$16+H362*Upgrades!$K$16)*POWER(Upgrades!$L$16,H362)))*(IF(Upgrades!$T$13="Roche Lobe Overflow",POWER(Upgrades!$U$13,E362),1)*IF(Upgrades!$T$14="Roche Lobe Overflow",POWER(Upgrades!$U$14,F362),1)*IF(Upgrades!$T$15="Roche Lobe Overflow",POWER(Upgrades!$U$15,G362),1)*IF(Upgrades!$T$17="Roche Lobe Overflow",POWER(Upgrades!$U$17,I362),1)*IF(Upgrades!$T$18="Roche Lobe Overflow",POWER(Upgrades!$U$18,J362),1)*IF(Upgrades!$T$19="Roche Lobe Overflow",POWER(Upgrades!$U$19,K362),1)*IF(Upgrades!$T$20="Roche Lobe Overflow",POWER(Upgrades!$U$20,L362),1)*IF(Upgrades!$T$21="Roche Lobe Overflow",POWER(Upgrades!$U$21,M362),1))+(IF(I362=0,0,(Upgrades!$J$17+I362*Upgrades!$K$17)*POWER(Upgrades!$L$17,I362)))*(IF(Upgrades!$T$13="Brown Dwarf",POWER(Upgrades!$U$13,E362),1)*IF(Upgrades!$T$14="Brown Dwarf",POWER(Upgrades!$U$14,F362),1)*IF(Upgrades!$T$15="Brown Dwarf",POWER(Upgrades!$U$15,G362),1)*IF(Upgrades!$T$16="Brown Dwarf",POWER(Upgrades!$U$16,H362),1)*IF(Upgrades!$T$18="Brown Dwarf",POWER(Upgrades!$U$18,J362),1)*IF(Upgrades!$T$19="Brown Dwarf",POWER(Upgrades!$U$19,K362),1)*IF(Upgrades!$T$20="Brown Dwarf",POWER(Upgrades!$U$20,L362),1)*IF(Upgrades!$T$21="Brown Dwarf",POWER(Upgrades!$U$21,M362),1))+(IF(J362=0,0,(Upgrades!$J$18+J362*Upgrades!$K$18)*POWER(Upgrades!$L$18,J362)))*(IF(Upgrades!$T$13="Binary Partner",POWER(Upgrades!$U$13,E362),1)*IF(Upgrades!$T$14="Binary Partner",POWER(Upgrades!$U$14,F362),1)*IF(Upgrades!$T$15="Binary Partner",POWER(Upgrades!$U$15,G362),1)*IF(Upgrades!$T$16="Binary Partner",POWER(Upgrades!$U$16,H362),1)*IF(Upgrades!$T$17="Binary Partner",POWER(Upgrades!$U$17,I362),1)*IF(Upgrades!$T$19="Binary Partner",POWER(Upgrades!$U$19,K362),1)*IF(Upgrades!$T$20="Binary Partner",POWER(Upgrades!$U$20,L362),1)*IF(Upgrades!$T$21="Binary Partner",POWER(Upgrades!$U$21,M362),1))+(IF(K362=0,0,(Upgrades!$J$19+K362*Upgrades!$K$19)*POWER(Upgrades!$L$19,K362)))*(IF(Upgrades!$T$13="Peculiar Velocity",POWER(Upgrades!$U$13,E362),1)*IF(Upgrades!$T$14="Peculiar Velocity",POWER(Upgrades!$U$14,F362),1)*IF(Upgrades!$T$15="Peculiar Velocity",POWER(Upgrades!$U$15,G362),1)*IF(Upgrades!$T$16="Peculiar Velocity",POWER(Upgrades!$U$16,H362),1)*IF(Upgrades!$T$17="Peculiar Velocity",POWER(Upgrades!$U$17,I362),1)*IF(Upgrades!$T$18="Peculiar Velocity",POWER(Upgrades!$U$18,J362),1)*IF(Upgrades!$T$20="Peculiar Velocity",POWER(Upgrades!$U$20,L362),1)*IF(Upgrades!$T$21="Peculiar Velocity",POWER(Upgrades!$U$21,M362),1))+(IF(L362=0,0,(Upgrades!$J$20+L362*Upgrades!$K$20)*POWER(Upgrades!$L$20,L362)))*(IF(Upgrades!$T$13="Open Cluster",POWER(Upgrades!$U$13,E362),1)*IF(Upgrades!$T$14="Open Cluster",POWER(Upgrades!$U$14,F362),1)*IF(Upgrades!$T$15="Open Cluster",POWER(Upgrades!$U$15,G362),1)*IF(Upgrades!$T$16="Open Cluster",POWER(Upgrades!$U$16,H362),1)*IF(Upgrades!$T$17="Open Cluster",POWER(Upgrades!$U$17,I362),1)*IF(Upgrades!$T$18="Open Cluster",POWER(Upgrades!$U$18,J362),1)*IF(Upgrades!$T$19="Open Cluster",POWER(Upgrades!$U$19,K362),1)*IF(Upgrades!$T$21="Open Cluster",POWER(Upgrades!$U$21,M362),1))+(IF(M362=0,0,(Upgrades!$J$21+M362*Upgrades!$K$21)*POWER(Upgrades!$L$21,M362)))*(IF(Upgrades!$T$13="Moving Group",POWER(Upgrades!$U$13,E362),1)*IF(Upgrades!$T$14="Moving Group",POWER(Upgrades!$U$14,F362),1)*IF(Upgrades!$T$15="Moving Group",POWER(Upgrades!$U$15,G362),1)*IF(Upgrades!$T$16="Moving Group",POWER(Upgrades!$U$16,H362),1)*IF(Upgrades!$T$17="Moving Group",POWER(Upgrades!$U$17,I362),1)*IF(Upgrades!$T$18="Moving Group",POWER(Upgrades!$U$18,J362),1)*IF(Upgrades!$T$19="Moving Group",POWER(Upgrades!$U$19,K362),1)*IF(Upgrades!$T$20="Moving Group",POWER(Upgrades!$U$20,L362),1)))*POWER(Upgrades!$Q$13,E362)*POWER(Upgrades!$Q$14,F362)*POWER(Upgrades!$Q$15,G362)*POWER(Upgrades!$Q$16,H362)*POWER(Upgrades!$Q$17,I362)*POWER(Upgrades!$Q$18,J362)*POWER(Upgrades!$Q$19,K362)*POWER(Upgrades!$Q$20,L362)*POWER(Upgrades!$Q$21,M362)*$G$6+$D$6</f>
        <v/>
      </c>
      <c r="P362" s="28">
        <f>((IF(E362=0,0,(Upgrades!$G$13+E362*Upgrades!$H$13)*POWER(Upgrades!$I$13,E362)))*(IF(Upgrades!$T$14="Stellar Kinematics",POWER(Upgrades!$U$14,F362),1)*IF(Upgrades!$T$15="Stellar Kinematics",POWER(Upgrades!$U$15,G362),1)*IF(Upgrades!$T$16="Stellar Kinematics",POWER(Upgrades!$U$16,H362),1)*IF(Upgrades!$T$17="Stellar Kinematics",POWER(Upgrades!$U$17,I362),1)*IF(Upgrades!$T$18="Stellar Kinematics",POWER(Upgrades!$U$18,J362),1)*IF(Upgrades!$T$19="Stellar Kinematics",POWER(Upgrades!$U$19,K362),1)*IF(Upgrades!$T$20="Stellar Kinematics",POWER(Upgrades!$U$20,L362),1)*IF(Upgrades!$T$21="Stellar Kinematics",POWER(Upgrades!$U$21,M362),1))+(IF(F362=0,0,(Upgrades!$G$14+F362*Upgrades!$H$14)*POWER(Upgrades!$I$14,F362)))*(IF(Upgrades!$T$13="Local Bubble",POWER(Upgrades!$U$13,E362),1)*IF(Upgrades!$T$15="Local Bubble",POWER(Upgrades!$U$15,G362),1)*IF(Upgrades!$T$16="Local Bubble",POWER(Upgrades!$U$16,H362),1)*IF(Upgrades!$T$17="Local Bubble",POWER(Upgrades!$U$17,I362),1)*IF(Upgrades!$T$18="Local Bubble",POWER(Upgrades!$U$18,J362),1)*IF(Upgrades!$T$19="Local Bubble",POWER(Upgrades!$U$19,K362),1)*IF(Upgrades!$T$20="Local Bubble",POWER(Upgrades!$U$20,L362),1)*IF(Upgrades!$T$21="Local Bubble",POWER(Upgrades!$U$21,M362),1))+(IF(G362=0,0,(Upgrades!$G$15+G362*Upgrades!$H$15)*POWER(Upgrades!$I$15,G362)))*(IF(Upgrades!$T$13="Microlensing",POWER(Upgrades!$U$13,E362),1)*IF(Upgrades!$T$14="Microlensing",POWER(Upgrades!$U$14,F362),1)*IF(Upgrades!$T$16="Microlensing",POWER(Upgrades!$U$16,H362),1)*IF(Upgrades!$T$17="Microlensing",POWER(Upgrades!$U$17,I362),1)*IF(Upgrades!$T$18="Microlensing",POWER(Upgrades!$U$18,J362),1)*IF(Upgrades!$T$19="Microlensing",POWER(Upgrades!$U$19,K362),1)*IF(Upgrades!$T$20="Microlensing",POWER(Upgrades!$U$20,L362),1)*IF(Upgrades!$T$21="Microlensing",POWER(Upgrades!$U$21,M362),1))+(IF(H362=0,0,(Upgrades!$G$16+H362*Upgrades!$H$16)*POWER(Upgrades!$I$16,H362)))*(IF(Upgrades!$T$13="Roche Lobe Overflow",POWER(Upgrades!$U$13,E362),1)*IF(Upgrades!$T$14="Roche Lobe Overflow",POWER(Upgrades!$U$14,F362),1)*IF(Upgrades!$T$15="Roche Lobe Overflow",POWER(Upgrades!$U$15,G362),1)*IF(Upgrades!$T$17="Roche Lobe Overflow",POWER(Upgrades!$U$17,I362),1)*IF(Upgrades!$T$18="Roche Lobe Overflow",POWER(Upgrades!$U$18,J362),1)*IF(Upgrades!$T$19="Roche Lobe Overflow",POWER(Upgrades!$U$19,K362),1)*IF(Upgrades!$T$20="Roche Lobe Overflow",POWER(Upgrades!$U$20,L362),1)*IF(Upgrades!$T$21="Roche Lobe Overflow",POWER(Upgrades!$U$21,M362),1))+(IF(I362=0,0,(Upgrades!$G$17+I362*Upgrades!$H$17)*POWER(Upgrades!$I$17,I362)))*(IF(Upgrades!$T$13="Brown Dwarf",POWER(Upgrades!$U$13,E362),1)*IF(Upgrades!$T$14="Brown Dwarf",POWER(Upgrades!$U$14,F362),1)*IF(Upgrades!$T$15="Brown Dwarf",POWER(Upgrades!$U$15,G362),1)*IF(Upgrades!$T$16="Brown Dwarf",POWER(Upgrades!$U$16,H362),1)*IF(Upgrades!$T$18="Brown Dwarf",POWER(Upgrades!$U$18,J362),1)*IF(Upgrades!$T$19="Brown Dwarf",POWER(Upgrades!$U$19,K362),1)*IF(Upgrades!$T$20="Brown Dwarf",POWER(Upgrades!$U$20,L362),1)*IF(Upgrades!$T$21="Brown Dwarf",POWER(Upgrades!$U$21,M362),1))+(IF(J362=0,0,(Upgrades!$G$18+J362*Upgrades!$H$18)*POWER(Upgrades!$I$18,J362)))*(IF(Upgrades!$T$13="Binary Partner",POWER(Upgrades!$U$13,E362),1)*IF(Upgrades!$T$14="Binary Partner",POWER(Upgrades!$U$14,F362),1)*IF(Upgrades!$T$15="Binary Partner",POWER(Upgrades!$U$15,G362),1)*IF(Upgrades!$T$16="Binary Partner",POWER(Upgrades!$U$16,H362),1)*IF(Upgrades!$T$17="Binary Partner",POWER(Upgrades!$U$17,I362),1)*IF(Upgrades!$T$19="Binary Partner",POWER(Upgrades!$U$19,K362),1)*IF(Upgrades!$T$20="Binary Partner",POWER(Upgrades!$U$20,L362),1)*IF(Upgrades!$T$21="Binary Partner",POWER(Upgrades!$U$21,M362),1))+(IF(K362=0,0,(Upgrades!$G$19+K362*Upgrades!$H$19)*POWER(Upgrades!$I$19,K362)))*(IF(Upgrades!$T$13="Peculiar Velocity",POWER(Upgrades!$U$13,E362),1)*IF(Upgrades!$T$14="Peculiar Velocity",POWER(Upgrades!$U$14,F362),1)*IF(Upgrades!$T$15="Peculiar Velocity",POWER(Upgrades!$U$15,G362),1)*IF(Upgrades!$T$16="Peculiar Velocity",POWER(Upgrades!$U$16,H362),1)*IF(Upgrades!$T$17="Peculiar Velocity",POWER(Upgrades!$U$17,I362),1)*IF(Upgrades!$T$18="Peculiar Velocity",POWER(Upgrades!$U$18,J362),1)*IF(Upgrades!$T$20="Peculiar Velocity",POWER(Upgrades!$U$20,L362),1)*IF(Upgrades!$T$21="Peculiar Velocity",POWER(Upgrades!$U$21,M362),1))+(IF(L362=0,0,(Upgrades!$G$20+L362*Upgrades!$H$20)*POWER(Upgrades!$I$20,L362)))*(IF(Upgrades!$T$13="Open Cluster",POWER(Upgrades!$U$13,E362),1)*IF(Upgrades!$T$14="Open Cluster",POWER(Upgrades!$U$14,F362),1)*IF(Upgrades!$T$15="Open Cluster",POWER(Upgrades!$U$15,G362),1)*IF(Upgrades!$T$16="Open Cluster",POWER(Upgrades!$U$16,H362),1)*IF(Upgrades!$T$17="Open Cluster",POWER(Upgrades!$U$17,I362),1)*IF(Upgrades!$T$18="Open Cluster",POWER(Upgrades!$U$18,J362),1)*IF(Upgrades!$T$19="Open Cluster",POWER(Upgrades!$U$19,K362),1)*IF(Upgrades!$T$21="Open Cluster",POWER(Upgrades!$U$21,M362),1))+(IF(M362=0,0,(Upgrades!$G$21+M362*Upgrades!$H$21)*POWER(Upgrades!$I$21,M362)))*(IF(Upgrades!$T$13="Moving Group",POWER(Upgrades!$U$13,E362),1)*IF(Upgrades!$T$14="Moving Group",POWER(Upgrades!$U$14,F362),1)*IF(Upgrades!$T$15="Moving Group",POWER(Upgrades!$U$15,G362),1)*IF(Upgrades!$T$16="Moving Group",POWER(Upgrades!$U$16,H362),1)*IF(Upgrades!$T$17="Moving Group",POWER(Upgrades!$U$17,I362),1)*IF(Upgrades!$T$18="Moving Group",POWER(Upgrades!$U$18,J362),1)*IF(Upgrades!$T$19="Moving Group",POWER(Upgrades!$U$19,K362),1)*IF(Upgrades!$T$20="Moving Group",POWER(Upgrades!$U$20,L362),1)))*POWER(Upgrades!$P$13,E362)*POWER(Upgrades!$P$14,F362)*POWER(Upgrades!$P$15,G362)*POWER(Upgrades!$P$16,H362)*POWER(Upgrades!$P$17,I362)*POWER(Upgrades!$P$18,J362)*POWER(Upgrades!$P$19,K362)*POWER(Upgrades!$P$20,L362)*POWER(Upgrades!$P$21,M362)*$F$6+$C$6</f>
        <v/>
      </c>
      <c r="Q362" s="28">
        <f>((IF(E362=0,0,(Upgrades!$M$13+E362*Upgrades!$N$13)*POWER(Upgrades!$O$13,E362)))*(IF(Upgrades!$T$14="Stellar Kinematics",POWER(Upgrades!$U$14,F362),1)*IF(Upgrades!$T$15="Stellar Kinematics",POWER(Upgrades!$U$15,G362),1)*IF(Upgrades!$T$16="Stellar Kinematics",POWER(Upgrades!$U$16,H362),1)*IF(Upgrades!$T$17="Stellar Kinematics",POWER(Upgrades!$U$17,I362),1)*IF(Upgrades!$T$18="Stellar Kinematics",POWER(Upgrades!$U$18,J362),1)*IF(Upgrades!$T$19="Stellar Kinematics",POWER(Upgrades!$U$19,K362),1)*IF(Upgrades!$T$20="Stellar Kinematics",POWER(Upgrades!$U$20,L362),1)*IF(Upgrades!$T$21="Stellar Kinematics",POWER(Upgrades!$U$21,M362),1))+(IF(F362=0,0,(Upgrades!$M$14+F362*Upgrades!$N$14)*POWER(Upgrades!$O$14,F362)))*(IF(Upgrades!$T$13="Local Bubble",POWER(Upgrades!$U$13,E362),1)*IF(Upgrades!$T$15="Local Bubble",POWER(Upgrades!$U$15,G362),1)*IF(Upgrades!$T$16="Local Bubble",POWER(Upgrades!$U$16,H362),1)*IF(Upgrades!$T$17="Local Bubble",POWER(Upgrades!$U$17,I362),1)*IF(Upgrades!$T$18="Local Bubble",POWER(Upgrades!$U$18,J362),1)*IF(Upgrades!$T$19="Local Bubble",POWER(Upgrades!$U$19,K362),1)*IF(Upgrades!$T$20="Local Bubble",POWER(Upgrades!$U$20,L362),1)*IF(Upgrades!$T$21="Local Bubble",POWER(Upgrades!$U$21,M362),1))+(IF(G362=0,0,(Upgrades!$M$15+G362*Upgrades!$N$15)*POWER(Upgrades!$O$15,G362)))*(IF(Upgrades!$T$13="Microlensing",POWER(Upgrades!$U$13,E362),1)*IF(Upgrades!$T$14="Microlensing",POWER(Upgrades!$U$14,F362),1)*IF(Upgrades!$T$16="Microlensing",POWER(Upgrades!$U$16,H362),1)*IF(Upgrades!$T$17="Microlensing",POWER(Upgrades!$U$17,I362),1)*IF(Upgrades!$T$18="Microlensing",POWER(Upgrades!$U$18,J362),1)*IF(Upgrades!$T$19="Microlensing",POWER(Upgrades!$U$19,K362),1)*IF(Upgrades!$T$20="Microlensing",POWER(Upgrades!$U$20,L362),1)*IF(Upgrades!$T$21="Microlensing",POWER(Upgrades!$U$21,M362),1))+(IF(H362=0,0,(Upgrades!$M$16+H362*Upgrades!$N$16)*POWER(Upgrades!$O$16,H362)))*(IF(Upgrades!$T$13="Roche Lobe Overflow",POWER(Upgrades!$U$13,E362),1)*IF(Upgrades!$T$14="Roche Lobe Overflow",POWER(Upgrades!$U$14,F362),1)*IF(Upgrades!$T$15="Roche Lobe Overflow",POWER(Upgrades!$U$15,G362),1)*IF(Upgrades!$T$17="Roche Lobe Overflow",POWER(Upgrades!$U$17,I362),1)*IF(Upgrades!$T$18="Roche Lobe Overflow",POWER(Upgrades!$U$18,J362),1)*IF(Upgrades!$T$19="Roche Lobe Overflow",POWER(Upgrades!$U$19,K362),1)*IF(Upgrades!$T$20="Roche Lobe Overflow",POWER(Upgrades!$U$20,L362),1)*IF(Upgrades!$T$21="Roche Lobe Overflow",POWER(Upgrades!$U$21,M362),1))+(IF(I362=0,0,(Upgrades!$M$17+I362*Upgrades!$N$17)*POWER(Upgrades!$O$17,I362)))*(IF(Upgrades!$T$13="Brown Dwarf",POWER(Upgrades!$U$13,E362),1)*IF(Upgrades!$T$14="Brown Dwarf",POWER(Upgrades!$U$14,F362),1)*IF(Upgrades!$T$15="Brown Dwarf",POWER(Upgrades!$U$15,G362),1)*IF(Upgrades!$T$16="Brown Dwarf",POWER(Upgrades!$U$16,H362),1)*IF(Upgrades!$T$18="Brown Dwarf",POWER(Upgrades!$U$18,J362),1)*IF(Upgrades!$T$19="Brown Dwarf",POWER(Upgrades!$U$19,K362),1)*IF(Upgrades!$T$20="Brown Dwarf",POWER(Upgrades!$U$20,L362),1)*IF(Upgrades!$T$21="Brown Dwarf",POWER(Upgrades!$U$21,M362),1))+(IF(J362=0,0,(Upgrades!$M$18+J362*Upgrades!$N$18)*POWER(Upgrades!$O$18,J362)))*(IF(Upgrades!$T$13="Binary Partner",POWER(Upgrades!$U$13,E362),1)*IF(Upgrades!$T$14="Binary Partner",POWER(Upgrades!$U$14,F362),1)*IF(Upgrades!$T$15="Binary Partner",POWER(Upgrades!$U$15,G362),1)*IF(Upgrades!$T$16="Binary Partner",POWER(Upgrades!$U$16,H362),1)*IF(Upgrades!$T$17="Binary Partner",POWER(Upgrades!$U$17,I362),1)*IF(Upgrades!$T$19="Binary Partner",POWER(Upgrades!$U$19,K362),1)*IF(Upgrades!$T$20="Binary Partner",POWER(Upgrades!$U$20,L362),1)*IF(Upgrades!$T$21="Binary Partner",POWER(Upgrades!$U$21,M362),1))+(IF(K362=0,0,(Upgrades!$M$19+K362*Upgrades!$N$19)*POWER(Upgrades!$O$19,K362)))*(IF(Upgrades!$T$13="Peculiar Velocity",POWER(Upgrades!$U$13,E362),1)*IF(Upgrades!$T$14="Peculiar Velocity",POWER(Upgrades!$U$14,F362),1)*IF(Upgrades!$T$15="Peculiar Velocity",POWER(Upgrades!$U$15,G362),1)*IF(Upgrades!$T$16="Peculiar Velocity",POWER(Upgrades!$U$16,H362),1)*IF(Upgrades!$T$17="Peculiar Velocity",POWER(Upgrades!$U$17,I362),1)*IF(Upgrades!$T$18="Peculiar Velocity",POWER(Upgrades!$U$18,J362),1)*IF(Upgrades!$T$20="Peculiar Velocity",POWER(Upgrades!$U$20,L362),1)*IF(Upgrades!$T$21="Peculiar Velocity",POWER(Upgrades!$U$21,M362),1))+(IF(L362=0,0,(Upgrades!$M$20+L362*Upgrades!$N$20)*POWER(Upgrades!$O$20,L362)))*(IF(Upgrades!$T$13="Open Cluster",POWER(Upgrades!$U$13,E362),1)*IF(Upgrades!$T$14="Open Cluster",POWER(Upgrades!$U$14,F362),1)*IF(Upgrades!$T$15="Open Cluster",POWER(Upgrades!$U$15,G362),1)*IF(Upgrades!$T$16="Open Cluster",POWER(Upgrades!$U$16,H362),1)*IF(Upgrades!$T$17="Open Cluster",POWER(Upgrades!$U$17,I362),1)*IF(Upgrades!$T$18="Open Cluster",POWER(Upgrades!$U$18,J362),1)*IF(Upgrades!$T$19="Open Cluster",POWER(Upgrades!$U$19,K362),1)*IF(Upgrades!$T$21="Open Cluster",POWER(Upgrades!$U$21,M362),1))+(IF(M362=0,0,(Upgrades!$M$21+M362*Upgrades!$N$21)*POWER(Upgrades!$O$21,M362)))*(IF(Upgrades!$T$13="Moving Group",POWER(Upgrades!$U$13,E362),1)*IF(Upgrades!$T$14="Moving Group",POWER(Upgrades!$U$14,F362),1)*IF(Upgrades!$T$15="Moving Group",POWER(Upgrades!$U$15,G362),1)*IF(Upgrades!$T$16="Moving Group",POWER(Upgrades!$U$16,H362),1)*IF(Upgrades!$T$17="Moving Group",POWER(Upgrades!$U$17,I362),1)*IF(Upgrades!$T$18="Moving Group",POWER(Upgrades!$U$18,J362),1)*IF(Upgrades!$T$19="Moving Group",POWER(Upgrades!$U$19,K362),1)*IF(Upgrades!$T$20="Moving Group",POWER(Upgrades!$U$20,L362),1)))*POWER(Upgrades!$R$13,E362)*POWER(Upgrades!$R$14,F362)*POWER(Upgrades!$R$15,G362)*POWER(Upgrades!$R$16,H362)*POWER(Upgrades!$R$17,I362)*POWER(Upgrades!$R$18,J362)*POWER(Upgrades!$R$19,K362)*POWER(Upgrades!$R$20,L362)*POWER(Upgrades!$R$21,M362)*$H$6+$E$6</f>
        <v/>
      </c>
      <c r="R362" s="27">
        <f>IF(N362=1,0,O362*Parameters!$B$10/60*Parameters!$B$11*10)</f>
        <v/>
      </c>
      <c r="S362" s="27">
        <f>IF(N362=1,0,Q362*O362*10)</f>
        <v/>
      </c>
      <c r="T362" s="27">
        <f>IF(N362=1,0,R362+S362+P362*10)</f>
        <v/>
      </c>
      <c r="U362" s="33">
        <f>BE362</f>
        <v/>
      </c>
      <c r="V362" s="22">
        <f>IF(U362="",0,IF(U362="transition",0,IF(U362="SK",AK362,IF(U362="LB",AL362,IF(U362="ML",AM362,IF(U362="RLO",AN362,IF(U362="BD",AO362,IF(U362="BiP",AP362,IF(U362="PV",AQ362,IF(U362="OC",AR362,IF(U362="MG",AS362,0))))))))))</f>
        <v/>
      </c>
      <c r="W362" s="27">
        <f>IF(U362="BiP",Upgrades!$F$18,IF(U362="PV",Upgrades!$F$19,IF(U362="OC",Upgrades!$F$20,IF(U362="MG",Upgrades!$F$21,IF(U362="transition",-Parameters!$B$18*Parameters!$B$19,0)))))</f>
        <v/>
      </c>
      <c r="X362" s="22">
        <f>C362+T362-V362</f>
        <v/>
      </c>
      <c r="Y362" s="30">
        <f>O362*Parameters!$B$10/60*Parameters!$B$11+Q362*O362+P362</f>
        <v/>
      </c>
      <c r="Z362" s="34">
        <f>IF(U362="transition","→ Tier 3 (Galactic Arm)",IF(U362="MG","Moving Group — pocket drifts together",IF(U362="OC","Open Cluster acquired",IF(U362="PV","Peculiar Velocity — passive multiplier active",IF(U362="BiP","Binary Partner — pair bond formed",IF(AND(AU362=1,N362=0,AT362&lt;&gt;1),"Cohesion ready (waiting on completionists)","")))))) </f>
        <v/>
      </c>
      <c r="AA362" s="27">
        <f>(IF(E362=0,0,(Upgrades!$G$13+E362*Upgrades!$H$13)*POWER(Upgrades!$I$13,E362)))*(IF(Upgrades!$T$14="Stellar Kinematics",POWER(Upgrades!$U$14,F362),1)*IF(Upgrades!$T$15="Stellar Kinematics",POWER(Upgrades!$U$15,G362),1)*IF(Upgrades!$T$16="Stellar Kinematics",POWER(Upgrades!$U$16,H362),1)*IF(Upgrades!$T$17="Stellar Kinematics",POWER(Upgrades!$U$17,I362),1)*IF(Upgrades!$T$18="Stellar Kinematics",POWER(Upgrades!$U$18,J362),1)*IF(Upgrades!$T$19="Stellar Kinematics",POWER(Upgrades!$U$19,K362),1)*IF(Upgrades!$T$20="Stellar Kinematics",POWER(Upgrades!$U$20,L362),1)*IF(Upgrades!$T$21="Stellar Kinematics",POWER(Upgrades!$U$21,M362),1))*POWER(Upgrades!$P$13,E362)*POWER(Upgrades!$P$14,F362)*POWER(Upgrades!$P$15,G362)*POWER(Upgrades!$P$16,H362)*POWER(Upgrades!$P$17,I362)*POWER(Upgrades!$P$18,J362)*POWER(Upgrades!$P$19,K362)*POWER(Upgrades!$P$20,L362)*POWER(Upgrades!$P$21,M362)*$F$6*60</f>
        <v/>
      </c>
      <c r="AB362" s="27">
        <f>(IF(F362=0,0,(Upgrades!$G$14+F362*Upgrades!$H$14)*POWER(Upgrades!$I$14,F362)))*(IF(Upgrades!$T$13="Local Bubble",POWER(Upgrades!$U$13,E362),1)*IF(Upgrades!$T$15="Local Bubble",POWER(Upgrades!$U$15,G362),1)*IF(Upgrades!$T$16="Local Bubble",POWER(Upgrades!$U$16,H362),1)*IF(Upgrades!$T$17="Local Bubble",POWER(Upgrades!$U$17,I362),1)*IF(Upgrades!$T$18="Local Bubble",POWER(Upgrades!$U$18,J362),1)*IF(Upgrades!$T$19="Local Bubble",POWER(Upgrades!$U$19,K362),1)*IF(Upgrades!$T$20="Local Bubble",POWER(Upgrades!$U$20,L362),1)*IF(Upgrades!$T$21="Local Bubble",POWER(Upgrades!$U$21,M362),1))*POWER(Upgrades!$P$13,E362)*POWER(Upgrades!$P$14,F362)*POWER(Upgrades!$P$15,G362)*POWER(Upgrades!$P$16,H362)*POWER(Upgrades!$P$17,I362)*POWER(Upgrades!$P$18,J362)*POWER(Upgrades!$P$19,K362)*POWER(Upgrades!$P$20,L362)*POWER(Upgrades!$P$21,M362)*$F$6*60</f>
        <v/>
      </c>
      <c r="AC362" s="27">
        <f>(IF(G362=0,0,(Upgrades!$J$15+G362*Upgrades!$K$15)*POWER(Upgrades!$L$15,G362)))*(IF(Upgrades!$T$13="Microlensing",POWER(Upgrades!$U$13,E362),1)*IF(Upgrades!$T$14="Microlensing",POWER(Upgrades!$U$14,F362),1)*IF(Upgrades!$T$16="Microlensing",POWER(Upgrades!$U$16,H362),1)*IF(Upgrades!$T$17="Microlensing",POWER(Upgrades!$U$17,I362),1)*IF(Upgrades!$T$18="Microlensing",POWER(Upgrades!$U$18,J362),1)*IF(Upgrades!$T$19="Microlensing",POWER(Upgrades!$U$19,K362),1)*IF(Upgrades!$T$20="Microlensing",POWER(Upgrades!$U$20,L362),1)*IF(Upgrades!$T$21="Microlensing",POWER(Upgrades!$U$21,M362),1))*POWER(Upgrades!$Q$13,E362)*POWER(Upgrades!$Q$14,F362)*POWER(Upgrades!$Q$15,G362)*POWER(Upgrades!$Q$16,H362)*POWER(Upgrades!$Q$17,I362)*POWER(Upgrades!$Q$18,J362)*POWER(Upgrades!$Q$19,K362)*POWER(Upgrades!$Q$20,L362)*POWER(Upgrades!$Q$21,M362)*$G$6*(Parameters!$B$10*Parameters!$B$11+Q362*60)</f>
        <v/>
      </c>
      <c r="AD362" s="27">
        <f>(IF(H362=0,0,(Upgrades!$M$16+H362*Upgrades!$N$16)*POWER(Upgrades!$O$16,H362)))*(IF(Upgrades!$T$13="Roche Lobe Overflow",POWER(Upgrades!$U$13,E362),1)*IF(Upgrades!$T$14="Roche Lobe Overflow",POWER(Upgrades!$U$14,F362),1)*IF(Upgrades!$T$15="Roche Lobe Overflow",POWER(Upgrades!$U$15,G362),1)*IF(Upgrades!$T$17="Roche Lobe Overflow",POWER(Upgrades!$U$17,I362),1)*IF(Upgrades!$T$18="Roche Lobe Overflow",POWER(Upgrades!$U$18,J362),1)*IF(Upgrades!$T$19="Roche Lobe Overflow",POWER(Upgrades!$U$19,K362),1)*IF(Upgrades!$T$20="Roche Lobe Overflow",POWER(Upgrades!$U$20,L362),1)*IF(Upgrades!$T$21="Roche Lobe Overflow",POWER(Upgrades!$U$21,M362),1))*POWER(Upgrades!$R$13,E362)*POWER(Upgrades!$R$14,F362)*POWER(Upgrades!$R$15,G362)*POWER(Upgrades!$R$16,H362)*POWER(Upgrades!$R$17,I362)*POWER(Upgrades!$R$18,J362)*POWER(Upgrades!$R$19,K362)*POWER(Upgrades!$R$20,L362)*POWER(Upgrades!$R$21,M362)*$H$6*O362*60</f>
        <v/>
      </c>
      <c r="AE362" s="27">
        <f>(IF(I362=0,0,(Upgrades!$G$17+I362*Upgrades!$H$17)*POWER(Upgrades!$I$17,I362)))*(IF(Upgrades!$T$13="Brown Dwarf",POWER(Upgrades!$U$13,E362),1)*IF(Upgrades!$T$14="Brown Dwarf",POWER(Upgrades!$U$14,F362),1)*IF(Upgrades!$T$15="Brown Dwarf",POWER(Upgrades!$U$15,G362),1)*IF(Upgrades!$T$16="Brown Dwarf",POWER(Upgrades!$U$16,H362),1)*IF(Upgrades!$T$18="Brown Dwarf",POWER(Upgrades!$U$18,J362),1)*IF(Upgrades!$T$19="Brown Dwarf",POWER(Upgrades!$U$19,K362),1)*IF(Upgrades!$T$20="Brown Dwarf",POWER(Upgrades!$U$20,L362),1)*IF(Upgrades!$T$21="Brown Dwarf",POWER(Upgrades!$U$21,M362),1))*POWER(Upgrades!$P$13,E362)*POWER(Upgrades!$P$14,F362)*POWER(Upgrades!$P$15,G362)*POWER(Upgrades!$P$16,H362)*POWER(Upgrades!$P$17,I362)*POWER(Upgrades!$P$18,J362)*POWER(Upgrades!$P$19,K362)*POWER(Upgrades!$P$20,L362)*POWER(Upgrades!$P$21,M362)*$F$6*60</f>
        <v/>
      </c>
      <c r="AF362" s="27" t="n">
        <v>0</v>
      </c>
      <c r="AG362" s="27" t="n">
        <v>0</v>
      </c>
      <c r="AH362" s="27" t="n">
        <v>0</v>
      </c>
      <c r="AI362" s="27">
        <f>(IF(M362=0,0,(Upgrades!$G$21+M362*Upgrades!$H$21)*POWER(Upgrades!$I$21,M362)))*(IF(Upgrades!$T$13="Moving Group",POWER(Upgrades!$U$13,E362),1)*IF(Upgrades!$T$14="Moving Group",POWER(Upgrades!$U$14,F362),1)*IF(Upgrades!$T$15="Moving Group",POWER(Upgrades!$U$15,G362),1)*IF(Upgrades!$T$16="Moving Group",POWER(Upgrades!$U$16,H362),1)*IF(Upgrades!$T$17="Moving Group",POWER(Upgrades!$U$17,I362),1)*IF(Upgrades!$T$18="Moving Group",POWER(Upgrades!$U$18,J362),1)*IF(Upgrades!$T$19="Moving Group",POWER(Upgrades!$U$19,K362),1)*IF(Upgrades!$T$20="Moving Group",POWER(Upgrades!$U$20,L362),1))*POWER(Upgrades!$P$13,E362)*POWER(Upgrades!$P$14,F362)*POWER(Upgrades!$P$15,G362)*POWER(Upgrades!$P$16,H362)*POWER(Upgrades!$P$17,I362)*POWER(Upgrades!$P$18,J362)*POWER(Upgrades!$P$19,K362)*POWER(Upgrades!$P$20,L362)*POWER(Upgrades!$P$21,M362)*$F$6*60</f>
        <v/>
      </c>
      <c r="AJ362" s="27">
        <f>$C$6*60</f>
        <v/>
      </c>
      <c r="AK362" s="22">
        <f>IF(E362&gt;=Upgrades!$E$13,"",Upgrades!$C$13*POWER(Upgrades!$D$13,E362))</f>
        <v/>
      </c>
      <c r="AL362" s="22">
        <f>IF(F362&gt;=Upgrades!$E$14,"",Upgrades!$C$14*POWER(Upgrades!$D$14,F362))</f>
        <v/>
      </c>
      <c r="AM362" s="22">
        <f>IF(G362&gt;=Upgrades!$E$15,"",Upgrades!$C$15*POWER(Upgrades!$D$15,G362))</f>
        <v/>
      </c>
      <c r="AN362" s="22">
        <f>IF(H362&gt;=Upgrades!$E$16,"",Upgrades!$C$16*POWER(Upgrades!$D$16,H362))</f>
        <v/>
      </c>
      <c r="AO362" s="22">
        <f>IF(I362&gt;=Upgrades!$E$17,"",Upgrades!$C$17*POWER(Upgrades!$D$17,I362))</f>
        <v/>
      </c>
      <c r="AP362" s="22">
        <f>IF(J362&gt;=Upgrades!$E$18,"",Upgrades!$C$18*POWER(Upgrades!$D$18,J362))</f>
        <v/>
      </c>
      <c r="AQ362" s="22">
        <f>IF(K362&gt;=Upgrades!$E$19,"",Upgrades!$C$19*POWER(Upgrades!$D$19,K362))</f>
        <v/>
      </c>
      <c r="AR362" s="22">
        <f>IF(L362&gt;=Upgrades!$E$20,"",Upgrades!$C$20*POWER(Upgrades!$D$20,L362))</f>
        <v/>
      </c>
      <c r="AS362" s="22">
        <f>IF(M362&gt;=Upgrades!$E$21,"",Upgrades!$C$21*POWER(Upgrades!$D$21,M362))</f>
        <v/>
      </c>
      <c r="AT362" s="26">
        <f>IF(AND(D362&gt;=Parameters!$B$18*Parameters!$B$19,(I362&gt;=Upgrades!$E$17)*(M362&gt;=Upgrades!$E$21)=1,N362=0),1,"")</f>
        <v/>
      </c>
      <c r="AU362" s="26">
        <f>IF(AND(D362&gt;=Parameters!$B$18*Parameters!$B$19,N362=0),1,"")</f>
        <v/>
      </c>
      <c r="AV362" s="22">
        <f>MIN(IF(ISNUMBER(AP362),AP362,9E15),IF(ISNUMBER(AQ362),AQ362,9E15),IF(ISNUMBER(AR362),AR362,9E15),IF(ISNUMBER(AS362),AS362,9E15))</f>
        <v/>
      </c>
      <c r="AW362" s="22">
        <f>MIN(IF(ISNUMBER(AK362),AK362,9E15),IF(ISNUMBER(AL362),AL362,9E15),IF(ISNUMBER(AM362),AM362,9E15),IF(ISNUMBER(AN362),AN362,9E15),IF(ISNUMBER(AO362),AO362,9E15))</f>
        <v/>
      </c>
      <c r="AX362" s="29">
        <f>IF(BD362&gt;Parameters!$B$21*(MAX(IF(AND(NOT(AND(AU362=1,AT362&lt;&gt;1)),ISNUMBER(AK362),AK362&lt;=(C362+T362)),AY362,0),IF(AND(NOT(AND(AU362=1,AT362&lt;&gt;1)),ISNUMBER(AL362),AL362&lt;=(C362+T362)),AZ362,0),IF(AND(NOT(AND(AU362=1,AT362&lt;&gt;1)),ISNUMBER(AM362),AM362&lt;=(C362+T362)),BA362,0),IF(AND(NOT(AND(AU362=1,AT362&lt;&gt;1)),ISNUMBER(AN362),AN362&lt;=(C362+T362)),BB362,0),IF(AND(ISNUMBER(AO362),AO362&lt;=(C362+T362)),BC362,0))),TRUE,FALSE)</f>
        <v/>
      </c>
      <c r="AY362" s="32">
        <f>IFERROR(Upgrades!$H$13*(POWER(Upgrades!$P$13,E362)*POWER(Upgrades!$P$14,F362)*POWER(Upgrades!$P$15,G362)*POWER(Upgrades!$P$16,H362)*POWER(Upgrades!$P$17,I362)*POWER(Upgrades!$P$18,J362)*POWER(Upgrades!$P$19,K362)*POWER(Upgrades!$P$20,L362)*POWER(Upgrades!$P$21,M362))*(IF(Upgrades!$T$14="Stellar Kinematics",POWER(Upgrades!$U$14,F362),1)*IF(Upgrades!$T$15="Stellar Kinematics",POWER(Upgrades!$U$15,G362),1)*IF(Upgrades!$T$16="Stellar Kinematics",POWER(Upgrades!$U$16,H362),1)*IF(Upgrades!$T$17="Stellar Kinematics",POWER(Upgrades!$U$17,I362),1)*IF(Upgrades!$T$18="Stellar Kinematics",POWER(Upgrades!$U$18,J362),1)*IF(Upgrades!$T$19="Stellar Kinematics",POWER(Upgrades!$U$19,K362),1)*IF(Upgrades!$T$20="Stellar Kinematics",POWER(Upgrades!$U$20,L362),1)*IF(Upgrades!$T$21="Stellar Kinematics",POWER(Upgrades!$U$21,M362),1))*$F$6/AK362,0)</f>
        <v/>
      </c>
      <c r="AZ362" s="32">
        <f>IFERROR(Upgrades!$H$14*(POWER(Upgrades!$P$13,E362)*POWER(Upgrades!$P$14,F362)*POWER(Upgrades!$P$15,G362)*POWER(Upgrades!$P$16,H362)*POWER(Upgrades!$P$17,I362)*POWER(Upgrades!$P$18,J362)*POWER(Upgrades!$P$19,K362)*POWER(Upgrades!$P$20,L362)*POWER(Upgrades!$P$21,M362))*(IF(Upgrades!$T$13="Local Bubble",POWER(Upgrades!$U$13,E362),1)*IF(Upgrades!$T$15="Local Bubble",POWER(Upgrades!$U$15,G362),1)*IF(Upgrades!$T$16="Local Bubble",POWER(Upgrades!$U$16,H362),1)*IF(Upgrades!$T$17="Local Bubble",POWER(Upgrades!$U$17,I362),1)*IF(Upgrades!$T$18="Local Bubble",POWER(Upgrades!$U$18,J362),1)*IF(Upgrades!$T$19="Local Bubble",POWER(Upgrades!$U$19,K362),1)*IF(Upgrades!$T$20="Local Bubble",POWER(Upgrades!$U$20,L362),1)*IF(Upgrades!$T$21="Local Bubble",POWER(Upgrades!$U$21,M362),1))*$F$6/AL362,0)</f>
        <v/>
      </c>
      <c r="BA362" s="32">
        <f>IFERROR(Upgrades!$K$15*(POWER(Upgrades!$Q$13,E362)*POWER(Upgrades!$Q$14,F362)*POWER(Upgrades!$Q$15,G362)*POWER(Upgrades!$Q$16,H362)*POWER(Upgrades!$Q$17,I362)*POWER(Upgrades!$Q$18,J362)*POWER(Upgrades!$Q$19,K362)*POWER(Upgrades!$Q$20,L362)*POWER(Upgrades!$Q$21,M362))*(IF(Upgrades!$T$13="Microlensing",POWER(Upgrades!$U$13,E362),1)*IF(Upgrades!$T$14="Microlensing",POWER(Upgrades!$U$14,F362),1)*IF(Upgrades!$T$16="Microlensing",POWER(Upgrades!$U$16,H362),1)*IF(Upgrades!$T$17="Microlensing",POWER(Upgrades!$U$17,I362),1)*IF(Upgrades!$T$18="Microlensing",POWER(Upgrades!$U$18,J362),1)*IF(Upgrades!$T$19="Microlensing",POWER(Upgrades!$U$19,K362),1)*IF(Upgrades!$T$20="Microlensing",POWER(Upgrades!$U$20,L362),1)*IF(Upgrades!$T$21="Microlensing",POWER(Upgrades!$U$21,M362),1))*$G$6*(Parameters!$B$10/60*Parameters!$B$11+Q362)/AM362,0)</f>
        <v/>
      </c>
      <c r="BB362" s="32">
        <f>IFERROR((Upgrades!$N$16*(POWER(Upgrades!$R$13,E362)*POWER(Upgrades!$R$14,F362)*POWER(Upgrades!$R$15,G362)*POWER(Upgrades!$R$16,H362)*POWER(Upgrades!$R$17,I362)*POWER(Upgrades!$R$18,J362)*POWER(Upgrades!$R$19,K362)*POWER(Upgrades!$R$20,L362)*POWER(Upgrades!$R$21,M362))*(IF(Upgrades!$T$13="Roche Lobe Overflow",POWER(Upgrades!$U$13,E362),1)*IF(Upgrades!$T$14="Roche Lobe Overflow",POWER(Upgrades!$U$14,F362),1)*IF(Upgrades!$T$15="Roche Lobe Overflow",POWER(Upgrades!$U$15,G362),1)*IF(Upgrades!$T$17="Roche Lobe Overflow",POWER(Upgrades!$U$17,I362),1)*IF(Upgrades!$T$18="Roche Lobe Overflow",POWER(Upgrades!$U$18,J362),1)*IF(Upgrades!$T$19="Roche Lobe Overflow",POWER(Upgrades!$U$19,K362),1)*IF(Upgrades!$T$20="Roche Lobe Overflow",POWER(Upgrades!$U$20,L362),1)*IF(Upgrades!$T$21="Roche Lobe Overflow",POWER(Upgrades!$U$21,M362),1))*$H$6*O362+((IF(F362=0,0,(Upgrades!$G$14+F362*Upgrades!$H$14)*POWER(Upgrades!$I$14,F362)))*(IF(Upgrades!$T$13="Local Bubble",POWER(Upgrades!$U$13,E362),1)*IF(Upgrades!$T$15="Local Bubble",POWER(Upgrades!$U$15,G362),1)*IF(Upgrades!$T$16="Local Bubble",POWER(Upgrades!$U$16,H362),1)*IF(Upgrades!$T$17="Local Bubble",POWER(Upgrades!$U$17,I362),1)*IF(Upgrades!$T$18="Local Bubble",POWER(Upgrades!$U$18,J362),1)*IF(Upgrades!$T$19="Local Bubble",POWER(Upgrades!$U$19,K362),1)*IF(Upgrades!$T$20="Local Bubble",POWER(Upgrades!$U$20,L362),1)*IF(Upgrades!$T$21="Local Bubble",POWER(Upgrades!$U$21,M362),1))*POWER(Upgrades!$P$13,E362)*POWER(Upgrades!$P$14,F362)*POWER(Upgrades!$P$15,G362)*POWER(Upgrades!$P$16,H362)*POWER(Upgrades!$P$17,I362)*POWER(Upgrades!$P$18,J362)*POWER(Upgrades!$P$19,K362)*POWER(Upgrades!$P$20,L362)*POWER(Upgrades!$P$21,M362)*$F$6)*0.05)/AN362,0)</f>
        <v/>
      </c>
      <c r="BC362" s="32">
        <f>IFERROR((Upgrades!$H$17*(POWER(Upgrades!$P$13,E362)*POWER(Upgrades!$P$14,F362)*POWER(Upgrades!$P$15,G362)*POWER(Upgrades!$P$16,H362)*POWER(Upgrades!$P$17,I362)*POWER(Upgrades!$P$18,J362)*POWER(Upgrades!$P$19,K362)*POWER(Upgrades!$P$20,L362)*POWER(Upgrades!$P$21,M362))*(IF(Upgrades!$T$13="Brown Dwarf",POWER(Upgrades!$U$13,E362),1)*IF(Upgrades!$T$14="Brown Dwarf",POWER(Upgrades!$U$14,F362),1)*IF(Upgrades!$T$15="Brown Dwarf",POWER(Upgrades!$U$15,G362),1)*IF(Upgrades!$T$16="Brown Dwarf",POWER(Upgrades!$U$16,H362),1)*IF(Upgrades!$T$18="Brown Dwarf",POWER(Upgrades!$U$18,J362),1)*IF(Upgrades!$T$19="Brown Dwarf",POWER(Upgrades!$U$19,K362),1)*IF(Upgrades!$T$20="Brown Dwarf",POWER(Upgrades!$U$20,L362),1)*IF(Upgrades!$T$21="Brown Dwarf",POWER(Upgrades!$U$21,M362),1))*$F$6+(((IF(H362=0,0,(Upgrades!$M$16+H362*Upgrades!$N$16)*POWER(Upgrades!$O$16,H362)))*(IF(Upgrades!$T$13="Roche Lobe Overflow",POWER(Upgrades!$U$13,E362),1)*IF(Upgrades!$T$14="Roche Lobe Overflow",POWER(Upgrades!$U$14,F362),1)*IF(Upgrades!$T$15="Roche Lobe Overflow",POWER(Upgrades!$U$15,G362),1)*IF(Upgrades!$T$17="Roche Lobe Overflow",POWER(Upgrades!$U$17,I362),1)*IF(Upgrades!$T$18="Roche Lobe Overflow",POWER(Upgrades!$U$18,J362),1)*IF(Upgrades!$T$19="Roche Lobe Overflow",POWER(Upgrades!$U$19,K362),1)*IF(Upgrades!$T$20="Roche Lobe Overflow",POWER(Upgrades!$U$20,L362),1)*IF(Upgrades!$T$21="Roche Lobe Overflow",POWER(Upgrades!$U$21,M362),1))*POWER(Upgrades!$R$13,E362)*POWER(Upgrades!$R$14,F362)*POWER(Upgrades!$R$15,G362)*POWER(Upgrades!$R$16,H362)*POWER(Upgrades!$R$17,I362)*POWER(Upgrades!$R$18,J362)*POWER(Upgrades!$R$19,K362)*POWER(Upgrades!$R$20,L362)*POWER(Upgrades!$R$21,M362)*$H$6)*O362)*0.10)/AO362,0)</f>
        <v/>
      </c>
      <c r="BD362" s="32">
        <f>MAX(IF(J362&gt;0,0,IFERROR(0.5*((IF(G362=0,0,(Upgrades!$J$15+G362*Upgrades!$K$15)*POWER(Upgrades!$L$15,G362)))*(IF(Upgrades!$T$13="Microlensing",POWER(Upgrades!$U$13,E362),1)*IF(Upgrades!$T$14="Microlensing",POWER(Upgrades!$U$14,F362),1)*IF(Upgrades!$T$16="Microlensing",POWER(Upgrades!$U$16,H362),1)*IF(Upgrades!$T$17="Microlensing",POWER(Upgrades!$U$17,I362),1)*IF(Upgrades!$T$18="Microlensing",POWER(Upgrades!$U$18,J362),1)*IF(Upgrades!$T$19="Microlensing",POWER(Upgrades!$U$19,K362),1)*IF(Upgrades!$T$20="Microlensing",POWER(Upgrades!$U$20,L362),1)*IF(Upgrades!$T$21="Microlensing",POWER(Upgrades!$U$21,M362),1))*(POWER(Upgrades!$Q$13,E362)*POWER(Upgrades!$Q$14,F362)*POWER(Upgrades!$Q$15,G362)*POWER(Upgrades!$Q$16,H362)*POWER(Upgrades!$Q$17,I362)*POWER(Upgrades!$Q$18,J362)*POWER(Upgrades!$Q$19,K362)*POWER(Upgrades!$Q$20,L362)*POWER(Upgrades!$Q$21,M362))*$G$6*(Parameters!$B$10/60*Parameters!$B$11+Q362))/Upgrades!$C$18,0)),IF(K362&gt;0,0,IFERROR(0.30*P362/Upgrades!$C$19,0)),IF(L362&gt;0,0,IFERROR(0.0001/Upgrades!$C$20,0)),IF(M362&gt;0,0,IFERROR((6.0*(POWER(Upgrades!$P$13,E362)*POWER(Upgrades!$P$14,F362)*POWER(Upgrades!$P$15,G362)*POWER(Upgrades!$P$16,H362)*POWER(Upgrades!$P$17,I362)*POWER(Upgrades!$P$18,J362)*POWER(Upgrades!$P$19,K362)*POWER(Upgrades!$P$20,L362)*POWER(Upgrades!$P$21,M362))*$F$6+0.20*O362*(Parameters!$B$10/60*Parameters!$B$11+Q362))/Upgrades!$C$21,0)),IF(AND(ISNUMBER(AK362),AK362&gt;(C362+T362)),AY362,0),IF(AND(ISNUMBER(AL362),AL362&gt;(C362+T362)),AZ362,0),IF(AND(ISNUMBER(AM362),AM362&gt;(C362+T362)),BA362,0),IF(AND(ISNUMBER(AN362),AN362&gt;(C362+T362)),BB362,0),IF(AND(ISNUMBER(AO362),AO362&gt;(C362+T362)),BC362,0))</f>
        <v/>
      </c>
      <c r="BE362" s="29">
        <f>IF(AT362=1,"transition",IF(MIN(IF(AND(J362=0,ISNUMBER(AP362),AP362&lt;=(C362+T362)),AP362,9E15),IF(AND(K362=0,ISNUMBER(AQ362),AQ362&lt;=(C362+T362)),AQ362,9E15),IF(AND(L362=0,ISNUMBER(AR362),AR362&lt;=(C362+T362)),AR362,9E15),IF(AND(M362=0,ISNUMBER(AS362),AS362&lt;=(C362+T362)),AS362,9E15))&lt;9E15,IF(AND(AND(J362=0,ISNUMBER(AP362),AP362&lt;=(C362+T362)),AP362=MIN(IF(AND(J362=0,ISNUMBER(AP362),AP362&lt;=(C362+T362)),AP362,9E15),IF(AND(K362=0,ISNUMBER(AQ362),AQ362&lt;=(C362+T362)),AQ362,9E15),IF(AND(L362=0,ISNUMBER(AR362),AR362&lt;=(C362+T362)),AR362,9E15),IF(AND(M362=0,ISNUMBER(AS362),AS362&lt;=(C362+T362)),AS362,9E15))),"BiP",IF(AND(AND(K362=0,ISNUMBER(AQ362),AQ362&lt;=(C362+T362)),AQ362=MIN(IF(AND(J362=0,ISNUMBER(AP362),AP362&lt;=(C362+T362)),AP362,9E15),IF(AND(K362=0,ISNUMBER(AQ362),AQ362&lt;=(C362+T362)),AQ362,9E15),IF(AND(L362=0,ISNUMBER(AR362),AR362&lt;=(C362+T362)),AR362,9E15),IF(AND(M362=0,ISNUMBER(AS362),AS362&lt;=(C362+T362)),AS362,9E15))),"PV",IF(AND(AND(L362=0,ISNUMBER(AR362),AR362&lt;=(C362+T362)),AR362=MIN(IF(AND(J362=0,ISNUMBER(AP362),AP362&lt;=(C362+T362)),AP362,9E15),IF(AND(K362=0,ISNUMBER(AQ362),AQ362&lt;=(C362+T362)),AQ362,9E15),IF(AND(L362=0,ISNUMBER(AR362),AR362&lt;=(C362+T362)),AR362,9E15),IF(AND(M362=0,ISNUMBER(AS362),AS362&lt;=(C362+T362)),AS362,9E15))),"OC","MG"))),IF(AX362=TRUE,"",IF(MAX(IF(AND(NOT(AND(AU362=1,AT362&lt;&gt;1)),ISNUMBER(AK362),AK362&lt;=(C362+T362)),AY362,0),IF(AND(NOT(AND(AU362=1,AT362&lt;&gt;1)),ISNUMBER(AL362),AL362&lt;=(C362+T362)),AZ362,0),IF(AND(NOT(AND(AU362=1,AT362&lt;&gt;1)),ISNUMBER(AM362),AM362&lt;=(C362+T362)),BA362,0),IF(AND(NOT(AND(AU362=1,AT362&lt;&gt;1)),ISNUMBER(AN362),AN362&lt;=(C362+T362)),BB362,0),IF(AND(ISNUMBER(AO362),AO362&lt;=(C362+T362)),BC362,0))&lt;=0,"",IF(AND(IF(AND(NOT(AND(AU362=1,AT362&lt;&gt;1)),ISNUMBER(AK362),AK362&lt;=(C362+T362)),AY362,0)&gt;0,IF(AND(NOT(AND(AU362=1,AT362&lt;&gt;1)),ISNUMBER(AK362),AK362&lt;=(C362+T362)),AY362,0)=MAX(IF(AND(NOT(AND(AU362=1,AT362&lt;&gt;1)),ISNUMBER(AK362),AK362&lt;=(C362+T362)),AY362,0),IF(AND(NOT(AND(AU362=1,AT362&lt;&gt;1)),ISNUMBER(AL362),AL362&lt;=(C362+T362)),AZ362,0),IF(AND(NOT(AND(AU362=1,AT362&lt;&gt;1)),ISNUMBER(AM362),AM362&lt;=(C362+T362)),BA362,0),IF(AND(NOT(AND(AU362=1,AT362&lt;&gt;1)),ISNUMBER(AN362),AN362&lt;=(C362+T362)),BB362,0),IF(AND(ISNUMBER(AO362),AO362&lt;=(C362+T362)),BC362,0))),"SK",IF(AND(IF(AND(NOT(AND(AU362=1,AT362&lt;&gt;1)),ISNUMBER(AL362),AL362&lt;=(C362+T362)),AZ362,0)&gt;0,IF(AND(NOT(AND(AU362=1,AT362&lt;&gt;1)),ISNUMBER(AL362),AL362&lt;=(C362+T362)),AZ362,0)=MAX(IF(AND(NOT(AND(AU362=1,AT362&lt;&gt;1)),ISNUMBER(AK362),AK362&lt;=(C362+T362)),AY362,0),IF(AND(NOT(AND(AU362=1,AT362&lt;&gt;1)),ISNUMBER(AL362),AL362&lt;=(C362+T362)),AZ362,0),IF(AND(NOT(AND(AU362=1,AT362&lt;&gt;1)),ISNUMBER(AM362),AM362&lt;=(C362+T362)),BA362,0),IF(AND(NOT(AND(AU362=1,AT362&lt;&gt;1)),ISNUMBER(AN362),AN362&lt;=(C362+T362)),BB362,0),IF(AND(ISNUMBER(AO362),AO362&lt;=(C362+T362)),BC362,0))),"LB",IF(AND(IF(AND(NOT(AND(AU362=1,AT362&lt;&gt;1)),ISNUMBER(AM362),AM362&lt;=(C362+T362)),BA362,0)&gt;0,IF(AND(NOT(AND(AU362=1,AT362&lt;&gt;1)),ISNUMBER(AM362),AM362&lt;=(C362+T362)),BA362,0)=MAX(IF(AND(NOT(AND(AU362=1,AT362&lt;&gt;1)),ISNUMBER(AK362),AK362&lt;=(C362+T362)),AY362,0),IF(AND(NOT(AND(AU362=1,AT362&lt;&gt;1)),ISNUMBER(AL362),AL362&lt;=(C362+T362)),AZ362,0),IF(AND(NOT(AND(AU362=1,AT362&lt;&gt;1)),ISNUMBER(AM362),AM362&lt;=(C362+T362)),BA362,0),IF(AND(NOT(AND(AU362=1,AT362&lt;&gt;1)),ISNUMBER(AN362),AN362&lt;=(C362+T362)),BB362,0),IF(AND(ISNUMBER(AO362),AO362&lt;=(C362+T362)),BC362,0))),"ML",IF(AND(IF(AND(NOT(AND(AU362=1,AT362&lt;&gt;1)),ISNUMBER(AN362),AN362&lt;=(C362+T362)),BB362,0)&gt;0,IF(AND(NOT(AND(AU362=1,AT362&lt;&gt;1)),ISNUMBER(AN362),AN362&lt;=(C362+T362)),BB362,0)=MAX(IF(AND(NOT(AND(AU362=1,AT362&lt;&gt;1)),ISNUMBER(AK362),AK362&lt;=(C362+T362)),AY362,0),IF(AND(NOT(AND(AU362=1,AT362&lt;&gt;1)),ISNUMBER(AL362),AL362&lt;=(C362+T362)),AZ362,0),IF(AND(NOT(AND(AU362=1,AT362&lt;&gt;1)),ISNUMBER(AM362),AM362&lt;=(C362+T362)),BA362,0),IF(AND(NOT(AND(AU362=1,AT362&lt;&gt;1)),ISNUMBER(AN362),AN362&lt;=(C362+T362)),BB362,0),IF(AND(ISNUMBER(AO362),AO362&lt;=(C362+T362)),BC362,0))),"RLO","BD"))))))))</f>
        <v/>
      </c>
    </row>
    <row r="363">
      <c r="A363" s="26" t="n">
        <v>352</v>
      </c>
      <c r="B363" s="27">
        <f>A363*10/60</f>
        <v/>
      </c>
      <c r="C363" s="22">
        <f>X362</f>
        <v/>
      </c>
      <c r="D363" s="27">
        <f>D362+W362</f>
        <v/>
      </c>
      <c r="E363" s="26">
        <f>E362+IF(U362="SK",1,0)</f>
        <v/>
      </c>
      <c r="F363" s="26">
        <f>F362+IF(U362="LB",1,0)</f>
        <v/>
      </c>
      <c r="G363" s="26">
        <f>G362+IF(U362="ML",1,0)</f>
        <v/>
      </c>
      <c r="H363" s="26">
        <f>H362+IF(U362="RLO",1,0)</f>
        <v/>
      </c>
      <c r="I363" s="26">
        <f>I362+IF(U362="BD",1,0)</f>
        <v/>
      </c>
      <c r="J363" s="26">
        <f>MAX(J362,IF(U362="BiP",1,0))</f>
        <v/>
      </c>
      <c r="K363" s="26">
        <f>MAX(K362,IF(U362="PV",1,0))</f>
        <v/>
      </c>
      <c r="L363" s="26">
        <f>MAX(L362,IF(U362="OC",1,0))</f>
        <v/>
      </c>
      <c r="M363" s="26">
        <f>MAX(M362,IF(U362="MG",1,0))</f>
        <v/>
      </c>
      <c r="N363" s="26">
        <f>MAX(N362,IF(U362="transition",1,0))</f>
        <v/>
      </c>
      <c r="O363" s="28">
        <f>(Parameters!$B$9+(IF(E363=0,0,(Upgrades!$J$13+E363*Upgrades!$K$13)*POWER(Upgrades!$L$13,E363)))*(IF(Upgrades!$T$14="Stellar Kinematics",POWER(Upgrades!$U$14,F363),1)*IF(Upgrades!$T$15="Stellar Kinematics",POWER(Upgrades!$U$15,G363),1)*IF(Upgrades!$T$16="Stellar Kinematics",POWER(Upgrades!$U$16,H363),1)*IF(Upgrades!$T$17="Stellar Kinematics",POWER(Upgrades!$U$17,I363),1)*IF(Upgrades!$T$18="Stellar Kinematics",POWER(Upgrades!$U$18,J363),1)*IF(Upgrades!$T$19="Stellar Kinematics",POWER(Upgrades!$U$19,K363),1)*IF(Upgrades!$T$20="Stellar Kinematics",POWER(Upgrades!$U$20,L363),1)*IF(Upgrades!$T$21="Stellar Kinematics",POWER(Upgrades!$U$21,M363),1))+(IF(F363=0,0,(Upgrades!$J$14+F363*Upgrades!$K$14)*POWER(Upgrades!$L$14,F363)))*(IF(Upgrades!$T$13="Local Bubble",POWER(Upgrades!$U$13,E363),1)*IF(Upgrades!$T$15="Local Bubble",POWER(Upgrades!$U$15,G363),1)*IF(Upgrades!$T$16="Local Bubble",POWER(Upgrades!$U$16,H363),1)*IF(Upgrades!$T$17="Local Bubble",POWER(Upgrades!$U$17,I363),1)*IF(Upgrades!$T$18="Local Bubble",POWER(Upgrades!$U$18,J363),1)*IF(Upgrades!$T$19="Local Bubble",POWER(Upgrades!$U$19,K363),1)*IF(Upgrades!$T$20="Local Bubble",POWER(Upgrades!$U$20,L363),1)*IF(Upgrades!$T$21="Local Bubble",POWER(Upgrades!$U$21,M363),1))+(IF(G363=0,0,(Upgrades!$J$15+G363*Upgrades!$K$15)*POWER(Upgrades!$L$15,G363)))*(IF(Upgrades!$T$13="Microlensing",POWER(Upgrades!$U$13,E363),1)*IF(Upgrades!$T$14="Microlensing",POWER(Upgrades!$U$14,F363),1)*IF(Upgrades!$T$16="Microlensing",POWER(Upgrades!$U$16,H363),1)*IF(Upgrades!$T$17="Microlensing",POWER(Upgrades!$U$17,I363),1)*IF(Upgrades!$T$18="Microlensing",POWER(Upgrades!$U$18,J363),1)*IF(Upgrades!$T$19="Microlensing",POWER(Upgrades!$U$19,K363),1)*IF(Upgrades!$T$20="Microlensing",POWER(Upgrades!$U$20,L363),1)*IF(Upgrades!$T$21="Microlensing",POWER(Upgrades!$U$21,M363),1))+(IF(H363=0,0,(Upgrades!$J$16+H363*Upgrades!$K$16)*POWER(Upgrades!$L$16,H363)))*(IF(Upgrades!$T$13="Roche Lobe Overflow",POWER(Upgrades!$U$13,E363),1)*IF(Upgrades!$T$14="Roche Lobe Overflow",POWER(Upgrades!$U$14,F363),1)*IF(Upgrades!$T$15="Roche Lobe Overflow",POWER(Upgrades!$U$15,G363),1)*IF(Upgrades!$T$17="Roche Lobe Overflow",POWER(Upgrades!$U$17,I363),1)*IF(Upgrades!$T$18="Roche Lobe Overflow",POWER(Upgrades!$U$18,J363),1)*IF(Upgrades!$T$19="Roche Lobe Overflow",POWER(Upgrades!$U$19,K363),1)*IF(Upgrades!$T$20="Roche Lobe Overflow",POWER(Upgrades!$U$20,L363),1)*IF(Upgrades!$T$21="Roche Lobe Overflow",POWER(Upgrades!$U$21,M363),1))+(IF(I363=0,0,(Upgrades!$J$17+I363*Upgrades!$K$17)*POWER(Upgrades!$L$17,I363)))*(IF(Upgrades!$T$13="Brown Dwarf",POWER(Upgrades!$U$13,E363),1)*IF(Upgrades!$T$14="Brown Dwarf",POWER(Upgrades!$U$14,F363),1)*IF(Upgrades!$T$15="Brown Dwarf",POWER(Upgrades!$U$15,G363),1)*IF(Upgrades!$T$16="Brown Dwarf",POWER(Upgrades!$U$16,H363),1)*IF(Upgrades!$T$18="Brown Dwarf",POWER(Upgrades!$U$18,J363),1)*IF(Upgrades!$T$19="Brown Dwarf",POWER(Upgrades!$U$19,K363),1)*IF(Upgrades!$T$20="Brown Dwarf",POWER(Upgrades!$U$20,L363),1)*IF(Upgrades!$T$21="Brown Dwarf",POWER(Upgrades!$U$21,M363),1))+(IF(J363=0,0,(Upgrades!$J$18+J363*Upgrades!$K$18)*POWER(Upgrades!$L$18,J363)))*(IF(Upgrades!$T$13="Binary Partner",POWER(Upgrades!$U$13,E363),1)*IF(Upgrades!$T$14="Binary Partner",POWER(Upgrades!$U$14,F363),1)*IF(Upgrades!$T$15="Binary Partner",POWER(Upgrades!$U$15,G363),1)*IF(Upgrades!$T$16="Binary Partner",POWER(Upgrades!$U$16,H363),1)*IF(Upgrades!$T$17="Binary Partner",POWER(Upgrades!$U$17,I363),1)*IF(Upgrades!$T$19="Binary Partner",POWER(Upgrades!$U$19,K363),1)*IF(Upgrades!$T$20="Binary Partner",POWER(Upgrades!$U$20,L363),1)*IF(Upgrades!$T$21="Binary Partner",POWER(Upgrades!$U$21,M363),1))+(IF(K363=0,0,(Upgrades!$J$19+K363*Upgrades!$K$19)*POWER(Upgrades!$L$19,K363)))*(IF(Upgrades!$T$13="Peculiar Velocity",POWER(Upgrades!$U$13,E363),1)*IF(Upgrades!$T$14="Peculiar Velocity",POWER(Upgrades!$U$14,F363),1)*IF(Upgrades!$T$15="Peculiar Velocity",POWER(Upgrades!$U$15,G363),1)*IF(Upgrades!$T$16="Peculiar Velocity",POWER(Upgrades!$U$16,H363),1)*IF(Upgrades!$T$17="Peculiar Velocity",POWER(Upgrades!$U$17,I363),1)*IF(Upgrades!$T$18="Peculiar Velocity",POWER(Upgrades!$U$18,J363),1)*IF(Upgrades!$T$20="Peculiar Velocity",POWER(Upgrades!$U$20,L363),1)*IF(Upgrades!$T$21="Peculiar Velocity",POWER(Upgrades!$U$21,M363),1))+(IF(L363=0,0,(Upgrades!$J$20+L363*Upgrades!$K$20)*POWER(Upgrades!$L$20,L363)))*(IF(Upgrades!$T$13="Open Cluster",POWER(Upgrades!$U$13,E363),1)*IF(Upgrades!$T$14="Open Cluster",POWER(Upgrades!$U$14,F363),1)*IF(Upgrades!$T$15="Open Cluster",POWER(Upgrades!$U$15,G363),1)*IF(Upgrades!$T$16="Open Cluster",POWER(Upgrades!$U$16,H363),1)*IF(Upgrades!$T$17="Open Cluster",POWER(Upgrades!$U$17,I363),1)*IF(Upgrades!$T$18="Open Cluster",POWER(Upgrades!$U$18,J363),1)*IF(Upgrades!$T$19="Open Cluster",POWER(Upgrades!$U$19,K363),1)*IF(Upgrades!$T$21="Open Cluster",POWER(Upgrades!$U$21,M363),1))+(IF(M363=0,0,(Upgrades!$J$21+M363*Upgrades!$K$21)*POWER(Upgrades!$L$21,M363)))*(IF(Upgrades!$T$13="Moving Group",POWER(Upgrades!$U$13,E363),1)*IF(Upgrades!$T$14="Moving Group",POWER(Upgrades!$U$14,F363),1)*IF(Upgrades!$T$15="Moving Group",POWER(Upgrades!$U$15,G363),1)*IF(Upgrades!$T$16="Moving Group",POWER(Upgrades!$U$16,H363),1)*IF(Upgrades!$T$17="Moving Group",POWER(Upgrades!$U$17,I363),1)*IF(Upgrades!$T$18="Moving Group",POWER(Upgrades!$U$18,J363),1)*IF(Upgrades!$T$19="Moving Group",POWER(Upgrades!$U$19,K363),1)*IF(Upgrades!$T$20="Moving Group",POWER(Upgrades!$U$20,L363),1)))*POWER(Upgrades!$Q$13,E363)*POWER(Upgrades!$Q$14,F363)*POWER(Upgrades!$Q$15,G363)*POWER(Upgrades!$Q$16,H363)*POWER(Upgrades!$Q$17,I363)*POWER(Upgrades!$Q$18,J363)*POWER(Upgrades!$Q$19,K363)*POWER(Upgrades!$Q$20,L363)*POWER(Upgrades!$Q$21,M363)*$G$6+$D$6</f>
        <v/>
      </c>
      <c r="P363" s="28">
        <f>((IF(E363=0,0,(Upgrades!$G$13+E363*Upgrades!$H$13)*POWER(Upgrades!$I$13,E363)))*(IF(Upgrades!$T$14="Stellar Kinematics",POWER(Upgrades!$U$14,F363),1)*IF(Upgrades!$T$15="Stellar Kinematics",POWER(Upgrades!$U$15,G363),1)*IF(Upgrades!$T$16="Stellar Kinematics",POWER(Upgrades!$U$16,H363),1)*IF(Upgrades!$T$17="Stellar Kinematics",POWER(Upgrades!$U$17,I363),1)*IF(Upgrades!$T$18="Stellar Kinematics",POWER(Upgrades!$U$18,J363),1)*IF(Upgrades!$T$19="Stellar Kinematics",POWER(Upgrades!$U$19,K363),1)*IF(Upgrades!$T$20="Stellar Kinematics",POWER(Upgrades!$U$20,L363),1)*IF(Upgrades!$T$21="Stellar Kinematics",POWER(Upgrades!$U$21,M363),1))+(IF(F363=0,0,(Upgrades!$G$14+F363*Upgrades!$H$14)*POWER(Upgrades!$I$14,F363)))*(IF(Upgrades!$T$13="Local Bubble",POWER(Upgrades!$U$13,E363),1)*IF(Upgrades!$T$15="Local Bubble",POWER(Upgrades!$U$15,G363),1)*IF(Upgrades!$T$16="Local Bubble",POWER(Upgrades!$U$16,H363),1)*IF(Upgrades!$T$17="Local Bubble",POWER(Upgrades!$U$17,I363),1)*IF(Upgrades!$T$18="Local Bubble",POWER(Upgrades!$U$18,J363),1)*IF(Upgrades!$T$19="Local Bubble",POWER(Upgrades!$U$19,K363),1)*IF(Upgrades!$T$20="Local Bubble",POWER(Upgrades!$U$20,L363),1)*IF(Upgrades!$T$21="Local Bubble",POWER(Upgrades!$U$21,M363),1))+(IF(G363=0,0,(Upgrades!$G$15+G363*Upgrades!$H$15)*POWER(Upgrades!$I$15,G363)))*(IF(Upgrades!$T$13="Microlensing",POWER(Upgrades!$U$13,E363),1)*IF(Upgrades!$T$14="Microlensing",POWER(Upgrades!$U$14,F363),1)*IF(Upgrades!$T$16="Microlensing",POWER(Upgrades!$U$16,H363),1)*IF(Upgrades!$T$17="Microlensing",POWER(Upgrades!$U$17,I363),1)*IF(Upgrades!$T$18="Microlensing",POWER(Upgrades!$U$18,J363),1)*IF(Upgrades!$T$19="Microlensing",POWER(Upgrades!$U$19,K363),1)*IF(Upgrades!$T$20="Microlensing",POWER(Upgrades!$U$20,L363),1)*IF(Upgrades!$T$21="Microlensing",POWER(Upgrades!$U$21,M363),1))+(IF(H363=0,0,(Upgrades!$G$16+H363*Upgrades!$H$16)*POWER(Upgrades!$I$16,H363)))*(IF(Upgrades!$T$13="Roche Lobe Overflow",POWER(Upgrades!$U$13,E363),1)*IF(Upgrades!$T$14="Roche Lobe Overflow",POWER(Upgrades!$U$14,F363),1)*IF(Upgrades!$T$15="Roche Lobe Overflow",POWER(Upgrades!$U$15,G363),1)*IF(Upgrades!$T$17="Roche Lobe Overflow",POWER(Upgrades!$U$17,I363),1)*IF(Upgrades!$T$18="Roche Lobe Overflow",POWER(Upgrades!$U$18,J363),1)*IF(Upgrades!$T$19="Roche Lobe Overflow",POWER(Upgrades!$U$19,K363),1)*IF(Upgrades!$T$20="Roche Lobe Overflow",POWER(Upgrades!$U$20,L363),1)*IF(Upgrades!$T$21="Roche Lobe Overflow",POWER(Upgrades!$U$21,M363),1))+(IF(I363=0,0,(Upgrades!$G$17+I363*Upgrades!$H$17)*POWER(Upgrades!$I$17,I363)))*(IF(Upgrades!$T$13="Brown Dwarf",POWER(Upgrades!$U$13,E363),1)*IF(Upgrades!$T$14="Brown Dwarf",POWER(Upgrades!$U$14,F363),1)*IF(Upgrades!$T$15="Brown Dwarf",POWER(Upgrades!$U$15,G363),1)*IF(Upgrades!$T$16="Brown Dwarf",POWER(Upgrades!$U$16,H363),1)*IF(Upgrades!$T$18="Brown Dwarf",POWER(Upgrades!$U$18,J363),1)*IF(Upgrades!$T$19="Brown Dwarf",POWER(Upgrades!$U$19,K363),1)*IF(Upgrades!$T$20="Brown Dwarf",POWER(Upgrades!$U$20,L363),1)*IF(Upgrades!$T$21="Brown Dwarf",POWER(Upgrades!$U$21,M363),1))+(IF(J363=0,0,(Upgrades!$G$18+J363*Upgrades!$H$18)*POWER(Upgrades!$I$18,J363)))*(IF(Upgrades!$T$13="Binary Partner",POWER(Upgrades!$U$13,E363),1)*IF(Upgrades!$T$14="Binary Partner",POWER(Upgrades!$U$14,F363),1)*IF(Upgrades!$T$15="Binary Partner",POWER(Upgrades!$U$15,G363),1)*IF(Upgrades!$T$16="Binary Partner",POWER(Upgrades!$U$16,H363),1)*IF(Upgrades!$T$17="Binary Partner",POWER(Upgrades!$U$17,I363),1)*IF(Upgrades!$T$19="Binary Partner",POWER(Upgrades!$U$19,K363),1)*IF(Upgrades!$T$20="Binary Partner",POWER(Upgrades!$U$20,L363),1)*IF(Upgrades!$T$21="Binary Partner",POWER(Upgrades!$U$21,M363),1))+(IF(K363=0,0,(Upgrades!$G$19+K363*Upgrades!$H$19)*POWER(Upgrades!$I$19,K363)))*(IF(Upgrades!$T$13="Peculiar Velocity",POWER(Upgrades!$U$13,E363),1)*IF(Upgrades!$T$14="Peculiar Velocity",POWER(Upgrades!$U$14,F363),1)*IF(Upgrades!$T$15="Peculiar Velocity",POWER(Upgrades!$U$15,G363),1)*IF(Upgrades!$T$16="Peculiar Velocity",POWER(Upgrades!$U$16,H363),1)*IF(Upgrades!$T$17="Peculiar Velocity",POWER(Upgrades!$U$17,I363),1)*IF(Upgrades!$T$18="Peculiar Velocity",POWER(Upgrades!$U$18,J363),1)*IF(Upgrades!$T$20="Peculiar Velocity",POWER(Upgrades!$U$20,L363),1)*IF(Upgrades!$T$21="Peculiar Velocity",POWER(Upgrades!$U$21,M363),1))+(IF(L363=0,0,(Upgrades!$G$20+L363*Upgrades!$H$20)*POWER(Upgrades!$I$20,L363)))*(IF(Upgrades!$T$13="Open Cluster",POWER(Upgrades!$U$13,E363),1)*IF(Upgrades!$T$14="Open Cluster",POWER(Upgrades!$U$14,F363),1)*IF(Upgrades!$T$15="Open Cluster",POWER(Upgrades!$U$15,G363),1)*IF(Upgrades!$T$16="Open Cluster",POWER(Upgrades!$U$16,H363),1)*IF(Upgrades!$T$17="Open Cluster",POWER(Upgrades!$U$17,I363),1)*IF(Upgrades!$T$18="Open Cluster",POWER(Upgrades!$U$18,J363),1)*IF(Upgrades!$T$19="Open Cluster",POWER(Upgrades!$U$19,K363),1)*IF(Upgrades!$T$21="Open Cluster",POWER(Upgrades!$U$21,M363),1))+(IF(M363=0,0,(Upgrades!$G$21+M363*Upgrades!$H$21)*POWER(Upgrades!$I$21,M363)))*(IF(Upgrades!$T$13="Moving Group",POWER(Upgrades!$U$13,E363),1)*IF(Upgrades!$T$14="Moving Group",POWER(Upgrades!$U$14,F363),1)*IF(Upgrades!$T$15="Moving Group",POWER(Upgrades!$U$15,G363),1)*IF(Upgrades!$T$16="Moving Group",POWER(Upgrades!$U$16,H363),1)*IF(Upgrades!$T$17="Moving Group",POWER(Upgrades!$U$17,I363),1)*IF(Upgrades!$T$18="Moving Group",POWER(Upgrades!$U$18,J363),1)*IF(Upgrades!$T$19="Moving Group",POWER(Upgrades!$U$19,K363),1)*IF(Upgrades!$T$20="Moving Group",POWER(Upgrades!$U$20,L363),1)))*POWER(Upgrades!$P$13,E363)*POWER(Upgrades!$P$14,F363)*POWER(Upgrades!$P$15,G363)*POWER(Upgrades!$P$16,H363)*POWER(Upgrades!$P$17,I363)*POWER(Upgrades!$P$18,J363)*POWER(Upgrades!$P$19,K363)*POWER(Upgrades!$P$20,L363)*POWER(Upgrades!$P$21,M363)*$F$6+$C$6</f>
        <v/>
      </c>
      <c r="Q363" s="28">
        <f>((IF(E363=0,0,(Upgrades!$M$13+E363*Upgrades!$N$13)*POWER(Upgrades!$O$13,E363)))*(IF(Upgrades!$T$14="Stellar Kinematics",POWER(Upgrades!$U$14,F363),1)*IF(Upgrades!$T$15="Stellar Kinematics",POWER(Upgrades!$U$15,G363),1)*IF(Upgrades!$T$16="Stellar Kinematics",POWER(Upgrades!$U$16,H363),1)*IF(Upgrades!$T$17="Stellar Kinematics",POWER(Upgrades!$U$17,I363),1)*IF(Upgrades!$T$18="Stellar Kinematics",POWER(Upgrades!$U$18,J363),1)*IF(Upgrades!$T$19="Stellar Kinematics",POWER(Upgrades!$U$19,K363),1)*IF(Upgrades!$T$20="Stellar Kinematics",POWER(Upgrades!$U$20,L363),1)*IF(Upgrades!$T$21="Stellar Kinematics",POWER(Upgrades!$U$21,M363),1))+(IF(F363=0,0,(Upgrades!$M$14+F363*Upgrades!$N$14)*POWER(Upgrades!$O$14,F363)))*(IF(Upgrades!$T$13="Local Bubble",POWER(Upgrades!$U$13,E363),1)*IF(Upgrades!$T$15="Local Bubble",POWER(Upgrades!$U$15,G363),1)*IF(Upgrades!$T$16="Local Bubble",POWER(Upgrades!$U$16,H363),1)*IF(Upgrades!$T$17="Local Bubble",POWER(Upgrades!$U$17,I363),1)*IF(Upgrades!$T$18="Local Bubble",POWER(Upgrades!$U$18,J363),1)*IF(Upgrades!$T$19="Local Bubble",POWER(Upgrades!$U$19,K363),1)*IF(Upgrades!$T$20="Local Bubble",POWER(Upgrades!$U$20,L363),1)*IF(Upgrades!$T$21="Local Bubble",POWER(Upgrades!$U$21,M363),1))+(IF(G363=0,0,(Upgrades!$M$15+G363*Upgrades!$N$15)*POWER(Upgrades!$O$15,G363)))*(IF(Upgrades!$T$13="Microlensing",POWER(Upgrades!$U$13,E363),1)*IF(Upgrades!$T$14="Microlensing",POWER(Upgrades!$U$14,F363),1)*IF(Upgrades!$T$16="Microlensing",POWER(Upgrades!$U$16,H363),1)*IF(Upgrades!$T$17="Microlensing",POWER(Upgrades!$U$17,I363),1)*IF(Upgrades!$T$18="Microlensing",POWER(Upgrades!$U$18,J363),1)*IF(Upgrades!$T$19="Microlensing",POWER(Upgrades!$U$19,K363),1)*IF(Upgrades!$T$20="Microlensing",POWER(Upgrades!$U$20,L363),1)*IF(Upgrades!$T$21="Microlensing",POWER(Upgrades!$U$21,M363),1))+(IF(H363=0,0,(Upgrades!$M$16+H363*Upgrades!$N$16)*POWER(Upgrades!$O$16,H363)))*(IF(Upgrades!$T$13="Roche Lobe Overflow",POWER(Upgrades!$U$13,E363),1)*IF(Upgrades!$T$14="Roche Lobe Overflow",POWER(Upgrades!$U$14,F363),1)*IF(Upgrades!$T$15="Roche Lobe Overflow",POWER(Upgrades!$U$15,G363),1)*IF(Upgrades!$T$17="Roche Lobe Overflow",POWER(Upgrades!$U$17,I363),1)*IF(Upgrades!$T$18="Roche Lobe Overflow",POWER(Upgrades!$U$18,J363),1)*IF(Upgrades!$T$19="Roche Lobe Overflow",POWER(Upgrades!$U$19,K363),1)*IF(Upgrades!$T$20="Roche Lobe Overflow",POWER(Upgrades!$U$20,L363),1)*IF(Upgrades!$T$21="Roche Lobe Overflow",POWER(Upgrades!$U$21,M363),1))+(IF(I363=0,0,(Upgrades!$M$17+I363*Upgrades!$N$17)*POWER(Upgrades!$O$17,I363)))*(IF(Upgrades!$T$13="Brown Dwarf",POWER(Upgrades!$U$13,E363),1)*IF(Upgrades!$T$14="Brown Dwarf",POWER(Upgrades!$U$14,F363),1)*IF(Upgrades!$T$15="Brown Dwarf",POWER(Upgrades!$U$15,G363),1)*IF(Upgrades!$T$16="Brown Dwarf",POWER(Upgrades!$U$16,H363),1)*IF(Upgrades!$T$18="Brown Dwarf",POWER(Upgrades!$U$18,J363),1)*IF(Upgrades!$T$19="Brown Dwarf",POWER(Upgrades!$U$19,K363),1)*IF(Upgrades!$T$20="Brown Dwarf",POWER(Upgrades!$U$20,L363),1)*IF(Upgrades!$T$21="Brown Dwarf",POWER(Upgrades!$U$21,M363),1))+(IF(J363=0,0,(Upgrades!$M$18+J363*Upgrades!$N$18)*POWER(Upgrades!$O$18,J363)))*(IF(Upgrades!$T$13="Binary Partner",POWER(Upgrades!$U$13,E363),1)*IF(Upgrades!$T$14="Binary Partner",POWER(Upgrades!$U$14,F363),1)*IF(Upgrades!$T$15="Binary Partner",POWER(Upgrades!$U$15,G363),1)*IF(Upgrades!$T$16="Binary Partner",POWER(Upgrades!$U$16,H363),1)*IF(Upgrades!$T$17="Binary Partner",POWER(Upgrades!$U$17,I363),1)*IF(Upgrades!$T$19="Binary Partner",POWER(Upgrades!$U$19,K363),1)*IF(Upgrades!$T$20="Binary Partner",POWER(Upgrades!$U$20,L363),1)*IF(Upgrades!$T$21="Binary Partner",POWER(Upgrades!$U$21,M363),1))+(IF(K363=0,0,(Upgrades!$M$19+K363*Upgrades!$N$19)*POWER(Upgrades!$O$19,K363)))*(IF(Upgrades!$T$13="Peculiar Velocity",POWER(Upgrades!$U$13,E363),1)*IF(Upgrades!$T$14="Peculiar Velocity",POWER(Upgrades!$U$14,F363),1)*IF(Upgrades!$T$15="Peculiar Velocity",POWER(Upgrades!$U$15,G363),1)*IF(Upgrades!$T$16="Peculiar Velocity",POWER(Upgrades!$U$16,H363),1)*IF(Upgrades!$T$17="Peculiar Velocity",POWER(Upgrades!$U$17,I363),1)*IF(Upgrades!$T$18="Peculiar Velocity",POWER(Upgrades!$U$18,J363),1)*IF(Upgrades!$T$20="Peculiar Velocity",POWER(Upgrades!$U$20,L363),1)*IF(Upgrades!$T$21="Peculiar Velocity",POWER(Upgrades!$U$21,M363),1))+(IF(L363=0,0,(Upgrades!$M$20+L363*Upgrades!$N$20)*POWER(Upgrades!$O$20,L363)))*(IF(Upgrades!$T$13="Open Cluster",POWER(Upgrades!$U$13,E363),1)*IF(Upgrades!$T$14="Open Cluster",POWER(Upgrades!$U$14,F363),1)*IF(Upgrades!$T$15="Open Cluster",POWER(Upgrades!$U$15,G363),1)*IF(Upgrades!$T$16="Open Cluster",POWER(Upgrades!$U$16,H363),1)*IF(Upgrades!$T$17="Open Cluster",POWER(Upgrades!$U$17,I363),1)*IF(Upgrades!$T$18="Open Cluster",POWER(Upgrades!$U$18,J363),1)*IF(Upgrades!$T$19="Open Cluster",POWER(Upgrades!$U$19,K363),1)*IF(Upgrades!$T$21="Open Cluster",POWER(Upgrades!$U$21,M363),1))+(IF(M363=0,0,(Upgrades!$M$21+M363*Upgrades!$N$21)*POWER(Upgrades!$O$21,M363)))*(IF(Upgrades!$T$13="Moving Group",POWER(Upgrades!$U$13,E363),1)*IF(Upgrades!$T$14="Moving Group",POWER(Upgrades!$U$14,F363),1)*IF(Upgrades!$T$15="Moving Group",POWER(Upgrades!$U$15,G363),1)*IF(Upgrades!$T$16="Moving Group",POWER(Upgrades!$U$16,H363),1)*IF(Upgrades!$T$17="Moving Group",POWER(Upgrades!$U$17,I363),1)*IF(Upgrades!$T$18="Moving Group",POWER(Upgrades!$U$18,J363),1)*IF(Upgrades!$T$19="Moving Group",POWER(Upgrades!$U$19,K363),1)*IF(Upgrades!$T$20="Moving Group",POWER(Upgrades!$U$20,L363),1)))*POWER(Upgrades!$R$13,E363)*POWER(Upgrades!$R$14,F363)*POWER(Upgrades!$R$15,G363)*POWER(Upgrades!$R$16,H363)*POWER(Upgrades!$R$17,I363)*POWER(Upgrades!$R$18,J363)*POWER(Upgrades!$R$19,K363)*POWER(Upgrades!$R$20,L363)*POWER(Upgrades!$R$21,M363)*$H$6+$E$6</f>
        <v/>
      </c>
      <c r="R363" s="27">
        <f>IF(N363=1,0,O363*Parameters!$B$10/60*Parameters!$B$11*10)</f>
        <v/>
      </c>
      <c r="S363" s="27">
        <f>IF(N363=1,0,Q363*O363*10)</f>
        <v/>
      </c>
      <c r="T363" s="27">
        <f>IF(N363=1,0,R363+S363+P363*10)</f>
        <v/>
      </c>
      <c r="U363" s="33">
        <f>BE363</f>
        <v/>
      </c>
      <c r="V363" s="22">
        <f>IF(U363="",0,IF(U363="transition",0,IF(U363="SK",AK363,IF(U363="LB",AL363,IF(U363="ML",AM363,IF(U363="RLO",AN363,IF(U363="BD",AO363,IF(U363="BiP",AP363,IF(U363="PV",AQ363,IF(U363="OC",AR363,IF(U363="MG",AS363,0))))))))))</f>
        <v/>
      </c>
      <c r="W363" s="27">
        <f>IF(U363="BiP",Upgrades!$F$18,IF(U363="PV",Upgrades!$F$19,IF(U363="OC",Upgrades!$F$20,IF(U363="MG",Upgrades!$F$21,IF(U363="transition",-Parameters!$B$18*Parameters!$B$19,0)))))</f>
        <v/>
      </c>
      <c r="X363" s="22">
        <f>C363+T363-V363</f>
        <v/>
      </c>
      <c r="Y363" s="30">
        <f>O363*Parameters!$B$10/60*Parameters!$B$11+Q363*O363+P363</f>
        <v/>
      </c>
      <c r="Z363" s="34">
        <f>IF(U363="transition","→ Tier 3 (Galactic Arm)",IF(U363="MG","Moving Group — pocket drifts together",IF(U363="OC","Open Cluster acquired",IF(U363="PV","Peculiar Velocity — passive multiplier active",IF(U363="BiP","Binary Partner — pair bond formed",IF(AND(AU363=1,N363=0,AT363&lt;&gt;1),"Cohesion ready (waiting on completionists)","")))))) </f>
        <v/>
      </c>
      <c r="AA363" s="27">
        <f>(IF(E363=0,0,(Upgrades!$G$13+E363*Upgrades!$H$13)*POWER(Upgrades!$I$13,E363)))*(IF(Upgrades!$T$14="Stellar Kinematics",POWER(Upgrades!$U$14,F363),1)*IF(Upgrades!$T$15="Stellar Kinematics",POWER(Upgrades!$U$15,G363),1)*IF(Upgrades!$T$16="Stellar Kinematics",POWER(Upgrades!$U$16,H363),1)*IF(Upgrades!$T$17="Stellar Kinematics",POWER(Upgrades!$U$17,I363),1)*IF(Upgrades!$T$18="Stellar Kinematics",POWER(Upgrades!$U$18,J363),1)*IF(Upgrades!$T$19="Stellar Kinematics",POWER(Upgrades!$U$19,K363),1)*IF(Upgrades!$T$20="Stellar Kinematics",POWER(Upgrades!$U$20,L363),1)*IF(Upgrades!$T$21="Stellar Kinematics",POWER(Upgrades!$U$21,M363),1))*POWER(Upgrades!$P$13,E363)*POWER(Upgrades!$P$14,F363)*POWER(Upgrades!$P$15,G363)*POWER(Upgrades!$P$16,H363)*POWER(Upgrades!$P$17,I363)*POWER(Upgrades!$P$18,J363)*POWER(Upgrades!$P$19,K363)*POWER(Upgrades!$P$20,L363)*POWER(Upgrades!$P$21,M363)*$F$6*60</f>
        <v/>
      </c>
      <c r="AB363" s="27">
        <f>(IF(F363=0,0,(Upgrades!$G$14+F363*Upgrades!$H$14)*POWER(Upgrades!$I$14,F363)))*(IF(Upgrades!$T$13="Local Bubble",POWER(Upgrades!$U$13,E363),1)*IF(Upgrades!$T$15="Local Bubble",POWER(Upgrades!$U$15,G363),1)*IF(Upgrades!$T$16="Local Bubble",POWER(Upgrades!$U$16,H363),1)*IF(Upgrades!$T$17="Local Bubble",POWER(Upgrades!$U$17,I363),1)*IF(Upgrades!$T$18="Local Bubble",POWER(Upgrades!$U$18,J363),1)*IF(Upgrades!$T$19="Local Bubble",POWER(Upgrades!$U$19,K363),1)*IF(Upgrades!$T$20="Local Bubble",POWER(Upgrades!$U$20,L363),1)*IF(Upgrades!$T$21="Local Bubble",POWER(Upgrades!$U$21,M363),1))*POWER(Upgrades!$P$13,E363)*POWER(Upgrades!$P$14,F363)*POWER(Upgrades!$P$15,G363)*POWER(Upgrades!$P$16,H363)*POWER(Upgrades!$P$17,I363)*POWER(Upgrades!$P$18,J363)*POWER(Upgrades!$P$19,K363)*POWER(Upgrades!$P$20,L363)*POWER(Upgrades!$P$21,M363)*$F$6*60</f>
        <v/>
      </c>
      <c r="AC363" s="27">
        <f>(IF(G363=0,0,(Upgrades!$J$15+G363*Upgrades!$K$15)*POWER(Upgrades!$L$15,G363)))*(IF(Upgrades!$T$13="Microlensing",POWER(Upgrades!$U$13,E363),1)*IF(Upgrades!$T$14="Microlensing",POWER(Upgrades!$U$14,F363),1)*IF(Upgrades!$T$16="Microlensing",POWER(Upgrades!$U$16,H363),1)*IF(Upgrades!$T$17="Microlensing",POWER(Upgrades!$U$17,I363),1)*IF(Upgrades!$T$18="Microlensing",POWER(Upgrades!$U$18,J363),1)*IF(Upgrades!$T$19="Microlensing",POWER(Upgrades!$U$19,K363),1)*IF(Upgrades!$T$20="Microlensing",POWER(Upgrades!$U$20,L363),1)*IF(Upgrades!$T$21="Microlensing",POWER(Upgrades!$U$21,M363),1))*POWER(Upgrades!$Q$13,E363)*POWER(Upgrades!$Q$14,F363)*POWER(Upgrades!$Q$15,G363)*POWER(Upgrades!$Q$16,H363)*POWER(Upgrades!$Q$17,I363)*POWER(Upgrades!$Q$18,J363)*POWER(Upgrades!$Q$19,K363)*POWER(Upgrades!$Q$20,L363)*POWER(Upgrades!$Q$21,M363)*$G$6*(Parameters!$B$10*Parameters!$B$11+Q363*60)</f>
        <v/>
      </c>
      <c r="AD363" s="27">
        <f>(IF(H363=0,0,(Upgrades!$M$16+H363*Upgrades!$N$16)*POWER(Upgrades!$O$16,H363)))*(IF(Upgrades!$T$13="Roche Lobe Overflow",POWER(Upgrades!$U$13,E363),1)*IF(Upgrades!$T$14="Roche Lobe Overflow",POWER(Upgrades!$U$14,F363),1)*IF(Upgrades!$T$15="Roche Lobe Overflow",POWER(Upgrades!$U$15,G363),1)*IF(Upgrades!$T$17="Roche Lobe Overflow",POWER(Upgrades!$U$17,I363),1)*IF(Upgrades!$T$18="Roche Lobe Overflow",POWER(Upgrades!$U$18,J363),1)*IF(Upgrades!$T$19="Roche Lobe Overflow",POWER(Upgrades!$U$19,K363),1)*IF(Upgrades!$T$20="Roche Lobe Overflow",POWER(Upgrades!$U$20,L363),1)*IF(Upgrades!$T$21="Roche Lobe Overflow",POWER(Upgrades!$U$21,M363),1))*POWER(Upgrades!$R$13,E363)*POWER(Upgrades!$R$14,F363)*POWER(Upgrades!$R$15,G363)*POWER(Upgrades!$R$16,H363)*POWER(Upgrades!$R$17,I363)*POWER(Upgrades!$R$18,J363)*POWER(Upgrades!$R$19,K363)*POWER(Upgrades!$R$20,L363)*POWER(Upgrades!$R$21,M363)*$H$6*O363*60</f>
        <v/>
      </c>
      <c r="AE363" s="27">
        <f>(IF(I363=0,0,(Upgrades!$G$17+I363*Upgrades!$H$17)*POWER(Upgrades!$I$17,I363)))*(IF(Upgrades!$T$13="Brown Dwarf",POWER(Upgrades!$U$13,E363),1)*IF(Upgrades!$T$14="Brown Dwarf",POWER(Upgrades!$U$14,F363),1)*IF(Upgrades!$T$15="Brown Dwarf",POWER(Upgrades!$U$15,G363),1)*IF(Upgrades!$T$16="Brown Dwarf",POWER(Upgrades!$U$16,H363),1)*IF(Upgrades!$T$18="Brown Dwarf",POWER(Upgrades!$U$18,J363),1)*IF(Upgrades!$T$19="Brown Dwarf",POWER(Upgrades!$U$19,K363),1)*IF(Upgrades!$T$20="Brown Dwarf",POWER(Upgrades!$U$20,L363),1)*IF(Upgrades!$T$21="Brown Dwarf",POWER(Upgrades!$U$21,M363),1))*POWER(Upgrades!$P$13,E363)*POWER(Upgrades!$P$14,F363)*POWER(Upgrades!$P$15,G363)*POWER(Upgrades!$P$16,H363)*POWER(Upgrades!$P$17,I363)*POWER(Upgrades!$P$18,J363)*POWER(Upgrades!$P$19,K363)*POWER(Upgrades!$P$20,L363)*POWER(Upgrades!$P$21,M363)*$F$6*60</f>
        <v/>
      </c>
      <c r="AF363" s="27" t="n">
        <v>0</v>
      </c>
      <c r="AG363" s="27" t="n">
        <v>0</v>
      </c>
      <c r="AH363" s="27" t="n">
        <v>0</v>
      </c>
      <c r="AI363" s="27">
        <f>(IF(M363=0,0,(Upgrades!$G$21+M363*Upgrades!$H$21)*POWER(Upgrades!$I$21,M363)))*(IF(Upgrades!$T$13="Moving Group",POWER(Upgrades!$U$13,E363),1)*IF(Upgrades!$T$14="Moving Group",POWER(Upgrades!$U$14,F363),1)*IF(Upgrades!$T$15="Moving Group",POWER(Upgrades!$U$15,G363),1)*IF(Upgrades!$T$16="Moving Group",POWER(Upgrades!$U$16,H363),1)*IF(Upgrades!$T$17="Moving Group",POWER(Upgrades!$U$17,I363),1)*IF(Upgrades!$T$18="Moving Group",POWER(Upgrades!$U$18,J363),1)*IF(Upgrades!$T$19="Moving Group",POWER(Upgrades!$U$19,K363),1)*IF(Upgrades!$T$20="Moving Group",POWER(Upgrades!$U$20,L363),1))*POWER(Upgrades!$P$13,E363)*POWER(Upgrades!$P$14,F363)*POWER(Upgrades!$P$15,G363)*POWER(Upgrades!$P$16,H363)*POWER(Upgrades!$P$17,I363)*POWER(Upgrades!$P$18,J363)*POWER(Upgrades!$P$19,K363)*POWER(Upgrades!$P$20,L363)*POWER(Upgrades!$P$21,M363)*$F$6*60</f>
        <v/>
      </c>
      <c r="AJ363" s="27">
        <f>$C$6*60</f>
        <v/>
      </c>
      <c r="AK363" s="22">
        <f>IF(E363&gt;=Upgrades!$E$13,"",Upgrades!$C$13*POWER(Upgrades!$D$13,E363))</f>
        <v/>
      </c>
      <c r="AL363" s="22">
        <f>IF(F363&gt;=Upgrades!$E$14,"",Upgrades!$C$14*POWER(Upgrades!$D$14,F363))</f>
        <v/>
      </c>
      <c r="AM363" s="22">
        <f>IF(G363&gt;=Upgrades!$E$15,"",Upgrades!$C$15*POWER(Upgrades!$D$15,G363))</f>
        <v/>
      </c>
      <c r="AN363" s="22">
        <f>IF(H363&gt;=Upgrades!$E$16,"",Upgrades!$C$16*POWER(Upgrades!$D$16,H363))</f>
        <v/>
      </c>
      <c r="AO363" s="22">
        <f>IF(I363&gt;=Upgrades!$E$17,"",Upgrades!$C$17*POWER(Upgrades!$D$17,I363))</f>
        <v/>
      </c>
      <c r="AP363" s="22">
        <f>IF(J363&gt;=Upgrades!$E$18,"",Upgrades!$C$18*POWER(Upgrades!$D$18,J363))</f>
        <v/>
      </c>
      <c r="AQ363" s="22">
        <f>IF(K363&gt;=Upgrades!$E$19,"",Upgrades!$C$19*POWER(Upgrades!$D$19,K363))</f>
        <v/>
      </c>
      <c r="AR363" s="22">
        <f>IF(L363&gt;=Upgrades!$E$20,"",Upgrades!$C$20*POWER(Upgrades!$D$20,L363))</f>
        <v/>
      </c>
      <c r="AS363" s="22">
        <f>IF(M363&gt;=Upgrades!$E$21,"",Upgrades!$C$21*POWER(Upgrades!$D$21,M363))</f>
        <v/>
      </c>
      <c r="AT363" s="26">
        <f>IF(AND(D363&gt;=Parameters!$B$18*Parameters!$B$19,(I363&gt;=Upgrades!$E$17)*(M363&gt;=Upgrades!$E$21)=1,N363=0),1,"")</f>
        <v/>
      </c>
      <c r="AU363" s="26">
        <f>IF(AND(D363&gt;=Parameters!$B$18*Parameters!$B$19,N363=0),1,"")</f>
        <v/>
      </c>
      <c r="AV363" s="22">
        <f>MIN(IF(ISNUMBER(AP363),AP363,9E15),IF(ISNUMBER(AQ363),AQ363,9E15),IF(ISNUMBER(AR363),AR363,9E15),IF(ISNUMBER(AS363),AS363,9E15))</f>
        <v/>
      </c>
      <c r="AW363" s="22">
        <f>MIN(IF(ISNUMBER(AK363),AK363,9E15),IF(ISNUMBER(AL363),AL363,9E15),IF(ISNUMBER(AM363),AM363,9E15),IF(ISNUMBER(AN363),AN363,9E15),IF(ISNUMBER(AO363),AO363,9E15))</f>
        <v/>
      </c>
      <c r="AX363" s="29">
        <f>IF(BD363&gt;Parameters!$B$21*(MAX(IF(AND(NOT(AND(AU363=1,AT363&lt;&gt;1)),ISNUMBER(AK363),AK363&lt;=(C363+T363)),AY363,0),IF(AND(NOT(AND(AU363=1,AT363&lt;&gt;1)),ISNUMBER(AL363),AL363&lt;=(C363+T363)),AZ363,0),IF(AND(NOT(AND(AU363=1,AT363&lt;&gt;1)),ISNUMBER(AM363),AM363&lt;=(C363+T363)),BA363,0),IF(AND(NOT(AND(AU363=1,AT363&lt;&gt;1)),ISNUMBER(AN363),AN363&lt;=(C363+T363)),BB363,0),IF(AND(ISNUMBER(AO363),AO363&lt;=(C363+T363)),BC363,0))),TRUE,FALSE)</f>
        <v/>
      </c>
      <c r="AY363" s="32">
        <f>IFERROR(Upgrades!$H$13*(POWER(Upgrades!$P$13,E363)*POWER(Upgrades!$P$14,F363)*POWER(Upgrades!$P$15,G363)*POWER(Upgrades!$P$16,H363)*POWER(Upgrades!$P$17,I363)*POWER(Upgrades!$P$18,J363)*POWER(Upgrades!$P$19,K363)*POWER(Upgrades!$P$20,L363)*POWER(Upgrades!$P$21,M363))*(IF(Upgrades!$T$14="Stellar Kinematics",POWER(Upgrades!$U$14,F363),1)*IF(Upgrades!$T$15="Stellar Kinematics",POWER(Upgrades!$U$15,G363),1)*IF(Upgrades!$T$16="Stellar Kinematics",POWER(Upgrades!$U$16,H363),1)*IF(Upgrades!$T$17="Stellar Kinematics",POWER(Upgrades!$U$17,I363),1)*IF(Upgrades!$T$18="Stellar Kinematics",POWER(Upgrades!$U$18,J363),1)*IF(Upgrades!$T$19="Stellar Kinematics",POWER(Upgrades!$U$19,K363),1)*IF(Upgrades!$T$20="Stellar Kinematics",POWER(Upgrades!$U$20,L363),1)*IF(Upgrades!$T$21="Stellar Kinematics",POWER(Upgrades!$U$21,M363),1))*$F$6/AK363,0)</f>
        <v/>
      </c>
      <c r="AZ363" s="32">
        <f>IFERROR(Upgrades!$H$14*(POWER(Upgrades!$P$13,E363)*POWER(Upgrades!$P$14,F363)*POWER(Upgrades!$P$15,G363)*POWER(Upgrades!$P$16,H363)*POWER(Upgrades!$P$17,I363)*POWER(Upgrades!$P$18,J363)*POWER(Upgrades!$P$19,K363)*POWER(Upgrades!$P$20,L363)*POWER(Upgrades!$P$21,M363))*(IF(Upgrades!$T$13="Local Bubble",POWER(Upgrades!$U$13,E363),1)*IF(Upgrades!$T$15="Local Bubble",POWER(Upgrades!$U$15,G363),1)*IF(Upgrades!$T$16="Local Bubble",POWER(Upgrades!$U$16,H363),1)*IF(Upgrades!$T$17="Local Bubble",POWER(Upgrades!$U$17,I363),1)*IF(Upgrades!$T$18="Local Bubble",POWER(Upgrades!$U$18,J363),1)*IF(Upgrades!$T$19="Local Bubble",POWER(Upgrades!$U$19,K363),1)*IF(Upgrades!$T$20="Local Bubble",POWER(Upgrades!$U$20,L363),1)*IF(Upgrades!$T$21="Local Bubble",POWER(Upgrades!$U$21,M363),1))*$F$6/AL363,0)</f>
        <v/>
      </c>
      <c r="BA363" s="32">
        <f>IFERROR(Upgrades!$K$15*(POWER(Upgrades!$Q$13,E363)*POWER(Upgrades!$Q$14,F363)*POWER(Upgrades!$Q$15,G363)*POWER(Upgrades!$Q$16,H363)*POWER(Upgrades!$Q$17,I363)*POWER(Upgrades!$Q$18,J363)*POWER(Upgrades!$Q$19,K363)*POWER(Upgrades!$Q$20,L363)*POWER(Upgrades!$Q$21,M363))*(IF(Upgrades!$T$13="Microlensing",POWER(Upgrades!$U$13,E363),1)*IF(Upgrades!$T$14="Microlensing",POWER(Upgrades!$U$14,F363),1)*IF(Upgrades!$T$16="Microlensing",POWER(Upgrades!$U$16,H363),1)*IF(Upgrades!$T$17="Microlensing",POWER(Upgrades!$U$17,I363),1)*IF(Upgrades!$T$18="Microlensing",POWER(Upgrades!$U$18,J363),1)*IF(Upgrades!$T$19="Microlensing",POWER(Upgrades!$U$19,K363),1)*IF(Upgrades!$T$20="Microlensing",POWER(Upgrades!$U$20,L363),1)*IF(Upgrades!$T$21="Microlensing",POWER(Upgrades!$U$21,M363),1))*$G$6*(Parameters!$B$10/60*Parameters!$B$11+Q363)/AM363,0)</f>
        <v/>
      </c>
      <c r="BB363" s="32">
        <f>IFERROR((Upgrades!$N$16*(POWER(Upgrades!$R$13,E363)*POWER(Upgrades!$R$14,F363)*POWER(Upgrades!$R$15,G363)*POWER(Upgrades!$R$16,H363)*POWER(Upgrades!$R$17,I363)*POWER(Upgrades!$R$18,J363)*POWER(Upgrades!$R$19,K363)*POWER(Upgrades!$R$20,L363)*POWER(Upgrades!$R$21,M363))*(IF(Upgrades!$T$13="Roche Lobe Overflow",POWER(Upgrades!$U$13,E363),1)*IF(Upgrades!$T$14="Roche Lobe Overflow",POWER(Upgrades!$U$14,F363),1)*IF(Upgrades!$T$15="Roche Lobe Overflow",POWER(Upgrades!$U$15,G363),1)*IF(Upgrades!$T$17="Roche Lobe Overflow",POWER(Upgrades!$U$17,I363),1)*IF(Upgrades!$T$18="Roche Lobe Overflow",POWER(Upgrades!$U$18,J363),1)*IF(Upgrades!$T$19="Roche Lobe Overflow",POWER(Upgrades!$U$19,K363),1)*IF(Upgrades!$T$20="Roche Lobe Overflow",POWER(Upgrades!$U$20,L363),1)*IF(Upgrades!$T$21="Roche Lobe Overflow",POWER(Upgrades!$U$21,M363),1))*$H$6*O363+((IF(F363=0,0,(Upgrades!$G$14+F363*Upgrades!$H$14)*POWER(Upgrades!$I$14,F363)))*(IF(Upgrades!$T$13="Local Bubble",POWER(Upgrades!$U$13,E363),1)*IF(Upgrades!$T$15="Local Bubble",POWER(Upgrades!$U$15,G363),1)*IF(Upgrades!$T$16="Local Bubble",POWER(Upgrades!$U$16,H363),1)*IF(Upgrades!$T$17="Local Bubble",POWER(Upgrades!$U$17,I363),1)*IF(Upgrades!$T$18="Local Bubble",POWER(Upgrades!$U$18,J363),1)*IF(Upgrades!$T$19="Local Bubble",POWER(Upgrades!$U$19,K363),1)*IF(Upgrades!$T$20="Local Bubble",POWER(Upgrades!$U$20,L363),1)*IF(Upgrades!$T$21="Local Bubble",POWER(Upgrades!$U$21,M363),1))*POWER(Upgrades!$P$13,E363)*POWER(Upgrades!$P$14,F363)*POWER(Upgrades!$P$15,G363)*POWER(Upgrades!$P$16,H363)*POWER(Upgrades!$P$17,I363)*POWER(Upgrades!$P$18,J363)*POWER(Upgrades!$P$19,K363)*POWER(Upgrades!$P$20,L363)*POWER(Upgrades!$P$21,M363)*$F$6)*0.05)/AN363,0)</f>
        <v/>
      </c>
      <c r="BC363" s="32">
        <f>IFERROR((Upgrades!$H$17*(POWER(Upgrades!$P$13,E363)*POWER(Upgrades!$P$14,F363)*POWER(Upgrades!$P$15,G363)*POWER(Upgrades!$P$16,H363)*POWER(Upgrades!$P$17,I363)*POWER(Upgrades!$P$18,J363)*POWER(Upgrades!$P$19,K363)*POWER(Upgrades!$P$20,L363)*POWER(Upgrades!$P$21,M363))*(IF(Upgrades!$T$13="Brown Dwarf",POWER(Upgrades!$U$13,E363),1)*IF(Upgrades!$T$14="Brown Dwarf",POWER(Upgrades!$U$14,F363),1)*IF(Upgrades!$T$15="Brown Dwarf",POWER(Upgrades!$U$15,G363),1)*IF(Upgrades!$T$16="Brown Dwarf",POWER(Upgrades!$U$16,H363),1)*IF(Upgrades!$T$18="Brown Dwarf",POWER(Upgrades!$U$18,J363),1)*IF(Upgrades!$T$19="Brown Dwarf",POWER(Upgrades!$U$19,K363),1)*IF(Upgrades!$T$20="Brown Dwarf",POWER(Upgrades!$U$20,L363),1)*IF(Upgrades!$T$21="Brown Dwarf",POWER(Upgrades!$U$21,M363),1))*$F$6+(((IF(H363=0,0,(Upgrades!$M$16+H363*Upgrades!$N$16)*POWER(Upgrades!$O$16,H363)))*(IF(Upgrades!$T$13="Roche Lobe Overflow",POWER(Upgrades!$U$13,E363),1)*IF(Upgrades!$T$14="Roche Lobe Overflow",POWER(Upgrades!$U$14,F363),1)*IF(Upgrades!$T$15="Roche Lobe Overflow",POWER(Upgrades!$U$15,G363),1)*IF(Upgrades!$T$17="Roche Lobe Overflow",POWER(Upgrades!$U$17,I363),1)*IF(Upgrades!$T$18="Roche Lobe Overflow",POWER(Upgrades!$U$18,J363),1)*IF(Upgrades!$T$19="Roche Lobe Overflow",POWER(Upgrades!$U$19,K363),1)*IF(Upgrades!$T$20="Roche Lobe Overflow",POWER(Upgrades!$U$20,L363),1)*IF(Upgrades!$T$21="Roche Lobe Overflow",POWER(Upgrades!$U$21,M363),1))*POWER(Upgrades!$R$13,E363)*POWER(Upgrades!$R$14,F363)*POWER(Upgrades!$R$15,G363)*POWER(Upgrades!$R$16,H363)*POWER(Upgrades!$R$17,I363)*POWER(Upgrades!$R$18,J363)*POWER(Upgrades!$R$19,K363)*POWER(Upgrades!$R$20,L363)*POWER(Upgrades!$R$21,M363)*$H$6)*O363)*0.10)/AO363,0)</f>
        <v/>
      </c>
      <c r="BD363" s="32">
        <f>MAX(IF(J363&gt;0,0,IFERROR(0.5*((IF(G363=0,0,(Upgrades!$J$15+G363*Upgrades!$K$15)*POWER(Upgrades!$L$15,G363)))*(IF(Upgrades!$T$13="Microlensing",POWER(Upgrades!$U$13,E363),1)*IF(Upgrades!$T$14="Microlensing",POWER(Upgrades!$U$14,F363),1)*IF(Upgrades!$T$16="Microlensing",POWER(Upgrades!$U$16,H363),1)*IF(Upgrades!$T$17="Microlensing",POWER(Upgrades!$U$17,I363),1)*IF(Upgrades!$T$18="Microlensing",POWER(Upgrades!$U$18,J363),1)*IF(Upgrades!$T$19="Microlensing",POWER(Upgrades!$U$19,K363),1)*IF(Upgrades!$T$20="Microlensing",POWER(Upgrades!$U$20,L363),1)*IF(Upgrades!$T$21="Microlensing",POWER(Upgrades!$U$21,M363),1))*(POWER(Upgrades!$Q$13,E363)*POWER(Upgrades!$Q$14,F363)*POWER(Upgrades!$Q$15,G363)*POWER(Upgrades!$Q$16,H363)*POWER(Upgrades!$Q$17,I363)*POWER(Upgrades!$Q$18,J363)*POWER(Upgrades!$Q$19,K363)*POWER(Upgrades!$Q$20,L363)*POWER(Upgrades!$Q$21,M363))*$G$6*(Parameters!$B$10/60*Parameters!$B$11+Q363))/Upgrades!$C$18,0)),IF(K363&gt;0,0,IFERROR(0.30*P363/Upgrades!$C$19,0)),IF(L363&gt;0,0,IFERROR(0.0001/Upgrades!$C$20,0)),IF(M363&gt;0,0,IFERROR((6.0*(POWER(Upgrades!$P$13,E363)*POWER(Upgrades!$P$14,F363)*POWER(Upgrades!$P$15,G363)*POWER(Upgrades!$P$16,H363)*POWER(Upgrades!$P$17,I363)*POWER(Upgrades!$P$18,J363)*POWER(Upgrades!$P$19,K363)*POWER(Upgrades!$P$20,L363)*POWER(Upgrades!$P$21,M363))*$F$6+0.20*O363*(Parameters!$B$10/60*Parameters!$B$11+Q363))/Upgrades!$C$21,0)),IF(AND(ISNUMBER(AK363),AK363&gt;(C363+T363)),AY363,0),IF(AND(ISNUMBER(AL363),AL363&gt;(C363+T363)),AZ363,0),IF(AND(ISNUMBER(AM363),AM363&gt;(C363+T363)),BA363,0),IF(AND(ISNUMBER(AN363),AN363&gt;(C363+T363)),BB363,0),IF(AND(ISNUMBER(AO363),AO363&gt;(C363+T363)),BC363,0))</f>
        <v/>
      </c>
      <c r="BE363" s="29">
        <f>IF(AT363=1,"transition",IF(MIN(IF(AND(J363=0,ISNUMBER(AP363),AP363&lt;=(C363+T363)),AP363,9E15),IF(AND(K363=0,ISNUMBER(AQ363),AQ363&lt;=(C363+T363)),AQ363,9E15),IF(AND(L363=0,ISNUMBER(AR363),AR363&lt;=(C363+T363)),AR363,9E15),IF(AND(M363=0,ISNUMBER(AS363),AS363&lt;=(C363+T363)),AS363,9E15))&lt;9E15,IF(AND(AND(J363=0,ISNUMBER(AP363),AP363&lt;=(C363+T363)),AP363=MIN(IF(AND(J363=0,ISNUMBER(AP363),AP363&lt;=(C363+T363)),AP363,9E15),IF(AND(K363=0,ISNUMBER(AQ363),AQ363&lt;=(C363+T363)),AQ363,9E15),IF(AND(L363=0,ISNUMBER(AR363),AR363&lt;=(C363+T363)),AR363,9E15),IF(AND(M363=0,ISNUMBER(AS363),AS363&lt;=(C363+T363)),AS363,9E15))),"BiP",IF(AND(AND(K363=0,ISNUMBER(AQ363),AQ363&lt;=(C363+T363)),AQ363=MIN(IF(AND(J363=0,ISNUMBER(AP363),AP363&lt;=(C363+T363)),AP363,9E15),IF(AND(K363=0,ISNUMBER(AQ363),AQ363&lt;=(C363+T363)),AQ363,9E15),IF(AND(L363=0,ISNUMBER(AR363),AR363&lt;=(C363+T363)),AR363,9E15),IF(AND(M363=0,ISNUMBER(AS363),AS363&lt;=(C363+T363)),AS363,9E15))),"PV",IF(AND(AND(L363=0,ISNUMBER(AR363),AR363&lt;=(C363+T363)),AR363=MIN(IF(AND(J363=0,ISNUMBER(AP363),AP363&lt;=(C363+T363)),AP363,9E15),IF(AND(K363=0,ISNUMBER(AQ363),AQ363&lt;=(C363+T363)),AQ363,9E15),IF(AND(L363=0,ISNUMBER(AR363),AR363&lt;=(C363+T363)),AR363,9E15),IF(AND(M363=0,ISNUMBER(AS363),AS363&lt;=(C363+T363)),AS363,9E15))),"OC","MG"))),IF(AX363=TRUE,"",IF(MAX(IF(AND(NOT(AND(AU363=1,AT363&lt;&gt;1)),ISNUMBER(AK363),AK363&lt;=(C363+T363)),AY363,0),IF(AND(NOT(AND(AU363=1,AT363&lt;&gt;1)),ISNUMBER(AL363),AL363&lt;=(C363+T363)),AZ363,0),IF(AND(NOT(AND(AU363=1,AT363&lt;&gt;1)),ISNUMBER(AM363),AM363&lt;=(C363+T363)),BA363,0),IF(AND(NOT(AND(AU363=1,AT363&lt;&gt;1)),ISNUMBER(AN363),AN363&lt;=(C363+T363)),BB363,0),IF(AND(ISNUMBER(AO363),AO363&lt;=(C363+T363)),BC363,0))&lt;=0,"",IF(AND(IF(AND(NOT(AND(AU363=1,AT363&lt;&gt;1)),ISNUMBER(AK363),AK363&lt;=(C363+T363)),AY363,0)&gt;0,IF(AND(NOT(AND(AU363=1,AT363&lt;&gt;1)),ISNUMBER(AK363),AK363&lt;=(C363+T363)),AY363,0)=MAX(IF(AND(NOT(AND(AU363=1,AT363&lt;&gt;1)),ISNUMBER(AK363),AK363&lt;=(C363+T363)),AY363,0),IF(AND(NOT(AND(AU363=1,AT363&lt;&gt;1)),ISNUMBER(AL363),AL363&lt;=(C363+T363)),AZ363,0),IF(AND(NOT(AND(AU363=1,AT363&lt;&gt;1)),ISNUMBER(AM363),AM363&lt;=(C363+T363)),BA363,0),IF(AND(NOT(AND(AU363=1,AT363&lt;&gt;1)),ISNUMBER(AN363),AN363&lt;=(C363+T363)),BB363,0),IF(AND(ISNUMBER(AO363),AO363&lt;=(C363+T363)),BC363,0))),"SK",IF(AND(IF(AND(NOT(AND(AU363=1,AT363&lt;&gt;1)),ISNUMBER(AL363),AL363&lt;=(C363+T363)),AZ363,0)&gt;0,IF(AND(NOT(AND(AU363=1,AT363&lt;&gt;1)),ISNUMBER(AL363),AL363&lt;=(C363+T363)),AZ363,0)=MAX(IF(AND(NOT(AND(AU363=1,AT363&lt;&gt;1)),ISNUMBER(AK363),AK363&lt;=(C363+T363)),AY363,0),IF(AND(NOT(AND(AU363=1,AT363&lt;&gt;1)),ISNUMBER(AL363),AL363&lt;=(C363+T363)),AZ363,0),IF(AND(NOT(AND(AU363=1,AT363&lt;&gt;1)),ISNUMBER(AM363),AM363&lt;=(C363+T363)),BA363,0),IF(AND(NOT(AND(AU363=1,AT363&lt;&gt;1)),ISNUMBER(AN363),AN363&lt;=(C363+T363)),BB363,0),IF(AND(ISNUMBER(AO363),AO363&lt;=(C363+T363)),BC363,0))),"LB",IF(AND(IF(AND(NOT(AND(AU363=1,AT363&lt;&gt;1)),ISNUMBER(AM363),AM363&lt;=(C363+T363)),BA363,0)&gt;0,IF(AND(NOT(AND(AU363=1,AT363&lt;&gt;1)),ISNUMBER(AM363),AM363&lt;=(C363+T363)),BA363,0)=MAX(IF(AND(NOT(AND(AU363=1,AT363&lt;&gt;1)),ISNUMBER(AK363),AK363&lt;=(C363+T363)),AY363,0),IF(AND(NOT(AND(AU363=1,AT363&lt;&gt;1)),ISNUMBER(AL363),AL363&lt;=(C363+T363)),AZ363,0),IF(AND(NOT(AND(AU363=1,AT363&lt;&gt;1)),ISNUMBER(AM363),AM363&lt;=(C363+T363)),BA363,0),IF(AND(NOT(AND(AU363=1,AT363&lt;&gt;1)),ISNUMBER(AN363),AN363&lt;=(C363+T363)),BB363,0),IF(AND(ISNUMBER(AO363),AO363&lt;=(C363+T363)),BC363,0))),"ML",IF(AND(IF(AND(NOT(AND(AU363=1,AT363&lt;&gt;1)),ISNUMBER(AN363),AN363&lt;=(C363+T363)),BB363,0)&gt;0,IF(AND(NOT(AND(AU363=1,AT363&lt;&gt;1)),ISNUMBER(AN363),AN363&lt;=(C363+T363)),BB363,0)=MAX(IF(AND(NOT(AND(AU363=1,AT363&lt;&gt;1)),ISNUMBER(AK363),AK363&lt;=(C363+T363)),AY363,0),IF(AND(NOT(AND(AU363=1,AT363&lt;&gt;1)),ISNUMBER(AL363),AL363&lt;=(C363+T363)),AZ363,0),IF(AND(NOT(AND(AU363=1,AT363&lt;&gt;1)),ISNUMBER(AM363),AM363&lt;=(C363+T363)),BA363,0),IF(AND(NOT(AND(AU363=1,AT363&lt;&gt;1)),ISNUMBER(AN363),AN363&lt;=(C363+T363)),BB363,0),IF(AND(ISNUMBER(AO363),AO363&lt;=(C363+T363)),BC363,0))),"RLO","BD"))))))))</f>
        <v/>
      </c>
    </row>
    <row r="364">
      <c r="A364" s="26" t="n">
        <v>353</v>
      </c>
      <c r="B364" s="27">
        <f>A364*10/60</f>
        <v/>
      </c>
      <c r="C364" s="22">
        <f>X363</f>
        <v/>
      </c>
      <c r="D364" s="27">
        <f>D363+W363</f>
        <v/>
      </c>
      <c r="E364" s="26">
        <f>E363+IF(U363="SK",1,0)</f>
        <v/>
      </c>
      <c r="F364" s="26">
        <f>F363+IF(U363="LB",1,0)</f>
        <v/>
      </c>
      <c r="G364" s="26">
        <f>G363+IF(U363="ML",1,0)</f>
        <v/>
      </c>
      <c r="H364" s="26">
        <f>H363+IF(U363="RLO",1,0)</f>
        <v/>
      </c>
      <c r="I364" s="26">
        <f>I363+IF(U363="BD",1,0)</f>
        <v/>
      </c>
      <c r="J364" s="26">
        <f>MAX(J363,IF(U363="BiP",1,0))</f>
        <v/>
      </c>
      <c r="K364" s="26">
        <f>MAX(K363,IF(U363="PV",1,0))</f>
        <v/>
      </c>
      <c r="L364" s="26">
        <f>MAX(L363,IF(U363="OC",1,0))</f>
        <v/>
      </c>
      <c r="M364" s="26">
        <f>MAX(M363,IF(U363="MG",1,0))</f>
        <v/>
      </c>
      <c r="N364" s="26">
        <f>MAX(N363,IF(U363="transition",1,0))</f>
        <v/>
      </c>
      <c r="O364" s="28">
        <f>(Parameters!$B$9+(IF(E364=0,0,(Upgrades!$J$13+E364*Upgrades!$K$13)*POWER(Upgrades!$L$13,E364)))*(IF(Upgrades!$T$14="Stellar Kinematics",POWER(Upgrades!$U$14,F364),1)*IF(Upgrades!$T$15="Stellar Kinematics",POWER(Upgrades!$U$15,G364),1)*IF(Upgrades!$T$16="Stellar Kinematics",POWER(Upgrades!$U$16,H364),1)*IF(Upgrades!$T$17="Stellar Kinematics",POWER(Upgrades!$U$17,I364),1)*IF(Upgrades!$T$18="Stellar Kinematics",POWER(Upgrades!$U$18,J364),1)*IF(Upgrades!$T$19="Stellar Kinematics",POWER(Upgrades!$U$19,K364),1)*IF(Upgrades!$T$20="Stellar Kinematics",POWER(Upgrades!$U$20,L364),1)*IF(Upgrades!$T$21="Stellar Kinematics",POWER(Upgrades!$U$21,M364),1))+(IF(F364=0,0,(Upgrades!$J$14+F364*Upgrades!$K$14)*POWER(Upgrades!$L$14,F364)))*(IF(Upgrades!$T$13="Local Bubble",POWER(Upgrades!$U$13,E364),1)*IF(Upgrades!$T$15="Local Bubble",POWER(Upgrades!$U$15,G364),1)*IF(Upgrades!$T$16="Local Bubble",POWER(Upgrades!$U$16,H364),1)*IF(Upgrades!$T$17="Local Bubble",POWER(Upgrades!$U$17,I364),1)*IF(Upgrades!$T$18="Local Bubble",POWER(Upgrades!$U$18,J364),1)*IF(Upgrades!$T$19="Local Bubble",POWER(Upgrades!$U$19,K364),1)*IF(Upgrades!$T$20="Local Bubble",POWER(Upgrades!$U$20,L364),1)*IF(Upgrades!$T$21="Local Bubble",POWER(Upgrades!$U$21,M364),1))+(IF(G364=0,0,(Upgrades!$J$15+G364*Upgrades!$K$15)*POWER(Upgrades!$L$15,G364)))*(IF(Upgrades!$T$13="Microlensing",POWER(Upgrades!$U$13,E364),1)*IF(Upgrades!$T$14="Microlensing",POWER(Upgrades!$U$14,F364),1)*IF(Upgrades!$T$16="Microlensing",POWER(Upgrades!$U$16,H364),1)*IF(Upgrades!$T$17="Microlensing",POWER(Upgrades!$U$17,I364),1)*IF(Upgrades!$T$18="Microlensing",POWER(Upgrades!$U$18,J364),1)*IF(Upgrades!$T$19="Microlensing",POWER(Upgrades!$U$19,K364),1)*IF(Upgrades!$T$20="Microlensing",POWER(Upgrades!$U$20,L364),1)*IF(Upgrades!$T$21="Microlensing",POWER(Upgrades!$U$21,M364),1))+(IF(H364=0,0,(Upgrades!$J$16+H364*Upgrades!$K$16)*POWER(Upgrades!$L$16,H364)))*(IF(Upgrades!$T$13="Roche Lobe Overflow",POWER(Upgrades!$U$13,E364),1)*IF(Upgrades!$T$14="Roche Lobe Overflow",POWER(Upgrades!$U$14,F364),1)*IF(Upgrades!$T$15="Roche Lobe Overflow",POWER(Upgrades!$U$15,G364),1)*IF(Upgrades!$T$17="Roche Lobe Overflow",POWER(Upgrades!$U$17,I364),1)*IF(Upgrades!$T$18="Roche Lobe Overflow",POWER(Upgrades!$U$18,J364),1)*IF(Upgrades!$T$19="Roche Lobe Overflow",POWER(Upgrades!$U$19,K364),1)*IF(Upgrades!$T$20="Roche Lobe Overflow",POWER(Upgrades!$U$20,L364),1)*IF(Upgrades!$T$21="Roche Lobe Overflow",POWER(Upgrades!$U$21,M364),1))+(IF(I364=0,0,(Upgrades!$J$17+I364*Upgrades!$K$17)*POWER(Upgrades!$L$17,I364)))*(IF(Upgrades!$T$13="Brown Dwarf",POWER(Upgrades!$U$13,E364),1)*IF(Upgrades!$T$14="Brown Dwarf",POWER(Upgrades!$U$14,F364),1)*IF(Upgrades!$T$15="Brown Dwarf",POWER(Upgrades!$U$15,G364),1)*IF(Upgrades!$T$16="Brown Dwarf",POWER(Upgrades!$U$16,H364),1)*IF(Upgrades!$T$18="Brown Dwarf",POWER(Upgrades!$U$18,J364),1)*IF(Upgrades!$T$19="Brown Dwarf",POWER(Upgrades!$U$19,K364),1)*IF(Upgrades!$T$20="Brown Dwarf",POWER(Upgrades!$U$20,L364),1)*IF(Upgrades!$T$21="Brown Dwarf",POWER(Upgrades!$U$21,M364),1))+(IF(J364=0,0,(Upgrades!$J$18+J364*Upgrades!$K$18)*POWER(Upgrades!$L$18,J364)))*(IF(Upgrades!$T$13="Binary Partner",POWER(Upgrades!$U$13,E364),1)*IF(Upgrades!$T$14="Binary Partner",POWER(Upgrades!$U$14,F364),1)*IF(Upgrades!$T$15="Binary Partner",POWER(Upgrades!$U$15,G364),1)*IF(Upgrades!$T$16="Binary Partner",POWER(Upgrades!$U$16,H364),1)*IF(Upgrades!$T$17="Binary Partner",POWER(Upgrades!$U$17,I364),1)*IF(Upgrades!$T$19="Binary Partner",POWER(Upgrades!$U$19,K364),1)*IF(Upgrades!$T$20="Binary Partner",POWER(Upgrades!$U$20,L364),1)*IF(Upgrades!$T$21="Binary Partner",POWER(Upgrades!$U$21,M364),1))+(IF(K364=0,0,(Upgrades!$J$19+K364*Upgrades!$K$19)*POWER(Upgrades!$L$19,K364)))*(IF(Upgrades!$T$13="Peculiar Velocity",POWER(Upgrades!$U$13,E364),1)*IF(Upgrades!$T$14="Peculiar Velocity",POWER(Upgrades!$U$14,F364),1)*IF(Upgrades!$T$15="Peculiar Velocity",POWER(Upgrades!$U$15,G364),1)*IF(Upgrades!$T$16="Peculiar Velocity",POWER(Upgrades!$U$16,H364),1)*IF(Upgrades!$T$17="Peculiar Velocity",POWER(Upgrades!$U$17,I364),1)*IF(Upgrades!$T$18="Peculiar Velocity",POWER(Upgrades!$U$18,J364),1)*IF(Upgrades!$T$20="Peculiar Velocity",POWER(Upgrades!$U$20,L364),1)*IF(Upgrades!$T$21="Peculiar Velocity",POWER(Upgrades!$U$21,M364),1))+(IF(L364=0,0,(Upgrades!$J$20+L364*Upgrades!$K$20)*POWER(Upgrades!$L$20,L364)))*(IF(Upgrades!$T$13="Open Cluster",POWER(Upgrades!$U$13,E364),1)*IF(Upgrades!$T$14="Open Cluster",POWER(Upgrades!$U$14,F364),1)*IF(Upgrades!$T$15="Open Cluster",POWER(Upgrades!$U$15,G364),1)*IF(Upgrades!$T$16="Open Cluster",POWER(Upgrades!$U$16,H364),1)*IF(Upgrades!$T$17="Open Cluster",POWER(Upgrades!$U$17,I364),1)*IF(Upgrades!$T$18="Open Cluster",POWER(Upgrades!$U$18,J364),1)*IF(Upgrades!$T$19="Open Cluster",POWER(Upgrades!$U$19,K364),1)*IF(Upgrades!$T$21="Open Cluster",POWER(Upgrades!$U$21,M364),1))+(IF(M364=0,0,(Upgrades!$J$21+M364*Upgrades!$K$21)*POWER(Upgrades!$L$21,M364)))*(IF(Upgrades!$T$13="Moving Group",POWER(Upgrades!$U$13,E364),1)*IF(Upgrades!$T$14="Moving Group",POWER(Upgrades!$U$14,F364),1)*IF(Upgrades!$T$15="Moving Group",POWER(Upgrades!$U$15,G364),1)*IF(Upgrades!$T$16="Moving Group",POWER(Upgrades!$U$16,H364),1)*IF(Upgrades!$T$17="Moving Group",POWER(Upgrades!$U$17,I364),1)*IF(Upgrades!$T$18="Moving Group",POWER(Upgrades!$U$18,J364),1)*IF(Upgrades!$T$19="Moving Group",POWER(Upgrades!$U$19,K364),1)*IF(Upgrades!$T$20="Moving Group",POWER(Upgrades!$U$20,L364),1)))*POWER(Upgrades!$Q$13,E364)*POWER(Upgrades!$Q$14,F364)*POWER(Upgrades!$Q$15,G364)*POWER(Upgrades!$Q$16,H364)*POWER(Upgrades!$Q$17,I364)*POWER(Upgrades!$Q$18,J364)*POWER(Upgrades!$Q$19,K364)*POWER(Upgrades!$Q$20,L364)*POWER(Upgrades!$Q$21,M364)*$G$6+$D$6</f>
        <v/>
      </c>
      <c r="P364" s="28">
        <f>((IF(E364=0,0,(Upgrades!$G$13+E364*Upgrades!$H$13)*POWER(Upgrades!$I$13,E364)))*(IF(Upgrades!$T$14="Stellar Kinematics",POWER(Upgrades!$U$14,F364),1)*IF(Upgrades!$T$15="Stellar Kinematics",POWER(Upgrades!$U$15,G364),1)*IF(Upgrades!$T$16="Stellar Kinematics",POWER(Upgrades!$U$16,H364),1)*IF(Upgrades!$T$17="Stellar Kinematics",POWER(Upgrades!$U$17,I364),1)*IF(Upgrades!$T$18="Stellar Kinematics",POWER(Upgrades!$U$18,J364),1)*IF(Upgrades!$T$19="Stellar Kinematics",POWER(Upgrades!$U$19,K364),1)*IF(Upgrades!$T$20="Stellar Kinematics",POWER(Upgrades!$U$20,L364),1)*IF(Upgrades!$T$21="Stellar Kinematics",POWER(Upgrades!$U$21,M364),1))+(IF(F364=0,0,(Upgrades!$G$14+F364*Upgrades!$H$14)*POWER(Upgrades!$I$14,F364)))*(IF(Upgrades!$T$13="Local Bubble",POWER(Upgrades!$U$13,E364),1)*IF(Upgrades!$T$15="Local Bubble",POWER(Upgrades!$U$15,G364),1)*IF(Upgrades!$T$16="Local Bubble",POWER(Upgrades!$U$16,H364),1)*IF(Upgrades!$T$17="Local Bubble",POWER(Upgrades!$U$17,I364),1)*IF(Upgrades!$T$18="Local Bubble",POWER(Upgrades!$U$18,J364),1)*IF(Upgrades!$T$19="Local Bubble",POWER(Upgrades!$U$19,K364),1)*IF(Upgrades!$T$20="Local Bubble",POWER(Upgrades!$U$20,L364),1)*IF(Upgrades!$T$21="Local Bubble",POWER(Upgrades!$U$21,M364),1))+(IF(G364=0,0,(Upgrades!$G$15+G364*Upgrades!$H$15)*POWER(Upgrades!$I$15,G364)))*(IF(Upgrades!$T$13="Microlensing",POWER(Upgrades!$U$13,E364),1)*IF(Upgrades!$T$14="Microlensing",POWER(Upgrades!$U$14,F364),1)*IF(Upgrades!$T$16="Microlensing",POWER(Upgrades!$U$16,H364),1)*IF(Upgrades!$T$17="Microlensing",POWER(Upgrades!$U$17,I364),1)*IF(Upgrades!$T$18="Microlensing",POWER(Upgrades!$U$18,J364),1)*IF(Upgrades!$T$19="Microlensing",POWER(Upgrades!$U$19,K364),1)*IF(Upgrades!$T$20="Microlensing",POWER(Upgrades!$U$20,L364),1)*IF(Upgrades!$T$21="Microlensing",POWER(Upgrades!$U$21,M364),1))+(IF(H364=0,0,(Upgrades!$G$16+H364*Upgrades!$H$16)*POWER(Upgrades!$I$16,H364)))*(IF(Upgrades!$T$13="Roche Lobe Overflow",POWER(Upgrades!$U$13,E364),1)*IF(Upgrades!$T$14="Roche Lobe Overflow",POWER(Upgrades!$U$14,F364),1)*IF(Upgrades!$T$15="Roche Lobe Overflow",POWER(Upgrades!$U$15,G364),1)*IF(Upgrades!$T$17="Roche Lobe Overflow",POWER(Upgrades!$U$17,I364),1)*IF(Upgrades!$T$18="Roche Lobe Overflow",POWER(Upgrades!$U$18,J364),1)*IF(Upgrades!$T$19="Roche Lobe Overflow",POWER(Upgrades!$U$19,K364),1)*IF(Upgrades!$T$20="Roche Lobe Overflow",POWER(Upgrades!$U$20,L364),1)*IF(Upgrades!$T$21="Roche Lobe Overflow",POWER(Upgrades!$U$21,M364),1))+(IF(I364=0,0,(Upgrades!$G$17+I364*Upgrades!$H$17)*POWER(Upgrades!$I$17,I364)))*(IF(Upgrades!$T$13="Brown Dwarf",POWER(Upgrades!$U$13,E364),1)*IF(Upgrades!$T$14="Brown Dwarf",POWER(Upgrades!$U$14,F364),1)*IF(Upgrades!$T$15="Brown Dwarf",POWER(Upgrades!$U$15,G364),1)*IF(Upgrades!$T$16="Brown Dwarf",POWER(Upgrades!$U$16,H364),1)*IF(Upgrades!$T$18="Brown Dwarf",POWER(Upgrades!$U$18,J364),1)*IF(Upgrades!$T$19="Brown Dwarf",POWER(Upgrades!$U$19,K364),1)*IF(Upgrades!$T$20="Brown Dwarf",POWER(Upgrades!$U$20,L364),1)*IF(Upgrades!$T$21="Brown Dwarf",POWER(Upgrades!$U$21,M364),1))+(IF(J364=0,0,(Upgrades!$G$18+J364*Upgrades!$H$18)*POWER(Upgrades!$I$18,J364)))*(IF(Upgrades!$T$13="Binary Partner",POWER(Upgrades!$U$13,E364),1)*IF(Upgrades!$T$14="Binary Partner",POWER(Upgrades!$U$14,F364),1)*IF(Upgrades!$T$15="Binary Partner",POWER(Upgrades!$U$15,G364),1)*IF(Upgrades!$T$16="Binary Partner",POWER(Upgrades!$U$16,H364),1)*IF(Upgrades!$T$17="Binary Partner",POWER(Upgrades!$U$17,I364),1)*IF(Upgrades!$T$19="Binary Partner",POWER(Upgrades!$U$19,K364),1)*IF(Upgrades!$T$20="Binary Partner",POWER(Upgrades!$U$20,L364),1)*IF(Upgrades!$T$21="Binary Partner",POWER(Upgrades!$U$21,M364),1))+(IF(K364=0,0,(Upgrades!$G$19+K364*Upgrades!$H$19)*POWER(Upgrades!$I$19,K364)))*(IF(Upgrades!$T$13="Peculiar Velocity",POWER(Upgrades!$U$13,E364),1)*IF(Upgrades!$T$14="Peculiar Velocity",POWER(Upgrades!$U$14,F364),1)*IF(Upgrades!$T$15="Peculiar Velocity",POWER(Upgrades!$U$15,G364),1)*IF(Upgrades!$T$16="Peculiar Velocity",POWER(Upgrades!$U$16,H364),1)*IF(Upgrades!$T$17="Peculiar Velocity",POWER(Upgrades!$U$17,I364),1)*IF(Upgrades!$T$18="Peculiar Velocity",POWER(Upgrades!$U$18,J364),1)*IF(Upgrades!$T$20="Peculiar Velocity",POWER(Upgrades!$U$20,L364),1)*IF(Upgrades!$T$21="Peculiar Velocity",POWER(Upgrades!$U$21,M364),1))+(IF(L364=0,0,(Upgrades!$G$20+L364*Upgrades!$H$20)*POWER(Upgrades!$I$20,L364)))*(IF(Upgrades!$T$13="Open Cluster",POWER(Upgrades!$U$13,E364),1)*IF(Upgrades!$T$14="Open Cluster",POWER(Upgrades!$U$14,F364),1)*IF(Upgrades!$T$15="Open Cluster",POWER(Upgrades!$U$15,G364),1)*IF(Upgrades!$T$16="Open Cluster",POWER(Upgrades!$U$16,H364),1)*IF(Upgrades!$T$17="Open Cluster",POWER(Upgrades!$U$17,I364),1)*IF(Upgrades!$T$18="Open Cluster",POWER(Upgrades!$U$18,J364),1)*IF(Upgrades!$T$19="Open Cluster",POWER(Upgrades!$U$19,K364),1)*IF(Upgrades!$T$21="Open Cluster",POWER(Upgrades!$U$21,M364),1))+(IF(M364=0,0,(Upgrades!$G$21+M364*Upgrades!$H$21)*POWER(Upgrades!$I$21,M364)))*(IF(Upgrades!$T$13="Moving Group",POWER(Upgrades!$U$13,E364),1)*IF(Upgrades!$T$14="Moving Group",POWER(Upgrades!$U$14,F364),1)*IF(Upgrades!$T$15="Moving Group",POWER(Upgrades!$U$15,G364),1)*IF(Upgrades!$T$16="Moving Group",POWER(Upgrades!$U$16,H364),1)*IF(Upgrades!$T$17="Moving Group",POWER(Upgrades!$U$17,I364),1)*IF(Upgrades!$T$18="Moving Group",POWER(Upgrades!$U$18,J364),1)*IF(Upgrades!$T$19="Moving Group",POWER(Upgrades!$U$19,K364),1)*IF(Upgrades!$T$20="Moving Group",POWER(Upgrades!$U$20,L364),1)))*POWER(Upgrades!$P$13,E364)*POWER(Upgrades!$P$14,F364)*POWER(Upgrades!$P$15,G364)*POWER(Upgrades!$P$16,H364)*POWER(Upgrades!$P$17,I364)*POWER(Upgrades!$P$18,J364)*POWER(Upgrades!$P$19,K364)*POWER(Upgrades!$P$20,L364)*POWER(Upgrades!$P$21,M364)*$F$6+$C$6</f>
        <v/>
      </c>
      <c r="Q364" s="28">
        <f>((IF(E364=0,0,(Upgrades!$M$13+E364*Upgrades!$N$13)*POWER(Upgrades!$O$13,E364)))*(IF(Upgrades!$T$14="Stellar Kinematics",POWER(Upgrades!$U$14,F364),1)*IF(Upgrades!$T$15="Stellar Kinematics",POWER(Upgrades!$U$15,G364),1)*IF(Upgrades!$T$16="Stellar Kinematics",POWER(Upgrades!$U$16,H364),1)*IF(Upgrades!$T$17="Stellar Kinematics",POWER(Upgrades!$U$17,I364),1)*IF(Upgrades!$T$18="Stellar Kinematics",POWER(Upgrades!$U$18,J364),1)*IF(Upgrades!$T$19="Stellar Kinematics",POWER(Upgrades!$U$19,K364),1)*IF(Upgrades!$T$20="Stellar Kinematics",POWER(Upgrades!$U$20,L364),1)*IF(Upgrades!$T$21="Stellar Kinematics",POWER(Upgrades!$U$21,M364),1))+(IF(F364=0,0,(Upgrades!$M$14+F364*Upgrades!$N$14)*POWER(Upgrades!$O$14,F364)))*(IF(Upgrades!$T$13="Local Bubble",POWER(Upgrades!$U$13,E364),1)*IF(Upgrades!$T$15="Local Bubble",POWER(Upgrades!$U$15,G364),1)*IF(Upgrades!$T$16="Local Bubble",POWER(Upgrades!$U$16,H364),1)*IF(Upgrades!$T$17="Local Bubble",POWER(Upgrades!$U$17,I364),1)*IF(Upgrades!$T$18="Local Bubble",POWER(Upgrades!$U$18,J364),1)*IF(Upgrades!$T$19="Local Bubble",POWER(Upgrades!$U$19,K364),1)*IF(Upgrades!$T$20="Local Bubble",POWER(Upgrades!$U$20,L364),1)*IF(Upgrades!$T$21="Local Bubble",POWER(Upgrades!$U$21,M364),1))+(IF(G364=0,0,(Upgrades!$M$15+G364*Upgrades!$N$15)*POWER(Upgrades!$O$15,G364)))*(IF(Upgrades!$T$13="Microlensing",POWER(Upgrades!$U$13,E364),1)*IF(Upgrades!$T$14="Microlensing",POWER(Upgrades!$U$14,F364),1)*IF(Upgrades!$T$16="Microlensing",POWER(Upgrades!$U$16,H364),1)*IF(Upgrades!$T$17="Microlensing",POWER(Upgrades!$U$17,I364),1)*IF(Upgrades!$T$18="Microlensing",POWER(Upgrades!$U$18,J364),1)*IF(Upgrades!$T$19="Microlensing",POWER(Upgrades!$U$19,K364),1)*IF(Upgrades!$T$20="Microlensing",POWER(Upgrades!$U$20,L364),1)*IF(Upgrades!$T$21="Microlensing",POWER(Upgrades!$U$21,M364),1))+(IF(H364=0,0,(Upgrades!$M$16+H364*Upgrades!$N$16)*POWER(Upgrades!$O$16,H364)))*(IF(Upgrades!$T$13="Roche Lobe Overflow",POWER(Upgrades!$U$13,E364),1)*IF(Upgrades!$T$14="Roche Lobe Overflow",POWER(Upgrades!$U$14,F364),1)*IF(Upgrades!$T$15="Roche Lobe Overflow",POWER(Upgrades!$U$15,G364),1)*IF(Upgrades!$T$17="Roche Lobe Overflow",POWER(Upgrades!$U$17,I364),1)*IF(Upgrades!$T$18="Roche Lobe Overflow",POWER(Upgrades!$U$18,J364),1)*IF(Upgrades!$T$19="Roche Lobe Overflow",POWER(Upgrades!$U$19,K364),1)*IF(Upgrades!$T$20="Roche Lobe Overflow",POWER(Upgrades!$U$20,L364),1)*IF(Upgrades!$T$21="Roche Lobe Overflow",POWER(Upgrades!$U$21,M364),1))+(IF(I364=0,0,(Upgrades!$M$17+I364*Upgrades!$N$17)*POWER(Upgrades!$O$17,I364)))*(IF(Upgrades!$T$13="Brown Dwarf",POWER(Upgrades!$U$13,E364),1)*IF(Upgrades!$T$14="Brown Dwarf",POWER(Upgrades!$U$14,F364),1)*IF(Upgrades!$T$15="Brown Dwarf",POWER(Upgrades!$U$15,G364),1)*IF(Upgrades!$T$16="Brown Dwarf",POWER(Upgrades!$U$16,H364),1)*IF(Upgrades!$T$18="Brown Dwarf",POWER(Upgrades!$U$18,J364),1)*IF(Upgrades!$T$19="Brown Dwarf",POWER(Upgrades!$U$19,K364),1)*IF(Upgrades!$T$20="Brown Dwarf",POWER(Upgrades!$U$20,L364),1)*IF(Upgrades!$T$21="Brown Dwarf",POWER(Upgrades!$U$21,M364),1))+(IF(J364=0,0,(Upgrades!$M$18+J364*Upgrades!$N$18)*POWER(Upgrades!$O$18,J364)))*(IF(Upgrades!$T$13="Binary Partner",POWER(Upgrades!$U$13,E364),1)*IF(Upgrades!$T$14="Binary Partner",POWER(Upgrades!$U$14,F364),1)*IF(Upgrades!$T$15="Binary Partner",POWER(Upgrades!$U$15,G364),1)*IF(Upgrades!$T$16="Binary Partner",POWER(Upgrades!$U$16,H364),1)*IF(Upgrades!$T$17="Binary Partner",POWER(Upgrades!$U$17,I364),1)*IF(Upgrades!$T$19="Binary Partner",POWER(Upgrades!$U$19,K364),1)*IF(Upgrades!$T$20="Binary Partner",POWER(Upgrades!$U$20,L364),1)*IF(Upgrades!$T$21="Binary Partner",POWER(Upgrades!$U$21,M364),1))+(IF(K364=0,0,(Upgrades!$M$19+K364*Upgrades!$N$19)*POWER(Upgrades!$O$19,K364)))*(IF(Upgrades!$T$13="Peculiar Velocity",POWER(Upgrades!$U$13,E364),1)*IF(Upgrades!$T$14="Peculiar Velocity",POWER(Upgrades!$U$14,F364),1)*IF(Upgrades!$T$15="Peculiar Velocity",POWER(Upgrades!$U$15,G364),1)*IF(Upgrades!$T$16="Peculiar Velocity",POWER(Upgrades!$U$16,H364),1)*IF(Upgrades!$T$17="Peculiar Velocity",POWER(Upgrades!$U$17,I364),1)*IF(Upgrades!$T$18="Peculiar Velocity",POWER(Upgrades!$U$18,J364),1)*IF(Upgrades!$T$20="Peculiar Velocity",POWER(Upgrades!$U$20,L364),1)*IF(Upgrades!$T$21="Peculiar Velocity",POWER(Upgrades!$U$21,M364),1))+(IF(L364=0,0,(Upgrades!$M$20+L364*Upgrades!$N$20)*POWER(Upgrades!$O$20,L364)))*(IF(Upgrades!$T$13="Open Cluster",POWER(Upgrades!$U$13,E364),1)*IF(Upgrades!$T$14="Open Cluster",POWER(Upgrades!$U$14,F364),1)*IF(Upgrades!$T$15="Open Cluster",POWER(Upgrades!$U$15,G364),1)*IF(Upgrades!$T$16="Open Cluster",POWER(Upgrades!$U$16,H364),1)*IF(Upgrades!$T$17="Open Cluster",POWER(Upgrades!$U$17,I364),1)*IF(Upgrades!$T$18="Open Cluster",POWER(Upgrades!$U$18,J364),1)*IF(Upgrades!$T$19="Open Cluster",POWER(Upgrades!$U$19,K364),1)*IF(Upgrades!$T$21="Open Cluster",POWER(Upgrades!$U$21,M364),1))+(IF(M364=0,0,(Upgrades!$M$21+M364*Upgrades!$N$21)*POWER(Upgrades!$O$21,M364)))*(IF(Upgrades!$T$13="Moving Group",POWER(Upgrades!$U$13,E364),1)*IF(Upgrades!$T$14="Moving Group",POWER(Upgrades!$U$14,F364),1)*IF(Upgrades!$T$15="Moving Group",POWER(Upgrades!$U$15,G364),1)*IF(Upgrades!$T$16="Moving Group",POWER(Upgrades!$U$16,H364),1)*IF(Upgrades!$T$17="Moving Group",POWER(Upgrades!$U$17,I364),1)*IF(Upgrades!$T$18="Moving Group",POWER(Upgrades!$U$18,J364),1)*IF(Upgrades!$T$19="Moving Group",POWER(Upgrades!$U$19,K364),1)*IF(Upgrades!$T$20="Moving Group",POWER(Upgrades!$U$20,L364),1)))*POWER(Upgrades!$R$13,E364)*POWER(Upgrades!$R$14,F364)*POWER(Upgrades!$R$15,G364)*POWER(Upgrades!$R$16,H364)*POWER(Upgrades!$R$17,I364)*POWER(Upgrades!$R$18,J364)*POWER(Upgrades!$R$19,K364)*POWER(Upgrades!$R$20,L364)*POWER(Upgrades!$R$21,M364)*$H$6+$E$6</f>
        <v/>
      </c>
      <c r="R364" s="27">
        <f>IF(N364=1,0,O364*Parameters!$B$10/60*Parameters!$B$11*10)</f>
        <v/>
      </c>
      <c r="S364" s="27">
        <f>IF(N364=1,0,Q364*O364*10)</f>
        <v/>
      </c>
      <c r="T364" s="27">
        <f>IF(N364=1,0,R364+S364+P364*10)</f>
        <v/>
      </c>
      <c r="U364" s="33">
        <f>BE364</f>
        <v/>
      </c>
      <c r="V364" s="22">
        <f>IF(U364="",0,IF(U364="transition",0,IF(U364="SK",AK364,IF(U364="LB",AL364,IF(U364="ML",AM364,IF(U364="RLO",AN364,IF(U364="BD",AO364,IF(U364="BiP",AP364,IF(U364="PV",AQ364,IF(U364="OC",AR364,IF(U364="MG",AS364,0))))))))))</f>
        <v/>
      </c>
      <c r="W364" s="27">
        <f>IF(U364="BiP",Upgrades!$F$18,IF(U364="PV",Upgrades!$F$19,IF(U364="OC",Upgrades!$F$20,IF(U364="MG",Upgrades!$F$21,IF(U364="transition",-Parameters!$B$18*Parameters!$B$19,0)))))</f>
        <v/>
      </c>
      <c r="X364" s="22">
        <f>C364+T364-V364</f>
        <v/>
      </c>
      <c r="Y364" s="30">
        <f>O364*Parameters!$B$10/60*Parameters!$B$11+Q364*O364+P364</f>
        <v/>
      </c>
      <c r="Z364" s="34">
        <f>IF(U364="transition","→ Tier 3 (Galactic Arm)",IF(U364="MG","Moving Group — pocket drifts together",IF(U364="OC","Open Cluster acquired",IF(U364="PV","Peculiar Velocity — passive multiplier active",IF(U364="BiP","Binary Partner — pair bond formed",IF(AND(AU364=1,N364=0,AT364&lt;&gt;1),"Cohesion ready (waiting on completionists)","")))))) </f>
        <v/>
      </c>
      <c r="AA364" s="27">
        <f>(IF(E364=0,0,(Upgrades!$G$13+E364*Upgrades!$H$13)*POWER(Upgrades!$I$13,E364)))*(IF(Upgrades!$T$14="Stellar Kinematics",POWER(Upgrades!$U$14,F364),1)*IF(Upgrades!$T$15="Stellar Kinematics",POWER(Upgrades!$U$15,G364),1)*IF(Upgrades!$T$16="Stellar Kinematics",POWER(Upgrades!$U$16,H364),1)*IF(Upgrades!$T$17="Stellar Kinematics",POWER(Upgrades!$U$17,I364),1)*IF(Upgrades!$T$18="Stellar Kinematics",POWER(Upgrades!$U$18,J364),1)*IF(Upgrades!$T$19="Stellar Kinematics",POWER(Upgrades!$U$19,K364),1)*IF(Upgrades!$T$20="Stellar Kinematics",POWER(Upgrades!$U$20,L364),1)*IF(Upgrades!$T$21="Stellar Kinematics",POWER(Upgrades!$U$21,M364),1))*POWER(Upgrades!$P$13,E364)*POWER(Upgrades!$P$14,F364)*POWER(Upgrades!$P$15,G364)*POWER(Upgrades!$P$16,H364)*POWER(Upgrades!$P$17,I364)*POWER(Upgrades!$P$18,J364)*POWER(Upgrades!$P$19,K364)*POWER(Upgrades!$P$20,L364)*POWER(Upgrades!$P$21,M364)*$F$6*60</f>
        <v/>
      </c>
      <c r="AB364" s="27">
        <f>(IF(F364=0,0,(Upgrades!$G$14+F364*Upgrades!$H$14)*POWER(Upgrades!$I$14,F364)))*(IF(Upgrades!$T$13="Local Bubble",POWER(Upgrades!$U$13,E364),1)*IF(Upgrades!$T$15="Local Bubble",POWER(Upgrades!$U$15,G364),1)*IF(Upgrades!$T$16="Local Bubble",POWER(Upgrades!$U$16,H364),1)*IF(Upgrades!$T$17="Local Bubble",POWER(Upgrades!$U$17,I364),1)*IF(Upgrades!$T$18="Local Bubble",POWER(Upgrades!$U$18,J364),1)*IF(Upgrades!$T$19="Local Bubble",POWER(Upgrades!$U$19,K364),1)*IF(Upgrades!$T$20="Local Bubble",POWER(Upgrades!$U$20,L364),1)*IF(Upgrades!$T$21="Local Bubble",POWER(Upgrades!$U$21,M364),1))*POWER(Upgrades!$P$13,E364)*POWER(Upgrades!$P$14,F364)*POWER(Upgrades!$P$15,G364)*POWER(Upgrades!$P$16,H364)*POWER(Upgrades!$P$17,I364)*POWER(Upgrades!$P$18,J364)*POWER(Upgrades!$P$19,K364)*POWER(Upgrades!$P$20,L364)*POWER(Upgrades!$P$21,M364)*$F$6*60</f>
        <v/>
      </c>
      <c r="AC364" s="27">
        <f>(IF(G364=0,0,(Upgrades!$J$15+G364*Upgrades!$K$15)*POWER(Upgrades!$L$15,G364)))*(IF(Upgrades!$T$13="Microlensing",POWER(Upgrades!$U$13,E364),1)*IF(Upgrades!$T$14="Microlensing",POWER(Upgrades!$U$14,F364),1)*IF(Upgrades!$T$16="Microlensing",POWER(Upgrades!$U$16,H364),1)*IF(Upgrades!$T$17="Microlensing",POWER(Upgrades!$U$17,I364),1)*IF(Upgrades!$T$18="Microlensing",POWER(Upgrades!$U$18,J364),1)*IF(Upgrades!$T$19="Microlensing",POWER(Upgrades!$U$19,K364),1)*IF(Upgrades!$T$20="Microlensing",POWER(Upgrades!$U$20,L364),1)*IF(Upgrades!$T$21="Microlensing",POWER(Upgrades!$U$21,M364),1))*POWER(Upgrades!$Q$13,E364)*POWER(Upgrades!$Q$14,F364)*POWER(Upgrades!$Q$15,G364)*POWER(Upgrades!$Q$16,H364)*POWER(Upgrades!$Q$17,I364)*POWER(Upgrades!$Q$18,J364)*POWER(Upgrades!$Q$19,K364)*POWER(Upgrades!$Q$20,L364)*POWER(Upgrades!$Q$21,M364)*$G$6*(Parameters!$B$10*Parameters!$B$11+Q364*60)</f>
        <v/>
      </c>
      <c r="AD364" s="27">
        <f>(IF(H364=0,0,(Upgrades!$M$16+H364*Upgrades!$N$16)*POWER(Upgrades!$O$16,H364)))*(IF(Upgrades!$T$13="Roche Lobe Overflow",POWER(Upgrades!$U$13,E364),1)*IF(Upgrades!$T$14="Roche Lobe Overflow",POWER(Upgrades!$U$14,F364),1)*IF(Upgrades!$T$15="Roche Lobe Overflow",POWER(Upgrades!$U$15,G364),1)*IF(Upgrades!$T$17="Roche Lobe Overflow",POWER(Upgrades!$U$17,I364),1)*IF(Upgrades!$T$18="Roche Lobe Overflow",POWER(Upgrades!$U$18,J364),1)*IF(Upgrades!$T$19="Roche Lobe Overflow",POWER(Upgrades!$U$19,K364),1)*IF(Upgrades!$T$20="Roche Lobe Overflow",POWER(Upgrades!$U$20,L364),1)*IF(Upgrades!$T$21="Roche Lobe Overflow",POWER(Upgrades!$U$21,M364),1))*POWER(Upgrades!$R$13,E364)*POWER(Upgrades!$R$14,F364)*POWER(Upgrades!$R$15,G364)*POWER(Upgrades!$R$16,H364)*POWER(Upgrades!$R$17,I364)*POWER(Upgrades!$R$18,J364)*POWER(Upgrades!$R$19,K364)*POWER(Upgrades!$R$20,L364)*POWER(Upgrades!$R$21,M364)*$H$6*O364*60</f>
        <v/>
      </c>
      <c r="AE364" s="27">
        <f>(IF(I364=0,0,(Upgrades!$G$17+I364*Upgrades!$H$17)*POWER(Upgrades!$I$17,I364)))*(IF(Upgrades!$T$13="Brown Dwarf",POWER(Upgrades!$U$13,E364),1)*IF(Upgrades!$T$14="Brown Dwarf",POWER(Upgrades!$U$14,F364),1)*IF(Upgrades!$T$15="Brown Dwarf",POWER(Upgrades!$U$15,G364),1)*IF(Upgrades!$T$16="Brown Dwarf",POWER(Upgrades!$U$16,H364),1)*IF(Upgrades!$T$18="Brown Dwarf",POWER(Upgrades!$U$18,J364),1)*IF(Upgrades!$T$19="Brown Dwarf",POWER(Upgrades!$U$19,K364),1)*IF(Upgrades!$T$20="Brown Dwarf",POWER(Upgrades!$U$20,L364),1)*IF(Upgrades!$T$21="Brown Dwarf",POWER(Upgrades!$U$21,M364),1))*POWER(Upgrades!$P$13,E364)*POWER(Upgrades!$P$14,F364)*POWER(Upgrades!$P$15,G364)*POWER(Upgrades!$P$16,H364)*POWER(Upgrades!$P$17,I364)*POWER(Upgrades!$P$18,J364)*POWER(Upgrades!$P$19,K364)*POWER(Upgrades!$P$20,L364)*POWER(Upgrades!$P$21,M364)*$F$6*60</f>
        <v/>
      </c>
      <c r="AF364" s="27" t="n">
        <v>0</v>
      </c>
      <c r="AG364" s="27" t="n">
        <v>0</v>
      </c>
      <c r="AH364" s="27" t="n">
        <v>0</v>
      </c>
      <c r="AI364" s="27">
        <f>(IF(M364=0,0,(Upgrades!$G$21+M364*Upgrades!$H$21)*POWER(Upgrades!$I$21,M364)))*(IF(Upgrades!$T$13="Moving Group",POWER(Upgrades!$U$13,E364),1)*IF(Upgrades!$T$14="Moving Group",POWER(Upgrades!$U$14,F364),1)*IF(Upgrades!$T$15="Moving Group",POWER(Upgrades!$U$15,G364),1)*IF(Upgrades!$T$16="Moving Group",POWER(Upgrades!$U$16,H364),1)*IF(Upgrades!$T$17="Moving Group",POWER(Upgrades!$U$17,I364),1)*IF(Upgrades!$T$18="Moving Group",POWER(Upgrades!$U$18,J364),1)*IF(Upgrades!$T$19="Moving Group",POWER(Upgrades!$U$19,K364),1)*IF(Upgrades!$T$20="Moving Group",POWER(Upgrades!$U$20,L364),1))*POWER(Upgrades!$P$13,E364)*POWER(Upgrades!$P$14,F364)*POWER(Upgrades!$P$15,G364)*POWER(Upgrades!$P$16,H364)*POWER(Upgrades!$P$17,I364)*POWER(Upgrades!$P$18,J364)*POWER(Upgrades!$P$19,K364)*POWER(Upgrades!$P$20,L364)*POWER(Upgrades!$P$21,M364)*$F$6*60</f>
        <v/>
      </c>
      <c r="AJ364" s="27">
        <f>$C$6*60</f>
        <v/>
      </c>
      <c r="AK364" s="22">
        <f>IF(E364&gt;=Upgrades!$E$13,"",Upgrades!$C$13*POWER(Upgrades!$D$13,E364))</f>
        <v/>
      </c>
      <c r="AL364" s="22">
        <f>IF(F364&gt;=Upgrades!$E$14,"",Upgrades!$C$14*POWER(Upgrades!$D$14,F364))</f>
        <v/>
      </c>
      <c r="AM364" s="22">
        <f>IF(G364&gt;=Upgrades!$E$15,"",Upgrades!$C$15*POWER(Upgrades!$D$15,G364))</f>
        <v/>
      </c>
      <c r="AN364" s="22">
        <f>IF(H364&gt;=Upgrades!$E$16,"",Upgrades!$C$16*POWER(Upgrades!$D$16,H364))</f>
        <v/>
      </c>
      <c r="AO364" s="22">
        <f>IF(I364&gt;=Upgrades!$E$17,"",Upgrades!$C$17*POWER(Upgrades!$D$17,I364))</f>
        <v/>
      </c>
      <c r="AP364" s="22">
        <f>IF(J364&gt;=Upgrades!$E$18,"",Upgrades!$C$18*POWER(Upgrades!$D$18,J364))</f>
        <v/>
      </c>
      <c r="AQ364" s="22">
        <f>IF(K364&gt;=Upgrades!$E$19,"",Upgrades!$C$19*POWER(Upgrades!$D$19,K364))</f>
        <v/>
      </c>
      <c r="AR364" s="22">
        <f>IF(L364&gt;=Upgrades!$E$20,"",Upgrades!$C$20*POWER(Upgrades!$D$20,L364))</f>
        <v/>
      </c>
      <c r="AS364" s="22">
        <f>IF(M364&gt;=Upgrades!$E$21,"",Upgrades!$C$21*POWER(Upgrades!$D$21,M364))</f>
        <v/>
      </c>
      <c r="AT364" s="26">
        <f>IF(AND(D364&gt;=Parameters!$B$18*Parameters!$B$19,(I364&gt;=Upgrades!$E$17)*(M364&gt;=Upgrades!$E$21)=1,N364=0),1,"")</f>
        <v/>
      </c>
      <c r="AU364" s="26">
        <f>IF(AND(D364&gt;=Parameters!$B$18*Parameters!$B$19,N364=0),1,"")</f>
        <v/>
      </c>
      <c r="AV364" s="22">
        <f>MIN(IF(ISNUMBER(AP364),AP364,9E15),IF(ISNUMBER(AQ364),AQ364,9E15),IF(ISNUMBER(AR364),AR364,9E15),IF(ISNUMBER(AS364),AS364,9E15))</f>
        <v/>
      </c>
      <c r="AW364" s="22">
        <f>MIN(IF(ISNUMBER(AK364),AK364,9E15),IF(ISNUMBER(AL364),AL364,9E15),IF(ISNUMBER(AM364),AM364,9E15),IF(ISNUMBER(AN364),AN364,9E15),IF(ISNUMBER(AO364),AO364,9E15))</f>
        <v/>
      </c>
      <c r="AX364" s="29">
        <f>IF(BD364&gt;Parameters!$B$21*(MAX(IF(AND(NOT(AND(AU364=1,AT364&lt;&gt;1)),ISNUMBER(AK364),AK364&lt;=(C364+T364)),AY364,0),IF(AND(NOT(AND(AU364=1,AT364&lt;&gt;1)),ISNUMBER(AL364),AL364&lt;=(C364+T364)),AZ364,0),IF(AND(NOT(AND(AU364=1,AT364&lt;&gt;1)),ISNUMBER(AM364),AM364&lt;=(C364+T364)),BA364,0),IF(AND(NOT(AND(AU364=1,AT364&lt;&gt;1)),ISNUMBER(AN364),AN364&lt;=(C364+T364)),BB364,0),IF(AND(ISNUMBER(AO364),AO364&lt;=(C364+T364)),BC364,0))),TRUE,FALSE)</f>
        <v/>
      </c>
      <c r="AY364" s="32">
        <f>IFERROR(Upgrades!$H$13*(POWER(Upgrades!$P$13,E364)*POWER(Upgrades!$P$14,F364)*POWER(Upgrades!$P$15,G364)*POWER(Upgrades!$P$16,H364)*POWER(Upgrades!$P$17,I364)*POWER(Upgrades!$P$18,J364)*POWER(Upgrades!$P$19,K364)*POWER(Upgrades!$P$20,L364)*POWER(Upgrades!$P$21,M364))*(IF(Upgrades!$T$14="Stellar Kinematics",POWER(Upgrades!$U$14,F364),1)*IF(Upgrades!$T$15="Stellar Kinematics",POWER(Upgrades!$U$15,G364),1)*IF(Upgrades!$T$16="Stellar Kinematics",POWER(Upgrades!$U$16,H364),1)*IF(Upgrades!$T$17="Stellar Kinematics",POWER(Upgrades!$U$17,I364),1)*IF(Upgrades!$T$18="Stellar Kinematics",POWER(Upgrades!$U$18,J364),1)*IF(Upgrades!$T$19="Stellar Kinematics",POWER(Upgrades!$U$19,K364),1)*IF(Upgrades!$T$20="Stellar Kinematics",POWER(Upgrades!$U$20,L364),1)*IF(Upgrades!$T$21="Stellar Kinematics",POWER(Upgrades!$U$21,M364),1))*$F$6/AK364,0)</f>
        <v/>
      </c>
      <c r="AZ364" s="32">
        <f>IFERROR(Upgrades!$H$14*(POWER(Upgrades!$P$13,E364)*POWER(Upgrades!$P$14,F364)*POWER(Upgrades!$P$15,G364)*POWER(Upgrades!$P$16,H364)*POWER(Upgrades!$P$17,I364)*POWER(Upgrades!$P$18,J364)*POWER(Upgrades!$P$19,K364)*POWER(Upgrades!$P$20,L364)*POWER(Upgrades!$P$21,M364))*(IF(Upgrades!$T$13="Local Bubble",POWER(Upgrades!$U$13,E364),1)*IF(Upgrades!$T$15="Local Bubble",POWER(Upgrades!$U$15,G364),1)*IF(Upgrades!$T$16="Local Bubble",POWER(Upgrades!$U$16,H364),1)*IF(Upgrades!$T$17="Local Bubble",POWER(Upgrades!$U$17,I364),1)*IF(Upgrades!$T$18="Local Bubble",POWER(Upgrades!$U$18,J364),1)*IF(Upgrades!$T$19="Local Bubble",POWER(Upgrades!$U$19,K364),1)*IF(Upgrades!$T$20="Local Bubble",POWER(Upgrades!$U$20,L364),1)*IF(Upgrades!$T$21="Local Bubble",POWER(Upgrades!$U$21,M364),1))*$F$6/AL364,0)</f>
        <v/>
      </c>
      <c r="BA364" s="32">
        <f>IFERROR(Upgrades!$K$15*(POWER(Upgrades!$Q$13,E364)*POWER(Upgrades!$Q$14,F364)*POWER(Upgrades!$Q$15,G364)*POWER(Upgrades!$Q$16,H364)*POWER(Upgrades!$Q$17,I364)*POWER(Upgrades!$Q$18,J364)*POWER(Upgrades!$Q$19,K364)*POWER(Upgrades!$Q$20,L364)*POWER(Upgrades!$Q$21,M364))*(IF(Upgrades!$T$13="Microlensing",POWER(Upgrades!$U$13,E364),1)*IF(Upgrades!$T$14="Microlensing",POWER(Upgrades!$U$14,F364),1)*IF(Upgrades!$T$16="Microlensing",POWER(Upgrades!$U$16,H364),1)*IF(Upgrades!$T$17="Microlensing",POWER(Upgrades!$U$17,I364),1)*IF(Upgrades!$T$18="Microlensing",POWER(Upgrades!$U$18,J364),1)*IF(Upgrades!$T$19="Microlensing",POWER(Upgrades!$U$19,K364),1)*IF(Upgrades!$T$20="Microlensing",POWER(Upgrades!$U$20,L364),1)*IF(Upgrades!$T$21="Microlensing",POWER(Upgrades!$U$21,M364),1))*$G$6*(Parameters!$B$10/60*Parameters!$B$11+Q364)/AM364,0)</f>
        <v/>
      </c>
      <c r="BB364" s="32">
        <f>IFERROR((Upgrades!$N$16*(POWER(Upgrades!$R$13,E364)*POWER(Upgrades!$R$14,F364)*POWER(Upgrades!$R$15,G364)*POWER(Upgrades!$R$16,H364)*POWER(Upgrades!$R$17,I364)*POWER(Upgrades!$R$18,J364)*POWER(Upgrades!$R$19,K364)*POWER(Upgrades!$R$20,L364)*POWER(Upgrades!$R$21,M364))*(IF(Upgrades!$T$13="Roche Lobe Overflow",POWER(Upgrades!$U$13,E364),1)*IF(Upgrades!$T$14="Roche Lobe Overflow",POWER(Upgrades!$U$14,F364),1)*IF(Upgrades!$T$15="Roche Lobe Overflow",POWER(Upgrades!$U$15,G364),1)*IF(Upgrades!$T$17="Roche Lobe Overflow",POWER(Upgrades!$U$17,I364),1)*IF(Upgrades!$T$18="Roche Lobe Overflow",POWER(Upgrades!$U$18,J364),1)*IF(Upgrades!$T$19="Roche Lobe Overflow",POWER(Upgrades!$U$19,K364),1)*IF(Upgrades!$T$20="Roche Lobe Overflow",POWER(Upgrades!$U$20,L364),1)*IF(Upgrades!$T$21="Roche Lobe Overflow",POWER(Upgrades!$U$21,M364),1))*$H$6*O364+((IF(F364=0,0,(Upgrades!$G$14+F364*Upgrades!$H$14)*POWER(Upgrades!$I$14,F364)))*(IF(Upgrades!$T$13="Local Bubble",POWER(Upgrades!$U$13,E364),1)*IF(Upgrades!$T$15="Local Bubble",POWER(Upgrades!$U$15,G364),1)*IF(Upgrades!$T$16="Local Bubble",POWER(Upgrades!$U$16,H364),1)*IF(Upgrades!$T$17="Local Bubble",POWER(Upgrades!$U$17,I364),1)*IF(Upgrades!$T$18="Local Bubble",POWER(Upgrades!$U$18,J364),1)*IF(Upgrades!$T$19="Local Bubble",POWER(Upgrades!$U$19,K364),1)*IF(Upgrades!$T$20="Local Bubble",POWER(Upgrades!$U$20,L364),1)*IF(Upgrades!$T$21="Local Bubble",POWER(Upgrades!$U$21,M364),1))*POWER(Upgrades!$P$13,E364)*POWER(Upgrades!$P$14,F364)*POWER(Upgrades!$P$15,G364)*POWER(Upgrades!$P$16,H364)*POWER(Upgrades!$P$17,I364)*POWER(Upgrades!$P$18,J364)*POWER(Upgrades!$P$19,K364)*POWER(Upgrades!$P$20,L364)*POWER(Upgrades!$P$21,M364)*$F$6)*0.05)/AN364,0)</f>
        <v/>
      </c>
      <c r="BC364" s="32">
        <f>IFERROR((Upgrades!$H$17*(POWER(Upgrades!$P$13,E364)*POWER(Upgrades!$P$14,F364)*POWER(Upgrades!$P$15,G364)*POWER(Upgrades!$P$16,H364)*POWER(Upgrades!$P$17,I364)*POWER(Upgrades!$P$18,J364)*POWER(Upgrades!$P$19,K364)*POWER(Upgrades!$P$20,L364)*POWER(Upgrades!$P$21,M364))*(IF(Upgrades!$T$13="Brown Dwarf",POWER(Upgrades!$U$13,E364),1)*IF(Upgrades!$T$14="Brown Dwarf",POWER(Upgrades!$U$14,F364),1)*IF(Upgrades!$T$15="Brown Dwarf",POWER(Upgrades!$U$15,G364),1)*IF(Upgrades!$T$16="Brown Dwarf",POWER(Upgrades!$U$16,H364),1)*IF(Upgrades!$T$18="Brown Dwarf",POWER(Upgrades!$U$18,J364),1)*IF(Upgrades!$T$19="Brown Dwarf",POWER(Upgrades!$U$19,K364),1)*IF(Upgrades!$T$20="Brown Dwarf",POWER(Upgrades!$U$20,L364),1)*IF(Upgrades!$T$21="Brown Dwarf",POWER(Upgrades!$U$21,M364),1))*$F$6+(((IF(H364=0,0,(Upgrades!$M$16+H364*Upgrades!$N$16)*POWER(Upgrades!$O$16,H364)))*(IF(Upgrades!$T$13="Roche Lobe Overflow",POWER(Upgrades!$U$13,E364),1)*IF(Upgrades!$T$14="Roche Lobe Overflow",POWER(Upgrades!$U$14,F364),1)*IF(Upgrades!$T$15="Roche Lobe Overflow",POWER(Upgrades!$U$15,G364),1)*IF(Upgrades!$T$17="Roche Lobe Overflow",POWER(Upgrades!$U$17,I364),1)*IF(Upgrades!$T$18="Roche Lobe Overflow",POWER(Upgrades!$U$18,J364),1)*IF(Upgrades!$T$19="Roche Lobe Overflow",POWER(Upgrades!$U$19,K364),1)*IF(Upgrades!$T$20="Roche Lobe Overflow",POWER(Upgrades!$U$20,L364),1)*IF(Upgrades!$T$21="Roche Lobe Overflow",POWER(Upgrades!$U$21,M364),1))*POWER(Upgrades!$R$13,E364)*POWER(Upgrades!$R$14,F364)*POWER(Upgrades!$R$15,G364)*POWER(Upgrades!$R$16,H364)*POWER(Upgrades!$R$17,I364)*POWER(Upgrades!$R$18,J364)*POWER(Upgrades!$R$19,K364)*POWER(Upgrades!$R$20,L364)*POWER(Upgrades!$R$21,M364)*$H$6)*O364)*0.10)/AO364,0)</f>
        <v/>
      </c>
      <c r="BD364" s="32">
        <f>MAX(IF(J364&gt;0,0,IFERROR(0.5*((IF(G364=0,0,(Upgrades!$J$15+G364*Upgrades!$K$15)*POWER(Upgrades!$L$15,G364)))*(IF(Upgrades!$T$13="Microlensing",POWER(Upgrades!$U$13,E364),1)*IF(Upgrades!$T$14="Microlensing",POWER(Upgrades!$U$14,F364),1)*IF(Upgrades!$T$16="Microlensing",POWER(Upgrades!$U$16,H364),1)*IF(Upgrades!$T$17="Microlensing",POWER(Upgrades!$U$17,I364),1)*IF(Upgrades!$T$18="Microlensing",POWER(Upgrades!$U$18,J364),1)*IF(Upgrades!$T$19="Microlensing",POWER(Upgrades!$U$19,K364),1)*IF(Upgrades!$T$20="Microlensing",POWER(Upgrades!$U$20,L364),1)*IF(Upgrades!$T$21="Microlensing",POWER(Upgrades!$U$21,M364),1))*(POWER(Upgrades!$Q$13,E364)*POWER(Upgrades!$Q$14,F364)*POWER(Upgrades!$Q$15,G364)*POWER(Upgrades!$Q$16,H364)*POWER(Upgrades!$Q$17,I364)*POWER(Upgrades!$Q$18,J364)*POWER(Upgrades!$Q$19,K364)*POWER(Upgrades!$Q$20,L364)*POWER(Upgrades!$Q$21,M364))*$G$6*(Parameters!$B$10/60*Parameters!$B$11+Q364))/Upgrades!$C$18,0)),IF(K364&gt;0,0,IFERROR(0.30*P364/Upgrades!$C$19,0)),IF(L364&gt;0,0,IFERROR(0.0001/Upgrades!$C$20,0)),IF(M364&gt;0,0,IFERROR((6.0*(POWER(Upgrades!$P$13,E364)*POWER(Upgrades!$P$14,F364)*POWER(Upgrades!$P$15,G364)*POWER(Upgrades!$P$16,H364)*POWER(Upgrades!$P$17,I364)*POWER(Upgrades!$P$18,J364)*POWER(Upgrades!$P$19,K364)*POWER(Upgrades!$P$20,L364)*POWER(Upgrades!$P$21,M364))*$F$6+0.20*O364*(Parameters!$B$10/60*Parameters!$B$11+Q364))/Upgrades!$C$21,0)),IF(AND(ISNUMBER(AK364),AK364&gt;(C364+T364)),AY364,0),IF(AND(ISNUMBER(AL364),AL364&gt;(C364+T364)),AZ364,0),IF(AND(ISNUMBER(AM364),AM364&gt;(C364+T364)),BA364,0),IF(AND(ISNUMBER(AN364),AN364&gt;(C364+T364)),BB364,0),IF(AND(ISNUMBER(AO364),AO364&gt;(C364+T364)),BC364,0))</f>
        <v/>
      </c>
      <c r="BE364" s="29">
        <f>IF(AT364=1,"transition",IF(MIN(IF(AND(J364=0,ISNUMBER(AP364),AP364&lt;=(C364+T364)),AP364,9E15),IF(AND(K364=0,ISNUMBER(AQ364),AQ364&lt;=(C364+T364)),AQ364,9E15),IF(AND(L364=0,ISNUMBER(AR364),AR364&lt;=(C364+T364)),AR364,9E15),IF(AND(M364=0,ISNUMBER(AS364),AS364&lt;=(C364+T364)),AS364,9E15))&lt;9E15,IF(AND(AND(J364=0,ISNUMBER(AP364),AP364&lt;=(C364+T364)),AP364=MIN(IF(AND(J364=0,ISNUMBER(AP364),AP364&lt;=(C364+T364)),AP364,9E15),IF(AND(K364=0,ISNUMBER(AQ364),AQ364&lt;=(C364+T364)),AQ364,9E15),IF(AND(L364=0,ISNUMBER(AR364),AR364&lt;=(C364+T364)),AR364,9E15),IF(AND(M364=0,ISNUMBER(AS364),AS364&lt;=(C364+T364)),AS364,9E15))),"BiP",IF(AND(AND(K364=0,ISNUMBER(AQ364),AQ364&lt;=(C364+T364)),AQ364=MIN(IF(AND(J364=0,ISNUMBER(AP364),AP364&lt;=(C364+T364)),AP364,9E15),IF(AND(K364=0,ISNUMBER(AQ364),AQ364&lt;=(C364+T364)),AQ364,9E15),IF(AND(L364=0,ISNUMBER(AR364),AR364&lt;=(C364+T364)),AR364,9E15),IF(AND(M364=0,ISNUMBER(AS364),AS364&lt;=(C364+T364)),AS364,9E15))),"PV",IF(AND(AND(L364=0,ISNUMBER(AR364),AR364&lt;=(C364+T364)),AR364=MIN(IF(AND(J364=0,ISNUMBER(AP364),AP364&lt;=(C364+T364)),AP364,9E15),IF(AND(K364=0,ISNUMBER(AQ364),AQ364&lt;=(C364+T364)),AQ364,9E15),IF(AND(L364=0,ISNUMBER(AR364),AR364&lt;=(C364+T364)),AR364,9E15),IF(AND(M364=0,ISNUMBER(AS364),AS364&lt;=(C364+T364)),AS364,9E15))),"OC","MG"))),IF(AX364=TRUE,"",IF(MAX(IF(AND(NOT(AND(AU364=1,AT364&lt;&gt;1)),ISNUMBER(AK364),AK364&lt;=(C364+T364)),AY364,0),IF(AND(NOT(AND(AU364=1,AT364&lt;&gt;1)),ISNUMBER(AL364),AL364&lt;=(C364+T364)),AZ364,0),IF(AND(NOT(AND(AU364=1,AT364&lt;&gt;1)),ISNUMBER(AM364),AM364&lt;=(C364+T364)),BA364,0),IF(AND(NOT(AND(AU364=1,AT364&lt;&gt;1)),ISNUMBER(AN364),AN364&lt;=(C364+T364)),BB364,0),IF(AND(ISNUMBER(AO364),AO364&lt;=(C364+T364)),BC364,0))&lt;=0,"",IF(AND(IF(AND(NOT(AND(AU364=1,AT364&lt;&gt;1)),ISNUMBER(AK364),AK364&lt;=(C364+T364)),AY364,0)&gt;0,IF(AND(NOT(AND(AU364=1,AT364&lt;&gt;1)),ISNUMBER(AK364),AK364&lt;=(C364+T364)),AY364,0)=MAX(IF(AND(NOT(AND(AU364=1,AT364&lt;&gt;1)),ISNUMBER(AK364),AK364&lt;=(C364+T364)),AY364,0),IF(AND(NOT(AND(AU364=1,AT364&lt;&gt;1)),ISNUMBER(AL364),AL364&lt;=(C364+T364)),AZ364,0),IF(AND(NOT(AND(AU364=1,AT364&lt;&gt;1)),ISNUMBER(AM364),AM364&lt;=(C364+T364)),BA364,0),IF(AND(NOT(AND(AU364=1,AT364&lt;&gt;1)),ISNUMBER(AN364),AN364&lt;=(C364+T364)),BB364,0),IF(AND(ISNUMBER(AO364),AO364&lt;=(C364+T364)),BC364,0))),"SK",IF(AND(IF(AND(NOT(AND(AU364=1,AT364&lt;&gt;1)),ISNUMBER(AL364),AL364&lt;=(C364+T364)),AZ364,0)&gt;0,IF(AND(NOT(AND(AU364=1,AT364&lt;&gt;1)),ISNUMBER(AL364),AL364&lt;=(C364+T364)),AZ364,0)=MAX(IF(AND(NOT(AND(AU364=1,AT364&lt;&gt;1)),ISNUMBER(AK364),AK364&lt;=(C364+T364)),AY364,0),IF(AND(NOT(AND(AU364=1,AT364&lt;&gt;1)),ISNUMBER(AL364),AL364&lt;=(C364+T364)),AZ364,0),IF(AND(NOT(AND(AU364=1,AT364&lt;&gt;1)),ISNUMBER(AM364),AM364&lt;=(C364+T364)),BA364,0),IF(AND(NOT(AND(AU364=1,AT364&lt;&gt;1)),ISNUMBER(AN364),AN364&lt;=(C364+T364)),BB364,0),IF(AND(ISNUMBER(AO364),AO364&lt;=(C364+T364)),BC364,0))),"LB",IF(AND(IF(AND(NOT(AND(AU364=1,AT364&lt;&gt;1)),ISNUMBER(AM364),AM364&lt;=(C364+T364)),BA364,0)&gt;0,IF(AND(NOT(AND(AU364=1,AT364&lt;&gt;1)),ISNUMBER(AM364),AM364&lt;=(C364+T364)),BA364,0)=MAX(IF(AND(NOT(AND(AU364=1,AT364&lt;&gt;1)),ISNUMBER(AK364),AK364&lt;=(C364+T364)),AY364,0),IF(AND(NOT(AND(AU364=1,AT364&lt;&gt;1)),ISNUMBER(AL364),AL364&lt;=(C364+T364)),AZ364,0),IF(AND(NOT(AND(AU364=1,AT364&lt;&gt;1)),ISNUMBER(AM364),AM364&lt;=(C364+T364)),BA364,0),IF(AND(NOT(AND(AU364=1,AT364&lt;&gt;1)),ISNUMBER(AN364),AN364&lt;=(C364+T364)),BB364,0),IF(AND(ISNUMBER(AO364),AO364&lt;=(C364+T364)),BC364,0))),"ML",IF(AND(IF(AND(NOT(AND(AU364=1,AT364&lt;&gt;1)),ISNUMBER(AN364),AN364&lt;=(C364+T364)),BB364,0)&gt;0,IF(AND(NOT(AND(AU364=1,AT364&lt;&gt;1)),ISNUMBER(AN364),AN364&lt;=(C364+T364)),BB364,0)=MAX(IF(AND(NOT(AND(AU364=1,AT364&lt;&gt;1)),ISNUMBER(AK364),AK364&lt;=(C364+T364)),AY364,0),IF(AND(NOT(AND(AU364=1,AT364&lt;&gt;1)),ISNUMBER(AL364),AL364&lt;=(C364+T364)),AZ364,0),IF(AND(NOT(AND(AU364=1,AT364&lt;&gt;1)),ISNUMBER(AM364),AM364&lt;=(C364+T364)),BA364,0),IF(AND(NOT(AND(AU364=1,AT364&lt;&gt;1)),ISNUMBER(AN364),AN364&lt;=(C364+T364)),BB364,0),IF(AND(ISNUMBER(AO364),AO364&lt;=(C364+T364)),BC364,0))),"RLO","BD"))))))))</f>
        <v/>
      </c>
    </row>
    <row r="365">
      <c r="A365" s="26" t="n">
        <v>354</v>
      </c>
      <c r="B365" s="27">
        <f>A365*10/60</f>
        <v/>
      </c>
      <c r="C365" s="22">
        <f>X364</f>
        <v/>
      </c>
      <c r="D365" s="27">
        <f>D364+W364</f>
        <v/>
      </c>
      <c r="E365" s="26">
        <f>E364+IF(U364="SK",1,0)</f>
        <v/>
      </c>
      <c r="F365" s="26">
        <f>F364+IF(U364="LB",1,0)</f>
        <v/>
      </c>
      <c r="G365" s="26">
        <f>G364+IF(U364="ML",1,0)</f>
        <v/>
      </c>
      <c r="H365" s="26">
        <f>H364+IF(U364="RLO",1,0)</f>
        <v/>
      </c>
      <c r="I365" s="26">
        <f>I364+IF(U364="BD",1,0)</f>
        <v/>
      </c>
      <c r="J365" s="26">
        <f>MAX(J364,IF(U364="BiP",1,0))</f>
        <v/>
      </c>
      <c r="K365" s="26">
        <f>MAX(K364,IF(U364="PV",1,0))</f>
        <v/>
      </c>
      <c r="L365" s="26">
        <f>MAX(L364,IF(U364="OC",1,0))</f>
        <v/>
      </c>
      <c r="M365" s="26">
        <f>MAX(M364,IF(U364="MG",1,0))</f>
        <v/>
      </c>
      <c r="N365" s="26">
        <f>MAX(N364,IF(U364="transition",1,0))</f>
        <v/>
      </c>
      <c r="O365" s="28">
        <f>(Parameters!$B$9+(IF(E365=0,0,(Upgrades!$J$13+E365*Upgrades!$K$13)*POWER(Upgrades!$L$13,E365)))*(IF(Upgrades!$T$14="Stellar Kinematics",POWER(Upgrades!$U$14,F365),1)*IF(Upgrades!$T$15="Stellar Kinematics",POWER(Upgrades!$U$15,G365),1)*IF(Upgrades!$T$16="Stellar Kinematics",POWER(Upgrades!$U$16,H365),1)*IF(Upgrades!$T$17="Stellar Kinematics",POWER(Upgrades!$U$17,I365),1)*IF(Upgrades!$T$18="Stellar Kinematics",POWER(Upgrades!$U$18,J365),1)*IF(Upgrades!$T$19="Stellar Kinematics",POWER(Upgrades!$U$19,K365),1)*IF(Upgrades!$T$20="Stellar Kinematics",POWER(Upgrades!$U$20,L365),1)*IF(Upgrades!$T$21="Stellar Kinematics",POWER(Upgrades!$U$21,M365),1))+(IF(F365=0,0,(Upgrades!$J$14+F365*Upgrades!$K$14)*POWER(Upgrades!$L$14,F365)))*(IF(Upgrades!$T$13="Local Bubble",POWER(Upgrades!$U$13,E365),1)*IF(Upgrades!$T$15="Local Bubble",POWER(Upgrades!$U$15,G365),1)*IF(Upgrades!$T$16="Local Bubble",POWER(Upgrades!$U$16,H365),1)*IF(Upgrades!$T$17="Local Bubble",POWER(Upgrades!$U$17,I365),1)*IF(Upgrades!$T$18="Local Bubble",POWER(Upgrades!$U$18,J365),1)*IF(Upgrades!$T$19="Local Bubble",POWER(Upgrades!$U$19,K365),1)*IF(Upgrades!$T$20="Local Bubble",POWER(Upgrades!$U$20,L365),1)*IF(Upgrades!$T$21="Local Bubble",POWER(Upgrades!$U$21,M365),1))+(IF(G365=0,0,(Upgrades!$J$15+G365*Upgrades!$K$15)*POWER(Upgrades!$L$15,G365)))*(IF(Upgrades!$T$13="Microlensing",POWER(Upgrades!$U$13,E365),1)*IF(Upgrades!$T$14="Microlensing",POWER(Upgrades!$U$14,F365),1)*IF(Upgrades!$T$16="Microlensing",POWER(Upgrades!$U$16,H365),1)*IF(Upgrades!$T$17="Microlensing",POWER(Upgrades!$U$17,I365),1)*IF(Upgrades!$T$18="Microlensing",POWER(Upgrades!$U$18,J365),1)*IF(Upgrades!$T$19="Microlensing",POWER(Upgrades!$U$19,K365),1)*IF(Upgrades!$T$20="Microlensing",POWER(Upgrades!$U$20,L365),1)*IF(Upgrades!$T$21="Microlensing",POWER(Upgrades!$U$21,M365),1))+(IF(H365=0,0,(Upgrades!$J$16+H365*Upgrades!$K$16)*POWER(Upgrades!$L$16,H365)))*(IF(Upgrades!$T$13="Roche Lobe Overflow",POWER(Upgrades!$U$13,E365),1)*IF(Upgrades!$T$14="Roche Lobe Overflow",POWER(Upgrades!$U$14,F365),1)*IF(Upgrades!$T$15="Roche Lobe Overflow",POWER(Upgrades!$U$15,G365),1)*IF(Upgrades!$T$17="Roche Lobe Overflow",POWER(Upgrades!$U$17,I365),1)*IF(Upgrades!$T$18="Roche Lobe Overflow",POWER(Upgrades!$U$18,J365),1)*IF(Upgrades!$T$19="Roche Lobe Overflow",POWER(Upgrades!$U$19,K365),1)*IF(Upgrades!$T$20="Roche Lobe Overflow",POWER(Upgrades!$U$20,L365),1)*IF(Upgrades!$T$21="Roche Lobe Overflow",POWER(Upgrades!$U$21,M365),1))+(IF(I365=0,0,(Upgrades!$J$17+I365*Upgrades!$K$17)*POWER(Upgrades!$L$17,I365)))*(IF(Upgrades!$T$13="Brown Dwarf",POWER(Upgrades!$U$13,E365),1)*IF(Upgrades!$T$14="Brown Dwarf",POWER(Upgrades!$U$14,F365),1)*IF(Upgrades!$T$15="Brown Dwarf",POWER(Upgrades!$U$15,G365),1)*IF(Upgrades!$T$16="Brown Dwarf",POWER(Upgrades!$U$16,H365),1)*IF(Upgrades!$T$18="Brown Dwarf",POWER(Upgrades!$U$18,J365),1)*IF(Upgrades!$T$19="Brown Dwarf",POWER(Upgrades!$U$19,K365),1)*IF(Upgrades!$T$20="Brown Dwarf",POWER(Upgrades!$U$20,L365),1)*IF(Upgrades!$T$21="Brown Dwarf",POWER(Upgrades!$U$21,M365),1))+(IF(J365=0,0,(Upgrades!$J$18+J365*Upgrades!$K$18)*POWER(Upgrades!$L$18,J365)))*(IF(Upgrades!$T$13="Binary Partner",POWER(Upgrades!$U$13,E365),1)*IF(Upgrades!$T$14="Binary Partner",POWER(Upgrades!$U$14,F365),1)*IF(Upgrades!$T$15="Binary Partner",POWER(Upgrades!$U$15,G365),1)*IF(Upgrades!$T$16="Binary Partner",POWER(Upgrades!$U$16,H365),1)*IF(Upgrades!$T$17="Binary Partner",POWER(Upgrades!$U$17,I365),1)*IF(Upgrades!$T$19="Binary Partner",POWER(Upgrades!$U$19,K365),1)*IF(Upgrades!$T$20="Binary Partner",POWER(Upgrades!$U$20,L365),1)*IF(Upgrades!$T$21="Binary Partner",POWER(Upgrades!$U$21,M365),1))+(IF(K365=0,0,(Upgrades!$J$19+K365*Upgrades!$K$19)*POWER(Upgrades!$L$19,K365)))*(IF(Upgrades!$T$13="Peculiar Velocity",POWER(Upgrades!$U$13,E365),1)*IF(Upgrades!$T$14="Peculiar Velocity",POWER(Upgrades!$U$14,F365),1)*IF(Upgrades!$T$15="Peculiar Velocity",POWER(Upgrades!$U$15,G365),1)*IF(Upgrades!$T$16="Peculiar Velocity",POWER(Upgrades!$U$16,H365),1)*IF(Upgrades!$T$17="Peculiar Velocity",POWER(Upgrades!$U$17,I365),1)*IF(Upgrades!$T$18="Peculiar Velocity",POWER(Upgrades!$U$18,J365),1)*IF(Upgrades!$T$20="Peculiar Velocity",POWER(Upgrades!$U$20,L365),1)*IF(Upgrades!$T$21="Peculiar Velocity",POWER(Upgrades!$U$21,M365),1))+(IF(L365=0,0,(Upgrades!$J$20+L365*Upgrades!$K$20)*POWER(Upgrades!$L$20,L365)))*(IF(Upgrades!$T$13="Open Cluster",POWER(Upgrades!$U$13,E365),1)*IF(Upgrades!$T$14="Open Cluster",POWER(Upgrades!$U$14,F365),1)*IF(Upgrades!$T$15="Open Cluster",POWER(Upgrades!$U$15,G365),1)*IF(Upgrades!$T$16="Open Cluster",POWER(Upgrades!$U$16,H365),1)*IF(Upgrades!$T$17="Open Cluster",POWER(Upgrades!$U$17,I365),1)*IF(Upgrades!$T$18="Open Cluster",POWER(Upgrades!$U$18,J365),1)*IF(Upgrades!$T$19="Open Cluster",POWER(Upgrades!$U$19,K365),1)*IF(Upgrades!$T$21="Open Cluster",POWER(Upgrades!$U$21,M365),1))+(IF(M365=0,0,(Upgrades!$J$21+M365*Upgrades!$K$21)*POWER(Upgrades!$L$21,M365)))*(IF(Upgrades!$T$13="Moving Group",POWER(Upgrades!$U$13,E365),1)*IF(Upgrades!$T$14="Moving Group",POWER(Upgrades!$U$14,F365),1)*IF(Upgrades!$T$15="Moving Group",POWER(Upgrades!$U$15,G365),1)*IF(Upgrades!$T$16="Moving Group",POWER(Upgrades!$U$16,H365),1)*IF(Upgrades!$T$17="Moving Group",POWER(Upgrades!$U$17,I365),1)*IF(Upgrades!$T$18="Moving Group",POWER(Upgrades!$U$18,J365),1)*IF(Upgrades!$T$19="Moving Group",POWER(Upgrades!$U$19,K365),1)*IF(Upgrades!$T$20="Moving Group",POWER(Upgrades!$U$20,L365),1)))*POWER(Upgrades!$Q$13,E365)*POWER(Upgrades!$Q$14,F365)*POWER(Upgrades!$Q$15,G365)*POWER(Upgrades!$Q$16,H365)*POWER(Upgrades!$Q$17,I365)*POWER(Upgrades!$Q$18,J365)*POWER(Upgrades!$Q$19,K365)*POWER(Upgrades!$Q$20,L365)*POWER(Upgrades!$Q$21,M365)*$G$6+$D$6</f>
        <v/>
      </c>
      <c r="P365" s="28">
        <f>((IF(E365=0,0,(Upgrades!$G$13+E365*Upgrades!$H$13)*POWER(Upgrades!$I$13,E365)))*(IF(Upgrades!$T$14="Stellar Kinematics",POWER(Upgrades!$U$14,F365),1)*IF(Upgrades!$T$15="Stellar Kinematics",POWER(Upgrades!$U$15,G365),1)*IF(Upgrades!$T$16="Stellar Kinematics",POWER(Upgrades!$U$16,H365),1)*IF(Upgrades!$T$17="Stellar Kinematics",POWER(Upgrades!$U$17,I365),1)*IF(Upgrades!$T$18="Stellar Kinematics",POWER(Upgrades!$U$18,J365),1)*IF(Upgrades!$T$19="Stellar Kinematics",POWER(Upgrades!$U$19,K365),1)*IF(Upgrades!$T$20="Stellar Kinematics",POWER(Upgrades!$U$20,L365),1)*IF(Upgrades!$T$21="Stellar Kinematics",POWER(Upgrades!$U$21,M365),1))+(IF(F365=0,0,(Upgrades!$G$14+F365*Upgrades!$H$14)*POWER(Upgrades!$I$14,F365)))*(IF(Upgrades!$T$13="Local Bubble",POWER(Upgrades!$U$13,E365),1)*IF(Upgrades!$T$15="Local Bubble",POWER(Upgrades!$U$15,G365),1)*IF(Upgrades!$T$16="Local Bubble",POWER(Upgrades!$U$16,H365),1)*IF(Upgrades!$T$17="Local Bubble",POWER(Upgrades!$U$17,I365),1)*IF(Upgrades!$T$18="Local Bubble",POWER(Upgrades!$U$18,J365),1)*IF(Upgrades!$T$19="Local Bubble",POWER(Upgrades!$U$19,K365),1)*IF(Upgrades!$T$20="Local Bubble",POWER(Upgrades!$U$20,L365),1)*IF(Upgrades!$T$21="Local Bubble",POWER(Upgrades!$U$21,M365),1))+(IF(G365=0,0,(Upgrades!$G$15+G365*Upgrades!$H$15)*POWER(Upgrades!$I$15,G365)))*(IF(Upgrades!$T$13="Microlensing",POWER(Upgrades!$U$13,E365),1)*IF(Upgrades!$T$14="Microlensing",POWER(Upgrades!$U$14,F365),1)*IF(Upgrades!$T$16="Microlensing",POWER(Upgrades!$U$16,H365),1)*IF(Upgrades!$T$17="Microlensing",POWER(Upgrades!$U$17,I365),1)*IF(Upgrades!$T$18="Microlensing",POWER(Upgrades!$U$18,J365),1)*IF(Upgrades!$T$19="Microlensing",POWER(Upgrades!$U$19,K365),1)*IF(Upgrades!$T$20="Microlensing",POWER(Upgrades!$U$20,L365),1)*IF(Upgrades!$T$21="Microlensing",POWER(Upgrades!$U$21,M365),1))+(IF(H365=0,0,(Upgrades!$G$16+H365*Upgrades!$H$16)*POWER(Upgrades!$I$16,H365)))*(IF(Upgrades!$T$13="Roche Lobe Overflow",POWER(Upgrades!$U$13,E365),1)*IF(Upgrades!$T$14="Roche Lobe Overflow",POWER(Upgrades!$U$14,F365),1)*IF(Upgrades!$T$15="Roche Lobe Overflow",POWER(Upgrades!$U$15,G365),1)*IF(Upgrades!$T$17="Roche Lobe Overflow",POWER(Upgrades!$U$17,I365),1)*IF(Upgrades!$T$18="Roche Lobe Overflow",POWER(Upgrades!$U$18,J365),1)*IF(Upgrades!$T$19="Roche Lobe Overflow",POWER(Upgrades!$U$19,K365),1)*IF(Upgrades!$T$20="Roche Lobe Overflow",POWER(Upgrades!$U$20,L365),1)*IF(Upgrades!$T$21="Roche Lobe Overflow",POWER(Upgrades!$U$21,M365),1))+(IF(I365=0,0,(Upgrades!$G$17+I365*Upgrades!$H$17)*POWER(Upgrades!$I$17,I365)))*(IF(Upgrades!$T$13="Brown Dwarf",POWER(Upgrades!$U$13,E365),1)*IF(Upgrades!$T$14="Brown Dwarf",POWER(Upgrades!$U$14,F365),1)*IF(Upgrades!$T$15="Brown Dwarf",POWER(Upgrades!$U$15,G365),1)*IF(Upgrades!$T$16="Brown Dwarf",POWER(Upgrades!$U$16,H365),1)*IF(Upgrades!$T$18="Brown Dwarf",POWER(Upgrades!$U$18,J365),1)*IF(Upgrades!$T$19="Brown Dwarf",POWER(Upgrades!$U$19,K365),1)*IF(Upgrades!$T$20="Brown Dwarf",POWER(Upgrades!$U$20,L365),1)*IF(Upgrades!$T$21="Brown Dwarf",POWER(Upgrades!$U$21,M365),1))+(IF(J365=0,0,(Upgrades!$G$18+J365*Upgrades!$H$18)*POWER(Upgrades!$I$18,J365)))*(IF(Upgrades!$T$13="Binary Partner",POWER(Upgrades!$U$13,E365),1)*IF(Upgrades!$T$14="Binary Partner",POWER(Upgrades!$U$14,F365),1)*IF(Upgrades!$T$15="Binary Partner",POWER(Upgrades!$U$15,G365),1)*IF(Upgrades!$T$16="Binary Partner",POWER(Upgrades!$U$16,H365),1)*IF(Upgrades!$T$17="Binary Partner",POWER(Upgrades!$U$17,I365),1)*IF(Upgrades!$T$19="Binary Partner",POWER(Upgrades!$U$19,K365),1)*IF(Upgrades!$T$20="Binary Partner",POWER(Upgrades!$U$20,L365),1)*IF(Upgrades!$T$21="Binary Partner",POWER(Upgrades!$U$21,M365),1))+(IF(K365=0,0,(Upgrades!$G$19+K365*Upgrades!$H$19)*POWER(Upgrades!$I$19,K365)))*(IF(Upgrades!$T$13="Peculiar Velocity",POWER(Upgrades!$U$13,E365),1)*IF(Upgrades!$T$14="Peculiar Velocity",POWER(Upgrades!$U$14,F365),1)*IF(Upgrades!$T$15="Peculiar Velocity",POWER(Upgrades!$U$15,G365),1)*IF(Upgrades!$T$16="Peculiar Velocity",POWER(Upgrades!$U$16,H365),1)*IF(Upgrades!$T$17="Peculiar Velocity",POWER(Upgrades!$U$17,I365),1)*IF(Upgrades!$T$18="Peculiar Velocity",POWER(Upgrades!$U$18,J365),1)*IF(Upgrades!$T$20="Peculiar Velocity",POWER(Upgrades!$U$20,L365),1)*IF(Upgrades!$T$21="Peculiar Velocity",POWER(Upgrades!$U$21,M365),1))+(IF(L365=0,0,(Upgrades!$G$20+L365*Upgrades!$H$20)*POWER(Upgrades!$I$20,L365)))*(IF(Upgrades!$T$13="Open Cluster",POWER(Upgrades!$U$13,E365),1)*IF(Upgrades!$T$14="Open Cluster",POWER(Upgrades!$U$14,F365),1)*IF(Upgrades!$T$15="Open Cluster",POWER(Upgrades!$U$15,G365),1)*IF(Upgrades!$T$16="Open Cluster",POWER(Upgrades!$U$16,H365),1)*IF(Upgrades!$T$17="Open Cluster",POWER(Upgrades!$U$17,I365),1)*IF(Upgrades!$T$18="Open Cluster",POWER(Upgrades!$U$18,J365),1)*IF(Upgrades!$T$19="Open Cluster",POWER(Upgrades!$U$19,K365),1)*IF(Upgrades!$T$21="Open Cluster",POWER(Upgrades!$U$21,M365),1))+(IF(M365=0,0,(Upgrades!$G$21+M365*Upgrades!$H$21)*POWER(Upgrades!$I$21,M365)))*(IF(Upgrades!$T$13="Moving Group",POWER(Upgrades!$U$13,E365),1)*IF(Upgrades!$T$14="Moving Group",POWER(Upgrades!$U$14,F365),1)*IF(Upgrades!$T$15="Moving Group",POWER(Upgrades!$U$15,G365),1)*IF(Upgrades!$T$16="Moving Group",POWER(Upgrades!$U$16,H365),1)*IF(Upgrades!$T$17="Moving Group",POWER(Upgrades!$U$17,I365),1)*IF(Upgrades!$T$18="Moving Group",POWER(Upgrades!$U$18,J365),1)*IF(Upgrades!$T$19="Moving Group",POWER(Upgrades!$U$19,K365),1)*IF(Upgrades!$T$20="Moving Group",POWER(Upgrades!$U$20,L365),1)))*POWER(Upgrades!$P$13,E365)*POWER(Upgrades!$P$14,F365)*POWER(Upgrades!$P$15,G365)*POWER(Upgrades!$P$16,H365)*POWER(Upgrades!$P$17,I365)*POWER(Upgrades!$P$18,J365)*POWER(Upgrades!$P$19,K365)*POWER(Upgrades!$P$20,L365)*POWER(Upgrades!$P$21,M365)*$F$6+$C$6</f>
        <v/>
      </c>
      <c r="Q365" s="28">
        <f>((IF(E365=0,0,(Upgrades!$M$13+E365*Upgrades!$N$13)*POWER(Upgrades!$O$13,E365)))*(IF(Upgrades!$T$14="Stellar Kinematics",POWER(Upgrades!$U$14,F365),1)*IF(Upgrades!$T$15="Stellar Kinematics",POWER(Upgrades!$U$15,G365),1)*IF(Upgrades!$T$16="Stellar Kinematics",POWER(Upgrades!$U$16,H365),1)*IF(Upgrades!$T$17="Stellar Kinematics",POWER(Upgrades!$U$17,I365),1)*IF(Upgrades!$T$18="Stellar Kinematics",POWER(Upgrades!$U$18,J365),1)*IF(Upgrades!$T$19="Stellar Kinematics",POWER(Upgrades!$U$19,K365),1)*IF(Upgrades!$T$20="Stellar Kinematics",POWER(Upgrades!$U$20,L365),1)*IF(Upgrades!$T$21="Stellar Kinematics",POWER(Upgrades!$U$21,M365),1))+(IF(F365=0,0,(Upgrades!$M$14+F365*Upgrades!$N$14)*POWER(Upgrades!$O$14,F365)))*(IF(Upgrades!$T$13="Local Bubble",POWER(Upgrades!$U$13,E365),1)*IF(Upgrades!$T$15="Local Bubble",POWER(Upgrades!$U$15,G365),1)*IF(Upgrades!$T$16="Local Bubble",POWER(Upgrades!$U$16,H365),1)*IF(Upgrades!$T$17="Local Bubble",POWER(Upgrades!$U$17,I365),1)*IF(Upgrades!$T$18="Local Bubble",POWER(Upgrades!$U$18,J365),1)*IF(Upgrades!$T$19="Local Bubble",POWER(Upgrades!$U$19,K365),1)*IF(Upgrades!$T$20="Local Bubble",POWER(Upgrades!$U$20,L365),1)*IF(Upgrades!$T$21="Local Bubble",POWER(Upgrades!$U$21,M365),1))+(IF(G365=0,0,(Upgrades!$M$15+G365*Upgrades!$N$15)*POWER(Upgrades!$O$15,G365)))*(IF(Upgrades!$T$13="Microlensing",POWER(Upgrades!$U$13,E365),1)*IF(Upgrades!$T$14="Microlensing",POWER(Upgrades!$U$14,F365),1)*IF(Upgrades!$T$16="Microlensing",POWER(Upgrades!$U$16,H365),1)*IF(Upgrades!$T$17="Microlensing",POWER(Upgrades!$U$17,I365),1)*IF(Upgrades!$T$18="Microlensing",POWER(Upgrades!$U$18,J365),1)*IF(Upgrades!$T$19="Microlensing",POWER(Upgrades!$U$19,K365),1)*IF(Upgrades!$T$20="Microlensing",POWER(Upgrades!$U$20,L365),1)*IF(Upgrades!$T$21="Microlensing",POWER(Upgrades!$U$21,M365),1))+(IF(H365=0,0,(Upgrades!$M$16+H365*Upgrades!$N$16)*POWER(Upgrades!$O$16,H365)))*(IF(Upgrades!$T$13="Roche Lobe Overflow",POWER(Upgrades!$U$13,E365),1)*IF(Upgrades!$T$14="Roche Lobe Overflow",POWER(Upgrades!$U$14,F365),1)*IF(Upgrades!$T$15="Roche Lobe Overflow",POWER(Upgrades!$U$15,G365),1)*IF(Upgrades!$T$17="Roche Lobe Overflow",POWER(Upgrades!$U$17,I365),1)*IF(Upgrades!$T$18="Roche Lobe Overflow",POWER(Upgrades!$U$18,J365),1)*IF(Upgrades!$T$19="Roche Lobe Overflow",POWER(Upgrades!$U$19,K365),1)*IF(Upgrades!$T$20="Roche Lobe Overflow",POWER(Upgrades!$U$20,L365),1)*IF(Upgrades!$T$21="Roche Lobe Overflow",POWER(Upgrades!$U$21,M365),1))+(IF(I365=0,0,(Upgrades!$M$17+I365*Upgrades!$N$17)*POWER(Upgrades!$O$17,I365)))*(IF(Upgrades!$T$13="Brown Dwarf",POWER(Upgrades!$U$13,E365),1)*IF(Upgrades!$T$14="Brown Dwarf",POWER(Upgrades!$U$14,F365),1)*IF(Upgrades!$T$15="Brown Dwarf",POWER(Upgrades!$U$15,G365),1)*IF(Upgrades!$T$16="Brown Dwarf",POWER(Upgrades!$U$16,H365),1)*IF(Upgrades!$T$18="Brown Dwarf",POWER(Upgrades!$U$18,J365),1)*IF(Upgrades!$T$19="Brown Dwarf",POWER(Upgrades!$U$19,K365),1)*IF(Upgrades!$T$20="Brown Dwarf",POWER(Upgrades!$U$20,L365),1)*IF(Upgrades!$T$21="Brown Dwarf",POWER(Upgrades!$U$21,M365),1))+(IF(J365=0,0,(Upgrades!$M$18+J365*Upgrades!$N$18)*POWER(Upgrades!$O$18,J365)))*(IF(Upgrades!$T$13="Binary Partner",POWER(Upgrades!$U$13,E365),1)*IF(Upgrades!$T$14="Binary Partner",POWER(Upgrades!$U$14,F365),1)*IF(Upgrades!$T$15="Binary Partner",POWER(Upgrades!$U$15,G365),1)*IF(Upgrades!$T$16="Binary Partner",POWER(Upgrades!$U$16,H365),1)*IF(Upgrades!$T$17="Binary Partner",POWER(Upgrades!$U$17,I365),1)*IF(Upgrades!$T$19="Binary Partner",POWER(Upgrades!$U$19,K365),1)*IF(Upgrades!$T$20="Binary Partner",POWER(Upgrades!$U$20,L365),1)*IF(Upgrades!$T$21="Binary Partner",POWER(Upgrades!$U$21,M365),1))+(IF(K365=0,0,(Upgrades!$M$19+K365*Upgrades!$N$19)*POWER(Upgrades!$O$19,K365)))*(IF(Upgrades!$T$13="Peculiar Velocity",POWER(Upgrades!$U$13,E365),1)*IF(Upgrades!$T$14="Peculiar Velocity",POWER(Upgrades!$U$14,F365),1)*IF(Upgrades!$T$15="Peculiar Velocity",POWER(Upgrades!$U$15,G365),1)*IF(Upgrades!$T$16="Peculiar Velocity",POWER(Upgrades!$U$16,H365),1)*IF(Upgrades!$T$17="Peculiar Velocity",POWER(Upgrades!$U$17,I365),1)*IF(Upgrades!$T$18="Peculiar Velocity",POWER(Upgrades!$U$18,J365),1)*IF(Upgrades!$T$20="Peculiar Velocity",POWER(Upgrades!$U$20,L365),1)*IF(Upgrades!$T$21="Peculiar Velocity",POWER(Upgrades!$U$21,M365),1))+(IF(L365=0,0,(Upgrades!$M$20+L365*Upgrades!$N$20)*POWER(Upgrades!$O$20,L365)))*(IF(Upgrades!$T$13="Open Cluster",POWER(Upgrades!$U$13,E365),1)*IF(Upgrades!$T$14="Open Cluster",POWER(Upgrades!$U$14,F365),1)*IF(Upgrades!$T$15="Open Cluster",POWER(Upgrades!$U$15,G365),1)*IF(Upgrades!$T$16="Open Cluster",POWER(Upgrades!$U$16,H365),1)*IF(Upgrades!$T$17="Open Cluster",POWER(Upgrades!$U$17,I365),1)*IF(Upgrades!$T$18="Open Cluster",POWER(Upgrades!$U$18,J365),1)*IF(Upgrades!$T$19="Open Cluster",POWER(Upgrades!$U$19,K365),1)*IF(Upgrades!$T$21="Open Cluster",POWER(Upgrades!$U$21,M365),1))+(IF(M365=0,0,(Upgrades!$M$21+M365*Upgrades!$N$21)*POWER(Upgrades!$O$21,M365)))*(IF(Upgrades!$T$13="Moving Group",POWER(Upgrades!$U$13,E365),1)*IF(Upgrades!$T$14="Moving Group",POWER(Upgrades!$U$14,F365),1)*IF(Upgrades!$T$15="Moving Group",POWER(Upgrades!$U$15,G365),1)*IF(Upgrades!$T$16="Moving Group",POWER(Upgrades!$U$16,H365),1)*IF(Upgrades!$T$17="Moving Group",POWER(Upgrades!$U$17,I365),1)*IF(Upgrades!$T$18="Moving Group",POWER(Upgrades!$U$18,J365),1)*IF(Upgrades!$T$19="Moving Group",POWER(Upgrades!$U$19,K365),1)*IF(Upgrades!$T$20="Moving Group",POWER(Upgrades!$U$20,L365),1)))*POWER(Upgrades!$R$13,E365)*POWER(Upgrades!$R$14,F365)*POWER(Upgrades!$R$15,G365)*POWER(Upgrades!$R$16,H365)*POWER(Upgrades!$R$17,I365)*POWER(Upgrades!$R$18,J365)*POWER(Upgrades!$R$19,K365)*POWER(Upgrades!$R$20,L365)*POWER(Upgrades!$R$21,M365)*$H$6+$E$6</f>
        <v/>
      </c>
      <c r="R365" s="27">
        <f>IF(N365=1,0,O365*Parameters!$B$10/60*Parameters!$B$11*10)</f>
        <v/>
      </c>
      <c r="S365" s="27">
        <f>IF(N365=1,0,Q365*O365*10)</f>
        <v/>
      </c>
      <c r="T365" s="27">
        <f>IF(N365=1,0,R365+S365+P365*10)</f>
        <v/>
      </c>
      <c r="U365" s="33">
        <f>BE365</f>
        <v/>
      </c>
      <c r="V365" s="22">
        <f>IF(U365="",0,IF(U365="transition",0,IF(U365="SK",AK365,IF(U365="LB",AL365,IF(U365="ML",AM365,IF(U365="RLO",AN365,IF(U365="BD",AO365,IF(U365="BiP",AP365,IF(U365="PV",AQ365,IF(U365="OC",AR365,IF(U365="MG",AS365,0))))))))))</f>
        <v/>
      </c>
      <c r="W365" s="27">
        <f>IF(U365="BiP",Upgrades!$F$18,IF(U365="PV",Upgrades!$F$19,IF(U365="OC",Upgrades!$F$20,IF(U365="MG",Upgrades!$F$21,IF(U365="transition",-Parameters!$B$18*Parameters!$B$19,0)))))</f>
        <v/>
      </c>
      <c r="X365" s="22">
        <f>C365+T365-V365</f>
        <v/>
      </c>
      <c r="Y365" s="30">
        <f>O365*Parameters!$B$10/60*Parameters!$B$11+Q365*O365+P365</f>
        <v/>
      </c>
      <c r="Z365" s="34">
        <f>IF(U365="transition","→ Tier 3 (Galactic Arm)",IF(U365="MG","Moving Group — pocket drifts together",IF(U365="OC","Open Cluster acquired",IF(U365="PV","Peculiar Velocity — passive multiplier active",IF(U365="BiP","Binary Partner — pair bond formed",IF(AND(AU365=1,N365=0,AT365&lt;&gt;1),"Cohesion ready (waiting on completionists)","")))))) </f>
        <v/>
      </c>
      <c r="AA365" s="27">
        <f>(IF(E365=0,0,(Upgrades!$G$13+E365*Upgrades!$H$13)*POWER(Upgrades!$I$13,E365)))*(IF(Upgrades!$T$14="Stellar Kinematics",POWER(Upgrades!$U$14,F365),1)*IF(Upgrades!$T$15="Stellar Kinematics",POWER(Upgrades!$U$15,G365),1)*IF(Upgrades!$T$16="Stellar Kinematics",POWER(Upgrades!$U$16,H365),1)*IF(Upgrades!$T$17="Stellar Kinematics",POWER(Upgrades!$U$17,I365),1)*IF(Upgrades!$T$18="Stellar Kinematics",POWER(Upgrades!$U$18,J365),1)*IF(Upgrades!$T$19="Stellar Kinematics",POWER(Upgrades!$U$19,K365),1)*IF(Upgrades!$T$20="Stellar Kinematics",POWER(Upgrades!$U$20,L365),1)*IF(Upgrades!$T$21="Stellar Kinematics",POWER(Upgrades!$U$21,M365),1))*POWER(Upgrades!$P$13,E365)*POWER(Upgrades!$P$14,F365)*POWER(Upgrades!$P$15,G365)*POWER(Upgrades!$P$16,H365)*POWER(Upgrades!$P$17,I365)*POWER(Upgrades!$P$18,J365)*POWER(Upgrades!$P$19,K365)*POWER(Upgrades!$P$20,L365)*POWER(Upgrades!$P$21,M365)*$F$6*60</f>
        <v/>
      </c>
      <c r="AB365" s="27">
        <f>(IF(F365=0,0,(Upgrades!$G$14+F365*Upgrades!$H$14)*POWER(Upgrades!$I$14,F365)))*(IF(Upgrades!$T$13="Local Bubble",POWER(Upgrades!$U$13,E365),1)*IF(Upgrades!$T$15="Local Bubble",POWER(Upgrades!$U$15,G365),1)*IF(Upgrades!$T$16="Local Bubble",POWER(Upgrades!$U$16,H365),1)*IF(Upgrades!$T$17="Local Bubble",POWER(Upgrades!$U$17,I365),1)*IF(Upgrades!$T$18="Local Bubble",POWER(Upgrades!$U$18,J365),1)*IF(Upgrades!$T$19="Local Bubble",POWER(Upgrades!$U$19,K365),1)*IF(Upgrades!$T$20="Local Bubble",POWER(Upgrades!$U$20,L365),1)*IF(Upgrades!$T$21="Local Bubble",POWER(Upgrades!$U$21,M365),1))*POWER(Upgrades!$P$13,E365)*POWER(Upgrades!$P$14,F365)*POWER(Upgrades!$P$15,G365)*POWER(Upgrades!$P$16,H365)*POWER(Upgrades!$P$17,I365)*POWER(Upgrades!$P$18,J365)*POWER(Upgrades!$P$19,K365)*POWER(Upgrades!$P$20,L365)*POWER(Upgrades!$P$21,M365)*$F$6*60</f>
        <v/>
      </c>
      <c r="AC365" s="27">
        <f>(IF(G365=0,0,(Upgrades!$J$15+G365*Upgrades!$K$15)*POWER(Upgrades!$L$15,G365)))*(IF(Upgrades!$T$13="Microlensing",POWER(Upgrades!$U$13,E365),1)*IF(Upgrades!$T$14="Microlensing",POWER(Upgrades!$U$14,F365),1)*IF(Upgrades!$T$16="Microlensing",POWER(Upgrades!$U$16,H365),1)*IF(Upgrades!$T$17="Microlensing",POWER(Upgrades!$U$17,I365),1)*IF(Upgrades!$T$18="Microlensing",POWER(Upgrades!$U$18,J365),1)*IF(Upgrades!$T$19="Microlensing",POWER(Upgrades!$U$19,K365),1)*IF(Upgrades!$T$20="Microlensing",POWER(Upgrades!$U$20,L365),1)*IF(Upgrades!$T$21="Microlensing",POWER(Upgrades!$U$21,M365),1))*POWER(Upgrades!$Q$13,E365)*POWER(Upgrades!$Q$14,F365)*POWER(Upgrades!$Q$15,G365)*POWER(Upgrades!$Q$16,H365)*POWER(Upgrades!$Q$17,I365)*POWER(Upgrades!$Q$18,J365)*POWER(Upgrades!$Q$19,K365)*POWER(Upgrades!$Q$20,L365)*POWER(Upgrades!$Q$21,M365)*$G$6*(Parameters!$B$10*Parameters!$B$11+Q365*60)</f>
        <v/>
      </c>
      <c r="AD365" s="27">
        <f>(IF(H365=0,0,(Upgrades!$M$16+H365*Upgrades!$N$16)*POWER(Upgrades!$O$16,H365)))*(IF(Upgrades!$T$13="Roche Lobe Overflow",POWER(Upgrades!$U$13,E365),1)*IF(Upgrades!$T$14="Roche Lobe Overflow",POWER(Upgrades!$U$14,F365),1)*IF(Upgrades!$T$15="Roche Lobe Overflow",POWER(Upgrades!$U$15,G365),1)*IF(Upgrades!$T$17="Roche Lobe Overflow",POWER(Upgrades!$U$17,I365),1)*IF(Upgrades!$T$18="Roche Lobe Overflow",POWER(Upgrades!$U$18,J365),1)*IF(Upgrades!$T$19="Roche Lobe Overflow",POWER(Upgrades!$U$19,K365),1)*IF(Upgrades!$T$20="Roche Lobe Overflow",POWER(Upgrades!$U$20,L365),1)*IF(Upgrades!$T$21="Roche Lobe Overflow",POWER(Upgrades!$U$21,M365),1))*POWER(Upgrades!$R$13,E365)*POWER(Upgrades!$R$14,F365)*POWER(Upgrades!$R$15,G365)*POWER(Upgrades!$R$16,H365)*POWER(Upgrades!$R$17,I365)*POWER(Upgrades!$R$18,J365)*POWER(Upgrades!$R$19,K365)*POWER(Upgrades!$R$20,L365)*POWER(Upgrades!$R$21,M365)*$H$6*O365*60</f>
        <v/>
      </c>
      <c r="AE365" s="27">
        <f>(IF(I365=0,0,(Upgrades!$G$17+I365*Upgrades!$H$17)*POWER(Upgrades!$I$17,I365)))*(IF(Upgrades!$T$13="Brown Dwarf",POWER(Upgrades!$U$13,E365),1)*IF(Upgrades!$T$14="Brown Dwarf",POWER(Upgrades!$U$14,F365),1)*IF(Upgrades!$T$15="Brown Dwarf",POWER(Upgrades!$U$15,G365),1)*IF(Upgrades!$T$16="Brown Dwarf",POWER(Upgrades!$U$16,H365),1)*IF(Upgrades!$T$18="Brown Dwarf",POWER(Upgrades!$U$18,J365),1)*IF(Upgrades!$T$19="Brown Dwarf",POWER(Upgrades!$U$19,K365),1)*IF(Upgrades!$T$20="Brown Dwarf",POWER(Upgrades!$U$20,L365),1)*IF(Upgrades!$T$21="Brown Dwarf",POWER(Upgrades!$U$21,M365),1))*POWER(Upgrades!$P$13,E365)*POWER(Upgrades!$P$14,F365)*POWER(Upgrades!$P$15,G365)*POWER(Upgrades!$P$16,H365)*POWER(Upgrades!$P$17,I365)*POWER(Upgrades!$P$18,J365)*POWER(Upgrades!$P$19,K365)*POWER(Upgrades!$P$20,L365)*POWER(Upgrades!$P$21,M365)*$F$6*60</f>
        <v/>
      </c>
      <c r="AF365" s="27" t="n">
        <v>0</v>
      </c>
      <c r="AG365" s="27" t="n">
        <v>0</v>
      </c>
      <c r="AH365" s="27" t="n">
        <v>0</v>
      </c>
      <c r="AI365" s="27">
        <f>(IF(M365=0,0,(Upgrades!$G$21+M365*Upgrades!$H$21)*POWER(Upgrades!$I$21,M365)))*(IF(Upgrades!$T$13="Moving Group",POWER(Upgrades!$U$13,E365),1)*IF(Upgrades!$T$14="Moving Group",POWER(Upgrades!$U$14,F365),1)*IF(Upgrades!$T$15="Moving Group",POWER(Upgrades!$U$15,G365),1)*IF(Upgrades!$T$16="Moving Group",POWER(Upgrades!$U$16,H365),1)*IF(Upgrades!$T$17="Moving Group",POWER(Upgrades!$U$17,I365),1)*IF(Upgrades!$T$18="Moving Group",POWER(Upgrades!$U$18,J365),1)*IF(Upgrades!$T$19="Moving Group",POWER(Upgrades!$U$19,K365),1)*IF(Upgrades!$T$20="Moving Group",POWER(Upgrades!$U$20,L365),1))*POWER(Upgrades!$P$13,E365)*POWER(Upgrades!$P$14,F365)*POWER(Upgrades!$P$15,G365)*POWER(Upgrades!$P$16,H365)*POWER(Upgrades!$P$17,I365)*POWER(Upgrades!$P$18,J365)*POWER(Upgrades!$P$19,K365)*POWER(Upgrades!$P$20,L365)*POWER(Upgrades!$P$21,M365)*$F$6*60</f>
        <v/>
      </c>
      <c r="AJ365" s="27">
        <f>$C$6*60</f>
        <v/>
      </c>
      <c r="AK365" s="22">
        <f>IF(E365&gt;=Upgrades!$E$13,"",Upgrades!$C$13*POWER(Upgrades!$D$13,E365))</f>
        <v/>
      </c>
      <c r="AL365" s="22">
        <f>IF(F365&gt;=Upgrades!$E$14,"",Upgrades!$C$14*POWER(Upgrades!$D$14,F365))</f>
        <v/>
      </c>
      <c r="AM365" s="22">
        <f>IF(G365&gt;=Upgrades!$E$15,"",Upgrades!$C$15*POWER(Upgrades!$D$15,G365))</f>
        <v/>
      </c>
      <c r="AN365" s="22">
        <f>IF(H365&gt;=Upgrades!$E$16,"",Upgrades!$C$16*POWER(Upgrades!$D$16,H365))</f>
        <v/>
      </c>
      <c r="AO365" s="22">
        <f>IF(I365&gt;=Upgrades!$E$17,"",Upgrades!$C$17*POWER(Upgrades!$D$17,I365))</f>
        <v/>
      </c>
      <c r="AP365" s="22">
        <f>IF(J365&gt;=Upgrades!$E$18,"",Upgrades!$C$18*POWER(Upgrades!$D$18,J365))</f>
        <v/>
      </c>
      <c r="AQ365" s="22">
        <f>IF(K365&gt;=Upgrades!$E$19,"",Upgrades!$C$19*POWER(Upgrades!$D$19,K365))</f>
        <v/>
      </c>
      <c r="AR365" s="22">
        <f>IF(L365&gt;=Upgrades!$E$20,"",Upgrades!$C$20*POWER(Upgrades!$D$20,L365))</f>
        <v/>
      </c>
      <c r="AS365" s="22">
        <f>IF(M365&gt;=Upgrades!$E$21,"",Upgrades!$C$21*POWER(Upgrades!$D$21,M365))</f>
        <v/>
      </c>
      <c r="AT365" s="26">
        <f>IF(AND(D365&gt;=Parameters!$B$18*Parameters!$B$19,(I365&gt;=Upgrades!$E$17)*(M365&gt;=Upgrades!$E$21)=1,N365=0),1,"")</f>
        <v/>
      </c>
      <c r="AU365" s="26">
        <f>IF(AND(D365&gt;=Parameters!$B$18*Parameters!$B$19,N365=0),1,"")</f>
        <v/>
      </c>
      <c r="AV365" s="22">
        <f>MIN(IF(ISNUMBER(AP365),AP365,9E15),IF(ISNUMBER(AQ365),AQ365,9E15),IF(ISNUMBER(AR365),AR365,9E15),IF(ISNUMBER(AS365),AS365,9E15))</f>
        <v/>
      </c>
      <c r="AW365" s="22">
        <f>MIN(IF(ISNUMBER(AK365),AK365,9E15),IF(ISNUMBER(AL365),AL365,9E15),IF(ISNUMBER(AM365),AM365,9E15),IF(ISNUMBER(AN365),AN365,9E15),IF(ISNUMBER(AO365),AO365,9E15))</f>
        <v/>
      </c>
      <c r="AX365" s="29">
        <f>IF(BD365&gt;Parameters!$B$21*(MAX(IF(AND(NOT(AND(AU365=1,AT365&lt;&gt;1)),ISNUMBER(AK365),AK365&lt;=(C365+T365)),AY365,0),IF(AND(NOT(AND(AU365=1,AT365&lt;&gt;1)),ISNUMBER(AL365),AL365&lt;=(C365+T365)),AZ365,0),IF(AND(NOT(AND(AU365=1,AT365&lt;&gt;1)),ISNUMBER(AM365),AM365&lt;=(C365+T365)),BA365,0),IF(AND(NOT(AND(AU365=1,AT365&lt;&gt;1)),ISNUMBER(AN365),AN365&lt;=(C365+T365)),BB365,0),IF(AND(ISNUMBER(AO365),AO365&lt;=(C365+T365)),BC365,0))),TRUE,FALSE)</f>
        <v/>
      </c>
      <c r="AY365" s="32">
        <f>IFERROR(Upgrades!$H$13*(POWER(Upgrades!$P$13,E365)*POWER(Upgrades!$P$14,F365)*POWER(Upgrades!$P$15,G365)*POWER(Upgrades!$P$16,H365)*POWER(Upgrades!$P$17,I365)*POWER(Upgrades!$P$18,J365)*POWER(Upgrades!$P$19,K365)*POWER(Upgrades!$P$20,L365)*POWER(Upgrades!$P$21,M365))*(IF(Upgrades!$T$14="Stellar Kinematics",POWER(Upgrades!$U$14,F365),1)*IF(Upgrades!$T$15="Stellar Kinematics",POWER(Upgrades!$U$15,G365),1)*IF(Upgrades!$T$16="Stellar Kinematics",POWER(Upgrades!$U$16,H365),1)*IF(Upgrades!$T$17="Stellar Kinematics",POWER(Upgrades!$U$17,I365),1)*IF(Upgrades!$T$18="Stellar Kinematics",POWER(Upgrades!$U$18,J365),1)*IF(Upgrades!$T$19="Stellar Kinematics",POWER(Upgrades!$U$19,K365),1)*IF(Upgrades!$T$20="Stellar Kinematics",POWER(Upgrades!$U$20,L365),1)*IF(Upgrades!$T$21="Stellar Kinematics",POWER(Upgrades!$U$21,M365),1))*$F$6/AK365,0)</f>
        <v/>
      </c>
      <c r="AZ365" s="32">
        <f>IFERROR(Upgrades!$H$14*(POWER(Upgrades!$P$13,E365)*POWER(Upgrades!$P$14,F365)*POWER(Upgrades!$P$15,G365)*POWER(Upgrades!$P$16,H365)*POWER(Upgrades!$P$17,I365)*POWER(Upgrades!$P$18,J365)*POWER(Upgrades!$P$19,K365)*POWER(Upgrades!$P$20,L365)*POWER(Upgrades!$P$21,M365))*(IF(Upgrades!$T$13="Local Bubble",POWER(Upgrades!$U$13,E365),1)*IF(Upgrades!$T$15="Local Bubble",POWER(Upgrades!$U$15,G365),1)*IF(Upgrades!$T$16="Local Bubble",POWER(Upgrades!$U$16,H365),1)*IF(Upgrades!$T$17="Local Bubble",POWER(Upgrades!$U$17,I365),1)*IF(Upgrades!$T$18="Local Bubble",POWER(Upgrades!$U$18,J365),1)*IF(Upgrades!$T$19="Local Bubble",POWER(Upgrades!$U$19,K365),1)*IF(Upgrades!$T$20="Local Bubble",POWER(Upgrades!$U$20,L365),1)*IF(Upgrades!$T$21="Local Bubble",POWER(Upgrades!$U$21,M365),1))*$F$6/AL365,0)</f>
        <v/>
      </c>
      <c r="BA365" s="32">
        <f>IFERROR(Upgrades!$K$15*(POWER(Upgrades!$Q$13,E365)*POWER(Upgrades!$Q$14,F365)*POWER(Upgrades!$Q$15,G365)*POWER(Upgrades!$Q$16,H365)*POWER(Upgrades!$Q$17,I365)*POWER(Upgrades!$Q$18,J365)*POWER(Upgrades!$Q$19,K365)*POWER(Upgrades!$Q$20,L365)*POWER(Upgrades!$Q$21,M365))*(IF(Upgrades!$T$13="Microlensing",POWER(Upgrades!$U$13,E365),1)*IF(Upgrades!$T$14="Microlensing",POWER(Upgrades!$U$14,F365),1)*IF(Upgrades!$T$16="Microlensing",POWER(Upgrades!$U$16,H365),1)*IF(Upgrades!$T$17="Microlensing",POWER(Upgrades!$U$17,I365),1)*IF(Upgrades!$T$18="Microlensing",POWER(Upgrades!$U$18,J365),1)*IF(Upgrades!$T$19="Microlensing",POWER(Upgrades!$U$19,K365),1)*IF(Upgrades!$T$20="Microlensing",POWER(Upgrades!$U$20,L365),1)*IF(Upgrades!$T$21="Microlensing",POWER(Upgrades!$U$21,M365),1))*$G$6*(Parameters!$B$10/60*Parameters!$B$11+Q365)/AM365,0)</f>
        <v/>
      </c>
      <c r="BB365" s="32">
        <f>IFERROR((Upgrades!$N$16*(POWER(Upgrades!$R$13,E365)*POWER(Upgrades!$R$14,F365)*POWER(Upgrades!$R$15,G365)*POWER(Upgrades!$R$16,H365)*POWER(Upgrades!$R$17,I365)*POWER(Upgrades!$R$18,J365)*POWER(Upgrades!$R$19,K365)*POWER(Upgrades!$R$20,L365)*POWER(Upgrades!$R$21,M365))*(IF(Upgrades!$T$13="Roche Lobe Overflow",POWER(Upgrades!$U$13,E365),1)*IF(Upgrades!$T$14="Roche Lobe Overflow",POWER(Upgrades!$U$14,F365),1)*IF(Upgrades!$T$15="Roche Lobe Overflow",POWER(Upgrades!$U$15,G365),1)*IF(Upgrades!$T$17="Roche Lobe Overflow",POWER(Upgrades!$U$17,I365),1)*IF(Upgrades!$T$18="Roche Lobe Overflow",POWER(Upgrades!$U$18,J365),1)*IF(Upgrades!$T$19="Roche Lobe Overflow",POWER(Upgrades!$U$19,K365),1)*IF(Upgrades!$T$20="Roche Lobe Overflow",POWER(Upgrades!$U$20,L365),1)*IF(Upgrades!$T$21="Roche Lobe Overflow",POWER(Upgrades!$U$21,M365),1))*$H$6*O365+((IF(F365=0,0,(Upgrades!$G$14+F365*Upgrades!$H$14)*POWER(Upgrades!$I$14,F365)))*(IF(Upgrades!$T$13="Local Bubble",POWER(Upgrades!$U$13,E365),1)*IF(Upgrades!$T$15="Local Bubble",POWER(Upgrades!$U$15,G365),1)*IF(Upgrades!$T$16="Local Bubble",POWER(Upgrades!$U$16,H365),1)*IF(Upgrades!$T$17="Local Bubble",POWER(Upgrades!$U$17,I365),1)*IF(Upgrades!$T$18="Local Bubble",POWER(Upgrades!$U$18,J365),1)*IF(Upgrades!$T$19="Local Bubble",POWER(Upgrades!$U$19,K365),1)*IF(Upgrades!$T$20="Local Bubble",POWER(Upgrades!$U$20,L365),1)*IF(Upgrades!$T$21="Local Bubble",POWER(Upgrades!$U$21,M365),1))*POWER(Upgrades!$P$13,E365)*POWER(Upgrades!$P$14,F365)*POWER(Upgrades!$P$15,G365)*POWER(Upgrades!$P$16,H365)*POWER(Upgrades!$P$17,I365)*POWER(Upgrades!$P$18,J365)*POWER(Upgrades!$P$19,K365)*POWER(Upgrades!$P$20,L365)*POWER(Upgrades!$P$21,M365)*$F$6)*0.05)/AN365,0)</f>
        <v/>
      </c>
      <c r="BC365" s="32">
        <f>IFERROR((Upgrades!$H$17*(POWER(Upgrades!$P$13,E365)*POWER(Upgrades!$P$14,F365)*POWER(Upgrades!$P$15,G365)*POWER(Upgrades!$P$16,H365)*POWER(Upgrades!$P$17,I365)*POWER(Upgrades!$P$18,J365)*POWER(Upgrades!$P$19,K365)*POWER(Upgrades!$P$20,L365)*POWER(Upgrades!$P$21,M365))*(IF(Upgrades!$T$13="Brown Dwarf",POWER(Upgrades!$U$13,E365),1)*IF(Upgrades!$T$14="Brown Dwarf",POWER(Upgrades!$U$14,F365),1)*IF(Upgrades!$T$15="Brown Dwarf",POWER(Upgrades!$U$15,G365),1)*IF(Upgrades!$T$16="Brown Dwarf",POWER(Upgrades!$U$16,H365),1)*IF(Upgrades!$T$18="Brown Dwarf",POWER(Upgrades!$U$18,J365),1)*IF(Upgrades!$T$19="Brown Dwarf",POWER(Upgrades!$U$19,K365),1)*IF(Upgrades!$T$20="Brown Dwarf",POWER(Upgrades!$U$20,L365),1)*IF(Upgrades!$T$21="Brown Dwarf",POWER(Upgrades!$U$21,M365),1))*$F$6+(((IF(H365=0,0,(Upgrades!$M$16+H365*Upgrades!$N$16)*POWER(Upgrades!$O$16,H365)))*(IF(Upgrades!$T$13="Roche Lobe Overflow",POWER(Upgrades!$U$13,E365),1)*IF(Upgrades!$T$14="Roche Lobe Overflow",POWER(Upgrades!$U$14,F365),1)*IF(Upgrades!$T$15="Roche Lobe Overflow",POWER(Upgrades!$U$15,G365),1)*IF(Upgrades!$T$17="Roche Lobe Overflow",POWER(Upgrades!$U$17,I365),1)*IF(Upgrades!$T$18="Roche Lobe Overflow",POWER(Upgrades!$U$18,J365),1)*IF(Upgrades!$T$19="Roche Lobe Overflow",POWER(Upgrades!$U$19,K365),1)*IF(Upgrades!$T$20="Roche Lobe Overflow",POWER(Upgrades!$U$20,L365),1)*IF(Upgrades!$T$21="Roche Lobe Overflow",POWER(Upgrades!$U$21,M365),1))*POWER(Upgrades!$R$13,E365)*POWER(Upgrades!$R$14,F365)*POWER(Upgrades!$R$15,G365)*POWER(Upgrades!$R$16,H365)*POWER(Upgrades!$R$17,I365)*POWER(Upgrades!$R$18,J365)*POWER(Upgrades!$R$19,K365)*POWER(Upgrades!$R$20,L365)*POWER(Upgrades!$R$21,M365)*$H$6)*O365)*0.10)/AO365,0)</f>
        <v/>
      </c>
      <c r="BD365" s="32">
        <f>MAX(IF(J365&gt;0,0,IFERROR(0.5*((IF(G365=0,0,(Upgrades!$J$15+G365*Upgrades!$K$15)*POWER(Upgrades!$L$15,G365)))*(IF(Upgrades!$T$13="Microlensing",POWER(Upgrades!$U$13,E365),1)*IF(Upgrades!$T$14="Microlensing",POWER(Upgrades!$U$14,F365),1)*IF(Upgrades!$T$16="Microlensing",POWER(Upgrades!$U$16,H365),1)*IF(Upgrades!$T$17="Microlensing",POWER(Upgrades!$U$17,I365),1)*IF(Upgrades!$T$18="Microlensing",POWER(Upgrades!$U$18,J365),1)*IF(Upgrades!$T$19="Microlensing",POWER(Upgrades!$U$19,K365),1)*IF(Upgrades!$T$20="Microlensing",POWER(Upgrades!$U$20,L365),1)*IF(Upgrades!$T$21="Microlensing",POWER(Upgrades!$U$21,M365),1))*(POWER(Upgrades!$Q$13,E365)*POWER(Upgrades!$Q$14,F365)*POWER(Upgrades!$Q$15,G365)*POWER(Upgrades!$Q$16,H365)*POWER(Upgrades!$Q$17,I365)*POWER(Upgrades!$Q$18,J365)*POWER(Upgrades!$Q$19,K365)*POWER(Upgrades!$Q$20,L365)*POWER(Upgrades!$Q$21,M365))*$G$6*(Parameters!$B$10/60*Parameters!$B$11+Q365))/Upgrades!$C$18,0)),IF(K365&gt;0,0,IFERROR(0.30*P365/Upgrades!$C$19,0)),IF(L365&gt;0,0,IFERROR(0.0001/Upgrades!$C$20,0)),IF(M365&gt;0,0,IFERROR((6.0*(POWER(Upgrades!$P$13,E365)*POWER(Upgrades!$P$14,F365)*POWER(Upgrades!$P$15,G365)*POWER(Upgrades!$P$16,H365)*POWER(Upgrades!$P$17,I365)*POWER(Upgrades!$P$18,J365)*POWER(Upgrades!$P$19,K365)*POWER(Upgrades!$P$20,L365)*POWER(Upgrades!$P$21,M365))*$F$6+0.20*O365*(Parameters!$B$10/60*Parameters!$B$11+Q365))/Upgrades!$C$21,0)),IF(AND(ISNUMBER(AK365),AK365&gt;(C365+T365)),AY365,0),IF(AND(ISNUMBER(AL365),AL365&gt;(C365+T365)),AZ365,0),IF(AND(ISNUMBER(AM365),AM365&gt;(C365+T365)),BA365,0),IF(AND(ISNUMBER(AN365),AN365&gt;(C365+T365)),BB365,0),IF(AND(ISNUMBER(AO365),AO365&gt;(C365+T365)),BC365,0))</f>
        <v/>
      </c>
      <c r="BE365" s="29">
        <f>IF(AT365=1,"transition",IF(MIN(IF(AND(J365=0,ISNUMBER(AP365),AP365&lt;=(C365+T365)),AP365,9E15),IF(AND(K365=0,ISNUMBER(AQ365),AQ365&lt;=(C365+T365)),AQ365,9E15),IF(AND(L365=0,ISNUMBER(AR365),AR365&lt;=(C365+T365)),AR365,9E15),IF(AND(M365=0,ISNUMBER(AS365),AS365&lt;=(C365+T365)),AS365,9E15))&lt;9E15,IF(AND(AND(J365=0,ISNUMBER(AP365),AP365&lt;=(C365+T365)),AP365=MIN(IF(AND(J365=0,ISNUMBER(AP365),AP365&lt;=(C365+T365)),AP365,9E15),IF(AND(K365=0,ISNUMBER(AQ365),AQ365&lt;=(C365+T365)),AQ365,9E15),IF(AND(L365=0,ISNUMBER(AR365),AR365&lt;=(C365+T365)),AR365,9E15),IF(AND(M365=0,ISNUMBER(AS365),AS365&lt;=(C365+T365)),AS365,9E15))),"BiP",IF(AND(AND(K365=0,ISNUMBER(AQ365),AQ365&lt;=(C365+T365)),AQ365=MIN(IF(AND(J365=0,ISNUMBER(AP365),AP365&lt;=(C365+T365)),AP365,9E15),IF(AND(K365=0,ISNUMBER(AQ365),AQ365&lt;=(C365+T365)),AQ365,9E15),IF(AND(L365=0,ISNUMBER(AR365),AR365&lt;=(C365+T365)),AR365,9E15),IF(AND(M365=0,ISNUMBER(AS365),AS365&lt;=(C365+T365)),AS365,9E15))),"PV",IF(AND(AND(L365=0,ISNUMBER(AR365),AR365&lt;=(C365+T365)),AR365=MIN(IF(AND(J365=0,ISNUMBER(AP365),AP365&lt;=(C365+T365)),AP365,9E15),IF(AND(K365=0,ISNUMBER(AQ365),AQ365&lt;=(C365+T365)),AQ365,9E15),IF(AND(L365=0,ISNUMBER(AR365),AR365&lt;=(C365+T365)),AR365,9E15),IF(AND(M365=0,ISNUMBER(AS365),AS365&lt;=(C365+T365)),AS365,9E15))),"OC","MG"))),IF(AX365=TRUE,"",IF(MAX(IF(AND(NOT(AND(AU365=1,AT365&lt;&gt;1)),ISNUMBER(AK365),AK365&lt;=(C365+T365)),AY365,0),IF(AND(NOT(AND(AU365=1,AT365&lt;&gt;1)),ISNUMBER(AL365),AL365&lt;=(C365+T365)),AZ365,0),IF(AND(NOT(AND(AU365=1,AT365&lt;&gt;1)),ISNUMBER(AM365),AM365&lt;=(C365+T365)),BA365,0),IF(AND(NOT(AND(AU365=1,AT365&lt;&gt;1)),ISNUMBER(AN365),AN365&lt;=(C365+T365)),BB365,0),IF(AND(ISNUMBER(AO365),AO365&lt;=(C365+T365)),BC365,0))&lt;=0,"",IF(AND(IF(AND(NOT(AND(AU365=1,AT365&lt;&gt;1)),ISNUMBER(AK365),AK365&lt;=(C365+T365)),AY365,0)&gt;0,IF(AND(NOT(AND(AU365=1,AT365&lt;&gt;1)),ISNUMBER(AK365),AK365&lt;=(C365+T365)),AY365,0)=MAX(IF(AND(NOT(AND(AU365=1,AT365&lt;&gt;1)),ISNUMBER(AK365),AK365&lt;=(C365+T365)),AY365,0),IF(AND(NOT(AND(AU365=1,AT365&lt;&gt;1)),ISNUMBER(AL365),AL365&lt;=(C365+T365)),AZ365,0),IF(AND(NOT(AND(AU365=1,AT365&lt;&gt;1)),ISNUMBER(AM365),AM365&lt;=(C365+T365)),BA365,0),IF(AND(NOT(AND(AU365=1,AT365&lt;&gt;1)),ISNUMBER(AN365),AN365&lt;=(C365+T365)),BB365,0),IF(AND(ISNUMBER(AO365),AO365&lt;=(C365+T365)),BC365,0))),"SK",IF(AND(IF(AND(NOT(AND(AU365=1,AT365&lt;&gt;1)),ISNUMBER(AL365),AL365&lt;=(C365+T365)),AZ365,0)&gt;0,IF(AND(NOT(AND(AU365=1,AT365&lt;&gt;1)),ISNUMBER(AL365),AL365&lt;=(C365+T365)),AZ365,0)=MAX(IF(AND(NOT(AND(AU365=1,AT365&lt;&gt;1)),ISNUMBER(AK365),AK365&lt;=(C365+T365)),AY365,0),IF(AND(NOT(AND(AU365=1,AT365&lt;&gt;1)),ISNUMBER(AL365),AL365&lt;=(C365+T365)),AZ365,0),IF(AND(NOT(AND(AU365=1,AT365&lt;&gt;1)),ISNUMBER(AM365),AM365&lt;=(C365+T365)),BA365,0),IF(AND(NOT(AND(AU365=1,AT365&lt;&gt;1)),ISNUMBER(AN365),AN365&lt;=(C365+T365)),BB365,0),IF(AND(ISNUMBER(AO365),AO365&lt;=(C365+T365)),BC365,0))),"LB",IF(AND(IF(AND(NOT(AND(AU365=1,AT365&lt;&gt;1)),ISNUMBER(AM365),AM365&lt;=(C365+T365)),BA365,0)&gt;0,IF(AND(NOT(AND(AU365=1,AT365&lt;&gt;1)),ISNUMBER(AM365),AM365&lt;=(C365+T365)),BA365,0)=MAX(IF(AND(NOT(AND(AU365=1,AT365&lt;&gt;1)),ISNUMBER(AK365),AK365&lt;=(C365+T365)),AY365,0),IF(AND(NOT(AND(AU365=1,AT365&lt;&gt;1)),ISNUMBER(AL365),AL365&lt;=(C365+T365)),AZ365,0),IF(AND(NOT(AND(AU365=1,AT365&lt;&gt;1)),ISNUMBER(AM365),AM365&lt;=(C365+T365)),BA365,0),IF(AND(NOT(AND(AU365=1,AT365&lt;&gt;1)),ISNUMBER(AN365),AN365&lt;=(C365+T365)),BB365,0),IF(AND(ISNUMBER(AO365),AO365&lt;=(C365+T365)),BC365,0))),"ML",IF(AND(IF(AND(NOT(AND(AU365=1,AT365&lt;&gt;1)),ISNUMBER(AN365),AN365&lt;=(C365+T365)),BB365,0)&gt;0,IF(AND(NOT(AND(AU365=1,AT365&lt;&gt;1)),ISNUMBER(AN365),AN365&lt;=(C365+T365)),BB365,0)=MAX(IF(AND(NOT(AND(AU365=1,AT365&lt;&gt;1)),ISNUMBER(AK365),AK365&lt;=(C365+T365)),AY365,0),IF(AND(NOT(AND(AU365=1,AT365&lt;&gt;1)),ISNUMBER(AL365),AL365&lt;=(C365+T365)),AZ365,0),IF(AND(NOT(AND(AU365=1,AT365&lt;&gt;1)),ISNUMBER(AM365),AM365&lt;=(C365+T365)),BA365,0),IF(AND(NOT(AND(AU365=1,AT365&lt;&gt;1)),ISNUMBER(AN365),AN365&lt;=(C365+T365)),BB365,0),IF(AND(ISNUMBER(AO365),AO365&lt;=(C365+T365)),BC365,0))),"RLO","BD"))))))))</f>
        <v/>
      </c>
    </row>
    <row r="366">
      <c r="A366" s="26" t="n">
        <v>355</v>
      </c>
      <c r="B366" s="27">
        <f>A366*10/60</f>
        <v/>
      </c>
      <c r="C366" s="22">
        <f>X365</f>
        <v/>
      </c>
      <c r="D366" s="27">
        <f>D365+W365</f>
        <v/>
      </c>
      <c r="E366" s="26">
        <f>E365+IF(U365="SK",1,0)</f>
        <v/>
      </c>
      <c r="F366" s="26">
        <f>F365+IF(U365="LB",1,0)</f>
        <v/>
      </c>
      <c r="G366" s="26">
        <f>G365+IF(U365="ML",1,0)</f>
        <v/>
      </c>
      <c r="H366" s="26">
        <f>H365+IF(U365="RLO",1,0)</f>
        <v/>
      </c>
      <c r="I366" s="26">
        <f>I365+IF(U365="BD",1,0)</f>
        <v/>
      </c>
      <c r="J366" s="26">
        <f>MAX(J365,IF(U365="BiP",1,0))</f>
        <v/>
      </c>
      <c r="K366" s="26">
        <f>MAX(K365,IF(U365="PV",1,0))</f>
        <v/>
      </c>
      <c r="L366" s="26">
        <f>MAX(L365,IF(U365="OC",1,0))</f>
        <v/>
      </c>
      <c r="M366" s="26">
        <f>MAX(M365,IF(U365="MG",1,0))</f>
        <v/>
      </c>
      <c r="N366" s="26">
        <f>MAX(N365,IF(U365="transition",1,0))</f>
        <v/>
      </c>
      <c r="O366" s="28">
        <f>(Parameters!$B$9+(IF(E366=0,0,(Upgrades!$J$13+E366*Upgrades!$K$13)*POWER(Upgrades!$L$13,E366)))*(IF(Upgrades!$T$14="Stellar Kinematics",POWER(Upgrades!$U$14,F366),1)*IF(Upgrades!$T$15="Stellar Kinematics",POWER(Upgrades!$U$15,G366),1)*IF(Upgrades!$T$16="Stellar Kinematics",POWER(Upgrades!$U$16,H366),1)*IF(Upgrades!$T$17="Stellar Kinematics",POWER(Upgrades!$U$17,I366),1)*IF(Upgrades!$T$18="Stellar Kinematics",POWER(Upgrades!$U$18,J366),1)*IF(Upgrades!$T$19="Stellar Kinematics",POWER(Upgrades!$U$19,K366),1)*IF(Upgrades!$T$20="Stellar Kinematics",POWER(Upgrades!$U$20,L366),1)*IF(Upgrades!$T$21="Stellar Kinematics",POWER(Upgrades!$U$21,M366),1))+(IF(F366=0,0,(Upgrades!$J$14+F366*Upgrades!$K$14)*POWER(Upgrades!$L$14,F366)))*(IF(Upgrades!$T$13="Local Bubble",POWER(Upgrades!$U$13,E366),1)*IF(Upgrades!$T$15="Local Bubble",POWER(Upgrades!$U$15,G366),1)*IF(Upgrades!$T$16="Local Bubble",POWER(Upgrades!$U$16,H366),1)*IF(Upgrades!$T$17="Local Bubble",POWER(Upgrades!$U$17,I366),1)*IF(Upgrades!$T$18="Local Bubble",POWER(Upgrades!$U$18,J366),1)*IF(Upgrades!$T$19="Local Bubble",POWER(Upgrades!$U$19,K366),1)*IF(Upgrades!$T$20="Local Bubble",POWER(Upgrades!$U$20,L366),1)*IF(Upgrades!$T$21="Local Bubble",POWER(Upgrades!$U$21,M366),1))+(IF(G366=0,0,(Upgrades!$J$15+G366*Upgrades!$K$15)*POWER(Upgrades!$L$15,G366)))*(IF(Upgrades!$T$13="Microlensing",POWER(Upgrades!$U$13,E366),1)*IF(Upgrades!$T$14="Microlensing",POWER(Upgrades!$U$14,F366),1)*IF(Upgrades!$T$16="Microlensing",POWER(Upgrades!$U$16,H366),1)*IF(Upgrades!$T$17="Microlensing",POWER(Upgrades!$U$17,I366),1)*IF(Upgrades!$T$18="Microlensing",POWER(Upgrades!$U$18,J366),1)*IF(Upgrades!$T$19="Microlensing",POWER(Upgrades!$U$19,K366),1)*IF(Upgrades!$T$20="Microlensing",POWER(Upgrades!$U$20,L366),1)*IF(Upgrades!$T$21="Microlensing",POWER(Upgrades!$U$21,M366),1))+(IF(H366=0,0,(Upgrades!$J$16+H366*Upgrades!$K$16)*POWER(Upgrades!$L$16,H366)))*(IF(Upgrades!$T$13="Roche Lobe Overflow",POWER(Upgrades!$U$13,E366),1)*IF(Upgrades!$T$14="Roche Lobe Overflow",POWER(Upgrades!$U$14,F366),1)*IF(Upgrades!$T$15="Roche Lobe Overflow",POWER(Upgrades!$U$15,G366),1)*IF(Upgrades!$T$17="Roche Lobe Overflow",POWER(Upgrades!$U$17,I366),1)*IF(Upgrades!$T$18="Roche Lobe Overflow",POWER(Upgrades!$U$18,J366),1)*IF(Upgrades!$T$19="Roche Lobe Overflow",POWER(Upgrades!$U$19,K366),1)*IF(Upgrades!$T$20="Roche Lobe Overflow",POWER(Upgrades!$U$20,L366),1)*IF(Upgrades!$T$21="Roche Lobe Overflow",POWER(Upgrades!$U$21,M366),1))+(IF(I366=0,0,(Upgrades!$J$17+I366*Upgrades!$K$17)*POWER(Upgrades!$L$17,I366)))*(IF(Upgrades!$T$13="Brown Dwarf",POWER(Upgrades!$U$13,E366),1)*IF(Upgrades!$T$14="Brown Dwarf",POWER(Upgrades!$U$14,F366),1)*IF(Upgrades!$T$15="Brown Dwarf",POWER(Upgrades!$U$15,G366),1)*IF(Upgrades!$T$16="Brown Dwarf",POWER(Upgrades!$U$16,H366),1)*IF(Upgrades!$T$18="Brown Dwarf",POWER(Upgrades!$U$18,J366),1)*IF(Upgrades!$T$19="Brown Dwarf",POWER(Upgrades!$U$19,K366),1)*IF(Upgrades!$T$20="Brown Dwarf",POWER(Upgrades!$U$20,L366),1)*IF(Upgrades!$T$21="Brown Dwarf",POWER(Upgrades!$U$21,M366),1))+(IF(J366=0,0,(Upgrades!$J$18+J366*Upgrades!$K$18)*POWER(Upgrades!$L$18,J366)))*(IF(Upgrades!$T$13="Binary Partner",POWER(Upgrades!$U$13,E366),1)*IF(Upgrades!$T$14="Binary Partner",POWER(Upgrades!$U$14,F366),1)*IF(Upgrades!$T$15="Binary Partner",POWER(Upgrades!$U$15,G366),1)*IF(Upgrades!$T$16="Binary Partner",POWER(Upgrades!$U$16,H366),1)*IF(Upgrades!$T$17="Binary Partner",POWER(Upgrades!$U$17,I366),1)*IF(Upgrades!$T$19="Binary Partner",POWER(Upgrades!$U$19,K366),1)*IF(Upgrades!$T$20="Binary Partner",POWER(Upgrades!$U$20,L366),1)*IF(Upgrades!$T$21="Binary Partner",POWER(Upgrades!$U$21,M366),1))+(IF(K366=0,0,(Upgrades!$J$19+K366*Upgrades!$K$19)*POWER(Upgrades!$L$19,K366)))*(IF(Upgrades!$T$13="Peculiar Velocity",POWER(Upgrades!$U$13,E366),1)*IF(Upgrades!$T$14="Peculiar Velocity",POWER(Upgrades!$U$14,F366),1)*IF(Upgrades!$T$15="Peculiar Velocity",POWER(Upgrades!$U$15,G366),1)*IF(Upgrades!$T$16="Peculiar Velocity",POWER(Upgrades!$U$16,H366),1)*IF(Upgrades!$T$17="Peculiar Velocity",POWER(Upgrades!$U$17,I366),1)*IF(Upgrades!$T$18="Peculiar Velocity",POWER(Upgrades!$U$18,J366),1)*IF(Upgrades!$T$20="Peculiar Velocity",POWER(Upgrades!$U$20,L366),1)*IF(Upgrades!$T$21="Peculiar Velocity",POWER(Upgrades!$U$21,M366),1))+(IF(L366=0,0,(Upgrades!$J$20+L366*Upgrades!$K$20)*POWER(Upgrades!$L$20,L366)))*(IF(Upgrades!$T$13="Open Cluster",POWER(Upgrades!$U$13,E366),1)*IF(Upgrades!$T$14="Open Cluster",POWER(Upgrades!$U$14,F366),1)*IF(Upgrades!$T$15="Open Cluster",POWER(Upgrades!$U$15,G366),1)*IF(Upgrades!$T$16="Open Cluster",POWER(Upgrades!$U$16,H366),1)*IF(Upgrades!$T$17="Open Cluster",POWER(Upgrades!$U$17,I366),1)*IF(Upgrades!$T$18="Open Cluster",POWER(Upgrades!$U$18,J366),1)*IF(Upgrades!$T$19="Open Cluster",POWER(Upgrades!$U$19,K366),1)*IF(Upgrades!$T$21="Open Cluster",POWER(Upgrades!$U$21,M366),1))+(IF(M366=0,0,(Upgrades!$J$21+M366*Upgrades!$K$21)*POWER(Upgrades!$L$21,M366)))*(IF(Upgrades!$T$13="Moving Group",POWER(Upgrades!$U$13,E366),1)*IF(Upgrades!$T$14="Moving Group",POWER(Upgrades!$U$14,F366),1)*IF(Upgrades!$T$15="Moving Group",POWER(Upgrades!$U$15,G366),1)*IF(Upgrades!$T$16="Moving Group",POWER(Upgrades!$U$16,H366),1)*IF(Upgrades!$T$17="Moving Group",POWER(Upgrades!$U$17,I366),1)*IF(Upgrades!$T$18="Moving Group",POWER(Upgrades!$U$18,J366),1)*IF(Upgrades!$T$19="Moving Group",POWER(Upgrades!$U$19,K366),1)*IF(Upgrades!$T$20="Moving Group",POWER(Upgrades!$U$20,L366),1)))*POWER(Upgrades!$Q$13,E366)*POWER(Upgrades!$Q$14,F366)*POWER(Upgrades!$Q$15,G366)*POWER(Upgrades!$Q$16,H366)*POWER(Upgrades!$Q$17,I366)*POWER(Upgrades!$Q$18,J366)*POWER(Upgrades!$Q$19,K366)*POWER(Upgrades!$Q$20,L366)*POWER(Upgrades!$Q$21,M366)*$G$6+$D$6</f>
        <v/>
      </c>
      <c r="P366" s="28">
        <f>((IF(E366=0,0,(Upgrades!$G$13+E366*Upgrades!$H$13)*POWER(Upgrades!$I$13,E366)))*(IF(Upgrades!$T$14="Stellar Kinematics",POWER(Upgrades!$U$14,F366),1)*IF(Upgrades!$T$15="Stellar Kinematics",POWER(Upgrades!$U$15,G366),1)*IF(Upgrades!$T$16="Stellar Kinematics",POWER(Upgrades!$U$16,H366),1)*IF(Upgrades!$T$17="Stellar Kinematics",POWER(Upgrades!$U$17,I366),1)*IF(Upgrades!$T$18="Stellar Kinematics",POWER(Upgrades!$U$18,J366),1)*IF(Upgrades!$T$19="Stellar Kinematics",POWER(Upgrades!$U$19,K366),1)*IF(Upgrades!$T$20="Stellar Kinematics",POWER(Upgrades!$U$20,L366),1)*IF(Upgrades!$T$21="Stellar Kinematics",POWER(Upgrades!$U$21,M366),1))+(IF(F366=0,0,(Upgrades!$G$14+F366*Upgrades!$H$14)*POWER(Upgrades!$I$14,F366)))*(IF(Upgrades!$T$13="Local Bubble",POWER(Upgrades!$U$13,E366),1)*IF(Upgrades!$T$15="Local Bubble",POWER(Upgrades!$U$15,G366),1)*IF(Upgrades!$T$16="Local Bubble",POWER(Upgrades!$U$16,H366),1)*IF(Upgrades!$T$17="Local Bubble",POWER(Upgrades!$U$17,I366),1)*IF(Upgrades!$T$18="Local Bubble",POWER(Upgrades!$U$18,J366),1)*IF(Upgrades!$T$19="Local Bubble",POWER(Upgrades!$U$19,K366),1)*IF(Upgrades!$T$20="Local Bubble",POWER(Upgrades!$U$20,L366),1)*IF(Upgrades!$T$21="Local Bubble",POWER(Upgrades!$U$21,M366),1))+(IF(G366=0,0,(Upgrades!$G$15+G366*Upgrades!$H$15)*POWER(Upgrades!$I$15,G366)))*(IF(Upgrades!$T$13="Microlensing",POWER(Upgrades!$U$13,E366),1)*IF(Upgrades!$T$14="Microlensing",POWER(Upgrades!$U$14,F366),1)*IF(Upgrades!$T$16="Microlensing",POWER(Upgrades!$U$16,H366),1)*IF(Upgrades!$T$17="Microlensing",POWER(Upgrades!$U$17,I366),1)*IF(Upgrades!$T$18="Microlensing",POWER(Upgrades!$U$18,J366),1)*IF(Upgrades!$T$19="Microlensing",POWER(Upgrades!$U$19,K366),1)*IF(Upgrades!$T$20="Microlensing",POWER(Upgrades!$U$20,L366),1)*IF(Upgrades!$T$21="Microlensing",POWER(Upgrades!$U$21,M366),1))+(IF(H366=0,0,(Upgrades!$G$16+H366*Upgrades!$H$16)*POWER(Upgrades!$I$16,H366)))*(IF(Upgrades!$T$13="Roche Lobe Overflow",POWER(Upgrades!$U$13,E366),1)*IF(Upgrades!$T$14="Roche Lobe Overflow",POWER(Upgrades!$U$14,F366),1)*IF(Upgrades!$T$15="Roche Lobe Overflow",POWER(Upgrades!$U$15,G366),1)*IF(Upgrades!$T$17="Roche Lobe Overflow",POWER(Upgrades!$U$17,I366),1)*IF(Upgrades!$T$18="Roche Lobe Overflow",POWER(Upgrades!$U$18,J366),1)*IF(Upgrades!$T$19="Roche Lobe Overflow",POWER(Upgrades!$U$19,K366),1)*IF(Upgrades!$T$20="Roche Lobe Overflow",POWER(Upgrades!$U$20,L366),1)*IF(Upgrades!$T$21="Roche Lobe Overflow",POWER(Upgrades!$U$21,M366),1))+(IF(I366=0,0,(Upgrades!$G$17+I366*Upgrades!$H$17)*POWER(Upgrades!$I$17,I366)))*(IF(Upgrades!$T$13="Brown Dwarf",POWER(Upgrades!$U$13,E366),1)*IF(Upgrades!$T$14="Brown Dwarf",POWER(Upgrades!$U$14,F366),1)*IF(Upgrades!$T$15="Brown Dwarf",POWER(Upgrades!$U$15,G366),1)*IF(Upgrades!$T$16="Brown Dwarf",POWER(Upgrades!$U$16,H366),1)*IF(Upgrades!$T$18="Brown Dwarf",POWER(Upgrades!$U$18,J366),1)*IF(Upgrades!$T$19="Brown Dwarf",POWER(Upgrades!$U$19,K366),1)*IF(Upgrades!$T$20="Brown Dwarf",POWER(Upgrades!$U$20,L366),1)*IF(Upgrades!$T$21="Brown Dwarf",POWER(Upgrades!$U$21,M366),1))+(IF(J366=0,0,(Upgrades!$G$18+J366*Upgrades!$H$18)*POWER(Upgrades!$I$18,J366)))*(IF(Upgrades!$T$13="Binary Partner",POWER(Upgrades!$U$13,E366),1)*IF(Upgrades!$T$14="Binary Partner",POWER(Upgrades!$U$14,F366),1)*IF(Upgrades!$T$15="Binary Partner",POWER(Upgrades!$U$15,G366),1)*IF(Upgrades!$T$16="Binary Partner",POWER(Upgrades!$U$16,H366),1)*IF(Upgrades!$T$17="Binary Partner",POWER(Upgrades!$U$17,I366),1)*IF(Upgrades!$T$19="Binary Partner",POWER(Upgrades!$U$19,K366),1)*IF(Upgrades!$T$20="Binary Partner",POWER(Upgrades!$U$20,L366),1)*IF(Upgrades!$T$21="Binary Partner",POWER(Upgrades!$U$21,M366),1))+(IF(K366=0,0,(Upgrades!$G$19+K366*Upgrades!$H$19)*POWER(Upgrades!$I$19,K366)))*(IF(Upgrades!$T$13="Peculiar Velocity",POWER(Upgrades!$U$13,E366),1)*IF(Upgrades!$T$14="Peculiar Velocity",POWER(Upgrades!$U$14,F366),1)*IF(Upgrades!$T$15="Peculiar Velocity",POWER(Upgrades!$U$15,G366),1)*IF(Upgrades!$T$16="Peculiar Velocity",POWER(Upgrades!$U$16,H366),1)*IF(Upgrades!$T$17="Peculiar Velocity",POWER(Upgrades!$U$17,I366),1)*IF(Upgrades!$T$18="Peculiar Velocity",POWER(Upgrades!$U$18,J366),1)*IF(Upgrades!$T$20="Peculiar Velocity",POWER(Upgrades!$U$20,L366),1)*IF(Upgrades!$T$21="Peculiar Velocity",POWER(Upgrades!$U$21,M366),1))+(IF(L366=0,0,(Upgrades!$G$20+L366*Upgrades!$H$20)*POWER(Upgrades!$I$20,L366)))*(IF(Upgrades!$T$13="Open Cluster",POWER(Upgrades!$U$13,E366),1)*IF(Upgrades!$T$14="Open Cluster",POWER(Upgrades!$U$14,F366),1)*IF(Upgrades!$T$15="Open Cluster",POWER(Upgrades!$U$15,G366),1)*IF(Upgrades!$T$16="Open Cluster",POWER(Upgrades!$U$16,H366),1)*IF(Upgrades!$T$17="Open Cluster",POWER(Upgrades!$U$17,I366),1)*IF(Upgrades!$T$18="Open Cluster",POWER(Upgrades!$U$18,J366),1)*IF(Upgrades!$T$19="Open Cluster",POWER(Upgrades!$U$19,K366),1)*IF(Upgrades!$T$21="Open Cluster",POWER(Upgrades!$U$21,M366),1))+(IF(M366=0,0,(Upgrades!$G$21+M366*Upgrades!$H$21)*POWER(Upgrades!$I$21,M366)))*(IF(Upgrades!$T$13="Moving Group",POWER(Upgrades!$U$13,E366),1)*IF(Upgrades!$T$14="Moving Group",POWER(Upgrades!$U$14,F366),1)*IF(Upgrades!$T$15="Moving Group",POWER(Upgrades!$U$15,G366),1)*IF(Upgrades!$T$16="Moving Group",POWER(Upgrades!$U$16,H366),1)*IF(Upgrades!$T$17="Moving Group",POWER(Upgrades!$U$17,I366),1)*IF(Upgrades!$T$18="Moving Group",POWER(Upgrades!$U$18,J366),1)*IF(Upgrades!$T$19="Moving Group",POWER(Upgrades!$U$19,K366),1)*IF(Upgrades!$T$20="Moving Group",POWER(Upgrades!$U$20,L366),1)))*POWER(Upgrades!$P$13,E366)*POWER(Upgrades!$P$14,F366)*POWER(Upgrades!$P$15,G366)*POWER(Upgrades!$P$16,H366)*POWER(Upgrades!$P$17,I366)*POWER(Upgrades!$P$18,J366)*POWER(Upgrades!$P$19,K366)*POWER(Upgrades!$P$20,L366)*POWER(Upgrades!$P$21,M366)*$F$6+$C$6</f>
        <v/>
      </c>
      <c r="Q366" s="28">
        <f>((IF(E366=0,0,(Upgrades!$M$13+E366*Upgrades!$N$13)*POWER(Upgrades!$O$13,E366)))*(IF(Upgrades!$T$14="Stellar Kinematics",POWER(Upgrades!$U$14,F366),1)*IF(Upgrades!$T$15="Stellar Kinematics",POWER(Upgrades!$U$15,G366),1)*IF(Upgrades!$T$16="Stellar Kinematics",POWER(Upgrades!$U$16,H366),1)*IF(Upgrades!$T$17="Stellar Kinematics",POWER(Upgrades!$U$17,I366),1)*IF(Upgrades!$T$18="Stellar Kinematics",POWER(Upgrades!$U$18,J366),1)*IF(Upgrades!$T$19="Stellar Kinematics",POWER(Upgrades!$U$19,K366),1)*IF(Upgrades!$T$20="Stellar Kinematics",POWER(Upgrades!$U$20,L366),1)*IF(Upgrades!$T$21="Stellar Kinematics",POWER(Upgrades!$U$21,M366),1))+(IF(F366=0,0,(Upgrades!$M$14+F366*Upgrades!$N$14)*POWER(Upgrades!$O$14,F366)))*(IF(Upgrades!$T$13="Local Bubble",POWER(Upgrades!$U$13,E366),1)*IF(Upgrades!$T$15="Local Bubble",POWER(Upgrades!$U$15,G366),1)*IF(Upgrades!$T$16="Local Bubble",POWER(Upgrades!$U$16,H366),1)*IF(Upgrades!$T$17="Local Bubble",POWER(Upgrades!$U$17,I366),1)*IF(Upgrades!$T$18="Local Bubble",POWER(Upgrades!$U$18,J366),1)*IF(Upgrades!$T$19="Local Bubble",POWER(Upgrades!$U$19,K366),1)*IF(Upgrades!$T$20="Local Bubble",POWER(Upgrades!$U$20,L366),1)*IF(Upgrades!$T$21="Local Bubble",POWER(Upgrades!$U$21,M366),1))+(IF(G366=0,0,(Upgrades!$M$15+G366*Upgrades!$N$15)*POWER(Upgrades!$O$15,G366)))*(IF(Upgrades!$T$13="Microlensing",POWER(Upgrades!$U$13,E366),1)*IF(Upgrades!$T$14="Microlensing",POWER(Upgrades!$U$14,F366),1)*IF(Upgrades!$T$16="Microlensing",POWER(Upgrades!$U$16,H366),1)*IF(Upgrades!$T$17="Microlensing",POWER(Upgrades!$U$17,I366),1)*IF(Upgrades!$T$18="Microlensing",POWER(Upgrades!$U$18,J366),1)*IF(Upgrades!$T$19="Microlensing",POWER(Upgrades!$U$19,K366),1)*IF(Upgrades!$T$20="Microlensing",POWER(Upgrades!$U$20,L366),1)*IF(Upgrades!$T$21="Microlensing",POWER(Upgrades!$U$21,M366),1))+(IF(H366=0,0,(Upgrades!$M$16+H366*Upgrades!$N$16)*POWER(Upgrades!$O$16,H366)))*(IF(Upgrades!$T$13="Roche Lobe Overflow",POWER(Upgrades!$U$13,E366),1)*IF(Upgrades!$T$14="Roche Lobe Overflow",POWER(Upgrades!$U$14,F366),1)*IF(Upgrades!$T$15="Roche Lobe Overflow",POWER(Upgrades!$U$15,G366),1)*IF(Upgrades!$T$17="Roche Lobe Overflow",POWER(Upgrades!$U$17,I366),1)*IF(Upgrades!$T$18="Roche Lobe Overflow",POWER(Upgrades!$U$18,J366),1)*IF(Upgrades!$T$19="Roche Lobe Overflow",POWER(Upgrades!$U$19,K366),1)*IF(Upgrades!$T$20="Roche Lobe Overflow",POWER(Upgrades!$U$20,L366),1)*IF(Upgrades!$T$21="Roche Lobe Overflow",POWER(Upgrades!$U$21,M366),1))+(IF(I366=0,0,(Upgrades!$M$17+I366*Upgrades!$N$17)*POWER(Upgrades!$O$17,I366)))*(IF(Upgrades!$T$13="Brown Dwarf",POWER(Upgrades!$U$13,E366),1)*IF(Upgrades!$T$14="Brown Dwarf",POWER(Upgrades!$U$14,F366),1)*IF(Upgrades!$T$15="Brown Dwarf",POWER(Upgrades!$U$15,G366),1)*IF(Upgrades!$T$16="Brown Dwarf",POWER(Upgrades!$U$16,H366),1)*IF(Upgrades!$T$18="Brown Dwarf",POWER(Upgrades!$U$18,J366),1)*IF(Upgrades!$T$19="Brown Dwarf",POWER(Upgrades!$U$19,K366),1)*IF(Upgrades!$T$20="Brown Dwarf",POWER(Upgrades!$U$20,L366),1)*IF(Upgrades!$T$21="Brown Dwarf",POWER(Upgrades!$U$21,M366),1))+(IF(J366=0,0,(Upgrades!$M$18+J366*Upgrades!$N$18)*POWER(Upgrades!$O$18,J366)))*(IF(Upgrades!$T$13="Binary Partner",POWER(Upgrades!$U$13,E366),1)*IF(Upgrades!$T$14="Binary Partner",POWER(Upgrades!$U$14,F366),1)*IF(Upgrades!$T$15="Binary Partner",POWER(Upgrades!$U$15,G366),1)*IF(Upgrades!$T$16="Binary Partner",POWER(Upgrades!$U$16,H366),1)*IF(Upgrades!$T$17="Binary Partner",POWER(Upgrades!$U$17,I366),1)*IF(Upgrades!$T$19="Binary Partner",POWER(Upgrades!$U$19,K366),1)*IF(Upgrades!$T$20="Binary Partner",POWER(Upgrades!$U$20,L366),1)*IF(Upgrades!$T$21="Binary Partner",POWER(Upgrades!$U$21,M366),1))+(IF(K366=0,0,(Upgrades!$M$19+K366*Upgrades!$N$19)*POWER(Upgrades!$O$19,K366)))*(IF(Upgrades!$T$13="Peculiar Velocity",POWER(Upgrades!$U$13,E366),1)*IF(Upgrades!$T$14="Peculiar Velocity",POWER(Upgrades!$U$14,F366),1)*IF(Upgrades!$T$15="Peculiar Velocity",POWER(Upgrades!$U$15,G366),1)*IF(Upgrades!$T$16="Peculiar Velocity",POWER(Upgrades!$U$16,H366),1)*IF(Upgrades!$T$17="Peculiar Velocity",POWER(Upgrades!$U$17,I366),1)*IF(Upgrades!$T$18="Peculiar Velocity",POWER(Upgrades!$U$18,J366),1)*IF(Upgrades!$T$20="Peculiar Velocity",POWER(Upgrades!$U$20,L366),1)*IF(Upgrades!$T$21="Peculiar Velocity",POWER(Upgrades!$U$21,M366),1))+(IF(L366=0,0,(Upgrades!$M$20+L366*Upgrades!$N$20)*POWER(Upgrades!$O$20,L366)))*(IF(Upgrades!$T$13="Open Cluster",POWER(Upgrades!$U$13,E366),1)*IF(Upgrades!$T$14="Open Cluster",POWER(Upgrades!$U$14,F366),1)*IF(Upgrades!$T$15="Open Cluster",POWER(Upgrades!$U$15,G366),1)*IF(Upgrades!$T$16="Open Cluster",POWER(Upgrades!$U$16,H366),1)*IF(Upgrades!$T$17="Open Cluster",POWER(Upgrades!$U$17,I366),1)*IF(Upgrades!$T$18="Open Cluster",POWER(Upgrades!$U$18,J366),1)*IF(Upgrades!$T$19="Open Cluster",POWER(Upgrades!$U$19,K366),1)*IF(Upgrades!$T$21="Open Cluster",POWER(Upgrades!$U$21,M366),1))+(IF(M366=0,0,(Upgrades!$M$21+M366*Upgrades!$N$21)*POWER(Upgrades!$O$21,M366)))*(IF(Upgrades!$T$13="Moving Group",POWER(Upgrades!$U$13,E366),1)*IF(Upgrades!$T$14="Moving Group",POWER(Upgrades!$U$14,F366),1)*IF(Upgrades!$T$15="Moving Group",POWER(Upgrades!$U$15,G366),1)*IF(Upgrades!$T$16="Moving Group",POWER(Upgrades!$U$16,H366),1)*IF(Upgrades!$T$17="Moving Group",POWER(Upgrades!$U$17,I366),1)*IF(Upgrades!$T$18="Moving Group",POWER(Upgrades!$U$18,J366),1)*IF(Upgrades!$T$19="Moving Group",POWER(Upgrades!$U$19,K366),1)*IF(Upgrades!$T$20="Moving Group",POWER(Upgrades!$U$20,L366),1)))*POWER(Upgrades!$R$13,E366)*POWER(Upgrades!$R$14,F366)*POWER(Upgrades!$R$15,G366)*POWER(Upgrades!$R$16,H366)*POWER(Upgrades!$R$17,I366)*POWER(Upgrades!$R$18,J366)*POWER(Upgrades!$R$19,K366)*POWER(Upgrades!$R$20,L366)*POWER(Upgrades!$R$21,M366)*$H$6+$E$6</f>
        <v/>
      </c>
      <c r="R366" s="27">
        <f>IF(N366=1,0,O366*Parameters!$B$10/60*Parameters!$B$11*10)</f>
        <v/>
      </c>
      <c r="S366" s="27">
        <f>IF(N366=1,0,Q366*O366*10)</f>
        <v/>
      </c>
      <c r="T366" s="27">
        <f>IF(N366=1,0,R366+S366+P366*10)</f>
        <v/>
      </c>
      <c r="U366" s="33">
        <f>BE366</f>
        <v/>
      </c>
      <c r="V366" s="22">
        <f>IF(U366="",0,IF(U366="transition",0,IF(U366="SK",AK366,IF(U366="LB",AL366,IF(U366="ML",AM366,IF(U366="RLO",AN366,IF(U366="BD",AO366,IF(U366="BiP",AP366,IF(U366="PV",AQ366,IF(U366="OC",AR366,IF(U366="MG",AS366,0))))))))))</f>
        <v/>
      </c>
      <c r="W366" s="27">
        <f>IF(U366="BiP",Upgrades!$F$18,IF(U366="PV",Upgrades!$F$19,IF(U366="OC",Upgrades!$F$20,IF(U366="MG",Upgrades!$F$21,IF(U366="transition",-Parameters!$B$18*Parameters!$B$19,0)))))</f>
        <v/>
      </c>
      <c r="X366" s="22">
        <f>C366+T366-V366</f>
        <v/>
      </c>
      <c r="Y366" s="30">
        <f>O366*Parameters!$B$10/60*Parameters!$B$11+Q366*O366+P366</f>
        <v/>
      </c>
      <c r="Z366" s="34">
        <f>IF(U366="transition","→ Tier 3 (Galactic Arm)",IF(U366="MG","Moving Group — pocket drifts together",IF(U366="OC","Open Cluster acquired",IF(U366="PV","Peculiar Velocity — passive multiplier active",IF(U366="BiP","Binary Partner — pair bond formed",IF(AND(AU366=1,N366=0,AT366&lt;&gt;1),"Cohesion ready (waiting on completionists)","")))))) </f>
        <v/>
      </c>
      <c r="AA366" s="27">
        <f>(IF(E366=0,0,(Upgrades!$G$13+E366*Upgrades!$H$13)*POWER(Upgrades!$I$13,E366)))*(IF(Upgrades!$T$14="Stellar Kinematics",POWER(Upgrades!$U$14,F366),1)*IF(Upgrades!$T$15="Stellar Kinematics",POWER(Upgrades!$U$15,G366),1)*IF(Upgrades!$T$16="Stellar Kinematics",POWER(Upgrades!$U$16,H366),1)*IF(Upgrades!$T$17="Stellar Kinematics",POWER(Upgrades!$U$17,I366),1)*IF(Upgrades!$T$18="Stellar Kinematics",POWER(Upgrades!$U$18,J366),1)*IF(Upgrades!$T$19="Stellar Kinematics",POWER(Upgrades!$U$19,K366),1)*IF(Upgrades!$T$20="Stellar Kinematics",POWER(Upgrades!$U$20,L366),1)*IF(Upgrades!$T$21="Stellar Kinematics",POWER(Upgrades!$U$21,M366),1))*POWER(Upgrades!$P$13,E366)*POWER(Upgrades!$P$14,F366)*POWER(Upgrades!$P$15,G366)*POWER(Upgrades!$P$16,H366)*POWER(Upgrades!$P$17,I366)*POWER(Upgrades!$P$18,J366)*POWER(Upgrades!$P$19,K366)*POWER(Upgrades!$P$20,L366)*POWER(Upgrades!$P$21,M366)*$F$6*60</f>
        <v/>
      </c>
      <c r="AB366" s="27">
        <f>(IF(F366=0,0,(Upgrades!$G$14+F366*Upgrades!$H$14)*POWER(Upgrades!$I$14,F366)))*(IF(Upgrades!$T$13="Local Bubble",POWER(Upgrades!$U$13,E366),1)*IF(Upgrades!$T$15="Local Bubble",POWER(Upgrades!$U$15,G366),1)*IF(Upgrades!$T$16="Local Bubble",POWER(Upgrades!$U$16,H366),1)*IF(Upgrades!$T$17="Local Bubble",POWER(Upgrades!$U$17,I366),1)*IF(Upgrades!$T$18="Local Bubble",POWER(Upgrades!$U$18,J366),1)*IF(Upgrades!$T$19="Local Bubble",POWER(Upgrades!$U$19,K366),1)*IF(Upgrades!$T$20="Local Bubble",POWER(Upgrades!$U$20,L366),1)*IF(Upgrades!$T$21="Local Bubble",POWER(Upgrades!$U$21,M366),1))*POWER(Upgrades!$P$13,E366)*POWER(Upgrades!$P$14,F366)*POWER(Upgrades!$P$15,G366)*POWER(Upgrades!$P$16,H366)*POWER(Upgrades!$P$17,I366)*POWER(Upgrades!$P$18,J366)*POWER(Upgrades!$P$19,K366)*POWER(Upgrades!$P$20,L366)*POWER(Upgrades!$P$21,M366)*$F$6*60</f>
        <v/>
      </c>
      <c r="AC366" s="27">
        <f>(IF(G366=0,0,(Upgrades!$J$15+G366*Upgrades!$K$15)*POWER(Upgrades!$L$15,G366)))*(IF(Upgrades!$T$13="Microlensing",POWER(Upgrades!$U$13,E366),1)*IF(Upgrades!$T$14="Microlensing",POWER(Upgrades!$U$14,F366),1)*IF(Upgrades!$T$16="Microlensing",POWER(Upgrades!$U$16,H366),1)*IF(Upgrades!$T$17="Microlensing",POWER(Upgrades!$U$17,I366),1)*IF(Upgrades!$T$18="Microlensing",POWER(Upgrades!$U$18,J366),1)*IF(Upgrades!$T$19="Microlensing",POWER(Upgrades!$U$19,K366),1)*IF(Upgrades!$T$20="Microlensing",POWER(Upgrades!$U$20,L366),1)*IF(Upgrades!$T$21="Microlensing",POWER(Upgrades!$U$21,M366),1))*POWER(Upgrades!$Q$13,E366)*POWER(Upgrades!$Q$14,F366)*POWER(Upgrades!$Q$15,G366)*POWER(Upgrades!$Q$16,H366)*POWER(Upgrades!$Q$17,I366)*POWER(Upgrades!$Q$18,J366)*POWER(Upgrades!$Q$19,K366)*POWER(Upgrades!$Q$20,L366)*POWER(Upgrades!$Q$21,M366)*$G$6*(Parameters!$B$10*Parameters!$B$11+Q366*60)</f>
        <v/>
      </c>
      <c r="AD366" s="27">
        <f>(IF(H366=0,0,(Upgrades!$M$16+H366*Upgrades!$N$16)*POWER(Upgrades!$O$16,H366)))*(IF(Upgrades!$T$13="Roche Lobe Overflow",POWER(Upgrades!$U$13,E366),1)*IF(Upgrades!$T$14="Roche Lobe Overflow",POWER(Upgrades!$U$14,F366),1)*IF(Upgrades!$T$15="Roche Lobe Overflow",POWER(Upgrades!$U$15,G366),1)*IF(Upgrades!$T$17="Roche Lobe Overflow",POWER(Upgrades!$U$17,I366),1)*IF(Upgrades!$T$18="Roche Lobe Overflow",POWER(Upgrades!$U$18,J366),1)*IF(Upgrades!$T$19="Roche Lobe Overflow",POWER(Upgrades!$U$19,K366),1)*IF(Upgrades!$T$20="Roche Lobe Overflow",POWER(Upgrades!$U$20,L366),1)*IF(Upgrades!$T$21="Roche Lobe Overflow",POWER(Upgrades!$U$21,M366),1))*POWER(Upgrades!$R$13,E366)*POWER(Upgrades!$R$14,F366)*POWER(Upgrades!$R$15,G366)*POWER(Upgrades!$R$16,H366)*POWER(Upgrades!$R$17,I366)*POWER(Upgrades!$R$18,J366)*POWER(Upgrades!$R$19,K366)*POWER(Upgrades!$R$20,L366)*POWER(Upgrades!$R$21,M366)*$H$6*O366*60</f>
        <v/>
      </c>
      <c r="AE366" s="27">
        <f>(IF(I366=0,0,(Upgrades!$G$17+I366*Upgrades!$H$17)*POWER(Upgrades!$I$17,I366)))*(IF(Upgrades!$T$13="Brown Dwarf",POWER(Upgrades!$U$13,E366),1)*IF(Upgrades!$T$14="Brown Dwarf",POWER(Upgrades!$U$14,F366),1)*IF(Upgrades!$T$15="Brown Dwarf",POWER(Upgrades!$U$15,G366),1)*IF(Upgrades!$T$16="Brown Dwarf",POWER(Upgrades!$U$16,H366),1)*IF(Upgrades!$T$18="Brown Dwarf",POWER(Upgrades!$U$18,J366),1)*IF(Upgrades!$T$19="Brown Dwarf",POWER(Upgrades!$U$19,K366),1)*IF(Upgrades!$T$20="Brown Dwarf",POWER(Upgrades!$U$20,L366),1)*IF(Upgrades!$T$21="Brown Dwarf",POWER(Upgrades!$U$21,M366),1))*POWER(Upgrades!$P$13,E366)*POWER(Upgrades!$P$14,F366)*POWER(Upgrades!$P$15,G366)*POWER(Upgrades!$P$16,H366)*POWER(Upgrades!$P$17,I366)*POWER(Upgrades!$P$18,J366)*POWER(Upgrades!$P$19,K366)*POWER(Upgrades!$P$20,L366)*POWER(Upgrades!$P$21,M366)*$F$6*60</f>
        <v/>
      </c>
      <c r="AF366" s="27" t="n">
        <v>0</v>
      </c>
      <c r="AG366" s="27" t="n">
        <v>0</v>
      </c>
      <c r="AH366" s="27" t="n">
        <v>0</v>
      </c>
      <c r="AI366" s="27">
        <f>(IF(M366=0,0,(Upgrades!$G$21+M366*Upgrades!$H$21)*POWER(Upgrades!$I$21,M366)))*(IF(Upgrades!$T$13="Moving Group",POWER(Upgrades!$U$13,E366),1)*IF(Upgrades!$T$14="Moving Group",POWER(Upgrades!$U$14,F366),1)*IF(Upgrades!$T$15="Moving Group",POWER(Upgrades!$U$15,G366),1)*IF(Upgrades!$T$16="Moving Group",POWER(Upgrades!$U$16,H366),1)*IF(Upgrades!$T$17="Moving Group",POWER(Upgrades!$U$17,I366),1)*IF(Upgrades!$T$18="Moving Group",POWER(Upgrades!$U$18,J366),1)*IF(Upgrades!$T$19="Moving Group",POWER(Upgrades!$U$19,K366),1)*IF(Upgrades!$T$20="Moving Group",POWER(Upgrades!$U$20,L366),1))*POWER(Upgrades!$P$13,E366)*POWER(Upgrades!$P$14,F366)*POWER(Upgrades!$P$15,G366)*POWER(Upgrades!$P$16,H366)*POWER(Upgrades!$P$17,I366)*POWER(Upgrades!$P$18,J366)*POWER(Upgrades!$P$19,K366)*POWER(Upgrades!$P$20,L366)*POWER(Upgrades!$P$21,M366)*$F$6*60</f>
        <v/>
      </c>
      <c r="AJ366" s="27">
        <f>$C$6*60</f>
        <v/>
      </c>
      <c r="AK366" s="22">
        <f>IF(E366&gt;=Upgrades!$E$13,"",Upgrades!$C$13*POWER(Upgrades!$D$13,E366))</f>
        <v/>
      </c>
      <c r="AL366" s="22">
        <f>IF(F366&gt;=Upgrades!$E$14,"",Upgrades!$C$14*POWER(Upgrades!$D$14,F366))</f>
        <v/>
      </c>
      <c r="AM366" s="22">
        <f>IF(G366&gt;=Upgrades!$E$15,"",Upgrades!$C$15*POWER(Upgrades!$D$15,G366))</f>
        <v/>
      </c>
      <c r="AN366" s="22">
        <f>IF(H366&gt;=Upgrades!$E$16,"",Upgrades!$C$16*POWER(Upgrades!$D$16,H366))</f>
        <v/>
      </c>
      <c r="AO366" s="22">
        <f>IF(I366&gt;=Upgrades!$E$17,"",Upgrades!$C$17*POWER(Upgrades!$D$17,I366))</f>
        <v/>
      </c>
      <c r="AP366" s="22">
        <f>IF(J366&gt;=Upgrades!$E$18,"",Upgrades!$C$18*POWER(Upgrades!$D$18,J366))</f>
        <v/>
      </c>
      <c r="AQ366" s="22">
        <f>IF(K366&gt;=Upgrades!$E$19,"",Upgrades!$C$19*POWER(Upgrades!$D$19,K366))</f>
        <v/>
      </c>
      <c r="AR366" s="22">
        <f>IF(L366&gt;=Upgrades!$E$20,"",Upgrades!$C$20*POWER(Upgrades!$D$20,L366))</f>
        <v/>
      </c>
      <c r="AS366" s="22">
        <f>IF(M366&gt;=Upgrades!$E$21,"",Upgrades!$C$21*POWER(Upgrades!$D$21,M366))</f>
        <v/>
      </c>
      <c r="AT366" s="26">
        <f>IF(AND(D366&gt;=Parameters!$B$18*Parameters!$B$19,(I366&gt;=Upgrades!$E$17)*(M366&gt;=Upgrades!$E$21)=1,N366=0),1,"")</f>
        <v/>
      </c>
      <c r="AU366" s="26">
        <f>IF(AND(D366&gt;=Parameters!$B$18*Parameters!$B$19,N366=0),1,"")</f>
        <v/>
      </c>
      <c r="AV366" s="22">
        <f>MIN(IF(ISNUMBER(AP366),AP366,9E15),IF(ISNUMBER(AQ366),AQ366,9E15),IF(ISNUMBER(AR366),AR366,9E15),IF(ISNUMBER(AS366),AS366,9E15))</f>
        <v/>
      </c>
      <c r="AW366" s="22">
        <f>MIN(IF(ISNUMBER(AK366),AK366,9E15),IF(ISNUMBER(AL366),AL366,9E15),IF(ISNUMBER(AM366),AM366,9E15),IF(ISNUMBER(AN366),AN366,9E15),IF(ISNUMBER(AO366),AO366,9E15))</f>
        <v/>
      </c>
      <c r="AX366" s="29">
        <f>IF(BD366&gt;Parameters!$B$21*(MAX(IF(AND(NOT(AND(AU366=1,AT366&lt;&gt;1)),ISNUMBER(AK366),AK366&lt;=(C366+T366)),AY366,0),IF(AND(NOT(AND(AU366=1,AT366&lt;&gt;1)),ISNUMBER(AL366),AL366&lt;=(C366+T366)),AZ366,0),IF(AND(NOT(AND(AU366=1,AT366&lt;&gt;1)),ISNUMBER(AM366),AM366&lt;=(C366+T366)),BA366,0),IF(AND(NOT(AND(AU366=1,AT366&lt;&gt;1)),ISNUMBER(AN366),AN366&lt;=(C366+T366)),BB366,0),IF(AND(ISNUMBER(AO366),AO366&lt;=(C366+T366)),BC366,0))),TRUE,FALSE)</f>
        <v/>
      </c>
      <c r="AY366" s="32">
        <f>IFERROR(Upgrades!$H$13*(POWER(Upgrades!$P$13,E366)*POWER(Upgrades!$P$14,F366)*POWER(Upgrades!$P$15,G366)*POWER(Upgrades!$P$16,H366)*POWER(Upgrades!$P$17,I366)*POWER(Upgrades!$P$18,J366)*POWER(Upgrades!$P$19,K366)*POWER(Upgrades!$P$20,L366)*POWER(Upgrades!$P$21,M366))*(IF(Upgrades!$T$14="Stellar Kinematics",POWER(Upgrades!$U$14,F366),1)*IF(Upgrades!$T$15="Stellar Kinematics",POWER(Upgrades!$U$15,G366),1)*IF(Upgrades!$T$16="Stellar Kinematics",POWER(Upgrades!$U$16,H366),1)*IF(Upgrades!$T$17="Stellar Kinematics",POWER(Upgrades!$U$17,I366),1)*IF(Upgrades!$T$18="Stellar Kinematics",POWER(Upgrades!$U$18,J366),1)*IF(Upgrades!$T$19="Stellar Kinematics",POWER(Upgrades!$U$19,K366),1)*IF(Upgrades!$T$20="Stellar Kinematics",POWER(Upgrades!$U$20,L366),1)*IF(Upgrades!$T$21="Stellar Kinematics",POWER(Upgrades!$U$21,M366),1))*$F$6/AK366,0)</f>
        <v/>
      </c>
      <c r="AZ366" s="32">
        <f>IFERROR(Upgrades!$H$14*(POWER(Upgrades!$P$13,E366)*POWER(Upgrades!$P$14,F366)*POWER(Upgrades!$P$15,G366)*POWER(Upgrades!$P$16,H366)*POWER(Upgrades!$P$17,I366)*POWER(Upgrades!$P$18,J366)*POWER(Upgrades!$P$19,K366)*POWER(Upgrades!$P$20,L366)*POWER(Upgrades!$P$21,M366))*(IF(Upgrades!$T$13="Local Bubble",POWER(Upgrades!$U$13,E366),1)*IF(Upgrades!$T$15="Local Bubble",POWER(Upgrades!$U$15,G366),1)*IF(Upgrades!$T$16="Local Bubble",POWER(Upgrades!$U$16,H366),1)*IF(Upgrades!$T$17="Local Bubble",POWER(Upgrades!$U$17,I366),1)*IF(Upgrades!$T$18="Local Bubble",POWER(Upgrades!$U$18,J366),1)*IF(Upgrades!$T$19="Local Bubble",POWER(Upgrades!$U$19,K366),1)*IF(Upgrades!$T$20="Local Bubble",POWER(Upgrades!$U$20,L366),1)*IF(Upgrades!$T$21="Local Bubble",POWER(Upgrades!$U$21,M366),1))*$F$6/AL366,0)</f>
        <v/>
      </c>
      <c r="BA366" s="32">
        <f>IFERROR(Upgrades!$K$15*(POWER(Upgrades!$Q$13,E366)*POWER(Upgrades!$Q$14,F366)*POWER(Upgrades!$Q$15,G366)*POWER(Upgrades!$Q$16,H366)*POWER(Upgrades!$Q$17,I366)*POWER(Upgrades!$Q$18,J366)*POWER(Upgrades!$Q$19,K366)*POWER(Upgrades!$Q$20,L366)*POWER(Upgrades!$Q$21,M366))*(IF(Upgrades!$T$13="Microlensing",POWER(Upgrades!$U$13,E366),1)*IF(Upgrades!$T$14="Microlensing",POWER(Upgrades!$U$14,F366),1)*IF(Upgrades!$T$16="Microlensing",POWER(Upgrades!$U$16,H366),1)*IF(Upgrades!$T$17="Microlensing",POWER(Upgrades!$U$17,I366),1)*IF(Upgrades!$T$18="Microlensing",POWER(Upgrades!$U$18,J366),1)*IF(Upgrades!$T$19="Microlensing",POWER(Upgrades!$U$19,K366),1)*IF(Upgrades!$T$20="Microlensing",POWER(Upgrades!$U$20,L366),1)*IF(Upgrades!$T$21="Microlensing",POWER(Upgrades!$U$21,M366),1))*$G$6*(Parameters!$B$10/60*Parameters!$B$11+Q366)/AM366,0)</f>
        <v/>
      </c>
      <c r="BB366" s="32">
        <f>IFERROR((Upgrades!$N$16*(POWER(Upgrades!$R$13,E366)*POWER(Upgrades!$R$14,F366)*POWER(Upgrades!$R$15,G366)*POWER(Upgrades!$R$16,H366)*POWER(Upgrades!$R$17,I366)*POWER(Upgrades!$R$18,J366)*POWER(Upgrades!$R$19,K366)*POWER(Upgrades!$R$20,L366)*POWER(Upgrades!$R$21,M366))*(IF(Upgrades!$T$13="Roche Lobe Overflow",POWER(Upgrades!$U$13,E366),1)*IF(Upgrades!$T$14="Roche Lobe Overflow",POWER(Upgrades!$U$14,F366),1)*IF(Upgrades!$T$15="Roche Lobe Overflow",POWER(Upgrades!$U$15,G366),1)*IF(Upgrades!$T$17="Roche Lobe Overflow",POWER(Upgrades!$U$17,I366),1)*IF(Upgrades!$T$18="Roche Lobe Overflow",POWER(Upgrades!$U$18,J366),1)*IF(Upgrades!$T$19="Roche Lobe Overflow",POWER(Upgrades!$U$19,K366),1)*IF(Upgrades!$T$20="Roche Lobe Overflow",POWER(Upgrades!$U$20,L366),1)*IF(Upgrades!$T$21="Roche Lobe Overflow",POWER(Upgrades!$U$21,M366),1))*$H$6*O366+((IF(F366=0,0,(Upgrades!$G$14+F366*Upgrades!$H$14)*POWER(Upgrades!$I$14,F366)))*(IF(Upgrades!$T$13="Local Bubble",POWER(Upgrades!$U$13,E366),1)*IF(Upgrades!$T$15="Local Bubble",POWER(Upgrades!$U$15,G366),1)*IF(Upgrades!$T$16="Local Bubble",POWER(Upgrades!$U$16,H366),1)*IF(Upgrades!$T$17="Local Bubble",POWER(Upgrades!$U$17,I366),1)*IF(Upgrades!$T$18="Local Bubble",POWER(Upgrades!$U$18,J366),1)*IF(Upgrades!$T$19="Local Bubble",POWER(Upgrades!$U$19,K366),1)*IF(Upgrades!$T$20="Local Bubble",POWER(Upgrades!$U$20,L366),1)*IF(Upgrades!$T$21="Local Bubble",POWER(Upgrades!$U$21,M366),1))*POWER(Upgrades!$P$13,E366)*POWER(Upgrades!$P$14,F366)*POWER(Upgrades!$P$15,G366)*POWER(Upgrades!$P$16,H366)*POWER(Upgrades!$P$17,I366)*POWER(Upgrades!$P$18,J366)*POWER(Upgrades!$P$19,K366)*POWER(Upgrades!$P$20,L366)*POWER(Upgrades!$P$21,M366)*$F$6)*0.05)/AN366,0)</f>
        <v/>
      </c>
      <c r="BC366" s="32">
        <f>IFERROR((Upgrades!$H$17*(POWER(Upgrades!$P$13,E366)*POWER(Upgrades!$P$14,F366)*POWER(Upgrades!$P$15,G366)*POWER(Upgrades!$P$16,H366)*POWER(Upgrades!$P$17,I366)*POWER(Upgrades!$P$18,J366)*POWER(Upgrades!$P$19,K366)*POWER(Upgrades!$P$20,L366)*POWER(Upgrades!$P$21,M366))*(IF(Upgrades!$T$13="Brown Dwarf",POWER(Upgrades!$U$13,E366),1)*IF(Upgrades!$T$14="Brown Dwarf",POWER(Upgrades!$U$14,F366),1)*IF(Upgrades!$T$15="Brown Dwarf",POWER(Upgrades!$U$15,G366),1)*IF(Upgrades!$T$16="Brown Dwarf",POWER(Upgrades!$U$16,H366),1)*IF(Upgrades!$T$18="Brown Dwarf",POWER(Upgrades!$U$18,J366),1)*IF(Upgrades!$T$19="Brown Dwarf",POWER(Upgrades!$U$19,K366),1)*IF(Upgrades!$T$20="Brown Dwarf",POWER(Upgrades!$U$20,L366),1)*IF(Upgrades!$T$21="Brown Dwarf",POWER(Upgrades!$U$21,M366),1))*$F$6+(((IF(H366=0,0,(Upgrades!$M$16+H366*Upgrades!$N$16)*POWER(Upgrades!$O$16,H366)))*(IF(Upgrades!$T$13="Roche Lobe Overflow",POWER(Upgrades!$U$13,E366),1)*IF(Upgrades!$T$14="Roche Lobe Overflow",POWER(Upgrades!$U$14,F366),1)*IF(Upgrades!$T$15="Roche Lobe Overflow",POWER(Upgrades!$U$15,G366),1)*IF(Upgrades!$T$17="Roche Lobe Overflow",POWER(Upgrades!$U$17,I366),1)*IF(Upgrades!$T$18="Roche Lobe Overflow",POWER(Upgrades!$U$18,J366),1)*IF(Upgrades!$T$19="Roche Lobe Overflow",POWER(Upgrades!$U$19,K366),1)*IF(Upgrades!$T$20="Roche Lobe Overflow",POWER(Upgrades!$U$20,L366),1)*IF(Upgrades!$T$21="Roche Lobe Overflow",POWER(Upgrades!$U$21,M366),1))*POWER(Upgrades!$R$13,E366)*POWER(Upgrades!$R$14,F366)*POWER(Upgrades!$R$15,G366)*POWER(Upgrades!$R$16,H366)*POWER(Upgrades!$R$17,I366)*POWER(Upgrades!$R$18,J366)*POWER(Upgrades!$R$19,K366)*POWER(Upgrades!$R$20,L366)*POWER(Upgrades!$R$21,M366)*$H$6)*O366)*0.10)/AO366,0)</f>
        <v/>
      </c>
      <c r="BD366" s="32">
        <f>MAX(IF(J366&gt;0,0,IFERROR(0.5*((IF(G366=0,0,(Upgrades!$J$15+G366*Upgrades!$K$15)*POWER(Upgrades!$L$15,G366)))*(IF(Upgrades!$T$13="Microlensing",POWER(Upgrades!$U$13,E366),1)*IF(Upgrades!$T$14="Microlensing",POWER(Upgrades!$U$14,F366),1)*IF(Upgrades!$T$16="Microlensing",POWER(Upgrades!$U$16,H366),1)*IF(Upgrades!$T$17="Microlensing",POWER(Upgrades!$U$17,I366),1)*IF(Upgrades!$T$18="Microlensing",POWER(Upgrades!$U$18,J366),1)*IF(Upgrades!$T$19="Microlensing",POWER(Upgrades!$U$19,K366),1)*IF(Upgrades!$T$20="Microlensing",POWER(Upgrades!$U$20,L366),1)*IF(Upgrades!$T$21="Microlensing",POWER(Upgrades!$U$21,M366),1))*(POWER(Upgrades!$Q$13,E366)*POWER(Upgrades!$Q$14,F366)*POWER(Upgrades!$Q$15,G366)*POWER(Upgrades!$Q$16,H366)*POWER(Upgrades!$Q$17,I366)*POWER(Upgrades!$Q$18,J366)*POWER(Upgrades!$Q$19,K366)*POWER(Upgrades!$Q$20,L366)*POWER(Upgrades!$Q$21,M366))*$G$6*(Parameters!$B$10/60*Parameters!$B$11+Q366))/Upgrades!$C$18,0)),IF(K366&gt;0,0,IFERROR(0.30*P366/Upgrades!$C$19,0)),IF(L366&gt;0,0,IFERROR(0.0001/Upgrades!$C$20,0)),IF(M366&gt;0,0,IFERROR((6.0*(POWER(Upgrades!$P$13,E366)*POWER(Upgrades!$P$14,F366)*POWER(Upgrades!$P$15,G366)*POWER(Upgrades!$P$16,H366)*POWER(Upgrades!$P$17,I366)*POWER(Upgrades!$P$18,J366)*POWER(Upgrades!$P$19,K366)*POWER(Upgrades!$P$20,L366)*POWER(Upgrades!$P$21,M366))*$F$6+0.20*O366*(Parameters!$B$10/60*Parameters!$B$11+Q366))/Upgrades!$C$21,0)),IF(AND(ISNUMBER(AK366),AK366&gt;(C366+T366)),AY366,0),IF(AND(ISNUMBER(AL366),AL366&gt;(C366+T366)),AZ366,0),IF(AND(ISNUMBER(AM366),AM366&gt;(C366+T366)),BA366,0),IF(AND(ISNUMBER(AN366),AN366&gt;(C366+T366)),BB366,0),IF(AND(ISNUMBER(AO366),AO366&gt;(C366+T366)),BC366,0))</f>
        <v/>
      </c>
      <c r="BE366" s="29">
        <f>IF(AT366=1,"transition",IF(MIN(IF(AND(J366=0,ISNUMBER(AP366),AP366&lt;=(C366+T366)),AP366,9E15),IF(AND(K366=0,ISNUMBER(AQ366),AQ366&lt;=(C366+T366)),AQ366,9E15),IF(AND(L366=0,ISNUMBER(AR366),AR366&lt;=(C366+T366)),AR366,9E15),IF(AND(M366=0,ISNUMBER(AS366),AS366&lt;=(C366+T366)),AS366,9E15))&lt;9E15,IF(AND(AND(J366=0,ISNUMBER(AP366),AP366&lt;=(C366+T366)),AP366=MIN(IF(AND(J366=0,ISNUMBER(AP366),AP366&lt;=(C366+T366)),AP366,9E15),IF(AND(K366=0,ISNUMBER(AQ366),AQ366&lt;=(C366+T366)),AQ366,9E15),IF(AND(L366=0,ISNUMBER(AR366),AR366&lt;=(C366+T366)),AR366,9E15),IF(AND(M366=0,ISNUMBER(AS366),AS366&lt;=(C366+T366)),AS366,9E15))),"BiP",IF(AND(AND(K366=0,ISNUMBER(AQ366),AQ366&lt;=(C366+T366)),AQ366=MIN(IF(AND(J366=0,ISNUMBER(AP366),AP366&lt;=(C366+T366)),AP366,9E15),IF(AND(K366=0,ISNUMBER(AQ366),AQ366&lt;=(C366+T366)),AQ366,9E15),IF(AND(L366=0,ISNUMBER(AR366),AR366&lt;=(C366+T366)),AR366,9E15),IF(AND(M366=0,ISNUMBER(AS366),AS366&lt;=(C366+T366)),AS366,9E15))),"PV",IF(AND(AND(L366=0,ISNUMBER(AR366),AR366&lt;=(C366+T366)),AR366=MIN(IF(AND(J366=0,ISNUMBER(AP366),AP366&lt;=(C366+T366)),AP366,9E15),IF(AND(K366=0,ISNUMBER(AQ366),AQ366&lt;=(C366+T366)),AQ366,9E15),IF(AND(L366=0,ISNUMBER(AR366),AR366&lt;=(C366+T366)),AR366,9E15),IF(AND(M366=0,ISNUMBER(AS366),AS366&lt;=(C366+T366)),AS366,9E15))),"OC","MG"))),IF(AX366=TRUE,"",IF(MAX(IF(AND(NOT(AND(AU366=1,AT366&lt;&gt;1)),ISNUMBER(AK366),AK366&lt;=(C366+T366)),AY366,0),IF(AND(NOT(AND(AU366=1,AT366&lt;&gt;1)),ISNUMBER(AL366),AL366&lt;=(C366+T366)),AZ366,0),IF(AND(NOT(AND(AU366=1,AT366&lt;&gt;1)),ISNUMBER(AM366),AM366&lt;=(C366+T366)),BA366,0),IF(AND(NOT(AND(AU366=1,AT366&lt;&gt;1)),ISNUMBER(AN366),AN366&lt;=(C366+T366)),BB366,0),IF(AND(ISNUMBER(AO366),AO366&lt;=(C366+T366)),BC366,0))&lt;=0,"",IF(AND(IF(AND(NOT(AND(AU366=1,AT366&lt;&gt;1)),ISNUMBER(AK366),AK366&lt;=(C366+T366)),AY366,0)&gt;0,IF(AND(NOT(AND(AU366=1,AT366&lt;&gt;1)),ISNUMBER(AK366),AK366&lt;=(C366+T366)),AY366,0)=MAX(IF(AND(NOT(AND(AU366=1,AT366&lt;&gt;1)),ISNUMBER(AK366),AK366&lt;=(C366+T366)),AY366,0),IF(AND(NOT(AND(AU366=1,AT366&lt;&gt;1)),ISNUMBER(AL366),AL366&lt;=(C366+T366)),AZ366,0),IF(AND(NOT(AND(AU366=1,AT366&lt;&gt;1)),ISNUMBER(AM366),AM366&lt;=(C366+T366)),BA366,0),IF(AND(NOT(AND(AU366=1,AT366&lt;&gt;1)),ISNUMBER(AN366),AN366&lt;=(C366+T366)),BB366,0),IF(AND(ISNUMBER(AO366),AO366&lt;=(C366+T366)),BC366,0))),"SK",IF(AND(IF(AND(NOT(AND(AU366=1,AT366&lt;&gt;1)),ISNUMBER(AL366),AL366&lt;=(C366+T366)),AZ366,0)&gt;0,IF(AND(NOT(AND(AU366=1,AT366&lt;&gt;1)),ISNUMBER(AL366),AL366&lt;=(C366+T366)),AZ366,0)=MAX(IF(AND(NOT(AND(AU366=1,AT366&lt;&gt;1)),ISNUMBER(AK366),AK366&lt;=(C366+T366)),AY366,0),IF(AND(NOT(AND(AU366=1,AT366&lt;&gt;1)),ISNUMBER(AL366),AL366&lt;=(C366+T366)),AZ366,0),IF(AND(NOT(AND(AU366=1,AT366&lt;&gt;1)),ISNUMBER(AM366),AM366&lt;=(C366+T366)),BA366,0),IF(AND(NOT(AND(AU366=1,AT366&lt;&gt;1)),ISNUMBER(AN366),AN366&lt;=(C366+T366)),BB366,0),IF(AND(ISNUMBER(AO366),AO366&lt;=(C366+T366)),BC366,0))),"LB",IF(AND(IF(AND(NOT(AND(AU366=1,AT366&lt;&gt;1)),ISNUMBER(AM366),AM366&lt;=(C366+T366)),BA366,0)&gt;0,IF(AND(NOT(AND(AU366=1,AT366&lt;&gt;1)),ISNUMBER(AM366),AM366&lt;=(C366+T366)),BA366,0)=MAX(IF(AND(NOT(AND(AU366=1,AT366&lt;&gt;1)),ISNUMBER(AK366),AK366&lt;=(C366+T366)),AY366,0),IF(AND(NOT(AND(AU366=1,AT366&lt;&gt;1)),ISNUMBER(AL366),AL366&lt;=(C366+T366)),AZ366,0),IF(AND(NOT(AND(AU366=1,AT366&lt;&gt;1)),ISNUMBER(AM366),AM366&lt;=(C366+T366)),BA366,0),IF(AND(NOT(AND(AU366=1,AT366&lt;&gt;1)),ISNUMBER(AN366),AN366&lt;=(C366+T366)),BB366,0),IF(AND(ISNUMBER(AO366),AO366&lt;=(C366+T366)),BC366,0))),"ML",IF(AND(IF(AND(NOT(AND(AU366=1,AT366&lt;&gt;1)),ISNUMBER(AN366),AN366&lt;=(C366+T366)),BB366,0)&gt;0,IF(AND(NOT(AND(AU366=1,AT366&lt;&gt;1)),ISNUMBER(AN366),AN366&lt;=(C366+T366)),BB366,0)=MAX(IF(AND(NOT(AND(AU366=1,AT366&lt;&gt;1)),ISNUMBER(AK366),AK366&lt;=(C366+T366)),AY366,0),IF(AND(NOT(AND(AU366=1,AT366&lt;&gt;1)),ISNUMBER(AL366),AL366&lt;=(C366+T366)),AZ366,0),IF(AND(NOT(AND(AU366=1,AT366&lt;&gt;1)),ISNUMBER(AM366),AM366&lt;=(C366+T366)),BA366,0),IF(AND(NOT(AND(AU366=1,AT366&lt;&gt;1)),ISNUMBER(AN366),AN366&lt;=(C366+T366)),BB366,0),IF(AND(ISNUMBER(AO366),AO366&lt;=(C366+T366)),BC366,0))),"RLO","BD"))))))))</f>
        <v/>
      </c>
    </row>
    <row r="367">
      <c r="A367" s="26" t="n">
        <v>356</v>
      </c>
      <c r="B367" s="27">
        <f>A367*10/60</f>
        <v/>
      </c>
      <c r="C367" s="22">
        <f>X366</f>
        <v/>
      </c>
      <c r="D367" s="27">
        <f>D366+W366</f>
        <v/>
      </c>
      <c r="E367" s="26">
        <f>E366+IF(U366="SK",1,0)</f>
        <v/>
      </c>
      <c r="F367" s="26">
        <f>F366+IF(U366="LB",1,0)</f>
        <v/>
      </c>
      <c r="G367" s="26">
        <f>G366+IF(U366="ML",1,0)</f>
        <v/>
      </c>
      <c r="H367" s="26">
        <f>H366+IF(U366="RLO",1,0)</f>
        <v/>
      </c>
      <c r="I367" s="26">
        <f>I366+IF(U366="BD",1,0)</f>
        <v/>
      </c>
      <c r="J367" s="26">
        <f>MAX(J366,IF(U366="BiP",1,0))</f>
        <v/>
      </c>
      <c r="K367" s="26">
        <f>MAX(K366,IF(U366="PV",1,0))</f>
        <v/>
      </c>
      <c r="L367" s="26">
        <f>MAX(L366,IF(U366="OC",1,0))</f>
        <v/>
      </c>
      <c r="M367" s="26">
        <f>MAX(M366,IF(U366="MG",1,0))</f>
        <v/>
      </c>
      <c r="N367" s="26">
        <f>MAX(N366,IF(U366="transition",1,0))</f>
        <v/>
      </c>
      <c r="O367" s="28">
        <f>(Parameters!$B$9+(IF(E367=0,0,(Upgrades!$J$13+E367*Upgrades!$K$13)*POWER(Upgrades!$L$13,E367)))*(IF(Upgrades!$T$14="Stellar Kinematics",POWER(Upgrades!$U$14,F367),1)*IF(Upgrades!$T$15="Stellar Kinematics",POWER(Upgrades!$U$15,G367),1)*IF(Upgrades!$T$16="Stellar Kinematics",POWER(Upgrades!$U$16,H367),1)*IF(Upgrades!$T$17="Stellar Kinematics",POWER(Upgrades!$U$17,I367),1)*IF(Upgrades!$T$18="Stellar Kinematics",POWER(Upgrades!$U$18,J367),1)*IF(Upgrades!$T$19="Stellar Kinematics",POWER(Upgrades!$U$19,K367),1)*IF(Upgrades!$T$20="Stellar Kinematics",POWER(Upgrades!$U$20,L367),1)*IF(Upgrades!$T$21="Stellar Kinematics",POWER(Upgrades!$U$21,M367),1))+(IF(F367=0,0,(Upgrades!$J$14+F367*Upgrades!$K$14)*POWER(Upgrades!$L$14,F367)))*(IF(Upgrades!$T$13="Local Bubble",POWER(Upgrades!$U$13,E367),1)*IF(Upgrades!$T$15="Local Bubble",POWER(Upgrades!$U$15,G367),1)*IF(Upgrades!$T$16="Local Bubble",POWER(Upgrades!$U$16,H367),1)*IF(Upgrades!$T$17="Local Bubble",POWER(Upgrades!$U$17,I367),1)*IF(Upgrades!$T$18="Local Bubble",POWER(Upgrades!$U$18,J367),1)*IF(Upgrades!$T$19="Local Bubble",POWER(Upgrades!$U$19,K367),1)*IF(Upgrades!$T$20="Local Bubble",POWER(Upgrades!$U$20,L367),1)*IF(Upgrades!$T$21="Local Bubble",POWER(Upgrades!$U$21,M367),1))+(IF(G367=0,0,(Upgrades!$J$15+G367*Upgrades!$K$15)*POWER(Upgrades!$L$15,G367)))*(IF(Upgrades!$T$13="Microlensing",POWER(Upgrades!$U$13,E367),1)*IF(Upgrades!$T$14="Microlensing",POWER(Upgrades!$U$14,F367),1)*IF(Upgrades!$T$16="Microlensing",POWER(Upgrades!$U$16,H367),1)*IF(Upgrades!$T$17="Microlensing",POWER(Upgrades!$U$17,I367),1)*IF(Upgrades!$T$18="Microlensing",POWER(Upgrades!$U$18,J367),1)*IF(Upgrades!$T$19="Microlensing",POWER(Upgrades!$U$19,K367),1)*IF(Upgrades!$T$20="Microlensing",POWER(Upgrades!$U$20,L367),1)*IF(Upgrades!$T$21="Microlensing",POWER(Upgrades!$U$21,M367),1))+(IF(H367=0,0,(Upgrades!$J$16+H367*Upgrades!$K$16)*POWER(Upgrades!$L$16,H367)))*(IF(Upgrades!$T$13="Roche Lobe Overflow",POWER(Upgrades!$U$13,E367),1)*IF(Upgrades!$T$14="Roche Lobe Overflow",POWER(Upgrades!$U$14,F367),1)*IF(Upgrades!$T$15="Roche Lobe Overflow",POWER(Upgrades!$U$15,G367),1)*IF(Upgrades!$T$17="Roche Lobe Overflow",POWER(Upgrades!$U$17,I367),1)*IF(Upgrades!$T$18="Roche Lobe Overflow",POWER(Upgrades!$U$18,J367),1)*IF(Upgrades!$T$19="Roche Lobe Overflow",POWER(Upgrades!$U$19,K367),1)*IF(Upgrades!$T$20="Roche Lobe Overflow",POWER(Upgrades!$U$20,L367),1)*IF(Upgrades!$T$21="Roche Lobe Overflow",POWER(Upgrades!$U$21,M367),1))+(IF(I367=0,0,(Upgrades!$J$17+I367*Upgrades!$K$17)*POWER(Upgrades!$L$17,I367)))*(IF(Upgrades!$T$13="Brown Dwarf",POWER(Upgrades!$U$13,E367),1)*IF(Upgrades!$T$14="Brown Dwarf",POWER(Upgrades!$U$14,F367),1)*IF(Upgrades!$T$15="Brown Dwarf",POWER(Upgrades!$U$15,G367),1)*IF(Upgrades!$T$16="Brown Dwarf",POWER(Upgrades!$U$16,H367),1)*IF(Upgrades!$T$18="Brown Dwarf",POWER(Upgrades!$U$18,J367),1)*IF(Upgrades!$T$19="Brown Dwarf",POWER(Upgrades!$U$19,K367),1)*IF(Upgrades!$T$20="Brown Dwarf",POWER(Upgrades!$U$20,L367),1)*IF(Upgrades!$T$21="Brown Dwarf",POWER(Upgrades!$U$21,M367),1))+(IF(J367=0,0,(Upgrades!$J$18+J367*Upgrades!$K$18)*POWER(Upgrades!$L$18,J367)))*(IF(Upgrades!$T$13="Binary Partner",POWER(Upgrades!$U$13,E367),1)*IF(Upgrades!$T$14="Binary Partner",POWER(Upgrades!$U$14,F367),1)*IF(Upgrades!$T$15="Binary Partner",POWER(Upgrades!$U$15,G367),1)*IF(Upgrades!$T$16="Binary Partner",POWER(Upgrades!$U$16,H367),1)*IF(Upgrades!$T$17="Binary Partner",POWER(Upgrades!$U$17,I367),1)*IF(Upgrades!$T$19="Binary Partner",POWER(Upgrades!$U$19,K367),1)*IF(Upgrades!$T$20="Binary Partner",POWER(Upgrades!$U$20,L367),1)*IF(Upgrades!$T$21="Binary Partner",POWER(Upgrades!$U$21,M367),1))+(IF(K367=0,0,(Upgrades!$J$19+K367*Upgrades!$K$19)*POWER(Upgrades!$L$19,K367)))*(IF(Upgrades!$T$13="Peculiar Velocity",POWER(Upgrades!$U$13,E367),1)*IF(Upgrades!$T$14="Peculiar Velocity",POWER(Upgrades!$U$14,F367),1)*IF(Upgrades!$T$15="Peculiar Velocity",POWER(Upgrades!$U$15,G367),1)*IF(Upgrades!$T$16="Peculiar Velocity",POWER(Upgrades!$U$16,H367),1)*IF(Upgrades!$T$17="Peculiar Velocity",POWER(Upgrades!$U$17,I367),1)*IF(Upgrades!$T$18="Peculiar Velocity",POWER(Upgrades!$U$18,J367),1)*IF(Upgrades!$T$20="Peculiar Velocity",POWER(Upgrades!$U$20,L367),1)*IF(Upgrades!$T$21="Peculiar Velocity",POWER(Upgrades!$U$21,M367),1))+(IF(L367=0,0,(Upgrades!$J$20+L367*Upgrades!$K$20)*POWER(Upgrades!$L$20,L367)))*(IF(Upgrades!$T$13="Open Cluster",POWER(Upgrades!$U$13,E367),1)*IF(Upgrades!$T$14="Open Cluster",POWER(Upgrades!$U$14,F367),1)*IF(Upgrades!$T$15="Open Cluster",POWER(Upgrades!$U$15,G367),1)*IF(Upgrades!$T$16="Open Cluster",POWER(Upgrades!$U$16,H367),1)*IF(Upgrades!$T$17="Open Cluster",POWER(Upgrades!$U$17,I367),1)*IF(Upgrades!$T$18="Open Cluster",POWER(Upgrades!$U$18,J367),1)*IF(Upgrades!$T$19="Open Cluster",POWER(Upgrades!$U$19,K367),1)*IF(Upgrades!$T$21="Open Cluster",POWER(Upgrades!$U$21,M367),1))+(IF(M367=0,0,(Upgrades!$J$21+M367*Upgrades!$K$21)*POWER(Upgrades!$L$21,M367)))*(IF(Upgrades!$T$13="Moving Group",POWER(Upgrades!$U$13,E367),1)*IF(Upgrades!$T$14="Moving Group",POWER(Upgrades!$U$14,F367),1)*IF(Upgrades!$T$15="Moving Group",POWER(Upgrades!$U$15,G367),1)*IF(Upgrades!$T$16="Moving Group",POWER(Upgrades!$U$16,H367),1)*IF(Upgrades!$T$17="Moving Group",POWER(Upgrades!$U$17,I367),1)*IF(Upgrades!$T$18="Moving Group",POWER(Upgrades!$U$18,J367),1)*IF(Upgrades!$T$19="Moving Group",POWER(Upgrades!$U$19,K367),1)*IF(Upgrades!$T$20="Moving Group",POWER(Upgrades!$U$20,L367),1)))*POWER(Upgrades!$Q$13,E367)*POWER(Upgrades!$Q$14,F367)*POWER(Upgrades!$Q$15,G367)*POWER(Upgrades!$Q$16,H367)*POWER(Upgrades!$Q$17,I367)*POWER(Upgrades!$Q$18,J367)*POWER(Upgrades!$Q$19,K367)*POWER(Upgrades!$Q$20,L367)*POWER(Upgrades!$Q$21,M367)*$G$6+$D$6</f>
        <v/>
      </c>
      <c r="P367" s="28">
        <f>((IF(E367=0,0,(Upgrades!$G$13+E367*Upgrades!$H$13)*POWER(Upgrades!$I$13,E367)))*(IF(Upgrades!$T$14="Stellar Kinematics",POWER(Upgrades!$U$14,F367),1)*IF(Upgrades!$T$15="Stellar Kinematics",POWER(Upgrades!$U$15,G367),1)*IF(Upgrades!$T$16="Stellar Kinematics",POWER(Upgrades!$U$16,H367),1)*IF(Upgrades!$T$17="Stellar Kinematics",POWER(Upgrades!$U$17,I367),1)*IF(Upgrades!$T$18="Stellar Kinematics",POWER(Upgrades!$U$18,J367),1)*IF(Upgrades!$T$19="Stellar Kinematics",POWER(Upgrades!$U$19,K367),1)*IF(Upgrades!$T$20="Stellar Kinematics",POWER(Upgrades!$U$20,L367),1)*IF(Upgrades!$T$21="Stellar Kinematics",POWER(Upgrades!$U$21,M367),1))+(IF(F367=0,0,(Upgrades!$G$14+F367*Upgrades!$H$14)*POWER(Upgrades!$I$14,F367)))*(IF(Upgrades!$T$13="Local Bubble",POWER(Upgrades!$U$13,E367),1)*IF(Upgrades!$T$15="Local Bubble",POWER(Upgrades!$U$15,G367),1)*IF(Upgrades!$T$16="Local Bubble",POWER(Upgrades!$U$16,H367),1)*IF(Upgrades!$T$17="Local Bubble",POWER(Upgrades!$U$17,I367),1)*IF(Upgrades!$T$18="Local Bubble",POWER(Upgrades!$U$18,J367),1)*IF(Upgrades!$T$19="Local Bubble",POWER(Upgrades!$U$19,K367),1)*IF(Upgrades!$T$20="Local Bubble",POWER(Upgrades!$U$20,L367),1)*IF(Upgrades!$T$21="Local Bubble",POWER(Upgrades!$U$21,M367),1))+(IF(G367=0,0,(Upgrades!$G$15+G367*Upgrades!$H$15)*POWER(Upgrades!$I$15,G367)))*(IF(Upgrades!$T$13="Microlensing",POWER(Upgrades!$U$13,E367),1)*IF(Upgrades!$T$14="Microlensing",POWER(Upgrades!$U$14,F367),1)*IF(Upgrades!$T$16="Microlensing",POWER(Upgrades!$U$16,H367),1)*IF(Upgrades!$T$17="Microlensing",POWER(Upgrades!$U$17,I367),1)*IF(Upgrades!$T$18="Microlensing",POWER(Upgrades!$U$18,J367),1)*IF(Upgrades!$T$19="Microlensing",POWER(Upgrades!$U$19,K367),1)*IF(Upgrades!$T$20="Microlensing",POWER(Upgrades!$U$20,L367),1)*IF(Upgrades!$T$21="Microlensing",POWER(Upgrades!$U$21,M367),1))+(IF(H367=0,0,(Upgrades!$G$16+H367*Upgrades!$H$16)*POWER(Upgrades!$I$16,H367)))*(IF(Upgrades!$T$13="Roche Lobe Overflow",POWER(Upgrades!$U$13,E367),1)*IF(Upgrades!$T$14="Roche Lobe Overflow",POWER(Upgrades!$U$14,F367),1)*IF(Upgrades!$T$15="Roche Lobe Overflow",POWER(Upgrades!$U$15,G367),1)*IF(Upgrades!$T$17="Roche Lobe Overflow",POWER(Upgrades!$U$17,I367),1)*IF(Upgrades!$T$18="Roche Lobe Overflow",POWER(Upgrades!$U$18,J367),1)*IF(Upgrades!$T$19="Roche Lobe Overflow",POWER(Upgrades!$U$19,K367),1)*IF(Upgrades!$T$20="Roche Lobe Overflow",POWER(Upgrades!$U$20,L367),1)*IF(Upgrades!$T$21="Roche Lobe Overflow",POWER(Upgrades!$U$21,M367),1))+(IF(I367=0,0,(Upgrades!$G$17+I367*Upgrades!$H$17)*POWER(Upgrades!$I$17,I367)))*(IF(Upgrades!$T$13="Brown Dwarf",POWER(Upgrades!$U$13,E367),1)*IF(Upgrades!$T$14="Brown Dwarf",POWER(Upgrades!$U$14,F367),1)*IF(Upgrades!$T$15="Brown Dwarf",POWER(Upgrades!$U$15,G367),1)*IF(Upgrades!$T$16="Brown Dwarf",POWER(Upgrades!$U$16,H367),1)*IF(Upgrades!$T$18="Brown Dwarf",POWER(Upgrades!$U$18,J367),1)*IF(Upgrades!$T$19="Brown Dwarf",POWER(Upgrades!$U$19,K367),1)*IF(Upgrades!$T$20="Brown Dwarf",POWER(Upgrades!$U$20,L367),1)*IF(Upgrades!$T$21="Brown Dwarf",POWER(Upgrades!$U$21,M367),1))+(IF(J367=0,0,(Upgrades!$G$18+J367*Upgrades!$H$18)*POWER(Upgrades!$I$18,J367)))*(IF(Upgrades!$T$13="Binary Partner",POWER(Upgrades!$U$13,E367),1)*IF(Upgrades!$T$14="Binary Partner",POWER(Upgrades!$U$14,F367),1)*IF(Upgrades!$T$15="Binary Partner",POWER(Upgrades!$U$15,G367),1)*IF(Upgrades!$T$16="Binary Partner",POWER(Upgrades!$U$16,H367),1)*IF(Upgrades!$T$17="Binary Partner",POWER(Upgrades!$U$17,I367),1)*IF(Upgrades!$T$19="Binary Partner",POWER(Upgrades!$U$19,K367),1)*IF(Upgrades!$T$20="Binary Partner",POWER(Upgrades!$U$20,L367),1)*IF(Upgrades!$T$21="Binary Partner",POWER(Upgrades!$U$21,M367),1))+(IF(K367=0,0,(Upgrades!$G$19+K367*Upgrades!$H$19)*POWER(Upgrades!$I$19,K367)))*(IF(Upgrades!$T$13="Peculiar Velocity",POWER(Upgrades!$U$13,E367),1)*IF(Upgrades!$T$14="Peculiar Velocity",POWER(Upgrades!$U$14,F367),1)*IF(Upgrades!$T$15="Peculiar Velocity",POWER(Upgrades!$U$15,G367),1)*IF(Upgrades!$T$16="Peculiar Velocity",POWER(Upgrades!$U$16,H367),1)*IF(Upgrades!$T$17="Peculiar Velocity",POWER(Upgrades!$U$17,I367),1)*IF(Upgrades!$T$18="Peculiar Velocity",POWER(Upgrades!$U$18,J367),1)*IF(Upgrades!$T$20="Peculiar Velocity",POWER(Upgrades!$U$20,L367),1)*IF(Upgrades!$T$21="Peculiar Velocity",POWER(Upgrades!$U$21,M367),1))+(IF(L367=0,0,(Upgrades!$G$20+L367*Upgrades!$H$20)*POWER(Upgrades!$I$20,L367)))*(IF(Upgrades!$T$13="Open Cluster",POWER(Upgrades!$U$13,E367),1)*IF(Upgrades!$T$14="Open Cluster",POWER(Upgrades!$U$14,F367),1)*IF(Upgrades!$T$15="Open Cluster",POWER(Upgrades!$U$15,G367),1)*IF(Upgrades!$T$16="Open Cluster",POWER(Upgrades!$U$16,H367),1)*IF(Upgrades!$T$17="Open Cluster",POWER(Upgrades!$U$17,I367),1)*IF(Upgrades!$T$18="Open Cluster",POWER(Upgrades!$U$18,J367),1)*IF(Upgrades!$T$19="Open Cluster",POWER(Upgrades!$U$19,K367),1)*IF(Upgrades!$T$21="Open Cluster",POWER(Upgrades!$U$21,M367),1))+(IF(M367=0,0,(Upgrades!$G$21+M367*Upgrades!$H$21)*POWER(Upgrades!$I$21,M367)))*(IF(Upgrades!$T$13="Moving Group",POWER(Upgrades!$U$13,E367),1)*IF(Upgrades!$T$14="Moving Group",POWER(Upgrades!$U$14,F367),1)*IF(Upgrades!$T$15="Moving Group",POWER(Upgrades!$U$15,G367),1)*IF(Upgrades!$T$16="Moving Group",POWER(Upgrades!$U$16,H367),1)*IF(Upgrades!$T$17="Moving Group",POWER(Upgrades!$U$17,I367),1)*IF(Upgrades!$T$18="Moving Group",POWER(Upgrades!$U$18,J367),1)*IF(Upgrades!$T$19="Moving Group",POWER(Upgrades!$U$19,K367),1)*IF(Upgrades!$T$20="Moving Group",POWER(Upgrades!$U$20,L367),1)))*POWER(Upgrades!$P$13,E367)*POWER(Upgrades!$P$14,F367)*POWER(Upgrades!$P$15,G367)*POWER(Upgrades!$P$16,H367)*POWER(Upgrades!$P$17,I367)*POWER(Upgrades!$P$18,J367)*POWER(Upgrades!$P$19,K367)*POWER(Upgrades!$P$20,L367)*POWER(Upgrades!$P$21,M367)*$F$6+$C$6</f>
        <v/>
      </c>
      <c r="Q367" s="28">
        <f>((IF(E367=0,0,(Upgrades!$M$13+E367*Upgrades!$N$13)*POWER(Upgrades!$O$13,E367)))*(IF(Upgrades!$T$14="Stellar Kinematics",POWER(Upgrades!$U$14,F367),1)*IF(Upgrades!$T$15="Stellar Kinematics",POWER(Upgrades!$U$15,G367),1)*IF(Upgrades!$T$16="Stellar Kinematics",POWER(Upgrades!$U$16,H367),1)*IF(Upgrades!$T$17="Stellar Kinematics",POWER(Upgrades!$U$17,I367),1)*IF(Upgrades!$T$18="Stellar Kinematics",POWER(Upgrades!$U$18,J367),1)*IF(Upgrades!$T$19="Stellar Kinematics",POWER(Upgrades!$U$19,K367),1)*IF(Upgrades!$T$20="Stellar Kinematics",POWER(Upgrades!$U$20,L367),1)*IF(Upgrades!$T$21="Stellar Kinematics",POWER(Upgrades!$U$21,M367),1))+(IF(F367=0,0,(Upgrades!$M$14+F367*Upgrades!$N$14)*POWER(Upgrades!$O$14,F367)))*(IF(Upgrades!$T$13="Local Bubble",POWER(Upgrades!$U$13,E367),1)*IF(Upgrades!$T$15="Local Bubble",POWER(Upgrades!$U$15,G367),1)*IF(Upgrades!$T$16="Local Bubble",POWER(Upgrades!$U$16,H367),1)*IF(Upgrades!$T$17="Local Bubble",POWER(Upgrades!$U$17,I367),1)*IF(Upgrades!$T$18="Local Bubble",POWER(Upgrades!$U$18,J367),1)*IF(Upgrades!$T$19="Local Bubble",POWER(Upgrades!$U$19,K367),1)*IF(Upgrades!$T$20="Local Bubble",POWER(Upgrades!$U$20,L367),1)*IF(Upgrades!$T$21="Local Bubble",POWER(Upgrades!$U$21,M367),1))+(IF(G367=0,0,(Upgrades!$M$15+G367*Upgrades!$N$15)*POWER(Upgrades!$O$15,G367)))*(IF(Upgrades!$T$13="Microlensing",POWER(Upgrades!$U$13,E367),1)*IF(Upgrades!$T$14="Microlensing",POWER(Upgrades!$U$14,F367),1)*IF(Upgrades!$T$16="Microlensing",POWER(Upgrades!$U$16,H367),1)*IF(Upgrades!$T$17="Microlensing",POWER(Upgrades!$U$17,I367),1)*IF(Upgrades!$T$18="Microlensing",POWER(Upgrades!$U$18,J367),1)*IF(Upgrades!$T$19="Microlensing",POWER(Upgrades!$U$19,K367),1)*IF(Upgrades!$T$20="Microlensing",POWER(Upgrades!$U$20,L367),1)*IF(Upgrades!$T$21="Microlensing",POWER(Upgrades!$U$21,M367),1))+(IF(H367=0,0,(Upgrades!$M$16+H367*Upgrades!$N$16)*POWER(Upgrades!$O$16,H367)))*(IF(Upgrades!$T$13="Roche Lobe Overflow",POWER(Upgrades!$U$13,E367),1)*IF(Upgrades!$T$14="Roche Lobe Overflow",POWER(Upgrades!$U$14,F367),1)*IF(Upgrades!$T$15="Roche Lobe Overflow",POWER(Upgrades!$U$15,G367),1)*IF(Upgrades!$T$17="Roche Lobe Overflow",POWER(Upgrades!$U$17,I367),1)*IF(Upgrades!$T$18="Roche Lobe Overflow",POWER(Upgrades!$U$18,J367),1)*IF(Upgrades!$T$19="Roche Lobe Overflow",POWER(Upgrades!$U$19,K367),1)*IF(Upgrades!$T$20="Roche Lobe Overflow",POWER(Upgrades!$U$20,L367),1)*IF(Upgrades!$T$21="Roche Lobe Overflow",POWER(Upgrades!$U$21,M367),1))+(IF(I367=0,0,(Upgrades!$M$17+I367*Upgrades!$N$17)*POWER(Upgrades!$O$17,I367)))*(IF(Upgrades!$T$13="Brown Dwarf",POWER(Upgrades!$U$13,E367),1)*IF(Upgrades!$T$14="Brown Dwarf",POWER(Upgrades!$U$14,F367),1)*IF(Upgrades!$T$15="Brown Dwarf",POWER(Upgrades!$U$15,G367),1)*IF(Upgrades!$T$16="Brown Dwarf",POWER(Upgrades!$U$16,H367),1)*IF(Upgrades!$T$18="Brown Dwarf",POWER(Upgrades!$U$18,J367),1)*IF(Upgrades!$T$19="Brown Dwarf",POWER(Upgrades!$U$19,K367),1)*IF(Upgrades!$T$20="Brown Dwarf",POWER(Upgrades!$U$20,L367),1)*IF(Upgrades!$T$21="Brown Dwarf",POWER(Upgrades!$U$21,M367),1))+(IF(J367=0,0,(Upgrades!$M$18+J367*Upgrades!$N$18)*POWER(Upgrades!$O$18,J367)))*(IF(Upgrades!$T$13="Binary Partner",POWER(Upgrades!$U$13,E367),1)*IF(Upgrades!$T$14="Binary Partner",POWER(Upgrades!$U$14,F367),1)*IF(Upgrades!$T$15="Binary Partner",POWER(Upgrades!$U$15,G367),1)*IF(Upgrades!$T$16="Binary Partner",POWER(Upgrades!$U$16,H367),1)*IF(Upgrades!$T$17="Binary Partner",POWER(Upgrades!$U$17,I367),1)*IF(Upgrades!$T$19="Binary Partner",POWER(Upgrades!$U$19,K367),1)*IF(Upgrades!$T$20="Binary Partner",POWER(Upgrades!$U$20,L367),1)*IF(Upgrades!$T$21="Binary Partner",POWER(Upgrades!$U$21,M367),1))+(IF(K367=0,0,(Upgrades!$M$19+K367*Upgrades!$N$19)*POWER(Upgrades!$O$19,K367)))*(IF(Upgrades!$T$13="Peculiar Velocity",POWER(Upgrades!$U$13,E367),1)*IF(Upgrades!$T$14="Peculiar Velocity",POWER(Upgrades!$U$14,F367),1)*IF(Upgrades!$T$15="Peculiar Velocity",POWER(Upgrades!$U$15,G367),1)*IF(Upgrades!$T$16="Peculiar Velocity",POWER(Upgrades!$U$16,H367),1)*IF(Upgrades!$T$17="Peculiar Velocity",POWER(Upgrades!$U$17,I367),1)*IF(Upgrades!$T$18="Peculiar Velocity",POWER(Upgrades!$U$18,J367),1)*IF(Upgrades!$T$20="Peculiar Velocity",POWER(Upgrades!$U$20,L367),1)*IF(Upgrades!$T$21="Peculiar Velocity",POWER(Upgrades!$U$21,M367),1))+(IF(L367=0,0,(Upgrades!$M$20+L367*Upgrades!$N$20)*POWER(Upgrades!$O$20,L367)))*(IF(Upgrades!$T$13="Open Cluster",POWER(Upgrades!$U$13,E367),1)*IF(Upgrades!$T$14="Open Cluster",POWER(Upgrades!$U$14,F367),1)*IF(Upgrades!$T$15="Open Cluster",POWER(Upgrades!$U$15,G367),1)*IF(Upgrades!$T$16="Open Cluster",POWER(Upgrades!$U$16,H367),1)*IF(Upgrades!$T$17="Open Cluster",POWER(Upgrades!$U$17,I367),1)*IF(Upgrades!$T$18="Open Cluster",POWER(Upgrades!$U$18,J367),1)*IF(Upgrades!$T$19="Open Cluster",POWER(Upgrades!$U$19,K367),1)*IF(Upgrades!$T$21="Open Cluster",POWER(Upgrades!$U$21,M367),1))+(IF(M367=0,0,(Upgrades!$M$21+M367*Upgrades!$N$21)*POWER(Upgrades!$O$21,M367)))*(IF(Upgrades!$T$13="Moving Group",POWER(Upgrades!$U$13,E367),1)*IF(Upgrades!$T$14="Moving Group",POWER(Upgrades!$U$14,F367),1)*IF(Upgrades!$T$15="Moving Group",POWER(Upgrades!$U$15,G367),1)*IF(Upgrades!$T$16="Moving Group",POWER(Upgrades!$U$16,H367),1)*IF(Upgrades!$T$17="Moving Group",POWER(Upgrades!$U$17,I367),1)*IF(Upgrades!$T$18="Moving Group",POWER(Upgrades!$U$18,J367),1)*IF(Upgrades!$T$19="Moving Group",POWER(Upgrades!$U$19,K367),1)*IF(Upgrades!$T$20="Moving Group",POWER(Upgrades!$U$20,L367),1)))*POWER(Upgrades!$R$13,E367)*POWER(Upgrades!$R$14,F367)*POWER(Upgrades!$R$15,G367)*POWER(Upgrades!$R$16,H367)*POWER(Upgrades!$R$17,I367)*POWER(Upgrades!$R$18,J367)*POWER(Upgrades!$R$19,K367)*POWER(Upgrades!$R$20,L367)*POWER(Upgrades!$R$21,M367)*$H$6+$E$6</f>
        <v/>
      </c>
      <c r="R367" s="27">
        <f>IF(N367=1,0,O367*Parameters!$B$10/60*Parameters!$B$11*10)</f>
        <v/>
      </c>
      <c r="S367" s="27">
        <f>IF(N367=1,0,Q367*O367*10)</f>
        <v/>
      </c>
      <c r="T367" s="27">
        <f>IF(N367=1,0,R367+S367+P367*10)</f>
        <v/>
      </c>
      <c r="U367" s="33">
        <f>BE367</f>
        <v/>
      </c>
      <c r="V367" s="22">
        <f>IF(U367="",0,IF(U367="transition",0,IF(U367="SK",AK367,IF(U367="LB",AL367,IF(U367="ML",AM367,IF(U367="RLO",AN367,IF(U367="BD",AO367,IF(U367="BiP",AP367,IF(U367="PV",AQ367,IF(U367="OC",AR367,IF(U367="MG",AS367,0))))))))))</f>
        <v/>
      </c>
      <c r="W367" s="27">
        <f>IF(U367="BiP",Upgrades!$F$18,IF(U367="PV",Upgrades!$F$19,IF(U367="OC",Upgrades!$F$20,IF(U367="MG",Upgrades!$F$21,IF(U367="transition",-Parameters!$B$18*Parameters!$B$19,0)))))</f>
        <v/>
      </c>
      <c r="X367" s="22">
        <f>C367+T367-V367</f>
        <v/>
      </c>
      <c r="Y367" s="30">
        <f>O367*Parameters!$B$10/60*Parameters!$B$11+Q367*O367+P367</f>
        <v/>
      </c>
      <c r="Z367" s="34">
        <f>IF(U367="transition","→ Tier 3 (Galactic Arm)",IF(U367="MG","Moving Group — pocket drifts together",IF(U367="OC","Open Cluster acquired",IF(U367="PV","Peculiar Velocity — passive multiplier active",IF(U367="BiP","Binary Partner — pair bond formed",IF(AND(AU367=1,N367=0,AT367&lt;&gt;1),"Cohesion ready (waiting on completionists)","")))))) </f>
        <v/>
      </c>
      <c r="AA367" s="27">
        <f>(IF(E367=0,0,(Upgrades!$G$13+E367*Upgrades!$H$13)*POWER(Upgrades!$I$13,E367)))*(IF(Upgrades!$T$14="Stellar Kinematics",POWER(Upgrades!$U$14,F367),1)*IF(Upgrades!$T$15="Stellar Kinematics",POWER(Upgrades!$U$15,G367),1)*IF(Upgrades!$T$16="Stellar Kinematics",POWER(Upgrades!$U$16,H367),1)*IF(Upgrades!$T$17="Stellar Kinematics",POWER(Upgrades!$U$17,I367),1)*IF(Upgrades!$T$18="Stellar Kinematics",POWER(Upgrades!$U$18,J367),1)*IF(Upgrades!$T$19="Stellar Kinematics",POWER(Upgrades!$U$19,K367),1)*IF(Upgrades!$T$20="Stellar Kinematics",POWER(Upgrades!$U$20,L367),1)*IF(Upgrades!$T$21="Stellar Kinematics",POWER(Upgrades!$U$21,M367),1))*POWER(Upgrades!$P$13,E367)*POWER(Upgrades!$P$14,F367)*POWER(Upgrades!$P$15,G367)*POWER(Upgrades!$P$16,H367)*POWER(Upgrades!$P$17,I367)*POWER(Upgrades!$P$18,J367)*POWER(Upgrades!$P$19,K367)*POWER(Upgrades!$P$20,L367)*POWER(Upgrades!$P$21,M367)*$F$6*60</f>
        <v/>
      </c>
      <c r="AB367" s="27">
        <f>(IF(F367=0,0,(Upgrades!$G$14+F367*Upgrades!$H$14)*POWER(Upgrades!$I$14,F367)))*(IF(Upgrades!$T$13="Local Bubble",POWER(Upgrades!$U$13,E367),1)*IF(Upgrades!$T$15="Local Bubble",POWER(Upgrades!$U$15,G367),1)*IF(Upgrades!$T$16="Local Bubble",POWER(Upgrades!$U$16,H367),1)*IF(Upgrades!$T$17="Local Bubble",POWER(Upgrades!$U$17,I367),1)*IF(Upgrades!$T$18="Local Bubble",POWER(Upgrades!$U$18,J367),1)*IF(Upgrades!$T$19="Local Bubble",POWER(Upgrades!$U$19,K367),1)*IF(Upgrades!$T$20="Local Bubble",POWER(Upgrades!$U$20,L367),1)*IF(Upgrades!$T$21="Local Bubble",POWER(Upgrades!$U$21,M367),1))*POWER(Upgrades!$P$13,E367)*POWER(Upgrades!$P$14,F367)*POWER(Upgrades!$P$15,G367)*POWER(Upgrades!$P$16,H367)*POWER(Upgrades!$P$17,I367)*POWER(Upgrades!$P$18,J367)*POWER(Upgrades!$P$19,K367)*POWER(Upgrades!$P$20,L367)*POWER(Upgrades!$P$21,M367)*$F$6*60</f>
        <v/>
      </c>
      <c r="AC367" s="27">
        <f>(IF(G367=0,0,(Upgrades!$J$15+G367*Upgrades!$K$15)*POWER(Upgrades!$L$15,G367)))*(IF(Upgrades!$T$13="Microlensing",POWER(Upgrades!$U$13,E367),1)*IF(Upgrades!$T$14="Microlensing",POWER(Upgrades!$U$14,F367),1)*IF(Upgrades!$T$16="Microlensing",POWER(Upgrades!$U$16,H367),1)*IF(Upgrades!$T$17="Microlensing",POWER(Upgrades!$U$17,I367),1)*IF(Upgrades!$T$18="Microlensing",POWER(Upgrades!$U$18,J367),1)*IF(Upgrades!$T$19="Microlensing",POWER(Upgrades!$U$19,K367),1)*IF(Upgrades!$T$20="Microlensing",POWER(Upgrades!$U$20,L367),1)*IF(Upgrades!$T$21="Microlensing",POWER(Upgrades!$U$21,M367),1))*POWER(Upgrades!$Q$13,E367)*POWER(Upgrades!$Q$14,F367)*POWER(Upgrades!$Q$15,G367)*POWER(Upgrades!$Q$16,H367)*POWER(Upgrades!$Q$17,I367)*POWER(Upgrades!$Q$18,J367)*POWER(Upgrades!$Q$19,K367)*POWER(Upgrades!$Q$20,L367)*POWER(Upgrades!$Q$21,M367)*$G$6*(Parameters!$B$10*Parameters!$B$11+Q367*60)</f>
        <v/>
      </c>
      <c r="AD367" s="27">
        <f>(IF(H367=0,0,(Upgrades!$M$16+H367*Upgrades!$N$16)*POWER(Upgrades!$O$16,H367)))*(IF(Upgrades!$T$13="Roche Lobe Overflow",POWER(Upgrades!$U$13,E367),1)*IF(Upgrades!$T$14="Roche Lobe Overflow",POWER(Upgrades!$U$14,F367),1)*IF(Upgrades!$T$15="Roche Lobe Overflow",POWER(Upgrades!$U$15,G367),1)*IF(Upgrades!$T$17="Roche Lobe Overflow",POWER(Upgrades!$U$17,I367),1)*IF(Upgrades!$T$18="Roche Lobe Overflow",POWER(Upgrades!$U$18,J367),1)*IF(Upgrades!$T$19="Roche Lobe Overflow",POWER(Upgrades!$U$19,K367),1)*IF(Upgrades!$T$20="Roche Lobe Overflow",POWER(Upgrades!$U$20,L367),1)*IF(Upgrades!$T$21="Roche Lobe Overflow",POWER(Upgrades!$U$21,M367),1))*POWER(Upgrades!$R$13,E367)*POWER(Upgrades!$R$14,F367)*POWER(Upgrades!$R$15,G367)*POWER(Upgrades!$R$16,H367)*POWER(Upgrades!$R$17,I367)*POWER(Upgrades!$R$18,J367)*POWER(Upgrades!$R$19,K367)*POWER(Upgrades!$R$20,L367)*POWER(Upgrades!$R$21,M367)*$H$6*O367*60</f>
        <v/>
      </c>
      <c r="AE367" s="27">
        <f>(IF(I367=0,0,(Upgrades!$G$17+I367*Upgrades!$H$17)*POWER(Upgrades!$I$17,I367)))*(IF(Upgrades!$T$13="Brown Dwarf",POWER(Upgrades!$U$13,E367),1)*IF(Upgrades!$T$14="Brown Dwarf",POWER(Upgrades!$U$14,F367),1)*IF(Upgrades!$T$15="Brown Dwarf",POWER(Upgrades!$U$15,G367),1)*IF(Upgrades!$T$16="Brown Dwarf",POWER(Upgrades!$U$16,H367),1)*IF(Upgrades!$T$18="Brown Dwarf",POWER(Upgrades!$U$18,J367),1)*IF(Upgrades!$T$19="Brown Dwarf",POWER(Upgrades!$U$19,K367),1)*IF(Upgrades!$T$20="Brown Dwarf",POWER(Upgrades!$U$20,L367),1)*IF(Upgrades!$T$21="Brown Dwarf",POWER(Upgrades!$U$21,M367),1))*POWER(Upgrades!$P$13,E367)*POWER(Upgrades!$P$14,F367)*POWER(Upgrades!$P$15,G367)*POWER(Upgrades!$P$16,H367)*POWER(Upgrades!$P$17,I367)*POWER(Upgrades!$P$18,J367)*POWER(Upgrades!$P$19,K367)*POWER(Upgrades!$P$20,L367)*POWER(Upgrades!$P$21,M367)*$F$6*60</f>
        <v/>
      </c>
      <c r="AF367" s="27" t="n">
        <v>0</v>
      </c>
      <c r="AG367" s="27" t="n">
        <v>0</v>
      </c>
      <c r="AH367" s="27" t="n">
        <v>0</v>
      </c>
      <c r="AI367" s="27">
        <f>(IF(M367=0,0,(Upgrades!$G$21+M367*Upgrades!$H$21)*POWER(Upgrades!$I$21,M367)))*(IF(Upgrades!$T$13="Moving Group",POWER(Upgrades!$U$13,E367),1)*IF(Upgrades!$T$14="Moving Group",POWER(Upgrades!$U$14,F367),1)*IF(Upgrades!$T$15="Moving Group",POWER(Upgrades!$U$15,G367),1)*IF(Upgrades!$T$16="Moving Group",POWER(Upgrades!$U$16,H367),1)*IF(Upgrades!$T$17="Moving Group",POWER(Upgrades!$U$17,I367),1)*IF(Upgrades!$T$18="Moving Group",POWER(Upgrades!$U$18,J367),1)*IF(Upgrades!$T$19="Moving Group",POWER(Upgrades!$U$19,K367),1)*IF(Upgrades!$T$20="Moving Group",POWER(Upgrades!$U$20,L367),1))*POWER(Upgrades!$P$13,E367)*POWER(Upgrades!$P$14,F367)*POWER(Upgrades!$P$15,G367)*POWER(Upgrades!$P$16,H367)*POWER(Upgrades!$P$17,I367)*POWER(Upgrades!$P$18,J367)*POWER(Upgrades!$P$19,K367)*POWER(Upgrades!$P$20,L367)*POWER(Upgrades!$P$21,M367)*$F$6*60</f>
        <v/>
      </c>
      <c r="AJ367" s="27">
        <f>$C$6*60</f>
        <v/>
      </c>
      <c r="AK367" s="22">
        <f>IF(E367&gt;=Upgrades!$E$13,"",Upgrades!$C$13*POWER(Upgrades!$D$13,E367))</f>
        <v/>
      </c>
      <c r="AL367" s="22">
        <f>IF(F367&gt;=Upgrades!$E$14,"",Upgrades!$C$14*POWER(Upgrades!$D$14,F367))</f>
        <v/>
      </c>
      <c r="AM367" s="22">
        <f>IF(G367&gt;=Upgrades!$E$15,"",Upgrades!$C$15*POWER(Upgrades!$D$15,G367))</f>
        <v/>
      </c>
      <c r="AN367" s="22">
        <f>IF(H367&gt;=Upgrades!$E$16,"",Upgrades!$C$16*POWER(Upgrades!$D$16,H367))</f>
        <v/>
      </c>
      <c r="AO367" s="22">
        <f>IF(I367&gt;=Upgrades!$E$17,"",Upgrades!$C$17*POWER(Upgrades!$D$17,I367))</f>
        <v/>
      </c>
      <c r="AP367" s="22">
        <f>IF(J367&gt;=Upgrades!$E$18,"",Upgrades!$C$18*POWER(Upgrades!$D$18,J367))</f>
        <v/>
      </c>
      <c r="AQ367" s="22">
        <f>IF(K367&gt;=Upgrades!$E$19,"",Upgrades!$C$19*POWER(Upgrades!$D$19,K367))</f>
        <v/>
      </c>
      <c r="AR367" s="22">
        <f>IF(L367&gt;=Upgrades!$E$20,"",Upgrades!$C$20*POWER(Upgrades!$D$20,L367))</f>
        <v/>
      </c>
      <c r="AS367" s="22">
        <f>IF(M367&gt;=Upgrades!$E$21,"",Upgrades!$C$21*POWER(Upgrades!$D$21,M367))</f>
        <v/>
      </c>
      <c r="AT367" s="26">
        <f>IF(AND(D367&gt;=Parameters!$B$18*Parameters!$B$19,(I367&gt;=Upgrades!$E$17)*(M367&gt;=Upgrades!$E$21)=1,N367=0),1,"")</f>
        <v/>
      </c>
      <c r="AU367" s="26">
        <f>IF(AND(D367&gt;=Parameters!$B$18*Parameters!$B$19,N367=0),1,"")</f>
        <v/>
      </c>
      <c r="AV367" s="22">
        <f>MIN(IF(ISNUMBER(AP367),AP367,9E15),IF(ISNUMBER(AQ367),AQ367,9E15),IF(ISNUMBER(AR367),AR367,9E15),IF(ISNUMBER(AS367),AS367,9E15))</f>
        <v/>
      </c>
      <c r="AW367" s="22">
        <f>MIN(IF(ISNUMBER(AK367),AK367,9E15),IF(ISNUMBER(AL367),AL367,9E15),IF(ISNUMBER(AM367),AM367,9E15),IF(ISNUMBER(AN367),AN367,9E15),IF(ISNUMBER(AO367),AO367,9E15))</f>
        <v/>
      </c>
      <c r="AX367" s="29">
        <f>IF(BD367&gt;Parameters!$B$21*(MAX(IF(AND(NOT(AND(AU367=1,AT367&lt;&gt;1)),ISNUMBER(AK367),AK367&lt;=(C367+T367)),AY367,0),IF(AND(NOT(AND(AU367=1,AT367&lt;&gt;1)),ISNUMBER(AL367),AL367&lt;=(C367+T367)),AZ367,0),IF(AND(NOT(AND(AU367=1,AT367&lt;&gt;1)),ISNUMBER(AM367),AM367&lt;=(C367+T367)),BA367,0),IF(AND(NOT(AND(AU367=1,AT367&lt;&gt;1)),ISNUMBER(AN367),AN367&lt;=(C367+T367)),BB367,0),IF(AND(ISNUMBER(AO367),AO367&lt;=(C367+T367)),BC367,0))),TRUE,FALSE)</f>
        <v/>
      </c>
      <c r="AY367" s="32">
        <f>IFERROR(Upgrades!$H$13*(POWER(Upgrades!$P$13,E367)*POWER(Upgrades!$P$14,F367)*POWER(Upgrades!$P$15,G367)*POWER(Upgrades!$P$16,H367)*POWER(Upgrades!$P$17,I367)*POWER(Upgrades!$P$18,J367)*POWER(Upgrades!$P$19,K367)*POWER(Upgrades!$P$20,L367)*POWER(Upgrades!$P$21,M367))*(IF(Upgrades!$T$14="Stellar Kinematics",POWER(Upgrades!$U$14,F367),1)*IF(Upgrades!$T$15="Stellar Kinematics",POWER(Upgrades!$U$15,G367),1)*IF(Upgrades!$T$16="Stellar Kinematics",POWER(Upgrades!$U$16,H367),1)*IF(Upgrades!$T$17="Stellar Kinematics",POWER(Upgrades!$U$17,I367),1)*IF(Upgrades!$T$18="Stellar Kinematics",POWER(Upgrades!$U$18,J367),1)*IF(Upgrades!$T$19="Stellar Kinematics",POWER(Upgrades!$U$19,K367),1)*IF(Upgrades!$T$20="Stellar Kinematics",POWER(Upgrades!$U$20,L367),1)*IF(Upgrades!$T$21="Stellar Kinematics",POWER(Upgrades!$U$21,M367),1))*$F$6/AK367,0)</f>
        <v/>
      </c>
      <c r="AZ367" s="32">
        <f>IFERROR(Upgrades!$H$14*(POWER(Upgrades!$P$13,E367)*POWER(Upgrades!$P$14,F367)*POWER(Upgrades!$P$15,G367)*POWER(Upgrades!$P$16,H367)*POWER(Upgrades!$P$17,I367)*POWER(Upgrades!$P$18,J367)*POWER(Upgrades!$P$19,K367)*POWER(Upgrades!$P$20,L367)*POWER(Upgrades!$P$21,M367))*(IF(Upgrades!$T$13="Local Bubble",POWER(Upgrades!$U$13,E367),1)*IF(Upgrades!$T$15="Local Bubble",POWER(Upgrades!$U$15,G367),1)*IF(Upgrades!$T$16="Local Bubble",POWER(Upgrades!$U$16,H367),1)*IF(Upgrades!$T$17="Local Bubble",POWER(Upgrades!$U$17,I367),1)*IF(Upgrades!$T$18="Local Bubble",POWER(Upgrades!$U$18,J367),1)*IF(Upgrades!$T$19="Local Bubble",POWER(Upgrades!$U$19,K367),1)*IF(Upgrades!$T$20="Local Bubble",POWER(Upgrades!$U$20,L367),1)*IF(Upgrades!$T$21="Local Bubble",POWER(Upgrades!$U$21,M367),1))*$F$6/AL367,0)</f>
        <v/>
      </c>
      <c r="BA367" s="32">
        <f>IFERROR(Upgrades!$K$15*(POWER(Upgrades!$Q$13,E367)*POWER(Upgrades!$Q$14,F367)*POWER(Upgrades!$Q$15,G367)*POWER(Upgrades!$Q$16,H367)*POWER(Upgrades!$Q$17,I367)*POWER(Upgrades!$Q$18,J367)*POWER(Upgrades!$Q$19,K367)*POWER(Upgrades!$Q$20,L367)*POWER(Upgrades!$Q$21,M367))*(IF(Upgrades!$T$13="Microlensing",POWER(Upgrades!$U$13,E367),1)*IF(Upgrades!$T$14="Microlensing",POWER(Upgrades!$U$14,F367),1)*IF(Upgrades!$T$16="Microlensing",POWER(Upgrades!$U$16,H367),1)*IF(Upgrades!$T$17="Microlensing",POWER(Upgrades!$U$17,I367),1)*IF(Upgrades!$T$18="Microlensing",POWER(Upgrades!$U$18,J367),1)*IF(Upgrades!$T$19="Microlensing",POWER(Upgrades!$U$19,K367),1)*IF(Upgrades!$T$20="Microlensing",POWER(Upgrades!$U$20,L367),1)*IF(Upgrades!$T$21="Microlensing",POWER(Upgrades!$U$21,M367),1))*$G$6*(Parameters!$B$10/60*Parameters!$B$11+Q367)/AM367,0)</f>
        <v/>
      </c>
      <c r="BB367" s="32">
        <f>IFERROR((Upgrades!$N$16*(POWER(Upgrades!$R$13,E367)*POWER(Upgrades!$R$14,F367)*POWER(Upgrades!$R$15,G367)*POWER(Upgrades!$R$16,H367)*POWER(Upgrades!$R$17,I367)*POWER(Upgrades!$R$18,J367)*POWER(Upgrades!$R$19,K367)*POWER(Upgrades!$R$20,L367)*POWER(Upgrades!$R$21,M367))*(IF(Upgrades!$T$13="Roche Lobe Overflow",POWER(Upgrades!$U$13,E367),1)*IF(Upgrades!$T$14="Roche Lobe Overflow",POWER(Upgrades!$U$14,F367),1)*IF(Upgrades!$T$15="Roche Lobe Overflow",POWER(Upgrades!$U$15,G367),1)*IF(Upgrades!$T$17="Roche Lobe Overflow",POWER(Upgrades!$U$17,I367),1)*IF(Upgrades!$T$18="Roche Lobe Overflow",POWER(Upgrades!$U$18,J367),1)*IF(Upgrades!$T$19="Roche Lobe Overflow",POWER(Upgrades!$U$19,K367),1)*IF(Upgrades!$T$20="Roche Lobe Overflow",POWER(Upgrades!$U$20,L367),1)*IF(Upgrades!$T$21="Roche Lobe Overflow",POWER(Upgrades!$U$21,M367),1))*$H$6*O367+((IF(F367=0,0,(Upgrades!$G$14+F367*Upgrades!$H$14)*POWER(Upgrades!$I$14,F367)))*(IF(Upgrades!$T$13="Local Bubble",POWER(Upgrades!$U$13,E367),1)*IF(Upgrades!$T$15="Local Bubble",POWER(Upgrades!$U$15,G367),1)*IF(Upgrades!$T$16="Local Bubble",POWER(Upgrades!$U$16,H367),1)*IF(Upgrades!$T$17="Local Bubble",POWER(Upgrades!$U$17,I367),1)*IF(Upgrades!$T$18="Local Bubble",POWER(Upgrades!$U$18,J367),1)*IF(Upgrades!$T$19="Local Bubble",POWER(Upgrades!$U$19,K367),1)*IF(Upgrades!$T$20="Local Bubble",POWER(Upgrades!$U$20,L367),1)*IF(Upgrades!$T$21="Local Bubble",POWER(Upgrades!$U$21,M367),1))*POWER(Upgrades!$P$13,E367)*POWER(Upgrades!$P$14,F367)*POWER(Upgrades!$P$15,G367)*POWER(Upgrades!$P$16,H367)*POWER(Upgrades!$P$17,I367)*POWER(Upgrades!$P$18,J367)*POWER(Upgrades!$P$19,K367)*POWER(Upgrades!$P$20,L367)*POWER(Upgrades!$P$21,M367)*$F$6)*0.05)/AN367,0)</f>
        <v/>
      </c>
      <c r="BC367" s="32">
        <f>IFERROR((Upgrades!$H$17*(POWER(Upgrades!$P$13,E367)*POWER(Upgrades!$P$14,F367)*POWER(Upgrades!$P$15,G367)*POWER(Upgrades!$P$16,H367)*POWER(Upgrades!$P$17,I367)*POWER(Upgrades!$P$18,J367)*POWER(Upgrades!$P$19,K367)*POWER(Upgrades!$P$20,L367)*POWER(Upgrades!$P$21,M367))*(IF(Upgrades!$T$13="Brown Dwarf",POWER(Upgrades!$U$13,E367),1)*IF(Upgrades!$T$14="Brown Dwarf",POWER(Upgrades!$U$14,F367),1)*IF(Upgrades!$T$15="Brown Dwarf",POWER(Upgrades!$U$15,G367),1)*IF(Upgrades!$T$16="Brown Dwarf",POWER(Upgrades!$U$16,H367),1)*IF(Upgrades!$T$18="Brown Dwarf",POWER(Upgrades!$U$18,J367),1)*IF(Upgrades!$T$19="Brown Dwarf",POWER(Upgrades!$U$19,K367),1)*IF(Upgrades!$T$20="Brown Dwarf",POWER(Upgrades!$U$20,L367),1)*IF(Upgrades!$T$21="Brown Dwarf",POWER(Upgrades!$U$21,M367),1))*$F$6+(((IF(H367=0,0,(Upgrades!$M$16+H367*Upgrades!$N$16)*POWER(Upgrades!$O$16,H367)))*(IF(Upgrades!$T$13="Roche Lobe Overflow",POWER(Upgrades!$U$13,E367),1)*IF(Upgrades!$T$14="Roche Lobe Overflow",POWER(Upgrades!$U$14,F367),1)*IF(Upgrades!$T$15="Roche Lobe Overflow",POWER(Upgrades!$U$15,G367),1)*IF(Upgrades!$T$17="Roche Lobe Overflow",POWER(Upgrades!$U$17,I367),1)*IF(Upgrades!$T$18="Roche Lobe Overflow",POWER(Upgrades!$U$18,J367),1)*IF(Upgrades!$T$19="Roche Lobe Overflow",POWER(Upgrades!$U$19,K367),1)*IF(Upgrades!$T$20="Roche Lobe Overflow",POWER(Upgrades!$U$20,L367),1)*IF(Upgrades!$T$21="Roche Lobe Overflow",POWER(Upgrades!$U$21,M367),1))*POWER(Upgrades!$R$13,E367)*POWER(Upgrades!$R$14,F367)*POWER(Upgrades!$R$15,G367)*POWER(Upgrades!$R$16,H367)*POWER(Upgrades!$R$17,I367)*POWER(Upgrades!$R$18,J367)*POWER(Upgrades!$R$19,K367)*POWER(Upgrades!$R$20,L367)*POWER(Upgrades!$R$21,M367)*$H$6)*O367)*0.10)/AO367,0)</f>
        <v/>
      </c>
      <c r="BD367" s="32">
        <f>MAX(IF(J367&gt;0,0,IFERROR(0.5*((IF(G367=0,0,(Upgrades!$J$15+G367*Upgrades!$K$15)*POWER(Upgrades!$L$15,G367)))*(IF(Upgrades!$T$13="Microlensing",POWER(Upgrades!$U$13,E367),1)*IF(Upgrades!$T$14="Microlensing",POWER(Upgrades!$U$14,F367),1)*IF(Upgrades!$T$16="Microlensing",POWER(Upgrades!$U$16,H367),1)*IF(Upgrades!$T$17="Microlensing",POWER(Upgrades!$U$17,I367),1)*IF(Upgrades!$T$18="Microlensing",POWER(Upgrades!$U$18,J367),1)*IF(Upgrades!$T$19="Microlensing",POWER(Upgrades!$U$19,K367),1)*IF(Upgrades!$T$20="Microlensing",POWER(Upgrades!$U$20,L367),1)*IF(Upgrades!$T$21="Microlensing",POWER(Upgrades!$U$21,M367),1))*(POWER(Upgrades!$Q$13,E367)*POWER(Upgrades!$Q$14,F367)*POWER(Upgrades!$Q$15,G367)*POWER(Upgrades!$Q$16,H367)*POWER(Upgrades!$Q$17,I367)*POWER(Upgrades!$Q$18,J367)*POWER(Upgrades!$Q$19,K367)*POWER(Upgrades!$Q$20,L367)*POWER(Upgrades!$Q$21,M367))*$G$6*(Parameters!$B$10/60*Parameters!$B$11+Q367))/Upgrades!$C$18,0)),IF(K367&gt;0,0,IFERROR(0.30*P367/Upgrades!$C$19,0)),IF(L367&gt;0,0,IFERROR(0.0001/Upgrades!$C$20,0)),IF(M367&gt;0,0,IFERROR((6.0*(POWER(Upgrades!$P$13,E367)*POWER(Upgrades!$P$14,F367)*POWER(Upgrades!$P$15,G367)*POWER(Upgrades!$P$16,H367)*POWER(Upgrades!$P$17,I367)*POWER(Upgrades!$P$18,J367)*POWER(Upgrades!$P$19,K367)*POWER(Upgrades!$P$20,L367)*POWER(Upgrades!$P$21,M367))*$F$6+0.20*O367*(Parameters!$B$10/60*Parameters!$B$11+Q367))/Upgrades!$C$21,0)),IF(AND(ISNUMBER(AK367),AK367&gt;(C367+T367)),AY367,0),IF(AND(ISNUMBER(AL367),AL367&gt;(C367+T367)),AZ367,0),IF(AND(ISNUMBER(AM367),AM367&gt;(C367+T367)),BA367,0),IF(AND(ISNUMBER(AN367),AN367&gt;(C367+T367)),BB367,0),IF(AND(ISNUMBER(AO367),AO367&gt;(C367+T367)),BC367,0))</f>
        <v/>
      </c>
      <c r="BE367" s="29">
        <f>IF(AT367=1,"transition",IF(MIN(IF(AND(J367=0,ISNUMBER(AP367),AP367&lt;=(C367+T367)),AP367,9E15),IF(AND(K367=0,ISNUMBER(AQ367),AQ367&lt;=(C367+T367)),AQ367,9E15),IF(AND(L367=0,ISNUMBER(AR367),AR367&lt;=(C367+T367)),AR367,9E15),IF(AND(M367=0,ISNUMBER(AS367),AS367&lt;=(C367+T367)),AS367,9E15))&lt;9E15,IF(AND(AND(J367=0,ISNUMBER(AP367),AP367&lt;=(C367+T367)),AP367=MIN(IF(AND(J367=0,ISNUMBER(AP367),AP367&lt;=(C367+T367)),AP367,9E15),IF(AND(K367=0,ISNUMBER(AQ367),AQ367&lt;=(C367+T367)),AQ367,9E15),IF(AND(L367=0,ISNUMBER(AR367),AR367&lt;=(C367+T367)),AR367,9E15),IF(AND(M367=0,ISNUMBER(AS367),AS367&lt;=(C367+T367)),AS367,9E15))),"BiP",IF(AND(AND(K367=0,ISNUMBER(AQ367),AQ367&lt;=(C367+T367)),AQ367=MIN(IF(AND(J367=0,ISNUMBER(AP367),AP367&lt;=(C367+T367)),AP367,9E15),IF(AND(K367=0,ISNUMBER(AQ367),AQ367&lt;=(C367+T367)),AQ367,9E15),IF(AND(L367=0,ISNUMBER(AR367),AR367&lt;=(C367+T367)),AR367,9E15),IF(AND(M367=0,ISNUMBER(AS367),AS367&lt;=(C367+T367)),AS367,9E15))),"PV",IF(AND(AND(L367=0,ISNUMBER(AR367),AR367&lt;=(C367+T367)),AR367=MIN(IF(AND(J367=0,ISNUMBER(AP367),AP367&lt;=(C367+T367)),AP367,9E15),IF(AND(K367=0,ISNUMBER(AQ367),AQ367&lt;=(C367+T367)),AQ367,9E15),IF(AND(L367=0,ISNUMBER(AR367),AR367&lt;=(C367+T367)),AR367,9E15),IF(AND(M367=0,ISNUMBER(AS367),AS367&lt;=(C367+T367)),AS367,9E15))),"OC","MG"))),IF(AX367=TRUE,"",IF(MAX(IF(AND(NOT(AND(AU367=1,AT367&lt;&gt;1)),ISNUMBER(AK367),AK367&lt;=(C367+T367)),AY367,0),IF(AND(NOT(AND(AU367=1,AT367&lt;&gt;1)),ISNUMBER(AL367),AL367&lt;=(C367+T367)),AZ367,0),IF(AND(NOT(AND(AU367=1,AT367&lt;&gt;1)),ISNUMBER(AM367),AM367&lt;=(C367+T367)),BA367,0),IF(AND(NOT(AND(AU367=1,AT367&lt;&gt;1)),ISNUMBER(AN367),AN367&lt;=(C367+T367)),BB367,0),IF(AND(ISNUMBER(AO367),AO367&lt;=(C367+T367)),BC367,0))&lt;=0,"",IF(AND(IF(AND(NOT(AND(AU367=1,AT367&lt;&gt;1)),ISNUMBER(AK367),AK367&lt;=(C367+T367)),AY367,0)&gt;0,IF(AND(NOT(AND(AU367=1,AT367&lt;&gt;1)),ISNUMBER(AK367),AK367&lt;=(C367+T367)),AY367,0)=MAX(IF(AND(NOT(AND(AU367=1,AT367&lt;&gt;1)),ISNUMBER(AK367),AK367&lt;=(C367+T367)),AY367,0),IF(AND(NOT(AND(AU367=1,AT367&lt;&gt;1)),ISNUMBER(AL367),AL367&lt;=(C367+T367)),AZ367,0),IF(AND(NOT(AND(AU367=1,AT367&lt;&gt;1)),ISNUMBER(AM367),AM367&lt;=(C367+T367)),BA367,0),IF(AND(NOT(AND(AU367=1,AT367&lt;&gt;1)),ISNUMBER(AN367),AN367&lt;=(C367+T367)),BB367,0),IF(AND(ISNUMBER(AO367),AO367&lt;=(C367+T367)),BC367,0))),"SK",IF(AND(IF(AND(NOT(AND(AU367=1,AT367&lt;&gt;1)),ISNUMBER(AL367),AL367&lt;=(C367+T367)),AZ367,0)&gt;0,IF(AND(NOT(AND(AU367=1,AT367&lt;&gt;1)),ISNUMBER(AL367),AL367&lt;=(C367+T367)),AZ367,0)=MAX(IF(AND(NOT(AND(AU367=1,AT367&lt;&gt;1)),ISNUMBER(AK367),AK367&lt;=(C367+T367)),AY367,0),IF(AND(NOT(AND(AU367=1,AT367&lt;&gt;1)),ISNUMBER(AL367),AL367&lt;=(C367+T367)),AZ367,0),IF(AND(NOT(AND(AU367=1,AT367&lt;&gt;1)),ISNUMBER(AM367),AM367&lt;=(C367+T367)),BA367,0),IF(AND(NOT(AND(AU367=1,AT367&lt;&gt;1)),ISNUMBER(AN367),AN367&lt;=(C367+T367)),BB367,0),IF(AND(ISNUMBER(AO367),AO367&lt;=(C367+T367)),BC367,0))),"LB",IF(AND(IF(AND(NOT(AND(AU367=1,AT367&lt;&gt;1)),ISNUMBER(AM367),AM367&lt;=(C367+T367)),BA367,0)&gt;0,IF(AND(NOT(AND(AU367=1,AT367&lt;&gt;1)),ISNUMBER(AM367),AM367&lt;=(C367+T367)),BA367,0)=MAX(IF(AND(NOT(AND(AU367=1,AT367&lt;&gt;1)),ISNUMBER(AK367),AK367&lt;=(C367+T367)),AY367,0),IF(AND(NOT(AND(AU367=1,AT367&lt;&gt;1)),ISNUMBER(AL367),AL367&lt;=(C367+T367)),AZ367,0),IF(AND(NOT(AND(AU367=1,AT367&lt;&gt;1)),ISNUMBER(AM367),AM367&lt;=(C367+T367)),BA367,0),IF(AND(NOT(AND(AU367=1,AT367&lt;&gt;1)),ISNUMBER(AN367),AN367&lt;=(C367+T367)),BB367,0),IF(AND(ISNUMBER(AO367),AO367&lt;=(C367+T367)),BC367,0))),"ML",IF(AND(IF(AND(NOT(AND(AU367=1,AT367&lt;&gt;1)),ISNUMBER(AN367),AN367&lt;=(C367+T367)),BB367,0)&gt;0,IF(AND(NOT(AND(AU367=1,AT367&lt;&gt;1)),ISNUMBER(AN367),AN367&lt;=(C367+T367)),BB367,0)=MAX(IF(AND(NOT(AND(AU367=1,AT367&lt;&gt;1)),ISNUMBER(AK367),AK367&lt;=(C367+T367)),AY367,0),IF(AND(NOT(AND(AU367=1,AT367&lt;&gt;1)),ISNUMBER(AL367),AL367&lt;=(C367+T367)),AZ367,0),IF(AND(NOT(AND(AU367=1,AT367&lt;&gt;1)),ISNUMBER(AM367),AM367&lt;=(C367+T367)),BA367,0),IF(AND(NOT(AND(AU367=1,AT367&lt;&gt;1)),ISNUMBER(AN367),AN367&lt;=(C367+T367)),BB367,0),IF(AND(ISNUMBER(AO367),AO367&lt;=(C367+T367)),BC367,0))),"RLO","BD"))))))))</f>
        <v/>
      </c>
    </row>
    <row r="368">
      <c r="A368" s="26" t="n">
        <v>357</v>
      </c>
      <c r="B368" s="27">
        <f>A368*10/60</f>
        <v/>
      </c>
      <c r="C368" s="22">
        <f>X367</f>
        <v/>
      </c>
      <c r="D368" s="27">
        <f>D367+W367</f>
        <v/>
      </c>
      <c r="E368" s="26">
        <f>E367+IF(U367="SK",1,0)</f>
        <v/>
      </c>
      <c r="F368" s="26">
        <f>F367+IF(U367="LB",1,0)</f>
        <v/>
      </c>
      <c r="G368" s="26">
        <f>G367+IF(U367="ML",1,0)</f>
        <v/>
      </c>
      <c r="H368" s="26">
        <f>H367+IF(U367="RLO",1,0)</f>
        <v/>
      </c>
      <c r="I368" s="26">
        <f>I367+IF(U367="BD",1,0)</f>
        <v/>
      </c>
      <c r="J368" s="26">
        <f>MAX(J367,IF(U367="BiP",1,0))</f>
        <v/>
      </c>
      <c r="K368" s="26">
        <f>MAX(K367,IF(U367="PV",1,0))</f>
        <v/>
      </c>
      <c r="L368" s="26">
        <f>MAX(L367,IF(U367="OC",1,0))</f>
        <v/>
      </c>
      <c r="M368" s="26">
        <f>MAX(M367,IF(U367="MG",1,0))</f>
        <v/>
      </c>
      <c r="N368" s="26">
        <f>MAX(N367,IF(U367="transition",1,0))</f>
        <v/>
      </c>
      <c r="O368" s="28">
        <f>(Parameters!$B$9+(IF(E368=0,0,(Upgrades!$J$13+E368*Upgrades!$K$13)*POWER(Upgrades!$L$13,E368)))*(IF(Upgrades!$T$14="Stellar Kinematics",POWER(Upgrades!$U$14,F368),1)*IF(Upgrades!$T$15="Stellar Kinematics",POWER(Upgrades!$U$15,G368),1)*IF(Upgrades!$T$16="Stellar Kinematics",POWER(Upgrades!$U$16,H368),1)*IF(Upgrades!$T$17="Stellar Kinematics",POWER(Upgrades!$U$17,I368),1)*IF(Upgrades!$T$18="Stellar Kinematics",POWER(Upgrades!$U$18,J368),1)*IF(Upgrades!$T$19="Stellar Kinematics",POWER(Upgrades!$U$19,K368),1)*IF(Upgrades!$T$20="Stellar Kinematics",POWER(Upgrades!$U$20,L368),1)*IF(Upgrades!$T$21="Stellar Kinematics",POWER(Upgrades!$U$21,M368),1))+(IF(F368=0,0,(Upgrades!$J$14+F368*Upgrades!$K$14)*POWER(Upgrades!$L$14,F368)))*(IF(Upgrades!$T$13="Local Bubble",POWER(Upgrades!$U$13,E368),1)*IF(Upgrades!$T$15="Local Bubble",POWER(Upgrades!$U$15,G368),1)*IF(Upgrades!$T$16="Local Bubble",POWER(Upgrades!$U$16,H368),1)*IF(Upgrades!$T$17="Local Bubble",POWER(Upgrades!$U$17,I368),1)*IF(Upgrades!$T$18="Local Bubble",POWER(Upgrades!$U$18,J368),1)*IF(Upgrades!$T$19="Local Bubble",POWER(Upgrades!$U$19,K368),1)*IF(Upgrades!$T$20="Local Bubble",POWER(Upgrades!$U$20,L368),1)*IF(Upgrades!$T$21="Local Bubble",POWER(Upgrades!$U$21,M368),1))+(IF(G368=0,0,(Upgrades!$J$15+G368*Upgrades!$K$15)*POWER(Upgrades!$L$15,G368)))*(IF(Upgrades!$T$13="Microlensing",POWER(Upgrades!$U$13,E368),1)*IF(Upgrades!$T$14="Microlensing",POWER(Upgrades!$U$14,F368),1)*IF(Upgrades!$T$16="Microlensing",POWER(Upgrades!$U$16,H368),1)*IF(Upgrades!$T$17="Microlensing",POWER(Upgrades!$U$17,I368),1)*IF(Upgrades!$T$18="Microlensing",POWER(Upgrades!$U$18,J368),1)*IF(Upgrades!$T$19="Microlensing",POWER(Upgrades!$U$19,K368),1)*IF(Upgrades!$T$20="Microlensing",POWER(Upgrades!$U$20,L368),1)*IF(Upgrades!$T$21="Microlensing",POWER(Upgrades!$U$21,M368),1))+(IF(H368=0,0,(Upgrades!$J$16+H368*Upgrades!$K$16)*POWER(Upgrades!$L$16,H368)))*(IF(Upgrades!$T$13="Roche Lobe Overflow",POWER(Upgrades!$U$13,E368),1)*IF(Upgrades!$T$14="Roche Lobe Overflow",POWER(Upgrades!$U$14,F368),1)*IF(Upgrades!$T$15="Roche Lobe Overflow",POWER(Upgrades!$U$15,G368),1)*IF(Upgrades!$T$17="Roche Lobe Overflow",POWER(Upgrades!$U$17,I368),1)*IF(Upgrades!$T$18="Roche Lobe Overflow",POWER(Upgrades!$U$18,J368),1)*IF(Upgrades!$T$19="Roche Lobe Overflow",POWER(Upgrades!$U$19,K368),1)*IF(Upgrades!$T$20="Roche Lobe Overflow",POWER(Upgrades!$U$20,L368),1)*IF(Upgrades!$T$21="Roche Lobe Overflow",POWER(Upgrades!$U$21,M368),1))+(IF(I368=0,0,(Upgrades!$J$17+I368*Upgrades!$K$17)*POWER(Upgrades!$L$17,I368)))*(IF(Upgrades!$T$13="Brown Dwarf",POWER(Upgrades!$U$13,E368),1)*IF(Upgrades!$T$14="Brown Dwarf",POWER(Upgrades!$U$14,F368),1)*IF(Upgrades!$T$15="Brown Dwarf",POWER(Upgrades!$U$15,G368),1)*IF(Upgrades!$T$16="Brown Dwarf",POWER(Upgrades!$U$16,H368),1)*IF(Upgrades!$T$18="Brown Dwarf",POWER(Upgrades!$U$18,J368),1)*IF(Upgrades!$T$19="Brown Dwarf",POWER(Upgrades!$U$19,K368),1)*IF(Upgrades!$T$20="Brown Dwarf",POWER(Upgrades!$U$20,L368),1)*IF(Upgrades!$T$21="Brown Dwarf",POWER(Upgrades!$U$21,M368),1))+(IF(J368=0,0,(Upgrades!$J$18+J368*Upgrades!$K$18)*POWER(Upgrades!$L$18,J368)))*(IF(Upgrades!$T$13="Binary Partner",POWER(Upgrades!$U$13,E368),1)*IF(Upgrades!$T$14="Binary Partner",POWER(Upgrades!$U$14,F368),1)*IF(Upgrades!$T$15="Binary Partner",POWER(Upgrades!$U$15,G368),1)*IF(Upgrades!$T$16="Binary Partner",POWER(Upgrades!$U$16,H368),1)*IF(Upgrades!$T$17="Binary Partner",POWER(Upgrades!$U$17,I368),1)*IF(Upgrades!$T$19="Binary Partner",POWER(Upgrades!$U$19,K368),1)*IF(Upgrades!$T$20="Binary Partner",POWER(Upgrades!$U$20,L368),1)*IF(Upgrades!$T$21="Binary Partner",POWER(Upgrades!$U$21,M368),1))+(IF(K368=0,0,(Upgrades!$J$19+K368*Upgrades!$K$19)*POWER(Upgrades!$L$19,K368)))*(IF(Upgrades!$T$13="Peculiar Velocity",POWER(Upgrades!$U$13,E368),1)*IF(Upgrades!$T$14="Peculiar Velocity",POWER(Upgrades!$U$14,F368),1)*IF(Upgrades!$T$15="Peculiar Velocity",POWER(Upgrades!$U$15,G368),1)*IF(Upgrades!$T$16="Peculiar Velocity",POWER(Upgrades!$U$16,H368),1)*IF(Upgrades!$T$17="Peculiar Velocity",POWER(Upgrades!$U$17,I368),1)*IF(Upgrades!$T$18="Peculiar Velocity",POWER(Upgrades!$U$18,J368),1)*IF(Upgrades!$T$20="Peculiar Velocity",POWER(Upgrades!$U$20,L368),1)*IF(Upgrades!$T$21="Peculiar Velocity",POWER(Upgrades!$U$21,M368),1))+(IF(L368=0,0,(Upgrades!$J$20+L368*Upgrades!$K$20)*POWER(Upgrades!$L$20,L368)))*(IF(Upgrades!$T$13="Open Cluster",POWER(Upgrades!$U$13,E368),1)*IF(Upgrades!$T$14="Open Cluster",POWER(Upgrades!$U$14,F368),1)*IF(Upgrades!$T$15="Open Cluster",POWER(Upgrades!$U$15,G368),1)*IF(Upgrades!$T$16="Open Cluster",POWER(Upgrades!$U$16,H368),1)*IF(Upgrades!$T$17="Open Cluster",POWER(Upgrades!$U$17,I368),1)*IF(Upgrades!$T$18="Open Cluster",POWER(Upgrades!$U$18,J368),1)*IF(Upgrades!$T$19="Open Cluster",POWER(Upgrades!$U$19,K368),1)*IF(Upgrades!$T$21="Open Cluster",POWER(Upgrades!$U$21,M368),1))+(IF(M368=0,0,(Upgrades!$J$21+M368*Upgrades!$K$21)*POWER(Upgrades!$L$21,M368)))*(IF(Upgrades!$T$13="Moving Group",POWER(Upgrades!$U$13,E368),1)*IF(Upgrades!$T$14="Moving Group",POWER(Upgrades!$U$14,F368),1)*IF(Upgrades!$T$15="Moving Group",POWER(Upgrades!$U$15,G368),1)*IF(Upgrades!$T$16="Moving Group",POWER(Upgrades!$U$16,H368),1)*IF(Upgrades!$T$17="Moving Group",POWER(Upgrades!$U$17,I368),1)*IF(Upgrades!$T$18="Moving Group",POWER(Upgrades!$U$18,J368),1)*IF(Upgrades!$T$19="Moving Group",POWER(Upgrades!$U$19,K368),1)*IF(Upgrades!$T$20="Moving Group",POWER(Upgrades!$U$20,L368),1)))*POWER(Upgrades!$Q$13,E368)*POWER(Upgrades!$Q$14,F368)*POWER(Upgrades!$Q$15,G368)*POWER(Upgrades!$Q$16,H368)*POWER(Upgrades!$Q$17,I368)*POWER(Upgrades!$Q$18,J368)*POWER(Upgrades!$Q$19,K368)*POWER(Upgrades!$Q$20,L368)*POWER(Upgrades!$Q$21,M368)*$G$6+$D$6</f>
        <v/>
      </c>
      <c r="P368" s="28">
        <f>((IF(E368=0,0,(Upgrades!$G$13+E368*Upgrades!$H$13)*POWER(Upgrades!$I$13,E368)))*(IF(Upgrades!$T$14="Stellar Kinematics",POWER(Upgrades!$U$14,F368),1)*IF(Upgrades!$T$15="Stellar Kinematics",POWER(Upgrades!$U$15,G368),1)*IF(Upgrades!$T$16="Stellar Kinematics",POWER(Upgrades!$U$16,H368),1)*IF(Upgrades!$T$17="Stellar Kinematics",POWER(Upgrades!$U$17,I368),1)*IF(Upgrades!$T$18="Stellar Kinematics",POWER(Upgrades!$U$18,J368),1)*IF(Upgrades!$T$19="Stellar Kinematics",POWER(Upgrades!$U$19,K368),1)*IF(Upgrades!$T$20="Stellar Kinematics",POWER(Upgrades!$U$20,L368),1)*IF(Upgrades!$T$21="Stellar Kinematics",POWER(Upgrades!$U$21,M368),1))+(IF(F368=0,0,(Upgrades!$G$14+F368*Upgrades!$H$14)*POWER(Upgrades!$I$14,F368)))*(IF(Upgrades!$T$13="Local Bubble",POWER(Upgrades!$U$13,E368),1)*IF(Upgrades!$T$15="Local Bubble",POWER(Upgrades!$U$15,G368),1)*IF(Upgrades!$T$16="Local Bubble",POWER(Upgrades!$U$16,H368),1)*IF(Upgrades!$T$17="Local Bubble",POWER(Upgrades!$U$17,I368),1)*IF(Upgrades!$T$18="Local Bubble",POWER(Upgrades!$U$18,J368),1)*IF(Upgrades!$T$19="Local Bubble",POWER(Upgrades!$U$19,K368),1)*IF(Upgrades!$T$20="Local Bubble",POWER(Upgrades!$U$20,L368),1)*IF(Upgrades!$T$21="Local Bubble",POWER(Upgrades!$U$21,M368),1))+(IF(G368=0,0,(Upgrades!$G$15+G368*Upgrades!$H$15)*POWER(Upgrades!$I$15,G368)))*(IF(Upgrades!$T$13="Microlensing",POWER(Upgrades!$U$13,E368),1)*IF(Upgrades!$T$14="Microlensing",POWER(Upgrades!$U$14,F368),1)*IF(Upgrades!$T$16="Microlensing",POWER(Upgrades!$U$16,H368),1)*IF(Upgrades!$T$17="Microlensing",POWER(Upgrades!$U$17,I368),1)*IF(Upgrades!$T$18="Microlensing",POWER(Upgrades!$U$18,J368),1)*IF(Upgrades!$T$19="Microlensing",POWER(Upgrades!$U$19,K368),1)*IF(Upgrades!$T$20="Microlensing",POWER(Upgrades!$U$20,L368),1)*IF(Upgrades!$T$21="Microlensing",POWER(Upgrades!$U$21,M368),1))+(IF(H368=0,0,(Upgrades!$G$16+H368*Upgrades!$H$16)*POWER(Upgrades!$I$16,H368)))*(IF(Upgrades!$T$13="Roche Lobe Overflow",POWER(Upgrades!$U$13,E368),1)*IF(Upgrades!$T$14="Roche Lobe Overflow",POWER(Upgrades!$U$14,F368),1)*IF(Upgrades!$T$15="Roche Lobe Overflow",POWER(Upgrades!$U$15,G368),1)*IF(Upgrades!$T$17="Roche Lobe Overflow",POWER(Upgrades!$U$17,I368),1)*IF(Upgrades!$T$18="Roche Lobe Overflow",POWER(Upgrades!$U$18,J368),1)*IF(Upgrades!$T$19="Roche Lobe Overflow",POWER(Upgrades!$U$19,K368),1)*IF(Upgrades!$T$20="Roche Lobe Overflow",POWER(Upgrades!$U$20,L368),1)*IF(Upgrades!$T$21="Roche Lobe Overflow",POWER(Upgrades!$U$21,M368),1))+(IF(I368=0,0,(Upgrades!$G$17+I368*Upgrades!$H$17)*POWER(Upgrades!$I$17,I368)))*(IF(Upgrades!$T$13="Brown Dwarf",POWER(Upgrades!$U$13,E368),1)*IF(Upgrades!$T$14="Brown Dwarf",POWER(Upgrades!$U$14,F368),1)*IF(Upgrades!$T$15="Brown Dwarf",POWER(Upgrades!$U$15,G368),1)*IF(Upgrades!$T$16="Brown Dwarf",POWER(Upgrades!$U$16,H368),1)*IF(Upgrades!$T$18="Brown Dwarf",POWER(Upgrades!$U$18,J368),1)*IF(Upgrades!$T$19="Brown Dwarf",POWER(Upgrades!$U$19,K368),1)*IF(Upgrades!$T$20="Brown Dwarf",POWER(Upgrades!$U$20,L368),1)*IF(Upgrades!$T$21="Brown Dwarf",POWER(Upgrades!$U$21,M368),1))+(IF(J368=0,0,(Upgrades!$G$18+J368*Upgrades!$H$18)*POWER(Upgrades!$I$18,J368)))*(IF(Upgrades!$T$13="Binary Partner",POWER(Upgrades!$U$13,E368),1)*IF(Upgrades!$T$14="Binary Partner",POWER(Upgrades!$U$14,F368),1)*IF(Upgrades!$T$15="Binary Partner",POWER(Upgrades!$U$15,G368),1)*IF(Upgrades!$T$16="Binary Partner",POWER(Upgrades!$U$16,H368),1)*IF(Upgrades!$T$17="Binary Partner",POWER(Upgrades!$U$17,I368),1)*IF(Upgrades!$T$19="Binary Partner",POWER(Upgrades!$U$19,K368),1)*IF(Upgrades!$T$20="Binary Partner",POWER(Upgrades!$U$20,L368),1)*IF(Upgrades!$T$21="Binary Partner",POWER(Upgrades!$U$21,M368),1))+(IF(K368=0,0,(Upgrades!$G$19+K368*Upgrades!$H$19)*POWER(Upgrades!$I$19,K368)))*(IF(Upgrades!$T$13="Peculiar Velocity",POWER(Upgrades!$U$13,E368),1)*IF(Upgrades!$T$14="Peculiar Velocity",POWER(Upgrades!$U$14,F368),1)*IF(Upgrades!$T$15="Peculiar Velocity",POWER(Upgrades!$U$15,G368),1)*IF(Upgrades!$T$16="Peculiar Velocity",POWER(Upgrades!$U$16,H368),1)*IF(Upgrades!$T$17="Peculiar Velocity",POWER(Upgrades!$U$17,I368),1)*IF(Upgrades!$T$18="Peculiar Velocity",POWER(Upgrades!$U$18,J368),1)*IF(Upgrades!$T$20="Peculiar Velocity",POWER(Upgrades!$U$20,L368),1)*IF(Upgrades!$T$21="Peculiar Velocity",POWER(Upgrades!$U$21,M368),1))+(IF(L368=0,0,(Upgrades!$G$20+L368*Upgrades!$H$20)*POWER(Upgrades!$I$20,L368)))*(IF(Upgrades!$T$13="Open Cluster",POWER(Upgrades!$U$13,E368),1)*IF(Upgrades!$T$14="Open Cluster",POWER(Upgrades!$U$14,F368),1)*IF(Upgrades!$T$15="Open Cluster",POWER(Upgrades!$U$15,G368),1)*IF(Upgrades!$T$16="Open Cluster",POWER(Upgrades!$U$16,H368),1)*IF(Upgrades!$T$17="Open Cluster",POWER(Upgrades!$U$17,I368),1)*IF(Upgrades!$T$18="Open Cluster",POWER(Upgrades!$U$18,J368),1)*IF(Upgrades!$T$19="Open Cluster",POWER(Upgrades!$U$19,K368),1)*IF(Upgrades!$T$21="Open Cluster",POWER(Upgrades!$U$21,M368),1))+(IF(M368=0,0,(Upgrades!$G$21+M368*Upgrades!$H$21)*POWER(Upgrades!$I$21,M368)))*(IF(Upgrades!$T$13="Moving Group",POWER(Upgrades!$U$13,E368),1)*IF(Upgrades!$T$14="Moving Group",POWER(Upgrades!$U$14,F368),1)*IF(Upgrades!$T$15="Moving Group",POWER(Upgrades!$U$15,G368),1)*IF(Upgrades!$T$16="Moving Group",POWER(Upgrades!$U$16,H368),1)*IF(Upgrades!$T$17="Moving Group",POWER(Upgrades!$U$17,I368),1)*IF(Upgrades!$T$18="Moving Group",POWER(Upgrades!$U$18,J368),1)*IF(Upgrades!$T$19="Moving Group",POWER(Upgrades!$U$19,K368),1)*IF(Upgrades!$T$20="Moving Group",POWER(Upgrades!$U$20,L368),1)))*POWER(Upgrades!$P$13,E368)*POWER(Upgrades!$P$14,F368)*POWER(Upgrades!$P$15,G368)*POWER(Upgrades!$P$16,H368)*POWER(Upgrades!$P$17,I368)*POWER(Upgrades!$P$18,J368)*POWER(Upgrades!$P$19,K368)*POWER(Upgrades!$P$20,L368)*POWER(Upgrades!$P$21,M368)*$F$6+$C$6</f>
        <v/>
      </c>
      <c r="Q368" s="28">
        <f>((IF(E368=0,0,(Upgrades!$M$13+E368*Upgrades!$N$13)*POWER(Upgrades!$O$13,E368)))*(IF(Upgrades!$T$14="Stellar Kinematics",POWER(Upgrades!$U$14,F368),1)*IF(Upgrades!$T$15="Stellar Kinematics",POWER(Upgrades!$U$15,G368),1)*IF(Upgrades!$T$16="Stellar Kinematics",POWER(Upgrades!$U$16,H368),1)*IF(Upgrades!$T$17="Stellar Kinematics",POWER(Upgrades!$U$17,I368),1)*IF(Upgrades!$T$18="Stellar Kinematics",POWER(Upgrades!$U$18,J368),1)*IF(Upgrades!$T$19="Stellar Kinematics",POWER(Upgrades!$U$19,K368),1)*IF(Upgrades!$T$20="Stellar Kinematics",POWER(Upgrades!$U$20,L368),1)*IF(Upgrades!$T$21="Stellar Kinematics",POWER(Upgrades!$U$21,M368),1))+(IF(F368=0,0,(Upgrades!$M$14+F368*Upgrades!$N$14)*POWER(Upgrades!$O$14,F368)))*(IF(Upgrades!$T$13="Local Bubble",POWER(Upgrades!$U$13,E368),1)*IF(Upgrades!$T$15="Local Bubble",POWER(Upgrades!$U$15,G368),1)*IF(Upgrades!$T$16="Local Bubble",POWER(Upgrades!$U$16,H368),1)*IF(Upgrades!$T$17="Local Bubble",POWER(Upgrades!$U$17,I368),1)*IF(Upgrades!$T$18="Local Bubble",POWER(Upgrades!$U$18,J368),1)*IF(Upgrades!$T$19="Local Bubble",POWER(Upgrades!$U$19,K368),1)*IF(Upgrades!$T$20="Local Bubble",POWER(Upgrades!$U$20,L368),1)*IF(Upgrades!$T$21="Local Bubble",POWER(Upgrades!$U$21,M368),1))+(IF(G368=0,0,(Upgrades!$M$15+G368*Upgrades!$N$15)*POWER(Upgrades!$O$15,G368)))*(IF(Upgrades!$T$13="Microlensing",POWER(Upgrades!$U$13,E368),1)*IF(Upgrades!$T$14="Microlensing",POWER(Upgrades!$U$14,F368),1)*IF(Upgrades!$T$16="Microlensing",POWER(Upgrades!$U$16,H368),1)*IF(Upgrades!$T$17="Microlensing",POWER(Upgrades!$U$17,I368),1)*IF(Upgrades!$T$18="Microlensing",POWER(Upgrades!$U$18,J368),1)*IF(Upgrades!$T$19="Microlensing",POWER(Upgrades!$U$19,K368),1)*IF(Upgrades!$T$20="Microlensing",POWER(Upgrades!$U$20,L368),1)*IF(Upgrades!$T$21="Microlensing",POWER(Upgrades!$U$21,M368),1))+(IF(H368=0,0,(Upgrades!$M$16+H368*Upgrades!$N$16)*POWER(Upgrades!$O$16,H368)))*(IF(Upgrades!$T$13="Roche Lobe Overflow",POWER(Upgrades!$U$13,E368),1)*IF(Upgrades!$T$14="Roche Lobe Overflow",POWER(Upgrades!$U$14,F368),1)*IF(Upgrades!$T$15="Roche Lobe Overflow",POWER(Upgrades!$U$15,G368),1)*IF(Upgrades!$T$17="Roche Lobe Overflow",POWER(Upgrades!$U$17,I368),1)*IF(Upgrades!$T$18="Roche Lobe Overflow",POWER(Upgrades!$U$18,J368),1)*IF(Upgrades!$T$19="Roche Lobe Overflow",POWER(Upgrades!$U$19,K368),1)*IF(Upgrades!$T$20="Roche Lobe Overflow",POWER(Upgrades!$U$20,L368),1)*IF(Upgrades!$T$21="Roche Lobe Overflow",POWER(Upgrades!$U$21,M368),1))+(IF(I368=0,0,(Upgrades!$M$17+I368*Upgrades!$N$17)*POWER(Upgrades!$O$17,I368)))*(IF(Upgrades!$T$13="Brown Dwarf",POWER(Upgrades!$U$13,E368),1)*IF(Upgrades!$T$14="Brown Dwarf",POWER(Upgrades!$U$14,F368),1)*IF(Upgrades!$T$15="Brown Dwarf",POWER(Upgrades!$U$15,G368),1)*IF(Upgrades!$T$16="Brown Dwarf",POWER(Upgrades!$U$16,H368),1)*IF(Upgrades!$T$18="Brown Dwarf",POWER(Upgrades!$U$18,J368),1)*IF(Upgrades!$T$19="Brown Dwarf",POWER(Upgrades!$U$19,K368),1)*IF(Upgrades!$T$20="Brown Dwarf",POWER(Upgrades!$U$20,L368),1)*IF(Upgrades!$T$21="Brown Dwarf",POWER(Upgrades!$U$21,M368),1))+(IF(J368=0,0,(Upgrades!$M$18+J368*Upgrades!$N$18)*POWER(Upgrades!$O$18,J368)))*(IF(Upgrades!$T$13="Binary Partner",POWER(Upgrades!$U$13,E368),1)*IF(Upgrades!$T$14="Binary Partner",POWER(Upgrades!$U$14,F368),1)*IF(Upgrades!$T$15="Binary Partner",POWER(Upgrades!$U$15,G368),1)*IF(Upgrades!$T$16="Binary Partner",POWER(Upgrades!$U$16,H368),1)*IF(Upgrades!$T$17="Binary Partner",POWER(Upgrades!$U$17,I368),1)*IF(Upgrades!$T$19="Binary Partner",POWER(Upgrades!$U$19,K368),1)*IF(Upgrades!$T$20="Binary Partner",POWER(Upgrades!$U$20,L368),1)*IF(Upgrades!$T$21="Binary Partner",POWER(Upgrades!$U$21,M368),1))+(IF(K368=0,0,(Upgrades!$M$19+K368*Upgrades!$N$19)*POWER(Upgrades!$O$19,K368)))*(IF(Upgrades!$T$13="Peculiar Velocity",POWER(Upgrades!$U$13,E368),1)*IF(Upgrades!$T$14="Peculiar Velocity",POWER(Upgrades!$U$14,F368),1)*IF(Upgrades!$T$15="Peculiar Velocity",POWER(Upgrades!$U$15,G368),1)*IF(Upgrades!$T$16="Peculiar Velocity",POWER(Upgrades!$U$16,H368),1)*IF(Upgrades!$T$17="Peculiar Velocity",POWER(Upgrades!$U$17,I368),1)*IF(Upgrades!$T$18="Peculiar Velocity",POWER(Upgrades!$U$18,J368),1)*IF(Upgrades!$T$20="Peculiar Velocity",POWER(Upgrades!$U$20,L368),1)*IF(Upgrades!$T$21="Peculiar Velocity",POWER(Upgrades!$U$21,M368),1))+(IF(L368=0,0,(Upgrades!$M$20+L368*Upgrades!$N$20)*POWER(Upgrades!$O$20,L368)))*(IF(Upgrades!$T$13="Open Cluster",POWER(Upgrades!$U$13,E368),1)*IF(Upgrades!$T$14="Open Cluster",POWER(Upgrades!$U$14,F368),1)*IF(Upgrades!$T$15="Open Cluster",POWER(Upgrades!$U$15,G368),1)*IF(Upgrades!$T$16="Open Cluster",POWER(Upgrades!$U$16,H368),1)*IF(Upgrades!$T$17="Open Cluster",POWER(Upgrades!$U$17,I368),1)*IF(Upgrades!$T$18="Open Cluster",POWER(Upgrades!$U$18,J368),1)*IF(Upgrades!$T$19="Open Cluster",POWER(Upgrades!$U$19,K368),1)*IF(Upgrades!$T$21="Open Cluster",POWER(Upgrades!$U$21,M368),1))+(IF(M368=0,0,(Upgrades!$M$21+M368*Upgrades!$N$21)*POWER(Upgrades!$O$21,M368)))*(IF(Upgrades!$T$13="Moving Group",POWER(Upgrades!$U$13,E368),1)*IF(Upgrades!$T$14="Moving Group",POWER(Upgrades!$U$14,F368),1)*IF(Upgrades!$T$15="Moving Group",POWER(Upgrades!$U$15,G368),1)*IF(Upgrades!$T$16="Moving Group",POWER(Upgrades!$U$16,H368),1)*IF(Upgrades!$T$17="Moving Group",POWER(Upgrades!$U$17,I368),1)*IF(Upgrades!$T$18="Moving Group",POWER(Upgrades!$U$18,J368),1)*IF(Upgrades!$T$19="Moving Group",POWER(Upgrades!$U$19,K368),1)*IF(Upgrades!$T$20="Moving Group",POWER(Upgrades!$U$20,L368),1)))*POWER(Upgrades!$R$13,E368)*POWER(Upgrades!$R$14,F368)*POWER(Upgrades!$R$15,G368)*POWER(Upgrades!$R$16,H368)*POWER(Upgrades!$R$17,I368)*POWER(Upgrades!$R$18,J368)*POWER(Upgrades!$R$19,K368)*POWER(Upgrades!$R$20,L368)*POWER(Upgrades!$R$21,M368)*$H$6+$E$6</f>
        <v/>
      </c>
      <c r="R368" s="27">
        <f>IF(N368=1,0,O368*Parameters!$B$10/60*Parameters!$B$11*10)</f>
        <v/>
      </c>
      <c r="S368" s="27">
        <f>IF(N368=1,0,Q368*O368*10)</f>
        <v/>
      </c>
      <c r="T368" s="27">
        <f>IF(N368=1,0,R368+S368+P368*10)</f>
        <v/>
      </c>
      <c r="U368" s="33">
        <f>BE368</f>
        <v/>
      </c>
      <c r="V368" s="22">
        <f>IF(U368="",0,IF(U368="transition",0,IF(U368="SK",AK368,IF(U368="LB",AL368,IF(U368="ML",AM368,IF(U368="RLO",AN368,IF(U368="BD",AO368,IF(U368="BiP",AP368,IF(U368="PV",AQ368,IF(U368="OC",AR368,IF(U368="MG",AS368,0))))))))))</f>
        <v/>
      </c>
      <c r="W368" s="27">
        <f>IF(U368="BiP",Upgrades!$F$18,IF(U368="PV",Upgrades!$F$19,IF(U368="OC",Upgrades!$F$20,IF(U368="MG",Upgrades!$F$21,IF(U368="transition",-Parameters!$B$18*Parameters!$B$19,0)))))</f>
        <v/>
      </c>
      <c r="X368" s="22">
        <f>C368+T368-V368</f>
        <v/>
      </c>
      <c r="Y368" s="30">
        <f>O368*Parameters!$B$10/60*Parameters!$B$11+Q368*O368+P368</f>
        <v/>
      </c>
      <c r="Z368" s="34">
        <f>IF(U368="transition","→ Tier 3 (Galactic Arm)",IF(U368="MG","Moving Group — pocket drifts together",IF(U368="OC","Open Cluster acquired",IF(U368="PV","Peculiar Velocity — passive multiplier active",IF(U368="BiP","Binary Partner — pair bond formed",IF(AND(AU368=1,N368=0,AT368&lt;&gt;1),"Cohesion ready (waiting on completionists)","")))))) </f>
        <v/>
      </c>
      <c r="AA368" s="27">
        <f>(IF(E368=0,0,(Upgrades!$G$13+E368*Upgrades!$H$13)*POWER(Upgrades!$I$13,E368)))*(IF(Upgrades!$T$14="Stellar Kinematics",POWER(Upgrades!$U$14,F368),1)*IF(Upgrades!$T$15="Stellar Kinematics",POWER(Upgrades!$U$15,G368),1)*IF(Upgrades!$T$16="Stellar Kinematics",POWER(Upgrades!$U$16,H368),1)*IF(Upgrades!$T$17="Stellar Kinematics",POWER(Upgrades!$U$17,I368),1)*IF(Upgrades!$T$18="Stellar Kinematics",POWER(Upgrades!$U$18,J368),1)*IF(Upgrades!$T$19="Stellar Kinematics",POWER(Upgrades!$U$19,K368),1)*IF(Upgrades!$T$20="Stellar Kinematics",POWER(Upgrades!$U$20,L368),1)*IF(Upgrades!$T$21="Stellar Kinematics",POWER(Upgrades!$U$21,M368),1))*POWER(Upgrades!$P$13,E368)*POWER(Upgrades!$P$14,F368)*POWER(Upgrades!$P$15,G368)*POWER(Upgrades!$P$16,H368)*POWER(Upgrades!$P$17,I368)*POWER(Upgrades!$P$18,J368)*POWER(Upgrades!$P$19,K368)*POWER(Upgrades!$P$20,L368)*POWER(Upgrades!$P$21,M368)*$F$6*60</f>
        <v/>
      </c>
      <c r="AB368" s="27">
        <f>(IF(F368=0,0,(Upgrades!$G$14+F368*Upgrades!$H$14)*POWER(Upgrades!$I$14,F368)))*(IF(Upgrades!$T$13="Local Bubble",POWER(Upgrades!$U$13,E368),1)*IF(Upgrades!$T$15="Local Bubble",POWER(Upgrades!$U$15,G368),1)*IF(Upgrades!$T$16="Local Bubble",POWER(Upgrades!$U$16,H368),1)*IF(Upgrades!$T$17="Local Bubble",POWER(Upgrades!$U$17,I368),1)*IF(Upgrades!$T$18="Local Bubble",POWER(Upgrades!$U$18,J368),1)*IF(Upgrades!$T$19="Local Bubble",POWER(Upgrades!$U$19,K368),1)*IF(Upgrades!$T$20="Local Bubble",POWER(Upgrades!$U$20,L368),1)*IF(Upgrades!$T$21="Local Bubble",POWER(Upgrades!$U$21,M368),1))*POWER(Upgrades!$P$13,E368)*POWER(Upgrades!$P$14,F368)*POWER(Upgrades!$P$15,G368)*POWER(Upgrades!$P$16,H368)*POWER(Upgrades!$P$17,I368)*POWER(Upgrades!$P$18,J368)*POWER(Upgrades!$P$19,K368)*POWER(Upgrades!$P$20,L368)*POWER(Upgrades!$P$21,M368)*$F$6*60</f>
        <v/>
      </c>
      <c r="AC368" s="27">
        <f>(IF(G368=0,0,(Upgrades!$J$15+G368*Upgrades!$K$15)*POWER(Upgrades!$L$15,G368)))*(IF(Upgrades!$T$13="Microlensing",POWER(Upgrades!$U$13,E368),1)*IF(Upgrades!$T$14="Microlensing",POWER(Upgrades!$U$14,F368),1)*IF(Upgrades!$T$16="Microlensing",POWER(Upgrades!$U$16,H368),1)*IF(Upgrades!$T$17="Microlensing",POWER(Upgrades!$U$17,I368),1)*IF(Upgrades!$T$18="Microlensing",POWER(Upgrades!$U$18,J368),1)*IF(Upgrades!$T$19="Microlensing",POWER(Upgrades!$U$19,K368),1)*IF(Upgrades!$T$20="Microlensing",POWER(Upgrades!$U$20,L368),1)*IF(Upgrades!$T$21="Microlensing",POWER(Upgrades!$U$21,M368),1))*POWER(Upgrades!$Q$13,E368)*POWER(Upgrades!$Q$14,F368)*POWER(Upgrades!$Q$15,G368)*POWER(Upgrades!$Q$16,H368)*POWER(Upgrades!$Q$17,I368)*POWER(Upgrades!$Q$18,J368)*POWER(Upgrades!$Q$19,K368)*POWER(Upgrades!$Q$20,L368)*POWER(Upgrades!$Q$21,M368)*$G$6*(Parameters!$B$10*Parameters!$B$11+Q368*60)</f>
        <v/>
      </c>
      <c r="AD368" s="27">
        <f>(IF(H368=0,0,(Upgrades!$M$16+H368*Upgrades!$N$16)*POWER(Upgrades!$O$16,H368)))*(IF(Upgrades!$T$13="Roche Lobe Overflow",POWER(Upgrades!$U$13,E368),1)*IF(Upgrades!$T$14="Roche Lobe Overflow",POWER(Upgrades!$U$14,F368),1)*IF(Upgrades!$T$15="Roche Lobe Overflow",POWER(Upgrades!$U$15,G368),1)*IF(Upgrades!$T$17="Roche Lobe Overflow",POWER(Upgrades!$U$17,I368),1)*IF(Upgrades!$T$18="Roche Lobe Overflow",POWER(Upgrades!$U$18,J368),1)*IF(Upgrades!$T$19="Roche Lobe Overflow",POWER(Upgrades!$U$19,K368),1)*IF(Upgrades!$T$20="Roche Lobe Overflow",POWER(Upgrades!$U$20,L368),1)*IF(Upgrades!$T$21="Roche Lobe Overflow",POWER(Upgrades!$U$21,M368),1))*POWER(Upgrades!$R$13,E368)*POWER(Upgrades!$R$14,F368)*POWER(Upgrades!$R$15,G368)*POWER(Upgrades!$R$16,H368)*POWER(Upgrades!$R$17,I368)*POWER(Upgrades!$R$18,J368)*POWER(Upgrades!$R$19,K368)*POWER(Upgrades!$R$20,L368)*POWER(Upgrades!$R$21,M368)*$H$6*O368*60</f>
        <v/>
      </c>
      <c r="AE368" s="27">
        <f>(IF(I368=0,0,(Upgrades!$G$17+I368*Upgrades!$H$17)*POWER(Upgrades!$I$17,I368)))*(IF(Upgrades!$T$13="Brown Dwarf",POWER(Upgrades!$U$13,E368),1)*IF(Upgrades!$T$14="Brown Dwarf",POWER(Upgrades!$U$14,F368),1)*IF(Upgrades!$T$15="Brown Dwarf",POWER(Upgrades!$U$15,G368),1)*IF(Upgrades!$T$16="Brown Dwarf",POWER(Upgrades!$U$16,H368),1)*IF(Upgrades!$T$18="Brown Dwarf",POWER(Upgrades!$U$18,J368),1)*IF(Upgrades!$T$19="Brown Dwarf",POWER(Upgrades!$U$19,K368),1)*IF(Upgrades!$T$20="Brown Dwarf",POWER(Upgrades!$U$20,L368),1)*IF(Upgrades!$T$21="Brown Dwarf",POWER(Upgrades!$U$21,M368),1))*POWER(Upgrades!$P$13,E368)*POWER(Upgrades!$P$14,F368)*POWER(Upgrades!$P$15,G368)*POWER(Upgrades!$P$16,H368)*POWER(Upgrades!$P$17,I368)*POWER(Upgrades!$P$18,J368)*POWER(Upgrades!$P$19,K368)*POWER(Upgrades!$P$20,L368)*POWER(Upgrades!$P$21,M368)*$F$6*60</f>
        <v/>
      </c>
      <c r="AF368" s="27" t="n">
        <v>0</v>
      </c>
      <c r="AG368" s="27" t="n">
        <v>0</v>
      </c>
      <c r="AH368" s="27" t="n">
        <v>0</v>
      </c>
      <c r="AI368" s="27">
        <f>(IF(M368=0,0,(Upgrades!$G$21+M368*Upgrades!$H$21)*POWER(Upgrades!$I$21,M368)))*(IF(Upgrades!$T$13="Moving Group",POWER(Upgrades!$U$13,E368),1)*IF(Upgrades!$T$14="Moving Group",POWER(Upgrades!$U$14,F368),1)*IF(Upgrades!$T$15="Moving Group",POWER(Upgrades!$U$15,G368),1)*IF(Upgrades!$T$16="Moving Group",POWER(Upgrades!$U$16,H368),1)*IF(Upgrades!$T$17="Moving Group",POWER(Upgrades!$U$17,I368),1)*IF(Upgrades!$T$18="Moving Group",POWER(Upgrades!$U$18,J368),1)*IF(Upgrades!$T$19="Moving Group",POWER(Upgrades!$U$19,K368),1)*IF(Upgrades!$T$20="Moving Group",POWER(Upgrades!$U$20,L368),1))*POWER(Upgrades!$P$13,E368)*POWER(Upgrades!$P$14,F368)*POWER(Upgrades!$P$15,G368)*POWER(Upgrades!$P$16,H368)*POWER(Upgrades!$P$17,I368)*POWER(Upgrades!$P$18,J368)*POWER(Upgrades!$P$19,K368)*POWER(Upgrades!$P$20,L368)*POWER(Upgrades!$P$21,M368)*$F$6*60</f>
        <v/>
      </c>
      <c r="AJ368" s="27">
        <f>$C$6*60</f>
        <v/>
      </c>
      <c r="AK368" s="22">
        <f>IF(E368&gt;=Upgrades!$E$13,"",Upgrades!$C$13*POWER(Upgrades!$D$13,E368))</f>
        <v/>
      </c>
      <c r="AL368" s="22">
        <f>IF(F368&gt;=Upgrades!$E$14,"",Upgrades!$C$14*POWER(Upgrades!$D$14,F368))</f>
        <v/>
      </c>
      <c r="AM368" s="22">
        <f>IF(G368&gt;=Upgrades!$E$15,"",Upgrades!$C$15*POWER(Upgrades!$D$15,G368))</f>
        <v/>
      </c>
      <c r="AN368" s="22">
        <f>IF(H368&gt;=Upgrades!$E$16,"",Upgrades!$C$16*POWER(Upgrades!$D$16,H368))</f>
        <v/>
      </c>
      <c r="AO368" s="22">
        <f>IF(I368&gt;=Upgrades!$E$17,"",Upgrades!$C$17*POWER(Upgrades!$D$17,I368))</f>
        <v/>
      </c>
      <c r="AP368" s="22">
        <f>IF(J368&gt;=Upgrades!$E$18,"",Upgrades!$C$18*POWER(Upgrades!$D$18,J368))</f>
        <v/>
      </c>
      <c r="AQ368" s="22">
        <f>IF(K368&gt;=Upgrades!$E$19,"",Upgrades!$C$19*POWER(Upgrades!$D$19,K368))</f>
        <v/>
      </c>
      <c r="AR368" s="22">
        <f>IF(L368&gt;=Upgrades!$E$20,"",Upgrades!$C$20*POWER(Upgrades!$D$20,L368))</f>
        <v/>
      </c>
      <c r="AS368" s="22">
        <f>IF(M368&gt;=Upgrades!$E$21,"",Upgrades!$C$21*POWER(Upgrades!$D$21,M368))</f>
        <v/>
      </c>
      <c r="AT368" s="26">
        <f>IF(AND(D368&gt;=Parameters!$B$18*Parameters!$B$19,(I368&gt;=Upgrades!$E$17)*(M368&gt;=Upgrades!$E$21)=1,N368=0),1,"")</f>
        <v/>
      </c>
      <c r="AU368" s="26">
        <f>IF(AND(D368&gt;=Parameters!$B$18*Parameters!$B$19,N368=0),1,"")</f>
        <v/>
      </c>
      <c r="AV368" s="22">
        <f>MIN(IF(ISNUMBER(AP368),AP368,9E15),IF(ISNUMBER(AQ368),AQ368,9E15),IF(ISNUMBER(AR368),AR368,9E15),IF(ISNUMBER(AS368),AS368,9E15))</f>
        <v/>
      </c>
      <c r="AW368" s="22">
        <f>MIN(IF(ISNUMBER(AK368),AK368,9E15),IF(ISNUMBER(AL368),AL368,9E15),IF(ISNUMBER(AM368),AM368,9E15),IF(ISNUMBER(AN368),AN368,9E15),IF(ISNUMBER(AO368),AO368,9E15))</f>
        <v/>
      </c>
      <c r="AX368" s="29">
        <f>IF(BD368&gt;Parameters!$B$21*(MAX(IF(AND(NOT(AND(AU368=1,AT368&lt;&gt;1)),ISNUMBER(AK368),AK368&lt;=(C368+T368)),AY368,0),IF(AND(NOT(AND(AU368=1,AT368&lt;&gt;1)),ISNUMBER(AL368),AL368&lt;=(C368+T368)),AZ368,0),IF(AND(NOT(AND(AU368=1,AT368&lt;&gt;1)),ISNUMBER(AM368),AM368&lt;=(C368+T368)),BA368,0),IF(AND(NOT(AND(AU368=1,AT368&lt;&gt;1)),ISNUMBER(AN368),AN368&lt;=(C368+T368)),BB368,0),IF(AND(ISNUMBER(AO368),AO368&lt;=(C368+T368)),BC368,0))),TRUE,FALSE)</f>
        <v/>
      </c>
      <c r="AY368" s="32">
        <f>IFERROR(Upgrades!$H$13*(POWER(Upgrades!$P$13,E368)*POWER(Upgrades!$P$14,F368)*POWER(Upgrades!$P$15,G368)*POWER(Upgrades!$P$16,H368)*POWER(Upgrades!$P$17,I368)*POWER(Upgrades!$P$18,J368)*POWER(Upgrades!$P$19,K368)*POWER(Upgrades!$P$20,L368)*POWER(Upgrades!$P$21,M368))*(IF(Upgrades!$T$14="Stellar Kinematics",POWER(Upgrades!$U$14,F368),1)*IF(Upgrades!$T$15="Stellar Kinematics",POWER(Upgrades!$U$15,G368),1)*IF(Upgrades!$T$16="Stellar Kinematics",POWER(Upgrades!$U$16,H368),1)*IF(Upgrades!$T$17="Stellar Kinematics",POWER(Upgrades!$U$17,I368),1)*IF(Upgrades!$T$18="Stellar Kinematics",POWER(Upgrades!$U$18,J368),1)*IF(Upgrades!$T$19="Stellar Kinematics",POWER(Upgrades!$U$19,K368),1)*IF(Upgrades!$T$20="Stellar Kinematics",POWER(Upgrades!$U$20,L368),1)*IF(Upgrades!$T$21="Stellar Kinematics",POWER(Upgrades!$U$21,M368),1))*$F$6/AK368,0)</f>
        <v/>
      </c>
      <c r="AZ368" s="32">
        <f>IFERROR(Upgrades!$H$14*(POWER(Upgrades!$P$13,E368)*POWER(Upgrades!$P$14,F368)*POWER(Upgrades!$P$15,G368)*POWER(Upgrades!$P$16,H368)*POWER(Upgrades!$P$17,I368)*POWER(Upgrades!$P$18,J368)*POWER(Upgrades!$P$19,K368)*POWER(Upgrades!$P$20,L368)*POWER(Upgrades!$P$21,M368))*(IF(Upgrades!$T$13="Local Bubble",POWER(Upgrades!$U$13,E368),1)*IF(Upgrades!$T$15="Local Bubble",POWER(Upgrades!$U$15,G368),1)*IF(Upgrades!$T$16="Local Bubble",POWER(Upgrades!$U$16,H368),1)*IF(Upgrades!$T$17="Local Bubble",POWER(Upgrades!$U$17,I368),1)*IF(Upgrades!$T$18="Local Bubble",POWER(Upgrades!$U$18,J368),1)*IF(Upgrades!$T$19="Local Bubble",POWER(Upgrades!$U$19,K368),1)*IF(Upgrades!$T$20="Local Bubble",POWER(Upgrades!$U$20,L368),1)*IF(Upgrades!$T$21="Local Bubble",POWER(Upgrades!$U$21,M368),1))*$F$6/AL368,0)</f>
        <v/>
      </c>
      <c r="BA368" s="32">
        <f>IFERROR(Upgrades!$K$15*(POWER(Upgrades!$Q$13,E368)*POWER(Upgrades!$Q$14,F368)*POWER(Upgrades!$Q$15,G368)*POWER(Upgrades!$Q$16,H368)*POWER(Upgrades!$Q$17,I368)*POWER(Upgrades!$Q$18,J368)*POWER(Upgrades!$Q$19,K368)*POWER(Upgrades!$Q$20,L368)*POWER(Upgrades!$Q$21,M368))*(IF(Upgrades!$T$13="Microlensing",POWER(Upgrades!$U$13,E368),1)*IF(Upgrades!$T$14="Microlensing",POWER(Upgrades!$U$14,F368),1)*IF(Upgrades!$T$16="Microlensing",POWER(Upgrades!$U$16,H368),1)*IF(Upgrades!$T$17="Microlensing",POWER(Upgrades!$U$17,I368),1)*IF(Upgrades!$T$18="Microlensing",POWER(Upgrades!$U$18,J368),1)*IF(Upgrades!$T$19="Microlensing",POWER(Upgrades!$U$19,K368),1)*IF(Upgrades!$T$20="Microlensing",POWER(Upgrades!$U$20,L368),1)*IF(Upgrades!$T$21="Microlensing",POWER(Upgrades!$U$21,M368),1))*$G$6*(Parameters!$B$10/60*Parameters!$B$11+Q368)/AM368,0)</f>
        <v/>
      </c>
      <c r="BB368" s="32">
        <f>IFERROR((Upgrades!$N$16*(POWER(Upgrades!$R$13,E368)*POWER(Upgrades!$R$14,F368)*POWER(Upgrades!$R$15,G368)*POWER(Upgrades!$R$16,H368)*POWER(Upgrades!$R$17,I368)*POWER(Upgrades!$R$18,J368)*POWER(Upgrades!$R$19,K368)*POWER(Upgrades!$R$20,L368)*POWER(Upgrades!$R$21,M368))*(IF(Upgrades!$T$13="Roche Lobe Overflow",POWER(Upgrades!$U$13,E368),1)*IF(Upgrades!$T$14="Roche Lobe Overflow",POWER(Upgrades!$U$14,F368),1)*IF(Upgrades!$T$15="Roche Lobe Overflow",POWER(Upgrades!$U$15,G368),1)*IF(Upgrades!$T$17="Roche Lobe Overflow",POWER(Upgrades!$U$17,I368),1)*IF(Upgrades!$T$18="Roche Lobe Overflow",POWER(Upgrades!$U$18,J368),1)*IF(Upgrades!$T$19="Roche Lobe Overflow",POWER(Upgrades!$U$19,K368),1)*IF(Upgrades!$T$20="Roche Lobe Overflow",POWER(Upgrades!$U$20,L368),1)*IF(Upgrades!$T$21="Roche Lobe Overflow",POWER(Upgrades!$U$21,M368),1))*$H$6*O368+((IF(F368=0,0,(Upgrades!$G$14+F368*Upgrades!$H$14)*POWER(Upgrades!$I$14,F368)))*(IF(Upgrades!$T$13="Local Bubble",POWER(Upgrades!$U$13,E368),1)*IF(Upgrades!$T$15="Local Bubble",POWER(Upgrades!$U$15,G368),1)*IF(Upgrades!$T$16="Local Bubble",POWER(Upgrades!$U$16,H368),1)*IF(Upgrades!$T$17="Local Bubble",POWER(Upgrades!$U$17,I368),1)*IF(Upgrades!$T$18="Local Bubble",POWER(Upgrades!$U$18,J368),1)*IF(Upgrades!$T$19="Local Bubble",POWER(Upgrades!$U$19,K368),1)*IF(Upgrades!$T$20="Local Bubble",POWER(Upgrades!$U$20,L368),1)*IF(Upgrades!$T$21="Local Bubble",POWER(Upgrades!$U$21,M368),1))*POWER(Upgrades!$P$13,E368)*POWER(Upgrades!$P$14,F368)*POWER(Upgrades!$P$15,G368)*POWER(Upgrades!$P$16,H368)*POWER(Upgrades!$P$17,I368)*POWER(Upgrades!$P$18,J368)*POWER(Upgrades!$P$19,K368)*POWER(Upgrades!$P$20,L368)*POWER(Upgrades!$P$21,M368)*$F$6)*0.05)/AN368,0)</f>
        <v/>
      </c>
      <c r="BC368" s="32">
        <f>IFERROR((Upgrades!$H$17*(POWER(Upgrades!$P$13,E368)*POWER(Upgrades!$P$14,F368)*POWER(Upgrades!$P$15,G368)*POWER(Upgrades!$P$16,H368)*POWER(Upgrades!$P$17,I368)*POWER(Upgrades!$P$18,J368)*POWER(Upgrades!$P$19,K368)*POWER(Upgrades!$P$20,L368)*POWER(Upgrades!$P$21,M368))*(IF(Upgrades!$T$13="Brown Dwarf",POWER(Upgrades!$U$13,E368),1)*IF(Upgrades!$T$14="Brown Dwarf",POWER(Upgrades!$U$14,F368),1)*IF(Upgrades!$T$15="Brown Dwarf",POWER(Upgrades!$U$15,G368),1)*IF(Upgrades!$T$16="Brown Dwarf",POWER(Upgrades!$U$16,H368),1)*IF(Upgrades!$T$18="Brown Dwarf",POWER(Upgrades!$U$18,J368),1)*IF(Upgrades!$T$19="Brown Dwarf",POWER(Upgrades!$U$19,K368),1)*IF(Upgrades!$T$20="Brown Dwarf",POWER(Upgrades!$U$20,L368),1)*IF(Upgrades!$T$21="Brown Dwarf",POWER(Upgrades!$U$21,M368),1))*$F$6+(((IF(H368=0,0,(Upgrades!$M$16+H368*Upgrades!$N$16)*POWER(Upgrades!$O$16,H368)))*(IF(Upgrades!$T$13="Roche Lobe Overflow",POWER(Upgrades!$U$13,E368),1)*IF(Upgrades!$T$14="Roche Lobe Overflow",POWER(Upgrades!$U$14,F368),1)*IF(Upgrades!$T$15="Roche Lobe Overflow",POWER(Upgrades!$U$15,G368),1)*IF(Upgrades!$T$17="Roche Lobe Overflow",POWER(Upgrades!$U$17,I368),1)*IF(Upgrades!$T$18="Roche Lobe Overflow",POWER(Upgrades!$U$18,J368),1)*IF(Upgrades!$T$19="Roche Lobe Overflow",POWER(Upgrades!$U$19,K368),1)*IF(Upgrades!$T$20="Roche Lobe Overflow",POWER(Upgrades!$U$20,L368),1)*IF(Upgrades!$T$21="Roche Lobe Overflow",POWER(Upgrades!$U$21,M368),1))*POWER(Upgrades!$R$13,E368)*POWER(Upgrades!$R$14,F368)*POWER(Upgrades!$R$15,G368)*POWER(Upgrades!$R$16,H368)*POWER(Upgrades!$R$17,I368)*POWER(Upgrades!$R$18,J368)*POWER(Upgrades!$R$19,K368)*POWER(Upgrades!$R$20,L368)*POWER(Upgrades!$R$21,M368)*$H$6)*O368)*0.10)/AO368,0)</f>
        <v/>
      </c>
      <c r="BD368" s="32">
        <f>MAX(IF(J368&gt;0,0,IFERROR(0.5*((IF(G368=0,0,(Upgrades!$J$15+G368*Upgrades!$K$15)*POWER(Upgrades!$L$15,G368)))*(IF(Upgrades!$T$13="Microlensing",POWER(Upgrades!$U$13,E368),1)*IF(Upgrades!$T$14="Microlensing",POWER(Upgrades!$U$14,F368),1)*IF(Upgrades!$T$16="Microlensing",POWER(Upgrades!$U$16,H368),1)*IF(Upgrades!$T$17="Microlensing",POWER(Upgrades!$U$17,I368),1)*IF(Upgrades!$T$18="Microlensing",POWER(Upgrades!$U$18,J368),1)*IF(Upgrades!$T$19="Microlensing",POWER(Upgrades!$U$19,K368),1)*IF(Upgrades!$T$20="Microlensing",POWER(Upgrades!$U$20,L368),1)*IF(Upgrades!$T$21="Microlensing",POWER(Upgrades!$U$21,M368),1))*(POWER(Upgrades!$Q$13,E368)*POWER(Upgrades!$Q$14,F368)*POWER(Upgrades!$Q$15,G368)*POWER(Upgrades!$Q$16,H368)*POWER(Upgrades!$Q$17,I368)*POWER(Upgrades!$Q$18,J368)*POWER(Upgrades!$Q$19,K368)*POWER(Upgrades!$Q$20,L368)*POWER(Upgrades!$Q$21,M368))*$G$6*(Parameters!$B$10/60*Parameters!$B$11+Q368))/Upgrades!$C$18,0)),IF(K368&gt;0,0,IFERROR(0.30*P368/Upgrades!$C$19,0)),IF(L368&gt;0,0,IFERROR(0.0001/Upgrades!$C$20,0)),IF(M368&gt;0,0,IFERROR((6.0*(POWER(Upgrades!$P$13,E368)*POWER(Upgrades!$P$14,F368)*POWER(Upgrades!$P$15,G368)*POWER(Upgrades!$P$16,H368)*POWER(Upgrades!$P$17,I368)*POWER(Upgrades!$P$18,J368)*POWER(Upgrades!$P$19,K368)*POWER(Upgrades!$P$20,L368)*POWER(Upgrades!$P$21,M368))*$F$6+0.20*O368*(Parameters!$B$10/60*Parameters!$B$11+Q368))/Upgrades!$C$21,0)),IF(AND(ISNUMBER(AK368),AK368&gt;(C368+T368)),AY368,0),IF(AND(ISNUMBER(AL368),AL368&gt;(C368+T368)),AZ368,0),IF(AND(ISNUMBER(AM368),AM368&gt;(C368+T368)),BA368,0),IF(AND(ISNUMBER(AN368),AN368&gt;(C368+T368)),BB368,0),IF(AND(ISNUMBER(AO368),AO368&gt;(C368+T368)),BC368,0))</f>
        <v/>
      </c>
      <c r="BE368" s="29">
        <f>IF(AT368=1,"transition",IF(MIN(IF(AND(J368=0,ISNUMBER(AP368),AP368&lt;=(C368+T368)),AP368,9E15),IF(AND(K368=0,ISNUMBER(AQ368),AQ368&lt;=(C368+T368)),AQ368,9E15),IF(AND(L368=0,ISNUMBER(AR368),AR368&lt;=(C368+T368)),AR368,9E15),IF(AND(M368=0,ISNUMBER(AS368),AS368&lt;=(C368+T368)),AS368,9E15))&lt;9E15,IF(AND(AND(J368=0,ISNUMBER(AP368),AP368&lt;=(C368+T368)),AP368=MIN(IF(AND(J368=0,ISNUMBER(AP368),AP368&lt;=(C368+T368)),AP368,9E15),IF(AND(K368=0,ISNUMBER(AQ368),AQ368&lt;=(C368+T368)),AQ368,9E15),IF(AND(L368=0,ISNUMBER(AR368),AR368&lt;=(C368+T368)),AR368,9E15),IF(AND(M368=0,ISNUMBER(AS368),AS368&lt;=(C368+T368)),AS368,9E15))),"BiP",IF(AND(AND(K368=0,ISNUMBER(AQ368),AQ368&lt;=(C368+T368)),AQ368=MIN(IF(AND(J368=0,ISNUMBER(AP368),AP368&lt;=(C368+T368)),AP368,9E15),IF(AND(K368=0,ISNUMBER(AQ368),AQ368&lt;=(C368+T368)),AQ368,9E15),IF(AND(L368=0,ISNUMBER(AR368),AR368&lt;=(C368+T368)),AR368,9E15),IF(AND(M368=0,ISNUMBER(AS368),AS368&lt;=(C368+T368)),AS368,9E15))),"PV",IF(AND(AND(L368=0,ISNUMBER(AR368),AR368&lt;=(C368+T368)),AR368=MIN(IF(AND(J368=0,ISNUMBER(AP368),AP368&lt;=(C368+T368)),AP368,9E15),IF(AND(K368=0,ISNUMBER(AQ368),AQ368&lt;=(C368+T368)),AQ368,9E15),IF(AND(L368=0,ISNUMBER(AR368),AR368&lt;=(C368+T368)),AR368,9E15),IF(AND(M368=0,ISNUMBER(AS368),AS368&lt;=(C368+T368)),AS368,9E15))),"OC","MG"))),IF(AX368=TRUE,"",IF(MAX(IF(AND(NOT(AND(AU368=1,AT368&lt;&gt;1)),ISNUMBER(AK368),AK368&lt;=(C368+T368)),AY368,0),IF(AND(NOT(AND(AU368=1,AT368&lt;&gt;1)),ISNUMBER(AL368),AL368&lt;=(C368+T368)),AZ368,0),IF(AND(NOT(AND(AU368=1,AT368&lt;&gt;1)),ISNUMBER(AM368),AM368&lt;=(C368+T368)),BA368,0),IF(AND(NOT(AND(AU368=1,AT368&lt;&gt;1)),ISNUMBER(AN368),AN368&lt;=(C368+T368)),BB368,0),IF(AND(ISNUMBER(AO368),AO368&lt;=(C368+T368)),BC368,0))&lt;=0,"",IF(AND(IF(AND(NOT(AND(AU368=1,AT368&lt;&gt;1)),ISNUMBER(AK368),AK368&lt;=(C368+T368)),AY368,0)&gt;0,IF(AND(NOT(AND(AU368=1,AT368&lt;&gt;1)),ISNUMBER(AK368),AK368&lt;=(C368+T368)),AY368,0)=MAX(IF(AND(NOT(AND(AU368=1,AT368&lt;&gt;1)),ISNUMBER(AK368),AK368&lt;=(C368+T368)),AY368,0),IF(AND(NOT(AND(AU368=1,AT368&lt;&gt;1)),ISNUMBER(AL368),AL368&lt;=(C368+T368)),AZ368,0),IF(AND(NOT(AND(AU368=1,AT368&lt;&gt;1)),ISNUMBER(AM368),AM368&lt;=(C368+T368)),BA368,0),IF(AND(NOT(AND(AU368=1,AT368&lt;&gt;1)),ISNUMBER(AN368),AN368&lt;=(C368+T368)),BB368,0),IF(AND(ISNUMBER(AO368),AO368&lt;=(C368+T368)),BC368,0))),"SK",IF(AND(IF(AND(NOT(AND(AU368=1,AT368&lt;&gt;1)),ISNUMBER(AL368),AL368&lt;=(C368+T368)),AZ368,0)&gt;0,IF(AND(NOT(AND(AU368=1,AT368&lt;&gt;1)),ISNUMBER(AL368),AL368&lt;=(C368+T368)),AZ368,0)=MAX(IF(AND(NOT(AND(AU368=1,AT368&lt;&gt;1)),ISNUMBER(AK368),AK368&lt;=(C368+T368)),AY368,0),IF(AND(NOT(AND(AU368=1,AT368&lt;&gt;1)),ISNUMBER(AL368),AL368&lt;=(C368+T368)),AZ368,0),IF(AND(NOT(AND(AU368=1,AT368&lt;&gt;1)),ISNUMBER(AM368),AM368&lt;=(C368+T368)),BA368,0),IF(AND(NOT(AND(AU368=1,AT368&lt;&gt;1)),ISNUMBER(AN368),AN368&lt;=(C368+T368)),BB368,0),IF(AND(ISNUMBER(AO368),AO368&lt;=(C368+T368)),BC368,0))),"LB",IF(AND(IF(AND(NOT(AND(AU368=1,AT368&lt;&gt;1)),ISNUMBER(AM368),AM368&lt;=(C368+T368)),BA368,0)&gt;0,IF(AND(NOT(AND(AU368=1,AT368&lt;&gt;1)),ISNUMBER(AM368),AM368&lt;=(C368+T368)),BA368,0)=MAX(IF(AND(NOT(AND(AU368=1,AT368&lt;&gt;1)),ISNUMBER(AK368),AK368&lt;=(C368+T368)),AY368,0),IF(AND(NOT(AND(AU368=1,AT368&lt;&gt;1)),ISNUMBER(AL368),AL368&lt;=(C368+T368)),AZ368,0),IF(AND(NOT(AND(AU368=1,AT368&lt;&gt;1)),ISNUMBER(AM368),AM368&lt;=(C368+T368)),BA368,0),IF(AND(NOT(AND(AU368=1,AT368&lt;&gt;1)),ISNUMBER(AN368),AN368&lt;=(C368+T368)),BB368,0),IF(AND(ISNUMBER(AO368),AO368&lt;=(C368+T368)),BC368,0))),"ML",IF(AND(IF(AND(NOT(AND(AU368=1,AT368&lt;&gt;1)),ISNUMBER(AN368),AN368&lt;=(C368+T368)),BB368,0)&gt;0,IF(AND(NOT(AND(AU368=1,AT368&lt;&gt;1)),ISNUMBER(AN368),AN368&lt;=(C368+T368)),BB368,0)=MAX(IF(AND(NOT(AND(AU368=1,AT368&lt;&gt;1)),ISNUMBER(AK368),AK368&lt;=(C368+T368)),AY368,0),IF(AND(NOT(AND(AU368=1,AT368&lt;&gt;1)),ISNUMBER(AL368),AL368&lt;=(C368+T368)),AZ368,0),IF(AND(NOT(AND(AU368=1,AT368&lt;&gt;1)),ISNUMBER(AM368),AM368&lt;=(C368+T368)),BA368,0),IF(AND(NOT(AND(AU368=1,AT368&lt;&gt;1)),ISNUMBER(AN368),AN368&lt;=(C368+T368)),BB368,0),IF(AND(ISNUMBER(AO368),AO368&lt;=(C368+T368)),BC368,0))),"RLO","BD"))))))))</f>
        <v/>
      </c>
    </row>
    <row r="369">
      <c r="A369" s="26" t="n">
        <v>358</v>
      </c>
      <c r="B369" s="27">
        <f>A369*10/60</f>
        <v/>
      </c>
      <c r="C369" s="22">
        <f>X368</f>
        <v/>
      </c>
      <c r="D369" s="27">
        <f>D368+W368</f>
        <v/>
      </c>
      <c r="E369" s="26">
        <f>E368+IF(U368="SK",1,0)</f>
        <v/>
      </c>
      <c r="F369" s="26">
        <f>F368+IF(U368="LB",1,0)</f>
        <v/>
      </c>
      <c r="G369" s="26">
        <f>G368+IF(U368="ML",1,0)</f>
        <v/>
      </c>
      <c r="H369" s="26">
        <f>H368+IF(U368="RLO",1,0)</f>
        <v/>
      </c>
      <c r="I369" s="26">
        <f>I368+IF(U368="BD",1,0)</f>
        <v/>
      </c>
      <c r="J369" s="26">
        <f>MAX(J368,IF(U368="BiP",1,0))</f>
        <v/>
      </c>
      <c r="K369" s="26">
        <f>MAX(K368,IF(U368="PV",1,0))</f>
        <v/>
      </c>
      <c r="L369" s="26">
        <f>MAX(L368,IF(U368="OC",1,0))</f>
        <v/>
      </c>
      <c r="M369" s="26">
        <f>MAX(M368,IF(U368="MG",1,0))</f>
        <v/>
      </c>
      <c r="N369" s="26">
        <f>MAX(N368,IF(U368="transition",1,0))</f>
        <v/>
      </c>
      <c r="O369" s="28">
        <f>(Parameters!$B$9+(IF(E369=0,0,(Upgrades!$J$13+E369*Upgrades!$K$13)*POWER(Upgrades!$L$13,E369)))*(IF(Upgrades!$T$14="Stellar Kinematics",POWER(Upgrades!$U$14,F369),1)*IF(Upgrades!$T$15="Stellar Kinematics",POWER(Upgrades!$U$15,G369),1)*IF(Upgrades!$T$16="Stellar Kinematics",POWER(Upgrades!$U$16,H369),1)*IF(Upgrades!$T$17="Stellar Kinematics",POWER(Upgrades!$U$17,I369),1)*IF(Upgrades!$T$18="Stellar Kinematics",POWER(Upgrades!$U$18,J369),1)*IF(Upgrades!$T$19="Stellar Kinematics",POWER(Upgrades!$U$19,K369),1)*IF(Upgrades!$T$20="Stellar Kinematics",POWER(Upgrades!$U$20,L369),1)*IF(Upgrades!$T$21="Stellar Kinematics",POWER(Upgrades!$U$21,M369),1))+(IF(F369=0,0,(Upgrades!$J$14+F369*Upgrades!$K$14)*POWER(Upgrades!$L$14,F369)))*(IF(Upgrades!$T$13="Local Bubble",POWER(Upgrades!$U$13,E369),1)*IF(Upgrades!$T$15="Local Bubble",POWER(Upgrades!$U$15,G369),1)*IF(Upgrades!$T$16="Local Bubble",POWER(Upgrades!$U$16,H369),1)*IF(Upgrades!$T$17="Local Bubble",POWER(Upgrades!$U$17,I369),1)*IF(Upgrades!$T$18="Local Bubble",POWER(Upgrades!$U$18,J369),1)*IF(Upgrades!$T$19="Local Bubble",POWER(Upgrades!$U$19,K369),1)*IF(Upgrades!$T$20="Local Bubble",POWER(Upgrades!$U$20,L369),1)*IF(Upgrades!$T$21="Local Bubble",POWER(Upgrades!$U$21,M369),1))+(IF(G369=0,0,(Upgrades!$J$15+G369*Upgrades!$K$15)*POWER(Upgrades!$L$15,G369)))*(IF(Upgrades!$T$13="Microlensing",POWER(Upgrades!$U$13,E369),1)*IF(Upgrades!$T$14="Microlensing",POWER(Upgrades!$U$14,F369),1)*IF(Upgrades!$T$16="Microlensing",POWER(Upgrades!$U$16,H369),1)*IF(Upgrades!$T$17="Microlensing",POWER(Upgrades!$U$17,I369),1)*IF(Upgrades!$T$18="Microlensing",POWER(Upgrades!$U$18,J369),1)*IF(Upgrades!$T$19="Microlensing",POWER(Upgrades!$U$19,K369),1)*IF(Upgrades!$T$20="Microlensing",POWER(Upgrades!$U$20,L369),1)*IF(Upgrades!$T$21="Microlensing",POWER(Upgrades!$U$21,M369),1))+(IF(H369=0,0,(Upgrades!$J$16+H369*Upgrades!$K$16)*POWER(Upgrades!$L$16,H369)))*(IF(Upgrades!$T$13="Roche Lobe Overflow",POWER(Upgrades!$U$13,E369),1)*IF(Upgrades!$T$14="Roche Lobe Overflow",POWER(Upgrades!$U$14,F369),1)*IF(Upgrades!$T$15="Roche Lobe Overflow",POWER(Upgrades!$U$15,G369),1)*IF(Upgrades!$T$17="Roche Lobe Overflow",POWER(Upgrades!$U$17,I369),1)*IF(Upgrades!$T$18="Roche Lobe Overflow",POWER(Upgrades!$U$18,J369),1)*IF(Upgrades!$T$19="Roche Lobe Overflow",POWER(Upgrades!$U$19,K369),1)*IF(Upgrades!$T$20="Roche Lobe Overflow",POWER(Upgrades!$U$20,L369),1)*IF(Upgrades!$T$21="Roche Lobe Overflow",POWER(Upgrades!$U$21,M369),1))+(IF(I369=0,0,(Upgrades!$J$17+I369*Upgrades!$K$17)*POWER(Upgrades!$L$17,I369)))*(IF(Upgrades!$T$13="Brown Dwarf",POWER(Upgrades!$U$13,E369),1)*IF(Upgrades!$T$14="Brown Dwarf",POWER(Upgrades!$U$14,F369),1)*IF(Upgrades!$T$15="Brown Dwarf",POWER(Upgrades!$U$15,G369),1)*IF(Upgrades!$T$16="Brown Dwarf",POWER(Upgrades!$U$16,H369),1)*IF(Upgrades!$T$18="Brown Dwarf",POWER(Upgrades!$U$18,J369),1)*IF(Upgrades!$T$19="Brown Dwarf",POWER(Upgrades!$U$19,K369),1)*IF(Upgrades!$T$20="Brown Dwarf",POWER(Upgrades!$U$20,L369),1)*IF(Upgrades!$T$21="Brown Dwarf",POWER(Upgrades!$U$21,M369),1))+(IF(J369=0,0,(Upgrades!$J$18+J369*Upgrades!$K$18)*POWER(Upgrades!$L$18,J369)))*(IF(Upgrades!$T$13="Binary Partner",POWER(Upgrades!$U$13,E369),1)*IF(Upgrades!$T$14="Binary Partner",POWER(Upgrades!$U$14,F369),1)*IF(Upgrades!$T$15="Binary Partner",POWER(Upgrades!$U$15,G369),1)*IF(Upgrades!$T$16="Binary Partner",POWER(Upgrades!$U$16,H369),1)*IF(Upgrades!$T$17="Binary Partner",POWER(Upgrades!$U$17,I369),1)*IF(Upgrades!$T$19="Binary Partner",POWER(Upgrades!$U$19,K369),1)*IF(Upgrades!$T$20="Binary Partner",POWER(Upgrades!$U$20,L369),1)*IF(Upgrades!$T$21="Binary Partner",POWER(Upgrades!$U$21,M369),1))+(IF(K369=0,0,(Upgrades!$J$19+K369*Upgrades!$K$19)*POWER(Upgrades!$L$19,K369)))*(IF(Upgrades!$T$13="Peculiar Velocity",POWER(Upgrades!$U$13,E369),1)*IF(Upgrades!$T$14="Peculiar Velocity",POWER(Upgrades!$U$14,F369),1)*IF(Upgrades!$T$15="Peculiar Velocity",POWER(Upgrades!$U$15,G369),1)*IF(Upgrades!$T$16="Peculiar Velocity",POWER(Upgrades!$U$16,H369),1)*IF(Upgrades!$T$17="Peculiar Velocity",POWER(Upgrades!$U$17,I369),1)*IF(Upgrades!$T$18="Peculiar Velocity",POWER(Upgrades!$U$18,J369),1)*IF(Upgrades!$T$20="Peculiar Velocity",POWER(Upgrades!$U$20,L369),1)*IF(Upgrades!$T$21="Peculiar Velocity",POWER(Upgrades!$U$21,M369),1))+(IF(L369=0,0,(Upgrades!$J$20+L369*Upgrades!$K$20)*POWER(Upgrades!$L$20,L369)))*(IF(Upgrades!$T$13="Open Cluster",POWER(Upgrades!$U$13,E369),1)*IF(Upgrades!$T$14="Open Cluster",POWER(Upgrades!$U$14,F369),1)*IF(Upgrades!$T$15="Open Cluster",POWER(Upgrades!$U$15,G369),1)*IF(Upgrades!$T$16="Open Cluster",POWER(Upgrades!$U$16,H369),1)*IF(Upgrades!$T$17="Open Cluster",POWER(Upgrades!$U$17,I369),1)*IF(Upgrades!$T$18="Open Cluster",POWER(Upgrades!$U$18,J369),1)*IF(Upgrades!$T$19="Open Cluster",POWER(Upgrades!$U$19,K369),1)*IF(Upgrades!$T$21="Open Cluster",POWER(Upgrades!$U$21,M369),1))+(IF(M369=0,0,(Upgrades!$J$21+M369*Upgrades!$K$21)*POWER(Upgrades!$L$21,M369)))*(IF(Upgrades!$T$13="Moving Group",POWER(Upgrades!$U$13,E369),1)*IF(Upgrades!$T$14="Moving Group",POWER(Upgrades!$U$14,F369),1)*IF(Upgrades!$T$15="Moving Group",POWER(Upgrades!$U$15,G369),1)*IF(Upgrades!$T$16="Moving Group",POWER(Upgrades!$U$16,H369),1)*IF(Upgrades!$T$17="Moving Group",POWER(Upgrades!$U$17,I369),1)*IF(Upgrades!$T$18="Moving Group",POWER(Upgrades!$U$18,J369),1)*IF(Upgrades!$T$19="Moving Group",POWER(Upgrades!$U$19,K369),1)*IF(Upgrades!$T$20="Moving Group",POWER(Upgrades!$U$20,L369),1)))*POWER(Upgrades!$Q$13,E369)*POWER(Upgrades!$Q$14,F369)*POWER(Upgrades!$Q$15,G369)*POWER(Upgrades!$Q$16,H369)*POWER(Upgrades!$Q$17,I369)*POWER(Upgrades!$Q$18,J369)*POWER(Upgrades!$Q$19,K369)*POWER(Upgrades!$Q$20,L369)*POWER(Upgrades!$Q$21,M369)*$G$6+$D$6</f>
        <v/>
      </c>
      <c r="P369" s="28">
        <f>((IF(E369=0,0,(Upgrades!$G$13+E369*Upgrades!$H$13)*POWER(Upgrades!$I$13,E369)))*(IF(Upgrades!$T$14="Stellar Kinematics",POWER(Upgrades!$U$14,F369),1)*IF(Upgrades!$T$15="Stellar Kinematics",POWER(Upgrades!$U$15,G369),1)*IF(Upgrades!$T$16="Stellar Kinematics",POWER(Upgrades!$U$16,H369),1)*IF(Upgrades!$T$17="Stellar Kinematics",POWER(Upgrades!$U$17,I369),1)*IF(Upgrades!$T$18="Stellar Kinematics",POWER(Upgrades!$U$18,J369),1)*IF(Upgrades!$T$19="Stellar Kinematics",POWER(Upgrades!$U$19,K369),1)*IF(Upgrades!$T$20="Stellar Kinematics",POWER(Upgrades!$U$20,L369),1)*IF(Upgrades!$T$21="Stellar Kinematics",POWER(Upgrades!$U$21,M369),1))+(IF(F369=0,0,(Upgrades!$G$14+F369*Upgrades!$H$14)*POWER(Upgrades!$I$14,F369)))*(IF(Upgrades!$T$13="Local Bubble",POWER(Upgrades!$U$13,E369),1)*IF(Upgrades!$T$15="Local Bubble",POWER(Upgrades!$U$15,G369),1)*IF(Upgrades!$T$16="Local Bubble",POWER(Upgrades!$U$16,H369),1)*IF(Upgrades!$T$17="Local Bubble",POWER(Upgrades!$U$17,I369),1)*IF(Upgrades!$T$18="Local Bubble",POWER(Upgrades!$U$18,J369),1)*IF(Upgrades!$T$19="Local Bubble",POWER(Upgrades!$U$19,K369),1)*IF(Upgrades!$T$20="Local Bubble",POWER(Upgrades!$U$20,L369),1)*IF(Upgrades!$T$21="Local Bubble",POWER(Upgrades!$U$21,M369),1))+(IF(G369=0,0,(Upgrades!$G$15+G369*Upgrades!$H$15)*POWER(Upgrades!$I$15,G369)))*(IF(Upgrades!$T$13="Microlensing",POWER(Upgrades!$U$13,E369),1)*IF(Upgrades!$T$14="Microlensing",POWER(Upgrades!$U$14,F369),1)*IF(Upgrades!$T$16="Microlensing",POWER(Upgrades!$U$16,H369),1)*IF(Upgrades!$T$17="Microlensing",POWER(Upgrades!$U$17,I369),1)*IF(Upgrades!$T$18="Microlensing",POWER(Upgrades!$U$18,J369),1)*IF(Upgrades!$T$19="Microlensing",POWER(Upgrades!$U$19,K369),1)*IF(Upgrades!$T$20="Microlensing",POWER(Upgrades!$U$20,L369),1)*IF(Upgrades!$T$21="Microlensing",POWER(Upgrades!$U$21,M369),1))+(IF(H369=0,0,(Upgrades!$G$16+H369*Upgrades!$H$16)*POWER(Upgrades!$I$16,H369)))*(IF(Upgrades!$T$13="Roche Lobe Overflow",POWER(Upgrades!$U$13,E369),1)*IF(Upgrades!$T$14="Roche Lobe Overflow",POWER(Upgrades!$U$14,F369),1)*IF(Upgrades!$T$15="Roche Lobe Overflow",POWER(Upgrades!$U$15,G369),1)*IF(Upgrades!$T$17="Roche Lobe Overflow",POWER(Upgrades!$U$17,I369),1)*IF(Upgrades!$T$18="Roche Lobe Overflow",POWER(Upgrades!$U$18,J369),1)*IF(Upgrades!$T$19="Roche Lobe Overflow",POWER(Upgrades!$U$19,K369),1)*IF(Upgrades!$T$20="Roche Lobe Overflow",POWER(Upgrades!$U$20,L369),1)*IF(Upgrades!$T$21="Roche Lobe Overflow",POWER(Upgrades!$U$21,M369),1))+(IF(I369=0,0,(Upgrades!$G$17+I369*Upgrades!$H$17)*POWER(Upgrades!$I$17,I369)))*(IF(Upgrades!$T$13="Brown Dwarf",POWER(Upgrades!$U$13,E369),1)*IF(Upgrades!$T$14="Brown Dwarf",POWER(Upgrades!$U$14,F369),1)*IF(Upgrades!$T$15="Brown Dwarf",POWER(Upgrades!$U$15,G369),1)*IF(Upgrades!$T$16="Brown Dwarf",POWER(Upgrades!$U$16,H369),1)*IF(Upgrades!$T$18="Brown Dwarf",POWER(Upgrades!$U$18,J369),1)*IF(Upgrades!$T$19="Brown Dwarf",POWER(Upgrades!$U$19,K369),1)*IF(Upgrades!$T$20="Brown Dwarf",POWER(Upgrades!$U$20,L369),1)*IF(Upgrades!$T$21="Brown Dwarf",POWER(Upgrades!$U$21,M369),1))+(IF(J369=0,0,(Upgrades!$G$18+J369*Upgrades!$H$18)*POWER(Upgrades!$I$18,J369)))*(IF(Upgrades!$T$13="Binary Partner",POWER(Upgrades!$U$13,E369),1)*IF(Upgrades!$T$14="Binary Partner",POWER(Upgrades!$U$14,F369),1)*IF(Upgrades!$T$15="Binary Partner",POWER(Upgrades!$U$15,G369),1)*IF(Upgrades!$T$16="Binary Partner",POWER(Upgrades!$U$16,H369),1)*IF(Upgrades!$T$17="Binary Partner",POWER(Upgrades!$U$17,I369),1)*IF(Upgrades!$T$19="Binary Partner",POWER(Upgrades!$U$19,K369),1)*IF(Upgrades!$T$20="Binary Partner",POWER(Upgrades!$U$20,L369),1)*IF(Upgrades!$T$21="Binary Partner",POWER(Upgrades!$U$21,M369),1))+(IF(K369=0,0,(Upgrades!$G$19+K369*Upgrades!$H$19)*POWER(Upgrades!$I$19,K369)))*(IF(Upgrades!$T$13="Peculiar Velocity",POWER(Upgrades!$U$13,E369),1)*IF(Upgrades!$T$14="Peculiar Velocity",POWER(Upgrades!$U$14,F369),1)*IF(Upgrades!$T$15="Peculiar Velocity",POWER(Upgrades!$U$15,G369),1)*IF(Upgrades!$T$16="Peculiar Velocity",POWER(Upgrades!$U$16,H369),1)*IF(Upgrades!$T$17="Peculiar Velocity",POWER(Upgrades!$U$17,I369),1)*IF(Upgrades!$T$18="Peculiar Velocity",POWER(Upgrades!$U$18,J369),1)*IF(Upgrades!$T$20="Peculiar Velocity",POWER(Upgrades!$U$20,L369),1)*IF(Upgrades!$T$21="Peculiar Velocity",POWER(Upgrades!$U$21,M369),1))+(IF(L369=0,0,(Upgrades!$G$20+L369*Upgrades!$H$20)*POWER(Upgrades!$I$20,L369)))*(IF(Upgrades!$T$13="Open Cluster",POWER(Upgrades!$U$13,E369),1)*IF(Upgrades!$T$14="Open Cluster",POWER(Upgrades!$U$14,F369),1)*IF(Upgrades!$T$15="Open Cluster",POWER(Upgrades!$U$15,G369),1)*IF(Upgrades!$T$16="Open Cluster",POWER(Upgrades!$U$16,H369),1)*IF(Upgrades!$T$17="Open Cluster",POWER(Upgrades!$U$17,I369),1)*IF(Upgrades!$T$18="Open Cluster",POWER(Upgrades!$U$18,J369),1)*IF(Upgrades!$T$19="Open Cluster",POWER(Upgrades!$U$19,K369),1)*IF(Upgrades!$T$21="Open Cluster",POWER(Upgrades!$U$21,M369),1))+(IF(M369=0,0,(Upgrades!$G$21+M369*Upgrades!$H$21)*POWER(Upgrades!$I$21,M369)))*(IF(Upgrades!$T$13="Moving Group",POWER(Upgrades!$U$13,E369),1)*IF(Upgrades!$T$14="Moving Group",POWER(Upgrades!$U$14,F369),1)*IF(Upgrades!$T$15="Moving Group",POWER(Upgrades!$U$15,G369),1)*IF(Upgrades!$T$16="Moving Group",POWER(Upgrades!$U$16,H369),1)*IF(Upgrades!$T$17="Moving Group",POWER(Upgrades!$U$17,I369),1)*IF(Upgrades!$T$18="Moving Group",POWER(Upgrades!$U$18,J369),1)*IF(Upgrades!$T$19="Moving Group",POWER(Upgrades!$U$19,K369),1)*IF(Upgrades!$T$20="Moving Group",POWER(Upgrades!$U$20,L369),1)))*POWER(Upgrades!$P$13,E369)*POWER(Upgrades!$P$14,F369)*POWER(Upgrades!$P$15,G369)*POWER(Upgrades!$P$16,H369)*POWER(Upgrades!$P$17,I369)*POWER(Upgrades!$P$18,J369)*POWER(Upgrades!$P$19,K369)*POWER(Upgrades!$P$20,L369)*POWER(Upgrades!$P$21,M369)*$F$6+$C$6</f>
        <v/>
      </c>
      <c r="Q369" s="28">
        <f>((IF(E369=0,0,(Upgrades!$M$13+E369*Upgrades!$N$13)*POWER(Upgrades!$O$13,E369)))*(IF(Upgrades!$T$14="Stellar Kinematics",POWER(Upgrades!$U$14,F369),1)*IF(Upgrades!$T$15="Stellar Kinematics",POWER(Upgrades!$U$15,G369),1)*IF(Upgrades!$T$16="Stellar Kinematics",POWER(Upgrades!$U$16,H369),1)*IF(Upgrades!$T$17="Stellar Kinematics",POWER(Upgrades!$U$17,I369),1)*IF(Upgrades!$T$18="Stellar Kinematics",POWER(Upgrades!$U$18,J369),1)*IF(Upgrades!$T$19="Stellar Kinematics",POWER(Upgrades!$U$19,K369),1)*IF(Upgrades!$T$20="Stellar Kinematics",POWER(Upgrades!$U$20,L369),1)*IF(Upgrades!$T$21="Stellar Kinematics",POWER(Upgrades!$U$21,M369),1))+(IF(F369=0,0,(Upgrades!$M$14+F369*Upgrades!$N$14)*POWER(Upgrades!$O$14,F369)))*(IF(Upgrades!$T$13="Local Bubble",POWER(Upgrades!$U$13,E369),1)*IF(Upgrades!$T$15="Local Bubble",POWER(Upgrades!$U$15,G369),1)*IF(Upgrades!$T$16="Local Bubble",POWER(Upgrades!$U$16,H369),1)*IF(Upgrades!$T$17="Local Bubble",POWER(Upgrades!$U$17,I369),1)*IF(Upgrades!$T$18="Local Bubble",POWER(Upgrades!$U$18,J369),1)*IF(Upgrades!$T$19="Local Bubble",POWER(Upgrades!$U$19,K369),1)*IF(Upgrades!$T$20="Local Bubble",POWER(Upgrades!$U$20,L369),1)*IF(Upgrades!$T$21="Local Bubble",POWER(Upgrades!$U$21,M369),1))+(IF(G369=0,0,(Upgrades!$M$15+G369*Upgrades!$N$15)*POWER(Upgrades!$O$15,G369)))*(IF(Upgrades!$T$13="Microlensing",POWER(Upgrades!$U$13,E369),1)*IF(Upgrades!$T$14="Microlensing",POWER(Upgrades!$U$14,F369),1)*IF(Upgrades!$T$16="Microlensing",POWER(Upgrades!$U$16,H369),1)*IF(Upgrades!$T$17="Microlensing",POWER(Upgrades!$U$17,I369),1)*IF(Upgrades!$T$18="Microlensing",POWER(Upgrades!$U$18,J369),1)*IF(Upgrades!$T$19="Microlensing",POWER(Upgrades!$U$19,K369),1)*IF(Upgrades!$T$20="Microlensing",POWER(Upgrades!$U$20,L369),1)*IF(Upgrades!$T$21="Microlensing",POWER(Upgrades!$U$21,M369),1))+(IF(H369=0,0,(Upgrades!$M$16+H369*Upgrades!$N$16)*POWER(Upgrades!$O$16,H369)))*(IF(Upgrades!$T$13="Roche Lobe Overflow",POWER(Upgrades!$U$13,E369),1)*IF(Upgrades!$T$14="Roche Lobe Overflow",POWER(Upgrades!$U$14,F369),1)*IF(Upgrades!$T$15="Roche Lobe Overflow",POWER(Upgrades!$U$15,G369),1)*IF(Upgrades!$T$17="Roche Lobe Overflow",POWER(Upgrades!$U$17,I369),1)*IF(Upgrades!$T$18="Roche Lobe Overflow",POWER(Upgrades!$U$18,J369),1)*IF(Upgrades!$T$19="Roche Lobe Overflow",POWER(Upgrades!$U$19,K369),1)*IF(Upgrades!$T$20="Roche Lobe Overflow",POWER(Upgrades!$U$20,L369),1)*IF(Upgrades!$T$21="Roche Lobe Overflow",POWER(Upgrades!$U$21,M369),1))+(IF(I369=0,0,(Upgrades!$M$17+I369*Upgrades!$N$17)*POWER(Upgrades!$O$17,I369)))*(IF(Upgrades!$T$13="Brown Dwarf",POWER(Upgrades!$U$13,E369),1)*IF(Upgrades!$T$14="Brown Dwarf",POWER(Upgrades!$U$14,F369),1)*IF(Upgrades!$T$15="Brown Dwarf",POWER(Upgrades!$U$15,G369),1)*IF(Upgrades!$T$16="Brown Dwarf",POWER(Upgrades!$U$16,H369),1)*IF(Upgrades!$T$18="Brown Dwarf",POWER(Upgrades!$U$18,J369),1)*IF(Upgrades!$T$19="Brown Dwarf",POWER(Upgrades!$U$19,K369),1)*IF(Upgrades!$T$20="Brown Dwarf",POWER(Upgrades!$U$20,L369),1)*IF(Upgrades!$T$21="Brown Dwarf",POWER(Upgrades!$U$21,M369),1))+(IF(J369=0,0,(Upgrades!$M$18+J369*Upgrades!$N$18)*POWER(Upgrades!$O$18,J369)))*(IF(Upgrades!$T$13="Binary Partner",POWER(Upgrades!$U$13,E369),1)*IF(Upgrades!$T$14="Binary Partner",POWER(Upgrades!$U$14,F369),1)*IF(Upgrades!$T$15="Binary Partner",POWER(Upgrades!$U$15,G369),1)*IF(Upgrades!$T$16="Binary Partner",POWER(Upgrades!$U$16,H369),1)*IF(Upgrades!$T$17="Binary Partner",POWER(Upgrades!$U$17,I369),1)*IF(Upgrades!$T$19="Binary Partner",POWER(Upgrades!$U$19,K369),1)*IF(Upgrades!$T$20="Binary Partner",POWER(Upgrades!$U$20,L369),1)*IF(Upgrades!$T$21="Binary Partner",POWER(Upgrades!$U$21,M369),1))+(IF(K369=0,0,(Upgrades!$M$19+K369*Upgrades!$N$19)*POWER(Upgrades!$O$19,K369)))*(IF(Upgrades!$T$13="Peculiar Velocity",POWER(Upgrades!$U$13,E369),1)*IF(Upgrades!$T$14="Peculiar Velocity",POWER(Upgrades!$U$14,F369),1)*IF(Upgrades!$T$15="Peculiar Velocity",POWER(Upgrades!$U$15,G369),1)*IF(Upgrades!$T$16="Peculiar Velocity",POWER(Upgrades!$U$16,H369),1)*IF(Upgrades!$T$17="Peculiar Velocity",POWER(Upgrades!$U$17,I369),1)*IF(Upgrades!$T$18="Peculiar Velocity",POWER(Upgrades!$U$18,J369),1)*IF(Upgrades!$T$20="Peculiar Velocity",POWER(Upgrades!$U$20,L369),1)*IF(Upgrades!$T$21="Peculiar Velocity",POWER(Upgrades!$U$21,M369),1))+(IF(L369=0,0,(Upgrades!$M$20+L369*Upgrades!$N$20)*POWER(Upgrades!$O$20,L369)))*(IF(Upgrades!$T$13="Open Cluster",POWER(Upgrades!$U$13,E369),1)*IF(Upgrades!$T$14="Open Cluster",POWER(Upgrades!$U$14,F369),1)*IF(Upgrades!$T$15="Open Cluster",POWER(Upgrades!$U$15,G369),1)*IF(Upgrades!$T$16="Open Cluster",POWER(Upgrades!$U$16,H369),1)*IF(Upgrades!$T$17="Open Cluster",POWER(Upgrades!$U$17,I369),1)*IF(Upgrades!$T$18="Open Cluster",POWER(Upgrades!$U$18,J369),1)*IF(Upgrades!$T$19="Open Cluster",POWER(Upgrades!$U$19,K369),1)*IF(Upgrades!$T$21="Open Cluster",POWER(Upgrades!$U$21,M369),1))+(IF(M369=0,0,(Upgrades!$M$21+M369*Upgrades!$N$21)*POWER(Upgrades!$O$21,M369)))*(IF(Upgrades!$T$13="Moving Group",POWER(Upgrades!$U$13,E369),1)*IF(Upgrades!$T$14="Moving Group",POWER(Upgrades!$U$14,F369),1)*IF(Upgrades!$T$15="Moving Group",POWER(Upgrades!$U$15,G369),1)*IF(Upgrades!$T$16="Moving Group",POWER(Upgrades!$U$16,H369),1)*IF(Upgrades!$T$17="Moving Group",POWER(Upgrades!$U$17,I369),1)*IF(Upgrades!$T$18="Moving Group",POWER(Upgrades!$U$18,J369),1)*IF(Upgrades!$T$19="Moving Group",POWER(Upgrades!$U$19,K369),1)*IF(Upgrades!$T$20="Moving Group",POWER(Upgrades!$U$20,L369),1)))*POWER(Upgrades!$R$13,E369)*POWER(Upgrades!$R$14,F369)*POWER(Upgrades!$R$15,G369)*POWER(Upgrades!$R$16,H369)*POWER(Upgrades!$R$17,I369)*POWER(Upgrades!$R$18,J369)*POWER(Upgrades!$R$19,K369)*POWER(Upgrades!$R$20,L369)*POWER(Upgrades!$R$21,M369)*$H$6+$E$6</f>
        <v/>
      </c>
      <c r="R369" s="27">
        <f>IF(N369=1,0,O369*Parameters!$B$10/60*Parameters!$B$11*10)</f>
        <v/>
      </c>
      <c r="S369" s="27">
        <f>IF(N369=1,0,Q369*O369*10)</f>
        <v/>
      </c>
      <c r="T369" s="27">
        <f>IF(N369=1,0,R369+S369+P369*10)</f>
        <v/>
      </c>
      <c r="U369" s="33">
        <f>BE369</f>
        <v/>
      </c>
      <c r="V369" s="22">
        <f>IF(U369="",0,IF(U369="transition",0,IF(U369="SK",AK369,IF(U369="LB",AL369,IF(U369="ML",AM369,IF(U369="RLO",AN369,IF(U369="BD",AO369,IF(U369="BiP",AP369,IF(U369="PV",AQ369,IF(U369="OC",AR369,IF(U369="MG",AS369,0))))))))))</f>
        <v/>
      </c>
      <c r="W369" s="27">
        <f>IF(U369="BiP",Upgrades!$F$18,IF(U369="PV",Upgrades!$F$19,IF(U369="OC",Upgrades!$F$20,IF(U369="MG",Upgrades!$F$21,IF(U369="transition",-Parameters!$B$18*Parameters!$B$19,0)))))</f>
        <v/>
      </c>
      <c r="X369" s="22">
        <f>C369+T369-V369</f>
        <v/>
      </c>
      <c r="Y369" s="30">
        <f>O369*Parameters!$B$10/60*Parameters!$B$11+Q369*O369+P369</f>
        <v/>
      </c>
      <c r="Z369" s="34">
        <f>IF(U369="transition","→ Tier 3 (Galactic Arm)",IF(U369="MG","Moving Group — pocket drifts together",IF(U369="OC","Open Cluster acquired",IF(U369="PV","Peculiar Velocity — passive multiplier active",IF(U369="BiP","Binary Partner — pair bond formed",IF(AND(AU369=1,N369=0,AT369&lt;&gt;1),"Cohesion ready (waiting on completionists)","")))))) </f>
        <v/>
      </c>
      <c r="AA369" s="27">
        <f>(IF(E369=0,0,(Upgrades!$G$13+E369*Upgrades!$H$13)*POWER(Upgrades!$I$13,E369)))*(IF(Upgrades!$T$14="Stellar Kinematics",POWER(Upgrades!$U$14,F369),1)*IF(Upgrades!$T$15="Stellar Kinematics",POWER(Upgrades!$U$15,G369),1)*IF(Upgrades!$T$16="Stellar Kinematics",POWER(Upgrades!$U$16,H369),1)*IF(Upgrades!$T$17="Stellar Kinematics",POWER(Upgrades!$U$17,I369),1)*IF(Upgrades!$T$18="Stellar Kinematics",POWER(Upgrades!$U$18,J369),1)*IF(Upgrades!$T$19="Stellar Kinematics",POWER(Upgrades!$U$19,K369),1)*IF(Upgrades!$T$20="Stellar Kinematics",POWER(Upgrades!$U$20,L369),1)*IF(Upgrades!$T$21="Stellar Kinematics",POWER(Upgrades!$U$21,M369),1))*POWER(Upgrades!$P$13,E369)*POWER(Upgrades!$P$14,F369)*POWER(Upgrades!$P$15,G369)*POWER(Upgrades!$P$16,H369)*POWER(Upgrades!$P$17,I369)*POWER(Upgrades!$P$18,J369)*POWER(Upgrades!$P$19,K369)*POWER(Upgrades!$P$20,L369)*POWER(Upgrades!$P$21,M369)*$F$6*60</f>
        <v/>
      </c>
      <c r="AB369" s="27">
        <f>(IF(F369=0,0,(Upgrades!$G$14+F369*Upgrades!$H$14)*POWER(Upgrades!$I$14,F369)))*(IF(Upgrades!$T$13="Local Bubble",POWER(Upgrades!$U$13,E369),1)*IF(Upgrades!$T$15="Local Bubble",POWER(Upgrades!$U$15,G369),1)*IF(Upgrades!$T$16="Local Bubble",POWER(Upgrades!$U$16,H369),1)*IF(Upgrades!$T$17="Local Bubble",POWER(Upgrades!$U$17,I369),1)*IF(Upgrades!$T$18="Local Bubble",POWER(Upgrades!$U$18,J369),1)*IF(Upgrades!$T$19="Local Bubble",POWER(Upgrades!$U$19,K369),1)*IF(Upgrades!$T$20="Local Bubble",POWER(Upgrades!$U$20,L369),1)*IF(Upgrades!$T$21="Local Bubble",POWER(Upgrades!$U$21,M369),1))*POWER(Upgrades!$P$13,E369)*POWER(Upgrades!$P$14,F369)*POWER(Upgrades!$P$15,G369)*POWER(Upgrades!$P$16,H369)*POWER(Upgrades!$P$17,I369)*POWER(Upgrades!$P$18,J369)*POWER(Upgrades!$P$19,K369)*POWER(Upgrades!$P$20,L369)*POWER(Upgrades!$P$21,M369)*$F$6*60</f>
        <v/>
      </c>
      <c r="AC369" s="27">
        <f>(IF(G369=0,0,(Upgrades!$J$15+G369*Upgrades!$K$15)*POWER(Upgrades!$L$15,G369)))*(IF(Upgrades!$T$13="Microlensing",POWER(Upgrades!$U$13,E369),1)*IF(Upgrades!$T$14="Microlensing",POWER(Upgrades!$U$14,F369),1)*IF(Upgrades!$T$16="Microlensing",POWER(Upgrades!$U$16,H369),1)*IF(Upgrades!$T$17="Microlensing",POWER(Upgrades!$U$17,I369),1)*IF(Upgrades!$T$18="Microlensing",POWER(Upgrades!$U$18,J369),1)*IF(Upgrades!$T$19="Microlensing",POWER(Upgrades!$U$19,K369),1)*IF(Upgrades!$T$20="Microlensing",POWER(Upgrades!$U$20,L369),1)*IF(Upgrades!$T$21="Microlensing",POWER(Upgrades!$U$21,M369),1))*POWER(Upgrades!$Q$13,E369)*POWER(Upgrades!$Q$14,F369)*POWER(Upgrades!$Q$15,G369)*POWER(Upgrades!$Q$16,H369)*POWER(Upgrades!$Q$17,I369)*POWER(Upgrades!$Q$18,J369)*POWER(Upgrades!$Q$19,K369)*POWER(Upgrades!$Q$20,L369)*POWER(Upgrades!$Q$21,M369)*$G$6*(Parameters!$B$10*Parameters!$B$11+Q369*60)</f>
        <v/>
      </c>
      <c r="AD369" s="27">
        <f>(IF(H369=0,0,(Upgrades!$M$16+H369*Upgrades!$N$16)*POWER(Upgrades!$O$16,H369)))*(IF(Upgrades!$T$13="Roche Lobe Overflow",POWER(Upgrades!$U$13,E369),1)*IF(Upgrades!$T$14="Roche Lobe Overflow",POWER(Upgrades!$U$14,F369),1)*IF(Upgrades!$T$15="Roche Lobe Overflow",POWER(Upgrades!$U$15,G369),1)*IF(Upgrades!$T$17="Roche Lobe Overflow",POWER(Upgrades!$U$17,I369),1)*IF(Upgrades!$T$18="Roche Lobe Overflow",POWER(Upgrades!$U$18,J369),1)*IF(Upgrades!$T$19="Roche Lobe Overflow",POWER(Upgrades!$U$19,K369),1)*IF(Upgrades!$T$20="Roche Lobe Overflow",POWER(Upgrades!$U$20,L369),1)*IF(Upgrades!$T$21="Roche Lobe Overflow",POWER(Upgrades!$U$21,M369),1))*POWER(Upgrades!$R$13,E369)*POWER(Upgrades!$R$14,F369)*POWER(Upgrades!$R$15,G369)*POWER(Upgrades!$R$16,H369)*POWER(Upgrades!$R$17,I369)*POWER(Upgrades!$R$18,J369)*POWER(Upgrades!$R$19,K369)*POWER(Upgrades!$R$20,L369)*POWER(Upgrades!$R$21,M369)*$H$6*O369*60</f>
        <v/>
      </c>
      <c r="AE369" s="27">
        <f>(IF(I369=0,0,(Upgrades!$G$17+I369*Upgrades!$H$17)*POWER(Upgrades!$I$17,I369)))*(IF(Upgrades!$T$13="Brown Dwarf",POWER(Upgrades!$U$13,E369),1)*IF(Upgrades!$T$14="Brown Dwarf",POWER(Upgrades!$U$14,F369),1)*IF(Upgrades!$T$15="Brown Dwarf",POWER(Upgrades!$U$15,G369),1)*IF(Upgrades!$T$16="Brown Dwarf",POWER(Upgrades!$U$16,H369),1)*IF(Upgrades!$T$18="Brown Dwarf",POWER(Upgrades!$U$18,J369),1)*IF(Upgrades!$T$19="Brown Dwarf",POWER(Upgrades!$U$19,K369),1)*IF(Upgrades!$T$20="Brown Dwarf",POWER(Upgrades!$U$20,L369),1)*IF(Upgrades!$T$21="Brown Dwarf",POWER(Upgrades!$U$21,M369),1))*POWER(Upgrades!$P$13,E369)*POWER(Upgrades!$P$14,F369)*POWER(Upgrades!$P$15,G369)*POWER(Upgrades!$P$16,H369)*POWER(Upgrades!$P$17,I369)*POWER(Upgrades!$P$18,J369)*POWER(Upgrades!$P$19,K369)*POWER(Upgrades!$P$20,L369)*POWER(Upgrades!$P$21,M369)*$F$6*60</f>
        <v/>
      </c>
      <c r="AF369" s="27" t="n">
        <v>0</v>
      </c>
      <c r="AG369" s="27" t="n">
        <v>0</v>
      </c>
      <c r="AH369" s="27" t="n">
        <v>0</v>
      </c>
      <c r="AI369" s="27">
        <f>(IF(M369=0,0,(Upgrades!$G$21+M369*Upgrades!$H$21)*POWER(Upgrades!$I$21,M369)))*(IF(Upgrades!$T$13="Moving Group",POWER(Upgrades!$U$13,E369),1)*IF(Upgrades!$T$14="Moving Group",POWER(Upgrades!$U$14,F369),1)*IF(Upgrades!$T$15="Moving Group",POWER(Upgrades!$U$15,G369),1)*IF(Upgrades!$T$16="Moving Group",POWER(Upgrades!$U$16,H369),1)*IF(Upgrades!$T$17="Moving Group",POWER(Upgrades!$U$17,I369),1)*IF(Upgrades!$T$18="Moving Group",POWER(Upgrades!$U$18,J369),1)*IF(Upgrades!$T$19="Moving Group",POWER(Upgrades!$U$19,K369),1)*IF(Upgrades!$T$20="Moving Group",POWER(Upgrades!$U$20,L369),1))*POWER(Upgrades!$P$13,E369)*POWER(Upgrades!$P$14,F369)*POWER(Upgrades!$P$15,G369)*POWER(Upgrades!$P$16,H369)*POWER(Upgrades!$P$17,I369)*POWER(Upgrades!$P$18,J369)*POWER(Upgrades!$P$19,K369)*POWER(Upgrades!$P$20,L369)*POWER(Upgrades!$P$21,M369)*$F$6*60</f>
        <v/>
      </c>
      <c r="AJ369" s="27">
        <f>$C$6*60</f>
        <v/>
      </c>
      <c r="AK369" s="22">
        <f>IF(E369&gt;=Upgrades!$E$13,"",Upgrades!$C$13*POWER(Upgrades!$D$13,E369))</f>
        <v/>
      </c>
      <c r="AL369" s="22">
        <f>IF(F369&gt;=Upgrades!$E$14,"",Upgrades!$C$14*POWER(Upgrades!$D$14,F369))</f>
        <v/>
      </c>
      <c r="AM369" s="22">
        <f>IF(G369&gt;=Upgrades!$E$15,"",Upgrades!$C$15*POWER(Upgrades!$D$15,G369))</f>
        <v/>
      </c>
      <c r="AN369" s="22">
        <f>IF(H369&gt;=Upgrades!$E$16,"",Upgrades!$C$16*POWER(Upgrades!$D$16,H369))</f>
        <v/>
      </c>
      <c r="AO369" s="22">
        <f>IF(I369&gt;=Upgrades!$E$17,"",Upgrades!$C$17*POWER(Upgrades!$D$17,I369))</f>
        <v/>
      </c>
      <c r="AP369" s="22">
        <f>IF(J369&gt;=Upgrades!$E$18,"",Upgrades!$C$18*POWER(Upgrades!$D$18,J369))</f>
        <v/>
      </c>
      <c r="AQ369" s="22">
        <f>IF(K369&gt;=Upgrades!$E$19,"",Upgrades!$C$19*POWER(Upgrades!$D$19,K369))</f>
        <v/>
      </c>
      <c r="AR369" s="22">
        <f>IF(L369&gt;=Upgrades!$E$20,"",Upgrades!$C$20*POWER(Upgrades!$D$20,L369))</f>
        <v/>
      </c>
      <c r="AS369" s="22">
        <f>IF(M369&gt;=Upgrades!$E$21,"",Upgrades!$C$21*POWER(Upgrades!$D$21,M369))</f>
        <v/>
      </c>
      <c r="AT369" s="26">
        <f>IF(AND(D369&gt;=Parameters!$B$18*Parameters!$B$19,(I369&gt;=Upgrades!$E$17)*(M369&gt;=Upgrades!$E$21)=1,N369=0),1,"")</f>
        <v/>
      </c>
      <c r="AU369" s="26">
        <f>IF(AND(D369&gt;=Parameters!$B$18*Parameters!$B$19,N369=0),1,"")</f>
        <v/>
      </c>
      <c r="AV369" s="22">
        <f>MIN(IF(ISNUMBER(AP369),AP369,9E15),IF(ISNUMBER(AQ369),AQ369,9E15),IF(ISNUMBER(AR369),AR369,9E15),IF(ISNUMBER(AS369),AS369,9E15))</f>
        <v/>
      </c>
      <c r="AW369" s="22">
        <f>MIN(IF(ISNUMBER(AK369),AK369,9E15),IF(ISNUMBER(AL369),AL369,9E15),IF(ISNUMBER(AM369),AM369,9E15),IF(ISNUMBER(AN369),AN369,9E15),IF(ISNUMBER(AO369),AO369,9E15))</f>
        <v/>
      </c>
      <c r="AX369" s="29">
        <f>IF(BD369&gt;Parameters!$B$21*(MAX(IF(AND(NOT(AND(AU369=1,AT369&lt;&gt;1)),ISNUMBER(AK369),AK369&lt;=(C369+T369)),AY369,0),IF(AND(NOT(AND(AU369=1,AT369&lt;&gt;1)),ISNUMBER(AL369),AL369&lt;=(C369+T369)),AZ369,0),IF(AND(NOT(AND(AU369=1,AT369&lt;&gt;1)),ISNUMBER(AM369),AM369&lt;=(C369+T369)),BA369,0),IF(AND(NOT(AND(AU369=1,AT369&lt;&gt;1)),ISNUMBER(AN369),AN369&lt;=(C369+T369)),BB369,0),IF(AND(ISNUMBER(AO369),AO369&lt;=(C369+T369)),BC369,0))),TRUE,FALSE)</f>
        <v/>
      </c>
      <c r="AY369" s="32">
        <f>IFERROR(Upgrades!$H$13*(POWER(Upgrades!$P$13,E369)*POWER(Upgrades!$P$14,F369)*POWER(Upgrades!$P$15,G369)*POWER(Upgrades!$P$16,H369)*POWER(Upgrades!$P$17,I369)*POWER(Upgrades!$P$18,J369)*POWER(Upgrades!$P$19,K369)*POWER(Upgrades!$P$20,L369)*POWER(Upgrades!$P$21,M369))*(IF(Upgrades!$T$14="Stellar Kinematics",POWER(Upgrades!$U$14,F369),1)*IF(Upgrades!$T$15="Stellar Kinematics",POWER(Upgrades!$U$15,G369),1)*IF(Upgrades!$T$16="Stellar Kinematics",POWER(Upgrades!$U$16,H369),1)*IF(Upgrades!$T$17="Stellar Kinematics",POWER(Upgrades!$U$17,I369),1)*IF(Upgrades!$T$18="Stellar Kinematics",POWER(Upgrades!$U$18,J369),1)*IF(Upgrades!$T$19="Stellar Kinematics",POWER(Upgrades!$U$19,K369),1)*IF(Upgrades!$T$20="Stellar Kinematics",POWER(Upgrades!$U$20,L369),1)*IF(Upgrades!$T$21="Stellar Kinematics",POWER(Upgrades!$U$21,M369),1))*$F$6/AK369,0)</f>
        <v/>
      </c>
      <c r="AZ369" s="32">
        <f>IFERROR(Upgrades!$H$14*(POWER(Upgrades!$P$13,E369)*POWER(Upgrades!$P$14,F369)*POWER(Upgrades!$P$15,G369)*POWER(Upgrades!$P$16,H369)*POWER(Upgrades!$P$17,I369)*POWER(Upgrades!$P$18,J369)*POWER(Upgrades!$P$19,K369)*POWER(Upgrades!$P$20,L369)*POWER(Upgrades!$P$21,M369))*(IF(Upgrades!$T$13="Local Bubble",POWER(Upgrades!$U$13,E369),1)*IF(Upgrades!$T$15="Local Bubble",POWER(Upgrades!$U$15,G369),1)*IF(Upgrades!$T$16="Local Bubble",POWER(Upgrades!$U$16,H369),1)*IF(Upgrades!$T$17="Local Bubble",POWER(Upgrades!$U$17,I369),1)*IF(Upgrades!$T$18="Local Bubble",POWER(Upgrades!$U$18,J369),1)*IF(Upgrades!$T$19="Local Bubble",POWER(Upgrades!$U$19,K369),1)*IF(Upgrades!$T$20="Local Bubble",POWER(Upgrades!$U$20,L369),1)*IF(Upgrades!$T$21="Local Bubble",POWER(Upgrades!$U$21,M369),1))*$F$6/AL369,0)</f>
        <v/>
      </c>
      <c r="BA369" s="32">
        <f>IFERROR(Upgrades!$K$15*(POWER(Upgrades!$Q$13,E369)*POWER(Upgrades!$Q$14,F369)*POWER(Upgrades!$Q$15,G369)*POWER(Upgrades!$Q$16,H369)*POWER(Upgrades!$Q$17,I369)*POWER(Upgrades!$Q$18,J369)*POWER(Upgrades!$Q$19,K369)*POWER(Upgrades!$Q$20,L369)*POWER(Upgrades!$Q$21,M369))*(IF(Upgrades!$T$13="Microlensing",POWER(Upgrades!$U$13,E369),1)*IF(Upgrades!$T$14="Microlensing",POWER(Upgrades!$U$14,F369),1)*IF(Upgrades!$T$16="Microlensing",POWER(Upgrades!$U$16,H369),1)*IF(Upgrades!$T$17="Microlensing",POWER(Upgrades!$U$17,I369),1)*IF(Upgrades!$T$18="Microlensing",POWER(Upgrades!$U$18,J369),1)*IF(Upgrades!$T$19="Microlensing",POWER(Upgrades!$U$19,K369),1)*IF(Upgrades!$T$20="Microlensing",POWER(Upgrades!$U$20,L369),1)*IF(Upgrades!$T$21="Microlensing",POWER(Upgrades!$U$21,M369),1))*$G$6*(Parameters!$B$10/60*Parameters!$B$11+Q369)/AM369,0)</f>
        <v/>
      </c>
      <c r="BB369" s="32">
        <f>IFERROR((Upgrades!$N$16*(POWER(Upgrades!$R$13,E369)*POWER(Upgrades!$R$14,F369)*POWER(Upgrades!$R$15,G369)*POWER(Upgrades!$R$16,H369)*POWER(Upgrades!$R$17,I369)*POWER(Upgrades!$R$18,J369)*POWER(Upgrades!$R$19,K369)*POWER(Upgrades!$R$20,L369)*POWER(Upgrades!$R$21,M369))*(IF(Upgrades!$T$13="Roche Lobe Overflow",POWER(Upgrades!$U$13,E369),1)*IF(Upgrades!$T$14="Roche Lobe Overflow",POWER(Upgrades!$U$14,F369),1)*IF(Upgrades!$T$15="Roche Lobe Overflow",POWER(Upgrades!$U$15,G369),1)*IF(Upgrades!$T$17="Roche Lobe Overflow",POWER(Upgrades!$U$17,I369),1)*IF(Upgrades!$T$18="Roche Lobe Overflow",POWER(Upgrades!$U$18,J369),1)*IF(Upgrades!$T$19="Roche Lobe Overflow",POWER(Upgrades!$U$19,K369),1)*IF(Upgrades!$T$20="Roche Lobe Overflow",POWER(Upgrades!$U$20,L369),1)*IF(Upgrades!$T$21="Roche Lobe Overflow",POWER(Upgrades!$U$21,M369),1))*$H$6*O369+((IF(F369=0,0,(Upgrades!$G$14+F369*Upgrades!$H$14)*POWER(Upgrades!$I$14,F369)))*(IF(Upgrades!$T$13="Local Bubble",POWER(Upgrades!$U$13,E369),1)*IF(Upgrades!$T$15="Local Bubble",POWER(Upgrades!$U$15,G369),1)*IF(Upgrades!$T$16="Local Bubble",POWER(Upgrades!$U$16,H369),1)*IF(Upgrades!$T$17="Local Bubble",POWER(Upgrades!$U$17,I369),1)*IF(Upgrades!$T$18="Local Bubble",POWER(Upgrades!$U$18,J369),1)*IF(Upgrades!$T$19="Local Bubble",POWER(Upgrades!$U$19,K369),1)*IF(Upgrades!$T$20="Local Bubble",POWER(Upgrades!$U$20,L369),1)*IF(Upgrades!$T$21="Local Bubble",POWER(Upgrades!$U$21,M369),1))*POWER(Upgrades!$P$13,E369)*POWER(Upgrades!$P$14,F369)*POWER(Upgrades!$P$15,G369)*POWER(Upgrades!$P$16,H369)*POWER(Upgrades!$P$17,I369)*POWER(Upgrades!$P$18,J369)*POWER(Upgrades!$P$19,K369)*POWER(Upgrades!$P$20,L369)*POWER(Upgrades!$P$21,M369)*$F$6)*0.05)/AN369,0)</f>
        <v/>
      </c>
      <c r="BC369" s="32">
        <f>IFERROR((Upgrades!$H$17*(POWER(Upgrades!$P$13,E369)*POWER(Upgrades!$P$14,F369)*POWER(Upgrades!$P$15,G369)*POWER(Upgrades!$P$16,H369)*POWER(Upgrades!$P$17,I369)*POWER(Upgrades!$P$18,J369)*POWER(Upgrades!$P$19,K369)*POWER(Upgrades!$P$20,L369)*POWER(Upgrades!$P$21,M369))*(IF(Upgrades!$T$13="Brown Dwarf",POWER(Upgrades!$U$13,E369),1)*IF(Upgrades!$T$14="Brown Dwarf",POWER(Upgrades!$U$14,F369),1)*IF(Upgrades!$T$15="Brown Dwarf",POWER(Upgrades!$U$15,G369),1)*IF(Upgrades!$T$16="Brown Dwarf",POWER(Upgrades!$U$16,H369),1)*IF(Upgrades!$T$18="Brown Dwarf",POWER(Upgrades!$U$18,J369),1)*IF(Upgrades!$T$19="Brown Dwarf",POWER(Upgrades!$U$19,K369),1)*IF(Upgrades!$T$20="Brown Dwarf",POWER(Upgrades!$U$20,L369),1)*IF(Upgrades!$T$21="Brown Dwarf",POWER(Upgrades!$U$21,M369),1))*$F$6+(((IF(H369=0,0,(Upgrades!$M$16+H369*Upgrades!$N$16)*POWER(Upgrades!$O$16,H369)))*(IF(Upgrades!$T$13="Roche Lobe Overflow",POWER(Upgrades!$U$13,E369),1)*IF(Upgrades!$T$14="Roche Lobe Overflow",POWER(Upgrades!$U$14,F369),1)*IF(Upgrades!$T$15="Roche Lobe Overflow",POWER(Upgrades!$U$15,G369),1)*IF(Upgrades!$T$17="Roche Lobe Overflow",POWER(Upgrades!$U$17,I369),1)*IF(Upgrades!$T$18="Roche Lobe Overflow",POWER(Upgrades!$U$18,J369),1)*IF(Upgrades!$T$19="Roche Lobe Overflow",POWER(Upgrades!$U$19,K369),1)*IF(Upgrades!$T$20="Roche Lobe Overflow",POWER(Upgrades!$U$20,L369),1)*IF(Upgrades!$T$21="Roche Lobe Overflow",POWER(Upgrades!$U$21,M369),1))*POWER(Upgrades!$R$13,E369)*POWER(Upgrades!$R$14,F369)*POWER(Upgrades!$R$15,G369)*POWER(Upgrades!$R$16,H369)*POWER(Upgrades!$R$17,I369)*POWER(Upgrades!$R$18,J369)*POWER(Upgrades!$R$19,K369)*POWER(Upgrades!$R$20,L369)*POWER(Upgrades!$R$21,M369)*$H$6)*O369)*0.10)/AO369,0)</f>
        <v/>
      </c>
      <c r="BD369" s="32">
        <f>MAX(IF(J369&gt;0,0,IFERROR(0.5*((IF(G369=0,0,(Upgrades!$J$15+G369*Upgrades!$K$15)*POWER(Upgrades!$L$15,G369)))*(IF(Upgrades!$T$13="Microlensing",POWER(Upgrades!$U$13,E369),1)*IF(Upgrades!$T$14="Microlensing",POWER(Upgrades!$U$14,F369),1)*IF(Upgrades!$T$16="Microlensing",POWER(Upgrades!$U$16,H369),1)*IF(Upgrades!$T$17="Microlensing",POWER(Upgrades!$U$17,I369),1)*IF(Upgrades!$T$18="Microlensing",POWER(Upgrades!$U$18,J369),1)*IF(Upgrades!$T$19="Microlensing",POWER(Upgrades!$U$19,K369),1)*IF(Upgrades!$T$20="Microlensing",POWER(Upgrades!$U$20,L369),1)*IF(Upgrades!$T$21="Microlensing",POWER(Upgrades!$U$21,M369),1))*(POWER(Upgrades!$Q$13,E369)*POWER(Upgrades!$Q$14,F369)*POWER(Upgrades!$Q$15,G369)*POWER(Upgrades!$Q$16,H369)*POWER(Upgrades!$Q$17,I369)*POWER(Upgrades!$Q$18,J369)*POWER(Upgrades!$Q$19,K369)*POWER(Upgrades!$Q$20,L369)*POWER(Upgrades!$Q$21,M369))*$G$6*(Parameters!$B$10/60*Parameters!$B$11+Q369))/Upgrades!$C$18,0)),IF(K369&gt;0,0,IFERROR(0.30*P369/Upgrades!$C$19,0)),IF(L369&gt;0,0,IFERROR(0.0001/Upgrades!$C$20,0)),IF(M369&gt;0,0,IFERROR((6.0*(POWER(Upgrades!$P$13,E369)*POWER(Upgrades!$P$14,F369)*POWER(Upgrades!$P$15,G369)*POWER(Upgrades!$P$16,H369)*POWER(Upgrades!$P$17,I369)*POWER(Upgrades!$P$18,J369)*POWER(Upgrades!$P$19,K369)*POWER(Upgrades!$P$20,L369)*POWER(Upgrades!$P$21,M369))*$F$6+0.20*O369*(Parameters!$B$10/60*Parameters!$B$11+Q369))/Upgrades!$C$21,0)),IF(AND(ISNUMBER(AK369),AK369&gt;(C369+T369)),AY369,0),IF(AND(ISNUMBER(AL369),AL369&gt;(C369+T369)),AZ369,0),IF(AND(ISNUMBER(AM369),AM369&gt;(C369+T369)),BA369,0),IF(AND(ISNUMBER(AN369),AN369&gt;(C369+T369)),BB369,0),IF(AND(ISNUMBER(AO369),AO369&gt;(C369+T369)),BC369,0))</f>
        <v/>
      </c>
      <c r="BE369" s="29">
        <f>IF(AT369=1,"transition",IF(MIN(IF(AND(J369=0,ISNUMBER(AP369),AP369&lt;=(C369+T369)),AP369,9E15),IF(AND(K369=0,ISNUMBER(AQ369),AQ369&lt;=(C369+T369)),AQ369,9E15),IF(AND(L369=0,ISNUMBER(AR369),AR369&lt;=(C369+T369)),AR369,9E15),IF(AND(M369=0,ISNUMBER(AS369),AS369&lt;=(C369+T369)),AS369,9E15))&lt;9E15,IF(AND(AND(J369=0,ISNUMBER(AP369),AP369&lt;=(C369+T369)),AP369=MIN(IF(AND(J369=0,ISNUMBER(AP369),AP369&lt;=(C369+T369)),AP369,9E15),IF(AND(K369=0,ISNUMBER(AQ369),AQ369&lt;=(C369+T369)),AQ369,9E15),IF(AND(L369=0,ISNUMBER(AR369),AR369&lt;=(C369+T369)),AR369,9E15),IF(AND(M369=0,ISNUMBER(AS369),AS369&lt;=(C369+T369)),AS369,9E15))),"BiP",IF(AND(AND(K369=0,ISNUMBER(AQ369),AQ369&lt;=(C369+T369)),AQ369=MIN(IF(AND(J369=0,ISNUMBER(AP369),AP369&lt;=(C369+T369)),AP369,9E15),IF(AND(K369=0,ISNUMBER(AQ369),AQ369&lt;=(C369+T369)),AQ369,9E15),IF(AND(L369=0,ISNUMBER(AR369),AR369&lt;=(C369+T369)),AR369,9E15),IF(AND(M369=0,ISNUMBER(AS369),AS369&lt;=(C369+T369)),AS369,9E15))),"PV",IF(AND(AND(L369=0,ISNUMBER(AR369),AR369&lt;=(C369+T369)),AR369=MIN(IF(AND(J369=0,ISNUMBER(AP369),AP369&lt;=(C369+T369)),AP369,9E15),IF(AND(K369=0,ISNUMBER(AQ369),AQ369&lt;=(C369+T369)),AQ369,9E15),IF(AND(L369=0,ISNUMBER(AR369),AR369&lt;=(C369+T369)),AR369,9E15),IF(AND(M369=0,ISNUMBER(AS369),AS369&lt;=(C369+T369)),AS369,9E15))),"OC","MG"))),IF(AX369=TRUE,"",IF(MAX(IF(AND(NOT(AND(AU369=1,AT369&lt;&gt;1)),ISNUMBER(AK369),AK369&lt;=(C369+T369)),AY369,0),IF(AND(NOT(AND(AU369=1,AT369&lt;&gt;1)),ISNUMBER(AL369),AL369&lt;=(C369+T369)),AZ369,0),IF(AND(NOT(AND(AU369=1,AT369&lt;&gt;1)),ISNUMBER(AM369),AM369&lt;=(C369+T369)),BA369,0),IF(AND(NOT(AND(AU369=1,AT369&lt;&gt;1)),ISNUMBER(AN369),AN369&lt;=(C369+T369)),BB369,0),IF(AND(ISNUMBER(AO369),AO369&lt;=(C369+T369)),BC369,0))&lt;=0,"",IF(AND(IF(AND(NOT(AND(AU369=1,AT369&lt;&gt;1)),ISNUMBER(AK369),AK369&lt;=(C369+T369)),AY369,0)&gt;0,IF(AND(NOT(AND(AU369=1,AT369&lt;&gt;1)),ISNUMBER(AK369),AK369&lt;=(C369+T369)),AY369,0)=MAX(IF(AND(NOT(AND(AU369=1,AT369&lt;&gt;1)),ISNUMBER(AK369),AK369&lt;=(C369+T369)),AY369,0),IF(AND(NOT(AND(AU369=1,AT369&lt;&gt;1)),ISNUMBER(AL369),AL369&lt;=(C369+T369)),AZ369,0),IF(AND(NOT(AND(AU369=1,AT369&lt;&gt;1)),ISNUMBER(AM369),AM369&lt;=(C369+T369)),BA369,0),IF(AND(NOT(AND(AU369=1,AT369&lt;&gt;1)),ISNUMBER(AN369),AN369&lt;=(C369+T369)),BB369,0),IF(AND(ISNUMBER(AO369),AO369&lt;=(C369+T369)),BC369,0))),"SK",IF(AND(IF(AND(NOT(AND(AU369=1,AT369&lt;&gt;1)),ISNUMBER(AL369),AL369&lt;=(C369+T369)),AZ369,0)&gt;0,IF(AND(NOT(AND(AU369=1,AT369&lt;&gt;1)),ISNUMBER(AL369),AL369&lt;=(C369+T369)),AZ369,0)=MAX(IF(AND(NOT(AND(AU369=1,AT369&lt;&gt;1)),ISNUMBER(AK369),AK369&lt;=(C369+T369)),AY369,0),IF(AND(NOT(AND(AU369=1,AT369&lt;&gt;1)),ISNUMBER(AL369),AL369&lt;=(C369+T369)),AZ369,0),IF(AND(NOT(AND(AU369=1,AT369&lt;&gt;1)),ISNUMBER(AM369),AM369&lt;=(C369+T369)),BA369,0),IF(AND(NOT(AND(AU369=1,AT369&lt;&gt;1)),ISNUMBER(AN369),AN369&lt;=(C369+T369)),BB369,0),IF(AND(ISNUMBER(AO369),AO369&lt;=(C369+T369)),BC369,0))),"LB",IF(AND(IF(AND(NOT(AND(AU369=1,AT369&lt;&gt;1)),ISNUMBER(AM369),AM369&lt;=(C369+T369)),BA369,0)&gt;0,IF(AND(NOT(AND(AU369=1,AT369&lt;&gt;1)),ISNUMBER(AM369),AM369&lt;=(C369+T369)),BA369,0)=MAX(IF(AND(NOT(AND(AU369=1,AT369&lt;&gt;1)),ISNUMBER(AK369),AK369&lt;=(C369+T369)),AY369,0),IF(AND(NOT(AND(AU369=1,AT369&lt;&gt;1)),ISNUMBER(AL369),AL369&lt;=(C369+T369)),AZ369,0),IF(AND(NOT(AND(AU369=1,AT369&lt;&gt;1)),ISNUMBER(AM369),AM369&lt;=(C369+T369)),BA369,0),IF(AND(NOT(AND(AU369=1,AT369&lt;&gt;1)),ISNUMBER(AN369),AN369&lt;=(C369+T369)),BB369,0),IF(AND(ISNUMBER(AO369),AO369&lt;=(C369+T369)),BC369,0))),"ML",IF(AND(IF(AND(NOT(AND(AU369=1,AT369&lt;&gt;1)),ISNUMBER(AN369),AN369&lt;=(C369+T369)),BB369,0)&gt;0,IF(AND(NOT(AND(AU369=1,AT369&lt;&gt;1)),ISNUMBER(AN369),AN369&lt;=(C369+T369)),BB369,0)=MAX(IF(AND(NOT(AND(AU369=1,AT369&lt;&gt;1)),ISNUMBER(AK369),AK369&lt;=(C369+T369)),AY369,0),IF(AND(NOT(AND(AU369=1,AT369&lt;&gt;1)),ISNUMBER(AL369),AL369&lt;=(C369+T369)),AZ369,0),IF(AND(NOT(AND(AU369=1,AT369&lt;&gt;1)),ISNUMBER(AM369),AM369&lt;=(C369+T369)),BA369,0),IF(AND(NOT(AND(AU369=1,AT369&lt;&gt;1)),ISNUMBER(AN369),AN369&lt;=(C369+T369)),BB369,0),IF(AND(ISNUMBER(AO369),AO369&lt;=(C369+T369)),BC369,0))),"RLO","BD"))))))))</f>
        <v/>
      </c>
    </row>
    <row r="370">
      <c r="A370" s="26" t="n">
        <v>359</v>
      </c>
      <c r="B370" s="27">
        <f>A370*10/60</f>
        <v/>
      </c>
      <c r="C370" s="22">
        <f>X369</f>
        <v/>
      </c>
      <c r="D370" s="27">
        <f>D369+W369</f>
        <v/>
      </c>
      <c r="E370" s="26">
        <f>E369+IF(U369="SK",1,0)</f>
        <v/>
      </c>
      <c r="F370" s="26">
        <f>F369+IF(U369="LB",1,0)</f>
        <v/>
      </c>
      <c r="G370" s="26">
        <f>G369+IF(U369="ML",1,0)</f>
        <v/>
      </c>
      <c r="H370" s="26">
        <f>H369+IF(U369="RLO",1,0)</f>
        <v/>
      </c>
      <c r="I370" s="26">
        <f>I369+IF(U369="BD",1,0)</f>
        <v/>
      </c>
      <c r="J370" s="26">
        <f>MAX(J369,IF(U369="BiP",1,0))</f>
        <v/>
      </c>
      <c r="K370" s="26">
        <f>MAX(K369,IF(U369="PV",1,0))</f>
        <v/>
      </c>
      <c r="L370" s="26">
        <f>MAX(L369,IF(U369="OC",1,0))</f>
        <v/>
      </c>
      <c r="M370" s="26">
        <f>MAX(M369,IF(U369="MG",1,0))</f>
        <v/>
      </c>
      <c r="N370" s="26">
        <f>MAX(N369,IF(U369="transition",1,0))</f>
        <v/>
      </c>
      <c r="O370" s="28">
        <f>(Parameters!$B$9+(IF(E370=0,0,(Upgrades!$J$13+E370*Upgrades!$K$13)*POWER(Upgrades!$L$13,E370)))*(IF(Upgrades!$T$14="Stellar Kinematics",POWER(Upgrades!$U$14,F370),1)*IF(Upgrades!$T$15="Stellar Kinematics",POWER(Upgrades!$U$15,G370),1)*IF(Upgrades!$T$16="Stellar Kinematics",POWER(Upgrades!$U$16,H370),1)*IF(Upgrades!$T$17="Stellar Kinematics",POWER(Upgrades!$U$17,I370),1)*IF(Upgrades!$T$18="Stellar Kinematics",POWER(Upgrades!$U$18,J370),1)*IF(Upgrades!$T$19="Stellar Kinematics",POWER(Upgrades!$U$19,K370),1)*IF(Upgrades!$T$20="Stellar Kinematics",POWER(Upgrades!$U$20,L370),1)*IF(Upgrades!$T$21="Stellar Kinematics",POWER(Upgrades!$U$21,M370),1))+(IF(F370=0,0,(Upgrades!$J$14+F370*Upgrades!$K$14)*POWER(Upgrades!$L$14,F370)))*(IF(Upgrades!$T$13="Local Bubble",POWER(Upgrades!$U$13,E370),1)*IF(Upgrades!$T$15="Local Bubble",POWER(Upgrades!$U$15,G370),1)*IF(Upgrades!$T$16="Local Bubble",POWER(Upgrades!$U$16,H370),1)*IF(Upgrades!$T$17="Local Bubble",POWER(Upgrades!$U$17,I370),1)*IF(Upgrades!$T$18="Local Bubble",POWER(Upgrades!$U$18,J370),1)*IF(Upgrades!$T$19="Local Bubble",POWER(Upgrades!$U$19,K370),1)*IF(Upgrades!$T$20="Local Bubble",POWER(Upgrades!$U$20,L370),1)*IF(Upgrades!$T$21="Local Bubble",POWER(Upgrades!$U$21,M370),1))+(IF(G370=0,0,(Upgrades!$J$15+G370*Upgrades!$K$15)*POWER(Upgrades!$L$15,G370)))*(IF(Upgrades!$T$13="Microlensing",POWER(Upgrades!$U$13,E370),1)*IF(Upgrades!$T$14="Microlensing",POWER(Upgrades!$U$14,F370),1)*IF(Upgrades!$T$16="Microlensing",POWER(Upgrades!$U$16,H370),1)*IF(Upgrades!$T$17="Microlensing",POWER(Upgrades!$U$17,I370),1)*IF(Upgrades!$T$18="Microlensing",POWER(Upgrades!$U$18,J370),1)*IF(Upgrades!$T$19="Microlensing",POWER(Upgrades!$U$19,K370),1)*IF(Upgrades!$T$20="Microlensing",POWER(Upgrades!$U$20,L370),1)*IF(Upgrades!$T$21="Microlensing",POWER(Upgrades!$U$21,M370),1))+(IF(H370=0,0,(Upgrades!$J$16+H370*Upgrades!$K$16)*POWER(Upgrades!$L$16,H370)))*(IF(Upgrades!$T$13="Roche Lobe Overflow",POWER(Upgrades!$U$13,E370),1)*IF(Upgrades!$T$14="Roche Lobe Overflow",POWER(Upgrades!$U$14,F370),1)*IF(Upgrades!$T$15="Roche Lobe Overflow",POWER(Upgrades!$U$15,G370),1)*IF(Upgrades!$T$17="Roche Lobe Overflow",POWER(Upgrades!$U$17,I370),1)*IF(Upgrades!$T$18="Roche Lobe Overflow",POWER(Upgrades!$U$18,J370),1)*IF(Upgrades!$T$19="Roche Lobe Overflow",POWER(Upgrades!$U$19,K370),1)*IF(Upgrades!$T$20="Roche Lobe Overflow",POWER(Upgrades!$U$20,L370),1)*IF(Upgrades!$T$21="Roche Lobe Overflow",POWER(Upgrades!$U$21,M370),1))+(IF(I370=0,0,(Upgrades!$J$17+I370*Upgrades!$K$17)*POWER(Upgrades!$L$17,I370)))*(IF(Upgrades!$T$13="Brown Dwarf",POWER(Upgrades!$U$13,E370),1)*IF(Upgrades!$T$14="Brown Dwarf",POWER(Upgrades!$U$14,F370),1)*IF(Upgrades!$T$15="Brown Dwarf",POWER(Upgrades!$U$15,G370),1)*IF(Upgrades!$T$16="Brown Dwarf",POWER(Upgrades!$U$16,H370),1)*IF(Upgrades!$T$18="Brown Dwarf",POWER(Upgrades!$U$18,J370),1)*IF(Upgrades!$T$19="Brown Dwarf",POWER(Upgrades!$U$19,K370),1)*IF(Upgrades!$T$20="Brown Dwarf",POWER(Upgrades!$U$20,L370),1)*IF(Upgrades!$T$21="Brown Dwarf",POWER(Upgrades!$U$21,M370),1))+(IF(J370=0,0,(Upgrades!$J$18+J370*Upgrades!$K$18)*POWER(Upgrades!$L$18,J370)))*(IF(Upgrades!$T$13="Binary Partner",POWER(Upgrades!$U$13,E370),1)*IF(Upgrades!$T$14="Binary Partner",POWER(Upgrades!$U$14,F370),1)*IF(Upgrades!$T$15="Binary Partner",POWER(Upgrades!$U$15,G370),1)*IF(Upgrades!$T$16="Binary Partner",POWER(Upgrades!$U$16,H370),1)*IF(Upgrades!$T$17="Binary Partner",POWER(Upgrades!$U$17,I370),1)*IF(Upgrades!$T$19="Binary Partner",POWER(Upgrades!$U$19,K370),1)*IF(Upgrades!$T$20="Binary Partner",POWER(Upgrades!$U$20,L370),1)*IF(Upgrades!$T$21="Binary Partner",POWER(Upgrades!$U$21,M370),1))+(IF(K370=0,0,(Upgrades!$J$19+K370*Upgrades!$K$19)*POWER(Upgrades!$L$19,K370)))*(IF(Upgrades!$T$13="Peculiar Velocity",POWER(Upgrades!$U$13,E370),1)*IF(Upgrades!$T$14="Peculiar Velocity",POWER(Upgrades!$U$14,F370),1)*IF(Upgrades!$T$15="Peculiar Velocity",POWER(Upgrades!$U$15,G370),1)*IF(Upgrades!$T$16="Peculiar Velocity",POWER(Upgrades!$U$16,H370),1)*IF(Upgrades!$T$17="Peculiar Velocity",POWER(Upgrades!$U$17,I370),1)*IF(Upgrades!$T$18="Peculiar Velocity",POWER(Upgrades!$U$18,J370),1)*IF(Upgrades!$T$20="Peculiar Velocity",POWER(Upgrades!$U$20,L370),1)*IF(Upgrades!$T$21="Peculiar Velocity",POWER(Upgrades!$U$21,M370),1))+(IF(L370=0,0,(Upgrades!$J$20+L370*Upgrades!$K$20)*POWER(Upgrades!$L$20,L370)))*(IF(Upgrades!$T$13="Open Cluster",POWER(Upgrades!$U$13,E370),1)*IF(Upgrades!$T$14="Open Cluster",POWER(Upgrades!$U$14,F370),1)*IF(Upgrades!$T$15="Open Cluster",POWER(Upgrades!$U$15,G370),1)*IF(Upgrades!$T$16="Open Cluster",POWER(Upgrades!$U$16,H370),1)*IF(Upgrades!$T$17="Open Cluster",POWER(Upgrades!$U$17,I370),1)*IF(Upgrades!$T$18="Open Cluster",POWER(Upgrades!$U$18,J370),1)*IF(Upgrades!$T$19="Open Cluster",POWER(Upgrades!$U$19,K370),1)*IF(Upgrades!$T$21="Open Cluster",POWER(Upgrades!$U$21,M370),1))+(IF(M370=0,0,(Upgrades!$J$21+M370*Upgrades!$K$21)*POWER(Upgrades!$L$21,M370)))*(IF(Upgrades!$T$13="Moving Group",POWER(Upgrades!$U$13,E370),1)*IF(Upgrades!$T$14="Moving Group",POWER(Upgrades!$U$14,F370),1)*IF(Upgrades!$T$15="Moving Group",POWER(Upgrades!$U$15,G370),1)*IF(Upgrades!$T$16="Moving Group",POWER(Upgrades!$U$16,H370),1)*IF(Upgrades!$T$17="Moving Group",POWER(Upgrades!$U$17,I370),1)*IF(Upgrades!$T$18="Moving Group",POWER(Upgrades!$U$18,J370),1)*IF(Upgrades!$T$19="Moving Group",POWER(Upgrades!$U$19,K370),1)*IF(Upgrades!$T$20="Moving Group",POWER(Upgrades!$U$20,L370),1)))*POWER(Upgrades!$Q$13,E370)*POWER(Upgrades!$Q$14,F370)*POWER(Upgrades!$Q$15,G370)*POWER(Upgrades!$Q$16,H370)*POWER(Upgrades!$Q$17,I370)*POWER(Upgrades!$Q$18,J370)*POWER(Upgrades!$Q$19,K370)*POWER(Upgrades!$Q$20,L370)*POWER(Upgrades!$Q$21,M370)*$G$6+$D$6</f>
        <v/>
      </c>
      <c r="P370" s="28">
        <f>((IF(E370=0,0,(Upgrades!$G$13+E370*Upgrades!$H$13)*POWER(Upgrades!$I$13,E370)))*(IF(Upgrades!$T$14="Stellar Kinematics",POWER(Upgrades!$U$14,F370),1)*IF(Upgrades!$T$15="Stellar Kinematics",POWER(Upgrades!$U$15,G370),1)*IF(Upgrades!$T$16="Stellar Kinematics",POWER(Upgrades!$U$16,H370),1)*IF(Upgrades!$T$17="Stellar Kinematics",POWER(Upgrades!$U$17,I370),1)*IF(Upgrades!$T$18="Stellar Kinematics",POWER(Upgrades!$U$18,J370),1)*IF(Upgrades!$T$19="Stellar Kinematics",POWER(Upgrades!$U$19,K370),1)*IF(Upgrades!$T$20="Stellar Kinematics",POWER(Upgrades!$U$20,L370),1)*IF(Upgrades!$T$21="Stellar Kinematics",POWER(Upgrades!$U$21,M370),1))+(IF(F370=0,0,(Upgrades!$G$14+F370*Upgrades!$H$14)*POWER(Upgrades!$I$14,F370)))*(IF(Upgrades!$T$13="Local Bubble",POWER(Upgrades!$U$13,E370),1)*IF(Upgrades!$T$15="Local Bubble",POWER(Upgrades!$U$15,G370),1)*IF(Upgrades!$T$16="Local Bubble",POWER(Upgrades!$U$16,H370),1)*IF(Upgrades!$T$17="Local Bubble",POWER(Upgrades!$U$17,I370),1)*IF(Upgrades!$T$18="Local Bubble",POWER(Upgrades!$U$18,J370),1)*IF(Upgrades!$T$19="Local Bubble",POWER(Upgrades!$U$19,K370),1)*IF(Upgrades!$T$20="Local Bubble",POWER(Upgrades!$U$20,L370),1)*IF(Upgrades!$T$21="Local Bubble",POWER(Upgrades!$U$21,M370),1))+(IF(G370=0,0,(Upgrades!$G$15+G370*Upgrades!$H$15)*POWER(Upgrades!$I$15,G370)))*(IF(Upgrades!$T$13="Microlensing",POWER(Upgrades!$U$13,E370),1)*IF(Upgrades!$T$14="Microlensing",POWER(Upgrades!$U$14,F370),1)*IF(Upgrades!$T$16="Microlensing",POWER(Upgrades!$U$16,H370),1)*IF(Upgrades!$T$17="Microlensing",POWER(Upgrades!$U$17,I370),1)*IF(Upgrades!$T$18="Microlensing",POWER(Upgrades!$U$18,J370),1)*IF(Upgrades!$T$19="Microlensing",POWER(Upgrades!$U$19,K370),1)*IF(Upgrades!$T$20="Microlensing",POWER(Upgrades!$U$20,L370),1)*IF(Upgrades!$T$21="Microlensing",POWER(Upgrades!$U$21,M370),1))+(IF(H370=0,0,(Upgrades!$G$16+H370*Upgrades!$H$16)*POWER(Upgrades!$I$16,H370)))*(IF(Upgrades!$T$13="Roche Lobe Overflow",POWER(Upgrades!$U$13,E370),1)*IF(Upgrades!$T$14="Roche Lobe Overflow",POWER(Upgrades!$U$14,F370),1)*IF(Upgrades!$T$15="Roche Lobe Overflow",POWER(Upgrades!$U$15,G370),1)*IF(Upgrades!$T$17="Roche Lobe Overflow",POWER(Upgrades!$U$17,I370),1)*IF(Upgrades!$T$18="Roche Lobe Overflow",POWER(Upgrades!$U$18,J370),1)*IF(Upgrades!$T$19="Roche Lobe Overflow",POWER(Upgrades!$U$19,K370),1)*IF(Upgrades!$T$20="Roche Lobe Overflow",POWER(Upgrades!$U$20,L370),1)*IF(Upgrades!$T$21="Roche Lobe Overflow",POWER(Upgrades!$U$21,M370),1))+(IF(I370=0,0,(Upgrades!$G$17+I370*Upgrades!$H$17)*POWER(Upgrades!$I$17,I370)))*(IF(Upgrades!$T$13="Brown Dwarf",POWER(Upgrades!$U$13,E370),1)*IF(Upgrades!$T$14="Brown Dwarf",POWER(Upgrades!$U$14,F370),1)*IF(Upgrades!$T$15="Brown Dwarf",POWER(Upgrades!$U$15,G370),1)*IF(Upgrades!$T$16="Brown Dwarf",POWER(Upgrades!$U$16,H370),1)*IF(Upgrades!$T$18="Brown Dwarf",POWER(Upgrades!$U$18,J370),1)*IF(Upgrades!$T$19="Brown Dwarf",POWER(Upgrades!$U$19,K370),1)*IF(Upgrades!$T$20="Brown Dwarf",POWER(Upgrades!$U$20,L370),1)*IF(Upgrades!$T$21="Brown Dwarf",POWER(Upgrades!$U$21,M370),1))+(IF(J370=0,0,(Upgrades!$G$18+J370*Upgrades!$H$18)*POWER(Upgrades!$I$18,J370)))*(IF(Upgrades!$T$13="Binary Partner",POWER(Upgrades!$U$13,E370),1)*IF(Upgrades!$T$14="Binary Partner",POWER(Upgrades!$U$14,F370),1)*IF(Upgrades!$T$15="Binary Partner",POWER(Upgrades!$U$15,G370),1)*IF(Upgrades!$T$16="Binary Partner",POWER(Upgrades!$U$16,H370),1)*IF(Upgrades!$T$17="Binary Partner",POWER(Upgrades!$U$17,I370),1)*IF(Upgrades!$T$19="Binary Partner",POWER(Upgrades!$U$19,K370),1)*IF(Upgrades!$T$20="Binary Partner",POWER(Upgrades!$U$20,L370),1)*IF(Upgrades!$T$21="Binary Partner",POWER(Upgrades!$U$21,M370),1))+(IF(K370=0,0,(Upgrades!$G$19+K370*Upgrades!$H$19)*POWER(Upgrades!$I$19,K370)))*(IF(Upgrades!$T$13="Peculiar Velocity",POWER(Upgrades!$U$13,E370),1)*IF(Upgrades!$T$14="Peculiar Velocity",POWER(Upgrades!$U$14,F370),1)*IF(Upgrades!$T$15="Peculiar Velocity",POWER(Upgrades!$U$15,G370),1)*IF(Upgrades!$T$16="Peculiar Velocity",POWER(Upgrades!$U$16,H370),1)*IF(Upgrades!$T$17="Peculiar Velocity",POWER(Upgrades!$U$17,I370),1)*IF(Upgrades!$T$18="Peculiar Velocity",POWER(Upgrades!$U$18,J370),1)*IF(Upgrades!$T$20="Peculiar Velocity",POWER(Upgrades!$U$20,L370),1)*IF(Upgrades!$T$21="Peculiar Velocity",POWER(Upgrades!$U$21,M370),1))+(IF(L370=0,0,(Upgrades!$G$20+L370*Upgrades!$H$20)*POWER(Upgrades!$I$20,L370)))*(IF(Upgrades!$T$13="Open Cluster",POWER(Upgrades!$U$13,E370),1)*IF(Upgrades!$T$14="Open Cluster",POWER(Upgrades!$U$14,F370),1)*IF(Upgrades!$T$15="Open Cluster",POWER(Upgrades!$U$15,G370),1)*IF(Upgrades!$T$16="Open Cluster",POWER(Upgrades!$U$16,H370),1)*IF(Upgrades!$T$17="Open Cluster",POWER(Upgrades!$U$17,I370),1)*IF(Upgrades!$T$18="Open Cluster",POWER(Upgrades!$U$18,J370),1)*IF(Upgrades!$T$19="Open Cluster",POWER(Upgrades!$U$19,K370),1)*IF(Upgrades!$T$21="Open Cluster",POWER(Upgrades!$U$21,M370),1))+(IF(M370=0,0,(Upgrades!$G$21+M370*Upgrades!$H$21)*POWER(Upgrades!$I$21,M370)))*(IF(Upgrades!$T$13="Moving Group",POWER(Upgrades!$U$13,E370),1)*IF(Upgrades!$T$14="Moving Group",POWER(Upgrades!$U$14,F370),1)*IF(Upgrades!$T$15="Moving Group",POWER(Upgrades!$U$15,G370),1)*IF(Upgrades!$T$16="Moving Group",POWER(Upgrades!$U$16,H370),1)*IF(Upgrades!$T$17="Moving Group",POWER(Upgrades!$U$17,I370),1)*IF(Upgrades!$T$18="Moving Group",POWER(Upgrades!$U$18,J370),1)*IF(Upgrades!$T$19="Moving Group",POWER(Upgrades!$U$19,K370),1)*IF(Upgrades!$T$20="Moving Group",POWER(Upgrades!$U$20,L370),1)))*POWER(Upgrades!$P$13,E370)*POWER(Upgrades!$P$14,F370)*POWER(Upgrades!$P$15,G370)*POWER(Upgrades!$P$16,H370)*POWER(Upgrades!$P$17,I370)*POWER(Upgrades!$P$18,J370)*POWER(Upgrades!$P$19,K370)*POWER(Upgrades!$P$20,L370)*POWER(Upgrades!$P$21,M370)*$F$6+$C$6</f>
        <v/>
      </c>
      <c r="Q370" s="28">
        <f>((IF(E370=0,0,(Upgrades!$M$13+E370*Upgrades!$N$13)*POWER(Upgrades!$O$13,E370)))*(IF(Upgrades!$T$14="Stellar Kinematics",POWER(Upgrades!$U$14,F370),1)*IF(Upgrades!$T$15="Stellar Kinematics",POWER(Upgrades!$U$15,G370),1)*IF(Upgrades!$T$16="Stellar Kinematics",POWER(Upgrades!$U$16,H370),1)*IF(Upgrades!$T$17="Stellar Kinematics",POWER(Upgrades!$U$17,I370),1)*IF(Upgrades!$T$18="Stellar Kinematics",POWER(Upgrades!$U$18,J370),1)*IF(Upgrades!$T$19="Stellar Kinematics",POWER(Upgrades!$U$19,K370),1)*IF(Upgrades!$T$20="Stellar Kinematics",POWER(Upgrades!$U$20,L370),1)*IF(Upgrades!$T$21="Stellar Kinematics",POWER(Upgrades!$U$21,M370),1))+(IF(F370=0,0,(Upgrades!$M$14+F370*Upgrades!$N$14)*POWER(Upgrades!$O$14,F370)))*(IF(Upgrades!$T$13="Local Bubble",POWER(Upgrades!$U$13,E370),1)*IF(Upgrades!$T$15="Local Bubble",POWER(Upgrades!$U$15,G370),1)*IF(Upgrades!$T$16="Local Bubble",POWER(Upgrades!$U$16,H370),1)*IF(Upgrades!$T$17="Local Bubble",POWER(Upgrades!$U$17,I370),1)*IF(Upgrades!$T$18="Local Bubble",POWER(Upgrades!$U$18,J370),1)*IF(Upgrades!$T$19="Local Bubble",POWER(Upgrades!$U$19,K370),1)*IF(Upgrades!$T$20="Local Bubble",POWER(Upgrades!$U$20,L370),1)*IF(Upgrades!$T$21="Local Bubble",POWER(Upgrades!$U$21,M370),1))+(IF(G370=0,0,(Upgrades!$M$15+G370*Upgrades!$N$15)*POWER(Upgrades!$O$15,G370)))*(IF(Upgrades!$T$13="Microlensing",POWER(Upgrades!$U$13,E370),1)*IF(Upgrades!$T$14="Microlensing",POWER(Upgrades!$U$14,F370),1)*IF(Upgrades!$T$16="Microlensing",POWER(Upgrades!$U$16,H370),1)*IF(Upgrades!$T$17="Microlensing",POWER(Upgrades!$U$17,I370),1)*IF(Upgrades!$T$18="Microlensing",POWER(Upgrades!$U$18,J370),1)*IF(Upgrades!$T$19="Microlensing",POWER(Upgrades!$U$19,K370),1)*IF(Upgrades!$T$20="Microlensing",POWER(Upgrades!$U$20,L370),1)*IF(Upgrades!$T$21="Microlensing",POWER(Upgrades!$U$21,M370),1))+(IF(H370=0,0,(Upgrades!$M$16+H370*Upgrades!$N$16)*POWER(Upgrades!$O$16,H370)))*(IF(Upgrades!$T$13="Roche Lobe Overflow",POWER(Upgrades!$U$13,E370),1)*IF(Upgrades!$T$14="Roche Lobe Overflow",POWER(Upgrades!$U$14,F370),1)*IF(Upgrades!$T$15="Roche Lobe Overflow",POWER(Upgrades!$U$15,G370),1)*IF(Upgrades!$T$17="Roche Lobe Overflow",POWER(Upgrades!$U$17,I370),1)*IF(Upgrades!$T$18="Roche Lobe Overflow",POWER(Upgrades!$U$18,J370),1)*IF(Upgrades!$T$19="Roche Lobe Overflow",POWER(Upgrades!$U$19,K370),1)*IF(Upgrades!$T$20="Roche Lobe Overflow",POWER(Upgrades!$U$20,L370),1)*IF(Upgrades!$T$21="Roche Lobe Overflow",POWER(Upgrades!$U$21,M370),1))+(IF(I370=0,0,(Upgrades!$M$17+I370*Upgrades!$N$17)*POWER(Upgrades!$O$17,I370)))*(IF(Upgrades!$T$13="Brown Dwarf",POWER(Upgrades!$U$13,E370),1)*IF(Upgrades!$T$14="Brown Dwarf",POWER(Upgrades!$U$14,F370),1)*IF(Upgrades!$T$15="Brown Dwarf",POWER(Upgrades!$U$15,G370),1)*IF(Upgrades!$T$16="Brown Dwarf",POWER(Upgrades!$U$16,H370),1)*IF(Upgrades!$T$18="Brown Dwarf",POWER(Upgrades!$U$18,J370),1)*IF(Upgrades!$T$19="Brown Dwarf",POWER(Upgrades!$U$19,K370),1)*IF(Upgrades!$T$20="Brown Dwarf",POWER(Upgrades!$U$20,L370),1)*IF(Upgrades!$T$21="Brown Dwarf",POWER(Upgrades!$U$21,M370),1))+(IF(J370=0,0,(Upgrades!$M$18+J370*Upgrades!$N$18)*POWER(Upgrades!$O$18,J370)))*(IF(Upgrades!$T$13="Binary Partner",POWER(Upgrades!$U$13,E370),1)*IF(Upgrades!$T$14="Binary Partner",POWER(Upgrades!$U$14,F370),1)*IF(Upgrades!$T$15="Binary Partner",POWER(Upgrades!$U$15,G370),1)*IF(Upgrades!$T$16="Binary Partner",POWER(Upgrades!$U$16,H370),1)*IF(Upgrades!$T$17="Binary Partner",POWER(Upgrades!$U$17,I370),1)*IF(Upgrades!$T$19="Binary Partner",POWER(Upgrades!$U$19,K370),1)*IF(Upgrades!$T$20="Binary Partner",POWER(Upgrades!$U$20,L370),1)*IF(Upgrades!$T$21="Binary Partner",POWER(Upgrades!$U$21,M370),1))+(IF(K370=0,0,(Upgrades!$M$19+K370*Upgrades!$N$19)*POWER(Upgrades!$O$19,K370)))*(IF(Upgrades!$T$13="Peculiar Velocity",POWER(Upgrades!$U$13,E370),1)*IF(Upgrades!$T$14="Peculiar Velocity",POWER(Upgrades!$U$14,F370),1)*IF(Upgrades!$T$15="Peculiar Velocity",POWER(Upgrades!$U$15,G370),1)*IF(Upgrades!$T$16="Peculiar Velocity",POWER(Upgrades!$U$16,H370),1)*IF(Upgrades!$T$17="Peculiar Velocity",POWER(Upgrades!$U$17,I370),1)*IF(Upgrades!$T$18="Peculiar Velocity",POWER(Upgrades!$U$18,J370),1)*IF(Upgrades!$T$20="Peculiar Velocity",POWER(Upgrades!$U$20,L370),1)*IF(Upgrades!$T$21="Peculiar Velocity",POWER(Upgrades!$U$21,M370),1))+(IF(L370=0,0,(Upgrades!$M$20+L370*Upgrades!$N$20)*POWER(Upgrades!$O$20,L370)))*(IF(Upgrades!$T$13="Open Cluster",POWER(Upgrades!$U$13,E370),1)*IF(Upgrades!$T$14="Open Cluster",POWER(Upgrades!$U$14,F370),1)*IF(Upgrades!$T$15="Open Cluster",POWER(Upgrades!$U$15,G370),1)*IF(Upgrades!$T$16="Open Cluster",POWER(Upgrades!$U$16,H370),1)*IF(Upgrades!$T$17="Open Cluster",POWER(Upgrades!$U$17,I370),1)*IF(Upgrades!$T$18="Open Cluster",POWER(Upgrades!$U$18,J370),1)*IF(Upgrades!$T$19="Open Cluster",POWER(Upgrades!$U$19,K370),1)*IF(Upgrades!$T$21="Open Cluster",POWER(Upgrades!$U$21,M370),1))+(IF(M370=0,0,(Upgrades!$M$21+M370*Upgrades!$N$21)*POWER(Upgrades!$O$21,M370)))*(IF(Upgrades!$T$13="Moving Group",POWER(Upgrades!$U$13,E370),1)*IF(Upgrades!$T$14="Moving Group",POWER(Upgrades!$U$14,F370),1)*IF(Upgrades!$T$15="Moving Group",POWER(Upgrades!$U$15,G370),1)*IF(Upgrades!$T$16="Moving Group",POWER(Upgrades!$U$16,H370),1)*IF(Upgrades!$T$17="Moving Group",POWER(Upgrades!$U$17,I370),1)*IF(Upgrades!$T$18="Moving Group",POWER(Upgrades!$U$18,J370),1)*IF(Upgrades!$T$19="Moving Group",POWER(Upgrades!$U$19,K370),1)*IF(Upgrades!$T$20="Moving Group",POWER(Upgrades!$U$20,L370),1)))*POWER(Upgrades!$R$13,E370)*POWER(Upgrades!$R$14,F370)*POWER(Upgrades!$R$15,G370)*POWER(Upgrades!$R$16,H370)*POWER(Upgrades!$R$17,I370)*POWER(Upgrades!$R$18,J370)*POWER(Upgrades!$R$19,K370)*POWER(Upgrades!$R$20,L370)*POWER(Upgrades!$R$21,M370)*$H$6+$E$6</f>
        <v/>
      </c>
      <c r="R370" s="27">
        <f>IF(N370=1,0,O370*Parameters!$B$10/60*Parameters!$B$11*10)</f>
        <v/>
      </c>
      <c r="S370" s="27">
        <f>IF(N370=1,0,Q370*O370*10)</f>
        <v/>
      </c>
      <c r="T370" s="27">
        <f>IF(N370=1,0,R370+S370+P370*10)</f>
        <v/>
      </c>
      <c r="U370" s="33">
        <f>BE370</f>
        <v/>
      </c>
      <c r="V370" s="22">
        <f>IF(U370="",0,IF(U370="transition",0,IF(U370="SK",AK370,IF(U370="LB",AL370,IF(U370="ML",AM370,IF(U370="RLO",AN370,IF(U370="BD",AO370,IF(U370="BiP",AP370,IF(U370="PV",AQ370,IF(U370="OC",AR370,IF(U370="MG",AS370,0))))))))))</f>
        <v/>
      </c>
      <c r="W370" s="27">
        <f>IF(U370="BiP",Upgrades!$F$18,IF(U370="PV",Upgrades!$F$19,IF(U370="OC",Upgrades!$F$20,IF(U370="MG",Upgrades!$F$21,IF(U370="transition",-Parameters!$B$18*Parameters!$B$19,0)))))</f>
        <v/>
      </c>
      <c r="X370" s="22">
        <f>C370+T370-V370</f>
        <v/>
      </c>
      <c r="Y370" s="30">
        <f>O370*Parameters!$B$10/60*Parameters!$B$11+Q370*O370+P370</f>
        <v/>
      </c>
      <c r="Z370" s="34">
        <f>IF(U370="transition","→ Tier 3 (Galactic Arm)",IF(U370="MG","Moving Group — pocket drifts together",IF(U370="OC","Open Cluster acquired",IF(U370="PV","Peculiar Velocity — passive multiplier active",IF(U370="BiP","Binary Partner — pair bond formed",IF(AND(AU370=1,N370=0,AT370&lt;&gt;1),"Cohesion ready (waiting on completionists)","")))))) </f>
        <v/>
      </c>
      <c r="AA370" s="27">
        <f>(IF(E370=0,0,(Upgrades!$G$13+E370*Upgrades!$H$13)*POWER(Upgrades!$I$13,E370)))*(IF(Upgrades!$T$14="Stellar Kinematics",POWER(Upgrades!$U$14,F370),1)*IF(Upgrades!$T$15="Stellar Kinematics",POWER(Upgrades!$U$15,G370),1)*IF(Upgrades!$T$16="Stellar Kinematics",POWER(Upgrades!$U$16,H370),1)*IF(Upgrades!$T$17="Stellar Kinematics",POWER(Upgrades!$U$17,I370),1)*IF(Upgrades!$T$18="Stellar Kinematics",POWER(Upgrades!$U$18,J370),1)*IF(Upgrades!$T$19="Stellar Kinematics",POWER(Upgrades!$U$19,K370),1)*IF(Upgrades!$T$20="Stellar Kinematics",POWER(Upgrades!$U$20,L370),1)*IF(Upgrades!$T$21="Stellar Kinematics",POWER(Upgrades!$U$21,M370),1))*POWER(Upgrades!$P$13,E370)*POWER(Upgrades!$P$14,F370)*POWER(Upgrades!$P$15,G370)*POWER(Upgrades!$P$16,H370)*POWER(Upgrades!$P$17,I370)*POWER(Upgrades!$P$18,J370)*POWER(Upgrades!$P$19,K370)*POWER(Upgrades!$P$20,L370)*POWER(Upgrades!$P$21,M370)*$F$6*60</f>
        <v/>
      </c>
      <c r="AB370" s="27">
        <f>(IF(F370=0,0,(Upgrades!$G$14+F370*Upgrades!$H$14)*POWER(Upgrades!$I$14,F370)))*(IF(Upgrades!$T$13="Local Bubble",POWER(Upgrades!$U$13,E370),1)*IF(Upgrades!$T$15="Local Bubble",POWER(Upgrades!$U$15,G370),1)*IF(Upgrades!$T$16="Local Bubble",POWER(Upgrades!$U$16,H370),1)*IF(Upgrades!$T$17="Local Bubble",POWER(Upgrades!$U$17,I370),1)*IF(Upgrades!$T$18="Local Bubble",POWER(Upgrades!$U$18,J370),1)*IF(Upgrades!$T$19="Local Bubble",POWER(Upgrades!$U$19,K370),1)*IF(Upgrades!$T$20="Local Bubble",POWER(Upgrades!$U$20,L370),1)*IF(Upgrades!$T$21="Local Bubble",POWER(Upgrades!$U$21,M370),1))*POWER(Upgrades!$P$13,E370)*POWER(Upgrades!$P$14,F370)*POWER(Upgrades!$P$15,G370)*POWER(Upgrades!$P$16,H370)*POWER(Upgrades!$P$17,I370)*POWER(Upgrades!$P$18,J370)*POWER(Upgrades!$P$19,K370)*POWER(Upgrades!$P$20,L370)*POWER(Upgrades!$P$21,M370)*$F$6*60</f>
        <v/>
      </c>
      <c r="AC370" s="27">
        <f>(IF(G370=0,0,(Upgrades!$J$15+G370*Upgrades!$K$15)*POWER(Upgrades!$L$15,G370)))*(IF(Upgrades!$T$13="Microlensing",POWER(Upgrades!$U$13,E370),1)*IF(Upgrades!$T$14="Microlensing",POWER(Upgrades!$U$14,F370),1)*IF(Upgrades!$T$16="Microlensing",POWER(Upgrades!$U$16,H370),1)*IF(Upgrades!$T$17="Microlensing",POWER(Upgrades!$U$17,I370),1)*IF(Upgrades!$T$18="Microlensing",POWER(Upgrades!$U$18,J370),1)*IF(Upgrades!$T$19="Microlensing",POWER(Upgrades!$U$19,K370),1)*IF(Upgrades!$T$20="Microlensing",POWER(Upgrades!$U$20,L370),1)*IF(Upgrades!$T$21="Microlensing",POWER(Upgrades!$U$21,M370),1))*POWER(Upgrades!$Q$13,E370)*POWER(Upgrades!$Q$14,F370)*POWER(Upgrades!$Q$15,G370)*POWER(Upgrades!$Q$16,H370)*POWER(Upgrades!$Q$17,I370)*POWER(Upgrades!$Q$18,J370)*POWER(Upgrades!$Q$19,K370)*POWER(Upgrades!$Q$20,L370)*POWER(Upgrades!$Q$21,M370)*$G$6*(Parameters!$B$10*Parameters!$B$11+Q370*60)</f>
        <v/>
      </c>
      <c r="AD370" s="27">
        <f>(IF(H370=0,0,(Upgrades!$M$16+H370*Upgrades!$N$16)*POWER(Upgrades!$O$16,H370)))*(IF(Upgrades!$T$13="Roche Lobe Overflow",POWER(Upgrades!$U$13,E370),1)*IF(Upgrades!$T$14="Roche Lobe Overflow",POWER(Upgrades!$U$14,F370),1)*IF(Upgrades!$T$15="Roche Lobe Overflow",POWER(Upgrades!$U$15,G370),1)*IF(Upgrades!$T$17="Roche Lobe Overflow",POWER(Upgrades!$U$17,I370),1)*IF(Upgrades!$T$18="Roche Lobe Overflow",POWER(Upgrades!$U$18,J370),1)*IF(Upgrades!$T$19="Roche Lobe Overflow",POWER(Upgrades!$U$19,K370),1)*IF(Upgrades!$T$20="Roche Lobe Overflow",POWER(Upgrades!$U$20,L370),1)*IF(Upgrades!$T$21="Roche Lobe Overflow",POWER(Upgrades!$U$21,M370),1))*POWER(Upgrades!$R$13,E370)*POWER(Upgrades!$R$14,F370)*POWER(Upgrades!$R$15,G370)*POWER(Upgrades!$R$16,H370)*POWER(Upgrades!$R$17,I370)*POWER(Upgrades!$R$18,J370)*POWER(Upgrades!$R$19,K370)*POWER(Upgrades!$R$20,L370)*POWER(Upgrades!$R$21,M370)*$H$6*O370*60</f>
        <v/>
      </c>
      <c r="AE370" s="27">
        <f>(IF(I370=0,0,(Upgrades!$G$17+I370*Upgrades!$H$17)*POWER(Upgrades!$I$17,I370)))*(IF(Upgrades!$T$13="Brown Dwarf",POWER(Upgrades!$U$13,E370),1)*IF(Upgrades!$T$14="Brown Dwarf",POWER(Upgrades!$U$14,F370),1)*IF(Upgrades!$T$15="Brown Dwarf",POWER(Upgrades!$U$15,G370),1)*IF(Upgrades!$T$16="Brown Dwarf",POWER(Upgrades!$U$16,H370),1)*IF(Upgrades!$T$18="Brown Dwarf",POWER(Upgrades!$U$18,J370),1)*IF(Upgrades!$T$19="Brown Dwarf",POWER(Upgrades!$U$19,K370),1)*IF(Upgrades!$T$20="Brown Dwarf",POWER(Upgrades!$U$20,L370),1)*IF(Upgrades!$T$21="Brown Dwarf",POWER(Upgrades!$U$21,M370),1))*POWER(Upgrades!$P$13,E370)*POWER(Upgrades!$P$14,F370)*POWER(Upgrades!$P$15,G370)*POWER(Upgrades!$P$16,H370)*POWER(Upgrades!$P$17,I370)*POWER(Upgrades!$P$18,J370)*POWER(Upgrades!$P$19,K370)*POWER(Upgrades!$P$20,L370)*POWER(Upgrades!$P$21,M370)*$F$6*60</f>
        <v/>
      </c>
      <c r="AF370" s="27" t="n">
        <v>0</v>
      </c>
      <c r="AG370" s="27" t="n">
        <v>0</v>
      </c>
      <c r="AH370" s="27" t="n">
        <v>0</v>
      </c>
      <c r="AI370" s="27">
        <f>(IF(M370=0,0,(Upgrades!$G$21+M370*Upgrades!$H$21)*POWER(Upgrades!$I$21,M370)))*(IF(Upgrades!$T$13="Moving Group",POWER(Upgrades!$U$13,E370),1)*IF(Upgrades!$T$14="Moving Group",POWER(Upgrades!$U$14,F370),1)*IF(Upgrades!$T$15="Moving Group",POWER(Upgrades!$U$15,G370),1)*IF(Upgrades!$T$16="Moving Group",POWER(Upgrades!$U$16,H370),1)*IF(Upgrades!$T$17="Moving Group",POWER(Upgrades!$U$17,I370),1)*IF(Upgrades!$T$18="Moving Group",POWER(Upgrades!$U$18,J370),1)*IF(Upgrades!$T$19="Moving Group",POWER(Upgrades!$U$19,K370),1)*IF(Upgrades!$T$20="Moving Group",POWER(Upgrades!$U$20,L370),1))*POWER(Upgrades!$P$13,E370)*POWER(Upgrades!$P$14,F370)*POWER(Upgrades!$P$15,G370)*POWER(Upgrades!$P$16,H370)*POWER(Upgrades!$P$17,I370)*POWER(Upgrades!$P$18,J370)*POWER(Upgrades!$P$19,K370)*POWER(Upgrades!$P$20,L370)*POWER(Upgrades!$P$21,M370)*$F$6*60</f>
        <v/>
      </c>
      <c r="AJ370" s="27">
        <f>$C$6*60</f>
        <v/>
      </c>
      <c r="AK370" s="22">
        <f>IF(E370&gt;=Upgrades!$E$13,"",Upgrades!$C$13*POWER(Upgrades!$D$13,E370))</f>
        <v/>
      </c>
      <c r="AL370" s="22">
        <f>IF(F370&gt;=Upgrades!$E$14,"",Upgrades!$C$14*POWER(Upgrades!$D$14,F370))</f>
        <v/>
      </c>
      <c r="AM370" s="22">
        <f>IF(G370&gt;=Upgrades!$E$15,"",Upgrades!$C$15*POWER(Upgrades!$D$15,G370))</f>
        <v/>
      </c>
      <c r="AN370" s="22">
        <f>IF(H370&gt;=Upgrades!$E$16,"",Upgrades!$C$16*POWER(Upgrades!$D$16,H370))</f>
        <v/>
      </c>
      <c r="AO370" s="22">
        <f>IF(I370&gt;=Upgrades!$E$17,"",Upgrades!$C$17*POWER(Upgrades!$D$17,I370))</f>
        <v/>
      </c>
      <c r="AP370" s="22">
        <f>IF(J370&gt;=Upgrades!$E$18,"",Upgrades!$C$18*POWER(Upgrades!$D$18,J370))</f>
        <v/>
      </c>
      <c r="AQ370" s="22">
        <f>IF(K370&gt;=Upgrades!$E$19,"",Upgrades!$C$19*POWER(Upgrades!$D$19,K370))</f>
        <v/>
      </c>
      <c r="AR370" s="22">
        <f>IF(L370&gt;=Upgrades!$E$20,"",Upgrades!$C$20*POWER(Upgrades!$D$20,L370))</f>
        <v/>
      </c>
      <c r="AS370" s="22">
        <f>IF(M370&gt;=Upgrades!$E$21,"",Upgrades!$C$21*POWER(Upgrades!$D$21,M370))</f>
        <v/>
      </c>
      <c r="AT370" s="26">
        <f>IF(AND(D370&gt;=Parameters!$B$18*Parameters!$B$19,(I370&gt;=Upgrades!$E$17)*(M370&gt;=Upgrades!$E$21)=1,N370=0),1,"")</f>
        <v/>
      </c>
      <c r="AU370" s="26">
        <f>IF(AND(D370&gt;=Parameters!$B$18*Parameters!$B$19,N370=0),1,"")</f>
        <v/>
      </c>
      <c r="AV370" s="22">
        <f>MIN(IF(ISNUMBER(AP370),AP370,9E15),IF(ISNUMBER(AQ370),AQ370,9E15),IF(ISNUMBER(AR370),AR370,9E15),IF(ISNUMBER(AS370),AS370,9E15))</f>
        <v/>
      </c>
      <c r="AW370" s="22">
        <f>MIN(IF(ISNUMBER(AK370),AK370,9E15),IF(ISNUMBER(AL370),AL370,9E15),IF(ISNUMBER(AM370),AM370,9E15),IF(ISNUMBER(AN370),AN370,9E15),IF(ISNUMBER(AO370),AO370,9E15))</f>
        <v/>
      </c>
      <c r="AX370" s="29">
        <f>IF(BD370&gt;Parameters!$B$21*(MAX(IF(AND(NOT(AND(AU370=1,AT370&lt;&gt;1)),ISNUMBER(AK370),AK370&lt;=(C370+T370)),AY370,0),IF(AND(NOT(AND(AU370=1,AT370&lt;&gt;1)),ISNUMBER(AL370),AL370&lt;=(C370+T370)),AZ370,0),IF(AND(NOT(AND(AU370=1,AT370&lt;&gt;1)),ISNUMBER(AM370),AM370&lt;=(C370+T370)),BA370,0),IF(AND(NOT(AND(AU370=1,AT370&lt;&gt;1)),ISNUMBER(AN370),AN370&lt;=(C370+T370)),BB370,0),IF(AND(ISNUMBER(AO370),AO370&lt;=(C370+T370)),BC370,0))),TRUE,FALSE)</f>
        <v/>
      </c>
      <c r="AY370" s="32">
        <f>IFERROR(Upgrades!$H$13*(POWER(Upgrades!$P$13,E370)*POWER(Upgrades!$P$14,F370)*POWER(Upgrades!$P$15,G370)*POWER(Upgrades!$P$16,H370)*POWER(Upgrades!$P$17,I370)*POWER(Upgrades!$P$18,J370)*POWER(Upgrades!$P$19,K370)*POWER(Upgrades!$P$20,L370)*POWER(Upgrades!$P$21,M370))*(IF(Upgrades!$T$14="Stellar Kinematics",POWER(Upgrades!$U$14,F370),1)*IF(Upgrades!$T$15="Stellar Kinematics",POWER(Upgrades!$U$15,G370),1)*IF(Upgrades!$T$16="Stellar Kinematics",POWER(Upgrades!$U$16,H370),1)*IF(Upgrades!$T$17="Stellar Kinematics",POWER(Upgrades!$U$17,I370),1)*IF(Upgrades!$T$18="Stellar Kinematics",POWER(Upgrades!$U$18,J370),1)*IF(Upgrades!$T$19="Stellar Kinematics",POWER(Upgrades!$U$19,K370),1)*IF(Upgrades!$T$20="Stellar Kinematics",POWER(Upgrades!$U$20,L370),1)*IF(Upgrades!$T$21="Stellar Kinematics",POWER(Upgrades!$U$21,M370),1))*$F$6/AK370,0)</f>
        <v/>
      </c>
      <c r="AZ370" s="32">
        <f>IFERROR(Upgrades!$H$14*(POWER(Upgrades!$P$13,E370)*POWER(Upgrades!$P$14,F370)*POWER(Upgrades!$P$15,G370)*POWER(Upgrades!$P$16,H370)*POWER(Upgrades!$P$17,I370)*POWER(Upgrades!$P$18,J370)*POWER(Upgrades!$P$19,K370)*POWER(Upgrades!$P$20,L370)*POWER(Upgrades!$P$21,M370))*(IF(Upgrades!$T$13="Local Bubble",POWER(Upgrades!$U$13,E370),1)*IF(Upgrades!$T$15="Local Bubble",POWER(Upgrades!$U$15,G370),1)*IF(Upgrades!$T$16="Local Bubble",POWER(Upgrades!$U$16,H370),1)*IF(Upgrades!$T$17="Local Bubble",POWER(Upgrades!$U$17,I370),1)*IF(Upgrades!$T$18="Local Bubble",POWER(Upgrades!$U$18,J370),1)*IF(Upgrades!$T$19="Local Bubble",POWER(Upgrades!$U$19,K370),1)*IF(Upgrades!$T$20="Local Bubble",POWER(Upgrades!$U$20,L370),1)*IF(Upgrades!$T$21="Local Bubble",POWER(Upgrades!$U$21,M370),1))*$F$6/AL370,0)</f>
        <v/>
      </c>
      <c r="BA370" s="32">
        <f>IFERROR(Upgrades!$K$15*(POWER(Upgrades!$Q$13,E370)*POWER(Upgrades!$Q$14,F370)*POWER(Upgrades!$Q$15,G370)*POWER(Upgrades!$Q$16,H370)*POWER(Upgrades!$Q$17,I370)*POWER(Upgrades!$Q$18,J370)*POWER(Upgrades!$Q$19,K370)*POWER(Upgrades!$Q$20,L370)*POWER(Upgrades!$Q$21,M370))*(IF(Upgrades!$T$13="Microlensing",POWER(Upgrades!$U$13,E370),1)*IF(Upgrades!$T$14="Microlensing",POWER(Upgrades!$U$14,F370),1)*IF(Upgrades!$T$16="Microlensing",POWER(Upgrades!$U$16,H370),1)*IF(Upgrades!$T$17="Microlensing",POWER(Upgrades!$U$17,I370),1)*IF(Upgrades!$T$18="Microlensing",POWER(Upgrades!$U$18,J370),1)*IF(Upgrades!$T$19="Microlensing",POWER(Upgrades!$U$19,K370),1)*IF(Upgrades!$T$20="Microlensing",POWER(Upgrades!$U$20,L370),1)*IF(Upgrades!$T$21="Microlensing",POWER(Upgrades!$U$21,M370),1))*$G$6*(Parameters!$B$10/60*Parameters!$B$11+Q370)/AM370,0)</f>
        <v/>
      </c>
      <c r="BB370" s="32">
        <f>IFERROR((Upgrades!$N$16*(POWER(Upgrades!$R$13,E370)*POWER(Upgrades!$R$14,F370)*POWER(Upgrades!$R$15,G370)*POWER(Upgrades!$R$16,H370)*POWER(Upgrades!$R$17,I370)*POWER(Upgrades!$R$18,J370)*POWER(Upgrades!$R$19,K370)*POWER(Upgrades!$R$20,L370)*POWER(Upgrades!$R$21,M370))*(IF(Upgrades!$T$13="Roche Lobe Overflow",POWER(Upgrades!$U$13,E370),1)*IF(Upgrades!$T$14="Roche Lobe Overflow",POWER(Upgrades!$U$14,F370),1)*IF(Upgrades!$T$15="Roche Lobe Overflow",POWER(Upgrades!$U$15,G370),1)*IF(Upgrades!$T$17="Roche Lobe Overflow",POWER(Upgrades!$U$17,I370),1)*IF(Upgrades!$T$18="Roche Lobe Overflow",POWER(Upgrades!$U$18,J370),1)*IF(Upgrades!$T$19="Roche Lobe Overflow",POWER(Upgrades!$U$19,K370),1)*IF(Upgrades!$T$20="Roche Lobe Overflow",POWER(Upgrades!$U$20,L370),1)*IF(Upgrades!$T$21="Roche Lobe Overflow",POWER(Upgrades!$U$21,M370),1))*$H$6*O370+((IF(F370=0,0,(Upgrades!$G$14+F370*Upgrades!$H$14)*POWER(Upgrades!$I$14,F370)))*(IF(Upgrades!$T$13="Local Bubble",POWER(Upgrades!$U$13,E370),1)*IF(Upgrades!$T$15="Local Bubble",POWER(Upgrades!$U$15,G370),1)*IF(Upgrades!$T$16="Local Bubble",POWER(Upgrades!$U$16,H370),1)*IF(Upgrades!$T$17="Local Bubble",POWER(Upgrades!$U$17,I370),1)*IF(Upgrades!$T$18="Local Bubble",POWER(Upgrades!$U$18,J370),1)*IF(Upgrades!$T$19="Local Bubble",POWER(Upgrades!$U$19,K370),1)*IF(Upgrades!$T$20="Local Bubble",POWER(Upgrades!$U$20,L370),1)*IF(Upgrades!$T$21="Local Bubble",POWER(Upgrades!$U$21,M370),1))*POWER(Upgrades!$P$13,E370)*POWER(Upgrades!$P$14,F370)*POWER(Upgrades!$P$15,G370)*POWER(Upgrades!$P$16,H370)*POWER(Upgrades!$P$17,I370)*POWER(Upgrades!$P$18,J370)*POWER(Upgrades!$P$19,K370)*POWER(Upgrades!$P$20,L370)*POWER(Upgrades!$P$21,M370)*$F$6)*0.05)/AN370,0)</f>
        <v/>
      </c>
      <c r="BC370" s="32">
        <f>IFERROR((Upgrades!$H$17*(POWER(Upgrades!$P$13,E370)*POWER(Upgrades!$P$14,F370)*POWER(Upgrades!$P$15,G370)*POWER(Upgrades!$P$16,H370)*POWER(Upgrades!$P$17,I370)*POWER(Upgrades!$P$18,J370)*POWER(Upgrades!$P$19,K370)*POWER(Upgrades!$P$20,L370)*POWER(Upgrades!$P$21,M370))*(IF(Upgrades!$T$13="Brown Dwarf",POWER(Upgrades!$U$13,E370),1)*IF(Upgrades!$T$14="Brown Dwarf",POWER(Upgrades!$U$14,F370),1)*IF(Upgrades!$T$15="Brown Dwarf",POWER(Upgrades!$U$15,G370),1)*IF(Upgrades!$T$16="Brown Dwarf",POWER(Upgrades!$U$16,H370),1)*IF(Upgrades!$T$18="Brown Dwarf",POWER(Upgrades!$U$18,J370),1)*IF(Upgrades!$T$19="Brown Dwarf",POWER(Upgrades!$U$19,K370),1)*IF(Upgrades!$T$20="Brown Dwarf",POWER(Upgrades!$U$20,L370),1)*IF(Upgrades!$T$21="Brown Dwarf",POWER(Upgrades!$U$21,M370),1))*$F$6+(((IF(H370=0,0,(Upgrades!$M$16+H370*Upgrades!$N$16)*POWER(Upgrades!$O$16,H370)))*(IF(Upgrades!$T$13="Roche Lobe Overflow",POWER(Upgrades!$U$13,E370),1)*IF(Upgrades!$T$14="Roche Lobe Overflow",POWER(Upgrades!$U$14,F370),1)*IF(Upgrades!$T$15="Roche Lobe Overflow",POWER(Upgrades!$U$15,G370),1)*IF(Upgrades!$T$17="Roche Lobe Overflow",POWER(Upgrades!$U$17,I370),1)*IF(Upgrades!$T$18="Roche Lobe Overflow",POWER(Upgrades!$U$18,J370),1)*IF(Upgrades!$T$19="Roche Lobe Overflow",POWER(Upgrades!$U$19,K370),1)*IF(Upgrades!$T$20="Roche Lobe Overflow",POWER(Upgrades!$U$20,L370),1)*IF(Upgrades!$T$21="Roche Lobe Overflow",POWER(Upgrades!$U$21,M370),1))*POWER(Upgrades!$R$13,E370)*POWER(Upgrades!$R$14,F370)*POWER(Upgrades!$R$15,G370)*POWER(Upgrades!$R$16,H370)*POWER(Upgrades!$R$17,I370)*POWER(Upgrades!$R$18,J370)*POWER(Upgrades!$R$19,K370)*POWER(Upgrades!$R$20,L370)*POWER(Upgrades!$R$21,M370)*$H$6)*O370)*0.10)/AO370,0)</f>
        <v/>
      </c>
      <c r="BD370" s="32">
        <f>MAX(IF(J370&gt;0,0,IFERROR(0.5*((IF(G370=0,0,(Upgrades!$J$15+G370*Upgrades!$K$15)*POWER(Upgrades!$L$15,G370)))*(IF(Upgrades!$T$13="Microlensing",POWER(Upgrades!$U$13,E370),1)*IF(Upgrades!$T$14="Microlensing",POWER(Upgrades!$U$14,F370),1)*IF(Upgrades!$T$16="Microlensing",POWER(Upgrades!$U$16,H370),1)*IF(Upgrades!$T$17="Microlensing",POWER(Upgrades!$U$17,I370),1)*IF(Upgrades!$T$18="Microlensing",POWER(Upgrades!$U$18,J370),1)*IF(Upgrades!$T$19="Microlensing",POWER(Upgrades!$U$19,K370),1)*IF(Upgrades!$T$20="Microlensing",POWER(Upgrades!$U$20,L370),1)*IF(Upgrades!$T$21="Microlensing",POWER(Upgrades!$U$21,M370),1))*(POWER(Upgrades!$Q$13,E370)*POWER(Upgrades!$Q$14,F370)*POWER(Upgrades!$Q$15,G370)*POWER(Upgrades!$Q$16,H370)*POWER(Upgrades!$Q$17,I370)*POWER(Upgrades!$Q$18,J370)*POWER(Upgrades!$Q$19,K370)*POWER(Upgrades!$Q$20,L370)*POWER(Upgrades!$Q$21,M370))*$G$6*(Parameters!$B$10/60*Parameters!$B$11+Q370))/Upgrades!$C$18,0)),IF(K370&gt;0,0,IFERROR(0.30*P370/Upgrades!$C$19,0)),IF(L370&gt;0,0,IFERROR(0.0001/Upgrades!$C$20,0)),IF(M370&gt;0,0,IFERROR((6.0*(POWER(Upgrades!$P$13,E370)*POWER(Upgrades!$P$14,F370)*POWER(Upgrades!$P$15,G370)*POWER(Upgrades!$P$16,H370)*POWER(Upgrades!$P$17,I370)*POWER(Upgrades!$P$18,J370)*POWER(Upgrades!$P$19,K370)*POWER(Upgrades!$P$20,L370)*POWER(Upgrades!$P$21,M370))*$F$6+0.20*O370*(Parameters!$B$10/60*Parameters!$B$11+Q370))/Upgrades!$C$21,0)),IF(AND(ISNUMBER(AK370),AK370&gt;(C370+T370)),AY370,0),IF(AND(ISNUMBER(AL370),AL370&gt;(C370+T370)),AZ370,0),IF(AND(ISNUMBER(AM370),AM370&gt;(C370+T370)),BA370,0),IF(AND(ISNUMBER(AN370),AN370&gt;(C370+T370)),BB370,0),IF(AND(ISNUMBER(AO370),AO370&gt;(C370+T370)),BC370,0))</f>
        <v/>
      </c>
      <c r="BE370" s="29">
        <f>IF(AT370=1,"transition",IF(MIN(IF(AND(J370=0,ISNUMBER(AP370),AP370&lt;=(C370+T370)),AP370,9E15),IF(AND(K370=0,ISNUMBER(AQ370),AQ370&lt;=(C370+T370)),AQ370,9E15),IF(AND(L370=0,ISNUMBER(AR370),AR370&lt;=(C370+T370)),AR370,9E15),IF(AND(M370=0,ISNUMBER(AS370),AS370&lt;=(C370+T370)),AS370,9E15))&lt;9E15,IF(AND(AND(J370=0,ISNUMBER(AP370),AP370&lt;=(C370+T370)),AP370=MIN(IF(AND(J370=0,ISNUMBER(AP370),AP370&lt;=(C370+T370)),AP370,9E15),IF(AND(K370=0,ISNUMBER(AQ370),AQ370&lt;=(C370+T370)),AQ370,9E15),IF(AND(L370=0,ISNUMBER(AR370),AR370&lt;=(C370+T370)),AR370,9E15),IF(AND(M370=0,ISNUMBER(AS370),AS370&lt;=(C370+T370)),AS370,9E15))),"BiP",IF(AND(AND(K370=0,ISNUMBER(AQ370),AQ370&lt;=(C370+T370)),AQ370=MIN(IF(AND(J370=0,ISNUMBER(AP370),AP370&lt;=(C370+T370)),AP370,9E15),IF(AND(K370=0,ISNUMBER(AQ370),AQ370&lt;=(C370+T370)),AQ370,9E15),IF(AND(L370=0,ISNUMBER(AR370),AR370&lt;=(C370+T370)),AR370,9E15),IF(AND(M370=0,ISNUMBER(AS370),AS370&lt;=(C370+T370)),AS370,9E15))),"PV",IF(AND(AND(L370=0,ISNUMBER(AR370),AR370&lt;=(C370+T370)),AR370=MIN(IF(AND(J370=0,ISNUMBER(AP370),AP370&lt;=(C370+T370)),AP370,9E15),IF(AND(K370=0,ISNUMBER(AQ370),AQ370&lt;=(C370+T370)),AQ370,9E15),IF(AND(L370=0,ISNUMBER(AR370),AR370&lt;=(C370+T370)),AR370,9E15),IF(AND(M370=0,ISNUMBER(AS370),AS370&lt;=(C370+T370)),AS370,9E15))),"OC","MG"))),IF(AX370=TRUE,"",IF(MAX(IF(AND(NOT(AND(AU370=1,AT370&lt;&gt;1)),ISNUMBER(AK370),AK370&lt;=(C370+T370)),AY370,0),IF(AND(NOT(AND(AU370=1,AT370&lt;&gt;1)),ISNUMBER(AL370),AL370&lt;=(C370+T370)),AZ370,0),IF(AND(NOT(AND(AU370=1,AT370&lt;&gt;1)),ISNUMBER(AM370),AM370&lt;=(C370+T370)),BA370,0),IF(AND(NOT(AND(AU370=1,AT370&lt;&gt;1)),ISNUMBER(AN370),AN370&lt;=(C370+T370)),BB370,0),IF(AND(ISNUMBER(AO370),AO370&lt;=(C370+T370)),BC370,0))&lt;=0,"",IF(AND(IF(AND(NOT(AND(AU370=1,AT370&lt;&gt;1)),ISNUMBER(AK370),AK370&lt;=(C370+T370)),AY370,0)&gt;0,IF(AND(NOT(AND(AU370=1,AT370&lt;&gt;1)),ISNUMBER(AK370),AK370&lt;=(C370+T370)),AY370,0)=MAX(IF(AND(NOT(AND(AU370=1,AT370&lt;&gt;1)),ISNUMBER(AK370),AK370&lt;=(C370+T370)),AY370,0),IF(AND(NOT(AND(AU370=1,AT370&lt;&gt;1)),ISNUMBER(AL370),AL370&lt;=(C370+T370)),AZ370,0),IF(AND(NOT(AND(AU370=1,AT370&lt;&gt;1)),ISNUMBER(AM370),AM370&lt;=(C370+T370)),BA370,0),IF(AND(NOT(AND(AU370=1,AT370&lt;&gt;1)),ISNUMBER(AN370),AN370&lt;=(C370+T370)),BB370,0),IF(AND(ISNUMBER(AO370),AO370&lt;=(C370+T370)),BC370,0))),"SK",IF(AND(IF(AND(NOT(AND(AU370=1,AT370&lt;&gt;1)),ISNUMBER(AL370),AL370&lt;=(C370+T370)),AZ370,0)&gt;0,IF(AND(NOT(AND(AU370=1,AT370&lt;&gt;1)),ISNUMBER(AL370),AL370&lt;=(C370+T370)),AZ370,0)=MAX(IF(AND(NOT(AND(AU370=1,AT370&lt;&gt;1)),ISNUMBER(AK370),AK370&lt;=(C370+T370)),AY370,0),IF(AND(NOT(AND(AU370=1,AT370&lt;&gt;1)),ISNUMBER(AL370),AL370&lt;=(C370+T370)),AZ370,0),IF(AND(NOT(AND(AU370=1,AT370&lt;&gt;1)),ISNUMBER(AM370),AM370&lt;=(C370+T370)),BA370,0),IF(AND(NOT(AND(AU370=1,AT370&lt;&gt;1)),ISNUMBER(AN370),AN370&lt;=(C370+T370)),BB370,0),IF(AND(ISNUMBER(AO370),AO370&lt;=(C370+T370)),BC370,0))),"LB",IF(AND(IF(AND(NOT(AND(AU370=1,AT370&lt;&gt;1)),ISNUMBER(AM370),AM370&lt;=(C370+T370)),BA370,0)&gt;0,IF(AND(NOT(AND(AU370=1,AT370&lt;&gt;1)),ISNUMBER(AM370),AM370&lt;=(C370+T370)),BA370,0)=MAX(IF(AND(NOT(AND(AU370=1,AT370&lt;&gt;1)),ISNUMBER(AK370),AK370&lt;=(C370+T370)),AY370,0),IF(AND(NOT(AND(AU370=1,AT370&lt;&gt;1)),ISNUMBER(AL370),AL370&lt;=(C370+T370)),AZ370,0),IF(AND(NOT(AND(AU370=1,AT370&lt;&gt;1)),ISNUMBER(AM370),AM370&lt;=(C370+T370)),BA370,0),IF(AND(NOT(AND(AU370=1,AT370&lt;&gt;1)),ISNUMBER(AN370),AN370&lt;=(C370+T370)),BB370,0),IF(AND(ISNUMBER(AO370),AO370&lt;=(C370+T370)),BC370,0))),"ML",IF(AND(IF(AND(NOT(AND(AU370=1,AT370&lt;&gt;1)),ISNUMBER(AN370),AN370&lt;=(C370+T370)),BB370,0)&gt;0,IF(AND(NOT(AND(AU370=1,AT370&lt;&gt;1)),ISNUMBER(AN370),AN370&lt;=(C370+T370)),BB370,0)=MAX(IF(AND(NOT(AND(AU370=1,AT370&lt;&gt;1)),ISNUMBER(AK370),AK370&lt;=(C370+T370)),AY370,0),IF(AND(NOT(AND(AU370=1,AT370&lt;&gt;1)),ISNUMBER(AL370),AL370&lt;=(C370+T370)),AZ370,0),IF(AND(NOT(AND(AU370=1,AT370&lt;&gt;1)),ISNUMBER(AM370),AM370&lt;=(C370+T370)),BA370,0),IF(AND(NOT(AND(AU370=1,AT370&lt;&gt;1)),ISNUMBER(AN370),AN370&lt;=(C370+T370)),BB370,0),IF(AND(ISNUMBER(AO370),AO370&lt;=(C370+T370)),BC370,0))),"RLO","BD"))))))))</f>
        <v/>
      </c>
    </row>
    <row r="371">
      <c r="A371" s="26" t="n">
        <v>360</v>
      </c>
      <c r="B371" s="27">
        <f>A371*10/60</f>
        <v/>
      </c>
      <c r="C371" s="22">
        <f>X370</f>
        <v/>
      </c>
      <c r="D371" s="27">
        <f>D370+W370</f>
        <v/>
      </c>
      <c r="E371" s="26">
        <f>E370+IF(U370="SK",1,0)</f>
        <v/>
      </c>
      <c r="F371" s="26">
        <f>F370+IF(U370="LB",1,0)</f>
        <v/>
      </c>
      <c r="G371" s="26">
        <f>G370+IF(U370="ML",1,0)</f>
        <v/>
      </c>
      <c r="H371" s="26">
        <f>H370+IF(U370="RLO",1,0)</f>
        <v/>
      </c>
      <c r="I371" s="26">
        <f>I370+IF(U370="BD",1,0)</f>
        <v/>
      </c>
      <c r="J371" s="26">
        <f>MAX(J370,IF(U370="BiP",1,0))</f>
        <v/>
      </c>
      <c r="K371" s="26">
        <f>MAX(K370,IF(U370="PV",1,0))</f>
        <v/>
      </c>
      <c r="L371" s="26">
        <f>MAX(L370,IF(U370="OC",1,0))</f>
        <v/>
      </c>
      <c r="M371" s="26">
        <f>MAX(M370,IF(U370="MG",1,0))</f>
        <v/>
      </c>
      <c r="N371" s="26">
        <f>MAX(N370,IF(U370="transition",1,0))</f>
        <v/>
      </c>
      <c r="O371" s="28">
        <f>(Parameters!$B$9+(IF(E371=0,0,(Upgrades!$J$13+E371*Upgrades!$K$13)*POWER(Upgrades!$L$13,E371)))*(IF(Upgrades!$T$14="Stellar Kinematics",POWER(Upgrades!$U$14,F371),1)*IF(Upgrades!$T$15="Stellar Kinematics",POWER(Upgrades!$U$15,G371),1)*IF(Upgrades!$T$16="Stellar Kinematics",POWER(Upgrades!$U$16,H371),1)*IF(Upgrades!$T$17="Stellar Kinematics",POWER(Upgrades!$U$17,I371),1)*IF(Upgrades!$T$18="Stellar Kinematics",POWER(Upgrades!$U$18,J371),1)*IF(Upgrades!$T$19="Stellar Kinematics",POWER(Upgrades!$U$19,K371),1)*IF(Upgrades!$T$20="Stellar Kinematics",POWER(Upgrades!$U$20,L371),1)*IF(Upgrades!$T$21="Stellar Kinematics",POWER(Upgrades!$U$21,M371),1))+(IF(F371=0,0,(Upgrades!$J$14+F371*Upgrades!$K$14)*POWER(Upgrades!$L$14,F371)))*(IF(Upgrades!$T$13="Local Bubble",POWER(Upgrades!$U$13,E371),1)*IF(Upgrades!$T$15="Local Bubble",POWER(Upgrades!$U$15,G371),1)*IF(Upgrades!$T$16="Local Bubble",POWER(Upgrades!$U$16,H371),1)*IF(Upgrades!$T$17="Local Bubble",POWER(Upgrades!$U$17,I371),1)*IF(Upgrades!$T$18="Local Bubble",POWER(Upgrades!$U$18,J371),1)*IF(Upgrades!$T$19="Local Bubble",POWER(Upgrades!$U$19,K371),1)*IF(Upgrades!$T$20="Local Bubble",POWER(Upgrades!$U$20,L371),1)*IF(Upgrades!$T$21="Local Bubble",POWER(Upgrades!$U$21,M371),1))+(IF(G371=0,0,(Upgrades!$J$15+G371*Upgrades!$K$15)*POWER(Upgrades!$L$15,G371)))*(IF(Upgrades!$T$13="Microlensing",POWER(Upgrades!$U$13,E371),1)*IF(Upgrades!$T$14="Microlensing",POWER(Upgrades!$U$14,F371),1)*IF(Upgrades!$T$16="Microlensing",POWER(Upgrades!$U$16,H371),1)*IF(Upgrades!$T$17="Microlensing",POWER(Upgrades!$U$17,I371),1)*IF(Upgrades!$T$18="Microlensing",POWER(Upgrades!$U$18,J371),1)*IF(Upgrades!$T$19="Microlensing",POWER(Upgrades!$U$19,K371),1)*IF(Upgrades!$T$20="Microlensing",POWER(Upgrades!$U$20,L371),1)*IF(Upgrades!$T$21="Microlensing",POWER(Upgrades!$U$21,M371),1))+(IF(H371=0,0,(Upgrades!$J$16+H371*Upgrades!$K$16)*POWER(Upgrades!$L$16,H371)))*(IF(Upgrades!$T$13="Roche Lobe Overflow",POWER(Upgrades!$U$13,E371),1)*IF(Upgrades!$T$14="Roche Lobe Overflow",POWER(Upgrades!$U$14,F371),1)*IF(Upgrades!$T$15="Roche Lobe Overflow",POWER(Upgrades!$U$15,G371),1)*IF(Upgrades!$T$17="Roche Lobe Overflow",POWER(Upgrades!$U$17,I371),1)*IF(Upgrades!$T$18="Roche Lobe Overflow",POWER(Upgrades!$U$18,J371),1)*IF(Upgrades!$T$19="Roche Lobe Overflow",POWER(Upgrades!$U$19,K371),1)*IF(Upgrades!$T$20="Roche Lobe Overflow",POWER(Upgrades!$U$20,L371),1)*IF(Upgrades!$T$21="Roche Lobe Overflow",POWER(Upgrades!$U$21,M371),1))+(IF(I371=0,0,(Upgrades!$J$17+I371*Upgrades!$K$17)*POWER(Upgrades!$L$17,I371)))*(IF(Upgrades!$T$13="Brown Dwarf",POWER(Upgrades!$U$13,E371),1)*IF(Upgrades!$T$14="Brown Dwarf",POWER(Upgrades!$U$14,F371),1)*IF(Upgrades!$T$15="Brown Dwarf",POWER(Upgrades!$U$15,G371),1)*IF(Upgrades!$T$16="Brown Dwarf",POWER(Upgrades!$U$16,H371),1)*IF(Upgrades!$T$18="Brown Dwarf",POWER(Upgrades!$U$18,J371),1)*IF(Upgrades!$T$19="Brown Dwarf",POWER(Upgrades!$U$19,K371),1)*IF(Upgrades!$T$20="Brown Dwarf",POWER(Upgrades!$U$20,L371),1)*IF(Upgrades!$T$21="Brown Dwarf",POWER(Upgrades!$U$21,M371),1))+(IF(J371=0,0,(Upgrades!$J$18+J371*Upgrades!$K$18)*POWER(Upgrades!$L$18,J371)))*(IF(Upgrades!$T$13="Binary Partner",POWER(Upgrades!$U$13,E371),1)*IF(Upgrades!$T$14="Binary Partner",POWER(Upgrades!$U$14,F371),1)*IF(Upgrades!$T$15="Binary Partner",POWER(Upgrades!$U$15,G371),1)*IF(Upgrades!$T$16="Binary Partner",POWER(Upgrades!$U$16,H371),1)*IF(Upgrades!$T$17="Binary Partner",POWER(Upgrades!$U$17,I371),1)*IF(Upgrades!$T$19="Binary Partner",POWER(Upgrades!$U$19,K371),1)*IF(Upgrades!$T$20="Binary Partner",POWER(Upgrades!$U$20,L371),1)*IF(Upgrades!$T$21="Binary Partner",POWER(Upgrades!$U$21,M371),1))+(IF(K371=0,0,(Upgrades!$J$19+K371*Upgrades!$K$19)*POWER(Upgrades!$L$19,K371)))*(IF(Upgrades!$T$13="Peculiar Velocity",POWER(Upgrades!$U$13,E371),1)*IF(Upgrades!$T$14="Peculiar Velocity",POWER(Upgrades!$U$14,F371),1)*IF(Upgrades!$T$15="Peculiar Velocity",POWER(Upgrades!$U$15,G371),1)*IF(Upgrades!$T$16="Peculiar Velocity",POWER(Upgrades!$U$16,H371),1)*IF(Upgrades!$T$17="Peculiar Velocity",POWER(Upgrades!$U$17,I371),1)*IF(Upgrades!$T$18="Peculiar Velocity",POWER(Upgrades!$U$18,J371),1)*IF(Upgrades!$T$20="Peculiar Velocity",POWER(Upgrades!$U$20,L371),1)*IF(Upgrades!$T$21="Peculiar Velocity",POWER(Upgrades!$U$21,M371),1))+(IF(L371=0,0,(Upgrades!$J$20+L371*Upgrades!$K$20)*POWER(Upgrades!$L$20,L371)))*(IF(Upgrades!$T$13="Open Cluster",POWER(Upgrades!$U$13,E371),1)*IF(Upgrades!$T$14="Open Cluster",POWER(Upgrades!$U$14,F371),1)*IF(Upgrades!$T$15="Open Cluster",POWER(Upgrades!$U$15,G371),1)*IF(Upgrades!$T$16="Open Cluster",POWER(Upgrades!$U$16,H371),1)*IF(Upgrades!$T$17="Open Cluster",POWER(Upgrades!$U$17,I371),1)*IF(Upgrades!$T$18="Open Cluster",POWER(Upgrades!$U$18,J371),1)*IF(Upgrades!$T$19="Open Cluster",POWER(Upgrades!$U$19,K371),1)*IF(Upgrades!$T$21="Open Cluster",POWER(Upgrades!$U$21,M371),1))+(IF(M371=0,0,(Upgrades!$J$21+M371*Upgrades!$K$21)*POWER(Upgrades!$L$21,M371)))*(IF(Upgrades!$T$13="Moving Group",POWER(Upgrades!$U$13,E371),1)*IF(Upgrades!$T$14="Moving Group",POWER(Upgrades!$U$14,F371),1)*IF(Upgrades!$T$15="Moving Group",POWER(Upgrades!$U$15,G371),1)*IF(Upgrades!$T$16="Moving Group",POWER(Upgrades!$U$16,H371),1)*IF(Upgrades!$T$17="Moving Group",POWER(Upgrades!$U$17,I371),1)*IF(Upgrades!$T$18="Moving Group",POWER(Upgrades!$U$18,J371),1)*IF(Upgrades!$T$19="Moving Group",POWER(Upgrades!$U$19,K371),1)*IF(Upgrades!$T$20="Moving Group",POWER(Upgrades!$U$20,L371),1)))*POWER(Upgrades!$Q$13,E371)*POWER(Upgrades!$Q$14,F371)*POWER(Upgrades!$Q$15,G371)*POWER(Upgrades!$Q$16,H371)*POWER(Upgrades!$Q$17,I371)*POWER(Upgrades!$Q$18,J371)*POWER(Upgrades!$Q$19,K371)*POWER(Upgrades!$Q$20,L371)*POWER(Upgrades!$Q$21,M371)*$G$6+$D$6</f>
        <v/>
      </c>
      <c r="P371" s="28">
        <f>((IF(E371=0,0,(Upgrades!$G$13+E371*Upgrades!$H$13)*POWER(Upgrades!$I$13,E371)))*(IF(Upgrades!$T$14="Stellar Kinematics",POWER(Upgrades!$U$14,F371),1)*IF(Upgrades!$T$15="Stellar Kinematics",POWER(Upgrades!$U$15,G371),1)*IF(Upgrades!$T$16="Stellar Kinematics",POWER(Upgrades!$U$16,H371),1)*IF(Upgrades!$T$17="Stellar Kinematics",POWER(Upgrades!$U$17,I371),1)*IF(Upgrades!$T$18="Stellar Kinematics",POWER(Upgrades!$U$18,J371),1)*IF(Upgrades!$T$19="Stellar Kinematics",POWER(Upgrades!$U$19,K371),1)*IF(Upgrades!$T$20="Stellar Kinematics",POWER(Upgrades!$U$20,L371),1)*IF(Upgrades!$T$21="Stellar Kinematics",POWER(Upgrades!$U$21,M371),1))+(IF(F371=0,0,(Upgrades!$G$14+F371*Upgrades!$H$14)*POWER(Upgrades!$I$14,F371)))*(IF(Upgrades!$T$13="Local Bubble",POWER(Upgrades!$U$13,E371),1)*IF(Upgrades!$T$15="Local Bubble",POWER(Upgrades!$U$15,G371),1)*IF(Upgrades!$T$16="Local Bubble",POWER(Upgrades!$U$16,H371),1)*IF(Upgrades!$T$17="Local Bubble",POWER(Upgrades!$U$17,I371),1)*IF(Upgrades!$T$18="Local Bubble",POWER(Upgrades!$U$18,J371),1)*IF(Upgrades!$T$19="Local Bubble",POWER(Upgrades!$U$19,K371),1)*IF(Upgrades!$T$20="Local Bubble",POWER(Upgrades!$U$20,L371),1)*IF(Upgrades!$T$21="Local Bubble",POWER(Upgrades!$U$21,M371),1))+(IF(G371=0,0,(Upgrades!$G$15+G371*Upgrades!$H$15)*POWER(Upgrades!$I$15,G371)))*(IF(Upgrades!$T$13="Microlensing",POWER(Upgrades!$U$13,E371),1)*IF(Upgrades!$T$14="Microlensing",POWER(Upgrades!$U$14,F371),1)*IF(Upgrades!$T$16="Microlensing",POWER(Upgrades!$U$16,H371),1)*IF(Upgrades!$T$17="Microlensing",POWER(Upgrades!$U$17,I371),1)*IF(Upgrades!$T$18="Microlensing",POWER(Upgrades!$U$18,J371),1)*IF(Upgrades!$T$19="Microlensing",POWER(Upgrades!$U$19,K371),1)*IF(Upgrades!$T$20="Microlensing",POWER(Upgrades!$U$20,L371),1)*IF(Upgrades!$T$21="Microlensing",POWER(Upgrades!$U$21,M371),1))+(IF(H371=0,0,(Upgrades!$G$16+H371*Upgrades!$H$16)*POWER(Upgrades!$I$16,H371)))*(IF(Upgrades!$T$13="Roche Lobe Overflow",POWER(Upgrades!$U$13,E371),1)*IF(Upgrades!$T$14="Roche Lobe Overflow",POWER(Upgrades!$U$14,F371),1)*IF(Upgrades!$T$15="Roche Lobe Overflow",POWER(Upgrades!$U$15,G371),1)*IF(Upgrades!$T$17="Roche Lobe Overflow",POWER(Upgrades!$U$17,I371),1)*IF(Upgrades!$T$18="Roche Lobe Overflow",POWER(Upgrades!$U$18,J371),1)*IF(Upgrades!$T$19="Roche Lobe Overflow",POWER(Upgrades!$U$19,K371),1)*IF(Upgrades!$T$20="Roche Lobe Overflow",POWER(Upgrades!$U$20,L371),1)*IF(Upgrades!$T$21="Roche Lobe Overflow",POWER(Upgrades!$U$21,M371),1))+(IF(I371=0,0,(Upgrades!$G$17+I371*Upgrades!$H$17)*POWER(Upgrades!$I$17,I371)))*(IF(Upgrades!$T$13="Brown Dwarf",POWER(Upgrades!$U$13,E371),1)*IF(Upgrades!$T$14="Brown Dwarf",POWER(Upgrades!$U$14,F371),1)*IF(Upgrades!$T$15="Brown Dwarf",POWER(Upgrades!$U$15,G371),1)*IF(Upgrades!$T$16="Brown Dwarf",POWER(Upgrades!$U$16,H371),1)*IF(Upgrades!$T$18="Brown Dwarf",POWER(Upgrades!$U$18,J371),1)*IF(Upgrades!$T$19="Brown Dwarf",POWER(Upgrades!$U$19,K371),1)*IF(Upgrades!$T$20="Brown Dwarf",POWER(Upgrades!$U$20,L371),1)*IF(Upgrades!$T$21="Brown Dwarf",POWER(Upgrades!$U$21,M371),1))+(IF(J371=0,0,(Upgrades!$G$18+J371*Upgrades!$H$18)*POWER(Upgrades!$I$18,J371)))*(IF(Upgrades!$T$13="Binary Partner",POWER(Upgrades!$U$13,E371),1)*IF(Upgrades!$T$14="Binary Partner",POWER(Upgrades!$U$14,F371),1)*IF(Upgrades!$T$15="Binary Partner",POWER(Upgrades!$U$15,G371),1)*IF(Upgrades!$T$16="Binary Partner",POWER(Upgrades!$U$16,H371),1)*IF(Upgrades!$T$17="Binary Partner",POWER(Upgrades!$U$17,I371),1)*IF(Upgrades!$T$19="Binary Partner",POWER(Upgrades!$U$19,K371),1)*IF(Upgrades!$T$20="Binary Partner",POWER(Upgrades!$U$20,L371),1)*IF(Upgrades!$T$21="Binary Partner",POWER(Upgrades!$U$21,M371),1))+(IF(K371=0,0,(Upgrades!$G$19+K371*Upgrades!$H$19)*POWER(Upgrades!$I$19,K371)))*(IF(Upgrades!$T$13="Peculiar Velocity",POWER(Upgrades!$U$13,E371),1)*IF(Upgrades!$T$14="Peculiar Velocity",POWER(Upgrades!$U$14,F371),1)*IF(Upgrades!$T$15="Peculiar Velocity",POWER(Upgrades!$U$15,G371),1)*IF(Upgrades!$T$16="Peculiar Velocity",POWER(Upgrades!$U$16,H371),1)*IF(Upgrades!$T$17="Peculiar Velocity",POWER(Upgrades!$U$17,I371),1)*IF(Upgrades!$T$18="Peculiar Velocity",POWER(Upgrades!$U$18,J371),1)*IF(Upgrades!$T$20="Peculiar Velocity",POWER(Upgrades!$U$20,L371),1)*IF(Upgrades!$T$21="Peculiar Velocity",POWER(Upgrades!$U$21,M371),1))+(IF(L371=0,0,(Upgrades!$G$20+L371*Upgrades!$H$20)*POWER(Upgrades!$I$20,L371)))*(IF(Upgrades!$T$13="Open Cluster",POWER(Upgrades!$U$13,E371),1)*IF(Upgrades!$T$14="Open Cluster",POWER(Upgrades!$U$14,F371),1)*IF(Upgrades!$T$15="Open Cluster",POWER(Upgrades!$U$15,G371),1)*IF(Upgrades!$T$16="Open Cluster",POWER(Upgrades!$U$16,H371),1)*IF(Upgrades!$T$17="Open Cluster",POWER(Upgrades!$U$17,I371),1)*IF(Upgrades!$T$18="Open Cluster",POWER(Upgrades!$U$18,J371),1)*IF(Upgrades!$T$19="Open Cluster",POWER(Upgrades!$U$19,K371),1)*IF(Upgrades!$T$21="Open Cluster",POWER(Upgrades!$U$21,M371),1))+(IF(M371=0,0,(Upgrades!$G$21+M371*Upgrades!$H$21)*POWER(Upgrades!$I$21,M371)))*(IF(Upgrades!$T$13="Moving Group",POWER(Upgrades!$U$13,E371),1)*IF(Upgrades!$T$14="Moving Group",POWER(Upgrades!$U$14,F371),1)*IF(Upgrades!$T$15="Moving Group",POWER(Upgrades!$U$15,G371),1)*IF(Upgrades!$T$16="Moving Group",POWER(Upgrades!$U$16,H371),1)*IF(Upgrades!$T$17="Moving Group",POWER(Upgrades!$U$17,I371),1)*IF(Upgrades!$T$18="Moving Group",POWER(Upgrades!$U$18,J371),1)*IF(Upgrades!$T$19="Moving Group",POWER(Upgrades!$U$19,K371),1)*IF(Upgrades!$T$20="Moving Group",POWER(Upgrades!$U$20,L371),1)))*POWER(Upgrades!$P$13,E371)*POWER(Upgrades!$P$14,F371)*POWER(Upgrades!$P$15,G371)*POWER(Upgrades!$P$16,H371)*POWER(Upgrades!$P$17,I371)*POWER(Upgrades!$P$18,J371)*POWER(Upgrades!$P$19,K371)*POWER(Upgrades!$P$20,L371)*POWER(Upgrades!$P$21,M371)*$F$6+$C$6</f>
        <v/>
      </c>
      <c r="Q371" s="28">
        <f>((IF(E371=0,0,(Upgrades!$M$13+E371*Upgrades!$N$13)*POWER(Upgrades!$O$13,E371)))*(IF(Upgrades!$T$14="Stellar Kinematics",POWER(Upgrades!$U$14,F371),1)*IF(Upgrades!$T$15="Stellar Kinematics",POWER(Upgrades!$U$15,G371),1)*IF(Upgrades!$T$16="Stellar Kinematics",POWER(Upgrades!$U$16,H371),1)*IF(Upgrades!$T$17="Stellar Kinematics",POWER(Upgrades!$U$17,I371),1)*IF(Upgrades!$T$18="Stellar Kinematics",POWER(Upgrades!$U$18,J371),1)*IF(Upgrades!$T$19="Stellar Kinematics",POWER(Upgrades!$U$19,K371),1)*IF(Upgrades!$T$20="Stellar Kinematics",POWER(Upgrades!$U$20,L371),1)*IF(Upgrades!$T$21="Stellar Kinematics",POWER(Upgrades!$U$21,M371),1))+(IF(F371=0,0,(Upgrades!$M$14+F371*Upgrades!$N$14)*POWER(Upgrades!$O$14,F371)))*(IF(Upgrades!$T$13="Local Bubble",POWER(Upgrades!$U$13,E371),1)*IF(Upgrades!$T$15="Local Bubble",POWER(Upgrades!$U$15,G371),1)*IF(Upgrades!$T$16="Local Bubble",POWER(Upgrades!$U$16,H371),1)*IF(Upgrades!$T$17="Local Bubble",POWER(Upgrades!$U$17,I371),1)*IF(Upgrades!$T$18="Local Bubble",POWER(Upgrades!$U$18,J371),1)*IF(Upgrades!$T$19="Local Bubble",POWER(Upgrades!$U$19,K371),1)*IF(Upgrades!$T$20="Local Bubble",POWER(Upgrades!$U$20,L371),1)*IF(Upgrades!$T$21="Local Bubble",POWER(Upgrades!$U$21,M371),1))+(IF(G371=0,0,(Upgrades!$M$15+G371*Upgrades!$N$15)*POWER(Upgrades!$O$15,G371)))*(IF(Upgrades!$T$13="Microlensing",POWER(Upgrades!$U$13,E371),1)*IF(Upgrades!$T$14="Microlensing",POWER(Upgrades!$U$14,F371),1)*IF(Upgrades!$T$16="Microlensing",POWER(Upgrades!$U$16,H371),1)*IF(Upgrades!$T$17="Microlensing",POWER(Upgrades!$U$17,I371),1)*IF(Upgrades!$T$18="Microlensing",POWER(Upgrades!$U$18,J371),1)*IF(Upgrades!$T$19="Microlensing",POWER(Upgrades!$U$19,K371),1)*IF(Upgrades!$T$20="Microlensing",POWER(Upgrades!$U$20,L371),1)*IF(Upgrades!$T$21="Microlensing",POWER(Upgrades!$U$21,M371),1))+(IF(H371=0,0,(Upgrades!$M$16+H371*Upgrades!$N$16)*POWER(Upgrades!$O$16,H371)))*(IF(Upgrades!$T$13="Roche Lobe Overflow",POWER(Upgrades!$U$13,E371),1)*IF(Upgrades!$T$14="Roche Lobe Overflow",POWER(Upgrades!$U$14,F371),1)*IF(Upgrades!$T$15="Roche Lobe Overflow",POWER(Upgrades!$U$15,G371),1)*IF(Upgrades!$T$17="Roche Lobe Overflow",POWER(Upgrades!$U$17,I371),1)*IF(Upgrades!$T$18="Roche Lobe Overflow",POWER(Upgrades!$U$18,J371),1)*IF(Upgrades!$T$19="Roche Lobe Overflow",POWER(Upgrades!$U$19,K371),1)*IF(Upgrades!$T$20="Roche Lobe Overflow",POWER(Upgrades!$U$20,L371),1)*IF(Upgrades!$T$21="Roche Lobe Overflow",POWER(Upgrades!$U$21,M371),1))+(IF(I371=0,0,(Upgrades!$M$17+I371*Upgrades!$N$17)*POWER(Upgrades!$O$17,I371)))*(IF(Upgrades!$T$13="Brown Dwarf",POWER(Upgrades!$U$13,E371),1)*IF(Upgrades!$T$14="Brown Dwarf",POWER(Upgrades!$U$14,F371),1)*IF(Upgrades!$T$15="Brown Dwarf",POWER(Upgrades!$U$15,G371),1)*IF(Upgrades!$T$16="Brown Dwarf",POWER(Upgrades!$U$16,H371),1)*IF(Upgrades!$T$18="Brown Dwarf",POWER(Upgrades!$U$18,J371),1)*IF(Upgrades!$T$19="Brown Dwarf",POWER(Upgrades!$U$19,K371),1)*IF(Upgrades!$T$20="Brown Dwarf",POWER(Upgrades!$U$20,L371),1)*IF(Upgrades!$T$21="Brown Dwarf",POWER(Upgrades!$U$21,M371),1))+(IF(J371=0,0,(Upgrades!$M$18+J371*Upgrades!$N$18)*POWER(Upgrades!$O$18,J371)))*(IF(Upgrades!$T$13="Binary Partner",POWER(Upgrades!$U$13,E371),1)*IF(Upgrades!$T$14="Binary Partner",POWER(Upgrades!$U$14,F371),1)*IF(Upgrades!$T$15="Binary Partner",POWER(Upgrades!$U$15,G371),1)*IF(Upgrades!$T$16="Binary Partner",POWER(Upgrades!$U$16,H371),1)*IF(Upgrades!$T$17="Binary Partner",POWER(Upgrades!$U$17,I371),1)*IF(Upgrades!$T$19="Binary Partner",POWER(Upgrades!$U$19,K371),1)*IF(Upgrades!$T$20="Binary Partner",POWER(Upgrades!$U$20,L371),1)*IF(Upgrades!$T$21="Binary Partner",POWER(Upgrades!$U$21,M371),1))+(IF(K371=0,0,(Upgrades!$M$19+K371*Upgrades!$N$19)*POWER(Upgrades!$O$19,K371)))*(IF(Upgrades!$T$13="Peculiar Velocity",POWER(Upgrades!$U$13,E371),1)*IF(Upgrades!$T$14="Peculiar Velocity",POWER(Upgrades!$U$14,F371),1)*IF(Upgrades!$T$15="Peculiar Velocity",POWER(Upgrades!$U$15,G371),1)*IF(Upgrades!$T$16="Peculiar Velocity",POWER(Upgrades!$U$16,H371),1)*IF(Upgrades!$T$17="Peculiar Velocity",POWER(Upgrades!$U$17,I371),1)*IF(Upgrades!$T$18="Peculiar Velocity",POWER(Upgrades!$U$18,J371),1)*IF(Upgrades!$T$20="Peculiar Velocity",POWER(Upgrades!$U$20,L371),1)*IF(Upgrades!$T$21="Peculiar Velocity",POWER(Upgrades!$U$21,M371),1))+(IF(L371=0,0,(Upgrades!$M$20+L371*Upgrades!$N$20)*POWER(Upgrades!$O$20,L371)))*(IF(Upgrades!$T$13="Open Cluster",POWER(Upgrades!$U$13,E371),1)*IF(Upgrades!$T$14="Open Cluster",POWER(Upgrades!$U$14,F371),1)*IF(Upgrades!$T$15="Open Cluster",POWER(Upgrades!$U$15,G371),1)*IF(Upgrades!$T$16="Open Cluster",POWER(Upgrades!$U$16,H371),1)*IF(Upgrades!$T$17="Open Cluster",POWER(Upgrades!$U$17,I371),1)*IF(Upgrades!$T$18="Open Cluster",POWER(Upgrades!$U$18,J371),1)*IF(Upgrades!$T$19="Open Cluster",POWER(Upgrades!$U$19,K371),1)*IF(Upgrades!$T$21="Open Cluster",POWER(Upgrades!$U$21,M371),1))+(IF(M371=0,0,(Upgrades!$M$21+M371*Upgrades!$N$21)*POWER(Upgrades!$O$21,M371)))*(IF(Upgrades!$T$13="Moving Group",POWER(Upgrades!$U$13,E371),1)*IF(Upgrades!$T$14="Moving Group",POWER(Upgrades!$U$14,F371),1)*IF(Upgrades!$T$15="Moving Group",POWER(Upgrades!$U$15,G371),1)*IF(Upgrades!$T$16="Moving Group",POWER(Upgrades!$U$16,H371),1)*IF(Upgrades!$T$17="Moving Group",POWER(Upgrades!$U$17,I371),1)*IF(Upgrades!$T$18="Moving Group",POWER(Upgrades!$U$18,J371),1)*IF(Upgrades!$T$19="Moving Group",POWER(Upgrades!$U$19,K371),1)*IF(Upgrades!$T$20="Moving Group",POWER(Upgrades!$U$20,L371),1)))*POWER(Upgrades!$R$13,E371)*POWER(Upgrades!$R$14,F371)*POWER(Upgrades!$R$15,G371)*POWER(Upgrades!$R$16,H371)*POWER(Upgrades!$R$17,I371)*POWER(Upgrades!$R$18,J371)*POWER(Upgrades!$R$19,K371)*POWER(Upgrades!$R$20,L371)*POWER(Upgrades!$R$21,M371)*$H$6+$E$6</f>
        <v/>
      </c>
      <c r="R371" s="27">
        <f>IF(N371=1,0,O371*Parameters!$B$10/60*Parameters!$B$11*10)</f>
        <v/>
      </c>
      <c r="S371" s="27">
        <f>IF(N371=1,0,Q371*O371*10)</f>
        <v/>
      </c>
      <c r="T371" s="27">
        <f>IF(N371=1,0,R371+S371+P371*10)</f>
        <v/>
      </c>
      <c r="U371" s="33">
        <f>BE371</f>
        <v/>
      </c>
      <c r="V371" s="22">
        <f>IF(U371="",0,IF(U371="transition",0,IF(U371="SK",AK371,IF(U371="LB",AL371,IF(U371="ML",AM371,IF(U371="RLO",AN371,IF(U371="BD",AO371,IF(U371="BiP",AP371,IF(U371="PV",AQ371,IF(U371="OC",AR371,IF(U371="MG",AS371,0))))))))))</f>
        <v/>
      </c>
      <c r="W371" s="27">
        <f>IF(U371="BiP",Upgrades!$F$18,IF(U371="PV",Upgrades!$F$19,IF(U371="OC",Upgrades!$F$20,IF(U371="MG",Upgrades!$F$21,IF(U371="transition",-Parameters!$B$18*Parameters!$B$19,0)))))</f>
        <v/>
      </c>
      <c r="X371" s="22">
        <f>C371+T371-V371</f>
        <v/>
      </c>
      <c r="Y371" s="30">
        <f>O371*Parameters!$B$10/60*Parameters!$B$11+Q371*O371+P371</f>
        <v/>
      </c>
      <c r="Z371" s="34">
        <f>IF(U371="transition","→ Tier 3 (Galactic Arm)",IF(U371="MG","Moving Group — pocket drifts together",IF(U371="OC","Open Cluster acquired",IF(U371="PV","Peculiar Velocity — passive multiplier active",IF(U371="BiP","Binary Partner — pair bond formed",IF(AND(AU371=1,N371=0,AT371&lt;&gt;1),"Cohesion ready (waiting on completionists)","")))))) </f>
        <v/>
      </c>
      <c r="AA371" s="27">
        <f>(IF(E371=0,0,(Upgrades!$G$13+E371*Upgrades!$H$13)*POWER(Upgrades!$I$13,E371)))*(IF(Upgrades!$T$14="Stellar Kinematics",POWER(Upgrades!$U$14,F371),1)*IF(Upgrades!$T$15="Stellar Kinematics",POWER(Upgrades!$U$15,G371),1)*IF(Upgrades!$T$16="Stellar Kinematics",POWER(Upgrades!$U$16,H371),1)*IF(Upgrades!$T$17="Stellar Kinematics",POWER(Upgrades!$U$17,I371),1)*IF(Upgrades!$T$18="Stellar Kinematics",POWER(Upgrades!$U$18,J371),1)*IF(Upgrades!$T$19="Stellar Kinematics",POWER(Upgrades!$U$19,K371),1)*IF(Upgrades!$T$20="Stellar Kinematics",POWER(Upgrades!$U$20,L371),1)*IF(Upgrades!$T$21="Stellar Kinematics",POWER(Upgrades!$U$21,M371),1))*POWER(Upgrades!$P$13,E371)*POWER(Upgrades!$P$14,F371)*POWER(Upgrades!$P$15,G371)*POWER(Upgrades!$P$16,H371)*POWER(Upgrades!$P$17,I371)*POWER(Upgrades!$P$18,J371)*POWER(Upgrades!$P$19,K371)*POWER(Upgrades!$P$20,L371)*POWER(Upgrades!$P$21,M371)*$F$6*60</f>
        <v/>
      </c>
      <c r="AB371" s="27">
        <f>(IF(F371=0,0,(Upgrades!$G$14+F371*Upgrades!$H$14)*POWER(Upgrades!$I$14,F371)))*(IF(Upgrades!$T$13="Local Bubble",POWER(Upgrades!$U$13,E371),1)*IF(Upgrades!$T$15="Local Bubble",POWER(Upgrades!$U$15,G371),1)*IF(Upgrades!$T$16="Local Bubble",POWER(Upgrades!$U$16,H371),1)*IF(Upgrades!$T$17="Local Bubble",POWER(Upgrades!$U$17,I371),1)*IF(Upgrades!$T$18="Local Bubble",POWER(Upgrades!$U$18,J371),1)*IF(Upgrades!$T$19="Local Bubble",POWER(Upgrades!$U$19,K371),1)*IF(Upgrades!$T$20="Local Bubble",POWER(Upgrades!$U$20,L371),1)*IF(Upgrades!$T$21="Local Bubble",POWER(Upgrades!$U$21,M371),1))*POWER(Upgrades!$P$13,E371)*POWER(Upgrades!$P$14,F371)*POWER(Upgrades!$P$15,G371)*POWER(Upgrades!$P$16,H371)*POWER(Upgrades!$P$17,I371)*POWER(Upgrades!$P$18,J371)*POWER(Upgrades!$P$19,K371)*POWER(Upgrades!$P$20,L371)*POWER(Upgrades!$P$21,M371)*$F$6*60</f>
        <v/>
      </c>
      <c r="AC371" s="27">
        <f>(IF(G371=0,0,(Upgrades!$J$15+G371*Upgrades!$K$15)*POWER(Upgrades!$L$15,G371)))*(IF(Upgrades!$T$13="Microlensing",POWER(Upgrades!$U$13,E371),1)*IF(Upgrades!$T$14="Microlensing",POWER(Upgrades!$U$14,F371),1)*IF(Upgrades!$T$16="Microlensing",POWER(Upgrades!$U$16,H371),1)*IF(Upgrades!$T$17="Microlensing",POWER(Upgrades!$U$17,I371),1)*IF(Upgrades!$T$18="Microlensing",POWER(Upgrades!$U$18,J371),1)*IF(Upgrades!$T$19="Microlensing",POWER(Upgrades!$U$19,K371),1)*IF(Upgrades!$T$20="Microlensing",POWER(Upgrades!$U$20,L371),1)*IF(Upgrades!$T$21="Microlensing",POWER(Upgrades!$U$21,M371),1))*POWER(Upgrades!$Q$13,E371)*POWER(Upgrades!$Q$14,F371)*POWER(Upgrades!$Q$15,G371)*POWER(Upgrades!$Q$16,H371)*POWER(Upgrades!$Q$17,I371)*POWER(Upgrades!$Q$18,J371)*POWER(Upgrades!$Q$19,K371)*POWER(Upgrades!$Q$20,L371)*POWER(Upgrades!$Q$21,M371)*$G$6*(Parameters!$B$10*Parameters!$B$11+Q371*60)</f>
        <v/>
      </c>
      <c r="AD371" s="27">
        <f>(IF(H371=0,0,(Upgrades!$M$16+H371*Upgrades!$N$16)*POWER(Upgrades!$O$16,H371)))*(IF(Upgrades!$T$13="Roche Lobe Overflow",POWER(Upgrades!$U$13,E371),1)*IF(Upgrades!$T$14="Roche Lobe Overflow",POWER(Upgrades!$U$14,F371),1)*IF(Upgrades!$T$15="Roche Lobe Overflow",POWER(Upgrades!$U$15,G371),1)*IF(Upgrades!$T$17="Roche Lobe Overflow",POWER(Upgrades!$U$17,I371),1)*IF(Upgrades!$T$18="Roche Lobe Overflow",POWER(Upgrades!$U$18,J371),1)*IF(Upgrades!$T$19="Roche Lobe Overflow",POWER(Upgrades!$U$19,K371),1)*IF(Upgrades!$T$20="Roche Lobe Overflow",POWER(Upgrades!$U$20,L371),1)*IF(Upgrades!$T$21="Roche Lobe Overflow",POWER(Upgrades!$U$21,M371),1))*POWER(Upgrades!$R$13,E371)*POWER(Upgrades!$R$14,F371)*POWER(Upgrades!$R$15,G371)*POWER(Upgrades!$R$16,H371)*POWER(Upgrades!$R$17,I371)*POWER(Upgrades!$R$18,J371)*POWER(Upgrades!$R$19,K371)*POWER(Upgrades!$R$20,L371)*POWER(Upgrades!$R$21,M371)*$H$6*O371*60</f>
        <v/>
      </c>
      <c r="AE371" s="27">
        <f>(IF(I371=0,0,(Upgrades!$G$17+I371*Upgrades!$H$17)*POWER(Upgrades!$I$17,I371)))*(IF(Upgrades!$T$13="Brown Dwarf",POWER(Upgrades!$U$13,E371),1)*IF(Upgrades!$T$14="Brown Dwarf",POWER(Upgrades!$U$14,F371),1)*IF(Upgrades!$T$15="Brown Dwarf",POWER(Upgrades!$U$15,G371),1)*IF(Upgrades!$T$16="Brown Dwarf",POWER(Upgrades!$U$16,H371),1)*IF(Upgrades!$T$18="Brown Dwarf",POWER(Upgrades!$U$18,J371),1)*IF(Upgrades!$T$19="Brown Dwarf",POWER(Upgrades!$U$19,K371),1)*IF(Upgrades!$T$20="Brown Dwarf",POWER(Upgrades!$U$20,L371),1)*IF(Upgrades!$T$21="Brown Dwarf",POWER(Upgrades!$U$21,M371),1))*POWER(Upgrades!$P$13,E371)*POWER(Upgrades!$P$14,F371)*POWER(Upgrades!$P$15,G371)*POWER(Upgrades!$P$16,H371)*POWER(Upgrades!$P$17,I371)*POWER(Upgrades!$P$18,J371)*POWER(Upgrades!$P$19,K371)*POWER(Upgrades!$P$20,L371)*POWER(Upgrades!$P$21,M371)*$F$6*60</f>
        <v/>
      </c>
      <c r="AF371" s="27" t="n">
        <v>0</v>
      </c>
      <c r="AG371" s="27" t="n">
        <v>0</v>
      </c>
      <c r="AH371" s="27" t="n">
        <v>0</v>
      </c>
      <c r="AI371" s="27">
        <f>(IF(M371=0,0,(Upgrades!$G$21+M371*Upgrades!$H$21)*POWER(Upgrades!$I$21,M371)))*(IF(Upgrades!$T$13="Moving Group",POWER(Upgrades!$U$13,E371),1)*IF(Upgrades!$T$14="Moving Group",POWER(Upgrades!$U$14,F371),1)*IF(Upgrades!$T$15="Moving Group",POWER(Upgrades!$U$15,G371),1)*IF(Upgrades!$T$16="Moving Group",POWER(Upgrades!$U$16,H371),1)*IF(Upgrades!$T$17="Moving Group",POWER(Upgrades!$U$17,I371),1)*IF(Upgrades!$T$18="Moving Group",POWER(Upgrades!$U$18,J371),1)*IF(Upgrades!$T$19="Moving Group",POWER(Upgrades!$U$19,K371),1)*IF(Upgrades!$T$20="Moving Group",POWER(Upgrades!$U$20,L371),1))*POWER(Upgrades!$P$13,E371)*POWER(Upgrades!$P$14,F371)*POWER(Upgrades!$P$15,G371)*POWER(Upgrades!$P$16,H371)*POWER(Upgrades!$P$17,I371)*POWER(Upgrades!$P$18,J371)*POWER(Upgrades!$P$19,K371)*POWER(Upgrades!$P$20,L371)*POWER(Upgrades!$P$21,M371)*$F$6*60</f>
        <v/>
      </c>
      <c r="AJ371" s="27">
        <f>$C$6*60</f>
        <v/>
      </c>
      <c r="AK371" s="22">
        <f>IF(E371&gt;=Upgrades!$E$13,"",Upgrades!$C$13*POWER(Upgrades!$D$13,E371))</f>
        <v/>
      </c>
      <c r="AL371" s="22">
        <f>IF(F371&gt;=Upgrades!$E$14,"",Upgrades!$C$14*POWER(Upgrades!$D$14,F371))</f>
        <v/>
      </c>
      <c r="AM371" s="22">
        <f>IF(G371&gt;=Upgrades!$E$15,"",Upgrades!$C$15*POWER(Upgrades!$D$15,G371))</f>
        <v/>
      </c>
      <c r="AN371" s="22">
        <f>IF(H371&gt;=Upgrades!$E$16,"",Upgrades!$C$16*POWER(Upgrades!$D$16,H371))</f>
        <v/>
      </c>
      <c r="AO371" s="22">
        <f>IF(I371&gt;=Upgrades!$E$17,"",Upgrades!$C$17*POWER(Upgrades!$D$17,I371))</f>
        <v/>
      </c>
      <c r="AP371" s="22">
        <f>IF(J371&gt;=Upgrades!$E$18,"",Upgrades!$C$18*POWER(Upgrades!$D$18,J371))</f>
        <v/>
      </c>
      <c r="AQ371" s="22">
        <f>IF(K371&gt;=Upgrades!$E$19,"",Upgrades!$C$19*POWER(Upgrades!$D$19,K371))</f>
        <v/>
      </c>
      <c r="AR371" s="22">
        <f>IF(L371&gt;=Upgrades!$E$20,"",Upgrades!$C$20*POWER(Upgrades!$D$20,L371))</f>
        <v/>
      </c>
      <c r="AS371" s="22">
        <f>IF(M371&gt;=Upgrades!$E$21,"",Upgrades!$C$21*POWER(Upgrades!$D$21,M371))</f>
        <v/>
      </c>
      <c r="AT371" s="26">
        <f>IF(AND(D371&gt;=Parameters!$B$18*Parameters!$B$19,(I371&gt;=Upgrades!$E$17)*(M371&gt;=Upgrades!$E$21)=1,N371=0),1,"")</f>
        <v/>
      </c>
      <c r="AU371" s="26">
        <f>IF(AND(D371&gt;=Parameters!$B$18*Parameters!$B$19,N371=0),1,"")</f>
        <v/>
      </c>
      <c r="AV371" s="22">
        <f>MIN(IF(ISNUMBER(AP371),AP371,9E15),IF(ISNUMBER(AQ371),AQ371,9E15),IF(ISNUMBER(AR371),AR371,9E15),IF(ISNUMBER(AS371),AS371,9E15))</f>
        <v/>
      </c>
      <c r="AW371" s="22">
        <f>MIN(IF(ISNUMBER(AK371),AK371,9E15),IF(ISNUMBER(AL371),AL371,9E15),IF(ISNUMBER(AM371),AM371,9E15),IF(ISNUMBER(AN371),AN371,9E15),IF(ISNUMBER(AO371),AO371,9E15))</f>
        <v/>
      </c>
      <c r="AX371" s="29">
        <f>IF(BD371&gt;Parameters!$B$21*(MAX(IF(AND(NOT(AND(AU371=1,AT371&lt;&gt;1)),ISNUMBER(AK371),AK371&lt;=(C371+T371)),AY371,0),IF(AND(NOT(AND(AU371=1,AT371&lt;&gt;1)),ISNUMBER(AL371),AL371&lt;=(C371+T371)),AZ371,0),IF(AND(NOT(AND(AU371=1,AT371&lt;&gt;1)),ISNUMBER(AM371),AM371&lt;=(C371+T371)),BA371,0),IF(AND(NOT(AND(AU371=1,AT371&lt;&gt;1)),ISNUMBER(AN371),AN371&lt;=(C371+T371)),BB371,0),IF(AND(ISNUMBER(AO371),AO371&lt;=(C371+T371)),BC371,0))),TRUE,FALSE)</f>
        <v/>
      </c>
      <c r="AY371" s="32">
        <f>IFERROR(Upgrades!$H$13*(POWER(Upgrades!$P$13,E371)*POWER(Upgrades!$P$14,F371)*POWER(Upgrades!$P$15,G371)*POWER(Upgrades!$P$16,H371)*POWER(Upgrades!$P$17,I371)*POWER(Upgrades!$P$18,J371)*POWER(Upgrades!$P$19,K371)*POWER(Upgrades!$P$20,L371)*POWER(Upgrades!$P$21,M371))*(IF(Upgrades!$T$14="Stellar Kinematics",POWER(Upgrades!$U$14,F371),1)*IF(Upgrades!$T$15="Stellar Kinematics",POWER(Upgrades!$U$15,G371),1)*IF(Upgrades!$T$16="Stellar Kinematics",POWER(Upgrades!$U$16,H371),1)*IF(Upgrades!$T$17="Stellar Kinematics",POWER(Upgrades!$U$17,I371),1)*IF(Upgrades!$T$18="Stellar Kinematics",POWER(Upgrades!$U$18,J371),1)*IF(Upgrades!$T$19="Stellar Kinematics",POWER(Upgrades!$U$19,K371),1)*IF(Upgrades!$T$20="Stellar Kinematics",POWER(Upgrades!$U$20,L371),1)*IF(Upgrades!$T$21="Stellar Kinematics",POWER(Upgrades!$U$21,M371),1))*$F$6/AK371,0)</f>
        <v/>
      </c>
      <c r="AZ371" s="32">
        <f>IFERROR(Upgrades!$H$14*(POWER(Upgrades!$P$13,E371)*POWER(Upgrades!$P$14,F371)*POWER(Upgrades!$P$15,G371)*POWER(Upgrades!$P$16,H371)*POWER(Upgrades!$P$17,I371)*POWER(Upgrades!$P$18,J371)*POWER(Upgrades!$P$19,K371)*POWER(Upgrades!$P$20,L371)*POWER(Upgrades!$P$21,M371))*(IF(Upgrades!$T$13="Local Bubble",POWER(Upgrades!$U$13,E371),1)*IF(Upgrades!$T$15="Local Bubble",POWER(Upgrades!$U$15,G371),1)*IF(Upgrades!$T$16="Local Bubble",POWER(Upgrades!$U$16,H371),1)*IF(Upgrades!$T$17="Local Bubble",POWER(Upgrades!$U$17,I371),1)*IF(Upgrades!$T$18="Local Bubble",POWER(Upgrades!$U$18,J371),1)*IF(Upgrades!$T$19="Local Bubble",POWER(Upgrades!$U$19,K371),1)*IF(Upgrades!$T$20="Local Bubble",POWER(Upgrades!$U$20,L371),1)*IF(Upgrades!$T$21="Local Bubble",POWER(Upgrades!$U$21,M371),1))*$F$6/AL371,0)</f>
        <v/>
      </c>
      <c r="BA371" s="32">
        <f>IFERROR(Upgrades!$K$15*(POWER(Upgrades!$Q$13,E371)*POWER(Upgrades!$Q$14,F371)*POWER(Upgrades!$Q$15,G371)*POWER(Upgrades!$Q$16,H371)*POWER(Upgrades!$Q$17,I371)*POWER(Upgrades!$Q$18,J371)*POWER(Upgrades!$Q$19,K371)*POWER(Upgrades!$Q$20,L371)*POWER(Upgrades!$Q$21,M371))*(IF(Upgrades!$T$13="Microlensing",POWER(Upgrades!$U$13,E371),1)*IF(Upgrades!$T$14="Microlensing",POWER(Upgrades!$U$14,F371),1)*IF(Upgrades!$T$16="Microlensing",POWER(Upgrades!$U$16,H371),1)*IF(Upgrades!$T$17="Microlensing",POWER(Upgrades!$U$17,I371),1)*IF(Upgrades!$T$18="Microlensing",POWER(Upgrades!$U$18,J371),1)*IF(Upgrades!$T$19="Microlensing",POWER(Upgrades!$U$19,K371),1)*IF(Upgrades!$T$20="Microlensing",POWER(Upgrades!$U$20,L371),1)*IF(Upgrades!$T$21="Microlensing",POWER(Upgrades!$U$21,M371),1))*$G$6*(Parameters!$B$10/60*Parameters!$B$11+Q371)/AM371,0)</f>
        <v/>
      </c>
      <c r="BB371" s="32">
        <f>IFERROR((Upgrades!$N$16*(POWER(Upgrades!$R$13,E371)*POWER(Upgrades!$R$14,F371)*POWER(Upgrades!$R$15,G371)*POWER(Upgrades!$R$16,H371)*POWER(Upgrades!$R$17,I371)*POWER(Upgrades!$R$18,J371)*POWER(Upgrades!$R$19,K371)*POWER(Upgrades!$R$20,L371)*POWER(Upgrades!$R$21,M371))*(IF(Upgrades!$T$13="Roche Lobe Overflow",POWER(Upgrades!$U$13,E371),1)*IF(Upgrades!$T$14="Roche Lobe Overflow",POWER(Upgrades!$U$14,F371),1)*IF(Upgrades!$T$15="Roche Lobe Overflow",POWER(Upgrades!$U$15,G371),1)*IF(Upgrades!$T$17="Roche Lobe Overflow",POWER(Upgrades!$U$17,I371),1)*IF(Upgrades!$T$18="Roche Lobe Overflow",POWER(Upgrades!$U$18,J371),1)*IF(Upgrades!$T$19="Roche Lobe Overflow",POWER(Upgrades!$U$19,K371),1)*IF(Upgrades!$T$20="Roche Lobe Overflow",POWER(Upgrades!$U$20,L371),1)*IF(Upgrades!$T$21="Roche Lobe Overflow",POWER(Upgrades!$U$21,M371),1))*$H$6*O371+((IF(F371=0,0,(Upgrades!$G$14+F371*Upgrades!$H$14)*POWER(Upgrades!$I$14,F371)))*(IF(Upgrades!$T$13="Local Bubble",POWER(Upgrades!$U$13,E371),1)*IF(Upgrades!$T$15="Local Bubble",POWER(Upgrades!$U$15,G371),1)*IF(Upgrades!$T$16="Local Bubble",POWER(Upgrades!$U$16,H371),1)*IF(Upgrades!$T$17="Local Bubble",POWER(Upgrades!$U$17,I371),1)*IF(Upgrades!$T$18="Local Bubble",POWER(Upgrades!$U$18,J371),1)*IF(Upgrades!$T$19="Local Bubble",POWER(Upgrades!$U$19,K371),1)*IF(Upgrades!$T$20="Local Bubble",POWER(Upgrades!$U$20,L371),1)*IF(Upgrades!$T$21="Local Bubble",POWER(Upgrades!$U$21,M371),1))*POWER(Upgrades!$P$13,E371)*POWER(Upgrades!$P$14,F371)*POWER(Upgrades!$P$15,G371)*POWER(Upgrades!$P$16,H371)*POWER(Upgrades!$P$17,I371)*POWER(Upgrades!$P$18,J371)*POWER(Upgrades!$P$19,K371)*POWER(Upgrades!$P$20,L371)*POWER(Upgrades!$P$21,M371)*$F$6)*0.05)/AN371,0)</f>
        <v/>
      </c>
      <c r="BC371" s="32">
        <f>IFERROR((Upgrades!$H$17*(POWER(Upgrades!$P$13,E371)*POWER(Upgrades!$P$14,F371)*POWER(Upgrades!$P$15,G371)*POWER(Upgrades!$P$16,H371)*POWER(Upgrades!$P$17,I371)*POWER(Upgrades!$P$18,J371)*POWER(Upgrades!$P$19,K371)*POWER(Upgrades!$P$20,L371)*POWER(Upgrades!$P$21,M371))*(IF(Upgrades!$T$13="Brown Dwarf",POWER(Upgrades!$U$13,E371),1)*IF(Upgrades!$T$14="Brown Dwarf",POWER(Upgrades!$U$14,F371),1)*IF(Upgrades!$T$15="Brown Dwarf",POWER(Upgrades!$U$15,G371),1)*IF(Upgrades!$T$16="Brown Dwarf",POWER(Upgrades!$U$16,H371),1)*IF(Upgrades!$T$18="Brown Dwarf",POWER(Upgrades!$U$18,J371),1)*IF(Upgrades!$T$19="Brown Dwarf",POWER(Upgrades!$U$19,K371),1)*IF(Upgrades!$T$20="Brown Dwarf",POWER(Upgrades!$U$20,L371),1)*IF(Upgrades!$T$21="Brown Dwarf",POWER(Upgrades!$U$21,M371),1))*$F$6+(((IF(H371=0,0,(Upgrades!$M$16+H371*Upgrades!$N$16)*POWER(Upgrades!$O$16,H371)))*(IF(Upgrades!$T$13="Roche Lobe Overflow",POWER(Upgrades!$U$13,E371),1)*IF(Upgrades!$T$14="Roche Lobe Overflow",POWER(Upgrades!$U$14,F371),1)*IF(Upgrades!$T$15="Roche Lobe Overflow",POWER(Upgrades!$U$15,G371),1)*IF(Upgrades!$T$17="Roche Lobe Overflow",POWER(Upgrades!$U$17,I371),1)*IF(Upgrades!$T$18="Roche Lobe Overflow",POWER(Upgrades!$U$18,J371),1)*IF(Upgrades!$T$19="Roche Lobe Overflow",POWER(Upgrades!$U$19,K371),1)*IF(Upgrades!$T$20="Roche Lobe Overflow",POWER(Upgrades!$U$20,L371),1)*IF(Upgrades!$T$21="Roche Lobe Overflow",POWER(Upgrades!$U$21,M371),1))*POWER(Upgrades!$R$13,E371)*POWER(Upgrades!$R$14,F371)*POWER(Upgrades!$R$15,G371)*POWER(Upgrades!$R$16,H371)*POWER(Upgrades!$R$17,I371)*POWER(Upgrades!$R$18,J371)*POWER(Upgrades!$R$19,K371)*POWER(Upgrades!$R$20,L371)*POWER(Upgrades!$R$21,M371)*$H$6)*O371)*0.10)/AO371,0)</f>
        <v/>
      </c>
      <c r="BD371" s="32">
        <f>MAX(IF(J371&gt;0,0,IFERROR(0.5*((IF(G371=0,0,(Upgrades!$J$15+G371*Upgrades!$K$15)*POWER(Upgrades!$L$15,G371)))*(IF(Upgrades!$T$13="Microlensing",POWER(Upgrades!$U$13,E371),1)*IF(Upgrades!$T$14="Microlensing",POWER(Upgrades!$U$14,F371),1)*IF(Upgrades!$T$16="Microlensing",POWER(Upgrades!$U$16,H371),1)*IF(Upgrades!$T$17="Microlensing",POWER(Upgrades!$U$17,I371),1)*IF(Upgrades!$T$18="Microlensing",POWER(Upgrades!$U$18,J371),1)*IF(Upgrades!$T$19="Microlensing",POWER(Upgrades!$U$19,K371),1)*IF(Upgrades!$T$20="Microlensing",POWER(Upgrades!$U$20,L371),1)*IF(Upgrades!$T$21="Microlensing",POWER(Upgrades!$U$21,M371),1))*(POWER(Upgrades!$Q$13,E371)*POWER(Upgrades!$Q$14,F371)*POWER(Upgrades!$Q$15,G371)*POWER(Upgrades!$Q$16,H371)*POWER(Upgrades!$Q$17,I371)*POWER(Upgrades!$Q$18,J371)*POWER(Upgrades!$Q$19,K371)*POWER(Upgrades!$Q$20,L371)*POWER(Upgrades!$Q$21,M371))*$G$6*(Parameters!$B$10/60*Parameters!$B$11+Q371))/Upgrades!$C$18,0)),IF(K371&gt;0,0,IFERROR(0.30*P371/Upgrades!$C$19,0)),IF(L371&gt;0,0,IFERROR(0.0001/Upgrades!$C$20,0)),IF(M371&gt;0,0,IFERROR((6.0*(POWER(Upgrades!$P$13,E371)*POWER(Upgrades!$P$14,F371)*POWER(Upgrades!$P$15,G371)*POWER(Upgrades!$P$16,H371)*POWER(Upgrades!$P$17,I371)*POWER(Upgrades!$P$18,J371)*POWER(Upgrades!$P$19,K371)*POWER(Upgrades!$P$20,L371)*POWER(Upgrades!$P$21,M371))*$F$6+0.20*O371*(Parameters!$B$10/60*Parameters!$B$11+Q371))/Upgrades!$C$21,0)),IF(AND(ISNUMBER(AK371),AK371&gt;(C371+T371)),AY371,0),IF(AND(ISNUMBER(AL371),AL371&gt;(C371+T371)),AZ371,0),IF(AND(ISNUMBER(AM371),AM371&gt;(C371+T371)),BA371,0),IF(AND(ISNUMBER(AN371),AN371&gt;(C371+T371)),BB371,0),IF(AND(ISNUMBER(AO371),AO371&gt;(C371+T371)),BC371,0))</f>
        <v/>
      </c>
      <c r="BE371" s="29">
        <f>IF(AT371=1,"transition",IF(MIN(IF(AND(J371=0,ISNUMBER(AP371),AP371&lt;=(C371+T371)),AP371,9E15),IF(AND(K371=0,ISNUMBER(AQ371),AQ371&lt;=(C371+T371)),AQ371,9E15),IF(AND(L371=0,ISNUMBER(AR371),AR371&lt;=(C371+T371)),AR371,9E15),IF(AND(M371=0,ISNUMBER(AS371),AS371&lt;=(C371+T371)),AS371,9E15))&lt;9E15,IF(AND(AND(J371=0,ISNUMBER(AP371),AP371&lt;=(C371+T371)),AP371=MIN(IF(AND(J371=0,ISNUMBER(AP371),AP371&lt;=(C371+T371)),AP371,9E15),IF(AND(K371=0,ISNUMBER(AQ371),AQ371&lt;=(C371+T371)),AQ371,9E15),IF(AND(L371=0,ISNUMBER(AR371),AR371&lt;=(C371+T371)),AR371,9E15),IF(AND(M371=0,ISNUMBER(AS371),AS371&lt;=(C371+T371)),AS371,9E15))),"BiP",IF(AND(AND(K371=0,ISNUMBER(AQ371),AQ371&lt;=(C371+T371)),AQ371=MIN(IF(AND(J371=0,ISNUMBER(AP371),AP371&lt;=(C371+T371)),AP371,9E15),IF(AND(K371=0,ISNUMBER(AQ371),AQ371&lt;=(C371+T371)),AQ371,9E15),IF(AND(L371=0,ISNUMBER(AR371),AR371&lt;=(C371+T371)),AR371,9E15),IF(AND(M371=0,ISNUMBER(AS371),AS371&lt;=(C371+T371)),AS371,9E15))),"PV",IF(AND(AND(L371=0,ISNUMBER(AR371),AR371&lt;=(C371+T371)),AR371=MIN(IF(AND(J371=0,ISNUMBER(AP371),AP371&lt;=(C371+T371)),AP371,9E15),IF(AND(K371=0,ISNUMBER(AQ371),AQ371&lt;=(C371+T371)),AQ371,9E15),IF(AND(L371=0,ISNUMBER(AR371),AR371&lt;=(C371+T371)),AR371,9E15),IF(AND(M371=0,ISNUMBER(AS371),AS371&lt;=(C371+T371)),AS371,9E15))),"OC","MG"))),IF(AX371=TRUE,"",IF(MAX(IF(AND(NOT(AND(AU371=1,AT371&lt;&gt;1)),ISNUMBER(AK371),AK371&lt;=(C371+T371)),AY371,0),IF(AND(NOT(AND(AU371=1,AT371&lt;&gt;1)),ISNUMBER(AL371),AL371&lt;=(C371+T371)),AZ371,0),IF(AND(NOT(AND(AU371=1,AT371&lt;&gt;1)),ISNUMBER(AM371),AM371&lt;=(C371+T371)),BA371,0),IF(AND(NOT(AND(AU371=1,AT371&lt;&gt;1)),ISNUMBER(AN371),AN371&lt;=(C371+T371)),BB371,0),IF(AND(ISNUMBER(AO371),AO371&lt;=(C371+T371)),BC371,0))&lt;=0,"",IF(AND(IF(AND(NOT(AND(AU371=1,AT371&lt;&gt;1)),ISNUMBER(AK371),AK371&lt;=(C371+T371)),AY371,0)&gt;0,IF(AND(NOT(AND(AU371=1,AT371&lt;&gt;1)),ISNUMBER(AK371),AK371&lt;=(C371+T371)),AY371,0)=MAX(IF(AND(NOT(AND(AU371=1,AT371&lt;&gt;1)),ISNUMBER(AK371),AK371&lt;=(C371+T371)),AY371,0),IF(AND(NOT(AND(AU371=1,AT371&lt;&gt;1)),ISNUMBER(AL371),AL371&lt;=(C371+T371)),AZ371,0),IF(AND(NOT(AND(AU371=1,AT371&lt;&gt;1)),ISNUMBER(AM371),AM371&lt;=(C371+T371)),BA371,0),IF(AND(NOT(AND(AU371=1,AT371&lt;&gt;1)),ISNUMBER(AN371),AN371&lt;=(C371+T371)),BB371,0),IF(AND(ISNUMBER(AO371),AO371&lt;=(C371+T371)),BC371,0))),"SK",IF(AND(IF(AND(NOT(AND(AU371=1,AT371&lt;&gt;1)),ISNUMBER(AL371),AL371&lt;=(C371+T371)),AZ371,0)&gt;0,IF(AND(NOT(AND(AU371=1,AT371&lt;&gt;1)),ISNUMBER(AL371),AL371&lt;=(C371+T371)),AZ371,0)=MAX(IF(AND(NOT(AND(AU371=1,AT371&lt;&gt;1)),ISNUMBER(AK371),AK371&lt;=(C371+T371)),AY371,0),IF(AND(NOT(AND(AU371=1,AT371&lt;&gt;1)),ISNUMBER(AL371),AL371&lt;=(C371+T371)),AZ371,0),IF(AND(NOT(AND(AU371=1,AT371&lt;&gt;1)),ISNUMBER(AM371),AM371&lt;=(C371+T371)),BA371,0),IF(AND(NOT(AND(AU371=1,AT371&lt;&gt;1)),ISNUMBER(AN371),AN371&lt;=(C371+T371)),BB371,0),IF(AND(ISNUMBER(AO371),AO371&lt;=(C371+T371)),BC371,0))),"LB",IF(AND(IF(AND(NOT(AND(AU371=1,AT371&lt;&gt;1)),ISNUMBER(AM371),AM371&lt;=(C371+T371)),BA371,0)&gt;0,IF(AND(NOT(AND(AU371=1,AT371&lt;&gt;1)),ISNUMBER(AM371),AM371&lt;=(C371+T371)),BA371,0)=MAX(IF(AND(NOT(AND(AU371=1,AT371&lt;&gt;1)),ISNUMBER(AK371),AK371&lt;=(C371+T371)),AY371,0),IF(AND(NOT(AND(AU371=1,AT371&lt;&gt;1)),ISNUMBER(AL371),AL371&lt;=(C371+T371)),AZ371,0),IF(AND(NOT(AND(AU371=1,AT371&lt;&gt;1)),ISNUMBER(AM371),AM371&lt;=(C371+T371)),BA371,0),IF(AND(NOT(AND(AU371=1,AT371&lt;&gt;1)),ISNUMBER(AN371),AN371&lt;=(C371+T371)),BB371,0),IF(AND(ISNUMBER(AO371),AO371&lt;=(C371+T371)),BC371,0))),"ML",IF(AND(IF(AND(NOT(AND(AU371=1,AT371&lt;&gt;1)),ISNUMBER(AN371),AN371&lt;=(C371+T371)),BB371,0)&gt;0,IF(AND(NOT(AND(AU371=1,AT371&lt;&gt;1)),ISNUMBER(AN371),AN371&lt;=(C371+T371)),BB371,0)=MAX(IF(AND(NOT(AND(AU371=1,AT371&lt;&gt;1)),ISNUMBER(AK371),AK371&lt;=(C371+T371)),AY371,0),IF(AND(NOT(AND(AU371=1,AT371&lt;&gt;1)),ISNUMBER(AL371),AL371&lt;=(C371+T371)),AZ371,0),IF(AND(NOT(AND(AU371=1,AT371&lt;&gt;1)),ISNUMBER(AM371),AM371&lt;=(C371+T371)),BA371,0),IF(AND(NOT(AND(AU371=1,AT371&lt;&gt;1)),ISNUMBER(AN371),AN371&lt;=(C371+T371)),BB371,0),IF(AND(ISNUMBER(AO371),AO371&lt;=(C371+T371)),BC371,0))),"RLO","BD"))))))))</f>
        <v/>
      </c>
    </row>
    <row r="372">
      <c r="A372" s="26" t="n">
        <v>361</v>
      </c>
      <c r="B372" s="27">
        <f>A372*10/60</f>
        <v/>
      </c>
      <c r="C372" s="22">
        <f>X371</f>
        <v/>
      </c>
      <c r="D372" s="27">
        <f>D371+W371</f>
        <v/>
      </c>
      <c r="E372" s="26">
        <f>E371+IF(U371="SK",1,0)</f>
        <v/>
      </c>
      <c r="F372" s="26">
        <f>F371+IF(U371="LB",1,0)</f>
        <v/>
      </c>
      <c r="G372" s="26">
        <f>G371+IF(U371="ML",1,0)</f>
        <v/>
      </c>
      <c r="H372" s="26">
        <f>H371+IF(U371="RLO",1,0)</f>
        <v/>
      </c>
      <c r="I372" s="26">
        <f>I371+IF(U371="BD",1,0)</f>
        <v/>
      </c>
      <c r="J372" s="26">
        <f>MAX(J371,IF(U371="BiP",1,0))</f>
        <v/>
      </c>
      <c r="K372" s="26">
        <f>MAX(K371,IF(U371="PV",1,0))</f>
        <v/>
      </c>
      <c r="L372" s="26">
        <f>MAX(L371,IF(U371="OC",1,0))</f>
        <v/>
      </c>
      <c r="M372" s="26">
        <f>MAX(M371,IF(U371="MG",1,0))</f>
        <v/>
      </c>
      <c r="N372" s="26">
        <f>MAX(N371,IF(U371="transition",1,0))</f>
        <v/>
      </c>
      <c r="O372" s="28">
        <f>(Parameters!$B$9+(IF(E372=0,0,(Upgrades!$J$13+E372*Upgrades!$K$13)*POWER(Upgrades!$L$13,E372)))*(IF(Upgrades!$T$14="Stellar Kinematics",POWER(Upgrades!$U$14,F372),1)*IF(Upgrades!$T$15="Stellar Kinematics",POWER(Upgrades!$U$15,G372),1)*IF(Upgrades!$T$16="Stellar Kinematics",POWER(Upgrades!$U$16,H372),1)*IF(Upgrades!$T$17="Stellar Kinematics",POWER(Upgrades!$U$17,I372),1)*IF(Upgrades!$T$18="Stellar Kinematics",POWER(Upgrades!$U$18,J372),1)*IF(Upgrades!$T$19="Stellar Kinematics",POWER(Upgrades!$U$19,K372),1)*IF(Upgrades!$T$20="Stellar Kinematics",POWER(Upgrades!$U$20,L372),1)*IF(Upgrades!$T$21="Stellar Kinematics",POWER(Upgrades!$U$21,M372),1))+(IF(F372=0,0,(Upgrades!$J$14+F372*Upgrades!$K$14)*POWER(Upgrades!$L$14,F372)))*(IF(Upgrades!$T$13="Local Bubble",POWER(Upgrades!$U$13,E372),1)*IF(Upgrades!$T$15="Local Bubble",POWER(Upgrades!$U$15,G372),1)*IF(Upgrades!$T$16="Local Bubble",POWER(Upgrades!$U$16,H372),1)*IF(Upgrades!$T$17="Local Bubble",POWER(Upgrades!$U$17,I372),1)*IF(Upgrades!$T$18="Local Bubble",POWER(Upgrades!$U$18,J372),1)*IF(Upgrades!$T$19="Local Bubble",POWER(Upgrades!$U$19,K372),1)*IF(Upgrades!$T$20="Local Bubble",POWER(Upgrades!$U$20,L372),1)*IF(Upgrades!$T$21="Local Bubble",POWER(Upgrades!$U$21,M372),1))+(IF(G372=0,0,(Upgrades!$J$15+G372*Upgrades!$K$15)*POWER(Upgrades!$L$15,G372)))*(IF(Upgrades!$T$13="Microlensing",POWER(Upgrades!$U$13,E372),1)*IF(Upgrades!$T$14="Microlensing",POWER(Upgrades!$U$14,F372),1)*IF(Upgrades!$T$16="Microlensing",POWER(Upgrades!$U$16,H372),1)*IF(Upgrades!$T$17="Microlensing",POWER(Upgrades!$U$17,I372),1)*IF(Upgrades!$T$18="Microlensing",POWER(Upgrades!$U$18,J372),1)*IF(Upgrades!$T$19="Microlensing",POWER(Upgrades!$U$19,K372),1)*IF(Upgrades!$T$20="Microlensing",POWER(Upgrades!$U$20,L372),1)*IF(Upgrades!$T$21="Microlensing",POWER(Upgrades!$U$21,M372),1))+(IF(H372=0,0,(Upgrades!$J$16+H372*Upgrades!$K$16)*POWER(Upgrades!$L$16,H372)))*(IF(Upgrades!$T$13="Roche Lobe Overflow",POWER(Upgrades!$U$13,E372),1)*IF(Upgrades!$T$14="Roche Lobe Overflow",POWER(Upgrades!$U$14,F372),1)*IF(Upgrades!$T$15="Roche Lobe Overflow",POWER(Upgrades!$U$15,G372),1)*IF(Upgrades!$T$17="Roche Lobe Overflow",POWER(Upgrades!$U$17,I372),1)*IF(Upgrades!$T$18="Roche Lobe Overflow",POWER(Upgrades!$U$18,J372),1)*IF(Upgrades!$T$19="Roche Lobe Overflow",POWER(Upgrades!$U$19,K372),1)*IF(Upgrades!$T$20="Roche Lobe Overflow",POWER(Upgrades!$U$20,L372),1)*IF(Upgrades!$T$21="Roche Lobe Overflow",POWER(Upgrades!$U$21,M372),1))+(IF(I372=0,0,(Upgrades!$J$17+I372*Upgrades!$K$17)*POWER(Upgrades!$L$17,I372)))*(IF(Upgrades!$T$13="Brown Dwarf",POWER(Upgrades!$U$13,E372),1)*IF(Upgrades!$T$14="Brown Dwarf",POWER(Upgrades!$U$14,F372),1)*IF(Upgrades!$T$15="Brown Dwarf",POWER(Upgrades!$U$15,G372),1)*IF(Upgrades!$T$16="Brown Dwarf",POWER(Upgrades!$U$16,H372),1)*IF(Upgrades!$T$18="Brown Dwarf",POWER(Upgrades!$U$18,J372),1)*IF(Upgrades!$T$19="Brown Dwarf",POWER(Upgrades!$U$19,K372),1)*IF(Upgrades!$T$20="Brown Dwarf",POWER(Upgrades!$U$20,L372),1)*IF(Upgrades!$T$21="Brown Dwarf",POWER(Upgrades!$U$21,M372),1))+(IF(J372=0,0,(Upgrades!$J$18+J372*Upgrades!$K$18)*POWER(Upgrades!$L$18,J372)))*(IF(Upgrades!$T$13="Binary Partner",POWER(Upgrades!$U$13,E372),1)*IF(Upgrades!$T$14="Binary Partner",POWER(Upgrades!$U$14,F372),1)*IF(Upgrades!$T$15="Binary Partner",POWER(Upgrades!$U$15,G372),1)*IF(Upgrades!$T$16="Binary Partner",POWER(Upgrades!$U$16,H372),1)*IF(Upgrades!$T$17="Binary Partner",POWER(Upgrades!$U$17,I372),1)*IF(Upgrades!$T$19="Binary Partner",POWER(Upgrades!$U$19,K372),1)*IF(Upgrades!$T$20="Binary Partner",POWER(Upgrades!$U$20,L372),1)*IF(Upgrades!$T$21="Binary Partner",POWER(Upgrades!$U$21,M372),1))+(IF(K372=0,0,(Upgrades!$J$19+K372*Upgrades!$K$19)*POWER(Upgrades!$L$19,K372)))*(IF(Upgrades!$T$13="Peculiar Velocity",POWER(Upgrades!$U$13,E372),1)*IF(Upgrades!$T$14="Peculiar Velocity",POWER(Upgrades!$U$14,F372),1)*IF(Upgrades!$T$15="Peculiar Velocity",POWER(Upgrades!$U$15,G372),1)*IF(Upgrades!$T$16="Peculiar Velocity",POWER(Upgrades!$U$16,H372),1)*IF(Upgrades!$T$17="Peculiar Velocity",POWER(Upgrades!$U$17,I372),1)*IF(Upgrades!$T$18="Peculiar Velocity",POWER(Upgrades!$U$18,J372),1)*IF(Upgrades!$T$20="Peculiar Velocity",POWER(Upgrades!$U$20,L372),1)*IF(Upgrades!$T$21="Peculiar Velocity",POWER(Upgrades!$U$21,M372),1))+(IF(L372=0,0,(Upgrades!$J$20+L372*Upgrades!$K$20)*POWER(Upgrades!$L$20,L372)))*(IF(Upgrades!$T$13="Open Cluster",POWER(Upgrades!$U$13,E372),1)*IF(Upgrades!$T$14="Open Cluster",POWER(Upgrades!$U$14,F372),1)*IF(Upgrades!$T$15="Open Cluster",POWER(Upgrades!$U$15,G372),1)*IF(Upgrades!$T$16="Open Cluster",POWER(Upgrades!$U$16,H372),1)*IF(Upgrades!$T$17="Open Cluster",POWER(Upgrades!$U$17,I372),1)*IF(Upgrades!$T$18="Open Cluster",POWER(Upgrades!$U$18,J372),1)*IF(Upgrades!$T$19="Open Cluster",POWER(Upgrades!$U$19,K372),1)*IF(Upgrades!$T$21="Open Cluster",POWER(Upgrades!$U$21,M372),1))+(IF(M372=0,0,(Upgrades!$J$21+M372*Upgrades!$K$21)*POWER(Upgrades!$L$21,M372)))*(IF(Upgrades!$T$13="Moving Group",POWER(Upgrades!$U$13,E372),1)*IF(Upgrades!$T$14="Moving Group",POWER(Upgrades!$U$14,F372),1)*IF(Upgrades!$T$15="Moving Group",POWER(Upgrades!$U$15,G372),1)*IF(Upgrades!$T$16="Moving Group",POWER(Upgrades!$U$16,H372),1)*IF(Upgrades!$T$17="Moving Group",POWER(Upgrades!$U$17,I372),1)*IF(Upgrades!$T$18="Moving Group",POWER(Upgrades!$U$18,J372),1)*IF(Upgrades!$T$19="Moving Group",POWER(Upgrades!$U$19,K372),1)*IF(Upgrades!$T$20="Moving Group",POWER(Upgrades!$U$20,L372),1)))*POWER(Upgrades!$Q$13,E372)*POWER(Upgrades!$Q$14,F372)*POWER(Upgrades!$Q$15,G372)*POWER(Upgrades!$Q$16,H372)*POWER(Upgrades!$Q$17,I372)*POWER(Upgrades!$Q$18,J372)*POWER(Upgrades!$Q$19,K372)*POWER(Upgrades!$Q$20,L372)*POWER(Upgrades!$Q$21,M372)*$G$6+$D$6</f>
        <v/>
      </c>
      <c r="P372" s="28">
        <f>((IF(E372=0,0,(Upgrades!$G$13+E372*Upgrades!$H$13)*POWER(Upgrades!$I$13,E372)))*(IF(Upgrades!$T$14="Stellar Kinematics",POWER(Upgrades!$U$14,F372),1)*IF(Upgrades!$T$15="Stellar Kinematics",POWER(Upgrades!$U$15,G372),1)*IF(Upgrades!$T$16="Stellar Kinematics",POWER(Upgrades!$U$16,H372),1)*IF(Upgrades!$T$17="Stellar Kinematics",POWER(Upgrades!$U$17,I372),1)*IF(Upgrades!$T$18="Stellar Kinematics",POWER(Upgrades!$U$18,J372),1)*IF(Upgrades!$T$19="Stellar Kinematics",POWER(Upgrades!$U$19,K372),1)*IF(Upgrades!$T$20="Stellar Kinematics",POWER(Upgrades!$U$20,L372),1)*IF(Upgrades!$T$21="Stellar Kinematics",POWER(Upgrades!$U$21,M372),1))+(IF(F372=0,0,(Upgrades!$G$14+F372*Upgrades!$H$14)*POWER(Upgrades!$I$14,F372)))*(IF(Upgrades!$T$13="Local Bubble",POWER(Upgrades!$U$13,E372),1)*IF(Upgrades!$T$15="Local Bubble",POWER(Upgrades!$U$15,G372),1)*IF(Upgrades!$T$16="Local Bubble",POWER(Upgrades!$U$16,H372),1)*IF(Upgrades!$T$17="Local Bubble",POWER(Upgrades!$U$17,I372),1)*IF(Upgrades!$T$18="Local Bubble",POWER(Upgrades!$U$18,J372),1)*IF(Upgrades!$T$19="Local Bubble",POWER(Upgrades!$U$19,K372),1)*IF(Upgrades!$T$20="Local Bubble",POWER(Upgrades!$U$20,L372),1)*IF(Upgrades!$T$21="Local Bubble",POWER(Upgrades!$U$21,M372),1))+(IF(G372=0,0,(Upgrades!$G$15+G372*Upgrades!$H$15)*POWER(Upgrades!$I$15,G372)))*(IF(Upgrades!$T$13="Microlensing",POWER(Upgrades!$U$13,E372),1)*IF(Upgrades!$T$14="Microlensing",POWER(Upgrades!$U$14,F372),1)*IF(Upgrades!$T$16="Microlensing",POWER(Upgrades!$U$16,H372),1)*IF(Upgrades!$T$17="Microlensing",POWER(Upgrades!$U$17,I372),1)*IF(Upgrades!$T$18="Microlensing",POWER(Upgrades!$U$18,J372),1)*IF(Upgrades!$T$19="Microlensing",POWER(Upgrades!$U$19,K372),1)*IF(Upgrades!$T$20="Microlensing",POWER(Upgrades!$U$20,L372),1)*IF(Upgrades!$T$21="Microlensing",POWER(Upgrades!$U$21,M372),1))+(IF(H372=0,0,(Upgrades!$G$16+H372*Upgrades!$H$16)*POWER(Upgrades!$I$16,H372)))*(IF(Upgrades!$T$13="Roche Lobe Overflow",POWER(Upgrades!$U$13,E372),1)*IF(Upgrades!$T$14="Roche Lobe Overflow",POWER(Upgrades!$U$14,F372),1)*IF(Upgrades!$T$15="Roche Lobe Overflow",POWER(Upgrades!$U$15,G372),1)*IF(Upgrades!$T$17="Roche Lobe Overflow",POWER(Upgrades!$U$17,I372),1)*IF(Upgrades!$T$18="Roche Lobe Overflow",POWER(Upgrades!$U$18,J372),1)*IF(Upgrades!$T$19="Roche Lobe Overflow",POWER(Upgrades!$U$19,K372),1)*IF(Upgrades!$T$20="Roche Lobe Overflow",POWER(Upgrades!$U$20,L372),1)*IF(Upgrades!$T$21="Roche Lobe Overflow",POWER(Upgrades!$U$21,M372),1))+(IF(I372=0,0,(Upgrades!$G$17+I372*Upgrades!$H$17)*POWER(Upgrades!$I$17,I372)))*(IF(Upgrades!$T$13="Brown Dwarf",POWER(Upgrades!$U$13,E372),1)*IF(Upgrades!$T$14="Brown Dwarf",POWER(Upgrades!$U$14,F372),1)*IF(Upgrades!$T$15="Brown Dwarf",POWER(Upgrades!$U$15,G372),1)*IF(Upgrades!$T$16="Brown Dwarf",POWER(Upgrades!$U$16,H372),1)*IF(Upgrades!$T$18="Brown Dwarf",POWER(Upgrades!$U$18,J372),1)*IF(Upgrades!$T$19="Brown Dwarf",POWER(Upgrades!$U$19,K372),1)*IF(Upgrades!$T$20="Brown Dwarf",POWER(Upgrades!$U$20,L372),1)*IF(Upgrades!$T$21="Brown Dwarf",POWER(Upgrades!$U$21,M372),1))+(IF(J372=0,0,(Upgrades!$G$18+J372*Upgrades!$H$18)*POWER(Upgrades!$I$18,J372)))*(IF(Upgrades!$T$13="Binary Partner",POWER(Upgrades!$U$13,E372),1)*IF(Upgrades!$T$14="Binary Partner",POWER(Upgrades!$U$14,F372),1)*IF(Upgrades!$T$15="Binary Partner",POWER(Upgrades!$U$15,G372),1)*IF(Upgrades!$T$16="Binary Partner",POWER(Upgrades!$U$16,H372),1)*IF(Upgrades!$T$17="Binary Partner",POWER(Upgrades!$U$17,I372),1)*IF(Upgrades!$T$19="Binary Partner",POWER(Upgrades!$U$19,K372),1)*IF(Upgrades!$T$20="Binary Partner",POWER(Upgrades!$U$20,L372),1)*IF(Upgrades!$T$21="Binary Partner",POWER(Upgrades!$U$21,M372),1))+(IF(K372=0,0,(Upgrades!$G$19+K372*Upgrades!$H$19)*POWER(Upgrades!$I$19,K372)))*(IF(Upgrades!$T$13="Peculiar Velocity",POWER(Upgrades!$U$13,E372),1)*IF(Upgrades!$T$14="Peculiar Velocity",POWER(Upgrades!$U$14,F372),1)*IF(Upgrades!$T$15="Peculiar Velocity",POWER(Upgrades!$U$15,G372),1)*IF(Upgrades!$T$16="Peculiar Velocity",POWER(Upgrades!$U$16,H372),1)*IF(Upgrades!$T$17="Peculiar Velocity",POWER(Upgrades!$U$17,I372),1)*IF(Upgrades!$T$18="Peculiar Velocity",POWER(Upgrades!$U$18,J372),1)*IF(Upgrades!$T$20="Peculiar Velocity",POWER(Upgrades!$U$20,L372),1)*IF(Upgrades!$T$21="Peculiar Velocity",POWER(Upgrades!$U$21,M372),1))+(IF(L372=0,0,(Upgrades!$G$20+L372*Upgrades!$H$20)*POWER(Upgrades!$I$20,L372)))*(IF(Upgrades!$T$13="Open Cluster",POWER(Upgrades!$U$13,E372),1)*IF(Upgrades!$T$14="Open Cluster",POWER(Upgrades!$U$14,F372),1)*IF(Upgrades!$T$15="Open Cluster",POWER(Upgrades!$U$15,G372),1)*IF(Upgrades!$T$16="Open Cluster",POWER(Upgrades!$U$16,H372),1)*IF(Upgrades!$T$17="Open Cluster",POWER(Upgrades!$U$17,I372),1)*IF(Upgrades!$T$18="Open Cluster",POWER(Upgrades!$U$18,J372),1)*IF(Upgrades!$T$19="Open Cluster",POWER(Upgrades!$U$19,K372),1)*IF(Upgrades!$T$21="Open Cluster",POWER(Upgrades!$U$21,M372),1))+(IF(M372=0,0,(Upgrades!$G$21+M372*Upgrades!$H$21)*POWER(Upgrades!$I$21,M372)))*(IF(Upgrades!$T$13="Moving Group",POWER(Upgrades!$U$13,E372),1)*IF(Upgrades!$T$14="Moving Group",POWER(Upgrades!$U$14,F372),1)*IF(Upgrades!$T$15="Moving Group",POWER(Upgrades!$U$15,G372),1)*IF(Upgrades!$T$16="Moving Group",POWER(Upgrades!$U$16,H372),1)*IF(Upgrades!$T$17="Moving Group",POWER(Upgrades!$U$17,I372),1)*IF(Upgrades!$T$18="Moving Group",POWER(Upgrades!$U$18,J372),1)*IF(Upgrades!$T$19="Moving Group",POWER(Upgrades!$U$19,K372),1)*IF(Upgrades!$T$20="Moving Group",POWER(Upgrades!$U$20,L372),1)))*POWER(Upgrades!$P$13,E372)*POWER(Upgrades!$P$14,F372)*POWER(Upgrades!$P$15,G372)*POWER(Upgrades!$P$16,H372)*POWER(Upgrades!$P$17,I372)*POWER(Upgrades!$P$18,J372)*POWER(Upgrades!$P$19,K372)*POWER(Upgrades!$P$20,L372)*POWER(Upgrades!$P$21,M372)*$F$6+$C$6</f>
        <v/>
      </c>
      <c r="Q372" s="28">
        <f>((IF(E372=0,0,(Upgrades!$M$13+E372*Upgrades!$N$13)*POWER(Upgrades!$O$13,E372)))*(IF(Upgrades!$T$14="Stellar Kinematics",POWER(Upgrades!$U$14,F372),1)*IF(Upgrades!$T$15="Stellar Kinematics",POWER(Upgrades!$U$15,G372),1)*IF(Upgrades!$T$16="Stellar Kinematics",POWER(Upgrades!$U$16,H372),1)*IF(Upgrades!$T$17="Stellar Kinematics",POWER(Upgrades!$U$17,I372),1)*IF(Upgrades!$T$18="Stellar Kinematics",POWER(Upgrades!$U$18,J372),1)*IF(Upgrades!$T$19="Stellar Kinematics",POWER(Upgrades!$U$19,K372),1)*IF(Upgrades!$T$20="Stellar Kinematics",POWER(Upgrades!$U$20,L372),1)*IF(Upgrades!$T$21="Stellar Kinematics",POWER(Upgrades!$U$21,M372),1))+(IF(F372=0,0,(Upgrades!$M$14+F372*Upgrades!$N$14)*POWER(Upgrades!$O$14,F372)))*(IF(Upgrades!$T$13="Local Bubble",POWER(Upgrades!$U$13,E372),1)*IF(Upgrades!$T$15="Local Bubble",POWER(Upgrades!$U$15,G372),1)*IF(Upgrades!$T$16="Local Bubble",POWER(Upgrades!$U$16,H372),1)*IF(Upgrades!$T$17="Local Bubble",POWER(Upgrades!$U$17,I372),1)*IF(Upgrades!$T$18="Local Bubble",POWER(Upgrades!$U$18,J372),1)*IF(Upgrades!$T$19="Local Bubble",POWER(Upgrades!$U$19,K372),1)*IF(Upgrades!$T$20="Local Bubble",POWER(Upgrades!$U$20,L372),1)*IF(Upgrades!$T$21="Local Bubble",POWER(Upgrades!$U$21,M372),1))+(IF(G372=0,0,(Upgrades!$M$15+G372*Upgrades!$N$15)*POWER(Upgrades!$O$15,G372)))*(IF(Upgrades!$T$13="Microlensing",POWER(Upgrades!$U$13,E372),1)*IF(Upgrades!$T$14="Microlensing",POWER(Upgrades!$U$14,F372),1)*IF(Upgrades!$T$16="Microlensing",POWER(Upgrades!$U$16,H372),1)*IF(Upgrades!$T$17="Microlensing",POWER(Upgrades!$U$17,I372),1)*IF(Upgrades!$T$18="Microlensing",POWER(Upgrades!$U$18,J372),1)*IF(Upgrades!$T$19="Microlensing",POWER(Upgrades!$U$19,K372),1)*IF(Upgrades!$T$20="Microlensing",POWER(Upgrades!$U$20,L372),1)*IF(Upgrades!$T$21="Microlensing",POWER(Upgrades!$U$21,M372),1))+(IF(H372=0,0,(Upgrades!$M$16+H372*Upgrades!$N$16)*POWER(Upgrades!$O$16,H372)))*(IF(Upgrades!$T$13="Roche Lobe Overflow",POWER(Upgrades!$U$13,E372),1)*IF(Upgrades!$T$14="Roche Lobe Overflow",POWER(Upgrades!$U$14,F372),1)*IF(Upgrades!$T$15="Roche Lobe Overflow",POWER(Upgrades!$U$15,G372),1)*IF(Upgrades!$T$17="Roche Lobe Overflow",POWER(Upgrades!$U$17,I372),1)*IF(Upgrades!$T$18="Roche Lobe Overflow",POWER(Upgrades!$U$18,J372),1)*IF(Upgrades!$T$19="Roche Lobe Overflow",POWER(Upgrades!$U$19,K372),1)*IF(Upgrades!$T$20="Roche Lobe Overflow",POWER(Upgrades!$U$20,L372),1)*IF(Upgrades!$T$21="Roche Lobe Overflow",POWER(Upgrades!$U$21,M372),1))+(IF(I372=0,0,(Upgrades!$M$17+I372*Upgrades!$N$17)*POWER(Upgrades!$O$17,I372)))*(IF(Upgrades!$T$13="Brown Dwarf",POWER(Upgrades!$U$13,E372),1)*IF(Upgrades!$T$14="Brown Dwarf",POWER(Upgrades!$U$14,F372),1)*IF(Upgrades!$T$15="Brown Dwarf",POWER(Upgrades!$U$15,G372),1)*IF(Upgrades!$T$16="Brown Dwarf",POWER(Upgrades!$U$16,H372),1)*IF(Upgrades!$T$18="Brown Dwarf",POWER(Upgrades!$U$18,J372),1)*IF(Upgrades!$T$19="Brown Dwarf",POWER(Upgrades!$U$19,K372),1)*IF(Upgrades!$T$20="Brown Dwarf",POWER(Upgrades!$U$20,L372),1)*IF(Upgrades!$T$21="Brown Dwarf",POWER(Upgrades!$U$21,M372),1))+(IF(J372=0,0,(Upgrades!$M$18+J372*Upgrades!$N$18)*POWER(Upgrades!$O$18,J372)))*(IF(Upgrades!$T$13="Binary Partner",POWER(Upgrades!$U$13,E372),1)*IF(Upgrades!$T$14="Binary Partner",POWER(Upgrades!$U$14,F372),1)*IF(Upgrades!$T$15="Binary Partner",POWER(Upgrades!$U$15,G372),1)*IF(Upgrades!$T$16="Binary Partner",POWER(Upgrades!$U$16,H372),1)*IF(Upgrades!$T$17="Binary Partner",POWER(Upgrades!$U$17,I372),1)*IF(Upgrades!$T$19="Binary Partner",POWER(Upgrades!$U$19,K372),1)*IF(Upgrades!$T$20="Binary Partner",POWER(Upgrades!$U$20,L372),1)*IF(Upgrades!$T$21="Binary Partner",POWER(Upgrades!$U$21,M372),1))+(IF(K372=0,0,(Upgrades!$M$19+K372*Upgrades!$N$19)*POWER(Upgrades!$O$19,K372)))*(IF(Upgrades!$T$13="Peculiar Velocity",POWER(Upgrades!$U$13,E372),1)*IF(Upgrades!$T$14="Peculiar Velocity",POWER(Upgrades!$U$14,F372),1)*IF(Upgrades!$T$15="Peculiar Velocity",POWER(Upgrades!$U$15,G372),1)*IF(Upgrades!$T$16="Peculiar Velocity",POWER(Upgrades!$U$16,H372),1)*IF(Upgrades!$T$17="Peculiar Velocity",POWER(Upgrades!$U$17,I372),1)*IF(Upgrades!$T$18="Peculiar Velocity",POWER(Upgrades!$U$18,J372),1)*IF(Upgrades!$T$20="Peculiar Velocity",POWER(Upgrades!$U$20,L372),1)*IF(Upgrades!$T$21="Peculiar Velocity",POWER(Upgrades!$U$21,M372),1))+(IF(L372=0,0,(Upgrades!$M$20+L372*Upgrades!$N$20)*POWER(Upgrades!$O$20,L372)))*(IF(Upgrades!$T$13="Open Cluster",POWER(Upgrades!$U$13,E372),1)*IF(Upgrades!$T$14="Open Cluster",POWER(Upgrades!$U$14,F372),1)*IF(Upgrades!$T$15="Open Cluster",POWER(Upgrades!$U$15,G372),1)*IF(Upgrades!$T$16="Open Cluster",POWER(Upgrades!$U$16,H372),1)*IF(Upgrades!$T$17="Open Cluster",POWER(Upgrades!$U$17,I372),1)*IF(Upgrades!$T$18="Open Cluster",POWER(Upgrades!$U$18,J372),1)*IF(Upgrades!$T$19="Open Cluster",POWER(Upgrades!$U$19,K372),1)*IF(Upgrades!$T$21="Open Cluster",POWER(Upgrades!$U$21,M372),1))+(IF(M372=0,0,(Upgrades!$M$21+M372*Upgrades!$N$21)*POWER(Upgrades!$O$21,M372)))*(IF(Upgrades!$T$13="Moving Group",POWER(Upgrades!$U$13,E372),1)*IF(Upgrades!$T$14="Moving Group",POWER(Upgrades!$U$14,F372),1)*IF(Upgrades!$T$15="Moving Group",POWER(Upgrades!$U$15,G372),1)*IF(Upgrades!$T$16="Moving Group",POWER(Upgrades!$U$16,H372),1)*IF(Upgrades!$T$17="Moving Group",POWER(Upgrades!$U$17,I372),1)*IF(Upgrades!$T$18="Moving Group",POWER(Upgrades!$U$18,J372),1)*IF(Upgrades!$T$19="Moving Group",POWER(Upgrades!$U$19,K372),1)*IF(Upgrades!$T$20="Moving Group",POWER(Upgrades!$U$20,L372),1)))*POWER(Upgrades!$R$13,E372)*POWER(Upgrades!$R$14,F372)*POWER(Upgrades!$R$15,G372)*POWER(Upgrades!$R$16,H372)*POWER(Upgrades!$R$17,I372)*POWER(Upgrades!$R$18,J372)*POWER(Upgrades!$R$19,K372)*POWER(Upgrades!$R$20,L372)*POWER(Upgrades!$R$21,M372)*$H$6+$E$6</f>
        <v/>
      </c>
      <c r="R372" s="27">
        <f>IF(N372=1,0,O372*Parameters!$B$10/60*Parameters!$B$11*10)</f>
        <v/>
      </c>
      <c r="S372" s="27">
        <f>IF(N372=1,0,Q372*O372*10)</f>
        <v/>
      </c>
      <c r="T372" s="27">
        <f>IF(N372=1,0,R372+S372+P372*10)</f>
        <v/>
      </c>
      <c r="U372" s="33">
        <f>BE372</f>
        <v/>
      </c>
      <c r="V372" s="22">
        <f>IF(U372="",0,IF(U372="transition",0,IF(U372="SK",AK372,IF(U372="LB",AL372,IF(U372="ML",AM372,IF(U372="RLO",AN372,IF(U372="BD",AO372,IF(U372="BiP",AP372,IF(U372="PV",AQ372,IF(U372="OC",AR372,IF(U372="MG",AS372,0))))))))))</f>
        <v/>
      </c>
      <c r="W372" s="27">
        <f>IF(U372="BiP",Upgrades!$F$18,IF(U372="PV",Upgrades!$F$19,IF(U372="OC",Upgrades!$F$20,IF(U372="MG",Upgrades!$F$21,IF(U372="transition",-Parameters!$B$18*Parameters!$B$19,0)))))</f>
        <v/>
      </c>
      <c r="X372" s="22">
        <f>C372+T372-V372</f>
        <v/>
      </c>
      <c r="Y372" s="30">
        <f>O372*Parameters!$B$10/60*Parameters!$B$11+Q372*O372+P372</f>
        <v/>
      </c>
      <c r="Z372" s="34">
        <f>IF(U372="transition","→ Tier 3 (Galactic Arm)",IF(U372="MG","Moving Group — pocket drifts together",IF(U372="OC","Open Cluster acquired",IF(U372="PV","Peculiar Velocity — passive multiplier active",IF(U372="BiP","Binary Partner — pair bond formed",IF(AND(AU372=1,N372=0,AT372&lt;&gt;1),"Cohesion ready (waiting on completionists)","")))))) </f>
        <v/>
      </c>
      <c r="AA372" s="27">
        <f>(IF(E372=0,0,(Upgrades!$G$13+E372*Upgrades!$H$13)*POWER(Upgrades!$I$13,E372)))*(IF(Upgrades!$T$14="Stellar Kinematics",POWER(Upgrades!$U$14,F372),1)*IF(Upgrades!$T$15="Stellar Kinematics",POWER(Upgrades!$U$15,G372),1)*IF(Upgrades!$T$16="Stellar Kinematics",POWER(Upgrades!$U$16,H372),1)*IF(Upgrades!$T$17="Stellar Kinematics",POWER(Upgrades!$U$17,I372),1)*IF(Upgrades!$T$18="Stellar Kinematics",POWER(Upgrades!$U$18,J372),1)*IF(Upgrades!$T$19="Stellar Kinematics",POWER(Upgrades!$U$19,K372),1)*IF(Upgrades!$T$20="Stellar Kinematics",POWER(Upgrades!$U$20,L372),1)*IF(Upgrades!$T$21="Stellar Kinematics",POWER(Upgrades!$U$21,M372),1))*POWER(Upgrades!$P$13,E372)*POWER(Upgrades!$P$14,F372)*POWER(Upgrades!$P$15,G372)*POWER(Upgrades!$P$16,H372)*POWER(Upgrades!$P$17,I372)*POWER(Upgrades!$P$18,J372)*POWER(Upgrades!$P$19,K372)*POWER(Upgrades!$P$20,L372)*POWER(Upgrades!$P$21,M372)*$F$6*60</f>
        <v/>
      </c>
      <c r="AB372" s="27">
        <f>(IF(F372=0,0,(Upgrades!$G$14+F372*Upgrades!$H$14)*POWER(Upgrades!$I$14,F372)))*(IF(Upgrades!$T$13="Local Bubble",POWER(Upgrades!$U$13,E372),1)*IF(Upgrades!$T$15="Local Bubble",POWER(Upgrades!$U$15,G372),1)*IF(Upgrades!$T$16="Local Bubble",POWER(Upgrades!$U$16,H372),1)*IF(Upgrades!$T$17="Local Bubble",POWER(Upgrades!$U$17,I372),1)*IF(Upgrades!$T$18="Local Bubble",POWER(Upgrades!$U$18,J372),1)*IF(Upgrades!$T$19="Local Bubble",POWER(Upgrades!$U$19,K372),1)*IF(Upgrades!$T$20="Local Bubble",POWER(Upgrades!$U$20,L372),1)*IF(Upgrades!$T$21="Local Bubble",POWER(Upgrades!$U$21,M372),1))*POWER(Upgrades!$P$13,E372)*POWER(Upgrades!$P$14,F372)*POWER(Upgrades!$P$15,G372)*POWER(Upgrades!$P$16,H372)*POWER(Upgrades!$P$17,I372)*POWER(Upgrades!$P$18,J372)*POWER(Upgrades!$P$19,K372)*POWER(Upgrades!$P$20,L372)*POWER(Upgrades!$P$21,M372)*$F$6*60</f>
        <v/>
      </c>
      <c r="AC372" s="27">
        <f>(IF(G372=0,0,(Upgrades!$J$15+G372*Upgrades!$K$15)*POWER(Upgrades!$L$15,G372)))*(IF(Upgrades!$T$13="Microlensing",POWER(Upgrades!$U$13,E372),1)*IF(Upgrades!$T$14="Microlensing",POWER(Upgrades!$U$14,F372),1)*IF(Upgrades!$T$16="Microlensing",POWER(Upgrades!$U$16,H372),1)*IF(Upgrades!$T$17="Microlensing",POWER(Upgrades!$U$17,I372),1)*IF(Upgrades!$T$18="Microlensing",POWER(Upgrades!$U$18,J372),1)*IF(Upgrades!$T$19="Microlensing",POWER(Upgrades!$U$19,K372),1)*IF(Upgrades!$T$20="Microlensing",POWER(Upgrades!$U$20,L372),1)*IF(Upgrades!$T$21="Microlensing",POWER(Upgrades!$U$21,M372),1))*POWER(Upgrades!$Q$13,E372)*POWER(Upgrades!$Q$14,F372)*POWER(Upgrades!$Q$15,G372)*POWER(Upgrades!$Q$16,H372)*POWER(Upgrades!$Q$17,I372)*POWER(Upgrades!$Q$18,J372)*POWER(Upgrades!$Q$19,K372)*POWER(Upgrades!$Q$20,L372)*POWER(Upgrades!$Q$21,M372)*$G$6*(Parameters!$B$10*Parameters!$B$11+Q372*60)</f>
        <v/>
      </c>
      <c r="AD372" s="27">
        <f>(IF(H372=0,0,(Upgrades!$M$16+H372*Upgrades!$N$16)*POWER(Upgrades!$O$16,H372)))*(IF(Upgrades!$T$13="Roche Lobe Overflow",POWER(Upgrades!$U$13,E372),1)*IF(Upgrades!$T$14="Roche Lobe Overflow",POWER(Upgrades!$U$14,F372),1)*IF(Upgrades!$T$15="Roche Lobe Overflow",POWER(Upgrades!$U$15,G372),1)*IF(Upgrades!$T$17="Roche Lobe Overflow",POWER(Upgrades!$U$17,I372),1)*IF(Upgrades!$T$18="Roche Lobe Overflow",POWER(Upgrades!$U$18,J372),1)*IF(Upgrades!$T$19="Roche Lobe Overflow",POWER(Upgrades!$U$19,K372),1)*IF(Upgrades!$T$20="Roche Lobe Overflow",POWER(Upgrades!$U$20,L372),1)*IF(Upgrades!$T$21="Roche Lobe Overflow",POWER(Upgrades!$U$21,M372),1))*POWER(Upgrades!$R$13,E372)*POWER(Upgrades!$R$14,F372)*POWER(Upgrades!$R$15,G372)*POWER(Upgrades!$R$16,H372)*POWER(Upgrades!$R$17,I372)*POWER(Upgrades!$R$18,J372)*POWER(Upgrades!$R$19,K372)*POWER(Upgrades!$R$20,L372)*POWER(Upgrades!$R$21,M372)*$H$6*O372*60</f>
        <v/>
      </c>
      <c r="AE372" s="27">
        <f>(IF(I372=0,0,(Upgrades!$G$17+I372*Upgrades!$H$17)*POWER(Upgrades!$I$17,I372)))*(IF(Upgrades!$T$13="Brown Dwarf",POWER(Upgrades!$U$13,E372),1)*IF(Upgrades!$T$14="Brown Dwarf",POWER(Upgrades!$U$14,F372),1)*IF(Upgrades!$T$15="Brown Dwarf",POWER(Upgrades!$U$15,G372),1)*IF(Upgrades!$T$16="Brown Dwarf",POWER(Upgrades!$U$16,H372),1)*IF(Upgrades!$T$18="Brown Dwarf",POWER(Upgrades!$U$18,J372),1)*IF(Upgrades!$T$19="Brown Dwarf",POWER(Upgrades!$U$19,K372),1)*IF(Upgrades!$T$20="Brown Dwarf",POWER(Upgrades!$U$20,L372),1)*IF(Upgrades!$T$21="Brown Dwarf",POWER(Upgrades!$U$21,M372),1))*POWER(Upgrades!$P$13,E372)*POWER(Upgrades!$P$14,F372)*POWER(Upgrades!$P$15,G372)*POWER(Upgrades!$P$16,H372)*POWER(Upgrades!$P$17,I372)*POWER(Upgrades!$P$18,J372)*POWER(Upgrades!$P$19,K372)*POWER(Upgrades!$P$20,L372)*POWER(Upgrades!$P$21,M372)*$F$6*60</f>
        <v/>
      </c>
      <c r="AF372" s="27" t="n">
        <v>0</v>
      </c>
      <c r="AG372" s="27" t="n">
        <v>0</v>
      </c>
      <c r="AH372" s="27" t="n">
        <v>0</v>
      </c>
      <c r="AI372" s="27">
        <f>(IF(M372=0,0,(Upgrades!$G$21+M372*Upgrades!$H$21)*POWER(Upgrades!$I$21,M372)))*(IF(Upgrades!$T$13="Moving Group",POWER(Upgrades!$U$13,E372),1)*IF(Upgrades!$T$14="Moving Group",POWER(Upgrades!$U$14,F372),1)*IF(Upgrades!$T$15="Moving Group",POWER(Upgrades!$U$15,G372),1)*IF(Upgrades!$T$16="Moving Group",POWER(Upgrades!$U$16,H372),1)*IF(Upgrades!$T$17="Moving Group",POWER(Upgrades!$U$17,I372),1)*IF(Upgrades!$T$18="Moving Group",POWER(Upgrades!$U$18,J372),1)*IF(Upgrades!$T$19="Moving Group",POWER(Upgrades!$U$19,K372),1)*IF(Upgrades!$T$20="Moving Group",POWER(Upgrades!$U$20,L372),1))*POWER(Upgrades!$P$13,E372)*POWER(Upgrades!$P$14,F372)*POWER(Upgrades!$P$15,G372)*POWER(Upgrades!$P$16,H372)*POWER(Upgrades!$P$17,I372)*POWER(Upgrades!$P$18,J372)*POWER(Upgrades!$P$19,K372)*POWER(Upgrades!$P$20,L372)*POWER(Upgrades!$P$21,M372)*$F$6*60</f>
        <v/>
      </c>
      <c r="AJ372" s="27">
        <f>$C$6*60</f>
        <v/>
      </c>
      <c r="AK372" s="22">
        <f>IF(E372&gt;=Upgrades!$E$13,"",Upgrades!$C$13*POWER(Upgrades!$D$13,E372))</f>
        <v/>
      </c>
      <c r="AL372" s="22">
        <f>IF(F372&gt;=Upgrades!$E$14,"",Upgrades!$C$14*POWER(Upgrades!$D$14,F372))</f>
        <v/>
      </c>
      <c r="AM372" s="22">
        <f>IF(G372&gt;=Upgrades!$E$15,"",Upgrades!$C$15*POWER(Upgrades!$D$15,G372))</f>
        <v/>
      </c>
      <c r="AN372" s="22">
        <f>IF(H372&gt;=Upgrades!$E$16,"",Upgrades!$C$16*POWER(Upgrades!$D$16,H372))</f>
        <v/>
      </c>
      <c r="AO372" s="22">
        <f>IF(I372&gt;=Upgrades!$E$17,"",Upgrades!$C$17*POWER(Upgrades!$D$17,I372))</f>
        <v/>
      </c>
      <c r="AP372" s="22">
        <f>IF(J372&gt;=Upgrades!$E$18,"",Upgrades!$C$18*POWER(Upgrades!$D$18,J372))</f>
        <v/>
      </c>
      <c r="AQ372" s="22">
        <f>IF(K372&gt;=Upgrades!$E$19,"",Upgrades!$C$19*POWER(Upgrades!$D$19,K372))</f>
        <v/>
      </c>
      <c r="AR372" s="22">
        <f>IF(L372&gt;=Upgrades!$E$20,"",Upgrades!$C$20*POWER(Upgrades!$D$20,L372))</f>
        <v/>
      </c>
      <c r="AS372" s="22">
        <f>IF(M372&gt;=Upgrades!$E$21,"",Upgrades!$C$21*POWER(Upgrades!$D$21,M372))</f>
        <v/>
      </c>
      <c r="AT372" s="26">
        <f>IF(AND(D372&gt;=Parameters!$B$18*Parameters!$B$19,(I372&gt;=Upgrades!$E$17)*(M372&gt;=Upgrades!$E$21)=1,N372=0),1,"")</f>
        <v/>
      </c>
      <c r="AU372" s="26">
        <f>IF(AND(D372&gt;=Parameters!$B$18*Parameters!$B$19,N372=0),1,"")</f>
        <v/>
      </c>
      <c r="AV372" s="22">
        <f>MIN(IF(ISNUMBER(AP372),AP372,9E15),IF(ISNUMBER(AQ372),AQ372,9E15),IF(ISNUMBER(AR372),AR372,9E15),IF(ISNUMBER(AS372),AS372,9E15))</f>
        <v/>
      </c>
      <c r="AW372" s="22">
        <f>MIN(IF(ISNUMBER(AK372),AK372,9E15),IF(ISNUMBER(AL372),AL372,9E15),IF(ISNUMBER(AM372),AM372,9E15),IF(ISNUMBER(AN372),AN372,9E15),IF(ISNUMBER(AO372),AO372,9E15))</f>
        <v/>
      </c>
      <c r="AX372" s="29">
        <f>IF(BD372&gt;Parameters!$B$21*(MAX(IF(AND(NOT(AND(AU372=1,AT372&lt;&gt;1)),ISNUMBER(AK372),AK372&lt;=(C372+T372)),AY372,0),IF(AND(NOT(AND(AU372=1,AT372&lt;&gt;1)),ISNUMBER(AL372),AL372&lt;=(C372+T372)),AZ372,0),IF(AND(NOT(AND(AU372=1,AT372&lt;&gt;1)),ISNUMBER(AM372),AM372&lt;=(C372+T372)),BA372,0),IF(AND(NOT(AND(AU372=1,AT372&lt;&gt;1)),ISNUMBER(AN372),AN372&lt;=(C372+T372)),BB372,0),IF(AND(ISNUMBER(AO372),AO372&lt;=(C372+T372)),BC372,0))),TRUE,FALSE)</f>
        <v/>
      </c>
      <c r="AY372" s="32">
        <f>IFERROR(Upgrades!$H$13*(POWER(Upgrades!$P$13,E372)*POWER(Upgrades!$P$14,F372)*POWER(Upgrades!$P$15,G372)*POWER(Upgrades!$P$16,H372)*POWER(Upgrades!$P$17,I372)*POWER(Upgrades!$P$18,J372)*POWER(Upgrades!$P$19,K372)*POWER(Upgrades!$P$20,L372)*POWER(Upgrades!$P$21,M372))*(IF(Upgrades!$T$14="Stellar Kinematics",POWER(Upgrades!$U$14,F372),1)*IF(Upgrades!$T$15="Stellar Kinematics",POWER(Upgrades!$U$15,G372),1)*IF(Upgrades!$T$16="Stellar Kinematics",POWER(Upgrades!$U$16,H372),1)*IF(Upgrades!$T$17="Stellar Kinematics",POWER(Upgrades!$U$17,I372),1)*IF(Upgrades!$T$18="Stellar Kinematics",POWER(Upgrades!$U$18,J372),1)*IF(Upgrades!$T$19="Stellar Kinematics",POWER(Upgrades!$U$19,K372),1)*IF(Upgrades!$T$20="Stellar Kinematics",POWER(Upgrades!$U$20,L372),1)*IF(Upgrades!$T$21="Stellar Kinematics",POWER(Upgrades!$U$21,M372),1))*$F$6/AK372,0)</f>
        <v/>
      </c>
      <c r="AZ372" s="32">
        <f>IFERROR(Upgrades!$H$14*(POWER(Upgrades!$P$13,E372)*POWER(Upgrades!$P$14,F372)*POWER(Upgrades!$P$15,G372)*POWER(Upgrades!$P$16,H372)*POWER(Upgrades!$P$17,I372)*POWER(Upgrades!$P$18,J372)*POWER(Upgrades!$P$19,K372)*POWER(Upgrades!$P$20,L372)*POWER(Upgrades!$P$21,M372))*(IF(Upgrades!$T$13="Local Bubble",POWER(Upgrades!$U$13,E372),1)*IF(Upgrades!$T$15="Local Bubble",POWER(Upgrades!$U$15,G372),1)*IF(Upgrades!$T$16="Local Bubble",POWER(Upgrades!$U$16,H372),1)*IF(Upgrades!$T$17="Local Bubble",POWER(Upgrades!$U$17,I372),1)*IF(Upgrades!$T$18="Local Bubble",POWER(Upgrades!$U$18,J372),1)*IF(Upgrades!$T$19="Local Bubble",POWER(Upgrades!$U$19,K372),1)*IF(Upgrades!$T$20="Local Bubble",POWER(Upgrades!$U$20,L372),1)*IF(Upgrades!$T$21="Local Bubble",POWER(Upgrades!$U$21,M372),1))*$F$6/AL372,0)</f>
        <v/>
      </c>
      <c r="BA372" s="32">
        <f>IFERROR(Upgrades!$K$15*(POWER(Upgrades!$Q$13,E372)*POWER(Upgrades!$Q$14,F372)*POWER(Upgrades!$Q$15,G372)*POWER(Upgrades!$Q$16,H372)*POWER(Upgrades!$Q$17,I372)*POWER(Upgrades!$Q$18,J372)*POWER(Upgrades!$Q$19,K372)*POWER(Upgrades!$Q$20,L372)*POWER(Upgrades!$Q$21,M372))*(IF(Upgrades!$T$13="Microlensing",POWER(Upgrades!$U$13,E372),1)*IF(Upgrades!$T$14="Microlensing",POWER(Upgrades!$U$14,F372),1)*IF(Upgrades!$T$16="Microlensing",POWER(Upgrades!$U$16,H372),1)*IF(Upgrades!$T$17="Microlensing",POWER(Upgrades!$U$17,I372),1)*IF(Upgrades!$T$18="Microlensing",POWER(Upgrades!$U$18,J372),1)*IF(Upgrades!$T$19="Microlensing",POWER(Upgrades!$U$19,K372),1)*IF(Upgrades!$T$20="Microlensing",POWER(Upgrades!$U$20,L372),1)*IF(Upgrades!$T$21="Microlensing",POWER(Upgrades!$U$21,M372),1))*$G$6*(Parameters!$B$10/60*Parameters!$B$11+Q372)/AM372,0)</f>
        <v/>
      </c>
      <c r="BB372" s="32">
        <f>IFERROR((Upgrades!$N$16*(POWER(Upgrades!$R$13,E372)*POWER(Upgrades!$R$14,F372)*POWER(Upgrades!$R$15,G372)*POWER(Upgrades!$R$16,H372)*POWER(Upgrades!$R$17,I372)*POWER(Upgrades!$R$18,J372)*POWER(Upgrades!$R$19,K372)*POWER(Upgrades!$R$20,L372)*POWER(Upgrades!$R$21,M372))*(IF(Upgrades!$T$13="Roche Lobe Overflow",POWER(Upgrades!$U$13,E372),1)*IF(Upgrades!$T$14="Roche Lobe Overflow",POWER(Upgrades!$U$14,F372),1)*IF(Upgrades!$T$15="Roche Lobe Overflow",POWER(Upgrades!$U$15,G372),1)*IF(Upgrades!$T$17="Roche Lobe Overflow",POWER(Upgrades!$U$17,I372),1)*IF(Upgrades!$T$18="Roche Lobe Overflow",POWER(Upgrades!$U$18,J372),1)*IF(Upgrades!$T$19="Roche Lobe Overflow",POWER(Upgrades!$U$19,K372),1)*IF(Upgrades!$T$20="Roche Lobe Overflow",POWER(Upgrades!$U$20,L372),1)*IF(Upgrades!$T$21="Roche Lobe Overflow",POWER(Upgrades!$U$21,M372),1))*$H$6*O372+((IF(F372=0,0,(Upgrades!$G$14+F372*Upgrades!$H$14)*POWER(Upgrades!$I$14,F372)))*(IF(Upgrades!$T$13="Local Bubble",POWER(Upgrades!$U$13,E372),1)*IF(Upgrades!$T$15="Local Bubble",POWER(Upgrades!$U$15,G372),1)*IF(Upgrades!$T$16="Local Bubble",POWER(Upgrades!$U$16,H372),1)*IF(Upgrades!$T$17="Local Bubble",POWER(Upgrades!$U$17,I372),1)*IF(Upgrades!$T$18="Local Bubble",POWER(Upgrades!$U$18,J372),1)*IF(Upgrades!$T$19="Local Bubble",POWER(Upgrades!$U$19,K372),1)*IF(Upgrades!$T$20="Local Bubble",POWER(Upgrades!$U$20,L372),1)*IF(Upgrades!$T$21="Local Bubble",POWER(Upgrades!$U$21,M372),1))*POWER(Upgrades!$P$13,E372)*POWER(Upgrades!$P$14,F372)*POWER(Upgrades!$P$15,G372)*POWER(Upgrades!$P$16,H372)*POWER(Upgrades!$P$17,I372)*POWER(Upgrades!$P$18,J372)*POWER(Upgrades!$P$19,K372)*POWER(Upgrades!$P$20,L372)*POWER(Upgrades!$P$21,M372)*$F$6)*0.05)/AN372,0)</f>
        <v/>
      </c>
      <c r="BC372" s="32">
        <f>IFERROR((Upgrades!$H$17*(POWER(Upgrades!$P$13,E372)*POWER(Upgrades!$P$14,F372)*POWER(Upgrades!$P$15,G372)*POWER(Upgrades!$P$16,H372)*POWER(Upgrades!$P$17,I372)*POWER(Upgrades!$P$18,J372)*POWER(Upgrades!$P$19,K372)*POWER(Upgrades!$P$20,L372)*POWER(Upgrades!$P$21,M372))*(IF(Upgrades!$T$13="Brown Dwarf",POWER(Upgrades!$U$13,E372),1)*IF(Upgrades!$T$14="Brown Dwarf",POWER(Upgrades!$U$14,F372),1)*IF(Upgrades!$T$15="Brown Dwarf",POWER(Upgrades!$U$15,G372),1)*IF(Upgrades!$T$16="Brown Dwarf",POWER(Upgrades!$U$16,H372),1)*IF(Upgrades!$T$18="Brown Dwarf",POWER(Upgrades!$U$18,J372),1)*IF(Upgrades!$T$19="Brown Dwarf",POWER(Upgrades!$U$19,K372),1)*IF(Upgrades!$T$20="Brown Dwarf",POWER(Upgrades!$U$20,L372),1)*IF(Upgrades!$T$21="Brown Dwarf",POWER(Upgrades!$U$21,M372),1))*$F$6+(((IF(H372=0,0,(Upgrades!$M$16+H372*Upgrades!$N$16)*POWER(Upgrades!$O$16,H372)))*(IF(Upgrades!$T$13="Roche Lobe Overflow",POWER(Upgrades!$U$13,E372),1)*IF(Upgrades!$T$14="Roche Lobe Overflow",POWER(Upgrades!$U$14,F372),1)*IF(Upgrades!$T$15="Roche Lobe Overflow",POWER(Upgrades!$U$15,G372),1)*IF(Upgrades!$T$17="Roche Lobe Overflow",POWER(Upgrades!$U$17,I372),1)*IF(Upgrades!$T$18="Roche Lobe Overflow",POWER(Upgrades!$U$18,J372),1)*IF(Upgrades!$T$19="Roche Lobe Overflow",POWER(Upgrades!$U$19,K372),1)*IF(Upgrades!$T$20="Roche Lobe Overflow",POWER(Upgrades!$U$20,L372),1)*IF(Upgrades!$T$21="Roche Lobe Overflow",POWER(Upgrades!$U$21,M372),1))*POWER(Upgrades!$R$13,E372)*POWER(Upgrades!$R$14,F372)*POWER(Upgrades!$R$15,G372)*POWER(Upgrades!$R$16,H372)*POWER(Upgrades!$R$17,I372)*POWER(Upgrades!$R$18,J372)*POWER(Upgrades!$R$19,K372)*POWER(Upgrades!$R$20,L372)*POWER(Upgrades!$R$21,M372)*$H$6)*O372)*0.10)/AO372,0)</f>
        <v/>
      </c>
      <c r="BD372" s="32">
        <f>MAX(IF(J372&gt;0,0,IFERROR(0.5*((IF(G372=0,0,(Upgrades!$J$15+G372*Upgrades!$K$15)*POWER(Upgrades!$L$15,G372)))*(IF(Upgrades!$T$13="Microlensing",POWER(Upgrades!$U$13,E372),1)*IF(Upgrades!$T$14="Microlensing",POWER(Upgrades!$U$14,F372),1)*IF(Upgrades!$T$16="Microlensing",POWER(Upgrades!$U$16,H372),1)*IF(Upgrades!$T$17="Microlensing",POWER(Upgrades!$U$17,I372),1)*IF(Upgrades!$T$18="Microlensing",POWER(Upgrades!$U$18,J372),1)*IF(Upgrades!$T$19="Microlensing",POWER(Upgrades!$U$19,K372),1)*IF(Upgrades!$T$20="Microlensing",POWER(Upgrades!$U$20,L372),1)*IF(Upgrades!$T$21="Microlensing",POWER(Upgrades!$U$21,M372),1))*(POWER(Upgrades!$Q$13,E372)*POWER(Upgrades!$Q$14,F372)*POWER(Upgrades!$Q$15,G372)*POWER(Upgrades!$Q$16,H372)*POWER(Upgrades!$Q$17,I372)*POWER(Upgrades!$Q$18,J372)*POWER(Upgrades!$Q$19,K372)*POWER(Upgrades!$Q$20,L372)*POWER(Upgrades!$Q$21,M372))*$G$6*(Parameters!$B$10/60*Parameters!$B$11+Q372))/Upgrades!$C$18,0)),IF(K372&gt;0,0,IFERROR(0.30*P372/Upgrades!$C$19,0)),IF(L372&gt;0,0,IFERROR(0.0001/Upgrades!$C$20,0)),IF(M372&gt;0,0,IFERROR((6.0*(POWER(Upgrades!$P$13,E372)*POWER(Upgrades!$P$14,F372)*POWER(Upgrades!$P$15,G372)*POWER(Upgrades!$P$16,H372)*POWER(Upgrades!$P$17,I372)*POWER(Upgrades!$P$18,J372)*POWER(Upgrades!$P$19,K372)*POWER(Upgrades!$P$20,L372)*POWER(Upgrades!$P$21,M372))*$F$6+0.20*O372*(Parameters!$B$10/60*Parameters!$B$11+Q372))/Upgrades!$C$21,0)),IF(AND(ISNUMBER(AK372),AK372&gt;(C372+T372)),AY372,0),IF(AND(ISNUMBER(AL372),AL372&gt;(C372+T372)),AZ372,0),IF(AND(ISNUMBER(AM372),AM372&gt;(C372+T372)),BA372,0),IF(AND(ISNUMBER(AN372),AN372&gt;(C372+T372)),BB372,0),IF(AND(ISNUMBER(AO372),AO372&gt;(C372+T372)),BC372,0))</f>
        <v/>
      </c>
      <c r="BE372" s="29">
        <f>IF(AT372=1,"transition",IF(MIN(IF(AND(J372=0,ISNUMBER(AP372),AP372&lt;=(C372+T372)),AP372,9E15),IF(AND(K372=0,ISNUMBER(AQ372),AQ372&lt;=(C372+T372)),AQ372,9E15),IF(AND(L372=0,ISNUMBER(AR372),AR372&lt;=(C372+T372)),AR372,9E15),IF(AND(M372=0,ISNUMBER(AS372),AS372&lt;=(C372+T372)),AS372,9E15))&lt;9E15,IF(AND(AND(J372=0,ISNUMBER(AP372),AP372&lt;=(C372+T372)),AP372=MIN(IF(AND(J372=0,ISNUMBER(AP372),AP372&lt;=(C372+T372)),AP372,9E15),IF(AND(K372=0,ISNUMBER(AQ372),AQ372&lt;=(C372+T372)),AQ372,9E15),IF(AND(L372=0,ISNUMBER(AR372),AR372&lt;=(C372+T372)),AR372,9E15),IF(AND(M372=0,ISNUMBER(AS372),AS372&lt;=(C372+T372)),AS372,9E15))),"BiP",IF(AND(AND(K372=0,ISNUMBER(AQ372),AQ372&lt;=(C372+T372)),AQ372=MIN(IF(AND(J372=0,ISNUMBER(AP372),AP372&lt;=(C372+T372)),AP372,9E15),IF(AND(K372=0,ISNUMBER(AQ372),AQ372&lt;=(C372+T372)),AQ372,9E15),IF(AND(L372=0,ISNUMBER(AR372),AR372&lt;=(C372+T372)),AR372,9E15),IF(AND(M372=0,ISNUMBER(AS372),AS372&lt;=(C372+T372)),AS372,9E15))),"PV",IF(AND(AND(L372=0,ISNUMBER(AR372),AR372&lt;=(C372+T372)),AR372=MIN(IF(AND(J372=0,ISNUMBER(AP372),AP372&lt;=(C372+T372)),AP372,9E15),IF(AND(K372=0,ISNUMBER(AQ372),AQ372&lt;=(C372+T372)),AQ372,9E15),IF(AND(L372=0,ISNUMBER(AR372),AR372&lt;=(C372+T372)),AR372,9E15),IF(AND(M372=0,ISNUMBER(AS372),AS372&lt;=(C372+T372)),AS372,9E15))),"OC","MG"))),IF(AX372=TRUE,"",IF(MAX(IF(AND(NOT(AND(AU372=1,AT372&lt;&gt;1)),ISNUMBER(AK372),AK372&lt;=(C372+T372)),AY372,0),IF(AND(NOT(AND(AU372=1,AT372&lt;&gt;1)),ISNUMBER(AL372),AL372&lt;=(C372+T372)),AZ372,0),IF(AND(NOT(AND(AU372=1,AT372&lt;&gt;1)),ISNUMBER(AM372),AM372&lt;=(C372+T372)),BA372,0),IF(AND(NOT(AND(AU372=1,AT372&lt;&gt;1)),ISNUMBER(AN372),AN372&lt;=(C372+T372)),BB372,0),IF(AND(ISNUMBER(AO372),AO372&lt;=(C372+T372)),BC372,0))&lt;=0,"",IF(AND(IF(AND(NOT(AND(AU372=1,AT372&lt;&gt;1)),ISNUMBER(AK372),AK372&lt;=(C372+T372)),AY372,0)&gt;0,IF(AND(NOT(AND(AU372=1,AT372&lt;&gt;1)),ISNUMBER(AK372),AK372&lt;=(C372+T372)),AY372,0)=MAX(IF(AND(NOT(AND(AU372=1,AT372&lt;&gt;1)),ISNUMBER(AK372),AK372&lt;=(C372+T372)),AY372,0),IF(AND(NOT(AND(AU372=1,AT372&lt;&gt;1)),ISNUMBER(AL372),AL372&lt;=(C372+T372)),AZ372,0),IF(AND(NOT(AND(AU372=1,AT372&lt;&gt;1)),ISNUMBER(AM372),AM372&lt;=(C372+T372)),BA372,0),IF(AND(NOT(AND(AU372=1,AT372&lt;&gt;1)),ISNUMBER(AN372),AN372&lt;=(C372+T372)),BB372,0),IF(AND(ISNUMBER(AO372),AO372&lt;=(C372+T372)),BC372,0))),"SK",IF(AND(IF(AND(NOT(AND(AU372=1,AT372&lt;&gt;1)),ISNUMBER(AL372),AL372&lt;=(C372+T372)),AZ372,0)&gt;0,IF(AND(NOT(AND(AU372=1,AT372&lt;&gt;1)),ISNUMBER(AL372),AL372&lt;=(C372+T372)),AZ372,0)=MAX(IF(AND(NOT(AND(AU372=1,AT372&lt;&gt;1)),ISNUMBER(AK372),AK372&lt;=(C372+T372)),AY372,0),IF(AND(NOT(AND(AU372=1,AT372&lt;&gt;1)),ISNUMBER(AL372),AL372&lt;=(C372+T372)),AZ372,0),IF(AND(NOT(AND(AU372=1,AT372&lt;&gt;1)),ISNUMBER(AM372),AM372&lt;=(C372+T372)),BA372,0),IF(AND(NOT(AND(AU372=1,AT372&lt;&gt;1)),ISNUMBER(AN372),AN372&lt;=(C372+T372)),BB372,0),IF(AND(ISNUMBER(AO372),AO372&lt;=(C372+T372)),BC372,0))),"LB",IF(AND(IF(AND(NOT(AND(AU372=1,AT372&lt;&gt;1)),ISNUMBER(AM372),AM372&lt;=(C372+T372)),BA372,0)&gt;0,IF(AND(NOT(AND(AU372=1,AT372&lt;&gt;1)),ISNUMBER(AM372),AM372&lt;=(C372+T372)),BA372,0)=MAX(IF(AND(NOT(AND(AU372=1,AT372&lt;&gt;1)),ISNUMBER(AK372),AK372&lt;=(C372+T372)),AY372,0),IF(AND(NOT(AND(AU372=1,AT372&lt;&gt;1)),ISNUMBER(AL372),AL372&lt;=(C372+T372)),AZ372,0),IF(AND(NOT(AND(AU372=1,AT372&lt;&gt;1)),ISNUMBER(AM372),AM372&lt;=(C372+T372)),BA372,0),IF(AND(NOT(AND(AU372=1,AT372&lt;&gt;1)),ISNUMBER(AN372),AN372&lt;=(C372+T372)),BB372,0),IF(AND(ISNUMBER(AO372),AO372&lt;=(C372+T372)),BC372,0))),"ML",IF(AND(IF(AND(NOT(AND(AU372=1,AT372&lt;&gt;1)),ISNUMBER(AN372),AN372&lt;=(C372+T372)),BB372,0)&gt;0,IF(AND(NOT(AND(AU372=1,AT372&lt;&gt;1)),ISNUMBER(AN372),AN372&lt;=(C372+T372)),BB372,0)=MAX(IF(AND(NOT(AND(AU372=1,AT372&lt;&gt;1)),ISNUMBER(AK372),AK372&lt;=(C372+T372)),AY372,0),IF(AND(NOT(AND(AU372=1,AT372&lt;&gt;1)),ISNUMBER(AL372),AL372&lt;=(C372+T372)),AZ372,0),IF(AND(NOT(AND(AU372=1,AT372&lt;&gt;1)),ISNUMBER(AM372),AM372&lt;=(C372+T372)),BA372,0),IF(AND(NOT(AND(AU372=1,AT372&lt;&gt;1)),ISNUMBER(AN372),AN372&lt;=(C372+T372)),BB372,0),IF(AND(ISNUMBER(AO372),AO372&lt;=(C372+T372)),BC372,0))),"RLO","BD"))))))))</f>
        <v/>
      </c>
    </row>
    <row r="373">
      <c r="A373" s="26" t="n">
        <v>362</v>
      </c>
      <c r="B373" s="27">
        <f>A373*10/60</f>
        <v/>
      </c>
      <c r="C373" s="22">
        <f>X372</f>
        <v/>
      </c>
      <c r="D373" s="27">
        <f>D372+W372</f>
        <v/>
      </c>
      <c r="E373" s="26">
        <f>E372+IF(U372="SK",1,0)</f>
        <v/>
      </c>
      <c r="F373" s="26">
        <f>F372+IF(U372="LB",1,0)</f>
        <v/>
      </c>
      <c r="G373" s="26">
        <f>G372+IF(U372="ML",1,0)</f>
        <v/>
      </c>
      <c r="H373" s="26">
        <f>H372+IF(U372="RLO",1,0)</f>
        <v/>
      </c>
      <c r="I373" s="26">
        <f>I372+IF(U372="BD",1,0)</f>
        <v/>
      </c>
      <c r="J373" s="26">
        <f>MAX(J372,IF(U372="BiP",1,0))</f>
        <v/>
      </c>
      <c r="K373" s="26">
        <f>MAX(K372,IF(U372="PV",1,0))</f>
        <v/>
      </c>
      <c r="L373" s="26">
        <f>MAX(L372,IF(U372="OC",1,0))</f>
        <v/>
      </c>
      <c r="M373" s="26">
        <f>MAX(M372,IF(U372="MG",1,0))</f>
        <v/>
      </c>
      <c r="N373" s="26">
        <f>MAX(N372,IF(U372="transition",1,0))</f>
        <v/>
      </c>
      <c r="O373" s="28">
        <f>(Parameters!$B$9+(IF(E373=0,0,(Upgrades!$J$13+E373*Upgrades!$K$13)*POWER(Upgrades!$L$13,E373)))*(IF(Upgrades!$T$14="Stellar Kinematics",POWER(Upgrades!$U$14,F373),1)*IF(Upgrades!$T$15="Stellar Kinematics",POWER(Upgrades!$U$15,G373),1)*IF(Upgrades!$T$16="Stellar Kinematics",POWER(Upgrades!$U$16,H373),1)*IF(Upgrades!$T$17="Stellar Kinematics",POWER(Upgrades!$U$17,I373),1)*IF(Upgrades!$T$18="Stellar Kinematics",POWER(Upgrades!$U$18,J373),1)*IF(Upgrades!$T$19="Stellar Kinematics",POWER(Upgrades!$U$19,K373),1)*IF(Upgrades!$T$20="Stellar Kinematics",POWER(Upgrades!$U$20,L373),1)*IF(Upgrades!$T$21="Stellar Kinematics",POWER(Upgrades!$U$21,M373),1))+(IF(F373=0,0,(Upgrades!$J$14+F373*Upgrades!$K$14)*POWER(Upgrades!$L$14,F373)))*(IF(Upgrades!$T$13="Local Bubble",POWER(Upgrades!$U$13,E373),1)*IF(Upgrades!$T$15="Local Bubble",POWER(Upgrades!$U$15,G373),1)*IF(Upgrades!$T$16="Local Bubble",POWER(Upgrades!$U$16,H373),1)*IF(Upgrades!$T$17="Local Bubble",POWER(Upgrades!$U$17,I373),1)*IF(Upgrades!$T$18="Local Bubble",POWER(Upgrades!$U$18,J373),1)*IF(Upgrades!$T$19="Local Bubble",POWER(Upgrades!$U$19,K373),1)*IF(Upgrades!$T$20="Local Bubble",POWER(Upgrades!$U$20,L373),1)*IF(Upgrades!$T$21="Local Bubble",POWER(Upgrades!$U$21,M373),1))+(IF(G373=0,0,(Upgrades!$J$15+G373*Upgrades!$K$15)*POWER(Upgrades!$L$15,G373)))*(IF(Upgrades!$T$13="Microlensing",POWER(Upgrades!$U$13,E373),1)*IF(Upgrades!$T$14="Microlensing",POWER(Upgrades!$U$14,F373),1)*IF(Upgrades!$T$16="Microlensing",POWER(Upgrades!$U$16,H373),1)*IF(Upgrades!$T$17="Microlensing",POWER(Upgrades!$U$17,I373),1)*IF(Upgrades!$T$18="Microlensing",POWER(Upgrades!$U$18,J373),1)*IF(Upgrades!$T$19="Microlensing",POWER(Upgrades!$U$19,K373),1)*IF(Upgrades!$T$20="Microlensing",POWER(Upgrades!$U$20,L373),1)*IF(Upgrades!$T$21="Microlensing",POWER(Upgrades!$U$21,M373),1))+(IF(H373=0,0,(Upgrades!$J$16+H373*Upgrades!$K$16)*POWER(Upgrades!$L$16,H373)))*(IF(Upgrades!$T$13="Roche Lobe Overflow",POWER(Upgrades!$U$13,E373),1)*IF(Upgrades!$T$14="Roche Lobe Overflow",POWER(Upgrades!$U$14,F373),1)*IF(Upgrades!$T$15="Roche Lobe Overflow",POWER(Upgrades!$U$15,G373),1)*IF(Upgrades!$T$17="Roche Lobe Overflow",POWER(Upgrades!$U$17,I373),1)*IF(Upgrades!$T$18="Roche Lobe Overflow",POWER(Upgrades!$U$18,J373),1)*IF(Upgrades!$T$19="Roche Lobe Overflow",POWER(Upgrades!$U$19,K373),1)*IF(Upgrades!$T$20="Roche Lobe Overflow",POWER(Upgrades!$U$20,L373),1)*IF(Upgrades!$T$21="Roche Lobe Overflow",POWER(Upgrades!$U$21,M373),1))+(IF(I373=0,0,(Upgrades!$J$17+I373*Upgrades!$K$17)*POWER(Upgrades!$L$17,I373)))*(IF(Upgrades!$T$13="Brown Dwarf",POWER(Upgrades!$U$13,E373),1)*IF(Upgrades!$T$14="Brown Dwarf",POWER(Upgrades!$U$14,F373),1)*IF(Upgrades!$T$15="Brown Dwarf",POWER(Upgrades!$U$15,G373),1)*IF(Upgrades!$T$16="Brown Dwarf",POWER(Upgrades!$U$16,H373),1)*IF(Upgrades!$T$18="Brown Dwarf",POWER(Upgrades!$U$18,J373),1)*IF(Upgrades!$T$19="Brown Dwarf",POWER(Upgrades!$U$19,K373),1)*IF(Upgrades!$T$20="Brown Dwarf",POWER(Upgrades!$U$20,L373),1)*IF(Upgrades!$T$21="Brown Dwarf",POWER(Upgrades!$U$21,M373),1))+(IF(J373=0,0,(Upgrades!$J$18+J373*Upgrades!$K$18)*POWER(Upgrades!$L$18,J373)))*(IF(Upgrades!$T$13="Binary Partner",POWER(Upgrades!$U$13,E373),1)*IF(Upgrades!$T$14="Binary Partner",POWER(Upgrades!$U$14,F373),1)*IF(Upgrades!$T$15="Binary Partner",POWER(Upgrades!$U$15,G373),1)*IF(Upgrades!$T$16="Binary Partner",POWER(Upgrades!$U$16,H373),1)*IF(Upgrades!$T$17="Binary Partner",POWER(Upgrades!$U$17,I373),1)*IF(Upgrades!$T$19="Binary Partner",POWER(Upgrades!$U$19,K373),1)*IF(Upgrades!$T$20="Binary Partner",POWER(Upgrades!$U$20,L373),1)*IF(Upgrades!$T$21="Binary Partner",POWER(Upgrades!$U$21,M373),1))+(IF(K373=0,0,(Upgrades!$J$19+K373*Upgrades!$K$19)*POWER(Upgrades!$L$19,K373)))*(IF(Upgrades!$T$13="Peculiar Velocity",POWER(Upgrades!$U$13,E373),1)*IF(Upgrades!$T$14="Peculiar Velocity",POWER(Upgrades!$U$14,F373),1)*IF(Upgrades!$T$15="Peculiar Velocity",POWER(Upgrades!$U$15,G373),1)*IF(Upgrades!$T$16="Peculiar Velocity",POWER(Upgrades!$U$16,H373),1)*IF(Upgrades!$T$17="Peculiar Velocity",POWER(Upgrades!$U$17,I373),1)*IF(Upgrades!$T$18="Peculiar Velocity",POWER(Upgrades!$U$18,J373),1)*IF(Upgrades!$T$20="Peculiar Velocity",POWER(Upgrades!$U$20,L373),1)*IF(Upgrades!$T$21="Peculiar Velocity",POWER(Upgrades!$U$21,M373),1))+(IF(L373=0,0,(Upgrades!$J$20+L373*Upgrades!$K$20)*POWER(Upgrades!$L$20,L373)))*(IF(Upgrades!$T$13="Open Cluster",POWER(Upgrades!$U$13,E373),1)*IF(Upgrades!$T$14="Open Cluster",POWER(Upgrades!$U$14,F373),1)*IF(Upgrades!$T$15="Open Cluster",POWER(Upgrades!$U$15,G373),1)*IF(Upgrades!$T$16="Open Cluster",POWER(Upgrades!$U$16,H373),1)*IF(Upgrades!$T$17="Open Cluster",POWER(Upgrades!$U$17,I373),1)*IF(Upgrades!$T$18="Open Cluster",POWER(Upgrades!$U$18,J373),1)*IF(Upgrades!$T$19="Open Cluster",POWER(Upgrades!$U$19,K373),1)*IF(Upgrades!$T$21="Open Cluster",POWER(Upgrades!$U$21,M373),1))+(IF(M373=0,0,(Upgrades!$J$21+M373*Upgrades!$K$21)*POWER(Upgrades!$L$21,M373)))*(IF(Upgrades!$T$13="Moving Group",POWER(Upgrades!$U$13,E373),1)*IF(Upgrades!$T$14="Moving Group",POWER(Upgrades!$U$14,F373),1)*IF(Upgrades!$T$15="Moving Group",POWER(Upgrades!$U$15,G373),1)*IF(Upgrades!$T$16="Moving Group",POWER(Upgrades!$U$16,H373),1)*IF(Upgrades!$T$17="Moving Group",POWER(Upgrades!$U$17,I373),1)*IF(Upgrades!$T$18="Moving Group",POWER(Upgrades!$U$18,J373),1)*IF(Upgrades!$T$19="Moving Group",POWER(Upgrades!$U$19,K373),1)*IF(Upgrades!$T$20="Moving Group",POWER(Upgrades!$U$20,L373),1)))*POWER(Upgrades!$Q$13,E373)*POWER(Upgrades!$Q$14,F373)*POWER(Upgrades!$Q$15,G373)*POWER(Upgrades!$Q$16,H373)*POWER(Upgrades!$Q$17,I373)*POWER(Upgrades!$Q$18,J373)*POWER(Upgrades!$Q$19,K373)*POWER(Upgrades!$Q$20,L373)*POWER(Upgrades!$Q$21,M373)*$G$6+$D$6</f>
        <v/>
      </c>
      <c r="P373" s="28">
        <f>((IF(E373=0,0,(Upgrades!$G$13+E373*Upgrades!$H$13)*POWER(Upgrades!$I$13,E373)))*(IF(Upgrades!$T$14="Stellar Kinematics",POWER(Upgrades!$U$14,F373),1)*IF(Upgrades!$T$15="Stellar Kinematics",POWER(Upgrades!$U$15,G373),1)*IF(Upgrades!$T$16="Stellar Kinematics",POWER(Upgrades!$U$16,H373),1)*IF(Upgrades!$T$17="Stellar Kinematics",POWER(Upgrades!$U$17,I373),1)*IF(Upgrades!$T$18="Stellar Kinematics",POWER(Upgrades!$U$18,J373),1)*IF(Upgrades!$T$19="Stellar Kinematics",POWER(Upgrades!$U$19,K373),1)*IF(Upgrades!$T$20="Stellar Kinematics",POWER(Upgrades!$U$20,L373),1)*IF(Upgrades!$T$21="Stellar Kinematics",POWER(Upgrades!$U$21,M373),1))+(IF(F373=0,0,(Upgrades!$G$14+F373*Upgrades!$H$14)*POWER(Upgrades!$I$14,F373)))*(IF(Upgrades!$T$13="Local Bubble",POWER(Upgrades!$U$13,E373),1)*IF(Upgrades!$T$15="Local Bubble",POWER(Upgrades!$U$15,G373),1)*IF(Upgrades!$T$16="Local Bubble",POWER(Upgrades!$U$16,H373),1)*IF(Upgrades!$T$17="Local Bubble",POWER(Upgrades!$U$17,I373),1)*IF(Upgrades!$T$18="Local Bubble",POWER(Upgrades!$U$18,J373),1)*IF(Upgrades!$T$19="Local Bubble",POWER(Upgrades!$U$19,K373),1)*IF(Upgrades!$T$20="Local Bubble",POWER(Upgrades!$U$20,L373),1)*IF(Upgrades!$T$21="Local Bubble",POWER(Upgrades!$U$21,M373),1))+(IF(G373=0,0,(Upgrades!$G$15+G373*Upgrades!$H$15)*POWER(Upgrades!$I$15,G373)))*(IF(Upgrades!$T$13="Microlensing",POWER(Upgrades!$U$13,E373),1)*IF(Upgrades!$T$14="Microlensing",POWER(Upgrades!$U$14,F373),1)*IF(Upgrades!$T$16="Microlensing",POWER(Upgrades!$U$16,H373),1)*IF(Upgrades!$T$17="Microlensing",POWER(Upgrades!$U$17,I373),1)*IF(Upgrades!$T$18="Microlensing",POWER(Upgrades!$U$18,J373),1)*IF(Upgrades!$T$19="Microlensing",POWER(Upgrades!$U$19,K373),1)*IF(Upgrades!$T$20="Microlensing",POWER(Upgrades!$U$20,L373),1)*IF(Upgrades!$T$21="Microlensing",POWER(Upgrades!$U$21,M373),1))+(IF(H373=0,0,(Upgrades!$G$16+H373*Upgrades!$H$16)*POWER(Upgrades!$I$16,H373)))*(IF(Upgrades!$T$13="Roche Lobe Overflow",POWER(Upgrades!$U$13,E373),1)*IF(Upgrades!$T$14="Roche Lobe Overflow",POWER(Upgrades!$U$14,F373),1)*IF(Upgrades!$T$15="Roche Lobe Overflow",POWER(Upgrades!$U$15,G373),1)*IF(Upgrades!$T$17="Roche Lobe Overflow",POWER(Upgrades!$U$17,I373),1)*IF(Upgrades!$T$18="Roche Lobe Overflow",POWER(Upgrades!$U$18,J373),1)*IF(Upgrades!$T$19="Roche Lobe Overflow",POWER(Upgrades!$U$19,K373),1)*IF(Upgrades!$T$20="Roche Lobe Overflow",POWER(Upgrades!$U$20,L373),1)*IF(Upgrades!$T$21="Roche Lobe Overflow",POWER(Upgrades!$U$21,M373),1))+(IF(I373=0,0,(Upgrades!$G$17+I373*Upgrades!$H$17)*POWER(Upgrades!$I$17,I373)))*(IF(Upgrades!$T$13="Brown Dwarf",POWER(Upgrades!$U$13,E373),1)*IF(Upgrades!$T$14="Brown Dwarf",POWER(Upgrades!$U$14,F373),1)*IF(Upgrades!$T$15="Brown Dwarf",POWER(Upgrades!$U$15,G373),1)*IF(Upgrades!$T$16="Brown Dwarf",POWER(Upgrades!$U$16,H373),1)*IF(Upgrades!$T$18="Brown Dwarf",POWER(Upgrades!$U$18,J373),1)*IF(Upgrades!$T$19="Brown Dwarf",POWER(Upgrades!$U$19,K373),1)*IF(Upgrades!$T$20="Brown Dwarf",POWER(Upgrades!$U$20,L373),1)*IF(Upgrades!$T$21="Brown Dwarf",POWER(Upgrades!$U$21,M373),1))+(IF(J373=0,0,(Upgrades!$G$18+J373*Upgrades!$H$18)*POWER(Upgrades!$I$18,J373)))*(IF(Upgrades!$T$13="Binary Partner",POWER(Upgrades!$U$13,E373),1)*IF(Upgrades!$T$14="Binary Partner",POWER(Upgrades!$U$14,F373),1)*IF(Upgrades!$T$15="Binary Partner",POWER(Upgrades!$U$15,G373),1)*IF(Upgrades!$T$16="Binary Partner",POWER(Upgrades!$U$16,H373),1)*IF(Upgrades!$T$17="Binary Partner",POWER(Upgrades!$U$17,I373),1)*IF(Upgrades!$T$19="Binary Partner",POWER(Upgrades!$U$19,K373),1)*IF(Upgrades!$T$20="Binary Partner",POWER(Upgrades!$U$20,L373),1)*IF(Upgrades!$T$21="Binary Partner",POWER(Upgrades!$U$21,M373),1))+(IF(K373=0,0,(Upgrades!$G$19+K373*Upgrades!$H$19)*POWER(Upgrades!$I$19,K373)))*(IF(Upgrades!$T$13="Peculiar Velocity",POWER(Upgrades!$U$13,E373),1)*IF(Upgrades!$T$14="Peculiar Velocity",POWER(Upgrades!$U$14,F373),1)*IF(Upgrades!$T$15="Peculiar Velocity",POWER(Upgrades!$U$15,G373),1)*IF(Upgrades!$T$16="Peculiar Velocity",POWER(Upgrades!$U$16,H373),1)*IF(Upgrades!$T$17="Peculiar Velocity",POWER(Upgrades!$U$17,I373),1)*IF(Upgrades!$T$18="Peculiar Velocity",POWER(Upgrades!$U$18,J373),1)*IF(Upgrades!$T$20="Peculiar Velocity",POWER(Upgrades!$U$20,L373),1)*IF(Upgrades!$T$21="Peculiar Velocity",POWER(Upgrades!$U$21,M373),1))+(IF(L373=0,0,(Upgrades!$G$20+L373*Upgrades!$H$20)*POWER(Upgrades!$I$20,L373)))*(IF(Upgrades!$T$13="Open Cluster",POWER(Upgrades!$U$13,E373),1)*IF(Upgrades!$T$14="Open Cluster",POWER(Upgrades!$U$14,F373),1)*IF(Upgrades!$T$15="Open Cluster",POWER(Upgrades!$U$15,G373),1)*IF(Upgrades!$T$16="Open Cluster",POWER(Upgrades!$U$16,H373),1)*IF(Upgrades!$T$17="Open Cluster",POWER(Upgrades!$U$17,I373),1)*IF(Upgrades!$T$18="Open Cluster",POWER(Upgrades!$U$18,J373),1)*IF(Upgrades!$T$19="Open Cluster",POWER(Upgrades!$U$19,K373),1)*IF(Upgrades!$T$21="Open Cluster",POWER(Upgrades!$U$21,M373),1))+(IF(M373=0,0,(Upgrades!$G$21+M373*Upgrades!$H$21)*POWER(Upgrades!$I$21,M373)))*(IF(Upgrades!$T$13="Moving Group",POWER(Upgrades!$U$13,E373),1)*IF(Upgrades!$T$14="Moving Group",POWER(Upgrades!$U$14,F373),1)*IF(Upgrades!$T$15="Moving Group",POWER(Upgrades!$U$15,G373),1)*IF(Upgrades!$T$16="Moving Group",POWER(Upgrades!$U$16,H373),1)*IF(Upgrades!$T$17="Moving Group",POWER(Upgrades!$U$17,I373),1)*IF(Upgrades!$T$18="Moving Group",POWER(Upgrades!$U$18,J373),1)*IF(Upgrades!$T$19="Moving Group",POWER(Upgrades!$U$19,K373),1)*IF(Upgrades!$T$20="Moving Group",POWER(Upgrades!$U$20,L373),1)))*POWER(Upgrades!$P$13,E373)*POWER(Upgrades!$P$14,F373)*POWER(Upgrades!$P$15,G373)*POWER(Upgrades!$P$16,H373)*POWER(Upgrades!$P$17,I373)*POWER(Upgrades!$P$18,J373)*POWER(Upgrades!$P$19,K373)*POWER(Upgrades!$P$20,L373)*POWER(Upgrades!$P$21,M373)*$F$6+$C$6</f>
        <v/>
      </c>
      <c r="Q373" s="28">
        <f>((IF(E373=0,0,(Upgrades!$M$13+E373*Upgrades!$N$13)*POWER(Upgrades!$O$13,E373)))*(IF(Upgrades!$T$14="Stellar Kinematics",POWER(Upgrades!$U$14,F373),1)*IF(Upgrades!$T$15="Stellar Kinematics",POWER(Upgrades!$U$15,G373),1)*IF(Upgrades!$T$16="Stellar Kinematics",POWER(Upgrades!$U$16,H373),1)*IF(Upgrades!$T$17="Stellar Kinematics",POWER(Upgrades!$U$17,I373),1)*IF(Upgrades!$T$18="Stellar Kinematics",POWER(Upgrades!$U$18,J373),1)*IF(Upgrades!$T$19="Stellar Kinematics",POWER(Upgrades!$U$19,K373),1)*IF(Upgrades!$T$20="Stellar Kinematics",POWER(Upgrades!$U$20,L373),1)*IF(Upgrades!$T$21="Stellar Kinematics",POWER(Upgrades!$U$21,M373),1))+(IF(F373=0,0,(Upgrades!$M$14+F373*Upgrades!$N$14)*POWER(Upgrades!$O$14,F373)))*(IF(Upgrades!$T$13="Local Bubble",POWER(Upgrades!$U$13,E373),1)*IF(Upgrades!$T$15="Local Bubble",POWER(Upgrades!$U$15,G373),1)*IF(Upgrades!$T$16="Local Bubble",POWER(Upgrades!$U$16,H373),1)*IF(Upgrades!$T$17="Local Bubble",POWER(Upgrades!$U$17,I373),1)*IF(Upgrades!$T$18="Local Bubble",POWER(Upgrades!$U$18,J373),1)*IF(Upgrades!$T$19="Local Bubble",POWER(Upgrades!$U$19,K373),1)*IF(Upgrades!$T$20="Local Bubble",POWER(Upgrades!$U$20,L373),1)*IF(Upgrades!$T$21="Local Bubble",POWER(Upgrades!$U$21,M373),1))+(IF(G373=0,0,(Upgrades!$M$15+G373*Upgrades!$N$15)*POWER(Upgrades!$O$15,G373)))*(IF(Upgrades!$T$13="Microlensing",POWER(Upgrades!$U$13,E373),1)*IF(Upgrades!$T$14="Microlensing",POWER(Upgrades!$U$14,F373),1)*IF(Upgrades!$T$16="Microlensing",POWER(Upgrades!$U$16,H373),1)*IF(Upgrades!$T$17="Microlensing",POWER(Upgrades!$U$17,I373),1)*IF(Upgrades!$T$18="Microlensing",POWER(Upgrades!$U$18,J373),1)*IF(Upgrades!$T$19="Microlensing",POWER(Upgrades!$U$19,K373),1)*IF(Upgrades!$T$20="Microlensing",POWER(Upgrades!$U$20,L373),1)*IF(Upgrades!$T$21="Microlensing",POWER(Upgrades!$U$21,M373),1))+(IF(H373=0,0,(Upgrades!$M$16+H373*Upgrades!$N$16)*POWER(Upgrades!$O$16,H373)))*(IF(Upgrades!$T$13="Roche Lobe Overflow",POWER(Upgrades!$U$13,E373),1)*IF(Upgrades!$T$14="Roche Lobe Overflow",POWER(Upgrades!$U$14,F373),1)*IF(Upgrades!$T$15="Roche Lobe Overflow",POWER(Upgrades!$U$15,G373),1)*IF(Upgrades!$T$17="Roche Lobe Overflow",POWER(Upgrades!$U$17,I373),1)*IF(Upgrades!$T$18="Roche Lobe Overflow",POWER(Upgrades!$U$18,J373),1)*IF(Upgrades!$T$19="Roche Lobe Overflow",POWER(Upgrades!$U$19,K373),1)*IF(Upgrades!$T$20="Roche Lobe Overflow",POWER(Upgrades!$U$20,L373),1)*IF(Upgrades!$T$21="Roche Lobe Overflow",POWER(Upgrades!$U$21,M373),1))+(IF(I373=0,0,(Upgrades!$M$17+I373*Upgrades!$N$17)*POWER(Upgrades!$O$17,I373)))*(IF(Upgrades!$T$13="Brown Dwarf",POWER(Upgrades!$U$13,E373),1)*IF(Upgrades!$T$14="Brown Dwarf",POWER(Upgrades!$U$14,F373),1)*IF(Upgrades!$T$15="Brown Dwarf",POWER(Upgrades!$U$15,G373),1)*IF(Upgrades!$T$16="Brown Dwarf",POWER(Upgrades!$U$16,H373),1)*IF(Upgrades!$T$18="Brown Dwarf",POWER(Upgrades!$U$18,J373),1)*IF(Upgrades!$T$19="Brown Dwarf",POWER(Upgrades!$U$19,K373),1)*IF(Upgrades!$T$20="Brown Dwarf",POWER(Upgrades!$U$20,L373),1)*IF(Upgrades!$T$21="Brown Dwarf",POWER(Upgrades!$U$21,M373),1))+(IF(J373=0,0,(Upgrades!$M$18+J373*Upgrades!$N$18)*POWER(Upgrades!$O$18,J373)))*(IF(Upgrades!$T$13="Binary Partner",POWER(Upgrades!$U$13,E373),1)*IF(Upgrades!$T$14="Binary Partner",POWER(Upgrades!$U$14,F373),1)*IF(Upgrades!$T$15="Binary Partner",POWER(Upgrades!$U$15,G373),1)*IF(Upgrades!$T$16="Binary Partner",POWER(Upgrades!$U$16,H373),1)*IF(Upgrades!$T$17="Binary Partner",POWER(Upgrades!$U$17,I373),1)*IF(Upgrades!$T$19="Binary Partner",POWER(Upgrades!$U$19,K373),1)*IF(Upgrades!$T$20="Binary Partner",POWER(Upgrades!$U$20,L373),1)*IF(Upgrades!$T$21="Binary Partner",POWER(Upgrades!$U$21,M373),1))+(IF(K373=0,0,(Upgrades!$M$19+K373*Upgrades!$N$19)*POWER(Upgrades!$O$19,K373)))*(IF(Upgrades!$T$13="Peculiar Velocity",POWER(Upgrades!$U$13,E373),1)*IF(Upgrades!$T$14="Peculiar Velocity",POWER(Upgrades!$U$14,F373),1)*IF(Upgrades!$T$15="Peculiar Velocity",POWER(Upgrades!$U$15,G373),1)*IF(Upgrades!$T$16="Peculiar Velocity",POWER(Upgrades!$U$16,H373),1)*IF(Upgrades!$T$17="Peculiar Velocity",POWER(Upgrades!$U$17,I373),1)*IF(Upgrades!$T$18="Peculiar Velocity",POWER(Upgrades!$U$18,J373),1)*IF(Upgrades!$T$20="Peculiar Velocity",POWER(Upgrades!$U$20,L373),1)*IF(Upgrades!$T$21="Peculiar Velocity",POWER(Upgrades!$U$21,M373),1))+(IF(L373=0,0,(Upgrades!$M$20+L373*Upgrades!$N$20)*POWER(Upgrades!$O$20,L373)))*(IF(Upgrades!$T$13="Open Cluster",POWER(Upgrades!$U$13,E373),1)*IF(Upgrades!$T$14="Open Cluster",POWER(Upgrades!$U$14,F373),1)*IF(Upgrades!$T$15="Open Cluster",POWER(Upgrades!$U$15,G373),1)*IF(Upgrades!$T$16="Open Cluster",POWER(Upgrades!$U$16,H373),1)*IF(Upgrades!$T$17="Open Cluster",POWER(Upgrades!$U$17,I373),1)*IF(Upgrades!$T$18="Open Cluster",POWER(Upgrades!$U$18,J373),1)*IF(Upgrades!$T$19="Open Cluster",POWER(Upgrades!$U$19,K373),1)*IF(Upgrades!$T$21="Open Cluster",POWER(Upgrades!$U$21,M373),1))+(IF(M373=0,0,(Upgrades!$M$21+M373*Upgrades!$N$21)*POWER(Upgrades!$O$21,M373)))*(IF(Upgrades!$T$13="Moving Group",POWER(Upgrades!$U$13,E373),1)*IF(Upgrades!$T$14="Moving Group",POWER(Upgrades!$U$14,F373),1)*IF(Upgrades!$T$15="Moving Group",POWER(Upgrades!$U$15,G373),1)*IF(Upgrades!$T$16="Moving Group",POWER(Upgrades!$U$16,H373),1)*IF(Upgrades!$T$17="Moving Group",POWER(Upgrades!$U$17,I373),1)*IF(Upgrades!$T$18="Moving Group",POWER(Upgrades!$U$18,J373),1)*IF(Upgrades!$T$19="Moving Group",POWER(Upgrades!$U$19,K373),1)*IF(Upgrades!$T$20="Moving Group",POWER(Upgrades!$U$20,L373),1)))*POWER(Upgrades!$R$13,E373)*POWER(Upgrades!$R$14,F373)*POWER(Upgrades!$R$15,G373)*POWER(Upgrades!$R$16,H373)*POWER(Upgrades!$R$17,I373)*POWER(Upgrades!$R$18,J373)*POWER(Upgrades!$R$19,K373)*POWER(Upgrades!$R$20,L373)*POWER(Upgrades!$R$21,M373)*$H$6+$E$6</f>
        <v/>
      </c>
      <c r="R373" s="27">
        <f>IF(N373=1,0,O373*Parameters!$B$10/60*Parameters!$B$11*10)</f>
        <v/>
      </c>
      <c r="S373" s="27">
        <f>IF(N373=1,0,Q373*O373*10)</f>
        <v/>
      </c>
      <c r="T373" s="27">
        <f>IF(N373=1,0,R373+S373+P373*10)</f>
        <v/>
      </c>
      <c r="U373" s="33">
        <f>BE373</f>
        <v/>
      </c>
      <c r="V373" s="22">
        <f>IF(U373="",0,IF(U373="transition",0,IF(U373="SK",AK373,IF(U373="LB",AL373,IF(U373="ML",AM373,IF(U373="RLO",AN373,IF(U373="BD",AO373,IF(U373="BiP",AP373,IF(U373="PV",AQ373,IF(U373="OC",AR373,IF(U373="MG",AS373,0))))))))))</f>
        <v/>
      </c>
      <c r="W373" s="27">
        <f>IF(U373="BiP",Upgrades!$F$18,IF(U373="PV",Upgrades!$F$19,IF(U373="OC",Upgrades!$F$20,IF(U373="MG",Upgrades!$F$21,IF(U373="transition",-Parameters!$B$18*Parameters!$B$19,0)))))</f>
        <v/>
      </c>
      <c r="X373" s="22">
        <f>C373+T373-V373</f>
        <v/>
      </c>
      <c r="Y373" s="30">
        <f>O373*Parameters!$B$10/60*Parameters!$B$11+Q373*O373+P373</f>
        <v/>
      </c>
      <c r="Z373" s="34">
        <f>IF(U373="transition","→ Tier 3 (Galactic Arm)",IF(U373="MG","Moving Group — pocket drifts together",IF(U373="OC","Open Cluster acquired",IF(U373="PV","Peculiar Velocity — passive multiplier active",IF(U373="BiP","Binary Partner — pair bond formed",IF(AND(AU373=1,N373=0,AT373&lt;&gt;1),"Cohesion ready (waiting on completionists)","")))))) </f>
        <v/>
      </c>
      <c r="AA373" s="27">
        <f>(IF(E373=0,0,(Upgrades!$G$13+E373*Upgrades!$H$13)*POWER(Upgrades!$I$13,E373)))*(IF(Upgrades!$T$14="Stellar Kinematics",POWER(Upgrades!$U$14,F373),1)*IF(Upgrades!$T$15="Stellar Kinematics",POWER(Upgrades!$U$15,G373),1)*IF(Upgrades!$T$16="Stellar Kinematics",POWER(Upgrades!$U$16,H373),1)*IF(Upgrades!$T$17="Stellar Kinematics",POWER(Upgrades!$U$17,I373),1)*IF(Upgrades!$T$18="Stellar Kinematics",POWER(Upgrades!$U$18,J373),1)*IF(Upgrades!$T$19="Stellar Kinematics",POWER(Upgrades!$U$19,K373),1)*IF(Upgrades!$T$20="Stellar Kinematics",POWER(Upgrades!$U$20,L373),1)*IF(Upgrades!$T$21="Stellar Kinematics",POWER(Upgrades!$U$21,M373),1))*POWER(Upgrades!$P$13,E373)*POWER(Upgrades!$P$14,F373)*POWER(Upgrades!$P$15,G373)*POWER(Upgrades!$P$16,H373)*POWER(Upgrades!$P$17,I373)*POWER(Upgrades!$P$18,J373)*POWER(Upgrades!$P$19,K373)*POWER(Upgrades!$P$20,L373)*POWER(Upgrades!$P$21,M373)*$F$6*60</f>
        <v/>
      </c>
      <c r="AB373" s="27">
        <f>(IF(F373=0,0,(Upgrades!$G$14+F373*Upgrades!$H$14)*POWER(Upgrades!$I$14,F373)))*(IF(Upgrades!$T$13="Local Bubble",POWER(Upgrades!$U$13,E373),1)*IF(Upgrades!$T$15="Local Bubble",POWER(Upgrades!$U$15,G373),1)*IF(Upgrades!$T$16="Local Bubble",POWER(Upgrades!$U$16,H373),1)*IF(Upgrades!$T$17="Local Bubble",POWER(Upgrades!$U$17,I373),1)*IF(Upgrades!$T$18="Local Bubble",POWER(Upgrades!$U$18,J373),1)*IF(Upgrades!$T$19="Local Bubble",POWER(Upgrades!$U$19,K373),1)*IF(Upgrades!$T$20="Local Bubble",POWER(Upgrades!$U$20,L373),1)*IF(Upgrades!$T$21="Local Bubble",POWER(Upgrades!$U$21,M373),1))*POWER(Upgrades!$P$13,E373)*POWER(Upgrades!$P$14,F373)*POWER(Upgrades!$P$15,G373)*POWER(Upgrades!$P$16,H373)*POWER(Upgrades!$P$17,I373)*POWER(Upgrades!$P$18,J373)*POWER(Upgrades!$P$19,K373)*POWER(Upgrades!$P$20,L373)*POWER(Upgrades!$P$21,M373)*$F$6*60</f>
        <v/>
      </c>
      <c r="AC373" s="27">
        <f>(IF(G373=0,0,(Upgrades!$J$15+G373*Upgrades!$K$15)*POWER(Upgrades!$L$15,G373)))*(IF(Upgrades!$T$13="Microlensing",POWER(Upgrades!$U$13,E373),1)*IF(Upgrades!$T$14="Microlensing",POWER(Upgrades!$U$14,F373),1)*IF(Upgrades!$T$16="Microlensing",POWER(Upgrades!$U$16,H373),1)*IF(Upgrades!$T$17="Microlensing",POWER(Upgrades!$U$17,I373),1)*IF(Upgrades!$T$18="Microlensing",POWER(Upgrades!$U$18,J373),1)*IF(Upgrades!$T$19="Microlensing",POWER(Upgrades!$U$19,K373),1)*IF(Upgrades!$T$20="Microlensing",POWER(Upgrades!$U$20,L373),1)*IF(Upgrades!$T$21="Microlensing",POWER(Upgrades!$U$21,M373),1))*POWER(Upgrades!$Q$13,E373)*POWER(Upgrades!$Q$14,F373)*POWER(Upgrades!$Q$15,G373)*POWER(Upgrades!$Q$16,H373)*POWER(Upgrades!$Q$17,I373)*POWER(Upgrades!$Q$18,J373)*POWER(Upgrades!$Q$19,K373)*POWER(Upgrades!$Q$20,L373)*POWER(Upgrades!$Q$21,M373)*$G$6*(Parameters!$B$10*Parameters!$B$11+Q373*60)</f>
        <v/>
      </c>
      <c r="AD373" s="27">
        <f>(IF(H373=0,0,(Upgrades!$M$16+H373*Upgrades!$N$16)*POWER(Upgrades!$O$16,H373)))*(IF(Upgrades!$T$13="Roche Lobe Overflow",POWER(Upgrades!$U$13,E373),1)*IF(Upgrades!$T$14="Roche Lobe Overflow",POWER(Upgrades!$U$14,F373),1)*IF(Upgrades!$T$15="Roche Lobe Overflow",POWER(Upgrades!$U$15,G373),1)*IF(Upgrades!$T$17="Roche Lobe Overflow",POWER(Upgrades!$U$17,I373),1)*IF(Upgrades!$T$18="Roche Lobe Overflow",POWER(Upgrades!$U$18,J373),1)*IF(Upgrades!$T$19="Roche Lobe Overflow",POWER(Upgrades!$U$19,K373),1)*IF(Upgrades!$T$20="Roche Lobe Overflow",POWER(Upgrades!$U$20,L373),1)*IF(Upgrades!$T$21="Roche Lobe Overflow",POWER(Upgrades!$U$21,M373),1))*POWER(Upgrades!$R$13,E373)*POWER(Upgrades!$R$14,F373)*POWER(Upgrades!$R$15,G373)*POWER(Upgrades!$R$16,H373)*POWER(Upgrades!$R$17,I373)*POWER(Upgrades!$R$18,J373)*POWER(Upgrades!$R$19,K373)*POWER(Upgrades!$R$20,L373)*POWER(Upgrades!$R$21,M373)*$H$6*O373*60</f>
        <v/>
      </c>
      <c r="AE373" s="27">
        <f>(IF(I373=0,0,(Upgrades!$G$17+I373*Upgrades!$H$17)*POWER(Upgrades!$I$17,I373)))*(IF(Upgrades!$T$13="Brown Dwarf",POWER(Upgrades!$U$13,E373),1)*IF(Upgrades!$T$14="Brown Dwarf",POWER(Upgrades!$U$14,F373),1)*IF(Upgrades!$T$15="Brown Dwarf",POWER(Upgrades!$U$15,G373),1)*IF(Upgrades!$T$16="Brown Dwarf",POWER(Upgrades!$U$16,H373),1)*IF(Upgrades!$T$18="Brown Dwarf",POWER(Upgrades!$U$18,J373),1)*IF(Upgrades!$T$19="Brown Dwarf",POWER(Upgrades!$U$19,K373),1)*IF(Upgrades!$T$20="Brown Dwarf",POWER(Upgrades!$U$20,L373),1)*IF(Upgrades!$T$21="Brown Dwarf",POWER(Upgrades!$U$21,M373),1))*POWER(Upgrades!$P$13,E373)*POWER(Upgrades!$P$14,F373)*POWER(Upgrades!$P$15,G373)*POWER(Upgrades!$P$16,H373)*POWER(Upgrades!$P$17,I373)*POWER(Upgrades!$P$18,J373)*POWER(Upgrades!$P$19,K373)*POWER(Upgrades!$P$20,L373)*POWER(Upgrades!$P$21,M373)*$F$6*60</f>
        <v/>
      </c>
      <c r="AF373" s="27" t="n">
        <v>0</v>
      </c>
      <c r="AG373" s="27" t="n">
        <v>0</v>
      </c>
      <c r="AH373" s="27" t="n">
        <v>0</v>
      </c>
      <c r="AI373" s="27">
        <f>(IF(M373=0,0,(Upgrades!$G$21+M373*Upgrades!$H$21)*POWER(Upgrades!$I$21,M373)))*(IF(Upgrades!$T$13="Moving Group",POWER(Upgrades!$U$13,E373),1)*IF(Upgrades!$T$14="Moving Group",POWER(Upgrades!$U$14,F373),1)*IF(Upgrades!$T$15="Moving Group",POWER(Upgrades!$U$15,G373),1)*IF(Upgrades!$T$16="Moving Group",POWER(Upgrades!$U$16,H373),1)*IF(Upgrades!$T$17="Moving Group",POWER(Upgrades!$U$17,I373),1)*IF(Upgrades!$T$18="Moving Group",POWER(Upgrades!$U$18,J373),1)*IF(Upgrades!$T$19="Moving Group",POWER(Upgrades!$U$19,K373),1)*IF(Upgrades!$T$20="Moving Group",POWER(Upgrades!$U$20,L373),1))*POWER(Upgrades!$P$13,E373)*POWER(Upgrades!$P$14,F373)*POWER(Upgrades!$P$15,G373)*POWER(Upgrades!$P$16,H373)*POWER(Upgrades!$P$17,I373)*POWER(Upgrades!$P$18,J373)*POWER(Upgrades!$P$19,K373)*POWER(Upgrades!$P$20,L373)*POWER(Upgrades!$P$21,M373)*$F$6*60</f>
        <v/>
      </c>
      <c r="AJ373" s="27">
        <f>$C$6*60</f>
        <v/>
      </c>
      <c r="AK373" s="22">
        <f>IF(E373&gt;=Upgrades!$E$13,"",Upgrades!$C$13*POWER(Upgrades!$D$13,E373))</f>
        <v/>
      </c>
      <c r="AL373" s="22">
        <f>IF(F373&gt;=Upgrades!$E$14,"",Upgrades!$C$14*POWER(Upgrades!$D$14,F373))</f>
        <v/>
      </c>
      <c r="AM373" s="22">
        <f>IF(G373&gt;=Upgrades!$E$15,"",Upgrades!$C$15*POWER(Upgrades!$D$15,G373))</f>
        <v/>
      </c>
      <c r="AN373" s="22">
        <f>IF(H373&gt;=Upgrades!$E$16,"",Upgrades!$C$16*POWER(Upgrades!$D$16,H373))</f>
        <v/>
      </c>
      <c r="AO373" s="22">
        <f>IF(I373&gt;=Upgrades!$E$17,"",Upgrades!$C$17*POWER(Upgrades!$D$17,I373))</f>
        <v/>
      </c>
      <c r="AP373" s="22">
        <f>IF(J373&gt;=Upgrades!$E$18,"",Upgrades!$C$18*POWER(Upgrades!$D$18,J373))</f>
        <v/>
      </c>
      <c r="AQ373" s="22">
        <f>IF(K373&gt;=Upgrades!$E$19,"",Upgrades!$C$19*POWER(Upgrades!$D$19,K373))</f>
        <v/>
      </c>
      <c r="AR373" s="22">
        <f>IF(L373&gt;=Upgrades!$E$20,"",Upgrades!$C$20*POWER(Upgrades!$D$20,L373))</f>
        <v/>
      </c>
      <c r="AS373" s="22">
        <f>IF(M373&gt;=Upgrades!$E$21,"",Upgrades!$C$21*POWER(Upgrades!$D$21,M373))</f>
        <v/>
      </c>
      <c r="AT373" s="26">
        <f>IF(AND(D373&gt;=Parameters!$B$18*Parameters!$B$19,(I373&gt;=Upgrades!$E$17)*(M373&gt;=Upgrades!$E$21)=1,N373=0),1,"")</f>
        <v/>
      </c>
      <c r="AU373" s="26">
        <f>IF(AND(D373&gt;=Parameters!$B$18*Parameters!$B$19,N373=0),1,"")</f>
        <v/>
      </c>
      <c r="AV373" s="22">
        <f>MIN(IF(ISNUMBER(AP373),AP373,9E15),IF(ISNUMBER(AQ373),AQ373,9E15),IF(ISNUMBER(AR373),AR373,9E15),IF(ISNUMBER(AS373),AS373,9E15))</f>
        <v/>
      </c>
      <c r="AW373" s="22">
        <f>MIN(IF(ISNUMBER(AK373),AK373,9E15),IF(ISNUMBER(AL373),AL373,9E15),IF(ISNUMBER(AM373),AM373,9E15),IF(ISNUMBER(AN373),AN373,9E15),IF(ISNUMBER(AO373),AO373,9E15))</f>
        <v/>
      </c>
      <c r="AX373" s="29">
        <f>IF(BD373&gt;Parameters!$B$21*(MAX(IF(AND(NOT(AND(AU373=1,AT373&lt;&gt;1)),ISNUMBER(AK373),AK373&lt;=(C373+T373)),AY373,0),IF(AND(NOT(AND(AU373=1,AT373&lt;&gt;1)),ISNUMBER(AL373),AL373&lt;=(C373+T373)),AZ373,0),IF(AND(NOT(AND(AU373=1,AT373&lt;&gt;1)),ISNUMBER(AM373),AM373&lt;=(C373+T373)),BA373,0),IF(AND(NOT(AND(AU373=1,AT373&lt;&gt;1)),ISNUMBER(AN373),AN373&lt;=(C373+T373)),BB373,0),IF(AND(ISNUMBER(AO373),AO373&lt;=(C373+T373)),BC373,0))),TRUE,FALSE)</f>
        <v/>
      </c>
      <c r="AY373" s="32">
        <f>IFERROR(Upgrades!$H$13*(POWER(Upgrades!$P$13,E373)*POWER(Upgrades!$P$14,F373)*POWER(Upgrades!$P$15,G373)*POWER(Upgrades!$P$16,H373)*POWER(Upgrades!$P$17,I373)*POWER(Upgrades!$P$18,J373)*POWER(Upgrades!$P$19,K373)*POWER(Upgrades!$P$20,L373)*POWER(Upgrades!$P$21,M373))*(IF(Upgrades!$T$14="Stellar Kinematics",POWER(Upgrades!$U$14,F373),1)*IF(Upgrades!$T$15="Stellar Kinematics",POWER(Upgrades!$U$15,G373),1)*IF(Upgrades!$T$16="Stellar Kinematics",POWER(Upgrades!$U$16,H373),1)*IF(Upgrades!$T$17="Stellar Kinematics",POWER(Upgrades!$U$17,I373),1)*IF(Upgrades!$T$18="Stellar Kinematics",POWER(Upgrades!$U$18,J373),1)*IF(Upgrades!$T$19="Stellar Kinematics",POWER(Upgrades!$U$19,K373),1)*IF(Upgrades!$T$20="Stellar Kinematics",POWER(Upgrades!$U$20,L373),1)*IF(Upgrades!$T$21="Stellar Kinematics",POWER(Upgrades!$U$21,M373),1))*$F$6/AK373,0)</f>
        <v/>
      </c>
      <c r="AZ373" s="32">
        <f>IFERROR(Upgrades!$H$14*(POWER(Upgrades!$P$13,E373)*POWER(Upgrades!$P$14,F373)*POWER(Upgrades!$P$15,G373)*POWER(Upgrades!$P$16,H373)*POWER(Upgrades!$P$17,I373)*POWER(Upgrades!$P$18,J373)*POWER(Upgrades!$P$19,K373)*POWER(Upgrades!$P$20,L373)*POWER(Upgrades!$P$21,M373))*(IF(Upgrades!$T$13="Local Bubble",POWER(Upgrades!$U$13,E373),1)*IF(Upgrades!$T$15="Local Bubble",POWER(Upgrades!$U$15,G373),1)*IF(Upgrades!$T$16="Local Bubble",POWER(Upgrades!$U$16,H373),1)*IF(Upgrades!$T$17="Local Bubble",POWER(Upgrades!$U$17,I373),1)*IF(Upgrades!$T$18="Local Bubble",POWER(Upgrades!$U$18,J373),1)*IF(Upgrades!$T$19="Local Bubble",POWER(Upgrades!$U$19,K373),1)*IF(Upgrades!$T$20="Local Bubble",POWER(Upgrades!$U$20,L373),1)*IF(Upgrades!$T$21="Local Bubble",POWER(Upgrades!$U$21,M373),1))*$F$6/AL373,0)</f>
        <v/>
      </c>
      <c r="BA373" s="32">
        <f>IFERROR(Upgrades!$K$15*(POWER(Upgrades!$Q$13,E373)*POWER(Upgrades!$Q$14,F373)*POWER(Upgrades!$Q$15,G373)*POWER(Upgrades!$Q$16,H373)*POWER(Upgrades!$Q$17,I373)*POWER(Upgrades!$Q$18,J373)*POWER(Upgrades!$Q$19,K373)*POWER(Upgrades!$Q$20,L373)*POWER(Upgrades!$Q$21,M373))*(IF(Upgrades!$T$13="Microlensing",POWER(Upgrades!$U$13,E373),1)*IF(Upgrades!$T$14="Microlensing",POWER(Upgrades!$U$14,F373),1)*IF(Upgrades!$T$16="Microlensing",POWER(Upgrades!$U$16,H373),1)*IF(Upgrades!$T$17="Microlensing",POWER(Upgrades!$U$17,I373),1)*IF(Upgrades!$T$18="Microlensing",POWER(Upgrades!$U$18,J373),1)*IF(Upgrades!$T$19="Microlensing",POWER(Upgrades!$U$19,K373),1)*IF(Upgrades!$T$20="Microlensing",POWER(Upgrades!$U$20,L373),1)*IF(Upgrades!$T$21="Microlensing",POWER(Upgrades!$U$21,M373),1))*$G$6*(Parameters!$B$10/60*Parameters!$B$11+Q373)/AM373,0)</f>
        <v/>
      </c>
      <c r="BB373" s="32">
        <f>IFERROR((Upgrades!$N$16*(POWER(Upgrades!$R$13,E373)*POWER(Upgrades!$R$14,F373)*POWER(Upgrades!$R$15,G373)*POWER(Upgrades!$R$16,H373)*POWER(Upgrades!$R$17,I373)*POWER(Upgrades!$R$18,J373)*POWER(Upgrades!$R$19,K373)*POWER(Upgrades!$R$20,L373)*POWER(Upgrades!$R$21,M373))*(IF(Upgrades!$T$13="Roche Lobe Overflow",POWER(Upgrades!$U$13,E373),1)*IF(Upgrades!$T$14="Roche Lobe Overflow",POWER(Upgrades!$U$14,F373),1)*IF(Upgrades!$T$15="Roche Lobe Overflow",POWER(Upgrades!$U$15,G373),1)*IF(Upgrades!$T$17="Roche Lobe Overflow",POWER(Upgrades!$U$17,I373),1)*IF(Upgrades!$T$18="Roche Lobe Overflow",POWER(Upgrades!$U$18,J373),1)*IF(Upgrades!$T$19="Roche Lobe Overflow",POWER(Upgrades!$U$19,K373),1)*IF(Upgrades!$T$20="Roche Lobe Overflow",POWER(Upgrades!$U$20,L373),1)*IF(Upgrades!$T$21="Roche Lobe Overflow",POWER(Upgrades!$U$21,M373),1))*$H$6*O373+((IF(F373=0,0,(Upgrades!$G$14+F373*Upgrades!$H$14)*POWER(Upgrades!$I$14,F373)))*(IF(Upgrades!$T$13="Local Bubble",POWER(Upgrades!$U$13,E373),1)*IF(Upgrades!$T$15="Local Bubble",POWER(Upgrades!$U$15,G373),1)*IF(Upgrades!$T$16="Local Bubble",POWER(Upgrades!$U$16,H373),1)*IF(Upgrades!$T$17="Local Bubble",POWER(Upgrades!$U$17,I373),1)*IF(Upgrades!$T$18="Local Bubble",POWER(Upgrades!$U$18,J373),1)*IF(Upgrades!$T$19="Local Bubble",POWER(Upgrades!$U$19,K373),1)*IF(Upgrades!$T$20="Local Bubble",POWER(Upgrades!$U$20,L373),1)*IF(Upgrades!$T$21="Local Bubble",POWER(Upgrades!$U$21,M373),1))*POWER(Upgrades!$P$13,E373)*POWER(Upgrades!$P$14,F373)*POWER(Upgrades!$P$15,G373)*POWER(Upgrades!$P$16,H373)*POWER(Upgrades!$P$17,I373)*POWER(Upgrades!$P$18,J373)*POWER(Upgrades!$P$19,K373)*POWER(Upgrades!$P$20,L373)*POWER(Upgrades!$P$21,M373)*$F$6)*0.05)/AN373,0)</f>
        <v/>
      </c>
      <c r="BC373" s="32">
        <f>IFERROR((Upgrades!$H$17*(POWER(Upgrades!$P$13,E373)*POWER(Upgrades!$P$14,F373)*POWER(Upgrades!$P$15,G373)*POWER(Upgrades!$P$16,H373)*POWER(Upgrades!$P$17,I373)*POWER(Upgrades!$P$18,J373)*POWER(Upgrades!$P$19,K373)*POWER(Upgrades!$P$20,L373)*POWER(Upgrades!$P$21,M373))*(IF(Upgrades!$T$13="Brown Dwarf",POWER(Upgrades!$U$13,E373),1)*IF(Upgrades!$T$14="Brown Dwarf",POWER(Upgrades!$U$14,F373),1)*IF(Upgrades!$T$15="Brown Dwarf",POWER(Upgrades!$U$15,G373),1)*IF(Upgrades!$T$16="Brown Dwarf",POWER(Upgrades!$U$16,H373),1)*IF(Upgrades!$T$18="Brown Dwarf",POWER(Upgrades!$U$18,J373),1)*IF(Upgrades!$T$19="Brown Dwarf",POWER(Upgrades!$U$19,K373),1)*IF(Upgrades!$T$20="Brown Dwarf",POWER(Upgrades!$U$20,L373),1)*IF(Upgrades!$T$21="Brown Dwarf",POWER(Upgrades!$U$21,M373),1))*$F$6+(((IF(H373=0,0,(Upgrades!$M$16+H373*Upgrades!$N$16)*POWER(Upgrades!$O$16,H373)))*(IF(Upgrades!$T$13="Roche Lobe Overflow",POWER(Upgrades!$U$13,E373),1)*IF(Upgrades!$T$14="Roche Lobe Overflow",POWER(Upgrades!$U$14,F373),1)*IF(Upgrades!$T$15="Roche Lobe Overflow",POWER(Upgrades!$U$15,G373),1)*IF(Upgrades!$T$17="Roche Lobe Overflow",POWER(Upgrades!$U$17,I373),1)*IF(Upgrades!$T$18="Roche Lobe Overflow",POWER(Upgrades!$U$18,J373),1)*IF(Upgrades!$T$19="Roche Lobe Overflow",POWER(Upgrades!$U$19,K373),1)*IF(Upgrades!$T$20="Roche Lobe Overflow",POWER(Upgrades!$U$20,L373),1)*IF(Upgrades!$T$21="Roche Lobe Overflow",POWER(Upgrades!$U$21,M373),1))*POWER(Upgrades!$R$13,E373)*POWER(Upgrades!$R$14,F373)*POWER(Upgrades!$R$15,G373)*POWER(Upgrades!$R$16,H373)*POWER(Upgrades!$R$17,I373)*POWER(Upgrades!$R$18,J373)*POWER(Upgrades!$R$19,K373)*POWER(Upgrades!$R$20,L373)*POWER(Upgrades!$R$21,M373)*$H$6)*O373)*0.10)/AO373,0)</f>
        <v/>
      </c>
      <c r="BD373" s="32">
        <f>MAX(IF(J373&gt;0,0,IFERROR(0.5*((IF(G373=0,0,(Upgrades!$J$15+G373*Upgrades!$K$15)*POWER(Upgrades!$L$15,G373)))*(IF(Upgrades!$T$13="Microlensing",POWER(Upgrades!$U$13,E373),1)*IF(Upgrades!$T$14="Microlensing",POWER(Upgrades!$U$14,F373),1)*IF(Upgrades!$T$16="Microlensing",POWER(Upgrades!$U$16,H373),1)*IF(Upgrades!$T$17="Microlensing",POWER(Upgrades!$U$17,I373),1)*IF(Upgrades!$T$18="Microlensing",POWER(Upgrades!$U$18,J373),1)*IF(Upgrades!$T$19="Microlensing",POWER(Upgrades!$U$19,K373),1)*IF(Upgrades!$T$20="Microlensing",POWER(Upgrades!$U$20,L373),1)*IF(Upgrades!$T$21="Microlensing",POWER(Upgrades!$U$21,M373),1))*(POWER(Upgrades!$Q$13,E373)*POWER(Upgrades!$Q$14,F373)*POWER(Upgrades!$Q$15,G373)*POWER(Upgrades!$Q$16,H373)*POWER(Upgrades!$Q$17,I373)*POWER(Upgrades!$Q$18,J373)*POWER(Upgrades!$Q$19,K373)*POWER(Upgrades!$Q$20,L373)*POWER(Upgrades!$Q$21,M373))*$G$6*(Parameters!$B$10/60*Parameters!$B$11+Q373))/Upgrades!$C$18,0)),IF(K373&gt;0,0,IFERROR(0.30*P373/Upgrades!$C$19,0)),IF(L373&gt;0,0,IFERROR(0.0001/Upgrades!$C$20,0)),IF(M373&gt;0,0,IFERROR((6.0*(POWER(Upgrades!$P$13,E373)*POWER(Upgrades!$P$14,F373)*POWER(Upgrades!$P$15,G373)*POWER(Upgrades!$P$16,H373)*POWER(Upgrades!$P$17,I373)*POWER(Upgrades!$P$18,J373)*POWER(Upgrades!$P$19,K373)*POWER(Upgrades!$P$20,L373)*POWER(Upgrades!$P$21,M373))*$F$6+0.20*O373*(Parameters!$B$10/60*Parameters!$B$11+Q373))/Upgrades!$C$21,0)),IF(AND(ISNUMBER(AK373),AK373&gt;(C373+T373)),AY373,0),IF(AND(ISNUMBER(AL373),AL373&gt;(C373+T373)),AZ373,0),IF(AND(ISNUMBER(AM373),AM373&gt;(C373+T373)),BA373,0),IF(AND(ISNUMBER(AN373),AN373&gt;(C373+T373)),BB373,0),IF(AND(ISNUMBER(AO373),AO373&gt;(C373+T373)),BC373,0))</f>
        <v/>
      </c>
      <c r="BE373" s="29">
        <f>IF(AT373=1,"transition",IF(MIN(IF(AND(J373=0,ISNUMBER(AP373),AP373&lt;=(C373+T373)),AP373,9E15),IF(AND(K373=0,ISNUMBER(AQ373),AQ373&lt;=(C373+T373)),AQ373,9E15),IF(AND(L373=0,ISNUMBER(AR373),AR373&lt;=(C373+T373)),AR373,9E15),IF(AND(M373=0,ISNUMBER(AS373),AS373&lt;=(C373+T373)),AS373,9E15))&lt;9E15,IF(AND(AND(J373=0,ISNUMBER(AP373),AP373&lt;=(C373+T373)),AP373=MIN(IF(AND(J373=0,ISNUMBER(AP373),AP373&lt;=(C373+T373)),AP373,9E15),IF(AND(K373=0,ISNUMBER(AQ373),AQ373&lt;=(C373+T373)),AQ373,9E15),IF(AND(L373=0,ISNUMBER(AR373),AR373&lt;=(C373+T373)),AR373,9E15),IF(AND(M373=0,ISNUMBER(AS373),AS373&lt;=(C373+T373)),AS373,9E15))),"BiP",IF(AND(AND(K373=0,ISNUMBER(AQ373),AQ373&lt;=(C373+T373)),AQ373=MIN(IF(AND(J373=0,ISNUMBER(AP373),AP373&lt;=(C373+T373)),AP373,9E15),IF(AND(K373=0,ISNUMBER(AQ373),AQ373&lt;=(C373+T373)),AQ373,9E15),IF(AND(L373=0,ISNUMBER(AR373),AR373&lt;=(C373+T373)),AR373,9E15),IF(AND(M373=0,ISNUMBER(AS373),AS373&lt;=(C373+T373)),AS373,9E15))),"PV",IF(AND(AND(L373=0,ISNUMBER(AR373),AR373&lt;=(C373+T373)),AR373=MIN(IF(AND(J373=0,ISNUMBER(AP373),AP373&lt;=(C373+T373)),AP373,9E15),IF(AND(K373=0,ISNUMBER(AQ373),AQ373&lt;=(C373+T373)),AQ373,9E15),IF(AND(L373=0,ISNUMBER(AR373),AR373&lt;=(C373+T373)),AR373,9E15),IF(AND(M373=0,ISNUMBER(AS373),AS373&lt;=(C373+T373)),AS373,9E15))),"OC","MG"))),IF(AX373=TRUE,"",IF(MAX(IF(AND(NOT(AND(AU373=1,AT373&lt;&gt;1)),ISNUMBER(AK373),AK373&lt;=(C373+T373)),AY373,0),IF(AND(NOT(AND(AU373=1,AT373&lt;&gt;1)),ISNUMBER(AL373),AL373&lt;=(C373+T373)),AZ373,0),IF(AND(NOT(AND(AU373=1,AT373&lt;&gt;1)),ISNUMBER(AM373),AM373&lt;=(C373+T373)),BA373,0),IF(AND(NOT(AND(AU373=1,AT373&lt;&gt;1)),ISNUMBER(AN373),AN373&lt;=(C373+T373)),BB373,0),IF(AND(ISNUMBER(AO373),AO373&lt;=(C373+T373)),BC373,0))&lt;=0,"",IF(AND(IF(AND(NOT(AND(AU373=1,AT373&lt;&gt;1)),ISNUMBER(AK373),AK373&lt;=(C373+T373)),AY373,0)&gt;0,IF(AND(NOT(AND(AU373=1,AT373&lt;&gt;1)),ISNUMBER(AK373),AK373&lt;=(C373+T373)),AY373,0)=MAX(IF(AND(NOT(AND(AU373=1,AT373&lt;&gt;1)),ISNUMBER(AK373),AK373&lt;=(C373+T373)),AY373,0),IF(AND(NOT(AND(AU373=1,AT373&lt;&gt;1)),ISNUMBER(AL373),AL373&lt;=(C373+T373)),AZ373,0),IF(AND(NOT(AND(AU373=1,AT373&lt;&gt;1)),ISNUMBER(AM373),AM373&lt;=(C373+T373)),BA373,0),IF(AND(NOT(AND(AU373=1,AT373&lt;&gt;1)),ISNUMBER(AN373),AN373&lt;=(C373+T373)),BB373,0),IF(AND(ISNUMBER(AO373),AO373&lt;=(C373+T373)),BC373,0))),"SK",IF(AND(IF(AND(NOT(AND(AU373=1,AT373&lt;&gt;1)),ISNUMBER(AL373),AL373&lt;=(C373+T373)),AZ373,0)&gt;0,IF(AND(NOT(AND(AU373=1,AT373&lt;&gt;1)),ISNUMBER(AL373),AL373&lt;=(C373+T373)),AZ373,0)=MAX(IF(AND(NOT(AND(AU373=1,AT373&lt;&gt;1)),ISNUMBER(AK373),AK373&lt;=(C373+T373)),AY373,0),IF(AND(NOT(AND(AU373=1,AT373&lt;&gt;1)),ISNUMBER(AL373),AL373&lt;=(C373+T373)),AZ373,0),IF(AND(NOT(AND(AU373=1,AT373&lt;&gt;1)),ISNUMBER(AM373),AM373&lt;=(C373+T373)),BA373,0),IF(AND(NOT(AND(AU373=1,AT373&lt;&gt;1)),ISNUMBER(AN373),AN373&lt;=(C373+T373)),BB373,0),IF(AND(ISNUMBER(AO373),AO373&lt;=(C373+T373)),BC373,0))),"LB",IF(AND(IF(AND(NOT(AND(AU373=1,AT373&lt;&gt;1)),ISNUMBER(AM373),AM373&lt;=(C373+T373)),BA373,0)&gt;0,IF(AND(NOT(AND(AU373=1,AT373&lt;&gt;1)),ISNUMBER(AM373),AM373&lt;=(C373+T373)),BA373,0)=MAX(IF(AND(NOT(AND(AU373=1,AT373&lt;&gt;1)),ISNUMBER(AK373),AK373&lt;=(C373+T373)),AY373,0),IF(AND(NOT(AND(AU373=1,AT373&lt;&gt;1)),ISNUMBER(AL373),AL373&lt;=(C373+T373)),AZ373,0),IF(AND(NOT(AND(AU373=1,AT373&lt;&gt;1)),ISNUMBER(AM373),AM373&lt;=(C373+T373)),BA373,0),IF(AND(NOT(AND(AU373=1,AT373&lt;&gt;1)),ISNUMBER(AN373),AN373&lt;=(C373+T373)),BB373,0),IF(AND(ISNUMBER(AO373),AO373&lt;=(C373+T373)),BC373,0))),"ML",IF(AND(IF(AND(NOT(AND(AU373=1,AT373&lt;&gt;1)),ISNUMBER(AN373),AN373&lt;=(C373+T373)),BB373,0)&gt;0,IF(AND(NOT(AND(AU373=1,AT373&lt;&gt;1)),ISNUMBER(AN373),AN373&lt;=(C373+T373)),BB373,0)=MAX(IF(AND(NOT(AND(AU373=1,AT373&lt;&gt;1)),ISNUMBER(AK373),AK373&lt;=(C373+T373)),AY373,0),IF(AND(NOT(AND(AU373=1,AT373&lt;&gt;1)),ISNUMBER(AL373),AL373&lt;=(C373+T373)),AZ373,0),IF(AND(NOT(AND(AU373=1,AT373&lt;&gt;1)),ISNUMBER(AM373),AM373&lt;=(C373+T373)),BA373,0),IF(AND(NOT(AND(AU373=1,AT373&lt;&gt;1)),ISNUMBER(AN373),AN373&lt;=(C373+T373)),BB373,0),IF(AND(ISNUMBER(AO373),AO373&lt;=(C373+T373)),BC373,0))),"RLO","BD"))))))))</f>
        <v/>
      </c>
    </row>
    <row r="374">
      <c r="A374" s="26" t="n">
        <v>363</v>
      </c>
      <c r="B374" s="27">
        <f>A374*10/60</f>
        <v/>
      </c>
      <c r="C374" s="22">
        <f>X373</f>
        <v/>
      </c>
      <c r="D374" s="27">
        <f>D373+W373</f>
        <v/>
      </c>
      <c r="E374" s="26">
        <f>E373+IF(U373="SK",1,0)</f>
        <v/>
      </c>
      <c r="F374" s="26">
        <f>F373+IF(U373="LB",1,0)</f>
        <v/>
      </c>
      <c r="G374" s="26">
        <f>G373+IF(U373="ML",1,0)</f>
        <v/>
      </c>
      <c r="H374" s="26">
        <f>H373+IF(U373="RLO",1,0)</f>
        <v/>
      </c>
      <c r="I374" s="26">
        <f>I373+IF(U373="BD",1,0)</f>
        <v/>
      </c>
      <c r="J374" s="26">
        <f>MAX(J373,IF(U373="BiP",1,0))</f>
        <v/>
      </c>
      <c r="K374" s="26">
        <f>MAX(K373,IF(U373="PV",1,0))</f>
        <v/>
      </c>
      <c r="L374" s="26">
        <f>MAX(L373,IF(U373="OC",1,0))</f>
        <v/>
      </c>
      <c r="M374" s="26">
        <f>MAX(M373,IF(U373="MG",1,0))</f>
        <v/>
      </c>
      <c r="N374" s="26">
        <f>MAX(N373,IF(U373="transition",1,0))</f>
        <v/>
      </c>
      <c r="O374" s="28">
        <f>(Parameters!$B$9+(IF(E374=0,0,(Upgrades!$J$13+E374*Upgrades!$K$13)*POWER(Upgrades!$L$13,E374)))*(IF(Upgrades!$T$14="Stellar Kinematics",POWER(Upgrades!$U$14,F374),1)*IF(Upgrades!$T$15="Stellar Kinematics",POWER(Upgrades!$U$15,G374),1)*IF(Upgrades!$T$16="Stellar Kinematics",POWER(Upgrades!$U$16,H374),1)*IF(Upgrades!$T$17="Stellar Kinematics",POWER(Upgrades!$U$17,I374),1)*IF(Upgrades!$T$18="Stellar Kinematics",POWER(Upgrades!$U$18,J374),1)*IF(Upgrades!$T$19="Stellar Kinematics",POWER(Upgrades!$U$19,K374),1)*IF(Upgrades!$T$20="Stellar Kinematics",POWER(Upgrades!$U$20,L374),1)*IF(Upgrades!$T$21="Stellar Kinematics",POWER(Upgrades!$U$21,M374),1))+(IF(F374=0,0,(Upgrades!$J$14+F374*Upgrades!$K$14)*POWER(Upgrades!$L$14,F374)))*(IF(Upgrades!$T$13="Local Bubble",POWER(Upgrades!$U$13,E374),1)*IF(Upgrades!$T$15="Local Bubble",POWER(Upgrades!$U$15,G374),1)*IF(Upgrades!$T$16="Local Bubble",POWER(Upgrades!$U$16,H374),1)*IF(Upgrades!$T$17="Local Bubble",POWER(Upgrades!$U$17,I374),1)*IF(Upgrades!$T$18="Local Bubble",POWER(Upgrades!$U$18,J374),1)*IF(Upgrades!$T$19="Local Bubble",POWER(Upgrades!$U$19,K374),1)*IF(Upgrades!$T$20="Local Bubble",POWER(Upgrades!$U$20,L374),1)*IF(Upgrades!$T$21="Local Bubble",POWER(Upgrades!$U$21,M374),1))+(IF(G374=0,0,(Upgrades!$J$15+G374*Upgrades!$K$15)*POWER(Upgrades!$L$15,G374)))*(IF(Upgrades!$T$13="Microlensing",POWER(Upgrades!$U$13,E374),1)*IF(Upgrades!$T$14="Microlensing",POWER(Upgrades!$U$14,F374),1)*IF(Upgrades!$T$16="Microlensing",POWER(Upgrades!$U$16,H374),1)*IF(Upgrades!$T$17="Microlensing",POWER(Upgrades!$U$17,I374),1)*IF(Upgrades!$T$18="Microlensing",POWER(Upgrades!$U$18,J374),1)*IF(Upgrades!$T$19="Microlensing",POWER(Upgrades!$U$19,K374),1)*IF(Upgrades!$T$20="Microlensing",POWER(Upgrades!$U$20,L374),1)*IF(Upgrades!$T$21="Microlensing",POWER(Upgrades!$U$21,M374),1))+(IF(H374=0,0,(Upgrades!$J$16+H374*Upgrades!$K$16)*POWER(Upgrades!$L$16,H374)))*(IF(Upgrades!$T$13="Roche Lobe Overflow",POWER(Upgrades!$U$13,E374),1)*IF(Upgrades!$T$14="Roche Lobe Overflow",POWER(Upgrades!$U$14,F374),1)*IF(Upgrades!$T$15="Roche Lobe Overflow",POWER(Upgrades!$U$15,G374),1)*IF(Upgrades!$T$17="Roche Lobe Overflow",POWER(Upgrades!$U$17,I374),1)*IF(Upgrades!$T$18="Roche Lobe Overflow",POWER(Upgrades!$U$18,J374),1)*IF(Upgrades!$T$19="Roche Lobe Overflow",POWER(Upgrades!$U$19,K374),1)*IF(Upgrades!$T$20="Roche Lobe Overflow",POWER(Upgrades!$U$20,L374),1)*IF(Upgrades!$T$21="Roche Lobe Overflow",POWER(Upgrades!$U$21,M374),1))+(IF(I374=0,0,(Upgrades!$J$17+I374*Upgrades!$K$17)*POWER(Upgrades!$L$17,I374)))*(IF(Upgrades!$T$13="Brown Dwarf",POWER(Upgrades!$U$13,E374),1)*IF(Upgrades!$T$14="Brown Dwarf",POWER(Upgrades!$U$14,F374),1)*IF(Upgrades!$T$15="Brown Dwarf",POWER(Upgrades!$U$15,G374),1)*IF(Upgrades!$T$16="Brown Dwarf",POWER(Upgrades!$U$16,H374),1)*IF(Upgrades!$T$18="Brown Dwarf",POWER(Upgrades!$U$18,J374),1)*IF(Upgrades!$T$19="Brown Dwarf",POWER(Upgrades!$U$19,K374),1)*IF(Upgrades!$T$20="Brown Dwarf",POWER(Upgrades!$U$20,L374),1)*IF(Upgrades!$T$21="Brown Dwarf",POWER(Upgrades!$U$21,M374),1))+(IF(J374=0,0,(Upgrades!$J$18+J374*Upgrades!$K$18)*POWER(Upgrades!$L$18,J374)))*(IF(Upgrades!$T$13="Binary Partner",POWER(Upgrades!$U$13,E374),1)*IF(Upgrades!$T$14="Binary Partner",POWER(Upgrades!$U$14,F374),1)*IF(Upgrades!$T$15="Binary Partner",POWER(Upgrades!$U$15,G374),1)*IF(Upgrades!$T$16="Binary Partner",POWER(Upgrades!$U$16,H374),1)*IF(Upgrades!$T$17="Binary Partner",POWER(Upgrades!$U$17,I374),1)*IF(Upgrades!$T$19="Binary Partner",POWER(Upgrades!$U$19,K374),1)*IF(Upgrades!$T$20="Binary Partner",POWER(Upgrades!$U$20,L374),1)*IF(Upgrades!$T$21="Binary Partner",POWER(Upgrades!$U$21,M374),1))+(IF(K374=0,0,(Upgrades!$J$19+K374*Upgrades!$K$19)*POWER(Upgrades!$L$19,K374)))*(IF(Upgrades!$T$13="Peculiar Velocity",POWER(Upgrades!$U$13,E374),1)*IF(Upgrades!$T$14="Peculiar Velocity",POWER(Upgrades!$U$14,F374),1)*IF(Upgrades!$T$15="Peculiar Velocity",POWER(Upgrades!$U$15,G374),1)*IF(Upgrades!$T$16="Peculiar Velocity",POWER(Upgrades!$U$16,H374),1)*IF(Upgrades!$T$17="Peculiar Velocity",POWER(Upgrades!$U$17,I374),1)*IF(Upgrades!$T$18="Peculiar Velocity",POWER(Upgrades!$U$18,J374),1)*IF(Upgrades!$T$20="Peculiar Velocity",POWER(Upgrades!$U$20,L374),1)*IF(Upgrades!$T$21="Peculiar Velocity",POWER(Upgrades!$U$21,M374),1))+(IF(L374=0,0,(Upgrades!$J$20+L374*Upgrades!$K$20)*POWER(Upgrades!$L$20,L374)))*(IF(Upgrades!$T$13="Open Cluster",POWER(Upgrades!$U$13,E374),1)*IF(Upgrades!$T$14="Open Cluster",POWER(Upgrades!$U$14,F374),1)*IF(Upgrades!$T$15="Open Cluster",POWER(Upgrades!$U$15,G374),1)*IF(Upgrades!$T$16="Open Cluster",POWER(Upgrades!$U$16,H374),1)*IF(Upgrades!$T$17="Open Cluster",POWER(Upgrades!$U$17,I374),1)*IF(Upgrades!$T$18="Open Cluster",POWER(Upgrades!$U$18,J374),1)*IF(Upgrades!$T$19="Open Cluster",POWER(Upgrades!$U$19,K374),1)*IF(Upgrades!$T$21="Open Cluster",POWER(Upgrades!$U$21,M374),1))+(IF(M374=0,0,(Upgrades!$J$21+M374*Upgrades!$K$21)*POWER(Upgrades!$L$21,M374)))*(IF(Upgrades!$T$13="Moving Group",POWER(Upgrades!$U$13,E374),1)*IF(Upgrades!$T$14="Moving Group",POWER(Upgrades!$U$14,F374),1)*IF(Upgrades!$T$15="Moving Group",POWER(Upgrades!$U$15,G374),1)*IF(Upgrades!$T$16="Moving Group",POWER(Upgrades!$U$16,H374),1)*IF(Upgrades!$T$17="Moving Group",POWER(Upgrades!$U$17,I374),1)*IF(Upgrades!$T$18="Moving Group",POWER(Upgrades!$U$18,J374),1)*IF(Upgrades!$T$19="Moving Group",POWER(Upgrades!$U$19,K374),1)*IF(Upgrades!$T$20="Moving Group",POWER(Upgrades!$U$20,L374),1)))*POWER(Upgrades!$Q$13,E374)*POWER(Upgrades!$Q$14,F374)*POWER(Upgrades!$Q$15,G374)*POWER(Upgrades!$Q$16,H374)*POWER(Upgrades!$Q$17,I374)*POWER(Upgrades!$Q$18,J374)*POWER(Upgrades!$Q$19,K374)*POWER(Upgrades!$Q$20,L374)*POWER(Upgrades!$Q$21,M374)*$G$6+$D$6</f>
        <v/>
      </c>
      <c r="P374" s="28">
        <f>((IF(E374=0,0,(Upgrades!$G$13+E374*Upgrades!$H$13)*POWER(Upgrades!$I$13,E374)))*(IF(Upgrades!$T$14="Stellar Kinematics",POWER(Upgrades!$U$14,F374),1)*IF(Upgrades!$T$15="Stellar Kinematics",POWER(Upgrades!$U$15,G374),1)*IF(Upgrades!$T$16="Stellar Kinematics",POWER(Upgrades!$U$16,H374),1)*IF(Upgrades!$T$17="Stellar Kinematics",POWER(Upgrades!$U$17,I374),1)*IF(Upgrades!$T$18="Stellar Kinematics",POWER(Upgrades!$U$18,J374),1)*IF(Upgrades!$T$19="Stellar Kinematics",POWER(Upgrades!$U$19,K374),1)*IF(Upgrades!$T$20="Stellar Kinematics",POWER(Upgrades!$U$20,L374),1)*IF(Upgrades!$T$21="Stellar Kinematics",POWER(Upgrades!$U$21,M374),1))+(IF(F374=0,0,(Upgrades!$G$14+F374*Upgrades!$H$14)*POWER(Upgrades!$I$14,F374)))*(IF(Upgrades!$T$13="Local Bubble",POWER(Upgrades!$U$13,E374),1)*IF(Upgrades!$T$15="Local Bubble",POWER(Upgrades!$U$15,G374),1)*IF(Upgrades!$T$16="Local Bubble",POWER(Upgrades!$U$16,H374),1)*IF(Upgrades!$T$17="Local Bubble",POWER(Upgrades!$U$17,I374),1)*IF(Upgrades!$T$18="Local Bubble",POWER(Upgrades!$U$18,J374),1)*IF(Upgrades!$T$19="Local Bubble",POWER(Upgrades!$U$19,K374),1)*IF(Upgrades!$T$20="Local Bubble",POWER(Upgrades!$U$20,L374),1)*IF(Upgrades!$T$21="Local Bubble",POWER(Upgrades!$U$21,M374),1))+(IF(G374=0,0,(Upgrades!$G$15+G374*Upgrades!$H$15)*POWER(Upgrades!$I$15,G374)))*(IF(Upgrades!$T$13="Microlensing",POWER(Upgrades!$U$13,E374),1)*IF(Upgrades!$T$14="Microlensing",POWER(Upgrades!$U$14,F374),1)*IF(Upgrades!$T$16="Microlensing",POWER(Upgrades!$U$16,H374),1)*IF(Upgrades!$T$17="Microlensing",POWER(Upgrades!$U$17,I374),1)*IF(Upgrades!$T$18="Microlensing",POWER(Upgrades!$U$18,J374),1)*IF(Upgrades!$T$19="Microlensing",POWER(Upgrades!$U$19,K374),1)*IF(Upgrades!$T$20="Microlensing",POWER(Upgrades!$U$20,L374),1)*IF(Upgrades!$T$21="Microlensing",POWER(Upgrades!$U$21,M374),1))+(IF(H374=0,0,(Upgrades!$G$16+H374*Upgrades!$H$16)*POWER(Upgrades!$I$16,H374)))*(IF(Upgrades!$T$13="Roche Lobe Overflow",POWER(Upgrades!$U$13,E374),1)*IF(Upgrades!$T$14="Roche Lobe Overflow",POWER(Upgrades!$U$14,F374),1)*IF(Upgrades!$T$15="Roche Lobe Overflow",POWER(Upgrades!$U$15,G374),1)*IF(Upgrades!$T$17="Roche Lobe Overflow",POWER(Upgrades!$U$17,I374),1)*IF(Upgrades!$T$18="Roche Lobe Overflow",POWER(Upgrades!$U$18,J374),1)*IF(Upgrades!$T$19="Roche Lobe Overflow",POWER(Upgrades!$U$19,K374),1)*IF(Upgrades!$T$20="Roche Lobe Overflow",POWER(Upgrades!$U$20,L374),1)*IF(Upgrades!$T$21="Roche Lobe Overflow",POWER(Upgrades!$U$21,M374),1))+(IF(I374=0,0,(Upgrades!$G$17+I374*Upgrades!$H$17)*POWER(Upgrades!$I$17,I374)))*(IF(Upgrades!$T$13="Brown Dwarf",POWER(Upgrades!$U$13,E374),1)*IF(Upgrades!$T$14="Brown Dwarf",POWER(Upgrades!$U$14,F374),1)*IF(Upgrades!$T$15="Brown Dwarf",POWER(Upgrades!$U$15,G374),1)*IF(Upgrades!$T$16="Brown Dwarf",POWER(Upgrades!$U$16,H374),1)*IF(Upgrades!$T$18="Brown Dwarf",POWER(Upgrades!$U$18,J374),1)*IF(Upgrades!$T$19="Brown Dwarf",POWER(Upgrades!$U$19,K374),1)*IF(Upgrades!$T$20="Brown Dwarf",POWER(Upgrades!$U$20,L374),1)*IF(Upgrades!$T$21="Brown Dwarf",POWER(Upgrades!$U$21,M374),1))+(IF(J374=0,0,(Upgrades!$G$18+J374*Upgrades!$H$18)*POWER(Upgrades!$I$18,J374)))*(IF(Upgrades!$T$13="Binary Partner",POWER(Upgrades!$U$13,E374),1)*IF(Upgrades!$T$14="Binary Partner",POWER(Upgrades!$U$14,F374),1)*IF(Upgrades!$T$15="Binary Partner",POWER(Upgrades!$U$15,G374),1)*IF(Upgrades!$T$16="Binary Partner",POWER(Upgrades!$U$16,H374),1)*IF(Upgrades!$T$17="Binary Partner",POWER(Upgrades!$U$17,I374),1)*IF(Upgrades!$T$19="Binary Partner",POWER(Upgrades!$U$19,K374),1)*IF(Upgrades!$T$20="Binary Partner",POWER(Upgrades!$U$20,L374),1)*IF(Upgrades!$T$21="Binary Partner",POWER(Upgrades!$U$21,M374),1))+(IF(K374=0,0,(Upgrades!$G$19+K374*Upgrades!$H$19)*POWER(Upgrades!$I$19,K374)))*(IF(Upgrades!$T$13="Peculiar Velocity",POWER(Upgrades!$U$13,E374),1)*IF(Upgrades!$T$14="Peculiar Velocity",POWER(Upgrades!$U$14,F374),1)*IF(Upgrades!$T$15="Peculiar Velocity",POWER(Upgrades!$U$15,G374),1)*IF(Upgrades!$T$16="Peculiar Velocity",POWER(Upgrades!$U$16,H374),1)*IF(Upgrades!$T$17="Peculiar Velocity",POWER(Upgrades!$U$17,I374),1)*IF(Upgrades!$T$18="Peculiar Velocity",POWER(Upgrades!$U$18,J374),1)*IF(Upgrades!$T$20="Peculiar Velocity",POWER(Upgrades!$U$20,L374),1)*IF(Upgrades!$T$21="Peculiar Velocity",POWER(Upgrades!$U$21,M374),1))+(IF(L374=0,0,(Upgrades!$G$20+L374*Upgrades!$H$20)*POWER(Upgrades!$I$20,L374)))*(IF(Upgrades!$T$13="Open Cluster",POWER(Upgrades!$U$13,E374),1)*IF(Upgrades!$T$14="Open Cluster",POWER(Upgrades!$U$14,F374),1)*IF(Upgrades!$T$15="Open Cluster",POWER(Upgrades!$U$15,G374),1)*IF(Upgrades!$T$16="Open Cluster",POWER(Upgrades!$U$16,H374),1)*IF(Upgrades!$T$17="Open Cluster",POWER(Upgrades!$U$17,I374),1)*IF(Upgrades!$T$18="Open Cluster",POWER(Upgrades!$U$18,J374),1)*IF(Upgrades!$T$19="Open Cluster",POWER(Upgrades!$U$19,K374),1)*IF(Upgrades!$T$21="Open Cluster",POWER(Upgrades!$U$21,M374),1))+(IF(M374=0,0,(Upgrades!$G$21+M374*Upgrades!$H$21)*POWER(Upgrades!$I$21,M374)))*(IF(Upgrades!$T$13="Moving Group",POWER(Upgrades!$U$13,E374),1)*IF(Upgrades!$T$14="Moving Group",POWER(Upgrades!$U$14,F374),1)*IF(Upgrades!$T$15="Moving Group",POWER(Upgrades!$U$15,G374),1)*IF(Upgrades!$T$16="Moving Group",POWER(Upgrades!$U$16,H374),1)*IF(Upgrades!$T$17="Moving Group",POWER(Upgrades!$U$17,I374),1)*IF(Upgrades!$T$18="Moving Group",POWER(Upgrades!$U$18,J374),1)*IF(Upgrades!$T$19="Moving Group",POWER(Upgrades!$U$19,K374),1)*IF(Upgrades!$T$20="Moving Group",POWER(Upgrades!$U$20,L374),1)))*POWER(Upgrades!$P$13,E374)*POWER(Upgrades!$P$14,F374)*POWER(Upgrades!$P$15,G374)*POWER(Upgrades!$P$16,H374)*POWER(Upgrades!$P$17,I374)*POWER(Upgrades!$P$18,J374)*POWER(Upgrades!$P$19,K374)*POWER(Upgrades!$P$20,L374)*POWER(Upgrades!$P$21,M374)*$F$6+$C$6</f>
        <v/>
      </c>
      <c r="Q374" s="28">
        <f>((IF(E374=0,0,(Upgrades!$M$13+E374*Upgrades!$N$13)*POWER(Upgrades!$O$13,E374)))*(IF(Upgrades!$T$14="Stellar Kinematics",POWER(Upgrades!$U$14,F374),1)*IF(Upgrades!$T$15="Stellar Kinematics",POWER(Upgrades!$U$15,G374),1)*IF(Upgrades!$T$16="Stellar Kinematics",POWER(Upgrades!$U$16,H374),1)*IF(Upgrades!$T$17="Stellar Kinematics",POWER(Upgrades!$U$17,I374),1)*IF(Upgrades!$T$18="Stellar Kinematics",POWER(Upgrades!$U$18,J374),1)*IF(Upgrades!$T$19="Stellar Kinematics",POWER(Upgrades!$U$19,K374),1)*IF(Upgrades!$T$20="Stellar Kinematics",POWER(Upgrades!$U$20,L374),1)*IF(Upgrades!$T$21="Stellar Kinematics",POWER(Upgrades!$U$21,M374),1))+(IF(F374=0,0,(Upgrades!$M$14+F374*Upgrades!$N$14)*POWER(Upgrades!$O$14,F374)))*(IF(Upgrades!$T$13="Local Bubble",POWER(Upgrades!$U$13,E374),1)*IF(Upgrades!$T$15="Local Bubble",POWER(Upgrades!$U$15,G374),1)*IF(Upgrades!$T$16="Local Bubble",POWER(Upgrades!$U$16,H374),1)*IF(Upgrades!$T$17="Local Bubble",POWER(Upgrades!$U$17,I374),1)*IF(Upgrades!$T$18="Local Bubble",POWER(Upgrades!$U$18,J374),1)*IF(Upgrades!$T$19="Local Bubble",POWER(Upgrades!$U$19,K374),1)*IF(Upgrades!$T$20="Local Bubble",POWER(Upgrades!$U$20,L374),1)*IF(Upgrades!$T$21="Local Bubble",POWER(Upgrades!$U$21,M374),1))+(IF(G374=0,0,(Upgrades!$M$15+G374*Upgrades!$N$15)*POWER(Upgrades!$O$15,G374)))*(IF(Upgrades!$T$13="Microlensing",POWER(Upgrades!$U$13,E374),1)*IF(Upgrades!$T$14="Microlensing",POWER(Upgrades!$U$14,F374),1)*IF(Upgrades!$T$16="Microlensing",POWER(Upgrades!$U$16,H374),1)*IF(Upgrades!$T$17="Microlensing",POWER(Upgrades!$U$17,I374),1)*IF(Upgrades!$T$18="Microlensing",POWER(Upgrades!$U$18,J374),1)*IF(Upgrades!$T$19="Microlensing",POWER(Upgrades!$U$19,K374),1)*IF(Upgrades!$T$20="Microlensing",POWER(Upgrades!$U$20,L374),1)*IF(Upgrades!$T$21="Microlensing",POWER(Upgrades!$U$21,M374),1))+(IF(H374=0,0,(Upgrades!$M$16+H374*Upgrades!$N$16)*POWER(Upgrades!$O$16,H374)))*(IF(Upgrades!$T$13="Roche Lobe Overflow",POWER(Upgrades!$U$13,E374),1)*IF(Upgrades!$T$14="Roche Lobe Overflow",POWER(Upgrades!$U$14,F374),1)*IF(Upgrades!$T$15="Roche Lobe Overflow",POWER(Upgrades!$U$15,G374),1)*IF(Upgrades!$T$17="Roche Lobe Overflow",POWER(Upgrades!$U$17,I374),1)*IF(Upgrades!$T$18="Roche Lobe Overflow",POWER(Upgrades!$U$18,J374),1)*IF(Upgrades!$T$19="Roche Lobe Overflow",POWER(Upgrades!$U$19,K374),1)*IF(Upgrades!$T$20="Roche Lobe Overflow",POWER(Upgrades!$U$20,L374),1)*IF(Upgrades!$T$21="Roche Lobe Overflow",POWER(Upgrades!$U$21,M374),1))+(IF(I374=0,0,(Upgrades!$M$17+I374*Upgrades!$N$17)*POWER(Upgrades!$O$17,I374)))*(IF(Upgrades!$T$13="Brown Dwarf",POWER(Upgrades!$U$13,E374),1)*IF(Upgrades!$T$14="Brown Dwarf",POWER(Upgrades!$U$14,F374),1)*IF(Upgrades!$T$15="Brown Dwarf",POWER(Upgrades!$U$15,G374),1)*IF(Upgrades!$T$16="Brown Dwarf",POWER(Upgrades!$U$16,H374),1)*IF(Upgrades!$T$18="Brown Dwarf",POWER(Upgrades!$U$18,J374),1)*IF(Upgrades!$T$19="Brown Dwarf",POWER(Upgrades!$U$19,K374),1)*IF(Upgrades!$T$20="Brown Dwarf",POWER(Upgrades!$U$20,L374),1)*IF(Upgrades!$T$21="Brown Dwarf",POWER(Upgrades!$U$21,M374),1))+(IF(J374=0,0,(Upgrades!$M$18+J374*Upgrades!$N$18)*POWER(Upgrades!$O$18,J374)))*(IF(Upgrades!$T$13="Binary Partner",POWER(Upgrades!$U$13,E374),1)*IF(Upgrades!$T$14="Binary Partner",POWER(Upgrades!$U$14,F374),1)*IF(Upgrades!$T$15="Binary Partner",POWER(Upgrades!$U$15,G374),1)*IF(Upgrades!$T$16="Binary Partner",POWER(Upgrades!$U$16,H374),1)*IF(Upgrades!$T$17="Binary Partner",POWER(Upgrades!$U$17,I374),1)*IF(Upgrades!$T$19="Binary Partner",POWER(Upgrades!$U$19,K374),1)*IF(Upgrades!$T$20="Binary Partner",POWER(Upgrades!$U$20,L374),1)*IF(Upgrades!$T$21="Binary Partner",POWER(Upgrades!$U$21,M374),1))+(IF(K374=0,0,(Upgrades!$M$19+K374*Upgrades!$N$19)*POWER(Upgrades!$O$19,K374)))*(IF(Upgrades!$T$13="Peculiar Velocity",POWER(Upgrades!$U$13,E374),1)*IF(Upgrades!$T$14="Peculiar Velocity",POWER(Upgrades!$U$14,F374),1)*IF(Upgrades!$T$15="Peculiar Velocity",POWER(Upgrades!$U$15,G374),1)*IF(Upgrades!$T$16="Peculiar Velocity",POWER(Upgrades!$U$16,H374),1)*IF(Upgrades!$T$17="Peculiar Velocity",POWER(Upgrades!$U$17,I374),1)*IF(Upgrades!$T$18="Peculiar Velocity",POWER(Upgrades!$U$18,J374),1)*IF(Upgrades!$T$20="Peculiar Velocity",POWER(Upgrades!$U$20,L374),1)*IF(Upgrades!$T$21="Peculiar Velocity",POWER(Upgrades!$U$21,M374),1))+(IF(L374=0,0,(Upgrades!$M$20+L374*Upgrades!$N$20)*POWER(Upgrades!$O$20,L374)))*(IF(Upgrades!$T$13="Open Cluster",POWER(Upgrades!$U$13,E374),1)*IF(Upgrades!$T$14="Open Cluster",POWER(Upgrades!$U$14,F374),1)*IF(Upgrades!$T$15="Open Cluster",POWER(Upgrades!$U$15,G374),1)*IF(Upgrades!$T$16="Open Cluster",POWER(Upgrades!$U$16,H374),1)*IF(Upgrades!$T$17="Open Cluster",POWER(Upgrades!$U$17,I374),1)*IF(Upgrades!$T$18="Open Cluster",POWER(Upgrades!$U$18,J374),1)*IF(Upgrades!$T$19="Open Cluster",POWER(Upgrades!$U$19,K374),1)*IF(Upgrades!$T$21="Open Cluster",POWER(Upgrades!$U$21,M374),1))+(IF(M374=0,0,(Upgrades!$M$21+M374*Upgrades!$N$21)*POWER(Upgrades!$O$21,M374)))*(IF(Upgrades!$T$13="Moving Group",POWER(Upgrades!$U$13,E374),1)*IF(Upgrades!$T$14="Moving Group",POWER(Upgrades!$U$14,F374),1)*IF(Upgrades!$T$15="Moving Group",POWER(Upgrades!$U$15,G374),1)*IF(Upgrades!$T$16="Moving Group",POWER(Upgrades!$U$16,H374),1)*IF(Upgrades!$T$17="Moving Group",POWER(Upgrades!$U$17,I374),1)*IF(Upgrades!$T$18="Moving Group",POWER(Upgrades!$U$18,J374),1)*IF(Upgrades!$T$19="Moving Group",POWER(Upgrades!$U$19,K374),1)*IF(Upgrades!$T$20="Moving Group",POWER(Upgrades!$U$20,L374),1)))*POWER(Upgrades!$R$13,E374)*POWER(Upgrades!$R$14,F374)*POWER(Upgrades!$R$15,G374)*POWER(Upgrades!$R$16,H374)*POWER(Upgrades!$R$17,I374)*POWER(Upgrades!$R$18,J374)*POWER(Upgrades!$R$19,K374)*POWER(Upgrades!$R$20,L374)*POWER(Upgrades!$R$21,M374)*$H$6+$E$6</f>
        <v/>
      </c>
      <c r="R374" s="27">
        <f>IF(N374=1,0,O374*Parameters!$B$10/60*Parameters!$B$11*10)</f>
        <v/>
      </c>
      <c r="S374" s="27">
        <f>IF(N374=1,0,Q374*O374*10)</f>
        <v/>
      </c>
      <c r="T374" s="27">
        <f>IF(N374=1,0,R374+S374+P374*10)</f>
        <v/>
      </c>
      <c r="U374" s="33">
        <f>BE374</f>
        <v/>
      </c>
      <c r="V374" s="22">
        <f>IF(U374="",0,IF(U374="transition",0,IF(U374="SK",AK374,IF(U374="LB",AL374,IF(U374="ML",AM374,IF(U374="RLO",AN374,IF(U374="BD",AO374,IF(U374="BiP",AP374,IF(U374="PV",AQ374,IF(U374="OC",AR374,IF(U374="MG",AS374,0))))))))))</f>
        <v/>
      </c>
      <c r="W374" s="27">
        <f>IF(U374="BiP",Upgrades!$F$18,IF(U374="PV",Upgrades!$F$19,IF(U374="OC",Upgrades!$F$20,IF(U374="MG",Upgrades!$F$21,IF(U374="transition",-Parameters!$B$18*Parameters!$B$19,0)))))</f>
        <v/>
      </c>
      <c r="X374" s="22">
        <f>C374+T374-V374</f>
        <v/>
      </c>
      <c r="Y374" s="30">
        <f>O374*Parameters!$B$10/60*Parameters!$B$11+Q374*O374+P374</f>
        <v/>
      </c>
      <c r="Z374" s="34">
        <f>IF(U374="transition","→ Tier 3 (Galactic Arm)",IF(U374="MG","Moving Group — pocket drifts together",IF(U374="OC","Open Cluster acquired",IF(U374="PV","Peculiar Velocity — passive multiplier active",IF(U374="BiP","Binary Partner — pair bond formed",IF(AND(AU374=1,N374=0,AT374&lt;&gt;1),"Cohesion ready (waiting on completionists)","")))))) </f>
        <v/>
      </c>
      <c r="AA374" s="27">
        <f>(IF(E374=0,0,(Upgrades!$G$13+E374*Upgrades!$H$13)*POWER(Upgrades!$I$13,E374)))*(IF(Upgrades!$T$14="Stellar Kinematics",POWER(Upgrades!$U$14,F374),1)*IF(Upgrades!$T$15="Stellar Kinematics",POWER(Upgrades!$U$15,G374),1)*IF(Upgrades!$T$16="Stellar Kinematics",POWER(Upgrades!$U$16,H374),1)*IF(Upgrades!$T$17="Stellar Kinematics",POWER(Upgrades!$U$17,I374),1)*IF(Upgrades!$T$18="Stellar Kinematics",POWER(Upgrades!$U$18,J374),1)*IF(Upgrades!$T$19="Stellar Kinematics",POWER(Upgrades!$U$19,K374),1)*IF(Upgrades!$T$20="Stellar Kinematics",POWER(Upgrades!$U$20,L374),1)*IF(Upgrades!$T$21="Stellar Kinematics",POWER(Upgrades!$U$21,M374),1))*POWER(Upgrades!$P$13,E374)*POWER(Upgrades!$P$14,F374)*POWER(Upgrades!$P$15,G374)*POWER(Upgrades!$P$16,H374)*POWER(Upgrades!$P$17,I374)*POWER(Upgrades!$P$18,J374)*POWER(Upgrades!$P$19,K374)*POWER(Upgrades!$P$20,L374)*POWER(Upgrades!$P$21,M374)*$F$6*60</f>
        <v/>
      </c>
      <c r="AB374" s="27">
        <f>(IF(F374=0,0,(Upgrades!$G$14+F374*Upgrades!$H$14)*POWER(Upgrades!$I$14,F374)))*(IF(Upgrades!$T$13="Local Bubble",POWER(Upgrades!$U$13,E374),1)*IF(Upgrades!$T$15="Local Bubble",POWER(Upgrades!$U$15,G374),1)*IF(Upgrades!$T$16="Local Bubble",POWER(Upgrades!$U$16,H374),1)*IF(Upgrades!$T$17="Local Bubble",POWER(Upgrades!$U$17,I374),1)*IF(Upgrades!$T$18="Local Bubble",POWER(Upgrades!$U$18,J374),1)*IF(Upgrades!$T$19="Local Bubble",POWER(Upgrades!$U$19,K374),1)*IF(Upgrades!$T$20="Local Bubble",POWER(Upgrades!$U$20,L374),1)*IF(Upgrades!$T$21="Local Bubble",POWER(Upgrades!$U$21,M374),1))*POWER(Upgrades!$P$13,E374)*POWER(Upgrades!$P$14,F374)*POWER(Upgrades!$P$15,G374)*POWER(Upgrades!$P$16,H374)*POWER(Upgrades!$P$17,I374)*POWER(Upgrades!$P$18,J374)*POWER(Upgrades!$P$19,K374)*POWER(Upgrades!$P$20,L374)*POWER(Upgrades!$P$21,M374)*$F$6*60</f>
        <v/>
      </c>
      <c r="AC374" s="27">
        <f>(IF(G374=0,0,(Upgrades!$J$15+G374*Upgrades!$K$15)*POWER(Upgrades!$L$15,G374)))*(IF(Upgrades!$T$13="Microlensing",POWER(Upgrades!$U$13,E374),1)*IF(Upgrades!$T$14="Microlensing",POWER(Upgrades!$U$14,F374),1)*IF(Upgrades!$T$16="Microlensing",POWER(Upgrades!$U$16,H374),1)*IF(Upgrades!$T$17="Microlensing",POWER(Upgrades!$U$17,I374),1)*IF(Upgrades!$T$18="Microlensing",POWER(Upgrades!$U$18,J374),1)*IF(Upgrades!$T$19="Microlensing",POWER(Upgrades!$U$19,K374),1)*IF(Upgrades!$T$20="Microlensing",POWER(Upgrades!$U$20,L374),1)*IF(Upgrades!$T$21="Microlensing",POWER(Upgrades!$U$21,M374),1))*POWER(Upgrades!$Q$13,E374)*POWER(Upgrades!$Q$14,F374)*POWER(Upgrades!$Q$15,G374)*POWER(Upgrades!$Q$16,H374)*POWER(Upgrades!$Q$17,I374)*POWER(Upgrades!$Q$18,J374)*POWER(Upgrades!$Q$19,K374)*POWER(Upgrades!$Q$20,L374)*POWER(Upgrades!$Q$21,M374)*$G$6*(Parameters!$B$10*Parameters!$B$11+Q374*60)</f>
        <v/>
      </c>
      <c r="AD374" s="27">
        <f>(IF(H374=0,0,(Upgrades!$M$16+H374*Upgrades!$N$16)*POWER(Upgrades!$O$16,H374)))*(IF(Upgrades!$T$13="Roche Lobe Overflow",POWER(Upgrades!$U$13,E374),1)*IF(Upgrades!$T$14="Roche Lobe Overflow",POWER(Upgrades!$U$14,F374),1)*IF(Upgrades!$T$15="Roche Lobe Overflow",POWER(Upgrades!$U$15,G374),1)*IF(Upgrades!$T$17="Roche Lobe Overflow",POWER(Upgrades!$U$17,I374),1)*IF(Upgrades!$T$18="Roche Lobe Overflow",POWER(Upgrades!$U$18,J374),1)*IF(Upgrades!$T$19="Roche Lobe Overflow",POWER(Upgrades!$U$19,K374),1)*IF(Upgrades!$T$20="Roche Lobe Overflow",POWER(Upgrades!$U$20,L374),1)*IF(Upgrades!$T$21="Roche Lobe Overflow",POWER(Upgrades!$U$21,M374),1))*POWER(Upgrades!$R$13,E374)*POWER(Upgrades!$R$14,F374)*POWER(Upgrades!$R$15,G374)*POWER(Upgrades!$R$16,H374)*POWER(Upgrades!$R$17,I374)*POWER(Upgrades!$R$18,J374)*POWER(Upgrades!$R$19,K374)*POWER(Upgrades!$R$20,L374)*POWER(Upgrades!$R$21,M374)*$H$6*O374*60</f>
        <v/>
      </c>
      <c r="AE374" s="27">
        <f>(IF(I374=0,0,(Upgrades!$G$17+I374*Upgrades!$H$17)*POWER(Upgrades!$I$17,I374)))*(IF(Upgrades!$T$13="Brown Dwarf",POWER(Upgrades!$U$13,E374),1)*IF(Upgrades!$T$14="Brown Dwarf",POWER(Upgrades!$U$14,F374),1)*IF(Upgrades!$T$15="Brown Dwarf",POWER(Upgrades!$U$15,G374),1)*IF(Upgrades!$T$16="Brown Dwarf",POWER(Upgrades!$U$16,H374),1)*IF(Upgrades!$T$18="Brown Dwarf",POWER(Upgrades!$U$18,J374),1)*IF(Upgrades!$T$19="Brown Dwarf",POWER(Upgrades!$U$19,K374),1)*IF(Upgrades!$T$20="Brown Dwarf",POWER(Upgrades!$U$20,L374),1)*IF(Upgrades!$T$21="Brown Dwarf",POWER(Upgrades!$U$21,M374),1))*POWER(Upgrades!$P$13,E374)*POWER(Upgrades!$P$14,F374)*POWER(Upgrades!$P$15,G374)*POWER(Upgrades!$P$16,H374)*POWER(Upgrades!$P$17,I374)*POWER(Upgrades!$P$18,J374)*POWER(Upgrades!$P$19,K374)*POWER(Upgrades!$P$20,L374)*POWER(Upgrades!$P$21,M374)*$F$6*60</f>
        <v/>
      </c>
      <c r="AF374" s="27" t="n">
        <v>0</v>
      </c>
      <c r="AG374" s="27" t="n">
        <v>0</v>
      </c>
      <c r="AH374" s="27" t="n">
        <v>0</v>
      </c>
      <c r="AI374" s="27">
        <f>(IF(M374=0,0,(Upgrades!$G$21+M374*Upgrades!$H$21)*POWER(Upgrades!$I$21,M374)))*(IF(Upgrades!$T$13="Moving Group",POWER(Upgrades!$U$13,E374),1)*IF(Upgrades!$T$14="Moving Group",POWER(Upgrades!$U$14,F374),1)*IF(Upgrades!$T$15="Moving Group",POWER(Upgrades!$U$15,G374),1)*IF(Upgrades!$T$16="Moving Group",POWER(Upgrades!$U$16,H374),1)*IF(Upgrades!$T$17="Moving Group",POWER(Upgrades!$U$17,I374),1)*IF(Upgrades!$T$18="Moving Group",POWER(Upgrades!$U$18,J374),1)*IF(Upgrades!$T$19="Moving Group",POWER(Upgrades!$U$19,K374),1)*IF(Upgrades!$T$20="Moving Group",POWER(Upgrades!$U$20,L374),1))*POWER(Upgrades!$P$13,E374)*POWER(Upgrades!$P$14,F374)*POWER(Upgrades!$P$15,G374)*POWER(Upgrades!$P$16,H374)*POWER(Upgrades!$P$17,I374)*POWER(Upgrades!$P$18,J374)*POWER(Upgrades!$P$19,K374)*POWER(Upgrades!$P$20,L374)*POWER(Upgrades!$P$21,M374)*$F$6*60</f>
        <v/>
      </c>
      <c r="AJ374" s="27">
        <f>$C$6*60</f>
        <v/>
      </c>
      <c r="AK374" s="22">
        <f>IF(E374&gt;=Upgrades!$E$13,"",Upgrades!$C$13*POWER(Upgrades!$D$13,E374))</f>
        <v/>
      </c>
      <c r="AL374" s="22">
        <f>IF(F374&gt;=Upgrades!$E$14,"",Upgrades!$C$14*POWER(Upgrades!$D$14,F374))</f>
        <v/>
      </c>
      <c r="AM374" s="22">
        <f>IF(G374&gt;=Upgrades!$E$15,"",Upgrades!$C$15*POWER(Upgrades!$D$15,G374))</f>
        <v/>
      </c>
      <c r="AN374" s="22">
        <f>IF(H374&gt;=Upgrades!$E$16,"",Upgrades!$C$16*POWER(Upgrades!$D$16,H374))</f>
        <v/>
      </c>
      <c r="AO374" s="22">
        <f>IF(I374&gt;=Upgrades!$E$17,"",Upgrades!$C$17*POWER(Upgrades!$D$17,I374))</f>
        <v/>
      </c>
      <c r="AP374" s="22">
        <f>IF(J374&gt;=Upgrades!$E$18,"",Upgrades!$C$18*POWER(Upgrades!$D$18,J374))</f>
        <v/>
      </c>
      <c r="AQ374" s="22">
        <f>IF(K374&gt;=Upgrades!$E$19,"",Upgrades!$C$19*POWER(Upgrades!$D$19,K374))</f>
        <v/>
      </c>
      <c r="AR374" s="22">
        <f>IF(L374&gt;=Upgrades!$E$20,"",Upgrades!$C$20*POWER(Upgrades!$D$20,L374))</f>
        <v/>
      </c>
      <c r="AS374" s="22">
        <f>IF(M374&gt;=Upgrades!$E$21,"",Upgrades!$C$21*POWER(Upgrades!$D$21,M374))</f>
        <v/>
      </c>
      <c r="AT374" s="26">
        <f>IF(AND(D374&gt;=Parameters!$B$18*Parameters!$B$19,(I374&gt;=Upgrades!$E$17)*(M374&gt;=Upgrades!$E$21)=1,N374=0),1,"")</f>
        <v/>
      </c>
      <c r="AU374" s="26">
        <f>IF(AND(D374&gt;=Parameters!$B$18*Parameters!$B$19,N374=0),1,"")</f>
        <v/>
      </c>
      <c r="AV374" s="22">
        <f>MIN(IF(ISNUMBER(AP374),AP374,9E15),IF(ISNUMBER(AQ374),AQ374,9E15),IF(ISNUMBER(AR374),AR374,9E15),IF(ISNUMBER(AS374),AS374,9E15))</f>
        <v/>
      </c>
      <c r="AW374" s="22">
        <f>MIN(IF(ISNUMBER(AK374),AK374,9E15),IF(ISNUMBER(AL374),AL374,9E15),IF(ISNUMBER(AM374),AM374,9E15),IF(ISNUMBER(AN374),AN374,9E15),IF(ISNUMBER(AO374),AO374,9E15))</f>
        <v/>
      </c>
      <c r="AX374" s="29">
        <f>IF(BD374&gt;Parameters!$B$21*(MAX(IF(AND(NOT(AND(AU374=1,AT374&lt;&gt;1)),ISNUMBER(AK374),AK374&lt;=(C374+T374)),AY374,0),IF(AND(NOT(AND(AU374=1,AT374&lt;&gt;1)),ISNUMBER(AL374),AL374&lt;=(C374+T374)),AZ374,0),IF(AND(NOT(AND(AU374=1,AT374&lt;&gt;1)),ISNUMBER(AM374),AM374&lt;=(C374+T374)),BA374,0),IF(AND(NOT(AND(AU374=1,AT374&lt;&gt;1)),ISNUMBER(AN374),AN374&lt;=(C374+T374)),BB374,0),IF(AND(ISNUMBER(AO374),AO374&lt;=(C374+T374)),BC374,0))),TRUE,FALSE)</f>
        <v/>
      </c>
      <c r="AY374" s="32">
        <f>IFERROR(Upgrades!$H$13*(POWER(Upgrades!$P$13,E374)*POWER(Upgrades!$P$14,F374)*POWER(Upgrades!$P$15,G374)*POWER(Upgrades!$P$16,H374)*POWER(Upgrades!$P$17,I374)*POWER(Upgrades!$P$18,J374)*POWER(Upgrades!$P$19,K374)*POWER(Upgrades!$P$20,L374)*POWER(Upgrades!$P$21,M374))*(IF(Upgrades!$T$14="Stellar Kinematics",POWER(Upgrades!$U$14,F374),1)*IF(Upgrades!$T$15="Stellar Kinematics",POWER(Upgrades!$U$15,G374),1)*IF(Upgrades!$T$16="Stellar Kinematics",POWER(Upgrades!$U$16,H374),1)*IF(Upgrades!$T$17="Stellar Kinematics",POWER(Upgrades!$U$17,I374),1)*IF(Upgrades!$T$18="Stellar Kinematics",POWER(Upgrades!$U$18,J374),1)*IF(Upgrades!$T$19="Stellar Kinematics",POWER(Upgrades!$U$19,K374),1)*IF(Upgrades!$T$20="Stellar Kinematics",POWER(Upgrades!$U$20,L374),1)*IF(Upgrades!$T$21="Stellar Kinematics",POWER(Upgrades!$U$21,M374),1))*$F$6/AK374,0)</f>
        <v/>
      </c>
      <c r="AZ374" s="32">
        <f>IFERROR(Upgrades!$H$14*(POWER(Upgrades!$P$13,E374)*POWER(Upgrades!$P$14,F374)*POWER(Upgrades!$P$15,G374)*POWER(Upgrades!$P$16,H374)*POWER(Upgrades!$P$17,I374)*POWER(Upgrades!$P$18,J374)*POWER(Upgrades!$P$19,K374)*POWER(Upgrades!$P$20,L374)*POWER(Upgrades!$P$21,M374))*(IF(Upgrades!$T$13="Local Bubble",POWER(Upgrades!$U$13,E374),1)*IF(Upgrades!$T$15="Local Bubble",POWER(Upgrades!$U$15,G374),1)*IF(Upgrades!$T$16="Local Bubble",POWER(Upgrades!$U$16,H374),1)*IF(Upgrades!$T$17="Local Bubble",POWER(Upgrades!$U$17,I374),1)*IF(Upgrades!$T$18="Local Bubble",POWER(Upgrades!$U$18,J374),1)*IF(Upgrades!$T$19="Local Bubble",POWER(Upgrades!$U$19,K374),1)*IF(Upgrades!$T$20="Local Bubble",POWER(Upgrades!$U$20,L374),1)*IF(Upgrades!$T$21="Local Bubble",POWER(Upgrades!$U$21,M374),1))*$F$6/AL374,0)</f>
        <v/>
      </c>
      <c r="BA374" s="32">
        <f>IFERROR(Upgrades!$K$15*(POWER(Upgrades!$Q$13,E374)*POWER(Upgrades!$Q$14,F374)*POWER(Upgrades!$Q$15,G374)*POWER(Upgrades!$Q$16,H374)*POWER(Upgrades!$Q$17,I374)*POWER(Upgrades!$Q$18,J374)*POWER(Upgrades!$Q$19,K374)*POWER(Upgrades!$Q$20,L374)*POWER(Upgrades!$Q$21,M374))*(IF(Upgrades!$T$13="Microlensing",POWER(Upgrades!$U$13,E374),1)*IF(Upgrades!$T$14="Microlensing",POWER(Upgrades!$U$14,F374),1)*IF(Upgrades!$T$16="Microlensing",POWER(Upgrades!$U$16,H374),1)*IF(Upgrades!$T$17="Microlensing",POWER(Upgrades!$U$17,I374),1)*IF(Upgrades!$T$18="Microlensing",POWER(Upgrades!$U$18,J374),1)*IF(Upgrades!$T$19="Microlensing",POWER(Upgrades!$U$19,K374),1)*IF(Upgrades!$T$20="Microlensing",POWER(Upgrades!$U$20,L374),1)*IF(Upgrades!$T$21="Microlensing",POWER(Upgrades!$U$21,M374),1))*$G$6*(Parameters!$B$10/60*Parameters!$B$11+Q374)/AM374,0)</f>
        <v/>
      </c>
      <c r="BB374" s="32">
        <f>IFERROR((Upgrades!$N$16*(POWER(Upgrades!$R$13,E374)*POWER(Upgrades!$R$14,F374)*POWER(Upgrades!$R$15,G374)*POWER(Upgrades!$R$16,H374)*POWER(Upgrades!$R$17,I374)*POWER(Upgrades!$R$18,J374)*POWER(Upgrades!$R$19,K374)*POWER(Upgrades!$R$20,L374)*POWER(Upgrades!$R$21,M374))*(IF(Upgrades!$T$13="Roche Lobe Overflow",POWER(Upgrades!$U$13,E374),1)*IF(Upgrades!$T$14="Roche Lobe Overflow",POWER(Upgrades!$U$14,F374),1)*IF(Upgrades!$T$15="Roche Lobe Overflow",POWER(Upgrades!$U$15,G374),1)*IF(Upgrades!$T$17="Roche Lobe Overflow",POWER(Upgrades!$U$17,I374),1)*IF(Upgrades!$T$18="Roche Lobe Overflow",POWER(Upgrades!$U$18,J374),1)*IF(Upgrades!$T$19="Roche Lobe Overflow",POWER(Upgrades!$U$19,K374),1)*IF(Upgrades!$T$20="Roche Lobe Overflow",POWER(Upgrades!$U$20,L374),1)*IF(Upgrades!$T$21="Roche Lobe Overflow",POWER(Upgrades!$U$21,M374),1))*$H$6*O374+((IF(F374=0,0,(Upgrades!$G$14+F374*Upgrades!$H$14)*POWER(Upgrades!$I$14,F374)))*(IF(Upgrades!$T$13="Local Bubble",POWER(Upgrades!$U$13,E374),1)*IF(Upgrades!$T$15="Local Bubble",POWER(Upgrades!$U$15,G374),1)*IF(Upgrades!$T$16="Local Bubble",POWER(Upgrades!$U$16,H374),1)*IF(Upgrades!$T$17="Local Bubble",POWER(Upgrades!$U$17,I374),1)*IF(Upgrades!$T$18="Local Bubble",POWER(Upgrades!$U$18,J374),1)*IF(Upgrades!$T$19="Local Bubble",POWER(Upgrades!$U$19,K374),1)*IF(Upgrades!$T$20="Local Bubble",POWER(Upgrades!$U$20,L374),1)*IF(Upgrades!$T$21="Local Bubble",POWER(Upgrades!$U$21,M374),1))*POWER(Upgrades!$P$13,E374)*POWER(Upgrades!$P$14,F374)*POWER(Upgrades!$P$15,G374)*POWER(Upgrades!$P$16,H374)*POWER(Upgrades!$P$17,I374)*POWER(Upgrades!$P$18,J374)*POWER(Upgrades!$P$19,K374)*POWER(Upgrades!$P$20,L374)*POWER(Upgrades!$P$21,M374)*$F$6)*0.05)/AN374,0)</f>
        <v/>
      </c>
      <c r="BC374" s="32">
        <f>IFERROR((Upgrades!$H$17*(POWER(Upgrades!$P$13,E374)*POWER(Upgrades!$P$14,F374)*POWER(Upgrades!$P$15,G374)*POWER(Upgrades!$P$16,H374)*POWER(Upgrades!$P$17,I374)*POWER(Upgrades!$P$18,J374)*POWER(Upgrades!$P$19,K374)*POWER(Upgrades!$P$20,L374)*POWER(Upgrades!$P$21,M374))*(IF(Upgrades!$T$13="Brown Dwarf",POWER(Upgrades!$U$13,E374),1)*IF(Upgrades!$T$14="Brown Dwarf",POWER(Upgrades!$U$14,F374),1)*IF(Upgrades!$T$15="Brown Dwarf",POWER(Upgrades!$U$15,G374),1)*IF(Upgrades!$T$16="Brown Dwarf",POWER(Upgrades!$U$16,H374),1)*IF(Upgrades!$T$18="Brown Dwarf",POWER(Upgrades!$U$18,J374),1)*IF(Upgrades!$T$19="Brown Dwarf",POWER(Upgrades!$U$19,K374),1)*IF(Upgrades!$T$20="Brown Dwarf",POWER(Upgrades!$U$20,L374),1)*IF(Upgrades!$T$21="Brown Dwarf",POWER(Upgrades!$U$21,M374),1))*$F$6+(((IF(H374=0,0,(Upgrades!$M$16+H374*Upgrades!$N$16)*POWER(Upgrades!$O$16,H374)))*(IF(Upgrades!$T$13="Roche Lobe Overflow",POWER(Upgrades!$U$13,E374),1)*IF(Upgrades!$T$14="Roche Lobe Overflow",POWER(Upgrades!$U$14,F374),1)*IF(Upgrades!$T$15="Roche Lobe Overflow",POWER(Upgrades!$U$15,G374),1)*IF(Upgrades!$T$17="Roche Lobe Overflow",POWER(Upgrades!$U$17,I374),1)*IF(Upgrades!$T$18="Roche Lobe Overflow",POWER(Upgrades!$U$18,J374),1)*IF(Upgrades!$T$19="Roche Lobe Overflow",POWER(Upgrades!$U$19,K374),1)*IF(Upgrades!$T$20="Roche Lobe Overflow",POWER(Upgrades!$U$20,L374),1)*IF(Upgrades!$T$21="Roche Lobe Overflow",POWER(Upgrades!$U$21,M374),1))*POWER(Upgrades!$R$13,E374)*POWER(Upgrades!$R$14,F374)*POWER(Upgrades!$R$15,G374)*POWER(Upgrades!$R$16,H374)*POWER(Upgrades!$R$17,I374)*POWER(Upgrades!$R$18,J374)*POWER(Upgrades!$R$19,K374)*POWER(Upgrades!$R$20,L374)*POWER(Upgrades!$R$21,M374)*$H$6)*O374)*0.10)/AO374,0)</f>
        <v/>
      </c>
      <c r="BD374" s="32">
        <f>MAX(IF(J374&gt;0,0,IFERROR(0.5*((IF(G374=0,0,(Upgrades!$J$15+G374*Upgrades!$K$15)*POWER(Upgrades!$L$15,G374)))*(IF(Upgrades!$T$13="Microlensing",POWER(Upgrades!$U$13,E374),1)*IF(Upgrades!$T$14="Microlensing",POWER(Upgrades!$U$14,F374),1)*IF(Upgrades!$T$16="Microlensing",POWER(Upgrades!$U$16,H374),1)*IF(Upgrades!$T$17="Microlensing",POWER(Upgrades!$U$17,I374),1)*IF(Upgrades!$T$18="Microlensing",POWER(Upgrades!$U$18,J374),1)*IF(Upgrades!$T$19="Microlensing",POWER(Upgrades!$U$19,K374),1)*IF(Upgrades!$T$20="Microlensing",POWER(Upgrades!$U$20,L374),1)*IF(Upgrades!$T$21="Microlensing",POWER(Upgrades!$U$21,M374),1))*(POWER(Upgrades!$Q$13,E374)*POWER(Upgrades!$Q$14,F374)*POWER(Upgrades!$Q$15,G374)*POWER(Upgrades!$Q$16,H374)*POWER(Upgrades!$Q$17,I374)*POWER(Upgrades!$Q$18,J374)*POWER(Upgrades!$Q$19,K374)*POWER(Upgrades!$Q$20,L374)*POWER(Upgrades!$Q$21,M374))*$G$6*(Parameters!$B$10/60*Parameters!$B$11+Q374))/Upgrades!$C$18,0)),IF(K374&gt;0,0,IFERROR(0.30*P374/Upgrades!$C$19,0)),IF(L374&gt;0,0,IFERROR(0.0001/Upgrades!$C$20,0)),IF(M374&gt;0,0,IFERROR((6.0*(POWER(Upgrades!$P$13,E374)*POWER(Upgrades!$P$14,F374)*POWER(Upgrades!$P$15,G374)*POWER(Upgrades!$P$16,H374)*POWER(Upgrades!$P$17,I374)*POWER(Upgrades!$P$18,J374)*POWER(Upgrades!$P$19,K374)*POWER(Upgrades!$P$20,L374)*POWER(Upgrades!$P$21,M374))*$F$6+0.20*O374*(Parameters!$B$10/60*Parameters!$B$11+Q374))/Upgrades!$C$21,0)),IF(AND(ISNUMBER(AK374),AK374&gt;(C374+T374)),AY374,0),IF(AND(ISNUMBER(AL374),AL374&gt;(C374+T374)),AZ374,0),IF(AND(ISNUMBER(AM374),AM374&gt;(C374+T374)),BA374,0),IF(AND(ISNUMBER(AN374),AN374&gt;(C374+T374)),BB374,0),IF(AND(ISNUMBER(AO374),AO374&gt;(C374+T374)),BC374,0))</f>
        <v/>
      </c>
      <c r="BE374" s="29">
        <f>IF(AT374=1,"transition",IF(MIN(IF(AND(J374=0,ISNUMBER(AP374),AP374&lt;=(C374+T374)),AP374,9E15),IF(AND(K374=0,ISNUMBER(AQ374),AQ374&lt;=(C374+T374)),AQ374,9E15),IF(AND(L374=0,ISNUMBER(AR374),AR374&lt;=(C374+T374)),AR374,9E15),IF(AND(M374=0,ISNUMBER(AS374),AS374&lt;=(C374+T374)),AS374,9E15))&lt;9E15,IF(AND(AND(J374=0,ISNUMBER(AP374),AP374&lt;=(C374+T374)),AP374=MIN(IF(AND(J374=0,ISNUMBER(AP374),AP374&lt;=(C374+T374)),AP374,9E15),IF(AND(K374=0,ISNUMBER(AQ374),AQ374&lt;=(C374+T374)),AQ374,9E15),IF(AND(L374=0,ISNUMBER(AR374),AR374&lt;=(C374+T374)),AR374,9E15),IF(AND(M374=0,ISNUMBER(AS374),AS374&lt;=(C374+T374)),AS374,9E15))),"BiP",IF(AND(AND(K374=0,ISNUMBER(AQ374),AQ374&lt;=(C374+T374)),AQ374=MIN(IF(AND(J374=0,ISNUMBER(AP374),AP374&lt;=(C374+T374)),AP374,9E15),IF(AND(K374=0,ISNUMBER(AQ374),AQ374&lt;=(C374+T374)),AQ374,9E15),IF(AND(L374=0,ISNUMBER(AR374),AR374&lt;=(C374+T374)),AR374,9E15),IF(AND(M374=0,ISNUMBER(AS374),AS374&lt;=(C374+T374)),AS374,9E15))),"PV",IF(AND(AND(L374=0,ISNUMBER(AR374),AR374&lt;=(C374+T374)),AR374=MIN(IF(AND(J374=0,ISNUMBER(AP374),AP374&lt;=(C374+T374)),AP374,9E15),IF(AND(K374=0,ISNUMBER(AQ374),AQ374&lt;=(C374+T374)),AQ374,9E15),IF(AND(L374=0,ISNUMBER(AR374),AR374&lt;=(C374+T374)),AR374,9E15),IF(AND(M374=0,ISNUMBER(AS374),AS374&lt;=(C374+T374)),AS374,9E15))),"OC","MG"))),IF(AX374=TRUE,"",IF(MAX(IF(AND(NOT(AND(AU374=1,AT374&lt;&gt;1)),ISNUMBER(AK374),AK374&lt;=(C374+T374)),AY374,0),IF(AND(NOT(AND(AU374=1,AT374&lt;&gt;1)),ISNUMBER(AL374),AL374&lt;=(C374+T374)),AZ374,0),IF(AND(NOT(AND(AU374=1,AT374&lt;&gt;1)),ISNUMBER(AM374),AM374&lt;=(C374+T374)),BA374,0),IF(AND(NOT(AND(AU374=1,AT374&lt;&gt;1)),ISNUMBER(AN374),AN374&lt;=(C374+T374)),BB374,0),IF(AND(ISNUMBER(AO374),AO374&lt;=(C374+T374)),BC374,0))&lt;=0,"",IF(AND(IF(AND(NOT(AND(AU374=1,AT374&lt;&gt;1)),ISNUMBER(AK374),AK374&lt;=(C374+T374)),AY374,0)&gt;0,IF(AND(NOT(AND(AU374=1,AT374&lt;&gt;1)),ISNUMBER(AK374),AK374&lt;=(C374+T374)),AY374,0)=MAX(IF(AND(NOT(AND(AU374=1,AT374&lt;&gt;1)),ISNUMBER(AK374),AK374&lt;=(C374+T374)),AY374,0),IF(AND(NOT(AND(AU374=1,AT374&lt;&gt;1)),ISNUMBER(AL374),AL374&lt;=(C374+T374)),AZ374,0),IF(AND(NOT(AND(AU374=1,AT374&lt;&gt;1)),ISNUMBER(AM374),AM374&lt;=(C374+T374)),BA374,0),IF(AND(NOT(AND(AU374=1,AT374&lt;&gt;1)),ISNUMBER(AN374),AN374&lt;=(C374+T374)),BB374,0),IF(AND(ISNUMBER(AO374),AO374&lt;=(C374+T374)),BC374,0))),"SK",IF(AND(IF(AND(NOT(AND(AU374=1,AT374&lt;&gt;1)),ISNUMBER(AL374),AL374&lt;=(C374+T374)),AZ374,0)&gt;0,IF(AND(NOT(AND(AU374=1,AT374&lt;&gt;1)),ISNUMBER(AL374),AL374&lt;=(C374+T374)),AZ374,0)=MAX(IF(AND(NOT(AND(AU374=1,AT374&lt;&gt;1)),ISNUMBER(AK374),AK374&lt;=(C374+T374)),AY374,0),IF(AND(NOT(AND(AU374=1,AT374&lt;&gt;1)),ISNUMBER(AL374),AL374&lt;=(C374+T374)),AZ374,0),IF(AND(NOT(AND(AU374=1,AT374&lt;&gt;1)),ISNUMBER(AM374),AM374&lt;=(C374+T374)),BA374,0),IF(AND(NOT(AND(AU374=1,AT374&lt;&gt;1)),ISNUMBER(AN374),AN374&lt;=(C374+T374)),BB374,0),IF(AND(ISNUMBER(AO374),AO374&lt;=(C374+T374)),BC374,0))),"LB",IF(AND(IF(AND(NOT(AND(AU374=1,AT374&lt;&gt;1)),ISNUMBER(AM374),AM374&lt;=(C374+T374)),BA374,0)&gt;0,IF(AND(NOT(AND(AU374=1,AT374&lt;&gt;1)),ISNUMBER(AM374),AM374&lt;=(C374+T374)),BA374,0)=MAX(IF(AND(NOT(AND(AU374=1,AT374&lt;&gt;1)),ISNUMBER(AK374),AK374&lt;=(C374+T374)),AY374,0),IF(AND(NOT(AND(AU374=1,AT374&lt;&gt;1)),ISNUMBER(AL374),AL374&lt;=(C374+T374)),AZ374,0),IF(AND(NOT(AND(AU374=1,AT374&lt;&gt;1)),ISNUMBER(AM374),AM374&lt;=(C374+T374)),BA374,0),IF(AND(NOT(AND(AU374=1,AT374&lt;&gt;1)),ISNUMBER(AN374),AN374&lt;=(C374+T374)),BB374,0),IF(AND(ISNUMBER(AO374),AO374&lt;=(C374+T374)),BC374,0))),"ML",IF(AND(IF(AND(NOT(AND(AU374=1,AT374&lt;&gt;1)),ISNUMBER(AN374),AN374&lt;=(C374+T374)),BB374,0)&gt;0,IF(AND(NOT(AND(AU374=1,AT374&lt;&gt;1)),ISNUMBER(AN374),AN374&lt;=(C374+T374)),BB374,0)=MAX(IF(AND(NOT(AND(AU374=1,AT374&lt;&gt;1)),ISNUMBER(AK374),AK374&lt;=(C374+T374)),AY374,0),IF(AND(NOT(AND(AU374=1,AT374&lt;&gt;1)),ISNUMBER(AL374),AL374&lt;=(C374+T374)),AZ374,0),IF(AND(NOT(AND(AU374=1,AT374&lt;&gt;1)),ISNUMBER(AM374),AM374&lt;=(C374+T374)),BA374,0),IF(AND(NOT(AND(AU374=1,AT374&lt;&gt;1)),ISNUMBER(AN374),AN374&lt;=(C374+T374)),BB374,0),IF(AND(ISNUMBER(AO374),AO374&lt;=(C374+T374)),BC374,0))),"RLO","BD"))))))))</f>
        <v/>
      </c>
    </row>
    <row r="375">
      <c r="A375" s="26" t="n">
        <v>364</v>
      </c>
      <c r="B375" s="27">
        <f>A375*10/60</f>
        <v/>
      </c>
      <c r="C375" s="22">
        <f>X374</f>
        <v/>
      </c>
      <c r="D375" s="27">
        <f>D374+W374</f>
        <v/>
      </c>
      <c r="E375" s="26">
        <f>E374+IF(U374="SK",1,0)</f>
        <v/>
      </c>
      <c r="F375" s="26">
        <f>F374+IF(U374="LB",1,0)</f>
        <v/>
      </c>
      <c r="G375" s="26">
        <f>G374+IF(U374="ML",1,0)</f>
        <v/>
      </c>
      <c r="H375" s="26">
        <f>H374+IF(U374="RLO",1,0)</f>
        <v/>
      </c>
      <c r="I375" s="26">
        <f>I374+IF(U374="BD",1,0)</f>
        <v/>
      </c>
      <c r="J375" s="26">
        <f>MAX(J374,IF(U374="BiP",1,0))</f>
        <v/>
      </c>
      <c r="K375" s="26">
        <f>MAX(K374,IF(U374="PV",1,0))</f>
        <v/>
      </c>
      <c r="L375" s="26">
        <f>MAX(L374,IF(U374="OC",1,0))</f>
        <v/>
      </c>
      <c r="M375" s="26">
        <f>MAX(M374,IF(U374="MG",1,0))</f>
        <v/>
      </c>
      <c r="N375" s="26">
        <f>MAX(N374,IF(U374="transition",1,0))</f>
        <v/>
      </c>
      <c r="O375" s="28">
        <f>(Parameters!$B$9+(IF(E375=0,0,(Upgrades!$J$13+E375*Upgrades!$K$13)*POWER(Upgrades!$L$13,E375)))*(IF(Upgrades!$T$14="Stellar Kinematics",POWER(Upgrades!$U$14,F375),1)*IF(Upgrades!$T$15="Stellar Kinematics",POWER(Upgrades!$U$15,G375),1)*IF(Upgrades!$T$16="Stellar Kinematics",POWER(Upgrades!$U$16,H375),1)*IF(Upgrades!$T$17="Stellar Kinematics",POWER(Upgrades!$U$17,I375),1)*IF(Upgrades!$T$18="Stellar Kinematics",POWER(Upgrades!$U$18,J375),1)*IF(Upgrades!$T$19="Stellar Kinematics",POWER(Upgrades!$U$19,K375),1)*IF(Upgrades!$T$20="Stellar Kinematics",POWER(Upgrades!$U$20,L375),1)*IF(Upgrades!$T$21="Stellar Kinematics",POWER(Upgrades!$U$21,M375),1))+(IF(F375=0,0,(Upgrades!$J$14+F375*Upgrades!$K$14)*POWER(Upgrades!$L$14,F375)))*(IF(Upgrades!$T$13="Local Bubble",POWER(Upgrades!$U$13,E375),1)*IF(Upgrades!$T$15="Local Bubble",POWER(Upgrades!$U$15,G375),1)*IF(Upgrades!$T$16="Local Bubble",POWER(Upgrades!$U$16,H375),1)*IF(Upgrades!$T$17="Local Bubble",POWER(Upgrades!$U$17,I375),1)*IF(Upgrades!$T$18="Local Bubble",POWER(Upgrades!$U$18,J375),1)*IF(Upgrades!$T$19="Local Bubble",POWER(Upgrades!$U$19,K375),1)*IF(Upgrades!$T$20="Local Bubble",POWER(Upgrades!$U$20,L375),1)*IF(Upgrades!$T$21="Local Bubble",POWER(Upgrades!$U$21,M375),1))+(IF(G375=0,0,(Upgrades!$J$15+G375*Upgrades!$K$15)*POWER(Upgrades!$L$15,G375)))*(IF(Upgrades!$T$13="Microlensing",POWER(Upgrades!$U$13,E375),1)*IF(Upgrades!$T$14="Microlensing",POWER(Upgrades!$U$14,F375),1)*IF(Upgrades!$T$16="Microlensing",POWER(Upgrades!$U$16,H375),1)*IF(Upgrades!$T$17="Microlensing",POWER(Upgrades!$U$17,I375),1)*IF(Upgrades!$T$18="Microlensing",POWER(Upgrades!$U$18,J375),1)*IF(Upgrades!$T$19="Microlensing",POWER(Upgrades!$U$19,K375),1)*IF(Upgrades!$T$20="Microlensing",POWER(Upgrades!$U$20,L375),1)*IF(Upgrades!$T$21="Microlensing",POWER(Upgrades!$U$21,M375),1))+(IF(H375=0,0,(Upgrades!$J$16+H375*Upgrades!$K$16)*POWER(Upgrades!$L$16,H375)))*(IF(Upgrades!$T$13="Roche Lobe Overflow",POWER(Upgrades!$U$13,E375),1)*IF(Upgrades!$T$14="Roche Lobe Overflow",POWER(Upgrades!$U$14,F375),1)*IF(Upgrades!$T$15="Roche Lobe Overflow",POWER(Upgrades!$U$15,G375),1)*IF(Upgrades!$T$17="Roche Lobe Overflow",POWER(Upgrades!$U$17,I375),1)*IF(Upgrades!$T$18="Roche Lobe Overflow",POWER(Upgrades!$U$18,J375),1)*IF(Upgrades!$T$19="Roche Lobe Overflow",POWER(Upgrades!$U$19,K375),1)*IF(Upgrades!$T$20="Roche Lobe Overflow",POWER(Upgrades!$U$20,L375),1)*IF(Upgrades!$T$21="Roche Lobe Overflow",POWER(Upgrades!$U$21,M375),1))+(IF(I375=0,0,(Upgrades!$J$17+I375*Upgrades!$K$17)*POWER(Upgrades!$L$17,I375)))*(IF(Upgrades!$T$13="Brown Dwarf",POWER(Upgrades!$U$13,E375),1)*IF(Upgrades!$T$14="Brown Dwarf",POWER(Upgrades!$U$14,F375),1)*IF(Upgrades!$T$15="Brown Dwarf",POWER(Upgrades!$U$15,G375),1)*IF(Upgrades!$T$16="Brown Dwarf",POWER(Upgrades!$U$16,H375),1)*IF(Upgrades!$T$18="Brown Dwarf",POWER(Upgrades!$U$18,J375),1)*IF(Upgrades!$T$19="Brown Dwarf",POWER(Upgrades!$U$19,K375),1)*IF(Upgrades!$T$20="Brown Dwarf",POWER(Upgrades!$U$20,L375),1)*IF(Upgrades!$T$21="Brown Dwarf",POWER(Upgrades!$U$21,M375),1))+(IF(J375=0,0,(Upgrades!$J$18+J375*Upgrades!$K$18)*POWER(Upgrades!$L$18,J375)))*(IF(Upgrades!$T$13="Binary Partner",POWER(Upgrades!$U$13,E375),1)*IF(Upgrades!$T$14="Binary Partner",POWER(Upgrades!$U$14,F375),1)*IF(Upgrades!$T$15="Binary Partner",POWER(Upgrades!$U$15,G375),1)*IF(Upgrades!$T$16="Binary Partner",POWER(Upgrades!$U$16,H375),1)*IF(Upgrades!$T$17="Binary Partner",POWER(Upgrades!$U$17,I375),1)*IF(Upgrades!$T$19="Binary Partner",POWER(Upgrades!$U$19,K375),1)*IF(Upgrades!$T$20="Binary Partner",POWER(Upgrades!$U$20,L375),1)*IF(Upgrades!$T$21="Binary Partner",POWER(Upgrades!$U$21,M375),1))+(IF(K375=0,0,(Upgrades!$J$19+K375*Upgrades!$K$19)*POWER(Upgrades!$L$19,K375)))*(IF(Upgrades!$T$13="Peculiar Velocity",POWER(Upgrades!$U$13,E375),1)*IF(Upgrades!$T$14="Peculiar Velocity",POWER(Upgrades!$U$14,F375),1)*IF(Upgrades!$T$15="Peculiar Velocity",POWER(Upgrades!$U$15,G375),1)*IF(Upgrades!$T$16="Peculiar Velocity",POWER(Upgrades!$U$16,H375),1)*IF(Upgrades!$T$17="Peculiar Velocity",POWER(Upgrades!$U$17,I375),1)*IF(Upgrades!$T$18="Peculiar Velocity",POWER(Upgrades!$U$18,J375),1)*IF(Upgrades!$T$20="Peculiar Velocity",POWER(Upgrades!$U$20,L375),1)*IF(Upgrades!$T$21="Peculiar Velocity",POWER(Upgrades!$U$21,M375),1))+(IF(L375=0,0,(Upgrades!$J$20+L375*Upgrades!$K$20)*POWER(Upgrades!$L$20,L375)))*(IF(Upgrades!$T$13="Open Cluster",POWER(Upgrades!$U$13,E375),1)*IF(Upgrades!$T$14="Open Cluster",POWER(Upgrades!$U$14,F375),1)*IF(Upgrades!$T$15="Open Cluster",POWER(Upgrades!$U$15,G375),1)*IF(Upgrades!$T$16="Open Cluster",POWER(Upgrades!$U$16,H375),1)*IF(Upgrades!$T$17="Open Cluster",POWER(Upgrades!$U$17,I375),1)*IF(Upgrades!$T$18="Open Cluster",POWER(Upgrades!$U$18,J375),1)*IF(Upgrades!$T$19="Open Cluster",POWER(Upgrades!$U$19,K375),1)*IF(Upgrades!$T$21="Open Cluster",POWER(Upgrades!$U$21,M375),1))+(IF(M375=0,0,(Upgrades!$J$21+M375*Upgrades!$K$21)*POWER(Upgrades!$L$21,M375)))*(IF(Upgrades!$T$13="Moving Group",POWER(Upgrades!$U$13,E375),1)*IF(Upgrades!$T$14="Moving Group",POWER(Upgrades!$U$14,F375),1)*IF(Upgrades!$T$15="Moving Group",POWER(Upgrades!$U$15,G375),1)*IF(Upgrades!$T$16="Moving Group",POWER(Upgrades!$U$16,H375),1)*IF(Upgrades!$T$17="Moving Group",POWER(Upgrades!$U$17,I375),1)*IF(Upgrades!$T$18="Moving Group",POWER(Upgrades!$U$18,J375),1)*IF(Upgrades!$T$19="Moving Group",POWER(Upgrades!$U$19,K375),1)*IF(Upgrades!$T$20="Moving Group",POWER(Upgrades!$U$20,L375),1)))*POWER(Upgrades!$Q$13,E375)*POWER(Upgrades!$Q$14,F375)*POWER(Upgrades!$Q$15,G375)*POWER(Upgrades!$Q$16,H375)*POWER(Upgrades!$Q$17,I375)*POWER(Upgrades!$Q$18,J375)*POWER(Upgrades!$Q$19,K375)*POWER(Upgrades!$Q$20,L375)*POWER(Upgrades!$Q$21,M375)*$G$6+$D$6</f>
        <v/>
      </c>
      <c r="P375" s="28">
        <f>((IF(E375=0,0,(Upgrades!$G$13+E375*Upgrades!$H$13)*POWER(Upgrades!$I$13,E375)))*(IF(Upgrades!$T$14="Stellar Kinematics",POWER(Upgrades!$U$14,F375),1)*IF(Upgrades!$T$15="Stellar Kinematics",POWER(Upgrades!$U$15,G375),1)*IF(Upgrades!$T$16="Stellar Kinematics",POWER(Upgrades!$U$16,H375),1)*IF(Upgrades!$T$17="Stellar Kinematics",POWER(Upgrades!$U$17,I375),1)*IF(Upgrades!$T$18="Stellar Kinematics",POWER(Upgrades!$U$18,J375),1)*IF(Upgrades!$T$19="Stellar Kinematics",POWER(Upgrades!$U$19,K375),1)*IF(Upgrades!$T$20="Stellar Kinematics",POWER(Upgrades!$U$20,L375),1)*IF(Upgrades!$T$21="Stellar Kinematics",POWER(Upgrades!$U$21,M375),1))+(IF(F375=0,0,(Upgrades!$G$14+F375*Upgrades!$H$14)*POWER(Upgrades!$I$14,F375)))*(IF(Upgrades!$T$13="Local Bubble",POWER(Upgrades!$U$13,E375),1)*IF(Upgrades!$T$15="Local Bubble",POWER(Upgrades!$U$15,G375),1)*IF(Upgrades!$T$16="Local Bubble",POWER(Upgrades!$U$16,H375),1)*IF(Upgrades!$T$17="Local Bubble",POWER(Upgrades!$U$17,I375),1)*IF(Upgrades!$T$18="Local Bubble",POWER(Upgrades!$U$18,J375),1)*IF(Upgrades!$T$19="Local Bubble",POWER(Upgrades!$U$19,K375),1)*IF(Upgrades!$T$20="Local Bubble",POWER(Upgrades!$U$20,L375),1)*IF(Upgrades!$T$21="Local Bubble",POWER(Upgrades!$U$21,M375),1))+(IF(G375=0,0,(Upgrades!$G$15+G375*Upgrades!$H$15)*POWER(Upgrades!$I$15,G375)))*(IF(Upgrades!$T$13="Microlensing",POWER(Upgrades!$U$13,E375),1)*IF(Upgrades!$T$14="Microlensing",POWER(Upgrades!$U$14,F375),1)*IF(Upgrades!$T$16="Microlensing",POWER(Upgrades!$U$16,H375),1)*IF(Upgrades!$T$17="Microlensing",POWER(Upgrades!$U$17,I375),1)*IF(Upgrades!$T$18="Microlensing",POWER(Upgrades!$U$18,J375),1)*IF(Upgrades!$T$19="Microlensing",POWER(Upgrades!$U$19,K375),1)*IF(Upgrades!$T$20="Microlensing",POWER(Upgrades!$U$20,L375),1)*IF(Upgrades!$T$21="Microlensing",POWER(Upgrades!$U$21,M375),1))+(IF(H375=0,0,(Upgrades!$G$16+H375*Upgrades!$H$16)*POWER(Upgrades!$I$16,H375)))*(IF(Upgrades!$T$13="Roche Lobe Overflow",POWER(Upgrades!$U$13,E375),1)*IF(Upgrades!$T$14="Roche Lobe Overflow",POWER(Upgrades!$U$14,F375),1)*IF(Upgrades!$T$15="Roche Lobe Overflow",POWER(Upgrades!$U$15,G375),1)*IF(Upgrades!$T$17="Roche Lobe Overflow",POWER(Upgrades!$U$17,I375),1)*IF(Upgrades!$T$18="Roche Lobe Overflow",POWER(Upgrades!$U$18,J375),1)*IF(Upgrades!$T$19="Roche Lobe Overflow",POWER(Upgrades!$U$19,K375),1)*IF(Upgrades!$T$20="Roche Lobe Overflow",POWER(Upgrades!$U$20,L375),1)*IF(Upgrades!$T$21="Roche Lobe Overflow",POWER(Upgrades!$U$21,M375),1))+(IF(I375=0,0,(Upgrades!$G$17+I375*Upgrades!$H$17)*POWER(Upgrades!$I$17,I375)))*(IF(Upgrades!$T$13="Brown Dwarf",POWER(Upgrades!$U$13,E375),1)*IF(Upgrades!$T$14="Brown Dwarf",POWER(Upgrades!$U$14,F375),1)*IF(Upgrades!$T$15="Brown Dwarf",POWER(Upgrades!$U$15,G375),1)*IF(Upgrades!$T$16="Brown Dwarf",POWER(Upgrades!$U$16,H375),1)*IF(Upgrades!$T$18="Brown Dwarf",POWER(Upgrades!$U$18,J375),1)*IF(Upgrades!$T$19="Brown Dwarf",POWER(Upgrades!$U$19,K375),1)*IF(Upgrades!$T$20="Brown Dwarf",POWER(Upgrades!$U$20,L375),1)*IF(Upgrades!$T$21="Brown Dwarf",POWER(Upgrades!$U$21,M375),1))+(IF(J375=0,0,(Upgrades!$G$18+J375*Upgrades!$H$18)*POWER(Upgrades!$I$18,J375)))*(IF(Upgrades!$T$13="Binary Partner",POWER(Upgrades!$U$13,E375),1)*IF(Upgrades!$T$14="Binary Partner",POWER(Upgrades!$U$14,F375),1)*IF(Upgrades!$T$15="Binary Partner",POWER(Upgrades!$U$15,G375),1)*IF(Upgrades!$T$16="Binary Partner",POWER(Upgrades!$U$16,H375),1)*IF(Upgrades!$T$17="Binary Partner",POWER(Upgrades!$U$17,I375),1)*IF(Upgrades!$T$19="Binary Partner",POWER(Upgrades!$U$19,K375),1)*IF(Upgrades!$T$20="Binary Partner",POWER(Upgrades!$U$20,L375),1)*IF(Upgrades!$T$21="Binary Partner",POWER(Upgrades!$U$21,M375),1))+(IF(K375=0,0,(Upgrades!$G$19+K375*Upgrades!$H$19)*POWER(Upgrades!$I$19,K375)))*(IF(Upgrades!$T$13="Peculiar Velocity",POWER(Upgrades!$U$13,E375),1)*IF(Upgrades!$T$14="Peculiar Velocity",POWER(Upgrades!$U$14,F375),1)*IF(Upgrades!$T$15="Peculiar Velocity",POWER(Upgrades!$U$15,G375),1)*IF(Upgrades!$T$16="Peculiar Velocity",POWER(Upgrades!$U$16,H375),1)*IF(Upgrades!$T$17="Peculiar Velocity",POWER(Upgrades!$U$17,I375),1)*IF(Upgrades!$T$18="Peculiar Velocity",POWER(Upgrades!$U$18,J375),1)*IF(Upgrades!$T$20="Peculiar Velocity",POWER(Upgrades!$U$20,L375),1)*IF(Upgrades!$T$21="Peculiar Velocity",POWER(Upgrades!$U$21,M375),1))+(IF(L375=0,0,(Upgrades!$G$20+L375*Upgrades!$H$20)*POWER(Upgrades!$I$20,L375)))*(IF(Upgrades!$T$13="Open Cluster",POWER(Upgrades!$U$13,E375),1)*IF(Upgrades!$T$14="Open Cluster",POWER(Upgrades!$U$14,F375),1)*IF(Upgrades!$T$15="Open Cluster",POWER(Upgrades!$U$15,G375),1)*IF(Upgrades!$T$16="Open Cluster",POWER(Upgrades!$U$16,H375),1)*IF(Upgrades!$T$17="Open Cluster",POWER(Upgrades!$U$17,I375),1)*IF(Upgrades!$T$18="Open Cluster",POWER(Upgrades!$U$18,J375),1)*IF(Upgrades!$T$19="Open Cluster",POWER(Upgrades!$U$19,K375),1)*IF(Upgrades!$T$21="Open Cluster",POWER(Upgrades!$U$21,M375),1))+(IF(M375=0,0,(Upgrades!$G$21+M375*Upgrades!$H$21)*POWER(Upgrades!$I$21,M375)))*(IF(Upgrades!$T$13="Moving Group",POWER(Upgrades!$U$13,E375),1)*IF(Upgrades!$T$14="Moving Group",POWER(Upgrades!$U$14,F375),1)*IF(Upgrades!$T$15="Moving Group",POWER(Upgrades!$U$15,G375),1)*IF(Upgrades!$T$16="Moving Group",POWER(Upgrades!$U$16,H375),1)*IF(Upgrades!$T$17="Moving Group",POWER(Upgrades!$U$17,I375),1)*IF(Upgrades!$T$18="Moving Group",POWER(Upgrades!$U$18,J375),1)*IF(Upgrades!$T$19="Moving Group",POWER(Upgrades!$U$19,K375),1)*IF(Upgrades!$T$20="Moving Group",POWER(Upgrades!$U$20,L375),1)))*POWER(Upgrades!$P$13,E375)*POWER(Upgrades!$P$14,F375)*POWER(Upgrades!$P$15,G375)*POWER(Upgrades!$P$16,H375)*POWER(Upgrades!$P$17,I375)*POWER(Upgrades!$P$18,J375)*POWER(Upgrades!$P$19,K375)*POWER(Upgrades!$P$20,L375)*POWER(Upgrades!$P$21,M375)*$F$6+$C$6</f>
        <v/>
      </c>
      <c r="Q375" s="28">
        <f>((IF(E375=0,0,(Upgrades!$M$13+E375*Upgrades!$N$13)*POWER(Upgrades!$O$13,E375)))*(IF(Upgrades!$T$14="Stellar Kinematics",POWER(Upgrades!$U$14,F375),1)*IF(Upgrades!$T$15="Stellar Kinematics",POWER(Upgrades!$U$15,G375),1)*IF(Upgrades!$T$16="Stellar Kinematics",POWER(Upgrades!$U$16,H375),1)*IF(Upgrades!$T$17="Stellar Kinematics",POWER(Upgrades!$U$17,I375),1)*IF(Upgrades!$T$18="Stellar Kinematics",POWER(Upgrades!$U$18,J375),1)*IF(Upgrades!$T$19="Stellar Kinematics",POWER(Upgrades!$U$19,K375),1)*IF(Upgrades!$T$20="Stellar Kinematics",POWER(Upgrades!$U$20,L375),1)*IF(Upgrades!$T$21="Stellar Kinematics",POWER(Upgrades!$U$21,M375),1))+(IF(F375=0,0,(Upgrades!$M$14+F375*Upgrades!$N$14)*POWER(Upgrades!$O$14,F375)))*(IF(Upgrades!$T$13="Local Bubble",POWER(Upgrades!$U$13,E375),1)*IF(Upgrades!$T$15="Local Bubble",POWER(Upgrades!$U$15,G375),1)*IF(Upgrades!$T$16="Local Bubble",POWER(Upgrades!$U$16,H375),1)*IF(Upgrades!$T$17="Local Bubble",POWER(Upgrades!$U$17,I375),1)*IF(Upgrades!$T$18="Local Bubble",POWER(Upgrades!$U$18,J375),1)*IF(Upgrades!$T$19="Local Bubble",POWER(Upgrades!$U$19,K375),1)*IF(Upgrades!$T$20="Local Bubble",POWER(Upgrades!$U$20,L375),1)*IF(Upgrades!$T$21="Local Bubble",POWER(Upgrades!$U$21,M375),1))+(IF(G375=0,0,(Upgrades!$M$15+G375*Upgrades!$N$15)*POWER(Upgrades!$O$15,G375)))*(IF(Upgrades!$T$13="Microlensing",POWER(Upgrades!$U$13,E375),1)*IF(Upgrades!$T$14="Microlensing",POWER(Upgrades!$U$14,F375),1)*IF(Upgrades!$T$16="Microlensing",POWER(Upgrades!$U$16,H375),1)*IF(Upgrades!$T$17="Microlensing",POWER(Upgrades!$U$17,I375),1)*IF(Upgrades!$T$18="Microlensing",POWER(Upgrades!$U$18,J375),1)*IF(Upgrades!$T$19="Microlensing",POWER(Upgrades!$U$19,K375),1)*IF(Upgrades!$T$20="Microlensing",POWER(Upgrades!$U$20,L375),1)*IF(Upgrades!$T$21="Microlensing",POWER(Upgrades!$U$21,M375),1))+(IF(H375=0,0,(Upgrades!$M$16+H375*Upgrades!$N$16)*POWER(Upgrades!$O$16,H375)))*(IF(Upgrades!$T$13="Roche Lobe Overflow",POWER(Upgrades!$U$13,E375),1)*IF(Upgrades!$T$14="Roche Lobe Overflow",POWER(Upgrades!$U$14,F375),1)*IF(Upgrades!$T$15="Roche Lobe Overflow",POWER(Upgrades!$U$15,G375),1)*IF(Upgrades!$T$17="Roche Lobe Overflow",POWER(Upgrades!$U$17,I375),1)*IF(Upgrades!$T$18="Roche Lobe Overflow",POWER(Upgrades!$U$18,J375),1)*IF(Upgrades!$T$19="Roche Lobe Overflow",POWER(Upgrades!$U$19,K375),1)*IF(Upgrades!$T$20="Roche Lobe Overflow",POWER(Upgrades!$U$20,L375),1)*IF(Upgrades!$T$21="Roche Lobe Overflow",POWER(Upgrades!$U$21,M375),1))+(IF(I375=0,0,(Upgrades!$M$17+I375*Upgrades!$N$17)*POWER(Upgrades!$O$17,I375)))*(IF(Upgrades!$T$13="Brown Dwarf",POWER(Upgrades!$U$13,E375),1)*IF(Upgrades!$T$14="Brown Dwarf",POWER(Upgrades!$U$14,F375),1)*IF(Upgrades!$T$15="Brown Dwarf",POWER(Upgrades!$U$15,G375),1)*IF(Upgrades!$T$16="Brown Dwarf",POWER(Upgrades!$U$16,H375),1)*IF(Upgrades!$T$18="Brown Dwarf",POWER(Upgrades!$U$18,J375),1)*IF(Upgrades!$T$19="Brown Dwarf",POWER(Upgrades!$U$19,K375),1)*IF(Upgrades!$T$20="Brown Dwarf",POWER(Upgrades!$U$20,L375),1)*IF(Upgrades!$T$21="Brown Dwarf",POWER(Upgrades!$U$21,M375),1))+(IF(J375=0,0,(Upgrades!$M$18+J375*Upgrades!$N$18)*POWER(Upgrades!$O$18,J375)))*(IF(Upgrades!$T$13="Binary Partner",POWER(Upgrades!$U$13,E375),1)*IF(Upgrades!$T$14="Binary Partner",POWER(Upgrades!$U$14,F375),1)*IF(Upgrades!$T$15="Binary Partner",POWER(Upgrades!$U$15,G375),1)*IF(Upgrades!$T$16="Binary Partner",POWER(Upgrades!$U$16,H375),1)*IF(Upgrades!$T$17="Binary Partner",POWER(Upgrades!$U$17,I375),1)*IF(Upgrades!$T$19="Binary Partner",POWER(Upgrades!$U$19,K375),1)*IF(Upgrades!$T$20="Binary Partner",POWER(Upgrades!$U$20,L375),1)*IF(Upgrades!$T$21="Binary Partner",POWER(Upgrades!$U$21,M375),1))+(IF(K375=0,0,(Upgrades!$M$19+K375*Upgrades!$N$19)*POWER(Upgrades!$O$19,K375)))*(IF(Upgrades!$T$13="Peculiar Velocity",POWER(Upgrades!$U$13,E375),1)*IF(Upgrades!$T$14="Peculiar Velocity",POWER(Upgrades!$U$14,F375),1)*IF(Upgrades!$T$15="Peculiar Velocity",POWER(Upgrades!$U$15,G375),1)*IF(Upgrades!$T$16="Peculiar Velocity",POWER(Upgrades!$U$16,H375),1)*IF(Upgrades!$T$17="Peculiar Velocity",POWER(Upgrades!$U$17,I375),1)*IF(Upgrades!$T$18="Peculiar Velocity",POWER(Upgrades!$U$18,J375),1)*IF(Upgrades!$T$20="Peculiar Velocity",POWER(Upgrades!$U$20,L375),1)*IF(Upgrades!$T$21="Peculiar Velocity",POWER(Upgrades!$U$21,M375),1))+(IF(L375=0,0,(Upgrades!$M$20+L375*Upgrades!$N$20)*POWER(Upgrades!$O$20,L375)))*(IF(Upgrades!$T$13="Open Cluster",POWER(Upgrades!$U$13,E375),1)*IF(Upgrades!$T$14="Open Cluster",POWER(Upgrades!$U$14,F375),1)*IF(Upgrades!$T$15="Open Cluster",POWER(Upgrades!$U$15,G375),1)*IF(Upgrades!$T$16="Open Cluster",POWER(Upgrades!$U$16,H375),1)*IF(Upgrades!$T$17="Open Cluster",POWER(Upgrades!$U$17,I375),1)*IF(Upgrades!$T$18="Open Cluster",POWER(Upgrades!$U$18,J375),1)*IF(Upgrades!$T$19="Open Cluster",POWER(Upgrades!$U$19,K375),1)*IF(Upgrades!$T$21="Open Cluster",POWER(Upgrades!$U$21,M375),1))+(IF(M375=0,0,(Upgrades!$M$21+M375*Upgrades!$N$21)*POWER(Upgrades!$O$21,M375)))*(IF(Upgrades!$T$13="Moving Group",POWER(Upgrades!$U$13,E375),1)*IF(Upgrades!$T$14="Moving Group",POWER(Upgrades!$U$14,F375),1)*IF(Upgrades!$T$15="Moving Group",POWER(Upgrades!$U$15,G375),1)*IF(Upgrades!$T$16="Moving Group",POWER(Upgrades!$U$16,H375),1)*IF(Upgrades!$T$17="Moving Group",POWER(Upgrades!$U$17,I375),1)*IF(Upgrades!$T$18="Moving Group",POWER(Upgrades!$U$18,J375),1)*IF(Upgrades!$T$19="Moving Group",POWER(Upgrades!$U$19,K375),1)*IF(Upgrades!$T$20="Moving Group",POWER(Upgrades!$U$20,L375),1)))*POWER(Upgrades!$R$13,E375)*POWER(Upgrades!$R$14,F375)*POWER(Upgrades!$R$15,G375)*POWER(Upgrades!$R$16,H375)*POWER(Upgrades!$R$17,I375)*POWER(Upgrades!$R$18,J375)*POWER(Upgrades!$R$19,K375)*POWER(Upgrades!$R$20,L375)*POWER(Upgrades!$R$21,M375)*$H$6+$E$6</f>
        <v/>
      </c>
      <c r="R375" s="27">
        <f>IF(N375=1,0,O375*Parameters!$B$10/60*Parameters!$B$11*10)</f>
        <v/>
      </c>
      <c r="S375" s="27">
        <f>IF(N375=1,0,Q375*O375*10)</f>
        <v/>
      </c>
      <c r="T375" s="27">
        <f>IF(N375=1,0,R375+S375+P375*10)</f>
        <v/>
      </c>
      <c r="U375" s="33">
        <f>BE375</f>
        <v/>
      </c>
      <c r="V375" s="22">
        <f>IF(U375="",0,IF(U375="transition",0,IF(U375="SK",AK375,IF(U375="LB",AL375,IF(U375="ML",AM375,IF(U375="RLO",AN375,IF(U375="BD",AO375,IF(U375="BiP",AP375,IF(U375="PV",AQ375,IF(U375="OC",AR375,IF(U375="MG",AS375,0))))))))))</f>
        <v/>
      </c>
      <c r="W375" s="27">
        <f>IF(U375="BiP",Upgrades!$F$18,IF(U375="PV",Upgrades!$F$19,IF(U375="OC",Upgrades!$F$20,IF(U375="MG",Upgrades!$F$21,IF(U375="transition",-Parameters!$B$18*Parameters!$B$19,0)))))</f>
        <v/>
      </c>
      <c r="X375" s="22">
        <f>C375+T375-V375</f>
        <v/>
      </c>
      <c r="Y375" s="30">
        <f>O375*Parameters!$B$10/60*Parameters!$B$11+Q375*O375+P375</f>
        <v/>
      </c>
      <c r="Z375" s="34">
        <f>IF(U375="transition","→ Tier 3 (Galactic Arm)",IF(U375="MG","Moving Group — pocket drifts together",IF(U375="OC","Open Cluster acquired",IF(U375="PV","Peculiar Velocity — passive multiplier active",IF(U375="BiP","Binary Partner — pair bond formed",IF(AND(AU375=1,N375=0,AT375&lt;&gt;1),"Cohesion ready (waiting on completionists)","")))))) </f>
        <v/>
      </c>
      <c r="AA375" s="27">
        <f>(IF(E375=0,0,(Upgrades!$G$13+E375*Upgrades!$H$13)*POWER(Upgrades!$I$13,E375)))*(IF(Upgrades!$T$14="Stellar Kinematics",POWER(Upgrades!$U$14,F375),1)*IF(Upgrades!$T$15="Stellar Kinematics",POWER(Upgrades!$U$15,G375),1)*IF(Upgrades!$T$16="Stellar Kinematics",POWER(Upgrades!$U$16,H375),1)*IF(Upgrades!$T$17="Stellar Kinematics",POWER(Upgrades!$U$17,I375),1)*IF(Upgrades!$T$18="Stellar Kinematics",POWER(Upgrades!$U$18,J375),1)*IF(Upgrades!$T$19="Stellar Kinematics",POWER(Upgrades!$U$19,K375),1)*IF(Upgrades!$T$20="Stellar Kinematics",POWER(Upgrades!$U$20,L375),1)*IF(Upgrades!$T$21="Stellar Kinematics",POWER(Upgrades!$U$21,M375),1))*POWER(Upgrades!$P$13,E375)*POWER(Upgrades!$P$14,F375)*POWER(Upgrades!$P$15,G375)*POWER(Upgrades!$P$16,H375)*POWER(Upgrades!$P$17,I375)*POWER(Upgrades!$P$18,J375)*POWER(Upgrades!$P$19,K375)*POWER(Upgrades!$P$20,L375)*POWER(Upgrades!$P$21,M375)*$F$6*60</f>
        <v/>
      </c>
      <c r="AB375" s="27">
        <f>(IF(F375=0,0,(Upgrades!$G$14+F375*Upgrades!$H$14)*POWER(Upgrades!$I$14,F375)))*(IF(Upgrades!$T$13="Local Bubble",POWER(Upgrades!$U$13,E375),1)*IF(Upgrades!$T$15="Local Bubble",POWER(Upgrades!$U$15,G375),1)*IF(Upgrades!$T$16="Local Bubble",POWER(Upgrades!$U$16,H375),1)*IF(Upgrades!$T$17="Local Bubble",POWER(Upgrades!$U$17,I375),1)*IF(Upgrades!$T$18="Local Bubble",POWER(Upgrades!$U$18,J375),1)*IF(Upgrades!$T$19="Local Bubble",POWER(Upgrades!$U$19,K375),1)*IF(Upgrades!$T$20="Local Bubble",POWER(Upgrades!$U$20,L375),1)*IF(Upgrades!$T$21="Local Bubble",POWER(Upgrades!$U$21,M375),1))*POWER(Upgrades!$P$13,E375)*POWER(Upgrades!$P$14,F375)*POWER(Upgrades!$P$15,G375)*POWER(Upgrades!$P$16,H375)*POWER(Upgrades!$P$17,I375)*POWER(Upgrades!$P$18,J375)*POWER(Upgrades!$P$19,K375)*POWER(Upgrades!$P$20,L375)*POWER(Upgrades!$P$21,M375)*$F$6*60</f>
        <v/>
      </c>
      <c r="AC375" s="27">
        <f>(IF(G375=0,0,(Upgrades!$J$15+G375*Upgrades!$K$15)*POWER(Upgrades!$L$15,G375)))*(IF(Upgrades!$T$13="Microlensing",POWER(Upgrades!$U$13,E375),1)*IF(Upgrades!$T$14="Microlensing",POWER(Upgrades!$U$14,F375),1)*IF(Upgrades!$T$16="Microlensing",POWER(Upgrades!$U$16,H375),1)*IF(Upgrades!$T$17="Microlensing",POWER(Upgrades!$U$17,I375),1)*IF(Upgrades!$T$18="Microlensing",POWER(Upgrades!$U$18,J375),1)*IF(Upgrades!$T$19="Microlensing",POWER(Upgrades!$U$19,K375),1)*IF(Upgrades!$T$20="Microlensing",POWER(Upgrades!$U$20,L375),1)*IF(Upgrades!$T$21="Microlensing",POWER(Upgrades!$U$21,M375),1))*POWER(Upgrades!$Q$13,E375)*POWER(Upgrades!$Q$14,F375)*POWER(Upgrades!$Q$15,G375)*POWER(Upgrades!$Q$16,H375)*POWER(Upgrades!$Q$17,I375)*POWER(Upgrades!$Q$18,J375)*POWER(Upgrades!$Q$19,K375)*POWER(Upgrades!$Q$20,L375)*POWER(Upgrades!$Q$21,M375)*$G$6*(Parameters!$B$10*Parameters!$B$11+Q375*60)</f>
        <v/>
      </c>
      <c r="AD375" s="27">
        <f>(IF(H375=0,0,(Upgrades!$M$16+H375*Upgrades!$N$16)*POWER(Upgrades!$O$16,H375)))*(IF(Upgrades!$T$13="Roche Lobe Overflow",POWER(Upgrades!$U$13,E375),1)*IF(Upgrades!$T$14="Roche Lobe Overflow",POWER(Upgrades!$U$14,F375),1)*IF(Upgrades!$T$15="Roche Lobe Overflow",POWER(Upgrades!$U$15,G375),1)*IF(Upgrades!$T$17="Roche Lobe Overflow",POWER(Upgrades!$U$17,I375),1)*IF(Upgrades!$T$18="Roche Lobe Overflow",POWER(Upgrades!$U$18,J375),1)*IF(Upgrades!$T$19="Roche Lobe Overflow",POWER(Upgrades!$U$19,K375),1)*IF(Upgrades!$T$20="Roche Lobe Overflow",POWER(Upgrades!$U$20,L375),1)*IF(Upgrades!$T$21="Roche Lobe Overflow",POWER(Upgrades!$U$21,M375),1))*POWER(Upgrades!$R$13,E375)*POWER(Upgrades!$R$14,F375)*POWER(Upgrades!$R$15,G375)*POWER(Upgrades!$R$16,H375)*POWER(Upgrades!$R$17,I375)*POWER(Upgrades!$R$18,J375)*POWER(Upgrades!$R$19,K375)*POWER(Upgrades!$R$20,L375)*POWER(Upgrades!$R$21,M375)*$H$6*O375*60</f>
        <v/>
      </c>
      <c r="AE375" s="27">
        <f>(IF(I375=0,0,(Upgrades!$G$17+I375*Upgrades!$H$17)*POWER(Upgrades!$I$17,I375)))*(IF(Upgrades!$T$13="Brown Dwarf",POWER(Upgrades!$U$13,E375),1)*IF(Upgrades!$T$14="Brown Dwarf",POWER(Upgrades!$U$14,F375),1)*IF(Upgrades!$T$15="Brown Dwarf",POWER(Upgrades!$U$15,G375),1)*IF(Upgrades!$T$16="Brown Dwarf",POWER(Upgrades!$U$16,H375),1)*IF(Upgrades!$T$18="Brown Dwarf",POWER(Upgrades!$U$18,J375),1)*IF(Upgrades!$T$19="Brown Dwarf",POWER(Upgrades!$U$19,K375),1)*IF(Upgrades!$T$20="Brown Dwarf",POWER(Upgrades!$U$20,L375),1)*IF(Upgrades!$T$21="Brown Dwarf",POWER(Upgrades!$U$21,M375),1))*POWER(Upgrades!$P$13,E375)*POWER(Upgrades!$P$14,F375)*POWER(Upgrades!$P$15,G375)*POWER(Upgrades!$P$16,H375)*POWER(Upgrades!$P$17,I375)*POWER(Upgrades!$P$18,J375)*POWER(Upgrades!$P$19,K375)*POWER(Upgrades!$P$20,L375)*POWER(Upgrades!$P$21,M375)*$F$6*60</f>
        <v/>
      </c>
      <c r="AF375" s="27" t="n">
        <v>0</v>
      </c>
      <c r="AG375" s="27" t="n">
        <v>0</v>
      </c>
      <c r="AH375" s="27" t="n">
        <v>0</v>
      </c>
      <c r="AI375" s="27">
        <f>(IF(M375=0,0,(Upgrades!$G$21+M375*Upgrades!$H$21)*POWER(Upgrades!$I$21,M375)))*(IF(Upgrades!$T$13="Moving Group",POWER(Upgrades!$U$13,E375),1)*IF(Upgrades!$T$14="Moving Group",POWER(Upgrades!$U$14,F375),1)*IF(Upgrades!$T$15="Moving Group",POWER(Upgrades!$U$15,G375),1)*IF(Upgrades!$T$16="Moving Group",POWER(Upgrades!$U$16,H375),1)*IF(Upgrades!$T$17="Moving Group",POWER(Upgrades!$U$17,I375),1)*IF(Upgrades!$T$18="Moving Group",POWER(Upgrades!$U$18,J375),1)*IF(Upgrades!$T$19="Moving Group",POWER(Upgrades!$U$19,K375),1)*IF(Upgrades!$T$20="Moving Group",POWER(Upgrades!$U$20,L375),1))*POWER(Upgrades!$P$13,E375)*POWER(Upgrades!$P$14,F375)*POWER(Upgrades!$P$15,G375)*POWER(Upgrades!$P$16,H375)*POWER(Upgrades!$P$17,I375)*POWER(Upgrades!$P$18,J375)*POWER(Upgrades!$P$19,K375)*POWER(Upgrades!$P$20,L375)*POWER(Upgrades!$P$21,M375)*$F$6*60</f>
        <v/>
      </c>
      <c r="AJ375" s="27">
        <f>$C$6*60</f>
        <v/>
      </c>
      <c r="AK375" s="22">
        <f>IF(E375&gt;=Upgrades!$E$13,"",Upgrades!$C$13*POWER(Upgrades!$D$13,E375))</f>
        <v/>
      </c>
      <c r="AL375" s="22">
        <f>IF(F375&gt;=Upgrades!$E$14,"",Upgrades!$C$14*POWER(Upgrades!$D$14,F375))</f>
        <v/>
      </c>
      <c r="AM375" s="22">
        <f>IF(G375&gt;=Upgrades!$E$15,"",Upgrades!$C$15*POWER(Upgrades!$D$15,G375))</f>
        <v/>
      </c>
      <c r="AN375" s="22">
        <f>IF(H375&gt;=Upgrades!$E$16,"",Upgrades!$C$16*POWER(Upgrades!$D$16,H375))</f>
        <v/>
      </c>
      <c r="AO375" s="22">
        <f>IF(I375&gt;=Upgrades!$E$17,"",Upgrades!$C$17*POWER(Upgrades!$D$17,I375))</f>
        <v/>
      </c>
      <c r="AP375" s="22">
        <f>IF(J375&gt;=Upgrades!$E$18,"",Upgrades!$C$18*POWER(Upgrades!$D$18,J375))</f>
        <v/>
      </c>
      <c r="AQ375" s="22">
        <f>IF(K375&gt;=Upgrades!$E$19,"",Upgrades!$C$19*POWER(Upgrades!$D$19,K375))</f>
        <v/>
      </c>
      <c r="AR375" s="22">
        <f>IF(L375&gt;=Upgrades!$E$20,"",Upgrades!$C$20*POWER(Upgrades!$D$20,L375))</f>
        <v/>
      </c>
      <c r="AS375" s="22">
        <f>IF(M375&gt;=Upgrades!$E$21,"",Upgrades!$C$21*POWER(Upgrades!$D$21,M375))</f>
        <v/>
      </c>
      <c r="AT375" s="26">
        <f>IF(AND(D375&gt;=Parameters!$B$18*Parameters!$B$19,(I375&gt;=Upgrades!$E$17)*(M375&gt;=Upgrades!$E$21)=1,N375=0),1,"")</f>
        <v/>
      </c>
      <c r="AU375" s="26">
        <f>IF(AND(D375&gt;=Parameters!$B$18*Parameters!$B$19,N375=0),1,"")</f>
        <v/>
      </c>
      <c r="AV375" s="22">
        <f>MIN(IF(ISNUMBER(AP375),AP375,9E15),IF(ISNUMBER(AQ375),AQ375,9E15),IF(ISNUMBER(AR375),AR375,9E15),IF(ISNUMBER(AS375),AS375,9E15))</f>
        <v/>
      </c>
      <c r="AW375" s="22">
        <f>MIN(IF(ISNUMBER(AK375),AK375,9E15),IF(ISNUMBER(AL375),AL375,9E15),IF(ISNUMBER(AM375),AM375,9E15),IF(ISNUMBER(AN375),AN375,9E15),IF(ISNUMBER(AO375),AO375,9E15))</f>
        <v/>
      </c>
      <c r="AX375" s="29">
        <f>IF(BD375&gt;Parameters!$B$21*(MAX(IF(AND(NOT(AND(AU375=1,AT375&lt;&gt;1)),ISNUMBER(AK375),AK375&lt;=(C375+T375)),AY375,0),IF(AND(NOT(AND(AU375=1,AT375&lt;&gt;1)),ISNUMBER(AL375),AL375&lt;=(C375+T375)),AZ375,0),IF(AND(NOT(AND(AU375=1,AT375&lt;&gt;1)),ISNUMBER(AM375),AM375&lt;=(C375+T375)),BA375,0),IF(AND(NOT(AND(AU375=1,AT375&lt;&gt;1)),ISNUMBER(AN375),AN375&lt;=(C375+T375)),BB375,0),IF(AND(ISNUMBER(AO375),AO375&lt;=(C375+T375)),BC375,0))),TRUE,FALSE)</f>
        <v/>
      </c>
      <c r="AY375" s="32">
        <f>IFERROR(Upgrades!$H$13*(POWER(Upgrades!$P$13,E375)*POWER(Upgrades!$P$14,F375)*POWER(Upgrades!$P$15,G375)*POWER(Upgrades!$P$16,H375)*POWER(Upgrades!$P$17,I375)*POWER(Upgrades!$P$18,J375)*POWER(Upgrades!$P$19,K375)*POWER(Upgrades!$P$20,L375)*POWER(Upgrades!$P$21,M375))*(IF(Upgrades!$T$14="Stellar Kinematics",POWER(Upgrades!$U$14,F375),1)*IF(Upgrades!$T$15="Stellar Kinematics",POWER(Upgrades!$U$15,G375),1)*IF(Upgrades!$T$16="Stellar Kinematics",POWER(Upgrades!$U$16,H375),1)*IF(Upgrades!$T$17="Stellar Kinematics",POWER(Upgrades!$U$17,I375),1)*IF(Upgrades!$T$18="Stellar Kinematics",POWER(Upgrades!$U$18,J375),1)*IF(Upgrades!$T$19="Stellar Kinematics",POWER(Upgrades!$U$19,K375),1)*IF(Upgrades!$T$20="Stellar Kinematics",POWER(Upgrades!$U$20,L375),1)*IF(Upgrades!$T$21="Stellar Kinematics",POWER(Upgrades!$U$21,M375),1))*$F$6/AK375,0)</f>
        <v/>
      </c>
      <c r="AZ375" s="32">
        <f>IFERROR(Upgrades!$H$14*(POWER(Upgrades!$P$13,E375)*POWER(Upgrades!$P$14,F375)*POWER(Upgrades!$P$15,G375)*POWER(Upgrades!$P$16,H375)*POWER(Upgrades!$P$17,I375)*POWER(Upgrades!$P$18,J375)*POWER(Upgrades!$P$19,K375)*POWER(Upgrades!$P$20,L375)*POWER(Upgrades!$P$21,M375))*(IF(Upgrades!$T$13="Local Bubble",POWER(Upgrades!$U$13,E375),1)*IF(Upgrades!$T$15="Local Bubble",POWER(Upgrades!$U$15,G375),1)*IF(Upgrades!$T$16="Local Bubble",POWER(Upgrades!$U$16,H375),1)*IF(Upgrades!$T$17="Local Bubble",POWER(Upgrades!$U$17,I375),1)*IF(Upgrades!$T$18="Local Bubble",POWER(Upgrades!$U$18,J375),1)*IF(Upgrades!$T$19="Local Bubble",POWER(Upgrades!$U$19,K375),1)*IF(Upgrades!$T$20="Local Bubble",POWER(Upgrades!$U$20,L375),1)*IF(Upgrades!$T$21="Local Bubble",POWER(Upgrades!$U$21,M375),1))*$F$6/AL375,0)</f>
        <v/>
      </c>
      <c r="BA375" s="32">
        <f>IFERROR(Upgrades!$K$15*(POWER(Upgrades!$Q$13,E375)*POWER(Upgrades!$Q$14,F375)*POWER(Upgrades!$Q$15,G375)*POWER(Upgrades!$Q$16,H375)*POWER(Upgrades!$Q$17,I375)*POWER(Upgrades!$Q$18,J375)*POWER(Upgrades!$Q$19,K375)*POWER(Upgrades!$Q$20,L375)*POWER(Upgrades!$Q$21,M375))*(IF(Upgrades!$T$13="Microlensing",POWER(Upgrades!$U$13,E375),1)*IF(Upgrades!$T$14="Microlensing",POWER(Upgrades!$U$14,F375),1)*IF(Upgrades!$T$16="Microlensing",POWER(Upgrades!$U$16,H375),1)*IF(Upgrades!$T$17="Microlensing",POWER(Upgrades!$U$17,I375),1)*IF(Upgrades!$T$18="Microlensing",POWER(Upgrades!$U$18,J375),1)*IF(Upgrades!$T$19="Microlensing",POWER(Upgrades!$U$19,K375),1)*IF(Upgrades!$T$20="Microlensing",POWER(Upgrades!$U$20,L375),1)*IF(Upgrades!$T$21="Microlensing",POWER(Upgrades!$U$21,M375),1))*$G$6*(Parameters!$B$10/60*Parameters!$B$11+Q375)/AM375,0)</f>
        <v/>
      </c>
      <c r="BB375" s="32">
        <f>IFERROR((Upgrades!$N$16*(POWER(Upgrades!$R$13,E375)*POWER(Upgrades!$R$14,F375)*POWER(Upgrades!$R$15,G375)*POWER(Upgrades!$R$16,H375)*POWER(Upgrades!$R$17,I375)*POWER(Upgrades!$R$18,J375)*POWER(Upgrades!$R$19,K375)*POWER(Upgrades!$R$20,L375)*POWER(Upgrades!$R$21,M375))*(IF(Upgrades!$T$13="Roche Lobe Overflow",POWER(Upgrades!$U$13,E375),1)*IF(Upgrades!$T$14="Roche Lobe Overflow",POWER(Upgrades!$U$14,F375),1)*IF(Upgrades!$T$15="Roche Lobe Overflow",POWER(Upgrades!$U$15,G375),1)*IF(Upgrades!$T$17="Roche Lobe Overflow",POWER(Upgrades!$U$17,I375),1)*IF(Upgrades!$T$18="Roche Lobe Overflow",POWER(Upgrades!$U$18,J375),1)*IF(Upgrades!$T$19="Roche Lobe Overflow",POWER(Upgrades!$U$19,K375),1)*IF(Upgrades!$T$20="Roche Lobe Overflow",POWER(Upgrades!$U$20,L375),1)*IF(Upgrades!$T$21="Roche Lobe Overflow",POWER(Upgrades!$U$21,M375),1))*$H$6*O375+((IF(F375=0,0,(Upgrades!$G$14+F375*Upgrades!$H$14)*POWER(Upgrades!$I$14,F375)))*(IF(Upgrades!$T$13="Local Bubble",POWER(Upgrades!$U$13,E375),1)*IF(Upgrades!$T$15="Local Bubble",POWER(Upgrades!$U$15,G375),1)*IF(Upgrades!$T$16="Local Bubble",POWER(Upgrades!$U$16,H375),1)*IF(Upgrades!$T$17="Local Bubble",POWER(Upgrades!$U$17,I375),1)*IF(Upgrades!$T$18="Local Bubble",POWER(Upgrades!$U$18,J375),1)*IF(Upgrades!$T$19="Local Bubble",POWER(Upgrades!$U$19,K375),1)*IF(Upgrades!$T$20="Local Bubble",POWER(Upgrades!$U$20,L375),1)*IF(Upgrades!$T$21="Local Bubble",POWER(Upgrades!$U$21,M375),1))*POWER(Upgrades!$P$13,E375)*POWER(Upgrades!$P$14,F375)*POWER(Upgrades!$P$15,G375)*POWER(Upgrades!$P$16,H375)*POWER(Upgrades!$P$17,I375)*POWER(Upgrades!$P$18,J375)*POWER(Upgrades!$P$19,K375)*POWER(Upgrades!$P$20,L375)*POWER(Upgrades!$P$21,M375)*$F$6)*0.05)/AN375,0)</f>
        <v/>
      </c>
      <c r="BC375" s="32">
        <f>IFERROR((Upgrades!$H$17*(POWER(Upgrades!$P$13,E375)*POWER(Upgrades!$P$14,F375)*POWER(Upgrades!$P$15,G375)*POWER(Upgrades!$P$16,H375)*POWER(Upgrades!$P$17,I375)*POWER(Upgrades!$P$18,J375)*POWER(Upgrades!$P$19,K375)*POWER(Upgrades!$P$20,L375)*POWER(Upgrades!$P$21,M375))*(IF(Upgrades!$T$13="Brown Dwarf",POWER(Upgrades!$U$13,E375),1)*IF(Upgrades!$T$14="Brown Dwarf",POWER(Upgrades!$U$14,F375),1)*IF(Upgrades!$T$15="Brown Dwarf",POWER(Upgrades!$U$15,G375),1)*IF(Upgrades!$T$16="Brown Dwarf",POWER(Upgrades!$U$16,H375),1)*IF(Upgrades!$T$18="Brown Dwarf",POWER(Upgrades!$U$18,J375),1)*IF(Upgrades!$T$19="Brown Dwarf",POWER(Upgrades!$U$19,K375),1)*IF(Upgrades!$T$20="Brown Dwarf",POWER(Upgrades!$U$20,L375),1)*IF(Upgrades!$T$21="Brown Dwarf",POWER(Upgrades!$U$21,M375),1))*$F$6+(((IF(H375=0,0,(Upgrades!$M$16+H375*Upgrades!$N$16)*POWER(Upgrades!$O$16,H375)))*(IF(Upgrades!$T$13="Roche Lobe Overflow",POWER(Upgrades!$U$13,E375),1)*IF(Upgrades!$T$14="Roche Lobe Overflow",POWER(Upgrades!$U$14,F375),1)*IF(Upgrades!$T$15="Roche Lobe Overflow",POWER(Upgrades!$U$15,G375),1)*IF(Upgrades!$T$17="Roche Lobe Overflow",POWER(Upgrades!$U$17,I375),1)*IF(Upgrades!$T$18="Roche Lobe Overflow",POWER(Upgrades!$U$18,J375),1)*IF(Upgrades!$T$19="Roche Lobe Overflow",POWER(Upgrades!$U$19,K375),1)*IF(Upgrades!$T$20="Roche Lobe Overflow",POWER(Upgrades!$U$20,L375),1)*IF(Upgrades!$T$21="Roche Lobe Overflow",POWER(Upgrades!$U$21,M375),1))*POWER(Upgrades!$R$13,E375)*POWER(Upgrades!$R$14,F375)*POWER(Upgrades!$R$15,G375)*POWER(Upgrades!$R$16,H375)*POWER(Upgrades!$R$17,I375)*POWER(Upgrades!$R$18,J375)*POWER(Upgrades!$R$19,K375)*POWER(Upgrades!$R$20,L375)*POWER(Upgrades!$R$21,M375)*$H$6)*O375)*0.10)/AO375,0)</f>
        <v/>
      </c>
      <c r="BD375" s="32">
        <f>MAX(IF(J375&gt;0,0,IFERROR(0.5*((IF(G375=0,0,(Upgrades!$J$15+G375*Upgrades!$K$15)*POWER(Upgrades!$L$15,G375)))*(IF(Upgrades!$T$13="Microlensing",POWER(Upgrades!$U$13,E375),1)*IF(Upgrades!$T$14="Microlensing",POWER(Upgrades!$U$14,F375),1)*IF(Upgrades!$T$16="Microlensing",POWER(Upgrades!$U$16,H375),1)*IF(Upgrades!$T$17="Microlensing",POWER(Upgrades!$U$17,I375),1)*IF(Upgrades!$T$18="Microlensing",POWER(Upgrades!$U$18,J375),1)*IF(Upgrades!$T$19="Microlensing",POWER(Upgrades!$U$19,K375),1)*IF(Upgrades!$T$20="Microlensing",POWER(Upgrades!$U$20,L375),1)*IF(Upgrades!$T$21="Microlensing",POWER(Upgrades!$U$21,M375),1))*(POWER(Upgrades!$Q$13,E375)*POWER(Upgrades!$Q$14,F375)*POWER(Upgrades!$Q$15,G375)*POWER(Upgrades!$Q$16,H375)*POWER(Upgrades!$Q$17,I375)*POWER(Upgrades!$Q$18,J375)*POWER(Upgrades!$Q$19,K375)*POWER(Upgrades!$Q$20,L375)*POWER(Upgrades!$Q$21,M375))*$G$6*(Parameters!$B$10/60*Parameters!$B$11+Q375))/Upgrades!$C$18,0)),IF(K375&gt;0,0,IFERROR(0.30*P375/Upgrades!$C$19,0)),IF(L375&gt;0,0,IFERROR(0.0001/Upgrades!$C$20,0)),IF(M375&gt;0,0,IFERROR((6.0*(POWER(Upgrades!$P$13,E375)*POWER(Upgrades!$P$14,F375)*POWER(Upgrades!$P$15,G375)*POWER(Upgrades!$P$16,H375)*POWER(Upgrades!$P$17,I375)*POWER(Upgrades!$P$18,J375)*POWER(Upgrades!$P$19,K375)*POWER(Upgrades!$P$20,L375)*POWER(Upgrades!$P$21,M375))*$F$6+0.20*O375*(Parameters!$B$10/60*Parameters!$B$11+Q375))/Upgrades!$C$21,0)),IF(AND(ISNUMBER(AK375),AK375&gt;(C375+T375)),AY375,0),IF(AND(ISNUMBER(AL375),AL375&gt;(C375+T375)),AZ375,0),IF(AND(ISNUMBER(AM375),AM375&gt;(C375+T375)),BA375,0),IF(AND(ISNUMBER(AN375),AN375&gt;(C375+T375)),BB375,0),IF(AND(ISNUMBER(AO375),AO375&gt;(C375+T375)),BC375,0))</f>
        <v/>
      </c>
      <c r="BE375" s="29">
        <f>IF(AT375=1,"transition",IF(MIN(IF(AND(J375=0,ISNUMBER(AP375),AP375&lt;=(C375+T375)),AP375,9E15),IF(AND(K375=0,ISNUMBER(AQ375),AQ375&lt;=(C375+T375)),AQ375,9E15),IF(AND(L375=0,ISNUMBER(AR375),AR375&lt;=(C375+T375)),AR375,9E15),IF(AND(M375=0,ISNUMBER(AS375),AS375&lt;=(C375+T375)),AS375,9E15))&lt;9E15,IF(AND(AND(J375=0,ISNUMBER(AP375),AP375&lt;=(C375+T375)),AP375=MIN(IF(AND(J375=0,ISNUMBER(AP375),AP375&lt;=(C375+T375)),AP375,9E15),IF(AND(K375=0,ISNUMBER(AQ375),AQ375&lt;=(C375+T375)),AQ375,9E15),IF(AND(L375=0,ISNUMBER(AR375),AR375&lt;=(C375+T375)),AR375,9E15),IF(AND(M375=0,ISNUMBER(AS375),AS375&lt;=(C375+T375)),AS375,9E15))),"BiP",IF(AND(AND(K375=0,ISNUMBER(AQ375),AQ375&lt;=(C375+T375)),AQ375=MIN(IF(AND(J375=0,ISNUMBER(AP375),AP375&lt;=(C375+T375)),AP375,9E15),IF(AND(K375=0,ISNUMBER(AQ375),AQ375&lt;=(C375+T375)),AQ375,9E15),IF(AND(L375=0,ISNUMBER(AR375),AR375&lt;=(C375+T375)),AR375,9E15),IF(AND(M375=0,ISNUMBER(AS375),AS375&lt;=(C375+T375)),AS375,9E15))),"PV",IF(AND(AND(L375=0,ISNUMBER(AR375),AR375&lt;=(C375+T375)),AR375=MIN(IF(AND(J375=0,ISNUMBER(AP375),AP375&lt;=(C375+T375)),AP375,9E15),IF(AND(K375=0,ISNUMBER(AQ375),AQ375&lt;=(C375+T375)),AQ375,9E15),IF(AND(L375=0,ISNUMBER(AR375),AR375&lt;=(C375+T375)),AR375,9E15),IF(AND(M375=0,ISNUMBER(AS375),AS375&lt;=(C375+T375)),AS375,9E15))),"OC","MG"))),IF(AX375=TRUE,"",IF(MAX(IF(AND(NOT(AND(AU375=1,AT375&lt;&gt;1)),ISNUMBER(AK375),AK375&lt;=(C375+T375)),AY375,0),IF(AND(NOT(AND(AU375=1,AT375&lt;&gt;1)),ISNUMBER(AL375),AL375&lt;=(C375+T375)),AZ375,0),IF(AND(NOT(AND(AU375=1,AT375&lt;&gt;1)),ISNUMBER(AM375),AM375&lt;=(C375+T375)),BA375,0),IF(AND(NOT(AND(AU375=1,AT375&lt;&gt;1)),ISNUMBER(AN375),AN375&lt;=(C375+T375)),BB375,0),IF(AND(ISNUMBER(AO375),AO375&lt;=(C375+T375)),BC375,0))&lt;=0,"",IF(AND(IF(AND(NOT(AND(AU375=1,AT375&lt;&gt;1)),ISNUMBER(AK375),AK375&lt;=(C375+T375)),AY375,0)&gt;0,IF(AND(NOT(AND(AU375=1,AT375&lt;&gt;1)),ISNUMBER(AK375),AK375&lt;=(C375+T375)),AY375,0)=MAX(IF(AND(NOT(AND(AU375=1,AT375&lt;&gt;1)),ISNUMBER(AK375),AK375&lt;=(C375+T375)),AY375,0),IF(AND(NOT(AND(AU375=1,AT375&lt;&gt;1)),ISNUMBER(AL375),AL375&lt;=(C375+T375)),AZ375,0),IF(AND(NOT(AND(AU375=1,AT375&lt;&gt;1)),ISNUMBER(AM375),AM375&lt;=(C375+T375)),BA375,0),IF(AND(NOT(AND(AU375=1,AT375&lt;&gt;1)),ISNUMBER(AN375),AN375&lt;=(C375+T375)),BB375,0),IF(AND(ISNUMBER(AO375),AO375&lt;=(C375+T375)),BC375,0))),"SK",IF(AND(IF(AND(NOT(AND(AU375=1,AT375&lt;&gt;1)),ISNUMBER(AL375),AL375&lt;=(C375+T375)),AZ375,0)&gt;0,IF(AND(NOT(AND(AU375=1,AT375&lt;&gt;1)),ISNUMBER(AL375),AL375&lt;=(C375+T375)),AZ375,0)=MAX(IF(AND(NOT(AND(AU375=1,AT375&lt;&gt;1)),ISNUMBER(AK375),AK375&lt;=(C375+T375)),AY375,0),IF(AND(NOT(AND(AU375=1,AT375&lt;&gt;1)),ISNUMBER(AL375),AL375&lt;=(C375+T375)),AZ375,0),IF(AND(NOT(AND(AU375=1,AT375&lt;&gt;1)),ISNUMBER(AM375),AM375&lt;=(C375+T375)),BA375,0),IF(AND(NOT(AND(AU375=1,AT375&lt;&gt;1)),ISNUMBER(AN375),AN375&lt;=(C375+T375)),BB375,0),IF(AND(ISNUMBER(AO375),AO375&lt;=(C375+T375)),BC375,0))),"LB",IF(AND(IF(AND(NOT(AND(AU375=1,AT375&lt;&gt;1)),ISNUMBER(AM375),AM375&lt;=(C375+T375)),BA375,0)&gt;0,IF(AND(NOT(AND(AU375=1,AT375&lt;&gt;1)),ISNUMBER(AM375),AM375&lt;=(C375+T375)),BA375,0)=MAX(IF(AND(NOT(AND(AU375=1,AT375&lt;&gt;1)),ISNUMBER(AK375),AK375&lt;=(C375+T375)),AY375,0),IF(AND(NOT(AND(AU375=1,AT375&lt;&gt;1)),ISNUMBER(AL375),AL375&lt;=(C375+T375)),AZ375,0),IF(AND(NOT(AND(AU375=1,AT375&lt;&gt;1)),ISNUMBER(AM375),AM375&lt;=(C375+T375)),BA375,0),IF(AND(NOT(AND(AU375=1,AT375&lt;&gt;1)),ISNUMBER(AN375),AN375&lt;=(C375+T375)),BB375,0),IF(AND(ISNUMBER(AO375),AO375&lt;=(C375+T375)),BC375,0))),"ML",IF(AND(IF(AND(NOT(AND(AU375=1,AT375&lt;&gt;1)),ISNUMBER(AN375),AN375&lt;=(C375+T375)),BB375,0)&gt;0,IF(AND(NOT(AND(AU375=1,AT375&lt;&gt;1)),ISNUMBER(AN375),AN375&lt;=(C375+T375)),BB375,0)=MAX(IF(AND(NOT(AND(AU375=1,AT375&lt;&gt;1)),ISNUMBER(AK375),AK375&lt;=(C375+T375)),AY375,0),IF(AND(NOT(AND(AU375=1,AT375&lt;&gt;1)),ISNUMBER(AL375),AL375&lt;=(C375+T375)),AZ375,0),IF(AND(NOT(AND(AU375=1,AT375&lt;&gt;1)),ISNUMBER(AM375),AM375&lt;=(C375+T375)),BA375,0),IF(AND(NOT(AND(AU375=1,AT375&lt;&gt;1)),ISNUMBER(AN375),AN375&lt;=(C375+T375)),BB375,0),IF(AND(ISNUMBER(AO375),AO375&lt;=(C375+T375)),BC375,0))),"RLO","BD"))))))))</f>
        <v/>
      </c>
    </row>
    <row r="376">
      <c r="A376" s="26" t="n">
        <v>365</v>
      </c>
      <c r="B376" s="27">
        <f>A376*10/60</f>
        <v/>
      </c>
      <c r="C376" s="22">
        <f>X375</f>
        <v/>
      </c>
      <c r="D376" s="27">
        <f>D375+W375</f>
        <v/>
      </c>
      <c r="E376" s="26">
        <f>E375+IF(U375="SK",1,0)</f>
        <v/>
      </c>
      <c r="F376" s="26">
        <f>F375+IF(U375="LB",1,0)</f>
        <v/>
      </c>
      <c r="G376" s="26">
        <f>G375+IF(U375="ML",1,0)</f>
        <v/>
      </c>
      <c r="H376" s="26">
        <f>H375+IF(U375="RLO",1,0)</f>
        <v/>
      </c>
      <c r="I376" s="26">
        <f>I375+IF(U375="BD",1,0)</f>
        <v/>
      </c>
      <c r="J376" s="26">
        <f>MAX(J375,IF(U375="BiP",1,0))</f>
        <v/>
      </c>
      <c r="K376" s="26">
        <f>MAX(K375,IF(U375="PV",1,0))</f>
        <v/>
      </c>
      <c r="L376" s="26">
        <f>MAX(L375,IF(U375="OC",1,0))</f>
        <v/>
      </c>
      <c r="M376" s="26">
        <f>MAX(M375,IF(U375="MG",1,0))</f>
        <v/>
      </c>
      <c r="N376" s="26">
        <f>MAX(N375,IF(U375="transition",1,0))</f>
        <v/>
      </c>
      <c r="O376" s="28">
        <f>(Parameters!$B$9+(IF(E376=0,0,(Upgrades!$J$13+E376*Upgrades!$K$13)*POWER(Upgrades!$L$13,E376)))*(IF(Upgrades!$T$14="Stellar Kinematics",POWER(Upgrades!$U$14,F376),1)*IF(Upgrades!$T$15="Stellar Kinematics",POWER(Upgrades!$U$15,G376),1)*IF(Upgrades!$T$16="Stellar Kinematics",POWER(Upgrades!$U$16,H376),1)*IF(Upgrades!$T$17="Stellar Kinematics",POWER(Upgrades!$U$17,I376),1)*IF(Upgrades!$T$18="Stellar Kinematics",POWER(Upgrades!$U$18,J376),1)*IF(Upgrades!$T$19="Stellar Kinematics",POWER(Upgrades!$U$19,K376),1)*IF(Upgrades!$T$20="Stellar Kinematics",POWER(Upgrades!$U$20,L376),1)*IF(Upgrades!$T$21="Stellar Kinematics",POWER(Upgrades!$U$21,M376),1))+(IF(F376=0,0,(Upgrades!$J$14+F376*Upgrades!$K$14)*POWER(Upgrades!$L$14,F376)))*(IF(Upgrades!$T$13="Local Bubble",POWER(Upgrades!$U$13,E376),1)*IF(Upgrades!$T$15="Local Bubble",POWER(Upgrades!$U$15,G376),1)*IF(Upgrades!$T$16="Local Bubble",POWER(Upgrades!$U$16,H376),1)*IF(Upgrades!$T$17="Local Bubble",POWER(Upgrades!$U$17,I376),1)*IF(Upgrades!$T$18="Local Bubble",POWER(Upgrades!$U$18,J376),1)*IF(Upgrades!$T$19="Local Bubble",POWER(Upgrades!$U$19,K376),1)*IF(Upgrades!$T$20="Local Bubble",POWER(Upgrades!$U$20,L376),1)*IF(Upgrades!$T$21="Local Bubble",POWER(Upgrades!$U$21,M376),1))+(IF(G376=0,0,(Upgrades!$J$15+G376*Upgrades!$K$15)*POWER(Upgrades!$L$15,G376)))*(IF(Upgrades!$T$13="Microlensing",POWER(Upgrades!$U$13,E376),1)*IF(Upgrades!$T$14="Microlensing",POWER(Upgrades!$U$14,F376),1)*IF(Upgrades!$T$16="Microlensing",POWER(Upgrades!$U$16,H376),1)*IF(Upgrades!$T$17="Microlensing",POWER(Upgrades!$U$17,I376),1)*IF(Upgrades!$T$18="Microlensing",POWER(Upgrades!$U$18,J376),1)*IF(Upgrades!$T$19="Microlensing",POWER(Upgrades!$U$19,K376),1)*IF(Upgrades!$T$20="Microlensing",POWER(Upgrades!$U$20,L376),1)*IF(Upgrades!$T$21="Microlensing",POWER(Upgrades!$U$21,M376),1))+(IF(H376=0,0,(Upgrades!$J$16+H376*Upgrades!$K$16)*POWER(Upgrades!$L$16,H376)))*(IF(Upgrades!$T$13="Roche Lobe Overflow",POWER(Upgrades!$U$13,E376),1)*IF(Upgrades!$T$14="Roche Lobe Overflow",POWER(Upgrades!$U$14,F376),1)*IF(Upgrades!$T$15="Roche Lobe Overflow",POWER(Upgrades!$U$15,G376),1)*IF(Upgrades!$T$17="Roche Lobe Overflow",POWER(Upgrades!$U$17,I376),1)*IF(Upgrades!$T$18="Roche Lobe Overflow",POWER(Upgrades!$U$18,J376),1)*IF(Upgrades!$T$19="Roche Lobe Overflow",POWER(Upgrades!$U$19,K376),1)*IF(Upgrades!$T$20="Roche Lobe Overflow",POWER(Upgrades!$U$20,L376),1)*IF(Upgrades!$T$21="Roche Lobe Overflow",POWER(Upgrades!$U$21,M376),1))+(IF(I376=0,0,(Upgrades!$J$17+I376*Upgrades!$K$17)*POWER(Upgrades!$L$17,I376)))*(IF(Upgrades!$T$13="Brown Dwarf",POWER(Upgrades!$U$13,E376),1)*IF(Upgrades!$T$14="Brown Dwarf",POWER(Upgrades!$U$14,F376),1)*IF(Upgrades!$T$15="Brown Dwarf",POWER(Upgrades!$U$15,G376),1)*IF(Upgrades!$T$16="Brown Dwarf",POWER(Upgrades!$U$16,H376),1)*IF(Upgrades!$T$18="Brown Dwarf",POWER(Upgrades!$U$18,J376),1)*IF(Upgrades!$T$19="Brown Dwarf",POWER(Upgrades!$U$19,K376),1)*IF(Upgrades!$T$20="Brown Dwarf",POWER(Upgrades!$U$20,L376),1)*IF(Upgrades!$T$21="Brown Dwarf",POWER(Upgrades!$U$21,M376),1))+(IF(J376=0,0,(Upgrades!$J$18+J376*Upgrades!$K$18)*POWER(Upgrades!$L$18,J376)))*(IF(Upgrades!$T$13="Binary Partner",POWER(Upgrades!$U$13,E376),1)*IF(Upgrades!$T$14="Binary Partner",POWER(Upgrades!$U$14,F376),1)*IF(Upgrades!$T$15="Binary Partner",POWER(Upgrades!$U$15,G376),1)*IF(Upgrades!$T$16="Binary Partner",POWER(Upgrades!$U$16,H376),1)*IF(Upgrades!$T$17="Binary Partner",POWER(Upgrades!$U$17,I376),1)*IF(Upgrades!$T$19="Binary Partner",POWER(Upgrades!$U$19,K376),1)*IF(Upgrades!$T$20="Binary Partner",POWER(Upgrades!$U$20,L376),1)*IF(Upgrades!$T$21="Binary Partner",POWER(Upgrades!$U$21,M376),1))+(IF(K376=0,0,(Upgrades!$J$19+K376*Upgrades!$K$19)*POWER(Upgrades!$L$19,K376)))*(IF(Upgrades!$T$13="Peculiar Velocity",POWER(Upgrades!$U$13,E376),1)*IF(Upgrades!$T$14="Peculiar Velocity",POWER(Upgrades!$U$14,F376),1)*IF(Upgrades!$T$15="Peculiar Velocity",POWER(Upgrades!$U$15,G376),1)*IF(Upgrades!$T$16="Peculiar Velocity",POWER(Upgrades!$U$16,H376),1)*IF(Upgrades!$T$17="Peculiar Velocity",POWER(Upgrades!$U$17,I376),1)*IF(Upgrades!$T$18="Peculiar Velocity",POWER(Upgrades!$U$18,J376),1)*IF(Upgrades!$T$20="Peculiar Velocity",POWER(Upgrades!$U$20,L376),1)*IF(Upgrades!$T$21="Peculiar Velocity",POWER(Upgrades!$U$21,M376),1))+(IF(L376=0,0,(Upgrades!$J$20+L376*Upgrades!$K$20)*POWER(Upgrades!$L$20,L376)))*(IF(Upgrades!$T$13="Open Cluster",POWER(Upgrades!$U$13,E376),1)*IF(Upgrades!$T$14="Open Cluster",POWER(Upgrades!$U$14,F376),1)*IF(Upgrades!$T$15="Open Cluster",POWER(Upgrades!$U$15,G376),1)*IF(Upgrades!$T$16="Open Cluster",POWER(Upgrades!$U$16,H376),1)*IF(Upgrades!$T$17="Open Cluster",POWER(Upgrades!$U$17,I376),1)*IF(Upgrades!$T$18="Open Cluster",POWER(Upgrades!$U$18,J376),1)*IF(Upgrades!$T$19="Open Cluster",POWER(Upgrades!$U$19,K376),1)*IF(Upgrades!$T$21="Open Cluster",POWER(Upgrades!$U$21,M376),1))+(IF(M376=0,0,(Upgrades!$J$21+M376*Upgrades!$K$21)*POWER(Upgrades!$L$21,M376)))*(IF(Upgrades!$T$13="Moving Group",POWER(Upgrades!$U$13,E376),1)*IF(Upgrades!$T$14="Moving Group",POWER(Upgrades!$U$14,F376),1)*IF(Upgrades!$T$15="Moving Group",POWER(Upgrades!$U$15,G376),1)*IF(Upgrades!$T$16="Moving Group",POWER(Upgrades!$U$16,H376),1)*IF(Upgrades!$T$17="Moving Group",POWER(Upgrades!$U$17,I376),1)*IF(Upgrades!$T$18="Moving Group",POWER(Upgrades!$U$18,J376),1)*IF(Upgrades!$T$19="Moving Group",POWER(Upgrades!$U$19,K376),1)*IF(Upgrades!$T$20="Moving Group",POWER(Upgrades!$U$20,L376),1)))*POWER(Upgrades!$Q$13,E376)*POWER(Upgrades!$Q$14,F376)*POWER(Upgrades!$Q$15,G376)*POWER(Upgrades!$Q$16,H376)*POWER(Upgrades!$Q$17,I376)*POWER(Upgrades!$Q$18,J376)*POWER(Upgrades!$Q$19,K376)*POWER(Upgrades!$Q$20,L376)*POWER(Upgrades!$Q$21,M376)*$G$6+$D$6</f>
        <v/>
      </c>
      <c r="P376" s="28">
        <f>((IF(E376=0,0,(Upgrades!$G$13+E376*Upgrades!$H$13)*POWER(Upgrades!$I$13,E376)))*(IF(Upgrades!$T$14="Stellar Kinematics",POWER(Upgrades!$U$14,F376),1)*IF(Upgrades!$T$15="Stellar Kinematics",POWER(Upgrades!$U$15,G376),1)*IF(Upgrades!$T$16="Stellar Kinematics",POWER(Upgrades!$U$16,H376),1)*IF(Upgrades!$T$17="Stellar Kinematics",POWER(Upgrades!$U$17,I376),1)*IF(Upgrades!$T$18="Stellar Kinematics",POWER(Upgrades!$U$18,J376),1)*IF(Upgrades!$T$19="Stellar Kinematics",POWER(Upgrades!$U$19,K376),1)*IF(Upgrades!$T$20="Stellar Kinematics",POWER(Upgrades!$U$20,L376),1)*IF(Upgrades!$T$21="Stellar Kinematics",POWER(Upgrades!$U$21,M376),1))+(IF(F376=0,0,(Upgrades!$G$14+F376*Upgrades!$H$14)*POWER(Upgrades!$I$14,F376)))*(IF(Upgrades!$T$13="Local Bubble",POWER(Upgrades!$U$13,E376),1)*IF(Upgrades!$T$15="Local Bubble",POWER(Upgrades!$U$15,G376),1)*IF(Upgrades!$T$16="Local Bubble",POWER(Upgrades!$U$16,H376),1)*IF(Upgrades!$T$17="Local Bubble",POWER(Upgrades!$U$17,I376),1)*IF(Upgrades!$T$18="Local Bubble",POWER(Upgrades!$U$18,J376),1)*IF(Upgrades!$T$19="Local Bubble",POWER(Upgrades!$U$19,K376),1)*IF(Upgrades!$T$20="Local Bubble",POWER(Upgrades!$U$20,L376),1)*IF(Upgrades!$T$21="Local Bubble",POWER(Upgrades!$U$21,M376),1))+(IF(G376=0,0,(Upgrades!$G$15+G376*Upgrades!$H$15)*POWER(Upgrades!$I$15,G376)))*(IF(Upgrades!$T$13="Microlensing",POWER(Upgrades!$U$13,E376),1)*IF(Upgrades!$T$14="Microlensing",POWER(Upgrades!$U$14,F376),1)*IF(Upgrades!$T$16="Microlensing",POWER(Upgrades!$U$16,H376),1)*IF(Upgrades!$T$17="Microlensing",POWER(Upgrades!$U$17,I376),1)*IF(Upgrades!$T$18="Microlensing",POWER(Upgrades!$U$18,J376),1)*IF(Upgrades!$T$19="Microlensing",POWER(Upgrades!$U$19,K376),1)*IF(Upgrades!$T$20="Microlensing",POWER(Upgrades!$U$20,L376),1)*IF(Upgrades!$T$21="Microlensing",POWER(Upgrades!$U$21,M376),1))+(IF(H376=0,0,(Upgrades!$G$16+H376*Upgrades!$H$16)*POWER(Upgrades!$I$16,H376)))*(IF(Upgrades!$T$13="Roche Lobe Overflow",POWER(Upgrades!$U$13,E376),1)*IF(Upgrades!$T$14="Roche Lobe Overflow",POWER(Upgrades!$U$14,F376),1)*IF(Upgrades!$T$15="Roche Lobe Overflow",POWER(Upgrades!$U$15,G376),1)*IF(Upgrades!$T$17="Roche Lobe Overflow",POWER(Upgrades!$U$17,I376),1)*IF(Upgrades!$T$18="Roche Lobe Overflow",POWER(Upgrades!$U$18,J376),1)*IF(Upgrades!$T$19="Roche Lobe Overflow",POWER(Upgrades!$U$19,K376),1)*IF(Upgrades!$T$20="Roche Lobe Overflow",POWER(Upgrades!$U$20,L376),1)*IF(Upgrades!$T$21="Roche Lobe Overflow",POWER(Upgrades!$U$21,M376),1))+(IF(I376=0,0,(Upgrades!$G$17+I376*Upgrades!$H$17)*POWER(Upgrades!$I$17,I376)))*(IF(Upgrades!$T$13="Brown Dwarf",POWER(Upgrades!$U$13,E376),1)*IF(Upgrades!$T$14="Brown Dwarf",POWER(Upgrades!$U$14,F376),1)*IF(Upgrades!$T$15="Brown Dwarf",POWER(Upgrades!$U$15,G376),1)*IF(Upgrades!$T$16="Brown Dwarf",POWER(Upgrades!$U$16,H376),1)*IF(Upgrades!$T$18="Brown Dwarf",POWER(Upgrades!$U$18,J376),1)*IF(Upgrades!$T$19="Brown Dwarf",POWER(Upgrades!$U$19,K376),1)*IF(Upgrades!$T$20="Brown Dwarf",POWER(Upgrades!$U$20,L376),1)*IF(Upgrades!$T$21="Brown Dwarf",POWER(Upgrades!$U$21,M376),1))+(IF(J376=0,0,(Upgrades!$G$18+J376*Upgrades!$H$18)*POWER(Upgrades!$I$18,J376)))*(IF(Upgrades!$T$13="Binary Partner",POWER(Upgrades!$U$13,E376),1)*IF(Upgrades!$T$14="Binary Partner",POWER(Upgrades!$U$14,F376),1)*IF(Upgrades!$T$15="Binary Partner",POWER(Upgrades!$U$15,G376),1)*IF(Upgrades!$T$16="Binary Partner",POWER(Upgrades!$U$16,H376),1)*IF(Upgrades!$T$17="Binary Partner",POWER(Upgrades!$U$17,I376),1)*IF(Upgrades!$T$19="Binary Partner",POWER(Upgrades!$U$19,K376),1)*IF(Upgrades!$T$20="Binary Partner",POWER(Upgrades!$U$20,L376),1)*IF(Upgrades!$T$21="Binary Partner",POWER(Upgrades!$U$21,M376),1))+(IF(K376=0,0,(Upgrades!$G$19+K376*Upgrades!$H$19)*POWER(Upgrades!$I$19,K376)))*(IF(Upgrades!$T$13="Peculiar Velocity",POWER(Upgrades!$U$13,E376),1)*IF(Upgrades!$T$14="Peculiar Velocity",POWER(Upgrades!$U$14,F376),1)*IF(Upgrades!$T$15="Peculiar Velocity",POWER(Upgrades!$U$15,G376),1)*IF(Upgrades!$T$16="Peculiar Velocity",POWER(Upgrades!$U$16,H376),1)*IF(Upgrades!$T$17="Peculiar Velocity",POWER(Upgrades!$U$17,I376),1)*IF(Upgrades!$T$18="Peculiar Velocity",POWER(Upgrades!$U$18,J376),1)*IF(Upgrades!$T$20="Peculiar Velocity",POWER(Upgrades!$U$20,L376),1)*IF(Upgrades!$T$21="Peculiar Velocity",POWER(Upgrades!$U$21,M376),1))+(IF(L376=0,0,(Upgrades!$G$20+L376*Upgrades!$H$20)*POWER(Upgrades!$I$20,L376)))*(IF(Upgrades!$T$13="Open Cluster",POWER(Upgrades!$U$13,E376),1)*IF(Upgrades!$T$14="Open Cluster",POWER(Upgrades!$U$14,F376),1)*IF(Upgrades!$T$15="Open Cluster",POWER(Upgrades!$U$15,G376),1)*IF(Upgrades!$T$16="Open Cluster",POWER(Upgrades!$U$16,H376),1)*IF(Upgrades!$T$17="Open Cluster",POWER(Upgrades!$U$17,I376),1)*IF(Upgrades!$T$18="Open Cluster",POWER(Upgrades!$U$18,J376),1)*IF(Upgrades!$T$19="Open Cluster",POWER(Upgrades!$U$19,K376),1)*IF(Upgrades!$T$21="Open Cluster",POWER(Upgrades!$U$21,M376),1))+(IF(M376=0,0,(Upgrades!$G$21+M376*Upgrades!$H$21)*POWER(Upgrades!$I$21,M376)))*(IF(Upgrades!$T$13="Moving Group",POWER(Upgrades!$U$13,E376),1)*IF(Upgrades!$T$14="Moving Group",POWER(Upgrades!$U$14,F376),1)*IF(Upgrades!$T$15="Moving Group",POWER(Upgrades!$U$15,G376),1)*IF(Upgrades!$T$16="Moving Group",POWER(Upgrades!$U$16,H376),1)*IF(Upgrades!$T$17="Moving Group",POWER(Upgrades!$U$17,I376),1)*IF(Upgrades!$T$18="Moving Group",POWER(Upgrades!$U$18,J376),1)*IF(Upgrades!$T$19="Moving Group",POWER(Upgrades!$U$19,K376),1)*IF(Upgrades!$T$20="Moving Group",POWER(Upgrades!$U$20,L376),1)))*POWER(Upgrades!$P$13,E376)*POWER(Upgrades!$P$14,F376)*POWER(Upgrades!$P$15,G376)*POWER(Upgrades!$P$16,H376)*POWER(Upgrades!$P$17,I376)*POWER(Upgrades!$P$18,J376)*POWER(Upgrades!$P$19,K376)*POWER(Upgrades!$P$20,L376)*POWER(Upgrades!$P$21,M376)*$F$6+$C$6</f>
        <v/>
      </c>
      <c r="Q376" s="28">
        <f>((IF(E376=0,0,(Upgrades!$M$13+E376*Upgrades!$N$13)*POWER(Upgrades!$O$13,E376)))*(IF(Upgrades!$T$14="Stellar Kinematics",POWER(Upgrades!$U$14,F376),1)*IF(Upgrades!$T$15="Stellar Kinematics",POWER(Upgrades!$U$15,G376),1)*IF(Upgrades!$T$16="Stellar Kinematics",POWER(Upgrades!$U$16,H376),1)*IF(Upgrades!$T$17="Stellar Kinematics",POWER(Upgrades!$U$17,I376),1)*IF(Upgrades!$T$18="Stellar Kinematics",POWER(Upgrades!$U$18,J376),1)*IF(Upgrades!$T$19="Stellar Kinematics",POWER(Upgrades!$U$19,K376),1)*IF(Upgrades!$T$20="Stellar Kinematics",POWER(Upgrades!$U$20,L376),1)*IF(Upgrades!$T$21="Stellar Kinematics",POWER(Upgrades!$U$21,M376),1))+(IF(F376=0,0,(Upgrades!$M$14+F376*Upgrades!$N$14)*POWER(Upgrades!$O$14,F376)))*(IF(Upgrades!$T$13="Local Bubble",POWER(Upgrades!$U$13,E376),1)*IF(Upgrades!$T$15="Local Bubble",POWER(Upgrades!$U$15,G376),1)*IF(Upgrades!$T$16="Local Bubble",POWER(Upgrades!$U$16,H376),1)*IF(Upgrades!$T$17="Local Bubble",POWER(Upgrades!$U$17,I376),1)*IF(Upgrades!$T$18="Local Bubble",POWER(Upgrades!$U$18,J376),1)*IF(Upgrades!$T$19="Local Bubble",POWER(Upgrades!$U$19,K376),1)*IF(Upgrades!$T$20="Local Bubble",POWER(Upgrades!$U$20,L376),1)*IF(Upgrades!$T$21="Local Bubble",POWER(Upgrades!$U$21,M376),1))+(IF(G376=0,0,(Upgrades!$M$15+G376*Upgrades!$N$15)*POWER(Upgrades!$O$15,G376)))*(IF(Upgrades!$T$13="Microlensing",POWER(Upgrades!$U$13,E376),1)*IF(Upgrades!$T$14="Microlensing",POWER(Upgrades!$U$14,F376),1)*IF(Upgrades!$T$16="Microlensing",POWER(Upgrades!$U$16,H376),1)*IF(Upgrades!$T$17="Microlensing",POWER(Upgrades!$U$17,I376),1)*IF(Upgrades!$T$18="Microlensing",POWER(Upgrades!$U$18,J376),1)*IF(Upgrades!$T$19="Microlensing",POWER(Upgrades!$U$19,K376),1)*IF(Upgrades!$T$20="Microlensing",POWER(Upgrades!$U$20,L376),1)*IF(Upgrades!$T$21="Microlensing",POWER(Upgrades!$U$21,M376),1))+(IF(H376=0,0,(Upgrades!$M$16+H376*Upgrades!$N$16)*POWER(Upgrades!$O$16,H376)))*(IF(Upgrades!$T$13="Roche Lobe Overflow",POWER(Upgrades!$U$13,E376),1)*IF(Upgrades!$T$14="Roche Lobe Overflow",POWER(Upgrades!$U$14,F376),1)*IF(Upgrades!$T$15="Roche Lobe Overflow",POWER(Upgrades!$U$15,G376),1)*IF(Upgrades!$T$17="Roche Lobe Overflow",POWER(Upgrades!$U$17,I376),1)*IF(Upgrades!$T$18="Roche Lobe Overflow",POWER(Upgrades!$U$18,J376),1)*IF(Upgrades!$T$19="Roche Lobe Overflow",POWER(Upgrades!$U$19,K376),1)*IF(Upgrades!$T$20="Roche Lobe Overflow",POWER(Upgrades!$U$20,L376),1)*IF(Upgrades!$T$21="Roche Lobe Overflow",POWER(Upgrades!$U$21,M376),1))+(IF(I376=0,0,(Upgrades!$M$17+I376*Upgrades!$N$17)*POWER(Upgrades!$O$17,I376)))*(IF(Upgrades!$T$13="Brown Dwarf",POWER(Upgrades!$U$13,E376),1)*IF(Upgrades!$T$14="Brown Dwarf",POWER(Upgrades!$U$14,F376),1)*IF(Upgrades!$T$15="Brown Dwarf",POWER(Upgrades!$U$15,G376),1)*IF(Upgrades!$T$16="Brown Dwarf",POWER(Upgrades!$U$16,H376),1)*IF(Upgrades!$T$18="Brown Dwarf",POWER(Upgrades!$U$18,J376),1)*IF(Upgrades!$T$19="Brown Dwarf",POWER(Upgrades!$U$19,K376),1)*IF(Upgrades!$T$20="Brown Dwarf",POWER(Upgrades!$U$20,L376),1)*IF(Upgrades!$T$21="Brown Dwarf",POWER(Upgrades!$U$21,M376),1))+(IF(J376=0,0,(Upgrades!$M$18+J376*Upgrades!$N$18)*POWER(Upgrades!$O$18,J376)))*(IF(Upgrades!$T$13="Binary Partner",POWER(Upgrades!$U$13,E376),1)*IF(Upgrades!$T$14="Binary Partner",POWER(Upgrades!$U$14,F376),1)*IF(Upgrades!$T$15="Binary Partner",POWER(Upgrades!$U$15,G376),1)*IF(Upgrades!$T$16="Binary Partner",POWER(Upgrades!$U$16,H376),1)*IF(Upgrades!$T$17="Binary Partner",POWER(Upgrades!$U$17,I376),1)*IF(Upgrades!$T$19="Binary Partner",POWER(Upgrades!$U$19,K376),1)*IF(Upgrades!$T$20="Binary Partner",POWER(Upgrades!$U$20,L376),1)*IF(Upgrades!$T$21="Binary Partner",POWER(Upgrades!$U$21,M376),1))+(IF(K376=0,0,(Upgrades!$M$19+K376*Upgrades!$N$19)*POWER(Upgrades!$O$19,K376)))*(IF(Upgrades!$T$13="Peculiar Velocity",POWER(Upgrades!$U$13,E376),1)*IF(Upgrades!$T$14="Peculiar Velocity",POWER(Upgrades!$U$14,F376),1)*IF(Upgrades!$T$15="Peculiar Velocity",POWER(Upgrades!$U$15,G376),1)*IF(Upgrades!$T$16="Peculiar Velocity",POWER(Upgrades!$U$16,H376),1)*IF(Upgrades!$T$17="Peculiar Velocity",POWER(Upgrades!$U$17,I376),1)*IF(Upgrades!$T$18="Peculiar Velocity",POWER(Upgrades!$U$18,J376),1)*IF(Upgrades!$T$20="Peculiar Velocity",POWER(Upgrades!$U$20,L376),1)*IF(Upgrades!$T$21="Peculiar Velocity",POWER(Upgrades!$U$21,M376),1))+(IF(L376=0,0,(Upgrades!$M$20+L376*Upgrades!$N$20)*POWER(Upgrades!$O$20,L376)))*(IF(Upgrades!$T$13="Open Cluster",POWER(Upgrades!$U$13,E376),1)*IF(Upgrades!$T$14="Open Cluster",POWER(Upgrades!$U$14,F376),1)*IF(Upgrades!$T$15="Open Cluster",POWER(Upgrades!$U$15,G376),1)*IF(Upgrades!$T$16="Open Cluster",POWER(Upgrades!$U$16,H376),1)*IF(Upgrades!$T$17="Open Cluster",POWER(Upgrades!$U$17,I376),1)*IF(Upgrades!$T$18="Open Cluster",POWER(Upgrades!$U$18,J376),1)*IF(Upgrades!$T$19="Open Cluster",POWER(Upgrades!$U$19,K376),1)*IF(Upgrades!$T$21="Open Cluster",POWER(Upgrades!$U$21,M376),1))+(IF(M376=0,0,(Upgrades!$M$21+M376*Upgrades!$N$21)*POWER(Upgrades!$O$21,M376)))*(IF(Upgrades!$T$13="Moving Group",POWER(Upgrades!$U$13,E376),1)*IF(Upgrades!$T$14="Moving Group",POWER(Upgrades!$U$14,F376),1)*IF(Upgrades!$T$15="Moving Group",POWER(Upgrades!$U$15,G376),1)*IF(Upgrades!$T$16="Moving Group",POWER(Upgrades!$U$16,H376),1)*IF(Upgrades!$T$17="Moving Group",POWER(Upgrades!$U$17,I376),1)*IF(Upgrades!$T$18="Moving Group",POWER(Upgrades!$U$18,J376),1)*IF(Upgrades!$T$19="Moving Group",POWER(Upgrades!$U$19,K376),1)*IF(Upgrades!$T$20="Moving Group",POWER(Upgrades!$U$20,L376),1)))*POWER(Upgrades!$R$13,E376)*POWER(Upgrades!$R$14,F376)*POWER(Upgrades!$R$15,G376)*POWER(Upgrades!$R$16,H376)*POWER(Upgrades!$R$17,I376)*POWER(Upgrades!$R$18,J376)*POWER(Upgrades!$R$19,K376)*POWER(Upgrades!$R$20,L376)*POWER(Upgrades!$R$21,M376)*$H$6+$E$6</f>
        <v/>
      </c>
      <c r="R376" s="27">
        <f>IF(N376=1,0,O376*Parameters!$B$10/60*Parameters!$B$11*10)</f>
        <v/>
      </c>
      <c r="S376" s="27">
        <f>IF(N376=1,0,Q376*O376*10)</f>
        <v/>
      </c>
      <c r="T376" s="27">
        <f>IF(N376=1,0,R376+S376+P376*10)</f>
        <v/>
      </c>
      <c r="U376" s="33">
        <f>BE376</f>
        <v/>
      </c>
      <c r="V376" s="22">
        <f>IF(U376="",0,IF(U376="transition",0,IF(U376="SK",AK376,IF(U376="LB",AL376,IF(U376="ML",AM376,IF(U376="RLO",AN376,IF(U376="BD",AO376,IF(U376="BiP",AP376,IF(U376="PV",AQ376,IF(U376="OC",AR376,IF(U376="MG",AS376,0))))))))))</f>
        <v/>
      </c>
      <c r="W376" s="27">
        <f>IF(U376="BiP",Upgrades!$F$18,IF(U376="PV",Upgrades!$F$19,IF(U376="OC",Upgrades!$F$20,IF(U376="MG",Upgrades!$F$21,IF(U376="transition",-Parameters!$B$18*Parameters!$B$19,0)))))</f>
        <v/>
      </c>
      <c r="X376" s="22">
        <f>C376+T376-V376</f>
        <v/>
      </c>
      <c r="Y376" s="30">
        <f>O376*Parameters!$B$10/60*Parameters!$B$11+Q376*O376+P376</f>
        <v/>
      </c>
      <c r="Z376" s="34">
        <f>IF(U376="transition","→ Tier 3 (Galactic Arm)",IF(U376="MG","Moving Group — pocket drifts together",IF(U376="OC","Open Cluster acquired",IF(U376="PV","Peculiar Velocity — passive multiplier active",IF(U376="BiP","Binary Partner — pair bond formed",IF(AND(AU376=1,N376=0,AT376&lt;&gt;1),"Cohesion ready (waiting on completionists)","")))))) </f>
        <v/>
      </c>
      <c r="AA376" s="27">
        <f>(IF(E376=0,0,(Upgrades!$G$13+E376*Upgrades!$H$13)*POWER(Upgrades!$I$13,E376)))*(IF(Upgrades!$T$14="Stellar Kinematics",POWER(Upgrades!$U$14,F376),1)*IF(Upgrades!$T$15="Stellar Kinematics",POWER(Upgrades!$U$15,G376),1)*IF(Upgrades!$T$16="Stellar Kinematics",POWER(Upgrades!$U$16,H376),1)*IF(Upgrades!$T$17="Stellar Kinematics",POWER(Upgrades!$U$17,I376),1)*IF(Upgrades!$T$18="Stellar Kinematics",POWER(Upgrades!$U$18,J376),1)*IF(Upgrades!$T$19="Stellar Kinematics",POWER(Upgrades!$U$19,K376),1)*IF(Upgrades!$T$20="Stellar Kinematics",POWER(Upgrades!$U$20,L376),1)*IF(Upgrades!$T$21="Stellar Kinematics",POWER(Upgrades!$U$21,M376),1))*POWER(Upgrades!$P$13,E376)*POWER(Upgrades!$P$14,F376)*POWER(Upgrades!$P$15,G376)*POWER(Upgrades!$P$16,H376)*POWER(Upgrades!$P$17,I376)*POWER(Upgrades!$P$18,J376)*POWER(Upgrades!$P$19,K376)*POWER(Upgrades!$P$20,L376)*POWER(Upgrades!$P$21,M376)*$F$6*60</f>
        <v/>
      </c>
      <c r="AB376" s="27">
        <f>(IF(F376=0,0,(Upgrades!$G$14+F376*Upgrades!$H$14)*POWER(Upgrades!$I$14,F376)))*(IF(Upgrades!$T$13="Local Bubble",POWER(Upgrades!$U$13,E376),1)*IF(Upgrades!$T$15="Local Bubble",POWER(Upgrades!$U$15,G376),1)*IF(Upgrades!$T$16="Local Bubble",POWER(Upgrades!$U$16,H376),1)*IF(Upgrades!$T$17="Local Bubble",POWER(Upgrades!$U$17,I376),1)*IF(Upgrades!$T$18="Local Bubble",POWER(Upgrades!$U$18,J376),1)*IF(Upgrades!$T$19="Local Bubble",POWER(Upgrades!$U$19,K376),1)*IF(Upgrades!$T$20="Local Bubble",POWER(Upgrades!$U$20,L376),1)*IF(Upgrades!$T$21="Local Bubble",POWER(Upgrades!$U$21,M376),1))*POWER(Upgrades!$P$13,E376)*POWER(Upgrades!$P$14,F376)*POWER(Upgrades!$P$15,G376)*POWER(Upgrades!$P$16,H376)*POWER(Upgrades!$P$17,I376)*POWER(Upgrades!$P$18,J376)*POWER(Upgrades!$P$19,K376)*POWER(Upgrades!$P$20,L376)*POWER(Upgrades!$P$21,M376)*$F$6*60</f>
        <v/>
      </c>
      <c r="AC376" s="27">
        <f>(IF(G376=0,0,(Upgrades!$J$15+G376*Upgrades!$K$15)*POWER(Upgrades!$L$15,G376)))*(IF(Upgrades!$T$13="Microlensing",POWER(Upgrades!$U$13,E376),1)*IF(Upgrades!$T$14="Microlensing",POWER(Upgrades!$U$14,F376),1)*IF(Upgrades!$T$16="Microlensing",POWER(Upgrades!$U$16,H376),1)*IF(Upgrades!$T$17="Microlensing",POWER(Upgrades!$U$17,I376),1)*IF(Upgrades!$T$18="Microlensing",POWER(Upgrades!$U$18,J376),1)*IF(Upgrades!$T$19="Microlensing",POWER(Upgrades!$U$19,K376),1)*IF(Upgrades!$T$20="Microlensing",POWER(Upgrades!$U$20,L376),1)*IF(Upgrades!$T$21="Microlensing",POWER(Upgrades!$U$21,M376),1))*POWER(Upgrades!$Q$13,E376)*POWER(Upgrades!$Q$14,F376)*POWER(Upgrades!$Q$15,G376)*POWER(Upgrades!$Q$16,H376)*POWER(Upgrades!$Q$17,I376)*POWER(Upgrades!$Q$18,J376)*POWER(Upgrades!$Q$19,K376)*POWER(Upgrades!$Q$20,L376)*POWER(Upgrades!$Q$21,M376)*$G$6*(Parameters!$B$10*Parameters!$B$11+Q376*60)</f>
        <v/>
      </c>
      <c r="AD376" s="27">
        <f>(IF(H376=0,0,(Upgrades!$M$16+H376*Upgrades!$N$16)*POWER(Upgrades!$O$16,H376)))*(IF(Upgrades!$T$13="Roche Lobe Overflow",POWER(Upgrades!$U$13,E376),1)*IF(Upgrades!$T$14="Roche Lobe Overflow",POWER(Upgrades!$U$14,F376),1)*IF(Upgrades!$T$15="Roche Lobe Overflow",POWER(Upgrades!$U$15,G376),1)*IF(Upgrades!$T$17="Roche Lobe Overflow",POWER(Upgrades!$U$17,I376),1)*IF(Upgrades!$T$18="Roche Lobe Overflow",POWER(Upgrades!$U$18,J376),1)*IF(Upgrades!$T$19="Roche Lobe Overflow",POWER(Upgrades!$U$19,K376),1)*IF(Upgrades!$T$20="Roche Lobe Overflow",POWER(Upgrades!$U$20,L376),1)*IF(Upgrades!$T$21="Roche Lobe Overflow",POWER(Upgrades!$U$21,M376),1))*POWER(Upgrades!$R$13,E376)*POWER(Upgrades!$R$14,F376)*POWER(Upgrades!$R$15,G376)*POWER(Upgrades!$R$16,H376)*POWER(Upgrades!$R$17,I376)*POWER(Upgrades!$R$18,J376)*POWER(Upgrades!$R$19,K376)*POWER(Upgrades!$R$20,L376)*POWER(Upgrades!$R$21,M376)*$H$6*O376*60</f>
        <v/>
      </c>
      <c r="AE376" s="27">
        <f>(IF(I376=0,0,(Upgrades!$G$17+I376*Upgrades!$H$17)*POWER(Upgrades!$I$17,I376)))*(IF(Upgrades!$T$13="Brown Dwarf",POWER(Upgrades!$U$13,E376),1)*IF(Upgrades!$T$14="Brown Dwarf",POWER(Upgrades!$U$14,F376),1)*IF(Upgrades!$T$15="Brown Dwarf",POWER(Upgrades!$U$15,G376),1)*IF(Upgrades!$T$16="Brown Dwarf",POWER(Upgrades!$U$16,H376),1)*IF(Upgrades!$T$18="Brown Dwarf",POWER(Upgrades!$U$18,J376),1)*IF(Upgrades!$T$19="Brown Dwarf",POWER(Upgrades!$U$19,K376),1)*IF(Upgrades!$T$20="Brown Dwarf",POWER(Upgrades!$U$20,L376),1)*IF(Upgrades!$T$21="Brown Dwarf",POWER(Upgrades!$U$21,M376),1))*POWER(Upgrades!$P$13,E376)*POWER(Upgrades!$P$14,F376)*POWER(Upgrades!$P$15,G376)*POWER(Upgrades!$P$16,H376)*POWER(Upgrades!$P$17,I376)*POWER(Upgrades!$P$18,J376)*POWER(Upgrades!$P$19,K376)*POWER(Upgrades!$P$20,L376)*POWER(Upgrades!$P$21,M376)*$F$6*60</f>
        <v/>
      </c>
      <c r="AF376" s="27" t="n">
        <v>0</v>
      </c>
      <c r="AG376" s="27" t="n">
        <v>0</v>
      </c>
      <c r="AH376" s="27" t="n">
        <v>0</v>
      </c>
      <c r="AI376" s="27">
        <f>(IF(M376=0,0,(Upgrades!$G$21+M376*Upgrades!$H$21)*POWER(Upgrades!$I$21,M376)))*(IF(Upgrades!$T$13="Moving Group",POWER(Upgrades!$U$13,E376),1)*IF(Upgrades!$T$14="Moving Group",POWER(Upgrades!$U$14,F376),1)*IF(Upgrades!$T$15="Moving Group",POWER(Upgrades!$U$15,G376),1)*IF(Upgrades!$T$16="Moving Group",POWER(Upgrades!$U$16,H376),1)*IF(Upgrades!$T$17="Moving Group",POWER(Upgrades!$U$17,I376),1)*IF(Upgrades!$T$18="Moving Group",POWER(Upgrades!$U$18,J376),1)*IF(Upgrades!$T$19="Moving Group",POWER(Upgrades!$U$19,K376),1)*IF(Upgrades!$T$20="Moving Group",POWER(Upgrades!$U$20,L376),1))*POWER(Upgrades!$P$13,E376)*POWER(Upgrades!$P$14,F376)*POWER(Upgrades!$P$15,G376)*POWER(Upgrades!$P$16,H376)*POWER(Upgrades!$P$17,I376)*POWER(Upgrades!$P$18,J376)*POWER(Upgrades!$P$19,K376)*POWER(Upgrades!$P$20,L376)*POWER(Upgrades!$P$21,M376)*$F$6*60</f>
        <v/>
      </c>
      <c r="AJ376" s="27">
        <f>$C$6*60</f>
        <v/>
      </c>
      <c r="AK376" s="22">
        <f>IF(E376&gt;=Upgrades!$E$13,"",Upgrades!$C$13*POWER(Upgrades!$D$13,E376))</f>
        <v/>
      </c>
      <c r="AL376" s="22">
        <f>IF(F376&gt;=Upgrades!$E$14,"",Upgrades!$C$14*POWER(Upgrades!$D$14,F376))</f>
        <v/>
      </c>
      <c r="AM376" s="22">
        <f>IF(G376&gt;=Upgrades!$E$15,"",Upgrades!$C$15*POWER(Upgrades!$D$15,G376))</f>
        <v/>
      </c>
      <c r="AN376" s="22">
        <f>IF(H376&gt;=Upgrades!$E$16,"",Upgrades!$C$16*POWER(Upgrades!$D$16,H376))</f>
        <v/>
      </c>
      <c r="AO376" s="22">
        <f>IF(I376&gt;=Upgrades!$E$17,"",Upgrades!$C$17*POWER(Upgrades!$D$17,I376))</f>
        <v/>
      </c>
      <c r="AP376" s="22">
        <f>IF(J376&gt;=Upgrades!$E$18,"",Upgrades!$C$18*POWER(Upgrades!$D$18,J376))</f>
        <v/>
      </c>
      <c r="AQ376" s="22">
        <f>IF(K376&gt;=Upgrades!$E$19,"",Upgrades!$C$19*POWER(Upgrades!$D$19,K376))</f>
        <v/>
      </c>
      <c r="AR376" s="22">
        <f>IF(L376&gt;=Upgrades!$E$20,"",Upgrades!$C$20*POWER(Upgrades!$D$20,L376))</f>
        <v/>
      </c>
      <c r="AS376" s="22">
        <f>IF(M376&gt;=Upgrades!$E$21,"",Upgrades!$C$21*POWER(Upgrades!$D$21,M376))</f>
        <v/>
      </c>
      <c r="AT376" s="26">
        <f>IF(AND(D376&gt;=Parameters!$B$18*Parameters!$B$19,(I376&gt;=Upgrades!$E$17)*(M376&gt;=Upgrades!$E$21)=1,N376=0),1,"")</f>
        <v/>
      </c>
      <c r="AU376" s="26">
        <f>IF(AND(D376&gt;=Parameters!$B$18*Parameters!$B$19,N376=0),1,"")</f>
        <v/>
      </c>
      <c r="AV376" s="22">
        <f>MIN(IF(ISNUMBER(AP376),AP376,9E15),IF(ISNUMBER(AQ376),AQ376,9E15),IF(ISNUMBER(AR376),AR376,9E15),IF(ISNUMBER(AS376),AS376,9E15))</f>
        <v/>
      </c>
      <c r="AW376" s="22">
        <f>MIN(IF(ISNUMBER(AK376),AK376,9E15),IF(ISNUMBER(AL376),AL376,9E15),IF(ISNUMBER(AM376),AM376,9E15),IF(ISNUMBER(AN376),AN376,9E15),IF(ISNUMBER(AO376),AO376,9E15))</f>
        <v/>
      </c>
      <c r="AX376" s="29">
        <f>IF(BD376&gt;Parameters!$B$21*(MAX(IF(AND(NOT(AND(AU376=1,AT376&lt;&gt;1)),ISNUMBER(AK376),AK376&lt;=(C376+T376)),AY376,0),IF(AND(NOT(AND(AU376=1,AT376&lt;&gt;1)),ISNUMBER(AL376),AL376&lt;=(C376+T376)),AZ376,0),IF(AND(NOT(AND(AU376=1,AT376&lt;&gt;1)),ISNUMBER(AM376),AM376&lt;=(C376+T376)),BA376,0),IF(AND(NOT(AND(AU376=1,AT376&lt;&gt;1)),ISNUMBER(AN376),AN376&lt;=(C376+T376)),BB376,0),IF(AND(ISNUMBER(AO376),AO376&lt;=(C376+T376)),BC376,0))),TRUE,FALSE)</f>
        <v/>
      </c>
      <c r="AY376" s="32">
        <f>IFERROR(Upgrades!$H$13*(POWER(Upgrades!$P$13,E376)*POWER(Upgrades!$P$14,F376)*POWER(Upgrades!$P$15,G376)*POWER(Upgrades!$P$16,H376)*POWER(Upgrades!$P$17,I376)*POWER(Upgrades!$P$18,J376)*POWER(Upgrades!$P$19,K376)*POWER(Upgrades!$P$20,L376)*POWER(Upgrades!$P$21,M376))*(IF(Upgrades!$T$14="Stellar Kinematics",POWER(Upgrades!$U$14,F376),1)*IF(Upgrades!$T$15="Stellar Kinematics",POWER(Upgrades!$U$15,G376),1)*IF(Upgrades!$T$16="Stellar Kinematics",POWER(Upgrades!$U$16,H376),1)*IF(Upgrades!$T$17="Stellar Kinematics",POWER(Upgrades!$U$17,I376),1)*IF(Upgrades!$T$18="Stellar Kinematics",POWER(Upgrades!$U$18,J376),1)*IF(Upgrades!$T$19="Stellar Kinematics",POWER(Upgrades!$U$19,K376),1)*IF(Upgrades!$T$20="Stellar Kinematics",POWER(Upgrades!$U$20,L376),1)*IF(Upgrades!$T$21="Stellar Kinematics",POWER(Upgrades!$U$21,M376),1))*$F$6/AK376,0)</f>
        <v/>
      </c>
      <c r="AZ376" s="32">
        <f>IFERROR(Upgrades!$H$14*(POWER(Upgrades!$P$13,E376)*POWER(Upgrades!$P$14,F376)*POWER(Upgrades!$P$15,G376)*POWER(Upgrades!$P$16,H376)*POWER(Upgrades!$P$17,I376)*POWER(Upgrades!$P$18,J376)*POWER(Upgrades!$P$19,K376)*POWER(Upgrades!$P$20,L376)*POWER(Upgrades!$P$21,M376))*(IF(Upgrades!$T$13="Local Bubble",POWER(Upgrades!$U$13,E376),1)*IF(Upgrades!$T$15="Local Bubble",POWER(Upgrades!$U$15,G376),1)*IF(Upgrades!$T$16="Local Bubble",POWER(Upgrades!$U$16,H376),1)*IF(Upgrades!$T$17="Local Bubble",POWER(Upgrades!$U$17,I376),1)*IF(Upgrades!$T$18="Local Bubble",POWER(Upgrades!$U$18,J376),1)*IF(Upgrades!$T$19="Local Bubble",POWER(Upgrades!$U$19,K376),1)*IF(Upgrades!$T$20="Local Bubble",POWER(Upgrades!$U$20,L376),1)*IF(Upgrades!$T$21="Local Bubble",POWER(Upgrades!$U$21,M376),1))*$F$6/AL376,0)</f>
        <v/>
      </c>
      <c r="BA376" s="32">
        <f>IFERROR(Upgrades!$K$15*(POWER(Upgrades!$Q$13,E376)*POWER(Upgrades!$Q$14,F376)*POWER(Upgrades!$Q$15,G376)*POWER(Upgrades!$Q$16,H376)*POWER(Upgrades!$Q$17,I376)*POWER(Upgrades!$Q$18,J376)*POWER(Upgrades!$Q$19,K376)*POWER(Upgrades!$Q$20,L376)*POWER(Upgrades!$Q$21,M376))*(IF(Upgrades!$T$13="Microlensing",POWER(Upgrades!$U$13,E376),1)*IF(Upgrades!$T$14="Microlensing",POWER(Upgrades!$U$14,F376),1)*IF(Upgrades!$T$16="Microlensing",POWER(Upgrades!$U$16,H376),1)*IF(Upgrades!$T$17="Microlensing",POWER(Upgrades!$U$17,I376),1)*IF(Upgrades!$T$18="Microlensing",POWER(Upgrades!$U$18,J376),1)*IF(Upgrades!$T$19="Microlensing",POWER(Upgrades!$U$19,K376),1)*IF(Upgrades!$T$20="Microlensing",POWER(Upgrades!$U$20,L376),1)*IF(Upgrades!$T$21="Microlensing",POWER(Upgrades!$U$21,M376),1))*$G$6*(Parameters!$B$10/60*Parameters!$B$11+Q376)/AM376,0)</f>
        <v/>
      </c>
      <c r="BB376" s="32">
        <f>IFERROR((Upgrades!$N$16*(POWER(Upgrades!$R$13,E376)*POWER(Upgrades!$R$14,F376)*POWER(Upgrades!$R$15,G376)*POWER(Upgrades!$R$16,H376)*POWER(Upgrades!$R$17,I376)*POWER(Upgrades!$R$18,J376)*POWER(Upgrades!$R$19,K376)*POWER(Upgrades!$R$20,L376)*POWER(Upgrades!$R$21,M376))*(IF(Upgrades!$T$13="Roche Lobe Overflow",POWER(Upgrades!$U$13,E376),1)*IF(Upgrades!$T$14="Roche Lobe Overflow",POWER(Upgrades!$U$14,F376),1)*IF(Upgrades!$T$15="Roche Lobe Overflow",POWER(Upgrades!$U$15,G376),1)*IF(Upgrades!$T$17="Roche Lobe Overflow",POWER(Upgrades!$U$17,I376),1)*IF(Upgrades!$T$18="Roche Lobe Overflow",POWER(Upgrades!$U$18,J376),1)*IF(Upgrades!$T$19="Roche Lobe Overflow",POWER(Upgrades!$U$19,K376),1)*IF(Upgrades!$T$20="Roche Lobe Overflow",POWER(Upgrades!$U$20,L376),1)*IF(Upgrades!$T$21="Roche Lobe Overflow",POWER(Upgrades!$U$21,M376),1))*$H$6*O376+((IF(F376=0,0,(Upgrades!$G$14+F376*Upgrades!$H$14)*POWER(Upgrades!$I$14,F376)))*(IF(Upgrades!$T$13="Local Bubble",POWER(Upgrades!$U$13,E376),1)*IF(Upgrades!$T$15="Local Bubble",POWER(Upgrades!$U$15,G376),1)*IF(Upgrades!$T$16="Local Bubble",POWER(Upgrades!$U$16,H376),1)*IF(Upgrades!$T$17="Local Bubble",POWER(Upgrades!$U$17,I376),1)*IF(Upgrades!$T$18="Local Bubble",POWER(Upgrades!$U$18,J376),1)*IF(Upgrades!$T$19="Local Bubble",POWER(Upgrades!$U$19,K376),1)*IF(Upgrades!$T$20="Local Bubble",POWER(Upgrades!$U$20,L376),1)*IF(Upgrades!$T$21="Local Bubble",POWER(Upgrades!$U$21,M376),1))*POWER(Upgrades!$P$13,E376)*POWER(Upgrades!$P$14,F376)*POWER(Upgrades!$P$15,G376)*POWER(Upgrades!$P$16,H376)*POWER(Upgrades!$P$17,I376)*POWER(Upgrades!$P$18,J376)*POWER(Upgrades!$P$19,K376)*POWER(Upgrades!$P$20,L376)*POWER(Upgrades!$P$21,M376)*$F$6)*0.05)/AN376,0)</f>
        <v/>
      </c>
      <c r="BC376" s="32">
        <f>IFERROR((Upgrades!$H$17*(POWER(Upgrades!$P$13,E376)*POWER(Upgrades!$P$14,F376)*POWER(Upgrades!$P$15,G376)*POWER(Upgrades!$P$16,H376)*POWER(Upgrades!$P$17,I376)*POWER(Upgrades!$P$18,J376)*POWER(Upgrades!$P$19,K376)*POWER(Upgrades!$P$20,L376)*POWER(Upgrades!$P$21,M376))*(IF(Upgrades!$T$13="Brown Dwarf",POWER(Upgrades!$U$13,E376),1)*IF(Upgrades!$T$14="Brown Dwarf",POWER(Upgrades!$U$14,F376),1)*IF(Upgrades!$T$15="Brown Dwarf",POWER(Upgrades!$U$15,G376),1)*IF(Upgrades!$T$16="Brown Dwarf",POWER(Upgrades!$U$16,H376),1)*IF(Upgrades!$T$18="Brown Dwarf",POWER(Upgrades!$U$18,J376),1)*IF(Upgrades!$T$19="Brown Dwarf",POWER(Upgrades!$U$19,K376),1)*IF(Upgrades!$T$20="Brown Dwarf",POWER(Upgrades!$U$20,L376),1)*IF(Upgrades!$T$21="Brown Dwarf",POWER(Upgrades!$U$21,M376),1))*$F$6+(((IF(H376=0,0,(Upgrades!$M$16+H376*Upgrades!$N$16)*POWER(Upgrades!$O$16,H376)))*(IF(Upgrades!$T$13="Roche Lobe Overflow",POWER(Upgrades!$U$13,E376),1)*IF(Upgrades!$T$14="Roche Lobe Overflow",POWER(Upgrades!$U$14,F376),1)*IF(Upgrades!$T$15="Roche Lobe Overflow",POWER(Upgrades!$U$15,G376),1)*IF(Upgrades!$T$17="Roche Lobe Overflow",POWER(Upgrades!$U$17,I376),1)*IF(Upgrades!$T$18="Roche Lobe Overflow",POWER(Upgrades!$U$18,J376),1)*IF(Upgrades!$T$19="Roche Lobe Overflow",POWER(Upgrades!$U$19,K376),1)*IF(Upgrades!$T$20="Roche Lobe Overflow",POWER(Upgrades!$U$20,L376),1)*IF(Upgrades!$T$21="Roche Lobe Overflow",POWER(Upgrades!$U$21,M376),1))*POWER(Upgrades!$R$13,E376)*POWER(Upgrades!$R$14,F376)*POWER(Upgrades!$R$15,G376)*POWER(Upgrades!$R$16,H376)*POWER(Upgrades!$R$17,I376)*POWER(Upgrades!$R$18,J376)*POWER(Upgrades!$R$19,K376)*POWER(Upgrades!$R$20,L376)*POWER(Upgrades!$R$21,M376)*$H$6)*O376)*0.10)/AO376,0)</f>
        <v/>
      </c>
      <c r="BD376" s="32">
        <f>MAX(IF(J376&gt;0,0,IFERROR(0.5*((IF(G376=0,0,(Upgrades!$J$15+G376*Upgrades!$K$15)*POWER(Upgrades!$L$15,G376)))*(IF(Upgrades!$T$13="Microlensing",POWER(Upgrades!$U$13,E376),1)*IF(Upgrades!$T$14="Microlensing",POWER(Upgrades!$U$14,F376),1)*IF(Upgrades!$T$16="Microlensing",POWER(Upgrades!$U$16,H376),1)*IF(Upgrades!$T$17="Microlensing",POWER(Upgrades!$U$17,I376),1)*IF(Upgrades!$T$18="Microlensing",POWER(Upgrades!$U$18,J376),1)*IF(Upgrades!$T$19="Microlensing",POWER(Upgrades!$U$19,K376),1)*IF(Upgrades!$T$20="Microlensing",POWER(Upgrades!$U$20,L376),1)*IF(Upgrades!$T$21="Microlensing",POWER(Upgrades!$U$21,M376),1))*(POWER(Upgrades!$Q$13,E376)*POWER(Upgrades!$Q$14,F376)*POWER(Upgrades!$Q$15,G376)*POWER(Upgrades!$Q$16,H376)*POWER(Upgrades!$Q$17,I376)*POWER(Upgrades!$Q$18,J376)*POWER(Upgrades!$Q$19,K376)*POWER(Upgrades!$Q$20,L376)*POWER(Upgrades!$Q$21,M376))*$G$6*(Parameters!$B$10/60*Parameters!$B$11+Q376))/Upgrades!$C$18,0)),IF(K376&gt;0,0,IFERROR(0.30*P376/Upgrades!$C$19,0)),IF(L376&gt;0,0,IFERROR(0.0001/Upgrades!$C$20,0)),IF(M376&gt;0,0,IFERROR((6.0*(POWER(Upgrades!$P$13,E376)*POWER(Upgrades!$P$14,F376)*POWER(Upgrades!$P$15,G376)*POWER(Upgrades!$P$16,H376)*POWER(Upgrades!$P$17,I376)*POWER(Upgrades!$P$18,J376)*POWER(Upgrades!$P$19,K376)*POWER(Upgrades!$P$20,L376)*POWER(Upgrades!$P$21,M376))*$F$6+0.20*O376*(Parameters!$B$10/60*Parameters!$B$11+Q376))/Upgrades!$C$21,0)),IF(AND(ISNUMBER(AK376),AK376&gt;(C376+T376)),AY376,0),IF(AND(ISNUMBER(AL376),AL376&gt;(C376+T376)),AZ376,0),IF(AND(ISNUMBER(AM376),AM376&gt;(C376+T376)),BA376,0),IF(AND(ISNUMBER(AN376),AN376&gt;(C376+T376)),BB376,0),IF(AND(ISNUMBER(AO376),AO376&gt;(C376+T376)),BC376,0))</f>
        <v/>
      </c>
      <c r="BE376" s="29">
        <f>IF(AT376=1,"transition",IF(MIN(IF(AND(J376=0,ISNUMBER(AP376),AP376&lt;=(C376+T376)),AP376,9E15),IF(AND(K376=0,ISNUMBER(AQ376),AQ376&lt;=(C376+T376)),AQ376,9E15),IF(AND(L376=0,ISNUMBER(AR376),AR376&lt;=(C376+T376)),AR376,9E15),IF(AND(M376=0,ISNUMBER(AS376),AS376&lt;=(C376+T376)),AS376,9E15))&lt;9E15,IF(AND(AND(J376=0,ISNUMBER(AP376),AP376&lt;=(C376+T376)),AP376=MIN(IF(AND(J376=0,ISNUMBER(AP376),AP376&lt;=(C376+T376)),AP376,9E15),IF(AND(K376=0,ISNUMBER(AQ376),AQ376&lt;=(C376+T376)),AQ376,9E15),IF(AND(L376=0,ISNUMBER(AR376),AR376&lt;=(C376+T376)),AR376,9E15),IF(AND(M376=0,ISNUMBER(AS376),AS376&lt;=(C376+T376)),AS376,9E15))),"BiP",IF(AND(AND(K376=0,ISNUMBER(AQ376),AQ376&lt;=(C376+T376)),AQ376=MIN(IF(AND(J376=0,ISNUMBER(AP376),AP376&lt;=(C376+T376)),AP376,9E15),IF(AND(K376=0,ISNUMBER(AQ376),AQ376&lt;=(C376+T376)),AQ376,9E15),IF(AND(L376=0,ISNUMBER(AR376),AR376&lt;=(C376+T376)),AR376,9E15),IF(AND(M376=0,ISNUMBER(AS376),AS376&lt;=(C376+T376)),AS376,9E15))),"PV",IF(AND(AND(L376=0,ISNUMBER(AR376),AR376&lt;=(C376+T376)),AR376=MIN(IF(AND(J376=0,ISNUMBER(AP376),AP376&lt;=(C376+T376)),AP376,9E15),IF(AND(K376=0,ISNUMBER(AQ376),AQ376&lt;=(C376+T376)),AQ376,9E15),IF(AND(L376=0,ISNUMBER(AR376),AR376&lt;=(C376+T376)),AR376,9E15),IF(AND(M376=0,ISNUMBER(AS376),AS376&lt;=(C376+T376)),AS376,9E15))),"OC","MG"))),IF(AX376=TRUE,"",IF(MAX(IF(AND(NOT(AND(AU376=1,AT376&lt;&gt;1)),ISNUMBER(AK376),AK376&lt;=(C376+T376)),AY376,0),IF(AND(NOT(AND(AU376=1,AT376&lt;&gt;1)),ISNUMBER(AL376),AL376&lt;=(C376+T376)),AZ376,0),IF(AND(NOT(AND(AU376=1,AT376&lt;&gt;1)),ISNUMBER(AM376),AM376&lt;=(C376+T376)),BA376,0),IF(AND(NOT(AND(AU376=1,AT376&lt;&gt;1)),ISNUMBER(AN376),AN376&lt;=(C376+T376)),BB376,0),IF(AND(ISNUMBER(AO376),AO376&lt;=(C376+T376)),BC376,0))&lt;=0,"",IF(AND(IF(AND(NOT(AND(AU376=1,AT376&lt;&gt;1)),ISNUMBER(AK376),AK376&lt;=(C376+T376)),AY376,0)&gt;0,IF(AND(NOT(AND(AU376=1,AT376&lt;&gt;1)),ISNUMBER(AK376),AK376&lt;=(C376+T376)),AY376,0)=MAX(IF(AND(NOT(AND(AU376=1,AT376&lt;&gt;1)),ISNUMBER(AK376),AK376&lt;=(C376+T376)),AY376,0),IF(AND(NOT(AND(AU376=1,AT376&lt;&gt;1)),ISNUMBER(AL376),AL376&lt;=(C376+T376)),AZ376,0),IF(AND(NOT(AND(AU376=1,AT376&lt;&gt;1)),ISNUMBER(AM376),AM376&lt;=(C376+T376)),BA376,0),IF(AND(NOT(AND(AU376=1,AT376&lt;&gt;1)),ISNUMBER(AN376),AN376&lt;=(C376+T376)),BB376,0),IF(AND(ISNUMBER(AO376),AO376&lt;=(C376+T376)),BC376,0))),"SK",IF(AND(IF(AND(NOT(AND(AU376=1,AT376&lt;&gt;1)),ISNUMBER(AL376),AL376&lt;=(C376+T376)),AZ376,0)&gt;0,IF(AND(NOT(AND(AU376=1,AT376&lt;&gt;1)),ISNUMBER(AL376),AL376&lt;=(C376+T376)),AZ376,0)=MAX(IF(AND(NOT(AND(AU376=1,AT376&lt;&gt;1)),ISNUMBER(AK376),AK376&lt;=(C376+T376)),AY376,0),IF(AND(NOT(AND(AU376=1,AT376&lt;&gt;1)),ISNUMBER(AL376),AL376&lt;=(C376+T376)),AZ376,0),IF(AND(NOT(AND(AU376=1,AT376&lt;&gt;1)),ISNUMBER(AM376),AM376&lt;=(C376+T376)),BA376,0),IF(AND(NOT(AND(AU376=1,AT376&lt;&gt;1)),ISNUMBER(AN376),AN376&lt;=(C376+T376)),BB376,0),IF(AND(ISNUMBER(AO376),AO376&lt;=(C376+T376)),BC376,0))),"LB",IF(AND(IF(AND(NOT(AND(AU376=1,AT376&lt;&gt;1)),ISNUMBER(AM376),AM376&lt;=(C376+T376)),BA376,0)&gt;0,IF(AND(NOT(AND(AU376=1,AT376&lt;&gt;1)),ISNUMBER(AM376),AM376&lt;=(C376+T376)),BA376,0)=MAX(IF(AND(NOT(AND(AU376=1,AT376&lt;&gt;1)),ISNUMBER(AK376),AK376&lt;=(C376+T376)),AY376,0),IF(AND(NOT(AND(AU376=1,AT376&lt;&gt;1)),ISNUMBER(AL376),AL376&lt;=(C376+T376)),AZ376,0),IF(AND(NOT(AND(AU376=1,AT376&lt;&gt;1)),ISNUMBER(AM376),AM376&lt;=(C376+T376)),BA376,0),IF(AND(NOT(AND(AU376=1,AT376&lt;&gt;1)),ISNUMBER(AN376),AN376&lt;=(C376+T376)),BB376,0),IF(AND(ISNUMBER(AO376),AO376&lt;=(C376+T376)),BC376,0))),"ML",IF(AND(IF(AND(NOT(AND(AU376=1,AT376&lt;&gt;1)),ISNUMBER(AN376),AN376&lt;=(C376+T376)),BB376,0)&gt;0,IF(AND(NOT(AND(AU376=1,AT376&lt;&gt;1)),ISNUMBER(AN376),AN376&lt;=(C376+T376)),BB376,0)=MAX(IF(AND(NOT(AND(AU376=1,AT376&lt;&gt;1)),ISNUMBER(AK376),AK376&lt;=(C376+T376)),AY376,0),IF(AND(NOT(AND(AU376=1,AT376&lt;&gt;1)),ISNUMBER(AL376),AL376&lt;=(C376+T376)),AZ376,0),IF(AND(NOT(AND(AU376=1,AT376&lt;&gt;1)),ISNUMBER(AM376),AM376&lt;=(C376+T376)),BA376,0),IF(AND(NOT(AND(AU376=1,AT376&lt;&gt;1)),ISNUMBER(AN376),AN376&lt;=(C376+T376)),BB376,0),IF(AND(ISNUMBER(AO376),AO376&lt;=(C376+T376)),BC376,0))),"RLO","BD"))))))))</f>
        <v/>
      </c>
    </row>
    <row r="377">
      <c r="A377" s="26" t="n">
        <v>366</v>
      </c>
      <c r="B377" s="27">
        <f>A377*10/60</f>
        <v/>
      </c>
      <c r="C377" s="22">
        <f>X376</f>
        <v/>
      </c>
      <c r="D377" s="27">
        <f>D376+W376</f>
        <v/>
      </c>
      <c r="E377" s="26">
        <f>E376+IF(U376="SK",1,0)</f>
        <v/>
      </c>
      <c r="F377" s="26">
        <f>F376+IF(U376="LB",1,0)</f>
        <v/>
      </c>
      <c r="G377" s="26">
        <f>G376+IF(U376="ML",1,0)</f>
        <v/>
      </c>
      <c r="H377" s="26">
        <f>H376+IF(U376="RLO",1,0)</f>
        <v/>
      </c>
      <c r="I377" s="26">
        <f>I376+IF(U376="BD",1,0)</f>
        <v/>
      </c>
      <c r="J377" s="26">
        <f>MAX(J376,IF(U376="BiP",1,0))</f>
        <v/>
      </c>
      <c r="K377" s="26">
        <f>MAX(K376,IF(U376="PV",1,0))</f>
        <v/>
      </c>
      <c r="L377" s="26">
        <f>MAX(L376,IF(U376="OC",1,0))</f>
        <v/>
      </c>
      <c r="M377" s="26">
        <f>MAX(M376,IF(U376="MG",1,0))</f>
        <v/>
      </c>
      <c r="N377" s="26">
        <f>MAX(N376,IF(U376="transition",1,0))</f>
        <v/>
      </c>
      <c r="O377" s="28">
        <f>(Parameters!$B$9+(IF(E377=0,0,(Upgrades!$J$13+E377*Upgrades!$K$13)*POWER(Upgrades!$L$13,E377)))*(IF(Upgrades!$T$14="Stellar Kinematics",POWER(Upgrades!$U$14,F377),1)*IF(Upgrades!$T$15="Stellar Kinematics",POWER(Upgrades!$U$15,G377),1)*IF(Upgrades!$T$16="Stellar Kinematics",POWER(Upgrades!$U$16,H377),1)*IF(Upgrades!$T$17="Stellar Kinematics",POWER(Upgrades!$U$17,I377),1)*IF(Upgrades!$T$18="Stellar Kinematics",POWER(Upgrades!$U$18,J377),1)*IF(Upgrades!$T$19="Stellar Kinematics",POWER(Upgrades!$U$19,K377),1)*IF(Upgrades!$T$20="Stellar Kinematics",POWER(Upgrades!$U$20,L377),1)*IF(Upgrades!$T$21="Stellar Kinematics",POWER(Upgrades!$U$21,M377),1))+(IF(F377=0,0,(Upgrades!$J$14+F377*Upgrades!$K$14)*POWER(Upgrades!$L$14,F377)))*(IF(Upgrades!$T$13="Local Bubble",POWER(Upgrades!$U$13,E377),1)*IF(Upgrades!$T$15="Local Bubble",POWER(Upgrades!$U$15,G377),1)*IF(Upgrades!$T$16="Local Bubble",POWER(Upgrades!$U$16,H377),1)*IF(Upgrades!$T$17="Local Bubble",POWER(Upgrades!$U$17,I377),1)*IF(Upgrades!$T$18="Local Bubble",POWER(Upgrades!$U$18,J377),1)*IF(Upgrades!$T$19="Local Bubble",POWER(Upgrades!$U$19,K377),1)*IF(Upgrades!$T$20="Local Bubble",POWER(Upgrades!$U$20,L377),1)*IF(Upgrades!$T$21="Local Bubble",POWER(Upgrades!$U$21,M377),1))+(IF(G377=0,0,(Upgrades!$J$15+G377*Upgrades!$K$15)*POWER(Upgrades!$L$15,G377)))*(IF(Upgrades!$T$13="Microlensing",POWER(Upgrades!$U$13,E377),1)*IF(Upgrades!$T$14="Microlensing",POWER(Upgrades!$U$14,F377),1)*IF(Upgrades!$T$16="Microlensing",POWER(Upgrades!$U$16,H377),1)*IF(Upgrades!$T$17="Microlensing",POWER(Upgrades!$U$17,I377),1)*IF(Upgrades!$T$18="Microlensing",POWER(Upgrades!$U$18,J377),1)*IF(Upgrades!$T$19="Microlensing",POWER(Upgrades!$U$19,K377),1)*IF(Upgrades!$T$20="Microlensing",POWER(Upgrades!$U$20,L377),1)*IF(Upgrades!$T$21="Microlensing",POWER(Upgrades!$U$21,M377),1))+(IF(H377=0,0,(Upgrades!$J$16+H377*Upgrades!$K$16)*POWER(Upgrades!$L$16,H377)))*(IF(Upgrades!$T$13="Roche Lobe Overflow",POWER(Upgrades!$U$13,E377),1)*IF(Upgrades!$T$14="Roche Lobe Overflow",POWER(Upgrades!$U$14,F377),1)*IF(Upgrades!$T$15="Roche Lobe Overflow",POWER(Upgrades!$U$15,G377),1)*IF(Upgrades!$T$17="Roche Lobe Overflow",POWER(Upgrades!$U$17,I377),1)*IF(Upgrades!$T$18="Roche Lobe Overflow",POWER(Upgrades!$U$18,J377),1)*IF(Upgrades!$T$19="Roche Lobe Overflow",POWER(Upgrades!$U$19,K377),1)*IF(Upgrades!$T$20="Roche Lobe Overflow",POWER(Upgrades!$U$20,L377),1)*IF(Upgrades!$T$21="Roche Lobe Overflow",POWER(Upgrades!$U$21,M377),1))+(IF(I377=0,0,(Upgrades!$J$17+I377*Upgrades!$K$17)*POWER(Upgrades!$L$17,I377)))*(IF(Upgrades!$T$13="Brown Dwarf",POWER(Upgrades!$U$13,E377),1)*IF(Upgrades!$T$14="Brown Dwarf",POWER(Upgrades!$U$14,F377),1)*IF(Upgrades!$T$15="Brown Dwarf",POWER(Upgrades!$U$15,G377),1)*IF(Upgrades!$T$16="Brown Dwarf",POWER(Upgrades!$U$16,H377),1)*IF(Upgrades!$T$18="Brown Dwarf",POWER(Upgrades!$U$18,J377),1)*IF(Upgrades!$T$19="Brown Dwarf",POWER(Upgrades!$U$19,K377),1)*IF(Upgrades!$T$20="Brown Dwarf",POWER(Upgrades!$U$20,L377),1)*IF(Upgrades!$T$21="Brown Dwarf",POWER(Upgrades!$U$21,M377),1))+(IF(J377=0,0,(Upgrades!$J$18+J377*Upgrades!$K$18)*POWER(Upgrades!$L$18,J377)))*(IF(Upgrades!$T$13="Binary Partner",POWER(Upgrades!$U$13,E377),1)*IF(Upgrades!$T$14="Binary Partner",POWER(Upgrades!$U$14,F377),1)*IF(Upgrades!$T$15="Binary Partner",POWER(Upgrades!$U$15,G377),1)*IF(Upgrades!$T$16="Binary Partner",POWER(Upgrades!$U$16,H377),1)*IF(Upgrades!$T$17="Binary Partner",POWER(Upgrades!$U$17,I377),1)*IF(Upgrades!$T$19="Binary Partner",POWER(Upgrades!$U$19,K377),1)*IF(Upgrades!$T$20="Binary Partner",POWER(Upgrades!$U$20,L377),1)*IF(Upgrades!$T$21="Binary Partner",POWER(Upgrades!$U$21,M377),1))+(IF(K377=0,0,(Upgrades!$J$19+K377*Upgrades!$K$19)*POWER(Upgrades!$L$19,K377)))*(IF(Upgrades!$T$13="Peculiar Velocity",POWER(Upgrades!$U$13,E377),1)*IF(Upgrades!$T$14="Peculiar Velocity",POWER(Upgrades!$U$14,F377),1)*IF(Upgrades!$T$15="Peculiar Velocity",POWER(Upgrades!$U$15,G377),1)*IF(Upgrades!$T$16="Peculiar Velocity",POWER(Upgrades!$U$16,H377),1)*IF(Upgrades!$T$17="Peculiar Velocity",POWER(Upgrades!$U$17,I377),1)*IF(Upgrades!$T$18="Peculiar Velocity",POWER(Upgrades!$U$18,J377),1)*IF(Upgrades!$T$20="Peculiar Velocity",POWER(Upgrades!$U$20,L377),1)*IF(Upgrades!$T$21="Peculiar Velocity",POWER(Upgrades!$U$21,M377),1))+(IF(L377=0,0,(Upgrades!$J$20+L377*Upgrades!$K$20)*POWER(Upgrades!$L$20,L377)))*(IF(Upgrades!$T$13="Open Cluster",POWER(Upgrades!$U$13,E377),1)*IF(Upgrades!$T$14="Open Cluster",POWER(Upgrades!$U$14,F377),1)*IF(Upgrades!$T$15="Open Cluster",POWER(Upgrades!$U$15,G377),1)*IF(Upgrades!$T$16="Open Cluster",POWER(Upgrades!$U$16,H377),1)*IF(Upgrades!$T$17="Open Cluster",POWER(Upgrades!$U$17,I377),1)*IF(Upgrades!$T$18="Open Cluster",POWER(Upgrades!$U$18,J377),1)*IF(Upgrades!$T$19="Open Cluster",POWER(Upgrades!$U$19,K377),1)*IF(Upgrades!$T$21="Open Cluster",POWER(Upgrades!$U$21,M377),1))+(IF(M377=0,0,(Upgrades!$J$21+M377*Upgrades!$K$21)*POWER(Upgrades!$L$21,M377)))*(IF(Upgrades!$T$13="Moving Group",POWER(Upgrades!$U$13,E377),1)*IF(Upgrades!$T$14="Moving Group",POWER(Upgrades!$U$14,F377),1)*IF(Upgrades!$T$15="Moving Group",POWER(Upgrades!$U$15,G377),1)*IF(Upgrades!$T$16="Moving Group",POWER(Upgrades!$U$16,H377),1)*IF(Upgrades!$T$17="Moving Group",POWER(Upgrades!$U$17,I377),1)*IF(Upgrades!$T$18="Moving Group",POWER(Upgrades!$U$18,J377),1)*IF(Upgrades!$T$19="Moving Group",POWER(Upgrades!$U$19,K377),1)*IF(Upgrades!$T$20="Moving Group",POWER(Upgrades!$U$20,L377),1)))*POWER(Upgrades!$Q$13,E377)*POWER(Upgrades!$Q$14,F377)*POWER(Upgrades!$Q$15,G377)*POWER(Upgrades!$Q$16,H377)*POWER(Upgrades!$Q$17,I377)*POWER(Upgrades!$Q$18,J377)*POWER(Upgrades!$Q$19,K377)*POWER(Upgrades!$Q$20,L377)*POWER(Upgrades!$Q$21,M377)*$G$6+$D$6</f>
        <v/>
      </c>
      <c r="P377" s="28">
        <f>((IF(E377=0,0,(Upgrades!$G$13+E377*Upgrades!$H$13)*POWER(Upgrades!$I$13,E377)))*(IF(Upgrades!$T$14="Stellar Kinematics",POWER(Upgrades!$U$14,F377),1)*IF(Upgrades!$T$15="Stellar Kinematics",POWER(Upgrades!$U$15,G377),1)*IF(Upgrades!$T$16="Stellar Kinematics",POWER(Upgrades!$U$16,H377),1)*IF(Upgrades!$T$17="Stellar Kinematics",POWER(Upgrades!$U$17,I377),1)*IF(Upgrades!$T$18="Stellar Kinematics",POWER(Upgrades!$U$18,J377),1)*IF(Upgrades!$T$19="Stellar Kinematics",POWER(Upgrades!$U$19,K377),1)*IF(Upgrades!$T$20="Stellar Kinematics",POWER(Upgrades!$U$20,L377),1)*IF(Upgrades!$T$21="Stellar Kinematics",POWER(Upgrades!$U$21,M377),1))+(IF(F377=0,0,(Upgrades!$G$14+F377*Upgrades!$H$14)*POWER(Upgrades!$I$14,F377)))*(IF(Upgrades!$T$13="Local Bubble",POWER(Upgrades!$U$13,E377),1)*IF(Upgrades!$T$15="Local Bubble",POWER(Upgrades!$U$15,G377),1)*IF(Upgrades!$T$16="Local Bubble",POWER(Upgrades!$U$16,H377),1)*IF(Upgrades!$T$17="Local Bubble",POWER(Upgrades!$U$17,I377),1)*IF(Upgrades!$T$18="Local Bubble",POWER(Upgrades!$U$18,J377),1)*IF(Upgrades!$T$19="Local Bubble",POWER(Upgrades!$U$19,K377),1)*IF(Upgrades!$T$20="Local Bubble",POWER(Upgrades!$U$20,L377),1)*IF(Upgrades!$T$21="Local Bubble",POWER(Upgrades!$U$21,M377),1))+(IF(G377=0,0,(Upgrades!$G$15+G377*Upgrades!$H$15)*POWER(Upgrades!$I$15,G377)))*(IF(Upgrades!$T$13="Microlensing",POWER(Upgrades!$U$13,E377),1)*IF(Upgrades!$T$14="Microlensing",POWER(Upgrades!$U$14,F377),1)*IF(Upgrades!$T$16="Microlensing",POWER(Upgrades!$U$16,H377),1)*IF(Upgrades!$T$17="Microlensing",POWER(Upgrades!$U$17,I377),1)*IF(Upgrades!$T$18="Microlensing",POWER(Upgrades!$U$18,J377),1)*IF(Upgrades!$T$19="Microlensing",POWER(Upgrades!$U$19,K377),1)*IF(Upgrades!$T$20="Microlensing",POWER(Upgrades!$U$20,L377),1)*IF(Upgrades!$T$21="Microlensing",POWER(Upgrades!$U$21,M377),1))+(IF(H377=0,0,(Upgrades!$G$16+H377*Upgrades!$H$16)*POWER(Upgrades!$I$16,H377)))*(IF(Upgrades!$T$13="Roche Lobe Overflow",POWER(Upgrades!$U$13,E377),1)*IF(Upgrades!$T$14="Roche Lobe Overflow",POWER(Upgrades!$U$14,F377),1)*IF(Upgrades!$T$15="Roche Lobe Overflow",POWER(Upgrades!$U$15,G377),1)*IF(Upgrades!$T$17="Roche Lobe Overflow",POWER(Upgrades!$U$17,I377),1)*IF(Upgrades!$T$18="Roche Lobe Overflow",POWER(Upgrades!$U$18,J377),1)*IF(Upgrades!$T$19="Roche Lobe Overflow",POWER(Upgrades!$U$19,K377),1)*IF(Upgrades!$T$20="Roche Lobe Overflow",POWER(Upgrades!$U$20,L377),1)*IF(Upgrades!$T$21="Roche Lobe Overflow",POWER(Upgrades!$U$21,M377),1))+(IF(I377=0,0,(Upgrades!$G$17+I377*Upgrades!$H$17)*POWER(Upgrades!$I$17,I377)))*(IF(Upgrades!$T$13="Brown Dwarf",POWER(Upgrades!$U$13,E377),1)*IF(Upgrades!$T$14="Brown Dwarf",POWER(Upgrades!$U$14,F377),1)*IF(Upgrades!$T$15="Brown Dwarf",POWER(Upgrades!$U$15,G377),1)*IF(Upgrades!$T$16="Brown Dwarf",POWER(Upgrades!$U$16,H377),1)*IF(Upgrades!$T$18="Brown Dwarf",POWER(Upgrades!$U$18,J377),1)*IF(Upgrades!$T$19="Brown Dwarf",POWER(Upgrades!$U$19,K377),1)*IF(Upgrades!$T$20="Brown Dwarf",POWER(Upgrades!$U$20,L377),1)*IF(Upgrades!$T$21="Brown Dwarf",POWER(Upgrades!$U$21,M377),1))+(IF(J377=0,0,(Upgrades!$G$18+J377*Upgrades!$H$18)*POWER(Upgrades!$I$18,J377)))*(IF(Upgrades!$T$13="Binary Partner",POWER(Upgrades!$U$13,E377),1)*IF(Upgrades!$T$14="Binary Partner",POWER(Upgrades!$U$14,F377),1)*IF(Upgrades!$T$15="Binary Partner",POWER(Upgrades!$U$15,G377),1)*IF(Upgrades!$T$16="Binary Partner",POWER(Upgrades!$U$16,H377),1)*IF(Upgrades!$T$17="Binary Partner",POWER(Upgrades!$U$17,I377),1)*IF(Upgrades!$T$19="Binary Partner",POWER(Upgrades!$U$19,K377),1)*IF(Upgrades!$T$20="Binary Partner",POWER(Upgrades!$U$20,L377),1)*IF(Upgrades!$T$21="Binary Partner",POWER(Upgrades!$U$21,M377),1))+(IF(K377=0,0,(Upgrades!$G$19+K377*Upgrades!$H$19)*POWER(Upgrades!$I$19,K377)))*(IF(Upgrades!$T$13="Peculiar Velocity",POWER(Upgrades!$U$13,E377),1)*IF(Upgrades!$T$14="Peculiar Velocity",POWER(Upgrades!$U$14,F377),1)*IF(Upgrades!$T$15="Peculiar Velocity",POWER(Upgrades!$U$15,G377),1)*IF(Upgrades!$T$16="Peculiar Velocity",POWER(Upgrades!$U$16,H377),1)*IF(Upgrades!$T$17="Peculiar Velocity",POWER(Upgrades!$U$17,I377),1)*IF(Upgrades!$T$18="Peculiar Velocity",POWER(Upgrades!$U$18,J377),1)*IF(Upgrades!$T$20="Peculiar Velocity",POWER(Upgrades!$U$20,L377),1)*IF(Upgrades!$T$21="Peculiar Velocity",POWER(Upgrades!$U$21,M377),1))+(IF(L377=0,0,(Upgrades!$G$20+L377*Upgrades!$H$20)*POWER(Upgrades!$I$20,L377)))*(IF(Upgrades!$T$13="Open Cluster",POWER(Upgrades!$U$13,E377),1)*IF(Upgrades!$T$14="Open Cluster",POWER(Upgrades!$U$14,F377),1)*IF(Upgrades!$T$15="Open Cluster",POWER(Upgrades!$U$15,G377),1)*IF(Upgrades!$T$16="Open Cluster",POWER(Upgrades!$U$16,H377),1)*IF(Upgrades!$T$17="Open Cluster",POWER(Upgrades!$U$17,I377),1)*IF(Upgrades!$T$18="Open Cluster",POWER(Upgrades!$U$18,J377),1)*IF(Upgrades!$T$19="Open Cluster",POWER(Upgrades!$U$19,K377),1)*IF(Upgrades!$T$21="Open Cluster",POWER(Upgrades!$U$21,M377),1))+(IF(M377=0,0,(Upgrades!$G$21+M377*Upgrades!$H$21)*POWER(Upgrades!$I$21,M377)))*(IF(Upgrades!$T$13="Moving Group",POWER(Upgrades!$U$13,E377),1)*IF(Upgrades!$T$14="Moving Group",POWER(Upgrades!$U$14,F377),1)*IF(Upgrades!$T$15="Moving Group",POWER(Upgrades!$U$15,G377),1)*IF(Upgrades!$T$16="Moving Group",POWER(Upgrades!$U$16,H377),1)*IF(Upgrades!$T$17="Moving Group",POWER(Upgrades!$U$17,I377),1)*IF(Upgrades!$T$18="Moving Group",POWER(Upgrades!$U$18,J377),1)*IF(Upgrades!$T$19="Moving Group",POWER(Upgrades!$U$19,K377),1)*IF(Upgrades!$T$20="Moving Group",POWER(Upgrades!$U$20,L377),1)))*POWER(Upgrades!$P$13,E377)*POWER(Upgrades!$P$14,F377)*POWER(Upgrades!$P$15,G377)*POWER(Upgrades!$P$16,H377)*POWER(Upgrades!$P$17,I377)*POWER(Upgrades!$P$18,J377)*POWER(Upgrades!$P$19,K377)*POWER(Upgrades!$P$20,L377)*POWER(Upgrades!$P$21,M377)*$F$6+$C$6</f>
        <v/>
      </c>
      <c r="Q377" s="28">
        <f>((IF(E377=0,0,(Upgrades!$M$13+E377*Upgrades!$N$13)*POWER(Upgrades!$O$13,E377)))*(IF(Upgrades!$T$14="Stellar Kinematics",POWER(Upgrades!$U$14,F377),1)*IF(Upgrades!$T$15="Stellar Kinematics",POWER(Upgrades!$U$15,G377),1)*IF(Upgrades!$T$16="Stellar Kinematics",POWER(Upgrades!$U$16,H377),1)*IF(Upgrades!$T$17="Stellar Kinematics",POWER(Upgrades!$U$17,I377),1)*IF(Upgrades!$T$18="Stellar Kinematics",POWER(Upgrades!$U$18,J377),1)*IF(Upgrades!$T$19="Stellar Kinematics",POWER(Upgrades!$U$19,K377),1)*IF(Upgrades!$T$20="Stellar Kinematics",POWER(Upgrades!$U$20,L377),1)*IF(Upgrades!$T$21="Stellar Kinematics",POWER(Upgrades!$U$21,M377),1))+(IF(F377=0,0,(Upgrades!$M$14+F377*Upgrades!$N$14)*POWER(Upgrades!$O$14,F377)))*(IF(Upgrades!$T$13="Local Bubble",POWER(Upgrades!$U$13,E377),1)*IF(Upgrades!$T$15="Local Bubble",POWER(Upgrades!$U$15,G377),1)*IF(Upgrades!$T$16="Local Bubble",POWER(Upgrades!$U$16,H377),1)*IF(Upgrades!$T$17="Local Bubble",POWER(Upgrades!$U$17,I377),1)*IF(Upgrades!$T$18="Local Bubble",POWER(Upgrades!$U$18,J377),1)*IF(Upgrades!$T$19="Local Bubble",POWER(Upgrades!$U$19,K377),1)*IF(Upgrades!$T$20="Local Bubble",POWER(Upgrades!$U$20,L377),1)*IF(Upgrades!$T$21="Local Bubble",POWER(Upgrades!$U$21,M377),1))+(IF(G377=0,0,(Upgrades!$M$15+G377*Upgrades!$N$15)*POWER(Upgrades!$O$15,G377)))*(IF(Upgrades!$T$13="Microlensing",POWER(Upgrades!$U$13,E377),1)*IF(Upgrades!$T$14="Microlensing",POWER(Upgrades!$U$14,F377),1)*IF(Upgrades!$T$16="Microlensing",POWER(Upgrades!$U$16,H377),1)*IF(Upgrades!$T$17="Microlensing",POWER(Upgrades!$U$17,I377),1)*IF(Upgrades!$T$18="Microlensing",POWER(Upgrades!$U$18,J377),1)*IF(Upgrades!$T$19="Microlensing",POWER(Upgrades!$U$19,K377),1)*IF(Upgrades!$T$20="Microlensing",POWER(Upgrades!$U$20,L377),1)*IF(Upgrades!$T$21="Microlensing",POWER(Upgrades!$U$21,M377),1))+(IF(H377=0,0,(Upgrades!$M$16+H377*Upgrades!$N$16)*POWER(Upgrades!$O$16,H377)))*(IF(Upgrades!$T$13="Roche Lobe Overflow",POWER(Upgrades!$U$13,E377),1)*IF(Upgrades!$T$14="Roche Lobe Overflow",POWER(Upgrades!$U$14,F377),1)*IF(Upgrades!$T$15="Roche Lobe Overflow",POWER(Upgrades!$U$15,G377),1)*IF(Upgrades!$T$17="Roche Lobe Overflow",POWER(Upgrades!$U$17,I377),1)*IF(Upgrades!$T$18="Roche Lobe Overflow",POWER(Upgrades!$U$18,J377),1)*IF(Upgrades!$T$19="Roche Lobe Overflow",POWER(Upgrades!$U$19,K377),1)*IF(Upgrades!$T$20="Roche Lobe Overflow",POWER(Upgrades!$U$20,L377),1)*IF(Upgrades!$T$21="Roche Lobe Overflow",POWER(Upgrades!$U$21,M377),1))+(IF(I377=0,0,(Upgrades!$M$17+I377*Upgrades!$N$17)*POWER(Upgrades!$O$17,I377)))*(IF(Upgrades!$T$13="Brown Dwarf",POWER(Upgrades!$U$13,E377),1)*IF(Upgrades!$T$14="Brown Dwarf",POWER(Upgrades!$U$14,F377),1)*IF(Upgrades!$T$15="Brown Dwarf",POWER(Upgrades!$U$15,G377),1)*IF(Upgrades!$T$16="Brown Dwarf",POWER(Upgrades!$U$16,H377),1)*IF(Upgrades!$T$18="Brown Dwarf",POWER(Upgrades!$U$18,J377),1)*IF(Upgrades!$T$19="Brown Dwarf",POWER(Upgrades!$U$19,K377),1)*IF(Upgrades!$T$20="Brown Dwarf",POWER(Upgrades!$U$20,L377),1)*IF(Upgrades!$T$21="Brown Dwarf",POWER(Upgrades!$U$21,M377),1))+(IF(J377=0,0,(Upgrades!$M$18+J377*Upgrades!$N$18)*POWER(Upgrades!$O$18,J377)))*(IF(Upgrades!$T$13="Binary Partner",POWER(Upgrades!$U$13,E377),1)*IF(Upgrades!$T$14="Binary Partner",POWER(Upgrades!$U$14,F377),1)*IF(Upgrades!$T$15="Binary Partner",POWER(Upgrades!$U$15,G377),1)*IF(Upgrades!$T$16="Binary Partner",POWER(Upgrades!$U$16,H377),1)*IF(Upgrades!$T$17="Binary Partner",POWER(Upgrades!$U$17,I377),1)*IF(Upgrades!$T$19="Binary Partner",POWER(Upgrades!$U$19,K377),1)*IF(Upgrades!$T$20="Binary Partner",POWER(Upgrades!$U$20,L377),1)*IF(Upgrades!$T$21="Binary Partner",POWER(Upgrades!$U$21,M377),1))+(IF(K377=0,0,(Upgrades!$M$19+K377*Upgrades!$N$19)*POWER(Upgrades!$O$19,K377)))*(IF(Upgrades!$T$13="Peculiar Velocity",POWER(Upgrades!$U$13,E377),1)*IF(Upgrades!$T$14="Peculiar Velocity",POWER(Upgrades!$U$14,F377),1)*IF(Upgrades!$T$15="Peculiar Velocity",POWER(Upgrades!$U$15,G377),1)*IF(Upgrades!$T$16="Peculiar Velocity",POWER(Upgrades!$U$16,H377),1)*IF(Upgrades!$T$17="Peculiar Velocity",POWER(Upgrades!$U$17,I377),1)*IF(Upgrades!$T$18="Peculiar Velocity",POWER(Upgrades!$U$18,J377),1)*IF(Upgrades!$T$20="Peculiar Velocity",POWER(Upgrades!$U$20,L377),1)*IF(Upgrades!$T$21="Peculiar Velocity",POWER(Upgrades!$U$21,M377),1))+(IF(L377=0,0,(Upgrades!$M$20+L377*Upgrades!$N$20)*POWER(Upgrades!$O$20,L377)))*(IF(Upgrades!$T$13="Open Cluster",POWER(Upgrades!$U$13,E377),1)*IF(Upgrades!$T$14="Open Cluster",POWER(Upgrades!$U$14,F377),1)*IF(Upgrades!$T$15="Open Cluster",POWER(Upgrades!$U$15,G377),1)*IF(Upgrades!$T$16="Open Cluster",POWER(Upgrades!$U$16,H377),1)*IF(Upgrades!$T$17="Open Cluster",POWER(Upgrades!$U$17,I377),1)*IF(Upgrades!$T$18="Open Cluster",POWER(Upgrades!$U$18,J377),1)*IF(Upgrades!$T$19="Open Cluster",POWER(Upgrades!$U$19,K377),1)*IF(Upgrades!$T$21="Open Cluster",POWER(Upgrades!$U$21,M377),1))+(IF(M377=0,0,(Upgrades!$M$21+M377*Upgrades!$N$21)*POWER(Upgrades!$O$21,M377)))*(IF(Upgrades!$T$13="Moving Group",POWER(Upgrades!$U$13,E377),1)*IF(Upgrades!$T$14="Moving Group",POWER(Upgrades!$U$14,F377),1)*IF(Upgrades!$T$15="Moving Group",POWER(Upgrades!$U$15,G377),1)*IF(Upgrades!$T$16="Moving Group",POWER(Upgrades!$U$16,H377),1)*IF(Upgrades!$T$17="Moving Group",POWER(Upgrades!$U$17,I377),1)*IF(Upgrades!$T$18="Moving Group",POWER(Upgrades!$U$18,J377),1)*IF(Upgrades!$T$19="Moving Group",POWER(Upgrades!$U$19,K377),1)*IF(Upgrades!$T$20="Moving Group",POWER(Upgrades!$U$20,L377),1)))*POWER(Upgrades!$R$13,E377)*POWER(Upgrades!$R$14,F377)*POWER(Upgrades!$R$15,G377)*POWER(Upgrades!$R$16,H377)*POWER(Upgrades!$R$17,I377)*POWER(Upgrades!$R$18,J377)*POWER(Upgrades!$R$19,K377)*POWER(Upgrades!$R$20,L377)*POWER(Upgrades!$R$21,M377)*$H$6+$E$6</f>
        <v/>
      </c>
      <c r="R377" s="27">
        <f>IF(N377=1,0,O377*Parameters!$B$10/60*Parameters!$B$11*10)</f>
        <v/>
      </c>
      <c r="S377" s="27">
        <f>IF(N377=1,0,Q377*O377*10)</f>
        <v/>
      </c>
      <c r="T377" s="27">
        <f>IF(N377=1,0,R377+S377+P377*10)</f>
        <v/>
      </c>
      <c r="U377" s="33">
        <f>BE377</f>
        <v/>
      </c>
      <c r="V377" s="22">
        <f>IF(U377="",0,IF(U377="transition",0,IF(U377="SK",AK377,IF(U377="LB",AL377,IF(U377="ML",AM377,IF(U377="RLO",AN377,IF(U377="BD",AO377,IF(U377="BiP",AP377,IF(U377="PV",AQ377,IF(U377="OC",AR377,IF(U377="MG",AS377,0))))))))))</f>
        <v/>
      </c>
      <c r="W377" s="27">
        <f>IF(U377="BiP",Upgrades!$F$18,IF(U377="PV",Upgrades!$F$19,IF(U377="OC",Upgrades!$F$20,IF(U377="MG",Upgrades!$F$21,IF(U377="transition",-Parameters!$B$18*Parameters!$B$19,0)))))</f>
        <v/>
      </c>
      <c r="X377" s="22">
        <f>C377+T377-V377</f>
        <v/>
      </c>
      <c r="Y377" s="30">
        <f>O377*Parameters!$B$10/60*Parameters!$B$11+Q377*O377+P377</f>
        <v/>
      </c>
      <c r="Z377" s="34">
        <f>IF(U377="transition","→ Tier 3 (Galactic Arm)",IF(U377="MG","Moving Group — pocket drifts together",IF(U377="OC","Open Cluster acquired",IF(U377="PV","Peculiar Velocity — passive multiplier active",IF(U377="BiP","Binary Partner — pair bond formed",IF(AND(AU377=1,N377=0,AT377&lt;&gt;1),"Cohesion ready (waiting on completionists)","")))))) </f>
        <v/>
      </c>
      <c r="AA377" s="27">
        <f>(IF(E377=0,0,(Upgrades!$G$13+E377*Upgrades!$H$13)*POWER(Upgrades!$I$13,E377)))*(IF(Upgrades!$T$14="Stellar Kinematics",POWER(Upgrades!$U$14,F377),1)*IF(Upgrades!$T$15="Stellar Kinematics",POWER(Upgrades!$U$15,G377),1)*IF(Upgrades!$T$16="Stellar Kinematics",POWER(Upgrades!$U$16,H377),1)*IF(Upgrades!$T$17="Stellar Kinematics",POWER(Upgrades!$U$17,I377),1)*IF(Upgrades!$T$18="Stellar Kinematics",POWER(Upgrades!$U$18,J377),1)*IF(Upgrades!$T$19="Stellar Kinematics",POWER(Upgrades!$U$19,K377),1)*IF(Upgrades!$T$20="Stellar Kinematics",POWER(Upgrades!$U$20,L377),1)*IF(Upgrades!$T$21="Stellar Kinematics",POWER(Upgrades!$U$21,M377),1))*POWER(Upgrades!$P$13,E377)*POWER(Upgrades!$P$14,F377)*POWER(Upgrades!$P$15,G377)*POWER(Upgrades!$P$16,H377)*POWER(Upgrades!$P$17,I377)*POWER(Upgrades!$P$18,J377)*POWER(Upgrades!$P$19,K377)*POWER(Upgrades!$P$20,L377)*POWER(Upgrades!$P$21,M377)*$F$6*60</f>
        <v/>
      </c>
      <c r="AB377" s="27">
        <f>(IF(F377=0,0,(Upgrades!$G$14+F377*Upgrades!$H$14)*POWER(Upgrades!$I$14,F377)))*(IF(Upgrades!$T$13="Local Bubble",POWER(Upgrades!$U$13,E377),1)*IF(Upgrades!$T$15="Local Bubble",POWER(Upgrades!$U$15,G377),1)*IF(Upgrades!$T$16="Local Bubble",POWER(Upgrades!$U$16,H377),1)*IF(Upgrades!$T$17="Local Bubble",POWER(Upgrades!$U$17,I377),1)*IF(Upgrades!$T$18="Local Bubble",POWER(Upgrades!$U$18,J377),1)*IF(Upgrades!$T$19="Local Bubble",POWER(Upgrades!$U$19,K377),1)*IF(Upgrades!$T$20="Local Bubble",POWER(Upgrades!$U$20,L377),1)*IF(Upgrades!$T$21="Local Bubble",POWER(Upgrades!$U$21,M377),1))*POWER(Upgrades!$P$13,E377)*POWER(Upgrades!$P$14,F377)*POWER(Upgrades!$P$15,G377)*POWER(Upgrades!$P$16,H377)*POWER(Upgrades!$P$17,I377)*POWER(Upgrades!$P$18,J377)*POWER(Upgrades!$P$19,K377)*POWER(Upgrades!$P$20,L377)*POWER(Upgrades!$P$21,M377)*$F$6*60</f>
        <v/>
      </c>
      <c r="AC377" s="27">
        <f>(IF(G377=0,0,(Upgrades!$J$15+G377*Upgrades!$K$15)*POWER(Upgrades!$L$15,G377)))*(IF(Upgrades!$T$13="Microlensing",POWER(Upgrades!$U$13,E377),1)*IF(Upgrades!$T$14="Microlensing",POWER(Upgrades!$U$14,F377),1)*IF(Upgrades!$T$16="Microlensing",POWER(Upgrades!$U$16,H377),1)*IF(Upgrades!$T$17="Microlensing",POWER(Upgrades!$U$17,I377),1)*IF(Upgrades!$T$18="Microlensing",POWER(Upgrades!$U$18,J377),1)*IF(Upgrades!$T$19="Microlensing",POWER(Upgrades!$U$19,K377),1)*IF(Upgrades!$T$20="Microlensing",POWER(Upgrades!$U$20,L377),1)*IF(Upgrades!$T$21="Microlensing",POWER(Upgrades!$U$21,M377),1))*POWER(Upgrades!$Q$13,E377)*POWER(Upgrades!$Q$14,F377)*POWER(Upgrades!$Q$15,G377)*POWER(Upgrades!$Q$16,H377)*POWER(Upgrades!$Q$17,I377)*POWER(Upgrades!$Q$18,J377)*POWER(Upgrades!$Q$19,K377)*POWER(Upgrades!$Q$20,L377)*POWER(Upgrades!$Q$21,M377)*$G$6*(Parameters!$B$10*Parameters!$B$11+Q377*60)</f>
        <v/>
      </c>
      <c r="AD377" s="27">
        <f>(IF(H377=0,0,(Upgrades!$M$16+H377*Upgrades!$N$16)*POWER(Upgrades!$O$16,H377)))*(IF(Upgrades!$T$13="Roche Lobe Overflow",POWER(Upgrades!$U$13,E377),1)*IF(Upgrades!$T$14="Roche Lobe Overflow",POWER(Upgrades!$U$14,F377),1)*IF(Upgrades!$T$15="Roche Lobe Overflow",POWER(Upgrades!$U$15,G377),1)*IF(Upgrades!$T$17="Roche Lobe Overflow",POWER(Upgrades!$U$17,I377),1)*IF(Upgrades!$T$18="Roche Lobe Overflow",POWER(Upgrades!$U$18,J377),1)*IF(Upgrades!$T$19="Roche Lobe Overflow",POWER(Upgrades!$U$19,K377),1)*IF(Upgrades!$T$20="Roche Lobe Overflow",POWER(Upgrades!$U$20,L377),1)*IF(Upgrades!$T$21="Roche Lobe Overflow",POWER(Upgrades!$U$21,M377),1))*POWER(Upgrades!$R$13,E377)*POWER(Upgrades!$R$14,F377)*POWER(Upgrades!$R$15,G377)*POWER(Upgrades!$R$16,H377)*POWER(Upgrades!$R$17,I377)*POWER(Upgrades!$R$18,J377)*POWER(Upgrades!$R$19,K377)*POWER(Upgrades!$R$20,L377)*POWER(Upgrades!$R$21,M377)*$H$6*O377*60</f>
        <v/>
      </c>
      <c r="AE377" s="27">
        <f>(IF(I377=0,0,(Upgrades!$G$17+I377*Upgrades!$H$17)*POWER(Upgrades!$I$17,I377)))*(IF(Upgrades!$T$13="Brown Dwarf",POWER(Upgrades!$U$13,E377),1)*IF(Upgrades!$T$14="Brown Dwarf",POWER(Upgrades!$U$14,F377),1)*IF(Upgrades!$T$15="Brown Dwarf",POWER(Upgrades!$U$15,G377),1)*IF(Upgrades!$T$16="Brown Dwarf",POWER(Upgrades!$U$16,H377),1)*IF(Upgrades!$T$18="Brown Dwarf",POWER(Upgrades!$U$18,J377),1)*IF(Upgrades!$T$19="Brown Dwarf",POWER(Upgrades!$U$19,K377),1)*IF(Upgrades!$T$20="Brown Dwarf",POWER(Upgrades!$U$20,L377),1)*IF(Upgrades!$T$21="Brown Dwarf",POWER(Upgrades!$U$21,M377),1))*POWER(Upgrades!$P$13,E377)*POWER(Upgrades!$P$14,F377)*POWER(Upgrades!$P$15,G377)*POWER(Upgrades!$P$16,H377)*POWER(Upgrades!$P$17,I377)*POWER(Upgrades!$P$18,J377)*POWER(Upgrades!$P$19,K377)*POWER(Upgrades!$P$20,L377)*POWER(Upgrades!$P$21,M377)*$F$6*60</f>
        <v/>
      </c>
      <c r="AF377" s="27" t="n">
        <v>0</v>
      </c>
      <c r="AG377" s="27" t="n">
        <v>0</v>
      </c>
      <c r="AH377" s="27" t="n">
        <v>0</v>
      </c>
      <c r="AI377" s="27">
        <f>(IF(M377=0,0,(Upgrades!$G$21+M377*Upgrades!$H$21)*POWER(Upgrades!$I$21,M377)))*(IF(Upgrades!$T$13="Moving Group",POWER(Upgrades!$U$13,E377),1)*IF(Upgrades!$T$14="Moving Group",POWER(Upgrades!$U$14,F377),1)*IF(Upgrades!$T$15="Moving Group",POWER(Upgrades!$U$15,G377),1)*IF(Upgrades!$T$16="Moving Group",POWER(Upgrades!$U$16,H377),1)*IF(Upgrades!$T$17="Moving Group",POWER(Upgrades!$U$17,I377),1)*IF(Upgrades!$T$18="Moving Group",POWER(Upgrades!$U$18,J377),1)*IF(Upgrades!$T$19="Moving Group",POWER(Upgrades!$U$19,K377),1)*IF(Upgrades!$T$20="Moving Group",POWER(Upgrades!$U$20,L377),1))*POWER(Upgrades!$P$13,E377)*POWER(Upgrades!$P$14,F377)*POWER(Upgrades!$P$15,G377)*POWER(Upgrades!$P$16,H377)*POWER(Upgrades!$P$17,I377)*POWER(Upgrades!$P$18,J377)*POWER(Upgrades!$P$19,K377)*POWER(Upgrades!$P$20,L377)*POWER(Upgrades!$P$21,M377)*$F$6*60</f>
        <v/>
      </c>
      <c r="AJ377" s="27">
        <f>$C$6*60</f>
        <v/>
      </c>
      <c r="AK377" s="22">
        <f>IF(E377&gt;=Upgrades!$E$13,"",Upgrades!$C$13*POWER(Upgrades!$D$13,E377))</f>
        <v/>
      </c>
      <c r="AL377" s="22">
        <f>IF(F377&gt;=Upgrades!$E$14,"",Upgrades!$C$14*POWER(Upgrades!$D$14,F377))</f>
        <v/>
      </c>
      <c r="AM377" s="22">
        <f>IF(G377&gt;=Upgrades!$E$15,"",Upgrades!$C$15*POWER(Upgrades!$D$15,G377))</f>
        <v/>
      </c>
      <c r="AN377" s="22">
        <f>IF(H377&gt;=Upgrades!$E$16,"",Upgrades!$C$16*POWER(Upgrades!$D$16,H377))</f>
        <v/>
      </c>
      <c r="AO377" s="22">
        <f>IF(I377&gt;=Upgrades!$E$17,"",Upgrades!$C$17*POWER(Upgrades!$D$17,I377))</f>
        <v/>
      </c>
      <c r="AP377" s="22">
        <f>IF(J377&gt;=Upgrades!$E$18,"",Upgrades!$C$18*POWER(Upgrades!$D$18,J377))</f>
        <v/>
      </c>
      <c r="AQ377" s="22">
        <f>IF(K377&gt;=Upgrades!$E$19,"",Upgrades!$C$19*POWER(Upgrades!$D$19,K377))</f>
        <v/>
      </c>
      <c r="AR377" s="22">
        <f>IF(L377&gt;=Upgrades!$E$20,"",Upgrades!$C$20*POWER(Upgrades!$D$20,L377))</f>
        <v/>
      </c>
      <c r="AS377" s="22">
        <f>IF(M377&gt;=Upgrades!$E$21,"",Upgrades!$C$21*POWER(Upgrades!$D$21,M377))</f>
        <v/>
      </c>
      <c r="AT377" s="26">
        <f>IF(AND(D377&gt;=Parameters!$B$18*Parameters!$B$19,(I377&gt;=Upgrades!$E$17)*(M377&gt;=Upgrades!$E$21)=1,N377=0),1,"")</f>
        <v/>
      </c>
      <c r="AU377" s="26">
        <f>IF(AND(D377&gt;=Parameters!$B$18*Parameters!$B$19,N377=0),1,"")</f>
        <v/>
      </c>
      <c r="AV377" s="22">
        <f>MIN(IF(ISNUMBER(AP377),AP377,9E15),IF(ISNUMBER(AQ377),AQ377,9E15),IF(ISNUMBER(AR377),AR377,9E15),IF(ISNUMBER(AS377),AS377,9E15))</f>
        <v/>
      </c>
      <c r="AW377" s="22">
        <f>MIN(IF(ISNUMBER(AK377),AK377,9E15),IF(ISNUMBER(AL377),AL377,9E15),IF(ISNUMBER(AM377),AM377,9E15),IF(ISNUMBER(AN377),AN377,9E15),IF(ISNUMBER(AO377),AO377,9E15))</f>
        <v/>
      </c>
      <c r="AX377" s="29">
        <f>IF(BD377&gt;Parameters!$B$21*(MAX(IF(AND(NOT(AND(AU377=1,AT377&lt;&gt;1)),ISNUMBER(AK377),AK377&lt;=(C377+T377)),AY377,0),IF(AND(NOT(AND(AU377=1,AT377&lt;&gt;1)),ISNUMBER(AL377),AL377&lt;=(C377+T377)),AZ377,0),IF(AND(NOT(AND(AU377=1,AT377&lt;&gt;1)),ISNUMBER(AM377),AM377&lt;=(C377+T377)),BA377,0),IF(AND(NOT(AND(AU377=1,AT377&lt;&gt;1)),ISNUMBER(AN377),AN377&lt;=(C377+T377)),BB377,0),IF(AND(ISNUMBER(AO377),AO377&lt;=(C377+T377)),BC377,0))),TRUE,FALSE)</f>
        <v/>
      </c>
      <c r="AY377" s="32">
        <f>IFERROR(Upgrades!$H$13*(POWER(Upgrades!$P$13,E377)*POWER(Upgrades!$P$14,F377)*POWER(Upgrades!$P$15,G377)*POWER(Upgrades!$P$16,H377)*POWER(Upgrades!$P$17,I377)*POWER(Upgrades!$P$18,J377)*POWER(Upgrades!$P$19,K377)*POWER(Upgrades!$P$20,L377)*POWER(Upgrades!$P$21,M377))*(IF(Upgrades!$T$14="Stellar Kinematics",POWER(Upgrades!$U$14,F377),1)*IF(Upgrades!$T$15="Stellar Kinematics",POWER(Upgrades!$U$15,G377),1)*IF(Upgrades!$T$16="Stellar Kinematics",POWER(Upgrades!$U$16,H377),1)*IF(Upgrades!$T$17="Stellar Kinematics",POWER(Upgrades!$U$17,I377),1)*IF(Upgrades!$T$18="Stellar Kinematics",POWER(Upgrades!$U$18,J377),1)*IF(Upgrades!$T$19="Stellar Kinematics",POWER(Upgrades!$U$19,K377),1)*IF(Upgrades!$T$20="Stellar Kinematics",POWER(Upgrades!$U$20,L377),1)*IF(Upgrades!$T$21="Stellar Kinematics",POWER(Upgrades!$U$21,M377),1))*$F$6/AK377,0)</f>
        <v/>
      </c>
      <c r="AZ377" s="32">
        <f>IFERROR(Upgrades!$H$14*(POWER(Upgrades!$P$13,E377)*POWER(Upgrades!$P$14,F377)*POWER(Upgrades!$P$15,G377)*POWER(Upgrades!$P$16,H377)*POWER(Upgrades!$P$17,I377)*POWER(Upgrades!$P$18,J377)*POWER(Upgrades!$P$19,K377)*POWER(Upgrades!$P$20,L377)*POWER(Upgrades!$P$21,M377))*(IF(Upgrades!$T$13="Local Bubble",POWER(Upgrades!$U$13,E377),1)*IF(Upgrades!$T$15="Local Bubble",POWER(Upgrades!$U$15,G377),1)*IF(Upgrades!$T$16="Local Bubble",POWER(Upgrades!$U$16,H377),1)*IF(Upgrades!$T$17="Local Bubble",POWER(Upgrades!$U$17,I377),1)*IF(Upgrades!$T$18="Local Bubble",POWER(Upgrades!$U$18,J377),1)*IF(Upgrades!$T$19="Local Bubble",POWER(Upgrades!$U$19,K377),1)*IF(Upgrades!$T$20="Local Bubble",POWER(Upgrades!$U$20,L377),1)*IF(Upgrades!$T$21="Local Bubble",POWER(Upgrades!$U$21,M377),1))*$F$6/AL377,0)</f>
        <v/>
      </c>
      <c r="BA377" s="32">
        <f>IFERROR(Upgrades!$K$15*(POWER(Upgrades!$Q$13,E377)*POWER(Upgrades!$Q$14,F377)*POWER(Upgrades!$Q$15,G377)*POWER(Upgrades!$Q$16,H377)*POWER(Upgrades!$Q$17,I377)*POWER(Upgrades!$Q$18,J377)*POWER(Upgrades!$Q$19,K377)*POWER(Upgrades!$Q$20,L377)*POWER(Upgrades!$Q$21,M377))*(IF(Upgrades!$T$13="Microlensing",POWER(Upgrades!$U$13,E377),1)*IF(Upgrades!$T$14="Microlensing",POWER(Upgrades!$U$14,F377),1)*IF(Upgrades!$T$16="Microlensing",POWER(Upgrades!$U$16,H377),1)*IF(Upgrades!$T$17="Microlensing",POWER(Upgrades!$U$17,I377),1)*IF(Upgrades!$T$18="Microlensing",POWER(Upgrades!$U$18,J377),1)*IF(Upgrades!$T$19="Microlensing",POWER(Upgrades!$U$19,K377),1)*IF(Upgrades!$T$20="Microlensing",POWER(Upgrades!$U$20,L377),1)*IF(Upgrades!$T$21="Microlensing",POWER(Upgrades!$U$21,M377),1))*$G$6*(Parameters!$B$10/60*Parameters!$B$11+Q377)/AM377,0)</f>
        <v/>
      </c>
      <c r="BB377" s="32">
        <f>IFERROR((Upgrades!$N$16*(POWER(Upgrades!$R$13,E377)*POWER(Upgrades!$R$14,F377)*POWER(Upgrades!$R$15,G377)*POWER(Upgrades!$R$16,H377)*POWER(Upgrades!$R$17,I377)*POWER(Upgrades!$R$18,J377)*POWER(Upgrades!$R$19,K377)*POWER(Upgrades!$R$20,L377)*POWER(Upgrades!$R$21,M377))*(IF(Upgrades!$T$13="Roche Lobe Overflow",POWER(Upgrades!$U$13,E377),1)*IF(Upgrades!$T$14="Roche Lobe Overflow",POWER(Upgrades!$U$14,F377),1)*IF(Upgrades!$T$15="Roche Lobe Overflow",POWER(Upgrades!$U$15,G377),1)*IF(Upgrades!$T$17="Roche Lobe Overflow",POWER(Upgrades!$U$17,I377),1)*IF(Upgrades!$T$18="Roche Lobe Overflow",POWER(Upgrades!$U$18,J377),1)*IF(Upgrades!$T$19="Roche Lobe Overflow",POWER(Upgrades!$U$19,K377),1)*IF(Upgrades!$T$20="Roche Lobe Overflow",POWER(Upgrades!$U$20,L377),1)*IF(Upgrades!$T$21="Roche Lobe Overflow",POWER(Upgrades!$U$21,M377),1))*$H$6*O377+((IF(F377=0,0,(Upgrades!$G$14+F377*Upgrades!$H$14)*POWER(Upgrades!$I$14,F377)))*(IF(Upgrades!$T$13="Local Bubble",POWER(Upgrades!$U$13,E377),1)*IF(Upgrades!$T$15="Local Bubble",POWER(Upgrades!$U$15,G377),1)*IF(Upgrades!$T$16="Local Bubble",POWER(Upgrades!$U$16,H377),1)*IF(Upgrades!$T$17="Local Bubble",POWER(Upgrades!$U$17,I377),1)*IF(Upgrades!$T$18="Local Bubble",POWER(Upgrades!$U$18,J377),1)*IF(Upgrades!$T$19="Local Bubble",POWER(Upgrades!$U$19,K377),1)*IF(Upgrades!$T$20="Local Bubble",POWER(Upgrades!$U$20,L377),1)*IF(Upgrades!$T$21="Local Bubble",POWER(Upgrades!$U$21,M377),1))*POWER(Upgrades!$P$13,E377)*POWER(Upgrades!$P$14,F377)*POWER(Upgrades!$P$15,G377)*POWER(Upgrades!$P$16,H377)*POWER(Upgrades!$P$17,I377)*POWER(Upgrades!$P$18,J377)*POWER(Upgrades!$P$19,K377)*POWER(Upgrades!$P$20,L377)*POWER(Upgrades!$P$21,M377)*$F$6)*0.05)/AN377,0)</f>
        <v/>
      </c>
      <c r="BC377" s="32">
        <f>IFERROR((Upgrades!$H$17*(POWER(Upgrades!$P$13,E377)*POWER(Upgrades!$P$14,F377)*POWER(Upgrades!$P$15,G377)*POWER(Upgrades!$P$16,H377)*POWER(Upgrades!$P$17,I377)*POWER(Upgrades!$P$18,J377)*POWER(Upgrades!$P$19,K377)*POWER(Upgrades!$P$20,L377)*POWER(Upgrades!$P$21,M377))*(IF(Upgrades!$T$13="Brown Dwarf",POWER(Upgrades!$U$13,E377),1)*IF(Upgrades!$T$14="Brown Dwarf",POWER(Upgrades!$U$14,F377),1)*IF(Upgrades!$T$15="Brown Dwarf",POWER(Upgrades!$U$15,G377),1)*IF(Upgrades!$T$16="Brown Dwarf",POWER(Upgrades!$U$16,H377),1)*IF(Upgrades!$T$18="Brown Dwarf",POWER(Upgrades!$U$18,J377),1)*IF(Upgrades!$T$19="Brown Dwarf",POWER(Upgrades!$U$19,K377),1)*IF(Upgrades!$T$20="Brown Dwarf",POWER(Upgrades!$U$20,L377),1)*IF(Upgrades!$T$21="Brown Dwarf",POWER(Upgrades!$U$21,M377),1))*$F$6+(((IF(H377=0,0,(Upgrades!$M$16+H377*Upgrades!$N$16)*POWER(Upgrades!$O$16,H377)))*(IF(Upgrades!$T$13="Roche Lobe Overflow",POWER(Upgrades!$U$13,E377),1)*IF(Upgrades!$T$14="Roche Lobe Overflow",POWER(Upgrades!$U$14,F377),1)*IF(Upgrades!$T$15="Roche Lobe Overflow",POWER(Upgrades!$U$15,G377),1)*IF(Upgrades!$T$17="Roche Lobe Overflow",POWER(Upgrades!$U$17,I377),1)*IF(Upgrades!$T$18="Roche Lobe Overflow",POWER(Upgrades!$U$18,J377),1)*IF(Upgrades!$T$19="Roche Lobe Overflow",POWER(Upgrades!$U$19,K377),1)*IF(Upgrades!$T$20="Roche Lobe Overflow",POWER(Upgrades!$U$20,L377),1)*IF(Upgrades!$T$21="Roche Lobe Overflow",POWER(Upgrades!$U$21,M377),1))*POWER(Upgrades!$R$13,E377)*POWER(Upgrades!$R$14,F377)*POWER(Upgrades!$R$15,G377)*POWER(Upgrades!$R$16,H377)*POWER(Upgrades!$R$17,I377)*POWER(Upgrades!$R$18,J377)*POWER(Upgrades!$R$19,K377)*POWER(Upgrades!$R$20,L377)*POWER(Upgrades!$R$21,M377)*$H$6)*O377)*0.10)/AO377,0)</f>
        <v/>
      </c>
      <c r="BD377" s="32">
        <f>MAX(IF(J377&gt;0,0,IFERROR(0.5*((IF(G377=0,0,(Upgrades!$J$15+G377*Upgrades!$K$15)*POWER(Upgrades!$L$15,G377)))*(IF(Upgrades!$T$13="Microlensing",POWER(Upgrades!$U$13,E377),1)*IF(Upgrades!$T$14="Microlensing",POWER(Upgrades!$U$14,F377),1)*IF(Upgrades!$T$16="Microlensing",POWER(Upgrades!$U$16,H377),1)*IF(Upgrades!$T$17="Microlensing",POWER(Upgrades!$U$17,I377),1)*IF(Upgrades!$T$18="Microlensing",POWER(Upgrades!$U$18,J377),1)*IF(Upgrades!$T$19="Microlensing",POWER(Upgrades!$U$19,K377),1)*IF(Upgrades!$T$20="Microlensing",POWER(Upgrades!$U$20,L377),1)*IF(Upgrades!$T$21="Microlensing",POWER(Upgrades!$U$21,M377),1))*(POWER(Upgrades!$Q$13,E377)*POWER(Upgrades!$Q$14,F377)*POWER(Upgrades!$Q$15,G377)*POWER(Upgrades!$Q$16,H377)*POWER(Upgrades!$Q$17,I377)*POWER(Upgrades!$Q$18,J377)*POWER(Upgrades!$Q$19,K377)*POWER(Upgrades!$Q$20,L377)*POWER(Upgrades!$Q$21,M377))*$G$6*(Parameters!$B$10/60*Parameters!$B$11+Q377))/Upgrades!$C$18,0)),IF(K377&gt;0,0,IFERROR(0.30*P377/Upgrades!$C$19,0)),IF(L377&gt;0,0,IFERROR(0.0001/Upgrades!$C$20,0)),IF(M377&gt;0,0,IFERROR((6.0*(POWER(Upgrades!$P$13,E377)*POWER(Upgrades!$P$14,F377)*POWER(Upgrades!$P$15,G377)*POWER(Upgrades!$P$16,H377)*POWER(Upgrades!$P$17,I377)*POWER(Upgrades!$P$18,J377)*POWER(Upgrades!$P$19,K377)*POWER(Upgrades!$P$20,L377)*POWER(Upgrades!$P$21,M377))*$F$6+0.20*O377*(Parameters!$B$10/60*Parameters!$B$11+Q377))/Upgrades!$C$21,0)),IF(AND(ISNUMBER(AK377),AK377&gt;(C377+T377)),AY377,0),IF(AND(ISNUMBER(AL377),AL377&gt;(C377+T377)),AZ377,0),IF(AND(ISNUMBER(AM377),AM377&gt;(C377+T377)),BA377,0),IF(AND(ISNUMBER(AN377),AN377&gt;(C377+T377)),BB377,0),IF(AND(ISNUMBER(AO377),AO377&gt;(C377+T377)),BC377,0))</f>
        <v/>
      </c>
      <c r="BE377" s="29">
        <f>IF(AT377=1,"transition",IF(MIN(IF(AND(J377=0,ISNUMBER(AP377),AP377&lt;=(C377+T377)),AP377,9E15),IF(AND(K377=0,ISNUMBER(AQ377),AQ377&lt;=(C377+T377)),AQ377,9E15),IF(AND(L377=0,ISNUMBER(AR377),AR377&lt;=(C377+T377)),AR377,9E15),IF(AND(M377=0,ISNUMBER(AS377),AS377&lt;=(C377+T377)),AS377,9E15))&lt;9E15,IF(AND(AND(J377=0,ISNUMBER(AP377),AP377&lt;=(C377+T377)),AP377=MIN(IF(AND(J377=0,ISNUMBER(AP377),AP377&lt;=(C377+T377)),AP377,9E15),IF(AND(K377=0,ISNUMBER(AQ377),AQ377&lt;=(C377+T377)),AQ377,9E15),IF(AND(L377=0,ISNUMBER(AR377),AR377&lt;=(C377+T377)),AR377,9E15),IF(AND(M377=0,ISNUMBER(AS377),AS377&lt;=(C377+T377)),AS377,9E15))),"BiP",IF(AND(AND(K377=0,ISNUMBER(AQ377),AQ377&lt;=(C377+T377)),AQ377=MIN(IF(AND(J377=0,ISNUMBER(AP377),AP377&lt;=(C377+T377)),AP377,9E15),IF(AND(K377=0,ISNUMBER(AQ377),AQ377&lt;=(C377+T377)),AQ377,9E15),IF(AND(L377=0,ISNUMBER(AR377),AR377&lt;=(C377+T377)),AR377,9E15),IF(AND(M377=0,ISNUMBER(AS377),AS377&lt;=(C377+T377)),AS377,9E15))),"PV",IF(AND(AND(L377=0,ISNUMBER(AR377),AR377&lt;=(C377+T377)),AR377=MIN(IF(AND(J377=0,ISNUMBER(AP377),AP377&lt;=(C377+T377)),AP377,9E15),IF(AND(K377=0,ISNUMBER(AQ377),AQ377&lt;=(C377+T377)),AQ377,9E15),IF(AND(L377=0,ISNUMBER(AR377),AR377&lt;=(C377+T377)),AR377,9E15),IF(AND(M377=0,ISNUMBER(AS377),AS377&lt;=(C377+T377)),AS377,9E15))),"OC","MG"))),IF(AX377=TRUE,"",IF(MAX(IF(AND(NOT(AND(AU377=1,AT377&lt;&gt;1)),ISNUMBER(AK377),AK377&lt;=(C377+T377)),AY377,0),IF(AND(NOT(AND(AU377=1,AT377&lt;&gt;1)),ISNUMBER(AL377),AL377&lt;=(C377+T377)),AZ377,0),IF(AND(NOT(AND(AU377=1,AT377&lt;&gt;1)),ISNUMBER(AM377),AM377&lt;=(C377+T377)),BA377,0),IF(AND(NOT(AND(AU377=1,AT377&lt;&gt;1)),ISNUMBER(AN377),AN377&lt;=(C377+T377)),BB377,0),IF(AND(ISNUMBER(AO377),AO377&lt;=(C377+T377)),BC377,0))&lt;=0,"",IF(AND(IF(AND(NOT(AND(AU377=1,AT377&lt;&gt;1)),ISNUMBER(AK377),AK377&lt;=(C377+T377)),AY377,0)&gt;0,IF(AND(NOT(AND(AU377=1,AT377&lt;&gt;1)),ISNUMBER(AK377),AK377&lt;=(C377+T377)),AY377,0)=MAX(IF(AND(NOT(AND(AU377=1,AT377&lt;&gt;1)),ISNUMBER(AK377),AK377&lt;=(C377+T377)),AY377,0),IF(AND(NOT(AND(AU377=1,AT377&lt;&gt;1)),ISNUMBER(AL377),AL377&lt;=(C377+T377)),AZ377,0),IF(AND(NOT(AND(AU377=1,AT377&lt;&gt;1)),ISNUMBER(AM377),AM377&lt;=(C377+T377)),BA377,0),IF(AND(NOT(AND(AU377=1,AT377&lt;&gt;1)),ISNUMBER(AN377),AN377&lt;=(C377+T377)),BB377,0),IF(AND(ISNUMBER(AO377),AO377&lt;=(C377+T377)),BC377,0))),"SK",IF(AND(IF(AND(NOT(AND(AU377=1,AT377&lt;&gt;1)),ISNUMBER(AL377),AL377&lt;=(C377+T377)),AZ377,0)&gt;0,IF(AND(NOT(AND(AU377=1,AT377&lt;&gt;1)),ISNUMBER(AL377),AL377&lt;=(C377+T377)),AZ377,0)=MAX(IF(AND(NOT(AND(AU377=1,AT377&lt;&gt;1)),ISNUMBER(AK377),AK377&lt;=(C377+T377)),AY377,0),IF(AND(NOT(AND(AU377=1,AT377&lt;&gt;1)),ISNUMBER(AL377),AL377&lt;=(C377+T377)),AZ377,0),IF(AND(NOT(AND(AU377=1,AT377&lt;&gt;1)),ISNUMBER(AM377),AM377&lt;=(C377+T377)),BA377,0),IF(AND(NOT(AND(AU377=1,AT377&lt;&gt;1)),ISNUMBER(AN377),AN377&lt;=(C377+T377)),BB377,0),IF(AND(ISNUMBER(AO377),AO377&lt;=(C377+T377)),BC377,0))),"LB",IF(AND(IF(AND(NOT(AND(AU377=1,AT377&lt;&gt;1)),ISNUMBER(AM377),AM377&lt;=(C377+T377)),BA377,0)&gt;0,IF(AND(NOT(AND(AU377=1,AT377&lt;&gt;1)),ISNUMBER(AM377),AM377&lt;=(C377+T377)),BA377,0)=MAX(IF(AND(NOT(AND(AU377=1,AT377&lt;&gt;1)),ISNUMBER(AK377),AK377&lt;=(C377+T377)),AY377,0),IF(AND(NOT(AND(AU377=1,AT377&lt;&gt;1)),ISNUMBER(AL377),AL377&lt;=(C377+T377)),AZ377,0),IF(AND(NOT(AND(AU377=1,AT377&lt;&gt;1)),ISNUMBER(AM377),AM377&lt;=(C377+T377)),BA377,0),IF(AND(NOT(AND(AU377=1,AT377&lt;&gt;1)),ISNUMBER(AN377),AN377&lt;=(C377+T377)),BB377,0),IF(AND(ISNUMBER(AO377),AO377&lt;=(C377+T377)),BC377,0))),"ML",IF(AND(IF(AND(NOT(AND(AU377=1,AT377&lt;&gt;1)),ISNUMBER(AN377),AN377&lt;=(C377+T377)),BB377,0)&gt;0,IF(AND(NOT(AND(AU377=1,AT377&lt;&gt;1)),ISNUMBER(AN377),AN377&lt;=(C377+T377)),BB377,0)=MAX(IF(AND(NOT(AND(AU377=1,AT377&lt;&gt;1)),ISNUMBER(AK377),AK377&lt;=(C377+T377)),AY377,0),IF(AND(NOT(AND(AU377=1,AT377&lt;&gt;1)),ISNUMBER(AL377),AL377&lt;=(C377+T377)),AZ377,0),IF(AND(NOT(AND(AU377=1,AT377&lt;&gt;1)),ISNUMBER(AM377),AM377&lt;=(C377+T377)),BA377,0),IF(AND(NOT(AND(AU377=1,AT377&lt;&gt;1)),ISNUMBER(AN377),AN377&lt;=(C377+T377)),BB377,0),IF(AND(ISNUMBER(AO377),AO377&lt;=(C377+T377)),BC377,0))),"RLO","BD"))))))))</f>
        <v/>
      </c>
    </row>
    <row r="378">
      <c r="A378" s="26" t="n">
        <v>367</v>
      </c>
      <c r="B378" s="27">
        <f>A378*10/60</f>
        <v/>
      </c>
      <c r="C378" s="22">
        <f>X377</f>
        <v/>
      </c>
      <c r="D378" s="27">
        <f>D377+W377</f>
        <v/>
      </c>
      <c r="E378" s="26">
        <f>E377+IF(U377="SK",1,0)</f>
        <v/>
      </c>
      <c r="F378" s="26">
        <f>F377+IF(U377="LB",1,0)</f>
        <v/>
      </c>
      <c r="G378" s="26">
        <f>G377+IF(U377="ML",1,0)</f>
        <v/>
      </c>
      <c r="H378" s="26">
        <f>H377+IF(U377="RLO",1,0)</f>
        <v/>
      </c>
      <c r="I378" s="26">
        <f>I377+IF(U377="BD",1,0)</f>
        <v/>
      </c>
      <c r="J378" s="26">
        <f>MAX(J377,IF(U377="BiP",1,0))</f>
        <v/>
      </c>
      <c r="K378" s="26">
        <f>MAX(K377,IF(U377="PV",1,0))</f>
        <v/>
      </c>
      <c r="L378" s="26">
        <f>MAX(L377,IF(U377="OC",1,0))</f>
        <v/>
      </c>
      <c r="M378" s="26">
        <f>MAX(M377,IF(U377="MG",1,0))</f>
        <v/>
      </c>
      <c r="N378" s="26">
        <f>MAX(N377,IF(U377="transition",1,0))</f>
        <v/>
      </c>
      <c r="O378" s="28">
        <f>(Parameters!$B$9+(IF(E378=0,0,(Upgrades!$J$13+E378*Upgrades!$K$13)*POWER(Upgrades!$L$13,E378)))*(IF(Upgrades!$T$14="Stellar Kinematics",POWER(Upgrades!$U$14,F378),1)*IF(Upgrades!$T$15="Stellar Kinematics",POWER(Upgrades!$U$15,G378),1)*IF(Upgrades!$T$16="Stellar Kinematics",POWER(Upgrades!$U$16,H378),1)*IF(Upgrades!$T$17="Stellar Kinematics",POWER(Upgrades!$U$17,I378),1)*IF(Upgrades!$T$18="Stellar Kinematics",POWER(Upgrades!$U$18,J378),1)*IF(Upgrades!$T$19="Stellar Kinematics",POWER(Upgrades!$U$19,K378),1)*IF(Upgrades!$T$20="Stellar Kinematics",POWER(Upgrades!$U$20,L378),1)*IF(Upgrades!$T$21="Stellar Kinematics",POWER(Upgrades!$U$21,M378),1))+(IF(F378=0,0,(Upgrades!$J$14+F378*Upgrades!$K$14)*POWER(Upgrades!$L$14,F378)))*(IF(Upgrades!$T$13="Local Bubble",POWER(Upgrades!$U$13,E378),1)*IF(Upgrades!$T$15="Local Bubble",POWER(Upgrades!$U$15,G378),1)*IF(Upgrades!$T$16="Local Bubble",POWER(Upgrades!$U$16,H378),1)*IF(Upgrades!$T$17="Local Bubble",POWER(Upgrades!$U$17,I378),1)*IF(Upgrades!$T$18="Local Bubble",POWER(Upgrades!$U$18,J378),1)*IF(Upgrades!$T$19="Local Bubble",POWER(Upgrades!$U$19,K378),1)*IF(Upgrades!$T$20="Local Bubble",POWER(Upgrades!$U$20,L378),1)*IF(Upgrades!$T$21="Local Bubble",POWER(Upgrades!$U$21,M378),1))+(IF(G378=0,0,(Upgrades!$J$15+G378*Upgrades!$K$15)*POWER(Upgrades!$L$15,G378)))*(IF(Upgrades!$T$13="Microlensing",POWER(Upgrades!$U$13,E378),1)*IF(Upgrades!$T$14="Microlensing",POWER(Upgrades!$U$14,F378),1)*IF(Upgrades!$T$16="Microlensing",POWER(Upgrades!$U$16,H378),1)*IF(Upgrades!$T$17="Microlensing",POWER(Upgrades!$U$17,I378),1)*IF(Upgrades!$T$18="Microlensing",POWER(Upgrades!$U$18,J378),1)*IF(Upgrades!$T$19="Microlensing",POWER(Upgrades!$U$19,K378),1)*IF(Upgrades!$T$20="Microlensing",POWER(Upgrades!$U$20,L378),1)*IF(Upgrades!$T$21="Microlensing",POWER(Upgrades!$U$21,M378),1))+(IF(H378=0,0,(Upgrades!$J$16+H378*Upgrades!$K$16)*POWER(Upgrades!$L$16,H378)))*(IF(Upgrades!$T$13="Roche Lobe Overflow",POWER(Upgrades!$U$13,E378),1)*IF(Upgrades!$T$14="Roche Lobe Overflow",POWER(Upgrades!$U$14,F378),1)*IF(Upgrades!$T$15="Roche Lobe Overflow",POWER(Upgrades!$U$15,G378),1)*IF(Upgrades!$T$17="Roche Lobe Overflow",POWER(Upgrades!$U$17,I378),1)*IF(Upgrades!$T$18="Roche Lobe Overflow",POWER(Upgrades!$U$18,J378),1)*IF(Upgrades!$T$19="Roche Lobe Overflow",POWER(Upgrades!$U$19,K378),1)*IF(Upgrades!$T$20="Roche Lobe Overflow",POWER(Upgrades!$U$20,L378),1)*IF(Upgrades!$T$21="Roche Lobe Overflow",POWER(Upgrades!$U$21,M378),1))+(IF(I378=0,0,(Upgrades!$J$17+I378*Upgrades!$K$17)*POWER(Upgrades!$L$17,I378)))*(IF(Upgrades!$T$13="Brown Dwarf",POWER(Upgrades!$U$13,E378),1)*IF(Upgrades!$T$14="Brown Dwarf",POWER(Upgrades!$U$14,F378),1)*IF(Upgrades!$T$15="Brown Dwarf",POWER(Upgrades!$U$15,G378),1)*IF(Upgrades!$T$16="Brown Dwarf",POWER(Upgrades!$U$16,H378),1)*IF(Upgrades!$T$18="Brown Dwarf",POWER(Upgrades!$U$18,J378),1)*IF(Upgrades!$T$19="Brown Dwarf",POWER(Upgrades!$U$19,K378),1)*IF(Upgrades!$T$20="Brown Dwarf",POWER(Upgrades!$U$20,L378),1)*IF(Upgrades!$T$21="Brown Dwarf",POWER(Upgrades!$U$21,M378),1))+(IF(J378=0,0,(Upgrades!$J$18+J378*Upgrades!$K$18)*POWER(Upgrades!$L$18,J378)))*(IF(Upgrades!$T$13="Binary Partner",POWER(Upgrades!$U$13,E378),1)*IF(Upgrades!$T$14="Binary Partner",POWER(Upgrades!$U$14,F378),1)*IF(Upgrades!$T$15="Binary Partner",POWER(Upgrades!$U$15,G378),1)*IF(Upgrades!$T$16="Binary Partner",POWER(Upgrades!$U$16,H378),1)*IF(Upgrades!$T$17="Binary Partner",POWER(Upgrades!$U$17,I378),1)*IF(Upgrades!$T$19="Binary Partner",POWER(Upgrades!$U$19,K378),1)*IF(Upgrades!$T$20="Binary Partner",POWER(Upgrades!$U$20,L378),1)*IF(Upgrades!$T$21="Binary Partner",POWER(Upgrades!$U$21,M378),1))+(IF(K378=0,0,(Upgrades!$J$19+K378*Upgrades!$K$19)*POWER(Upgrades!$L$19,K378)))*(IF(Upgrades!$T$13="Peculiar Velocity",POWER(Upgrades!$U$13,E378),1)*IF(Upgrades!$T$14="Peculiar Velocity",POWER(Upgrades!$U$14,F378),1)*IF(Upgrades!$T$15="Peculiar Velocity",POWER(Upgrades!$U$15,G378),1)*IF(Upgrades!$T$16="Peculiar Velocity",POWER(Upgrades!$U$16,H378),1)*IF(Upgrades!$T$17="Peculiar Velocity",POWER(Upgrades!$U$17,I378),1)*IF(Upgrades!$T$18="Peculiar Velocity",POWER(Upgrades!$U$18,J378),1)*IF(Upgrades!$T$20="Peculiar Velocity",POWER(Upgrades!$U$20,L378),1)*IF(Upgrades!$T$21="Peculiar Velocity",POWER(Upgrades!$U$21,M378),1))+(IF(L378=0,0,(Upgrades!$J$20+L378*Upgrades!$K$20)*POWER(Upgrades!$L$20,L378)))*(IF(Upgrades!$T$13="Open Cluster",POWER(Upgrades!$U$13,E378),1)*IF(Upgrades!$T$14="Open Cluster",POWER(Upgrades!$U$14,F378),1)*IF(Upgrades!$T$15="Open Cluster",POWER(Upgrades!$U$15,G378),1)*IF(Upgrades!$T$16="Open Cluster",POWER(Upgrades!$U$16,H378),1)*IF(Upgrades!$T$17="Open Cluster",POWER(Upgrades!$U$17,I378),1)*IF(Upgrades!$T$18="Open Cluster",POWER(Upgrades!$U$18,J378),1)*IF(Upgrades!$T$19="Open Cluster",POWER(Upgrades!$U$19,K378),1)*IF(Upgrades!$T$21="Open Cluster",POWER(Upgrades!$U$21,M378),1))+(IF(M378=0,0,(Upgrades!$J$21+M378*Upgrades!$K$21)*POWER(Upgrades!$L$21,M378)))*(IF(Upgrades!$T$13="Moving Group",POWER(Upgrades!$U$13,E378),1)*IF(Upgrades!$T$14="Moving Group",POWER(Upgrades!$U$14,F378),1)*IF(Upgrades!$T$15="Moving Group",POWER(Upgrades!$U$15,G378),1)*IF(Upgrades!$T$16="Moving Group",POWER(Upgrades!$U$16,H378),1)*IF(Upgrades!$T$17="Moving Group",POWER(Upgrades!$U$17,I378),1)*IF(Upgrades!$T$18="Moving Group",POWER(Upgrades!$U$18,J378),1)*IF(Upgrades!$T$19="Moving Group",POWER(Upgrades!$U$19,K378),1)*IF(Upgrades!$T$20="Moving Group",POWER(Upgrades!$U$20,L378),1)))*POWER(Upgrades!$Q$13,E378)*POWER(Upgrades!$Q$14,F378)*POWER(Upgrades!$Q$15,G378)*POWER(Upgrades!$Q$16,H378)*POWER(Upgrades!$Q$17,I378)*POWER(Upgrades!$Q$18,J378)*POWER(Upgrades!$Q$19,K378)*POWER(Upgrades!$Q$20,L378)*POWER(Upgrades!$Q$21,M378)*$G$6+$D$6</f>
        <v/>
      </c>
      <c r="P378" s="28">
        <f>((IF(E378=0,0,(Upgrades!$G$13+E378*Upgrades!$H$13)*POWER(Upgrades!$I$13,E378)))*(IF(Upgrades!$T$14="Stellar Kinematics",POWER(Upgrades!$U$14,F378),1)*IF(Upgrades!$T$15="Stellar Kinematics",POWER(Upgrades!$U$15,G378),1)*IF(Upgrades!$T$16="Stellar Kinematics",POWER(Upgrades!$U$16,H378),1)*IF(Upgrades!$T$17="Stellar Kinematics",POWER(Upgrades!$U$17,I378),1)*IF(Upgrades!$T$18="Stellar Kinematics",POWER(Upgrades!$U$18,J378),1)*IF(Upgrades!$T$19="Stellar Kinematics",POWER(Upgrades!$U$19,K378),1)*IF(Upgrades!$T$20="Stellar Kinematics",POWER(Upgrades!$U$20,L378),1)*IF(Upgrades!$T$21="Stellar Kinematics",POWER(Upgrades!$U$21,M378),1))+(IF(F378=0,0,(Upgrades!$G$14+F378*Upgrades!$H$14)*POWER(Upgrades!$I$14,F378)))*(IF(Upgrades!$T$13="Local Bubble",POWER(Upgrades!$U$13,E378),1)*IF(Upgrades!$T$15="Local Bubble",POWER(Upgrades!$U$15,G378),1)*IF(Upgrades!$T$16="Local Bubble",POWER(Upgrades!$U$16,H378),1)*IF(Upgrades!$T$17="Local Bubble",POWER(Upgrades!$U$17,I378),1)*IF(Upgrades!$T$18="Local Bubble",POWER(Upgrades!$U$18,J378),1)*IF(Upgrades!$T$19="Local Bubble",POWER(Upgrades!$U$19,K378),1)*IF(Upgrades!$T$20="Local Bubble",POWER(Upgrades!$U$20,L378),1)*IF(Upgrades!$T$21="Local Bubble",POWER(Upgrades!$U$21,M378),1))+(IF(G378=0,0,(Upgrades!$G$15+G378*Upgrades!$H$15)*POWER(Upgrades!$I$15,G378)))*(IF(Upgrades!$T$13="Microlensing",POWER(Upgrades!$U$13,E378),1)*IF(Upgrades!$T$14="Microlensing",POWER(Upgrades!$U$14,F378),1)*IF(Upgrades!$T$16="Microlensing",POWER(Upgrades!$U$16,H378),1)*IF(Upgrades!$T$17="Microlensing",POWER(Upgrades!$U$17,I378),1)*IF(Upgrades!$T$18="Microlensing",POWER(Upgrades!$U$18,J378),1)*IF(Upgrades!$T$19="Microlensing",POWER(Upgrades!$U$19,K378),1)*IF(Upgrades!$T$20="Microlensing",POWER(Upgrades!$U$20,L378),1)*IF(Upgrades!$T$21="Microlensing",POWER(Upgrades!$U$21,M378),1))+(IF(H378=0,0,(Upgrades!$G$16+H378*Upgrades!$H$16)*POWER(Upgrades!$I$16,H378)))*(IF(Upgrades!$T$13="Roche Lobe Overflow",POWER(Upgrades!$U$13,E378),1)*IF(Upgrades!$T$14="Roche Lobe Overflow",POWER(Upgrades!$U$14,F378),1)*IF(Upgrades!$T$15="Roche Lobe Overflow",POWER(Upgrades!$U$15,G378),1)*IF(Upgrades!$T$17="Roche Lobe Overflow",POWER(Upgrades!$U$17,I378),1)*IF(Upgrades!$T$18="Roche Lobe Overflow",POWER(Upgrades!$U$18,J378),1)*IF(Upgrades!$T$19="Roche Lobe Overflow",POWER(Upgrades!$U$19,K378),1)*IF(Upgrades!$T$20="Roche Lobe Overflow",POWER(Upgrades!$U$20,L378),1)*IF(Upgrades!$T$21="Roche Lobe Overflow",POWER(Upgrades!$U$21,M378),1))+(IF(I378=0,0,(Upgrades!$G$17+I378*Upgrades!$H$17)*POWER(Upgrades!$I$17,I378)))*(IF(Upgrades!$T$13="Brown Dwarf",POWER(Upgrades!$U$13,E378),1)*IF(Upgrades!$T$14="Brown Dwarf",POWER(Upgrades!$U$14,F378),1)*IF(Upgrades!$T$15="Brown Dwarf",POWER(Upgrades!$U$15,G378),1)*IF(Upgrades!$T$16="Brown Dwarf",POWER(Upgrades!$U$16,H378),1)*IF(Upgrades!$T$18="Brown Dwarf",POWER(Upgrades!$U$18,J378),1)*IF(Upgrades!$T$19="Brown Dwarf",POWER(Upgrades!$U$19,K378),1)*IF(Upgrades!$T$20="Brown Dwarf",POWER(Upgrades!$U$20,L378),1)*IF(Upgrades!$T$21="Brown Dwarf",POWER(Upgrades!$U$21,M378),1))+(IF(J378=0,0,(Upgrades!$G$18+J378*Upgrades!$H$18)*POWER(Upgrades!$I$18,J378)))*(IF(Upgrades!$T$13="Binary Partner",POWER(Upgrades!$U$13,E378),1)*IF(Upgrades!$T$14="Binary Partner",POWER(Upgrades!$U$14,F378),1)*IF(Upgrades!$T$15="Binary Partner",POWER(Upgrades!$U$15,G378),1)*IF(Upgrades!$T$16="Binary Partner",POWER(Upgrades!$U$16,H378),1)*IF(Upgrades!$T$17="Binary Partner",POWER(Upgrades!$U$17,I378),1)*IF(Upgrades!$T$19="Binary Partner",POWER(Upgrades!$U$19,K378),1)*IF(Upgrades!$T$20="Binary Partner",POWER(Upgrades!$U$20,L378),1)*IF(Upgrades!$T$21="Binary Partner",POWER(Upgrades!$U$21,M378),1))+(IF(K378=0,0,(Upgrades!$G$19+K378*Upgrades!$H$19)*POWER(Upgrades!$I$19,K378)))*(IF(Upgrades!$T$13="Peculiar Velocity",POWER(Upgrades!$U$13,E378),1)*IF(Upgrades!$T$14="Peculiar Velocity",POWER(Upgrades!$U$14,F378),1)*IF(Upgrades!$T$15="Peculiar Velocity",POWER(Upgrades!$U$15,G378),1)*IF(Upgrades!$T$16="Peculiar Velocity",POWER(Upgrades!$U$16,H378),1)*IF(Upgrades!$T$17="Peculiar Velocity",POWER(Upgrades!$U$17,I378),1)*IF(Upgrades!$T$18="Peculiar Velocity",POWER(Upgrades!$U$18,J378),1)*IF(Upgrades!$T$20="Peculiar Velocity",POWER(Upgrades!$U$20,L378),1)*IF(Upgrades!$T$21="Peculiar Velocity",POWER(Upgrades!$U$21,M378),1))+(IF(L378=0,0,(Upgrades!$G$20+L378*Upgrades!$H$20)*POWER(Upgrades!$I$20,L378)))*(IF(Upgrades!$T$13="Open Cluster",POWER(Upgrades!$U$13,E378),1)*IF(Upgrades!$T$14="Open Cluster",POWER(Upgrades!$U$14,F378),1)*IF(Upgrades!$T$15="Open Cluster",POWER(Upgrades!$U$15,G378),1)*IF(Upgrades!$T$16="Open Cluster",POWER(Upgrades!$U$16,H378),1)*IF(Upgrades!$T$17="Open Cluster",POWER(Upgrades!$U$17,I378),1)*IF(Upgrades!$T$18="Open Cluster",POWER(Upgrades!$U$18,J378),1)*IF(Upgrades!$T$19="Open Cluster",POWER(Upgrades!$U$19,K378),1)*IF(Upgrades!$T$21="Open Cluster",POWER(Upgrades!$U$21,M378),1))+(IF(M378=0,0,(Upgrades!$G$21+M378*Upgrades!$H$21)*POWER(Upgrades!$I$21,M378)))*(IF(Upgrades!$T$13="Moving Group",POWER(Upgrades!$U$13,E378),1)*IF(Upgrades!$T$14="Moving Group",POWER(Upgrades!$U$14,F378),1)*IF(Upgrades!$T$15="Moving Group",POWER(Upgrades!$U$15,G378),1)*IF(Upgrades!$T$16="Moving Group",POWER(Upgrades!$U$16,H378),1)*IF(Upgrades!$T$17="Moving Group",POWER(Upgrades!$U$17,I378),1)*IF(Upgrades!$T$18="Moving Group",POWER(Upgrades!$U$18,J378),1)*IF(Upgrades!$T$19="Moving Group",POWER(Upgrades!$U$19,K378),1)*IF(Upgrades!$T$20="Moving Group",POWER(Upgrades!$U$20,L378),1)))*POWER(Upgrades!$P$13,E378)*POWER(Upgrades!$P$14,F378)*POWER(Upgrades!$P$15,G378)*POWER(Upgrades!$P$16,H378)*POWER(Upgrades!$P$17,I378)*POWER(Upgrades!$P$18,J378)*POWER(Upgrades!$P$19,K378)*POWER(Upgrades!$P$20,L378)*POWER(Upgrades!$P$21,M378)*$F$6+$C$6</f>
        <v/>
      </c>
      <c r="Q378" s="28">
        <f>((IF(E378=0,0,(Upgrades!$M$13+E378*Upgrades!$N$13)*POWER(Upgrades!$O$13,E378)))*(IF(Upgrades!$T$14="Stellar Kinematics",POWER(Upgrades!$U$14,F378),1)*IF(Upgrades!$T$15="Stellar Kinematics",POWER(Upgrades!$U$15,G378),1)*IF(Upgrades!$T$16="Stellar Kinematics",POWER(Upgrades!$U$16,H378),1)*IF(Upgrades!$T$17="Stellar Kinematics",POWER(Upgrades!$U$17,I378),1)*IF(Upgrades!$T$18="Stellar Kinematics",POWER(Upgrades!$U$18,J378),1)*IF(Upgrades!$T$19="Stellar Kinematics",POWER(Upgrades!$U$19,K378),1)*IF(Upgrades!$T$20="Stellar Kinematics",POWER(Upgrades!$U$20,L378),1)*IF(Upgrades!$T$21="Stellar Kinematics",POWER(Upgrades!$U$21,M378),1))+(IF(F378=0,0,(Upgrades!$M$14+F378*Upgrades!$N$14)*POWER(Upgrades!$O$14,F378)))*(IF(Upgrades!$T$13="Local Bubble",POWER(Upgrades!$U$13,E378),1)*IF(Upgrades!$T$15="Local Bubble",POWER(Upgrades!$U$15,G378),1)*IF(Upgrades!$T$16="Local Bubble",POWER(Upgrades!$U$16,H378),1)*IF(Upgrades!$T$17="Local Bubble",POWER(Upgrades!$U$17,I378),1)*IF(Upgrades!$T$18="Local Bubble",POWER(Upgrades!$U$18,J378),1)*IF(Upgrades!$T$19="Local Bubble",POWER(Upgrades!$U$19,K378),1)*IF(Upgrades!$T$20="Local Bubble",POWER(Upgrades!$U$20,L378),1)*IF(Upgrades!$T$21="Local Bubble",POWER(Upgrades!$U$21,M378),1))+(IF(G378=0,0,(Upgrades!$M$15+G378*Upgrades!$N$15)*POWER(Upgrades!$O$15,G378)))*(IF(Upgrades!$T$13="Microlensing",POWER(Upgrades!$U$13,E378),1)*IF(Upgrades!$T$14="Microlensing",POWER(Upgrades!$U$14,F378),1)*IF(Upgrades!$T$16="Microlensing",POWER(Upgrades!$U$16,H378),1)*IF(Upgrades!$T$17="Microlensing",POWER(Upgrades!$U$17,I378),1)*IF(Upgrades!$T$18="Microlensing",POWER(Upgrades!$U$18,J378),1)*IF(Upgrades!$T$19="Microlensing",POWER(Upgrades!$U$19,K378),1)*IF(Upgrades!$T$20="Microlensing",POWER(Upgrades!$U$20,L378),1)*IF(Upgrades!$T$21="Microlensing",POWER(Upgrades!$U$21,M378),1))+(IF(H378=0,0,(Upgrades!$M$16+H378*Upgrades!$N$16)*POWER(Upgrades!$O$16,H378)))*(IF(Upgrades!$T$13="Roche Lobe Overflow",POWER(Upgrades!$U$13,E378),1)*IF(Upgrades!$T$14="Roche Lobe Overflow",POWER(Upgrades!$U$14,F378),1)*IF(Upgrades!$T$15="Roche Lobe Overflow",POWER(Upgrades!$U$15,G378),1)*IF(Upgrades!$T$17="Roche Lobe Overflow",POWER(Upgrades!$U$17,I378),1)*IF(Upgrades!$T$18="Roche Lobe Overflow",POWER(Upgrades!$U$18,J378),1)*IF(Upgrades!$T$19="Roche Lobe Overflow",POWER(Upgrades!$U$19,K378),1)*IF(Upgrades!$T$20="Roche Lobe Overflow",POWER(Upgrades!$U$20,L378),1)*IF(Upgrades!$T$21="Roche Lobe Overflow",POWER(Upgrades!$U$21,M378),1))+(IF(I378=0,0,(Upgrades!$M$17+I378*Upgrades!$N$17)*POWER(Upgrades!$O$17,I378)))*(IF(Upgrades!$T$13="Brown Dwarf",POWER(Upgrades!$U$13,E378),1)*IF(Upgrades!$T$14="Brown Dwarf",POWER(Upgrades!$U$14,F378),1)*IF(Upgrades!$T$15="Brown Dwarf",POWER(Upgrades!$U$15,G378),1)*IF(Upgrades!$T$16="Brown Dwarf",POWER(Upgrades!$U$16,H378),1)*IF(Upgrades!$T$18="Brown Dwarf",POWER(Upgrades!$U$18,J378),1)*IF(Upgrades!$T$19="Brown Dwarf",POWER(Upgrades!$U$19,K378),1)*IF(Upgrades!$T$20="Brown Dwarf",POWER(Upgrades!$U$20,L378),1)*IF(Upgrades!$T$21="Brown Dwarf",POWER(Upgrades!$U$21,M378),1))+(IF(J378=0,0,(Upgrades!$M$18+J378*Upgrades!$N$18)*POWER(Upgrades!$O$18,J378)))*(IF(Upgrades!$T$13="Binary Partner",POWER(Upgrades!$U$13,E378),1)*IF(Upgrades!$T$14="Binary Partner",POWER(Upgrades!$U$14,F378),1)*IF(Upgrades!$T$15="Binary Partner",POWER(Upgrades!$U$15,G378),1)*IF(Upgrades!$T$16="Binary Partner",POWER(Upgrades!$U$16,H378),1)*IF(Upgrades!$T$17="Binary Partner",POWER(Upgrades!$U$17,I378),1)*IF(Upgrades!$T$19="Binary Partner",POWER(Upgrades!$U$19,K378),1)*IF(Upgrades!$T$20="Binary Partner",POWER(Upgrades!$U$20,L378),1)*IF(Upgrades!$T$21="Binary Partner",POWER(Upgrades!$U$21,M378),1))+(IF(K378=0,0,(Upgrades!$M$19+K378*Upgrades!$N$19)*POWER(Upgrades!$O$19,K378)))*(IF(Upgrades!$T$13="Peculiar Velocity",POWER(Upgrades!$U$13,E378),1)*IF(Upgrades!$T$14="Peculiar Velocity",POWER(Upgrades!$U$14,F378),1)*IF(Upgrades!$T$15="Peculiar Velocity",POWER(Upgrades!$U$15,G378),1)*IF(Upgrades!$T$16="Peculiar Velocity",POWER(Upgrades!$U$16,H378),1)*IF(Upgrades!$T$17="Peculiar Velocity",POWER(Upgrades!$U$17,I378),1)*IF(Upgrades!$T$18="Peculiar Velocity",POWER(Upgrades!$U$18,J378),1)*IF(Upgrades!$T$20="Peculiar Velocity",POWER(Upgrades!$U$20,L378),1)*IF(Upgrades!$T$21="Peculiar Velocity",POWER(Upgrades!$U$21,M378),1))+(IF(L378=0,0,(Upgrades!$M$20+L378*Upgrades!$N$20)*POWER(Upgrades!$O$20,L378)))*(IF(Upgrades!$T$13="Open Cluster",POWER(Upgrades!$U$13,E378),1)*IF(Upgrades!$T$14="Open Cluster",POWER(Upgrades!$U$14,F378),1)*IF(Upgrades!$T$15="Open Cluster",POWER(Upgrades!$U$15,G378),1)*IF(Upgrades!$T$16="Open Cluster",POWER(Upgrades!$U$16,H378),1)*IF(Upgrades!$T$17="Open Cluster",POWER(Upgrades!$U$17,I378),1)*IF(Upgrades!$T$18="Open Cluster",POWER(Upgrades!$U$18,J378),1)*IF(Upgrades!$T$19="Open Cluster",POWER(Upgrades!$U$19,K378),1)*IF(Upgrades!$T$21="Open Cluster",POWER(Upgrades!$U$21,M378),1))+(IF(M378=0,0,(Upgrades!$M$21+M378*Upgrades!$N$21)*POWER(Upgrades!$O$21,M378)))*(IF(Upgrades!$T$13="Moving Group",POWER(Upgrades!$U$13,E378),1)*IF(Upgrades!$T$14="Moving Group",POWER(Upgrades!$U$14,F378),1)*IF(Upgrades!$T$15="Moving Group",POWER(Upgrades!$U$15,G378),1)*IF(Upgrades!$T$16="Moving Group",POWER(Upgrades!$U$16,H378),1)*IF(Upgrades!$T$17="Moving Group",POWER(Upgrades!$U$17,I378),1)*IF(Upgrades!$T$18="Moving Group",POWER(Upgrades!$U$18,J378),1)*IF(Upgrades!$T$19="Moving Group",POWER(Upgrades!$U$19,K378),1)*IF(Upgrades!$T$20="Moving Group",POWER(Upgrades!$U$20,L378),1)))*POWER(Upgrades!$R$13,E378)*POWER(Upgrades!$R$14,F378)*POWER(Upgrades!$R$15,G378)*POWER(Upgrades!$R$16,H378)*POWER(Upgrades!$R$17,I378)*POWER(Upgrades!$R$18,J378)*POWER(Upgrades!$R$19,K378)*POWER(Upgrades!$R$20,L378)*POWER(Upgrades!$R$21,M378)*$H$6+$E$6</f>
        <v/>
      </c>
      <c r="R378" s="27">
        <f>IF(N378=1,0,O378*Parameters!$B$10/60*Parameters!$B$11*10)</f>
        <v/>
      </c>
      <c r="S378" s="27">
        <f>IF(N378=1,0,Q378*O378*10)</f>
        <v/>
      </c>
      <c r="T378" s="27">
        <f>IF(N378=1,0,R378+S378+P378*10)</f>
        <v/>
      </c>
      <c r="U378" s="33">
        <f>BE378</f>
        <v/>
      </c>
      <c r="V378" s="22">
        <f>IF(U378="",0,IF(U378="transition",0,IF(U378="SK",AK378,IF(U378="LB",AL378,IF(U378="ML",AM378,IF(U378="RLO",AN378,IF(U378="BD",AO378,IF(U378="BiP",AP378,IF(U378="PV",AQ378,IF(U378="OC",AR378,IF(U378="MG",AS378,0))))))))))</f>
        <v/>
      </c>
      <c r="W378" s="27">
        <f>IF(U378="BiP",Upgrades!$F$18,IF(U378="PV",Upgrades!$F$19,IF(U378="OC",Upgrades!$F$20,IF(U378="MG",Upgrades!$F$21,IF(U378="transition",-Parameters!$B$18*Parameters!$B$19,0)))))</f>
        <v/>
      </c>
      <c r="X378" s="22">
        <f>C378+T378-V378</f>
        <v/>
      </c>
      <c r="Y378" s="30">
        <f>O378*Parameters!$B$10/60*Parameters!$B$11+Q378*O378+P378</f>
        <v/>
      </c>
      <c r="Z378" s="34">
        <f>IF(U378="transition","→ Tier 3 (Galactic Arm)",IF(U378="MG","Moving Group — pocket drifts together",IF(U378="OC","Open Cluster acquired",IF(U378="PV","Peculiar Velocity — passive multiplier active",IF(U378="BiP","Binary Partner — pair bond formed",IF(AND(AU378=1,N378=0,AT378&lt;&gt;1),"Cohesion ready (waiting on completionists)","")))))) </f>
        <v/>
      </c>
      <c r="AA378" s="27">
        <f>(IF(E378=0,0,(Upgrades!$G$13+E378*Upgrades!$H$13)*POWER(Upgrades!$I$13,E378)))*(IF(Upgrades!$T$14="Stellar Kinematics",POWER(Upgrades!$U$14,F378),1)*IF(Upgrades!$T$15="Stellar Kinematics",POWER(Upgrades!$U$15,G378),1)*IF(Upgrades!$T$16="Stellar Kinematics",POWER(Upgrades!$U$16,H378),1)*IF(Upgrades!$T$17="Stellar Kinematics",POWER(Upgrades!$U$17,I378),1)*IF(Upgrades!$T$18="Stellar Kinematics",POWER(Upgrades!$U$18,J378),1)*IF(Upgrades!$T$19="Stellar Kinematics",POWER(Upgrades!$U$19,K378),1)*IF(Upgrades!$T$20="Stellar Kinematics",POWER(Upgrades!$U$20,L378),1)*IF(Upgrades!$T$21="Stellar Kinematics",POWER(Upgrades!$U$21,M378),1))*POWER(Upgrades!$P$13,E378)*POWER(Upgrades!$P$14,F378)*POWER(Upgrades!$P$15,G378)*POWER(Upgrades!$P$16,H378)*POWER(Upgrades!$P$17,I378)*POWER(Upgrades!$P$18,J378)*POWER(Upgrades!$P$19,K378)*POWER(Upgrades!$P$20,L378)*POWER(Upgrades!$P$21,M378)*$F$6*60</f>
        <v/>
      </c>
      <c r="AB378" s="27">
        <f>(IF(F378=0,0,(Upgrades!$G$14+F378*Upgrades!$H$14)*POWER(Upgrades!$I$14,F378)))*(IF(Upgrades!$T$13="Local Bubble",POWER(Upgrades!$U$13,E378),1)*IF(Upgrades!$T$15="Local Bubble",POWER(Upgrades!$U$15,G378),1)*IF(Upgrades!$T$16="Local Bubble",POWER(Upgrades!$U$16,H378),1)*IF(Upgrades!$T$17="Local Bubble",POWER(Upgrades!$U$17,I378),1)*IF(Upgrades!$T$18="Local Bubble",POWER(Upgrades!$U$18,J378),1)*IF(Upgrades!$T$19="Local Bubble",POWER(Upgrades!$U$19,K378),1)*IF(Upgrades!$T$20="Local Bubble",POWER(Upgrades!$U$20,L378),1)*IF(Upgrades!$T$21="Local Bubble",POWER(Upgrades!$U$21,M378),1))*POWER(Upgrades!$P$13,E378)*POWER(Upgrades!$P$14,F378)*POWER(Upgrades!$P$15,G378)*POWER(Upgrades!$P$16,H378)*POWER(Upgrades!$P$17,I378)*POWER(Upgrades!$P$18,J378)*POWER(Upgrades!$P$19,K378)*POWER(Upgrades!$P$20,L378)*POWER(Upgrades!$P$21,M378)*$F$6*60</f>
        <v/>
      </c>
      <c r="AC378" s="27">
        <f>(IF(G378=0,0,(Upgrades!$J$15+G378*Upgrades!$K$15)*POWER(Upgrades!$L$15,G378)))*(IF(Upgrades!$T$13="Microlensing",POWER(Upgrades!$U$13,E378),1)*IF(Upgrades!$T$14="Microlensing",POWER(Upgrades!$U$14,F378),1)*IF(Upgrades!$T$16="Microlensing",POWER(Upgrades!$U$16,H378),1)*IF(Upgrades!$T$17="Microlensing",POWER(Upgrades!$U$17,I378),1)*IF(Upgrades!$T$18="Microlensing",POWER(Upgrades!$U$18,J378),1)*IF(Upgrades!$T$19="Microlensing",POWER(Upgrades!$U$19,K378),1)*IF(Upgrades!$T$20="Microlensing",POWER(Upgrades!$U$20,L378),1)*IF(Upgrades!$T$21="Microlensing",POWER(Upgrades!$U$21,M378),1))*POWER(Upgrades!$Q$13,E378)*POWER(Upgrades!$Q$14,F378)*POWER(Upgrades!$Q$15,G378)*POWER(Upgrades!$Q$16,H378)*POWER(Upgrades!$Q$17,I378)*POWER(Upgrades!$Q$18,J378)*POWER(Upgrades!$Q$19,K378)*POWER(Upgrades!$Q$20,L378)*POWER(Upgrades!$Q$21,M378)*$G$6*(Parameters!$B$10*Parameters!$B$11+Q378*60)</f>
        <v/>
      </c>
      <c r="AD378" s="27">
        <f>(IF(H378=0,0,(Upgrades!$M$16+H378*Upgrades!$N$16)*POWER(Upgrades!$O$16,H378)))*(IF(Upgrades!$T$13="Roche Lobe Overflow",POWER(Upgrades!$U$13,E378),1)*IF(Upgrades!$T$14="Roche Lobe Overflow",POWER(Upgrades!$U$14,F378),1)*IF(Upgrades!$T$15="Roche Lobe Overflow",POWER(Upgrades!$U$15,G378),1)*IF(Upgrades!$T$17="Roche Lobe Overflow",POWER(Upgrades!$U$17,I378),1)*IF(Upgrades!$T$18="Roche Lobe Overflow",POWER(Upgrades!$U$18,J378),1)*IF(Upgrades!$T$19="Roche Lobe Overflow",POWER(Upgrades!$U$19,K378),1)*IF(Upgrades!$T$20="Roche Lobe Overflow",POWER(Upgrades!$U$20,L378),1)*IF(Upgrades!$T$21="Roche Lobe Overflow",POWER(Upgrades!$U$21,M378),1))*POWER(Upgrades!$R$13,E378)*POWER(Upgrades!$R$14,F378)*POWER(Upgrades!$R$15,G378)*POWER(Upgrades!$R$16,H378)*POWER(Upgrades!$R$17,I378)*POWER(Upgrades!$R$18,J378)*POWER(Upgrades!$R$19,K378)*POWER(Upgrades!$R$20,L378)*POWER(Upgrades!$R$21,M378)*$H$6*O378*60</f>
        <v/>
      </c>
      <c r="AE378" s="27">
        <f>(IF(I378=0,0,(Upgrades!$G$17+I378*Upgrades!$H$17)*POWER(Upgrades!$I$17,I378)))*(IF(Upgrades!$T$13="Brown Dwarf",POWER(Upgrades!$U$13,E378),1)*IF(Upgrades!$T$14="Brown Dwarf",POWER(Upgrades!$U$14,F378),1)*IF(Upgrades!$T$15="Brown Dwarf",POWER(Upgrades!$U$15,G378),1)*IF(Upgrades!$T$16="Brown Dwarf",POWER(Upgrades!$U$16,H378),1)*IF(Upgrades!$T$18="Brown Dwarf",POWER(Upgrades!$U$18,J378),1)*IF(Upgrades!$T$19="Brown Dwarf",POWER(Upgrades!$U$19,K378),1)*IF(Upgrades!$T$20="Brown Dwarf",POWER(Upgrades!$U$20,L378),1)*IF(Upgrades!$T$21="Brown Dwarf",POWER(Upgrades!$U$21,M378),1))*POWER(Upgrades!$P$13,E378)*POWER(Upgrades!$P$14,F378)*POWER(Upgrades!$P$15,G378)*POWER(Upgrades!$P$16,H378)*POWER(Upgrades!$P$17,I378)*POWER(Upgrades!$P$18,J378)*POWER(Upgrades!$P$19,K378)*POWER(Upgrades!$P$20,L378)*POWER(Upgrades!$P$21,M378)*$F$6*60</f>
        <v/>
      </c>
      <c r="AF378" s="27" t="n">
        <v>0</v>
      </c>
      <c r="AG378" s="27" t="n">
        <v>0</v>
      </c>
      <c r="AH378" s="27" t="n">
        <v>0</v>
      </c>
      <c r="AI378" s="27">
        <f>(IF(M378=0,0,(Upgrades!$G$21+M378*Upgrades!$H$21)*POWER(Upgrades!$I$21,M378)))*(IF(Upgrades!$T$13="Moving Group",POWER(Upgrades!$U$13,E378),1)*IF(Upgrades!$T$14="Moving Group",POWER(Upgrades!$U$14,F378),1)*IF(Upgrades!$T$15="Moving Group",POWER(Upgrades!$U$15,G378),1)*IF(Upgrades!$T$16="Moving Group",POWER(Upgrades!$U$16,H378),1)*IF(Upgrades!$T$17="Moving Group",POWER(Upgrades!$U$17,I378),1)*IF(Upgrades!$T$18="Moving Group",POWER(Upgrades!$U$18,J378),1)*IF(Upgrades!$T$19="Moving Group",POWER(Upgrades!$U$19,K378),1)*IF(Upgrades!$T$20="Moving Group",POWER(Upgrades!$U$20,L378),1))*POWER(Upgrades!$P$13,E378)*POWER(Upgrades!$P$14,F378)*POWER(Upgrades!$P$15,G378)*POWER(Upgrades!$P$16,H378)*POWER(Upgrades!$P$17,I378)*POWER(Upgrades!$P$18,J378)*POWER(Upgrades!$P$19,K378)*POWER(Upgrades!$P$20,L378)*POWER(Upgrades!$P$21,M378)*$F$6*60</f>
        <v/>
      </c>
      <c r="AJ378" s="27">
        <f>$C$6*60</f>
        <v/>
      </c>
      <c r="AK378" s="22">
        <f>IF(E378&gt;=Upgrades!$E$13,"",Upgrades!$C$13*POWER(Upgrades!$D$13,E378))</f>
        <v/>
      </c>
      <c r="AL378" s="22">
        <f>IF(F378&gt;=Upgrades!$E$14,"",Upgrades!$C$14*POWER(Upgrades!$D$14,F378))</f>
        <v/>
      </c>
      <c r="AM378" s="22">
        <f>IF(G378&gt;=Upgrades!$E$15,"",Upgrades!$C$15*POWER(Upgrades!$D$15,G378))</f>
        <v/>
      </c>
      <c r="AN378" s="22">
        <f>IF(H378&gt;=Upgrades!$E$16,"",Upgrades!$C$16*POWER(Upgrades!$D$16,H378))</f>
        <v/>
      </c>
      <c r="AO378" s="22">
        <f>IF(I378&gt;=Upgrades!$E$17,"",Upgrades!$C$17*POWER(Upgrades!$D$17,I378))</f>
        <v/>
      </c>
      <c r="AP378" s="22">
        <f>IF(J378&gt;=Upgrades!$E$18,"",Upgrades!$C$18*POWER(Upgrades!$D$18,J378))</f>
        <v/>
      </c>
      <c r="AQ378" s="22">
        <f>IF(K378&gt;=Upgrades!$E$19,"",Upgrades!$C$19*POWER(Upgrades!$D$19,K378))</f>
        <v/>
      </c>
      <c r="AR378" s="22">
        <f>IF(L378&gt;=Upgrades!$E$20,"",Upgrades!$C$20*POWER(Upgrades!$D$20,L378))</f>
        <v/>
      </c>
      <c r="AS378" s="22">
        <f>IF(M378&gt;=Upgrades!$E$21,"",Upgrades!$C$21*POWER(Upgrades!$D$21,M378))</f>
        <v/>
      </c>
      <c r="AT378" s="26">
        <f>IF(AND(D378&gt;=Parameters!$B$18*Parameters!$B$19,(I378&gt;=Upgrades!$E$17)*(M378&gt;=Upgrades!$E$21)=1,N378=0),1,"")</f>
        <v/>
      </c>
      <c r="AU378" s="26">
        <f>IF(AND(D378&gt;=Parameters!$B$18*Parameters!$B$19,N378=0),1,"")</f>
        <v/>
      </c>
      <c r="AV378" s="22">
        <f>MIN(IF(ISNUMBER(AP378),AP378,9E15),IF(ISNUMBER(AQ378),AQ378,9E15),IF(ISNUMBER(AR378),AR378,9E15),IF(ISNUMBER(AS378),AS378,9E15))</f>
        <v/>
      </c>
      <c r="AW378" s="22">
        <f>MIN(IF(ISNUMBER(AK378),AK378,9E15),IF(ISNUMBER(AL378),AL378,9E15),IF(ISNUMBER(AM378),AM378,9E15),IF(ISNUMBER(AN378),AN378,9E15),IF(ISNUMBER(AO378),AO378,9E15))</f>
        <v/>
      </c>
      <c r="AX378" s="29">
        <f>IF(BD378&gt;Parameters!$B$21*(MAX(IF(AND(NOT(AND(AU378=1,AT378&lt;&gt;1)),ISNUMBER(AK378),AK378&lt;=(C378+T378)),AY378,0),IF(AND(NOT(AND(AU378=1,AT378&lt;&gt;1)),ISNUMBER(AL378),AL378&lt;=(C378+T378)),AZ378,0),IF(AND(NOT(AND(AU378=1,AT378&lt;&gt;1)),ISNUMBER(AM378),AM378&lt;=(C378+T378)),BA378,0),IF(AND(NOT(AND(AU378=1,AT378&lt;&gt;1)),ISNUMBER(AN378),AN378&lt;=(C378+T378)),BB378,0),IF(AND(ISNUMBER(AO378),AO378&lt;=(C378+T378)),BC378,0))),TRUE,FALSE)</f>
        <v/>
      </c>
      <c r="AY378" s="32">
        <f>IFERROR(Upgrades!$H$13*(POWER(Upgrades!$P$13,E378)*POWER(Upgrades!$P$14,F378)*POWER(Upgrades!$P$15,G378)*POWER(Upgrades!$P$16,H378)*POWER(Upgrades!$P$17,I378)*POWER(Upgrades!$P$18,J378)*POWER(Upgrades!$P$19,K378)*POWER(Upgrades!$P$20,L378)*POWER(Upgrades!$P$21,M378))*(IF(Upgrades!$T$14="Stellar Kinematics",POWER(Upgrades!$U$14,F378),1)*IF(Upgrades!$T$15="Stellar Kinematics",POWER(Upgrades!$U$15,G378),1)*IF(Upgrades!$T$16="Stellar Kinematics",POWER(Upgrades!$U$16,H378),1)*IF(Upgrades!$T$17="Stellar Kinematics",POWER(Upgrades!$U$17,I378),1)*IF(Upgrades!$T$18="Stellar Kinematics",POWER(Upgrades!$U$18,J378),1)*IF(Upgrades!$T$19="Stellar Kinematics",POWER(Upgrades!$U$19,K378),1)*IF(Upgrades!$T$20="Stellar Kinematics",POWER(Upgrades!$U$20,L378),1)*IF(Upgrades!$T$21="Stellar Kinematics",POWER(Upgrades!$U$21,M378),1))*$F$6/AK378,0)</f>
        <v/>
      </c>
      <c r="AZ378" s="32">
        <f>IFERROR(Upgrades!$H$14*(POWER(Upgrades!$P$13,E378)*POWER(Upgrades!$P$14,F378)*POWER(Upgrades!$P$15,G378)*POWER(Upgrades!$P$16,H378)*POWER(Upgrades!$P$17,I378)*POWER(Upgrades!$P$18,J378)*POWER(Upgrades!$P$19,K378)*POWER(Upgrades!$P$20,L378)*POWER(Upgrades!$P$21,M378))*(IF(Upgrades!$T$13="Local Bubble",POWER(Upgrades!$U$13,E378),1)*IF(Upgrades!$T$15="Local Bubble",POWER(Upgrades!$U$15,G378),1)*IF(Upgrades!$T$16="Local Bubble",POWER(Upgrades!$U$16,H378),1)*IF(Upgrades!$T$17="Local Bubble",POWER(Upgrades!$U$17,I378),1)*IF(Upgrades!$T$18="Local Bubble",POWER(Upgrades!$U$18,J378),1)*IF(Upgrades!$T$19="Local Bubble",POWER(Upgrades!$U$19,K378),1)*IF(Upgrades!$T$20="Local Bubble",POWER(Upgrades!$U$20,L378),1)*IF(Upgrades!$T$21="Local Bubble",POWER(Upgrades!$U$21,M378),1))*$F$6/AL378,0)</f>
        <v/>
      </c>
      <c r="BA378" s="32">
        <f>IFERROR(Upgrades!$K$15*(POWER(Upgrades!$Q$13,E378)*POWER(Upgrades!$Q$14,F378)*POWER(Upgrades!$Q$15,G378)*POWER(Upgrades!$Q$16,H378)*POWER(Upgrades!$Q$17,I378)*POWER(Upgrades!$Q$18,J378)*POWER(Upgrades!$Q$19,K378)*POWER(Upgrades!$Q$20,L378)*POWER(Upgrades!$Q$21,M378))*(IF(Upgrades!$T$13="Microlensing",POWER(Upgrades!$U$13,E378),1)*IF(Upgrades!$T$14="Microlensing",POWER(Upgrades!$U$14,F378),1)*IF(Upgrades!$T$16="Microlensing",POWER(Upgrades!$U$16,H378),1)*IF(Upgrades!$T$17="Microlensing",POWER(Upgrades!$U$17,I378),1)*IF(Upgrades!$T$18="Microlensing",POWER(Upgrades!$U$18,J378),1)*IF(Upgrades!$T$19="Microlensing",POWER(Upgrades!$U$19,K378),1)*IF(Upgrades!$T$20="Microlensing",POWER(Upgrades!$U$20,L378),1)*IF(Upgrades!$T$21="Microlensing",POWER(Upgrades!$U$21,M378),1))*$G$6*(Parameters!$B$10/60*Parameters!$B$11+Q378)/AM378,0)</f>
        <v/>
      </c>
      <c r="BB378" s="32">
        <f>IFERROR((Upgrades!$N$16*(POWER(Upgrades!$R$13,E378)*POWER(Upgrades!$R$14,F378)*POWER(Upgrades!$R$15,G378)*POWER(Upgrades!$R$16,H378)*POWER(Upgrades!$R$17,I378)*POWER(Upgrades!$R$18,J378)*POWER(Upgrades!$R$19,K378)*POWER(Upgrades!$R$20,L378)*POWER(Upgrades!$R$21,M378))*(IF(Upgrades!$T$13="Roche Lobe Overflow",POWER(Upgrades!$U$13,E378),1)*IF(Upgrades!$T$14="Roche Lobe Overflow",POWER(Upgrades!$U$14,F378),1)*IF(Upgrades!$T$15="Roche Lobe Overflow",POWER(Upgrades!$U$15,G378),1)*IF(Upgrades!$T$17="Roche Lobe Overflow",POWER(Upgrades!$U$17,I378),1)*IF(Upgrades!$T$18="Roche Lobe Overflow",POWER(Upgrades!$U$18,J378),1)*IF(Upgrades!$T$19="Roche Lobe Overflow",POWER(Upgrades!$U$19,K378),1)*IF(Upgrades!$T$20="Roche Lobe Overflow",POWER(Upgrades!$U$20,L378),1)*IF(Upgrades!$T$21="Roche Lobe Overflow",POWER(Upgrades!$U$21,M378),1))*$H$6*O378+((IF(F378=0,0,(Upgrades!$G$14+F378*Upgrades!$H$14)*POWER(Upgrades!$I$14,F378)))*(IF(Upgrades!$T$13="Local Bubble",POWER(Upgrades!$U$13,E378),1)*IF(Upgrades!$T$15="Local Bubble",POWER(Upgrades!$U$15,G378),1)*IF(Upgrades!$T$16="Local Bubble",POWER(Upgrades!$U$16,H378),1)*IF(Upgrades!$T$17="Local Bubble",POWER(Upgrades!$U$17,I378),1)*IF(Upgrades!$T$18="Local Bubble",POWER(Upgrades!$U$18,J378),1)*IF(Upgrades!$T$19="Local Bubble",POWER(Upgrades!$U$19,K378),1)*IF(Upgrades!$T$20="Local Bubble",POWER(Upgrades!$U$20,L378),1)*IF(Upgrades!$T$21="Local Bubble",POWER(Upgrades!$U$21,M378),1))*POWER(Upgrades!$P$13,E378)*POWER(Upgrades!$P$14,F378)*POWER(Upgrades!$P$15,G378)*POWER(Upgrades!$P$16,H378)*POWER(Upgrades!$P$17,I378)*POWER(Upgrades!$P$18,J378)*POWER(Upgrades!$P$19,K378)*POWER(Upgrades!$P$20,L378)*POWER(Upgrades!$P$21,M378)*$F$6)*0.05)/AN378,0)</f>
        <v/>
      </c>
      <c r="BC378" s="32">
        <f>IFERROR((Upgrades!$H$17*(POWER(Upgrades!$P$13,E378)*POWER(Upgrades!$P$14,F378)*POWER(Upgrades!$P$15,G378)*POWER(Upgrades!$P$16,H378)*POWER(Upgrades!$P$17,I378)*POWER(Upgrades!$P$18,J378)*POWER(Upgrades!$P$19,K378)*POWER(Upgrades!$P$20,L378)*POWER(Upgrades!$P$21,M378))*(IF(Upgrades!$T$13="Brown Dwarf",POWER(Upgrades!$U$13,E378),1)*IF(Upgrades!$T$14="Brown Dwarf",POWER(Upgrades!$U$14,F378),1)*IF(Upgrades!$T$15="Brown Dwarf",POWER(Upgrades!$U$15,G378),1)*IF(Upgrades!$T$16="Brown Dwarf",POWER(Upgrades!$U$16,H378),1)*IF(Upgrades!$T$18="Brown Dwarf",POWER(Upgrades!$U$18,J378),1)*IF(Upgrades!$T$19="Brown Dwarf",POWER(Upgrades!$U$19,K378),1)*IF(Upgrades!$T$20="Brown Dwarf",POWER(Upgrades!$U$20,L378),1)*IF(Upgrades!$T$21="Brown Dwarf",POWER(Upgrades!$U$21,M378),1))*$F$6+(((IF(H378=0,0,(Upgrades!$M$16+H378*Upgrades!$N$16)*POWER(Upgrades!$O$16,H378)))*(IF(Upgrades!$T$13="Roche Lobe Overflow",POWER(Upgrades!$U$13,E378),1)*IF(Upgrades!$T$14="Roche Lobe Overflow",POWER(Upgrades!$U$14,F378),1)*IF(Upgrades!$T$15="Roche Lobe Overflow",POWER(Upgrades!$U$15,G378),1)*IF(Upgrades!$T$17="Roche Lobe Overflow",POWER(Upgrades!$U$17,I378),1)*IF(Upgrades!$T$18="Roche Lobe Overflow",POWER(Upgrades!$U$18,J378),1)*IF(Upgrades!$T$19="Roche Lobe Overflow",POWER(Upgrades!$U$19,K378),1)*IF(Upgrades!$T$20="Roche Lobe Overflow",POWER(Upgrades!$U$20,L378),1)*IF(Upgrades!$T$21="Roche Lobe Overflow",POWER(Upgrades!$U$21,M378),1))*POWER(Upgrades!$R$13,E378)*POWER(Upgrades!$R$14,F378)*POWER(Upgrades!$R$15,G378)*POWER(Upgrades!$R$16,H378)*POWER(Upgrades!$R$17,I378)*POWER(Upgrades!$R$18,J378)*POWER(Upgrades!$R$19,K378)*POWER(Upgrades!$R$20,L378)*POWER(Upgrades!$R$21,M378)*$H$6)*O378)*0.10)/AO378,0)</f>
        <v/>
      </c>
      <c r="BD378" s="32">
        <f>MAX(IF(J378&gt;0,0,IFERROR(0.5*((IF(G378=0,0,(Upgrades!$J$15+G378*Upgrades!$K$15)*POWER(Upgrades!$L$15,G378)))*(IF(Upgrades!$T$13="Microlensing",POWER(Upgrades!$U$13,E378),1)*IF(Upgrades!$T$14="Microlensing",POWER(Upgrades!$U$14,F378),1)*IF(Upgrades!$T$16="Microlensing",POWER(Upgrades!$U$16,H378),1)*IF(Upgrades!$T$17="Microlensing",POWER(Upgrades!$U$17,I378),1)*IF(Upgrades!$T$18="Microlensing",POWER(Upgrades!$U$18,J378),1)*IF(Upgrades!$T$19="Microlensing",POWER(Upgrades!$U$19,K378),1)*IF(Upgrades!$T$20="Microlensing",POWER(Upgrades!$U$20,L378),1)*IF(Upgrades!$T$21="Microlensing",POWER(Upgrades!$U$21,M378),1))*(POWER(Upgrades!$Q$13,E378)*POWER(Upgrades!$Q$14,F378)*POWER(Upgrades!$Q$15,G378)*POWER(Upgrades!$Q$16,H378)*POWER(Upgrades!$Q$17,I378)*POWER(Upgrades!$Q$18,J378)*POWER(Upgrades!$Q$19,K378)*POWER(Upgrades!$Q$20,L378)*POWER(Upgrades!$Q$21,M378))*$G$6*(Parameters!$B$10/60*Parameters!$B$11+Q378))/Upgrades!$C$18,0)),IF(K378&gt;0,0,IFERROR(0.30*P378/Upgrades!$C$19,0)),IF(L378&gt;0,0,IFERROR(0.0001/Upgrades!$C$20,0)),IF(M378&gt;0,0,IFERROR((6.0*(POWER(Upgrades!$P$13,E378)*POWER(Upgrades!$P$14,F378)*POWER(Upgrades!$P$15,G378)*POWER(Upgrades!$P$16,H378)*POWER(Upgrades!$P$17,I378)*POWER(Upgrades!$P$18,J378)*POWER(Upgrades!$P$19,K378)*POWER(Upgrades!$P$20,L378)*POWER(Upgrades!$P$21,M378))*$F$6+0.20*O378*(Parameters!$B$10/60*Parameters!$B$11+Q378))/Upgrades!$C$21,0)),IF(AND(ISNUMBER(AK378),AK378&gt;(C378+T378)),AY378,0),IF(AND(ISNUMBER(AL378),AL378&gt;(C378+T378)),AZ378,0),IF(AND(ISNUMBER(AM378),AM378&gt;(C378+T378)),BA378,0),IF(AND(ISNUMBER(AN378),AN378&gt;(C378+T378)),BB378,0),IF(AND(ISNUMBER(AO378),AO378&gt;(C378+T378)),BC378,0))</f>
        <v/>
      </c>
      <c r="BE378" s="29">
        <f>IF(AT378=1,"transition",IF(MIN(IF(AND(J378=0,ISNUMBER(AP378),AP378&lt;=(C378+T378)),AP378,9E15),IF(AND(K378=0,ISNUMBER(AQ378),AQ378&lt;=(C378+T378)),AQ378,9E15),IF(AND(L378=0,ISNUMBER(AR378),AR378&lt;=(C378+T378)),AR378,9E15),IF(AND(M378=0,ISNUMBER(AS378),AS378&lt;=(C378+T378)),AS378,9E15))&lt;9E15,IF(AND(AND(J378=0,ISNUMBER(AP378),AP378&lt;=(C378+T378)),AP378=MIN(IF(AND(J378=0,ISNUMBER(AP378),AP378&lt;=(C378+T378)),AP378,9E15),IF(AND(K378=0,ISNUMBER(AQ378),AQ378&lt;=(C378+T378)),AQ378,9E15),IF(AND(L378=0,ISNUMBER(AR378),AR378&lt;=(C378+T378)),AR378,9E15),IF(AND(M378=0,ISNUMBER(AS378),AS378&lt;=(C378+T378)),AS378,9E15))),"BiP",IF(AND(AND(K378=0,ISNUMBER(AQ378),AQ378&lt;=(C378+T378)),AQ378=MIN(IF(AND(J378=0,ISNUMBER(AP378),AP378&lt;=(C378+T378)),AP378,9E15),IF(AND(K378=0,ISNUMBER(AQ378),AQ378&lt;=(C378+T378)),AQ378,9E15),IF(AND(L378=0,ISNUMBER(AR378),AR378&lt;=(C378+T378)),AR378,9E15),IF(AND(M378=0,ISNUMBER(AS378),AS378&lt;=(C378+T378)),AS378,9E15))),"PV",IF(AND(AND(L378=0,ISNUMBER(AR378),AR378&lt;=(C378+T378)),AR378=MIN(IF(AND(J378=0,ISNUMBER(AP378),AP378&lt;=(C378+T378)),AP378,9E15),IF(AND(K378=0,ISNUMBER(AQ378),AQ378&lt;=(C378+T378)),AQ378,9E15),IF(AND(L378=0,ISNUMBER(AR378),AR378&lt;=(C378+T378)),AR378,9E15),IF(AND(M378=0,ISNUMBER(AS378),AS378&lt;=(C378+T378)),AS378,9E15))),"OC","MG"))),IF(AX378=TRUE,"",IF(MAX(IF(AND(NOT(AND(AU378=1,AT378&lt;&gt;1)),ISNUMBER(AK378),AK378&lt;=(C378+T378)),AY378,0),IF(AND(NOT(AND(AU378=1,AT378&lt;&gt;1)),ISNUMBER(AL378),AL378&lt;=(C378+T378)),AZ378,0),IF(AND(NOT(AND(AU378=1,AT378&lt;&gt;1)),ISNUMBER(AM378),AM378&lt;=(C378+T378)),BA378,0),IF(AND(NOT(AND(AU378=1,AT378&lt;&gt;1)),ISNUMBER(AN378),AN378&lt;=(C378+T378)),BB378,0),IF(AND(ISNUMBER(AO378),AO378&lt;=(C378+T378)),BC378,0))&lt;=0,"",IF(AND(IF(AND(NOT(AND(AU378=1,AT378&lt;&gt;1)),ISNUMBER(AK378),AK378&lt;=(C378+T378)),AY378,0)&gt;0,IF(AND(NOT(AND(AU378=1,AT378&lt;&gt;1)),ISNUMBER(AK378),AK378&lt;=(C378+T378)),AY378,0)=MAX(IF(AND(NOT(AND(AU378=1,AT378&lt;&gt;1)),ISNUMBER(AK378),AK378&lt;=(C378+T378)),AY378,0),IF(AND(NOT(AND(AU378=1,AT378&lt;&gt;1)),ISNUMBER(AL378),AL378&lt;=(C378+T378)),AZ378,0),IF(AND(NOT(AND(AU378=1,AT378&lt;&gt;1)),ISNUMBER(AM378),AM378&lt;=(C378+T378)),BA378,0),IF(AND(NOT(AND(AU378=1,AT378&lt;&gt;1)),ISNUMBER(AN378),AN378&lt;=(C378+T378)),BB378,0),IF(AND(ISNUMBER(AO378),AO378&lt;=(C378+T378)),BC378,0))),"SK",IF(AND(IF(AND(NOT(AND(AU378=1,AT378&lt;&gt;1)),ISNUMBER(AL378),AL378&lt;=(C378+T378)),AZ378,0)&gt;0,IF(AND(NOT(AND(AU378=1,AT378&lt;&gt;1)),ISNUMBER(AL378),AL378&lt;=(C378+T378)),AZ378,0)=MAX(IF(AND(NOT(AND(AU378=1,AT378&lt;&gt;1)),ISNUMBER(AK378),AK378&lt;=(C378+T378)),AY378,0),IF(AND(NOT(AND(AU378=1,AT378&lt;&gt;1)),ISNUMBER(AL378),AL378&lt;=(C378+T378)),AZ378,0),IF(AND(NOT(AND(AU378=1,AT378&lt;&gt;1)),ISNUMBER(AM378),AM378&lt;=(C378+T378)),BA378,0),IF(AND(NOT(AND(AU378=1,AT378&lt;&gt;1)),ISNUMBER(AN378),AN378&lt;=(C378+T378)),BB378,0),IF(AND(ISNUMBER(AO378),AO378&lt;=(C378+T378)),BC378,0))),"LB",IF(AND(IF(AND(NOT(AND(AU378=1,AT378&lt;&gt;1)),ISNUMBER(AM378),AM378&lt;=(C378+T378)),BA378,0)&gt;0,IF(AND(NOT(AND(AU378=1,AT378&lt;&gt;1)),ISNUMBER(AM378),AM378&lt;=(C378+T378)),BA378,0)=MAX(IF(AND(NOT(AND(AU378=1,AT378&lt;&gt;1)),ISNUMBER(AK378),AK378&lt;=(C378+T378)),AY378,0),IF(AND(NOT(AND(AU378=1,AT378&lt;&gt;1)),ISNUMBER(AL378),AL378&lt;=(C378+T378)),AZ378,0),IF(AND(NOT(AND(AU378=1,AT378&lt;&gt;1)),ISNUMBER(AM378),AM378&lt;=(C378+T378)),BA378,0),IF(AND(NOT(AND(AU378=1,AT378&lt;&gt;1)),ISNUMBER(AN378),AN378&lt;=(C378+T378)),BB378,0),IF(AND(ISNUMBER(AO378),AO378&lt;=(C378+T378)),BC378,0))),"ML",IF(AND(IF(AND(NOT(AND(AU378=1,AT378&lt;&gt;1)),ISNUMBER(AN378),AN378&lt;=(C378+T378)),BB378,0)&gt;0,IF(AND(NOT(AND(AU378=1,AT378&lt;&gt;1)),ISNUMBER(AN378),AN378&lt;=(C378+T378)),BB378,0)=MAX(IF(AND(NOT(AND(AU378=1,AT378&lt;&gt;1)),ISNUMBER(AK378),AK378&lt;=(C378+T378)),AY378,0),IF(AND(NOT(AND(AU378=1,AT378&lt;&gt;1)),ISNUMBER(AL378),AL378&lt;=(C378+T378)),AZ378,0),IF(AND(NOT(AND(AU378=1,AT378&lt;&gt;1)),ISNUMBER(AM378),AM378&lt;=(C378+T378)),BA378,0),IF(AND(NOT(AND(AU378=1,AT378&lt;&gt;1)),ISNUMBER(AN378),AN378&lt;=(C378+T378)),BB378,0),IF(AND(ISNUMBER(AO378),AO378&lt;=(C378+T378)),BC378,0))),"RLO","BD"))))))))</f>
        <v/>
      </c>
    </row>
    <row r="379">
      <c r="A379" s="26" t="n">
        <v>368</v>
      </c>
      <c r="B379" s="27">
        <f>A379*10/60</f>
        <v/>
      </c>
      <c r="C379" s="22">
        <f>X378</f>
        <v/>
      </c>
      <c r="D379" s="27">
        <f>D378+W378</f>
        <v/>
      </c>
      <c r="E379" s="26">
        <f>E378+IF(U378="SK",1,0)</f>
        <v/>
      </c>
      <c r="F379" s="26">
        <f>F378+IF(U378="LB",1,0)</f>
        <v/>
      </c>
      <c r="G379" s="26">
        <f>G378+IF(U378="ML",1,0)</f>
        <v/>
      </c>
      <c r="H379" s="26">
        <f>H378+IF(U378="RLO",1,0)</f>
        <v/>
      </c>
      <c r="I379" s="26">
        <f>I378+IF(U378="BD",1,0)</f>
        <v/>
      </c>
      <c r="J379" s="26">
        <f>MAX(J378,IF(U378="BiP",1,0))</f>
        <v/>
      </c>
      <c r="K379" s="26">
        <f>MAX(K378,IF(U378="PV",1,0))</f>
        <v/>
      </c>
      <c r="L379" s="26">
        <f>MAX(L378,IF(U378="OC",1,0))</f>
        <v/>
      </c>
      <c r="M379" s="26">
        <f>MAX(M378,IF(U378="MG",1,0))</f>
        <v/>
      </c>
      <c r="N379" s="26">
        <f>MAX(N378,IF(U378="transition",1,0))</f>
        <v/>
      </c>
      <c r="O379" s="28">
        <f>(Parameters!$B$9+(IF(E379=0,0,(Upgrades!$J$13+E379*Upgrades!$K$13)*POWER(Upgrades!$L$13,E379)))*(IF(Upgrades!$T$14="Stellar Kinematics",POWER(Upgrades!$U$14,F379),1)*IF(Upgrades!$T$15="Stellar Kinematics",POWER(Upgrades!$U$15,G379),1)*IF(Upgrades!$T$16="Stellar Kinematics",POWER(Upgrades!$U$16,H379),1)*IF(Upgrades!$T$17="Stellar Kinematics",POWER(Upgrades!$U$17,I379),1)*IF(Upgrades!$T$18="Stellar Kinematics",POWER(Upgrades!$U$18,J379),1)*IF(Upgrades!$T$19="Stellar Kinematics",POWER(Upgrades!$U$19,K379),1)*IF(Upgrades!$T$20="Stellar Kinematics",POWER(Upgrades!$U$20,L379),1)*IF(Upgrades!$T$21="Stellar Kinematics",POWER(Upgrades!$U$21,M379),1))+(IF(F379=0,0,(Upgrades!$J$14+F379*Upgrades!$K$14)*POWER(Upgrades!$L$14,F379)))*(IF(Upgrades!$T$13="Local Bubble",POWER(Upgrades!$U$13,E379),1)*IF(Upgrades!$T$15="Local Bubble",POWER(Upgrades!$U$15,G379),1)*IF(Upgrades!$T$16="Local Bubble",POWER(Upgrades!$U$16,H379),1)*IF(Upgrades!$T$17="Local Bubble",POWER(Upgrades!$U$17,I379),1)*IF(Upgrades!$T$18="Local Bubble",POWER(Upgrades!$U$18,J379),1)*IF(Upgrades!$T$19="Local Bubble",POWER(Upgrades!$U$19,K379),1)*IF(Upgrades!$T$20="Local Bubble",POWER(Upgrades!$U$20,L379),1)*IF(Upgrades!$T$21="Local Bubble",POWER(Upgrades!$U$21,M379),1))+(IF(G379=0,0,(Upgrades!$J$15+G379*Upgrades!$K$15)*POWER(Upgrades!$L$15,G379)))*(IF(Upgrades!$T$13="Microlensing",POWER(Upgrades!$U$13,E379),1)*IF(Upgrades!$T$14="Microlensing",POWER(Upgrades!$U$14,F379),1)*IF(Upgrades!$T$16="Microlensing",POWER(Upgrades!$U$16,H379),1)*IF(Upgrades!$T$17="Microlensing",POWER(Upgrades!$U$17,I379),1)*IF(Upgrades!$T$18="Microlensing",POWER(Upgrades!$U$18,J379),1)*IF(Upgrades!$T$19="Microlensing",POWER(Upgrades!$U$19,K379),1)*IF(Upgrades!$T$20="Microlensing",POWER(Upgrades!$U$20,L379),1)*IF(Upgrades!$T$21="Microlensing",POWER(Upgrades!$U$21,M379),1))+(IF(H379=0,0,(Upgrades!$J$16+H379*Upgrades!$K$16)*POWER(Upgrades!$L$16,H379)))*(IF(Upgrades!$T$13="Roche Lobe Overflow",POWER(Upgrades!$U$13,E379),1)*IF(Upgrades!$T$14="Roche Lobe Overflow",POWER(Upgrades!$U$14,F379),1)*IF(Upgrades!$T$15="Roche Lobe Overflow",POWER(Upgrades!$U$15,G379),1)*IF(Upgrades!$T$17="Roche Lobe Overflow",POWER(Upgrades!$U$17,I379),1)*IF(Upgrades!$T$18="Roche Lobe Overflow",POWER(Upgrades!$U$18,J379),1)*IF(Upgrades!$T$19="Roche Lobe Overflow",POWER(Upgrades!$U$19,K379),1)*IF(Upgrades!$T$20="Roche Lobe Overflow",POWER(Upgrades!$U$20,L379),1)*IF(Upgrades!$T$21="Roche Lobe Overflow",POWER(Upgrades!$U$21,M379),1))+(IF(I379=0,0,(Upgrades!$J$17+I379*Upgrades!$K$17)*POWER(Upgrades!$L$17,I379)))*(IF(Upgrades!$T$13="Brown Dwarf",POWER(Upgrades!$U$13,E379),1)*IF(Upgrades!$T$14="Brown Dwarf",POWER(Upgrades!$U$14,F379),1)*IF(Upgrades!$T$15="Brown Dwarf",POWER(Upgrades!$U$15,G379),1)*IF(Upgrades!$T$16="Brown Dwarf",POWER(Upgrades!$U$16,H379),1)*IF(Upgrades!$T$18="Brown Dwarf",POWER(Upgrades!$U$18,J379),1)*IF(Upgrades!$T$19="Brown Dwarf",POWER(Upgrades!$U$19,K379),1)*IF(Upgrades!$T$20="Brown Dwarf",POWER(Upgrades!$U$20,L379),1)*IF(Upgrades!$T$21="Brown Dwarf",POWER(Upgrades!$U$21,M379),1))+(IF(J379=0,0,(Upgrades!$J$18+J379*Upgrades!$K$18)*POWER(Upgrades!$L$18,J379)))*(IF(Upgrades!$T$13="Binary Partner",POWER(Upgrades!$U$13,E379),1)*IF(Upgrades!$T$14="Binary Partner",POWER(Upgrades!$U$14,F379),1)*IF(Upgrades!$T$15="Binary Partner",POWER(Upgrades!$U$15,G379),1)*IF(Upgrades!$T$16="Binary Partner",POWER(Upgrades!$U$16,H379),1)*IF(Upgrades!$T$17="Binary Partner",POWER(Upgrades!$U$17,I379),1)*IF(Upgrades!$T$19="Binary Partner",POWER(Upgrades!$U$19,K379),1)*IF(Upgrades!$T$20="Binary Partner",POWER(Upgrades!$U$20,L379),1)*IF(Upgrades!$T$21="Binary Partner",POWER(Upgrades!$U$21,M379),1))+(IF(K379=0,0,(Upgrades!$J$19+K379*Upgrades!$K$19)*POWER(Upgrades!$L$19,K379)))*(IF(Upgrades!$T$13="Peculiar Velocity",POWER(Upgrades!$U$13,E379),1)*IF(Upgrades!$T$14="Peculiar Velocity",POWER(Upgrades!$U$14,F379),1)*IF(Upgrades!$T$15="Peculiar Velocity",POWER(Upgrades!$U$15,G379),1)*IF(Upgrades!$T$16="Peculiar Velocity",POWER(Upgrades!$U$16,H379),1)*IF(Upgrades!$T$17="Peculiar Velocity",POWER(Upgrades!$U$17,I379),1)*IF(Upgrades!$T$18="Peculiar Velocity",POWER(Upgrades!$U$18,J379),1)*IF(Upgrades!$T$20="Peculiar Velocity",POWER(Upgrades!$U$20,L379),1)*IF(Upgrades!$T$21="Peculiar Velocity",POWER(Upgrades!$U$21,M379),1))+(IF(L379=0,0,(Upgrades!$J$20+L379*Upgrades!$K$20)*POWER(Upgrades!$L$20,L379)))*(IF(Upgrades!$T$13="Open Cluster",POWER(Upgrades!$U$13,E379),1)*IF(Upgrades!$T$14="Open Cluster",POWER(Upgrades!$U$14,F379),1)*IF(Upgrades!$T$15="Open Cluster",POWER(Upgrades!$U$15,G379),1)*IF(Upgrades!$T$16="Open Cluster",POWER(Upgrades!$U$16,H379),1)*IF(Upgrades!$T$17="Open Cluster",POWER(Upgrades!$U$17,I379),1)*IF(Upgrades!$T$18="Open Cluster",POWER(Upgrades!$U$18,J379),1)*IF(Upgrades!$T$19="Open Cluster",POWER(Upgrades!$U$19,K379),1)*IF(Upgrades!$T$21="Open Cluster",POWER(Upgrades!$U$21,M379),1))+(IF(M379=0,0,(Upgrades!$J$21+M379*Upgrades!$K$21)*POWER(Upgrades!$L$21,M379)))*(IF(Upgrades!$T$13="Moving Group",POWER(Upgrades!$U$13,E379),1)*IF(Upgrades!$T$14="Moving Group",POWER(Upgrades!$U$14,F379),1)*IF(Upgrades!$T$15="Moving Group",POWER(Upgrades!$U$15,G379),1)*IF(Upgrades!$T$16="Moving Group",POWER(Upgrades!$U$16,H379),1)*IF(Upgrades!$T$17="Moving Group",POWER(Upgrades!$U$17,I379),1)*IF(Upgrades!$T$18="Moving Group",POWER(Upgrades!$U$18,J379),1)*IF(Upgrades!$T$19="Moving Group",POWER(Upgrades!$U$19,K379),1)*IF(Upgrades!$T$20="Moving Group",POWER(Upgrades!$U$20,L379),1)))*POWER(Upgrades!$Q$13,E379)*POWER(Upgrades!$Q$14,F379)*POWER(Upgrades!$Q$15,G379)*POWER(Upgrades!$Q$16,H379)*POWER(Upgrades!$Q$17,I379)*POWER(Upgrades!$Q$18,J379)*POWER(Upgrades!$Q$19,K379)*POWER(Upgrades!$Q$20,L379)*POWER(Upgrades!$Q$21,M379)*$G$6+$D$6</f>
        <v/>
      </c>
      <c r="P379" s="28">
        <f>((IF(E379=0,0,(Upgrades!$G$13+E379*Upgrades!$H$13)*POWER(Upgrades!$I$13,E379)))*(IF(Upgrades!$T$14="Stellar Kinematics",POWER(Upgrades!$U$14,F379),1)*IF(Upgrades!$T$15="Stellar Kinematics",POWER(Upgrades!$U$15,G379),1)*IF(Upgrades!$T$16="Stellar Kinematics",POWER(Upgrades!$U$16,H379),1)*IF(Upgrades!$T$17="Stellar Kinematics",POWER(Upgrades!$U$17,I379),1)*IF(Upgrades!$T$18="Stellar Kinematics",POWER(Upgrades!$U$18,J379),1)*IF(Upgrades!$T$19="Stellar Kinematics",POWER(Upgrades!$U$19,K379),1)*IF(Upgrades!$T$20="Stellar Kinematics",POWER(Upgrades!$U$20,L379),1)*IF(Upgrades!$T$21="Stellar Kinematics",POWER(Upgrades!$U$21,M379),1))+(IF(F379=0,0,(Upgrades!$G$14+F379*Upgrades!$H$14)*POWER(Upgrades!$I$14,F379)))*(IF(Upgrades!$T$13="Local Bubble",POWER(Upgrades!$U$13,E379),1)*IF(Upgrades!$T$15="Local Bubble",POWER(Upgrades!$U$15,G379),1)*IF(Upgrades!$T$16="Local Bubble",POWER(Upgrades!$U$16,H379),1)*IF(Upgrades!$T$17="Local Bubble",POWER(Upgrades!$U$17,I379),1)*IF(Upgrades!$T$18="Local Bubble",POWER(Upgrades!$U$18,J379),1)*IF(Upgrades!$T$19="Local Bubble",POWER(Upgrades!$U$19,K379),1)*IF(Upgrades!$T$20="Local Bubble",POWER(Upgrades!$U$20,L379),1)*IF(Upgrades!$T$21="Local Bubble",POWER(Upgrades!$U$21,M379),1))+(IF(G379=0,0,(Upgrades!$G$15+G379*Upgrades!$H$15)*POWER(Upgrades!$I$15,G379)))*(IF(Upgrades!$T$13="Microlensing",POWER(Upgrades!$U$13,E379),1)*IF(Upgrades!$T$14="Microlensing",POWER(Upgrades!$U$14,F379),1)*IF(Upgrades!$T$16="Microlensing",POWER(Upgrades!$U$16,H379),1)*IF(Upgrades!$T$17="Microlensing",POWER(Upgrades!$U$17,I379),1)*IF(Upgrades!$T$18="Microlensing",POWER(Upgrades!$U$18,J379),1)*IF(Upgrades!$T$19="Microlensing",POWER(Upgrades!$U$19,K379),1)*IF(Upgrades!$T$20="Microlensing",POWER(Upgrades!$U$20,L379),1)*IF(Upgrades!$T$21="Microlensing",POWER(Upgrades!$U$21,M379),1))+(IF(H379=0,0,(Upgrades!$G$16+H379*Upgrades!$H$16)*POWER(Upgrades!$I$16,H379)))*(IF(Upgrades!$T$13="Roche Lobe Overflow",POWER(Upgrades!$U$13,E379),1)*IF(Upgrades!$T$14="Roche Lobe Overflow",POWER(Upgrades!$U$14,F379),1)*IF(Upgrades!$T$15="Roche Lobe Overflow",POWER(Upgrades!$U$15,G379),1)*IF(Upgrades!$T$17="Roche Lobe Overflow",POWER(Upgrades!$U$17,I379),1)*IF(Upgrades!$T$18="Roche Lobe Overflow",POWER(Upgrades!$U$18,J379),1)*IF(Upgrades!$T$19="Roche Lobe Overflow",POWER(Upgrades!$U$19,K379),1)*IF(Upgrades!$T$20="Roche Lobe Overflow",POWER(Upgrades!$U$20,L379),1)*IF(Upgrades!$T$21="Roche Lobe Overflow",POWER(Upgrades!$U$21,M379),1))+(IF(I379=0,0,(Upgrades!$G$17+I379*Upgrades!$H$17)*POWER(Upgrades!$I$17,I379)))*(IF(Upgrades!$T$13="Brown Dwarf",POWER(Upgrades!$U$13,E379),1)*IF(Upgrades!$T$14="Brown Dwarf",POWER(Upgrades!$U$14,F379),1)*IF(Upgrades!$T$15="Brown Dwarf",POWER(Upgrades!$U$15,G379),1)*IF(Upgrades!$T$16="Brown Dwarf",POWER(Upgrades!$U$16,H379),1)*IF(Upgrades!$T$18="Brown Dwarf",POWER(Upgrades!$U$18,J379),1)*IF(Upgrades!$T$19="Brown Dwarf",POWER(Upgrades!$U$19,K379),1)*IF(Upgrades!$T$20="Brown Dwarf",POWER(Upgrades!$U$20,L379),1)*IF(Upgrades!$T$21="Brown Dwarf",POWER(Upgrades!$U$21,M379),1))+(IF(J379=0,0,(Upgrades!$G$18+J379*Upgrades!$H$18)*POWER(Upgrades!$I$18,J379)))*(IF(Upgrades!$T$13="Binary Partner",POWER(Upgrades!$U$13,E379),1)*IF(Upgrades!$T$14="Binary Partner",POWER(Upgrades!$U$14,F379),1)*IF(Upgrades!$T$15="Binary Partner",POWER(Upgrades!$U$15,G379),1)*IF(Upgrades!$T$16="Binary Partner",POWER(Upgrades!$U$16,H379),1)*IF(Upgrades!$T$17="Binary Partner",POWER(Upgrades!$U$17,I379),1)*IF(Upgrades!$T$19="Binary Partner",POWER(Upgrades!$U$19,K379),1)*IF(Upgrades!$T$20="Binary Partner",POWER(Upgrades!$U$20,L379),1)*IF(Upgrades!$T$21="Binary Partner",POWER(Upgrades!$U$21,M379),1))+(IF(K379=0,0,(Upgrades!$G$19+K379*Upgrades!$H$19)*POWER(Upgrades!$I$19,K379)))*(IF(Upgrades!$T$13="Peculiar Velocity",POWER(Upgrades!$U$13,E379),1)*IF(Upgrades!$T$14="Peculiar Velocity",POWER(Upgrades!$U$14,F379),1)*IF(Upgrades!$T$15="Peculiar Velocity",POWER(Upgrades!$U$15,G379),1)*IF(Upgrades!$T$16="Peculiar Velocity",POWER(Upgrades!$U$16,H379),1)*IF(Upgrades!$T$17="Peculiar Velocity",POWER(Upgrades!$U$17,I379),1)*IF(Upgrades!$T$18="Peculiar Velocity",POWER(Upgrades!$U$18,J379),1)*IF(Upgrades!$T$20="Peculiar Velocity",POWER(Upgrades!$U$20,L379),1)*IF(Upgrades!$T$21="Peculiar Velocity",POWER(Upgrades!$U$21,M379),1))+(IF(L379=0,0,(Upgrades!$G$20+L379*Upgrades!$H$20)*POWER(Upgrades!$I$20,L379)))*(IF(Upgrades!$T$13="Open Cluster",POWER(Upgrades!$U$13,E379),1)*IF(Upgrades!$T$14="Open Cluster",POWER(Upgrades!$U$14,F379),1)*IF(Upgrades!$T$15="Open Cluster",POWER(Upgrades!$U$15,G379),1)*IF(Upgrades!$T$16="Open Cluster",POWER(Upgrades!$U$16,H379),1)*IF(Upgrades!$T$17="Open Cluster",POWER(Upgrades!$U$17,I379),1)*IF(Upgrades!$T$18="Open Cluster",POWER(Upgrades!$U$18,J379),1)*IF(Upgrades!$T$19="Open Cluster",POWER(Upgrades!$U$19,K379),1)*IF(Upgrades!$T$21="Open Cluster",POWER(Upgrades!$U$21,M379),1))+(IF(M379=0,0,(Upgrades!$G$21+M379*Upgrades!$H$21)*POWER(Upgrades!$I$21,M379)))*(IF(Upgrades!$T$13="Moving Group",POWER(Upgrades!$U$13,E379),1)*IF(Upgrades!$T$14="Moving Group",POWER(Upgrades!$U$14,F379),1)*IF(Upgrades!$T$15="Moving Group",POWER(Upgrades!$U$15,G379),1)*IF(Upgrades!$T$16="Moving Group",POWER(Upgrades!$U$16,H379),1)*IF(Upgrades!$T$17="Moving Group",POWER(Upgrades!$U$17,I379),1)*IF(Upgrades!$T$18="Moving Group",POWER(Upgrades!$U$18,J379),1)*IF(Upgrades!$T$19="Moving Group",POWER(Upgrades!$U$19,K379),1)*IF(Upgrades!$T$20="Moving Group",POWER(Upgrades!$U$20,L379),1)))*POWER(Upgrades!$P$13,E379)*POWER(Upgrades!$P$14,F379)*POWER(Upgrades!$P$15,G379)*POWER(Upgrades!$P$16,H379)*POWER(Upgrades!$P$17,I379)*POWER(Upgrades!$P$18,J379)*POWER(Upgrades!$P$19,K379)*POWER(Upgrades!$P$20,L379)*POWER(Upgrades!$P$21,M379)*$F$6+$C$6</f>
        <v/>
      </c>
      <c r="Q379" s="28">
        <f>((IF(E379=0,0,(Upgrades!$M$13+E379*Upgrades!$N$13)*POWER(Upgrades!$O$13,E379)))*(IF(Upgrades!$T$14="Stellar Kinematics",POWER(Upgrades!$U$14,F379),1)*IF(Upgrades!$T$15="Stellar Kinematics",POWER(Upgrades!$U$15,G379),1)*IF(Upgrades!$T$16="Stellar Kinematics",POWER(Upgrades!$U$16,H379),1)*IF(Upgrades!$T$17="Stellar Kinematics",POWER(Upgrades!$U$17,I379),1)*IF(Upgrades!$T$18="Stellar Kinematics",POWER(Upgrades!$U$18,J379),1)*IF(Upgrades!$T$19="Stellar Kinematics",POWER(Upgrades!$U$19,K379),1)*IF(Upgrades!$T$20="Stellar Kinematics",POWER(Upgrades!$U$20,L379),1)*IF(Upgrades!$T$21="Stellar Kinematics",POWER(Upgrades!$U$21,M379),1))+(IF(F379=0,0,(Upgrades!$M$14+F379*Upgrades!$N$14)*POWER(Upgrades!$O$14,F379)))*(IF(Upgrades!$T$13="Local Bubble",POWER(Upgrades!$U$13,E379),1)*IF(Upgrades!$T$15="Local Bubble",POWER(Upgrades!$U$15,G379),1)*IF(Upgrades!$T$16="Local Bubble",POWER(Upgrades!$U$16,H379),1)*IF(Upgrades!$T$17="Local Bubble",POWER(Upgrades!$U$17,I379),1)*IF(Upgrades!$T$18="Local Bubble",POWER(Upgrades!$U$18,J379),1)*IF(Upgrades!$T$19="Local Bubble",POWER(Upgrades!$U$19,K379),1)*IF(Upgrades!$T$20="Local Bubble",POWER(Upgrades!$U$20,L379),1)*IF(Upgrades!$T$21="Local Bubble",POWER(Upgrades!$U$21,M379),1))+(IF(G379=0,0,(Upgrades!$M$15+G379*Upgrades!$N$15)*POWER(Upgrades!$O$15,G379)))*(IF(Upgrades!$T$13="Microlensing",POWER(Upgrades!$U$13,E379),1)*IF(Upgrades!$T$14="Microlensing",POWER(Upgrades!$U$14,F379),1)*IF(Upgrades!$T$16="Microlensing",POWER(Upgrades!$U$16,H379),1)*IF(Upgrades!$T$17="Microlensing",POWER(Upgrades!$U$17,I379),1)*IF(Upgrades!$T$18="Microlensing",POWER(Upgrades!$U$18,J379),1)*IF(Upgrades!$T$19="Microlensing",POWER(Upgrades!$U$19,K379),1)*IF(Upgrades!$T$20="Microlensing",POWER(Upgrades!$U$20,L379),1)*IF(Upgrades!$T$21="Microlensing",POWER(Upgrades!$U$21,M379),1))+(IF(H379=0,0,(Upgrades!$M$16+H379*Upgrades!$N$16)*POWER(Upgrades!$O$16,H379)))*(IF(Upgrades!$T$13="Roche Lobe Overflow",POWER(Upgrades!$U$13,E379),1)*IF(Upgrades!$T$14="Roche Lobe Overflow",POWER(Upgrades!$U$14,F379),1)*IF(Upgrades!$T$15="Roche Lobe Overflow",POWER(Upgrades!$U$15,G379),1)*IF(Upgrades!$T$17="Roche Lobe Overflow",POWER(Upgrades!$U$17,I379),1)*IF(Upgrades!$T$18="Roche Lobe Overflow",POWER(Upgrades!$U$18,J379),1)*IF(Upgrades!$T$19="Roche Lobe Overflow",POWER(Upgrades!$U$19,K379),1)*IF(Upgrades!$T$20="Roche Lobe Overflow",POWER(Upgrades!$U$20,L379),1)*IF(Upgrades!$T$21="Roche Lobe Overflow",POWER(Upgrades!$U$21,M379),1))+(IF(I379=0,0,(Upgrades!$M$17+I379*Upgrades!$N$17)*POWER(Upgrades!$O$17,I379)))*(IF(Upgrades!$T$13="Brown Dwarf",POWER(Upgrades!$U$13,E379),1)*IF(Upgrades!$T$14="Brown Dwarf",POWER(Upgrades!$U$14,F379),1)*IF(Upgrades!$T$15="Brown Dwarf",POWER(Upgrades!$U$15,G379),1)*IF(Upgrades!$T$16="Brown Dwarf",POWER(Upgrades!$U$16,H379),1)*IF(Upgrades!$T$18="Brown Dwarf",POWER(Upgrades!$U$18,J379),1)*IF(Upgrades!$T$19="Brown Dwarf",POWER(Upgrades!$U$19,K379),1)*IF(Upgrades!$T$20="Brown Dwarf",POWER(Upgrades!$U$20,L379),1)*IF(Upgrades!$T$21="Brown Dwarf",POWER(Upgrades!$U$21,M379),1))+(IF(J379=0,0,(Upgrades!$M$18+J379*Upgrades!$N$18)*POWER(Upgrades!$O$18,J379)))*(IF(Upgrades!$T$13="Binary Partner",POWER(Upgrades!$U$13,E379),1)*IF(Upgrades!$T$14="Binary Partner",POWER(Upgrades!$U$14,F379),1)*IF(Upgrades!$T$15="Binary Partner",POWER(Upgrades!$U$15,G379),1)*IF(Upgrades!$T$16="Binary Partner",POWER(Upgrades!$U$16,H379),1)*IF(Upgrades!$T$17="Binary Partner",POWER(Upgrades!$U$17,I379),1)*IF(Upgrades!$T$19="Binary Partner",POWER(Upgrades!$U$19,K379),1)*IF(Upgrades!$T$20="Binary Partner",POWER(Upgrades!$U$20,L379),1)*IF(Upgrades!$T$21="Binary Partner",POWER(Upgrades!$U$21,M379),1))+(IF(K379=0,0,(Upgrades!$M$19+K379*Upgrades!$N$19)*POWER(Upgrades!$O$19,K379)))*(IF(Upgrades!$T$13="Peculiar Velocity",POWER(Upgrades!$U$13,E379),1)*IF(Upgrades!$T$14="Peculiar Velocity",POWER(Upgrades!$U$14,F379),1)*IF(Upgrades!$T$15="Peculiar Velocity",POWER(Upgrades!$U$15,G379),1)*IF(Upgrades!$T$16="Peculiar Velocity",POWER(Upgrades!$U$16,H379),1)*IF(Upgrades!$T$17="Peculiar Velocity",POWER(Upgrades!$U$17,I379),1)*IF(Upgrades!$T$18="Peculiar Velocity",POWER(Upgrades!$U$18,J379),1)*IF(Upgrades!$T$20="Peculiar Velocity",POWER(Upgrades!$U$20,L379),1)*IF(Upgrades!$T$21="Peculiar Velocity",POWER(Upgrades!$U$21,M379),1))+(IF(L379=0,0,(Upgrades!$M$20+L379*Upgrades!$N$20)*POWER(Upgrades!$O$20,L379)))*(IF(Upgrades!$T$13="Open Cluster",POWER(Upgrades!$U$13,E379),1)*IF(Upgrades!$T$14="Open Cluster",POWER(Upgrades!$U$14,F379),1)*IF(Upgrades!$T$15="Open Cluster",POWER(Upgrades!$U$15,G379),1)*IF(Upgrades!$T$16="Open Cluster",POWER(Upgrades!$U$16,H379),1)*IF(Upgrades!$T$17="Open Cluster",POWER(Upgrades!$U$17,I379),1)*IF(Upgrades!$T$18="Open Cluster",POWER(Upgrades!$U$18,J379),1)*IF(Upgrades!$T$19="Open Cluster",POWER(Upgrades!$U$19,K379),1)*IF(Upgrades!$T$21="Open Cluster",POWER(Upgrades!$U$21,M379),1))+(IF(M379=0,0,(Upgrades!$M$21+M379*Upgrades!$N$21)*POWER(Upgrades!$O$21,M379)))*(IF(Upgrades!$T$13="Moving Group",POWER(Upgrades!$U$13,E379),1)*IF(Upgrades!$T$14="Moving Group",POWER(Upgrades!$U$14,F379),1)*IF(Upgrades!$T$15="Moving Group",POWER(Upgrades!$U$15,G379),1)*IF(Upgrades!$T$16="Moving Group",POWER(Upgrades!$U$16,H379),1)*IF(Upgrades!$T$17="Moving Group",POWER(Upgrades!$U$17,I379),1)*IF(Upgrades!$T$18="Moving Group",POWER(Upgrades!$U$18,J379),1)*IF(Upgrades!$T$19="Moving Group",POWER(Upgrades!$U$19,K379),1)*IF(Upgrades!$T$20="Moving Group",POWER(Upgrades!$U$20,L379),1)))*POWER(Upgrades!$R$13,E379)*POWER(Upgrades!$R$14,F379)*POWER(Upgrades!$R$15,G379)*POWER(Upgrades!$R$16,H379)*POWER(Upgrades!$R$17,I379)*POWER(Upgrades!$R$18,J379)*POWER(Upgrades!$R$19,K379)*POWER(Upgrades!$R$20,L379)*POWER(Upgrades!$R$21,M379)*$H$6+$E$6</f>
        <v/>
      </c>
      <c r="R379" s="27">
        <f>IF(N379=1,0,O379*Parameters!$B$10/60*Parameters!$B$11*10)</f>
        <v/>
      </c>
      <c r="S379" s="27">
        <f>IF(N379=1,0,Q379*O379*10)</f>
        <v/>
      </c>
      <c r="T379" s="27">
        <f>IF(N379=1,0,R379+S379+P379*10)</f>
        <v/>
      </c>
      <c r="U379" s="33">
        <f>BE379</f>
        <v/>
      </c>
      <c r="V379" s="22">
        <f>IF(U379="",0,IF(U379="transition",0,IF(U379="SK",AK379,IF(U379="LB",AL379,IF(U379="ML",AM379,IF(U379="RLO",AN379,IF(U379="BD",AO379,IF(U379="BiP",AP379,IF(U379="PV",AQ379,IF(U379="OC",AR379,IF(U379="MG",AS379,0))))))))))</f>
        <v/>
      </c>
      <c r="W379" s="27">
        <f>IF(U379="BiP",Upgrades!$F$18,IF(U379="PV",Upgrades!$F$19,IF(U379="OC",Upgrades!$F$20,IF(U379="MG",Upgrades!$F$21,IF(U379="transition",-Parameters!$B$18*Parameters!$B$19,0)))))</f>
        <v/>
      </c>
      <c r="X379" s="22">
        <f>C379+T379-V379</f>
        <v/>
      </c>
      <c r="Y379" s="30">
        <f>O379*Parameters!$B$10/60*Parameters!$B$11+Q379*O379+P379</f>
        <v/>
      </c>
      <c r="Z379" s="34">
        <f>IF(U379="transition","→ Tier 3 (Galactic Arm)",IF(U379="MG","Moving Group — pocket drifts together",IF(U379="OC","Open Cluster acquired",IF(U379="PV","Peculiar Velocity — passive multiplier active",IF(U379="BiP","Binary Partner — pair bond formed",IF(AND(AU379=1,N379=0,AT379&lt;&gt;1),"Cohesion ready (waiting on completionists)","")))))) </f>
        <v/>
      </c>
      <c r="AA379" s="27">
        <f>(IF(E379=0,0,(Upgrades!$G$13+E379*Upgrades!$H$13)*POWER(Upgrades!$I$13,E379)))*(IF(Upgrades!$T$14="Stellar Kinematics",POWER(Upgrades!$U$14,F379),1)*IF(Upgrades!$T$15="Stellar Kinematics",POWER(Upgrades!$U$15,G379),1)*IF(Upgrades!$T$16="Stellar Kinematics",POWER(Upgrades!$U$16,H379),1)*IF(Upgrades!$T$17="Stellar Kinematics",POWER(Upgrades!$U$17,I379),1)*IF(Upgrades!$T$18="Stellar Kinematics",POWER(Upgrades!$U$18,J379),1)*IF(Upgrades!$T$19="Stellar Kinematics",POWER(Upgrades!$U$19,K379),1)*IF(Upgrades!$T$20="Stellar Kinematics",POWER(Upgrades!$U$20,L379),1)*IF(Upgrades!$T$21="Stellar Kinematics",POWER(Upgrades!$U$21,M379),1))*POWER(Upgrades!$P$13,E379)*POWER(Upgrades!$P$14,F379)*POWER(Upgrades!$P$15,G379)*POWER(Upgrades!$P$16,H379)*POWER(Upgrades!$P$17,I379)*POWER(Upgrades!$P$18,J379)*POWER(Upgrades!$P$19,K379)*POWER(Upgrades!$P$20,L379)*POWER(Upgrades!$P$21,M379)*$F$6*60</f>
        <v/>
      </c>
      <c r="AB379" s="27">
        <f>(IF(F379=0,0,(Upgrades!$G$14+F379*Upgrades!$H$14)*POWER(Upgrades!$I$14,F379)))*(IF(Upgrades!$T$13="Local Bubble",POWER(Upgrades!$U$13,E379),1)*IF(Upgrades!$T$15="Local Bubble",POWER(Upgrades!$U$15,G379),1)*IF(Upgrades!$T$16="Local Bubble",POWER(Upgrades!$U$16,H379),1)*IF(Upgrades!$T$17="Local Bubble",POWER(Upgrades!$U$17,I379),1)*IF(Upgrades!$T$18="Local Bubble",POWER(Upgrades!$U$18,J379),1)*IF(Upgrades!$T$19="Local Bubble",POWER(Upgrades!$U$19,K379),1)*IF(Upgrades!$T$20="Local Bubble",POWER(Upgrades!$U$20,L379),1)*IF(Upgrades!$T$21="Local Bubble",POWER(Upgrades!$U$21,M379),1))*POWER(Upgrades!$P$13,E379)*POWER(Upgrades!$P$14,F379)*POWER(Upgrades!$P$15,G379)*POWER(Upgrades!$P$16,H379)*POWER(Upgrades!$P$17,I379)*POWER(Upgrades!$P$18,J379)*POWER(Upgrades!$P$19,K379)*POWER(Upgrades!$P$20,L379)*POWER(Upgrades!$P$21,M379)*$F$6*60</f>
        <v/>
      </c>
      <c r="AC379" s="27">
        <f>(IF(G379=0,0,(Upgrades!$J$15+G379*Upgrades!$K$15)*POWER(Upgrades!$L$15,G379)))*(IF(Upgrades!$T$13="Microlensing",POWER(Upgrades!$U$13,E379),1)*IF(Upgrades!$T$14="Microlensing",POWER(Upgrades!$U$14,F379),1)*IF(Upgrades!$T$16="Microlensing",POWER(Upgrades!$U$16,H379),1)*IF(Upgrades!$T$17="Microlensing",POWER(Upgrades!$U$17,I379),1)*IF(Upgrades!$T$18="Microlensing",POWER(Upgrades!$U$18,J379),1)*IF(Upgrades!$T$19="Microlensing",POWER(Upgrades!$U$19,K379),1)*IF(Upgrades!$T$20="Microlensing",POWER(Upgrades!$U$20,L379),1)*IF(Upgrades!$T$21="Microlensing",POWER(Upgrades!$U$21,M379),1))*POWER(Upgrades!$Q$13,E379)*POWER(Upgrades!$Q$14,F379)*POWER(Upgrades!$Q$15,G379)*POWER(Upgrades!$Q$16,H379)*POWER(Upgrades!$Q$17,I379)*POWER(Upgrades!$Q$18,J379)*POWER(Upgrades!$Q$19,K379)*POWER(Upgrades!$Q$20,L379)*POWER(Upgrades!$Q$21,M379)*$G$6*(Parameters!$B$10*Parameters!$B$11+Q379*60)</f>
        <v/>
      </c>
      <c r="AD379" s="27">
        <f>(IF(H379=0,0,(Upgrades!$M$16+H379*Upgrades!$N$16)*POWER(Upgrades!$O$16,H379)))*(IF(Upgrades!$T$13="Roche Lobe Overflow",POWER(Upgrades!$U$13,E379),1)*IF(Upgrades!$T$14="Roche Lobe Overflow",POWER(Upgrades!$U$14,F379),1)*IF(Upgrades!$T$15="Roche Lobe Overflow",POWER(Upgrades!$U$15,G379),1)*IF(Upgrades!$T$17="Roche Lobe Overflow",POWER(Upgrades!$U$17,I379),1)*IF(Upgrades!$T$18="Roche Lobe Overflow",POWER(Upgrades!$U$18,J379),1)*IF(Upgrades!$T$19="Roche Lobe Overflow",POWER(Upgrades!$U$19,K379),1)*IF(Upgrades!$T$20="Roche Lobe Overflow",POWER(Upgrades!$U$20,L379),1)*IF(Upgrades!$T$21="Roche Lobe Overflow",POWER(Upgrades!$U$21,M379),1))*POWER(Upgrades!$R$13,E379)*POWER(Upgrades!$R$14,F379)*POWER(Upgrades!$R$15,G379)*POWER(Upgrades!$R$16,H379)*POWER(Upgrades!$R$17,I379)*POWER(Upgrades!$R$18,J379)*POWER(Upgrades!$R$19,K379)*POWER(Upgrades!$R$20,L379)*POWER(Upgrades!$R$21,M379)*$H$6*O379*60</f>
        <v/>
      </c>
      <c r="AE379" s="27">
        <f>(IF(I379=0,0,(Upgrades!$G$17+I379*Upgrades!$H$17)*POWER(Upgrades!$I$17,I379)))*(IF(Upgrades!$T$13="Brown Dwarf",POWER(Upgrades!$U$13,E379),1)*IF(Upgrades!$T$14="Brown Dwarf",POWER(Upgrades!$U$14,F379),1)*IF(Upgrades!$T$15="Brown Dwarf",POWER(Upgrades!$U$15,G379),1)*IF(Upgrades!$T$16="Brown Dwarf",POWER(Upgrades!$U$16,H379),1)*IF(Upgrades!$T$18="Brown Dwarf",POWER(Upgrades!$U$18,J379),1)*IF(Upgrades!$T$19="Brown Dwarf",POWER(Upgrades!$U$19,K379),1)*IF(Upgrades!$T$20="Brown Dwarf",POWER(Upgrades!$U$20,L379),1)*IF(Upgrades!$T$21="Brown Dwarf",POWER(Upgrades!$U$21,M379),1))*POWER(Upgrades!$P$13,E379)*POWER(Upgrades!$P$14,F379)*POWER(Upgrades!$P$15,G379)*POWER(Upgrades!$P$16,H379)*POWER(Upgrades!$P$17,I379)*POWER(Upgrades!$P$18,J379)*POWER(Upgrades!$P$19,K379)*POWER(Upgrades!$P$20,L379)*POWER(Upgrades!$P$21,M379)*$F$6*60</f>
        <v/>
      </c>
      <c r="AF379" s="27" t="n">
        <v>0</v>
      </c>
      <c r="AG379" s="27" t="n">
        <v>0</v>
      </c>
      <c r="AH379" s="27" t="n">
        <v>0</v>
      </c>
      <c r="AI379" s="27">
        <f>(IF(M379=0,0,(Upgrades!$G$21+M379*Upgrades!$H$21)*POWER(Upgrades!$I$21,M379)))*(IF(Upgrades!$T$13="Moving Group",POWER(Upgrades!$U$13,E379),1)*IF(Upgrades!$T$14="Moving Group",POWER(Upgrades!$U$14,F379),1)*IF(Upgrades!$T$15="Moving Group",POWER(Upgrades!$U$15,G379),1)*IF(Upgrades!$T$16="Moving Group",POWER(Upgrades!$U$16,H379),1)*IF(Upgrades!$T$17="Moving Group",POWER(Upgrades!$U$17,I379),1)*IF(Upgrades!$T$18="Moving Group",POWER(Upgrades!$U$18,J379),1)*IF(Upgrades!$T$19="Moving Group",POWER(Upgrades!$U$19,K379),1)*IF(Upgrades!$T$20="Moving Group",POWER(Upgrades!$U$20,L379),1))*POWER(Upgrades!$P$13,E379)*POWER(Upgrades!$P$14,F379)*POWER(Upgrades!$P$15,G379)*POWER(Upgrades!$P$16,H379)*POWER(Upgrades!$P$17,I379)*POWER(Upgrades!$P$18,J379)*POWER(Upgrades!$P$19,K379)*POWER(Upgrades!$P$20,L379)*POWER(Upgrades!$P$21,M379)*$F$6*60</f>
        <v/>
      </c>
      <c r="AJ379" s="27">
        <f>$C$6*60</f>
        <v/>
      </c>
      <c r="AK379" s="22">
        <f>IF(E379&gt;=Upgrades!$E$13,"",Upgrades!$C$13*POWER(Upgrades!$D$13,E379))</f>
        <v/>
      </c>
      <c r="AL379" s="22">
        <f>IF(F379&gt;=Upgrades!$E$14,"",Upgrades!$C$14*POWER(Upgrades!$D$14,F379))</f>
        <v/>
      </c>
      <c r="AM379" s="22">
        <f>IF(G379&gt;=Upgrades!$E$15,"",Upgrades!$C$15*POWER(Upgrades!$D$15,G379))</f>
        <v/>
      </c>
      <c r="AN379" s="22">
        <f>IF(H379&gt;=Upgrades!$E$16,"",Upgrades!$C$16*POWER(Upgrades!$D$16,H379))</f>
        <v/>
      </c>
      <c r="AO379" s="22">
        <f>IF(I379&gt;=Upgrades!$E$17,"",Upgrades!$C$17*POWER(Upgrades!$D$17,I379))</f>
        <v/>
      </c>
      <c r="AP379" s="22">
        <f>IF(J379&gt;=Upgrades!$E$18,"",Upgrades!$C$18*POWER(Upgrades!$D$18,J379))</f>
        <v/>
      </c>
      <c r="AQ379" s="22">
        <f>IF(K379&gt;=Upgrades!$E$19,"",Upgrades!$C$19*POWER(Upgrades!$D$19,K379))</f>
        <v/>
      </c>
      <c r="AR379" s="22">
        <f>IF(L379&gt;=Upgrades!$E$20,"",Upgrades!$C$20*POWER(Upgrades!$D$20,L379))</f>
        <v/>
      </c>
      <c r="AS379" s="22">
        <f>IF(M379&gt;=Upgrades!$E$21,"",Upgrades!$C$21*POWER(Upgrades!$D$21,M379))</f>
        <v/>
      </c>
      <c r="AT379" s="26">
        <f>IF(AND(D379&gt;=Parameters!$B$18*Parameters!$B$19,(I379&gt;=Upgrades!$E$17)*(M379&gt;=Upgrades!$E$21)=1,N379=0),1,"")</f>
        <v/>
      </c>
      <c r="AU379" s="26">
        <f>IF(AND(D379&gt;=Parameters!$B$18*Parameters!$B$19,N379=0),1,"")</f>
        <v/>
      </c>
      <c r="AV379" s="22">
        <f>MIN(IF(ISNUMBER(AP379),AP379,9E15),IF(ISNUMBER(AQ379),AQ379,9E15),IF(ISNUMBER(AR379),AR379,9E15),IF(ISNUMBER(AS379),AS379,9E15))</f>
        <v/>
      </c>
      <c r="AW379" s="22">
        <f>MIN(IF(ISNUMBER(AK379),AK379,9E15),IF(ISNUMBER(AL379),AL379,9E15),IF(ISNUMBER(AM379),AM379,9E15),IF(ISNUMBER(AN379),AN379,9E15),IF(ISNUMBER(AO379),AO379,9E15))</f>
        <v/>
      </c>
      <c r="AX379" s="29">
        <f>IF(BD379&gt;Parameters!$B$21*(MAX(IF(AND(NOT(AND(AU379=1,AT379&lt;&gt;1)),ISNUMBER(AK379),AK379&lt;=(C379+T379)),AY379,0),IF(AND(NOT(AND(AU379=1,AT379&lt;&gt;1)),ISNUMBER(AL379),AL379&lt;=(C379+T379)),AZ379,0),IF(AND(NOT(AND(AU379=1,AT379&lt;&gt;1)),ISNUMBER(AM379),AM379&lt;=(C379+T379)),BA379,0),IF(AND(NOT(AND(AU379=1,AT379&lt;&gt;1)),ISNUMBER(AN379),AN379&lt;=(C379+T379)),BB379,0),IF(AND(ISNUMBER(AO379),AO379&lt;=(C379+T379)),BC379,0))),TRUE,FALSE)</f>
        <v/>
      </c>
      <c r="AY379" s="32">
        <f>IFERROR(Upgrades!$H$13*(POWER(Upgrades!$P$13,E379)*POWER(Upgrades!$P$14,F379)*POWER(Upgrades!$P$15,G379)*POWER(Upgrades!$P$16,H379)*POWER(Upgrades!$P$17,I379)*POWER(Upgrades!$P$18,J379)*POWER(Upgrades!$P$19,K379)*POWER(Upgrades!$P$20,L379)*POWER(Upgrades!$P$21,M379))*(IF(Upgrades!$T$14="Stellar Kinematics",POWER(Upgrades!$U$14,F379),1)*IF(Upgrades!$T$15="Stellar Kinematics",POWER(Upgrades!$U$15,G379),1)*IF(Upgrades!$T$16="Stellar Kinematics",POWER(Upgrades!$U$16,H379),1)*IF(Upgrades!$T$17="Stellar Kinematics",POWER(Upgrades!$U$17,I379),1)*IF(Upgrades!$T$18="Stellar Kinematics",POWER(Upgrades!$U$18,J379),1)*IF(Upgrades!$T$19="Stellar Kinematics",POWER(Upgrades!$U$19,K379),1)*IF(Upgrades!$T$20="Stellar Kinematics",POWER(Upgrades!$U$20,L379),1)*IF(Upgrades!$T$21="Stellar Kinematics",POWER(Upgrades!$U$21,M379),1))*$F$6/AK379,0)</f>
        <v/>
      </c>
      <c r="AZ379" s="32">
        <f>IFERROR(Upgrades!$H$14*(POWER(Upgrades!$P$13,E379)*POWER(Upgrades!$P$14,F379)*POWER(Upgrades!$P$15,G379)*POWER(Upgrades!$P$16,H379)*POWER(Upgrades!$P$17,I379)*POWER(Upgrades!$P$18,J379)*POWER(Upgrades!$P$19,K379)*POWER(Upgrades!$P$20,L379)*POWER(Upgrades!$P$21,M379))*(IF(Upgrades!$T$13="Local Bubble",POWER(Upgrades!$U$13,E379),1)*IF(Upgrades!$T$15="Local Bubble",POWER(Upgrades!$U$15,G379),1)*IF(Upgrades!$T$16="Local Bubble",POWER(Upgrades!$U$16,H379),1)*IF(Upgrades!$T$17="Local Bubble",POWER(Upgrades!$U$17,I379),1)*IF(Upgrades!$T$18="Local Bubble",POWER(Upgrades!$U$18,J379),1)*IF(Upgrades!$T$19="Local Bubble",POWER(Upgrades!$U$19,K379),1)*IF(Upgrades!$T$20="Local Bubble",POWER(Upgrades!$U$20,L379),1)*IF(Upgrades!$T$21="Local Bubble",POWER(Upgrades!$U$21,M379),1))*$F$6/AL379,0)</f>
        <v/>
      </c>
      <c r="BA379" s="32">
        <f>IFERROR(Upgrades!$K$15*(POWER(Upgrades!$Q$13,E379)*POWER(Upgrades!$Q$14,F379)*POWER(Upgrades!$Q$15,G379)*POWER(Upgrades!$Q$16,H379)*POWER(Upgrades!$Q$17,I379)*POWER(Upgrades!$Q$18,J379)*POWER(Upgrades!$Q$19,K379)*POWER(Upgrades!$Q$20,L379)*POWER(Upgrades!$Q$21,M379))*(IF(Upgrades!$T$13="Microlensing",POWER(Upgrades!$U$13,E379),1)*IF(Upgrades!$T$14="Microlensing",POWER(Upgrades!$U$14,F379),1)*IF(Upgrades!$T$16="Microlensing",POWER(Upgrades!$U$16,H379),1)*IF(Upgrades!$T$17="Microlensing",POWER(Upgrades!$U$17,I379),1)*IF(Upgrades!$T$18="Microlensing",POWER(Upgrades!$U$18,J379),1)*IF(Upgrades!$T$19="Microlensing",POWER(Upgrades!$U$19,K379),1)*IF(Upgrades!$T$20="Microlensing",POWER(Upgrades!$U$20,L379),1)*IF(Upgrades!$T$21="Microlensing",POWER(Upgrades!$U$21,M379),1))*$G$6*(Parameters!$B$10/60*Parameters!$B$11+Q379)/AM379,0)</f>
        <v/>
      </c>
      <c r="BB379" s="32">
        <f>IFERROR((Upgrades!$N$16*(POWER(Upgrades!$R$13,E379)*POWER(Upgrades!$R$14,F379)*POWER(Upgrades!$R$15,G379)*POWER(Upgrades!$R$16,H379)*POWER(Upgrades!$R$17,I379)*POWER(Upgrades!$R$18,J379)*POWER(Upgrades!$R$19,K379)*POWER(Upgrades!$R$20,L379)*POWER(Upgrades!$R$21,M379))*(IF(Upgrades!$T$13="Roche Lobe Overflow",POWER(Upgrades!$U$13,E379),1)*IF(Upgrades!$T$14="Roche Lobe Overflow",POWER(Upgrades!$U$14,F379),1)*IF(Upgrades!$T$15="Roche Lobe Overflow",POWER(Upgrades!$U$15,G379),1)*IF(Upgrades!$T$17="Roche Lobe Overflow",POWER(Upgrades!$U$17,I379),1)*IF(Upgrades!$T$18="Roche Lobe Overflow",POWER(Upgrades!$U$18,J379),1)*IF(Upgrades!$T$19="Roche Lobe Overflow",POWER(Upgrades!$U$19,K379),1)*IF(Upgrades!$T$20="Roche Lobe Overflow",POWER(Upgrades!$U$20,L379),1)*IF(Upgrades!$T$21="Roche Lobe Overflow",POWER(Upgrades!$U$21,M379),1))*$H$6*O379+((IF(F379=0,0,(Upgrades!$G$14+F379*Upgrades!$H$14)*POWER(Upgrades!$I$14,F379)))*(IF(Upgrades!$T$13="Local Bubble",POWER(Upgrades!$U$13,E379),1)*IF(Upgrades!$T$15="Local Bubble",POWER(Upgrades!$U$15,G379),1)*IF(Upgrades!$T$16="Local Bubble",POWER(Upgrades!$U$16,H379),1)*IF(Upgrades!$T$17="Local Bubble",POWER(Upgrades!$U$17,I379),1)*IF(Upgrades!$T$18="Local Bubble",POWER(Upgrades!$U$18,J379),1)*IF(Upgrades!$T$19="Local Bubble",POWER(Upgrades!$U$19,K379),1)*IF(Upgrades!$T$20="Local Bubble",POWER(Upgrades!$U$20,L379),1)*IF(Upgrades!$T$21="Local Bubble",POWER(Upgrades!$U$21,M379),1))*POWER(Upgrades!$P$13,E379)*POWER(Upgrades!$P$14,F379)*POWER(Upgrades!$P$15,G379)*POWER(Upgrades!$P$16,H379)*POWER(Upgrades!$P$17,I379)*POWER(Upgrades!$P$18,J379)*POWER(Upgrades!$P$19,K379)*POWER(Upgrades!$P$20,L379)*POWER(Upgrades!$P$21,M379)*$F$6)*0.05)/AN379,0)</f>
        <v/>
      </c>
      <c r="BC379" s="32">
        <f>IFERROR((Upgrades!$H$17*(POWER(Upgrades!$P$13,E379)*POWER(Upgrades!$P$14,F379)*POWER(Upgrades!$P$15,G379)*POWER(Upgrades!$P$16,H379)*POWER(Upgrades!$P$17,I379)*POWER(Upgrades!$P$18,J379)*POWER(Upgrades!$P$19,K379)*POWER(Upgrades!$P$20,L379)*POWER(Upgrades!$P$21,M379))*(IF(Upgrades!$T$13="Brown Dwarf",POWER(Upgrades!$U$13,E379),1)*IF(Upgrades!$T$14="Brown Dwarf",POWER(Upgrades!$U$14,F379),1)*IF(Upgrades!$T$15="Brown Dwarf",POWER(Upgrades!$U$15,G379),1)*IF(Upgrades!$T$16="Brown Dwarf",POWER(Upgrades!$U$16,H379),1)*IF(Upgrades!$T$18="Brown Dwarf",POWER(Upgrades!$U$18,J379),1)*IF(Upgrades!$T$19="Brown Dwarf",POWER(Upgrades!$U$19,K379),1)*IF(Upgrades!$T$20="Brown Dwarf",POWER(Upgrades!$U$20,L379),1)*IF(Upgrades!$T$21="Brown Dwarf",POWER(Upgrades!$U$21,M379),1))*$F$6+(((IF(H379=0,0,(Upgrades!$M$16+H379*Upgrades!$N$16)*POWER(Upgrades!$O$16,H379)))*(IF(Upgrades!$T$13="Roche Lobe Overflow",POWER(Upgrades!$U$13,E379),1)*IF(Upgrades!$T$14="Roche Lobe Overflow",POWER(Upgrades!$U$14,F379),1)*IF(Upgrades!$T$15="Roche Lobe Overflow",POWER(Upgrades!$U$15,G379),1)*IF(Upgrades!$T$17="Roche Lobe Overflow",POWER(Upgrades!$U$17,I379),1)*IF(Upgrades!$T$18="Roche Lobe Overflow",POWER(Upgrades!$U$18,J379),1)*IF(Upgrades!$T$19="Roche Lobe Overflow",POWER(Upgrades!$U$19,K379),1)*IF(Upgrades!$T$20="Roche Lobe Overflow",POWER(Upgrades!$U$20,L379),1)*IF(Upgrades!$T$21="Roche Lobe Overflow",POWER(Upgrades!$U$21,M379),1))*POWER(Upgrades!$R$13,E379)*POWER(Upgrades!$R$14,F379)*POWER(Upgrades!$R$15,G379)*POWER(Upgrades!$R$16,H379)*POWER(Upgrades!$R$17,I379)*POWER(Upgrades!$R$18,J379)*POWER(Upgrades!$R$19,K379)*POWER(Upgrades!$R$20,L379)*POWER(Upgrades!$R$21,M379)*$H$6)*O379)*0.10)/AO379,0)</f>
        <v/>
      </c>
      <c r="BD379" s="32">
        <f>MAX(IF(J379&gt;0,0,IFERROR(0.5*((IF(G379=0,0,(Upgrades!$J$15+G379*Upgrades!$K$15)*POWER(Upgrades!$L$15,G379)))*(IF(Upgrades!$T$13="Microlensing",POWER(Upgrades!$U$13,E379),1)*IF(Upgrades!$T$14="Microlensing",POWER(Upgrades!$U$14,F379),1)*IF(Upgrades!$T$16="Microlensing",POWER(Upgrades!$U$16,H379),1)*IF(Upgrades!$T$17="Microlensing",POWER(Upgrades!$U$17,I379),1)*IF(Upgrades!$T$18="Microlensing",POWER(Upgrades!$U$18,J379),1)*IF(Upgrades!$T$19="Microlensing",POWER(Upgrades!$U$19,K379),1)*IF(Upgrades!$T$20="Microlensing",POWER(Upgrades!$U$20,L379),1)*IF(Upgrades!$T$21="Microlensing",POWER(Upgrades!$U$21,M379),1))*(POWER(Upgrades!$Q$13,E379)*POWER(Upgrades!$Q$14,F379)*POWER(Upgrades!$Q$15,G379)*POWER(Upgrades!$Q$16,H379)*POWER(Upgrades!$Q$17,I379)*POWER(Upgrades!$Q$18,J379)*POWER(Upgrades!$Q$19,K379)*POWER(Upgrades!$Q$20,L379)*POWER(Upgrades!$Q$21,M379))*$G$6*(Parameters!$B$10/60*Parameters!$B$11+Q379))/Upgrades!$C$18,0)),IF(K379&gt;0,0,IFERROR(0.30*P379/Upgrades!$C$19,0)),IF(L379&gt;0,0,IFERROR(0.0001/Upgrades!$C$20,0)),IF(M379&gt;0,0,IFERROR((6.0*(POWER(Upgrades!$P$13,E379)*POWER(Upgrades!$P$14,F379)*POWER(Upgrades!$P$15,G379)*POWER(Upgrades!$P$16,H379)*POWER(Upgrades!$P$17,I379)*POWER(Upgrades!$P$18,J379)*POWER(Upgrades!$P$19,K379)*POWER(Upgrades!$P$20,L379)*POWER(Upgrades!$P$21,M379))*$F$6+0.20*O379*(Parameters!$B$10/60*Parameters!$B$11+Q379))/Upgrades!$C$21,0)),IF(AND(ISNUMBER(AK379),AK379&gt;(C379+T379)),AY379,0),IF(AND(ISNUMBER(AL379),AL379&gt;(C379+T379)),AZ379,0),IF(AND(ISNUMBER(AM379),AM379&gt;(C379+T379)),BA379,0),IF(AND(ISNUMBER(AN379),AN379&gt;(C379+T379)),BB379,0),IF(AND(ISNUMBER(AO379),AO379&gt;(C379+T379)),BC379,0))</f>
        <v/>
      </c>
      <c r="BE379" s="29">
        <f>IF(AT379=1,"transition",IF(MIN(IF(AND(J379=0,ISNUMBER(AP379),AP379&lt;=(C379+T379)),AP379,9E15),IF(AND(K379=0,ISNUMBER(AQ379),AQ379&lt;=(C379+T379)),AQ379,9E15),IF(AND(L379=0,ISNUMBER(AR379),AR379&lt;=(C379+T379)),AR379,9E15),IF(AND(M379=0,ISNUMBER(AS379),AS379&lt;=(C379+T379)),AS379,9E15))&lt;9E15,IF(AND(AND(J379=0,ISNUMBER(AP379),AP379&lt;=(C379+T379)),AP379=MIN(IF(AND(J379=0,ISNUMBER(AP379),AP379&lt;=(C379+T379)),AP379,9E15),IF(AND(K379=0,ISNUMBER(AQ379),AQ379&lt;=(C379+T379)),AQ379,9E15),IF(AND(L379=0,ISNUMBER(AR379),AR379&lt;=(C379+T379)),AR379,9E15),IF(AND(M379=0,ISNUMBER(AS379),AS379&lt;=(C379+T379)),AS379,9E15))),"BiP",IF(AND(AND(K379=0,ISNUMBER(AQ379),AQ379&lt;=(C379+T379)),AQ379=MIN(IF(AND(J379=0,ISNUMBER(AP379),AP379&lt;=(C379+T379)),AP379,9E15),IF(AND(K379=0,ISNUMBER(AQ379),AQ379&lt;=(C379+T379)),AQ379,9E15),IF(AND(L379=0,ISNUMBER(AR379),AR379&lt;=(C379+T379)),AR379,9E15),IF(AND(M379=0,ISNUMBER(AS379),AS379&lt;=(C379+T379)),AS379,9E15))),"PV",IF(AND(AND(L379=0,ISNUMBER(AR379),AR379&lt;=(C379+T379)),AR379=MIN(IF(AND(J379=0,ISNUMBER(AP379),AP379&lt;=(C379+T379)),AP379,9E15),IF(AND(K379=0,ISNUMBER(AQ379),AQ379&lt;=(C379+T379)),AQ379,9E15),IF(AND(L379=0,ISNUMBER(AR379),AR379&lt;=(C379+T379)),AR379,9E15),IF(AND(M379=0,ISNUMBER(AS379),AS379&lt;=(C379+T379)),AS379,9E15))),"OC","MG"))),IF(AX379=TRUE,"",IF(MAX(IF(AND(NOT(AND(AU379=1,AT379&lt;&gt;1)),ISNUMBER(AK379),AK379&lt;=(C379+T379)),AY379,0),IF(AND(NOT(AND(AU379=1,AT379&lt;&gt;1)),ISNUMBER(AL379),AL379&lt;=(C379+T379)),AZ379,0),IF(AND(NOT(AND(AU379=1,AT379&lt;&gt;1)),ISNUMBER(AM379),AM379&lt;=(C379+T379)),BA379,0),IF(AND(NOT(AND(AU379=1,AT379&lt;&gt;1)),ISNUMBER(AN379),AN379&lt;=(C379+T379)),BB379,0),IF(AND(ISNUMBER(AO379),AO379&lt;=(C379+T379)),BC379,0))&lt;=0,"",IF(AND(IF(AND(NOT(AND(AU379=1,AT379&lt;&gt;1)),ISNUMBER(AK379),AK379&lt;=(C379+T379)),AY379,0)&gt;0,IF(AND(NOT(AND(AU379=1,AT379&lt;&gt;1)),ISNUMBER(AK379),AK379&lt;=(C379+T379)),AY379,0)=MAX(IF(AND(NOT(AND(AU379=1,AT379&lt;&gt;1)),ISNUMBER(AK379),AK379&lt;=(C379+T379)),AY379,0),IF(AND(NOT(AND(AU379=1,AT379&lt;&gt;1)),ISNUMBER(AL379),AL379&lt;=(C379+T379)),AZ379,0),IF(AND(NOT(AND(AU379=1,AT379&lt;&gt;1)),ISNUMBER(AM379),AM379&lt;=(C379+T379)),BA379,0),IF(AND(NOT(AND(AU379=1,AT379&lt;&gt;1)),ISNUMBER(AN379),AN379&lt;=(C379+T379)),BB379,0),IF(AND(ISNUMBER(AO379),AO379&lt;=(C379+T379)),BC379,0))),"SK",IF(AND(IF(AND(NOT(AND(AU379=1,AT379&lt;&gt;1)),ISNUMBER(AL379),AL379&lt;=(C379+T379)),AZ379,0)&gt;0,IF(AND(NOT(AND(AU379=1,AT379&lt;&gt;1)),ISNUMBER(AL379),AL379&lt;=(C379+T379)),AZ379,0)=MAX(IF(AND(NOT(AND(AU379=1,AT379&lt;&gt;1)),ISNUMBER(AK379),AK379&lt;=(C379+T379)),AY379,0),IF(AND(NOT(AND(AU379=1,AT379&lt;&gt;1)),ISNUMBER(AL379),AL379&lt;=(C379+T379)),AZ379,0),IF(AND(NOT(AND(AU379=1,AT379&lt;&gt;1)),ISNUMBER(AM379),AM379&lt;=(C379+T379)),BA379,0),IF(AND(NOT(AND(AU379=1,AT379&lt;&gt;1)),ISNUMBER(AN379),AN379&lt;=(C379+T379)),BB379,0),IF(AND(ISNUMBER(AO379),AO379&lt;=(C379+T379)),BC379,0))),"LB",IF(AND(IF(AND(NOT(AND(AU379=1,AT379&lt;&gt;1)),ISNUMBER(AM379),AM379&lt;=(C379+T379)),BA379,0)&gt;0,IF(AND(NOT(AND(AU379=1,AT379&lt;&gt;1)),ISNUMBER(AM379),AM379&lt;=(C379+T379)),BA379,0)=MAX(IF(AND(NOT(AND(AU379=1,AT379&lt;&gt;1)),ISNUMBER(AK379),AK379&lt;=(C379+T379)),AY379,0),IF(AND(NOT(AND(AU379=1,AT379&lt;&gt;1)),ISNUMBER(AL379),AL379&lt;=(C379+T379)),AZ379,0),IF(AND(NOT(AND(AU379=1,AT379&lt;&gt;1)),ISNUMBER(AM379),AM379&lt;=(C379+T379)),BA379,0),IF(AND(NOT(AND(AU379=1,AT379&lt;&gt;1)),ISNUMBER(AN379),AN379&lt;=(C379+T379)),BB379,0),IF(AND(ISNUMBER(AO379),AO379&lt;=(C379+T379)),BC379,0))),"ML",IF(AND(IF(AND(NOT(AND(AU379=1,AT379&lt;&gt;1)),ISNUMBER(AN379),AN379&lt;=(C379+T379)),BB379,0)&gt;0,IF(AND(NOT(AND(AU379=1,AT379&lt;&gt;1)),ISNUMBER(AN379),AN379&lt;=(C379+T379)),BB379,0)=MAX(IF(AND(NOT(AND(AU379=1,AT379&lt;&gt;1)),ISNUMBER(AK379),AK379&lt;=(C379+T379)),AY379,0),IF(AND(NOT(AND(AU379=1,AT379&lt;&gt;1)),ISNUMBER(AL379),AL379&lt;=(C379+T379)),AZ379,0),IF(AND(NOT(AND(AU379=1,AT379&lt;&gt;1)),ISNUMBER(AM379),AM379&lt;=(C379+T379)),BA379,0),IF(AND(NOT(AND(AU379=1,AT379&lt;&gt;1)),ISNUMBER(AN379),AN379&lt;=(C379+T379)),BB379,0),IF(AND(ISNUMBER(AO379),AO379&lt;=(C379+T379)),BC379,0))),"RLO","BD"))))))))</f>
        <v/>
      </c>
    </row>
    <row r="380">
      <c r="A380" s="26" t="n">
        <v>369</v>
      </c>
      <c r="B380" s="27">
        <f>A380*10/60</f>
        <v/>
      </c>
      <c r="C380" s="22">
        <f>X379</f>
        <v/>
      </c>
      <c r="D380" s="27">
        <f>D379+W379</f>
        <v/>
      </c>
      <c r="E380" s="26">
        <f>E379+IF(U379="SK",1,0)</f>
        <v/>
      </c>
      <c r="F380" s="26">
        <f>F379+IF(U379="LB",1,0)</f>
        <v/>
      </c>
      <c r="G380" s="26">
        <f>G379+IF(U379="ML",1,0)</f>
        <v/>
      </c>
      <c r="H380" s="26">
        <f>H379+IF(U379="RLO",1,0)</f>
        <v/>
      </c>
      <c r="I380" s="26">
        <f>I379+IF(U379="BD",1,0)</f>
        <v/>
      </c>
      <c r="J380" s="26">
        <f>MAX(J379,IF(U379="BiP",1,0))</f>
        <v/>
      </c>
      <c r="K380" s="26">
        <f>MAX(K379,IF(U379="PV",1,0))</f>
        <v/>
      </c>
      <c r="L380" s="26">
        <f>MAX(L379,IF(U379="OC",1,0))</f>
        <v/>
      </c>
      <c r="M380" s="26">
        <f>MAX(M379,IF(U379="MG",1,0))</f>
        <v/>
      </c>
      <c r="N380" s="26">
        <f>MAX(N379,IF(U379="transition",1,0))</f>
        <v/>
      </c>
      <c r="O380" s="28">
        <f>(Parameters!$B$9+(IF(E380=0,0,(Upgrades!$J$13+E380*Upgrades!$K$13)*POWER(Upgrades!$L$13,E380)))*(IF(Upgrades!$T$14="Stellar Kinematics",POWER(Upgrades!$U$14,F380),1)*IF(Upgrades!$T$15="Stellar Kinematics",POWER(Upgrades!$U$15,G380),1)*IF(Upgrades!$T$16="Stellar Kinematics",POWER(Upgrades!$U$16,H380),1)*IF(Upgrades!$T$17="Stellar Kinematics",POWER(Upgrades!$U$17,I380),1)*IF(Upgrades!$T$18="Stellar Kinematics",POWER(Upgrades!$U$18,J380),1)*IF(Upgrades!$T$19="Stellar Kinematics",POWER(Upgrades!$U$19,K380),1)*IF(Upgrades!$T$20="Stellar Kinematics",POWER(Upgrades!$U$20,L380),1)*IF(Upgrades!$T$21="Stellar Kinematics",POWER(Upgrades!$U$21,M380),1))+(IF(F380=0,0,(Upgrades!$J$14+F380*Upgrades!$K$14)*POWER(Upgrades!$L$14,F380)))*(IF(Upgrades!$T$13="Local Bubble",POWER(Upgrades!$U$13,E380),1)*IF(Upgrades!$T$15="Local Bubble",POWER(Upgrades!$U$15,G380),1)*IF(Upgrades!$T$16="Local Bubble",POWER(Upgrades!$U$16,H380),1)*IF(Upgrades!$T$17="Local Bubble",POWER(Upgrades!$U$17,I380),1)*IF(Upgrades!$T$18="Local Bubble",POWER(Upgrades!$U$18,J380),1)*IF(Upgrades!$T$19="Local Bubble",POWER(Upgrades!$U$19,K380),1)*IF(Upgrades!$T$20="Local Bubble",POWER(Upgrades!$U$20,L380),1)*IF(Upgrades!$T$21="Local Bubble",POWER(Upgrades!$U$21,M380),1))+(IF(G380=0,0,(Upgrades!$J$15+G380*Upgrades!$K$15)*POWER(Upgrades!$L$15,G380)))*(IF(Upgrades!$T$13="Microlensing",POWER(Upgrades!$U$13,E380),1)*IF(Upgrades!$T$14="Microlensing",POWER(Upgrades!$U$14,F380),1)*IF(Upgrades!$T$16="Microlensing",POWER(Upgrades!$U$16,H380),1)*IF(Upgrades!$T$17="Microlensing",POWER(Upgrades!$U$17,I380),1)*IF(Upgrades!$T$18="Microlensing",POWER(Upgrades!$U$18,J380),1)*IF(Upgrades!$T$19="Microlensing",POWER(Upgrades!$U$19,K380),1)*IF(Upgrades!$T$20="Microlensing",POWER(Upgrades!$U$20,L380),1)*IF(Upgrades!$T$21="Microlensing",POWER(Upgrades!$U$21,M380),1))+(IF(H380=0,0,(Upgrades!$J$16+H380*Upgrades!$K$16)*POWER(Upgrades!$L$16,H380)))*(IF(Upgrades!$T$13="Roche Lobe Overflow",POWER(Upgrades!$U$13,E380),1)*IF(Upgrades!$T$14="Roche Lobe Overflow",POWER(Upgrades!$U$14,F380),1)*IF(Upgrades!$T$15="Roche Lobe Overflow",POWER(Upgrades!$U$15,G380),1)*IF(Upgrades!$T$17="Roche Lobe Overflow",POWER(Upgrades!$U$17,I380),1)*IF(Upgrades!$T$18="Roche Lobe Overflow",POWER(Upgrades!$U$18,J380),1)*IF(Upgrades!$T$19="Roche Lobe Overflow",POWER(Upgrades!$U$19,K380),1)*IF(Upgrades!$T$20="Roche Lobe Overflow",POWER(Upgrades!$U$20,L380),1)*IF(Upgrades!$T$21="Roche Lobe Overflow",POWER(Upgrades!$U$21,M380),1))+(IF(I380=0,0,(Upgrades!$J$17+I380*Upgrades!$K$17)*POWER(Upgrades!$L$17,I380)))*(IF(Upgrades!$T$13="Brown Dwarf",POWER(Upgrades!$U$13,E380),1)*IF(Upgrades!$T$14="Brown Dwarf",POWER(Upgrades!$U$14,F380),1)*IF(Upgrades!$T$15="Brown Dwarf",POWER(Upgrades!$U$15,G380),1)*IF(Upgrades!$T$16="Brown Dwarf",POWER(Upgrades!$U$16,H380),1)*IF(Upgrades!$T$18="Brown Dwarf",POWER(Upgrades!$U$18,J380),1)*IF(Upgrades!$T$19="Brown Dwarf",POWER(Upgrades!$U$19,K380),1)*IF(Upgrades!$T$20="Brown Dwarf",POWER(Upgrades!$U$20,L380),1)*IF(Upgrades!$T$21="Brown Dwarf",POWER(Upgrades!$U$21,M380),1))+(IF(J380=0,0,(Upgrades!$J$18+J380*Upgrades!$K$18)*POWER(Upgrades!$L$18,J380)))*(IF(Upgrades!$T$13="Binary Partner",POWER(Upgrades!$U$13,E380),1)*IF(Upgrades!$T$14="Binary Partner",POWER(Upgrades!$U$14,F380),1)*IF(Upgrades!$T$15="Binary Partner",POWER(Upgrades!$U$15,G380),1)*IF(Upgrades!$T$16="Binary Partner",POWER(Upgrades!$U$16,H380),1)*IF(Upgrades!$T$17="Binary Partner",POWER(Upgrades!$U$17,I380),1)*IF(Upgrades!$T$19="Binary Partner",POWER(Upgrades!$U$19,K380),1)*IF(Upgrades!$T$20="Binary Partner",POWER(Upgrades!$U$20,L380),1)*IF(Upgrades!$T$21="Binary Partner",POWER(Upgrades!$U$21,M380),1))+(IF(K380=0,0,(Upgrades!$J$19+K380*Upgrades!$K$19)*POWER(Upgrades!$L$19,K380)))*(IF(Upgrades!$T$13="Peculiar Velocity",POWER(Upgrades!$U$13,E380),1)*IF(Upgrades!$T$14="Peculiar Velocity",POWER(Upgrades!$U$14,F380),1)*IF(Upgrades!$T$15="Peculiar Velocity",POWER(Upgrades!$U$15,G380),1)*IF(Upgrades!$T$16="Peculiar Velocity",POWER(Upgrades!$U$16,H380),1)*IF(Upgrades!$T$17="Peculiar Velocity",POWER(Upgrades!$U$17,I380),1)*IF(Upgrades!$T$18="Peculiar Velocity",POWER(Upgrades!$U$18,J380),1)*IF(Upgrades!$T$20="Peculiar Velocity",POWER(Upgrades!$U$20,L380),1)*IF(Upgrades!$T$21="Peculiar Velocity",POWER(Upgrades!$U$21,M380),1))+(IF(L380=0,0,(Upgrades!$J$20+L380*Upgrades!$K$20)*POWER(Upgrades!$L$20,L380)))*(IF(Upgrades!$T$13="Open Cluster",POWER(Upgrades!$U$13,E380),1)*IF(Upgrades!$T$14="Open Cluster",POWER(Upgrades!$U$14,F380),1)*IF(Upgrades!$T$15="Open Cluster",POWER(Upgrades!$U$15,G380),1)*IF(Upgrades!$T$16="Open Cluster",POWER(Upgrades!$U$16,H380),1)*IF(Upgrades!$T$17="Open Cluster",POWER(Upgrades!$U$17,I380),1)*IF(Upgrades!$T$18="Open Cluster",POWER(Upgrades!$U$18,J380),1)*IF(Upgrades!$T$19="Open Cluster",POWER(Upgrades!$U$19,K380),1)*IF(Upgrades!$T$21="Open Cluster",POWER(Upgrades!$U$21,M380),1))+(IF(M380=0,0,(Upgrades!$J$21+M380*Upgrades!$K$21)*POWER(Upgrades!$L$21,M380)))*(IF(Upgrades!$T$13="Moving Group",POWER(Upgrades!$U$13,E380),1)*IF(Upgrades!$T$14="Moving Group",POWER(Upgrades!$U$14,F380),1)*IF(Upgrades!$T$15="Moving Group",POWER(Upgrades!$U$15,G380),1)*IF(Upgrades!$T$16="Moving Group",POWER(Upgrades!$U$16,H380),1)*IF(Upgrades!$T$17="Moving Group",POWER(Upgrades!$U$17,I380),1)*IF(Upgrades!$T$18="Moving Group",POWER(Upgrades!$U$18,J380),1)*IF(Upgrades!$T$19="Moving Group",POWER(Upgrades!$U$19,K380),1)*IF(Upgrades!$T$20="Moving Group",POWER(Upgrades!$U$20,L380),1)))*POWER(Upgrades!$Q$13,E380)*POWER(Upgrades!$Q$14,F380)*POWER(Upgrades!$Q$15,G380)*POWER(Upgrades!$Q$16,H380)*POWER(Upgrades!$Q$17,I380)*POWER(Upgrades!$Q$18,J380)*POWER(Upgrades!$Q$19,K380)*POWER(Upgrades!$Q$20,L380)*POWER(Upgrades!$Q$21,M380)*$G$6+$D$6</f>
        <v/>
      </c>
      <c r="P380" s="28">
        <f>((IF(E380=0,0,(Upgrades!$G$13+E380*Upgrades!$H$13)*POWER(Upgrades!$I$13,E380)))*(IF(Upgrades!$T$14="Stellar Kinematics",POWER(Upgrades!$U$14,F380),1)*IF(Upgrades!$T$15="Stellar Kinematics",POWER(Upgrades!$U$15,G380),1)*IF(Upgrades!$T$16="Stellar Kinematics",POWER(Upgrades!$U$16,H380),1)*IF(Upgrades!$T$17="Stellar Kinematics",POWER(Upgrades!$U$17,I380),1)*IF(Upgrades!$T$18="Stellar Kinematics",POWER(Upgrades!$U$18,J380),1)*IF(Upgrades!$T$19="Stellar Kinematics",POWER(Upgrades!$U$19,K380),1)*IF(Upgrades!$T$20="Stellar Kinematics",POWER(Upgrades!$U$20,L380),1)*IF(Upgrades!$T$21="Stellar Kinematics",POWER(Upgrades!$U$21,M380),1))+(IF(F380=0,0,(Upgrades!$G$14+F380*Upgrades!$H$14)*POWER(Upgrades!$I$14,F380)))*(IF(Upgrades!$T$13="Local Bubble",POWER(Upgrades!$U$13,E380),1)*IF(Upgrades!$T$15="Local Bubble",POWER(Upgrades!$U$15,G380),1)*IF(Upgrades!$T$16="Local Bubble",POWER(Upgrades!$U$16,H380),1)*IF(Upgrades!$T$17="Local Bubble",POWER(Upgrades!$U$17,I380),1)*IF(Upgrades!$T$18="Local Bubble",POWER(Upgrades!$U$18,J380),1)*IF(Upgrades!$T$19="Local Bubble",POWER(Upgrades!$U$19,K380),1)*IF(Upgrades!$T$20="Local Bubble",POWER(Upgrades!$U$20,L380),1)*IF(Upgrades!$T$21="Local Bubble",POWER(Upgrades!$U$21,M380),1))+(IF(G380=0,0,(Upgrades!$G$15+G380*Upgrades!$H$15)*POWER(Upgrades!$I$15,G380)))*(IF(Upgrades!$T$13="Microlensing",POWER(Upgrades!$U$13,E380),1)*IF(Upgrades!$T$14="Microlensing",POWER(Upgrades!$U$14,F380),1)*IF(Upgrades!$T$16="Microlensing",POWER(Upgrades!$U$16,H380),1)*IF(Upgrades!$T$17="Microlensing",POWER(Upgrades!$U$17,I380),1)*IF(Upgrades!$T$18="Microlensing",POWER(Upgrades!$U$18,J380),1)*IF(Upgrades!$T$19="Microlensing",POWER(Upgrades!$U$19,K380),1)*IF(Upgrades!$T$20="Microlensing",POWER(Upgrades!$U$20,L380),1)*IF(Upgrades!$T$21="Microlensing",POWER(Upgrades!$U$21,M380),1))+(IF(H380=0,0,(Upgrades!$G$16+H380*Upgrades!$H$16)*POWER(Upgrades!$I$16,H380)))*(IF(Upgrades!$T$13="Roche Lobe Overflow",POWER(Upgrades!$U$13,E380),1)*IF(Upgrades!$T$14="Roche Lobe Overflow",POWER(Upgrades!$U$14,F380),1)*IF(Upgrades!$T$15="Roche Lobe Overflow",POWER(Upgrades!$U$15,G380),1)*IF(Upgrades!$T$17="Roche Lobe Overflow",POWER(Upgrades!$U$17,I380),1)*IF(Upgrades!$T$18="Roche Lobe Overflow",POWER(Upgrades!$U$18,J380),1)*IF(Upgrades!$T$19="Roche Lobe Overflow",POWER(Upgrades!$U$19,K380),1)*IF(Upgrades!$T$20="Roche Lobe Overflow",POWER(Upgrades!$U$20,L380),1)*IF(Upgrades!$T$21="Roche Lobe Overflow",POWER(Upgrades!$U$21,M380),1))+(IF(I380=0,0,(Upgrades!$G$17+I380*Upgrades!$H$17)*POWER(Upgrades!$I$17,I380)))*(IF(Upgrades!$T$13="Brown Dwarf",POWER(Upgrades!$U$13,E380),1)*IF(Upgrades!$T$14="Brown Dwarf",POWER(Upgrades!$U$14,F380),1)*IF(Upgrades!$T$15="Brown Dwarf",POWER(Upgrades!$U$15,G380),1)*IF(Upgrades!$T$16="Brown Dwarf",POWER(Upgrades!$U$16,H380),1)*IF(Upgrades!$T$18="Brown Dwarf",POWER(Upgrades!$U$18,J380),1)*IF(Upgrades!$T$19="Brown Dwarf",POWER(Upgrades!$U$19,K380),1)*IF(Upgrades!$T$20="Brown Dwarf",POWER(Upgrades!$U$20,L380),1)*IF(Upgrades!$T$21="Brown Dwarf",POWER(Upgrades!$U$21,M380),1))+(IF(J380=0,0,(Upgrades!$G$18+J380*Upgrades!$H$18)*POWER(Upgrades!$I$18,J380)))*(IF(Upgrades!$T$13="Binary Partner",POWER(Upgrades!$U$13,E380),1)*IF(Upgrades!$T$14="Binary Partner",POWER(Upgrades!$U$14,F380),1)*IF(Upgrades!$T$15="Binary Partner",POWER(Upgrades!$U$15,G380),1)*IF(Upgrades!$T$16="Binary Partner",POWER(Upgrades!$U$16,H380),1)*IF(Upgrades!$T$17="Binary Partner",POWER(Upgrades!$U$17,I380),1)*IF(Upgrades!$T$19="Binary Partner",POWER(Upgrades!$U$19,K380),1)*IF(Upgrades!$T$20="Binary Partner",POWER(Upgrades!$U$20,L380),1)*IF(Upgrades!$T$21="Binary Partner",POWER(Upgrades!$U$21,M380),1))+(IF(K380=0,0,(Upgrades!$G$19+K380*Upgrades!$H$19)*POWER(Upgrades!$I$19,K380)))*(IF(Upgrades!$T$13="Peculiar Velocity",POWER(Upgrades!$U$13,E380),1)*IF(Upgrades!$T$14="Peculiar Velocity",POWER(Upgrades!$U$14,F380),1)*IF(Upgrades!$T$15="Peculiar Velocity",POWER(Upgrades!$U$15,G380),1)*IF(Upgrades!$T$16="Peculiar Velocity",POWER(Upgrades!$U$16,H380),1)*IF(Upgrades!$T$17="Peculiar Velocity",POWER(Upgrades!$U$17,I380),1)*IF(Upgrades!$T$18="Peculiar Velocity",POWER(Upgrades!$U$18,J380),1)*IF(Upgrades!$T$20="Peculiar Velocity",POWER(Upgrades!$U$20,L380),1)*IF(Upgrades!$T$21="Peculiar Velocity",POWER(Upgrades!$U$21,M380),1))+(IF(L380=0,0,(Upgrades!$G$20+L380*Upgrades!$H$20)*POWER(Upgrades!$I$20,L380)))*(IF(Upgrades!$T$13="Open Cluster",POWER(Upgrades!$U$13,E380),1)*IF(Upgrades!$T$14="Open Cluster",POWER(Upgrades!$U$14,F380),1)*IF(Upgrades!$T$15="Open Cluster",POWER(Upgrades!$U$15,G380),1)*IF(Upgrades!$T$16="Open Cluster",POWER(Upgrades!$U$16,H380),1)*IF(Upgrades!$T$17="Open Cluster",POWER(Upgrades!$U$17,I380),1)*IF(Upgrades!$T$18="Open Cluster",POWER(Upgrades!$U$18,J380),1)*IF(Upgrades!$T$19="Open Cluster",POWER(Upgrades!$U$19,K380),1)*IF(Upgrades!$T$21="Open Cluster",POWER(Upgrades!$U$21,M380),1))+(IF(M380=0,0,(Upgrades!$G$21+M380*Upgrades!$H$21)*POWER(Upgrades!$I$21,M380)))*(IF(Upgrades!$T$13="Moving Group",POWER(Upgrades!$U$13,E380),1)*IF(Upgrades!$T$14="Moving Group",POWER(Upgrades!$U$14,F380),1)*IF(Upgrades!$T$15="Moving Group",POWER(Upgrades!$U$15,G380),1)*IF(Upgrades!$T$16="Moving Group",POWER(Upgrades!$U$16,H380),1)*IF(Upgrades!$T$17="Moving Group",POWER(Upgrades!$U$17,I380),1)*IF(Upgrades!$T$18="Moving Group",POWER(Upgrades!$U$18,J380),1)*IF(Upgrades!$T$19="Moving Group",POWER(Upgrades!$U$19,K380),1)*IF(Upgrades!$T$20="Moving Group",POWER(Upgrades!$U$20,L380),1)))*POWER(Upgrades!$P$13,E380)*POWER(Upgrades!$P$14,F380)*POWER(Upgrades!$P$15,G380)*POWER(Upgrades!$P$16,H380)*POWER(Upgrades!$P$17,I380)*POWER(Upgrades!$P$18,J380)*POWER(Upgrades!$P$19,K380)*POWER(Upgrades!$P$20,L380)*POWER(Upgrades!$P$21,M380)*$F$6+$C$6</f>
        <v/>
      </c>
      <c r="Q380" s="28">
        <f>((IF(E380=0,0,(Upgrades!$M$13+E380*Upgrades!$N$13)*POWER(Upgrades!$O$13,E380)))*(IF(Upgrades!$T$14="Stellar Kinematics",POWER(Upgrades!$U$14,F380),1)*IF(Upgrades!$T$15="Stellar Kinematics",POWER(Upgrades!$U$15,G380),1)*IF(Upgrades!$T$16="Stellar Kinematics",POWER(Upgrades!$U$16,H380),1)*IF(Upgrades!$T$17="Stellar Kinematics",POWER(Upgrades!$U$17,I380),1)*IF(Upgrades!$T$18="Stellar Kinematics",POWER(Upgrades!$U$18,J380),1)*IF(Upgrades!$T$19="Stellar Kinematics",POWER(Upgrades!$U$19,K380),1)*IF(Upgrades!$T$20="Stellar Kinematics",POWER(Upgrades!$U$20,L380),1)*IF(Upgrades!$T$21="Stellar Kinematics",POWER(Upgrades!$U$21,M380),1))+(IF(F380=0,0,(Upgrades!$M$14+F380*Upgrades!$N$14)*POWER(Upgrades!$O$14,F380)))*(IF(Upgrades!$T$13="Local Bubble",POWER(Upgrades!$U$13,E380),1)*IF(Upgrades!$T$15="Local Bubble",POWER(Upgrades!$U$15,G380),1)*IF(Upgrades!$T$16="Local Bubble",POWER(Upgrades!$U$16,H380),1)*IF(Upgrades!$T$17="Local Bubble",POWER(Upgrades!$U$17,I380),1)*IF(Upgrades!$T$18="Local Bubble",POWER(Upgrades!$U$18,J380),1)*IF(Upgrades!$T$19="Local Bubble",POWER(Upgrades!$U$19,K380),1)*IF(Upgrades!$T$20="Local Bubble",POWER(Upgrades!$U$20,L380),1)*IF(Upgrades!$T$21="Local Bubble",POWER(Upgrades!$U$21,M380),1))+(IF(G380=0,0,(Upgrades!$M$15+G380*Upgrades!$N$15)*POWER(Upgrades!$O$15,G380)))*(IF(Upgrades!$T$13="Microlensing",POWER(Upgrades!$U$13,E380),1)*IF(Upgrades!$T$14="Microlensing",POWER(Upgrades!$U$14,F380),1)*IF(Upgrades!$T$16="Microlensing",POWER(Upgrades!$U$16,H380),1)*IF(Upgrades!$T$17="Microlensing",POWER(Upgrades!$U$17,I380),1)*IF(Upgrades!$T$18="Microlensing",POWER(Upgrades!$U$18,J380),1)*IF(Upgrades!$T$19="Microlensing",POWER(Upgrades!$U$19,K380),1)*IF(Upgrades!$T$20="Microlensing",POWER(Upgrades!$U$20,L380),1)*IF(Upgrades!$T$21="Microlensing",POWER(Upgrades!$U$21,M380),1))+(IF(H380=0,0,(Upgrades!$M$16+H380*Upgrades!$N$16)*POWER(Upgrades!$O$16,H380)))*(IF(Upgrades!$T$13="Roche Lobe Overflow",POWER(Upgrades!$U$13,E380),1)*IF(Upgrades!$T$14="Roche Lobe Overflow",POWER(Upgrades!$U$14,F380),1)*IF(Upgrades!$T$15="Roche Lobe Overflow",POWER(Upgrades!$U$15,G380),1)*IF(Upgrades!$T$17="Roche Lobe Overflow",POWER(Upgrades!$U$17,I380),1)*IF(Upgrades!$T$18="Roche Lobe Overflow",POWER(Upgrades!$U$18,J380),1)*IF(Upgrades!$T$19="Roche Lobe Overflow",POWER(Upgrades!$U$19,K380),1)*IF(Upgrades!$T$20="Roche Lobe Overflow",POWER(Upgrades!$U$20,L380),1)*IF(Upgrades!$T$21="Roche Lobe Overflow",POWER(Upgrades!$U$21,M380),1))+(IF(I380=0,0,(Upgrades!$M$17+I380*Upgrades!$N$17)*POWER(Upgrades!$O$17,I380)))*(IF(Upgrades!$T$13="Brown Dwarf",POWER(Upgrades!$U$13,E380),1)*IF(Upgrades!$T$14="Brown Dwarf",POWER(Upgrades!$U$14,F380),1)*IF(Upgrades!$T$15="Brown Dwarf",POWER(Upgrades!$U$15,G380),1)*IF(Upgrades!$T$16="Brown Dwarf",POWER(Upgrades!$U$16,H380),1)*IF(Upgrades!$T$18="Brown Dwarf",POWER(Upgrades!$U$18,J380),1)*IF(Upgrades!$T$19="Brown Dwarf",POWER(Upgrades!$U$19,K380),1)*IF(Upgrades!$T$20="Brown Dwarf",POWER(Upgrades!$U$20,L380),1)*IF(Upgrades!$T$21="Brown Dwarf",POWER(Upgrades!$U$21,M380),1))+(IF(J380=0,0,(Upgrades!$M$18+J380*Upgrades!$N$18)*POWER(Upgrades!$O$18,J380)))*(IF(Upgrades!$T$13="Binary Partner",POWER(Upgrades!$U$13,E380),1)*IF(Upgrades!$T$14="Binary Partner",POWER(Upgrades!$U$14,F380),1)*IF(Upgrades!$T$15="Binary Partner",POWER(Upgrades!$U$15,G380),1)*IF(Upgrades!$T$16="Binary Partner",POWER(Upgrades!$U$16,H380),1)*IF(Upgrades!$T$17="Binary Partner",POWER(Upgrades!$U$17,I380),1)*IF(Upgrades!$T$19="Binary Partner",POWER(Upgrades!$U$19,K380),1)*IF(Upgrades!$T$20="Binary Partner",POWER(Upgrades!$U$20,L380),1)*IF(Upgrades!$T$21="Binary Partner",POWER(Upgrades!$U$21,M380),1))+(IF(K380=0,0,(Upgrades!$M$19+K380*Upgrades!$N$19)*POWER(Upgrades!$O$19,K380)))*(IF(Upgrades!$T$13="Peculiar Velocity",POWER(Upgrades!$U$13,E380),1)*IF(Upgrades!$T$14="Peculiar Velocity",POWER(Upgrades!$U$14,F380),1)*IF(Upgrades!$T$15="Peculiar Velocity",POWER(Upgrades!$U$15,G380),1)*IF(Upgrades!$T$16="Peculiar Velocity",POWER(Upgrades!$U$16,H380),1)*IF(Upgrades!$T$17="Peculiar Velocity",POWER(Upgrades!$U$17,I380),1)*IF(Upgrades!$T$18="Peculiar Velocity",POWER(Upgrades!$U$18,J380),1)*IF(Upgrades!$T$20="Peculiar Velocity",POWER(Upgrades!$U$20,L380),1)*IF(Upgrades!$T$21="Peculiar Velocity",POWER(Upgrades!$U$21,M380),1))+(IF(L380=0,0,(Upgrades!$M$20+L380*Upgrades!$N$20)*POWER(Upgrades!$O$20,L380)))*(IF(Upgrades!$T$13="Open Cluster",POWER(Upgrades!$U$13,E380),1)*IF(Upgrades!$T$14="Open Cluster",POWER(Upgrades!$U$14,F380),1)*IF(Upgrades!$T$15="Open Cluster",POWER(Upgrades!$U$15,G380),1)*IF(Upgrades!$T$16="Open Cluster",POWER(Upgrades!$U$16,H380),1)*IF(Upgrades!$T$17="Open Cluster",POWER(Upgrades!$U$17,I380),1)*IF(Upgrades!$T$18="Open Cluster",POWER(Upgrades!$U$18,J380),1)*IF(Upgrades!$T$19="Open Cluster",POWER(Upgrades!$U$19,K380),1)*IF(Upgrades!$T$21="Open Cluster",POWER(Upgrades!$U$21,M380),1))+(IF(M380=0,0,(Upgrades!$M$21+M380*Upgrades!$N$21)*POWER(Upgrades!$O$21,M380)))*(IF(Upgrades!$T$13="Moving Group",POWER(Upgrades!$U$13,E380),1)*IF(Upgrades!$T$14="Moving Group",POWER(Upgrades!$U$14,F380),1)*IF(Upgrades!$T$15="Moving Group",POWER(Upgrades!$U$15,G380),1)*IF(Upgrades!$T$16="Moving Group",POWER(Upgrades!$U$16,H380),1)*IF(Upgrades!$T$17="Moving Group",POWER(Upgrades!$U$17,I380),1)*IF(Upgrades!$T$18="Moving Group",POWER(Upgrades!$U$18,J380),1)*IF(Upgrades!$T$19="Moving Group",POWER(Upgrades!$U$19,K380),1)*IF(Upgrades!$T$20="Moving Group",POWER(Upgrades!$U$20,L380),1)))*POWER(Upgrades!$R$13,E380)*POWER(Upgrades!$R$14,F380)*POWER(Upgrades!$R$15,G380)*POWER(Upgrades!$R$16,H380)*POWER(Upgrades!$R$17,I380)*POWER(Upgrades!$R$18,J380)*POWER(Upgrades!$R$19,K380)*POWER(Upgrades!$R$20,L380)*POWER(Upgrades!$R$21,M380)*$H$6+$E$6</f>
        <v/>
      </c>
      <c r="R380" s="27">
        <f>IF(N380=1,0,O380*Parameters!$B$10/60*Parameters!$B$11*10)</f>
        <v/>
      </c>
      <c r="S380" s="27">
        <f>IF(N380=1,0,Q380*O380*10)</f>
        <v/>
      </c>
      <c r="T380" s="27">
        <f>IF(N380=1,0,R380+S380+P380*10)</f>
        <v/>
      </c>
      <c r="U380" s="33">
        <f>BE380</f>
        <v/>
      </c>
      <c r="V380" s="22">
        <f>IF(U380="",0,IF(U380="transition",0,IF(U380="SK",AK380,IF(U380="LB",AL380,IF(U380="ML",AM380,IF(U380="RLO",AN380,IF(U380="BD",AO380,IF(U380="BiP",AP380,IF(U380="PV",AQ380,IF(U380="OC",AR380,IF(U380="MG",AS380,0))))))))))</f>
        <v/>
      </c>
      <c r="W380" s="27">
        <f>IF(U380="BiP",Upgrades!$F$18,IF(U380="PV",Upgrades!$F$19,IF(U380="OC",Upgrades!$F$20,IF(U380="MG",Upgrades!$F$21,IF(U380="transition",-Parameters!$B$18*Parameters!$B$19,0)))))</f>
        <v/>
      </c>
      <c r="X380" s="22">
        <f>C380+T380-V380</f>
        <v/>
      </c>
      <c r="Y380" s="30">
        <f>O380*Parameters!$B$10/60*Parameters!$B$11+Q380*O380+P380</f>
        <v/>
      </c>
      <c r="Z380" s="34">
        <f>IF(U380="transition","→ Tier 3 (Galactic Arm)",IF(U380="MG","Moving Group — pocket drifts together",IF(U380="OC","Open Cluster acquired",IF(U380="PV","Peculiar Velocity — passive multiplier active",IF(U380="BiP","Binary Partner — pair bond formed",IF(AND(AU380=1,N380=0,AT380&lt;&gt;1),"Cohesion ready (waiting on completionists)","")))))) </f>
        <v/>
      </c>
      <c r="AA380" s="27">
        <f>(IF(E380=0,0,(Upgrades!$G$13+E380*Upgrades!$H$13)*POWER(Upgrades!$I$13,E380)))*(IF(Upgrades!$T$14="Stellar Kinematics",POWER(Upgrades!$U$14,F380),1)*IF(Upgrades!$T$15="Stellar Kinematics",POWER(Upgrades!$U$15,G380),1)*IF(Upgrades!$T$16="Stellar Kinematics",POWER(Upgrades!$U$16,H380),1)*IF(Upgrades!$T$17="Stellar Kinematics",POWER(Upgrades!$U$17,I380),1)*IF(Upgrades!$T$18="Stellar Kinematics",POWER(Upgrades!$U$18,J380),1)*IF(Upgrades!$T$19="Stellar Kinematics",POWER(Upgrades!$U$19,K380),1)*IF(Upgrades!$T$20="Stellar Kinematics",POWER(Upgrades!$U$20,L380),1)*IF(Upgrades!$T$21="Stellar Kinematics",POWER(Upgrades!$U$21,M380),1))*POWER(Upgrades!$P$13,E380)*POWER(Upgrades!$P$14,F380)*POWER(Upgrades!$P$15,G380)*POWER(Upgrades!$P$16,H380)*POWER(Upgrades!$P$17,I380)*POWER(Upgrades!$P$18,J380)*POWER(Upgrades!$P$19,K380)*POWER(Upgrades!$P$20,L380)*POWER(Upgrades!$P$21,M380)*$F$6*60</f>
        <v/>
      </c>
      <c r="AB380" s="27">
        <f>(IF(F380=0,0,(Upgrades!$G$14+F380*Upgrades!$H$14)*POWER(Upgrades!$I$14,F380)))*(IF(Upgrades!$T$13="Local Bubble",POWER(Upgrades!$U$13,E380),1)*IF(Upgrades!$T$15="Local Bubble",POWER(Upgrades!$U$15,G380),1)*IF(Upgrades!$T$16="Local Bubble",POWER(Upgrades!$U$16,H380),1)*IF(Upgrades!$T$17="Local Bubble",POWER(Upgrades!$U$17,I380),1)*IF(Upgrades!$T$18="Local Bubble",POWER(Upgrades!$U$18,J380),1)*IF(Upgrades!$T$19="Local Bubble",POWER(Upgrades!$U$19,K380),1)*IF(Upgrades!$T$20="Local Bubble",POWER(Upgrades!$U$20,L380),1)*IF(Upgrades!$T$21="Local Bubble",POWER(Upgrades!$U$21,M380),1))*POWER(Upgrades!$P$13,E380)*POWER(Upgrades!$P$14,F380)*POWER(Upgrades!$P$15,G380)*POWER(Upgrades!$P$16,H380)*POWER(Upgrades!$P$17,I380)*POWER(Upgrades!$P$18,J380)*POWER(Upgrades!$P$19,K380)*POWER(Upgrades!$P$20,L380)*POWER(Upgrades!$P$21,M380)*$F$6*60</f>
        <v/>
      </c>
      <c r="AC380" s="27">
        <f>(IF(G380=0,0,(Upgrades!$J$15+G380*Upgrades!$K$15)*POWER(Upgrades!$L$15,G380)))*(IF(Upgrades!$T$13="Microlensing",POWER(Upgrades!$U$13,E380),1)*IF(Upgrades!$T$14="Microlensing",POWER(Upgrades!$U$14,F380),1)*IF(Upgrades!$T$16="Microlensing",POWER(Upgrades!$U$16,H380),1)*IF(Upgrades!$T$17="Microlensing",POWER(Upgrades!$U$17,I380),1)*IF(Upgrades!$T$18="Microlensing",POWER(Upgrades!$U$18,J380),1)*IF(Upgrades!$T$19="Microlensing",POWER(Upgrades!$U$19,K380),1)*IF(Upgrades!$T$20="Microlensing",POWER(Upgrades!$U$20,L380),1)*IF(Upgrades!$T$21="Microlensing",POWER(Upgrades!$U$21,M380),1))*POWER(Upgrades!$Q$13,E380)*POWER(Upgrades!$Q$14,F380)*POWER(Upgrades!$Q$15,G380)*POWER(Upgrades!$Q$16,H380)*POWER(Upgrades!$Q$17,I380)*POWER(Upgrades!$Q$18,J380)*POWER(Upgrades!$Q$19,K380)*POWER(Upgrades!$Q$20,L380)*POWER(Upgrades!$Q$21,M380)*$G$6*(Parameters!$B$10*Parameters!$B$11+Q380*60)</f>
        <v/>
      </c>
      <c r="AD380" s="27">
        <f>(IF(H380=0,0,(Upgrades!$M$16+H380*Upgrades!$N$16)*POWER(Upgrades!$O$16,H380)))*(IF(Upgrades!$T$13="Roche Lobe Overflow",POWER(Upgrades!$U$13,E380),1)*IF(Upgrades!$T$14="Roche Lobe Overflow",POWER(Upgrades!$U$14,F380),1)*IF(Upgrades!$T$15="Roche Lobe Overflow",POWER(Upgrades!$U$15,G380),1)*IF(Upgrades!$T$17="Roche Lobe Overflow",POWER(Upgrades!$U$17,I380),1)*IF(Upgrades!$T$18="Roche Lobe Overflow",POWER(Upgrades!$U$18,J380),1)*IF(Upgrades!$T$19="Roche Lobe Overflow",POWER(Upgrades!$U$19,K380),1)*IF(Upgrades!$T$20="Roche Lobe Overflow",POWER(Upgrades!$U$20,L380),1)*IF(Upgrades!$T$21="Roche Lobe Overflow",POWER(Upgrades!$U$21,M380),1))*POWER(Upgrades!$R$13,E380)*POWER(Upgrades!$R$14,F380)*POWER(Upgrades!$R$15,G380)*POWER(Upgrades!$R$16,H380)*POWER(Upgrades!$R$17,I380)*POWER(Upgrades!$R$18,J380)*POWER(Upgrades!$R$19,K380)*POWER(Upgrades!$R$20,L380)*POWER(Upgrades!$R$21,M380)*$H$6*O380*60</f>
        <v/>
      </c>
      <c r="AE380" s="27">
        <f>(IF(I380=0,0,(Upgrades!$G$17+I380*Upgrades!$H$17)*POWER(Upgrades!$I$17,I380)))*(IF(Upgrades!$T$13="Brown Dwarf",POWER(Upgrades!$U$13,E380),1)*IF(Upgrades!$T$14="Brown Dwarf",POWER(Upgrades!$U$14,F380),1)*IF(Upgrades!$T$15="Brown Dwarf",POWER(Upgrades!$U$15,G380),1)*IF(Upgrades!$T$16="Brown Dwarf",POWER(Upgrades!$U$16,H380),1)*IF(Upgrades!$T$18="Brown Dwarf",POWER(Upgrades!$U$18,J380),1)*IF(Upgrades!$T$19="Brown Dwarf",POWER(Upgrades!$U$19,K380),1)*IF(Upgrades!$T$20="Brown Dwarf",POWER(Upgrades!$U$20,L380),1)*IF(Upgrades!$T$21="Brown Dwarf",POWER(Upgrades!$U$21,M380),1))*POWER(Upgrades!$P$13,E380)*POWER(Upgrades!$P$14,F380)*POWER(Upgrades!$P$15,G380)*POWER(Upgrades!$P$16,H380)*POWER(Upgrades!$P$17,I380)*POWER(Upgrades!$P$18,J380)*POWER(Upgrades!$P$19,K380)*POWER(Upgrades!$P$20,L380)*POWER(Upgrades!$P$21,M380)*$F$6*60</f>
        <v/>
      </c>
      <c r="AF380" s="27" t="n">
        <v>0</v>
      </c>
      <c r="AG380" s="27" t="n">
        <v>0</v>
      </c>
      <c r="AH380" s="27" t="n">
        <v>0</v>
      </c>
      <c r="AI380" s="27">
        <f>(IF(M380=0,0,(Upgrades!$G$21+M380*Upgrades!$H$21)*POWER(Upgrades!$I$21,M380)))*(IF(Upgrades!$T$13="Moving Group",POWER(Upgrades!$U$13,E380),1)*IF(Upgrades!$T$14="Moving Group",POWER(Upgrades!$U$14,F380),1)*IF(Upgrades!$T$15="Moving Group",POWER(Upgrades!$U$15,G380),1)*IF(Upgrades!$T$16="Moving Group",POWER(Upgrades!$U$16,H380),1)*IF(Upgrades!$T$17="Moving Group",POWER(Upgrades!$U$17,I380),1)*IF(Upgrades!$T$18="Moving Group",POWER(Upgrades!$U$18,J380),1)*IF(Upgrades!$T$19="Moving Group",POWER(Upgrades!$U$19,K380),1)*IF(Upgrades!$T$20="Moving Group",POWER(Upgrades!$U$20,L380),1))*POWER(Upgrades!$P$13,E380)*POWER(Upgrades!$P$14,F380)*POWER(Upgrades!$P$15,G380)*POWER(Upgrades!$P$16,H380)*POWER(Upgrades!$P$17,I380)*POWER(Upgrades!$P$18,J380)*POWER(Upgrades!$P$19,K380)*POWER(Upgrades!$P$20,L380)*POWER(Upgrades!$P$21,M380)*$F$6*60</f>
        <v/>
      </c>
      <c r="AJ380" s="27">
        <f>$C$6*60</f>
        <v/>
      </c>
      <c r="AK380" s="22">
        <f>IF(E380&gt;=Upgrades!$E$13,"",Upgrades!$C$13*POWER(Upgrades!$D$13,E380))</f>
        <v/>
      </c>
      <c r="AL380" s="22">
        <f>IF(F380&gt;=Upgrades!$E$14,"",Upgrades!$C$14*POWER(Upgrades!$D$14,F380))</f>
        <v/>
      </c>
      <c r="AM380" s="22">
        <f>IF(G380&gt;=Upgrades!$E$15,"",Upgrades!$C$15*POWER(Upgrades!$D$15,G380))</f>
        <v/>
      </c>
      <c r="AN380" s="22">
        <f>IF(H380&gt;=Upgrades!$E$16,"",Upgrades!$C$16*POWER(Upgrades!$D$16,H380))</f>
        <v/>
      </c>
      <c r="AO380" s="22">
        <f>IF(I380&gt;=Upgrades!$E$17,"",Upgrades!$C$17*POWER(Upgrades!$D$17,I380))</f>
        <v/>
      </c>
      <c r="AP380" s="22">
        <f>IF(J380&gt;=Upgrades!$E$18,"",Upgrades!$C$18*POWER(Upgrades!$D$18,J380))</f>
        <v/>
      </c>
      <c r="AQ380" s="22">
        <f>IF(K380&gt;=Upgrades!$E$19,"",Upgrades!$C$19*POWER(Upgrades!$D$19,K380))</f>
        <v/>
      </c>
      <c r="AR380" s="22">
        <f>IF(L380&gt;=Upgrades!$E$20,"",Upgrades!$C$20*POWER(Upgrades!$D$20,L380))</f>
        <v/>
      </c>
      <c r="AS380" s="22">
        <f>IF(M380&gt;=Upgrades!$E$21,"",Upgrades!$C$21*POWER(Upgrades!$D$21,M380))</f>
        <v/>
      </c>
      <c r="AT380" s="26">
        <f>IF(AND(D380&gt;=Parameters!$B$18*Parameters!$B$19,(I380&gt;=Upgrades!$E$17)*(M380&gt;=Upgrades!$E$21)=1,N380=0),1,"")</f>
        <v/>
      </c>
      <c r="AU380" s="26">
        <f>IF(AND(D380&gt;=Parameters!$B$18*Parameters!$B$19,N380=0),1,"")</f>
        <v/>
      </c>
      <c r="AV380" s="22">
        <f>MIN(IF(ISNUMBER(AP380),AP380,9E15),IF(ISNUMBER(AQ380),AQ380,9E15),IF(ISNUMBER(AR380),AR380,9E15),IF(ISNUMBER(AS380),AS380,9E15))</f>
        <v/>
      </c>
      <c r="AW380" s="22">
        <f>MIN(IF(ISNUMBER(AK380),AK380,9E15),IF(ISNUMBER(AL380),AL380,9E15),IF(ISNUMBER(AM380),AM380,9E15),IF(ISNUMBER(AN380),AN380,9E15),IF(ISNUMBER(AO380),AO380,9E15))</f>
        <v/>
      </c>
      <c r="AX380" s="29">
        <f>IF(BD380&gt;Parameters!$B$21*(MAX(IF(AND(NOT(AND(AU380=1,AT380&lt;&gt;1)),ISNUMBER(AK380),AK380&lt;=(C380+T380)),AY380,0),IF(AND(NOT(AND(AU380=1,AT380&lt;&gt;1)),ISNUMBER(AL380),AL380&lt;=(C380+T380)),AZ380,0),IF(AND(NOT(AND(AU380=1,AT380&lt;&gt;1)),ISNUMBER(AM380),AM380&lt;=(C380+T380)),BA380,0),IF(AND(NOT(AND(AU380=1,AT380&lt;&gt;1)),ISNUMBER(AN380),AN380&lt;=(C380+T380)),BB380,0),IF(AND(ISNUMBER(AO380),AO380&lt;=(C380+T380)),BC380,0))),TRUE,FALSE)</f>
        <v/>
      </c>
      <c r="AY380" s="32">
        <f>IFERROR(Upgrades!$H$13*(POWER(Upgrades!$P$13,E380)*POWER(Upgrades!$P$14,F380)*POWER(Upgrades!$P$15,G380)*POWER(Upgrades!$P$16,H380)*POWER(Upgrades!$P$17,I380)*POWER(Upgrades!$P$18,J380)*POWER(Upgrades!$P$19,K380)*POWER(Upgrades!$P$20,L380)*POWER(Upgrades!$P$21,M380))*(IF(Upgrades!$T$14="Stellar Kinematics",POWER(Upgrades!$U$14,F380),1)*IF(Upgrades!$T$15="Stellar Kinematics",POWER(Upgrades!$U$15,G380),1)*IF(Upgrades!$T$16="Stellar Kinematics",POWER(Upgrades!$U$16,H380),1)*IF(Upgrades!$T$17="Stellar Kinematics",POWER(Upgrades!$U$17,I380),1)*IF(Upgrades!$T$18="Stellar Kinematics",POWER(Upgrades!$U$18,J380),1)*IF(Upgrades!$T$19="Stellar Kinematics",POWER(Upgrades!$U$19,K380),1)*IF(Upgrades!$T$20="Stellar Kinematics",POWER(Upgrades!$U$20,L380),1)*IF(Upgrades!$T$21="Stellar Kinematics",POWER(Upgrades!$U$21,M380),1))*$F$6/AK380,0)</f>
        <v/>
      </c>
      <c r="AZ380" s="32">
        <f>IFERROR(Upgrades!$H$14*(POWER(Upgrades!$P$13,E380)*POWER(Upgrades!$P$14,F380)*POWER(Upgrades!$P$15,G380)*POWER(Upgrades!$P$16,H380)*POWER(Upgrades!$P$17,I380)*POWER(Upgrades!$P$18,J380)*POWER(Upgrades!$P$19,K380)*POWER(Upgrades!$P$20,L380)*POWER(Upgrades!$P$21,M380))*(IF(Upgrades!$T$13="Local Bubble",POWER(Upgrades!$U$13,E380),1)*IF(Upgrades!$T$15="Local Bubble",POWER(Upgrades!$U$15,G380),1)*IF(Upgrades!$T$16="Local Bubble",POWER(Upgrades!$U$16,H380),1)*IF(Upgrades!$T$17="Local Bubble",POWER(Upgrades!$U$17,I380),1)*IF(Upgrades!$T$18="Local Bubble",POWER(Upgrades!$U$18,J380),1)*IF(Upgrades!$T$19="Local Bubble",POWER(Upgrades!$U$19,K380),1)*IF(Upgrades!$T$20="Local Bubble",POWER(Upgrades!$U$20,L380),1)*IF(Upgrades!$T$21="Local Bubble",POWER(Upgrades!$U$21,M380),1))*$F$6/AL380,0)</f>
        <v/>
      </c>
      <c r="BA380" s="32">
        <f>IFERROR(Upgrades!$K$15*(POWER(Upgrades!$Q$13,E380)*POWER(Upgrades!$Q$14,F380)*POWER(Upgrades!$Q$15,G380)*POWER(Upgrades!$Q$16,H380)*POWER(Upgrades!$Q$17,I380)*POWER(Upgrades!$Q$18,J380)*POWER(Upgrades!$Q$19,K380)*POWER(Upgrades!$Q$20,L380)*POWER(Upgrades!$Q$21,M380))*(IF(Upgrades!$T$13="Microlensing",POWER(Upgrades!$U$13,E380),1)*IF(Upgrades!$T$14="Microlensing",POWER(Upgrades!$U$14,F380),1)*IF(Upgrades!$T$16="Microlensing",POWER(Upgrades!$U$16,H380),1)*IF(Upgrades!$T$17="Microlensing",POWER(Upgrades!$U$17,I380),1)*IF(Upgrades!$T$18="Microlensing",POWER(Upgrades!$U$18,J380),1)*IF(Upgrades!$T$19="Microlensing",POWER(Upgrades!$U$19,K380),1)*IF(Upgrades!$T$20="Microlensing",POWER(Upgrades!$U$20,L380),1)*IF(Upgrades!$T$21="Microlensing",POWER(Upgrades!$U$21,M380),1))*$G$6*(Parameters!$B$10/60*Parameters!$B$11+Q380)/AM380,0)</f>
        <v/>
      </c>
      <c r="BB380" s="32">
        <f>IFERROR((Upgrades!$N$16*(POWER(Upgrades!$R$13,E380)*POWER(Upgrades!$R$14,F380)*POWER(Upgrades!$R$15,G380)*POWER(Upgrades!$R$16,H380)*POWER(Upgrades!$R$17,I380)*POWER(Upgrades!$R$18,J380)*POWER(Upgrades!$R$19,K380)*POWER(Upgrades!$R$20,L380)*POWER(Upgrades!$R$21,M380))*(IF(Upgrades!$T$13="Roche Lobe Overflow",POWER(Upgrades!$U$13,E380),1)*IF(Upgrades!$T$14="Roche Lobe Overflow",POWER(Upgrades!$U$14,F380),1)*IF(Upgrades!$T$15="Roche Lobe Overflow",POWER(Upgrades!$U$15,G380),1)*IF(Upgrades!$T$17="Roche Lobe Overflow",POWER(Upgrades!$U$17,I380),1)*IF(Upgrades!$T$18="Roche Lobe Overflow",POWER(Upgrades!$U$18,J380),1)*IF(Upgrades!$T$19="Roche Lobe Overflow",POWER(Upgrades!$U$19,K380),1)*IF(Upgrades!$T$20="Roche Lobe Overflow",POWER(Upgrades!$U$20,L380),1)*IF(Upgrades!$T$21="Roche Lobe Overflow",POWER(Upgrades!$U$21,M380),1))*$H$6*O380+((IF(F380=0,0,(Upgrades!$G$14+F380*Upgrades!$H$14)*POWER(Upgrades!$I$14,F380)))*(IF(Upgrades!$T$13="Local Bubble",POWER(Upgrades!$U$13,E380),1)*IF(Upgrades!$T$15="Local Bubble",POWER(Upgrades!$U$15,G380),1)*IF(Upgrades!$T$16="Local Bubble",POWER(Upgrades!$U$16,H380),1)*IF(Upgrades!$T$17="Local Bubble",POWER(Upgrades!$U$17,I380),1)*IF(Upgrades!$T$18="Local Bubble",POWER(Upgrades!$U$18,J380),1)*IF(Upgrades!$T$19="Local Bubble",POWER(Upgrades!$U$19,K380),1)*IF(Upgrades!$T$20="Local Bubble",POWER(Upgrades!$U$20,L380),1)*IF(Upgrades!$T$21="Local Bubble",POWER(Upgrades!$U$21,M380),1))*POWER(Upgrades!$P$13,E380)*POWER(Upgrades!$P$14,F380)*POWER(Upgrades!$P$15,G380)*POWER(Upgrades!$P$16,H380)*POWER(Upgrades!$P$17,I380)*POWER(Upgrades!$P$18,J380)*POWER(Upgrades!$P$19,K380)*POWER(Upgrades!$P$20,L380)*POWER(Upgrades!$P$21,M380)*$F$6)*0.05)/AN380,0)</f>
        <v/>
      </c>
      <c r="BC380" s="32">
        <f>IFERROR((Upgrades!$H$17*(POWER(Upgrades!$P$13,E380)*POWER(Upgrades!$P$14,F380)*POWER(Upgrades!$P$15,G380)*POWER(Upgrades!$P$16,H380)*POWER(Upgrades!$P$17,I380)*POWER(Upgrades!$P$18,J380)*POWER(Upgrades!$P$19,K380)*POWER(Upgrades!$P$20,L380)*POWER(Upgrades!$P$21,M380))*(IF(Upgrades!$T$13="Brown Dwarf",POWER(Upgrades!$U$13,E380),1)*IF(Upgrades!$T$14="Brown Dwarf",POWER(Upgrades!$U$14,F380),1)*IF(Upgrades!$T$15="Brown Dwarf",POWER(Upgrades!$U$15,G380),1)*IF(Upgrades!$T$16="Brown Dwarf",POWER(Upgrades!$U$16,H380),1)*IF(Upgrades!$T$18="Brown Dwarf",POWER(Upgrades!$U$18,J380),1)*IF(Upgrades!$T$19="Brown Dwarf",POWER(Upgrades!$U$19,K380),1)*IF(Upgrades!$T$20="Brown Dwarf",POWER(Upgrades!$U$20,L380),1)*IF(Upgrades!$T$21="Brown Dwarf",POWER(Upgrades!$U$21,M380),1))*$F$6+(((IF(H380=0,0,(Upgrades!$M$16+H380*Upgrades!$N$16)*POWER(Upgrades!$O$16,H380)))*(IF(Upgrades!$T$13="Roche Lobe Overflow",POWER(Upgrades!$U$13,E380),1)*IF(Upgrades!$T$14="Roche Lobe Overflow",POWER(Upgrades!$U$14,F380),1)*IF(Upgrades!$T$15="Roche Lobe Overflow",POWER(Upgrades!$U$15,G380),1)*IF(Upgrades!$T$17="Roche Lobe Overflow",POWER(Upgrades!$U$17,I380),1)*IF(Upgrades!$T$18="Roche Lobe Overflow",POWER(Upgrades!$U$18,J380),1)*IF(Upgrades!$T$19="Roche Lobe Overflow",POWER(Upgrades!$U$19,K380),1)*IF(Upgrades!$T$20="Roche Lobe Overflow",POWER(Upgrades!$U$20,L380),1)*IF(Upgrades!$T$21="Roche Lobe Overflow",POWER(Upgrades!$U$21,M380),1))*POWER(Upgrades!$R$13,E380)*POWER(Upgrades!$R$14,F380)*POWER(Upgrades!$R$15,G380)*POWER(Upgrades!$R$16,H380)*POWER(Upgrades!$R$17,I380)*POWER(Upgrades!$R$18,J380)*POWER(Upgrades!$R$19,K380)*POWER(Upgrades!$R$20,L380)*POWER(Upgrades!$R$21,M380)*$H$6)*O380)*0.10)/AO380,0)</f>
        <v/>
      </c>
      <c r="BD380" s="32">
        <f>MAX(IF(J380&gt;0,0,IFERROR(0.5*((IF(G380=0,0,(Upgrades!$J$15+G380*Upgrades!$K$15)*POWER(Upgrades!$L$15,G380)))*(IF(Upgrades!$T$13="Microlensing",POWER(Upgrades!$U$13,E380),1)*IF(Upgrades!$T$14="Microlensing",POWER(Upgrades!$U$14,F380),1)*IF(Upgrades!$T$16="Microlensing",POWER(Upgrades!$U$16,H380),1)*IF(Upgrades!$T$17="Microlensing",POWER(Upgrades!$U$17,I380),1)*IF(Upgrades!$T$18="Microlensing",POWER(Upgrades!$U$18,J380),1)*IF(Upgrades!$T$19="Microlensing",POWER(Upgrades!$U$19,K380),1)*IF(Upgrades!$T$20="Microlensing",POWER(Upgrades!$U$20,L380),1)*IF(Upgrades!$T$21="Microlensing",POWER(Upgrades!$U$21,M380),1))*(POWER(Upgrades!$Q$13,E380)*POWER(Upgrades!$Q$14,F380)*POWER(Upgrades!$Q$15,G380)*POWER(Upgrades!$Q$16,H380)*POWER(Upgrades!$Q$17,I380)*POWER(Upgrades!$Q$18,J380)*POWER(Upgrades!$Q$19,K380)*POWER(Upgrades!$Q$20,L380)*POWER(Upgrades!$Q$21,M380))*$G$6*(Parameters!$B$10/60*Parameters!$B$11+Q380))/Upgrades!$C$18,0)),IF(K380&gt;0,0,IFERROR(0.30*P380/Upgrades!$C$19,0)),IF(L380&gt;0,0,IFERROR(0.0001/Upgrades!$C$20,0)),IF(M380&gt;0,0,IFERROR((6.0*(POWER(Upgrades!$P$13,E380)*POWER(Upgrades!$P$14,F380)*POWER(Upgrades!$P$15,G380)*POWER(Upgrades!$P$16,H380)*POWER(Upgrades!$P$17,I380)*POWER(Upgrades!$P$18,J380)*POWER(Upgrades!$P$19,K380)*POWER(Upgrades!$P$20,L380)*POWER(Upgrades!$P$21,M380))*$F$6+0.20*O380*(Parameters!$B$10/60*Parameters!$B$11+Q380))/Upgrades!$C$21,0)),IF(AND(ISNUMBER(AK380),AK380&gt;(C380+T380)),AY380,0),IF(AND(ISNUMBER(AL380),AL380&gt;(C380+T380)),AZ380,0),IF(AND(ISNUMBER(AM380),AM380&gt;(C380+T380)),BA380,0),IF(AND(ISNUMBER(AN380),AN380&gt;(C380+T380)),BB380,0),IF(AND(ISNUMBER(AO380),AO380&gt;(C380+T380)),BC380,0))</f>
        <v/>
      </c>
      <c r="BE380" s="29">
        <f>IF(AT380=1,"transition",IF(MIN(IF(AND(J380=0,ISNUMBER(AP380),AP380&lt;=(C380+T380)),AP380,9E15),IF(AND(K380=0,ISNUMBER(AQ380),AQ380&lt;=(C380+T380)),AQ380,9E15),IF(AND(L380=0,ISNUMBER(AR380),AR380&lt;=(C380+T380)),AR380,9E15),IF(AND(M380=0,ISNUMBER(AS380),AS380&lt;=(C380+T380)),AS380,9E15))&lt;9E15,IF(AND(AND(J380=0,ISNUMBER(AP380),AP380&lt;=(C380+T380)),AP380=MIN(IF(AND(J380=0,ISNUMBER(AP380),AP380&lt;=(C380+T380)),AP380,9E15),IF(AND(K380=0,ISNUMBER(AQ380),AQ380&lt;=(C380+T380)),AQ380,9E15),IF(AND(L380=0,ISNUMBER(AR380),AR380&lt;=(C380+T380)),AR380,9E15),IF(AND(M380=0,ISNUMBER(AS380),AS380&lt;=(C380+T380)),AS380,9E15))),"BiP",IF(AND(AND(K380=0,ISNUMBER(AQ380),AQ380&lt;=(C380+T380)),AQ380=MIN(IF(AND(J380=0,ISNUMBER(AP380),AP380&lt;=(C380+T380)),AP380,9E15),IF(AND(K380=0,ISNUMBER(AQ380),AQ380&lt;=(C380+T380)),AQ380,9E15),IF(AND(L380=0,ISNUMBER(AR380),AR380&lt;=(C380+T380)),AR380,9E15),IF(AND(M380=0,ISNUMBER(AS380),AS380&lt;=(C380+T380)),AS380,9E15))),"PV",IF(AND(AND(L380=0,ISNUMBER(AR380),AR380&lt;=(C380+T380)),AR380=MIN(IF(AND(J380=0,ISNUMBER(AP380),AP380&lt;=(C380+T380)),AP380,9E15),IF(AND(K380=0,ISNUMBER(AQ380),AQ380&lt;=(C380+T380)),AQ380,9E15),IF(AND(L380=0,ISNUMBER(AR380),AR380&lt;=(C380+T380)),AR380,9E15),IF(AND(M380=0,ISNUMBER(AS380),AS380&lt;=(C380+T380)),AS380,9E15))),"OC","MG"))),IF(AX380=TRUE,"",IF(MAX(IF(AND(NOT(AND(AU380=1,AT380&lt;&gt;1)),ISNUMBER(AK380),AK380&lt;=(C380+T380)),AY380,0),IF(AND(NOT(AND(AU380=1,AT380&lt;&gt;1)),ISNUMBER(AL380),AL380&lt;=(C380+T380)),AZ380,0),IF(AND(NOT(AND(AU380=1,AT380&lt;&gt;1)),ISNUMBER(AM380),AM380&lt;=(C380+T380)),BA380,0),IF(AND(NOT(AND(AU380=1,AT380&lt;&gt;1)),ISNUMBER(AN380),AN380&lt;=(C380+T380)),BB380,0),IF(AND(ISNUMBER(AO380),AO380&lt;=(C380+T380)),BC380,0))&lt;=0,"",IF(AND(IF(AND(NOT(AND(AU380=1,AT380&lt;&gt;1)),ISNUMBER(AK380),AK380&lt;=(C380+T380)),AY380,0)&gt;0,IF(AND(NOT(AND(AU380=1,AT380&lt;&gt;1)),ISNUMBER(AK380),AK380&lt;=(C380+T380)),AY380,0)=MAX(IF(AND(NOT(AND(AU380=1,AT380&lt;&gt;1)),ISNUMBER(AK380),AK380&lt;=(C380+T380)),AY380,0),IF(AND(NOT(AND(AU380=1,AT380&lt;&gt;1)),ISNUMBER(AL380),AL380&lt;=(C380+T380)),AZ380,0),IF(AND(NOT(AND(AU380=1,AT380&lt;&gt;1)),ISNUMBER(AM380),AM380&lt;=(C380+T380)),BA380,0),IF(AND(NOT(AND(AU380=1,AT380&lt;&gt;1)),ISNUMBER(AN380),AN380&lt;=(C380+T380)),BB380,0),IF(AND(ISNUMBER(AO380),AO380&lt;=(C380+T380)),BC380,0))),"SK",IF(AND(IF(AND(NOT(AND(AU380=1,AT380&lt;&gt;1)),ISNUMBER(AL380),AL380&lt;=(C380+T380)),AZ380,0)&gt;0,IF(AND(NOT(AND(AU380=1,AT380&lt;&gt;1)),ISNUMBER(AL380),AL380&lt;=(C380+T380)),AZ380,0)=MAX(IF(AND(NOT(AND(AU380=1,AT380&lt;&gt;1)),ISNUMBER(AK380),AK380&lt;=(C380+T380)),AY380,0),IF(AND(NOT(AND(AU380=1,AT380&lt;&gt;1)),ISNUMBER(AL380),AL380&lt;=(C380+T380)),AZ380,0),IF(AND(NOT(AND(AU380=1,AT380&lt;&gt;1)),ISNUMBER(AM380),AM380&lt;=(C380+T380)),BA380,0),IF(AND(NOT(AND(AU380=1,AT380&lt;&gt;1)),ISNUMBER(AN380),AN380&lt;=(C380+T380)),BB380,0),IF(AND(ISNUMBER(AO380),AO380&lt;=(C380+T380)),BC380,0))),"LB",IF(AND(IF(AND(NOT(AND(AU380=1,AT380&lt;&gt;1)),ISNUMBER(AM380),AM380&lt;=(C380+T380)),BA380,0)&gt;0,IF(AND(NOT(AND(AU380=1,AT380&lt;&gt;1)),ISNUMBER(AM380),AM380&lt;=(C380+T380)),BA380,0)=MAX(IF(AND(NOT(AND(AU380=1,AT380&lt;&gt;1)),ISNUMBER(AK380),AK380&lt;=(C380+T380)),AY380,0),IF(AND(NOT(AND(AU380=1,AT380&lt;&gt;1)),ISNUMBER(AL380),AL380&lt;=(C380+T380)),AZ380,0),IF(AND(NOT(AND(AU380=1,AT380&lt;&gt;1)),ISNUMBER(AM380),AM380&lt;=(C380+T380)),BA380,0),IF(AND(NOT(AND(AU380=1,AT380&lt;&gt;1)),ISNUMBER(AN380),AN380&lt;=(C380+T380)),BB380,0),IF(AND(ISNUMBER(AO380),AO380&lt;=(C380+T380)),BC380,0))),"ML",IF(AND(IF(AND(NOT(AND(AU380=1,AT380&lt;&gt;1)),ISNUMBER(AN380),AN380&lt;=(C380+T380)),BB380,0)&gt;0,IF(AND(NOT(AND(AU380=1,AT380&lt;&gt;1)),ISNUMBER(AN380),AN380&lt;=(C380+T380)),BB380,0)=MAX(IF(AND(NOT(AND(AU380=1,AT380&lt;&gt;1)),ISNUMBER(AK380),AK380&lt;=(C380+T380)),AY380,0),IF(AND(NOT(AND(AU380=1,AT380&lt;&gt;1)),ISNUMBER(AL380),AL380&lt;=(C380+T380)),AZ380,0),IF(AND(NOT(AND(AU380=1,AT380&lt;&gt;1)),ISNUMBER(AM380),AM380&lt;=(C380+T380)),BA380,0),IF(AND(NOT(AND(AU380=1,AT380&lt;&gt;1)),ISNUMBER(AN380),AN380&lt;=(C380+T380)),BB380,0),IF(AND(ISNUMBER(AO380),AO380&lt;=(C380+T380)),BC380,0))),"RLO","BD"))))))))</f>
        <v/>
      </c>
    </row>
    <row r="381">
      <c r="A381" s="26" t="n">
        <v>370</v>
      </c>
      <c r="B381" s="27">
        <f>A381*10/60</f>
        <v/>
      </c>
      <c r="C381" s="22">
        <f>X380</f>
        <v/>
      </c>
      <c r="D381" s="27">
        <f>D380+W380</f>
        <v/>
      </c>
      <c r="E381" s="26">
        <f>E380+IF(U380="SK",1,0)</f>
        <v/>
      </c>
      <c r="F381" s="26">
        <f>F380+IF(U380="LB",1,0)</f>
        <v/>
      </c>
      <c r="G381" s="26">
        <f>G380+IF(U380="ML",1,0)</f>
        <v/>
      </c>
      <c r="H381" s="26">
        <f>H380+IF(U380="RLO",1,0)</f>
        <v/>
      </c>
      <c r="I381" s="26">
        <f>I380+IF(U380="BD",1,0)</f>
        <v/>
      </c>
      <c r="J381" s="26">
        <f>MAX(J380,IF(U380="BiP",1,0))</f>
        <v/>
      </c>
      <c r="K381" s="26">
        <f>MAX(K380,IF(U380="PV",1,0))</f>
        <v/>
      </c>
      <c r="L381" s="26">
        <f>MAX(L380,IF(U380="OC",1,0))</f>
        <v/>
      </c>
      <c r="M381" s="26">
        <f>MAX(M380,IF(U380="MG",1,0))</f>
        <v/>
      </c>
      <c r="N381" s="26">
        <f>MAX(N380,IF(U380="transition",1,0))</f>
        <v/>
      </c>
      <c r="O381" s="28">
        <f>(Parameters!$B$9+(IF(E381=0,0,(Upgrades!$J$13+E381*Upgrades!$K$13)*POWER(Upgrades!$L$13,E381)))*(IF(Upgrades!$T$14="Stellar Kinematics",POWER(Upgrades!$U$14,F381),1)*IF(Upgrades!$T$15="Stellar Kinematics",POWER(Upgrades!$U$15,G381),1)*IF(Upgrades!$T$16="Stellar Kinematics",POWER(Upgrades!$U$16,H381),1)*IF(Upgrades!$T$17="Stellar Kinematics",POWER(Upgrades!$U$17,I381),1)*IF(Upgrades!$T$18="Stellar Kinematics",POWER(Upgrades!$U$18,J381),1)*IF(Upgrades!$T$19="Stellar Kinematics",POWER(Upgrades!$U$19,K381),1)*IF(Upgrades!$T$20="Stellar Kinematics",POWER(Upgrades!$U$20,L381),1)*IF(Upgrades!$T$21="Stellar Kinematics",POWER(Upgrades!$U$21,M381),1))+(IF(F381=0,0,(Upgrades!$J$14+F381*Upgrades!$K$14)*POWER(Upgrades!$L$14,F381)))*(IF(Upgrades!$T$13="Local Bubble",POWER(Upgrades!$U$13,E381),1)*IF(Upgrades!$T$15="Local Bubble",POWER(Upgrades!$U$15,G381),1)*IF(Upgrades!$T$16="Local Bubble",POWER(Upgrades!$U$16,H381),1)*IF(Upgrades!$T$17="Local Bubble",POWER(Upgrades!$U$17,I381),1)*IF(Upgrades!$T$18="Local Bubble",POWER(Upgrades!$U$18,J381),1)*IF(Upgrades!$T$19="Local Bubble",POWER(Upgrades!$U$19,K381),1)*IF(Upgrades!$T$20="Local Bubble",POWER(Upgrades!$U$20,L381),1)*IF(Upgrades!$T$21="Local Bubble",POWER(Upgrades!$U$21,M381),1))+(IF(G381=0,0,(Upgrades!$J$15+G381*Upgrades!$K$15)*POWER(Upgrades!$L$15,G381)))*(IF(Upgrades!$T$13="Microlensing",POWER(Upgrades!$U$13,E381),1)*IF(Upgrades!$T$14="Microlensing",POWER(Upgrades!$U$14,F381),1)*IF(Upgrades!$T$16="Microlensing",POWER(Upgrades!$U$16,H381),1)*IF(Upgrades!$T$17="Microlensing",POWER(Upgrades!$U$17,I381),1)*IF(Upgrades!$T$18="Microlensing",POWER(Upgrades!$U$18,J381),1)*IF(Upgrades!$T$19="Microlensing",POWER(Upgrades!$U$19,K381),1)*IF(Upgrades!$T$20="Microlensing",POWER(Upgrades!$U$20,L381),1)*IF(Upgrades!$T$21="Microlensing",POWER(Upgrades!$U$21,M381),1))+(IF(H381=0,0,(Upgrades!$J$16+H381*Upgrades!$K$16)*POWER(Upgrades!$L$16,H381)))*(IF(Upgrades!$T$13="Roche Lobe Overflow",POWER(Upgrades!$U$13,E381),1)*IF(Upgrades!$T$14="Roche Lobe Overflow",POWER(Upgrades!$U$14,F381),1)*IF(Upgrades!$T$15="Roche Lobe Overflow",POWER(Upgrades!$U$15,G381),1)*IF(Upgrades!$T$17="Roche Lobe Overflow",POWER(Upgrades!$U$17,I381),1)*IF(Upgrades!$T$18="Roche Lobe Overflow",POWER(Upgrades!$U$18,J381),1)*IF(Upgrades!$T$19="Roche Lobe Overflow",POWER(Upgrades!$U$19,K381),1)*IF(Upgrades!$T$20="Roche Lobe Overflow",POWER(Upgrades!$U$20,L381),1)*IF(Upgrades!$T$21="Roche Lobe Overflow",POWER(Upgrades!$U$21,M381),1))+(IF(I381=0,0,(Upgrades!$J$17+I381*Upgrades!$K$17)*POWER(Upgrades!$L$17,I381)))*(IF(Upgrades!$T$13="Brown Dwarf",POWER(Upgrades!$U$13,E381),1)*IF(Upgrades!$T$14="Brown Dwarf",POWER(Upgrades!$U$14,F381),1)*IF(Upgrades!$T$15="Brown Dwarf",POWER(Upgrades!$U$15,G381),1)*IF(Upgrades!$T$16="Brown Dwarf",POWER(Upgrades!$U$16,H381),1)*IF(Upgrades!$T$18="Brown Dwarf",POWER(Upgrades!$U$18,J381),1)*IF(Upgrades!$T$19="Brown Dwarf",POWER(Upgrades!$U$19,K381),1)*IF(Upgrades!$T$20="Brown Dwarf",POWER(Upgrades!$U$20,L381),1)*IF(Upgrades!$T$21="Brown Dwarf",POWER(Upgrades!$U$21,M381),1))+(IF(J381=0,0,(Upgrades!$J$18+J381*Upgrades!$K$18)*POWER(Upgrades!$L$18,J381)))*(IF(Upgrades!$T$13="Binary Partner",POWER(Upgrades!$U$13,E381),1)*IF(Upgrades!$T$14="Binary Partner",POWER(Upgrades!$U$14,F381),1)*IF(Upgrades!$T$15="Binary Partner",POWER(Upgrades!$U$15,G381),1)*IF(Upgrades!$T$16="Binary Partner",POWER(Upgrades!$U$16,H381),1)*IF(Upgrades!$T$17="Binary Partner",POWER(Upgrades!$U$17,I381),1)*IF(Upgrades!$T$19="Binary Partner",POWER(Upgrades!$U$19,K381),1)*IF(Upgrades!$T$20="Binary Partner",POWER(Upgrades!$U$20,L381),1)*IF(Upgrades!$T$21="Binary Partner",POWER(Upgrades!$U$21,M381),1))+(IF(K381=0,0,(Upgrades!$J$19+K381*Upgrades!$K$19)*POWER(Upgrades!$L$19,K381)))*(IF(Upgrades!$T$13="Peculiar Velocity",POWER(Upgrades!$U$13,E381),1)*IF(Upgrades!$T$14="Peculiar Velocity",POWER(Upgrades!$U$14,F381),1)*IF(Upgrades!$T$15="Peculiar Velocity",POWER(Upgrades!$U$15,G381),1)*IF(Upgrades!$T$16="Peculiar Velocity",POWER(Upgrades!$U$16,H381),1)*IF(Upgrades!$T$17="Peculiar Velocity",POWER(Upgrades!$U$17,I381),1)*IF(Upgrades!$T$18="Peculiar Velocity",POWER(Upgrades!$U$18,J381),1)*IF(Upgrades!$T$20="Peculiar Velocity",POWER(Upgrades!$U$20,L381),1)*IF(Upgrades!$T$21="Peculiar Velocity",POWER(Upgrades!$U$21,M381),1))+(IF(L381=0,0,(Upgrades!$J$20+L381*Upgrades!$K$20)*POWER(Upgrades!$L$20,L381)))*(IF(Upgrades!$T$13="Open Cluster",POWER(Upgrades!$U$13,E381),1)*IF(Upgrades!$T$14="Open Cluster",POWER(Upgrades!$U$14,F381),1)*IF(Upgrades!$T$15="Open Cluster",POWER(Upgrades!$U$15,G381),1)*IF(Upgrades!$T$16="Open Cluster",POWER(Upgrades!$U$16,H381),1)*IF(Upgrades!$T$17="Open Cluster",POWER(Upgrades!$U$17,I381),1)*IF(Upgrades!$T$18="Open Cluster",POWER(Upgrades!$U$18,J381),1)*IF(Upgrades!$T$19="Open Cluster",POWER(Upgrades!$U$19,K381),1)*IF(Upgrades!$T$21="Open Cluster",POWER(Upgrades!$U$21,M381),1))+(IF(M381=0,0,(Upgrades!$J$21+M381*Upgrades!$K$21)*POWER(Upgrades!$L$21,M381)))*(IF(Upgrades!$T$13="Moving Group",POWER(Upgrades!$U$13,E381),1)*IF(Upgrades!$T$14="Moving Group",POWER(Upgrades!$U$14,F381),1)*IF(Upgrades!$T$15="Moving Group",POWER(Upgrades!$U$15,G381),1)*IF(Upgrades!$T$16="Moving Group",POWER(Upgrades!$U$16,H381),1)*IF(Upgrades!$T$17="Moving Group",POWER(Upgrades!$U$17,I381),1)*IF(Upgrades!$T$18="Moving Group",POWER(Upgrades!$U$18,J381),1)*IF(Upgrades!$T$19="Moving Group",POWER(Upgrades!$U$19,K381),1)*IF(Upgrades!$T$20="Moving Group",POWER(Upgrades!$U$20,L381),1)))*POWER(Upgrades!$Q$13,E381)*POWER(Upgrades!$Q$14,F381)*POWER(Upgrades!$Q$15,G381)*POWER(Upgrades!$Q$16,H381)*POWER(Upgrades!$Q$17,I381)*POWER(Upgrades!$Q$18,J381)*POWER(Upgrades!$Q$19,K381)*POWER(Upgrades!$Q$20,L381)*POWER(Upgrades!$Q$21,M381)*$G$6+$D$6</f>
        <v/>
      </c>
      <c r="P381" s="28">
        <f>((IF(E381=0,0,(Upgrades!$G$13+E381*Upgrades!$H$13)*POWER(Upgrades!$I$13,E381)))*(IF(Upgrades!$T$14="Stellar Kinematics",POWER(Upgrades!$U$14,F381),1)*IF(Upgrades!$T$15="Stellar Kinematics",POWER(Upgrades!$U$15,G381),1)*IF(Upgrades!$T$16="Stellar Kinematics",POWER(Upgrades!$U$16,H381),1)*IF(Upgrades!$T$17="Stellar Kinematics",POWER(Upgrades!$U$17,I381),1)*IF(Upgrades!$T$18="Stellar Kinematics",POWER(Upgrades!$U$18,J381),1)*IF(Upgrades!$T$19="Stellar Kinematics",POWER(Upgrades!$U$19,K381),1)*IF(Upgrades!$T$20="Stellar Kinematics",POWER(Upgrades!$U$20,L381),1)*IF(Upgrades!$T$21="Stellar Kinematics",POWER(Upgrades!$U$21,M381),1))+(IF(F381=0,0,(Upgrades!$G$14+F381*Upgrades!$H$14)*POWER(Upgrades!$I$14,F381)))*(IF(Upgrades!$T$13="Local Bubble",POWER(Upgrades!$U$13,E381),1)*IF(Upgrades!$T$15="Local Bubble",POWER(Upgrades!$U$15,G381),1)*IF(Upgrades!$T$16="Local Bubble",POWER(Upgrades!$U$16,H381),1)*IF(Upgrades!$T$17="Local Bubble",POWER(Upgrades!$U$17,I381),1)*IF(Upgrades!$T$18="Local Bubble",POWER(Upgrades!$U$18,J381),1)*IF(Upgrades!$T$19="Local Bubble",POWER(Upgrades!$U$19,K381),1)*IF(Upgrades!$T$20="Local Bubble",POWER(Upgrades!$U$20,L381),1)*IF(Upgrades!$T$21="Local Bubble",POWER(Upgrades!$U$21,M381),1))+(IF(G381=0,0,(Upgrades!$G$15+G381*Upgrades!$H$15)*POWER(Upgrades!$I$15,G381)))*(IF(Upgrades!$T$13="Microlensing",POWER(Upgrades!$U$13,E381),1)*IF(Upgrades!$T$14="Microlensing",POWER(Upgrades!$U$14,F381),1)*IF(Upgrades!$T$16="Microlensing",POWER(Upgrades!$U$16,H381),1)*IF(Upgrades!$T$17="Microlensing",POWER(Upgrades!$U$17,I381),1)*IF(Upgrades!$T$18="Microlensing",POWER(Upgrades!$U$18,J381),1)*IF(Upgrades!$T$19="Microlensing",POWER(Upgrades!$U$19,K381),1)*IF(Upgrades!$T$20="Microlensing",POWER(Upgrades!$U$20,L381),1)*IF(Upgrades!$T$21="Microlensing",POWER(Upgrades!$U$21,M381),1))+(IF(H381=0,0,(Upgrades!$G$16+H381*Upgrades!$H$16)*POWER(Upgrades!$I$16,H381)))*(IF(Upgrades!$T$13="Roche Lobe Overflow",POWER(Upgrades!$U$13,E381),1)*IF(Upgrades!$T$14="Roche Lobe Overflow",POWER(Upgrades!$U$14,F381),1)*IF(Upgrades!$T$15="Roche Lobe Overflow",POWER(Upgrades!$U$15,G381),1)*IF(Upgrades!$T$17="Roche Lobe Overflow",POWER(Upgrades!$U$17,I381),1)*IF(Upgrades!$T$18="Roche Lobe Overflow",POWER(Upgrades!$U$18,J381),1)*IF(Upgrades!$T$19="Roche Lobe Overflow",POWER(Upgrades!$U$19,K381),1)*IF(Upgrades!$T$20="Roche Lobe Overflow",POWER(Upgrades!$U$20,L381),1)*IF(Upgrades!$T$21="Roche Lobe Overflow",POWER(Upgrades!$U$21,M381),1))+(IF(I381=0,0,(Upgrades!$G$17+I381*Upgrades!$H$17)*POWER(Upgrades!$I$17,I381)))*(IF(Upgrades!$T$13="Brown Dwarf",POWER(Upgrades!$U$13,E381),1)*IF(Upgrades!$T$14="Brown Dwarf",POWER(Upgrades!$U$14,F381),1)*IF(Upgrades!$T$15="Brown Dwarf",POWER(Upgrades!$U$15,G381),1)*IF(Upgrades!$T$16="Brown Dwarf",POWER(Upgrades!$U$16,H381),1)*IF(Upgrades!$T$18="Brown Dwarf",POWER(Upgrades!$U$18,J381),1)*IF(Upgrades!$T$19="Brown Dwarf",POWER(Upgrades!$U$19,K381),1)*IF(Upgrades!$T$20="Brown Dwarf",POWER(Upgrades!$U$20,L381),1)*IF(Upgrades!$T$21="Brown Dwarf",POWER(Upgrades!$U$21,M381),1))+(IF(J381=0,0,(Upgrades!$G$18+J381*Upgrades!$H$18)*POWER(Upgrades!$I$18,J381)))*(IF(Upgrades!$T$13="Binary Partner",POWER(Upgrades!$U$13,E381),1)*IF(Upgrades!$T$14="Binary Partner",POWER(Upgrades!$U$14,F381),1)*IF(Upgrades!$T$15="Binary Partner",POWER(Upgrades!$U$15,G381),1)*IF(Upgrades!$T$16="Binary Partner",POWER(Upgrades!$U$16,H381),1)*IF(Upgrades!$T$17="Binary Partner",POWER(Upgrades!$U$17,I381),1)*IF(Upgrades!$T$19="Binary Partner",POWER(Upgrades!$U$19,K381),1)*IF(Upgrades!$T$20="Binary Partner",POWER(Upgrades!$U$20,L381),1)*IF(Upgrades!$T$21="Binary Partner",POWER(Upgrades!$U$21,M381),1))+(IF(K381=0,0,(Upgrades!$G$19+K381*Upgrades!$H$19)*POWER(Upgrades!$I$19,K381)))*(IF(Upgrades!$T$13="Peculiar Velocity",POWER(Upgrades!$U$13,E381),1)*IF(Upgrades!$T$14="Peculiar Velocity",POWER(Upgrades!$U$14,F381),1)*IF(Upgrades!$T$15="Peculiar Velocity",POWER(Upgrades!$U$15,G381),1)*IF(Upgrades!$T$16="Peculiar Velocity",POWER(Upgrades!$U$16,H381),1)*IF(Upgrades!$T$17="Peculiar Velocity",POWER(Upgrades!$U$17,I381),1)*IF(Upgrades!$T$18="Peculiar Velocity",POWER(Upgrades!$U$18,J381),1)*IF(Upgrades!$T$20="Peculiar Velocity",POWER(Upgrades!$U$20,L381),1)*IF(Upgrades!$T$21="Peculiar Velocity",POWER(Upgrades!$U$21,M381),1))+(IF(L381=0,0,(Upgrades!$G$20+L381*Upgrades!$H$20)*POWER(Upgrades!$I$20,L381)))*(IF(Upgrades!$T$13="Open Cluster",POWER(Upgrades!$U$13,E381),1)*IF(Upgrades!$T$14="Open Cluster",POWER(Upgrades!$U$14,F381),1)*IF(Upgrades!$T$15="Open Cluster",POWER(Upgrades!$U$15,G381),1)*IF(Upgrades!$T$16="Open Cluster",POWER(Upgrades!$U$16,H381),1)*IF(Upgrades!$T$17="Open Cluster",POWER(Upgrades!$U$17,I381),1)*IF(Upgrades!$T$18="Open Cluster",POWER(Upgrades!$U$18,J381),1)*IF(Upgrades!$T$19="Open Cluster",POWER(Upgrades!$U$19,K381),1)*IF(Upgrades!$T$21="Open Cluster",POWER(Upgrades!$U$21,M381),1))+(IF(M381=0,0,(Upgrades!$G$21+M381*Upgrades!$H$21)*POWER(Upgrades!$I$21,M381)))*(IF(Upgrades!$T$13="Moving Group",POWER(Upgrades!$U$13,E381),1)*IF(Upgrades!$T$14="Moving Group",POWER(Upgrades!$U$14,F381),1)*IF(Upgrades!$T$15="Moving Group",POWER(Upgrades!$U$15,G381),1)*IF(Upgrades!$T$16="Moving Group",POWER(Upgrades!$U$16,H381),1)*IF(Upgrades!$T$17="Moving Group",POWER(Upgrades!$U$17,I381),1)*IF(Upgrades!$T$18="Moving Group",POWER(Upgrades!$U$18,J381),1)*IF(Upgrades!$T$19="Moving Group",POWER(Upgrades!$U$19,K381),1)*IF(Upgrades!$T$20="Moving Group",POWER(Upgrades!$U$20,L381),1)))*POWER(Upgrades!$P$13,E381)*POWER(Upgrades!$P$14,F381)*POWER(Upgrades!$P$15,G381)*POWER(Upgrades!$P$16,H381)*POWER(Upgrades!$P$17,I381)*POWER(Upgrades!$P$18,J381)*POWER(Upgrades!$P$19,K381)*POWER(Upgrades!$P$20,L381)*POWER(Upgrades!$P$21,M381)*$F$6+$C$6</f>
        <v/>
      </c>
      <c r="Q381" s="28">
        <f>((IF(E381=0,0,(Upgrades!$M$13+E381*Upgrades!$N$13)*POWER(Upgrades!$O$13,E381)))*(IF(Upgrades!$T$14="Stellar Kinematics",POWER(Upgrades!$U$14,F381),1)*IF(Upgrades!$T$15="Stellar Kinematics",POWER(Upgrades!$U$15,G381),1)*IF(Upgrades!$T$16="Stellar Kinematics",POWER(Upgrades!$U$16,H381),1)*IF(Upgrades!$T$17="Stellar Kinematics",POWER(Upgrades!$U$17,I381),1)*IF(Upgrades!$T$18="Stellar Kinematics",POWER(Upgrades!$U$18,J381),1)*IF(Upgrades!$T$19="Stellar Kinematics",POWER(Upgrades!$U$19,K381),1)*IF(Upgrades!$T$20="Stellar Kinematics",POWER(Upgrades!$U$20,L381),1)*IF(Upgrades!$T$21="Stellar Kinematics",POWER(Upgrades!$U$21,M381),1))+(IF(F381=0,0,(Upgrades!$M$14+F381*Upgrades!$N$14)*POWER(Upgrades!$O$14,F381)))*(IF(Upgrades!$T$13="Local Bubble",POWER(Upgrades!$U$13,E381),1)*IF(Upgrades!$T$15="Local Bubble",POWER(Upgrades!$U$15,G381),1)*IF(Upgrades!$T$16="Local Bubble",POWER(Upgrades!$U$16,H381),1)*IF(Upgrades!$T$17="Local Bubble",POWER(Upgrades!$U$17,I381),1)*IF(Upgrades!$T$18="Local Bubble",POWER(Upgrades!$U$18,J381),1)*IF(Upgrades!$T$19="Local Bubble",POWER(Upgrades!$U$19,K381),1)*IF(Upgrades!$T$20="Local Bubble",POWER(Upgrades!$U$20,L381),1)*IF(Upgrades!$T$21="Local Bubble",POWER(Upgrades!$U$21,M381),1))+(IF(G381=0,0,(Upgrades!$M$15+G381*Upgrades!$N$15)*POWER(Upgrades!$O$15,G381)))*(IF(Upgrades!$T$13="Microlensing",POWER(Upgrades!$U$13,E381),1)*IF(Upgrades!$T$14="Microlensing",POWER(Upgrades!$U$14,F381),1)*IF(Upgrades!$T$16="Microlensing",POWER(Upgrades!$U$16,H381),1)*IF(Upgrades!$T$17="Microlensing",POWER(Upgrades!$U$17,I381),1)*IF(Upgrades!$T$18="Microlensing",POWER(Upgrades!$U$18,J381),1)*IF(Upgrades!$T$19="Microlensing",POWER(Upgrades!$U$19,K381),1)*IF(Upgrades!$T$20="Microlensing",POWER(Upgrades!$U$20,L381),1)*IF(Upgrades!$T$21="Microlensing",POWER(Upgrades!$U$21,M381),1))+(IF(H381=0,0,(Upgrades!$M$16+H381*Upgrades!$N$16)*POWER(Upgrades!$O$16,H381)))*(IF(Upgrades!$T$13="Roche Lobe Overflow",POWER(Upgrades!$U$13,E381),1)*IF(Upgrades!$T$14="Roche Lobe Overflow",POWER(Upgrades!$U$14,F381),1)*IF(Upgrades!$T$15="Roche Lobe Overflow",POWER(Upgrades!$U$15,G381),1)*IF(Upgrades!$T$17="Roche Lobe Overflow",POWER(Upgrades!$U$17,I381),1)*IF(Upgrades!$T$18="Roche Lobe Overflow",POWER(Upgrades!$U$18,J381),1)*IF(Upgrades!$T$19="Roche Lobe Overflow",POWER(Upgrades!$U$19,K381),1)*IF(Upgrades!$T$20="Roche Lobe Overflow",POWER(Upgrades!$U$20,L381),1)*IF(Upgrades!$T$21="Roche Lobe Overflow",POWER(Upgrades!$U$21,M381),1))+(IF(I381=0,0,(Upgrades!$M$17+I381*Upgrades!$N$17)*POWER(Upgrades!$O$17,I381)))*(IF(Upgrades!$T$13="Brown Dwarf",POWER(Upgrades!$U$13,E381),1)*IF(Upgrades!$T$14="Brown Dwarf",POWER(Upgrades!$U$14,F381),1)*IF(Upgrades!$T$15="Brown Dwarf",POWER(Upgrades!$U$15,G381),1)*IF(Upgrades!$T$16="Brown Dwarf",POWER(Upgrades!$U$16,H381),1)*IF(Upgrades!$T$18="Brown Dwarf",POWER(Upgrades!$U$18,J381),1)*IF(Upgrades!$T$19="Brown Dwarf",POWER(Upgrades!$U$19,K381),1)*IF(Upgrades!$T$20="Brown Dwarf",POWER(Upgrades!$U$20,L381),1)*IF(Upgrades!$T$21="Brown Dwarf",POWER(Upgrades!$U$21,M381),1))+(IF(J381=0,0,(Upgrades!$M$18+J381*Upgrades!$N$18)*POWER(Upgrades!$O$18,J381)))*(IF(Upgrades!$T$13="Binary Partner",POWER(Upgrades!$U$13,E381),1)*IF(Upgrades!$T$14="Binary Partner",POWER(Upgrades!$U$14,F381),1)*IF(Upgrades!$T$15="Binary Partner",POWER(Upgrades!$U$15,G381),1)*IF(Upgrades!$T$16="Binary Partner",POWER(Upgrades!$U$16,H381),1)*IF(Upgrades!$T$17="Binary Partner",POWER(Upgrades!$U$17,I381),1)*IF(Upgrades!$T$19="Binary Partner",POWER(Upgrades!$U$19,K381),1)*IF(Upgrades!$T$20="Binary Partner",POWER(Upgrades!$U$20,L381),1)*IF(Upgrades!$T$21="Binary Partner",POWER(Upgrades!$U$21,M381),1))+(IF(K381=0,0,(Upgrades!$M$19+K381*Upgrades!$N$19)*POWER(Upgrades!$O$19,K381)))*(IF(Upgrades!$T$13="Peculiar Velocity",POWER(Upgrades!$U$13,E381),1)*IF(Upgrades!$T$14="Peculiar Velocity",POWER(Upgrades!$U$14,F381),1)*IF(Upgrades!$T$15="Peculiar Velocity",POWER(Upgrades!$U$15,G381),1)*IF(Upgrades!$T$16="Peculiar Velocity",POWER(Upgrades!$U$16,H381),1)*IF(Upgrades!$T$17="Peculiar Velocity",POWER(Upgrades!$U$17,I381),1)*IF(Upgrades!$T$18="Peculiar Velocity",POWER(Upgrades!$U$18,J381),1)*IF(Upgrades!$T$20="Peculiar Velocity",POWER(Upgrades!$U$20,L381),1)*IF(Upgrades!$T$21="Peculiar Velocity",POWER(Upgrades!$U$21,M381),1))+(IF(L381=0,0,(Upgrades!$M$20+L381*Upgrades!$N$20)*POWER(Upgrades!$O$20,L381)))*(IF(Upgrades!$T$13="Open Cluster",POWER(Upgrades!$U$13,E381),1)*IF(Upgrades!$T$14="Open Cluster",POWER(Upgrades!$U$14,F381),1)*IF(Upgrades!$T$15="Open Cluster",POWER(Upgrades!$U$15,G381),1)*IF(Upgrades!$T$16="Open Cluster",POWER(Upgrades!$U$16,H381),1)*IF(Upgrades!$T$17="Open Cluster",POWER(Upgrades!$U$17,I381),1)*IF(Upgrades!$T$18="Open Cluster",POWER(Upgrades!$U$18,J381),1)*IF(Upgrades!$T$19="Open Cluster",POWER(Upgrades!$U$19,K381),1)*IF(Upgrades!$T$21="Open Cluster",POWER(Upgrades!$U$21,M381),1))+(IF(M381=0,0,(Upgrades!$M$21+M381*Upgrades!$N$21)*POWER(Upgrades!$O$21,M381)))*(IF(Upgrades!$T$13="Moving Group",POWER(Upgrades!$U$13,E381),1)*IF(Upgrades!$T$14="Moving Group",POWER(Upgrades!$U$14,F381),1)*IF(Upgrades!$T$15="Moving Group",POWER(Upgrades!$U$15,G381),1)*IF(Upgrades!$T$16="Moving Group",POWER(Upgrades!$U$16,H381),1)*IF(Upgrades!$T$17="Moving Group",POWER(Upgrades!$U$17,I381),1)*IF(Upgrades!$T$18="Moving Group",POWER(Upgrades!$U$18,J381),1)*IF(Upgrades!$T$19="Moving Group",POWER(Upgrades!$U$19,K381),1)*IF(Upgrades!$T$20="Moving Group",POWER(Upgrades!$U$20,L381),1)))*POWER(Upgrades!$R$13,E381)*POWER(Upgrades!$R$14,F381)*POWER(Upgrades!$R$15,G381)*POWER(Upgrades!$R$16,H381)*POWER(Upgrades!$R$17,I381)*POWER(Upgrades!$R$18,J381)*POWER(Upgrades!$R$19,K381)*POWER(Upgrades!$R$20,L381)*POWER(Upgrades!$R$21,M381)*$H$6+$E$6</f>
        <v/>
      </c>
      <c r="R381" s="27">
        <f>IF(N381=1,0,O381*Parameters!$B$10/60*Parameters!$B$11*10)</f>
        <v/>
      </c>
      <c r="S381" s="27">
        <f>IF(N381=1,0,Q381*O381*10)</f>
        <v/>
      </c>
      <c r="T381" s="27">
        <f>IF(N381=1,0,R381+S381+P381*10)</f>
        <v/>
      </c>
      <c r="U381" s="33">
        <f>BE381</f>
        <v/>
      </c>
      <c r="V381" s="22">
        <f>IF(U381="",0,IF(U381="transition",0,IF(U381="SK",AK381,IF(U381="LB",AL381,IF(U381="ML",AM381,IF(U381="RLO",AN381,IF(U381="BD",AO381,IF(U381="BiP",AP381,IF(U381="PV",AQ381,IF(U381="OC",AR381,IF(U381="MG",AS381,0))))))))))</f>
        <v/>
      </c>
      <c r="W381" s="27">
        <f>IF(U381="BiP",Upgrades!$F$18,IF(U381="PV",Upgrades!$F$19,IF(U381="OC",Upgrades!$F$20,IF(U381="MG",Upgrades!$F$21,IF(U381="transition",-Parameters!$B$18*Parameters!$B$19,0)))))</f>
        <v/>
      </c>
      <c r="X381" s="22">
        <f>C381+T381-V381</f>
        <v/>
      </c>
      <c r="Y381" s="30">
        <f>O381*Parameters!$B$10/60*Parameters!$B$11+Q381*O381+P381</f>
        <v/>
      </c>
      <c r="Z381" s="34">
        <f>IF(U381="transition","→ Tier 3 (Galactic Arm)",IF(U381="MG","Moving Group — pocket drifts together",IF(U381="OC","Open Cluster acquired",IF(U381="PV","Peculiar Velocity — passive multiplier active",IF(U381="BiP","Binary Partner — pair bond formed",IF(AND(AU381=1,N381=0,AT381&lt;&gt;1),"Cohesion ready (waiting on completionists)","")))))) </f>
        <v/>
      </c>
      <c r="AA381" s="27">
        <f>(IF(E381=0,0,(Upgrades!$G$13+E381*Upgrades!$H$13)*POWER(Upgrades!$I$13,E381)))*(IF(Upgrades!$T$14="Stellar Kinematics",POWER(Upgrades!$U$14,F381),1)*IF(Upgrades!$T$15="Stellar Kinematics",POWER(Upgrades!$U$15,G381),1)*IF(Upgrades!$T$16="Stellar Kinematics",POWER(Upgrades!$U$16,H381),1)*IF(Upgrades!$T$17="Stellar Kinematics",POWER(Upgrades!$U$17,I381),1)*IF(Upgrades!$T$18="Stellar Kinematics",POWER(Upgrades!$U$18,J381),1)*IF(Upgrades!$T$19="Stellar Kinematics",POWER(Upgrades!$U$19,K381),1)*IF(Upgrades!$T$20="Stellar Kinematics",POWER(Upgrades!$U$20,L381),1)*IF(Upgrades!$T$21="Stellar Kinematics",POWER(Upgrades!$U$21,M381),1))*POWER(Upgrades!$P$13,E381)*POWER(Upgrades!$P$14,F381)*POWER(Upgrades!$P$15,G381)*POWER(Upgrades!$P$16,H381)*POWER(Upgrades!$P$17,I381)*POWER(Upgrades!$P$18,J381)*POWER(Upgrades!$P$19,K381)*POWER(Upgrades!$P$20,L381)*POWER(Upgrades!$P$21,M381)*$F$6*60</f>
        <v/>
      </c>
      <c r="AB381" s="27">
        <f>(IF(F381=0,0,(Upgrades!$G$14+F381*Upgrades!$H$14)*POWER(Upgrades!$I$14,F381)))*(IF(Upgrades!$T$13="Local Bubble",POWER(Upgrades!$U$13,E381),1)*IF(Upgrades!$T$15="Local Bubble",POWER(Upgrades!$U$15,G381),1)*IF(Upgrades!$T$16="Local Bubble",POWER(Upgrades!$U$16,H381),1)*IF(Upgrades!$T$17="Local Bubble",POWER(Upgrades!$U$17,I381),1)*IF(Upgrades!$T$18="Local Bubble",POWER(Upgrades!$U$18,J381),1)*IF(Upgrades!$T$19="Local Bubble",POWER(Upgrades!$U$19,K381),1)*IF(Upgrades!$T$20="Local Bubble",POWER(Upgrades!$U$20,L381),1)*IF(Upgrades!$T$21="Local Bubble",POWER(Upgrades!$U$21,M381),1))*POWER(Upgrades!$P$13,E381)*POWER(Upgrades!$P$14,F381)*POWER(Upgrades!$P$15,G381)*POWER(Upgrades!$P$16,H381)*POWER(Upgrades!$P$17,I381)*POWER(Upgrades!$P$18,J381)*POWER(Upgrades!$P$19,K381)*POWER(Upgrades!$P$20,L381)*POWER(Upgrades!$P$21,M381)*$F$6*60</f>
        <v/>
      </c>
      <c r="AC381" s="27">
        <f>(IF(G381=0,0,(Upgrades!$J$15+G381*Upgrades!$K$15)*POWER(Upgrades!$L$15,G381)))*(IF(Upgrades!$T$13="Microlensing",POWER(Upgrades!$U$13,E381),1)*IF(Upgrades!$T$14="Microlensing",POWER(Upgrades!$U$14,F381),1)*IF(Upgrades!$T$16="Microlensing",POWER(Upgrades!$U$16,H381),1)*IF(Upgrades!$T$17="Microlensing",POWER(Upgrades!$U$17,I381),1)*IF(Upgrades!$T$18="Microlensing",POWER(Upgrades!$U$18,J381),1)*IF(Upgrades!$T$19="Microlensing",POWER(Upgrades!$U$19,K381),1)*IF(Upgrades!$T$20="Microlensing",POWER(Upgrades!$U$20,L381),1)*IF(Upgrades!$T$21="Microlensing",POWER(Upgrades!$U$21,M381),1))*POWER(Upgrades!$Q$13,E381)*POWER(Upgrades!$Q$14,F381)*POWER(Upgrades!$Q$15,G381)*POWER(Upgrades!$Q$16,H381)*POWER(Upgrades!$Q$17,I381)*POWER(Upgrades!$Q$18,J381)*POWER(Upgrades!$Q$19,K381)*POWER(Upgrades!$Q$20,L381)*POWER(Upgrades!$Q$21,M381)*$G$6*(Parameters!$B$10*Parameters!$B$11+Q381*60)</f>
        <v/>
      </c>
      <c r="AD381" s="27">
        <f>(IF(H381=0,0,(Upgrades!$M$16+H381*Upgrades!$N$16)*POWER(Upgrades!$O$16,H381)))*(IF(Upgrades!$T$13="Roche Lobe Overflow",POWER(Upgrades!$U$13,E381),1)*IF(Upgrades!$T$14="Roche Lobe Overflow",POWER(Upgrades!$U$14,F381),1)*IF(Upgrades!$T$15="Roche Lobe Overflow",POWER(Upgrades!$U$15,G381),1)*IF(Upgrades!$T$17="Roche Lobe Overflow",POWER(Upgrades!$U$17,I381),1)*IF(Upgrades!$T$18="Roche Lobe Overflow",POWER(Upgrades!$U$18,J381),1)*IF(Upgrades!$T$19="Roche Lobe Overflow",POWER(Upgrades!$U$19,K381),1)*IF(Upgrades!$T$20="Roche Lobe Overflow",POWER(Upgrades!$U$20,L381),1)*IF(Upgrades!$T$21="Roche Lobe Overflow",POWER(Upgrades!$U$21,M381),1))*POWER(Upgrades!$R$13,E381)*POWER(Upgrades!$R$14,F381)*POWER(Upgrades!$R$15,G381)*POWER(Upgrades!$R$16,H381)*POWER(Upgrades!$R$17,I381)*POWER(Upgrades!$R$18,J381)*POWER(Upgrades!$R$19,K381)*POWER(Upgrades!$R$20,L381)*POWER(Upgrades!$R$21,M381)*$H$6*O381*60</f>
        <v/>
      </c>
      <c r="AE381" s="27">
        <f>(IF(I381=0,0,(Upgrades!$G$17+I381*Upgrades!$H$17)*POWER(Upgrades!$I$17,I381)))*(IF(Upgrades!$T$13="Brown Dwarf",POWER(Upgrades!$U$13,E381),1)*IF(Upgrades!$T$14="Brown Dwarf",POWER(Upgrades!$U$14,F381),1)*IF(Upgrades!$T$15="Brown Dwarf",POWER(Upgrades!$U$15,G381),1)*IF(Upgrades!$T$16="Brown Dwarf",POWER(Upgrades!$U$16,H381),1)*IF(Upgrades!$T$18="Brown Dwarf",POWER(Upgrades!$U$18,J381),1)*IF(Upgrades!$T$19="Brown Dwarf",POWER(Upgrades!$U$19,K381),1)*IF(Upgrades!$T$20="Brown Dwarf",POWER(Upgrades!$U$20,L381),1)*IF(Upgrades!$T$21="Brown Dwarf",POWER(Upgrades!$U$21,M381),1))*POWER(Upgrades!$P$13,E381)*POWER(Upgrades!$P$14,F381)*POWER(Upgrades!$P$15,G381)*POWER(Upgrades!$P$16,H381)*POWER(Upgrades!$P$17,I381)*POWER(Upgrades!$P$18,J381)*POWER(Upgrades!$P$19,K381)*POWER(Upgrades!$P$20,L381)*POWER(Upgrades!$P$21,M381)*$F$6*60</f>
        <v/>
      </c>
      <c r="AF381" s="27" t="n">
        <v>0</v>
      </c>
      <c r="AG381" s="27" t="n">
        <v>0</v>
      </c>
      <c r="AH381" s="27" t="n">
        <v>0</v>
      </c>
      <c r="AI381" s="27">
        <f>(IF(M381=0,0,(Upgrades!$G$21+M381*Upgrades!$H$21)*POWER(Upgrades!$I$21,M381)))*(IF(Upgrades!$T$13="Moving Group",POWER(Upgrades!$U$13,E381),1)*IF(Upgrades!$T$14="Moving Group",POWER(Upgrades!$U$14,F381),1)*IF(Upgrades!$T$15="Moving Group",POWER(Upgrades!$U$15,G381),1)*IF(Upgrades!$T$16="Moving Group",POWER(Upgrades!$U$16,H381),1)*IF(Upgrades!$T$17="Moving Group",POWER(Upgrades!$U$17,I381),1)*IF(Upgrades!$T$18="Moving Group",POWER(Upgrades!$U$18,J381),1)*IF(Upgrades!$T$19="Moving Group",POWER(Upgrades!$U$19,K381),1)*IF(Upgrades!$T$20="Moving Group",POWER(Upgrades!$U$20,L381),1))*POWER(Upgrades!$P$13,E381)*POWER(Upgrades!$P$14,F381)*POWER(Upgrades!$P$15,G381)*POWER(Upgrades!$P$16,H381)*POWER(Upgrades!$P$17,I381)*POWER(Upgrades!$P$18,J381)*POWER(Upgrades!$P$19,K381)*POWER(Upgrades!$P$20,L381)*POWER(Upgrades!$P$21,M381)*$F$6*60</f>
        <v/>
      </c>
      <c r="AJ381" s="27">
        <f>$C$6*60</f>
        <v/>
      </c>
      <c r="AK381" s="22">
        <f>IF(E381&gt;=Upgrades!$E$13,"",Upgrades!$C$13*POWER(Upgrades!$D$13,E381))</f>
        <v/>
      </c>
      <c r="AL381" s="22">
        <f>IF(F381&gt;=Upgrades!$E$14,"",Upgrades!$C$14*POWER(Upgrades!$D$14,F381))</f>
        <v/>
      </c>
      <c r="AM381" s="22">
        <f>IF(G381&gt;=Upgrades!$E$15,"",Upgrades!$C$15*POWER(Upgrades!$D$15,G381))</f>
        <v/>
      </c>
      <c r="AN381" s="22">
        <f>IF(H381&gt;=Upgrades!$E$16,"",Upgrades!$C$16*POWER(Upgrades!$D$16,H381))</f>
        <v/>
      </c>
      <c r="AO381" s="22">
        <f>IF(I381&gt;=Upgrades!$E$17,"",Upgrades!$C$17*POWER(Upgrades!$D$17,I381))</f>
        <v/>
      </c>
      <c r="AP381" s="22">
        <f>IF(J381&gt;=Upgrades!$E$18,"",Upgrades!$C$18*POWER(Upgrades!$D$18,J381))</f>
        <v/>
      </c>
      <c r="AQ381" s="22">
        <f>IF(K381&gt;=Upgrades!$E$19,"",Upgrades!$C$19*POWER(Upgrades!$D$19,K381))</f>
        <v/>
      </c>
      <c r="AR381" s="22">
        <f>IF(L381&gt;=Upgrades!$E$20,"",Upgrades!$C$20*POWER(Upgrades!$D$20,L381))</f>
        <v/>
      </c>
      <c r="AS381" s="22">
        <f>IF(M381&gt;=Upgrades!$E$21,"",Upgrades!$C$21*POWER(Upgrades!$D$21,M381))</f>
        <v/>
      </c>
      <c r="AT381" s="26">
        <f>IF(AND(D381&gt;=Parameters!$B$18*Parameters!$B$19,(I381&gt;=Upgrades!$E$17)*(M381&gt;=Upgrades!$E$21)=1,N381=0),1,"")</f>
        <v/>
      </c>
      <c r="AU381" s="26">
        <f>IF(AND(D381&gt;=Parameters!$B$18*Parameters!$B$19,N381=0),1,"")</f>
        <v/>
      </c>
      <c r="AV381" s="22">
        <f>MIN(IF(ISNUMBER(AP381),AP381,9E15),IF(ISNUMBER(AQ381),AQ381,9E15),IF(ISNUMBER(AR381),AR381,9E15),IF(ISNUMBER(AS381),AS381,9E15))</f>
        <v/>
      </c>
      <c r="AW381" s="22">
        <f>MIN(IF(ISNUMBER(AK381),AK381,9E15),IF(ISNUMBER(AL381),AL381,9E15),IF(ISNUMBER(AM381),AM381,9E15),IF(ISNUMBER(AN381),AN381,9E15),IF(ISNUMBER(AO381),AO381,9E15))</f>
        <v/>
      </c>
      <c r="AX381" s="29">
        <f>IF(BD381&gt;Parameters!$B$21*(MAX(IF(AND(NOT(AND(AU381=1,AT381&lt;&gt;1)),ISNUMBER(AK381),AK381&lt;=(C381+T381)),AY381,0),IF(AND(NOT(AND(AU381=1,AT381&lt;&gt;1)),ISNUMBER(AL381),AL381&lt;=(C381+T381)),AZ381,0),IF(AND(NOT(AND(AU381=1,AT381&lt;&gt;1)),ISNUMBER(AM381),AM381&lt;=(C381+T381)),BA381,0),IF(AND(NOT(AND(AU381=1,AT381&lt;&gt;1)),ISNUMBER(AN381),AN381&lt;=(C381+T381)),BB381,0),IF(AND(ISNUMBER(AO381),AO381&lt;=(C381+T381)),BC381,0))),TRUE,FALSE)</f>
        <v/>
      </c>
      <c r="AY381" s="32">
        <f>IFERROR(Upgrades!$H$13*(POWER(Upgrades!$P$13,E381)*POWER(Upgrades!$P$14,F381)*POWER(Upgrades!$P$15,G381)*POWER(Upgrades!$P$16,H381)*POWER(Upgrades!$P$17,I381)*POWER(Upgrades!$P$18,J381)*POWER(Upgrades!$P$19,K381)*POWER(Upgrades!$P$20,L381)*POWER(Upgrades!$P$21,M381))*(IF(Upgrades!$T$14="Stellar Kinematics",POWER(Upgrades!$U$14,F381),1)*IF(Upgrades!$T$15="Stellar Kinematics",POWER(Upgrades!$U$15,G381),1)*IF(Upgrades!$T$16="Stellar Kinematics",POWER(Upgrades!$U$16,H381),1)*IF(Upgrades!$T$17="Stellar Kinematics",POWER(Upgrades!$U$17,I381),1)*IF(Upgrades!$T$18="Stellar Kinematics",POWER(Upgrades!$U$18,J381),1)*IF(Upgrades!$T$19="Stellar Kinematics",POWER(Upgrades!$U$19,K381),1)*IF(Upgrades!$T$20="Stellar Kinematics",POWER(Upgrades!$U$20,L381),1)*IF(Upgrades!$T$21="Stellar Kinematics",POWER(Upgrades!$U$21,M381),1))*$F$6/AK381,0)</f>
        <v/>
      </c>
      <c r="AZ381" s="32">
        <f>IFERROR(Upgrades!$H$14*(POWER(Upgrades!$P$13,E381)*POWER(Upgrades!$P$14,F381)*POWER(Upgrades!$P$15,G381)*POWER(Upgrades!$P$16,H381)*POWER(Upgrades!$P$17,I381)*POWER(Upgrades!$P$18,J381)*POWER(Upgrades!$P$19,K381)*POWER(Upgrades!$P$20,L381)*POWER(Upgrades!$P$21,M381))*(IF(Upgrades!$T$13="Local Bubble",POWER(Upgrades!$U$13,E381),1)*IF(Upgrades!$T$15="Local Bubble",POWER(Upgrades!$U$15,G381),1)*IF(Upgrades!$T$16="Local Bubble",POWER(Upgrades!$U$16,H381),1)*IF(Upgrades!$T$17="Local Bubble",POWER(Upgrades!$U$17,I381),1)*IF(Upgrades!$T$18="Local Bubble",POWER(Upgrades!$U$18,J381),1)*IF(Upgrades!$T$19="Local Bubble",POWER(Upgrades!$U$19,K381),1)*IF(Upgrades!$T$20="Local Bubble",POWER(Upgrades!$U$20,L381),1)*IF(Upgrades!$T$21="Local Bubble",POWER(Upgrades!$U$21,M381),1))*$F$6/AL381,0)</f>
        <v/>
      </c>
      <c r="BA381" s="32">
        <f>IFERROR(Upgrades!$K$15*(POWER(Upgrades!$Q$13,E381)*POWER(Upgrades!$Q$14,F381)*POWER(Upgrades!$Q$15,G381)*POWER(Upgrades!$Q$16,H381)*POWER(Upgrades!$Q$17,I381)*POWER(Upgrades!$Q$18,J381)*POWER(Upgrades!$Q$19,K381)*POWER(Upgrades!$Q$20,L381)*POWER(Upgrades!$Q$21,M381))*(IF(Upgrades!$T$13="Microlensing",POWER(Upgrades!$U$13,E381),1)*IF(Upgrades!$T$14="Microlensing",POWER(Upgrades!$U$14,F381),1)*IF(Upgrades!$T$16="Microlensing",POWER(Upgrades!$U$16,H381),1)*IF(Upgrades!$T$17="Microlensing",POWER(Upgrades!$U$17,I381),1)*IF(Upgrades!$T$18="Microlensing",POWER(Upgrades!$U$18,J381),1)*IF(Upgrades!$T$19="Microlensing",POWER(Upgrades!$U$19,K381),1)*IF(Upgrades!$T$20="Microlensing",POWER(Upgrades!$U$20,L381),1)*IF(Upgrades!$T$21="Microlensing",POWER(Upgrades!$U$21,M381),1))*$G$6*(Parameters!$B$10/60*Parameters!$B$11+Q381)/AM381,0)</f>
        <v/>
      </c>
      <c r="BB381" s="32">
        <f>IFERROR((Upgrades!$N$16*(POWER(Upgrades!$R$13,E381)*POWER(Upgrades!$R$14,F381)*POWER(Upgrades!$R$15,G381)*POWER(Upgrades!$R$16,H381)*POWER(Upgrades!$R$17,I381)*POWER(Upgrades!$R$18,J381)*POWER(Upgrades!$R$19,K381)*POWER(Upgrades!$R$20,L381)*POWER(Upgrades!$R$21,M381))*(IF(Upgrades!$T$13="Roche Lobe Overflow",POWER(Upgrades!$U$13,E381),1)*IF(Upgrades!$T$14="Roche Lobe Overflow",POWER(Upgrades!$U$14,F381),1)*IF(Upgrades!$T$15="Roche Lobe Overflow",POWER(Upgrades!$U$15,G381),1)*IF(Upgrades!$T$17="Roche Lobe Overflow",POWER(Upgrades!$U$17,I381),1)*IF(Upgrades!$T$18="Roche Lobe Overflow",POWER(Upgrades!$U$18,J381),1)*IF(Upgrades!$T$19="Roche Lobe Overflow",POWER(Upgrades!$U$19,K381),1)*IF(Upgrades!$T$20="Roche Lobe Overflow",POWER(Upgrades!$U$20,L381),1)*IF(Upgrades!$T$21="Roche Lobe Overflow",POWER(Upgrades!$U$21,M381),1))*$H$6*O381+((IF(F381=0,0,(Upgrades!$G$14+F381*Upgrades!$H$14)*POWER(Upgrades!$I$14,F381)))*(IF(Upgrades!$T$13="Local Bubble",POWER(Upgrades!$U$13,E381),1)*IF(Upgrades!$T$15="Local Bubble",POWER(Upgrades!$U$15,G381),1)*IF(Upgrades!$T$16="Local Bubble",POWER(Upgrades!$U$16,H381),1)*IF(Upgrades!$T$17="Local Bubble",POWER(Upgrades!$U$17,I381),1)*IF(Upgrades!$T$18="Local Bubble",POWER(Upgrades!$U$18,J381),1)*IF(Upgrades!$T$19="Local Bubble",POWER(Upgrades!$U$19,K381),1)*IF(Upgrades!$T$20="Local Bubble",POWER(Upgrades!$U$20,L381),1)*IF(Upgrades!$T$21="Local Bubble",POWER(Upgrades!$U$21,M381),1))*POWER(Upgrades!$P$13,E381)*POWER(Upgrades!$P$14,F381)*POWER(Upgrades!$P$15,G381)*POWER(Upgrades!$P$16,H381)*POWER(Upgrades!$P$17,I381)*POWER(Upgrades!$P$18,J381)*POWER(Upgrades!$P$19,K381)*POWER(Upgrades!$P$20,L381)*POWER(Upgrades!$P$21,M381)*$F$6)*0.05)/AN381,0)</f>
        <v/>
      </c>
      <c r="BC381" s="32">
        <f>IFERROR((Upgrades!$H$17*(POWER(Upgrades!$P$13,E381)*POWER(Upgrades!$P$14,F381)*POWER(Upgrades!$P$15,G381)*POWER(Upgrades!$P$16,H381)*POWER(Upgrades!$P$17,I381)*POWER(Upgrades!$P$18,J381)*POWER(Upgrades!$P$19,K381)*POWER(Upgrades!$P$20,L381)*POWER(Upgrades!$P$21,M381))*(IF(Upgrades!$T$13="Brown Dwarf",POWER(Upgrades!$U$13,E381),1)*IF(Upgrades!$T$14="Brown Dwarf",POWER(Upgrades!$U$14,F381),1)*IF(Upgrades!$T$15="Brown Dwarf",POWER(Upgrades!$U$15,G381),1)*IF(Upgrades!$T$16="Brown Dwarf",POWER(Upgrades!$U$16,H381),1)*IF(Upgrades!$T$18="Brown Dwarf",POWER(Upgrades!$U$18,J381),1)*IF(Upgrades!$T$19="Brown Dwarf",POWER(Upgrades!$U$19,K381),1)*IF(Upgrades!$T$20="Brown Dwarf",POWER(Upgrades!$U$20,L381),1)*IF(Upgrades!$T$21="Brown Dwarf",POWER(Upgrades!$U$21,M381),1))*$F$6+(((IF(H381=0,0,(Upgrades!$M$16+H381*Upgrades!$N$16)*POWER(Upgrades!$O$16,H381)))*(IF(Upgrades!$T$13="Roche Lobe Overflow",POWER(Upgrades!$U$13,E381),1)*IF(Upgrades!$T$14="Roche Lobe Overflow",POWER(Upgrades!$U$14,F381),1)*IF(Upgrades!$T$15="Roche Lobe Overflow",POWER(Upgrades!$U$15,G381),1)*IF(Upgrades!$T$17="Roche Lobe Overflow",POWER(Upgrades!$U$17,I381),1)*IF(Upgrades!$T$18="Roche Lobe Overflow",POWER(Upgrades!$U$18,J381),1)*IF(Upgrades!$T$19="Roche Lobe Overflow",POWER(Upgrades!$U$19,K381),1)*IF(Upgrades!$T$20="Roche Lobe Overflow",POWER(Upgrades!$U$20,L381),1)*IF(Upgrades!$T$21="Roche Lobe Overflow",POWER(Upgrades!$U$21,M381),1))*POWER(Upgrades!$R$13,E381)*POWER(Upgrades!$R$14,F381)*POWER(Upgrades!$R$15,G381)*POWER(Upgrades!$R$16,H381)*POWER(Upgrades!$R$17,I381)*POWER(Upgrades!$R$18,J381)*POWER(Upgrades!$R$19,K381)*POWER(Upgrades!$R$20,L381)*POWER(Upgrades!$R$21,M381)*$H$6)*O381)*0.10)/AO381,0)</f>
        <v/>
      </c>
      <c r="BD381" s="32">
        <f>MAX(IF(J381&gt;0,0,IFERROR(0.5*((IF(G381=0,0,(Upgrades!$J$15+G381*Upgrades!$K$15)*POWER(Upgrades!$L$15,G381)))*(IF(Upgrades!$T$13="Microlensing",POWER(Upgrades!$U$13,E381),1)*IF(Upgrades!$T$14="Microlensing",POWER(Upgrades!$U$14,F381),1)*IF(Upgrades!$T$16="Microlensing",POWER(Upgrades!$U$16,H381),1)*IF(Upgrades!$T$17="Microlensing",POWER(Upgrades!$U$17,I381),1)*IF(Upgrades!$T$18="Microlensing",POWER(Upgrades!$U$18,J381),1)*IF(Upgrades!$T$19="Microlensing",POWER(Upgrades!$U$19,K381),1)*IF(Upgrades!$T$20="Microlensing",POWER(Upgrades!$U$20,L381),1)*IF(Upgrades!$T$21="Microlensing",POWER(Upgrades!$U$21,M381),1))*(POWER(Upgrades!$Q$13,E381)*POWER(Upgrades!$Q$14,F381)*POWER(Upgrades!$Q$15,G381)*POWER(Upgrades!$Q$16,H381)*POWER(Upgrades!$Q$17,I381)*POWER(Upgrades!$Q$18,J381)*POWER(Upgrades!$Q$19,K381)*POWER(Upgrades!$Q$20,L381)*POWER(Upgrades!$Q$21,M381))*$G$6*(Parameters!$B$10/60*Parameters!$B$11+Q381))/Upgrades!$C$18,0)),IF(K381&gt;0,0,IFERROR(0.30*P381/Upgrades!$C$19,0)),IF(L381&gt;0,0,IFERROR(0.0001/Upgrades!$C$20,0)),IF(M381&gt;0,0,IFERROR((6.0*(POWER(Upgrades!$P$13,E381)*POWER(Upgrades!$P$14,F381)*POWER(Upgrades!$P$15,G381)*POWER(Upgrades!$P$16,H381)*POWER(Upgrades!$P$17,I381)*POWER(Upgrades!$P$18,J381)*POWER(Upgrades!$P$19,K381)*POWER(Upgrades!$P$20,L381)*POWER(Upgrades!$P$21,M381))*$F$6+0.20*O381*(Parameters!$B$10/60*Parameters!$B$11+Q381))/Upgrades!$C$21,0)),IF(AND(ISNUMBER(AK381),AK381&gt;(C381+T381)),AY381,0),IF(AND(ISNUMBER(AL381),AL381&gt;(C381+T381)),AZ381,0),IF(AND(ISNUMBER(AM381),AM381&gt;(C381+T381)),BA381,0),IF(AND(ISNUMBER(AN381),AN381&gt;(C381+T381)),BB381,0),IF(AND(ISNUMBER(AO381),AO381&gt;(C381+T381)),BC381,0))</f>
        <v/>
      </c>
      <c r="BE381" s="29">
        <f>IF(AT381=1,"transition",IF(MIN(IF(AND(J381=0,ISNUMBER(AP381),AP381&lt;=(C381+T381)),AP381,9E15),IF(AND(K381=0,ISNUMBER(AQ381),AQ381&lt;=(C381+T381)),AQ381,9E15),IF(AND(L381=0,ISNUMBER(AR381),AR381&lt;=(C381+T381)),AR381,9E15),IF(AND(M381=0,ISNUMBER(AS381),AS381&lt;=(C381+T381)),AS381,9E15))&lt;9E15,IF(AND(AND(J381=0,ISNUMBER(AP381),AP381&lt;=(C381+T381)),AP381=MIN(IF(AND(J381=0,ISNUMBER(AP381),AP381&lt;=(C381+T381)),AP381,9E15),IF(AND(K381=0,ISNUMBER(AQ381),AQ381&lt;=(C381+T381)),AQ381,9E15),IF(AND(L381=0,ISNUMBER(AR381),AR381&lt;=(C381+T381)),AR381,9E15),IF(AND(M381=0,ISNUMBER(AS381),AS381&lt;=(C381+T381)),AS381,9E15))),"BiP",IF(AND(AND(K381=0,ISNUMBER(AQ381),AQ381&lt;=(C381+T381)),AQ381=MIN(IF(AND(J381=0,ISNUMBER(AP381),AP381&lt;=(C381+T381)),AP381,9E15),IF(AND(K381=0,ISNUMBER(AQ381),AQ381&lt;=(C381+T381)),AQ381,9E15),IF(AND(L381=0,ISNUMBER(AR381),AR381&lt;=(C381+T381)),AR381,9E15),IF(AND(M381=0,ISNUMBER(AS381),AS381&lt;=(C381+T381)),AS381,9E15))),"PV",IF(AND(AND(L381=0,ISNUMBER(AR381),AR381&lt;=(C381+T381)),AR381=MIN(IF(AND(J381=0,ISNUMBER(AP381),AP381&lt;=(C381+T381)),AP381,9E15),IF(AND(K381=0,ISNUMBER(AQ381),AQ381&lt;=(C381+T381)),AQ381,9E15),IF(AND(L381=0,ISNUMBER(AR381),AR381&lt;=(C381+T381)),AR381,9E15),IF(AND(M381=0,ISNUMBER(AS381),AS381&lt;=(C381+T381)),AS381,9E15))),"OC","MG"))),IF(AX381=TRUE,"",IF(MAX(IF(AND(NOT(AND(AU381=1,AT381&lt;&gt;1)),ISNUMBER(AK381),AK381&lt;=(C381+T381)),AY381,0),IF(AND(NOT(AND(AU381=1,AT381&lt;&gt;1)),ISNUMBER(AL381),AL381&lt;=(C381+T381)),AZ381,0),IF(AND(NOT(AND(AU381=1,AT381&lt;&gt;1)),ISNUMBER(AM381),AM381&lt;=(C381+T381)),BA381,0),IF(AND(NOT(AND(AU381=1,AT381&lt;&gt;1)),ISNUMBER(AN381),AN381&lt;=(C381+T381)),BB381,0),IF(AND(ISNUMBER(AO381),AO381&lt;=(C381+T381)),BC381,0))&lt;=0,"",IF(AND(IF(AND(NOT(AND(AU381=1,AT381&lt;&gt;1)),ISNUMBER(AK381),AK381&lt;=(C381+T381)),AY381,0)&gt;0,IF(AND(NOT(AND(AU381=1,AT381&lt;&gt;1)),ISNUMBER(AK381),AK381&lt;=(C381+T381)),AY381,0)=MAX(IF(AND(NOT(AND(AU381=1,AT381&lt;&gt;1)),ISNUMBER(AK381),AK381&lt;=(C381+T381)),AY381,0),IF(AND(NOT(AND(AU381=1,AT381&lt;&gt;1)),ISNUMBER(AL381),AL381&lt;=(C381+T381)),AZ381,0),IF(AND(NOT(AND(AU381=1,AT381&lt;&gt;1)),ISNUMBER(AM381),AM381&lt;=(C381+T381)),BA381,0),IF(AND(NOT(AND(AU381=1,AT381&lt;&gt;1)),ISNUMBER(AN381),AN381&lt;=(C381+T381)),BB381,0),IF(AND(ISNUMBER(AO381),AO381&lt;=(C381+T381)),BC381,0))),"SK",IF(AND(IF(AND(NOT(AND(AU381=1,AT381&lt;&gt;1)),ISNUMBER(AL381),AL381&lt;=(C381+T381)),AZ381,0)&gt;0,IF(AND(NOT(AND(AU381=1,AT381&lt;&gt;1)),ISNUMBER(AL381),AL381&lt;=(C381+T381)),AZ381,0)=MAX(IF(AND(NOT(AND(AU381=1,AT381&lt;&gt;1)),ISNUMBER(AK381),AK381&lt;=(C381+T381)),AY381,0),IF(AND(NOT(AND(AU381=1,AT381&lt;&gt;1)),ISNUMBER(AL381),AL381&lt;=(C381+T381)),AZ381,0),IF(AND(NOT(AND(AU381=1,AT381&lt;&gt;1)),ISNUMBER(AM381),AM381&lt;=(C381+T381)),BA381,0),IF(AND(NOT(AND(AU381=1,AT381&lt;&gt;1)),ISNUMBER(AN381),AN381&lt;=(C381+T381)),BB381,0),IF(AND(ISNUMBER(AO381),AO381&lt;=(C381+T381)),BC381,0))),"LB",IF(AND(IF(AND(NOT(AND(AU381=1,AT381&lt;&gt;1)),ISNUMBER(AM381),AM381&lt;=(C381+T381)),BA381,0)&gt;0,IF(AND(NOT(AND(AU381=1,AT381&lt;&gt;1)),ISNUMBER(AM381),AM381&lt;=(C381+T381)),BA381,0)=MAX(IF(AND(NOT(AND(AU381=1,AT381&lt;&gt;1)),ISNUMBER(AK381),AK381&lt;=(C381+T381)),AY381,0),IF(AND(NOT(AND(AU381=1,AT381&lt;&gt;1)),ISNUMBER(AL381),AL381&lt;=(C381+T381)),AZ381,0),IF(AND(NOT(AND(AU381=1,AT381&lt;&gt;1)),ISNUMBER(AM381),AM381&lt;=(C381+T381)),BA381,0),IF(AND(NOT(AND(AU381=1,AT381&lt;&gt;1)),ISNUMBER(AN381),AN381&lt;=(C381+T381)),BB381,0),IF(AND(ISNUMBER(AO381),AO381&lt;=(C381+T381)),BC381,0))),"ML",IF(AND(IF(AND(NOT(AND(AU381=1,AT381&lt;&gt;1)),ISNUMBER(AN381),AN381&lt;=(C381+T381)),BB381,0)&gt;0,IF(AND(NOT(AND(AU381=1,AT381&lt;&gt;1)),ISNUMBER(AN381),AN381&lt;=(C381+T381)),BB381,0)=MAX(IF(AND(NOT(AND(AU381=1,AT381&lt;&gt;1)),ISNUMBER(AK381),AK381&lt;=(C381+T381)),AY381,0),IF(AND(NOT(AND(AU381=1,AT381&lt;&gt;1)),ISNUMBER(AL381),AL381&lt;=(C381+T381)),AZ381,0),IF(AND(NOT(AND(AU381=1,AT381&lt;&gt;1)),ISNUMBER(AM381),AM381&lt;=(C381+T381)),BA381,0),IF(AND(NOT(AND(AU381=1,AT381&lt;&gt;1)),ISNUMBER(AN381),AN381&lt;=(C381+T381)),BB381,0),IF(AND(ISNUMBER(AO381),AO381&lt;=(C381+T381)),BC381,0))),"RLO","BD"))))))))</f>
        <v/>
      </c>
    </row>
    <row r="382">
      <c r="A382" s="26" t="n">
        <v>371</v>
      </c>
      <c r="B382" s="27">
        <f>A382*10/60</f>
        <v/>
      </c>
      <c r="C382" s="22">
        <f>X381</f>
        <v/>
      </c>
      <c r="D382" s="27">
        <f>D381+W381</f>
        <v/>
      </c>
      <c r="E382" s="26">
        <f>E381+IF(U381="SK",1,0)</f>
        <v/>
      </c>
      <c r="F382" s="26">
        <f>F381+IF(U381="LB",1,0)</f>
        <v/>
      </c>
      <c r="G382" s="26">
        <f>G381+IF(U381="ML",1,0)</f>
        <v/>
      </c>
      <c r="H382" s="26">
        <f>H381+IF(U381="RLO",1,0)</f>
        <v/>
      </c>
      <c r="I382" s="26">
        <f>I381+IF(U381="BD",1,0)</f>
        <v/>
      </c>
      <c r="J382" s="26">
        <f>MAX(J381,IF(U381="BiP",1,0))</f>
        <v/>
      </c>
      <c r="K382" s="26">
        <f>MAX(K381,IF(U381="PV",1,0))</f>
        <v/>
      </c>
      <c r="L382" s="26">
        <f>MAX(L381,IF(U381="OC",1,0))</f>
        <v/>
      </c>
      <c r="M382" s="26">
        <f>MAX(M381,IF(U381="MG",1,0))</f>
        <v/>
      </c>
      <c r="N382" s="26">
        <f>MAX(N381,IF(U381="transition",1,0))</f>
        <v/>
      </c>
      <c r="O382" s="28">
        <f>(Parameters!$B$9+(IF(E382=0,0,(Upgrades!$J$13+E382*Upgrades!$K$13)*POWER(Upgrades!$L$13,E382)))*(IF(Upgrades!$T$14="Stellar Kinematics",POWER(Upgrades!$U$14,F382),1)*IF(Upgrades!$T$15="Stellar Kinematics",POWER(Upgrades!$U$15,G382),1)*IF(Upgrades!$T$16="Stellar Kinematics",POWER(Upgrades!$U$16,H382),1)*IF(Upgrades!$T$17="Stellar Kinematics",POWER(Upgrades!$U$17,I382),1)*IF(Upgrades!$T$18="Stellar Kinematics",POWER(Upgrades!$U$18,J382),1)*IF(Upgrades!$T$19="Stellar Kinematics",POWER(Upgrades!$U$19,K382),1)*IF(Upgrades!$T$20="Stellar Kinematics",POWER(Upgrades!$U$20,L382),1)*IF(Upgrades!$T$21="Stellar Kinematics",POWER(Upgrades!$U$21,M382),1))+(IF(F382=0,0,(Upgrades!$J$14+F382*Upgrades!$K$14)*POWER(Upgrades!$L$14,F382)))*(IF(Upgrades!$T$13="Local Bubble",POWER(Upgrades!$U$13,E382),1)*IF(Upgrades!$T$15="Local Bubble",POWER(Upgrades!$U$15,G382),1)*IF(Upgrades!$T$16="Local Bubble",POWER(Upgrades!$U$16,H382),1)*IF(Upgrades!$T$17="Local Bubble",POWER(Upgrades!$U$17,I382),1)*IF(Upgrades!$T$18="Local Bubble",POWER(Upgrades!$U$18,J382),1)*IF(Upgrades!$T$19="Local Bubble",POWER(Upgrades!$U$19,K382),1)*IF(Upgrades!$T$20="Local Bubble",POWER(Upgrades!$U$20,L382),1)*IF(Upgrades!$T$21="Local Bubble",POWER(Upgrades!$U$21,M382),1))+(IF(G382=0,0,(Upgrades!$J$15+G382*Upgrades!$K$15)*POWER(Upgrades!$L$15,G382)))*(IF(Upgrades!$T$13="Microlensing",POWER(Upgrades!$U$13,E382),1)*IF(Upgrades!$T$14="Microlensing",POWER(Upgrades!$U$14,F382),1)*IF(Upgrades!$T$16="Microlensing",POWER(Upgrades!$U$16,H382),1)*IF(Upgrades!$T$17="Microlensing",POWER(Upgrades!$U$17,I382),1)*IF(Upgrades!$T$18="Microlensing",POWER(Upgrades!$U$18,J382),1)*IF(Upgrades!$T$19="Microlensing",POWER(Upgrades!$U$19,K382),1)*IF(Upgrades!$T$20="Microlensing",POWER(Upgrades!$U$20,L382),1)*IF(Upgrades!$T$21="Microlensing",POWER(Upgrades!$U$21,M382),1))+(IF(H382=0,0,(Upgrades!$J$16+H382*Upgrades!$K$16)*POWER(Upgrades!$L$16,H382)))*(IF(Upgrades!$T$13="Roche Lobe Overflow",POWER(Upgrades!$U$13,E382),1)*IF(Upgrades!$T$14="Roche Lobe Overflow",POWER(Upgrades!$U$14,F382),1)*IF(Upgrades!$T$15="Roche Lobe Overflow",POWER(Upgrades!$U$15,G382),1)*IF(Upgrades!$T$17="Roche Lobe Overflow",POWER(Upgrades!$U$17,I382),1)*IF(Upgrades!$T$18="Roche Lobe Overflow",POWER(Upgrades!$U$18,J382),1)*IF(Upgrades!$T$19="Roche Lobe Overflow",POWER(Upgrades!$U$19,K382),1)*IF(Upgrades!$T$20="Roche Lobe Overflow",POWER(Upgrades!$U$20,L382),1)*IF(Upgrades!$T$21="Roche Lobe Overflow",POWER(Upgrades!$U$21,M382),1))+(IF(I382=0,0,(Upgrades!$J$17+I382*Upgrades!$K$17)*POWER(Upgrades!$L$17,I382)))*(IF(Upgrades!$T$13="Brown Dwarf",POWER(Upgrades!$U$13,E382),1)*IF(Upgrades!$T$14="Brown Dwarf",POWER(Upgrades!$U$14,F382),1)*IF(Upgrades!$T$15="Brown Dwarf",POWER(Upgrades!$U$15,G382),1)*IF(Upgrades!$T$16="Brown Dwarf",POWER(Upgrades!$U$16,H382),1)*IF(Upgrades!$T$18="Brown Dwarf",POWER(Upgrades!$U$18,J382),1)*IF(Upgrades!$T$19="Brown Dwarf",POWER(Upgrades!$U$19,K382),1)*IF(Upgrades!$T$20="Brown Dwarf",POWER(Upgrades!$U$20,L382),1)*IF(Upgrades!$T$21="Brown Dwarf",POWER(Upgrades!$U$21,M382),1))+(IF(J382=0,0,(Upgrades!$J$18+J382*Upgrades!$K$18)*POWER(Upgrades!$L$18,J382)))*(IF(Upgrades!$T$13="Binary Partner",POWER(Upgrades!$U$13,E382),1)*IF(Upgrades!$T$14="Binary Partner",POWER(Upgrades!$U$14,F382),1)*IF(Upgrades!$T$15="Binary Partner",POWER(Upgrades!$U$15,G382),1)*IF(Upgrades!$T$16="Binary Partner",POWER(Upgrades!$U$16,H382),1)*IF(Upgrades!$T$17="Binary Partner",POWER(Upgrades!$U$17,I382),1)*IF(Upgrades!$T$19="Binary Partner",POWER(Upgrades!$U$19,K382),1)*IF(Upgrades!$T$20="Binary Partner",POWER(Upgrades!$U$20,L382),1)*IF(Upgrades!$T$21="Binary Partner",POWER(Upgrades!$U$21,M382),1))+(IF(K382=0,0,(Upgrades!$J$19+K382*Upgrades!$K$19)*POWER(Upgrades!$L$19,K382)))*(IF(Upgrades!$T$13="Peculiar Velocity",POWER(Upgrades!$U$13,E382),1)*IF(Upgrades!$T$14="Peculiar Velocity",POWER(Upgrades!$U$14,F382),1)*IF(Upgrades!$T$15="Peculiar Velocity",POWER(Upgrades!$U$15,G382),1)*IF(Upgrades!$T$16="Peculiar Velocity",POWER(Upgrades!$U$16,H382),1)*IF(Upgrades!$T$17="Peculiar Velocity",POWER(Upgrades!$U$17,I382),1)*IF(Upgrades!$T$18="Peculiar Velocity",POWER(Upgrades!$U$18,J382),1)*IF(Upgrades!$T$20="Peculiar Velocity",POWER(Upgrades!$U$20,L382),1)*IF(Upgrades!$T$21="Peculiar Velocity",POWER(Upgrades!$U$21,M382),1))+(IF(L382=0,0,(Upgrades!$J$20+L382*Upgrades!$K$20)*POWER(Upgrades!$L$20,L382)))*(IF(Upgrades!$T$13="Open Cluster",POWER(Upgrades!$U$13,E382),1)*IF(Upgrades!$T$14="Open Cluster",POWER(Upgrades!$U$14,F382),1)*IF(Upgrades!$T$15="Open Cluster",POWER(Upgrades!$U$15,G382),1)*IF(Upgrades!$T$16="Open Cluster",POWER(Upgrades!$U$16,H382),1)*IF(Upgrades!$T$17="Open Cluster",POWER(Upgrades!$U$17,I382),1)*IF(Upgrades!$T$18="Open Cluster",POWER(Upgrades!$U$18,J382),1)*IF(Upgrades!$T$19="Open Cluster",POWER(Upgrades!$U$19,K382),1)*IF(Upgrades!$T$21="Open Cluster",POWER(Upgrades!$U$21,M382),1))+(IF(M382=0,0,(Upgrades!$J$21+M382*Upgrades!$K$21)*POWER(Upgrades!$L$21,M382)))*(IF(Upgrades!$T$13="Moving Group",POWER(Upgrades!$U$13,E382),1)*IF(Upgrades!$T$14="Moving Group",POWER(Upgrades!$U$14,F382),1)*IF(Upgrades!$T$15="Moving Group",POWER(Upgrades!$U$15,G382),1)*IF(Upgrades!$T$16="Moving Group",POWER(Upgrades!$U$16,H382),1)*IF(Upgrades!$T$17="Moving Group",POWER(Upgrades!$U$17,I382),1)*IF(Upgrades!$T$18="Moving Group",POWER(Upgrades!$U$18,J382),1)*IF(Upgrades!$T$19="Moving Group",POWER(Upgrades!$U$19,K382),1)*IF(Upgrades!$T$20="Moving Group",POWER(Upgrades!$U$20,L382),1)))*POWER(Upgrades!$Q$13,E382)*POWER(Upgrades!$Q$14,F382)*POWER(Upgrades!$Q$15,G382)*POWER(Upgrades!$Q$16,H382)*POWER(Upgrades!$Q$17,I382)*POWER(Upgrades!$Q$18,J382)*POWER(Upgrades!$Q$19,K382)*POWER(Upgrades!$Q$20,L382)*POWER(Upgrades!$Q$21,M382)*$G$6+$D$6</f>
        <v/>
      </c>
      <c r="P382" s="28">
        <f>((IF(E382=0,0,(Upgrades!$G$13+E382*Upgrades!$H$13)*POWER(Upgrades!$I$13,E382)))*(IF(Upgrades!$T$14="Stellar Kinematics",POWER(Upgrades!$U$14,F382),1)*IF(Upgrades!$T$15="Stellar Kinematics",POWER(Upgrades!$U$15,G382),1)*IF(Upgrades!$T$16="Stellar Kinematics",POWER(Upgrades!$U$16,H382),1)*IF(Upgrades!$T$17="Stellar Kinematics",POWER(Upgrades!$U$17,I382),1)*IF(Upgrades!$T$18="Stellar Kinematics",POWER(Upgrades!$U$18,J382),1)*IF(Upgrades!$T$19="Stellar Kinematics",POWER(Upgrades!$U$19,K382),1)*IF(Upgrades!$T$20="Stellar Kinematics",POWER(Upgrades!$U$20,L382),1)*IF(Upgrades!$T$21="Stellar Kinematics",POWER(Upgrades!$U$21,M382),1))+(IF(F382=0,0,(Upgrades!$G$14+F382*Upgrades!$H$14)*POWER(Upgrades!$I$14,F382)))*(IF(Upgrades!$T$13="Local Bubble",POWER(Upgrades!$U$13,E382),1)*IF(Upgrades!$T$15="Local Bubble",POWER(Upgrades!$U$15,G382),1)*IF(Upgrades!$T$16="Local Bubble",POWER(Upgrades!$U$16,H382),1)*IF(Upgrades!$T$17="Local Bubble",POWER(Upgrades!$U$17,I382),1)*IF(Upgrades!$T$18="Local Bubble",POWER(Upgrades!$U$18,J382),1)*IF(Upgrades!$T$19="Local Bubble",POWER(Upgrades!$U$19,K382),1)*IF(Upgrades!$T$20="Local Bubble",POWER(Upgrades!$U$20,L382),1)*IF(Upgrades!$T$21="Local Bubble",POWER(Upgrades!$U$21,M382),1))+(IF(G382=0,0,(Upgrades!$G$15+G382*Upgrades!$H$15)*POWER(Upgrades!$I$15,G382)))*(IF(Upgrades!$T$13="Microlensing",POWER(Upgrades!$U$13,E382),1)*IF(Upgrades!$T$14="Microlensing",POWER(Upgrades!$U$14,F382),1)*IF(Upgrades!$T$16="Microlensing",POWER(Upgrades!$U$16,H382),1)*IF(Upgrades!$T$17="Microlensing",POWER(Upgrades!$U$17,I382),1)*IF(Upgrades!$T$18="Microlensing",POWER(Upgrades!$U$18,J382),1)*IF(Upgrades!$T$19="Microlensing",POWER(Upgrades!$U$19,K382),1)*IF(Upgrades!$T$20="Microlensing",POWER(Upgrades!$U$20,L382),1)*IF(Upgrades!$T$21="Microlensing",POWER(Upgrades!$U$21,M382),1))+(IF(H382=0,0,(Upgrades!$G$16+H382*Upgrades!$H$16)*POWER(Upgrades!$I$16,H382)))*(IF(Upgrades!$T$13="Roche Lobe Overflow",POWER(Upgrades!$U$13,E382),1)*IF(Upgrades!$T$14="Roche Lobe Overflow",POWER(Upgrades!$U$14,F382),1)*IF(Upgrades!$T$15="Roche Lobe Overflow",POWER(Upgrades!$U$15,G382),1)*IF(Upgrades!$T$17="Roche Lobe Overflow",POWER(Upgrades!$U$17,I382),1)*IF(Upgrades!$T$18="Roche Lobe Overflow",POWER(Upgrades!$U$18,J382),1)*IF(Upgrades!$T$19="Roche Lobe Overflow",POWER(Upgrades!$U$19,K382),1)*IF(Upgrades!$T$20="Roche Lobe Overflow",POWER(Upgrades!$U$20,L382),1)*IF(Upgrades!$T$21="Roche Lobe Overflow",POWER(Upgrades!$U$21,M382),1))+(IF(I382=0,0,(Upgrades!$G$17+I382*Upgrades!$H$17)*POWER(Upgrades!$I$17,I382)))*(IF(Upgrades!$T$13="Brown Dwarf",POWER(Upgrades!$U$13,E382),1)*IF(Upgrades!$T$14="Brown Dwarf",POWER(Upgrades!$U$14,F382),1)*IF(Upgrades!$T$15="Brown Dwarf",POWER(Upgrades!$U$15,G382),1)*IF(Upgrades!$T$16="Brown Dwarf",POWER(Upgrades!$U$16,H382),1)*IF(Upgrades!$T$18="Brown Dwarf",POWER(Upgrades!$U$18,J382),1)*IF(Upgrades!$T$19="Brown Dwarf",POWER(Upgrades!$U$19,K382),1)*IF(Upgrades!$T$20="Brown Dwarf",POWER(Upgrades!$U$20,L382),1)*IF(Upgrades!$T$21="Brown Dwarf",POWER(Upgrades!$U$21,M382),1))+(IF(J382=0,0,(Upgrades!$G$18+J382*Upgrades!$H$18)*POWER(Upgrades!$I$18,J382)))*(IF(Upgrades!$T$13="Binary Partner",POWER(Upgrades!$U$13,E382),1)*IF(Upgrades!$T$14="Binary Partner",POWER(Upgrades!$U$14,F382),1)*IF(Upgrades!$T$15="Binary Partner",POWER(Upgrades!$U$15,G382),1)*IF(Upgrades!$T$16="Binary Partner",POWER(Upgrades!$U$16,H382),1)*IF(Upgrades!$T$17="Binary Partner",POWER(Upgrades!$U$17,I382),1)*IF(Upgrades!$T$19="Binary Partner",POWER(Upgrades!$U$19,K382),1)*IF(Upgrades!$T$20="Binary Partner",POWER(Upgrades!$U$20,L382),1)*IF(Upgrades!$T$21="Binary Partner",POWER(Upgrades!$U$21,M382),1))+(IF(K382=0,0,(Upgrades!$G$19+K382*Upgrades!$H$19)*POWER(Upgrades!$I$19,K382)))*(IF(Upgrades!$T$13="Peculiar Velocity",POWER(Upgrades!$U$13,E382),1)*IF(Upgrades!$T$14="Peculiar Velocity",POWER(Upgrades!$U$14,F382),1)*IF(Upgrades!$T$15="Peculiar Velocity",POWER(Upgrades!$U$15,G382),1)*IF(Upgrades!$T$16="Peculiar Velocity",POWER(Upgrades!$U$16,H382),1)*IF(Upgrades!$T$17="Peculiar Velocity",POWER(Upgrades!$U$17,I382),1)*IF(Upgrades!$T$18="Peculiar Velocity",POWER(Upgrades!$U$18,J382),1)*IF(Upgrades!$T$20="Peculiar Velocity",POWER(Upgrades!$U$20,L382),1)*IF(Upgrades!$T$21="Peculiar Velocity",POWER(Upgrades!$U$21,M382),1))+(IF(L382=0,0,(Upgrades!$G$20+L382*Upgrades!$H$20)*POWER(Upgrades!$I$20,L382)))*(IF(Upgrades!$T$13="Open Cluster",POWER(Upgrades!$U$13,E382),1)*IF(Upgrades!$T$14="Open Cluster",POWER(Upgrades!$U$14,F382),1)*IF(Upgrades!$T$15="Open Cluster",POWER(Upgrades!$U$15,G382),1)*IF(Upgrades!$T$16="Open Cluster",POWER(Upgrades!$U$16,H382),1)*IF(Upgrades!$T$17="Open Cluster",POWER(Upgrades!$U$17,I382),1)*IF(Upgrades!$T$18="Open Cluster",POWER(Upgrades!$U$18,J382),1)*IF(Upgrades!$T$19="Open Cluster",POWER(Upgrades!$U$19,K382),1)*IF(Upgrades!$T$21="Open Cluster",POWER(Upgrades!$U$21,M382),1))+(IF(M382=0,0,(Upgrades!$G$21+M382*Upgrades!$H$21)*POWER(Upgrades!$I$21,M382)))*(IF(Upgrades!$T$13="Moving Group",POWER(Upgrades!$U$13,E382),1)*IF(Upgrades!$T$14="Moving Group",POWER(Upgrades!$U$14,F382),1)*IF(Upgrades!$T$15="Moving Group",POWER(Upgrades!$U$15,G382),1)*IF(Upgrades!$T$16="Moving Group",POWER(Upgrades!$U$16,H382),1)*IF(Upgrades!$T$17="Moving Group",POWER(Upgrades!$U$17,I382),1)*IF(Upgrades!$T$18="Moving Group",POWER(Upgrades!$U$18,J382),1)*IF(Upgrades!$T$19="Moving Group",POWER(Upgrades!$U$19,K382),1)*IF(Upgrades!$T$20="Moving Group",POWER(Upgrades!$U$20,L382),1)))*POWER(Upgrades!$P$13,E382)*POWER(Upgrades!$P$14,F382)*POWER(Upgrades!$P$15,G382)*POWER(Upgrades!$P$16,H382)*POWER(Upgrades!$P$17,I382)*POWER(Upgrades!$P$18,J382)*POWER(Upgrades!$P$19,K382)*POWER(Upgrades!$P$20,L382)*POWER(Upgrades!$P$21,M382)*$F$6+$C$6</f>
        <v/>
      </c>
      <c r="Q382" s="28">
        <f>((IF(E382=0,0,(Upgrades!$M$13+E382*Upgrades!$N$13)*POWER(Upgrades!$O$13,E382)))*(IF(Upgrades!$T$14="Stellar Kinematics",POWER(Upgrades!$U$14,F382),1)*IF(Upgrades!$T$15="Stellar Kinematics",POWER(Upgrades!$U$15,G382),1)*IF(Upgrades!$T$16="Stellar Kinematics",POWER(Upgrades!$U$16,H382),1)*IF(Upgrades!$T$17="Stellar Kinematics",POWER(Upgrades!$U$17,I382),1)*IF(Upgrades!$T$18="Stellar Kinematics",POWER(Upgrades!$U$18,J382),1)*IF(Upgrades!$T$19="Stellar Kinematics",POWER(Upgrades!$U$19,K382),1)*IF(Upgrades!$T$20="Stellar Kinematics",POWER(Upgrades!$U$20,L382),1)*IF(Upgrades!$T$21="Stellar Kinematics",POWER(Upgrades!$U$21,M382),1))+(IF(F382=0,0,(Upgrades!$M$14+F382*Upgrades!$N$14)*POWER(Upgrades!$O$14,F382)))*(IF(Upgrades!$T$13="Local Bubble",POWER(Upgrades!$U$13,E382),1)*IF(Upgrades!$T$15="Local Bubble",POWER(Upgrades!$U$15,G382),1)*IF(Upgrades!$T$16="Local Bubble",POWER(Upgrades!$U$16,H382),1)*IF(Upgrades!$T$17="Local Bubble",POWER(Upgrades!$U$17,I382),1)*IF(Upgrades!$T$18="Local Bubble",POWER(Upgrades!$U$18,J382),1)*IF(Upgrades!$T$19="Local Bubble",POWER(Upgrades!$U$19,K382),1)*IF(Upgrades!$T$20="Local Bubble",POWER(Upgrades!$U$20,L382),1)*IF(Upgrades!$T$21="Local Bubble",POWER(Upgrades!$U$21,M382),1))+(IF(G382=0,0,(Upgrades!$M$15+G382*Upgrades!$N$15)*POWER(Upgrades!$O$15,G382)))*(IF(Upgrades!$T$13="Microlensing",POWER(Upgrades!$U$13,E382),1)*IF(Upgrades!$T$14="Microlensing",POWER(Upgrades!$U$14,F382),1)*IF(Upgrades!$T$16="Microlensing",POWER(Upgrades!$U$16,H382),1)*IF(Upgrades!$T$17="Microlensing",POWER(Upgrades!$U$17,I382),1)*IF(Upgrades!$T$18="Microlensing",POWER(Upgrades!$U$18,J382),1)*IF(Upgrades!$T$19="Microlensing",POWER(Upgrades!$U$19,K382),1)*IF(Upgrades!$T$20="Microlensing",POWER(Upgrades!$U$20,L382),1)*IF(Upgrades!$T$21="Microlensing",POWER(Upgrades!$U$21,M382),1))+(IF(H382=0,0,(Upgrades!$M$16+H382*Upgrades!$N$16)*POWER(Upgrades!$O$16,H382)))*(IF(Upgrades!$T$13="Roche Lobe Overflow",POWER(Upgrades!$U$13,E382),1)*IF(Upgrades!$T$14="Roche Lobe Overflow",POWER(Upgrades!$U$14,F382),1)*IF(Upgrades!$T$15="Roche Lobe Overflow",POWER(Upgrades!$U$15,G382),1)*IF(Upgrades!$T$17="Roche Lobe Overflow",POWER(Upgrades!$U$17,I382),1)*IF(Upgrades!$T$18="Roche Lobe Overflow",POWER(Upgrades!$U$18,J382),1)*IF(Upgrades!$T$19="Roche Lobe Overflow",POWER(Upgrades!$U$19,K382),1)*IF(Upgrades!$T$20="Roche Lobe Overflow",POWER(Upgrades!$U$20,L382),1)*IF(Upgrades!$T$21="Roche Lobe Overflow",POWER(Upgrades!$U$21,M382),1))+(IF(I382=0,0,(Upgrades!$M$17+I382*Upgrades!$N$17)*POWER(Upgrades!$O$17,I382)))*(IF(Upgrades!$T$13="Brown Dwarf",POWER(Upgrades!$U$13,E382),1)*IF(Upgrades!$T$14="Brown Dwarf",POWER(Upgrades!$U$14,F382),1)*IF(Upgrades!$T$15="Brown Dwarf",POWER(Upgrades!$U$15,G382),1)*IF(Upgrades!$T$16="Brown Dwarf",POWER(Upgrades!$U$16,H382),1)*IF(Upgrades!$T$18="Brown Dwarf",POWER(Upgrades!$U$18,J382),1)*IF(Upgrades!$T$19="Brown Dwarf",POWER(Upgrades!$U$19,K382),1)*IF(Upgrades!$T$20="Brown Dwarf",POWER(Upgrades!$U$20,L382),1)*IF(Upgrades!$T$21="Brown Dwarf",POWER(Upgrades!$U$21,M382),1))+(IF(J382=0,0,(Upgrades!$M$18+J382*Upgrades!$N$18)*POWER(Upgrades!$O$18,J382)))*(IF(Upgrades!$T$13="Binary Partner",POWER(Upgrades!$U$13,E382),1)*IF(Upgrades!$T$14="Binary Partner",POWER(Upgrades!$U$14,F382),1)*IF(Upgrades!$T$15="Binary Partner",POWER(Upgrades!$U$15,G382),1)*IF(Upgrades!$T$16="Binary Partner",POWER(Upgrades!$U$16,H382),1)*IF(Upgrades!$T$17="Binary Partner",POWER(Upgrades!$U$17,I382),1)*IF(Upgrades!$T$19="Binary Partner",POWER(Upgrades!$U$19,K382),1)*IF(Upgrades!$T$20="Binary Partner",POWER(Upgrades!$U$20,L382),1)*IF(Upgrades!$T$21="Binary Partner",POWER(Upgrades!$U$21,M382),1))+(IF(K382=0,0,(Upgrades!$M$19+K382*Upgrades!$N$19)*POWER(Upgrades!$O$19,K382)))*(IF(Upgrades!$T$13="Peculiar Velocity",POWER(Upgrades!$U$13,E382),1)*IF(Upgrades!$T$14="Peculiar Velocity",POWER(Upgrades!$U$14,F382),1)*IF(Upgrades!$T$15="Peculiar Velocity",POWER(Upgrades!$U$15,G382),1)*IF(Upgrades!$T$16="Peculiar Velocity",POWER(Upgrades!$U$16,H382),1)*IF(Upgrades!$T$17="Peculiar Velocity",POWER(Upgrades!$U$17,I382),1)*IF(Upgrades!$T$18="Peculiar Velocity",POWER(Upgrades!$U$18,J382),1)*IF(Upgrades!$T$20="Peculiar Velocity",POWER(Upgrades!$U$20,L382),1)*IF(Upgrades!$T$21="Peculiar Velocity",POWER(Upgrades!$U$21,M382),1))+(IF(L382=0,0,(Upgrades!$M$20+L382*Upgrades!$N$20)*POWER(Upgrades!$O$20,L382)))*(IF(Upgrades!$T$13="Open Cluster",POWER(Upgrades!$U$13,E382),1)*IF(Upgrades!$T$14="Open Cluster",POWER(Upgrades!$U$14,F382),1)*IF(Upgrades!$T$15="Open Cluster",POWER(Upgrades!$U$15,G382),1)*IF(Upgrades!$T$16="Open Cluster",POWER(Upgrades!$U$16,H382),1)*IF(Upgrades!$T$17="Open Cluster",POWER(Upgrades!$U$17,I382),1)*IF(Upgrades!$T$18="Open Cluster",POWER(Upgrades!$U$18,J382),1)*IF(Upgrades!$T$19="Open Cluster",POWER(Upgrades!$U$19,K382),1)*IF(Upgrades!$T$21="Open Cluster",POWER(Upgrades!$U$21,M382),1))+(IF(M382=0,0,(Upgrades!$M$21+M382*Upgrades!$N$21)*POWER(Upgrades!$O$21,M382)))*(IF(Upgrades!$T$13="Moving Group",POWER(Upgrades!$U$13,E382),1)*IF(Upgrades!$T$14="Moving Group",POWER(Upgrades!$U$14,F382),1)*IF(Upgrades!$T$15="Moving Group",POWER(Upgrades!$U$15,G382),1)*IF(Upgrades!$T$16="Moving Group",POWER(Upgrades!$U$16,H382),1)*IF(Upgrades!$T$17="Moving Group",POWER(Upgrades!$U$17,I382),1)*IF(Upgrades!$T$18="Moving Group",POWER(Upgrades!$U$18,J382),1)*IF(Upgrades!$T$19="Moving Group",POWER(Upgrades!$U$19,K382),1)*IF(Upgrades!$T$20="Moving Group",POWER(Upgrades!$U$20,L382),1)))*POWER(Upgrades!$R$13,E382)*POWER(Upgrades!$R$14,F382)*POWER(Upgrades!$R$15,G382)*POWER(Upgrades!$R$16,H382)*POWER(Upgrades!$R$17,I382)*POWER(Upgrades!$R$18,J382)*POWER(Upgrades!$R$19,K382)*POWER(Upgrades!$R$20,L382)*POWER(Upgrades!$R$21,M382)*$H$6+$E$6</f>
        <v/>
      </c>
      <c r="R382" s="27">
        <f>IF(N382=1,0,O382*Parameters!$B$10/60*Parameters!$B$11*10)</f>
        <v/>
      </c>
      <c r="S382" s="27">
        <f>IF(N382=1,0,Q382*O382*10)</f>
        <v/>
      </c>
      <c r="T382" s="27">
        <f>IF(N382=1,0,R382+S382+P382*10)</f>
        <v/>
      </c>
      <c r="U382" s="33">
        <f>BE382</f>
        <v/>
      </c>
      <c r="V382" s="22">
        <f>IF(U382="",0,IF(U382="transition",0,IF(U382="SK",AK382,IF(U382="LB",AL382,IF(U382="ML",AM382,IF(U382="RLO",AN382,IF(U382="BD",AO382,IF(U382="BiP",AP382,IF(U382="PV",AQ382,IF(U382="OC",AR382,IF(U382="MG",AS382,0))))))))))</f>
        <v/>
      </c>
      <c r="W382" s="27">
        <f>IF(U382="BiP",Upgrades!$F$18,IF(U382="PV",Upgrades!$F$19,IF(U382="OC",Upgrades!$F$20,IF(U382="MG",Upgrades!$F$21,IF(U382="transition",-Parameters!$B$18*Parameters!$B$19,0)))))</f>
        <v/>
      </c>
      <c r="X382" s="22">
        <f>C382+T382-V382</f>
        <v/>
      </c>
      <c r="Y382" s="30">
        <f>O382*Parameters!$B$10/60*Parameters!$B$11+Q382*O382+P382</f>
        <v/>
      </c>
      <c r="Z382" s="34">
        <f>IF(U382="transition","→ Tier 3 (Galactic Arm)",IF(U382="MG","Moving Group — pocket drifts together",IF(U382="OC","Open Cluster acquired",IF(U382="PV","Peculiar Velocity — passive multiplier active",IF(U382="BiP","Binary Partner — pair bond formed",IF(AND(AU382=1,N382=0,AT382&lt;&gt;1),"Cohesion ready (waiting on completionists)","")))))) </f>
        <v/>
      </c>
      <c r="AA382" s="27">
        <f>(IF(E382=0,0,(Upgrades!$G$13+E382*Upgrades!$H$13)*POWER(Upgrades!$I$13,E382)))*(IF(Upgrades!$T$14="Stellar Kinematics",POWER(Upgrades!$U$14,F382),1)*IF(Upgrades!$T$15="Stellar Kinematics",POWER(Upgrades!$U$15,G382),1)*IF(Upgrades!$T$16="Stellar Kinematics",POWER(Upgrades!$U$16,H382),1)*IF(Upgrades!$T$17="Stellar Kinematics",POWER(Upgrades!$U$17,I382),1)*IF(Upgrades!$T$18="Stellar Kinematics",POWER(Upgrades!$U$18,J382),1)*IF(Upgrades!$T$19="Stellar Kinematics",POWER(Upgrades!$U$19,K382),1)*IF(Upgrades!$T$20="Stellar Kinematics",POWER(Upgrades!$U$20,L382),1)*IF(Upgrades!$T$21="Stellar Kinematics",POWER(Upgrades!$U$21,M382),1))*POWER(Upgrades!$P$13,E382)*POWER(Upgrades!$P$14,F382)*POWER(Upgrades!$P$15,G382)*POWER(Upgrades!$P$16,H382)*POWER(Upgrades!$P$17,I382)*POWER(Upgrades!$P$18,J382)*POWER(Upgrades!$P$19,K382)*POWER(Upgrades!$P$20,L382)*POWER(Upgrades!$P$21,M382)*$F$6*60</f>
        <v/>
      </c>
      <c r="AB382" s="27">
        <f>(IF(F382=0,0,(Upgrades!$G$14+F382*Upgrades!$H$14)*POWER(Upgrades!$I$14,F382)))*(IF(Upgrades!$T$13="Local Bubble",POWER(Upgrades!$U$13,E382),1)*IF(Upgrades!$T$15="Local Bubble",POWER(Upgrades!$U$15,G382),1)*IF(Upgrades!$T$16="Local Bubble",POWER(Upgrades!$U$16,H382),1)*IF(Upgrades!$T$17="Local Bubble",POWER(Upgrades!$U$17,I382),1)*IF(Upgrades!$T$18="Local Bubble",POWER(Upgrades!$U$18,J382),1)*IF(Upgrades!$T$19="Local Bubble",POWER(Upgrades!$U$19,K382),1)*IF(Upgrades!$T$20="Local Bubble",POWER(Upgrades!$U$20,L382),1)*IF(Upgrades!$T$21="Local Bubble",POWER(Upgrades!$U$21,M382),1))*POWER(Upgrades!$P$13,E382)*POWER(Upgrades!$P$14,F382)*POWER(Upgrades!$P$15,G382)*POWER(Upgrades!$P$16,H382)*POWER(Upgrades!$P$17,I382)*POWER(Upgrades!$P$18,J382)*POWER(Upgrades!$P$19,K382)*POWER(Upgrades!$P$20,L382)*POWER(Upgrades!$P$21,M382)*$F$6*60</f>
        <v/>
      </c>
      <c r="AC382" s="27">
        <f>(IF(G382=0,0,(Upgrades!$J$15+G382*Upgrades!$K$15)*POWER(Upgrades!$L$15,G382)))*(IF(Upgrades!$T$13="Microlensing",POWER(Upgrades!$U$13,E382),1)*IF(Upgrades!$T$14="Microlensing",POWER(Upgrades!$U$14,F382),1)*IF(Upgrades!$T$16="Microlensing",POWER(Upgrades!$U$16,H382),1)*IF(Upgrades!$T$17="Microlensing",POWER(Upgrades!$U$17,I382),1)*IF(Upgrades!$T$18="Microlensing",POWER(Upgrades!$U$18,J382),1)*IF(Upgrades!$T$19="Microlensing",POWER(Upgrades!$U$19,K382),1)*IF(Upgrades!$T$20="Microlensing",POWER(Upgrades!$U$20,L382),1)*IF(Upgrades!$T$21="Microlensing",POWER(Upgrades!$U$21,M382),1))*POWER(Upgrades!$Q$13,E382)*POWER(Upgrades!$Q$14,F382)*POWER(Upgrades!$Q$15,G382)*POWER(Upgrades!$Q$16,H382)*POWER(Upgrades!$Q$17,I382)*POWER(Upgrades!$Q$18,J382)*POWER(Upgrades!$Q$19,K382)*POWER(Upgrades!$Q$20,L382)*POWER(Upgrades!$Q$21,M382)*$G$6*(Parameters!$B$10*Parameters!$B$11+Q382*60)</f>
        <v/>
      </c>
      <c r="AD382" s="27">
        <f>(IF(H382=0,0,(Upgrades!$M$16+H382*Upgrades!$N$16)*POWER(Upgrades!$O$16,H382)))*(IF(Upgrades!$T$13="Roche Lobe Overflow",POWER(Upgrades!$U$13,E382),1)*IF(Upgrades!$T$14="Roche Lobe Overflow",POWER(Upgrades!$U$14,F382),1)*IF(Upgrades!$T$15="Roche Lobe Overflow",POWER(Upgrades!$U$15,G382),1)*IF(Upgrades!$T$17="Roche Lobe Overflow",POWER(Upgrades!$U$17,I382),1)*IF(Upgrades!$T$18="Roche Lobe Overflow",POWER(Upgrades!$U$18,J382),1)*IF(Upgrades!$T$19="Roche Lobe Overflow",POWER(Upgrades!$U$19,K382),1)*IF(Upgrades!$T$20="Roche Lobe Overflow",POWER(Upgrades!$U$20,L382),1)*IF(Upgrades!$T$21="Roche Lobe Overflow",POWER(Upgrades!$U$21,M382),1))*POWER(Upgrades!$R$13,E382)*POWER(Upgrades!$R$14,F382)*POWER(Upgrades!$R$15,G382)*POWER(Upgrades!$R$16,H382)*POWER(Upgrades!$R$17,I382)*POWER(Upgrades!$R$18,J382)*POWER(Upgrades!$R$19,K382)*POWER(Upgrades!$R$20,L382)*POWER(Upgrades!$R$21,M382)*$H$6*O382*60</f>
        <v/>
      </c>
      <c r="AE382" s="27">
        <f>(IF(I382=0,0,(Upgrades!$G$17+I382*Upgrades!$H$17)*POWER(Upgrades!$I$17,I382)))*(IF(Upgrades!$T$13="Brown Dwarf",POWER(Upgrades!$U$13,E382),1)*IF(Upgrades!$T$14="Brown Dwarf",POWER(Upgrades!$U$14,F382),1)*IF(Upgrades!$T$15="Brown Dwarf",POWER(Upgrades!$U$15,G382),1)*IF(Upgrades!$T$16="Brown Dwarf",POWER(Upgrades!$U$16,H382),1)*IF(Upgrades!$T$18="Brown Dwarf",POWER(Upgrades!$U$18,J382),1)*IF(Upgrades!$T$19="Brown Dwarf",POWER(Upgrades!$U$19,K382),1)*IF(Upgrades!$T$20="Brown Dwarf",POWER(Upgrades!$U$20,L382),1)*IF(Upgrades!$T$21="Brown Dwarf",POWER(Upgrades!$U$21,M382),1))*POWER(Upgrades!$P$13,E382)*POWER(Upgrades!$P$14,F382)*POWER(Upgrades!$P$15,G382)*POWER(Upgrades!$P$16,H382)*POWER(Upgrades!$P$17,I382)*POWER(Upgrades!$P$18,J382)*POWER(Upgrades!$P$19,K382)*POWER(Upgrades!$P$20,L382)*POWER(Upgrades!$P$21,M382)*$F$6*60</f>
        <v/>
      </c>
      <c r="AF382" s="27" t="n">
        <v>0</v>
      </c>
      <c r="AG382" s="27" t="n">
        <v>0</v>
      </c>
      <c r="AH382" s="27" t="n">
        <v>0</v>
      </c>
      <c r="AI382" s="27">
        <f>(IF(M382=0,0,(Upgrades!$G$21+M382*Upgrades!$H$21)*POWER(Upgrades!$I$21,M382)))*(IF(Upgrades!$T$13="Moving Group",POWER(Upgrades!$U$13,E382),1)*IF(Upgrades!$T$14="Moving Group",POWER(Upgrades!$U$14,F382),1)*IF(Upgrades!$T$15="Moving Group",POWER(Upgrades!$U$15,G382),1)*IF(Upgrades!$T$16="Moving Group",POWER(Upgrades!$U$16,H382),1)*IF(Upgrades!$T$17="Moving Group",POWER(Upgrades!$U$17,I382),1)*IF(Upgrades!$T$18="Moving Group",POWER(Upgrades!$U$18,J382),1)*IF(Upgrades!$T$19="Moving Group",POWER(Upgrades!$U$19,K382),1)*IF(Upgrades!$T$20="Moving Group",POWER(Upgrades!$U$20,L382),1))*POWER(Upgrades!$P$13,E382)*POWER(Upgrades!$P$14,F382)*POWER(Upgrades!$P$15,G382)*POWER(Upgrades!$P$16,H382)*POWER(Upgrades!$P$17,I382)*POWER(Upgrades!$P$18,J382)*POWER(Upgrades!$P$19,K382)*POWER(Upgrades!$P$20,L382)*POWER(Upgrades!$P$21,M382)*$F$6*60</f>
        <v/>
      </c>
      <c r="AJ382" s="27">
        <f>$C$6*60</f>
        <v/>
      </c>
      <c r="AK382" s="22">
        <f>IF(E382&gt;=Upgrades!$E$13,"",Upgrades!$C$13*POWER(Upgrades!$D$13,E382))</f>
        <v/>
      </c>
      <c r="AL382" s="22">
        <f>IF(F382&gt;=Upgrades!$E$14,"",Upgrades!$C$14*POWER(Upgrades!$D$14,F382))</f>
        <v/>
      </c>
      <c r="AM382" s="22">
        <f>IF(G382&gt;=Upgrades!$E$15,"",Upgrades!$C$15*POWER(Upgrades!$D$15,G382))</f>
        <v/>
      </c>
      <c r="AN382" s="22">
        <f>IF(H382&gt;=Upgrades!$E$16,"",Upgrades!$C$16*POWER(Upgrades!$D$16,H382))</f>
        <v/>
      </c>
      <c r="AO382" s="22">
        <f>IF(I382&gt;=Upgrades!$E$17,"",Upgrades!$C$17*POWER(Upgrades!$D$17,I382))</f>
        <v/>
      </c>
      <c r="AP382" s="22">
        <f>IF(J382&gt;=Upgrades!$E$18,"",Upgrades!$C$18*POWER(Upgrades!$D$18,J382))</f>
        <v/>
      </c>
      <c r="AQ382" s="22">
        <f>IF(K382&gt;=Upgrades!$E$19,"",Upgrades!$C$19*POWER(Upgrades!$D$19,K382))</f>
        <v/>
      </c>
      <c r="AR382" s="22">
        <f>IF(L382&gt;=Upgrades!$E$20,"",Upgrades!$C$20*POWER(Upgrades!$D$20,L382))</f>
        <v/>
      </c>
      <c r="AS382" s="22">
        <f>IF(M382&gt;=Upgrades!$E$21,"",Upgrades!$C$21*POWER(Upgrades!$D$21,M382))</f>
        <v/>
      </c>
      <c r="AT382" s="26">
        <f>IF(AND(D382&gt;=Parameters!$B$18*Parameters!$B$19,(I382&gt;=Upgrades!$E$17)*(M382&gt;=Upgrades!$E$21)=1,N382=0),1,"")</f>
        <v/>
      </c>
      <c r="AU382" s="26">
        <f>IF(AND(D382&gt;=Parameters!$B$18*Parameters!$B$19,N382=0),1,"")</f>
        <v/>
      </c>
      <c r="AV382" s="22">
        <f>MIN(IF(ISNUMBER(AP382),AP382,9E15),IF(ISNUMBER(AQ382),AQ382,9E15),IF(ISNUMBER(AR382),AR382,9E15),IF(ISNUMBER(AS382),AS382,9E15))</f>
        <v/>
      </c>
      <c r="AW382" s="22">
        <f>MIN(IF(ISNUMBER(AK382),AK382,9E15),IF(ISNUMBER(AL382),AL382,9E15),IF(ISNUMBER(AM382),AM382,9E15),IF(ISNUMBER(AN382),AN382,9E15),IF(ISNUMBER(AO382),AO382,9E15))</f>
        <v/>
      </c>
      <c r="AX382" s="29">
        <f>IF(BD382&gt;Parameters!$B$21*(MAX(IF(AND(NOT(AND(AU382=1,AT382&lt;&gt;1)),ISNUMBER(AK382),AK382&lt;=(C382+T382)),AY382,0),IF(AND(NOT(AND(AU382=1,AT382&lt;&gt;1)),ISNUMBER(AL382),AL382&lt;=(C382+T382)),AZ382,0),IF(AND(NOT(AND(AU382=1,AT382&lt;&gt;1)),ISNUMBER(AM382),AM382&lt;=(C382+T382)),BA382,0),IF(AND(NOT(AND(AU382=1,AT382&lt;&gt;1)),ISNUMBER(AN382),AN382&lt;=(C382+T382)),BB382,0),IF(AND(ISNUMBER(AO382),AO382&lt;=(C382+T382)),BC382,0))),TRUE,FALSE)</f>
        <v/>
      </c>
      <c r="AY382" s="32">
        <f>IFERROR(Upgrades!$H$13*(POWER(Upgrades!$P$13,E382)*POWER(Upgrades!$P$14,F382)*POWER(Upgrades!$P$15,G382)*POWER(Upgrades!$P$16,H382)*POWER(Upgrades!$P$17,I382)*POWER(Upgrades!$P$18,J382)*POWER(Upgrades!$P$19,K382)*POWER(Upgrades!$P$20,L382)*POWER(Upgrades!$P$21,M382))*(IF(Upgrades!$T$14="Stellar Kinematics",POWER(Upgrades!$U$14,F382),1)*IF(Upgrades!$T$15="Stellar Kinematics",POWER(Upgrades!$U$15,G382),1)*IF(Upgrades!$T$16="Stellar Kinematics",POWER(Upgrades!$U$16,H382),1)*IF(Upgrades!$T$17="Stellar Kinematics",POWER(Upgrades!$U$17,I382),1)*IF(Upgrades!$T$18="Stellar Kinematics",POWER(Upgrades!$U$18,J382),1)*IF(Upgrades!$T$19="Stellar Kinematics",POWER(Upgrades!$U$19,K382),1)*IF(Upgrades!$T$20="Stellar Kinematics",POWER(Upgrades!$U$20,L382),1)*IF(Upgrades!$T$21="Stellar Kinematics",POWER(Upgrades!$U$21,M382),1))*$F$6/AK382,0)</f>
        <v/>
      </c>
      <c r="AZ382" s="32">
        <f>IFERROR(Upgrades!$H$14*(POWER(Upgrades!$P$13,E382)*POWER(Upgrades!$P$14,F382)*POWER(Upgrades!$P$15,G382)*POWER(Upgrades!$P$16,H382)*POWER(Upgrades!$P$17,I382)*POWER(Upgrades!$P$18,J382)*POWER(Upgrades!$P$19,K382)*POWER(Upgrades!$P$20,L382)*POWER(Upgrades!$P$21,M382))*(IF(Upgrades!$T$13="Local Bubble",POWER(Upgrades!$U$13,E382),1)*IF(Upgrades!$T$15="Local Bubble",POWER(Upgrades!$U$15,G382),1)*IF(Upgrades!$T$16="Local Bubble",POWER(Upgrades!$U$16,H382),1)*IF(Upgrades!$T$17="Local Bubble",POWER(Upgrades!$U$17,I382),1)*IF(Upgrades!$T$18="Local Bubble",POWER(Upgrades!$U$18,J382),1)*IF(Upgrades!$T$19="Local Bubble",POWER(Upgrades!$U$19,K382),1)*IF(Upgrades!$T$20="Local Bubble",POWER(Upgrades!$U$20,L382),1)*IF(Upgrades!$T$21="Local Bubble",POWER(Upgrades!$U$21,M382),1))*$F$6/AL382,0)</f>
        <v/>
      </c>
      <c r="BA382" s="32">
        <f>IFERROR(Upgrades!$K$15*(POWER(Upgrades!$Q$13,E382)*POWER(Upgrades!$Q$14,F382)*POWER(Upgrades!$Q$15,G382)*POWER(Upgrades!$Q$16,H382)*POWER(Upgrades!$Q$17,I382)*POWER(Upgrades!$Q$18,J382)*POWER(Upgrades!$Q$19,K382)*POWER(Upgrades!$Q$20,L382)*POWER(Upgrades!$Q$21,M382))*(IF(Upgrades!$T$13="Microlensing",POWER(Upgrades!$U$13,E382),1)*IF(Upgrades!$T$14="Microlensing",POWER(Upgrades!$U$14,F382),1)*IF(Upgrades!$T$16="Microlensing",POWER(Upgrades!$U$16,H382),1)*IF(Upgrades!$T$17="Microlensing",POWER(Upgrades!$U$17,I382),1)*IF(Upgrades!$T$18="Microlensing",POWER(Upgrades!$U$18,J382),1)*IF(Upgrades!$T$19="Microlensing",POWER(Upgrades!$U$19,K382),1)*IF(Upgrades!$T$20="Microlensing",POWER(Upgrades!$U$20,L382),1)*IF(Upgrades!$T$21="Microlensing",POWER(Upgrades!$U$21,M382),1))*$G$6*(Parameters!$B$10/60*Parameters!$B$11+Q382)/AM382,0)</f>
        <v/>
      </c>
      <c r="BB382" s="32">
        <f>IFERROR((Upgrades!$N$16*(POWER(Upgrades!$R$13,E382)*POWER(Upgrades!$R$14,F382)*POWER(Upgrades!$R$15,G382)*POWER(Upgrades!$R$16,H382)*POWER(Upgrades!$R$17,I382)*POWER(Upgrades!$R$18,J382)*POWER(Upgrades!$R$19,K382)*POWER(Upgrades!$R$20,L382)*POWER(Upgrades!$R$21,M382))*(IF(Upgrades!$T$13="Roche Lobe Overflow",POWER(Upgrades!$U$13,E382),1)*IF(Upgrades!$T$14="Roche Lobe Overflow",POWER(Upgrades!$U$14,F382),1)*IF(Upgrades!$T$15="Roche Lobe Overflow",POWER(Upgrades!$U$15,G382),1)*IF(Upgrades!$T$17="Roche Lobe Overflow",POWER(Upgrades!$U$17,I382),1)*IF(Upgrades!$T$18="Roche Lobe Overflow",POWER(Upgrades!$U$18,J382),1)*IF(Upgrades!$T$19="Roche Lobe Overflow",POWER(Upgrades!$U$19,K382),1)*IF(Upgrades!$T$20="Roche Lobe Overflow",POWER(Upgrades!$U$20,L382),1)*IF(Upgrades!$T$21="Roche Lobe Overflow",POWER(Upgrades!$U$21,M382),1))*$H$6*O382+((IF(F382=0,0,(Upgrades!$G$14+F382*Upgrades!$H$14)*POWER(Upgrades!$I$14,F382)))*(IF(Upgrades!$T$13="Local Bubble",POWER(Upgrades!$U$13,E382),1)*IF(Upgrades!$T$15="Local Bubble",POWER(Upgrades!$U$15,G382),1)*IF(Upgrades!$T$16="Local Bubble",POWER(Upgrades!$U$16,H382),1)*IF(Upgrades!$T$17="Local Bubble",POWER(Upgrades!$U$17,I382),1)*IF(Upgrades!$T$18="Local Bubble",POWER(Upgrades!$U$18,J382),1)*IF(Upgrades!$T$19="Local Bubble",POWER(Upgrades!$U$19,K382),1)*IF(Upgrades!$T$20="Local Bubble",POWER(Upgrades!$U$20,L382),1)*IF(Upgrades!$T$21="Local Bubble",POWER(Upgrades!$U$21,M382),1))*POWER(Upgrades!$P$13,E382)*POWER(Upgrades!$P$14,F382)*POWER(Upgrades!$P$15,G382)*POWER(Upgrades!$P$16,H382)*POWER(Upgrades!$P$17,I382)*POWER(Upgrades!$P$18,J382)*POWER(Upgrades!$P$19,K382)*POWER(Upgrades!$P$20,L382)*POWER(Upgrades!$P$21,M382)*$F$6)*0.05)/AN382,0)</f>
        <v/>
      </c>
      <c r="BC382" s="32">
        <f>IFERROR((Upgrades!$H$17*(POWER(Upgrades!$P$13,E382)*POWER(Upgrades!$P$14,F382)*POWER(Upgrades!$P$15,G382)*POWER(Upgrades!$P$16,H382)*POWER(Upgrades!$P$17,I382)*POWER(Upgrades!$P$18,J382)*POWER(Upgrades!$P$19,K382)*POWER(Upgrades!$P$20,L382)*POWER(Upgrades!$P$21,M382))*(IF(Upgrades!$T$13="Brown Dwarf",POWER(Upgrades!$U$13,E382),1)*IF(Upgrades!$T$14="Brown Dwarf",POWER(Upgrades!$U$14,F382),1)*IF(Upgrades!$T$15="Brown Dwarf",POWER(Upgrades!$U$15,G382),1)*IF(Upgrades!$T$16="Brown Dwarf",POWER(Upgrades!$U$16,H382),1)*IF(Upgrades!$T$18="Brown Dwarf",POWER(Upgrades!$U$18,J382),1)*IF(Upgrades!$T$19="Brown Dwarf",POWER(Upgrades!$U$19,K382),1)*IF(Upgrades!$T$20="Brown Dwarf",POWER(Upgrades!$U$20,L382),1)*IF(Upgrades!$T$21="Brown Dwarf",POWER(Upgrades!$U$21,M382),1))*$F$6+(((IF(H382=0,0,(Upgrades!$M$16+H382*Upgrades!$N$16)*POWER(Upgrades!$O$16,H382)))*(IF(Upgrades!$T$13="Roche Lobe Overflow",POWER(Upgrades!$U$13,E382),1)*IF(Upgrades!$T$14="Roche Lobe Overflow",POWER(Upgrades!$U$14,F382),1)*IF(Upgrades!$T$15="Roche Lobe Overflow",POWER(Upgrades!$U$15,G382),1)*IF(Upgrades!$T$17="Roche Lobe Overflow",POWER(Upgrades!$U$17,I382),1)*IF(Upgrades!$T$18="Roche Lobe Overflow",POWER(Upgrades!$U$18,J382),1)*IF(Upgrades!$T$19="Roche Lobe Overflow",POWER(Upgrades!$U$19,K382),1)*IF(Upgrades!$T$20="Roche Lobe Overflow",POWER(Upgrades!$U$20,L382),1)*IF(Upgrades!$T$21="Roche Lobe Overflow",POWER(Upgrades!$U$21,M382),1))*POWER(Upgrades!$R$13,E382)*POWER(Upgrades!$R$14,F382)*POWER(Upgrades!$R$15,G382)*POWER(Upgrades!$R$16,H382)*POWER(Upgrades!$R$17,I382)*POWER(Upgrades!$R$18,J382)*POWER(Upgrades!$R$19,K382)*POWER(Upgrades!$R$20,L382)*POWER(Upgrades!$R$21,M382)*$H$6)*O382)*0.10)/AO382,0)</f>
        <v/>
      </c>
      <c r="BD382" s="32">
        <f>MAX(IF(J382&gt;0,0,IFERROR(0.5*((IF(G382=0,0,(Upgrades!$J$15+G382*Upgrades!$K$15)*POWER(Upgrades!$L$15,G382)))*(IF(Upgrades!$T$13="Microlensing",POWER(Upgrades!$U$13,E382),1)*IF(Upgrades!$T$14="Microlensing",POWER(Upgrades!$U$14,F382),1)*IF(Upgrades!$T$16="Microlensing",POWER(Upgrades!$U$16,H382),1)*IF(Upgrades!$T$17="Microlensing",POWER(Upgrades!$U$17,I382),1)*IF(Upgrades!$T$18="Microlensing",POWER(Upgrades!$U$18,J382),1)*IF(Upgrades!$T$19="Microlensing",POWER(Upgrades!$U$19,K382),1)*IF(Upgrades!$T$20="Microlensing",POWER(Upgrades!$U$20,L382),1)*IF(Upgrades!$T$21="Microlensing",POWER(Upgrades!$U$21,M382),1))*(POWER(Upgrades!$Q$13,E382)*POWER(Upgrades!$Q$14,F382)*POWER(Upgrades!$Q$15,G382)*POWER(Upgrades!$Q$16,H382)*POWER(Upgrades!$Q$17,I382)*POWER(Upgrades!$Q$18,J382)*POWER(Upgrades!$Q$19,K382)*POWER(Upgrades!$Q$20,L382)*POWER(Upgrades!$Q$21,M382))*$G$6*(Parameters!$B$10/60*Parameters!$B$11+Q382))/Upgrades!$C$18,0)),IF(K382&gt;0,0,IFERROR(0.30*P382/Upgrades!$C$19,0)),IF(L382&gt;0,0,IFERROR(0.0001/Upgrades!$C$20,0)),IF(M382&gt;0,0,IFERROR((6.0*(POWER(Upgrades!$P$13,E382)*POWER(Upgrades!$P$14,F382)*POWER(Upgrades!$P$15,G382)*POWER(Upgrades!$P$16,H382)*POWER(Upgrades!$P$17,I382)*POWER(Upgrades!$P$18,J382)*POWER(Upgrades!$P$19,K382)*POWER(Upgrades!$P$20,L382)*POWER(Upgrades!$P$21,M382))*$F$6+0.20*O382*(Parameters!$B$10/60*Parameters!$B$11+Q382))/Upgrades!$C$21,0)),IF(AND(ISNUMBER(AK382),AK382&gt;(C382+T382)),AY382,0),IF(AND(ISNUMBER(AL382),AL382&gt;(C382+T382)),AZ382,0),IF(AND(ISNUMBER(AM382),AM382&gt;(C382+T382)),BA382,0),IF(AND(ISNUMBER(AN382),AN382&gt;(C382+T382)),BB382,0),IF(AND(ISNUMBER(AO382),AO382&gt;(C382+T382)),BC382,0))</f>
        <v/>
      </c>
      <c r="BE382" s="29">
        <f>IF(AT382=1,"transition",IF(MIN(IF(AND(J382=0,ISNUMBER(AP382),AP382&lt;=(C382+T382)),AP382,9E15),IF(AND(K382=0,ISNUMBER(AQ382),AQ382&lt;=(C382+T382)),AQ382,9E15),IF(AND(L382=0,ISNUMBER(AR382),AR382&lt;=(C382+T382)),AR382,9E15),IF(AND(M382=0,ISNUMBER(AS382),AS382&lt;=(C382+T382)),AS382,9E15))&lt;9E15,IF(AND(AND(J382=0,ISNUMBER(AP382),AP382&lt;=(C382+T382)),AP382=MIN(IF(AND(J382=0,ISNUMBER(AP382),AP382&lt;=(C382+T382)),AP382,9E15),IF(AND(K382=0,ISNUMBER(AQ382),AQ382&lt;=(C382+T382)),AQ382,9E15),IF(AND(L382=0,ISNUMBER(AR382),AR382&lt;=(C382+T382)),AR382,9E15),IF(AND(M382=0,ISNUMBER(AS382),AS382&lt;=(C382+T382)),AS382,9E15))),"BiP",IF(AND(AND(K382=0,ISNUMBER(AQ382),AQ382&lt;=(C382+T382)),AQ382=MIN(IF(AND(J382=0,ISNUMBER(AP382),AP382&lt;=(C382+T382)),AP382,9E15),IF(AND(K382=0,ISNUMBER(AQ382),AQ382&lt;=(C382+T382)),AQ382,9E15),IF(AND(L382=0,ISNUMBER(AR382),AR382&lt;=(C382+T382)),AR382,9E15),IF(AND(M382=0,ISNUMBER(AS382),AS382&lt;=(C382+T382)),AS382,9E15))),"PV",IF(AND(AND(L382=0,ISNUMBER(AR382),AR382&lt;=(C382+T382)),AR382=MIN(IF(AND(J382=0,ISNUMBER(AP382),AP382&lt;=(C382+T382)),AP382,9E15),IF(AND(K382=0,ISNUMBER(AQ382),AQ382&lt;=(C382+T382)),AQ382,9E15),IF(AND(L382=0,ISNUMBER(AR382),AR382&lt;=(C382+T382)),AR382,9E15),IF(AND(M382=0,ISNUMBER(AS382),AS382&lt;=(C382+T382)),AS382,9E15))),"OC","MG"))),IF(AX382=TRUE,"",IF(MAX(IF(AND(NOT(AND(AU382=1,AT382&lt;&gt;1)),ISNUMBER(AK382),AK382&lt;=(C382+T382)),AY382,0),IF(AND(NOT(AND(AU382=1,AT382&lt;&gt;1)),ISNUMBER(AL382),AL382&lt;=(C382+T382)),AZ382,0),IF(AND(NOT(AND(AU382=1,AT382&lt;&gt;1)),ISNUMBER(AM382),AM382&lt;=(C382+T382)),BA382,0),IF(AND(NOT(AND(AU382=1,AT382&lt;&gt;1)),ISNUMBER(AN382),AN382&lt;=(C382+T382)),BB382,0),IF(AND(ISNUMBER(AO382),AO382&lt;=(C382+T382)),BC382,0))&lt;=0,"",IF(AND(IF(AND(NOT(AND(AU382=1,AT382&lt;&gt;1)),ISNUMBER(AK382),AK382&lt;=(C382+T382)),AY382,0)&gt;0,IF(AND(NOT(AND(AU382=1,AT382&lt;&gt;1)),ISNUMBER(AK382),AK382&lt;=(C382+T382)),AY382,0)=MAX(IF(AND(NOT(AND(AU382=1,AT382&lt;&gt;1)),ISNUMBER(AK382),AK382&lt;=(C382+T382)),AY382,0),IF(AND(NOT(AND(AU382=1,AT382&lt;&gt;1)),ISNUMBER(AL382),AL382&lt;=(C382+T382)),AZ382,0),IF(AND(NOT(AND(AU382=1,AT382&lt;&gt;1)),ISNUMBER(AM382),AM382&lt;=(C382+T382)),BA382,0),IF(AND(NOT(AND(AU382=1,AT382&lt;&gt;1)),ISNUMBER(AN382),AN382&lt;=(C382+T382)),BB382,0),IF(AND(ISNUMBER(AO382),AO382&lt;=(C382+T382)),BC382,0))),"SK",IF(AND(IF(AND(NOT(AND(AU382=1,AT382&lt;&gt;1)),ISNUMBER(AL382),AL382&lt;=(C382+T382)),AZ382,0)&gt;0,IF(AND(NOT(AND(AU382=1,AT382&lt;&gt;1)),ISNUMBER(AL382),AL382&lt;=(C382+T382)),AZ382,0)=MAX(IF(AND(NOT(AND(AU382=1,AT382&lt;&gt;1)),ISNUMBER(AK382),AK382&lt;=(C382+T382)),AY382,0),IF(AND(NOT(AND(AU382=1,AT382&lt;&gt;1)),ISNUMBER(AL382),AL382&lt;=(C382+T382)),AZ382,0),IF(AND(NOT(AND(AU382=1,AT382&lt;&gt;1)),ISNUMBER(AM382),AM382&lt;=(C382+T382)),BA382,0),IF(AND(NOT(AND(AU382=1,AT382&lt;&gt;1)),ISNUMBER(AN382),AN382&lt;=(C382+T382)),BB382,0),IF(AND(ISNUMBER(AO382),AO382&lt;=(C382+T382)),BC382,0))),"LB",IF(AND(IF(AND(NOT(AND(AU382=1,AT382&lt;&gt;1)),ISNUMBER(AM382),AM382&lt;=(C382+T382)),BA382,0)&gt;0,IF(AND(NOT(AND(AU382=1,AT382&lt;&gt;1)),ISNUMBER(AM382),AM382&lt;=(C382+T382)),BA382,0)=MAX(IF(AND(NOT(AND(AU382=1,AT382&lt;&gt;1)),ISNUMBER(AK382),AK382&lt;=(C382+T382)),AY382,0),IF(AND(NOT(AND(AU382=1,AT382&lt;&gt;1)),ISNUMBER(AL382),AL382&lt;=(C382+T382)),AZ382,0),IF(AND(NOT(AND(AU382=1,AT382&lt;&gt;1)),ISNUMBER(AM382),AM382&lt;=(C382+T382)),BA382,0),IF(AND(NOT(AND(AU382=1,AT382&lt;&gt;1)),ISNUMBER(AN382),AN382&lt;=(C382+T382)),BB382,0),IF(AND(ISNUMBER(AO382),AO382&lt;=(C382+T382)),BC382,0))),"ML",IF(AND(IF(AND(NOT(AND(AU382=1,AT382&lt;&gt;1)),ISNUMBER(AN382),AN382&lt;=(C382+T382)),BB382,0)&gt;0,IF(AND(NOT(AND(AU382=1,AT382&lt;&gt;1)),ISNUMBER(AN382),AN382&lt;=(C382+T382)),BB382,0)=MAX(IF(AND(NOT(AND(AU382=1,AT382&lt;&gt;1)),ISNUMBER(AK382),AK382&lt;=(C382+T382)),AY382,0),IF(AND(NOT(AND(AU382=1,AT382&lt;&gt;1)),ISNUMBER(AL382),AL382&lt;=(C382+T382)),AZ382,0),IF(AND(NOT(AND(AU382=1,AT382&lt;&gt;1)),ISNUMBER(AM382),AM382&lt;=(C382+T382)),BA382,0),IF(AND(NOT(AND(AU382=1,AT382&lt;&gt;1)),ISNUMBER(AN382),AN382&lt;=(C382+T382)),BB382,0),IF(AND(ISNUMBER(AO382),AO382&lt;=(C382+T382)),BC382,0))),"RLO","BD"))))))))</f>
        <v/>
      </c>
    </row>
    <row r="383">
      <c r="A383" s="26" t="n">
        <v>372</v>
      </c>
      <c r="B383" s="27">
        <f>A383*10/60</f>
        <v/>
      </c>
      <c r="C383" s="22">
        <f>X382</f>
        <v/>
      </c>
      <c r="D383" s="27">
        <f>D382+W382</f>
        <v/>
      </c>
      <c r="E383" s="26">
        <f>E382+IF(U382="SK",1,0)</f>
        <v/>
      </c>
      <c r="F383" s="26">
        <f>F382+IF(U382="LB",1,0)</f>
        <v/>
      </c>
      <c r="G383" s="26">
        <f>G382+IF(U382="ML",1,0)</f>
        <v/>
      </c>
      <c r="H383" s="26">
        <f>H382+IF(U382="RLO",1,0)</f>
        <v/>
      </c>
      <c r="I383" s="26">
        <f>I382+IF(U382="BD",1,0)</f>
        <v/>
      </c>
      <c r="J383" s="26">
        <f>MAX(J382,IF(U382="BiP",1,0))</f>
        <v/>
      </c>
      <c r="K383" s="26">
        <f>MAX(K382,IF(U382="PV",1,0))</f>
        <v/>
      </c>
      <c r="L383" s="26">
        <f>MAX(L382,IF(U382="OC",1,0))</f>
        <v/>
      </c>
      <c r="M383" s="26">
        <f>MAX(M382,IF(U382="MG",1,0))</f>
        <v/>
      </c>
      <c r="N383" s="26">
        <f>MAX(N382,IF(U382="transition",1,0))</f>
        <v/>
      </c>
      <c r="O383" s="28">
        <f>(Parameters!$B$9+(IF(E383=0,0,(Upgrades!$J$13+E383*Upgrades!$K$13)*POWER(Upgrades!$L$13,E383)))*(IF(Upgrades!$T$14="Stellar Kinematics",POWER(Upgrades!$U$14,F383),1)*IF(Upgrades!$T$15="Stellar Kinematics",POWER(Upgrades!$U$15,G383),1)*IF(Upgrades!$T$16="Stellar Kinematics",POWER(Upgrades!$U$16,H383),1)*IF(Upgrades!$T$17="Stellar Kinematics",POWER(Upgrades!$U$17,I383),1)*IF(Upgrades!$T$18="Stellar Kinematics",POWER(Upgrades!$U$18,J383),1)*IF(Upgrades!$T$19="Stellar Kinematics",POWER(Upgrades!$U$19,K383),1)*IF(Upgrades!$T$20="Stellar Kinematics",POWER(Upgrades!$U$20,L383),1)*IF(Upgrades!$T$21="Stellar Kinematics",POWER(Upgrades!$U$21,M383),1))+(IF(F383=0,0,(Upgrades!$J$14+F383*Upgrades!$K$14)*POWER(Upgrades!$L$14,F383)))*(IF(Upgrades!$T$13="Local Bubble",POWER(Upgrades!$U$13,E383),1)*IF(Upgrades!$T$15="Local Bubble",POWER(Upgrades!$U$15,G383),1)*IF(Upgrades!$T$16="Local Bubble",POWER(Upgrades!$U$16,H383),1)*IF(Upgrades!$T$17="Local Bubble",POWER(Upgrades!$U$17,I383),1)*IF(Upgrades!$T$18="Local Bubble",POWER(Upgrades!$U$18,J383),1)*IF(Upgrades!$T$19="Local Bubble",POWER(Upgrades!$U$19,K383),1)*IF(Upgrades!$T$20="Local Bubble",POWER(Upgrades!$U$20,L383),1)*IF(Upgrades!$T$21="Local Bubble",POWER(Upgrades!$U$21,M383),1))+(IF(G383=0,0,(Upgrades!$J$15+G383*Upgrades!$K$15)*POWER(Upgrades!$L$15,G383)))*(IF(Upgrades!$T$13="Microlensing",POWER(Upgrades!$U$13,E383),1)*IF(Upgrades!$T$14="Microlensing",POWER(Upgrades!$U$14,F383),1)*IF(Upgrades!$T$16="Microlensing",POWER(Upgrades!$U$16,H383),1)*IF(Upgrades!$T$17="Microlensing",POWER(Upgrades!$U$17,I383),1)*IF(Upgrades!$T$18="Microlensing",POWER(Upgrades!$U$18,J383),1)*IF(Upgrades!$T$19="Microlensing",POWER(Upgrades!$U$19,K383),1)*IF(Upgrades!$T$20="Microlensing",POWER(Upgrades!$U$20,L383),1)*IF(Upgrades!$T$21="Microlensing",POWER(Upgrades!$U$21,M383),1))+(IF(H383=0,0,(Upgrades!$J$16+H383*Upgrades!$K$16)*POWER(Upgrades!$L$16,H383)))*(IF(Upgrades!$T$13="Roche Lobe Overflow",POWER(Upgrades!$U$13,E383),1)*IF(Upgrades!$T$14="Roche Lobe Overflow",POWER(Upgrades!$U$14,F383),1)*IF(Upgrades!$T$15="Roche Lobe Overflow",POWER(Upgrades!$U$15,G383),1)*IF(Upgrades!$T$17="Roche Lobe Overflow",POWER(Upgrades!$U$17,I383),1)*IF(Upgrades!$T$18="Roche Lobe Overflow",POWER(Upgrades!$U$18,J383),1)*IF(Upgrades!$T$19="Roche Lobe Overflow",POWER(Upgrades!$U$19,K383),1)*IF(Upgrades!$T$20="Roche Lobe Overflow",POWER(Upgrades!$U$20,L383),1)*IF(Upgrades!$T$21="Roche Lobe Overflow",POWER(Upgrades!$U$21,M383),1))+(IF(I383=0,0,(Upgrades!$J$17+I383*Upgrades!$K$17)*POWER(Upgrades!$L$17,I383)))*(IF(Upgrades!$T$13="Brown Dwarf",POWER(Upgrades!$U$13,E383),1)*IF(Upgrades!$T$14="Brown Dwarf",POWER(Upgrades!$U$14,F383),1)*IF(Upgrades!$T$15="Brown Dwarf",POWER(Upgrades!$U$15,G383),1)*IF(Upgrades!$T$16="Brown Dwarf",POWER(Upgrades!$U$16,H383),1)*IF(Upgrades!$T$18="Brown Dwarf",POWER(Upgrades!$U$18,J383),1)*IF(Upgrades!$T$19="Brown Dwarf",POWER(Upgrades!$U$19,K383),1)*IF(Upgrades!$T$20="Brown Dwarf",POWER(Upgrades!$U$20,L383),1)*IF(Upgrades!$T$21="Brown Dwarf",POWER(Upgrades!$U$21,M383),1))+(IF(J383=0,0,(Upgrades!$J$18+J383*Upgrades!$K$18)*POWER(Upgrades!$L$18,J383)))*(IF(Upgrades!$T$13="Binary Partner",POWER(Upgrades!$U$13,E383),1)*IF(Upgrades!$T$14="Binary Partner",POWER(Upgrades!$U$14,F383),1)*IF(Upgrades!$T$15="Binary Partner",POWER(Upgrades!$U$15,G383),1)*IF(Upgrades!$T$16="Binary Partner",POWER(Upgrades!$U$16,H383),1)*IF(Upgrades!$T$17="Binary Partner",POWER(Upgrades!$U$17,I383),1)*IF(Upgrades!$T$19="Binary Partner",POWER(Upgrades!$U$19,K383),1)*IF(Upgrades!$T$20="Binary Partner",POWER(Upgrades!$U$20,L383),1)*IF(Upgrades!$T$21="Binary Partner",POWER(Upgrades!$U$21,M383),1))+(IF(K383=0,0,(Upgrades!$J$19+K383*Upgrades!$K$19)*POWER(Upgrades!$L$19,K383)))*(IF(Upgrades!$T$13="Peculiar Velocity",POWER(Upgrades!$U$13,E383),1)*IF(Upgrades!$T$14="Peculiar Velocity",POWER(Upgrades!$U$14,F383),1)*IF(Upgrades!$T$15="Peculiar Velocity",POWER(Upgrades!$U$15,G383),1)*IF(Upgrades!$T$16="Peculiar Velocity",POWER(Upgrades!$U$16,H383),1)*IF(Upgrades!$T$17="Peculiar Velocity",POWER(Upgrades!$U$17,I383),1)*IF(Upgrades!$T$18="Peculiar Velocity",POWER(Upgrades!$U$18,J383),1)*IF(Upgrades!$T$20="Peculiar Velocity",POWER(Upgrades!$U$20,L383),1)*IF(Upgrades!$T$21="Peculiar Velocity",POWER(Upgrades!$U$21,M383),1))+(IF(L383=0,0,(Upgrades!$J$20+L383*Upgrades!$K$20)*POWER(Upgrades!$L$20,L383)))*(IF(Upgrades!$T$13="Open Cluster",POWER(Upgrades!$U$13,E383),1)*IF(Upgrades!$T$14="Open Cluster",POWER(Upgrades!$U$14,F383),1)*IF(Upgrades!$T$15="Open Cluster",POWER(Upgrades!$U$15,G383),1)*IF(Upgrades!$T$16="Open Cluster",POWER(Upgrades!$U$16,H383),1)*IF(Upgrades!$T$17="Open Cluster",POWER(Upgrades!$U$17,I383),1)*IF(Upgrades!$T$18="Open Cluster",POWER(Upgrades!$U$18,J383),1)*IF(Upgrades!$T$19="Open Cluster",POWER(Upgrades!$U$19,K383),1)*IF(Upgrades!$T$21="Open Cluster",POWER(Upgrades!$U$21,M383),1))+(IF(M383=0,0,(Upgrades!$J$21+M383*Upgrades!$K$21)*POWER(Upgrades!$L$21,M383)))*(IF(Upgrades!$T$13="Moving Group",POWER(Upgrades!$U$13,E383),1)*IF(Upgrades!$T$14="Moving Group",POWER(Upgrades!$U$14,F383),1)*IF(Upgrades!$T$15="Moving Group",POWER(Upgrades!$U$15,G383),1)*IF(Upgrades!$T$16="Moving Group",POWER(Upgrades!$U$16,H383),1)*IF(Upgrades!$T$17="Moving Group",POWER(Upgrades!$U$17,I383),1)*IF(Upgrades!$T$18="Moving Group",POWER(Upgrades!$U$18,J383),1)*IF(Upgrades!$T$19="Moving Group",POWER(Upgrades!$U$19,K383),1)*IF(Upgrades!$T$20="Moving Group",POWER(Upgrades!$U$20,L383),1)))*POWER(Upgrades!$Q$13,E383)*POWER(Upgrades!$Q$14,F383)*POWER(Upgrades!$Q$15,G383)*POWER(Upgrades!$Q$16,H383)*POWER(Upgrades!$Q$17,I383)*POWER(Upgrades!$Q$18,J383)*POWER(Upgrades!$Q$19,K383)*POWER(Upgrades!$Q$20,L383)*POWER(Upgrades!$Q$21,M383)*$G$6+$D$6</f>
        <v/>
      </c>
      <c r="P383" s="28">
        <f>((IF(E383=0,0,(Upgrades!$G$13+E383*Upgrades!$H$13)*POWER(Upgrades!$I$13,E383)))*(IF(Upgrades!$T$14="Stellar Kinematics",POWER(Upgrades!$U$14,F383),1)*IF(Upgrades!$T$15="Stellar Kinematics",POWER(Upgrades!$U$15,G383),1)*IF(Upgrades!$T$16="Stellar Kinematics",POWER(Upgrades!$U$16,H383),1)*IF(Upgrades!$T$17="Stellar Kinematics",POWER(Upgrades!$U$17,I383),1)*IF(Upgrades!$T$18="Stellar Kinematics",POWER(Upgrades!$U$18,J383),1)*IF(Upgrades!$T$19="Stellar Kinematics",POWER(Upgrades!$U$19,K383),1)*IF(Upgrades!$T$20="Stellar Kinematics",POWER(Upgrades!$U$20,L383),1)*IF(Upgrades!$T$21="Stellar Kinematics",POWER(Upgrades!$U$21,M383),1))+(IF(F383=0,0,(Upgrades!$G$14+F383*Upgrades!$H$14)*POWER(Upgrades!$I$14,F383)))*(IF(Upgrades!$T$13="Local Bubble",POWER(Upgrades!$U$13,E383),1)*IF(Upgrades!$T$15="Local Bubble",POWER(Upgrades!$U$15,G383),1)*IF(Upgrades!$T$16="Local Bubble",POWER(Upgrades!$U$16,H383),1)*IF(Upgrades!$T$17="Local Bubble",POWER(Upgrades!$U$17,I383),1)*IF(Upgrades!$T$18="Local Bubble",POWER(Upgrades!$U$18,J383),1)*IF(Upgrades!$T$19="Local Bubble",POWER(Upgrades!$U$19,K383),1)*IF(Upgrades!$T$20="Local Bubble",POWER(Upgrades!$U$20,L383),1)*IF(Upgrades!$T$21="Local Bubble",POWER(Upgrades!$U$21,M383),1))+(IF(G383=0,0,(Upgrades!$G$15+G383*Upgrades!$H$15)*POWER(Upgrades!$I$15,G383)))*(IF(Upgrades!$T$13="Microlensing",POWER(Upgrades!$U$13,E383),1)*IF(Upgrades!$T$14="Microlensing",POWER(Upgrades!$U$14,F383),1)*IF(Upgrades!$T$16="Microlensing",POWER(Upgrades!$U$16,H383),1)*IF(Upgrades!$T$17="Microlensing",POWER(Upgrades!$U$17,I383),1)*IF(Upgrades!$T$18="Microlensing",POWER(Upgrades!$U$18,J383),1)*IF(Upgrades!$T$19="Microlensing",POWER(Upgrades!$U$19,K383),1)*IF(Upgrades!$T$20="Microlensing",POWER(Upgrades!$U$20,L383),1)*IF(Upgrades!$T$21="Microlensing",POWER(Upgrades!$U$21,M383),1))+(IF(H383=0,0,(Upgrades!$G$16+H383*Upgrades!$H$16)*POWER(Upgrades!$I$16,H383)))*(IF(Upgrades!$T$13="Roche Lobe Overflow",POWER(Upgrades!$U$13,E383),1)*IF(Upgrades!$T$14="Roche Lobe Overflow",POWER(Upgrades!$U$14,F383),1)*IF(Upgrades!$T$15="Roche Lobe Overflow",POWER(Upgrades!$U$15,G383),1)*IF(Upgrades!$T$17="Roche Lobe Overflow",POWER(Upgrades!$U$17,I383),1)*IF(Upgrades!$T$18="Roche Lobe Overflow",POWER(Upgrades!$U$18,J383),1)*IF(Upgrades!$T$19="Roche Lobe Overflow",POWER(Upgrades!$U$19,K383),1)*IF(Upgrades!$T$20="Roche Lobe Overflow",POWER(Upgrades!$U$20,L383),1)*IF(Upgrades!$T$21="Roche Lobe Overflow",POWER(Upgrades!$U$21,M383),1))+(IF(I383=0,0,(Upgrades!$G$17+I383*Upgrades!$H$17)*POWER(Upgrades!$I$17,I383)))*(IF(Upgrades!$T$13="Brown Dwarf",POWER(Upgrades!$U$13,E383),1)*IF(Upgrades!$T$14="Brown Dwarf",POWER(Upgrades!$U$14,F383),1)*IF(Upgrades!$T$15="Brown Dwarf",POWER(Upgrades!$U$15,G383),1)*IF(Upgrades!$T$16="Brown Dwarf",POWER(Upgrades!$U$16,H383),1)*IF(Upgrades!$T$18="Brown Dwarf",POWER(Upgrades!$U$18,J383),1)*IF(Upgrades!$T$19="Brown Dwarf",POWER(Upgrades!$U$19,K383),1)*IF(Upgrades!$T$20="Brown Dwarf",POWER(Upgrades!$U$20,L383),1)*IF(Upgrades!$T$21="Brown Dwarf",POWER(Upgrades!$U$21,M383),1))+(IF(J383=0,0,(Upgrades!$G$18+J383*Upgrades!$H$18)*POWER(Upgrades!$I$18,J383)))*(IF(Upgrades!$T$13="Binary Partner",POWER(Upgrades!$U$13,E383),1)*IF(Upgrades!$T$14="Binary Partner",POWER(Upgrades!$U$14,F383),1)*IF(Upgrades!$T$15="Binary Partner",POWER(Upgrades!$U$15,G383),1)*IF(Upgrades!$T$16="Binary Partner",POWER(Upgrades!$U$16,H383),1)*IF(Upgrades!$T$17="Binary Partner",POWER(Upgrades!$U$17,I383),1)*IF(Upgrades!$T$19="Binary Partner",POWER(Upgrades!$U$19,K383),1)*IF(Upgrades!$T$20="Binary Partner",POWER(Upgrades!$U$20,L383),1)*IF(Upgrades!$T$21="Binary Partner",POWER(Upgrades!$U$21,M383),1))+(IF(K383=0,0,(Upgrades!$G$19+K383*Upgrades!$H$19)*POWER(Upgrades!$I$19,K383)))*(IF(Upgrades!$T$13="Peculiar Velocity",POWER(Upgrades!$U$13,E383),1)*IF(Upgrades!$T$14="Peculiar Velocity",POWER(Upgrades!$U$14,F383),1)*IF(Upgrades!$T$15="Peculiar Velocity",POWER(Upgrades!$U$15,G383),1)*IF(Upgrades!$T$16="Peculiar Velocity",POWER(Upgrades!$U$16,H383),1)*IF(Upgrades!$T$17="Peculiar Velocity",POWER(Upgrades!$U$17,I383),1)*IF(Upgrades!$T$18="Peculiar Velocity",POWER(Upgrades!$U$18,J383),1)*IF(Upgrades!$T$20="Peculiar Velocity",POWER(Upgrades!$U$20,L383),1)*IF(Upgrades!$T$21="Peculiar Velocity",POWER(Upgrades!$U$21,M383),1))+(IF(L383=0,0,(Upgrades!$G$20+L383*Upgrades!$H$20)*POWER(Upgrades!$I$20,L383)))*(IF(Upgrades!$T$13="Open Cluster",POWER(Upgrades!$U$13,E383),1)*IF(Upgrades!$T$14="Open Cluster",POWER(Upgrades!$U$14,F383),1)*IF(Upgrades!$T$15="Open Cluster",POWER(Upgrades!$U$15,G383),1)*IF(Upgrades!$T$16="Open Cluster",POWER(Upgrades!$U$16,H383),1)*IF(Upgrades!$T$17="Open Cluster",POWER(Upgrades!$U$17,I383),1)*IF(Upgrades!$T$18="Open Cluster",POWER(Upgrades!$U$18,J383),1)*IF(Upgrades!$T$19="Open Cluster",POWER(Upgrades!$U$19,K383),1)*IF(Upgrades!$T$21="Open Cluster",POWER(Upgrades!$U$21,M383),1))+(IF(M383=0,0,(Upgrades!$G$21+M383*Upgrades!$H$21)*POWER(Upgrades!$I$21,M383)))*(IF(Upgrades!$T$13="Moving Group",POWER(Upgrades!$U$13,E383),1)*IF(Upgrades!$T$14="Moving Group",POWER(Upgrades!$U$14,F383),1)*IF(Upgrades!$T$15="Moving Group",POWER(Upgrades!$U$15,G383),1)*IF(Upgrades!$T$16="Moving Group",POWER(Upgrades!$U$16,H383),1)*IF(Upgrades!$T$17="Moving Group",POWER(Upgrades!$U$17,I383),1)*IF(Upgrades!$T$18="Moving Group",POWER(Upgrades!$U$18,J383),1)*IF(Upgrades!$T$19="Moving Group",POWER(Upgrades!$U$19,K383),1)*IF(Upgrades!$T$20="Moving Group",POWER(Upgrades!$U$20,L383),1)))*POWER(Upgrades!$P$13,E383)*POWER(Upgrades!$P$14,F383)*POWER(Upgrades!$P$15,G383)*POWER(Upgrades!$P$16,H383)*POWER(Upgrades!$P$17,I383)*POWER(Upgrades!$P$18,J383)*POWER(Upgrades!$P$19,K383)*POWER(Upgrades!$P$20,L383)*POWER(Upgrades!$P$21,M383)*$F$6+$C$6</f>
        <v/>
      </c>
      <c r="Q383" s="28">
        <f>((IF(E383=0,0,(Upgrades!$M$13+E383*Upgrades!$N$13)*POWER(Upgrades!$O$13,E383)))*(IF(Upgrades!$T$14="Stellar Kinematics",POWER(Upgrades!$U$14,F383),1)*IF(Upgrades!$T$15="Stellar Kinematics",POWER(Upgrades!$U$15,G383),1)*IF(Upgrades!$T$16="Stellar Kinematics",POWER(Upgrades!$U$16,H383),1)*IF(Upgrades!$T$17="Stellar Kinematics",POWER(Upgrades!$U$17,I383),1)*IF(Upgrades!$T$18="Stellar Kinematics",POWER(Upgrades!$U$18,J383),1)*IF(Upgrades!$T$19="Stellar Kinematics",POWER(Upgrades!$U$19,K383),1)*IF(Upgrades!$T$20="Stellar Kinematics",POWER(Upgrades!$U$20,L383),1)*IF(Upgrades!$T$21="Stellar Kinematics",POWER(Upgrades!$U$21,M383),1))+(IF(F383=0,0,(Upgrades!$M$14+F383*Upgrades!$N$14)*POWER(Upgrades!$O$14,F383)))*(IF(Upgrades!$T$13="Local Bubble",POWER(Upgrades!$U$13,E383),1)*IF(Upgrades!$T$15="Local Bubble",POWER(Upgrades!$U$15,G383),1)*IF(Upgrades!$T$16="Local Bubble",POWER(Upgrades!$U$16,H383),1)*IF(Upgrades!$T$17="Local Bubble",POWER(Upgrades!$U$17,I383),1)*IF(Upgrades!$T$18="Local Bubble",POWER(Upgrades!$U$18,J383),1)*IF(Upgrades!$T$19="Local Bubble",POWER(Upgrades!$U$19,K383),1)*IF(Upgrades!$T$20="Local Bubble",POWER(Upgrades!$U$20,L383),1)*IF(Upgrades!$T$21="Local Bubble",POWER(Upgrades!$U$21,M383),1))+(IF(G383=0,0,(Upgrades!$M$15+G383*Upgrades!$N$15)*POWER(Upgrades!$O$15,G383)))*(IF(Upgrades!$T$13="Microlensing",POWER(Upgrades!$U$13,E383),1)*IF(Upgrades!$T$14="Microlensing",POWER(Upgrades!$U$14,F383),1)*IF(Upgrades!$T$16="Microlensing",POWER(Upgrades!$U$16,H383),1)*IF(Upgrades!$T$17="Microlensing",POWER(Upgrades!$U$17,I383),1)*IF(Upgrades!$T$18="Microlensing",POWER(Upgrades!$U$18,J383),1)*IF(Upgrades!$T$19="Microlensing",POWER(Upgrades!$U$19,K383),1)*IF(Upgrades!$T$20="Microlensing",POWER(Upgrades!$U$20,L383),1)*IF(Upgrades!$T$21="Microlensing",POWER(Upgrades!$U$21,M383),1))+(IF(H383=0,0,(Upgrades!$M$16+H383*Upgrades!$N$16)*POWER(Upgrades!$O$16,H383)))*(IF(Upgrades!$T$13="Roche Lobe Overflow",POWER(Upgrades!$U$13,E383),1)*IF(Upgrades!$T$14="Roche Lobe Overflow",POWER(Upgrades!$U$14,F383),1)*IF(Upgrades!$T$15="Roche Lobe Overflow",POWER(Upgrades!$U$15,G383),1)*IF(Upgrades!$T$17="Roche Lobe Overflow",POWER(Upgrades!$U$17,I383),1)*IF(Upgrades!$T$18="Roche Lobe Overflow",POWER(Upgrades!$U$18,J383),1)*IF(Upgrades!$T$19="Roche Lobe Overflow",POWER(Upgrades!$U$19,K383),1)*IF(Upgrades!$T$20="Roche Lobe Overflow",POWER(Upgrades!$U$20,L383),1)*IF(Upgrades!$T$21="Roche Lobe Overflow",POWER(Upgrades!$U$21,M383),1))+(IF(I383=0,0,(Upgrades!$M$17+I383*Upgrades!$N$17)*POWER(Upgrades!$O$17,I383)))*(IF(Upgrades!$T$13="Brown Dwarf",POWER(Upgrades!$U$13,E383),1)*IF(Upgrades!$T$14="Brown Dwarf",POWER(Upgrades!$U$14,F383),1)*IF(Upgrades!$T$15="Brown Dwarf",POWER(Upgrades!$U$15,G383),1)*IF(Upgrades!$T$16="Brown Dwarf",POWER(Upgrades!$U$16,H383),1)*IF(Upgrades!$T$18="Brown Dwarf",POWER(Upgrades!$U$18,J383),1)*IF(Upgrades!$T$19="Brown Dwarf",POWER(Upgrades!$U$19,K383),1)*IF(Upgrades!$T$20="Brown Dwarf",POWER(Upgrades!$U$20,L383),1)*IF(Upgrades!$T$21="Brown Dwarf",POWER(Upgrades!$U$21,M383),1))+(IF(J383=0,0,(Upgrades!$M$18+J383*Upgrades!$N$18)*POWER(Upgrades!$O$18,J383)))*(IF(Upgrades!$T$13="Binary Partner",POWER(Upgrades!$U$13,E383),1)*IF(Upgrades!$T$14="Binary Partner",POWER(Upgrades!$U$14,F383),1)*IF(Upgrades!$T$15="Binary Partner",POWER(Upgrades!$U$15,G383),1)*IF(Upgrades!$T$16="Binary Partner",POWER(Upgrades!$U$16,H383),1)*IF(Upgrades!$T$17="Binary Partner",POWER(Upgrades!$U$17,I383),1)*IF(Upgrades!$T$19="Binary Partner",POWER(Upgrades!$U$19,K383),1)*IF(Upgrades!$T$20="Binary Partner",POWER(Upgrades!$U$20,L383),1)*IF(Upgrades!$T$21="Binary Partner",POWER(Upgrades!$U$21,M383),1))+(IF(K383=0,0,(Upgrades!$M$19+K383*Upgrades!$N$19)*POWER(Upgrades!$O$19,K383)))*(IF(Upgrades!$T$13="Peculiar Velocity",POWER(Upgrades!$U$13,E383),1)*IF(Upgrades!$T$14="Peculiar Velocity",POWER(Upgrades!$U$14,F383),1)*IF(Upgrades!$T$15="Peculiar Velocity",POWER(Upgrades!$U$15,G383),1)*IF(Upgrades!$T$16="Peculiar Velocity",POWER(Upgrades!$U$16,H383),1)*IF(Upgrades!$T$17="Peculiar Velocity",POWER(Upgrades!$U$17,I383),1)*IF(Upgrades!$T$18="Peculiar Velocity",POWER(Upgrades!$U$18,J383),1)*IF(Upgrades!$T$20="Peculiar Velocity",POWER(Upgrades!$U$20,L383),1)*IF(Upgrades!$T$21="Peculiar Velocity",POWER(Upgrades!$U$21,M383),1))+(IF(L383=0,0,(Upgrades!$M$20+L383*Upgrades!$N$20)*POWER(Upgrades!$O$20,L383)))*(IF(Upgrades!$T$13="Open Cluster",POWER(Upgrades!$U$13,E383),1)*IF(Upgrades!$T$14="Open Cluster",POWER(Upgrades!$U$14,F383),1)*IF(Upgrades!$T$15="Open Cluster",POWER(Upgrades!$U$15,G383),1)*IF(Upgrades!$T$16="Open Cluster",POWER(Upgrades!$U$16,H383),1)*IF(Upgrades!$T$17="Open Cluster",POWER(Upgrades!$U$17,I383),1)*IF(Upgrades!$T$18="Open Cluster",POWER(Upgrades!$U$18,J383),1)*IF(Upgrades!$T$19="Open Cluster",POWER(Upgrades!$U$19,K383),1)*IF(Upgrades!$T$21="Open Cluster",POWER(Upgrades!$U$21,M383),1))+(IF(M383=0,0,(Upgrades!$M$21+M383*Upgrades!$N$21)*POWER(Upgrades!$O$21,M383)))*(IF(Upgrades!$T$13="Moving Group",POWER(Upgrades!$U$13,E383),1)*IF(Upgrades!$T$14="Moving Group",POWER(Upgrades!$U$14,F383),1)*IF(Upgrades!$T$15="Moving Group",POWER(Upgrades!$U$15,G383),1)*IF(Upgrades!$T$16="Moving Group",POWER(Upgrades!$U$16,H383),1)*IF(Upgrades!$T$17="Moving Group",POWER(Upgrades!$U$17,I383),1)*IF(Upgrades!$T$18="Moving Group",POWER(Upgrades!$U$18,J383),1)*IF(Upgrades!$T$19="Moving Group",POWER(Upgrades!$U$19,K383),1)*IF(Upgrades!$T$20="Moving Group",POWER(Upgrades!$U$20,L383),1)))*POWER(Upgrades!$R$13,E383)*POWER(Upgrades!$R$14,F383)*POWER(Upgrades!$R$15,G383)*POWER(Upgrades!$R$16,H383)*POWER(Upgrades!$R$17,I383)*POWER(Upgrades!$R$18,J383)*POWER(Upgrades!$R$19,K383)*POWER(Upgrades!$R$20,L383)*POWER(Upgrades!$R$21,M383)*$H$6+$E$6</f>
        <v/>
      </c>
      <c r="R383" s="27">
        <f>IF(N383=1,0,O383*Parameters!$B$10/60*Parameters!$B$11*10)</f>
        <v/>
      </c>
      <c r="S383" s="27">
        <f>IF(N383=1,0,Q383*O383*10)</f>
        <v/>
      </c>
      <c r="T383" s="27">
        <f>IF(N383=1,0,R383+S383+P383*10)</f>
        <v/>
      </c>
      <c r="U383" s="33">
        <f>BE383</f>
        <v/>
      </c>
      <c r="V383" s="22">
        <f>IF(U383="",0,IF(U383="transition",0,IF(U383="SK",AK383,IF(U383="LB",AL383,IF(U383="ML",AM383,IF(U383="RLO",AN383,IF(U383="BD",AO383,IF(U383="BiP",AP383,IF(U383="PV",AQ383,IF(U383="OC",AR383,IF(U383="MG",AS383,0))))))))))</f>
        <v/>
      </c>
      <c r="W383" s="27">
        <f>IF(U383="BiP",Upgrades!$F$18,IF(U383="PV",Upgrades!$F$19,IF(U383="OC",Upgrades!$F$20,IF(U383="MG",Upgrades!$F$21,IF(U383="transition",-Parameters!$B$18*Parameters!$B$19,0)))))</f>
        <v/>
      </c>
      <c r="X383" s="22">
        <f>C383+T383-V383</f>
        <v/>
      </c>
      <c r="Y383" s="30">
        <f>O383*Parameters!$B$10/60*Parameters!$B$11+Q383*O383+P383</f>
        <v/>
      </c>
      <c r="Z383" s="34">
        <f>IF(U383="transition","→ Tier 3 (Galactic Arm)",IF(U383="MG","Moving Group — pocket drifts together",IF(U383="OC","Open Cluster acquired",IF(U383="PV","Peculiar Velocity — passive multiplier active",IF(U383="BiP","Binary Partner — pair bond formed",IF(AND(AU383=1,N383=0,AT383&lt;&gt;1),"Cohesion ready (waiting on completionists)","")))))) </f>
        <v/>
      </c>
      <c r="AA383" s="27">
        <f>(IF(E383=0,0,(Upgrades!$G$13+E383*Upgrades!$H$13)*POWER(Upgrades!$I$13,E383)))*(IF(Upgrades!$T$14="Stellar Kinematics",POWER(Upgrades!$U$14,F383),1)*IF(Upgrades!$T$15="Stellar Kinematics",POWER(Upgrades!$U$15,G383),1)*IF(Upgrades!$T$16="Stellar Kinematics",POWER(Upgrades!$U$16,H383),1)*IF(Upgrades!$T$17="Stellar Kinematics",POWER(Upgrades!$U$17,I383),1)*IF(Upgrades!$T$18="Stellar Kinematics",POWER(Upgrades!$U$18,J383),1)*IF(Upgrades!$T$19="Stellar Kinematics",POWER(Upgrades!$U$19,K383),1)*IF(Upgrades!$T$20="Stellar Kinematics",POWER(Upgrades!$U$20,L383),1)*IF(Upgrades!$T$21="Stellar Kinematics",POWER(Upgrades!$U$21,M383),1))*POWER(Upgrades!$P$13,E383)*POWER(Upgrades!$P$14,F383)*POWER(Upgrades!$P$15,G383)*POWER(Upgrades!$P$16,H383)*POWER(Upgrades!$P$17,I383)*POWER(Upgrades!$P$18,J383)*POWER(Upgrades!$P$19,K383)*POWER(Upgrades!$P$20,L383)*POWER(Upgrades!$P$21,M383)*$F$6*60</f>
        <v/>
      </c>
      <c r="AB383" s="27">
        <f>(IF(F383=0,0,(Upgrades!$G$14+F383*Upgrades!$H$14)*POWER(Upgrades!$I$14,F383)))*(IF(Upgrades!$T$13="Local Bubble",POWER(Upgrades!$U$13,E383),1)*IF(Upgrades!$T$15="Local Bubble",POWER(Upgrades!$U$15,G383),1)*IF(Upgrades!$T$16="Local Bubble",POWER(Upgrades!$U$16,H383),1)*IF(Upgrades!$T$17="Local Bubble",POWER(Upgrades!$U$17,I383),1)*IF(Upgrades!$T$18="Local Bubble",POWER(Upgrades!$U$18,J383),1)*IF(Upgrades!$T$19="Local Bubble",POWER(Upgrades!$U$19,K383),1)*IF(Upgrades!$T$20="Local Bubble",POWER(Upgrades!$U$20,L383),1)*IF(Upgrades!$T$21="Local Bubble",POWER(Upgrades!$U$21,M383),1))*POWER(Upgrades!$P$13,E383)*POWER(Upgrades!$P$14,F383)*POWER(Upgrades!$P$15,G383)*POWER(Upgrades!$P$16,H383)*POWER(Upgrades!$P$17,I383)*POWER(Upgrades!$P$18,J383)*POWER(Upgrades!$P$19,K383)*POWER(Upgrades!$P$20,L383)*POWER(Upgrades!$P$21,M383)*$F$6*60</f>
        <v/>
      </c>
      <c r="AC383" s="27">
        <f>(IF(G383=0,0,(Upgrades!$J$15+G383*Upgrades!$K$15)*POWER(Upgrades!$L$15,G383)))*(IF(Upgrades!$T$13="Microlensing",POWER(Upgrades!$U$13,E383),1)*IF(Upgrades!$T$14="Microlensing",POWER(Upgrades!$U$14,F383),1)*IF(Upgrades!$T$16="Microlensing",POWER(Upgrades!$U$16,H383),1)*IF(Upgrades!$T$17="Microlensing",POWER(Upgrades!$U$17,I383),1)*IF(Upgrades!$T$18="Microlensing",POWER(Upgrades!$U$18,J383),1)*IF(Upgrades!$T$19="Microlensing",POWER(Upgrades!$U$19,K383),1)*IF(Upgrades!$T$20="Microlensing",POWER(Upgrades!$U$20,L383),1)*IF(Upgrades!$T$21="Microlensing",POWER(Upgrades!$U$21,M383),1))*POWER(Upgrades!$Q$13,E383)*POWER(Upgrades!$Q$14,F383)*POWER(Upgrades!$Q$15,G383)*POWER(Upgrades!$Q$16,H383)*POWER(Upgrades!$Q$17,I383)*POWER(Upgrades!$Q$18,J383)*POWER(Upgrades!$Q$19,K383)*POWER(Upgrades!$Q$20,L383)*POWER(Upgrades!$Q$21,M383)*$G$6*(Parameters!$B$10*Parameters!$B$11+Q383*60)</f>
        <v/>
      </c>
      <c r="AD383" s="27">
        <f>(IF(H383=0,0,(Upgrades!$M$16+H383*Upgrades!$N$16)*POWER(Upgrades!$O$16,H383)))*(IF(Upgrades!$T$13="Roche Lobe Overflow",POWER(Upgrades!$U$13,E383),1)*IF(Upgrades!$T$14="Roche Lobe Overflow",POWER(Upgrades!$U$14,F383),1)*IF(Upgrades!$T$15="Roche Lobe Overflow",POWER(Upgrades!$U$15,G383),1)*IF(Upgrades!$T$17="Roche Lobe Overflow",POWER(Upgrades!$U$17,I383),1)*IF(Upgrades!$T$18="Roche Lobe Overflow",POWER(Upgrades!$U$18,J383),1)*IF(Upgrades!$T$19="Roche Lobe Overflow",POWER(Upgrades!$U$19,K383),1)*IF(Upgrades!$T$20="Roche Lobe Overflow",POWER(Upgrades!$U$20,L383),1)*IF(Upgrades!$T$21="Roche Lobe Overflow",POWER(Upgrades!$U$21,M383),1))*POWER(Upgrades!$R$13,E383)*POWER(Upgrades!$R$14,F383)*POWER(Upgrades!$R$15,G383)*POWER(Upgrades!$R$16,H383)*POWER(Upgrades!$R$17,I383)*POWER(Upgrades!$R$18,J383)*POWER(Upgrades!$R$19,K383)*POWER(Upgrades!$R$20,L383)*POWER(Upgrades!$R$21,M383)*$H$6*O383*60</f>
        <v/>
      </c>
      <c r="AE383" s="27">
        <f>(IF(I383=0,0,(Upgrades!$G$17+I383*Upgrades!$H$17)*POWER(Upgrades!$I$17,I383)))*(IF(Upgrades!$T$13="Brown Dwarf",POWER(Upgrades!$U$13,E383),1)*IF(Upgrades!$T$14="Brown Dwarf",POWER(Upgrades!$U$14,F383),1)*IF(Upgrades!$T$15="Brown Dwarf",POWER(Upgrades!$U$15,G383),1)*IF(Upgrades!$T$16="Brown Dwarf",POWER(Upgrades!$U$16,H383),1)*IF(Upgrades!$T$18="Brown Dwarf",POWER(Upgrades!$U$18,J383),1)*IF(Upgrades!$T$19="Brown Dwarf",POWER(Upgrades!$U$19,K383),1)*IF(Upgrades!$T$20="Brown Dwarf",POWER(Upgrades!$U$20,L383),1)*IF(Upgrades!$T$21="Brown Dwarf",POWER(Upgrades!$U$21,M383),1))*POWER(Upgrades!$P$13,E383)*POWER(Upgrades!$P$14,F383)*POWER(Upgrades!$P$15,G383)*POWER(Upgrades!$P$16,H383)*POWER(Upgrades!$P$17,I383)*POWER(Upgrades!$P$18,J383)*POWER(Upgrades!$P$19,K383)*POWER(Upgrades!$P$20,L383)*POWER(Upgrades!$P$21,M383)*$F$6*60</f>
        <v/>
      </c>
      <c r="AF383" s="27" t="n">
        <v>0</v>
      </c>
      <c r="AG383" s="27" t="n">
        <v>0</v>
      </c>
      <c r="AH383" s="27" t="n">
        <v>0</v>
      </c>
      <c r="AI383" s="27">
        <f>(IF(M383=0,0,(Upgrades!$G$21+M383*Upgrades!$H$21)*POWER(Upgrades!$I$21,M383)))*(IF(Upgrades!$T$13="Moving Group",POWER(Upgrades!$U$13,E383),1)*IF(Upgrades!$T$14="Moving Group",POWER(Upgrades!$U$14,F383),1)*IF(Upgrades!$T$15="Moving Group",POWER(Upgrades!$U$15,G383),1)*IF(Upgrades!$T$16="Moving Group",POWER(Upgrades!$U$16,H383),1)*IF(Upgrades!$T$17="Moving Group",POWER(Upgrades!$U$17,I383),1)*IF(Upgrades!$T$18="Moving Group",POWER(Upgrades!$U$18,J383),1)*IF(Upgrades!$T$19="Moving Group",POWER(Upgrades!$U$19,K383),1)*IF(Upgrades!$T$20="Moving Group",POWER(Upgrades!$U$20,L383),1))*POWER(Upgrades!$P$13,E383)*POWER(Upgrades!$P$14,F383)*POWER(Upgrades!$P$15,G383)*POWER(Upgrades!$P$16,H383)*POWER(Upgrades!$P$17,I383)*POWER(Upgrades!$P$18,J383)*POWER(Upgrades!$P$19,K383)*POWER(Upgrades!$P$20,L383)*POWER(Upgrades!$P$21,M383)*$F$6*60</f>
        <v/>
      </c>
      <c r="AJ383" s="27">
        <f>$C$6*60</f>
        <v/>
      </c>
      <c r="AK383" s="22">
        <f>IF(E383&gt;=Upgrades!$E$13,"",Upgrades!$C$13*POWER(Upgrades!$D$13,E383))</f>
        <v/>
      </c>
      <c r="AL383" s="22">
        <f>IF(F383&gt;=Upgrades!$E$14,"",Upgrades!$C$14*POWER(Upgrades!$D$14,F383))</f>
        <v/>
      </c>
      <c r="AM383" s="22">
        <f>IF(G383&gt;=Upgrades!$E$15,"",Upgrades!$C$15*POWER(Upgrades!$D$15,G383))</f>
        <v/>
      </c>
      <c r="AN383" s="22">
        <f>IF(H383&gt;=Upgrades!$E$16,"",Upgrades!$C$16*POWER(Upgrades!$D$16,H383))</f>
        <v/>
      </c>
      <c r="AO383" s="22">
        <f>IF(I383&gt;=Upgrades!$E$17,"",Upgrades!$C$17*POWER(Upgrades!$D$17,I383))</f>
        <v/>
      </c>
      <c r="AP383" s="22">
        <f>IF(J383&gt;=Upgrades!$E$18,"",Upgrades!$C$18*POWER(Upgrades!$D$18,J383))</f>
        <v/>
      </c>
      <c r="AQ383" s="22">
        <f>IF(K383&gt;=Upgrades!$E$19,"",Upgrades!$C$19*POWER(Upgrades!$D$19,K383))</f>
        <v/>
      </c>
      <c r="AR383" s="22">
        <f>IF(L383&gt;=Upgrades!$E$20,"",Upgrades!$C$20*POWER(Upgrades!$D$20,L383))</f>
        <v/>
      </c>
      <c r="AS383" s="22">
        <f>IF(M383&gt;=Upgrades!$E$21,"",Upgrades!$C$21*POWER(Upgrades!$D$21,M383))</f>
        <v/>
      </c>
      <c r="AT383" s="26">
        <f>IF(AND(D383&gt;=Parameters!$B$18*Parameters!$B$19,(I383&gt;=Upgrades!$E$17)*(M383&gt;=Upgrades!$E$21)=1,N383=0),1,"")</f>
        <v/>
      </c>
      <c r="AU383" s="26">
        <f>IF(AND(D383&gt;=Parameters!$B$18*Parameters!$B$19,N383=0),1,"")</f>
        <v/>
      </c>
      <c r="AV383" s="22">
        <f>MIN(IF(ISNUMBER(AP383),AP383,9E15),IF(ISNUMBER(AQ383),AQ383,9E15),IF(ISNUMBER(AR383),AR383,9E15),IF(ISNUMBER(AS383),AS383,9E15))</f>
        <v/>
      </c>
      <c r="AW383" s="22">
        <f>MIN(IF(ISNUMBER(AK383),AK383,9E15),IF(ISNUMBER(AL383),AL383,9E15),IF(ISNUMBER(AM383),AM383,9E15),IF(ISNUMBER(AN383),AN383,9E15),IF(ISNUMBER(AO383),AO383,9E15))</f>
        <v/>
      </c>
      <c r="AX383" s="29">
        <f>IF(BD383&gt;Parameters!$B$21*(MAX(IF(AND(NOT(AND(AU383=1,AT383&lt;&gt;1)),ISNUMBER(AK383),AK383&lt;=(C383+T383)),AY383,0),IF(AND(NOT(AND(AU383=1,AT383&lt;&gt;1)),ISNUMBER(AL383),AL383&lt;=(C383+T383)),AZ383,0),IF(AND(NOT(AND(AU383=1,AT383&lt;&gt;1)),ISNUMBER(AM383),AM383&lt;=(C383+T383)),BA383,0),IF(AND(NOT(AND(AU383=1,AT383&lt;&gt;1)),ISNUMBER(AN383),AN383&lt;=(C383+T383)),BB383,0),IF(AND(ISNUMBER(AO383),AO383&lt;=(C383+T383)),BC383,0))),TRUE,FALSE)</f>
        <v/>
      </c>
      <c r="AY383" s="32">
        <f>IFERROR(Upgrades!$H$13*(POWER(Upgrades!$P$13,E383)*POWER(Upgrades!$P$14,F383)*POWER(Upgrades!$P$15,G383)*POWER(Upgrades!$P$16,H383)*POWER(Upgrades!$P$17,I383)*POWER(Upgrades!$P$18,J383)*POWER(Upgrades!$P$19,K383)*POWER(Upgrades!$P$20,L383)*POWER(Upgrades!$P$21,M383))*(IF(Upgrades!$T$14="Stellar Kinematics",POWER(Upgrades!$U$14,F383),1)*IF(Upgrades!$T$15="Stellar Kinematics",POWER(Upgrades!$U$15,G383),1)*IF(Upgrades!$T$16="Stellar Kinematics",POWER(Upgrades!$U$16,H383),1)*IF(Upgrades!$T$17="Stellar Kinematics",POWER(Upgrades!$U$17,I383),1)*IF(Upgrades!$T$18="Stellar Kinematics",POWER(Upgrades!$U$18,J383),1)*IF(Upgrades!$T$19="Stellar Kinematics",POWER(Upgrades!$U$19,K383),1)*IF(Upgrades!$T$20="Stellar Kinematics",POWER(Upgrades!$U$20,L383),1)*IF(Upgrades!$T$21="Stellar Kinematics",POWER(Upgrades!$U$21,M383),1))*$F$6/AK383,0)</f>
        <v/>
      </c>
      <c r="AZ383" s="32">
        <f>IFERROR(Upgrades!$H$14*(POWER(Upgrades!$P$13,E383)*POWER(Upgrades!$P$14,F383)*POWER(Upgrades!$P$15,G383)*POWER(Upgrades!$P$16,H383)*POWER(Upgrades!$P$17,I383)*POWER(Upgrades!$P$18,J383)*POWER(Upgrades!$P$19,K383)*POWER(Upgrades!$P$20,L383)*POWER(Upgrades!$P$21,M383))*(IF(Upgrades!$T$13="Local Bubble",POWER(Upgrades!$U$13,E383),1)*IF(Upgrades!$T$15="Local Bubble",POWER(Upgrades!$U$15,G383),1)*IF(Upgrades!$T$16="Local Bubble",POWER(Upgrades!$U$16,H383),1)*IF(Upgrades!$T$17="Local Bubble",POWER(Upgrades!$U$17,I383),1)*IF(Upgrades!$T$18="Local Bubble",POWER(Upgrades!$U$18,J383),1)*IF(Upgrades!$T$19="Local Bubble",POWER(Upgrades!$U$19,K383),1)*IF(Upgrades!$T$20="Local Bubble",POWER(Upgrades!$U$20,L383),1)*IF(Upgrades!$T$21="Local Bubble",POWER(Upgrades!$U$21,M383),1))*$F$6/AL383,0)</f>
        <v/>
      </c>
      <c r="BA383" s="32">
        <f>IFERROR(Upgrades!$K$15*(POWER(Upgrades!$Q$13,E383)*POWER(Upgrades!$Q$14,F383)*POWER(Upgrades!$Q$15,G383)*POWER(Upgrades!$Q$16,H383)*POWER(Upgrades!$Q$17,I383)*POWER(Upgrades!$Q$18,J383)*POWER(Upgrades!$Q$19,K383)*POWER(Upgrades!$Q$20,L383)*POWER(Upgrades!$Q$21,M383))*(IF(Upgrades!$T$13="Microlensing",POWER(Upgrades!$U$13,E383),1)*IF(Upgrades!$T$14="Microlensing",POWER(Upgrades!$U$14,F383),1)*IF(Upgrades!$T$16="Microlensing",POWER(Upgrades!$U$16,H383),1)*IF(Upgrades!$T$17="Microlensing",POWER(Upgrades!$U$17,I383),1)*IF(Upgrades!$T$18="Microlensing",POWER(Upgrades!$U$18,J383),1)*IF(Upgrades!$T$19="Microlensing",POWER(Upgrades!$U$19,K383),1)*IF(Upgrades!$T$20="Microlensing",POWER(Upgrades!$U$20,L383),1)*IF(Upgrades!$T$21="Microlensing",POWER(Upgrades!$U$21,M383),1))*$G$6*(Parameters!$B$10/60*Parameters!$B$11+Q383)/AM383,0)</f>
        <v/>
      </c>
      <c r="BB383" s="32">
        <f>IFERROR((Upgrades!$N$16*(POWER(Upgrades!$R$13,E383)*POWER(Upgrades!$R$14,F383)*POWER(Upgrades!$R$15,G383)*POWER(Upgrades!$R$16,H383)*POWER(Upgrades!$R$17,I383)*POWER(Upgrades!$R$18,J383)*POWER(Upgrades!$R$19,K383)*POWER(Upgrades!$R$20,L383)*POWER(Upgrades!$R$21,M383))*(IF(Upgrades!$T$13="Roche Lobe Overflow",POWER(Upgrades!$U$13,E383),1)*IF(Upgrades!$T$14="Roche Lobe Overflow",POWER(Upgrades!$U$14,F383),1)*IF(Upgrades!$T$15="Roche Lobe Overflow",POWER(Upgrades!$U$15,G383),1)*IF(Upgrades!$T$17="Roche Lobe Overflow",POWER(Upgrades!$U$17,I383),1)*IF(Upgrades!$T$18="Roche Lobe Overflow",POWER(Upgrades!$U$18,J383),1)*IF(Upgrades!$T$19="Roche Lobe Overflow",POWER(Upgrades!$U$19,K383),1)*IF(Upgrades!$T$20="Roche Lobe Overflow",POWER(Upgrades!$U$20,L383),1)*IF(Upgrades!$T$21="Roche Lobe Overflow",POWER(Upgrades!$U$21,M383),1))*$H$6*O383+((IF(F383=0,0,(Upgrades!$G$14+F383*Upgrades!$H$14)*POWER(Upgrades!$I$14,F383)))*(IF(Upgrades!$T$13="Local Bubble",POWER(Upgrades!$U$13,E383),1)*IF(Upgrades!$T$15="Local Bubble",POWER(Upgrades!$U$15,G383),1)*IF(Upgrades!$T$16="Local Bubble",POWER(Upgrades!$U$16,H383),1)*IF(Upgrades!$T$17="Local Bubble",POWER(Upgrades!$U$17,I383),1)*IF(Upgrades!$T$18="Local Bubble",POWER(Upgrades!$U$18,J383),1)*IF(Upgrades!$T$19="Local Bubble",POWER(Upgrades!$U$19,K383),1)*IF(Upgrades!$T$20="Local Bubble",POWER(Upgrades!$U$20,L383),1)*IF(Upgrades!$T$21="Local Bubble",POWER(Upgrades!$U$21,M383),1))*POWER(Upgrades!$P$13,E383)*POWER(Upgrades!$P$14,F383)*POWER(Upgrades!$P$15,G383)*POWER(Upgrades!$P$16,H383)*POWER(Upgrades!$P$17,I383)*POWER(Upgrades!$P$18,J383)*POWER(Upgrades!$P$19,K383)*POWER(Upgrades!$P$20,L383)*POWER(Upgrades!$P$21,M383)*$F$6)*0.05)/AN383,0)</f>
        <v/>
      </c>
      <c r="BC383" s="32">
        <f>IFERROR((Upgrades!$H$17*(POWER(Upgrades!$P$13,E383)*POWER(Upgrades!$P$14,F383)*POWER(Upgrades!$P$15,G383)*POWER(Upgrades!$P$16,H383)*POWER(Upgrades!$P$17,I383)*POWER(Upgrades!$P$18,J383)*POWER(Upgrades!$P$19,K383)*POWER(Upgrades!$P$20,L383)*POWER(Upgrades!$P$21,M383))*(IF(Upgrades!$T$13="Brown Dwarf",POWER(Upgrades!$U$13,E383),1)*IF(Upgrades!$T$14="Brown Dwarf",POWER(Upgrades!$U$14,F383),1)*IF(Upgrades!$T$15="Brown Dwarf",POWER(Upgrades!$U$15,G383),1)*IF(Upgrades!$T$16="Brown Dwarf",POWER(Upgrades!$U$16,H383),1)*IF(Upgrades!$T$18="Brown Dwarf",POWER(Upgrades!$U$18,J383),1)*IF(Upgrades!$T$19="Brown Dwarf",POWER(Upgrades!$U$19,K383),1)*IF(Upgrades!$T$20="Brown Dwarf",POWER(Upgrades!$U$20,L383),1)*IF(Upgrades!$T$21="Brown Dwarf",POWER(Upgrades!$U$21,M383),1))*$F$6+(((IF(H383=0,0,(Upgrades!$M$16+H383*Upgrades!$N$16)*POWER(Upgrades!$O$16,H383)))*(IF(Upgrades!$T$13="Roche Lobe Overflow",POWER(Upgrades!$U$13,E383),1)*IF(Upgrades!$T$14="Roche Lobe Overflow",POWER(Upgrades!$U$14,F383),1)*IF(Upgrades!$T$15="Roche Lobe Overflow",POWER(Upgrades!$U$15,G383),1)*IF(Upgrades!$T$17="Roche Lobe Overflow",POWER(Upgrades!$U$17,I383),1)*IF(Upgrades!$T$18="Roche Lobe Overflow",POWER(Upgrades!$U$18,J383),1)*IF(Upgrades!$T$19="Roche Lobe Overflow",POWER(Upgrades!$U$19,K383),1)*IF(Upgrades!$T$20="Roche Lobe Overflow",POWER(Upgrades!$U$20,L383),1)*IF(Upgrades!$T$21="Roche Lobe Overflow",POWER(Upgrades!$U$21,M383),1))*POWER(Upgrades!$R$13,E383)*POWER(Upgrades!$R$14,F383)*POWER(Upgrades!$R$15,G383)*POWER(Upgrades!$R$16,H383)*POWER(Upgrades!$R$17,I383)*POWER(Upgrades!$R$18,J383)*POWER(Upgrades!$R$19,K383)*POWER(Upgrades!$R$20,L383)*POWER(Upgrades!$R$21,M383)*$H$6)*O383)*0.10)/AO383,0)</f>
        <v/>
      </c>
      <c r="BD383" s="32">
        <f>MAX(IF(J383&gt;0,0,IFERROR(0.5*((IF(G383=0,0,(Upgrades!$J$15+G383*Upgrades!$K$15)*POWER(Upgrades!$L$15,G383)))*(IF(Upgrades!$T$13="Microlensing",POWER(Upgrades!$U$13,E383),1)*IF(Upgrades!$T$14="Microlensing",POWER(Upgrades!$U$14,F383),1)*IF(Upgrades!$T$16="Microlensing",POWER(Upgrades!$U$16,H383),1)*IF(Upgrades!$T$17="Microlensing",POWER(Upgrades!$U$17,I383),1)*IF(Upgrades!$T$18="Microlensing",POWER(Upgrades!$U$18,J383),1)*IF(Upgrades!$T$19="Microlensing",POWER(Upgrades!$U$19,K383),1)*IF(Upgrades!$T$20="Microlensing",POWER(Upgrades!$U$20,L383),1)*IF(Upgrades!$T$21="Microlensing",POWER(Upgrades!$U$21,M383),1))*(POWER(Upgrades!$Q$13,E383)*POWER(Upgrades!$Q$14,F383)*POWER(Upgrades!$Q$15,G383)*POWER(Upgrades!$Q$16,H383)*POWER(Upgrades!$Q$17,I383)*POWER(Upgrades!$Q$18,J383)*POWER(Upgrades!$Q$19,K383)*POWER(Upgrades!$Q$20,L383)*POWER(Upgrades!$Q$21,M383))*$G$6*(Parameters!$B$10/60*Parameters!$B$11+Q383))/Upgrades!$C$18,0)),IF(K383&gt;0,0,IFERROR(0.30*P383/Upgrades!$C$19,0)),IF(L383&gt;0,0,IFERROR(0.0001/Upgrades!$C$20,0)),IF(M383&gt;0,0,IFERROR((6.0*(POWER(Upgrades!$P$13,E383)*POWER(Upgrades!$P$14,F383)*POWER(Upgrades!$P$15,G383)*POWER(Upgrades!$P$16,H383)*POWER(Upgrades!$P$17,I383)*POWER(Upgrades!$P$18,J383)*POWER(Upgrades!$P$19,K383)*POWER(Upgrades!$P$20,L383)*POWER(Upgrades!$P$21,M383))*$F$6+0.20*O383*(Parameters!$B$10/60*Parameters!$B$11+Q383))/Upgrades!$C$21,0)),IF(AND(ISNUMBER(AK383),AK383&gt;(C383+T383)),AY383,0),IF(AND(ISNUMBER(AL383),AL383&gt;(C383+T383)),AZ383,0),IF(AND(ISNUMBER(AM383),AM383&gt;(C383+T383)),BA383,0),IF(AND(ISNUMBER(AN383),AN383&gt;(C383+T383)),BB383,0),IF(AND(ISNUMBER(AO383),AO383&gt;(C383+T383)),BC383,0))</f>
        <v/>
      </c>
      <c r="BE383" s="29">
        <f>IF(AT383=1,"transition",IF(MIN(IF(AND(J383=0,ISNUMBER(AP383),AP383&lt;=(C383+T383)),AP383,9E15),IF(AND(K383=0,ISNUMBER(AQ383),AQ383&lt;=(C383+T383)),AQ383,9E15),IF(AND(L383=0,ISNUMBER(AR383),AR383&lt;=(C383+T383)),AR383,9E15),IF(AND(M383=0,ISNUMBER(AS383),AS383&lt;=(C383+T383)),AS383,9E15))&lt;9E15,IF(AND(AND(J383=0,ISNUMBER(AP383),AP383&lt;=(C383+T383)),AP383=MIN(IF(AND(J383=0,ISNUMBER(AP383),AP383&lt;=(C383+T383)),AP383,9E15),IF(AND(K383=0,ISNUMBER(AQ383),AQ383&lt;=(C383+T383)),AQ383,9E15),IF(AND(L383=0,ISNUMBER(AR383),AR383&lt;=(C383+T383)),AR383,9E15),IF(AND(M383=0,ISNUMBER(AS383),AS383&lt;=(C383+T383)),AS383,9E15))),"BiP",IF(AND(AND(K383=0,ISNUMBER(AQ383),AQ383&lt;=(C383+T383)),AQ383=MIN(IF(AND(J383=0,ISNUMBER(AP383),AP383&lt;=(C383+T383)),AP383,9E15),IF(AND(K383=0,ISNUMBER(AQ383),AQ383&lt;=(C383+T383)),AQ383,9E15),IF(AND(L383=0,ISNUMBER(AR383),AR383&lt;=(C383+T383)),AR383,9E15),IF(AND(M383=0,ISNUMBER(AS383),AS383&lt;=(C383+T383)),AS383,9E15))),"PV",IF(AND(AND(L383=0,ISNUMBER(AR383),AR383&lt;=(C383+T383)),AR383=MIN(IF(AND(J383=0,ISNUMBER(AP383),AP383&lt;=(C383+T383)),AP383,9E15),IF(AND(K383=0,ISNUMBER(AQ383),AQ383&lt;=(C383+T383)),AQ383,9E15),IF(AND(L383=0,ISNUMBER(AR383),AR383&lt;=(C383+T383)),AR383,9E15),IF(AND(M383=0,ISNUMBER(AS383),AS383&lt;=(C383+T383)),AS383,9E15))),"OC","MG"))),IF(AX383=TRUE,"",IF(MAX(IF(AND(NOT(AND(AU383=1,AT383&lt;&gt;1)),ISNUMBER(AK383),AK383&lt;=(C383+T383)),AY383,0),IF(AND(NOT(AND(AU383=1,AT383&lt;&gt;1)),ISNUMBER(AL383),AL383&lt;=(C383+T383)),AZ383,0),IF(AND(NOT(AND(AU383=1,AT383&lt;&gt;1)),ISNUMBER(AM383),AM383&lt;=(C383+T383)),BA383,0),IF(AND(NOT(AND(AU383=1,AT383&lt;&gt;1)),ISNUMBER(AN383),AN383&lt;=(C383+T383)),BB383,0),IF(AND(ISNUMBER(AO383),AO383&lt;=(C383+T383)),BC383,0))&lt;=0,"",IF(AND(IF(AND(NOT(AND(AU383=1,AT383&lt;&gt;1)),ISNUMBER(AK383),AK383&lt;=(C383+T383)),AY383,0)&gt;0,IF(AND(NOT(AND(AU383=1,AT383&lt;&gt;1)),ISNUMBER(AK383),AK383&lt;=(C383+T383)),AY383,0)=MAX(IF(AND(NOT(AND(AU383=1,AT383&lt;&gt;1)),ISNUMBER(AK383),AK383&lt;=(C383+T383)),AY383,0),IF(AND(NOT(AND(AU383=1,AT383&lt;&gt;1)),ISNUMBER(AL383),AL383&lt;=(C383+T383)),AZ383,0),IF(AND(NOT(AND(AU383=1,AT383&lt;&gt;1)),ISNUMBER(AM383),AM383&lt;=(C383+T383)),BA383,0),IF(AND(NOT(AND(AU383=1,AT383&lt;&gt;1)),ISNUMBER(AN383),AN383&lt;=(C383+T383)),BB383,0),IF(AND(ISNUMBER(AO383),AO383&lt;=(C383+T383)),BC383,0))),"SK",IF(AND(IF(AND(NOT(AND(AU383=1,AT383&lt;&gt;1)),ISNUMBER(AL383),AL383&lt;=(C383+T383)),AZ383,0)&gt;0,IF(AND(NOT(AND(AU383=1,AT383&lt;&gt;1)),ISNUMBER(AL383),AL383&lt;=(C383+T383)),AZ383,0)=MAX(IF(AND(NOT(AND(AU383=1,AT383&lt;&gt;1)),ISNUMBER(AK383),AK383&lt;=(C383+T383)),AY383,0),IF(AND(NOT(AND(AU383=1,AT383&lt;&gt;1)),ISNUMBER(AL383),AL383&lt;=(C383+T383)),AZ383,0),IF(AND(NOT(AND(AU383=1,AT383&lt;&gt;1)),ISNUMBER(AM383),AM383&lt;=(C383+T383)),BA383,0),IF(AND(NOT(AND(AU383=1,AT383&lt;&gt;1)),ISNUMBER(AN383),AN383&lt;=(C383+T383)),BB383,0),IF(AND(ISNUMBER(AO383),AO383&lt;=(C383+T383)),BC383,0))),"LB",IF(AND(IF(AND(NOT(AND(AU383=1,AT383&lt;&gt;1)),ISNUMBER(AM383),AM383&lt;=(C383+T383)),BA383,0)&gt;0,IF(AND(NOT(AND(AU383=1,AT383&lt;&gt;1)),ISNUMBER(AM383),AM383&lt;=(C383+T383)),BA383,0)=MAX(IF(AND(NOT(AND(AU383=1,AT383&lt;&gt;1)),ISNUMBER(AK383),AK383&lt;=(C383+T383)),AY383,0),IF(AND(NOT(AND(AU383=1,AT383&lt;&gt;1)),ISNUMBER(AL383),AL383&lt;=(C383+T383)),AZ383,0),IF(AND(NOT(AND(AU383=1,AT383&lt;&gt;1)),ISNUMBER(AM383),AM383&lt;=(C383+T383)),BA383,0),IF(AND(NOT(AND(AU383=1,AT383&lt;&gt;1)),ISNUMBER(AN383),AN383&lt;=(C383+T383)),BB383,0),IF(AND(ISNUMBER(AO383),AO383&lt;=(C383+T383)),BC383,0))),"ML",IF(AND(IF(AND(NOT(AND(AU383=1,AT383&lt;&gt;1)),ISNUMBER(AN383),AN383&lt;=(C383+T383)),BB383,0)&gt;0,IF(AND(NOT(AND(AU383=1,AT383&lt;&gt;1)),ISNUMBER(AN383),AN383&lt;=(C383+T383)),BB383,0)=MAX(IF(AND(NOT(AND(AU383=1,AT383&lt;&gt;1)),ISNUMBER(AK383),AK383&lt;=(C383+T383)),AY383,0),IF(AND(NOT(AND(AU383=1,AT383&lt;&gt;1)),ISNUMBER(AL383),AL383&lt;=(C383+T383)),AZ383,0),IF(AND(NOT(AND(AU383=1,AT383&lt;&gt;1)),ISNUMBER(AM383),AM383&lt;=(C383+T383)),BA383,0),IF(AND(NOT(AND(AU383=1,AT383&lt;&gt;1)),ISNUMBER(AN383),AN383&lt;=(C383+T383)),BB383,0),IF(AND(ISNUMBER(AO383),AO383&lt;=(C383+T383)),BC383,0))),"RLO","BD"))))))))</f>
        <v/>
      </c>
    </row>
    <row r="384">
      <c r="A384" s="26" t="n">
        <v>373</v>
      </c>
      <c r="B384" s="27">
        <f>A384*10/60</f>
        <v/>
      </c>
      <c r="C384" s="22">
        <f>X383</f>
        <v/>
      </c>
      <c r="D384" s="27">
        <f>D383+W383</f>
        <v/>
      </c>
      <c r="E384" s="26">
        <f>E383+IF(U383="SK",1,0)</f>
        <v/>
      </c>
      <c r="F384" s="26">
        <f>F383+IF(U383="LB",1,0)</f>
        <v/>
      </c>
      <c r="G384" s="26">
        <f>G383+IF(U383="ML",1,0)</f>
        <v/>
      </c>
      <c r="H384" s="26">
        <f>H383+IF(U383="RLO",1,0)</f>
        <v/>
      </c>
      <c r="I384" s="26">
        <f>I383+IF(U383="BD",1,0)</f>
        <v/>
      </c>
      <c r="J384" s="26">
        <f>MAX(J383,IF(U383="BiP",1,0))</f>
        <v/>
      </c>
      <c r="K384" s="26">
        <f>MAX(K383,IF(U383="PV",1,0))</f>
        <v/>
      </c>
      <c r="L384" s="26">
        <f>MAX(L383,IF(U383="OC",1,0))</f>
        <v/>
      </c>
      <c r="M384" s="26">
        <f>MAX(M383,IF(U383="MG",1,0))</f>
        <v/>
      </c>
      <c r="N384" s="26">
        <f>MAX(N383,IF(U383="transition",1,0))</f>
        <v/>
      </c>
      <c r="O384" s="28">
        <f>(Parameters!$B$9+(IF(E384=0,0,(Upgrades!$J$13+E384*Upgrades!$K$13)*POWER(Upgrades!$L$13,E384)))*(IF(Upgrades!$T$14="Stellar Kinematics",POWER(Upgrades!$U$14,F384),1)*IF(Upgrades!$T$15="Stellar Kinematics",POWER(Upgrades!$U$15,G384),1)*IF(Upgrades!$T$16="Stellar Kinematics",POWER(Upgrades!$U$16,H384),1)*IF(Upgrades!$T$17="Stellar Kinematics",POWER(Upgrades!$U$17,I384),1)*IF(Upgrades!$T$18="Stellar Kinematics",POWER(Upgrades!$U$18,J384),1)*IF(Upgrades!$T$19="Stellar Kinematics",POWER(Upgrades!$U$19,K384),1)*IF(Upgrades!$T$20="Stellar Kinematics",POWER(Upgrades!$U$20,L384),1)*IF(Upgrades!$T$21="Stellar Kinematics",POWER(Upgrades!$U$21,M384),1))+(IF(F384=0,0,(Upgrades!$J$14+F384*Upgrades!$K$14)*POWER(Upgrades!$L$14,F384)))*(IF(Upgrades!$T$13="Local Bubble",POWER(Upgrades!$U$13,E384),1)*IF(Upgrades!$T$15="Local Bubble",POWER(Upgrades!$U$15,G384),1)*IF(Upgrades!$T$16="Local Bubble",POWER(Upgrades!$U$16,H384),1)*IF(Upgrades!$T$17="Local Bubble",POWER(Upgrades!$U$17,I384),1)*IF(Upgrades!$T$18="Local Bubble",POWER(Upgrades!$U$18,J384),1)*IF(Upgrades!$T$19="Local Bubble",POWER(Upgrades!$U$19,K384),1)*IF(Upgrades!$T$20="Local Bubble",POWER(Upgrades!$U$20,L384),1)*IF(Upgrades!$T$21="Local Bubble",POWER(Upgrades!$U$21,M384),1))+(IF(G384=0,0,(Upgrades!$J$15+G384*Upgrades!$K$15)*POWER(Upgrades!$L$15,G384)))*(IF(Upgrades!$T$13="Microlensing",POWER(Upgrades!$U$13,E384),1)*IF(Upgrades!$T$14="Microlensing",POWER(Upgrades!$U$14,F384),1)*IF(Upgrades!$T$16="Microlensing",POWER(Upgrades!$U$16,H384),1)*IF(Upgrades!$T$17="Microlensing",POWER(Upgrades!$U$17,I384),1)*IF(Upgrades!$T$18="Microlensing",POWER(Upgrades!$U$18,J384),1)*IF(Upgrades!$T$19="Microlensing",POWER(Upgrades!$U$19,K384),1)*IF(Upgrades!$T$20="Microlensing",POWER(Upgrades!$U$20,L384),1)*IF(Upgrades!$T$21="Microlensing",POWER(Upgrades!$U$21,M384),1))+(IF(H384=0,0,(Upgrades!$J$16+H384*Upgrades!$K$16)*POWER(Upgrades!$L$16,H384)))*(IF(Upgrades!$T$13="Roche Lobe Overflow",POWER(Upgrades!$U$13,E384),1)*IF(Upgrades!$T$14="Roche Lobe Overflow",POWER(Upgrades!$U$14,F384),1)*IF(Upgrades!$T$15="Roche Lobe Overflow",POWER(Upgrades!$U$15,G384),1)*IF(Upgrades!$T$17="Roche Lobe Overflow",POWER(Upgrades!$U$17,I384),1)*IF(Upgrades!$T$18="Roche Lobe Overflow",POWER(Upgrades!$U$18,J384),1)*IF(Upgrades!$T$19="Roche Lobe Overflow",POWER(Upgrades!$U$19,K384),1)*IF(Upgrades!$T$20="Roche Lobe Overflow",POWER(Upgrades!$U$20,L384),1)*IF(Upgrades!$T$21="Roche Lobe Overflow",POWER(Upgrades!$U$21,M384),1))+(IF(I384=0,0,(Upgrades!$J$17+I384*Upgrades!$K$17)*POWER(Upgrades!$L$17,I384)))*(IF(Upgrades!$T$13="Brown Dwarf",POWER(Upgrades!$U$13,E384),1)*IF(Upgrades!$T$14="Brown Dwarf",POWER(Upgrades!$U$14,F384),1)*IF(Upgrades!$T$15="Brown Dwarf",POWER(Upgrades!$U$15,G384),1)*IF(Upgrades!$T$16="Brown Dwarf",POWER(Upgrades!$U$16,H384),1)*IF(Upgrades!$T$18="Brown Dwarf",POWER(Upgrades!$U$18,J384),1)*IF(Upgrades!$T$19="Brown Dwarf",POWER(Upgrades!$U$19,K384),1)*IF(Upgrades!$T$20="Brown Dwarf",POWER(Upgrades!$U$20,L384),1)*IF(Upgrades!$T$21="Brown Dwarf",POWER(Upgrades!$U$21,M384),1))+(IF(J384=0,0,(Upgrades!$J$18+J384*Upgrades!$K$18)*POWER(Upgrades!$L$18,J384)))*(IF(Upgrades!$T$13="Binary Partner",POWER(Upgrades!$U$13,E384),1)*IF(Upgrades!$T$14="Binary Partner",POWER(Upgrades!$U$14,F384),1)*IF(Upgrades!$T$15="Binary Partner",POWER(Upgrades!$U$15,G384),1)*IF(Upgrades!$T$16="Binary Partner",POWER(Upgrades!$U$16,H384),1)*IF(Upgrades!$T$17="Binary Partner",POWER(Upgrades!$U$17,I384),1)*IF(Upgrades!$T$19="Binary Partner",POWER(Upgrades!$U$19,K384),1)*IF(Upgrades!$T$20="Binary Partner",POWER(Upgrades!$U$20,L384),1)*IF(Upgrades!$T$21="Binary Partner",POWER(Upgrades!$U$21,M384),1))+(IF(K384=0,0,(Upgrades!$J$19+K384*Upgrades!$K$19)*POWER(Upgrades!$L$19,K384)))*(IF(Upgrades!$T$13="Peculiar Velocity",POWER(Upgrades!$U$13,E384),1)*IF(Upgrades!$T$14="Peculiar Velocity",POWER(Upgrades!$U$14,F384),1)*IF(Upgrades!$T$15="Peculiar Velocity",POWER(Upgrades!$U$15,G384),1)*IF(Upgrades!$T$16="Peculiar Velocity",POWER(Upgrades!$U$16,H384),1)*IF(Upgrades!$T$17="Peculiar Velocity",POWER(Upgrades!$U$17,I384),1)*IF(Upgrades!$T$18="Peculiar Velocity",POWER(Upgrades!$U$18,J384),1)*IF(Upgrades!$T$20="Peculiar Velocity",POWER(Upgrades!$U$20,L384),1)*IF(Upgrades!$T$21="Peculiar Velocity",POWER(Upgrades!$U$21,M384),1))+(IF(L384=0,0,(Upgrades!$J$20+L384*Upgrades!$K$20)*POWER(Upgrades!$L$20,L384)))*(IF(Upgrades!$T$13="Open Cluster",POWER(Upgrades!$U$13,E384),1)*IF(Upgrades!$T$14="Open Cluster",POWER(Upgrades!$U$14,F384),1)*IF(Upgrades!$T$15="Open Cluster",POWER(Upgrades!$U$15,G384),1)*IF(Upgrades!$T$16="Open Cluster",POWER(Upgrades!$U$16,H384),1)*IF(Upgrades!$T$17="Open Cluster",POWER(Upgrades!$U$17,I384),1)*IF(Upgrades!$T$18="Open Cluster",POWER(Upgrades!$U$18,J384),1)*IF(Upgrades!$T$19="Open Cluster",POWER(Upgrades!$U$19,K384),1)*IF(Upgrades!$T$21="Open Cluster",POWER(Upgrades!$U$21,M384),1))+(IF(M384=0,0,(Upgrades!$J$21+M384*Upgrades!$K$21)*POWER(Upgrades!$L$21,M384)))*(IF(Upgrades!$T$13="Moving Group",POWER(Upgrades!$U$13,E384),1)*IF(Upgrades!$T$14="Moving Group",POWER(Upgrades!$U$14,F384),1)*IF(Upgrades!$T$15="Moving Group",POWER(Upgrades!$U$15,G384),1)*IF(Upgrades!$T$16="Moving Group",POWER(Upgrades!$U$16,H384),1)*IF(Upgrades!$T$17="Moving Group",POWER(Upgrades!$U$17,I384),1)*IF(Upgrades!$T$18="Moving Group",POWER(Upgrades!$U$18,J384),1)*IF(Upgrades!$T$19="Moving Group",POWER(Upgrades!$U$19,K384),1)*IF(Upgrades!$T$20="Moving Group",POWER(Upgrades!$U$20,L384),1)))*POWER(Upgrades!$Q$13,E384)*POWER(Upgrades!$Q$14,F384)*POWER(Upgrades!$Q$15,G384)*POWER(Upgrades!$Q$16,H384)*POWER(Upgrades!$Q$17,I384)*POWER(Upgrades!$Q$18,J384)*POWER(Upgrades!$Q$19,K384)*POWER(Upgrades!$Q$20,L384)*POWER(Upgrades!$Q$21,M384)*$G$6+$D$6</f>
        <v/>
      </c>
      <c r="P384" s="28">
        <f>((IF(E384=0,0,(Upgrades!$G$13+E384*Upgrades!$H$13)*POWER(Upgrades!$I$13,E384)))*(IF(Upgrades!$T$14="Stellar Kinematics",POWER(Upgrades!$U$14,F384),1)*IF(Upgrades!$T$15="Stellar Kinematics",POWER(Upgrades!$U$15,G384),1)*IF(Upgrades!$T$16="Stellar Kinematics",POWER(Upgrades!$U$16,H384),1)*IF(Upgrades!$T$17="Stellar Kinematics",POWER(Upgrades!$U$17,I384),1)*IF(Upgrades!$T$18="Stellar Kinematics",POWER(Upgrades!$U$18,J384),1)*IF(Upgrades!$T$19="Stellar Kinematics",POWER(Upgrades!$U$19,K384),1)*IF(Upgrades!$T$20="Stellar Kinematics",POWER(Upgrades!$U$20,L384),1)*IF(Upgrades!$T$21="Stellar Kinematics",POWER(Upgrades!$U$21,M384),1))+(IF(F384=0,0,(Upgrades!$G$14+F384*Upgrades!$H$14)*POWER(Upgrades!$I$14,F384)))*(IF(Upgrades!$T$13="Local Bubble",POWER(Upgrades!$U$13,E384),1)*IF(Upgrades!$T$15="Local Bubble",POWER(Upgrades!$U$15,G384),1)*IF(Upgrades!$T$16="Local Bubble",POWER(Upgrades!$U$16,H384),1)*IF(Upgrades!$T$17="Local Bubble",POWER(Upgrades!$U$17,I384),1)*IF(Upgrades!$T$18="Local Bubble",POWER(Upgrades!$U$18,J384),1)*IF(Upgrades!$T$19="Local Bubble",POWER(Upgrades!$U$19,K384),1)*IF(Upgrades!$T$20="Local Bubble",POWER(Upgrades!$U$20,L384),1)*IF(Upgrades!$T$21="Local Bubble",POWER(Upgrades!$U$21,M384),1))+(IF(G384=0,0,(Upgrades!$G$15+G384*Upgrades!$H$15)*POWER(Upgrades!$I$15,G384)))*(IF(Upgrades!$T$13="Microlensing",POWER(Upgrades!$U$13,E384),1)*IF(Upgrades!$T$14="Microlensing",POWER(Upgrades!$U$14,F384),1)*IF(Upgrades!$T$16="Microlensing",POWER(Upgrades!$U$16,H384),1)*IF(Upgrades!$T$17="Microlensing",POWER(Upgrades!$U$17,I384),1)*IF(Upgrades!$T$18="Microlensing",POWER(Upgrades!$U$18,J384),1)*IF(Upgrades!$T$19="Microlensing",POWER(Upgrades!$U$19,K384),1)*IF(Upgrades!$T$20="Microlensing",POWER(Upgrades!$U$20,L384),1)*IF(Upgrades!$T$21="Microlensing",POWER(Upgrades!$U$21,M384),1))+(IF(H384=0,0,(Upgrades!$G$16+H384*Upgrades!$H$16)*POWER(Upgrades!$I$16,H384)))*(IF(Upgrades!$T$13="Roche Lobe Overflow",POWER(Upgrades!$U$13,E384),1)*IF(Upgrades!$T$14="Roche Lobe Overflow",POWER(Upgrades!$U$14,F384),1)*IF(Upgrades!$T$15="Roche Lobe Overflow",POWER(Upgrades!$U$15,G384),1)*IF(Upgrades!$T$17="Roche Lobe Overflow",POWER(Upgrades!$U$17,I384),1)*IF(Upgrades!$T$18="Roche Lobe Overflow",POWER(Upgrades!$U$18,J384),1)*IF(Upgrades!$T$19="Roche Lobe Overflow",POWER(Upgrades!$U$19,K384),1)*IF(Upgrades!$T$20="Roche Lobe Overflow",POWER(Upgrades!$U$20,L384),1)*IF(Upgrades!$T$21="Roche Lobe Overflow",POWER(Upgrades!$U$21,M384),1))+(IF(I384=0,0,(Upgrades!$G$17+I384*Upgrades!$H$17)*POWER(Upgrades!$I$17,I384)))*(IF(Upgrades!$T$13="Brown Dwarf",POWER(Upgrades!$U$13,E384),1)*IF(Upgrades!$T$14="Brown Dwarf",POWER(Upgrades!$U$14,F384),1)*IF(Upgrades!$T$15="Brown Dwarf",POWER(Upgrades!$U$15,G384),1)*IF(Upgrades!$T$16="Brown Dwarf",POWER(Upgrades!$U$16,H384),1)*IF(Upgrades!$T$18="Brown Dwarf",POWER(Upgrades!$U$18,J384),1)*IF(Upgrades!$T$19="Brown Dwarf",POWER(Upgrades!$U$19,K384),1)*IF(Upgrades!$T$20="Brown Dwarf",POWER(Upgrades!$U$20,L384),1)*IF(Upgrades!$T$21="Brown Dwarf",POWER(Upgrades!$U$21,M384),1))+(IF(J384=0,0,(Upgrades!$G$18+J384*Upgrades!$H$18)*POWER(Upgrades!$I$18,J384)))*(IF(Upgrades!$T$13="Binary Partner",POWER(Upgrades!$U$13,E384),1)*IF(Upgrades!$T$14="Binary Partner",POWER(Upgrades!$U$14,F384),1)*IF(Upgrades!$T$15="Binary Partner",POWER(Upgrades!$U$15,G384),1)*IF(Upgrades!$T$16="Binary Partner",POWER(Upgrades!$U$16,H384),1)*IF(Upgrades!$T$17="Binary Partner",POWER(Upgrades!$U$17,I384),1)*IF(Upgrades!$T$19="Binary Partner",POWER(Upgrades!$U$19,K384),1)*IF(Upgrades!$T$20="Binary Partner",POWER(Upgrades!$U$20,L384),1)*IF(Upgrades!$T$21="Binary Partner",POWER(Upgrades!$U$21,M384),1))+(IF(K384=0,0,(Upgrades!$G$19+K384*Upgrades!$H$19)*POWER(Upgrades!$I$19,K384)))*(IF(Upgrades!$T$13="Peculiar Velocity",POWER(Upgrades!$U$13,E384),1)*IF(Upgrades!$T$14="Peculiar Velocity",POWER(Upgrades!$U$14,F384),1)*IF(Upgrades!$T$15="Peculiar Velocity",POWER(Upgrades!$U$15,G384),1)*IF(Upgrades!$T$16="Peculiar Velocity",POWER(Upgrades!$U$16,H384),1)*IF(Upgrades!$T$17="Peculiar Velocity",POWER(Upgrades!$U$17,I384),1)*IF(Upgrades!$T$18="Peculiar Velocity",POWER(Upgrades!$U$18,J384),1)*IF(Upgrades!$T$20="Peculiar Velocity",POWER(Upgrades!$U$20,L384),1)*IF(Upgrades!$T$21="Peculiar Velocity",POWER(Upgrades!$U$21,M384),1))+(IF(L384=0,0,(Upgrades!$G$20+L384*Upgrades!$H$20)*POWER(Upgrades!$I$20,L384)))*(IF(Upgrades!$T$13="Open Cluster",POWER(Upgrades!$U$13,E384),1)*IF(Upgrades!$T$14="Open Cluster",POWER(Upgrades!$U$14,F384),1)*IF(Upgrades!$T$15="Open Cluster",POWER(Upgrades!$U$15,G384),1)*IF(Upgrades!$T$16="Open Cluster",POWER(Upgrades!$U$16,H384),1)*IF(Upgrades!$T$17="Open Cluster",POWER(Upgrades!$U$17,I384),1)*IF(Upgrades!$T$18="Open Cluster",POWER(Upgrades!$U$18,J384),1)*IF(Upgrades!$T$19="Open Cluster",POWER(Upgrades!$U$19,K384),1)*IF(Upgrades!$T$21="Open Cluster",POWER(Upgrades!$U$21,M384),1))+(IF(M384=0,0,(Upgrades!$G$21+M384*Upgrades!$H$21)*POWER(Upgrades!$I$21,M384)))*(IF(Upgrades!$T$13="Moving Group",POWER(Upgrades!$U$13,E384),1)*IF(Upgrades!$T$14="Moving Group",POWER(Upgrades!$U$14,F384),1)*IF(Upgrades!$T$15="Moving Group",POWER(Upgrades!$U$15,G384),1)*IF(Upgrades!$T$16="Moving Group",POWER(Upgrades!$U$16,H384),1)*IF(Upgrades!$T$17="Moving Group",POWER(Upgrades!$U$17,I384),1)*IF(Upgrades!$T$18="Moving Group",POWER(Upgrades!$U$18,J384),1)*IF(Upgrades!$T$19="Moving Group",POWER(Upgrades!$U$19,K384),1)*IF(Upgrades!$T$20="Moving Group",POWER(Upgrades!$U$20,L384),1)))*POWER(Upgrades!$P$13,E384)*POWER(Upgrades!$P$14,F384)*POWER(Upgrades!$P$15,G384)*POWER(Upgrades!$P$16,H384)*POWER(Upgrades!$P$17,I384)*POWER(Upgrades!$P$18,J384)*POWER(Upgrades!$P$19,K384)*POWER(Upgrades!$P$20,L384)*POWER(Upgrades!$P$21,M384)*$F$6+$C$6</f>
        <v/>
      </c>
      <c r="Q384" s="28">
        <f>((IF(E384=0,0,(Upgrades!$M$13+E384*Upgrades!$N$13)*POWER(Upgrades!$O$13,E384)))*(IF(Upgrades!$T$14="Stellar Kinematics",POWER(Upgrades!$U$14,F384),1)*IF(Upgrades!$T$15="Stellar Kinematics",POWER(Upgrades!$U$15,G384),1)*IF(Upgrades!$T$16="Stellar Kinematics",POWER(Upgrades!$U$16,H384),1)*IF(Upgrades!$T$17="Stellar Kinematics",POWER(Upgrades!$U$17,I384),1)*IF(Upgrades!$T$18="Stellar Kinematics",POWER(Upgrades!$U$18,J384),1)*IF(Upgrades!$T$19="Stellar Kinematics",POWER(Upgrades!$U$19,K384),1)*IF(Upgrades!$T$20="Stellar Kinematics",POWER(Upgrades!$U$20,L384),1)*IF(Upgrades!$T$21="Stellar Kinematics",POWER(Upgrades!$U$21,M384),1))+(IF(F384=0,0,(Upgrades!$M$14+F384*Upgrades!$N$14)*POWER(Upgrades!$O$14,F384)))*(IF(Upgrades!$T$13="Local Bubble",POWER(Upgrades!$U$13,E384),1)*IF(Upgrades!$T$15="Local Bubble",POWER(Upgrades!$U$15,G384),1)*IF(Upgrades!$T$16="Local Bubble",POWER(Upgrades!$U$16,H384),1)*IF(Upgrades!$T$17="Local Bubble",POWER(Upgrades!$U$17,I384),1)*IF(Upgrades!$T$18="Local Bubble",POWER(Upgrades!$U$18,J384),1)*IF(Upgrades!$T$19="Local Bubble",POWER(Upgrades!$U$19,K384),1)*IF(Upgrades!$T$20="Local Bubble",POWER(Upgrades!$U$20,L384),1)*IF(Upgrades!$T$21="Local Bubble",POWER(Upgrades!$U$21,M384),1))+(IF(G384=0,0,(Upgrades!$M$15+G384*Upgrades!$N$15)*POWER(Upgrades!$O$15,G384)))*(IF(Upgrades!$T$13="Microlensing",POWER(Upgrades!$U$13,E384),1)*IF(Upgrades!$T$14="Microlensing",POWER(Upgrades!$U$14,F384),1)*IF(Upgrades!$T$16="Microlensing",POWER(Upgrades!$U$16,H384),1)*IF(Upgrades!$T$17="Microlensing",POWER(Upgrades!$U$17,I384),1)*IF(Upgrades!$T$18="Microlensing",POWER(Upgrades!$U$18,J384),1)*IF(Upgrades!$T$19="Microlensing",POWER(Upgrades!$U$19,K384),1)*IF(Upgrades!$T$20="Microlensing",POWER(Upgrades!$U$20,L384),1)*IF(Upgrades!$T$21="Microlensing",POWER(Upgrades!$U$21,M384),1))+(IF(H384=0,0,(Upgrades!$M$16+H384*Upgrades!$N$16)*POWER(Upgrades!$O$16,H384)))*(IF(Upgrades!$T$13="Roche Lobe Overflow",POWER(Upgrades!$U$13,E384),1)*IF(Upgrades!$T$14="Roche Lobe Overflow",POWER(Upgrades!$U$14,F384),1)*IF(Upgrades!$T$15="Roche Lobe Overflow",POWER(Upgrades!$U$15,G384),1)*IF(Upgrades!$T$17="Roche Lobe Overflow",POWER(Upgrades!$U$17,I384),1)*IF(Upgrades!$T$18="Roche Lobe Overflow",POWER(Upgrades!$U$18,J384),1)*IF(Upgrades!$T$19="Roche Lobe Overflow",POWER(Upgrades!$U$19,K384),1)*IF(Upgrades!$T$20="Roche Lobe Overflow",POWER(Upgrades!$U$20,L384),1)*IF(Upgrades!$T$21="Roche Lobe Overflow",POWER(Upgrades!$U$21,M384),1))+(IF(I384=0,0,(Upgrades!$M$17+I384*Upgrades!$N$17)*POWER(Upgrades!$O$17,I384)))*(IF(Upgrades!$T$13="Brown Dwarf",POWER(Upgrades!$U$13,E384),1)*IF(Upgrades!$T$14="Brown Dwarf",POWER(Upgrades!$U$14,F384),1)*IF(Upgrades!$T$15="Brown Dwarf",POWER(Upgrades!$U$15,G384),1)*IF(Upgrades!$T$16="Brown Dwarf",POWER(Upgrades!$U$16,H384),1)*IF(Upgrades!$T$18="Brown Dwarf",POWER(Upgrades!$U$18,J384),1)*IF(Upgrades!$T$19="Brown Dwarf",POWER(Upgrades!$U$19,K384),1)*IF(Upgrades!$T$20="Brown Dwarf",POWER(Upgrades!$U$20,L384),1)*IF(Upgrades!$T$21="Brown Dwarf",POWER(Upgrades!$U$21,M384),1))+(IF(J384=0,0,(Upgrades!$M$18+J384*Upgrades!$N$18)*POWER(Upgrades!$O$18,J384)))*(IF(Upgrades!$T$13="Binary Partner",POWER(Upgrades!$U$13,E384),1)*IF(Upgrades!$T$14="Binary Partner",POWER(Upgrades!$U$14,F384),1)*IF(Upgrades!$T$15="Binary Partner",POWER(Upgrades!$U$15,G384),1)*IF(Upgrades!$T$16="Binary Partner",POWER(Upgrades!$U$16,H384),1)*IF(Upgrades!$T$17="Binary Partner",POWER(Upgrades!$U$17,I384),1)*IF(Upgrades!$T$19="Binary Partner",POWER(Upgrades!$U$19,K384),1)*IF(Upgrades!$T$20="Binary Partner",POWER(Upgrades!$U$20,L384),1)*IF(Upgrades!$T$21="Binary Partner",POWER(Upgrades!$U$21,M384),1))+(IF(K384=0,0,(Upgrades!$M$19+K384*Upgrades!$N$19)*POWER(Upgrades!$O$19,K384)))*(IF(Upgrades!$T$13="Peculiar Velocity",POWER(Upgrades!$U$13,E384),1)*IF(Upgrades!$T$14="Peculiar Velocity",POWER(Upgrades!$U$14,F384),1)*IF(Upgrades!$T$15="Peculiar Velocity",POWER(Upgrades!$U$15,G384),1)*IF(Upgrades!$T$16="Peculiar Velocity",POWER(Upgrades!$U$16,H384),1)*IF(Upgrades!$T$17="Peculiar Velocity",POWER(Upgrades!$U$17,I384),1)*IF(Upgrades!$T$18="Peculiar Velocity",POWER(Upgrades!$U$18,J384),1)*IF(Upgrades!$T$20="Peculiar Velocity",POWER(Upgrades!$U$20,L384),1)*IF(Upgrades!$T$21="Peculiar Velocity",POWER(Upgrades!$U$21,M384),1))+(IF(L384=0,0,(Upgrades!$M$20+L384*Upgrades!$N$20)*POWER(Upgrades!$O$20,L384)))*(IF(Upgrades!$T$13="Open Cluster",POWER(Upgrades!$U$13,E384),1)*IF(Upgrades!$T$14="Open Cluster",POWER(Upgrades!$U$14,F384),1)*IF(Upgrades!$T$15="Open Cluster",POWER(Upgrades!$U$15,G384),1)*IF(Upgrades!$T$16="Open Cluster",POWER(Upgrades!$U$16,H384),1)*IF(Upgrades!$T$17="Open Cluster",POWER(Upgrades!$U$17,I384),1)*IF(Upgrades!$T$18="Open Cluster",POWER(Upgrades!$U$18,J384),1)*IF(Upgrades!$T$19="Open Cluster",POWER(Upgrades!$U$19,K384),1)*IF(Upgrades!$T$21="Open Cluster",POWER(Upgrades!$U$21,M384),1))+(IF(M384=0,0,(Upgrades!$M$21+M384*Upgrades!$N$21)*POWER(Upgrades!$O$21,M384)))*(IF(Upgrades!$T$13="Moving Group",POWER(Upgrades!$U$13,E384),1)*IF(Upgrades!$T$14="Moving Group",POWER(Upgrades!$U$14,F384),1)*IF(Upgrades!$T$15="Moving Group",POWER(Upgrades!$U$15,G384),1)*IF(Upgrades!$T$16="Moving Group",POWER(Upgrades!$U$16,H384),1)*IF(Upgrades!$T$17="Moving Group",POWER(Upgrades!$U$17,I384),1)*IF(Upgrades!$T$18="Moving Group",POWER(Upgrades!$U$18,J384),1)*IF(Upgrades!$T$19="Moving Group",POWER(Upgrades!$U$19,K384),1)*IF(Upgrades!$T$20="Moving Group",POWER(Upgrades!$U$20,L384),1)))*POWER(Upgrades!$R$13,E384)*POWER(Upgrades!$R$14,F384)*POWER(Upgrades!$R$15,G384)*POWER(Upgrades!$R$16,H384)*POWER(Upgrades!$R$17,I384)*POWER(Upgrades!$R$18,J384)*POWER(Upgrades!$R$19,K384)*POWER(Upgrades!$R$20,L384)*POWER(Upgrades!$R$21,M384)*$H$6+$E$6</f>
        <v/>
      </c>
      <c r="R384" s="27">
        <f>IF(N384=1,0,O384*Parameters!$B$10/60*Parameters!$B$11*10)</f>
        <v/>
      </c>
      <c r="S384" s="27">
        <f>IF(N384=1,0,Q384*O384*10)</f>
        <v/>
      </c>
      <c r="T384" s="27">
        <f>IF(N384=1,0,R384+S384+P384*10)</f>
        <v/>
      </c>
      <c r="U384" s="33">
        <f>BE384</f>
        <v/>
      </c>
      <c r="V384" s="22">
        <f>IF(U384="",0,IF(U384="transition",0,IF(U384="SK",AK384,IF(U384="LB",AL384,IF(U384="ML",AM384,IF(U384="RLO",AN384,IF(U384="BD",AO384,IF(U384="BiP",AP384,IF(U384="PV",AQ384,IF(U384="OC",AR384,IF(U384="MG",AS384,0))))))))))</f>
        <v/>
      </c>
      <c r="W384" s="27">
        <f>IF(U384="BiP",Upgrades!$F$18,IF(U384="PV",Upgrades!$F$19,IF(U384="OC",Upgrades!$F$20,IF(U384="MG",Upgrades!$F$21,IF(U384="transition",-Parameters!$B$18*Parameters!$B$19,0)))))</f>
        <v/>
      </c>
      <c r="X384" s="22">
        <f>C384+T384-V384</f>
        <v/>
      </c>
      <c r="Y384" s="30">
        <f>O384*Parameters!$B$10/60*Parameters!$B$11+Q384*O384+P384</f>
        <v/>
      </c>
      <c r="Z384" s="34">
        <f>IF(U384="transition","→ Tier 3 (Galactic Arm)",IF(U384="MG","Moving Group — pocket drifts together",IF(U384="OC","Open Cluster acquired",IF(U384="PV","Peculiar Velocity — passive multiplier active",IF(U384="BiP","Binary Partner — pair bond formed",IF(AND(AU384=1,N384=0,AT384&lt;&gt;1),"Cohesion ready (waiting on completionists)","")))))) </f>
        <v/>
      </c>
      <c r="AA384" s="27">
        <f>(IF(E384=0,0,(Upgrades!$G$13+E384*Upgrades!$H$13)*POWER(Upgrades!$I$13,E384)))*(IF(Upgrades!$T$14="Stellar Kinematics",POWER(Upgrades!$U$14,F384),1)*IF(Upgrades!$T$15="Stellar Kinematics",POWER(Upgrades!$U$15,G384),1)*IF(Upgrades!$T$16="Stellar Kinematics",POWER(Upgrades!$U$16,H384),1)*IF(Upgrades!$T$17="Stellar Kinematics",POWER(Upgrades!$U$17,I384),1)*IF(Upgrades!$T$18="Stellar Kinematics",POWER(Upgrades!$U$18,J384),1)*IF(Upgrades!$T$19="Stellar Kinematics",POWER(Upgrades!$U$19,K384),1)*IF(Upgrades!$T$20="Stellar Kinematics",POWER(Upgrades!$U$20,L384),1)*IF(Upgrades!$T$21="Stellar Kinematics",POWER(Upgrades!$U$21,M384),1))*POWER(Upgrades!$P$13,E384)*POWER(Upgrades!$P$14,F384)*POWER(Upgrades!$P$15,G384)*POWER(Upgrades!$P$16,H384)*POWER(Upgrades!$P$17,I384)*POWER(Upgrades!$P$18,J384)*POWER(Upgrades!$P$19,K384)*POWER(Upgrades!$P$20,L384)*POWER(Upgrades!$P$21,M384)*$F$6*60</f>
        <v/>
      </c>
      <c r="AB384" s="27">
        <f>(IF(F384=0,0,(Upgrades!$G$14+F384*Upgrades!$H$14)*POWER(Upgrades!$I$14,F384)))*(IF(Upgrades!$T$13="Local Bubble",POWER(Upgrades!$U$13,E384),1)*IF(Upgrades!$T$15="Local Bubble",POWER(Upgrades!$U$15,G384),1)*IF(Upgrades!$T$16="Local Bubble",POWER(Upgrades!$U$16,H384),1)*IF(Upgrades!$T$17="Local Bubble",POWER(Upgrades!$U$17,I384),1)*IF(Upgrades!$T$18="Local Bubble",POWER(Upgrades!$U$18,J384),1)*IF(Upgrades!$T$19="Local Bubble",POWER(Upgrades!$U$19,K384),1)*IF(Upgrades!$T$20="Local Bubble",POWER(Upgrades!$U$20,L384),1)*IF(Upgrades!$T$21="Local Bubble",POWER(Upgrades!$U$21,M384),1))*POWER(Upgrades!$P$13,E384)*POWER(Upgrades!$P$14,F384)*POWER(Upgrades!$P$15,G384)*POWER(Upgrades!$P$16,H384)*POWER(Upgrades!$P$17,I384)*POWER(Upgrades!$P$18,J384)*POWER(Upgrades!$P$19,K384)*POWER(Upgrades!$P$20,L384)*POWER(Upgrades!$P$21,M384)*$F$6*60</f>
        <v/>
      </c>
      <c r="AC384" s="27">
        <f>(IF(G384=0,0,(Upgrades!$J$15+G384*Upgrades!$K$15)*POWER(Upgrades!$L$15,G384)))*(IF(Upgrades!$T$13="Microlensing",POWER(Upgrades!$U$13,E384),1)*IF(Upgrades!$T$14="Microlensing",POWER(Upgrades!$U$14,F384),1)*IF(Upgrades!$T$16="Microlensing",POWER(Upgrades!$U$16,H384),1)*IF(Upgrades!$T$17="Microlensing",POWER(Upgrades!$U$17,I384),1)*IF(Upgrades!$T$18="Microlensing",POWER(Upgrades!$U$18,J384),1)*IF(Upgrades!$T$19="Microlensing",POWER(Upgrades!$U$19,K384),1)*IF(Upgrades!$T$20="Microlensing",POWER(Upgrades!$U$20,L384),1)*IF(Upgrades!$T$21="Microlensing",POWER(Upgrades!$U$21,M384),1))*POWER(Upgrades!$Q$13,E384)*POWER(Upgrades!$Q$14,F384)*POWER(Upgrades!$Q$15,G384)*POWER(Upgrades!$Q$16,H384)*POWER(Upgrades!$Q$17,I384)*POWER(Upgrades!$Q$18,J384)*POWER(Upgrades!$Q$19,K384)*POWER(Upgrades!$Q$20,L384)*POWER(Upgrades!$Q$21,M384)*$G$6*(Parameters!$B$10*Parameters!$B$11+Q384*60)</f>
        <v/>
      </c>
      <c r="AD384" s="27">
        <f>(IF(H384=0,0,(Upgrades!$M$16+H384*Upgrades!$N$16)*POWER(Upgrades!$O$16,H384)))*(IF(Upgrades!$T$13="Roche Lobe Overflow",POWER(Upgrades!$U$13,E384),1)*IF(Upgrades!$T$14="Roche Lobe Overflow",POWER(Upgrades!$U$14,F384),1)*IF(Upgrades!$T$15="Roche Lobe Overflow",POWER(Upgrades!$U$15,G384),1)*IF(Upgrades!$T$17="Roche Lobe Overflow",POWER(Upgrades!$U$17,I384),1)*IF(Upgrades!$T$18="Roche Lobe Overflow",POWER(Upgrades!$U$18,J384),1)*IF(Upgrades!$T$19="Roche Lobe Overflow",POWER(Upgrades!$U$19,K384),1)*IF(Upgrades!$T$20="Roche Lobe Overflow",POWER(Upgrades!$U$20,L384),1)*IF(Upgrades!$T$21="Roche Lobe Overflow",POWER(Upgrades!$U$21,M384),1))*POWER(Upgrades!$R$13,E384)*POWER(Upgrades!$R$14,F384)*POWER(Upgrades!$R$15,G384)*POWER(Upgrades!$R$16,H384)*POWER(Upgrades!$R$17,I384)*POWER(Upgrades!$R$18,J384)*POWER(Upgrades!$R$19,K384)*POWER(Upgrades!$R$20,L384)*POWER(Upgrades!$R$21,M384)*$H$6*O384*60</f>
        <v/>
      </c>
      <c r="AE384" s="27">
        <f>(IF(I384=0,0,(Upgrades!$G$17+I384*Upgrades!$H$17)*POWER(Upgrades!$I$17,I384)))*(IF(Upgrades!$T$13="Brown Dwarf",POWER(Upgrades!$U$13,E384),1)*IF(Upgrades!$T$14="Brown Dwarf",POWER(Upgrades!$U$14,F384),1)*IF(Upgrades!$T$15="Brown Dwarf",POWER(Upgrades!$U$15,G384),1)*IF(Upgrades!$T$16="Brown Dwarf",POWER(Upgrades!$U$16,H384),1)*IF(Upgrades!$T$18="Brown Dwarf",POWER(Upgrades!$U$18,J384),1)*IF(Upgrades!$T$19="Brown Dwarf",POWER(Upgrades!$U$19,K384),1)*IF(Upgrades!$T$20="Brown Dwarf",POWER(Upgrades!$U$20,L384),1)*IF(Upgrades!$T$21="Brown Dwarf",POWER(Upgrades!$U$21,M384),1))*POWER(Upgrades!$P$13,E384)*POWER(Upgrades!$P$14,F384)*POWER(Upgrades!$P$15,G384)*POWER(Upgrades!$P$16,H384)*POWER(Upgrades!$P$17,I384)*POWER(Upgrades!$P$18,J384)*POWER(Upgrades!$P$19,K384)*POWER(Upgrades!$P$20,L384)*POWER(Upgrades!$P$21,M384)*$F$6*60</f>
        <v/>
      </c>
      <c r="AF384" s="27" t="n">
        <v>0</v>
      </c>
      <c r="AG384" s="27" t="n">
        <v>0</v>
      </c>
      <c r="AH384" s="27" t="n">
        <v>0</v>
      </c>
      <c r="AI384" s="27">
        <f>(IF(M384=0,0,(Upgrades!$G$21+M384*Upgrades!$H$21)*POWER(Upgrades!$I$21,M384)))*(IF(Upgrades!$T$13="Moving Group",POWER(Upgrades!$U$13,E384),1)*IF(Upgrades!$T$14="Moving Group",POWER(Upgrades!$U$14,F384),1)*IF(Upgrades!$T$15="Moving Group",POWER(Upgrades!$U$15,G384),1)*IF(Upgrades!$T$16="Moving Group",POWER(Upgrades!$U$16,H384),1)*IF(Upgrades!$T$17="Moving Group",POWER(Upgrades!$U$17,I384),1)*IF(Upgrades!$T$18="Moving Group",POWER(Upgrades!$U$18,J384),1)*IF(Upgrades!$T$19="Moving Group",POWER(Upgrades!$U$19,K384),1)*IF(Upgrades!$T$20="Moving Group",POWER(Upgrades!$U$20,L384),1))*POWER(Upgrades!$P$13,E384)*POWER(Upgrades!$P$14,F384)*POWER(Upgrades!$P$15,G384)*POWER(Upgrades!$P$16,H384)*POWER(Upgrades!$P$17,I384)*POWER(Upgrades!$P$18,J384)*POWER(Upgrades!$P$19,K384)*POWER(Upgrades!$P$20,L384)*POWER(Upgrades!$P$21,M384)*$F$6*60</f>
        <v/>
      </c>
      <c r="AJ384" s="27">
        <f>$C$6*60</f>
        <v/>
      </c>
      <c r="AK384" s="22">
        <f>IF(E384&gt;=Upgrades!$E$13,"",Upgrades!$C$13*POWER(Upgrades!$D$13,E384))</f>
        <v/>
      </c>
      <c r="AL384" s="22">
        <f>IF(F384&gt;=Upgrades!$E$14,"",Upgrades!$C$14*POWER(Upgrades!$D$14,F384))</f>
        <v/>
      </c>
      <c r="AM384" s="22">
        <f>IF(G384&gt;=Upgrades!$E$15,"",Upgrades!$C$15*POWER(Upgrades!$D$15,G384))</f>
        <v/>
      </c>
      <c r="AN384" s="22">
        <f>IF(H384&gt;=Upgrades!$E$16,"",Upgrades!$C$16*POWER(Upgrades!$D$16,H384))</f>
        <v/>
      </c>
      <c r="AO384" s="22">
        <f>IF(I384&gt;=Upgrades!$E$17,"",Upgrades!$C$17*POWER(Upgrades!$D$17,I384))</f>
        <v/>
      </c>
      <c r="AP384" s="22">
        <f>IF(J384&gt;=Upgrades!$E$18,"",Upgrades!$C$18*POWER(Upgrades!$D$18,J384))</f>
        <v/>
      </c>
      <c r="AQ384" s="22">
        <f>IF(K384&gt;=Upgrades!$E$19,"",Upgrades!$C$19*POWER(Upgrades!$D$19,K384))</f>
        <v/>
      </c>
      <c r="AR384" s="22">
        <f>IF(L384&gt;=Upgrades!$E$20,"",Upgrades!$C$20*POWER(Upgrades!$D$20,L384))</f>
        <v/>
      </c>
      <c r="AS384" s="22">
        <f>IF(M384&gt;=Upgrades!$E$21,"",Upgrades!$C$21*POWER(Upgrades!$D$21,M384))</f>
        <v/>
      </c>
      <c r="AT384" s="26">
        <f>IF(AND(D384&gt;=Parameters!$B$18*Parameters!$B$19,(I384&gt;=Upgrades!$E$17)*(M384&gt;=Upgrades!$E$21)=1,N384=0),1,"")</f>
        <v/>
      </c>
      <c r="AU384" s="26">
        <f>IF(AND(D384&gt;=Parameters!$B$18*Parameters!$B$19,N384=0),1,"")</f>
        <v/>
      </c>
      <c r="AV384" s="22">
        <f>MIN(IF(ISNUMBER(AP384),AP384,9E15),IF(ISNUMBER(AQ384),AQ384,9E15),IF(ISNUMBER(AR384),AR384,9E15),IF(ISNUMBER(AS384),AS384,9E15))</f>
        <v/>
      </c>
      <c r="AW384" s="22">
        <f>MIN(IF(ISNUMBER(AK384),AK384,9E15),IF(ISNUMBER(AL384),AL384,9E15),IF(ISNUMBER(AM384),AM384,9E15),IF(ISNUMBER(AN384),AN384,9E15),IF(ISNUMBER(AO384),AO384,9E15))</f>
        <v/>
      </c>
      <c r="AX384" s="29">
        <f>IF(BD384&gt;Parameters!$B$21*(MAX(IF(AND(NOT(AND(AU384=1,AT384&lt;&gt;1)),ISNUMBER(AK384),AK384&lt;=(C384+T384)),AY384,0),IF(AND(NOT(AND(AU384=1,AT384&lt;&gt;1)),ISNUMBER(AL384),AL384&lt;=(C384+T384)),AZ384,0),IF(AND(NOT(AND(AU384=1,AT384&lt;&gt;1)),ISNUMBER(AM384),AM384&lt;=(C384+T384)),BA384,0),IF(AND(NOT(AND(AU384=1,AT384&lt;&gt;1)),ISNUMBER(AN384),AN384&lt;=(C384+T384)),BB384,0),IF(AND(ISNUMBER(AO384),AO384&lt;=(C384+T384)),BC384,0))),TRUE,FALSE)</f>
        <v/>
      </c>
      <c r="AY384" s="32">
        <f>IFERROR(Upgrades!$H$13*(POWER(Upgrades!$P$13,E384)*POWER(Upgrades!$P$14,F384)*POWER(Upgrades!$P$15,G384)*POWER(Upgrades!$P$16,H384)*POWER(Upgrades!$P$17,I384)*POWER(Upgrades!$P$18,J384)*POWER(Upgrades!$P$19,K384)*POWER(Upgrades!$P$20,L384)*POWER(Upgrades!$P$21,M384))*(IF(Upgrades!$T$14="Stellar Kinematics",POWER(Upgrades!$U$14,F384),1)*IF(Upgrades!$T$15="Stellar Kinematics",POWER(Upgrades!$U$15,G384),1)*IF(Upgrades!$T$16="Stellar Kinematics",POWER(Upgrades!$U$16,H384),1)*IF(Upgrades!$T$17="Stellar Kinematics",POWER(Upgrades!$U$17,I384),1)*IF(Upgrades!$T$18="Stellar Kinematics",POWER(Upgrades!$U$18,J384),1)*IF(Upgrades!$T$19="Stellar Kinematics",POWER(Upgrades!$U$19,K384),1)*IF(Upgrades!$T$20="Stellar Kinematics",POWER(Upgrades!$U$20,L384),1)*IF(Upgrades!$T$21="Stellar Kinematics",POWER(Upgrades!$U$21,M384),1))*$F$6/AK384,0)</f>
        <v/>
      </c>
      <c r="AZ384" s="32">
        <f>IFERROR(Upgrades!$H$14*(POWER(Upgrades!$P$13,E384)*POWER(Upgrades!$P$14,F384)*POWER(Upgrades!$P$15,G384)*POWER(Upgrades!$P$16,H384)*POWER(Upgrades!$P$17,I384)*POWER(Upgrades!$P$18,J384)*POWER(Upgrades!$P$19,K384)*POWER(Upgrades!$P$20,L384)*POWER(Upgrades!$P$21,M384))*(IF(Upgrades!$T$13="Local Bubble",POWER(Upgrades!$U$13,E384),1)*IF(Upgrades!$T$15="Local Bubble",POWER(Upgrades!$U$15,G384),1)*IF(Upgrades!$T$16="Local Bubble",POWER(Upgrades!$U$16,H384),1)*IF(Upgrades!$T$17="Local Bubble",POWER(Upgrades!$U$17,I384),1)*IF(Upgrades!$T$18="Local Bubble",POWER(Upgrades!$U$18,J384),1)*IF(Upgrades!$T$19="Local Bubble",POWER(Upgrades!$U$19,K384),1)*IF(Upgrades!$T$20="Local Bubble",POWER(Upgrades!$U$20,L384),1)*IF(Upgrades!$T$21="Local Bubble",POWER(Upgrades!$U$21,M384),1))*$F$6/AL384,0)</f>
        <v/>
      </c>
      <c r="BA384" s="32">
        <f>IFERROR(Upgrades!$K$15*(POWER(Upgrades!$Q$13,E384)*POWER(Upgrades!$Q$14,F384)*POWER(Upgrades!$Q$15,G384)*POWER(Upgrades!$Q$16,H384)*POWER(Upgrades!$Q$17,I384)*POWER(Upgrades!$Q$18,J384)*POWER(Upgrades!$Q$19,K384)*POWER(Upgrades!$Q$20,L384)*POWER(Upgrades!$Q$21,M384))*(IF(Upgrades!$T$13="Microlensing",POWER(Upgrades!$U$13,E384),1)*IF(Upgrades!$T$14="Microlensing",POWER(Upgrades!$U$14,F384),1)*IF(Upgrades!$T$16="Microlensing",POWER(Upgrades!$U$16,H384),1)*IF(Upgrades!$T$17="Microlensing",POWER(Upgrades!$U$17,I384),1)*IF(Upgrades!$T$18="Microlensing",POWER(Upgrades!$U$18,J384),1)*IF(Upgrades!$T$19="Microlensing",POWER(Upgrades!$U$19,K384),1)*IF(Upgrades!$T$20="Microlensing",POWER(Upgrades!$U$20,L384),1)*IF(Upgrades!$T$21="Microlensing",POWER(Upgrades!$U$21,M384),1))*$G$6*(Parameters!$B$10/60*Parameters!$B$11+Q384)/AM384,0)</f>
        <v/>
      </c>
      <c r="BB384" s="32">
        <f>IFERROR((Upgrades!$N$16*(POWER(Upgrades!$R$13,E384)*POWER(Upgrades!$R$14,F384)*POWER(Upgrades!$R$15,G384)*POWER(Upgrades!$R$16,H384)*POWER(Upgrades!$R$17,I384)*POWER(Upgrades!$R$18,J384)*POWER(Upgrades!$R$19,K384)*POWER(Upgrades!$R$20,L384)*POWER(Upgrades!$R$21,M384))*(IF(Upgrades!$T$13="Roche Lobe Overflow",POWER(Upgrades!$U$13,E384),1)*IF(Upgrades!$T$14="Roche Lobe Overflow",POWER(Upgrades!$U$14,F384),1)*IF(Upgrades!$T$15="Roche Lobe Overflow",POWER(Upgrades!$U$15,G384),1)*IF(Upgrades!$T$17="Roche Lobe Overflow",POWER(Upgrades!$U$17,I384),1)*IF(Upgrades!$T$18="Roche Lobe Overflow",POWER(Upgrades!$U$18,J384),1)*IF(Upgrades!$T$19="Roche Lobe Overflow",POWER(Upgrades!$U$19,K384),1)*IF(Upgrades!$T$20="Roche Lobe Overflow",POWER(Upgrades!$U$20,L384),1)*IF(Upgrades!$T$21="Roche Lobe Overflow",POWER(Upgrades!$U$21,M384),1))*$H$6*O384+((IF(F384=0,0,(Upgrades!$G$14+F384*Upgrades!$H$14)*POWER(Upgrades!$I$14,F384)))*(IF(Upgrades!$T$13="Local Bubble",POWER(Upgrades!$U$13,E384),1)*IF(Upgrades!$T$15="Local Bubble",POWER(Upgrades!$U$15,G384),1)*IF(Upgrades!$T$16="Local Bubble",POWER(Upgrades!$U$16,H384),1)*IF(Upgrades!$T$17="Local Bubble",POWER(Upgrades!$U$17,I384),1)*IF(Upgrades!$T$18="Local Bubble",POWER(Upgrades!$U$18,J384),1)*IF(Upgrades!$T$19="Local Bubble",POWER(Upgrades!$U$19,K384),1)*IF(Upgrades!$T$20="Local Bubble",POWER(Upgrades!$U$20,L384),1)*IF(Upgrades!$T$21="Local Bubble",POWER(Upgrades!$U$21,M384),1))*POWER(Upgrades!$P$13,E384)*POWER(Upgrades!$P$14,F384)*POWER(Upgrades!$P$15,G384)*POWER(Upgrades!$P$16,H384)*POWER(Upgrades!$P$17,I384)*POWER(Upgrades!$P$18,J384)*POWER(Upgrades!$P$19,K384)*POWER(Upgrades!$P$20,L384)*POWER(Upgrades!$P$21,M384)*$F$6)*0.05)/AN384,0)</f>
        <v/>
      </c>
      <c r="BC384" s="32">
        <f>IFERROR((Upgrades!$H$17*(POWER(Upgrades!$P$13,E384)*POWER(Upgrades!$P$14,F384)*POWER(Upgrades!$P$15,G384)*POWER(Upgrades!$P$16,H384)*POWER(Upgrades!$P$17,I384)*POWER(Upgrades!$P$18,J384)*POWER(Upgrades!$P$19,K384)*POWER(Upgrades!$P$20,L384)*POWER(Upgrades!$P$21,M384))*(IF(Upgrades!$T$13="Brown Dwarf",POWER(Upgrades!$U$13,E384),1)*IF(Upgrades!$T$14="Brown Dwarf",POWER(Upgrades!$U$14,F384),1)*IF(Upgrades!$T$15="Brown Dwarf",POWER(Upgrades!$U$15,G384),1)*IF(Upgrades!$T$16="Brown Dwarf",POWER(Upgrades!$U$16,H384),1)*IF(Upgrades!$T$18="Brown Dwarf",POWER(Upgrades!$U$18,J384),1)*IF(Upgrades!$T$19="Brown Dwarf",POWER(Upgrades!$U$19,K384),1)*IF(Upgrades!$T$20="Brown Dwarf",POWER(Upgrades!$U$20,L384),1)*IF(Upgrades!$T$21="Brown Dwarf",POWER(Upgrades!$U$21,M384),1))*$F$6+(((IF(H384=0,0,(Upgrades!$M$16+H384*Upgrades!$N$16)*POWER(Upgrades!$O$16,H384)))*(IF(Upgrades!$T$13="Roche Lobe Overflow",POWER(Upgrades!$U$13,E384),1)*IF(Upgrades!$T$14="Roche Lobe Overflow",POWER(Upgrades!$U$14,F384),1)*IF(Upgrades!$T$15="Roche Lobe Overflow",POWER(Upgrades!$U$15,G384),1)*IF(Upgrades!$T$17="Roche Lobe Overflow",POWER(Upgrades!$U$17,I384),1)*IF(Upgrades!$T$18="Roche Lobe Overflow",POWER(Upgrades!$U$18,J384),1)*IF(Upgrades!$T$19="Roche Lobe Overflow",POWER(Upgrades!$U$19,K384),1)*IF(Upgrades!$T$20="Roche Lobe Overflow",POWER(Upgrades!$U$20,L384),1)*IF(Upgrades!$T$21="Roche Lobe Overflow",POWER(Upgrades!$U$21,M384),1))*POWER(Upgrades!$R$13,E384)*POWER(Upgrades!$R$14,F384)*POWER(Upgrades!$R$15,G384)*POWER(Upgrades!$R$16,H384)*POWER(Upgrades!$R$17,I384)*POWER(Upgrades!$R$18,J384)*POWER(Upgrades!$R$19,K384)*POWER(Upgrades!$R$20,L384)*POWER(Upgrades!$R$21,M384)*$H$6)*O384)*0.10)/AO384,0)</f>
        <v/>
      </c>
      <c r="BD384" s="32">
        <f>MAX(IF(J384&gt;0,0,IFERROR(0.5*((IF(G384=0,0,(Upgrades!$J$15+G384*Upgrades!$K$15)*POWER(Upgrades!$L$15,G384)))*(IF(Upgrades!$T$13="Microlensing",POWER(Upgrades!$U$13,E384),1)*IF(Upgrades!$T$14="Microlensing",POWER(Upgrades!$U$14,F384),1)*IF(Upgrades!$T$16="Microlensing",POWER(Upgrades!$U$16,H384),1)*IF(Upgrades!$T$17="Microlensing",POWER(Upgrades!$U$17,I384),1)*IF(Upgrades!$T$18="Microlensing",POWER(Upgrades!$U$18,J384),1)*IF(Upgrades!$T$19="Microlensing",POWER(Upgrades!$U$19,K384),1)*IF(Upgrades!$T$20="Microlensing",POWER(Upgrades!$U$20,L384),1)*IF(Upgrades!$T$21="Microlensing",POWER(Upgrades!$U$21,M384),1))*(POWER(Upgrades!$Q$13,E384)*POWER(Upgrades!$Q$14,F384)*POWER(Upgrades!$Q$15,G384)*POWER(Upgrades!$Q$16,H384)*POWER(Upgrades!$Q$17,I384)*POWER(Upgrades!$Q$18,J384)*POWER(Upgrades!$Q$19,K384)*POWER(Upgrades!$Q$20,L384)*POWER(Upgrades!$Q$21,M384))*$G$6*(Parameters!$B$10/60*Parameters!$B$11+Q384))/Upgrades!$C$18,0)),IF(K384&gt;0,0,IFERROR(0.30*P384/Upgrades!$C$19,0)),IF(L384&gt;0,0,IFERROR(0.0001/Upgrades!$C$20,0)),IF(M384&gt;0,0,IFERROR((6.0*(POWER(Upgrades!$P$13,E384)*POWER(Upgrades!$P$14,F384)*POWER(Upgrades!$P$15,G384)*POWER(Upgrades!$P$16,H384)*POWER(Upgrades!$P$17,I384)*POWER(Upgrades!$P$18,J384)*POWER(Upgrades!$P$19,K384)*POWER(Upgrades!$P$20,L384)*POWER(Upgrades!$P$21,M384))*$F$6+0.20*O384*(Parameters!$B$10/60*Parameters!$B$11+Q384))/Upgrades!$C$21,0)),IF(AND(ISNUMBER(AK384),AK384&gt;(C384+T384)),AY384,0),IF(AND(ISNUMBER(AL384),AL384&gt;(C384+T384)),AZ384,0),IF(AND(ISNUMBER(AM384),AM384&gt;(C384+T384)),BA384,0),IF(AND(ISNUMBER(AN384),AN384&gt;(C384+T384)),BB384,0),IF(AND(ISNUMBER(AO384),AO384&gt;(C384+T384)),BC384,0))</f>
        <v/>
      </c>
      <c r="BE384" s="29">
        <f>IF(AT384=1,"transition",IF(MIN(IF(AND(J384=0,ISNUMBER(AP384),AP384&lt;=(C384+T384)),AP384,9E15),IF(AND(K384=0,ISNUMBER(AQ384),AQ384&lt;=(C384+T384)),AQ384,9E15),IF(AND(L384=0,ISNUMBER(AR384),AR384&lt;=(C384+T384)),AR384,9E15),IF(AND(M384=0,ISNUMBER(AS384),AS384&lt;=(C384+T384)),AS384,9E15))&lt;9E15,IF(AND(AND(J384=0,ISNUMBER(AP384),AP384&lt;=(C384+T384)),AP384=MIN(IF(AND(J384=0,ISNUMBER(AP384),AP384&lt;=(C384+T384)),AP384,9E15),IF(AND(K384=0,ISNUMBER(AQ384),AQ384&lt;=(C384+T384)),AQ384,9E15),IF(AND(L384=0,ISNUMBER(AR384),AR384&lt;=(C384+T384)),AR384,9E15),IF(AND(M384=0,ISNUMBER(AS384),AS384&lt;=(C384+T384)),AS384,9E15))),"BiP",IF(AND(AND(K384=0,ISNUMBER(AQ384),AQ384&lt;=(C384+T384)),AQ384=MIN(IF(AND(J384=0,ISNUMBER(AP384),AP384&lt;=(C384+T384)),AP384,9E15),IF(AND(K384=0,ISNUMBER(AQ384),AQ384&lt;=(C384+T384)),AQ384,9E15),IF(AND(L384=0,ISNUMBER(AR384),AR384&lt;=(C384+T384)),AR384,9E15),IF(AND(M384=0,ISNUMBER(AS384),AS384&lt;=(C384+T384)),AS384,9E15))),"PV",IF(AND(AND(L384=0,ISNUMBER(AR384),AR384&lt;=(C384+T384)),AR384=MIN(IF(AND(J384=0,ISNUMBER(AP384),AP384&lt;=(C384+T384)),AP384,9E15),IF(AND(K384=0,ISNUMBER(AQ384),AQ384&lt;=(C384+T384)),AQ384,9E15),IF(AND(L384=0,ISNUMBER(AR384),AR384&lt;=(C384+T384)),AR384,9E15),IF(AND(M384=0,ISNUMBER(AS384),AS384&lt;=(C384+T384)),AS384,9E15))),"OC","MG"))),IF(AX384=TRUE,"",IF(MAX(IF(AND(NOT(AND(AU384=1,AT384&lt;&gt;1)),ISNUMBER(AK384),AK384&lt;=(C384+T384)),AY384,0),IF(AND(NOT(AND(AU384=1,AT384&lt;&gt;1)),ISNUMBER(AL384),AL384&lt;=(C384+T384)),AZ384,0),IF(AND(NOT(AND(AU384=1,AT384&lt;&gt;1)),ISNUMBER(AM384),AM384&lt;=(C384+T384)),BA384,0),IF(AND(NOT(AND(AU384=1,AT384&lt;&gt;1)),ISNUMBER(AN384),AN384&lt;=(C384+T384)),BB384,0),IF(AND(ISNUMBER(AO384),AO384&lt;=(C384+T384)),BC384,0))&lt;=0,"",IF(AND(IF(AND(NOT(AND(AU384=1,AT384&lt;&gt;1)),ISNUMBER(AK384),AK384&lt;=(C384+T384)),AY384,0)&gt;0,IF(AND(NOT(AND(AU384=1,AT384&lt;&gt;1)),ISNUMBER(AK384),AK384&lt;=(C384+T384)),AY384,0)=MAX(IF(AND(NOT(AND(AU384=1,AT384&lt;&gt;1)),ISNUMBER(AK384),AK384&lt;=(C384+T384)),AY384,0),IF(AND(NOT(AND(AU384=1,AT384&lt;&gt;1)),ISNUMBER(AL384),AL384&lt;=(C384+T384)),AZ384,0),IF(AND(NOT(AND(AU384=1,AT384&lt;&gt;1)),ISNUMBER(AM384),AM384&lt;=(C384+T384)),BA384,0),IF(AND(NOT(AND(AU384=1,AT384&lt;&gt;1)),ISNUMBER(AN384),AN384&lt;=(C384+T384)),BB384,0),IF(AND(ISNUMBER(AO384),AO384&lt;=(C384+T384)),BC384,0))),"SK",IF(AND(IF(AND(NOT(AND(AU384=1,AT384&lt;&gt;1)),ISNUMBER(AL384),AL384&lt;=(C384+T384)),AZ384,0)&gt;0,IF(AND(NOT(AND(AU384=1,AT384&lt;&gt;1)),ISNUMBER(AL384),AL384&lt;=(C384+T384)),AZ384,0)=MAX(IF(AND(NOT(AND(AU384=1,AT384&lt;&gt;1)),ISNUMBER(AK384),AK384&lt;=(C384+T384)),AY384,0),IF(AND(NOT(AND(AU384=1,AT384&lt;&gt;1)),ISNUMBER(AL384),AL384&lt;=(C384+T384)),AZ384,0),IF(AND(NOT(AND(AU384=1,AT384&lt;&gt;1)),ISNUMBER(AM384),AM384&lt;=(C384+T384)),BA384,0),IF(AND(NOT(AND(AU384=1,AT384&lt;&gt;1)),ISNUMBER(AN384),AN384&lt;=(C384+T384)),BB384,0),IF(AND(ISNUMBER(AO384),AO384&lt;=(C384+T384)),BC384,0))),"LB",IF(AND(IF(AND(NOT(AND(AU384=1,AT384&lt;&gt;1)),ISNUMBER(AM384),AM384&lt;=(C384+T384)),BA384,0)&gt;0,IF(AND(NOT(AND(AU384=1,AT384&lt;&gt;1)),ISNUMBER(AM384),AM384&lt;=(C384+T384)),BA384,0)=MAX(IF(AND(NOT(AND(AU384=1,AT384&lt;&gt;1)),ISNUMBER(AK384),AK384&lt;=(C384+T384)),AY384,0),IF(AND(NOT(AND(AU384=1,AT384&lt;&gt;1)),ISNUMBER(AL384),AL384&lt;=(C384+T384)),AZ384,0),IF(AND(NOT(AND(AU384=1,AT384&lt;&gt;1)),ISNUMBER(AM384),AM384&lt;=(C384+T384)),BA384,0),IF(AND(NOT(AND(AU384=1,AT384&lt;&gt;1)),ISNUMBER(AN384),AN384&lt;=(C384+T384)),BB384,0),IF(AND(ISNUMBER(AO384),AO384&lt;=(C384+T384)),BC384,0))),"ML",IF(AND(IF(AND(NOT(AND(AU384=1,AT384&lt;&gt;1)),ISNUMBER(AN384),AN384&lt;=(C384+T384)),BB384,0)&gt;0,IF(AND(NOT(AND(AU384=1,AT384&lt;&gt;1)),ISNUMBER(AN384),AN384&lt;=(C384+T384)),BB384,0)=MAX(IF(AND(NOT(AND(AU384=1,AT384&lt;&gt;1)),ISNUMBER(AK384),AK384&lt;=(C384+T384)),AY384,0),IF(AND(NOT(AND(AU384=1,AT384&lt;&gt;1)),ISNUMBER(AL384),AL384&lt;=(C384+T384)),AZ384,0),IF(AND(NOT(AND(AU384=1,AT384&lt;&gt;1)),ISNUMBER(AM384),AM384&lt;=(C384+T384)),BA384,0),IF(AND(NOT(AND(AU384=1,AT384&lt;&gt;1)),ISNUMBER(AN384),AN384&lt;=(C384+T384)),BB384,0),IF(AND(ISNUMBER(AO384),AO384&lt;=(C384+T384)),BC384,0))),"RLO","BD"))))))))</f>
        <v/>
      </c>
    </row>
    <row r="385">
      <c r="A385" s="26" t="n">
        <v>374</v>
      </c>
      <c r="B385" s="27">
        <f>A385*10/60</f>
        <v/>
      </c>
      <c r="C385" s="22">
        <f>X384</f>
        <v/>
      </c>
      <c r="D385" s="27">
        <f>D384+W384</f>
        <v/>
      </c>
      <c r="E385" s="26">
        <f>E384+IF(U384="SK",1,0)</f>
        <v/>
      </c>
      <c r="F385" s="26">
        <f>F384+IF(U384="LB",1,0)</f>
        <v/>
      </c>
      <c r="G385" s="26">
        <f>G384+IF(U384="ML",1,0)</f>
        <v/>
      </c>
      <c r="H385" s="26">
        <f>H384+IF(U384="RLO",1,0)</f>
        <v/>
      </c>
      <c r="I385" s="26">
        <f>I384+IF(U384="BD",1,0)</f>
        <v/>
      </c>
      <c r="J385" s="26">
        <f>MAX(J384,IF(U384="BiP",1,0))</f>
        <v/>
      </c>
      <c r="K385" s="26">
        <f>MAX(K384,IF(U384="PV",1,0))</f>
        <v/>
      </c>
      <c r="L385" s="26">
        <f>MAX(L384,IF(U384="OC",1,0))</f>
        <v/>
      </c>
      <c r="M385" s="26">
        <f>MAX(M384,IF(U384="MG",1,0))</f>
        <v/>
      </c>
      <c r="N385" s="26">
        <f>MAX(N384,IF(U384="transition",1,0))</f>
        <v/>
      </c>
      <c r="O385" s="28">
        <f>(Parameters!$B$9+(IF(E385=0,0,(Upgrades!$J$13+E385*Upgrades!$K$13)*POWER(Upgrades!$L$13,E385)))*(IF(Upgrades!$T$14="Stellar Kinematics",POWER(Upgrades!$U$14,F385),1)*IF(Upgrades!$T$15="Stellar Kinematics",POWER(Upgrades!$U$15,G385),1)*IF(Upgrades!$T$16="Stellar Kinematics",POWER(Upgrades!$U$16,H385),1)*IF(Upgrades!$T$17="Stellar Kinematics",POWER(Upgrades!$U$17,I385),1)*IF(Upgrades!$T$18="Stellar Kinematics",POWER(Upgrades!$U$18,J385),1)*IF(Upgrades!$T$19="Stellar Kinematics",POWER(Upgrades!$U$19,K385),1)*IF(Upgrades!$T$20="Stellar Kinematics",POWER(Upgrades!$U$20,L385),1)*IF(Upgrades!$T$21="Stellar Kinematics",POWER(Upgrades!$U$21,M385),1))+(IF(F385=0,0,(Upgrades!$J$14+F385*Upgrades!$K$14)*POWER(Upgrades!$L$14,F385)))*(IF(Upgrades!$T$13="Local Bubble",POWER(Upgrades!$U$13,E385),1)*IF(Upgrades!$T$15="Local Bubble",POWER(Upgrades!$U$15,G385),1)*IF(Upgrades!$T$16="Local Bubble",POWER(Upgrades!$U$16,H385),1)*IF(Upgrades!$T$17="Local Bubble",POWER(Upgrades!$U$17,I385),1)*IF(Upgrades!$T$18="Local Bubble",POWER(Upgrades!$U$18,J385),1)*IF(Upgrades!$T$19="Local Bubble",POWER(Upgrades!$U$19,K385),1)*IF(Upgrades!$T$20="Local Bubble",POWER(Upgrades!$U$20,L385),1)*IF(Upgrades!$T$21="Local Bubble",POWER(Upgrades!$U$21,M385),1))+(IF(G385=0,0,(Upgrades!$J$15+G385*Upgrades!$K$15)*POWER(Upgrades!$L$15,G385)))*(IF(Upgrades!$T$13="Microlensing",POWER(Upgrades!$U$13,E385),1)*IF(Upgrades!$T$14="Microlensing",POWER(Upgrades!$U$14,F385),1)*IF(Upgrades!$T$16="Microlensing",POWER(Upgrades!$U$16,H385),1)*IF(Upgrades!$T$17="Microlensing",POWER(Upgrades!$U$17,I385),1)*IF(Upgrades!$T$18="Microlensing",POWER(Upgrades!$U$18,J385),1)*IF(Upgrades!$T$19="Microlensing",POWER(Upgrades!$U$19,K385),1)*IF(Upgrades!$T$20="Microlensing",POWER(Upgrades!$U$20,L385),1)*IF(Upgrades!$T$21="Microlensing",POWER(Upgrades!$U$21,M385),1))+(IF(H385=0,0,(Upgrades!$J$16+H385*Upgrades!$K$16)*POWER(Upgrades!$L$16,H385)))*(IF(Upgrades!$T$13="Roche Lobe Overflow",POWER(Upgrades!$U$13,E385),1)*IF(Upgrades!$T$14="Roche Lobe Overflow",POWER(Upgrades!$U$14,F385),1)*IF(Upgrades!$T$15="Roche Lobe Overflow",POWER(Upgrades!$U$15,G385),1)*IF(Upgrades!$T$17="Roche Lobe Overflow",POWER(Upgrades!$U$17,I385),1)*IF(Upgrades!$T$18="Roche Lobe Overflow",POWER(Upgrades!$U$18,J385),1)*IF(Upgrades!$T$19="Roche Lobe Overflow",POWER(Upgrades!$U$19,K385),1)*IF(Upgrades!$T$20="Roche Lobe Overflow",POWER(Upgrades!$U$20,L385),1)*IF(Upgrades!$T$21="Roche Lobe Overflow",POWER(Upgrades!$U$21,M385),1))+(IF(I385=0,0,(Upgrades!$J$17+I385*Upgrades!$K$17)*POWER(Upgrades!$L$17,I385)))*(IF(Upgrades!$T$13="Brown Dwarf",POWER(Upgrades!$U$13,E385),1)*IF(Upgrades!$T$14="Brown Dwarf",POWER(Upgrades!$U$14,F385),1)*IF(Upgrades!$T$15="Brown Dwarf",POWER(Upgrades!$U$15,G385),1)*IF(Upgrades!$T$16="Brown Dwarf",POWER(Upgrades!$U$16,H385),1)*IF(Upgrades!$T$18="Brown Dwarf",POWER(Upgrades!$U$18,J385),1)*IF(Upgrades!$T$19="Brown Dwarf",POWER(Upgrades!$U$19,K385),1)*IF(Upgrades!$T$20="Brown Dwarf",POWER(Upgrades!$U$20,L385),1)*IF(Upgrades!$T$21="Brown Dwarf",POWER(Upgrades!$U$21,M385),1))+(IF(J385=0,0,(Upgrades!$J$18+J385*Upgrades!$K$18)*POWER(Upgrades!$L$18,J385)))*(IF(Upgrades!$T$13="Binary Partner",POWER(Upgrades!$U$13,E385),1)*IF(Upgrades!$T$14="Binary Partner",POWER(Upgrades!$U$14,F385),1)*IF(Upgrades!$T$15="Binary Partner",POWER(Upgrades!$U$15,G385),1)*IF(Upgrades!$T$16="Binary Partner",POWER(Upgrades!$U$16,H385),1)*IF(Upgrades!$T$17="Binary Partner",POWER(Upgrades!$U$17,I385),1)*IF(Upgrades!$T$19="Binary Partner",POWER(Upgrades!$U$19,K385),1)*IF(Upgrades!$T$20="Binary Partner",POWER(Upgrades!$U$20,L385),1)*IF(Upgrades!$T$21="Binary Partner",POWER(Upgrades!$U$21,M385),1))+(IF(K385=0,0,(Upgrades!$J$19+K385*Upgrades!$K$19)*POWER(Upgrades!$L$19,K385)))*(IF(Upgrades!$T$13="Peculiar Velocity",POWER(Upgrades!$U$13,E385),1)*IF(Upgrades!$T$14="Peculiar Velocity",POWER(Upgrades!$U$14,F385),1)*IF(Upgrades!$T$15="Peculiar Velocity",POWER(Upgrades!$U$15,G385),1)*IF(Upgrades!$T$16="Peculiar Velocity",POWER(Upgrades!$U$16,H385),1)*IF(Upgrades!$T$17="Peculiar Velocity",POWER(Upgrades!$U$17,I385),1)*IF(Upgrades!$T$18="Peculiar Velocity",POWER(Upgrades!$U$18,J385),1)*IF(Upgrades!$T$20="Peculiar Velocity",POWER(Upgrades!$U$20,L385),1)*IF(Upgrades!$T$21="Peculiar Velocity",POWER(Upgrades!$U$21,M385),1))+(IF(L385=0,0,(Upgrades!$J$20+L385*Upgrades!$K$20)*POWER(Upgrades!$L$20,L385)))*(IF(Upgrades!$T$13="Open Cluster",POWER(Upgrades!$U$13,E385),1)*IF(Upgrades!$T$14="Open Cluster",POWER(Upgrades!$U$14,F385),1)*IF(Upgrades!$T$15="Open Cluster",POWER(Upgrades!$U$15,G385),1)*IF(Upgrades!$T$16="Open Cluster",POWER(Upgrades!$U$16,H385),1)*IF(Upgrades!$T$17="Open Cluster",POWER(Upgrades!$U$17,I385),1)*IF(Upgrades!$T$18="Open Cluster",POWER(Upgrades!$U$18,J385),1)*IF(Upgrades!$T$19="Open Cluster",POWER(Upgrades!$U$19,K385),1)*IF(Upgrades!$T$21="Open Cluster",POWER(Upgrades!$U$21,M385),1))+(IF(M385=0,0,(Upgrades!$J$21+M385*Upgrades!$K$21)*POWER(Upgrades!$L$21,M385)))*(IF(Upgrades!$T$13="Moving Group",POWER(Upgrades!$U$13,E385),1)*IF(Upgrades!$T$14="Moving Group",POWER(Upgrades!$U$14,F385),1)*IF(Upgrades!$T$15="Moving Group",POWER(Upgrades!$U$15,G385),1)*IF(Upgrades!$T$16="Moving Group",POWER(Upgrades!$U$16,H385),1)*IF(Upgrades!$T$17="Moving Group",POWER(Upgrades!$U$17,I385),1)*IF(Upgrades!$T$18="Moving Group",POWER(Upgrades!$U$18,J385),1)*IF(Upgrades!$T$19="Moving Group",POWER(Upgrades!$U$19,K385),1)*IF(Upgrades!$T$20="Moving Group",POWER(Upgrades!$U$20,L385),1)))*POWER(Upgrades!$Q$13,E385)*POWER(Upgrades!$Q$14,F385)*POWER(Upgrades!$Q$15,G385)*POWER(Upgrades!$Q$16,H385)*POWER(Upgrades!$Q$17,I385)*POWER(Upgrades!$Q$18,J385)*POWER(Upgrades!$Q$19,K385)*POWER(Upgrades!$Q$20,L385)*POWER(Upgrades!$Q$21,M385)*$G$6+$D$6</f>
        <v/>
      </c>
      <c r="P385" s="28">
        <f>((IF(E385=0,0,(Upgrades!$G$13+E385*Upgrades!$H$13)*POWER(Upgrades!$I$13,E385)))*(IF(Upgrades!$T$14="Stellar Kinematics",POWER(Upgrades!$U$14,F385),1)*IF(Upgrades!$T$15="Stellar Kinematics",POWER(Upgrades!$U$15,G385),1)*IF(Upgrades!$T$16="Stellar Kinematics",POWER(Upgrades!$U$16,H385),1)*IF(Upgrades!$T$17="Stellar Kinematics",POWER(Upgrades!$U$17,I385),1)*IF(Upgrades!$T$18="Stellar Kinematics",POWER(Upgrades!$U$18,J385),1)*IF(Upgrades!$T$19="Stellar Kinematics",POWER(Upgrades!$U$19,K385),1)*IF(Upgrades!$T$20="Stellar Kinematics",POWER(Upgrades!$U$20,L385),1)*IF(Upgrades!$T$21="Stellar Kinematics",POWER(Upgrades!$U$21,M385),1))+(IF(F385=0,0,(Upgrades!$G$14+F385*Upgrades!$H$14)*POWER(Upgrades!$I$14,F385)))*(IF(Upgrades!$T$13="Local Bubble",POWER(Upgrades!$U$13,E385),1)*IF(Upgrades!$T$15="Local Bubble",POWER(Upgrades!$U$15,G385),1)*IF(Upgrades!$T$16="Local Bubble",POWER(Upgrades!$U$16,H385),1)*IF(Upgrades!$T$17="Local Bubble",POWER(Upgrades!$U$17,I385),1)*IF(Upgrades!$T$18="Local Bubble",POWER(Upgrades!$U$18,J385),1)*IF(Upgrades!$T$19="Local Bubble",POWER(Upgrades!$U$19,K385),1)*IF(Upgrades!$T$20="Local Bubble",POWER(Upgrades!$U$20,L385),1)*IF(Upgrades!$T$21="Local Bubble",POWER(Upgrades!$U$21,M385),1))+(IF(G385=0,0,(Upgrades!$G$15+G385*Upgrades!$H$15)*POWER(Upgrades!$I$15,G385)))*(IF(Upgrades!$T$13="Microlensing",POWER(Upgrades!$U$13,E385),1)*IF(Upgrades!$T$14="Microlensing",POWER(Upgrades!$U$14,F385),1)*IF(Upgrades!$T$16="Microlensing",POWER(Upgrades!$U$16,H385),1)*IF(Upgrades!$T$17="Microlensing",POWER(Upgrades!$U$17,I385),1)*IF(Upgrades!$T$18="Microlensing",POWER(Upgrades!$U$18,J385),1)*IF(Upgrades!$T$19="Microlensing",POWER(Upgrades!$U$19,K385),1)*IF(Upgrades!$T$20="Microlensing",POWER(Upgrades!$U$20,L385),1)*IF(Upgrades!$T$21="Microlensing",POWER(Upgrades!$U$21,M385),1))+(IF(H385=0,0,(Upgrades!$G$16+H385*Upgrades!$H$16)*POWER(Upgrades!$I$16,H385)))*(IF(Upgrades!$T$13="Roche Lobe Overflow",POWER(Upgrades!$U$13,E385),1)*IF(Upgrades!$T$14="Roche Lobe Overflow",POWER(Upgrades!$U$14,F385),1)*IF(Upgrades!$T$15="Roche Lobe Overflow",POWER(Upgrades!$U$15,G385),1)*IF(Upgrades!$T$17="Roche Lobe Overflow",POWER(Upgrades!$U$17,I385),1)*IF(Upgrades!$T$18="Roche Lobe Overflow",POWER(Upgrades!$U$18,J385),1)*IF(Upgrades!$T$19="Roche Lobe Overflow",POWER(Upgrades!$U$19,K385),1)*IF(Upgrades!$T$20="Roche Lobe Overflow",POWER(Upgrades!$U$20,L385),1)*IF(Upgrades!$T$21="Roche Lobe Overflow",POWER(Upgrades!$U$21,M385),1))+(IF(I385=0,0,(Upgrades!$G$17+I385*Upgrades!$H$17)*POWER(Upgrades!$I$17,I385)))*(IF(Upgrades!$T$13="Brown Dwarf",POWER(Upgrades!$U$13,E385),1)*IF(Upgrades!$T$14="Brown Dwarf",POWER(Upgrades!$U$14,F385),1)*IF(Upgrades!$T$15="Brown Dwarf",POWER(Upgrades!$U$15,G385),1)*IF(Upgrades!$T$16="Brown Dwarf",POWER(Upgrades!$U$16,H385),1)*IF(Upgrades!$T$18="Brown Dwarf",POWER(Upgrades!$U$18,J385),1)*IF(Upgrades!$T$19="Brown Dwarf",POWER(Upgrades!$U$19,K385),1)*IF(Upgrades!$T$20="Brown Dwarf",POWER(Upgrades!$U$20,L385),1)*IF(Upgrades!$T$21="Brown Dwarf",POWER(Upgrades!$U$21,M385),1))+(IF(J385=0,0,(Upgrades!$G$18+J385*Upgrades!$H$18)*POWER(Upgrades!$I$18,J385)))*(IF(Upgrades!$T$13="Binary Partner",POWER(Upgrades!$U$13,E385),1)*IF(Upgrades!$T$14="Binary Partner",POWER(Upgrades!$U$14,F385),1)*IF(Upgrades!$T$15="Binary Partner",POWER(Upgrades!$U$15,G385),1)*IF(Upgrades!$T$16="Binary Partner",POWER(Upgrades!$U$16,H385),1)*IF(Upgrades!$T$17="Binary Partner",POWER(Upgrades!$U$17,I385),1)*IF(Upgrades!$T$19="Binary Partner",POWER(Upgrades!$U$19,K385),1)*IF(Upgrades!$T$20="Binary Partner",POWER(Upgrades!$U$20,L385),1)*IF(Upgrades!$T$21="Binary Partner",POWER(Upgrades!$U$21,M385),1))+(IF(K385=0,0,(Upgrades!$G$19+K385*Upgrades!$H$19)*POWER(Upgrades!$I$19,K385)))*(IF(Upgrades!$T$13="Peculiar Velocity",POWER(Upgrades!$U$13,E385),1)*IF(Upgrades!$T$14="Peculiar Velocity",POWER(Upgrades!$U$14,F385),1)*IF(Upgrades!$T$15="Peculiar Velocity",POWER(Upgrades!$U$15,G385),1)*IF(Upgrades!$T$16="Peculiar Velocity",POWER(Upgrades!$U$16,H385),1)*IF(Upgrades!$T$17="Peculiar Velocity",POWER(Upgrades!$U$17,I385),1)*IF(Upgrades!$T$18="Peculiar Velocity",POWER(Upgrades!$U$18,J385),1)*IF(Upgrades!$T$20="Peculiar Velocity",POWER(Upgrades!$U$20,L385),1)*IF(Upgrades!$T$21="Peculiar Velocity",POWER(Upgrades!$U$21,M385),1))+(IF(L385=0,0,(Upgrades!$G$20+L385*Upgrades!$H$20)*POWER(Upgrades!$I$20,L385)))*(IF(Upgrades!$T$13="Open Cluster",POWER(Upgrades!$U$13,E385),1)*IF(Upgrades!$T$14="Open Cluster",POWER(Upgrades!$U$14,F385),1)*IF(Upgrades!$T$15="Open Cluster",POWER(Upgrades!$U$15,G385),1)*IF(Upgrades!$T$16="Open Cluster",POWER(Upgrades!$U$16,H385),1)*IF(Upgrades!$T$17="Open Cluster",POWER(Upgrades!$U$17,I385),1)*IF(Upgrades!$T$18="Open Cluster",POWER(Upgrades!$U$18,J385),1)*IF(Upgrades!$T$19="Open Cluster",POWER(Upgrades!$U$19,K385),1)*IF(Upgrades!$T$21="Open Cluster",POWER(Upgrades!$U$21,M385),1))+(IF(M385=0,0,(Upgrades!$G$21+M385*Upgrades!$H$21)*POWER(Upgrades!$I$21,M385)))*(IF(Upgrades!$T$13="Moving Group",POWER(Upgrades!$U$13,E385),1)*IF(Upgrades!$T$14="Moving Group",POWER(Upgrades!$U$14,F385),1)*IF(Upgrades!$T$15="Moving Group",POWER(Upgrades!$U$15,G385),1)*IF(Upgrades!$T$16="Moving Group",POWER(Upgrades!$U$16,H385),1)*IF(Upgrades!$T$17="Moving Group",POWER(Upgrades!$U$17,I385),1)*IF(Upgrades!$T$18="Moving Group",POWER(Upgrades!$U$18,J385),1)*IF(Upgrades!$T$19="Moving Group",POWER(Upgrades!$U$19,K385),1)*IF(Upgrades!$T$20="Moving Group",POWER(Upgrades!$U$20,L385),1)))*POWER(Upgrades!$P$13,E385)*POWER(Upgrades!$P$14,F385)*POWER(Upgrades!$P$15,G385)*POWER(Upgrades!$P$16,H385)*POWER(Upgrades!$P$17,I385)*POWER(Upgrades!$P$18,J385)*POWER(Upgrades!$P$19,K385)*POWER(Upgrades!$P$20,L385)*POWER(Upgrades!$P$21,M385)*$F$6+$C$6</f>
        <v/>
      </c>
      <c r="Q385" s="28">
        <f>((IF(E385=0,0,(Upgrades!$M$13+E385*Upgrades!$N$13)*POWER(Upgrades!$O$13,E385)))*(IF(Upgrades!$T$14="Stellar Kinematics",POWER(Upgrades!$U$14,F385),1)*IF(Upgrades!$T$15="Stellar Kinematics",POWER(Upgrades!$U$15,G385),1)*IF(Upgrades!$T$16="Stellar Kinematics",POWER(Upgrades!$U$16,H385),1)*IF(Upgrades!$T$17="Stellar Kinematics",POWER(Upgrades!$U$17,I385),1)*IF(Upgrades!$T$18="Stellar Kinematics",POWER(Upgrades!$U$18,J385),1)*IF(Upgrades!$T$19="Stellar Kinematics",POWER(Upgrades!$U$19,K385),1)*IF(Upgrades!$T$20="Stellar Kinematics",POWER(Upgrades!$U$20,L385),1)*IF(Upgrades!$T$21="Stellar Kinematics",POWER(Upgrades!$U$21,M385),1))+(IF(F385=0,0,(Upgrades!$M$14+F385*Upgrades!$N$14)*POWER(Upgrades!$O$14,F385)))*(IF(Upgrades!$T$13="Local Bubble",POWER(Upgrades!$U$13,E385),1)*IF(Upgrades!$T$15="Local Bubble",POWER(Upgrades!$U$15,G385),1)*IF(Upgrades!$T$16="Local Bubble",POWER(Upgrades!$U$16,H385),1)*IF(Upgrades!$T$17="Local Bubble",POWER(Upgrades!$U$17,I385),1)*IF(Upgrades!$T$18="Local Bubble",POWER(Upgrades!$U$18,J385),1)*IF(Upgrades!$T$19="Local Bubble",POWER(Upgrades!$U$19,K385),1)*IF(Upgrades!$T$20="Local Bubble",POWER(Upgrades!$U$20,L385),1)*IF(Upgrades!$T$21="Local Bubble",POWER(Upgrades!$U$21,M385),1))+(IF(G385=0,0,(Upgrades!$M$15+G385*Upgrades!$N$15)*POWER(Upgrades!$O$15,G385)))*(IF(Upgrades!$T$13="Microlensing",POWER(Upgrades!$U$13,E385),1)*IF(Upgrades!$T$14="Microlensing",POWER(Upgrades!$U$14,F385),1)*IF(Upgrades!$T$16="Microlensing",POWER(Upgrades!$U$16,H385),1)*IF(Upgrades!$T$17="Microlensing",POWER(Upgrades!$U$17,I385),1)*IF(Upgrades!$T$18="Microlensing",POWER(Upgrades!$U$18,J385),1)*IF(Upgrades!$T$19="Microlensing",POWER(Upgrades!$U$19,K385),1)*IF(Upgrades!$T$20="Microlensing",POWER(Upgrades!$U$20,L385),1)*IF(Upgrades!$T$21="Microlensing",POWER(Upgrades!$U$21,M385),1))+(IF(H385=0,0,(Upgrades!$M$16+H385*Upgrades!$N$16)*POWER(Upgrades!$O$16,H385)))*(IF(Upgrades!$T$13="Roche Lobe Overflow",POWER(Upgrades!$U$13,E385),1)*IF(Upgrades!$T$14="Roche Lobe Overflow",POWER(Upgrades!$U$14,F385),1)*IF(Upgrades!$T$15="Roche Lobe Overflow",POWER(Upgrades!$U$15,G385),1)*IF(Upgrades!$T$17="Roche Lobe Overflow",POWER(Upgrades!$U$17,I385),1)*IF(Upgrades!$T$18="Roche Lobe Overflow",POWER(Upgrades!$U$18,J385),1)*IF(Upgrades!$T$19="Roche Lobe Overflow",POWER(Upgrades!$U$19,K385),1)*IF(Upgrades!$T$20="Roche Lobe Overflow",POWER(Upgrades!$U$20,L385),1)*IF(Upgrades!$T$21="Roche Lobe Overflow",POWER(Upgrades!$U$21,M385),1))+(IF(I385=0,0,(Upgrades!$M$17+I385*Upgrades!$N$17)*POWER(Upgrades!$O$17,I385)))*(IF(Upgrades!$T$13="Brown Dwarf",POWER(Upgrades!$U$13,E385),1)*IF(Upgrades!$T$14="Brown Dwarf",POWER(Upgrades!$U$14,F385),1)*IF(Upgrades!$T$15="Brown Dwarf",POWER(Upgrades!$U$15,G385),1)*IF(Upgrades!$T$16="Brown Dwarf",POWER(Upgrades!$U$16,H385),1)*IF(Upgrades!$T$18="Brown Dwarf",POWER(Upgrades!$U$18,J385),1)*IF(Upgrades!$T$19="Brown Dwarf",POWER(Upgrades!$U$19,K385),1)*IF(Upgrades!$T$20="Brown Dwarf",POWER(Upgrades!$U$20,L385),1)*IF(Upgrades!$T$21="Brown Dwarf",POWER(Upgrades!$U$21,M385),1))+(IF(J385=0,0,(Upgrades!$M$18+J385*Upgrades!$N$18)*POWER(Upgrades!$O$18,J385)))*(IF(Upgrades!$T$13="Binary Partner",POWER(Upgrades!$U$13,E385),1)*IF(Upgrades!$T$14="Binary Partner",POWER(Upgrades!$U$14,F385),1)*IF(Upgrades!$T$15="Binary Partner",POWER(Upgrades!$U$15,G385),1)*IF(Upgrades!$T$16="Binary Partner",POWER(Upgrades!$U$16,H385),1)*IF(Upgrades!$T$17="Binary Partner",POWER(Upgrades!$U$17,I385),1)*IF(Upgrades!$T$19="Binary Partner",POWER(Upgrades!$U$19,K385),1)*IF(Upgrades!$T$20="Binary Partner",POWER(Upgrades!$U$20,L385),1)*IF(Upgrades!$T$21="Binary Partner",POWER(Upgrades!$U$21,M385),1))+(IF(K385=0,0,(Upgrades!$M$19+K385*Upgrades!$N$19)*POWER(Upgrades!$O$19,K385)))*(IF(Upgrades!$T$13="Peculiar Velocity",POWER(Upgrades!$U$13,E385),1)*IF(Upgrades!$T$14="Peculiar Velocity",POWER(Upgrades!$U$14,F385),1)*IF(Upgrades!$T$15="Peculiar Velocity",POWER(Upgrades!$U$15,G385),1)*IF(Upgrades!$T$16="Peculiar Velocity",POWER(Upgrades!$U$16,H385),1)*IF(Upgrades!$T$17="Peculiar Velocity",POWER(Upgrades!$U$17,I385),1)*IF(Upgrades!$T$18="Peculiar Velocity",POWER(Upgrades!$U$18,J385),1)*IF(Upgrades!$T$20="Peculiar Velocity",POWER(Upgrades!$U$20,L385),1)*IF(Upgrades!$T$21="Peculiar Velocity",POWER(Upgrades!$U$21,M385),1))+(IF(L385=0,0,(Upgrades!$M$20+L385*Upgrades!$N$20)*POWER(Upgrades!$O$20,L385)))*(IF(Upgrades!$T$13="Open Cluster",POWER(Upgrades!$U$13,E385),1)*IF(Upgrades!$T$14="Open Cluster",POWER(Upgrades!$U$14,F385),1)*IF(Upgrades!$T$15="Open Cluster",POWER(Upgrades!$U$15,G385),1)*IF(Upgrades!$T$16="Open Cluster",POWER(Upgrades!$U$16,H385),1)*IF(Upgrades!$T$17="Open Cluster",POWER(Upgrades!$U$17,I385),1)*IF(Upgrades!$T$18="Open Cluster",POWER(Upgrades!$U$18,J385),1)*IF(Upgrades!$T$19="Open Cluster",POWER(Upgrades!$U$19,K385),1)*IF(Upgrades!$T$21="Open Cluster",POWER(Upgrades!$U$21,M385),1))+(IF(M385=0,0,(Upgrades!$M$21+M385*Upgrades!$N$21)*POWER(Upgrades!$O$21,M385)))*(IF(Upgrades!$T$13="Moving Group",POWER(Upgrades!$U$13,E385),1)*IF(Upgrades!$T$14="Moving Group",POWER(Upgrades!$U$14,F385),1)*IF(Upgrades!$T$15="Moving Group",POWER(Upgrades!$U$15,G385),1)*IF(Upgrades!$T$16="Moving Group",POWER(Upgrades!$U$16,H385),1)*IF(Upgrades!$T$17="Moving Group",POWER(Upgrades!$U$17,I385),1)*IF(Upgrades!$T$18="Moving Group",POWER(Upgrades!$U$18,J385),1)*IF(Upgrades!$T$19="Moving Group",POWER(Upgrades!$U$19,K385),1)*IF(Upgrades!$T$20="Moving Group",POWER(Upgrades!$U$20,L385),1)))*POWER(Upgrades!$R$13,E385)*POWER(Upgrades!$R$14,F385)*POWER(Upgrades!$R$15,G385)*POWER(Upgrades!$R$16,H385)*POWER(Upgrades!$R$17,I385)*POWER(Upgrades!$R$18,J385)*POWER(Upgrades!$R$19,K385)*POWER(Upgrades!$R$20,L385)*POWER(Upgrades!$R$21,M385)*$H$6+$E$6</f>
        <v/>
      </c>
      <c r="R385" s="27">
        <f>IF(N385=1,0,O385*Parameters!$B$10/60*Parameters!$B$11*10)</f>
        <v/>
      </c>
      <c r="S385" s="27">
        <f>IF(N385=1,0,Q385*O385*10)</f>
        <v/>
      </c>
      <c r="T385" s="27">
        <f>IF(N385=1,0,R385+S385+P385*10)</f>
        <v/>
      </c>
      <c r="U385" s="33">
        <f>BE385</f>
        <v/>
      </c>
      <c r="V385" s="22">
        <f>IF(U385="",0,IF(U385="transition",0,IF(U385="SK",AK385,IF(U385="LB",AL385,IF(U385="ML",AM385,IF(U385="RLO",AN385,IF(U385="BD",AO385,IF(U385="BiP",AP385,IF(U385="PV",AQ385,IF(U385="OC",AR385,IF(U385="MG",AS385,0))))))))))</f>
        <v/>
      </c>
      <c r="W385" s="27">
        <f>IF(U385="BiP",Upgrades!$F$18,IF(U385="PV",Upgrades!$F$19,IF(U385="OC",Upgrades!$F$20,IF(U385="MG",Upgrades!$F$21,IF(U385="transition",-Parameters!$B$18*Parameters!$B$19,0)))))</f>
        <v/>
      </c>
      <c r="X385" s="22">
        <f>C385+T385-V385</f>
        <v/>
      </c>
      <c r="Y385" s="30">
        <f>O385*Parameters!$B$10/60*Parameters!$B$11+Q385*O385+P385</f>
        <v/>
      </c>
      <c r="Z385" s="34">
        <f>IF(U385="transition","→ Tier 3 (Galactic Arm)",IF(U385="MG","Moving Group — pocket drifts together",IF(U385="OC","Open Cluster acquired",IF(U385="PV","Peculiar Velocity — passive multiplier active",IF(U385="BiP","Binary Partner — pair bond formed",IF(AND(AU385=1,N385=0,AT385&lt;&gt;1),"Cohesion ready (waiting on completionists)","")))))) </f>
        <v/>
      </c>
      <c r="AA385" s="27">
        <f>(IF(E385=0,0,(Upgrades!$G$13+E385*Upgrades!$H$13)*POWER(Upgrades!$I$13,E385)))*(IF(Upgrades!$T$14="Stellar Kinematics",POWER(Upgrades!$U$14,F385),1)*IF(Upgrades!$T$15="Stellar Kinematics",POWER(Upgrades!$U$15,G385),1)*IF(Upgrades!$T$16="Stellar Kinematics",POWER(Upgrades!$U$16,H385),1)*IF(Upgrades!$T$17="Stellar Kinematics",POWER(Upgrades!$U$17,I385),1)*IF(Upgrades!$T$18="Stellar Kinematics",POWER(Upgrades!$U$18,J385),1)*IF(Upgrades!$T$19="Stellar Kinematics",POWER(Upgrades!$U$19,K385),1)*IF(Upgrades!$T$20="Stellar Kinematics",POWER(Upgrades!$U$20,L385),1)*IF(Upgrades!$T$21="Stellar Kinematics",POWER(Upgrades!$U$21,M385),1))*POWER(Upgrades!$P$13,E385)*POWER(Upgrades!$P$14,F385)*POWER(Upgrades!$P$15,G385)*POWER(Upgrades!$P$16,H385)*POWER(Upgrades!$P$17,I385)*POWER(Upgrades!$P$18,J385)*POWER(Upgrades!$P$19,K385)*POWER(Upgrades!$P$20,L385)*POWER(Upgrades!$P$21,M385)*$F$6*60</f>
        <v/>
      </c>
      <c r="AB385" s="27">
        <f>(IF(F385=0,0,(Upgrades!$G$14+F385*Upgrades!$H$14)*POWER(Upgrades!$I$14,F385)))*(IF(Upgrades!$T$13="Local Bubble",POWER(Upgrades!$U$13,E385),1)*IF(Upgrades!$T$15="Local Bubble",POWER(Upgrades!$U$15,G385),1)*IF(Upgrades!$T$16="Local Bubble",POWER(Upgrades!$U$16,H385),1)*IF(Upgrades!$T$17="Local Bubble",POWER(Upgrades!$U$17,I385),1)*IF(Upgrades!$T$18="Local Bubble",POWER(Upgrades!$U$18,J385),1)*IF(Upgrades!$T$19="Local Bubble",POWER(Upgrades!$U$19,K385),1)*IF(Upgrades!$T$20="Local Bubble",POWER(Upgrades!$U$20,L385),1)*IF(Upgrades!$T$21="Local Bubble",POWER(Upgrades!$U$21,M385),1))*POWER(Upgrades!$P$13,E385)*POWER(Upgrades!$P$14,F385)*POWER(Upgrades!$P$15,G385)*POWER(Upgrades!$P$16,H385)*POWER(Upgrades!$P$17,I385)*POWER(Upgrades!$P$18,J385)*POWER(Upgrades!$P$19,K385)*POWER(Upgrades!$P$20,L385)*POWER(Upgrades!$P$21,M385)*$F$6*60</f>
        <v/>
      </c>
      <c r="AC385" s="27">
        <f>(IF(G385=0,0,(Upgrades!$J$15+G385*Upgrades!$K$15)*POWER(Upgrades!$L$15,G385)))*(IF(Upgrades!$T$13="Microlensing",POWER(Upgrades!$U$13,E385),1)*IF(Upgrades!$T$14="Microlensing",POWER(Upgrades!$U$14,F385),1)*IF(Upgrades!$T$16="Microlensing",POWER(Upgrades!$U$16,H385),1)*IF(Upgrades!$T$17="Microlensing",POWER(Upgrades!$U$17,I385),1)*IF(Upgrades!$T$18="Microlensing",POWER(Upgrades!$U$18,J385),1)*IF(Upgrades!$T$19="Microlensing",POWER(Upgrades!$U$19,K385),1)*IF(Upgrades!$T$20="Microlensing",POWER(Upgrades!$U$20,L385),1)*IF(Upgrades!$T$21="Microlensing",POWER(Upgrades!$U$21,M385),1))*POWER(Upgrades!$Q$13,E385)*POWER(Upgrades!$Q$14,F385)*POWER(Upgrades!$Q$15,G385)*POWER(Upgrades!$Q$16,H385)*POWER(Upgrades!$Q$17,I385)*POWER(Upgrades!$Q$18,J385)*POWER(Upgrades!$Q$19,K385)*POWER(Upgrades!$Q$20,L385)*POWER(Upgrades!$Q$21,M385)*$G$6*(Parameters!$B$10*Parameters!$B$11+Q385*60)</f>
        <v/>
      </c>
      <c r="AD385" s="27">
        <f>(IF(H385=0,0,(Upgrades!$M$16+H385*Upgrades!$N$16)*POWER(Upgrades!$O$16,H385)))*(IF(Upgrades!$T$13="Roche Lobe Overflow",POWER(Upgrades!$U$13,E385),1)*IF(Upgrades!$T$14="Roche Lobe Overflow",POWER(Upgrades!$U$14,F385),1)*IF(Upgrades!$T$15="Roche Lobe Overflow",POWER(Upgrades!$U$15,G385),1)*IF(Upgrades!$T$17="Roche Lobe Overflow",POWER(Upgrades!$U$17,I385),1)*IF(Upgrades!$T$18="Roche Lobe Overflow",POWER(Upgrades!$U$18,J385),1)*IF(Upgrades!$T$19="Roche Lobe Overflow",POWER(Upgrades!$U$19,K385),1)*IF(Upgrades!$T$20="Roche Lobe Overflow",POWER(Upgrades!$U$20,L385),1)*IF(Upgrades!$T$21="Roche Lobe Overflow",POWER(Upgrades!$U$21,M385),1))*POWER(Upgrades!$R$13,E385)*POWER(Upgrades!$R$14,F385)*POWER(Upgrades!$R$15,G385)*POWER(Upgrades!$R$16,H385)*POWER(Upgrades!$R$17,I385)*POWER(Upgrades!$R$18,J385)*POWER(Upgrades!$R$19,K385)*POWER(Upgrades!$R$20,L385)*POWER(Upgrades!$R$21,M385)*$H$6*O385*60</f>
        <v/>
      </c>
      <c r="AE385" s="27">
        <f>(IF(I385=0,0,(Upgrades!$G$17+I385*Upgrades!$H$17)*POWER(Upgrades!$I$17,I385)))*(IF(Upgrades!$T$13="Brown Dwarf",POWER(Upgrades!$U$13,E385),1)*IF(Upgrades!$T$14="Brown Dwarf",POWER(Upgrades!$U$14,F385),1)*IF(Upgrades!$T$15="Brown Dwarf",POWER(Upgrades!$U$15,G385),1)*IF(Upgrades!$T$16="Brown Dwarf",POWER(Upgrades!$U$16,H385),1)*IF(Upgrades!$T$18="Brown Dwarf",POWER(Upgrades!$U$18,J385),1)*IF(Upgrades!$T$19="Brown Dwarf",POWER(Upgrades!$U$19,K385),1)*IF(Upgrades!$T$20="Brown Dwarf",POWER(Upgrades!$U$20,L385),1)*IF(Upgrades!$T$21="Brown Dwarf",POWER(Upgrades!$U$21,M385),1))*POWER(Upgrades!$P$13,E385)*POWER(Upgrades!$P$14,F385)*POWER(Upgrades!$P$15,G385)*POWER(Upgrades!$P$16,H385)*POWER(Upgrades!$P$17,I385)*POWER(Upgrades!$P$18,J385)*POWER(Upgrades!$P$19,K385)*POWER(Upgrades!$P$20,L385)*POWER(Upgrades!$P$21,M385)*$F$6*60</f>
        <v/>
      </c>
      <c r="AF385" s="27" t="n">
        <v>0</v>
      </c>
      <c r="AG385" s="27" t="n">
        <v>0</v>
      </c>
      <c r="AH385" s="27" t="n">
        <v>0</v>
      </c>
      <c r="AI385" s="27">
        <f>(IF(M385=0,0,(Upgrades!$G$21+M385*Upgrades!$H$21)*POWER(Upgrades!$I$21,M385)))*(IF(Upgrades!$T$13="Moving Group",POWER(Upgrades!$U$13,E385),1)*IF(Upgrades!$T$14="Moving Group",POWER(Upgrades!$U$14,F385),1)*IF(Upgrades!$T$15="Moving Group",POWER(Upgrades!$U$15,G385),1)*IF(Upgrades!$T$16="Moving Group",POWER(Upgrades!$U$16,H385),1)*IF(Upgrades!$T$17="Moving Group",POWER(Upgrades!$U$17,I385),1)*IF(Upgrades!$T$18="Moving Group",POWER(Upgrades!$U$18,J385),1)*IF(Upgrades!$T$19="Moving Group",POWER(Upgrades!$U$19,K385),1)*IF(Upgrades!$T$20="Moving Group",POWER(Upgrades!$U$20,L385),1))*POWER(Upgrades!$P$13,E385)*POWER(Upgrades!$P$14,F385)*POWER(Upgrades!$P$15,G385)*POWER(Upgrades!$P$16,H385)*POWER(Upgrades!$P$17,I385)*POWER(Upgrades!$P$18,J385)*POWER(Upgrades!$P$19,K385)*POWER(Upgrades!$P$20,L385)*POWER(Upgrades!$P$21,M385)*$F$6*60</f>
        <v/>
      </c>
      <c r="AJ385" s="27">
        <f>$C$6*60</f>
        <v/>
      </c>
      <c r="AK385" s="22">
        <f>IF(E385&gt;=Upgrades!$E$13,"",Upgrades!$C$13*POWER(Upgrades!$D$13,E385))</f>
        <v/>
      </c>
      <c r="AL385" s="22">
        <f>IF(F385&gt;=Upgrades!$E$14,"",Upgrades!$C$14*POWER(Upgrades!$D$14,F385))</f>
        <v/>
      </c>
      <c r="AM385" s="22">
        <f>IF(G385&gt;=Upgrades!$E$15,"",Upgrades!$C$15*POWER(Upgrades!$D$15,G385))</f>
        <v/>
      </c>
      <c r="AN385" s="22">
        <f>IF(H385&gt;=Upgrades!$E$16,"",Upgrades!$C$16*POWER(Upgrades!$D$16,H385))</f>
        <v/>
      </c>
      <c r="AO385" s="22">
        <f>IF(I385&gt;=Upgrades!$E$17,"",Upgrades!$C$17*POWER(Upgrades!$D$17,I385))</f>
        <v/>
      </c>
      <c r="AP385" s="22">
        <f>IF(J385&gt;=Upgrades!$E$18,"",Upgrades!$C$18*POWER(Upgrades!$D$18,J385))</f>
        <v/>
      </c>
      <c r="AQ385" s="22">
        <f>IF(K385&gt;=Upgrades!$E$19,"",Upgrades!$C$19*POWER(Upgrades!$D$19,K385))</f>
        <v/>
      </c>
      <c r="AR385" s="22">
        <f>IF(L385&gt;=Upgrades!$E$20,"",Upgrades!$C$20*POWER(Upgrades!$D$20,L385))</f>
        <v/>
      </c>
      <c r="AS385" s="22">
        <f>IF(M385&gt;=Upgrades!$E$21,"",Upgrades!$C$21*POWER(Upgrades!$D$21,M385))</f>
        <v/>
      </c>
      <c r="AT385" s="26">
        <f>IF(AND(D385&gt;=Parameters!$B$18*Parameters!$B$19,(I385&gt;=Upgrades!$E$17)*(M385&gt;=Upgrades!$E$21)=1,N385=0),1,"")</f>
        <v/>
      </c>
      <c r="AU385" s="26">
        <f>IF(AND(D385&gt;=Parameters!$B$18*Parameters!$B$19,N385=0),1,"")</f>
        <v/>
      </c>
      <c r="AV385" s="22">
        <f>MIN(IF(ISNUMBER(AP385),AP385,9E15),IF(ISNUMBER(AQ385),AQ385,9E15),IF(ISNUMBER(AR385),AR385,9E15),IF(ISNUMBER(AS385),AS385,9E15))</f>
        <v/>
      </c>
      <c r="AW385" s="22">
        <f>MIN(IF(ISNUMBER(AK385),AK385,9E15),IF(ISNUMBER(AL385),AL385,9E15),IF(ISNUMBER(AM385),AM385,9E15),IF(ISNUMBER(AN385),AN385,9E15),IF(ISNUMBER(AO385),AO385,9E15))</f>
        <v/>
      </c>
      <c r="AX385" s="29">
        <f>IF(BD385&gt;Parameters!$B$21*(MAX(IF(AND(NOT(AND(AU385=1,AT385&lt;&gt;1)),ISNUMBER(AK385),AK385&lt;=(C385+T385)),AY385,0),IF(AND(NOT(AND(AU385=1,AT385&lt;&gt;1)),ISNUMBER(AL385),AL385&lt;=(C385+T385)),AZ385,0),IF(AND(NOT(AND(AU385=1,AT385&lt;&gt;1)),ISNUMBER(AM385),AM385&lt;=(C385+T385)),BA385,0),IF(AND(NOT(AND(AU385=1,AT385&lt;&gt;1)),ISNUMBER(AN385),AN385&lt;=(C385+T385)),BB385,0),IF(AND(ISNUMBER(AO385),AO385&lt;=(C385+T385)),BC385,0))),TRUE,FALSE)</f>
        <v/>
      </c>
      <c r="AY385" s="32">
        <f>IFERROR(Upgrades!$H$13*(POWER(Upgrades!$P$13,E385)*POWER(Upgrades!$P$14,F385)*POWER(Upgrades!$P$15,G385)*POWER(Upgrades!$P$16,H385)*POWER(Upgrades!$P$17,I385)*POWER(Upgrades!$P$18,J385)*POWER(Upgrades!$P$19,K385)*POWER(Upgrades!$P$20,L385)*POWER(Upgrades!$P$21,M385))*(IF(Upgrades!$T$14="Stellar Kinematics",POWER(Upgrades!$U$14,F385),1)*IF(Upgrades!$T$15="Stellar Kinematics",POWER(Upgrades!$U$15,G385),1)*IF(Upgrades!$T$16="Stellar Kinematics",POWER(Upgrades!$U$16,H385),1)*IF(Upgrades!$T$17="Stellar Kinematics",POWER(Upgrades!$U$17,I385),1)*IF(Upgrades!$T$18="Stellar Kinematics",POWER(Upgrades!$U$18,J385),1)*IF(Upgrades!$T$19="Stellar Kinematics",POWER(Upgrades!$U$19,K385),1)*IF(Upgrades!$T$20="Stellar Kinematics",POWER(Upgrades!$U$20,L385),1)*IF(Upgrades!$T$21="Stellar Kinematics",POWER(Upgrades!$U$21,M385),1))*$F$6/AK385,0)</f>
        <v/>
      </c>
      <c r="AZ385" s="32">
        <f>IFERROR(Upgrades!$H$14*(POWER(Upgrades!$P$13,E385)*POWER(Upgrades!$P$14,F385)*POWER(Upgrades!$P$15,G385)*POWER(Upgrades!$P$16,H385)*POWER(Upgrades!$P$17,I385)*POWER(Upgrades!$P$18,J385)*POWER(Upgrades!$P$19,K385)*POWER(Upgrades!$P$20,L385)*POWER(Upgrades!$P$21,M385))*(IF(Upgrades!$T$13="Local Bubble",POWER(Upgrades!$U$13,E385),1)*IF(Upgrades!$T$15="Local Bubble",POWER(Upgrades!$U$15,G385),1)*IF(Upgrades!$T$16="Local Bubble",POWER(Upgrades!$U$16,H385),1)*IF(Upgrades!$T$17="Local Bubble",POWER(Upgrades!$U$17,I385),1)*IF(Upgrades!$T$18="Local Bubble",POWER(Upgrades!$U$18,J385),1)*IF(Upgrades!$T$19="Local Bubble",POWER(Upgrades!$U$19,K385),1)*IF(Upgrades!$T$20="Local Bubble",POWER(Upgrades!$U$20,L385),1)*IF(Upgrades!$T$21="Local Bubble",POWER(Upgrades!$U$21,M385),1))*$F$6/AL385,0)</f>
        <v/>
      </c>
      <c r="BA385" s="32">
        <f>IFERROR(Upgrades!$K$15*(POWER(Upgrades!$Q$13,E385)*POWER(Upgrades!$Q$14,F385)*POWER(Upgrades!$Q$15,G385)*POWER(Upgrades!$Q$16,H385)*POWER(Upgrades!$Q$17,I385)*POWER(Upgrades!$Q$18,J385)*POWER(Upgrades!$Q$19,K385)*POWER(Upgrades!$Q$20,L385)*POWER(Upgrades!$Q$21,M385))*(IF(Upgrades!$T$13="Microlensing",POWER(Upgrades!$U$13,E385),1)*IF(Upgrades!$T$14="Microlensing",POWER(Upgrades!$U$14,F385),1)*IF(Upgrades!$T$16="Microlensing",POWER(Upgrades!$U$16,H385),1)*IF(Upgrades!$T$17="Microlensing",POWER(Upgrades!$U$17,I385),1)*IF(Upgrades!$T$18="Microlensing",POWER(Upgrades!$U$18,J385),1)*IF(Upgrades!$T$19="Microlensing",POWER(Upgrades!$U$19,K385),1)*IF(Upgrades!$T$20="Microlensing",POWER(Upgrades!$U$20,L385),1)*IF(Upgrades!$T$21="Microlensing",POWER(Upgrades!$U$21,M385),1))*$G$6*(Parameters!$B$10/60*Parameters!$B$11+Q385)/AM385,0)</f>
        <v/>
      </c>
      <c r="BB385" s="32">
        <f>IFERROR((Upgrades!$N$16*(POWER(Upgrades!$R$13,E385)*POWER(Upgrades!$R$14,F385)*POWER(Upgrades!$R$15,G385)*POWER(Upgrades!$R$16,H385)*POWER(Upgrades!$R$17,I385)*POWER(Upgrades!$R$18,J385)*POWER(Upgrades!$R$19,K385)*POWER(Upgrades!$R$20,L385)*POWER(Upgrades!$R$21,M385))*(IF(Upgrades!$T$13="Roche Lobe Overflow",POWER(Upgrades!$U$13,E385),1)*IF(Upgrades!$T$14="Roche Lobe Overflow",POWER(Upgrades!$U$14,F385),1)*IF(Upgrades!$T$15="Roche Lobe Overflow",POWER(Upgrades!$U$15,G385),1)*IF(Upgrades!$T$17="Roche Lobe Overflow",POWER(Upgrades!$U$17,I385),1)*IF(Upgrades!$T$18="Roche Lobe Overflow",POWER(Upgrades!$U$18,J385),1)*IF(Upgrades!$T$19="Roche Lobe Overflow",POWER(Upgrades!$U$19,K385),1)*IF(Upgrades!$T$20="Roche Lobe Overflow",POWER(Upgrades!$U$20,L385),1)*IF(Upgrades!$T$21="Roche Lobe Overflow",POWER(Upgrades!$U$21,M385),1))*$H$6*O385+((IF(F385=0,0,(Upgrades!$G$14+F385*Upgrades!$H$14)*POWER(Upgrades!$I$14,F385)))*(IF(Upgrades!$T$13="Local Bubble",POWER(Upgrades!$U$13,E385),1)*IF(Upgrades!$T$15="Local Bubble",POWER(Upgrades!$U$15,G385),1)*IF(Upgrades!$T$16="Local Bubble",POWER(Upgrades!$U$16,H385),1)*IF(Upgrades!$T$17="Local Bubble",POWER(Upgrades!$U$17,I385),1)*IF(Upgrades!$T$18="Local Bubble",POWER(Upgrades!$U$18,J385),1)*IF(Upgrades!$T$19="Local Bubble",POWER(Upgrades!$U$19,K385),1)*IF(Upgrades!$T$20="Local Bubble",POWER(Upgrades!$U$20,L385),1)*IF(Upgrades!$T$21="Local Bubble",POWER(Upgrades!$U$21,M385),1))*POWER(Upgrades!$P$13,E385)*POWER(Upgrades!$P$14,F385)*POWER(Upgrades!$P$15,G385)*POWER(Upgrades!$P$16,H385)*POWER(Upgrades!$P$17,I385)*POWER(Upgrades!$P$18,J385)*POWER(Upgrades!$P$19,K385)*POWER(Upgrades!$P$20,L385)*POWER(Upgrades!$P$21,M385)*$F$6)*0.05)/AN385,0)</f>
        <v/>
      </c>
      <c r="BC385" s="32">
        <f>IFERROR((Upgrades!$H$17*(POWER(Upgrades!$P$13,E385)*POWER(Upgrades!$P$14,F385)*POWER(Upgrades!$P$15,G385)*POWER(Upgrades!$P$16,H385)*POWER(Upgrades!$P$17,I385)*POWER(Upgrades!$P$18,J385)*POWER(Upgrades!$P$19,K385)*POWER(Upgrades!$P$20,L385)*POWER(Upgrades!$P$21,M385))*(IF(Upgrades!$T$13="Brown Dwarf",POWER(Upgrades!$U$13,E385),1)*IF(Upgrades!$T$14="Brown Dwarf",POWER(Upgrades!$U$14,F385),1)*IF(Upgrades!$T$15="Brown Dwarf",POWER(Upgrades!$U$15,G385),1)*IF(Upgrades!$T$16="Brown Dwarf",POWER(Upgrades!$U$16,H385),1)*IF(Upgrades!$T$18="Brown Dwarf",POWER(Upgrades!$U$18,J385),1)*IF(Upgrades!$T$19="Brown Dwarf",POWER(Upgrades!$U$19,K385),1)*IF(Upgrades!$T$20="Brown Dwarf",POWER(Upgrades!$U$20,L385),1)*IF(Upgrades!$T$21="Brown Dwarf",POWER(Upgrades!$U$21,M385),1))*$F$6+(((IF(H385=0,0,(Upgrades!$M$16+H385*Upgrades!$N$16)*POWER(Upgrades!$O$16,H385)))*(IF(Upgrades!$T$13="Roche Lobe Overflow",POWER(Upgrades!$U$13,E385),1)*IF(Upgrades!$T$14="Roche Lobe Overflow",POWER(Upgrades!$U$14,F385),1)*IF(Upgrades!$T$15="Roche Lobe Overflow",POWER(Upgrades!$U$15,G385),1)*IF(Upgrades!$T$17="Roche Lobe Overflow",POWER(Upgrades!$U$17,I385),1)*IF(Upgrades!$T$18="Roche Lobe Overflow",POWER(Upgrades!$U$18,J385),1)*IF(Upgrades!$T$19="Roche Lobe Overflow",POWER(Upgrades!$U$19,K385),1)*IF(Upgrades!$T$20="Roche Lobe Overflow",POWER(Upgrades!$U$20,L385),1)*IF(Upgrades!$T$21="Roche Lobe Overflow",POWER(Upgrades!$U$21,M385),1))*POWER(Upgrades!$R$13,E385)*POWER(Upgrades!$R$14,F385)*POWER(Upgrades!$R$15,G385)*POWER(Upgrades!$R$16,H385)*POWER(Upgrades!$R$17,I385)*POWER(Upgrades!$R$18,J385)*POWER(Upgrades!$R$19,K385)*POWER(Upgrades!$R$20,L385)*POWER(Upgrades!$R$21,M385)*$H$6)*O385)*0.10)/AO385,0)</f>
        <v/>
      </c>
      <c r="BD385" s="32">
        <f>MAX(IF(J385&gt;0,0,IFERROR(0.5*((IF(G385=0,0,(Upgrades!$J$15+G385*Upgrades!$K$15)*POWER(Upgrades!$L$15,G385)))*(IF(Upgrades!$T$13="Microlensing",POWER(Upgrades!$U$13,E385),1)*IF(Upgrades!$T$14="Microlensing",POWER(Upgrades!$U$14,F385),1)*IF(Upgrades!$T$16="Microlensing",POWER(Upgrades!$U$16,H385),1)*IF(Upgrades!$T$17="Microlensing",POWER(Upgrades!$U$17,I385),1)*IF(Upgrades!$T$18="Microlensing",POWER(Upgrades!$U$18,J385),1)*IF(Upgrades!$T$19="Microlensing",POWER(Upgrades!$U$19,K385),1)*IF(Upgrades!$T$20="Microlensing",POWER(Upgrades!$U$20,L385),1)*IF(Upgrades!$T$21="Microlensing",POWER(Upgrades!$U$21,M385),1))*(POWER(Upgrades!$Q$13,E385)*POWER(Upgrades!$Q$14,F385)*POWER(Upgrades!$Q$15,G385)*POWER(Upgrades!$Q$16,H385)*POWER(Upgrades!$Q$17,I385)*POWER(Upgrades!$Q$18,J385)*POWER(Upgrades!$Q$19,K385)*POWER(Upgrades!$Q$20,L385)*POWER(Upgrades!$Q$21,M385))*$G$6*(Parameters!$B$10/60*Parameters!$B$11+Q385))/Upgrades!$C$18,0)),IF(K385&gt;0,0,IFERROR(0.30*P385/Upgrades!$C$19,0)),IF(L385&gt;0,0,IFERROR(0.0001/Upgrades!$C$20,0)),IF(M385&gt;0,0,IFERROR((6.0*(POWER(Upgrades!$P$13,E385)*POWER(Upgrades!$P$14,F385)*POWER(Upgrades!$P$15,G385)*POWER(Upgrades!$P$16,H385)*POWER(Upgrades!$P$17,I385)*POWER(Upgrades!$P$18,J385)*POWER(Upgrades!$P$19,K385)*POWER(Upgrades!$P$20,L385)*POWER(Upgrades!$P$21,M385))*$F$6+0.20*O385*(Parameters!$B$10/60*Parameters!$B$11+Q385))/Upgrades!$C$21,0)),IF(AND(ISNUMBER(AK385),AK385&gt;(C385+T385)),AY385,0),IF(AND(ISNUMBER(AL385),AL385&gt;(C385+T385)),AZ385,0),IF(AND(ISNUMBER(AM385),AM385&gt;(C385+T385)),BA385,0),IF(AND(ISNUMBER(AN385),AN385&gt;(C385+T385)),BB385,0),IF(AND(ISNUMBER(AO385),AO385&gt;(C385+T385)),BC385,0))</f>
        <v/>
      </c>
      <c r="BE385" s="29">
        <f>IF(AT385=1,"transition",IF(MIN(IF(AND(J385=0,ISNUMBER(AP385),AP385&lt;=(C385+T385)),AP385,9E15),IF(AND(K385=0,ISNUMBER(AQ385),AQ385&lt;=(C385+T385)),AQ385,9E15),IF(AND(L385=0,ISNUMBER(AR385),AR385&lt;=(C385+T385)),AR385,9E15),IF(AND(M385=0,ISNUMBER(AS385),AS385&lt;=(C385+T385)),AS385,9E15))&lt;9E15,IF(AND(AND(J385=0,ISNUMBER(AP385),AP385&lt;=(C385+T385)),AP385=MIN(IF(AND(J385=0,ISNUMBER(AP385),AP385&lt;=(C385+T385)),AP385,9E15),IF(AND(K385=0,ISNUMBER(AQ385),AQ385&lt;=(C385+T385)),AQ385,9E15),IF(AND(L385=0,ISNUMBER(AR385),AR385&lt;=(C385+T385)),AR385,9E15),IF(AND(M385=0,ISNUMBER(AS385),AS385&lt;=(C385+T385)),AS385,9E15))),"BiP",IF(AND(AND(K385=0,ISNUMBER(AQ385),AQ385&lt;=(C385+T385)),AQ385=MIN(IF(AND(J385=0,ISNUMBER(AP385),AP385&lt;=(C385+T385)),AP385,9E15),IF(AND(K385=0,ISNUMBER(AQ385),AQ385&lt;=(C385+T385)),AQ385,9E15),IF(AND(L385=0,ISNUMBER(AR385),AR385&lt;=(C385+T385)),AR385,9E15),IF(AND(M385=0,ISNUMBER(AS385),AS385&lt;=(C385+T385)),AS385,9E15))),"PV",IF(AND(AND(L385=0,ISNUMBER(AR385),AR385&lt;=(C385+T385)),AR385=MIN(IF(AND(J385=0,ISNUMBER(AP385),AP385&lt;=(C385+T385)),AP385,9E15),IF(AND(K385=0,ISNUMBER(AQ385),AQ385&lt;=(C385+T385)),AQ385,9E15),IF(AND(L385=0,ISNUMBER(AR385),AR385&lt;=(C385+T385)),AR385,9E15),IF(AND(M385=0,ISNUMBER(AS385),AS385&lt;=(C385+T385)),AS385,9E15))),"OC","MG"))),IF(AX385=TRUE,"",IF(MAX(IF(AND(NOT(AND(AU385=1,AT385&lt;&gt;1)),ISNUMBER(AK385),AK385&lt;=(C385+T385)),AY385,0),IF(AND(NOT(AND(AU385=1,AT385&lt;&gt;1)),ISNUMBER(AL385),AL385&lt;=(C385+T385)),AZ385,0),IF(AND(NOT(AND(AU385=1,AT385&lt;&gt;1)),ISNUMBER(AM385),AM385&lt;=(C385+T385)),BA385,0),IF(AND(NOT(AND(AU385=1,AT385&lt;&gt;1)),ISNUMBER(AN385),AN385&lt;=(C385+T385)),BB385,0),IF(AND(ISNUMBER(AO385),AO385&lt;=(C385+T385)),BC385,0))&lt;=0,"",IF(AND(IF(AND(NOT(AND(AU385=1,AT385&lt;&gt;1)),ISNUMBER(AK385),AK385&lt;=(C385+T385)),AY385,0)&gt;0,IF(AND(NOT(AND(AU385=1,AT385&lt;&gt;1)),ISNUMBER(AK385),AK385&lt;=(C385+T385)),AY385,0)=MAX(IF(AND(NOT(AND(AU385=1,AT385&lt;&gt;1)),ISNUMBER(AK385),AK385&lt;=(C385+T385)),AY385,0),IF(AND(NOT(AND(AU385=1,AT385&lt;&gt;1)),ISNUMBER(AL385),AL385&lt;=(C385+T385)),AZ385,0),IF(AND(NOT(AND(AU385=1,AT385&lt;&gt;1)),ISNUMBER(AM385),AM385&lt;=(C385+T385)),BA385,0),IF(AND(NOT(AND(AU385=1,AT385&lt;&gt;1)),ISNUMBER(AN385),AN385&lt;=(C385+T385)),BB385,0),IF(AND(ISNUMBER(AO385),AO385&lt;=(C385+T385)),BC385,0))),"SK",IF(AND(IF(AND(NOT(AND(AU385=1,AT385&lt;&gt;1)),ISNUMBER(AL385),AL385&lt;=(C385+T385)),AZ385,0)&gt;0,IF(AND(NOT(AND(AU385=1,AT385&lt;&gt;1)),ISNUMBER(AL385),AL385&lt;=(C385+T385)),AZ385,0)=MAX(IF(AND(NOT(AND(AU385=1,AT385&lt;&gt;1)),ISNUMBER(AK385),AK385&lt;=(C385+T385)),AY385,0),IF(AND(NOT(AND(AU385=1,AT385&lt;&gt;1)),ISNUMBER(AL385),AL385&lt;=(C385+T385)),AZ385,0),IF(AND(NOT(AND(AU385=1,AT385&lt;&gt;1)),ISNUMBER(AM385),AM385&lt;=(C385+T385)),BA385,0),IF(AND(NOT(AND(AU385=1,AT385&lt;&gt;1)),ISNUMBER(AN385),AN385&lt;=(C385+T385)),BB385,0),IF(AND(ISNUMBER(AO385),AO385&lt;=(C385+T385)),BC385,0))),"LB",IF(AND(IF(AND(NOT(AND(AU385=1,AT385&lt;&gt;1)),ISNUMBER(AM385),AM385&lt;=(C385+T385)),BA385,0)&gt;0,IF(AND(NOT(AND(AU385=1,AT385&lt;&gt;1)),ISNUMBER(AM385),AM385&lt;=(C385+T385)),BA385,0)=MAX(IF(AND(NOT(AND(AU385=1,AT385&lt;&gt;1)),ISNUMBER(AK385),AK385&lt;=(C385+T385)),AY385,0),IF(AND(NOT(AND(AU385=1,AT385&lt;&gt;1)),ISNUMBER(AL385),AL385&lt;=(C385+T385)),AZ385,0),IF(AND(NOT(AND(AU385=1,AT385&lt;&gt;1)),ISNUMBER(AM385),AM385&lt;=(C385+T385)),BA385,0),IF(AND(NOT(AND(AU385=1,AT385&lt;&gt;1)),ISNUMBER(AN385),AN385&lt;=(C385+T385)),BB385,0),IF(AND(ISNUMBER(AO385),AO385&lt;=(C385+T385)),BC385,0))),"ML",IF(AND(IF(AND(NOT(AND(AU385=1,AT385&lt;&gt;1)),ISNUMBER(AN385),AN385&lt;=(C385+T385)),BB385,0)&gt;0,IF(AND(NOT(AND(AU385=1,AT385&lt;&gt;1)),ISNUMBER(AN385),AN385&lt;=(C385+T385)),BB385,0)=MAX(IF(AND(NOT(AND(AU385=1,AT385&lt;&gt;1)),ISNUMBER(AK385),AK385&lt;=(C385+T385)),AY385,0),IF(AND(NOT(AND(AU385=1,AT385&lt;&gt;1)),ISNUMBER(AL385),AL385&lt;=(C385+T385)),AZ385,0),IF(AND(NOT(AND(AU385=1,AT385&lt;&gt;1)),ISNUMBER(AM385),AM385&lt;=(C385+T385)),BA385,0),IF(AND(NOT(AND(AU385=1,AT385&lt;&gt;1)),ISNUMBER(AN385),AN385&lt;=(C385+T385)),BB385,0),IF(AND(ISNUMBER(AO385),AO385&lt;=(C385+T385)),BC385,0))),"RLO","BD"))))))))</f>
        <v/>
      </c>
    </row>
    <row r="386">
      <c r="A386" s="26" t="n">
        <v>375</v>
      </c>
      <c r="B386" s="27">
        <f>A386*10/60</f>
        <v/>
      </c>
      <c r="C386" s="22">
        <f>X385</f>
        <v/>
      </c>
      <c r="D386" s="27">
        <f>D385+W385</f>
        <v/>
      </c>
      <c r="E386" s="26">
        <f>E385+IF(U385="SK",1,0)</f>
        <v/>
      </c>
      <c r="F386" s="26">
        <f>F385+IF(U385="LB",1,0)</f>
        <v/>
      </c>
      <c r="G386" s="26">
        <f>G385+IF(U385="ML",1,0)</f>
        <v/>
      </c>
      <c r="H386" s="26">
        <f>H385+IF(U385="RLO",1,0)</f>
        <v/>
      </c>
      <c r="I386" s="26">
        <f>I385+IF(U385="BD",1,0)</f>
        <v/>
      </c>
      <c r="J386" s="26">
        <f>MAX(J385,IF(U385="BiP",1,0))</f>
        <v/>
      </c>
      <c r="K386" s="26">
        <f>MAX(K385,IF(U385="PV",1,0))</f>
        <v/>
      </c>
      <c r="L386" s="26">
        <f>MAX(L385,IF(U385="OC",1,0))</f>
        <v/>
      </c>
      <c r="M386" s="26">
        <f>MAX(M385,IF(U385="MG",1,0))</f>
        <v/>
      </c>
      <c r="N386" s="26">
        <f>MAX(N385,IF(U385="transition",1,0))</f>
        <v/>
      </c>
      <c r="O386" s="28">
        <f>(Parameters!$B$9+(IF(E386=0,0,(Upgrades!$J$13+E386*Upgrades!$K$13)*POWER(Upgrades!$L$13,E386)))*(IF(Upgrades!$T$14="Stellar Kinematics",POWER(Upgrades!$U$14,F386),1)*IF(Upgrades!$T$15="Stellar Kinematics",POWER(Upgrades!$U$15,G386),1)*IF(Upgrades!$T$16="Stellar Kinematics",POWER(Upgrades!$U$16,H386),1)*IF(Upgrades!$T$17="Stellar Kinematics",POWER(Upgrades!$U$17,I386),1)*IF(Upgrades!$T$18="Stellar Kinematics",POWER(Upgrades!$U$18,J386),1)*IF(Upgrades!$T$19="Stellar Kinematics",POWER(Upgrades!$U$19,K386),1)*IF(Upgrades!$T$20="Stellar Kinematics",POWER(Upgrades!$U$20,L386),1)*IF(Upgrades!$T$21="Stellar Kinematics",POWER(Upgrades!$U$21,M386),1))+(IF(F386=0,0,(Upgrades!$J$14+F386*Upgrades!$K$14)*POWER(Upgrades!$L$14,F386)))*(IF(Upgrades!$T$13="Local Bubble",POWER(Upgrades!$U$13,E386),1)*IF(Upgrades!$T$15="Local Bubble",POWER(Upgrades!$U$15,G386),1)*IF(Upgrades!$T$16="Local Bubble",POWER(Upgrades!$U$16,H386),1)*IF(Upgrades!$T$17="Local Bubble",POWER(Upgrades!$U$17,I386),1)*IF(Upgrades!$T$18="Local Bubble",POWER(Upgrades!$U$18,J386),1)*IF(Upgrades!$T$19="Local Bubble",POWER(Upgrades!$U$19,K386),1)*IF(Upgrades!$T$20="Local Bubble",POWER(Upgrades!$U$20,L386),1)*IF(Upgrades!$T$21="Local Bubble",POWER(Upgrades!$U$21,M386),1))+(IF(G386=0,0,(Upgrades!$J$15+G386*Upgrades!$K$15)*POWER(Upgrades!$L$15,G386)))*(IF(Upgrades!$T$13="Microlensing",POWER(Upgrades!$U$13,E386),1)*IF(Upgrades!$T$14="Microlensing",POWER(Upgrades!$U$14,F386),1)*IF(Upgrades!$T$16="Microlensing",POWER(Upgrades!$U$16,H386),1)*IF(Upgrades!$T$17="Microlensing",POWER(Upgrades!$U$17,I386),1)*IF(Upgrades!$T$18="Microlensing",POWER(Upgrades!$U$18,J386),1)*IF(Upgrades!$T$19="Microlensing",POWER(Upgrades!$U$19,K386),1)*IF(Upgrades!$T$20="Microlensing",POWER(Upgrades!$U$20,L386),1)*IF(Upgrades!$T$21="Microlensing",POWER(Upgrades!$U$21,M386),1))+(IF(H386=0,0,(Upgrades!$J$16+H386*Upgrades!$K$16)*POWER(Upgrades!$L$16,H386)))*(IF(Upgrades!$T$13="Roche Lobe Overflow",POWER(Upgrades!$U$13,E386),1)*IF(Upgrades!$T$14="Roche Lobe Overflow",POWER(Upgrades!$U$14,F386),1)*IF(Upgrades!$T$15="Roche Lobe Overflow",POWER(Upgrades!$U$15,G386),1)*IF(Upgrades!$T$17="Roche Lobe Overflow",POWER(Upgrades!$U$17,I386),1)*IF(Upgrades!$T$18="Roche Lobe Overflow",POWER(Upgrades!$U$18,J386),1)*IF(Upgrades!$T$19="Roche Lobe Overflow",POWER(Upgrades!$U$19,K386),1)*IF(Upgrades!$T$20="Roche Lobe Overflow",POWER(Upgrades!$U$20,L386),1)*IF(Upgrades!$T$21="Roche Lobe Overflow",POWER(Upgrades!$U$21,M386),1))+(IF(I386=0,0,(Upgrades!$J$17+I386*Upgrades!$K$17)*POWER(Upgrades!$L$17,I386)))*(IF(Upgrades!$T$13="Brown Dwarf",POWER(Upgrades!$U$13,E386),1)*IF(Upgrades!$T$14="Brown Dwarf",POWER(Upgrades!$U$14,F386),1)*IF(Upgrades!$T$15="Brown Dwarf",POWER(Upgrades!$U$15,G386),1)*IF(Upgrades!$T$16="Brown Dwarf",POWER(Upgrades!$U$16,H386),1)*IF(Upgrades!$T$18="Brown Dwarf",POWER(Upgrades!$U$18,J386),1)*IF(Upgrades!$T$19="Brown Dwarf",POWER(Upgrades!$U$19,K386),1)*IF(Upgrades!$T$20="Brown Dwarf",POWER(Upgrades!$U$20,L386),1)*IF(Upgrades!$T$21="Brown Dwarf",POWER(Upgrades!$U$21,M386),1))+(IF(J386=0,0,(Upgrades!$J$18+J386*Upgrades!$K$18)*POWER(Upgrades!$L$18,J386)))*(IF(Upgrades!$T$13="Binary Partner",POWER(Upgrades!$U$13,E386),1)*IF(Upgrades!$T$14="Binary Partner",POWER(Upgrades!$U$14,F386),1)*IF(Upgrades!$T$15="Binary Partner",POWER(Upgrades!$U$15,G386),1)*IF(Upgrades!$T$16="Binary Partner",POWER(Upgrades!$U$16,H386),1)*IF(Upgrades!$T$17="Binary Partner",POWER(Upgrades!$U$17,I386),1)*IF(Upgrades!$T$19="Binary Partner",POWER(Upgrades!$U$19,K386),1)*IF(Upgrades!$T$20="Binary Partner",POWER(Upgrades!$U$20,L386),1)*IF(Upgrades!$T$21="Binary Partner",POWER(Upgrades!$U$21,M386),1))+(IF(K386=0,0,(Upgrades!$J$19+K386*Upgrades!$K$19)*POWER(Upgrades!$L$19,K386)))*(IF(Upgrades!$T$13="Peculiar Velocity",POWER(Upgrades!$U$13,E386),1)*IF(Upgrades!$T$14="Peculiar Velocity",POWER(Upgrades!$U$14,F386),1)*IF(Upgrades!$T$15="Peculiar Velocity",POWER(Upgrades!$U$15,G386),1)*IF(Upgrades!$T$16="Peculiar Velocity",POWER(Upgrades!$U$16,H386),1)*IF(Upgrades!$T$17="Peculiar Velocity",POWER(Upgrades!$U$17,I386),1)*IF(Upgrades!$T$18="Peculiar Velocity",POWER(Upgrades!$U$18,J386),1)*IF(Upgrades!$T$20="Peculiar Velocity",POWER(Upgrades!$U$20,L386),1)*IF(Upgrades!$T$21="Peculiar Velocity",POWER(Upgrades!$U$21,M386),1))+(IF(L386=0,0,(Upgrades!$J$20+L386*Upgrades!$K$20)*POWER(Upgrades!$L$20,L386)))*(IF(Upgrades!$T$13="Open Cluster",POWER(Upgrades!$U$13,E386),1)*IF(Upgrades!$T$14="Open Cluster",POWER(Upgrades!$U$14,F386),1)*IF(Upgrades!$T$15="Open Cluster",POWER(Upgrades!$U$15,G386),1)*IF(Upgrades!$T$16="Open Cluster",POWER(Upgrades!$U$16,H386),1)*IF(Upgrades!$T$17="Open Cluster",POWER(Upgrades!$U$17,I386),1)*IF(Upgrades!$T$18="Open Cluster",POWER(Upgrades!$U$18,J386),1)*IF(Upgrades!$T$19="Open Cluster",POWER(Upgrades!$U$19,K386),1)*IF(Upgrades!$T$21="Open Cluster",POWER(Upgrades!$U$21,M386),1))+(IF(M386=0,0,(Upgrades!$J$21+M386*Upgrades!$K$21)*POWER(Upgrades!$L$21,M386)))*(IF(Upgrades!$T$13="Moving Group",POWER(Upgrades!$U$13,E386),1)*IF(Upgrades!$T$14="Moving Group",POWER(Upgrades!$U$14,F386),1)*IF(Upgrades!$T$15="Moving Group",POWER(Upgrades!$U$15,G386),1)*IF(Upgrades!$T$16="Moving Group",POWER(Upgrades!$U$16,H386),1)*IF(Upgrades!$T$17="Moving Group",POWER(Upgrades!$U$17,I386),1)*IF(Upgrades!$T$18="Moving Group",POWER(Upgrades!$U$18,J386),1)*IF(Upgrades!$T$19="Moving Group",POWER(Upgrades!$U$19,K386),1)*IF(Upgrades!$T$20="Moving Group",POWER(Upgrades!$U$20,L386),1)))*POWER(Upgrades!$Q$13,E386)*POWER(Upgrades!$Q$14,F386)*POWER(Upgrades!$Q$15,G386)*POWER(Upgrades!$Q$16,H386)*POWER(Upgrades!$Q$17,I386)*POWER(Upgrades!$Q$18,J386)*POWER(Upgrades!$Q$19,K386)*POWER(Upgrades!$Q$20,L386)*POWER(Upgrades!$Q$21,M386)*$G$6+$D$6</f>
        <v/>
      </c>
      <c r="P386" s="28">
        <f>((IF(E386=0,0,(Upgrades!$G$13+E386*Upgrades!$H$13)*POWER(Upgrades!$I$13,E386)))*(IF(Upgrades!$T$14="Stellar Kinematics",POWER(Upgrades!$U$14,F386),1)*IF(Upgrades!$T$15="Stellar Kinematics",POWER(Upgrades!$U$15,G386),1)*IF(Upgrades!$T$16="Stellar Kinematics",POWER(Upgrades!$U$16,H386),1)*IF(Upgrades!$T$17="Stellar Kinematics",POWER(Upgrades!$U$17,I386),1)*IF(Upgrades!$T$18="Stellar Kinematics",POWER(Upgrades!$U$18,J386),1)*IF(Upgrades!$T$19="Stellar Kinematics",POWER(Upgrades!$U$19,K386),1)*IF(Upgrades!$T$20="Stellar Kinematics",POWER(Upgrades!$U$20,L386),1)*IF(Upgrades!$T$21="Stellar Kinematics",POWER(Upgrades!$U$21,M386),1))+(IF(F386=0,0,(Upgrades!$G$14+F386*Upgrades!$H$14)*POWER(Upgrades!$I$14,F386)))*(IF(Upgrades!$T$13="Local Bubble",POWER(Upgrades!$U$13,E386),1)*IF(Upgrades!$T$15="Local Bubble",POWER(Upgrades!$U$15,G386),1)*IF(Upgrades!$T$16="Local Bubble",POWER(Upgrades!$U$16,H386),1)*IF(Upgrades!$T$17="Local Bubble",POWER(Upgrades!$U$17,I386),1)*IF(Upgrades!$T$18="Local Bubble",POWER(Upgrades!$U$18,J386),1)*IF(Upgrades!$T$19="Local Bubble",POWER(Upgrades!$U$19,K386),1)*IF(Upgrades!$T$20="Local Bubble",POWER(Upgrades!$U$20,L386),1)*IF(Upgrades!$T$21="Local Bubble",POWER(Upgrades!$U$21,M386),1))+(IF(G386=0,0,(Upgrades!$G$15+G386*Upgrades!$H$15)*POWER(Upgrades!$I$15,G386)))*(IF(Upgrades!$T$13="Microlensing",POWER(Upgrades!$U$13,E386),1)*IF(Upgrades!$T$14="Microlensing",POWER(Upgrades!$U$14,F386),1)*IF(Upgrades!$T$16="Microlensing",POWER(Upgrades!$U$16,H386),1)*IF(Upgrades!$T$17="Microlensing",POWER(Upgrades!$U$17,I386),1)*IF(Upgrades!$T$18="Microlensing",POWER(Upgrades!$U$18,J386),1)*IF(Upgrades!$T$19="Microlensing",POWER(Upgrades!$U$19,K386),1)*IF(Upgrades!$T$20="Microlensing",POWER(Upgrades!$U$20,L386),1)*IF(Upgrades!$T$21="Microlensing",POWER(Upgrades!$U$21,M386),1))+(IF(H386=0,0,(Upgrades!$G$16+H386*Upgrades!$H$16)*POWER(Upgrades!$I$16,H386)))*(IF(Upgrades!$T$13="Roche Lobe Overflow",POWER(Upgrades!$U$13,E386),1)*IF(Upgrades!$T$14="Roche Lobe Overflow",POWER(Upgrades!$U$14,F386),1)*IF(Upgrades!$T$15="Roche Lobe Overflow",POWER(Upgrades!$U$15,G386),1)*IF(Upgrades!$T$17="Roche Lobe Overflow",POWER(Upgrades!$U$17,I386),1)*IF(Upgrades!$T$18="Roche Lobe Overflow",POWER(Upgrades!$U$18,J386),1)*IF(Upgrades!$T$19="Roche Lobe Overflow",POWER(Upgrades!$U$19,K386),1)*IF(Upgrades!$T$20="Roche Lobe Overflow",POWER(Upgrades!$U$20,L386),1)*IF(Upgrades!$T$21="Roche Lobe Overflow",POWER(Upgrades!$U$21,M386),1))+(IF(I386=0,0,(Upgrades!$G$17+I386*Upgrades!$H$17)*POWER(Upgrades!$I$17,I386)))*(IF(Upgrades!$T$13="Brown Dwarf",POWER(Upgrades!$U$13,E386),1)*IF(Upgrades!$T$14="Brown Dwarf",POWER(Upgrades!$U$14,F386),1)*IF(Upgrades!$T$15="Brown Dwarf",POWER(Upgrades!$U$15,G386),1)*IF(Upgrades!$T$16="Brown Dwarf",POWER(Upgrades!$U$16,H386),1)*IF(Upgrades!$T$18="Brown Dwarf",POWER(Upgrades!$U$18,J386),1)*IF(Upgrades!$T$19="Brown Dwarf",POWER(Upgrades!$U$19,K386),1)*IF(Upgrades!$T$20="Brown Dwarf",POWER(Upgrades!$U$20,L386),1)*IF(Upgrades!$T$21="Brown Dwarf",POWER(Upgrades!$U$21,M386),1))+(IF(J386=0,0,(Upgrades!$G$18+J386*Upgrades!$H$18)*POWER(Upgrades!$I$18,J386)))*(IF(Upgrades!$T$13="Binary Partner",POWER(Upgrades!$U$13,E386),1)*IF(Upgrades!$T$14="Binary Partner",POWER(Upgrades!$U$14,F386),1)*IF(Upgrades!$T$15="Binary Partner",POWER(Upgrades!$U$15,G386),1)*IF(Upgrades!$T$16="Binary Partner",POWER(Upgrades!$U$16,H386),1)*IF(Upgrades!$T$17="Binary Partner",POWER(Upgrades!$U$17,I386),1)*IF(Upgrades!$T$19="Binary Partner",POWER(Upgrades!$U$19,K386),1)*IF(Upgrades!$T$20="Binary Partner",POWER(Upgrades!$U$20,L386),1)*IF(Upgrades!$T$21="Binary Partner",POWER(Upgrades!$U$21,M386),1))+(IF(K386=0,0,(Upgrades!$G$19+K386*Upgrades!$H$19)*POWER(Upgrades!$I$19,K386)))*(IF(Upgrades!$T$13="Peculiar Velocity",POWER(Upgrades!$U$13,E386),1)*IF(Upgrades!$T$14="Peculiar Velocity",POWER(Upgrades!$U$14,F386),1)*IF(Upgrades!$T$15="Peculiar Velocity",POWER(Upgrades!$U$15,G386),1)*IF(Upgrades!$T$16="Peculiar Velocity",POWER(Upgrades!$U$16,H386),1)*IF(Upgrades!$T$17="Peculiar Velocity",POWER(Upgrades!$U$17,I386),1)*IF(Upgrades!$T$18="Peculiar Velocity",POWER(Upgrades!$U$18,J386),1)*IF(Upgrades!$T$20="Peculiar Velocity",POWER(Upgrades!$U$20,L386),1)*IF(Upgrades!$T$21="Peculiar Velocity",POWER(Upgrades!$U$21,M386),1))+(IF(L386=0,0,(Upgrades!$G$20+L386*Upgrades!$H$20)*POWER(Upgrades!$I$20,L386)))*(IF(Upgrades!$T$13="Open Cluster",POWER(Upgrades!$U$13,E386),1)*IF(Upgrades!$T$14="Open Cluster",POWER(Upgrades!$U$14,F386),1)*IF(Upgrades!$T$15="Open Cluster",POWER(Upgrades!$U$15,G386),1)*IF(Upgrades!$T$16="Open Cluster",POWER(Upgrades!$U$16,H386),1)*IF(Upgrades!$T$17="Open Cluster",POWER(Upgrades!$U$17,I386),1)*IF(Upgrades!$T$18="Open Cluster",POWER(Upgrades!$U$18,J386),1)*IF(Upgrades!$T$19="Open Cluster",POWER(Upgrades!$U$19,K386),1)*IF(Upgrades!$T$21="Open Cluster",POWER(Upgrades!$U$21,M386),1))+(IF(M386=0,0,(Upgrades!$G$21+M386*Upgrades!$H$21)*POWER(Upgrades!$I$21,M386)))*(IF(Upgrades!$T$13="Moving Group",POWER(Upgrades!$U$13,E386),1)*IF(Upgrades!$T$14="Moving Group",POWER(Upgrades!$U$14,F386),1)*IF(Upgrades!$T$15="Moving Group",POWER(Upgrades!$U$15,G386),1)*IF(Upgrades!$T$16="Moving Group",POWER(Upgrades!$U$16,H386),1)*IF(Upgrades!$T$17="Moving Group",POWER(Upgrades!$U$17,I386),1)*IF(Upgrades!$T$18="Moving Group",POWER(Upgrades!$U$18,J386),1)*IF(Upgrades!$T$19="Moving Group",POWER(Upgrades!$U$19,K386),1)*IF(Upgrades!$T$20="Moving Group",POWER(Upgrades!$U$20,L386),1)))*POWER(Upgrades!$P$13,E386)*POWER(Upgrades!$P$14,F386)*POWER(Upgrades!$P$15,G386)*POWER(Upgrades!$P$16,H386)*POWER(Upgrades!$P$17,I386)*POWER(Upgrades!$P$18,J386)*POWER(Upgrades!$P$19,K386)*POWER(Upgrades!$P$20,L386)*POWER(Upgrades!$P$21,M386)*$F$6+$C$6</f>
        <v/>
      </c>
      <c r="Q386" s="28">
        <f>((IF(E386=0,0,(Upgrades!$M$13+E386*Upgrades!$N$13)*POWER(Upgrades!$O$13,E386)))*(IF(Upgrades!$T$14="Stellar Kinematics",POWER(Upgrades!$U$14,F386),1)*IF(Upgrades!$T$15="Stellar Kinematics",POWER(Upgrades!$U$15,G386),1)*IF(Upgrades!$T$16="Stellar Kinematics",POWER(Upgrades!$U$16,H386),1)*IF(Upgrades!$T$17="Stellar Kinematics",POWER(Upgrades!$U$17,I386),1)*IF(Upgrades!$T$18="Stellar Kinematics",POWER(Upgrades!$U$18,J386),1)*IF(Upgrades!$T$19="Stellar Kinematics",POWER(Upgrades!$U$19,K386),1)*IF(Upgrades!$T$20="Stellar Kinematics",POWER(Upgrades!$U$20,L386),1)*IF(Upgrades!$T$21="Stellar Kinematics",POWER(Upgrades!$U$21,M386),1))+(IF(F386=0,0,(Upgrades!$M$14+F386*Upgrades!$N$14)*POWER(Upgrades!$O$14,F386)))*(IF(Upgrades!$T$13="Local Bubble",POWER(Upgrades!$U$13,E386),1)*IF(Upgrades!$T$15="Local Bubble",POWER(Upgrades!$U$15,G386),1)*IF(Upgrades!$T$16="Local Bubble",POWER(Upgrades!$U$16,H386),1)*IF(Upgrades!$T$17="Local Bubble",POWER(Upgrades!$U$17,I386),1)*IF(Upgrades!$T$18="Local Bubble",POWER(Upgrades!$U$18,J386),1)*IF(Upgrades!$T$19="Local Bubble",POWER(Upgrades!$U$19,K386),1)*IF(Upgrades!$T$20="Local Bubble",POWER(Upgrades!$U$20,L386),1)*IF(Upgrades!$T$21="Local Bubble",POWER(Upgrades!$U$21,M386),1))+(IF(G386=0,0,(Upgrades!$M$15+G386*Upgrades!$N$15)*POWER(Upgrades!$O$15,G386)))*(IF(Upgrades!$T$13="Microlensing",POWER(Upgrades!$U$13,E386),1)*IF(Upgrades!$T$14="Microlensing",POWER(Upgrades!$U$14,F386),1)*IF(Upgrades!$T$16="Microlensing",POWER(Upgrades!$U$16,H386),1)*IF(Upgrades!$T$17="Microlensing",POWER(Upgrades!$U$17,I386),1)*IF(Upgrades!$T$18="Microlensing",POWER(Upgrades!$U$18,J386),1)*IF(Upgrades!$T$19="Microlensing",POWER(Upgrades!$U$19,K386),1)*IF(Upgrades!$T$20="Microlensing",POWER(Upgrades!$U$20,L386),1)*IF(Upgrades!$T$21="Microlensing",POWER(Upgrades!$U$21,M386),1))+(IF(H386=0,0,(Upgrades!$M$16+H386*Upgrades!$N$16)*POWER(Upgrades!$O$16,H386)))*(IF(Upgrades!$T$13="Roche Lobe Overflow",POWER(Upgrades!$U$13,E386),1)*IF(Upgrades!$T$14="Roche Lobe Overflow",POWER(Upgrades!$U$14,F386),1)*IF(Upgrades!$T$15="Roche Lobe Overflow",POWER(Upgrades!$U$15,G386),1)*IF(Upgrades!$T$17="Roche Lobe Overflow",POWER(Upgrades!$U$17,I386),1)*IF(Upgrades!$T$18="Roche Lobe Overflow",POWER(Upgrades!$U$18,J386),1)*IF(Upgrades!$T$19="Roche Lobe Overflow",POWER(Upgrades!$U$19,K386),1)*IF(Upgrades!$T$20="Roche Lobe Overflow",POWER(Upgrades!$U$20,L386),1)*IF(Upgrades!$T$21="Roche Lobe Overflow",POWER(Upgrades!$U$21,M386),1))+(IF(I386=0,0,(Upgrades!$M$17+I386*Upgrades!$N$17)*POWER(Upgrades!$O$17,I386)))*(IF(Upgrades!$T$13="Brown Dwarf",POWER(Upgrades!$U$13,E386),1)*IF(Upgrades!$T$14="Brown Dwarf",POWER(Upgrades!$U$14,F386),1)*IF(Upgrades!$T$15="Brown Dwarf",POWER(Upgrades!$U$15,G386),1)*IF(Upgrades!$T$16="Brown Dwarf",POWER(Upgrades!$U$16,H386),1)*IF(Upgrades!$T$18="Brown Dwarf",POWER(Upgrades!$U$18,J386),1)*IF(Upgrades!$T$19="Brown Dwarf",POWER(Upgrades!$U$19,K386),1)*IF(Upgrades!$T$20="Brown Dwarf",POWER(Upgrades!$U$20,L386),1)*IF(Upgrades!$T$21="Brown Dwarf",POWER(Upgrades!$U$21,M386),1))+(IF(J386=0,0,(Upgrades!$M$18+J386*Upgrades!$N$18)*POWER(Upgrades!$O$18,J386)))*(IF(Upgrades!$T$13="Binary Partner",POWER(Upgrades!$U$13,E386),1)*IF(Upgrades!$T$14="Binary Partner",POWER(Upgrades!$U$14,F386),1)*IF(Upgrades!$T$15="Binary Partner",POWER(Upgrades!$U$15,G386),1)*IF(Upgrades!$T$16="Binary Partner",POWER(Upgrades!$U$16,H386),1)*IF(Upgrades!$T$17="Binary Partner",POWER(Upgrades!$U$17,I386),1)*IF(Upgrades!$T$19="Binary Partner",POWER(Upgrades!$U$19,K386),1)*IF(Upgrades!$T$20="Binary Partner",POWER(Upgrades!$U$20,L386),1)*IF(Upgrades!$T$21="Binary Partner",POWER(Upgrades!$U$21,M386),1))+(IF(K386=0,0,(Upgrades!$M$19+K386*Upgrades!$N$19)*POWER(Upgrades!$O$19,K386)))*(IF(Upgrades!$T$13="Peculiar Velocity",POWER(Upgrades!$U$13,E386),1)*IF(Upgrades!$T$14="Peculiar Velocity",POWER(Upgrades!$U$14,F386),1)*IF(Upgrades!$T$15="Peculiar Velocity",POWER(Upgrades!$U$15,G386),1)*IF(Upgrades!$T$16="Peculiar Velocity",POWER(Upgrades!$U$16,H386),1)*IF(Upgrades!$T$17="Peculiar Velocity",POWER(Upgrades!$U$17,I386),1)*IF(Upgrades!$T$18="Peculiar Velocity",POWER(Upgrades!$U$18,J386),1)*IF(Upgrades!$T$20="Peculiar Velocity",POWER(Upgrades!$U$20,L386),1)*IF(Upgrades!$T$21="Peculiar Velocity",POWER(Upgrades!$U$21,M386),1))+(IF(L386=0,0,(Upgrades!$M$20+L386*Upgrades!$N$20)*POWER(Upgrades!$O$20,L386)))*(IF(Upgrades!$T$13="Open Cluster",POWER(Upgrades!$U$13,E386),1)*IF(Upgrades!$T$14="Open Cluster",POWER(Upgrades!$U$14,F386),1)*IF(Upgrades!$T$15="Open Cluster",POWER(Upgrades!$U$15,G386),1)*IF(Upgrades!$T$16="Open Cluster",POWER(Upgrades!$U$16,H386),1)*IF(Upgrades!$T$17="Open Cluster",POWER(Upgrades!$U$17,I386),1)*IF(Upgrades!$T$18="Open Cluster",POWER(Upgrades!$U$18,J386),1)*IF(Upgrades!$T$19="Open Cluster",POWER(Upgrades!$U$19,K386),1)*IF(Upgrades!$T$21="Open Cluster",POWER(Upgrades!$U$21,M386),1))+(IF(M386=0,0,(Upgrades!$M$21+M386*Upgrades!$N$21)*POWER(Upgrades!$O$21,M386)))*(IF(Upgrades!$T$13="Moving Group",POWER(Upgrades!$U$13,E386),1)*IF(Upgrades!$T$14="Moving Group",POWER(Upgrades!$U$14,F386),1)*IF(Upgrades!$T$15="Moving Group",POWER(Upgrades!$U$15,G386),1)*IF(Upgrades!$T$16="Moving Group",POWER(Upgrades!$U$16,H386),1)*IF(Upgrades!$T$17="Moving Group",POWER(Upgrades!$U$17,I386),1)*IF(Upgrades!$T$18="Moving Group",POWER(Upgrades!$U$18,J386),1)*IF(Upgrades!$T$19="Moving Group",POWER(Upgrades!$U$19,K386),1)*IF(Upgrades!$T$20="Moving Group",POWER(Upgrades!$U$20,L386),1)))*POWER(Upgrades!$R$13,E386)*POWER(Upgrades!$R$14,F386)*POWER(Upgrades!$R$15,G386)*POWER(Upgrades!$R$16,H386)*POWER(Upgrades!$R$17,I386)*POWER(Upgrades!$R$18,J386)*POWER(Upgrades!$R$19,K386)*POWER(Upgrades!$R$20,L386)*POWER(Upgrades!$R$21,M386)*$H$6+$E$6</f>
        <v/>
      </c>
      <c r="R386" s="27">
        <f>IF(N386=1,0,O386*Parameters!$B$10/60*Parameters!$B$11*10)</f>
        <v/>
      </c>
      <c r="S386" s="27">
        <f>IF(N386=1,0,Q386*O386*10)</f>
        <v/>
      </c>
      <c r="T386" s="27">
        <f>IF(N386=1,0,R386+S386+P386*10)</f>
        <v/>
      </c>
      <c r="U386" s="33">
        <f>BE386</f>
        <v/>
      </c>
      <c r="V386" s="22">
        <f>IF(U386="",0,IF(U386="transition",0,IF(U386="SK",AK386,IF(U386="LB",AL386,IF(U386="ML",AM386,IF(U386="RLO",AN386,IF(U386="BD",AO386,IF(U386="BiP",AP386,IF(U386="PV",AQ386,IF(U386="OC",AR386,IF(U386="MG",AS386,0))))))))))</f>
        <v/>
      </c>
      <c r="W386" s="27">
        <f>IF(U386="BiP",Upgrades!$F$18,IF(U386="PV",Upgrades!$F$19,IF(U386="OC",Upgrades!$F$20,IF(U386="MG",Upgrades!$F$21,IF(U386="transition",-Parameters!$B$18*Parameters!$B$19,0)))))</f>
        <v/>
      </c>
      <c r="X386" s="22">
        <f>C386+T386-V386</f>
        <v/>
      </c>
      <c r="Y386" s="30">
        <f>O386*Parameters!$B$10/60*Parameters!$B$11+Q386*O386+P386</f>
        <v/>
      </c>
      <c r="Z386" s="34">
        <f>IF(U386="transition","→ Tier 3 (Galactic Arm)",IF(U386="MG","Moving Group — pocket drifts together",IF(U386="OC","Open Cluster acquired",IF(U386="PV","Peculiar Velocity — passive multiplier active",IF(U386="BiP","Binary Partner — pair bond formed",IF(AND(AU386=1,N386=0,AT386&lt;&gt;1),"Cohesion ready (waiting on completionists)","")))))) </f>
        <v/>
      </c>
      <c r="AA386" s="27">
        <f>(IF(E386=0,0,(Upgrades!$G$13+E386*Upgrades!$H$13)*POWER(Upgrades!$I$13,E386)))*(IF(Upgrades!$T$14="Stellar Kinematics",POWER(Upgrades!$U$14,F386),1)*IF(Upgrades!$T$15="Stellar Kinematics",POWER(Upgrades!$U$15,G386),1)*IF(Upgrades!$T$16="Stellar Kinematics",POWER(Upgrades!$U$16,H386),1)*IF(Upgrades!$T$17="Stellar Kinematics",POWER(Upgrades!$U$17,I386),1)*IF(Upgrades!$T$18="Stellar Kinematics",POWER(Upgrades!$U$18,J386),1)*IF(Upgrades!$T$19="Stellar Kinematics",POWER(Upgrades!$U$19,K386),1)*IF(Upgrades!$T$20="Stellar Kinematics",POWER(Upgrades!$U$20,L386),1)*IF(Upgrades!$T$21="Stellar Kinematics",POWER(Upgrades!$U$21,M386),1))*POWER(Upgrades!$P$13,E386)*POWER(Upgrades!$P$14,F386)*POWER(Upgrades!$P$15,G386)*POWER(Upgrades!$P$16,H386)*POWER(Upgrades!$P$17,I386)*POWER(Upgrades!$P$18,J386)*POWER(Upgrades!$P$19,K386)*POWER(Upgrades!$P$20,L386)*POWER(Upgrades!$P$21,M386)*$F$6*60</f>
        <v/>
      </c>
      <c r="AB386" s="27">
        <f>(IF(F386=0,0,(Upgrades!$G$14+F386*Upgrades!$H$14)*POWER(Upgrades!$I$14,F386)))*(IF(Upgrades!$T$13="Local Bubble",POWER(Upgrades!$U$13,E386),1)*IF(Upgrades!$T$15="Local Bubble",POWER(Upgrades!$U$15,G386),1)*IF(Upgrades!$T$16="Local Bubble",POWER(Upgrades!$U$16,H386),1)*IF(Upgrades!$T$17="Local Bubble",POWER(Upgrades!$U$17,I386),1)*IF(Upgrades!$T$18="Local Bubble",POWER(Upgrades!$U$18,J386),1)*IF(Upgrades!$T$19="Local Bubble",POWER(Upgrades!$U$19,K386),1)*IF(Upgrades!$T$20="Local Bubble",POWER(Upgrades!$U$20,L386),1)*IF(Upgrades!$T$21="Local Bubble",POWER(Upgrades!$U$21,M386),1))*POWER(Upgrades!$P$13,E386)*POWER(Upgrades!$P$14,F386)*POWER(Upgrades!$P$15,G386)*POWER(Upgrades!$P$16,H386)*POWER(Upgrades!$P$17,I386)*POWER(Upgrades!$P$18,J386)*POWER(Upgrades!$P$19,K386)*POWER(Upgrades!$P$20,L386)*POWER(Upgrades!$P$21,M386)*$F$6*60</f>
        <v/>
      </c>
      <c r="AC386" s="27">
        <f>(IF(G386=0,0,(Upgrades!$J$15+G386*Upgrades!$K$15)*POWER(Upgrades!$L$15,G386)))*(IF(Upgrades!$T$13="Microlensing",POWER(Upgrades!$U$13,E386),1)*IF(Upgrades!$T$14="Microlensing",POWER(Upgrades!$U$14,F386),1)*IF(Upgrades!$T$16="Microlensing",POWER(Upgrades!$U$16,H386),1)*IF(Upgrades!$T$17="Microlensing",POWER(Upgrades!$U$17,I386),1)*IF(Upgrades!$T$18="Microlensing",POWER(Upgrades!$U$18,J386),1)*IF(Upgrades!$T$19="Microlensing",POWER(Upgrades!$U$19,K386),1)*IF(Upgrades!$T$20="Microlensing",POWER(Upgrades!$U$20,L386),1)*IF(Upgrades!$T$21="Microlensing",POWER(Upgrades!$U$21,M386),1))*POWER(Upgrades!$Q$13,E386)*POWER(Upgrades!$Q$14,F386)*POWER(Upgrades!$Q$15,G386)*POWER(Upgrades!$Q$16,H386)*POWER(Upgrades!$Q$17,I386)*POWER(Upgrades!$Q$18,J386)*POWER(Upgrades!$Q$19,K386)*POWER(Upgrades!$Q$20,L386)*POWER(Upgrades!$Q$21,M386)*$G$6*(Parameters!$B$10*Parameters!$B$11+Q386*60)</f>
        <v/>
      </c>
      <c r="AD386" s="27">
        <f>(IF(H386=0,0,(Upgrades!$M$16+H386*Upgrades!$N$16)*POWER(Upgrades!$O$16,H386)))*(IF(Upgrades!$T$13="Roche Lobe Overflow",POWER(Upgrades!$U$13,E386),1)*IF(Upgrades!$T$14="Roche Lobe Overflow",POWER(Upgrades!$U$14,F386),1)*IF(Upgrades!$T$15="Roche Lobe Overflow",POWER(Upgrades!$U$15,G386),1)*IF(Upgrades!$T$17="Roche Lobe Overflow",POWER(Upgrades!$U$17,I386),1)*IF(Upgrades!$T$18="Roche Lobe Overflow",POWER(Upgrades!$U$18,J386),1)*IF(Upgrades!$T$19="Roche Lobe Overflow",POWER(Upgrades!$U$19,K386),1)*IF(Upgrades!$T$20="Roche Lobe Overflow",POWER(Upgrades!$U$20,L386),1)*IF(Upgrades!$T$21="Roche Lobe Overflow",POWER(Upgrades!$U$21,M386),1))*POWER(Upgrades!$R$13,E386)*POWER(Upgrades!$R$14,F386)*POWER(Upgrades!$R$15,G386)*POWER(Upgrades!$R$16,H386)*POWER(Upgrades!$R$17,I386)*POWER(Upgrades!$R$18,J386)*POWER(Upgrades!$R$19,K386)*POWER(Upgrades!$R$20,L386)*POWER(Upgrades!$R$21,M386)*$H$6*O386*60</f>
        <v/>
      </c>
      <c r="AE386" s="27">
        <f>(IF(I386=0,0,(Upgrades!$G$17+I386*Upgrades!$H$17)*POWER(Upgrades!$I$17,I386)))*(IF(Upgrades!$T$13="Brown Dwarf",POWER(Upgrades!$U$13,E386),1)*IF(Upgrades!$T$14="Brown Dwarf",POWER(Upgrades!$U$14,F386),1)*IF(Upgrades!$T$15="Brown Dwarf",POWER(Upgrades!$U$15,G386),1)*IF(Upgrades!$T$16="Brown Dwarf",POWER(Upgrades!$U$16,H386),1)*IF(Upgrades!$T$18="Brown Dwarf",POWER(Upgrades!$U$18,J386),1)*IF(Upgrades!$T$19="Brown Dwarf",POWER(Upgrades!$U$19,K386),1)*IF(Upgrades!$T$20="Brown Dwarf",POWER(Upgrades!$U$20,L386),1)*IF(Upgrades!$T$21="Brown Dwarf",POWER(Upgrades!$U$21,M386),1))*POWER(Upgrades!$P$13,E386)*POWER(Upgrades!$P$14,F386)*POWER(Upgrades!$P$15,G386)*POWER(Upgrades!$P$16,H386)*POWER(Upgrades!$P$17,I386)*POWER(Upgrades!$P$18,J386)*POWER(Upgrades!$P$19,K386)*POWER(Upgrades!$P$20,L386)*POWER(Upgrades!$P$21,M386)*$F$6*60</f>
        <v/>
      </c>
      <c r="AF386" s="27" t="n">
        <v>0</v>
      </c>
      <c r="AG386" s="27" t="n">
        <v>0</v>
      </c>
      <c r="AH386" s="27" t="n">
        <v>0</v>
      </c>
      <c r="AI386" s="27">
        <f>(IF(M386=0,0,(Upgrades!$G$21+M386*Upgrades!$H$21)*POWER(Upgrades!$I$21,M386)))*(IF(Upgrades!$T$13="Moving Group",POWER(Upgrades!$U$13,E386),1)*IF(Upgrades!$T$14="Moving Group",POWER(Upgrades!$U$14,F386),1)*IF(Upgrades!$T$15="Moving Group",POWER(Upgrades!$U$15,G386),1)*IF(Upgrades!$T$16="Moving Group",POWER(Upgrades!$U$16,H386),1)*IF(Upgrades!$T$17="Moving Group",POWER(Upgrades!$U$17,I386),1)*IF(Upgrades!$T$18="Moving Group",POWER(Upgrades!$U$18,J386),1)*IF(Upgrades!$T$19="Moving Group",POWER(Upgrades!$U$19,K386),1)*IF(Upgrades!$T$20="Moving Group",POWER(Upgrades!$U$20,L386),1))*POWER(Upgrades!$P$13,E386)*POWER(Upgrades!$P$14,F386)*POWER(Upgrades!$P$15,G386)*POWER(Upgrades!$P$16,H386)*POWER(Upgrades!$P$17,I386)*POWER(Upgrades!$P$18,J386)*POWER(Upgrades!$P$19,K386)*POWER(Upgrades!$P$20,L386)*POWER(Upgrades!$P$21,M386)*$F$6*60</f>
        <v/>
      </c>
      <c r="AJ386" s="27">
        <f>$C$6*60</f>
        <v/>
      </c>
      <c r="AK386" s="22">
        <f>IF(E386&gt;=Upgrades!$E$13,"",Upgrades!$C$13*POWER(Upgrades!$D$13,E386))</f>
        <v/>
      </c>
      <c r="AL386" s="22">
        <f>IF(F386&gt;=Upgrades!$E$14,"",Upgrades!$C$14*POWER(Upgrades!$D$14,F386))</f>
        <v/>
      </c>
      <c r="AM386" s="22">
        <f>IF(G386&gt;=Upgrades!$E$15,"",Upgrades!$C$15*POWER(Upgrades!$D$15,G386))</f>
        <v/>
      </c>
      <c r="AN386" s="22">
        <f>IF(H386&gt;=Upgrades!$E$16,"",Upgrades!$C$16*POWER(Upgrades!$D$16,H386))</f>
        <v/>
      </c>
      <c r="AO386" s="22">
        <f>IF(I386&gt;=Upgrades!$E$17,"",Upgrades!$C$17*POWER(Upgrades!$D$17,I386))</f>
        <v/>
      </c>
      <c r="AP386" s="22">
        <f>IF(J386&gt;=Upgrades!$E$18,"",Upgrades!$C$18*POWER(Upgrades!$D$18,J386))</f>
        <v/>
      </c>
      <c r="AQ386" s="22">
        <f>IF(K386&gt;=Upgrades!$E$19,"",Upgrades!$C$19*POWER(Upgrades!$D$19,K386))</f>
        <v/>
      </c>
      <c r="AR386" s="22">
        <f>IF(L386&gt;=Upgrades!$E$20,"",Upgrades!$C$20*POWER(Upgrades!$D$20,L386))</f>
        <v/>
      </c>
      <c r="AS386" s="22">
        <f>IF(M386&gt;=Upgrades!$E$21,"",Upgrades!$C$21*POWER(Upgrades!$D$21,M386))</f>
        <v/>
      </c>
      <c r="AT386" s="26">
        <f>IF(AND(D386&gt;=Parameters!$B$18*Parameters!$B$19,(I386&gt;=Upgrades!$E$17)*(M386&gt;=Upgrades!$E$21)=1,N386=0),1,"")</f>
        <v/>
      </c>
      <c r="AU386" s="26">
        <f>IF(AND(D386&gt;=Parameters!$B$18*Parameters!$B$19,N386=0),1,"")</f>
        <v/>
      </c>
      <c r="AV386" s="22">
        <f>MIN(IF(ISNUMBER(AP386),AP386,9E15),IF(ISNUMBER(AQ386),AQ386,9E15),IF(ISNUMBER(AR386),AR386,9E15),IF(ISNUMBER(AS386),AS386,9E15))</f>
        <v/>
      </c>
      <c r="AW386" s="22">
        <f>MIN(IF(ISNUMBER(AK386),AK386,9E15),IF(ISNUMBER(AL386),AL386,9E15),IF(ISNUMBER(AM386),AM386,9E15),IF(ISNUMBER(AN386),AN386,9E15),IF(ISNUMBER(AO386),AO386,9E15))</f>
        <v/>
      </c>
      <c r="AX386" s="29">
        <f>IF(BD386&gt;Parameters!$B$21*(MAX(IF(AND(NOT(AND(AU386=1,AT386&lt;&gt;1)),ISNUMBER(AK386),AK386&lt;=(C386+T386)),AY386,0),IF(AND(NOT(AND(AU386=1,AT386&lt;&gt;1)),ISNUMBER(AL386),AL386&lt;=(C386+T386)),AZ386,0),IF(AND(NOT(AND(AU386=1,AT386&lt;&gt;1)),ISNUMBER(AM386),AM386&lt;=(C386+T386)),BA386,0),IF(AND(NOT(AND(AU386=1,AT386&lt;&gt;1)),ISNUMBER(AN386),AN386&lt;=(C386+T386)),BB386,0),IF(AND(ISNUMBER(AO386),AO386&lt;=(C386+T386)),BC386,0))),TRUE,FALSE)</f>
        <v/>
      </c>
      <c r="AY386" s="32">
        <f>IFERROR(Upgrades!$H$13*(POWER(Upgrades!$P$13,E386)*POWER(Upgrades!$P$14,F386)*POWER(Upgrades!$P$15,G386)*POWER(Upgrades!$P$16,H386)*POWER(Upgrades!$P$17,I386)*POWER(Upgrades!$P$18,J386)*POWER(Upgrades!$P$19,K386)*POWER(Upgrades!$P$20,L386)*POWER(Upgrades!$P$21,M386))*(IF(Upgrades!$T$14="Stellar Kinematics",POWER(Upgrades!$U$14,F386),1)*IF(Upgrades!$T$15="Stellar Kinematics",POWER(Upgrades!$U$15,G386),1)*IF(Upgrades!$T$16="Stellar Kinematics",POWER(Upgrades!$U$16,H386),1)*IF(Upgrades!$T$17="Stellar Kinematics",POWER(Upgrades!$U$17,I386),1)*IF(Upgrades!$T$18="Stellar Kinematics",POWER(Upgrades!$U$18,J386),1)*IF(Upgrades!$T$19="Stellar Kinematics",POWER(Upgrades!$U$19,K386),1)*IF(Upgrades!$T$20="Stellar Kinematics",POWER(Upgrades!$U$20,L386),1)*IF(Upgrades!$T$21="Stellar Kinematics",POWER(Upgrades!$U$21,M386),1))*$F$6/AK386,0)</f>
        <v/>
      </c>
      <c r="AZ386" s="32">
        <f>IFERROR(Upgrades!$H$14*(POWER(Upgrades!$P$13,E386)*POWER(Upgrades!$P$14,F386)*POWER(Upgrades!$P$15,G386)*POWER(Upgrades!$P$16,H386)*POWER(Upgrades!$P$17,I386)*POWER(Upgrades!$P$18,J386)*POWER(Upgrades!$P$19,K386)*POWER(Upgrades!$P$20,L386)*POWER(Upgrades!$P$21,M386))*(IF(Upgrades!$T$13="Local Bubble",POWER(Upgrades!$U$13,E386),1)*IF(Upgrades!$T$15="Local Bubble",POWER(Upgrades!$U$15,G386),1)*IF(Upgrades!$T$16="Local Bubble",POWER(Upgrades!$U$16,H386),1)*IF(Upgrades!$T$17="Local Bubble",POWER(Upgrades!$U$17,I386),1)*IF(Upgrades!$T$18="Local Bubble",POWER(Upgrades!$U$18,J386),1)*IF(Upgrades!$T$19="Local Bubble",POWER(Upgrades!$U$19,K386),1)*IF(Upgrades!$T$20="Local Bubble",POWER(Upgrades!$U$20,L386),1)*IF(Upgrades!$T$21="Local Bubble",POWER(Upgrades!$U$21,M386),1))*$F$6/AL386,0)</f>
        <v/>
      </c>
      <c r="BA386" s="32">
        <f>IFERROR(Upgrades!$K$15*(POWER(Upgrades!$Q$13,E386)*POWER(Upgrades!$Q$14,F386)*POWER(Upgrades!$Q$15,G386)*POWER(Upgrades!$Q$16,H386)*POWER(Upgrades!$Q$17,I386)*POWER(Upgrades!$Q$18,J386)*POWER(Upgrades!$Q$19,K386)*POWER(Upgrades!$Q$20,L386)*POWER(Upgrades!$Q$21,M386))*(IF(Upgrades!$T$13="Microlensing",POWER(Upgrades!$U$13,E386),1)*IF(Upgrades!$T$14="Microlensing",POWER(Upgrades!$U$14,F386),1)*IF(Upgrades!$T$16="Microlensing",POWER(Upgrades!$U$16,H386),1)*IF(Upgrades!$T$17="Microlensing",POWER(Upgrades!$U$17,I386),1)*IF(Upgrades!$T$18="Microlensing",POWER(Upgrades!$U$18,J386),1)*IF(Upgrades!$T$19="Microlensing",POWER(Upgrades!$U$19,K386),1)*IF(Upgrades!$T$20="Microlensing",POWER(Upgrades!$U$20,L386),1)*IF(Upgrades!$T$21="Microlensing",POWER(Upgrades!$U$21,M386),1))*$G$6*(Parameters!$B$10/60*Parameters!$B$11+Q386)/AM386,0)</f>
        <v/>
      </c>
      <c r="BB386" s="32">
        <f>IFERROR((Upgrades!$N$16*(POWER(Upgrades!$R$13,E386)*POWER(Upgrades!$R$14,F386)*POWER(Upgrades!$R$15,G386)*POWER(Upgrades!$R$16,H386)*POWER(Upgrades!$R$17,I386)*POWER(Upgrades!$R$18,J386)*POWER(Upgrades!$R$19,K386)*POWER(Upgrades!$R$20,L386)*POWER(Upgrades!$R$21,M386))*(IF(Upgrades!$T$13="Roche Lobe Overflow",POWER(Upgrades!$U$13,E386),1)*IF(Upgrades!$T$14="Roche Lobe Overflow",POWER(Upgrades!$U$14,F386),1)*IF(Upgrades!$T$15="Roche Lobe Overflow",POWER(Upgrades!$U$15,G386),1)*IF(Upgrades!$T$17="Roche Lobe Overflow",POWER(Upgrades!$U$17,I386),1)*IF(Upgrades!$T$18="Roche Lobe Overflow",POWER(Upgrades!$U$18,J386),1)*IF(Upgrades!$T$19="Roche Lobe Overflow",POWER(Upgrades!$U$19,K386),1)*IF(Upgrades!$T$20="Roche Lobe Overflow",POWER(Upgrades!$U$20,L386),1)*IF(Upgrades!$T$21="Roche Lobe Overflow",POWER(Upgrades!$U$21,M386),1))*$H$6*O386+((IF(F386=0,0,(Upgrades!$G$14+F386*Upgrades!$H$14)*POWER(Upgrades!$I$14,F386)))*(IF(Upgrades!$T$13="Local Bubble",POWER(Upgrades!$U$13,E386),1)*IF(Upgrades!$T$15="Local Bubble",POWER(Upgrades!$U$15,G386),1)*IF(Upgrades!$T$16="Local Bubble",POWER(Upgrades!$U$16,H386),1)*IF(Upgrades!$T$17="Local Bubble",POWER(Upgrades!$U$17,I386),1)*IF(Upgrades!$T$18="Local Bubble",POWER(Upgrades!$U$18,J386),1)*IF(Upgrades!$T$19="Local Bubble",POWER(Upgrades!$U$19,K386),1)*IF(Upgrades!$T$20="Local Bubble",POWER(Upgrades!$U$20,L386),1)*IF(Upgrades!$T$21="Local Bubble",POWER(Upgrades!$U$21,M386),1))*POWER(Upgrades!$P$13,E386)*POWER(Upgrades!$P$14,F386)*POWER(Upgrades!$P$15,G386)*POWER(Upgrades!$P$16,H386)*POWER(Upgrades!$P$17,I386)*POWER(Upgrades!$P$18,J386)*POWER(Upgrades!$P$19,K386)*POWER(Upgrades!$P$20,L386)*POWER(Upgrades!$P$21,M386)*$F$6)*0.05)/AN386,0)</f>
        <v/>
      </c>
      <c r="BC386" s="32">
        <f>IFERROR((Upgrades!$H$17*(POWER(Upgrades!$P$13,E386)*POWER(Upgrades!$P$14,F386)*POWER(Upgrades!$P$15,G386)*POWER(Upgrades!$P$16,H386)*POWER(Upgrades!$P$17,I386)*POWER(Upgrades!$P$18,J386)*POWER(Upgrades!$P$19,K386)*POWER(Upgrades!$P$20,L386)*POWER(Upgrades!$P$21,M386))*(IF(Upgrades!$T$13="Brown Dwarf",POWER(Upgrades!$U$13,E386),1)*IF(Upgrades!$T$14="Brown Dwarf",POWER(Upgrades!$U$14,F386),1)*IF(Upgrades!$T$15="Brown Dwarf",POWER(Upgrades!$U$15,G386),1)*IF(Upgrades!$T$16="Brown Dwarf",POWER(Upgrades!$U$16,H386),1)*IF(Upgrades!$T$18="Brown Dwarf",POWER(Upgrades!$U$18,J386),1)*IF(Upgrades!$T$19="Brown Dwarf",POWER(Upgrades!$U$19,K386),1)*IF(Upgrades!$T$20="Brown Dwarf",POWER(Upgrades!$U$20,L386),1)*IF(Upgrades!$T$21="Brown Dwarf",POWER(Upgrades!$U$21,M386),1))*$F$6+(((IF(H386=0,0,(Upgrades!$M$16+H386*Upgrades!$N$16)*POWER(Upgrades!$O$16,H386)))*(IF(Upgrades!$T$13="Roche Lobe Overflow",POWER(Upgrades!$U$13,E386),1)*IF(Upgrades!$T$14="Roche Lobe Overflow",POWER(Upgrades!$U$14,F386),1)*IF(Upgrades!$T$15="Roche Lobe Overflow",POWER(Upgrades!$U$15,G386),1)*IF(Upgrades!$T$17="Roche Lobe Overflow",POWER(Upgrades!$U$17,I386),1)*IF(Upgrades!$T$18="Roche Lobe Overflow",POWER(Upgrades!$U$18,J386),1)*IF(Upgrades!$T$19="Roche Lobe Overflow",POWER(Upgrades!$U$19,K386),1)*IF(Upgrades!$T$20="Roche Lobe Overflow",POWER(Upgrades!$U$20,L386),1)*IF(Upgrades!$T$21="Roche Lobe Overflow",POWER(Upgrades!$U$21,M386),1))*POWER(Upgrades!$R$13,E386)*POWER(Upgrades!$R$14,F386)*POWER(Upgrades!$R$15,G386)*POWER(Upgrades!$R$16,H386)*POWER(Upgrades!$R$17,I386)*POWER(Upgrades!$R$18,J386)*POWER(Upgrades!$R$19,K386)*POWER(Upgrades!$R$20,L386)*POWER(Upgrades!$R$21,M386)*$H$6)*O386)*0.10)/AO386,0)</f>
        <v/>
      </c>
      <c r="BD386" s="32">
        <f>MAX(IF(J386&gt;0,0,IFERROR(0.5*((IF(G386=0,0,(Upgrades!$J$15+G386*Upgrades!$K$15)*POWER(Upgrades!$L$15,G386)))*(IF(Upgrades!$T$13="Microlensing",POWER(Upgrades!$U$13,E386),1)*IF(Upgrades!$T$14="Microlensing",POWER(Upgrades!$U$14,F386),1)*IF(Upgrades!$T$16="Microlensing",POWER(Upgrades!$U$16,H386),1)*IF(Upgrades!$T$17="Microlensing",POWER(Upgrades!$U$17,I386),1)*IF(Upgrades!$T$18="Microlensing",POWER(Upgrades!$U$18,J386),1)*IF(Upgrades!$T$19="Microlensing",POWER(Upgrades!$U$19,K386),1)*IF(Upgrades!$T$20="Microlensing",POWER(Upgrades!$U$20,L386),1)*IF(Upgrades!$T$21="Microlensing",POWER(Upgrades!$U$21,M386),1))*(POWER(Upgrades!$Q$13,E386)*POWER(Upgrades!$Q$14,F386)*POWER(Upgrades!$Q$15,G386)*POWER(Upgrades!$Q$16,H386)*POWER(Upgrades!$Q$17,I386)*POWER(Upgrades!$Q$18,J386)*POWER(Upgrades!$Q$19,K386)*POWER(Upgrades!$Q$20,L386)*POWER(Upgrades!$Q$21,M386))*$G$6*(Parameters!$B$10/60*Parameters!$B$11+Q386))/Upgrades!$C$18,0)),IF(K386&gt;0,0,IFERROR(0.30*P386/Upgrades!$C$19,0)),IF(L386&gt;0,0,IFERROR(0.0001/Upgrades!$C$20,0)),IF(M386&gt;0,0,IFERROR((6.0*(POWER(Upgrades!$P$13,E386)*POWER(Upgrades!$P$14,F386)*POWER(Upgrades!$P$15,G386)*POWER(Upgrades!$P$16,H386)*POWER(Upgrades!$P$17,I386)*POWER(Upgrades!$P$18,J386)*POWER(Upgrades!$P$19,K386)*POWER(Upgrades!$P$20,L386)*POWER(Upgrades!$P$21,M386))*$F$6+0.20*O386*(Parameters!$B$10/60*Parameters!$B$11+Q386))/Upgrades!$C$21,0)),IF(AND(ISNUMBER(AK386),AK386&gt;(C386+T386)),AY386,0),IF(AND(ISNUMBER(AL386),AL386&gt;(C386+T386)),AZ386,0),IF(AND(ISNUMBER(AM386),AM386&gt;(C386+T386)),BA386,0),IF(AND(ISNUMBER(AN386),AN386&gt;(C386+T386)),BB386,0),IF(AND(ISNUMBER(AO386),AO386&gt;(C386+T386)),BC386,0))</f>
        <v/>
      </c>
      <c r="BE386" s="29">
        <f>IF(AT386=1,"transition",IF(MIN(IF(AND(J386=0,ISNUMBER(AP386),AP386&lt;=(C386+T386)),AP386,9E15),IF(AND(K386=0,ISNUMBER(AQ386),AQ386&lt;=(C386+T386)),AQ386,9E15),IF(AND(L386=0,ISNUMBER(AR386),AR386&lt;=(C386+T386)),AR386,9E15),IF(AND(M386=0,ISNUMBER(AS386),AS386&lt;=(C386+T386)),AS386,9E15))&lt;9E15,IF(AND(AND(J386=0,ISNUMBER(AP386),AP386&lt;=(C386+T386)),AP386=MIN(IF(AND(J386=0,ISNUMBER(AP386),AP386&lt;=(C386+T386)),AP386,9E15),IF(AND(K386=0,ISNUMBER(AQ386),AQ386&lt;=(C386+T386)),AQ386,9E15),IF(AND(L386=0,ISNUMBER(AR386),AR386&lt;=(C386+T386)),AR386,9E15),IF(AND(M386=0,ISNUMBER(AS386),AS386&lt;=(C386+T386)),AS386,9E15))),"BiP",IF(AND(AND(K386=0,ISNUMBER(AQ386),AQ386&lt;=(C386+T386)),AQ386=MIN(IF(AND(J386=0,ISNUMBER(AP386),AP386&lt;=(C386+T386)),AP386,9E15),IF(AND(K386=0,ISNUMBER(AQ386),AQ386&lt;=(C386+T386)),AQ386,9E15),IF(AND(L386=0,ISNUMBER(AR386),AR386&lt;=(C386+T386)),AR386,9E15),IF(AND(M386=0,ISNUMBER(AS386),AS386&lt;=(C386+T386)),AS386,9E15))),"PV",IF(AND(AND(L386=0,ISNUMBER(AR386),AR386&lt;=(C386+T386)),AR386=MIN(IF(AND(J386=0,ISNUMBER(AP386),AP386&lt;=(C386+T386)),AP386,9E15),IF(AND(K386=0,ISNUMBER(AQ386),AQ386&lt;=(C386+T386)),AQ386,9E15),IF(AND(L386=0,ISNUMBER(AR386),AR386&lt;=(C386+T386)),AR386,9E15),IF(AND(M386=0,ISNUMBER(AS386),AS386&lt;=(C386+T386)),AS386,9E15))),"OC","MG"))),IF(AX386=TRUE,"",IF(MAX(IF(AND(NOT(AND(AU386=1,AT386&lt;&gt;1)),ISNUMBER(AK386),AK386&lt;=(C386+T386)),AY386,0),IF(AND(NOT(AND(AU386=1,AT386&lt;&gt;1)),ISNUMBER(AL386),AL386&lt;=(C386+T386)),AZ386,0),IF(AND(NOT(AND(AU386=1,AT386&lt;&gt;1)),ISNUMBER(AM386),AM386&lt;=(C386+T386)),BA386,0),IF(AND(NOT(AND(AU386=1,AT386&lt;&gt;1)),ISNUMBER(AN386),AN386&lt;=(C386+T386)),BB386,0),IF(AND(ISNUMBER(AO386),AO386&lt;=(C386+T386)),BC386,0))&lt;=0,"",IF(AND(IF(AND(NOT(AND(AU386=1,AT386&lt;&gt;1)),ISNUMBER(AK386),AK386&lt;=(C386+T386)),AY386,0)&gt;0,IF(AND(NOT(AND(AU386=1,AT386&lt;&gt;1)),ISNUMBER(AK386),AK386&lt;=(C386+T386)),AY386,0)=MAX(IF(AND(NOT(AND(AU386=1,AT386&lt;&gt;1)),ISNUMBER(AK386),AK386&lt;=(C386+T386)),AY386,0),IF(AND(NOT(AND(AU386=1,AT386&lt;&gt;1)),ISNUMBER(AL386),AL386&lt;=(C386+T386)),AZ386,0),IF(AND(NOT(AND(AU386=1,AT386&lt;&gt;1)),ISNUMBER(AM386),AM386&lt;=(C386+T386)),BA386,0),IF(AND(NOT(AND(AU386=1,AT386&lt;&gt;1)),ISNUMBER(AN386),AN386&lt;=(C386+T386)),BB386,0),IF(AND(ISNUMBER(AO386),AO386&lt;=(C386+T386)),BC386,0))),"SK",IF(AND(IF(AND(NOT(AND(AU386=1,AT386&lt;&gt;1)),ISNUMBER(AL386),AL386&lt;=(C386+T386)),AZ386,0)&gt;0,IF(AND(NOT(AND(AU386=1,AT386&lt;&gt;1)),ISNUMBER(AL386),AL386&lt;=(C386+T386)),AZ386,0)=MAX(IF(AND(NOT(AND(AU386=1,AT386&lt;&gt;1)),ISNUMBER(AK386),AK386&lt;=(C386+T386)),AY386,0),IF(AND(NOT(AND(AU386=1,AT386&lt;&gt;1)),ISNUMBER(AL386),AL386&lt;=(C386+T386)),AZ386,0),IF(AND(NOT(AND(AU386=1,AT386&lt;&gt;1)),ISNUMBER(AM386),AM386&lt;=(C386+T386)),BA386,0),IF(AND(NOT(AND(AU386=1,AT386&lt;&gt;1)),ISNUMBER(AN386),AN386&lt;=(C386+T386)),BB386,0),IF(AND(ISNUMBER(AO386),AO386&lt;=(C386+T386)),BC386,0))),"LB",IF(AND(IF(AND(NOT(AND(AU386=1,AT386&lt;&gt;1)),ISNUMBER(AM386),AM386&lt;=(C386+T386)),BA386,0)&gt;0,IF(AND(NOT(AND(AU386=1,AT386&lt;&gt;1)),ISNUMBER(AM386),AM386&lt;=(C386+T386)),BA386,0)=MAX(IF(AND(NOT(AND(AU386=1,AT386&lt;&gt;1)),ISNUMBER(AK386),AK386&lt;=(C386+T386)),AY386,0),IF(AND(NOT(AND(AU386=1,AT386&lt;&gt;1)),ISNUMBER(AL386),AL386&lt;=(C386+T386)),AZ386,0),IF(AND(NOT(AND(AU386=1,AT386&lt;&gt;1)),ISNUMBER(AM386),AM386&lt;=(C386+T386)),BA386,0),IF(AND(NOT(AND(AU386=1,AT386&lt;&gt;1)),ISNUMBER(AN386),AN386&lt;=(C386+T386)),BB386,0),IF(AND(ISNUMBER(AO386),AO386&lt;=(C386+T386)),BC386,0))),"ML",IF(AND(IF(AND(NOT(AND(AU386=1,AT386&lt;&gt;1)),ISNUMBER(AN386),AN386&lt;=(C386+T386)),BB386,0)&gt;0,IF(AND(NOT(AND(AU386=1,AT386&lt;&gt;1)),ISNUMBER(AN386),AN386&lt;=(C386+T386)),BB386,0)=MAX(IF(AND(NOT(AND(AU386=1,AT386&lt;&gt;1)),ISNUMBER(AK386),AK386&lt;=(C386+T386)),AY386,0),IF(AND(NOT(AND(AU386=1,AT386&lt;&gt;1)),ISNUMBER(AL386),AL386&lt;=(C386+T386)),AZ386,0),IF(AND(NOT(AND(AU386=1,AT386&lt;&gt;1)),ISNUMBER(AM386),AM386&lt;=(C386+T386)),BA386,0),IF(AND(NOT(AND(AU386=1,AT386&lt;&gt;1)),ISNUMBER(AN386),AN386&lt;=(C386+T386)),BB386,0),IF(AND(ISNUMBER(AO386),AO386&lt;=(C386+T386)),BC386,0))),"RLO","BD"))))))))</f>
        <v/>
      </c>
    </row>
    <row r="387">
      <c r="A387" s="26" t="n">
        <v>376</v>
      </c>
      <c r="B387" s="27">
        <f>A387*10/60</f>
        <v/>
      </c>
      <c r="C387" s="22">
        <f>X386</f>
        <v/>
      </c>
      <c r="D387" s="27">
        <f>D386+W386</f>
        <v/>
      </c>
      <c r="E387" s="26">
        <f>E386+IF(U386="SK",1,0)</f>
        <v/>
      </c>
      <c r="F387" s="26">
        <f>F386+IF(U386="LB",1,0)</f>
        <v/>
      </c>
      <c r="G387" s="26">
        <f>G386+IF(U386="ML",1,0)</f>
        <v/>
      </c>
      <c r="H387" s="26">
        <f>H386+IF(U386="RLO",1,0)</f>
        <v/>
      </c>
      <c r="I387" s="26">
        <f>I386+IF(U386="BD",1,0)</f>
        <v/>
      </c>
      <c r="J387" s="26">
        <f>MAX(J386,IF(U386="BiP",1,0))</f>
        <v/>
      </c>
      <c r="K387" s="26">
        <f>MAX(K386,IF(U386="PV",1,0))</f>
        <v/>
      </c>
      <c r="L387" s="26">
        <f>MAX(L386,IF(U386="OC",1,0))</f>
        <v/>
      </c>
      <c r="M387" s="26">
        <f>MAX(M386,IF(U386="MG",1,0))</f>
        <v/>
      </c>
      <c r="N387" s="26">
        <f>MAX(N386,IF(U386="transition",1,0))</f>
        <v/>
      </c>
      <c r="O387" s="28">
        <f>(Parameters!$B$9+(IF(E387=0,0,(Upgrades!$J$13+E387*Upgrades!$K$13)*POWER(Upgrades!$L$13,E387)))*(IF(Upgrades!$T$14="Stellar Kinematics",POWER(Upgrades!$U$14,F387),1)*IF(Upgrades!$T$15="Stellar Kinematics",POWER(Upgrades!$U$15,G387),1)*IF(Upgrades!$T$16="Stellar Kinematics",POWER(Upgrades!$U$16,H387),1)*IF(Upgrades!$T$17="Stellar Kinematics",POWER(Upgrades!$U$17,I387),1)*IF(Upgrades!$T$18="Stellar Kinematics",POWER(Upgrades!$U$18,J387),1)*IF(Upgrades!$T$19="Stellar Kinematics",POWER(Upgrades!$U$19,K387),1)*IF(Upgrades!$T$20="Stellar Kinematics",POWER(Upgrades!$U$20,L387),1)*IF(Upgrades!$T$21="Stellar Kinematics",POWER(Upgrades!$U$21,M387),1))+(IF(F387=0,0,(Upgrades!$J$14+F387*Upgrades!$K$14)*POWER(Upgrades!$L$14,F387)))*(IF(Upgrades!$T$13="Local Bubble",POWER(Upgrades!$U$13,E387),1)*IF(Upgrades!$T$15="Local Bubble",POWER(Upgrades!$U$15,G387),1)*IF(Upgrades!$T$16="Local Bubble",POWER(Upgrades!$U$16,H387),1)*IF(Upgrades!$T$17="Local Bubble",POWER(Upgrades!$U$17,I387),1)*IF(Upgrades!$T$18="Local Bubble",POWER(Upgrades!$U$18,J387),1)*IF(Upgrades!$T$19="Local Bubble",POWER(Upgrades!$U$19,K387),1)*IF(Upgrades!$T$20="Local Bubble",POWER(Upgrades!$U$20,L387),1)*IF(Upgrades!$T$21="Local Bubble",POWER(Upgrades!$U$21,M387),1))+(IF(G387=0,0,(Upgrades!$J$15+G387*Upgrades!$K$15)*POWER(Upgrades!$L$15,G387)))*(IF(Upgrades!$T$13="Microlensing",POWER(Upgrades!$U$13,E387),1)*IF(Upgrades!$T$14="Microlensing",POWER(Upgrades!$U$14,F387),1)*IF(Upgrades!$T$16="Microlensing",POWER(Upgrades!$U$16,H387),1)*IF(Upgrades!$T$17="Microlensing",POWER(Upgrades!$U$17,I387),1)*IF(Upgrades!$T$18="Microlensing",POWER(Upgrades!$U$18,J387),1)*IF(Upgrades!$T$19="Microlensing",POWER(Upgrades!$U$19,K387),1)*IF(Upgrades!$T$20="Microlensing",POWER(Upgrades!$U$20,L387),1)*IF(Upgrades!$T$21="Microlensing",POWER(Upgrades!$U$21,M387),1))+(IF(H387=0,0,(Upgrades!$J$16+H387*Upgrades!$K$16)*POWER(Upgrades!$L$16,H387)))*(IF(Upgrades!$T$13="Roche Lobe Overflow",POWER(Upgrades!$U$13,E387),1)*IF(Upgrades!$T$14="Roche Lobe Overflow",POWER(Upgrades!$U$14,F387),1)*IF(Upgrades!$T$15="Roche Lobe Overflow",POWER(Upgrades!$U$15,G387),1)*IF(Upgrades!$T$17="Roche Lobe Overflow",POWER(Upgrades!$U$17,I387),1)*IF(Upgrades!$T$18="Roche Lobe Overflow",POWER(Upgrades!$U$18,J387),1)*IF(Upgrades!$T$19="Roche Lobe Overflow",POWER(Upgrades!$U$19,K387),1)*IF(Upgrades!$T$20="Roche Lobe Overflow",POWER(Upgrades!$U$20,L387),1)*IF(Upgrades!$T$21="Roche Lobe Overflow",POWER(Upgrades!$U$21,M387),1))+(IF(I387=0,0,(Upgrades!$J$17+I387*Upgrades!$K$17)*POWER(Upgrades!$L$17,I387)))*(IF(Upgrades!$T$13="Brown Dwarf",POWER(Upgrades!$U$13,E387),1)*IF(Upgrades!$T$14="Brown Dwarf",POWER(Upgrades!$U$14,F387),1)*IF(Upgrades!$T$15="Brown Dwarf",POWER(Upgrades!$U$15,G387),1)*IF(Upgrades!$T$16="Brown Dwarf",POWER(Upgrades!$U$16,H387),1)*IF(Upgrades!$T$18="Brown Dwarf",POWER(Upgrades!$U$18,J387),1)*IF(Upgrades!$T$19="Brown Dwarf",POWER(Upgrades!$U$19,K387),1)*IF(Upgrades!$T$20="Brown Dwarf",POWER(Upgrades!$U$20,L387),1)*IF(Upgrades!$T$21="Brown Dwarf",POWER(Upgrades!$U$21,M387),1))+(IF(J387=0,0,(Upgrades!$J$18+J387*Upgrades!$K$18)*POWER(Upgrades!$L$18,J387)))*(IF(Upgrades!$T$13="Binary Partner",POWER(Upgrades!$U$13,E387),1)*IF(Upgrades!$T$14="Binary Partner",POWER(Upgrades!$U$14,F387),1)*IF(Upgrades!$T$15="Binary Partner",POWER(Upgrades!$U$15,G387),1)*IF(Upgrades!$T$16="Binary Partner",POWER(Upgrades!$U$16,H387),1)*IF(Upgrades!$T$17="Binary Partner",POWER(Upgrades!$U$17,I387),1)*IF(Upgrades!$T$19="Binary Partner",POWER(Upgrades!$U$19,K387),1)*IF(Upgrades!$T$20="Binary Partner",POWER(Upgrades!$U$20,L387),1)*IF(Upgrades!$T$21="Binary Partner",POWER(Upgrades!$U$21,M387),1))+(IF(K387=0,0,(Upgrades!$J$19+K387*Upgrades!$K$19)*POWER(Upgrades!$L$19,K387)))*(IF(Upgrades!$T$13="Peculiar Velocity",POWER(Upgrades!$U$13,E387),1)*IF(Upgrades!$T$14="Peculiar Velocity",POWER(Upgrades!$U$14,F387),1)*IF(Upgrades!$T$15="Peculiar Velocity",POWER(Upgrades!$U$15,G387),1)*IF(Upgrades!$T$16="Peculiar Velocity",POWER(Upgrades!$U$16,H387),1)*IF(Upgrades!$T$17="Peculiar Velocity",POWER(Upgrades!$U$17,I387),1)*IF(Upgrades!$T$18="Peculiar Velocity",POWER(Upgrades!$U$18,J387),1)*IF(Upgrades!$T$20="Peculiar Velocity",POWER(Upgrades!$U$20,L387),1)*IF(Upgrades!$T$21="Peculiar Velocity",POWER(Upgrades!$U$21,M387),1))+(IF(L387=0,0,(Upgrades!$J$20+L387*Upgrades!$K$20)*POWER(Upgrades!$L$20,L387)))*(IF(Upgrades!$T$13="Open Cluster",POWER(Upgrades!$U$13,E387),1)*IF(Upgrades!$T$14="Open Cluster",POWER(Upgrades!$U$14,F387),1)*IF(Upgrades!$T$15="Open Cluster",POWER(Upgrades!$U$15,G387),1)*IF(Upgrades!$T$16="Open Cluster",POWER(Upgrades!$U$16,H387),1)*IF(Upgrades!$T$17="Open Cluster",POWER(Upgrades!$U$17,I387),1)*IF(Upgrades!$T$18="Open Cluster",POWER(Upgrades!$U$18,J387),1)*IF(Upgrades!$T$19="Open Cluster",POWER(Upgrades!$U$19,K387),1)*IF(Upgrades!$T$21="Open Cluster",POWER(Upgrades!$U$21,M387),1))+(IF(M387=0,0,(Upgrades!$J$21+M387*Upgrades!$K$21)*POWER(Upgrades!$L$21,M387)))*(IF(Upgrades!$T$13="Moving Group",POWER(Upgrades!$U$13,E387),1)*IF(Upgrades!$T$14="Moving Group",POWER(Upgrades!$U$14,F387),1)*IF(Upgrades!$T$15="Moving Group",POWER(Upgrades!$U$15,G387),1)*IF(Upgrades!$T$16="Moving Group",POWER(Upgrades!$U$16,H387),1)*IF(Upgrades!$T$17="Moving Group",POWER(Upgrades!$U$17,I387),1)*IF(Upgrades!$T$18="Moving Group",POWER(Upgrades!$U$18,J387),1)*IF(Upgrades!$T$19="Moving Group",POWER(Upgrades!$U$19,K387),1)*IF(Upgrades!$T$20="Moving Group",POWER(Upgrades!$U$20,L387),1)))*POWER(Upgrades!$Q$13,E387)*POWER(Upgrades!$Q$14,F387)*POWER(Upgrades!$Q$15,G387)*POWER(Upgrades!$Q$16,H387)*POWER(Upgrades!$Q$17,I387)*POWER(Upgrades!$Q$18,J387)*POWER(Upgrades!$Q$19,K387)*POWER(Upgrades!$Q$20,L387)*POWER(Upgrades!$Q$21,M387)*$G$6+$D$6</f>
        <v/>
      </c>
      <c r="P387" s="28">
        <f>((IF(E387=0,0,(Upgrades!$G$13+E387*Upgrades!$H$13)*POWER(Upgrades!$I$13,E387)))*(IF(Upgrades!$T$14="Stellar Kinematics",POWER(Upgrades!$U$14,F387),1)*IF(Upgrades!$T$15="Stellar Kinematics",POWER(Upgrades!$U$15,G387),1)*IF(Upgrades!$T$16="Stellar Kinematics",POWER(Upgrades!$U$16,H387),1)*IF(Upgrades!$T$17="Stellar Kinematics",POWER(Upgrades!$U$17,I387),1)*IF(Upgrades!$T$18="Stellar Kinematics",POWER(Upgrades!$U$18,J387),1)*IF(Upgrades!$T$19="Stellar Kinematics",POWER(Upgrades!$U$19,K387),1)*IF(Upgrades!$T$20="Stellar Kinematics",POWER(Upgrades!$U$20,L387),1)*IF(Upgrades!$T$21="Stellar Kinematics",POWER(Upgrades!$U$21,M387),1))+(IF(F387=0,0,(Upgrades!$G$14+F387*Upgrades!$H$14)*POWER(Upgrades!$I$14,F387)))*(IF(Upgrades!$T$13="Local Bubble",POWER(Upgrades!$U$13,E387),1)*IF(Upgrades!$T$15="Local Bubble",POWER(Upgrades!$U$15,G387),1)*IF(Upgrades!$T$16="Local Bubble",POWER(Upgrades!$U$16,H387),1)*IF(Upgrades!$T$17="Local Bubble",POWER(Upgrades!$U$17,I387),1)*IF(Upgrades!$T$18="Local Bubble",POWER(Upgrades!$U$18,J387),1)*IF(Upgrades!$T$19="Local Bubble",POWER(Upgrades!$U$19,K387),1)*IF(Upgrades!$T$20="Local Bubble",POWER(Upgrades!$U$20,L387),1)*IF(Upgrades!$T$21="Local Bubble",POWER(Upgrades!$U$21,M387),1))+(IF(G387=0,0,(Upgrades!$G$15+G387*Upgrades!$H$15)*POWER(Upgrades!$I$15,G387)))*(IF(Upgrades!$T$13="Microlensing",POWER(Upgrades!$U$13,E387),1)*IF(Upgrades!$T$14="Microlensing",POWER(Upgrades!$U$14,F387),1)*IF(Upgrades!$T$16="Microlensing",POWER(Upgrades!$U$16,H387),1)*IF(Upgrades!$T$17="Microlensing",POWER(Upgrades!$U$17,I387),1)*IF(Upgrades!$T$18="Microlensing",POWER(Upgrades!$U$18,J387),1)*IF(Upgrades!$T$19="Microlensing",POWER(Upgrades!$U$19,K387),1)*IF(Upgrades!$T$20="Microlensing",POWER(Upgrades!$U$20,L387),1)*IF(Upgrades!$T$21="Microlensing",POWER(Upgrades!$U$21,M387),1))+(IF(H387=0,0,(Upgrades!$G$16+H387*Upgrades!$H$16)*POWER(Upgrades!$I$16,H387)))*(IF(Upgrades!$T$13="Roche Lobe Overflow",POWER(Upgrades!$U$13,E387),1)*IF(Upgrades!$T$14="Roche Lobe Overflow",POWER(Upgrades!$U$14,F387),1)*IF(Upgrades!$T$15="Roche Lobe Overflow",POWER(Upgrades!$U$15,G387),1)*IF(Upgrades!$T$17="Roche Lobe Overflow",POWER(Upgrades!$U$17,I387),1)*IF(Upgrades!$T$18="Roche Lobe Overflow",POWER(Upgrades!$U$18,J387),1)*IF(Upgrades!$T$19="Roche Lobe Overflow",POWER(Upgrades!$U$19,K387),1)*IF(Upgrades!$T$20="Roche Lobe Overflow",POWER(Upgrades!$U$20,L387),1)*IF(Upgrades!$T$21="Roche Lobe Overflow",POWER(Upgrades!$U$21,M387),1))+(IF(I387=0,0,(Upgrades!$G$17+I387*Upgrades!$H$17)*POWER(Upgrades!$I$17,I387)))*(IF(Upgrades!$T$13="Brown Dwarf",POWER(Upgrades!$U$13,E387),1)*IF(Upgrades!$T$14="Brown Dwarf",POWER(Upgrades!$U$14,F387),1)*IF(Upgrades!$T$15="Brown Dwarf",POWER(Upgrades!$U$15,G387),1)*IF(Upgrades!$T$16="Brown Dwarf",POWER(Upgrades!$U$16,H387),1)*IF(Upgrades!$T$18="Brown Dwarf",POWER(Upgrades!$U$18,J387),1)*IF(Upgrades!$T$19="Brown Dwarf",POWER(Upgrades!$U$19,K387),1)*IF(Upgrades!$T$20="Brown Dwarf",POWER(Upgrades!$U$20,L387),1)*IF(Upgrades!$T$21="Brown Dwarf",POWER(Upgrades!$U$21,M387),1))+(IF(J387=0,0,(Upgrades!$G$18+J387*Upgrades!$H$18)*POWER(Upgrades!$I$18,J387)))*(IF(Upgrades!$T$13="Binary Partner",POWER(Upgrades!$U$13,E387),1)*IF(Upgrades!$T$14="Binary Partner",POWER(Upgrades!$U$14,F387),1)*IF(Upgrades!$T$15="Binary Partner",POWER(Upgrades!$U$15,G387),1)*IF(Upgrades!$T$16="Binary Partner",POWER(Upgrades!$U$16,H387),1)*IF(Upgrades!$T$17="Binary Partner",POWER(Upgrades!$U$17,I387),1)*IF(Upgrades!$T$19="Binary Partner",POWER(Upgrades!$U$19,K387),1)*IF(Upgrades!$T$20="Binary Partner",POWER(Upgrades!$U$20,L387),1)*IF(Upgrades!$T$21="Binary Partner",POWER(Upgrades!$U$21,M387),1))+(IF(K387=0,0,(Upgrades!$G$19+K387*Upgrades!$H$19)*POWER(Upgrades!$I$19,K387)))*(IF(Upgrades!$T$13="Peculiar Velocity",POWER(Upgrades!$U$13,E387),1)*IF(Upgrades!$T$14="Peculiar Velocity",POWER(Upgrades!$U$14,F387),1)*IF(Upgrades!$T$15="Peculiar Velocity",POWER(Upgrades!$U$15,G387),1)*IF(Upgrades!$T$16="Peculiar Velocity",POWER(Upgrades!$U$16,H387),1)*IF(Upgrades!$T$17="Peculiar Velocity",POWER(Upgrades!$U$17,I387),1)*IF(Upgrades!$T$18="Peculiar Velocity",POWER(Upgrades!$U$18,J387),1)*IF(Upgrades!$T$20="Peculiar Velocity",POWER(Upgrades!$U$20,L387),1)*IF(Upgrades!$T$21="Peculiar Velocity",POWER(Upgrades!$U$21,M387),1))+(IF(L387=0,0,(Upgrades!$G$20+L387*Upgrades!$H$20)*POWER(Upgrades!$I$20,L387)))*(IF(Upgrades!$T$13="Open Cluster",POWER(Upgrades!$U$13,E387),1)*IF(Upgrades!$T$14="Open Cluster",POWER(Upgrades!$U$14,F387),1)*IF(Upgrades!$T$15="Open Cluster",POWER(Upgrades!$U$15,G387),1)*IF(Upgrades!$T$16="Open Cluster",POWER(Upgrades!$U$16,H387),1)*IF(Upgrades!$T$17="Open Cluster",POWER(Upgrades!$U$17,I387),1)*IF(Upgrades!$T$18="Open Cluster",POWER(Upgrades!$U$18,J387),1)*IF(Upgrades!$T$19="Open Cluster",POWER(Upgrades!$U$19,K387),1)*IF(Upgrades!$T$21="Open Cluster",POWER(Upgrades!$U$21,M387),1))+(IF(M387=0,0,(Upgrades!$G$21+M387*Upgrades!$H$21)*POWER(Upgrades!$I$21,M387)))*(IF(Upgrades!$T$13="Moving Group",POWER(Upgrades!$U$13,E387),1)*IF(Upgrades!$T$14="Moving Group",POWER(Upgrades!$U$14,F387),1)*IF(Upgrades!$T$15="Moving Group",POWER(Upgrades!$U$15,G387),1)*IF(Upgrades!$T$16="Moving Group",POWER(Upgrades!$U$16,H387),1)*IF(Upgrades!$T$17="Moving Group",POWER(Upgrades!$U$17,I387),1)*IF(Upgrades!$T$18="Moving Group",POWER(Upgrades!$U$18,J387),1)*IF(Upgrades!$T$19="Moving Group",POWER(Upgrades!$U$19,K387),1)*IF(Upgrades!$T$20="Moving Group",POWER(Upgrades!$U$20,L387),1)))*POWER(Upgrades!$P$13,E387)*POWER(Upgrades!$P$14,F387)*POWER(Upgrades!$P$15,G387)*POWER(Upgrades!$P$16,H387)*POWER(Upgrades!$P$17,I387)*POWER(Upgrades!$P$18,J387)*POWER(Upgrades!$P$19,K387)*POWER(Upgrades!$P$20,L387)*POWER(Upgrades!$P$21,M387)*$F$6+$C$6</f>
        <v/>
      </c>
      <c r="Q387" s="28">
        <f>((IF(E387=0,0,(Upgrades!$M$13+E387*Upgrades!$N$13)*POWER(Upgrades!$O$13,E387)))*(IF(Upgrades!$T$14="Stellar Kinematics",POWER(Upgrades!$U$14,F387),1)*IF(Upgrades!$T$15="Stellar Kinematics",POWER(Upgrades!$U$15,G387),1)*IF(Upgrades!$T$16="Stellar Kinematics",POWER(Upgrades!$U$16,H387),1)*IF(Upgrades!$T$17="Stellar Kinematics",POWER(Upgrades!$U$17,I387),1)*IF(Upgrades!$T$18="Stellar Kinematics",POWER(Upgrades!$U$18,J387),1)*IF(Upgrades!$T$19="Stellar Kinematics",POWER(Upgrades!$U$19,K387),1)*IF(Upgrades!$T$20="Stellar Kinematics",POWER(Upgrades!$U$20,L387),1)*IF(Upgrades!$T$21="Stellar Kinematics",POWER(Upgrades!$U$21,M387),1))+(IF(F387=0,0,(Upgrades!$M$14+F387*Upgrades!$N$14)*POWER(Upgrades!$O$14,F387)))*(IF(Upgrades!$T$13="Local Bubble",POWER(Upgrades!$U$13,E387),1)*IF(Upgrades!$T$15="Local Bubble",POWER(Upgrades!$U$15,G387),1)*IF(Upgrades!$T$16="Local Bubble",POWER(Upgrades!$U$16,H387),1)*IF(Upgrades!$T$17="Local Bubble",POWER(Upgrades!$U$17,I387),1)*IF(Upgrades!$T$18="Local Bubble",POWER(Upgrades!$U$18,J387),1)*IF(Upgrades!$T$19="Local Bubble",POWER(Upgrades!$U$19,K387),1)*IF(Upgrades!$T$20="Local Bubble",POWER(Upgrades!$U$20,L387),1)*IF(Upgrades!$T$21="Local Bubble",POWER(Upgrades!$U$21,M387),1))+(IF(G387=0,0,(Upgrades!$M$15+G387*Upgrades!$N$15)*POWER(Upgrades!$O$15,G387)))*(IF(Upgrades!$T$13="Microlensing",POWER(Upgrades!$U$13,E387),1)*IF(Upgrades!$T$14="Microlensing",POWER(Upgrades!$U$14,F387),1)*IF(Upgrades!$T$16="Microlensing",POWER(Upgrades!$U$16,H387),1)*IF(Upgrades!$T$17="Microlensing",POWER(Upgrades!$U$17,I387),1)*IF(Upgrades!$T$18="Microlensing",POWER(Upgrades!$U$18,J387),1)*IF(Upgrades!$T$19="Microlensing",POWER(Upgrades!$U$19,K387),1)*IF(Upgrades!$T$20="Microlensing",POWER(Upgrades!$U$20,L387),1)*IF(Upgrades!$T$21="Microlensing",POWER(Upgrades!$U$21,M387),1))+(IF(H387=0,0,(Upgrades!$M$16+H387*Upgrades!$N$16)*POWER(Upgrades!$O$16,H387)))*(IF(Upgrades!$T$13="Roche Lobe Overflow",POWER(Upgrades!$U$13,E387),1)*IF(Upgrades!$T$14="Roche Lobe Overflow",POWER(Upgrades!$U$14,F387),1)*IF(Upgrades!$T$15="Roche Lobe Overflow",POWER(Upgrades!$U$15,G387),1)*IF(Upgrades!$T$17="Roche Lobe Overflow",POWER(Upgrades!$U$17,I387),1)*IF(Upgrades!$T$18="Roche Lobe Overflow",POWER(Upgrades!$U$18,J387),1)*IF(Upgrades!$T$19="Roche Lobe Overflow",POWER(Upgrades!$U$19,K387),1)*IF(Upgrades!$T$20="Roche Lobe Overflow",POWER(Upgrades!$U$20,L387),1)*IF(Upgrades!$T$21="Roche Lobe Overflow",POWER(Upgrades!$U$21,M387),1))+(IF(I387=0,0,(Upgrades!$M$17+I387*Upgrades!$N$17)*POWER(Upgrades!$O$17,I387)))*(IF(Upgrades!$T$13="Brown Dwarf",POWER(Upgrades!$U$13,E387),1)*IF(Upgrades!$T$14="Brown Dwarf",POWER(Upgrades!$U$14,F387),1)*IF(Upgrades!$T$15="Brown Dwarf",POWER(Upgrades!$U$15,G387),1)*IF(Upgrades!$T$16="Brown Dwarf",POWER(Upgrades!$U$16,H387),1)*IF(Upgrades!$T$18="Brown Dwarf",POWER(Upgrades!$U$18,J387),1)*IF(Upgrades!$T$19="Brown Dwarf",POWER(Upgrades!$U$19,K387),1)*IF(Upgrades!$T$20="Brown Dwarf",POWER(Upgrades!$U$20,L387),1)*IF(Upgrades!$T$21="Brown Dwarf",POWER(Upgrades!$U$21,M387),1))+(IF(J387=0,0,(Upgrades!$M$18+J387*Upgrades!$N$18)*POWER(Upgrades!$O$18,J387)))*(IF(Upgrades!$T$13="Binary Partner",POWER(Upgrades!$U$13,E387),1)*IF(Upgrades!$T$14="Binary Partner",POWER(Upgrades!$U$14,F387),1)*IF(Upgrades!$T$15="Binary Partner",POWER(Upgrades!$U$15,G387),1)*IF(Upgrades!$T$16="Binary Partner",POWER(Upgrades!$U$16,H387),1)*IF(Upgrades!$T$17="Binary Partner",POWER(Upgrades!$U$17,I387),1)*IF(Upgrades!$T$19="Binary Partner",POWER(Upgrades!$U$19,K387),1)*IF(Upgrades!$T$20="Binary Partner",POWER(Upgrades!$U$20,L387),1)*IF(Upgrades!$T$21="Binary Partner",POWER(Upgrades!$U$21,M387),1))+(IF(K387=0,0,(Upgrades!$M$19+K387*Upgrades!$N$19)*POWER(Upgrades!$O$19,K387)))*(IF(Upgrades!$T$13="Peculiar Velocity",POWER(Upgrades!$U$13,E387),1)*IF(Upgrades!$T$14="Peculiar Velocity",POWER(Upgrades!$U$14,F387),1)*IF(Upgrades!$T$15="Peculiar Velocity",POWER(Upgrades!$U$15,G387),1)*IF(Upgrades!$T$16="Peculiar Velocity",POWER(Upgrades!$U$16,H387),1)*IF(Upgrades!$T$17="Peculiar Velocity",POWER(Upgrades!$U$17,I387),1)*IF(Upgrades!$T$18="Peculiar Velocity",POWER(Upgrades!$U$18,J387),1)*IF(Upgrades!$T$20="Peculiar Velocity",POWER(Upgrades!$U$20,L387),1)*IF(Upgrades!$T$21="Peculiar Velocity",POWER(Upgrades!$U$21,M387),1))+(IF(L387=0,0,(Upgrades!$M$20+L387*Upgrades!$N$20)*POWER(Upgrades!$O$20,L387)))*(IF(Upgrades!$T$13="Open Cluster",POWER(Upgrades!$U$13,E387),1)*IF(Upgrades!$T$14="Open Cluster",POWER(Upgrades!$U$14,F387),1)*IF(Upgrades!$T$15="Open Cluster",POWER(Upgrades!$U$15,G387),1)*IF(Upgrades!$T$16="Open Cluster",POWER(Upgrades!$U$16,H387),1)*IF(Upgrades!$T$17="Open Cluster",POWER(Upgrades!$U$17,I387),1)*IF(Upgrades!$T$18="Open Cluster",POWER(Upgrades!$U$18,J387),1)*IF(Upgrades!$T$19="Open Cluster",POWER(Upgrades!$U$19,K387),1)*IF(Upgrades!$T$21="Open Cluster",POWER(Upgrades!$U$21,M387),1))+(IF(M387=0,0,(Upgrades!$M$21+M387*Upgrades!$N$21)*POWER(Upgrades!$O$21,M387)))*(IF(Upgrades!$T$13="Moving Group",POWER(Upgrades!$U$13,E387),1)*IF(Upgrades!$T$14="Moving Group",POWER(Upgrades!$U$14,F387),1)*IF(Upgrades!$T$15="Moving Group",POWER(Upgrades!$U$15,G387),1)*IF(Upgrades!$T$16="Moving Group",POWER(Upgrades!$U$16,H387),1)*IF(Upgrades!$T$17="Moving Group",POWER(Upgrades!$U$17,I387),1)*IF(Upgrades!$T$18="Moving Group",POWER(Upgrades!$U$18,J387),1)*IF(Upgrades!$T$19="Moving Group",POWER(Upgrades!$U$19,K387),1)*IF(Upgrades!$T$20="Moving Group",POWER(Upgrades!$U$20,L387),1)))*POWER(Upgrades!$R$13,E387)*POWER(Upgrades!$R$14,F387)*POWER(Upgrades!$R$15,G387)*POWER(Upgrades!$R$16,H387)*POWER(Upgrades!$R$17,I387)*POWER(Upgrades!$R$18,J387)*POWER(Upgrades!$R$19,K387)*POWER(Upgrades!$R$20,L387)*POWER(Upgrades!$R$21,M387)*$H$6+$E$6</f>
        <v/>
      </c>
      <c r="R387" s="27">
        <f>IF(N387=1,0,O387*Parameters!$B$10/60*Parameters!$B$11*10)</f>
        <v/>
      </c>
      <c r="S387" s="27">
        <f>IF(N387=1,0,Q387*O387*10)</f>
        <v/>
      </c>
      <c r="T387" s="27">
        <f>IF(N387=1,0,R387+S387+P387*10)</f>
        <v/>
      </c>
      <c r="U387" s="33">
        <f>BE387</f>
        <v/>
      </c>
      <c r="V387" s="22">
        <f>IF(U387="",0,IF(U387="transition",0,IF(U387="SK",AK387,IF(U387="LB",AL387,IF(U387="ML",AM387,IF(U387="RLO",AN387,IF(U387="BD",AO387,IF(U387="BiP",AP387,IF(U387="PV",AQ387,IF(U387="OC",AR387,IF(U387="MG",AS387,0))))))))))</f>
        <v/>
      </c>
      <c r="W387" s="27">
        <f>IF(U387="BiP",Upgrades!$F$18,IF(U387="PV",Upgrades!$F$19,IF(U387="OC",Upgrades!$F$20,IF(U387="MG",Upgrades!$F$21,IF(U387="transition",-Parameters!$B$18*Parameters!$B$19,0)))))</f>
        <v/>
      </c>
      <c r="X387" s="22">
        <f>C387+T387-V387</f>
        <v/>
      </c>
      <c r="Y387" s="30">
        <f>O387*Parameters!$B$10/60*Parameters!$B$11+Q387*O387+P387</f>
        <v/>
      </c>
      <c r="Z387" s="34">
        <f>IF(U387="transition","→ Tier 3 (Galactic Arm)",IF(U387="MG","Moving Group — pocket drifts together",IF(U387="OC","Open Cluster acquired",IF(U387="PV","Peculiar Velocity — passive multiplier active",IF(U387="BiP","Binary Partner — pair bond formed",IF(AND(AU387=1,N387=0,AT387&lt;&gt;1),"Cohesion ready (waiting on completionists)","")))))) </f>
        <v/>
      </c>
      <c r="AA387" s="27">
        <f>(IF(E387=0,0,(Upgrades!$G$13+E387*Upgrades!$H$13)*POWER(Upgrades!$I$13,E387)))*(IF(Upgrades!$T$14="Stellar Kinematics",POWER(Upgrades!$U$14,F387),1)*IF(Upgrades!$T$15="Stellar Kinematics",POWER(Upgrades!$U$15,G387),1)*IF(Upgrades!$T$16="Stellar Kinematics",POWER(Upgrades!$U$16,H387),1)*IF(Upgrades!$T$17="Stellar Kinematics",POWER(Upgrades!$U$17,I387),1)*IF(Upgrades!$T$18="Stellar Kinematics",POWER(Upgrades!$U$18,J387),1)*IF(Upgrades!$T$19="Stellar Kinematics",POWER(Upgrades!$U$19,K387),1)*IF(Upgrades!$T$20="Stellar Kinematics",POWER(Upgrades!$U$20,L387),1)*IF(Upgrades!$T$21="Stellar Kinematics",POWER(Upgrades!$U$21,M387),1))*POWER(Upgrades!$P$13,E387)*POWER(Upgrades!$P$14,F387)*POWER(Upgrades!$P$15,G387)*POWER(Upgrades!$P$16,H387)*POWER(Upgrades!$P$17,I387)*POWER(Upgrades!$P$18,J387)*POWER(Upgrades!$P$19,K387)*POWER(Upgrades!$P$20,L387)*POWER(Upgrades!$P$21,M387)*$F$6*60</f>
        <v/>
      </c>
      <c r="AB387" s="27">
        <f>(IF(F387=0,0,(Upgrades!$G$14+F387*Upgrades!$H$14)*POWER(Upgrades!$I$14,F387)))*(IF(Upgrades!$T$13="Local Bubble",POWER(Upgrades!$U$13,E387),1)*IF(Upgrades!$T$15="Local Bubble",POWER(Upgrades!$U$15,G387),1)*IF(Upgrades!$T$16="Local Bubble",POWER(Upgrades!$U$16,H387),1)*IF(Upgrades!$T$17="Local Bubble",POWER(Upgrades!$U$17,I387),1)*IF(Upgrades!$T$18="Local Bubble",POWER(Upgrades!$U$18,J387),1)*IF(Upgrades!$T$19="Local Bubble",POWER(Upgrades!$U$19,K387),1)*IF(Upgrades!$T$20="Local Bubble",POWER(Upgrades!$U$20,L387),1)*IF(Upgrades!$T$21="Local Bubble",POWER(Upgrades!$U$21,M387),1))*POWER(Upgrades!$P$13,E387)*POWER(Upgrades!$P$14,F387)*POWER(Upgrades!$P$15,G387)*POWER(Upgrades!$P$16,H387)*POWER(Upgrades!$P$17,I387)*POWER(Upgrades!$P$18,J387)*POWER(Upgrades!$P$19,K387)*POWER(Upgrades!$P$20,L387)*POWER(Upgrades!$P$21,M387)*$F$6*60</f>
        <v/>
      </c>
      <c r="AC387" s="27">
        <f>(IF(G387=0,0,(Upgrades!$J$15+G387*Upgrades!$K$15)*POWER(Upgrades!$L$15,G387)))*(IF(Upgrades!$T$13="Microlensing",POWER(Upgrades!$U$13,E387),1)*IF(Upgrades!$T$14="Microlensing",POWER(Upgrades!$U$14,F387),1)*IF(Upgrades!$T$16="Microlensing",POWER(Upgrades!$U$16,H387),1)*IF(Upgrades!$T$17="Microlensing",POWER(Upgrades!$U$17,I387),1)*IF(Upgrades!$T$18="Microlensing",POWER(Upgrades!$U$18,J387),1)*IF(Upgrades!$T$19="Microlensing",POWER(Upgrades!$U$19,K387),1)*IF(Upgrades!$T$20="Microlensing",POWER(Upgrades!$U$20,L387),1)*IF(Upgrades!$T$21="Microlensing",POWER(Upgrades!$U$21,M387),1))*POWER(Upgrades!$Q$13,E387)*POWER(Upgrades!$Q$14,F387)*POWER(Upgrades!$Q$15,G387)*POWER(Upgrades!$Q$16,H387)*POWER(Upgrades!$Q$17,I387)*POWER(Upgrades!$Q$18,J387)*POWER(Upgrades!$Q$19,K387)*POWER(Upgrades!$Q$20,L387)*POWER(Upgrades!$Q$21,M387)*$G$6*(Parameters!$B$10*Parameters!$B$11+Q387*60)</f>
        <v/>
      </c>
      <c r="AD387" s="27">
        <f>(IF(H387=0,0,(Upgrades!$M$16+H387*Upgrades!$N$16)*POWER(Upgrades!$O$16,H387)))*(IF(Upgrades!$T$13="Roche Lobe Overflow",POWER(Upgrades!$U$13,E387),1)*IF(Upgrades!$T$14="Roche Lobe Overflow",POWER(Upgrades!$U$14,F387),1)*IF(Upgrades!$T$15="Roche Lobe Overflow",POWER(Upgrades!$U$15,G387),1)*IF(Upgrades!$T$17="Roche Lobe Overflow",POWER(Upgrades!$U$17,I387),1)*IF(Upgrades!$T$18="Roche Lobe Overflow",POWER(Upgrades!$U$18,J387),1)*IF(Upgrades!$T$19="Roche Lobe Overflow",POWER(Upgrades!$U$19,K387),1)*IF(Upgrades!$T$20="Roche Lobe Overflow",POWER(Upgrades!$U$20,L387),1)*IF(Upgrades!$T$21="Roche Lobe Overflow",POWER(Upgrades!$U$21,M387),1))*POWER(Upgrades!$R$13,E387)*POWER(Upgrades!$R$14,F387)*POWER(Upgrades!$R$15,G387)*POWER(Upgrades!$R$16,H387)*POWER(Upgrades!$R$17,I387)*POWER(Upgrades!$R$18,J387)*POWER(Upgrades!$R$19,K387)*POWER(Upgrades!$R$20,L387)*POWER(Upgrades!$R$21,M387)*$H$6*O387*60</f>
        <v/>
      </c>
      <c r="AE387" s="27">
        <f>(IF(I387=0,0,(Upgrades!$G$17+I387*Upgrades!$H$17)*POWER(Upgrades!$I$17,I387)))*(IF(Upgrades!$T$13="Brown Dwarf",POWER(Upgrades!$U$13,E387),1)*IF(Upgrades!$T$14="Brown Dwarf",POWER(Upgrades!$U$14,F387),1)*IF(Upgrades!$T$15="Brown Dwarf",POWER(Upgrades!$U$15,G387),1)*IF(Upgrades!$T$16="Brown Dwarf",POWER(Upgrades!$U$16,H387),1)*IF(Upgrades!$T$18="Brown Dwarf",POWER(Upgrades!$U$18,J387),1)*IF(Upgrades!$T$19="Brown Dwarf",POWER(Upgrades!$U$19,K387),1)*IF(Upgrades!$T$20="Brown Dwarf",POWER(Upgrades!$U$20,L387),1)*IF(Upgrades!$T$21="Brown Dwarf",POWER(Upgrades!$U$21,M387),1))*POWER(Upgrades!$P$13,E387)*POWER(Upgrades!$P$14,F387)*POWER(Upgrades!$P$15,G387)*POWER(Upgrades!$P$16,H387)*POWER(Upgrades!$P$17,I387)*POWER(Upgrades!$P$18,J387)*POWER(Upgrades!$P$19,K387)*POWER(Upgrades!$P$20,L387)*POWER(Upgrades!$P$21,M387)*$F$6*60</f>
        <v/>
      </c>
      <c r="AF387" s="27" t="n">
        <v>0</v>
      </c>
      <c r="AG387" s="27" t="n">
        <v>0</v>
      </c>
      <c r="AH387" s="27" t="n">
        <v>0</v>
      </c>
      <c r="AI387" s="27">
        <f>(IF(M387=0,0,(Upgrades!$G$21+M387*Upgrades!$H$21)*POWER(Upgrades!$I$21,M387)))*(IF(Upgrades!$T$13="Moving Group",POWER(Upgrades!$U$13,E387),1)*IF(Upgrades!$T$14="Moving Group",POWER(Upgrades!$U$14,F387),1)*IF(Upgrades!$T$15="Moving Group",POWER(Upgrades!$U$15,G387),1)*IF(Upgrades!$T$16="Moving Group",POWER(Upgrades!$U$16,H387),1)*IF(Upgrades!$T$17="Moving Group",POWER(Upgrades!$U$17,I387),1)*IF(Upgrades!$T$18="Moving Group",POWER(Upgrades!$U$18,J387),1)*IF(Upgrades!$T$19="Moving Group",POWER(Upgrades!$U$19,K387),1)*IF(Upgrades!$T$20="Moving Group",POWER(Upgrades!$U$20,L387),1))*POWER(Upgrades!$P$13,E387)*POWER(Upgrades!$P$14,F387)*POWER(Upgrades!$P$15,G387)*POWER(Upgrades!$P$16,H387)*POWER(Upgrades!$P$17,I387)*POWER(Upgrades!$P$18,J387)*POWER(Upgrades!$P$19,K387)*POWER(Upgrades!$P$20,L387)*POWER(Upgrades!$P$21,M387)*$F$6*60</f>
        <v/>
      </c>
      <c r="AJ387" s="27">
        <f>$C$6*60</f>
        <v/>
      </c>
      <c r="AK387" s="22">
        <f>IF(E387&gt;=Upgrades!$E$13,"",Upgrades!$C$13*POWER(Upgrades!$D$13,E387))</f>
        <v/>
      </c>
      <c r="AL387" s="22">
        <f>IF(F387&gt;=Upgrades!$E$14,"",Upgrades!$C$14*POWER(Upgrades!$D$14,F387))</f>
        <v/>
      </c>
      <c r="AM387" s="22">
        <f>IF(G387&gt;=Upgrades!$E$15,"",Upgrades!$C$15*POWER(Upgrades!$D$15,G387))</f>
        <v/>
      </c>
      <c r="AN387" s="22">
        <f>IF(H387&gt;=Upgrades!$E$16,"",Upgrades!$C$16*POWER(Upgrades!$D$16,H387))</f>
        <v/>
      </c>
      <c r="AO387" s="22">
        <f>IF(I387&gt;=Upgrades!$E$17,"",Upgrades!$C$17*POWER(Upgrades!$D$17,I387))</f>
        <v/>
      </c>
      <c r="AP387" s="22">
        <f>IF(J387&gt;=Upgrades!$E$18,"",Upgrades!$C$18*POWER(Upgrades!$D$18,J387))</f>
        <v/>
      </c>
      <c r="AQ387" s="22">
        <f>IF(K387&gt;=Upgrades!$E$19,"",Upgrades!$C$19*POWER(Upgrades!$D$19,K387))</f>
        <v/>
      </c>
      <c r="AR387" s="22">
        <f>IF(L387&gt;=Upgrades!$E$20,"",Upgrades!$C$20*POWER(Upgrades!$D$20,L387))</f>
        <v/>
      </c>
      <c r="AS387" s="22">
        <f>IF(M387&gt;=Upgrades!$E$21,"",Upgrades!$C$21*POWER(Upgrades!$D$21,M387))</f>
        <v/>
      </c>
      <c r="AT387" s="26">
        <f>IF(AND(D387&gt;=Parameters!$B$18*Parameters!$B$19,(I387&gt;=Upgrades!$E$17)*(M387&gt;=Upgrades!$E$21)=1,N387=0),1,"")</f>
        <v/>
      </c>
      <c r="AU387" s="26">
        <f>IF(AND(D387&gt;=Parameters!$B$18*Parameters!$B$19,N387=0),1,"")</f>
        <v/>
      </c>
      <c r="AV387" s="22">
        <f>MIN(IF(ISNUMBER(AP387),AP387,9E15),IF(ISNUMBER(AQ387),AQ387,9E15),IF(ISNUMBER(AR387),AR387,9E15),IF(ISNUMBER(AS387),AS387,9E15))</f>
        <v/>
      </c>
      <c r="AW387" s="22">
        <f>MIN(IF(ISNUMBER(AK387),AK387,9E15),IF(ISNUMBER(AL387),AL387,9E15),IF(ISNUMBER(AM387),AM387,9E15),IF(ISNUMBER(AN387),AN387,9E15),IF(ISNUMBER(AO387),AO387,9E15))</f>
        <v/>
      </c>
      <c r="AX387" s="29">
        <f>IF(BD387&gt;Parameters!$B$21*(MAX(IF(AND(NOT(AND(AU387=1,AT387&lt;&gt;1)),ISNUMBER(AK387),AK387&lt;=(C387+T387)),AY387,0),IF(AND(NOT(AND(AU387=1,AT387&lt;&gt;1)),ISNUMBER(AL387),AL387&lt;=(C387+T387)),AZ387,0),IF(AND(NOT(AND(AU387=1,AT387&lt;&gt;1)),ISNUMBER(AM387),AM387&lt;=(C387+T387)),BA387,0),IF(AND(NOT(AND(AU387=1,AT387&lt;&gt;1)),ISNUMBER(AN387),AN387&lt;=(C387+T387)),BB387,0),IF(AND(ISNUMBER(AO387),AO387&lt;=(C387+T387)),BC387,0))),TRUE,FALSE)</f>
        <v/>
      </c>
      <c r="AY387" s="32">
        <f>IFERROR(Upgrades!$H$13*(POWER(Upgrades!$P$13,E387)*POWER(Upgrades!$P$14,F387)*POWER(Upgrades!$P$15,G387)*POWER(Upgrades!$P$16,H387)*POWER(Upgrades!$P$17,I387)*POWER(Upgrades!$P$18,J387)*POWER(Upgrades!$P$19,K387)*POWER(Upgrades!$P$20,L387)*POWER(Upgrades!$P$21,M387))*(IF(Upgrades!$T$14="Stellar Kinematics",POWER(Upgrades!$U$14,F387),1)*IF(Upgrades!$T$15="Stellar Kinematics",POWER(Upgrades!$U$15,G387),1)*IF(Upgrades!$T$16="Stellar Kinematics",POWER(Upgrades!$U$16,H387),1)*IF(Upgrades!$T$17="Stellar Kinematics",POWER(Upgrades!$U$17,I387),1)*IF(Upgrades!$T$18="Stellar Kinematics",POWER(Upgrades!$U$18,J387),1)*IF(Upgrades!$T$19="Stellar Kinematics",POWER(Upgrades!$U$19,K387),1)*IF(Upgrades!$T$20="Stellar Kinematics",POWER(Upgrades!$U$20,L387),1)*IF(Upgrades!$T$21="Stellar Kinematics",POWER(Upgrades!$U$21,M387),1))*$F$6/AK387,0)</f>
        <v/>
      </c>
      <c r="AZ387" s="32">
        <f>IFERROR(Upgrades!$H$14*(POWER(Upgrades!$P$13,E387)*POWER(Upgrades!$P$14,F387)*POWER(Upgrades!$P$15,G387)*POWER(Upgrades!$P$16,H387)*POWER(Upgrades!$P$17,I387)*POWER(Upgrades!$P$18,J387)*POWER(Upgrades!$P$19,K387)*POWER(Upgrades!$P$20,L387)*POWER(Upgrades!$P$21,M387))*(IF(Upgrades!$T$13="Local Bubble",POWER(Upgrades!$U$13,E387),1)*IF(Upgrades!$T$15="Local Bubble",POWER(Upgrades!$U$15,G387),1)*IF(Upgrades!$T$16="Local Bubble",POWER(Upgrades!$U$16,H387),1)*IF(Upgrades!$T$17="Local Bubble",POWER(Upgrades!$U$17,I387),1)*IF(Upgrades!$T$18="Local Bubble",POWER(Upgrades!$U$18,J387),1)*IF(Upgrades!$T$19="Local Bubble",POWER(Upgrades!$U$19,K387),1)*IF(Upgrades!$T$20="Local Bubble",POWER(Upgrades!$U$20,L387),1)*IF(Upgrades!$T$21="Local Bubble",POWER(Upgrades!$U$21,M387),1))*$F$6/AL387,0)</f>
        <v/>
      </c>
      <c r="BA387" s="32">
        <f>IFERROR(Upgrades!$K$15*(POWER(Upgrades!$Q$13,E387)*POWER(Upgrades!$Q$14,F387)*POWER(Upgrades!$Q$15,G387)*POWER(Upgrades!$Q$16,H387)*POWER(Upgrades!$Q$17,I387)*POWER(Upgrades!$Q$18,J387)*POWER(Upgrades!$Q$19,K387)*POWER(Upgrades!$Q$20,L387)*POWER(Upgrades!$Q$21,M387))*(IF(Upgrades!$T$13="Microlensing",POWER(Upgrades!$U$13,E387),1)*IF(Upgrades!$T$14="Microlensing",POWER(Upgrades!$U$14,F387),1)*IF(Upgrades!$T$16="Microlensing",POWER(Upgrades!$U$16,H387),1)*IF(Upgrades!$T$17="Microlensing",POWER(Upgrades!$U$17,I387),1)*IF(Upgrades!$T$18="Microlensing",POWER(Upgrades!$U$18,J387),1)*IF(Upgrades!$T$19="Microlensing",POWER(Upgrades!$U$19,K387),1)*IF(Upgrades!$T$20="Microlensing",POWER(Upgrades!$U$20,L387),1)*IF(Upgrades!$T$21="Microlensing",POWER(Upgrades!$U$21,M387),1))*$G$6*(Parameters!$B$10/60*Parameters!$B$11+Q387)/AM387,0)</f>
        <v/>
      </c>
      <c r="BB387" s="32">
        <f>IFERROR((Upgrades!$N$16*(POWER(Upgrades!$R$13,E387)*POWER(Upgrades!$R$14,F387)*POWER(Upgrades!$R$15,G387)*POWER(Upgrades!$R$16,H387)*POWER(Upgrades!$R$17,I387)*POWER(Upgrades!$R$18,J387)*POWER(Upgrades!$R$19,K387)*POWER(Upgrades!$R$20,L387)*POWER(Upgrades!$R$21,M387))*(IF(Upgrades!$T$13="Roche Lobe Overflow",POWER(Upgrades!$U$13,E387),1)*IF(Upgrades!$T$14="Roche Lobe Overflow",POWER(Upgrades!$U$14,F387),1)*IF(Upgrades!$T$15="Roche Lobe Overflow",POWER(Upgrades!$U$15,G387),1)*IF(Upgrades!$T$17="Roche Lobe Overflow",POWER(Upgrades!$U$17,I387),1)*IF(Upgrades!$T$18="Roche Lobe Overflow",POWER(Upgrades!$U$18,J387),1)*IF(Upgrades!$T$19="Roche Lobe Overflow",POWER(Upgrades!$U$19,K387),1)*IF(Upgrades!$T$20="Roche Lobe Overflow",POWER(Upgrades!$U$20,L387),1)*IF(Upgrades!$T$21="Roche Lobe Overflow",POWER(Upgrades!$U$21,M387),1))*$H$6*O387+((IF(F387=0,0,(Upgrades!$G$14+F387*Upgrades!$H$14)*POWER(Upgrades!$I$14,F387)))*(IF(Upgrades!$T$13="Local Bubble",POWER(Upgrades!$U$13,E387),1)*IF(Upgrades!$T$15="Local Bubble",POWER(Upgrades!$U$15,G387),1)*IF(Upgrades!$T$16="Local Bubble",POWER(Upgrades!$U$16,H387),1)*IF(Upgrades!$T$17="Local Bubble",POWER(Upgrades!$U$17,I387),1)*IF(Upgrades!$T$18="Local Bubble",POWER(Upgrades!$U$18,J387),1)*IF(Upgrades!$T$19="Local Bubble",POWER(Upgrades!$U$19,K387),1)*IF(Upgrades!$T$20="Local Bubble",POWER(Upgrades!$U$20,L387),1)*IF(Upgrades!$T$21="Local Bubble",POWER(Upgrades!$U$21,M387),1))*POWER(Upgrades!$P$13,E387)*POWER(Upgrades!$P$14,F387)*POWER(Upgrades!$P$15,G387)*POWER(Upgrades!$P$16,H387)*POWER(Upgrades!$P$17,I387)*POWER(Upgrades!$P$18,J387)*POWER(Upgrades!$P$19,K387)*POWER(Upgrades!$P$20,L387)*POWER(Upgrades!$P$21,M387)*$F$6)*0.05)/AN387,0)</f>
        <v/>
      </c>
      <c r="BC387" s="32">
        <f>IFERROR((Upgrades!$H$17*(POWER(Upgrades!$P$13,E387)*POWER(Upgrades!$P$14,F387)*POWER(Upgrades!$P$15,G387)*POWER(Upgrades!$P$16,H387)*POWER(Upgrades!$P$17,I387)*POWER(Upgrades!$P$18,J387)*POWER(Upgrades!$P$19,K387)*POWER(Upgrades!$P$20,L387)*POWER(Upgrades!$P$21,M387))*(IF(Upgrades!$T$13="Brown Dwarf",POWER(Upgrades!$U$13,E387),1)*IF(Upgrades!$T$14="Brown Dwarf",POWER(Upgrades!$U$14,F387),1)*IF(Upgrades!$T$15="Brown Dwarf",POWER(Upgrades!$U$15,G387),1)*IF(Upgrades!$T$16="Brown Dwarf",POWER(Upgrades!$U$16,H387),1)*IF(Upgrades!$T$18="Brown Dwarf",POWER(Upgrades!$U$18,J387),1)*IF(Upgrades!$T$19="Brown Dwarf",POWER(Upgrades!$U$19,K387),1)*IF(Upgrades!$T$20="Brown Dwarf",POWER(Upgrades!$U$20,L387),1)*IF(Upgrades!$T$21="Brown Dwarf",POWER(Upgrades!$U$21,M387),1))*$F$6+(((IF(H387=0,0,(Upgrades!$M$16+H387*Upgrades!$N$16)*POWER(Upgrades!$O$16,H387)))*(IF(Upgrades!$T$13="Roche Lobe Overflow",POWER(Upgrades!$U$13,E387),1)*IF(Upgrades!$T$14="Roche Lobe Overflow",POWER(Upgrades!$U$14,F387),1)*IF(Upgrades!$T$15="Roche Lobe Overflow",POWER(Upgrades!$U$15,G387),1)*IF(Upgrades!$T$17="Roche Lobe Overflow",POWER(Upgrades!$U$17,I387),1)*IF(Upgrades!$T$18="Roche Lobe Overflow",POWER(Upgrades!$U$18,J387),1)*IF(Upgrades!$T$19="Roche Lobe Overflow",POWER(Upgrades!$U$19,K387),1)*IF(Upgrades!$T$20="Roche Lobe Overflow",POWER(Upgrades!$U$20,L387),1)*IF(Upgrades!$T$21="Roche Lobe Overflow",POWER(Upgrades!$U$21,M387),1))*POWER(Upgrades!$R$13,E387)*POWER(Upgrades!$R$14,F387)*POWER(Upgrades!$R$15,G387)*POWER(Upgrades!$R$16,H387)*POWER(Upgrades!$R$17,I387)*POWER(Upgrades!$R$18,J387)*POWER(Upgrades!$R$19,K387)*POWER(Upgrades!$R$20,L387)*POWER(Upgrades!$R$21,M387)*$H$6)*O387)*0.10)/AO387,0)</f>
        <v/>
      </c>
      <c r="BD387" s="32">
        <f>MAX(IF(J387&gt;0,0,IFERROR(0.5*((IF(G387=0,0,(Upgrades!$J$15+G387*Upgrades!$K$15)*POWER(Upgrades!$L$15,G387)))*(IF(Upgrades!$T$13="Microlensing",POWER(Upgrades!$U$13,E387),1)*IF(Upgrades!$T$14="Microlensing",POWER(Upgrades!$U$14,F387),1)*IF(Upgrades!$T$16="Microlensing",POWER(Upgrades!$U$16,H387),1)*IF(Upgrades!$T$17="Microlensing",POWER(Upgrades!$U$17,I387),1)*IF(Upgrades!$T$18="Microlensing",POWER(Upgrades!$U$18,J387),1)*IF(Upgrades!$T$19="Microlensing",POWER(Upgrades!$U$19,K387),1)*IF(Upgrades!$T$20="Microlensing",POWER(Upgrades!$U$20,L387),1)*IF(Upgrades!$T$21="Microlensing",POWER(Upgrades!$U$21,M387),1))*(POWER(Upgrades!$Q$13,E387)*POWER(Upgrades!$Q$14,F387)*POWER(Upgrades!$Q$15,G387)*POWER(Upgrades!$Q$16,H387)*POWER(Upgrades!$Q$17,I387)*POWER(Upgrades!$Q$18,J387)*POWER(Upgrades!$Q$19,K387)*POWER(Upgrades!$Q$20,L387)*POWER(Upgrades!$Q$21,M387))*$G$6*(Parameters!$B$10/60*Parameters!$B$11+Q387))/Upgrades!$C$18,0)),IF(K387&gt;0,0,IFERROR(0.30*P387/Upgrades!$C$19,0)),IF(L387&gt;0,0,IFERROR(0.0001/Upgrades!$C$20,0)),IF(M387&gt;0,0,IFERROR((6.0*(POWER(Upgrades!$P$13,E387)*POWER(Upgrades!$P$14,F387)*POWER(Upgrades!$P$15,G387)*POWER(Upgrades!$P$16,H387)*POWER(Upgrades!$P$17,I387)*POWER(Upgrades!$P$18,J387)*POWER(Upgrades!$P$19,K387)*POWER(Upgrades!$P$20,L387)*POWER(Upgrades!$P$21,M387))*$F$6+0.20*O387*(Parameters!$B$10/60*Parameters!$B$11+Q387))/Upgrades!$C$21,0)),IF(AND(ISNUMBER(AK387),AK387&gt;(C387+T387)),AY387,0),IF(AND(ISNUMBER(AL387),AL387&gt;(C387+T387)),AZ387,0),IF(AND(ISNUMBER(AM387),AM387&gt;(C387+T387)),BA387,0),IF(AND(ISNUMBER(AN387),AN387&gt;(C387+T387)),BB387,0),IF(AND(ISNUMBER(AO387),AO387&gt;(C387+T387)),BC387,0))</f>
        <v/>
      </c>
      <c r="BE387" s="29">
        <f>IF(AT387=1,"transition",IF(MIN(IF(AND(J387=0,ISNUMBER(AP387),AP387&lt;=(C387+T387)),AP387,9E15),IF(AND(K387=0,ISNUMBER(AQ387),AQ387&lt;=(C387+T387)),AQ387,9E15),IF(AND(L387=0,ISNUMBER(AR387),AR387&lt;=(C387+T387)),AR387,9E15),IF(AND(M387=0,ISNUMBER(AS387),AS387&lt;=(C387+T387)),AS387,9E15))&lt;9E15,IF(AND(AND(J387=0,ISNUMBER(AP387),AP387&lt;=(C387+T387)),AP387=MIN(IF(AND(J387=0,ISNUMBER(AP387),AP387&lt;=(C387+T387)),AP387,9E15),IF(AND(K387=0,ISNUMBER(AQ387),AQ387&lt;=(C387+T387)),AQ387,9E15),IF(AND(L387=0,ISNUMBER(AR387),AR387&lt;=(C387+T387)),AR387,9E15),IF(AND(M387=0,ISNUMBER(AS387),AS387&lt;=(C387+T387)),AS387,9E15))),"BiP",IF(AND(AND(K387=0,ISNUMBER(AQ387),AQ387&lt;=(C387+T387)),AQ387=MIN(IF(AND(J387=0,ISNUMBER(AP387),AP387&lt;=(C387+T387)),AP387,9E15),IF(AND(K387=0,ISNUMBER(AQ387),AQ387&lt;=(C387+T387)),AQ387,9E15),IF(AND(L387=0,ISNUMBER(AR387),AR387&lt;=(C387+T387)),AR387,9E15),IF(AND(M387=0,ISNUMBER(AS387),AS387&lt;=(C387+T387)),AS387,9E15))),"PV",IF(AND(AND(L387=0,ISNUMBER(AR387),AR387&lt;=(C387+T387)),AR387=MIN(IF(AND(J387=0,ISNUMBER(AP387),AP387&lt;=(C387+T387)),AP387,9E15),IF(AND(K387=0,ISNUMBER(AQ387),AQ387&lt;=(C387+T387)),AQ387,9E15),IF(AND(L387=0,ISNUMBER(AR387),AR387&lt;=(C387+T387)),AR387,9E15),IF(AND(M387=0,ISNUMBER(AS387),AS387&lt;=(C387+T387)),AS387,9E15))),"OC","MG"))),IF(AX387=TRUE,"",IF(MAX(IF(AND(NOT(AND(AU387=1,AT387&lt;&gt;1)),ISNUMBER(AK387),AK387&lt;=(C387+T387)),AY387,0),IF(AND(NOT(AND(AU387=1,AT387&lt;&gt;1)),ISNUMBER(AL387),AL387&lt;=(C387+T387)),AZ387,0),IF(AND(NOT(AND(AU387=1,AT387&lt;&gt;1)),ISNUMBER(AM387),AM387&lt;=(C387+T387)),BA387,0),IF(AND(NOT(AND(AU387=1,AT387&lt;&gt;1)),ISNUMBER(AN387),AN387&lt;=(C387+T387)),BB387,0),IF(AND(ISNUMBER(AO387),AO387&lt;=(C387+T387)),BC387,0))&lt;=0,"",IF(AND(IF(AND(NOT(AND(AU387=1,AT387&lt;&gt;1)),ISNUMBER(AK387),AK387&lt;=(C387+T387)),AY387,0)&gt;0,IF(AND(NOT(AND(AU387=1,AT387&lt;&gt;1)),ISNUMBER(AK387),AK387&lt;=(C387+T387)),AY387,0)=MAX(IF(AND(NOT(AND(AU387=1,AT387&lt;&gt;1)),ISNUMBER(AK387),AK387&lt;=(C387+T387)),AY387,0),IF(AND(NOT(AND(AU387=1,AT387&lt;&gt;1)),ISNUMBER(AL387),AL387&lt;=(C387+T387)),AZ387,0),IF(AND(NOT(AND(AU387=1,AT387&lt;&gt;1)),ISNUMBER(AM387),AM387&lt;=(C387+T387)),BA387,0),IF(AND(NOT(AND(AU387=1,AT387&lt;&gt;1)),ISNUMBER(AN387),AN387&lt;=(C387+T387)),BB387,0),IF(AND(ISNUMBER(AO387),AO387&lt;=(C387+T387)),BC387,0))),"SK",IF(AND(IF(AND(NOT(AND(AU387=1,AT387&lt;&gt;1)),ISNUMBER(AL387),AL387&lt;=(C387+T387)),AZ387,0)&gt;0,IF(AND(NOT(AND(AU387=1,AT387&lt;&gt;1)),ISNUMBER(AL387),AL387&lt;=(C387+T387)),AZ387,0)=MAX(IF(AND(NOT(AND(AU387=1,AT387&lt;&gt;1)),ISNUMBER(AK387),AK387&lt;=(C387+T387)),AY387,0),IF(AND(NOT(AND(AU387=1,AT387&lt;&gt;1)),ISNUMBER(AL387),AL387&lt;=(C387+T387)),AZ387,0),IF(AND(NOT(AND(AU387=1,AT387&lt;&gt;1)),ISNUMBER(AM387),AM387&lt;=(C387+T387)),BA387,0),IF(AND(NOT(AND(AU387=1,AT387&lt;&gt;1)),ISNUMBER(AN387),AN387&lt;=(C387+T387)),BB387,0),IF(AND(ISNUMBER(AO387),AO387&lt;=(C387+T387)),BC387,0))),"LB",IF(AND(IF(AND(NOT(AND(AU387=1,AT387&lt;&gt;1)),ISNUMBER(AM387),AM387&lt;=(C387+T387)),BA387,0)&gt;0,IF(AND(NOT(AND(AU387=1,AT387&lt;&gt;1)),ISNUMBER(AM387),AM387&lt;=(C387+T387)),BA387,0)=MAX(IF(AND(NOT(AND(AU387=1,AT387&lt;&gt;1)),ISNUMBER(AK387),AK387&lt;=(C387+T387)),AY387,0),IF(AND(NOT(AND(AU387=1,AT387&lt;&gt;1)),ISNUMBER(AL387),AL387&lt;=(C387+T387)),AZ387,0),IF(AND(NOT(AND(AU387=1,AT387&lt;&gt;1)),ISNUMBER(AM387),AM387&lt;=(C387+T387)),BA387,0),IF(AND(NOT(AND(AU387=1,AT387&lt;&gt;1)),ISNUMBER(AN387),AN387&lt;=(C387+T387)),BB387,0),IF(AND(ISNUMBER(AO387),AO387&lt;=(C387+T387)),BC387,0))),"ML",IF(AND(IF(AND(NOT(AND(AU387=1,AT387&lt;&gt;1)),ISNUMBER(AN387),AN387&lt;=(C387+T387)),BB387,0)&gt;0,IF(AND(NOT(AND(AU387=1,AT387&lt;&gt;1)),ISNUMBER(AN387),AN387&lt;=(C387+T387)),BB387,0)=MAX(IF(AND(NOT(AND(AU387=1,AT387&lt;&gt;1)),ISNUMBER(AK387),AK387&lt;=(C387+T387)),AY387,0),IF(AND(NOT(AND(AU387=1,AT387&lt;&gt;1)),ISNUMBER(AL387),AL387&lt;=(C387+T387)),AZ387,0),IF(AND(NOT(AND(AU387=1,AT387&lt;&gt;1)),ISNUMBER(AM387),AM387&lt;=(C387+T387)),BA387,0),IF(AND(NOT(AND(AU387=1,AT387&lt;&gt;1)),ISNUMBER(AN387),AN387&lt;=(C387+T387)),BB387,0),IF(AND(ISNUMBER(AO387),AO387&lt;=(C387+T387)),BC387,0))),"RLO","BD"))))))))</f>
        <v/>
      </c>
    </row>
    <row r="388">
      <c r="A388" s="26" t="n">
        <v>377</v>
      </c>
      <c r="B388" s="27">
        <f>A388*10/60</f>
        <v/>
      </c>
      <c r="C388" s="22">
        <f>X387</f>
        <v/>
      </c>
      <c r="D388" s="27">
        <f>D387+W387</f>
        <v/>
      </c>
      <c r="E388" s="26">
        <f>E387+IF(U387="SK",1,0)</f>
        <v/>
      </c>
      <c r="F388" s="26">
        <f>F387+IF(U387="LB",1,0)</f>
        <v/>
      </c>
      <c r="G388" s="26">
        <f>G387+IF(U387="ML",1,0)</f>
        <v/>
      </c>
      <c r="H388" s="26">
        <f>H387+IF(U387="RLO",1,0)</f>
        <v/>
      </c>
      <c r="I388" s="26">
        <f>I387+IF(U387="BD",1,0)</f>
        <v/>
      </c>
      <c r="J388" s="26">
        <f>MAX(J387,IF(U387="BiP",1,0))</f>
        <v/>
      </c>
      <c r="K388" s="26">
        <f>MAX(K387,IF(U387="PV",1,0))</f>
        <v/>
      </c>
      <c r="L388" s="26">
        <f>MAX(L387,IF(U387="OC",1,0))</f>
        <v/>
      </c>
      <c r="M388" s="26">
        <f>MAX(M387,IF(U387="MG",1,0))</f>
        <v/>
      </c>
      <c r="N388" s="26">
        <f>MAX(N387,IF(U387="transition",1,0))</f>
        <v/>
      </c>
      <c r="O388" s="28">
        <f>(Parameters!$B$9+(IF(E388=0,0,(Upgrades!$J$13+E388*Upgrades!$K$13)*POWER(Upgrades!$L$13,E388)))*(IF(Upgrades!$T$14="Stellar Kinematics",POWER(Upgrades!$U$14,F388),1)*IF(Upgrades!$T$15="Stellar Kinematics",POWER(Upgrades!$U$15,G388),1)*IF(Upgrades!$T$16="Stellar Kinematics",POWER(Upgrades!$U$16,H388),1)*IF(Upgrades!$T$17="Stellar Kinematics",POWER(Upgrades!$U$17,I388),1)*IF(Upgrades!$T$18="Stellar Kinematics",POWER(Upgrades!$U$18,J388),1)*IF(Upgrades!$T$19="Stellar Kinematics",POWER(Upgrades!$U$19,K388),1)*IF(Upgrades!$T$20="Stellar Kinematics",POWER(Upgrades!$U$20,L388),1)*IF(Upgrades!$T$21="Stellar Kinematics",POWER(Upgrades!$U$21,M388),1))+(IF(F388=0,0,(Upgrades!$J$14+F388*Upgrades!$K$14)*POWER(Upgrades!$L$14,F388)))*(IF(Upgrades!$T$13="Local Bubble",POWER(Upgrades!$U$13,E388),1)*IF(Upgrades!$T$15="Local Bubble",POWER(Upgrades!$U$15,G388),1)*IF(Upgrades!$T$16="Local Bubble",POWER(Upgrades!$U$16,H388),1)*IF(Upgrades!$T$17="Local Bubble",POWER(Upgrades!$U$17,I388),1)*IF(Upgrades!$T$18="Local Bubble",POWER(Upgrades!$U$18,J388),1)*IF(Upgrades!$T$19="Local Bubble",POWER(Upgrades!$U$19,K388),1)*IF(Upgrades!$T$20="Local Bubble",POWER(Upgrades!$U$20,L388),1)*IF(Upgrades!$T$21="Local Bubble",POWER(Upgrades!$U$21,M388),1))+(IF(G388=0,0,(Upgrades!$J$15+G388*Upgrades!$K$15)*POWER(Upgrades!$L$15,G388)))*(IF(Upgrades!$T$13="Microlensing",POWER(Upgrades!$U$13,E388),1)*IF(Upgrades!$T$14="Microlensing",POWER(Upgrades!$U$14,F388),1)*IF(Upgrades!$T$16="Microlensing",POWER(Upgrades!$U$16,H388),1)*IF(Upgrades!$T$17="Microlensing",POWER(Upgrades!$U$17,I388),1)*IF(Upgrades!$T$18="Microlensing",POWER(Upgrades!$U$18,J388),1)*IF(Upgrades!$T$19="Microlensing",POWER(Upgrades!$U$19,K388),1)*IF(Upgrades!$T$20="Microlensing",POWER(Upgrades!$U$20,L388),1)*IF(Upgrades!$T$21="Microlensing",POWER(Upgrades!$U$21,M388),1))+(IF(H388=0,0,(Upgrades!$J$16+H388*Upgrades!$K$16)*POWER(Upgrades!$L$16,H388)))*(IF(Upgrades!$T$13="Roche Lobe Overflow",POWER(Upgrades!$U$13,E388),1)*IF(Upgrades!$T$14="Roche Lobe Overflow",POWER(Upgrades!$U$14,F388),1)*IF(Upgrades!$T$15="Roche Lobe Overflow",POWER(Upgrades!$U$15,G388),1)*IF(Upgrades!$T$17="Roche Lobe Overflow",POWER(Upgrades!$U$17,I388),1)*IF(Upgrades!$T$18="Roche Lobe Overflow",POWER(Upgrades!$U$18,J388),1)*IF(Upgrades!$T$19="Roche Lobe Overflow",POWER(Upgrades!$U$19,K388),1)*IF(Upgrades!$T$20="Roche Lobe Overflow",POWER(Upgrades!$U$20,L388),1)*IF(Upgrades!$T$21="Roche Lobe Overflow",POWER(Upgrades!$U$21,M388),1))+(IF(I388=0,0,(Upgrades!$J$17+I388*Upgrades!$K$17)*POWER(Upgrades!$L$17,I388)))*(IF(Upgrades!$T$13="Brown Dwarf",POWER(Upgrades!$U$13,E388),1)*IF(Upgrades!$T$14="Brown Dwarf",POWER(Upgrades!$U$14,F388),1)*IF(Upgrades!$T$15="Brown Dwarf",POWER(Upgrades!$U$15,G388),1)*IF(Upgrades!$T$16="Brown Dwarf",POWER(Upgrades!$U$16,H388),1)*IF(Upgrades!$T$18="Brown Dwarf",POWER(Upgrades!$U$18,J388),1)*IF(Upgrades!$T$19="Brown Dwarf",POWER(Upgrades!$U$19,K388),1)*IF(Upgrades!$T$20="Brown Dwarf",POWER(Upgrades!$U$20,L388),1)*IF(Upgrades!$T$21="Brown Dwarf",POWER(Upgrades!$U$21,M388),1))+(IF(J388=0,0,(Upgrades!$J$18+J388*Upgrades!$K$18)*POWER(Upgrades!$L$18,J388)))*(IF(Upgrades!$T$13="Binary Partner",POWER(Upgrades!$U$13,E388),1)*IF(Upgrades!$T$14="Binary Partner",POWER(Upgrades!$U$14,F388),1)*IF(Upgrades!$T$15="Binary Partner",POWER(Upgrades!$U$15,G388),1)*IF(Upgrades!$T$16="Binary Partner",POWER(Upgrades!$U$16,H388),1)*IF(Upgrades!$T$17="Binary Partner",POWER(Upgrades!$U$17,I388),1)*IF(Upgrades!$T$19="Binary Partner",POWER(Upgrades!$U$19,K388),1)*IF(Upgrades!$T$20="Binary Partner",POWER(Upgrades!$U$20,L388),1)*IF(Upgrades!$T$21="Binary Partner",POWER(Upgrades!$U$21,M388),1))+(IF(K388=0,0,(Upgrades!$J$19+K388*Upgrades!$K$19)*POWER(Upgrades!$L$19,K388)))*(IF(Upgrades!$T$13="Peculiar Velocity",POWER(Upgrades!$U$13,E388),1)*IF(Upgrades!$T$14="Peculiar Velocity",POWER(Upgrades!$U$14,F388),1)*IF(Upgrades!$T$15="Peculiar Velocity",POWER(Upgrades!$U$15,G388),1)*IF(Upgrades!$T$16="Peculiar Velocity",POWER(Upgrades!$U$16,H388),1)*IF(Upgrades!$T$17="Peculiar Velocity",POWER(Upgrades!$U$17,I388),1)*IF(Upgrades!$T$18="Peculiar Velocity",POWER(Upgrades!$U$18,J388),1)*IF(Upgrades!$T$20="Peculiar Velocity",POWER(Upgrades!$U$20,L388),1)*IF(Upgrades!$T$21="Peculiar Velocity",POWER(Upgrades!$U$21,M388),1))+(IF(L388=0,0,(Upgrades!$J$20+L388*Upgrades!$K$20)*POWER(Upgrades!$L$20,L388)))*(IF(Upgrades!$T$13="Open Cluster",POWER(Upgrades!$U$13,E388),1)*IF(Upgrades!$T$14="Open Cluster",POWER(Upgrades!$U$14,F388),1)*IF(Upgrades!$T$15="Open Cluster",POWER(Upgrades!$U$15,G388),1)*IF(Upgrades!$T$16="Open Cluster",POWER(Upgrades!$U$16,H388),1)*IF(Upgrades!$T$17="Open Cluster",POWER(Upgrades!$U$17,I388),1)*IF(Upgrades!$T$18="Open Cluster",POWER(Upgrades!$U$18,J388),1)*IF(Upgrades!$T$19="Open Cluster",POWER(Upgrades!$U$19,K388),1)*IF(Upgrades!$T$21="Open Cluster",POWER(Upgrades!$U$21,M388),1))+(IF(M388=0,0,(Upgrades!$J$21+M388*Upgrades!$K$21)*POWER(Upgrades!$L$21,M388)))*(IF(Upgrades!$T$13="Moving Group",POWER(Upgrades!$U$13,E388),1)*IF(Upgrades!$T$14="Moving Group",POWER(Upgrades!$U$14,F388),1)*IF(Upgrades!$T$15="Moving Group",POWER(Upgrades!$U$15,G388),1)*IF(Upgrades!$T$16="Moving Group",POWER(Upgrades!$U$16,H388),1)*IF(Upgrades!$T$17="Moving Group",POWER(Upgrades!$U$17,I388),1)*IF(Upgrades!$T$18="Moving Group",POWER(Upgrades!$U$18,J388),1)*IF(Upgrades!$T$19="Moving Group",POWER(Upgrades!$U$19,K388),1)*IF(Upgrades!$T$20="Moving Group",POWER(Upgrades!$U$20,L388),1)))*POWER(Upgrades!$Q$13,E388)*POWER(Upgrades!$Q$14,F388)*POWER(Upgrades!$Q$15,G388)*POWER(Upgrades!$Q$16,H388)*POWER(Upgrades!$Q$17,I388)*POWER(Upgrades!$Q$18,J388)*POWER(Upgrades!$Q$19,K388)*POWER(Upgrades!$Q$20,L388)*POWER(Upgrades!$Q$21,M388)*$G$6+$D$6</f>
        <v/>
      </c>
      <c r="P388" s="28">
        <f>((IF(E388=0,0,(Upgrades!$G$13+E388*Upgrades!$H$13)*POWER(Upgrades!$I$13,E388)))*(IF(Upgrades!$T$14="Stellar Kinematics",POWER(Upgrades!$U$14,F388),1)*IF(Upgrades!$T$15="Stellar Kinematics",POWER(Upgrades!$U$15,G388),1)*IF(Upgrades!$T$16="Stellar Kinematics",POWER(Upgrades!$U$16,H388),1)*IF(Upgrades!$T$17="Stellar Kinematics",POWER(Upgrades!$U$17,I388),1)*IF(Upgrades!$T$18="Stellar Kinematics",POWER(Upgrades!$U$18,J388),1)*IF(Upgrades!$T$19="Stellar Kinematics",POWER(Upgrades!$U$19,K388),1)*IF(Upgrades!$T$20="Stellar Kinematics",POWER(Upgrades!$U$20,L388),1)*IF(Upgrades!$T$21="Stellar Kinematics",POWER(Upgrades!$U$21,M388),1))+(IF(F388=0,0,(Upgrades!$G$14+F388*Upgrades!$H$14)*POWER(Upgrades!$I$14,F388)))*(IF(Upgrades!$T$13="Local Bubble",POWER(Upgrades!$U$13,E388),1)*IF(Upgrades!$T$15="Local Bubble",POWER(Upgrades!$U$15,G388),1)*IF(Upgrades!$T$16="Local Bubble",POWER(Upgrades!$U$16,H388),1)*IF(Upgrades!$T$17="Local Bubble",POWER(Upgrades!$U$17,I388),1)*IF(Upgrades!$T$18="Local Bubble",POWER(Upgrades!$U$18,J388),1)*IF(Upgrades!$T$19="Local Bubble",POWER(Upgrades!$U$19,K388),1)*IF(Upgrades!$T$20="Local Bubble",POWER(Upgrades!$U$20,L388),1)*IF(Upgrades!$T$21="Local Bubble",POWER(Upgrades!$U$21,M388),1))+(IF(G388=0,0,(Upgrades!$G$15+G388*Upgrades!$H$15)*POWER(Upgrades!$I$15,G388)))*(IF(Upgrades!$T$13="Microlensing",POWER(Upgrades!$U$13,E388),1)*IF(Upgrades!$T$14="Microlensing",POWER(Upgrades!$U$14,F388),1)*IF(Upgrades!$T$16="Microlensing",POWER(Upgrades!$U$16,H388),1)*IF(Upgrades!$T$17="Microlensing",POWER(Upgrades!$U$17,I388),1)*IF(Upgrades!$T$18="Microlensing",POWER(Upgrades!$U$18,J388),1)*IF(Upgrades!$T$19="Microlensing",POWER(Upgrades!$U$19,K388),1)*IF(Upgrades!$T$20="Microlensing",POWER(Upgrades!$U$20,L388),1)*IF(Upgrades!$T$21="Microlensing",POWER(Upgrades!$U$21,M388),1))+(IF(H388=0,0,(Upgrades!$G$16+H388*Upgrades!$H$16)*POWER(Upgrades!$I$16,H388)))*(IF(Upgrades!$T$13="Roche Lobe Overflow",POWER(Upgrades!$U$13,E388),1)*IF(Upgrades!$T$14="Roche Lobe Overflow",POWER(Upgrades!$U$14,F388),1)*IF(Upgrades!$T$15="Roche Lobe Overflow",POWER(Upgrades!$U$15,G388),1)*IF(Upgrades!$T$17="Roche Lobe Overflow",POWER(Upgrades!$U$17,I388),1)*IF(Upgrades!$T$18="Roche Lobe Overflow",POWER(Upgrades!$U$18,J388),1)*IF(Upgrades!$T$19="Roche Lobe Overflow",POWER(Upgrades!$U$19,K388),1)*IF(Upgrades!$T$20="Roche Lobe Overflow",POWER(Upgrades!$U$20,L388),1)*IF(Upgrades!$T$21="Roche Lobe Overflow",POWER(Upgrades!$U$21,M388),1))+(IF(I388=0,0,(Upgrades!$G$17+I388*Upgrades!$H$17)*POWER(Upgrades!$I$17,I388)))*(IF(Upgrades!$T$13="Brown Dwarf",POWER(Upgrades!$U$13,E388),1)*IF(Upgrades!$T$14="Brown Dwarf",POWER(Upgrades!$U$14,F388),1)*IF(Upgrades!$T$15="Brown Dwarf",POWER(Upgrades!$U$15,G388),1)*IF(Upgrades!$T$16="Brown Dwarf",POWER(Upgrades!$U$16,H388),1)*IF(Upgrades!$T$18="Brown Dwarf",POWER(Upgrades!$U$18,J388),1)*IF(Upgrades!$T$19="Brown Dwarf",POWER(Upgrades!$U$19,K388),1)*IF(Upgrades!$T$20="Brown Dwarf",POWER(Upgrades!$U$20,L388),1)*IF(Upgrades!$T$21="Brown Dwarf",POWER(Upgrades!$U$21,M388),1))+(IF(J388=0,0,(Upgrades!$G$18+J388*Upgrades!$H$18)*POWER(Upgrades!$I$18,J388)))*(IF(Upgrades!$T$13="Binary Partner",POWER(Upgrades!$U$13,E388),1)*IF(Upgrades!$T$14="Binary Partner",POWER(Upgrades!$U$14,F388),1)*IF(Upgrades!$T$15="Binary Partner",POWER(Upgrades!$U$15,G388),1)*IF(Upgrades!$T$16="Binary Partner",POWER(Upgrades!$U$16,H388),1)*IF(Upgrades!$T$17="Binary Partner",POWER(Upgrades!$U$17,I388),1)*IF(Upgrades!$T$19="Binary Partner",POWER(Upgrades!$U$19,K388),1)*IF(Upgrades!$T$20="Binary Partner",POWER(Upgrades!$U$20,L388),1)*IF(Upgrades!$T$21="Binary Partner",POWER(Upgrades!$U$21,M388),1))+(IF(K388=0,0,(Upgrades!$G$19+K388*Upgrades!$H$19)*POWER(Upgrades!$I$19,K388)))*(IF(Upgrades!$T$13="Peculiar Velocity",POWER(Upgrades!$U$13,E388),1)*IF(Upgrades!$T$14="Peculiar Velocity",POWER(Upgrades!$U$14,F388),1)*IF(Upgrades!$T$15="Peculiar Velocity",POWER(Upgrades!$U$15,G388),1)*IF(Upgrades!$T$16="Peculiar Velocity",POWER(Upgrades!$U$16,H388),1)*IF(Upgrades!$T$17="Peculiar Velocity",POWER(Upgrades!$U$17,I388),1)*IF(Upgrades!$T$18="Peculiar Velocity",POWER(Upgrades!$U$18,J388),1)*IF(Upgrades!$T$20="Peculiar Velocity",POWER(Upgrades!$U$20,L388),1)*IF(Upgrades!$T$21="Peculiar Velocity",POWER(Upgrades!$U$21,M388),1))+(IF(L388=0,0,(Upgrades!$G$20+L388*Upgrades!$H$20)*POWER(Upgrades!$I$20,L388)))*(IF(Upgrades!$T$13="Open Cluster",POWER(Upgrades!$U$13,E388),1)*IF(Upgrades!$T$14="Open Cluster",POWER(Upgrades!$U$14,F388),1)*IF(Upgrades!$T$15="Open Cluster",POWER(Upgrades!$U$15,G388),1)*IF(Upgrades!$T$16="Open Cluster",POWER(Upgrades!$U$16,H388),1)*IF(Upgrades!$T$17="Open Cluster",POWER(Upgrades!$U$17,I388),1)*IF(Upgrades!$T$18="Open Cluster",POWER(Upgrades!$U$18,J388),1)*IF(Upgrades!$T$19="Open Cluster",POWER(Upgrades!$U$19,K388),1)*IF(Upgrades!$T$21="Open Cluster",POWER(Upgrades!$U$21,M388),1))+(IF(M388=0,0,(Upgrades!$G$21+M388*Upgrades!$H$21)*POWER(Upgrades!$I$21,M388)))*(IF(Upgrades!$T$13="Moving Group",POWER(Upgrades!$U$13,E388),1)*IF(Upgrades!$T$14="Moving Group",POWER(Upgrades!$U$14,F388),1)*IF(Upgrades!$T$15="Moving Group",POWER(Upgrades!$U$15,G388),1)*IF(Upgrades!$T$16="Moving Group",POWER(Upgrades!$U$16,H388),1)*IF(Upgrades!$T$17="Moving Group",POWER(Upgrades!$U$17,I388),1)*IF(Upgrades!$T$18="Moving Group",POWER(Upgrades!$U$18,J388),1)*IF(Upgrades!$T$19="Moving Group",POWER(Upgrades!$U$19,K388),1)*IF(Upgrades!$T$20="Moving Group",POWER(Upgrades!$U$20,L388),1)))*POWER(Upgrades!$P$13,E388)*POWER(Upgrades!$P$14,F388)*POWER(Upgrades!$P$15,G388)*POWER(Upgrades!$P$16,H388)*POWER(Upgrades!$P$17,I388)*POWER(Upgrades!$P$18,J388)*POWER(Upgrades!$P$19,K388)*POWER(Upgrades!$P$20,L388)*POWER(Upgrades!$P$21,M388)*$F$6+$C$6</f>
        <v/>
      </c>
      <c r="Q388" s="28">
        <f>((IF(E388=0,0,(Upgrades!$M$13+E388*Upgrades!$N$13)*POWER(Upgrades!$O$13,E388)))*(IF(Upgrades!$T$14="Stellar Kinematics",POWER(Upgrades!$U$14,F388),1)*IF(Upgrades!$T$15="Stellar Kinematics",POWER(Upgrades!$U$15,G388),1)*IF(Upgrades!$T$16="Stellar Kinematics",POWER(Upgrades!$U$16,H388),1)*IF(Upgrades!$T$17="Stellar Kinematics",POWER(Upgrades!$U$17,I388),1)*IF(Upgrades!$T$18="Stellar Kinematics",POWER(Upgrades!$U$18,J388),1)*IF(Upgrades!$T$19="Stellar Kinematics",POWER(Upgrades!$U$19,K388),1)*IF(Upgrades!$T$20="Stellar Kinematics",POWER(Upgrades!$U$20,L388),1)*IF(Upgrades!$T$21="Stellar Kinematics",POWER(Upgrades!$U$21,M388),1))+(IF(F388=0,0,(Upgrades!$M$14+F388*Upgrades!$N$14)*POWER(Upgrades!$O$14,F388)))*(IF(Upgrades!$T$13="Local Bubble",POWER(Upgrades!$U$13,E388),1)*IF(Upgrades!$T$15="Local Bubble",POWER(Upgrades!$U$15,G388),1)*IF(Upgrades!$T$16="Local Bubble",POWER(Upgrades!$U$16,H388),1)*IF(Upgrades!$T$17="Local Bubble",POWER(Upgrades!$U$17,I388),1)*IF(Upgrades!$T$18="Local Bubble",POWER(Upgrades!$U$18,J388),1)*IF(Upgrades!$T$19="Local Bubble",POWER(Upgrades!$U$19,K388),1)*IF(Upgrades!$T$20="Local Bubble",POWER(Upgrades!$U$20,L388),1)*IF(Upgrades!$T$21="Local Bubble",POWER(Upgrades!$U$21,M388),1))+(IF(G388=0,0,(Upgrades!$M$15+G388*Upgrades!$N$15)*POWER(Upgrades!$O$15,G388)))*(IF(Upgrades!$T$13="Microlensing",POWER(Upgrades!$U$13,E388),1)*IF(Upgrades!$T$14="Microlensing",POWER(Upgrades!$U$14,F388),1)*IF(Upgrades!$T$16="Microlensing",POWER(Upgrades!$U$16,H388),1)*IF(Upgrades!$T$17="Microlensing",POWER(Upgrades!$U$17,I388),1)*IF(Upgrades!$T$18="Microlensing",POWER(Upgrades!$U$18,J388),1)*IF(Upgrades!$T$19="Microlensing",POWER(Upgrades!$U$19,K388),1)*IF(Upgrades!$T$20="Microlensing",POWER(Upgrades!$U$20,L388),1)*IF(Upgrades!$T$21="Microlensing",POWER(Upgrades!$U$21,M388),1))+(IF(H388=0,0,(Upgrades!$M$16+H388*Upgrades!$N$16)*POWER(Upgrades!$O$16,H388)))*(IF(Upgrades!$T$13="Roche Lobe Overflow",POWER(Upgrades!$U$13,E388),1)*IF(Upgrades!$T$14="Roche Lobe Overflow",POWER(Upgrades!$U$14,F388),1)*IF(Upgrades!$T$15="Roche Lobe Overflow",POWER(Upgrades!$U$15,G388),1)*IF(Upgrades!$T$17="Roche Lobe Overflow",POWER(Upgrades!$U$17,I388),1)*IF(Upgrades!$T$18="Roche Lobe Overflow",POWER(Upgrades!$U$18,J388),1)*IF(Upgrades!$T$19="Roche Lobe Overflow",POWER(Upgrades!$U$19,K388),1)*IF(Upgrades!$T$20="Roche Lobe Overflow",POWER(Upgrades!$U$20,L388),1)*IF(Upgrades!$T$21="Roche Lobe Overflow",POWER(Upgrades!$U$21,M388),1))+(IF(I388=0,0,(Upgrades!$M$17+I388*Upgrades!$N$17)*POWER(Upgrades!$O$17,I388)))*(IF(Upgrades!$T$13="Brown Dwarf",POWER(Upgrades!$U$13,E388),1)*IF(Upgrades!$T$14="Brown Dwarf",POWER(Upgrades!$U$14,F388),1)*IF(Upgrades!$T$15="Brown Dwarf",POWER(Upgrades!$U$15,G388),1)*IF(Upgrades!$T$16="Brown Dwarf",POWER(Upgrades!$U$16,H388),1)*IF(Upgrades!$T$18="Brown Dwarf",POWER(Upgrades!$U$18,J388),1)*IF(Upgrades!$T$19="Brown Dwarf",POWER(Upgrades!$U$19,K388),1)*IF(Upgrades!$T$20="Brown Dwarf",POWER(Upgrades!$U$20,L388),1)*IF(Upgrades!$T$21="Brown Dwarf",POWER(Upgrades!$U$21,M388),1))+(IF(J388=0,0,(Upgrades!$M$18+J388*Upgrades!$N$18)*POWER(Upgrades!$O$18,J388)))*(IF(Upgrades!$T$13="Binary Partner",POWER(Upgrades!$U$13,E388),1)*IF(Upgrades!$T$14="Binary Partner",POWER(Upgrades!$U$14,F388),1)*IF(Upgrades!$T$15="Binary Partner",POWER(Upgrades!$U$15,G388),1)*IF(Upgrades!$T$16="Binary Partner",POWER(Upgrades!$U$16,H388),1)*IF(Upgrades!$T$17="Binary Partner",POWER(Upgrades!$U$17,I388),1)*IF(Upgrades!$T$19="Binary Partner",POWER(Upgrades!$U$19,K388),1)*IF(Upgrades!$T$20="Binary Partner",POWER(Upgrades!$U$20,L388),1)*IF(Upgrades!$T$21="Binary Partner",POWER(Upgrades!$U$21,M388),1))+(IF(K388=0,0,(Upgrades!$M$19+K388*Upgrades!$N$19)*POWER(Upgrades!$O$19,K388)))*(IF(Upgrades!$T$13="Peculiar Velocity",POWER(Upgrades!$U$13,E388),1)*IF(Upgrades!$T$14="Peculiar Velocity",POWER(Upgrades!$U$14,F388),1)*IF(Upgrades!$T$15="Peculiar Velocity",POWER(Upgrades!$U$15,G388),1)*IF(Upgrades!$T$16="Peculiar Velocity",POWER(Upgrades!$U$16,H388),1)*IF(Upgrades!$T$17="Peculiar Velocity",POWER(Upgrades!$U$17,I388),1)*IF(Upgrades!$T$18="Peculiar Velocity",POWER(Upgrades!$U$18,J388),1)*IF(Upgrades!$T$20="Peculiar Velocity",POWER(Upgrades!$U$20,L388),1)*IF(Upgrades!$T$21="Peculiar Velocity",POWER(Upgrades!$U$21,M388),1))+(IF(L388=0,0,(Upgrades!$M$20+L388*Upgrades!$N$20)*POWER(Upgrades!$O$20,L388)))*(IF(Upgrades!$T$13="Open Cluster",POWER(Upgrades!$U$13,E388),1)*IF(Upgrades!$T$14="Open Cluster",POWER(Upgrades!$U$14,F388),1)*IF(Upgrades!$T$15="Open Cluster",POWER(Upgrades!$U$15,G388),1)*IF(Upgrades!$T$16="Open Cluster",POWER(Upgrades!$U$16,H388),1)*IF(Upgrades!$T$17="Open Cluster",POWER(Upgrades!$U$17,I388),1)*IF(Upgrades!$T$18="Open Cluster",POWER(Upgrades!$U$18,J388),1)*IF(Upgrades!$T$19="Open Cluster",POWER(Upgrades!$U$19,K388),1)*IF(Upgrades!$T$21="Open Cluster",POWER(Upgrades!$U$21,M388),1))+(IF(M388=0,0,(Upgrades!$M$21+M388*Upgrades!$N$21)*POWER(Upgrades!$O$21,M388)))*(IF(Upgrades!$T$13="Moving Group",POWER(Upgrades!$U$13,E388),1)*IF(Upgrades!$T$14="Moving Group",POWER(Upgrades!$U$14,F388),1)*IF(Upgrades!$T$15="Moving Group",POWER(Upgrades!$U$15,G388),1)*IF(Upgrades!$T$16="Moving Group",POWER(Upgrades!$U$16,H388),1)*IF(Upgrades!$T$17="Moving Group",POWER(Upgrades!$U$17,I388),1)*IF(Upgrades!$T$18="Moving Group",POWER(Upgrades!$U$18,J388),1)*IF(Upgrades!$T$19="Moving Group",POWER(Upgrades!$U$19,K388),1)*IF(Upgrades!$T$20="Moving Group",POWER(Upgrades!$U$20,L388),1)))*POWER(Upgrades!$R$13,E388)*POWER(Upgrades!$R$14,F388)*POWER(Upgrades!$R$15,G388)*POWER(Upgrades!$R$16,H388)*POWER(Upgrades!$R$17,I388)*POWER(Upgrades!$R$18,J388)*POWER(Upgrades!$R$19,K388)*POWER(Upgrades!$R$20,L388)*POWER(Upgrades!$R$21,M388)*$H$6+$E$6</f>
        <v/>
      </c>
      <c r="R388" s="27">
        <f>IF(N388=1,0,O388*Parameters!$B$10/60*Parameters!$B$11*10)</f>
        <v/>
      </c>
      <c r="S388" s="27">
        <f>IF(N388=1,0,Q388*O388*10)</f>
        <v/>
      </c>
      <c r="T388" s="27">
        <f>IF(N388=1,0,R388+S388+P388*10)</f>
        <v/>
      </c>
      <c r="U388" s="33">
        <f>BE388</f>
        <v/>
      </c>
      <c r="V388" s="22">
        <f>IF(U388="",0,IF(U388="transition",0,IF(U388="SK",AK388,IF(U388="LB",AL388,IF(U388="ML",AM388,IF(U388="RLO",AN388,IF(U388="BD",AO388,IF(U388="BiP",AP388,IF(U388="PV",AQ388,IF(U388="OC",AR388,IF(U388="MG",AS388,0))))))))))</f>
        <v/>
      </c>
      <c r="W388" s="27">
        <f>IF(U388="BiP",Upgrades!$F$18,IF(U388="PV",Upgrades!$F$19,IF(U388="OC",Upgrades!$F$20,IF(U388="MG",Upgrades!$F$21,IF(U388="transition",-Parameters!$B$18*Parameters!$B$19,0)))))</f>
        <v/>
      </c>
      <c r="X388" s="22">
        <f>C388+T388-V388</f>
        <v/>
      </c>
      <c r="Y388" s="30">
        <f>O388*Parameters!$B$10/60*Parameters!$B$11+Q388*O388+P388</f>
        <v/>
      </c>
      <c r="Z388" s="34">
        <f>IF(U388="transition","→ Tier 3 (Galactic Arm)",IF(U388="MG","Moving Group — pocket drifts together",IF(U388="OC","Open Cluster acquired",IF(U388="PV","Peculiar Velocity — passive multiplier active",IF(U388="BiP","Binary Partner — pair bond formed",IF(AND(AU388=1,N388=0,AT388&lt;&gt;1),"Cohesion ready (waiting on completionists)","")))))) </f>
        <v/>
      </c>
      <c r="AA388" s="27">
        <f>(IF(E388=0,0,(Upgrades!$G$13+E388*Upgrades!$H$13)*POWER(Upgrades!$I$13,E388)))*(IF(Upgrades!$T$14="Stellar Kinematics",POWER(Upgrades!$U$14,F388),1)*IF(Upgrades!$T$15="Stellar Kinematics",POWER(Upgrades!$U$15,G388),1)*IF(Upgrades!$T$16="Stellar Kinematics",POWER(Upgrades!$U$16,H388),1)*IF(Upgrades!$T$17="Stellar Kinematics",POWER(Upgrades!$U$17,I388),1)*IF(Upgrades!$T$18="Stellar Kinematics",POWER(Upgrades!$U$18,J388),1)*IF(Upgrades!$T$19="Stellar Kinematics",POWER(Upgrades!$U$19,K388),1)*IF(Upgrades!$T$20="Stellar Kinematics",POWER(Upgrades!$U$20,L388),1)*IF(Upgrades!$T$21="Stellar Kinematics",POWER(Upgrades!$U$21,M388),1))*POWER(Upgrades!$P$13,E388)*POWER(Upgrades!$P$14,F388)*POWER(Upgrades!$P$15,G388)*POWER(Upgrades!$P$16,H388)*POWER(Upgrades!$P$17,I388)*POWER(Upgrades!$P$18,J388)*POWER(Upgrades!$P$19,K388)*POWER(Upgrades!$P$20,L388)*POWER(Upgrades!$P$21,M388)*$F$6*60</f>
        <v/>
      </c>
      <c r="AB388" s="27">
        <f>(IF(F388=0,0,(Upgrades!$G$14+F388*Upgrades!$H$14)*POWER(Upgrades!$I$14,F388)))*(IF(Upgrades!$T$13="Local Bubble",POWER(Upgrades!$U$13,E388),1)*IF(Upgrades!$T$15="Local Bubble",POWER(Upgrades!$U$15,G388),1)*IF(Upgrades!$T$16="Local Bubble",POWER(Upgrades!$U$16,H388),1)*IF(Upgrades!$T$17="Local Bubble",POWER(Upgrades!$U$17,I388),1)*IF(Upgrades!$T$18="Local Bubble",POWER(Upgrades!$U$18,J388),1)*IF(Upgrades!$T$19="Local Bubble",POWER(Upgrades!$U$19,K388),1)*IF(Upgrades!$T$20="Local Bubble",POWER(Upgrades!$U$20,L388),1)*IF(Upgrades!$T$21="Local Bubble",POWER(Upgrades!$U$21,M388),1))*POWER(Upgrades!$P$13,E388)*POWER(Upgrades!$P$14,F388)*POWER(Upgrades!$P$15,G388)*POWER(Upgrades!$P$16,H388)*POWER(Upgrades!$P$17,I388)*POWER(Upgrades!$P$18,J388)*POWER(Upgrades!$P$19,K388)*POWER(Upgrades!$P$20,L388)*POWER(Upgrades!$P$21,M388)*$F$6*60</f>
        <v/>
      </c>
      <c r="AC388" s="27">
        <f>(IF(G388=0,0,(Upgrades!$J$15+G388*Upgrades!$K$15)*POWER(Upgrades!$L$15,G388)))*(IF(Upgrades!$T$13="Microlensing",POWER(Upgrades!$U$13,E388),1)*IF(Upgrades!$T$14="Microlensing",POWER(Upgrades!$U$14,F388),1)*IF(Upgrades!$T$16="Microlensing",POWER(Upgrades!$U$16,H388),1)*IF(Upgrades!$T$17="Microlensing",POWER(Upgrades!$U$17,I388),1)*IF(Upgrades!$T$18="Microlensing",POWER(Upgrades!$U$18,J388),1)*IF(Upgrades!$T$19="Microlensing",POWER(Upgrades!$U$19,K388),1)*IF(Upgrades!$T$20="Microlensing",POWER(Upgrades!$U$20,L388),1)*IF(Upgrades!$T$21="Microlensing",POWER(Upgrades!$U$21,M388),1))*POWER(Upgrades!$Q$13,E388)*POWER(Upgrades!$Q$14,F388)*POWER(Upgrades!$Q$15,G388)*POWER(Upgrades!$Q$16,H388)*POWER(Upgrades!$Q$17,I388)*POWER(Upgrades!$Q$18,J388)*POWER(Upgrades!$Q$19,K388)*POWER(Upgrades!$Q$20,L388)*POWER(Upgrades!$Q$21,M388)*$G$6*(Parameters!$B$10*Parameters!$B$11+Q388*60)</f>
        <v/>
      </c>
      <c r="AD388" s="27">
        <f>(IF(H388=0,0,(Upgrades!$M$16+H388*Upgrades!$N$16)*POWER(Upgrades!$O$16,H388)))*(IF(Upgrades!$T$13="Roche Lobe Overflow",POWER(Upgrades!$U$13,E388),1)*IF(Upgrades!$T$14="Roche Lobe Overflow",POWER(Upgrades!$U$14,F388),1)*IF(Upgrades!$T$15="Roche Lobe Overflow",POWER(Upgrades!$U$15,G388),1)*IF(Upgrades!$T$17="Roche Lobe Overflow",POWER(Upgrades!$U$17,I388),1)*IF(Upgrades!$T$18="Roche Lobe Overflow",POWER(Upgrades!$U$18,J388),1)*IF(Upgrades!$T$19="Roche Lobe Overflow",POWER(Upgrades!$U$19,K388),1)*IF(Upgrades!$T$20="Roche Lobe Overflow",POWER(Upgrades!$U$20,L388),1)*IF(Upgrades!$T$21="Roche Lobe Overflow",POWER(Upgrades!$U$21,M388),1))*POWER(Upgrades!$R$13,E388)*POWER(Upgrades!$R$14,F388)*POWER(Upgrades!$R$15,G388)*POWER(Upgrades!$R$16,H388)*POWER(Upgrades!$R$17,I388)*POWER(Upgrades!$R$18,J388)*POWER(Upgrades!$R$19,K388)*POWER(Upgrades!$R$20,L388)*POWER(Upgrades!$R$21,M388)*$H$6*O388*60</f>
        <v/>
      </c>
      <c r="AE388" s="27">
        <f>(IF(I388=0,0,(Upgrades!$G$17+I388*Upgrades!$H$17)*POWER(Upgrades!$I$17,I388)))*(IF(Upgrades!$T$13="Brown Dwarf",POWER(Upgrades!$U$13,E388),1)*IF(Upgrades!$T$14="Brown Dwarf",POWER(Upgrades!$U$14,F388),1)*IF(Upgrades!$T$15="Brown Dwarf",POWER(Upgrades!$U$15,G388),1)*IF(Upgrades!$T$16="Brown Dwarf",POWER(Upgrades!$U$16,H388),1)*IF(Upgrades!$T$18="Brown Dwarf",POWER(Upgrades!$U$18,J388),1)*IF(Upgrades!$T$19="Brown Dwarf",POWER(Upgrades!$U$19,K388),1)*IF(Upgrades!$T$20="Brown Dwarf",POWER(Upgrades!$U$20,L388),1)*IF(Upgrades!$T$21="Brown Dwarf",POWER(Upgrades!$U$21,M388),1))*POWER(Upgrades!$P$13,E388)*POWER(Upgrades!$P$14,F388)*POWER(Upgrades!$P$15,G388)*POWER(Upgrades!$P$16,H388)*POWER(Upgrades!$P$17,I388)*POWER(Upgrades!$P$18,J388)*POWER(Upgrades!$P$19,K388)*POWER(Upgrades!$P$20,L388)*POWER(Upgrades!$P$21,M388)*$F$6*60</f>
        <v/>
      </c>
      <c r="AF388" s="27" t="n">
        <v>0</v>
      </c>
      <c r="AG388" s="27" t="n">
        <v>0</v>
      </c>
      <c r="AH388" s="27" t="n">
        <v>0</v>
      </c>
      <c r="AI388" s="27">
        <f>(IF(M388=0,0,(Upgrades!$G$21+M388*Upgrades!$H$21)*POWER(Upgrades!$I$21,M388)))*(IF(Upgrades!$T$13="Moving Group",POWER(Upgrades!$U$13,E388),1)*IF(Upgrades!$T$14="Moving Group",POWER(Upgrades!$U$14,F388),1)*IF(Upgrades!$T$15="Moving Group",POWER(Upgrades!$U$15,G388),1)*IF(Upgrades!$T$16="Moving Group",POWER(Upgrades!$U$16,H388),1)*IF(Upgrades!$T$17="Moving Group",POWER(Upgrades!$U$17,I388),1)*IF(Upgrades!$T$18="Moving Group",POWER(Upgrades!$U$18,J388),1)*IF(Upgrades!$T$19="Moving Group",POWER(Upgrades!$U$19,K388),1)*IF(Upgrades!$T$20="Moving Group",POWER(Upgrades!$U$20,L388),1))*POWER(Upgrades!$P$13,E388)*POWER(Upgrades!$P$14,F388)*POWER(Upgrades!$P$15,G388)*POWER(Upgrades!$P$16,H388)*POWER(Upgrades!$P$17,I388)*POWER(Upgrades!$P$18,J388)*POWER(Upgrades!$P$19,K388)*POWER(Upgrades!$P$20,L388)*POWER(Upgrades!$P$21,M388)*$F$6*60</f>
        <v/>
      </c>
      <c r="AJ388" s="27">
        <f>$C$6*60</f>
        <v/>
      </c>
      <c r="AK388" s="22">
        <f>IF(E388&gt;=Upgrades!$E$13,"",Upgrades!$C$13*POWER(Upgrades!$D$13,E388))</f>
        <v/>
      </c>
      <c r="AL388" s="22">
        <f>IF(F388&gt;=Upgrades!$E$14,"",Upgrades!$C$14*POWER(Upgrades!$D$14,F388))</f>
        <v/>
      </c>
      <c r="AM388" s="22">
        <f>IF(G388&gt;=Upgrades!$E$15,"",Upgrades!$C$15*POWER(Upgrades!$D$15,G388))</f>
        <v/>
      </c>
      <c r="AN388" s="22">
        <f>IF(H388&gt;=Upgrades!$E$16,"",Upgrades!$C$16*POWER(Upgrades!$D$16,H388))</f>
        <v/>
      </c>
      <c r="AO388" s="22">
        <f>IF(I388&gt;=Upgrades!$E$17,"",Upgrades!$C$17*POWER(Upgrades!$D$17,I388))</f>
        <v/>
      </c>
      <c r="AP388" s="22">
        <f>IF(J388&gt;=Upgrades!$E$18,"",Upgrades!$C$18*POWER(Upgrades!$D$18,J388))</f>
        <v/>
      </c>
      <c r="AQ388" s="22">
        <f>IF(K388&gt;=Upgrades!$E$19,"",Upgrades!$C$19*POWER(Upgrades!$D$19,K388))</f>
        <v/>
      </c>
      <c r="AR388" s="22">
        <f>IF(L388&gt;=Upgrades!$E$20,"",Upgrades!$C$20*POWER(Upgrades!$D$20,L388))</f>
        <v/>
      </c>
      <c r="AS388" s="22">
        <f>IF(M388&gt;=Upgrades!$E$21,"",Upgrades!$C$21*POWER(Upgrades!$D$21,M388))</f>
        <v/>
      </c>
      <c r="AT388" s="26">
        <f>IF(AND(D388&gt;=Parameters!$B$18*Parameters!$B$19,(I388&gt;=Upgrades!$E$17)*(M388&gt;=Upgrades!$E$21)=1,N388=0),1,"")</f>
        <v/>
      </c>
      <c r="AU388" s="26">
        <f>IF(AND(D388&gt;=Parameters!$B$18*Parameters!$B$19,N388=0),1,"")</f>
        <v/>
      </c>
      <c r="AV388" s="22">
        <f>MIN(IF(ISNUMBER(AP388),AP388,9E15),IF(ISNUMBER(AQ388),AQ388,9E15),IF(ISNUMBER(AR388),AR388,9E15),IF(ISNUMBER(AS388),AS388,9E15))</f>
        <v/>
      </c>
      <c r="AW388" s="22">
        <f>MIN(IF(ISNUMBER(AK388),AK388,9E15),IF(ISNUMBER(AL388),AL388,9E15),IF(ISNUMBER(AM388),AM388,9E15),IF(ISNUMBER(AN388),AN388,9E15),IF(ISNUMBER(AO388),AO388,9E15))</f>
        <v/>
      </c>
      <c r="AX388" s="29">
        <f>IF(BD388&gt;Parameters!$B$21*(MAX(IF(AND(NOT(AND(AU388=1,AT388&lt;&gt;1)),ISNUMBER(AK388),AK388&lt;=(C388+T388)),AY388,0),IF(AND(NOT(AND(AU388=1,AT388&lt;&gt;1)),ISNUMBER(AL388),AL388&lt;=(C388+T388)),AZ388,0),IF(AND(NOT(AND(AU388=1,AT388&lt;&gt;1)),ISNUMBER(AM388),AM388&lt;=(C388+T388)),BA388,0),IF(AND(NOT(AND(AU388=1,AT388&lt;&gt;1)),ISNUMBER(AN388),AN388&lt;=(C388+T388)),BB388,0),IF(AND(ISNUMBER(AO388),AO388&lt;=(C388+T388)),BC388,0))),TRUE,FALSE)</f>
        <v/>
      </c>
      <c r="AY388" s="32">
        <f>IFERROR(Upgrades!$H$13*(POWER(Upgrades!$P$13,E388)*POWER(Upgrades!$P$14,F388)*POWER(Upgrades!$P$15,G388)*POWER(Upgrades!$P$16,H388)*POWER(Upgrades!$P$17,I388)*POWER(Upgrades!$P$18,J388)*POWER(Upgrades!$P$19,K388)*POWER(Upgrades!$P$20,L388)*POWER(Upgrades!$P$21,M388))*(IF(Upgrades!$T$14="Stellar Kinematics",POWER(Upgrades!$U$14,F388),1)*IF(Upgrades!$T$15="Stellar Kinematics",POWER(Upgrades!$U$15,G388),1)*IF(Upgrades!$T$16="Stellar Kinematics",POWER(Upgrades!$U$16,H388),1)*IF(Upgrades!$T$17="Stellar Kinematics",POWER(Upgrades!$U$17,I388),1)*IF(Upgrades!$T$18="Stellar Kinematics",POWER(Upgrades!$U$18,J388),1)*IF(Upgrades!$T$19="Stellar Kinematics",POWER(Upgrades!$U$19,K388),1)*IF(Upgrades!$T$20="Stellar Kinematics",POWER(Upgrades!$U$20,L388),1)*IF(Upgrades!$T$21="Stellar Kinematics",POWER(Upgrades!$U$21,M388),1))*$F$6/AK388,0)</f>
        <v/>
      </c>
      <c r="AZ388" s="32">
        <f>IFERROR(Upgrades!$H$14*(POWER(Upgrades!$P$13,E388)*POWER(Upgrades!$P$14,F388)*POWER(Upgrades!$P$15,G388)*POWER(Upgrades!$P$16,H388)*POWER(Upgrades!$P$17,I388)*POWER(Upgrades!$P$18,J388)*POWER(Upgrades!$P$19,K388)*POWER(Upgrades!$P$20,L388)*POWER(Upgrades!$P$21,M388))*(IF(Upgrades!$T$13="Local Bubble",POWER(Upgrades!$U$13,E388),1)*IF(Upgrades!$T$15="Local Bubble",POWER(Upgrades!$U$15,G388),1)*IF(Upgrades!$T$16="Local Bubble",POWER(Upgrades!$U$16,H388),1)*IF(Upgrades!$T$17="Local Bubble",POWER(Upgrades!$U$17,I388),1)*IF(Upgrades!$T$18="Local Bubble",POWER(Upgrades!$U$18,J388),1)*IF(Upgrades!$T$19="Local Bubble",POWER(Upgrades!$U$19,K388),1)*IF(Upgrades!$T$20="Local Bubble",POWER(Upgrades!$U$20,L388),1)*IF(Upgrades!$T$21="Local Bubble",POWER(Upgrades!$U$21,M388),1))*$F$6/AL388,0)</f>
        <v/>
      </c>
      <c r="BA388" s="32">
        <f>IFERROR(Upgrades!$K$15*(POWER(Upgrades!$Q$13,E388)*POWER(Upgrades!$Q$14,F388)*POWER(Upgrades!$Q$15,G388)*POWER(Upgrades!$Q$16,H388)*POWER(Upgrades!$Q$17,I388)*POWER(Upgrades!$Q$18,J388)*POWER(Upgrades!$Q$19,K388)*POWER(Upgrades!$Q$20,L388)*POWER(Upgrades!$Q$21,M388))*(IF(Upgrades!$T$13="Microlensing",POWER(Upgrades!$U$13,E388),1)*IF(Upgrades!$T$14="Microlensing",POWER(Upgrades!$U$14,F388),1)*IF(Upgrades!$T$16="Microlensing",POWER(Upgrades!$U$16,H388),1)*IF(Upgrades!$T$17="Microlensing",POWER(Upgrades!$U$17,I388),1)*IF(Upgrades!$T$18="Microlensing",POWER(Upgrades!$U$18,J388),1)*IF(Upgrades!$T$19="Microlensing",POWER(Upgrades!$U$19,K388),1)*IF(Upgrades!$T$20="Microlensing",POWER(Upgrades!$U$20,L388),1)*IF(Upgrades!$T$21="Microlensing",POWER(Upgrades!$U$21,M388),1))*$G$6*(Parameters!$B$10/60*Parameters!$B$11+Q388)/AM388,0)</f>
        <v/>
      </c>
      <c r="BB388" s="32">
        <f>IFERROR((Upgrades!$N$16*(POWER(Upgrades!$R$13,E388)*POWER(Upgrades!$R$14,F388)*POWER(Upgrades!$R$15,G388)*POWER(Upgrades!$R$16,H388)*POWER(Upgrades!$R$17,I388)*POWER(Upgrades!$R$18,J388)*POWER(Upgrades!$R$19,K388)*POWER(Upgrades!$R$20,L388)*POWER(Upgrades!$R$21,M388))*(IF(Upgrades!$T$13="Roche Lobe Overflow",POWER(Upgrades!$U$13,E388),1)*IF(Upgrades!$T$14="Roche Lobe Overflow",POWER(Upgrades!$U$14,F388),1)*IF(Upgrades!$T$15="Roche Lobe Overflow",POWER(Upgrades!$U$15,G388),1)*IF(Upgrades!$T$17="Roche Lobe Overflow",POWER(Upgrades!$U$17,I388),1)*IF(Upgrades!$T$18="Roche Lobe Overflow",POWER(Upgrades!$U$18,J388),1)*IF(Upgrades!$T$19="Roche Lobe Overflow",POWER(Upgrades!$U$19,K388),1)*IF(Upgrades!$T$20="Roche Lobe Overflow",POWER(Upgrades!$U$20,L388),1)*IF(Upgrades!$T$21="Roche Lobe Overflow",POWER(Upgrades!$U$21,M388),1))*$H$6*O388+((IF(F388=0,0,(Upgrades!$G$14+F388*Upgrades!$H$14)*POWER(Upgrades!$I$14,F388)))*(IF(Upgrades!$T$13="Local Bubble",POWER(Upgrades!$U$13,E388),1)*IF(Upgrades!$T$15="Local Bubble",POWER(Upgrades!$U$15,G388),1)*IF(Upgrades!$T$16="Local Bubble",POWER(Upgrades!$U$16,H388),1)*IF(Upgrades!$T$17="Local Bubble",POWER(Upgrades!$U$17,I388),1)*IF(Upgrades!$T$18="Local Bubble",POWER(Upgrades!$U$18,J388),1)*IF(Upgrades!$T$19="Local Bubble",POWER(Upgrades!$U$19,K388),1)*IF(Upgrades!$T$20="Local Bubble",POWER(Upgrades!$U$20,L388),1)*IF(Upgrades!$T$21="Local Bubble",POWER(Upgrades!$U$21,M388),1))*POWER(Upgrades!$P$13,E388)*POWER(Upgrades!$P$14,F388)*POWER(Upgrades!$P$15,G388)*POWER(Upgrades!$P$16,H388)*POWER(Upgrades!$P$17,I388)*POWER(Upgrades!$P$18,J388)*POWER(Upgrades!$P$19,K388)*POWER(Upgrades!$P$20,L388)*POWER(Upgrades!$P$21,M388)*$F$6)*0.05)/AN388,0)</f>
        <v/>
      </c>
      <c r="BC388" s="32">
        <f>IFERROR((Upgrades!$H$17*(POWER(Upgrades!$P$13,E388)*POWER(Upgrades!$P$14,F388)*POWER(Upgrades!$P$15,G388)*POWER(Upgrades!$P$16,H388)*POWER(Upgrades!$P$17,I388)*POWER(Upgrades!$P$18,J388)*POWER(Upgrades!$P$19,K388)*POWER(Upgrades!$P$20,L388)*POWER(Upgrades!$P$21,M388))*(IF(Upgrades!$T$13="Brown Dwarf",POWER(Upgrades!$U$13,E388),1)*IF(Upgrades!$T$14="Brown Dwarf",POWER(Upgrades!$U$14,F388),1)*IF(Upgrades!$T$15="Brown Dwarf",POWER(Upgrades!$U$15,G388),1)*IF(Upgrades!$T$16="Brown Dwarf",POWER(Upgrades!$U$16,H388),1)*IF(Upgrades!$T$18="Brown Dwarf",POWER(Upgrades!$U$18,J388),1)*IF(Upgrades!$T$19="Brown Dwarf",POWER(Upgrades!$U$19,K388),1)*IF(Upgrades!$T$20="Brown Dwarf",POWER(Upgrades!$U$20,L388),1)*IF(Upgrades!$T$21="Brown Dwarf",POWER(Upgrades!$U$21,M388),1))*$F$6+(((IF(H388=0,0,(Upgrades!$M$16+H388*Upgrades!$N$16)*POWER(Upgrades!$O$16,H388)))*(IF(Upgrades!$T$13="Roche Lobe Overflow",POWER(Upgrades!$U$13,E388),1)*IF(Upgrades!$T$14="Roche Lobe Overflow",POWER(Upgrades!$U$14,F388),1)*IF(Upgrades!$T$15="Roche Lobe Overflow",POWER(Upgrades!$U$15,G388),1)*IF(Upgrades!$T$17="Roche Lobe Overflow",POWER(Upgrades!$U$17,I388),1)*IF(Upgrades!$T$18="Roche Lobe Overflow",POWER(Upgrades!$U$18,J388),1)*IF(Upgrades!$T$19="Roche Lobe Overflow",POWER(Upgrades!$U$19,K388),1)*IF(Upgrades!$T$20="Roche Lobe Overflow",POWER(Upgrades!$U$20,L388),1)*IF(Upgrades!$T$21="Roche Lobe Overflow",POWER(Upgrades!$U$21,M388),1))*POWER(Upgrades!$R$13,E388)*POWER(Upgrades!$R$14,F388)*POWER(Upgrades!$R$15,G388)*POWER(Upgrades!$R$16,H388)*POWER(Upgrades!$R$17,I388)*POWER(Upgrades!$R$18,J388)*POWER(Upgrades!$R$19,K388)*POWER(Upgrades!$R$20,L388)*POWER(Upgrades!$R$21,M388)*$H$6)*O388)*0.10)/AO388,0)</f>
        <v/>
      </c>
      <c r="BD388" s="32">
        <f>MAX(IF(J388&gt;0,0,IFERROR(0.5*((IF(G388=0,0,(Upgrades!$J$15+G388*Upgrades!$K$15)*POWER(Upgrades!$L$15,G388)))*(IF(Upgrades!$T$13="Microlensing",POWER(Upgrades!$U$13,E388),1)*IF(Upgrades!$T$14="Microlensing",POWER(Upgrades!$U$14,F388),1)*IF(Upgrades!$T$16="Microlensing",POWER(Upgrades!$U$16,H388),1)*IF(Upgrades!$T$17="Microlensing",POWER(Upgrades!$U$17,I388),1)*IF(Upgrades!$T$18="Microlensing",POWER(Upgrades!$U$18,J388),1)*IF(Upgrades!$T$19="Microlensing",POWER(Upgrades!$U$19,K388),1)*IF(Upgrades!$T$20="Microlensing",POWER(Upgrades!$U$20,L388),1)*IF(Upgrades!$T$21="Microlensing",POWER(Upgrades!$U$21,M388),1))*(POWER(Upgrades!$Q$13,E388)*POWER(Upgrades!$Q$14,F388)*POWER(Upgrades!$Q$15,G388)*POWER(Upgrades!$Q$16,H388)*POWER(Upgrades!$Q$17,I388)*POWER(Upgrades!$Q$18,J388)*POWER(Upgrades!$Q$19,K388)*POWER(Upgrades!$Q$20,L388)*POWER(Upgrades!$Q$21,M388))*$G$6*(Parameters!$B$10/60*Parameters!$B$11+Q388))/Upgrades!$C$18,0)),IF(K388&gt;0,0,IFERROR(0.30*P388/Upgrades!$C$19,0)),IF(L388&gt;0,0,IFERROR(0.0001/Upgrades!$C$20,0)),IF(M388&gt;0,0,IFERROR((6.0*(POWER(Upgrades!$P$13,E388)*POWER(Upgrades!$P$14,F388)*POWER(Upgrades!$P$15,G388)*POWER(Upgrades!$P$16,H388)*POWER(Upgrades!$P$17,I388)*POWER(Upgrades!$P$18,J388)*POWER(Upgrades!$P$19,K388)*POWER(Upgrades!$P$20,L388)*POWER(Upgrades!$P$21,M388))*$F$6+0.20*O388*(Parameters!$B$10/60*Parameters!$B$11+Q388))/Upgrades!$C$21,0)),IF(AND(ISNUMBER(AK388),AK388&gt;(C388+T388)),AY388,0),IF(AND(ISNUMBER(AL388),AL388&gt;(C388+T388)),AZ388,0),IF(AND(ISNUMBER(AM388),AM388&gt;(C388+T388)),BA388,0),IF(AND(ISNUMBER(AN388),AN388&gt;(C388+T388)),BB388,0),IF(AND(ISNUMBER(AO388),AO388&gt;(C388+T388)),BC388,0))</f>
        <v/>
      </c>
      <c r="BE388" s="29">
        <f>IF(AT388=1,"transition",IF(MIN(IF(AND(J388=0,ISNUMBER(AP388),AP388&lt;=(C388+T388)),AP388,9E15),IF(AND(K388=0,ISNUMBER(AQ388),AQ388&lt;=(C388+T388)),AQ388,9E15),IF(AND(L388=0,ISNUMBER(AR388),AR388&lt;=(C388+T388)),AR388,9E15),IF(AND(M388=0,ISNUMBER(AS388),AS388&lt;=(C388+T388)),AS388,9E15))&lt;9E15,IF(AND(AND(J388=0,ISNUMBER(AP388),AP388&lt;=(C388+T388)),AP388=MIN(IF(AND(J388=0,ISNUMBER(AP388),AP388&lt;=(C388+T388)),AP388,9E15),IF(AND(K388=0,ISNUMBER(AQ388),AQ388&lt;=(C388+T388)),AQ388,9E15),IF(AND(L388=0,ISNUMBER(AR388),AR388&lt;=(C388+T388)),AR388,9E15),IF(AND(M388=0,ISNUMBER(AS388),AS388&lt;=(C388+T388)),AS388,9E15))),"BiP",IF(AND(AND(K388=0,ISNUMBER(AQ388),AQ388&lt;=(C388+T388)),AQ388=MIN(IF(AND(J388=0,ISNUMBER(AP388),AP388&lt;=(C388+T388)),AP388,9E15),IF(AND(K388=0,ISNUMBER(AQ388),AQ388&lt;=(C388+T388)),AQ388,9E15),IF(AND(L388=0,ISNUMBER(AR388),AR388&lt;=(C388+T388)),AR388,9E15),IF(AND(M388=0,ISNUMBER(AS388),AS388&lt;=(C388+T388)),AS388,9E15))),"PV",IF(AND(AND(L388=0,ISNUMBER(AR388),AR388&lt;=(C388+T388)),AR388=MIN(IF(AND(J388=0,ISNUMBER(AP388),AP388&lt;=(C388+T388)),AP388,9E15),IF(AND(K388=0,ISNUMBER(AQ388),AQ388&lt;=(C388+T388)),AQ388,9E15),IF(AND(L388=0,ISNUMBER(AR388),AR388&lt;=(C388+T388)),AR388,9E15),IF(AND(M388=0,ISNUMBER(AS388),AS388&lt;=(C388+T388)),AS388,9E15))),"OC","MG"))),IF(AX388=TRUE,"",IF(MAX(IF(AND(NOT(AND(AU388=1,AT388&lt;&gt;1)),ISNUMBER(AK388),AK388&lt;=(C388+T388)),AY388,0),IF(AND(NOT(AND(AU388=1,AT388&lt;&gt;1)),ISNUMBER(AL388),AL388&lt;=(C388+T388)),AZ388,0),IF(AND(NOT(AND(AU388=1,AT388&lt;&gt;1)),ISNUMBER(AM388),AM388&lt;=(C388+T388)),BA388,0),IF(AND(NOT(AND(AU388=1,AT388&lt;&gt;1)),ISNUMBER(AN388),AN388&lt;=(C388+T388)),BB388,0),IF(AND(ISNUMBER(AO388),AO388&lt;=(C388+T388)),BC388,0))&lt;=0,"",IF(AND(IF(AND(NOT(AND(AU388=1,AT388&lt;&gt;1)),ISNUMBER(AK388),AK388&lt;=(C388+T388)),AY388,0)&gt;0,IF(AND(NOT(AND(AU388=1,AT388&lt;&gt;1)),ISNUMBER(AK388),AK388&lt;=(C388+T388)),AY388,0)=MAX(IF(AND(NOT(AND(AU388=1,AT388&lt;&gt;1)),ISNUMBER(AK388),AK388&lt;=(C388+T388)),AY388,0),IF(AND(NOT(AND(AU388=1,AT388&lt;&gt;1)),ISNUMBER(AL388),AL388&lt;=(C388+T388)),AZ388,0),IF(AND(NOT(AND(AU388=1,AT388&lt;&gt;1)),ISNUMBER(AM388),AM388&lt;=(C388+T388)),BA388,0),IF(AND(NOT(AND(AU388=1,AT388&lt;&gt;1)),ISNUMBER(AN388),AN388&lt;=(C388+T388)),BB388,0),IF(AND(ISNUMBER(AO388),AO388&lt;=(C388+T388)),BC388,0))),"SK",IF(AND(IF(AND(NOT(AND(AU388=1,AT388&lt;&gt;1)),ISNUMBER(AL388),AL388&lt;=(C388+T388)),AZ388,0)&gt;0,IF(AND(NOT(AND(AU388=1,AT388&lt;&gt;1)),ISNUMBER(AL388),AL388&lt;=(C388+T388)),AZ388,0)=MAX(IF(AND(NOT(AND(AU388=1,AT388&lt;&gt;1)),ISNUMBER(AK388),AK388&lt;=(C388+T388)),AY388,0),IF(AND(NOT(AND(AU388=1,AT388&lt;&gt;1)),ISNUMBER(AL388),AL388&lt;=(C388+T388)),AZ388,0),IF(AND(NOT(AND(AU388=1,AT388&lt;&gt;1)),ISNUMBER(AM388),AM388&lt;=(C388+T388)),BA388,0),IF(AND(NOT(AND(AU388=1,AT388&lt;&gt;1)),ISNUMBER(AN388),AN388&lt;=(C388+T388)),BB388,0),IF(AND(ISNUMBER(AO388),AO388&lt;=(C388+T388)),BC388,0))),"LB",IF(AND(IF(AND(NOT(AND(AU388=1,AT388&lt;&gt;1)),ISNUMBER(AM388),AM388&lt;=(C388+T388)),BA388,0)&gt;0,IF(AND(NOT(AND(AU388=1,AT388&lt;&gt;1)),ISNUMBER(AM388),AM388&lt;=(C388+T388)),BA388,0)=MAX(IF(AND(NOT(AND(AU388=1,AT388&lt;&gt;1)),ISNUMBER(AK388),AK388&lt;=(C388+T388)),AY388,0),IF(AND(NOT(AND(AU388=1,AT388&lt;&gt;1)),ISNUMBER(AL388),AL388&lt;=(C388+T388)),AZ388,0),IF(AND(NOT(AND(AU388=1,AT388&lt;&gt;1)),ISNUMBER(AM388),AM388&lt;=(C388+T388)),BA388,0),IF(AND(NOT(AND(AU388=1,AT388&lt;&gt;1)),ISNUMBER(AN388),AN388&lt;=(C388+T388)),BB388,0),IF(AND(ISNUMBER(AO388),AO388&lt;=(C388+T388)),BC388,0))),"ML",IF(AND(IF(AND(NOT(AND(AU388=1,AT388&lt;&gt;1)),ISNUMBER(AN388),AN388&lt;=(C388+T388)),BB388,0)&gt;0,IF(AND(NOT(AND(AU388=1,AT388&lt;&gt;1)),ISNUMBER(AN388),AN388&lt;=(C388+T388)),BB388,0)=MAX(IF(AND(NOT(AND(AU388=1,AT388&lt;&gt;1)),ISNUMBER(AK388),AK388&lt;=(C388+T388)),AY388,0),IF(AND(NOT(AND(AU388=1,AT388&lt;&gt;1)),ISNUMBER(AL388),AL388&lt;=(C388+T388)),AZ388,0),IF(AND(NOT(AND(AU388=1,AT388&lt;&gt;1)),ISNUMBER(AM388),AM388&lt;=(C388+T388)),BA388,0),IF(AND(NOT(AND(AU388=1,AT388&lt;&gt;1)),ISNUMBER(AN388),AN388&lt;=(C388+T388)),BB388,0),IF(AND(ISNUMBER(AO388),AO388&lt;=(C388+T388)),BC388,0))),"RLO","BD"))))))))</f>
        <v/>
      </c>
    </row>
    <row r="389">
      <c r="A389" s="26" t="n">
        <v>378</v>
      </c>
      <c r="B389" s="27">
        <f>A389*10/60</f>
        <v/>
      </c>
      <c r="C389" s="22">
        <f>X388</f>
        <v/>
      </c>
      <c r="D389" s="27">
        <f>D388+W388</f>
        <v/>
      </c>
      <c r="E389" s="26">
        <f>E388+IF(U388="SK",1,0)</f>
        <v/>
      </c>
      <c r="F389" s="26">
        <f>F388+IF(U388="LB",1,0)</f>
        <v/>
      </c>
      <c r="G389" s="26">
        <f>G388+IF(U388="ML",1,0)</f>
        <v/>
      </c>
      <c r="H389" s="26">
        <f>H388+IF(U388="RLO",1,0)</f>
        <v/>
      </c>
      <c r="I389" s="26">
        <f>I388+IF(U388="BD",1,0)</f>
        <v/>
      </c>
      <c r="J389" s="26">
        <f>MAX(J388,IF(U388="BiP",1,0))</f>
        <v/>
      </c>
      <c r="K389" s="26">
        <f>MAX(K388,IF(U388="PV",1,0))</f>
        <v/>
      </c>
      <c r="L389" s="26">
        <f>MAX(L388,IF(U388="OC",1,0))</f>
        <v/>
      </c>
      <c r="M389" s="26">
        <f>MAX(M388,IF(U388="MG",1,0))</f>
        <v/>
      </c>
      <c r="N389" s="26">
        <f>MAX(N388,IF(U388="transition",1,0))</f>
        <v/>
      </c>
      <c r="O389" s="28">
        <f>(Parameters!$B$9+(IF(E389=0,0,(Upgrades!$J$13+E389*Upgrades!$K$13)*POWER(Upgrades!$L$13,E389)))*(IF(Upgrades!$T$14="Stellar Kinematics",POWER(Upgrades!$U$14,F389),1)*IF(Upgrades!$T$15="Stellar Kinematics",POWER(Upgrades!$U$15,G389),1)*IF(Upgrades!$T$16="Stellar Kinematics",POWER(Upgrades!$U$16,H389),1)*IF(Upgrades!$T$17="Stellar Kinematics",POWER(Upgrades!$U$17,I389),1)*IF(Upgrades!$T$18="Stellar Kinematics",POWER(Upgrades!$U$18,J389),1)*IF(Upgrades!$T$19="Stellar Kinematics",POWER(Upgrades!$U$19,K389),1)*IF(Upgrades!$T$20="Stellar Kinematics",POWER(Upgrades!$U$20,L389),1)*IF(Upgrades!$T$21="Stellar Kinematics",POWER(Upgrades!$U$21,M389),1))+(IF(F389=0,0,(Upgrades!$J$14+F389*Upgrades!$K$14)*POWER(Upgrades!$L$14,F389)))*(IF(Upgrades!$T$13="Local Bubble",POWER(Upgrades!$U$13,E389),1)*IF(Upgrades!$T$15="Local Bubble",POWER(Upgrades!$U$15,G389),1)*IF(Upgrades!$T$16="Local Bubble",POWER(Upgrades!$U$16,H389),1)*IF(Upgrades!$T$17="Local Bubble",POWER(Upgrades!$U$17,I389),1)*IF(Upgrades!$T$18="Local Bubble",POWER(Upgrades!$U$18,J389),1)*IF(Upgrades!$T$19="Local Bubble",POWER(Upgrades!$U$19,K389),1)*IF(Upgrades!$T$20="Local Bubble",POWER(Upgrades!$U$20,L389),1)*IF(Upgrades!$T$21="Local Bubble",POWER(Upgrades!$U$21,M389),1))+(IF(G389=0,0,(Upgrades!$J$15+G389*Upgrades!$K$15)*POWER(Upgrades!$L$15,G389)))*(IF(Upgrades!$T$13="Microlensing",POWER(Upgrades!$U$13,E389),1)*IF(Upgrades!$T$14="Microlensing",POWER(Upgrades!$U$14,F389),1)*IF(Upgrades!$T$16="Microlensing",POWER(Upgrades!$U$16,H389),1)*IF(Upgrades!$T$17="Microlensing",POWER(Upgrades!$U$17,I389),1)*IF(Upgrades!$T$18="Microlensing",POWER(Upgrades!$U$18,J389),1)*IF(Upgrades!$T$19="Microlensing",POWER(Upgrades!$U$19,K389),1)*IF(Upgrades!$T$20="Microlensing",POWER(Upgrades!$U$20,L389),1)*IF(Upgrades!$T$21="Microlensing",POWER(Upgrades!$U$21,M389),1))+(IF(H389=0,0,(Upgrades!$J$16+H389*Upgrades!$K$16)*POWER(Upgrades!$L$16,H389)))*(IF(Upgrades!$T$13="Roche Lobe Overflow",POWER(Upgrades!$U$13,E389),1)*IF(Upgrades!$T$14="Roche Lobe Overflow",POWER(Upgrades!$U$14,F389),1)*IF(Upgrades!$T$15="Roche Lobe Overflow",POWER(Upgrades!$U$15,G389),1)*IF(Upgrades!$T$17="Roche Lobe Overflow",POWER(Upgrades!$U$17,I389),1)*IF(Upgrades!$T$18="Roche Lobe Overflow",POWER(Upgrades!$U$18,J389),1)*IF(Upgrades!$T$19="Roche Lobe Overflow",POWER(Upgrades!$U$19,K389),1)*IF(Upgrades!$T$20="Roche Lobe Overflow",POWER(Upgrades!$U$20,L389),1)*IF(Upgrades!$T$21="Roche Lobe Overflow",POWER(Upgrades!$U$21,M389),1))+(IF(I389=0,0,(Upgrades!$J$17+I389*Upgrades!$K$17)*POWER(Upgrades!$L$17,I389)))*(IF(Upgrades!$T$13="Brown Dwarf",POWER(Upgrades!$U$13,E389),1)*IF(Upgrades!$T$14="Brown Dwarf",POWER(Upgrades!$U$14,F389),1)*IF(Upgrades!$T$15="Brown Dwarf",POWER(Upgrades!$U$15,G389),1)*IF(Upgrades!$T$16="Brown Dwarf",POWER(Upgrades!$U$16,H389),1)*IF(Upgrades!$T$18="Brown Dwarf",POWER(Upgrades!$U$18,J389),1)*IF(Upgrades!$T$19="Brown Dwarf",POWER(Upgrades!$U$19,K389),1)*IF(Upgrades!$T$20="Brown Dwarf",POWER(Upgrades!$U$20,L389),1)*IF(Upgrades!$T$21="Brown Dwarf",POWER(Upgrades!$U$21,M389),1))+(IF(J389=0,0,(Upgrades!$J$18+J389*Upgrades!$K$18)*POWER(Upgrades!$L$18,J389)))*(IF(Upgrades!$T$13="Binary Partner",POWER(Upgrades!$U$13,E389),1)*IF(Upgrades!$T$14="Binary Partner",POWER(Upgrades!$U$14,F389),1)*IF(Upgrades!$T$15="Binary Partner",POWER(Upgrades!$U$15,G389),1)*IF(Upgrades!$T$16="Binary Partner",POWER(Upgrades!$U$16,H389),1)*IF(Upgrades!$T$17="Binary Partner",POWER(Upgrades!$U$17,I389),1)*IF(Upgrades!$T$19="Binary Partner",POWER(Upgrades!$U$19,K389),1)*IF(Upgrades!$T$20="Binary Partner",POWER(Upgrades!$U$20,L389),1)*IF(Upgrades!$T$21="Binary Partner",POWER(Upgrades!$U$21,M389),1))+(IF(K389=0,0,(Upgrades!$J$19+K389*Upgrades!$K$19)*POWER(Upgrades!$L$19,K389)))*(IF(Upgrades!$T$13="Peculiar Velocity",POWER(Upgrades!$U$13,E389),1)*IF(Upgrades!$T$14="Peculiar Velocity",POWER(Upgrades!$U$14,F389),1)*IF(Upgrades!$T$15="Peculiar Velocity",POWER(Upgrades!$U$15,G389),1)*IF(Upgrades!$T$16="Peculiar Velocity",POWER(Upgrades!$U$16,H389),1)*IF(Upgrades!$T$17="Peculiar Velocity",POWER(Upgrades!$U$17,I389),1)*IF(Upgrades!$T$18="Peculiar Velocity",POWER(Upgrades!$U$18,J389),1)*IF(Upgrades!$T$20="Peculiar Velocity",POWER(Upgrades!$U$20,L389),1)*IF(Upgrades!$T$21="Peculiar Velocity",POWER(Upgrades!$U$21,M389),1))+(IF(L389=0,0,(Upgrades!$J$20+L389*Upgrades!$K$20)*POWER(Upgrades!$L$20,L389)))*(IF(Upgrades!$T$13="Open Cluster",POWER(Upgrades!$U$13,E389),1)*IF(Upgrades!$T$14="Open Cluster",POWER(Upgrades!$U$14,F389),1)*IF(Upgrades!$T$15="Open Cluster",POWER(Upgrades!$U$15,G389),1)*IF(Upgrades!$T$16="Open Cluster",POWER(Upgrades!$U$16,H389),1)*IF(Upgrades!$T$17="Open Cluster",POWER(Upgrades!$U$17,I389),1)*IF(Upgrades!$T$18="Open Cluster",POWER(Upgrades!$U$18,J389),1)*IF(Upgrades!$T$19="Open Cluster",POWER(Upgrades!$U$19,K389),1)*IF(Upgrades!$T$21="Open Cluster",POWER(Upgrades!$U$21,M389),1))+(IF(M389=0,0,(Upgrades!$J$21+M389*Upgrades!$K$21)*POWER(Upgrades!$L$21,M389)))*(IF(Upgrades!$T$13="Moving Group",POWER(Upgrades!$U$13,E389),1)*IF(Upgrades!$T$14="Moving Group",POWER(Upgrades!$U$14,F389),1)*IF(Upgrades!$T$15="Moving Group",POWER(Upgrades!$U$15,G389),1)*IF(Upgrades!$T$16="Moving Group",POWER(Upgrades!$U$16,H389),1)*IF(Upgrades!$T$17="Moving Group",POWER(Upgrades!$U$17,I389),1)*IF(Upgrades!$T$18="Moving Group",POWER(Upgrades!$U$18,J389),1)*IF(Upgrades!$T$19="Moving Group",POWER(Upgrades!$U$19,K389),1)*IF(Upgrades!$T$20="Moving Group",POWER(Upgrades!$U$20,L389),1)))*POWER(Upgrades!$Q$13,E389)*POWER(Upgrades!$Q$14,F389)*POWER(Upgrades!$Q$15,G389)*POWER(Upgrades!$Q$16,H389)*POWER(Upgrades!$Q$17,I389)*POWER(Upgrades!$Q$18,J389)*POWER(Upgrades!$Q$19,K389)*POWER(Upgrades!$Q$20,L389)*POWER(Upgrades!$Q$21,M389)*$G$6+$D$6</f>
        <v/>
      </c>
      <c r="P389" s="28">
        <f>((IF(E389=0,0,(Upgrades!$G$13+E389*Upgrades!$H$13)*POWER(Upgrades!$I$13,E389)))*(IF(Upgrades!$T$14="Stellar Kinematics",POWER(Upgrades!$U$14,F389),1)*IF(Upgrades!$T$15="Stellar Kinematics",POWER(Upgrades!$U$15,G389),1)*IF(Upgrades!$T$16="Stellar Kinematics",POWER(Upgrades!$U$16,H389),1)*IF(Upgrades!$T$17="Stellar Kinematics",POWER(Upgrades!$U$17,I389),1)*IF(Upgrades!$T$18="Stellar Kinematics",POWER(Upgrades!$U$18,J389),1)*IF(Upgrades!$T$19="Stellar Kinematics",POWER(Upgrades!$U$19,K389),1)*IF(Upgrades!$T$20="Stellar Kinematics",POWER(Upgrades!$U$20,L389),1)*IF(Upgrades!$T$21="Stellar Kinematics",POWER(Upgrades!$U$21,M389),1))+(IF(F389=0,0,(Upgrades!$G$14+F389*Upgrades!$H$14)*POWER(Upgrades!$I$14,F389)))*(IF(Upgrades!$T$13="Local Bubble",POWER(Upgrades!$U$13,E389),1)*IF(Upgrades!$T$15="Local Bubble",POWER(Upgrades!$U$15,G389),1)*IF(Upgrades!$T$16="Local Bubble",POWER(Upgrades!$U$16,H389),1)*IF(Upgrades!$T$17="Local Bubble",POWER(Upgrades!$U$17,I389),1)*IF(Upgrades!$T$18="Local Bubble",POWER(Upgrades!$U$18,J389),1)*IF(Upgrades!$T$19="Local Bubble",POWER(Upgrades!$U$19,K389),1)*IF(Upgrades!$T$20="Local Bubble",POWER(Upgrades!$U$20,L389),1)*IF(Upgrades!$T$21="Local Bubble",POWER(Upgrades!$U$21,M389),1))+(IF(G389=0,0,(Upgrades!$G$15+G389*Upgrades!$H$15)*POWER(Upgrades!$I$15,G389)))*(IF(Upgrades!$T$13="Microlensing",POWER(Upgrades!$U$13,E389),1)*IF(Upgrades!$T$14="Microlensing",POWER(Upgrades!$U$14,F389),1)*IF(Upgrades!$T$16="Microlensing",POWER(Upgrades!$U$16,H389),1)*IF(Upgrades!$T$17="Microlensing",POWER(Upgrades!$U$17,I389),1)*IF(Upgrades!$T$18="Microlensing",POWER(Upgrades!$U$18,J389),1)*IF(Upgrades!$T$19="Microlensing",POWER(Upgrades!$U$19,K389),1)*IF(Upgrades!$T$20="Microlensing",POWER(Upgrades!$U$20,L389),1)*IF(Upgrades!$T$21="Microlensing",POWER(Upgrades!$U$21,M389),1))+(IF(H389=0,0,(Upgrades!$G$16+H389*Upgrades!$H$16)*POWER(Upgrades!$I$16,H389)))*(IF(Upgrades!$T$13="Roche Lobe Overflow",POWER(Upgrades!$U$13,E389),1)*IF(Upgrades!$T$14="Roche Lobe Overflow",POWER(Upgrades!$U$14,F389),1)*IF(Upgrades!$T$15="Roche Lobe Overflow",POWER(Upgrades!$U$15,G389),1)*IF(Upgrades!$T$17="Roche Lobe Overflow",POWER(Upgrades!$U$17,I389),1)*IF(Upgrades!$T$18="Roche Lobe Overflow",POWER(Upgrades!$U$18,J389),1)*IF(Upgrades!$T$19="Roche Lobe Overflow",POWER(Upgrades!$U$19,K389),1)*IF(Upgrades!$T$20="Roche Lobe Overflow",POWER(Upgrades!$U$20,L389),1)*IF(Upgrades!$T$21="Roche Lobe Overflow",POWER(Upgrades!$U$21,M389),1))+(IF(I389=0,0,(Upgrades!$G$17+I389*Upgrades!$H$17)*POWER(Upgrades!$I$17,I389)))*(IF(Upgrades!$T$13="Brown Dwarf",POWER(Upgrades!$U$13,E389),1)*IF(Upgrades!$T$14="Brown Dwarf",POWER(Upgrades!$U$14,F389),1)*IF(Upgrades!$T$15="Brown Dwarf",POWER(Upgrades!$U$15,G389),1)*IF(Upgrades!$T$16="Brown Dwarf",POWER(Upgrades!$U$16,H389),1)*IF(Upgrades!$T$18="Brown Dwarf",POWER(Upgrades!$U$18,J389),1)*IF(Upgrades!$T$19="Brown Dwarf",POWER(Upgrades!$U$19,K389),1)*IF(Upgrades!$T$20="Brown Dwarf",POWER(Upgrades!$U$20,L389),1)*IF(Upgrades!$T$21="Brown Dwarf",POWER(Upgrades!$U$21,M389),1))+(IF(J389=0,0,(Upgrades!$G$18+J389*Upgrades!$H$18)*POWER(Upgrades!$I$18,J389)))*(IF(Upgrades!$T$13="Binary Partner",POWER(Upgrades!$U$13,E389),1)*IF(Upgrades!$T$14="Binary Partner",POWER(Upgrades!$U$14,F389),1)*IF(Upgrades!$T$15="Binary Partner",POWER(Upgrades!$U$15,G389),1)*IF(Upgrades!$T$16="Binary Partner",POWER(Upgrades!$U$16,H389),1)*IF(Upgrades!$T$17="Binary Partner",POWER(Upgrades!$U$17,I389),1)*IF(Upgrades!$T$19="Binary Partner",POWER(Upgrades!$U$19,K389),1)*IF(Upgrades!$T$20="Binary Partner",POWER(Upgrades!$U$20,L389),1)*IF(Upgrades!$T$21="Binary Partner",POWER(Upgrades!$U$21,M389),1))+(IF(K389=0,0,(Upgrades!$G$19+K389*Upgrades!$H$19)*POWER(Upgrades!$I$19,K389)))*(IF(Upgrades!$T$13="Peculiar Velocity",POWER(Upgrades!$U$13,E389),1)*IF(Upgrades!$T$14="Peculiar Velocity",POWER(Upgrades!$U$14,F389),1)*IF(Upgrades!$T$15="Peculiar Velocity",POWER(Upgrades!$U$15,G389),1)*IF(Upgrades!$T$16="Peculiar Velocity",POWER(Upgrades!$U$16,H389),1)*IF(Upgrades!$T$17="Peculiar Velocity",POWER(Upgrades!$U$17,I389),1)*IF(Upgrades!$T$18="Peculiar Velocity",POWER(Upgrades!$U$18,J389),1)*IF(Upgrades!$T$20="Peculiar Velocity",POWER(Upgrades!$U$20,L389),1)*IF(Upgrades!$T$21="Peculiar Velocity",POWER(Upgrades!$U$21,M389),1))+(IF(L389=0,0,(Upgrades!$G$20+L389*Upgrades!$H$20)*POWER(Upgrades!$I$20,L389)))*(IF(Upgrades!$T$13="Open Cluster",POWER(Upgrades!$U$13,E389),1)*IF(Upgrades!$T$14="Open Cluster",POWER(Upgrades!$U$14,F389),1)*IF(Upgrades!$T$15="Open Cluster",POWER(Upgrades!$U$15,G389),1)*IF(Upgrades!$T$16="Open Cluster",POWER(Upgrades!$U$16,H389),1)*IF(Upgrades!$T$17="Open Cluster",POWER(Upgrades!$U$17,I389),1)*IF(Upgrades!$T$18="Open Cluster",POWER(Upgrades!$U$18,J389),1)*IF(Upgrades!$T$19="Open Cluster",POWER(Upgrades!$U$19,K389),1)*IF(Upgrades!$T$21="Open Cluster",POWER(Upgrades!$U$21,M389),1))+(IF(M389=0,0,(Upgrades!$G$21+M389*Upgrades!$H$21)*POWER(Upgrades!$I$21,M389)))*(IF(Upgrades!$T$13="Moving Group",POWER(Upgrades!$U$13,E389),1)*IF(Upgrades!$T$14="Moving Group",POWER(Upgrades!$U$14,F389),1)*IF(Upgrades!$T$15="Moving Group",POWER(Upgrades!$U$15,G389),1)*IF(Upgrades!$T$16="Moving Group",POWER(Upgrades!$U$16,H389),1)*IF(Upgrades!$T$17="Moving Group",POWER(Upgrades!$U$17,I389),1)*IF(Upgrades!$T$18="Moving Group",POWER(Upgrades!$U$18,J389),1)*IF(Upgrades!$T$19="Moving Group",POWER(Upgrades!$U$19,K389),1)*IF(Upgrades!$T$20="Moving Group",POWER(Upgrades!$U$20,L389),1)))*POWER(Upgrades!$P$13,E389)*POWER(Upgrades!$P$14,F389)*POWER(Upgrades!$P$15,G389)*POWER(Upgrades!$P$16,H389)*POWER(Upgrades!$P$17,I389)*POWER(Upgrades!$P$18,J389)*POWER(Upgrades!$P$19,K389)*POWER(Upgrades!$P$20,L389)*POWER(Upgrades!$P$21,M389)*$F$6+$C$6</f>
        <v/>
      </c>
      <c r="Q389" s="28">
        <f>((IF(E389=0,0,(Upgrades!$M$13+E389*Upgrades!$N$13)*POWER(Upgrades!$O$13,E389)))*(IF(Upgrades!$T$14="Stellar Kinematics",POWER(Upgrades!$U$14,F389),1)*IF(Upgrades!$T$15="Stellar Kinematics",POWER(Upgrades!$U$15,G389),1)*IF(Upgrades!$T$16="Stellar Kinematics",POWER(Upgrades!$U$16,H389),1)*IF(Upgrades!$T$17="Stellar Kinematics",POWER(Upgrades!$U$17,I389),1)*IF(Upgrades!$T$18="Stellar Kinematics",POWER(Upgrades!$U$18,J389),1)*IF(Upgrades!$T$19="Stellar Kinematics",POWER(Upgrades!$U$19,K389),1)*IF(Upgrades!$T$20="Stellar Kinematics",POWER(Upgrades!$U$20,L389),1)*IF(Upgrades!$T$21="Stellar Kinematics",POWER(Upgrades!$U$21,M389),1))+(IF(F389=0,0,(Upgrades!$M$14+F389*Upgrades!$N$14)*POWER(Upgrades!$O$14,F389)))*(IF(Upgrades!$T$13="Local Bubble",POWER(Upgrades!$U$13,E389),1)*IF(Upgrades!$T$15="Local Bubble",POWER(Upgrades!$U$15,G389),1)*IF(Upgrades!$T$16="Local Bubble",POWER(Upgrades!$U$16,H389),1)*IF(Upgrades!$T$17="Local Bubble",POWER(Upgrades!$U$17,I389),1)*IF(Upgrades!$T$18="Local Bubble",POWER(Upgrades!$U$18,J389),1)*IF(Upgrades!$T$19="Local Bubble",POWER(Upgrades!$U$19,K389),1)*IF(Upgrades!$T$20="Local Bubble",POWER(Upgrades!$U$20,L389),1)*IF(Upgrades!$T$21="Local Bubble",POWER(Upgrades!$U$21,M389),1))+(IF(G389=0,0,(Upgrades!$M$15+G389*Upgrades!$N$15)*POWER(Upgrades!$O$15,G389)))*(IF(Upgrades!$T$13="Microlensing",POWER(Upgrades!$U$13,E389),1)*IF(Upgrades!$T$14="Microlensing",POWER(Upgrades!$U$14,F389),1)*IF(Upgrades!$T$16="Microlensing",POWER(Upgrades!$U$16,H389),1)*IF(Upgrades!$T$17="Microlensing",POWER(Upgrades!$U$17,I389),1)*IF(Upgrades!$T$18="Microlensing",POWER(Upgrades!$U$18,J389),1)*IF(Upgrades!$T$19="Microlensing",POWER(Upgrades!$U$19,K389),1)*IF(Upgrades!$T$20="Microlensing",POWER(Upgrades!$U$20,L389),1)*IF(Upgrades!$T$21="Microlensing",POWER(Upgrades!$U$21,M389),1))+(IF(H389=0,0,(Upgrades!$M$16+H389*Upgrades!$N$16)*POWER(Upgrades!$O$16,H389)))*(IF(Upgrades!$T$13="Roche Lobe Overflow",POWER(Upgrades!$U$13,E389),1)*IF(Upgrades!$T$14="Roche Lobe Overflow",POWER(Upgrades!$U$14,F389),1)*IF(Upgrades!$T$15="Roche Lobe Overflow",POWER(Upgrades!$U$15,G389),1)*IF(Upgrades!$T$17="Roche Lobe Overflow",POWER(Upgrades!$U$17,I389),1)*IF(Upgrades!$T$18="Roche Lobe Overflow",POWER(Upgrades!$U$18,J389),1)*IF(Upgrades!$T$19="Roche Lobe Overflow",POWER(Upgrades!$U$19,K389),1)*IF(Upgrades!$T$20="Roche Lobe Overflow",POWER(Upgrades!$U$20,L389),1)*IF(Upgrades!$T$21="Roche Lobe Overflow",POWER(Upgrades!$U$21,M389),1))+(IF(I389=0,0,(Upgrades!$M$17+I389*Upgrades!$N$17)*POWER(Upgrades!$O$17,I389)))*(IF(Upgrades!$T$13="Brown Dwarf",POWER(Upgrades!$U$13,E389),1)*IF(Upgrades!$T$14="Brown Dwarf",POWER(Upgrades!$U$14,F389),1)*IF(Upgrades!$T$15="Brown Dwarf",POWER(Upgrades!$U$15,G389),1)*IF(Upgrades!$T$16="Brown Dwarf",POWER(Upgrades!$U$16,H389),1)*IF(Upgrades!$T$18="Brown Dwarf",POWER(Upgrades!$U$18,J389),1)*IF(Upgrades!$T$19="Brown Dwarf",POWER(Upgrades!$U$19,K389),1)*IF(Upgrades!$T$20="Brown Dwarf",POWER(Upgrades!$U$20,L389),1)*IF(Upgrades!$T$21="Brown Dwarf",POWER(Upgrades!$U$21,M389),1))+(IF(J389=0,0,(Upgrades!$M$18+J389*Upgrades!$N$18)*POWER(Upgrades!$O$18,J389)))*(IF(Upgrades!$T$13="Binary Partner",POWER(Upgrades!$U$13,E389),1)*IF(Upgrades!$T$14="Binary Partner",POWER(Upgrades!$U$14,F389),1)*IF(Upgrades!$T$15="Binary Partner",POWER(Upgrades!$U$15,G389),1)*IF(Upgrades!$T$16="Binary Partner",POWER(Upgrades!$U$16,H389),1)*IF(Upgrades!$T$17="Binary Partner",POWER(Upgrades!$U$17,I389),1)*IF(Upgrades!$T$19="Binary Partner",POWER(Upgrades!$U$19,K389),1)*IF(Upgrades!$T$20="Binary Partner",POWER(Upgrades!$U$20,L389),1)*IF(Upgrades!$T$21="Binary Partner",POWER(Upgrades!$U$21,M389),1))+(IF(K389=0,0,(Upgrades!$M$19+K389*Upgrades!$N$19)*POWER(Upgrades!$O$19,K389)))*(IF(Upgrades!$T$13="Peculiar Velocity",POWER(Upgrades!$U$13,E389),1)*IF(Upgrades!$T$14="Peculiar Velocity",POWER(Upgrades!$U$14,F389),1)*IF(Upgrades!$T$15="Peculiar Velocity",POWER(Upgrades!$U$15,G389),1)*IF(Upgrades!$T$16="Peculiar Velocity",POWER(Upgrades!$U$16,H389),1)*IF(Upgrades!$T$17="Peculiar Velocity",POWER(Upgrades!$U$17,I389),1)*IF(Upgrades!$T$18="Peculiar Velocity",POWER(Upgrades!$U$18,J389),1)*IF(Upgrades!$T$20="Peculiar Velocity",POWER(Upgrades!$U$20,L389),1)*IF(Upgrades!$T$21="Peculiar Velocity",POWER(Upgrades!$U$21,M389),1))+(IF(L389=0,0,(Upgrades!$M$20+L389*Upgrades!$N$20)*POWER(Upgrades!$O$20,L389)))*(IF(Upgrades!$T$13="Open Cluster",POWER(Upgrades!$U$13,E389),1)*IF(Upgrades!$T$14="Open Cluster",POWER(Upgrades!$U$14,F389),1)*IF(Upgrades!$T$15="Open Cluster",POWER(Upgrades!$U$15,G389),1)*IF(Upgrades!$T$16="Open Cluster",POWER(Upgrades!$U$16,H389),1)*IF(Upgrades!$T$17="Open Cluster",POWER(Upgrades!$U$17,I389),1)*IF(Upgrades!$T$18="Open Cluster",POWER(Upgrades!$U$18,J389),1)*IF(Upgrades!$T$19="Open Cluster",POWER(Upgrades!$U$19,K389),1)*IF(Upgrades!$T$21="Open Cluster",POWER(Upgrades!$U$21,M389),1))+(IF(M389=0,0,(Upgrades!$M$21+M389*Upgrades!$N$21)*POWER(Upgrades!$O$21,M389)))*(IF(Upgrades!$T$13="Moving Group",POWER(Upgrades!$U$13,E389),1)*IF(Upgrades!$T$14="Moving Group",POWER(Upgrades!$U$14,F389),1)*IF(Upgrades!$T$15="Moving Group",POWER(Upgrades!$U$15,G389),1)*IF(Upgrades!$T$16="Moving Group",POWER(Upgrades!$U$16,H389),1)*IF(Upgrades!$T$17="Moving Group",POWER(Upgrades!$U$17,I389),1)*IF(Upgrades!$T$18="Moving Group",POWER(Upgrades!$U$18,J389),1)*IF(Upgrades!$T$19="Moving Group",POWER(Upgrades!$U$19,K389),1)*IF(Upgrades!$T$20="Moving Group",POWER(Upgrades!$U$20,L389),1)))*POWER(Upgrades!$R$13,E389)*POWER(Upgrades!$R$14,F389)*POWER(Upgrades!$R$15,G389)*POWER(Upgrades!$R$16,H389)*POWER(Upgrades!$R$17,I389)*POWER(Upgrades!$R$18,J389)*POWER(Upgrades!$R$19,K389)*POWER(Upgrades!$R$20,L389)*POWER(Upgrades!$R$21,M389)*$H$6+$E$6</f>
        <v/>
      </c>
      <c r="R389" s="27">
        <f>IF(N389=1,0,O389*Parameters!$B$10/60*Parameters!$B$11*10)</f>
        <v/>
      </c>
      <c r="S389" s="27">
        <f>IF(N389=1,0,Q389*O389*10)</f>
        <v/>
      </c>
      <c r="T389" s="27">
        <f>IF(N389=1,0,R389+S389+P389*10)</f>
        <v/>
      </c>
      <c r="U389" s="33">
        <f>BE389</f>
        <v/>
      </c>
      <c r="V389" s="22">
        <f>IF(U389="",0,IF(U389="transition",0,IF(U389="SK",AK389,IF(U389="LB",AL389,IF(U389="ML",AM389,IF(U389="RLO",AN389,IF(U389="BD",AO389,IF(U389="BiP",AP389,IF(U389="PV",AQ389,IF(U389="OC",AR389,IF(U389="MG",AS389,0))))))))))</f>
        <v/>
      </c>
      <c r="W389" s="27">
        <f>IF(U389="BiP",Upgrades!$F$18,IF(U389="PV",Upgrades!$F$19,IF(U389="OC",Upgrades!$F$20,IF(U389="MG",Upgrades!$F$21,IF(U389="transition",-Parameters!$B$18*Parameters!$B$19,0)))))</f>
        <v/>
      </c>
      <c r="X389" s="22">
        <f>C389+T389-V389</f>
        <v/>
      </c>
      <c r="Y389" s="30">
        <f>O389*Parameters!$B$10/60*Parameters!$B$11+Q389*O389+P389</f>
        <v/>
      </c>
      <c r="Z389" s="34">
        <f>IF(U389="transition","→ Tier 3 (Galactic Arm)",IF(U389="MG","Moving Group — pocket drifts together",IF(U389="OC","Open Cluster acquired",IF(U389="PV","Peculiar Velocity — passive multiplier active",IF(U389="BiP","Binary Partner — pair bond formed",IF(AND(AU389=1,N389=0,AT389&lt;&gt;1),"Cohesion ready (waiting on completionists)","")))))) </f>
        <v/>
      </c>
      <c r="AA389" s="27">
        <f>(IF(E389=0,0,(Upgrades!$G$13+E389*Upgrades!$H$13)*POWER(Upgrades!$I$13,E389)))*(IF(Upgrades!$T$14="Stellar Kinematics",POWER(Upgrades!$U$14,F389),1)*IF(Upgrades!$T$15="Stellar Kinematics",POWER(Upgrades!$U$15,G389),1)*IF(Upgrades!$T$16="Stellar Kinematics",POWER(Upgrades!$U$16,H389),1)*IF(Upgrades!$T$17="Stellar Kinematics",POWER(Upgrades!$U$17,I389),1)*IF(Upgrades!$T$18="Stellar Kinematics",POWER(Upgrades!$U$18,J389),1)*IF(Upgrades!$T$19="Stellar Kinematics",POWER(Upgrades!$U$19,K389),1)*IF(Upgrades!$T$20="Stellar Kinematics",POWER(Upgrades!$U$20,L389),1)*IF(Upgrades!$T$21="Stellar Kinematics",POWER(Upgrades!$U$21,M389),1))*POWER(Upgrades!$P$13,E389)*POWER(Upgrades!$P$14,F389)*POWER(Upgrades!$P$15,G389)*POWER(Upgrades!$P$16,H389)*POWER(Upgrades!$P$17,I389)*POWER(Upgrades!$P$18,J389)*POWER(Upgrades!$P$19,K389)*POWER(Upgrades!$P$20,L389)*POWER(Upgrades!$P$21,M389)*$F$6*60</f>
        <v/>
      </c>
      <c r="AB389" s="27">
        <f>(IF(F389=0,0,(Upgrades!$G$14+F389*Upgrades!$H$14)*POWER(Upgrades!$I$14,F389)))*(IF(Upgrades!$T$13="Local Bubble",POWER(Upgrades!$U$13,E389),1)*IF(Upgrades!$T$15="Local Bubble",POWER(Upgrades!$U$15,G389),1)*IF(Upgrades!$T$16="Local Bubble",POWER(Upgrades!$U$16,H389),1)*IF(Upgrades!$T$17="Local Bubble",POWER(Upgrades!$U$17,I389),1)*IF(Upgrades!$T$18="Local Bubble",POWER(Upgrades!$U$18,J389),1)*IF(Upgrades!$T$19="Local Bubble",POWER(Upgrades!$U$19,K389),1)*IF(Upgrades!$T$20="Local Bubble",POWER(Upgrades!$U$20,L389),1)*IF(Upgrades!$T$21="Local Bubble",POWER(Upgrades!$U$21,M389),1))*POWER(Upgrades!$P$13,E389)*POWER(Upgrades!$P$14,F389)*POWER(Upgrades!$P$15,G389)*POWER(Upgrades!$P$16,H389)*POWER(Upgrades!$P$17,I389)*POWER(Upgrades!$P$18,J389)*POWER(Upgrades!$P$19,K389)*POWER(Upgrades!$P$20,L389)*POWER(Upgrades!$P$21,M389)*$F$6*60</f>
        <v/>
      </c>
      <c r="AC389" s="27">
        <f>(IF(G389=0,0,(Upgrades!$J$15+G389*Upgrades!$K$15)*POWER(Upgrades!$L$15,G389)))*(IF(Upgrades!$T$13="Microlensing",POWER(Upgrades!$U$13,E389),1)*IF(Upgrades!$T$14="Microlensing",POWER(Upgrades!$U$14,F389),1)*IF(Upgrades!$T$16="Microlensing",POWER(Upgrades!$U$16,H389),1)*IF(Upgrades!$T$17="Microlensing",POWER(Upgrades!$U$17,I389),1)*IF(Upgrades!$T$18="Microlensing",POWER(Upgrades!$U$18,J389),1)*IF(Upgrades!$T$19="Microlensing",POWER(Upgrades!$U$19,K389),1)*IF(Upgrades!$T$20="Microlensing",POWER(Upgrades!$U$20,L389),1)*IF(Upgrades!$T$21="Microlensing",POWER(Upgrades!$U$21,M389),1))*POWER(Upgrades!$Q$13,E389)*POWER(Upgrades!$Q$14,F389)*POWER(Upgrades!$Q$15,G389)*POWER(Upgrades!$Q$16,H389)*POWER(Upgrades!$Q$17,I389)*POWER(Upgrades!$Q$18,J389)*POWER(Upgrades!$Q$19,K389)*POWER(Upgrades!$Q$20,L389)*POWER(Upgrades!$Q$21,M389)*$G$6*(Parameters!$B$10*Parameters!$B$11+Q389*60)</f>
        <v/>
      </c>
      <c r="AD389" s="27">
        <f>(IF(H389=0,0,(Upgrades!$M$16+H389*Upgrades!$N$16)*POWER(Upgrades!$O$16,H389)))*(IF(Upgrades!$T$13="Roche Lobe Overflow",POWER(Upgrades!$U$13,E389),1)*IF(Upgrades!$T$14="Roche Lobe Overflow",POWER(Upgrades!$U$14,F389),1)*IF(Upgrades!$T$15="Roche Lobe Overflow",POWER(Upgrades!$U$15,G389),1)*IF(Upgrades!$T$17="Roche Lobe Overflow",POWER(Upgrades!$U$17,I389),1)*IF(Upgrades!$T$18="Roche Lobe Overflow",POWER(Upgrades!$U$18,J389),1)*IF(Upgrades!$T$19="Roche Lobe Overflow",POWER(Upgrades!$U$19,K389),1)*IF(Upgrades!$T$20="Roche Lobe Overflow",POWER(Upgrades!$U$20,L389),1)*IF(Upgrades!$T$21="Roche Lobe Overflow",POWER(Upgrades!$U$21,M389),1))*POWER(Upgrades!$R$13,E389)*POWER(Upgrades!$R$14,F389)*POWER(Upgrades!$R$15,G389)*POWER(Upgrades!$R$16,H389)*POWER(Upgrades!$R$17,I389)*POWER(Upgrades!$R$18,J389)*POWER(Upgrades!$R$19,K389)*POWER(Upgrades!$R$20,L389)*POWER(Upgrades!$R$21,M389)*$H$6*O389*60</f>
        <v/>
      </c>
      <c r="AE389" s="27">
        <f>(IF(I389=0,0,(Upgrades!$G$17+I389*Upgrades!$H$17)*POWER(Upgrades!$I$17,I389)))*(IF(Upgrades!$T$13="Brown Dwarf",POWER(Upgrades!$U$13,E389),1)*IF(Upgrades!$T$14="Brown Dwarf",POWER(Upgrades!$U$14,F389),1)*IF(Upgrades!$T$15="Brown Dwarf",POWER(Upgrades!$U$15,G389),1)*IF(Upgrades!$T$16="Brown Dwarf",POWER(Upgrades!$U$16,H389),1)*IF(Upgrades!$T$18="Brown Dwarf",POWER(Upgrades!$U$18,J389),1)*IF(Upgrades!$T$19="Brown Dwarf",POWER(Upgrades!$U$19,K389),1)*IF(Upgrades!$T$20="Brown Dwarf",POWER(Upgrades!$U$20,L389),1)*IF(Upgrades!$T$21="Brown Dwarf",POWER(Upgrades!$U$21,M389),1))*POWER(Upgrades!$P$13,E389)*POWER(Upgrades!$P$14,F389)*POWER(Upgrades!$P$15,G389)*POWER(Upgrades!$P$16,H389)*POWER(Upgrades!$P$17,I389)*POWER(Upgrades!$P$18,J389)*POWER(Upgrades!$P$19,K389)*POWER(Upgrades!$P$20,L389)*POWER(Upgrades!$P$21,M389)*$F$6*60</f>
        <v/>
      </c>
      <c r="AF389" s="27" t="n">
        <v>0</v>
      </c>
      <c r="AG389" s="27" t="n">
        <v>0</v>
      </c>
      <c r="AH389" s="27" t="n">
        <v>0</v>
      </c>
      <c r="AI389" s="27">
        <f>(IF(M389=0,0,(Upgrades!$G$21+M389*Upgrades!$H$21)*POWER(Upgrades!$I$21,M389)))*(IF(Upgrades!$T$13="Moving Group",POWER(Upgrades!$U$13,E389),1)*IF(Upgrades!$T$14="Moving Group",POWER(Upgrades!$U$14,F389),1)*IF(Upgrades!$T$15="Moving Group",POWER(Upgrades!$U$15,G389),1)*IF(Upgrades!$T$16="Moving Group",POWER(Upgrades!$U$16,H389),1)*IF(Upgrades!$T$17="Moving Group",POWER(Upgrades!$U$17,I389),1)*IF(Upgrades!$T$18="Moving Group",POWER(Upgrades!$U$18,J389),1)*IF(Upgrades!$T$19="Moving Group",POWER(Upgrades!$U$19,K389),1)*IF(Upgrades!$T$20="Moving Group",POWER(Upgrades!$U$20,L389),1))*POWER(Upgrades!$P$13,E389)*POWER(Upgrades!$P$14,F389)*POWER(Upgrades!$P$15,G389)*POWER(Upgrades!$P$16,H389)*POWER(Upgrades!$P$17,I389)*POWER(Upgrades!$P$18,J389)*POWER(Upgrades!$P$19,K389)*POWER(Upgrades!$P$20,L389)*POWER(Upgrades!$P$21,M389)*$F$6*60</f>
        <v/>
      </c>
      <c r="AJ389" s="27">
        <f>$C$6*60</f>
        <v/>
      </c>
      <c r="AK389" s="22">
        <f>IF(E389&gt;=Upgrades!$E$13,"",Upgrades!$C$13*POWER(Upgrades!$D$13,E389))</f>
        <v/>
      </c>
      <c r="AL389" s="22">
        <f>IF(F389&gt;=Upgrades!$E$14,"",Upgrades!$C$14*POWER(Upgrades!$D$14,F389))</f>
        <v/>
      </c>
      <c r="AM389" s="22">
        <f>IF(G389&gt;=Upgrades!$E$15,"",Upgrades!$C$15*POWER(Upgrades!$D$15,G389))</f>
        <v/>
      </c>
      <c r="AN389" s="22">
        <f>IF(H389&gt;=Upgrades!$E$16,"",Upgrades!$C$16*POWER(Upgrades!$D$16,H389))</f>
        <v/>
      </c>
      <c r="AO389" s="22">
        <f>IF(I389&gt;=Upgrades!$E$17,"",Upgrades!$C$17*POWER(Upgrades!$D$17,I389))</f>
        <v/>
      </c>
      <c r="AP389" s="22">
        <f>IF(J389&gt;=Upgrades!$E$18,"",Upgrades!$C$18*POWER(Upgrades!$D$18,J389))</f>
        <v/>
      </c>
      <c r="AQ389" s="22">
        <f>IF(K389&gt;=Upgrades!$E$19,"",Upgrades!$C$19*POWER(Upgrades!$D$19,K389))</f>
        <v/>
      </c>
      <c r="AR389" s="22">
        <f>IF(L389&gt;=Upgrades!$E$20,"",Upgrades!$C$20*POWER(Upgrades!$D$20,L389))</f>
        <v/>
      </c>
      <c r="AS389" s="22">
        <f>IF(M389&gt;=Upgrades!$E$21,"",Upgrades!$C$21*POWER(Upgrades!$D$21,M389))</f>
        <v/>
      </c>
      <c r="AT389" s="26">
        <f>IF(AND(D389&gt;=Parameters!$B$18*Parameters!$B$19,(I389&gt;=Upgrades!$E$17)*(M389&gt;=Upgrades!$E$21)=1,N389=0),1,"")</f>
        <v/>
      </c>
      <c r="AU389" s="26">
        <f>IF(AND(D389&gt;=Parameters!$B$18*Parameters!$B$19,N389=0),1,"")</f>
        <v/>
      </c>
      <c r="AV389" s="22">
        <f>MIN(IF(ISNUMBER(AP389),AP389,9E15),IF(ISNUMBER(AQ389),AQ389,9E15),IF(ISNUMBER(AR389),AR389,9E15),IF(ISNUMBER(AS389),AS389,9E15))</f>
        <v/>
      </c>
      <c r="AW389" s="22">
        <f>MIN(IF(ISNUMBER(AK389),AK389,9E15),IF(ISNUMBER(AL389),AL389,9E15),IF(ISNUMBER(AM389),AM389,9E15),IF(ISNUMBER(AN389),AN389,9E15),IF(ISNUMBER(AO389),AO389,9E15))</f>
        <v/>
      </c>
      <c r="AX389" s="29">
        <f>IF(BD389&gt;Parameters!$B$21*(MAX(IF(AND(NOT(AND(AU389=1,AT389&lt;&gt;1)),ISNUMBER(AK389),AK389&lt;=(C389+T389)),AY389,0),IF(AND(NOT(AND(AU389=1,AT389&lt;&gt;1)),ISNUMBER(AL389),AL389&lt;=(C389+T389)),AZ389,0),IF(AND(NOT(AND(AU389=1,AT389&lt;&gt;1)),ISNUMBER(AM389),AM389&lt;=(C389+T389)),BA389,0),IF(AND(NOT(AND(AU389=1,AT389&lt;&gt;1)),ISNUMBER(AN389),AN389&lt;=(C389+T389)),BB389,0),IF(AND(ISNUMBER(AO389),AO389&lt;=(C389+T389)),BC389,0))),TRUE,FALSE)</f>
        <v/>
      </c>
      <c r="AY389" s="32">
        <f>IFERROR(Upgrades!$H$13*(POWER(Upgrades!$P$13,E389)*POWER(Upgrades!$P$14,F389)*POWER(Upgrades!$P$15,G389)*POWER(Upgrades!$P$16,H389)*POWER(Upgrades!$P$17,I389)*POWER(Upgrades!$P$18,J389)*POWER(Upgrades!$P$19,K389)*POWER(Upgrades!$P$20,L389)*POWER(Upgrades!$P$21,M389))*(IF(Upgrades!$T$14="Stellar Kinematics",POWER(Upgrades!$U$14,F389),1)*IF(Upgrades!$T$15="Stellar Kinematics",POWER(Upgrades!$U$15,G389),1)*IF(Upgrades!$T$16="Stellar Kinematics",POWER(Upgrades!$U$16,H389),1)*IF(Upgrades!$T$17="Stellar Kinematics",POWER(Upgrades!$U$17,I389),1)*IF(Upgrades!$T$18="Stellar Kinematics",POWER(Upgrades!$U$18,J389),1)*IF(Upgrades!$T$19="Stellar Kinematics",POWER(Upgrades!$U$19,K389),1)*IF(Upgrades!$T$20="Stellar Kinematics",POWER(Upgrades!$U$20,L389),1)*IF(Upgrades!$T$21="Stellar Kinematics",POWER(Upgrades!$U$21,M389),1))*$F$6/AK389,0)</f>
        <v/>
      </c>
      <c r="AZ389" s="32">
        <f>IFERROR(Upgrades!$H$14*(POWER(Upgrades!$P$13,E389)*POWER(Upgrades!$P$14,F389)*POWER(Upgrades!$P$15,G389)*POWER(Upgrades!$P$16,H389)*POWER(Upgrades!$P$17,I389)*POWER(Upgrades!$P$18,J389)*POWER(Upgrades!$P$19,K389)*POWER(Upgrades!$P$20,L389)*POWER(Upgrades!$P$21,M389))*(IF(Upgrades!$T$13="Local Bubble",POWER(Upgrades!$U$13,E389),1)*IF(Upgrades!$T$15="Local Bubble",POWER(Upgrades!$U$15,G389),1)*IF(Upgrades!$T$16="Local Bubble",POWER(Upgrades!$U$16,H389),1)*IF(Upgrades!$T$17="Local Bubble",POWER(Upgrades!$U$17,I389),1)*IF(Upgrades!$T$18="Local Bubble",POWER(Upgrades!$U$18,J389),1)*IF(Upgrades!$T$19="Local Bubble",POWER(Upgrades!$U$19,K389),1)*IF(Upgrades!$T$20="Local Bubble",POWER(Upgrades!$U$20,L389),1)*IF(Upgrades!$T$21="Local Bubble",POWER(Upgrades!$U$21,M389),1))*$F$6/AL389,0)</f>
        <v/>
      </c>
      <c r="BA389" s="32">
        <f>IFERROR(Upgrades!$K$15*(POWER(Upgrades!$Q$13,E389)*POWER(Upgrades!$Q$14,F389)*POWER(Upgrades!$Q$15,G389)*POWER(Upgrades!$Q$16,H389)*POWER(Upgrades!$Q$17,I389)*POWER(Upgrades!$Q$18,J389)*POWER(Upgrades!$Q$19,K389)*POWER(Upgrades!$Q$20,L389)*POWER(Upgrades!$Q$21,M389))*(IF(Upgrades!$T$13="Microlensing",POWER(Upgrades!$U$13,E389),1)*IF(Upgrades!$T$14="Microlensing",POWER(Upgrades!$U$14,F389),1)*IF(Upgrades!$T$16="Microlensing",POWER(Upgrades!$U$16,H389),1)*IF(Upgrades!$T$17="Microlensing",POWER(Upgrades!$U$17,I389),1)*IF(Upgrades!$T$18="Microlensing",POWER(Upgrades!$U$18,J389),1)*IF(Upgrades!$T$19="Microlensing",POWER(Upgrades!$U$19,K389),1)*IF(Upgrades!$T$20="Microlensing",POWER(Upgrades!$U$20,L389),1)*IF(Upgrades!$T$21="Microlensing",POWER(Upgrades!$U$21,M389),1))*$G$6*(Parameters!$B$10/60*Parameters!$B$11+Q389)/AM389,0)</f>
        <v/>
      </c>
      <c r="BB389" s="32">
        <f>IFERROR((Upgrades!$N$16*(POWER(Upgrades!$R$13,E389)*POWER(Upgrades!$R$14,F389)*POWER(Upgrades!$R$15,G389)*POWER(Upgrades!$R$16,H389)*POWER(Upgrades!$R$17,I389)*POWER(Upgrades!$R$18,J389)*POWER(Upgrades!$R$19,K389)*POWER(Upgrades!$R$20,L389)*POWER(Upgrades!$R$21,M389))*(IF(Upgrades!$T$13="Roche Lobe Overflow",POWER(Upgrades!$U$13,E389),1)*IF(Upgrades!$T$14="Roche Lobe Overflow",POWER(Upgrades!$U$14,F389),1)*IF(Upgrades!$T$15="Roche Lobe Overflow",POWER(Upgrades!$U$15,G389),1)*IF(Upgrades!$T$17="Roche Lobe Overflow",POWER(Upgrades!$U$17,I389),1)*IF(Upgrades!$T$18="Roche Lobe Overflow",POWER(Upgrades!$U$18,J389),1)*IF(Upgrades!$T$19="Roche Lobe Overflow",POWER(Upgrades!$U$19,K389),1)*IF(Upgrades!$T$20="Roche Lobe Overflow",POWER(Upgrades!$U$20,L389),1)*IF(Upgrades!$T$21="Roche Lobe Overflow",POWER(Upgrades!$U$21,M389),1))*$H$6*O389+((IF(F389=0,0,(Upgrades!$G$14+F389*Upgrades!$H$14)*POWER(Upgrades!$I$14,F389)))*(IF(Upgrades!$T$13="Local Bubble",POWER(Upgrades!$U$13,E389),1)*IF(Upgrades!$T$15="Local Bubble",POWER(Upgrades!$U$15,G389),1)*IF(Upgrades!$T$16="Local Bubble",POWER(Upgrades!$U$16,H389),1)*IF(Upgrades!$T$17="Local Bubble",POWER(Upgrades!$U$17,I389),1)*IF(Upgrades!$T$18="Local Bubble",POWER(Upgrades!$U$18,J389),1)*IF(Upgrades!$T$19="Local Bubble",POWER(Upgrades!$U$19,K389),1)*IF(Upgrades!$T$20="Local Bubble",POWER(Upgrades!$U$20,L389),1)*IF(Upgrades!$T$21="Local Bubble",POWER(Upgrades!$U$21,M389),1))*POWER(Upgrades!$P$13,E389)*POWER(Upgrades!$P$14,F389)*POWER(Upgrades!$P$15,G389)*POWER(Upgrades!$P$16,H389)*POWER(Upgrades!$P$17,I389)*POWER(Upgrades!$P$18,J389)*POWER(Upgrades!$P$19,K389)*POWER(Upgrades!$P$20,L389)*POWER(Upgrades!$P$21,M389)*$F$6)*0.05)/AN389,0)</f>
        <v/>
      </c>
      <c r="BC389" s="32">
        <f>IFERROR((Upgrades!$H$17*(POWER(Upgrades!$P$13,E389)*POWER(Upgrades!$P$14,F389)*POWER(Upgrades!$P$15,G389)*POWER(Upgrades!$P$16,H389)*POWER(Upgrades!$P$17,I389)*POWER(Upgrades!$P$18,J389)*POWER(Upgrades!$P$19,K389)*POWER(Upgrades!$P$20,L389)*POWER(Upgrades!$P$21,M389))*(IF(Upgrades!$T$13="Brown Dwarf",POWER(Upgrades!$U$13,E389),1)*IF(Upgrades!$T$14="Brown Dwarf",POWER(Upgrades!$U$14,F389),1)*IF(Upgrades!$T$15="Brown Dwarf",POWER(Upgrades!$U$15,G389),1)*IF(Upgrades!$T$16="Brown Dwarf",POWER(Upgrades!$U$16,H389),1)*IF(Upgrades!$T$18="Brown Dwarf",POWER(Upgrades!$U$18,J389),1)*IF(Upgrades!$T$19="Brown Dwarf",POWER(Upgrades!$U$19,K389),1)*IF(Upgrades!$T$20="Brown Dwarf",POWER(Upgrades!$U$20,L389),1)*IF(Upgrades!$T$21="Brown Dwarf",POWER(Upgrades!$U$21,M389),1))*$F$6+(((IF(H389=0,0,(Upgrades!$M$16+H389*Upgrades!$N$16)*POWER(Upgrades!$O$16,H389)))*(IF(Upgrades!$T$13="Roche Lobe Overflow",POWER(Upgrades!$U$13,E389),1)*IF(Upgrades!$T$14="Roche Lobe Overflow",POWER(Upgrades!$U$14,F389),1)*IF(Upgrades!$T$15="Roche Lobe Overflow",POWER(Upgrades!$U$15,G389),1)*IF(Upgrades!$T$17="Roche Lobe Overflow",POWER(Upgrades!$U$17,I389),1)*IF(Upgrades!$T$18="Roche Lobe Overflow",POWER(Upgrades!$U$18,J389),1)*IF(Upgrades!$T$19="Roche Lobe Overflow",POWER(Upgrades!$U$19,K389),1)*IF(Upgrades!$T$20="Roche Lobe Overflow",POWER(Upgrades!$U$20,L389),1)*IF(Upgrades!$T$21="Roche Lobe Overflow",POWER(Upgrades!$U$21,M389),1))*POWER(Upgrades!$R$13,E389)*POWER(Upgrades!$R$14,F389)*POWER(Upgrades!$R$15,G389)*POWER(Upgrades!$R$16,H389)*POWER(Upgrades!$R$17,I389)*POWER(Upgrades!$R$18,J389)*POWER(Upgrades!$R$19,K389)*POWER(Upgrades!$R$20,L389)*POWER(Upgrades!$R$21,M389)*$H$6)*O389)*0.10)/AO389,0)</f>
        <v/>
      </c>
      <c r="BD389" s="32">
        <f>MAX(IF(J389&gt;0,0,IFERROR(0.5*((IF(G389=0,0,(Upgrades!$J$15+G389*Upgrades!$K$15)*POWER(Upgrades!$L$15,G389)))*(IF(Upgrades!$T$13="Microlensing",POWER(Upgrades!$U$13,E389),1)*IF(Upgrades!$T$14="Microlensing",POWER(Upgrades!$U$14,F389),1)*IF(Upgrades!$T$16="Microlensing",POWER(Upgrades!$U$16,H389),1)*IF(Upgrades!$T$17="Microlensing",POWER(Upgrades!$U$17,I389),1)*IF(Upgrades!$T$18="Microlensing",POWER(Upgrades!$U$18,J389),1)*IF(Upgrades!$T$19="Microlensing",POWER(Upgrades!$U$19,K389),1)*IF(Upgrades!$T$20="Microlensing",POWER(Upgrades!$U$20,L389),1)*IF(Upgrades!$T$21="Microlensing",POWER(Upgrades!$U$21,M389),1))*(POWER(Upgrades!$Q$13,E389)*POWER(Upgrades!$Q$14,F389)*POWER(Upgrades!$Q$15,G389)*POWER(Upgrades!$Q$16,H389)*POWER(Upgrades!$Q$17,I389)*POWER(Upgrades!$Q$18,J389)*POWER(Upgrades!$Q$19,K389)*POWER(Upgrades!$Q$20,L389)*POWER(Upgrades!$Q$21,M389))*$G$6*(Parameters!$B$10/60*Parameters!$B$11+Q389))/Upgrades!$C$18,0)),IF(K389&gt;0,0,IFERROR(0.30*P389/Upgrades!$C$19,0)),IF(L389&gt;0,0,IFERROR(0.0001/Upgrades!$C$20,0)),IF(M389&gt;0,0,IFERROR((6.0*(POWER(Upgrades!$P$13,E389)*POWER(Upgrades!$P$14,F389)*POWER(Upgrades!$P$15,G389)*POWER(Upgrades!$P$16,H389)*POWER(Upgrades!$P$17,I389)*POWER(Upgrades!$P$18,J389)*POWER(Upgrades!$P$19,K389)*POWER(Upgrades!$P$20,L389)*POWER(Upgrades!$P$21,M389))*$F$6+0.20*O389*(Parameters!$B$10/60*Parameters!$B$11+Q389))/Upgrades!$C$21,0)),IF(AND(ISNUMBER(AK389),AK389&gt;(C389+T389)),AY389,0),IF(AND(ISNUMBER(AL389),AL389&gt;(C389+T389)),AZ389,0),IF(AND(ISNUMBER(AM389),AM389&gt;(C389+T389)),BA389,0),IF(AND(ISNUMBER(AN389),AN389&gt;(C389+T389)),BB389,0),IF(AND(ISNUMBER(AO389),AO389&gt;(C389+T389)),BC389,0))</f>
        <v/>
      </c>
      <c r="BE389" s="29">
        <f>IF(AT389=1,"transition",IF(MIN(IF(AND(J389=0,ISNUMBER(AP389),AP389&lt;=(C389+T389)),AP389,9E15),IF(AND(K389=0,ISNUMBER(AQ389),AQ389&lt;=(C389+T389)),AQ389,9E15),IF(AND(L389=0,ISNUMBER(AR389),AR389&lt;=(C389+T389)),AR389,9E15),IF(AND(M389=0,ISNUMBER(AS389),AS389&lt;=(C389+T389)),AS389,9E15))&lt;9E15,IF(AND(AND(J389=0,ISNUMBER(AP389),AP389&lt;=(C389+T389)),AP389=MIN(IF(AND(J389=0,ISNUMBER(AP389),AP389&lt;=(C389+T389)),AP389,9E15),IF(AND(K389=0,ISNUMBER(AQ389),AQ389&lt;=(C389+T389)),AQ389,9E15),IF(AND(L389=0,ISNUMBER(AR389),AR389&lt;=(C389+T389)),AR389,9E15),IF(AND(M389=0,ISNUMBER(AS389),AS389&lt;=(C389+T389)),AS389,9E15))),"BiP",IF(AND(AND(K389=0,ISNUMBER(AQ389),AQ389&lt;=(C389+T389)),AQ389=MIN(IF(AND(J389=0,ISNUMBER(AP389),AP389&lt;=(C389+T389)),AP389,9E15),IF(AND(K389=0,ISNUMBER(AQ389),AQ389&lt;=(C389+T389)),AQ389,9E15),IF(AND(L389=0,ISNUMBER(AR389),AR389&lt;=(C389+T389)),AR389,9E15),IF(AND(M389=0,ISNUMBER(AS389),AS389&lt;=(C389+T389)),AS389,9E15))),"PV",IF(AND(AND(L389=0,ISNUMBER(AR389),AR389&lt;=(C389+T389)),AR389=MIN(IF(AND(J389=0,ISNUMBER(AP389),AP389&lt;=(C389+T389)),AP389,9E15),IF(AND(K389=0,ISNUMBER(AQ389),AQ389&lt;=(C389+T389)),AQ389,9E15),IF(AND(L389=0,ISNUMBER(AR389),AR389&lt;=(C389+T389)),AR389,9E15),IF(AND(M389=0,ISNUMBER(AS389),AS389&lt;=(C389+T389)),AS389,9E15))),"OC","MG"))),IF(AX389=TRUE,"",IF(MAX(IF(AND(NOT(AND(AU389=1,AT389&lt;&gt;1)),ISNUMBER(AK389),AK389&lt;=(C389+T389)),AY389,0),IF(AND(NOT(AND(AU389=1,AT389&lt;&gt;1)),ISNUMBER(AL389),AL389&lt;=(C389+T389)),AZ389,0),IF(AND(NOT(AND(AU389=1,AT389&lt;&gt;1)),ISNUMBER(AM389),AM389&lt;=(C389+T389)),BA389,0),IF(AND(NOT(AND(AU389=1,AT389&lt;&gt;1)),ISNUMBER(AN389),AN389&lt;=(C389+T389)),BB389,0),IF(AND(ISNUMBER(AO389),AO389&lt;=(C389+T389)),BC389,0))&lt;=0,"",IF(AND(IF(AND(NOT(AND(AU389=1,AT389&lt;&gt;1)),ISNUMBER(AK389),AK389&lt;=(C389+T389)),AY389,0)&gt;0,IF(AND(NOT(AND(AU389=1,AT389&lt;&gt;1)),ISNUMBER(AK389),AK389&lt;=(C389+T389)),AY389,0)=MAX(IF(AND(NOT(AND(AU389=1,AT389&lt;&gt;1)),ISNUMBER(AK389),AK389&lt;=(C389+T389)),AY389,0),IF(AND(NOT(AND(AU389=1,AT389&lt;&gt;1)),ISNUMBER(AL389),AL389&lt;=(C389+T389)),AZ389,0),IF(AND(NOT(AND(AU389=1,AT389&lt;&gt;1)),ISNUMBER(AM389),AM389&lt;=(C389+T389)),BA389,0),IF(AND(NOT(AND(AU389=1,AT389&lt;&gt;1)),ISNUMBER(AN389),AN389&lt;=(C389+T389)),BB389,0),IF(AND(ISNUMBER(AO389),AO389&lt;=(C389+T389)),BC389,0))),"SK",IF(AND(IF(AND(NOT(AND(AU389=1,AT389&lt;&gt;1)),ISNUMBER(AL389),AL389&lt;=(C389+T389)),AZ389,0)&gt;0,IF(AND(NOT(AND(AU389=1,AT389&lt;&gt;1)),ISNUMBER(AL389),AL389&lt;=(C389+T389)),AZ389,0)=MAX(IF(AND(NOT(AND(AU389=1,AT389&lt;&gt;1)),ISNUMBER(AK389),AK389&lt;=(C389+T389)),AY389,0),IF(AND(NOT(AND(AU389=1,AT389&lt;&gt;1)),ISNUMBER(AL389),AL389&lt;=(C389+T389)),AZ389,0),IF(AND(NOT(AND(AU389=1,AT389&lt;&gt;1)),ISNUMBER(AM389),AM389&lt;=(C389+T389)),BA389,0),IF(AND(NOT(AND(AU389=1,AT389&lt;&gt;1)),ISNUMBER(AN389),AN389&lt;=(C389+T389)),BB389,0),IF(AND(ISNUMBER(AO389),AO389&lt;=(C389+T389)),BC389,0))),"LB",IF(AND(IF(AND(NOT(AND(AU389=1,AT389&lt;&gt;1)),ISNUMBER(AM389),AM389&lt;=(C389+T389)),BA389,0)&gt;0,IF(AND(NOT(AND(AU389=1,AT389&lt;&gt;1)),ISNUMBER(AM389),AM389&lt;=(C389+T389)),BA389,0)=MAX(IF(AND(NOT(AND(AU389=1,AT389&lt;&gt;1)),ISNUMBER(AK389),AK389&lt;=(C389+T389)),AY389,0),IF(AND(NOT(AND(AU389=1,AT389&lt;&gt;1)),ISNUMBER(AL389),AL389&lt;=(C389+T389)),AZ389,0),IF(AND(NOT(AND(AU389=1,AT389&lt;&gt;1)),ISNUMBER(AM389),AM389&lt;=(C389+T389)),BA389,0),IF(AND(NOT(AND(AU389=1,AT389&lt;&gt;1)),ISNUMBER(AN389),AN389&lt;=(C389+T389)),BB389,0),IF(AND(ISNUMBER(AO389),AO389&lt;=(C389+T389)),BC389,0))),"ML",IF(AND(IF(AND(NOT(AND(AU389=1,AT389&lt;&gt;1)),ISNUMBER(AN389),AN389&lt;=(C389+T389)),BB389,0)&gt;0,IF(AND(NOT(AND(AU389=1,AT389&lt;&gt;1)),ISNUMBER(AN389),AN389&lt;=(C389+T389)),BB389,0)=MAX(IF(AND(NOT(AND(AU389=1,AT389&lt;&gt;1)),ISNUMBER(AK389),AK389&lt;=(C389+T389)),AY389,0),IF(AND(NOT(AND(AU389=1,AT389&lt;&gt;1)),ISNUMBER(AL389),AL389&lt;=(C389+T389)),AZ389,0),IF(AND(NOT(AND(AU389=1,AT389&lt;&gt;1)),ISNUMBER(AM389),AM389&lt;=(C389+T389)),BA389,0),IF(AND(NOT(AND(AU389=1,AT389&lt;&gt;1)),ISNUMBER(AN389),AN389&lt;=(C389+T389)),BB389,0),IF(AND(ISNUMBER(AO389),AO389&lt;=(C389+T389)),BC389,0))),"RLO","BD"))))))))</f>
        <v/>
      </c>
    </row>
    <row r="390">
      <c r="A390" s="26" t="n">
        <v>379</v>
      </c>
      <c r="B390" s="27">
        <f>A390*10/60</f>
        <v/>
      </c>
      <c r="C390" s="22">
        <f>X389</f>
        <v/>
      </c>
      <c r="D390" s="27">
        <f>D389+W389</f>
        <v/>
      </c>
      <c r="E390" s="26">
        <f>E389+IF(U389="SK",1,0)</f>
        <v/>
      </c>
      <c r="F390" s="26">
        <f>F389+IF(U389="LB",1,0)</f>
        <v/>
      </c>
      <c r="G390" s="26">
        <f>G389+IF(U389="ML",1,0)</f>
        <v/>
      </c>
      <c r="H390" s="26">
        <f>H389+IF(U389="RLO",1,0)</f>
        <v/>
      </c>
      <c r="I390" s="26">
        <f>I389+IF(U389="BD",1,0)</f>
        <v/>
      </c>
      <c r="J390" s="26">
        <f>MAX(J389,IF(U389="BiP",1,0))</f>
        <v/>
      </c>
      <c r="K390" s="26">
        <f>MAX(K389,IF(U389="PV",1,0))</f>
        <v/>
      </c>
      <c r="L390" s="26">
        <f>MAX(L389,IF(U389="OC",1,0))</f>
        <v/>
      </c>
      <c r="M390" s="26">
        <f>MAX(M389,IF(U389="MG",1,0))</f>
        <v/>
      </c>
      <c r="N390" s="26">
        <f>MAX(N389,IF(U389="transition",1,0))</f>
        <v/>
      </c>
      <c r="O390" s="28">
        <f>(Parameters!$B$9+(IF(E390=0,0,(Upgrades!$J$13+E390*Upgrades!$K$13)*POWER(Upgrades!$L$13,E390)))*(IF(Upgrades!$T$14="Stellar Kinematics",POWER(Upgrades!$U$14,F390),1)*IF(Upgrades!$T$15="Stellar Kinematics",POWER(Upgrades!$U$15,G390),1)*IF(Upgrades!$T$16="Stellar Kinematics",POWER(Upgrades!$U$16,H390),1)*IF(Upgrades!$T$17="Stellar Kinematics",POWER(Upgrades!$U$17,I390),1)*IF(Upgrades!$T$18="Stellar Kinematics",POWER(Upgrades!$U$18,J390),1)*IF(Upgrades!$T$19="Stellar Kinematics",POWER(Upgrades!$U$19,K390),1)*IF(Upgrades!$T$20="Stellar Kinematics",POWER(Upgrades!$U$20,L390),1)*IF(Upgrades!$T$21="Stellar Kinematics",POWER(Upgrades!$U$21,M390),1))+(IF(F390=0,0,(Upgrades!$J$14+F390*Upgrades!$K$14)*POWER(Upgrades!$L$14,F390)))*(IF(Upgrades!$T$13="Local Bubble",POWER(Upgrades!$U$13,E390),1)*IF(Upgrades!$T$15="Local Bubble",POWER(Upgrades!$U$15,G390),1)*IF(Upgrades!$T$16="Local Bubble",POWER(Upgrades!$U$16,H390),1)*IF(Upgrades!$T$17="Local Bubble",POWER(Upgrades!$U$17,I390),1)*IF(Upgrades!$T$18="Local Bubble",POWER(Upgrades!$U$18,J390),1)*IF(Upgrades!$T$19="Local Bubble",POWER(Upgrades!$U$19,K390),1)*IF(Upgrades!$T$20="Local Bubble",POWER(Upgrades!$U$20,L390),1)*IF(Upgrades!$T$21="Local Bubble",POWER(Upgrades!$U$21,M390),1))+(IF(G390=0,0,(Upgrades!$J$15+G390*Upgrades!$K$15)*POWER(Upgrades!$L$15,G390)))*(IF(Upgrades!$T$13="Microlensing",POWER(Upgrades!$U$13,E390),1)*IF(Upgrades!$T$14="Microlensing",POWER(Upgrades!$U$14,F390),1)*IF(Upgrades!$T$16="Microlensing",POWER(Upgrades!$U$16,H390),1)*IF(Upgrades!$T$17="Microlensing",POWER(Upgrades!$U$17,I390),1)*IF(Upgrades!$T$18="Microlensing",POWER(Upgrades!$U$18,J390),1)*IF(Upgrades!$T$19="Microlensing",POWER(Upgrades!$U$19,K390),1)*IF(Upgrades!$T$20="Microlensing",POWER(Upgrades!$U$20,L390),1)*IF(Upgrades!$T$21="Microlensing",POWER(Upgrades!$U$21,M390),1))+(IF(H390=0,0,(Upgrades!$J$16+H390*Upgrades!$K$16)*POWER(Upgrades!$L$16,H390)))*(IF(Upgrades!$T$13="Roche Lobe Overflow",POWER(Upgrades!$U$13,E390),1)*IF(Upgrades!$T$14="Roche Lobe Overflow",POWER(Upgrades!$U$14,F390),1)*IF(Upgrades!$T$15="Roche Lobe Overflow",POWER(Upgrades!$U$15,G390),1)*IF(Upgrades!$T$17="Roche Lobe Overflow",POWER(Upgrades!$U$17,I390),1)*IF(Upgrades!$T$18="Roche Lobe Overflow",POWER(Upgrades!$U$18,J390),1)*IF(Upgrades!$T$19="Roche Lobe Overflow",POWER(Upgrades!$U$19,K390),1)*IF(Upgrades!$T$20="Roche Lobe Overflow",POWER(Upgrades!$U$20,L390),1)*IF(Upgrades!$T$21="Roche Lobe Overflow",POWER(Upgrades!$U$21,M390),1))+(IF(I390=0,0,(Upgrades!$J$17+I390*Upgrades!$K$17)*POWER(Upgrades!$L$17,I390)))*(IF(Upgrades!$T$13="Brown Dwarf",POWER(Upgrades!$U$13,E390),1)*IF(Upgrades!$T$14="Brown Dwarf",POWER(Upgrades!$U$14,F390),1)*IF(Upgrades!$T$15="Brown Dwarf",POWER(Upgrades!$U$15,G390),1)*IF(Upgrades!$T$16="Brown Dwarf",POWER(Upgrades!$U$16,H390),1)*IF(Upgrades!$T$18="Brown Dwarf",POWER(Upgrades!$U$18,J390),1)*IF(Upgrades!$T$19="Brown Dwarf",POWER(Upgrades!$U$19,K390),1)*IF(Upgrades!$T$20="Brown Dwarf",POWER(Upgrades!$U$20,L390),1)*IF(Upgrades!$T$21="Brown Dwarf",POWER(Upgrades!$U$21,M390),1))+(IF(J390=0,0,(Upgrades!$J$18+J390*Upgrades!$K$18)*POWER(Upgrades!$L$18,J390)))*(IF(Upgrades!$T$13="Binary Partner",POWER(Upgrades!$U$13,E390),1)*IF(Upgrades!$T$14="Binary Partner",POWER(Upgrades!$U$14,F390),1)*IF(Upgrades!$T$15="Binary Partner",POWER(Upgrades!$U$15,G390),1)*IF(Upgrades!$T$16="Binary Partner",POWER(Upgrades!$U$16,H390),1)*IF(Upgrades!$T$17="Binary Partner",POWER(Upgrades!$U$17,I390),1)*IF(Upgrades!$T$19="Binary Partner",POWER(Upgrades!$U$19,K390),1)*IF(Upgrades!$T$20="Binary Partner",POWER(Upgrades!$U$20,L390),1)*IF(Upgrades!$T$21="Binary Partner",POWER(Upgrades!$U$21,M390),1))+(IF(K390=0,0,(Upgrades!$J$19+K390*Upgrades!$K$19)*POWER(Upgrades!$L$19,K390)))*(IF(Upgrades!$T$13="Peculiar Velocity",POWER(Upgrades!$U$13,E390),1)*IF(Upgrades!$T$14="Peculiar Velocity",POWER(Upgrades!$U$14,F390),1)*IF(Upgrades!$T$15="Peculiar Velocity",POWER(Upgrades!$U$15,G390),1)*IF(Upgrades!$T$16="Peculiar Velocity",POWER(Upgrades!$U$16,H390),1)*IF(Upgrades!$T$17="Peculiar Velocity",POWER(Upgrades!$U$17,I390),1)*IF(Upgrades!$T$18="Peculiar Velocity",POWER(Upgrades!$U$18,J390),1)*IF(Upgrades!$T$20="Peculiar Velocity",POWER(Upgrades!$U$20,L390),1)*IF(Upgrades!$T$21="Peculiar Velocity",POWER(Upgrades!$U$21,M390),1))+(IF(L390=0,0,(Upgrades!$J$20+L390*Upgrades!$K$20)*POWER(Upgrades!$L$20,L390)))*(IF(Upgrades!$T$13="Open Cluster",POWER(Upgrades!$U$13,E390),1)*IF(Upgrades!$T$14="Open Cluster",POWER(Upgrades!$U$14,F390),1)*IF(Upgrades!$T$15="Open Cluster",POWER(Upgrades!$U$15,G390),1)*IF(Upgrades!$T$16="Open Cluster",POWER(Upgrades!$U$16,H390),1)*IF(Upgrades!$T$17="Open Cluster",POWER(Upgrades!$U$17,I390),1)*IF(Upgrades!$T$18="Open Cluster",POWER(Upgrades!$U$18,J390),1)*IF(Upgrades!$T$19="Open Cluster",POWER(Upgrades!$U$19,K390),1)*IF(Upgrades!$T$21="Open Cluster",POWER(Upgrades!$U$21,M390),1))+(IF(M390=0,0,(Upgrades!$J$21+M390*Upgrades!$K$21)*POWER(Upgrades!$L$21,M390)))*(IF(Upgrades!$T$13="Moving Group",POWER(Upgrades!$U$13,E390),1)*IF(Upgrades!$T$14="Moving Group",POWER(Upgrades!$U$14,F390),1)*IF(Upgrades!$T$15="Moving Group",POWER(Upgrades!$U$15,G390),1)*IF(Upgrades!$T$16="Moving Group",POWER(Upgrades!$U$16,H390),1)*IF(Upgrades!$T$17="Moving Group",POWER(Upgrades!$U$17,I390),1)*IF(Upgrades!$T$18="Moving Group",POWER(Upgrades!$U$18,J390),1)*IF(Upgrades!$T$19="Moving Group",POWER(Upgrades!$U$19,K390),1)*IF(Upgrades!$T$20="Moving Group",POWER(Upgrades!$U$20,L390),1)))*POWER(Upgrades!$Q$13,E390)*POWER(Upgrades!$Q$14,F390)*POWER(Upgrades!$Q$15,G390)*POWER(Upgrades!$Q$16,H390)*POWER(Upgrades!$Q$17,I390)*POWER(Upgrades!$Q$18,J390)*POWER(Upgrades!$Q$19,K390)*POWER(Upgrades!$Q$20,L390)*POWER(Upgrades!$Q$21,M390)*$G$6+$D$6</f>
        <v/>
      </c>
      <c r="P390" s="28">
        <f>((IF(E390=0,0,(Upgrades!$G$13+E390*Upgrades!$H$13)*POWER(Upgrades!$I$13,E390)))*(IF(Upgrades!$T$14="Stellar Kinematics",POWER(Upgrades!$U$14,F390),1)*IF(Upgrades!$T$15="Stellar Kinematics",POWER(Upgrades!$U$15,G390),1)*IF(Upgrades!$T$16="Stellar Kinematics",POWER(Upgrades!$U$16,H390),1)*IF(Upgrades!$T$17="Stellar Kinematics",POWER(Upgrades!$U$17,I390),1)*IF(Upgrades!$T$18="Stellar Kinematics",POWER(Upgrades!$U$18,J390),1)*IF(Upgrades!$T$19="Stellar Kinematics",POWER(Upgrades!$U$19,K390),1)*IF(Upgrades!$T$20="Stellar Kinematics",POWER(Upgrades!$U$20,L390),1)*IF(Upgrades!$T$21="Stellar Kinematics",POWER(Upgrades!$U$21,M390),1))+(IF(F390=0,0,(Upgrades!$G$14+F390*Upgrades!$H$14)*POWER(Upgrades!$I$14,F390)))*(IF(Upgrades!$T$13="Local Bubble",POWER(Upgrades!$U$13,E390),1)*IF(Upgrades!$T$15="Local Bubble",POWER(Upgrades!$U$15,G390),1)*IF(Upgrades!$T$16="Local Bubble",POWER(Upgrades!$U$16,H390),1)*IF(Upgrades!$T$17="Local Bubble",POWER(Upgrades!$U$17,I390),1)*IF(Upgrades!$T$18="Local Bubble",POWER(Upgrades!$U$18,J390),1)*IF(Upgrades!$T$19="Local Bubble",POWER(Upgrades!$U$19,K390),1)*IF(Upgrades!$T$20="Local Bubble",POWER(Upgrades!$U$20,L390),1)*IF(Upgrades!$T$21="Local Bubble",POWER(Upgrades!$U$21,M390),1))+(IF(G390=0,0,(Upgrades!$G$15+G390*Upgrades!$H$15)*POWER(Upgrades!$I$15,G390)))*(IF(Upgrades!$T$13="Microlensing",POWER(Upgrades!$U$13,E390),1)*IF(Upgrades!$T$14="Microlensing",POWER(Upgrades!$U$14,F390),1)*IF(Upgrades!$T$16="Microlensing",POWER(Upgrades!$U$16,H390),1)*IF(Upgrades!$T$17="Microlensing",POWER(Upgrades!$U$17,I390),1)*IF(Upgrades!$T$18="Microlensing",POWER(Upgrades!$U$18,J390),1)*IF(Upgrades!$T$19="Microlensing",POWER(Upgrades!$U$19,K390),1)*IF(Upgrades!$T$20="Microlensing",POWER(Upgrades!$U$20,L390),1)*IF(Upgrades!$T$21="Microlensing",POWER(Upgrades!$U$21,M390),1))+(IF(H390=0,0,(Upgrades!$G$16+H390*Upgrades!$H$16)*POWER(Upgrades!$I$16,H390)))*(IF(Upgrades!$T$13="Roche Lobe Overflow",POWER(Upgrades!$U$13,E390),1)*IF(Upgrades!$T$14="Roche Lobe Overflow",POWER(Upgrades!$U$14,F390),1)*IF(Upgrades!$T$15="Roche Lobe Overflow",POWER(Upgrades!$U$15,G390),1)*IF(Upgrades!$T$17="Roche Lobe Overflow",POWER(Upgrades!$U$17,I390),1)*IF(Upgrades!$T$18="Roche Lobe Overflow",POWER(Upgrades!$U$18,J390),1)*IF(Upgrades!$T$19="Roche Lobe Overflow",POWER(Upgrades!$U$19,K390),1)*IF(Upgrades!$T$20="Roche Lobe Overflow",POWER(Upgrades!$U$20,L390),1)*IF(Upgrades!$T$21="Roche Lobe Overflow",POWER(Upgrades!$U$21,M390),1))+(IF(I390=0,0,(Upgrades!$G$17+I390*Upgrades!$H$17)*POWER(Upgrades!$I$17,I390)))*(IF(Upgrades!$T$13="Brown Dwarf",POWER(Upgrades!$U$13,E390),1)*IF(Upgrades!$T$14="Brown Dwarf",POWER(Upgrades!$U$14,F390),1)*IF(Upgrades!$T$15="Brown Dwarf",POWER(Upgrades!$U$15,G390),1)*IF(Upgrades!$T$16="Brown Dwarf",POWER(Upgrades!$U$16,H390),1)*IF(Upgrades!$T$18="Brown Dwarf",POWER(Upgrades!$U$18,J390),1)*IF(Upgrades!$T$19="Brown Dwarf",POWER(Upgrades!$U$19,K390),1)*IF(Upgrades!$T$20="Brown Dwarf",POWER(Upgrades!$U$20,L390),1)*IF(Upgrades!$T$21="Brown Dwarf",POWER(Upgrades!$U$21,M390),1))+(IF(J390=0,0,(Upgrades!$G$18+J390*Upgrades!$H$18)*POWER(Upgrades!$I$18,J390)))*(IF(Upgrades!$T$13="Binary Partner",POWER(Upgrades!$U$13,E390),1)*IF(Upgrades!$T$14="Binary Partner",POWER(Upgrades!$U$14,F390),1)*IF(Upgrades!$T$15="Binary Partner",POWER(Upgrades!$U$15,G390),1)*IF(Upgrades!$T$16="Binary Partner",POWER(Upgrades!$U$16,H390),1)*IF(Upgrades!$T$17="Binary Partner",POWER(Upgrades!$U$17,I390),1)*IF(Upgrades!$T$19="Binary Partner",POWER(Upgrades!$U$19,K390),1)*IF(Upgrades!$T$20="Binary Partner",POWER(Upgrades!$U$20,L390),1)*IF(Upgrades!$T$21="Binary Partner",POWER(Upgrades!$U$21,M390),1))+(IF(K390=0,0,(Upgrades!$G$19+K390*Upgrades!$H$19)*POWER(Upgrades!$I$19,K390)))*(IF(Upgrades!$T$13="Peculiar Velocity",POWER(Upgrades!$U$13,E390),1)*IF(Upgrades!$T$14="Peculiar Velocity",POWER(Upgrades!$U$14,F390),1)*IF(Upgrades!$T$15="Peculiar Velocity",POWER(Upgrades!$U$15,G390),1)*IF(Upgrades!$T$16="Peculiar Velocity",POWER(Upgrades!$U$16,H390),1)*IF(Upgrades!$T$17="Peculiar Velocity",POWER(Upgrades!$U$17,I390),1)*IF(Upgrades!$T$18="Peculiar Velocity",POWER(Upgrades!$U$18,J390),1)*IF(Upgrades!$T$20="Peculiar Velocity",POWER(Upgrades!$U$20,L390),1)*IF(Upgrades!$T$21="Peculiar Velocity",POWER(Upgrades!$U$21,M390),1))+(IF(L390=0,0,(Upgrades!$G$20+L390*Upgrades!$H$20)*POWER(Upgrades!$I$20,L390)))*(IF(Upgrades!$T$13="Open Cluster",POWER(Upgrades!$U$13,E390),1)*IF(Upgrades!$T$14="Open Cluster",POWER(Upgrades!$U$14,F390),1)*IF(Upgrades!$T$15="Open Cluster",POWER(Upgrades!$U$15,G390),1)*IF(Upgrades!$T$16="Open Cluster",POWER(Upgrades!$U$16,H390),1)*IF(Upgrades!$T$17="Open Cluster",POWER(Upgrades!$U$17,I390),1)*IF(Upgrades!$T$18="Open Cluster",POWER(Upgrades!$U$18,J390),1)*IF(Upgrades!$T$19="Open Cluster",POWER(Upgrades!$U$19,K390),1)*IF(Upgrades!$T$21="Open Cluster",POWER(Upgrades!$U$21,M390),1))+(IF(M390=0,0,(Upgrades!$G$21+M390*Upgrades!$H$21)*POWER(Upgrades!$I$21,M390)))*(IF(Upgrades!$T$13="Moving Group",POWER(Upgrades!$U$13,E390),1)*IF(Upgrades!$T$14="Moving Group",POWER(Upgrades!$U$14,F390),1)*IF(Upgrades!$T$15="Moving Group",POWER(Upgrades!$U$15,G390),1)*IF(Upgrades!$T$16="Moving Group",POWER(Upgrades!$U$16,H390),1)*IF(Upgrades!$T$17="Moving Group",POWER(Upgrades!$U$17,I390),1)*IF(Upgrades!$T$18="Moving Group",POWER(Upgrades!$U$18,J390),1)*IF(Upgrades!$T$19="Moving Group",POWER(Upgrades!$U$19,K390),1)*IF(Upgrades!$T$20="Moving Group",POWER(Upgrades!$U$20,L390),1)))*POWER(Upgrades!$P$13,E390)*POWER(Upgrades!$P$14,F390)*POWER(Upgrades!$P$15,G390)*POWER(Upgrades!$P$16,H390)*POWER(Upgrades!$P$17,I390)*POWER(Upgrades!$P$18,J390)*POWER(Upgrades!$P$19,K390)*POWER(Upgrades!$P$20,L390)*POWER(Upgrades!$P$21,M390)*$F$6+$C$6</f>
        <v/>
      </c>
      <c r="Q390" s="28">
        <f>((IF(E390=0,0,(Upgrades!$M$13+E390*Upgrades!$N$13)*POWER(Upgrades!$O$13,E390)))*(IF(Upgrades!$T$14="Stellar Kinematics",POWER(Upgrades!$U$14,F390),1)*IF(Upgrades!$T$15="Stellar Kinematics",POWER(Upgrades!$U$15,G390),1)*IF(Upgrades!$T$16="Stellar Kinematics",POWER(Upgrades!$U$16,H390),1)*IF(Upgrades!$T$17="Stellar Kinematics",POWER(Upgrades!$U$17,I390),1)*IF(Upgrades!$T$18="Stellar Kinematics",POWER(Upgrades!$U$18,J390),1)*IF(Upgrades!$T$19="Stellar Kinematics",POWER(Upgrades!$U$19,K390),1)*IF(Upgrades!$T$20="Stellar Kinematics",POWER(Upgrades!$U$20,L390),1)*IF(Upgrades!$T$21="Stellar Kinematics",POWER(Upgrades!$U$21,M390),1))+(IF(F390=0,0,(Upgrades!$M$14+F390*Upgrades!$N$14)*POWER(Upgrades!$O$14,F390)))*(IF(Upgrades!$T$13="Local Bubble",POWER(Upgrades!$U$13,E390),1)*IF(Upgrades!$T$15="Local Bubble",POWER(Upgrades!$U$15,G390),1)*IF(Upgrades!$T$16="Local Bubble",POWER(Upgrades!$U$16,H390),1)*IF(Upgrades!$T$17="Local Bubble",POWER(Upgrades!$U$17,I390),1)*IF(Upgrades!$T$18="Local Bubble",POWER(Upgrades!$U$18,J390),1)*IF(Upgrades!$T$19="Local Bubble",POWER(Upgrades!$U$19,K390),1)*IF(Upgrades!$T$20="Local Bubble",POWER(Upgrades!$U$20,L390),1)*IF(Upgrades!$T$21="Local Bubble",POWER(Upgrades!$U$21,M390),1))+(IF(G390=0,0,(Upgrades!$M$15+G390*Upgrades!$N$15)*POWER(Upgrades!$O$15,G390)))*(IF(Upgrades!$T$13="Microlensing",POWER(Upgrades!$U$13,E390),1)*IF(Upgrades!$T$14="Microlensing",POWER(Upgrades!$U$14,F390),1)*IF(Upgrades!$T$16="Microlensing",POWER(Upgrades!$U$16,H390),1)*IF(Upgrades!$T$17="Microlensing",POWER(Upgrades!$U$17,I390),1)*IF(Upgrades!$T$18="Microlensing",POWER(Upgrades!$U$18,J390),1)*IF(Upgrades!$T$19="Microlensing",POWER(Upgrades!$U$19,K390),1)*IF(Upgrades!$T$20="Microlensing",POWER(Upgrades!$U$20,L390),1)*IF(Upgrades!$T$21="Microlensing",POWER(Upgrades!$U$21,M390),1))+(IF(H390=0,0,(Upgrades!$M$16+H390*Upgrades!$N$16)*POWER(Upgrades!$O$16,H390)))*(IF(Upgrades!$T$13="Roche Lobe Overflow",POWER(Upgrades!$U$13,E390),1)*IF(Upgrades!$T$14="Roche Lobe Overflow",POWER(Upgrades!$U$14,F390),1)*IF(Upgrades!$T$15="Roche Lobe Overflow",POWER(Upgrades!$U$15,G390),1)*IF(Upgrades!$T$17="Roche Lobe Overflow",POWER(Upgrades!$U$17,I390),1)*IF(Upgrades!$T$18="Roche Lobe Overflow",POWER(Upgrades!$U$18,J390),1)*IF(Upgrades!$T$19="Roche Lobe Overflow",POWER(Upgrades!$U$19,K390),1)*IF(Upgrades!$T$20="Roche Lobe Overflow",POWER(Upgrades!$U$20,L390),1)*IF(Upgrades!$T$21="Roche Lobe Overflow",POWER(Upgrades!$U$21,M390),1))+(IF(I390=0,0,(Upgrades!$M$17+I390*Upgrades!$N$17)*POWER(Upgrades!$O$17,I390)))*(IF(Upgrades!$T$13="Brown Dwarf",POWER(Upgrades!$U$13,E390),1)*IF(Upgrades!$T$14="Brown Dwarf",POWER(Upgrades!$U$14,F390),1)*IF(Upgrades!$T$15="Brown Dwarf",POWER(Upgrades!$U$15,G390),1)*IF(Upgrades!$T$16="Brown Dwarf",POWER(Upgrades!$U$16,H390),1)*IF(Upgrades!$T$18="Brown Dwarf",POWER(Upgrades!$U$18,J390),1)*IF(Upgrades!$T$19="Brown Dwarf",POWER(Upgrades!$U$19,K390),1)*IF(Upgrades!$T$20="Brown Dwarf",POWER(Upgrades!$U$20,L390),1)*IF(Upgrades!$T$21="Brown Dwarf",POWER(Upgrades!$U$21,M390),1))+(IF(J390=0,0,(Upgrades!$M$18+J390*Upgrades!$N$18)*POWER(Upgrades!$O$18,J390)))*(IF(Upgrades!$T$13="Binary Partner",POWER(Upgrades!$U$13,E390),1)*IF(Upgrades!$T$14="Binary Partner",POWER(Upgrades!$U$14,F390),1)*IF(Upgrades!$T$15="Binary Partner",POWER(Upgrades!$U$15,G390),1)*IF(Upgrades!$T$16="Binary Partner",POWER(Upgrades!$U$16,H390),1)*IF(Upgrades!$T$17="Binary Partner",POWER(Upgrades!$U$17,I390),1)*IF(Upgrades!$T$19="Binary Partner",POWER(Upgrades!$U$19,K390),1)*IF(Upgrades!$T$20="Binary Partner",POWER(Upgrades!$U$20,L390),1)*IF(Upgrades!$T$21="Binary Partner",POWER(Upgrades!$U$21,M390),1))+(IF(K390=0,0,(Upgrades!$M$19+K390*Upgrades!$N$19)*POWER(Upgrades!$O$19,K390)))*(IF(Upgrades!$T$13="Peculiar Velocity",POWER(Upgrades!$U$13,E390),1)*IF(Upgrades!$T$14="Peculiar Velocity",POWER(Upgrades!$U$14,F390),1)*IF(Upgrades!$T$15="Peculiar Velocity",POWER(Upgrades!$U$15,G390),1)*IF(Upgrades!$T$16="Peculiar Velocity",POWER(Upgrades!$U$16,H390),1)*IF(Upgrades!$T$17="Peculiar Velocity",POWER(Upgrades!$U$17,I390),1)*IF(Upgrades!$T$18="Peculiar Velocity",POWER(Upgrades!$U$18,J390),1)*IF(Upgrades!$T$20="Peculiar Velocity",POWER(Upgrades!$U$20,L390),1)*IF(Upgrades!$T$21="Peculiar Velocity",POWER(Upgrades!$U$21,M390),1))+(IF(L390=0,0,(Upgrades!$M$20+L390*Upgrades!$N$20)*POWER(Upgrades!$O$20,L390)))*(IF(Upgrades!$T$13="Open Cluster",POWER(Upgrades!$U$13,E390),1)*IF(Upgrades!$T$14="Open Cluster",POWER(Upgrades!$U$14,F390),1)*IF(Upgrades!$T$15="Open Cluster",POWER(Upgrades!$U$15,G390),1)*IF(Upgrades!$T$16="Open Cluster",POWER(Upgrades!$U$16,H390),1)*IF(Upgrades!$T$17="Open Cluster",POWER(Upgrades!$U$17,I390),1)*IF(Upgrades!$T$18="Open Cluster",POWER(Upgrades!$U$18,J390),1)*IF(Upgrades!$T$19="Open Cluster",POWER(Upgrades!$U$19,K390),1)*IF(Upgrades!$T$21="Open Cluster",POWER(Upgrades!$U$21,M390),1))+(IF(M390=0,0,(Upgrades!$M$21+M390*Upgrades!$N$21)*POWER(Upgrades!$O$21,M390)))*(IF(Upgrades!$T$13="Moving Group",POWER(Upgrades!$U$13,E390),1)*IF(Upgrades!$T$14="Moving Group",POWER(Upgrades!$U$14,F390),1)*IF(Upgrades!$T$15="Moving Group",POWER(Upgrades!$U$15,G390),1)*IF(Upgrades!$T$16="Moving Group",POWER(Upgrades!$U$16,H390),1)*IF(Upgrades!$T$17="Moving Group",POWER(Upgrades!$U$17,I390),1)*IF(Upgrades!$T$18="Moving Group",POWER(Upgrades!$U$18,J390),1)*IF(Upgrades!$T$19="Moving Group",POWER(Upgrades!$U$19,K390),1)*IF(Upgrades!$T$20="Moving Group",POWER(Upgrades!$U$20,L390),1)))*POWER(Upgrades!$R$13,E390)*POWER(Upgrades!$R$14,F390)*POWER(Upgrades!$R$15,G390)*POWER(Upgrades!$R$16,H390)*POWER(Upgrades!$R$17,I390)*POWER(Upgrades!$R$18,J390)*POWER(Upgrades!$R$19,K390)*POWER(Upgrades!$R$20,L390)*POWER(Upgrades!$R$21,M390)*$H$6+$E$6</f>
        <v/>
      </c>
      <c r="R390" s="27">
        <f>IF(N390=1,0,O390*Parameters!$B$10/60*Parameters!$B$11*10)</f>
        <v/>
      </c>
      <c r="S390" s="27">
        <f>IF(N390=1,0,Q390*O390*10)</f>
        <v/>
      </c>
      <c r="T390" s="27">
        <f>IF(N390=1,0,R390+S390+P390*10)</f>
        <v/>
      </c>
      <c r="U390" s="33">
        <f>BE390</f>
        <v/>
      </c>
      <c r="V390" s="22">
        <f>IF(U390="",0,IF(U390="transition",0,IF(U390="SK",AK390,IF(U390="LB",AL390,IF(U390="ML",AM390,IF(U390="RLO",AN390,IF(U390="BD",AO390,IF(U390="BiP",AP390,IF(U390="PV",AQ390,IF(U390="OC",AR390,IF(U390="MG",AS390,0))))))))))</f>
        <v/>
      </c>
      <c r="W390" s="27">
        <f>IF(U390="BiP",Upgrades!$F$18,IF(U390="PV",Upgrades!$F$19,IF(U390="OC",Upgrades!$F$20,IF(U390="MG",Upgrades!$F$21,IF(U390="transition",-Parameters!$B$18*Parameters!$B$19,0)))))</f>
        <v/>
      </c>
      <c r="X390" s="22">
        <f>C390+T390-V390</f>
        <v/>
      </c>
      <c r="Y390" s="30">
        <f>O390*Parameters!$B$10/60*Parameters!$B$11+Q390*O390+P390</f>
        <v/>
      </c>
      <c r="Z390" s="34">
        <f>IF(U390="transition","→ Tier 3 (Galactic Arm)",IF(U390="MG","Moving Group — pocket drifts together",IF(U390="OC","Open Cluster acquired",IF(U390="PV","Peculiar Velocity — passive multiplier active",IF(U390="BiP","Binary Partner — pair bond formed",IF(AND(AU390=1,N390=0,AT390&lt;&gt;1),"Cohesion ready (waiting on completionists)","")))))) </f>
        <v/>
      </c>
      <c r="AA390" s="27">
        <f>(IF(E390=0,0,(Upgrades!$G$13+E390*Upgrades!$H$13)*POWER(Upgrades!$I$13,E390)))*(IF(Upgrades!$T$14="Stellar Kinematics",POWER(Upgrades!$U$14,F390),1)*IF(Upgrades!$T$15="Stellar Kinematics",POWER(Upgrades!$U$15,G390),1)*IF(Upgrades!$T$16="Stellar Kinematics",POWER(Upgrades!$U$16,H390),1)*IF(Upgrades!$T$17="Stellar Kinematics",POWER(Upgrades!$U$17,I390),1)*IF(Upgrades!$T$18="Stellar Kinematics",POWER(Upgrades!$U$18,J390),1)*IF(Upgrades!$T$19="Stellar Kinematics",POWER(Upgrades!$U$19,K390),1)*IF(Upgrades!$T$20="Stellar Kinematics",POWER(Upgrades!$U$20,L390),1)*IF(Upgrades!$T$21="Stellar Kinematics",POWER(Upgrades!$U$21,M390),1))*POWER(Upgrades!$P$13,E390)*POWER(Upgrades!$P$14,F390)*POWER(Upgrades!$P$15,G390)*POWER(Upgrades!$P$16,H390)*POWER(Upgrades!$P$17,I390)*POWER(Upgrades!$P$18,J390)*POWER(Upgrades!$P$19,K390)*POWER(Upgrades!$P$20,L390)*POWER(Upgrades!$P$21,M390)*$F$6*60</f>
        <v/>
      </c>
      <c r="AB390" s="27">
        <f>(IF(F390=0,0,(Upgrades!$G$14+F390*Upgrades!$H$14)*POWER(Upgrades!$I$14,F390)))*(IF(Upgrades!$T$13="Local Bubble",POWER(Upgrades!$U$13,E390),1)*IF(Upgrades!$T$15="Local Bubble",POWER(Upgrades!$U$15,G390),1)*IF(Upgrades!$T$16="Local Bubble",POWER(Upgrades!$U$16,H390),1)*IF(Upgrades!$T$17="Local Bubble",POWER(Upgrades!$U$17,I390),1)*IF(Upgrades!$T$18="Local Bubble",POWER(Upgrades!$U$18,J390),1)*IF(Upgrades!$T$19="Local Bubble",POWER(Upgrades!$U$19,K390),1)*IF(Upgrades!$T$20="Local Bubble",POWER(Upgrades!$U$20,L390),1)*IF(Upgrades!$T$21="Local Bubble",POWER(Upgrades!$U$21,M390),1))*POWER(Upgrades!$P$13,E390)*POWER(Upgrades!$P$14,F390)*POWER(Upgrades!$P$15,G390)*POWER(Upgrades!$P$16,H390)*POWER(Upgrades!$P$17,I390)*POWER(Upgrades!$P$18,J390)*POWER(Upgrades!$P$19,K390)*POWER(Upgrades!$P$20,L390)*POWER(Upgrades!$P$21,M390)*$F$6*60</f>
        <v/>
      </c>
      <c r="AC390" s="27">
        <f>(IF(G390=0,0,(Upgrades!$J$15+G390*Upgrades!$K$15)*POWER(Upgrades!$L$15,G390)))*(IF(Upgrades!$T$13="Microlensing",POWER(Upgrades!$U$13,E390),1)*IF(Upgrades!$T$14="Microlensing",POWER(Upgrades!$U$14,F390),1)*IF(Upgrades!$T$16="Microlensing",POWER(Upgrades!$U$16,H390),1)*IF(Upgrades!$T$17="Microlensing",POWER(Upgrades!$U$17,I390),1)*IF(Upgrades!$T$18="Microlensing",POWER(Upgrades!$U$18,J390),1)*IF(Upgrades!$T$19="Microlensing",POWER(Upgrades!$U$19,K390),1)*IF(Upgrades!$T$20="Microlensing",POWER(Upgrades!$U$20,L390),1)*IF(Upgrades!$T$21="Microlensing",POWER(Upgrades!$U$21,M390),1))*POWER(Upgrades!$Q$13,E390)*POWER(Upgrades!$Q$14,F390)*POWER(Upgrades!$Q$15,G390)*POWER(Upgrades!$Q$16,H390)*POWER(Upgrades!$Q$17,I390)*POWER(Upgrades!$Q$18,J390)*POWER(Upgrades!$Q$19,K390)*POWER(Upgrades!$Q$20,L390)*POWER(Upgrades!$Q$21,M390)*$G$6*(Parameters!$B$10*Parameters!$B$11+Q390*60)</f>
        <v/>
      </c>
      <c r="AD390" s="27">
        <f>(IF(H390=0,0,(Upgrades!$M$16+H390*Upgrades!$N$16)*POWER(Upgrades!$O$16,H390)))*(IF(Upgrades!$T$13="Roche Lobe Overflow",POWER(Upgrades!$U$13,E390),1)*IF(Upgrades!$T$14="Roche Lobe Overflow",POWER(Upgrades!$U$14,F390),1)*IF(Upgrades!$T$15="Roche Lobe Overflow",POWER(Upgrades!$U$15,G390),1)*IF(Upgrades!$T$17="Roche Lobe Overflow",POWER(Upgrades!$U$17,I390),1)*IF(Upgrades!$T$18="Roche Lobe Overflow",POWER(Upgrades!$U$18,J390),1)*IF(Upgrades!$T$19="Roche Lobe Overflow",POWER(Upgrades!$U$19,K390),1)*IF(Upgrades!$T$20="Roche Lobe Overflow",POWER(Upgrades!$U$20,L390),1)*IF(Upgrades!$T$21="Roche Lobe Overflow",POWER(Upgrades!$U$21,M390),1))*POWER(Upgrades!$R$13,E390)*POWER(Upgrades!$R$14,F390)*POWER(Upgrades!$R$15,G390)*POWER(Upgrades!$R$16,H390)*POWER(Upgrades!$R$17,I390)*POWER(Upgrades!$R$18,J390)*POWER(Upgrades!$R$19,K390)*POWER(Upgrades!$R$20,L390)*POWER(Upgrades!$R$21,M390)*$H$6*O390*60</f>
        <v/>
      </c>
      <c r="AE390" s="27">
        <f>(IF(I390=0,0,(Upgrades!$G$17+I390*Upgrades!$H$17)*POWER(Upgrades!$I$17,I390)))*(IF(Upgrades!$T$13="Brown Dwarf",POWER(Upgrades!$U$13,E390),1)*IF(Upgrades!$T$14="Brown Dwarf",POWER(Upgrades!$U$14,F390),1)*IF(Upgrades!$T$15="Brown Dwarf",POWER(Upgrades!$U$15,G390),1)*IF(Upgrades!$T$16="Brown Dwarf",POWER(Upgrades!$U$16,H390),1)*IF(Upgrades!$T$18="Brown Dwarf",POWER(Upgrades!$U$18,J390),1)*IF(Upgrades!$T$19="Brown Dwarf",POWER(Upgrades!$U$19,K390),1)*IF(Upgrades!$T$20="Brown Dwarf",POWER(Upgrades!$U$20,L390),1)*IF(Upgrades!$T$21="Brown Dwarf",POWER(Upgrades!$U$21,M390),1))*POWER(Upgrades!$P$13,E390)*POWER(Upgrades!$P$14,F390)*POWER(Upgrades!$P$15,G390)*POWER(Upgrades!$P$16,H390)*POWER(Upgrades!$P$17,I390)*POWER(Upgrades!$P$18,J390)*POWER(Upgrades!$P$19,K390)*POWER(Upgrades!$P$20,L390)*POWER(Upgrades!$P$21,M390)*$F$6*60</f>
        <v/>
      </c>
      <c r="AF390" s="27" t="n">
        <v>0</v>
      </c>
      <c r="AG390" s="27" t="n">
        <v>0</v>
      </c>
      <c r="AH390" s="27" t="n">
        <v>0</v>
      </c>
      <c r="AI390" s="27">
        <f>(IF(M390=0,0,(Upgrades!$G$21+M390*Upgrades!$H$21)*POWER(Upgrades!$I$21,M390)))*(IF(Upgrades!$T$13="Moving Group",POWER(Upgrades!$U$13,E390),1)*IF(Upgrades!$T$14="Moving Group",POWER(Upgrades!$U$14,F390),1)*IF(Upgrades!$T$15="Moving Group",POWER(Upgrades!$U$15,G390),1)*IF(Upgrades!$T$16="Moving Group",POWER(Upgrades!$U$16,H390),1)*IF(Upgrades!$T$17="Moving Group",POWER(Upgrades!$U$17,I390),1)*IF(Upgrades!$T$18="Moving Group",POWER(Upgrades!$U$18,J390),1)*IF(Upgrades!$T$19="Moving Group",POWER(Upgrades!$U$19,K390),1)*IF(Upgrades!$T$20="Moving Group",POWER(Upgrades!$U$20,L390),1))*POWER(Upgrades!$P$13,E390)*POWER(Upgrades!$P$14,F390)*POWER(Upgrades!$P$15,G390)*POWER(Upgrades!$P$16,H390)*POWER(Upgrades!$P$17,I390)*POWER(Upgrades!$P$18,J390)*POWER(Upgrades!$P$19,K390)*POWER(Upgrades!$P$20,L390)*POWER(Upgrades!$P$21,M390)*$F$6*60</f>
        <v/>
      </c>
      <c r="AJ390" s="27">
        <f>$C$6*60</f>
        <v/>
      </c>
      <c r="AK390" s="22">
        <f>IF(E390&gt;=Upgrades!$E$13,"",Upgrades!$C$13*POWER(Upgrades!$D$13,E390))</f>
        <v/>
      </c>
      <c r="AL390" s="22">
        <f>IF(F390&gt;=Upgrades!$E$14,"",Upgrades!$C$14*POWER(Upgrades!$D$14,F390))</f>
        <v/>
      </c>
      <c r="AM390" s="22">
        <f>IF(G390&gt;=Upgrades!$E$15,"",Upgrades!$C$15*POWER(Upgrades!$D$15,G390))</f>
        <v/>
      </c>
      <c r="AN390" s="22">
        <f>IF(H390&gt;=Upgrades!$E$16,"",Upgrades!$C$16*POWER(Upgrades!$D$16,H390))</f>
        <v/>
      </c>
      <c r="AO390" s="22">
        <f>IF(I390&gt;=Upgrades!$E$17,"",Upgrades!$C$17*POWER(Upgrades!$D$17,I390))</f>
        <v/>
      </c>
      <c r="AP390" s="22">
        <f>IF(J390&gt;=Upgrades!$E$18,"",Upgrades!$C$18*POWER(Upgrades!$D$18,J390))</f>
        <v/>
      </c>
      <c r="AQ390" s="22">
        <f>IF(K390&gt;=Upgrades!$E$19,"",Upgrades!$C$19*POWER(Upgrades!$D$19,K390))</f>
        <v/>
      </c>
      <c r="AR390" s="22">
        <f>IF(L390&gt;=Upgrades!$E$20,"",Upgrades!$C$20*POWER(Upgrades!$D$20,L390))</f>
        <v/>
      </c>
      <c r="AS390" s="22">
        <f>IF(M390&gt;=Upgrades!$E$21,"",Upgrades!$C$21*POWER(Upgrades!$D$21,M390))</f>
        <v/>
      </c>
      <c r="AT390" s="26">
        <f>IF(AND(D390&gt;=Parameters!$B$18*Parameters!$B$19,(I390&gt;=Upgrades!$E$17)*(M390&gt;=Upgrades!$E$21)=1,N390=0),1,"")</f>
        <v/>
      </c>
      <c r="AU390" s="26">
        <f>IF(AND(D390&gt;=Parameters!$B$18*Parameters!$B$19,N390=0),1,"")</f>
        <v/>
      </c>
      <c r="AV390" s="22">
        <f>MIN(IF(ISNUMBER(AP390),AP390,9E15),IF(ISNUMBER(AQ390),AQ390,9E15),IF(ISNUMBER(AR390),AR390,9E15),IF(ISNUMBER(AS390),AS390,9E15))</f>
        <v/>
      </c>
      <c r="AW390" s="22">
        <f>MIN(IF(ISNUMBER(AK390),AK390,9E15),IF(ISNUMBER(AL390),AL390,9E15),IF(ISNUMBER(AM390),AM390,9E15),IF(ISNUMBER(AN390),AN390,9E15),IF(ISNUMBER(AO390),AO390,9E15))</f>
        <v/>
      </c>
      <c r="AX390" s="29">
        <f>IF(BD390&gt;Parameters!$B$21*(MAX(IF(AND(NOT(AND(AU390=1,AT390&lt;&gt;1)),ISNUMBER(AK390),AK390&lt;=(C390+T390)),AY390,0),IF(AND(NOT(AND(AU390=1,AT390&lt;&gt;1)),ISNUMBER(AL390),AL390&lt;=(C390+T390)),AZ390,0),IF(AND(NOT(AND(AU390=1,AT390&lt;&gt;1)),ISNUMBER(AM390),AM390&lt;=(C390+T390)),BA390,0),IF(AND(NOT(AND(AU390=1,AT390&lt;&gt;1)),ISNUMBER(AN390),AN390&lt;=(C390+T390)),BB390,0),IF(AND(ISNUMBER(AO390),AO390&lt;=(C390+T390)),BC390,0))),TRUE,FALSE)</f>
        <v/>
      </c>
      <c r="AY390" s="32">
        <f>IFERROR(Upgrades!$H$13*(POWER(Upgrades!$P$13,E390)*POWER(Upgrades!$P$14,F390)*POWER(Upgrades!$P$15,G390)*POWER(Upgrades!$P$16,H390)*POWER(Upgrades!$P$17,I390)*POWER(Upgrades!$P$18,J390)*POWER(Upgrades!$P$19,K390)*POWER(Upgrades!$P$20,L390)*POWER(Upgrades!$P$21,M390))*(IF(Upgrades!$T$14="Stellar Kinematics",POWER(Upgrades!$U$14,F390),1)*IF(Upgrades!$T$15="Stellar Kinematics",POWER(Upgrades!$U$15,G390),1)*IF(Upgrades!$T$16="Stellar Kinematics",POWER(Upgrades!$U$16,H390),1)*IF(Upgrades!$T$17="Stellar Kinematics",POWER(Upgrades!$U$17,I390),1)*IF(Upgrades!$T$18="Stellar Kinematics",POWER(Upgrades!$U$18,J390),1)*IF(Upgrades!$T$19="Stellar Kinematics",POWER(Upgrades!$U$19,K390),1)*IF(Upgrades!$T$20="Stellar Kinematics",POWER(Upgrades!$U$20,L390),1)*IF(Upgrades!$T$21="Stellar Kinematics",POWER(Upgrades!$U$21,M390),1))*$F$6/AK390,0)</f>
        <v/>
      </c>
      <c r="AZ390" s="32">
        <f>IFERROR(Upgrades!$H$14*(POWER(Upgrades!$P$13,E390)*POWER(Upgrades!$P$14,F390)*POWER(Upgrades!$P$15,G390)*POWER(Upgrades!$P$16,H390)*POWER(Upgrades!$P$17,I390)*POWER(Upgrades!$P$18,J390)*POWER(Upgrades!$P$19,K390)*POWER(Upgrades!$P$20,L390)*POWER(Upgrades!$P$21,M390))*(IF(Upgrades!$T$13="Local Bubble",POWER(Upgrades!$U$13,E390),1)*IF(Upgrades!$T$15="Local Bubble",POWER(Upgrades!$U$15,G390),1)*IF(Upgrades!$T$16="Local Bubble",POWER(Upgrades!$U$16,H390),1)*IF(Upgrades!$T$17="Local Bubble",POWER(Upgrades!$U$17,I390),1)*IF(Upgrades!$T$18="Local Bubble",POWER(Upgrades!$U$18,J390),1)*IF(Upgrades!$T$19="Local Bubble",POWER(Upgrades!$U$19,K390),1)*IF(Upgrades!$T$20="Local Bubble",POWER(Upgrades!$U$20,L390),1)*IF(Upgrades!$T$21="Local Bubble",POWER(Upgrades!$U$21,M390),1))*$F$6/AL390,0)</f>
        <v/>
      </c>
      <c r="BA390" s="32">
        <f>IFERROR(Upgrades!$K$15*(POWER(Upgrades!$Q$13,E390)*POWER(Upgrades!$Q$14,F390)*POWER(Upgrades!$Q$15,G390)*POWER(Upgrades!$Q$16,H390)*POWER(Upgrades!$Q$17,I390)*POWER(Upgrades!$Q$18,J390)*POWER(Upgrades!$Q$19,K390)*POWER(Upgrades!$Q$20,L390)*POWER(Upgrades!$Q$21,M390))*(IF(Upgrades!$T$13="Microlensing",POWER(Upgrades!$U$13,E390),1)*IF(Upgrades!$T$14="Microlensing",POWER(Upgrades!$U$14,F390),1)*IF(Upgrades!$T$16="Microlensing",POWER(Upgrades!$U$16,H390),1)*IF(Upgrades!$T$17="Microlensing",POWER(Upgrades!$U$17,I390),1)*IF(Upgrades!$T$18="Microlensing",POWER(Upgrades!$U$18,J390),1)*IF(Upgrades!$T$19="Microlensing",POWER(Upgrades!$U$19,K390),1)*IF(Upgrades!$T$20="Microlensing",POWER(Upgrades!$U$20,L390),1)*IF(Upgrades!$T$21="Microlensing",POWER(Upgrades!$U$21,M390),1))*$G$6*(Parameters!$B$10/60*Parameters!$B$11+Q390)/AM390,0)</f>
        <v/>
      </c>
      <c r="BB390" s="32">
        <f>IFERROR((Upgrades!$N$16*(POWER(Upgrades!$R$13,E390)*POWER(Upgrades!$R$14,F390)*POWER(Upgrades!$R$15,G390)*POWER(Upgrades!$R$16,H390)*POWER(Upgrades!$R$17,I390)*POWER(Upgrades!$R$18,J390)*POWER(Upgrades!$R$19,K390)*POWER(Upgrades!$R$20,L390)*POWER(Upgrades!$R$21,M390))*(IF(Upgrades!$T$13="Roche Lobe Overflow",POWER(Upgrades!$U$13,E390),1)*IF(Upgrades!$T$14="Roche Lobe Overflow",POWER(Upgrades!$U$14,F390),1)*IF(Upgrades!$T$15="Roche Lobe Overflow",POWER(Upgrades!$U$15,G390),1)*IF(Upgrades!$T$17="Roche Lobe Overflow",POWER(Upgrades!$U$17,I390),1)*IF(Upgrades!$T$18="Roche Lobe Overflow",POWER(Upgrades!$U$18,J390),1)*IF(Upgrades!$T$19="Roche Lobe Overflow",POWER(Upgrades!$U$19,K390),1)*IF(Upgrades!$T$20="Roche Lobe Overflow",POWER(Upgrades!$U$20,L390),1)*IF(Upgrades!$T$21="Roche Lobe Overflow",POWER(Upgrades!$U$21,M390),1))*$H$6*O390+((IF(F390=0,0,(Upgrades!$G$14+F390*Upgrades!$H$14)*POWER(Upgrades!$I$14,F390)))*(IF(Upgrades!$T$13="Local Bubble",POWER(Upgrades!$U$13,E390),1)*IF(Upgrades!$T$15="Local Bubble",POWER(Upgrades!$U$15,G390),1)*IF(Upgrades!$T$16="Local Bubble",POWER(Upgrades!$U$16,H390),1)*IF(Upgrades!$T$17="Local Bubble",POWER(Upgrades!$U$17,I390),1)*IF(Upgrades!$T$18="Local Bubble",POWER(Upgrades!$U$18,J390),1)*IF(Upgrades!$T$19="Local Bubble",POWER(Upgrades!$U$19,K390),1)*IF(Upgrades!$T$20="Local Bubble",POWER(Upgrades!$U$20,L390),1)*IF(Upgrades!$T$21="Local Bubble",POWER(Upgrades!$U$21,M390),1))*POWER(Upgrades!$P$13,E390)*POWER(Upgrades!$P$14,F390)*POWER(Upgrades!$P$15,G390)*POWER(Upgrades!$P$16,H390)*POWER(Upgrades!$P$17,I390)*POWER(Upgrades!$P$18,J390)*POWER(Upgrades!$P$19,K390)*POWER(Upgrades!$P$20,L390)*POWER(Upgrades!$P$21,M390)*$F$6)*0.05)/AN390,0)</f>
        <v/>
      </c>
      <c r="BC390" s="32">
        <f>IFERROR((Upgrades!$H$17*(POWER(Upgrades!$P$13,E390)*POWER(Upgrades!$P$14,F390)*POWER(Upgrades!$P$15,G390)*POWER(Upgrades!$P$16,H390)*POWER(Upgrades!$P$17,I390)*POWER(Upgrades!$P$18,J390)*POWER(Upgrades!$P$19,K390)*POWER(Upgrades!$P$20,L390)*POWER(Upgrades!$P$21,M390))*(IF(Upgrades!$T$13="Brown Dwarf",POWER(Upgrades!$U$13,E390),1)*IF(Upgrades!$T$14="Brown Dwarf",POWER(Upgrades!$U$14,F390),1)*IF(Upgrades!$T$15="Brown Dwarf",POWER(Upgrades!$U$15,G390),1)*IF(Upgrades!$T$16="Brown Dwarf",POWER(Upgrades!$U$16,H390),1)*IF(Upgrades!$T$18="Brown Dwarf",POWER(Upgrades!$U$18,J390),1)*IF(Upgrades!$T$19="Brown Dwarf",POWER(Upgrades!$U$19,K390),1)*IF(Upgrades!$T$20="Brown Dwarf",POWER(Upgrades!$U$20,L390),1)*IF(Upgrades!$T$21="Brown Dwarf",POWER(Upgrades!$U$21,M390),1))*$F$6+(((IF(H390=0,0,(Upgrades!$M$16+H390*Upgrades!$N$16)*POWER(Upgrades!$O$16,H390)))*(IF(Upgrades!$T$13="Roche Lobe Overflow",POWER(Upgrades!$U$13,E390),1)*IF(Upgrades!$T$14="Roche Lobe Overflow",POWER(Upgrades!$U$14,F390),1)*IF(Upgrades!$T$15="Roche Lobe Overflow",POWER(Upgrades!$U$15,G390),1)*IF(Upgrades!$T$17="Roche Lobe Overflow",POWER(Upgrades!$U$17,I390),1)*IF(Upgrades!$T$18="Roche Lobe Overflow",POWER(Upgrades!$U$18,J390),1)*IF(Upgrades!$T$19="Roche Lobe Overflow",POWER(Upgrades!$U$19,K390),1)*IF(Upgrades!$T$20="Roche Lobe Overflow",POWER(Upgrades!$U$20,L390),1)*IF(Upgrades!$T$21="Roche Lobe Overflow",POWER(Upgrades!$U$21,M390),1))*POWER(Upgrades!$R$13,E390)*POWER(Upgrades!$R$14,F390)*POWER(Upgrades!$R$15,G390)*POWER(Upgrades!$R$16,H390)*POWER(Upgrades!$R$17,I390)*POWER(Upgrades!$R$18,J390)*POWER(Upgrades!$R$19,K390)*POWER(Upgrades!$R$20,L390)*POWER(Upgrades!$R$21,M390)*$H$6)*O390)*0.10)/AO390,0)</f>
        <v/>
      </c>
      <c r="BD390" s="32">
        <f>MAX(IF(J390&gt;0,0,IFERROR(0.5*((IF(G390=0,0,(Upgrades!$J$15+G390*Upgrades!$K$15)*POWER(Upgrades!$L$15,G390)))*(IF(Upgrades!$T$13="Microlensing",POWER(Upgrades!$U$13,E390),1)*IF(Upgrades!$T$14="Microlensing",POWER(Upgrades!$U$14,F390),1)*IF(Upgrades!$T$16="Microlensing",POWER(Upgrades!$U$16,H390),1)*IF(Upgrades!$T$17="Microlensing",POWER(Upgrades!$U$17,I390),1)*IF(Upgrades!$T$18="Microlensing",POWER(Upgrades!$U$18,J390),1)*IF(Upgrades!$T$19="Microlensing",POWER(Upgrades!$U$19,K390),1)*IF(Upgrades!$T$20="Microlensing",POWER(Upgrades!$U$20,L390),1)*IF(Upgrades!$T$21="Microlensing",POWER(Upgrades!$U$21,M390),1))*(POWER(Upgrades!$Q$13,E390)*POWER(Upgrades!$Q$14,F390)*POWER(Upgrades!$Q$15,G390)*POWER(Upgrades!$Q$16,H390)*POWER(Upgrades!$Q$17,I390)*POWER(Upgrades!$Q$18,J390)*POWER(Upgrades!$Q$19,K390)*POWER(Upgrades!$Q$20,L390)*POWER(Upgrades!$Q$21,M390))*$G$6*(Parameters!$B$10/60*Parameters!$B$11+Q390))/Upgrades!$C$18,0)),IF(K390&gt;0,0,IFERROR(0.30*P390/Upgrades!$C$19,0)),IF(L390&gt;0,0,IFERROR(0.0001/Upgrades!$C$20,0)),IF(M390&gt;0,0,IFERROR((6.0*(POWER(Upgrades!$P$13,E390)*POWER(Upgrades!$P$14,F390)*POWER(Upgrades!$P$15,G390)*POWER(Upgrades!$P$16,H390)*POWER(Upgrades!$P$17,I390)*POWER(Upgrades!$P$18,J390)*POWER(Upgrades!$P$19,K390)*POWER(Upgrades!$P$20,L390)*POWER(Upgrades!$P$21,M390))*$F$6+0.20*O390*(Parameters!$B$10/60*Parameters!$B$11+Q390))/Upgrades!$C$21,0)),IF(AND(ISNUMBER(AK390),AK390&gt;(C390+T390)),AY390,0),IF(AND(ISNUMBER(AL390),AL390&gt;(C390+T390)),AZ390,0),IF(AND(ISNUMBER(AM390),AM390&gt;(C390+T390)),BA390,0),IF(AND(ISNUMBER(AN390),AN390&gt;(C390+T390)),BB390,0),IF(AND(ISNUMBER(AO390),AO390&gt;(C390+T390)),BC390,0))</f>
        <v/>
      </c>
      <c r="BE390" s="29">
        <f>IF(AT390=1,"transition",IF(MIN(IF(AND(J390=0,ISNUMBER(AP390),AP390&lt;=(C390+T390)),AP390,9E15),IF(AND(K390=0,ISNUMBER(AQ390),AQ390&lt;=(C390+T390)),AQ390,9E15),IF(AND(L390=0,ISNUMBER(AR390),AR390&lt;=(C390+T390)),AR390,9E15),IF(AND(M390=0,ISNUMBER(AS390),AS390&lt;=(C390+T390)),AS390,9E15))&lt;9E15,IF(AND(AND(J390=0,ISNUMBER(AP390),AP390&lt;=(C390+T390)),AP390=MIN(IF(AND(J390=0,ISNUMBER(AP390),AP390&lt;=(C390+T390)),AP390,9E15),IF(AND(K390=0,ISNUMBER(AQ390),AQ390&lt;=(C390+T390)),AQ390,9E15),IF(AND(L390=0,ISNUMBER(AR390),AR390&lt;=(C390+T390)),AR390,9E15),IF(AND(M390=0,ISNUMBER(AS390),AS390&lt;=(C390+T390)),AS390,9E15))),"BiP",IF(AND(AND(K390=0,ISNUMBER(AQ390),AQ390&lt;=(C390+T390)),AQ390=MIN(IF(AND(J390=0,ISNUMBER(AP390),AP390&lt;=(C390+T390)),AP390,9E15),IF(AND(K390=0,ISNUMBER(AQ390),AQ390&lt;=(C390+T390)),AQ390,9E15),IF(AND(L390=0,ISNUMBER(AR390),AR390&lt;=(C390+T390)),AR390,9E15),IF(AND(M390=0,ISNUMBER(AS390),AS390&lt;=(C390+T390)),AS390,9E15))),"PV",IF(AND(AND(L390=0,ISNUMBER(AR390),AR390&lt;=(C390+T390)),AR390=MIN(IF(AND(J390=0,ISNUMBER(AP390),AP390&lt;=(C390+T390)),AP390,9E15),IF(AND(K390=0,ISNUMBER(AQ390),AQ390&lt;=(C390+T390)),AQ390,9E15),IF(AND(L390=0,ISNUMBER(AR390),AR390&lt;=(C390+T390)),AR390,9E15),IF(AND(M390=0,ISNUMBER(AS390),AS390&lt;=(C390+T390)),AS390,9E15))),"OC","MG"))),IF(AX390=TRUE,"",IF(MAX(IF(AND(NOT(AND(AU390=1,AT390&lt;&gt;1)),ISNUMBER(AK390),AK390&lt;=(C390+T390)),AY390,0),IF(AND(NOT(AND(AU390=1,AT390&lt;&gt;1)),ISNUMBER(AL390),AL390&lt;=(C390+T390)),AZ390,0),IF(AND(NOT(AND(AU390=1,AT390&lt;&gt;1)),ISNUMBER(AM390),AM390&lt;=(C390+T390)),BA390,0),IF(AND(NOT(AND(AU390=1,AT390&lt;&gt;1)),ISNUMBER(AN390),AN390&lt;=(C390+T390)),BB390,0),IF(AND(ISNUMBER(AO390),AO390&lt;=(C390+T390)),BC390,0))&lt;=0,"",IF(AND(IF(AND(NOT(AND(AU390=1,AT390&lt;&gt;1)),ISNUMBER(AK390),AK390&lt;=(C390+T390)),AY390,0)&gt;0,IF(AND(NOT(AND(AU390=1,AT390&lt;&gt;1)),ISNUMBER(AK390),AK390&lt;=(C390+T390)),AY390,0)=MAX(IF(AND(NOT(AND(AU390=1,AT390&lt;&gt;1)),ISNUMBER(AK390),AK390&lt;=(C390+T390)),AY390,0),IF(AND(NOT(AND(AU390=1,AT390&lt;&gt;1)),ISNUMBER(AL390),AL390&lt;=(C390+T390)),AZ390,0),IF(AND(NOT(AND(AU390=1,AT390&lt;&gt;1)),ISNUMBER(AM390),AM390&lt;=(C390+T390)),BA390,0),IF(AND(NOT(AND(AU390=1,AT390&lt;&gt;1)),ISNUMBER(AN390),AN390&lt;=(C390+T390)),BB390,0),IF(AND(ISNUMBER(AO390),AO390&lt;=(C390+T390)),BC390,0))),"SK",IF(AND(IF(AND(NOT(AND(AU390=1,AT390&lt;&gt;1)),ISNUMBER(AL390),AL390&lt;=(C390+T390)),AZ390,0)&gt;0,IF(AND(NOT(AND(AU390=1,AT390&lt;&gt;1)),ISNUMBER(AL390),AL390&lt;=(C390+T390)),AZ390,0)=MAX(IF(AND(NOT(AND(AU390=1,AT390&lt;&gt;1)),ISNUMBER(AK390),AK390&lt;=(C390+T390)),AY390,0),IF(AND(NOT(AND(AU390=1,AT390&lt;&gt;1)),ISNUMBER(AL390),AL390&lt;=(C390+T390)),AZ390,0),IF(AND(NOT(AND(AU390=1,AT390&lt;&gt;1)),ISNUMBER(AM390),AM390&lt;=(C390+T390)),BA390,0),IF(AND(NOT(AND(AU390=1,AT390&lt;&gt;1)),ISNUMBER(AN390),AN390&lt;=(C390+T390)),BB390,0),IF(AND(ISNUMBER(AO390),AO390&lt;=(C390+T390)),BC390,0))),"LB",IF(AND(IF(AND(NOT(AND(AU390=1,AT390&lt;&gt;1)),ISNUMBER(AM390),AM390&lt;=(C390+T390)),BA390,0)&gt;0,IF(AND(NOT(AND(AU390=1,AT390&lt;&gt;1)),ISNUMBER(AM390),AM390&lt;=(C390+T390)),BA390,0)=MAX(IF(AND(NOT(AND(AU390=1,AT390&lt;&gt;1)),ISNUMBER(AK390),AK390&lt;=(C390+T390)),AY390,0),IF(AND(NOT(AND(AU390=1,AT390&lt;&gt;1)),ISNUMBER(AL390),AL390&lt;=(C390+T390)),AZ390,0),IF(AND(NOT(AND(AU390=1,AT390&lt;&gt;1)),ISNUMBER(AM390),AM390&lt;=(C390+T390)),BA390,0),IF(AND(NOT(AND(AU390=1,AT390&lt;&gt;1)),ISNUMBER(AN390),AN390&lt;=(C390+T390)),BB390,0),IF(AND(ISNUMBER(AO390),AO390&lt;=(C390+T390)),BC390,0))),"ML",IF(AND(IF(AND(NOT(AND(AU390=1,AT390&lt;&gt;1)),ISNUMBER(AN390),AN390&lt;=(C390+T390)),BB390,0)&gt;0,IF(AND(NOT(AND(AU390=1,AT390&lt;&gt;1)),ISNUMBER(AN390),AN390&lt;=(C390+T390)),BB390,0)=MAX(IF(AND(NOT(AND(AU390=1,AT390&lt;&gt;1)),ISNUMBER(AK390),AK390&lt;=(C390+T390)),AY390,0),IF(AND(NOT(AND(AU390=1,AT390&lt;&gt;1)),ISNUMBER(AL390),AL390&lt;=(C390+T390)),AZ390,0),IF(AND(NOT(AND(AU390=1,AT390&lt;&gt;1)),ISNUMBER(AM390),AM390&lt;=(C390+T390)),BA390,0),IF(AND(NOT(AND(AU390=1,AT390&lt;&gt;1)),ISNUMBER(AN390),AN390&lt;=(C390+T390)),BB390,0),IF(AND(ISNUMBER(AO390),AO390&lt;=(C390+T390)),BC390,0))),"RLO","BD"))))))))</f>
        <v/>
      </c>
    </row>
    <row r="391">
      <c r="A391" s="26" t="n">
        <v>380</v>
      </c>
      <c r="B391" s="27">
        <f>A391*10/60</f>
        <v/>
      </c>
      <c r="C391" s="22">
        <f>X390</f>
        <v/>
      </c>
      <c r="D391" s="27">
        <f>D390+W390</f>
        <v/>
      </c>
      <c r="E391" s="26">
        <f>E390+IF(U390="SK",1,0)</f>
        <v/>
      </c>
      <c r="F391" s="26">
        <f>F390+IF(U390="LB",1,0)</f>
        <v/>
      </c>
      <c r="G391" s="26">
        <f>G390+IF(U390="ML",1,0)</f>
        <v/>
      </c>
      <c r="H391" s="26">
        <f>H390+IF(U390="RLO",1,0)</f>
        <v/>
      </c>
      <c r="I391" s="26">
        <f>I390+IF(U390="BD",1,0)</f>
        <v/>
      </c>
      <c r="J391" s="26">
        <f>MAX(J390,IF(U390="BiP",1,0))</f>
        <v/>
      </c>
      <c r="K391" s="26">
        <f>MAX(K390,IF(U390="PV",1,0))</f>
        <v/>
      </c>
      <c r="L391" s="26">
        <f>MAX(L390,IF(U390="OC",1,0))</f>
        <v/>
      </c>
      <c r="M391" s="26">
        <f>MAX(M390,IF(U390="MG",1,0))</f>
        <v/>
      </c>
      <c r="N391" s="26">
        <f>MAX(N390,IF(U390="transition",1,0))</f>
        <v/>
      </c>
      <c r="O391" s="28">
        <f>(Parameters!$B$9+(IF(E391=0,0,(Upgrades!$J$13+E391*Upgrades!$K$13)*POWER(Upgrades!$L$13,E391)))*(IF(Upgrades!$T$14="Stellar Kinematics",POWER(Upgrades!$U$14,F391),1)*IF(Upgrades!$T$15="Stellar Kinematics",POWER(Upgrades!$U$15,G391),1)*IF(Upgrades!$T$16="Stellar Kinematics",POWER(Upgrades!$U$16,H391),1)*IF(Upgrades!$T$17="Stellar Kinematics",POWER(Upgrades!$U$17,I391),1)*IF(Upgrades!$T$18="Stellar Kinematics",POWER(Upgrades!$U$18,J391),1)*IF(Upgrades!$T$19="Stellar Kinematics",POWER(Upgrades!$U$19,K391),1)*IF(Upgrades!$T$20="Stellar Kinematics",POWER(Upgrades!$U$20,L391),1)*IF(Upgrades!$T$21="Stellar Kinematics",POWER(Upgrades!$U$21,M391),1))+(IF(F391=0,0,(Upgrades!$J$14+F391*Upgrades!$K$14)*POWER(Upgrades!$L$14,F391)))*(IF(Upgrades!$T$13="Local Bubble",POWER(Upgrades!$U$13,E391),1)*IF(Upgrades!$T$15="Local Bubble",POWER(Upgrades!$U$15,G391),1)*IF(Upgrades!$T$16="Local Bubble",POWER(Upgrades!$U$16,H391),1)*IF(Upgrades!$T$17="Local Bubble",POWER(Upgrades!$U$17,I391),1)*IF(Upgrades!$T$18="Local Bubble",POWER(Upgrades!$U$18,J391),1)*IF(Upgrades!$T$19="Local Bubble",POWER(Upgrades!$U$19,K391),1)*IF(Upgrades!$T$20="Local Bubble",POWER(Upgrades!$U$20,L391),1)*IF(Upgrades!$T$21="Local Bubble",POWER(Upgrades!$U$21,M391),1))+(IF(G391=0,0,(Upgrades!$J$15+G391*Upgrades!$K$15)*POWER(Upgrades!$L$15,G391)))*(IF(Upgrades!$T$13="Microlensing",POWER(Upgrades!$U$13,E391),1)*IF(Upgrades!$T$14="Microlensing",POWER(Upgrades!$U$14,F391),1)*IF(Upgrades!$T$16="Microlensing",POWER(Upgrades!$U$16,H391),1)*IF(Upgrades!$T$17="Microlensing",POWER(Upgrades!$U$17,I391),1)*IF(Upgrades!$T$18="Microlensing",POWER(Upgrades!$U$18,J391),1)*IF(Upgrades!$T$19="Microlensing",POWER(Upgrades!$U$19,K391),1)*IF(Upgrades!$T$20="Microlensing",POWER(Upgrades!$U$20,L391),1)*IF(Upgrades!$T$21="Microlensing",POWER(Upgrades!$U$21,M391),1))+(IF(H391=0,0,(Upgrades!$J$16+H391*Upgrades!$K$16)*POWER(Upgrades!$L$16,H391)))*(IF(Upgrades!$T$13="Roche Lobe Overflow",POWER(Upgrades!$U$13,E391),1)*IF(Upgrades!$T$14="Roche Lobe Overflow",POWER(Upgrades!$U$14,F391),1)*IF(Upgrades!$T$15="Roche Lobe Overflow",POWER(Upgrades!$U$15,G391),1)*IF(Upgrades!$T$17="Roche Lobe Overflow",POWER(Upgrades!$U$17,I391),1)*IF(Upgrades!$T$18="Roche Lobe Overflow",POWER(Upgrades!$U$18,J391),1)*IF(Upgrades!$T$19="Roche Lobe Overflow",POWER(Upgrades!$U$19,K391),1)*IF(Upgrades!$T$20="Roche Lobe Overflow",POWER(Upgrades!$U$20,L391),1)*IF(Upgrades!$T$21="Roche Lobe Overflow",POWER(Upgrades!$U$21,M391),1))+(IF(I391=0,0,(Upgrades!$J$17+I391*Upgrades!$K$17)*POWER(Upgrades!$L$17,I391)))*(IF(Upgrades!$T$13="Brown Dwarf",POWER(Upgrades!$U$13,E391),1)*IF(Upgrades!$T$14="Brown Dwarf",POWER(Upgrades!$U$14,F391),1)*IF(Upgrades!$T$15="Brown Dwarf",POWER(Upgrades!$U$15,G391),1)*IF(Upgrades!$T$16="Brown Dwarf",POWER(Upgrades!$U$16,H391),1)*IF(Upgrades!$T$18="Brown Dwarf",POWER(Upgrades!$U$18,J391),1)*IF(Upgrades!$T$19="Brown Dwarf",POWER(Upgrades!$U$19,K391),1)*IF(Upgrades!$T$20="Brown Dwarf",POWER(Upgrades!$U$20,L391),1)*IF(Upgrades!$T$21="Brown Dwarf",POWER(Upgrades!$U$21,M391),1))+(IF(J391=0,0,(Upgrades!$J$18+J391*Upgrades!$K$18)*POWER(Upgrades!$L$18,J391)))*(IF(Upgrades!$T$13="Binary Partner",POWER(Upgrades!$U$13,E391),1)*IF(Upgrades!$T$14="Binary Partner",POWER(Upgrades!$U$14,F391),1)*IF(Upgrades!$T$15="Binary Partner",POWER(Upgrades!$U$15,G391),1)*IF(Upgrades!$T$16="Binary Partner",POWER(Upgrades!$U$16,H391),1)*IF(Upgrades!$T$17="Binary Partner",POWER(Upgrades!$U$17,I391),1)*IF(Upgrades!$T$19="Binary Partner",POWER(Upgrades!$U$19,K391),1)*IF(Upgrades!$T$20="Binary Partner",POWER(Upgrades!$U$20,L391),1)*IF(Upgrades!$T$21="Binary Partner",POWER(Upgrades!$U$21,M391),1))+(IF(K391=0,0,(Upgrades!$J$19+K391*Upgrades!$K$19)*POWER(Upgrades!$L$19,K391)))*(IF(Upgrades!$T$13="Peculiar Velocity",POWER(Upgrades!$U$13,E391),1)*IF(Upgrades!$T$14="Peculiar Velocity",POWER(Upgrades!$U$14,F391),1)*IF(Upgrades!$T$15="Peculiar Velocity",POWER(Upgrades!$U$15,G391),1)*IF(Upgrades!$T$16="Peculiar Velocity",POWER(Upgrades!$U$16,H391),1)*IF(Upgrades!$T$17="Peculiar Velocity",POWER(Upgrades!$U$17,I391),1)*IF(Upgrades!$T$18="Peculiar Velocity",POWER(Upgrades!$U$18,J391),1)*IF(Upgrades!$T$20="Peculiar Velocity",POWER(Upgrades!$U$20,L391),1)*IF(Upgrades!$T$21="Peculiar Velocity",POWER(Upgrades!$U$21,M391),1))+(IF(L391=0,0,(Upgrades!$J$20+L391*Upgrades!$K$20)*POWER(Upgrades!$L$20,L391)))*(IF(Upgrades!$T$13="Open Cluster",POWER(Upgrades!$U$13,E391),1)*IF(Upgrades!$T$14="Open Cluster",POWER(Upgrades!$U$14,F391),1)*IF(Upgrades!$T$15="Open Cluster",POWER(Upgrades!$U$15,G391),1)*IF(Upgrades!$T$16="Open Cluster",POWER(Upgrades!$U$16,H391),1)*IF(Upgrades!$T$17="Open Cluster",POWER(Upgrades!$U$17,I391),1)*IF(Upgrades!$T$18="Open Cluster",POWER(Upgrades!$U$18,J391),1)*IF(Upgrades!$T$19="Open Cluster",POWER(Upgrades!$U$19,K391),1)*IF(Upgrades!$T$21="Open Cluster",POWER(Upgrades!$U$21,M391),1))+(IF(M391=0,0,(Upgrades!$J$21+M391*Upgrades!$K$21)*POWER(Upgrades!$L$21,M391)))*(IF(Upgrades!$T$13="Moving Group",POWER(Upgrades!$U$13,E391),1)*IF(Upgrades!$T$14="Moving Group",POWER(Upgrades!$U$14,F391),1)*IF(Upgrades!$T$15="Moving Group",POWER(Upgrades!$U$15,G391),1)*IF(Upgrades!$T$16="Moving Group",POWER(Upgrades!$U$16,H391),1)*IF(Upgrades!$T$17="Moving Group",POWER(Upgrades!$U$17,I391),1)*IF(Upgrades!$T$18="Moving Group",POWER(Upgrades!$U$18,J391),1)*IF(Upgrades!$T$19="Moving Group",POWER(Upgrades!$U$19,K391),1)*IF(Upgrades!$T$20="Moving Group",POWER(Upgrades!$U$20,L391),1)))*POWER(Upgrades!$Q$13,E391)*POWER(Upgrades!$Q$14,F391)*POWER(Upgrades!$Q$15,G391)*POWER(Upgrades!$Q$16,H391)*POWER(Upgrades!$Q$17,I391)*POWER(Upgrades!$Q$18,J391)*POWER(Upgrades!$Q$19,K391)*POWER(Upgrades!$Q$20,L391)*POWER(Upgrades!$Q$21,M391)*$G$6+$D$6</f>
        <v/>
      </c>
      <c r="P391" s="28">
        <f>((IF(E391=0,0,(Upgrades!$G$13+E391*Upgrades!$H$13)*POWER(Upgrades!$I$13,E391)))*(IF(Upgrades!$T$14="Stellar Kinematics",POWER(Upgrades!$U$14,F391),1)*IF(Upgrades!$T$15="Stellar Kinematics",POWER(Upgrades!$U$15,G391),1)*IF(Upgrades!$T$16="Stellar Kinematics",POWER(Upgrades!$U$16,H391),1)*IF(Upgrades!$T$17="Stellar Kinematics",POWER(Upgrades!$U$17,I391),1)*IF(Upgrades!$T$18="Stellar Kinematics",POWER(Upgrades!$U$18,J391),1)*IF(Upgrades!$T$19="Stellar Kinematics",POWER(Upgrades!$U$19,K391),1)*IF(Upgrades!$T$20="Stellar Kinematics",POWER(Upgrades!$U$20,L391),1)*IF(Upgrades!$T$21="Stellar Kinematics",POWER(Upgrades!$U$21,M391),1))+(IF(F391=0,0,(Upgrades!$G$14+F391*Upgrades!$H$14)*POWER(Upgrades!$I$14,F391)))*(IF(Upgrades!$T$13="Local Bubble",POWER(Upgrades!$U$13,E391),1)*IF(Upgrades!$T$15="Local Bubble",POWER(Upgrades!$U$15,G391),1)*IF(Upgrades!$T$16="Local Bubble",POWER(Upgrades!$U$16,H391),1)*IF(Upgrades!$T$17="Local Bubble",POWER(Upgrades!$U$17,I391),1)*IF(Upgrades!$T$18="Local Bubble",POWER(Upgrades!$U$18,J391),1)*IF(Upgrades!$T$19="Local Bubble",POWER(Upgrades!$U$19,K391),1)*IF(Upgrades!$T$20="Local Bubble",POWER(Upgrades!$U$20,L391),1)*IF(Upgrades!$T$21="Local Bubble",POWER(Upgrades!$U$21,M391),1))+(IF(G391=0,0,(Upgrades!$G$15+G391*Upgrades!$H$15)*POWER(Upgrades!$I$15,G391)))*(IF(Upgrades!$T$13="Microlensing",POWER(Upgrades!$U$13,E391),1)*IF(Upgrades!$T$14="Microlensing",POWER(Upgrades!$U$14,F391),1)*IF(Upgrades!$T$16="Microlensing",POWER(Upgrades!$U$16,H391),1)*IF(Upgrades!$T$17="Microlensing",POWER(Upgrades!$U$17,I391),1)*IF(Upgrades!$T$18="Microlensing",POWER(Upgrades!$U$18,J391),1)*IF(Upgrades!$T$19="Microlensing",POWER(Upgrades!$U$19,K391),1)*IF(Upgrades!$T$20="Microlensing",POWER(Upgrades!$U$20,L391),1)*IF(Upgrades!$T$21="Microlensing",POWER(Upgrades!$U$21,M391),1))+(IF(H391=0,0,(Upgrades!$G$16+H391*Upgrades!$H$16)*POWER(Upgrades!$I$16,H391)))*(IF(Upgrades!$T$13="Roche Lobe Overflow",POWER(Upgrades!$U$13,E391),1)*IF(Upgrades!$T$14="Roche Lobe Overflow",POWER(Upgrades!$U$14,F391),1)*IF(Upgrades!$T$15="Roche Lobe Overflow",POWER(Upgrades!$U$15,G391),1)*IF(Upgrades!$T$17="Roche Lobe Overflow",POWER(Upgrades!$U$17,I391),1)*IF(Upgrades!$T$18="Roche Lobe Overflow",POWER(Upgrades!$U$18,J391),1)*IF(Upgrades!$T$19="Roche Lobe Overflow",POWER(Upgrades!$U$19,K391),1)*IF(Upgrades!$T$20="Roche Lobe Overflow",POWER(Upgrades!$U$20,L391),1)*IF(Upgrades!$T$21="Roche Lobe Overflow",POWER(Upgrades!$U$21,M391),1))+(IF(I391=0,0,(Upgrades!$G$17+I391*Upgrades!$H$17)*POWER(Upgrades!$I$17,I391)))*(IF(Upgrades!$T$13="Brown Dwarf",POWER(Upgrades!$U$13,E391),1)*IF(Upgrades!$T$14="Brown Dwarf",POWER(Upgrades!$U$14,F391),1)*IF(Upgrades!$T$15="Brown Dwarf",POWER(Upgrades!$U$15,G391),1)*IF(Upgrades!$T$16="Brown Dwarf",POWER(Upgrades!$U$16,H391),1)*IF(Upgrades!$T$18="Brown Dwarf",POWER(Upgrades!$U$18,J391),1)*IF(Upgrades!$T$19="Brown Dwarf",POWER(Upgrades!$U$19,K391),1)*IF(Upgrades!$T$20="Brown Dwarf",POWER(Upgrades!$U$20,L391),1)*IF(Upgrades!$T$21="Brown Dwarf",POWER(Upgrades!$U$21,M391),1))+(IF(J391=0,0,(Upgrades!$G$18+J391*Upgrades!$H$18)*POWER(Upgrades!$I$18,J391)))*(IF(Upgrades!$T$13="Binary Partner",POWER(Upgrades!$U$13,E391),1)*IF(Upgrades!$T$14="Binary Partner",POWER(Upgrades!$U$14,F391),1)*IF(Upgrades!$T$15="Binary Partner",POWER(Upgrades!$U$15,G391),1)*IF(Upgrades!$T$16="Binary Partner",POWER(Upgrades!$U$16,H391),1)*IF(Upgrades!$T$17="Binary Partner",POWER(Upgrades!$U$17,I391),1)*IF(Upgrades!$T$19="Binary Partner",POWER(Upgrades!$U$19,K391),1)*IF(Upgrades!$T$20="Binary Partner",POWER(Upgrades!$U$20,L391),1)*IF(Upgrades!$T$21="Binary Partner",POWER(Upgrades!$U$21,M391),1))+(IF(K391=0,0,(Upgrades!$G$19+K391*Upgrades!$H$19)*POWER(Upgrades!$I$19,K391)))*(IF(Upgrades!$T$13="Peculiar Velocity",POWER(Upgrades!$U$13,E391),1)*IF(Upgrades!$T$14="Peculiar Velocity",POWER(Upgrades!$U$14,F391),1)*IF(Upgrades!$T$15="Peculiar Velocity",POWER(Upgrades!$U$15,G391),1)*IF(Upgrades!$T$16="Peculiar Velocity",POWER(Upgrades!$U$16,H391),1)*IF(Upgrades!$T$17="Peculiar Velocity",POWER(Upgrades!$U$17,I391),1)*IF(Upgrades!$T$18="Peculiar Velocity",POWER(Upgrades!$U$18,J391),1)*IF(Upgrades!$T$20="Peculiar Velocity",POWER(Upgrades!$U$20,L391),1)*IF(Upgrades!$T$21="Peculiar Velocity",POWER(Upgrades!$U$21,M391),1))+(IF(L391=0,0,(Upgrades!$G$20+L391*Upgrades!$H$20)*POWER(Upgrades!$I$20,L391)))*(IF(Upgrades!$T$13="Open Cluster",POWER(Upgrades!$U$13,E391),1)*IF(Upgrades!$T$14="Open Cluster",POWER(Upgrades!$U$14,F391),1)*IF(Upgrades!$T$15="Open Cluster",POWER(Upgrades!$U$15,G391),1)*IF(Upgrades!$T$16="Open Cluster",POWER(Upgrades!$U$16,H391),1)*IF(Upgrades!$T$17="Open Cluster",POWER(Upgrades!$U$17,I391),1)*IF(Upgrades!$T$18="Open Cluster",POWER(Upgrades!$U$18,J391),1)*IF(Upgrades!$T$19="Open Cluster",POWER(Upgrades!$U$19,K391),1)*IF(Upgrades!$T$21="Open Cluster",POWER(Upgrades!$U$21,M391),1))+(IF(M391=0,0,(Upgrades!$G$21+M391*Upgrades!$H$21)*POWER(Upgrades!$I$21,M391)))*(IF(Upgrades!$T$13="Moving Group",POWER(Upgrades!$U$13,E391),1)*IF(Upgrades!$T$14="Moving Group",POWER(Upgrades!$U$14,F391),1)*IF(Upgrades!$T$15="Moving Group",POWER(Upgrades!$U$15,G391),1)*IF(Upgrades!$T$16="Moving Group",POWER(Upgrades!$U$16,H391),1)*IF(Upgrades!$T$17="Moving Group",POWER(Upgrades!$U$17,I391),1)*IF(Upgrades!$T$18="Moving Group",POWER(Upgrades!$U$18,J391),1)*IF(Upgrades!$T$19="Moving Group",POWER(Upgrades!$U$19,K391),1)*IF(Upgrades!$T$20="Moving Group",POWER(Upgrades!$U$20,L391),1)))*POWER(Upgrades!$P$13,E391)*POWER(Upgrades!$P$14,F391)*POWER(Upgrades!$P$15,G391)*POWER(Upgrades!$P$16,H391)*POWER(Upgrades!$P$17,I391)*POWER(Upgrades!$P$18,J391)*POWER(Upgrades!$P$19,K391)*POWER(Upgrades!$P$20,L391)*POWER(Upgrades!$P$21,M391)*$F$6+$C$6</f>
        <v/>
      </c>
      <c r="Q391" s="28">
        <f>((IF(E391=0,0,(Upgrades!$M$13+E391*Upgrades!$N$13)*POWER(Upgrades!$O$13,E391)))*(IF(Upgrades!$T$14="Stellar Kinematics",POWER(Upgrades!$U$14,F391),1)*IF(Upgrades!$T$15="Stellar Kinematics",POWER(Upgrades!$U$15,G391),1)*IF(Upgrades!$T$16="Stellar Kinematics",POWER(Upgrades!$U$16,H391),1)*IF(Upgrades!$T$17="Stellar Kinematics",POWER(Upgrades!$U$17,I391),1)*IF(Upgrades!$T$18="Stellar Kinematics",POWER(Upgrades!$U$18,J391),1)*IF(Upgrades!$T$19="Stellar Kinematics",POWER(Upgrades!$U$19,K391),1)*IF(Upgrades!$T$20="Stellar Kinematics",POWER(Upgrades!$U$20,L391),1)*IF(Upgrades!$T$21="Stellar Kinematics",POWER(Upgrades!$U$21,M391),1))+(IF(F391=0,0,(Upgrades!$M$14+F391*Upgrades!$N$14)*POWER(Upgrades!$O$14,F391)))*(IF(Upgrades!$T$13="Local Bubble",POWER(Upgrades!$U$13,E391),1)*IF(Upgrades!$T$15="Local Bubble",POWER(Upgrades!$U$15,G391),1)*IF(Upgrades!$T$16="Local Bubble",POWER(Upgrades!$U$16,H391),1)*IF(Upgrades!$T$17="Local Bubble",POWER(Upgrades!$U$17,I391),1)*IF(Upgrades!$T$18="Local Bubble",POWER(Upgrades!$U$18,J391),1)*IF(Upgrades!$T$19="Local Bubble",POWER(Upgrades!$U$19,K391),1)*IF(Upgrades!$T$20="Local Bubble",POWER(Upgrades!$U$20,L391),1)*IF(Upgrades!$T$21="Local Bubble",POWER(Upgrades!$U$21,M391),1))+(IF(G391=0,0,(Upgrades!$M$15+G391*Upgrades!$N$15)*POWER(Upgrades!$O$15,G391)))*(IF(Upgrades!$T$13="Microlensing",POWER(Upgrades!$U$13,E391),1)*IF(Upgrades!$T$14="Microlensing",POWER(Upgrades!$U$14,F391),1)*IF(Upgrades!$T$16="Microlensing",POWER(Upgrades!$U$16,H391),1)*IF(Upgrades!$T$17="Microlensing",POWER(Upgrades!$U$17,I391),1)*IF(Upgrades!$T$18="Microlensing",POWER(Upgrades!$U$18,J391),1)*IF(Upgrades!$T$19="Microlensing",POWER(Upgrades!$U$19,K391),1)*IF(Upgrades!$T$20="Microlensing",POWER(Upgrades!$U$20,L391),1)*IF(Upgrades!$T$21="Microlensing",POWER(Upgrades!$U$21,M391),1))+(IF(H391=0,0,(Upgrades!$M$16+H391*Upgrades!$N$16)*POWER(Upgrades!$O$16,H391)))*(IF(Upgrades!$T$13="Roche Lobe Overflow",POWER(Upgrades!$U$13,E391),1)*IF(Upgrades!$T$14="Roche Lobe Overflow",POWER(Upgrades!$U$14,F391),1)*IF(Upgrades!$T$15="Roche Lobe Overflow",POWER(Upgrades!$U$15,G391),1)*IF(Upgrades!$T$17="Roche Lobe Overflow",POWER(Upgrades!$U$17,I391),1)*IF(Upgrades!$T$18="Roche Lobe Overflow",POWER(Upgrades!$U$18,J391),1)*IF(Upgrades!$T$19="Roche Lobe Overflow",POWER(Upgrades!$U$19,K391),1)*IF(Upgrades!$T$20="Roche Lobe Overflow",POWER(Upgrades!$U$20,L391),1)*IF(Upgrades!$T$21="Roche Lobe Overflow",POWER(Upgrades!$U$21,M391),1))+(IF(I391=0,0,(Upgrades!$M$17+I391*Upgrades!$N$17)*POWER(Upgrades!$O$17,I391)))*(IF(Upgrades!$T$13="Brown Dwarf",POWER(Upgrades!$U$13,E391),1)*IF(Upgrades!$T$14="Brown Dwarf",POWER(Upgrades!$U$14,F391),1)*IF(Upgrades!$T$15="Brown Dwarf",POWER(Upgrades!$U$15,G391),1)*IF(Upgrades!$T$16="Brown Dwarf",POWER(Upgrades!$U$16,H391),1)*IF(Upgrades!$T$18="Brown Dwarf",POWER(Upgrades!$U$18,J391),1)*IF(Upgrades!$T$19="Brown Dwarf",POWER(Upgrades!$U$19,K391),1)*IF(Upgrades!$T$20="Brown Dwarf",POWER(Upgrades!$U$20,L391),1)*IF(Upgrades!$T$21="Brown Dwarf",POWER(Upgrades!$U$21,M391),1))+(IF(J391=0,0,(Upgrades!$M$18+J391*Upgrades!$N$18)*POWER(Upgrades!$O$18,J391)))*(IF(Upgrades!$T$13="Binary Partner",POWER(Upgrades!$U$13,E391),1)*IF(Upgrades!$T$14="Binary Partner",POWER(Upgrades!$U$14,F391),1)*IF(Upgrades!$T$15="Binary Partner",POWER(Upgrades!$U$15,G391),1)*IF(Upgrades!$T$16="Binary Partner",POWER(Upgrades!$U$16,H391),1)*IF(Upgrades!$T$17="Binary Partner",POWER(Upgrades!$U$17,I391),1)*IF(Upgrades!$T$19="Binary Partner",POWER(Upgrades!$U$19,K391),1)*IF(Upgrades!$T$20="Binary Partner",POWER(Upgrades!$U$20,L391),1)*IF(Upgrades!$T$21="Binary Partner",POWER(Upgrades!$U$21,M391),1))+(IF(K391=0,0,(Upgrades!$M$19+K391*Upgrades!$N$19)*POWER(Upgrades!$O$19,K391)))*(IF(Upgrades!$T$13="Peculiar Velocity",POWER(Upgrades!$U$13,E391),1)*IF(Upgrades!$T$14="Peculiar Velocity",POWER(Upgrades!$U$14,F391),1)*IF(Upgrades!$T$15="Peculiar Velocity",POWER(Upgrades!$U$15,G391),1)*IF(Upgrades!$T$16="Peculiar Velocity",POWER(Upgrades!$U$16,H391),1)*IF(Upgrades!$T$17="Peculiar Velocity",POWER(Upgrades!$U$17,I391),1)*IF(Upgrades!$T$18="Peculiar Velocity",POWER(Upgrades!$U$18,J391),1)*IF(Upgrades!$T$20="Peculiar Velocity",POWER(Upgrades!$U$20,L391),1)*IF(Upgrades!$T$21="Peculiar Velocity",POWER(Upgrades!$U$21,M391),1))+(IF(L391=0,0,(Upgrades!$M$20+L391*Upgrades!$N$20)*POWER(Upgrades!$O$20,L391)))*(IF(Upgrades!$T$13="Open Cluster",POWER(Upgrades!$U$13,E391),1)*IF(Upgrades!$T$14="Open Cluster",POWER(Upgrades!$U$14,F391),1)*IF(Upgrades!$T$15="Open Cluster",POWER(Upgrades!$U$15,G391),1)*IF(Upgrades!$T$16="Open Cluster",POWER(Upgrades!$U$16,H391),1)*IF(Upgrades!$T$17="Open Cluster",POWER(Upgrades!$U$17,I391),1)*IF(Upgrades!$T$18="Open Cluster",POWER(Upgrades!$U$18,J391),1)*IF(Upgrades!$T$19="Open Cluster",POWER(Upgrades!$U$19,K391),1)*IF(Upgrades!$T$21="Open Cluster",POWER(Upgrades!$U$21,M391),1))+(IF(M391=0,0,(Upgrades!$M$21+M391*Upgrades!$N$21)*POWER(Upgrades!$O$21,M391)))*(IF(Upgrades!$T$13="Moving Group",POWER(Upgrades!$U$13,E391),1)*IF(Upgrades!$T$14="Moving Group",POWER(Upgrades!$U$14,F391),1)*IF(Upgrades!$T$15="Moving Group",POWER(Upgrades!$U$15,G391),1)*IF(Upgrades!$T$16="Moving Group",POWER(Upgrades!$U$16,H391),1)*IF(Upgrades!$T$17="Moving Group",POWER(Upgrades!$U$17,I391),1)*IF(Upgrades!$T$18="Moving Group",POWER(Upgrades!$U$18,J391),1)*IF(Upgrades!$T$19="Moving Group",POWER(Upgrades!$U$19,K391),1)*IF(Upgrades!$T$20="Moving Group",POWER(Upgrades!$U$20,L391),1)))*POWER(Upgrades!$R$13,E391)*POWER(Upgrades!$R$14,F391)*POWER(Upgrades!$R$15,G391)*POWER(Upgrades!$R$16,H391)*POWER(Upgrades!$R$17,I391)*POWER(Upgrades!$R$18,J391)*POWER(Upgrades!$R$19,K391)*POWER(Upgrades!$R$20,L391)*POWER(Upgrades!$R$21,M391)*$H$6+$E$6</f>
        <v/>
      </c>
      <c r="R391" s="27">
        <f>IF(N391=1,0,O391*Parameters!$B$10/60*Parameters!$B$11*10)</f>
        <v/>
      </c>
      <c r="S391" s="27">
        <f>IF(N391=1,0,Q391*O391*10)</f>
        <v/>
      </c>
      <c r="T391" s="27">
        <f>IF(N391=1,0,R391+S391+P391*10)</f>
        <v/>
      </c>
      <c r="U391" s="33">
        <f>BE391</f>
        <v/>
      </c>
      <c r="V391" s="22">
        <f>IF(U391="",0,IF(U391="transition",0,IF(U391="SK",AK391,IF(U391="LB",AL391,IF(U391="ML",AM391,IF(U391="RLO",AN391,IF(U391="BD",AO391,IF(U391="BiP",AP391,IF(U391="PV",AQ391,IF(U391="OC",AR391,IF(U391="MG",AS391,0))))))))))</f>
        <v/>
      </c>
      <c r="W391" s="27">
        <f>IF(U391="BiP",Upgrades!$F$18,IF(U391="PV",Upgrades!$F$19,IF(U391="OC",Upgrades!$F$20,IF(U391="MG",Upgrades!$F$21,IF(U391="transition",-Parameters!$B$18*Parameters!$B$19,0)))))</f>
        <v/>
      </c>
      <c r="X391" s="22">
        <f>C391+T391-V391</f>
        <v/>
      </c>
      <c r="Y391" s="30">
        <f>O391*Parameters!$B$10/60*Parameters!$B$11+Q391*O391+P391</f>
        <v/>
      </c>
      <c r="Z391" s="34">
        <f>IF(U391="transition","→ Tier 3 (Galactic Arm)",IF(U391="MG","Moving Group — pocket drifts together",IF(U391="OC","Open Cluster acquired",IF(U391="PV","Peculiar Velocity — passive multiplier active",IF(U391="BiP","Binary Partner — pair bond formed",IF(AND(AU391=1,N391=0,AT391&lt;&gt;1),"Cohesion ready (waiting on completionists)","")))))) </f>
        <v/>
      </c>
      <c r="AA391" s="27">
        <f>(IF(E391=0,0,(Upgrades!$G$13+E391*Upgrades!$H$13)*POWER(Upgrades!$I$13,E391)))*(IF(Upgrades!$T$14="Stellar Kinematics",POWER(Upgrades!$U$14,F391),1)*IF(Upgrades!$T$15="Stellar Kinematics",POWER(Upgrades!$U$15,G391),1)*IF(Upgrades!$T$16="Stellar Kinematics",POWER(Upgrades!$U$16,H391),1)*IF(Upgrades!$T$17="Stellar Kinematics",POWER(Upgrades!$U$17,I391),1)*IF(Upgrades!$T$18="Stellar Kinematics",POWER(Upgrades!$U$18,J391),1)*IF(Upgrades!$T$19="Stellar Kinematics",POWER(Upgrades!$U$19,K391),1)*IF(Upgrades!$T$20="Stellar Kinematics",POWER(Upgrades!$U$20,L391),1)*IF(Upgrades!$T$21="Stellar Kinematics",POWER(Upgrades!$U$21,M391),1))*POWER(Upgrades!$P$13,E391)*POWER(Upgrades!$P$14,F391)*POWER(Upgrades!$P$15,G391)*POWER(Upgrades!$P$16,H391)*POWER(Upgrades!$P$17,I391)*POWER(Upgrades!$P$18,J391)*POWER(Upgrades!$P$19,K391)*POWER(Upgrades!$P$20,L391)*POWER(Upgrades!$P$21,M391)*$F$6*60</f>
        <v/>
      </c>
      <c r="AB391" s="27">
        <f>(IF(F391=0,0,(Upgrades!$G$14+F391*Upgrades!$H$14)*POWER(Upgrades!$I$14,F391)))*(IF(Upgrades!$T$13="Local Bubble",POWER(Upgrades!$U$13,E391),1)*IF(Upgrades!$T$15="Local Bubble",POWER(Upgrades!$U$15,G391),1)*IF(Upgrades!$T$16="Local Bubble",POWER(Upgrades!$U$16,H391),1)*IF(Upgrades!$T$17="Local Bubble",POWER(Upgrades!$U$17,I391),1)*IF(Upgrades!$T$18="Local Bubble",POWER(Upgrades!$U$18,J391),1)*IF(Upgrades!$T$19="Local Bubble",POWER(Upgrades!$U$19,K391),1)*IF(Upgrades!$T$20="Local Bubble",POWER(Upgrades!$U$20,L391),1)*IF(Upgrades!$T$21="Local Bubble",POWER(Upgrades!$U$21,M391),1))*POWER(Upgrades!$P$13,E391)*POWER(Upgrades!$P$14,F391)*POWER(Upgrades!$P$15,G391)*POWER(Upgrades!$P$16,H391)*POWER(Upgrades!$P$17,I391)*POWER(Upgrades!$P$18,J391)*POWER(Upgrades!$P$19,K391)*POWER(Upgrades!$P$20,L391)*POWER(Upgrades!$P$21,M391)*$F$6*60</f>
        <v/>
      </c>
      <c r="AC391" s="27">
        <f>(IF(G391=0,0,(Upgrades!$J$15+G391*Upgrades!$K$15)*POWER(Upgrades!$L$15,G391)))*(IF(Upgrades!$T$13="Microlensing",POWER(Upgrades!$U$13,E391),1)*IF(Upgrades!$T$14="Microlensing",POWER(Upgrades!$U$14,F391),1)*IF(Upgrades!$T$16="Microlensing",POWER(Upgrades!$U$16,H391),1)*IF(Upgrades!$T$17="Microlensing",POWER(Upgrades!$U$17,I391),1)*IF(Upgrades!$T$18="Microlensing",POWER(Upgrades!$U$18,J391),1)*IF(Upgrades!$T$19="Microlensing",POWER(Upgrades!$U$19,K391),1)*IF(Upgrades!$T$20="Microlensing",POWER(Upgrades!$U$20,L391),1)*IF(Upgrades!$T$21="Microlensing",POWER(Upgrades!$U$21,M391),1))*POWER(Upgrades!$Q$13,E391)*POWER(Upgrades!$Q$14,F391)*POWER(Upgrades!$Q$15,G391)*POWER(Upgrades!$Q$16,H391)*POWER(Upgrades!$Q$17,I391)*POWER(Upgrades!$Q$18,J391)*POWER(Upgrades!$Q$19,K391)*POWER(Upgrades!$Q$20,L391)*POWER(Upgrades!$Q$21,M391)*$G$6*(Parameters!$B$10*Parameters!$B$11+Q391*60)</f>
        <v/>
      </c>
      <c r="AD391" s="27">
        <f>(IF(H391=0,0,(Upgrades!$M$16+H391*Upgrades!$N$16)*POWER(Upgrades!$O$16,H391)))*(IF(Upgrades!$T$13="Roche Lobe Overflow",POWER(Upgrades!$U$13,E391),1)*IF(Upgrades!$T$14="Roche Lobe Overflow",POWER(Upgrades!$U$14,F391),1)*IF(Upgrades!$T$15="Roche Lobe Overflow",POWER(Upgrades!$U$15,G391),1)*IF(Upgrades!$T$17="Roche Lobe Overflow",POWER(Upgrades!$U$17,I391),1)*IF(Upgrades!$T$18="Roche Lobe Overflow",POWER(Upgrades!$U$18,J391),1)*IF(Upgrades!$T$19="Roche Lobe Overflow",POWER(Upgrades!$U$19,K391),1)*IF(Upgrades!$T$20="Roche Lobe Overflow",POWER(Upgrades!$U$20,L391),1)*IF(Upgrades!$T$21="Roche Lobe Overflow",POWER(Upgrades!$U$21,M391),1))*POWER(Upgrades!$R$13,E391)*POWER(Upgrades!$R$14,F391)*POWER(Upgrades!$R$15,G391)*POWER(Upgrades!$R$16,H391)*POWER(Upgrades!$R$17,I391)*POWER(Upgrades!$R$18,J391)*POWER(Upgrades!$R$19,K391)*POWER(Upgrades!$R$20,L391)*POWER(Upgrades!$R$21,M391)*$H$6*O391*60</f>
        <v/>
      </c>
      <c r="AE391" s="27">
        <f>(IF(I391=0,0,(Upgrades!$G$17+I391*Upgrades!$H$17)*POWER(Upgrades!$I$17,I391)))*(IF(Upgrades!$T$13="Brown Dwarf",POWER(Upgrades!$U$13,E391),1)*IF(Upgrades!$T$14="Brown Dwarf",POWER(Upgrades!$U$14,F391),1)*IF(Upgrades!$T$15="Brown Dwarf",POWER(Upgrades!$U$15,G391),1)*IF(Upgrades!$T$16="Brown Dwarf",POWER(Upgrades!$U$16,H391),1)*IF(Upgrades!$T$18="Brown Dwarf",POWER(Upgrades!$U$18,J391),1)*IF(Upgrades!$T$19="Brown Dwarf",POWER(Upgrades!$U$19,K391),1)*IF(Upgrades!$T$20="Brown Dwarf",POWER(Upgrades!$U$20,L391),1)*IF(Upgrades!$T$21="Brown Dwarf",POWER(Upgrades!$U$21,M391),1))*POWER(Upgrades!$P$13,E391)*POWER(Upgrades!$P$14,F391)*POWER(Upgrades!$P$15,G391)*POWER(Upgrades!$P$16,H391)*POWER(Upgrades!$P$17,I391)*POWER(Upgrades!$P$18,J391)*POWER(Upgrades!$P$19,K391)*POWER(Upgrades!$P$20,L391)*POWER(Upgrades!$P$21,M391)*$F$6*60</f>
        <v/>
      </c>
      <c r="AF391" s="27" t="n">
        <v>0</v>
      </c>
      <c r="AG391" s="27" t="n">
        <v>0</v>
      </c>
      <c r="AH391" s="27" t="n">
        <v>0</v>
      </c>
      <c r="AI391" s="27">
        <f>(IF(M391=0,0,(Upgrades!$G$21+M391*Upgrades!$H$21)*POWER(Upgrades!$I$21,M391)))*(IF(Upgrades!$T$13="Moving Group",POWER(Upgrades!$U$13,E391),1)*IF(Upgrades!$T$14="Moving Group",POWER(Upgrades!$U$14,F391),1)*IF(Upgrades!$T$15="Moving Group",POWER(Upgrades!$U$15,G391),1)*IF(Upgrades!$T$16="Moving Group",POWER(Upgrades!$U$16,H391),1)*IF(Upgrades!$T$17="Moving Group",POWER(Upgrades!$U$17,I391),1)*IF(Upgrades!$T$18="Moving Group",POWER(Upgrades!$U$18,J391),1)*IF(Upgrades!$T$19="Moving Group",POWER(Upgrades!$U$19,K391),1)*IF(Upgrades!$T$20="Moving Group",POWER(Upgrades!$U$20,L391),1))*POWER(Upgrades!$P$13,E391)*POWER(Upgrades!$P$14,F391)*POWER(Upgrades!$P$15,G391)*POWER(Upgrades!$P$16,H391)*POWER(Upgrades!$P$17,I391)*POWER(Upgrades!$P$18,J391)*POWER(Upgrades!$P$19,K391)*POWER(Upgrades!$P$20,L391)*POWER(Upgrades!$P$21,M391)*$F$6*60</f>
        <v/>
      </c>
      <c r="AJ391" s="27">
        <f>$C$6*60</f>
        <v/>
      </c>
      <c r="AK391" s="22">
        <f>IF(E391&gt;=Upgrades!$E$13,"",Upgrades!$C$13*POWER(Upgrades!$D$13,E391))</f>
        <v/>
      </c>
      <c r="AL391" s="22">
        <f>IF(F391&gt;=Upgrades!$E$14,"",Upgrades!$C$14*POWER(Upgrades!$D$14,F391))</f>
        <v/>
      </c>
      <c r="AM391" s="22">
        <f>IF(G391&gt;=Upgrades!$E$15,"",Upgrades!$C$15*POWER(Upgrades!$D$15,G391))</f>
        <v/>
      </c>
      <c r="AN391" s="22">
        <f>IF(H391&gt;=Upgrades!$E$16,"",Upgrades!$C$16*POWER(Upgrades!$D$16,H391))</f>
        <v/>
      </c>
      <c r="AO391" s="22">
        <f>IF(I391&gt;=Upgrades!$E$17,"",Upgrades!$C$17*POWER(Upgrades!$D$17,I391))</f>
        <v/>
      </c>
      <c r="AP391" s="22">
        <f>IF(J391&gt;=Upgrades!$E$18,"",Upgrades!$C$18*POWER(Upgrades!$D$18,J391))</f>
        <v/>
      </c>
      <c r="AQ391" s="22">
        <f>IF(K391&gt;=Upgrades!$E$19,"",Upgrades!$C$19*POWER(Upgrades!$D$19,K391))</f>
        <v/>
      </c>
      <c r="AR391" s="22">
        <f>IF(L391&gt;=Upgrades!$E$20,"",Upgrades!$C$20*POWER(Upgrades!$D$20,L391))</f>
        <v/>
      </c>
      <c r="AS391" s="22">
        <f>IF(M391&gt;=Upgrades!$E$21,"",Upgrades!$C$21*POWER(Upgrades!$D$21,M391))</f>
        <v/>
      </c>
      <c r="AT391" s="26">
        <f>IF(AND(D391&gt;=Parameters!$B$18*Parameters!$B$19,(I391&gt;=Upgrades!$E$17)*(M391&gt;=Upgrades!$E$21)=1,N391=0),1,"")</f>
        <v/>
      </c>
      <c r="AU391" s="26">
        <f>IF(AND(D391&gt;=Parameters!$B$18*Parameters!$B$19,N391=0),1,"")</f>
        <v/>
      </c>
      <c r="AV391" s="22">
        <f>MIN(IF(ISNUMBER(AP391),AP391,9E15),IF(ISNUMBER(AQ391),AQ391,9E15),IF(ISNUMBER(AR391),AR391,9E15),IF(ISNUMBER(AS391),AS391,9E15))</f>
        <v/>
      </c>
      <c r="AW391" s="22">
        <f>MIN(IF(ISNUMBER(AK391),AK391,9E15),IF(ISNUMBER(AL391),AL391,9E15),IF(ISNUMBER(AM391),AM391,9E15),IF(ISNUMBER(AN391),AN391,9E15),IF(ISNUMBER(AO391),AO391,9E15))</f>
        <v/>
      </c>
      <c r="AX391" s="29">
        <f>IF(BD391&gt;Parameters!$B$21*(MAX(IF(AND(NOT(AND(AU391=1,AT391&lt;&gt;1)),ISNUMBER(AK391),AK391&lt;=(C391+T391)),AY391,0),IF(AND(NOT(AND(AU391=1,AT391&lt;&gt;1)),ISNUMBER(AL391),AL391&lt;=(C391+T391)),AZ391,0),IF(AND(NOT(AND(AU391=1,AT391&lt;&gt;1)),ISNUMBER(AM391),AM391&lt;=(C391+T391)),BA391,0),IF(AND(NOT(AND(AU391=1,AT391&lt;&gt;1)),ISNUMBER(AN391),AN391&lt;=(C391+T391)),BB391,0),IF(AND(ISNUMBER(AO391),AO391&lt;=(C391+T391)),BC391,0))),TRUE,FALSE)</f>
        <v/>
      </c>
      <c r="AY391" s="32">
        <f>IFERROR(Upgrades!$H$13*(POWER(Upgrades!$P$13,E391)*POWER(Upgrades!$P$14,F391)*POWER(Upgrades!$P$15,G391)*POWER(Upgrades!$P$16,H391)*POWER(Upgrades!$P$17,I391)*POWER(Upgrades!$P$18,J391)*POWER(Upgrades!$P$19,K391)*POWER(Upgrades!$P$20,L391)*POWER(Upgrades!$P$21,M391))*(IF(Upgrades!$T$14="Stellar Kinematics",POWER(Upgrades!$U$14,F391),1)*IF(Upgrades!$T$15="Stellar Kinematics",POWER(Upgrades!$U$15,G391),1)*IF(Upgrades!$T$16="Stellar Kinematics",POWER(Upgrades!$U$16,H391),1)*IF(Upgrades!$T$17="Stellar Kinematics",POWER(Upgrades!$U$17,I391),1)*IF(Upgrades!$T$18="Stellar Kinematics",POWER(Upgrades!$U$18,J391),1)*IF(Upgrades!$T$19="Stellar Kinematics",POWER(Upgrades!$U$19,K391),1)*IF(Upgrades!$T$20="Stellar Kinematics",POWER(Upgrades!$U$20,L391),1)*IF(Upgrades!$T$21="Stellar Kinematics",POWER(Upgrades!$U$21,M391),1))*$F$6/AK391,0)</f>
        <v/>
      </c>
      <c r="AZ391" s="32">
        <f>IFERROR(Upgrades!$H$14*(POWER(Upgrades!$P$13,E391)*POWER(Upgrades!$P$14,F391)*POWER(Upgrades!$P$15,G391)*POWER(Upgrades!$P$16,H391)*POWER(Upgrades!$P$17,I391)*POWER(Upgrades!$P$18,J391)*POWER(Upgrades!$P$19,K391)*POWER(Upgrades!$P$20,L391)*POWER(Upgrades!$P$21,M391))*(IF(Upgrades!$T$13="Local Bubble",POWER(Upgrades!$U$13,E391),1)*IF(Upgrades!$T$15="Local Bubble",POWER(Upgrades!$U$15,G391),1)*IF(Upgrades!$T$16="Local Bubble",POWER(Upgrades!$U$16,H391),1)*IF(Upgrades!$T$17="Local Bubble",POWER(Upgrades!$U$17,I391),1)*IF(Upgrades!$T$18="Local Bubble",POWER(Upgrades!$U$18,J391),1)*IF(Upgrades!$T$19="Local Bubble",POWER(Upgrades!$U$19,K391),1)*IF(Upgrades!$T$20="Local Bubble",POWER(Upgrades!$U$20,L391),1)*IF(Upgrades!$T$21="Local Bubble",POWER(Upgrades!$U$21,M391),1))*$F$6/AL391,0)</f>
        <v/>
      </c>
      <c r="BA391" s="32">
        <f>IFERROR(Upgrades!$K$15*(POWER(Upgrades!$Q$13,E391)*POWER(Upgrades!$Q$14,F391)*POWER(Upgrades!$Q$15,G391)*POWER(Upgrades!$Q$16,H391)*POWER(Upgrades!$Q$17,I391)*POWER(Upgrades!$Q$18,J391)*POWER(Upgrades!$Q$19,K391)*POWER(Upgrades!$Q$20,L391)*POWER(Upgrades!$Q$21,M391))*(IF(Upgrades!$T$13="Microlensing",POWER(Upgrades!$U$13,E391),1)*IF(Upgrades!$T$14="Microlensing",POWER(Upgrades!$U$14,F391),1)*IF(Upgrades!$T$16="Microlensing",POWER(Upgrades!$U$16,H391),1)*IF(Upgrades!$T$17="Microlensing",POWER(Upgrades!$U$17,I391),1)*IF(Upgrades!$T$18="Microlensing",POWER(Upgrades!$U$18,J391),1)*IF(Upgrades!$T$19="Microlensing",POWER(Upgrades!$U$19,K391),1)*IF(Upgrades!$T$20="Microlensing",POWER(Upgrades!$U$20,L391),1)*IF(Upgrades!$T$21="Microlensing",POWER(Upgrades!$U$21,M391),1))*$G$6*(Parameters!$B$10/60*Parameters!$B$11+Q391)/AM391,0)</f>
        <v/>
      </c>
      <c r="BB391" s="32">
        <f>IFERROR((Upgrades!$N$16*(POWER(Upgrades!$R$13,E391)*POWER(Upgrades!$R$14,F391)*POWER(Upgrades!$R$15,G391)*POWER(Upgrades!$R$16,H391)*POWER(Upgrades!$R$17,I391)*POWER(Upgrades!$R$18,J391)*POWER(Upgrades!$R$19,K391)*POWER(Upgrades!$R$20,L391)*POWER(Upgrades!$R$21,M391))*(IF(Upgrades!$T$13="Roche Lobe Overflow",POWER(Upgrades!$U$13,E391),1)*IF(Upgrades!$T$14="Roche Lobe Overflow",POWER(Upgrades!$U$14,F391),1)*IF(Upgrades!$T$15="Roche Lobe Overflow",POWER(Upgrades!$U$15,G391),1)*IF(Upgrades!$T$17="Roche Lobe Overflow",POWER(Upgrades!$U$17,I391),1)*IF(Upgrades!$T$18="Roche Lobe Overflow",POWER(Upgrades!$U$18,J391),1)*IF(Upgrades!$T$19="Roche Lobe Overflow",POWER(Upgrades!$U$19,K391),1)*IF(Upgrades!$T$20="Roche Lobe Overflow",POWER(Upgrades!$U$20,L391),1)*IF(Upgrades!$T$21="Roche Lobe Overflow",POWER(Upgrades!$U$21,M391),1))*$H$6*O391+((IF(F391=0,0,(Upgrades!$G$14+F391*Upgrades!$H$14)*POWER(Upgrades!$I$14,F391)))*(IF(Upgrades!$T$13="Local Bubble",POWER(Upgrades!$U$13,E391),1)*IF(Upgrades!$T$15="Local Bubble",POWER(Upgrades!$U$15,G391),1)*IF(Upgrades!$T$16="Local Bubble",POWER(Upgrades!$U$16,H391),1)*IF(Upgrades!$T$17="Local Bubble",POWER(Upgrades!$U$17,I391),1)*IF(Upgrades!$T$18="Local Bubble",POWER(Upgrades!$U$18,J391),1)*IF(Upgrades!$T$19="Local Bubble",POWER(Upgrades!$U$19,K391),1)*IF(Upgrades!$T$20="Local Bubble",POWER(Upgrades!$U$20,L391),1)*IF(Upgrades!$T$21="Local Bubble",POWER(Upgrades!$U$21,M391),1))*POWER(Upgrades!$P$13,E391)*POWER(Upgrades!$P$14,F391)*POWER(Upgrades!$P$15,G391)*POWER(Upgrades!$P$16,H391)*POWER(Upgrades!$P$17,I391)*POWER(Upgrades!$P$18,J391)*POWER(Upgrades!$P$19,K391)*POWER(Upgrades!$P$20,L391)*POWER(Upgrades!$P$21,M391)*$F$6)*0.05)/AN391,0)</f>
        <v/>
      </c>
      <c r="BC391" s="32">
        <f>IFERROR((Upgrades!$H$17*(POWER(Upgrades!$P$13,E391)*POWER(Upgrades!$P$14,F391)*POWER(Upgrades!$P$15,G391)*POWER(Upgrades!$P$16,H391)*POWER(Upgrades!$P$17,I391)*POWER(Upgrades!$P$18,J391)*POWER(Upgrades!$P$19,K391)*POWER(Upgrades!$P$20,L391)*POWER(Upgrades!$P$21,M391))*(IF(Upgrades!$T$13="Brown Dwarf",POWER(Upgrades!$U$13,E391),1)*IF(Upgrades!$T$14="Brown Dwarf",POWER(Upgrades!$U$14,F391),1)*IF(Upgrades!$T$15="Brown Dwarf",POWER(Upgrades!$U$15,G391),1)*IF(Upgrades!$T$16="Brown Dwarf",POWER(Upgrades!$U$16,H391),1)*IF(Upgrades!$T$18="Brown Dwarf",POWER(Upgrades!$U$18,J391),1)*IF(Upgrades!$T$19="Brown Dwarf",POWER(Upgrades!$U$19,K391),1)*IF(Upgrades!$T$20="Brown Dwarf",POWER(Upgrades!$U$20,L391),1)*IF(Upgrades!$T$21="Brown Dwarf",POWER(Upgrades!$U$21,M391),1))*$F$6+(((IF(H391=0,0,(Upgrades!$M$16+H391*Upgrades!$N$16)*POWER(Upgrades!$O$16,H391)))*(IF(Upgrades!$T$13="Roche Lobe Overflow",POWER(Upgrades!$U$13,E391),1)*IF(Upgrades!$T$14="Roche Lobe Overflow",POWER(Upgrades!$U$14,F391),1)*IF(Upgrades!$T$15="Roche Lobe Overflow",POWER(Upgrades!$U$15,G391),1)*IF(Upgrades!$T$17="Roche Lobe Overflow",POWER(Upgrades!$U$17,I391),1)*IF(Upgrades!$T$18="Roche Lobe Overflow",POWER(Upgrades!$U$18,J391),1)*IF(Upgrades!$T$19="Roche Lobe Overflow",POWER(Upgrades!$U$19,K391),1)*IF(Upgrades!$T$20="Roche Lobe Overflow",POWER(Upgrades!$U$20,L391),1)*IF(Upgrades!$T$21="Roche Lobe Overflow",POWER(Upgrades!$U$21,M391),1))*POWER(Upgrades!$R$13,E391)*POWER(Upgrades!$R$14,F391)*POWER(Upgrades!$R$15,G391)*POWER(Upgrades!$R$16,H391)*POWER(Upgrades!$R$17,I391)*POWER(Upgrades!$R$18,J391)*POWER(Upgrades!$R$19,K391)*POWER(Upgrades!$R$20,L391)*POWER(Upgrades!$R$21,M391)*$H$6)*O391)*0.10)/AO391,0)</f>
        <v/>
      </c>
      <c r="BD391" s="32">
        <f>MAX(IF(J391&gt;0,0,IFERROR(0.5*((IF(G391=0,0,(Upgrades!$J$15+G391*Upgrades!$K$15)*POWER(Upgrades!$L$15,G391)))*(IF(Upgrades!$T$13="Microlensing",POWER(Upgrades!$U$13,E391),1)*IF(Upgrades!$T$14="Microlensing",POWER(Upgrades!$U$14,F391),1)*IF(Upgrades!$T$16="Microlensing",POWER(Upgrades!$U$16,H391),1)*IF(Upgrades!$T$17="Microlensing",POWER(Upgrades!$U$17,I391),1)*IF(Upgrades!$T$18="Microlensing",POWER(Upgrades!$U$18,J391),1)*IF(Upgrades!$T$19="Microlensing",POWER(Upgrades!$U$19,K391),1)*IF(Upgrades!$T$20="Microlensing",POWER(Upgrades!$U$20,L391),1)*IF(Upgrades!$T$21="Microlensing",POWER(Upgrades!$U$21,M391),1))*(POWER(Upgrades!$Q$13,E391)*POWER(Upgrades!$Q$14,F391)*POWER(Upgrades!$Q$15,G391)*POWER(Upgrades!$Q$16,H391)*POWER(Upgrades!$Q$17,I391)*POWER(Upgrades!$Q$18,J391)*POWER(Upgrades!$Q$19,K391)*POWER(Upgrades!$Q$20,L391)*POWER(Upgrades!$Q$21,M391))*$G$6*(Parameters!$B$10/60*Parameters!$B$11+Q391))/Upgrades!$C$18,0)),IF(K391&gt;0,0,IFERROR(0.30*P391/Upgrades!$C$19,0)),IF(L391&gt;0,0,IFERROR(0.0001/Upgrades!$C$20,0)),IF(M391&gt;0,0,IFERROR((6.0*(POWER(Upgrades!$P$13,E391)*POWER(Upgrades!$P$14,F391)*POWER(Upgrades!$P$15,G391)*POWER(Upgrades!$P$16,H391)*POWER(Upgrades!$P$17,I391)*POWER(Upgrades!$P$18,J391)*POWER(Upgrades!$P$19,K391)*POWER(Upgrades!$P$20,L391)*POWER(Upgrades!$P$21,M391))*$F$6+0.20*O391*(Parameters!$B$10/60*Parameters!$B$11+Q391))/Upgrades!$C$21,0)),IF(AND(ISNUMBER(AK391),AK391&gt;(C391+T391)),AY391,0),IF(AND(ISNUMBER(AL391),AL391&gt;(C391+T391)),AZ391,0),IF(AND(ISNUMBER(AM391),AM391&gt;(C391+T391)),BA391,0),IF(AND(ISNUMBER(AN391),AN391&gt;(C391+T391)),BB391,0),IF(AND(ISNUMBER(AO391),AO391&gt;(C391+T391)),BC391,0))</f>
        <v/>
      </c>
      <c r="BE391" s="29">
        <f>IF(AT391=1,"transition",IF(MIN(IF(AND(J391=0,ISNUMBER(AP391),AP391&lt;=(C391+T391)),AP391,9E15),IF(AND(K391=0,ISNUMBER(AQ391),AQ391&lt;=(C391+T391)),AQ391,9E15),IF(AND(L391=0,ISNUMBER(AR391),AR391&lt;=(C391+T391)),AR391,9E15),IF(AND(M391=0,ISNUMBER(AS391),AS391&lt;=(C391+T391)),AS391,9E15))&lt;9E15,IF(AND(AND(J391=0,ISNUMBER(AP391),AP391&lt;=(C391+T391)),AP391=MIN(IF(AND(J391=0,ISNUMBER(AP391),AP391&lt;=(C391+T391)),AP391,9E15),IF(AND(K391=0,ISNUMBER(AQ391),AQ391&lt;=(C391+T391)),AQ391,9E15),IF(AND(L391=0,ISNUMBER(AR391),AR391&lt;=(C391+T391)),AR391,9E15),IF(AND(M391=0,ISNUMBER(AS391),AS391&lt;=(C391+T391)),AS391,9E15))),"BiP",IF(AND(AND(K391=0,ISNUMBER(AQ391),AQ391&lt;=(C391+T391)),AQ391=MIN(IF(AND(J391=0,ISNUMBER(AP391),AP391&lt;=(C391+T391)),AP391,9E15),IF(AND(K391=0,ISNUMBER(AQ391),AQ391&lt;=(C391+T391)),AQ391,9E15),IF(AND(L391=0,ISNUMBER(AR391),AR391&lt;=(C391+T391)),AR391,9E15),IF(AND(M391=0,ISNUMBER(AS391),AS391&lt;=(C391+T391)),AS391,9E15))),"PV",IF(AND(AND(L391=0,ISNUMBER(AR391),AR391&lt;=(C391+T391)),AR391=MIN(IF(AND(J391=0,ISNUMBER(AP391),AP391&lt;=(C391+T391)),AP391,9E15),IF(AND(K391=0,ISNUMBER(AQ391),AQ391&lt;=(C391+T391)),AQ391,9E15),IF(AND(L391=0,ISNUMBER(AR391),AR391&lt;=(C391+T391)),AR391,9E15),IF(AND(M391=0,ISNUMBER(AS391),AS391&lt;=(C391+T391)),AS391,9E15))),"OC","MG"))),IF(AX391=TRUE,"",IF(MAX(IF(AND(NOT(AND(AU391=1,AT391&lt;&gt;1)),ISNUMBER(AK391),AK391&lt;=(C391+T391)),AY391,0),IF(AND(NOT(AND(AU391=1,AT391&lt;&gt;1)),ISNUMBER(AL391),AL391&lt;=(C391+T391)),AZ391,0),IF(AND(NOT(AND(AU391=1,AT391&lt;&gt;1)),ISNUMBER(AM391),AM391&lt;=(C391+T391)),BA391,0),IF(AND(NOT(AND(AU391=1,AT391&lt;&gt;1)),ISNUMBER(AN391),AN391&lt;=(C391+T391)),BB391,0),IF(AND(ISNUMBER(AO391),AO391&lt;=(C391+T391)),BC391,0))&lt;=0,"",IF(AND(IF(AND(NOT(AND(AU391=1,AT391&lt;&gt;1)),ISNUMBER(AK391),AK391&lt;=(C391+T391)),AY391,0)&gt;0,IF(AND(NOT(AND(AU391=1,AT391&lt;&gt;1)),ISNUMBER(AK391),AK391&lt;=(C391+T391)),AY391,0)=MAX(IF(AND(NOT(AND(AU391=1,AT391&lt;&gt;1)),ISNUMBER(AK391),AK391&lt;=(C391+T391)),AY391,0),IF(AND(NOT(AND(AU391=1,AT391&lt;&gt;1)),ISNUMBER(AL391),AL391&lt;=(C391+T391)),AZ391,0),IF(AND(NOT(AND(AU391=1,AT391&lt;&gt;1)),ISNUMBER(AM391),AM391&lt;=(C391+T391)),BA391,0),IF(AND(NOT(AND(AU391=1,AT391&lt;&gt;1)),ISNUMBER(AN391),AN391&lt;=(C391+T391)),BB391,0),IF(AND(ISNUMBER(AO391),AO391&lt;=(C391+T391)),BC391,0))),"SK",IF(AND(IF(AND(NOT(AND(AU391=1,AT391&lt;&gt;1)),ISNUMBER(AL391),AL391&lt;=(C391+T391)),AZ391,0)&gt;0,IF(AND(NOT(AND(AU391=1,AT391&lt;&gt;1)),ISNUMBER(AL391),AL391&lt;=(C391+T391)),AZ391,0)=MAX(IF(AND(NOT(AND(AU391=1,AT391&lt;&gt;1)),ISNUMBER(AK391),AK391&lt;=(C391+T391)),AY391,0),IF(AND(NOT(AND(AU391=1,AT391&lt;&gt;1)),ISNUMBER(AL391),AL391&lt;=(C391+T391)),AZ391,0),IF(AND(NOT(AND(AU391=1,AT391&lt;&gt;1)),ISNUMBER(AM391),AM391&lt;=(C391+T391)),BA391,0),IF(AND(NOT(AND(AU391=1,AT391&lt;&gt;1)),ISNUMBER(AN391),AN391&lt;=(C391+T391)),BB391,0),IF(AND(ISNUMBER(AO391),AO391&lt;=(C391+T391)),BC391,0))),"LB",IF(AND(IF(AND(NOT(AND(AU391=1,AT391&lt;&gt;1)),ISNUMBER(AM391),AM391&lt;=(C391+T391)),BA391,0)&gt;0,IF(AND(NOT(AND(AU391=1,AT391&lt;&gt;1)),ISNUMBER(AM391),AM391&lt;=(C391+T391)),BA391,0)=MAX(IF(AND(NOT(AND(AU391=1,AT391&lt;&gt;1)),ISNUMBER(AK391),AK391&lt;=(C391+T391)),AY391,0),IF(AND(NOT(AND(AU391=1,AT391&lt;&gt;1)),ISNUMBER(AL391),AL391&lt;=(C391+T391)),AZ391,0),IF(AND(NOT(AND(AU391=1,AT391&lt;&gt;1)),ISNUMBER(AM391),AM391&lt;=(C391+T391)),BA391,0),IF(AND(NOT(AND(AU391=1,AT391&lt;&gt;1)),ISNUMBER(AN391),AN391&lt;=(C391+T391)),BB391,0),IF(AND(ISNUMBER(AO391),AO391&lt;=(C391+T391)),BC391,0))),"ML",IF(AND(IF(AND(NOT(AND(AU391=1,AT391&lt;&gt;1)),ISNUMBER(AN391),AN391&lt;=(C391+T391)),BB391,0)&gt;0,IF(AND(NOT(AND(AU391=1,AT391&lt;&gt;1)),ISNUMBER(AN391),AN391&lt;=(C391+T391)),BB391,0)=MAX(IF(AND(NOT(AND(AU391=1,AT391&lt;&gt;1)),ISNUMBER(AK391),AK391&lt;=(C391+T391)),AY391,0),IF(AND(NOT(AND(AU391=1,AT391&lt;&gt;1)),ISNUMBER(AL391),AL391&lt;=(C391+T391)),AZ391,0),IF(AND(NOT(AND(AU391=1,AT391&lt;&gt;1)),ISNUMBER(AM391),AM391&lt;=(C391+T391)),BA391,0),IF(AND(NOT(AND(AU391=1,AT391&lt;&gt;1)),ISNUMBER(AN391),AN391&lt;=(C391+T391)),BB391,0),IF(AND(ISNUMBER(AO391),AO391&lt;=(C391+T391)),BC391,0))),"RLO","BD"))))))))</f>
        <v/>
      </c>
    </row>
    <row r="392">
      <c r="A392" s="26" t="n">
        <v>381</v>
      </c>
      <c r="B392" s="27">
        <f>A392*10/60</f>
        <v/>
      </c>
      <c r="C392" s="22">
        <f>X391</f>
        <v/>
      </c>
      <c r="D392" s="27">
        <f>D391+W391</f>
        <v/>
      </c>
      <c r="E392" s="26">
        <f>E391+IF(U391="SK",1,0)</f>
        <v/>
      </c>
      <c r="F392" s="26">
        <f>F391+IF(U391="LB",1,0)</f>
        <v/>
      </c>
      <c r="G392" s="26">
        <f>G391+IF(U391="ML",1,0)</f>
        <v/>
      </c>
      <c r="H392" s="26">
        <f>H391+IF(U391="RLO",1,0)</f>
        <v/>
      </c>
      <c r="I392" s="26">
        <f>I391+IF(U391="BD",1,0)</f>
        <v/>
      </c>
      <c r="J392" s="26">
        <f>MAX(J391,IF(U391="BiP",1,0))</f>
        <v/>
      </c>
      <c r="K392" s="26">
        <f>MAX(K391,IF(U391="PV",1,0))</f>
        <v/>
      </c>
      <c r="L392" s="26">
        <f>MAX(L391,IF(U391="OC",1,0))</f>
        <v/>
      </c>
      <c r="M392" s="26">
        <f>MAX(M391,IF(U391="MG",1,0))</f>
        <v/>
      </c>
      <c r="N392" s="26">
        <f>MAX(N391,IF(U391="transition",1,0))</f>
        <v/>
      </c>
      <c r="O392" s="28">
        <f>(Parameters!$B$9+(IF(E392=0,0,(Upgrades!$J$13+E392*Upgrades!$K$13)*POWER(Upgrades!$L$13,E392)))*(IF(Upgrades!$T$14="Stellar Kinematics",POWER(Upgrades!$U$14,F392),1)*IF(Upgrades!$T$15="Stellar Kinematics",POWER(Upgrades!$U$15,G392),1)*IF(Upgrades!$T$16="Stellar Kinematics",POWER(Upgrades!$U$16,H392),1)*IF(Upgrades!$T$17="Stellar Kinematics",POWER(Upgrades!$U$17,I392),1)*IF(Upgrades!$T$18="Stellar Kinematics",POWER(Upgrades!$U$18,J392),1)*IF(Upgrades!$T$19="Stellar Kinematics",POWER(Upgrades!$U$19,K392),1)*IF(Upgrades!$T$20="Stellar Kinematics",POWER(Upgrades!$U$20,L392),1)*IF(Upgrades!$T$21="Stellar Kinematics",POWER(Upgrades!$U$21,M392),1))+(IF(F392=0,0,(Upgrades!$J$14+F392*Upgrades!$K$14)*POWER(Upgrades!$L$14,F392)))*(IF(Upgrades!$T$13="Local Bubble",POWER(Upgrades!$U$13,E392),1)*IF(Upgrades!$T$15="Local Bubble",POWER(Upgrades!$U$15,G392),1)*IF(Upgrades!$T$16="Local Bubble",POWER(Upgrades!$U$16,H392),1)*IF(Upgrades!$T$17="Local Bubble",POWER(Upgrades!$U$17,I392),1)*IF(Upgrades!$T$18="Local Bubble",POWER(Upgrades!$U$18,J392),1)*IF(Upgrades!$T$19="Local Bubble",POWER(Upgrades!$U$19,K392),1)*IF(Upgrades!$T$20="Local Bubble",POWER(Upgrades!$U$20,L392),1)*IF(Upgrades!$T$21="Local Bubble",POWER(Upgrades!$U$21,M392),1))+(IF(G392=0,0,(Upgrades!$J$15+G392*Upgrades!$K$15)*POWER(Upgrades!$L$15,G392)))*(IF(Upgrades!$T$13="Microlensing",POWER(Upgrades!$U$13,E392),1)*IF(Upgrades!$T$14="Microlensing",POWER(Upgrades!$U$14,F392),1)*IF(Upgrades!$T$16="Microlensing",POWER(Upgrades!$U$16,H392),1)*IF(Upgrades!$T$17="Microlensing",POWER(Upgrades!$U$17,I392),1)*IF(Upgrades!$T$18="Microlensing",POWER(Upgrades!$U$18,J392),1)*IF(Upgrades!$T$19="Microlensing",POWER(Upgrades!$U$19,K392),1)*IF(Upgrades!$T$20="Microlensing",POWER(Upgrades!$U$20,L392),1)*IF(Upgrades!$T$21="Microlensing",POWER(Upgrades!$U$21,M392),1))+(IF(H392=0,0,(Upgrades!$J$16+H392*Upgrades!$K$16)*POWER(Upgrades!$L$16,H392)))*(IF(Upgrades!$T$13="Roche Lobe Overflow",POWER(Upgrades!$U$13,E392),1)*IF(Upgrades!$T$14="Roche Lobe Overflow",POWER(Upgrades!$U$14,F392),1)*IF(Upgrades!$T$15="Roche Lobe Overflow",POWER(Upgrades!$U$15,G392),1)*IF(Upgrades!$T$17="Roche Lobe Overflow",POWER(Upgrades!$U$17,I392),1)*IF(Upgrades!$T$18="Roche Lobe Overflow",POWER(Upgrades!$U$18,J392),1)*IF(Upgrades!$T$19="Roche Lobe Overflow",POWER(Upgrades!$U$19,K392),1)*IF(Upgrades!$T$20="Roche Lobe Overflow",POWER(Upgrades!$U$20,L392),1)*IF(Upgrades!$T$21="Roche Lobe Overflow",POWER(Upgrades!$U$21,M392),1))+(IF(I392=0,0,(Upgrades!$J$17+I392*Upgrades!$K$17)*POWER(Upgrades!$L$17,I392)))*(IF(Upgrades!$T$13="Brown Dwarf",POWER(Upgrades!$U$13,E392),1)*IF(Upgrades!$T$14="Brown Dwarf",POWER(Upgrades!$U$14,F392),1)*IF(Upgrades!$T$15="Brown Dwarf",POWER(Upgrades!$U$15,G392),1)*IF(Upgrades!$T$16="Brown Dwarf",POWER(Upgrades!$U$16,H392),1)*IF(Upgrades!$T$18="Brown Dwarf",POWER(Upgrades!$U$18,J392),1)*IF(Upgrades!$T$19="Brown Dwarf",POWER(Upgrades!$U$19,K392),1)*IF(Upgrades!$T$20="Brown Dwarf",POWER(Upgrades!$U$20,L392),1)*IF(Upgrades!$T$21="Brown Dwarf",POWER(Upgrades!$U$21,M392),1))+(IF(J392=0,0,(Upgrades!$J$18+J392*Upgrades!$K$18)*POWER(Upgrades!$L$18,J392)))*(IF(Upgrades!$T$13="Binary Partner",POWER(Upgrades!$U$13,E392),1)*IF(Upgrades!$T$14="Binary Partner",POWER(Upgrades!$U$14,F392),1)*IF(Upgrades!$T$15="Binary Partner",POWER(Upgrades!$U$15,G392),1)*IF(Upgrades!$T$16="Binary Partner",POWER(Upgrades!$U$16,H392),1)*IF(Upgrades!$T$17="Binary Partner",POWER(Upgrades!$U$17,I392),1)*IF(Upgrades!$T$19="Binary Partner",POWER(Upgrades!$U$19,K392),1)*IF(Upgrades!$T$20="Binary Partner",POWER(Upgrades!$U$20,L392),1)*IF(Upgrades!$T$21="Binary Partner",POWER(Upgrades!$U$21,M392),1))+(IF(K392=0,0,(Upgrades!$J$19+K392*Upgrades!$K$19)*POWER(Upgrades!$L$19,K392)))*(IF(Upgrades!$T$13="Peculiar Velocity",POWER(Upgrades!$U$13,E392),1)*IF(Upgrades!$T$14="Peculiar Velocity",POWER(Upgrades!$U$14,F392),1)*IF(Upgrades!$T$15="Peculiar Velocity",POWER(Upgrades!$U$15,G392),1)*IF(Upgrades!$T$16="Peculiar Velocity",POWER(Upgrades!$U$16,H392),1)*IF(Upgrades!$T$17="Peculiar Velocity",POWER(Upgrades!$U$17,I392),1)*IF(Upgrades!$T$18="Peculiar Velocity",POWER(Upgrades!$U$18,J392),1)*IF(Upgrades!$T$20="Peculiar Velocity",POWER(Upgrades!$U$20,L392),1)*IF(Upgrades!$T$21="Peculiar Velocity",POWER(Upgrades!$U$21,M392),1))+(IF(L392=0,0,(Upgrades!$J$20+L392*Upgrades!$K$20)*POWER(Upgrades!$L$20,L392)))*(IF(Upgrades!$T$13="Open Cluster",POWER(Upgrades!$U$13,E392),1)*IF(Upgrades!$T$14="Open Cluster",POWER(Upgrades!$U$14,F392),1)*IF(Upgrades!$T$15="Open Cluster",POWER(Upgrades!$U$15,G392),1)*IF(Upgrades!$T$16="Open Cluster",POWER(Upgrades!$U$16,H392),1)*IF(Upgrades!$T$17="Open Cluster",POWER(Upgrades!$U$17,I392),1)*IF(Upgrades!$T$18="Open Cluster",POWER(Upgrades!$U$18,J392),1)*IF(Upgrades!$T$19="Open Cluster",POWER(Upgrades!$U$19,K392),1)*IF(Upgrades!$T$21="Open Cluster",POWER(Upgrades!$U$21,M392),1))+(IF(M392=0,0,(Upgrades!$J$21+M392*Upgrades!$K$21)*POWER(Upgrades!$L$21,M392)))*(IF(Upgrades!$T$13="Moving Group",POWER(Upgrades!$U$13,E392),1)*IF(Upgrades!$T$14="Moving Group",POWER(Upgrades!$U$14,F392),1)*IF(Upgrades!$T$15="Moving Group",POWER(Upgrades!$U$15,G392),1)*IF(Upgrades!$T$16="Moving Group",POWER(Upgrades!$U$16,H392),1)*IF(Upgrades!$T$17="Moving Group",POWER(Upgrades!$U$17,I392),1)*IF(Upgrades!$T$18="Moving Group",POWER(Upgrades!$U$18,J392),1)*IF(Upgrades!$T$19="Moving Group",POWER(Upgrades!$U$19,K392),1)*IF(Upgrades!$T$20="Moving Group",POWER(Upgrades!$U$20,L392),1)))*POWER(Upgrades!$Q$13,E392)*POWER(Upgrades!$Q$14,F392)*POWER(Upgrades!$Q$15,G392)*POWER(Upgrades!$Q$16,H392)*POWER(Upgrades!$Q$17,I392)*POWER(Upgrades!$Q$18,J392)*POWER(Upgrades!$Q$19,K392)*POWER(Upgrades!$Q$20,L392)*POWER(Upgrades!$Q$21,M392)*$G$6+$D$6</f>
        <v/>
      </c>
      <c r="P392" s="28">
        <f>((IF(E392=0,0,(Upgrades!$G$13+E392*Upgrades!$H$13)*POWER(Upgrades!$I$13,E392)))*(IF(Upgrades!$T$14="Stellar Kinematics",POWER(Upgrades!$U$14,F392),1)*IF(Upgrades!$T$15="Stellar Kinematics",POWER(Upgrades!$U$15,G392),1)*IF(Upgrades!$T$16="Stellar Kinematics",POWER(Upgrades!$U$16,H392),1)*IF(Upgrades!$T$17="Stellar Kinematics",POWER(Upgrades!$U$17,I392),1)*IF(Upgrades!$T$18="Stellar Kinematics",POWER(Upgrades!$U$18,J392),1)*IF(Upgrades!$T$19="Stellar Kinematics",POWER(Upgrades!$U$19,K392),1)*IF(Upgrades!$T$20="Stellar Kinematics",POWER(Upgrades!$U$20,L392),1)*IF(Upgrades!$T$21="Stellar Kinematics",POWER(Upgrades!$U$21,M392),1))+(IF(F392=0,0,(Upgrades!$G$14+F392*Upgrades!$H$14)*POWER(Upgrades!$I$14,F392)))*(IF(Upgrades!$T$13="Local Bubble",POWER(Upgrades!$U$13,E392),1)*IF(Upgrades!$T$15="Local Bubble",POWER(Upgrades!$U$15,G392),1)*IF(Upgrades!$T$16="Local Bubble",POWER(Upgrades!$U$16,H392),1)*IF(Upgrades!$T$17="Local Bubble",POWER(Upgrades!$U$17,I392),1)*IF(Upgrades!$T$18="Local Bubble",POWER(Upgrades!$U$18,J392),1)*IF(Upgrades!$T$19="Local Bubble",POWER(Upgrades!$U$19,K392),1)*IF(Upgrades!$T$20="Local Bubble",POWER(Upgrades!$U$20,L392),1)*IF(Upgrades!$T$21="Local Bubble",POWER(Upgrades!$U$21,M392),1))+(IF(G392=0,0,(Upgrades!$G$15+G392*Upgrades!$H$15)*POWER(Upgrades!$I$15,G392)))*(IF(Upgrades!$T$13="Microlensing",POWER(Upgrades!$U$13,E392),1)*IF(Upgrades!$T$14="Microlensing",POWER(Upgrades!$U$14,F392),1)*IF(Upgrades!$T$16="Microlensing",POWER(Upgrades!$U$16,H392),1)*IF(Upgrades!$T$17="Microlensing",POWER(Upgrades!$U$17,I392),1)*IF(Upgrades!$T$18="Microlensing",POWER(Upgrades!$U$18,J392),1)*IF(Upgrades!$T$19="Microlensing",POWER(Upgrades!$U$19,K392),1)*IF(Upgrades!$T$20="Microlensing",POWER(Upgrades!$U$20,L392),1)*IF(Upgrades!$T$21="Microlensing",POWER(Upgrades!$U$21,M392),1))+(IF(H392=0,0,(Upgrades!$G$16+H392*Upgrades!$H$16)*POWER(Upgrades!$I$16,H392)))*(IF(Upgrades!$T$13="Roche Lobe Overflow",POWER(Upgrades!$U$13,E392),1)*IF(Upgrades!$T$14="Roche Lobe Overflow",POWER(Upgrades!$U$14,F392),1)*IF(Upgrades!$T$15="Roche Lobe Overflow",POWER(Upgrades!$U$15,G392),1)*IF(Upgrades!$T$17="Roche Lobe Overflow",POWER(Upgrades!$U$17,I392),1)*IF(Upgrades!$T$18="Roche Lobe Overflow",POWER(Upgrades!$U$18,J392),1)*IF(Upgrades!$T$19="Roche Lobe Overflow",POWER(Upgrades!$U$19,K392),1)*IF(Upgrades!$T$20="Roche Lobe Overflow",POWER(Upgrades!$U$20,L392),1)*IF(Upgrades!$T$21="Roche Lobe Overflow",POWER(Upgrades!$U$21,M392),1))+(IF(I392=0,0,(Upgrades!$G$17+I392*Upgrades!$H$17)*POWER(Upgrades!$I$17,I392)))*(IF(Upgrades!$T$13="Brown Dwarf",POWER(Upgrades!$U$13,E392),1)*IF(Upgrades!$T$14="Brown Dwarf",POWER(Upgrades!$U$14,F392),1)*IF(Upgrades!$T$15="Brown Dwarf",POWER(Upgrades!$U$15,G392),1)*IF(Upgrades!$T$16="Brown Dwarf",POWER(Upgrades!$U$16,H392),1)*IF(Upgrades!$T$18="Brown Dwarf",POWER(Upgrades!$U$18,J392),1)*IF(Upgrades!$T$19="Brown Dwarf",POWER(Upgrades!$U$19,K392),1)*IF(Upgrades!$T$20="Brown Dwarf",POWER(Upgrades!$U$20,L392),1)*IF(Upgrades!$T$21="Brown Dwarf",POWER(Upgrades!$U$21,M392),1))+(IF(J392=0,0,(Upgrades!$G$18+J392*Upgrades!$H$18)*POWER(Upgrades!$I$18,J392)))*(IF(Upgrades!$T$13="Binary Partner",POWER(Upgrades!$U$13,E392),1)*IF(Upgrades!$T$14="Binary Partner",POWER(Upgrades!$U$14,F392),1)*IF(Upgrades!$T$15="Binary Partner",POWER(Upgrades!$U$15,G392),1)*IF(Upgrades!$T$16="Binary Partner",POWER(Upgrades!$U$16,H392),1)*IF(Upgrades!$T$17="Binary Partner",POWER(Upgrades!$U$17,I392),1)*IF(Upgrades!$T$19="Binary Partner",POWER(Upgrades!$U$19,K392),1)*IF(Upgrades!$T$20="Binary Partner",POWER(Upgrades!$U$20,L392),1)*IF(Upgrades!$T$21="Binary Partner",POWER(Upgrades!$U$21,M392),1))+(IF(K392=0,0,(Upgrades!$G$19+K392*Upgrades!$H$19)*POWER(Upgrades!$I$19,K392)))*(IF(Upgrades!$T$13="Peculiar Velocity",POWER(Upgrades!$U$13,E392),1)*IF(Upgrades!$T$14="Peculiar Velocity",POWER(Upgrades!$U$14,F392),1)*IF(Upgrades!$T$15="Peculiar Velocity",POWER(Upgrades!$U$15,G392),1)*IF(Upgrades!$T$16="Peculiar Velocity",POWER(Upgrades!$U$16,H392),1)*IF(Upgrades!$T$17="Peculiar Velocity",POWER(Upgrades!$U$17,I392),1)*IF(Upgrades!$T$18="Peculiar Velocity",POWER(Upgrades!$U$18,J392),1)*IF(Upgrades!$T$20="Peculiar Velocity",POWER(Upgrades!$U$20,L392),1)*IF(Upgrades!$T$21="Peculiar Velocity",POWER(Upgrades!$U$21,M392),1))+(IF(L392=0,0,(Upgrades!$G$20+L392*Upgrades!$H$20)*POWER(Upgrades!$I$20,L392)))*(IF(Upgrades!$T$13="Open Cluster",POWER(Upgrades!$U$13,E392),1)*IF(Upgrades!$T$14="Open Cluster",POWER(Upgrades!$U$14,F392),1)*IF(Upgrades!$T$15="Open Cluster",POWER(Upgrades!$U$15,G392),1)*IF(Upgrades!$T$16="Open Cluster",POWER(Upgrades!$U$16,H392),1)*IF(Upgrades!$T$17="Open Cluster",POWER(Upgrades!$U$17,I392),1)*IF(Upgrades!$T$18="Open Cluster",POWER(Upgrades!$U$18,J392),1)*IF(Upgrades!$T$19="Open Cluster",POWER(Upgrades!$U$19,K392),1)*IF(Upgrades!$T$21="Open Cluster",POWER(Upgrades!$U$21,M392),1))+(IF(M392=0,0,(Upgrades!$G$21+M392*Upgrades!$H$21)*POWER(Upgrades!$I$21,M392)))*(IF(Upgrades!$T$13="Moving Group",POWER(Upgrades!$U$13,E392),1)*IF(Upgrades!$T$14="Moving Group",POWER(Upgrades!$U$14,F392),1)*IF(Upgrades!$T$15="Moving Group",POWER(Upgrades!$U$15,G392),1)*IF(Upgrades!$T$16="Moving Group",POWER(Upgrades!$U$16,H392),1)*IF(Upgrades!$T$17="Moving Group",POWER(Upgrades!$U$17,I392),1)*IF(Upgrades!$T$18="Moving Group",POWER(Upgrades!$U$18,J392),1)*IF(Upgrades!$T$19="Moving Group",POWER(Upgrades!$U$19,K392),1)*IF(Upgrades!$T$20="Moving Group",POWER(Upgrades!$U$20,L392),1)))*POWER(Upgrades!$P$13,E392)*POWER(Upgrades!$P$14,F392)*POWER(Upgrades!$P$15,G392)*POWER(Upgrades!$P$16,H392)*POWER(Upgrades!$P$17,I392)*POWER(Upgrades!$P$18,J392)*POWER(Upgrades!$P$19,K392)*POWER(Upgrades!$P$20,L392)*POWER(Upgrades!$P$21,M392)*$F$6+$C$6</f>
        <v/>
      </c>
      <c r="Q392" s="28">
        <f>((IF(E392=0,0,(Upgrades!$M$13+E392*Upgrades!$N$13)*POWER(Upgrades!$O$13,E392)))*(IF(Upgrades!$T$14="Stellar Kinematics",POWER(Upgrades!$U$14,F392),1)*IF(Upgrades!$T$15="Stellar Kinematics",POWER(Upgrades!$U$15,G392),1)*IF(Upgrades!$T$16="Stellar Kinematics",POWER(Upgrades!$U$16,H392),1)*IF(Upgrades!$T$17="Stellar Kinematics",POWER(Upgrades!$U$17,I392),1)*IF(Upgrades!$T$18="Stellar Kinematics",POWER(Upgrades!$U$18,J392),1)*IF(Upgrades!$T$19="Stellar Kinematics",POWER(Upgrades!$U$19,K392),1)*IF(Upgrades!$T$20="Stellar Kinematics",POWER(Upgrades!$U$20,L392),1)*IF(Upgrades!$T$21="Stellar Kinematics",POWER(Upgrades!$U$21,M392),1))+(IF(F392=0,0,(Upgrades!$M$14+F392*Upgrades!$N$14)*POWER(Upgrades!$O$14,F392)))*(IF(Upgrades!$T$13="Local Bubble",POWER(Upgrades!$U$13,E392),1)*IF(Upgrades!$T$15="Local Bubble",POWER(Upgrades!$U$15,G392),1)*IF(Upgrades!$T$16="Local Bubble",POWER(Upgrades!$U$16,H392),1)*IF(Upgrades!$T$17="Local Bubble",POWER(Upgrades!$U$17,I392),1)*IF(Upgrades!$T$18="Local Bubble",POWER(Upgrades!$U$18,J392),1)*IF(Upgrades!$T$19="Local Bubble",POWER(Upgrades!$U$19,K392),1)*IF(Upgrades!$T$20="Local Bubble",POWER(Upgrades!$U$20,L392),1)*IF(Upgrades!$T$21="Local Bubble",POWER(Upgrades!$U$21,M392),1))+(IF(G392=0,0,(Upgrades!$M$15+G392*Upgrades!$N$15)*POWER(Upgrades!$O$15,G392)))*(IF(Upgrades!$T$13="Microlensing",POWER(Upgrades!$U$13,E392),1)*IF(Upgrades!$T$14="Microlensing",POWER(Upgrades!$U$14,F392),1)*IF(Upgrades!$T$16="Microlensing",POWER(Upgrades!$U$16,H392),1)*IF(Upgrades!$T$17="Microlensing",POWER(Upgrades!$U$17,I392),1)*IF(Upgrades!$T$18="Microlensing",POWER(Upgrades!$U$18,J392),1)*IF(Upgrades!$T$19="Microlensing",POWER(Upgrades!$U$19,K392),1)*IF(Upgrades!$T$20="Microlensing",POWER(Upgrades!$U$20,L392),1)*IF(Upgrades!$T$21="Microlensing",POWER(Upgrades!$U$21,M392),1))+(IF(H392=0,0,(Upgrades!$M$16+H392*Upgrades!$N$16)*POWER(Upgrades!$O$16,H392)))*(IF(Upgrades!$T$13="Roche Lobe Overflow",POWER(Upgrades!$U$13,E392),1)*IF(Upgrades!$T$14="Roche Lobe Overflow",POWER(Upgrades!$U$14,F392),1)*IF(Upgrades!$T$15="Roche Lobe Overflow",POWER(Upgrades!$U$15,G392),1)*IF(Upgrades!$T$17="Roche Lobe Overflow",POWER(Upgrades!$U$17,I392),1)*IF(Upgrades!$T$18="Roche Lobe Overflow",POWER(Upgrades!$U$18,J392),1)*IF(Upgrades!$T$19="Roche Lobe Overflow",POWER(Upgrades!$U$19,K392),1)*IF(Upgrades!$T$20="Roche Lobe Overflow",POWER(Upgrades!$U$20,L392),1)*IF(Upgrades!$T$21="Roche Lobe Overflow",POWER(Upgrades!$U$21,M392),1))+(IF(I392=0,0,(Upgrades!$M$17+I392*Upgrades!$N$17)*POWER(Upgrades!$O$17,I392)))*(IF(Upgrades!$T$13="Brown Dwarf",POWER(Upgrades!$U$13,E392),1)*IF(Upgrades!$T$14="Brown Dwarf",POWER(Upgrades!$U$14,F392),1)*IF(Upgrades!$T$15="Brown Dwarf",POWER(Upgrades!$U$15,G392),1)*IF(Upgrades!$T$16="Brown Dwarf",POWER(Upgrades!$U$16,H392),1)*IF(Upgrades!$T$18="Brown Dwarf",POWER(Upgrades!$U$18,J392),1)*IF(Upgrades!$T$19="Brown Dwarf",POWER(Upgrades!$U$19,K392),1)*IF(Upgrades!$T$20="Brown Dwarf",POWER(Upgrades!$U$20,L392),1)*IF(Upgrades!$T$21="Brown Dwarf",POWER(Upgrades!$U$21,M392),1))+(IF(J392=0,0,(Upgrades!$M$18+J392*Upgrades!$N$18)*POWER(Upgrades!$O$18,J392)))*(IF(Upgrades!$T$13="Binary Partner",POWER(Upgrades!$U$13,E392),1)*IF(Upgrades!$T$14="Binary Partner",POWER(Upgrades!$U$14,F392),1)*IF(Upgrades!$T$15="Binary Partner",POWER(Upgrades!$U$15,G392),1)*IF(Upgrades!$T$16="Binary Partner",POWER(Upgrades!$U$16,H392),1)*IF(Upgrades!$T$17="Binary Partner",POWER(Upgrades!$U$17,I392),1)*IF(Upgrades!$T$19="Binary Partner",POWER(Upgrades!$U$19,K392),1)*IF(Upgrades!$T$20="Binary Partner",POWER(Upgrades!$U$20,L392),1)*IF(Upgrades!$T$21="Binary Partner",POWER(Upgrades!$U$21,M392),1))+(IF(K392=0,0,(Upgrades!$M$19+K392*Upgrades!$N$19)*POWER(Upgrades!$O$19,K392)))*(IF(Upgrades!$T$13="Peculiar Velocity",POWER(Upgrades!$U$13,E392),1)*IF(Upgrades!$T$14="Peculiar Velocity",POWER(Upgrades!$U$14,F392),1)*IF(Upgrades!$T$15="Peculiar Velocity",POWER(Upgrades!$U$15,G392),1)*IF(Upgrades!$T$16="Peculiar Velocity",POWER(Upgrades!$U$16,H392),1)*IF(Upgrades!$T$17="Peculiar Velocity",POWER(Upgrades!$U$17,I392),1)*IF(Upgrades!$T$18="Peculiar Velocity",POWER(Upgrades!$U$18,J392),1)*IF(Upgrades!$T$20="Peculiar Velocity",POWER(Upgrades!$U$20,L392),1)*IF(Upgrades!$T$21="Peculiar Velocity",POWER(Upgrades!$U$21,M392),1))+(IF(L392=0,0,(Upgrades!$M$20+L392*Upgrades!$N$20)*POWER(Upgrades!$O$20,L392)))*(IF(Upgrades!$T$13="Open Cluster",POWER(Upgrades!$U$13,E392),1)*IF(Upgrades!$T$14="Open Cluster",POWER(Upgrades!$U$14,F392),1)*IF(Upgrades!$T$15="Open Cluster",POWER(Upgrades!$U$15,G392),1)*IF(Upgrades!$T$16="Open Cluster",POWER(Upgrades!$U$16,H392),1)*IF(Upgrades!$T$17="Open Cluster",POWER(Upgrades!$U$17,I392),1)*IF(Upgrades!$T$18="Open Cluster",POWER(Upgrades!$U$18,J392),1)*IF(Upgrades!$T$19="Open Cluster",POWER(Upgrades!$U$19,K392),1)*IF(Upgrades!$T$21="Open Cluster",POWER(Upgrades!$U$21,M392),1))+(IF(M392=0,0,(Upgrades!$M$21+M392*Upgrades!$N$21)*POWER(Upgrades!$O$21,M392)))*(IF(Upgrades!$T$13="Moving Group",POWER(Upgrades!$U$13,E392),1)*IF(Upgrades!$T$14="Moving Group",POWER(Upgrades!$U$14,F392),1)*IF(Upgrades!$T$15="Moving Group",POWER(Upgrades!$U$15,G392),1)*IF(Upgrades!$T$16="Moving Group",POWER(Upgrades!$U$16,H392),1)*IF(Upgrades!$T$17="Moving Group",POWER(Upgrades!$U$17,I392),1)*IF(Upgrades!$T$18="Moving Group",POWER(Upgrades!$U$18,J392),1)*IF(Upgrades!$T$19="Moving Group",POWER(Upgrades!$U$19,K392),1)*IF(Upgrades!$T$20="Moving Group",POWER(Upgrades!$U$20,L392),1)))*POWER(Upgrades!$R$13,E392)*POWER(Upgrades!$R$14,F392)*POWER(Upgrades!$R$15,G392)*POWER(Upgrades!$R$16,H392)*POWER(Upgrades!$R$17,I392)*POWER(Upgrades!$R$18,J392)*POWER(Upgrades!$R$19,K392)*POWER(Upgrades!$R$20,L392)*POWER(Upgrades!$R$21,M392)*$H$6+$E$6</f>
        <v/>
      </c>
      <c r="R392" s="27">
        <f>IF(N392=1,0,O392*Parameters!$B$10/60*Parameters!$B$11*10)</f>
        <v/>
      </c>
      <c r="S392" s="27">
        <f>IF(N392=1,0,Q392*O392*10)</f>
        <v/>
      </c>
      <c r="T392" s="27">
        <f>IF(N392=1,0,R392+S392+P392*10)</f>
        <v/>
      </c>
      <c r="U392" s="33">
        <f>BE392</f>
        <v/>
      </c>
      <c r="V392" s="22">
        <f>IF(U392="",0,IF(U392="transition",0,IF(U392="SK",AK392,IF(U392="LB",AL392,IF(U392="ML",AM392,IF(U392="RLO",AN392,IF(U392="BD",AO392,IF(U392="BiP",AP392,IF(U392="PV",AQ392,IF(U392="OC",AR392,IF(U392="MG",AS392,0))))))))))</f>
        <v/>
      </c>
      <c r="W392" s="27">
        <f>IF(U392="BiP",Upgrades!$F$18,IF(U392="PV",Upgrades!$F$19,IF(U392="OC",Upgrades!$F$20,IF(U392="MG",Upgrades!$F$21,IF(U392="transition",-Parameters!$B$18*Parameters!$B$19,0)))))</f>
        <v/>
      </c>
      <c r="X392" s="22">
        <f>C392+T392-V392</f>
        <v/>
      </c>
      <c r="Y392" s="30">
        <f>O392*Parameters!$B$10/60*Parameters!$B$11+Q392*O392+P392</f>
        <v/>
      </c>
      <c r="Z392" s="34">
        <f>IF(U392="transition","→ Tier 3 (Galactic Arm)",IF(U392="MG","Moving Group — pocket drifts together",IF(U392="OC","Open Cluster acquired",IF(U392="PV","Peculiar Velocity — passive multiplier active",IF(U392="BiP","Binary Partner — pair bond formed",IF(AND(AU392=1,N392=0,AT392&lt;&gt;1),"Cohesion ready (waiting on completionists)","")))))) </f>
        <v/>
      </c>
      <c r="AA392" s="27">
        <f>(IF(E392=0,0,(Upgrades!$G$13+E392*Upgrades!$H$13)*POWER(Upgrades!$I$13,E392)))*(IF(Upgrades!$T$14="Stellar Kinematics",POWER(Upgrades!$U$14,F392),1)*IF(Upgrades!$T$15="Stellar Kinematics",POWER(Upgrades!$U$15,G392),1)*IF(Upgrades!$T$16="Stellar Kinematics",POWER(Upgrades!$U$16,H392),1)*IF(Upgrades!$T$17="Stellar Kinematics",POWER(Upgrades!$U$17,I392),1)*IF(Upgrades!$T$18="Stellar Kinematics",POWER(Upgrades!$U$18,J392),1)*IF(Upgrades!$T$19="Stellar Kinematics",POWER(Upgrades!$U$19,K392),1)*IF(Upgrades!$T$20="Stellar Kinematics",POWER(Upgrades!$U$20,L392),1)*IF(Upgrades!$T$21="Stellar Kinematics",POWER(Upgrades!$U$21,M392),1))*POWER(Upgrades!$P$13,E392)*POWER(Upgrades!$P$14,F392)*POWER(Upgrades!$P$15,G392)*POWER(Upgrades!$P$16,H392)*POWER(Upgrades!$P$17,I392)*POWER(Upgrades!$P$18,J392)*POWER(Upgrades!$P$19,K392)*POWER(Upgrades!$P$20,L392)*POWER(Upgrades!$P$21,M392)*$F$6*60</f>
        <v/>
      </c>
      <c r="AB392" s="27">
        <f>(IF(F392=0,0,(Upgrades!$G$14+F392*Upgrades!$H$14)*POWER(Upgrades!$I$14,F392)))*(IF(Upgrades!$T$13="Local Bubble",POWER(Upgrades!$U$13,E392),1)*IF(Upgrades!$T$15="Local Bubble",POWER(Upgrades!$U$15,G392),1)*IF(Upgrades!$T$16="Local Bubble",POWER(Upgrades!$U$16,H392),1)*IF(Upgrades!$T$17="Local Bubble",POWER(Upgrades!$U$17,I392),1)*IF(Upgrades!$T$18="Local Bubble",POWER(Upgrades!$U$18,J392),1)*IF(Upgrades!$T$19="Local Bubble",POWER(Upgrades!$U$19,K392),1)*IF(Upgrades!$T$20="Local Bubble",POWER(Upgrades!$U$20,L392),1)*IF(Upgrades!$T$21="Local Bubble",POWER(Upgrades!$U$21,M392),1))*POWER(Upgrades!$P$13,E392)*POWER(Upgrades!$P$14,F392)*POWER(Upgrades!$P$15,G392)*POWER(Upgrades!$P$16,H392)*POWER(Upgrades!$P$17,I392)*POWER(Upgrades!$P$18,J392)*POWER(Upgrades!$P$19,K392)*POWER(Upgrades!$P$20,L392)*POWER(Upgrades!$P$21,M392)*$F$6*60</f>
        <v/>
      </c>
      <c r="AC392" s="27">
        <f>(IF(G392=0,0,(Upgrades!$J$15+G392*Upgrades!$K$15)*POWER(Upgrades!$L$15,G392)))*(IF(Upgrades!$T$13="Microlensing",POWER(Upgrades!$U$13,E392),1)*IF(Upgrades!$T$14="Microlensing",POWER(Upgrades!$U$14,F392),1)*IF(Upgrades!$T$16="Microlensing",POWER(Upgrades!$U$16,H392),1)*IF(Upgrades!$T$17="Microlensing",POWER(Upgrades!$U$17,I392),1)*IF(Upgrades!$T$18="Microlensing",POWER(Upgrades!$U$18,J392),1)*IF(Upgrades!$T$19="Microlensing",POWER(Upgrades!$U$19,K392),1)*IF(Upgrades!$T$20="Microlensing",POWER(Upgrades!$U$20,L392),1)*IF(Upgrades!$T$21="Microlensing",POWER(Upgrades!$U$21,M392),1))*POWER(Upgrades!$Q$13,E392)*POWER(Upgrades!$Q$14,F392)*POWER(Upgrades!$Q$15,G392)*POWER(Upgrades!$Q$16,H392)*POWER(Upgrades!$Q$17,I392)*POWER(Upgrades!$Q$18,J392)*POWER(Upgrades!$Q$19,K392)*POWER(Upgrades!$Q$20,L392)*POWER(Upgrades!$Q$21,M392)*$G$6*(Parameters!$B$10*Parameters!$B$11+Q392*60)</f>
        <v/>
      </c>
      <c r="AD392" s="27">
        <f>(IF(H392=0,0,(Upgrades!$M$16+H392*Upgrades!$N$16)*POWER(Upgrades!$O$16,H392)))*(IF(Upgrades!$T$13="Roche Lobe Overflow",POWER(Upgrades!$U$13,E392),1)*IF(Upgrades!$T$14="Roche Lobe Overflow",POWER(Upgrades!$U$14,F392),1)*IF(Upgrades!$T$15="Roche Lobe Overflow",POWER(Upgrades!$U$15,G392),1)*IF(Upgrades!$T$17="Roche Lobe Overflow",POWER(Upgrades!$U$17,I392),1)*IF(Upgrades!$T$18="Roche Lobe Overflow",POWER(Upgrades!$U$18,J392),1)*IF(Upgrades!$T$19="Roche Lobe Overflow",POWER(Upgrades!$U$19,K392),1)*IF(Upgrades!$T$20="Roche Lobe Overflow",POWER(Upgrades!$U$20,L392),1)*IF(Upgrades!$T$21="Roche Lobe Overflow",POWER(Upgrades!$U$21,M392),1))*POWER(Upgrades!$R$13,E392)*POWER(Upgrades!$R$14,F392)*POWER(Upgrades!$R$15,G392)*POWER(Upgrades!$R$16,H392)*POWER(Upgrades!$R$17,I392)*POWER(Upgrades!$R$18,J392)*POWER(Upgrades!$R$19,K392)*POWER(Upgrades!$R$20,L392)*POWER(Upgrades!$R$21,M392)*$H$6*O392*60</f>
        <v/>
      </c>
      <c r="AE392" s="27">
        <f>(IF(I392=0,0,(Upgrades!$G$17+I392*Upgrades!$H$17)*POWER(Upgrades!$I$17,I392)))*(IF(Upgrades!$T$13="Brown Dwarf",POWER(Upgrades!$U$13,E392),1)*IF(Upgrades!$T$14="Brown Dwarf",POWER(Upgrades!$U$14,F392),1)*IF(Upgrades!$T$15="Brown Dwarf",POWER(Upgrades!$U$15,G392),1)*IF(Upgrades!$T$16="Brown Dwarf",POWER(Upgrades!$U$16,H392),1)*IF(Upgrades!$T$18="Brown Dwarf",POWER(Upgrades!$U$18,J392),1)*IF(Upgrades!$T$19="Brown Dwarf",POWER(Upgrades!$U$19,K392),1)*IF(Upgrades!$T$20="Brown Dwarf",POWER(Upgrades!$U$20,L392),1)*IF(Upgrades!$T$21="Brown Dwarf",POWER(Upgrades!$U$21,M392),1))*POWER(Upgrades!$P$13,E392)*POWER(Upgrades!$P$14,F392)*POWER(Upgrades!$P$15,G392)*POWER(Upgrades!$P$16,H392)*POWER(Upgrades!$P$17,I392)*POWER(Upgrades!$P$18,J392)*POWER(Upgrades!$P$19,K392)*POWER(Upgrades!$P$20,L392)*POWER(Upgrades!$P$21,M392)*$F$6*60</f>
        <v/>
      </c>
      <c r="AF392" s="27" t="n">
        <v>0</v>
      </c>
      <c r="AG392" s="27" t="n">
        <v>0</v>
      </c>
      <c r="AH392" s="27" t="n">
        <v>0</v>
      </c>
      <c r="AI392" s="27">
        <f>(IF(M392=0,0,(Upgrades!$G$21+M392*Upgrades!$H$21)*POWER(Upgrades!$I$21,M392)))*(IF(Upgrades!$T$13="Moving Group",POWER(Upgrades!$U$13,E392),1)*IF(Upgrades!$T$14="Moving Group",POWER(Upgrades!$U$14,F392),1)*IF(Upgrades!$T$15="Moving Group",POWER(Upgrades!$U$15,G392),1)*IF(Upgrades!$T$16="Moving Group",POWER(Upgrades!$U$16,H392),1)*IF(Upgrades!$T$17="Moving Group",POWER(Upgrades!$U$17,I392),1)*IF(Upgrades!$T$18="Moving Group",POWER(Upgrades!$U$18,J392),1)*IF(Upgrades!$T$19="Moving Group",POWER(Upgrades!$U$19,K392),1)*IF(Upgrades!$T$20="Moving Group",POWER(Upgrades!$U$20,L392),1))*POWER(Upgrades!$P$13,E392)*POWER(Upgrades!$P$14,F392)*POWER(Upgrades!$P$15,G392)*POWER(Upgrades!$P$16,H392)*POWER(Upgrades!$P$17,I392)*POWER(Upgrades!$P$18,J392)*POWER(Upgrades!$P$19,K392)*POWER(Upgrades!$P$20,L392)*POWER(Upgrades!$P$21,M392)*$F$6*60</f>
        <v/>
      </c>
      <c r="AJ392" s="27">
        <f>$C$6*60</f>
        <v/>
      </c>
      <c r="AK392" s="22">
        <f>IF(E392&gt;=Upgrades!$E$13,"",Upgrades!$C$13*POWER(Upgrades!$D$13,E392))</f>
        <v/>
      </c>
      <c r="AL392" s="22">
        <f>IF(F392&gt;=Upgrades!$E$14,"",Upgrades!$C$14*POWER(Upgrades!$D$14,F392))</f>
        <v/>
      </c>
      <c r="AM392" s="22">
        <f>IF(G392&gt;=Upgrades!$E$15,"",Upgrades!$C$15*POWER(Upgrades!$D$15,G392))</f>
        <v/>
      </c>
      <c r="AN392" s="22">
        <f>IF(H392&gt;=Upgrades!$E$16,"",Upgrades!$C$16*POWER(Upgrades!$D$16,H392))</f>
        <v/>
      </c>
      <c r="AO392" s="22">
        <f>IF(I392&gt;=Upgrades!$E$17,"",Upgrades!$C$17*POWER(Upgrades!$D$17,I392))</f>
        <v/>
      </c>
      <c r="AP392" s="22">
        <f>IF(J392&gt;=Upgrades!$E$18,"",Upgrades!$C$18*POWER(Upgrades!$D$18,J392))</f>
        <v/>
      </c>
      <c r="AQ392" s="22">
        <f>IF(K392&gt;=Upgrades!$E$19,"",Upgrades!$C$19*POWER(Upgrades!$D$19,K392))</f>
        <v/>
      </c>
      <c r="AR392" s="22">
        <f>IF(L392&gt;=Upgrades!$E$20,"",Upgrades!$C$20*POWER(Upgrades!$D$20,L392))</f>
        <v/>
      </c>
      <c r="AS392" s="22">
        <f>IF(M392&gt;=Upgrades!$E$21,"",Upgrades!$C$21*POWER(Upgrades!$D$21,M392))</f>
        <v/>
      </c>
      <c r="AT392" s="26">
        <f>IF(AND(D392&gt;=Parameters!$B$18*Parameters!$B$19,(I392&gt;=Upgrades!$E$17)*(M392&gt;=Upgrades!$E$21)=1,N392=0),1,"")</f>
        <v/>
      </c>
      <c r="AU392" s="26">
        <f>IF(AND(D392&gt;=Parameters!$B$18*Parameters!$B$19,N392=0),1,"")</f>
        <v/>
      </c>
      <c r="AV392" s="22">
        <f>MIN(IF(ISNUMBER(AP392),AP392,9E15),IF(ISNUMBER(AQ392),AQ392,9E15),IF(ISNUMBER(AR392),AR392,9E15),IF(ISNUMBER(AS392),AS392,9E15))</f>
        <v/>
      </c>
      <c r="AW392" s="22">
        <f>MIN(IF(ISNUMBER(AK392),AK392,9E15),IF(ISNUMBER(AL392),AL392,9E15),IF(ISNUMBER(AM392),AM392,9E15),IF(ISNUMBER(AN392),AN392,9E15),IF(ISNUMBER(AO392),AO392,9E15))</f>
        <v/>
      </c>
      <c r="AX392" s="29">
        <f>IF(BD392&gt;Parameters!$B$21*(MAX(IF(AND(NOT(AND(AU392=1,AT392&lt;&gt;1)),ISNUMBER(AK392),AK392&lt;=(C392+T392)),AY392,0),IF(AND(NOT(AND(AU392=1,AT392&lt;&gt;1)),ISNUMBER(AL392),AL392&lt;=(C392+T392)),AZ392,0),IF(AND(NOT(AND(AU392=1,AT392&lt;&gt;1)),ISNUMBER(AM392),AM392&lt;=(C392+T392)),BA392,0),IF(AND(NOT(AND(AU392=1,AT392&lt;&gt;1)),ISNUMBER(AN392),AN392&lt;=(C392+T392)),BB392,0),IF(AND(ISNUMBER(AO392),AO392&lt;=(C392+T392)),BC392,0))),TRUE,FALSE)</f>
        <v/>
      </c>
      <c r="AY392" s="32">
        <f>IFERROR(Upgrades!$H$13*(POWER(Upgrades!$P$13,E392)*POWER(Upgrades!$P$14,F392)*POWER(Upgrades!$P$15,G392)*POWER(Upgrades!$P$16,H392)*POWER(Upgrades!$P$17,I392)*POWER(Upgrades!$P$18,J392)*POWER(Upgrades!$P$19,K392)*POWER(Upgrades!$P$20,L392)*POWER(Upgrades!$P$21,M392))*(IF(Upgrades!$T$14="Stellar Kinematics",POWER(Upgrades!$U$14,F392),1)*IF(Upgrades!$T$15="Stellar Kinematics",POWER(Upgrades!$U$15,G392),1)*IF(Upgrades!$T$16="Stellar Kinematics",POWER(Upgrades!$U$16,H392),1)*IF(Upgrades!$T$17="Stellar Kinematics",POWER(Upgrades!$U$17,I392),1)*IF(Upgrades!$T$18="Stellar Kinematics",POWER(Upgrades!$U$18,J392),1)*IF(Upgrades!$T$19="Stellar Kinematics",POWER(Upgrades!$U$19,K392),1)*IF(Upgrades!$T$20="Stellar Kinematics",POWER(Upgrades!$U$20,L392),1)*IF(Upgrades!$T$21="Stellar Kinematics",POWER(Upgrades!$U$21,M392),1))*$F$6/AK392,0)</f>
        <v/>
      </c>
      <c r="AZ392" s="32">
        <f>IFERROR(Upgrades!$H$14*(POWER(Upgrades!$P$13,E392)*POWER(Upgrades!$P$14,F392)*POWER(Upgrades!$P$15,G392)*POWER(Upgrades!$P$16,H392)*POWER(Upgrades!$P$17,I392)*POWER(Upgrades!$P$18,J392)*POWER(Upgrades!$P$19,K392)*POWER(Upgrades!$P$20,L392)*POWER(Upgrades!$P$21,M392))*(IF(Upgrades!$T$13="Local Bubble",POWER(Upgrades!$U$13,E392),1)*IF(Upgrades!$T$15="Local Bubble",POWER(Upgrades!$U$15,G392),1)*IF(Upgrades!$T$16="Local Bubble",POWER(Upgrades!$U$16,H392),1)*IF(Upgrades!$T$17="Local Bubble",POWER(Upgrades!$U$17,I392),1)*IF(Upgrades!$T$18="Local Bubble",POWER(Upgrades!$U$18,J392),1)*IF(Upgrades!$T$19="Local Bubble",POWER(Upgrades!$U$19,K392),1)*IF(Upgrades!$T$20="Local Bubble",POWER(Upgrades!$U$20,L392),1)*IF(Upgrades!$T$21="Local Bubble",POWER(Upgrades!$U$21,M392),1))*$F$6/AL392,0)</f>
        <v/>
      </c>
      <c r="BA392" s="32">
        <f>IFERROR(Upgrades!$K$15*(POWER(Upgrades!$Q$13,E392)*POWER(Upgrades!$Q$14,F392)*POWER(Upgrades!$Q$15,G392)*POWER(Upgrades!$Q$16,H392)*POWER(Upgrades!$Q$17,I392)*POWER(Upgrades!$Q$18,J392)*POWER(Upgrades!$Q$19,K392)*POWER(Upgrades!$Q$20,L392)*POWER(Upgrades!$Q$21,M392))*(IF(Upgrades!$T$13="Microlensing",POWER(Upgrades!$U$13,E392),1)*IF(Upgrades!$T$14="Microlensing",POWER(Upgrades!$U$14,F392),1)*IF(Upgrades!$T$16="Microlensing",POWER(Upgrades!$U$16,H392),1)*IF(Upgrades!$T$17="Microlensing",POWER(Upgrades!$U$17,I392),1)*IF(Upgrades!$T$18="Microlensing",POWER(Upgrades!$U$18,J392),1)*IF(Upgrades!$T$19="Microlensing",POWER(Upgrades!$U$19,K392),1)*IF(Upgrades!$T$20="Microlensing",POWER(Upgrades!$U$20,L392),1)*IF(Upgrades!$T$21="Microlensing",POWER(Upgrades!$U$21,M392),1))*$G$6*(Parameters!$B$10/60*Parameters!$B$11+Q392)/AM392,0)</f>
        <v/>
      </c>
      <c r="BB392" s="32">
        <f>IFERROR((Upgrades!$N$16*(POWER(Upgrades!$R$13,E392)*POWER(Upgrades!$R$14,F392)*POWER(Upgrades!$R$15,G392)*POWER(Upgrades!$R$16,H392)*POWER(Upgrades!$R$17,I392)*POWER(Upgrades!$R$18,J392)*POWER(Upgrades!$R$19,K392)*POWER(Upgrades!$R$20,L392)*POWER(Upgrades!$R$21,M392))*(IF(Upgrades!$T$13="Roche Lobe Overflow",POWER(Upgrades!$U$13,E392),1)*IF(Upgrades!$T$14="Roche Lobe Overflow",POWER(Upgrades!$U$14,F392),1)*IF(Upgrades!$T$15="Roche Lobe Overflow",POWER(Upgrades!$U$15,G392),1)*IF(Upgrades!$T$17="Roche Lobe Overflow",POWER(Upgrades!$U$17,I392),1)*IF(Upgrades!$T$18="Roche Lobe Overflow",POWER(Upgrades!$U$18,J392),1)*IF(Upgrades!$T$19="Roche Lobe Overflow",POWER(Upgrades!$U$19,K392),1)*IF(Upgrades!$T$20="Roche Lobe Overflow",POWER(Upgrades!$U$20,L392),1)*IF(Upgrades!$T$21="Roche Lobe Overflow",POWER(Upgrades!$U$21,M392),1))*$H$6*O392+((IF(F392=0,0,(Upgrades!$G$14+F392*Upgrades!$H$14)*POWER(Upgrades!$I$14,F392)))*(IF(Upgrades!$T$13="Local Bubble",POWER(Upgrades!$U$13,E392),1)*IF(Upgrades!$T$15="Local Bubble",POWER(Upgrades!$U$15,G392),1)*IF(Upgrades!$T$16="Local Bubble",POWER(Upgrades!$U$16,H392),1)*IF(Upgrades!$T$17="Local Bubble",POWER(Upgrades!$U$17,I392),1)*IF(Upgrades!$T$18="Local Bubble",POWER(Upgrades!$U$18,J392),1)*IF(Upgrades!$T$19="Local Bubble",POWER(Upgrades!$U$19,K392),1)*IF(Upgrades!$T$20="Local Bubble",POWER(Upgrades!$U$20,L392),1)*IF(Upgrades!$T$21="Local Bubble",POWER(Upgrades!$U$21,M392),1))*POWER(Upgrades!$P$13,E392)*POWER(Upgrades!$P$14,F392)*POWER(Upgrades!$P$15,G392)*POWER(Upgrades!$P$16,H392)*POWER(Upgrades!$P$17,I392)*POWER(Upgrades!$P$18,J392)*POWER(Upgrades!$P$19,K392)*POWER(Upgrades!$P$20,L392)*POWER(Upgrades!$P$21,M392)*$F$6)*0.05)/AN392,0)</f>
        <v/>
      </c>
      <c r="BC392" s="32">
        <f>IFERROR((Upgrades!$H$17*(POWER(Upgrades!$P$13,E392)*POWER(Upgrades!$P$14,F392)*POWER(Upgrades!$P$15,G392)*POWER(Upgrades!$P$16,H392)*POWER(Upgrades!$P$17,I392)*POWER(Upgrades!$P$18,J392)*POWER(Upgrades!$P$19,K392)*POWER(Upgrades!$P$20,L392)*POWER(Upgrades!$P$21,M392))*(IF(Upgrades!$T$13="Brown Dwarf",POWER(Upgrades!$U$13,E392),1)*IF(Upgrades!$T$14="Brown Dwarf",POWER(Upgrades!$U$14,F392),1)*IF(Upgrades!$T$15="Brown Dwarf",POWER(Upgrades!$U$15,G392),1)*IF(Upgrades!$T$16="Brown Dwarf",POWER(Upgrades!$U$16,H392),1)*IF(Upgrades!$T$18="Brown Dwarf",POWER(Upgrades!$U$18,J392),1)*IF(Upgrades!$T$19="Brown Dwarf",POWER(Upgrades!$U$19,K392),1)*IF(Upgrades!$T$20="Brown Dwarf",POWER(Upgrades!$U$20,L392),1)*IF(Upgrades!$T$21="Brown Dwarf",POWER(Upgrades!$U$21,M392),1))*$F$6+(((IF(H392=0,0,(Upgrades!$M$16+H392*Upgrades!$N$16)*POWER(Upgrades!$O$16,H392)))*(IF(Upgrades!$T$13="Roche Lobe Overflow",POWER(Upgrades!$U$13,E392),1)*IF(Upgrades!$T$14="Roche Lobe Overflow",POWER(Upgrades!$U$14,F392),1)*IF(Upgrades!$T$15="Roche Lobe Overflow",POWER(Upgrades!$U$15,G392),1)*IF(Upgrades!$T$17="Roche Lobe Overflow",POWER(Upgrades!$U$17,I392),1)*IF(Upgrades!$T$18="Roche Lobe Overflow",POWER(Upgrades!$U$18,J392),1)*IF(Upgrades!$T$19="Roche Lobe Overflow",POWER(Upgrades!$U$19,K392),1)*IF(Upgrades!$T$20="Roche Lobe Overflow",POWER(Upgrades!$U$20,L392),1)*IF(Upgrades!$T$21="Roche Lobe Overflow",POWER(Upgrades!$U$21,M392),1))*POWER(Upgrades!$R$13,E392)*POWER(Upgrades!$R$14,F392)*POWER(Upgrades!$R$15,G392)*POWER(Upgrades!$R$16,H392)*POWER(Upgrades!$R$17,I392)*POWER(Upgrades!$R$18,J392)*POWER(Upgrades!$R$19,K392)*POWER(Upgrades!$R$20,L392)*POWER(Upgrades!$R$21,M392)*$H$6)*O392)*0.10)/AO392,0)</f>
        <v/>
      </c>
      <c r="BD392" s="32">
        <f>MAX(IF(J392&gt;0,0,IFERROR(0.5*((IF(G392=0,0,(Upgrades!$J$15+G392*Upgrades!$K$15)*POWER(Upgrades!$L$15,G392)))*(IF(Upgrades!$T$13="Microlensing",POWER(Upgrades!$U$13,E392),1)*IF(Upgrades!$T$14="Microlensing",POWER(Upgrades!$U$14,F392),1)*IF(Upgrades!$T$16="Microlensing",POWER(Upgrades!$U$16,H392),1)*IF(Upgrades!$T$17="Microlensing",POWER(Upgrades!$U$17,I392),1)*IF(Upgrades!$T$18="Microlensing",POWER(Upgrades!$U$18,J392),1)*IF(Upgrades!$T$19="Microlensing",POWER(Upgrades!$U$19,K392),1)*IF(Upgrades!$T$20="Microlensing",POWER(Upgrades!$U$20,L392),1)*IF(Upgrades!$T$21="Microlensing",POWER(Upgrades!$U$21,M392),1))*(POWER(Upgrades!$Q$13,E392)*POWER(Upgrades!$Q$14,F392)*POWER(Upgrades!$Q$15,G392)*POWER(Upgrades!$Q$16,H392)*POWER(Upgrades!$Q$17,I392)*POWER(Upgrades!$Q$18,J392)*POWER(Upgrades!$Q$19,K392)*POWER(Upgrades!$Q$20,L392)*POWER(Upgrades!$Q$21,M392))*$G$6*(Parameters!$B$10/60*Parameters!$B$11+Q392))/Upgrades!$C$18,0)),IF(K392&gt;0,0,IFERROR(0.30*P392/Upgrades!$C$19,0)),IF(L392&gt;0,0,IFERROR(0.0001/Upgrades!$C$20,0)),IF(M392&gt;0,0,IFERROR((6.0*(POWER(Upgrades!$P$13,E392)*POWER(Upgrades!$P$14,F392)*POWER(Upgrades!$P$15,G392)*POWER(Upgrades!$P$16,H392)*POWER(Upgrades!$P$17,I392)*POWER(Upgrades!$P$18,J392)*POWER(Upgrades!$P$19,K392)*POWER(Upgrades!$P$20,L392)*POWER(Upgrades!$P$21,M392))*$F$6+0.20*O392*(Parameters!$B$10/60*Parameters!$B$11+Q392))/Upgrades!$C$21,0)),IF(AND(ISNUMBER(AK392),AK392&gt;(C392+T392)),AY392,0),IF(AND(ISNUMBER(AL392),AL392&gt;(C392+T392)),AZ392,0),IF(AND(ISNUMBER(AM392),AM392&gt;(C392+T392)),BA392,0),IF(AND(ISNUMBER(AN392),AN392&gt;(C392+T392)),BB392,0),IF(AND(ISNUMBER(AO392),AO392&gt;(C392+T392)),BC392,0))</f>
        <v/>
      </c>
      <c r="BE392" s="29">
        <f>IF(AT392=1,"transition",IF(MIN(IF(AND(J392=0,ISNUMBER(AP392),AP392&lt;=(C392+T392)),AP392,9E15),IF(AND(K392=0,ISNUMBER(AQ392),AQ392&lt;=(C392+T392)),AQ392,9E15),IF(AND(L392=0,ISNUMBER(AR392),AR392&lt;=(C392+T392)),AR392,9E15),IF(AND(M392=0,ISNUMBER(AS392),AS392&lt;=(C392+T392)),AS392,9E15))&lt;9E15,IF(AND(AND(J392=0,ISNUMBER(AP392),AP392&lt;=(C392+T392)),AP392=MIN(IF(AND(J392=0,ISNUMBER(AP392),AP392&lt;=(C392+T392)),AP392,9E15),IF(AND(K392=0,ISNUMBER(AQ392),AQ392&lt;=(C392+T392)),AQ392,9E15),IF(AND(L392=0,ISNUMBER(AR392),AR392&lt;=(C392+T392)),AR392,9E15),IF(AND(M392=0,ISNUMBER(AS392),AS392&lt;=(C392+T392)),AS392,9E15))),"BiP",IF(AND(AND(K392=0,ISNUMBER(AQ392),AQ392&lt;=(C392+T392)),AQ392=MIN(IF(AND(J392=0,ISNUMBER(AP392),AP392&lt;=(C392+T392)),AP392,9E15),IF(AND(K392=0,ISNUMBER(AQ392),AQ392&lt;=(C392+T392)),AQ392,9E15),IF(AND(L392=0,ISNUMBER(AR392),AR392&lt;=(C392+T392)),AR392,9E15),IF(AND(M392=0,ISNUMBER(AS392),AS392&lt;=(C392+T392)),AS392,9E15))),"PV",IF(AND(AND(L392=0,ISNUMBER(AR392),AR392&lt;=(C392+T392)),AR392=MIN(IF(AND(J392=0,ISNUMBER(AP392),AP392&lt;=(C392+T392)),AP392,9E15),IF(AND(K392=0,ISNUMBER(AQ392),AQ392&lt;=(C392+T392)),AQ392,9E15),IF(AND(L392=0,ISNUMBER(AR392),AR392&lt;=(C392+T392)),AR392,9E15),IF(AND(M392=0,ISNUMBER(AS392),AS392&lt;=(C392+T392)),AS392,9E15))),"OC","MG"))),IF(AX392=TRUE,"",IF(MAX(IF(AND(NOT(AND(AU392=1,AT392&lt;&gt;1)),ISNUMBER(AK392),AK392&lt;=(C392+T392)),AY392,0),IF(AND(NOT(AND(AU392=1,AT392&lt;&gt;1)),ISNUMBER(AL392),AL392&lt;=(C392+T392)),AZ392,0),IF(AND(NOT(AND(AU392=1,AT392&lt;&gt;1)),ISNUMBER(AM392),AM392&lt;=(C392+T392)),BA392,0),IF(AND(NOT(AND(AU392=1,AT392&lt;&gt;1)),ISNUMBER(AN392),AN392&lt;=(C392+T392)),BB392,0),IF(AND(ISNUMBER(AO392),AO392&lt;=(C392+T392)),BC392,0))&lt;=0,"",IF(AND(IF(AND(NOT(AND(AU392=1,AT392&lt;&gt;1)),ISNUMBER(AK392),AK392&lt;=(C392+T392)),AY392,0)&gt;0,IF(AND(NOT(AND(AU392=1,AT392&lt;&gt;1)),ISNUMBER(AK392),AK392&lt;=(C392+T392)),AY392,0)=MAX(IF(AND(NOT(AND(AU392=1,AT392&lt;&gt;1)),ISNUMBER(AK392),AK392&lt;=(C392+T392)),AY392,0),IF(AND(NOT(AND(AU392=1,AT392&lt;&gt;1)),ISNUMBER(AL392),AL392&lt;=(C392+T392)),AZ392,0),IF(AND(NOT(AND(AU392=1,AT392&lt;&gt;1)),ISNUMBER(AM392),AM392&lt;=(C392+T392)),BA392,0),IF(AND(NOT(AND(AU392=1,AT392&lt;&gt;1)),ISNUMBER(AN392),AN392&lt;=(C392+T392)),BB392,0),IF(AND(ISNUMBER(AO392),AO392&lt;=(C392+T392)),BC392,0))),"SK",IF(AND(IF(AND(NOT(AND(AU392=1,AT392&lt;&gt;1)),ISNUMBER(AL392),AL392&lt;=(C392+T392)),AZ392,0)&gt;0,IF(AND(NOT(AND(AU392=1,AT392&lt;&gt;1)),ISNUMBER(AL392),AL392&lt;=(C392+T392)),AZ392,0)=MAX(IF(AND(NOT(AND(AU392=1,AT392&lt;&gt;1)),ISNUMBER(AK392),AK392&lt;=(C392+T392)),AY392,0),IF(AND(NOT(AND(AU392=1,AT392&lt;&gt;1)),ISNUMBER(AL392),AL392&lt;=(C392+T392)),AZ392,0),IF(AND(NOT(AND(AU392=1,AT392&lt;&gt;1)),ISNUMBER(AM392),AM392&lt;=(C392+T392)),BA392,0),IF(AND(NOT(AND(AU392=1,AT392&lt;&gt;1)),ISNUMBER(AN392),AN392&lt;=(C392+T392)),BB392,0),IF(AND(ISNUMBER(AO392),AO392&lt;=(C392+T392)),BC392,0))),"LB",IF(AND(IF(AND(NOT(AND(AU392=1,AT392&lt;&gt;1)),ISNUMBER(AM392),AM392&lt;=(C392+T392)),BA392,0)&gt;0,IF(AND(NOT(AND(AU392=1,AT392&lt;&gt;1)),ISNUMBER(AM392),AM392&lt;=(C392+T392)),BA392,0)=MAX(IF(AND(NOT(AND(AU392=1,AT392&lt;&gt;1)),ISNUMBER(AK392),AK392&lt;=(C392+T392)),AY392,0),IF(AND(NOT(AND(AU392=1,AT392&lt;&gt;1)),ISNUMBER(AL392),AL392&lt;=(C392+T392)),AZ392,0),IF(AND(NOT(AND(AU392=1,AT392&lt;&gt;1)),ISNUMBER(AM392),AM392&lt;=(C392+T392)),BA392,0),IF(AND(NOT(AND(AU392=1,AT392&lt;&gt;1)),ISNUMBER(AN392),AN392&lt;=(C392+T392)),BB392,0),IF(AND(ISNUMBER(AO392),AO392&lt;=(C392+T392)),BC392,0))),"ML",IF(AND(IF(AND(NOT(AND(AU392=1,AT392&lt;&gt;1)),ISNUMBER(AN392),AN392&lt;=(C392+T392)),BB392,0)&gt;0,IF(AND(NOT(AND(AU392=1,AT392&lt;&gt;1)),ISNUMBER(AN392),AN392&lt;=(C392+T392)),BB392,0)=MAX(IF(AND(NOT(AND(AU392=1,AT392&lt;&gt;1)),ISNUMBER(AK392),AK392&lt;=(C392+T392)),AY392,0),IF(AND(NOT(AND(AU392=1,AT392&lt;&gt;1)),ISNUMBER(AL392),AL392&lt;=(C392+T392)),AZ392,0),IF(AND(NOT(AND(AU392=1,AT392&lt;&gt;1)),ISNUMBER(AM392),AM392&lt;=(C392+T392)),BA392,0),IF(AND(NOT(AND(AU392=1,AT392&lt;&gt;1)),ISNUMBER(AN392),AN392&lt;=(C392+T392)),BB392,0),IF(AND(ISNUMBER(AO392),AO392&lt;=(C392+T392)),BC392,0))),"RLO","BD"))))))))</f>
        <v/>
      </c>
    </row>
    <row r="393">
      <c r="A393" s="26" t="n">
        <v>382</v>
      </c>
      <c r="B393" s="27">
        <f>A393*10/60</f>
        <v/>
      </c>
      <c r="C393" s="22">
        <f>X392</f>
        <v/>
      </c>
      <c r="D393" s="27">
        <f>D392+W392</f>
        <v/>
      </c>
      <c r="E393" s="26">
        <f>E392+IF(U392="SK",1,0)</f>
        <v/>
      </c>
      <c r="F393" s="26">
        <f>F392+IF(U392="LB",1,0)</f>
        <v/>
      </c>
      <c r="G393" s="26">
        <f>G392+IF(U392="ML",1,0)</f>
        <v/>
      </c>
      <c r="H393" s="26">
        <f>H392+IF(U392="RLO",1,0)</f>
        <v/>
      </c>
      <c r="I393" s="26">
        <f>I392+IF(U392="BD",1,0)</f>
        <v/>
      </c>
      <c r="J393" s="26">
        <f>MAX(J392,IF(U392="BiP",1,0))</f>
        <v/>
      </c>
      <c r="K393" s="26">
        <f>MAX(K392,IF(U392="PV",1,0))</f>
        <v/>
      </c>
      <c r="L393" s="26">
        <f>MAX(L392,IF(U392="OC",1,0))</f>
        <v/>
      </c>
      <c r="M393" s="26">
        <f>MAX(M392,IF(U392="MG",1,0))</f>
        <v/>
      </c>
      <c r="N393" s="26">
        <f>MAX(N392,IF(U392="transition",1,0))</f>
        <v/>
      </c>
      <c r="O393" s="28">
        <f>(Parameters!$B$9+(IF(E393=0,0,(Upgrades!$J$13+E393*Upgrades!$K$13)*POWER(Upgrades!$L$13,E393)))*(IF(Upgrades!$T$14="Stellar Kinematics",POWER(Upgrades!$U$14,F393),1)*IF(Upgrades!$T$15="Stellar Kinematics",POWER(Upgrades!$U$15,G393),1)*IF(Upgrades!$T$16="Stellar Kinematics",POWER(Upgrades!$U$16,H393),1)*IF(Upgrades!$T$17="Stellar Kinematics",POWER(Upgrades!$U$17,I393),1)*IF(Upgrades!$T$18="Stellar Kinematics",POWER(Upgrades!$U$18,J393),1)*IF(Upgrades!$T$19="Stellar Kinematics",POWER(Upgrades!$U$19,K393),1)*IF(Upgrades!$T$20="Stellar Kinematics",POWER(Upgrades!$U$20,L393),1)*IF(Upgrades!$T$21="Stellar Kinematics",POWER(Upgrades!$U$21,M393),1))+(IF(F393=0,0,(Upgrades!$J$14+F393*Upgrades!$K$14)*POWER(Upgrades!$L$14,F393)))*(IF(Upgrades!$T$13="Local Bubble",POWER(Upgrades!$U$13,E393),1)*IF(Upgrades!$T$15="Local Bubble",POWER(Upgrades!$U$15,G393),1)*IF(Upgrades!$T$16="Local Bubble",POWER(Upgrades!$U$16,H393),1)*IF(Upgrades!$T$17="Local Bubble",POWER(Upgrades!$U$17,I393),1)*IF(Upgrades!$T$18="Local Bubble",POWER(Upgrades!$U$18,J393),1)*IF(Upgrades!$T$19="Local Bubble",POWER(Upgrades!$U$19,K393),1)*IF(Upgrades!$T$20="Local Bubble",POWER(Upgrades!$U$20,L393),1)*IF(Upgrades!$T$21="Local Bubble",POWER(Upgrades!$U$21,M393),1))+(IF(G393=0,0,(Upgrades!$J$15+G393*Upgrades!$K$15)*POWER(Upgrades!$L$15,G393)))*(IF(Upgrades!$T$13="Microlensing",POWER(Upgrades!$U$13,E393),1)*IF(Upgrades!$T$14="Microlensing",POWER(Upgrades!$U$14,F393),1)*IF(Upgrades!$T$16="Microlensing",POWER(Upgrades!$U$16,H393),1)*IF(Upgrades!$T$17="Microlensing",POWER(Upgrades!$U$17,I393),1)*IF(Upgrades!$T$18="Microlensing",POWER(Upgrades!$U$18,J393),1)*IF(Upgrades!$T$19="Microlensing",POWER(Upgrades!$U$19,K393),1)*IF(Upgrades!$T$20="Microlensing",POWER(Upgrades!$U$20,L393),1)*IF(Upgrades!$T$21="Microlensing",POWER(Upgrades!$U$21,M393),1))+(IF(H393=0,0,(Upgrades!$J$16+H393*Upgrades!$K$16)*POWER(Upgrades!$L$16,H393)))*(IF(Upgrades!$T$13="Roche Lobe Overflow",POWER(Upgrades!$U$13,E393),1)*IF(Upgrades!$T$14="Roche Lobe Overflow",POWER(Upgrades!$U$14,F393),1)*IF(Upgrades!$T$15="Roche Lobe Overflow",POWER(Upgrades!$U$15,G393),1)*IF(Upgrades!$T$17="Roche Lobe Overflow",POWER(Upgrades!$U$17,I393),1)*IF(Upgrades!$T$18="Roche Lobe Overflow",POWER(Upgrades!$U$18,J393),1)*IF(Upgrades!$T$19="Roche Lobe Overflow",POWER(Upgrades!$U$19,K393),1)*IF(Upgrades!$T$20="Roche Lobe Overflow",POWER(Upgrades!$U$20,L393),1)*IF(Upgrades!$T$21="Roche Lobe Overflow",POWER(Upgrades!$U$21,M393),1))+(IF(I393=0,0,(Upgrades!$J$17+I393*Upgrades!$K$17)*POWER(Upgrades!$L$17,I393)))*(IF(Upgrades!$T$13="Brown Dwarf",POWER(Upgrades!$U$13,E393),1)*IF(Upgrades!$T$14="Brown Dwarf",POWER(Upgrades!$U$14,F393),1)*IF(Upgrades!$T$15="Brown Dwarf",POWER(Upgrades!$U$15,G393),1)*IF(Upgrades!$T$16="Brown Dwarf",POWER(Upgrades!$U$16,H393),1)*IF(Upgrades!$T$18="Brown Dwarf",POWER(Upgrades!$U$18,J393),1)*IF(Upgrades!$T$19="Brown Dwarf",POWER(Upgrades!$U$19,K393),1)*IF(Upgrades!$T$20="Brown Dwarf",POWER(Upgrades!$U$20,L393),1)*IF(Upgrades!$T$21="Brown Dwarf",POWER(Upgrades!$U$21,M393),1))+(IF(J393=0,0,(Upgrades!$J$18+J393*Upgrades!$K$18)*POWER(Upgrades!$L$18,J393)))*(IF(Upgrades!$T$13="Binary Partner",POWER(Upgrades!$U$13,E393),1)*IF(Upgrades!$T$14="Binary Partner",POWER(Upgrades!$U$14,F393),1)*IF(Upgrades!$T$15="Binary Partner",POWER(Upgrades!$U$15,G393),1)*IF(Upgrades!$T$16="Binary Partner",POWER(Upgrades!$U$16,H393),1)*IF(Upgrades!$T$17="Binary Partner",POWER(Upgrades!$U$17,I393),1)*IF(Upgrades!$T$19="Binary Partner",POWER(Upgrades!$U$19,K393),1)*IF(Upgrades!$T$20="Binary Partner",POWER(Upgrades!$U$20,L393),1)*IF(Upgrades!$T$21="Binary Partner",POWER(Upgrades!$U$21,M393),1))+(IF(K393=0,0,(Upgrades!$J$19+K393*Upgrades!$K$19)*POWER(Upgrades!$L$19,K393)))*(IF(Upgrades!$T$13="Peculiar Velocity",POWER(Upgrades!$U$13,E393),1)*IF(Upgrades!$T$14="Peculiar Velocity",POWER(Upgrades!$U$14,F393),1)*IF(Upgrades!$T$15="Peculiar Velocity",POWER(Upgrades!$U$15,G393),1)*IF(Upgrades!$T$16="Peculiar Velocity",POWER(Upgrades!$U$16,H393),1)*IF(Upgrades!$T$17="Peculiar Velocity",POWER(Upgrades!$U$17,I393),1)*IF(Upgrades!$T$18="Peculiar Velocity",POWER(Upgrades!$U$18,J393),1)*IF(Upgrades!$T$20="Peculiar Velocity",POWER(Upgrades!$U$20,L393),1)*IF(Upgrades!$T$21="Peculiar Velocity",POWER(Upgrades!$U$21,M393),1))+(IF(L393=0,0,(Upgrades!$J$20+L393*Upgrades!$K$20)*POWER(Upgrades!$L$20,L393)))*(IF(Upgrades!$T$13="Open Cluster",POWER(Upgrades!$U$13,E393),1)*IF(Upgrades!$T$14="Open Cluster",POWER(Upgrades!$U$14,F393),1)*IF(Upgrades!$T$15="Open Cluster",POWER(Upgrades!$U$15,G393),1)*IF(Upgrades!$T$16="Open Cluster",POWER(Upgrades!$U$16,H393),1)*IF(Upgrades!$T$17="Open Cluster",POWER(Upgrades!$U$17,I393),1)*IF(Upgrades!$T$18="Open Cluster",POWER(Upgrades!$U$18,J393),1)*IF(Upgrades!$T$19="Open Cluster",POWER(Upgrades!$U$19,K393),1)*IF(Upgrades!$T$21="Open Cluster",POWER(Upgrades!$U$21,M393),1))+(IF(M393=0,0,(Upgrades!$J$21+M393*Upgrades!$K$21)*POWER(Upgrades!$L$21,M393)))*(IF(Upgrades!$T$13="Moving Group",POWER(Upgrades!$U$13,E393),1)*IF(Upgrades!$T$14="Moving Group",POWER(Upgrades!$U$14,F393),1)*IF(Upgrades!$T$15="Moving Group",POWER(Upgrades!$U$15,G393),1)*IF(Upgrades!$T$16="Moving Group",POWER(Upgrades!$U$16,H393),1)*IF(Upgrades!$T$17="Moving Group",POWER(Upgrades!$U$17,I393),1)*IF(Upgrades!$T$18="Moving Group",POWER(Upgrades!$U$18,J393),1)*IF(Upgrades!$T$19="Moving Group",POWER(Upgrades!$U$19,K393),1)*IF(Upgrades!$T$20="Moving Group",POWER(Upgrades!$U$20,L393),1)))*POWER(Upgrades!$Q$13,E393)*POWER(Upgrades!$Q$14,F393)*POWER(Upgrades!$Q$15,G393)*POWER(Upgrades!$Q$16,H393)*POWER(Upgrades!$Q$17,I393)*POWER(Upgrades!$Q$18,J393)*POWER(Upgrades!$Q$19,K393)*POWER(Upgrades!$Q$20,L393)*POWER(Upgrades!$Q$21,M393)*$G$6+$D$6</f>
        <v/>
      </c>
      <c r="P393" s="28">
        <f>((IF(E393=0,0,(Upgrades!$G$13+E393*Upgrades!$H$13)*POWER(Upgrades!$I$13,E393)))*(IF(Upgrades!$T$14="Stellar Kinematics",POWER(Upgrades!$U$14,F393),1)*IF(Upgrades!$T$15="Stellar Kinematics",POWER(Upgrades!$U$15,G393),1)*IF(Upgrades!$T$16="Stellar Kinematics",POWER(Upgrades!$U$16,H393),1)*IF(Upgrades!$T$17="Stellar Kinematics",POWER(Upgrades!$U$17,I393),1)*IF(Upgrades!$T$18="Stellar Kinematics",POWER(Upgrades!$U$18,J393),1)*IF(Upgrades!$T$19="Stellar Kinematics",POWER(Upgrades!$U$19,K393),1)*IF(Upgrades!$T$20="Stellar Kinematics",POWER(Upgrades!$U$20,L393),1)*IF(Upgrades!$T$21="Stellar Kinematics",POWER(Upgrades!$U$21,M393),1))+(IF(F393=0,0,(Upgrades!$G$14+F393*Upgrades!$H$14)*POWER(Upgrades!$I$14,F393)))*(IF(Upgrades!$T$13="Local Bubble",POWER(Upgrades!$U$13,E393),1)*IF(Upgrades!$T$15="Local Bubble",POWER(Upgrades!$U$15,G393),1)*IF(Upgrades!$T$16="Local Bubble",POWER(Upgrades!$U$16,H393),1)*IF(Upgrades!$T$17="Local Bubble",POWER(Upgrades!$U$17,I393),1)*IF(Upgrades!$T$18="Local Bubble",POWER(Upgrades!$U$18,J393),1)*IF(Upgrades!$T$19="Local Bubble",POWER(Upgrades!$U$19,K393),1)*IF(Upgrades!$T$20="Local Bubble",POWER(Upgrades!$U$20,L393),1)*IF(Upgrades!$T$21="Local Bubble",POWER(Upgrades!$U$21,M393),1))+(IF(G393=0,0,(Upgrades!$G$15+G393*Upgrades!$H$15)*POWER(Upgrades!$I$15,G393)))*(IF(Upgrades!$T$13="Microlensing",POWER(Upgrades!$U$13,E393),1)*IF(Upgrades!$T$14="Microlensing",POWER(Upgrades!$U$14,F393),1)*IF(Upgrades!$T$16="Microlensing",POWER(Upgrades!$U$16,H393),1)*IF(Upgrades!$T$17="Microlensing",POWER(Upgrades!$U$17,I393),1)*IF(Upgrades!$T$18="Microlensing",POWER(Upgrades!$U$18,J393),1)*IF(Upgrades!$T$19="Microlensing",POWER(Upgrades!$U$19,K393),1)*IF(Upgrades!$T$20="Microlensing",POWER(Upgrades!$U$20,L393),1)*IF(Upgrades!$T$21="Microlensing",POWER(Upgrades!$U$21,M393),1))+(IF(H393=0,0,(Upgrades!$G$16+H393*Upgrades!$H$16)*POWER(Upgrades!$I$16,H393)))*(IF(Upgrades!$T$13="Roche Lobe Overflow",POWER(Upgrades!$U$13,E393),1)*IF(Upgrades!$T$14="Roche Lobe Overflow",POWER(Upgrades!$U$14,F393),1)*IF(Upgrades!$T$15="Roche Lobe Overflow",POWER(Upgrades!$U$15,G393),1)*IF(Upgrades!$T$17="Roche Lobe Overflow",POWER(Upgrades!$U$17,I393),1)*IF(Upgrades!$T$18="Roche Lobe Overflow",POWER(Upgrades!$U$18,J393),1)*IF(Upgrades!$T$19="Roche Lobe Overflow",POWER(Upgrades!$U$19,K393),1)*IF(Upgrades!$T$20="Roche Lobe Overflow",POWER(Upgrades!$U$20,L393),1)*IF(Upgrades!$T$21="Roche Lobe Overflow",POWER(Upgrades!$U$21,M393),1))+(IF(I393=0,0,(Upgrades!$G$17+I393*Upgrades!$H$17)*POWER(Upgrades!$I$17,I393)))*(IF(Upgrades!$T$13="Brown Dwarf",POWER(Upgrades!$U$13,E393),1)*IF(Upgrades!$T$14="Brown Dwarf",POWER(Upgrades!$U$14,F393),1)*IF(Upgrades!$T$15="Brown Dwarf",POWER(Upgrades!$U$15,G393),1)*IF(Upgrades!$T$16="Brown Dwarf",POWER(Upgrades!$U$16,H393),1)*IF(Upgrades!$T$18="Brown Dwarf",POWER(Upgrades!$U$18,J393),1)*IF(Upgrades!$T$19="Brown Dwarf",POWER(Upgrades!$U$19,K393),1)*IF(Upgrades!$T$20="Brown Dwarf",POWER(Upgrades!$U$20,L393),1)*IF(Upgrades!$T$21="Brown Dwarf",POWER(Upgrades!$U$21,M393),1))+(IF(J393=0,0,(Upgrades!$G$18+J393*Upgrades!$H$18)*POWER(Upgrades!$I$18,J393)))*(IF(Upgrades!$T$13="Binary Partner",POWER(Upgrades!$U$13,E393),1)*IF(Upgrades!$T$14="Binary Partner",POWER(Upgrades!$U$14,F393),1)*IF(Upgrades!$T$15="Binary Partner",POWER(Upgrades!$U$15,G393),1)*IF(Upgrades!$T$16="Binary Partner",POWER(Upgrades!$U$16,H393),1)*IF(Upgrades!$T$17="Binary Partner",POWER(Upgrades!$U$17,I393),1)*IF(Upgrades!$T$19="Binary Partner",POWER(Upgrades!$U$19,K393),1)*IF(Upgrades!$T$20="Binary Partner",POWER(Upgrades!$U$20,L393),1)*IF(Upgrades!$T$21="Binary Partner",POWER(Upgrades!$U$21,M393),1))+(IF(K393=0,0,(Upgrades!$G$19+K393*Upgrades!$H$19)*POWER(Upgrades!$I$19,K393)))*(IF(Upgrades!$T$13="Peculiar Velocity",POWER(Upgrades!$U$13,E393),1)*IF(Upgrades!$T$14="Peculiar Velocity",POWER(Upgrades!$U$14,F393),1)*IF(Upgrades!$T$15="Peculiar Velocity",POWER(Upgrades!$U$15,G393),1)*IF(Upgrades!$T$16="Peculiar Velocity",POWER(Upgrades!$U$16,H393),1)*IF(Upgrades!$T$17="Peculiar Velocity",POWER(Upgrades!$U$17,I393),1)*IF(Upgrades!$T$18="Peculiar Velocity",POWER(Upgrades!$U$18,J393),1)*IF(Upgrades!$T$20="Peculiar Velocity",POWER(Upgrades!$U$20,L393),1)*IF(Upgrades!$T$21="Peculiar Velocity",POWER(Upgrades!$U$21,M393),1))+(IF(L393=0,0,(Upgrades!$G$20+L393*Upgrades!$H$20)*POWER(Upgrades!$I$20,L393)))*(IF(Upgrades!$T$13="Open Cluster",POWER(Upgrades!$U$13,E393),1)*IF(Upgrades!$T$14="Open Cluster",POWER(Upgrades!$U$14,F393),1)*IF(Upgrades!$T$15="Open Cluster",POWER(Upgrades!$U$15,G393),1)*IF(Upgrades!$T$16="Open Cluster",POWER(Upgrades!$U$16,H393),1)*IF(Upgrades!$T$17="Open Cluster",POWER(Upgrades!$U$17,I393),1)*IF(Upgrades!$T$18="Open Cluster",POWER(Upgrades!$U$18,J393),1)*IF(Upgrades!$T$19="Open Cluster",POWER(Upgrades!$U$19,K393),1)*IF(Upgrades!$T$21="Open Cluster",POWER(Upgrades!$U$21,M393),1))+(IF(M393=0,0,(Upgrades!$G$21+M393*Upgrades!$H$21)*POWER(Upgrades!$I$21,M393)))*(IF(Upgrades!$T$13="Moving Group",POWER(Upgrades!$U$13,E393),1)*IF(Upgrades!$T$14="Moving Group",POWER(Upgrades!$U$14,F393),1)*IF(Upgrades!$T$15="Moving Group",POWER(Upgrades!$U$15,G393),1)*IF(Upgrades!$T$16="Moving Group",POWER(Upgrades!$U$16,H393),1)*IF(Upgrades!$T$17="Moving Group",POWER(Upgrades!$U$17,I393),1)*IF(Upgrades!$T$18="Moving Group",POWER(Upgrades!$U$18,J393),1)*IF(Upgrades!$T$19="Moving Group",POWER(Upgrades!$U$19,K393),1)*IF(Upgrades!$T$20="Moving Group",POWER(Upgrades!$U$20,L393),1)))*POWER(Upgrades!$P$13,E393)*POWER(Upgrades!$P$14,F393)*POWER(Upgrades!$P$15,G393)*POWER(Upgrades!$P$16,H393)*POWER(Upgrades!$P$17,I393)*POWER(Upgrades!$P$18,J393)*POWER(Upgrades!$P$19,K393)*POWER(Upgrades!$P$20,L393)*POWER(Upgrades!$P$21,M393)*$F$6+$C$6</f>
        <v/>
      </c>
      <c r="Q393" s="28">
        <f>((IF(E393=0,0,(Upgrades!$M$13+E393*Upgrades!$N$13)*POWER(Upgrades!$O$13,E393)))*(IF(Upgrades!$T$14="Stellar Kinematics",POWER(Upgrades!$U$14,F393),1)*IF(Upgrades!$T$15="Stellar Kinematics",POWER(Upgrades!$U$15,G393),1)*IF(Upgrades!$T$16="Stellar Kinematics",POWER(Upgrades!$U$16,H393),1)*IF(Upgrades!$T$17="Stellar Kinematics",POWER(Upgrades!$U$17,I393),1)*IF(Upgrades!$T$18="Stellar Kinematics",POWER(Upgrades!$U$18,J393),1)*IF(Upgrades!$T$19="Stellar Kinematics",POWER(Upgrades!$U$19,K393),1)*IF(Upgrades!$T$20="Stellar Kinematics",POWER(Upgrades!$U$20,L393),1)*IF(Upgrades!$T$21="Stellar Kinematics",POWER(Upgrades!$U$21,M393),1))+(IF(F393=0,0,(Upgrades!$M$14+F393*Upgrades!$N$14)*POWER(Upgrades!$O$14,F393)))*(IF(Upgrades!$T$13="Local Bubble",POWER(Upgrades!$U$13,E393),1)*IF(Upgrades!$T$15="Local Bubble",POWER(Upgrades!$U$15,G393),1)*IF(Upgrades!$T$16="Local Bubble",POWER(Upgrades!$U$16,H393),1)*IF(Upgrades!$T$17="Local Bubble",POWER(Upgrades!$U$17,I393),1)*IF(Upgrades!$T$18="Local Bubble",POWER(Upgrades!$U$18,J393),1)*IF(Upgrades!$T$19="Local Bubble",POWER(Upgrades!$U$19,K393),1)*IF(Upgrades!$T$20="Local Bubble",POWER(Upgrades!$U$20,L393),1)*IF(Upgrades!$T$21="Local Bubble",POWER(Upgrades!$U$21,M393),1))+(IF(G393=0,0,(Upgrades!$M$15+G393*Upgrades!$N$15)*POWER(Upgrades!$O$15,G393)))*(IF(Upgrades!$T$13="Microlensing",POWER(Upgrades!$U$13,E393),1)*IF(Upgrades!$T$14="Microlensing",POWER(Upgrades!$U$14,F393),1)*IF(Upgrades!$T$16="Microlensing",POWER(Upgrades!$U$16,H393),1)*IF(Upgrades!$T$17="Microlensing",POWER(Upgrades!$U$17,I393),1)*IF(Upgrades!$T$18="Microlensing",POWER(Upgrades!$U$18,J393),1)*IF(Upgrades!$T$19="Microlensing",POWER(Upgrades!$U$19,K393),1)*IF(Upgrades!$T$20="Microlensing",POWER(Upgrades!$U$20,L393),1)*IF(Upgrades!$T$21="Microlensing",POWER(Upgrades!$U$21,M393),1))+(IF(H393=0,0,(Upgrades!$M$16+H393*Upgrades!$N$16)*POWER(Upgrades!$O$16,H393)))*(IF(Upgrades!$T$13="Roche Lobe Overflow",POWER(Upgrades!$U$13,E393),1)*IF(Upgrades!$T$14="Roche Lobe Overflow",POWER(Upgrades!$U$14,F393),1)*IF(Upgrades!$T$15="Roche Lobe Overflow",POWER(Upgrades!$U$15,G393),1)*IF(Upgrades!$T$17="Roche Lobe Overflow",POWER(Upgrades!$U$17,I393),1)*IF(Upgrades!$T$18="Roche Lobe Overflow",POWER(Upgrades!$U$18,J393),1)*IF(Upgrades!$T$19="Roche Lobe Overflow",POWER(Upgrades!$U$19,K393),1)*IF(Upgrades!$T$20="Roche Lobe Overflow",POWER(Upgrades!$U$20,L393),1)*IF(Upgrades!$T$21="Roche Lobe Overflow",POWER(Upgrades!$U$21,M393),1))+(IF(I393=0,0,(Upgrades!$M$17+I393*Upgrades!$N$17)*POWER(Upgrades!$O$17,I393)))*(IF(Upgrades!$T$13="Brown Dwarf",POWER(Upgrades!$U$13,E393),1)*IF(Upgrades!$T$14="Brown Dwarf",POWER(Upgrades!$U$14,F393),1)*IF(Upgrades!$T$15="Brown Dwarf",POWER(Upgrades!$U$15,G393),1)*IF(Upgrades!$T$16="Brown Dwarf",POWER(Upgrades!$U$16,H393),1)*IF(Upgrades!$T$18="Brown Dwarf",POWER(Upgrades!$U$18,J393),1)*IF(Upgrades!$T$19="Brown Dwarf",POWER(Upgrades!$U$19,K393),1)*IF(Upgrades!$T$20="Brown Dwarf",POWER(Upgrades!$U$20,L393),1)*IF(Upgrades!$T$21="Brown Dwarf",POWER(Upgrades!$U$21,M393),1))+(IF(J393=0,0,(Upgrades!$M$18+J393*Upgrades!$N$18)*POWER(Upgrades!$O$18,J393)))*(IF(Upgrades!$T$13="Binary Partner",POWER(Upgrades!$U$13,E393),1)*IF(Upgrades!$T$14="Binary Partner",POWER(Upgrades!$U$14,F393),1)*IF(Upgrades!$T$15="Binary Partner",POWER(Upgrades!$U$15,G393),1)*IF(Upgrades!$T$16="Binary Partner",POWER(Upgrades!$U$16,H393),1)*IF(Upgrades!$T$17="Binary Partner",POWER(Upgrades!$U$17,I393),1)*IF(Upgrades!$T$19="Binary Partner",POWER(Upgrades!$U$19,K393),1)*IF(Upgrades!$T$20="Binary Partner",POWER(Upgrades!$U$20,L393),1)*IF(Upgrades!$T$21="Binary Partner",POWER(Upgrades!$U$21,M393),1))+(IF(K393=0,0,(Upgrades!$M$19+K393*Upgrades!$N$19)*POWER(Upgrades!$O$19,K393)))*(IF(Upgrades!$T$13="Peculiar Velocity",POWER(Upgrades!$U$13,E393),1)*IF(Upgrades!$T$14="Peculiar Velocity",POWER(Upgrades!$U$14,F393),1)*IF(Upgrades!$T$15="Peculiar Velocity",POWER(Upgrades!$U$15,G393),1)*IF(Upgrades!$T$16="Peculiar Velocity",POWER(Upgrades!$U$16,H393),1)*IF(Upgrades!$T$17="Peculiar Velocity",POWER(Upgrades!$U$17,I393),1)*IF(Upgrades!$T$18="Peculiar Velocity",POWER(Upgrades!$U$18,J393),1)*IF(Upgrades!$T$20="Peculiar Velocity",POWER(Upgrades!$U$20,L393),1)*IF(Upgrades!$T$21="Peculiar Velocity",POWER(Upgrades!$U$21,M393),1))+(IF(L393=0,0,(Upgrades!$M$20+L393*Upgrades!$N$20)*POWER(Upgrades!$O$20,L393)))*(IF(Upgrades!$T$13="Open Cluster",POWER(Upgrades!$U$13,E393),1)*IF(Upgrades!$T$14="Open Cluster",POWER(Upgrades!$U$14,F393),1)*IF(Upgrades!$T$15="Open Cluster",POWER(Upgrades!$U$15,G393),1)*IF(Upgrades!$T$16="Open Cluster",POWER(Upgrades!$U$16,H393),1)*IF(Upgrades!$T$17="Open Cluster",POWER(Upgrades!$U$17,I393),1)*IF(Upgrades!$T$18="Open Cluster",POWER(Upgrades!$U$18,J393),1)*IF(Upgrades!$T$19="Open Cluster",POWER(Upgrades!$U$19,K393),1)*IF(Upgrades!$T$21="Open Cluster",POWER(Upgrades!$U$21,M393),1))+(IF(M393=0,0,(Upgrades!$M$21+M393*Upgrades!$N$21)*POWER(Upgrades!$O$21,M393)))*(IF(Upgrades!$T$13="Moving Group",POWER(Upgrades!$U$13,E393),1)*IF(Upgrades!$T$14="Moving Group",POWER(Upgrades!$U$14,F393),1)*IF(Upgrades!$T$15="Moving Group",POWER(Upgrades!$U$15,G393),1)*IF(Upgrades!$T$16="Moving Group",POWER(Upgrades!$U$16,H393),1)*IF(Upgrades!$T$17="Moving Group",POWER(Upgrades!$U$17,I393),1)*IF(Upgrades!$T$18="Moving Group",POWER(Upgrades!$U$18,J393),1)*IF(Upgrades!$T$19="Moving Group",POWER(Upgrades!$U$19,K393),1)*IF(Upgrades!$T$20="Moving Group",POWER(Upgrades!$U$20,L393),1)))*POWER(Upgrades!$R$13,E393)*POWER(Upgrades!$R$14,F393)*POWER(Upgrades!$R$15,G393)*POWER(Upgrades!$R$16,H393)*POWER(Upgrades!$R$17,I393)*POWER(Upgrades!$R$18,J393)*POWER(Upgrades!$R$19,K393)*POWER(Upgrades!$R$20,L393)*POWER(Upgrades!$R$21,M393)*$H$6+$E$6</f>
        <v/>
      </c>
      <c r="R393" s="27">
        <f>IF(N393=1,0,O393*Parameters!$B$10/60*Parameters!$B$11*10)</f>
        <v/>
      </c>
      <c r="S393" s="27">
        <f>IF(N393=1,0,Q393*O393*10)</f>
        <v/>
      </c>
      <c r="T393" s="27">
        <f>IF(N393=1,0,R393+S393+P393*10)</f>
        <v/>
      </c>
      <c r="U393" s="33">
        <f>BE393</f>
        <v/>
      </c>
      <c r="V393" s="22">
        <f>IF(U393="",0,IF(U393="transition",0,IF(U393="SK",AK393,IF(U393="LB",AL393,IF(U393="ML",AM393,IF(U393="RLO",AN393,IF(U393="BD",AO393,IF(U393="BiP",AP393,IF(U393="PV",AQ393,IF(U393="OC",AR393,IF(U393="MG",AS393,0))))))))))</f>
        <v/>
      </c>
      <c r="W393" s="27">
        <f>IF(U393="BiP",Upgrades!$F$18,IF(U393="PV",Upgrades!$F$19,IF(U393="OC",Upgrades!$F$20,IF(U393="MG",Upgrades!$F$21,IF(U393="transition",-Parameters!$B$18*Parameters!$B$19,0)))))</f>
        <v/>
      </c>
      <c r="X393" s="22">
        <f>C393+T393-V393</f>
        <v/>
      </c>
      <c r="Y393" s="30">
        <f>O393*Parameters!$B$10/60*Parameters!$B$11+Q393*O393+P393</f>
        <v/>
      </c>
      <c r="Z393" s="34">
        <f>IF(U393="transition","→ Tier 3 (Galactic Arm)",IF(U393="MG","Moving Group — pocket drifts together",IF(U393="OC","Open Cluster acquired",IF(U393="PV","Peculiar Velocity — passive multiplier active",IF(U393="BiP","Binary Partner — pair bond formed",IF(AND(AU393=1,N393=0,AT393&lt;&gt;1),"Cohesion ready (waiting on completionists)","")))))) </f>
        <v/>
      </c>
      <c r="AA393" s="27">
        <f>(IF(E393=0,0,(Upgrades!$G$13+E393*Upgrades!$H$13)*POWER(Upgrades!$I$13,E393)))*(IF(Upgrades!$T$14="Stellar Kinematics",POWER(Upgrades!$U$14,F393),1)*IF(Upgrades!$T$15="Stellar Kinematics",POWER(Upgrades!$U$15,G393),1)*IF(Upgrades!$T$16="Stellar Kinematics",POWER(Upgrades!$U$16,H393),1)*IF(Upgrades!$T$17="Stellar Kinematics",POWER(Upgrades!$U$17,I393),1)*IF(Upgrades!$T$18="Stellar Kinematics",POWER(Upgrades!$U$18,J393),1)*IF(Upgrades!$T$19="Stellar Kinematics",POWER(Upgrades!$U$19,K393),1)*IF(Upgrades!$T$20="Stellar Kinematics",POWER(Upgrades!$U$20,L393),1)*IF(Upgrades!$T$21="Stellar Kinematics",POWER(Upgrades!$U$21,M393),1))*POWER(Upgrades!$P$13,E393)*POWER(Upgrades!$P$14,F393)*POWER(Upgrades!$P$15,G393)*POWER(Upgrades!$P$16,H393)*POWER(Upgrades!$P$17,I393)*POWER(Upgrades!$P$18,J393)*POWER(Upgrades!$P$19,K393)*POWER(Upgrades!$P$20,L393)*POWER(Upgrades!$P$21,M393)*$F$6*60</f>
        <v/>
      </c>
      <c r="AB393" s="27">
        <f>(IF(F393=0,0,(Upgrades!$G$14+F393*Upgrades!$H$14)*POWER(Upgrades!$I$14,F393)))*(IF(Upgrades!$T$13="Local Bubble",POWER(Upgrades!$U$13,E393),1)*IF(Upgrades!$T$15="Local Bubble",POWER(Upgrades!$U$15,G393),1)*IF(Upgrades!$T$16="Local Bubble",POWER(Upgrades!$U$16,H393),1)*IF(Upgrades!$T$17="Local Bubble",POWER(Upgrades!$U$17,I393),1)*IF(Upgrades!$T$18="Local Bubble",POWER(Upgrades!$U$18,J393),1)*IF(Upgrades!$T$19="Local Bubble",POWER(Upgrades!$U$19,K393),1)*IF(Upgrades!$T$20="Local Bubble",POWER(Upgrades!$U$20,L393),1)*IF(Upgrades!$T$21="Local Bubble",POWER(Upgrades!$U$21,M393),1))*POWER(Upgrades!$P$13,E393)*POWER(Upgrades!$P$14,F393)*POWER(Upgrades!$P$15,G393)*POWER(Upgrades!$P$16,H393)*POWER(Upgrades!$P$17,I393)*POWER(Upgrades!$P$18,J393)*POWER(Upgrades!$P$19,K393)*POWER(Upgrades!$P$20,L393)*POWER(Upgrades!$P$21,M393)*$F$6*60</f>
        <v/>
      </c>
      <c r="AC393" s="27">
        <f>(IF(G393=0,0,(Upgrades!$J$15+G393*Upgrades!$K$15)*POWER(Upgrades!$L$15,G393)))*(IF(Upgrades!$T$13="Microlensing",POWER(Upgrades!$U$13,E393),1)*IF(Upgrades!$T$14="Microlensing",POWER(Upgrades!$U$14,F393),1)*IF(Upgrades!$T$16="Microlensing",POWER(Upgrades!$U$16,H393),1)*IF(Upgrades!$T$17="Microlensing",POWER(Upgrades!$U$17,I393),1)*IF(Upgrades!$T$18="Microlensing",POWER(Upgrades!$U$18,J393),1)*IF(Upgrades!$T$19="Microlensing",POWER(Upgrades!$U$19,K393),1)*IF(Upgrades!$T$20="Microlensing",POWER(Upgrades!$U$20,L393),1)*IF(Upgrades!$T$21="Microlensing",POWER(Upgrades!$U$21,M393),1))*POWER(Upgrades!$Q$13,E393)*POWER(Upgrades!$Q$14,F393)*POWER(Upgrades!$Q$15,G393)*POWER(Upgrades!$Q$16,H393)*POWER(Upgrades!$Q$17,I393)*POWER(Upgrades!$Q$18,J393)*POWER(Upgrades!$Q$19,K393)*POWER(Upgrades!$Q$20,L393)*POWER(Upgrades!$Q$21,M393)*$G$6*(Parameters!$B$10*Parameters!$B$11+Q393*60)</f>
        <v/>
      </c>
      <c r="AD393" s="27">
        <f>(IF(H393=0,0,(Upgrades!$M$16+H393*Upgrades!$N$16)*POWER(Upgrades!$O$16,H393)))*(IF(Upgrades!$T$13="Roche Lobe Overflow",POWER(Upgrades!$U$13,E393),1)*IF(Upgrades!$T$14="Roche Lobe Overflow",POWER(Upgrades!$U$14,F393),1)*IF(Upgrades!$T$15="Roche Lobe Overflow",POWER(Upgrades!$U$15,G393),1)*IF(Upgrades!$T$17="Roche Lobe Overflow",POWER(Upgrades!$U$17,I393),1)*IF(Upgrades!$T$18="Roche Lobe Overflow",POWER(Upgrades!$U$18,J393),1)*IF(Upgrades!$T$19="Roche Lobe Overflow",POWER(Upgrades!$U$19,K393),1)*IF(Upgrades!$T$20="Roche Lobe Overflow",POWER(Upgrades!$U$20,L393),1)*IF(Upgrades!$T$21="Roche Lobe Overflow",POWER(Upgrades!$U$21,M393),1))*POWER(Upgrades!$R$13,E393)*POWER(Upgrades!$R$14,F393)*POWER(Upgrades!$R$15,G393)*POWER(Upgrades!$R$16,H393)*POWER(Upgrades!$R$17,I393)*POWER(Upgrades!$R$18,J393)*POWER(Upgrades!$R$19,K393)*POWER(Upgrades!$R$20,L393)*POWER(Upgrades!$R$21,M393)*$H$6*O393*60</f>
        <v/>
      </c>
      <c r="AE393" s="27">
        <f>(IF(I393=0,0,(Upgrades!$G$17+I393*Upgrades!$H$17)*POWER(Upgrades!$I$17,I393)))*(IF(Upgrades!$T$13="Brown Dwarf",POWER(Upgrades!$U$13,E393),1)*IF(Upgrades!$T$14="Brown Dwarf",POWER(Upgrades!$U$14,F393),1)*IF(Upgrades!$T$15="Brown Dwarf",POWER(Upgrades!$U$15,G393),1)*IF(Upgrades!$T$16="Brown Dwarf",POWER(Upgrades!$U$16,H393),1)*IF(Upgrades!$T$18="Brown Dwarf",POWER(Upgrades!$U$18,J393),1)*IF(Upgrades!$T$19="Brown Dwarf",POWER(Upgrades!$U$19,K393),1)*IF(Upgrades!$T$20="Brown Dwarf",POWER(Upgrades!$U$20,L393),1)*IF(Upgrades!$T$21="Brown Dwarf",POWER(Upgrades!$U$21,M393),1))*POWER(Upgrades!$P$13,E393)*POWER(Upgrades!$P$14,F393)*POWER(Upgrades!$P$15,G393)*POWER(Upgrades!$P$16,H393)*POWER(Upgrades!$P$17,I393)*POWER(Upgrades!$P$18,J393)*POWER(Upgrades!$P$19,K393)*POWER(Upgrades!$P$20,L393)*POWER(Upgrades!$P$21,M393)*$F$6*60</f>
        <v/>
      </c>
      <c r="AF393" s="27" t="n">
        <v>0</v>
      </c>
      <c r="AG393" s="27" t="n">
        <v>0</v>
      </c>
      <c r="AH393" s="27" t="n">
        <v>0</v>
      </c>
      <c r="AI393" s="27">
        <f>(IF(M393=0,0,(Upgrades!$G$21+M393*Upgrades!$H$21)*POWER(Upgrades!$I$21,M393)))*(IF(Upgrades!$T$13="Moving Group",POWER(Upgrades!$U$13,E393),1)*IF(Upgrades!$T$14="Moving Group",POWER(Upgrades!$U$14,F393),1)*IF(Upgrades!$T$15="Moving Group",POWER(Upgrades!$U$15,G393),1)*IF(Upgrades!$T$16="Moving Group",POWER(Upgrades!$U$16,H393),1)*IF(Upgrades!$T$17="Moving Group",POWER(Upgrades!$U$17,I393),1)*IF(Upgrades!$T$18="Moving Group",POWER(Upgrades!$U$18,J393),1)*IF(Upgrades!$T$19="Moving Group",POWER(Upgrades!$U$19,K393),1)*IF(Upgrades!$T$20="Moving Group",POWER(Upgrades!$U$20,L393),1))*POWER(Upgrades!$P$13,E393)*POWER(Upgrades!$P$14,F393)*POWER(Upgrades!$P$15,G393)*POWER(Upgrades!$P$16,H393)*POWER(Upgrades!$P$17,I393)*POWER(Upgrades!$P$18,J393)*POWER(Upgrades!$P$19,K393)*POWER(Upgrades!$P$20,L393)*POWER(Upgrades!$P$21,M393)*$F$6*60</f>
        <v/>
      </c>
      <c r="AJ393" s="27">
        <f>$C$6*60</f>
        <v/>
      </c>
      <c r="AK393" s="22">
        <f>IF(E393&gt;=Upgrades!$E$13,"",Upgrades!$C$13*POWER(Upgrades!$D$13,E393))</f>
        <v/>
      </c>
      <c r="AL393" s="22">
        <f>IF(F393&gt;=Upgrades!$E$14,"",Upgrades!$C$14*POWER(Upgrades!$D$14,F393))</f>
        <v/>
      </c>
      <c r="AM393" s="22">
        <f>IF(G393&gt;=Upgrades!$E$15,"",Upgrades!$C$15*POWER(Upgrades!$D$15,G393))</f>
        <v/>
      </c>
      <c r="AN393" s="22">
        <f>IF(H393&gt;=Upgrades!$E$16,"",Upgrades!$C$16*POWER(Upgrades!$D$16,H393))</f>
        <v/>
      </c>
      <c r="AO393" s="22">
        <f>IF(I393&gt;=Upgrades!$E$17,"",Upgrades!$C$17*POWER(Upgrades!$D$17,I393))</f>
        <v/>
      </c>
      <c r="AP393" s="22">
        <f>IF(J393&gt;=Upgrades!$E$18,"",Upgrades!$C$18*POWER(Upgrades!$D$18,J393))</f>
        <v/>
      </c>
      <c r="AQ393" s="22">
        <f>IF(K393&gt;=Upgrades!$E$19,"",Upgrades!$C$19*POWER(Upgrades!$D$19,K393))</f>
        <v/>
      </c>
      <c r="AR393" s="22">
        <f>IF(L393&gt;=Upgrades!$E$20,"",Upgrades!$C$20*POWER(Upgrades!$D$20,L393))</f>
        <v/>
      </c>
      <c r="AS393" s="22">
        <f>IF(M393&gt;=Upgrades!$E$21,"",Upgrades!$C$21*POWER(Upgrades!$D$21,M393))</f>
        <v/>
      </c>
      <c r="AT393" s="26">
        <f>IF(AND(D393&gt;=Parameters!$B$18*Parameters!$B$19,(I393&gt;=Upgrades!$E$17)*(M393&gt;=Upgrades!$E$21)=1,N393=0),1,"")</f>
        <v/>
      </c>
      <c r="AU393" s="26">
        <f>IF(AND(D393&gt;=Parameters!$B$18*Parameters!$B$19,N393=0),1,"")</f>
        <v/>
      </c>
      <c r="AV393" s="22">
        <f>MIN(IF(ISNUMBER(AP393),AP393,9E15),IF(ISNUMBER(AQ393),AQ393,9E15),IF(ISNUMBER(AR393),AR393,9E15),IF(ISNUMBER(AS393),AS393,9E15))</f>
        <v/>
      </c>
      <c r="AW393" s="22">
        <f>MIN(IF(ISNUMBER(AK393),AK393,9E15),IF(ISNUMBER(AL393),AL393,9E15),IF(ISNUMBER(AM393),AM393,9E15),IF(ISNUMBER(AN393),AN393,9E15),IF(ISNUMBER(AO393),AO393,9E15))</f>
        <v/>
      </c>
      <c r="AX393" s="29">
        <f>IF(BD393&gt;Parameters!$B$21*(MAX(IF(AND(NOT(AND(AU393=1,AT393&lt;&gt;1)),ISNUMBER(AK393),AK393&lt;=(C393+T393)),AY393,0),IF(AND(NOT(AND(AU393=1,AT393&lt;&gt;1)),ISNUMBER(AL393),AL393&lt;=(C393+T393)),AZ393,0),IF(AND(NOT(AND(AU393=1,AT393&lt;&gt;1)),ISNUMBER(AM393),AM393&lt;=(C393+T393)),BA393,0),IF(AND(NOT(AND(AU393=1,AT393&lt;&gt;1)),ISNUMBER(AN393),AN393&lt;=(C393+T393)),BB393,0),IF(AND(ISNUMBER(AO393),AO393&lt;=(C393+T393)),BC393,0))),TRUE,FALSE)</f>
        <v/>
      </c>
      <c r="AY393" s="32">
        <f>IFERROR(Upgrades!$H$13*(POWER(Upgrades!$P$13,E393)*POWER(Upgrades!$P$14,F393)*POWER(Upgrades!$P$15,G393)*POWER(Upgrades!$P$16,H393)*POWER(Upgrades!$P$17,I393)*POWER(Upgrades!$P$18,J393)*POWER(Upgrades!$P$19,K393)*POWER(Upgrades!$P$20,L393)*POWER(Upgrades!$P$21,M393))*(IF(Upgrades!$T$14="Stellar Kinematics",POWER(Upgrades!$U$14,F393),1)*IF(Upgrades!$T$15="Stellar Kinematics",POWER(Upgrades!$U$15,G393),1)*IF(Upgrades!$T$16="Stellar Kinematics",POWER(Upgrades!$U$16,H393),1)*IF(Upgrades!$T$17="Stellar Kinematics",POWER(Upgrades!$U$17,I393),1)*IF(Upgrades!$T$18="Stellar Kinematics",POWER(Upgrades!$U$18,J393),1)*IF(Upgrades!$T$19="Stellar Kinematics",POWER(Upgrades!$U$19,K393),1)*IF(Upgrades!$T$20="Stellar Kinematics",POWER(Upgrades!$U$20,L393),1)*IF(Upgrades!$T$21="Stellar Kinematics",POWER(Upgrades!$U$21,M393),1))*$F$6/AK393,0)</f>
        <v/>
      </c>
      <c r="AZ393" s="32">
        <f>IFERROR(Upgrades!$H$14*(POWER(Upgrades!$P$13,E393)*POWER(Upgrades!$P$14,F393)*POWER(Upgrades!$P$15,G393)*POWER(Upgrades!$P$16,H393)*POWER(Upgrades!$P$17,I393)*POWER(Upgrades!$P$18,J393)*POWER(Upgrades!$P$19,K393)*POWER(Upgrades!$P$20,L393)*POWER(Upgrades!$P$21,M393))*(IF(Upgrades!$T$13="Local Bubble",POWER(Upgrades!$U$13,E393),1)*IF(Upgrades!$T$15="Local Bubble",POWER(Upgrades!$U$15,G393),1)*IF(Upgrades!$T$16="Local Bubble",POWER(Upgrades!$U$16,H393),1)*IF(Upgrades!$T$17="Local Bubble",POWER(Upgrades!$U$17,I393),1)*IF(Upgrades!$T$18="Local Bubble",POWER(Upgrades!$U$18,J393),1)*IF(Upgrades!$T$19="Local Bubble",POWER(Upgrades!$U$19,K393),1)*IF(Upgrades!$T$20="Local Bubble",POWER(Upgrades!$U$20,L393),1)*IF(Upgrades!$T$21="Local Bubble",POWER(Upgrades!$U$21,M393),1))*$F$6/AL393,0)</f>
        <v/>
      </c>
      <c r="BA393" s="32">
        <f>IFERROR(Upgrades!$K$15*(POWER(Upgrades!$Q$13,E393)*POWER(Upgrades!$Q$14,F393)*POWER(Upgrades!$Q$15,G393)*POWER(Upgrades!$Q$16,H393)*POWER(Upgrades!$Q$17,I393)*POWER(Upgrades!$Q$18,J393)*POWER(Upgrades!$Q$19,K393)*POWER(Upgrades!$Q$20,L393)*POWER(Upgrades!$Q$21,M393))*(IF(Upgrades!$T$13="Microlensing",POWER(Upgrades!$U$13,E393),1)*IF(Upgrades!$T$14="Microlensing",POWER(Upgrades!$U$14,F393),1)*IF(Upgrades!$T$16="Microlensing",POWER(Upgrades!$U$16,H393),1)*IF(Upgrades!$T$17="Microlensing",POWER(Upgrades!$U$17,I393),1)*IF(Upgrades!$T$18="Microlensing",POWER(Upgrades!$U$18,J393),1)*IF(Upgrades!$T$19="Microlensing",POWER(Upgrades!$U$19,K393),1)*IF(Upgrades!$T$20="Microlensing",POWER(Upgrades!$U$20,L393),1)*IF(Upgrades!$T$21="Microlensing",POWER(Upgrades!$U$21,M393),1))*$G$6*(Parameters!$B$10/60*Parameters!$B$11+Q393)/AM393,0)</f>
        <v/>
      </c>
      <c r="BB393" s="32">
        <f>IFERROR((Upgrades!$N$16*(POWER(Upgrades!$R$13,E393)*POWER(Upgrades!$R$14,F393)*POWER(Upgrades!$R$15,G393)*POWER(Upgrades!$R$16,H393)*POWER(Upgrades!$R$17,I393)*POWER(Upgrades!$R$18,J393)*POWER(Upgrades!$R$19,K393)*POWER(Upgrades!$R$20,L393)*POWER(Upgrades!$R$21,M393))*(IF(Upgrades!$T$13="Roche Lobe Overflow",POWER(Upgrades!$U$13,E393),1)*IF(Upgrades!$T$14="Roche Lobe Overflow",POWER(Upgrades!$U$14,F393),1)*IF(Upgrades!$T$15="Roche Lobe Overflow",POWER(Upgrades!$U$15,G393),1)*IF(Upgrades!$T$17="Roche Lobe Overflow",POWER(Upgrades!$U$17,I393),1)*IF(Upgrades!$T$18="Roche Lobe Overflow",POWER(Upgrades!$U$18,J393),1)*IF(Upgrades!$T$19="Roche Lobe Overflow",POWER(Upgrades!$U$19,K393),1)*IF(Upgrades!$T$20="Roche Lobe Overflow",POWER(Upgrades!$U$20,L393),1)*IF(Upgrades!$T$21="Roche Lobe Overflow",POWER(Upgrades!$U$21,M393),1))*$H$6*O393+((IF(F393=0,0,(Upgrades!$G$14+F393*Upgrades!$H$14)*POWER(Upgrades!$I$14,F393)))*(IF(Upgrades!$T$13="Local Bubble",POWER(Upgrades!$U$13,E393),1)*IF(Upgrades!$T$15="Local Bubble",POWER(Upgrades!$U$15,G393),1)*IF(Upgrades!$T$16="Local Bubble",POWER(Upgrades!$U$16,H393),1)*IF(Upgrades!$T$17="Local Bubble",POWER(Upgrades!$U$17,I393),1)*IF(Upgrades!$T$18="Local Bubble",POWER(Upgrades!$U$18,J393),1)*IF(Upgrades!$T$19="Local Bubble",POWER(Upgrades!$U$19,K393),1)*IF(Upgrades!$T$20="Local Bubble",POWER(Upgrades!$U$20,L393),1)*IF(Upgrades!$T$21="Local Bubble",POWER(Upgrades!$U$21,M393),1))*POWER(Upgrades!$P$13,E393)*POWER(Upgrades!$P$14,F393)*POWER(Upgrades!$P$15,G393)*POWER(Upgrades!$P$16,H393)*POWER(Upgrades!$P$17,I393)*POWER(Upgrades!$P$18,J393)*POWER(Upgrades!$P$19,K393)*POWER(Upgrades!$P$20,L393)*POWER(Upgrades!$P$21,M393)*$F$6)*0.05)/AN393,0)</f>
        <v/>
      </c>
      <c r="BC393" s="32">
        <f>IFERROR((Upgrades!$H$17*(POWER(Upgrades!$P$13,E393)*POWER(Upgrades!$P$14,F393)*POWER(Upgrades!$P$15,G393)*POWER(Upgrades!$P$16,H393)*POWER(Upgrades!$P$17,I393)*POWER(Upgrades!$P$18,J393)*POWER(Upgrades!$P$19,K393)*POWER(Upgrades!$P$20,L393)*POWER(Upgrades!$P$21,M393))*(IF(Upgrades!$T$13="Brown Dwarf",POWER(Upgrades!$U$13,E393),1)*IF(Upgrades!$T$14="Brown Dwarf",POWER(Upgrades!$U$14,F393),1)*IF(Upgrades!$T$15="Brown Dwarf",POWER(Upgrades!$U$15,G393),1)*IF(Upgrades!$T$16="Brown Dwarf",POWER(Upgrades!$U$16,H393),1)*IF(Upgrades!$T$18="Brown Dwarf",POWER(Upgrades!$U$18,J393),1)*IF(Upgrades!$T$19="Brown Dwarf",POWER(Upgrades!$U$19,K393),1)*IF(Upgrades!$T$20="Brown Dwarf",POWER(Upgrades!$U$20,L393),1)*IF(Upgrades!$T$21="Brown Dwarf",POWER(Upgrades!$U$21,M393),1))*$F$6+(((IF(H393=0,0,(Upgrades!$M$16+H393*Upgrades!$N$16)*POWER(Upgrades!$O$16,H393)))*(IF(Upgrades!$T$13="Roche Lobe Overflow",POWER(Upgrades!$U$13,E393),1)*IF(Upgrades!$T$14="Roche Lobe Overflow",POWER(Upgrades!$U$14,F393),1)*IF(Upgrades!$T$15="Roche Lobe Overflow",POWER(Upgrades!$U$15,G393),1)*IF(Upgrades!$T$17="Roche Lobe Overflow",POWER(Upgrades!$U$17,I393),1)*IF(Upgrades!$T$18="Roche Lobe Overflow",POWER(Upgrades!$U$18,J393),1)*IF(Upgrades!$T$19="Roche Lobe Overflow",POWER(Upgrades!$U$19,K393),1)*IF(Upgrades!$T$20="Roche Lobe Overflow",POWER(Upgrades!$U$20,L393),1)*IF(Upgrades!$T$21="Roche Lobe Overflow",POWER(Upgrades!$U$21,M393),1))*POWER(Upgrades!$R$13,E393)*POWER(Upgrades!$R$14,F393)*POWER(Upgrades!$R$15,G393)*POWER(Upgrades!$R$16,H393)*POWER(Upgrades!$R$17,I393)*POWER(Upgrades!$R$18,J393)*POWER(Upgrades!$R$19,K393)*POWER(Upgrades!$R$20,L393)*POWER(Upgrades!$R$21,M393)*$H$6)*O393)*0.10)/AO393,0)</f>
        <v/>
      </c>
      <c r="BD393" s="32">
        <f>MAX(IF(J393&gt;0,0,IFERROR(0.5*((IF(G393=0,0,(Upgrades!$J$15+G393*Upgrades!$K$15)*POWER(Upgrades!$L$15,G393)))*(IF(Upgrades!$T$13="Microlensing",POWER(Upgrades!$U$13,E393),1)*IF(Upgrades!$T$14="Microlensing",POWER(Upgrades!$U$14,F393),1)*IF(Upgrades!$T$16="Microlensing",POWER(Upgrades!$U$16,H393),1)*IF(Upgrades!$T$17="Microlensing",POWER(Upgrades!$U$17,I393),1)*IF(Upgrades!$T$18="Microlensing",POWER(Upgrades!$U$18,J393),1)*IF(Upgrades!$T$19="Microlensing",POWER(Upgrades!$U$19,K393),1)*IF(Upgrades!$T$20="Microlensing",POWER(Upgrades!$U$20,L393),1)*IF(Upgrades!$T$21="Microlensing",POWER(Upgrades!$U$21,M393),1))*(POWER(Upgrades!$Q$13,E393)*POWER(Upgrades!$Q$14,F393)*POWER(Upgrades!$Q$15,G393)*POWER(Upgrades!$Q$16,H393)*POWER(Upgrades!$Q$17,I393)*POWER(Upgrades!$Q$18,J393)*POWER(Upgrades!$Q$19,K393)*POWER(Upgrades!$Q$20,L393)*POWER(Upgrades!$Q$21,M393))*$G$6*(Parameters!$B$10/60*Parameters!$B$11+Q393))/Upgrades!$C$18,0)),IF(K393&gt;0,0,IFERROR(0.30*P393/Upgrades!$C$19,0)),IF(L393&gt;0,0,IFERROR(0.0001/Upgrades!$C$20,0)),IF(M393&gt;0,0,IFERROR((6.0*(POWER(Upgrades!$P$13,E393)*POWER(Upgrades!$P$14,F393)*POWER(Upgrades!$P$15,G393)*POWER(Upgrades!$P$16,H393)*POWER(Upgrades!$P$17,I393)*POWER(Upgrades!$P$18,J393)*POWER(Upgrades!$P$19,K393)*POWER(Upgrades!$P$20,L393)*POWER(Upgrades!$P$21,M393))*$F$6+0.20*O393*(Parameters!$B$10/60*Parameters!$B$11+Q393))/Upgrades!$C$21,0)),IF(AND(ISNUMBER(AK393),AK393&gt;(C393+T393)),AY393,0),IF(AND(ISNUMBER(AL393),AL393&gt;(C393+T393)),AZ393,0),IF(AND(ISNUMBER(AM393),AM393&gt;(C393+T393)),BA393,0),IF(AND(ISNUMBER(AN393),AN393&gt;(C393+T393)),BB393,0),IF(AND(ISNUMBER(AO393),AO393&gt;(C393+T393)),BC393,0))</f>
        <v/>
      </c>
      <c r="BE393" s="29">
        <f>IF(AT393=1,"transition",IF(MIN(IF(AND(J393=0,ISNUMBER(AP393),AP393&lt;=(C393+T393)),AP393,9E15),IF(AND(K393=0,ISNUMBER(AQ393),AQ393&lt;=(C393+T393)),AQ393,9E15),IF(AND(L393=0,ISNUMBER(AR393),AR393&lt;=(C393+T393)),AR393,9E15),IF(AND(M393=0,ISNUMBER(AS393),AS393&lt;=(C393+T393)),AS393,9E15))&lt;9E15,IF(AND(AND(J393=0,ISNUMBER(AP393),AP393&lt;=(C393+T393)),AP393=MIN(IF(AND(J393=0,ISNUMBER(AP393),AP393&lt;=(C393+T393)),AP393,9E15),IF(AND(K393=0,ISNUMBER(AQ393),AQ393&lt;=(C393+T393)),AQ393,9E15),IF(AND(L393=0,ISNUMBER(AR393),AR393&lt;=(C393+T393)),AR393,9E15),IF(AND(M393=0,ISNUMBER(AS393),AS393&lt;=(C393+T393)),AS393,9E15))),"BiP",IF(AND(AND(K393=0,ISNUMBER(AQ393),AQ393&lt;=(C393+T393)),AQ393=MIN(IF(AND(J393=0,ISNUMBER(AP393),AP393&lt;=(C393+T393)),AP393,9E15),IF(AND(K393=0,ISNUMBER(AQ393),AQ393&lt;=(C393+T393)),AQ393,9E15),IF(AND(L393=0,ISNUMBER(AR393),AR393&lt;=(C393+T393)),AR393,9E15),IF(AND(M393=0,ISNUMBER(AS393),AS393&lt;=(C393+T393)),AS393,9E15))),"PV",IF(AND(AND(L393=0,ISNUMBER(AR393),AR393&lt;=(C393+T393)),AR393=MIN(IF(AND(J393=0,ISNUMBER(AP393),AP393&lt;=(C393+T393)),AP393,9E15),IF(AND(K393=0,ISNUMBER(AQ393),AQ393&lt;=(C393+T393)),AQ393,9E15),IF(AND(L393=0,ISNUMBER(AR393),AR393&lt;=(C393+T393)),AR393,9E15),IF(AND(M393=0,ISNUMBER(AS393),AS393&lt;=(C393+T393)),AS393,9E15))),"OC","MG"))),IF(AX393=TRUE,"",IF(MAX(IF(AND(NOT(AND(AU393=1,AT393&lt;&gt;1)),ISNUMBER(AK393),AK393&lt;=(C393+T393)),AY393,0),IF(AND(NOT(AND(AU393=1,AT393&lt;&gt;1)),ISNUMBER(AL393),AL393&lt;=(C393+T393)),AZ393,0),IF(AND(NOT(AND(AU393=1,AT393&lt;&gt;1)),ISNUMBER(AM393),AM393&lt;=(C393+T393)),BA393,0),IF(AND(NOT(AND(AU393=1,AT393&lt;&gt;1)),ISNUMBER(AN393),AN393&lt;=(C393+T393)),BB393,0),IF(AND(ISNUMBER(AO393),AO393&lt;=(C393+T393)),BC393,0))&lt;=0,"",IF(AND(IF(AND(NOT(AND(AU393=1,AT393&lt;&gt;1)),ISNUMBER(AK393),AK393&lt;=(C393+T393)),AY393,0)&gt;0,IF(AND(NOT(AND(AU393=1,AT393&lt;&gt;1)),ISNUMBER(AK393),AK393&lt;=(C393+T393)),AY393,0)=MAX(IF(AND(NOT(AND(AU393=1,AT393&lt;&gt;1)),ISNUMBER(AK393),AK393&lt;=(C393+T393)),AY393,0),IF(AND(NOT(AND(AU393=1,AT393&lt;&gt;1)),ISNUMBER(AL393),AL393&lt;=(C393+T393)),AZ393,0),IF(AND(NOT(AND(AU393=1,AT393&lt;&gt;1)),ISNUMBER(AM393),AM393&lt;=(C393+T393)),BA393,0),IF(AND(NOT(AND(AU393=1,AT393&lt;&gt;1)),ISNUMBER(AN393),AN393&lt;=(C393+T393)),BB393,0),IF(AND(ISNUMBER(AO393),AO393&lt;=(C393+T393)),BC393,0))),"SK",IF(AND(IF(AND(NOT(AND(AU393=1,AT393&lt;&gt;1)),ISNUMBER(AL393),AL393&lt;=(C393+T393)),AZ393,0)&gt;0,IF(AND(NOT(AND(AU393=1,AT393&lt;&gt;1)),ISNUMBER(AL393),AL393&lt;=(C393+T393)),AZ393,0)=MAX(IF(AND(NOT(AND(AU393=1,AT393&lt;&gt;1)),ISNUMBER(AK393),AK393&lt;=(C393+T393)),AY393,0),IF(AND(NOT(AND(AU393=1,AT393&lt;&gt;1)),ISNUMBER(AL393),AL393&lt;=(C393+T393)),AZ393,0),IF(AND(NOT(AND(AU393=1,AT393&lt;&gt;1)),ISNUMBER(AM393),AM393&lt;=(C393+T393)),BA393,0),IF(AND(NOT(AND(AU393=1,AT393&lt;&gt;1)),ISNUMBER(AN393),AN393&lt;=(C393+T393)),BB393,0),IF(AND(ISNUMBER(AO393),AO393&lt;=(C393+T393)),BC393,0))),"LB",IF(AND(IF(AND(NOT(AND(AU393=1,AT393&lt;&gt;1)),ISNUMBER(AM393),AM393&lt;=(C393+T393)),BA393,0)&gt;0,IF(AND(NOT(AND(AU393=1,AT393&lt;&gt;1)),ISNUMBER(AM393),AM393&lt;=(C393+T393)),BA393,0)=MAX(IF(AND(NOT(AND(AU393=1,AT393&lt;&gt;1)),ISNUMBER(AK393),AK393&lt;=(C393+T393)),AY393,0),IF(AND(NOT(AND(AU393=1,AT393&lt;&gt;1)),ISNUMBER(AL393),AL393&lt;=(C393+T393)),AZ393,0),IF(AND(NOT(AND(AU393=1,AT393&lt;&gt;1)),ISNUMBER(AM393),AM393&lt;=(C393+T393)),BA393,0),IF(AND(NOT(AND(AU393=1,AT393&lt;&gt;1)),ISNUMBER(AN393),AN393&lt;=(C393+T393)),BB393,0),IF(AND(ISNUMBER(AO393),AO393&lt;=(C393+T393)),BC393,0))),"ML",IF(AND(IF(AND(NOT(AND(AU393=1,AT393&lt;&gt;1)),ISNUMBER(AN393),AN393&lt;=(C393+T393)),BB393,0)&gt;0,IF(AND(NOT(AND(AU393=1,AT393&lt;&gt;1)),ISNUMBER(AN393),AN393&lt;=(C393+T393)),BB393,0)=MAX(IF(AND(NOT(AND(AU393=1,AT393&lt;&gt;1)),ISNUMBER(AK393),AK393&lt;=(C393+T393)),AY393,0),IF(AND(NOT(AND(AU393=1,AT393&lt;&gt;1)),ISNUMBER(AL393),AL393&lt;=(C393+T393)),AZ393,0),IF(AND(NOT(AND(AU393=1,AT393&lt;&gt;1)),ISNUMBER(AM393),AM393&lt;=(C393+T393)),BA393,0),IF(AND(NOT(AND(AU393=1,AT393&lt;&gt;1)),ISNUMBER(AN393),AN393&lt;=(C393+T393)),BB393,0),IF(AND(ISNUMBER(AO393),AO393&lt;=(C393+T393)),BC393,0))),"RLO","BD"))))))))</f>
        <v/>
      </c>
    </row>
    <row r="394">
      <c r="A394" s="26" t="n">
        <v>383</v>
      </c>
      <c r="B394" s="27">
        <f>A394*10/60</f>
        <v/>
      </c>
      <c r="C394" s="22">
        <f>X393</f>
        <v/>
      </c>
      <c r="D394" s="27">
        <f>D393+W393</f>
        <v/>
      </c>
      <c r="E394" s="26">
        <f>E393+IF(U393="SK",1,0)</f>
        <v/>
      </c>
      <c r="F394" s="26">
        <f>F393+IF(U393="LB",1,0)</f>
        <v/>
      </c>
      <c r="G394" s="26">
        <f>G393+IF(U393="ML",1,0)</f>
        <v/>
      </c>
      <c r="H394" s="26">
        <f>H393+IF(U393="RLO",1,0)</f>
        <v/>
      </c>
      <c r="I394" s="26">
        <f>I393+IF(U393="BD",1,0)</f>
        <v/>
      </c>
      <c r="J394" s="26">
        <f>MAX(J393,IF(U393="BiP",1,0))</f>
        <v/>
      </c>
      <c r="K394" s="26">
        <f>MAX(K393,IF(U393="PV",1,0))</f>
        <v/>
      </c>
      <c r="L394" s="26">
        <f>MAX(L393,IF(U393="OC",1,0))</f>
        <v/>
      </c>
      <c r="M394" s="26">
        <f>MAX(M393,IF(U393="MG",1,0))</f>
        <v/>
      </c>
      <c r="N394" s="26">
        <f>MAX(N393,IF(U393="transition",1,0))</f>
        <v/>
      </c>
      <c r="O394" s="28">
        <f>(Parameters!$B$9+(IF(E394=0,0,(Upgrades!$J$13+E394*Upgrades!$K$13)*POWER(Upgrades!$L$13,E394)))*(IF(Upgrades!$T$14="Stellar Kinematics",POWER(Upgrades!$U$14,F394),1)*IF(Upgrades!$T$15="Stellar Kinematics",POWER(Upgrades!$U$15,G394),1)*IF(Upgrades!$T$16="Stellar Kinematics",POWER(Upgrades!$U$16,H394),1)*IF(Upgrades!$T$17="Stellar Kinematics",POWER(Upgrades!$U$17,I394),1)*IF(Upgrades!$T$18="Stellar Kinematics",POWER(Upgrades!$U$18,J394),1)*IF(Upgrades!$T$19="Stellar Kinematics",POWER(Upgrades!$U$19,K394),1)*IF(Upgrades!$T$20="Stellar Kinematics",POWER(Upgrades!$U$20,L394),1)*IF(Upgrades!$T$21="Stellar Kinematics",POWER(Upgrades!$U$21,M394),1))+(IF(F394=0,0,(Upgrades!$J$14+F394*Upgrades!$K$14)*POWER(Upgrades!$L$14,F394)))*(IF(Upgrades!$T$13="Local Bubble",POWER(Upgrades!$U$13,E394),1)*IF(Upgrades!$T$15="Local Bubble",POWER(Upgrades!$U$15,G394),1)*IF(Upgrades!$T$16="Local Bubble",POWER(Upgrades!$U$16,H394),1)*IF(Upgrades!$T$17="Local Bubble",POWER(Upgrades!$U$17,I394),1)*IF(Upgrades!$T$18="Local Bubble",POWER(Upgrades!$U$18,J394),1)*IF(Upgrades!$T$19="Local Bubble",POWER(Upgrades!$U$19,K394),1)*IF(Upgrades!$T$20="Local Bubble",POWER(Upgrades!$U$20,L394),1)*IF(Upgrades!$T$21="Local Bubble",POWER(Upgrades!$U$21,M394),1))+(IF(G394=0,0,(Upgrades!$J$15+G394*Upgrades!$K$15)*POWER(Upgrades!$L$15,G394)))*(IF(Upgrades!$T$13="Microlensing",POWER(Upgrades!$U$13,E394),1)*IF(Upgrades!$T$14="Microlensing",POWER(Upgrades!$U$14,F394),1)*IF(Upgrades!$T$16="Microlensing",POWER(Upgrades!$U$16,H394),1)*IF(Upgrades!$T$17="Microlensing",POWER(Upgrades!$U$17,I394),1)*IF(Upgrades!$T$18="Microlensing",POWER(Upgrades!$U$18,J394),1)*IF(Upgrades!$T$19="Microlensing",POWER(Upgrades!$U$19,K394),1)*IF(Upgrades!$T$20="Microlensing",POWER(Upgrades!$U$20,L394),1)*IF(Upgrades!$T$21="Microlensing",POWER(Upgrades!$U$21,M394),1))+(IF(H394=0,0,(Upgrades!$J$16+H394*Upgrades!$K$16)*POWER(Upgrades!$L$16,H394)))*(IF(Upgrades!$T$13="Roche Lobe Overflow",POWER(Upgrades!$U$13,E394),1)*IF(Upgrades!$T$14="Roche Lobe Overflow",POWER(Upgrades!$U$14,F394),1)*IF(Upgrades!$T$15="Roche Lobe Overflow",POWER(Upgrades!$U$15,G394),1)*IF(Upgrades!$T$17="Roche Lobe Overflow",POWER(Upgrades!$U$17,I394),1)*IF(Upgrades!$T$18="Roche Lobe Overflow",POWER(Upgrades!$U$18,J394),1)*IF(Upgrades!$T$19="Roche Lobe Overflow",POWER(Upgrades!$U$19,K394),1)*IF(Upgrades!$T$20="Roche Lobe Overflow",POWER(Upgrades!$U$20,L394),1)*IF(Upgrades!$T$21="Roche Lobe Overflow",POWER(Upgrades!$U$21,M394),1))+(IF(I394=0,0,(Upgrades!$J$17+I394*Upgrades!$K$17)*POWER(Upgrades!$L$17,I394)))*(IF(Upgrades!$T$13="Brown Dwarf",POWER(Upgrades!$U$13,E394),1)*IF(Upgrades!$T$14="Brown Dwarf",POWER(Upgrades!$U$14,F394),1)*IF(Upgrades!$T$15="Brown Dwarf",POWER(Upgrades!$U$15,G394),1)*IF(Upgrades!$T$16="Brown Dwarf",POWER(Upgrades!$U$16,H394),1)*IF(Upgrades!$T$18="Brown Dwarf",POWER(Upgrades!$U$18,J394),1)*IF(Upgrades!$T$19="Brown Dwarf",POWER(Upgrades!$U$19,K394),1)*IF(Upgrades!$T$20="Brown Dwarf",POWER(Upgrades!$U$20,L394),1)*IF(Upgrades!$T$21="Brown Dwarf",POWER(Upgrades!$U$21,M394),1))+(IF(J394=0,0,(Upgrades!$J$18+J394*Upgrades!$K$18)*POWER(Upgrades!$L$18,J394)))*(IF(Upgrades!$T$13="Binary Partner",POWER(Upgrades!$U$13,E394),1)*IF(Upgrades!$T$14="Binary Partner",POWER(Upgrades!$U$14,F394),1)*IF(Upgrades!$T$15="Binary Partner",POWER(Upgrades!$U$15,G394),1)*IF(Upgrades!$T$16="Binary Partner",POWER(Upgrades!$U$16,H394),1)*IF(Upgrades!$T$17="Binary Partner",POWER(Upgrades!$U$17,I394),1)*IF(Upgrades!$T$19="Binary Partner",POWER(Upgrades!$U$19,K394),1)*IF(Upgrades!$T$20="Binary Partner",POWER(Upgrades!$U$20,L394),1)*IF(Upgrades!$T$21="Binary Partner",POWER(Upgrades!$U$21,M394),1))+(IF(K394=0,0,(Upgrades!$J$19+K394*Upgrades!$K$19)*POWER(Upgrades!$L$19,K394)))*(IF(Upgrades!$T$13="Peculiar Velocity",POWER(Upgrades!$U$13,E394),1)*IF(Upgrades!$T$14="Peculiar Velocity",POWER(Upgrades!$U$14,F394),1)*IF(Upgrades!$T$15="Peculiar Velocity",POWER(Upgrades!$U$15,G394),1)*IF(Upgrades!$T$16="Peculiar Velocity",POWER(Upgrades!$U$16,H394),1)*IF(Upgrades!$T$17="Peculiar Velocity",POWER(Upgrades!$U$17,I394),1)*IF(Upgrades!$T$18="Peculiar Velocity",POWER(Upgrades!$U$18,J394),1)*IF(Upgrades!$T$20="Peculiar Velocity",POWER(Upgrades!$U$20,L394),1)*IF(Upgrades!$T$21="Peculiar Velocity",POWER(Upgrades!$U$21,M394),1))+(IF(L394=0,0,(Upgrades!$J$20+L394*Upgrades!$K$20)*POWER(Upgrades!$L$20,L394)))*(IF(Upgrades!$T$13="Open Cluster",POWER(Upgrades!$U$13,E394),1)*IF(Upgrades!$T$14="Open Cluster",POWER(Upgrades!$U$14,F394),1)*IF(Upgrades!$T$15="Open Cluster",POWER(Upgrades!$U$15,G394),1)*IF(Upgrades!$T$16="Open Cluster",POWER(Upgrades!$U$16,H394),1)*IF(Upgrades!$T$17="Open Cluster",POWER(Upgrades!$U$17,I394),1)*IF(Upgrades!$T$18="Open Cluster",POWER(Upgrades!$U$18,J394),1)*IF(Upgrades!$T$19="Open Cluster",POWER(Upgrades!$U$19,K394),1)*IF(Upgrades!$T$21="Open Cluster",POWER(Upgrades!$U$21,M394),1))+(IF(M394=0,0,(Upgrades!$J$21+M394*Upgrades!$K$21)*POWER(Upgrades!$L$21,M394)))*(IF(Upgrades!$T$13="Moving Group",POWER(Upgrades!$U$13,E394),1)*IF(Upgrades!$T$14="Moving Group",POWER(Upgrades!$U$14,F394),1)*IF(Upgrades!$T$15="Moving Group",POWER(Upgrades!$U$15,G394),1)*IF(Upgrades!$T$16="Moving Group",POWER(Upgrades!$U$16,H394),1)*IF(Upgrades!$T$17="Moving Group",POWER(Upgrades!$U$17,I394),1)*IF(Upgrades!$T$18="Moving Group",POWER(Upgrades!$U$18,J394),1)*IF(Upgrades!$T$19="Moving Group",POWER(Upgrades!$U$19,K394),1)*IF(Upgrades!$T$20="Moving Group",POWER(Upgrades!$U$20,L394),1)))*POWER(Upgrades!$Q$13,E394)*POWER(Upgrades!$Q$14,F394)*POWER(Upgrades!$Q$15,G394)*POWER(Upgrades!$Q$16,H394)*POWER(Upgrades!$Q$17,I394)*POWER(Upgrades!$Q$18,J394)*POWER(Upgrades!$Q$19,K394)*POWER(Upgrades!$Q$20,L394)*POWER(Upgrades!$Q$21,M394)*$G$6+$D$6</f>
        <v/>
      </c>
      <c r="P394" s="28">
        <f>((IF(E394=0,0,(Upgrades!$G$13+E394*Upgrades!$H$13)*POWER(Upgrades!$I$13,E394)))*(IF(Upgrades!$T$14="Stellar Kinematics",POWER(Upgrades!$U$14,F394),1)*IF(Upgrades!$T$15="Stellar Kinematics",POWER(Upgrades!$U$15,G394),1)*IF(Upgrades!$T$16="Stellar Kinematics",POWER(Upgrades!$U$16,H394),1)*IF(Upgrades!$T$17="Stellar Kinematics",POWER(Upgrades!$U$17,I394),1)*IF(Upgrades!$T$18="Stellar Kinematics",POWER(Upgrades!$U$18,J394),1)*IF(Upgrades!$T$19="Stellar Kinematics",POWER(Upgrades!$U$19,K394),1)*IF(Upgrades!$T$20="Stellar Kinematics",POWER(Upgrades!$U$20,L394),1)*IF(Upgrades!$T$21="Stellar Kinematics",POWER(Upgrades!$U$21,M394),1))+(IF(F394=0,0,(Upgrades!$G$14+F394*Upgrades!$H$14)*POWER(Upgrades!$I$14,F394)))*(IF(Upgrades!$T$13="Local Bubble",POWER(Upgrades!$U$13,E394),1)*IF(Upgrades!$T$15="Local Bubble",POWER(Upgrades!$U$15,G394),1)*IF(Upgrades!$T$16="Local Bubble",POWER(Upgrades!$U$16,H394),1)*IF(Upgrades!$T$17="Local Bubble",POWER(Upgrades!$U$17,I394),1)*IF(Upgrades!$T$18="Local Bubble",POWER(Upgrades!$U$18,J394),1)*IF(Upgrades!$T$19="Local Bubble",POWER(Upgrades!$U$19,K394),1)*IF(Upgrades!$T$20="Local Bubble",POWER(Upgrades!$U$20,L394),1)*IF(Upgrades!$T$21="Local Bubble",POWER(Upgrades!$U$21,M394),1))+(IF(G394=0,0,(Upgrades!$G$15+G394*Upgrades!$H$15)*POWER(Upgrades!$I$15,G394)))*(IF(Upgrades!$T$13="Microlensing",POWER(Upgrades!$U$13,E394),1)*IF(Upgrades!$T$14="Microlensing",POWER(Upgrades!$U$14,F394),1)*IF(Upgrades!$T$16="Microlensing",POWER(Upgrades!$U$16,H394),1)*IF(Upgrades!$T$17="Microlensing",POWER(Upgrades!$U$17,I394),1)*IF(Upgrades!$T$18="Microlensing",POWER(Upgrades!$U$18,J394),1)*IF(Upgrades!$T$19="Microlensing",POWER(Upgrades!$U$19,K394),1)*IF(Upgrades!$T$20="Microlensing",POWER(Upgrades!$U$20,L394),1)*IF(Upgrades!$T$21="Microlensing",POWER(Upgrades!$U$21,M394),1))+(IF(H394=0,0,(Upgrades!$G$16+H394*Upgrades!$H$16)*POWER(Upgrades!$I$16,H394)))*(IF(Upgrades!$T$13="Roche Lobe Overflow",POWER(Upgrades!$U$13,E394),1)*IF(Upgrades!$T$14="Roche Lobe Overflow",POWER(Upgrades!$U$14,F394),1)*IF(Upgrades!$T$15="Roche Lobe Overflow",POWER(Upgrades!$U$15,G394),1)*IF(Upgrades!$T$17="Roche Lobe Overflow",POWER(Upgrades!$U$17,I394),1)*IF(Upgrades!$T$18="Roche Lobe Overflow",POWER(Upgrades!$U$18,J394),1)*IF(Upgrades!$T$19="Roche Lobe Overflow",POWER(Upgrades!$U$19,K394),1)*IF(Upgrades!$T$20="Roche Lobe Overflow",POWER(Upgrades!$U$20,L394),1)*IF(Upgrades!$T$21="Roche Lobe Overflow",POWER(Upgrades!$U$21,M394),1))+(IF(I394=0,0,(Upgrades!$G$17+I394*Upgrades!$H$17)*POWER(Upgrades!$I$17,I394)))*(IF(Upgrades!$T$13="Brown Dwarf",POWER(Upgrades!$U$13,E394),1)*IF(Upgrades!$T$14="Brown Dwarf",POWER(Upgrades!$U$14,F394),1)*IF(Upgrades!$T$15="Brown Dwarf",POWER(Upgrades!$U$15,G394),1)*IF(Upgrades!$T$16="Brown Dwarf",POWER(Upgrades!$U$16,H394),1)*IF(Upgrades!$T$18="Brown Dwarf",POWER(Upgrades!$U$18,J394),1)*IF(Upgrades!$T$19="Brown Dwarf",POWER(Upgrades!$U$19,K394),1)*IF(Upgrades!$T$20="Brown Dwarf",POWER(Upgrades!$U$20,L394),1)*IF(Upgrades!$T$21="Brown Dwarf",POWER(Upgrades!$U$21,M394),1))+(IF(J394=0,0,(Upgrades!$G$18+J394*Upgrades!$H$18)*POWER(Upgrades!$I$18,J394)))*(IF(Upgrades!$T$13="Binary Partner",POWER(Upgrades!$U$13,E394),1)*IF(Upgrades!$T$14="Binary Partner",POWER(Upgrades!$U$14,F394),1)*IF(Upgrades!$T$15="Binary Partner",POWER(Upgrades!$U$15,G394),1)*IF(Upgrades!$T$16="Binary Partner",POWER(Upgrades!$U$16,H394),1)*IF(Upgrades!$T$17="Binary Partner",POWER(Upgrades!$U$17,I394),1)*IF(Upgrades!$T$19="Binary Partner",POWER(Upgrades!$U$19,K394),1)*IF(Upgrades!$T$20="Binary Partner",POWER(Upgrades!$U$20,L394),1)*IF(Upgrades!$T$21="Binary Partner",POWER(Upgrades!$U$21,M394),1))+(IF(K394=0,0,(Upgrades!$G$19+K394*Upgrades!$H$19)*POWER(Upgrades!$I$19,K394)))*(IF(Upgrades!$T$13="Peculiar Velocity",POWER(Upgrades!$U$13,E394),1)*IF(Upgrades!$T$14="Peculiar Velocity",POWER(Upgrades!$U$14,F394),1)*IF(Upgrades!$T$15="Peculiar Velocity",POWER(Upgrades!$U$15,G394),1)*IF(Upgrades!$T$16="Peculiar Velocity",POWER(Upgrades!$U$16,H394),1)*IF(Upgrades!$T$17="Peculiar Velocity",POWER(Upgrades!$U$17,I394),1)*IF(Upgrades!$T$18="Peculiar Velocity",POWER(Upgrades!$U$18,J394),1)*IF(Upgrades!$T$20="Peculiar Velocity",POWER(Upgrades!$U$20,L394),1)*IF(Upgrades!$T$21="Peculiar Velocity",POWER(Upgrades!$U$21,M394),1))+(IF(L394=0,0,(Upgrades!$G$20+L394*Upgrades!$H$20)*POWER(Upgrades!$I$20,L394)))*(IF(Upgrades!$T$13="Open Cluster",POWER(Upgrades!$U$13,E394),1)*IF(Upgrades!$T$14="Open Cluster",POWER(Upgrades!$U$14,F394),1)*IF(Upgrades!$T$15="Open Cluster",POWER(Upgrades!$U$15,G394),1)*IF(Upgrades!$T$16="Open Cluster",POWER(Upgrades!$U$16,H394),1)*IF(Upgrades!$T$17="Open Cluster",POWER(Upgrades!$U$17,I394),1)*IF(Upgrades!$T$18="Open Cluster",POWER(Upgrades!$U$18,J394),1)*IF(Upgrades!$T$19="Open Cluster",POWER(Upgrades!$U$19,K394),1)*IF(Upgrades!$T$21="Open Cluster",POWER(Upgrades!$U$21,M394),1))+(IF(M394=0,0,(Upgrades!$G$21+M394*Upgrades!$H$21)*POWER(Upgrades!$I$21,M394)))*(IF(Upgrades!$T$13="Moving Group",POWER(Upgrades!$U$13,E394),1)*IF(Upgrades!$T$14="Moving Group",POWER(Upgrades!$U$14,F394),1)*IF(Upgrades!$T$15="Moving Group",POWER(Upgrades!$U$15,G394),1)*IF(Upgrades!$T$16="Moving Group",POWER(Upgrades!$U$16,H394),1)*IF(Upgrades!$T$17="Moving Group",POWER(Upgrades!$U$17,I394),1)*IF(Upgrades!$T$18="Moving Group",POWER(Upgrades!$U$18,J394),1)*IF(Upgrades!$T$19="Moving Group",POWER(Upgrades!$U$19,K394),1)*IF(Upgrades!$T$20="Moving Group",POWER(Upgrades!$U$20,L394),1)))*POWER(Upgrades!$P$13,E394)*POWER(Upgrades!$P$14,F394)*POWER(Upgrades!$P$15,G394)*POWER(Upgrades!$P$16,H394)*POWER(Upgrades!$P$17,I394)*POWER(Upgrades!$P$18,J394)*POWER(Upgrades!$P$19,K394)*POWER(Upgrades!$P$20,L394)*POWER(Upgrades!$P$21,M394)*$F$6+$C$6</f>
        <v/>
      </c>
      <c r="Q394" s="28">
        <f>((IF(E394=0,0,(Upgrades!$M$13+E394*Upgrades!$N$13)*POWER(Upgrades!$O$13,E394)))*(IF(Upgrades!$T$14="Stellar Kinematics",POWER(Upgrades!$U$14,F394),1)*IF(Upgrades!$T$15="Stellar Kinematics",POWER(Upgrades!$U$15,G394),1)*IF(Upgrades!$T$16="Stellar Kinematics",POWER(Upgrades!$U$16,H394),1)*IF(Upgrades!$T$17="Stellar Kinematics",POWER(Upgrades!$U$17,I394),1)*IF(Upgrades!$T$18="Stellar Kinematics",POWER(Upgrades!$U$18,J394),1)*IF(Upgrades!$T$19="Stellar Kinematics",POWER(Upgrades!$U$19,K394),1)*IF(Upgrades!$T$20="Stellar Kinematics",POWER(Upgrades!$U$20,L394),1)*IF(Upgrades!$T$21="Stellar Kinematics",POWER(Upgrades!$U$21,M394),1))+(IF(F394=0,0,(Upgrades!$M$14+F394*Upgrades!$N$14)*POWER(Upgrades!$O$14,F394)))*(IF(Upgrades!$T$13="Local Bubble",POWER(Upgrades!$U$13,E394),1)*IF(Upgrades!$T$15="Local Bubble",POWER(Upgrades!$U$15,G394),1)*IF(Upgrades!$T$16="Local Bubble",POWER(Upgrades!$U$16,H394),1)*IF(Upgrades!$T$17="Local Bubble",POWER(Upgrades!$U$17,I394),1)*IF(Upgrades!$T$18="Local Bubble",POWER(Upgrades!$U$18,J394),1)*IF(Upgrades!$T$19="Local Bubble",POWER(Upgrades!$U$19,K394),1)*IF(Upgrades!$T$20="Local Bubble",POWER(Upgrades!$U$20,L394),1)*IF(Upgrades!$T$21="Local Bubble",POWER(Upgrades!$U$21,M394),1))+(IF(G394=0,0,(Upgrades!$M$15+G394*Upgrades!$N$15)*POWER(Upgrades!$O$15,G394)))*(IF(Upgrades!$T$13="Microlensing",POWER(Upgrades!$U$13,E394),1)*IF(Upgrades!$T$14="Microlensing",POWER(Upgrades!$U$14,F394),1)*IF(Upgrades!$T$16="Microlensing",POWER(Upgrades!$U$16,H394),1)*IF(Upgrades!$T$17="Microlensing",POWER(Upgrades!$U$17,I394),1)*IF(Upgrades!$T$18="Microlensing",POWER(Upgrades!$U$18,J394),1)*IF(Upgrades!$T$19="Microlensing",POWER(Upgrades!$U$19,K394),1)*IF(Upgrades!$T$20="Microlensing",POWER(Upgrades!$U$20,L394),1)*IF(Upgrades!$T$21="Microlensing",POWER(Upgrades!$U$21,M394),1))+(IF(H394=0,0,(Upgrades!$M$16+H394*Upgrades!$N$16)*POWER(Upgrades!$O$16,H394)))*(IF(Upgrades!$T$13="Roche Lobe Overflow",POWER(Upgrades!$U$13,E394),1)*IF(Upgrades!$T$14="Roche Lobe Overflow",POWER(Upgrades!$U$14,F394),1)*IF(Upgrades!$T$15="Roche Lobe Overflow",POWER(Upgrades!$U$15,G394),1)*IF(Upgrades!$T$17="Roche Lobe Overflow",POWER(Upgrades!$U$17,I394),1)*IF(Upgrades!$T$18="Roche Lobe Overflow",POWER(Upgrades!$U$18,J394),1)*IF(Upgrades!$T$19="Roche Lobe Overflow",POWER(Upgrades!$U$19,K394),1)*IF(Upgrades!$T$20="Roche Lobe Overflow",POWER(Upgrades!$U$20,L394),1)*IF(Upgrades!$T$21="Roche Lobe Overflow",POWER(Upgrades!$U$21,M394),1))+(IF(I394=0,0,(Upgrades!$M$17+I394*Upgrades!$N$17)*POWER(Upgrades!$O$17,I394)))*(IF(Upgrades!$T$13="Brown Dwarf",POWER(Upgrades!$U$13,E394),1)*IF(Upgrades!$T$14="Brown Dwarf",POWER(Upgrades!$U$14,F394),1)*IF(Upgrades!$T$15="Brown Dwarf",POWER(Upgrades!$U$15,G394),1)*IF(Upgrades!$T$16="Brown Dwarf",POWER(Upgrades!$U$16,H394),1)*IF(Upgrades!$T$18="Brown Dwarf",POWER(Upgrades!$U$18,J394),1)*IF(Upgrades!$T$19="Brown Dwarf",POWER(Upgrades!$U$19,K394),1)*IF(Upgrades!$T$20="Brown Dwarf",POWER(Upgrades!$U$20,L394),1)*IF(Upgrades!$T$21="Brown Dwarf",POWER(Upgrades!$U$21,M394),1))+(IF(J394=0,0,(Upgrades!$M$18+J394*Upgrades!$N$18)*POWER(Upgrades!$O$18,J394)))*(IF(Upgrades!$T$13="Binary Partner",POWER(Upgrades!$U$13,E394),1)*IF(Upgrades!$T$14="Binary Partner",POWER(Upgrades!$U$14,F394),1)*IF(Upgrades!$T$15="Binary Partner",POWER(Upgrades!$U$15,G394),1)*IF(Upgrades!$T$16="Binary Partner",POWER(Upgrades!$U$16,H394),1)*IF(Upgrades!$T$17="Binary Partner",POWER(Upgrades!$U$17,I394),1)*IF(Upgrades!$T$19="Binary Partner",POWER(Upgrades!$U$19,K394),1)*IF(Upgrades!$T$20="Binary Partner",POWER(Upgrades!$U$20,L394),1)*IF(Upgrades!$T$21="Binary Partner",POWER(Upgrades!$U$21,M394),1))+(IF(K394=0,0,(Upgrades!$M$19+K394*Upgrades!$N$19)*POWER(Upgrades!$O$19,K394)))*(IF(Upgrades!$T$13="Peculiar Velocity",POWER(Upgrades!$U$13,E394),1)*IF(Upgrades!$T$14="Peculiar Velocity",POWER(Upgrades!$U$14,F394),1)*IF(Upgrades!$T$15="Peculiar Velocity",POWER(Upgrades!$U$15,G394),1)*IF(Upgrades!$T$16="Peculiar Velocity",POWER(Upgrades!$U$16,H394),1)*IF(Upgrades!$T$17="Peculiar Velocity",POWER(Upgrades!$U$17,I394),1)*IF(Upgrades!$T$18="Peculiar Velocity",POWER(Upgrades!$U$18,J394),1)*IF(Upgrades!$T$20="Peculiar Velocity",POWER(Upgrades!$U$20,L394),1)*IF(Upgrades!$T$21="Peculiar Velocity",POWER(Upgrades!$U$21,M394),1))+(IF(L394=0,0,(Upgrades!$M$20+L394*Upgrades!$N$20)*POWER(Upgrades!$O$20,L394)))*(IF(Upgrades!$T$13="Open Cluster",POWER(Upgrades!$U$13,E394),1)*IF(Upgrades!$T$14="Open Cluster",POWER(Upgrades!$U$14,F394),1)*IF(Upgrades!$T$15="Open Cluster",POWER(Upgrades!$U$15,G394),1)*IF(Upgrades!$T$16="Open Cluster",POWER(Upgrades!$U$16,H394),1)*IF(Upgrades!$T$17="Open Cluster",POWER(Upgrades!$U$17,I394),1)*IF(Upgrades!$T$18="Open Cluster",POWER(Upgrades!$U$18,J394),1)*IF(Upgrades!$T$19="Open Cluster",POWER(Upgrades!$U$19,K394),1)*IF(Upgrades!$T$21="Open Cluster",POWER(Upgrades!$U$21,M394),1))+(IF(M394=0,0,(Upgrades!$M$21+M394*Upgrades!$N$21)*POWER(Upgrades!$O$21,M394)))*(IF(Upgrades!$T$13="Moving Group",POWER(Upgrades!$U$13,E394),1)*IF(Upgrades!$T$14="Moving Group",POWER(Upgrades!$U$14,F394),1)*IF(Upgrades!$T$15="Moving Group",POWER(Upgrades!$U$15,G394),1)*IF(Upgrades!$T$16="Moving Group",POWER(Upgrades!$U$16,H394),1)*IF(Upgrades!$T$17="Moving Group",POWER(Upgrades!$U$17,I394),1)*IF(Upgrades!$T$18="Moving Group",POWER(Upgrades!$U$18,J394),1)*IF(Upgrades!$T$19="Moving Group",POWER(Upgrades!$U$19,K394),1)*IF(Upgrades!$T$20="Moving Group",POWER(Upgrades!$U$20,L394),1)))*POWER(Upgrades!$R$13,E394)*POWER(Upgrades!$R$14,F394)*POWER(Upgrades!$R$15,G394)*POWER(Upgrades!$R$16,H394)*POWER(Upgrades!$R$17,I394)*POWER(Upgrades!$R$18,J394)*POWER(Upgrades!$R$19,K394)*POWER(Upgrades!$R$20,L394)*POWER(Upgrades!$R$21,M394)*$H$6+$E$6</f>
        <v/>
      </c>
      <c r="R394" s="27">
        <f>IF(N394=1,0,O394*Parameters!$B$10/60*Parameters!$B$11*10)</f>
        <v/>
      </c>
      <c r="S394" s="27">
        <f>IF(N394=1,0,Q394*O394*10)</f>
        <v/>
      </c>
      <c r="T394" s="27">
        <f>IF(N394=1,0,R394+S394+P394*10)</f>
        <v/>
      </c>
      <c r="U394" s="33">
        <f>BE394</f>
        <v/>
      </c>
      <c r="V394" s="22">
        <f>IF(U394="",0,IF(U394="transition",0,IF(U394="SK",AK394,IF(U394="LB",AL394,IF(U394="ML",AM394,IF(U394="RLO",AN394,IF(U394="BD",AO394,IF(U394="BiP",AP394,IF(U394="PV",AQ394,IF(U394="OC",AR394,IF(U394="MG",AS394,0))))))))))</f>
        <v/>
      </c>
      <c r="W394" s="27">
        <f>IF(U394="BiP",Upgrades!$F$18,IF(U394="PV",Upgrades!$F$19,IF(U394="OC",Upgrades!$F$20,IF(U394="MG",Upgrades!$F$21,IF(U394="transition",-Parameters!$B$18*Parameters!$B$19,0)))))</f>
        <v/>
      </c>
      <c r="X394" s="22">
        <f>C394+T394-V394</f>
        <v/>
      </c>
      <c r="Y394" s="30">
        <f>O394*Parameters!$B$10/60*Parameters!$B$11+Q394*O394+P394</f>
        <v/>
      </c>
      <c r="Z394" s="34">
        <f>IF(U394="transition","→ Tier 3 (Galactic Arm)",IF(U394="MG","Moving Group — pocket drifts together",IF(U394="OC","Open Cluster acquired",IF(U394="PV","Peculiar Velocity — passive multiplier active",IF(U394="BiP","Binary Partner — pair bond formed",IF(AND(AU394=1,N394=0,AT394&lt;&gt;1),"Cohesion ready (waiting on completionists)","")))))) </f>
        <v/>
      </c>
      <c r="AA394" s="27">
        <f>(IF(E394=0,0,(Upgrades!$G$13+E394*Upgrades!$H$13)*POWER(Upgrades!$I$13,E394)))*(IF(Upgrades!$T$14="Stellar Kinematics",POWER(Upgrades!$U$14,F394),1)*IF(Upgrades!$T$15="Stellar Kinematics",POWER(Upgrades!$U$15,G394),1)*IF(Upgrades!$T$16="Stellar Kinematics",POWER(Upgrades!$U$16,H394),1)*IF(Upgrades!$T$17="Stellar Kinematics",POWER(Upgrades!$U$17,I394),1)*IF(Upgrades!$T$18="Stellar Kinematics",POWER(Upgrades!$U$18,J394),1)*IF(Upgrades!$T$19="Stellar Kinematics",POWER(Upgrades!$U$19,K394),1)*IF(Upgrades!$T$20="Stellar Kinematics",POWER(Upgrades!$U$20,L394),1)*IF(Upgrades!$T$21="Stellar Kinematics",POWER(Upgrades!$U$21,M394),1))*POWER(Upgrades!$P$13,E394)*POWER(Upgrades!$P$14,F394)*POWER(Upgrades!$P$15,G394)*POWER(Upgrades!$P$16,H394)*POWER(Upgrades!$P$17,I394)*POWER(Upgrades!$P$18,J394)*POWER(Upgrades!$P$19,K394)*POWER(Upgrades!$P$20,L394)*POWER(Upgrades!$P$21,M394)*$F$6*60</f>
        <v/>
      </c>
      <c r="AB394" s="27">
        <f>(IF(F394=0,0,(Upgrades!$G$14+F394*Upgrades!$H$14)*POWER(Upgrades!$I$14,F394)))*(IF(Upgrades!$T$13="Local Bubble",POWER(Upgrades!$U$13,E394),1)*IF(Upgrades!$T$15="Local Bubble",POWER(Upgrades!$U$15,G394),1)*IF(Upgrades!$T$16="Local Bubble",POWER(Upgrades!$U$16,H394),1)*IF(Upgrades!$T$17="Local Bubble",POWER(Upgrades!$U$17,I394),1)*IF(Upgrades!$T$18="Local Bubble",POWER(Upgrades!$U$18,J394),1)*IF(Upgrades!$T$19="Local Bubble",POWER(Upgrades!$U$19,K394),1)*IF(Upgrades!$T$20="Local Bubble",POWER(Upgrades!$U$20,L394),1)*IF(Upgrades!$T$21="Local Bubble",POWER(Upgrades!$U$21,M394),1))*POWER(Upgrades!$P$13,E394)*POWER(Upgrades!$P$14,F394)*POWER(Upgrades!$P$15,G394)*POWER(Upgrades!$P$16,H394)*POWER(Upgrades!$P$17,I394)*POWER(Upgrades!$P$18,J394)*POWER(Upgrades!$P$19,K394)*POWER(Upgrades!$P$20,L394)*POWER(Upgrades!$P$21,M394)*$F$6*60</f>
        <v/>
      </c>
      <c r="AC394" s="27">
        <f>(IF(G394=0,0,(Upgrades!$J$15+G394*Upgrades!$K$15)*POWER(Upgrades!$L$15,G394)))*(IF(Upgrades!$T$13="Microlensing",POWER(Upgrades!$U$13,E394),1)*IF(Upgrades!$T$14="Microlensing",POWER(Upgrades!$U$14,F394),1)*IF(Upgrades!$T$16="Microlensing",POWER(Upgrades!$U$16,H394),1)*IF(Upgrades!$T$17="Microlensing",POWER(Upgrades!$U$17,I394),1)*IF(Upgrades!$T$18="Microlensing",POWER(Upgrades!$U$18,J394),1)*IF(Upgrades!$T$19="Microlensing",POWER(Upgrades!$U$19,K394),1)*IF(Upgrades!$T$20="Microlensing",POWER(Upgrades!$U$20,L394),1)*IF(Upgrades!$T$21="Microlensing",POWER(Upgrades!$U$21,M394),1))*POWER(Upgrades!$Q$13,E394)*POWER(Upgrades!$Q$14,F394)*POWER(Upgrades!$Q$15,G394)*POWER(Upgrades!$Q$16,H394)*POWER(Upgrades!$Q$17,I394)*POWER(Upgrades!$Q$18,J394)*POWER(Upgrades!$Q$19,K394)*POWER(Upgrades!$Q$20,L394)*POWER(Upgrades!$Q$21,M394)*$G$6*(Parameters!$B$10*Parameters!$B$11+Q394*60)</f>
        <v/>
      </c>
      <c r="AD394" s="27">
        <f>(IF(H394=0,0,(Upgrades!$M$16+H394*Upgrades!$N$16)*POWER(Upgrades!$O$16,H394)))*(IF(Upgrades!$T$13="Roche Lobe Overflow",POWER(Upgrades!$U$13,E394),1)*IF(Upgrades!$T$14="Roche Lobe Overflow",POWER(Upgrades!$U$14,F394),1)*IF(Upgrades!$T$15="Roche Lobe Overflow",POWER(Upgrades!$U$15,G394),1)*IF(Upgrades!$T$17="Roche Lobe Overflow",POWER(Upgrades!$U$17,I394),1)*IF(Upgrades!$T$18="Roche Lobe Overflow",POWER(Upgrades!$U$18,J394),1)*IF(Upgrades!$T$19="Roche Lobe Overflow",POWER(Upgrades!$U$19,K394),1)*IF(Upgrades!$T$20="Roche Lobe Overflow",POWER(Upgrades!$U$20,L394),1)*IF(Upgrades!$T$21="Roche Lobe Overflow",POWER(Upgrades!$U$21,M394),1))*POWER(Upgrades!$R$13,E394)*POWER(Upgrades!$R$14,F394)*POWER(Upgrades!$R$15,G394)*POWER(Upgrades!$R$16,H394)*POWER(Upgrades!$R$17,I394)*POWER(Upgrades!$R$18,J394)*POWER(Upgrades!$R$19,K394)*POWER(Upgrades!$R$20,L394)*POWER(Upgrades!$R$21,M394)*$H$6*O394*60</f>
        <v/>
      </c>
      <c r="AE394" s="27">
        <f>(IF(I394=0,0,(Upgrades!$G$17+I394*Upgrades!$H$17)*POWER(Upgrades!$I$17,I394)))*(IF(Upgrades!$T$13="Brown Dwarf",POWER(Upgrades!$U$13,E394),1)*IF(Upgrades!$T$14="Brown Dwarf",POWER(Upgrades!$U$14,F394),1)*IF(Upgrades!$T$15="Brown Dwarf",POWER(Upgrades!$U$15,G394),1)*IF(Upgrades!$T$16="Brown Dwarf",POWER(Upgrades!$U$16,H394),1)*IF(Upgrades!$T$18="Brown Dwarf",POWER(Upgrades!$U$18,J394),1)*IF(Upgrades!$T$19="Brown Dwarf",POWER(Upgrades!$U$19,K394),1)*IF(Upgrades!$T$20="Brown Dwarf",POWER(Upgrades!$U$20,L394),1)*IF(Upgrades!$T$21="Brown Dwarf",POWER(Upgrades!$U$21,M394),1))*POWER(Upgrades!$P$13,E394)*POWER(Upgrades!$P$14,F394)*POWER(Upgrades!$P$15,G394)*POWER(Upgrades!$P$16,H394)*POWER(Upgrades!$P$17,I394)*POWER(Upgrades!$P$18,J394)*POWER(Upgrades!$P$19,K394)*POWER(Upgrades!$P$20,L394)*POWER(Upgrades!$P$21,M394)*$F$6*60</f>
        <v/>
      </c>
      <c r="AF394" s="27" t="n">
        <v>0</v>
      </c>
      <c r="AG394" s="27" t="n">
        <v>0</v>
      </c>
      <c r="AH394" s="27" t="n">
        <v>0</v>
      </c>
      <c r="AI394" s="27">
        <f>(IF(M394=0,0,(Upgrades!$G$21+M394*Upgrades!$H$21)*POWER(Upgrades!$I$21,M394)))*(IF(Upgrades!$T$13="Moving Group",POWER(Upgrades!$U$13,E394),1)*IF(Upgrades!$T$14="Moving Group",POWER(Upgrades!$U$14,F394),1)*IF(Upgrades!$T$15="Moving Group",POWER(Upgrades!$U$15,G394),1)*IF(Upgrades!$T$16="Moving Group",POWER(Upgrades!$U$16,H394),1)*IF(Upgrades!$T$17="Moving Group",POWER(Upgrades!$U$17,I394),1)*IF(Upgrades!$T$18="Moving Group",POWER(Upgrades!$U$18,J394),1)*IF(Upgrades!$T$19="Moving Group",POWER(Upgrades!$U$19,K394),1)*IF(Upgrades!$T$20="Moving Group",POWER(Upgrades!$U$20,L394),1))*POWER(Upgrades!$P$13,E394)*POWER(Upgrades!$P$14,F394)*POWER(Upgrades!$P$15,G394)*POWER(Upgrades!$P$16,H394)*POWER(Upgrades!$P$17,I394)*POWER(Upgrades!$P$18,J394)*POWER(Upgrades!$P$19,K394)*POWER(Upgrades!$P$20,L394)*POWER(Upgrades!$P$21,M394)*$F$6*60</f>
        <v/>
      </c>
      <c r="AJ394" s="27">
        <f>$C$6*60</f>
        <v/>
      </c>
      <c r="AK394" s="22">
        <f>IF(E394&gt;=Upgrades!$E$13,"",Upgrades!$C$13*POWER(Upgrades!$D$13,E394))</f>
        <v/>
      </c>
      <c r="AL394" s="22">
        <f>IF(F394&gt;=Upgrades!$E$14,"",Upgrades!$C$14*POWER(Upgrades!$D$14,F394))</f>
        <v/>
      </c>
      <c r="AM394" s="22">
        <f>IF(G394&gt;=Upgrades!$E$15,"",Upgrades!$C$15*POWER(Upgrades!$D$15,G394))</f>
        <v/>
      </c>
      <c r="AN394" s="22">
        <f>IF(H394&gt;=Upgrades!$E$16,"",Upgrades!$C$16*POWER(Upgrades!$D$16,H394))</f>
        <v/>
      </c>
      <c r="AO394" s="22">
        <f>IF(I394&gt;=Upgrades!$E$17,"",Upgrades!$C$17*POWER(Upgrades!$D$17,I394))</f>
        <v/>
      </c>
      <c r="AP394" s="22">
        <f>IF(J394&gt;=Upgrades!$E$18,"",Upgrades!$C$18*POWER(Upgrades!$D$18,J394))</f>
        <v/>
      </c>
      <c r="AQ394" s="22">
        <f>IF(K394&gt;=Upgrades!$E$19,"",Upgrades!$C$19*POWER(Upgrades!$D$19,K394))</f>
        <v/>
      </c>
      <c r="AR394" s="22">
        <f>IF(L394&gt;=Upgrades!$E$20,"",Upgrades!$C$20*POWER(Upgrades!$D$20,L394))</f>
        <v/>
      </c>
      <c r="AS394" s="22">
        <f>IF(M394&gt;=Upgrades!$E$21,"",Upgrades!$C$21*POWER(Upgrades!$D$21,M394))</f>
        <v/>
      </c>
      <c r="AT394" s="26">
        <f>IF(AND(D394&gt;=Parameters!$B$18*Parameters!$B$19,(I394&gt;=Upgrades!$E$17)*(M394&gt;=Upgrades!$E$21)=1,N394=0),1,"")</f>
        <v/>
      </c>
      <c r="AU394" s="26">
        <f>IF(AND(D394&gt;=Parameters!$B$18*Parameters!$B$19,N394=0),1,"")</f>
        <v/>
      </c>
      <c r="AV394" s="22">
        <f>MIN(IF(ISNUMBER(AP394),AP394,9E15),IF(ISNUMBER(AQ394),AQ394,9E15),IF(ISNUMBER(AR394),AR394,9E15),IF(ISNUMBER(AS394),AS394,9E15))</f>
        <v/>
      </c>
      <c r="AW394" s="22">
        <f>MIN(IF(ISNUMBER(AK394),AK394,9E15),IF(ISNUMBER(AL394),AL394,9E15),IF(ISNUMBER(AM394),AM394,9E15),IF(ISNUMBER(AN394),AN394,9E15),IF(ISNUMBER(AO394),AO394,9E15))</f>
        <v/>
      </c>
      <c r="AX394" s="29">
        <f>IF(BD394&gt;Parameters!$B$21*(MAX(IF(AND(NOT(AND(AU394=1,AT394&lt;&gt;1)),ISNUMBER(AK394),AK394&lt;=(C394+T394)),AY394,0),IF(AND(NOT(AND(AU394=1,AT394&lt;&gt;1)),ISNUMBER(AL394),AL394&lt;=(C394+T394)),AZ394,0),IF(AND(NOT(AND(AU394=1,AT394&lt;&gt;1)),ISNUMBER(AM394),AM394&lt;=(C394+T394)),BA394,0),IF(AND(NOT(AND(AU394=1,AT394&lt;&gt;1)),ISNUMBER(AN394),AN394&lt;=(C394+T394)),BB394,0),IF(AND(ISNUMBER(AO394),AO394&lt;=(C394+T394)),BC394,0))),TRUE,FALSE)</f>
        <v/>
      </c>
      <c r="AY394" s="32">
        <f>IFERROR(Upgrades!$H$13*(POWER(Upgrades!$P$13,E394)*POWER(Upgrades!$P$14,F394)*POWER(Upgrades!$P$15,G394)*POWER(Upgrades!$P$16,H394)*POWER(Upgrades!$P$17,I394)*POWER(Upgrades!$P$18,J394)*POWER(Upgrades!$P$19,K394)*POWER(Upgrades!$P$20,L394)*POWER(Upgrades!$P$21,M394))*(IF(Upgrades!$T$14="Stellar Kinematics",POWER(Upgrades!$U$14,F394),1)*IF(Upgrades!$T$15="Stellar Kinematics",POWER(Upgrades!$U$15,G394),1)*IF(Upgrades!$T$16="Stellar Kinematics",POWER(Upgrades!$U$16,H394),1)*IF(Upgrades!$T$17="Stellar Kinematics",POWER(Upgrades!$U$17,I394),1)*IF(Upgrades!$T$18="Stellar Kinematics",POWER(Upgrades!$U$18,J394),1)*IF(Upgrades!$T$19="Stellar Kinematics",POWER(Upgrades!$U$19,K394),1)*IF(Upgrades!$T$20="Stellar Kinematics",POWER(Upgrades!$U$20,L394),1)*IF(Upgrades!$T$21="Stellar Kinematics",POWER(Upgrades!$U$21,M394),1))*$F$6/AK394,0)</f>
        <v/>
      </c>
      <c r="AZ394" s="32">
        <f>IFERROR(Upgrades!$H$14*(POWER(Upgrades!$P$13,E394)*POWER(Upgrades!$P$14,F394)*POWER(Upgrades!$P$15,G394)*POWER(Upgrades!$P$16,H394)*POWER(Upgrades!$P$17,I394)*POWER(Upgrades!$P$18,J394)*POWER(Upgrades!$P$19,K394)*POWER(Upgrades!$P$20,L394)*POWER(Upgrades!$P$21,M394))*(IF(Upgrades!$T$13="Local Bubble",POWER(Upgrades!$U$13,E394),1)*IF(Upgrades!$T$15="Local Bubble",POWER(Upgrades!$U$15,G394),1)*IF(Upgrades!$T$16="Local Bubble",POWER(Upgrades!$U$16,H394),1)*IF(Upgrades!$T$17="Local Bubble",POWER(Upgrades!$U$17,I394),1)*IF(Upgrades!$T$18="Local Bubble",POWER(Upgrades!$U$18,J394),1)*IF(Upgrades!$T$19="Local Bubble",POWER(Upgrades!$U$19,K394),1)*IF(Upgrades!$T$20="Local Bubble",POWER(Upgrades!$U$20,L394),1)*IF(Upgrades!$T$21="Local Bubble",POWER(Upgrades!$U$21,M394),1))*$F$6/AL394,0)</f>
        <v/>
      </c>
      <c r="BA394" s="32">
        <f>IFERROR(Upgrades!$K$15*(POWER(Upgrades!$Q$13,E394)*POWER(Upgrades!$Q$14,F394)*POWER(Upgrades!$Q$15,G394)*POWER(Upgrades!$Q$16,H394)*POWER(Upgrades!$Q$17,I394)*POWER(Upgrades!$Q$18,J394)*POWER(Upgrades!$Q$19,K394)*POWER(Upgrades!$Q$20,L394)*POWER(Upgrades!$Q$21,M394))*(IF(Upgrades!$T$13="Microlensing",POWER(Upgrades!$U$13,E394),1)*IF(Upgrades!$T$14="Microlensing",POWER(Upgrades!$U$14,F394),1)*IF(Upgrades!$T$16="Microlensing",POWER(Upgrades!$U$16,H394),1)*IF(Upgrades!$T$17="Microlensing",POWER(Upgrades!$U$17,I394),1)*IF(Upgrades!$T$18="Microlensing",POWER(Upgrades!$U$18,J394),1)*IF(Upgrades!$T$19="Microlensing",POWER(Upgrades!$U$19,K394),1)*IF(Upgrades!$T$20="Microlensing",POWER(Upgrades!$U$20,L394),1)*IF(Upgrades!$T$21="Microlensing",POWER(Upgrades!$U$21,M394),1))*$G$6*(Parameters!$B$10/60*Parameters!$B$11+Q394)/AM394,0)</f>
        <v/>
      </c>
      <c r="BB394" s="32">
        <f>IFERROR((Upgrades!$N$16*(POWER(Upgrades!$R$13,E394)*POWER(Upgrades!$R$14,F394)*POWER(Upgrades!$R$15,G394)*POWER(Upgrades!$R$16,H394)*POWER(Upgrades!$R$17,I394)*POWER(Upgrades!$R$18,J394)*POWER(Upgrades!$R$19,K394)*POWER(Upgrades!$R$20,L394)*POWER(Upgrades!$R$21,M394))*(IF(Upgrades!$T$13="Roche Lobe Overflow",POWER(Upgrades!$U$13,E394),1)*IF(Upgrades!$T$14="Roche Lobe Overflow",POWER(Upgrades!$U$14,F394),1)*IF(Upgrades!$T$15="Roche Lobe Overflow",POWER(Upgrades!$U$15,G394),1)*IF(Upgrades!$T$17="Roche Lobe Overflow",POWER(Upgrades!$U$17,I394),1)*IF(Upgrades!$T$18="Roche Lobe Overflow",POWER(Upgrades!$U$18,J394),1)*IF(Upgrades!$T$19="Roche Lobe Overflow",POWER(Upgrades!$U$19,K394),1)*IF(Upgrades!$T$20="Roche Lobe Overflow",POWER(Upgrades!$U$20,L394),1)*IF(Upgrades!$T$21="Roche Lobe Overflow",POWER(Upgrades!$U$21,M394),1))*$H$6*O394+((IF(F394=0,0,(Upgrades!$G$14+F394*Upgrades!$H$14)*POWER(Upgrades!$I$14,F394)))*(IF(Upgrades!$T$13="Local Bubble",POWER(Upgrades!$U$13,E394),1)*IF(Upgrades!$T$15="Local Bubble",POWER(Upgrades!$U$15,G394),1)*IF(Upgrades!$T$16="Local Bubble",POWER(Upgrades!$U$16,H394),1)*IF(Upgrades!$T$17="Local Bubble",POWER(Upgrades!$U$17,I394),1)*IF(Upgrades!$T$18="Local Bubble",POWER(Upgrades!$U$18,J394),1)*IF(Upgrades!$T$19="Local Bubble",POWER(Upgrades!$U$19,K394),1)*IF(Upgrades!$T$20="Local Bubble",POWER(Upgrades!$U$20,L394),1)*IF(Upgrades!$T$21="Local Bubble",POWER(Upgrades!$U$21,M394),1))*POWER(Upgrades!$P$13,E394)*POWER(Upgrades!$P$14,F394)*POWER(Upgrades!$P$15,G394)*POWER(Upgrades!$P$16,H394)*POWER(Upgrades!$P$17,I394)*POWER(Upgrades!$P$18,J394)*POWER(Upgrades!$P$19,K394)*POWER(Upgrades!$P$20,L394)*POWER(Upgrades!$P$21,M394)*$F$6)*0.05)/AN394,0)</f>
        <v/>
      </c>
      <c r="BC394" s="32">
        <f>IFERROR((Upgrades!$H$17*(POWER(Upgrades!$P$13,E394)*POWER(Upgrades!$P$14,F394)*POWER(Upgrades!$P$15,G394)*POWER(Upgrades!$P$16,H394)*POWER(Upgrades!$P$17,I394)*POWER(Upgrades!$P$18,J394)*POWER(Upgrades!$P$19,K394)*POWER(Upgrades!$P$20,L394)*POWER(Upgrades!$P$21,M394))*(IF(Upgrades!$T$13="Brown Dwarf",POWER(Upgrades!$U$13,E394),1)*IF(Upgrades!$T$14="Brown Dwarf",POWER(Upgrades!$U$14,F394),1)*IF(Upgrades!$T$15="Brown Dwarf",POWER(Upgrades!$U$15,G394),1)*IF(Upgrades!$T$16="Brown Dwarf",POWER(Upgrades!$U$16,H394),1)*IF(Upgrades!$T$18="Brown Dwarf",POWER(Upgrades!$U$18,J394),1)*IF(Upgrades!$T$19="Brown Dwarf",POWER(Upgrades!$U$19,K394),1)*IF(Upgrades!$T$20="Brown Dwarf",POWER(Upgrades!$U$20,L394),1)*IF(Upgrades!$T$21="Brown Dwarf",POWER(Upgrades!$U$21,M394),1))*$F$6+(((IF(H394=0,0,(Upgrades!$M$16+H394*Upgrades!$N$16)*POWER(Upgrades!$O$16,H394)))*(IF(Upgrades!$T$13="Roche Lobe Overflow",POWER(Upgrades!$U$13,E394),1)*IF(Upgrades!$T$14="Roche Lobe Overflow",POWER(Upgrades!$U$14,F394),1)*IF(Upgrades!$T$15="Roche Lobe Overflow",POWER(Upgrades!$U$15,G394),1)*IF(Upgrades!$T$17="Roche Lobe Overflow",POWER(Upgrades!$U$17,I394),1)*IF(Upgrades!$T$18="Roche Lobe Overflow",POWER(Upgrades!$U$18,J394),1)*IF(Upgrades!$T$19="Roche Lobe Overflow",POWER(Upgrades!$U$19,K394),1)*IF(Upgrades!$T$20="Roche Lobe Overflow",POWER(Upgrades!$U$20,L394),1)*IF(Upgrades!$T$21="Roche Lobe Overflow",POWER(Upgrades!$U$21,M394),1))*POWER(Upgrades!$R$13,E394)*POWER(Upgrades!$R$14,F394)*POWER(Upgrades!$R$15,G394)*POWER(Upgrades!$R$16,H394)*POWER(Upgrades!$R$17,I394)*POWER(Upgrades!$R$18,J394)*POWER(Upgrades!$R$19,K394)*POWER(Upgrades!$R$20,L394)*POWER(Upgrades!$R$21,M394)*$H$6)*O394)*0.10)/AO394,0)</f>
        <v/>
      </c>
      <c r="BD394" s="32">
        <f>MAX(IF(J394&gt;0,0,IFERROR(0.5*((IF(G394=0,0,(Upgrades!$J$15+G394*Upgrades!$K$15)*POWER(Upgrades!$L$15,G394)))*(IF(Upgrades!$T$13="Microlensing",POWER(Upgrades!$U$13,E394),1)*IF(Upgrades!$T$14="Microlensing",POWER(Upgrades!$U$14,F394),1)*IF(Upgrades!$T$16="Microlensing",POWER(Upgrades!$U$16,H394),1)*IF(Upgrades!$T$17="Microlensing",POWER(Upgrades!$U$17,I394),1)*IF(Upgrades!$T$18="Microlensing",POWER(Upgrades!$U$18,J394),1)*IF(Upgrades!$T$19="Microlensing",POWER(Upgrades!$U$19,K394),1)*IF(Upgrades!$T$20="Microlensing",POWER(Upgrades!$U$20,L394),1)*IF(Upgrades!$T$21="Microlensing",POWER(Upgrades!$U$21,M394),1))*(POWER(Upgrades!$Q$13,E394)*POWER(Upgrades!$Q$14,F394)*POWER(Upgrades!$Q$15,G394)*POWER(Upgrades!$Q$16,H394)*POWER(Upgrades!$Q$17,I394)*POWER(Upgrades!$Q$18,J394)*POWER(Upgrades!$Q$19,K394)*POWER(Upgrades!$Q$20,L394)*POWER(Upgrades!$Q$21,M394))*$G$6*(Parameters!$B$10/60*Parameters!$B$11+Q394))/Upgrades!$C$18,0)),IF(K394&gt;0,0,IFERROR(0.30*P394/Upgrades!$C$19,0)),IF(L394&gt;0,0,IFERROR(0.0001/Upgrades!$C$20,0)),IF(M394&gt;0,0,IFERROR((6.0*(POWER(Upgrades!$P$13,E394)*POWER(Upgrades!$P$14,F394)*POWER(Upgrades!$P$15,G394)*POWER(Upgrades!$P$16,H394)*POWER(Upgrades!$P$17,I394)*POWER(Upgrades!$P$18,J394)*POWER(Upgrades!$P$19,K394)*POWER(Upgrades!$P$20,L394)*POWER(Upgrades!$P$21,M394))*$F$6+0.20*O394*(Parameters!$B$10/60*Parameters!$B$11+Q394))/Upgrades!$C$21,0)),IF(AND(ISNUMBER(AK394),AK394&gt;(C394+T394)),AY394,0),IF(AND(ISNUMBER(AL394),AL394&gt;(C394+T394)),AZ394,0),IF(AND(ISNUMBER(AM394),AM394&gt;(C394+T394)),BA394,0),IF(AND(ISNUMBER(AN394),AN394&gt;(C394+T394)),BB394,0),IF(AND(ISNUMBER(AO394),AO394&gt;(C394+T394)),BC394,0))</f>
        <v/>
      </c>
      <c r="BE394" s="29">
        <f>IF(AT394=1,"transition",IF(MIN(IF(AND(J394=0,ISNUMBER(AP394),AP394&lt;=(C394+T394)),AP394,9E15),IF(AND(K394=0,ISNUMBER(AQ394),AQ394&lt;=(C394+T394)),AQ394,9E15),IF(AND(L394=0,ISNUMBER(AR394),AR394&lt;=(C394+T394)),AR394,9E15),IF(AND(M394=0,ISNUMBER(AS394),AS394&lt;=(C394+T394)),AS394,9E15))&lt;9E15,IF(AND(AND(J394=0,ISNUMBER(AP394),AP394&lt;=(C394+T394)),AP394=MIN(IF(AND(J394=0,ISNUMBER(AP394),AP394&lt;=(C394+T394)),AP394,9E15),IF(AND(K394=0,ISNUMBER(AQ394),AQ394&lt;=(C394+T394)),AQ394,9E15),IF(AND(L394=0,ISNUMBER(AR394),AR394&lt;=(C394+T394)),AR394,9E15),IF(AND(M394=0,ISNUMBER(AS394),AS394&lt;=(C394+T394)),AS394,9E15))),"BiP",IF(AND(AND(K394=0,ISNUMBER(AQ394),AQ394&lt;=(C394+T394)),AQ394=MIN(IF(AND(J394=0,ISNUMBER(AP394),AP394&lt;=(C394+T394)),AP394,9E15),IF(AND(K394=0,ISNUMBER(AQ394),AQ394&lt;=(C394+T394)),AQ394,9E15),IF(AND(L394=0,ISNUMBER(AR394),AR394&lt;=(C394+T394)),AR394,9E15),IF(AND(M394=0,ISNUMBER(AS394),AS394&lt;=(C394+T394)),AS394,9E15))),"PV",IF(AND(AND(L394=0,ISNUMBER(AR394),AR394&lt;=(C394+T394)),AR394=MIN(IF(AND(J394=0,ISNUMBER(AP394),AP394&lt;=(C394+T394)),AP394,9E15),IF(AND(K394=0,ISNUMBER(AQ394),AQ394&lt;=(C394+T394)),AQ394,9E15),IF(AND(L394=0,ISNUMBER(AR394),AR394&lt;=(C394+T394)),AR394,9E15),IF(AND(M394=0,ISNUMBER(AS394),AS394&lt;=(C394+T394)),AS394,9E15))),"OC","MG"))),IF(AX394=TRUE,"",IF(MAX(IF(AND(NOT(AND(AU394=1,AT394&lt;&gt;1)),ISNUMBER(AK394),AK394&lt;=(C394+T394)),AY394,0),IF(AND(NOT(AND(AU394=1,AT394&lt;&gt;1)),ISNUMBER(AL394),AL394&lt;=(C394+T394)),AZ394,0),IF(AND(NOT(AND(AU394=1,AT394&lt;&gt;1)),ISNUMBER(AM394),AM394&lt;=(C394+T394)),BA394,0),IF(AND(NOT(AND(AU394=1,AT394&lt;&gt;1)),ISNUMBER(AN394),AN394&lt;=(C394+T394)),BB394,0),IF(AND(ISNUMBER(AO394),AO394&lt;=(C394+T394)),BC394,0))&lt;=0,"",IF(AND(IF(AND(NOT(AND(AU394=1,AT394&lt;&gt;1)),ISNUMBER(AK394),AK394&lt;=(C394+T394)),AY394,0)&gt;0,IF(AND(NOT(AND(AU394=1,AT394&lt;&gt;1)),ISNUMBER(AK394),AK394&lt;=(C394+T394)),AY394,0)=MAX(IF(AND(NOT(AND(AU394=1,AT394&lt;&gt;1)),ISNUMBER(AK394),AK394&lt;=(C394+T394)),AY394,0),IF(AND(NOT(AND(AU394=1,AT394&lt;&gt;1)),ISNUMBER(AL394),AL394&lt;=(C394+T394)),AZ394,0),IF(AND(NOT(AND(AU394=1,AT394&lt;&gt;1)),ISNUMBER(AM394),AM394&lt;=(C394+T394)),BA394,0),IF(AND(NOT(AND(AU394=1,AT394&lt;&gt;1)),ISNUMBER(AN394),AN394&lt;=(C394+T394)),BB394,0),IF(AND(ISNUMBER(AO394),AO394&lt;=(C394+T394)),BC394,0))),"SK",IF(AND(IF(AND(NOT(AND(AU394=1,AT394&lt;&gt;1)),ISNUMBER(AL394),AL394&lt;=(C394+T394)),AZ394,0)&gt;0,IF(AND(NOT(AND(AU394=1,AT394&lt;&gt;1)),ISNUMBER(AL394),AL394&lt;=(C394+T394)),AZ394,0)=MAX(IF(AND(NOT(AND(AU394=1,AT394&lt;&gt;1)),ISNUMBER(AK394),AK394&lt;=(C394+T394)),AY394,0),IF(AND(NOT(AND(AU394=1,AT394&lt;&gt;1)),ISNUMBER(AL394),AL394&lt;=(C394+T394)),AZ394,0),IF(AND(NOT(AND(AU394=1,AT394&lt;&gt;1)),ISNUMBER(AM394),AM394&lt;=(C394+T394)),BA394,0),IF(AND(NOT(AND(AU394=1,AT394&lt;&gt;1)),ISNUMBER(AN394),AN394&lt;=(C394+T394)),BB394,0),IF(AND(ISNUMBER(AO394),AO394&lt;=(C394+T394)),BC394,0))),"LB",IF(AND(IF(AND(NOT(AND(AU394=1,AT394&lt;&gt;1)),ISNUMBER(AM394),AM394&lt;=(C394+T394)),BA394,0)&gt;0,IF(AND(NOT(AND(AU394=1,AT394&lt;&gt;1)),ISNUMBER(AM394),AM394&lt;=(C394+T394)),BA394,0)=MAX(IF(AND(NOT(AND(AU394=1,AT394&lt;&gt;1)),ISNUMBER(AK394),AK394&lt;=(C394+T394)),AY394,0),IF(AND(NOT(AND(AU394=1,AT394&lt;&gt;1)),ISNUMBER(AL394),AL394&lt;=(C394+T394)),AZ394,0),IF(AND(NOT(AND(AU394=1,AT394&lt;&gt;1)),ISNUMBER(AM394),AM394&lt;=(C394+T394)),BA394,0),IF(AND(NOT(AND(AU394=1,AT394&lt;&gt;1)),ISNUMBER(AN394),AN394&lt;=(C394+T394)),BB394,0),IF(AND(ISNUMBER(AO394),AO394&lt;=(C394+T394)),BC394,0))),"ML",IF(AND(IF(AND(NOT(AND(AU394=1,AT394&lt;&gt;1)),ISNUMBER(AN394),AN394&lt;=(C394+T394)),BB394,0)&gt;0,IF(AND(NOT(AND(AU394=1,AT394&lt;&gt;1)),ISNUMBER(AN394),AN394&lt;=(C394+T394)),BB394,0)=MAX(IF(AND(NOT(AND(AU394=1,AT394&lt;&gt;1)),ISNUMBER(AK394),AK394&lt;=(C394+T394)),AY394,0),IF(AND(NOT(AND(AU394=1,AT394&lt;&gt;1)),ISNUMBER(AL394),AL394&lt;=(C394+T394)),AZ394,0),IF(AND(NOT(AND(AU394=1,AT394&lt;&gt;1)),ISNUMBER(AM394),AM394&lt;=(C394+T394)),BA394,0),IF(AND(NOT(AND(AU394=1,AT394&lt;&gt;1)),ISNUMBER(AN394),AN394&lt;=(C394+T394)),BB394,0),IF(AND(ISNUMBER(AO394),AO394&lt;=(C394+T394)),BC394,0))),"RLO","BD"))))))))</f>
        <v/>
      </c>
    </row>
    <row r="395">
      <c r="A395" s="26" t="n">
        <v>384</v>
      </c>
      <c r="B395" s="27">
        <f>A395*10/60</f>
        <v/>
      </c>
      <c r="C395" s="22">
        <f>X394</f>
        <v/>
      </c>
      <c r="D395" s="27">
        <f>D394+W394</f>
        <v/>
      </c>
      <c r="E395" s="26">
        <f>E394+IF(U394="SK",1,0)</f>
        <v/>
      </c>
      <c r="F395" s="26">
        <f>F394+IF(U394="LB",1,0)</f>
        <v/>
      </c>
      <c r="G395" s="26">
        <f>G394+IF(U394="ML",1,0)</f>
        <v/>
      </c>
      <c r="H395" s="26">
        <f>H394+IF(U394="RLO",1,0)</f>
        <v/>
      </c>
      <c r="I395" s="26">
        <f>I394+IF(U394="BD",1,0)</f>
        <v/>
      </c>
      <c r="J395" s="26">
        <f>MAX(J394,IF(U394="BiP",1,0))</f>
        <v/>
      </c>
      <c r="K395" s="26">
        <f>MAX(K394,IF(U394="PV",1,0))</f>
        <v/>
      </c>
      <c r="L395" s="26">
        <f>MAX(L394,IF(U394="OC",1,0))</f>
        <v/>
      </c>
      <c r="M395" s="26">
        <f>MAX(M394,IF(U394="MG",1,0))</f>
        <v/>
      </c>
      <c r="N395" s="26">
        <f>MAX(N394,IF(U394="transition",1,0))</f>
        <v/>
      </c>
      <c r="O395" s="28">
        <f>(Parameters!$B$9+(IF(E395=0,0,(Upgrades!$J$13+E395*Upgrades!$K$13)*POWER(Upgrades!$L$13,E395)))*(IF(Upgrades!$T$14="Stellar Kinematics",POWER(Upgrades!$U$14,F395),1)*IF(Upgrades!$T$15="Stellar Kinematics",POWER(Upgrades!$U$15,G395),1)*IF(Upgrades!$T$16="Stellar Kinematics",POWER(Upgrades!$U$16,H395),1)*IF(Upgrades!$T$17="Stellar Kinematics",POWER(Upgrades!$U$17,I395),1)*IF(Upgrades!$T$18="Stellar Kinematics",POWER(Upgrades!$U$18,J395),1)*IF(Upgrades!$T$19="Stellar Kinematics",POWER(Upgrades!$U$19,K395),1)*IF(Upgrades!$T$20="Stellar Kinematics",POWER(Upgrades!$U$20,L395),1)*IF(Upgrades!$T$21="Stellar Kinematics",POWER(Upgrades!$U$21,M395),1))+(IF(F395=0,0,(Upgrades!$J$14+F395*Upgrades!$K$14)*POWER(Upgrades!$L$14,F395)))*(IF(Upgrades!$T$13="Local Bubble",POWER(Upgrades!$U$13,E395),1)*IF(Upgrades!$T$15="Local Bubble",POWER(Upgrades!$U$15,G395),1)*IF(Upgrades!$T$16="Local Bubble",POWER(Upgrades!$U$16,H395),1)*IF(Upgrades!$T$17="Local Bubble",POWER(Upgrades!$U$17,I395),1)*IF(Upgrades!$T$18="Local Bubble",POWER(Upgrades!$U$18,J395),1)*IF(Upgrades!$T$19="Local Bubble",POWER(Upgrades!$U$19,K395),1)*IF(Upgrades!$T$20="Local Bubble",POWER(Upgrades!$U$20,L395),1)*IF(Upgrades!$T$21="Local Bubble",POWER(Upgrades!$U$21,M395),1))+(IF(G395=0,0,(Upgrades!$J$15+G395*Upgrades!$K$15)*POWER(Upgrades!$L$15,G395)))*(IF(Upgrades!$T$13="Microlensing",POWER(Upgrades!$U$13,E395),1)*IF(Upgrades!$T$14="Microlensing",POWER(Upgrades!$U$14,F395),1)*IF(Upgrades!$T$16="Microlensing",POWER(Upgrades!$U$16,H395),1)*IF(Upgrades!$T$17="Microlensing",POWER(Upgrades!$U$17,I395),1)*IF(Upgrades!$T$18="Microlensing",POWER(Upgrades!$U$18,J395),1)*IF(Upgrades!$T$19="Microlensing",POWER(Upgrades!$U$19,K395),1)*IF(Upgrades!$T$20="Microlensing",POWER(Upgrades!$U$20,L395),1)*IF(Upgrades!$T$21="Microlensing",POWER(Upgrades!$U$21,M395),1))+(IF(H395=0,0,(Upgrades!$J$16+H395*Upgrades!$K$16)*POWER(Upgrades!$L$16,H395)))*(IF(Upgrades!$T$13="Roche Lobe Overflow",POWER(Upgrades!$U$13,E395),1)*IF(Upgrades!$T$14="Roche Lobe Overflow",POWER(Upgrades!$U$14,F395),1)*IF(Upgrades!$T$15="Roche Lobe Overflow",POWER(Upgrades!$U$15,G395),1)*IF(Upgrades!$T$17="Roche Lobe Overflow",POWER(Upgrades!$U$17,I395),1)*IF(Upgrades!$T$18="Roche Lobe Overflow",POWER(Upgrades!$U$18,J395),1)*IF(Upgrades!$T$19="Roche Lobe Overflow",POWER(Upgrades!$U$19,K395),1)*IF(Upgrades!$T$20="Roche Lobe Overflow",POWER(Upgrades!$U$20,L395),1)*IF(Upgrades!$T$21="Roche Lobe Overflow",POWER(Upgrades!$U$21,M395),1))+(IF(I395=0,0,(Upgrades!$J$17+I395*Upgrades!$K$17)*POWER(Upgrades!$L$17,I395)))*(IF(Upgrades!$T$13="Brown Dwarf",POWER(Upgrades!$U$13,E395),1)*IF(Upgrades!$T$14="Brown Dwarf",POWER(Upgrades!$U$14,F395),1)*IF(Upgrades!$T$15="Brown Dwarf",POWER(Upgrades!$U$15,G395),1)*IF(Upgrades!$T$16="Brown Dwarf",POWER(Upgrades!$U$16,H395),1)*IF(Upgrades!$T$18="Brown Dwarf",POWER(Upgrades!$U$18,J395),1)*IF(Upgrades!$T$19="Brown Dwarf",POWER(Upgrades!$U$19,K395),1)*IF(Upgrades!$T$20="Brown Dwarf",POWER(Upgrades!$U$20,L395),1)*IF(Upgrades!$T$21="Brown Dwarf",POWER(Upgrades!$U$21,M395),1))+(IF(J395=0,0,(Upgrades!$J$18+J395*Upgrades!$K$18)*POWER(Upgrades!$L$18,J395)))*(IF(Upgrades!$T$13="Binary Partner",POWER(Upgrades!$U$13,E395),1)*IF(Upgrades!$T$14="Binary Partner",POWER(Upgrades!$U$14,F395),1)*IF(Upgrades!$T$15="Binary Partner",POWER(Upgrades!$U$15,G395),1)*IF(Upgrades!$T$16="Binary Partner",POWER(Upgrades!$U$16,H395),1)*IF(Upgrades!$T$17="Binary Partner",POWER(Upgrades!$U$17,I395),1)*IF(Upgrades!$T$19="Binary Partner",POWER(Upgrades!$U$19,K395),1)*IF(Upgrades!$T$20="Binary Partner",POWER(Upgrades!$U$20,L395),1)*IF(Upgrades!$T$21="Binary Partner",POWER(Upgrades!$U$21,M395),1))+(IF(K395=0,0,(Upgrades!$J$19+K395*Upgrades!$K$19)*POWER(Upgrades!$L$19,K395)))*(IF(Upgrades!$T$13="Peculiar Velocity",POWER(Upgrades!$U$13,E395),1)*IF(Upgrades!$T$14="Peculiar Velocity",POWER(Upgrades!$U$14,F395),1)*IF(Upgrades!$T$15="Peculiar Velocity",POWER(Upgrades!$U$15,G395),1)*IF(Upgrades!$T$16="Peculiar Velocity",POWER(Upgrades!$U$16,H395),1)*IF(Upgrades!$T$17="Peculiar Velocity",POWER(Upgrades!$U$17,I395),1)*IF(Upgrades!$T$18="Peculiar Velocity",POWER(Upgrades!$U$18,J395),1)*IF(Upgrades!$T$20="Peculiar Velocity",POWER(Upgrades!$U$20,L395),1)*IF(Upgrades!$T$21="Peculiar Velocity",POWER(Upgrades!$U$21,M395),1))+(IF(L395=0,0,(Upgrades!$J$20+L395*Upgrades!$K$20)*POWER(Upgrades!$L$20,L395)))*(IF(Upgrades!$T$13="Open Cluster",POWER(Upgrades!$U$13,E395),1)*IF(Upgrades!$T$14="Open Cluster",POWER(Upgrades!$U$14,F395),1)*IF(Upgrades!$T$15="Open Cluster",POWER(Upgrades!$U$15,G395),1)*IF(Upgrades!$T$16="Open Cluster",POWER(Upgrades!$U$16,H395),1)*IF(Upgrades!$T$17="Open Cluster",POWER(Upgrades!$U$17,I395),1)*IF(Upgrades!$T$18="Open Cluster",POWER(Upgrades!$U$18,J395),1)*IF(Upgrades!$T$19="Open Cluster",POWER(Upgrades!$U$19,K395),1)*IF(Upgrades!$T$21="Open Cluster",POWER(Upgrades!$U$21,M395),1))+(IF(M395=0,0,(Upgrades!$J$21+M395*Upgrades!$K$21)*POWER(Upgrades!$L$21,M395)))*(IF(Upgrades!$T$13="Moving Group",POWER(Upgrades!$U$13,E395),1)*IF(Upgrades!$T$14="Moving Group",POWER(Upgrades!$U$14,F395),1)*IF(Upgrades!$T$15="Moving Group",POWER(Upgrades!$U$15,G395),1)*IF(Upgrades!$T$16="Moving Group",POWER(Upgrades!$U$16,H395),1)*IF(Upgrades!$T$17="Moving Group",POWER(Upgrades!$U$17,I395),1)*IF(Upgrades!$T$18="Moving Group",POWER(Upgrades!$U$18,J395),1)*IF(Upgrades!$T$19="Moving Group",POWER(Upgrades!$U$19,K395),1)*IF(Upgrades!$T$20="Moving Group",POWER(Upgrades!$U$20,L395),1)))*POWER(Upgrades!$Q$13,E395)*POWER(Upgrades!$Q$14,F395)*POWER(Upgrades!$Q$15,G395)*POWER(Upgrades!$Q$16,H395)*POWER(Upgrades!$Q$17,I395)*POWER(Upgrades!$Q$18,J395)*POWER(Upgrades!$Q$19,K395)*POWER(Upgrades!$Q$20,L395)*POWER(Upgrades!$Q$21,M395)*$G$6+$D$6</f>
        <v/>
      </c>
      <c r="P395" s="28">
        <f>((IF(E395=0,0,(Upgrades!$G$13+E395*Upgrades!$H$13)*POWER(Upgrades!$I$13,E395)))*(IF(Upgrades!$T$14="Stellar Kinematics",POWER(Upgrades!$U$14,F395),1)*IF(Upgrades!$T$15="Stellar Kinematics",POWER(Upgrades!$U$15,G395),1)*IF(Upgrades!$T$16="Stellar Kinematics",POWER(Upgrades!$U$16,H395),1)*IF(Upgrades!$T$17="Stellar Kinematics",POWER(Upgrades!$U$17,I395),1)*IF(Upgrades!$T$18="Stellar Kinematics",POWER(Upgrades!$U$18,J395),1)*IF(Upgrades!$T$19="Stellar Kinematics",POWER(Upgrades!$U$19,K395),1)*IF(Upgrades!$T$20="Stellar Kinematics",POWER(Upgrades!$U$20,L395),1)*IF(Upgrades!$T$21="Stellar Kinematics",POWER(Upgrades!$U$21,M395),1))+(IF(F395=0,0,(Upgrades!$G$14+F395*Upgrades!$H$14)*POWER(Upgrades!$I$14,F395)))*(IF(Upgrades!$T$13="Local Bubble",POWER(Upgrades!$U$13,E395),1)*IF(Upgrades!$T$15="Local Bubble",POWER(Upgrades!$U$15,G395),1)*IF(Upgrades!$T$16="Local Bubble",POWER(Upgrades!$U$16,H395),1)*IF(Upgrades!$T$17="Local Bubble",POWER(Upgrades!$U$17,I395),1)*IF(Upgrades!$T$18="Local Bubble",POWER(Upgrades!$U$18,J395),1)*IF(Upgrades!$T$19="Local Bubble",POWER(Upgrades!$U$19,K395),1)*IF(Upgrades!$T$20="Local Bubble",POWER(Upgrades!$U$20,L395),1)*IF(Upgrades!$T$21="Local Bubble",POWER(Upgrades!$U$21,M395),1))+(IF(G395=0,0,(Upgrades!$G$15+G395*Upgrades!$H$15)*POWER(Upgrades!$I$15,G395)))*(IF(Upgrades!$T$13="Microlensing",POWER(Upgrades!$U$13,E395),1)*IF(Upgrades!$T$14="Microlensing",POWER(Upgrades!$U$14,F395),1)*IF(Upgrades!$T$16="Microlensing",POWER(Upgrades!$U$16,H395),1)*IF(Upgrades!$T$17="Microlensing",POWER(Upgrades!$U$17,I395),1)*IF(Upgrades!$T$18="Microlensing",POWER(Upgrades!$U$18,J395),1)*IF(Upgrades!$T$19="Microlensing",POWER(Upgrades!$U$19,K395),1)*IF(Upgrades!$T$20="Microlensing",POWER(Upgrades!$U$20,L395),1)*IF(Upgrades!$T$21="Microlensing",POWER(Upgrades!$U$21,M395),1))+(IF(H395=0,0,(Upgrades!$G$16+H395*Upgrades!$H$16)*POWER(Upgrades!$I$16,H395)))*(IF(Upgrades!$T$13="Roche Lobe Overflow",POWER(Upgrades!$U$13,E395),1)*IF(Upgrades!$T$14="Roche Lobe Overflow",POWER(Upgrades!$U$14,F395),1)*IF(Upgrades!$T$15="Roche Lobe Overflow",POWER(Upgrades!$U$15,G395),1)*IF(Upgrades!$T$17="Roche Lobe Overflow",POWER(Upgrades!$U$17,I395),1)*IF(Upgrades!$T$18="Roche Lobe Overflow",POWER(Upgrades!$U$18,J395),1)*IF(Upgrades!$T$19="Roche Lobe Overflow",POWER(Upgrades!$U$19,K395),1)*IF(Upgrades!$T$20="Roche Lobe Overflow",POWER(Upgrades!$U$20,L395),1)*IF(Upgrades!$T$21="Roche Lobe Overflow",POWER(Upgrades!$U$21,M395),1))+(IF(I395=0,0,(Upgrades!$G$17+I395*Upgrades!$H$17)*POWER(Upgrades!$I$17,I395)))*(IF(Upgrades!$T$13="Brown Dwarf",POWER(Upgrades!$U$13,E395),1)*IF(Upgrades!$T$14="Brown Dwarf",POWER(Upgrades!$U$14,F395),1)*IF(Upgrades!$T$15="Brown Dwarf",POWER(Upgrades!$U$15,G395),1)*IF(Upgrades!$T$16="Brown Dwarf",POWER(Upgrades!$U$16,H395),1)*IF(Upgrades!$T$18="Brown Dwarf",POWER(Upgrades!$U$18,J395),1)*IF(Upgrades!$T$19="Brown Dwarf",POWER(Upgrades!$U$19,K395),1)*IF(Upgrades!$T$20="Brown Dwarf",POWER(Upgrades!$U$20,L395),1)*IF(Upgrades!$T$21="Brown Dwarf",POWER(Upgrades!$U$21,M395),1))+(IF(J395=0,0,(Upgrades!$G$18+J395*Upgrades!$H$18)*POWER(Upgrades!$I$18,J395)))*(IF(Upgrades!$T$13="Binary Partner",POWER(Upgrades!$U$13,E395),1)*IF(Upgrades!$T$14="Binary Partner",POWER(Upgrades!$U$14,F395),1)*IF(Upgrades!$T$15="Binary Partner",POWER(Upgrades!$U$15,G395),1)*IF(Upgrades!$T$16="Binary Partner",POWER(Upgrades!$U$16,H395),1)*IF(Upgrades!$T$17="Binary Partner",POWER(Upgrades!$U$17,I395),1)*IF(Upgrades!$T$19="Binary Partner",POWER(Upgrades!$U$19,K395),1)*IF(Upgrades!$T$20="Binary Partner",POWER(Upgrades!$U$20,L395),1)*IF(Upgrades!$T$21="Binary Partner",POWER(Upgrades!$U$21,M395),1))+(IF(K395=0,0,(Upgrades!$G$19+K395*Upgrades!$H$19)*POWER(Upgrades!$I$19,K395)))*(IF(Upgrades!$T$13="Peculiar Velocity",POWER(Upgrades!$U$13,E395),1)*IF(Upgrades!$T$14="Peculiar Velocity",POWER(Upgrades!$U$14,F395),1)*IF(Upgrades!$T$15="Peculiar Velocity",POWER(Upgrades!$U$15,G395),1)*IF(Upgrades!$T$16="Peculiar Velocity",POWER(Upgrades!$U$16,H395),1)*IF(Upgrades!$T$17="Peculiar Velocity",POWER(Upgrades!$U$17,I395),1)*IF(Upgrades!$T$18="Peculiar Velocity",POWER(Upgrades!$U$18,J395),1)*IF(Upgrades!$T$20="Peculiar Velocity",POWER(Upgrades!$U$20,L395),1)*IF(Upgrades!$T$21="Peculiar Velocity",POWER(Upgrades!$U$21,M395),1))+(IF(L395=0,0,(Upgrades!$G$20+L395*Upgrades!$H$20)*POWER(Upgrades!$I$20,L395)))*(IF(Upgrades!$T$13="Open Cluster",POWER(Upgrades!$U$13,E395),1)*IF(Upgrades!$T$14="Open Cluster",POWER(Upgrades!$U$14,F395),1)*IF(Upgrades!$T$15="Open Cluster",POWER(Upgrades!$U$15,G395),1)*IF(Upgrades!$T$16="Open Cluster",POWER(Upgrades!$U$16,H395),1)*IF(Upgrades!$T$17="Open Cluster",POWER(Upgrades!$U$17,I395),1)*IF(Upgrades!$T$18="Open Cluster",POWER(Upgrades!$U$18,J395),1)*IF(Upgrades!$T$19="Open Cluster",POWER(Upgrades!$U$19,K395),1)*IF(Upgrades!$T$21="Open Cluster",POWER(Upgrades!$U$21,M395),1))+(IF(M395=0,0,(Upgrades!$G$21+M395*Upgrades!$H$21)*POWER(Upgrades!$I$21,M395)))*(IF(Upgrades!$T$13="Moving Group",POWER(Upgrades!$U$13,E395),1)*IF(Upgrades!$T$14="Moving Group",POWER(Upgrades!$U$14,F395),1)*IF(Upgrades!$T$15="Moving Group",POWER(Upgrades!$U$15,G395),1)*IF(Upgrades!$T$16="Moving Group",POWER(Upgrades!$U$16,H395),1)*IF(Upgrades!$T$17="Moving Group",POWER(Upgrades!$U$17,I395),1)*IF(Upgrades!$T$18="Moving Group",POWER(Upgrades!$U$18,J395),1)*IF(Upgrades!$T$19="Moving Group",POWER(Upgrades!$U$19,K395),1)*IF(Upgrades!$T$20="Moving Group",POWER(Upgrades!$U$20,L395),1)))*POWER(Upgrades!$P$13,E395)*POWER(Upgrades!$P$14,F395)*POWER(Upgrades!$P$15,G395)*POWER(Upgrades!$P$16,H395)*POWER(Upgrades!$P$17,I395)*POWER(Upgrades!$P$18,J395)*POWER(Upgrades!$P$19,K395)*POWER(Upgrades!$P$20,L395)*POWER(Upgrades!$P$21,M395)*$F$6+$C$6</f>
        <v/>
      </c>
      <c r="Q395" s="28">
        <f>((IF(E395=0,0,(Upgrades!$M$13+E395*Upgrades!$N$13)*POWER(Upgrades!$O$13,E395)))*(IF(Upgrades!$T$14="Stellar Kinematics",POWER(Upgrades!$U$14,F395),1)*IF(Upgrades!$T$15="Stellar Kinematics",POWER(Upgrades!$U$15,G395),1)*IF(Upgrades!$T$16="Stellar Kinematics",POWER(Upgrades!$U$16,H395),1)*IF(Upgrades!$T$17="Stellar Kinematics",POWER(Upgrades!$U$17,I395),1)*IF(Upgrades!$T$18="Stellar Kinematics",POWER(Upgrades!$U$18,J395),1)*IF(Upgrades!$T$19="Stellar Kinematics",POWER(Upgrades!$U$19,K395),1)*IF(Upgrades!$T$20="Stellar Kinematics",POWER(Upgrades!$U$20,L395),1)*IF(Upgrades!$T$21="Stellar Kinematics",POWER(Upgrades!$U$21,M395),1))+(IF(F395=0,0,(Upgrades!$M$14+F395*Upgrades!$N$14)*POWER(Upgrades!$O$14,F395)))*(IF(Upgrades!$T$13="Local Bubble",POWER(Upgrades!$U$13,E395),1)*IF(Upgrades!$T$15="Local Bubble",POWER(Upgrades!$U$15,G395),1)*IF(Upgrades!$T$16="Local Bubble",POWER(Upgrades!$U$16,H395),1)*IF(Upgrades!$T$17="Local Bubble",POWER(Upgrades!$U$17,I395),1)*IF(Upgrades!$T$18="Local Bubble",POWER(Upgrades!$U$18,J395),1)*IF(Upgrades!$T$19="Local Bubble",POWER(Upgrades!$U$19,K395),1)*IF(Upgrades!$T$20="Local Bubble",POWER(Upgrades!$U$20,L395),1)*IF(Upgrades!$T$21="Local Bubble",POWER(Upgrades!$U$21,M395),1))+(IF(G395=0,0,(Upgrades!$M$15+G395*Upgrades!$N$15)*POWER(Upgrades!$O$15,G395)))*(IF(Upgrades!$T$13="Microlensing",POWER(Upgrades!$U$13,E395),1)*IF(Upgrades!$T$14="Microlensing",POWER(Upgrades!$U$14,F395),1)*IF(Upgrades!$T$16="Microlensing",POWER(Upgrades!$U$16,H395),1)*IF(Upgrades!$T$17="Microlensing",POWER(Upgrades!$U$17,I395),1)*IF(Upgrades!$T$18="Microlensing",POWER(Upgrades!$U$18,J395),1)*IF(Upgrades!$T$19="Microlensing",POWER(Upgrades!$U$19,K395),1)*IF(Upgrades!$T$20="Microlensing",POWER(Upgrades!$U$20,L395),1)*IF(Upgrades!$T$21="Microlensing",POWER(Upgrades!$U$21,M395),1))+(IF(H395=0,0,(Upgrades!$M$16+H395*Upgrades!$N$16)*POWER(Upgrades!$O$16,H395)))*(IF(Upgrades!$T$13="Roche Lobe Overflow",POWER(Upgrades!$U$13,E395),1)*IF(Upgrades!$T$14="Roche Lobe Overflow",POWER(Upgrades!$U$14,F395),1)*IF(Upgrades!$T$15="Roche Lobe Overflow",POWER(Upgrades!$U$15,G395),1)*IF(Upgrades!$T$17="Roche Lobe Overflow",POWER(Upgrades!$U$17,I395),1)*IF(Upgrades!$T$18="Roche Lobe Overflow",POWER(Upgrades!$U$18,J395),1)*IF(Upgrades!$T$19="Roche Lobe Overflow",POWER(Upgrades!$U$19,K395),1)*IF(Upgrades!$T$20="Roche Lobe Overflow",POWER(Upgrades!$U$20,L395),1)*IF(Upgrades!$T$21="Roche Lobe Overflow",POWER(Upgrades!$U$21,M395),1))+(IF(I395=0,0,(Upgrades!$M$17+I395*Upgrades!$N$17)*POWER(Upgrades!$O$17,I395)))*(IF(Upgrades!$T$13="Brown Dwarf",POWER(Upgrades!$U$13,E395),1)*IF(Upgrades!$T$14="Brown Dwarf",POWER(Upgrades!$U$14,F395),1)*IF(Upgrades!$T$15="Brown Dwarf",POWER(Upgrades!$U$15,G395),1)*IF(Upgrades!$T$16="Brown Dwarf",POWER(Upgrades!$U$16,H395),1)*IF(Upgrades!$T$18="Brown Dwarf",POWER(Upgrades!$U$18,J395),1)*IF(Upgrades!$T$19="Brown Dwarf",POWER(Upgrades!$U$19,K395),1)*IF(Upgrades!$T$20="Brown Dwarf",POWER(Upgrades!$U$20,L395),1)*IF(Upgrades!$T$21="Brown Dwarf",POWER(Upgrades!$U$21,M395),1))+(IF(J395=0,0,(Upgrades!$M$18+J395*Upgrades!$N$18)*POWER(Upgrades!$O$18,J395)))*(IF(Upgrades!$T$13="Binary Partner",POWER(Upgrades!$U$13,E395),1)*IF(Upgrades!$T$14="Binary Partner",POWER(Upgrades!$U$14,F395),1)*IF(Upgrades!$T$15="Binary Partner",POWER(Upgrades!$U$15,G395),1)*IF(Upgrades!$T$16="Binary Partner",POWER(Upgrades!$U$16,H395),1)*IF(Upgrades!$T$17="Binary Partner",POWER(Upgrades!$U$17,I395),1)*IF(Upgrades!$T$19="Binary Partner",POWER(Upgrades!$U$19,K395),1)*IF(Upgrades!$T$20="Binary Partner",POWER(Upgrades!$U$20,L395),1)*IF(Upgrades!$T$21="Binary Partner",POWER(Upgrades!$U$21,M395),1))+(IF(K395=0,0,(Upgrades!$M$19+K395*Upgrades!$N$19)*POWER(Upgrades!$O$19,K395)))*(IF(Upgrades!$T$13="Peculiar Velocity",POWER(Upgrades!$U$13,E395),1)*IF(Upgrades!$T$14="Peculiar Velocity",POWER(Upgrades!$U$14,F395),1)*IF(Upgrades!$T$15="Peculiar Velocity",POWER(Upgrades!$U$15,G395),1)*IF(Upgrades!$T$16="Peculiar Velocity",POWER(Upgrades!$U$16,H395),1)*IF(Upgrades!$T$17="Peculiar Velocity",POWER(Upgrades!$U$17,I395),1)*IF(Upgrades!$T$18="Peculiar Velocity",POWER(Upgrades!$U$18,J395),1)*IF(Upgrades!$T$20="Peculiar Velocity",POWER(Upgrades!$U$20,L395),1)*IF(Upgrades!$T$21="Peculiar Velocity",POWER(Upgrades!$U$21,M395),1))+(IF(L395=0,0,(Upgrades!$M$20+L395*Upgrades!$N$20)*POWER(Upgrades!$O$20,L395)))*(IF(Upgrades!$T$13="Open Cluster",POWER(Upgrades!$U$13,E395),1)*IF(Upgrades!$T$14="Open Cluster",POWER(Upgrades!$U$14,F395),1)*IF(Upgrades!$T$15="Open Cluster",POWER(Upgrades!$U$15,G395),1)*IF(Upgrades!$T$16="Open Cluster",POWER(Upgrades!$U$16,H395),1)*IF(Upgrades!$T$17="Open Cluster",POWER(Upgrades!$U$17,I395),1)*IF(Upgrades!$T$18="Open Cluster",POWER(Upgrades!$U$18,J395),1)*IF(Upgrades!$T$19="Open Cluster",POWER(Upgrades!$U$19,K395),1)*IF(Upgrades!$T$21="Open Cluster",POWER(Upgrades!$U$21,M395),1))+(IF(M395=0,0,(Upgrades!$M$21+M395*Upgrades!$N$21)*POWER(Upgrades!$O$21,M395)))*(IF(Upgrades!$T$13="Moving Group",POWER(Upgrades!$U$13,E395),1)*IF(Upgrades!$T$14="Moving Group",POWER(Upgrades!$U$14,F395),1)*IF(Upgrades!$T$15="Moving Group",POWER(Upgrades!$U$15,G395),1)*IF(Upgrades!$T$16="Moving Group",POWER(Upgrades!$U$16,H395),1)*IF(Upgrades!$T$17="Moving Group",POWER(Upgrades!$U$17,I395),1)*IF(Upgrades!$T$18="Moving Group",POWER(Upgrades!$U$18,J395),1)*IF(Upgrades!$T$19="Moving Group",POWER(Upgrades!$U$19,K395),1)*IF(Upgrades!$T$20="Moving Group",POWER(Upgrades!$U$20,L395),1)))*POWER(Upgrades!$R$13,E395)*POWER(Upgrades!$R$14,F395)*POWER(Upgrades!$R$15,G395)*POWER(Upgrades!$R$16,H395)*POWER(Upgrades!$R$17,I395)*POWER(Upgrades!$R$18,J395)*POWER(Upgrades!$R$19,K395)*POWER(Upgrades!$R$20,L395)*POWER(Upgrades!$R$21,M395)*$H$6+$E$6</f>
        <v/>
      </c>
      <c r="R395" s="27">
        <f>IF(N395=1,0,O395*Parameters!$B$10/60*Parameters!$B$11*10)</f>
        <v/>
      </c>
      <c r="S395" s="27">
        <f>IF(N395=1,0,Q395*O395*10)</f>
        <v/>
      </c>
      <c r="T395" s="27">
        <f>IF(N395=1,0,R395+S395+P395*10)</f>
        <v/>
      </c>
      <c r="U395" s="33">
        <f>BE395</f>
        <v/>
      </c>
      <c r="V395" s="22">
        <f>IF(U395="",0,IF(U395="transition",0,IF(U395="SK",AK395,IF(U395="LB",AL395,IF(U395="ML",AM395,IF(U395="RLO",AN395,IF(U395="BD",AO395,IF(U395="BiP",AP395,IF(U395="PV",AQ395,IF(U395="OC",AR395,IF(U395="MG",AS395,0))))))))))</f>
        <v/>
      </c>
      <c r="W395" s="27">
        <f>IF(U395="BiP",Upgrades!$F$18,IF(U395="PV",Upgrades!$F$19,IF(U395="OC",Upgrades!$F$20,IF(U395="MG",Upgrades!$F$21,IF(U395="transition",-Parameters!$B$18*Parameters!$B$19,0)))))</f>
        <v/>
      </c>
      <c r="X395" s="22">
        <f>C395+T395-V395</f>
        <v/>
      </c>
      <c r="Y395" s="30">
        <f>O395*Parameters!$B$10/60*Parameters!$B$11+Q395*O395+P395</f>
        <v/>
      </c>
      <c r="Z395" s="34">
        <f>IF(U395="transition","→ Tier 3 (Galactic Arm)",IF(U395="MG","Moving Group — pocket drifts together",IF(U395="OC","Open Cluster acquired",IF(U395="PV","Peculiar Velocity — passive multiplier active",IF(U395="BiP","Binary Partner — pair bond formed",IF(AND(AU395=1,N395=0,AT395&lt;&gt;1),"Cohesion ready (waiting on completionists)","")))))) </f>
        <v/>
      </c>
      <c r="AA395" s="27">
        <f>(IF(E395=0,0,(Upgrades!$G$13+E395*Upgrades!$H$13)*POWER(Upgrades!$I$13,E395)))*(IF(Upgrades!$T$14="Stellar Kinematics",POWER(Upgrades!$U$14,F395),1)*IF(Upgrades!$T$15="Stellar Kinematics",POWER(Upgrades!$U$15,G395),1)*IF(Upgrades!$T$16="Stellar Kinematics",POWER(Upgrades!$U$16,H395),1)*IF(Upgrades!$T$17="Stellar Kinematics",POWER(Upgrades!$U$17,I395),1)*IF(Upgrades!$T$18="Stellar Kinematics",POWER(Upgrades!$U$18,J395),1)*IF(Upgrades!$T$19="Stellar Kinematics",POWER(Upgrades!$U$19,K395),1)*IF(Upgrades!$T$20="Stellar Kinematics",POWER(Upgrades!$U$20,L395),1)*IF(Upgrades!$T$21="Stellar Kinematics",POWER(Upgrades!$U$21,M395),1))*POWER(Upgrades!$P$13,E395)*POWER(Upgrades!$P$14,F395)*POWER(Upgrades!$P$15,G395)*POWER(Upgrades!$P$16,H395)*POWER(Upgrades!$P$17,I395)*POWER(Upgrades!$P$18,J395)*POWER(Upgrades!$P$19,K395)*POWER(Upgrades!$P$20,L395)*POWER(Upgrades!$P$21,M395)*$F$6*60</f>
        <v/>
      </c>
      <c r="AB395" s="27">
        <f>(IF(F395=0,0,(Upgrades!$G$14+F395*Upgrades!$H$14)*POWER(Upgrades!$I$14,F395)))*(IF(Upgrades!$T$13="Local Bubble",POWER(Upgrades!$U$13,E395),1)*IF(Upgrades!$T$15="Local Bubble",POWER(Upgrades!$U$15,G395),1)*IF(Upgrades!$T$16="Local Bubble",POWER(Upgrades!$U$16,H395),1)*IF(Upgrades!$T$17="Local Bubble",POWER(Upgrades!$U$17,I395),1)*IF(Upgrades!$T$18="Local Bubble",POWER(Upgrades!$U$18,J395),1)*IF(Upgrades!$T$19="Local Bubble",POWER(Upgrades!$U$19,K395),1)*IF(Upgrades!$T$20="Local Bubble",POWER(Upgrades!$U$20,L395),1)*IF(Upgrades!$T$21="Local Bubble",POWER(Upgrades!$U$21,M395),1))*POWER(Upgrades!$P$13,E395)*POWER(Upgrades!$P$14,F395)*POWER(Upgrades!$P$15,G395)*POWER(Upgrades!$P$16,H395)*POWER(Upgrades!$P$17,I395)*POWER(Upgrades!$P$18,J395)*POWER(Upgrades!$P$19,K395)*POWER(Upgrades!$P$20,L395)*POWER(Upgrades!$P$21,M395)*$F$6*60</f>
        <v/>
      </c>
      <c r="AC395" s="27">
        <f>(IF(G395=0,0,(Upgrades!$J$15+G395*Upgrades!$K$15)*POWER(Upgrades!$L$15,G395)))*(IF(Upgrades!$T$13="Microlensing",POWER(Upgrades!$U$13,E395),1)*IF(Upgrades!$T$14="Microlensing",POWER(Upgrades!$U$14,F395),1)*IF(Upgrades!$T$16="Microlensing",POWER(Upgrades!$U$16,H395),1)*IF(Upgrades!$T$17="Microlensing",POWER(Upgrades!$U$17,I395),1)*IF(Upgrades!$T$18="Microlensing",POWER(Upgrades!$U$18,J395),1)*IF(Upgrades!$T$19="Microlensing",POWER(Upgrades!$U$19,K395),1)*IF(Upgrades!$T$20="Microlensing",POWER(Upgrades!$U$20,L395),1)*IF(Upgrades!$T$21="Microlensing",POWER(Upgrades!$U$21,M395),1))*POWER(Upgrades!$Q$13,E395)*POWER(Upgrades!$Q$14,F395)*POWER(Upgrades!$Q$15,G395)*POWER(Upgrades!$Q$16,H395)*POWER(Upgrades!$Q$17,I395)*POWER(Upgrades!$Q$18,J395)*POWER(Upgrades!$Q$19,K395)*POWER(Upgrades!$Q$20,L395)*POWER(Upgrades!$Q$21,M395)*$G$6*(Parameters!$B$10*Parameters!$B$11+Q395*60)</f>
        <v/>
      </c>
      <c r="AD395" s="27">
        <f>(IF(H395=0,0,(Upgrades!$M$16+H395*Upgrades!$N$16)*POWER(Upgrades!$O$16,H395)))*(IF(Upgrades!$T$13="Roche Lobe Overflow",POWER(Upgrades!$U$13,E395),1)*IF(Upgrades!$T$14="Roche Lobe Overflow",POWER(Upgrades!$U$14,F395),1)*IF(Upgrades!$T$15="Roche Lobe Overflow",POWER(Upgrades!$U$15,G395),1)*IF(Upgrades!$T$17="Roche Lobe Overflow",POWER(Upgrades!$U$17,I395),1)*IF(Upgrades!$T$18="Roche Lobe Overflow",POWER(Upgrades!$U$18,J395),1)*IF(Upgrades!$T$19="Roche Lobe Overflow",POWER(Upgrades!$U$19,K395),1)*IF(Upgrades!$T$20="Roche Lobe Overflow",POWER(Upgrades!$U$20,L395),1)*IF(Upgrades!$T$21="Roche Lobe Overflow",POWER(Upgrades!$U$21,M395),1))*POWER(Upgrades!$R$13,E395)*POWER(Upgrades!$R$14,F395)*POWER(Upgrades!$R$15,G395)*POWER(Upgrades!$R$16,H395)*POWER(Upgrades!$R$17,I395)*POWER(Upgrades!$R$18,J395)*POWER(Upgrades!$R$19,K395)*POWER(Upgrades!$R$20,L395)*POWER(Upgrades!$R$21,M395)*$H$6*O395*60</f>
        <v/>
      </c>
      <c r="AE395" s="27">
        <f>(IF(I395=0,0,(Upgrades!$G$17+I395*Upgrades!$H$17)*POWER(Upgrades!$I$17,I395)))*(IF(Upgrades!$T$13="Brown Dwarf",POWER(Upgrades!$U$13,E395),1)*IF(Upgrades!$T$14="Brown Dwarf",POWER(Upgrades!$U$14,F395),1)*IF(Upgrades!$T$15="Brown Dwarf",POWER(Upgrades!$U$15,G395),1)*IF(Upgrades!$T$16="Brown Dwarf",POWER(Upgrades!$U$16,H395),1)*IF(Upgrades!$T$18="Brown Dwarf",POWER(Upgrades!$U$18,J395),1)*IF(Upgrades!$T$19="Brown Dwarf",POWER(Upgrades!$U$19,K395),1)*IF(Upgrades!$T$20="Brown Dwarf",POWER(Upgrades!$U$20,L395),1)*IF(Upgrades!$T$21="Brown Dwarf",POWER(Upgrades!$U$21,M395),1))*POWER(Upgrades!$P$13,E395)*POWER(Upgrades!$P$14,F395)*POWER(Upgrades!$P$15,G395)*POWER(Upgrades!$P$16,H395)*POWER(Upgrades!$P$17,I395)*POWER(Upgrades!$P$18,J395)*POWER(Upgrades!$P$19,K395)*POWER(Upgrades!$P$20,L395)*POWER(Upgrades!$P$21,M395)*$F$6*60</f>
        <v/>
      </c>
      <c r="AF395" s="27" t="n">
        <v>0</v>
      </c>
      <c r="AG395" s="27" t="n">
        <v>0</v>
      </c>
      <c r="AH395" s="27" t="n">
        <v>0</v>
      </c>
      <c r="AI395" s="27">
        <f>(IF(M395=0,0,(Upgrades!$G$21+M395*Upgrades!$H$21)*POWER(Upgrades!$I$21,M395)))*(IF(Upgrades!$T$13="Moving Group",POWER(Upgrades!$U$13,E395),1)*IF(Upgrades!$T$14="Moving Group",POWER(Upgrades!$U$14,F395),1)*IF(Upgrades!$T$15="Moving Group",POWER(Upgrades!$U$15,G395),1)*IF(Upgrades!$T$16="Moving Group",POWER(Upgrades!$U$16,H395),1)*IF(Upgrades!$T$17="Moving Group",POWER(Upgrades!$U$17,I395),1)*IF(Upgrades!$T$18="Moving Group",POWER(Upgrades!$U$18,J395),1)*IF(Upgrades!$T$19="Moving Group",POWER(Upgrades!$U$19,K395),1)*IF(Upgrades!$T$20="Moving Group",POWER(Upgrades!$U$20,L395),1))*POWER(Upgrades!$P$13,E395)*POWER(Upgrades!$P$14,F395)*POWER(Upgrades!$P$15,G395)*POWER(Upgrades!$P$16,H395)*POWER(Upgrades!$P$17,I395)*POWER(Upgrades!$P$18,J395)*POWER(Upgrades!$P$19,K395)*POWER(Upgrades!$P$20,L395)*POWER(Upgrades!$P$21,M395)*$F$6*60</f>
        <v/>
      </c>
      <c r="AJ395" s="27">
        <f>$C$6*60</f>
        <v/>
      </c>
      <c r="AK395" s="22">
        <f>IF(E395&gt;=Upgrades!$E$13,"",Upgrades!$C$13*POWER(Upgrades!$D$13,E395))</f>
        <v/>
      </c>
      <c r="AL395" s="22">
        <f>IF(F395&gt;=Upgrades!$E$14,"",Upgrades!$C$14*POWER(Upgrades!$D$14,F395))</f>
        <v/>
      </c>
      <c r="AM395" s="22">
        <f>IF(G395&gt;=Upgrades!$E$15,"",Upgrades!$C$15*POWER(Upgrades!$D$15,G395))</f>
        <v/>
      </c>
      <c r="AN395" s="22">
        <f>IF(H395&gt;=Upgrades!$E$16,"",Upgrades!$C$16*POWER(Upgrades!$D$16,H395))</f>
        <v/>
      </c>
      <c r="AO395" s="22">
        <f>IF(I395&gt;=Upgrades!$E$17,"",Upgrades!$C$17*POWER(Upgrades!$D$17,I395))</f>
        <v/>
      </c>
      <c r="AP395" s="22">
        <f>IF(J395&gt;=Upgrades!$E$18,"",Upgrades!$C$18*POWER(Upgrades!$D$18,J395))</f>
        <v/>
      </c>
      <c r="AQ395" s="22">
        <f>IF(K395&gt;=Upgrades!$E$19,"",Upgrades!$C$19*POWER(Upgrades!$D$19,K395))</f>
        <v/>
      </c>
      <c r="AR395" s="22">
        <f>IF(L395&gt;=Upgrades!$E$20,"",Upgrades!$C$20*POWER(Upgrades!$D$20,L395))</f>
        <v/>
      </c>
      <c r="AS395" s="22">
        <f>IF(M395&gt;=Upgrades!$E$21,"",Upgrades!$C$21*POWER(Upgrades!$D$21,M395))</f>
        <v/>
      </c>
      <c r="AT395" s="26">
        <f>IF(AND(D395&gt;=Parameters!$B$18*Parameters!$B$19,(I395&gt;=Upgrades!$E$17)*(M395&gt;=Upgrades!$E$21)=1,N395=0),1,"")</f>
        <v/>
      </c>
      <c r="AU395" s="26">
        <f>IF(AND(D395&gt;=Parameters!$B$18*Parameters!$B$19,N395=0),1,"")</f>
        <v/>
      </c>
      <c r="AV395" s="22">
        <f>MIN(IF(ISNUMBER(AP395),AP395,9E15),IF(ISNUMBER(AQ395),AQ395,9E15),IF(ISNUMBER(AR395),AR395,9E15),IF(ISNUMBER(AS395),AS395,9E15))</f>
        <v/>
      </c>
      <c r="AW395" s="22">
        <f>MIN(IF(ISNUMBER(AK395),AK395,9E15),IF(ISNUMBER(AL395),AL395,9E15),IF(ISNUMBER(AM395),AM395,9E15),IF(ISNUMBER(AN395),AN395,9E15),IF(ISNUMBER(AO395),AO395,9E15))</f>
        <v/>
      </c>
      <c r="AX395" s="29">
        <f>IF(BD395&gt;Parameters!$B$21*(MAX(IF(AND(NOT(AND(AU395=1,AT395&lt;&gt;1)),ISNUMBER(AK395),AK395&lt;=(C395+T395)),AY395,0),IF(AND(NOT(AND(AU395=1,AT395&lt;&gt;1)),ISNUMBER(AL395),AL395&lt;=(C395+T395)),AZ395,0),IF(AND(NOT(AND(AU395=1,AT395&lt;&gt;1)),ISNUMBER(AM395),AM395&lt;=(C395+T395)),BA395,0),IF(AND(NOT(AND(AU395=1,AT395&lt;&gt;1)),ISNUMBER(AN395),AN395&lt;=(C395+T395)),BB395,0),IF(AND(ISNUMBER(AO395),AO395&lt;=(C395+T395)),BC395,0))),TRUE,FALSE)</f>
        <v/>
      </c>
      <c r="AY395" s="32">
        <f>IFERROR(Upgrades!$H$13*(POWER(Upgrades!$P$13,E395)*POWER(Upgrades!$P$14,F395)*POWER(Upgrades!$P$15,G395)*POWER(Upgrades!$P$16,H395)*POWER(Upgrades!$P$17,I395)*POWER(Upgrades!$P$18,J395)*POWER(Upgrades!$P$19,K395)*POWER(Upgrades!$P$20,L395)*POWER(Upgrades!$P$21,M395))*(IF(Upgrades!$T$14="Stellar Kinematics",POWER(Upgrades!$U$14,F395),1)*IF(Upgrades!$T$15="Stellar Kinematics",POWER(Upgrades!$U$15,G395),1)*IF(Upgrades!$T$16="Stellar Kinematics",POWER(Upgrades!$U$16,H395),1)*IF(Upgrades!$T$17="Stellar Kinematics",POWER(Upgrades!$U$17,I395),1)*IF(Upgrades!$T$18="Stellar Kinematics",POWER(Upgrades!$U$18,J395),1)*IF(Upgrades!$T$19="Stellar Kinematics",POWER(Upgrades!$U$19,K395),1)*IF(Upgrades!$T$20="Stellar Kinematics",POWER(Upgrades!$U$20,L395),1)*IF(Upgrades!$T$21="Stellar Kinematics",POWER(Upgrades!$U$21,M395),1))*$F$6/AK395,0)</f>
        <v/>
      </c>
      <c r="AZ395" s="32">
        <f>IFERROR(Upgrades!$H$14*(POWER(Upgrades!$P$13,E395)*POWER(Upgrades!$P$14,F395)*POWER(Upgrades!$P$15,G395)*POWER(Upgrades!$P$16,H395)*POWER(Upgrades!$P$17,I395)*POWER(Upgrades!$P$18,J395)*POWER(Upgrades!$P$19,K395)*POWER(Upgrades!$P$20,L395)*POWER(Upgrades!$P$21,M395))*(IF(Upgrades!$T$13="Local Bubble",POWER(Upgrades!$U$13,E395),1)*IF(Upgrades!$T$15="Local Bubble",POWER(Upgrades!$U$15,G395),1)*IF(Upgrades!$T$16="Local Bubble",POWER(Upgrades!$U$16,H395),1)*IF(Upgrades!$T$17="Local Bubble",POWER(Upgrades!$U$17,I395),1)*IF(Upgrades!$T$18="Local Bubble",POWER(Upgrades!$U$18,J395),1)*IF(Upgrades!$T$19="Local Bubble",POWER(Upgrades!$U$19,K395),1)*IF(Upgrades!$T$20="Local Bubble",POWER(Upgrades!$U$20,L395),1)*IF(Upgrades!$T$21="Local Bubble",POWER(Upgrades!$U$21,M395),1))*$F$6/AL395,0)</f>
        <v/>
      </c>
      <c r="BA395" s="32">
        <f>IFERROR(Upgrades!$K$15*(POWER(Upgrades!$Q$13,E395)*POWER(Upgrades!$Q$14,F395)*POWER(Upgrades!$Q$15,G395)*POWER(Upgrades!$Q$16,H395)*POWER(Upgrades!$Q$17,I395)*POWER(Upgrades!$Q$18,J395)*POWER(Upgrades!$Q$19,K395)*POWER(Upgrades!$Q$20,L395)*POWER(Upgrades!$Q$21,M395))*(IF(Upgrades!$T$13="Microlensing",POWER(Upgrades!$U$13,E395),1)*IF(Upgrades!$T$14="Microlensing",POWER(Upgrades!$U$14,F395),1)*IF(Upgrades!$T$16="Microlensing",POWER(Upgrades!$U$16,H395),1)*IF(Upgrades!$T$17="Microlensing",POWER(Upgrades!$U$17,I395),1)*IF(Upgrades!$T$18="Microlensing",POWER(Upgrades!$U$18,J395),1)*IF(Upgrades!$T$19="Microlensing",POWER(Upgrades!$U$19,K395),1)*IF(Upgrades!$T$20="Microlensing",POWER(Upgrades!$U$20,L395),1)*IF(Upgrades!$T$21="Microlensing",POWER(Upgrades!$U$21,M395),1))*$G$6*(Parameters!$B$10/60*Parameters!$B$11+Q395)/AM395,0)</f>
        <v/>
      </c>
      <c r="BB395" s="32">
        <f>IFERROR((Upgrades!$N$16*(POWER(Upgrades!$R$13,E395)*POWER(Upgrades!$R$14,F395)*POWER(Upgrades!$R$15,G395)*POWER(Upgrades!$R$16,H395)*POWER(Upgrades!$R$17,I395)*POWER(Upgrades!$R$18,J395)*POWER(Upgrades!$R$19,K395)*POWER(Upgrades!$R$20,L395)*POWER(Upgrades!$R$21,M395))*(IF(Upgrades!$T$13="Roche Lobe Overflow",POWER(Upgrades!$U$13,E395),1)*IF(Upgrades!$T$14="Roche Lobe Overflow",POWER(Upgrades!$U$14,F395),1)*IF(Upgrades!$T$15="Roche Lobe Overflow",POWER(Upgrades!$U$15,G395),1)*IF(Upgrades!$T$17="Roche Lobe Overflow",POWER(Upgrades!$U$17,I395),1)*IF(Upgrades!$T$18="Roche Lobe Overflow",POWER(Upgrades!$U$18,J395),1)*IF(Upgrades!$T$19="Roche Lobe Overflow",POWER(Upgrades!$U$19,K395),1)*IF(Upgrades!$T$20="Roche Lobe Overflow",POWER(Upgrades!$U$20,L395),1)*IF(Upgrades!$T$21="Roche Lobe Overflow",POWER(Upgrades!$U$21,M395),1))*$H$6*O395+((IF(F395=0,0,(Upgrades!$G$14+F395*Upgrades!$H$14)*POWER(Upgrades!$I$14,F395)))*(IF(Upgrades!$T$13="Local Bubble",POWER(Upgrades!$U$13,E395),1)*IF(Upgrades!$T$15="Local Bubble",POWER(Upgrades!$U$15,G395),1)*IF(Upgrades!$T$16="Local Bubble",POWER(Upgrades!$U$16,H395),1)*IF(Upgrades!$T$17="Local Bubble",POWER(Upgrades!$U$17,I395),1)*IF(Upgrades!$T$18="Local Bubble",POWER(Upgrades!$U$18,J395),1)*IF(Upgrades!$T$19="Local Bubble",POWER(Upgrades!$U$19,K395),1)*IF(Upgrades!$T$20="Local Bubble",POWER(Upgrades!$U$20,L395),1)*IF(Upgrades!$T$21="Local Bubble",POWER(Upgrades!$U$21,M395),1))*POWER(Upgrades!$P$13,E395)*POWER(Upgrades!$P$14,F395)*POWER(Upgrades!$P$15,G395)*POWER(Upgrades!$P$16,H395)*POWER(Upgrades!$P$17,I395)*POWER(Upgrades!$P$18,J395)*POWER(Upgrades!$P$19,K395)*POWER(Upgrades!$P$20,L395)*POWER(Upgrades!$P$21,M395)*$F$6)*0.05)/AN395,0)</f>
        <v/>
      </c>
      <c r="BC395" s="32">
        <f>IFERROR((Upgrades!$H$17*(POWER(Upgrades!$P$13,E395)*POWER(Upgrades!$P$14,F395)*POWER(Upgrades!$P$15,G395)*POWER(Upgrades!$P$16,H395)*POWER(Upgrades!$P$17,I395)*POWER(Upgrades!$P$18,J395)*POWER(Upgrades!$P$19,K395)*POWER(Upgrades!$P$20,L395)*POWER(Upgrades!$P$21,M395))*(IF(Upgrades!$T$13="Brown Dwarf",POWER(Upgrades!$U$13,E395),1)*IF(Upgrades!$T$14="Brown Dwarf",POWER(Upgrades!$U$14,F395),1)*IF(Upgrades!$T$15="Brown Dwarf",POWER(Upgrades!$U$15,G395),1)*IF(Upgrades!$T$16="Brown Dwarf",POWER(Upgrades!$U$16,H395),1)*IF(Upgrades!$T$18="Brown Dwarf",POWER(Upgrades!$U$18,J395),1)*IF(Upgrades!$T$19="Brown Dwarf",POWER(Upgrades!$U$19,K395),1)*IF(Upgrades!$T$20="Brown Dwarf",POWER(Upgrades!$U$20,L395),1)*IF(Upgrades!$T$21="Brown Dwarf",POWER(Upgrades!$U$21,M395),1))*$F$6+(((IF(H395=0,0,(Upgrades!$M$16+H395*Upgrades!$N$16)*POWER(Upgrades!$O$16,H395)))*(IF(Upgrades!$T$13="Roche Lobe Overflow",POWER(Upgrades!$U$13,E395),1)*IF(Upgrades!$T$14="Roche Lobe Overflow",POWER(Upgrades!$U$14,F395),1)*IF(Upgrades!$T$15="Roche Lobe Overflow",POWER(Upgrades!$U$15,G395),1)*IF(Upgrades!$T$17="Roche Lobe Overflow",POWER(Upgrades!$U$17,I395),1)*IF(Upgrades!$T$18="Roche Lobe Overflow",POWER(Upgrades!$U$18,J395),1)*IF(Upgrades!$T$19="Roche Lobe Overflow",POWER(Upgrades!$U$19,K395),1)*IF(Upgrades!$T$20="Roche Lobe Overflow",POWER(Upgrades!$U$20,L395),1)*IF(Upgrades!$T$21="Roche Lobe Overflow",POWER(Upgrades!$U$21,M395),1))*POWER(Upgrades!$R$13,E395)*POWER(Upgrades!$R$14,F395)*POWER(Upgrades!$R$15,G395)*POWER(Upgrades!$R$16,H395)*POWER(Upgrades!$R$17,I395)*POWER(Upgrades!$R$18,J395)*POWER(Upgrades!$R$19,K395)*POWER(Upgrades!$R$20,L395)*POWER(Upgrades!$R$21,M395)*$H$6)*O395)*0.10)/AO395,0)</f>
        <v/>
      </c>
      <c r="BD395" s="32">
        <f>MAX(IF(J395&gt;0,0,IFERROR(0.5*((IF(G395=0,0,(Upgrades!$J$15+G395*Upgrades!$K$15)*POWER(Upgrades!$L$15,G395)))*(IF(Upgrades!$T$13="Microlensing",POWER(Upgrades!$U$13,E395),1)*IF(Upgrades!$T$14="Microlensing",POWER(Upgrades!$U$14,F395),1)*IF(Upgrades!$T$16="Microlensing",POWER(Upgrades!$U$16,H395),1)*IF(Upgrades!$T$17="Microlensing",POWER(Upgrades!$U$17,I395),1)*IF(Upgrades!$T$18="Microlensing",POWER(Upgrades!$U$18,J395),1)*IF(Upgrades!$T$19="Microlensing",POWER(Upgrades!$U$19,K395),1)*IF(Upgrades!$T$20="Microlensing",POWER(Upgrades!$U$20,L395),1)*IF(Upgrades!$T$21="Microlensing",POWER(Upgrades!$U$21,M395),1))*(POWER(Upgrades!$Q$13,E395)*POWER(Upgrades!$Q$14,F395)*POWER(Upgrades!$Q$15,G395)*POWER(Upgrades!$Q$16,H395)*POWER(Upgrades!$Q$17,I395)*POWER(Upgrades!$Q$18,J395)*POWER(Upgrades!$Q$19,K395)*POWER(Upgrades!$Q$20,L395)*POWER(Upgrades!$Q$21,M395))*$G$6*(Parameters!$B$10/60*Parameters!$B$11+Q395))/Upgrades!$C$18,0)),IF(K395&gt;0,0,IFERROR(0.30*P395/Upgrades!$C$19,0)),IF(L395&gt;0,0,IFERROR(0.0001/Upgrades!$C$20,0)),IF(M395&gt;0,0,IFERROR((6.0*(POWER(Upgrades!$P$13,E395)*POWER(Upgrades!$P$14,F395)*POWER(Upgrades!$P$15,G395)*POWER(Upgrades!$P$16,H395)*POWER(Upgrades!$P$17,I395)*POWER(Upgrades!$P$18,J395)*POWER(Upgrades!$P$19,K395)*POWER(Upgrades!$P$20,L395)*POWER(Upgrades!$P$21,M395))*$F$6+0.20*O395*(Parameters!$B$10/60*Parameters!$B$11+Q395))/Upgrades!$C$21,0)),IF(AND(ISNUMBER(AK395),AK395&gt;(C395+T395)),AY395,0),IF(AND(ISNUMBER(AL395),AL395&gt;(C395+T395)),AZ395,0),IF(AND(ISNUMBER(AM395),AM395&gt;(C395+T395)),BA395,0),IF(AND(ISNUMBER(AN395),AN395&gt;(C395+T395)),BB395,0),IF(AND(ISNUMBER(AO395),AO395&gt;(C395+T395)),BC395,0))</f>
        <v/>
      </c>
      <c r="BE395" s="29">
        <f>IF(AT395=1,"transition",IF(MIN(IF(AND(J395=0,ISNUMBER(AP395),AP395&lt;=(C395+T395)),AP395,9E15),IF(AND(K395=0,ISNUMBER(AQ395),AQ395&lt;=(C395+T395)),AQ395,9E15),IF(AND(L395=0,ISNUMBER(AR395),AR395&lt;=(C395+T395)),AR395,9E15),IF(AND(M395=0,ISNUMBER(AS395),AS395&lt;=(C395+T395)),AS395,9E15))&lt;9E15,IF(AND(AND(J395=0,ISNUMBER(AP395),AP395&lt;=(C395+T395)),AP395=MIN(IF(AND(J395=0,ISNUMBER(AP395),AP395&lt;=(C395+T395)),AP395,9E15),IF(AND(K395=0,ISNUMBER(AQ395),AQ395&lt;=(C395+T395)),AQ395,9E15),IF(AND(L395=0,ISNUMBER(AR395),AR395&lt;=(C395+T395)),AR395,9E15),IF(AND(M395=0,ISNUMBER(AS395),AS395&lt;=(C395+T395)),AS395,9E15))),"BiP",IF(AND(AND(K395=0,ISNUMBER(AQ395),AQ395&lt;=(C395+T395)),AQ395=MIN(IF(AND(J395=0,ISNUMBER(AP395),AP395&lt;=(C395+T395)),AP395,9E15),IF(AND(K395=0,ISNUMBER(AQ395),AQ395&lt;=(C395+T395)),AQ395,9E15),IF(AND(L395=0,ISNUMBER(AR395),AR395&lt;=(C395+T395)),AR395,9E15),IF(AND(M395=0,ISNUMBER(AS395),AS395&lt;=(C395+T395)),AS395,9E15))),"PV",IF(AND(AND(L395=0,ISNUMBER(AR395),AR395&lt;=(C395+T395)),AR395=MIN(IF(AND(J395=0,ISNUMBER(AP395),AP395&lt;=(C395+T395)),AP395,9E15),IF(AND(K395=0,ISNUMBER(AQ395),AQ395&lt;=(C395+T395)),AQ395,9E15),IF(AND(L395=0,ISNUMBER(AR395),AR395&lt;=(C395+T395)),AR395,9E15),IF(AND(M395=0,ISNUMBER(AS395),AS395&lt;=(C395+T395)),AS395,9E15))),"OC","MG"))),IF(AX395=TRUE,"",IF(MAX(IF(AND(NOT(AND(AU395=1,AT395&lt;&gt;1)),ISNUMBER(AK395),AK395&lt;=(C395+T395)),AY395,0),IF(AND(NOT(AND(AU395=1,AT395&lt;&gt;1)),ISNUMBER(AL395),AL395&lt;=(C395+T395)),AZ395,0),IF(AND(NOT(AND(AU395=1,AT395&lt;&gt;1)),ISNUMBER(AM395),AM395&lt;=(C395+T395)),BA395,0),IF(AND(NOT(AND(AU395=1,AT395&lt;&gt;1)),ISNUMBER(AN395),AN395&lt;=(C395+T395)),BB395,0),IF(AND(ISNUMBER(AO395),AO395&lt;=(C395+T395)),BC395,0))&lt;=0,"",IF(AND(IF(AND(NOT(AND(AU395=1,AT395&lt;&gt;1)),ISNUMBER(AK395),AK395&lt;=(C395+T395)),AY395,0)&gt;0,IF(AND(NOT(AND(AU395=1,AT395&lt;&gt;1)),ISNUMBER(AK395),AK395&lt;=(C395+T395)),AY395,0)=MAX(IF(AND(NOT(AND(AU395=1,AT395&lt;&gt;1)),ISNUMBER(AK395),AK395&lt;=(C395+T395)),AY395,0),IF(AND(NOT(AND(AU395=1,AT395&lt;&gt;1)),ISNUMBER(AL395),AL395&lt;=(C395+T395)),AZ395,0),IF(AND(NOT(AND(AU395=1,AT395&lt;&gt;1)),ISNUMBER(AM395),AM395&lt;=(C395+T395)),BA395,0),IF(AND(NOT(AND(AU395=1,AT395&lt;&gt;1)),ISNUMBER(AN395),AN395&lt;=(C395+T395)),BB395,0),IF(AND(ISNUMBER(AO395),AO395&lt;=(C395+T395)),BC395,0))),"SK",IF(AND(IF(AND(NOT(AND(AU395=1,AT395&lt;&gt;1)),ISNUMBER(AL395),AL395&lt;=(C395+T395)),AZ395,0)&gt;0,IF(AND(NOT(AND(AU395=1,AT395&lt;&gt;1)),ISNUMBER(AL395),AL395&lt;=(C395+T395)),AZ395,0)=MAX(IF(AND(NOT(AND(AU395=1,AT395&lt;&gt;1)),ISNUMBER(AK395),AK395&lt;=(C395+T395)),AY395,0),IF(AND(NOT(AND(AU395=1,AT395&lt;&gt;1)),ISNUMBER(AL395),AL395&lt;=(C395+T395)),AZ395,0),IF(AND(NOT(AND(AU395=1,AT395&lt;&gt;1)),ISNUMBER(AM395),AM395&lt;=(C395+T395)),BA395,0),IF(AND(NOT(AND(AU395=1,AT395&lt;&gt;1)),ISNUMBER(AN395),AN395&lt;=(C395+T395)),BB395,0),IF(AND(ISNUMBER(AO395),AO395&lt;=(C395+T395)),BC395,0))),"LB",IF(AND(IF(AND(NOT(AND(AU395=1,AT395&lt;&gt;1)),ISNUMBER(AM395),AM395&lt;=(C395+T395)),BA395,0)&gt;0,IF(AND(NOT(AND(AU395=1,AT395&lt;&gt;1)),ISNUMBER(AM395),AM395&lt;=(C395+T395)),BA395,0)=MAX(IF(AND(NOT(AND(AU395=1,AT395&lt;&gt;1)),ISNUMBER(AK395),AK395&lt;=(C395+T395)),AY395,0),IF(AND(NOT(AND(AU395=1,AT395&lt;&gt;1)),ISNUMBER(AL395),AL395&lt;=(C395+T395)),AZ395,0),IF(AND(NOT(AND(AU395=1,AT395&lt;&gt;1)),ISNUMBER(AM395),AM395&lt;=(C395+T395)),BA395,0),IF(AND(NOT(AND(AU395=1,AT395&lt;&gt;1)),ISNUMBER(AN395),AN395&lt;=(C395+T395)),BB395,0),IF(AND(ISNUMBER(AO395),AO395&lt;=(C395+T395)),BC395,0))),"ML",IF(AND(IF(AND(NOT(AND(AU395=1,AT395&lt;&gt;1)),ISNUMBER(AN395),AN395&lt;=(C395+T395)),BB395,0)&gt;0,IF(AND(NOT(AND(AU395=1,AT395&lt;&gt;1)),ISNUMBER(AN395),AN395&lt;=(C395+T395)),BB395,0)=MAX(IF(AND(NOT(AND(AU395=1,AT395&lt;&gt;1)),ISNUMBER(AK395),AK395&lt;=(C395+T395)),AY395,0),IF(AND(NOT(AND(AU395=1,AT395&lt;&gt;1)),ISNUMBER(AL395),AL395&lt;=(C395+T395)),AZ395,0),IF(AND(NOT(AND(AU395=1,AT395&lt;&gt;1)),ISNUMBER(AM395),AM395&lt;=(C395+T395)),BA395,0),IF(AND(NOT(AND(AU395=1,AT395&lt;&gt;1)),ISNUMBER(AN395),AN395&lt;=(C395+T395)),BB395,0),IF(AND(ISNUMBER(AO395),AO395&lt;=(C395+T395)),BC395,0))),"RLO","BD"))))))))</f>
        <v/>
      </c>
    </row>
    <row r="396">
      <c r="A396" s="26" t="n">
        <v>385</v>
      </c>
      <c r="B396" s="27">
        <f>A396*10/60</f>
        <v/>
      </c>
      <c r="C396" s="22">
        <f>X395</f>
        <v/>
      </c>
      <c r="D396" s="27">
        <f>D395+W395</f>
        <v/>
      </c>
      <c r="E396" s="26">
        <f>E395+IF(U395="SK",1,0)</f>
        <v/>
      </c>
      <c r="F396" s="26">
        <f>F395+IF(U395="LB",1,0)</f>
        <v/>
      </c>
      <c r="G396" s="26">
        <f>G395+IF(U395="ML",1,0)</f>
        <v/>
      </c>
      <c r="H396" s="26">
        <f>H395+IF(U395="RLO",1,0)</f>
        <v/>
      </c>
      <c r="I396" s="26">
        <f>I395+IF(U395="BD",1,0)</f>
        <v/>
      </c>
      <c r="J396" s="26">
        <f>MAX(J395,IF(U395="BiP",1,0))</f>
        <v/>
      </c>
      <c r="K396" s="26">
        <f>MAX(K395,IF(U395="PV",1,0))</f>
        <v/>
      </c>
      <c r="L396" s="26">
        <f>MAX(L395,IF(U395="OC",1,0))</f>
        <v/>
      </c>
      <c r="M396" s="26">
        <f>MAX(M395,IF(U395="MG",1,0))</f>
        <v/>
      </c>
      <c r="N396" s="26">
        <f>MAX(N395,IF(U395="transition",1,0))</f>
        <v/>
      </c>
      <c r="O396" s="28">
        <f>(Parameters!$B$9+(IF(E396=0,0,(Upgrades!$J$13+E396*Upgrades!$K$13)*POWER(Upgrades!$L$13,E396)))*(IF(Upgrades!$T$14="Stellar Kinematics",POWER(Upgrades!$U$14,F396),1)*IF(Upgrades!$T$15="Stellar Kinematics",POWER(Upgrades!$U$15,G396),1)*IF(Upgrades!$T$16="Stellar Kinematics",POWER(Upgrades!$U$16,H396),1)*IF(Upgrades!$T$17="Stellar Kinematics",POWER(Upgrades!$U$17,I396),1)*IF(Upgrades!$T$18="Stellar Kinematics",POWER(Upgrades!$U$18,J396),1)*IF(Upgrades!$T$19="Stellar Kinematics",POWER(Upgrades!$U$19,K396),1)*IF(Upgrades!$T$20="Stellar Kinematics",POWER(Upgrades!$U$20,L396),1)*IF(Upgrades!$T$21="Stellar Kinematics",POWER(Upgrades!$U$21,M396),1))+(IF(F396=0,0,(Upgrades!$J$14+F396*Upgrades!$K$14)*POWER(Upgrades!$L$14,F396)))*(IF(Upgrades!$T$13="Local Bubble",POWER(Upgrades!$U$13,E396),1)*IF(Upgrades!$T$15="Local Bubble",POWER(Upgrades!$U$15,G396),1)*IF(Upgrades!$T$16="Local Bubble",POWER(Upgrades!$U$16,H396),1)*IF(Upgrades!$T$17="Local Bubble",POWER(Upgrades!$U$17,I396),1)*IF(Upgrades!$T$18="Local Bubble",POWER(Upgrades!$U$18,J396),1)*IF(Upgrades!$T$19="Local Bubble",POWER(Upgrades!$U$19,K396),1)*IF(Upgrades!$T$20="Local Bubble",POWER(Upgrades!$U$20,L396),1)*IF(Upgrades!$T$21="Local Bubble",POWER(Upgrades!$U$21,M396),1))+(IF(G396=0,0,(Upgrades!$J$15+G396*Upgrades!$K$15)*POWER(Upgrades!$L$15,G396)))*(IF(Upgrades!$T$13="Microlensing",POWER(Upgrades!$U$13,E396),1)*IF(Upgrades!$T$14="Microlensing",POWER(Upgrades!$U$14,F396),1)*IF(Upgrades!$T$16="Microlensing",POWER(Upgrades!$U$16,H396),1)*IF(Upgrades!$T$17="Microlensing",POWER(Upgrades!$U$17,I396),1)*IF(Upgrades!$T$18="Microlensing",POWER(Upgrades!$U$18,J396),1)*IF(Upgrades!$T$19="Microlensing",POWER(Upgrades!$U$19,K396),1)*IF(Upgrades!$T$20="Microlensing",POWER(Upgrades!$U$20,L396),1)*IF(Upgrades!$T$21="Microlensing",POWER(Upgrades!$U$21,M396),1))+(IF(H396=0,0,(Upgrades!$J$16+H396*Upgrades!$K$16)*POWER(Upgrades!$L$16,H396)))*(IF(Upgrades!$T$13="Roche Lobe Overflow",POWER(Upgrades!$U$13,E396),1)*IF(Upgrades!$T$14="Roche Lobe Overflow",POWER(Upgrades!$U$14,F396),1)*IF(Upgrades!$T$15="Roche Lobe Overflow",POWER(Upgrades!$U$15,G396),1)*IF(Upgrades!$T$17="Roche Lobe Overflow",POWER(Upgrades!$U$17,I396),1)*IF(Upgrades!$T$18="Roche Lobe Overflow",POWER(Upgrades!$U$18,J396),1)*IF(Upgrades!$T$19="Roche Lobe Overflow",POWER(Upgrades!$U$19,K396),1)*IF(Upgrades!$T$20="Roche Lobe Overflow",POWER(Upgrades!$U$20,L396),1)*IF(Upgrades!$T$21="Roche Lobe Overflow",POWER(Upgrades!$U$21,M396),1))+(IF(I396=0,0,(Upgrades!$J$17+I396*Upgrades!$K$17)*POWER(Upgrades!$L$17,I396)))*(IF(Upgrades!$T$13="Brown Dwarf",POWER(Upgrades!$U$13,E396),1)*IF(Upgrades!$T$14="Brown Dwarf",POWER(Upgrades!$U$14,F396),1)*IF(Upgrades!$T$15="Brown Dwarf",POWER(Upgrades!$U$15,G396),1)*IF(Upgrades!$T$16="Brown Dwarf",POWER(Upgrades!$U$16,H396),1)*IF(Upgrades!$T$18="Brown Dwarf",POWER(Upgrades!$U$18,J396),1)*IF(Upgrades!$T$19="Brown Dwarf",POWER(Upgrades!$U$19,K396),1)*IF(Upgrades!$T$20="Brown Dwarf",POWER(Upgrades!$U$20,L396),1)*IF(Upgrades!$T$21="Brown Dwarf",POWER(Upgrades!$U$21,M396),1))+(IF(J396=0,0,(Upgrades!$J$18+J396*Upgrades!$K$18)*POWER(Upgrades!$L$18,J396)))*(IF(Upgrades!$T$13="Binary Partner",POWER(Upgrades!$U$13,E396),1)*IF(Upgrades!$T$14="Binary Partner",POWER(Upgrades!$U$14,F396),1)*IF(Upgrades!$T$15="Binary Partner",POWER(Upgrades!$U$15,G396),1)*IF(Upgrades!$T$16="Binary Partner",POWER(Upgrades!$U$16,H396),1)*IF(Upgrades!$T$17="Binary Partner",POWER(Upgrades!$U$17,I396),1)*IF(Upgrades!$T$19="Binary Partner",POWER(Upgrades!$U$19,K396),1)*IF(Upgrades!$T$20="Binary Partner",POWER(Upgrades!$U$20,L396),1)*IF(Upgrades!$T$21="Binary Partner",POWER(Upgrades!$U$21,M396),1))+(IF(K396=0,0,(Upgrades!$J$19+K396*Upgrades!$K$19)*POWER(Upgrades!$L$19,K396)))*(IF(Upgrades!$T$13="Peculiar Velocity",POWER(Upgrades!$U$13,E396),1)*IF(Upgrades!$T$14="Peculiar Velocity",POWER(Upgrades!$U$14,F396),1)*IF(Upgrades!$T$15="Peculiar Velocity",POWER(Upgrades!$U$15,G396),1)*IF(Upgrades!$T$16="Peculiar Velocity",POWER(Upgrades!$U$16,H396),1)*IF(Upgrades!$T$17="Peculiar Velocity",POWER(Upgrades!$U$17,I396),1)*IF(Upgrades!$T$18="Peculiar Velocity",POWER(Upgrades!$U$18,J396),1)*IF(Upgrades!$T$20="Peculiar Velocity",POWER(Upgrades!$U$20,L396),1)*IF(Upgrades!$T$21="Peculiar Velocity",POWER(Upgrades!$U$21,M396),1))+(IF(L396=0,0,(Upgrades!$J$20+L396*Upgrades!$K$20)*POWER(Upgrades!$L$20,L396)))*(IF(Upgrades!$T$13="Open Cluster",POWER(Upgrades!$U$13,E396),1)*IF(Upgrades!$T$14="Open Cluster",POWER(Upgrades!$U$14,F396),1)*IF(Upgrades!$T$15="Open Cluster",POWER(Upgrades!$U$15,G396),1)*IF(Upgrades!$T$16="Open Cluster",POWER(Upgrades!$U$16,H396),1)*IF(Upgrades!$T$17="Open Cluster",POWER(Upgrades!$U$17,I396),1)*IF(Upgrades!$T$18="Open Cluster",POWER(Upgrades!$U$18,J396),1)*IF(Upgrades!$T$19="Open Cluster",POWER(Upgrades!$U$19,K396),1)*IF(Upgrades!$T$21="Open Cluster",POWER(Upgrades!$U$21,M396),1))+(IF(M396=0,0,(Upgrades!$J$21+M396*Upgrades!$K$21)*POWER(Upgrades!$L$21,M396)))*(IF(Upgrades!$T$13="Moving Group",POWER(Upgrades!$U$13,E396),1)*IF(Upgrades!$T$14="Moving Group",POWER(Upgrades!$U$14,F396),1)*IF(Upgrades!$T$15="Moving Group",POWER(Upgrades!$U$15,G396),1)*IF(Upgrades!$T$16="Moving Group",POWER(Upgrades!$U$16,H396),1)*IF(Upgrades!$T$17="Moving Group",POWER(Upgrades!$U$17,I396),1)*IF(Upgrades!$T$18="Moving Group",POWER(Upgrades!$U$18,J396),1)*IF(Upgrades!$T$19="Moving Group",POWER(Upgrades!$U$19,K396),1)*IF(Upgrades!$T$20="Moving Group",POWER(Upgrades!$U$20,L396),1)))*POWER(Upgrades!$Q$13,E396)*POWER(Upgrades!$Q$14,F396)*POWER(Upgrades!$Q$15,G396)*POWER(Upgrades!$Q$16,H396)*POWER(Upgrades!$Q$17,I396)*POWER(Upgrades!$Q$18,J396)*POWER(Upgrades!$Q$19,K396)*POWER(Upgrades!$Q$20,L396)*POWER(Upgrades!$Q$21,M396)*$G$6+$D$6</f>
        <v/>
      </c>
      <c r="P396" s="28">
        <f>((IF(E396=0,0,(Upgrades!$G$13+E396*Upgrades!$H$13)*POWER(Upgrades!$I$13,E396)))*(IF(Upgrades!$T$14="Stellar Kinematics",POWER(Upgrades!$U$14,F396),1)*IF(Upgrades!$T$15="Stellar Kinematics",POWER(Upgrades!$U$15,G396),1)*IF(Upgrades!$T$16="Stellar Kinematics",POWER(Upgrades!$U$16,H396),1)*IF(Upgrades!$T$17="Stellar Kinematics",POWER(Upgrades!$U$17,I396),1)*IF(Upgrades!$T$18="Stellar Kinematics",POWER(Upgrades!$U$18,J396),1)*IF(Upgrades!$T$19="Stellar Kinematics",POWER(Upgrades!$U$19,K396),1)*IF(Upgrades!$T$20="Stellar Kinematics",POWER(Upgrades!$U$20,L396),1)*IF(Upgrades!$T$21="Stellar Kinematics",POWER(Upgrades!$U$21,M396),1))+(IF(F396=0,0,(Upgrades!$G$14+F396*Upgrades!$H$14)*POWER(Upgrades!$I$14,F396)))*(IF(Upgrades!$T$13="Local Bubble",POWER(Upgrades!$U$13,E396),1)*IF(Upgrades!$T$15="Local Bubble",POWER(Upgrades!$U$15,G396),1)*IF(Upgrades!$T$16="Local Bubble",POWER(Upgrades!$U$16,H396),1)*IF(Upgrades!$T$17="Local Bubble",POWER(Upgrades!$U$17,I396),1)*IF(Upgrades!$T$18="Local Bubble",POWER(Upgrades!$U$18,J396),1)*IF(Upgrades!$T$19="Local Bubble",POWER(Upgrades!$U$19,K396),1)*IF(Upgrades!$T$20="Local Bubble",POWER(Upgrades!$U$20,L396),1)*IF(Upgrades!$T$21="Local Bubble",POWER(Upgrades!$U$21,M396),1))+(IF(G396=0,0,(Upgrades!$G$15+G396*Upgrades!$H$15)*POWER(Upgrades!$I$15,G396)))*(IF(Upgrades!$T$13="Microlensing",POWER(Upgrades!$U$13,E396),1)*IF(Upgrades!$T$14="Microlensing",POWER(Upgrades!$U$14,F396),1)*IF(Upgrades!$T$16="Microlensing",POWER(Upgrades!$U$16,H396),1)*IF(Upgrades!$T$17="Microlensing",POWER(Upgrades!$U$17,I396),1)*IF(Upgrades!$T$18="Microlensing",POWER(Upgrades!$U$18,J396),1)*IF(Upgrades!$T$19="Microlensing",POWER(Upgrades!$U$19,K396),1)*IF(Upgrades!$T$20="Microlensing",POWER(Upgrades!$U$20,L396),1)*IF(Upgrades!$T$21="Microlensing",POWER(Upgrades!$U$21,M396),1))+(IF(H396=0,0,(Upgrades!$G$16+H396*Upgrades!$H$16)*POWER(Upgrades!$I$16,H396)))*(IF(Upgrades!$T$13="Roche Lobe Overflow",POWER(Upgrades!$U$13,E396),1)*IF(Upgrades!$T$14="Roche Lobe Overflow",POWER(Upgrades!$U$14,F396),1)*IF(Upgrades!$T$15="Roche Lobe Overflow",POWER(Upgrades!$U$15,G396),1)*IF(Upgrades!$T$17="Roche Lobe Overflow",POWER(Upgrades!$U$17,I396),1)*IF(Upgrades!$T$18="Roche Lobe Overflow",POWER(Upgrades!$U$18,J396),1)*IF(Upgrades!$T$19="Roche Lobe Overflow",POWER(Upgrades!$U$19,K396),1)*IF(Upgrades!$T$20="Roche Lobe Overflow",POWER(Upgrades!$U$20,L396),1)*IF(Upgrades!$T$21="Roche Lobe Overflow",POWER(Upgrades!$U$21,M396),1))+(IF(I396=0,0,(Upgrades!$G$17+I396*Upgrades!$H$17)*POWER(Upgrades!$I$17,I396)))*(IF(Upgrades!$T$13="Brown Dwarf",POWER(Upgrades!$U$13,E396),1)*IF(Upgrades!$T$14="Brown Dwarf",POWER(Upgrades!$U$14,F396),1)*IF(Upgrades!$T$15="Brown Dwarf",POWER(Upgrades!$U$15,G396),1)*IF(Upgrades!$T$16="Brown Dwarf",POWER(Upgrades!$U$16,H396),1)*IF(Upgrades!$T$18="Brown Dwarf",POWER(Upgrades!$U$18,J396),1)*IF(Upgrades!$T$19="Brown Dwarf",POWER(Upgrades!$U$19,K396),1)*IF(Upgrades!$T$20="Brown Dwarf",POWER(Upgrades!$U$20,L396),1)*IF(Upgrades!$T$21="Brown Dwarf",POWER(Upgrades!$U$21,M396),1))+(IF(J396=0,0,(Upgrades!$G$18+J396*Upgrades!$H$18)*POWER(Upgrades!$I$18,J396)))*(IF(Upgrades!$T$13="Binary Partner",POWER(Upgrades!$U$13,E396),1)*IF(Upgrades!$T$14="Binary Partner",POWER(Upgrades!$U$14,F396),1)*IF(Upgrades!$T$15="Binary Partner",POWER(Upgrades!$U$15,G396),1)*IF(Upgrades!$T$16="Binary Partner",POWER(Upgrades!$U$16,H396),1)*IF(Upgrades!$T$17="Binary Partner",POWER(Upgrades!$U$17,I396),1)*IF(Upgrades!$T$19="Binary Partner",POWER(Upgrades!$U$19,K396),1)*IF(Upgrades!$T$20="Binary Partner",POWER(Upgrades!$U$20,L396),1)*IF(Upgrades!$T$21="Binary Partner",POWER(Upgrades!$U$21,M396),1))+(IF(K396=0,0,(Upgrades!$G$19+K396*Upgrades!$H$19)*POWER(Upgrades!$I$19,K396)))*(IF(Upgrades!$T$13="Peculiar Velocity",POWER(Upgrades!$U$13,E396),1)*IF(Upgrades!$T$14="Peculiar Velocity",POWER(Upgrades!$U$14,F396),1)*IF(Upgrades!$T$15="Peculiar Velocity",POWER(Upgrades!$U$15,G396),1)*IF(Upgrades!$T$16="Peculiar Velocity",POWER(Upgrades!$U$16,H396),1)*IF(Upgrades!$T$17="Peculiar Velocity",POWER(Upgrades!$U$17,I396),1)*IF(Upgrades!$T$18="Peculiar Velocity",POWER(Upgrades!$U$18,J396),1)*IF(Upgrades!$T$20="Peculiar Velocity",POWER(Upgrades!$U$20,L396),1)*IF(Upgrades!$T$21="Peculiar Velocity",POWER(Upgrades!$U$21,M396),1))+(IF(L396=0,0,(Upgrades!$G$20+L396*Upgrades!$H$20)*POWER(Upgrades!$I$20,L396)))*(IF(Upgrades!$T$13="Open Cluster",POWER(Upgrades!$U$13,E396),1)*IF(Upgrades!$T$14="Open Cluster",POWER(Upgrades!$U$14,F396),1)*IF(Upgrades!$T$15="Open Cluster",POWER(Upgrades!$U$15,G396),1)*IF(Upgrades!$T$16="Open Cluster",POWER(Upgrades!$U$16,H396),1)*IF(Upgrades!$T$17="Open Cluster",POWER(Upgrades!$U$17,I396),1)*IF(Upgrades!$T$18="Open Cluster",POWER(Upgrades!$U$18,J396),1)*IF(Upgrades!$T$19="Open Cluster",POWER(Upgrades!$U$19,K396),1)*IF(Upgrades!$T$21="Open Cluster",POWER(Upgrades!$U$21,M396),1))+(IF(M396=0,0,(Upgrades!$G$21+M396*Upgrades!$H$21)*POWER(Upgrades!$I$21,M396)))*(IF(Upgrades!$T$13="Moving Group",POWER(Upgrades!$U$13,E396),1)*IF(Upgrades!$T$14="Moving Group",POWER(Upgrades!$U$14,F396),1)*IF(Upgrades!$T$15="Moving Group",POWER(Upgrades!$U$15,G396),1)*IF(Upgrades!$T$16="Moving Group",POWER(Upgrades!$U$16,H396),1)*IF(Upgrades!$T$17="Moving Group",POWER(Upgrades!$U$17,I396),1)*IF(Upgrades!$T$18="Moving Group",POWER(Upgrades!$U$18,J396),1)*IF(Upgrades!$T$19="Moving Group",POWER(Upgrades!$U$19,K396),1)*IF(Upgrades!$T$20="Moving Group",POWER(Upgrades!$U$20,L396),1)))*POWER(Upgrades!$P$13,E396)*POWER(Upgrades!$P$14,F396)*POWER(Upgrades!$P$15,G396)*POWER(Upgrades!$P$16,H396)*POWER(Upgrades!$P$17,I396)*POWER(Upgrades!$P$18,J396)*POWER(Upgrades!$P$19,K396)*POWER(Upgrades!$P$20,L396)*POWER(Upgrades!$P$21,M396)*$F$6+$C$6</f>
        <v/>
      </c>
      <c r="Q396" s="28">
        <f>((IF(E396=0,0,(Upgrades!$M$13+E396*Upgrades!$N$13)*POWER(Upgrades!$O$13,E396)))*(IF(Upgrades!$T$14="Stellar Kinematics",POWER(Upgrades!$U$14,F396),1)*IF(Upgrades!$T$15="Stellar Kinematics",POWER(Upgrades!$U$15,G396),1)*IF(Upgrades!$T$16="Stellar Kinematics",POWER(Upgrades!$U$16,H396),1)*IF(Upgrades!$T$17="Stellar Kinematics",POWER(Upgrades!$U$17,I396),1)*IF(Upgrades!$T$18="Stellar Kinematics",POWER(Upgrades!$U$18,J396),1)*IF(Upgrades!$T$19="Stellar Kinematics",POWER(Upgrades!$U$19,K396),1)*IF(Upgrades!$T$20="Stellar Kinematics",POWER(Upgrades!$U$20,L396),1)*IF(Upgrades!$T$21="Stellar Kinematics",POWER(Upgrades!$U$21,M396),1))+(IF(F396=0,0,(Upgrades!$M$14+F396*Upgrades!$N$14)*POWER(Upgrades!$O$14,F396)))*(IF(Upgrades!$T$13="Local Bubble",POWER(Upgrades!$U$13,E396),1)*IF(Upgrades!$T$15="Local Bubble",POWER(Upgrades!$U$15,G396),1)*IF(Upgrades!$T$16="Local Bubble",POWER(Upgrades!$U$16,H396),1)*IF(Upgrades!$T$17="Local Bubble",POWER(Upgrades!$U$17,I396),1)*IF(Upgrades!$T$18="Local Bubble",POWER(Upgrades!$U$18,J396),1)*IF(Upgrades!$T$19="Local Bubble",POWER(Upgrades!$U$19,K396),1)*IF(Upgrades!$T$20="Local Bubble",POWER(Upgrades!$U$20,L396),1)*IF(Upgrades!$T$21="Local Bubble",POWER(Upgrades!$U$21,M396),1))+(IF(G396=0,0,(Upgrades!$M$15+G396*Upgrades!$N$15)*POWER(Upgrades!$O$15,G396)))*(IF(Upgrades!$T$13="Microlensing",POWER(Upgrades!$U$13,E396),1)*IF(Upgrades!$T$14="Microlensing",POWER(Upgrades!$U$14,F396),1)*IF(Upgrades!$T$16="Microlensing",POWER(Upgrades!$U$16,H396),1)*IF(Upgrades!$T$17="Microlensing",POWER(Upgrades!$U$17,I396),1)*IF(Upgrades!$T$18="Microlensing",POWER(Upgrades!$U$18,J396),1)*IF(Upgrades!$T$19="Microlensing",POWER(Upgrades!$U$19,K396),1)*IF(Upgrades!$T$20="Microlensing",POWER(Upgrades!$U$20,L396),1)*IF(Upgrades!$T$21="Microlensing",POWER(Upgrades!$U$21,M396),1))+(IF(H396=0,0,(Upgrades!$M$16+H396*Upgrades!$N$16)*POWER(Upgrades!$O$16,H396)))*(IF(Upgrades!$T$13="Roche Lobe Overflow",POWER(Upgrades!$U$13,E396),1)*IF(Upgrades!$T$14="Roche Lobe Overflow",POWER(Upgrades!$U$14,F396),1)*IF(Upgrades!$T$15="Roche Lobe Overflow",POWER(Upgrades!$U$15,G396),1)*IF(Upgrades!$T$17="Roche Lobe Overflow",POWER(Upgrades!$U$17,I396),1)*IF(Upgrades!$T$18="Roche Lobe Overflow",POWER(Upgrades!$U$18,J396),1)*IF(Upgrades!$T$19="Roche Lobe Overflow",POWER(Upgrades!$U$19,K396),1)*IF(Upgrades!$T$20="Roche Lobe Overflow",POWER(Upgrades!$U$20,L396),1)*IF(Upgrades!$T$21="Roche Lobe Overflow",POWER(Upgrades!$U$21,M396),1))+(IF(I396=0,0,(Upgrades!$M$17+I396*Upgrades!$N$17)*POWER(Upgrades!$O$17,I396)))*(IF(Upgrades!$T$13="Brown Dwarf",POWER(Upgrades!$U$13,E396),1)*IF(Upgrades!$T$14="Brown Dwarf",POWER(Upgrades!$U$14,F396),1)*IF(Upgrades!$T$15="Brown Dwarf",POWER(Upgrades!$U$15,G396),1)*IF(Upgrades!$T$16="Brown Dwarf",POWER(Upgrades!$U$16,H396),1)*IF(Upgrades!$T$18="Brown Dwarf",POWER(Upgrades!$U$18,J396),1)*IF(Upgrades!$T$19="Brown Dwarf",POWER(Upgrades!$U$19,K396),1)*IF(Upgrades!$T$20="Brown Dwarf",POWER(Upgrades!$U$20,L396),1)*IF(Upgrades!$T$21="Brown Dwarf",POWER(Upgrades!$U$21,M396),1))+(IF(J396=0,0,(Upgrades!$M$18+J396*Upgrades!$N$18)*POWER(Upgrades!$O$18,J396)))*(IF(Upgrades!$T$13="Binary Partner",POWER(Upgrades!$U$13,E396),1)*IF(Upgrades!$T$14="Binary Partner",POWER(Upgrades!$U$14,F396),1)*IF(Upgrades!$T$15="Binary Partner",POWER(Upgrades!$U$15,G396),1)*IF(Upgrades!$T$16="Binary Partner",POWER(Upgrades!$U$16,H396),1)*IF(Upgrades!$T$17="Binary Partner",POWER(Upgrades!$U$17,I396),1)*IF(Upgrades!$T$19="Binary Partner",POWER(Upgrades!$U$19,K396),1)*IF(Upgrades!$T$20="Binary Partner",POWER(Upgrades!$U$20,L396),1)*IF(Upgrades!$T$21="Binary Partner",POWER(Upgrades!$U$21,M396),1))+(IF(K396=0,0,(Upgrades!$M$19+K396*Upgrades!$N$19)*POWER(Upgrades!$O$19,K396)))*(IF(Upgrades!$T$13="Peculiar Velocity",POWER(Upgrades!$U$13,E396),1)*IF(Upgrades!$T$14="Peculiar Velocity",POWER(Upgrades!$U$14,F396),1)*IF(Upgrades!$T$15="Peculiar Velocity",POWER(Upgrades!$U$15,G396),1)*IF(Upgrades!$T$16="Peculiar Velocity",POWER(Upgrades!$U$16,H396),1)*IF(Upgrades!$T$17="Peculiar Velocity",POWER(Upgrades!$U$17,I396),1)*IF(Upgrades!$T$18="Peculiar Velocity",POWER(Upgrades!$U$18,J396),1)*IF(Upgrades!$T$20="Peculiar Velocity",POWER(Upgrades!$U$20,L396),1)*IF(Upgrades!$T$21="Peculiar Velocity",POWER(Upgrades!$U$21,M396),1))+(IF(L396=0,0,(Upgrades!$M$20+L396*Upgrades!$N$20)*POWER(Upgrades!$O$20,L396)))*(IF(Upgrades!$T$13="Open Cluster",POWER(Upgrades!$U$13,E396),1)*IF(Upgrades!$T$14="Open Cluster",POWER(Upgrades!$U$14,F396),1)*IF(Upgrades!$T$15="Open Cluster",POWER(Upgrades!$U$15,G396),1)*IF(Upgrades!$T$16="Open Cluster",POWER(Upgrades!$U$16,H396),1)*IF(Upgrades!$T$17="Open Cluster",POWER(Upgrades!$U$17,I396),1)*IF(Upgrades!$T$18="Open Cluster",POWER(Upgrades!$U$18,J396),1)*IF(Upgrades!$T$19="Open Cluster",POWER(Upgrades!$U$19,K396),1)*IF(Upgrades!$T$21="Open Cluster",POWER(Upgrades!$U$21,M396),1))+(IF(M396=0,0,(Upgrades!$M$21+M396*Upgrades!$N$21)*POWER(Upgrades!$O$21,M396)))*(IF(Upgrades!$T$13="Moving Group",POWER(Upgrades!$U$13,E396),1)*IF(Upgrades!$T$14="Moving Group",POWER(Upgrades!$U$14,F396),1)*IF(Upgrades!$T$15="Moving Group",POWER(Upgrades!$U$15,G396),1)*IF(Upgrades!$T$16="Moving Group",POWER(Upgrades!$U$16,H396),1)*IF(Upgrades!$T$17="Moving Group",POWER(Upgrades!$U$17,I396),1)*IF(Upgrades!$T$18="Moving Group",POWER(Upgrades!$U$18,J396),1)*IF(Upgrades!$T$19="Moving Group",POWER(Upgrades!$U$19,K396),1)*IF(Upgrades!$T$20="Moving Group",POWER(Upgrades!$U$20,L396),1)))*POWER(Upgrades!$R$13,E396)*POWER(Upgrades!$R$14,F396)*POWER(Upgrades!$R$15,G396)*POWER(Upgrades!$R$16,H396)*POWER(Upgrades!$R$17,I396)*POWER(Upgrades!$R$18,J396)*POWER(Upgrades!$R$19,K396)*POWER(Upgrades!$R$20,L396)*POWER(Upgrades!$R$21,M396)*$H$6+$E$6</f>
        <v/>
      </c>
      <c r="R396" s="27">
        <f>IF(N396=1,0,O396*Parameters!$B$10/60*Parameters!$B$11*10)</f>
        <v/>
      </c>
      <c r="S396" s="27">
        <f>IF(N396=1,0,Q396*O396*10)</f>
        <v/>
      </c>
      <c r="T396" s="27">
        <f>IF(N396=1,0,R396+S396+P396*10)</f>
        <v/>
      </c>
      <c r="U396" s="33">
        <f>BE396</f>
        <v/>
      </c>
      <c r="V396" s="22">
        <f>IF(U396="",0,IF(U396="transition",0,IF(U396="SK",AK396,IF(U396="LB",AL396,IF(U396="ML",AM396,IF(U396="RLO",AN396,IF(U396="BD",AO396,IF(U396="BiP",AP396,IF(U396="PV",AQ396,IF(U396="OC",AR396,IF(U396="MG",AS396,0))))))))))</f>
        <v/>
      </c>
      <c r="W396" s="27">
        <f>IF(U396="BiP",Upgrades!$F$18,IF(U396="PV",Upgrades!$F$19,IF(U396="OC",Upgrades!$F$20,IF(U396="MG",Upgrades!$F$21,IF(U396="transition",-Parameters!$B$18*Parameters!$B$19,0)))))</f>
        <v/>
      </c>
      <c r="X396" s="22">
        <f>C396+T396-V396</f>
        <v/>
      </c>
      <c r="Y396" s="30">
        <f>O396*Parameters!$B$10/60*Parameters!$B$11+Q396*O396+P396</f>
        <v/>
      </c>
      <c r="Z396" s="34">
        <f>IF(U396="transition","→ Tier 3 (Galactic Arm)",IF(U396="MG","Moving Group — pocket drifts together",IF(U396="OC","Open Cluster acquired",IF(U396="PV","Peculiar Velocity — passive multiplier active",IF(U396="BiP","Binary Partner — pair bond formed",IF(AND(AU396=1,N396=0,AT396&lt;&gt;1),"Cohesion ready (waiting on completionists)","")))))) </f>
        <v/>
      </c>
      <c r="AA396" s="27">
        <f>(IF(E396=0,0,(Upgrades!$G$13+E396*Upgrades!$H$13)*POWER(Upgrades!$I$13,E396)))*(IF(Upgrades!$T$14="Stellar Kinematics",POWER(Upgrades!$U$14,F396),1)*IF(Upgrades!$T$15="Stellar Kinematics",POWER(Upgrades!$U$15,G396),1)*IF(Upgrades!$T$16="Stellar Kinematics",POWER(Upgrades!$U$16,H396),1)*IF(Upgrades!$T$17="Stellar Kinematics",POWER(Upgrades!$U$17,I396),1)*IF(Upgrades!$T$18="Stellar Kinematics",POWER(Upgrades!$U$18,J396),1)*IF(Upgrades!$T$19="Stellar Kinematics",POWER(Upgrades!$U$19,K396),1)*IF(Upgrades!$T$20="Stellar Kinematics",POWER(Upgrades!$U$20,L396),1)*IF(Upgrades!$T$21="Stellar Kinematics",POWER(Upgrades!$U$21,M396),1))*POWER(Upgrades!$P$13,E396)*POWER(Upgrades!$P$14,F396)*POWER(Upgrades!$P$15,G396)*POWER(Upgrades!$P$16,H396)*POWER(Upgrades!$P$17,I396)*POWER(Upgrades!$P$18,J396)*POWER(Upgrades!$P$19,K396)*POWER(Upgrades!$P$20,L396)*POWER(Upgrades!$P$21,M396)*$F$6*60</f>
        <v/>
      </c>
      <c r="AB396" s="27">
        <f>(IF(F396=0,0,(Upgrades!$G$14+F396*Upgrades!$H$14)*POWER(Upgrades!$I$14,F396)))*(IF(Upgrades!$T$13="Local Bubble",POWER(Upgrades!$U$13,E396),1)*IF(Upgrades!$T$15="Local Bubble",POWER(Upgrades!$U$15,G396),1)*IF(Upgrades!$T$16="Local Bubble",POWER(Upgrades!$U$16,H396),1)*IF(Upgrades!$T$17="Local Bubble",POWER(Upgrades!$U$17,I396),1)*IF(Upgrades!$T$18="Local Bubble",POWER(Upgrades!$U$18,J396),1)*IF(Upgrades!$T$19="Local Bubble",POWER(Upgrades!$U$19,K396),1)*IF(Upgrades!$T$20="Local Bubble",POWER(Upgrades!$U$20,L396),1)*IF(Upgrades!$T$21="Local Bubble",POWER(Upgrades!$U$21,M396),1))*POWER(Upgrades!$P$13,E396)*POWER(Upgrades!$P$14,F396)*POWER(Upgrades!$P$15,G396)*POWER(Upgrades!$P$16,H396)*POWER(Upgrades!$P$17,I396)*POWER(Upgrades!$P$18,J396)*POWER(Upgrades!$P$19,K396)*POWER(Upgrades!$P$20,L396)*POWER(Upgrades!$P$21,M396)*$F$6*60</f>
        <v/>
      </c>
      <c r="AC396" s="27">
        <f>(IF(G396=0,0,(Upgrades!$J$15+G396*Upgrades!$K$15)*POWER(Upgrades!$L$15,G396)))*(IF(Upgrades!$T$13="Microlensing",POWER(Upgrades!$U$13,E396),1)*IF(Upgrades!$T$14="Microlensing",POWER(Upgrades!$U$14,F396),1)*IF(Upgrades!$T$16="Microlensing",POWER(Upgrades!$U$16,H396),1)*IF(Upgrades!$T$17="Microlensing",POWER(Upgrades!$U$17,I396),1)*IF(Upgrades!$T$18="Microlensing",POWER(Upgrades!$U$18,J396),1)*IF(Upgrades!$T$19="Microlensing",POWER(Upgrades!$U$19,K396),1)*IF(Upgrades!$T$20="Microlensing",POWER(Upgrades!$U$20,L396),1)*IF(Upgrades!$T$21="Microlensing",POWER(Upgrades!$U$21,M396),1))*POWER(Upgrades!$Q$13,E396)*POWER(Upgrades!$Q$14,F396)*POWER(Upgrades!$Q$15,G396)*POWER(Upgrades!$Q$16,H396)*POWER(Upgrades!$Q$17,I396)*POWER(Upgrades!$Q$18,J396)*POWER(Upgrades!$Q$19,K396)*POWER(Upgrades!$Q$20,L396)*POWER(Upgrades!$Q$21,M396)*$G$6*(Parameters!$B$10*Parameters!$B$11+Q396*60)</f>
        <v/>
      </c>
      <c r="AD396" s="27">
        <f>(IF(H396=0,0,(Upgrades!$M$16+H396*Upgrades!$N$16)*POWER(Upgrades!$O$16,H396)))*(IF(Upgrades!$T$13="Roche Lobe Overflow",POWER(Upgrades!$U$13,E396),1)*IF(Upgrades!$T$14="Roche Lobe Overflow",POWER(Upgrades!$U$14,F396),1)*IF(Upgrades!$T$15="Roche Lobe Overflow",POWER(Upgrades!$U$15,G396),1)*IF(Upgrades!$T$17="Roche Lobe Overflow",POWER(Upgrades!$U$17,I396),1)*IF(Upgrades!$T$18="Roche Lobe Overflow",POWER(Upgrades!$U$18,J396),1)*IF(Upgrades!$T$19="Roche Lobe Overflow",POWER(Upgrades!$U$19,K396),1)*IF(Upgrades!$T$20="Roche Lobe Overflow",POWER(Upgrades!$U$20,L396),1)*IF(Upgrades!$T$21="Roche Lobe Overflow",POWER(Upgrades!$U$21,M396),1))*POWER(Upgrades!$R$13,E396)*POWER(Upgrades!$R$14,F396)*POWER(Upgrades!$R$15,G396)*POWER(Upgrades!$R$16,H396)*POWER(Upgrades!$R$17,I396)*POWER(Upgrades!$R$18,J396)*POWER(Upgrades!$R$19,K396)*POWER(Upgrades!$R$20,L396)*POWER(Upgrades!$R$21,M396)*$H$6*O396*60</f>
        <v/>
      </c>
      <c r="AE396" s="27">
        <f>(IF(I396=0,0,(Upgrades!$G$17+I396*Upgrades!$H$17)*POWER(Upgrades!$I$17,I396)))*(IF(Upgrades!$T$13="Brown Dwarf",POWER(Upgrades!$U$13,E396),1)*IF(Upgrades!$T$14="Brown Dwarf",POWER(Upgrades!$U$14,F396),1)*IF(Upgrades!$T$15="Brown Dwarf",POWER(Upgrades!$U$15,G396),1)*IF(Upgrades!$T$16="Brown Dwarf",POWER(Upgrades!$U$16,H396),1)*IF(Upgrades!$T$18="Brown Dwarf",POWER(Upgrades!$U$18,J396),1)*IF(Upgrades!$T$19="Brown Dwarf",POWER(Upgrades!$U$19,K396),1)*IF(Upgrades!$T$20="Brown Dwarf",POWER(Upgrades!$U$20,L396),1)*IF(Upgrades!$T$21="Brown Dwarf",POWER(Upgrades!$U$21,M396),1))*POWER(Upgrades!$P$13,E396)*POWER(Upgrades!$P$14,F396)*POWER(Upgrades!$P$15,G396)*POWER(Upgrades!$P$16,H396)*POWER(Upgrades!$P$17,I396)*POWER(Upgrades!$P$18,J396)*POWER(Upgrades!$P$19,K396)*POWER(Upgrades!$P$20,L396)*POWER(Upgrades!$P$21,M396)*$F$6*60</f>
        <v/>
      </c>
      <c r="AF396" s="27" t="n">
        <v>0</v>
      </c>
      <c r="AG396" s="27" t="n">
        <v>0</v>
      </c>
      <c r="AH396" s="27" t="n">
        <v>0</v>
      </c>
      <c r="AI396" s="27">
        <f>(IF(M396=0,0,(Upgrades!$G$21+M396*Upgrades!$H$21)*POWER(Upgrades!$I$21,M396)))*(IF(Upgrades!$T$13="Moving Group",POWER(Upgrades!$U$13,E396),1)*IF(Upgrades!$T$14="Moving Group",POWER(Upgrades!$U$14,F396),1)*IF(Upgrades!$T$15="Moving Group",POWER(Upgrades!$U$15,G396),1)*IF(Upgrades!$T$16="Moving Group",POWER(Upgrades!$U$16,H396),1)*IF(Upgrades!$T$17="Moving Group",POWER(Upgrades!$U$17,I396),1)*IF(Upgrades!$T$18="Moving Group",POWER(Upgrades!$U$18,J396),1)*IF(Upgrades!$T$19="Moving Group",POWER(Upgrades!$U$19,K396),1)*IF(Upgrades!$T$20="Moving Group",POWER(Upgrades!$U$20,L396),1))*POWER(Upgrades!$P$13,E396)*POWER(Upgrades!$P$14,F396)*POWER(Upgrades!$P$15,G396)*POWER(Upgrades!$P$16,H396)*POWER(Upgrades!$P$17,I396)*POWER(Upgrades!$P$18,J396)*POWER(Upgrades!$P$19,K396)*POWER(Upgrades!$P$20,L396)*POWER(Upgrades!$P$21,M396)*$F$6*60</f>
        <v/>
      </c>
      <c r="AJ396" s="27">
        <f>$C$6*60</f>
        <v/>
      </c>
      <c r="AK396" s="22">
        <f>IF(E396&gt;=Upgrades!$E$13,"",Upgrades!$C$13*POWER(Upgrades!$D$13,E396))</f>
        <v/>
      </c>
      <c r="AL396" s="22">
        <f>IF(F396&gt;=Upgrades!$E$14,"",Upgrades!$C$14*POWER(Upgrades!$D$14,F396))</f>
        <v/>
      </c>
      <c r="AM396" s="22">
        <f>IF(G396&gt;=Upgrades!$E$15,"",Upgrades!$C$15*POWER(Upgrades!$D$15,G396))</f>
        <v/>
      </c>
      <c r="AN396" s="22">
        <f>IF(H396&gt;=Upgrades!$E$16,"",Upgrades!$C$16*POWER(Upgrades!$D$16,H396))</f>
        <v/>
      </c>
      <c r="AO396" s="22">
        <f>IF(I396&gt;=Upgrades!$E$17,"",Upgrades!$C$17*POWER(Upgrades!$D$17,I396))</f>
        <v/>
      </c>
      <c r="AP396" s="22">
        <f>IF(J396&gt;=Upgrades!$E$18,"",Upgrades!$C$18*POWER(Upgrades!$D$18,J396))</f>
        <v/>
      </c>
      <c r="AQ396" s="22">
        <f>IF(K396&gt;=Upgrades!$E$19,"",Upgrades!$C$19*POWER(Upgrades!$D$19,K396))</f>
        <v/>
      </c>
      <c r="AR396" s="22">
        <f>IF(L396&gt;=Upgrades!$E$20,"",Upgrades!$C$20*POWER(Upgrades!$D$20,L396))</f>
        <v/>
      </c>
      <c r="AS396" s="22">
        <f>IF(M396&gt;=Upgrades!$E$21,"",Upgrades!$C$21*POWER(Upgrades!$D$21,M396))</f>
        <v/>
      </c>
      <c r="AT396" s="26">
        <f>IF(AND(D396&gt;=Parameters!$B$18*Parameters!$B$19,(I396&gt;=Upgrades!$E$17)*(M396&gt;=Upgrades!$E$21)=1,N396=0),1,"")</f>
        <v/>
      </c>
      <c r="AU396" s="26">
        <f>IF(AND(D396&gt;=Parameters!$B$18*Parameters!$B$19,N396=0),1,"")</f>
        <v/>
      </c>
      <c r="AV396" s="22">
        <f>MIN(IF(ISNUMBER(AP396),AP396,9E15),IF(ISNUMBER(AQ396),AQ396,9E15),IF(ISNUMBER(AR396),AR396,9E15),IF(ISNUMBER(AS396),AS396,9E15))</f>
        <v/>
      </c>
      <c r="AW396" s="22">
        <f>MIN(IF(ISNUMBER(AK396),AK396,9E15),IF(ISNUMBER(AL396),AL396,9E15),IF(ISNUMBER(AM396),AM396,9E15),IF(ISNUMBER(AN396),AN396,9E15),IF(ISNUMBER(AO396),AO396,9E15))</f>
        <v/>
      </c>
      <c r="AX396" s="29">
        <f>IF(BD396&gt;Parameters!$B$21*(MAX(IF(AND(NOT(AND(AU396=1,AT396&lt;&gt;1)),ISNUMBER(AK396),AK396&lt;=(C396+T396)),AY396,0),IF(AND(NOT(AND(AU396=1,AT396&lt;&gt;1)),ISNUMBER(AL396),AL396&lt;=(C396+T396)),AZ396,0),IF(AND(NOT(AND(AU396=1,AT396&lt;&gt;1)),ISNUMBER(AM396),AM396&lt;=(C396+T396)),BA396,0),IF(AND(NOT(AND(AU396=1,AT396&lt;&gt;1)),ISNUMBER(AN396),AN396&lt;=(C396+T396)),BB396,0),IF(AND(ISNUMBER(AO396),AO396&lt;=(C396+T396)),BC396,0))),TRUE,FALSE)</f>
        <v/>
      </c>
      <c r="AY396" s="32">
        <f>IFERROR(Upgrades!$H$13*(POWER(Upgrades!$P$13,E396)*POWER(Upgrades!$P$14,F396)*POWER(Upgrades!$P$15,G396)*POWER(Upgrades!$P$16,H396)*POWER(Upgrades!$P$17,I396)*POWER(Upgrades!$P$18,J396)*POWER(Upgrades!$P$19,K396)*POWER(Upgrades!$P$20,L396)*POWER(Upgrades!$P$21,M396))*(IF(Upgrades!$T$14="Stellar Kinematics",POWER(Upgrades!$U$14,F396),1)*IF(Upgrades!$T$15="Stellar Kinematics",POWER(Upgrades!$U$15,G396),1)*IF(Upgrades!$T$16="Stellar Kinematics",POWER(Upgrades!$U$16,H396),1)*IF(Upgrades!$T$17="Stellar Kinematics",POWER(Upgrades!$U$17,I396),1)*IF(Upgrades!$T$18="Stellar Kinematics",POWER(Upgrades!$U$18,J396),1)*IF(Upgrades!$T$19="Stellar Kinematics",POWER(Upgrades!$U$19,K396),1)*IF(Upgrades!$T$20="Stellar Kinematics",POWER(Upgrades!$U$20,L396),1)*IF(Upgrades!$T$21="Stellar Kinematics",POWER(Upgrades!$U$21,M396),1))*$F$6/AK396,0)</f>
        <v/>
      </c>
      <c r="AZ396" s="32">
        <f>IFERROR(Upgrades!$H$14*(POWER(Upgrades!$P$13,E396)*POWER(Upgrades!$P$14,F396)*POWER(Upgrades!$P$15,G396)*POWER(Upgrades!$P$16,H396)*POWER(Upgrades!$P$17,I396)*POWER(Upgrades!$P$18,J396)*POWER(Upgrades!$P$19,K396)*POWER(Upgrades!$P$20,L396)*POWER(Upgrades!$P$21,M396))*(IF(Upgrades!$T$13="Local Bubble",POWER(Upgrades!$U$13,E396),1)*IF(Upgrades!$T$15="Local Bubble",POWER(Upgrades!$U$15,G396),1)*IF(Upgrades!$T$16="Local Bubble",POWER(Upgrades!$U$16,H396),1)*IF(Upgrades!$T$17="Local Bubble",POWER(Upgrades!$U$17,I396),1)*IF(Upgrades!$T$18="Local Bubble",POWER(Upgrades!$U$18,J396),1)*IF(Upgrades!$T$19="Local Bubble",POWER(Upgrades!$U$19,K396),1)*IF(Upgrades!$T$20="Local Bubble",POWER(Upgrades!$U$20,L396),1)*IF(Upgrades!$T$21="Local Bubble",POWER(Upgrades!$U$21,M396),1))*$F$6/AL396,0)</f>
        <v/>
      </c>
      <c r="BA396" s="32">
        <f>IFERROR(Upgrades!$K$15*(POWER(Upgrades!$Q$13,E396)*POWER(Upgrades!$Q$14,F396)*POWER(Upgrades!$Q$15,G396)*POWER(Upgrades!$Q$16,H396)*POWER(Upgrades!$Q$17,I396)*POWER(Upgrades!$Q$18,J396)*POWER(Upgrades!$Q$19,K396)*POWER(Upgrades!$Q$20,L396)*POWER(Upgrades!$Q$21,M396))*(IF(Upgrades!$T$13="Microlensing",POWER(Upgrades!$U$13,E396),1)*IF(Upgrades!$T$14="Microlensing",POWER(Upgrades!$U$14,F396),1)*IF(Upgrades!$T$16="Microlensing",POWER(Upgrades!$U$16,H396),1)*IF(Upgrades!$T$17="Microlensing",POWER(Upgrades!$U$17,I396),1)*IF(Upgrades!$T$18="Microlensing",POWER(Upgrades!$U$18,J396),1)*IF(Upgrades!$T$19="Microlensing",POWER(Upgrades!$U$19,K396),1)*IF(Upgrades!$T$20="Microlensing",POWER(Upgrades!$U$20,L396),1)*IF(Upgrades!$T$21="Microlensing",POWER(Upgrades!$U$21,M396),1))*$G$6*(Parameters!$B$10/60*Parameters!$B$11+Q396)/AM396,0)</f>
        <v/>
      </c>
      <c r="BB396" s="32">
        <f>IFERROR((Upgrades!$N$16*(POWER(Upgrades!$R$13,E396)*POWER(Upgrades!$R$14,F396)*POWER(Upgrades!$R$15,G396)*POWER(Upgrades!$R$16,H396)*POWER(Upgrades!$R$17,I396)*POWER(Upgrades!$R$18,J396)*POWER(Upgrades!$R$19,K396)*POWER(Upgrades!$R$20,L396)*POWER(Upgrades!$R$21,M396))*(IF(Upgrades!$T$13="Roche Lobe Overflow",POWER(Upgrades!$U$13,E396),1)*IF(Upgrades!$T$14="Roche Lobe Overflow",POWER(Upgrades!$U$14,F396),1)*IF(Upgrades!$T$15="Roche Lobe Overflow",POWER(Upgrades!$U$15,G396),1)*IF(Upgrades!$T$17="Roche Lobe Overflow",POWER(Upgrades!$U$17,I396),1)*IF(Upgrades!$T$18="Roche Lobe Overflow",POWER(Upgrades!$U$18,J396),1)*IF(Upgrades!$T$19="Roche Lobe Overflow",POWER(Upgrades!$U$19,K396),1)*IF(Upgrades!$T$20="Roche Lobe Overflow",POWER(Upgrades!$U$20,L396),1)*IF(Upgrades!$T$21="Roche Lobe Overflow",POWER(Upgrades!$U$21,M396),1))*$H$6*O396+((IF(F396=0,0,(Upgrades!$G$14+F396*Upgrades!$H$14)*POWER(Upgrades!$I$14,F396)))*(IF(Upgrades!$T$13="Local Bubble",POWER(Upgrades!$U$13,E396),1)*IF(Upgrades!$T$15="Local Bubble",POWER(Upgrades!$U$15,G396),1)*IF(Upgrades!$T$16="Local Bubble",POWER(Upgrades!$U$16,H396),1)*IF(Upgrades!$T$17="Local Bubble",POWER(Upgrades!$U$17,I396),1)*IF(Upgrades!$T$18="Local Bubble",POWER(Upgrades!$U$18,J396),1)*IF(Upgrades!$T$19="Local Bubble",POWER(Upgrades!$U$19,K396),1)*IF(Upgrades!$T$20="Local Bubble",POWER(Upgrades!$U$20,L396),1)*IF(Upgrades!$T$21="Local Bubble",POWER(Upgrades!$U$21,M396),1))*POWER(Upgrades!$P$13,E396)*POWER(Upgrades!$P$14,F396)*POWER(Upgrades!$P$15,G396)*POWER(Upgrades!$P$16,H396)*POWER(Upgrades!$P$17,I396)*POWER(Upgrades!$P$18,J396)*POWER(Upgrades!$P$19,K396)*POWER(Upgrades!$P$20,L396)*POWER(Upgrades!$P$21,M396)*$F$6)*0.05)/AN396,0)</f>
        <v/>
      </c>
      <c r="BC396" s="32">
        <f>IFERROR((Upgrades!$H$17*(POWER(Upgrades!$P$13,E396)*POWER(Upgrades!$P$14,F396)*POWER(Upgrades!$P$15,G396)*POWER(Upgrades!$P$16,H396)*POWER(Upgrades!$P$17,I396)*POWER(Upgrades!$P$18,J396)*POWER(Upgrades!$P$19,K396)*POWER(Upgrades!$P$20,L396)*POWER(Upgrades!$P$21,M396))*(IF(Upgrades!$T$13="Brown Dwarf",POWER(Upgrades!$U$13,E396),1)*IF(Upgrades!$T$14="Brown Dwarf",POWER(Upgrades!$U$14,F396),1)*IF(Upgrades!$T$15="Brown Dwarf",POWER(Upgrades!$U$15,G396),1)*IF(Upgrades!$T$16="Brown Dwarf",POWER(Upgrades!$U$16,H396),1)*IF(Upgrades!$T$18="Brown Dwarf",POWER(Upgrades!$U$18,J396),1)*IF(Upgrades!$T$19="Brown Dwarf",POWER(Upgrades!$U$19,K396),1)*IF(Upgrades!$T$20="Brown Dwarf",POWER(Upgrades!$U$20,L396),1)*IF(Upgrades!$T$21="Brown Dwarf",POWER(Upgrades!$U$21,M396),1))*$F$6+(((IF(H396=0,0,(Upgrades!$M$16+H396*Upgrades!$N$16)*POWER(Upgrades!$O$16,H396)))*(IF(Upgrades!$T$13="Roche Lobe Overflow",POWER(Upgrades!$U$13,E396),1)*IF(Upgrades!$T$14="Roche Lobe Overflow",POWER(Upgrades!$U$14,F396),1)*IF(Upgrades!$T$15="Roche Lobe Overflow",POWER(Upgrades!$U$15,G396),1)*IF(Upgrades!$T$17="Roche Lobe Overflow",POWER(Upgrades!$U$17,I396),1)*IF(Upgrades!$T$18="Roche Lobe Overflow",POWER(Upgrades!$U$18,J396),1)*IF(Upgrades!$T$19="Roche Lobe Overflow",POWER(Upgrades!$U$19,K396),1)*IF(Upgrades!$T$20="Roche Lobe Overflow",POWER(Upgrades!$U$20,L396),1)*IF(Upgrades!$T$21="Roche Lobe Overflow",POWER(Upgrades!$U$21,M396),1))*POWER(Upgrades!$R$13,E396)*POWER(Upgrades!$R$14,F396)*POWER(Upgrades!$R$15,G396)*POWER(Upgrades!$R$16,H396)*POWER(Upgrades!$R$17,I396)*POWER(Upgrades!$R$18,J396)*POWER(Upgrades!$R$19,K396)*POWER(Upgrades!$R$20,L396)*POWER(Upgrades!$R$21,M396)*$H$6)*O396)*0.10)/AO396,0)</f>
        <v/>
      </c>
      <c r="BD396" s="32">
        <f>MAX(IF(J396&gt;0,0,IFERROR(0.5*((IF(G396=0,0,(Upgrades!$J$15+G396*Upgrades!$K$15)*POWER(Upgrades!$L$15,G396)))*(IF(Upgrades!$T$13="Microlensing",POWER(Upgrades!$U$13,E396),1)*IF(Upgrades!$T$14="Microlensing",POWER(Upgrades!$U$14,F396),1)*IF(Upgrades!$T$16="Microlensing",POWER(Upgrades!$U$16,H396),1)*IF(Upgrades!$T$17="Microlensing",POWER(Upgrades!$U$17,I396),1)*IF(Upgrades!$T$18="Microlensing",POWER(Upgrades!$U$18,J396),1)*IF(Upgrades!$T$19="Microlensing",POWER(Upgrades!$U$19,K396),1)*IF(Upgrades!$T$20="Microlensing",POWER(Upgrades!$U$20,L396),1)*IF(Upgrades!$T$21="Microlensing",POWER(Upgrades!$U$21,M396),1))*(POWER(Upgrades!$Q$13,E396)*POWER(Upgrades!$Q$14,F396)*POWER(Upgrades!$Q$15,G396)*POWER(Upgrades!$Q$16,H396)*POWER(Upgrades!$Q$17,I396)*POWER(Upgrades!$Q$18,J396)*POWER(Upgrades!$Q$19,K396)*POWER(Upgrades!$Q$20,L396)*POWER(Upgrades!$Q$21,M396))*$G$6*(Parameters!$B$10/60*Parameters!$B$11+Q396))/Upgrades!$C$18,0)),IF(K396&gt;0,0,IFERROR(0.30*P396/Upgrades!$C$19,0)),IF(L396&gt;0,0,IFERROR(0.0001/Upgrades!$C$20,0)),IF(M396&gt;0,0,IFERROR((6.0*(POWER(Upgrades!$P$13,E396)*POWER(Upgrades!$P$14,F396)*POWER(Upgrades!$P$15,G396)*POWER(Upgrades!$P$16,H396)*POWER(Upgrades!$P$17,I396)*POWER(Upgrades!$P$18,J396)*POWER(Upgrades!$P$19,K396)*POWER(Upgrades!$P$20,L396)*POWER(Upgrades!$P$21,M396))*$F$6+0.20*O396*(Parameters!$B$10/60*Parameters!$B$11+Q396))/Upgrades!$C$21,0)),IF(AND(ISNUMBER(AK396),AK396&gt;(C396+T396)),AY396,0),IF(AND(ISNUMBER(AL396),AL396&gt;(C396+T396)),AZ396,0),IF(AND(ISNUMBER(AM396),AM396&gt;(C396+T396)),BA396,0),IF(AND(ISNUMBER(AN396),AN396&gt;(C396+T396)),BB396,0),IF(AND(ISNUMBER(AO396),AO396&gt;(C396+T396)),BC396,0))</f>
        <v/>
      </c>
      <c r="BE396" s="29">
        <f>IF(AT396=1,"transition",IF(MIN(IF(AND(J396=0,ISNUMBER(AP396),AP396&lt;=(C396+T396)),AP396,9E15),IF(AND(K396=0,ISNUMBER(AQ396),AQ396&lt;=(C396+T396)),AQ396,9E15),IF(AND(L396=0,ISNUMBER(AR396),AR396&lt;=(C396+T396)),AR396,9E15),IF(AND(M396=0,ISNUMBER(AS396),AS396&lt;=(C396+T396)),AS396,9E15))&lt;9E15,IF(AND(AND(J396=0,ISNUMBER(AP396),AP396&lt;=(C396+T396)),AP396=MIN(IF(AND(J396=0,ISNUMBER(AP396),AP396&lt;=(C396+T396)),AP396,9E15),IF(AND(K396=0,ISNUMBER(AQ396),AQ396&lt;=(C396+T396)),AQ396,9E15),IF(AND(L396=0,ISNUMBER(AR396),AR396&lt;=(C396+T396)),AR396,9E15),IF(AND(M396=0,ISNUMBER(AS396),AS396&lt;=(C396+T396)),AS396,9E15))),"BiP",IF(AND(AND(K396=0,ISNUMBER(AQ396),AQ396&lt;=(C396+T396)),AQ396=MIN(IF(AND(J396=0,ISNUMBER(AP396),AP396&lt;=(C396+T396)),AP396,9E15),IF(AND(K396=0,ISNUMBER(AQ396),AQ396&lt;=(C396+T396)),AQ396,9E15),IF(AND(L396=0,ISNUMBER(AR396),AR396&lt;=(C396+T396)),AR396,9E15),IF(AND(M396=0,ISNUMBER(AS396),AS396&lt;=(C396+T396)),AS396,9E15))),"PV",IF(AND(AND(L396=0,ISNUMBER(AR396),AR396&lt;=(C396+T396)),AR396=MIN(IF(AND(J396=0,ISNUMBER(AP396),AP396&lt;=(C396+T396)),AP396,9E15),IF(AND(K396=0,ISNUMBER(AQ396),AQ396&lt;=(C396+T396)),AQ396,9E15),IF(AND(L396=0,ISNUMBER(AR396),AR396&lt;=(C396+T396)),AR396,9E15),IF(AND(M396=0,ISNUMBER(AS396),AS396&lt;=(C396+T396)),AS396,9E15))),"OC","MG"))),IF(AX396=TRUE,"",IF(MAX(IF(AND(NOT(AND(AU396=1,AT396&lt;&gt;1)),ISNUMBER(AK396),AK396&lt;=(C396+T396)),AY396,0),IF(AND(NOT(AND(AU396=1,AT396&lt;&gt;1)),ISNUMBER(AL396),AL396&lt;=(C396+T396)),AZ396,0),IF(AND(NOT(AND(AU396=1,AT396&lt;&gt;1)),ISNUMBER(AM396),AM396&lt;=(C396+T396)),BA396,0),IF(AND(NOT(AND(AU396=1,AT396&lt;&gt;1)),ISNUMBER(AN396),AN396&lt;=(C396+T396)),BB396,0),IF(AND(ISNUMBER(AO396),AO396&lt;=(C396+T396)),BC396,0))&lt;=0,"",IF(AND(IF(AND(NOT(AND(AU396=1,AT396&lt;&gt;1)),ISNUMBER(AK396),AK396&lt;=(C396+T396)),AY396,0)&gt;0,IF(AND(NOT(AND(AU396=1,AT396&lt;&gt;1)),ISNUMBER(AK396),AK396&lt;=(C396+T396)),AY396,0)=MAX(IF(AND(NOT(AND(AU396=1,AT396&lt;&gt;1)),ISNUMBER(AK396),AK396&lt;=(C396+T396)),AY396,0),IF(AND(NOT(AND(AU396=1,AT396&lt;&gt;1)),ISNUMBER(AL396),AL396&lt;=(C396+T396)),AZ396,0),IF(AND(NOT(AND(AU396=1,AT396&lt;&gt;1)),ISNUMBER(AM396),AM396&lt;=(C396+T396)),BA396,0),IF(AND(NOT(AND(AU396=1,AT396&lt;&gt;1)),ISNUMBER(AN396),AN396&lt;=(C396+T396)),BB396,0),IF(AND(ISNUMBER(AO396),AO396&lt;=(C396+T396)),BC396,0))),"SK",IF(AND(IF(AND(NOT(AND(AU396=1,AT396&lt;&gt;1)),ISNUMBER(AL396),AL396&lt;=(C396+T396)),AZ396,0)&gt;0,IF(AND(NOT(AND(AU396=1,AT396&lt;&gt;1)),ISNUMBER(AL396),AL396&lt;=(C396+T396)),AZ396,0)=MAX(IF(AND(NOT(AND(AU396=1,AT396&lt;&gt;1)),ISNUMBER(AK396),AK396&lt;=(C396+T396)),AY396,0),IF(AND(NOT(AND(AU396=1,AT396&lt;&gt;1)),ISNUMBER(AL396),AL396&lt;=(C396+T396)),AZ396,0),IF(AND(NOT(AND(AU396=1,AT396&lt;&gt;1)),ISNUMBER(AM396),AM396&lt;=(C396+T396)),BA396,0),IF(AND(NOT(AND(AU396=1,AT396&lt;&gt;1)),ISNUMBER(AN396),AN396&lt;=(C396+T396)),BB396,0),IF(AND(ISNUMBER(AO396),AO396&lt;=(C396+T396)),BC396,0))),"LB",IF(AND(IF(AND(NOT(AND(AU396=1,AT396&lt;&gt;1)),ISNUMBER(AM396),AM396&lt;=(C396+T396)),BA396,0)&gt;0,IF(AND(NOT(AND(AU396=1,AT396&lt;&gt;1)),ISNUMBER(AM396),AM396&lt;=(C396+T396)),BA396,0)=MAX(IF(AND(NOT(AND(AU396=1,AT396&lt;&gt;1)),ISNUMBER(AK396),AK396&lt;=(C396+T396)),AY396,0),IF(AND(NOT(AND(AU396=1,AT396&lt;&gt;1)),ISNUMBER(AL396),AL396&lt;=(C396+T396)),AZ396,0),IF(AND(NOT(AND(AU396=1,AT396&lt;&gt;1)),ISNUMBER(AM396),AM396&lt;=(C396+T396)),BA396,0),IF(AND(NOT(AND(AU396=1,AT396&lt;&gt;1)),ISNUMBER(AN396),AN396&lt;=(C396+T396)),BB396,0),IF(AND(ISNUMBER(AO396),AO396&lt;=(C396+T396)),BC396,0))),"ML",IF(AND(IF(AND(NOT(AND(AU396=1,AT396&lt;&gt;1)),ISNUMBER(AN396),AN396&lt;=(C396+T396)),BB396,0)&gt;0,IF(AND(NOT(AND(AU396=1,AT396&lt;&gt;1)),ISNUMBER(AN396),AN396&lt;=(C396+T396)),BB396,0)=MAX(IF(AND(NOT(AND(AU396=1,AT396&lt;&gt;1)),ISNUMBER(AK396),AK396&lt;=(C396+T396)),AY396,0),IF(AND(NOT(AND(AU396=1,AT396&lt;&gt;1)),ISNUMBER(AL396),AL396&lt;=(C396+T396)),AZ396,0),IF(AND(NOT(AND(AU396=1,AT396&lt;&gt;1)),ISNUMBER(AM396),AM396&lt;=(C396+T396)),BA396,0),IF(AND(NOT(AND(AU396=1,AT396&lt;&gt;1)),ISNUMBER(AN396),AN396&lt;=(C396+T396)),BB396,0),IF(AND(ISNUMBER(AO396),AO396&lt;=(C396+T396)),BC396,0))),"RLO","BD"))))))))</f>
        <v/>
      </c>
    </row>
    <row r="397">
      <c r="A397" s="26" t="n">
        <v>386</v>
      </c>
      <c r="B397" s="27">
        <f>A397*10/60</f>
        <v/>
      </c>
      <c r="C397" s="22">
        <f>X396</f>
        <v/>
      </c>
      <c r="D397" s="27">
        <f>D396+W396</f>
        <v/>
      </c>
      <c r="E397" s="26">
        <f>E396+IF(U396="SK",1,0)</f>
        <v/>
      </c>
      <c r="F397" s="26">
        <f>F396+IF(U396="LB",1,0)</f>
        <v/>
      </c>
      <c r="G397" s="26">
        <f>G396+IF(U396="ML",1,0)</f>
        <v/>
      </c>
      <c r="H397" s="26">
        <f>H396+IF(U396="RLO",1,0)</f>
        <v/>
      </c>
      <c r="I397" s="26">
        <f>I396+IF(U396="BD",1,0)</f>
        <v/>
      </c>
      <c r="J397" s="26">
        <f>MAX(J396,IF(U396="BiP",1,0))</f>
        <v/>
      </c>
      <c r="K397" s="26">
        <f>MAX(K396,IF(U396="PV",1,0))</f>
        <v/>
      </c>
      <c r="L397" s="26">
        <f>MAX(L396,IF(U396="OC",1,0))</f>
        <v/>
      </c>
      <c r="M397" s="26">
        <f>MAX(M396,IF(U396="MG",1,0))</f>
        <v/>
      </c>
      <c r="N397" s="26">
        <f>MAX(N396,IF(U396="transition",1,0))</f>
        <v/>
      </c>
      <c r="O397" s="28">
        <f>(Parameters!$B$9+(IF(E397=0,0,(Upgrades!$J$13+E397*Upgrades!$K$13)*POWER(Upgrades!$L$13,E397)))*(IF(Upgrades!$T$14="Stellar Kinematics",POWER(Upgrades!$U$14,F397),1)*IF(Upgrades!$T$15="Stellar Kinematics",POWER(Upgrades!$U$15,G397),1)*IF(Upgrades!$T$16="Stellar Kinematics",POWER(Upgrades!$U$16,H397),1)*IF(Upgrades!$T$17="Stellar Kinematics",POWER(Upgrades!$U$17,I397),1)*IF(Upgrades!$T$18="Stellar Kinematics",POWER(Upgrades!$U$18,J397),1)*IF(Upgrades!$T$19="Stellar Kinematics",POWER(Upgrades!$U$19,K397),1)*IF(Upgrades!$T$20="Stellar Kinematics",POWER(Upgrades!$U$20,L397),1)*IF(Upgrades!$T$21="Stellar Kinematics",POWER(Upgrades!$U$21,M397),1))+(IF(F397=0,0,(Upgrades!$J$14+F397*Upgrades!$K$14)*POWER(Upgrades!$L$14,F397)))*(IF(Upgrades!$T$13="Local Bubble",POWER(Upgrades!$U$13,E397),1)*IF(Upgrades!$T$15="Local Bubble",POWER(Upgrades!$U$15,G397),1)*IF(Upgrades!$T$16="Local Bubble",POWER(Upgrades!$U$16,H397),1)*IF(Upgrades!$T$17="Local Bubble",POWER(Upgrades!$U$17,I397),1)*IF(Upgrades!$T$18="Local Bubble",POWER(Upgrades!$U$18,J397),1)*IF(Upgrades!$T$19="Local Bubble",POWER(Upgrades!$U$19,K397),1)*IF(Upgrades!$T$20="Local Bubble",POWER(Upgrades!$U$20,L397),1)*IF(Upgrades!$T$21="Local Bubble",POWER(Upgrades!$U$21,M397),1))+(IF(G397=0,0,(Upgrades!$J$15+G397*Upgrades!$K$15)*POWER(Upgrades!$L$15,G397)))*(IF(Upgrades!$T$13="Microlensing",POWER(Upgrades!$U$13,E397),1)*IF(Upgrades!$T$14="Microlensing",POWER(Upgrades!$U$14,F397),1)*IF(Upgrades!$T$16="Microlensing",POWER(Upgrades!$U$16,H397),1)*IF(Upgrades!$T$17="Microlensing",POWER(Upgrades!$U$17,I397),1)*IF(Upgrades!$T$18="Microlensing",POWER(Upgrades!$U$18,J397),1)*IF(Upgrades!$T$19="Microlensing",POWER(Upgrades!$U$19,K397),1)*IF(Upgrades!$T$20="Microlensing",POWER(Upgrades!$U$20,L397),1)*IF(Upgrades!$T$21="Microlensing",POWER(Upgrades!$U$21,M397),1))+(IF(H397=0,0,(Upgrades!$J$16+H397*Upgrades!$K$16)*POWER(Upgrades!$L$16,H397)))*(IF(Upgrades!$T$13="Roche Lobe Overflow",POWER(Upgrades!$U$13,E397),1)*IF(Upgrades!$T$14="Roche Lobe Overflow",POWER(Upgrades!$U$14,F397),1)*IF(Upgrades!$T$15="Roche Lobe Overflow",POWER(Upgrades!$U$15,G397),1)*IF(Upgrades!$T$17="Roche Lobe Overflow",POWER(Upgrades!$U$17,I397),1)*IF(Upgrades!$T$18="Roche Lobe Overflow",POWER(Upgrades!$U$18,J397),1)*IF(Upgrades!$T$19="Roche Lobe Overflow",POWER(Upgrades!$U$19,K397),1)*IF(Upgrades!$T$20="Roche Lobe Overflow",POWER(Upgrades!$U$20,L397),1)*IF(Upgrades!$T$21="Roche Lobe Overflow",POWER(Upgrades!$U$21,M397),1))+(IF(I397=0,0,(Upgrades!$J$17+I397*Upgrades!$K$17)*POWER(Upgrades!$L$17,I397)))*(IF(Upgrades!$T$13="Brown Dwarf",POWER(Upgrades!$U$13,E397),1)*IF(Upgrades!$T$14="Brown Dwarf",POWER(Upgrades!$U$14,F397),1)*IF(Upgrades!$T$15="Brown Dwarf",POWER(Upgrades!$U$15,G397),1)*IF(Upgrades!$T$16="Brown Dwarf",POWER(Upgrades!$U$16,H397),1)*IF(Upgrades!$T$18="Brown Dwarf",POWER(Upgrades!$U$18,J397),1)*IF(Upgrades!$T$19="Brown Dwarf",POWER(Upgrades!$U$19,K397),1)*IF(Upgrades!$T$20="Brown Dwarf",POWER(Upgrades!$U$20,L397),1)*IF(Upgrades!$T$21="Brown Dwarf",POWER(Upgrades!$U$21,M397),1))+(IF(J397=0,0,(Upgrades!$J$18+J397*Upgrades!$K$18)*POWER(Upgrades!$L$18,J397)))*(IF(Upgrades!$T$13="Binary Partner",POWER(Upgrades!$U$13,E397),1)*IF(Upgrades!$T$14="Binary Partner",POWER(Upgrades!$U$14,F397),1)*IF(Upgrades!$T$15="Binary Partner",POWER(Upgrades!$U$15,G397),1)*IF(Upgrades!$T$16="Binary Partner",POWER(Upgrades!$U$16,H397),1)*IF(Upgrades!$T$17="Binary Partner",POWER(Upgrades!$U$17,I397),1)*IF(Upgrades!$T$19="Binary Partner",POWER(Upgrades!$U$19,K397),1)*IF(Upgrades!$T$20="Binary Partner",POWER(Upgrades!$U$20,L397),1)*IF(Upgrades!$T$21="Binary Partner",POWER(Upgrades!$U$21,M397),1))+(IF(K397=0,0,(Upgrades!$J$19+K397*Upgrades!$K$19)*POWER(Upgrades!$L$19,K397)))*(IF(Upgrades!$T$13="Peculiar Velocity",POWER(Upgrades!$U$13,E397),1)*IF(Upgrades!$T$14="Peculiar Velocity",POWER(Upgrades!$U$14,F397),1)*IF(Upgrades!$T$15="Peculiar Velocity",POWER(Upgrades!$U$15,G397),1)*IF(Upgrades!$T$16="Peculiar Velocity",POWER(Upgrades!$U$16,H397),1)*IF(Upgrades!$T$17="Peculiar Velocity",POWER(Upgrades!$U$17,I397),1)*IF(Upgrades!$T$18="Peculiar Velocity",POWER(Upgrades!$U$18,J397),1)*IF(Upgrades!$T$20="Peculiar Velocity",POWER(Upgrades!$U$20,L397),1)*IF(Upgrades!$T$21="Peculiar Velocity",POWER(Upgrades!$U$21,M397),1))+(IF(L397=0,0,(Upgrades!$J$20+L397*Upgrades!$K$20)*POWER(Upgrades!$L$20,L397)))*(IF(Upgrades!$T$13="Open Cluster",POWER(Upgrades!$U$13,E397),1)*IF(Upgrades!$T$14="Open Cluster",POWER(Upgrades!$U$14,F397),1)*IF(Upgrades!$T$15="Open Cluster",POWER(Upgrades!$U$15,G397),1)*IF(Upgrades!$T$16="Open Cluster",POWER(Upgrades!$U$16,H397),1)*IF(Upgrades!$T$17="Open Cluster",POWER(Upgrades!$U$17,I397),1)*IF(Upgrades!$T$18="Open Cluster",POWER(Upgrades!$U$18,J397),1)*IF(Upgrades!$T$19="Open Cluster",POWER(Upgrades!$U$19,K397),1)*IF(Upgrades!$T$21="Open Cluster",POWER(Upgrades!$U$21,M397),1))+(IF(M397=0,0,(Upgrades!$J$21+M397*Upgrades!$K$21)*POWER(Upgrades!$L$21,M397)))*(IF(Upgrades!$T$13="Moving Group",POWER(Upgrades!$U$13,E397),1)*IF(Upgrades!$T$14="Moving Group",POWER(Upgrades!$U$14,F397),1)*IF(Upgrades!$T$15="Moving Group",POWER(Upgrades!$U$15,G397),1)*IF(Upgrades!$T$16="Moving Group",POWER(Upgrades!$U$16,H397),1)*IF(Upgrades!$T$17="Moving Group",POWER(Upgrades!$U$17,I397),1)*IF(Upgrades!$T$18="Moving Group",POWER(Upgrades!$U$18,J397),1)*IF(Upgrades!$T$19="Moving Group",POWER(Upgrades!$U$19,K397),1)*IF(Upgrades!$T$20="Moving Group",POWER(Upgrades!$U$20,L397),1)))*POWER(Upgrades!$Q$13,E397)*POWER(Upgrades!$Q$14,F397)*POWER(Upgrades!$Q$15,G397)*POWER(Upgrades!$Q$16,H397)*POWER(Upgrades!$Q$17,I397)*POWER(Upgrades!$Q$18,J397)*POWER(Upgrades!$Q$19,K397)*POWER(Upgrades!$Q$20,L397)*POWER(Upgrades!$Q$21,M397)*$G$6+$D$6</f>
        <v/>
      </c>
      <c r="P397" s="28">
        <f>((IF(E397=0,0,(Upgrades!$G$13+E397*Upgrades!$H$13)*POWER(Upgrades!$I$13,E397)))*(IF(Upgrades!$T$14="Stellar Kinematics",POWER(Upgrades!$U$14,F397),1)*IF(Upgrades!$T$15="Stellar Kinematics",POWER(Upgrades!$U$15,G397),1)*IF(Upgrades!$T$16="Stellar Kinematics",POWER(Upgrades!$U$16,H397),1)*IF(Upgrades!$T$17="Stellar Kinematics",POWER(Upgrades!$U$17,I397),1)*IF(Upgrades!$T$18="Stellar Kinematics",POWER(Upgrades!$U$18,J397),1)*IF(Upgrades!$T$19="Stellar Kinematics",POWER(Upgrades!$U$19,K397),1)*IF(Upgrades!$T$20="Stellar Kinematics",POWER(Upgrades!$U$20,L397),1)*IF(Upgrades!$T$21="Stellar Kinematics",POWER(Upgrades!$U$21,M397),1))+(IF(F397=0,0,(Upgrades!$G$14+F397*Upgrades!$H$14)*POWER(Upgrades!$I$14,F397)))*(IF(Upgrades!$T$13="Local Bubble",POWER(Upgrades!$U$13,E397),1)*IF(Upgrades!$T$15="Local Bubble",POWER(Upgrades!$U$15,G397),1)*IF(Upgrades!$T$16="Local Bubble",POWER(Upgrades!$U$16,H397),1)*IF(Upgrades!$T$17="Local Bubble",POWER(Upgrades!$U$17,I397),1)*IF(Upgrades!$T$18="Local Bubble",POWER(Upgrades!$U$18,J397),1)*IF(Upgrades!$T$19="Local Bubble",POWER(Upgrades!$U$19,K397),1)*IF(Upgrades!$T$20="Local Bubble",POWER(Upgrades!$U$20,L397),1)*IF(Upgrades!$T$21="Local Bubble",POWER(Upgrades!$U$21,M397),1))+(IF(G397=0,0,(Upgrades!$G$15+G397*Upgrades!$H$15)*POWER(Upgrades!$I$15,G397)))*(IF(Upgrades!$T$13="Microlensing",POWER(Upgrades!$U$13,E397),1)*IF(Upgrades!$T$14="Microlensing",POWER(Upgrades!$U$14,F397),1)*IF(Upgrades!$T$16="Microlensing",POWER(Upgrades!$U$16,H397),1)*IF(Upgrades!$T$17="Microlensing",POWER(Upgrades!$U$17,I397),1)*IF(Upgrades!$T$18="Microlensing",POWER(Upgrades!$U$18,J397),1)*IF(Upgrades!$T$19="Microlensing",POWER(Upgrades!$U$19,K397),1)*IF(Upgrades!$T$20="Microlensing",POWER(Upgrades!$U$20,L397),1)*IF(Upgrades!$T$21="Microlensing",POWER(Upgrades!$U$21,M397),1))+(IF(H397=0,0,(Upgrades!$G$16+H397*Upgrades!$H$16)*POWER(Upgrades!$I$16,H397)))*(IF(Upgrades!$T$13="Roche Lobe Overflow",POWER(Upgrades!$U$13,E397),1)*IF(Upgrades!$T$14="Roche Lobe Overflow",POWER(Upgrades!$U$14,F397),1)*IF(Upgrades!$T$15="Roche Lobe Overflow",POWER(Upgrades!$U$15,G397),1)*IF(Upgrades!$T$17="Roche Lobe Overflow",POWER(Upgrades!$U$17,I397),1)*IF(Upgrades!$T$18="Roche Lobe Overflow",POWER(Upgrades!$U$18,J397),1)*IF(Upgrades!$T$19="Roche Lobe Overflow",POWER(Upgrades!$U$19,K397),1)*IF(Upgrades!$T$20="Roche Lobe Overflow",POWER(Upgrades!$U$20,L397),1)*IF(Upgrades!$T$21="Roche Lobe Overflow",POWER(Upgrades!$U$21,M397),1))+(IF(I397=0,0,(Upgrades!$G$17+I397*Upgrades!$H$17)*POWER(Upgrades!$I$17,I397)))*(IF(Upgrades!$T$13="Brown Dwarf",POWER(Upgrades!$U$13,E397),1)*IF(Upgrades!$T$14="Brown Dwarf",POWER(Upgrades!$U$14,F397),1)*IF(Upgrades!$T$15="Brown Dwarf",POWER(Upgrades!$U$15,G397),1)*IF(Upgrades!$T$16="Brown Dwarf",POWER(Upgrades!$U$16,H397),1)*IF(Upgrades!$T$18="Brown Dwarf",POWER(Upgrades!$U$18,J397),1)*IF(Upgrades!$T$19="Brown Dwarf",POWER(Upgrades!$U$19,K397),1)*IF(Upgrades!$T$20="Brown Dwarf",POWER(Upgrades!$U$20,L397),1)*IF(Upgrades!$T$21="Brown Dwarf",POWER(Upgrades!$U$21,M397),1))+(IF(J397=0,0,(Upgrades!$G$18+J397*Upgrades!$H$18)*POWER(Upgrades!$I$18,J397)))*(IF(Upgrades!$T$13="Binary Partner",POWER(Upgrades!$U$13,E397),1)*IF(Upgrades!$T$14="Binary Partner",POWER(Upgrades!$U$14,F397),1)*IF(Upgrades!$T$15="Binary Partner",POWER(Upgrades!$U$15,G397),1)*IF(Upgrades!$T$16="Binary Partner",POWER(Upgrades!$U$16,H397),1)*IF(Upgrades!$T$17="Binary Partner",POWER(Upgrades!$U$17,I397),1)*IF(Upgrades!$T$19="Binary Partner",POWER(Upgrades!$U$19,K397),1)*IF(Upgrades!$T$20="Binary Partner",POWER(Upgrades!$U$20,L397),1)*IF(Upgrades!$T$21="Binary Partner",POWER(Upgrades!$U$21,M397),1))+(IF(K397=0,0,(Upgrades!$G$19+K397*Upgrades!$H$19)*POWER(Upgrades!$I$19,K397)))*(IF(Upgrades!$T$13="Peculiar Velocity",POWER(Upgrades!$U$13,E397),1)*IF(Upgrades!$T$14="Peculiar Velocity",POWER(Upgrades!$U$14,F397),1)*IF(Upgrades!$T$15="Peculiar Velocity",POWER(Upgrades!$U$15,G397),1)*IF(Upgrades!$T$16="Peculiar Velocity",POWER(Upgrades!$U$16,H397),1)*IF(Upgrades!$T$17="Peculiar Velocity",POWER(Upgrades!$U$17,I397),1)*IF(Upgrades!$T$18="Peculiar Velocity",POWER(Upgrades!$U$18,J397),1)*IF(Upgrades!$T$20="Peculiar Velocity",POWER(Upgrades!$U$20,L397),1)*IF(Upgrades!$T$21="Peculiar Velocity",POWER(Upgrades!$U$21,M397),1))+(IF(L397=0,0,(Upgrades!$G$20+L397*Upgrades!$H$20)*POWER(Upgrades!$I$20,L397)))*(IF(Upgrades!$T$13="Open Cluster",POWER(Upgrades!$U$13,E397),1)*IF(Upgrades!$T$14="Open Cluster",POWER(Upgrades!$U$14,F397),1)*IF(Upgrades!$T$15="Open Cluster",POWER(Upgrades!$U$15,G397),1)*IF(Upgrades!$T$16="Open Cluster",POWER(Upgrades!$U$16,H397),1)*IF(Upgrades!$T$17="Open Cluster",POWER(Upgrades!$U$17,I397),1)*IF(Upgrades!$T$18="Open Cluster",POWER(Upgrades!$U$18,J397),1)*IF(Upgrades!$T$19="Open Cluster",POWER(Upgrades!$U$19,K397),1)*IF(Upgrades!$T$21="Open Cluster",POWER(Upgrades!$U$21,M397),1))+(IF(M397=0,0,(Upgrades!$G$21+M397*Upgrades!$H$21)*POWER(Upgrades!$I$21,M397)))*(IF(Upgrades!$T$13="Moving Group",POWER(Upgrades!$U$13,E397),1)*IF(Upgrades!$T$14="Moving Group",POWER(Upgrades!$U$14,F397),1)*IF(Upgrades!$T$15="Moving Group",POWER(Upgrades!$U$15,G397),1)*IF(Upgrades!$T$16="Moving Group",POWER(Upgrades!$U$16,H397),1)*IF(Upgrades!$T$17="Moving Group",POWER(Upgrades!$U$17,I397),1)*IF(Upgrades!$T$18="Moving Group",POWER(Upgrades!$U$18,J397),1)*IF(Upgrades!$T$19="Moving Group",POWER(Upgrades!$U$19,K397),1)*IF(Upgrades!$T$20="Moving Group",POWER(Upgrades!$U$20,L397),1)))*POWER(Upgrades!$P$13,E397)*POWER(Upgrades!$P$14,F397)*POWER(Upgrades!$P$15,G397)*POWER(Upgrades!$P$16,H397)*POWER(Upgrades!$P$17,I397)*POWER(Upgrades!$P$18,J397)*POWER(Upgrades!$P$19,K397)*POWER(Upgrades!$P$20,L397)*POWER(Upgrades!$P$21,M397)*$F$6+$C$6</f>
        <v/>
      </c>
      <c r="Q397" s="28">
        <f>((IF(E397=0,0,(Upgrades!$M$13+E397*Upgrades!$N$13)*POWER(Upgrades!$O$13,E397)))*(IF(Upgrades!$T$14="Stellar Kinematics",POWER(Upgrades!$U$14,F397),1)*IF(Upgrades!$T$15="Stellar Kinematics",POWER(Upgrades!$U$15,G397),1)*IF(Upgrades!$T$16="Stellar Kinematics",POWER(Upgrades!$U$16,H397),1)*IF(Upgrades!$T$17="Stellar Kinematics",POWER(Upgrades!$U$17,I397),1)*IF(Upgrades!$T$18="Stellar Kinematics",POWER(Upgrades!$U$18,J397),1)*IF(Upgrades!$T$19="Stellar Kinematics",POWER(Upgrades!$U$19,K397),1)*IF(Upgrades!$T$20="Stellar Kinematics",POWER(Upgrades!$U$20,L397),1)*IF(Upgrades!$T$21="Stellar Kinematics",POWER(Upgrades!$U$21,M397),1))+(IF(F397=0,0,(Upgrades!$M$14+F397*Upgrades!$N$14)*POWER(Upgrades!$O$14,F397)))*(IF(Upgrades!$T$13="Local Bubble",POWER(Upgrades!$U$13,E397),1)*IF(Upgrades!$T$15="Local Bubble",POWER(Upgrades!$U$15,G397),1)*IF(Upgrades!$T$16="Local Bubble",POWER(Upgrades!$U$16,H397),1)*IF(Upgrades!$T$17="Local Bubble",POWER(Upgrades!$U$17,I397),1)*IF(Upgrades!$T$18="Local Bubble",POWER(Upgrades!$U$18,J397),1)*IF(Upgrades!$T$19="Local Bubble",POWER(Upgrades!$U$19,K397),1)*IF(Upgrades!$T$20="Local Bubble",POWER(Upgrades!$U$20,L397),1)*IF(Upgrades!$T$21="Local Bubble",POWER(Upgrades!$U$21,M397),1))+(IF(G397=0,0,(Upgrades!$M$15+G397*Upgrades!$N$15)*POWER(Upgrades!$O$15,G397)))*(IF(Upgrades!$T$13="Microlensing",POWER(Upgrades!$U$13,E397),1)*IF(Upgrades!$T$14="Microlensing",POWER(Upgrades!$U$14,F397),1)*IF(Upgrades!$T$16="Microlensing",POWER(Upgrades!$U$16,H397),1)*IF(Upgrades!$T$17="Microlensing",POWER(Upgrades!$U$17,I397),1)*IF(Upgrades!$T$18="Microlensing",POWER(Upgrades!$U$18,J397),1)*IF(Upgrades!$T$19="Microlensing",POWER(Upgrades!$U$19,K397),1)*IF(Upgrades!$T$20="Microlensing",POWER(Upgrades!$U$20,L397),1)*IF(Upgrades!$T$21="Microlensing",POWER(Upgrades!$U$21,M397),1))+(IF(H397=0,0,(Upgrades!$M$16+H397*Upgrades!$N$16)*POWER(Upgrades!$O$16,H397)))*(IF(Upgrades!$T$13="Roche Lobe Overflow",POWER(Upgrades!$U$13,E397),1)*IF(Upgrades!$T$14="Roche Lobe Overflow",POWER(Upgrades!$U$14,F397),1)*IF(Upgrades!$T$15="Roche Lobe Overflow",POWER(Upgrades!$U$15,G397),1)*IF(Upgrades!$T$17="Roche Lobe Overflow",POWER(Upgrades!$U$17,I397),1)*IF(Upgrades!$T$18="Roche Lobe Overflow",POWER(Upgrades!$U$18,J397),1)*IF(Upgrades!$T$19="Roche Lobe Overflow",POWER(Upgrades!$U$19,K397),1)*IF(Upgrades!$T$20="Roche Lobe Overflow",POWER(Upgrades!$U$20,L397),1)*IF(Upgrades!$T$21="Roche Lobe Overflow",POWER(Upgrades!$U$21,M397),1))+(IF(I397=0,0,(Upgrades!$M$17+I397*Upgrades!$N$17)*POWER(Upgrades!$O$17,I397)))*(IF(Upgrades!$T$13="Brown Dwarf",POWER(Upgrades!$U$13,E397),1)*IF(Upgrades!$T$14="Brown Dwarf",POWER(Upgrades!$U$14,F397),1)*IF(Upgrades!$T$15="Brown Dwarf",POWER(Upgrades!$U$15,G397),1)*IF(Upgrades!$T$16="Brown Dwarf",POWER(Upgrades!$U$16,H397),1)*IF(Upgrades!$T$18="Brown Dwarf",POWER(Upgrades!$U$18,J397),1)*IF(Upgrades!$T$19="Brown Dwarf",POWER(Upgrades!$U$19,K397),1)*IF(Upgrades!$T$20="Brown Dwarf",POWER(Upgrades!$U$20,L397),1)*IF(Upgrades!$T$21="Brown Dwarf",POWER(Upgrades!$U$21,M397),1))+(IF(J397=0,0,(Upgrades!$M$18+J397*Upgrades!$N$18)*POWER(Upgrades!$O$18,J397)))*(IF(Upgrades!$T$13="Binary Partner",POWER(Upgrades!$U$13,E397),1)*IF(Upgrades!$T$14="Binary Partner",POWER(Upgrades!$U$14,F397),1)*IF(Upgrades!$T$15="Binary Partner",POWER(Upgrades!$U$15,G397),1)*IF(Upgrades!$T$16="Binary Partner",POWER(Upgrades!$U$16,H397),1)*IF(Upgrades!$T$17="Binary Partner",POWER(Upgrades!$U$17,I397),1)*IF(Upgrades!$T$19="Binary Partner",POWER(Upgrades!$U$19,K397),1)*IF(Upgrades!$T$20="Binary Partner",POWER(Upgrades!$U$20,L397),1)*IF(Upgrades!$T$21="Binary Partner",POWER(Upgrades!$U$21,M397),1))+(IF(K397=0,0,(Upgrades!$M$19+K397*Upgrades!$N$19)*POWER(Upgrades!$O$19,K397)))*(IF(Upgrades!$T$13="Peculiar Velocity",POWER(Upgrades!$U$13,E397),1)*IF(Upgrades!$T$14="Peculiar Velocity",POWER(Upgrades!$U$14,F397),1)*IF(Upgrades!$T$15="Peculiar Velocity",POWER(Upgrades!$U$15,G397),1)*IF(Upgrades!$T$16="Peculiar Velocity",POWER(Upgrades!$U$16,H397),1)*IF(Upgrades!$T$17="Peculiar Velocity",POWER(Upgrades!$U$17,I397),1)*IF(Upgrades!$T$18="Peculiar Velocity",POWER(Upgrades!$U$18,J397),1)*IF(Upgrades!$T$20="Peculiar Velocity",POWER(Upgrades!$U$20,L397),1)*IF(Upgrades!$T$21="Peculiar Velocity",POWER(Upgrades!$U$21,M397),1))+(IF(L397=0,0,(Upgrades!$M$20+L397*Upgrades!$N$20)*POWER(Upgrades!$O$20,L397)))*(IF(Upgrades!$T$13="Open Cluster",POWER(Upgrades!$U$13,E397),1)*IF(Upgrades!$T$14="Open Cluster",POWER(Upgrades!$U$14,F397),1)*IF(Upgrades!$T$15="Open Cluster",POWER(Upgrades!$U$15,G397),1)*IF(Upgrades!$T$16="Open Cluster",POWER(Upgrades!$U$16,H397),1)*IF(Upgrades!$T$17="Open Cluster",POWER(Upgrades!$U$17,I397),1)*IF(Upgrades!$T$18="Open Cluster",POWER(Upgrades!$U$18,J397),1)*IF(Upgrades!$T$19="Open Cluster",POWER(Upgrades!$U$19,K397),1)*IF(Upgrades!$T$21="Open Cluster",POWER(Upgrades!$U$21,M397),1))+(IF(M397=0,0,(Upgrades!$M$21+M397*Upgrades!$N$21)*POWER(Upgrades!$O$21,M397)))*(IF(Upgrades!$T$13="Moving Group",POWER(Upgrades!$U$13,E397),1)*IF(Upgrades!$T$14="Moving Group",POWER(Upgrades!$U$14,F397),1)*IF(Upgrades!$T$15="Moving Group",POWER(Upgrades!$U$15,G397),1)*IF(Upgrades!$T$16="Moving Group",POWER(Upgrades!$U$16,H397),1)*IF(Upgrades!$T$17="Moving Group",POWER(Upgrades!$U$17,I397),1)*IF(Upgrades!$T$18="Moving Group",POWER(Upgrades!$U$18,J397),1)*IF(Upgrades!$T$19="Moving Group",POWER(Upgrades!$U$19,K397),1)*IF(Upgrades!$T$20="Moving Group",POWER(Upgrades!$U$20,L397),1)))*POWER(Upgrades!$R$13,E397)*POWER(Upgrades!$R$14,F397)*POWER(Upgrades!$R$15,G397)*POWER(Upgrades!$R$16,H397)*POWER(Upgrades!$R$17,I397)*POWER(Upgrades!$R$18,J397)*POWER(Upgrades!$R$19,K397)*POWER(Upgrades!$R$20,L397)*POWER(Upgrades!$R$21,M397)*$H$6+$E$6</f>
        <v/>
      </c>
      <c r="R397" s="27">
        <f>IF(N397=1,0,O397*Parameters!$B$10/60*Parameters!$B$11*10)</f>
        <v/>
      </c>
      <c r="S397" s="27">
        <f>IF(N397=1,0,Q397*O397*10)</f>
        <v/>
      </c>
      <c r="T397" s="27">
        <f>IF(N397=1,0,R397+S397+P397*10)</f>
        <v/>
      </c>
      <c r="U397" s="33">
        <f>BE397</f>
        <v/>
      </c>
      <c r="V397" s="22">
        <f>IF(U397="",0,IF(U397="transition",0,IF(U397="SK",AK397,IF(U397="LB",AL397,IF(U397="ML",AM397,IF(U397="RLO",AN397,IF(U397="BD",AO397,IF(U397="BiP",AP397,IF(U397="PV",AQ397,IF(U397="OC",AR397,IF(U397="MG",AS397,0))))))))))</f>
        <v/>
      </c>
      <c r="W397" s="27">
        <f>IF(U397="BiP",Upgrades!$F$18,IF(U397="PV",Upgrades!$F$19,IF(U397="OC",Upgrades!$F$20,IF(U397="MG",Upgrades!$F$21,IF(U397="transition",-Parameters!$B$18*Parameters!$B$19,0)))))</f>
        <v/>
      </c>
      <c r="X397" s="22">
        <f>C397+T397-V397</f>
        <v/>
      </c>
      <c r="Y397" s="30">
        <f>O397*Parameters!$B$10/60*Parameters!$B$11+Q397*O397+P397</f>
        <v/>
      </c>
      <c r="Z397" s="34">
        <f>IF(U397="transition","→ Tier 3 (Galactic Arm)",IF(U397="MG","Moving Group — pocket drifts together",IF(U397="OC","Open Cluster acquired",IF(U397="PV","Peculiar Velocity — passive multiplier active",IF(U397="BiP","Binary Partner — pair bond formed",IF(AND(AU397=1,N397=0,AT397&lt;&gt;1),"Cohesion ready (waiting on completionists)","")))))) </f>
        <v/>
      </c>
      <c r="AA397" s="27">
        <f>(IF(E397=0,0,(Upgrades!$G$13+E397*Upgrades!$H$13)*POWER(Upgrades!$I$13,E397)))*(IF(Upgrades!$T$14="Stellar Kinematics",POWER(Upgrades!$U$14,F397),1)*IF(Upgrades!$T$15="Stellar Kinematics",POWER(Upgrades!$U$15,G397),1)*IF(Upgrades!$T$16="Stellar Kinematics",POWER(Upgrades!$U$16,H397),1)*IF(Upgrades!$T$17="Stellar Kinematics",POWER(Upgrades!$U$17,I397),1)*IF(Upgrades!$T$18="Stellar Kinematics",POWER(Upgrades!$U$18,J397),1)*IF(Upgrades!$T$19="Stellar Kinematics",POWER(Upgrades!$U$19,K397),1)*IF(Upgrades!$T$20="Stellar Kinematics",POWER(Upgrades!$U$20,L397),1)*IF(Upgrades!$T$21="Stellar Kinematics",POWER(Upgrades!$U$21,M397),1))*POWER(Upgrades!$P$13,E397)*POWER(Upgrades!$P$14,F397)*POWER(Upgrades!$P$15,G397)*POWER(Upgrades!$P$16,H397)*POWER(Upgrades!$P$17,I397)*POWER(Upgrades!$P$18,J397)*POWER(Upgrades!$P$19,K397)*POWER(Upgrades!$P$20,L397)*POWER(Upgrades!$P$21,M397)*$F$6*60</f>
        <v/>
      </c>
      <c r="AB397" s="27">
        <f>(IF(F397=0,0,(Upgrades!$G$14+F397*Upgrades!$H$14)*POWER(Upgrades!$I$14,F397)))*(IF(Upgrades!$T$13="Local Bubble",POWER(Upgrades!$U$13,E397),1)*IF(Upgrades!$T$15="Local Bubble",POWER(Upgrades!$U$15,G397),1)*IF(Upgrades!$T$16="Local Bubble",POWER(Upgrades!$U$16,H397),1)*IF(Upgrades!$T$17="Local Bubble",POWER(Upgrades!$U$17,I397),1)*IF(Upgrades!$T$18="Local Bubble",POWER(Upgrades!$U$18,J397),1)*IF(Upgrades!$T$19="Local Bubble",POWER(Upgrades!$U$19,K397),1)*IF(Upgrades!$T$20="Local Bubble",POWER(Upgrades!$U$20,L397),1)*IF(Upgrades!$T$21="Local Bubble",POWER(Upgrades!$U$21,M397),1))*POWER(Upgrades!$P$13,E397)*POWER(Upgrades!$P$14,F397)*POWER(Upgrades!$P$15,G397)*POWER(Upgrades!$P$16,H397)*POWER(Upgrades!$P$17,I397)*POWER(Upgrades!$P$18,J397)*POWER(Upgrades!$P$19,K397)*POWER(Upgrades!$P$20,L397)*POWER(Upgrades!$P$21,M397)*$F$6*60</f>
        <v/>
      </c>
      <c r="AC397" s="27">
        <f>(IF(G397=0,0,(Upgrades!$J$15+G397*Upgrades!$K$15)*POWER(Upgrades!$L$15,G397)))*(IF(Upgrades!$T$13="Microlensing",POWER(Upgrades!$U$13,E397),1)*IF(Upgrades!$T$14="Microlensing",POWER(Upgrades!$U$14,F397),1)*IF(Upgrades!$T$16="Microlensing",POWER(Upgrades!$U$16,H397),1)*IF(Upgrades!$T$17="Microlensing",POWER(Upgrades!$U$17,I397),1)*IF(Upgrades!$T$18="Microlensing",POWER(Upgrades!$U$18,J397),1)*IF(Upgrades!$T$19="Microlensing",POWER(Upgrades!$U$19,K397),1)*IF(Upgrades!$T$20="Microlensing",POWER(Upgrades!$U$20,L397),1)*IF(Upgrades!$T$21="Microlensing",POWER(Upgrades!$U$21,M397),1))*POWER(Upgrades!$Q$13,E397)*POWER(Upgrades!$Q$14,F397)*POWER(Upgrades!$Q$15,G397)*POWER(Upgrades!$Q$16,H397)*POWER(Upgrades!$Q$17,I397)*POWER(Upgrades!$Q$18,J397)*POWER(Upgrades!$Q$19,K397)*POWER(Upgrades!$Q$20,L397)*POWER(Upgrades!$Q$21,M397)*$G$6*(Parameters!$B$10*Parameters!$B$11+Q397*60)</f>
        <v/>
      </c>
      <c r="AD397" s="27">
        <f>(IF(H397=0,0,(Upgrades!$M$16+H397*Upgrades!$N$16)*POWER(Upgrades!$O$16,H397)))*(IF(Upgrades!$T$13="Roche Lobe Overflow",POWER(Upgrades!$U$13,E397),1)*IF(Upgrades!$T$14="Roche Lobe Overflow",POWER(Upgrades!$U$14,F397),1)*IF(Upgrades!$T$15="Roche Lobe Overflow",POWER(Upgrades!$U$15,G397),1)*IF(Upgrades!$T$17="Roche Lobe Overflow",POWER(Upgrades!$U$17,I397),1)*IF(Upgrades!$T$18="Roche Lobe Overflow",POWER(Upgrades!$U$18,J397),1)*IF(Upgrades!$T$19="Roche Lobe Overflow",POWER(Upgrades!$U$19,K397),1)*IF(Upgrades!$T$20="Roche Lobe Overflow",POWER(Upgrades!$U$20,L397),1)*IF(Upgrades!$T$21="Roche Lobe Overflow",POWER(Upgrades!$U$21,M397),1))*POWER(Upgrades!$R$13,E397)*POWER(Upgrades!$R$14,F397)*POWER(Upgrades!$R$15,G397)*POWER(Upgrades!$R$16,H397)*POWER(Upgrades!$R$17,I397)*POWER(Upgrades!$R$18,J397)*POWER(Upgrades!$R$19,K397)*POWER(Upgrades!$R$20,L397)*POWER(Upgrades!$R$21,M397)*$H$6*O397*60</f>
        <v/>
      </c>
      <c r="AE397" s="27">
        <f>(IF(I397=0,0,(Upgrades!$G$17+I397*Upgrades!$H$17)*POWER(Upgrades!$I$17,I397)))*(IF(Upgrades!$T$13="Brown Dwarf",POWER(Upgrades!$U$13,E397),1)*IF(Upgrades!$T$14="Brown Dwarf",POWER(Upgrades!$U$14,F397),1)*IF(Upgrades!$T$15="Brown Dwarf",POWER(Upgrades!$U$15,G397),1)*IF(Upgrades!$T$16="Brown Dwarf",POWER(Upgrades!$U$16,H397),1)*IF(Upgrades!$T$18="Brown Dwarf",POWER(Upgrades!$U$18,J397),1)*IF(Upgrades!$T$19="Brown Dwarf",POWER(Upgrades!$U$19,K397),1)*IF(Upgrades!$T$20="Brown Dwarf",POWER(Upgrades!$U$20,L397),1)*IF(Upgrades!$T$21="Brown Dwarf",POWER(Upgrades!$U$21,M397),1))*POWER(Upgrades!$P$13,E397)*POWER(Upgrades!$P$14,F397)*POWER(Upgrades!$P$15,G397)*POWER(Upgrades!$P$16,H397)*POWER(Upgrades!$P$17,I397)*POWER(Upgrades!$P$18,J397)*POWER(Upgrades!$P$19,K397)*POWER(Upgrades!$P$20,L397)*POWER(Upgrades!$P$21,M397)*$F$6*60</f>
        <v/>
      </c>
      <c r="AF397" s="27" t="n">
        <v>0</v>
      </c>
      <c r="AG397" s="27" t="n">
        <v>0</v>
      </c>
      <c r="AH397" s="27" t="n">
        <v>0</v>
      </c>
      <c r="AI397" s="27">
        <f>(IF(M397=0,0,(Upgrades!$G$21+M397*Upgrades!$H$21)*POWER(Upgrades!$I$21,M397)))*(IF(Upgrades!$T$13="Moving Group",POWER(Upgrades!$U$13,E397),1)*IF(Upgrades!$T$14="Moving Group",POWER(Upgrades!$U$14,F397),1)*IF(Upgrades!$T$15="Moving Group",POWER(Upgrades!$U$15,G397),1)*IF(Upgrades!$T$16="Moving Group",POWER(Upgrades!$U$16,H397),1)*IF(Upgrades!$T$17="Moving Group",POWER(Upgrades!$U$17,I397),1)*IF(Upgrades!$T$18="Moving Group",POWER(Upgrades!$U$18,J397),1)*IF(Upgrades!$T$19="Moving Group",POWER(Upgrades!$U$19,K397),1)*IF(Upgrades!$T$20="Moving Group",POWER(Upgrades!$U$20,L397),1))*POWER(Upgrades!$P$13,E397)*POWER(Upgrades!$P$14,F397)*POWER(Upgrades!$P$15,G397)*POWER(Upgrades!$P$16,H397)*POWER(Upgrades!$P$17,I397)*POWER(Upgrades!$P$18,J397)*POWER(Upgrades!$P$19,K397)*POWER(Upgrades!$P$20,L397)*POWER(Upgrades!$P$21,M397)*$F$6*60</f>
        <v/>
      </c>
      <c r="AJ397" s="27">
        <f>$C$6*60</f>
        <v/>
      </c>
      <c r="AK397" s="22">
        <f>IF(E397&gt;=Upgrades!$E$13,"",Upgrades!$C$13*POWER(Upgrades!$D$13,E397))</f>
        <v/>
      </c>
      <c r="AL397" s="22">
        <f>IF(F397&gt;=Upgrades!$E$14,"",Upgrades!$C$14*POWER(Upgrades!$D$14,F397))</f>
        <v/>
      </c>
      <c r="AM397" s="22">
        <f>IF(G397&gt;=Upgrades!$E$15,"",Upgrades!$C$15*POWER(Upgrades!$D$15,G397))</f>
        <v/>
      </c>
      <c r="AN397" s="22">
        <f>IF(H397&gt;=Upgrades!$E$16,"",Upgrades!$C$16*POWER(Upgrades!$D$16,H397))</f>
        <v/>
      </c>
      <c r="AO397" s="22">
        <f>IF(I397&gt;=Upgrades!$E$17,"",Upgrades!$C$17*POWER(Upgrades!$D$17,I397))</f>
        <v/>
      </c>
      <c r="AP397" s="22">
        <f>IF(J397&gt;=Upgrades!$E$18,"",Upgrades!$C$18*POWER(Upgrades!$D$18,J397))</f>
        <v/>
      </c>
      <c r="AQ397" s="22">
        <f>IF(K397&gt;=Upgrades!$E$19,"",Upgrades!$C$19*POWER(Upgrades!$D$19,K397))</f>
        <v/>
      </c>
      <c r="AR397" s="22">
        <f>IF(L397&gt;=Upgrades!$E$20,"",Upgrades!$C$20*POWER(Upgrades!$D$20,L397))</f>
        <v/>
      </c>
      <c r="AS397" s="22">
        <f>IF(M397&gt;=Upgrades!$E$21,"",Upgrades!$C$21*POWER(Upgrades!$D$21,M397))</f>
        <v/>
      </c>
      <c r="AT397" s="26">
        <f>IF(AND(D397&gt;=Parameters!$B$18*Parameters!$B$19,(I397&gt;=Upgrades!$E$17)*(M397&gt;=Upgrades!$E$21)=1,N397=0),1,"")</f>
        <v/>
      </c>
      <c r="AU397" s="26">
        <f>IF(AND(D397&gt;=Parameters!$B$18*Parameters!$B$19,N397=0),1,"")</f>
        <v/>
      </c>
      <c r="AV397" s="22">
        <f>MIN(IF(ISNUMBER(AP397),AP397,9E15),IF(ISNUMBER(AQ397),AQ397,9E15),IF(ISNUMBER(AR397),AR397,9E15),IF(ISNUMBER(AS397),AS397,9E15))</f>
        <v/>
      </c>
      <c r="AW397" s="22">
        <f>MIN(IF(ISNUMBER(AK397),AK397,9E15),IF(ISNUMBER(AL397),AL397,9E15),IF(ISNUMBER(AM397),AM397,9E15),IF(ISNUMBER(AN397),AN397,9E15),IF(ISNUMBER(AO397),AO397,9E15))</f>
        <v/>
      </c>
      <c r="AX397" s="29">
        <f>IF(BD397&gt;Parameters!$B$21*(MAX(IF(AND(NOT(AND(AU397=1,AT397&lt;&gt;1)),ISNUMBER(AK397),AK397&lt;=(C397+T397)),AY397,0),IF(AND(NOT(AND(AU397=1,AT397&lt;&gt;1)),ISNUMBER(AL397),AL397&lt;=(C397+T397)),AZ397,0),IF(AND(NOT(AND(AU397=1,AT397&lt;&gt;1)),ISNUMBER(AM397),AM397&lt;=(C397+T397)),BA397,0),IF(AND(NOT(AND(AU397=1,AT397&lt;&gt;1)),ISNUMBER(AN397),AN397&lt;=(C397+T397)),BB397,0),IF(AND(ISNUMBER(AO397),AO397&lt;=(C397+T397)),BC397,0))),TRUE,FALSE)</f>
        <v/>
      </c>
      <c r="AY397" s="32">
        <f>IFERROR(Upgrades!$H$13*(POWER(Upgrades!$P$13,E397)*POWER(Upgrades!$P$14,F397)*POWER(Upgrades!$P$15,G397)*POWER(Upgrades!$P$16,H397)*POWER(Upgrades!$P$17,I397)*POWER(Upgrades!$P$18,J397)*POWER(Upgrades!$P$19,K397)*POWER(Upgrades!$P$20,L397)*POWER(Upgrades!$P$21,M397))*(IF(Upgrades!$T$14="Stellar Kinematics",POWER(Upgrades!$U$14,F397),1)*IF(Upgrades!$T$15="Stellar Kinematics",POWER(Upgrades!$U$15,G397),1)*IF(Upgrades!$T$16="Stellar Kinematics",POWER(Upgrades!$U$16,H397),1)*IF(Upgrades!$T$17="Stellar Kinematics",POWER(Upgrades!$U$17,I397),1)*IF(Upgrades!$T$18="Stellar Kinematics",POWER(Upgrades!$U$18,J397),1)*IF(Upgrades!$T$19="Stellar Kinematics",POWER(Upgrades!$U$19,K397),1)*IF(Upgrades!$T$20="Stellar Kinematics",POWER(Upgrades!$U$20,L397),1)*IF(Upgrades!$T$21="Stellar Kinematics",POWER(Upgrades!$U$21,M397),1))*$F$6/AK397,0)</f>
        <v/>
      </c>
      <c r="AZ397" s="32">
        <f>IFERROR(Upgrades!$H$14*(POWER(Upgrades!$P$13,E397)*POWER(Upgrades!$P$14,F397)*POWER(Upgrades!$P$15,G397)*POWER(Upgrades!$P$16,H397)*POWER(Upgrades!$P$17,I397)*POWER(Upgrades!$P$18,J397)*POWER(Upgrades!$P$19,K397)*POWER(Upgrades!$P$20,L397)*POWER(Upgrades!$P$21,M397))*(IF(Upgrades!$T$13="Local Bubble",POWER(Upgrades!$U$13,E397),1)*IF(Upgrades!$T$15="Local Bubble",POWER(Upgrades!$U$15,G397),1)*IF(Upgrades!$T$16="Local Bubble",POWER(Upgrades!$U$16,H397),1)*IF(Upgrades!$T$17="Local Bubble",POWER(Upgrades!$U$17,I397),1)*IF(Upgrades!$T$18="Local Bubble",POWER(Upgrades!$U$18,J397),1)*IF(Upgrades!$T$19="Local Bubble",POWER(Upgrades!$U$19,K397),1)*IF(Upgrades!$T$20="Local Bubble",POWER(Upgrades!$U$20,L397),1)*IF(Upgrades!$T$21="Local Bubble",POWER(Upgrades!$U$21,M397),1))*$F$6/AL397,0)</f>
        <v/>
      </c>
      <c r="BA397" s="32">
        <f>IFERROR(Upgrades!$K$15*(POWER(Upgrades!$Q$13,E397)*POWER(Upgrades!$Q$14,F397)*POWER(Upgrades!$Q$15,G397)*POWER(Upgrades!$Q$16,H397)*POWER(Upgrades!$Q$17,I397)*POWER(Upgrades!$Q$18,J397)*POWER(Upgrades!$Q$19,K397)*POWER(Upgrades!$Q$20,L397)*POWER(Upgrades!$Q$21,M397))*(IF(Upgrades!$T$13="Microlensing",POWER(Upgrades!$U$13,E397),1)*IF(Upgrades!$T$14="Microlensing",POWER(Upgrades!$U$14,F397),1)*IF(Upgrades!$T$16="Microlensing",POWER(Upgrades!$U$16,H397),1)*IF(Upgrades!$T$17="Microlensing",POWER(Upgrades!$U$17,I397),1)*IF(Upgrades!$T$18="Microlensing",POWER(Upgrades!$U$18,J397),1)*IF(Upgrades!$T$19="Microlensing",POWER(Upgrades!$U$19,K397),1)*IF(Upgrades!$T$20="Microlensing",POWER(Upgrades!$U$20,L397),1)*IF(Upgrades!$T$21="Microlensing",POWER(Upgrades!$U$21,M397),1))*$G$6*(Parameters!$B$10/60*Parameters!$B$11+Q397)/AM397,0)</f>
        <v/>
      </c>
      <c r="BB397" s="32">
        <f>IFERROR((Upgrades!$N$16*(POWER(Upgrades!$R$13,E397)*POWER(Upgrades!$R$14,F397)*POWER(Upgrades!$R$15,G397)*POWER(Upgrades!$R$16,H397)*POWER(Upgrades!$R$17,I397)*POWER(Upgrades!$R$18,J397)*POWER(Upgrades!$R$19,K397)*POWER(Upgrades!$R$20,L397)*POWER(Upgrades!$R$21,M397))*(IF(Upgrades!$T$13="Roche Lobe Overflow",POWER(Upgrades!$U$13,E397),1)*IF(Upgrades!$T$14="Roche Lobe Overflow",POWER(Upgrades!$U$14,F397),1)*IF(Upgrades!$T$15="Roche Lobe Overflow",POWER(Upgrades!$U$15,G397),1)*IF(Upgrades!$T$17="Roche Lobe Overflow",POWER(Upgrades!$U$17,I397),1)*IF(Upgrades!$T$18="Roche Lobe Overflow",POWER(Upgrades!$U$18,J397),1)*IF(Upgrades!$T$19="Roche Lobe Overflow",POWER(Upgrades!$U$19,K397),1)*IF(Upgrades!$T$20="Roche Lobe Overflow",POWER(Upgrades!$U$20,L397),1)*IF(Upgrades!$T$21="Roche Lobe Overflow",POWER(Upgrades!$U$21,M397),1))*$H$6*O397+((IF(F397=0,0,(Upgrades!$G$14+F397*Upgrades!$H$14)*POWER(Upgrades!$I$14,F397)))*(IF(Upgrades!$T$13="Local Bubble",POWER(Upgrades!$U$13,E397),1)*IF(Upgrades!$T$15="Local Bubble",POWER(Upgrades!$U$15,G397),1)*IF(Upgrades!$T$16="Local Bubble",POWER(Upgrades!$U$16,H397),1)*IF(Upgrades!$T$17="Local Bubble",POWER(Upgrades!$U$17,I397),1)*IF(Upgrades!$T$18="Local Bubble",POWER(Upgrades!$U$18,J397),1)*IF(Upgrades!$T$19="Local Bubble",POWER(Upgrades!$U$19,K397),1)*IF(Upgrades!$T$20="Local Bubble",POWER(Upgrades!$U$20,L397),1)*IF(Upgrades!$T$21="Local Bubble",POWER(Upgrades!$U$21,M397),1))*POWER(Upgrades!$P$13,E397)*POWER(Upgrades!$P$14,F397)*POWER(Upgrades!$P$15,G397)*POWER(Upgrades!$P$16,H397)*POWER(Upgrades!$P$17,I397)*POWER(Upgrades!$P$18,J397)*POWER(Upgrades!$P$19,K397)*POWER(Upgrades!$P$20,L397)*POWER(Upgrades!$P$21,M397)*$F$6)*0.05)/AN397,0)</f>
        <v/>
      </c>
      <c r="BC397" s="32">
        <f>IFERROR((Upgrades!$H$17*(POWER(Upgrades!$P$13,E397)*POWER(Upgrades!$P$14,F397)*POWER(Upgrades!$P$15,G397)*POWER(Upgrades!$P$16,H397)*POWER(Upgrades!$P$17,I397)*POWER(Upgrades!$P$18,J397)*POWER(Upgrades!$P$19,K397)*POWER(Upgrades!$P$20,L397)*POWER(Upgrades!$P$21,M397))*(IF(Upgrades!$T$13="Brown Dwarf",POWER(Upgrades!$U$13,E397),1)*IF(Upgrades!$T$14="Brown Dwarf",POWER(Upgrades!$U$14,F397),1)*IF(Upgrades!$T$15="Brown Dwarf",POWER(Upgrades!$U$15,G397),1)*IF(Upgrades!$T$16="Brown Dwarf",POWER(Upgrades!$U$16,H397),1)*IF(Upgrades!$T$18="Brown Dwarf",POWER(Upgrades!$U$18,J397),1)*IF(Upgrades!$T$19="Brown Dwarf",POWER(Upgrades!$U$19,K397),1)*IF(Upgrades!$T$20="Brown Dwarf",POWER(Upgrades!$U$20,L397),1)*IF(Upgrades!$T$21="Brown Dwarf",POWER(Upgrades!$U$21,M397),1))*$F$6+(((IF(H397=0,0,(Upgrades!$M$16+H397*Upgrades!$N$16)*POWER(Upgrades!$O$16,H397)))*(IF(Upgrades!$T$13="Roche Lobe Overflow",POWER(Upgrades!$U$13,E397),1)*IF(Upgrades!$T$14="Roche Lobe Overflow",POWER(Upgrades!$U$14,F397),1)*IF(Upgrades!$T$15="Roche Lobe Overflow",POWER(Upgrades!$U$15,G397),1)*IF(Upgrades!$T$17="Roche Lobe Overflow",POWER(Upgrades!$U$17,I397),1)*IF(Upgrades!$T$18="Roche Lobe Overflow",POWER(Upgrades!$U$18,J397),1)*IF(Upgrades!$T$19="Roche Lobe Overflow",POWER(Upgrades!$U$19,K397),1)*IF(Upgrades!$T$20="Roche Lobe Overflow",POWER(Upgrades!$U$20,L397),1)*IF(Upgrades!$T$21="Roche Lobe Overflow",POWER(Upgrades!$U$21,M397),1))*POWER(Upgrades!$R$13,E397)*POWER(Upgrades!$R$14,F397)*POWER(Upgrades!$R$15,G397)*POWER(Upgrades!$R$16,H397)*POWER(Upgrades!$R$17,I397)*POWER(Upgrades!$R$18,J397)*POWER(Upgrades!$R$19,K397)*POWER(Upgrades!$R$20,L397)*POWER(Upgrades!$R$21,M397)*$H$6)*O397)*0.10)/AO397,0)</f>
        <v/>
      </c>
      <c r="BD397" s="32">
        <f>MAX(IF(J397&gt;0,0,IFERROR(0.5*((IF(G397=0,0,(Upgrades!$J$15+G397*Upgrades!$K$15)*POWER(Upgrades!$L$15,G397)))*(IF(Upgrades!$T$13="Microlensing",POWER(Upgrades!$U$13,E397),1)*IF(Upgrades!$T$14="Microlensing",POWER(Upgrades!$U$14,F397),1)*IF(Upgrades!$T$16="Microlensing",POWER(Upgrades!$U$16,H397),1)*IF(Upgrades!$T$17="Microlensing",POWER(Upgrades!$U$17,I397),1)*IF(Upgrades!$T$18="Microlensing",POWER(Upgrades!$U$18,J397),1)*IF(Upgrades!$T$19="Microlensing",POWER(Upgrades!$U$19,K397),1)*IF(Upgrades!$T$20="Microlensing",POWER(Upgrades!$U$20,L397),1)*IF(Upgrades!$T$21="Microlensing",POWER(Upgrades!$U$21,M397),1))*(POWER(Upgrades!$Q$13,E397)*POWER(Upgrades!$Q$14,F397)*POWER(Upgrades!$Q$15,G397)*POWER(Upgrades!$Q$16,H397)*POWER(Upgrades!$Q$17,I397)*POWER(Upgrades!$Q$18,J397)*POWER(Upgrades!$Q$19,K397)*POWER(Upgrades!$Q$20,L397)*POWER(Upgrades!$Q$21,M397))*$G$6*(Parameters!$B$10/60*Parameters!$B$11+Q397))/Upgrades!$C$18,0)),IF(K397&gt;0,0,IFERROR(0.30*P397/Upgrades!$C$19,0)),IF(L397&gt;0,0,IFERROR(0.0001/Upgrades!$C$20,0)),IF(M397&gt;0,0,IFERROR((6.0*(POWER(Upgrades!$P$13,E397)*POWER(Upgrades!$P$14,F397)*POWER(Upgrades!$P$15,G397)*POWER(Upgrades!$P$16,H397)*POWER(Upgrades!$P$17,I397)*POWER(Upgrades!$P$18,J397)*POWER(Upgrades!$P$19,K397)*POWER(Upgrades!$P$20,L397)*POWER(Upgrades!$P$21,M397))*$F$6+0.20*O397*(Parameters!$B$10/60*Parameters!$B$11+Q397))/Upgrades!$C$21,0)),IF(AND(ISNUMBER(AK397),AK397&gt;(C397+T397)),AY397,0),IF(AND(ISNUMBER(AL397),AL397&gt;(C397+T397)),AZ397,0),IF(AND(ISNUMBER(AM397),AM397&gt;(C397+T397)),BA397,0),IF(AND(ISNUMBER(AN397),AN397&gt;(C397+T397)),BB397,0),IF(AND(ISNUMBER(AO397),AO397&gt;(C397+T397)),BC397,0))</f>
        <v/>
      </c>
      <c r="BE397" s="29">
        <f>IF(AT397=1,"transition",IF(MIN(IF(AND(J397=0,ISNUMBER(AP397),AP397&lt;=(C397+T397)),AP397,9E15),IF(AND(K397=0,ISNUMBER(AQ397),AQ397&lt;=(C397+T397)),AQ397,9E15),IF(AND(L397=0,ISNUMBER(AR397),AR397&lt;=(C397+T397)),AR397,9E15),IF(AND(M397=0,ISNUMBER(AS397),AS397&lt;=(C397+T397)),AS397,9E15))&lt;9E15,IF(AND(AND(J397=0,ISNUMBER(AP397),AP397&lt;=(C397+T397)),AP397=MIN(IF(AND(J397=0,ISNUMBER(AP397),AP397&lt;=(C397+T397)),AP397,9E15),IF(AND(K397=0,ISNUMBER(AQ397),AQ397&lt;=(C397+T397)),AQ397,9E15),IF(AND(L397=0,ISNUMBER(AR397),AR397&lt;=(C397+T397)),AR397,9E15),IF(AND(M397=0,ISNUMBER(AS397),AS397&lt;=(C397+T397)),AS397,9E15))),"BiP",IF(AND(AND(K397=0,ISNUMBER(AQ397),AQ397&lt;=(C397+T397)),AQ397=MIN(IF(AND(J397=0,ISNUMBER(AP397),AP397&lt;=(C397+T397)),AP397,9E15),IF(AND(K397=0,ISNUMBER(AQ397),AQ397&lt;=(C397+T397)),AQ397,9E15),IF(AND(L397=0,ISNUMBER(AR397),AR397&lt;=(C397+T397)),AR397,9E15),IF(AND(M397=0,ISNUMBER(AS397),AS397&lt;=(C397+T397)),AS397,9E15))),"PV",IF(AND(AND(L397=0,ISNUMBER(AR397),AR397&lt;=(C397+T397)),AR397=MIN(IF(AND(J397=0,ISNUMBER(AP397),AP397&lt;=(C397+T397)),AP397,9E15),IF(AND(K397=0,ISNUMBER(AQ397),AQ397&lt;=(C397+T397)),AQ397,9E15),IF(AND(L397=0,ISNUMBER(AR397),AR397&lt;=(C397+T397)),AR397,9E15),IF(AND(M397=0,ISNUMBER(AS397),AS397&lt;=(C397+T397)),AS397,9E15))),"OC","MG"))),IF(AX397=TRUE,"",IF(MAX(IF(AND(NOT(AND(AU397=1,AT397&lt;&gt;1)),ISNUMBER(AK397),AK397&lt;=(C397+T397)),AY397,0),IF(AND(NOT(AND(AU397=1,AT397&lt;&gt;1)),ISNUMBER(AL397),AL397&lt;=(C397+T397)),AZ397,0),IF(AND(NOT(AND(AU397=1,AT397&lt;&gt;1)),ISNUMBER(AM397),AM397&lt;=(C397+T397)),BA397,0),IF(AND(NOT(AND(AU397=1,AT397&lt;&gt;1)),ISNUMBER(AN397),AN397&lt;=(C397+T397)),BB397,0),IF(AND(ISNUMBER(AO397),AO397&lt;=(C397+T397)),BC397,0))&lt;=0,"",IF(AND(IF(AND(NOT(AND(AU397=1,AT397&lt;&gt;1)),ISNUMBER(AK397),AK397&lt;=(C397+T397)),AY397,0)&gt;0,IF(AND(NOT(AND(AU397=1,AT397&lt;&gt;1)),ISNUMBER(AK397),AK397&lt;=(C397+T397)),AY397,0)=MAX(IF(AND(NOT(AND(AU397=1,AT397&lt;&gt;1)),ISNUMBER(AK397),AK397&lt;=(C397+T397)),AY397,0),IF(AND(NOT(AND(AU397=1,AT397&lt;&gt;1)),ISNUMBER(AL397),AL397&lt;=(C397+T397)),AZ397,0),IF(AND(NOT(AND(AU397=1,AT397&lt;&gt;1)),ISNUMBER(AM397),AM397&lt;=(C397+T397)),BA397,0),IF(AND(NOT(AND(AU397=1,AT397&lt;&gt;1)),ISNUMBER(AN397),AN397&lt;=(C397+T397)),BB397,0),IF(AND(ISNUMBER(AO397),AO397&lt;=(C397+T397)),BC397,0))),"SK",IF(AND(IF(AND(NOT(AND(AU397=1,AT397&lt;&gt;1)),ISNUMBER(AL397),AL397&lt;=(C397+T397)),AZ397,0)&gt;0,IF(AND(NOT(AND(AU397=1,AT397&lt;&gt;1)),ISNUMBER(AL397),AL397&lt;=(C397+T397)),AZ397,0)=MAX(IF(AND(NOT(AND(AU397=1,AT397&lt;&gt;1)),ISNUMBER(AK397),AK397&lt;=(C397+T397)),AY397,0),IF(AND(NOT(AND(AU397=1,AT397&lt;&gt;1)),ISNUMBER(AL397),AL397&lt;=(C397+T397)),AZ397,0),IF(AND(NOT(AND(AU397=1,AT397&lt;&gt;1)),ISNUMBER(AM397),AM397&lt;=(C397+T397)),BA397,0),IF(AND(NOT(AND(AU397=1,AT397&lt;&gt;1)),ISNUMBER(AN397),AN397&lt;=(C397+T397)),BB397,0),IF(AND(ISNUMBER(AO397),AO397&lt;=(C397+T397)),BC397,0))),"LB",IF(AND(IF(AND(NOT(AND(AU397=1,AT397&lt;&gt;1)),ISNUMBER(AM397),AM397&lt;=(C397+T397)),BA397,0)&gt;0,IF(AND(NOT(AND(AU397=1,AT397&lt;&gt;1)),ISNUMBER(AM397),AM397&lt;=(C397+T397)),BA397,0)=MAX(IF(AND(NOT(AND(AU397=1,AT397&lt;&gt;1)),ISNUMBER(AK397),AK397&lt;=(C397+T397)),AY397,0),IF(AND(NOT(AND(AU397=1,AT397&lt;&gt;1)),ISNUMBER(AL397),AL397&lt;=(C397+T397)),AZ397,0),IF(AND(NOT(AND(AU397=1,AT397&lt;&gt;1)),ISNUMBER(AM397),AM397&lt;=(C397+T397)),BA397,0),IF(AND(NOT(AND(AU397=1,AT397&lt;&gt;1)),ISNUMBER(AN397),AN397&lt;=(C397+T397)),BB397,0),IF(AND(ISNUMBER(AO397),AO397&lt;=(C397+T397)),BC397,0))),"ML",IF(AND(IF(AND(NOT(AND(AU397=1,AT397&lt;&gt;1)),ISNUMBER(AN397),AN397&lt;=(C397+T397)),BB397,0)&gt;0,IF(AND(NOT(AND(AU397=1,AT397&lt;&gt;1)),ISNUMBER(AN397),AN397&lt;=(C397+T397)),BB397,0)=MAX(IF(AND(NOT(AND(AU397=1,AT397&lt;&gt;1)),ISNUMBER(AK397),AK397&lt;=(C397+T397)),AY397,0),IF(AND(NOT(AND(AU397=1,AT397&lt;&gt;1)),ISNUMBER(AL397),AL397&lt;=(C397+T397)),AZ397,0),IF(AND(NOT(AND(AU397=1,AT397&lt;&gt;1)),ISNUMBER(AM397),AM397&lt;=(C397+T397)),BA397,0),IF(AND(NOT(AND(AU397=1,AT397&lt;&gt;1)),ISNUMBER(AN397),AN397&lt;=(C397+T397)),BB397,0),IF(AND(ISNUMBER(AO397),AO397&lt;=(C397+T397)),BC397,0))),"RLO","BD"))))))))</f>
        <v/>
      </c>
    </row>
    <row r="398">
      <c r="A398" s="26" t="n">
        <v>387</v>
      </c>
      <c r="B398" s="27">
        <f>A398*10/60</f>
        <v/>
      </c>
      <c r="C398" s="22">
        <f>X397</f>
        <v/>
      </c>
      <c r="D398" s="27">
        <f>D397+W397</f>
        <v/>
      </c>
      <c r="E398" s="26">
        <f>E397+IF(U397="SK",1,0)</f>
        <v/>
      </c>
      <c r="F398" s="26">
        <f>F397+IF(U397="LB",1,0)</f>
        <v/>
      </c>
      <c r="G398" s="26">
        <f>G397+IF(U397="ML",1,0)</f>
        <v/>
      </c>
      <c r="H398" s="26">
        <f>H397+IF(U397="RLO",1,0)</f>
        <v/>
      </c>
      <c r="I398" s="26">
        <f>I397+IF(U397="BD",1,0)</f>
        <v/>
      </c>
      <c r="J398" s="26">
        <f>MAX(J397,IF(U397="BiP",1,0))</f>
        <v/>
      </c>
      <c r="K398" s="26">
        <f>MAX(K397,IF(U397="PV",1,0))</f>
        <v/>
      </c>
      <c r="L398" s="26">
        <f>MAX(L397,IF(U397="OC",1,0))</f>
        <v/>
      </c>
      <c r="M398" s="26">
        <f>MAX(M397,IF(U397="MG",1,0))</f>
        <v/>
      </c>
      <c r="N398" s="26">
        <f>MAX(N397,IF(U397="transition",1,0))</f>
        <v/>
      </c>
      <c r="O398" s="28">
        <f>(Parameters!$B$9+(IF(E398=0,0,(Upgrades!$J$13+E398*Upgrades!$K$13)*POWER(Upgrades!$L$13,E398)))*(IF(Upgrades!$T$14="Stellar Kinematics",POWER(Upgrades!$U$14,F398),1)*IF(Upgrades!$T$15="Stellar Kinematics",POWER(Upgrades!$U$15,G398),1)*IF(Upgrades!$T$16="Stellar Kinematics",POWER(Upgrades!$U$16,H398),1)*IF(Upgrades!$T$17="Stellar Kinematics",POWER(Upgrades!$U$17,I398),1)*IF(Upgrades!$T$18="Stellar Kinematics",POWER(Upgrades!$U$18,J398),1)*IF(Upgrades!$T$19="Stellar Kinematics",POWER(Upgrades!$U$19,K398),1)*IF(Upgrades!$T$20="Stellar Kinematics",POWER(Upgrades!$U$20,L398),1)*IF(Upgrades!$T$21="Stellar Kinematics",POWER(Upgrades!$U$21,M398),1))+(IF(F398=0,0,(Upgrades!$J$14+F398*Upgrades!$K$14)*POWER(Upgrades!$L$14,F398)))*(IF(Upgrades!$T$13="Local Bubble",POWER(Upgrades!$U$13,E398),1)*IF(Upgrades!$T$15="Local Bubble",POWER(Upgrades!$U$15,G398),1)*IF(Upgrades!$T$16="Local Bubble",POWER(Upgrades!$U$16,H398),1)*IF(Upgrades!$T$17="Local Bubble",POWER(Upgrades!$U$17,I398),1)*IF(Upgrades!$T$18="Local Bubble",POWER(Upgrades!$U$18,J398),1)*IF(Upgrades!$T$19="Local Bubble",POWER(Upgrades!$U$19,K398),1)*IF(Upgrades!$T$20="Local Bubble",POWER(Upgrades!$U$20,L398),1)*IF(Upgrades!$T$21="Local Bubble",POWER(Upgrades!$U$21,M398),1))+(IF(G398=0,0,(Upgrades!$J$15+G398*Upgrades!$K$15)*POWER(Upgrades!$L$15,G398)))*(IF(Upgrades!$T$13="Microlensing",POWER(Upgrades!$U$13,E398),1)*IF(Upgrades!$T$14="Microlensing",POWER(Upgrades!$U$14,F398),1)*IF(Upgrades!$T$16="Microlensing",POWER(Upgrades!$U$16,H398),1)*IF(Upgrades!$T$17="Microlensing",POWER(Upgrades!$U$17,I398),1)*IF(Upgrades!$T$18="Microlensing",POWER(Upgrades!$U$18,J398),1)*IF(Upgrades!$T$19="Microlensing",POWER(Upgrades!$U$19,K398),1)*IF(Upgrades!$T$20="Microlensing",POWER(Upgrades!$U$20,L398),1)*IF(Upgrades!$T$21="Microlensing",POWER(Upgrades!$U$21,M398),1))+(IF(H398=0,0,(Upgrades!$J$16+H398*Upgrades!$K$16)*POWER(Upgrades!$L$16,H398)))*(IF(Upgrades!$T$13="Roche Lobe Overflow",POWER(Upgrades!$U$13,E398),1)*IF(Upgrades!$T$14="Roche Lobe Overflow",POWER(Upgrades!$U$14,F398),1)*IF(Upgrades!$T$15="Roche Lobe Overflow",POWER(Upgrades!$U$15,G398),1)*IF(Upgrades!$T$17="Roche Lobe Overflow",POWER(Upgrades!$U$17,I398),1)*IF(Upgrades!$T$18="Roche Lobe Overflow",POWER(Upgrades!$U$18,J398),1)*IF(Upgrades!$T$19="Roche Lobe Overflow",POWER(Upgrades!$U$19,K398),1)*IF(Upgrades!$T$20="Roche Lobe Overflow",POWER(Upgrades!$U$20,L398),1)*IF(Upgrades!$T$21="Roche Lobe Overflow",POWER(Upgrades!$U$21,M398),1))+(IF(I398=0,0,(Upgrades!$J$17+I398*Upgrades!$K$17)*POWER(Upgrades!$L$17,I398)))*(IF(Upgrades!$T$13="Brown Dwarf",POWER(Upgrades!$U$13,E398),1)*IF(Upgrades!$T$14="Brown Dwarf",POWER(Upgrades!$U$14,F398),1)*IF(Upgrades!$T$15="Brown Dwarf",POWER(Upgrades!$U$15,G398),1)*IF(Upgrades!$T$16="Brown Dwarf",POWER(Upgrades!$U$16,H398),1)*IF(Upgrades!$T$18="Brown Dwarf",POWER(Upgrades!$U$18,J398),1)*IF(Upgrades!$T$19="Brown Dwarf",POWER(Upgrades!$U$19,K398),1)*IF(Upgrades!$T$20="Brown Dwarf",POWER(Upgrades!$U$20,L398),1)*IF(Upgrades!$T$21="Brown Dwarf",POWER(Upgrades!$U$21,M398),1))+(IF(J398=0,0,(Upgrades!$J$18+J398*Upgrades!$K$18)*POWER(Upgrades!$L$18,J398)))*(IF(Upgrades!$T$13="Binary Partner",POWER(Upgrades!$U$13,E398),1)*IF(Upgrades!$T$14="Binary Partner",POWER(Upgrades!$U$14,F398),1)*IF(Upgrades!$T$15="Binary Partner",POWER(Upgrades!$U$15,G398),1)*IF(Upgrades!$T$16="Binary Partner",POWER(Upgrades!$U$16,H398),1)*IF(Upgrades!$T$17="Binary Partner",POWER(Upgrades!$U$17,I398),1)*IF(Upgrades!$T$19="Binary Partner",POWER(Upgrades!$U$19,K398),1)*IF(Upgrades!$T$20="Binary Partner",POWER(Upgrades!$U$20,L398),1)*IF(Upgrades!$T$21="Binary Partner",POWER(Upgrades!$U$21,M398),1))+(IF(K398=0,0,(Upgrades!$J$19+K398*Upgrades!$K$19)*POWER(Upgrades!$L$19,K398)))*(IF(Upgrades!$T$13="Peculiar Velocity",POWER(Upgrades!$U$13,E398),1)*IF(Upgrades!$T$14="Peculiar Velocity",POWER(Upgrades!$U$14,F398),1)*IF(Upgrades!$T$15="Peculiar Velocity",POWER(Upgrades!$U$15,G398),1)*IF(Upgrades!$T$16="Peculiar Velocity",POWER(Upgrades!$U$16,H398),1)*IF(Upgrades!$T$17="Peculiar Velocity",POWER(Upgrades!$U$17,I398),1)*IF(Upgrades!$T$18="Peculiar Velocity",POWER(Upgrades!$U$18,J398),1)*IF(Upgrades!$T$20="Peculiar Velocity",POWER(Upgrades!$U$20,L398),1)*IF(Upgrades!$T$21="Peculiar Velocity",POWER(Upgrades!$U$21,M398),1))+(IF(L398=0,0,(Upgrades!$J$20+L398*Upgrades!$K$20)*POWER(Upgrades!$L$20,L398)))*(IF(Upgrades!$T$13="Open Cluster",POWER(Upgrades!$U$13,E398),1)*IF(Upgrades!$T$14="Open Cluster",POWER(Upgrades!$U$14,F398),1)*IF(Upgrades!$T$15="Open Cluster",POWER(Upgrades!$U$15,G398),1)*IF(Upgrades!$T$16="Open Cluster",POWER(Upgrades!$U$16,H398),1)*IF(Upgrades!$T$17="Open Cluster",POWER(Upgrades!$U$17,I398),1)*IF(Upgrades!$T$18="Open Cluster",POWER(Upgrades!$U$18,J398),1)*IF(Upgrades!$T$19="Open Cluster",POWER(Upgrades!$U$19,K398),1)*IF(Upgrades!$T$21="Open Cluster",POWER(Upgrades!$U$21,M398),1))+(IF(M398=0,0,(Upgrades!$J$21+M398*Upgrades!$K$21)*POWER(Upgrades!$L$21,M398)))*(IF(Upgrades!$T$13="Moving Group",POWER(Upgrades!$U$13,E398),1)*IF(Upgrades!$T$14="Moving Group",POWER(Upgrades!$U$14,F398),1)*IF(Upgrades!$T$15="Moving Group",POWER(Upgrades!$U$15,G398),1)*IF(Upgrades!$T$16="Moving Group",POWER(Upgrades!$U$16,H398),1)*IF(Upgrades!$T$17="Moving Group",POWER(Upgrades!$U$17,I398),1)*IF(Upgrades!$T$18="Moving Group",POWER(Upgrades!$U$18,J398),1)*IF(Upgrades!$T$19="Moving Group",POWER(Upgrades!$U$19,K398),1)*IF(Upgrades!$T$20="Moving Group",POWER(Upgrades!$U$20,L398),1)))*POWER(Upgrades!$Q$13,E398)*POWER(Upgrades!$Q$14,F398)*POWER(Upgrades!$Q$15,G398)*POWER(Upgrades!$Q$16,H398)*POWER(Upgrades!$Q$17,I398)*POWER(Upgrades!$Q$18,J398)*POWER(Upgrades!$Q$19,K398)*POWER(Upgrades!$Q$20,L398)*POWER(Upgrades!$Q$21,M398)*$G$6+$D$6</f>
        <v/>
      </c>
      <c r="P398" s="28">
        <f>((IF(E398=0,0,(Upgrades!$G$13+E398*Upgrades!$H$13)*POWER(Upgrades!$I$13,E398)))*(IF(Upgrades!$T$14="Stellar Kinematics",POWER(Upgrades!$U$14,F398),1)*IF(Upgrades!$T$15="Stellar Kinematics",POWER(Upgrades!$U$15,G398),1)*IF(Upgrades!$T$16="Stellar Kinematics",POWER(Upgrades!$U$16,H398),1)*IF(Upgrades!$T$17="Stellar Kinematics",POWER(Upgrades!$U$17,I398),1)*IF(Upgrades!$T$18="Stellar Kinematics",POWER(Upgrades!$U$18,J398),1)*IF(Upgrades!$T$19="Stellar Kinematics",POWER(Upgrades!$U$19,K398),1)*IF(Upgrades!$T$20="Stellar Kinematics",POWER(Upgrades!$U$20,L398),1)*IF(Upgrades!$T$21="Stellar Kinematics",POWER(Upgrades!$U$21,M398),1))+(IF(F398=0,0,(Upgrades!$G$14+F398*Upgrades!$H$14)*POWER(Upgrades!$I$14,F398)))*(IF(Upgrades!$T$13="Local Bubble",POWER(Upgrades!$U$13,E398),1)*IF(Upgrades!$T$15="Local Bubble",POWER(Upgrades!$U$15,G398),1)*IF(Upgrades!$T$16="Local Bubble",POWER(Upgrades!$U$16,H398),1)*IF(Upgrades!$T$17="Local Bubble",POWER(Upgrades!$U$17,I398),1)*IF(Upgrades!$T$18="Local Bubble",POWER(Upgrades!$U$18,J398),1)*IF(Upgrades!$T$19="Local Bubble",POWER(Upgrades!$U$19,K398),1)*IF(Upgrades!$T$20="Local Bubble",POWER(Upgrades!$U$20,L398),1)*IF(Upgrades!$T$21="Local Bubble",POWER(Upgrades!$U$21,M398),1))+(IF(G398=0,0,(Upgrades!$G$15+G398*Upgrades!$H$15)*POWER(Upgrades!$I$15,G398)))*(IF(Upgrades!$T$13="Microlensing",POWER(Upgrades!$U$13,E398),1)*IF(Upgrades!$T$14="Microlensing",POWER(Upgrades!$U$14,F398),1)*IF(Upgrades!$T$16="Microlensing",POWER(Upgrades!$U$16,H398),1)*IF(Upgrades!$T$17="Microlensing",POWER(Upgrades!$U$17,I398),1)*IF(Upgrades!$T$18="Microlensing",POWER(Upgrades!$U$18,J398),1)*IF(Upgrades!$T$19="Microlensing",POWER(Upgrades!$U$19,K398),1)*IF(Upgrades!$T$20="Microlensing",POWER(Upgrades!$U$20,L398),1)*IF(Upgrades!$T$21="Microlensing",POWER(Upgrades!$U$21,M398),1))+(IF(H398=0,0,(Upgrades!$G$16+H398*Upgrades!$H$16)*POWER(Upgrades!$I$16,H398)))*(IF(Upgrades!$T$13="Roche Lobe Overflow",POWER(Upgrades!$U$13,E398),1)*IF(Upgrades!$T$14="Roche Lobe Overflow",POWER(Upgrades!$U$14,F398),1)*IF(Upgrades!$T$15="Roche Lobe Overflow",POWER(Upgrades!$U$15,G398),1)*IF(Upgrades!$T$17="Roche Lobe Overflow",POWER(Upgrades!$U$17,I398),1)*IF(Upgrades!$T$18="Roche Lobe Overflow",POWER(Upgrades!$U$18,J398),1)*IF(Upgrades!$T$19="Roche Lobe Overflow",POWER(Upgrades!$U$19,K398),1)*IF(Upgrades!$T$20="Roche Lobe Overflow",POWER(Upgrades!$U$20,L398),1)*IF(Upgrades!$T$21="Roche Lobe Overflow",POWER(Upgrades!$U$21,M398),1))+(IF(I398=0,0,(Upgrades!$G$17+I398*Upgrades!$H$17)*POWER(Upgrades!$I$17,I398)))*(IF(Upgrades!$T$13="Brown Dwarf",POWER(Upgrades!$U$13,E398),1)*IF(Upgrades!$T$14="Brown Dwarf",POWER(Upgrades!$U$14,F398),1)*IF(Upgrades!$T$15="Brown Dwarf",POWER(Upgrades!$U$15,G398),1)*IF(Upgrades!$T$16="Brown Dwarf",POWER(Upgrades!$U$16,H398),1)*IF(Upgrades!$T$18="Brown Dwarf",POWER(Upgrades!$U$18,J398),1)*IF(Upgrades!$T$19="Brown Dwarf",POWER(Upgrades!$U$19,K398),1)*IF(Upgrades!$T$20="Brown Dwarf",POWER(Upgrades!$U$20,L398),1)*IF(Upgrades!$T$21="Brown Dwarf",POWER(Upgrades!$U$21,M398),1))+(IF(J398=0,0,(Upgrades!$G$18+J398*Upgrades!$H$18)*POWER(Upgrades!$I$18,J398)))*(IF(Upgrades!$T$13="Binary Partner",POWER(Upgrades!$U$13,E398),1)*IF(Upgrades!$T$14="Binary Partner",POWER(Upgrades!$U$14,F398),1)*IF(Upgrades!$T$15="Binary Partner",POWER(Upgrades!$U$15,G398),1)*IF(Upgrades!$T$16="Binary Partner",POWER(Upgrades!$U$16,H398),1)*IF(Upgrades!$T$17="Binary Partner",POWER(Upgrades!$U$17,I398),1)*IF(Upgrades!$T$19="Binary Partner",POWER(Upgrades!$U$19,K398),1)*IF(Upgrades!$T$20="Binary Partner",POWER(Upgrades!$U$20,L398),1)*IF(Upgrades!$T$21="Binary Partner",POWER(Upgrades!$U$21,M398),1))+(IF(K398=0,0,(Upgrades!$G$19+K398*Upgrades!$H$19)*POWER(Upgrades!$I$19,K398)))*(IF(Upgrades!$T$13="Peculiar Velocity",POWER(Upgrades!$U$13,E398),1)*IF(Upgrades!$T$14="Peculiar Velocity",POWER(Upgrades!$U$14,F398),1)*IF(Upgrades!$T$15="Peculiar Velocity",POWER(Upgrades!$U$15,G398),1)*IF(Upgrades!$T$16="Peculiar Velocity",POWER(Upgrades!$U$16,H398),1)*IF(Upgrades!$T$17="Peculiar Velocity",POWER(Upgrades!$U$17,I398),1)*IF(Upgrades!$T$18="Peculiar Velocity",POWER(Upgrades!$U$18,J398),1)*IF(Upgrades!$T$20="Peculiar Velocity",POWER(Upgrades!$U$20,L398),1)*IF(Upgrades!$T$21="Peculiar Velocity",POWER(Upgrades!$U$21,M398),1))+(IF(L398=0,0,(Upgrades!$G$20+L398*Upgrades!$H$20)*POWER(Upgrades!$I$20,L398)))*(IF(Upgrades!$T$13="Open Cluster",POWER(Upgrades!$U$13,E398),1)*IF(Upgrades!$T$14="Open Cluster",POWER(Upgrades!$U$14,F398),1)*IF(Upgrades!$T$15="Open Cluster",POWER(Upgrades!$U$15,G398),1)*IF(Upgrades!$T$16="Open Cluster",POWER(Upgrades!$U$16,H398),1)*IF(Upgrades!$T$17="Open Cluster",POWER(Upgrades!$U$17,I398),1)*IF(Upgrades!$T$18="Open Cluster",POWER(Upgrades!$U$18,J398),1)*IF(Upgrades!$T$19="Open Cluster",POWER(Upgrades!$U$19,K398),1)*IF(Upgrades!$T$21="Open Cluster",POWER(Upgrades!$U$21,M398),1))+(IF(M398=0,0,(Upgrades!$G$21+M398*Upgrades!$H$21)*POWER(Upgrades!$I$21,M398)))*(IF(Upgrades!$T$13="Moving Group",POWER(Upgrades!$U$13,E398),1)*IF(Upgrades!$T$14="Moving Group",POWER(Upgrades!$U$14,F398),1)*IF(Upgrades!$T$15="Moving Group",POWER(Upgrades!$U$15,G398),1)*IF(Upgrades!$T$16="Moving Group",POWER(Upgrades!$U$16,H398),1)*IF(Upgrades!$T$17="Moving Group",POWER(Upgrades!$U$17,I398),1)*IF(Upgrades!$T$18="Moving Group",POWER(Upgrades!$U$18,J398),1)*IF(Upgrades!$T$19="Moving Group",POWER(Upgrades!$U$19,K398),1)*IF(Upgrades!$T$20="Moving Group",POWER(Upgrades!$U$20,L398),1)))*POWER(Upgrades!$P$13,E398)*POWER(Upgrades!$P$14,F398)*POWER(Upgrades!$P$15,G398)*POWER(Upgrades!$P$16,H398)*POWER(Upgrades!$P$17,I398)*POWER(Upgrades!$P$18,J398)*POWER(Upgrades!$P$19,K398)*POWER(Upgrades!$P$20,L398)*POWER(Upgrades!$P$21,M398)*$F$6+$C$6</f>
        <v/>
      </c>
      <c r="Q398" s="28">
        <f>((IF(E398=0,0,(Upgrades!$M$13+E398*Upgrades!$N$13)*POWER(Upgrades!$O$13,E398)))*(IF(Upgrades!$T$14="Stellar Kinematics",POWER(Upgrades!$U$14,F398),1)*IF(Upgrades!$T$15="Stellar Kinematics",POWER(Upgrades!$U$15,G398),1)*IF(Upgrades!$T$16="Stellar Kinematics",POWER(Upgrades!$U$16,H398),1)*IF(Upgrades!$T$17="Stellar Kinematics",POWER(Upgrades!$U$17,I398),1)*IF(Upgrades!$T$18="Stellar Kinematics",POWER(Upgrades!$U$18,J398),1)*IF(Upgrades!$T$19="Stellar Kinematics",POWER(Upgrades!$U$19,K398),1)*IF(Upgrades!$T$20="Stellar Kinematics",POWER(Upgrades!$U$20,L398),1)*IF(Upgrades!$T$21="Stellar Kinematics",POWER(Upgrades!$U$21,M398),1))+(IF(F398=0,0,(Upgrades!$M$14+F398*Upgrades!$N$14)*POWER(Upgrades!$O$14,F398)))*(IF(Upgrades!$T$13="Local Bubble",POWER(Upgrades!$U$13,E398),1)*IF(Upgrades!$T$15="Local Bubble",POWER(Upgrades!$U$15,G398),1)*IF(Upgrades!$T$16="Local Bubble",POWER(Upgrades!$U$16,H398),1)*IF(Upgrades!$T$17="Local Bubble",POWER(Upgrades!$U$17,I398),1)*IF(Upgrades!$T$18="Local Bubble",POWER(Upgrades!$U$18,J398),1)*IF(Upgrades!$T$19="Local Bubble",POWER(Upgrades!$U$19,K398),1)*IF(Upgrades!$T$20="Local Bubble",POWER(Upgrades!$U$20,L398),1)*IF(Upgrades!$T$21="Local Bubble",POWER(Upgrades!$U$21,M398),1))+(IF(G398=0,0,(Upgrades!$M$15+G398*Upgrades!$N$15)*POWER(Upgrades!$O$15,G398)))*(IF(Upgrades!$T$13="Microlensing",POWER(Upgrades!$U$13,E398),1)*IF(Upgrades!$T$14="Microlensing",POWER(Upgrades!$U$14,F398),1)*IF(Upgrades!$T$16="Microlensing",POWER(Upgrades!$U$16,H398),1)*IF(Upgrades!$T$17="Microlensing",POWER(Upgrades!$U$17,I398),1)*IF(Upgrades!$T$18="Microlensing",POWER(Upgrades!$U$18,J398),1)*IF(Upgrades!$T$19="Microlensing",POWER(Upgrades!$U$19,K398),1)*IF(Upgrades!$T$20="Microlensing",POWER(Upgrades!$U$20,L398),1)*IF(Upgrades!$T$21="Microlensing",POWER(Upgrades!$U$21,M398),1))+(IF(H398=0,0,(Upgrades!$M$16+H398*Upgrades!$N$16)*POWER(Upgrades!$O$16,H398)))*(IF(Upgrades!$T$13="Roche Lobe Overflow",POWER(Upgrades!$U$13,E398),1)*IF(Upgrades!$T$14="Roche Lobe Overflow",POWER(Upgrades!$U$14,F398),1)*IF(Upgrades!$T$15="Roche Lobe Overflow",POWER(Upgrades!$U$15,G398),1)*IF(Upgrades!$T$17="Roche Lobe Overflow",POWER(Upgrades!$U$17,I398),1)*IF(Upgrades!$T$18="Roche Lobe Overflow",POWER(Upgrades!$U$18,J398),1)*IF(Upgrades!$T$19="Roche Lobe Overflow",POWER(Upgrades!$U$19,K398),1)*IF(Upgrades!$T$20="Roche Lobe Overflow",POWER(Upgrades!$U$20,L398),1)*IF(Upgrades!$T$21="Roche Lobe Overflow",POWER(Upgrades!$U$21,M398),1))+(IF(I398=0,0,(Upgrades!$M$17+I398*Upgrades!$N$17)*POWER(Upgrades!$O$17,I398)))*(IF(Upgrades!$T$13="Brown Dwarf",POWER(Upgrades!$U$13,E398),1)*IF(Upgrades!$T$14="Brown Dwarf",POWER(Upgrades!$U$14,F398),1)*IF(Upgrades!$T$15="Brown Dwarf",POWER(Upgrades!$U$15,G398),1)*IF(Upgrades!$T$16="Brown Dwarf",POWER(Upgrades!$U$16,H398),1)*IF(Upgrades!$T$18="Brown Dwarf",POWER(Upgrades!$U$18,J398),1)*IF(Upgrades!$T$19="Brown Dwarf",POWER(Upgrades!$U$19,K398),1)*IF(Upgrades!$T$20="Brown Dwarf",POWER(Upgrades!$U$20,L398),1)*IF(Upgrades!$T$21="Brown Dwarf",POWER(Upgrades!$U$21,M398),1))+(IF(J398=0,0,(Upgrades!$M$18+J398*Upgrades!$N$18)*POWER(Upgrades!$O$18,J398)))*(IF(Upgrades!$T$13="Binary Partner",POWER(Upgrades!$U$13,E398),1)*IF(Upgrades!$T$14="Binary Partner",POWER(Upgrades!$U$14,F398),1)*IF(Upgrades!$T$15="Binary Partner",POWER(Upgrades!$U$15,G398),1)*IF(Upgrades!$T$16="Binary Partner",POWER(Upgrades!$U$16,H398),1)*IF(Upgrades!$T$17="Binary Partner",POWER(Upgrades!$U$17,I398),1)*IF(Upgrades!$T$19="Binary Partner",POWER(Upgrades!$U$19,K398),1)*IF(Upgrades!$T$20="Binary Partner",POWER(Upgrades!$U$20,L398),1)*IF(Upgrades!$T$21="Binary Partner",POWER(Upgrades!$U$21,M398),1))+(IF(K398=0,0,(Upgrades!$M$19+K398*Upgrades!$N$19)*POWER(Upgrades!$O$19,K398)))*(IF(Upgrades!$T$13="Peculiar Velocity",POWER(Upgrades!$U$13,E398),1)*IF(Upgrades!$T$14="Peculiar Velocity",POWER(Upgrades!$U$14,F398),1)*IF(Upgrades!$T$15="Peculiar Velocity",POWER(Upgrades!$U$15,G398),1)*IF(Upgrades!$T$16="Peculiar Velocity",POWER(Upgrades!$U$16,H398),1)*IF(Upgrades!$T$17="Peculiar Velocity",POWER(Upgrades!$U$17,I398),1)*IF(Upgrades!$T$18="Peculiar Velocity",POWER(Upgrades!$U$18,J398),1)*IF(Upgrades!$T$20="Peculiar Velocity",POWER(Upgrades!$U$20,L398),1)*IF(Upgrades!$T$21="Peculiar Velocity",POWER(Upgrades!$U$21,M398),1))+(IF(L398=0,0,(Upgrades!$M$20+L398*Upgrades!$N$20)*POWER(Upgrades!$O$20,L398)))*(IF(Upgrades!$T$13="Open Cluster",POWER(Upgrades!$U$13,E398),1)*IF(Upgrades!$T$14="Open Cluster",POWER(Upgrades!$U$14,F398),1)*IF(Upgrades!$T$15="Open Cluster",POWER(Upgrades!$U$15,G398),1)*IF(Upgrades!$T$16="Open Cluster",POWER(Upgrades!$U$16,H398),1)*IF(Upgrades!$T$17="Open Cluster",POWER(Upgrades!$U$17,I398),1)*IF(Upgrades!$T$18="Open Cluster",POWER(Upgrades!$U$18,J398),1)*IF(Upgrades!$T$19="Open Cluster",POWER(Upgrades!$U$19,K398),1)*IF(Upgrades!$T$21="Open Cluster",POWER(Upgrades!$U$21,M398),1))+(IF(M398=0,0,(Upgrades!$M$21+M398*Upgrades!$N$21)*POWER(Upgrades!$O$21,M398)))*(IF(Upgrades!$T$13="Moving Group",POWER(Upgrades!$U$13,E398),1)*IF(Upgrades!$T$14="Moving Group",POWER(Upgrades!$U$14,F398),1)*IF(Upgrades!$T$15="Moving Group",POWER(Upgrades!$U$15,G398),1)*IF(Upgrades!$T$16="Moving Group",POWER(Upgrades!$U$16,H398),1)*IF(Upgrades!$T$17="Moving Group",POWER(Upgrades!$U$17,I398),1)*IF(Upgrades!$T$18="Moving Group",POWER(Upgrades!$U$18,J398),1)*IF(Upgrades!$T$19="Moving Group",POWER(Upgrades!$U$19,K398),1)*IF(Upgrades!$T$20="Moving Group",POWER(Upgrades!$U$20,L398),1)))*POWER(Upgrades!$R$13,E398)*POWER(Upgrades!$R$14,F398)*POWER(Upgrades!$R$15,G398)*POWER(Upgrades!$R$16,H398)*POWER(Upgrades!$R$17,I398)*POWER(Upgrades!$R$18,J398)*POWER(Upgrades!$R$19,K398)*POWER(Upgrades!$R$20,L398)*POWER(Upgrades!$R$21,M398)*$H$6+$E$6</f>
        <v/>
      </c>
      <c r="R398" s="27">
        <f>IF(N398=1,0,O398*Parameters!$B$10/60*Parameters!$B$11*10)</f>
        <v/>
      </c>
      <c r="S398" s="27">
        <f>IF(N398=1,0,Q398*O398*10)</f>
        <v/>
      </c>
      <c r="T398" s="27">
        <f>IF(N398=1,0,R398+S398+P398*10)</f>
        <v/>
      </c>
      <c r="U398" s="33">
        <f>BE398</f>
        <v/>
      </c>
      <c r="V398" s="22">
        <f>IF(U398="",0,IF(U398="transition",0,IF(U398="SK",AK398,IF(U398="LB",AL398,IF(U398="ML",AM398,IF(U398="RLO",AN398,IF(U398="BD",AO398,IF(U398="BiP",AP398,IF(U398="PV",AQ398,IF(U398="OC",AR398,IF(U398="MG",AS398,0))))))))))</f>
        <v/>
      </c>
      <c r="W398" s="27">
        <f>IF(U398="BiP",Upgrades!$F$18,IF(U398="PV",Upgrades!$F$19,IF(U398="OC",Upgrades!$F$20,IF(U398="MG",Upgrades!$F$21,IF(U398="transition",-Parameters!$B$18*Parameters!$B$19,0)))))</f>
        <v/>
      </c>
      <c r="X398" s="22">
        <f>C398+T398-V398</f>
        <v/>
      </c>
      <c r="Y398" s="30">
        <f>O398*Parameters!$B$10/60*Parameters!$B$11+Q398*O398+P398</f>
        <v/>
      </c>
      <c r="Z398" s="34">
        <f>IF(U398="transition","→ Tier 3 (Galactic Arm)",IF(U398="MG","Moving Group — pocket drifts together",IF(U398="OC","Open Cluster acquired",IF(U398="PV","Peculiar Velocity — passive multiplier active",IF(U398="BiP","Binary Partner — pair bond formed",IF(AND(AU398=1,N398=0,AT398&lt;&gt;1),"Cohesion ready (waiting on completionists)","")))))) </f>
        <v/>
      </c>
      <c r="AA398" s="27">
        <f>(IF(E398=0,0,(Upgrades!$G$13+E398*Upgrades!$H$13)*POWER(Upgrades!$I$13,E398)))*(IF(Upgrades!$T$14="Stellar Kinematics",POWER(Upgrades!$U$14,F398),1)*IF(Upgrades!$T$15="Stellar Kinematics",POWER(Upgrades!$U$15,G398),1)*IF(Upgrades!$T$16="Stellar Kinematics",POWER(Upgrades!$U$16,H398),1)*IF(Upgrades!$T$17="Stellar Kinematics",POWER(Upgrades!$U$17,I398),1)*IF(Upgrades!$T$18="Stellar Kinematics",POWER(Upgrades!$U$18,J398),1)*IF(Upgrades!$T$19="Stellar Kinematics",POWER(Upgrades!$U$19,K398),1)*IF(Upgrades!$T$20="Stellar Kinematics",POWER(Upgrades!$U$20,L398),1)*IF(Upgrades!$T$21="Stellar Kinematics",POWER(Upgrades!$U$21,M398),1))*POWER(Upgrades!$P$13,E398)*POWER(Upgrades!$P$14,F398)*POWER(Upgrades!$P$15,G398)*POWER(Upgrades!$P$16,H398)*POWER(Upgrades!$P$17,I398)*POWER(Upgrades!$P$18,J398)*POWER(Upgrades!$P$19,K398)*POWER(Upgrades!$P$20,L398)*POWER(Upgrades!$P$21,M398)*$F$6*60</f>
        <v/>
      </c>
      <c r="AB398" s="27">
        <f>(IF(F398=0,0,(Upgrades!$G$14+F398*Upgrades!$H$14)*POWER(Upgrades!$I$14,F398)))*(IF(Upgrades!$T$13="Local Bubble",POWER(Upgrades!$U$13,E398),1)*IF(Upgrades!$T$15="Local Bubble",POWER(Upgrades!$U$15,G398),1)*IF(Upgrades!$T$16="Local Bubble",POWER(Upgrades!$U$16,H398),1)*IF(Upgrades!$T$17="Local Bubble",POWER(Upgrades!$U$17,I398),1)*IF(Upgrades!$T$18="Local Bubble",POWER(Upgrades!$U$18,J398),1)*IF(Upgrades!$T$19="Local Bubble",POWER(Upgrades!$U$19,K398),1)*IF(Upgrades!$T$20="Local Bubble",POWER(Upgrades!$U$20,L398),1)*IF(Upgrades!$T$21="Local Bubble",POWER(Upgrades!$U$21,M398),1))*POWER(Upgrades!$P$13,E398)*POWER(Upgrades!$P$14,F398)*POWER(Upgrades!$P$15,G398)*POWER(Upgrades!$P$16,H398)*POWER(Upgrades!$P$17,I398)*POWER(Upgrades!$P$18,J398)*POWER(Upgrades!$P$19,K398)*POWER(Upgrades!$P$20,L398)*POWER(Upgrades!$P$21,M398)*$F$6*60</f>
        <v/>
      </c>
      <c r="AC398" s="27">
        <f>(IF(G398=0,0,(Upgrades!$J$15+G398*Upgrades!$K$15)*POWER(Upgrades!$L$15,G398)))*(IF(Upgrades!$T$13="Microlensing",POWER(Upgrades!$U$13,E398),1)*IF(Upgrades!$T$14="Microlensing",POWER(Upgrades!$U$14,F398),1)*IF(Upgrades!$T$16="Microlensing",POWER(Upgrades!$U$16,H398),1)*IF(Upgrades!$T$17="Microlensing",POWER(Upgrades!$U$17,I398),1)*IF(Upgrades!$T$18="Microlensing",POWER(Upgrades!$U$18,J398),1)*IF(Upgrades!$T$19="Microlensing",POWER(Upgrades!$U$19,K398),1)*IF(Upgrades!$T$20="Microlensing",POWER(Upgrades!$U$20,L398),1)*IF(Upgrades!$T$21="Microlensing",POWER(Upgrades!$U$21,M398),1))*POWER(Upgrades!$Q$13,E398)*POWER(Upgrades!$Q$14,F398)*POWER(Upgrades!$Q$15,G398)*POWER(Upgrades!$Q$16,H398)*POWER(Upgrades!$Q$17,I398)*POWER(Upgrades!$Q$18,J398)*POWER(Upgrades!$Q$19,K398)*POWER(Upgrades!$Q$20,L398)*POWER(Upgrades!$Q$21,M398)*$G$6*(Parameters!$B$10*Parameters!$B$11+Q398*60)</f>
        <v/>
      </c>
      <c r="AD398" s="27">
        <f>(IF(H398=0,0,(Upgrades!$M$16+H398*Upgrades!$N$16)*POWER(Upgrades!$O$16,H398)))*(IF(Upgrades!$T$13="Roche Lobe Overflow",POWER(Upgrades!$U$13,E398),1)*IF(Upgrades!$T$14="Roche Lobe Overflow",POWER(Upgrades!$U$14,F398),1)*IF(Upgrades!$T$15="Roche Lobe Overflow",POWER(Upgrades!$U$15,G398),1)*IF(Upgrades!$T$17="Roche Lobe Overflow",POWER(Upgrades!$U$17,I398),1)*IF(Upgrades!$T$18="Roche Lobe Overflow",POWER(Upgrades!$U$18,J398),1)*IF(Upgrades!$T$19="Roche Lobe Overflow",POWER(Upgrades!$U$19,K398),1)*IF(Upgrades!$T$20="Roche Lobe Overflow",POWER(Upgrades!$U$20,L398),1)*IF(Upgrades!$T$21="Roche Lobe Overflow",POWER(Upgrades!$U$21,M398),1))*POWER(Upgrades!$R$13,E398)*POWER(Upgrades!$R$14,F398)*POWER(Upgrades!$R$15,G398)*POWER(Upgrades!$R$16,H398)*POWER(Upgrades!$R$17,I398)*POWER(Upgrades!$R$18,J398)*POWER(Upgrades!$R$19,K398)*POWER(Upgrades!$R$20,L398)*POWER(Upgrades!$R$21,M398)*$H$6*O398*60</f>
        <v/>
      </c>
      <c r="AE398" s="27">
        <f>(IF(I398=0,0,(Upgrades!$G$17+I398*Upgrades!$H$17)*POWER(Upgrades!$I$17,I398)))*(IF(Upgrades!$T$13="Brown Dwarf",POWER(Upgrades!$U$13,E398),1)*IF(Upgrades!$T$14="Brown Dwarf",POWER(Upgrades!$U$14,F398),1)*IF(Upgrades!$T$15="Brown Dwarf",POWER(Upgrades!$U$15,G398),1)*IF(Upgrades!$T$16="Brown Dwarf",POWER(Upgrades!$U$16,H398),1)*IF(Upgrades!$T$18="Brown Dwarf",POWER(Upgrades!$U$18,J398),1)*IF(Upgrades!$T$19="Brown Dwarf",POWER(Upgrades!$U$19,K398),1)*IF(Upgrades!$T$20="Brown Dwarf",POWER(Upgrades!$U$20,L398),1)*IF(Upgrades!$T$21="Brown Dwarf",POWER(Upgrades!$U$21,M398),1))*POWER(Upgrades!$P$13,E398)*POWER(Upgrades!$P$14,F398)*POWER(Upgrades!$P$15,G398)*POWER(Upgrades!$P$16,H398)*POWER(Upgrades!$P$17,I398)*POWER(Upgrades!$P$18,J398)*POWER(Upgrades!$P$19,K398)*POWER(Upgrades!$P$20,L398)*POWER(Upgrades!$P$21,M398)*$F$6*60</f>
        <v/>
      </c>
      <c r="AF398" s="27" t="n">
        <v>0</v>
      </c>
      <c r="AG398" s="27" t="n">
        <v>0</v>
      </c>
      <c r="AH398" s="27" t="n">
        <v>0</v>
      </c>
      <c r="AI398" s="27">
        <f>(IF(M398=0,0,(Upgrades!$G$21+M398*Upgrades!$H$21)*POWER(Upgrades!$I$21,M398)))*(IF(Upgrades!$T$13="Moving Group",POWER(Upgrades!$U$13,E398),1)*IF(Upgrades!$T$14="Moving Group",POWER(Upgrades!$U$14,F398),1)*IF(Upgrades!$T$15="Moving Group",POWER(Upgrades!$U$15,G398),1)*IF(Upgrades!$T$16="Moving Group",POWER(Upgrades!$U$16,H398),1)*IF(Upgrades!$T$17="Moving Group",POWER(Upgrades!$U$17,I398),1)*IF(Upgrades!$T$18="Moving Group",POWER(Upgrades!$U$18,J398),1)*IF(Upgrades!$T$19="Moving Group",POWER(Upgrades!$U$19,K398),1)*IF(Upgrades!$T$20="Moving Group",POWER(Upgrades!$U$20,L398),1))*POWER(Upgrades!$P$13,E398)*POWER(Upgrades!$P$14,F398)*POWER(Upgrades!$P$15,G398)*POWER(Upgrades!$P$16,H398)*POWER(Upgrades!$P$17,I398)*POWER(Upgrades!$P$18,J398)*POWER(Upgrades!$P$19,K398)*POWER(Upgrades!$P$20,L398)*POWER(Upgrades!$P$21,M398)*$F$6*60</f>
        <v/>
      </c>
      <c r="AJ398" s="27">
        <f>$C$6*60</f>
        <v/>
      </c>
      <c r="AK398" s="22">
        <f>IF(E398&gt;=Upgrades!$E$13,"",Upgrades!$C$13*POWER(Upgrades!$D$13,E398))</f>
        <v/>
      </c>
      <c r="AL398" s="22">
        <f>IF(F398&gt;=Upgrades!$E$14,"",Upgrades!$C$14*POWER(Upgrades!$D$14,F398))</f>
        <v/>
      </c>
      <c r="AM398" s="22">
        <f>IF(G398&gt;=Upgrades!$E$15,"",Upgrades!$C$15*POWER(Upgrades!$D$15,G398))</f>
        <v/>
      </c>
      <c r="AN398" s="22">
        <f>IF(H398&gt;=Upgrades!$E$16,"",Upgrades!$C$16*POWER(Upgrades!$D$16,H398))</f>
        <v/>
      </c>
      <c r="AO398" s="22">
        <f>IF(I398&gt;=Upgrades!$E$17,"",Upgrades!$C$17*POWER(Upgrades!$D$17,I398))</f>
        <v/>
      </c>
      <c r="AP398" s="22">
        <f>IF(J398&gt;=Upgrades!$E$18,"",Upgrades!$C$18*POWER(Upgrades!$D$18,J398))</f>
        <v/>
      </c>
      <c r="AQ398" s="22">
        <f>IF(K398&gt;=Upgrades!$E$19,"",Upgrades!$C$19*POWER(Upgrades!$D$19,K398))</f>
        <v/>
      </c>
      <c r="AR398" s="22">
        <f>IF(L398&gt;=Upgrades!$E$20,"",Upgrades!$C$20*POWER(Upgrades!$D$20,L398))</f>
        <v/>
      </c>
      <c r="AS398" s="22">
        <f>IF(M398&gt;=Upgrades!$E$21,"",Upgrades!$C$21*POWER(Upgrades!$D$21,M398))</f>
        <v/>
      </c>
      <c r="AT398" s="26">
        <f>IF(AND(D398&gt;=Parameters!$B$18*Parameters!$B$19,(I398&gt;=Upgrades!$E$17)*(M398&gt;=Upgrades!$E$21)=1,N398=0),1,"")</f>
        <v/>
      </c>
      <c r="AU398" s="26">
        <f>IF(AND(D398&gt;=Parameters!$B$18*Parameters!$B$19,N398=0),1,"")</f>
        <v/>
      </c>
      <c r="AV398" s="22">
        <f>MIN(IF(ISNUMBER(AP398),AP398,9E15),IF(ISNUMBER(AQ398),AQ398,9E15),IF(ISNUMBER(AR398),AR398,9E15),IF(ISNUMBER(AS398),AS398,9E15))</f>
        <v/>
      </c>
      <c r="AW398" s="22">
        <f>MIN(IF(ISNUMBER(AK398),AK398,9E15),IF(ISNUMBER(AL398),AL398,9E15),IF(ISNUMBER(AM398),AM398,9E15),IF(ISNUMBER(AN398),AN398,9E15),IF(ISNUMBER(AO398),AO398,9E15))</f>
        <v/>
      </c>
      <c r="AX398" s="29">
        <f>IF(BD398&gt;Parameters!$B$21*(MAX(IF(AND(NOT(AND(AU398=1,AT398&lt;&gt;1)),ISNUMBER(AK398),AK398&lt;=(C398+T398)),AY398,0),IF(AND(NOT(AND(AU398=1,AT398&lt;&gt;1)),ISNUMBER(AL398),AL398&lt;=(C398+T398)),AZ398,0),IF(AND(NOT(AND(AU398=1,AT398&lt;&gt;1)),ISNUMBER(AM398),AM398&lt;=(C398+T398)),BA398,0),IF(AND(NOT(AND(AU398=1,AT398&lt;&gt;1)),ISNUMBER(AN398),AN398&lt;=(C398+T398)),BB398,0),IF(AND(ISNUMBER(AO398),AO398&lt;=(C398+T398)),BC398,0))),TRUE,FALSE)</f>
        <v/>
      </c>
      <c r="AY398" s="32">
        <f>IFERROR(Upgrades!$H$13*(POWER(Upgrades!$P$13,E398)*POWER(Upgrades!$P$14,F398)*POWER(Upgrades!$P$15,G398)*POWER(Upgrades!$P$16,H398)*POWER(Upgrades!$P$17,I398)*POWER(Upgrades!$P$18,J398)*POWER(Upgrades!$P$19,K398)*POWER(Upgrades!$P$20,L398)*POWER(Upgrades!$P$21,M398))*(IF(Upgrades!$T$14="Stellar Kinematics",POWER(Upgrades!$U$14,F398),1)*IF(Upgrades!$T$15="Stellar Kinematics",POWER(Upgrades!$U$15,G398),1)*IF(Upgrades!$T$16="Stellar Kinematics",POWER(Upgrades!$U$16,H398),1)*IF(Upgrades!$T$17="Stellar Kinematics",POWER(Upgrades!$U$17,I398),1)*IF(Upgrades!$T$18="Stellar Kinematics",POWER(Upgrades!$U$18,J398),1)*IF(Upgrades!$T$19="Stellar Kinematics",POWER(Upgrades!$U$19,K398),1)*IF(Upgrades!$T$20="Stellar Kinematics",POWER(Upgrades!$U$20,L398),1)*IF(Upgrades!$T$21="Stellar Kinematics",POWER(Upgrades!$U$21,M398),1))*$F$6/AK398,0)</f>
        <v/>
      </c>
      <c r="AZ398" s="32">
        <f>IFERROR(Upgrades!$H$14*(POWER(Upgrades!$P$13,E398)*POWER(Upgrades!$P$14,F398)*POWER(Upgrades!$P$15,G398)*POWER(Upgrades!$P$16,H398)*POWER(Upgrades!$P$17,I398)*POWER(Upgrades!$P$18,J398)*POWER(Upgrades!$P$19,K398)*POWER(Upgrades!$P$20,L398)*POWER(Upgrades!$P$21,M398))*(IF(Upgrades!$T$13="Local Bubble",POWER(Upgrades!$U$13,E398),1)*IF(Upgrades!$T$15="Local Bubble",POWER(Upgrades!$U$15,G398),1)*IF(Upgrades!$T$16="Local Bubble",POWER(Upgrades!$U$16,H398),1)*IF(Upgrades!$T$17="Local Bubble",POWER(Upgrades!$U$17,I398),1)*IF(Upgrades!$T$18="Local Bubble",POWER(Upgrades!$U$18,J398),1)*IF(Upgrades!$T$19="Local Bubble",POWER(Upgrades!$U$19,K398),1)*IF(Upgrades!$T$20="Local Bubble",POWER(Upgrades!$U$20,L398),1)*IF(Upgrades!$T$21="Local Bubble",POWER(Upgrades!$U$21,M398),1))*$F$6/AL398,0)</f>
        <v/>
      </c>
      <c r="BA398" s="32">
        <f>IFERROR(Upgrades!$K$15*(POWER(Upgrades!$Q$13,E398)*POWER(Upgrades!$Q$14,F398)*POWER(Upgrades!$Q$15,G398)*POWER(Upgrades!$Q$16,H398)*POWER(Upgrades!$Q$17,I398)*POWER(Upgrades!$Q$18,J398)*POWER(Upgrades!$Q$19,K398)*POWER(Upgrades!$Q$20,L398)*POWER(Upgrades!$Q$21,M398))*(IF(Upgrades!$T$13="Microlensing",POWER(Upgrades!$U$13,E398),1)*IF(Upgrades!$T$14="Microlensing",POWER(Upgrades!$U$14,F398),1)*IF(Upgrades!$T$16="Microlensing",POWER(Upgrades!$U$16,H398),1)*IF(Upgrades!$T$17="Microlensing",POWER(Upgrades!$U$17,I398),1)*IF(Upgrades!$T$18="Microlensing",POWER(Upgrades!$U$18,J398),1)*IF(Upgrades!$T$19="Microlensing",POWER(Upgrades!$U$19,K398),1)*IF(Upgrades!$T$20="Microlensing",POWER(Upgrades!$U$20,L398),1)*IF(Upgrades!$T$21="Microlensing",POWER(Upgrades!$U$21,M398),1))*$G$6*(Parameters!$B$10/60*Parameters!$B$11+Q398)/AM398,0)</f>
        <v/>
      </c>
      <c r="BB398" s="32">
        <f>IFERROR((Upgrades!$N$16*(POWER(Upgrades!$R$13,E398)*POWER(Upgrades!$R$14,F398)*POWER(Upgrades!$R$15,G398)*POWER(Upgrades!$R$16,H398)*POWER(Upgrades!$R$17,I398)*POWER(Upgrades!$R$18,J398)*POWER(Upgrades!$R$19,K398)*POWER(Upgrades!$R$20,L398)*POWER(Upgrades!$R$21,M398))*(IF(Upgrades!$T$13="Roche Lobe Overflow",POWER(Upgrades!$U$13,E398),1)*IF(Upgrades!$T$14="Roche Lobe Overflow",POWER(Upgrades!$U$14,F398),1)*IF(Upgrades!$T$15="Roche Lobe Overflow",POWER(Upgrades!$U$15,G398),1)*IF(Upgrades!$T$17="Roche Lobe Overflow",POWER(Upgrades!$U$17,I398),1)*IF(Upgrades!$T$18="Roche Lobe Overflow",POWER(Upgrades!$U$18,J398),1)*IF(Upgrades!$T$19="Roche Lobe Overflow",POWER(Upgrades!$U$19,K398),1)*IF(Upgrades!$T$20="Roche Lobe Overflow",POWER(Upgrades!$U$20,L398),1)*IF(Upgrades!$T$21="Roche Lobe Overflow",POWER(Upgrades!$U$21,M398),1))*$H$6*O398+((IF(F398=0,0,(Upgrades!$G$14+F398*Upgrades!$H$14)*POWER(Upgrades!$I$14,F398)))*(IF(Upgrades!$T$13="Local Bubble",POWER(Upgrades!$U$13,E398),1)*IF(Upgrades!$T$15="Local Bubble",POWER(Upgrades!$U$15,G398),1)*IF(Upgrades!$T$16="Local Bubble",POWER(Upgrades!$U$16,H398),1)*IF(Upgrades!$T$17="Local Bubble",POWER(Upgrades!$U$17,I398),1)*IF(Upgrades!$T$18="Local Bubble",POWER(Upgrades!$U$18,J398),1)*IF(Upgrades!$T$19="Local Bubble",POWER(Upgrades!$U$19,K398),1)*IF(Upgrades!$T$20="Local Bubble",POWER(Upgrades!$U$20,L398),1)*IF(Upgrades!$T$21="Local Bubble",POWER(Upgrades!$U$21,M398),1))*POWER(Upgrades!$P$13,E398)*POWER(Upgrades!$P$14,F398)*POWER(Upgrades!$P$15,G398)*POWER(Upgrades!$P$16,H398)*POWER(Upgrades!$P$17,I398)*POWER(Upgrades!$P$18,J398)*POWER(Upgrades!$P$19,K398)*POWER(Upgrades!$P$20,L398)*POWER(Upgrades!$P$21,M398)*$F$6)*0.05)/AN398,0)</f>
        <v/>
      </c>
      <c r="BC398" s="32">
        <f>IFERROR((Upgrades!$H$17*(POWER(Upgrades!$P$13,E398)*POWER(Upgrades!$P$14,F398)*POWER(Upgrades!$P$15,G398)*POWER(Upgrades!$P$16,H398)*POWER(Upgrades!$P$17,I398)*POWER(Upgrades!$P$18,J398)*POWER(Upgrades!$P$19,K398)*POWER(Upgrades!$P$20,L398)*POWER(Upgrades!$P$21,M398))*(IF(Upgrades!$T$13="Brown Dwarf",POWER(Upgrades!$U$13,E398),1)*IF(Upgrades!$T$14="Brown Dwarf",POWER(Upgrades!$U$14,F398),1)*IF(Upgrades!$T$15="Brown Dwarf",POWER(Upgrades!$U$15,G398),1)*IF(Upgrades!$T$16="Brown Dwarf",POWER(Upgrades!$U$16,H398),1)*IF(Upgrades!$T$18="Brown Dwarf",POWER(Upgrades!$U$18,J398),1)*IF(Upgrades!$T$19="Brown Dwarf",POWER(Upgrades!$U$19,K398),1)*IF(Upgrades!$T$20="Brown Dwarf",POWER(Upgrades!$U$20,L398),1)*IF(Upgrades!$T$21="Brown Dwarf",POWER(Upgrades!$U$21,M398),1))*$F$6+(((IF(H398=0,0,(Upgrades!$M$16+H398*Upgrades!$N$16)*POWER(Upgrades!$O$16,H398)))*(IF(Upgrades!$T$13="Roche Lobe Overflow",POWER(Upgrades!$U$13,E398),1)*IF(Upgrades!$T$14="Roche Lobe Overflow",POWER(Upgrades!$U$14,F398),1)*IF(Upgrades!$T$15="Roche Lobe Overflow",POWER(Upgrades!$U$15,G398),1)*IF(Upgrades!$T$17="Roche Lobe Overflow",POWER(Upgrades!$U$17,I398),1)*IF(Upgrades!$T$18="Roche Lobe Overflow",POWER(Upgrades!$U$18,J398),1)*IF(Upgrades!$T$19="Roche Lobe Overflow",POWER(Upgrades!$U$19,K398),1)*IF(Upgrades!$T$20="Roche Lobe Overflow",POWER(Upgrades!$U$20,L398),1)*IF(Upgrades!$T$21="Roche Lobe Overflow",POWER(Upgrades!$U$21,M398),1))*POWER(Upgrades!$R$13,E398)*POWER(Upgrades!$R$14,F398)*POWER(Upgrades!$R$15,G398)*POWER(Upgrades!$R$16,H398)*POWER(Upgrades!$R$17,I398)*POWER(Upgrades!$R$18,J398)*POWER(Upgrades!$R$19,K398)*POWER(Upgrades!$R$20,L398)*POWER(Upgrades!$R$21,M398)*$H$6)*O398)*0.10)/AO398,0)</f>
        <v/>
      </c>
      <c r="BD398" s="32">
        <f>MAX(IF(J398&gt;0,0,IFERROR(0.5*((IF(G398=0,0,(Upgrades!$J$15+G398*Upgrades!$K$15)*POWER(Upgrades!$L$15,G398)))*(IF(Upgrades!$T$13="Microlensing",POWER(Upgrades!$U$13,E398),1)*IF(Upgrades!$T$14="Microlensing",POWER(Upgrades!$U$14,F398),1)*IF(Upgrades!$T$16="Microlensing",POWER(Upgrades!$U$16,H398),1)*IF(Upgrades!$T$17="Microlensing",POWER(Upgrades!$U$17,I398),1)*IF(Upgrades!$T$18="Microlensing",POWER(Upgrades!$U$18,J398),1)*IF(Upgrades!$T$19="Microlensing",POWER(Upgrades!$U$19,K398),1)*IF(Upgrades!$T$20="Microlensing",POWER(Upgrades!$U$20,L398),1)*IF(Upgrades!$T$21="Microlensing",POWER(Upgrades!$U$21,M398),1))*(POWER(Upgrades!$Q$13,E398)*POWER(Upgrades!$Q$14,F398)*POWER(Upgrades!$Q$15,G398)*POWER(Upgrades!$Q$16,H398)*POWER(Upgrades!$Q$17,I398)*POWER(Upgrades!$Q$18,J398)*POWER(Upgrades!$Q$19,K398)*POWER(Upgrades!$Q$20,L398)*POWER(Upgrades!$Q$21,M398))*$G$6*(Parameters!$B$10/60*Parameters!$B$11+Q398))/Upgrades!$C$18,0)),IF(K398&gt;0,0,IFERROR(0.30*P398/Upgrades!$C$19,0)),IF(L398&gt;0,0,IFERROR(0.0001/Upgrades!$C$20,0)),IF(M398&gt;0,0,IFERROR((6.0*(POWER(Upgrades!$P$13,E398)*POWER(Upgrades!$P$14,F398)*POWER(Upgrades!$P$15,G398)*POWER(Upgrades!$P$16,H398)*POWER(Upgrades!$P$17,I398)*POWER(Upgrades!$P$18,J398)*POWER(Upgrades!$P$19,K398)*POWER(Upgrades!$P$20,L398)*POWER(Upgrades!$P$21,M398))*$F$6+0.20*O398*(Parameters!$B$10/60*Parameters!$B$11+Q398))/Upgrades!$C$21,0)),IF(AND(ISNUMBER(AK398),AK398&gt;(C398+T398)),AY398,0),IF(AND(ISNUMBER(AL398),AL398&gt;(C398+T398)),AZ398,0),IF(AND(ISNUMBER(AM398),AM398&gt;(C398+T398)),BA398,0),IF(AND(ISNUMBER(AN398),AN398&gt;(C398+T398)),BB398,0),IF(AND(ISNUMBER(AO398),AO398&gt;(C398+T398)),BC398,0))</f>
        <v/>
      </c>
      <c r="BE398" s="29">
        <f>IF(AT398=1,"transition",IF(MIN(IF(AND(J398=0,ISNUMBER(AP398),AP398&lt;=(C398+T398)),AP398,9E15),IF(AND(K398=0,ISNUMBER(AQ398),AQ398&lt;=(C398+T398)),AQ398,9E15),IF(AND(L398=0,ISNUMBER(AR398),AR398&lt;=(C398+T398)),AR398,9E15),IF(AND(M398=0,ISNUMBER(AS398),AS398&lt;=(C398+T398)),AS398,9E15))&lt;9E15,IF(AND(AND(J398=0,ISNUMBER(AP398),AP398&lt;=(C398+T398)),AP398=MIN(IF(AND(J398=0,ISNUMBER(AP398),AP398&lt;=(C398+T398)),AP398,9E15),IF(AND(K398=0,ISNUMBER(AQ398),AQ398&lt;=(C398+T398)),AQ398,9E15),IF(AND(L398=0,ISNUMBER(AR398),AR398&lt;=(C398+T398)),AR398,9E15),IF(AND(M398=0,ISNUMBER(AS398),AS398&lt;=(C398+T398)),AS398,9E15))),"BiP",IF(AND(AND(K398=0,ISNUMBER(AQ398),AQ398&lt;=(C398+T398)),AQ398=MIN(IF(AND(J398=0,ISNUMBER(AP398),AP398&lt;=(C398+T398)),AP398,9E15),IF(AND(K398=0,ISNUMBER(AQ398),AQ398&lt;=(C398+T398)),AQ398,9E15),IF(AND(L398=0,ISNUMBER(AR398),AR398&lt;=(C398+T398)),AR398,9E15),IF(AND(M398=0,ISNUMBER(AS398),AS398&lt;=(C398+T398)),AS398,9E15))),"PV",IF(AND(AND(L398=0,ISNUMBER(AR398),AR398&lt;=(C398+T398)),AR398=MIN(IF(AND(J398=0,ISNUMBER(AP398),AP398&lt;=(C398+T398)),AP398,9E15),IF(AND(K398=0,ISNUMBER(AQ398),AQ398&lt;=(C398+T398)),AQ398,9E15),IF(AND(L398=0,ISNUMBER(AR398),AR398&lt;=(C398+T398)),AR398,9E15),IF(AND(M398=0,ISNUMBER(AS398),AS398&lt;=(C398+T398)),AS398,9E15))),"OC","MG"))),IF(AX398=TRUE,"",IF(MAX(IF(AND(NOT(AND(AU398=1,AT398&lt;&gt;1)),ISNUMBER(AK398),AK398&lt;=(C398+T398)),AY398,0),IF(AND(NOT(AND(AU398=1,AT398&lt;&gt;1)),ISNUMBER(AL398),AL398&lt;=(C398+T398)),AZ398,0),IF(AND(NOT(AND(AU398=1,AT398&lt;&gt;1)),ISNUMBER(AM398),AM398&lt;=(C398+T398)),BA398,0),IF(AND(NOT(AND(AU398=1,AT398&lt;&gt;1)),ISNUMBER(AN398),AN398&lt;=(C398+T398)),BB398,0),IF(AND(ISNUMBER(AO398),AO398&lt;=(C398+T398)),BC398,0))&lt;=0,"",IF(AND(IF(AND(NOT(AND(AU398=1,AT398&lt;&gt;1)),ISNUMBER(AK398),AK398&lt;=(C398+T398)),AY398,0)&gt;0,IF(AND(NOT(AND(AU398=1,AT398&lt;&gt;1)),ISNUMBER(AK398),AK398&lt;=(C398+T398)),AY398,0)=MAX(IF(AND(NOT(AND(AU398=1,AT398&lt;&gt;1)),ISNUMBER(AK398),AK398&lt;=(C398+T398)),AY398,0),IF(AND(NOT(AND(AU398=1,AT398&lt;&gt;1)),ISNUMBER(AL398),AL398&lt;=(C398+T398)),AZ398,0),IF(AND(NOT(AND(AU398=1,AT398&lt;&gt;1)),ISNUMBER(AM398),AM398&lt;=(C398+T398)),BA398,0),IF(AND(NOT(AND(AU398=1,AT398&lt;&gt;1)),ISNUMBER(AN398),AN398&lt;=(C398+T398)),BB398,0),IF(AND(ISNUMBER(AO398),AO398&lt;=(C398+T398)),BC398,0))),"SK",IF(AND(IF(AND(NOT(AND(AU398=1,AT398&lt;&gt;1)),ISNUMBER(AL398),AL398&lt;=(C398+T398)),AZ398,0)&gt;0,IF(AND(NOT(AND(AU398=1,AT398&lt;&gt;1)),ISNUMBER(AL398),AL398&lt;=(C398+T398)),AZ398,0)=MAX(IF(AND(NOT(AND(AU398=1,AT398&lt;&gt;1)),ISNUMBER(AK398),AK398&lt;=(C398+T398)),AY398,0),IF(AND(NOT(AND(AU398=1,AT398&lt;&gt;1)),ISNUMBER(AL398),AL398&lt;=(C398+T398)),AZ398,0),IF(AND(NOT(AND(AU398=1,AT398&lt;&gt;1)),ISNUMBER(AM398),AM398&lt;=(C398+T398)),BA398,0),IF(AND(NOT(AND(AU398=1,AT398&lt;&gt;1)),ISNUMBER(AN398),AN398&lt;=(C398+T398)),BB398,0),IF(AND(ISNUMBER(AO398),AO398&lt;=(C398+T398)),BC398,0))),"LB",IF(AND(IF(AND(NOT(AND(AU398=1,AT398&lt;&gt;1)),ISNUMBER(AM398),AM398&lt;=(C398+T398)),BA398,0)&gt;0,IF(AND(NOT(AND(AU398=1,AT398&lt;&gt;1)),ISNUMBER(AM398),AM398&lt;=(C398+T398)),BA398,0)=MAX(IF(AND(NOT(AND(AU398=1,AT398&lt;&gt;1)),ISNUMBER(AK398),AK398&lt;=(C398+T398)),AY398,0),IF(AND(NOT(AND(AU398=1,AT398&lt;&gt;1)),ISNUMBER(AL398),AL398&lt;=(C398+T398)),AZ398,0),IF(AND(NOT(AND(AU398=1,AT398&lt;&gt;1)),ISNUMBER(AM398),AM398&lt;=(C398+T398)),BA398,0),IF(AND(NOT(AND(AU398=1,AT398&lt;&gt;1)),ISNUMBER(AN398),AN398&lt;=(C398+T398)),BB398,0),IF(AND(ISNUMBER(AO398),AO398&lt;=(C398+T398)),BC398,0))),"ML",IF(AND(IF(AND(NOT(AND(AU398=1,AT398&lt;&gt;1)),ISNUMBER(AN398),AN398&lt;=(C398+T398)),BB398,0)&gt;0,IF(AND(NOT(AND(AU398=1,AT398&lt;&gt;1)),ISNUMBER(AN398),AN398&lt;=(C398+T398)),BB398,0)=MAX(IF(AND(NOT(AND(AU398=1,AT398&lt;&gt;1)),ISNUMBER(AK398),AK398&lt;=(C398+T398)),AY398,0),IF(AND(NOT(AND(AU398=1,AT398&lt;&gt;1)),ISNUMBER(AL398),AL398&lt;=(C398+T398)),AZ398,0),IF(AND(NOT(AND(AU398=1,AT398&lt;&gt;1)),ISNUMBER(AM398),AM398&lt;=(C398+T398)),BA398,0),IF(AND(NOT(AND(AU398=1,AT398&lt;&gt;1)),ISNUMBER(AN398),AN398&lt;=(C398+T398)),BB398,0),IF(AND(ISNUMBER(AO398),AO398&lt;=(C398+T398)),BC398,0))),"RLO","BD"))))))))</f>
        <v/>
      </c>
    </row>
    <row r="399">
      <c r="A399" s="26" t="n">
        <v>388</v>
      </c>
      <c r="B399" s="27">
        <f>A399*10/60</f>
        <v/>
      </c>
      <c r="C399" s="22">
        <f>X398</f>
        <v/>
      </c>
      <c r="D399" s="27">
        <f>D398+W398</f>
        <v/>
      </c>
      <c r="E399" s="26">
        <f>E398+IF(U398="SK",1,0)</f>
        <v/>
      </c>
      <c r="F399" s="26">
        <f>F398+IF(U398="LB",1,0)</f>
        <v/>
      </c>
      <c r="G399" s="26">
        <f>G398+IF(U398="ML",1,0)</f>
        <v/>
      </c>
      <c r="H399" s="26">
        <f>H398+IF(U398="RLO",1,0)</f>
        <v/>
      </c>
      <c r="I399" s="26">
        <f>I398+IF(U398="BD",1,0)</f>
        <v/>
      </c>
      <c r="J399" s="26">
        <f>MAX(J398,IF(U398="BiP",1,0))</f>
        <v/>
      </c>
      <c r="K399" s="26">
        <f>MAX(K398,IF(U398="PV",1,0))</f>
        <v/>
      </c>
      <c r="L399" s="26">
        <f>MAX(L398,IF(U398="OC",1,0))</f>
        <v/>
      </c>
      <c r="M399" s="26">
        <f>MAX(M398,IF(U398="MG",1,0))</f>
        <v/>
      </c>
      <c r="N399" s="26">
        <f>MAX(N398,IF(U398="transition",1,0))</f>
        <v/>
      </c>
      <c r="O399" s="28">
        <f>(Parameters!$B$9+(IF(E399=0,0,(Upgrades!$J$13+E399*Upgrades!$K$13)*POWER(Upgrades!$L$13,E399)))*(IF(Upgrades!$T$14="Stellar Kinematics",POWER(Upgrades!$U$14,F399),1)*IF(Upgrades!$T$15="Stellar Kinematics",POWER(Upgrades!$U$15,G399),1)*IF(Upgrades!$T$16="Stellar Kinematics",POWER(Upgrades!$U$16,H399),1)*IF(Upgrades!$T$17="Stellar Kinematics",POWER(Upgrades!$U$17,I399),1)*IF(Upgrades!$T$18="Stellar Kinematics",POWER(Upgrades!$U$18,J399),1)*IF(Upgrades!$T$19="Stellar Kinematics",POWER(Upgrades!$U$19,K399),1)*IF(Upgrades!$T$20="Stellar Kinematics",POWER(Upgrades!$U$20,L399),1)*IF(Upgrades!$T$21="Stellar Kinematics",POWER(Upgrades!$U$21,M399),1))+(IF(F399=0,0,(Upgrades!$J$14+F399*Upgrades!$K$14)*POWER(Upgrades!$L$14,F399)))*(IF(Upgrades!$T$13="Local Bubble",POWER(Upgrades!$U$13,E399),1)*IF(Upgrades!$T$15="Local Bubble",POWER(Upgrades!$U$15,G399),1)*IF(Upgrades!$T$16="Local Bubble",POWER(Upgrades!$U$16,H399),1)*IF(Upgrades!$T$17="Local Bubble",POWER(Upgrades!$U$17,I399),1)*IF(Upgrades!$T$18="Local Bubble",POWER(Upgrades!$U$18,J399),1)*IF(Upgrades!$T$19="Local Bubble",POWER(Upgrades!$U$19,K399),1)*IF(Upgrades!$T$20="Local Bubble",POWER(Upgrades!$U$20,L399),1)*IF(Upgrades!$T$21="Local Bubble",POWER(Upgrades!$U$21,M399),1))+(IF(G399=0,0,(Upgrades!$J$15+G399*Upgrades!$K$15)*POWER(Upgrades!$L$15,G399)))*(IF(Upgrades!$T$13="Microlensing",POWER(Upgrades!$U$13,E399),1)*IF(Upgrades!$T$14="Microlensing",POWER(Upgrades!$U$14,F399),1)*IF(Upgrades!$T$16="Microlensing",POWER(Upgrades!$U$16,H399),1)*IF(Upgrades!$T$17="Microlensing",POWER(Upgrades!$U$17,I399),1)*IF(Upgrades!$T$18="Microlensing",POWER(Upgrades!$U$18,J399),1)*IF(Upgrades!$T$19="Microlensing",POWER(Upgrades!$U$19,K399),1)*IF(Upgrades!$T$20="Microlensing",POWER(Upgrades!$U$20,L399),1)*IF(Upgrades!$T$21="Microlensing",POWER(Upgrades!$U$21,M399),1))+(IF(H399=0,0,(Upgrades!$J$16+H399*Upgrades!$K$16)*POWER(Upgrades!$L$16,H399)))*(IF(Upgrades!$T$13="Roche Lobe Overflow",POWER(Upgrades!$U$13,E399),1)*IF(Upgrades!$T$14="Roche Lobe Overflow",POWER(Upgrades!$U$14,F399),1)*IF(Upgrades!$T$15="Roche Lobe Overflow",POWER(Upgrades!$U$15,G399),1)*IF(Upgrades!$T$17="Roche Lobe Overflow",POWER(Upgrades!$U$17,I399),1)*IF(Upgrades!$T$18="Roche Lobe Overflow",POWER(Upgrades!$U$18,J399),1)*IF(Upgrades!$T$19="Roche Lobe Overflow",POWER(Upgrades!$U$19,K399),1)*IF(Upgrades!$T$20="Roche Lobe Overflow",POWER(Upgrades!$U$20,L399),1)*IF(Upgrades!$T$21="Roche Lobe Overflow",POWER(Upgrades!$U$21,M399),1))+(IF(I399=0,0,(Upgrades!$J$17+I399*Upgrades!$K$17)*POWER(Upgrades!$L$17,I399)))*(IF(Upgrades!$T$13="Brown Dwarf",POWER(Upgrades!$U$13,E399),1)*IF(Upgrades!$T$14="Brown Dwarf",POWER(Upgrades!$U$14,F399),1)*IF(Upgrades!$T$15="Brown Dwarf",POWER(Upgrades!$U$15,G399),1)*IF(Upgrades!$T$16="Brown Dwarf",POWER(Upgrades!$U$16,H399),1)*IF(Upgrades!$T$18="Brown Dwarf",POWER(Upgrades!$U$18,J399),1)*IF(Upgrades!$T$19="Brown Dwarf",POWER(Upgrades!$U$19,K399),1)*IF(Upgrades!$T$20="Brown Dwarf",POWER(Upgrades!$U$20,L399),1)*IF(Upgrades!$T$21="Brown Dwarf",POWER(Upgrades!$U$21,M399),1))+(IF(J399=0,0,(Upgrades!$J$18+J399*Upgrades!$K$18)*POWER(Upgrades!$L$18,J399)))*(IF(Upgrades!$T$13="Binary Partner",POWER(Upgrades!$U$13,E399),1)*IF(Upgrades!$T$14="Binary Partner",POWER(Upgrades!$U$14,F399),1)*IF(Upgrades!$T$15="Binary Partner",POWER(Upgrades!$U$15,G399),1)*IF(Upgrades!$T$16="Binary Partner",POWER(Upgrades!$U$16,H399),1)*IF(Upgrades!$T$17="Binary Partner",POWER(Upgrades!$U$17,I399),1)*IF(Upgrades!$T$19="Binary Partner",POWER(Upgrades!$U$19,K399),1)*IF(Upgrades!$T$20="Binary Partner",POWER(Upgrades!$U$20,L399),1)*IF(Upgrades!$T$21="Binary Partner",POWER(Upgrades!$U$21,M399),1))+(IF(K399=0,0,(Upgrades!$J$19+K399*Upgrades!$K$19)*POWER(Upgrades!$L$19,K399)))*(IF(Upgrades!$T$13="Peculiar Velocity",POWER(Upgrades!$U$13,E399),1)*IF(Upgrades!$T$14="Peculiar Velocity",POWER(Upgrades!$U$14,F399),1)*IF(Upgrades!$T$15="Peculiar Velocity",POWER(Upgrades!$U$15,G399),1)*IF(Upgrades!$T$16="Peculiar Velocity",POWER(Upgrades!$U$16,H399),1)*IF(Upgrades!$T$17="Peculiar Velocity",POWER(Upgrades!$U$17,I399),1)*IF(Upgrades!$T$18="Peculiar Velocity",POWER(Upgrades!$U$18,J399),1)*IF(Upgrades!$T$20="Peculiar Velocity",POWER(Upgrades!$U$20,L399),1)*IF(Upgrades!$T$21="Peculiar Velocity",POWER(Upgrades!$U$21,M399),1))+(IF(L399=0,0,(Upgrades!$J$20+L399*Upgrades!$K$20)*POWER(Upgrades!$L$20,L399)))*(IF(Upgrades!$T$13="Open Cluster",POWER(Upgrades!$U$13,E399),1)*IF(Upgrades!$T$14="Open Cluster",POWER(Upgrades!$U$14,F399),1)*IF(Upgrades!$T$15="Open Cluster",POWER(Upgrades!$U$15,G399),1)*IF(Upgrades!$T$16="Open Cluster",POWER(Upgrades!$U$16,H399),1)*IF(Upgrades!$T$17="Open Cluster",POWER(Upgrades!$U$17,I399),1)*IF(Upgrades!$T$18="Open Cluster",POWER(Upgrades!$U$18,J399),1)*IF(Upgrades!$T$19="Open Cluster",POWER(Upgrades!$U$19,K399),1)*IF(Upgrades!$T$21="Open Cluster",POWER(Upgrades!$U$21,M399),1))+(IF(M399=0,0,(Upgrades!$J$21+M399*Upgrades!$K$21)*POWER(Upgrades!$L$21,M399)))*(IF(Upgrades!$T$13="Moving Group",POWER(Upgrades!$U$13,E399),1)*IF(Upgrades!$T$14="Moving Group",POWER(Upgrades!$U$14,F399),1)*IF(Upgrades!$T$15="Moving Group",POWER(Upgrades!$U$15,G399),1)*IF(Upgrades!$T$16="Moving Group",POWER(Upgrades!$U$16,H399),1)*IF(Upgrades!$T$17="Moving Group",POWER(Upgrades!$U$17,I399),1)*IF(Upgrades!$T$18="Moving Group",POWER(Upgrades!$U$18,J399),1)*IF(Upgrades!$T$19="Moving Group",POWER(Upgrades!$U$19,K399),1)*IF(Upgrades!$T$20="Moving Group",POWER(Upgrades!$U$20,L399),1)))*POWER(Upgrades!$Q$13,E399)*POWER(Upgrades!$Q$14,F399)*POWER(Upgrades!$Q$15,G399)*POWER(Upgrades!$Q$16,H399)*POWER(Upgrades!$Q$17,I399)*POWER(Upgrades!$Q$18,J399)*POWER(Upgrades!$Q$19,K399)*POWER(Upgrades!$Q$20,L399)*POWER(Upgrades!$Q$21,M399)*$G$6+$D$6</f>
        <v/>
      </c>
      <c r="P399" s="28">
        <f>((IF(E399=0,0,(Upgrades!$G$13+E399*Upgrades!$H$13)*POWER(Upgrades!$I$13,E399)))*(IF(Upgrades!$T$14="Stellar Kinematics",POWER(Upgrades!$U$14,F399),1)*IF(Upgrades!$T$15="Stellar Kinematics",POWER(Upgrades!$U$15,G399),1)*IF(Upgrades!$T$16="Stellar Kinematics",POWER(Upgrades!$U$16,H399),1)*IF(Upgrades!$T$17="Stellar Kinematics",POWER(Upgrades!$U$17,I399),1)*IF(Upgrades!$T$18="Stellar Kinematics",POWER(Upgrades!$U$18,J399),1)*IF(Upgrades!$T$19="Stellar Kinematics",POWER(Upgrades!$U$19,K399),1)*IF(Upgrades!$T$20="Stellar Kinematics",POWER(Upgrades!$U$20,L399),1)*IF(Upgrades!$T$21="Stellar Kinematics",POWER(Upgrades!$U$21,M399),1))+(IF(F399=0,0,(Upgrades!$G$14+F399*Upgrades!$H$14)*POWER(Upgrades!$I$14,F399)))*(IF(Upgrades!$T$13="Local Bubble",POWER(Upgrades!$U$13,E399),1)*IF(Upgrades!$T$15="Local Bubble",POWER(Upgrades!$U$15,G399),1)*IF(Upgrades!$T$16="Local Bubble",POWER(Upgrades!$U$16,H399),1)*IF(Upgrades!$T$17="Local Bubble",POWER(Upgrades!$U$17,I399),1)*IF(Upgrades!$T$18="Local Bubble",POWER(Upgrades!$U$18,J399),1)*IF(Upgrades!$T$19="Local Bubble",POWER(Upgrades!$U$19,K399),1)*IF(Upgrades!$T$20="Local Bubble",POWER(Upgrades!$U$20,L399),1)*IF(Upgrades!$T$21="Local Bubble",POWER(Upgrades!$U$21,M399),1))+(IF(G399=0,0,(Upgrades!$G$15+G399*Upgrades!$H$15)*POWER(Upgrades!$I$15,G399)))*(IF(Upgrades!$T$13="Microlensing",POWER(Upgrades!$U$13,E399),1)*IF(Upgrades!$T$14="Microlensing",POWER(Upgrades!$U$14,F399),1)*IF(Upgrades!$T$16="Microlensing",POWER(Upgrades!$U$16,H399),1)*IF(Upgrades!$T$17="Microlensing",POWER(Upgrades!$U$17,I399),1)*IF(Upgrades!$T$18="Microlensing",POWER(Upgrades!$U$18,J399),1)*IF(Upgrades!$T$19="Microlensing",POWER(Upgrades!$U$19,K399),1)*IF(Upgrades!$T$20="Microlensing",POWER(Upgrades!$U$20,L399),1)*IF(Upgrades!$T$21="Microlensing",POWER(Upgrades!$U$21,M399),1))+(IF(H399=0,0,(Upgrades!$G$16+H399*Upgrades!$H$16)*POWER(Upgrades!$I$16,H399)))*(IF(Upgrades!$T$13="Roche Lobe Overflow",POWER(Upgrades!$U$13,E399),1)*IF(Upgrades!$T$14="Roche Lobe Overflow",POWER(Upgrades!$U$14,F399),1)*IF(Upgrades!$T$15="Roche Lobe Overflow",POWER(Upgrades!$U$15,G399),1)*IF(Upgrades!$T$17="Roche Lobe Overflow",POWER(Upgrades!$U$17,I399),1)*IF(Upgrades!$T$18="Roche Lobe Overflow",POWER(Upgrades!$U$18,J399),1)*IF(Upgrades!$T$19="Roche Lobe Overflow",POWER(Upgrades!$U$19,K399),1)*IF(Upgrades!$T$20="Roche Lobe Overflow",POWER(Upgrades!$U$20,L399),1)*IF(Upgrades!$T$21="Roche Lobe Overflow",POWER(Upgrades!$U$21,M399),1))+(IF(I399=0,0,(Upgrades!$G$17+I399*Upgrades!$H$17)*POWER(Upgrades!$I$17,I399)))*(IF(Upgrades!$T$13="Brown Dwarf",POWER(Upgrades!$U$13,E399),1)*IF(Upgrades!$T$14="Brown Dwarf",POWER(Upgrades!$U$14,F399),1)*IF(Upgrades!$T$15="Brown Dwarf",POWER(Upgrades!$U$15,G399),1)*IF(Upgrades!$T$16="Brown Dwarf",POWER(Upgrades!$U$16,H399),1)*IF(Upgrades!$T$18="Brown Dwarf",POWER(Upgrades!$U$18,J399),1)*IF(Upgrades!$T$19="Brown Dwarf",POWER(Upgrades!$U$19,K399),1)*IF(Upgrades!$T$20="Brown Dwarf",POWER(Upgrades!$U$20,L399),1)*IF(Upgrades!$T$21="Brown Dwarf",POWER(Upgrades!$U$21,M399),1))+(IF(J399=0,0,(Upgrades!$G$18+J399*Upgrades!$H$18)*POWER(Upgrades!$I$18,J399)))*(IF(Upgrades!$T$13="Binary Partner",POWER(Upgrades!$U$13,E399),1)*IF(Upgrades!$T$14="Binary Partner",POWER(Upgrades!$U$14,F399),1)*IF(Upgrades!$T$15="Binary Partner",POWER(Upgrades!$U$15,G399),1)*IF(Upgrades!$T$16="Binary Partner",POWER(Upgrades!$U$16,H399),1)*IF(Upgrades!$T$17="Binary Partner",POWER(Upgrades!$U$17,I399),1)*IF(Upgrades!$T$19="Binary Partner",POWER(Upgrades!$U$19,K399),1)*IF(Upgrades!$T$20="Binary Partner",POWER(Upgrades!$U$20,L399),1)*IF(Upgrades!$T$21="Binary Partner",POWER(Upgrades!$U$21,M399),1))+(IF(K399=0,0,(Upgrades!$G$19+K399*Upgrades!$H$19)*POWER(Upgrades!$I$19,K399)))*(IF(Upgrades!$T$13="Peculiar Velocity",POWER(Upgrades!$U$13,E399),1)*IF(Upgrades!$T$14="Peculiar Velocity",POWER(Upgrades!$U$14,F399),1)*IF(Upgrades!$T$15="Peculiar Velocity",POWER(Upgrades!$U$15,G399),1)*IF(Upgrades!$T$16="Peculiar Velocity",POWER(Upgrades!$U$16,H399),1)*IF(Upgrades!$T$17="Peculiar Velocity",POWER(Upgrades!$U$17,I399),1)*IF(Upgrades!$T$18="Peculiar Velocity",POWER(Upgrades!$U$18,J399),1)*IF(Upgrades!$T$20="Peculiar Velocity",POWER(Upgrades!$U$20,L399),1)*IF(Upgrades!$T$21="Peculiar Velocity",POWER(Upgrades!$U$21,M399),1))+(IF(L399=0,0,(Upgrades!$G$20+L399*Upgrades!$H$20)*POWER(Upgrades!$I$20,L399)))*(IF(Upgrades!$T$13="Open Cluster",POWER(Upgrades!$U$13,E399),1)*IF(Upgrades!$T$14="Open Cluster",POWER(Upgrades!$U$14,F399),1)*IF(Upgrades!$T$15="Open Cluster",POWER(Upgrades!$U$15,G399),1)*IF(Upgrades!$T$16="Open Cluster",POWER(Upgrades!$U$16,H399),1)*IF(Upgrades!$T$17="Open Cluster",POWER(Upgrades!$U$17,I399),1)*IF(Upgrades!$T$18="Open Cluster",POWER(Upgrades!$U$18,J399),1)*IF(Upgrades!$T$19="Open Cluster",POWER(Upgrades!$U$19,K399),1)*IF(Upgrades!$T$21="Open Cluster",POWER(Upgrades!$U$21,M399),1))+(IF(M399=0,0,(Upgrades!$G$21+M399*Upgrades!$H$21)*POWER(Upgrades!$I$21,M399)))*(IF(Upgrades!$T$13="Moving Group",POWER(Upgrades!$U$13,E399),1)*IF(Upgrades!$T$14="Moving Group",POWER(Upgrades!$U$14,F399),1)*IF(Upgrades!$T$15="Moving Group",POWER(Upgrades!$U$15,G399),1)*IF(Upgrades!$T$16="Moving Group",POWER(Upgrades!$U$16,H399),1)*IF(Upgrades!$T$17="Moving Group",POWER(Upgrades!$U$17,I399),1)*IF(Upgrades!$T$18="Moving Group",POWER(Upgrades!$U$18,J399),1)*IF(Upgrades!$T$19="Moving Group",POWER(Upgrades!$U$19,K399),1)*IF(Upgrades!$T$20="Moving Group",POWER(Upgrades!$U$20,L399),1)))*POWER(Upgrades!$P$13,E399)*POWER(Upgrades!$P$14,F399)*POWER(Upgrades!$P$15,G399)*POWER(Upgrades!$P$16,H399)*POWER(Upgrades!$P$17,I399)*POWER(Upgrades!$P$18,J399)*POWER(Upgrades!$P$19,K399)*POWER(Upgrades!$P$20,L399)*POWER(Upgrades!$P$21,M399)*$F$6+$C$6</f>
        <v/>
      </c>
      <c r="Q399" s="28">
        <f>((IF(E399=0,0,(Upgrades!$M$13+E399*Upgrades!$N$13)*POWER(Upgrades!$O$13,E399)))*(IF(Upgrades!$T$14="Stellar Kinematics",POWER(Upgrades!$U$14,F399),1)*IF(Upgrades!$T$15="Stellar Kinematics",POWER(Upgrades!$U$15,G399),1)*IF(Upgrades!$T$16="Stellar Kinematics",POWER(Upgrades!$U$16,H399),1)*IF(Upgrades!$T$17="Stellar Kinematics",POWER(Upgrades!$U$17,I399),1)*IF(Upgrades!$T$18="Stellar Kinematics",POWER(Upgrades!$U$18,J399),1)*IF(Upgrades!$T$19="Stellar Kinematics",POWER(Upgrades!$U$19,K399),1)*IF(Upgrades!$T$20="Stellar Kinematics",POWER(Upgrades!$U$20,L399),1)*IF(Upgrades!$T$21="Stellar Kinematics",POWER(Upgrades!$U$21,M399),1))+(IF(F399=0,0,(Upgrades!$M$14+F399*Upgrades!$N$14)*POWER(Upgrades!$O$14,F399)))*(IF(Upgrades!$T$13="Local Bubble",POWER(Upgrades!$U$13,E399),1)*IF(Upgrades!$T$15="Local Bubble",POWER(Upgrades!$U$15,G399),1)*IF(Upgrades!$T$16="Local Bubble",POWER(Upgrades!$U$16,H399),1)*IF(Upgrades!$T$17="Local Bubble",POWER(Upgrades!$U$17,I399),1)*IF(Upgrades!$T$18="Local Bubble",POWER(Upgrades!$U$18,J399),1)*IF(Upgrades!$T$19="Local Bubble",POWER(Upgrades!$U$19,K399),1)*IF(Upgrades!$T$20="Local Bubble",POWER(Upgrades!$U$20,L399),1)*IF(Upgrades!$T$21="Local Bubble",POWER(Upgrades!$U$21,M399),1))+(IF(G399=0,0,(Upgrades!$M$15+G399*Upgrades!$N$15)*POWER(Upgrades!$O$15,G399)))*(IF(Upgrades!$T$13="Microlensing",POWER(Upgrades!$U$13,E399),1)*IF(Upgrades!$T$14="Microlensing",POWER(Upgrades!$U$14,F399),1)*IF(Upgrades!$T$16="Microlensing",POWER(Upgrades!$U$16,H399),1)*IF(Upgrades!$T$17="Microlensing",POWER(Upgrades!$U$17,I399),1)*IF(Upgrades!$T$18="Microlensing",POWER(Upgrades!$U$18,J399),1)*IF(Upgrades!$T$19="Microlensing",POWER(Upgrades!$U$19,K399),1)*IF(Upgrades!$T$20="Microlensing",POWER(Upgrades!$U$20,L399),1)*IF(Upgrades!$T$21="Microlensing",POWER(Upgrades!$U$21,M399),1))+(IF(H399=0,0,(Upgrades!$M$16+H399*Upgrades!$N$16)*POWER(Upgrades!$O$16,H399)))*(IF(Upgrades!$T$13="Roche Lobe Overflow",POWER(Upgrades!$U$13,E399),1)*IF(Upgrades!$T$14="Roche Lobe Overflow",POWER(Upgrades!$U$14,F399),1)*IF(Upgrades!$T$15="Roche Lobe Overflow",POWER(Upgrades!$U$15,G399),1)*IF(Upgrades!$T$17="Roche Lobe Overflow",POWER(Upgrades!$U$17,I399),1)*IF(Upgrades!$T$18="Roche Lobe Overflow",POWER(Upgrades!$U$18,J399),1)*IF(Upgrades!$T$19="Roche Lobe Overflow",POWER(Upgrades!$U$19,K399),1)*IF(Upgrades!$T$20="Roche Lobe Overflow",POWER(Upgrades!$U$20,L399),1)*IF(Upgrades!$T$21="Roche Lobe Overflow",POWER(Upgrades!$U$21,M399),1))+(IF(I399=0,0,(Upgrades!$M$17+I399*Upgrades!$N$17)*POWER(Upgrades!$O$17,I399)))*(IF(Upgrades!$T$13="Brown Dwarf",POWER(Upgrades!$U$13,E399),1)*IF(Upgrades!$T$14="Brown Dwarf",POWER(Upgrades!$U$14,F399),1)*IF(Upgrades!$T$15="Brown Dwarf",POWER(Upgrades!$U$15,G399),1)*IF(Upgrades!$T$16="Brown Dwarf",POWER(Upgrades!$U$16,H399),1)*IF(Upgrades!$T$18="Brown Dwarf",POWER(Upgrades!$U$18,J399),1)*IF(Upgrades!$T$19="Brown Dwarf",POWER(Upgrades!$U$19,K399),1)*IF(Upgrades!$T$20="Brown Dwarf",POWER(Upgrades!$U$20,L399),1)*IF(Upgrades!$T$21="Brown Dwarf",POWER(Upgrades!$U$21,M399),1))+(IF(J399=0,0,(Upgrades!$M$18+J399*Upgrades!$N$18)*POWER(Upgrades!$O$18,J399)))*(IF(Upgrades!$T$13="Binary Partner",POWER(Upgrades!$U$13,E399),1)*IF(Upgrades!$T$14="Binary Partner",POWER(Upgrades!$U$14,F399),1)*IF(Upgrades!$T$15="Binary Partner",POWER(Upgrades!$U$15,G399),1)*IF(Upgrades!$T$16="Binary Partner",POWER(Upgrades!$U$16,H399),1)*IF(Upgrades!$T$17="Binary Partner",POWER(Upgrades!$U$17,I399),1)*IF(Upgrades!$T$19="Binary Partner",POWER(Upgrades!$U$19,K399),1)*IF(Upgrades!$T$20="Binary Partner",POWER(Upgrades!$U$20,L399),1)*IF(Upgrades!$T$21="Binary Partner",POWER(Upgrades!$U$21,M399),1))+(IF(K399=0,0,(Upgrades!$M$19+K399*Upgrades!$N$19)*POWER(Upgrades!$O$19,K399)))*(IF(Upgrades!$T$13="Peculiar Velocity",POWER(Upgrades!$U$13,E399),1)*IF(Upgrades!$T$14="Peculiar Velocity",POWER(Upgrades!$U$14,F399),1)*IF(Upgrades!$T$15="Peculiar Velocity",POWER(Upgrades!$U$15,G399),1)*IF(Upgrades!$T$16="Peculiar Velocity",POWER(Upgrades!$U$16,H399),1)*IF(Upgrades!$T$17="Peculiar Velocity",POWER(Upgrades!$U$17,I399),1)*IF(Upgrades!$T$18="Peculiar Velocity",POWER(Upgrades!$U$18,J399),1)*IF(Upgrades!$T$20="Peculiar Velocity",POWER(Upgrades!$U$20,L399),1)*IF(Upgrades!$T$21="Peculiar Velocity",POWER(Upgrades!$U$21,M399),1))+(IF(L399=0,0,(Upgrades!$M$20+L399*Upgrades!$N$20)*POWER(Upgrades!$O$20,L399)))*(IF(Upgrades!$T$13="Open Cluster",POWER(Upgrades!$U$13,E399),1)*IF(Upgrades!$T$14="Open Cluster",POWER(Upgrades!$U$14,F399),1)*IF(Upgrades!$T$15="Open Cluster",POWER(Upgrades!$U$15,G399),1)*IF(Upgrades!$T$16="Open Cluster",POWER(Upgrades!$U$16,H399),1)*IF(Upgrades!$T$17="Open Cluster",POWER(Upgrades!$U$17,I399),1)*IF(Upgrades!$T$18="Open Cluster",POWER(Upgrades!$U$18,J399),1)*IF(Upgrades!$T$19="Open Cluster",POWER(Upgrades!$U$19,K399),1)*IF(Upgrades!$T$21="Open Cluster",POWER(Upgrades!$U$21,M399),1))+(IF(M399=0,0,(Upgrades!$M$21+M399*Upgrades!$N$21)*POWER(Upgrades!$O$21,M399)))*(IF(Upgrades!$T$13="Moving Group",POWER(Upgrades!$U$13,E399),1)*IF(Upgrades!$T$14="Moving Group",POWER(Upgrades!$U$14,F399),1)*IF(Upgrades!$T$15="Moving Group",POWER(Upgrades!$U$15,G399),1)*IF(Upgrades!$T$16="Moving Group",POWER(Upgrades!$U$16,H399),1)*IF(Upgrades!$T$17="Moving Group",POWER(Upgrades!$U$17,I399),1)*IF(Upgrades!$T$18="Moving Group",POWER(Upgrades!$U$18,J399),1)*IF(Upgrades!$T$19="Moving Group",POWER(Upgrades!$U$19,K399),1)*IF(Upgrades!$T$20="Moving Group",POWER(Upgrades!$U$20,L399),1)))*POWER(Upgrades!$R$13,E399)*POWER(Upgrades!$R$14,F399)*POWER(Upgrades!$R$15,G399)*POWER(Upgrades!$R$16,H399)*POWER(Upgrades!$R$17,I399)*POWER(Upgrades!$R$18,J399)*POWER(Upgrades!$R$19,K399)*POWER(Upgrades!$R$20,L399)*POWER(Upgrades!$R$21,M399)*$H$6+$E$6</f>
        <v/>
      </c>
      <c r="R399" s="27">
        <f>IF(N399=1,0,O399*Parameters!$B$10/60*Parameters!$B$11*10)</f>
        <v/>
      </c>
      <c r="S399" s="27">
        <f>IF(N399=1,0,Q399*O399*10)</f>
        <v/>
      </c>
      <c r="T399" s="27">
        <f>IF(N399=1,0,R399+S399+P399*10)</f>
        <v/>
      </c>
      <c r="U399" s="33">
        <f>BE399</f>
        <v/>
      </c>
      <c r="V399" s="22">
        <f>IF(U399="",0,IF(U399="transition",0,IF(U399="SK",AK399,IF(U399="LB",AL399,IF(U399="ML",AM399,IF(U399="RLO",AN399,IF(U399="BD",AO399,IF(U399="BiP",AP399,IF(U399="PV",AQ399,IF(U399="OC",AR399,IF(U399="MG",AS399,0))))))))))</f>
        <v/>
      </c>
      <c r="W399" s="27">
        <f>IF(U399="BiP",Upgrades!$F$18,IF(U399="PV",Upgrades!$F$19,IF(U399="OC",Upgrades!$F$20,IF(U399="MG",Upgrades!$F$21,IF(U399="transition",-Parameters!$B$18*Parameters!$B$19,0)))))</f>
        <v/>
      </c>
      <c r="X399" s="22">
        <f>C399+T399-V399</f>
        <v/>
      </c>
      <c r="Y399" s="30">
        <f>O399*Parameters!$B$10/60*Parameters!$B$11+Q399*O399+P399</f>
        <v/>
      </c>
      <c r="Z399" s="34">
        <f>IF(U399="transition","→ Tier 3 (Galactic Arm)",IF(U399="MG","Moving Group — pocket drifts together",IF(U399="OC","Open Cluster acquired",IF(U399="PV","Peculiar Velocity — passive multiplier active",IF(U399="BiP","Binary Partner — pair bond formed",IF(AND(AU399=1,N399=0,AT399&lt;&gt;1),"Cohesion ready (waiting on completionists)","")))))) </f>
        <v/>
      </c>
      <c r="AA399" s="27">
        <f>(IF(E399=0,0,(Upgrades!$G$13+E399*Upgrades!$H$13)*POWER(Upgrades!$I$13,E399)))*(IF(Upgrades!$T$14="Stellar Kinematics",POWER(Upgrades!$U$14,F399),1)*IF(Upgrades!$T$15="Stellar Kinematics",POWER(Upgrades!$U$15,G399),1)*IF(Upgrades!$T$16="Stellar Kinematics",POWER(Upgrades!$U$16,H399),1)*IF(Upgrades!$T$17="Stellar Kinematics",POWER(Upgrades!$U$17,I399),1)*IF(Upgrades!$T$18="Stellar Kinematics",POWER(Upgrades!$U$18,J399),1)*IF(Upgrades!$T$19="Stellar Kinematics",POWER(Upgrades!$U$19,K399),1)*IF(Upgrades!$T$20="Stellar Kinematics",POWER(Upgrades!$U$20,L399),1)*IF(Upgrades!$T$21="Stellar Kinematics",POWER(Upgrades!$U$21,M399),1))*POWER(Upgrades!$P$13,E399)*POWER(Upgrades!$P$14,F399)*POWER(Upgrades!$P$15,G399)*POWER(Upgrades!$P$16,H399)*POWER(Upgrades!$P$17,I399)*POWER(Upgrades!$P$18,J399)*POWER(Upgrades!$P$19,K399)*POWER(Upgrades!$P$20,L399)*POWER(Upgrades!$P$21,M399)*$F$6*60</f>
        <v/>
      </c>
      <c r="AB399" s="27">
        <f>(IF(F399=0,0,(Upgrades!$G$14+F399*Upgrades!$H$14)*POWER(Upgrades!$I$14,F399)))*(IF(Upgrades!$T$13="Local Bubble",POWER(Upgrades!$U$13,E399),1)*IF(Upgrades!$T$15="Local Bubble",POWER(Upgrades!$U$15,G399),1)*IF(Upgrades!$T$16="Local Bubble",POWER(Upgrades!$U$16,H399),1)*IF(Upgrades!$T$17="Local Bubble",POWER(Upgrades!$U$17,I399),1)*IF(Upgrades!$T$18="Local Bubble",POWER(Upgrades!$U$18,J399),1)*IF(Upgrades!$T$19="Local Bubble",POWER(Upgrades!$U$19,K399),1)*IF(Upgrades!$T$20="Local Bubble",POWER(Upgrades!$U$20,L399),1)*IF(Upgrades!$T$21="Local Bubble",POWER(Upgrades!$U$21,M399),1))*POWER(Upgrades!$P$13,E399)*POWER(Upgrades!$P$14,F399)*POWER(Upgrades!$P$15,G399)*POWER(Upgrades!$P$16,H399)*POWER(Upgrades!$P$17,I399)*POWER(Upgrades!$P$18,J399)*POWER(Upgrades!$P$19,K399)*POWER(Upgrades!$P$20,L399)*POWER(Upgrades!$P$21,M399)*$F$6*60</f>
        <v/>
      </c>
      <c r="AC399" s="27">
        <f>(IF(G399=0,0,(Upgrades!$J$15+G399*Upgrades!$K$15)*POWER(Upgrades!$L$15,G399)))*(IF(Upgrades!$T$13="Microlensing",POWER(Upgrades!$U$13,E399),1)*IF(Upgrades!$T$14="Microlensing",POWER(Upgrades!$U$14,F399),1)*IF(Upgrades!$T$16="Microlensing",POWER(Upgrades!$U$16,H399),1)*IF(Upgrades!$T$17="Microlensing",POWER(Upgrades!$U$17,I399),1)*IF(Upgrades!$T$18="Microlensing",POWER(Upgrades!$U$18,J399),1)*IF(Upgrades!$T$19="Microlensing",POWER(Upgrades!$U$19,K399),1)*IF(Upgrades!$T$20="Microlensing",POWER(Upgrades!$U$20,L399),1)*IF(Upgrades!$T$21="Microlensing",POWER(Upgrades!$U$21,M399),1))*POWER(Upgrades!$Q$13,E399)*POWER(Upgrades!$Q$14,F399)*POWER(Upgrades!$Q$15,G399)*POWER(Upgrades!$Q$16,H399)*POWER(Upgrades!$Q$17,I399)*POWER(Upgrades!$Q$18,J399)*POWER(Upgrades!$Q$19,K399)*POWER(Upgrades!$Q$20,L399)*POWER(Upgrades!$Q$21,M399)*$G$6*(Parameters!$B$10*Parameters!$B$11+Q399*60)</f>
        <v/>
      </c>
      <c r="AD399" s="27">
        <f>(IF(H399=0,0,(Upgrades!$M$16+H399*Upgrades!$N$16)*POWER(Upgrades!$O$16,H399)))*(IF(Upgrades!$T$13="Roche Lobe Overflow",POWER(Upgrades!$U$13,E399),1)*IF(Upgrades!$T$14="Roche Lobe Overflow",POWER(Upgrades!$U$14,F399),1)*IF(Upgrades!$T$15="Roche Lobe Overflow",POWER(Upgrades!$U$15,G399),1)*IF(Upgrades!$T$17="Roche Lobe Overflow",POWER(Upgrades!$U$17,I399),1)*IF(Upgrades!$T$18="Roche Lobe Overflow",POWER(Upgrades!$U$18,J399),1)*IF(Upgrades!$T$19="Roche Lobe Overflow",POWER(Upgrades!$U$19,K399),1)*IF(Upgrades!$T$20="Roche Lobe Overflow",POWER(Upgrades!$U$20,L399),1)*IF(Upgrades!$T$21="Roche Lobe Overflow",POWER(Upgrades!$U$21,M399),1))*POWER(Upgrades!$R$13,E399)*POWER(Upgrades!$R$14,F399)*POWER(Upgrades!$R$15,G399)*POWER(Upgrades!$R$16,H399)*POWER(Upgrades!$R$17,I399)*POWER(Upgrades!$R$18,J399)*POWER(Upgrades!$R$19,K399)*POWER(Upgrades!$R$20,L399)*POWER(Upgrades!$R$21,M399)*$H$6*O399*60</f>
        <v/>
      </c>
      <c r="AE399" s="27">
        <f>(IF(I399=0,0,(Upgrades!$G$17+I399*Upgrades!$H$17)*POWER(Upgrades!$I$17,I399)))*(IF(Upgrades!$T$13="Brown Dwarf",POWER(Upgrades!$U$13,E399),1)*IF(Upgrades!$T$14="Brown Dwarf",POWER(Upgrades!$U$14,F399),1)*IF(Upgrades!$T$15="Brown Dwarf",POWER(Upgrades!$U$15,G399),1)*IF(Upgrades!$T$16="Brown Dwarf",POWER(Upgrades!$U$16,H399),1)*IF(Upgrades!$T$18="Brown Dwarf",POWER(Upgrades!$U$18,J399),1)*IF(Upgrades!$T$19="Brown Dwarf",POWER(Upgrades!$U$19,K399),1)*IF(Upgrades!$T$20="Brown Dwarf",POWER(Upgrades!$U$20,L399),1)*IF(Upgrades!$T$21="Brown Dwarf",POWER(Upgrades!$U$21,M399),1))*POWER(Upgrades!$P$13,E399)*POWER(Upgrades!$P$14,F399)*POWER(Upgrades!$P$15,G399)*POWER(Upgrades!$P$16,H399)*POWER(Upgrades!$P$17,I399)*POWER(Upgrades!$P$18,J399)*POWER(Upgrades!$P$19,K399)*POWER(Upgrades!$P$20,L399)*POWER(Upgrades!$P$21,M399)*$F$6*60</f>
        <v/>
      </c>
      <c r="AF399" s="27" t="n">
        <v>0</v>
      </c>
      <c r="AG399" s="27" t="n">
        <v>0</v>
      </c>
      <c r="AH399" s="27" t="n">
        <v>0</v>
      </c>
      <c r="AI399" s="27">
        <f>(IF(M399=0,0,(Upgrades!$G$21+M399*Upgrades!$H$21)*POWER(Upgrades!$I$21,M399)))*(IF(Upgrades!$T$13="Moving Group",POWER(Upgrades!$U$13,E399),1)*IF(Upgrades!$T$14="Moving Group",POWER(Upgrades!$U$14,F399),1)*IF(Upgrades!$T$15="Moving Group",POWER(Upgrades!$U$15,G399),1)*IF(Upgrades!$T$16="Moving Group",POWER(Upgrades!$U$16,H399),1)*IF(Upgrades!$T$17="Moving Group",POWER(Upgrades!$U$17,I399),1)*IF(Upgrades!$T$18="Moving Group",POWER(Upgrades!$U$18,J399),1)*IF(Upgrades!$T$19="Moving Group",POWER(Upgrades!$U$19,K399),1)*IF(Upgrades!$T$20="Moving Group",POWER(Upgrades!$U$20,L399),1))*POWER(Upgrades!$P$13,E399)*POWER(Upgrades!$P$14,F399)*POWER(Upgrades!$P$15,G399)*POWER(Upgrades!$P$16,H399)*POWER(Upgrades!$P$17,I399)*POWER(Upgrades!$P$18,J399)*POWER(Upgrades!$P$19,K399)*POWER(Upgrades!$P$20,L399)*POWER(Upgrades!$P$21,M399)*$F$6*60</f>
        <v/>
      </c>
      <c r="AJ399" s="27">
        <f>$C$6*60</f>
        <v/>
      </c>
      <c r="AK399" s="22">
        <f>IF(E399&gt;=Upgrades!$E$13,"",Upgrades!$C$13*POWER(Upgrades!$D$13,E399))</f>
        <v/>
      </c>
      <c r="AL399" s="22">
        <f>IF(F399&gt;=Upgrades!$E$14,"",Upgrades!$C$14*POWER(Upgrades!$D$14,F399))</f>
        <v/>
      </c>
      <c r="AM399" s="22">
        <f>IF(G399&gt;=Upgrades!$E$15,"",Upgrades!$C$15*POWER(Upgrades!$D$15,G399))</f>
        <v/>
      </c>
      <c r="AN399" s="22">
        <f>IF(H399&gt;=Upgrades!$E$16,"",Upgrades!$C$16*POWER(Upgrades!$D$16,H399))</f>
        <v/>
      </c>
      <c r="AO399" s="22">
        <f>IF(I399&gt;=Upgrades!$E$17,"",Upgrades!$C$17*POWER(Upgrades!$D$17,I399))</f>
        <v/>
      </c>
      <c r="AP399" s="22">
        <f>IF(J399&gt;=Upgrades!$E$18,"",Upgrades!$C$18*POWER(Upgrades!$D$18,J399))</f>
        <v/>
      </c>
      <c r="AQ399" s="22">
        <f>IF(K399&gt;=Upgrades!$E$19,"",Upgrades!$C$19*POWER(Upgrades!$D$19,K399))</f>
        <v/>
      </c>
      <c r="AR399" s="22">
        <f>IF(L399&gt;=Upgrades!$E$20,"",Upgrades!$C$20*POWER(Upgrades!$D$20,L399))</f>
        <v/>
      </c>
      <c r="AS399" s="22">
        <f>IF(M399&gt;=Upgrades!$E$21,"",Upgrades!$C$21*POWER(Upgrades!$D$21,M399))</f>
        <v/>
      </c>
      <c r="AT399" s="26">
        <f>IF(AND(D399&gt;=Parameters!$B$18*Parameters!$B$19,(I399&gt;=Upgrades!$E$17)*(M399&gt;=Upgrades!$E$21)=1,N399=0),1,"")</f>
        <v/>
      </c>
      <c r="AU399" s="26">
        <f>IF(AND(D399&gt;=Parameters!$B$18*Parameters!$B$19,N399=0),1,"")</f>
        <v/>
      </c>
      <c r="AV399" s="22">
        <f>MIN(IF(ISNUMBER(AP399),AP399,9E15),IF(ISNUMBER(AQ399),AQ399,9E15),IF(ISNUMBER(AR399),AR399,9E15),IF(ISNUMBER(AS399),AS399,9E15))</f>
        <v/>
      </c>
      <c r="AW399" s="22">
        <f>MIN(IF(ISNUMBER(AK399),AK399,9E15),IF(ISNUMBER(AL399),AL399,9E15),IF(ISNUMBER(AM399),AM399,9E15),IF(ISNUMBER(AN399),AN399,9E15),IF(ISNUMBER(AO399),AO399,9E15))</f>
        <v/>
      </c>
      <c r="AX399" s="29">
        <f>IF(BD399&gt;Parameters!$B$21*(MAX(IF(AND(NOT(AND(AU399=1,AT399&lt;&gt;1)),ISNUMBER(AK399),AK399&lt;=(C399+T399)),AY399,0),IF(AND(NOT(AND(AU399=1,AT399&lt;&gt;1)),ISNUMBER(AL399),AL399&lt;=(C399+T399)),AZ399,0),IF(AND(NOT(AND(AU399=1,AT399&lt;&gt;1)),ISNUMBER(AM399),AM399&lt;=(C399+T399)),BA399,0),IF(AND(NOT(AND(AU399=1,AT399&lt;&gt;1)),ISNUMBER(AN399),AN399&lt;=(C399+T399)),BB399,0),IF(AND(ISNUMBER(AO399),AO399&lt;=(C399+T399)),BC399,0))),TRUE,FALSE)</f>
        <v/>
      </c>
      <c r="AY399" s="32">
        <f>IFERROR(Upgrades!$H$13*(POWER(Upgrades!$P$13,E399)*POWER(Upgrades!$P$14,F399)*POWER(Upgrades!$P$15,G399)*POWER(Upgrades!$P$16,H399)*POWER(Upgrades!$P$17,I399)*POWER(Upgrades!$P$18,J399)*POWER(Upgrades!$P$19,K399)*POWER(Upgrades!$P$20,L399)*POWER(Upgrades!$P$21,M399))*(IF(Upgrades!$T$14="Stellar Kinematics",POWER(Upgrades!$U$14,F399),1)*IF(Upgrades!$T$15="Stellar Kinematics",POWER(Upgrades!$U$15,G399),1)*IF(Upgrades!$T$16="Stellar Kinematics",POWER(Upgrades!$U$16,H399),1)*IF(Upgrades!$T$17="Stellar Kinematics",POWER(Upgrades!$U$17,I399),1)*IF(Upgrades!$T$18="Stellar Kinematics",POWER(Upgrades!$U$18,J399),1)*IF(Upgrades!$T$19="Stellar Kinematics",POWER(Upgrades!$U$19,K399),1)*IF(Upgrades!$T$20="Stellar Kinematics",POWER(Upgrades!$U$20,L399),1)*IF(Upgrades!$T$21="Stellar Kinematics",POWER(Upgrades!$U$21,M399),1))*$F$6/AK399,0)</f>
        <v/>
      </c>
      <c r="AZ399" s="32">
        <f>IFERROR(Upgrades!$H$14*(POWER(Upgrades!$P$13,E399)*POWER(Upgrades!$P$14,F399)*POWER(Upgrades!$P$15,G399)*POWER(Upgrades!$P$16,H399)*POWER(Upgrades!$P$17,I399)*POWER(Upgrades!$P$18,J399)*POWER(Upgrades!$P$19,K399)*POWER(Upgrades!$P$20,L399)*POWER(Upgrades!$P$21,M399))*(IF(Upgrades!$T$13="Local Bubble",POWER(Upgrades!$U$13,E399),1)*IF(Upgrades!$T$15="Local Bubble",POWER(Upgrades!$U$15,G399),1)*IF(Upgrades!$T$16="Local Bubble",POWER(Upgrades!$U$16,H399),1)*IF(Upgrades!$T$17="Local Bubble",POWER(Upgrades!$U$17,I399),1)*IF(Upgrades!$T$18="Local Bubble",POWER(Upgrades!$U$18,J399),1)*IF(Upgrades!$T$19="Local Bubble",POWER(Upgrades!$U$19,K399),1)*IF(Upgrades!$T$20="Local Bubble",POWER(Upgrades!$U$20,L399),1)*IF(Upgrades!$T$21="Local Bubble",POWER(Upgrades!$U$21,M399),1))*$F$6/AL399,0)</f>
        <v/>
      </c>
      <c r="BA399" s="32">
        <f>IFERROR(Upgrades!$K$15*(POWER(Upgrades!$Q$13,E399)*POWER(Upgrades!$Q$14,F399)*POWER(Upgrades!$Q$15,G399)*POWER(Upgrades!$Q$16,H399)*POWER(Upgrades!$Q$17,I399)*POWER(Upgrades!$Q$18,J399)*POWER(Upgrades!$Q$19,K399)*POWER(Upgrades!$Q$20,L399)*POWER(Upgrades!$Q$21,M399))*(IF(Upgrades!$T$13="Microlensing",POWER(Upgrades!$U$13,E399),1)*IF(Upgrades!$T$14="Microlensing",POWER(Upgrades!$U$14,F399),1)*IF(Upgrades!$T$16="Microlensing",POWER(Upgrades!$U$16,H399),1)*IF(Upgrades!$T$17="Microlensing",POWER(Upgrades!$U$17,I399),1)*IF(Upgrades!$T$18="Microlensing",POWER(Upgrades!$U$18,J399),1)*IF(Upgrades!$T$19="Microlensing",POWER(Upgrades!$U$19,K399),1)*IF(Upgrades!$T$20="Microlensing",POWER(Upgrades!$U$20,L399),1)*IF(Upgrades!$T$21="Microlensing",POWER(Upgrades!$U$21,M399),1))*$G$6*(Parameters!$B$10/60*Parameters!$B$11+Q399)/AM399,0)</f>
        <v/>
      </c>
      <c r="BB399" s="32">
        <f>IFERROR((Upgrades!$N$16*(POWER(Upgrades!$R$13,E399)*POWER(Upgrades!$R$14,F399)*POWER(Upgrades!$R$15,G399)*POWER(Upgrades!$R$16,H399)*POWER(Upgrades!$R$17,I399)*POWER(Upgrades!$R$18,J399)*POWER(Upgrades!$R$19,K399)*POWER(Upgrades!$R$20,L399)*POWER(Upgrades!$R$21,M399))*(IF(Upgrades!$T$13="Roche Lobe Overflow",POWER(Upgrades!$U$13,E399),1)*IF(Upgrades!$T$14="Roche Lobe Overflow",POWER(Upgrades!$U$14,F399),1)*IF(Upgrades!$T$15="Roche Lobe Overflow",POWER(Upgrades!$U$15,G399),1)*IF(Upgrades!$T$17="Roche Lobe Overflow",POWER(Upgrades!$U$17,I399),1)*IF(Upgrades!$T$18="Roche Lobe Overflow",POWER(Upgrades!$U$18,J399),1)*IF(Upgrades!$T$19="Roche Lobe Overflow",POWER(Upgrades!$U$19,K399),1)*IF(Upgrades!$T$20="Roche Lobe Overflow",POWER(Upgrades!$U$20,L399),1)*IF(Upgrades!$T$21="Roche Lobe Overflow",POWER(Upgrades!$U$21,M399),1))*$H$6*O399+((IF(F399=0,0,(Upgrades!$G$14+F399*Upgrades!$H$14)*POWER(Upgrades!$I$14,F399)))*(IF(Upgrades!$T$13="Local Bubble",POWER(Upgrades!$U$13,E399),1)*IF(Upgrades!$T$15="Local Bubble",POWER(Upgrades!$U$15,G399),1)*IF(Upgrades!$T$16="Local Bubble",POWER(Upgrades!$U$16,H399),1)*IF(Upgrades!$T$17="Local Bubble",POWER(Upgrades!$U$17,I399),1)*IF(Upgrades!$T$18="Local Bubble",POWER(Upgrades!$U$18,J399),1)*IF(Upgrades!$T$19="Local Bubble",POWER(Upgrades!$U$19,K399),1)*IF(Upgrades!$T$20="Local Bubble",POWER(Upgrades!$U$20,L399),1)*IF(Upgrades!$T$21="Local Bubble",POWER(Upgrades!$U$21,M399),1))*POWER(Upgrades!$P$13,E399)*POWER(Upgrades!$P$14,F399)*POWER(Upgrades!$P$15,G399)*POWER(Upgrades!$P$16,H399)*POWER(Upgrades!$P$17,I399)*POWER(Upgrades!$P$18,J399)*POWER(Upgrades!$P$19,K399)*POWER(Upgrades!$P$20,L399)*POWER(Upgrades!$P$21,M399)*$F$6)*0.05)/AN399,0)</f>
        <v/>
      </c>
      <c r="BC399" s="32">
        <f>IFERROR((Upgrades!$H$17*(POWER(Upgrades!$P$13,E399)*POWER(Upgrades!$P$14,F399)*POWER(Upgrades!$P$15,G399)*POWER(Upgrades!$P$16,H399)*POWER(Upgrades!$P$17,I399)*POWER(Upgrades!$P$18,J399)*POWER(Upgrades!$P$19,K399)*POWER(Upgrades!$P$20,L399)*POWER(Upgrades!$P$21,M399))*(IF(Upgrades!$T$13="Brown Dwarf",POWER(Upgrades!$U$13,E399),1)*IF(Upgrades!$T$14="Brown Dwarf",POWER(Upgrades!$U$14,F399),1)*IF(Upgrades!$T$15="Brown Dwarf",POWER(Upgrades!$U$15,G399),1)*IF(Upgrades!$T$16="Brown Dwarf",POWER(Upgrades!$U$16,H399),1)*IF(Upgrades!$T$18="Brown Dwarf",POWER(Upgrades!$U$18,J399),1)*IF(Upgrades!$T$19="Brown Dwarf",POWER(Upgrades!$U$19,K399),1)*IF(Upgrades!$T$20="Brown Dwarf",POWER(Upgrades!$U$20,L399),1)*IF(Upgrades!$T$21="Brown Dwarf",POWER(Upgrades!$U$21,M399),1))*$F$6+(((IF(H399=0,0,(Upgrades!$M$16+H399*Upgrades!$N$16)*POWER(Upgrades!$O$16,H399)))*(IF(Upgrades!$T$13="Roche Lobe Overflow",POWER(Upgrades!$U$13,E399),1)*IF(Upgrades!$T$14="Roche Lobe Overflow",POWER(Upgrades!$U$14,F399),1)*IF(Upgrades!$T$15="Roche Lobe Overflow",POWER(Upgrades!$U$15,G399),1)*IF(Upgrades!$T$17="Roche Lobe Overflow",POWER(Upgrades!$U$17,I399),1)*IF(Upgrades!$T$18="Roche Lobe Overflow",POWER(Upgrades!$U$18,J399),1)*IF(Upgrades!$T$19="Roche Lobe Overflow",POWER(Upgrades!$U$19,K399),1)*IF(Upgrades!$T$20="Roche Lobe Overflow",POWER(Upgrades!$U$20,L399),1)*IF(Upgrades!$T$21="Roche Lobe Overflow",POWER(Upgrades!$U$21,M399),1))*POWER(Upgrades!$R$13,E399)*POWER(Upgrades!$R$14,F399)*POWER(Upgrades!$R$15,G399)*POWER(Upgrades!$R$16,H399)*POWER(Upgrades!$R$17,I399)*POWER(Upgrades!$R$18,J399)*POWER(Upgrades!$R$19,K399)*POWER(Upgrades!$R$20,L399)*POWER(Upgrades!$R$21,M399)*$H$6)*O399)*0.10)/AO399,0)</f>
        <v/>
      </c>
      <c r="BD399" s="32">
        <f>MAX(IF(J399&gt;0,0,IFERROR(0.5*((IF(G399=0,0,(Upgrades!$J$15+G399*Upgrades!$K$15)*POWER(Upgrades!$L$15,G399)))*(IF(Upgrades!$T$13="Microlensing",POWER(Upgrades!$U$13,E399),1)*IF(Upgrades!$T$14="Microlensing",POWER(Upgrades!$U$14,F399),1)*IF(Upgrades!$T$16="Microlensing",POWER(Upgrades!$U$16,H399),1)*IF(Upgrades!$T$17="Microlensing",POWER(Upgrades!$U$17,I399),1)*IF(Upgrades!$T$18="Microlensing",POWER(Upgrades!$U$18,J399),1)*IF(Upgrades!$T$19="Microlensing",POWER(Upgrades!$U$19,K399),1)*IF(Upgrades!$T$20="Microlensing",POWER(Upgrades!$U$20,L399),1)*IF(Upgrades!$T$21="Microlensing",POWER(Upgrades!$U$21,M399),1))*(POWER(Upgrades!$Q$13,E399)*POWER(Upgrades!$Q$14,F399)*POWER(Upgrades!$Q$15,G399)*POWER(Upgrades!$Q$16,H399)*POWER(Upgrades!$Q$17,I399)*POWER(Upgrades!$Q$18,J399)*POWER(Upgrades!$Q$19,K399)*POWER(Upgrades!$Q$20,L399)*POWER(Upgrades!$Q$21,M399))*$G$6*(Parameters!$B$10/60*Parameters!$B$11+Q399))/Upgrades!$C$18,0)),IF(K399&gt;0,0,IFERROR(0.30*P399/Upgrades!$C$19,0)),IF(L399&gt;0,0,IFERROR(0.0001/Upgrades!$C$20,0)),IF(M399&gt;0,0,IFERROR((6.0*(POWER(Upgrades!$P$13,E399)*POWER(Upgrades!$P$14,F399)*POWER(Upgrades!$P$15,G399)*POWER(Upgrades!$P$16,H399)*POWER(Upgrades!$P$17,I399)*POWER(Upgrades!$P$18,J399)*POWER(Upgrades!$P$19,K399)*POWER(Upgrades!$P$20,L399)*POWER(Upgrades!$P$21,M399))*$F$6+0.20*O399*(Parameters!$B$10/60*Parameters!$B$11+Q399))/Upgrades!$C$21,0)),IF(AND(ISNUMBER(AK399),AK399&gt;(C399+T399)),AY399,0),IF(AND(ISNUMBER(AL399),AL399&gt;(C399+T399)),AZ399,0),IF(AND(ISNUMBER(AM399),AM399&gt;(C399+T399)),BA399,0),IF(AND(ISNUMBER(AN399),AN399&gt;(C399+T399)),BB399,0),IF(AND(ISNUMBER(AO399),AO399&gt;(C399+T399)),BC399,0))</f>
        <v/>
      </c>
      <c r="BE399" s="29">
        <f>IF(AT399=1,"transition",IF(MIN(IF(AND(J399=0,ISNUMBER(AP399),AP399&lt;=(C399+T399)),AP399,9E15),IF(AND(K399=0,ISNUMBER(AQ399),AQ399&lt;=(C399+T399)),AQ399,9E15),IF(AND(L399=0,ISNUMBER(AR399),AR399&lt;=(C399+T399)),AR399,9E15),IF(AND(M399=0,ISNUMBER(AS399),AS399&lt;=(C399+T399)),AS399,9E15))&lt;9E15,IF(AND(AND(J399=0,ISNUMBER(AP399),AP399&lt;=(C399+T399)),AP399=MIN(IF(AND(J399=0,ISNUMBER(AP399),AP399&lt;=(C399+T399)),AP399,9E15),IF(AND(K399=0,ISNUMBER(AQ399),AQ399&lt;=(C399+T399)),AQ399,9E15),IF(AND(L399=0,ISNUMBER(AR399),AR399&lt;=(C399+T399)),AR399,9E15),IF(AND(M399=0,ISNUMBER(AS399),AS399&lt;=(C399+T399)),AS399,9E15))),"BiP",IF(AND(AND(K399=0,ISNUMBER(AQ399),AQ399&lt;=(C399+T399)),AQ399=MIN(IF(AND(J399=0,ISNUMBER(AP399),AP399&lt;=(C399+T399)),AP399,9E15),IF(AND(K399=0,ISNUMBER(AQ399),AQ399&lt;=(C399+T399)),AQ399,9E15),IF(AND(L399=0,ISNUMBER(AR399),AR399&lt;=(C399+T399)),AR399,9E15),IF(AND(M399=0,ISNUMBER(AS399),AS399&lt;=(C399+T399)),AS399,9E15))),"PV",IF(AND(AND(L399=0,ISNUMBER(AR399),AR399&lt;=(C399+T399)),AR399=MIN(IF(AND(J399=0,ISNUMBER(AP399),AP399&lt;=(C399+T399)),AP399,9E15),IF(AND(K399=0,ISNUMBER(AQ399),AQ399&lt;=(C399+T399)),AQ399,9E15),IF(AND(L399=0,ISNUMBER(AR399),AR399&lt;=(C399+T399)),AR399,9E15),IF(AND(M399=0,ISNUMBER(AS399),AS399&lt;=(C399+T399)),AS399,9E15))),"OC","MG"))),IF(AX399=TRUE,"",IF(MAX(IF(AND(NOT(AND(AU399=1,AT399&lt;&gt;1)),ISNUMBER(AK399),AK399&lt;=(C399+T399)),AY399,0),IF(AND(NOT(AND(AU399=1,AT399&lt;&gt;1)),ISNUMBER(AL399),AL399&lt;=(C399+T399)),AZ399,0),IF(AND(NOT(AND(AU399=1,AT399&lt;&gt;1)),ISNUMBER(AM399),AM399&lt;=(C399+T399)),BA399,0),IF(AND(NOT(AND(AU399=1,AT399&lt;&gt;1)),ISNUMBER(AN399),AN399&lt;=(C399+T399)),BB399,0),IF(AND(ISNUMBER(AO399),AO399&lt;=(C399+T399)),BC399,0))&lt;=0,"",IF(AND(IF(AND(NOT(AND(AU399=1,AT399&lt;&gt;1)),ISNUMBER(AK399),AK399&lt;=(C399+T399)),AY399,0)&gt;0,IF(AND(NOT(AND(AU399=1,AT399&lt;&gt;1)),ISNUMBER(AK399),AK399&lt;=(C399+T399)),AY399,0)=MAX(IF(AND(NOT(AND(AU399=1,AT399&lt;&gt;1)),ISNUMBER(AK399),AK399&lt;=(C399+T399)),AY399,0),IF(AND(NOT(AND(AU399=1,AT399&lt;&gt;1)),ISNUMBER(AL399),AL399&lt;=(C399+T399)),AZ399,0),IF(AND(NOT(AND(AU399=1,AT399&lt;&gt;1)),ISNUMBER(AM399),AM399&lt;=(C399+T399)),BA399,0),IF(AND(NOT(AND(AU399=1,AT399&lt;&gt;1)),ISNUMBER(AN399),AN399&lt;=(C399+T399)),BB399,0),IF(AND(ISNUMBER(AO399),AO399&lt;=(C399+T399)),BC399,0))),"SK",IF(AND(IF(AND(NOT(AND(AU399=1,AT399&lt;&gt;1)),ISNUMBER(AL399),AL399&lt;=(C399+T399)),AZ399,0)&gt;0,IF(AND(NOT(AND(AU399=1,AT399&lt;&gt;1)),ISNUMBER(AL399),AL399&lt;=(C399+T399)),AZ399,0)=MAX(IF(AND(NOT(AND(AU399=1,AT399&lt;&gt;1)),ISNUMBER(AK399),AK399&lt;=(C399+T399)),AY399,0),IF(AND(NOT(AND(AU399=1,AT399&lt;&gt;1)),ISNUMBER(AL399),AL399&lt;=(C399+T399)),AZ399,0),IF(AND(NOT(AND(AU399=1,AT399&lt;&gt;1)),ISNUMBER(AM399),AM399&lt;=(C399+T399)),BA399,0),IF(AND(NOT(AND(AU399=1,AT399&lt;&gt;1)),ISNUMBER(AN399),AN399&lt;=(C399+T399)),BB399,0),IF(AND(ISNUMBER(AO399),AO399&lt;=(C399+T399)),BC399,0))),"LB",IF(AND(IF(AND(NOT(AND(AU399=1,AT399&lt;&gt;1)),ISNUMBER(AM399),AM399&lt;=(C399+T399)),BA399,0)&gt;0,IF(AND(NOT(AND(AU399=1,AT399&lt;&gt;1)),ISNUMBER(AM399),AM399&lt;=(C399+T399)),BA399,0)=MAX(IF(AND(NOT(AND(AU399=1,AT399&lt;&gt;1)),ISNUMBER(AK399),AK399&lt;=(C399+T399)),AY399,0),IF(AND(NOT(AND(AU399=1,AT399&lt;&gt;1)),ISNUMBER(AL399),AL399&lt;=(C399+T399)),AZ399,0),IF(AND(NOT(AND(AU399=1,AT399&lt;&gt;1)),ISNUMBER(AM399),AM399&lt;=(C399+T399)),BA399,0),IF(AND(NOT(AND(AU399=1,AT399&lt;&gt;1)),ISNUMBER(AN399),AN399&lt;=(C399+T399)),BB399,0),IF(AND(ISNUMBER(AO399),AO399&lt;=(C399+T399)),BC399,0))),"ML",IF(AND(IF(AND(NOT(AND(AU399=1,AT399&lt;&gt;1)),ISNUMBER(AN399),AN399&lt;=(C399+T399)),BB399,0)&gt;0,IF(AND(NOT(AND(AU399=1,AT399&lt;&gt;1)),ISNUMBER(AN399),AN399&lt;=(C399+T399)),BB399,0)=MAX(IF(AND(NOT(AND(AU399=1,AT399&lt;&gt;1)),ISNUMBER(AK399),AK399&lt;=(C399+T399)),AY399,0),IF(AND(NOT(AND(AU399=1,AT399&lt;&gt;1)),ISNUMBER(AL399),AL399&lt;=(C399+T399)),AZ399,0),IF(AND(NOT(AND(AU399=1,AT399&lt;&gt;1)),ISNUMBER(AM399),AM399&lt;=(C399+T399)),BA399,0),IF(AND(NOT(AND(AU399=1,AT399&lt;&gt;1)),ISNUMBER(AN399),AN399&lt;=(C399+T399)),BB399,0),IF(AND(ISNUMBER(AO399),AO399&lt;=(C399+T399)),BC399,0))),"RLO","BD"))))))))</f>
        <v/>
      </c>
    </row>
    <row r="400">
      <c r="A400" s="26" t="n">
        <v>389</v>
      </c>
      <c r="B400" s="27">
        <f>A400*10/60</f>
        <v/>
      </c>
      <c r="C400" s="22">
        <f>X399</f>
        <v/>
      </c>
      <c r="D400" s="27">
        <f>D399+W399</f>
        <v/>
      </c>
      <c r="E400" s="26">
        <f>E399+IF(U399="SK",1,0)</f>
        <v/>
      </c>
      <c r="F400" s="26">
        <f>F399+IF(U399="LB",1,0)</f>
        <v/>
      </c>
      <c r="G400" s="26">
        <f>G399+IF(U399="ML",1,0)</f>
        <v/>
      </c>
      <c r="H400" s="26">
        <f>H399+IF(U399="RLO",1,0)</f>
        <v/>
      </c>
      <c r="I400" s="26">
        <f>I399+IF(U399="BD",1,0)</f>
        <v/>
      </c>
      <c r="J400" s="26">
        <f>MAX(J399,IF(U399="BiP",1,0))</f>
        <v/>
      </c>
      <c r="K400" s="26">
        <f>MAX(K399,IF(U399="PV",1,0))</f>
        <v/>
      </c>
      <c r="L400" s="26">
        <f>MAX(L399,IF(U399="OC",1,0))</f>
        <v/>
      </c>
      <c r="M400" s="26">
        <f>MAX(M399,IF(U399="MG",1,0))</f>
        <v/>
      </c>
      <c r="N400" s="26">
        <f>MAX(N399,IF(U399="transition",1,0))</f>
        <v/>
      </c>
      <c r="O400" s="28">
        <f>(Parameters!$B$9+(IF(E400=0,0,(Upgrades!$J$13+E400*Upgrades!$K$13)*POWER(Upgrades!$L$13,E400)))*(IF(Upgrades!$T$14="Stellar Kinematics",POWER(Upgrades!$U$14,F400),1)*IF(Upgrades!$T$15="Stellar Kinematics",POWER(Upgrades!$U$15,G400),1)*IF(Upgrades!$T$16="Stellar Kinematics",POWER(Upgrades!$U$16,H400),1)*IF(Upgrades!$T$17="Stellar Kinematics",POWER(Upgrades!$U$17,I400),1)*IF(Upgrades!$T$18="Stellar Kinematics",POWER(Upgrades!$U$18,J400),1)*IF(Upgrades!$T$19="Stellar Kinematics",POWER(Upgrades!$U$19,K400),1)*IF(Upgrades!$T$20="Stellar Kinematics",POWER(Upgrades!$U$20,L400),1)*IF(Upgrades!$T$21="Stellar Kinematics",POWER(Upgrades!$U$21,M400),1))+(IF(F400=0,0,(Upgrades!$J$14+F400*Upgrades!$K$14)*POWER(Upgrades!$L$14,F400)))*(IF(Upgrades!$T$13="Local Bubble",POWER(Upgrades!$U$13,E400),1)*IF(Upgrades!$T$15="Local Bubble",POWER(Upgrades!$U$15,G400),1)*IF(Upgrades!$T$16="Local Bubble",POWER(Upgrades!$U$16,H400),1)*IF(Upgrades!$T$17="Local Bubble",POWER(Upgrades!$U$17,I400),1)*IF(Upgrades!$T$18="Local Bubble",POWER(Upgrades!$U$18,J400),1)*IF(Upgrades!$T$19="Local Bubble",POWER(Upgrades!$U$19,K400),1)*IF(Upgrades!$T$20="Local Bubble",POWER(Upgrades!$U$20,L400),1)*IF(Upgrades!$T$21="Local Bubble",POWER(Upgrades!$U$21,M400),1))+(IF(G400=0,0,(Upgrades!$J$15+G400*Upgrades!$K$15)*POWER(Upgrades!$L$15,G400)))*(IF(Upgrades!$T$13="Microlensing",POWER(Upgrades!$U$13,E400),1)*IF(Upgrades!$T$14="Microlensing",POWER(Upgrades!$U$14,F400),1)*IF(Upgrades!$T$16="Microlensing",POWER(Upgrades!$U$16,H400),1)*IF(Upgrades!$T$17="Microlensing",POWER(Upgrades!$U$17,I400),1)*IF(Upgrades!$T$18="Microlensing",POWER(Upgrades!$U$18,J400),1)*IF(Upgrades!$T$19="Microlensing",POWER(Upgrades!$U$19,K400),1)*IF(Upgrades!$T$20="Microlensing",POWER(Upgrades!$U$20,L400),1)*IF(Upgrades!$T$21="Microlensing",POWER(Upgrades!$U$21,M400),1))+(IF(H400=0,0,(Upgrades!$J$16+H400*Upgrades!$K$16)*POWER(Upgrades!$L$16,H400)))*(IF(Upgrades!$T$13="Roche Lobe Overflow",POWER(Upgrades!$U$13,E400),1)*IF(Upgrades!$T$14="Roche Lobe Overflow",POWER(Upgrades!$U$14,F400),1)*IF(Upgrades!$T$15="Roche Lobe Overflow",POWER(Upgrades!$U$15,G400),1)*IF(Upgrades!$T$17="Roche Lobe Overflow",POWER(Upgrades!$U$17,I400),1)*IF(Upgrades!$T$18="Roche Lobe Overflow",POWER(Upgrades!$U$18,J400),1)*IF(Upgrades!$T$19="Roche Lobe Overflow",POWER(Upgrades!$U$19,K400),1)*IF(Upgrades!$T$20="Roche Lobe Overflow",POWER(Upgrades!$U$20,L400),1)*IF(Upgrades!$T$21="Roche Lobe Overflow",POWER(Upgrades!$U$21,M400),1))+(IF(I400=0,0,(Upgrades!$J$17+I400*Upgrades!$K$17)*POWER(Upgrades!$L$17,I400)))*(IF(Upgrades!$T$13="Brown Dwarf",POWER(Upgrades!$U$13,E400),1)*IF(Upgrades!$T$14="Brown Dwarf",POWER(Upgrades!$U$14,F400),1)*IF(Upgrades!$T$15="Brown Dwarf",POWER(Upgrades!$U$15,G400),1)*IF(Upgrades!$T$16="Brown Dwarf",POWER(Upgrades!$U$16,H400),1)*IF(Upgrades!$T$18="Brown Dwarf",POWER(Upgrades!$U$18,J400),1)*IF(Upgrades!$T$19="Brown Dwarf",POWER(Upgrades!$U$19,K400),1)*IF(Upgrades!$T$20="Brown Dwarf",POWER(Upgrades!$U$20,L400),1)*IF(Upgrades!$T$21="Brown Dwarf",POWER(Upgrades!$U$21,M400),1))+(IF(J400=0,0,(Upgrades!$J$18+J400*Upgrades!$K$18)*POWER(Upgrades!$L$18,J400)))*(IF(Upgrades!$T$13="Binary Partner",POWER(Upgrades!$U$13,E400),1)*IF(Upgrades!$T$14="Binary Partner",POWER(Upgrades!$U$14,F400),1)*IF(Upgrades!$T$15="Binary Partner",POWER(Upgrades!$U$15,G400),1)*IF(Upgrades!$T$16="Binary Partner",POWER(Upgrades!$U$16,H400),1)*IF(Upgrades!$T$17="Binary Partner",POWER(Upgrades!$U$17,I400),1)*IF(Upgrades!$T$19="Binary Partner",POWER(Upgrades!$U$19,K400),1)*IF(Upgrades!$T$20="Binary Partner",POWER(Upgrades!$U$20,L400),1)*IF(Upgrades!$T$21="Binary Partner",POWER(Upgrades!$U$21,M400),1))+(IF(K400=0,0,(Upgrades!$J$19+K400*Upgrades!$K$19)*POWER(Upgrades!$L$19,K400)))*(IF(Upgrades!$T$13="Peculiar Velocity",POWER(Upgrades!$U$13,E400),1)*IF(Upgrades!$T$14="Peculiar Velocity",POWER(Upgrades!$U$14,F400),1)*IF(Upgrades!$T$15="Peculiar Velocity",POWER(Upgrades!$U$15,G400),1)*IF(Upgrades!$T$16="Peculiar Velocity",POWER(Upgrades!$U$16,H400),1)*IF(Upgrades!$T$17="Peculiar Velocity",POWER(Upgrades!$U$17,I400),1)*IF(Upgrades!$T$18="Peculiar Velocity",POWER(Upgrades!$U$18,J400),1)*IF(Upgrades!$T$20="Peculiar Velocity",POWER(Upgrades!$U$20,L400),1)*IF(Upgrades!$T$21="Peculiar Velocity",POWER(Upgrades!$U$21,M400),1))+(IF(L400=0,0,(Upgrades!$J$20+L400*Upgrades!$K$20)*POWER(Upgrades!$L$20,L400)))*(IF(Upgrades!$T$13="Open Cluster",POWER(Upgrades!$U$13,E400),1)*IF(Upgrades!$T$14="Open Cluster",POWER(Upgrades!$U$14,F400),1)*IF(Upgrades!$T$15="Open Cluster",POWER(Upgrades!$U$15,G400),1)*IF(Upgrades!$T$16="Open Cluster",POWER(Upgrades!$U$16,H400),1)*IF(Upgrades!$T$17="Open Cluster",POWER(Upgrades!$U$17,I400),1)*IF(Upgrades!$T$18="Open Cluster",POWER(Upgrades!$U$18,J400),1)*IF(Upgrades!$T$19="Open Cluster",POWER(Upgrades!$U$19,K400),1)*IF(Upgrades!$T$21="Open Cluster",POWER(Upgrades!$U$21,M400),1))+(IF(M400=0,0,(Upgrades!$J$21+M400*Upgrades!$K$21)*POWER(Upgrades!$L$21,M400)))*(IF(Upgrades!$T$13="Moving Group",POWER(Upgrades!$U$13,E400),1)*IF(Upgrades!$T$14="Moving Group",POWER(Upgrades!$U$14,F400),1)*IF(Upgrades!$T$15="Moving Group",POWER(Upgrades!$U$15,G400),1)*IF(Upgrades!$T$16="Moving Group",POWER(Upgrades!$U$16,H400),1)*IF(Upgrades!$T$17="Moving Group",POWER(Upgrades!$U$17,I400),1)*IF(Upgrades!$T$18="Moving Group",POWER(Upgrades!$U$18,J400),1)*IF(Upgrades!$T$19="Moving Group",POWER(Upgrades!$U$19,K400),1)*IF(Upgrades!$T$20="Moving Group",POWER(Upgrades!$U$20,L400),1)))*POWER(Upgrades!$Q$13,E400)*POWER(Upgrades!$Q$14,F400)*POWER(Upgrades!$Q$15,G400)*POWER(Upgrades!$Q$16,H400)*POWER(Upgrades!$Q$17,I400)*POWER(Upgrades!$Q$18,J400)*POWER(Upgrades!$Q$19,K400)*POWER(Upgrades!$Q$20,L400)*POWER(Upgrades!$Q$21,M400)*$G$6+$D$6</f>
        <v/>
      </c>
      <c r="P400" s="28">
        <f>((IF(E400=0,0,(Upgrades!$G$13+E400*Upgrades!$H$13)*POWER(Upgrades!$I$13,E400)))*(IF(Upgrades!$T$14="Stellar Kinematics",POWER(Upgrades!$U$14,F400),1)*IF(Upgrades!$T$15="Stellar Kinematics",POWER(Upgrades!$U$15,G400),1)*IF(Upgrades!$T$16="Stellar Kinematics",POWER(Upgrades!$U$16,H400),1)*IF(Upgrades!$T$17="Stellar Kinematics",POWER(Upgrades!$U$17,I400),1)*IF(Upgrades!$T$18="Stellar Kinematics",POWER(Upgrades!$U$18,J400),1)*IF(Upgrades!$T$19="Stellar Kinematics",POWER(Upgrades!$U$19,K400),1)*IF(Upgrades!$T$20="Stellar Kinematics",POWER(Upgrades!$U$20,L400),1)*IF(Upgrades!$T$21="Stellar Kinematics",POWER(Upgrades!$U$21,M400),1))+(IF(F400=0,0,(Upgrades!$G$14+F400*Upgrades!$H$14)*POWER(Upgrades!$I$14,F400)))*(IF(Upgrades!$T$13="Local Bubble",POWER(Upgrades!$U$13,E400),1)*IF(Upgrades!$T$15="Local Bubble",POWER(Upgrades!$U$15,G400),1)*IF(Upgrades!$T$16="Local Bubble",POWER(Upgrades!$U$16,H400),1)*IF(Upgrades!$T$17="Local Bubble",POWER(Upgrades!$U$17,I400),1)*IF(Upgrades!$T$18="Local Bubble",POWER(Upgrades!$U$18,J400),1)*IF(Upgrades!$T$19="Local Bubble",POWER(Upgrades!$U$19,K400),1)*IF(Upgrades!$T$20="Local Bubble",POWER(Upgrades!$U$20,L400),1)*IF(Upgrades!$T$21="Local Bubble",POWER(Upgrades!$U$21,M400),1))+(IF(G400=0,0,(Upgrades!$G$15+G400*Upgrades!$H$15)*POWER(Upgrades!$I$15,G400)))*(IF(Upgrades!$T$13="Microlensing",POWER(Upgrades!$U$13,E400),1)*IF(Upgrades!$T$14="Microlensing",POWER(Upgrades!$U$14,F400),1)*IF(Upgrades!$T$16="Microlensing",POWER(Upgrades!$U$16,H400),1)*IF(Upgrades!$T$17="Microlensing",POWER(Upgrades!$U$17,I400),1)*IF(Upgrades!$T$18="Microlensing",POWER(Upgrades!$U$18,J400),1)*IF(Upgrades!$T$19="Microlensing",POWER(Upgrades!$U$19,K400),1)*IF(Upgrades!$T$20="Microlensing",POWER(Upgrades!$U$20,L400),1)*IF(Upgrades!$T$21="Microlensing",POWER(Upgrades!$U$21,M400),1))+(IF(H400=0,0,(Upgrades!$G$16+H400*Upgrades!$H$16)*POWER(Upgrades!$I$16,H400)))*(IF(Upgrades!$T$13="Roche Lobe Overflow",POWER(Upgrades!$U$13,E400),1)*IF(Upgrades!$T$14="Roche Lobe Overflow",POWER(Upgrades!$U$14,F400),1)*IF(Upgrades!$T$15="Roche Lobe Overflow",POWER(Upgrades!$U$15,G400),1)*IF(Upgrades!$T$17="Roche Lobe Overflow",POWER(Upgrades!$U$17,I400),1)*IF(Upgrades!$T$18="Roche Lobe Overflow",POWER(Upgrades!$U$18,J400),1)*IF(Upgrades!$T$19="Roche Lobe Overflow",POWER(Upgrades!$U$19,K400),1)*IF(Upgrades!$T$20="Roche Lobe Overflow",POWER(Upgrades!$U$20,L400),1)*IF(Upgrades!$T$21="Roche Lobe Overflow",POWER(Upgrades!$U$21,M400),1))+(IF(I400=0,0,(Upgrades!$G$17+I400*Upgrades!$H$17)*POWER(Upgrades!$I$17,I400)))*(IF(Upgrades!$T$13="Brown Dwarf",POWER(Upgrades!$U$13,E400),1)*IF(Upgrades!$T$14="Brown Dwarf",POWER(Upgrades!$U$14,F400),1)*IF(Upgrades!$T$15="Brown Dwarf",POWER(Upgrades!$U$15,G400),1)*IF(Upgrades!$T$16="Brown Dwarf",POWER(Upgrades!$U$16,H400),1)*IF(Upgrades!$T$18="Brown Dwarf",POWER(Upgrades!$U$18,J400),1)*IF(Upgrades!$T$19="Brown Dwarf",POWER(Upgrades!$U$19,K400),1)*IF(Upgrades!$T$20="Brown Dwarf",POWER(Upgrades!$U$20,L400),1)*IF(Upgrades!$T$21="Brown Dwarf",POWER(Upgrades!$U$21,M400),1))+(IF(J400=0,0,(Upgrades!$G$18+J400*Upgrades!$H$18)*POWER(Upgrades!$I$18,J400)))*(IF(Upgrades!$T$13="Binary Partner",POWER(Upgrades!$U$13,E400),1)*IF(Upgrades!$T$14="Binary Partner",POWER(Upgrades!$U$14,F400),1)*IF(Upgrades!$T$15="Binary Partner",POWER(Upgrades!$U$15,G400),1)*IF(Upgrades!$T$16="Binary Partner",POWER(Upgrades!$U$16,H400),1)*IF(Upgrades!$T$17="Binary Partner",POWER(Upgrades!$U$17,I400),1)*IF(Upgrades!$T$19="Binary Partner",POWER(Upgrades!$U$19,K400),1)*IF(Upgrades!$T$20="Binary Partner",POWER(Upgrades!$U$20,L400),1)*IF(Upgrades!$T$21="Binary Partner",POWER(Upgrades!$U$21,M400),1))+(IF(K400=0,0,(Upgrades!$G$19+K400*Upgrades!$H$19)*POWER(Upgrades!$I$19,K400)))*(IF(Upgrades!$T$13="Peculiar Velocity",POWER(Upgrades!$U$13,E400),1)*IF(Upgrades!$T$14="Peculiar Velocity",POWER(Upgrades!$U$14,F400),1)*IF(Upgrades!$T$15="Peculiar Velocity",POWER(Upgrades!$U$15,G400),1)*IF(Upgrades!$T$16="Peculiar Velocity",POWER(Upgrades!$U$16,H400),1)*IF(Upgrades!$T$17="Peculiar Velocity",POWER(Upgrades!$U$17,I400),1)*IF(Upgrades!$T$18="Peculiar Velocity",POWER(Upgrades!$U$18,J400),1)*IF(Upgrades!$T$20="Peculiar Velocity",POWER(Upgrades!$U$20,L400),1)*IF(Upgrades!$T$21="Peculiar Velocity",POWER(Upgrades!$U$21,M400),1))+(IF(L400=0,0,(Upgrades!$G$20+L400*Upgrades!$H$20)*POWER(Upgrades!$I$20,L400)))*(IF(Upgrades!$T$13="Open Cluster",POWER(Upgrades!$U$13,E400),1)*IF(Upgrades!$T$14="Open Cluster",POWER(Upgrades!$U$14,F400),1)*IF(Upgrades!$T$15="Open Cluster",POWER(Upgrades!$U$15,G400),1)*IF(Upgrades!$T$16="Open Cluster",POWER(Upgrades!$U$16,H400),1)*IF(Upgrades!$T$17="Open Cluster",POWER(Upgrades!$U$17,I400),1)*IF(Upgrades!$T$18="Open Cluster",POWER(Upgrades!$U$18,J400),1)*IF(Upgrades!$T$19="Open Cluster",POWER(Upgrades!$U$19,K400),1)*IF(Upgrades!$T$21="Open Cluster",POWER(Upgrades!$U$21,M400),1))+(IF(M400=0,0,(Upgrades!$G$21+M400*Upgrades!$H$21)*POWER(Upgrades!$I$21,M400)))*(IF(Upgrades!$T$13="Moving Group",POWER(Upgrades!$U$13,E400),1)*IF(Upgrades!$T$14="Moving Group",POWER(Upgrades!$U$14,F400),1)*IF(Upgrades!$T$15="Moving Group",POWER(Upgrades!$U$15,G400),1)*IF(Upgrades!$T$16="Moving Group",POWER(Upgrades!$U$16,H400),1)*IF(Upgrades!$T$17="Moving Group",POWER(Upgrades!$U$17,I400),1)*IF(Upgrades!$T$18="Moving Group",POWER(Upgrades!$U$18,J400),1)*IF(Upgrades!$T$19="Moving Group",POWER(Upgrades!$U$19,K400),1)*IF(Upgrades!$T$20="Moving Group",POWER(Upgrades!$U$20,L400),1)))*POWER(Upgrades!$P$13,E400)*POWER(Upgrades!$P$14,F400)*POWER(Upgrades!$P$15,G400)*POWER(Upgrades!$P$16,H400)*POWER(Upgrades!$P$17,I400)*POWER(Upgrades!$P$18,J400)*POWER(Upgrades!$P$19,K400)*POWER(Upgrades!$P$20,L400)*POWER(Upgrades!$P$21,M400)*$F$6+$C$6</f>
        <v/>
      </c>
      <c r="Q400" s="28">
        <f>((IF(E400=0,0,(Upgrades!$M$13+E400*Upgrades!$N$13)*POWER(Upgrades!$O$13,E400)))*(IF(Upgrades!$T$14="Stellar Kinematics",POWER(Upgrades!$U$14,F400),1)*IF(Upgrades!$T$15="Stellar Kinematics",POWER(Upgrades!$U$15,G400),1)*IF(Upgrades!$T$16="Stellar Kinematics",POWER(Upgrades!$U$16,H400),1)*IF(Upgrades!$T$17="Stellar Kinematics",POWER(Upgrades!$U$17,I400),1)*IF(Upgrades!$T$18="Stellar Kinematics",POWER(Upgrades!$U$18,J400),1)*IF(Upgrades!$T$19="Stellar Kinematics",POWER(Upgrades!$U$19,K400),1)*IF(Upgrades!$T$20="Stellar Kinematics",POWER(Upgrades!$U$20,L400),1)*IF(Upgrades!$T$21="Stellar Kinematics",POWER(Upgrades!$U$21,M400),1))+(IF(F400=0,0,(Upgrades!$M$14+F400*Upgrades!$N$14)*POWER(Upgrades!$O$14,F400)))*(IF(Upgrades!$T$13="Local Bubble",POWER(Upgrades!$U$13,E400),1)*IF(Upgrades!$T$15="Local Bubble",POWER(Upgrades!$U$15,G400),1)*IF(Upgrades!$T$16="Local Bubble",POWER(Upgrades!$U$16,H400),1)*IF(Upgrades!$T$17="Local Bubble",POWER(Upgrades!$U$17,I400),1)*IF(Upgrades!$T$18="Local Bubble",POWER(Upgrades!$U$18,J400),1)*IF(Upgrades!$T$19="Local Bubble",POWER(Upgrades!$U$19,K400),1)*IF(Upgrades!$T$20="Local Bubble",POWER(Upgrades!$U$20,L400),1)*IF(Upgrades!$T$21="Local Bubble",POWER(Upgrades!$U$21,M400),1))+(IF(G400=0,0,(Upgrades!$M$15+G400*Upgrades!$N$15)*POWER(Upgrades!$O$15,G400)))*(IF(Upgrades!$T$13="Microlensing",POWER(Upgrades!$U$13,E400),1)*IF(Upgrades!$T$14="Microlensing",POWER(Upgrades!$U$14,F400),1)*IF(Upgrades!$T$16="Microlensing",POWER(Upgrades!$U$16,H400),1)*IF(Upgrades!$T$17="Microlensing",POWER(Upgrades!$U$17,I400),1)*IF(Upgrades!$T$18="Microlensing",POWER(Upgrades!$U$18,J400),1)*IF(Upgrades!$T$19="Microlensing",POWER(Upgrades!$U$19,K400),1)*IF(Upgrades!$T$20="Microlensing",POWER(Upgrades!$U$20,L400),1)*IF(Upgrades!$T$21="Microlensing",POWER(Upgrades!$U$21,M400),1))+(IF(H400=0,0,(Upgrades!$M$16+H400*Upgrades!$N$16)*POWER(Upgrades!$O$16,H400)))*(IF(Upgrades!$T$13="Roche Lobe Overflow",POWER(Upgrades!$U$13,E400),1)*IF(Upgrades!$T$14="Roche Lobe Overflow",POWER(Upgrades!$U$14,F400),1)*IF(Upgrades!$T$15="Roche Lobe Overflow",POWER(Upgrades!$U$15,G400),1)*IF(Upgrades!$T$17="Roche Lobe Overflow",POWER(Upgrades!$U$17,I400),1)*IF(Upgrades!$T$18="Roche Lobe Overflow",POWER(Upgrades!$U$18,J400),1)*IF(Upgrades!$T$19="Roche Lobe Overflow",POWER(Upgrades!$U$19,K400),1)*IF(Upgrades!$T$20="Roche Lobe Overflow",POWER(Upgrades!$U$20,L400),1)*IF(Upgrades!$T$21="Roche Lobe Overflow",POWER(Upgrades!$U$21,M400),1))+(IF(I400=0,0,(Upgrades!$M$17+I400*Upgrades!$N$17)*POWER(Upgrades!$O$17,I400)))*(IF(Upgrades!$T$13="Brown Dwarf",POWER(Upgrades!$U$13,E400),1)*IF(Upgrades!$T$14="Brown Dwarf",POWER(Upgrades!$U$14,F400),1)*IF(Upgrades!$T$15="Brown Dwarf",POWER(Upgrades!$U$15,G400),1)*IF(Upgrades!$T$16="Brown Dwarf",POWER(Upgrades!$U$16,H400),1)*IF(Upgrades!$T$18="Brown Dwarf",POWER(Upgrades!$U$18,J400),1)*IF(Upgrades!$T$19="Brown Dwarf",POWER(Upgrades!$U$19,K400),1)*IF(Upgrades!$T$20="Brown Dwarf",POWER(Upgrades!$U$20,L400),1)*IF(Upgrades!$T$21="Brown Dwarf",POWER(Upgrades!$U$21,M400),1))+(IF(J400=0,0,(Upgrades!$M$18+J400*Upgrades!$N$18)*POWER(Upgrades!$O$18,J400)))*(IF(Upgrades!$T$13="Binary Partner",POWER(Upgrades!$U$13,E400),1)*IF(Upgrades!$T$14="Binary Partner",POWER(Upgrades!$U$14,F400),1)*IF(Upgrades!$T$15="Binary Partner",POWER(Upgrades!$U$15,G400),1)*IF(Upgrades!$T$16="Binary Partner",POWER(Upgrades!$U$16,H400),1)*IF(Upgrades!$T$17="Binary Partner",POWER(Upgrades!$U$17,I400),1)*IF(Upgrades!$T$19="Binary Partner",POWER(Upgrades!$U$19,K400),1)*IF(Upgrades!$T$20="Binary Partner",POWER(Upgrades!$U$20,L400),1)*IF(Upgrades!$T$21="Binary Partner",POWER(Upgrades!$U$21,M400),1))+(IF(K400=0,0,(Upgrades!$M$19+K400*Upgrades!$N$19)*POWER(Upgrades!$O$19,K400)))*(IF(Upgrades!$T$13="Peculiar Velocity",POWER(Upgrades!$U$13,E400),1)*IF(Upgrades!$T$14="Peculiar Velocity",POWER(Upgrades!$U$14,F400),1)*IF(Upgrades!$T$15="Peculiar Velocity",POWER(Upgrades!$U$15,G400),1)*IF(Upgrades!$T$16="Peculiar Velocity",POWER(Upgrades!$U$16,H400),1)*IF(Upgrades!$T$17="Peculiar Velocity",POWER(Upgrades!$U$17,I400),1)*IF(Upgrades!$T$18="Peculiar Velocity",POWER(Upgrades!$U$18,J400),1)*IF(Upgrades!$T$20="Peculiar Velocity",POWER(Upgrades!$U$20,L400),1)*IF(Upgrades!$T$21="Peculiar Velocity",POWER(Upgrades!$U$21,M400),1))+(IF(L400=0,0,(Upgrades!$M$20+L400*Upgrades!$N$20)*POWER(Upgrades!$O$20,L400)))*(IF(Upgrades!$T$13="Open Cluster",POWER(Upgrades!$U$13,E400),1)*IF(Upgrades!$T$14="Open Cluster",POWER(Upgrades!$U$14,F400),1)*IF(Upgrades!$T$15="Open Cluster",POWER(Upgrades!$U$15,G400),1)*IF(Upgrades!$T$16="Open Cluster",POWER(Upgrades!$U$16,H400),1)*IF(Upgrades!$T$17="Open Cluster",POWER(Upgrades!$U$17,I400),1)*IF(Upgrades!$T$18="Open Cluster",POWER(Upgrades!$U$18,J400),1)*IF(Upgrades!$T$19="Open Cluster",POWER(Upgrades!$U$19,K400),1)*IF(Upgrades!$T$21="Open Cluster",POWER(Upgrades!$U$21,M400),1))+(IF(M400=0,0,(Upgrades!$M$21+M400*Upgrades!$N$21)*POWER(Upgrades!$O$21,M400)))*(IF(Upgrades!$T$13="Moving Group",POWER(Upgrades!$U$13,E400),1)*IF(Upgrades!$T$14="Moving Group",POWER(Upgrades!$U$14,F400),1)*IF(Upgrades!$T$15="Moving Group",POWER(Upgrades!$U$15,G400),1)*IF(Upgrades!$T$16="Moving Group",POWER(Upgrades!$U$16,H400),1)*IF(Upgrades!$T$17="Moving Group",POWER(Upgrades!$U$17,I400),1)*IF(Upgrades!$T$18="Moving Group",POWER(Upgrades!$U$18,J400),1)*IF(Upgrades!$T$19="Moving Group",POWER(Upgrades!$U$19,K400),1)*IF(Upgrades!$T$20="Moving Group",POWER(Upgrades!$U$20,L400),1)))*POWER(Upgrades!$R$13,E400)*POWER(Upgrades!$R$14,F400)*POWER(Upgrades!$R$15,G400)*POWER(Upgrades!$R$16,H400)*POWER(Upgrades!$R$17,I400)*POWER(Upgrades!$R$18,J400)*POWER(Upgrades!$R$19,K400)*POWER(Upgrades!$R$20,L400)*POWER(Upgrades!$R$21,M400)*$H$6+$E$6</f>
        <v/>
      </c>
      <c r="R400" s="27">
        <f>IF(N400=1,0,O400*Parameters!$B$10/60*Parameters!$B$11*10)</f>
        <v/>
      </c>
      <c r="S400" s="27">
        <f>IF(N400=1,0,Q400*O400*10)</f>
        <v/>
      </c>
      <c r="T400" s="27">
        <f>IF(N400=1,0,R400+S400+P400*10)</f>
        <v/>
      </c>
      <c r="U400" s="33">
        <f>BE400</f>
        <v/>
      </c>
      <c r="V400" s="22">
        <f>IF(U400="",0,IF(U400="transition",0,IF(U400="SK",AK400,IF(U400="LB",AL400,IF(U400="ML",AM400,IF(U400="RLO",AN400,IF(U400="BD",AO400,IF(U400="BiP",AP400,IF(U400="PV",AQ400,IF(U400="OC",AR400,IF(U400="MG",AS400,0))))))))))</f>
        <v/>
      </c>
      <c r="W400" s="27">
        <f>IF(U400="BiP",Upgrades!$F$18,IF(U400="PV",Upgrades!$F$19,IF(U400="OC",Upgrades!$F$20,IF(U400="MG",Upgrades!$F$21,IF(U400="transition",-Parameters!$B$18*Parameters!$B$19,0)))))</f>
        <v/>
      </c>
      <c r="X400" s="22">
        <f>C400+T400-V400</f>
        <v/>
      </c>
      <c r="Y400" s="30">
        <f>O400*Parameters!$B$10/60*Parameters!$B$11+Q400*O400+P400</f>
        <v/>
      </c>
      <c r="Z400" s="34">
        <f>IF(U400="transition","→ Tier 3 (Galactic Arm)",IF(U400="MG","Moving Group — pocket drifts together",IF(U400="OC","Open Cluster acquired",IF(U400="PV","Peculiar Velocity — passive multiplier active",IF(U400="BiP","Binary Partner — pair bond formed",IF(AND(AU400=1,N400=0,AT400&lt;&gt;1),"Cohesion ready (waiting on completionists)","")))))) </f>
        <v/>
      </c>
      <c r="AA400" s="27">
        <f>(IF(E400=0,0,(Upgrades!$G$13+E400*Upgrades!$H$13)*POWER(Upgrades!$I$13,E400)))*(IF(Upgrades!$T$14="Stellar Kinematics",POWER(Upgrades!$U$14,F400),1)*IF(Upgrades!$T$15="Stellar Kinematics",POWER(Upgrades!$U$15,G400),1)*IF(Upgrades!$T$16="Stellar Kinematics",POWER(Upgrades!$U$16,H400),1)*IF(Upgrades!$T$17="Stellar Kinematics",POWER(Upgrades!$U$17,I400),1)*IF(Upgrades!$T$18="Stellar Kinematics",POWER(Upgrades!$U$18,J400),1)*IF(Upgrades!$T$19="Stellar Kinematics",POWER(Upgrades!$U$19,K400),1)*IF(Upgrades!$T$20="Stellar Kinematics",POWER(Upgrades!$U$20,L400),1)*IF(Upgrades!$T$21="Stellar Kinematics",POWER(Upgrades!$U$21,M400),1))*POWER(Upgrades!$P$13,E400)*POWER(Upgrades!$P$14,F400)*POWER(Upgrades!$P$15,G400)*POWER(Upgrades!$P$16,H400)*POWER(Upgrades!$P$17,I400)*POWER(Upgrades!$P$18,J400)*POWER(Upgrades!$P$19,K400)*POWER(Upgrades!$P$20,L400)*POWER(Upgrades!$P$21,M400)*$F$6*60</f>
        <v/>
      </c>
      <c r="AB400" s="27">
        <f>(IF(F400=0,0,(Upgrades!$G$14+F400*Upgrades!$H$14)*POWER(Upgrades!$I$14,F400)))*(IF(Upgrades!$T$13="Local Bubble",POWER(Upgrades!$U$13,E400),1)*IF(Upgrades!$T$15="Local Bubble",POWER(Upgrades!$U$15,G400),1)*IF(Upgrades!$T$16="Local Bubble",POWER(Upgrades!$U$16,H400),1)*IF(Upgrades!$T$17="Local Bubble",POWER(Upgrades!$U$17,I400),1)*IF(Upgrades!$T$18="Local Bubble",POWER(Upgrades!$U$18,J400),1)*IF(Upgrades!$T$19="Local Bubble",POWER(Upgrades!$U$19,K400),1)*IF(Upgrades!$T$20="Local Bubble",POWER(Upgrades!$U$20,L400),1)*IF(Upgrades!$T$21="Local Bubble",POWER(Upgrades!$U$21,M400),1))*POWER(Upgrades!$P$13,E400)*POWER(Upgrades!$P$14,F400)*POWER(Upgrades!$P$15,G400)*POWER(Upgrades!$P$16,H400)*POWER(Upgrades!$P$17,I400)*POWER(Upgrades!$P$18,J400)*POWER(Upgrades!$P$19,K400)*POWER(Upgrades!$P$20,L400)*POWER(Upgrades!$P$21,M400)*$F$6*60</f>
        <v/>
      </c>
      <c r="AC400" s="27">
        <f>(IF(G400=0,0,(Upgrades!$J$15+G400*Upgrades!$K$15)*POWER(Upgrades!$L$15,G400)))*(IF(Upgrades!$T$13="Microlensing",POWER(Upgrades!$U$13,E400),1)*IF(Upgrades!$T$14="Microlensing",POWER(Upgrades!$U$14,F400),1)*IF(Upgrades!$T$16="Microlensing",POWER(Upgrades!$U$16,H400),1)*IF(Upgrades!$T$17="Microlensing",POWER(Upgrades!$U$17,I400),1)*IF(Upgrades!$T$18="Microlensing",POWER(Upgrades!$U$18,J400),1)*IF(Upgrades!$T$19="Microlensing",POWER(Upgrades!$U$19,K400),1)*IF(Upgrades!$T$20="Microlensing",POWER(Upgrades!$U$20,L400),1)*IF(Upgrades!$T$21="Microlensing",POWER(Upgrades!$U$21,M400),1))*POWER(Upgrades!$Q$13,E400)*POWER(Upgrades!$Q$14,F400)*POWER(Upgrades!$Q$15,G400)*POWER(Upgrades!$Q$16,H400)*POWER(Upgrades!$Q$17,I400)*POWER(Upgrades!$Q$18,J400)*POWER(Upgrades!$Q$19,K400)*POWER(Upgrades!$Q$20,L400)*POWER(Upgrades!$Q$21,M400)*$G$6*(Parameters!$B$10*Parameters!$B$11+Q400*60)</f>
        <v/>
      </c>
      <c r="AD400" s="27">
        <f>(IF(H400=0,0,(Upgrades!$M$16+H400*Upgrades!$N$16)*POWER(Upgrades!$O$16,H400)))*(IF(Upgrades!$T$13="Roche Lobe Overflow",POWER(Upgrades!$U$13,E400),1)*IF(Upgrades!$T$14="Roche Lobe Overflow",POWER(Upgrades!$U$14,F400),1)*IF(Upgrades!$T$15="Roche Lobe Overflow",POWER(Upgrades!$U$15,G400),1)*IF(Upgrades!$T$17="Roche Lobe Overflow",POWER(Upgrades!$U$17,I400),1)*IF(Upgrades!$T$18="Roche Lobe Overflow",POWER(Upgrades!$U$18,J400),1)*IF(Upgrades!$T$19="Roche Lobe Overflow",POWER(Upgrades!$U$19,K400),1)*IF(Upgrades!$T$20="Roche Lobe Overflow",POWER(Upgrades!$U$20,L400),1)*IF(Upgrades!$T$21="Roche Lobe Overflow",POWER(Upgrades!$U$21,M400),1))*POWER(Upgrades!$R$13,E400)*POWER(Upgrades!$R$14,F400)*POWER(Upgrades!$R$15,G400)*POWER(Upgrades!$R$16,H400)*POWER(Upgrades!$R$17,I400)*POWER(Upgrades!$R$18,J400)*POWER(Upgrades!$R$19,K400)*POWER(Upgrades!$R$20,L400)*POWER(Upgrades!$R$21,M400)*$H$6*O400*60</f>
        <v/>
      </c>
      <c r="AE400" s="27">
        <f>(IF(I400=0,0,(Upgrades!$G$17+I400*Upgrades!$H$17)*POWER(Upgrades!$I$17,I400)))*(IF(Upgrades!$T$13="Brown Dwarf",POWER(Upgrades!$U$13,E400),1)*IF(Upgrades!$T$14="Brown Dwarf",POWER(Upgrades!$U$14,F400),1)*IF(Upgrades!$T$15="Brown Dwarf",POWER(Upgrades!$U$15,G400),1)*IF(Upgrades!$T$16="Brown Dwarf",POWER(Upgrades!$U$16,H400),1)*IF(Upgrades!$T$18="Brown Dwarf",POWER(Upgrades!$U$18,J400),1)*IF(Upgrades!$T$19="Brown Dwarf",POWER(Upgrades!$U$19,K400),1)*IF(Upgrades!$T$20="Brown Dwarf",POWER(Upgrades!$U$20,L400),1)*IF(Upgrades!$T$21="Brown Dwarf",POWER(Upgrades!$U$21,M400),1))*POWER(Upgrades!$P$13,E400)*POWER(Upgrades!$P$14,F400)*POWER(Upgrades!$P$15,G400)*POWER(Upgrades!$P$16,H400)*POWER(Upgrades!$P$17,I400)*POWER(Upgrades!$P$18,J400)*POWER(Upgrades!$P$19,K400)*POWER(Upgrades!$P$20,L400)*POWER(Upgrades!$P$21,M400)*$F$6*60</f>
        <v/>
      </c>
      <c r="AF400" s="27" t="n">
        <v>0</v>
      </c>
      <c r="AG400" s="27" t="n">
        <v>0</v>
      </c>
      <c r="AH400" s="27" t="n">
        <v>0</v>
      </c>
      <c r="AI400" s="27">
        <f>(IF(M400=0,0,(Upgrades!$G$21+M400*Upgrades!$H$21)*POWER(Upgrades!$I$21,M400)))*(IF(Upgrades!$T$13="Moving Group",POWER(Upgrades!$U$13,E400),1)*IF(Upgrades!$T$14="Moving Group",POWER(Upgrades!$U$14,F400),1)*IF(Upgrades!$T$15="Moving Group",POWER(Upgrades!$U$15,G400),1)*IF(Upgrades!$T$16="Moving Group",POWER(Upgrades!$U$16,H400),1)*IF(Upgrades!$T$17="Moving Group",POWER(Upgrades!$U$17,I400),1)*IF(Upgrades!$T$18="Moving Group",POWER(Upgrades!$U$18,J400),1)*IF(Upgrades!$T$19="Moving Group",POWER(Upgrades!$U$19,K400),1)*IF(Upgrades!$T$20="Moving Group",POWER(Upgrades!$U$20,L400),1))*POWER(Upgrades!$P$13,E400)*POWER(Upgrades!$P$14,F400)*POWER(Upgrades!$P$15,G400)*POWER(Upgrades!$P$16,H400)*POWER(Upgrades!$P$17,I400)*POWER(Upgrades!$P$18,J400)*POWER(Upgrades!$P$19,K400)*POWER(Upgrades!$P$20,L400)*POWER(Upgrades!$P$21,M400)*$F$6*60</f>
        <v/>
      </c>
      <c r="AJ400" s="27">
        <f>$C$6*60</f>
        <v/>
      </c>
      <c r="AK400" s="22">
        <f>IF(E400&gt;=Upgrades!$E$13,"",Upgrades!$C$13*POWER(Upgrades!$D$13,E400))</f>
        <v/>
      </c>
      <c r="AL400" s="22">
        <f>IF(F400&gt;=Upgrades!$E$14,"",Upgrades!$C$14*POWER(Upgrades!$D$14,F400))</f>
        <v/>
      </c>
      <c r="AM400" s="22">
        <f>IF(G400&gt;=Upgrades!$E$15,"",Upgrades!$C$15*POWER(Upgrades!$D$15,G400))</f>
        <v/>
      </c>
      <c r="AN400" s="22">
        <f>IF(H400&gt;=Upgrades!$E$16,"",Upgrades!$C$16*POWER(Upgrades!$D$16,H400))</f>
        <v/>
      </c>
      <c r="AO400" s="22">
        <f>IF(I400&gt;=Upgrades!$E$17,"",Upgrades!$C$17*POWER(Upgrades!$D$17,I400))</f>
        <v/>
      </c>
      <c r="AP400" s="22">
        <f>IF(J400&gt;=Upgrades!$E$18,"",Upgrades!$C$18*POWER(Upgrades!$D$18,J400))</f>
        <v/>
      </c>
      <c r="AQ400" s="22">
        <f>IF(K400&gt;=Upgrades!$E$19,"",Upgrades!$C$19*POWER(Upgrades!$D$19,K400))</f>
        <v/>
      </c>
      <c r="AR400" s="22">
        <f>IF(L400&gt;=Upgrades!$E$20,"",Upgrades!$C$20*POWER(Upgrades!$D$20,L400))</f>
        <v/>
      </c>
      <c r="AS400" s="22">
        <f>IF(M400&gt;=Upgrades!$E$21,"",Upgrades!$C$21*POWER(Upgrades!$D$21,M400))</f>
        <v/>
      </c>
      <c r="AT400" s="26">
        <f>IF(AND(D400&gt;=Parameters!$B$18*Parameters!$B$19,(I400&gt;=Upgrades!$E$17)*(M400&gt;=Upgrades!$E$21)=1,N400=0),1,"")</f>
        <v/>
      </c>
      <c r="AU400" s="26">
        <f>IF(AND(D400&gt;=Parameters!$B$18*Parameters!$B$19,N400=0),1,"")</f>
        <v/>
      </c>
      <c r="AV400" s="22">
        <f>MIN(IF(ISNUMBER(AP400),AP400,9E15),IF(ISNUMBER(AQ400),AQ400,9E15),IF(ISNUMBER(AR400),AR400,9E15),IF(ISNUMBER(AS400),AS400,9E15))</f>
        <v/>
      </c>
      <c r="AW400" s="22">
        <f>MIN(IF(ISNUMBER(AK400),AK400,9E15),IF(ISNUMBER(AL400),AL400,9E15),IF(ISNUMBER(AM400),AM400,9E15),IF(ISNUMBER(AN400),AN400,9E15),IF(ISNUMBER(AO400),AO400,9E15))</f>
        <v/>
      </c>
      <c r="AX400" s="29">
        <f>IF(BD400&gt;Parameters!$B$21*(MAX(IF(AND(NOT(AND(AU400=1,AT400&lt;&gt;1)),ISNUMBER(AK400),AK400&lt;=(C400+T400)),AY400,0),IF(AND(NOT(AND(AU400=1,AT400&lt;&gt;1)),ISNUMBER(AL400),AL400&lt;=(C400+T400)),AZ400,0),IF(AND(NOT(AND(AU400=1,AT400&lt;&gt;1)),ISNUMBER(AM400),AM400&lt;=(C400+T400)),BA400,0),IF(AND(NOT(AND(AU400=1,AT400&lt;&gt;1)),ISNUMBER(AN400),AN400&lt;=(C400+T400)),BB400,0),IF(AND(ISNUMBER(AO400),AO400&lt;=(C400+T400)),BC400,0))),TRUE,FALSE)</f>
        <v/>
      </c>
      <c r="AY400" s="32">
        <f>IFERROR(Upgrades!$H$13*(POWER(Upgrades!$P$13,E400)*POWER(Upgrades!$P$14,F400)*POWER(Upgrades!$P$15,G400)*POWER(Upgrades!$P$16,H400)*POWER(Upgrades!$P$17,I400)*POWER(Upgrades!$P$18,J400)*POWER(Upgrades!$P$19,K400)*POWER(Upgrades!$P$20,L400)*POWER(Upgrades!$P$21,M400))*(IF(Upgrades!$T$14="Stellar Kinematics",POWER(Upgrades!$U$14,F400),1)*IF(Upgrades!$T$15="Stellar Kinematics",POWER(Upgrades!$U$15,G400),1)*IF(Upgrades!$T$16="Stellar Kinematics",POWER(Upgrades!$U$16,H400),1)*IF(Upgrades!$T$17="Stellar Kinematics",POWER(Upgrades!$U$17,I400),1)*IF(Upgrades!$T$18="Stellar Kinematics",POWER(Upgrades!$U$18,J400),1)*IF(Upgrades!$T$19="Stellar Kinematics",POWER(Upgrades!$U$19,K400),1)*IF(Upgrades!$T$20="Stellar Kinematics",POWER(Upgrades!$U$20,L400),1)*IF(Upgrades!$T$21="Stellar Kinematics",POWER(Upgrades!$U$21,M400),1))*$F$6/AK400,0)</f>
        <v/>
      </c>
      <c r="AZ400" s="32">
        <f>IFERROR(Upgrades!$H$14*(POWER(Upgrades!$P$13,E400)*POWER(Upgrades!$P$14,F400)*POWER(Upgrades!$P$15,G400)*POWER(Upgrades!$P$16,H400)*POWER(Upgrades!$P$17,I400)*POWER(Upgrades!$P$18,J400)*POWER(Upgrades!$P$19,K400)*POWER(Upgrades!$P$20,L400)*POWER(Upgrades!$P$21,M400))*(IF(Upgrades!$T$13="Local Bubble",POWER(Upgrades!$U$13,E400),1)*IF(Upgrades!$T$15="Local Bubble",POWER(Upgrades!$U$15,G400),1)*IF(Upgrades!$T$16="Local Bubble",POWER(Upgrades!$U$16,H400),1)*IF(Upgrades!$T$17="Local Bubble",POWER(Upgrades!$U$17,I400),1)*IF(Upgrades!$T$18="Local Bubble",POWER(Upgrades!$U$18,J400),1)*IF(Upgrades!$T$19="Local Bubble",POWER(Upgrades!$U$19,K400),1)*IF(Upgrades!$T$20="Local Bubble",POWER(Upgrades!$U$20,L400),1)*IF(Upgrades!$T$21="Local Bubble",POWER(Upgrades!$U$21,M400),1))*$F$6/AL400,0)</f>
        <v/>
      </c>
      <c r="BA400" s="32">
        <f>IFERROR(Upgrades!$K$15*(POWER(Upgrades!$Q$13,E400)*POWER(Upgrades!$Q$14,F400)*POWER(Upgrades!$Q$15,G400)*POWER(Upgrades!$Q$16,H400)*POWER(Upgrades!$Q$17,I400)*POWER(Upgrades!$Q$18,J400)*POWER(Upgrades!$Q$19,K400)*POWER(Upgrades!$Q$20,L400)*POWER(Upgrades!$Q$21,M400))*(IF(Upgrades!$T$13="Microlensing",POWER(Upgrades!$U$13,E400),1)*IF(Upgrades!$T$14="Microlensing",POWER(Upgrades!$U$14,F400),1)*IF(Upgrades!$T$16="Microlensing",POWER(Upgrades!$U$16,H400),1)*IF(Upgrades!$T$17="Microlensing",POWER(Upgrades!$U$17,I400),1)*IF(Upgrades!$T$18="Microlensing",POWER(Upgrades!$U$18,J400),1)*IF(Upgrades!$T$19="Microlensing",POWER(Upgrades!$U$19,K400),1)*IF(Upgrades!$T$20="Microlensing",POWER(Upgrades!$U$20,L400),1)*IF(Upgrades!$T$21="Microlensing",POWER(Upgrades!$U$21,M400),1))*$G$6*(Parameters!$B$10/60*Parameters!$B$11+Q400)/AM400,0)</f>
        <v/>
      </c>
      <c r="BB400" s="32">
        <f>IFERROR((Upgrades!$N$16*(POWER(Upgrades!$R$13,E400)*POWER(Upgrades!$R$14,F400)*POWER(Upgrades!$R$15,G400)*POWER(Upgrades!$R$16,H400)*POWER(Upgrades!$R$17,I400)*POWER(Upgrades!$R$18,J400)*POWER(Upgrades!$R$19,K400)*POWER(Upgrades!$R$20,L400)*POWER(Upgrades!$R$21,M400))*(IF(Upgrades!$T$13="Roche Lobe Overflow",POWER(Upgrades!$U$13,E400),1)*IF(Upgrades!$T$14="Roche Lobe Overflow",POWER(Upgrades!$U$14,F400),1)*IF(Upgrades!$T$15="Roche Lobe Overflow",POWER(Upgrades!$U$15,G400),1)*IF(Upgrades!$T$17="Roche Lobe Overflow",POWER(Upgrades!$U$17,I400),1)*IF(Upgrades!$T$18="Roche Lobe Overflow",POWER(Upgrades!$U$18,J400),1)*IF(Upgrades!$T$19="Roche Lobe Overflow",POWER(Upgrades!$U$19,K400),1)*IF(Upgrades!$T$20="Roche Lobe Overflow",POWER(Upgrades!$U$20,L400),1)*IF(Upgrades!$T$21="Roche Lobe Overflow",POWER(Upgrades!$U$21,M400),1))*$H$6*O400+((IF(F400=0,0,(Upgrades!$G$14+F400*Upgrades!$H$14)*POWER(Upgrades!$I$14,F400)))*(IF(Upgrades!$T$13="Local Bubble",POWER(Upgrades!$U$13,E400),1)*IF(Upgrades!$T$15="Local Bubble",POWER(Upgrades!$U$15,G400),1)*IF(Upgrades!$T$16="Local Bubble",POWER(Upgrades!$U$16,H400),1)*IF(Upgrades!$T$17="Local Bubble",POWER(Upgrades!$U$17,I400),1)*IF(Upgrades!$T$18="Local Bubble",POWER(Upgrades!$U$18,J400),1)*IF(Upgrades!$T$19="Local Bubble",POWER(Upgrades!$U$19,K400),1)*IF(Upgrades!$T$20="Local Bubble",POWER(Upgrades!$U$20,L400),1)*IF(Upgrades!$T$21="Local Bubble",POWER(Upgrades!$U$21,M400),1))*POWER(Upgrades!$P$13,E400)*POWER(Upgrades!$P$14,F400)*POWER(Upgrades!$P$15,G400)*POWER(Upgrades!$P$16,H400)*POWER(Upgrades!$P$17,I400)*POWER(Upgrades!$P$18,J400)*POWER(Upgrades!$P$19,K400)*POWER(Upgrades!$P$20,L400)*POWER(Upgrades!$P$21,M400)*$F$6)*0.05)/AN400,0)</f>
        <v/>
      </c>
      <c r="BC400" s="32">
        <f>IFERROR((Upgrades!$H$17*(POWER(Upgrades!$P$13,E400)*POWER(Upgrades!$P$14,F400)*POWER(Upgrades!$P$15,G400)*POWER(Upgrades!$P$16,H400)*POWER(Upgrades!$P$17,I400)*POWER(Upgrades!$P$18,J400)*POWER(Upgrades!$P$19,K400)*POWER(Upgrades!$P$20,L400)*POWER(Upgrades!$P$21,M400))*(IF(Upgrades!$T$13="Brown Dwarf",POWER(Upgrades!$U$13,E400),1)*IF(Upgrades!$T$14="Brown Dwarf",POWER(Upgrades!$U$14,F400),1)*IF(Upgrades!$T$15="Brown Dwarf",POWER(Upgrades!$U$15,G400),1)*IF(Upgrades!$T$16="Brown Dwarf",POWER(Upgrades!$U$16,H400),1)*IF(Upgrades!$T$18="Brown Dwarf",POWER(Upgrades!$U$18,J400),1)*IF(Upgrades!$T$19="Brown Dwarf",POWER(Upgrades!$U$19,K400),1)*IF(Upgrades!$T$20="Brown Dwarf",POWER(Upgrades!$U$20,L400),1)*IF(Upgrades!$T$21="Brown Dwarf",POWER(Upgrades!$U$21,M400),1))*$F$6+(((IF(H400=0,0,(Upgrades!$M$16+H400*Upgrades!$N$16)*POWER(Upgrades!$O$16,H400)))*(IF(Upgrades!$T$13="Roche Lobe Overflow",POWER(Upgrades!$U$13,E400),1)*IF(Upgrades!$T$14="Roche Lobe Overflow",POWER(Upgrades!$U$14,F400),1)*IF(Upgrades!$T$15="Roche Lobe Overflow",POWER(Upgrades!$U$15,G400),1)*IF(Upgrades!$T$17="Roche Lobe Overflow",POWER(Upgrades!$U$17,I400),1)*IF(Upgrades!$T$18="Roche Lobe Overflow",POWER(Upgrades!$U$18,J400),1)*IF(Upgrades!$T$19="Roche Lobe Overflow",POWER(Upgrades!$U$19,K400),1)*IF(Upgrades!$T$20="Roche Lobe Overflow",POWER(Upgrades!$U$20,L400),1)*IF(Upgrades!$T$21="Roche Lobe Overflow",POWER(Upgrades!$U$21,M400),1))*POWER(Upgrades!$R$13,E400)*POWER(Upgrades!$R$14,F400)*POWER(Upgrades!$R$15,G400)*POWER(Upgrades!$R$16,H400)*POWER(Upgrades!$R$17,I400)*POWER(Upgrades!$R$18,J400)*POWER(Upgrades!$R$19,K400)*POWER(Upgrades!$R$20,L400)*POWER(Upgrades!$R$21,M400)*$H$6)*O400)*0.10)/AO400,0)</f>
        <v/>
      </c>
      <c r="BD400" s="32">
        <f>MAX(IF(J400&gt;0,0,IFERROR(0.5*((IF(G400=0,0,(Upgrades!$J$15+G400*Upgrades!$K$15)*POWER(Upgrades!$L$15,G400)))*(IF(Upgrades!$T$13="Microlensing",POWER(Upgrades!$U$13,E400),1)*IF(Upgrades!$T$14="Microlensing",POWER(Upgrades!$U$14,F400),1)*IF(Upgrades!$T$16="Microlensing",POWER(Upgrades!$U$16,H400),1)*IF(Upgrades!$T$17="Microlensing",POWER(Upgrades!$U$17,I400),1)*IF(Upgrades!$T$18="Microlensing",POWER(Upgrades!$U$18,J400),1)*IF(Upgrades!$T$19="Microlensing",POWER(Upgrades!$U$19,K400),1)*IF(Upgrades!$T$20="Microlensing",POWER(Upgrades!$U$20,L400),1)*IF(Upgrades!$T$21="Microlensing",POWER(Upgrades!$U$21,M400),1))*(POWER(Upgrades!$Q$13,E400)*POWER(Upgrades!$Q$14,F400)*POWER(Upgrades!$Q$15,G400)*POWER(Upgrades!$Q$16,H400)*POWER(Upgrades!$Q$17,I400)*POWER(Upgrades!$Q$18,J400)*POWER(Upgrades!$Q$19,K400)*POWER(Upgrades!$Q$20,L400)*POWER(Upgrades!$Q$21,M400))*$G$6*(Parameters!$B$10/60*Parameters!$B$11+Q400))/Upgrades!$C$18,0)),IF(K400&gt;0,0,IFERROR(0.30*P400/Upgrades!$C$19,0)),IF(L400&gt;0,0,IFERROR(0.0001/Upgrades!$C$20,0)),IF(M400&gt;0,0,IFERROR((6.0*(POWER(Upgrades!$P$13,E400)*POWER(Upgrades!$P$14,F400)*POWER(Upgrades!$P$15,G400)*POWER(Upgrades!$P$16,H400)*POWER(Upgrades!$P$17,I400)*POWER(Upgrades!$P$18,J400)*POWER(Upgrades!$P$19,K400)*POWER(Upgrades!$P$20,L400)*POWER(Upgrades!$P$21,M400))*$F$6+0.20*O400*(Parameters!$B$10/60*Parameters!$B$11+Q400))/Upgrades!$C$21,0)),IF(AND(ISNUMBER(AK400),AK400&gt;(C400+T400)),AY400,0),IF(AND(ISNUMBER(AL400),AL400&gt;(C400+T400)),AZ400,0),IF(AND(ISNUMBER(AM400),AM400&gt;(C400+T400)),BA400,0),IF(AND(ISNUMBER(AN400),AN400&gt;(C400+T400)),BB400,0),IF(AND(ISNUMBER(AO400),AO400&gt;(C400+T400)),BC400,0))</f>
        <v/>
      </c>
      <c r="BE400" s="29">
        <f>IF(AT400=1,"transition",IF(MIN(IF(AND(J400=0,ISNUMBER(AP400),AP400&lt;=(C400+T400)),AP400,9E15),IF(AND(K400=0,ISNUMBER(AQ400),AQ400&lt;=(C400+T400)),AQ400,9E15),IF(AND(L400=0,ISNUMBER(AR400),AR400&lt;=(C400+T400)),AR400,9E15),IF(AND(M400=0,ISNUMBER(AS400),AS400&lt;=(C400+T400)),AS400,9E15))&lt;9E15,IF(AND(AND(J400=0,ISNUMBER(AP400),AP400&lt;=(C400+T400)),AP400=MIN(IF(AND(J400=0,ISNUMBER(AP400),AP400&lt;=(C400+T400)),AP400,9E15),IF(AND(K400=0,ISNUMBER(AQ400),AQ400&lt;=(C400+T400)),AQ400,9E15),IF(AND(L400=0,ISNUMBER(AR400),AR400&lt;=(C400+T400)),AR400,9E15),IF(AND(M400=0,ISNUMBER(AS400),AS400&lt;=(C400+T400)),AS400,9E15))),"BiP",IF(AND(AND(K400=0,ISNUMBER(AQ400),AQ400&lt;=(C400+T400)),AQ400=MIN(IF(AND(J400=0,ISNUMBER(AP400),AP400&lt;=(C400+T400)),AP400,9E15),IF(AND(K400=0,ISNUMBER(AQ400),AQ400&lt;=(C400+T400)),AQ400,9E15),IF(AND(L400=0,ISNUMBER(AR400),AR400&lt;=(C400+T400)),AR400,9E15),IF(AND(M400=0,ISNUMBER(AS400),AS400&lt;=(C400+T400)),AS400,9E15))),"PV",IF(AND(AND(L400=0,ISNUMBER(AR400),AR400&lt;=(C400+T400)),AR400=MIN(IF(AND(J400=0,ISNUMBER(AP400),AP400&lt;=(C400+T400)),AP400,9E15),IF(AND(K400=0,ISNUMBER(AQ400),AQ400&lt;=(C400+T400)),AQ400,9E15),IF(AND(L400=0,ISNUMBER(AR400),AR400&lt;=(C400+T400)),AR400,9E15),IF(AND(M400=0,ISNUMBER(AS400),AS400&lt;=(C400+T400)),AS400,9E15))),"OC","MG"))),IF(AX400=TRUE,"",IF(MAX(IF(AND(NOT(AND(AU400=1,AT400&lt;&gt;1)),ISNUMBER(AK400),AK400&lt;=(C400+T400)),AY400,0),IF(AND(NOT(AND(AU400=1,AT400&lt;&gt;1)),ISNUMBER(AL400),AL400&lt;=(C400+T400)),AZ400,0),IF(AND(NOT(AND(AU400=1,AT400&lt;&gt;1)),ISNUMBER(AM400),AM400&lt;=(C400+T400)),BA400,0),IF(AND(NOT(AND(AU400=1,AT400&lt;&gt;1)),ISNUMBER(AN400),AN400&lt;=(C400+T400)),BB400,0),IF(AND(ISNUMBER(AO400),AO400&lt;=(C400+T400)),BC400,0))&lt;=0,"",IF(AND(IF(AND(NOT(AND(AU400=1,AT400&lt;&gt;1)),ISNUMBER(AK400),AK400&lt;=(C400+T400)),AY400,0)&gt;0,IF(AND(NOT(AND(AU400=1,AT400&lt;&gt;1)),ISNUMBER(AK400),AK400&lt;=(C400+T400)),AY400,0)=MAX(IF(AND(NOT(AND(AU400=1,AT400&lt;&gt;1)),ISNUMBER(AK400),AK400&lt;=(C400+T400)),AY400,0),IF(AND(NOT(AND(AU400=1,AT400&lt;&gt;1)),ISNUMBER(AL400),AL400&lt;=(C400+T400)),AZ400,0),IF(AND(NOT(AND(AU400=1,AT400&lt;&gt;1)),ISNUMBER(AM400),AM400&lt;=(C400+T400)),BA400,0),IF(AND(NOT(AND(AU400=1,AT400&lt;&gt;1)),ISNUMBER(AN400),AN400&lt;=(C400+T400)),BB400,0),IF(AND(ISNUMBER(AO400),AO400&lt;=(C400+T400)),BC400,0))),"SK",IF(AND(IF(AND(NOT(AND(AU400=1,AT400&lt;&gt;1)),ISNUMBER(AL400),AL400&lt;=(C400+T400)),AZ400,0)&gt;0,IF(AND(NOT(AND(AU400=1,AT400&lt;&gt;1)),ISNUMBER(AL400),AL400&lt;=(C400+T400)),AZ400,0)=MAX(IF(AND(NOT(AND(AU400=1,AT400&lt;&gt;1)),ISNUMBER(AK400),AK400&lt;=(C400+T400)),AY400,0),IF(AND(NOT(AND(AU400=1,AT400&lt;&gt;1)),ISNUMBER(AL400),AL400&lt;=(C400+T400)),AZ400,0),IF(AND(NOT(AND(AU400=1,AT400&lt;&gt;1)),ISNUMBER(AM400),AM400&lt;=(C400+T400)),BA400,0),IF(AND(NOT(AND(AU400=1,AT400&lt;&gt;1)),ISNUMBER(AN400),AN400&lt;=(C400+T400)),BB400,0),IF(AND(ISNUMBER(AO400),AO400&lt;=(C400+T400)),BC400,0))),"LB",IF(AND(IF(AND(NOT(AND(AU400=1,AT400&lt;&gt;1)),ISNUMBER(AM400),AM400&lt;=(C400+T400)),BA400,0)&gt;0,IF(AND(NOT(AND(AU400=1,AT400&lt;&gt;1)),ISNUMBER(AM400),AM400&lt;=(C400+T400)),BA400,0)=MAX(IF(AND(NOT(AND(AU400=1,AT400&lt;&gt;1)),ISNUMBER(AK400),AK400&lt;=(C400+T400)),AY400,0),IF(AND(NOT(AND(AU400=1,AT400&lt;&gt;1)),ISNUMBER(AL400),AL400&lt;=(C400+T400)),AZ400,0),IF(AND(NOT(AND(AU400=1,AT400&lt;&gt;1)),ISNUMBER(AM400),AM400&lt;=(C400+T400)),BA400,0),IF(AND(NOT(AND(AU400=1,AT400&lt;&gt;1)),ISNUMBER(AN400),AN400&lt;=(C400+T400)),BB400,0),IF(AND(ISNUMBER(AO400),AO400&lt;=(C400+T400)),BC400,0))),"ML",IF(AND(IF(AND(NOT(AND(AU400=1,AT400&lt;&gt;1)),ISNUMBER(AN400),AN400&lt;=(C400+T400)),BB400,0)&gt;0,IF(AND(NOT(AND(AU400=1,AT400&lt;&gt;1)),ISNUMBER(AN400),AN400&lt;=(C400+T400)),BB400,0)=MAX(IF(AND(NOT(AND(AU400=1,AT400&lt;&gt;1)),ISNUMBER(AK400),AK400&lt;=(C400+T400)),AY400,0),IF(AND(NOT(AND(AU400=1,AT400&lt;&gt;1)),ISNUMBER(AL400),AL400&lt;=(C400+T400)),AZ400,0),IF(AND(NOT(AND(AU400=1,AT400&lt;&gt;1)),ISNUMBER(AM400),AM400&lt;=(C400+T400)),BA400,0),IF(AND(NOT(AND(AU400=1,AT400&lt;&gt;1)),ISNUMBER(AN400),AN400&lt;=(C400+T400)),BB400,0),IF(AND(ISNUMBER(AO400),AO400&lt;=(C400+T400)),BC400,0))),"RLO","BD"))))))))</f>
        <v/>
      </c>
    </row>
    <row r="401">
      <c r="A401" s="26" t="n">
        <v>390</v>
      </c>
      <c r="B401" s="27">
        <f>A401*10/60</f>
        <v/>
      </c>
      <c r="C401" s="22">
        <f>X400</f>
        <v/>
      </c>
      <c r="D401" s="27">
        <f>D400+W400</f>
        <v/>
      </c>
      <c r="E401" s="26">
        <f>E400+IF(U400="SK",1,0)</f>
        <v/>
      </c>
      <c r="F401" s="26">
        <f>F400+IF(U400="LB",1,0)</f>
        <v/>
      </c>
      <c r="G401" s="26">
        <f>G400+IF(U400="ML",1,0)</f>
        <v/>
      </c>
      <c r="H401" s="26">
        <f>H400+IF(U400="RLO",1,0)</f>
        <v/>
      </c>
      <c r="I401" s="26">
        <f>I400+IF(U400="BD",1,0)</f>
        <v/>
      </c>
      <c r="J401" s="26">
        <f>MAX(J400,IF(U400="BiP",1,0))</f>
        <v/>
      </c>
      <c r="K401" s="26">
        <f>MAX(K400,IF(U400="PV",1,0))</f>
        <v/>
      </c>
      <c r="L401" s="26">
        <f>MAX(L400,IF(U400="OC",1,0))</f>
        <v/>
      </c>
      <c r="M401" s="26">
        <f>MAX(M400,IF(U400="MG",1,0))</f>
        <v/>
      </c>
      <c r="N401" s="26">
        <f>MAX(N400,IF(U400="transition",1,0))</f>
        <v/>
      </c>
      <c r="O401" s="28">
        <f>(Parameters!$B$9+(IF(E401=0,0,(Upgrades!$J$13+E401*Upgrades!$K$13)*POWER(Upgrades!$L$13,E401)))*(IF(Upgrades!$T$14="Stellar Kinematics",POWER(Upgrades!$U$14,F401),1)*IF(Upgrades!$T$15="Stellar Kinematics",POWER(Upgrades!$U$15,G401),1)*IF(Upgrades!$T$16="Stellar Kinematics",POWER(Upgrades!$U$16,H401),1)*IF(Upgrades!$T$17="Stellar Kinematics",POWER(Upgrades!$U$17,I401),1)*IF(Upgrades!$T$18="Stellar Kinematics",POWER(Upgrades!$U$18,J401),1)*IF(Upgrades!$T$19="Stellar Kinematics",POWER(Upgrades!$U$19,K401),1)*IF(Upgrades!$T$20="Stellar Kinematics",POWER(Upgrades!$U$20,L401),1)*IF(Upgrades!$T$21="Stellar Kinematics",POWER(Upgrades!$U$21,M401),1))+(IF(F401=0,0,(Upgrades!$J$14+F401*Upgrades!$K$14)*POWER(Upgrades!$L$14,F401)))*(IF(Upgrades!$T$13="Local Bubble",POWER(Upgrades!$U$13,E401),1)*IF(Upgrades!$T$15="Local Bubble",POWER(Upgrades!$U$15,G401),1)*IF(Upgrades!$T$16="Local Bubble",POWER(Upgrades!$U$16,H401),1)*IF(Upgrades!$T$17="Local Bubble",POWER(Upgrades!$U$17,I401),1)*IF(Upgrades!$T$18="Local Bubble",POWER(Upgrades!$U$18,J401),1)*IF(Upgrades!$T$19="Local Bubble",POWER(Upgrades!$U$19,K401),1)*IF(Upgrades!$T$20="Local Bubble",POWER(Upgrades!$U$20,L401),1)*IF(Upgrades!$T$21="Local Bubble",POWER(Upgrades!$U$21,M401),1))+(IF(G401=0,0,(Upgrades!$J$15+G401*Upgrades!$K$15)*POWER(Upgrades!$L$15,G401)))*(IF(Upgrades!$T$13="Microlensing",POWER(Upgrades!$U$13,E401),1)*IF(Upgrades!$T$14="Microlensing",POWER(Upgrades!$U$14,F401),1)*IF(Upgrades!$T$16="Microlensing",POWER(Upgrades!$U$16,H401),1)*IF(Upgrades!$T$17="Microlensing",POWER(Upgrades!$U$17,I401),1)*IF(Upgrades!$T$18="Microlensing",POWER(Upgrades!$U$18,J401),1)*IF(Upgrades!$T$19="Microlensing",POWER(Upgrades!$U$19,K401),1)*IF(Upgrades!$T$20="Microlensing",POWER(Upgrades!$U$20,L401),1)*IF(Upgrades!$T$21="Microlensing",POWER(Upgrades!$U$21,M401),1))+(IF(H401=0,0,(Upgrades!$J$16+H401*Upgrades!$K$16)*POWER(Upgrades!$L$16,H401)))*(IF(Upgrades!$T$13="Roche Lobe Overflow",POWER(Upgrades!$U$13,E401),1)*IF(Upgrades!$T$14="Roche Lobe Overflow",POWER(Upgrades!$U$14,F401),1)*IF(Upgrades!$T$15="Roche Lobe Overflow",POWER(Upgrades!$U$15,G401),1)*IF(Upgrades!$T$17="Roche Lobe Overflow",POWER(Upgrades!$U$17,I401),1)*IF(Upgrades!$T$18="Roche Lobe Overflow",POWER(Upgrades!$U$18,J401),1)*IF(Upgrades!$T$19="Roche Lobe Overflow",POWER(Upgrades!$U$19,K401),1)*IF(Upgrades!$T$20="Roche Lobe Overflow",POWER(Upgrades!$U$20,L401),1)*IF(Upgrades!$T$21="Roche Lobe Overflow",POWER(Upgrades!$U$21,M401),1))+(IF(I401=0,0,(Upgrades!$J$17+I401*Upgrades!$K$17)*POWER(Upgrades!$L$17,I401)))*(IF(Upgrades!$T$13="Brown Dwarf",POWER(Upgrades!$U$13,E401),1)*IF(Upgrades!$T$14="Brown Dwarf",POWER(Upgrades!$U$14,F401),1)*IF(Upgrades!$T$15="Brown Dwarf",POWER(Upgrades!$U$15,G401),1)*IF(Upgrades!$T$16="Brown Dwarf",POWER(Upgrades!$U$16,H401),1)*IF(Upgrades!$T$18="Brown Dwarf",POWER(Upgrades!$U$18,J401),1)*IF(Upgrades!$T$19="Brown Dwarf",POWER(Upgrades!$U$19,K401),1)*IF(Upgrades!$T$20="Brown Dwarf",POWER(Upgrades!$U$20,L401),1)*IF(Upgrades!$T$21="Brown Dwarf",POWER(Upgrades!$U$21,M401),1))+(IF(J401=0,0,(Upgrades!$J$18+J401*Upgrades!$K$18)*POWER(Upgrades!$L$18,J401)))*(IF(Upgrades!$T$13="Binary Partner",POWER(Upgrades!$U$13,E401),1)*IF(Upgrades!$T$14="Binary Partner",POWER(Upgrades!$U$14,F401),1)*IF(Upgrades!$T$15="Binary Partner",POWER(Upgrades!$U$15,G401),1)*IF(Upgrades!$T$16="Binary Partner",POWER(Upgrades!$U$16,H401),1)*IF(Upgrades!$T$17="Binary Partner",POWER(Upgrades!$U$17,I401),1)*IF(Upgrades!$T$19="Binary Partner",POWER(Upgrades!$U$19,K401),1)*IF(Upgrades!$T$20="Binary Partner",POWER(Upgrades!$U$20,L401),1)*IF(Upgrades!$T$21="Binary Partner",POWER(Upgrades!$U$21,M401),1))+(IF(K401=0,0,(Upgrades!$J$19+K401*Upgrades!$K$19)*POWER(Upgrades!$L$19,K401)))*(IF(Upgrades!$T$13="Peculiar Velocity",POWER(Upgrades!$U$13,E401),1)*IF(Upgrades!$T$14="Peculiar Velocity",POWER(Upgrades!$U$14,F401),1)*IF(Upgrades!$T$15="Peculiar Velocity",POWER(Upgrades!$U$15,G401),1)*IF(Upgrades!$T$16="Peculiar Velocity",POWER(Upgrades!$U$16,H401),1)*IF(Upgrades!$T$17="Peculiar Velocity",POWER(Upgrades!$U$17,I401),1)*IF(Upgrades!$T$18="Peculiar Velocity",POWER(Upgrades!$U$18,J401),1)*IF(Upgrades!$T$20="Peculiar Velocity",POWER(Upgrades!$U$20,L401),1)*IF(Upgrades!$T$21="Peculiar Velocity",POWER(Upgrades!$U$21,M401),1))+(IF(L401=0,0,(Upgrades!$J$20+L401*Upgrades!$K$20)*POWER(Upgrades!$L$20,L401)))*(IF(Upgrades!$T$13="Open Cluster",POWER(Upgrades!$U$13,E401),1)*IF(Upgrades!$T$14="Open Cluster",POWER(Upgrades!$U$14,F401),1)*IF(Upgrades!$T$15="Open Cluster",POWER(Upgrades!$U$15,G401),1)*IF(Upgrades!$T$16="Open Cluster",POWER(Upgrades!$U$16,H401),1)*IF(Upgrades!$T$17="Open Cluster",POWER(Upgrades!$U$17,I401),1)*IF(Upgrades!$T$18="Open Cluster",POWER(Upgrades!$U$18,J401),1)*IF(Upgrades!$T$19="Open Cluster",POWER(Upgrades!$U$19,K401),1)*IF(Upgrades!$T$21="Open Cluster",POWER(Upgrades!$U$21,M401),1))+(IF(M401=0,0,(Upgrades!$J$21+M401*Upgrades!$K$21)*POWER(Upgrades!$L$21,M401)))*(IF(Upgrades!$T$13="Moving Group",POWER(Upgrades!$U$13,E401),1)*IF(Upgrades!$T$14="Moving Group",POWER(Upgrades!$U$14,F401),1)*IF(Upgrades!$T$15="Moving Group",POWER(Upgrades!$U$15,G401),1)*IF(Upgrades!$T$16="Moving Group",POWER(Upgrades!$U$16,H401),1)*IF(Upgrades!$T$17="Moving Group",POWER(Upgrades!$U$17,I401),1)*IF(Upgrades!$T$18="Moving Group",POWER(Upgrades!$U$18,J401),1)*IF(Upgrades!$T$19="Moving Group",POWER(Upgrades!$U$19,K401),1)*IF(Upgrades!$T$20="Moving Group",POWER(Upgrades!$U$20,L401),1)))*POWER(Upgrades!$Q$13,E401)*POWER(Upgrades!$Q$14,F401)*POWER(Upgrades!$Q$15,G401)*POWER(Upgrades!$Q$16,H401)*POWER(Upgrades!$Q$17,I401)*POWER(Upgrades!$Q$18,J401)*POWER(Upgrades!$Q$19,K401)*POWER(Upgrades!$Q$20,L401)*POWER(Upgrades!$Q$21,M401)*$G$6+$D$6</f>
        <v/>
      </c>
      <c r="P401" s="28">
        <f>((IF(E401=0,0,(Upgrades!$G$13+E401*Upgrades!$H$13)*POWER(Upgrades!$I$13,E401)))*(IF(Upgrades!$T$14="Stellar Kinematics",POWER(Upgrades!$U$14,F401),1)*IF(Upgrades!$T$15="Stellar Kinematics",POWER(Upgrades!$U$15,G401),1)*IF(Upgrades!$T$16="Stellar Kinematics",POWER(Upgrades!$U$16,H401),1)*IF(Upgrades!$T$17="Stellar Kinematics",POWER(Upgrades!$U$17,I401),1)*IF(Upgrades!$T$18="Stellar Kinematics",POWER(Upgrades!$U$18,J401),1)*IF(Upgrades!$T$19="Stellar Kinematics",POWER(Upgrades!$U$19,K401),1)*IF(Upgrades!$T$20="Stellar Kinematics",POWER(Upgrades!$U$20,L401),1)*IF(Upgrades!$T$21="Stellar Kinematics",POWER(Upgrades!$U$21,M401),1))+(IF(F401=0,0,(Upgrades!$G$14+F401*Upgrades!$H$14)*POWER(Upgrades!$I$14,F401)))*(IF(Upgrades!$T$13="Local Bubble",POWER(Upgrades!$U$13,E401),1)*IF(Upgrades!$T$15="Local Bubble",POWER(Upgrades!$U$15,G401),1)*IF(Upgrades!$T$16="Local Bubble",POWER(Upgrades!$U$16,H401),1)*IF(Upgrades!$T$17="Local Bubble",POWER(Upgrades!$U$17,I401),1)*IF(Upgrades!$T$18="Local Bubble",POWER(Upgrades!$U$18,J401),1)*IF(Upgrades!$T$19="Local Bubble",POWER(Upgrades!$U$19,K401),1)*IF(Upgrades!$T$20="Local Bubble",POWER(Upgrades!$U$20,L401),1)*IF(Upgrades!$T$21="Local Bubble",POWER(Upgrades!$U$21,M401),1))+(IF(G401=0,0,(Upgrades!$G$15+G401*Upgrades!$H$15)*POWER(Upgrades!$I$15,G401)))*(IF(Upgrades!$T$13="Microlensing",POWER(Upgrades!$U$13,E401),1)*IF(Upgrades!$T$14="Microlensing",POWER(Upgrades!$U$14,F401),1)*IF(Upgrades!$T$16="Microlensing",POWER(Upgrades!$U$16,H401),1)*IF(Upgrades!$T$17="Microlensing",POWER(Upgrades!$U$17,I401),1)*IF(Upgrades!$T$18="Microlensing",POWER(Upgrades!$U$18,J401),1)*IF(Upgrades!$T$19="Microlensing",POWER(Upgrades!$U$19,K401),1)*IF(Upgrades!$T$20="Microlensing",POWER(Upgrades!$U$20,L401),1)*IF(Upgrades!$T$21="Microlensing",POWER(Upgrades!$U$21,M401),1))+(IF(H401=0,0,(Upgrades!$G$16+H401*Upgrades!$H$16)*POWER(Upgrades!$I$16,H401)))*(IF(Upgrades!$T$13="Roche Lobe Overflow",POWER(Upgrades!$U$13,E401),1)*IF(Upgrades!$T$14="Roche Lobe Overflow",POWER(Upgrades!$U$14,F401),1)*IF(Upgrades!$T$15="Roche Lobe Overflow",POWER(Upgrades!$U$15,G401),1)*IF(Upgrades!$T$17="Roche Lobe Overflow",POWER(Upgrades!$U$17,I401),1)*IF(Upgrades!$T$18="Roche Lobe Overflow",POWER(Upgrades!$U$18,J401),1)*IF(Upgrades!$T$19="Roche Lobe Overflow",POWER(Upgrades!$U$19,K401),1)*IF(Upgrades!$T$20="Roche Lobe Overflow",POWER(Upgrades!$U$20,L401),1)*IF(Upgrades!$T$21="Roche Lobe Overflow",POWER(Upgrades!$U$21,M401),1))+(IF(I401=0,0,(Upgrades!$G$17+I401*Upgrades!$H$17)*POWER(Upgrades!$I$17,I401)))*(IF(Upgrades!$T$13="Brown Dwarf",POWER(Upgrades!$U$13,E401),1)*IF(Upgrades!$T$14="Brown Dwarf",POWER(Upgrades!$U$14,F401),1)*IF(Upgrades!$T$15="Brown Dwarf",POWER(Upgrades!$U$15,G401),1)*IF(Upgrades!$T$16="Brown Dwarf",POWER(Upgrades!$U$16,H401),1)*IF(Upgrades!$T$18="Brown Dwarf",POWER(Upgrades!$U$18,J401),1)*IF(Upgrades!$T$19="Brown Dwarf",POWER(Upgrades!$U$19,K401),1)*IF(Upgrades!$T$20="Brown Dwarf",POWER(Upgrades!$U$20,L401),1)*IF(Upgrades!$T$21="Brown Dwarf",POWER(Upgrades!$U$21,M401),1))+(IF(J401=0,0,(Upgrades!$G$18+J401*Upgrades!$H$18)*POWER(Upgrades!$I$18,J401)))*(IF(Upgrades!$T$13="Binary Partner",POWER(Upgrades!$U$13,E401),1)*IF(Upgrades!$T$14="Binary Partner",POWER(Upgrades!$U$14,F401),1)*IF(Upgrades!$T$15="Binary Partner",POWER(Upgrades!$U$15,G401),1)*IF(Upgrades!$T$16="Binary Partner",POWER(Upgrades!$U$16,H401),1)*IF(Upgrades!$T$17="Binary Partner",POWER(Upgrades!$U$17,I401),1)*IF(Upgrades!$T$19="Binary Partner",POWER(Upgrades!$U$19,K401),1)*IF(Upgrades!$T$20="Binary Partner",POWER(Upgrades!$U$20,L401),1)*IF(Upgrades!$T$21="Binary Partner",POWER(Upgrades!$U$21,M401),1))+(IF(K401=0,0,(Upgrades!$G$19+K401*Upgrades!$H$19)*POWER(Upgrades!$I$19,K401)))*(IF(Upgrades!$T$13="Peculiar Velocity",POWER(Upgrades!$U$13,E401),1)*IF(Upgrades!$T$14="Peculiar Velocity",POWER(Upgrades!$U$14,F401),1)*IF(Upgrades!$T$15="Peculiar Velocity",POWER(Upgrades!$U$15,G401),1)*IF(Upgrades!$T$16="Peculiar Velocity",POWER(Upgrades!$U$16,H401),1)*IF(Upgrades!$T$17="Peculiar Velocity",POWER(Upgrades!$U$17,I401),1)*IF(Upgrades!$T$18="Peculiar Velocity",POWER(Upgrades!$U$18,J401),1)*IF(Upgrades!$T$20="Peculiar Velocity",POWER(Upgrades!$U$20,L401),1)*IF(Upgrades!$T$21="Peculiar Velocity",POWER(Upgrades!$U$21,M401),1))+(IF(L401=0,0,(Upgrades!$G$20+L401*Upgrades!$H$20)*POWER(Upgrades!$I$20,L401)))*(IF(Upgrades!$T$13="Open Cluster",POWER(Upgrades!$U$13,E401),1)*IF(Upgrades!$T$14="Open Cluster",POWER(Upgrades!$U$14,F401),1)*IF(Upgrades!$T$15="Open Cluster",POWER(Upgrades!$U$15,G401),1)*IF(Upgrades!$T$16="Open Cluster",POWER(Upgrades!$U$16,H401),1)*IF(Upgrades!$T$17="Open Cluster",POWER(Upgrades!$U$17,I401),1)*IF(Upgrades!$T$18="Open Cluster",POWER(Upgrades!$U$18,J401),1)*IF(Upgrades!$T$19="Open Cluster",POWER(Upgrades!$U$19,K401),1)*IF(Upgrades!$T$21="Open Cluster",POWER(Upgrades!$U$21,M401),1))+(IF(M401=0,0,(Upgrades!$G$21+M401*Upgrades!$H$21)*POWER(Upgrades!$I$21,M401)))*(IF(Upgrades!$T$13="Moving Group",POWER(Upgrades!$U$13,E401),1)*IF(Upgrades!$T$14="Moving Group",POWER(Upgrades!$U$14,F401),1)*IF(Upgrades!$T$15="Moving Group",POWER(Upgrades!$U$15,G401),1)*IF(Upgrades!$T$16="Moving Group",POWER(Upgrades!$U$16,H401),1)*IF(Upgrades!$T$17="Moving Group",POWER(Upgrades!$U$17,I401),1)*IF(Upgrades!$T$18="Moving Group",POWER(Upgrades!$U$18,J401),1)*IF(Upgrades!$T$19="Moving Group",POWER(Upgrades!$U$19,K401),1)*IF(Upgrades!$T$20="Moving Group",POWER(Upgrades!$U$20,L401),1)))*POWER(Upgrades!$P$13,E401)*POWER(Upgrades!$P$14,F401)*POWER(Upgrades!$P$15,G401)*POWER(Upgrades!$P$16,H401)*POWER(Upgrades!$P$17,I401)*POWER(Upgrades!$P$18,J401)*POWER(Upgrades!$P$19,K401)*POWER(Upgrades!$P$20,L401)*POWER(Upgrades!$P$21,M401)*$F$6+$C$6</f>
        <v/>
      </c>
      <c r="Q401" s="28">
        <f>((IF(E401=0,0,(Upgrades!$M$13+E401*Upgrades!$N$13)*POWER(Upgrades!$O$13,E401)))*(IF(Upgrades!$T$14="Stellar Kinematics",POWER(Upgrades!$U$14,F401),1)*IF(Upgrades!$T$15="Stellar Kinematics",POWER(Upgrades!$U$15,G401),1)*IF(Upgrades!$T$16="Stellar Kinematics",POWER(Upgrades!$U$16,H401),1)*IF(Upgrades!$T$17="Stellar Kinematics",POWER(Upgrades!$U$17,I401),1)*IF(Upgrades!$T$18="Stellar Kinematics",POWER(Upgrades!$U$18,J401),1)*IF(Upgrades!$T$19="Stellar Kinematics",POWER(Upgrades!$U$19,K401),1)*IF(Upgrades!$T$20="Stellar Kinematics",POWER(Upgrades!$U$20,L401),1)*IF(Upgrades!$T$21="Stellar Kinematics",POWER(Upgrades!$U$21,M401),1))+(IF(F401=0,0,(Upgrades!$M$14+F401*Upgrades!$N$14)*POWER(Upgrades!$O$14,F401)))*(IF(Upgrades!$T$13="Local Bubble",POWER(Upgrades!$U$13,E401),1)*IF(Upgrades!$T$15="Local Bubble",POWER(Upgrades!$U$15,G401),1)*IF(Upgrades!$T$16="Local Bubble",POWER(Upgrades!$U$16,H401),1)*IF(Upgrades!$T$17="Local Bubble",POWER(Upgrades!$U$17,I401),1)*IF(Upgrades!$T$18="Local Bubble",POWER(Upgrades!$U$18,J401),1)*IF(Upgrades!$T$19="Local Bubble",POWER(Upgrades!$U$19,K401),1)*IF(Upgrades!$T$20="Local Bubble",POWER(Upgrades!$U$20,L401),1)*IF(Upgrades!$T$21="Local Bubble",POWER(Upgrades!$U$21,M401),1))+(IF(G401=0,0,(Upgrades!$M$15+G401*Upgrades!$N$15)*POWER(Upgrades!$O$15,G401)))*(IF(Upgrades!$T$13="Microlensing",POWER(Upgrades!$U$13,E401),1)*IF(Upgrades!$T$14="Microlensing",POWER(Upgrades!$U$14,F401),1)*IF(Upgrades!$T$16="Microlensing",POWER(Upgrades!$U$16,H401),1)*IF(Upgrades!$T$17="Microlensing",POWER(Upgrades!$U$17,I401),1)*IF(Upgrades!$T$18="Microlensing",POWER(Upgrades!$U$18,J401),1)*IF(Upgrades!$T$19="Microlensing",POWER(Upgrades!$U$19,K401),1)*IF(Upgrades!$T$20="Microlensing",POWER(Upgrades!$U$20,L401),1)*IF(Upgrades!$T$21="Microlensing",POWER(Upgrades!$U$21,M401),1))+(IF(H401=0,0,(Upgrades!$M$16+H401*Upgrades!$N$16)*POWER(Upgrades!$O$16,H401)))*(IF(Upgrades!$T$13="Roche Lobe Overflow",POWER(Upgrades!$U$13,E401),1)*IF(Upgrades!$T$14="Roche Lobe Overflow",POWER(Upgrades!$U$14,F401),1)*IF(Upgrades!$T$15="Roche Lobe Overflow",POWER(Upgrades!$U$15,G401),1)*IF(Upgrades!$T$17="Roche Lobe Overflow",POWER(Upgrades!$U$17,I401),1)*IF(Upgrades!$T$18="Roche Lobe Overflow",POWER(Upgrades!$U$18,J401),1)*IF(Upgrades!$T$19="Roche Lobe Overflow",POWER(Upgrades!$U$19,K401),1)*IF(Upgrades!$T$20="Roche Lobe Overflow",POWER(Upgrades!$U$20,L401),1)*IF(Upgrades!$T$21="Roche Lobe Overflow",POWER(Upgrades!$U$21,M401),1))+(IF(I401=0,0,(Upgrades!$M$17+I401*Upgrades!$N$17)*POWER(Upgrades!$O$17,I401)))*(IF(Upgrades!$T$13="Brown Dwarf",POWER(Upgrades!$U$13,E401),1)*IF(Upgrades!$T$14="Brown Dwarf",POWER(Upgrades!$U$14,F401),1)*IF(Upgrades!$T$15="Brown Dwarf",POWER(Upgrades!$U$15,G401),1)*IF(Upgrades!$T$16="Brown Dwarf",POWER(Upgrades!$U$16,H401),1)*IF(Upgrades!$T$18="Brown Dwarf",POWER(Upgrades!$U$18,J401),1)*IF(Upgrades!$T$19="Brown Dwarf",POWER(Upgrades!$U$19,K401),1)*IF(Upgrades!$T$20="Brown Dwarf",POWER(Upgrades!$U$20,L401),1)*IF(Upgrades!$T$21="Brown Dwarf",POWER(Upgrades!$U$21,M401),1))+(IF(J401=0,0,(Upgrades!$M$18+J401*Upgrades!$N$18)*POWER(Upgrades!$O$18,J401)))*(IF(Upgrades!$T$13="Binary Partner",POWER(Upgrades!$U$13,E401),1)*IF(Upgrades!$T$14="Binary Partner",POWER(Upgrades!$U$14,F401),1)*IF(Upgrades!$T$15="Binary Partner",POWER(Upgrades!$U$15,G401),1)*IF(Upgrades!$T$16="Binary Partner",POWER(Upgrades!$U$16,H401),1)*IF(Upgrades!$T$17="Binary Partner",POWER(Upgrades!$U$17,I401),1)*IF(Upgrades!$T$19="Binary Partner",POWER(Upgrades!$U$19,K401),1)*IF(Upgrades!$T$20="Binary Partner",POWER(Upgrades!$U$20,L401),1)*IF(Upgrades!$T$21="Binary Partner",POWER(Upgrades!$U$21,M401),1))+(IF(K401=0,0,(Upgrades!$M$19+K401*Upgrades!$N$19)*POWER(Upgrades!$O$19,K401)))*(IF(Upgrades!$T$13="Peculiar Velocity",POWER(Upgrades!$U$13,E401),1)*IF(Upgrades!$T$14="Peculiar Velocity",POWER(Upgrades!$U$14,F401),1)*IF(Upgrades!$T$15="Peculiar Velocity",POWER(Upgrades!$U$15,G401),1)*IF(Upgrades!$T$16="Peculiar Velocity",POWER(Upgrades!$U$16,H401),1)*IF(Upgrades!$T$17="Peculiar Velocity",POWER(Upgrades!$U$17,I401),1)*IF(Upgrades!$T$18="Peculiar Velocity",POWER(Upgrades!$U$18,J401),1)*IF(Upgrades!$T$20="Peculiar Velocity",POWER(Upgrades!$U$20,L401),1)*IF(Upgrades!$T$21="Peculiar Velocity",POWER(Upgrades!$U$21,M401),1))+(IF(L401=0,0,(Upgrades!$M$20+L401*Upgrades!$N$20)*POWER(Upgrades!$O$20,L401)))*(IF(Upgrades!$T$13="Open Cluster",POWER(Upgrades!$U$13,E401),1)*IF(Upgrades!$T$14="Open Cluster",POWER(Upgrades!$U$14,F401),1)*IF(Upgrades!$T$15="Open Cluster",POWER(Upgrades!$U$15,G401),1)*IF(Upgrades!$T$16="Open Cluster",POWER(Upgrades!$U$16,H401),1)*IF(Upgrades!$T$17="Open Cluster",POWER(Upgrades!$U$17,I401),1)*IF(Upgrades!$T$18="Open Cluster",POWER(Upgrades!$U$18,J401),1)*IF(Upgrades!$T$19="Open Cluster",POWER(Upgrades!$U$19,K401),1)*IF(Upgrades!$T$21="Open Cluster",POWER(Upgrades!$U$21,M401),1))+(IF(M401=0,0,(Upgrades!$M$21+M401*Upgrades!$N$21)*POWER(Upgrades!$O$21,M401)))*(IF(Upgrades!$T$13="Moving Group",POWER(Upgrades!$U$13,E401),1)*IF(Upgrades!$T$14="Moving Group",POWER(Upgrades!$U$14,F401),1)*IF(Upgrades!$T$15="Moving Group",POWER(Upgrades!$U$15,G401),1)*IF(Upgrades!$T$16="Moving Group",POWER(Upgrades!$U$16,H401),1)*IF(Upgrades!$T$17="Moving Group",POWER(Upgrades!$U$17,I401),1)*IF(Upgrades!$T$18="Moving Group",POWER(Upgrades!$U$18,J401),1)*IF(Upgrades!$T$19="Moving Group",POWER(Upgrades!$U$19,K401),1)*IF(Upgrades!$T$20="Moving Group",POWER(Upgrades!$U$20,L401),1)))*POWER(Upgrades!$R$13,E401)*POWER(Upgrades!$R$14,F401)*POWER(Upgrades!$R$15,G401)*POWER(Upgrades!$R$16,H401)*POWER(Upgrades!$R$17,I401)*POWER(Upgrades!$R$18,J401)*POWER(Upgrades!$R$19,K401)*POWER(Upgrades!$R$20,L401)*POWER(Upgrades!$R$21,M401)*$H$6+$E$6</f>
        <v/>
      </c>
      <c r="R401" s="27">
        <f>IF(N401=1,0,O401*Parameters!$B$10/60*Parameters!$B$11*10)</f>
        <v/>
      </c>
      <c r="S401" s="27">
        <f>IF(N401=1,0,Q401*O401*10)</f>
        <v/>
      </c>
      <c r="T401" s="27">
        <f>IF(N401=1,0,R401+S401+P401*10)</f>
        <v/>
      </c>
      <c r="U401" s="33">
        <f>BE401</f>
        <v/>
      </c>
      <c r="V401" s="22">
        <f>IF(U401="",0,IF(U401="transition",0,IF(U401="SK",AK401,IF(U401="LB",AL401,IF(U401="ML",AM401,IF(U401="RLO",AN401,IF(U401="BD",AO401,IF(U401="BiP",AP401,IF(U401="PV",AQ401,IF(U401="OC",AR401,IF(U401="MG",AS401,0))))))))))</f>
        <v/>
      </c>
      <c r="W401" s="27">
        <f>IF(U401="BiP",Upgrades!$F$18,IF(U401="PV",Upgrades!$F$19,IF(U401="OC",Upgrades!$F$20,IF(U401="MG",Upgrades!$F$21,IF(U401="transition",-Parameters!$B$18*Parameters!$B$19,0)))))</f>
        <v/>
      </c>
      <c r="X401" s="22">
        <f>C401+T401-V401</f>
        <v/>
      </c>
      <c r="Y401" s="30">
        <f>O401*Parameters!$B$10/60*Parameters!$B$11+Q401*O401+P401</f>
        <v/>
      </c>
      <c r="Z401" s="34">
        <f>IF(U401="transition","→ Tier 3 (Galactic Arm)",IF(U401="MG","Moving Group — pocket drifts together",IF(U401="OC","Open Cluster acquired",IF(U401="PV","Peculiar Velocity — passive multiplier active",IF(U401="BiP","Binary Partner — pair bond formed",IF(AND(AU401=1,N401=0,AT401&lt;&gt;1),"Cohesion ready (waiting on completionists)","")))))) </f>
        <v/>
      </c>
      <c r="AA401" s="27">
        <f>(IF(E401=0,0,(Upgrades!$G$13+E401*Upgrades!$H$13)*POWER(Upgrades!$I$13,E401)))*(IF(Upgrades!$T$14="Stellar Kinematics",POWER(Upgrades!$U$14,F401),1)*IF(Upgrades!$T$15="Stellar Kinematics",POWER(Upgrades!$U$15,G401),1)*IF(Upgrades!$T$16="Stellar Kinematics",POWER(Upgrades!$U$16,H401),1)*IF(Upgrades!$T$17="Stellar Kinematics",POWER(Upgrades!$U$17,I401),1)*IF(Upgrades!$T$18="Stellar Kinematics",POWER(Upgrades!$U$18,J401),1)*IF(Upgrades!$T$19="Stellar Kinematics",POWER(Upgrades!$U$19,K401),1)*IF(Upgrades!$T$20="Stellar Kinematics",POWER(Upgrades!$U$20,L401),1)*IF(Upgrades!$T$21="Stellar Kinematics",POWER(Upgrades!$U$21,M401),1))*POWER(Upgrades!$P$13,E401)*POWER(Upgrades!$P$14,F401)*POWER(Upgrades!$P$15,G401)*POWER(Upgrades!$P$16,H401)*POWER(Upgrades!$P$17,I401)*POWER(Upgrades!$P$18,J401)*POWER(Upgrades!$P$19,K401)*POWER(Upgrades!$P$20,L401)*POWER(Upgrades!$P$21,M401)*$F$6*60</f>
        <v/>
      </c>
      <c r="AB401" s="27">
        <f>(IF(F401=0,0,(Upgrades!$G$14+F401*Upgrades!$H$14)*POWER(Upgrades!$I$14,F401)))*(IF(Upgrades!$T$13="Local Bubble",POWER(Upgrades!$U$13,E401),1)*IF(Upgrades!$T$15="Local Bubble",POWER(Upgrades!$U$15,G401),1)*IF(Upgrades!$T$16="Local Bubble",POWER(Upgrades!$U$16,H401),1)*IF(Upgrades!$T$17="Local Bubble",POWER(Upgrades!$U$17,I401),1)*IF(Upgrades!$T$18="Local Bubble",POWER(Upgrades!$U$18,J401),1)*IF(Upgrades!$T$19="Local Bubble",POWER(Upgrades!$U$19,K401),1)*IF(Upgrades!$T$20="Local Bubble",POWER(Upgrades!$U$20,L401),1)*IF(Upgrades!$T$21="Local Bubble",POWER(Upgrades!$U$21,M401),1))*POWER(Upgrades!$P$13,E401)*POWER(Upgrades!$P$14,F401)*POWER(Upgrades!$P$15,G401)*POWER(Upgrades!$P$16,H401)*POWER(Upgrades!$P$17,I401)*POWER(Upgrades!$P$18,J401)*POWER(Upgrades!$P$19,K401)*POWER(Upgrades!$P$20,L401)*POWER(Upgrades!$P$21,M401)*$F$6*60</f>
        <v/>
      </c>
      <c r="AC401" s="27">
        <f>(IF(G401=0,0,(Upgrades!$J$15+G401*Upgrades!$K$15)*POWER(Upgrades!$L$15,G401)))*(IF(Upgrades!$T$13="Microlensing",POWER(Upgrades!$U$13,E401),1)*IF(Upgrades!$T$14="Microlensing",POWER(Upgrades!$U$14,F401),1)*IF(Upgrades!$T$16="Microlensing",POWER(Upgrades!$U$16,H401),1)*IF(Upgrades!$T$17="Microlensing",POWER(Upgrades!$U$17,I401),1)*IF(Upgrades!$T$18="Microlensing",POWER(Upgrades!$U$18,J401),1)*IF(Upgrades!$T$19="Microlensing",POWER(Upgrades!$U$19,K401),1)*IF(Upgrades!$T$20="Microlensing",POWER(Upgrades!$U$20,L401),1)*IF(Upgrades!$T$21="Microlensing",POWER(Upgrades!$U$21,M401),1))*POWER(Upgrades!$Q$13,E401)*POWER(Upgrades!$Q$14,F401)*POWER(Upgrades!$Q$15,G401)*POWER(Upgrades!$Q$16,H401)*POWER(Upgrades!$Q$17,I401)*POWER(Upgrades!$Q$18,J401)*POWER(Upgrades!$Q$19,K401)*POWER(Upgrades!$Q$20,L401)*POWER(Upgrades!$Q$21,M401)*$G$6*(Parameters!$B$10*Parameters!$B$11+Q401*60)</f>
        <v/>
      </c>
      <c r="AD401" s="27">
        <f>(IF(H401=0,0,(Upgrades!$M$16+H401*Upgrades!$N$16)*POWER(Upgrades!$O$16,H401)))*(IF(Upgrades!$T$13="Roche Lobe Overflow",POWER(Upgrades!$U$13,E401),1)*IF(Upgrades!$T$14="Roche Lobe Overflow",POWER(Upgrades!$U$14,F401),1)*IF(Upgrades!$T$15="Roche Lobe Overflow",POWER(Upgrades!$U$15,G401),1)*IF(Upgrades!$T$17="Roche Lobe Overflow",POWER(Upgrades!$U$17,I401),1)*IF(Upgrades!$T$18="Roche Lobe Overflow",POWER(Upgrades!$U$18,J401),1)*IF(Upgrades!$T$19="Roche Lobe Overflow",POWER(Upgrades!$U$19,K401),1)*IF(Upgrades!$T$20="Roche Lobe Overflow",POWER(Upgrades!$U$20,L401),1)*IF(Upgrades!$T$21="Roche Lobe Overflow",POWER(Upgrades!$U$21,M401),1))*POWER(Upgrades!$R$13,E401)*POWER(Upgrades!$R$14,F401)*POWER(Upgrades!$R$15,G401)*POWER(Upgrades!$R$16,H401)*POWER(Upgrades!$R$17,I401)*POWER(Upgrades!$R$18,J401)*POWER(Upgrades!$R$19,K401)*POWER(Upgrades!$R$20,L401)*POWER(Upgrades!$R$21,M401)*$H$6*O401*60</f>
        <v/>
      </c>
      <c r="AE401" s="27">
        <f>(IF(I401=0,0,(Upgrades!$G$17+I401*Upgrades!$H$17)*POWER(Upgrades!$I$17,I401)))*(IF(Upgrades!$T$13="Brown Dwarf",POWER(Upgrades!$U$13,E401),1)*IF(Upgrades!$T$14="Brown Dwarf",POWER(Upgrades!$U$14,F401),1)*IF(Upgrades!$T$15="Brown Dwarf",POWER(Upgrades!$U$15,G401),1)*IF(Upgrades!$T$16="Brown Dwarf",POWER(Upgrades!$U$16,H401),1)*IF(Upgrades!$T$18="Brown Dwarf",POWER(Upgrades!$U$18,J401),1)*IF(Upgrades!$T$19="Brown Dwarf",POWER(Upgrades!$U$19,K401),1)*IF(Upgrades!$T$20="Brown Dwarf",POWER(Upgrades!$U$20,L401),1)*IF(Upgrades!$T$21="Brown Dwarf",POWER(Upgrades!$U$21,M401),1))*POWER(Upgrades!$P$13,E401)*POWER(Upgrades!$P$14,F401)*POWER(Upgrades!$P$15,G401)*POWER(Upgrades!$P$16,H401)*POWER(Upgrades!$P$17,I401)*POWER(Upgrades!$P$18,J401)*POWER(Upgrades!$P$19,K401)*POWER(Upgrades!$P$20,L401)*POWER(Upgrades!$P$21,M401)*$F$6*60</f>
        <v/>
      </c>
      <c r="AF401" s="27" t="n">
        <v>0</v>
      </c>
      <c r="AG401" s="27" t="n">
        <v>0</v>
      </c>
      <c r="AH401" s="27" t="n">
        <v>0</v>
      </c>
      <c r="AI401" s="27">
        <f>(IF(M401=0,0,(Upgrades!$G$21+M401*Upgrades!$H$21)*POWER(Upgrades!$I$21,M401)))*(IF(Upgrades!$T$13="Moving Group",POWER(Upgrades!$U$13,E401),1)*IF(Upgrades!$T$14="Moving Group",POWER(Upgrades!$U$14,F401),1)*IF(Upgrades!$T$15="Moving Group",POWER(Upgrades!$U$15,G401),1)*IF(Upgrades!$T$16="Moving Group",POWER(Upgrades!$U$16,H401),1)*IF(Upgrades!$T$17="Moving Group",POWER(Upgrades!$U$17,I401),1)*IF(Upgrades!$T$18="Moving Group",POWER(Upgrades!$U$18,J401),1)*IF(Upgrades!$T$19="Moving Group",POWER(Upgrades!$U$19,K401),1)*IF(Upgrades!$T$20="Moving Group",POWER(Upgrades!$U$20,L401),1))*POWER(Upgrades!$P$13,E401)*POWER(Upgrades!$P$14,F401)*POWER(Upgrades!$P$15,G401)*POWER(Upgrades!$P$16,H401)*POWER(Upgrades!$P$17,I401)*POWER(Upgrades!$P$18,J401)*POWER(Upgrades!$P$19,K401)*POWER(Upgrades!$P$20,L401)*POWER(Upgrades!$P$21,M401)*$F$6*60</f>
        <v/>
      </c>
      <c r="AJ401" s="27">
        <f>$C$6*60</f>
        <v/>
      </c>
      <c r="AK401" s="22">
        <f>IF(E401&gt;=Upgrades!$E$13,"",Upgrades!$C$13*POWER(Upgrades!$D$13,E401))</f>
        <v/>
      </c>
      <c r="AL401" s="22">
        <f>IF(F401&gt;=Upgrades!$E$14,"",Upgrades!$C$14*POWER(Upgrades!$D$14,F401))</f>
        <v/>
      </c>
      <c r="AM401" s="22">
        <f>IF(G401&gt;=Upgrades!$E$15,"",Upgrades!$C$15*POWER(Upgrades!$D$15,G401))</f>
        <v/>
      </c>
      <c r="AN401" s="22">
        <f>IF(H401&gt;=Upgrades!$E$16,"",Upgrades!$C$16*POWER(Upgrades!$D$16,H401))</f>
        <v/>
      </c>
      <c r="AO401" s="22">
        <f>IF(I401&gt;=Upgrades!$E$17,"",Upgrades!$C$17*POWER(Upgrades!$D$17,I401))</f>
        <v/>
      </c>
      <c r="AP401" s="22">
        <f>IF(J401&gt;=Upgrades!$E$18,"",Upgrades!$C$18*POWER(Upgrades!$D$18,J401))</f>
        <v/>
      </c>
      <c r="AQ401" s="22">
        <f>IF(K401&gt;=Upgrades!$E$19,"",Upgrades!$C$19*POWER(Upgrades!$D$19,K401))</f>
        <v/>
      </c>
      <c r="AR401" s="22">
        <f>IF(L401&gt;=Upgrades!$E$20,"",Upgrades!$C$20*POWER(Upgrades!$D$20,L401))</f>
        <v/>
      </c>
      <c r="AS401" s="22">
        <f>IF(M401&gt;=Upgrades!$E$21,"",Upgrades!$C$21*POWER(Upgrades!$D$21,M401))</f>
        <v/>
      </c>
      <c r="AT401" s="26">
        <f>IF(AND(D401&gt;=Parameters!$B$18*Parameters!$B$19,(I401&gt;=Upgrades!$E$17)*(M401&gt;=Upgrades!$E$21)=1,N401=0),1,"")</f>
        <v/>
      </c>
      <c r="AU401" s="26">
        <f>IF(AND(D401&gt;=Parameters!$B$18*Parameters!$B$19,N401=0),1,"")</f>
        <v/>
      </c>
      <c r="AV401" s="22">
        <f>MIN(IF(ISNUMBER(AP401),AP401,9E15),IF(ISNUMBER(AQ401),AQ401,9E15),IF(ISNUMBER(AR401),AR401,9E15),IF(ISNUMBER(AS401),AS401,9E15))</f>
        <v/>
      </c>
      <c r="AW401" s="22">
        <f>MIN(IF(ISNUMBER(AK401),AK401,9E15),IF(ISNUMBER(AL401),AL401,9E15),IF(ISNUMBER(AM401),AM401,9E15),IF(ISNUMBER(AN401),AN401,9E15),IF(ISNUMBER(AO401),AO401,9E15))</f>
        <v/>
      </c>
      <c r="AX401" s="29">
        <f>IF(BD401&gt;Parameters!$B$21*(MAX(IF(AND(NOT(AND(AU401=1,AT401&lt;&gt;1)),ISNUMBER(AK401),AK401&lt;=(C401+T401)),AY401,0),IF(AND(NOT(AND(AU401=1,AT401&lt;&gt;1)),ISNUMBER(AL401),AL401&lt;=(C401+T401)),AZ401,0),IF(AND(NOT(AND(AU401=1,AT401&lt;&gt;1)),ISNUMBER(AM401),AM401&lt;=(C401+T401)),BA401,0),IF(AND(NOT(AND(AU401=1,AT401&lt;&gt;1)),ISNUMBER(AN401),AN401&lt;=(C401+T401)),BB401,0),IF(AND(ISNUMBER(AO401),AO401&lt;=(C401+T401)),BC401,0))),TRUE,FALSE)</f>
        <v/>
      </c>
      <c r="AY401" s="32">
        <f>IFERROR(Upgrades!$H$13*(POWER(Upgrades!$P$13,E401)*POWER(Upgrades!$P$14,F401)*POWER(Upgrades!$P$15,G401)*POWER(Upgrades!$P$16,H401)*POWER(Upgrades!$P$17,I401)*POWER(Upgrades!$P$18,J401)*POWER(Upgrades!$P$19,K401)*POWER(Upgrades!$P$20,L401)*POWER(Upgrades!$P$21,M401))*(IF(Upgrades!$T$14="Stellar Kinematics",POWER(Upgrades!$U$14,F401),1)*IF(Upgrades!$T$15="Stellar Kinematics",POWER(Upgrades!$U$15,G401),1)*IF(Upgrades!$T$16="Stellar Kinematics",POWER(Upgrades!$U$16,H401),1)*IF(Upgrades!$T$17="Stellar Kinematics",POWER(Upgrades!$U$17,I401),1)*IF(Upgrades!$T$18="Stellar Kinematics",POWER(Upgrades!$U$18,J401),1)*IF(Upgrades!$T$19="Stellar Kinematics",POWER(Upgrades!$U$19,K401),1)*IF(Upgrades!$T$20="Stellar Kinematics",POWER(Upgrades!$U$20,L401),1)*IF(Upgrades!$T$21="Stellar Kinematics",POWER(Upgrades!$U$21,M401),1))*$F$6/AK401,0)</f>
        <v/>
      </c>
      <c r="AZ401" s="32">
        <f>IFERROR(Upgrades!$H$14*(POWER(Upgrades!$P$13,E401)*POWER(Upgrades!$P$14,F401)*POWER(Upgrades!$P$15,G401)*POWER(Upgrades!$P$16,H401)*POWER(Upgrades!$P$17,I401)*POWER(Upgrades!$P$18,J401)*POWER(Upgrades!$P$19,K401)*POWER(Upgrades!$P$20,L401)*POWER(Upgrades!$P$21,M401))*(IF(Upgrades!$T$13="Local Bubble",POWER(Upgrades!$U$13,E401),1)*IF(Upgrades!$T$15="Local Bubble",POWER(Upgrades!$U$15,G401),1)*IF(Upgrades!$T$16="Local Bubble",POWER(Upgrades!$U$16,H401),1)*IF(Upgrades!$T$17="Local Bubble",POWER(Upgrades!$U$17,I401),1)*IF(Upgrades!$T$18="Local Bubble",POWER(Upgrades!$U$18,J401),1)*IF(Upgrades!$T$19="Local Bubble",POWER(Upgrades!$U$19,K401),1)*IF(Upgrades!$T$20="Local Bubble",POWER(Upgrades!$U$20,L401),1)*IF(Upgrades!$T$21="Local Bubble",POWER(Upgrades!$U$21,M401),1))*$F$6/AL401,0)</f>
        <v/>
      </c>
      <c r="BA401" s="32">
        <f>IFERROR(Upgrades!$K$15*(POWER(Upgrades!$Q$13,E401)*POWER(Upgrades!$Q$14,F401)*POWER(Upgrades!$Q$15,G401)*POWER(Upgrades!$Q$16,H401)*POWER(Upgrades!$Q$17,I401)*POWER(Upgrades!$Q$18,J401)*POWER(Upgrades!$Q$19,K401)*POWER(Upgrades!$Q$20,L401)*POWER(Upgrades!$Q$21,M401))*(IF(Upgrades!$T$13="Microlensing",POWER(Upgrades!$U$13,E401),1)*IF(Upgrades!$T$14="Microlensing",POWER(Upgrades!$U$14,F401),1)*IF(Upgrades!$T$16="Microlensing",POWER(Upgrades!$U$16,H401),1)*IF(Upgrades!$T$17="Microlensing",POWER(Upgrades!$U$17,I401),1)*IF(Upgrades!$T$18="Microlensing",POWER(Upgrades!$U$18,J401),1)*IF(Upgrades!$T$19="Microlensing",POWER(Upgrades!$U$19,K401),1)*IF(Upgrades!$T$20="Microlensing",POWER(Upgrades!$U$20,L401),1)*IF(Upgrades!$T$21="Microlensing",POWER(Upgrades!$U$21,M401),1))*$G$6*(Parameters!$B$10/60*Parameters!$B$11+Q401)/AM401,0)</f>
        <v/>
      </c>
      <c r="BB401" s="32">
        <f>IFERROR((Upgrades!$N$16*(POWER(Upgrades!$R$13,E401)*POWER(Upgrades!$R$14,F401)*POWER(Upgrades!$R$15,G401)*POWER(Upgrades!$R$16,H401)*POWER(Upgrades!$R$17,I401)*POWER(Upgrades!$R$18,J401)*POWER(Upgrades!$R$19,K401)*POWER(Upgrades!$R$20,L401)*POWER(Upgrades!$R$21,M401))*(IF(Upgrades!$T$13="Roche Lobe Overflow",POWER(Upgrades!$U$13,E401),1)*IF(Upgrades!$T$14="Roche Lobe Overflow",POWER(Upgrades!$U$14,F401),1)*IF(Upgrades!$T$15="Roche Lobe Overflow",POWER(Upgrades!$U$15,G401),1)*IF(Upgrades!$T$17="Roche Lobe Overflow",POWER(Upgrades!$U$17,I401),1)*IF(Upgrades!$T$18="Roche Lobe Overflow",POWER(Upgrades!$U$18,J401),1)*IF(Upgrades!$T$19="Roche Lobe Overflow",POWER(Upgrades!$U$19,K401),1)*IF(Upgrades!$T$20="Roche Lobe Overflow",POWER(Upgrades!$U$20,L401),1)*IF(Upgrades!$T$21="Roche Lobe Overflow",POWER(Upgrades!$U$21,M401),1))*$H$6*O401+((IF(F401=0,0,(Upgrades!$G$14+F401*Upgrades!$H$14)*POWER(Upgrades!$I$14,F401)))*(IF(Upgrades!$T$13="Local Bubble",POWER(Upgrades!$U$13,E401),1)*IF(Upgrades!$T$15="Local Bubble",POWER(Upgrades!$U$15,G401),1)*IF(Upgrades!$T$16="Local Bubble",POWER(Upgrades!$U$16,H401),1)*IF(Upgrades!$T$17="Local Bubble",POWER(Upgrades!$U$17,I401),1)*IF(Upgrades!$T$18="Local Bubble",POWER(Upgrades!$U$18,J401),1)*IF(Upgrades!$T$19="Local Bubble",POWER(Upgrades!$U$19,K401),1)*IF(Upgrades!$T$20="Local Bubble",POWER(Upgrades!$U$20,L401),1)*IF(Upgrades!$T$21="Local Bubble",POWER(Upgrades!$U$21,M401),1))*POWER(Upgrades!$P$13,E401)*POWER(Upgrades!$P$14,F401)*POWER(Upgrades!$P$15,G401)*POWER(Upgrades!$P$16,H401)*POWER(Upgrades!$P$17,I401)*POWER(Upgrades!$P$18,J401)*POWER(Upgrades!$P$19,K401)*POWER(Upgrades!$P$20,L401)*POWER(Upgrades!$P$21,M401)*$F$6)*0.05)/AN401,0)</f>
        <v/>
      </c>
      <c r="BC401" s="32">
        <f>IFERROR((Upgrades!$H$17*(POWER(Upgrades!$P$13,E401)*POWER(Upgrades!$P$14,F401)*POWER(Upgrades!$P$15,G401)*POWER(Upgrades!$P$16,H401)*POWER(Upgrades!$P$17,I401)*POWER(Upgrades!$P$18,J401)*POWER(Upgrades!$P$19,K401)*POWER(Upgrades!$P$20,L401)*POWER(Upgrades!$P$21,M401))*(IF(Upgrades!$T$13="Brown Dwarf",POWER(Upgrades!$U$13,E401),1)*IF(Upgrades!$T$14="Brown Dwarf",POWER(Upgrades!$U$14,F401),1)*IF(Upgrades!$T$15="Brown Dwarf",POWER(Upgrades!$U$15,G401),1)*IF(Upgrades!$T$16="Brown Dwarf",POWER(Upgrades!$U$16,H401),1)*IF(Upgrades!$T$18="Brown Dwarf",POWER(Upgrades!$U$18,J401),1)*IF(Upgrades!$T$19="Brown Dwarf",POWER(Upgrades!$U$19,K401),1)*IF(Upgrades!$T$20="Brown Dwarf",POWER(Upgrades!$U$20,L401),1)*IF(Upgrades!$T$21="Brown Dwarf",POWER(Upgrades!$U$21,M401),1))*$F$6+(((IF(H401=0,0,(Upgrades!$M$16+H401*Upgrades!$N$16)*POWER(Upgrades!$O$16,H401)))*(IF(Upgrades!$T$13="Roche Lobe Overflow",POWER(Upgrades!$U$13,E401),1)*IF(Upgrades!$T$14="Roche Lobe Overflow",POWER(Upgrades!$U$14,F401),1)*IF(Upgrades!$T$15="Roche Lobe Overflow",POWER(Upgrades!$U$15,G401),1)*IF(Upgrades!$T$17="Roche Lobe Overflow",POWER(Upgrades!$U$17,I401),1)*IF(Upgrades!$T$18="Roche Lobe Overflow",POWER(Upgrades!$U$18,J401),1)*IF(Upgrades!$T$19="Roche Lobe Overflow",POWER(Upgrades!$U$19,K401),1)*IF(Upgrades!$T$20="Roche Lobe Overflow",POWER(Upgrades!$U$20,L401),1)*IF(Upgrades!$T$21="Roche Lobe Overflow",POWER(Upgrades!$U$21,M401),1))*POWER(Upgrades!$R$13,E401)*POWER(Upgrades!$R$14,F401)*POWER(Upgrades!$R$15,G401)*POWER(Upgrades!$R$16,H401)*POWER(Upgrades!$R$17,I401)*POWER(Upgrades!$R$18,J401)*POWER(Upgrades!$R$19,K401)*POWER(Upgrades!$R$20,L401)*POWER(Upgrades!$R$21,M401)*$H$6)*O401)*0.10)/AO401,0)</f>
        <v/>
      </c>
      <c r="BD401" s="32">
        <f>MAX(IF(J401&gt;0,0,IFERROR(0.5*((IF(G401=0,0,(Upgrades!$J$15+G401*Upgrades!$K$15)*POWER(Upgrades!$L$15,G401)))*(IF(Upgrades!$T$13="Microlensing",POWER(Upgrades!$U$13,E401),1)*IF(Upgrades!$T$14="Microlensing",POWER(Upgrades!$U$14,F401),1)*IF(Upgrades!$T$16="Microlensing",POWER(Upgrades!$U$16,H401),1)*IF(Upgrades!$T$17="Microlensing",POWER(Upgrades!$U$17,I401),1)*IF(Upgrades!$T$18="Microlensing",POWER(Upgrades!$U$18,J401),1)*IF(Upgrades!$T$19="Microlensing",POWER(Upgrades!$U$19,K401),1)*IF(Upgrades!$T$20="Microlensing",POWER(Upgrades!$U$20,L401),1)*IF(Upgrades!$T$21="Microlensing",POWER(Upgrades!$U$21,M401),1))*(POWER(Upgrades!$Q$13,E401)*POWER(Upgrades!$Q$14,F401)*POWER(Upgrades!$Q$15,G401)*POWER(Upgrades!$Q$16,H401)*POWER(Upgrades!$Q$17,I401)*POWER(Upgrades!$Q$18,J401)*POWER(Upgrades!$Q$19,K401)*POWER(Upgrades!$Q$20,L401)*POWER(Upgrades!$Q$21,M401))*$G$6*(Parameters!$B$10/60*Parameters!$B$11+Q401))/Upgrades!$C$18,0)),IF(K401&gt;0,0,IFERROR(0.30*P401/Upgrades!$C$19,0)),IF(L401&gt;0,0,IFERROR(0.0001/Upgrades!$C$20,0)),IF(M401&gt;0,0,IFERROR((6.0*(POWER(Upgrades!$P$13,E401)*POWER(Upgrades!$P$14,F401)*POWER(Upgrades!$P$15,G401)*POWER(Upgrades!$P$16,H401)*POWER(Upgrades!$P$17,I401)*POWER(Upgrades!$P$18,J401)*POWER(Upgrades!$P$19,K401)*POWER(Upgrades!$P$20,L401)*POWER(Upgrades!$P$21,M401))*$F$6+0.20*O401*(Parameters!$B$10/60*Parameters!$B$11+Q401))/Upgrades!$C$21,0)),IF(AND(ISNUMBER(AK401),AK401&gt;(C401+T401)),AY401,0),IF(AND(ISNUMBER(AL401),AL401&gt;(C401+T401)),AZ401,0),IF(AND(ISNUMBER(AM401),AM401&gt;(C401+T401)),BA401,0),IF(AND(ISNUMBER(AN401),AN401&gt;(C401+T401)),BB401,0),IF(AND(ISNUMBER(AO401),AO401&gt;(C401+T401)),BC401,0))</f>
        <v/>
      </c>
      <c r="BE401" s="29">
        <f>IF(AT401=1,"transition",IF(MIN(IF(AND(J401=0,ISNUMBER(AP401),AP401&lt;=(C401+T401)),AP401,9E15),IF(AND(K401=0,ISNUMBER(AQ401),AQ401&lt;=(C401+T401)),AQ401,9E15),IF(AND(L401=0,ISNUMBER(AR401),AR401&lt;=(C401+T401)),AR401,9E15),IF(AND(M401=0,ISNUMBER(AS401),AS401&lt;=(C401+T401)),AS401,9E15))&lt;9E15,IF(AND(AND(J401=0,ISNUMBER(AP401),AP401&lt;=(C401+T401)),AP401=MIN(IF(AND(J401=0,ISNUMBER(AP401),AP401&lt;=(C401+T401)),AP401,9E15),IF(AND(K401=0,ISNUMBER(AQ401),AQ401&lt;=(C401+T401)),AQ401,9E15),IF(AND(L401=0,ISNUMBER(AR401),AR401&lt;=(C401+T401)),AR401,9E15),IF(AND(M401=0,ISNUMBER(AS401),AS401&lt;=(C401+T401)),AS401,9E15))),"BiP",IF(AND(AND(K401=0,ISNUMBER(AQ401),AQ401&lt;=(C401+T401)),AQ401=MIN(IF(AND(J401=0,ISNUMBER(AP401),AP401&lt;=(C401+T401)),AP401,9E15),IF(AND(K401=0,ISNUMBER(AQ401),AQ401&lt;=(C401+T401)),AQ401,9E15),IF(AND(L401=0,ISNUMBER(AR401),AR401&lt;=(C401+T401)),AR401,9E15),IF(AND(M401=0,ISNUMBER(AS401),AS401&lt;=(C401+T401)),AS401,9E15))),"PV",IF(AND(AND(L401=0,ISNUMBER(AR401),AR401&lt;=(C401+T401)),AR401=MIN(IF(AND(J401=0,ISNUMBER(AP401),AP401&lt;=(C401+T401)),AP401,9E15),IF(AND(K401=0,ISNUMBER(AQ401),AQ401&lt;=(C401+T401)),AQ401,9E15),IF(AND(L401=0,ISNUMBER(AR401),AR401&lt;=(C401+T401)),AR401,9E15),IF(AND(M401=0,ISNUMBER(AS401),AS401&lt;=(C401+T401)),AS401,9E15))),"OC","MG"))),IF(AX401=TRUE,"",IF(MAX(IF(AND(NOT(AND(AU401=1,AT401&lt;&gt;1)),ISNUMBER(AK401),AK401&lt;=(C401+T401)),AY401,0),IF(AND(NOT(AND(AU401=1,AT401&lt;&gt;1)),ISNUMBER(AL401),AL401&lt;=(C401+T401)),AZ401,0),IF(AND(NOT(AND(AU401=1,AT401&lt;&gt;1)),ISNUMBER(AM401),AM401&lt;=(C401+T401)),BA401,0),IF(AND(NOT(AND(AU401=1,AT401&lt;&gt;1)),ISNUMBER(AN401),AN401&lt;=(C401+T401)),BB401,0),IF(AND(ISNUMBER(AO401),AO401&lt;=(C401+T401)),BC401,0))&lt;=0,"",IF(AND(IF(AND(NOT(AND(AU401=1,AT401&lt;&gt;1)),ISNUMBER(AK401),AK401&lt;=(C401+T401)),AY401,0)&gt;0,IF(AND(NOT(AND(AU401=1,AT401&lt;&gt;1)),ISNUMBER(AK401),AK401&lt;=(C401+T401)),AY401,0)=MAX(IF(AND(NOT(AND(AU401=1,AT401&lt;&gt;1)),ISNUMBER(AK401),AK401&lt;=(C401+T401)),AY401,0),IF(AND(NOT(AND(AU401=1,AT401&lt;&gt;1)),ISNUMBER(AL401),AL401&lt;=(C401+T401)),AZ401,0),IF(AND(NOT(AND(AU401=1,AT401&lt;&gt;1)),ISNUMBER(AM401),AM401&lt;=(C401+T401)),BA401,0),IF(AND(NOT(AND(AU401=1,AT401&lt;&gt;1)),ISNUMBER(AN401),AN401&lt;=(C401+T401)),BB401,0),IF(AND(ISNUMBER(AO401),AO401&lt;=(C401+T401)),BC401,0))),"SK",IF(AND(IF(AND(NOT(AND(AU401=1,AT401&lt;&gt;1)),ISNUMBER(AL401),AL401&lt;=(C401+T401)),AZ401,0)&gt;0,IF(AND(NOT(AND(AU401=1,AT401&lt;&gt;1)),ISNUMBER(AL401),AL401&lt;=(C401+T401)),AZ401,0)=MAX(IF(AND(NOT(AND(AU401=1,AT401&lt;&gt;1)),ISNUMBER(AK401),AK401&lt;=(C401+T401)),AY401,0),IF(AND(NOT(AND(AU401=1,AT401&lt;&gt;1)),ISNUMBER(AL401),AL401&lt;=(C401+T401)),AZ401,0),IF(AND(NOT(AND(AU401=1,AT401&lt;&gt;1)),ISNUMBER(AM401),AM401&lt;=(C401+T401)),BA401,0),IF(AND(NOT(AND(AU401=1,AT401&lt;&gt;1)),ISNUMBER(AN401),AN401&lt;=(C401+T401)),BB401,0),IF(AND(ISNUMBER(AO401),AO401&lt;=(C401+T401)),BC401,0))),"LB",IF(AND(IF(AND(NOT(AND(AU401=1,AT401&lt;&gt;1)),ISNUMBER(AM401),AM401&lt;=(C401+T401)),BA401,0)&gt;0,IF(AND(NOT(AND(AU401=1,AT401&lt;&gt;1)),ISNUMBER(AM401),AM401&lt;=(C401+T401)),BA401,0)=MAX(IF(AND(NOT(AND(AU401=1,AT401&lt;&gt;1)),ISNUMBER(AK401),AK401&lt;=(C401+T401)),AY401,0),IF(AND(NOT(AND(AU401=1,AT401&lt;&gt;1)),ISNUMBER(AL401),AL401&lt;=(C401+T401)),AZ401,0),IF(AND(NOT(AND(AU401=1,AT401&lt;&gt;1)),ISNUMBER(AM401),AM401&lt;=(C401+T401)),BA401,0),IF(AND(NOT(AND(AU401=1,AT401&lt;&gt;1)),ISNUMBER(AN401),AN401&lt;=(C401+T401)),BB401,0),IF(AND(ISNUMBER(AO401),AO401&lt;=(C401+T401)),BC401,0))),"ML",IF(AND(IF(AND(NOT(AND(AU401=1,AT401&lt;&gt;1)),ISNUMBER(AN401),AN401&lt;=(C401+T401)),BB401,0)&gt;0,IF(AND(NOT(AND(AU401=1,AT401&lt;&gt;1)),ISNUMBER(AN401),AN401&lt;=(C401+T401)),BB401,0)=MAX(IF(AND(NOT(AND(AU401=1,AT401&lt;&gt;1)),ISNUMBER(AK401),AK401&lt;=(C401+T401)),AY401,0),IF(AND(NOT(AND(AU401=1,AT401&lt;&gt;1)),ISNUMBER(AL401),AL401&lt;=(C401+T401)),AZ401,0),IF(AND(NOT(AND(AU401=1,AT401&lt;&gt;1)),ISNUMBER(AM401),AM401&lt;=(C401+T401)),BA401,0),IF(AND(NOT(AND(AU401=1,AT401&lt;&gt;1)),ISNUMBER(AN401),AN401&lt;=(C401+T401)),BB401,0),IF(AND(ISNUMBER(AO401),AO401&lt;=(C401+T401)),BC401,0))),"RLO","BD"))))))))</f>
        <v/>
      </c>
    </row>
    <row r="402">
      <c r="A402" s="26" t="n">
        <v>391</v>
      </c>
      <c r="B402" s="27">
        <f>A402*10/60</f>
        <v/>
      </c>
      <c r="C402" s="22">
        <f>X401</f>
        <v/>
      </c>
      <c r="D402" s="27">
        <f>D401+W401</f>
        <v/>
      </c>
      <c r="E402" s="26">
        <f>E401+IF(U401="SK",1,0)</f>
        <v/>
      </c>
      <c r="F402" s="26">
        <f>F401+IF(U401="LB",1,0)</f>
        <v/>
      </c>
      <c r="G402" s="26">
        <f>G401+IF(U401="ML",1,0)</f>
        <v/>
      </c>
      <c r="H402" s="26">
        <f>H401+IF(U401="RLO",1,0)</f>
        <v/>
      </c>
      <c r="I402" s="26">
        <f>I401+IF(U401="BD",1,0)</f>
        <v/>
      </c>
      <c r="J402" s="26">
        <f>MAX(J401,IF(U401="BiP",1,0))</f>
        <v/>
      </c>
      <c r="K402" s="26">
        <f>MAX(K401,IF(U401="PV",1,0))</f>
        <v/>
      </c>
      <c r="L402" s="26">
        <f>MAX(L401,IF(U401="OC",1,0))</f>
        <v/>
      </c>
      <c r="M402" s="26">
        <f>MAX(M401,IF(U401="MG",1,0))</f>
        <v/>
      </c>
      <c r="N402" s="26">
        <f>MAX(N401,IF(U401="transition",1,0))</f>
        <v/>
      </c>
      <c r="O402" s="28">
        <f>(Parameters!$B$9+(IF(E402=0,0,(Upgrades!$J$13+E402*Upgrades!$K$13)*POWER(Upgrades!$L$13,E402)))*(IF(Upgrades!$T$14="Stellar Kinematics",POWER(Upgrades!$U$14,F402),1)*IF(Upgrades!$T$15="Stellar Kinematics",POWER(Upgrades!$U$15,G402),1)*IF(Upgrades!$T$16="Stellar Kinematics",POWER(Upgrades!$U$16,H402),1)*IF(Upgrades!$T$17="Stellar Kinematics",POWER(Upgrades!$U$17,I402),1)*IF(Upgrades!$T$18="Stellar Kinematics",POWER(Upgrades!$U$18,J402),1)*IF(Upgrades!$T$19="Stellar Kinematics",POWER(Upgrades!$U$19,K402),1)*IF(Upgrades!$T$20="Stellar Kinematics",POWER(Upgrades!$U$20,L402),1)*IF(Upgrades!$T$21="Stellar Kinematics",POWER(Upgrades!$U$21,M402),1))+(IF(F402=0,0,(Upgrades!$J$14+F402*Upgrades!$K$14)*POWER(Upgrades!$L$14,F402)))*(IF(Upgrades!$T$13="Local Bubble",POWER(Upgrades!$U$13,E402),1)*IF(Upgrades!$T$15="Local Bubble",POWER(Upgrades!$U$15,G402),1)*IF(Upgrades!$T$16="Local Bubble",POWER(Upgrades!$U$16,H402),1)*IF(Upgrades!$T$17="Local Bubble",POWER(Upgrades!$U$17,I402),1)*IF(Upgrades!$T$18="Local Bubble",POWER(Upgrades!$U$18,J402),1)*IF(Upgrades!$T$19="Local Bubble",POWER(Upgrades!$U$19,K402),1)*IF(Upgrades!$T$20="Local Bubble",POWER(Upgrades!$U$20,L402),1)*IF(Upgrades!$T$21="Local Bubble",POWER(Upgrades!$U$21,M402),1))+(IF(G402=0,0,(Upgrades!$J$15+G402*Upgrades!$K$15)*POWER(Upgrades!$L$15,G402)))*(IF(Upgrades!$T$13="Microlensing",POWER(Upgrades!$U$13,E402),1)*IF(Upgrades!$T$14="Microlensing",POWER(Upgrades!$U$14,F402),1)*IF(Upgrades!$T$16="Microlensing",POWER(Upgrades!$U$16,H402),1)*IF(Upgrades!$T$17="Microlensing",POWER(Upgrades!$U$17,I402),1)*IF(Upgrades!$T$18="Microlensing",POWER(Upgrades!$U$18,J402),1)*IF(Upgrades!$T$19="Microlensing",POWER(Upgrades!$U$19,K402),1)*IF(Upgrades!$T$20="Microlensing",POWER(Upgrades!$U$20,L402),1)*IF(Upgrades!$T$21="Microlensing",POWER(Upgrades!$U$21,M402),1))+(IF(H402=0,0,(Upgrades!$J$16+H402*Upgrades!$K$16)*POWER(Upgrades!$L$16,H402)))*(IF(Upgrades!$T$13="Roche Lobe Overflow",POWER(Upgrades!$U$13,E402),1)*IF(Upgrades!$T$14="Roche Lobe Overflow",POWER(Upgrades!$U$14,F402),1)*IF(Upgrades!$T$15="Roche Lobe Overflow",POWER(Upgrades!$U$15,G402),1)*IF(Upgrades!$T$17="Roche Lobe Overflow",POWER(Upgrades!$U$17,I402),1)*IF(Upgrades!$T$18="Roche Lobe Overflow",POWER(Upgrades!$U$18,J402),1)*IF(Upgrades!$T$19="Roche Lobe Overflow",POWER(Upgrades!$U$19,K402),1)*IF(Upgrades!$T$20="Roche Lobe Overflow",POWER(Upgrades!$U$20,L402),1)*IF(Upgrades!$T$21="Roche Lobe Overflow",POWER(Upgrades!$U$21,M402),1))+(IF(I402=0,0,(Upgrades!$J$17+I402*Upgrades!$K$17)*POWER(Upgrades!$L$17,I402)))*(IF(Upgrades!$T$13="Brown Dwarf",POWER(Upgrades!$U$13,E402),1)*IF(Upgrades!$T$14="Brown Dwarf",POWER(Upgrades!$U$14,F402),1)*IF(Upgrades!$T$15="Brown Dwarf",POWER(Upgrades!$U$15,G402),1)*IF(Upgrades!$T$16="Brown Dwarf",POWER(Upgrades!$U$16,H402),1)*IF(Upgrades!$T$18="Brown Dwarf",POWER(Upgrades!$U$18,J402),1)*IF(Upgrades!$T$19="Brown Dwarf",POWER(Upgrades!$U$19,K402),1)*IF(Upgrades!$T$20="Brown Dwarf",POWER(Upgrades!$U$20,L402),1)*IF(Upgrades!$T$21="Brown Dwarf",POWER(Upgrades!$U$21,M402),1))+(IF(J402=0,0,(Upgrades!$J$18+J402*Upgrades!$K$18)*POWER(Upgrades!$L$18,J402)))*(IF(Upgrades!$T$13="Binary Partner",POWER(Upgrades!$U$13,E402),1)*IF(Upgrades!$T$14="Binary Partner",POWER(Upgrades!$U$14,F402),1)*IF(Upgrades!$T$15="Binary Partner",POWER(Upgrades!$U$15,G402),1)*IF(Upgrades!$T$16="Binary Partner",POWER(Upgrades!$U$16,H402),1)*IF(Upgrades!$T$17="Binary Partner",POWER(Upgrades!$U$17,I402),1)*IF(Upgrades!$T$19="Binary Partner",POWER(Upgrades!$U$19,K402),1)*IF(Upgrades!$T$20="Binary Partner",POWER(Upgrades!$U$20,L402),1)*IF(Upgrades!$T$21="Binary Partner",POWER(Upgrades!$U$21,M402),1))+(IF(K402=0,0,(Upgrades!$J$19+K402*Upgrades!$K$19)*POWER(Upgrades!$L$19,K402)))*(IF(Upgrades!$T$13="Peculiar Velocity",POWER(Upgrades!$U$13,E402),1)*IF(Upgrades!$T$14="Peculiar Velocity",POWER(Upgrades!$U$14,F402),1)*IF(Upgrades!$T$15="Peculiar Velocity",POWER(Upgrades!$U$15,G402),1)*IF(Upgrades!$T$16="Peculiar Velocity",POWER(Upgrades!$U$16,H402),1)*IF(Upgrades!$T$17="Peculiar Velocity",POWER(Upgrades!$U$17,I402),1)*IF(Upgrades!$T$18="Peculiar Velocity",POWER(Upgrades!$U$18,J402),1)*IF(Upgrades!$T$20="Peculiar Velocity",POWER(Upgrades!$U$20,L402),1)*IF(Upgrades!$T$21="Peculiar Velocity",POWER(Upgrades!$U$21,M402),1))+(IF(L402=0,0,(Upgrades!$J$20+L402*Upgrades!$K$20)*POWER(Upgrades!$L$20,L402)))*(IF(Upgrades!$T$13="Open Cluster",POWER(Upgrades!$U$13,E402),1)*IF(Upgrades!$T$14="Open Cluster",POWER(Upgrades!$U$14,F402),1)*IF(Upgrades!$T$15="Open Cluster",POWER(Upgrades!$U$15,G402),1)*IF(Upgrades!$T$16="Open Cluster",POWER(Upgrades!$U$16,H402),1)*IF(Upgrades!$T$17="Open Cluster",POWER(Upgrades!$U$17,I402),1)*IF(Upgrades!$T$18="Open Cluster",POWER(Upgrades!$U$18,J402),1)*IF(Upgrades!$T$19="Open Cluster",POWER(Upgrades!$U$19,K402),1)*IF(Upgrades!$T$21="Open Cluster",POWER(Upgrades!$U$21,M402),1))+(IF(M402=0,0,(Upgrades!$J$21+M402*Upgrades!$K$21)*POWER(Upgrades!$L$21,M402)))*(IF(Upgrades!$T$13="Moving Group",POWER(Upgrades!$U$13,E402),1)*IF(Upgrades!$T$14="Moving Group",POWER(Upgrades!$U$14,F402),1)*IF(Upgrades!$T$15="Moving Group",POWER(Upgrades!$U$15,G402),1)*IF(Upgrades!$T$16="Moving Group",POWER(Upgrades!$U$16,H402),1)*IF(Upgrades!$T$17="Moving Group",POWER(Upgrades!$U$17,I402),1)*IF(Upgrades!$T$18="Moving Group",POWER(Upgrades!$U$18,J402),1)*IF(Upgrades!$T$19="Moving Group",POWER(Upgrades!$U$19,K402),1)*IF(Upgrades!$T$20="Moving Group",POWER(Upgrades!$U$20,L402),1)))*POWER(Upgrades!$Q$13,E402)*POWER(Upgrades!$Q$14,F402)*POWER(Upgrades!$Q$15,G402)*POWER(Upgrades!$Q$16,H402)*POWER(Upgrades!$Q$17,I402)*POWER(Upgrades!$Q$18,J402)*POWER(Upgrades!$Q$19,K402)*POWER(Upgrades!$Q$20,L402)*POWER(Upgrades!$Q$21,M402)*$G$6+$D$6</f>
        <v/>
      </c>
      <c r="P402" s="28">
        <f>((IF(E402=0,0,(Upgrades!$G$13+E402*Upgrades!$H$13)*POWER(Upgrades!$I$13,E402)))*(IF(Upgrades!$T$14="Stellar Kinematics",POWER(Upgrades!$U$14,F402),1)*IF(Upgrades!$T$15="Stellar Kinematics",POWER(Upgrades!$U$15,G402),1)*IF(Upgrades!$T$16="Stellar Kinematics",POWER(Upgrades!$U$16,H402),1)*IF(Upgrades!$T$17="Stellar Kinematics",POWER(Upgrades!$U$17,I402),1)*IF(Upgrades!$T$18="Stellar Kinematics",POWER(Upgrades!$U$18,J402),1)*IF(Upgrades!$T$19="Stellar Kinematics",POWER(Upgrades!$U$19,K402),1)*IF(Upgrades!$T$20="Stellar Kinematics",POWER(Upgrades!$U$20,L402),1)*IF(Upgrades!$T$21="Stellar Kinematics",POWER(Upgrades!$U$21,M402),1))+(IF(F402=0,0,(Upgrades!$G$14+F402*Upgrades!$H$14)*POWER(Upgrades!$I$14,F402)))*(IF(Upgrades!$T$13="Local Bubble",POWER(Upgrades!$U$13,E402),1)*IF(Upgrades!$T$15="Local Bubble",POWER(Upgrades!$U$15,G402),1)*IF(Upgrades!$T$16="Local Bubble",POWER(Upgrades!$U$16,H402),1)*IF(Upgrades!$T$17="Local Bubble",POWER(Upgrades!$U$17,I402),1)*IF(Upgrades!$T$18="Local Bubble",POWER(Upgrades!$U$18,J402),1)*IF(Upgrades!$T$19="Local Bubble",POWER(Upgrades!$U$19,K402),1)*IF(Upgrades!$T$20="Local Bubble",POWER(Upgrades!$U$20,L402),1)*IF(Upgrades!$T$21="Local Bubble",POWER(Upgrades!$U$21,M402),1))+(IF(G402=0,0,(Upgrades!$G$15+G402*Upgrades!$H$15)*POWER(Upgrades!$I$15,G402)))*(IF(Upgrades!$T$13="Microlensing",POWER(Upgrades!$U$13,E402),1)*IF(Upgrades!$T$14="Microlensing",POWER(Upgrades!$U$14,F402),1)*IF(Upgrades!$T$16="Microlensing",POWER(Upgrades!$U$16,H402),1)*IF(Upgrades!$T$17="Microlensing",POWER(Upgrades!$U$17,I402),1)*IF(Upgrades!$T$18="Microlensing",POWER(Upgrades!$U$18,J402),1)*IF(Upgrades!$T$19="Microlensing",POWER(Upgrades!$U$19,K402),1)*IF(Upgrades!$T$20="Microlensing",POWER(Upgrades!$U$20,L402),1)*IF(Upgrades!$T$21="Microlensing",POWER(Upgrades!$U$21,M402),1))+(IF(H402=0,0,(Upgrades!$G$16+H402*Upgrades!$H$16)*POWER(Upgrades!$I$16,H402)))*(IF(Upgrades!$T$13="Roche Lobe Overflow",POWER(Upgrades!$U$13,E402),1)*IF(Upgrades!$T$14="Roche Lobe Overflow",POWER(Upgrades!$U$14,F402),1)*IF(Upgrades!$T$15="Roche Lobe Overflow",POWER(Upgrades!$U$15,G402),1)*IF(Upgrades!$T$17="Roche Lobe Overflow",POWER(Upgrades!$U$17,I402),1)*IF(Upgrades!$T$18="Roche Lobe Overflow",POWER(Upgrades!$U$18,J402),1)*IF(Upgrades!$T$19="Roche Lobe Overflow",POWER(Upgrades!$U$19,K402),1)*IF(Upgrades!$T$20="Roche Lobe Overflow",POWER(Upgrades!$U$20,L402),1)*IF(Upgrades!$T$21="Roche Lobe Overflow",POWER(Upgrades!$U$21,M402),1))+(IF(I402=0,0,(Upgrades!$G$17+I402*Upgrades!$H$17)*POWER(Upgrades!$I$17,I402)))*(IF(Upgrades!$T$13="Brown Dwarf",POWER(Upgrades!$U$13,E402),1)*IF(Upgrades!$T$14="Brown Dwarf",POWER(Upgrades!$U$14,F402),1)*IF(Upgrades!$T$15="Brown Dwarf",POWER(Upgrades!$U$15,G402),1)*IF(Upgrades!$T$16="Brown Dwarf",POWER(Upgrades!$U$16,H402),1)*IF(Upgrades!$T$18="Brown Dwarf",POWER(Upgrades!$U$18,J402),1)*IF(Upgrades!$T$19="Brown Dwarf",POWER(Upgrades!$U$19,K402),1)*IF(Upgrades!$T$20="Brown Dwarf",POWER(Upgrades!$U$20,L402),1)*IF(Upgrades!$T$21="Brown Dwarf",POWER(Upgrades!$U$21,M402),1))+(IF(J402=0,0,(Upgrades!$G$18+J402*Upgrades!$H$18)*POWER(Upgrades!$I$18,J402)))*(IF(Upgrades!$T$13="Binary Partner",POWER(Upgrades!$U$13,E402),1)*IF(Upgrades!$T$14="Binary Partner",POWER(Upgrades!$U$14,F402),1)*IF(Upgrades!$T$15="Binary Partner",POWER(Upgrades!$U$15,G402),1)*IF(Upgrades!$T$16="Binary Partner",POWER(Upgrades!$U$16,H402),1)*IF(Upgrades!$T$17="Binary Partner",POWER(Upgrades!$U$17,I402),1)*IF(Upgrades!$T$19="Binary Partner",POWER(Upgrades!$U$19,K402),1)*IF(Upgrades!$T$20="Binary Partner",POWER(Upgrades!$U$20,L402),1)*IF(Upgrades!$T$21="Binary Partner",POWER(Upgrades!$U$21,M402),1))+(IF(K402=0,0,(Upgrades!$G$19+K402*Upgrades!$H$19)*POWER(Upgrades!$I$19,K402)))*(IF(Upgrades!$T$13="Peculiar Velocity",POWER(Upgrades!$U$13,E402),1)*IF(Upgrades!$T$14="Peculiar Velocity",POWER(Upgrades!$U$14,F402),1)*IF(Upgrades!$T$15="Peculiar Velocity",POWER(Upgrades!$U$15,G402),1)*IF(Upgrades!$T$16="Peculiar Velocity",POWER(Upgrades!$U$16,H402),1)*IF(Upgrades!$T$17="Peculiar Velocity",POWER(Upgrades!$U$17,I402),1)*IF(Upgrades!$T$18="Peculiar Velocity",POWER(Upgrades!$U$18,J402),1)*IF(Upgrades!$T$20="Peculiar Velocity",POWER(Upgrades!$U$20,L402),1)*IF(Upgrades!$T$21="Peculiar Velocity",POWER(Upgrades!$U$21,M402),1))+(IF(L402=0,0,(Upgrades!$G$20+L402*Upgrades!$H$20)*POWER(Upgrades!$I$20,L402)))*(IF(Upgrades!$T$13="Open Cluster",POWER(Upgrades!$U$13,E402),1)*IF(Upgrades!$T$14="Open Cluster",POWER(Upgrades!$U$14,F402),1)*IF(Upgrades!$T$15="Open Cluster",POWER(Upgrades!$U$15,G402),1)*IF(Upgrades!$T$16="Open Cluster",POWER(Upgrades!$U$16,H402),1)*IF(Upgrades!$T$17="Open Cluster",POWER(Upgrades!$U$17,I402),1)*IF(Upgrades!$T$18="Open Cluster",POWER(Upgrades!$U$18,J402),1)*IF(Upgrades!$T$19="Open Cluster",POWER(Upgrades!$U$19,K402),1)*IF(Upgrades!$T$21="Open Cluster",POWER(Upgrades!$U$21,M402),1))+(IF(M402=0,0,(Upgrades!$G$21+M402*Upgrades!$H$21)*POWER(Upgrades!$I$21,M402)))*(IF(Upgrades!$T$13="Moving Group",POWER(Upgrades!$U$13,E402),1)*IF(Upgrades!$T$14="Moving Group",POWER(Upgrades!$U$14,F402),1)*IF(Upgrades!$T$15="Moving Group",POWER(Upgrades!$U$15,G402),1)*IF(Upgrades!$T$16="Moving Group",POWER(Upgrades!$U$16,H402),1)*IF(Upgrades!$T$17="Moving Group",POWER(Upgrades!$U$17,I402),1)*IF(Upgrades!$T$18="Moving Group",POWER(Upgrades!$U$18,J402),1)*IF(Upgrades!$T$19="Moving Group",POWER(Upgrades!$U$19,K402),1)*IF(Upgrades!$T$20="Moving Group",POWER(Upgrades!$U$20,L402),1)))*POWER(Upgrades!$P$13,E402)*POWER(Upgrades!$P$14,F402)*POWER(Upgrades!$P$15,G402)*POWER(Upgrades!$P$16,H402)*POWER(Upgrades!$P$17,I402)*POWER(Upgrades!$P$18,J402)*POWER(Upgrades!$P$19,K402)*POWER(Upgrades!$P$20,L402)*POWER(Upgrades!$P$21,M402)*$F$6+$C$6</f>
        <v/>
      </c>
      <c r="Q402" s="28">
        <f>((IF(E402=0,0,(Upgrades!$M$13+E402*Upgrades!$N$13)*POWER(Upgrades!$O$13,E402)))*(IF(Upgrades!$T$14="Stellar Kinematics",POWER(Upgrades!$U$14,F402),1)*IF(Upgrades!$T$15="Stellar Kinematics",POWER(Upgrades!$U$15,G402),1)*IF(Upgrades!$T$16="Stellar Kinematics",POWER(Upgrades!$U$16,H402),1)*IF(Upgrades!$T$17="Stellar Kinematics",POWER(Upgrades!$U$17,I402),1)*IF(Upgrades!$T$18="Stellar Kinematics",POWER(Upgrades!$U$18,J402),1)*IF(Upgrades!$T$19="Stellar Kinematics",POWER(Upgrades!$U$19,K402),1)*IF(Upgrades!$T$20="Stellar Kinematics",POWER(Upgrades!$U$20,L402),1)*IF(Upgrades!$T$21="Stellar Kinematics",POWER(Upgrades!$U$21,M402),1))+(IF(F402=0,0,(Upgrades!$M$14+F402*Upgrades!$N$14)*POWER(Upgrades!$O$14,F402)))*(IF(Upgrades!$T$13="Local Bubble",POWER(Upgrades!$U$13,E402),1)*IF(Upgrades!$T$15="Local Bubble",POWER(Upgrades!$U$15,G402),1)*IF(Upgrades!$T$16="Local Bubble",POWER(Upgrades!$U$16,H402),1)*IF(Upgrades!$T$17="Local Bubble",POWER(Upgrades!$U$17,I402),1)*IF(Upgrades!$T$18="Local Bubble",POWER(Upgrades!$U$18,J402),1)*IF(Upgrades!$T$19="Local Bubble",POWER(Upgrades!$U$19,K402),1)*IF(Upgrades!$T$20="Local Bubble",POWER(Upgrades!$U$20,L402),1)*IF(Upgrades!$T$21="Local Bubble",POWER(Upgrades!$U$21,M402),1))+(IF(G402=0,0,(Upgrades!$M$15+G402*Upgrades!$N$15)*POWER(Upgrades!$O$15,G402)))*(IF(Upgrades!$T$13="Microlensing",POWER(Upgrades!$U$13,E402),1)*IF(Upgrades!$T$14="Microlensing",POWER(Upgrades!$U$14,F402),1)*IF(Upgrades!$T$16="Microlensing",POWER(Upgrades!$U$16,H402),1)*IF(Upgrades!$T$17="Microlensing",POWER(Upgrades!$U$17,I402),1)*IF(Upgrades!$T$18="Microlensing",POWER(Upgrades!$U$18,J402),1)*IF(Upgrades!$T$19="Microlensing",POWER(Upgrades!$U$19,K402),1)*IF(Upgrades!$T$20="Microlensing",POWER(Upgrades!$U$20,L402),1)*IF(Upgrades!$T$21="Microlensing",POWER(Upgrades!$U$21,M402),1))+(IF(H402=0,0,(Upgrades!$M$16+H402*Upgrades!$N$16)*POWER(Upgrades!$O$16,H402)))*(IF(Upgrades!$T$13="Roche Lobe Overflow",POWER(Upgrades!$U$13,E402),1)*IF(Upgrades!$T$14="Roche Lobe Overflow",POWER(Upgrades!$U$14,F402),1)*IF(Upgrades!$T$15="Roche Lobe Overflow",POWER(Upgrades!$U$15,G402),1)*IF(Upgrades!$T$17="Roche Lobe Overflow",POWER(Upgrades!$U$17,I402),1)*IF(Upgrades!$T$18="Roche Lobe Overflow",POWER(Upgrades!$U$18,J402),1)*IF(Upgrades!$T$19="Roche Lobe Overflow",POWER(Upgrades!$U$19,K402),1)*IF(Upgrades!$T$20="Roche Lobe Overflow",POWER(Upgrades!$U$20,L402),1)*IF(Upgrades!$T$21="Roche Lobe Overflow",POWER(Upgrades!$U$21,M402),1))+(IF(I402=0,0,(Upgrades!$M$17+I402*Upgrades!$N$17)*POWER(Upgrades!$O$17,I402)))*(IF(Upgrades!$T$13="Brown Dwarf",POWER(Upgrades!$U$13,E402),1)*IF(Upgrades!$T$14="Brown Dwarf",POWER(Upgrades!$U$14,F402),1)*IF(Upgrades!$T$15="Brown Dwarf",POWER(Upgrades!$U$15,G402),1)*IF(Upgrades!$T$16="Brown Dwarf",POWER(Upgrades!$U$16,H402),1)*IF(Upgrades!$T$18="Brown Dwarf",POWER(Upgrades!$U$18,J402),1)*IF(Upgrades!$T$19="Brown Dwarf",POWER(Upgrades!$U$19,K402),1)*IF(Upgrades!$T$20="Brown Dwarf",POWER(Upgrades!$U$20,L402),1)*IF(Upgrades!$T$21="Brown Dwarf",POWER(Upgrades!$U$21,M402),1))+(IF(J402=0,0,(Upgrades!$M$18+J402*Upgrades!$N$18)*POWER(Upgrades!$O$18,J402)))*(IF(Upgrades!$T$13="Binary Partner",POWER(Upgrades!$U$13,E402),1)*IF(Upgrades!$T$14="Binary Partner",POWER(Upgrades!$U$14,F402),1)*IF(Upgrades!$T$15="Binary Partner",POWER(Upgrades!$U$15,G402),1)*IF(Upgrades!$T$16="Binary Partner",POWER(Upgrades!$U$16,H402),1)*IF(Upgrades!$T$17="Binary Partner",POWER(Upgrades!$U$17,I402),1)*IF(Upgrades!$T$19="Binary Partner",POWER(Upgrades!$U$19,K402),1)*IF(Upgrades!$T$20="Binary Partner",POWER(Upgrades!$U$20,L402),1)*IF(Upgrades!$T$21="Binary Partner",POWER(Upgrades!$U$21,M402),1))+(IF(K402=0,0,(Upgrades!$M$19+K402*Upgrades!$N$19)*POWER(Upgrades!$O$19,K402)))*(IF(Upgrades!$T$13="Peculiar Velocity",POWER(Upgrades!$U$13,E402),1)*IF(Upgrades!$T$14="Peculiar Velocity",POWER(Upgrades!$U$14,F402),1)*IF(Upgrades!$T$15="Peculiar Velocity",POWER(Upgrades!$U$15,G402),1)*IF(Upgrades!$T$16="Peculiar Velocity",POWER(Upgrades!$U$16,H402),1)*IF(Upgrades!$T$17="Peculiar Velocity",POWER(Upgrades!$U$17,I402),1)*IF(Upgrades!$T$18="Peculiar Velocity",POWER(Upgrades!$U$18,J402),1)*IF(Upgrades!$T$20="Peculiar Velocity",POWER(Upgrades!$U$20,L402),1)*IF(Upgrades!$T$21="Peculiar Velocity",POWER(Upgrades!$U$21,M402),1))+(IF(L402=0,0,(Upgrades!$M$20+L402*Upgrades!$N$20)*POWER(Upgrades!$O$20,L402)))*(IF(Upgrades!$T$13="Open Cluster",POWER(Upgrades!$U$13,E402),1)*IF(Upgrades!$T$14="Open Cluster",POWER(Upgrades!$U$14,F402),1)*IF(Upgrades!$T$15="Open Cluster",POWER(Upgrades!$U$15,G402),1)*IF(Upgrades!$T$16="Open Cluster",POWER(Upgrades!$U$16,H402),1)*IF(Upgrades!$T$17="Open Cluster",POWER(Upgrades!$U$17,I402),1)*IF(Upgrades!$T$18="Open Cluster",POWER(Upgrades!$U$18,J402),1)*IF(Upgrades!$T$19="Open Cluster",POWER(Upgrades!$U$19,K402),1)*IF(Upgrades!$T$21="Open Cluster",POWER(Upgrades!$U$21,M402),1))+(IF(M402=0,0,(Upgrades!$M$21+M402*Upgrades!$N$21)*POWER(Upgrades!$O$21,M402)))*(IF(Upgrades!$T$13="Moving Group",POWER(Upgrades!$U$13,E402),1)*IF(Upgrades!$T$14="Moving Group",POWER(Upgrades!$U$14,F402),1)*IF(Upgrades!$T$15="Moving Group",POWER(Upgrades!$U$15,G402),1)*IF(Upgrades!$T$16="Moving Group",POWER(Upgrades!$U$16,H402),1)*IF(Upgrades!$T$17="Moving Group",POWER(Upgrades!$U$17,I402),1)*IF(Upgrades!$T$18="Moving Group",POWER(Upgrades!$U$18,J402),1)*IF(Upgrades!$T$19="Moving Group",POWER(Upgrades!$U$19,K402),1)*IF(Upgrades!$T$20="Moving Group",POWER(Upgrades!$U$20,L402),1)))*POWER(Upgrades!$R$13,E402)*POWER(Upgrades!$R$14,F402)*POWER(Upgrades!$R$15,G402)*POWER(Upgrades!$R$16,H402)*POWER(Upgrades!$R$17,I402)*POWER(Upgrades!$R$18,J402)*POWER(Upgrades!$R$19,K402)*POWER(Upgrades!$R$20,L402)*POWER(Upgrades!$R$21,M402)*$H$6+$E$6</f>
        <v/>
      </c>
      <c r="R402" s="27">
        <f>IF(N402=1,0,O402*Parameters!$B$10/60*Parameters!$B$11*10)</f>
        <v/>
      </c>
      <c r="S402" s="27">
        <f>IF(N402=1,0,Q402*O402*10)</f>
        <v/>
      </c>
      <c r="T402" s="27">
        <f>IF(N402=1,0,R402+S402+P402*10)</f>
        <v/>
      </c>
      <c r="U402" s="33">
        <f>BE402</f>
        <v/>
      </c>
      <c r="V402" s="22">
        <f>IF(U402="",0,IF(U402="transition",0,IF(U402="SK",AK402,IF(U402="LB",AL402,IF(U402="ML",AM402,IF(U402="RLO",AN402,IF(U402="BD",AO402,IF(U402="BiP",AP402,IF(U402="PV",AQ402,IF(U402="OC",AR402,IF(U402="MG",AS402,0))))))))))</f>
        <v/>
      </c>
      <c r="W402" s="27">
        <f>IF(U402="BiP",Upgrades!$F$18,IF(U402="PV",Upgrades!$F$19,IF(U402="OC",Upgrades!$F$20,IF(U402="MG",Upgrades!$F$21,IF(U402="transition",-Parameters!$B$18*Parameters!$B$19,0)))))</f>
        <v/>
      </c>
      <c r="X402" s="22">
        <f>C402+T402-V402</f>
        <v/>
      </c>
      <c r="Y402" s="30">
        <f>O402*Parameters!$B$10/60*Parameters!$B$11+Q402*O402+P402</f>
        <v/>
      </c>
      <c r="Z402" s="34">
        <f>IF(U402="transition","→ Tier 3 (Galactic Arm)",IF(U402="MG","Moving Group — pocket drifts together",IF(U402="OC","Open Cluster acquired",IF(U402="PV","Peculiar Velocity — passive multiplier active",IF(U402="BiP","Binary Partner — pair bond formed",IF(AND(AU402=1,N402=0,AT402&lt;&gt;1),"Cohesion ready (waiting on completionists)","")))))) </f>
        <v/>
      </c>
      <c r="AA402" s="27">
        <f>(IF(E402=0,0,(Upgrades!$G$13+E402*Upgrades!$H$13)*POWER(Upgrades!$I$13,E402)))*(IF(Upgrades!$T$14="Stellar Kinematics",POWER(Upgrades!$U$14,F402),1)*IF(Upgrades!$T$15="Stellar Kinematics",POWER(Upgrades!$U$15,G402),1)*IF(Upgrades!$T$16="Stellar Kinematics",POWER(Upgrades!$U$16,H402),1)*IF(Upgrades!$T$17="Stellar Kinematics",POWER(Upgrades!$U$17,I402),1)*IF(Upgrades!$T$18="Stellar Kinematics",POWER(Upgrades!$U$18,J402),1)*IF(Upgrades!$T$19="Stellar Kinematics",POWER(Upgrades!$U$19,K402),1)*IF(Upgrades!$T$20="Stellar Kinematics",POWER(Upgrades!$U$20,L402),1)*IF(Upgrades!$T$21="Stellar Kinematics",POWER(Upgrades!$U$21,M402),1))*POWER(Upgrades!$P$13,E402)*POWER(Upgrades!$P$14,F402)*POWER(Upgrades!$P$15,G402)*POWER(Upgrades!$P$16,H402)*POWER(Upgrades!$P$17,I402)*POWER(Upgrades!$P$18,J402)*POWER(Upgrades!$P$19,K402)*POWER(Upgrades!$P$20,L402)*POWER(Upgrades!$P$21,M402)*$F$6*60</f>
        <v/>
      </c>
      <c r="AB402" s="27">
        <f>(IF(F402=0,0,(Upgrades!$G$14+F402*Upgrades!$H$14)*POWER(Upgrades!$I$14,F402)))*(IF(Upgrades!$T$13="Local Bubble",POWER(Upgrades!$U$13,E402),1)*IF(Upgrades!$T$15="Local Bubble",POWER(Upgrades!$U$15,G402),1)*IF(Upgrades!$T$16="Local Bubble",POWER(Upgrades!$U$16,H402),1)*IF(Upgrades!$T$17="Local Bubble",POWER(Upgrades!$U$17,I402),1)*IF(Upgrades!$T$18="Local Bubble",POWER(Upgrades!$U$18,J402),1)*IF(Upgrades!$T$19="Local Bubble",POWER(Upgrades!$U$19,K402),1)*IF(Upgrades!$T$20="Local Bubble",POWER(Upgrades!$U$20,L402),1)*IF(Upgrades!$T$21="Local Bubble",POWER(Upgrades!$U$21,M402),1))*POWER(Upgrades!$P$13,E402)*POWER(Upgrades!$P$14,F402)*POWER(Upgrades!$P$15,G402)*POWER(Upgrades!$P$16,H402)*POWER(Upgrades!$P$17,I402)*POWER(Upgrades!$P$18,J402)*POWER(Upgrades!$P$19,K402)*POWER(Upgrades!$P$20,L402)*POWER(Upgrades!$P$21,M402)*$F$6*60</f>
        <v/>
      </c>
      <c r="AC402" s="27">
        <f>(IF(G402=0,0,(Upgrades!$J$15+G402*Upgrades!$K$15)*POWER(Upgrades!$L$15,G402)))*(IF(Upgrades!$T$13="Microlensing",POWER(Upgrades!$U$13,E402),1)*IF(Upgrades!$T$14="Microlensing",POWER(Upgrades!$U$14,F402),1)*IF(Upgrades!$T$16="Microlensing",POWER(Upgrades!$U$16,H402),1)*IF(Upgrades!$T$17="Microlensing",POWER(Upgrades!$U$17,I402),1)*IF(Upgrades!$T$18="Microlensing",POWER(Upgrades!$U$18,J402),1)*IF(Upgrades!$T$19="Microlensing",POWER(Upgrades!$U$19,K402),1)*IF(Upgrades!$T$20="Microlensing",POWER(Upgrades!$U$20,L402),1)*IF(Upgrades!$T$21="Microlensing",POWER(Upgrades!$U$21,M402),1))*POWER(Upgrades!$Q$13,E402)*POWER(Upgrades!$Q$14,F402)*POWER(Upgrades!$Q$15,G402)*POWER(Upgrades!$Q$16,H402)*POWER(Upgrades!$Q$17,I402)*POWER(Upgrades!$Q$18,J402)*POWER(Upgrades!$Q$19,K402)*POWER(Upgrades!$Q$20,L402)*POWER(Upgrades!$Q$21,M402)*$G$6*(Parameters!$B$10*Parameters!$B$11+Q402*60)</f>
        <v/>
      </c>
      <c r="AD402" s="27">
        <f>(IF(H402=0,0,(Upgrades!$M$16+H402*Upgrades!$N$16)*POWER(Upgrades!$O$16,H402)))*(IF(Upgrades!$T$13="Roche Lobe Overflow",POWER(Upgrades!$U$13,E402),1)*IF(Upgrades!$T$14="Roche Lobe Overflow",POWER(Upgrades!$U$14,F402),1)*IF(Upgrades!$T$15="Roche Lobe Overflow",POWER(Upgrades!$U$15,G402),1)*IF(Upgrades!$T$17="Roche Lobe Overflow",POWER(Upgrades!$U$17,I402),1)*IF(Upgrades!$T$18="Roche Lobe Overflow",POWER(Upgrades!$U$18,J402),1)*IF(Upgrades!$T$19="Roche Lobe Overflow",POWER(Upgrades!$U$19,K402),1)*IF(Upgrades!$T$20="Roche Lobe Overflow",POWER(Upgrades!$U$20,L402),1)*IF(Upgrades!$T$21="Roche Lobe Overflow",POWER(Upgrades!$U$21,M402),1))*POWER(Upgrades!$R$13,E402)*POWER(Upgrades!$R$14,F402)*POWER(Upgrades!$R$15,G402)*POWER(Upgrades!$R$16,H402)*POWER(Upgrades!$R$17,I402)*POWER(Upgrades!$R$18,J402)*POWER(Upgrades!$R$19,K402)*POWER(Upgrades!$R$20,L402)*POWER(Upgrades!$R$21,M402)*$H$6*O402*60</f>
        <v/>
      </c>
      <c r="AE402" s="27">
        <f>(IF(I402=0,0,(Upgrades!$G$17+I402*Upgrades!$H$17)*POWER(Upgrades!$I$17,I402)))*(IF(Upgrades!$T$13="Brown Dwarf",POWER(Upgrades!$U$13,E402),1)*IF(Upgrades!$T$14="Brown Dwarf",POWER(Upgrades!$U$14,F402),1)*IF(Upgrades!$T$15="Brown Dwarf",POWER(Upgrades!$U$15,G402),1)*IF(Upgrades!$T$16="Brown Dwarf",POWER(Upgrades!$U$16,H402),1)*IF(Upgrades!$T$18="Brown Dwarf",POWER(Upgrades!$U$18,J402),1)*IF(Upgrades!$T$19="Brown Dwarf",POWER(Upgrades!$U$19,K402),1)*IF(Upgrades!$T$20="Brown Dwarf",POWER(Upgrades!$U$20,L402),1)*IF(Upgrades!$T$21="Brown Dwarf",POWER(Upgrades!$U$21,M402),1))*POWER(Upgrades!$P$13,E402)*POWER(Upgrades!$P$14,F402)*POWER(Upgrades!$P$15,G402)*POWER(Upgrades!$P$16,H402)*POWER(Upgrades!$P$17,I402)*POWER(Upgrades!$P$18,J402)*POWER(Upgrades!$P$19,K402)*POWER(Upgrades!$P$20,L402)*POWER(Upgrades!$P$21,M402)*$F$6*60</f>
        <v/>
      </c>
      <c r="AF402" s="27" t="n">
        <v>0</v>
      </c>
      <c r="AG402" s="27" t="n">
        <v>0</v>
      </c>
      <c r="AH402" s="27" t="n">
        <v>0</v>
      </c>
      <c r="AI402" s="27">
        <f>(IF(M402=0,0,(Upgrades!$G$21+M402*Upgrades!$H$21)*POWER(Upgrades!$I$21,M402)))*(IF(Upgrades!$T$13="Moving Group",POWER(Upgrades!$U$13,E402),1)*IF(Upgrades!$T$14="Moving Group",POWER(Upgrades!$U$14,F402),1)*IF(Upgrades!$T$15="Moving Group",POWER(Upgrades!$U$15,G402),1)*IF(Upgrades!$T$16="Moving Group",POWER(Upgrades!$U$16,H402),1)*IF(Upgrades!$T$17="Moving Group",POWER(Upgrades!$U$17,I402),1)*IF(Upgrades!$T$18="Moving Group",POWER(Upgrades!$U$18,J402),1)*IF(Upgrades!$T$19="Moving Group",POWER(Upgrades!$U$19,K402),1)*IF(Upgrades!$T$20="Moving Group",POWER(Upgrades!$U$20,L402),1))*POWER(Upgrades!$P$13,E402)*POWER(Upgrades!$P$14,F402)*POWER(Upgrades!$P$15,G402)*POWER(Upgrades!$P$16,H402)*POWER(Upgrades!$P$17,I402)*POWER(Upgrades!$P$18,J402)*POWER(Upgrades!$P$19,K402)*POWER(Upgrades!$P$20,L402)*POWER(Upgrades!$P$21,M402)*$F$6*60</f>
        <v/>
      </c>
      <c r="AJ402" s="27">
        <f>$C$6*60</f>
        <v/>
      </c>
      <c r="AK402" s="22">
        <f>IF(E402&gt;=Upgrades!$E$13,"",Upgrades!$C$13*POWER(Upgrades!$D$13,E402))</f>
        <v/>
      </c>
      <c r="AL402" s="22">
        <f>IF(F402&gt;=Upgrades!$E$14,"",Upgrades!$C$14*POWER(Upgrades!$D$14,F402))</f>
        <v/>
      </c>
      <c r="AM402" s="22">
        <f>IF(G402&gt;=Upgrades!$E$15,"",Upgrades!$C$15*POWER(Upgrades!$D$15,G402))</f>
        <v/>
      </c>
      <c r="AN402" s="22">
        <f>IF(H402&gt;=Upgrades!$E$16,"",Upgrades!$C$16*POWER(Upgrades!$D$16,H402))</f>
        <v/>
      </c>
      <c r="AO402" s="22">
        <f>IF(I402&gt;=Upgrades!$E$17,"",Upgrades!$C$17*POWER(Upgrades!$D$17,I402))</f>
        <v/>
      </c>
      <c r="AP402" s="22">
        <f>IF(J402&gt;=Upgrades!$E$18,"",Upgrades!$C$18*POWER(Upgrades!$D$18,J402))</f>
        <v/>
      </c>
      <c r="AQ402" s="22">
        <f>IF(K402&gt;=Upgrades!$E$19,"",Upgrades!$C$19*POWER(Upgrades!$D$19,K402))</f>
        <v/>
      </c>
      <c r="AR402" s="22">
        <f>IF(L402&gt;=Upgrades!$E$20,"",Upgrades!$C$20*POWER(Upgrades!$D$20,L402))</f>
        <v/>
      </c>
      <c r="AS402" s="22">
        <f>IF(M402&gt;=Upgrades!$E$21,"",Upgrades!$C$21*POWER(Upgrades!$D$21,M402))</f>
        <v/>
      </c>
      <c r="AT402" s="26">
        <f>IF(AND(D402&gt;=Parameters!$B$18*Parameters!$B$19,(I402&gt;=Upgrades!$E$17)*(M402&gt;=Upgrades!$E$21)=1,N402=0),1,"")</f>
        <v/>
      </c>
      <c r="AU402" s="26">
        <f>IF(AND(D402&gt;=Parameters!$B$18*Parameters!$B$19,N402=0),1,"")</f>
        <v/>
      </c>
      <c r="AV402" s="22">
        <f>MIN(IF(ISNUMBER(AP402),AP402,9E15),IF(ISNUMBER(AQ402),AQ402,9E15),IF(ISNUMBER(AR402),AR402,9E15),IF(ISNUMBER(AS402),AS402,9E15))</f>
        <v/>
      </c>
      <c r="AW402" s="22">
        <f>MIN(IF(ISNUMBER(AK402),AK402,9E15),IF(ISNUMBER(AL402),AL402,9E15),IF(ISNUMBER(AM402),AM402,9E15),IF(ISNUMBER(AN402),AN402,9E15),IF(ISNUMBER(AO402),AO402,9E15))</f>
        <v/>
      </c>
      <c r="AX402" s="29">
        <f>IF(BD402&gt;Parameters!$B$21*(MAX(IF(AND(NOT(AND(AU402=1,AT402&lt;&gt;1)),ISNUMBER(AK402),AK402&lt;=(C402+T402)),AY402,0),IF(AND(NOT(AND(AU402=1,AT402&lt;&gt;1)),ISNUMBER(AL402),AL402&lt;=(C402+T402)),AZ402,0),IF(AND(NOT(AND(AU402=1,AT402&lt;&gt;1)),ISNUMBER(AM402),AM402&lt;=(C402+T402)),BA402,0),IF(AND(NOT(AND(AU402=1,AT402&lt;&gt;1)),ISNUMBER(AN402),AN402&lt;=(C402+T402)),BB402,0),IF(AND(ISNUMBER(AO402),AO402&lt;=(C402+T402)),BC402,0))),TRUE,FALSE)</f>
        <v/>
      </c>
      <c r="AY402" s="32">
        <f>IFERROR(Upgrades!$H$13*(POWER(Upgrades!$P$13,E402)*POWER(Upgrades!$P$14,F402)*POWER(Upgrades!$P$15,G402)*POWER(Upgrades!$P$16,H402)*POWER(Upgrades!$P$17,I402)*POWER(Upgrades!$P$18,J402)*POWER(Upgrades!$P$19,K402)*POWER(Upgrades!$P$20,L402)*POWER(Upgrades!$P$21,M402))*(IF(Upgrades!$T$14="Stellar Kinematics",POWER(Upgrades!$U$14,F402),1)*IF(Upgrades!$T$15="Stellar Kinematics",POWER(Upgrades!$U$15,G402),1)*IF(Upgrades!$T$16="Stellar Kinematics",POWER(Upgrades!$U$16,H402),1)*IF(Upgrades!$T$17="Stellar Kinematics",POWER(Upgrades!$U$17,I402),1)*IF(Upgrades!$T$18="Stellar Kinematics",POWER(Upgrades!$U$18,J402),1)*IF(Upgrades!$T$19="Stellar Kinematics",POWER(Upgrades!$U$19,K402),1)*IF(Upgrades!$T$20="Stellar Kinematics",POWER(Upgrades!$U$20,L402),1)*IF(Upgrades!$T$21="Stellar Kinematics",POWER(Upgrades!$U$21,M402),1))*$F$6/AK402,0)</f>
        <v/>
      </c>
      <c r="AZ402" s="32">
        <f>IFERROR(Upgrades!$H$14*(POWER(Upgrades!$P$13,E402)*POWER(Upgrades!$P$14,F402)*POWER(Upgrades!$P$15,G402)*POWER(Upgrades!$P$16,H402)*POWER(Upgrades!$P$17,I402)*POWER(Upgrades!$P$18,J402)*POWER(Upgrades!$P$19,K402)*POWER(Upgrades!$P$20,L402)*POWER(Upgrades!$P$21,M402))*(IF(Upgrades!$T$13="Local Bubble",POWER(Upgrades!$U$13,E402),1)*IF(Upgrades!$T$15="Local Bubble",POWER(Upgrades!$U$15,G402),1)*IF(Upgrades!$T$16="Local Bubble",POWER(Upgrades!$U$16,H402),1)*IF(Upgrades!$T$17="Local Bubble",POWER(Upgrades!$U$17,I402),1)*IF(Upgrades!$T$18="Local Bubble",POWER(Upgrades!$U$18,J402),1)*IF(Upgrades!$T$19="Local Bubble",POWER(Upgrades!$U$19,K402),1)*IF(Upgrades!$T$20="Local Bubble",POWER(Upgrades!$U$20,L402),1)*IF(Upgrades!$T$21="Local Bubble",POWER(Upgrades!$U$21,M402),1))*$F$6/AL402,0)</f>
        <v/>
      </c>
      <c r="BA402" s="32">
        <f>IFERROR(Upgrades!$K$15*(POWER(Upgrades!$Q$13,E402)*POWER(Upgrades!$Q$14,F402)*POWER(Upgrades!$Q$15,G402)*POWER(Upgrades!$Q$16,H402)*POWER(Upgrades!$Q$17,I402)*POWER(Upgrades!$Q$18,J402)*POWER(Upgrades!$Q$19,K402)*POWER(Upgrades!$Q$20,L402)*POWER(Upgrades!$Q$21,M402))*(IF(Upgrades!$T$13="Microlensing",POWER(Upgrades!$U$13,E402),1)*IF(Upgrades!$T$14="Microlensing",POWER(Upgrades!$U$14,F402),1)*IF(Upgrades!$T$16="Microlensing",POWER(Upgrades!$U$16,H402),1)*IF(Upgrades!$T$17="Microlensing",POWER(Upgrades!$U$17,I402),1)*IF(Upgrades!$T$18="Microlensing",POWER(Upgrades!$U$18,J402),1)*IF(Upgrades!$T$19="Microlensing",POWER(Upgrades!$U$19,K402),1)*IF(Upgrades!$T$20="Microlensing",POWER(Upgrades!$U$20,L402),1)*IF(Upgrades!$T$21="Microlensing",POWER(Upgrades!$U$21,M402),1))*$G$6*(Parameters!$B$10/60*Parameters!$B$11+Q402)/AM402,0)</f>
        <v/>
      </c>
      <c r="BB402" s="32">
        <f>IFERROR((Upgrades!$N$16*(POWER(Upgrades!$R$13,E402)*POWER(Upgrades!$R$14,F402)*POWER(Upgrades!$R$15,G402)*POWER(Upgrades!$R$16,H402)*POWER(Upgrades!$R$17,I402)*POWER(Upgrades!$R$18,J402)*POWER(Upgrades!$R$19,K402)*POWER(Upgrades!$R$20,L402)*POWER(Upgrades!$R$21,M402))*(IF(Upgrades!$T$13="Roche Lobe Overflow",POWER(Upgrades!$U$13,E402),1)*IF(Upgrades!$T$14="Roche Lobe Overflow",POWER(Upgrades!$U$14,F402),1)*IF(Upgrades!$T$15="Roche Lobe Overflow",POWER(Upgrades!$U$15,G402),1)*IF(Upgrades!$T$17="Roche Lobe Overflow",POWER(Upgrades!$U$17,I402),1)*IF(Upgrades!$T$18="Roche Lobe Overflow",POWER(Upgrades!$U$18,J402),1)*IF(Upgrades!$T$19="Roche Lobe Overflow",POWER(Upgrades!$U$19,K402),1)*IF(Upgrades!$T$20="Roche Lobe Overflow",POWER(Upgrades!$U$20,L402),1)*IF(Upgrades!$T$21="Roche Lobe Overflow",POWER(Upgrades!$U$21,M402),1))*$H$6*O402+((IF(F402=0,0,(Upgrades!$G$14+F402*Upgrades!$H$14)*POWER(Upgrades!$I$14,F402)))*(IF(Upgrades!$T$13="Local Bubble",POWER(Upgrades!$U$13,E402),1)*IF(Upgrades!$T$15="Local Bubble",POWER(Upgrades!$U$15,G402),1)*IF(Upgrades!$T$16="Local Bubble",POWER(Upgrades!$U$16,H402),1)*IF(Upgrades!$T$17="Local Bubble",POWER(Upgrades!$U$17,I402),1)*IF(Upgrades!$T$18="Local Bubble",POWER(Upgrades!$U$18,J402),1)*IF(Upgrades!$T$19="Local Bubble",POWER(Upgrades!$U$19,K402),1)*IF(Upgrades!$T$20="Local Bubble",POWER(Upgrades!$U$20,L402),1)*IF(Upgrades!$T$21="Local Bubble",POWER(Upgrades!$U$21,M402),1))*POWER(Upgrades!$P$13,E402)*POWER(Upgrades!$P$14,F402)*POWER(Upgrades!$P$15,G402)*POWER(Upgrades!$P$16,H402)*POWER(Upgrades!$P$17,I402)*POWER(Upgrades!$P$18,J402)*POWER(Upgrades!$P$19,K402)*POWER(Upgrades!$P$20,L402)*POWER(Upgrades!$P$21,M402)*$F$6)*0.05)/AN402,0)</f>
        <v/>
      </c>
      <c r="BC402" s="32">
        <f>IFERROR((Upgrades!$H$17*(POWER(Upgrades!$P$13,E402)*POWER(Upgrades!$P$14,F402)*POWER(Upgrades!$P$15,G402)*POWER(Upgrades!$P$16,H402)*POWER(Upgrades!$P$17,I402)*POWER(Upgrades!$P$18,J402)*POWER(Upgrades!$P$19,K402)*POWER(Upgrades!$P$20,L402)*POWER(Upgrades!$P$21,M402))*(IF(Upgrades!$T$13="Brown Dwarf",POWER(Upgrades!$U$13,E402),1)*IF(Upgrades!$T$14="Brown Dwarf",POWER(Upgrades!$U$14,F402),1)*IF(Upgrades!$T$15="Brown Dwarf",POWER(Upgrades!$U$15,G402),1)*IF(Upgrades!$T$16="Brown Dwarf",POWER(Upgrades!$U$16,H402),1)*IF(Upgrades!$T$18="Brown Dwarf",POWER(Upgrades!$U$18,J402),1)*IF(Upgrades!$T$19="Brown Dwarf",POWER(Upgrades!$U$19,K402),1)*IF(Upgrades!$T$20="Brown Dwarf",POWER(Upgrades!$U$20,L402),1)*IF(Upgrades!$T$21="Brown Dwarf",POWER(Upgrades!$U$21,M402),1))*$F$6+(((IF(H402=0,0,(Upgrades!$M$16+H402*Upgrades!$N$16)*POWER(Upgrades!$O$16,H402)))*(IF(Upgrades!$T$13="Roche Lobe Overflow",POWER(Upgrades!$U$13,E402),1)*IF(Upgrades!$T$14="Roche Lobe Overflow",POWER(Upgrades!$U$14,F402),1)*IF(Upgrades!$T$15="Roche Lobe Overflow",POWER(Upgrades!$U$15,G402),1)*IF(Upgrades!$T$17="Roche Lobe Overflow",POWER(Upgrades!$U$17,I402),1)*IF(Upgrades!$T$18="Roche Lobe Overflow",POWER(Upgrades!$U$18,J402),1)*IF(Upgrades!$T$19="Roche Lobe Overflow",POWER(Upgrades!$U$19,K402),1)*IF(Upgrades!$T$20="Roche Lobe Overflow",POWER(Upgrades!$U$20,L402),1)*IF(Upgrades!$T$21="Roche Lobe Overflow",POWER(Upgrades!$U$21,M402),1))*POWER(Upgrades!$R$13,E402)*POWER(Upgrades!$R$14,F402)*POWER(Upgrades!$R$15,G402)*POWER(Upgrades!$R$16,H402)*POWER(Upgrades!$R$17,I402)*POWER(Upgrades!$R$18,J402)*POWER(Upgrades!$R$19,K402)*POWER(Upgrades!$R$20,L402)*POWER(Upgrades!$R$21,M402)*$H$6)*O402)*0.10)/AO402,0)</f>
        <v/>
      </c>
      <c r="BD402" s="32">
        <f>MAX(IF(J402&gt;0,0,IFERROR(0.5*((IF(G402=0,0,(Upgrades!$J$15+G402*Upgrades!$K$15)*POWER(Upgrades!$L$15,G402)))*(IF(Upgrades!$T$13="Microlensing",POWER(Upgrades!$U$13,E402),1)*IF(Upgrades!$T$14="Microlensing",POWER(Upgrades!$U$14,F402),1)*IF(Upgrades!$T$16="Microlensing",POWER(Upgrades!$U$16,H402),1)*IF(Upgrades!$T$17="Microlensing",POWER(Upgrades!$U$17,I402),1)*IF(Upgrades!$T$18="Microlensing",POWER(Upgrades!$U$18,J402),1)*IF(Upgrades!$T$19="Microlensing",POWER(Upgrades!$U$19,K402),1)*IF(Upgrades!$T$20="Microlensing",POWER(Upgrades!$U$20,L402),1)*IF(Upgrades!$T$21="Microlensing",POWER(Upgrades!$U$21,M402),1))*(POWER(Upgrades!$Q$13,E402)*POWER(Upgrades!$Q$14,F402)*POWER(Upgrades!$Q$15,G402)*POWER(Upgrades!$Q$16,H402)*POWER(Upgrades!$Q$17,I402)*POWER(Upgrades!$Q$18,J402)*POWER(Upgrades!$Q$19,K402)*POWER(Upgrades!$Q$20,L402)*POWER(Upgrades!$Q$21,M402))*$G$6*(Parameters!$B$10/60*Parameters!$B$11+Q402))/Upgrades!$C$18,0)),IF(K402&gt;0,0,IFERROR(0.30*P402/Upgrades!$C$19,0)),IF(L402&gt;0,0,IFERROR(0.0001/Upgrades!$C$20,0)),IF(M402&gt;0,0,IFERROR((6.0*(POWER(Upgrades!$P$13,E402)*POWER(Upgrades!$P$14,F402)*POWER(Upgrades!$P$15,G402)*POWER(Upgrades!$P$16,H402)*POWER(Upgrades!$P$17,I402)*POWER(Upgrades!$P$18,J402)*POWER(Upgrades!$P$19,K402)*POWER(Upgrades!$P$20,L402)*POWER(Upgrades!$P$21,M402))*$F$6+0.20*O402*(Parameters!$B$10/60*Parameters!$B$11+Q402))/Upgrades!$C$21,0)),IF(AND(ISNUMBER(AK402),AK402&gt;(C402+T402)),AY402,0),IF(AND(ISNUMBER(AL402),AL402&gt;(C402+T402)),AZ402,0),IF(AND(ISNUMBER(AM402),AM402&gt;(C402+T402)),BA402,0),IF(AND(ISNUMBER(AN402),AN402&gt;(C402+T402)),BB402,0),IF(AND(ISNUMBER(AO402),AO402&gt;(C402+T402)),BC402,0))</f>
        <v/>
      </c>
      <c r="BE402" s="29">
        <f>IF(AT402=1,"transition",IF(MIN(IF(AND(J402=0,ISNUMBER(AP402),AP402&lt;=(C402+T402)),AP402,9E15),IF(AND(K402=0,ISNUMBER(AQ402),AQ402&lt;=(C402+T402)),AQ402,9E15),IF(AND(L402=0,ISNUMBER(AR402),AR402&lt;=(C402+T402)),AR402,9E15),IF(AND(M402=0,ISNUMBER(AS402),AS402&lt;=(C402+T402)),AS402,9E15))&lt;9E15,IF(AND(AND(J402=0,ISNUMBER(AP402),AP402&lt;=(C402+T402)),AP402=MIN(IF(AND(J402=0,ISNUMBER(AP402),AP402&lt;=(C402+T402)),AP402,9E15),IF(AND(K402=0,ISNUMBER(AQ402),AQ402&lt;=(C402+T402)),AQ402,9E15),IF(AND(L402=0,ISNUMBER(AR402),AR402&lt;=(C402+T402)),AR402,9E15),IF(AND(M402=0,ISNUMBER(AS402),AS402&lt;=(C402+T402)),AS402,9E15))),"BiP",IF(AND(AND(K402=0,ISNUMBER(AQ402),AQ402&lt;=(C402+T402)),AQ402=MIN(IF(AND(J402=0,ISNUMBER(AP402),AP402&lt;=(C402+T402)),AP402,9E15),IF(AND(K402=0,ISNUMBER(AQ402),AQ402&lt;=(C402+T402)),AQ402,9E15),IF(AND(L402=0,ISNUMBER(AR402),AR402&lt;=(C402+T402)),AR402,9E15),IF(AND(M402=0,ISNUMBER(AS402),AS402&lt;=(C402+T402)),AS402,9E15))),"PV",IF(AND(AND(L402=0,ISNUMBER(AR402),AR402&lt;=(C402+T402)),AR402=MIN(IF(AND(J402=0,ISNUMBER(AP402),AP402&lt;=(C402+T402)),AP402,9E15),IF(AND(K402=0,ISNUMBER(AQ402),AQ402&lt;=(C402+T402)),AQ402,9E15),IF(AND(L402=0,ISNUMBER(AR402),AR402&lt;=(C402+T402)),AR402,9E15),IF(AND(M402=0,ISNUMBER(AS402),AS402&lt;=(C402+T402)),AS402,9E15))),"OC","MG"))),IF(AX402=TRUE,"",IF(MAX(IF(AND(NOT(AND(AU402=1,AT402&lt;&gt;1)),ISNUMBER(AK402),AK402&lt;=(C402+T402)),AY402,0),IF(AND(NOT(AND(AU402=1,AT402&lt;&gt;1)),ISNUMBER(AL402),AL402&lt;=(C402+T402)),AZ402,0),IF(AND(NOT(AND(AU402=1,AT402&lt;&gt;1)),ISNUMBER(AM402),AM402&lt;=(C402+T402)),BA402,0),IF(AND(NOT(AND(AU402=1,AT402&lt;&gt;1)),ISNUMBER(AN402),AN402&lt;=(C402+T402)),BB402,0),IF(AND(ISNUMBER(AO402),AO402&lt;=(C402+T402)),BC402,0))&lt;=0,"",IF(AND(IF(AND(NOT(AND(AU402=1,AT402&lt;&gt;1)),ISNUMBER(AK402),AK402&lt;=(C402+T402)),AY402,0)&gt;0,IF(AND(NOT(AND(AU402=1,AT402&lt;&gt;1)),ISNUMBER(AK402),AK402&lt;=(C402+T402)),AY402,0)=MAX(IF(AND(NOT(AND(AU402=1,AT402&lt;&gt;1)),ISNUMBER(AK402),AK402&lt;=(C402+T402)),AY402,0),IF(AND(NOT(AND(AU402=1,AT402&lt;&gt;1)),ISNUMBER(AL402),AL402&lt;=(C402+T402)),AZ402,0),IF(AND(NOT(AND(AU402=1,AT402&lt;&gt;1)),ISNUMBER(AM402),AM402&lt;=(C402+T402)),BA402,0),IF(AND(NOT(AND(AU402=1,AT402&lt;&gt;1)),ISNUMBER(AN402),AN402&lt;=(C402+T402)),BB402,0),IF(AND(ISNUMBER(AO402),AO402&lt;=(C402+T402)),BC402,0))),"SK",IF(AND(IF(AND(NOT(AND(AU402=1,AT402&lt;&gt;1)),ISNUMBER(AL402),AL402&lt;=(C402+T402)),AZ402,0)&gt;0,IF(AND(NOT(AND(AU402=1,AT402&lt;&gt;1)),ISNUMBER(AL402),AL402&lt;=(C402+T402)),AZ402,0)=MAX(IF(AND(NOT(AND(AU402=1,AT402&lt;&gt;1)),ISNUMBER(AK402),AK402&lt;=(C402+T402)),AY402,0),IF(AND(NOT(AND(AU402=1,AT402&lt;&gt;1)),ISNUMBER(AL402),AL402&lt;=(C402+T402)),AZ402,0),IF(AND(NOT(AND(AU402=1,AT402&lt;&gt;1)),ISNUMBER(AM402),AM402&lt;=(C402+T402)),BA402,0),IF(AND(NOT(AND(AU402=1,AT402&lt;&gt;1)),ISNUMBER(AN402),AN402&lt;=(C402+T402)),BB402,0),IF(AND(ISNUMBER(AO402),AO402&lt;=(C402+T402)),BC402,0))),"LB",IF(AND(IF(AND(NOT(AND(AU402=1,AT402&lt;&gt;1)),ISNUMBER(AM402),AM402&lt;=(C402+T402)),BA402,0)&gt;0,IF(AND(NOT(AND(AU402=1,AT402&lt;&gt;1)),ISNUMBER(AM402),AM402&lt;=(C402+T402)),BA402,0)=MAX(IF(AND(NOT(AND(AU402=1,AT402&lt;&gt;1)),ISNUMBER(AK402),AK402&lt;=(C402+T402)),AY402,0),IF(AND(NOT(AND(AU402=1,AT402&lt;&gt;1)),ISNUMBER(AL402),AL402&lt;=(C402+T402)),AZ402,0),IF(AND(NOT(AND(AU402=1,AT402&lt;&gt;1)),ISNUMBER(AM402),AM402&lt;=(C402+T402)),BA402,0),IF(AND(NOT(AND(AU402=1,AT402&lt;&gt;1)),ISNUMBER(AN402),AN402&lt;=(C402+T402)),BB402,0),IF(AND(ISNUMBER(AO402),AO402&lt;=(C402+T402)),BC402,0))),"ML",IF(AND(IF(AND(NOT(AND(AU402=1,AT402&lt;&gt;1)),ISNUMBER(AN402),AN402&lt;=(C402+T402)),BB402,0)&gt;0,IF(AND(NOT(AND(AU402=1,AT402&lt;&gt;1)),ISNUMBER(AN402),AN402&lt;=(C402+T402)),BB402,0)=MAX(IF(AND(NOT(AND(AU402=1,AT402&lt;&gt;1)),ISNUMBER(AK402),AK402&lt;=(C402+T402)),AY402,0),IF(AND(NOT(AND(AU402=1,AT402&lt;&gt;1)),ISNUMBER(AL402),AL402&lt;=(C402+T402)),AZ402,0),IF(AND(NOT(AND(AU402=1,AT402&lt;&gt;1)),ISNUMBER(AM402),AM402&lt;=(C402+T402)),BA402,0),IF(AND(NOT(AND(AU402=1,AT402&lt;&gt;1)),ISNUMBER(AN402),AN402&lt;=(C402+T402)),BB402,0),IF(AND(ISNUMBER(AO402),AO402&lt;=(C402+T402)),BC402,0))),"RLO","BD"))))))))</f>
        <v/>
      </c>
    </row>
    <row r="403">
      <c r="A403" s="26" t="n">
        <v>392</v>
      </c>
      <c r="B403" s="27">
        <f>A403*10/60</f>
        <v/>
      </c>
      <c r="C403" s="22">
        <f>X402</f>
        <v/>
      </c>
      <c r="D403" s="27">
        <f>D402+W402</f>
        <v/>
      </c>
      <c r="E403" s="26">
        <f>E402+IF(U402="SK",1,0)</f>
        <v/>
      </c>
      <c r="F403" s="26">
        <f>F402+IF(U402="LB",1,0)</f>
        <v/>
      </c>
      <c r="G403" s="26">
        <f>G402+IF(U402="ML",1,0)</f>
        <v/>
      </c>
      <c r="H403" s="26">
        <f>H402+IF(U402="RLO",1,0)</f>
        <v/>
      </c>
      <c r="I403" s="26">
        <f>I402+IF(U402="BD",1,0)</f>
        <v/>
      </c>
      <c r="J403" s="26">
        <f>MAX(J402,IF(U402="BiP",1,0))</f>
        <v/>
      </c>
      <c r="K403" s="26">
        <f>MAX(K402,IF(U402="PV",1,0))</f>
        <v/>
      </c>
      <c r="L403" s="26">
        <f>MAX(L402,IF(U402="OC",1,0))</f>
        <v/>
      </c>
      <c r="M403" s="26">
        <f>MAX(M402,IF(U402="MG",1,0))</f>
        <v/>
      </c>
      <c r="N403" s="26">
        <f>MAX(N402,IF(U402="transition",1,0))</f>
        <v/>
      </c>
      <c r="O403" s="28">
        <f>(Parameters!$B$9+(IF(E403=0,0,(Upgrades!$J$13+E403*Upgrades!$K$13)*POWER(Upgrades!$L$13,E403)))*(IF(Upgrades!$T$14="Stellar Kinematics",POWER(Upgrades!$U$14,F403),1)*IF(Upgrades!$T$15="Stellar Kinematics",POWER(Upgrades!$U$15,G403),1)*IF(Upgrades!$T$16="Stellar Kinematics",POWER(Upgrades!$U$16,H403),1)*IF(Upgrades!$T$17="Stellar Kinematics",POWER(Upgrades!$U$17,I403),1)*IF(Upgrades!$T$18="Stellar Kinematics",POWER(Upgrades!$U$18,J403),1)*IF(Upgrades!$T$19="Stellar Kinematics",POWER(Upgrades!$U$19,K403),1)*IF(Upgrades!$T$20="Stellar Kinematics",POWER(Upgrades!$U$20,L403),1)*IF(Upgrades!$T$21="Stellar Kinematics",POWER(Upgrades!$U$21,M403),1))+(IF(F403=0,0,(Upgrades!$J$14+F403*Upgrades!$K$14)*POWER(Upgrades!$L$14,F403)))*(IF(Upgrades!$T$13="Local Bubble",POWER(Upgrades!$U$13,E403),1)*IF(Upgrades!$T$15="Local Bubble",POWER(Upgrades!$U$15,G403),1)*IF(Upgrades!$T$16="Local Bubble",POWER(Upgrades!$U$16,H403),1)*IF(Upgrades!$T$17="Local Bubble",POWER(Upgrades!$U$17,I403),1)*IF(Upgrades!$T$18="Local Bubble",POWER(Upgrades!$U$18,J403),1)*IF(Upgrades!$T$19="Local Bubble",POWER(Upgrades!$U$19,K403),1)*IF(Upgrades!$T$20="Local Bubble",POWER(Upgrades!$U$20,L403),1)*IF(Upgrades!$T$21="Local Bubble",POWER(Upgrades!$U$21,M403),1))+(IF(G403=0,0,(Upgrades!$J$15+G403*Upgrades!$K$15)*POWER(Upgrades!$L$15,G403)))*(IF(Upgrades!$T$13="Microlensing",POWER(Upgrades!$U$13,E403),1)*IF(Upgrades!$T$14="Microlensing",POWER(Upgrades!$U$14,F403),1)*IF(Upgrades!$T$16="Microlensing",POWER(Upgrades!$U$16,H403),1)*IF(Upgrades!$T$17="Microlensing",POWER(Upgrades!$U$17,I403),1)*IF(Upgrades!$T$18="Microlensing",POWER(Upgrades!$U$18,J403),1)*IF(Upgrades!$T$19="Microlensing",POWER(Upgrades!$U$19,K403),1)*IF(Upgrades!$T$20="Microlensing",POWER(Upgrades!$U$20,L403),1)*IF(Upgrades!$T$21="Microlensing",POWER(Upgrades!$U$21,M403),1))+(IF(H403=0,0,(Upgrades!$J$16+H403*Upgrades!$K$16)*POWER(Upgrades!$L$16,H403)))*(IF(Upgrades!$T$13="Roche Lobe Overflow",POWER(Upgrades!$U$13,E403),1)*IF(Upgrades!$T$14="Roche Lobe Overflow",POWER(Upgrades!$U$14,F403),1)*IF(Upgrades!$T$15="Roche Lobe Overflow",POWER(Upgrades!$U$15,G403),1)*IF(Upgrades!$T$17="Roche Lobe Overflow",POWER(Upgrades!$U$17,I403),1)*IF(Upgrades!$T$18="Roche Lobe Overflow",POWER(Upgrades!$U$18,J403),1)*IF(Upgrades!$T$19="Roche Lobe Overflow",POWER(Upgrades!$U$19,K403),1)*IF(Upgrades!$T$20="Roche Lobe Overflow",POWER(Upgrades!$U$20,L403),1)*IF(Upgrades!$T$21="Roche Lobe Overflow",POWER(Upgrades!$U$21,M403),1))+(IF(I403=0,0,(Upgrades!$J$17+I403*Upgrades!$K$17)*POWER(Upgrades!$L$17,I403)))*(IF(Upgrades!$T$13="Brown Dwarf",POWER(Upgrades!$U$13,E403),1)*IF(Upgrades!$T$14="Brown Dwarf",POWER(Upgrades!$U$14,F403),1)*IF(Upgrades!$T$15="Brown Dwarf",POWER(Upgrades!$U$15,G403),1)*IF(Upgrades!$T$16="Brown Dwarf",POWER(Upgrades!$U$16,H403),1)*IF(Upgrades!$T$18="Brown Dwarf",POWER(Upgrades!$U$18,J403),1)*IF(Upgrades!$T$19="Brown Dwarf",POWER(Upgrades!$U$19,K403),1)*IF(Upgrades!$T$20="Brown Dwarf",POWER(Upgrades!$U$20,L403),1)*IF(Upgrades!$T$21="Brown Dwarf",POWER(Upgrades!$U$21,M403),1))+(IF(J403=0,0,(Upgrades!$J$18+J403*Upgrades!$K$18)*POWER(Upgrades!$L$18,J403)))*(IF(Upgrades!$T$13="Binary Partner",POWER(Upgrades!$U$13,E403),1)*IF(Upgrades!$T$14="Binary Partner",POWER(Upgrades!$U$14,F403),1)*IF(Upgrades!$T$15="Binary Partner",POWER(Upgrades!$U$15,G403),1)*IF(Upgrades!$T$16="Binary Partner",POWER(Upgrades!$U$16,H403),1)*IF(Upgrades!$T$17="Binary Partner",POWER(Upgrades!$U$17,I403),1)*IF(Upgrades!$T$19="Binary Partner",POWER(Upgrades!$U$19,K403),1)*IF(Upgrades!$T$20="Binary Partner",POWER(Upgrades!$U$20,L403),1)*IF(Upgrades!$T$21="Binary Partner",POWER(Upgrades!$U$21,M403),1))+(IF(K403=0,0,(Upgrades!$J$19+K403*Upgrades!$K$19)*POWER(Upgrades!$L$19,K403)))*(IF(Upgrades!$T$13="Peculiar Velocity",POWER(Upgrades!$U$13,E403),1)*IF(Upgrades!$T$14="Peculiar Velocity",POWER(Upgrades!$U$14,F403),1)*IF(Upgrades!$T$15="Peculiar Velocity",POWER(Upgrades!$U$15,G403),1)*IF(Upgrades!$T$16="Peculiar Velocity",POWER(Upgrades!$U$16,H403),1)*IF(Upgrades!$T$17="Peculiar Velocity",POWER(Upgrades!$U$17,I403),1)*IF(Upgrades!$T$18="Peculiar Velocity",POWER(Upgrades!$U$18,J403),1)*IF(Upgrades!$T$20="Peculiar Velocity",POWER(Upgrades!$U$20,L403),1)*IF(Upgrades!$T$21="Peculiar Velocity",POWER(Upgrades!$U$21,M403),1))+(IF(L403=0,0,(Upgrades!$J$20+L403*Upgrades!$K$20)*POWER(Upgrades!$L$20,L403)))*(IF(Upgrades!$T$13="Open Cluster",POWER(Upgrades!$U$13,E403),1)*IF(Upgrades!$T$14="Open Cluster",POWER(Upgrades!$U$14,F403),1)*IF(Upgrades!$T$15="Open Cluster",POWER(Upgrades!$U$15,G403),1)*IF(Upgrades!$T$16="Open Cluster",POWER(Upgrades!$U$16,H403),1)*IF(Upgrades!$T$17="Open Cluster",POWER(Upgrades!$U$17,I403),1)*IF(Upgrades!$T$18="Open Cluster",POWER(Upgrades!$U$18,J403),1)*IF(Upgrades!$T$19="Open Cluster",POWER(Upgrades!$U$19,K403),1)*IF(Upgrades!$T$21="Open Cluster",POWER(Upgrades!$U$21,M403),1))+(IF(M403=0,0,(Upgrades!$J$21+M403*Upgrades!$K$21)*POWER(Upgrades!$L$21,M403)))*(IF(Upgrades!$T$13="Moving Group",POWER(Upgrades!$U$13,E403),1)*IF(Upgrades!$T$14="Moving Group",POWER(Upgrades!$U$14,F403),1)*IF(Upgrades!$T$15="Moving Group",POWER(Upgrades!$U$15,G403),1)*IF(Upgrades!$T$16="Moving Group",POWER(Upgrades!$U$16,H403),1)*IF(Upgrades!$T$17="Moving Group",POWER(Upgrades!$U$17,I403),1)*IF(Upgrades!$T$18="Moving Group",POWER(Upgrades!$U$18,J403),1)*IF(Upgrades!$T$19="Moving Group",POWER(Upgrades!$U$19,K403),1)*IF(Upgrades!$T$20="Moving Group",POWER(Upgrades!$U$20,L403),1)))*POWER(Upgrades!$Q$13,E403)*POWER(Upgrades!$Q$14,F403)*POWER(Upgrades!$Q$15,G403)*POWER(Upgrades!$Q$16,H403)*POWER(Upgrades!$Q$17,I403)*POWER(Upgrades!$Q$18,J403)*POWER(Upgrades!$Q$19,K403)*POWER(Upgrades!$Q$20,L403)*POWER(Upgrades!$Q$21,M403)*$G$6+$D$6</f>
        <v/>
      </c>
      <c r="P403" s="28">
        <f>((IF(E403=0,0,(Upgrades!$G$13+E403*Upgrades!$H$13)*POWER(Upgrades!$I$13,E403)))*(IF(Upgrades!$T$14="Stellar Kinematics",POWER(Upgrades!$U$14,F403),1)*IF(Upgrades!$T$15="Stellar Kinematics",POWER(Upgrades!$U$15,G403),1)*IF(Upgrades!$T$16="Stellar Kinematics",POWER(Upgrades!$U$16,H403),1)*IF(Upgrades!$T$17="Stellar Kinematics",POWER(Upgrades!$U$17,I403),1)*IF(Upgrades!$T$18="Stellar Kinematics",POWER(Upgrades!$U$18,J403),1)*IF(Upgrades!$T$19="Stellar Kinematics",POWER(Upgrades!$U$19,K403),1)*IF(Upgrades!$T$20="Stellar Kinematics",POWER(Upgrades!$U$20,L403),1)*IF(Upgrades!$T$21="Stellar Kinematics",POWER(Upgrades!$U$21,M403),1))+(IF(F403=0,0,(Upgrades!$G$14+F403*Upgrades!$H$14)*POWER(Upgrades!$I$14,F403)))*(IF(Upgrades!$T$13="Local Bubble",POWER(Upgrades!$U$13,E403),1)*IF(Upgrades!$T$15="Local Bubble",POWER(Upgrades!$U$15,G403),1)*IF(Upgrades!$T$16="Local Bubble",POWER(Upgrades!$U$16,H403),1)*IF(Upgrades!$T$17="Local Bubble",POWER(Upgrades!$U$17,I403),1)*IF(Upgrades!$T$18="Local Bubble",POWER(Upgrades!$U$18,J403),1)*IF(Upgrades!$T$19="Local Bubble",POWER(Upgrades!$U$19,K403),1)*IF(Upgrades!$T$20="Local Bubble",POWER(Upgrades!$U$20,L403),1)*IF(Upgrades!$T$21="Local Bubble",POWER(Upgrades!$U$21,M403),1))+(IF(G403=0,0,(Upgrades!$G$15+G403*Upgrades!$H$15)*POWER(Upgrades!$I$15,G403)))*(IF(Upgrades!$T$13="Microlensing",POWER(Upgrades!$U$13,E403),1)*IF(Upgrades!$T$14="Microlensing",POWER(Upgrades!$U$14,F403),1)*IF(Upgrades!$T$16="Microlensing",POWER(Upgrades!$U$16,H403),1)*IF(Upgrades!$T$17="Microlensing",POWER(Upgrades!$U$17,I403),1)*IF(Upgrades!$T$18="Microlensing",POWER(Upgrades!$U$18,J403),1)*IF(Upgrades!$T$19="Microlensing",POWER(Upgrades!$U$19,K403),1)*IF(Upgrades!$T$20="Microlensing",POWER(Upgrades!$U$20,L403),1)*IF(Upgrades!$T$21="Microlensing",POWER(Upgrades!$U$21,M403),1))+(IF(H403=0,0,(Upgrades!$G$16+H403*Upgrades!$H$16)*POWER(Upgrades!$I$16,H403)))*(IF(Upgrades!$T$13="Roche Lobe Overflow",POWER(Upgrades!$U$13,E403),1)*IF(Upgrades!$T$14="Roche Lobe Overflow",POWER(Upgrades!$U$14,F403),1)*IF(Upgrades!$T$15="Roche Lobe Overflow",POWER(Upgrades!$U$15,G403),1)*IF(Upgrades!$T$17="Roche Lobe Overflow",POWER(Upgrades!$U$17,I403),1)*IF(Upgrades!$T$18="Roche Lobe Overflow",POWER(Upgrades!$U$18,J403),1)*IF(Upgrades!$T$19="Roche Lobe Overflow",POWER(Upgrades!$U$19,K403),1)*IF(Upgrades!$T$20="Roche Lobe Overflow",POWER(Upgrades!$U$20,L403),1)*IF(Upgrades!$T$21="Roche Lobe Overflow",POWER(Upgrades!$U$21,M403),1))+(IF(I403=0,0,(Upgrades!$G$17+I403*Upgrades!$H$17)*POWER(Upgrades!$I$17,I403)))*(IF(Upgrades!$T$13="Brown Dwarf",POWER(Upgrades!$U$13,E403),1)*IF(Upgrades!$T$14="Brown Dwarf",POWER(Upgrades!$U$14,F403),1)*IF(Upgrades!$T$15="Brown Dwarf",POWER(Upgrades!$U$15,G403),1)*IF(Upgrades!$T$16="Brown Dwarf",POWER(Upgrades!$U$16,H403),1)*IF(Upgrades!$T$18="Brown Dwarf",POWER(Upgrades!$U$18,J403),1)*IF(Upgrades!$T$19="Brown Dwarf",POWER(Upgrades!$U$19,K403),1)*IF(Upgrades!$T$20="Brown Dwarf",POWER(Upgrades!$U$20,L403),1)*IF(Upgrades!$T$21="Brown Dwarf",POWER(Upgrades!$U$21,M403),1))+(IF(J403=0,0,(Upgrades!$G$18+J403*Upgrades!$H$18)*POWER(Upgrades!$I$18,J403)))*(IF(Upgrades!$T$13="Binary Partner",POWER(Upgrades!$U$13,E403),1)*IF(Upgrades!$T$14="Binary Partner",POWER(Upgrades!$U$14,F403),1)*IF(Upgrades!$T$15="Binary Partner",POWER(Upgrades!$U$15,G403),1)*IF(Upgrades!$T$16="Binary Partner",POWER(Upgrades!$U$16,H403),1)*IF(Upgrades!$T$17="Binary Partner",POWER(Upgrades!$U$17,I403),1)*IF(Upgrades!$T$19="Binary Partner",POWER(Upgrades!$U$19,K403),1)*IF(Upgrades!$T$20="Binary Partner",POWER(Upgrades!$U$20,L403),1)*IF(Upgrades!$T$21="Binary Partner",POWER(Upgrades!$U$21,M403),1))+(IF(K403=0,0,(Upgrades!$G$19+K403*Upgrades!$H$19)*POWER(Upgrades!$I$19,K403)))*(IF(Upgrades!$T$13="Peculiar Velocity",POWER(Upgrades!$U$13,E403),1)*IF(Upgrades!$T$14="Peculiar Velocity",POWER(Upgrades!$U$14,F403),1)*IF(Upgrades!$T$15="Peculiar Velocity",POWER(Upgrades!$U$15,G403),1)*IF(Upgrades!$T$16="Peculiar Velocity",POWER(Upgrades!$U$16,H403),1)*IF(Upgrades!$T$17="Peculiar Velocity",POWER(Upgrades!$U$17,I403),1)*IF(Upgrades!$T$18="Peculiar Velocity",POWER(Upgrades!$U$18,J403),1)*IF(Upgrades!$T$20="Peculiar Velocity",POWER(Upgrades!$U$20,L403),1)*IF(Upgrades!$T$21="Peculiar Velocity",POWER(Upgrades!$U$21,M403),1))+(IF(L403=0,0,(Upgrades!$G$20+L403*Upgrades!$H$20)*POWER(Upgrades!$I$20,L403)))*(IF(Upgrades!$T$13="Open Cluster",POWER(Upgrades!$U$13,E403),1)*IF(Upgrades!$T$14="Open Cluster",POWER(Upgrades!$U$14,F403),1)*IF(Upgrades!$T$15="Open Cluster",POWER(Upgrades!$U$15,G403),1)*IF(Upgrades!$T$16="Open Cluster",POWER(Upgrades!$U$16,H403),1)*IF(Upgrades!$T$17="Open Cluster",POWER(Upgrades!$U$17,I403),1)*IF(Upgrades!$T$18="Open Cluster",POWER(Upgrades!$U$18,J403),1)*IF(Upgrades!$T$19="Open Cluster",POWER(Upgrades!$U$19,K403),1)*IF(Upgrades!$T$21="Open Cluster",POWER(Upgrades!$U$21,M403),1))+(IF(M403=0,0,(Upgrades!$G$21+M403*Upgrades!$H$21)*POWER(Upgrades!$I$21,M403)))*(IF(Upgrades!$T$13="Moving Group",POWER(Upgrades!$U$13,E403),1)*IF(Upgrades!$T$14="Moving Group",POWER(Upgrades!$U$14,F403),1)*IF(Upgrades!$T$15="Moving Group",POWER(Upgrades!$U$15,G403),1)*IF(Upgrades!$T$16="Moving Group",POWER(Upgrades!$U$16,H403),1)*IF(Upgrades!$T$17="Moving Group",POWER(Upgrades!$U$17,I403),1)*IF(Upgrades!$T$18="Moving Group",POWER(Upgrades!$U$18,J403),1)*IF(Upgrades!$T$19="Moving Group",POWER(Upgrades!$U$19,K403),1)*IF(Upgrades!$T$20="Moving Group",POWER(Upgrades!$U$20,L403),1)))*POWER(Upgrades!$P$13,E403)*POWER(Upgrades!$P$14,F403)*POWER(Upgrades!$P$15,G403)*POWER(Upgrades!$P$16,H403)*POWER(Upgrades!$P$17,I403)*POWER(Upgrades!$P$18,J403)*POWER(Upgrades!$P$19,K403)*POWER(Upgrades!$P$20,L403)*POWER(Upgrades!$P$21,M403)*$F$6+$C$6</f>
        <v/>
      </c>
      <c r="Q403" s="28">
        <f>((IF(E403=0,0,(Upgrades!$M$13+E403*Upgrades!$N$13)*POWER(Upgrades!$O$13,E403)))*(IF(Upgrades!$T$14="Stellar Kinematics",POWER(Upgrades!$U$14,F403),1)*IF(Upgrades!$T$15="Stellar Kinematics",POWER(Upgrades!$U$15,G403),1)*IF(Upgrades!$T$16="Stellar Kinematics",POWER(Upgrades!$U$16,H403),1)*IF(Upgrades!$T$17="Stellar Kinematics",POWER(Upgrades!$U$17,I403),1)*IF(Upgrades!$T$18="Stellar Kinematics",POWER(Upgrades!$U$18,J403),1)*IF(Upgrades!$T$19="Stellar Kinematics",POWER(Upgrades!$U$19,K403),1)*IF(Upgrades!$T$20="Stellar Kinematics",POWER(Upgrades!$U$20,L403),1)*IF(Upgrades!$T$21="Stellar Kinematics",POWER(Upgrades!$U$21,M403),1))+(IF(F403=0,0,(Upgrades!$M$14+F403*Upgrades!$N$14)*POWER(Upgrades!$O$14,F403)))*(IF(Upgrades!$T$13="Local Bubble",POWER(Upgrades!$U$13,E403),1)*IF(Upgrades!$T$15="Local Bubble",POWER(Upgrades!$U$15,G403),1)*IF(Upgrades!$T$16="Local Bubble",POWER(Upgrades!$U$16,H403),1)*IF(Upgrades!$T$17="Local Bubble",POWER(Upgrades!$U$17,I403),1)*IF(Upgrades!$T$18="Local Bubble",POWER(Upgrades!$U$18,J403),1)*IF(Upgrades!$T$19="Local Bubble",POWER(Upgrades!$U$19,K403),1)*IF(Upgrades!$T$20="Local Bubble",POWER(Upgrades!$U$20,L403),1)*IF(Upgrades!$T$21="Local Bubble",POWER(Upgrades!$U$21,M403),1))+(IF(G403=0,0,(Upgrades!$M$15+G403*Upgrades!$N$15)*POWER(Upgrades!$O$15,G403)))*(IF(Upgrades!$T$13="Microlensing",POWER(Upgrades!$U$13,E403),1)*IF(Upgrades!$T$14="Microlensing",POWER(Upgrades!$U$14,F403),1)*IF(Upgrades!$T$16="Microlensing",POWER(Upgrades!$U$16,H403),1)*IF(Upgrades!$T$17="Microlensing",POWER(Upgrades!$U$17,I403),1)*IF(Upgrades!$T$18="Microlensing",POWER(Upgrades!$U$18,J403),1)*IF(Upgrades!$T$19="Microlensing",POWER(Upgrades!$U$19,K403),1)*IF(Upgrades!$T$20="Microlensing",POWER(Upgrades!$U$20,L403),1)*IF(Upgrades!$T$21="Microlensing",POWER(Upgrades!$U$21,M403),1))+(IF(H403=0,0,(Upgrades!$M$16+H403*Upgrades!$N$16)*POWER(Upgrades!$O$16,H403)))*(IF(Upgrades!$T$13="Roche Lobe Overflow",POWER(Upgrades!$U$13,E403),1)*IF(Upgrades!$T$14="Roche Lobe Overflow",POWER(Upgrades!$U$14,F403),1)*IF(Upgrades!$T$15="Roche Lobe Overflow",POWER(Upgrades!$U$15,G403),1)*IF(Upgrades!$T$17="Roche Lobe Overflow",POWER(Upgrades!$U$17,I403),1)*IF(Upgrades!$T$18="Roche Lobe Overflow",POWER(Upgrades!$U$18,J403),1)*IF(Upgrades!$T$19="Roche Lobe Overflow",POWER(Upgrades!$U$19,K403),1)*IF(Upgrades!$T$20="Roche Lobe Overflow",POWER(Upgrades!$U$20,L403),1)*IF(Upgrades!$T$21="Roche Lobe Overflow",POWER(Upgrades!$U$21,M403),1))+(IF(I403=0,0,(Upgrades!$M$17+I403*Upgrades!$N$17)*POWER(Upgrades!$O$17,I403)))*(IF(Upgrades!$T$13="Brown Dwarf",POWER(Upgrades!$U$13,E403),1)*IF(Upgrades!$T$14="Brown Dwarf",POWER(Upgrades!$U$14,F403),1)*IF(Upgrades!$T$15="Brown Dwarf",POWER(Upgrades!$U$15,G403),1)*IF(Upgrades!$T$16="Brown Dwarf",POWER(Upgrades!$U$16,H403),1)*IF(Upgrades!$T$18="Brown Dwarf",POWER(Upgrades!$U$18,J403),1)*IF(Upgrades!$T$19="Brown Dwarf",POWER(Upgrades!$U$19,K403),1)*IF(Upgrades!$T$20="Brown Dwarf",POWER(Upgrades!$U$20,L403),1)*IF(Upgrades!$T$21="Brown Dwarf",POWER(Upgrades!$U$21,M403),1))+(IF(J403=0,0,(Upgrades!$M$18+J403*Upgrades!$N$18)*POWER(Upgrades!$O$18,J403)))*(IF(Upgrades!$T$13="Binary Partner",POWER(Upgrades!$U$13,E403),1)*IF(Upgrades!$T$14="Binary Partner",POWER(Upgrades!$U$14,F403),1)*IF(Upgrades!$T$15="Binary Partner",POWER(Upgrades!$U$15,G403),1)*IF(Upgrades!$T$16="Binary Partner",POWER(Upgrades!$U$16,H403),1)*IF(Upgrades!$T$17="Binary Partner",POWER(Upgrades!$U$17,I403),1)*IF(Upgrades!$T$19="Binary Partner",POWER(Upgrades!$U$19,K403),1)*IF(Upgrades!$T$20="Binary Partner",POWER(Upgrades!$U$20,L403),1)*IF(Upgrades!$T$21="Binary Partner",POWER(Upgrades!$U$21,M403),1))+(IF(K403=0,0,(Upgrades!$M$19+K403*Upgrades!$N$19)*POWER(Upgrades!$O$19,K403)))*(IF(Upgrades!$T$13="Peculiar Velocity",POWER(Upgrades!$U$13,E403),1)*IF(Upgrades!$T$14="Peculiar Velocity",POWER(Upgrades!$U$14,F403),1)*IF(Upgrades!$T$15="Peculiar Velocity",POWER(Upgrades!$U$15,G403),1)*IF(Upgrades!$T$16="Peculiar Velocity",POWER(Upgrades!$U$16,H403),1)*IF(Upgrades!$T$17="Peculiar Velocity",POWER(Upgrades!$U$17,I403),1)*IF(Upgrades!$T$18="Peculiar Velocity",POWER(Upgrades!$U$18,J403),1)*IF(Upgrades!$T$20="Peculiar Velocity",POWER(Upgrades!$U$20,L403),1)*IF(Upgrades!$T$21="Peculiar Velocity",POWER(Upgrades!$U$21,M403),1))+(IF(L403=0,0,(Upgrades!$M$20+L403*Upgrades!$N$20)*POWER(Upgrades!$O$20,L403)))*(IF(Upgrades!$T$13="Open Cluster",POWER(Upgrades!$U$13,E403),1)*IF(Upgrades!$T$14="Open Cluster",POWER(Upgrades!$U$14,F403),1)*IF(Upgrades!$T$15="Open Cluster",POWER(Upgrades!$U$15,G403),1)*IF(Upgrades!$T$16="Open Cluster",POWER(Upgrades!$U$16,H403),1)*IF(Upgrades!$T$17="Open Cluster",POWER(Upgrades!$U$17,I403),1)*IF(Upgrades!$T$18="Open Cluster",POWER(Upgrades!$U$18,J403),1)*IF(Upgrades!$T$19="Open Cluster",POWER(Upgrades!$U$19,K403),1)*IF(Upgrades!$T$21="Open Cluster",POWER(Upgrades!$U$21,M403),1))+(IF(M403=0,0,(Upgrades!$M$21+M403*Upgrades!$N$21)*POWER(Upgrades!$O$21,M403)))*(IF(Upgrades!$T$13="Moving Group",POWER(Upgrades!$U$13,E403),1)*IF(Upgrades!$T$14="Moving Group",POWER(Upgrades!$U$14,F403),1)*IF(Upgrades!$T$15="Moving Group",POWER(Upgrades!$U$15,G403),1)*IF(Upgrades!$T$16="Moving Group",POWER(Upgrades!$U$16,H403),1)*IF(Upgrades!$T$17="Moving Group",POWER(Upgrades!$U$17,I403),1)*IF(Upgrades!$T$18="Moving Group",POWER(Upgrades!$U$18,J403),1)*IF(Upgrades!$T$19="Moving Group",POWER(Upgrades!$U$19,K403),1)*IF(Upgrades!$T$20="Moving Group",POWER(Upgrades!$U$20,L403),1)))*POWER(Upgrades!$R$13,E403)*POWER(Upgrades!$R$14,F403)*POWER(Upgrades!$R$15,G403)*POWER(Upgrades!$R$16,H403)*POWER(Upgrades!$R$17,I403)*POWER(Upgrades!$R$18,J403)*POWER(Upgrades!$R$19,K403)*POWER(Upgrades!$R$20,L403)*POWER(Upgrades!$R$21,M403)*$H$6+$E$6</f>
        <v/>
      </c>
      <c r="R403" s="27">
        <f>IF(N403=1,0,O403*Parameters!$B$10/60*Parameters!$B$11*10)</f>
        <v/>
      </c>
      <c r="S403" s="27">
        <f>IF(N403=1,0,Q403*O403*10)</f>
        <v/>
      </c>
      <c r="T403" s="27">
        <f>IF(N403=1,0,R403+S403+P403*10)</f>
        <v/>
      </c>
      <c r="U403" s="33">
        <f>BE403</f>
        <v/>
      </c>
      <c r="V403" s="22">
        <f>IF(U403="",0,IF(U403="transition",0,IF(U403="SK",AK403,IF(U403="LB",AL403,IF(U403="ML",AM403,IF(U403="RLO",AN403,IF(U403="BD",AO403,IF(U403="BiP",AP403,IF(U403="PV",AQ403,IF(U403="OC",AR403,IF(U403="MG",AS403,0))))))))))</f>
        <v/>
      </c>
      <c r="W403" s="27">
        <f>IF(U403="BiP",Upgrades!$F$18,IF(U403="PV",Upgrades!$F$19,IF(U403="OC",Upgrades!$F$20,IF(U403="MG",Upgrades!$F$21,IF(U403="transition",-Parameters!$B$18*Parameters!$B$19,0)))))</f>
        <v/>
      </c>
      <c r="X403" s="22">
        <f>C403+T403-V403</f>
        <v/>
      </c>
      <c r="Y403" s="30">
        <f>O403*Parameters!$B$10/60*Parameters!$B$11+Q403*O403+P403</f>
        <v/>
      </c>
      <c r="Z403" s="34">
        <f>IF(U403="transition","→ Tier 3 (Galactic Arm)",IF(U403="MG","Moving Group — pocket drifts together",IF(U403="OC","Open Cluster acquired",IF(U403="PV","Peculiar Velocity — passive multiplier active",IF(U403="BiP","Binary Partner — pair bond formed",IF(AND(AU403=1,N403=0,AT403&lt;&gt;1),"Cohesion ready (waiting on completionists)","")))))) </f>
        <v/>
      </c>
      <c r="AA403" s="27">
        <f>(IF(E403=0,0,(Upgrades!$G$13+E403*Upgrades!$H$13)*POWER(Upgrades!$I$13,E403)))*(IF(Upgrades!$T$14="Stellar Kinematics",POWER(Upgrades!$U$14,F403),1)*IF(Upgrades!$T$15="Stellar Kinematics",POWER(Upgrades!$U$15,G403),1)*IF(Upgrades!$T$16="Stellar Kinematics",POWER(Upgrades!$U$16,H403),1)*IF(Upgrades!$T$17="Stellar Kinematics",POWER(Upgrades!$U$17,I403),1)*IF(Upgrades!$T$18="Stellar Kinematics",POWER(Upgrades!$U$18,J403),1)*IF(Upgrades!$T$19="Stellar Kinematics",POWER(Upgrades!$U$19,K403),1)*IF(Upgrades!$T$20="Stellar Kinematics",POWER(Upgrades!$U$20,L403),1)*IF(Upgrades!$T$21="Stellar Kinematics",POWER(Upgrades!$U$21,M403),1))*POWER(Upgrades!$P$13,E403)*POWER(Upgrades!$P$14,F403)*POWER(Upgrades!$P$15,G403)*POWER(Upgrades!$P$16,H403)*POWER(Upgrades!$P$17,I403)*POWER(Upgrades!$P$18,J403)*POWER(Upgrades!$P$19,K403)*POWER(Upgrades!$P$20,L403)*POWER(Upgrades!$P$21,M403)*$F$6*60</f>
        <v/>
      </c>
      <c r="AB403" s="27">
        <f>(IF(F403=0,0,(Upgrades!$G$14+F403*Upgrades!$H$14)*POWER(Upgrades!$I$14,F403)))*(IF(Upgrades!$T$13="Local Bubble",POWER(Upgrades!$U$13,E403),1)*IF(Upgrades!$T$15="Local Bubble",POWER(Upgrades!$U$15,G403),1)*IF(Upgrades!$T$16="Local Bubble",POWER(Upgrades!$U$16,H403),1)*IF(Upgrades!$T$17="Local Bubble",POWER(Upgrades!$U$17,I403),1)*IF(Upgrades!$T$18="Local Bubble",POWER(Upgrades!$U$18,J403),1)*IF(Upgrades!$T$19="Local Bubble",POWER(Upgrades!$U$19,K403),1)*IF(Upgrades!$T$20="Local Bubble",POWER(Upgrades!$U$20,L403),1)*IF(Upgrades!$T$21="Local Bubble",POWER(Upgrades!$U$21,M403),1))*POWER(Upgrades!$P$13,E403)*POWER(Upgrades!$P$14,F403)*POWER(Upgrades!$P$15,G403)*POWER(Upgrades!$P$16,H403)*POWER(Upgrades!$P$17,I403)*POWER(Upgrades!$P$18,J403)*POWER(Upgrades!$P$19,K403)*POWER(Upgrades!$P$20,L403)*POWER(Upgrades!$P$21,M403)*$F$6*60</f>
        <v/>
      </c>
      <c r="AC403" s="27">
        <f>(IF(G403=0,0,(Upgrades!$J$15+G403*Upgrades!$K$15)*POWER(Upgrades!$L$15,G403)))*(IF(Upgrades!$T$13="Microlensing",POWER(Upgrades!$U$13,E403),1)*IF(Upgrades!$T$14="Microlensing",POWER(Upgrades!$U$14,F403),1)*IF(Upgrades!$T$16="Microlensing",POWER(Upgrades!$U$16,H403),1)*IF(Upgrades!$T$17="Microlensing",POWER(Upgrades!$U$17,I403),1)*IF(Upgrades!$T$18="Microlensing",POWER(Upgrades!$U$18,J403),1)*IF(Upgrades!$T$19="Microlensing",POWER(Upgrades!$U$19,K403),1)*IF(Upgrades!$T$20="Microlensing",POWER(Upgrades!$U$20,L403),1)*IF(Upgrades!$T$21="Microlensing",POWER(Upgrades!$U$21,M403),1))*POWER(Upgrades!$Q$13,E403)*POWER(Upgrades!$Q$14,F403)*POWER(Upgrades!$Q$15,G403)*POWER(Upgrades!$Q$16,H403)*POWER(Upgrades!$Q$17,I403)*POWER(Upgrades!$Q$18,J403)*POWER(Upgrades!$Q$19,K403)*POWER(Upgrades!$Q$20,L403)*POWER(Upgrades!$Q$21,M403)*$G$6*(Parameters!$B$10*Parameters!$B$11+Q403*60)</f>
        <v/>
      </c>
      <c r="AD403" s="27">
        <f>(IF(H403=0,0,(Upgrades!$M$16+H403*Upgrades!$N$16)*POWER(Upgrades!$O$16,H403)))*(IF(Upgrades!$T$13="Roche Lobe Overflow",POWER(Upgrades!$U$13,E403),1)*IF(Upgrades!$T$14="Roche Lobe Overflow",POWER(Upgrades!$U$14,F403),1)*IF(Upgrades!$T$15="Roche Lobe Overflow",POWER(Upgrades!$U$15,G403),1)*IF(Upgrades!$T$17="Roche Lobe Overflow",POWER(Upgrades!$U$17,I403),1)*IF(Upgrades!$T$18="Roche Lobe Overflow",POWER(Upgrades!$U$18,J403),1)*IF(Upgrades!$T$19="Roche Lobe Overflow",POWER(Upgrades!$U$19,K403),1)*IF(Upgrades!$T$20="Roche Lobe Overflow",POWER(Upgrades!$U$20,L403),1)*IF(Upgrades!$T$21="Roche Lobe Overflow",POWER(Upgrades!$U$21,M403),1))*POWER(Upgrades!$R$13,E403)*POWER(Upgrades!$R$14,F403)*POWER(Upgrades!$R$15,G403)*POWER(Upgrades!$R$16,H403)*POWER(Upgrades!$R$17,I403)*POWER(Upgrades!$R$18,J403)*POWER(Upgrades!$R$19,K403)*POWER(Upgrades!$R$20,L403)*POWER(Upgrades!$R$21,M403)*$H$6*O403*60</f>
        <v/>
      </c>
      <c r="AE403" s="27">
        <f>(IF(I403=0,0,(Upgrades!$G$17+I403*Upgrades!$H$17)*POWER(Upgrades!$I$17,I403)))*(IF(Upgrades!$T$13="Brown Dwarf",POWER(Upgrades!$U$13,E403),1)*IF(Upgrades!$T$14="Brown Dwarf",POWER(Upgrades!$U$14,F403),1)*IF(Upgrades!$T$15="Brown Dwarf",POWER(Upgrades!$U$15,G403),1)*IF(Upgrades!$T$16="Brown Dwarf",POWER(Upgrades!$U$16,H403),1)*IF(Upgrades!$T$18="Brown Dwarf",POWER(Upgrades!$U$18,J403),1)*IF(Upgrades!$T$19="Brown Dwarf",POWER(Upgrades!$U$19,K403),1)*IF(Upgrades!$T$20="Brown Dwarf",POWER(Upgrades!$U$20,L403),1)*IF(Upgrades!$T$21="Brown Dwarf",POWER(Upgrades!$U$21,M403),1))*POWER(Upgrades!$P$13,E403)*POWER(Upgrades!$P$14,F403)*POWER(Upgrades!$P$15,G403)*POWER(Upgrades!$P$16,H403)*POWER(Upgrades!$P$17,I403)*POWER(Upgrades!$P$18,J403)*POWER(Upgrades!$P$19,K403)*POWER(Upgrades!$P$20,L403)*POWER(Upgrades!$P$21,M403)*$F$6*60</f>
        <v/>
      </c>
      <c r="AF403" s="27" t="n">
        <v>0</v>
      </c>
      <c r="AG403" s="27" t="n">
        <v>0</v>
      </c>
      <c r="AH403" s="27" t="n">
        <v>0</v>
      </c>
      <c r="AI403" s="27">
        <f>(IF(M403=0,0,(Upgrades!$G$21+M403*Upgrades!$H$21)*POWER(Upgrades!$I$21,M403)))*(IF(Upgrades!$T$13="Moving Group",POWER(Upgrades!$U$13,E403),1)*IF(Upgrades!$T$14="Moving Group",POWER(Upgrades!$U$14,F403),1)*IF(Upgrades!$T$15="Moving Group",POWER(Upgrades!$U$15,G403),1)*IF(Upgrades!$T$16="Moving Group",POWER(Upgrades!$U$16,H403),1)*IF(Upgrades!$T$17="Moving Group",POWER(Upgrades!$U$17,I403),1)*IF(Upgrades!$T$18="Moving Group",POWER(Upgrades!$U$18,J403),1)*IF(Upgrades!$T$19="Moving Group",POWER(Upgrades!$U$19,K403),1)*IF(Upgrades!$T$20="Moving Group",POWER(Upgrades!$U$20,L403),1))*POWER(Upgrades!$P$13,E403)*POWER(Upgrades!$P$14,F403)*POWER(Upgrades!$P$15,G403)*POWER(Upgrades!$P$16,H403)*POWER(Upgrades!$P$17,I403)*POWER(Upgrades!$P$18,J403)*POWER(Upgrades!$P$19,K403)*POWER(Upgrades!$P$20,L403)*POWER(Upgrades!$P$21,M403)*$F$6*60</f>
        <v/>
      </c>
      <c r="AJ403" s="27">
        <f>$C$6*60</f>
        <v/>
      </c>
      <c r="AK403" s="22">
        <f>IF(E403&gt;=Upgrades!$E$13,"",Upgrades!$C$13*POWER(Upgrades!$D$13,E403))</f>
        <v/>
      </c>
      <c r="AL403" s="22">
        <f>IF(F403&gt;=Upgrades!$E$14,"",Upgrades!$C$14*POWER(Upgrades!$D$14,F403))</f>
        <v/>
      </c>
      <c r="AM403" s="22">
        <f>IF(G403&gt;=Upgrades!$E$15,"",Upgrades!$C$15*POWER(Upgrades!$D$15,G403))</f>
        <v/>
      </c>
      <c r="AN403" s="22">
        <f>IF(H403&gt;=Upgrades!$E$16,"",Upgrades!$C$16*POWER(Upgrades!$D$16,H403))</f>
        <v/>
      </c>
      <c r="AO403" s="22">
        <f>IF(I403&gt;=Upgrades!$E$17,"",Upgrades!$C$17*POWER(Upgrades!$D$17,I403))</f>
        <v/>
      </c>
      <c r="AP403" s="22">
        <f>IF(J403&gt;=Upgrades!$E$18,"",Upgrades!$C$18*POWER(Upgrades!$D$18,J403))</f>
        <v/>
      </c>
      <c r="AQ403" s="22">
        <f>IF(K403&gt;=Upgrades!$E$19,"",Upgrades!$C$19*POWER(Upgrades!$D$19,K403))</f>
        <v/>
      </c>
      <c r="AR403" s="22">
        <f>IF(L403&gt;=Upgrades!$E$20,"",Upgrades!$C$20*POWER(Upgrades!$D$20,L403))</f>
        <v/>
      </c>
      <c r="AS403" s="22">
        <f>IF(M403&gt;=Upgrades!$E$21,"",Upgrades!$C$21*POWER(Upgrades!$D$21,M403))</f>
        <v/>
      </c>
      <c r="AT403" s="26">
        <f>IF(AND(D403&gt;=Parameters!$B$18*Parameters!$B$19,(I403&gt;=Upgrades!$E$17)*(M403&gt;=Upgrades!$E$21)=1,N403=0),1,"")</f>
        <v/>
      </c>
      <c r="AU403" s="26">
        <f>IF(AND(D403&gt;=Parameters!$B$18*Parameters!$B$19,N403=0),1,"")</f>
        <v/>
      </c>
      <c r="AV403" s="22">
        <f>MIN(IF(ISNUMBER(AP403),AP403,9E15),IF(ISNUMBER(AQ403),AQ403,9E15),IF(ISNUMBER(AR403),AR403,9E15),IF(ISNUMBER(AS403),AS403,9E15))</f>
        <v/>
      </c>
      <c r="AW403" s="22">
        <f>MIN(IF(ISNUMBER(AK403),AK403,9E15),IF(ISNUMBER(AL403),AL403,9E15),IF(ISNUMBER(AM403),AM403,9E15),IF(ISNUMBER(AN403),AN403,9E15),IF(ISNUMBER(AO403),AO403,9E15))</f>
        <v/>
      </c>
      <c r="AX403" s="29">
        <f>IF(BD403&gt;Parameters!$B$21*(MAX(IF(AND(NOT(AND(AU403=1,AT403&lt;&gt;1)),ISNUMBER(AK403),AK403&lt;=(C403+T403)),AY403,0),IF(AND(NOT(AND(AU403=1,AT403&lt;&gt;1)),ISNUMBER(AL403),AL403&lt;=(C403+T403)),AZ403,0),IF(AND(NOT(AND(AU403=1,AT403&lt;&gt;1)),ISNUMBER(AM403),AM403&lt;=(C403+T403)),BA403,0),IF(AND(NOT(AND(AU403=1,AT403&lt;&gt;1)),ISNUMBER(AN403),AN403&lt;=(C403+T403)),BB403,0),IF(AND(ISNUMBER(AO403),AO403&lt;=(C403+T403)),BC403,0))),TRUE,FALSE)</f>
        <v/>
      </c>
      <c r="AY403" s="32">
        <f>IFERROR(Upgrades!$H$13*(POWER(Upgrades!$P$13,E403)*POWER(Upgrades!$P$14,F403)*POWER(Upgrades!$P$15,G403)*POWER(Upgrades!$P$16,H403)*POWER(Upgrades!$P$17,I403)*POWER(Upgrades!$P$18,J403)*POWER(Upgrades!$P$19,K403)*POWER(Upgrades!$P$20,L403)*POWER(Upgrades!$P$21,M403))*(IF(Upgrades!$T$14="Stellar Kinematics",POWER(Upgrades!$U$14,F403),1)*IF(Upgrades!$T$15="Stellar Kinematics",POWER(Upgrades!$U$15,G403),1)*IF(Upgrades!$T$16="Stellar Kinematics",POWER(Upgrades!$U$16,H403),1)*IF(Upgrades!$T$17="Stellar Kinematics",POWER(Upgrades!$U$17,I403),1)*IF(Upgrades!$T$18="Stellar Kinematics",POWER(Upgrades!$U$18,J403),1)*IF(Upgrades!$T$19="Stellar Kinematics",POWER(Upgrades!$U$19,K403),1)*IF(Upgrades!$T$20="Stellar Kinematics",POWER(Upgrades!$U$20,L403),1)*IF(Upgrades!$T$21="Stellar Kinematics",POWER(Upgrades!$U$21,M403),1))*$F$6/AK403,0)</f>
        <v/>
      </c>
      <c r="AZ403" s="32">
        <f>IFERROR(Upgrades!$H$14*(POWER(Upgrades!$P$13,E403)*POWER(Upgrades!$P$14,F403)*POWER(Upgrades!$P$15,G403)*POWER(Upgrades!$P$16,H403)*POWER(Upgrades!$P$17,I403)*POWER(Upgrades!$P$18,J403)*POWER(Upgrades!$P$19,K403)*POWER(Upgrades!$P$20,L403)*POWER(Upgrades!$P$21,M403))*(IF(Upgrades!$T$13="Local Bubble",POWER(Upgrades!$U$13,E403),1)*IF(Upgrades!$T$15="Local Bubble",POWER(Upgrades!$U$15,G403),1)*IF(Upgrades!$T$16="Local Bubble",POWER(Upgrades!$U$16,H403),1)*IF(Upgrades!$T$17="Local Bubble",POWER(Upgrades!$U$17,I403),1)*IF(Upgrades!$T$18="Local Bubble",POWER(Upgrades!$U$18,J403),1)*IF(Upgrades!$T$19="Local Bubble",POWER(Upgrades!$U$19,K403),1)*IF(Upgrades!$T$20="Local Bubble",POWER(Upgrades!$U$20,L403),1)*IF(Upgrades!$T$21="Local Bubble",POWER(Upgrades!$U$21,M403),1))*$F$6/AL403,0)</f>
        <v/>
      </c>
      <c r="BA403" s="32">
        <f>IFERROR(Upgrades!$K$15*(POWER(Upgrades!$Q$13,E403)*POWER(Upgrades!$Q$14,F403)*POWER(Upgrades!$Q$15,G403)*POWER(Upgrades!$Q$16,H403)*POWER(Upgrades!$Q$17,I403)*POWER(Upgrades!$Q$18,J403)*POWER(Upgrades!$Q$19,K403)*POWER(Upgrades!$Q$20,L403)*POWER(Upgrades!$Q$21,M403))*(IF(Upgrades!$T$13="Microlensing",POWER(Upgrades!$U$13,E403),1)*IF(Upgrades!$T$14="Microlensing",POWER(Upgrades!$U$14,F403),1)*IF(Upgrades!$T$16="Microlensing",POWER(Upgrades!$U$16,H403),1)*IF(Upgrades!$T$17="Microlensing",POWER(Upgrades!$U$17,I403),1)*IF(Upgrades!$T$18="Microlensing",POWER(Upgrades!$U$18,J403),1)*IF(Upgrades!$T$19="Microlensing",POWER(Upgrades!$U$19,K403),1)*IF(Upgrades!$T$20="Microlensing",POWER(Upgrades!$U$20,L403),1)*IF(Upgrades!$T$21="Microlensing",POWER(Upgrades!$U$21,M403),1))*$G$6*(Parameters!$B$10/60*Parameters!$B$11+Q403)/AM403,0)</f>
        <v/>
      </c>
      <c r="BB403" s="32">
        <f>IFERROR((Upgrades!$N$16*(POWER(Upgrades!$R$13,E403)*POWER(Upgrades!$R$14,F403)*POWER(Upgrades!$R$15,G403)*POWER(Upgrades!$R$16,H403)*POWER(Upgrades!$R$17,I403)*POWER(Upgrades!$R$18,J403)*POWER(Upgrades!$R$19,K403)*POWER(Upgrades!$R$20,L403)*POWER(Upgrades!$R$21,M403))*(IF(Upgrades!$T$13="Roche Lobe Overflow",POWER(Upgrades!$U$13,E403),1)*IF(Upgrades!$T$14="Roche Lobe Overflow",POWER(Upgrades!$U$14,F403),1)*IF(Upgrades!$T$15="Roche Lobe Overflow",POWER(Upgrades!$U$15,G403),1)*IF(Upgrades!$T$17="Roche Lobe Overflow",POWER(Upgrades!$U$17,I403),1)*IF(Upgrades!$T$18="Roche Lobe Overflow",POWER(Upgrades!$U$18,J403),1)*IF(Upgrades!$T$19="Roche Lobe Overflow",POWER(Upgrades!$U$19,K403),1)*IF(Upgrades!$T$20="Roche Lobe Overflow",POWER(Upgrades!$U$20,L403),1)*IF(Upgrades!$T$21="Roche Lobe Overflow",POWER(Upgrades!$U$21,M403),1))*$H$6*O403+((IF(F403=0,0,(Upgrades!$G$14+F403*Upgrades!$H$14)*POWER(Upgrades!$I$14,F403)))*(IF(Upgrades!$T$13="Local Bubble",POWER(Upgrades!$U$13,E403),1)*IF(Upgrades!$T$15="Local Bubble",POWER(Upgrades!$U$15,G403),1)*IF(Upgrades!$T$16="Local Bubble",POWER(Upgrades!$U$16,H403),1)*IF(Upgrades!$T$17="Local Bubble",POWER(Upgrades!$U$17,I403),1)*IF(Upgrades!$T$18="Local Bubble",POWER(Upgrades!$U$18,J403),1)*IF(Upgrades!$T$19="Local Bubble",POWER(Upgrades!$U$19,K403),1)*IF(Upgrades!$T$20="Local Bubble",POWER(Upgrades!$U$20,L403),1)*IF(Upgrades!$T$21="Local Bubble",POWER(Upgrades!$U$21,M403),1))*POWER(Upgrades!$P$13,E403)*POWER(Upgrades!$P$14,F403)*POWER(Upgrades!$P$15,G403)*POWER(Upgrades!$P$16,H403)*POWER(Upgrades!$P$17,I403)*POWER(Upgrades!$P$18,J403)*POWER(Upgrades!$P$19,K403)*POWER(Upgrades!$P$20,L403)*POWER(Upgrades!$P$21,M403)*$F$6)*0.05)/AN403,0)</f>
        <v/>
      </c>
      <c r="BC403" s="32">
        <f>IFERROR((Upgrades!$H$17*(POWER(Upgrades!$P$13,E403)*POWER(Upgrades!$P$14,F403)*POWER(Upgrades!$P$15,G403)*POWER(Upgrades!$P$16,H403)*POWER(Upgrades!$P$17,I403)*POWER(Upgrades!$P$18,J403)*POWER(Upgrades!$P$19,K403)*POWER(Upgrades!$P$20,L403)*POWER(Upgrades!$P$21,M403))*(IF(Upgrades!$T$13="Brown Dwarf",POWER(Upgrades!$U$13,E403),1)*IF(Upgrades!$T$14="Brown Dwarf",POWER(Upgrades!$U$14,F403),1)*IF(Upgrades!$T$15="Brown Dwarf",POWER(Upgrades!$U$15,G403),1)*IF(Upgrades!$T$16="Brown Dwarf",POWER(Upgrades!$U$16,H403),1)*IF(Upgrades!$T$18="Brown Dwarf",POWER(Upgrades!$U$18,J403),1)*IF(Upgrades!$T$19="Brown Dwarf",POWER(Upgrades!$U$19,K403),1)*IF(Upgrades!$T$20="Brown Dwarf",POWER(Upgrades!$U$20,L403),1)*IF(Upgrades!$T$21="Brown Dwarf",POWER(Upgrades!$U$21,M403),1))*$F$6+(((IF(H403=0,0,(Upgrades!$M$16+H403*Upgrades!$N$16)*POWER(Upgrades!$O$16,H403)))*(IF(Upgrades!$T$13="Roche Lobe Overflow",POWER(Upgrades!$U$13,E403),1)*IF(Upgrades!$T$14="Roche Lobe Overflow",POWER(Upgrades!$U$14,F403),1)*IF(Upgrades!$T$15="Roche Lobe Overflow",POWER(Upgrades!$U$15,G403),1)*IF(Upgrades!$T$17="Roche Lobe Overflow",POWER(Upgrades!$U$17,I403),1)*IF(Upgrades!$T$18="Roche Lobe Overflow",POWER(Upgrades!$U$18,J403),1)*IF(Upgrades!$T$19="Roche Lobe Overflow",POWER(Upgrades!$U$19,K403),1)*IF(Upgrades!$T$20="Roche Lobe Overflow",POWER(Upgrades!$U$20,L403),1)*IF(Upgrades!$T$21="Roche Lobe Overflow",POWER(Upgrades!$U$21,M403),1))*POWER(Upgrades!$R$13,E403)*POWER(Upgrades!$R$14,F403)*POWER(Upgrades!$R$15,G403)*POWER(Upgrades!$R$16,H403)*POWER(Upgrades!$R$17,I403)*POWER(Upgrades!$R$18,J403)*POWER(Upgrades!$R$19,K403)*POWER(Upgrades!$R$20,L403)*POWER(Upgrades!$R$21,M403)*$H$6)*O403)*0.10)/AO403,0)</f>
        <v/>
      </c>
      <c r="BD403" s="32">
        <f>MAX(IF(J403&gt;0,0,IFERROR(0.5*((IF(G403=0,0,(Upgrades!$J$15+G403*Upgrades!$K$15)*POWER(Upgrades!$L$15,G403)))*(IF(Upgrades!$T$13="Microlensing",POWER(Upgrades!$U$13,E403),1)*IF(Upgrades!$T$14="Microlensing",POWER(Upgrades!$U$14,F403),1)*IF(Upgrades!$T$16="Microlensing",POWER(Upgrades!$U$16,H403),1)*IF(Upgrades!$T$17="Microlensing",POWER(Upgrades!$U$17,I403),1)*IF(Upgrades!$T$18="Microlensing",POWER(Upgrades!$U$18,J403),1)*IF(Upgrades!$T$19="Microlensing",POWER(Upgrades!$U$19,K403),1)*IF(Upgrades!$T$20="Microlensing",POWER(Upgrades!$U$20,L403),1)*IF(Upgrades!$T$21="Microlensing",POWER(Upgrades!$U$21,M403),1))*(POWER(Upgrades!$Q$13,E403)*POWER(Upgrades!$Q$14,F403)*POWER(Upgrades!$Q$15,G403)*POWER(Upgrades!$Q$16,H403)*POWER(Upgrades!$Q$17,I403)*POWER(Upgrades!$Q$18,J403)*POWER(Upgrades!$Q$19,K403)*POWER(Upgrades!$Q$20,L403)*POWER(Upgrades!$Q$21,M403))*$G$6*(Parameters!$B$10/60*Parameters!$B$11+Q403))/Upgrades!$C$18,0)),IF(K403&gt;0,0,IFERROR(0.30*P403/Upgrades!$C$19,0)),IF(L403&gt;0,0,IFERROR(0.0001/Upgrades!$C$20,0)),IF(M403&gt;0,0,IFERROR((6.0*(POWER(Upgrades!$P$13,E403)*POWER(Upgrades!$P$14,F403)*POWER(Upgrades!$P$15,G403)*POWER(Upgrades!$P$16,H403)*POWER(Upgrades!$P$17,I403)*POWER(Upgrades!$P$18,J403)*POWER(Upgrades!$P$19,K403)*POWER(Upgrades!$P$20,L403)*POWER(Upgrades!$P$21,M403))*$F$6+0.20*O403*(Parameters!$B$10/60*Parameters!$B$11+Q403))/Upgrades!$C$21,0)),IF(AND(ISNUMBER(AK403),AK403&gt;(C403+T403)),AY403,0),IF(AND(ISNUMBER(AL403),AL403&gt;(C403+T403)),AZ403,0),IF(AND(ISNUMBER(AM403),AM403&gt;(C403+T403)),BA403,0),IF(AND(ISNUMBER(AN403),AN403&gt;(C403+T403)),BB403,0),IF(AND(ISNUMBER(AO403),AO403&gt;(C403+T403)),BC403,0))</f>
        <v/>
      </c>
      <c r="BE403" s="29">
        <f>IF(AT403=1,"transition",IF(MIN(IF(AND(J403=0,ISNUMBER(AP403),AP403&lt;=(C403+T403)),AP403,9E15),IF(AND(K403=0,ISNUMBER(AQ403),AQ403&lt;=(C403+T403)),AQ403,9E15),IF(AND(L403=0,ISNUMBER(AR403),AR403&lt;=(C403+T403)),AR403,9E15),IF(AND(M403=0,ISNUMBER(AS403),AS403&lt;=(C403+T403)),AS403,9E15))&lt;9E15,IF(AND(AND(J403=0,ISNUMBER(AP403),AP403&lt;=(C403+T403)),AP403=MIN(IF(AND(J403=0,ISNUMBER(AP403),AP403&lt;=(C403+T403)),AP403,9E15),IF(AND(K403=0,ISNUMBER(AQ403),AQ403&lt;=(C403+T403)),AQ403,9E15),IF(AND(L403=0,ISNUMBER(AR403),AR403&lt;=(C403+T403)),AR403,9E15),IF(AND(M403=0,ISNUMBER(AS403),AS403&lt;=(C403+T403)),AS403,9E15))),"BiP",IF(AND(AND(K403=0,ISNUMBER(AQ403),AQ403&lt;=(C403+T403)),AQ403=MIN(IF(AND(J403=0,ISNUMBER(AP403),AP403&lt;=(C403+T403)),AP403,9E15),IF(AND(K403=0,ISNUMBER(AQ403),AQ403&lt;=(C403+T403)),AQ403,9E15),IF(AND(L403=0,ISNUMBER(AR403),AR403&lt;=(C403+T403)),AR403,9E15),IF(AND(M403=0,ISNUMBER(AS403),AS403&lt;=(C403+T403)),AS403,9E15))),"PV",IF(AND(AND(L403=0,ISNUMBER(AR403),AR403&lt;=(C403+T403)),AR403=MIN(IF(AND(J403=0,ISNUMBER(AP403),AP403&lt;=(C403+T403)),AP403,9E15),IF(AND(K403=0,ISNUMBER(AQ403),AQ403&lt;=(C403+T403)),AQ403,9E15),IF(AND(L403=0,ISNUMBER(AR403),AR403&lt;=(C403+T403)),AR403,9E15),IF(AND(M403=0,ISNUMBER(AS403),AS403&lt;=(C403+T403)),AS403,9E15))),"OC","MG"))),IF(AX403=TRUE,"",IF(MAX(IF(AND(NOT(AND(AU403=1,AT403&lt;&gt;1)),ISNUMBER(AK403),AK403&lt;=(C403+T403)),AY403,0),IF(AND(NOT(AND(AU403=1,AT403&lt;&gt;1)),ISNUMBER(AL403),AL403&lt;=(C403+T403)),AZ403,0),IF(AND(NOT(AND(AU403=1,AT403&lt;&gt;1)),ISNUMBER(AM403),AM403&lt;=(C403+T403)),BA403,0),IF(AND(NOT(AND(AU403=1,AT403&lt;&gt;1)),ISNUMBER(AN403),AN403&lt;=(C403+T403)),BB403,0),IF(AND(ISNUMBER(AO403),AO403&lt;=(C403+T403)),BC403,0))&lt;=0,"",IF(AND(IF(AND(NOT(AND(AU403=1,AT403&lt;&gt;1)),ISNUMBER(AK403),AK403&lt;=(C403+T403)),AY403,0)&gt;0,IF(AND(NOT(AND(AU403=1,AT403&lt;&gt;1)),ISNUMBER(AK403),AK403&lt;=(C403+T403)),AY403,0)=MAX(IF(AND(NOT(AND(AU403=1,AT403&lt;&gt;1)),ISNUMBER(AK403),AK403&lt;=(C403+T403)),AY403,0),IF(AND(NOT(AND(AU403=1,AT403&lt;&gt;1)),ISNUMBER(AL403),AL403&lt;=(C403+T403)),AZ403,0),IF(AND(NOT(AND(AU403=1,AT403&lt;&gt;1)),ISNUMBER(AM403),AM403&lt;=(C403+T403)),BA403,0),IF(AND(NOT(AND(AU403=1,AT403&lt;&gt;1)),ISNUMBER(AN403),AN403&lt;=(C403+T403)),BB403,0),IF(AND(ISNUMBER(AO403),AO403&lt;=(C403+T403)),BC403,0))),"SK",IF(AND(IF(AND(NOT(AND(AU403=1,AT403&lt;&gt;1)),ISNUMBER(AL403),AL403&lt;=(C403+T403)),AZ403,0)&gt;0,IF(AND(NOT(AND(AU403=1,AT403&lt;&gt;1)),ISNUMBER(AL403),AL403&lt;=(C403+T403)),AZ403,0)=MAX(IF(AND(NOT(AND(AU403=1,AT403&lt;&gt;1)),ISNUMBER(AK403),AK403&lt;=(C403+T403)),AY403,0),IF(AND(NOT(AND(AU403=1,AT403&lt;&gt;1)),ISNUMBER(AL403),AL403&lt;=(C403+T403)),AZ403,0),IF(AND(NOT(AND(AU403=1,AT403&lt;&gt;1)),ISNUMBER(AM403),AM403&lt;=(C403+T403)),BA403,0),IF(AND(NOT(AND(AU403=1,AT403&lt;&gt;1)),ISNUMBER(AN403),AN403&lt;=(C403+T403)),BB403,0),IF(AND(ISNUMBER(AO403),AO403&lt;=(C403+T403)),BC403,0))),"LB",IF(AND(IF(AND(NOT(AND(AU403=1,AT403&lt;&gt;1)),ISNUMBER(AM403),AM403&lt;=(C403+T403)),BA403,0)&gt;0,IF(AND(NOT(AND(AU403=1,AT403&lt;&gt;1)),ISNUMBER(AM403),AM403&lt;=(C403+T403)),BA403,0)=MAX(IF(AND(NOT(AND(AU403=1,AT403&lt;&gt;1)),ISNUMBER(AK403),AK403&lt;=(C403+T403)),AY403,0),IF(AND(NOT(AND(AU403=1,AT403&lt;&gt;1)),ISNUMBER(AL403),AL403&lt;=(C403+T403)),AZ403,0),IF(AND(NOT(AND(AU403=1,AT403&lt;&gt;1)),ISNUMBER(AM403),AM403&lt;=(C403+T403)),BA403,0),IF(AND(NOT(AND(AU403=1,AT403&lt;&gt;1)),ISNUMBER(AN403),AN403&lt;=(C403+T403)),BB403,0),IF(AND(ISNUMBER(AO403),AO403&lt;=(C403+T403)),BC403,0))),"ML",IF(AND(IF(AND(NOT(AND(AU403=1,AT403&lt;&gt;1)),ISNUMBER(AN403),AN403&lt;=(C403+T403)),BB403,0)&gt;0,IF(AND(NOT(AND(AU403=1,AT403&lt;&gt;1)),ISNUMBER(AN403),AN403&lt;=(C403+T403)),BB403,0)=MAX(IF(AND(NOT(AND(AU403=1,AT403&lt;&gt;1)),ISNUMBER(AK403),AK403&lt;=(C403+T403)),AY403,0),IF(AND(NOT(AND(AU403=1,AT403&lt;&gt;1)),ISNUMBER(AL403),AL403&lt;=(C403+T403)),AZ403,0),IF(AND(NOT(AND(AU403=1,AT403&lt;&gt;1)),ISNUMBER(AM403),AM403&lt;=(C403+T403)),BA403,0),IF(AND(NOT(AND(AU403=1,AT403&lt;&gt;1)),ISNUMBER(AN403),AN403&lt;=(C403+T403)),BB403,0),IF(AND(ISNUMBER(AO403),AO403&lt;=(C403+T403)),BC403,0))),"RLO","BD"))))))))</f>
        <v/>
      </c>
    </row>
    <row r="404">
      <c r="A404" s="26" t="n">
        <v>393</v>
      </c>
      <c r="B404" s="27">
        <f>A404*10/60</f>
        <v/>
      </c>
      <c r="C404" s="22">
        <f>X403</f>
        <v/>
      </c>
      <c r="D404" s="27">
        <f>D403+W403</f>
        <v/>
      </c>
      <c r="E404" s="26">
        <f>E403+IF(U403="SK",1,0)</f>
        <v/>
      </c>
      <c r="F404" s="26">
        <f>F403+IF(U403="LB",1,0)</f>
        <v/>
      </c>
      <c r="G404" s="26">
        <f>G403+IF(U403="ML",1,0)</f>
        <v/>
      </c>
      <c r="H404" s="26">
        <f>H403+IF(U403="RLO",1,0)</f>
        <v/>
      </c>
      <c r="I404" s="26">
        <f>I403+IF(U403="BD",1,0)</f>
        <v/>
      </c>
      <c r="J404" s="26">
        <f>MAX(J403,IF(U403="BiP",1,0))</f>
        <v/>
      </c>
      <c r="K404" s="26">
        <f>MAX(K403,IF(U403="PV",1,0))</f>
        <v/>
      </c>
      <c r="L404" s="26">
        <f>MAX(L403,IF(U403="OC",1,0))</f>
        <v/>
      </c>
      <c r="M404" s="26">
        <f>MAX(M403,IF(U403="MG",1,0))</f>
        <v/>
      </c>
      <c r="N404" s="26">
        <f>MAX(N403,IF(U403="transition",1,0))</f>
        <v/>
      </c>
      <c r="O404" s="28">
        <f>(Parameters!$B$9+(IF(E404=0,0,(Upgrades!$J$13+E404*Upgrades!$K$13)*POWER(Upgrades!$L$13,E404)))*(IF(Upgrades!$T$14="Stellar Kinematics",POWER(Upgrades!$U$14,F404),1)*IF(Upgrades!$T$15="Stellar Kinematics",POWER(Upgrades!$U$15,G404),1)*IF(Upgrades!$T$16="Stellar Kinematics",POWER(Upgrades!$U$16,H404),1)*IF(Upgrades!$T$17="Stellar Kinematics",POWER(Upgrades!$U$17,I404),1)*IF(Upgrades!$T$18="Stellar Kinematics",POWER(Upgrades!$U$18,J404),1)*IF(Upgrades!$T$19="Stellar Kinematics",POWER(Upgrades!$U$19,K404),1)*IF(Upgrades!$T$20="Stellar Kinematics",POWER(Upgrades!$U$20,L404),1)*IF(Upgrades!$T$21="Stellar Kinematics",POWER(Upgrades!$U$21,M404),1))+(IF(F404=0,0,(Upgrades!$J$14+F404*Upgrades!$K$14)*POWER(Upgrades!$L$14,F404)))*(IF(Upgrades!$T$13="Local Bubble",POWER(Upgrades!$U$13,E404),1)*IF(Upgrades!$T$15="Local Bubble",POWER(Upgrades!$U$15,G404),1)*IF(Upgrades!$T$16="Local Bubble",POWER(Upgrades!$U$16,H404),1)*IF(Upgrades!$T$17="Local Bubble",POWER(Upgrades!$U$17,I404),1)*IF(Upgrades!$T$18="Local Bubble",POWER(Upgrades!$U$18,J404),1)*IF(Upgrades!$T$19="Local Bubble",POWER(Upgrades!$U$19,K404),1)*IF(Upgrades!$T$20="Local Bubble",POWER(Upgrades!$U$20,L404),1)*IF(Upgrades!$T$21="Local Bubble",POWER(Upgrades!$U$21,M404),1))+(IF(G404=0,0,(Upgrades!$J$15+G404*Upgrades!$K$15)*POWER(Upgrades!$L$15,G404)))*(IF(Upgrades!$T$13="Microlensing",POWER(Upgrades!$U$13,E404),1)*IF(Upgrades!$T$14="Microlensing",POWER(Upgrades!$U$14,F404),1)*IF(Upgrades!$T$16="Microlensing",POWER(Upgrades!$U$16,H404),1)*IF(Upgrades!$T$17="Microlensing",POWER(Upgrades!$U$17,I404),1)*IF(Upgrades!$T$18="Microlensing",POWER(Upgrades!$U$18,J404),1)*IF(Upgrades!$T$19="Microlensing",POWER(Upgrades!$U$19,K404),1)*IF(Upgrades!$T$20="Microlensing",POWER(Upgrades!$U$20,L404),1)*IF(Upgrades!$T$21="Microlensing",POWER(Upgrades!$U$21,M404),1))+(IF(H404=0,0,(Upgrades!$J$16+H404*Upgrades!$K$16)*POWER(Upgrades!$L$16,H404)))*(IF(Upgrades!$T$13="Roche Lobe Overflow",POWER(Upgrades!$U$13,E404),1)*IF(Upgrades!$T$14="Roche Lobe Overflow",POWER(Upgrades!$U$14,F404),1)*IF(Upgrades!$T$15="Roche Lobe Overflow",POWER(Upgrades!$U$15,G404),1)*IF(Upgrades!$T$17="Roche Lobe Overflow",POWER(Upgrades!$U$17,I404),1)*IF(Upgrades!$T$18="Roche Lobe Overflow",POWER(Upgrades!$U$18,J404),1)*IF(Upgrades!$T$19="Roche Lobe Overflow",POWER(Upgrades!$U$19,K404),1)*IF(Upgrades!$T$20="Roche Lobe Overflow",POWER(Upgrades!$U$20,L404),1)*IF(Upgrades!$T$21="Roche Lobe Overflow",POWER(Upgrades!$U$21,M404),1))+(IF(I404=0,0,(Upgrades!$J$17+I404*Upgrades!$K$17)*POWER(Upgrades!$L$17,I404)))*(IF(Upgrades!$T$13="Brown Dwarf",POWER(Upgrades!$U$13,E404),1)*IF(Upgrades!$T$14="Brown Dwarf",POWER(Upgrades!$U$14,F404),1)*IF(Upgrades!$T$15="Brown Dwarf",POWER(Upgrades!$U$15,G404),1)*IF(Upgrades!$T$16="Brown Dwarf",POWER(Upgrades!$U$16,H404),1)*IF(Upgrades!$T$18="Brown Dwarf",POWER(Upgrades!$U$18,J404),1)*IF(Upgrades!$T$19="Brown Dwarf",POWER(Upgrades!$U$19,K404),1)*IF(Upgrades!$T$20="Brown Dwarf",POWER(Upgrades!$U$20,L404),1)*IF(Upgrades!$T$21="Brown Dwarf",POWER(Upgrades!$U$21,M404),1))+(IF(J404=0,0,(Upgrades!$J$18+J404*Upgrades!$K$18)*POWER(Upgrades!$L$18,J404)))*(IF(Upgrades!$T$13="Binary Partner",POWER(Upgrades!$U$13,E404),1)*IF(Upgrades!$T$14="Binary Partner",POWER(Upgrades!$U$14,F404),1)*IF(Upgrades!$T$15="Binary Partner",POWER(Upgrades!$U$15,G404),1)*IF(Upgrades!$T$16="Binary Partner",POWER(Upgrades!$U$16,H404),1)*IF(Upgrades!$T$17="Binary Partner",POWER(Upgrades!$U$17,I404),1)*IF(Upgrades!$T$19="Binary Partner",POWER(Upgrades!$U$19,K404),1)*IF(Upgrades!$T$20="Binary Partner",POWER(Upgrades!$U$20,L404),1)*IF(Upgrades!$T$21="Binary Partner",POWER(Upgrades!$U$21,M404),1))+(IF(K404=0,0,(Upgrades!$J$19+K404*Upgrades!$K$19)*POWER(Upgrades!$L$19,K404)))*(IF(Upgrades!$T$13="Peculiar Velocity",POWER(Upgrades!$U$13,E404),1)*IF(Upgrades!$T$14="Peculiar Velocity",POWER(Upgrades!$U$14,F404),1)*IF(Upgrades!$T$15="Peculiar Velocity",POWER(Upgrades!$U$15,G404),1)*IF(Upgrades!$T$16="Peculiar Velocity",POWER(Upgrades!$U$16,H404),1)*IF(Upgrades!$T$17="Peculiar Velocity",POWER(Upgrades!$U$17,I404),1)*IF(Upgrades!$T$18="Peculiar Velocity",POWER(Upgrades!$U$18,J404),1)*IF(Upgrades!$T$20="Peculiar Velocity",POWER(Upgrades!$U$20,L404),1)*IF(Upgrades!$T$21="Peculiar Velocity",POWER(Upgrades!$U$21,M404),1))+(IF(L404=0,0,(Upgrades!$J$20+L404*Upgrades!$K$20)*POWER(Upgrades!$L$20,L404)))*(IF(Upgrades!$T$13="Open Cluster",POWER(Upgrades!$U$13,E404),1)*IF(Upgrades!$T$14="Open Cluster",POWER(Upgrades!$U$14,F404),1)*IF(Upgrades!$T$15="Open Cluster",POWER(Upgrades!$U$15,G404),1)*IF(Upgrades!$T$16="Open Cluster",POWER(Upgrades!$U$16,H404),1)*IF(Upgrades!$T$17="Open Cluster",POWER(Upgrades!$U$17,I404),1)*IF(Upgrades!$T$18="Open Cluster",POWER(Upgrades!$U$18,J404),1)*IF(Upgrades!$T$19="Open Cluster",POWER(Upgrades!$U$19,K404),1)*IF(Upgrades!$T$21="Open Cluster",POWER(Upgrades!$U$21,M404),1))+(IF(M404=0,0,(Upgrades!$J$21+M404*Upgrades!$K$21)*POWER(Upgrades!$L$21,M404)))*(IF(Upgrades!$T$13="Moving Group",POWER(Upgrades!$U$13,E404),1)*IF(Upgrades!$T$14="Moving Group",POWER(Upgrades!$U$14,F404),1)*IF(Upgrades!$T$15="Moving Group",POWER(Upgrades!$U$15,G404),1)*IF(Upgrades!$T$16="Moving Group",POWER(Upgrades!$U$16,H404),1)*IF(Upgrades!$T$17="Moving Group",POWER(Upgrades!$U$17,I404),1)*IF(Upgrades!$T$18="Moving Group",POWER(Upgrades!$U$18,J404),1)*IF(Upgrades!$T$19="Moving Group",POWER(Upgrades!$U$19,K404),1)*IF(Upgrades!$T$20="Moving Group",POWER(Upgrades!$U$20,L404),1)))*POWER(Upgrades!$Q$13,E404)*POWER(Upgrades!$Q$14,F404)*POWER(Upgrades!$Q$15,G404)*POWER(Upgrades!$Q$16,H404)*POWER(Upgrades!$Q$17,I404)*POWER(Upgrades!$Q$18,J404)*POWER(Upgrades!$Q$19,K404)*POWER(Upgrades!$Q$20,L404)*POWER(Upgrades!$Q$21,M404)*$G$6+$D$6</f>
        <v/>
      </c>
      <c r="P404" s="28">
        <f>((IF(E404=0,0,(Upgrades!$G$13+E404*Upgrades!$H$13)*POWER(Upgrades!$I$13,E404)))*(IF(Upgrades!$T$14="Stellar Kinematics",POWER(Upgrades!$U$14,F404),1)*IF(Upgrades!$T$15="Stellar Kinematics",POWER(Upgrades!$U$15,G404),1)*IF(Upgrades!$T$16="Stellar Kinematics",POWER(Upgrades!$U$16,H404),1)*IF(Upgrades!$T$17="Stellar Kinematics",POWER(Upgrades!$U$17,I404),1)*IF(Upgrades!$T$18="Stellar Kinematics",POWER(Upgrades!$U$18,J404),1)*IF(Upgrades!$T$19="Stellar Kinematics",POWER(Upgrades!$U$19,K404),1)*IF(Upgrades!$T$20="Stellar Kinematics",POWER(Upgrades!$U$20,L404),1)*IF(Upgrades!$T$21="Stellar Kinematics",POWER(Upgrades!$U$21,M404),1))+(IF(F404=0,0,(Upgrades!$G$14+F404*Upgrades!$H$14)*POWER(Upgrades!$I$14,F404)))*(IF(Upgrades!$T$13="Local Bubble",POWER(Upgrades!$U$13,E404),1)*IF(Upgrades!$T$15="Local Bubble",POWER(Upgrades!$U$15,G404),1)*IF(Upgrades!$T$16="Local Bubble",POWER(Upgrades!$U$16,H404),1)*IF(Upgrades!$T$17="Local Bubble",POWER(Upgrades!$U$17,I404),1)*IF(Upgrades!$T$18="Local Bubble",POWER(Upgrades!$U$18,J404),1)*IF(Upgrades!$T$19="Local Bubble",POWER(Upgrades!$U$19,K404),1)*IF(Upgrades!$T$20="Local Bubble",POWER(Upgrades!$U$20,L404),1)*IF(Upgrades!$T$21="Local Bubble",POWER(Upgrades!$U$21,M404),1))+(IF(G404=0,0,(Upgrades!$G$15+G404*Upgrades!$H$15)*POWER(Upgrades!$I$15,G404)))*(IF(Upgrades!$T$13="Microlensing",POWER(Upgrades!$U$13,E404),1)*IF(Upgrades!$T$14="Microlensing",POWER(Upgrades!$U$14,F404),1)*IF(Upgrades!$T$16="Microlensing",POWER(Upgrades!$U$16,H404),1)*IF(Upgrades!$T$17="Microlensing",POWER(Upgrades!$U$17,I404),1)*IF(Upgrades!$T$18="Microlensing",POWER(Upgrades!$U$18,J404),1)*IF(Upgrades!$T$19="Microlensing",POWER(Upgrades!$U$19,K404),1)*IF(Upgrades!$T$20="Microlensing",POWER(Upgrades!$U$20,L404),1)*IF(Upgrades!$T$21="Microlensing",POWER(Upgrades!$U$21,M404),1))+(IF(H404=0,0,(Upgrades!$G$16+H404*Upgrades!$H$16)*POWER(Upgrades!$I$16,H404)))*(IF(Upgrades!$T$13="Roche Lobe Overflow",POWER(Upgrades!$U$13,E404),1)*IF(Upgrades!$T$14="Roche Lobe Overflow",POWER(Upgrades!$U$14,F404),1)*IF(Upgrades!$T$15="Roche Lobe Overflow",POWER(Upgrades!$U$15,G404),1)*IF(Upgrades!$T$17="Roche Lobe Overflow",POWER(Upgrades!$U$17,I404),1)*IF(Upgrades!$T$18="Roche Lobe Overflow",POWER(Upgrades!$U$18,J404),1)*IF(Upgrades!$T$19="Roche Lobe Overflow",POWER(Upgrades!$U$19,K404),1)*IF(Upgrades!$T$20="Roche Lobe Overflow",POWER(Upgrades!$U$20,L404),1)*IF(Upgrades!$T$21="Roche Lobe Overflow",POWER(Upgrades!$U$21,M404),1))+(IF(I404=0,0,(Upgrades!$G$17+I404*Upgrades!$H$17)*POWER(Upgrades!$I$17,I404)))*(IF(Upgrades!$T$13="Brown Dwarf",POWER(Upgrades!$U$13,E404),1)*IF(Upgrades!$T$14="Brown Dwarf",POWER(Upgrades!$U$14,F404),1)*IF(Upgrades!$T$15="Brown Dwarf",POWER(Upgrades!$U$15,G404),1)*IF(Upgrades!$T$16="Brown Dwarf",POWER(Upgrades!$U$16,H404),1)*IF(Upgrades!$T$18="Brown Dwarf",POWER(Upgrades!$U$18,J404),1)*IF(Upgrades!$T$19="Brown Dwarf",POWER(Upgrades!$U$19,K404),1)*IF(Upgrades!$T$20="Brown Dwarf",POWER(Upgrades!$U$20,L404),1)*IF(Upgrades!$T$21="Brown Dwarf",POWER(Upgrades!$U$21,M404),1))+(IF(J404=0,0,(Upgrades!$G$18+J404*Upgrades!$H$18)*POWER(Upgrades!$I$18,J404)))*(IF(Upgrades!$T$13="Binary Partner",POWER(Upgrades!$U$13,E404),1)*IF(Upgrades!$T$14="Binary Partner",POWER(Upgrades!$U$14,F404),1)*IF(Upgrades!$T$15="Binary Partner",POWER(Upgrades!$U$15,G404),1)*IF(Upgrades!$T$16="Binary Partner",POWER(Upgrades!$U$16,H404),1)*IF(Upgrades!$T$17="Binary Partner",POWER(Upgrades!$U$17,I404),1)*IF(Upgrades!$T$19="Binary Partner",POWER(Upgrades!$U$19,K404),1)*IF(Upgrades!$T$20="Binary Partner",POWER(Upgrades!$U$20,L404),1)*IF(Upgrades!$T$21="Binary Partner",POWER(Upgrades!$U$21,M404),1))+(IF(K404=0,0,(Upgrades!$G$19+K404*Upgrades!$H$19)*POWER(Upgrades!$I$19,K404)))*(IF(Upgrades!$T$13="Peculiar Velocity",POWER(Upgrades!$U$13,E404),1)*IF(Upgrades!$T$14="Peculiar Velocity",POWER(Upgrades!$U$14,F404),1)*IF(Upgrades!$T$15="Peculiar Velocity",POWER(Upgrades!$U$15,G404),1)*IF(Upgrades!$T$16="Peculiar Velocity",POWER(Upgrades!$U$16,H404),1)*IF(Upgrades!$T$17="Peculiar Velocity",POWER(Upgrades!$U$17,I404),1)*IF(Upgrades!$T$18="Peculiar Velocity",POWER(Upgrades!$U$18,J404),1)*IF(Upgrades!$T$20="Peculiar Velocity",POWER(Upgrades!$U$20,L404),1)*IF(Upgrades!$T$21="Peculiar Velocity",POWER(Upgrades!$U$21,M404),1))+(IF(L404=0,0,(Upgrades!$G$20+L404*Upgrades!$H$20)*POWER(Upgrades!$I$20,L404)))*(IF(Upgrades!$T$13="Open Cluster",POWER(Upgrades!$U$13,E404),1)*IF(Upgrades!$T$14="Open Cluster",POWER(Upgrades!$U$14,F404),1)*IF(Upgrades!$T$15="Open Cluster",POWER(Upgrades!$U$15,G404),1)*IF(Upgrades!$T$16="Open Cluster",POWER(Upgrades!$U$16,H404),1)*IF(Upgrades!$T$17="Open Cluster",POWER(Upgrades!$U$17,I404),1)*IF(Upgrades!$T$18="Open Cluster",POWER(Upgrades!$U$18,J404),1)*IF(Upgrades!$T$19="Open Cluster",POWER(Upgrades!$U$19,K404),1)*IF(Upgrades!$T$21="Open Cluster",POWER(Upgrades!$U$21,M404),1))+(IF(M404=0,0,(Upgrades!$G$21+M404*Upgrades!$H$21)*POWER(Upgrades!$I$21,M404)))*(IF(Upgrades!$T$13="Moving Group",POWER(Upgrades!$U$13,E404),1)*IF(Upgrades!$T$14="Moving Group",POWER(Upgrades!$U$14,F404),1)*IF(Upgrades!$T$15="Moving Group",POWER(Upgrades!$U$15,G404),1)*IF(Upgrades!$T$16="Moving Group",POWER(Upgrades!$U$16,H404),1)*IF(Upgrades!$T$17="Moving Group",POWER(Upgrades!$U$17,I404),1)*IF(Upgrades!$T$18="Moving Group",POWER(Upgrades!$U$18,J404),1)*IF(Upgrades!$T$19="Moving Group",POWER(Upgrades!$U$19,K404),1)*IF(Upgrades!$T$20="Moving Group",POWER(Upgrades!$U$20,L404),1)))*POWER(Upgrades!$P$13,E404)*POWER(Upgrades!$P$14,F404)*POWER(Upgrades!$P$15,G404)*POWER(Upgrades!$P$16,H404)*POWER(Upgrades!$P$17,I404)*POWER(Upgrades!$P$18,J404)*POWER(Upgrades!$P$19,K404)*POWER(Upgrades!$P$20,L404)*POWER(Upgrades!$P$21,M404)*$F$6+$C$6</f>
        <v/>
      </c>
      <c r="Q404" s="28">
        <f>((IF(E404=0,0,(Upgrades!$M$13+E404*Upgrades!$N$13)*POWER(Upgrades!$O$13,E404)))*(IF(Upgrades!$T$14="Stellar Kinematics",POWER(Upgrades!$U$14,F404),1)*IF(Upgrades!$T$15="Stellar Kinematics",POWER(Upgrades!$U$15,G404),1)*IF(Upgrades!$T$16="Stellar Kinematics",POWER(Upgrades!$U$16,H404),1)*IF(Upgrades!$T$17="Stellar Kinematics",POWER(Upgrades!$U$17,I404),1)*IF(Upgrades!$T$18="Stellar Kinematics",POWER(Upgrades!$U$18,J404),1)*IF(Upgrades!$T$19="Stellar Kinematics",POWER(Upgrades!$U$19,K404),1)*IF(Upgrades!$T$20="Stellar Kinematics",POWER(Upgrades!$U$20,L404),1)*IF(Upgrades!$T$21="Stellar Kinematics",POWER(Upgrades!$U$21,M404),1))+(IF(F404=0,0,(Upgrades!$M$14+F404*Upgrades!$N$14)*POWER(Upgrades!$O$14,F404)))*(IF(Upgrades!$T$13="Local Bubble",POWER(Upgrades!$U$13,E404),1)*IF(Upgrades!$T$15="Local Bubble",POWER(Upgrades!$U$15,G404),1)*IF(Upgrades!$T$16="Local Bubble",POWER(Upgrades!$U$16,H404),1)*IF(Upgrades!$T$17="Local Bubble",POWER(Upgrades!$U$17,I404),1)*IF(Upgrades!$T$18="Local Bubble",POWER(Upgrades!$U$18,J404),1)*IF(Upgrades!$T$19="Local Bubble",POWER(Upgrades!$U$19,K404),1)*IF(Upgrades!$T$20="Local Bubble",POWER(Upgrades!$U$20,L404),1)*IF(Upgrades!$T$21="Local Bubble",POWER(Upgrades!$U$21,M404),1))+(IF(G404=0,0,(Upgrades!$M$15+G404*Upgrades!$N$15)*POWER(Upgrades!$O$15,G404)))*(IF(Upgrades!$T$13="Microlensing",POWER(Upgrades!$U$13,E404),1)*IF(Upgrades!$T$14="Microlensing",POWER(Upgrades!$U$14,F404),1)*IF(Upgrades!$T$16="Microlensing",POWER(Upgrades!$U$16,H404),1)*IF(Upgrades!$T$17="Microlensing",POWER(Upgrades!$U$17,I404),1)*IF(Upgrades!$T$18="Microlensing",POWER(Upgrades!$U$18,J404),1)*IF(Upgrades!$T$19="Microlensing",POWER(Upgrades!$U$19,K404),1)*IF(Upgrades!$T$20="Microlensing",POWER(Upgrades!$U$20,L404),1)*IF(Upgrades!$T$21="Microlensing",POWER(Upgrades!$U$21,M404),1))+(IF(H404=0,0,(Upgrades!$M$16+H404*Upgrades!$N$16)*POWER(Upgrades!$O$16,H404)))*(IF(Upgrades!$T$13="Roche Lobe Overflow",POWER(Upgrades!$U$13,E404),1)*IF(Upgrades!$T$14="Roche Lobe Overflow",POWER(Upgrades!$U$14,F404),1)*IF(Upgrades!$T$15="Roche Lobe Overflow",POWER(Upgrades!$U$15,G404),1)*IF(Upgrades!$T$17="Roche Lobe Overflow",POWER(Upgrades!$U$17,I404),1)*IF(Upgrades!$T$18="Roche Lobe Overflow",POWER(Upgrades!$U$18,J404),1)*IF(Upgrades!$T$19="Roche Lobe Overflow",POWER(Upgrades!$U$19,K404),1)*IF(Upgrades!$T$20="Roche Lobe Overflow",POWER(Upgrades!$U$20,L404),1)*IF(Upgrades!$T$21="Roche Lobe Overflow",POWER(Upgrades!$U$21,M404),1))+(IF(I404=0,0,(Upgrades!$M$17+I404*Upgrades!$N$17)*POWER(Upgrades!$O$17,I404)))*(IF(Upgrades!$T$13="Brown Dwarf",POWER(Upgrades!$U$13,E404),1)*IF(Upgrades!$T$14="Brown Dwarf",POWER(Upgrades!$U$14,F404),1)*IF(Upgrades!$T$15="Brown Dwarf",POWER(Upgrades!$U$15,G404),1)*IF(Upgrades!$T$16="Brown Dwarf",POWER(Upgrades!$U$16,H404),1)*IF(Upgrades!$T$18="Brown Dwarf",POWER(Upgrades!$U$18,J404),1)*IF(Upgrades!$T$19="Brown Dwarf",POWER(Upgrades!$U$19,K404),1)*IF(Upgrades!$T$20="Brown Dwarf",POWER(Upgrades!$U$20,L404),1)*IF(Upgrades!$T$21="Brown Dwarf",POWER(Upgrades!$U$21,M404),1))+(IF(J404=0,0,(Upgrades!$M$18+J404*Upgrades!$N$18)*POWER(Upgrades!$O$18,J404)))*(IF(Upgrades!$T$13="Binary Partner",POWER(Upgrades!$U$13,E404),1)*IF(Upgrades!$T$14="Binary Partner",POWER(Upgrades!$U$14,F404),1)*IF(Upgrades!$T$15="Binary Partner",POWER(Upgrades!$U$15,G404),1)*IF(Upgrades!$T$16="Binary Partner",POWER(Upgrades!$U$16,H404),1)*IF(Upgrades!$T$17="Binary Partner",POWER(Upgrades!$U$17,I404),1)*IF(Upgrades!$T$19="Binary Partner",POWER(Upgrades!$U$19,K404),1)*IF(Upgrades!$T$20="Binary Partner",POWER(Upgrades!$U$20,L404),1)*IF(Upgrades!$T$21="Binary Partner",POWER(Upgrades!$U$21,M404),1))+(IF(K404=0,0,(Upgrades!$M$19+K404*Upgrades!$N$19)*POWER(Upgrades!$O$19,K404)))*(IF(Upgrades!$T$13="Peculiar Velocity",POWER(Upgrades!$U$13,E404),1)*IF(Upgrades!$T$14="Peculiar Velocity",POWER(Upgrades!$U$14,F404),1)*IF(Upgrades!$T$15="Peculiar Velocity",POWER(Upgrades!$U$15,G404),1)*IF(Upgrades!$T$16="Peculiar Velocity",POWER(Upgrades!$U$16,H404),1)*IF(Upgrades!$T$17="Peculiar Velocity",POWER(Upgrades!$U$17,I404),1)*IF(Upgrades!$T$18="Peculiar Velocity",POWER(Upgrades!$U$18,J404),1)*IF(Upgrades!$T$20="Peculiar Velocity",POWER(Upgrades!$U$20,L404),1)*IF(Upgrades!$T$21="Peculiar Velocity",POWER(Upgrades!$U$21,M404),1))+(IF(L404=0,0,(Upgrades!$M$20+L404*Upgrades!$N$20)*POWER(Upgrades!$O$20,L404)))*(IF(Upgrades!$T$13="Open Cluster",POWER(Upgrades!$U$13,E404),1)*IF(Upgrades!$T$14="Open Cluster",POWER(Upgrades!$U$14,F404),1)*IF(Upgrades!$T$15="Open Cluster",POWER(Upgrades!$U$15,G404),1)*IF(Upgrades!$T$16="Open Cluster",POWER(Upgrades!$U$16,H404),1)*IF(Upgrades!$T$17="Open Cluster",POWER(Upgrades!$U$17,I404),1)*IF(Upgrades!$T$18="Open Cluster",POWER(Upgrades!$U$18,J404),1)*IF(Upgrades!$T$19="Open Cluster",POWER(Upgrades!$U$19,K404),1)*IF(Upgrades!$T$21="Open Cluster",POWER(Upgrades!$U$21,M404),1))+(IF(M404=0,0,(Upgrades!$M$21+M404*Upgrades!$N$21)*POWER(Upgrades!$O$21,M404)))*(IF(Upgrades!$T$13="Moving Group",POWER(Upgrades!$U$13,E404),1)*IF(Upgrades!$T$14="Moving Group",POWER(Upgrades!$U$14,F404),1)*IF(Upgrades!$T$15="Moving Group",POWER(Upgrades!$U$15,G404),1)*IF(Upgrades!$T$16="Moving Group",POWER(Upgrades!$U$16,H404),1)*IF(Upgrades!$T$17="Moving Group",POWER(Upgrades!$U$17,I404),1)*IF(Upgrades!$T$18="Moving Group",POWER(Upgrades!$U$18,J404),1)*IF(Upgrades!$T$19="Moving Group",POWER(Upgrades!$U$19,K404),1)*IF(Upgrades!$T$20="Moving Group",POWER(Upgrades!$U$20,L404),1)))*POWER(Upgrades!$R$13,E404)*POWER(Upgrades!$R$14,F404)*POWER(Upgrades!$R$15,G404)*POWER(Upgrades!$R$16,H404)*POWER(Upgrades!$R$17,I404)*POWER(Upgrades!$R$18,J404)*POWER(Upgrades!$R$19,K404)*POWER(Upgrades!$R$20,L404)*POWER(Upgrades!$R$21,M404)*$H$6+$E$6</f>
        <v/>
      </c>
      <c r="R404" s="27">
        <f>IF(N404=1,0,O404*Parameters!$B$10/60*Parameters!$B$11*10)</f>
        <v/>
      </c>
      <c r="S404" s="27">
        <f>IF(N404=1,0,Q404*O404*10)</f>
        <v/>
      </c>
      <c r="T404" s="27">
        <f>IF(N404=1,0,R404+S404+P404*10)</f>
        <v/>
      </c>
      <c r="U404" s="33">
        <f>BE404</f>
        <v/>
      </c>
      <c r="V404" s="22">
        <f>IF(U404="",0,IF(U404="transition",0,IF(U404="SK",AK404,IF(U404="LB",AL404,IF(U404="ML",AM404,IF(U404="RLO",AN404,IF(U404="BD",AO404,IF(U404="BiP",AP404,IF(U404="PV",AQ404,IF(U404="OC",AR404,IF(U404="MG",AS404,0))))))))))</f>
        <v/>
      </c>
      <c r="W404" s="27">
        <f>IF(U404="BiP",Upgrades!$F$18,IF(U404="PV",Upgrades!$F$19,IF(U404="OC",Upgrades!$F$20,IF(U404="MG",Upgrades!$F$21,IF(U404="transition",-Parameters!$B$18*Parameters!$B$19,0)))))</f>
        <v/>
      </c>
      <c r="X404" s="22">
        <f>C404+T404-V404</f>
        <v/>
      </c>
      <c r="Y404" s="30">
        <f>O404*Parameters!$B$10/60*Parameters!$B$11+Q404*O404+P404</f>
        <v/>
      </c>
      <c r="Z404" s="34">
        <f>IF(U404="transition","→ Tier 3 (Galactic Arm)",IF(U404="MG","Moving Group — pocket drifts together",IF(U404="OC","Open Cluster acquired",IF(U404="PV","Peculiar Velocity — passive multiplier active",IF(U404="BiP","Binary Partner — pair bond formed",IF(AND(AU404=1,N404=0,AT404&lt;&gt;1),"Cohesion ready (waiting on completionists)","")))))) </f>
        <v/>
      </c>
      <c r="AA404" s="27">
        <f>(IF(E404=0,0,(Upgrades!$G$13+E404*Upgrades!$H$13)*POWER(Upgrades!$I$13,E404)))*(IF(Upgrades!$T$14="Stellar Kinematics",POWER(Upgrades!$U$14,F404),1)*IF(Upgrades!$T$15="Stellar Kinematics",POWER(Upgrades!$U$15,G404),1)*IF(Upgrades!$T$16="Stellar Kinematics",POWER(Upgrades!$U$16,H404),1)*IF(Upgrades!$T$17="Stellar Kinematics",POWER(Upgrades!$U$17,I404),1)*IF(Upgrades!$T$18="Stellar Kinematics",POWER(Upgrades!$U$18,J404),1)*IF(Upgrades!$T$19="Stellar Kinematics",POWER(Upgrades!$U$19,K404),1)*IF(Upgrades!$T$20="Stellar Kinematics",POWER(Upgrades!$U$20,L404),1)*IF(Upgrades!$T$21="Stellar Kinematics",POWER(Upgrades!$U$21,M404),1))*POWER(Upgrades!$P$13,E404)*POWER(Upgrades!$P$14,F404)*POWER(Upgrades!$P$15,G404)*POWER(Upgrades!$P$16,H404)*POWER(Upgrades!$P$17,I404)*POWER(Upgrades!$P$18,J404)*POWER(Upgrades!$P$19,K404)*POWER(Upgrades!$P$20,L404)*POWER(Upgrades!$P$21,M404)*$F$6*60</f>
        <v/>
      </c>
      <c r="AB404" s="27">
        <f>(IF(F404=0,0,(Upgrades!$G$14+F404*Upgrades!$H$14)*POWER(Upgrades!$I$14,F404)))*(IF(Upgrades!$T$13="Local Bubble",POWER(Upgrades!$U$13,E404),1)*IF(Upgrades!$T$15="Local Bubble",POWER(Upgrades!$U$15,G404),1)*IF(Upgrades!$T$16="Local Bubble",POWER(Upgrades!$U$16,H404),1)*IF(Upgrades!$T$17="Local Bubble",POWER(Upgrades!$U$17,I404),1)*IF(Upgrades!$T$18="Local Bubble",POWER(Upgrades!$U$18,J404),1)*IF(Upgrades!$T$19="Local Bubble",POWER(Upgrades!$U$19,K404),1)*IF(Upgrades!$T$20="Local Bubble",POWER(Upgrades!$U$20,L404),1)*IF(Upgrades!$T$21="Local Bubble",POWER(Upgrades!$U$21,M404),1))*POWER(Upgrades!$P$13,E404)*POWER(Upgrades!$P$14,F404)*POWER(Upgrades!$P$15,G404)*POWER(Upgrades!$P$16,H404)*POWER(Upgrades!$P$17,I404)*POWER(Upgrades!$P$18,J404)*POWER(Upgrades!$P$19,K404)*POWER(Upgrades!$P$20,L404)*POWER(Upgrades!$P$21,M404)*$F$6*60</f>
        <v/>
      </c>
      <c r="AC404" s="27">
        <f>(IF(G404=0,0,(Upgrades!$J$15+G404*Upgrades!$K$15)*POWER(Upgrades!$L$15,G404)))*(IF(Upgrades!$T$13="Microlensing",POWER(Upgrades!$U$13,E404),1)*IF(Upgrades!$T$14="Microlensing",POWER(Upgrades!$U$14,F404),1)*IF(Upgrades!$T$16="Microlensing",POWER(Upgrades!$U$16,H404),1)*IF(Upgrades!$T$17="Microlensing",POWER(Upgrades!$U$17,I404),1)*IF(Upgrades!$T$18="Microlensing",POWER(Upgrades!$U$18,J404),1)*IF(Upgrades!$T$19="Microlensing",POWER(Upgrades!$U$19,K404),1)*IF(Upgrades!$T$20="Microlensing",POWER(Upgrades!$U$20,L404),1)*IF(Upgrades!$T$21="Microlensing",POWER(Upgrades!$U$21,M404),1))*POWER(Upgrades!$Q$13,E404)*POWER(Upgrades!$Q$14,F404)*POWER(Upgrades!$Q$15,G404)*POWER(Upgrades!$Q$16,H404)*POWER(Upgrades!$Q$17,I404)*POWER(Upgrades!$Q$18,J404)*POWER(Upgrades!$Q$19,K404)*POWER(Upgrades!$Q$20,L404)*POWER(Upgrades!$Q$21,M404)*$G$6*(Parameters!$B$10*Parameters!$B$11+Q404*60)</f>
        <v/>
      </c>
      <c r="AD404" s="27">
        <f>(IF(H404=0,0,(Upgrades!$M$16+H404*Upgrades!$N$16)*POWER(Upgrades!$O$16,H404)))*(IF(Upgrades!$T$13="Roche Lobe Overflow",POWER(Upgrades!$U$13,E404),1)*IF(Upgrades!$T$14="Roche Lobe Overflow",POWER(Upgrades!$U$14,F404),1)*IF(Upgrades!$T$15="Roche Lobe Overflow",POWER(Upgrades!$U$15,G404),1)*IF(Upgrades!$T$17="Roche Lobe Overflow",POWER(Upgrades!$U$17,I404),1)*IF(Upgrades!$T$18="Roche Lobe Overflow",POWER(Upgrades!$U$18,J404),1)*IF(Upgrades!$T$19="Roche Lobe Overflow",POWER(Upgrades!$U$19,K404),1)*IF(Upgrades!$T$20="Roche Lobe Overflow",POWER(Upgrades!$U$20,L404),1)*IF(Upgrades!$T$21="Roche Lobe Overflow",POWER(Upgrades!$U$21,M404),1))*POWER(Upgrades!$R$13,E404)*POWER(Upgrades!$R$14,F404)*POWER(Upgrades!$R$15,G404)*POWER(Upgrades!$R$16,H404)*POWER(Upgrades!$R$17,I404)*POWER(Upgrades!$R$18,J404)*POWER(Upgrades!$R$19,K404)*POWER(Upgrades!$R$20,L404)*POWER(Upgrades!$R$21,M404)*$H$6*O404*60</f>
        <v/>
      </c>
      <c r="AE404" s="27">
        <f>(IF(I404=0,0,(Upgrades!$G$17+I404*Upgrades!$H$17)*POWER(Upgrades!$I$17,I404)))*(IF(Upgrades!$T$13="Brown Dwarf",POWER(Upgrades!$U$13,E404),1)*IF(Upgrades!$T$14="Brown Dwarf",POWER(Upgrades!$U$14,F404),1)*IF(Upgrades!$T$15="Brown Dwarf",POWER(Upgrades!$U$15,G404),1)*IF(Upgrades!$T$16="Brown Dwarf",POWER(Upgrades!$U$16,H404),1)*IF(Upgrades!$T$18="Brown Dwarf",POWER(Upgrades!$U$18,J404),1)*IF(Upgrades!$T$19="Brown Dwarf",POWER(Upgrades!$U$19,K404),1)*IF(Upgrades!$T$20="Brown Dwarf",POWER(Upgrades!$U$20,L404),1)*IF(Upgrades!$T$21="Brown Dwarf",POWER(Upgrades!$U$21,M404),1))*POWER(Upgrades!$P$13,E404)*POWER(Upgrades!$P$14,F404)*POWER(Upgrades!$P$15,G404)*POWER(Upgrades!$P$16,H404)*POWER(Upgrades!$P$17,I404)*POWER(Upgrades!$P$18,J404)*POWER(Upgrades!$P$19,K404)*POWER(Upgrades!$P$20,L404)*POWER(Upgrades!$P$21,M404)*$F$6*60</f>
        <v/>
      </c>
      <c r="AF404" s="27" t="n">
        <v>0</v>
      </c>
      <c r="AG404" s="27" t="n">
        <v>0</v>
      </c>
      <c r="AH404" s="27" t="n">
        <v>0</v>
      </c>
      <c r="AI404" s="27">
        <f>(IF(M404=0,0,(Upgrades!$G$21+M404*Upgrades!$H$21)*POWER(Upgrades!$I$21,M404)))*(IF(Upgrades!$T$13="Moving Group",POWER(Upgrades!$U$13,E404),1)*IF(Upgrades!$T$14="Moving Group",POWER(Upgrades!$U$14,F404),1)*IF(Upgrades!$T$15="Moving Group",POWER(Upgrades!$U$15,G404),1)*IF(Upgrades!$T$16="Moving Group",POWER(Upgrades!$U$16,H404),1)*IF(Upgrades!$T$17="Moving Group",POWER(Upgrades!$U$17,I404),1)*IF(Upgrades!$T$18="Moving Group",POWER(Upgrades!$U$18,J404),1)*IF(Upgrades!$T$19="Moving Group",POWER(Upgrades!$U$19,K404),1)*IF(Upgrades!$T$20="Moving Group",POWER(Upgrades!$U$20,L404),1))*POWER(Upgrades!$P$13,E404)*POWER(Upgrades!$P$14,F404)*POWER(Upgrades!$P$15,G404)*POWER(Upgrades!$P$16,H404)*POWER(Upgrades!$P$17,I404)*POWER(Upgrades!$P$18,J404)*POWER(Upgrades!$P$19,K404)*POWER(Upgrades!$P$20,L404)*POWER(Upgrades!$P$21,M404)*$F$6*60</f>
        <v/>
      </c>
      <c r="AJ404" s="27">
        <f>$C$6*60</f>
        <v/>
      </c>
      <c r="AK404" s="22">
        <f>IF(E404&gt;=Upgrades!$E$13,"",Upgrades!$C$13*POWER(Upgrades!$D$13,E404))</f>
        <v/>
      </c>
      <c r="AL404" s="22">
        <f>IF(F404&gt;=Upgrades!$E$14,"",Upgrades!$C$14*POWER(Upgrades!$D$14,F404))</f>
        <v/>
      </c>
      <c r="AM404" s="22">
        <f>IF(G404&gt;=Upgrades!$E$15,"",Upgrades!$C$15*POWER(Upgrades!$D$15,G404))</f>
        <v/>
      </c>
      <c r="AN404" s="22">
        <f>IF(H404&gt;=Upgrades!$E$16,"",Upgrades!$C$16*POWER(Upgrades!$D$16,H404))</f>
        <v/>
      </c>
      <c r="AO404" s="22">
        <f>IF(I404&gt;=Upgrades!$E$17,"",Upgrades!$C$17*POWER(Upgrades!$D$17,I404))</f>
        <v/>
      </c>
      <c r="AP404" s="22">
        <f>IF(J404&gt;=Upgrades!$E$18,"",Upgrades!$C$18*POWER(Upgrades!$D$18,J404))</f>
        <v/>
      </c>
      <c r="AQ404" s="22">
        <f>IF(K404&gt;=Upgrades!$E$19,"",Upgrades!$C$19*POWER(Upgrades!$D$19,K404))</f>
        <v/>
      </c>
      <c r="AR404" s="22">
        <f>IF(L404&gt;=Upgrades!$E$20,"",Upgrades!$C$20*POWER(Upgrades!$D$20,L404))</f>
        <v/>
      </c>
      <c r="AS404" s="22">
        <f>IF(M404&gt;=Upgrades!$E$21,"",Upgrades!$C$21*POWER(Upgrades!$D$21,M404))</f>
        <v/>
      </c>
      <c r="AT404" s="26">
        <f>IF(AND(D404&gt;=Parameters!$B$18*Parameters!$B$19,(I404&gt;=Upgrades!$E$17)*(M404&gt;=Upgrades!$E$21)=1,N404=0),1,"")</f>
        <v/>
      </c>
      <c r="AU404" s="26">
        <f>IF(AND(D404&gt;=Parameters!$B$18*Parameters!$B$19,N404=0),1,"")</f>
        <v/>
      </c>
      <c r="AV404" s="22">
        <f>MIN(IF(ISNUMBER(AP404),AP404,9E15),IF(ISNUMBER(AQ404),AQ404,9E15),IF(ISNUMBER(AR404),AR404,9E15),IF(ISNUMBER(AS404),AS404,9E15))</f>
        <v/>
      </c>
      <c r="AW404" s="22">
        <f>MIN(IF(ISNUMBER(AK404),AK404,9E15),IF(ISNUMBER(AL404),AL404,9E15),IF(ISNUMBER(AM404),AM404,9E15),IF(ISNUMBER(AN404),AN404,9E15),IF(ISNUMBER(AO404),AO404,9E15))</f>
        <v/>
      </c>
      <c r="AX404" s="29">
        <f>IF(BD404&gt;Parameters!$B$21*(MAX(IF(AND(NOT(AND(AU404=1,AT404&lt;&gt;1)),ISNUMBER(AK404),AK404&lt;=(C404+T404)),AY404,0),IF(AND(NOT(AND(AU404=1,AT404&lt;&gt;1)),ISNUMBER(AL404),AL404&lt;=(C404+T404)),AZ404,0),IF(AND(NOT(AND(AU404=1,AT404&lt;&gt;1)),ISNUMBER(AM404),AM404&lt;=(C404+T404)),BA404,0),IF(AND(NOT(AND(AU404=1,AT404&lt;&gt;1)),ISNUMBER(AN404),AN404&lt;=(C404+T404)),BB404,0),IF(AND(ISNUMBER(AO404),AO404&lt;=(C404+T404)),BC404,0))),TRUE,FALSE)</f>
        <v/>
      </c>
      <c r="AY404" s="32">
        <f>IFERROR(Upgrades!$H$13*(POWER(Upgrades!$P$13,E404)*POWER(Upgrades!$P$14,F404)*POWER(Upgrades!$P$15,G404)*POWER(Upgrades!$P$16,H404)*POWER(Upgrades!$P$17,I404)*POWER(Upgrades!$P$18,J404)*POWER(Upgrades!$P$19,K404)*POWER(Upgrades!$P$20,L404)*POWER(Upgrades!$P$21,M404))*(IF(Upgrades!$T$14="Stellar Kinematics",POWER(Upgrades!$U$14,F404),1)*IF(Upgrades!$T$15="Stellar Kinematics",POWER(Upgrades!$U$15,G404),1)*IF(Upgrades!$T$16="Stellar Kinematics",POWER(Upgrades!$U$16,H404),1)*IF(Upgrades!$T$17="Stellar Kinematics",POWER(Upgrades!$U$17,I404),1)*IF(Upgrades!$T$18="Stellar Kinematics",POWER(Upgrades!$U$18,J404),1)*IF(Upgrades!$T$19="Stellar Kinematics",POWER(Upgrades!$U$19,K404),1)*IF(Upgrades!$T$20="Stellar Kinematics",POWER(Upgrades!$U$20,L404),1)*IF(Upgrades!$T$21="Stellar Kinematics",POWER(Upgrades!$U$21,M404),1))*$F$6/AK404,0)</f>
        <v/>
      </c>
      <c r="AZ404" s="32">
        <f>IFERROR(Upgrades!$H$14*(POWER(Upgrades!$P$13,E404)*POWER(Upgrades!$P$14,F404)*POWER(Upgrades!$P$15,G404)*POWER(Upgrades!$P$16,H404)*POWER(Upgrades!$P$17,I404)*POWER(Upgrades!$P$18,J404)*POWER(Upgrades!$P$19,K404)*POWER(Upgrades!$P$20,L404)*POWER(Upgrades!$P$21,M404))*(IF(Upgrades!$T$13="Local Bubble",POWER(Upgrades!$U$13,E404),1)*IF(Upgrades!$T$15="Local Bubble",POWER(Upgrades!$U$15,G404),1)*IF(Upgrades!$T$16="Local Bubble",POWER(Upgrades!$U$16,H404),1)*IF(Upgrades!$T$17="Local Bubble",POWER(Upgrades!$U$17,I404),1)*IF(Upgrades!$T$18="Local Bubble",POWER(Upgrades!$U$18,J404),1)*IF(Upgrades!$T$19="Local Bubble",POWER(Upgrades!$U$19,K404),1)*IF(Upgrades!$T$20="Local Bubble",POWER(Upgrades!$U$20,L404),1)*IF(Upgrades!$T$21="Local Bubble",POWER(Upgrades!$U$21,M404),1))*$F$6/AL404,0)</f>
        <v/>
      </c>
      <c r="BA404" s="32">
        <f>IFERROR(Upgrades!$K$15*(POWER(Upgrades!$Q$13,E404)*POWER(Upgrades!$Q$14,F404)*POWER(Upgrades!$Q$15,G404)*POWER(Upgrades!$Q$16,H404)*POWER(Upgrades!$Q$17,I404)*POWER(Upgrades!$Q$18,J404)*POWER(Upgrades!$Q$19,K404)*POWER(Upgrades!$Q$20,L404)*POWER(Upgrades!$Q$21,M404))*(IF(Upgrades!$T$13="Microlensing",POWER(Upgrades!$U$13,E404),1)*IF(Upgrades!$T$14="Microlensing",POWER(Upgrades!$U$14,F404),1)*IF(Upgrades!$T$16="Microlensing",POWER(Upgrades!$U$16,H404),1)*IF(Upgrades!$T$17="Microlensing",POWER(Upgrades!$U$17,I404),1)*IF(Upgrades!$T$18="Microlensing",POWER(Upgrades!$U$18,J404),1)*IF(Upgrades!$T$19="Microlensing",POWER(Upgrades!$U$19,K404),1)*IF(Upgrades!$T$20="Microlensing",POWER(Upgrades!$U$20,L404),1)*IF(Upgrades!$T$21="Microlensing",POWER(Upgrades!$U$21,M404),1))*$G$6*(Parameters!$B$10/60*Parameters!$B$11+Q404)/AM404,0)</f>
        <v/>
      </c>
      <c r="BB404" s="32">
        <f>IFERROR((Upgrades!$N$16*(POWER(Upgrades!$R$13,E404)*POWER(Upgrades!$R$14,F404)*POWER(Upgrades!$R$15,G404)*POWER(Upgrades!$R$16,H404)*POWER(Upgrades!$R$17,I404)*POWER(Upgrades!$R$18,J404)*POWER(Upgrades!$R$19,K404)*POWER(Upgrades!$R$20,L404)*POWER(Upgrades!$R$21,M404))*(IF(Upgrades!$T$13="Roche Lobe Overflow",POWER(Upgrades!$U$13,E404),1)*IF(Upgrades!$T$14="Roche Lobe Overflow",POWER(Upgrades!$U$14,F404),1)*IF(Upgrades!$T$15="Roche Lobe Overflow",POWER(Upgrades!$U$15,G404),1)*IF(Upgrades!$T$17="Roche Lobe Overflow",POWER(Upgrades!$U$17,I404),1)*IF(Upgrades!$T$18="Roche Lobe Overflow",POWER(Upgrades!$U$18,J404),1)*IF(Upgrades!$T$19="Roche Lobe Overflow",POWER(Upgrades!$U$19,K404),1)*IF(Upgrades!$T$20="Roche Lobe Overflow",POWER(Upgrades!$U$20,L404),1)*IF(Upgrades!$T$21="Roche Lobe Overflow",POWER(Upgrades!$U$21,M404),1))*$H$6*O404+((IF(F404=0,0,(Upgrades!$G$14+F404*Upgrades!$H$14)*POWER(Upgrades!$I$14,F404)))*(IF(Upgrades!$T$13="Local Bubble",POWER(Upgrades!$U$13,E404),1)*IF(Upgrades!$T$15="Local Bubble",POWER(Upgrades!$U$15,G404),1)*IF(Upgrades!$T$16="Local Bubble",POWER(Upgrades!$U$16,H404),1)*IF(Upgrades!$T$17="Local Bubble",POWER(Upgrades!$U$17,I404),1)*IF(Upgrades!$T$18="Local Bubble",POWER(Upgrades!$U$18,J404),1)*IF(Upgrades!$T$19="Local Bubble",POWER(Upgrades!$U$19,K404),1)*IF(Upgrades!$T$20="Local Bubble",POWER(Upgrades!$U$20,L404),1)*IF(Upgrades!$T$21="Local Bubble",POWER(Upgrades!$U$21,M404),1))*POWER(Upgrades!$P$13,E404)*POWER(Upgrades!$P$14,F404)*POWER(Upgrades!$P$15,G404)*POWER(Upgrades!$P$16,H404)*POWER(Upgrades!$P$17,I404)*POWER(Upgrades!$P$18,J404)*POWER(Upgrades!$P$19,K404)*POWER(Upgrades!$P$20,L404)*POWER(Upgrades!$P$21,M404)*$F$6)*0.05)/AN404,0)</f>
        <v/>
      </c>
      <c r="BC404" s="32">
        <f>IFERROR((Upgrades!$H$17*(POWER(Upgrades!$P$13,E404)*POWER(Upgrades!$P$14,F404)*POWER(Upgrades!$P$15,G404)*POWER(Upgrades!$P$16,H404)*POWER(Upgrades!$P$17,I404)*POWER(Upgrades!$P$18,J404)*POWER(Upgrades!$P$19,K404)*POWER(Upgrades!$P$20,L404)*POWER(Upgrades!$P$21,M404))*(IF(Upgrades!$T$13="Brown Dwarf",POWER(Upgrades!$U$13,E404),1)*IF(Upgrades!$T$14="Brown Dwarf",POWER(Upgrades!$U$14,F404),1)*IF(Upgrades!$T$15="Brown Dwarf",POWER(Upgrades!$U$15,G404),1)*IF(Upgrades!$T$16="Brown Dwarf",POWER(Upgrades!$U$16,H404),1)*IF(Upgrades!$T$18="Brown Dwarf",POWER(Upgrades!$U$18,J404),1)*IF(Upgrades!$T$19="Brown Dwarf",POWER(Upgrades!$U$19,K404),1)*IF(Upgrades!$T$20="Brown Dwarf",POWER(Upgrades!$U$20,L404),1)*IF(Upgrades!$T$21="Brown Dwarf",POWER(Upgrades!$U$21,M404),1))*$F$6+(((IF(H404=0,0,(Upgrades!$M$16+H404*Upgrades!$N$16)*POWER(Upgrades!$O$16,H404)))*(IF(Upgrades!$T$13="Roche Lobe Overflow",POWER(Upgrades!$U$13,E404),1)*IF(Upgrades!$T$14="Roche Lobe Overflow",POWER(Upgrades!$U$14,F404),1)*IF(Upgrades!$T$15="Roche Lobe Overflow",POWER(Upgrades!$U$15,G404),1)*IF(Upgrades!$T$17="Roche Lobe Overflow",POWER(Upgrades!$U$17,I404),1)*IF(Upgrades!$T$18="Roche Lobe Overflow",POWER(Upgrades!$U$18,J404),1)*IF(Upgrades!$T$19="Roche Lobe Overflow",POWER(Upgrades!$U$19,K404),1)*IF(Upgrades!$T$20="Roche Lobe Overflow",POWER(Upgrades!$U$20,L404),1)*IF(Upgrades!$T$21="Roche Lobe Overflow",POWER(Upgrades!$U$21,M404),1))*POWER(Upgrades!$R$13,E404)*POWER(Upgrades!$R$14,F404)*POWER(Upgrades!$R$15,G404)*POWER(Upgrades!$R$16,H404)*POWER(Upgrades!$R$17,I404)*POWER(Upgrades!$R$18,J404)*POWER(Upgrades!$R$19,K404)*POWER(Upgrades!$R$20,L404)*POWER(Upgrades!$R$21,M404)*$H$6)*O404)*0.10)/AO404,0)</f>
        <v/>
      </c>
      <c r="BD404" s="32">
        <f>MAX(IF(J404&gt;0,0,IFERROR(0.5*((IF(G404=0,0,(Upgrades!$J$15+G404*Upgrades!$K$15)*POWER(Upgrades!$L$15,G404)))*(IF(Upgrades!$T$13="Microlensing",POWER(Upgrades!$U$13,E404),1)*IF(Upgrades!$T$14="Microlensing",POWER(Upgrades!$U$14,F404),1)*IF(Upgrades!$T$16="Microlensing",POWER(Upgrades!$U$16,H404),1)*IF(Upgrades!$T$17="Microlensing",POWER(Upgrades!$U$17,I404),1)*IF(Upgrades!$T$18="Microlensing",POWER(Upgrades!$U$18,J404),1)*IF(Upgrades!$T$19="Microlensing",POWER(Upgrades!$U$19,K404),1)*IF(Upgrades!$T$20="Microlensing",POWER(Upgrades!$U$20,L404),1)*IF(Upgrades!$T$21="Microlensing",POWER(Upgrades!$U$21,M404),1))*(POWER(Upgrades!$Q$13,E404)*POWER(Upgrades!$Q$14,F404)*POWER(Upgrades!$Q$15,G404)*POWER(Upgrades!$Q$16,H404)*POWER(Upgrades!$Q$17,I404)*POWER(Upgrades!$Q$18,J404)*POWER(Upgrades!$Q$19,K404)*POWER(Upgrades!$Q$20,L404)*POWER(Upgrades!$Q$21,M404))*$G$6*(Parameters!$B$10/60*Parameters!$B$11+Q404))/Upgrades!$C$18,0)),IF(K404&gt;0,0,IFERROR(0.30*P404/Upgrades!$C$19,0)),IF(L404&gt;0,0,IFERROR(0.0001/Upgrades!$C$20,0)),IF(M404&gt;0,0,IFERROR((6.0*(POWER(Upgrades!$P$13,E404)*POWER(Upgrades!$P$14,F404)*POWER(Upgrades!$P$15,G404)*POWER(Upgrades!$P$16,H404)*POWER(Upgrades!$P$17,I404)*POWER(Upgrades!$P$18,J404)*POWER(Upgrades!$P$19,K404)*POWER(Upgrades!$P$20,L404)*POWER(Upgrades!$P$21,M404))*$F$6+0.20*O404*(Parameters!$B$10/60*Parameters!$B$11+Q404))/Upgrades!$C$21,0)),IF(AND(ISNUMBER(AK404),AK404&gt;(C404+T404)),AY404,0),IF(AND(ISNUMBER(AL404),AL404&gt;(C404+T404)),AZ404,0),IF(AND(ISNUMBER(AM404),AM404&gt;(C404+T404)),BA404,0),IF(AND(ISNUMBER(AN404),AN404&gt;(C404+T404)),BB404,0),IF(AND(ISNUMBER(AO404),AO404&gt;(C404+T404)),BC404,0))</f>
        <v/>
      </c>
      <c r="BE404" s="29">
        <f>IF(AT404=1,"transition",IF(MIN(IF(AND(J404=0,ISNUMBER(AP404),AP404&lt;=(C404+T404)),AP404,9E15),IF(AND(K404=0,ISNUMBER(AQ404),AQ404&lt;=(C404+T404)),AQ404,9E15),IF(AND(L404=0,ISNUMBER(AR404),AR404&lt;=(C404+T404)),AR404,9E15),IF(AND(M404=0,ISNUMBER(AS404),AS404&lt;=(C404+T404)),AS404,9E15))&lt;9E15,IF(AND(AND(J404=0,ISNUMBER(AP404),AP404&lt;=(C404+T404)),AP404=MIN(IF(AND(J404=0,ISNUMBER(AP404),AP404&lt;=(C404+T404)),AP404,9E15),IF(AND(K404=0,ISNUMBER(AQ404),AQ404&lt;=(C404+T404)),AQ404,9E15),IF(AND(L404=0,ISNUMBER(AR404),AR404&lt;=(C404+T404)),AR404,9E15),IF(AND(M404=0,ISNUMBER(AS404),AS404&lt;=(C404+T404)),AS404,9E15))),"BiP",IF(AND(AND(K404=0,ISNUMBER(AQ404),AQ404&lt;=(C404+T404)),AQ404=MIN(IF(AND(J404=0,ISNUMBER(AP404),AP404&lt;=(C404+T404)),AP404,9E15),IF(AND(K404=0,ISNUMBER(AQ404),AQ404&lt;=(C404+T404)),AQ404,9E15),IF(AND(L404=0,ISNUMBER(AR404),AR404&lt;=(C404+T404)),AR404,9E15),IF(AND(M404=0,ISNUMBER(AS404),AS404&lt;=(C404+T404)),AS404,9E15))),"PV",IF(AND(AND(L404=0,ISNUMBER(AR404),AR404&lt;=(C404+T404)),AR404=MIN(IF(AND(J404=0,ISNUMBER(AP404),AP404&lt;=(C404+T404)),AP404,9E15),IF(AND(K404=0,ISNUMBER(AQ404),AQ404&lt;=(C404+T404)),AQ404,9E15),IF(AND(L404=0,ISNUMBER(AR404),AR404&lt;=(C404+T404)),AR404,9E15),IF(AND(M404=0,ISNUMBER(AS404),AS404&lt;=(C404+T404)),AS404,9E15))),"OC","MG"))),IF(AX404=TRUE,"",IF(MAX(IF(AND(NOT(AND(AU404=1,AT404&lt;&gt;1)),ISNUMBER(AK404),AK404&lt;=(C404+T404)),AY404,0),IF(AND(NOT(AND(AU404=1,AT404&lt;&gt;1)),ISNUMBER(AL404),AL404&lt;=(C404+T404)),AZ404,0),IF(AND(NOT(AND(AU404=1,AT404&lt;&gt;1)),ISNUMBER(AM404),AM404&lt;=(C404+T404)),BA404,0),IF(AND(NOT(AND(AU404=1,AT404&lt;&gt;1)),ISNUMBER(AN404),AN404&lt;=(C404+T404)),BB404,0),IF(AND(ISNUMBER(AO404),AO404&lt;=(C404+T404)),BC404,0))&lt;=0,"",IF(AND(IF(AND(NOT(AND(AU404=1,AT404&lt;&gt;1)),ISNUMBER(AK404),AK404&lt;=(C404+T404)),AY404,0)&gt;0,IF(AND(NOT(AND(AU404=1,AT404&lt;&gt;1)),ISNUMBER(AK404),AK404&lt;=(C404+T404)),AY404,0)=MAX(IF(AND(NOT(AND(AU404=1,AT404&lt;&gt;1)),ISNUMBER(AK404),AK404&lt;=(C404+T404)),AY404,0),IF(AND(NOT(AND(AU404=1,AT404&lt;&gt;1)),ISNUMBER(AL404),AL404&lt;=(C404+T404)),AZ404,0),IF(AND(NOT(AND(AU404=1,AT404&lt;&gt;1)),ISNUMBER(AM404),AM404&lt;=(C404+T404)),BA404,0),IF(AND(NOT(AND(AU404=1,AT404&lt;&gt;1)),ISNUMBER(AN404),AN404&lt;=(C404+T404)),BB404,0),IF(AND(ISNUMBER(AO404),AO404&lt;=(C404+T404)),BC404,0))),"SK",IF(AND(IF(AND(NOT(AND(AU404=1,AT404&lt;&gt;1)),ISNUMBER(AL404),AL404&lt;=(C404+T404)),AZ404,0)&gt;0,IF(AND(NOT(AND(AU404=1,AT404&lt;&gt;1)),ISNUMBER(AL404),AL404&lt;=(C404+T404)),AZ404,0)=MAX(IF(AND(NOT(AND(AU404=1,AT404&lt;&gt;1)),ISNUMBER(AK404),AK404&lt;=(C404+T404)),AY404,0),IF(AND(NOT(AND(AU404=1,AT404&lt;&gt;1)),ISNUMBER(AL404),AL404&lt;=(C404+T404)),AZ404,0),IF(AND(NOT(AND(AU404=1,AT404&lt;&gt;1)),ISNUMBER(AM404),AM404&lt;=(C404+T404)),BA404,0),IF(AND(NOT(AND(AU404=1,AT404&lt;&gt;1)),ISNUMBER(AN404),AN404&lt;=(C404+T404)),BB404,0),IF(AND(ISNUMBER(AO404),AO404&lt;=(C404+T404)),BC404,0))),"LB",IF(AND(IF(AND(NOT(AND(AU404=1,AT404&lt;&gt;1)),ISNUMBER(AM404),AM404&lt;=(C404+T404)),BA404,0)&gt;0,IF(AND(NOT(AND(AU404=1,AT404&lt;&gt;1)),ISNUMBER(AM404),AM404&lt;=(C404+T404)),BA404,0)=MAX(IF(AND(NOT(AND(AU404=1,AT404&lt;&gt;1)),ISNUMBER(AK404),AK404&lt;=(C404+T404)),AY404,0),IF(AND(NOT(AND(AU404=1,AT404&lt;&gt;1)),ISNUMBER(AL404),AL404&lt;=(C404+T404)),AZ404,0),IF(AND(NOT(AND(AU404=1,AT404&lt;&gt;1)),ISNUMBER(AM404),AM404&lt;=(C404+T404)),BA404,0),IF(AND(NOT(AND(AU404=1,AT404&lt;&gt;1)),ISNUMBER(AN404),AN404&lt;=(C404+T404)),BB404,0),IF(AND(ISNUMBER(AO404),AO404&lt;=(C404+T404)),BC404,0))),"ML",IF(AND(IF(AND(NOT(AND(AU404=1,AT404&lt;&gt;1)),ISNUMBER(AN404),AN404&lt;=(C404+T404)),BB404,0)&gt;0,IF(AND(NOT(AND(AU404=1,AT404&lt;&gt;1)),ISNUMBER(AN404),AN404&lt;=(C404+T404)),BB404,0)=MAX(IF(AND(NOT(AND(AU404=1,AT404&lt;&gt;1)),ISNUMBER(AK404),AK404&lt;=(C404+T404)),AY404,0),IF(AND(NOT(AND(AU404=1,AT404&lt;&gt;1)),ISNUMBER(AL404),AL404&lt;=(C404+T404)),AZ404,0),IF(AND(NOT(AND(AU404=1,AT404&lt;&gt;1)),ISNUMBER(AM404),AM404&lt;=(C404+T404)),BA404,0),IF(AND(NOT(AND(AU404=1,AT404&lt;&gt;1)),ISNUMBER(AN404),AN404&lt;=(C404+T404)),BB404,0),IF(AND(ISNUMBER(AO404),AO404&lt;=(C404+T404)),BC404,0))),"RLO","BD"))))))))</f>
        <v/>
      </c>
    </row>
    <row r="405">
      <c r="A405" s="26" t="n">
        <v>394</v>
      </c>
      <c r="B405" s="27">
        <f>A405*10/60</f>
        <v/>
      </c>
      <c r="C405" s="22">
        <f>X404</f>
        <v/>
      </c>
      <c r="D405" s="27">
        <f>D404+W404</f>
        <v/>
      </c>
      <c r="E405" s="26">
        <f>E404+IF(U404="SK",1,0)</f>
        <v/>
      </c>
      <c r="F405" s="26">
        <f>F404+IF(U404="LB",1,0)</f>
        <v/>
      </c>
      <c r="G405" s="26">
        <f>G404+IF(U404="ML",1,0)</f>
        <v/>
      </c>
      <c r="H405" s="26">
        <f>H404+IF(U404="RLO",1,0)</f>
        <v/>
      </c>
      <c r="I405" s="26">
        <f>I404+IF(U404="BD",1,0)</f>
        <v/>
      </c>
      <c r="J405" s="26">
        <f>MAX(J404,IF(U404="BiP",1,0))</f>
        <v/>
      </c>
      <c r="K405" s="26">
        <f>MAX(K404,IF(U404="PV",1,0))</f>
        <v/>
      </c>
      <c r="L405" s="26">
        <f>MAX(L404,IF(U404="OC",1,0))</f>
        <v/>
      </c>
      <c r="M405" s="26">
        <f>MAX(M404,IF(U404="MG",1,0))</f>
        <v/>
      </c>
      <c r="N405" s="26">
        <f>MAX(N404,IF(U404="transition",1,0))</f>
        <v/>
      </c>
      <c r="O405" s="28">
        <f>(Parameters!$B$9+(IF(E405=0,0,(Upgrades!$J$13+E405*Upgrades!$K$13)*POWER(Upgrades!$L$13,E405)))*(IF(Upgrades!$T$14="Stellar Kinematics",POWER(Upgrades!$U$14,F405),1)*IF(Upgrades!$T$15="Stellar Kinematics",POWER(Upgrades!$U$15,G405),1)*IF(Upgrades!$T$16="Stellar Kinematics",POWER(Upgrades!$U$16,H405),1)*IF(Upgrades!$T$17="Stellar Kinematics",POWER(Upgrades!$U$17,I405),1)*IF(Upgrades!$T$18="Stellar Kinematics",POWER(Upgrades!$U$18,J405),1)*IF(Upgrades!$T$19="Stellar Kinematics",POWER(Upgrades!$U$19,K405),1)*IF(Upgrades!$T$20="Stellar Kinematics",POWER(Upgrades!$U$20,L405),1)*IF(Upgrades!$T$21="Stellar Kinematics",POWER(Upgrades!$U$21,M405),1))+(IF(F405=0,0,(Upgrades!$J$14+F405*Upgrades!$K$14)*POWER(Upgrades!$L$14,F405)))*(IF(Upgrades!$T$13="Local Bubble",POWER(Upgrades!$U$13,E405),1)*IF(Upgrades!$T$15="Local Bubble",POWER(Upgrades!$U$15,G405),1)*IF(Upgrades!$T$16="Local Bubble",POWER(Upgrades!$U$16,H405),1)*IF(Upgrades!$T$17="Local Bubble",POWER(Upgrades!$U$17,I405),1)*IF(Upgrades!$T$18="Local Bubble",POWER(Upgrades!$U$18,J405),1)*IF(Upgrades!$T$19="Local Bubble",POWER(Upgrades!$U$19,K405),1)*IF(Upgrades!$T$20="Local Bubble",POWER(Upgrades!$U$20,L405),1)*IF(Upgrades!$T$21="Local Bubble",POWER(Upgrades!$U$21,M405),1))+(IF(G405=0,0,(Upgrades!$J$15+G405*Upgrades!$K$15)*POWER(Upgrades!$L$15,G405)))*(IF(Upgrades!$T$13="Microlensing",POWER(Upgrades!$U$13,E405),1)*IF(Upgrades!$T$14="Microlensing",POWER(Upgrades!$U$14,F405),1)*IF(Upgrades!$T$16="Microlensing",POWER(Upgrades!$U$16,H405),1)*IF(Upgrades!$T$17="Microlensing",POWER(Upgrades!$U$17,I405),1)*IF(Upgrades!$T$18="Microlensing",POWER(Upgrades!$U$18,J405),1)*IF(Upgrades!$T$19="Microlensing",POWER(Upgrades!$U$19,K405),1)*IF(Upgrades!$T$20="Microlensing",POWER(Upgrades!$U$20,L405),1)*IF(Upgrades!$T$21="Microlensing",POWER(Upgrades!$U$21,M405),1))+(IF(H405=0,0,(Upgrades!$J$16+H405*Upgrades!$K$16)*POWER(Upgrades!$L$16,H405)))*(IF(Upgrades!$T$13="Roche Lobe Overflow",POWER(Upgrades!$U$13,E405),1)*IF(Upgrades!$T$14="Roche Lobe Overflow",POWER(Upgrades!$U$14,F405),1)*IF(Upgrades!$T$15="Roche Lobe Overflow",POWER(Upgrades!$U$15,G405),1)*IF(Upgrades!$T$17="Roche Lobe Overflow",POWER(Upgrades!$U$17,I405),1)*IF(Upgrades!$T$18="Roche Lobe Overflow",POWER(Upgrades!$U$18,J405),1)*IF(Upgrades!$T$19="Roche Lobe Overflow",POWER(Upgrades!$U$19,K405),1)*IF(Upgrades!$T$20="Roche Lobe Overflow",POWER(Upgrades!$U$20,L405),1)*IF(Upgrades!$T$21="Roche Lobe Overflow",POWER(Upgrades!$U$21,M405),1))+(IF(I405=0,0,(Upgrades!$J$17+I405*Upgrades!$K$17)*POWER(Upgrades!$L$17,I405)))*(IF(Upgrades!$T$13="Brown Dwarf",POWER(Upgrades!$U$13,E405),1)*IF(Upgrades!$T$14="Brown Dwarf",POWER(Upgrades!$U$14,F405),1)*IF(Upgrades!$T$15="Brown Dwarf",POWER(Upgrades!$U$15,G405),1)*IF(Upgrades!$T$16="Brown Dwarf",POWER(Upgrades!$U$16,H405),1)*IF(Upgrades!$T$18="Brown Dwarf",POWER(Upgrades!$U$18,J405),1)*IF(Upgrades!$T$19="Brown Dwarf",POWER(Upgrades!$U$19,K405),1)*IF(Upgrades!$T$20="Brown Dwarf",POWER(Upgrades!$U$20,L405),1)*IF(Upgrades!$T$21="Brown Dwarf",POWER(Upgrades!$U$21,M405),1))+(IF(J405=0,0,(Upgrades!$J$18+J405*Upgrades!$K$18)*POWER(Upgrades!$L$18,J405)))*(IF(Upgrades!$T$13="Binary Partner",POWER(Upgrades!$U$13,E405),1)*IF(Upgrades!$T$14="Binary Partner",POWER(Upgrades!$U$14,F405),1)*IF(Upgrades!$T$15="Binary Partner",POWER(Upgrades!$U$15,G405),1)*IF(Upgrades!$T$16="Binary Partner",POWER(Upgrades!$U$16,H405),1)*IF(Upgrades!$T$17="Binary Partner",POWER(Upgrades!$U$17,I405),1)*IF(Upgrades!$T$19="Binary Partner",POWER(Upgrades!$U$19,K405),1)*IF(Upgrades!$T$20="Binary Partner",POWER(Upgrades!$U$20,L405),1)*IF(Upgrades!$T$21="Binary Partner",POWER(Upgrades!$U$21,M405),1))+(IF(K405=0,0,(Upgrades!$J$19+K405*Upgrades!$K$19)*POWER(Upgrades!$L$19,K405)))*(IF(Upgrades!$T$13="Peculiar Velocity",POWER(Upgrades!$U$13,E405),1)*IF(Upgrades!$T$14="Peculiar Velocity",POWER(Upgrades!$U$14,F405),1)*IF(Upgrades!$T$15="Peculiar Velocity",POWER(Upgrades!$U$15,G405),1)*IF(Upgrades!$T$16="Peculiar Velocity",POWER(Upgrades!$U$16,H405),1)*IF(Upgrades!$T$17="Peculiar Velocity",POWER(Upgrades!$U$17,I405),1)*IF(Upgrades!$T$18="Peculiar Velocity",POWER(Upgrades!$U$18,J405),1)*IF(Upgrades!$T$20="Peculiar Velocity",POWER(Upgrades!$U$20,L405),1)*IF(Upgrades!$T$21="Peculiar Velocity",POWER(Upgrades!$U$21,M405),1))+(IF(L405=0,0,(Upgrades!$J$20+L405*Upgrades!$K$20)*POWER(Upgrades!$L$20,L405)))*(IF(Upgrades!$T$13="Open Cluster",POWER(Upgrades!$U$13,E405),1)*IF(Upgrades!$T$14="Open Cluster",POWER(Upgrades!$U$14,F405),1)*IF(Upgrades!$T$15="Open Cluster",POWER(Upgrades!$U$15,G405),1)*IF(Upgrades!$T$16="Open Cluster",POWER(Upgrades!$U$16,H405),1)*IF(Upgrades!$T$17="Open Cluster",POWER(Upgrades!$U$17,I405),1)*IF(Upgrades!$T$18="Open Cluster",POWER(Upgrades!$U$18,J405),1)*IF(Upgrades!$T$19="Open Cluster",POWER(Upgrades!$U$19,K405),1)*IF(Upgrades!$T$21="Open Cluster",POWER(Upgrades!$U$21,M405),1))+(IF(M405=0,0,(Upgrades!$J$21+M405*Upgrades!$K$21)*POWER(Upgrades!$L$21,M405)))*(IF(Upgrades!$T$13="Moving Group",POWER(Upgrades!$U$13,E405),1)*IF(Upgrades!$T$14="Moving Group",POWER(Upgrades!$U$14,F405),1)*IF(Upgrades!$T$15="Moving Group",POWER(Upgrades!$U$15,G405),1)*IF(Upgrades!$T$16="Moving Group",POWER(Upgrades!$U$16,H405),1)*IF(Upgrades!$T$17="Moving Group",POWER(Upgrades!$U$17,I405),1)*IF(Upgrades!$T$18="Moving Group",POWER(Upgrades!$U$18,J405),1)*IF(Upgrades!$T$19="Moving Group",POWER(Upgrades!$U$19,K405),1)*IF(Upgrades!$T$20="Moving Group",POWER(Upgrades!$U$20,L405),1)))*POWER(Upgrades!$Q$13,E405)*POWER(Upgrades!$Q$14,F405)*POWER(Upgrades!$Q$15,G405)*POWER(Upgrades!$Q$16,H405)*POWER(Upgrades!$Q$17,I405)*POWER(Upgrades!$Q$18,J405)*POWER(Upgrades!$Q$19,K405)*POWER(Upgrades!$Q$20,L405)*POWER(Upgrades!$Q$21,M405)*$G$6+$D$6</f>
        <v/>
      </c>
      <c r="P405" s="28">
        <f>((IF(E405=0,0,(Upgrades!$G$13+E405*Upgrades!$H$13)*POWER(Upgrades!$I$13,E405)))*(IF(Upgrades!$T$14="Stellar Kinematics",POWER(Upgrades!$U$14,F405),1)*IF(Upgrades!$T$15="Stellar Kinematics",POWER(Upgrades!$U$15,G405),1)*IF(Upgrades!$T$16="Stellar Kinematics",POWER(Upgrades!$U$16,H405),1)*IF(Upgrades!$T$17="Stellar Kinematics",POWER(Upgrades!$U$17,I405),1)*IF(Upgrades!$T$18="Stellar Kinematics",POWER(Upgrades!$U$18,J405),1)*IF(Upgrades!$T$19="Stellar Kinematics",POWER(Upgrades!$U$19,K405),1)*IF(Upgrades!$T$20="Stellar Kinematics",POWER(Upgrades!$U$20,L405),1)*IF(Upgrades!$T$21="Stellar Kinematics",POWER(Upgrades!$U$21,M405),1))+(IF(F405=0,0,(Upgrades!$G$14+F405*Upgrades!$H$14)*POWER(Upgrades!$I$14,F405)))*(IF(Upgrades!$T$13="Local Bubble",POWER(Upgrades!$U$13,E405),1)*IF(Upgrades!$T$15="Local Bubble",POWER(Upgrades!$U$15,G405),1)*IF(Upgrades!$T$16="Local Bubble",POWER(Upgrades!$U$16,H405),1)*IF(Upgrades!$T$17="Local Bubble",POWER(Upgrades!$U$17,I405),1)*IF(Upgrades!$T$18="Local Bubble",POWER(Upgrades!$U$18,J405),1)*IF(Upgrades!$T$19="Local Bubble",POWER(Upgrades!$U$19,K405),1)*IF(Upgrades!$T$20="Local Bubble",POWER(Upgrades!$U$20,L405),1)*IF(Upgrades!$T$21="Local Bubble",POWER(Upgrades!$U$21,M405),1))+(IF(G405=0,0,(Upgrades!$G$15+G405*Upgrades!$H$15)*POWER(Upgrades!$I$15,G405)))*(IF(Upgrades!$T$13="Microlensing",POWER(Upgrades!$U$13,E405),1)*IF(Upgrades!$T$14="Microlensing",POWER(Upgrades!$U$14,F405),1)*IF(Upgrades!$T$16="Microlensing",POWER(Upgrades!$U$16,H405),1)*IF(Upgrades!$T$17="Microlensing",POWER(Upgrades!$U$17,I405),1)*IF(Upgrades!$T$18="Microlensing",POWER(Upgrades!$U$18,J405),1)*IF(Upgrades!$T$19="Microlensing",POWER(Upgrades!$U$19,K405),1)*IF(Upgrades!$T$20="Microlensing",POWER(Upgrades!$U$20,L405),1)*IF(Upgrades!$T$21="Microlensing",POWER(Upgrades!$U$21,M405),1))+(IF(H405=0,0,(Upgrades!$G$16+H405*Upgrades!$H$16)*POWER(Upgrades!$I$16,H405)))*(IF(Upgrades!$T$13="Roche Lobe Overflow",POWER(Upgrades!$U$13,E405),1)*IF(Upgrades!$T$14="Roche Lobe Overflow",POWER(Upgrades!$U$14,F405),1)*IF(Upgrades!$T$15="Roche Lobe Overflow",POWER(Upgrades!$U$15,G405),1)*IF(Upgrades!$T$17="Roche Lobe Overflow",POWER(Upgrades!$U$17,I405),1)*IF(Upgrades!$T$18="Roche Lobe Overflow",POWER(Upgrades!$U$18,J405),1)*IF(Upgrades!$T$19="Roche Lobe Overflow",POWER(Upgrades!$U$19,K405),1)*IF(Upgrades!$T$20="Roche Lobe Overflow",POWER(Upgrades!$U$20,L405),1)*IF(Upgrades!$T$21="Roche Lobe Overflow",POWER(Upgrades!$U$21,M405),1))+(IF(I405=0,0,(Upgrades!$G$17+I405*Upgrades!$H$17)*POWER(Upgrades!$I$17,I405)))*(IF(Upgrades!$T$13="Brown Dwarf",POWER(Upgrades!$U$13,E405),1)*IF(Upgrades!$T$14="Brown Dwarf",POWER(Upgrades!$U$14,F405),1)*IF(Upgrades!$T$15="Brown Dwarf",POWER(Upgrades!$U$15,G405),1)*IF(Upgrades!$T$16="Brown Dwarf",POWER(Upgrades!$U$16,H405),1)*IF(Upgrades!$T$18="Brown Dwarf",POWER(Upgrades!$U$18,J405),1)*IF(Upgrades!$T$19="Brown Dwarf",POWER(Upgrades!$U$19,K405),1)*IF(Upgrades!$T$20="Brown Dwarf",POWER(Upgrades!$U$20,L405),1)*IF(Upgrades!$T$21="Brown Dwarf",POWER(Upgrades!$U$21,M405),1))+(IF(J405=0,0,(Upgrades!$G$18+J405*Upgrades!$H$18)*POWER(Upgrades!$I$18,J405)))*(IF(Upgrades!$T$13="Binary Partner",POWER(Upgrades!$U$13,E405),1)*IF(Upgrades!$T$14="Binary Partner",POWER(Upgrades!$U$14,F405),1)*IF(Upgrades!$T$15="Binary Partner",POWER(Upgrades!$U$15,G405),1)*IF(Upgrades!$T$16="Binary Partner",POWER(Upgrades!$U$16,H405),1)*IF(Upgrades!$T$17="Binary Partner",POWER(Upgrades!$U$17,I405),1)*IF(Upgrades!$T$19="Binary Partner",POWER(Upgrades!$U$19,K405),1)*IF(Upgrades!$T$20="Binary Partner",POWER(Upgrades!$U$20,L405),1)*IF(Upgrades!$T$21="Binary Partner",POWER(Upgrades!$U$21,M405),1))+(IF(K405=0,0,(Upgrades!$G$19+K405*Upgrades!$H$19)*POWER(Upgrades!$I$19,K405)))*(IF(Upgrades!$T$13="Peculiar Velocity",POWER(Upgrades!$U$13,E405),1)*IF(Upgrades!$T$14="Peculiar Velocity",POWER(Upgrades!$U$14,F405),1)*IF(Upgrades!$T$15="Peculiar Velocity",POWER(Upgrades!$U$15,G405),1)*IF(Upgrades!$T$16="Peculiar Velocity",POWER(Upgrades!$U$16,H405),1)*IF(Upgrades!$T$17="Peculiar Velocity",POWER(Upgrades!$U$17,I405),1)*IF(Upgrades!$T$18="Peculiar Velocity",POWER(Upgrades!$U$18,J405),1)*IF(Upgrades!$T$20="Peculiar Velocity",POWER(Upgrades!$U$20,L405),1)*IF(Upgrades!$T$21="Peculiar Velocity",POWER(Upgrades!$U$21,M405),1))+(IF(L405=0,0,(Upgrades!$G$20+L405*Upgrades!$H$20)*POWER(Upgrades!$I$20,L405)))*(IF(Upgrades!$T$13="Open Cluster",POWER(Upgrades!$U$13,E405),1)*IF(Upgrades!$T$14="Open Cluster",POWER(Upgrades!$U$14,F405),1)*IF(Upgrades!$T$15="Open Cluster",POWER(Upgrades!$U$15,G405),1)*IF(Upgrades!$T$16="Open Cluster",POWER(Upgrades!$U$16,H405),1)*IF(Upgrades!$T$17="Open Cluster",POWER(Upgrades!$U$17,I405),1)*IF(Upgrades!$T$18="Open Cluster",POWER(Upgrades!$U$18,J405),1)*IF(Upgrades!$T$19="Open Cluster",POWER(Upgrades!$U$19,K405),1)*IF(Upgrades!$T$21="Open Cluster",POWER(Upgrades!$U$21,M405),1))+(IF(M405=0,0,(Upgrades!$G$21+M405*Upgrades!$H$21)*POWER(Upgrades!$I$21,M405)))*(IF(Upgrades!$T$13="Moving Group",POWER(Upgrades!$U$13,E405),1)*IF(Upgrades!$T$14="Moving Group",POWER(Upgrades!$U$14,F405),1)*IF(Upgrades!$T$15="Moving Group",POWER(Upgrades!$U$15,G405),1)*IF(Upgrades!$T$16="Moving Group",POWER(Upgrades!$U$16,H405),1)*IF(Upgrades!$T$17="Moving Group",POWER(Upgrades!$U$17,I405),1)*IF(Upgrades!$T$18="Moving Group",POWER(Upgrades!$U$18,J405),1)*IF(Upgrades!$T$19="Moving Group",POWER(Upgrades!$U$19,K405),1)*IF(Upgrades!$T$20="Moving Group",POWER(Upgrades!$U$20,L405),1)))*POWER(Upgrades!$P$13,E405)*POWER(Upgrades!$P$14,F405)*POWER(Upgrades!$P$15,G405)*POWER(Upgrades!$P$16,H405)*POWER(Upgrades!$P$17,I405)*POWER(Upgrades!$P$18,J405)*POWER(Upgrades!$P$19,K405)*POWER(Upgrades!$P$20,L405)*POWER(Upgrades!$P$21,M405)*$F$6+$C$6</f>
        <v/>
      </c>
      <c r="Q405" s="28">
        <f>((IF(E405=0,0,(Upgrades!$M$13+E405*Upgrades!$N$13)*POWER(Upgrades!$O$13,E405)))*(IF(Upgrades!$T$14="Stellar Kinematics",POWER(Upgrades!$U$14,F405),1)*IF(Upgrades!$T$15="Stellar Kinematics",POWER(Upgrades!$U$15,G405),1)*IF(Upgrades!$T$16="Stellar Kinematics",POWER(Upgrades!$U$16,H405),1)*IF(Upgrades!$T$17="Stellar Kinematics",POWER(Upgrades!$U$17,I405),1)*IF(Upgrades!$T$18="Stellar Kinematics",POWER(Upgrades!$U$18,J405),1)*IF(Upgrades!$T$19="Stellar Kinematics",POWER(Upgrades!$U$19,K405),1)*IF(Upgrades!$T$20="Stellar Kinematics",POWER(Upgrades!$U$20,L405),1)*IF(Upgrades!$T$21="Stellar Kinematics",POWER(Upgrades!$U$21,M405),1))+(IF(F405=0,0,(Upgrades!$M$14+F405*Upgrades!$N$14)*POWER(Upgrades!$O$14,F405)))*(IF(Upgrades!$T$13="Local Bubble",POWER(Upgrades!$U$13,E405),1)*IF(Upgrades!$T$15="Local Bubble",POWER(Upgrades!$U$15,G405),1)*IF(Upgrades!$T$16="Local Bubble",POWER(Upgrades!$U$16,H405),1)*IF(Upgrades!$T$17="Local Bubble",POWER(Upgrades!$U$17,I405),1)*IF(Upgrades!$T$18="Local Bubble",POWER(Upgrades!$U$18,J405),1)*IF(Upgrades!$T$19="Local Bubble",POWER(Upgrades!$U$19,K405),1)*IF(Upgrades!$T$20="Local Bubble",POWER(Upgrades!$U$20,L405),1)*IF(Upgrades!$T$21="Local Bubble",POWER(Upgrades!$U$21,M405),1))+(IF(G405=0,0,(Upgrades!$M$15+G405*Upgrades!$N$15)*POWER(Upgrades!$O$15,G405)))*(IF(Upgrades!$T$13="Microlensing",POWER(Upgrades!$U$13,E405),1)*IF(Upgrades!$T$14="Microlensing",POWER(Upgrades!$U$14,F405),1)*IF(Upgrades!$T$16="Microlensing",POWER(Upgrades!$U$16,H405),1)*IF(Upgrades!$T$17="Microlensing",POWER(Upgrades!$U$17,I405),1)*IF(Upgrades!$T$18="Microlensing",POWER(Upgrades!$U$18,J405),1)*IF(Upgrades!$T$19="Microlensing",POWER(Upgrades!$U$19,K405),1)*IF(Upgrades!$T$20="Microlensing",POWER(Upgrades!$U$20,L405),1)*IF(Upgrades!$T$21="Microlensing",POWER(Upgrades!$U$21,M405),1))+(IF(H405=0,0,(Upgrades!$M$16+H405*Upgrades!$N$16)*POWER(Upgrades!$O$16,H405)))*(IF(Upgrades!$T$13="Roche Lobe Overflow",POWER(Upgrades!$U$13,E405),1)*IF(Upgrades!$T$14="Roche Lobe Overflow",POWER(Upgrades!$U$14,F405),1)*IF(Upgrades!$T$15="Roche Lobe Overflow",POWER(Upgrades!$U$15,G405),1)*IF(Upgrades!$T$17="Roche Lobe Overflow",POWER(Upgrades!$U$17,I405),1)*IF(Upgrades!$T$18="Roche Lobe Overflow",POWER(Upgrades!$U$18,J405),1)*IF(Upgrades!$T$19="Roche Lobe Overflow",POWER(Upgrades!$U$19,K405),1)*IF(Upgrades!$T$20="Roche Lobe Overflow",POWER(Upgrades!$U$20,L405),1)*IF(Upgrades!$T$21="Roche Lobe Overflow",POWER(Upgrades!$U$21,M405),1))+(IF(I405=0,0,(Upgrades!$M$17+I405*Upgrades!$N$17)*POWER(Upgrades!$O$17,I405)))*(IF(Upgrades!$T$13="Brown Dwarf",POWER(Upgrades!$U$13,E405),1)*IF(Upgrades!$T$14="Brown Dwarf",POWER(Upgrades!$U$14,F405),1)*IF(Upgrades!$T$15="Brown Dwarf",POWER(Upgrades!$U$15,G405),1)*IF(Upgrades!$T$16="Brown Dwarf",POWER(Upgrades!$U$16,H405),1)*IF(Upgrades!$T$18="Brown Dwarf",POWER(Upgrades!$U$18,J405),1)*IF(Upgrades!$T$19="Brown Dwarf",POWER(Upgrades!$U$19,K405),1)*IF(Upgrades!$T$20="Brown Dwarf",POWER(Upgrades!$U$20,L405),1)*IF(Upgrades!$T$21="Brown Dwarf",POWER(Upgrades!$U$21,M405),1))+(IF(J405=0,0,(Upgrades!$M$18+J405*Upgrades!$N$18)*POWER(Upgrades!$O$18,J405)))*(IF(Upgrades!$T$13="Binary Partner",POWER(Upgrades!$U$13,E405),1)*IF(Upgrades!$T$14="Binary Partner",POWER(Upgrades!$U$14,F405),1)*IF(Upgrades!$T$15="Binary Partner",POWER(Upgrades!$U$15,G405),1)*IF(Upgrades!$T$16="Binary Partner",POWER(Upgrades!$U$16,H405),1)*IF(Upgrades!$T$17="Binary Partner",POWER(Upgrades!$U$17,I405),1)*IF(Upgrades!$T$19="Binary Partner",POWER(Upgrades!$U$19,K405),1)*IF(Upgrades!$T$20="Binary Partner",POWER(Upgrades!$U$20,L405),1)*IF(Upgrades!$T$21="Binary Partner",POWER(Upgrades!$U$21,M405),1))+(IF(K405=0,0,(Upgrades!$M$19+K405*Upgrades!$N$19)*POWER(Upgrades!$O$19,K405)))*(IF(Upgrades!$T$13="Peculiar Velocity",POWER(Upgrades!$U$13,E405),1)*IF(Upgrades!$T$14="Peculiar Velocity",POWER(Upgrades!$U$14,F405),1)*IF(Upgrades!$T$15="Peculiar Velocity",POWER(Upgrades!$U$15,G405),1)*IF(Upgrades!$T$16="Peculiar Velocity",POWER(Upgrades!$U$16,H405),1)*IF(Upgrades!$T$17="Peculiar Velocity",POWER(Upgrades!$U$17,I405),1)*IF(Upgrades!$T$18="Peculiar Velocity",POWER(Upgrades!$U$18,J405),1)*IF(Upgrades!$T$20="Peculiar Velocity",POWER(Upgrades!$U$20,L405),1)*IF(Upgrades!$T$21="Peculiar Velocity",POWER(Upgrades!$U$21,M405),1))+(IF(L405=0,0,(Upgrades!$M$20+L405*Upgrades!$N$20)*POWER(Upgrades!$O$20,L405)))*(IF(Upgrades!$T$13="Open Cluster",POWER(Upgrades!$U$13,E405),1)*IF(Upgrades!$T$14="Open Cluster",POWER(Upgrades!$U$14,F405),1)*IF(Upgrades!$T$15="Open Cluster",POWER(Upgrades!$U$15,G405),1)*IF(Upgrades!$T$16="Open Cluster",POWER(Upgrades!$U$16,H405),1)*IF(Upgrades!$T$17="Open Cluster",POWER(Upgrades!$U$17,I405),1)*IF(Upgrades!$T$18="Open Cluster",POWER(Upgrades!$U$18,J405),1)*IF(Upgrades!$T$19="Open Cluster",POWER(Upgrades!$U$19,K405),1)*IF(Upgrades!$T$21="Open Cluster",POWER(Upgrades!$U$21,M405),1))+(IF(M405=0,0,(Upgrades!$M$21+M405*Upgrades!$N$21)*POWER(Upgrades!$O$21,M405)))*(IF(Upgrades!$T$13="Moving Group",POWER(Upgrades!$U$13,E405),1)*IF(Upgrades!$T$14="Moving Group",POWER(Upgrades!$U$14,F405),1)*IF(Upgrades!$T$15="Moving Group",POWER(Upgrades!$U$15,G405),1)*IF(Upgrades!$T$16="Moving Group",POWER(Upgrades!$U$16,H405),1)*IF(Upgrades!$T$17="Moving Group",POWER(Upgrades!$U$17,I405),1)*IF(Upgrades!$T$18="Moving Group",POWER(Upgrades!$U$18,J405),1)*IF(Upgrades!$T$19="Moving Group",POWER(Upgrades!$U$19,K405),1)*IF(Upgrades!$T$20="Moving Group",POWER(Upgrades!$U$20,L405),1)))*POWER(Upgrades!$R$13,E405)*POWER(Upgrades!$R$14,F405)*POWER(Upgrades!$R$15,G405)*POWER(Upgrades!$R$16,H405)*POWER(Upgrades!$R$17,I405)*POWER(Upgrades!$R$18,J405)*POWER(Upgrades!$R$19,K405)*POWER(Upgrades!$R$20,L405)*POWER(Upgrades!$R$21,M405)*$H$6+$E$6</f>
        <v/>
      </c>
      <c r="R405" s="27">
        <f>IF(N405=1,0,O405*Parameters!$B$10/60*Parameters!$B$11*10)</f>
        <v/>
      </c>
      <c r="S405" s="27">
        <f>IF(N405=1,0,Q405*O405*10)</f>
        <v/>
      </c>
      <c r="T405" s="27">
        <f>IF(N405=1,0,R405+S405+P405*10)</f>
        <v/>
      </c>
      <c r="U405" s="33">
        <f>BE405</f>
        <v/>
      </c>
      <c r="V405" s="22">
        <f>IF(U405="",0,IF(U405="transition",0,IF(U405="SK",AK405,IF(U405="LB",AL405,IF(U405="ML",AM405,IF(U405="RLO",AN405,IF(U405="BD",AO405,IF(U405="BiP",AP405,IF(U405="PV",AQ405,IF(U405="OC",AR405,IF(U405="MG",AS405,0))))))))))</f>
        <v/>
      </c>
      <c r="W405" s="27">
        <f>IF(U405="BiP",Upgrades!$F$18,IF(U405="PV",Upgrades!$F$19,IF(U405="OC",Upgrades!$F$20,IF(U405="MG",Upgrades!$F$21,IF(U405="transition",-Parameters!$B$18*Parameters!$B$19,0)))))</f>
        <v/>
      </c>
      <c r="X405" s="22">
        <f>C405+T405-V405</f>
        <v/>
      </c>
      <c r="Y405" s="30">
        <f>O405*Parameters!$B$10/60*Parameters!$B$11+Q405*O405+P405</f>
        <v/>
      </c>
      <c r="Z405" s="34">
        <f>IF(U405="transition","→ Tier 3 (Galactic Arm)",IF(U405="MG","Moving Group — pocket drifts together",IF(U405="OC","Open Cluster acquired",IF(U405="PV","Peculiar Velocity — passive multiplier active",IF(U405="BiP","Binary Partner — pair bond formed",IF(AND(AU405=1,N405=0,AT405&lt;&gt;1),"Cohesion ready (waiting on completionists)","")))))) </f>
        <v/>
      </c>
      <c r="AA405" s="27">
        <f>(IF(E405=0,0,(Upgrades!$G$13+E405*Upgrades!$H$13)*POWER(Upgrades!$I$13,E405)))*(IF(Upgrades!$T$14="Stellar Kinematics",POWER(Upgrades!$U$14,F405),1)*IF(Upgrades!$T$15="Stellar Kinematics",POWER(Upgrades!$U$15,G405),1)*IF(Upgrades!$T$16="Stellar Kinematics",POWER(Upgrades!$U$16,H405),1)*IF(Upgrades!$T$17="Stellar Kinematics",POWER(Upgrades!$U$17,I405),1)*IF(Upgrades!$T$18="Stellar Kinematics",POWER(Upgrades!$U$18,J405),1)*IF(Upgrades!$T$19="Stellar Kinematics",POWER(Upgrades!$U$19,K405),1)*IF(Upgrades!$T$20="Stellar Kinematics",POWER(Upgrades!$U$20,L405),1)*IF(Upgrades!$T$21="Stellar Kinematics",POWER(Upgrades!$U$21,M405),1))*POWER(Upgrades!$P$13,E405)*POWER(Upgrades!$P$14,F405)*POWER(Upgrades!$P$15,G405)*POWER(Upgrades!$P$16,H405)*POWER(Upgrades!$P$17,I405)*POWER(Upgrades!$P$18,J405)*POWER(Upgrades!$P$19,K405)*POWER(Upgrades!$P$20,L405)*POWER(Upgrades!$P$21,M405)*$F$6*60</f>
        <v/>
      </c>
      <c r="AB405" s="27">
        <f>(IF(F405=0,0,(Upgrades!$G$14+F405*Upgrades!$H$14)*POWER(Upgrades!$I$14,F405)))*(IF(Upgrades!$T$13="Local Bubble",POWER(Upgrades!$U$13,E405),1)*IF(Upgrades!$T$15="Local Bubble",POWER(Upgrades!$U$15,G405),1)*IF(Upgrades!$T$16="Local Bubble",POWER(Upgrades!$U$16,H405),1)*IF(Upgrades!$T$17="Local Bubble",POWER(Upgrades!$U$17,I405),1)*IF(Upgrades!$T$18="Local Bubble",POWER(Upgrades!$U$18,J405),1)*IF(Upgrades!$T$19="Local Bubble",POWER(Upgrades!$U$19,K405),1)*IF(Upgrades!$T$20="Local Bubble",POWER(Upgrades!$U$20,L405),1)*IF(Upgrades!$T$21="Local Bubble",POWER(Upgrades!$U$21,M405),1))*POWER(Upgrades!$P$13,E405)*POWER(Upgrades!$P$14,F405)*POWER(Upgrades!$P$15,G405)*POWER(Upgrades!$P$16,H405)*POWER(Upgrades!$P$17,I405)*POWER(Upgrades!$P$18,J405)*POWER(Upgrades!$P$19,K405)*POWER(Upgrades!$P$20,L405)*POWER(Upgrades!$P$21,M405)*$F$6*60</f>
        <v/>
      </c>
      <c r="AC405" s="27">
        <f>(IF(G405=0,0,(Upgrades!$J$15+G405*Upgrades!$K$15)*POWER(Upgrades!$L$15,G405)))*(IF(Upgrades!$T$13="Microlensing",POWER(Upgrades!$U$13,E405),1)*IF(Upgrades!$T$14="Microlensing",POWER(Upgrades!$U$14,F405),1)*IF(Upgrades!$T$16="Microlensing",POWER(Upgrades!$U$16,H405),1)*IF(Upgrades!$T$17="Microlensing",POWER(Upgrades!$U$17,I405),1)*IF(Upgrades!$T$18="Microlensing",POWER(Upgrades!$U$18,J405),1)*IF(Upgrades!$T$19="Microlensing",POWER(Upgrades!$U$19,K405),1)*IF(Upgrades!$T$20="Microlensing",POWER(Upgrades!$U$20,L405),1)*IF(Upgrades!$T$21="Microlensing",POWER(Upgrades!$U$21,M405),1))*POWER(Upgrades!$Q$13,E405)*POWER(Upgrades!$Q$14,F405)*POWER(Upgrades!$Q$15,G405)*POWER(Upgrades!$Q$16,H405)*POWER(Upgrades!$Q$17,I405)*POWER(Upgrades!$Q$18,J405)*POWER(Upgrades!$Q$19,K405)*POWER(Upgrades!$Q$20,L405)*POWER(Upgrades!$Q$21,M405)*$G$6*(Parameters!$B$10*Parameters!$B$11+Q405*60)</f>
        <v/>
      </c>
      <c r="AD405" s="27">
        <f>(IF(H405=0,0,(Upgrades!$M$16+H405*Upgrades!$N$16)*POWER(Upgrades!$O$16,H405)))*(IF(Upgrades!$T$13="Roche Lobe Overflow",POWER(Upgrades!$U$13,E405),1)*IF(Upgrades!$T$14="Roche Lobe Overflow",POWER(Upgrades!$U$14,F405),1)*IF(Upgrades!$T$15="Roche Lobe Overflow",POWER(Upgrades!$U$15,G405),1)*IF(Upgrades!$T$17="Roche Lobe Overflow",POWER(Upgrades!$U$17,I405),1)*IF(Upgrades!$T$18="Roche Lobe Overflow",POWER(Upgrades!$U$18,J405),1)*IF(Upgrades!$T$19="Roche Lobe Overflow",POWER(Upgrades!$U$19,K405),1)*IF(Upgrades!$T$20="Roche Lobe Overflow",POWER(Upgrades!$U$20,L405),1)*IF(Upgrades!$T$21="Roche Lobe Overflow",POWER(Upgrades!$U$21,M405),1))*POWER(Upgrades!$R$13,E405)*POWER(Upgrades!$R$14,F405)*POWER(Upgrades!$R$15,G405)*POWER(Upgrades!$R$16,H405)*POWER(Upgrades!$R$17,I405)*POWER(Upgrades!$R$18,J405)*POWER(Upgrades!$R$19,K405)*POWER(Upgrades!$R$20,L405)*POWER(Upgrades!$R$21,M405)*$H$6*O405*60</f>
        <v/>
      </c>
      <c r="AE405" s="27">
        <f>(IF(I405=0,0,(Upgrades!$G$17+I405*Upgrades!$H$17)*POWER(Upgrades!$I$17,I405)))*(IF(Upgrades!$T$13="Brown Dwarf",POWER(Upgrades!$U$13,E405),1)*IF(Upgrades!$T$14="Brown Dwarf",POWER(Upgrades!$U$14,F405),1)*IF(Upgrades!$T$15="Brown Dwarf",POWER(Upgrades!$U$15,G405),1)*IF(Upgrades!$T$16="Brown Dwarf",POWER(Upgrades!$U$16,H405),1)*IF(Upgrades!$T$18="Brown Dwarf",POWER(Upgrades!$U$18,J405),1)*IF(Upgrades!$T$19="Brown Dwarf",POWER(Upgrades!$U$19,K405),1)*IF(Upgrades!$T$20="Brown Dwarf",POWER(Upgrades!$U$20,L405),1)*IF(Upgrades!$T$21="Brown Dwarf",POWER(Upgrades!$U$21,M405),1))*POWER(Upgrades!$P$13,E405)*POWER(Upgrades!$P$14,F405)*POWER(Upgrades!$P$15,G405)*POWER(Upgrades!$P$16,H405)*POWER(Upgrades!$P$17,I405)*POWER(Upgrades!$P$18,J405)*POWER(Upgrades!$P$19,K405)*POWER(Upgrades!$P$20,L405)*POWER(Upgrades!$P$21,M405)*$F$6*60</f>
        <v/>
      </c>
      <c r="AF405" s="27" t="n">
        <v>0</v>
      </c>
      <c r="AG405" s="27" t="n">
        <v>0</v>
      </c>
      <c r="AH405" s="27" t="n">
        <v>0</v>
      </c>
      <c r="AI405" s="27">
        <f>(IF(M405=0,0,(Upgrades!$G$21+M405*Upgrades!$H$21)*POWER(Upgrades!$I$21,M405)))*(IF(Upgrades!$T$13="Moving Group",POWER(Upgrades!$U$13,E405),1)*IF(Upgrades!$T$14="Moving Group",POWER(Upgrades!$U$14,F405),1)*IF(Upgrades!$T$15="Moving Group",POWER(Upgrades!$U$15,G405),1)*IF(Upgrades!$T$16="Moving Group",POWER(Upgrades!$U$16,H405),1)*IF(Upgrades!$T$17="Moving Group",POWER(Upgrades!$U$17,I405),1)*IF(Upgrades!$T$18="Moving Group",POWER(Upgrades!$U$18,J405),1)*IF(Upgrades!$T$19="Moving Group",POWER(Upgrades!$U$19,K405),1)*IF(Upgrades!$T$20="Moving Group",POWER(Upgrades!$U$20,L405),1))*POWER(Upgrades!$P$13,E405)*POWER(Upgrades!$P$14,F405)*POWER(Upgrades!$P$15,G405)*POWER(Upgrades!$P$16,H405)*POWER(Upgrades!$P$17,I405)*POWER(Upgrades!$P$18,J405)*POWER(Upgrades!$P$19,K405)*POWER(Upgrades!$P$20,L405)*POWER(Upgrades!$P$21,M405)*$F$6*60</f>
        <v/>
      </c>
      <c r="AJ405" s="27">
        <f>$C$6*60</f>
        <v/>
      </c>
      <c r="AK405" s="22">
        <f>IF(E405&gt;=Upgrades!$E$13,"",Upgrades!$C$13*POWER(Upgrades!$D$13,E405))</f>
        <v/>
      </c>
      <c r="AL405" s="22">
        <f>IF(F405&gt;=Upgrades!$E$14,"",Upgrades!$C$14*POWER(Upgrades!$D$14,F405))</f>
        <v/>
      </c>
      <c r="AM405" s="22">
        <f>IF(G405&gt;=Upgrades!$E$15,"",Upgrades!$C$15*POWER(Upgrades!$D$15,G405))</f>
        <v/>
      </c>
      <c r="AN405" s="22">
        <f>IF(H405&gt;=Upgrades!$E$16,"",Upgrades!$C$16*POWER(Upgrades!$D$16,H405))</f>
        <v/>
      </c>
      <c r="AO405" s="22">
        <f>IF(I405&gt;=Upgrades!$E$17,"",Upgrades!$C$17*POWER(Upgrades!$D$17,I405))</f>
        <v/>
      </c>
      <c r="AP405" s="22">
        <f>IF(J405&gt;=Upgrades!$E$18,"",Upgrades!$C$18*POWER(Upgrades!$D$18,J405))</f>
        <v/>
      </c>
      <c r="AQ405" s="22">
        <f>IF(K405&gt;=Upgrades!$E$19,"",Upgrades!$C$19*POWER(Upgrades!$D$19,K405))</f>
        <v/>
      </c>
      <c r="AR405" s="22">
        <f>IF(L405&gt;=Upgrades!$E$20,"",Upgrades!$C$20*POWER(Upgrades!$D$20,L405))</f>
        <v/>
      </c>
      <c r="AS405" s="22">
        <f>IF(M405&gt;=Upgrades!$E$21,"",Upgrades!$C$21*POWER(Upgrades!$D$21,M405))</f>
        <v/>
      </c>
      <c r="AT405" s="26">
        <f>IF(AND(D405&gt;=Parameters!$B$18*Parameters!$B$19,(I405&gt;=Upgrades!$E$17)*(M405&gt;=Upgrades!$E$21)=1,N405=0),1,"")</f>
        <v/>
      </c>
      <c r="AU405" s="26">
        <f>IF(AND(D405&gt;=Parameters!$B$18*Parameters!$B$19,N405=0),1,"")</f>
        <v/>
      </c>
      <c r="AV405" s="22">
        <f>MIN(IF(ISNUMBER(AP405),AP405,9E15),IF(ISNUMBER(AQ405),AQ405,9E15),IF(ISNUMBER(AR405),AR405,9E15),IF(ISNUMBER(AS405),AS405,9E15))</f>
        <v/>
      </c>
      <c r="AW405" s="22">
        <f>MIN(IF(ISNUMBER(AK405),AK405,9E15),IF(ISNUMBER(AL405),AL405,9E15),IF(ISNUMBER(AM405),AM405,9E15),IF(ISNUMBER(AN405),AN405,9E15),IF(ISNUMBER(AO405),AO405,9E15))</f>
        <v/>
      </c>
      <c r="AX405" s="29">
        <f>IF(BD405&gt;Parameters!$B$21*(MAX(IF(AND(NOT(AND(AU405=1,AT405&lt;&gt;1)),ISNUMBER(AK405),AK405&lt;=(C405+T405)),AY405,0),IF(AND(NOT(AND(AU405=1,AT405&lt;&gt;1)),ISNUMBER(AL405),AL405&lt;=(C405+T405)),AZ405,0),IF(AND(NOT(AND(AU405=1,AT405&lt;&gt;1)),ISNUMBER(AM405),AM405&lt;=(C405+T405)),BA405,0),IF(AND(NOT(AND(AU405=1,AT405&lt;&gt;1)),ISNUMBER(AN405),AN405&lt;=(C405+T405)),BB405,0),IF(AND(ISNUMBER(AO405),AO405&lt;=(C405+T405)),BC405,0))),TRUE,FALSE)</f>
        <v/>
      </c>
      <c r="AY405" s="32">
        <f>IFERROR(Upgrades!$H$13*(POWER(Upgrades!$P$13,E405)*POWER(Upgrades!$P$14,F405)*POWER(Upgrades!$P$15,G405)*POWER(Upgrades!$P$16,H405)*POWER(Upgrades!$P$17,I405)*POWER(Upgrades!$P$18,J405)*POWER(Upgrades!$P$19,K405)*POWER(Upgrades!$P$20,L405)*POWER(Upgrades!$P$21,M405))*(IF(Upgrades!$T$14="Stellar Kinematics",POWER(Upgrades!$U$14,F405),1)*IF(Upgrades!$T$15="Stellar Kinematics",POWER(Upgrades!$U$15,G405),1)*IF(Upgrades!$T$16="Stellar Kinematics",POWER(Upgrades!$U$16,H405),1)*IF(Upgrades!$T$17="Stellar Kinematics",POWER(Upgrades!$U$17,I405),1)*IF(Upgrades!$T$18="Stellar Kinematics",POWER(Upgrades!$U$18,J405),1)*IF(Upgrades!$T$19="Stellar Kinematics",POWER(Upgrades!$U$19,K405),1)*IF(Upgrades!$T$20="Stellar Kinematics",POWER(Upgrades!$U$20,L405),1)*IF(Upgrades!$T$21="Stellar Kinematics",POWER(Upgrades!$U$21,M405),1))*$F$6/AK405,0)</f>
        <v/>
      </c>
      <c r="AZ405" s="32">
        <f>IFERROR(Upgrades!$H$14*(POWER(Upgrades!$P$13,E405)*POWER(Upgrades!$P$14,F405)*POWER(Upgrades!$P$15,G405)*POWER(Upgrades!$P$16,H405)*POWER(Upgrades!$P$17,I405)*POWER(Upgrades!$P$18,J405)*POWER(Upgrades!$P$19,K405)*POWER(Upgrades!$P$20,L405)*POWER(Upgrades!$P$21,M405))*(IF(Upgrades!$T$13="Local Bubble",POWER(Upgrades!$U$13,E405),1)*IF(Upgrades!$T$15="Local Bubble",POWER(Upgrades!$U$15,G405),1)*IF(Upgrades!$T$16="Local Bubble",POWER(Upgrades!$U$16,H405),1)*IF(Upgrades!$T$17="Local Bubble",POWER(Upgrades!$U$17,I405),1)*IF(Upgrades!$T$18="Local Bubble",POWER(Upgrades!$U$18,J405),1)*IF(Upgrades!$T$19="Local Bubble",POWER(Upgrades!$U$19,K405),1)*IF(Upgrades!$T$20="Local Bubble",POWER(Upgrades!$U$20,L405),1)*IF(Upgrades!$T$21="Local Bubble",POWER(Upgrades!$U$21,M405),1))*$F$6/AL405,0)</f>
        <v/>
      </c>
      <c r="BA405" s="32">
        <f>IFERROR(Upgrades!$K$15*(POWER(Upgrades!$Q$13,E405)*POWER(Upgrades!$Q$14,F405)*POWER(Upgrades!$Q$15,G405)*POWER(Upgrades!$Q$16,H405)*POWER(Upgrades!$Q$17,I405)*POWER(Upgrades!$Q$18,J405)*POWER(Upgrades!$Q$19,K405)*POWER(Upgrades!$Q$20,L405)*POWER(Upgrades!$Q$21,M405))*(IF(Upgrades!$T$13="Microlensing",POWER(Upgrades!$U$13,E405),1)*IF(Upgrades!$T$14="Microlensing",POWER(Upgrades!$U$14,F405),1)*IF(Upgrades!$T$16="Microlensing",POWER(Upgrades!$U$16,H405),1)*IF(Upgrades!$T$17="Microlensing",POWER(Upgrades!$U$17,I405),1)*IF(Upgrades!$T$18="Microlensing",POWER(Upgrades!$U$18,J405),1)*IF(Upgrades!$T$19="Microlensing",POWER(Upgrades!$U$19,K405),1)*IF(Upgrades!$T$20="Microlensing",POWER(Upgrades!$U$20,L405),1)*IF(Upgrades!$T$21="Microlensing",POWER(Upgrades!$U$21,M405),1))*$G$6*(Parameters!$B$10/60*Parameters!$B$11+Q405)/AM405,0)</f>
        <v/>
      </c>
      <c r="BB405" s="32">
        <f>IFERROR((Upgrades!$N$16*(POWER(Upgrades!$R$13,E405)*POWER(Upgrades!$R$14,F405)*POWER(Upgrades!$R$15,G405)*POWER(Upgrades!$R$16,H405)*POWER(Upgrades!$R$17,I405)*POWER(Upgrades!$R$18,J405)*POWER(Upgrades!$R$19,K405)*POWER(Upgrades!$R$20,L405)*POWER(Upgrades!$R$21,M405))*(IF(Upgrades!$T$13="Roche Lobe Overflow",POWER(Upgrades!$U$13,E405),1)*IF(Upgrades!$T$14="Roche Lobe Overflow",POWER(Upgrades!$U$14,F405),1)*IF(Upgrades!$T$15="Roche Lobe Overflow",POWER(Upgrades!$U$15,G405),1)*IF(Upgrades!$T$17="Roche Lobe Overflow",POWER(Upgrades!$U$17,I405),1)*IF(Upgrades!$T$18="Roche Lobe Overflow",POWER(Upgrades!$U$18,J405),1)*IF(Upgrades!$T$19="Roche Lobe Overflow",POWER(Upgrades!$U$19,K405),1)*IF(Upgrades!$T$20="Roche Lobe Overflow",POWER(Upgrades!$U$20,L405),1)*IF(Upgrades!$T$21="Roche Lobe Overflow",POWER(Upgrades!$U$21,M405),1))*$H$6*O405+((IF(F405=0,0,(Upgrades!$G$14+F405*Upgrades!$H$14)*POWER(Upgrades!$I$14,F405)))*(IF(Upgrades!$T$13="Local Bubble",POWER(Upgrades!$U$13,E405),1)*IF(Upgrades!$T$15="Local Bubble",POWER(Upgrades!$U$15,G405),1)*IF(Upgrades!$T$16="Local Bubble",POWER(Upgrades!$U$16,H405),1)*IF(Upgrades!$T$17="Local Bubble",POWER(Upgrades!$U$17,I405),1)*IF(Upgrades!$T$18="Local Bubble",POWER(Upgrades!$U$18,J405),1)*IF(Upgrades!$T$19="Local Bubble",POWER(Upgrades!$U$19,K405),1)*IF(Upgrades!$T$20="Local Bubble",POWER(Upgrades!$U$20,L405),1)*IF(Upgrades!$T$21="Local Bubble",POWER(Upgrades!$U$21,M405),1))*POWER(Upgrades!$P$13,E405)*POWER(Upgrades!$P$14,F405)*POWER(Upgrades!$P$15,G405)*POWER(Upgrades!$P$16,H405)*POWER(Upgrades!$P$17,I405)*POWER(Upgrades!$P$18,J405)*POWER(Upgrades!$P$19,K405)*POWER(Upgrades!$P$20,L405)*POWER(Upgrades!$P$21,M405)*$F$6)*0.05)/AN405,0)</f>
        <v/>
      </c>
      <c r="BC405" s="32">
        <f>IFERROR((Upgrades!$H$17*(POWER(Upgrades!$P$13,E405)*POWER(Upgrades!$P$14,F405)*POWER(Upgrades!$P$15,G405)*POWER(Upgrades!$P$16,H405)*POWER(Upgrades!$P$17,I405)*POWER(Upgrades!$P$18,J405)*POWER(Upgrades!$P$19,K405)*POWER(Upgrades!$P$20,L405)*POWER(Upgrades!$P$21,M405))*(IF(Upgrades!$T$13="Brown Dwarf",POWER(Upgrades!$U$13,E405),1)*IF(Upgrades!$T$14="Brown Dwarf",POWER(Upgrades!$U$14,F405),1)*IF(Upgrades!$T$15="Brown Dwarf",POWER(Upgrades!$U$15,G405),1)*IF(Upgrades!$T$16="Brown Dwarf",POWER(Upgrades!$U$16,H405),1)*IF(Upgrades!$T$18="Brown Dwarf",POWER(Upgrades!$U$18,J405),1)*IF(Upgrades!$T$19="Brown Dwarf",POWER(Upgrades!$U$19,K405),1)*IF(Upgrades!$T$20="Brown Dwarf",POWER(Upgrades!$U$20,L405),1)*IF(Upgrades!$T$21="Brown Dwarf",POWER(Upgrades!$U$21,M405),1))*$F$6+(((IF(H405=0,0,(Upgrades!$M$16+H405*Upgrades!$N$16)*POWER(Upgrades!$O$16,H405)))*(IF(Upgrades!$T$13="Roche Lobe Overflow",POWER(Upgrades!$U$13,E405),1)*IF(Upgrades!$T$14="Roche Lobe Overflow",POWER(Upgrades!$U$14,F405),1)*IF(Upgrades!$T$15="Roche Lobe Overflow",POWER(Upgrades!$U$15,G405),1)*IF(Upgrades!$T$17="Roche Lobe Overflow",POWER(Upgrades!$U$17,I405),1)*IF(Upgrades!$T$18="Roche Lobe Overflow",POWER(Upgrades!$U$18,J405),1)*IF(Upgrades!$T$19="Roche Lobe Overflow",POWER(Upgrades!$U$19,K405),1)*IF(Upgrades!$T$20="Roche Lobe Overflow",POWER(Upgrades!$U$20,L405),1)*IF(Upgrades!$T$21="Roche Lobe Overflow",POWER(Upgrades!$U$21,M405),1))*POWER(Upgrades!$R$13,E405)*POWER(Upgrades!$R$14,F405)*POWER(Upgrades!$R$15,G405)*POWER(Upgrades!$R$16,H405)*POWER(Upgrades!$R$17,I405)*POWER(Upgrades!$R$18,J405)*POWER(Upgrades!$R$19,K405)*POWER(Upgrades!$R$20,L405)*POWER(Upgrades!$R$21,M405)*$H$6)*O405)*0.10)/AO405,0)</f>
        <v/>
      </c>
      <c r="BD405" s="32">
        <f>MAX(IF(J405&gt;0,0,IFERROR(0.5*((IF(G405=0,0,(Upgrades!$J$15+G405*Upgrades!$K$15)*POWER(Upgrades!$L$15,G405)))*(IF(Upgrades!$T$13="Microlensing",POWER(Upgrades!$U$13,E405),1)*IF(Upgrades!$T$14="Microlensing",POWER(Upgrades!$U$14,F405),1)*IF(Upgrades!$T$16="Microlensing",POWER(Upgrades!$U$16,H405),1)*IF(Upgrades!$T$17="Microlensing",POWER(Upgrades!$U$17,I405),1)*IF(Upgrades!$T$18="Microlensing",POWER(Upgrades!$U$18,J405),1)*IF(Upgrades!$T$19="Microlensing",POWER(Upgrades!$U$19,K405),1)*IF(Upgrades!$T$20="Microlensing",POWER(Upgrades!$U$20,L405),1)*IF(Upgrades!$T$21="Microlensing",POWER(Upgrades!$U$21,M405),1))*(POWER(Upgrades!$Q$13,E405)*POWER(Upgrades!$Q$14,F405)*POWER(Upgrades!$Q$15,G405)*POWER(Upgrades!$Q$16,H405)*POWER(Upgrades!$Q$17,I405)*POWER(Upgrades!$Q$18,J405)*POWER(Upgrades!$Q$19,K405)*POWER(Upgrades!$Q$20,L405)*POWER(Upgrades!$Q$21,M405))*$G$6*(Parameters!$B$10/60*Parameters!$B$11+Q405))/Upgrades!$C$18,0)),IF(K405&gt;0,0,IFERROR(0.30*P405/Upgrades!$C$19,0)),IF(L405&gt;0,0,IFERROR(0.0001/Upgrades!$C$20,0)),IF(M405&gt;0,0,IFERROR((6.0*(POWER(Upgrades!$P$13,E405)*POWER(Upgrades!$P$14,F405)*POWER(Upgrades!$P$15,G405)*POWER(Upgrades!$P$16,H405)*POWER(Upgrades!$P$17,I405)*POWER(Upgrades!$P$18,J405)*POWER(Upgrades!$P$19,K405)*POWER(Upgrades!$P$20,L405)*POWER(Upgrades!$P$21,M405))*$F$6+0.20*O405*(Parameters!$B$10/60*Parameters!$B$11+Q405))/Upgrades!$C$21,0)),IF(AND(ISNUMBER(AK405),AK405&gt;(C405+T405)),AY405,0),IF(AND(ISNUMBER(AL405),AL405&gt;(C405+T405)),AZ405,0),IF(AND(ISNUMBER(AM405),AM405&gt;(C405+T405)),BA405,0),IF(AND(ISNUMBER(AN405),AN405&gt;(C405+T405)),BB405,0),IF(AND(ISNUMBER(AO405),AO405&gt;(C405+T405)),BC405,0))</f>
        <v/>
      </c>
      <c r="BE405" s="29">
        <f>IF(AT405=1,"transition",IF(MIN(IF(AND(J405=0,ISNUMBER(AP405),AP405&lt;=(C405+T405)),AP405,9E15),IF(AND(K405=0,ISNUMBER(AQ405),AQ405&lt;=(C405+T405)),AQ405,9E15),IF(AND(L405=0,ISNUMBER(AR405),AR405&lt;=(C405+T405)),AR405,9E15),IF(AND(M405=0,ISNUMBER(AS405),AS405&lt;=(C405+T405)),AS405,9E15))&lt;9E15,IF(AND(AND(J405=0,ISNUMBER(AP405),AP405&lt;=(C405+T405)),AP405=MIN(IF(AND(J405=0,ISNUMBER(AP405),AP405&lt;=(C405+T405)),AP405,9E15),IF(AND(K405=0,ISNUMBER(AQ405),AQ405&lt;=(C405+T405)),AQ405,9E15),IF(AND(L405=0,ISNUMBER(AR405),AR405&lt;=(C405+T405)),AR405,9E15),IF(AND(M405=0,ISNUMBER(AS405),AS405&lt;=(C405+T405)),AS405,9E15))),"BiP",IF(AND(AND(K405=0,ISNUMBER(AQ405),AQ405&lt;=(C405+T405)),AQ405=MIN(IF(AND(J405=0,ISNUMBER(AP405),AP405&lt;=(C405+T405)),AP405,9E15),IF(AND(K405=0,ISNUMBER(AQ405),AQ405&lt;=(C405+T405)),AQ405,9E15),IF(AND(L405=0,ISNUMBER(AR405),AR405&lt;=(C405+T405)),AR405,9E15),IF(AND(M405=0,ISNUMBER(AS405),AS405&lt;=(C405+T405)),AS405,9E15))),"PV",IF(AND(AND(L405=0,ISNUMBER(AR405),AR405&lt;=(C405+T405)),AR405=MIN(IF(AND(J405=0,ISNUMBER(AP405),AP405&lt;=(C405+T405)),AP405,9E15),IF(AND(K405=0,ISNUMBER(AQ405),AQ405&lt;=(C405+T405)),AQ405,9E15),IF(AND(L405=0,ISNUMBER(AR405),AR405&lt;=(C405+T405)),AR405,9E15),IF(AND(M405=0,ISNUMBER(AS405),AS405&lt;=(C405+T405)),AS405,9E15))),"OC","MG"))),IF(AX405=TRUE,"",IF(MAX(IF(AND(NOT(AND(AU405=1,AT405&lt;&gt;1)),ISNUMBER(AK405),AK405&lt;=(C405+T405)),AY405,0),IF(AND(NOT(AND(AU405=1,AT405&lt;&gt;1)),ISNUMBER(AL405),AL405&lt;=(C405+T405)),AZ405,0),IF(AND(NOT(AND(AU405=1,AT405&lt;&gt;1)),ISNUMBER(AM405),AM405&lt;=(C405+T405)),BA405,0),IF(AND(NOT(AND(AU405=1,AT405&lt;&gt;1)),ISNUMBER(AN405),AN405&lt;=(C405+T405)),BB405,0),IF(AND(ISNUMBER(AO405),AO405&lt;=(C405+T405)),BC405,0))&lt;=0,"",IF(AND(IF(AND(NOT(AND(AU405=1,AT405&lt;&gt;1)),ISNUMBER(AK405),AK405&lt;=(C405+T405)),AY405,0)&gt;0,IF(AND(NOT(AND(AU405=1,AT405&lt;&gt;1)),ISNUMBER(AK405),AK405&lt;=(C405+T405)),AY405,0)=MAX(IF(AND(NOT(AND(AU405=1,AT405&lt;&gt;1)),ISNUMBER(AK405),AK405&lt;=(C405+T405)),AY405,0),IF(AND(NOT(AND(AU405=1,AT405&lt;&gt;1)),ISNUMBER(AL405),AL405&lt;=(C405+T405)),AZ405,0),IF(AND(NOT(AND(AU405=1,AT405&lt;&gt;1)),ISNUMBER(AM405),AM405&lt;=(C405+T405)),BA405,0),IF(AND(NOT(AND(AU405=1,AT405&lt;&gt;1)),ISNUMBER(AN405),AN405&lt;=(C405+T405)),BB405,0),IF(AND(ISNUMBER(AO405),AO405&lt;=(C405+T405)),BC405,0))),"SK",IF(AND(IF(AND(NOT(AND(AU405=1,AT405&lt;&gt;1)),ISNUMBER(AL405),AL405&lt;=(C405+T405)),AZ405,0)&gt;0,IF(AND(NOT(AND(AU405=1,AT405&lt;&gt;1)),ISNUMBER(AL405),AL405&lt;=(C405+T405)),AZ405,0)=MAX(IF(AND(NOT(AND(AU405=1,AT405&lt;&gt;1)),ISNUMBER(AK405),AK405&lt;=(C405+T405)),AY405,0),IF(AND(NOT(AND(AU405=1,AT405&lt;&gt;1)),ISNUMBER(AL405),AL405&lt;=(C405+T405)),AZ405,0),IF(AND(NOT(AND(AU405=1,AT405&lt;&gt;1)),ISNUMBER(AM405),AM405&lt;=(C405+T405)),BA405,0),IF(AND(NOT(AND(AU405=1,AT405&lt;&gt;1)),ISNUMBER(AN405),AN405&lt;=(C405+T405)),BB405,0),IF(AND(ISNUMBER(AO405),AO405&lt;=(C405+T405)),BC405,0))),"LB",IF(AND(IF(AND(NOT(AND(AU405=1,AT405&lt;&gt;1)),ISNUMBER(AM405),AM405&lt;=(C405+T405)),BA405,0)&gt;0,IF(AND(NOT(AND(AU405=1,AT405&lt;&gt;1)),ISNUMBER(AM405),AM405&lt;=(C405+T405)),BA405,0)=MAX(IF(AND(NOT(AND(AU405=1,AT405&lt;&gt;1)),ISNUMBER(AK405),AK405&lt;=(C405+T405)),AY405,0),IF(AND(NOT(AND(AU405=1,AT405&lt;&gt;1)),ISNUMBER(AL405),AL405&lt;=(C405+T405)),AZ405,0),IF(AND(NOT(AND(AU405=1,AT405&lt;&gt;1)),ISNUMBER(AM405),AM405&lt;=(C405+T405)),BA405,0),IF(AND(NOT(AND(AU405=1,AT405&lt;&gt;1)),ISNUMBER(AN405),AN405&lt;=(C405+T405)),BB405,0),IF(AND(ISNUMBER(AO405),AO405&lt;=(C405+T405)),BC405,0))),"ML",IF(AND(IF(AND(NOT(AND(AU405=1,AT405&lt;&gt;1)),ISNUMBER(AN405),AN405&lt;=(C405+T405)),BB405,0)&gt;0,IF(AND(NOT(AND(AU405=1,AT405&lt;&gt;1)),ISNUMBER(AN405),AN405&lt;=(C405+T405)),BB405,0)=MAX(IF(AND(NOT(AND(AU405=1,AT405&lt;&gt;1)),ISNUMBER(AK405),AK405&lt;=(C405+T405)),AY405,0),IF(AND(NOT(AND(AU405=1,AT405&lt;&gt;1)),ISNUMBER(AL405),AL405&lt;=(C405+T405)),AZ405,0),IF(AND(NOT(AND(AU405=1,AT405&lt;&gt;1)),ISNUMBER(AM405),AM405&lt;=(C405+T405)),BA405,0),IF(AND(NOT(AND(AU405=1,AT405&lt;&gt;1)),ISNUMBER(AN405),AN405&lt;=(C405+T405)),BB405,0),IF(AND(ISNUMBER(AO405),AO405&lt;=(C405+T405)),BC405,0))),"RLO","BD"))))))))</f>
        <v/>
      </c>
    </row>
    <row r="406">
      <c r="A406" s="26" t="n">
        <v>395</v>
      </c>
      <c r="B406" s="27">
        <f>A406*10/60</f>
        <v/>
      </c>
      <c r="C406" s="22">
        <f>X405</f>
        <v/>
      </c>
      <c r="D406" s="27">
        <f>D405+W405</f>
        <v/>
      </c>
      <c r="E406" s="26">
        <f>E405+IF(U405="SK",1,0)</f>
        <v/>
      </c>
      <c r="F406" s="26">
        <f>F405+IF(U405="LB",1,0)</f>
        <v/>
      </c>
      <c r="G406" s="26">
        <f>G405+IF(U405="ML",1,0)</f>
        <v/>
      </c>
      <c r="H406" s="26">
        <f>H405+IF(U405="RLO",1,0)</f>
        <v/>
      </c>
      <c r="I406" s="26">
        <f>I405+IF(U405="BD",1,0)</f>
        <v/>
      </c>
      <c r="J406" s="26">
        <f>MAX(J405,IF(U405="BiP",1,0))</f>
        <v/>
      </c>
      <c r="K406" s="26">
        <f>MAX(K405,IF(U405="PV",1,0))</f>
        <v/>
      </c>
      <c r="L406" s="26">
        <f>MAX(L405,IF(U405="OC",1,0))</f>
        <v/>
      </c>
      <c r="M406" s="26">
        <f>MAX(M405,IF(U405="MG",1,0))</f>
        <v/>
      </c>
      <c r="N406" s="26">
        <f>MAX(N405,IF(U405="transition",1,0))</f>
        <v/>
      </c>
      <c r="O406" s="28">
        <f>(Parameters!$B$9+(IF(E406=0,0,(Upgrades!$J$13+E406*Upgrades!$K$13)*POWER(Upgrades!$L$13,E406)))*(IF(Upgrades!$T$14="Stellar Kinematics",POWER(Upgrades!$U$14,F406),1)*IF(Upgrades!$T$15="Stellar Kinematics",POWER(Upgrades!$U$15,G406),1)*IF(Upgrades!$T$16="Stellar Kinematics",POWER(Upgrades!$U$16,H406),1)*IF(Upgrades!$T$17="Stellar Kinematics",POWER(Upgrades!$U$17,I406),1)*IF(Upgrades!$T$18="Stellar Kinematics",POWER(Upgrades!$U$18,J406),1)*IF(Upgrades!$T$19="Stellar Kinematics",POWER(Upgrades!$U$19,K406),1)*IF(Upgrades!$T$20="Stellar Kinematics",POWER(Upgrades!$U$20,L406),1)*IF(Upgrades!$T$21="Stellar Kinematics",POWER(Upgrades!$U$21,M406),1))+(IF(F406=0,0,(Upgrades!$J$14+F406*Upgrades!$K$14)*POWER(Upgrades!$L$14,F406)))*(IF(Upgrades!$T$13="Local Bubble",POWER(Upgrades!$U$13,E406),1)*IF(Upgrades!$T$15="Local Bubble",POWER(Upgrades!$U$15,G406),1)*IF(Upgrades!$T$16="Local Bubble",POWER(Upgrades!$U$16,H406),1)*IF(Upgrades!$T$17="Local Bubble",POWER(Upgrades!$U$17,I406),1)*IF(Upgrades!$T$18="Local Bubble",POWER(Upgrades!$U$18,J406),1)*IF(Upgrades!$T$19="Local Bubble",POWER(Upgrades!$U$19,K406),1)*IF(Upgrades!$T$20="Local Bubble",POWER(Upgrades!$U$20,L406),1)*IF(Upgrades!$T$21="Local Bubble",POWER(Upgrades!$U$21,M406),1))+(IF(G406=0,0,(Upgrades!$J$15+G406*Upgrades!$K$15)*POWER(Upgrades!$L$15,G406)))*(IF(Upgrades!$T$13="Microlensing",POWER(Upgrades!$U$13,E406),1)*IF(Upgrades!$T$14="Microlensing",POWER(Upgrades!$U$14,F406),1)*IF(Upgrades!$T$16="Microlensing",POWER(Upgrades!$U$16,H406),1)*IF(Upgrades!$T$17="Microlensing",POWER(Upgrades!$U$17,I406),1)*IF(Upgrades!$T$18="Microlensing",POWER(Upgrades!$U$18,J406),1)*IF(Upgrades!$T$19="Microlensing",POWER(Upgrades!$U$19,K406),1)*IF(Upgrades!$T$20="Microlensing",POWER(Upgrades!$U$20,L406),1)*IF(Upgrades!$T$21="Microlensing",POWER(Upgrades!$U$21,M406),1))+(IF(H406=0,0,(Upgrades!$J$16+H406*Upgrades!$K$16)*POWER(Upgrades!$L$16,H406)))*(IF(Upgrades!$T$13="Roche Lobe Overflow",POWER(Upgrades!$U$13,E406),1)*IF(Upgrades!$T$14="Roche Lobe Overflow",POWER(Upgrades!$U$14,F406),1)*IF(Upgrades!$T$15="Roche Lobe Overflow",POWER(Upgrades!$U$15,G406),1)*IF(Upgrades!$T$17="Roche Lobe Overflow",POWER(Upgrades!$U$17,I406),1)*IF(Upgrades!$T$18="Roche Lobe Overflow",POWER(Upgrades!$U$18,J406),1)*IF(Upgrades!$T$19="Roche Lobe Overflow",POWER(Upgrades!$U$19,K406),1)*IF(Upgrades!$T$20="Roche Lobe Overflow",POWER(Upgrades!$U$20,L406),1)*IF(Upgrades!$T$21="Roche Lobe Overflow",POWER(Upgrades!$U$21,M406),1))+(IF(I406=0,0,(Upgrades!$J$17+I406*Upgrades!$K$17)*POWER(Upgrades!$L$17,I406)))*(IF(Upgrades!$T$13="Brown Dwarf",POWER(Upgrades!$U$13,E406),1)*IF(Upgrades!$T$14="Brown Dwarf",POWER(Upgrades!$U$14,F406),1)*IF(Upgrades!$T$15="Brown Dwarf",POWER(Upgrades!$U$15,G406),1)*IF(Upgrades!$T$16="Brown Dwarf",POWER(Upgrades!$U$16,H406),1)*IF(Upgrades!$T$18="Brown Dwarf",POWER(Upgrades!$U$18,J406),1)*IF(Upgrades!$T$19="Brown Dwarf",POWER(Upgrades!$U$19,K406),1)*IF(Upgrades!$T$20="Brown Dwarf",POWER(Upgrades!$U$20,L406),1)*IF(Upgrades!$T$21="Brown Dwarf",POWER(Upgrades!$U$21,M406),1))+(IF(J406=0,0,(Upgrades!$J$18+J406*Upgrades!$K$18)*POWER(Upgrades!$L$18,J406)))*(IF(Upgrades!$T$13="Binary Partner",POWER(Upgrades!$U$13,E406),1)*IF(Upgrades!$T$14="Binary Partner",POWER(Upgrades!$U$14,F406),1)*IF(Upgrades!$T$15="Binary Partner",POWER(Upgrades!$U$15,G406),1)*IF(Upgrades!$T$16="Binary Partner",POWER(Upgrades!$U$16,H406),1)*IF(Upgrades!$T$17="Binary Partner",POWER(Upgrades!$U$17,I406),1)*IF(Upgrades!$T$19="Binary Partner",POWER(Upgrades!$U$19,K406),1)*IF(Upgrades!$T$20="Binary Partner",POWER(Upgrades!$U$20,L406),1)*IF(Upgrades!$T$21="Binary Partner",POWER(Upgrades!$U$21,M406),1))+(IF(K406=0,0,(Upgrades!$J$19+K406*Upgrades!$K$19)*POWER(Upgrades!$L$19,K406)))*(IF(Upgrades!$T$13="Peculiar Velocity",POWER(Upgrades!$U$13,E406),1)*IF(Upgrades!$T$14="Peculiar Velocity",POWER(Upgrades!$U$14,F406),1)*IF(Upgrades!$T$15="Peculiar Velocity",POWER(Upgrades!$U$15,G406),1)*IF(Upgrades!$T$16="Peculiar Velocity",POWER(Upgrades!$U$16,H406),1)*IF(Upgrades!$T$17="Peculiar Velocity",POWER(Upgrades!$U$17,I406),1)*IF(Upgrades!$T$18="Peculiar Velocity",POWER(Upgrades!$U$18,J406),1)*IF(Upgrades!$T$20="Peculiar Velocity",POWER(Upgrades!$U$20,L406),1)*IF(Upgrades!$T$21="Peculiar Velocity",POWER(Upgrades!$U$21,M406),1))+(IF(L406=0,0,(Upgrades!$J$20+L406*Upgrades!$K$20)*POWER(Upgrades!$L$20,L406)))*(IF(Upgrades!$T$13="Open Cluster",POWER(Upgrades!$U$13,E406),1)*IF(Upgrades!$T$14="Open Cluster",POWER(Upgrades!$U$14,F406),1)*IF(Upgrades!$T$15="Open Cluster",POWER(Upgrades!$U$15,G406),1)*IF(Upgrades!$T$16="Open Cluster",POWER(Upgrades!$U$16,H406),1)*IF(Upgrades!$T$17="Open Cluster",POWER(Upgrades!$U$17,I406),1)*IF(Upgrades!$T$18="Open Cluster",POWER(Upgrades!$U$18,J406),1)*IF(Upgrades!$T$19="Open Cluster",POWER(Upgrades!$U$19,K406),1)*IF(Upgrades!$T$21="Open Cluster",POWER(Upgrades!$U$21,M406),1))+(IF(M406=0,0,(Upgrades!$J$21+M406*Upgrades!$K$21)*POWER(Upgrades!$L$21,M406)))*(IF(Upgrades!$T$13="Moving Group",POWER(Upgrades!$U$13,E406),1)*IF(Upgrades!$T$14="Moving Group",POWER(Upgrades!$U$14,F406),1)*IF(Upgrades!$T$15="Moving Group",POWER(Upgrades!$U$15,G406),1)*IF(Upgrades!$T$16="Moving Group",POWER(Upgrades!$U$16,H406),1)*IF(Upgrades!$T$17="Moving Group",POWER(Upgrades!$U$17,I406),1)*IF(Upgrades!$T$18="Moving Group",POWER(Upgrades!$U$18,J406),1)*IF(Upgrades!$T$19="Moving Group",POWER(Upgrades!$U$19,K406),1)*IF(Upgrades!$T$20="Moving Group",POWER(Upgrades!$U$20,L406),1)))*POWER(Upgrades!$Q$13,E406)*POWER(Upgrades!$Q$14,F406)*POWER(Upgrades!$Q$15,G406)*POWER(Upgrades!$Q$16,H406)*POWER(Upgrades!$Q$17,I406)*POWER(Upgrades!$Q$18,J406)*POWER(Upgrades!$Q$19,K406)*POWER(Upgrades!$Q$20,L406)*POWER(Upgrades!$Q$21,M406)*$G$6+$D$6</f>
        <v/>
      </c>
      <c r="P406" s="28">
        <f>((IF(E406=0,0,(Upgrades!$G$13+E406*Upgrades!$H$13)*POWER(Upgrades!$I$13,E406)))*(IF(Upgrades!$T$14="Stellar Kinematics",POWER(Upgrades!$U$14,F406),1)*IF(Upgrades!$T$15="Stellar Kinematics",POWER(Upgrades!$U$15,G406),1)*IF(Upgrades!$T$16="Stellar Kinematics",POWER(Upgrades!$U$16,H406),1)*IF(Upgrades!$T$17="Stellar Kinematics",POWER(Upgrades!$U$17,I406),1)*IF(Upgrades!$T$18="Stellar Kinematics",POWER(Upgrades!$U$18,J406),1)*IF(Upgrades!$T$19="Stellar Kinematics",POWER(Upgrades!$U$19,K406),1)*IF(Upgrades!$T$20="Stellar Kinematics",POWER(Upgrades!$U$20,L406),1)*IF(Upgrades!$T$21="Stellar Kinematics",POWER(Upgrades!$U$21,M406),1))+(IF(F406=0,0,(Upgrades!$G$14+F406*Upgrades!$H$14)*POWER(Upgrades!$I$14,F406)))*(IF(Upgrades!$T$13="Local Bubble",POWER(Upgrades!$U$13,E406),1)*IF(Upgrades!$T$15="Local Bubble",POWER(Upgrades!$U$15,G406),1)*IF(Upgrades!$T$16="Local Bubble",POWER(Upgrades!$U$16,H406),1)*IF(Upgrades!$T$17="Local Bubble",POWER(Upgrades!$U$17,I406),1)*IF(Upgrades!$T$18="Local Bubble",POWER(Upgrades!$U$18,J406),1)*IF(Upgrades!$T$19="Local Bubble",POWER(Upgrades!$U$19,K406),1)*IF(Upgrades!$T$20="Local Bubble",POWER(Upgrades!$U$20,L406),1)*IF(Upgrades!$T$21="Local Bubble",POWER(Upgrades!$U$21,M406),1))+(IF(G406=0,0,(Upgrades!$G$15+G406*Upgrades!$H$15)*POWER(Upgrades!$I$15,G406)))*(IF(Upgrades!$T$13="Microlensing",POWER(Upgrades!$U$13,E406),1)*IF(Upgrades!$T$14="Microlensing",POWER(Upgrades!$U$14,F406),1)*IF(Upgrades!$T$16="Microlensing",POWER(Upgrades!$U$16,H406),1)*IF(Upgrades!$T$17="Microlensing",POWER(Upgrades!$U$17,I406),1)*IF(Upgrades!$T$18="Microlensing",POWER(Upgrades!$U$18,J406),1)*IF(Upgrades!$T$19="Microlensing",POWER(Upgrades!$U$19,K406),1)*IF(Upgrades!$T$20="Microlensing",POWER(Upgrades!$U$20,L406),1)*IF(Upgrades!$T$21="Microlensing",POWER(Upgrades!$U$21,M406),1))+(IF(H406=0,0,(Upgrades!$G$16+H406*Upgrades!$H$16)*POWER(Upgrades!$I$16,H406)))*(IF(Upgrades!$T$13="Roche Lobe Overflow",POWER(Upgrades!$U$13,E406),1)*IF(Upgrades!$T$14="Roche Lobe Overflow",POWER(Upgrades!$U$14,F406),1)*IF(Upgrades!$T$15="Roche Lobe Overflow",POWER(Upgrades!$U$15,G406),1)*IF(Upgrades!$T$17="Roche Lobe Overflow",POWER(Upgrades!$U$17,I406),1)*IF(Upgrades!$T$18="Roche Lobe Overflow",POWER(Upgrades!$U$18,J406),1)*IF(Upgrades!$T$19="Roche Lobe Overflow",POWER(Upgrades!$U$19,K406),1)*IF(Upgrades!$T$20="Roche Lobe Overflow",POWER(Upgrades!$U$20,L406),1)*IF(Upgrades!$T$21="Roche Lobe Overflow",POWER(Upgrades!$U$21,M406),1))+(IF(I406=0,0,(Upgrades!$G$17+I406*Upgrades!$H$17)*POWER(Upgrades!$I$17,I406)))*(IF(Upgrades!$T$13="Brown Dwarf",POWER(Upgrades!$U$13,E406),1)*IF(Upgrades!$T$14="Brown Dwarf",POWER(Upgrades!$U$14,F406),1)*IF(Upgrades!$T$15="Brown Dwarf",POWER(Upgrades!$U$15,G406),1)*IF(Upgrades!$T$16="Brown Dwarf",POWER(Upgrades!$U$16,H406),1)*IF(Upgrades!$T$18="Brown Dwarf",POWER(Upgrades!$U$18,J406),1)*IF(Upgrades!$T$19="Brown Dwarf",POWER(Upgrades!$U$19,K406),1)*IF(Upgrades!$T$20="Brown Dwarf",POWER(Upgrades!$U$20,L406),1)*IF(Upgrades!$T$21="Brown Dwarf",POWER(Upgrades!$U$21,M406),1))+(IF(J406=0,0,(Upgrades!$G$18+J406*Upgrades!$H$18)*POWER(Upgrades!$I$18,J406)))*(IF(Upgrades!$T$13="Binary Partner",POWER(Upgrades!$U$13,E406),1)*IF(Upgrades!$T$14="Binary Partner",POWER(Upgrades!$U$14,F406),1)*IF(Upgrades!$T$15="Binary Partner",POWER(Upgrades!$U$15,G406),1)*IF(Upgrades!$T$16="Binary Partner",POWER(Upgrades!$U$16,H406),1)*IF(Upgrades!$T$17="Binary Partner",POWER(Upgrades!$U$17,I406),1)*IF(Upgrades!$T$19="Binary Partner",POWER(Upgrades!$U$19,K406),1)*IF(Upgrades!$T$20="Binary Partner",POWER(Upgrades!$U$20,L406),1)*IF(Upgrades!$T$21="Binary Partner",POWER(Upgrades!$U$21,M406),1))+(IF(K406=0,0,(Upgrades!$G$19+K406*Upgrades!$H$19)*POWER(Upgrades!$I$19,K406)))*(IF(Upgrades!$T$13="Peculiar Velocity",POWER(Upgrades!$U$13,E406),1)*IF(Upgrades!$T$14="Peculiar Velocity",POWER(Upgrades!$U$14,F406),1)*IF(Upgrades!$T$15="Peculiar Velocity",POWER(Upgrades!$U$15,G406),1)*IF(Upgrades!$T$16="Peculiar Velocity",POWER(Upgrades!$U$16,H406),1)*IF(Upgrades!$T$17="Peculiar Velocity",POWER(Upgrades!$U$17,I406),1)*IF(Upgrades!$T$18="Peculiar Velocity",POWER(Upgrades!$U$18,J406),1)*IF(Upgrades!$T$20="Peculiar Velocity",POWER(Upgrades!$U$20,L406),1)*IF(Upgrades!$T$21="Peculiar Velocity",POWER(Upgrades!$U$21,M406),1))+(IF(L406=0,0,(Upgrades!$G$20+L406*Upgrades!$H$20)*POWER(Upgrades!$I$20,L406)))*(IF(Upgrades!$T$13="Open Cluster",POWER(Upgrades!$U$13,E406),1)*IF(Upgrades!$T$14="Open Cluster",POWER(Upgrades!$U$14,F406),1)*IF(Upgrades!$T$15="Open Cluster",POWER(Upgrades!$U$15,G406),1)*IF(Upgrades!$T$16="Open Cluster",POWER(Upgrades!$U$16,H406),1)*IF(Upgrades!$T$17="Open Cluster",POWER(Upgrades!$U$17,I406),1)*IF(Upgrades!$T$18="Open Cluster",POWER(Upgrades!$U$18,J406),1)*IF(Upgrades!$T$19="Open Cluster",POWER(Upgrades!$U$19,K406),1)*IF(Upgrades!$T$21="Open Cluster",POWER(Upgrades!$U$21,M406),1))+(IF(M406=0,0,(Upgrades!$G$21+M406*Upgrades!$H$21)*POWER(Upgrades!$I$21,M406)))*(IF(Upgrades!$T$13="Moving Group",POWER(Upgrades!$U$13,E406),1)*IF(Upgrades!$T$14="Moving Group",POWER(Upgrades!$U$14,F406),1)*IF(Upgrades!$T$15="Moving Group",POWER(Upgrades!$U$15,G406),1)*IF(Upgrades!$T$16="Moving Group",POWER(Upgrades!$U$16,H406),1)*IF(Upgrades!$T$17="Moving Group",POWER(Upgrades!$U$17,I406),1)*IF(Upgrades!$T$18="Moving Group",POWER(Upgrades!$U$18,J406),1)*IF(Upgrades!$T$19="Moving Group",POWER(Upgrades!$U$19,K406),1)*IF(Upgrades!$T$20="Moving Group",POWER(Upgrades!$U$20,L406),1)))*POWER(Upgrades!$P$13,E406)*POWER(Upgrades!$P$14,F406)*POWER(Upgrades!$P$15,G406)*POWER(Upgrades!$P$16,H406)*POWER(Upgrades!$P$17,I406)*POWER(Upgrades!$P$18,J406)*POWER(Upgrades!$P$19,K406)*POWER(Upgrades!$P$20,L406)*POWER(Upgrades!$P$21,M406)*$F$6+$C$6</f>
        <v/>
      </c>
      <c r="Q406" s="28">
        <f>((IF(E406=0,0,(Upgrades!$M$13+E406*Upgrades!$N$13)*POWER(Upgrades!$O$13,E406)))*(IF(Upgrades!$T$14="Stellar Kinematics",POWER(Upgrades!$U$14,F406),1)*IF(Upgrades!$T$15="Stellar Kinematics",POWER(Upgrades!$U$15,G406),1)*IF(Upgrades!$T$16="Stellar Kinematics",POWER(Upgrades!$U$16,H406),1)*IF(Upgrades!$T$17="Stellar Kinematics",POWER(Upgrades!$U$17,I406),1)*IF(Upgrades!$T$18="Stellar Kinematics",POWER(Upgrades!$U$18,J406),1)*IF(Upgrades!$T$19="Stellar Kinematics",POWER(Upgrades!$U$19,K406),1)*IF(Upgrades!$T$20="Stellar Kinematics",POWER(Upgrades!$U$20,L406),1)*IF(Upgrades!$T$21="Stellar Kinematics",POWER(Upgrades!$U$21,M406),1))+(IF(F406=0,0,(Upgrades!$M$14+F406*Upgrades!$N$14)*POWER(Upgrades!$O$14,F406)))*(IF(Upgrades!$T$13="Local Bubble",POWER(Upgrades!$U$13,E406),1)*IF(Upgrades!$T$15="Local Bubble",POWER(Upgrades!$U$15,G406),1)*IF(Upgrades!$T$16="Local Bubble",POWER(Upgrades!$U$16,H406),1)*IF(Upgrades!$T$17="Local Bubble",POWER(Upgrades!$U$17,I406),1)*IF(Upgrades!$T$18="Local Bubble",POWER(Upgrades!$U$18,J406),1)*IF(Upgrades!$T$19="Local Bubble",POWER(Upgrades!$U$19,K406),1)*IF(Upgrades!$T$20="Local Bubble",POWER(Upgrades!$U$20,L406),1)*IF(Upgrades!$T$21="Local Bubble",POWER(Upgrades!$U$21,M406),1))+(IF(G406=0,0,(Upgrades!$M$15+G406*Upgrades!$N$15)*POWER(Upgrades!$O$15,G406)))*(IF(Upgrades!$T$13="Microlensing",POWER(Upgrades!$U$13,E406),1)*IF(Upgrades!$T$14="Microlensing",POWER(Upgrades!$U$14,F406),1)*IF(Upgrades!$T$16="Microlensing",POWER(Upgrades!$U$16,H406),1)*IF(Upgrades!$T$17="Microlensing",POWER(Upgrades!$U$17,I406),1)*IF(Upgrades!$T$18="Microlensing",POWER(Upgrades!$U$18,J406),1)*IF(Upgrades!$T$19="Microlensing",POWER(Upgrades!$U$19,K406),1)*IF(Upgrades!$T$20="Microlensing",POWER(Upgrades!$U$20,L406),1)*IF(Upgrades!$T$21="Microlensing",POWER(Upgrades!$U$21,M406),1))+(IF(H406=0,0,(Upgrades!$M$16+H406*Upgrades!$N$16)*POWER(Upgrades!$O$16,H406)))*(IF(Upgrades!$T$13="Roche Lobe Overflow",POWER(Upgrades!$U$13,E406),1)*IF(Upgrades!$T$14="Roche Lobe Overflow",POWER(Upgrades!$U$14,F406),1)*IF(Upgrades!$T$15="Roche Lobe Overflow",POWER(Upgrades!$U$15,G406),1)*IF(Upgrades!$T$17="Roche Lobe Overflow",POWER(Upgrades!$U$17,I406),1)*IF(Upgrades!$T$18="Roche Lobe Overflow",POWER(Upgrades!$U$18,J406),1)*IF(Upgrades!$T$19="Roche Lobe Overflow",POWER(Upgrades!$U$19,K406),1)*IF(Upgrades!$T$20="Roche Lobe Overflow",POWER(Upgrades!$U$20,L406),1)*IF(Upgrades!$T$21="Roche Lobe Overflow",POWER(Upgrades!$U$21,M406),1))+(IF(I406=0,0,(Upgrades!$M$17+I406*Upgrades!$N$17)*POWER(Upgrades!$O$17,I406)))*(IF(Upgrades!$T$13="Brown Dwarf",POWER(Upgrades!$U$13,E406),1)*IF(Upgrades!$T$14="Brown Dwarf",POWER(Upgrades!$U$14,F406),1)*IF(Upgrades!$T$15="Brown Dwarf",POWER(Upgrades!$U$15,G406),1)*IF(Upgrades!$T$16="Brown Dwarf",POWER(Upgrades!$U$16,H406),1)*IF(Upgrades!$T$18="Brown Dwarf",POWER(Upgrades!$U$18,J406),1)*IF(Upgrades!$T$19="Brown Dwarf",POWER(Upgrades!$U$19,K406),1)*IF(Upgrades!$T$20="Brown Dwarf",POWER(Upgrades!$U$20,L406),1)*IF(Upgrades!$T$21="Brown Dwarf",POWER(Upgrades!$U$21,M406),1))+(IF(J406=0,0,(Upgrades!$M$18+J406*Upgrades!$N$18)*POWER(Upgrades!$O$18,J406)))*(IF(Upgrades!$T$13="Binary Partner",POWER(Upgrades!$U$13,E406),1)*IF(Upgrades!$T$14="Binary Partner",POWER(Upgrades!$U$14,F406),1)*IF(Upgrades!$T$15="Binary Partner",POWER(Upgrades!$U$15,G406),1)*IF(Upgrades!$T$16="Binary Partner",POWER(Upgrades!$U$16,H406),1)*IF(Upgrades!$T$17="Binary Partner",POWER(Upgrades!$U$17,I406),1)*IF(Upgrades!$T$19="Binary Partner",POWER(Upgrades!$U$19,K406),1)*IF(Upgrades!$T$20="Binary Partner",POWER(Upgrades!$U$20,L406),1)*IF(Upgrades!$T$21="Binary Partner",POWER(Upgrades!$U$21,M406),1))+(IF(K406=0,0,(Upgrades!$M$19+K406*Upgrades!$N$19)*POWER(Upgrades!$O$19,K406)))*(IF(Upgrades!$T$13="Peculiar Velocity",POWER(Upgrades!$U$13,E406),1)*IF(Upgrades!$T$14="Peculiar Velocity",POWER(Upgrades!$U$14,F406),1)*IF(Upgrades!$T$15="Peculiar Velocity",POWER(Upgrades!$U$15,G406),1)*IF(Upgrades!$T$16="Peculiar Velocity",POWER(Upgrades!$U$16,H406),1)*IF(Upgrades!$T$17="Peculiar Velocity",POWER(Upgrades!$U$17,I406),1)*IF(Upgrades!$T$18="Peculiar Velocity",POWER(Upgrades!$U$18,J406),1)*IF(Upgrades!$T$20="Peculiar Velocity",POWER(Upgrades!$U$20,L406),1)*IF(Upgrades!$T$21="Peculiar Velocity",POWER(Upgrades!$U$21,M406),1))+(IF(L406=0,0,(Upgrades!$M$20+L406*Upgrades!$N$20)*POWER(Upgrades!$O$20,L406)))*(IF(Upgrades!$T$13="Open Cluster",POWER(Upgrades!$U$13,E406),1)*IF(Upgrades!$T$14="Open Cluster",POWER(Upgrades!$U$14,F406),1)*IF(Upgrades!$T$15="Open Cluster",POWER(Upgrades!$U$15,G406),1)*IF(Upgrades!$T$16="Open Cluster",POWER(Upgrades!$U$16,H406),1)*IF(Upgrades!$T$17="Open Cluster",POWER(Upgrades!$U$17,I406),1)*IF(Upgrades!$T$18="Open Cluster",POWER(Upgrades!$U$18,J406),1)*IF(Upgrades!$T$19="Open Cluster",POWER(Upgrades!$U$19,K406),1)*IF(Upgrades!$T$21="Open Cluster",POWER(Upgrades!$U$21,M406),1))+(IF(M406=0,0,(Upgrades!$M$21+M406*Upgrades!$N$21)*POWER(Upgrades!$O$21,M406)))*(IF(Upgrades!$T$13="Moving Group",POWER(Upgrades!$U$13,E406),1)*IF(Upgrades!$T$14="Moving Group",POWER(Upgrades!$U$14,F406),1)*IF(Upgrades!$T$15="Moving Group",POWER(Upgrades!$U$15,G406),1)*IF(Upgrades!$T$16="Moving Group",POWER(Upgrades!$U$16,H406),1)*IF(Upgrades!$T$17="Moving Group",POWER(Upgrades!$U$17,I406),1)*IF(Upgrades!$T$18="Moving Group",POWER(Upgrades!$U$18,J406),1)*IF(Upgrades!$T$19="Moving Group",POWER(Upgrades!$U$19,K406),1)*IF(Upgrades!$T$20="Moving Group",POWER(Upgrades!$U$20,L406),1)))*POWER(Upgrades!$R$13,E406)*POWER(Upgrades!$R$14,F406)*POWER(Upgrades!$R$15,G406)*POWER(Upgrades!$R$16,H406)*POWER(Upgrades!$R$17,I406)*POWER(Upgrades!$R$18,J406)*POWER(Upgrades!$R$19,K406)*POWER(Upgrades!$R$20,L406)*POWER(Upgrades!$R$21,M406)*$H$6+$E$6</f>
        <v/>
      </c>
      <c r="R406" s="27">
        <f>IF(N406=1,0,O406*Parameters!$B$10/60*Parameters!$B$11*10)</f>
        <v/>
      </c>
      <c r="S406" s="27">
        <f>IF(N406=1,0,Q406*O406*10)</f>
        <v/>
      </c>
      <c r="T406" s="27">
        <f>IF(N406=1,0,R406+S406+P406*10)</f>
        <v/>
      </c>
      <c r="U406" s="33">
        <f>BE406</f>
        <v/>
      </c>
      <c r="V406" s="22">
        <f>IF(U406="",0,IF(U406="transition",0,IF(U406="SK",AK406,IF(U406="LB",AL406,IF(U406="ML",AM406,IF(U406="RLO",AN406,IF(U406="BD",AO406,IF(U406="BiP",AP406,IF(U406="PV",AQ406,IF(U406="OC",AR406,IF(U406="MG",AS406,0))))))))))</f>
        <v/>
      </c>
      <c r="W406" s="27">
        <f>IF(U406="BiP",Upgrades!$F$18,IF(U406="PV",Upgrades!$F$19,IF(U406="OC",Upgrades!$F$20,IF(U406="MG",Upgrades!$F$21,IF(U406="transition",-Parameters!$B$18*Parameters!$B$19,0)))))</f>
        <v/>
      </c>
      <c r="X406" s="22">
        <f>C406+T406-V406</f>
        <v/>
      </c>
      <c r="Y406" s="30">
        <f>O406*Parameters!$B$10/60*Parameters!$B$11+Q406*O406+P406</f>
        <v/>
      </c>
      <c r="Z406" s="34">
        <f>IF(U406="transition","→ Tier 3 (Galactic Arm)",IF(U406="MG","Moving Group — pocket drifts together",IF(U406="OC","Open Cluster acquired",IF(U406="PV","Peculiar Velocity — passive multiplier active",IF(U406="BiP","Binary Partner — pair bond formed",IF(AND(AU406=1,N406=0,AT406&lt;&gt;1),"Cohesion ready (waiting on completionists)","")))))) </f>
        <v/>
      </c>
      <c r="AA406" s="27">
        <f>(IF(E406=0,0,(Upgrades!$G$13+E406*Upgrades!$H$13)*POWER(Upgrades!$I$13,E406)))*(IF(Upgrades!$T$14="Stellar Kinematics",POWER(Upgrades!$U$14,F406),1)*IF(Upgrades!$T$15="Stellar Kinematics",POWER(Upgrades!$U$15,G406),1)*IF(Upgrades!$T$16="Stellar Kinematics",POWER(Upgrades!$U$16,H406),1)*IF(Upgrades!$T$17="Stellar Kinematics",POWER(Upgrades!$U$17,I406),1)*IF(Upgrades!$T$18="Stellar Kinematics",POWER(Upgrades!$U$18,J406),1)*IF(Upgrades!$T$19="Stellar Kinematics",POWER(Upgrades!$U$19,K406),1)*IF(Upgrades!$T$20="Stellar Kinematics",POWER(Upgrades!$U$20,L406),1)*IF(Upgrades!$T$21="Stellar Kinematics",POWER(Upgrades!$U$21,M406),1))*POWER(Upgrades!$P$13,E406)*POWER(Upgrades!$P$14,F406)*POWER(Upgrades!$P$15,G406)*POWER(Upgrades!$P$16,H406)*POWER(Upgrades!$P$17,I406)*POWER(Upgrades!$P$18,J406)*POWER(Upgrades!$P$19,K406)*POWER(Upgrades!$P$20,L406)*POWER(Upgrades!$P$21,M406)*$F$6*60</f>
        <v/>
      </c>
      <c r="AB406" s="27">
        <f>(IF(F406=0,0,(Upgrades!$G$14+F406*Upgrades!$H$14)*POWER(Upgrades!$I$14,F406)))*(IF(Upgrades!$T$13="Local Bubble",POWER(Upgrades!$U$13,E406),1)*IF(Upgrades!$T$15="Local Bubble",POWER(Upgrades!$U$15,G406),1)*IF(Upgrades!$T$16="Local Bubble",POWER(Upgrades!$U$16,H406),1)*IF(Upgrades!$T$17="Local Bubble",POWER(Upgrades!$U$17,I406),1)*IF(Upgrades!$T$18="Local Bubble",POWER(Upgrades!$U$18,J406),1)*IF(Upgrades!$T$19="Local Bubble",POWER(Upgrades!$U$19,K406),1)*IF(Upgrades!$T$20="Local Bubble",POWER(Upgrades!$U$20,L406),1)*IF(Upgrades!$T$21="Local Bubble",POWER(Upgrades!$U$21,M406),1))*POWER(Upgrades!$P$13,E406)*POWER(Upgrades!$P$14,F406)*POWER(Upgrades!$P$15,G406)*POWER(Upgrades!$P$16,H406)*POWER(Upgrades!$P$17,I406)*POWER(Upgrades!$P$18,J406)*POWER(Upgrades!$P$19,K406)*POWER(Upgrades!$P$20,L406)*POWER(Upgrades!$P$21,M406)*$F$6*60</f>
        <v/>
      </c>
      <c r="AC406" s="27">
        <f>(IF(G406=0,0,(Upgrades!$J$15+G406*Upgrades!$K$15)*POWER(Upgrades!$L$15,G406)))*(IF(Upgrades!$T$13="Microlensing",POWER(Upgrades!$U$13,E406),1)*IF(Upgrades!$T$14="Microlensing",POWER(Upgrades!$U$14,F406),1)*IF(Upgrades!$T$16="Microlensing",POWER(Upgrades!$U$16,H406),1)*IF(Upgrades!$T$17="Microlensing",POWER(Upgrades!$U$17,I406),1)*IF(Upgrades!$T$18="Microlensing",POWER(Upgrades!$U$18,J406),1)*IF(Upgrades!$T$19="Microlensing",POWER(Upgrades!$U$19,K406),1)*IF(Upgrades!$T$20="Microlensing",POWER(Upgrades!$U$20,L406),1)*IF(Upgrades!$T$21="Microlensing",POWER(Upgrades!$U$21,M406),1))*POWER(Upgrades!$Q$13,E406)*POWER(Upgrades!$Q$14,F406)*POWER(Upgrades!$Q$15,G406)*POWER(Upgrades!$Q$16,H406)*POWER(Upgrades!$Q$17,I406)*POWER(Upgrades!$Q$18,J406)*POWER(Upgrades!$Q$19,K406)*POWER(Upgrades!$Q$20,L406)*POWER(Upgrades!$Q$21,M406)*$G$6*(Parameters!$B$10*Parameters!$B$11+Q406*60)</f>
        <v/>
      </c>
      <c r="AD406" s="27">
        <f>(IF(H406=0,0,(Upgrades!$M$16+H406*Upgrades!$N$16)*POWER(Upgrades!$O$16,H406)))*(IF(Upgrades!$T$13="Roche Lobe Overflow",POWER(Upgrades!$U$13,E406),1)*IF(Upgrades!$T$14="Roche Lobe Overflow",POWER(Upgrades!$U$14,F406),1)*IF(Upgrades!$T$15="Roche Lobe Overflow",POWER(Upgrades!$U$15,G406),1)*IF(Upgrades!$T$17="Roche Lobe Overflow",POWER(Upgrades!$U$17,I406),1)*IF(Upgrades!$T$18="Roche Lobe Overflow",POWER(Upgrades!$U$18,J406),1)*IF(Upgrades!$T$19="Roche Lobe Overflow",POWER(Upgrades!$U$19,K406),1)*IF(Upgrades!$T$20="Roche Lobe Overflow",POWER(Upgrades!$U$20,L406),1)*IF(Upgrades!$T$21="Roche Lobe Overflow",POWER(Upgrades!$U$21,M406),1))*POWER(Upgrades!$R$13,E406)*POWER(Upgrades!$R$14,F406)*POWER(Upgrades!$R$15,G406)*POWER(Upgrades!$R$16,H406)*POWER(Upgrades!$R$17,I406)*POWER(Upgrades!$R$18,J406)*POWER(Upgrades!$R$19,K406)*POWER(Upgrades!$R$20,L406)*POWER(Upgrades!$R$21,M406)*$H$6*O406*60</f>
        <v/>
      </c>
      <c r="AE406" s="27">
        <f>(IF(I406=0,0,(Upgrades!$G$17+I406*Upgrades!$H$17)*POWER(Upgrades!$I$17,I406)))*(IF(Upgrades!$T$13="Brown Dwarf",POWER(Upgrades!$U$13,E406),1)*IF(Upgrades!$T$14="Brown Dwarf",POWER(Upgrades!$U$14,F406),1)*IF(Upgrades!$T$15="Brown Dwarf",POWER(Upgrades!$U$15,G406),1)*IF(Upgrades!$T$16="Brown Dwarf",POWER(Upgrades!$U$16,H406),1)*IF(Upgrades!$T$18="Brown Dwarf",POWER(Upgrades!$U$18,J406),1)*IF(Upgrades!$T$19="Brown Dwarf",POWER(Upgrades!$U$19,K406),1)*IF(Upgrades!$T$20="Brown Dwarf",POWER(Upgrades!$U$20,L406),1)*IF(Upgrades!$T$21="Brown Dwarf",POWER(Upgrades!$U$21,M406),1))*POWER(Upgrades!$P$13,E406)*POWER(Upgrades!$P$14,F406)*POWER(Upgrades!$P$15,G406)*POWER(Upgrades!$P$16,H406)*POWER(Upgrades!$P$17,I406)*POWER(Upgrades!$P$18,J406)*POWER(Upgrades!$P$19,K406)*POWER(Upgrades!$P$20,L406)*POWER(Upgrades!$P$21,M406)*$F$6*60</f>
        <v/>
      </c>
      <c r="AF406" s="27" t="n">
        <v>0</v>
      </c>
      <c r="AG406" s="27" t="n">
        <v>0</v>
      </c>
      <c r="AH406" s="27" t="n">
        <v>0</v>
      </c>
      <c r="AI406" s="27">
        <f>(IF(M406=0,0,(Upgrades!$G$21+M406*Upgrades!$H$21)*POWER(Upgrades!$I$21,M406)))*(IF(Upgrades!$T$13="Moving Group",POWER(Upgrades!$U$13,E406),1)*IF(Upgrades!$T$14="Moving Group",POWER(Upgrades!$U$14,F406),1)*IF(Upgrades!$T$15="Moving Group",POWER(Upgrades!$U$15,G406),1)*IF(Upgrades!$T$16="Moving Group",POWER(Upgrades!$U$16,H406),1)*IF(Upgrades!$T$17="Moving Group",POWER(Upgrades!$U$17,I406),1)*IF(Upgrades!$T$18="Moving Group",POWER(Upgrades!$U$18,J406),1)*IF(Upgrades!$T$19="Moving Group",POWER(Upgrades!$U$19,K406),1)*IF(Upgrades!$T$20="Moving Group",POWER(Upgrades!$U$20,L406),1))*POWER(Upgrades!$P$13,E406)*POWER(Upgrades!$P$14,F406)*POWER(Upgrades!$P$15,G406)*POWER(Upgrades!$P$16,H406)*POWER(Upgrades!$P$17,I406)*POWER(Upgrades!$P$18,J406)*POWER(Upgrades!$P$19,K406)*POWER(Upgrades!$P$20,L406)*POWER(Upgrades!$P$21,M406)*$F$6*60</f>
        <v/>
      </c>
      <c r="AJ406" s="27">
        <f>$C$6*60</f>
        <v/>
      </c>
      <c r="AK406" s="22">
        <f>IF(E406&gt;=Upgrades!$E$13,"",Upgrades!$C$13*POWER(Upgrades!$D$13,E406))</f>
        <v/>
      </c>
      <c r="AL406" s="22">
        <f>IF(F406&gt;=Upgrades!$E$14,"",Upgrades!$C$14*POWER(Upgrades!$D$14,F406))</f>
        <v/>
      </c>
      <c r="AM406" s="22">
        <f>IF(G406&gt;=Upgrades!$E$15,"",Upgrades!$C$15*POWER(Upgrades!$D$15,G406))</f>
        <v/>
      </c>
      <c r="AN406" s="22">
        <f>IF(H406&gt;=Upgrades!$E$16,"",Upgrades!$C$16*POWER(Upgrades!$D$16,H406))</f>
        <v/>
      </c>
      <c r="AO406" s="22">
        <f>IF(I406&gt;=Upgrades!$E$17,"",Upgrades!$C$17*POWER(Upgrades!$D$17,I406))</f>
        <v/>
      </c>
      <c r="AP406" s="22">
        <f>IF(J406&gt;=Upgrades!$E$18,"",Upgrades!$C$18*POWER(Upgrades!$D$18,J406))</f>
        <v/>
      </c>
      <c r="AQ406" s="22">
        <f>IF(K406&gt;=Upgrades!$E$19,"",Upgrades!$C$19*POWER(Upgrades!$D$19,K406))</f>
        <v/>
      </c>
      <c r="AR406" s="22">
        <f>IF(L406&gt;=Upgrades!$E$20,"",Upgrades!$C$20*POWER(Upgrades!$D$20,L406))</f>
        <v/>
      </c>
      <c r="AS406" s="22">
        <f>IF(M406&gt;=Upgrades!$E$21,"",Upgrades!$C$21*POWER(Upgrades!$D$21,M406))</f>
        <v/>
      </c>
      <c r="AT406" s="26">
        <f>IF(AND(D406&gt;=Parameters!$B$18*Parameters!$B$19,(I406&gt;=Upgrades!$E$17)*(M406&gt;=Upgrades!$E$21)=1,N406=0),1,"")</f>
        <v/>
      </c>
      <c r="AU406" s="26">
        <f>IF(AND(D406&gt;=Parameters!$B$18*Parameters!$B$19,N406=0),1,"")</f>
        <v/>
      </c>
      <c r="AV406" s="22">
        <f>MIN(IF(ISNUMBER(AP406),AP406,9E15),IF(ISNUMBER(AQ406),AQ406,9E15),IF(ISNUMBER(AR406),AR406,9E15),IF(ISNUMBER(AS406),AS406,9E15))</f>
        <v/>
      </c>
      <c r="AW406" s="22">
        <f>MIN(IF(ISNUMBER(AK406),AK406,9E15),IF(ISNUMBER(AL406),AL406,9E15),IF(ISNUMBER(AM406),AM406,9E15),IF(ISNUMBER(AN406),AN406,9E15),IF(ISNUMBER(AO406),AO406,9E15))</f>
        <v/>
      </c>
      <c r="AX406" s="29">
        <f>IF(BD406&gt;Parameters!$B$21*(MAX(IF(AND(NOT(AND(AU406=1,AT406&lt;&gt;1)),ISNUMBER(AK406),AK406&lt;=(C406+T406)),AY406,0),IF(AND(NOT(AND(AU406=1,AT406&lt;&gt;1)),ISNUMBER(AL406),AL406&lt;=(C406+T406)),AZ406,0),IF(AND(NOT(AND(AU406=1,AT406&lt;&gt;1)),ISNUMBER(AM406),AM406&lt;=(C406+T406)),BA406,0),IF(AND(NOT(AND(AU406=1,AT406&lt;&gt;1)),ISNUMBER(AN406),AN406&lt;=(C406+T406)),BB406,0),IF(AND(ISNUMBER(AO406),AO406&lt;=(C406+T406)),BC406,0))),TRUE,FALSE)</f>
        <v/>
      </c>
      <c r="AY406" s="32">
        <f>IFERROR(Upgrades!$H$13*(POWER(Upgrades!$P$13,E406)*POWER(Upgrades!$P$14,F406)*POWER(Upgrades!$P$15,G406)*POWER(Upgrades!$P$16,H406)*POWER(Upgrades!$P$17,I406)*POWER(Upgrades!$P$18,J406)*POWER(Upgrades!$P$19,K406)*POWER(Upgrades!$P$20,L406)*POWER(Upgrades!$P$21,M406))*(IF(Upgrades!$T$14="Stellar Kinematics",POWER(Upgrades!$U$14,F406),1)*IF(Upgrades!$T$15="Stellar Kinematics",POWER(Upgrades!$U$15,G406),1)*IF(Upgrades!$T$16="Stellar Kinematics",POWER(Upgrades!$U$16,H406),1)*IF(Upgrades!$T$17="Stellar Kinematics",POWER(Upgrades!$U$17,I406),1)*IF(Upgrades!$T$18="Stellar Kinematics",POWER(Upgrades!$U$18,J406),1)*IF(Upgrades!$T$19="Stellar Kinematics",POWER(Upgrades!$U$19,K406),1)*IF(Upgrades!$T$20="Stellar Kinematics",POWER(Upgrades!$U$20,L406),1)*IF(Upgrades!$T$21="Stellar Kinematics",POWER(Upgrades!$U$21,M406),1))*$F$6/AK406,0)</f>
        <v/>
      </c>
      <c r="AZ406" s="32">
        <f>IFERROR(Upgrades!$H$14*(POWER(Upgrades!$P$13,E406)*POWER(Upgrades!$P$14,F406)*POWER(Upgrades!$P$15,G406)*POWER(Upgrades!$P$16,H406)*POWER(Upgrades!$P$17,I406)*POWER(Upgrades!$P$18,J406)*POWER(Upgrades!$P$19,K406)*POWER(Upgrades!$P$20,L406)*POWER(Upgrades!$P$21,M406))*(IF(Upgrades!$T$13="Local Bubble",POWER(Upgrades!$U$13,E406),1)*IF(Upgrades!$T$15="Local Bubble",POWER(Upgrades!$U$15,G406),1)*IF(Upgrades!$T$16="Local Bubble",POWER(Upgrades!$U$16,H406),1)*IF(Upgrades!$T$17="Local Bubble",POWER(Upgrades!$U$17,I406),1)*IF(Upgrades!$T$18="Local Bubble",POWER(Upgrades!$U$18,J406),1)*IF(Upgrades!$T$19="Local Bubble",POWER(Upgrades!$U$19,K406),1)*IF(Upgrades!$T$20="Local Bubble",POWER(Upgrades!$U$20,L406),1)*IF(Upgrades!$T$21="Local Bubble",POWER(Upgrades!$U$21,M406),1))*$F$6/AL406,0)</f>
        <v/>
      </c>
      <c r="BA406" s="32">
        <f>IFERROR(Upgrades!$K$15*(POWER(Upgrades!$Q$13,E406)*POWER(Upgrades!$Q$14,F406)*POWER(Upgrades!$Q$15,G406)*POWER(Upgrades!$Q$16,H406)*POWER(Upgrades!$Q$17,I406)*POWER(Upgrades!$Q$18,J406)*POWER(Upgrades!$Q$19,K406)*POWER(Upgrades!$Q$20,L406)*POWER(Upgrades!$Q$21,M406))*(IF(Upgrades!$T$13="Microlensing",POWER(Upgrades!$U$13,E406),1)*IF(Upgrades!$T$14="Microlensing",POWER(Upgrades!$U$14,F406),1)*IF(Upgrades!$T$16="Microlensing",POWER(Upgrades!$U$16,H406),1)*IF(Upgrades!$T$17="Microlensing",POWER(Upgrades!$U$17,I406),1)*IF(Upgrades!$T$18="Microlensing",POWER(Upgrades!$U$18,J406),1)*IF(Upgrades!$T$19="Microlensing",POWER(Upgrades!$U$19,K406),1)*IF(Upgrades!$T$20="Microlensing",POWER(Upgrades!$U$20,L406),1)*IF(Upgrades!$T$21="Microlensing",POWER(Upgrades!$U$21,M406),1))*$G$6*(Parameters!$B$10/60*Parameters!$B$11+Q406)/AM406,0)</f>
        <v/>
      </c>
      <c r="BB406" s="32">
        <f>IFERROR((Upgrades!$N$16*(POWER(Upgrades!$R$13,E406)*POWER(Upgrades!$R$14,F406)*POWER(Upgrades!$R$15,G406)*POWER(Upgrades!$R$16,H406)*POWER(Upgrades!$R$17,I406)*POWER(Upgrades!$R$18,J406)*POWER(Upgrades!$R$19,K406)*POWER(Upgrades!$R$20,L406)*POWER(Upgrades!$R$21,M406))*(IF(Upgrades!$T$13="Roche Lobe Overflow",POWER(Upgrades!$U$13,E406),1)*IF(Upgrades!$T$14="Roche Lobe Overflow",POWER(Upgrades!$U$14,F406),1)*IF(Upgrades!$T$15="Roche Lobe Overflow",POWER(Upgrades!$U$15,G406),1)*IF(Upgrades!$T$17="Roche Lobe Overflow",POWER(Upgrades!$U$17,I406),1)*IF(Upgrades!$T$18="Roche Lobe Overflow",POWER(Upgrades!$U$18,J406),1)*IF(Upgrades!$T$19="Roche Lobe Overflow",POWER(Upgrades!$U$19,K406),1)*IF(Upgrades!$T$20="Roche Lobe Overflow",POWER(Upgrades!$U$20,L406),1)*IF(Upgrades!$T$21="Roche Lobe Overflow",POWER(Upgrades!$U$21,M406),1))*$H$6*O406+((IF(F406=0,0,(Upgrades!$G$14+F406*Upgrades!$H$14)*POWER(Upgrades!$I$14,F406)))*(IF(Upgrades!$T$13="Local Bubble",POWER(Upgrades!$U$13,E406),1)*IF(Upgrades!$T$15="Local Bubble",POWER(Upgrades!$U$15,G406),1)*IF(Upgrades!$T$16="Local Bubble",POWER(Upgrades!$U$16,H406),1)*IF(Upgrades!$T$17="Local Bubble",POWER(Upgrades!$U$17,I406),1)*IF(Upgrades!$T$18="Local Bubble",POWER(Upgrades!$U$18,J406),1)*IF(Upgrades!$T$19="Local Bubble",POWER(Upgrades!$U$19,K406),1)*IF(Upgrades!$T$20="Local Bubble",POWER(Upgrades!$U$20,L406),1)*IF(Upgrades!$T$21="Local Bubble",POWER(Upgrades!$U$21,M406),1))*POWER(Upgrades!$P$13,E406)*POWER(Upgrades!$P$14,F406)*POWER(Upgrades!$P$15,G406)*POWER(Upgrades!$P$16,H406)*POWER(Upgrades!$P$17,I406)*POWER(Upgrades!$P$18,J406)*POWER(Upgrades!$P$19,K406)*POWER(Upgrades!$P$20,L406)*POWER(Upgrades!$P$21,M406)*$F$6)*0.05)/AN406,0)</f>
        <v/>
      </c>
      <c r="BC406" s="32">
        <f>IFERROR((Upgrades!$H$17*(POWER(Upgrades!$P$13,E406)*POWER(Upgrades!$P$14,F406)*POWER(Upgrades!$P$15,G406)*POWER(Upgrades!$P$16,H406)*POWER(Upgrades!$P$17,I406)*POWER(Upgrades!$P$18,J406)*POWER(Upgrades!$P$19,K406)*POWER(Upgrades!$P$20,L406)*POWER(Upgrades!$P$21,M406))*(IF(Upgrades!$T$13="Brown Dwarf",POWER(Upgrades!$U$13,E406),1)*IF(Upgrades!$T$14="Brown Dwarf",POWER(Upgrades!$U$14,F406),1)*IF(Upgrades!$T$15="Brown Dwarf",POWER(Upgrades!$U$15,G406),1)*IF(Upgrades!$T$16="Brown Dwarf",POWER(Upgrades!$U$16,H406),1)*IF(Upgrades!$T$18="Brown Dwarf",POWER(Upgrades!$U$18,J406),1)*IF(Upgrades!$T$19="Brown Dwarf",POWER(Upgrades!$U$19,K406),1)*IF(Upgrades!$T$20="Brown Dwarf",POWER(Upgrades!$U$20,L406),1)*IF(Upgrades!$T$21="Brown Dwarf",POWER(Upgrades!$U$21,M406),1))*$F$6+(((IF(H406=0,0,(Upgrades!$M$16+H406*Upgrades!$N$16)*POWER(Upgrades!$O$16,H406)))*(IF(Upgrades!$T$13="Roche Lobe Overflow",POWER(Upgrades!$U$13,E406),1)*IF(Upgrades!$T$14="Roche Lobe Overflow",POWER(Upgrades!$U$14,F406),1)*IF(Upgrades!$T$15="Roche Lobe Overflow",POWER(Upgrades!$U$15,G406),1)*IF(Upgrades!$T$17="Roche Lobe Overflow",POWER(Upgrades!$U$17,I406),1)*IF(Upgrades!$T$18="Roche Lobe Overflow",POWER(Upgrades!$U$18,J406),1)*IF(Upgrades!$T$19="Roche Lobe Overflow",POWER(Upgrades!$U$19,K406),1)*IF(Upgrades!$T$20="Roche Lobe Overflow",POWER(Upgrades!$U$20,L406),1)*IF(Upgrades!$T$21="Roche Lobe Overflow",POWER(Upgrades!$U$21,M406),1))*POWER(Upgrades!$R$13,E406)*POWER(Upgrades!$R$14,F406)*POWER(Upgrades!$R$15,G406)*POWER(Upgrades!$R$16,H406)*POWER(Upgrades!$R$17,I406)*POWER(Upgrades!$R$18,J406)*POWER(Upgrades!$R$19,K406)*POWER(Upgrades!$R$20,L406)*POWER(Upgrades!$R$21,M406)*$H$6)*O406)*0.10)/AO406,0)</f>
        <v/>
      </c>
      <c r="BD406" s="32">
        <f>MAX(IF(J406&gt;0,0,IFERROR(0.5*((IF(G406=0,0,(Upgrades!$J$15+G406*Upgrades!$K$15)*POWER(Upgrades!$L$15,G406)))*(IF(Upgrades!$T$13="Microlensing",POWER(Upgrades!$U$13,E406),1)*IF(Upgrades!$T$14="Microlensing",POWER(Upgrades!$U$14,F406),1)*IF(Upgrades!$T$16="Microlensing",POWER(Upgrades!$U$16,H406),1)*IF(Upgrades!$T$17="Microlensing",POWER(Upgrades!$U$17,I406),1)*IF(Upgrades!$T$18="Microlensing",POWER(Upgrades!$U$18,J406),1)*IF(Upgrades!$T$19="Microlensing",POWER(Upgrades!$U$19,K406),1)*IF(Upgrades!$T$20="Microlensing",POWER(Upgrades!$U$20,L406),1)*IF(Upgrades!$T$21="Microlensing",POWER(Upgrades!$U$21,M406),1))*(POWER(Upgrades!$Q$13,E406)*POWER(Upgrades!$Q$14,F406)*POWER(Upgrades!$Q$15,G406)*POWER(Upgrades!$Q$16,H406)*POWER(Upgrades!$Q$17,I406)*POWER(Upgrades!$Q$18,J406)*POWER(Upgrades!$Q$19,K406)*POWER(Upgrades!$Q$20,L406)*POWER(Upgrades!$Q$21,M406))*$G$6*(Parameters!$B$10/60*Parameters!$B$11+Q406))/Upgrades!$C$18,0)),IF(K406&gt;0,0,IFERROR(0.30*P406/Upgrades!$C$19,0)),IF(L406&gt;0,0,IFERROR(0.0001/Upgrades!$C$20,0)),IF(M406&gt;0,0,IFERROR((6.0*(POWER(Upgrades!$P$13,E406)*POWER(Upgrades!$P$14,F406)*POWER(Upgrades!$P$15,G406)*POWER(Upgrades!$P$16,H406)*POWER(Upgrades!$P$17,I406)*POWER(Upgrades!$P$18,J406)*POWER(Upgrades!$P$19,K406)*POWER(Upgrades!$P$20,L406)*POWER(Upgrades!$P$21,M406))*$F$6+0.20*O406*(Parameters!$B$10/60*Parameters!$B$11+Q406))/Upgrades!$C$21,0)),IF(AND(ISNUMBER(AK406),AK406&gt;(C406+T406)),AY406,0),IF(AND(ISNUMBER(AL406),AL406&gt;(C406+T406)),AZ406,0),IF(AND(ISNUMBER(AM406),AM406&gt;(C406+T406)),BA406,0),IF(AND(ISNUMBER(AN406),AN406&gt;(C406+T406)),BB406,0),IF(AND(ISNUMBER(AO406),AO406&gt;(C406+T406)),BC406,0))</f>
        <v/>
      </c>
      <c r="BE406" s="29">
        <f>IF(AT406=1,"transition",IF(MIN(IF(AND(J406=0,ISNUMBER(AP406),AP406&lt;=(C406+T406)),AP406,9E15),IF(AND(K406=0,ISNUMBER(AQ406),AQ406&lt;=(C406+T406)),AQ406,9E15),IF(AND(L406=0,ISNUMBER(AR406),AR406&lt;=(C406+T406)),AR406,9E15),IF(AND(M406=0,ISNUMBER(AS406),AS406&lt;=(C406+T406)),AS406,9E15))&lt;9E15,IF(AND(AND(J406=0,ISNUMBER(AP406),AP406&lt;=(C406+T406)),AP406=MIN(IF(AND(J406=0,ISNUMBER(AP406),AP406&lt;=(C406+T406)),AP406,9E15),IF(AND(K406=0,ISNUMBER(AQ406),AQ406&lt;=(C406+T406)),AQ406,9E15),IF(AND(L406=0,ISNUMBER(AR406),AR406&lt;=(C406+T406)),AR406,9E15),IF(AND(M406=0,ISNUMBER(AS406),AS406&lt;=(C406+T406)),AS406,9E15))),"BiP",IF(AND(AND(K406=0,ISNUMBER(AQ406),AQ406&lt;=(C406+T406)),AQ406=MIN(IF(AND(J406=0,ISNUMBER(AP406),AP406&lt;=(C406+T406)),AP406,9E15),IF(AND(K406=0,ISNUMBER(AQ406),AQ406&lt;=(C406+T406)),AQ406,9E15),IF(AND(L406=0,ISNUMBER(AR406),AR406&lt;=(C406+T406)),AR406,9E15),IF(AND(M406=0,ISNUMBER(AS406),AS406&lt;=(C406+T406)),AS406,9E15))),"PV",IF(AND(AND(L406=0,ISNUMBER(AR406),AR406&lt;=(C406+T406)),AR406=MIN(IF(AND(J406=0,ISNUMBER(AP406),AP406&lt;=(C406+T406)),AP406,9E15),IF(AND(K406=0,ISNUMBER(AQ406),AQ406&lt;=(C406+T406)),AQ406,9E15),IF(AND(L406=0,ISNUMBER(AR406),AR406&lt;=(C406+T406)),AR406,9E15),IF(AND(M406=0,ISNUMBER(AS406),AS406&lt;=(C406+T406)),AS406,9E15))),"OC","MG"))),IF(AX406=TRUE,"",IF(MAX(IF(AND(NOT(AND(AU406=1,AT406&lt;&gt;1)),ISNUMBER(AK406),AK406&lt;=(C406+T406)),AY406,0),IF(AND(NOT(AND(AU406=1,AT406&lt;&gt;1)),ISNUMBER(AL406),AL406&lt;=(C406+T406)),AZ406,0),IF(AND(NOT(AND(AU406=1,AT406&lt;&gt;1)),ISNUMBER(AM406),AM406&lt;=(C406+T406)),BA406,0),IF(AND(NOT(AND(AU406=1,AT406&lt;&gt;1)),ISNUMBER(AN406),AN406&lt;=(C406+T406)),BB406,0),IF(AND(ISNUMBER(AO406),AO406&lt;=(C406+T406)),BC406,0))&lt;=0,"",IF(AND(IF(AND(NOT(AND(AU406=1,AT406&lt;&gt;1)),ISNUMBER(AK406),AK406&lt;=(C406+T406)),AY406,0)&gt;0,IF(AND(NOT(AND(AU406=1,AT406&lt;&gt;1)),ISNUMBER(AK406),AK406&lt;=(C406+T406)),AY406,0)=MAX(IF(AND(NOT(AND(AU406=1,AT406&lt;&gt;1)),ISNUMBER(AK406),AK406&lt;=(C406+T406)),AY406,0),IF(AND(NOT(AND(AU406=1,AT406&lt;&gt;1)),ISNUMBER(AL406),AL406&lt;=(C406+T406)),AZ406,0),IF(AND(NOT(AND(AU406=1,AT406&lt;&gt;1)),ISNUMBER(AM406),AM406&lt;=(C406+T406)),BA406,0),IF(AND(NOT(AND(AU406=1,AT406&lt;&gt;1)),ISNUMBER(AN406),AN406&lt;=(C406+T406)),BB406,0),IF(AND(ISNUMBER(AO406),AO406&lt;=(C406+T406)),BC406,0))),"SK",IF(AND(IF(AND(NOT(AND(AU406=1,AT406&lt;&gt;1)),ISNUMBER(AL406),AL406&lt;=(C406+T406)),AZ406,0)&gt;0,IF(AND(NOT(AND(AU406=1,AT406&lt;&gt;1)),ISNUMBER(AL406),AL406&lt;=(C406+T406)),AZ406,0)=MAX(IF(AND(NOT(AND(AU406=1,AT406&lt;&gt;1)),ISNUMBER(AK406),AK406&lt;=(C406+T406)),AY406,0),IF(AND(NOT(AND(AU406=1,AT406&lt;&gt;1)),ISNUMBER(AL406),AL406&lt;=(C406+T406)),AZ406,0),IF(AND(NOT(AND(AU406=1,AT406&lt;&gt;1)),ISNUMBER(AM406),AM406&lt;=(C406+T406)),BA406,0),IF(AND(NOT(AND(AU406=1,AT406&lt;&gt;1)),ISNUMBER(AN406),AN406&lt;=(C406+T406)),BB406,0),IF(AND(ISNUMBER(AO406),AO406&lt;=(C406+T406)),BC406,0))),"LB",IF(AND(IF(AND(NOT(AND(AU406=1,AT406&lt;&gt;1)),ISNUMBER(AM406),AM406&lt;=(C406+T406)),BA406,0)&gt;0,IF(AND(NOT(AND(AU406=1,AT406&lt;&gt;1)),ISNUMBER(AM406),AM406&lt;=(C406+T406)),BA406,0)=MAX(IF(AND(NOT(AND(AU406=1,AT406&lt;&gt;1)),ISNUMBER(AK406),AK406&lt;=(C406+T406)),AY406,0),IF(AND(NOT(AND(AU406=1,AT406&lt;&gt;1)),ISNUMBER(AL406),AL406&lt;=(C406+T406)),AZ406,0),IF(AND(NOT(AND(AU406=1,AT406&lt;&gt;1)),ISNUMBER(AM406),AM406&lt;=(C406+T406)),BA406,0),IF(AND(NOT(AND(AU406=1,AT406&lt;&gt;1)),ISNUMBER(AN406),AN406&lt;=(C406+T406)),BB406,0),IF(AND(ISNUMBER(AO406),AO406&lt;=(C406+T406)),BC406,0))),"ML",IF(AND(IF(AND(NOT(AND(AU406=1,AT406&lt;&gt;1)),ISNUMBER(AN406),AN406&lt;=(C406+T406)),BB406,0)&gt;0,IF(AND(NOT(AND(AU406=1,AT406&lt;&gt;1)),ISNUMBER(AN406),AN406&lt;=(C406+T406)),BB406,0)=MAX(IF(AND(NOT(AND(AU406=1,AT406&lt;&gt;1)),ISNUMBER(AK406),AK406&lt;=(C406+T406)),AY406,0),IF(AND(NOT(AND(AU406=1,AT406&lt;&gt;1)),ISNUMBER(AL406),AL406&lt;=(C406+T406)),AZ406,0),IF(AND(NOT(AND(AU406=1,AT406&lt;&gt;1)),ISNUMBER(AM406),AM406&lt;=(C406+T406)),BA406,0),IF(AND(NOT(AND(AU406=1,AT406&lt;&gt;1)),ISNUMBER(AN406),AN406&lt;=(C406+T406)),BB406,0),IF(AND(ISNUMBER(AO406),AO406&lt;=(C406+T406)),BC406,0))),"RLO","BD"))))))))</f>
        <v/>
      </c>
    </row>
    <row r="407">
      <c r="A407" s="26" t="n">
        <v>396</v>
      </c>
      <c r="B407" s="27">
        <f>A407*10/60</f>
        <v/>
      </c>
      <c r="C407" s="22">
        <f>X406</f>
        <v/>
      </c>
      <c r="D407" s="27">
        <f>D406+W406</f>
        <v/>
      </c>
      <c r="E407" s="26">
        <f>E406+IF(U406="SK",1,0)</f>
        <v/>
      </c>
      <c r="F407" s="26">
        <f>F406+IF(U406="LB",1,0)</f>
        <v/>
      </c>
      <c r="G407" s="26">
        <f>G406+IF(U406="ML",1,0)</f>
        <v/>
      </c>
      <c r="H407" s="26">
        <f>H406+IF(U406="RLO",1,0)</f>
        <v/>
      </c>
      <c r="I407" s="26">
        <f>I406+IF(U406="BD",1,0)</f>
        <v/>
      </c>
      <c r="J407" s="26">
        <f>MAX(J406,IF(U406="BiP",1,0))</f>
        <v/>
      </c>
      <c r="K407" s="26">
        <f>MAX(K406,IF(U406="PV",1,0))</f>
        <v/>
      </c>
      <c r="L407" s="26">
        <f>MAX(L406,IF(U406="OC",1,0))</f>
        <v/>
      </c>
      <c r="M407" s="26">
        <f>MAX(M406,IF(U406="MG",1,0))</f>
        <v/>
      </c>
      <c r="N407" s="26">
        <f>MAX(N406,IF(U406="transition",1,0))</f>
        <v/>
      </c>
      <c r="O407" s="28">
        <f>(Parameters!$B$9+(IF(E407=0,0,(Upgrades!$J$13+E407*Upgrades!$K$13)*POWER(Upgrades!$L$13,E407)))*(IF(Upgrades!$T$14="Stellar Kinematics",POWER(Upgrades!$U$14,F407),1)*IF(Upgrades!$T$15="Stellar Kinematics",POWER(Upgrades!$U$15,G407),1)*IF(Upgrades!$T$16="Stellar Kinematics",POWER(Upgrades!$U$16,H407),1)*IF(Upgrades!$T$17="Stellar Kinematics",POWER(Upgrades!$U$17,I407),1)*IF(Upgrades!$T$18="Stellar Kinematics",POWER(Upgrades!$U$18,J407),1)*IF(Upgrades!$T$19="Stellar Kinematics",POWER(Upgrades!$U$19,K407),1)*IF(Upgrades!$T$20="Stellar Kinematics",POWER(Upgrades!$U$20,L407),1)*IF(Upgrades!$T$21="Stellar Kinematics",POWER(Upgrades!$U$21,M407),1))+(IF(F407=0,0,(Upgrades!$J$14+F407*Upgrades!$K$14)*POWER(Upgrades!$L$14,F407)))*(IF(Upgrades!$T$13="Local Bubble",POWER(Upgrades!$U$13,E407),1)*IF(Upgrades!$T$15="Local Bubble",POWER(Upgrades!$U$15,G407),1)*IF(Upgrades!$T$16="Local Bubble",POWER(Upgrades!$U$16,H407),1)*IF(Upgrades!$T$17="Local Bubble",POWER(Upgrades!$U$17,I407),1)*IF(Upgrades!$T$18="Local Bubble",POWER(Upgrades!$U$18,J407),1)*IF(Upgrades!$T$19="Local Bubble",POWER(Upgrades!$U$19,K407),1)*IF(Upgrades!$T$20="Local Bubble",POWER(Upgrades!$U$20,L407),1)*IF(Upgrades!$T$21="Local Bubble",POWER(Upgrades!$U$21,M407),1))+(IF(G407=0,0,(Upgrades!$J$15+G407*Upgrades!$K$15)*POWER(Upgrades!$L$15,G407)))*(IF(Upgrades!$T$13="Microlensing",POWER(Upgrades!$U$13,E407),1)*IF(Upgrades!$T$14="Microlensing",POWER(Upgrades!$U$14,F407),1)*IF(Upgrades!$T$16="Microlensing",POWER(Upgrades!$U$16,H407),1)*IF(Upgrades!$T$17="Microlensing",POWER(Upgrades!$U$17,I407),1)*IF(Upgrades!$T$18="Microlensing",POWER(Upgrades!$U$18,J407),1)*IF(Upgrades!$T$19="Microlensing",POWER(Upgrades!$U$19,K407),1)*IF(Upgrades!$T$20="Microlensing",POWER(Upgrades!$U$20,L407),1)*IF(Upgrades!$T$21="Microlensing",POWER(Upgrades!$U$21,M407),1))+(IF(H407=0,0,(Upgrades!$J$16+H407*Upgrades!$K$16)*POWER(Upgrades!$L$16,H407)))*(IF(Upgrades!$T$13="Roche Lobe Overflow",POWER(Upgrades!$U$13,E407),1)*IF(Upgrades!$T$14="Roche Lobe Overflow",POWER(Upgrades!$U$14,F407),1)*IF(Upgrades!$T$15="Roche Lobe Overflow",POWER(Upgrades!$U$15,G407),1)*IF(Upgrades!$T$17="Roche Lobe Overflow",POWER(Upgrades!$U$17,I407),1)*IF(Upgrades!$T$18="Roche Lobe Overflow",POWER(Upgrades!$U$18,J407),1)*IF(Upgrades!$T$19="Roche Lobe Overflow",POWER(Upgrades!$U$19,K407),1)*IF(Upgrades!$T$20="Roche Lobe Overflow",POWER(Upgrades!$U$20,L407),1)*IF(Upgrades!$T$21="Roche Lobe Overflow",POWER(Upgrades!$U$21,M407),1))+(IF(I407=0,0,(Upgrades!$J$17+I407*Upgrades!$K$17)*POWER(Upgrades!$L$17,I407)))*(IF(Upgrades!$T$13="Brown Dwarf",POWER(Upgrades!$U$13,E407),1)*IF(Upgrades!$T$14="Brown Dwarf",POWER(Upgrades!$U$14,F407),1)*IF(Upgrades!$T$15="Brown Dwarf",POWER(Upgrades!$U$15,G407),1)*IF(Upgrades!$T$16="Brown Dwarf",POWER(Upgrades!$U$16,H407),1)*IF(Upgrades!$T$18="Brown Dwarf",POWER(Upgrades!$U$18,J407),1)*IF(Upgrades!$T$19="Brown Dwarf",POWER(Upgrades!$U$19,K407),1)*IF(Upgrades!$T$20="Brown Dwarf",POWER(Upgrades!$U$20,L407),1)*IF(Upgrades!$T$21="Brown Dwarf",POWER(Upgrades!$U$21,M407),1))+(IF(J407=0,0,(Upgrades!$J$18+J407*Upgrades!$K$18)*POWER(Upgrades!$L$18,J407)))*(IF(Upgrades!$T$13="Binary Partner",POWER(Upgrades!$U$13,E407),1)*IF(Upgrades!$T$14="Binary Partner",POWER(Upgrades!$U$14,F407),1)*IF(Upgrades!$T$15="Binary Partner",POWER(Upgrades!$U$15,G407),1)*IF(Upgrades!$T$16="Binary Partner",POWER(Upgrades!$U$16,H407),1)*IF(Upgrades!$T$17="Binary Partner",POWER(Upgrades!$U$17,I407),1)*IF(Upgrades!$T$19="Binary Partner",POWER(Upgrades!$U$19,K407),1)*IF(Upgrades!$T$20="Binary Partner",POWER(Upgrades!$U$20,L407),1)*IF(Upgrades!$T$21="Binary Partner",POWER(Upgrades!$U$21,M407),1))+(IF(K407=0,0,(Upgrades!$J$19+K407*Upgrades!$K$19)*POWER(Upgrades!$L$19,K407)))*(IF(Upgrades!$T$13="Peculiar Velocity",POWER(Upgrades!$U$13,E407),1)*IF(Upgrades!$T$14="Peculiar Velocity",POWER(Upgrades!$U$14,F407),1)*IF(Upgrades!$T$15="Peculiar Velocity",POWER(Upgrades!$U$15,G407),1)*IF(Upgrades!$T$16="Peculiar Velocity",POWER(Upgrades!$U$16,H407),1)*IF(Upgrades!$T$17="Peculiar Velocity",POWER(Upgrades!$U$17,I407),1)*IF(Upgrades!$T$18="Peculiar Velocity",POWER(Upgrades!$U$18,J407),1)*IF(Upgrades!$T$20="Peculiar Velocity",POWER(Upgrades!$U$20,L407),1)*IF(Upgrades!$T$21="Peculiar Velocity",POWER(Upgrades!$U$21,M407),1))+(IF(L407=0,0,(Upgrades!$J$20+L407*Upgrades!$K$20)*POWER(Upgrades!$L$20,L407)))*(IF(Upgrades!$T$13="Open Cluster",POWER(Upgrades!$U$13,E407),1)*IF(Upgrades!$T$14="Open Cluster",POWER(Upgrades!$U$14,F407),1)*IF(Upgrades!$T$15="Open Cluster",POWER(Upgrades!$U$15,G407),1)*IF(Upgrades!$T$16="Open Cluster",POWER(Upgrades!$U$16,H407),1)*IF(Upgrades!$T$17="Open Cluster",POWER(Upgrades!$U$17,I407),1)*IF(Upgrades!$T$18="Open Cluster",POWER(Upgrades!$U$18,J407),1)*IF(Upgrades!$T$19="Open Cluster",POWER(Upgrades!$U$19,K407),1)*IF(Upgrades!$T$21="Open Cluster",POWER(Upgrades!$U$21,M407),1))+(IF(M407=0,0,(Upgrades!$J$21+M407*Upgrades!$K$21)*POWER(Upgrades!$L$21,M407)))*(IF(Upgrades!$T$13="Moving Group",POWER(Upgrades!$U$13,E407),1)*IF(Upgrades!$T$14="Moving Group",POWER(Upgrades!$U$14,F407),1)*IF(Upgrades!$T$15="Moving Group",POWER(Upgrades!$U$15,G407),1)*IF(Upgrades!$T$16="Moving Group",POWER(Upgrades!$U$16,H407),1)*IF(Upgrades!$T$17="Moving Group",POWER(Upgrades!$U$17,I407),1)*IF(Upgrades!$T$18="Moving Group",POWER(Upgrades!$U$18,J407),1)*IF(Upgrades!$T$19="Moving Group",POWER(Upgrades!$U$19,K407),1)*IF(Upgrades!$T$20="Moving Group",POWER(Upgrades!$U$20,L407),1)))*POWER(Upgrades!$Q$13,E407)*POWER(Upgrades!$Q$14,F407)*POWER(Upgrades!$Q$15,G407)*POWER(Upgrades!$Q$16,H407)*POWER(Upgrades!$Q$17,I407)*POWER(Upgrades!$Q$18,J407)*POWER(Upgrades!$Q$19,K407)*POWER(Upgrades!$Q$20,L407)*POWER(Upgrades!$Q$21,M407)*$G$6+$D$6</f>
        <v/>
      </c>
      <c r="P407" s="28">
        <f>((IF(E407=0,0,(Upgrades!$G$13+E407*Upgrades!$H$13)*POWER(Upgrades!$I$13,E407)))*(IF(Upgrades!$T$14="Stellar Kinematics",POWER(Upgrades!$U$14,F407),1)*IF(Upgrades!$T$15="Stellar Kinematics",POWER(Upgrades!$U$15,G407),1)*IF(Upgrades!$T$16="Stellar Kinematics",POWER(Upgrades!$U$16,H407),1)*IF(Upgrades!$T$17="Stellar Kinematics",POWER(Upgrades!$U$17,I407),1)*IF(Upgrades!$T$18="Stellar Kinematics",POWER(Upgrades!$U$18,J407),1)*IF(Upgrades!$T$19="Stellar Kinematics",POWER(Upgrades!$U$19,K407),1)*IF(Upgrades!$T$20="Stellar Kinematics",POWER(Upgrades!$U$20,L407),1)*IF(Upgrades!$T$21="Stellar Kinematics",POWER(Upgrades!$U$21,M407),1))+(IF(F407=0,0,(Upgrades!$G$14+F407*Upgrades!$H$14)*POWER(Upgrades!$I$14,F407)))*(IF(Upgrades!$T$13="Local Bubble",POWER(Upgrades!$U$13,E407),1)*IF(Upgrades!$T$15="Local Bubble",POWER(Upgrades!$U$15,G407),1)*IF(Upgrades!$T$16="Local Bubble",POWER(Upgrades!$U$16,H407),1)*IF(Upgrades!$T$17="Local Bubble",POWER(Upgrades!$U$17,I407),1)*IF(Upgrades!$T$18="Local Bubble",POWER(Upgrades!$U$18,J407),1)*IF(Upgrades!$T$19="Local Bubble",POWER(Upgrades!$U$19,K407),1)*IF(Upgrades!$T$20="Local Bubble",POWER(Upgrades!$U$20,L407),1)*IF(Upgrades!$T$21="Local Bubble",POWER(Upgrades!$U$21,M407),1))+(IF(G407=0,0,(Upgrades!$G$15+G407*Upgrades!$H$15)*POWER(Upgrades!$I$15,G407)))*(IF(Upgrades!$T$13="Microlensing",POWER(Upgrades!$U$13,E407),1)*IF(Upgrades!$T$14="Microlensing",POWER(Upgrades!$U$14,F407),1)*IF(Upgrades!$T$16="Microlensing",POWER(Upgrades!$U$16,H407),1)*IF(Upgrades!$T$17="Microlensing",POWER(Upgrades!$U$17,I407),1)*IF(Upgrades!$T$18="Microlensing",POWER(Upgrades!$U$18,J407),1)*IF(Upgrades!$T$19="Microlensing",POWER(Upgrades!$U$19,K407),1)*IF(Upgrades!$T$20="Microlensing",POWER(Upgrades!$U$20,L407),1)*IF(Upgrades!$T$21="Microlensing",POWER(Upgrades!$U$21,M407),1))+(IF(H407=0,0,(Upgrades!$G$16+H407*Upgrades!$H$16)*POWER(Upgrades!$I$16,H407)))*(IF(Upgrades!$T$13="Roche Lobe Overflow",POWER(Upgrades!$U$13,E407),1)*IF(Upgrades!$T$14="Roche Lobe Overflow",POWER(Upgrades!$U$14,F407),1)*IF(Upgrades!$T$15="Roche Lobe Overflow",POWER(Upgrades!$U$15,G407),1)*IF(Upgrades!$T$17="Roche Lobe Overflow",POWER(Upgrades!$U$17,I407),1)*IF(Upgrades!$T$18="Roche Lobe Overflow",POWER(Upgrades!$U$18,J407),1)*IF(Upgrades!$T$19="Roche Lobe Overflow",POWER(Upgrades!$U$19,K407),1)*IF(Upgrades!$T$20="Roche Lobe Overflow",POWER(Upgrades!$U$20,L407),1)*IF(Upgrades!$T$21="Roche Lobe Overflow",POWER(Upgrades!$U$21,M407),1))+(IF(I407=0,0,(Upgrades!$G$17+I407*Upgrades!$H$17)*POWER(Upgrades!$I$17,I407)))*(IF(Upgrades!$T$13="Brown Dwarf",POWER(Upgrades!$U$13,E407),1)*IF(Upgrades!$T$14="Brown Dwarf",POWER(Upgrades!$U$14,F407),1)*IF(Upgrades!$T$15="Brown Dwarf",POWER(Upgrades!$U$15,G407),1)*IF(Upgrades!$T$16="Brown Dwarf",POWER(Upgrades!$U$16,H407),1)*IF(Upgrades!$T$18="Brown Dwarf",POWER(Upgrades!$U$18,J407),1)*IF(Upgrades!$T$19="Brown Dwarf",POWER(Upgrades!$U$19,K407),1)*IF(Upgrades!$T$20="Brown Dwarf",POWER(Upgrades!$U$20,L407),1)*IF(Upgrades!$T$21="Brown Dwarf",POWER(Upgrades!$U$21,M407),1))+(IF(J407=0,0,(Upgrades!$G$18+J407*Upgrades!$H$18)*POWER(Upgrades!$I$18,J407)))*(IF(Upgrades!$T$13="Binary Partner",POWER(Upgrades!$U$13,E407),1)*IF(Upgrades!$T$14="Binary Partner",POWER(Upgrades!$U$14,F407),1)*IF(Upgrades!$T$15="Binary Partner",POWER(Upgrades!$U$15,G407),1)*IF(Upgrades!$T$16="Binary Partner",POWER(Upgrades!$U$16,H407),1)*IF(Upgrades!$T$17="Binary Partner",POWER(Upgrades!$U$17,I407),1)*IF(Upgrades!$T$19="Binary Partner",POWER(Upgrades!$U$19,K407),1)*IF(Upgrades!$T$20="Binary Partner",POWER(Upgrades!$U$20,L407),1)*IF(Upgrades!$T$21="Binary Partner",POWER(Upgrades!$U$21,M407),1))+(IF(K407=0,0,(Upgrades!$G$19+K407*Upgrades!$H$19)*POWER(Upgrades!$I$19,K407)))*(IF(Upgrades!$T$13="Peculiar Velocity",POWER(Upgrades!$U$13,E407),1)*IF(Upgrades!$T$14="Peculiar Velocity",POWER(Upgrades!$U$14,F407),1)*IF(Upgrades!$T$15="Peculiar Velocity",POWER(Upgrades!$U$15,G407),1)*IF(Upgrades!$T$16="Peculiar Velocity",POWER(Upgrades!$U$16,H407),1)*IF(Upgrades!$T$17="Peculiar Velocity",POWER(Upgrades!$U$17,I407),1)*IF(Upgrades!$T$18="Peculiar Velocity",POWER(Upgrades!$U$18,J407),1)*IF(Upgrades!$T$20="Peculiar Velocity",POWER(Upgrades!$U$20,L407),1)*IF(Upgrades!$T$21="Peculiar Velocity",POWER(Upgrades!$U$21,M407),1))+(IF(L407=0,0,(Upgrades!$G$20+L407*Upgrades!$H$20)*POWER(Upgrades!$I$20,L407)))*(IF(Upgrades!$T$13="Open Cluster",POWER(Upgrades!$U$13,E407),1)*IF(Upgrades!$T$14="Open Cluster",POWER(Upgrades!$U$14,F407),1)*IF(Upgrades!$T$15="Open Cluster",POWER(Upgrades!$U$15,G407),1)*IF(Upgrades!$T$16="Open Cluster",POWER(Upgrades!$U$16,H407),1)*IF(Upgrades!$T$17="Open Cluster",POWER(Upgrades!$U$17,I407),1)*IF(Upgrades!$T$18="Open Cluster",POWER(Upgrades!$U$18,J407),1)*IF(Upgrades!$T$19="Open Cluster",POWER(Upgrades!$U$19,K407),1)*IF(Upgrades!$T$21="Open Cluster",POWER(Upgrades!$U$21,M407),1))+(IF(M407=0,0,(Upgrades!$G$21+M407*Upgrades!$H$21)*POWER(Upgrades!$I$21,M407)))*(IF(Upgrades!$T$13="Moving Group",POWER(Upgrades!$U$13,E407),1)*IF(Upgrades!$T$14="Moving Group",POWER(Upgrades!$U$14,F407),1)*IF(Upgrades!$T$15="Moving Group",POWER(Upgrades!$U$15,G407),1)*IF(Upgrades!$T$16="Moving Group",POWER(Upgrades!$U$16,H407),1)*IF(Upgrades!$T$17="Moving Group",POWER(Upgrades!$U$17,I407),1)*IF(Upgrades!$T$18="Moving Group",POWER(Upgrades!$U$18,J407),1)*IF(Upgrades!$T$19="Moving Group",POWER(Upgrades!$U$19,K407),1)*IF(Upgrades!$T$20="Moving Group",POWER(Upgrades!$U$20,L407),1)))*POWER(Upgrades!$P$13,E407)*POWER(Upgrades!$P$14,F407)*POWER(Upgrades!$P$15,G407)*POWER(Upgrades!$P$16,H407)*POWER(Upgrades!$P$17,I407)*POWER(Upgrades!$P$18,J407)*POWER(Upgrades!$P$19,K407)*POWER(Upgrades!$P$20,L407)*POWER(Upgrades!$P$21,M407)*$F$6+$C$6</f>
        <v/>
      </c>
      <c r="Q407" s="28">
        <f>((IF(E407=0,0,(Upgrades!$M$13+E407*Upgrades!$N$13)*POWER(Upgrades!$O$13,E407)))*(IF(Upgrades!$T$14="Stellar Kinematics",POWER(Upgrades!$U$14,F407),1)*IF(Upgrades!$T$15="Stellar Kinematics",POWER(Upgrades!$U$15,G407),1)*IF(Upgrades!$T$16="Stellar Kinematics",POWER(Upgrades!$U$16,H407),1)*IF(Upgrades!$T$17="Stellar Kinematics",POWER(Upgrades!$U$17,I407),1)*IF(Upgrades!$T$18="Stellar Kinematics",POWER(Upgrades!$U$18,J407),1)*IF(Upgrades!$T$19="Stellar Kinematics",POWER(Upgrades!$U$19,K407),1)*IF(Upgrades!$T$20="Stellar Kinematics",POWER(Upgrades!$U$20,L407),1)*IF(Upgrades!$T$21="Stellar Kinematics",POWER(Upgrades!$U$21,M407),1))+(IF(F407=0,0,(Upgrades!$M$14+F407*Upgrades!$N$14)*POWER(Upgrades!$O$14,F407)))*(IF(Upgrades!$T$13="Local Bubble",POWER(Upgrades!$U$13,E407),1)*IF(Upgrades!$T$15="Local Bubble",POWER(Upgrades!$U$15,G407),1)*IF(Upgrades!$T$16="Local Bubble",POWER(Upgrades!$U$16,H407),1)*IF(Upgrades!$T$17="Local Bubble",POWER(Upgrades!$U$17,I407),1)*IF(Upgrades!$T$18="Local Bubble",POWER(Upgrades!$U$18,J407),1)*IF(Upgrades!$T$19="Local Bubble",POWER(Upgrades!$U$19,K407),1)*IF(Upgrades!$T$20="Local Bubble",POWER(Upgrades!$U$20,L407),1)*IF(Upgrades!$T$21="Local Bubble",POWER(Upgrades!$U$21,M407),1))+(IF(G407=0,0,(Upgrades!$M$15+G407*Upgrades!$N$15)*POWER(Upgrades!$O$15,G407)))*(IF(Upgrades!$T$13="Microlensing",POWER(Upgrades!$U$13,E407),1)*IF(Upgrades!$T$14="Microlensing",POWER(Upgrades!$U$14,F407),1)*IF(Upgrades!$T$16="Microlensing",POWER(Upgrades!$U$16,H407),1)*IF(Upgrades!$T$17="Microlensing",POWER(Upgrades!$U$17,I407),1)*IF(Upgrades!$T$18="Microlensing",POWER(Upgrades!$U$18,J407),1)*IF(Upgrades!$T$19="Microlensing",POWER(Upgrades!$U$19,K407),1)*IF(Upgrades!$T$20="Microlensing",POWER(Upgrades!$U$20,L407),1)*IF(Upgrades!$T$21="Microlensing",POWER(Upgrades!$U$21,M407),1))+(IF(H407=0,0,(Upgrades!$M$16+H407*Upgrades!$N$16)*POWER(Upgrades!$O$16,H407)))*(IF(Upgrades!$T$13="Roche Lobe Overflow",POWER(Upgrades!$U$13,E407),1)*IF(Upgrades!$T$14="Roche Lobe Overflow",POWER(Upgrades!$U$14,F407),1)*IF(Upgrades!$T$15="Roche Lobe Overflow",POWER(Upgrades!$U$15,G407),1)*IF(Upgrades!$T$17="Roche Lobe Overflow",POWER(Upgrades!$U$17,I407),1)*IF(Upgrades!$T$18="Roche Lobe Overflow",POWER(Upgrades!$U$18,J407),1)*IF(Upgrades!$T$19="Roche Lobe Overflow",POWER(Upgrades!$U$19,K407),1)*IF(Upgrades!$T$20="Roche Lobe Overflow",POWER(Upgrades!$U$20,L407),1)*IF(Upgrades!$T$21="Roche Lobe Overflow",POWER(Upgrades!$U$21,M407),1))+(IF(I407=0,0,(Upgrades!$M$17+I407*Upgrades!$N$17)*POWER(Upgrades!$O$17,I407)))*(IF(Upgrades!$T$13="Brown Dwarf",POWER(Upgrades!$U$13,E407),1)*IF(Upgrades!$T$14="Brown Dwarf",POWER(Upgrades!$U$14,F407),1)*IF(Upgrades!$T$15="Brown Dwarf",POWER(Upgrades!$U$15,G407),1)*IF(Upgrades!$T$16="Brown Dwarf",POWER(Upgrades!$U$16,H407),1)*IF(Upgrades!$T$18="Brown Dwarf",POWER(Upgrades!$U$18,J407),1)*IF(Upgrades!$T$19="Brown Dwarf",POWER(Upgrades!$U$19,K407),1)*IF(Upgrades!$T$20="Brown Dwarf",POWER(Upgrades!$U$20,L407),1)*IF(Upgrades!$T$21="Brown Dwarf",POWER(Upgrades!$U$21,M407),1))+(IF(J407=0,0,(Upgrades!$M$18+J407*Upgrades!$N$18)*POWER(Upgrades!$O$18,J407)))*(IF(Upgrades!$T$13="Binary Partner",POWER(Upgrades!$U$13,E407),1)*IF(Upgrades!$T$14="Binary Partner",POWER(Upgrades!$U$14,F407),1)*IF(Upgrades!$T$15="Binary Partner",POWER(Upgrades!$U$15,G407),1)*IF(Upgrades!$T$16="Binary Partner",POWER(Upgrades!$U$16,H407),1)*IF(Upgrades!$T$17="Binary Partner",POWER(Upgrades!$U$17,I407),1)*IF(Upgrades!$T$19="Binary Partner",POWER(Upgrades!$U$19,K407),1)*IF(Upgrades!$T$20="Binary Partner",POWER(Upgrades!$U$20,L407),1)*IF(Upgrades!$T$21="Binary Partner",POWER(Upgrades!$U$21,M407),1))+(IF(K407=0,0,(Upgrades!$M$19+K407*Upgrades!$N$19)*POWER(Upgrades!$O$19,K407)))*(IF(Upgrades!$T$13="Peculiar Velocity",POWER(Upgrades!$U$13,E407),1)*IF(Upgrades!$T$14="Peculiar Velocity",POWER(Upgrades!$U$14,F407),1)*IF(Upgrades!$T$15="Peculiar Velocity",POWER(Upgrades!$U$15,G407),1)*IF(Upgrades!$T$16="Peculiar Velocity",POWER(Upgrades!$U$16,H407),1)*IF(Upgrades!$T$17="Peculiar Velocity",POWER(Upgrades!$U$17,I407),1)*IF(Upgrades!$T$18="Peculiar Velocity",POWER(Upgrades!$U$18,J407),1)*IF(Upgrades!$T$20="Peculiar Velocity",POWER(Upgrades!$U$20,L407),1)*IF(Upgrades!$T$21="Peculiar Velocity",POWER(Upgrades!$U$21,M407),1))+(IF(L407=0,0,(Upgrades!$M$20+L407*Upgrades!$N$20)*POWER(Upgrades!$O$20,L407)))*(IF(Upgrades!$T$13="Open Cluster",POWER(Upgrades!$U$13,E407),1)*IF(Upgrades!$T$14="Open Cluster",POWER(Upgrades!$U$14,F407),1)*IF(Upgrades!$T$15="Open Cluster",POWER(Upgrades!$U$15,G407),1)*IF(Upgrades!$T$16="Open Cluster",POWER(Upgrades!$U$16,H407),1)*IF(Upgrades!$T$17="Open Cluster",POWER(Upgrades!$U$17,I407),1)*IF(Upgrades!$T$18="Open Cluster",POWER(Upgrades!$U$18,J407),1)*IF(Upgrades!$T$19="Open Cluster",POWER(Upgrades!$U$19,K407),1)*IF(Upgrades!$T$21="Open Cluster",POWER(Upgrades!$U$21,M407),1))+(IF(M407=0,0,(Upgrades!$M$21+M407*Upgrades!$N$21)*POWER(Upgrades!$O$21,M407)))*(IF(Upgrades!$T$13="Moving Group",POWER(Upgrades!$U$13,E407),1)*IF(Upgrades!$T$14="Moving Group",POWER(Upgrades!$U$14,F407),1)*IF(Upgrades!$T$15="Moving Group",POWER(Upgrades!$U$15,G407),1)*IF(Upgrades!$T$16="Moving Group",POWER(Upgrades!$U$16,H407),1)*IF(Upgrades!$T$17="Moving Group",POWER(Upgrades!$U$17,I407),1)*IF(Upgrades!$T$18="Moving Group",POWER(Upgrades!$U$18,J407),1)*IF(Upgrades!$T$19="Moving Group",POWER(Upgrades!$U$19,K407),1)*IF(Upgrades!$T$20="Moving Group",POWER(Upgrades!$U$20,L407),1)))*POWER(Upgrades!$R$13,E407)*POWER(Upgrades!$R$14,F407)*POWER(Upgrades!$R$15,G407)*POWER(Upgrades!$R$16,H407)*POWER(Upgrades!$R$17,I407)*POWER(Upgrades!$R$18,J407)*POWER(Upgrades!$R$19,K407)*POWER(Upgrades!$R$20,L407)*POWER(Upgrades!$R$21,M407)*$H$6+$E$6</f>
        <v/>
      </c>
      <c r="R407" s="27">
        <f>IF(N407=1,0,O407*Parameters!$B$10/60*Parameters!$B$11*10)</f>
        <v/>
      </c>
      <c r="S407" s="27">
        <f>IF(N407=1,0,Q407*O407*10)</f>
        <v/>
      </c>
      <c r="T407" s="27">
        <f>IF(N407=1,0,R407+S407+P407*10)</f>
        <v/>
      </c>
      <c r="U407" s="33">
        <f>BE407</f>
        <v/>
      </c>
      <c r="V407" s="22">
        <f>IF(U407="",0,IF(U407="transition",0,IF(U407="SK",AK407,IF(U407="LB",AL407,IF(U407="ML",AM407,IF(U407="RLO",AN407,IF(U407="BD",AO407,IF(U407="BiP",AP407,IF(U407="PV",AQ407,IF(U407="OC",AR407,IF(U407="MG",AS407,0))))))))))</f>
        <v/>
      </c>
      <c r="W407" s="27">
        <f>IF(U407="BiP",Upgrades!$F$18,IF(U407="PV",Upgrades!$F$19,IF(U407="OC",Upgrades!$F$20,IF(U407="MG",Upgrades!$F$21,IF(U407="transition",-Parameters!$B$18*Parameters!$B$19,0)))))</f>
        <v/>
      </c>
      <c r="X407" s="22">
        <f>C407+T407-V407</f>
        <v/>
      </c>
      <c r="Y407" s="30">
        <f>O407*Parameters!$B$10/60*Parameters!$B$11+Q407*O407+P407</f>
        <v/>
      </c>
      <c r="Z407" s="34">
        <f>IF(U407="transition","→ Tier 3 (Galactic Arm)",IF(U407="MG","Moving Group — pocket drifts together",IF(U407="OC","Open Cluster acquired",IF(U407="PV","Peculiar Velocity — passive multiplier active",IF(U407="BiP","Binary Partner — pair bond formed",IF(AND(AU407=1,N407=0,AT407&lt;&gt;1),"Cohesion ready (waiting on completionists)","")))))) </f>
        <v/>
      </c>
      <c r="AA407" s="27">
        <f>(IF(E407=0,0,(Upgrades!$G$13+E407*Upgrades!$H$13)*POWER(Upgrades!$I$13,E407)))*(IF(Upgrades!$T$14="Stellar Kinematics",POWER(Upgrades!$U$14,F407),1)*IF(Upgrades!$T$15="Stellar Kinematics",POWER(Upgrades!$U$15,G407),1)*IF(Upgrades!$T$16="Stellar Kinematics",POWER(Upgrades!$U$16,H407),1)*IF(Upgrades!$T$17="Stellar Kinematics",POWER(Upgrades!$U$17,I407),1)*IF(Upgrades!$T$18="Stellar Kinematics",POWER(Upgrades!$U$18,J407),1)*IF(Upgrades!$T$19="Stellar Kinematics",POWER(Upgrades!$U$19,K407),1)*IF(Upgrades!$T$20="Stellar Kinematics",POWER(Upgrades!$U$20,L407),1)*IF(Upgrades!$T$21="Stellar Kinematics",POWER(Upgrades!$U$21,M407),1))*POWER(Upgrades!$P$13,E407)*POWER(Upgrades!$P$14,F407)*POWER(Upgrades!$P$15,G407)*POWER(Upgrades!$P$16,H407)*POWER(Upgrades!$P$17,I407)*POWER(Upgrades!$P$18,J407)*POWER(Upgrades!$P$19,K407)*POWER(Upgrades!$P$20,L407)*POWER(Upgrades!$P$21,M407)*$F$6*60</f>
        <v/>
      </c>
      <c r="AB407" s="27">
        <f>(IF(F407=0,0,(Upgrades!$G$14+F407*Upgrades!$H$14)*POWER(Upgrades!$I$14,F407)))*(IF(Upgrades!$T$13="Local Bubble",POWER(Upgrades!$U$13,E407),1)*IF(Upgrades!$T$15="Local Bubble",POWER(Upgrades!$U$15,G407),1)*IF(Upgrades!$T$16="Local Bubble",POWER(Upgrades!$U$16,H407),1)*IF(Upgrades!$T$17="Local Bubble",POWER(Upgrades!$U$17,I407),1)*IF(Upgrades!$T$18="Local Bubble",POWER(Upgrades!$U$18,J407),1)*IF(Upgrades!$T$19="Local Bubble",POWER(Upgrades!$U$19,K407),1)*IF(Upgrades!$T$20="Local Bubble",POWER(Upgrades!$U$20,L407),1)*IF(Upgrades!$T$21="Local Bubble",POWER(Upgrades!$U$21,M407),1))*POWER(Upgrades!$P$13,E407)*POWER(Upgrades!$P$14,F407)*POWER(Upgrades!$P$15,G407)*POWER(Upgrades!$P$16,H407)*POWER(Upgrades!$P$17,I407)*POWER(Upgrades!$P$18,J407)*POWER(Upgrades!$P$19,K407)*POWER(Upgrades!$P$20,L407)*POWER(Upgrades!$P$21,M407)*$F$6*60</f>
        <v/>
      </c>
      <c r="AC407" s="27">
        <f>(IF(G407=0,0,(Upgrades!$J$15+G407*Upgrades!$K$15)*POWER(Upgrades!$L$15,G407)))*(IF(Upgrades!$T$13="Microlensing",POWER(Upgrades!$U$13,E407),1)*IF(Upgrades!$T$14="Microlensing",POWER(Upgrades!$U$14,F407),1)*IF(Upgrades!$T$16="Microlensing",POWER(Upgrades!$U$16,H407),1)*IF(Upgrades!$T$17="Microlensing",POWER(Upgrades!$U$17,I407),1)*IF(Upgrades!$T$18="Microlensing",POWER(Upgrades!$U$18,J407),1)*IF(Upgrades!$T$19="Microlensing",POWER(Upgrades!$U$19,K407),1)*IF(Upgrades!$T$20="Microlensing",POWER(Upgrades!$U$20,L407),1)*IF(Upgrades!$T$21="Microlensing",POWER(Upgrades!$U$21,M407),1))*POWER(Upgrades!$Q$13,E407)*POWER(Upgrades!$Q$14,F407)*POWER(Upgrades!$Q$15,G407)*POWER(Upgrades!$Q$16,H407)*POWER(Upgrades!$Q$17,I407)*POWER(Upgrades!$Q$18,J407)*POWER(Upgrades!$Q$19,K407)*POWER(Upgrades!$Q$20,L407)*POWER(Upgrades!$Q$21,M407)*$G$6*(Parameters!$B$10*Parameters!$B$11+Q407*60)</f>
        <v/>
      </c>
      <c r="AD407" s="27">
        <f>(IF(H407=0,0,(Upgrades!$M$16+H407*Upgrades!$N$16)*POWER(Upgrades!$O$16,H407)))*(IF(Upgrades!$T$13="Roche Lobe Overflow",POWER(Upgrades!$U$13,E407),1)*IF(Upgrades!$T$14="Roche Lobe Overflow",POWER(Upgrades!$U$14,F407),1)*IF(Upgrades!$T$15="Roche Lobe Overflow",POWER(Upgrades!$U$15,G407),1)*IF(Upgrades!$T$17="Roche Lobe Overflow",POWER(Upgrades!$U$17,I407),1)*IF(Upgrades!$T$18="Roche Lobe Overflow",POWER(Upgrades!$U$18,J407),1)*IF(Upgrades!$T$19="Roche Lobe Overflow",POWER(Upgrades!$U$19,K407),1)*IF(Upgrades!$T$20="Roche Lobe Overflow",POWER(Upgrades!$U$20,L407),1)*IF(Upgrades!$T$21="Roche Lobe Overflow",POWER(Upgrades!$U$21,M407),1))*POWER(Upgrades!$R$13,E407)*POWER(Upgrades!$R$14,F407)*POWER(Upgrades!$R$15,G407)*POWER(Upgrades!$R$16,H407)*POWER(Upgrades!$R$17,I407)*POWER(Upgrades!$R$18,J407)*POWER(Upgrades!$R$19,K407)*POWER(Upgrades!$R$20,L407)*POWER(Upgrades!$R$21,M407)*$H$6*O407*60</f>
        <v/>
      </c>
      <c r="AE407" s="27">
        <f>(IF(I407=0,0,(Upgrades!$G$17+I407*Upgrades!$H$17)*POWER(Upgrades!$I$17,I407)))*(IF(Upgrades!$T$13="Brown Dwarf",POWER(Upgrades!$U$13,E407),1)*IF(Upgrades!$T$14="Brown Dwarf",POWER(Upgrades!$U$14,F407),1)*IF(Upgrades!$T$15="Brown Dwarf",POWER(Upgrades!$U$15,G407),1)*IF(Upgrades!$T$16="Brown Dwarf",POWER(Upgrades!$U$16,H407),1)*IF(Upgrades!$T$18="Brown Dwarf",POWER(Upgrades!$U$18,J407),1)*IF(Upgrades!$T$19="Brown Dwarf",POWER(Upgrades!$U$19,K407),1)*IF(Upgrades!$T$20="Brown Dwarf",POWER(Upgrades!$U$20,L407),1)*IF(Upgrades!$T$21="Brown Dwarf",POWER(Upgrades!$U$21,M407),1))*POWER(Upgrades!$P$13,E407)*POWER(Upgrades!$P$14,F407)*POWER(Upgrades!$P$15,G407)*POWER(Upgrades!$P$16,H407)*POWER(Upgrades!$P$17,I407)*POWER(Upgrades!$P$18,J407)*POWER(Upgrades!$P$19,K407)*POWER(Upgrades!$P$20,L407)*POWER(Upgrades!$P$21,M407)*$F$6*60</f>
        <v/>
      </c>
      <c r="AF407" s="27" t="n">
        <v>0</v>
      </c>
      <c r="AG407" s="27" t="n">
        <v>0</v>
      </c>
      <c r="AH407" s="27" t="n">
        <v>0</v>
      </c>
      <c r="AI407" s="27">
        <f>(IF(M407=0,0,(Upgrades!$G$21+M407*Upgrades!$H$21)*POWER(Upgrades!$I$21,M407)))*(IF(Upgrades!$T$13="Moving Group",POWER(Upgrades!$U$13,E407),1)*IF(Upgrades!$T$14="Moving Group",POWER(Upgrades!$U$14,F407),1)*IF(Upgrades!$T$15="Moving Group",POWER(Upgrades!$U$15,G407),1)*IF(Upgrades!$T$16="Moving Group",POWER(Upgrades!$U$16,H407),1)*IF(Upgrades!$T$17="Moving Group",POWER(Upgrades!$U$17,I407),1)*IF(Upgrades!$T$18="Moving Group",POWER(Upgrades!$U$18,J407),1)*IF(Upgrades!$T$19="Moving Group",POWER(Upgrades!$U$19,K407),1)*IF(Upgrades!$T$20="Moving Group",POWER(Upgrades!$U$20,L407),1))*POWER(Upgrades!$P$13,E407)*POWER(Upgrades!$P$14,F407)*POWER(Upgrades!$P$15,G407)*POWER(Upgrades!$P$16,H407)*POWER(Upgrades!$P$17,I407)*POWER(Upgrades!$P$18,J407)*POWER(Upgrades!$P$19,K407)*POWER(Upgrades!$P$20,L407)*POWER(Upgrades!$P$21,M407)*$F$6*60</f>
        <v/>
      </c>
      <c r="AJ407" s="27">
        <f>$C$6*60</f>
        <v/>
      </c>
      <c r="AK407" s="22">
        <f>IF(E407&gt;=Upgrades!$E$13,"",Upgrades!$C$13*POWER(Upgrades!$D$13,E407))</f>
        <v/>
      </c>
      <c r="AL407" s="22">
        <f>IF(F407&gt;=Upgrades!$E$14,"",Upgrades!$C$14*POWER(Upgrades!$D$14,F407))</f>
        <v/>
      </c>
      <c r="AM407" s="22">
        <f>IF(G407&gt;=Upgrades!$E$15,"",Upgrades!$C$15*POWER(Upgrades!$D$15,G407))</f>
        <v/>
      </c>
      <c r="AN407" s="22">
        <f>IF(H407&gt;=Upgrades!$E$16,"",Upgrades!$C$16*POWER(Upgrades!$D$16,H407))</f>
        <v/>
      </c>
      <c r="AO407" s="22">
        <f>IF(I407&gt;=Upgrades!$E$17,"",Upgrades!$C$17*POWER(Upgrades!$D$17,I407))</f>
        <v/>
      </c>
      <c r="AP407" s="22">
        <f>IF(J407&gt;=Upgrades!$E$18,"",Upgrades!$C$18*POWER(Upgrades!$D$18,J407))</f>
        <v/>
      </c>
      <c r="AQ407" s="22">
        <f>IF(K407&gt;=Upgrades!$E$19,"",Upgrades!$C$19*POWER(Upgrades!$D$19,K407))</f>
        <v/>
      </c>
      <c r="AR407" s="22">
        <f>IF(L407&gt;=Upgrades!$E$20,"",Upgrades!$C$20*POWER(Upgrades!$D$20,L407))</f>
        <v/>
      </c>
      <c r="AS407" s="22">
        <f>IF(M407&gt;=Upgrades!$E$21,"",Upgrades!$C$21*POWER(Upgrades!$D$21,M407))</f>
        <v/>
      </c>
      <c r="AT407" s="26">
        <f>IF(AND(D407&gt;=Parameters!$B$18*Parameters!$B$19,(I407&gt;=Upgrades!$E$17)*(M407&gt;=Upgrades!$E$21)=1,N407=0),1,"")</f>
        <v/>
      </c>
      <c r="AU407" s="26">
        <f>IF(AND(D407&gt;=Parameters!$B$18*Parameters!$B$19,N407=0),1,"")</f>
        <v/>
      </c>
      <c r="AV407" s="22">
        <f>MIN(IF(ISNUMBER(AP407),AP407,9E15),IF(ISNUMBER(AQ407),AQ407,9E15),IF(ISNUMBER(AR407),AR407,9E15),IF(ISNUMBER(AS407),AS407,9E15))</f>
        <v/>
      </c>
      <c r="AW407" s="22">
        <f>MIN(IF(ISNUMBER(AK407),AK407,9E15),IF(ISNUMBER(AL407),AL407,9E15),IF(ISNUMBER(AM407),AM407,9E15),IF(ISNUMBER(AN407),AN407,9E15),IF(ISNUMBER(AO407),AO407,9E15))</f>
        <v/>
      </c>
      <c r="AX407" s="29">
        <f>IF(BD407&gt;Parameters!$B$21*(MAX(IF(AND(NOT(AND(AU407=1,AT407&lt;&gt;1)),ISNUMBER(AK407),AK407&lt;=(C407+T407)),AY407,0),IF(AND(NOT(AND(AU407=1,AT407&lt;&gt;1)),ISNUMBER(AL407),AL407&lt;=(C407+T407)),AZ407,0),IF(AND(NOT(AND(AU407=1,AT407&lt;&gt;1)),ISNUMBER(AM407),AM407&lt;=(C407+T407)),BA407,0),IF(AND(NOT(AND(AU407=1,AT407&lt;&gt;1)),ISNUMBER(AN407),AN407&lt;=(C407+T407)),BB407,0),IF(AND(ISNUMBER(AO407),AO407&lt;=(C407+T407)),BC407,0))),TRUE,FALSE)</f>
        <v/>
      </c>
      <c r="AY407" s="32">
        <f>IFERROR(Upgrades!$H$13*(POWER(Upgrades!$P$13,E407)*POWER(Upgrades!$P$14,F407)*POWER(Upgrades!$P$15,G407)*POWER(Upgrades!$P$16,H407)*POWER(Upgrades!$P$17,I407)*POWER(Upgrades!$P$18,J407)*POWER(Upgrades!$P$19,K407)*POWER(Upgrades!$P$20,L407)*POWER(Upgrades!$P$21,M407))*(IF(Upgrades!$T$14="Stellar Kinematics",POWER(Upgrades!$U$14,F407),1)*IF(Upgrades!$T$15="Stellar Kinematics",POWER(Upgrades!$U$15,G407),1)*IF(Upgrades!$T$16="Stellar Kinematics",POWER(Upgrades!$U$16,H407),1)*IF(Upgrades!$T$17="Stellar Kinematics",POWER(Upgrades!$U$17,I407),1)*IF(Upgrades!$T$18="Stellar Kinematics",POWER(Upgrades!$U$18,J407),1)*IF(Upgrades!$T$19="Stellar Kinematics",POWER(Upgrades!$U$19,K407),1)*IF(Upgrades!$T$20="Stellar Kinematics",POWER(Upgrades!$U$20,L407),1)*IF(Upgrades!$T$21="Stellar Kinematics",POWER(Upgrades!$U$21,M407),1))*$F$6/AK407,0)</f>
        <v/>
      </c>
      <c r="AZ407" s="32">
        <f>IFERROR(Upgrades!$H$14*(POWER(Upgrades!$P$13,E407)*POWER(Upgrades!$P$14,F407)*POWER(Upgrades!$P$15,G407)*POWER(Upgrades!$P$16,H407)*POWER(Upgrades!$P$17,I407)*POWER(Upgrades!$P$18,J407)*POWER(Upgrades!$P$19,K407)*POWER(Upgrades!$P$20,L407)*POWER(Upgrades!$P$21,M407))*(IF(Upgrades!$T$13="Local Bubble",POWER(Upgrades!$U$13,E407),1)*IF(Upgrades!$T$15="Local Bubble",POWER(Upgrades!$U$15,G407),1)*IF(Upgrades!$T$16="Local Bubble",POWER(Upgrades!$U$16,H407),1)*IF(Upgrades!$T$17="Local Bubble",POWER(Upgrades!$U$17,I407),1)*IF(Upgrades!$T$18="Local Bubble",POWER(Upgrades!$U$18,J407),1)*IF(Upgrades!$T$19="Local Bubble",POWER(Upgrades!$U$19,K407),1)*IF(Upgrades!$T$20="Local Bubble",POWER(Upgrades!$U$20,L407),1)*IF(Upgrades!$T$21="Local Bubble",POWER(Upgrades!$U$21,M407),1))*$F$6/AL407,0)</f>
        <v/>
      </c>
      <c r="BA407" s="32">
        <f>IFERROR(Upgrades!$K$15*(POWER(Upgrades!$Q$13,E407)*POWER(Upgrades!$Q$14,F407)*POWER(Upgrades!$Q$15,G407)*POWER(Upgrades!$Q$16,H407)*POWER(Upgrades!$Q$17,I407)*POWER(Upgrades!$Q$18,J407)*POWER(Upgrades!$Q$19,K407)*POWER(Upgrades!$Q$20,L407)*POWER(Upgrades!$Q$21,M407))*(IF(Upgrades!$T$13="Microlensing",POWER(Upgrades!$U$13,E407),1)*IF(Upgrades!$T$14="Microlensing",POWER(Upgrades!$U$14,F407),1)*IF(Upgrades!$T$16="Microlensing",POWER(Upgrades!$U$16,H407),1)*IF(Upgrades!$T$17="Microlensing",POWER(Upgrades!$U$17,I407),1)*IF(Upgrades!$T$18="Microlensing",POWER(Upgrades!$U$18,J407),1)*IF(Upgrades!$T$19="Microlensing",POWER(Upgrades!$U$19,K407),1)*IF(Upgrades!$T$20="Microlensing",POWER(Upgrades!$U$20,L407),1)*IF(Upgrades!$T$21="Microlensing",POWER(Upgrades!$U$21,M407),1))*$G$6*(Parameters!$B$10/60*Parameters!$B$11+Q407)/AM407,0)</f>
        <v/>
      </c>
      <c r="BB407" s="32">
        <f>IFERROR((Upgrades!$N$16*(POWER(Upgrades!$R$13,E407)*POWER(Upgrades!$R$14,F407)*POWER(Upgrades!$R$15,G407)*POWER(Upgrades!$R$16,H407)*POWER(Upgrades!$R$17,I407)*POWER(Upgrades!$R$18,J407)*POWER(Upgrades!$R$19,K407)*POWER(Upgrades!$R$20,L407)*POWER(Upgrades!$R$21,M407))*(IF(Upgrades!$T$13="Roche Lobe Overflow",POWER(Upgrades!$U$13,E407),1)*IF(Upgrades!$T$14="Roche Lobe Overflow",POWER(Upgrades!$U$14,F407),1)*IF(Upgrades!$T$15="Roche Lobe Overflow",POWER(Upgrades!$U$15,G407),1)*IF(Upgrades!$T$17="Roche Lobe Overflow",POWER(Upgrades!$U$17,I407),1)*IF(Upgrades!$T$18="Roche Lobe Overflow",POWER(Upgrades!$U$18,J407),1)*IF(Upgrades!$T$19="Roche Lobe Overflow",POWER(Upgrades!$U$19,K407),1)*IF(Upgrades!$T$20="Roche Lobe Overflow",POWER(Upgrades!$U$20,L407),1)*IF(Upgrades!$T$21="Roche Lobe Overflow",POWER(Upgrades!$U$21,M407),1))*$H$6*O407+((IF(F407=0,0,(Upgrades!$G$14+F407*Upgrades!$H$14)*POWER(Upgrades!$I$14,F407)))*(IF(Upgrades!$T$13="Local Bubble",POWER(Upgrades!$U$13,E407),1)*IF(Upgrades!$T$15="Local Bubble",POWER(Upgrades!$U$15,G407),1)*IF(Upgrades!$T$16="Local Bubble",POWER(Upgrades!$U$16,H407),1)*IF(Upgrades!$T$17="Local Bubble",POWER(Upgrades!$U$17,I407),1)*IF(Upgrades!$T$18="Local Bubble",POWER(Upgrades!$U$18,J407),1)*IF(Upgrades!$T$19="Local Bubble",POWER(Upgrades!$U$19,K407),1)*IF(Upgrades!$T$20="Local Bubble",POWER(Upgrades!$U$20,L407),1)*IF(Upgrades!$T$21="Local Bubble",POWER(Upgrades!$U$21,M407),1))*POWER(Upgrades!$P$13,E407)*POWER(Upgrades!$P$14,F407)*POWER(Upgrades!$P$15,G407)*POWER(Upgrades!$P$16,H407)*POWER(Upgrades!$P$17,I407)*POWER(Upgrades!$P$18,J407)*POWER(Upgrades!$P$19,K407)*POWER(Upgrades!$P$20,L407)*POWER(Upgrades!$P$21,M407)*$F$6)*0.05)/AN407,0)</f>
        <v/>
      </c>
      <c r="BC407" s="32">
        <f>IFERROR((Upgrades!$H$17*(POWER(Upgrades!$P$13,E407)*POWER(Upgrades!$P$14,F407)*POWER(Upgrades!$P$15,G407)*POWER(Upgrades!$P$16,H407)*POWER(Upgrades!$P$17,I407)*POWER(Upgrades!$P$18,J407)*POWER(Upgrades!$P$19,K407)*POWER(Upgrades!$P$20,L407)*POWER(Upgrades!$P$21,M407))*(IF(Upgrades!$T$13="Brown Dwarf",POWER(Upgrades!$U$13,E407),1)*IF(Upgrades!$T$14="Brown Dwarf",POWER(Upgrades!$U$14,F407),1)*IF(Upgrades!$T$15="Brown Dwarf",POWER(Upgrades!$U$15,G407),1)*IF(Upgrades!$T$16="Brown Dwarf",POWER(Upgrades!$U$16,H407),1)*IF(Upgrades!$T$18="Brown Dwarf",POWER(Upgrades!$U$18,J407),1)*IF(Upgrades!$T$19="Brown Dwarf",POWER(Upgrades!$U$19,K407),1)*IF(Upgrades!$T$20="Brown Dwarf",POWER(Upgrades!$U$20,L407),1)*IF(Upgrades!$T$21="Brown Dwarf",POWER(Upgrades!$U$21,M407),1))*$F$6+(((IF(H407=0,0,(Upgrades!$M$16+H407*Upgrades!$N$16)*POWER(Upgrades!$O$16,H407)))*(IF(Upgrades!$T$13="Roche Lobe Overflow",POWER(Upgrades!$U$13,E407),1)*IF(Upgrades!$T$14="Roche Lobe Overflow",POWER(Upgrades!$U$14,F407),1)*IF(Upgrades!$T$15="Roche Lobe Overflow",POWER(Upgrades!$U$15,G407),1)*IF(Upgrades!$T$17="Roche Lobe Overflow",POWER(Upgrades!$U$17,I407),1)*IF(Upgrades!$T$18="Roche Lobe Overflow",POWER(Upgrades!$U$18,J407),1)*IF(Upgrades!$T$19="Roche Lobe Overflow",POWER(Upgrades!$U$19,K407),1)*IF(Upgrades!$T$20="Roche Lobe Overflow",POWER(Upgrades!$U$20,L407),1)*IF(Upgrades!$T$21="Roche Lobe Overflow",POWER(Upgrades!$U$21,M407),1))*POWER(Upgrades!$R$13,E407)*POWER(Upgrades!$R$14,F407)*POWER(Upgrades!$R$15,G407)*POWER(Upgrades!$R$16,H407)*POWER(Upgrades!$R$17,I407)*POWER(Upgrades!$R$18,J407)*POWER(Upgrades!$R$19,K407)*POWER(Upgrades!$R$20,L407)*POWER(Upgrades!$R$21,M407)*$H$6)*O407)*0.10)/AO407,0)</f>
        <v/>
      </c>
      <c r="BD407" s="32">
        <f>MAX(IF(J407&gt;0,0,IFERROR(0.5*((IF(G407=0,0,(Upgrades!$J$15+G407*Upgrades!$K$15)*POWER(Upgrades!$L$15,G407)))*(IF(Upgrades!$T$13="Microlensing",POWER(Upgrades!$U$13,E407),1)*IF(Upgrades!$T$14="Microlensing",POWER(Upgrades!$U$14,F407),1)*IF(Upgrades!$T$16="Microlensing",POWER(Upgrades!$U$16,H407),1)*IF(Upgrades!$T$17="Microlensing",POWER(Upgrades!$U$17,I407),1)*IF(Upgrades!$T$18="Microlensing",POWER(Upgrades!$U$18,J407),1)*IF(Upgrades!$T$19="Microlensing",POWER(Upgrades!$U$19,K407),1)*IF(Upgrades!$T$20="Microlensing",POWER(Upgrades!$U$20,L407),1)*IF(Upgrades!$T$21="Microlensing",POWER(Upgrades!$U$21,M407),1))*(POWER(Upgrades!$Q$13,E407)*POWER(Upgrades!$Q$14,F407)*POWER(Upgrades!$Q$15,G407)*POWER(Upgrades!$Q$16,H407)*POWER(Upgrades!$Q$17,I407)*POWER(Upgrades!$Q$18,J407)*POWER(Upgrades!$Q$19,K407)*POWER(Upgrades!$Q$20,L407)*POWER(Upgrades!$Q$21,M407))*$G$6*(Parameters!$B$10/60*Parameters!$B$11+Q407))/Upgrades!$C$18,0)),IF(K407&gt;0,0,IFERROR(0.30*P407/Upgrades!$C$19,0)),IF(L407&gt;0,0,IFERROR(0.0001/Upgrades!$C$20,0)),IF(M407&gt;0,0,IFERROR((6.0*(POWER(Upgrades!$P$13,E407)*POWER(Upgrades!$P$14,F407)*POWER(Upgrades!$P$15,G407)*POWER(Upgrades!$P$16,H407)*POWER(Upgrades!$P$17,I407)*POWER(Upgrades!$P$18,J407)*POWER(Upgrades!$P$19,K407)*POWER(Upgrades!$P$20,L407)*POWER(Upgrades!$P$21,M407))*$F$6+0.20*O407*(Parameters!$B$10/60*Parameters!$B$11+Q407))/Upgrades!$C$21,0)),IF(AND(ISNUMBER(AK407),AK407&gt;(C407+T407)),AY407,0),IF(AND(ISNUMBER(AL407),AL407&gt;(C407+T407)),AZ407,0),IF(AND(ISNUMBER(AM407),AM407&gt;(C407+T407)),BA407,0),IF(AND(ISNUMBER(AN407),AN407&gt;(C407+T407)),BB407,0),IF(AND(ISNUMBER(AO407),AO407&gt;(C407+T407)),BC407,0))</f>
        <v/>
      </c>
      <c r="BE407" s="29">
        <f>IF(AT407=1,"transition",IF(MIN(IF(AND(J407=0,ISNUMBER(AP407),AP407&lt;=(C407+T407)),AP407,9E15),IF(AND(K407=0,ISNUMBER(AQ407),AQ407&lt;=(C407+T407)),AQ407,9E15),IF(AND(L407=0,ISNUMBER(AR407),AR407&lt;=(C407+T407)),AR407,9E15),IF(AND(M407=0,ISNUMBER(AS407),AS407&lt;=(C407+T407)),AS407,9E15))&lt;9E15,IF(AND(AND(J407=0,ISNUMBER(AP407),AP407&lt;=(C407+T407)),AP407=MIN(IF(AND(J407=0,ISNUMBER(AP407),AP407&lt;=(C407+T407)),AP407,9E15),IF(AND(K407=0,ISNUMBER(AQ407),AQ407&lt;=(C407+T407)),AQ407,9E15),IF(AND(L407=0,ISNUMBER(AR407),AR407&lt;=(C407+T407)),AR407,9E15),IF(AND(M407=0,ISNUMBER(AS407),AS407&lt;=(C407+T407)),AS407,9E15))),"BiP",IF(AND(AND(K407=0,ISNUMBER(AQ407),AQ407&lt;=(C407+T407)),AQ407=MIN(IF(AND(J407=0,ISNUMBER(AP407),AP407&lt;=(C407+T407)),AP407,9E15),IF(AND(K407=0,ISNUMBER(AQ407),AQ407&lt;=(C407+T407)),AQ407,9E15),IF(AND(L407=0,ISNUMBER(AR407),AR407&lt;=(C407+T407)),AR407,9E15),IF(AND(M407=0,ISNUMBER(AS407),AS407&lt;=(C407+T407)),AS407,9E15))),"PV",IF(AND(AND(L407=0,ISNUMBER(AR407),AR407&lt;=(C407+T407)),AR407=MIN(IF(AND(J407=0,ISNUMBER(AP407),AP407&lt;=(C407+T407)),AP407,9E15),IF(AND(K407=0,ISNUMBER(AQ407),AQ407&lt;=(C407+T407)),AQ407,9E15),IF(AND(L407=0,ISNUMBER(AR407),AR407&lt;=(C407+T407)),AR407,9E15),IF(AND(M407=0,ISNUMBER(AS407),AS407&lt;=(C407+T407)),AS407,9E15))),"OC","MG"))),IF(AX407=TRUE,"",IF(MAX(IF(AND(NOT(AND(AU407=1,AT407&lt;&gt;1)),ISNUMBER(AK407),AK407&lt;=(C407+T407)),AY407,0),IF(AND(NOT(AND(AU407=1,AT407&lt;&gt;1)),ISNUMBER(AL407),AL407&lt;=(C407+T407)),AZ407,0),IF(AND(NOT(AND(AU407=1,AT407&lt;&gt;1)),ISNUMBER(AM407),AM407&lt;=(C407+T407)),BA407,0),IF(AND(NOT(AND(AU407=1,AT407&lt;&gt;1)),ISNUMBER(AN407),AN407&lt;=(C407+T407)),BB407,0),IF(AND(ISNUMBER(AO407),AO407&lt;=(C407+T407)),BC407,0))&lt;=0,"",IF(AND(IF(AND(NOT(AND(AU407=1,AT407&lt;&gt;1)),ISNUMBER(AK407),AK407&lt;=(C407+T407)),AY407,0)&gt;0,IF(AND(NOT(AND(AU407=1,AT407&lt;&gt;1)),ISNUMBER(AK407),AK407&lt;=(C407+T407)),AY407,0)=MAX(IF(AND(NOT(AND(AU407=1,AT407&lt;&gt;1)),ISNUMBER(AK407),AK407&lt;=(C407+T407)),AY407,0),IF(AND(NOT(AND(AU407=1,AT407&lt;&gt;1)),ISNUMBER(AL407),AL407&lt;=(C407+T407)),AZ407,0),IF(AND(NOT(AND(AU407=1,AT407&lt;&gt;1)),ISNUMBER(AM407),AM407&lt;=(C407+T407)),BA407,0),IF(AND(NOT(AND(AU407=1,AT407&lt;&gt;1)),ISNUMBER(AN407),AN407&lt;=(C407+T407)),BB407,0),IF(AND(ISNUMBER(AO407),AO407&lt;=(C407+T407)),BC407,0))),"SK",IF(AND(IF(AND(NOT(AND(AU407=1,AT407&lt;&gt;1)),ISNUMBER(AL407),AL407&lt;=(C407+T407)),AZ407,0)&gt;0,IF(AND(NOT(AND(AU407=1,AT407&lt;&gt;1)),ISNUMBER(AL407),AL407&lt;=(C407+T407)),AZ407,0)=MAX(IF(AND(NOT(AND(AU407=1,AT407&lt;&gt;1)),ISNUMBER(AK407),AK407&lt;=(C407+T407)),AY407,0),IF(AND(NOT(AND(AU407=1,AT407&lt;&gt;1)),ISNUMBER(AL407),AL407&lt;=(C407+T407)),AZ407,0),IF(AND(NOT(AND(AU407=1,AT407&lt;&gt;1)),ISNUMBER(AM407),AM407&lt;=(C407+T407)),BA407,0),IF(AND(NOT(AND(AU407=1,AT407&lt;&gt;1)),ISNUMBER(AN407),AN407&lt;=(C407+T407)),BB407,0),IF(AND(ISNUMBER(AO407),AO407&lt;=(C407+T407)),BC407,0))),"LB",IF(AND(IF(AND(NOT(AND(AU407=1,AT407&lt;&gt;1)),ISNUMBER(AM407),AM407&lt;=(C407+T407)),BA407,0)&gt;0,IF(AND(NOT(AND(AU407=1,AT407&lt;&gt;1)),ISNUMBER(AM407),AM407&lt;=(C407+T407)),BA407,0)=MAX(IF(AND(NOT(AND(AU407=1,AT407&lt;&gt;1)),ISNUMBER(AK407),AK407&lt;=(C407+T407)),AY407,0),IF(AND(NOT(AND(AU407=1,AT407&lt;&gt;1)),ISNUMBER(AL407),AL407&lt;=(C407+T407)),AZ407,0),IF(AND(NOT(AND(AU407=1,AT407&lt;&gt;1)),ISNUMBER(AM407),AM407&lt;=(C407+T407)),BA407,0),IF(AND(NOT(AND(AU407=1,AT407&lt;&gt;1)),ISNUMBER(AN407),AN407&lt;=(C407+T407)),BB407,0),IF(AND(ISNUMBER(AO407),AO407&lt;=(C407+T407)),BC407,0))),"ML",IF(AND(IF(AND(NOT(AND(AU407=1,AT407&lt;&gt;1)),ISNUMBER(AN407),AN407&lt;=(C407+T407)),BB407,0)&gt;0,IF(AND(NOT(AND(AU407=1,AT407&lt;&gt;1)),ISNUMBER(AN407),AN407&lt;=(C407+T407)),BB407,0)=MAX(IF(AND(NOT(AND(AU407=1,AT407&lt;&gt;1)),ISNUMBER(AK407),AK407&lt;=(C407+T407)),AY407,0),IF(AND(NOT(AND(AU407=1,AT407&lt;&gt;1)),ISNUMBER(AL407),AL407&lt;=(C407+T407)),AZ407,0),IF(AND(NOT(AND(AU407=1,AT407&lt;&gt;1)),ISNUMBER(AM407),AM407&lt;=(C407+T407)),BA407,0),IF(AND(NOT(AND(AU407=1,AT407&lt;&gt;1)),ISNUMBER(AN407),AN407&lt;=(C407+T407)),BB407,0),IF(AND(ISNUMBER(AO407),AO407&lt;=(C407+T407)),BC407,0))),"RLO","BD"))))))))</f>
        <v/>
      </c>
    </row>
    <row r="408">
      <c r="A408" s="26" t="n">
        <v>397</v>
      </c>
      <c r="B408" s="27">
        <f>A408*10/60</f>
        <v/>
      </c>
      <c r="C408" s="22">
        <f>X407</f>
        <v/>
      </c>
      <c r="D408" s="27">
        <f>D407+W407</f>
        <v/>
      </c>
      <c r="E408" s="26">
        <f>E407+IF(U407="SK",1,0)</f>
        <v/>
      </c>
      <c r="F408" s="26">
        <f>F407+IF(U407="LB",1,0)</f>
        <v/>
      </c>
      <c r="G408" s="26">
        <f>G407+IF(U407="ML",1,0)</f>
        <v/>
      </c>
      <c r="H408" s="26">
        <f>H407+IF(U407="RLO",1,0)</f>
        <v/>
      </c>
      <c r="I408" s="26">
        <f>I407+IF(U407="BD",1,0)</f>
        <v/>
      </c>
      <c r="J408" s="26">
        <f>MAX(J407,IF(U407="BiP",1,0))</f>
        <v/>
      </c>
      <c r="K408" s="26">
        <f>MAX(K407,IF(U407="PV",1,0))</f>
        <v/>
      </c>
      <c r="L408" s="26">
        <f>MAX(L407,IF(U407="OC",1,0))</f>
        <v/>
      </c>
      <c r="M408" s="26">
        <f>MAX(M407,IF(U407="MG",1,0))</f>
        <v/>
      </c>
      <c r="N408" s="26">
        <f>MAX(N407,IF(U407="transition",1,0))</f>
        <v/>
      </c>
      <c r="O408" s="28">
        <f>(Parameters!$B$9+(IF(E408=0,0,(Upgrades!$J$13+E408*Upgrades!$K$13)*POWER(Upgrades!$L$13,E408)))*(IF(Upgrades!$T$14="Stellar Kinematics",POWER(Upgrades!$U$14,F408),1)*IF(Upgrades!$T$15="Stellar Kinematics",POWER(Upgrades!$U$15,G408),1)*IF(Upgrades!$T$16="Stellar Kinematics",POWER(Upgrades!$U$16,H408),1)*IF(Upgrades!$T$17="Stellar Kinematics",POWER(Upgrades!$U$17,I408),1)*IF(Upgrades!$T$18="Stellar Kinematics",POWER(Upgrades!$U$18,J408),1)*IF(Upgrades!$T$19="Stellar Kinematics",POWER(Upgrades!$U$19,K408),1)*IF(Upgrades!$T$20="Stellar Kinematics",POWER(Upgrades!$U$20,L408),1)*IF(Upgrades!$T$21="Stellar Kinematics",POWER(Upgrades!$U$21,M408),1))+(IF(F408=0,0,(Upgrades!$J$14+F408*Upgrades!$K$14)*POWER(Upgrades!$L$14,F408)))*(IF(Upgrades!$T$13="Local Bubble",POWER(Upgrades!$U$13,E408),1)*IF(Upgrades!$T$15="Local Bubble",POWER(Upgrades!$U$15,G408),1)*IF(Upgrades!$T$16="Local Bubble",POWER(Upgrades!$U$16,H408),1)*IF(Upgrades!$T$17="Local Bubble",POWER(Upgrades!$U$17,I408),1)*IF(Upgrades!$T$18="Local Bubble",POWER(Upgrades!$U$18,J408),1)*IF(Upgrades!$T$19="Local Bubble",POWER(Upgrades!$U$19,K408),1)*IF(Upgrades!$T$20="Local Bubble",POWER(Upgrades!$U$20,L408),1)*IF(Upgrades!$T$21="Local Bubble",POWER(Upgrades!$U$21,M408),1))+(IF(G408=0,0,(Upgrades!$J$15+G408*Upgrades!$K$15)*POWER(Upgrades!$L$15,G408)))*(IF(Upgrades!$T$13="Microlensing",POWER(Upgrades!$U$13,E408),1)*IF(Upgrades!$T$14="Microlensing",POWER(Upgrades!$U$14,F408),1)*IF(Upgrades!$T$16="Microlensing",POWER(Upgrades!$U$16,H408),1)*IF(Upgrades!$T$17="Microlensing",POWER(Upgrades!$U$17,I408),1)*IF(Upgrades!$T$18="Microlensing",POWER(Upgrades!$U$18,J408),1)*IF(Upgrades!$T$19="Microlensing",POWER(Upgrades!$U$19,K408),1)*IF(Upgrades!$T$20="Microlensing",POWER(Upgrades!$U$20,L408),1)*IF(Upgrades!$T$21="Microlensing",POWER(Upgrades!$U$21,M408),1))+(IF(H408=0,0,(Upgrades!$J$16+H408*Upgrades!$K$16)*POWER(Upgrades!$L$16,H408)))*(IF(Upgrades!$T$13="Roche Lobe Overflow",POWER(Upgrades!$U$13,E408),1)*IF(Upgrades!$T$14="Roche Lobe Overflow",POWER(Upgrades!$U$14,F408),1)*IF(Upgrades!$T$15="Roche Lobe Overflow",POWER(Upgrades!$U$15,G408),1)*IF(Upgrades!$T$17="Roche Lobe Overflow",POWER(Upgrades!$U$17,I408),1)*IF(Upgrades!$T$18="Roche Lobe Overflow",POWER(Upgrades!$U$18,J408),1)*IF(Upgrades!$T$19="Roche Lobe Overflow",POWER(Upgrades!$U$19,K408),1)*IF(Upgrades!$T$20="Roche Lobe Overflow",POWER(Upgrades!$U$20,L408),1)*IF(Upgrades!$T$21="Roche Lobe Overflow",POWER(Upgrades!$U$21,M408),1))+(IF(I408=0,0,(Upgrades!$J$17+I408*Upgrades!$K$17)*POWER(Upgrades!$L$17,I408)))*(IF(Upgrades!$T$13="Brown Dwarf",POWER(Upgrades!$U$13,E408),1)*IF(Upgrades!$T$14="Brown Dwarf",POWER(Upgrades!$U$14,F408),1)*IF(Upgrades!$T$15="Brown Dwarf",POWER(Upgrades!$U$15,G408),1)*IF(Upgrades!$T$16="Brown Dwarf",POWER(Upgrades!$U$16,H408),1)*IF(Upgrades!$T$18="Brown Dwarf",POWER(Upgrades!$U$18,J408),1)*IF(Upgrades!$T$19="Brown Dwarf",POWER(Upgrades!$U$19,K408),1)*IF(Upgrades!$T$20="Brown Dwarf",POWER(Upgrades!$U$20,L408),1)*IF(Upgrades!$T$21="Brown Dwarf",POWER(Upgrades!$U$21,M408),1))+(IF(J408=0,0,(Upgrades!$J$18+J408*Upgrades!$K$18)*POWER(Upgrades!$L$18,J408)))*(IF(Upgrades!$T$13="Binary Partner",POWER(Upgrades!$U$13,E408),1)*IF(Upgrades!$T$14="Binary Partner",POWER(Upgrades!$U$14,F408),1)*IF(Upgrades!$T$15="Binary Partner",POWER(Upgrades!$U$15,G408),1)*IF(Upgrades!$T$16="Binary Partner",POWER(Upgrades!$U$16,H408),1)*IF(Upgrades!$T$17="Binary Partner",POWER(Upgrades!$U$17,I408),1)*IF(Upgrades!$T$19="Binary Partner",POWER(Upgrades!$U$19,K408),1)*IF(Upgrades!$T$20="Binary Partner",POWER(Upgrades!$U$20,L408),1)*IF(Upgrades!$T$21="Binary Partner",POWER(Upgrades!$U$21,M408),1))+(IF(K408=0,0,(Upgrades!$J$19+K408*Upgrades!$K$19)*POWER(Upgrades!$L$19,K408)))*(IF(Upgrades!$T$13="Peculiar Velocity",POWER(Upgrades!$U$13,E408),1)*IF(Upgrades!$T$14="Peculiar Velocity",POWER(Upgrades!$U$14,F408),1)*IF(Upgrades!$T$15="Peculiar Velocity",POWER(Upgrades!$U$15,G408),1)*IF(Upgrades!$T$16="Peculiar Velocity",POWER(Upgrades!$U$16,H408),1)*IF(Upgrades!$T$17="Peculiar Velocity",POWER(Upgrades!$U$17,I408),1)*IF(Upgrades!$T$18="Peculiar Velocity",POWER(Upgrades!$U$18,J408),1)*IF(Upgrades!$T$20="Peculiar Velocity",POWER(Upgrades!$U$20,L408),1)*IF(Upgrades!$T$21="Peculiar Velocity",POWER(Upgrades!$U$21,M408),1))+(IF(L408=0,0,(Upgrades!$J$20+L408*Upgrades!$K$20)*POWER(Upgrades!$L$20,L408)))*(IF(Upgrades!$T$13="Open Cluster",POWER(Upgrades!$U$13,E408),1)*IF(Upgrades!$T$14="Open Cluster",POWER(Upgrades!$U$14,F408),1)*IF(Upgrades!$T$15="Open Cluster",POWER(Upgrades!$U$15,G408),1)*IF(Upgrades!$T$16="Open Cluster",POWER(Upgrades!$U$16,H408),1)*IF(Upgrades!$T$17="Open Cluster",POWER(Upgrades!$U$17,I408),1)*IF(Upgrades!$T$18="Open Cluster",POWER(Upgrades!$U$18,J408),1)*IF(Upgrades!$T$19="Open Cluster",POWER(Upgrades!$U$19,K408),1)*IF(Upgrades!$T$21="Open Cluster",POWER(Upgrades!$U$21,M408),1))+(IF(M408=0,0,(Upgrades!$J$21+M408*Upgrades!$K$21)*POWER(Upgrades!$L$21,M408)))*(IF(Upgrades!$T$13="Moving Group",POWER(Upgrades!$U$13,E408),1)*IF(Upgrades!$T$14="Moving Group",POWER(Upgrades!$U$14,F408),1)*IF(Upgrades!$T$15="Moving Group",POWER(Upgrades!$U$15,G408),1)*IF(Upgrades!$T$16="Moving Group",POWER(Upgrades!$U$16,H408),1)*IF(Upgrades!$T$17="Moving Group",POWER(Upgrades!$U$17,I408),1)*IF(Upgrades!$T$18="Moving Group",POWER(Upgrades!$U$18,J408),1)*IF(Upgrades!$T$19="Moving Group",POWER(Upgrades!$U$19,K408),1)*IF(Upgrades!$T$20="Moving Group",POWER(Upgrades!$U$20,L408),1)))*POWER(Upgrades!$Q$13,E408)*POWER(Upgrades!$Q$14,F408)*POWER(Upgrades!$Q$15,G408)*POWER(Upgrades!$Q$16,H408)*POWER(Upgrades!$Q$17,I408)*POWER(Upgrades!$Q$18,J408)*POWER(Upgrades!$Q$19,K408)*POWER(Upgrades!$Q$20,L408)*POWER(Upgrades!$Q$21,M408)*$G$6+$D$6</f>
        <v/>
      </c>
      <c r="P408" s="28">
        <f>((IF(E408=0,0,(Upgrades!$G$13+E408*Upgrades!$H$13)*POWER(Upgrades!$I$13,E408)))*(IF(Upgrades!$T$14="Stellar Kinematics",POWER(Upgrades!$U$14,F408),1)*IF(Upgrades!$T$15="Stellar Kinematics",POWER(Upgrades!$U$15,G408),1)*IF(Upgrades!$T$16="Stellar Kinematics",POWER(Upgrades!$U$16,H408),1)*IF(Upgrades!$T$17="Stellar Kinematics",POWER(Upgrades!$U$17,I408),1)*IF(Upgrades!$T$18="Stellar Kinematics",POWER(Upgrades!$U$18,J408),1)*IF(Upgrades!$T$19="Stellar Kinematics",POWER(Upgrades!$U$19,K408),1)*IF(Upgrades!$T$20="Stellar Kinematics",POWER(Upgrades!$U$20,L408),1)*IF(Upgrades!$T$21="Stellar Kinematics",POWER(Upgrades!$U$21,M408),1))+(IF(F408=0,0,(Upgrades!$G$14+F408*Upgrades!$H$14)*POWER(Upgrades!$I$14,F408)))*(IF(Upgrades!$T$13="Local Bubble",POWER(Upgrades!$U$13,E408),1)*IF(Upgrades!$T$15="Local Bubble",POWER(Upgrades!$U$15,G408),1)*IF(Upgrades!$T$16="Local Bubble",POWER(Upgrades!$U$16,H408),1)*IF(Upgrades!$T$17="Local Bubble",POWER(Upgrades!$U$17,I408),1)*IF(Upgrades!$T$18="Local Bubble",POWER(Upgrades!$U$18,J408),1)*IF(Upgrades!$T$19="Local Bubble",POWER(Upgrades!$U$19,K408),1)*IF(Upgrades!$T$20="Local Bubble",POWER(Upgrades!$U$20,L408),1)*IF(Upgrades!$T$21="Local Bubble",POWER(Upgrades!$U$21,M408),1))+(IF(G408=0,0,(Upgrades!$G$15+G408*Upgrades!$H$15)*POWER(Upgrades!$I$15,G408)))*(IF(Upgrades!$T$13="Microlensing",POWER(Upgrades!$U$13,E408),1)*IF(Upgrades!$T$14="Microlensing",POWER(Upgrades!$U$14,F408),1)*IF(Upgrades!$T$16="Microlensing",POWER(Upgrades!$U$16,H408),1)*IF(Upgrades!$T$17="Microlensing",POWER(Upgrades!$U$17,I408),1)*IF(Upgrades!$T$18="Microlensing",POWER(Upgrades!$U$18,J408),1)*IF(Upgrades!$T$19="Microlensing",POWER(Upgrades!$U$19,K408),1)*IF(Upgrades!$T$20="Microlensing",POWER(Upgrades!$U$20,L408),1)*IF(Upgrades!$T$21="Microlensing",POWER(Upgrades!$U$21,M408),1))+(IF(H408=0,0,(Upgrades!$G$16+H408*Upgrades!$H$16)*POWER(Upgrades!$I$16,H408)))*(IF(Upgrades!$T$13="Roche Lobe Overflow",POWER(Upgrades!$U$13,E408),1)*IF(Upgrades!$T$14="Roche Lobe Overflow",POWER(Upgrades!$U$14,F408),1)*IF(Upgrades!$T$15="Roche Lobe Overflow",POWER(Upgrades!$U$15,G408),1)*IF(Upgrades!$T$17="Roche Lobe Overflow",POWER(Upgrades!$U$17,I408),1)*IF(Upgrades!$T$18="Roche Lobe Overflow",POWER(Upgrades!$U$18,J408),1)*IF(Upgrades!$T$19="Roche Lobe Overflow",POWER(Upgrades!$U$19,K408),1)*IF(Upgrades!$T$20="Roche Lobe Overflow",POWER(Upgrades!$U$20,L408),1)*IF(Upgrades!$T$21="Roche Lobe Overflow",POWER(Upgrades!$U$21,M408),1))+(IF(I408=0,0,(Upgrades!$G$17+I408*Upgrades!$H$17)*POWER(Upgrades!$I$17,I408)))*(IF(Upgrades!$T$13="Brown Dwarf",POWER(Upgrades!$U$13,E408),1)*IF(Upgrades!$T$14="Brown Dwarf",POWER(Upgrades!$U$14,F408),1)*IF(Upgrades!$T$15="Brown Dwarf",POWER(Upgrades!$U$15,G408),1)*IF(Upgrades!$T$16="Brown Dwarf",POWER(Upgrades!$U$16,H408),1)*IF(Upgrades!$T$18="Brown Dwarf",POWER(Upgrades!$U$18,J408),1)*IF(Upgrades!$T$19="Brown Dwarf",POWER(Upgrades!$U$19,K408),1)*IF(Upgrades!$T$20="Brown Dwarf",POWER(Upgrades!$U$20,L408),1)*IF(Upgrades!$T$21="Brown Dwarf",POWER(Upgrades!$U$21,M408),1))+(IF(J408=0,0,(Upgrades!$G$18+J408*Upgrades!$H$18)*POWER(Upgrades!$I$18,J408)))*(IF(Upgrades!$T$13="Binary Partner",POWER(Upgrades!$U$13,E408),1)*IF(Upgrades!$T$14="Binary Partner",POWER(Upgrades!$U$14,F408),1)*IF(Upgrades!$T$15="Binary Partner",POWER(Upgrades!$U$15,G408),1)*IF(Upgrades!$T$16="Binary Partner",POWER(Upgrades!$U$16,H408),1)*IF(Upgrades!$T$17="Binary Partner",POWER(Upgrades!$U$17,I408),1)*IF(Upgrades!$T$19="Binary Partner",POWER(Upgrades!$U$19,K408),1)*IF(Upgrades!$T$20="Binary Partner",POWER(Upgrades!$U$20,L408),1)*IF(Upgrades!$T$21="Binary Partner",POWER(Upgrades!$U$21,M408),1))+(IF(K408=0,0,(Upgrades!$G$19+K408*Upgrades!$H$19)*POWER(Upgrades!$I$19,K408)))*(IF(Upgrades!$T$13="Peculiar Velocity",POWER(Upgrades!$U$13,E408),1)*IF(Upgrades!$T$14="Peculiar Velocity",POWER(Upgrades!$U$14,F408),1)*IF(Upgrades!$T$15="Peculiar Velocity",POWER(Upgrades!$U$15,G408),1)*IF(Upgrades!$T$16="Peculiar Velocity",POWER(Upgrades!$U$16,H408),1)*IF(Upgrades!$T$17="Peculiar Velocity",POWER(Upgrades!$U$17,I408),1)*IF(Upgrades!$T$18="Peculiar Velocity",POWER(Upgrades!$U$18,J408),1)*IF(Upgrades!$T$20="Peculiar Velocity",POWER(Upgrades!$U$20,L408),1)*IF(Upgrades!$T$21="Peculiar Velocity",POWER(Upgrades!$U$21,M408),1))+(IF(L408=0,0,(Upgrades!$G$20+L408*Upgrades!$H$20)*POWER(Upgrades!$I$20,L408)))*(IF(Upgrades!$T$13="Open Cluster",POWER(Upgrades!$U$13,E408),1)*IF(Upgrades!$T$14="Open Cluster",POWER(Upgrades!$U$14,F408),1)*IF(Upgrades!$T$15="Open Cluster",POWER(Upgrades!$U$15,G408),1)*IF(Upgrades!$T$16="Open Cluster",POWER(Upgrades!$U$16,H408),1)*IF(Upgrades!$T$17="Open Cluster",POWER(Upgrades!$U$17,I408),1)*IF(Upgrades!$T$18="Open Cluster",POWER(Upgrades!$U$18,J408),1)*IF(Upgrades!$T$19="Open Cluster",POWER(Upgrades!$U$19,K408),1)*IF(Upgrades!$T$21="Open Cluster",POWER(Upgrades!$U$21,M408),1))+(IF(M408=0,0,(Upgrades!$G$21+M408*Upgrades!$H$21)*POWER(Upgrades!$I$21,M408)))*(IF(Upgrades!$T$13="Moving Group",POWER(Upgrades!$U$13,E408),1)*IF(Upgrades!$T$14="Moving Group",POWER(Upgrades!$U$14,F408),1)*IF(Upgrades!$T$15="Moving Group",POWER(Upgrades!$U$15,G408),1)*IF(Upgrades!$T$16="Moving Group",POWER(Upgrades!$U$16,H408),1)*IF(Upgrades!$T$17="Moving Group",POWER(Upgrades!$U$17,I408),1)*IF(Upgrades!$T$18="Moving Group",POWER(Upgrades!$U$18,J408),1)*IF(Upgrades!$T$19="Moving Group",POWER(Upgrades!$U$19,K408),1)*IF(Upgrades!$T$20="Moving Group",POWER(Upgrades!$U$20,L408),1)))*POWER(Upgrades!$P$13,E408)*POWER(Upgrades!$P$14,F408)*POWER(Upgrades!$P$15,G408)*POWER(Upgrades!$P$16,H408)*POWER(Upgrades!$P$17,I408)*POWER(Upgrades!$P$18,J408)*POWER(Upgrades!$P$19,K408)*POWER(Upgrades!$P$20,L408)*POWER(Upgrades!$P$21,M408)*$F$6+$C$6</f>
        <v/>
      </c>
      <c r="Q408" s="28">
        <f>((IF(E408=0,0,(Upgrades!$M$13+E408*Upgrades!$N$13)*POWER(Upgrades!$O$13,E408)))*(IF(Upgrades!$T$14="Stellar Kinematics",POWER(Upgrades!$U$14,F408),1)*IF(Upgrades!$T$15="Stellar Kinematics",POWER(Upgrades!$U$15,G408),1)*IF(Upgrades!$T$16="Stellar Kinematics",POWER(Upgrades!$U$16,H408),1)*IF(Upgrades!$T$17="Stellar Kinematics",POWER(Upgrades!$U$17,I408),1)*IF(Upgrades!$T$18="Stellar Kinematics",POWER(Upgrades!$U$18,J408),1)*IF(Upgrades!$T$19="Stellar Kinematics",POWER(Upgrades!$U$19,K408),1)*IF(Upgrades!$T$20="Stellar Kinematics",POWER(Upgrades!$U$20,L408),1)*IF(Upgrades!$T$21="Stellar Kinematics",POWER(Upgrades!$U$21,M408),1))+(IF(F408=0,0,(Upgrades!$M$14+F408*Upgrades!$N$14)*POWER(Upgrades!$O$14,F408)))*(IF(Upgrades!$T$13="Local Bubble",POWER(Upgrades!$U$13,E408),1)*IF(Upgrades!$T$15="Local Bubble",POWER(Upgrades!$U$15,G408),1)*IF(Upgrades!$T$16="Local Bubble",POWER(Upgrades!$U$16,H408),1)*IF(Upgrades!$T$17="Local Bubble",POWER(Upgrades!$U$17,I408),1)*IF(Upgrades!$T$18="Local Bubble",POWER(Upgrades!$U$18,J408),1)*IF(Upgrades!$T$19="Local Bubble",POWER(Upgrades!$U$19,K408),1)*IF(Upgrades!$T$20="Local Bubble",POWER(Upgrades!$U$20,L408),1)*IF(Upgrades!$T$21="Local Bubble",POWER(Upgrades!$U$21,M408),1))+(IF(G408=0,0,(Upgrades!$M$15+G408*Upgrades!$N$15)*POWER(Upgrades!$O$15,G408)))*(IF(Upgrades!$T$13="Microlensing",POWER(Upgrades!$U$13,E408),1)*IF(Upgrades!$T$14="Microlensing",POWER(Upgrades!$U$14,F408),1)*IF(Upgrades!$T$16="Microlensing",POWER(Upgrades!$U$16,H408),1)*IF(Upgrades!$T$17="Microlensing",POWER(Upgrades!$U$17,I408),1)*IF(Upgrades!$T$18="Microlensing",POWER(Upgrades!$U$18,J408),1)*IF(Upgrades!$T$19="Microlensing",POWER(Upgrades!$U$19,K408),1)*IF(Upgrades!$T$20="Microlensing",POWER(Upgrades!$U$20,L408),1)*IF(Upgrades!$T$21="Microlensing",POWER(Upgrades!$U$21,M408),1))+(IF(H408=0,0,(Upgrades!$M$16+H408*Upgrades!$N$16)*POWER(Upgrades!$O$16,H408)))*(IF(Upgrades!$T$13="Roche Lobe Overflow",POWER(Upgrades!$U$13,E408),1)*IF(Upgrades!$T$14="Roche Lobe Overflow",POWER(Upgrades!$U$14,F408),1)*IF(Upgrades!$T$15="Roche Lobe Overflow",POWER(Upgrades!$U$15,G408),1)*IF(Upgrades!$T$17="Roche Lobe Overflow",POWER(Upgrades!$U$17,I408),1)*IF(Upgrades!$T$18="Roche Lobe Overflow",POWER(Upgrades!$U$18,J408),1)*IF(Upgrades!$T$19="Roche Lobe Overflow",POWER(Upgrades!$U$19,K408),1)*IF(Upgrades!$T$20="Roche Lobe Overflow",POWER(Upgrades!$U$20,L408),1)*IF(Upgrades!$T$21="Roche Lobe Overflow",POWER(Upgrades!$U$21,M408),1))+(IF(I408=0,0,(Upgrades!$M$17+I408*Upgrades!$N$17)*POWER(Upgrades!$O$17,I408)))*(IF(Upgrades!$T$13="Brown Dwarf",POWER(Upgrades!$U$13,E408),1)*IF(Upgrades!$T$14="Brown Dwarf",POWER(Upgrades!$U$14,F408),1)*IF(Upgrades!$T$15="Brown Dwarf",POWER(Upgrades!$U$15,G408),1)*IF(Upgrades!$T$16="Brown Dwarf",POWER(Upgrades!$U$16,H408),1)*IF(Upgrades!$T$18="Brown Dwarf",POWER(Upgrades!$U$18,J408),1)*IF(Upgrades!$T$19="Brown Dwarf",POWER(Upgrades!$U$19,K408),1)*IF(Upgrades!$T$20="Brown Dwarf",POWER(Upgrades!$U$20,L408),1)*IF(Upgrades!$T$21="Brown Dwarf",POWER(Upgrades!$U$21,M408),1))+(IF(J408=0,0,(Upgrades!$M$18+J408*Upgrades!$N$18)*POWER(Upgrades!$O$18,J408)))*(IF(Upgrades!$T$13="Binary Partner",POWER(Upgrades!$U$13,E408),1)*IF(Upgrades!$T$14="Binary Partner",POWER(Upgrades!$U$14,F408),1)*IF(Upgrades!$T$15="Binary Partner",POWER(Upgrades!$U$15,G408),1)*IF(Upgrades!$T$16="Binary Partner",POWER(Upgrades!$U$16,H408),1)*IF(Upgrades!$T$17="Binary Partner",POWER(Upgrades!$U$17,I408),1)*IF(Upgrades!$T$19="Binary Partner",POWER(Upgrades!$U$19,K408),1)*IF(Upgrades!$T$20="Binary Partner",POWER(Upgrades!$U$20,L408),1)*IF(Upgrades!$T$21="Binary Partner",POWER(Upgrades!$U$21,M408),1))+(IF(K408=0,0,(Upgrades!$M$19+K408*Upgrades!$N$19)*POWER(Upgrades!$O$19,K408)))*(IF(Upgrades!$T$13="Peculiar Velocity",POWER(Upgrades!$U$13,E408),1)*IF(Upgrades!$T$14="Peculiar Velocity",POWER(Upgrades!$U$14,F408),1)*IF(Upgrades!$T$15="Peculiar Velocity",POWER(Upgrades!$U$15,G408),1)*IF(Upgrades!$T$16="Peculiar Velocity",POWER(Upgrades!$U$16,H408),1)*IF(Upgrades!$T$17="Peculiar Velocity",POWER(Upgrades!$U$17,I408),1)*IF(Upgrades!$T$18="Peculiar Velocity",POWER(Upgrades!$U$18,J408),1)*IF(Upgrades!$T$20="Peculiar Velocity",POWER(Upgrades!$U$20,L408),1)*IF(Upgrades!$T$21="Peculiar Velocity",POWER(Upgrades!$U$21,M408),1))+(IF(L408=0,0,(Upgrades!$M$20+L408*Upgrades!$N$20)*POWER(Upgrades!$O$20,L408)))*(IF(Upgrades!$T$13="Open Cluster",POWER(Upgrades!$U$13,E408),1)*IF(Upgrades!$T$14="Open Cluster",POWER(Upgrades!$U$14,F408),1)*IF(Upgrades!$T$15="Open Cluster",POWER(Upgrades!$U$15,G408),1)*IF(Upgrades!$T$16="Open Cluster",POWER(Upgrades!$U$16,H408),1)*IF(Upgrades!$T$17="Open Cluster",POWER(Upgrades!$U$17,I408),1)*IF(Upgrades!$T$18="Open Cluster",POWER(Upgrades!$U$18,J408),1)*IF(Upgrades!$T$19="Open Cluster",POWER(Upgrades!$U$19,K408),1)*IF(Upgrades!$T$21="Open Cluster",POWER(Upgrades!$U$21,M408),1))+(IF(M408=0,0,(Upgrades!$M$21+M408*Upgrades!$N$21)*POWER(Upgrades!$O$21,M408)))*(IF(Upgrades!$T$13="Moving Group",POWER(Upgrades!$U$13,E408),1)*IF(Upgrades!$T$14="Moving Group",POWER(Upgrades!$U$14,F408),1)*IF(Upgrades!$T$15="Moving Group",POWER(Upgrades!$U$15,G408),1)*IF(Upgrades!$T$16="Moving Group",POWER(Upgrades!$U$16,H408),1)*IF(Upgrades!$T$17="Moving Group",POWER(Upgrades!$U$17,I408),1)*IF(Upgrades!$T$18="Moving Group",POWER(Upgrades!$U$18,J408),1)*IF(Upgrades!$T$19="Moving Group",POWER(Upgrades!$U$19,K408),1)*IF(Upgrades!$T$20="Moving Group",POWER(Upgrades!$U$20,L408),1)))*POWER(Upgrades!$R$13,E408)*POWER(Upgrades!$R$14,F408)*POWER(Upgrades!$R$15,G408)*POWER(Upgrades!$R$16,H408)*POWER(Upgrades!$R$17,I408)*POWER(Upgrades!$R$18,J408)*POWER(Upgrades!$R$19,K408)*POWER(Upgrades!$R$20,L408)*POWER(Upgrades!$R$21,M408)*$H$6+$E$6</f>
        <v/>
      </c>
      <c r="R408" s="27">
        <f>IF(N408=1,0,O408*Parameters!$B$10/60*Parameters!$B$11*10)</f>
        <v/>
      </c>
      <c r="S408" s="27">
        <f>IF(N408=1,0,Q408*O408*10)</f>
        <v/>
      </c>
      <c r="T408" s="27">
        <f>IF(N408=1,0,R408+S408+P408*10)</f>
        <v/>
      </c>
      <c r="U408" s="33">
        <f>BE408</f>
        <v/>
      </c>
      <c r="V408" s="22">
        <f>IF(U408="",0,IF(U408="transition",0,IF(U408="SK",AK408,IF(U408="LB",AL408,IF(U408="ML",AM408,IF(U408="RLO",AN408,IF(U408="BD",AO408,IF(U408="BiP",AP408,IF(U408="PV",AQ408,IF(U408="OC",AR408,IF(U408="MG",AS408,0))))))))))</f>
        <v/>
      </c>
      <c r="W408" s="27">
        <f>IF(U408="BiP",Upgrades!$F$18,IF(U408="PV",Upgrades!$F$19,IF(U408="OC",Upgrades!$F$20,IF(U408="MG",Upgrades!$F$21,IF(U408="transition",-Parameters!$B$18*Parameters!$B$19,0)))))</f>
        <v/>
      </c>
      <c r="X408" s="22">
        <f>C408+T408-V408</f>
        <v/>
      </c>
      <c r="Y408" s="30">
        <f>O408*Parameters!$B$10/60*Parameters!$B$11+Q408*O408+P408</f>
        <v/>
      </c>
      <c r="Z408" s="34">
        <f>IF(U408="transition","→ Tier 3 (Galactic Arm)",IF(U408="MG","Moving Group — pocket drifts together",IF(U408="OC","Open Cluster acquired",IF(U408="PV","Peculiar Velocity — passive multiplier active",IF(U408="BiP","Binary Partner — pair bond formed",IF(AND(AU408=1,N408=0,AT408&lt;&gt;1),"Cohesion ready (waiting on completionists)","")))))) </f>
        <v/>
      </c>
      <c r="AA408" s="27">
        <f>(IF(E408=0,0,(Upgrades!$G$13+E408*Upgrades!$H$13)*POWER(Upgrades!$I$13,E408)))*(IF(Upgrades!$T$14="Stellar Kinematics",POWER(Upgrades!$U$14,F408),1)*IF(Upgrades!$T$15="Stellar Kinematics",POWER(Upgrades!$U$15,G408),1)*IF(Upgrades!$T$16="Stellar Kinematics",POWER(Upgrades!$U$16,H408),1)*IF(Upgrades!$T$17="Stellar Kinematics",POWER(Upgrades!$U$17,I408),1)*IF(Upgrades!$T$18="Stellar Kinematics",POWER(Upgrades!$U$18,J408),1)*IF(Upgrades!$T$19="Stellar Kinematics",POWER(Upgrades!$U$19,K408),1)*IF(Upgrades!$T$20="Stellar Kinematics",POWER(Upgrades!$U$20,L408),1)*IF(Upgrades!$T$21="Stellar Kinematics",POWER(Upgrades!$U$21,M408),1))*POWER(Upgrades!$P$13,E408)*POWER(Upgrades!$P$14,F408)*POWER(Upgrades!$P$15,G408)*POWER(Upgrades!$P$16,H408)*POWER(Upgrades!$P$17,I408)*POWER(Upgrades!$P$18,J408)*POWER(Upgrades!$P$19,K408)*POWER(Upgrades!$P$20,L408)*POWER(Upgrades!$P$21,M408)*$F$6*60</f>
        <v/>
      </c>
      <c r="AB408" s="27">
        <f>(IF(F408=0,0,(Upgrades!$G$14+F408*Upgrades!$H$14)*POWER(Upgrades!$I$14,F408)))*(IF(Upgrades!$T$13="Local Bubble",POWER(Upgrades!$U$13,E408),1)*IF(Upgrades!$T$15="Local Bubble",POWER(Upgrades!$U$15,G408),1)*IF(Upgrades!$T$16="Local Bubble",POWER(Upgrades!$U$16,H408),1)*IF(Upgrades!$T$17="Local Bubble",POWER(Upgrades!$U$17,I408),1)*IF(Upgrades!$T$18="Local Bubble",POWER(Upgrades!$U$18,J408),1)*IF(Upgrades!$T$19="Local Bubble",POWER(Upgrades!$U$19,K408),1)*IF(Upgrades!$T$20="Local Bubble",POWER(Upgrades!$U$20,L408),1)*IF(Upgrades!$T$21="Local Bubble",POWER(Upgrades!$U$21,M408),1))*POWER(Upgrades!$P$13,E408)*POWER(Upgrades!$P$14,F408)*POWER(Upgrades!$P$15,G408)*POWER(Upgrades!$P$16,H408)*POWER(Upgrades!$P$17,I408)*POWER(Upgrades!$P$18,J408)*POWER(Upgrades!$P$19,K408)*POWER(Upgrades!$P$20,L408)*POWER(Upgrades!$P$21,M408)*$F$6*60</f>
        <v/>
      </c>
      <c r="AC408" s="27">
        <f>(IF(G408=0,0,(Upgrades!$J$15+G408*Upgrades!$K$15)*POWER(Upgrades!$L$15,G408)))*(IF(Upgrades!$T$13="Microlensing",POWER(Upgrades!$U$13,E408),1)*IF(Upgrades!$T$14="Microlensing",POWER(Upgrades!$U$14,F408),1)*IF(Upgrades!$T$16="Microlensing",POWER(Upgrades!$U$16,H408),1)*IF(Upgrades!$T$17="Microlensing",POWER(Upgrades!$U$17,I408),1)*IF(Upgrades!$T$18="Microlensing",POWER(Upgrades!$U$18,J408),1)*IF(Upgrades!$T$19="Microlensing",POWER(Upgrades!$U$19,K408),1)*IF(Upgrades!$T$20="Microlensing",POWER(Upgrades!$U$20,L408),1)*IF(Upgrades!$T$21="Microlensing",POWER(Upgrades!$U$21,M408),1))*POWER(Upgrades!$Q$13,E408)*POWER(Upgrades!$Q$14,F408)*POWER(Upgrades!$Q$15,G408)*POWER(Upgrades!$Q$16,H408)*POWER(Upgrades!$Q$17,I408)*POWER(Upgrades!$Q$18,J408)*POWER(Upgrades!$Q$19,K408)*POWER(Upgrades!$Q$20,L408)*POWER(Upgrades!$Q$21,M408)*$G$6*(Parameters!$B$10*Parameters!$B$11+Q408*60)</f>
        <v/>
      </c>
      <c r="AD408" s="27">
        <f>(IF(H408=0,0,(Upgrades!$M$16+H408*Upgrades!$N$16)*POWER(Upgrades!$O$16,H408)))*(IF(Upgrades!$T$13="Roche Lobe Overflow",POWER(Upgrades!$U$13,E408),1)*IF(Upgrades!$T$14="Roche Lobe Overflow",POWER(Upgrades!$U$14,F408),1)*IF(Upgrades!$T$15="Roche Lobe Overflow",POWER(Upgrades!$U$15,G408),1)*IF(Upgrades!$T$17="Roche Lobe Overflow",POWER(Upgrades!$U$17,I408),1)*IF(Upgrades!$T$18="Roche Lobe Overflow",POWER(Upgrades!$U$18,J408),1)*IF(Upgrades!$T$19="Roche Lobe Overflow",POWER(Upgrades!$U$19,K408),1)*IF(Upgrades!$T$20="Roche Lobe Overflow",POWER(Upgrades!$U$20,L408),1)*IF(Upgrades!$T$21="Roche Lobe Overflow",POWER(Upgrades!$U$21,M408),1))*POWER(Upgrades!$R$13,E408)*POWER(Upgrades!$R$14,F408)*POWER(Upgrades!$R$15,G408)*POWER(Upgrades!$R$16,H408)*POWER(Upgrades!$R$17,I408)*POWER(Upgrades!$R$18,J408)*POWER(Upgrades!$R$19,K408)*POWER(Upgrades!$R$20,L408)*POWER(Upgrades!$R$21,M408)*$H$6*O408*60</f>
        <v/>
      </c>
      <c r="AE408" s="27">
        <f>(IF(I408=0,0,(Upgrades!$G$17+I408*Upgrades!$H$17)*POWER(Upgrades!$I$17,I408)))*(IF(Upgrades!$T$13="Brown Dwarf",POWER(Upgrades!$U$13,E408),1)*IF(Upgrades!$T$14="Brown Dwarf",POWER(Upgrades!$U$14,F408),1)*IF(Upgrades!$T$15="Brown Dwarf",POWER(Upgrades!$U$15,G408),1)*IF(Upgrades!$T$16="Brown Dwarf",POWER(Upgrades!$U$16,H408),1)*IF(Upgrades!$T$18="Brown Dwarf",POWER(Upgrades!$U$18,J408),1)*IF(Upgrades!$T$19="Brown Dwarf",POWER(Upgrades!$U$19,K408),1)*IF(Upgrades!$T$20="Brown Dwarf",POWER(Upgrades!$U$20,L408),1)*IF(Upgrades!$T$21="Brown Dwarf",POWER(Upgrades!$U$21,M408),1))*POWER(Upgrades!$P$13,E408)*POWER(Upgrades!$P$14,F408)*POWER(Upgrades!$P$15,G408)*POWER(Upgrades!$P$16,H408)*POWER(Upgrades!$P$17,I408)*POWER(Upgrades!$P$18,J408)*POWER(Upgrades!$P$19,K408)*POWER(Upgrades!$P$20,L408)*POWER(Upgrades!$P$21,M408)*$F$6*60</f>
        <v/>
      </c>
      <c r="AF408" s="27" t="n">
        <v>0</v>
      </c>
      <c r="AG408" s="27" t="n">
        <v>0</v>
      </c>
      <c r="AH408" s="27" t="n">
        <v>0</v>
      </c>
      <c r="AI408" s="27">
        <f>(IF(M408=0,0,(Upgrades!$G$21+M408*Upgrades!$H$21)*POWER(Upgrades!$I$21,M408)))*(IF(Upgrades!$T$13="Moving Group",POWER(Upgrades!$U$13,E408),1)*IF(Upgrades!$T$14="Moving Group",POWER(Upgrades!$U$14,F408),1)*IF(Upgrades!$T$15="Moving Group",POWER(Upgrades!$U$15,G408),1)*IF(Upgrades!$T$16="Moving Group",POWER(Upgrades!$U$16,H408),1)*IF(Upgrades!$T$17="Moving Group",POWER(Upgrades!$U$17,I408),1)*IF(Upgrades!$T$18="Moving Group",POWER(Upgrades!$U$18,J408),1)*IF(Upgrades!$T$19="Moving Group",POWER(Upgrades!$U$19,K408),1)*IF(Upgrades!$T$20="Moving Group",POWER(Upgrades!$U$20,L408),1))*POWER(Upgrades!$P$13,E408)*POWER(Upgrades!$P$14,F408)*POWER(Upgrades!$P$15,G408)*POWER(Upgrades!$P$16,H408)*POWER(Upgrades!$P$17,I408)*POWER(Upgrades!$P$18,J408)*POWER(Upgrades!$P$19,K408)*POWER(Upgrades!$P$20,L408)*POWER(Upgrades!$P$21,M408)*$F$6*60</f>
        <v/>
      </c>
      <c r="AJ408" s="27">
        <f>$C$6*60</f>
        <v/>
      </c>
      <c r="AK408" s="22">
        <f>IF(E408&gt;=Upgrades!$E$13,"",Upgrades!$C$13*POWER(Upgrades!$D$13,E408))</f>
        <v/>
      </c>
      <c r="AL408" s="22">
        <f>IF(F408&gt;=Upgrades!$E$14,"",Upgrades!$C$14*POWER(Upgrades!$D$14,F408))</f>
        <v/>
      </c>
      <c r="AM408" s="22">
        <f>IF(G408&gt;=Upgrades!$E$15,"",Upgrades!$C$15*POWER(Upgrades!$D$15,G408))</f>
        <v/>
      </c>
      <c r="AN408" s="22">
        <f>IF(H408&gt;=Upgrades!$E$16,"",Upgrades!$C$16*POWER(Upgrades!$D$16,H408))</f>
        <v/>
      </c>
      <c r="AO408" s="22">
        <f>IF(I408&gt;=Upgrades!$E$17,"",Upgrades!$C$17*POWER(Upgrades!$D$17,I408))</f>
        <v/>
      </c>
      <c r="AP408" s="22">
        <f>IF(J408&gt;=Upgrades!$E$18,"",Upgrades!$C$18*POWER(Upgrades!$D$18,J408))</f>
        <v/>
      </c>
      <c r="AQ408" s="22">
        <f>IF(K408&gt;=Upgrades!$E$19,"",Upgrades!$C$19*POWER(Upgrades!$D$19,K408))</f>
        <v/>
      </c>
      <c r="AR408" s="22">
        <f>IF(L408&gt;=Upgrades!$E$20,"",Upgrades!$C$20*POWER(Upgrades!$D$20,L408))</f>
        <v/>
      </c>
      <c r="AS408" s="22">
        <f>IF(M408&gt;=Upgrades!$E$21,"",Upgrades!$C$21*POWER(Upgrades!$D$21,M408))</f>
        <v/>
      </c>
      <c r="AT408" s="26">
        <f>IF(AND(D408&gt;=Parameters!$B$18*Parameters!$B$19,(I408&gt;=Upgrades!$E$17)*(M408&gt;=Upgrades!$E$21)=1,N408=0),1,"")</f>
        <v/>
      </c>
      <c r="AU408" s="26">
        <f>IF(AND(D408&gt;=Parameters!$B$18*Parameters!$B$19,N408=0),1,"")</f>
        <v/>
      </c>
      <c r="AV408" s="22">
        <f>MIN(IF(ISNUMBER(AP408),AP408,9E15),IF(ISNUMBER(AQ408),AQ408,9E15),IF(ISNUMBER(AR408),AR408,9E15),IF(ISNUMBER(AS408),AS408,9E15))</f>
        <v/>
      </c>
      <c r="AW408" s="22">
        <f>MIN(IF(ISNUMBER(AK408),AK408,9E15),IF(ISNUMBER(AL408),AL408,9E15),IF(ISNUMBER(AM408),AM408,9E15),IF(ISNUMBER(AN408),AN408,9E15),IF(ISNUMBER(AO408),AO408,9E15))</f>
        <v/>
      </c>
      <c r="AX408" s="29">
        <f>IF(BD408&gt;Parameters!$B$21*(MAX(IF(AND(NOT(AND(AU408=1,AT408&lt;&gt;1)),ISNUMBER(AK408),AK408&lt;=(C408+T408)),AY408,0),IF(AND(NOT(AND(AU408=1,AT408&lt;&gt;1)),ISNUMBER(AL408),AL408&lt;=(C408+T408)),AZ408,0),IF(AND(NOT(AND(AU408=1,AT408&lt;&gt;1)),ISNUMBER(AM408),AM408&lt;=(C408+T408)),BA408,0),IF(AND(NOT(AND(AU408=1,AT408&lt;&gt;1)),ISNUMBER(AN408),AN408&lt;=(C408+T408)),BB408,0),IF(AND(ISNUMBER(AO408),AO408&lt;=(C408+T408)),BC408,0))),TRUE,FALSE)</f>
        <v/>
      </c>
      <c r="AY408" s="32">
        <f>IFERROR(Upgrades!$H$13*(POWER(Upgrades!$P$13,E408)*POWER(Upgrades!$P$14,F408)*POWER(Upgrades!$P$15,G408)*POWER(Upgrades!$P$16,H408)*POWER(Upgrades!$P$17,I408)*POWER(Upgrades!$P$18,J408)*POWER(Upgrades!$P$19,K408)*POWER(Upgrades!$P$20,L408)*POWER(Upgrades!$P$21,M408))*(IF(Upgrades!$T$14="Stellar Kinematics",POWER(Upgrades!$U$14,F408),1)*IF(Upgrades!$T$15="Stellar Kinematics",POWER(Upgrades!$U$15,G408),1)*IF(Upgrades!$T$16="Stellar Kinematics",POWER(Upgrades!$U$16,H408),1)*IF(Upgrades!$T$17="Stellar Kinematics",POWER(Upgrades!$U$17,I408),1)*IF(Upgrades!$T$18="Stellar Kinematics",POWER(Upgrades!$U$18,J408),1)*IF(Upgrades!$T$19="Stellar Kinematics",POWER(Upgrades!$U$19,K408),1)*IF(Upgrades!$T$20="Stellar Kinematics",POWER(Upgrades!$U$20,L408),1)*IF(Upgrades!$T$21="Stellar Kinematics",POWER(Upgrades!$U$21,M408),1))*$F$6/AK408,0)</f>
        <v/>
      </c>
      <c r="AZ408" s="32">
        <f>IFERROR(Upgrades!$H$14*(POWER(Upgrades!$P$13,E408)*POWER(Upgrades!$P$14,F408)*POWER(Upgrades!$P$15,G408)*POWER(Upgrades!$P$16,H408)*POWER(Upgrades!$P$17,I408)*POWER(Upgrades!$P$18,J408)*POWER(Upgrades!$P$19,K408)*POWER(Upgrades!$P$20,L408)*POWER(Upgrades!$P$21,M408))*(IF(Upgrades!$T$13="Local Bubble",POWER(Upgrades!$U$13,E408),1)*IF(Upgrades!$T$15="Local Bubble",POWER(Upgrades!$U$15,G408),1)*IF(Upgrades!$T$16="Local Bubble",POWER(Upgrades!$U$16,H408),1)*IF(Upgrades!$T$17="Local Bubble",POWER(Upgrades!$U$17,I408),1)*IF(Upgrades!$T$18="Local Bubble",POWER(Upgrades!$U$18,J408),1)*IF(Upgrades!$T$19="Local Bubble",POWER(Upgrades!$U$19,K408),1)*IF(Upgrades!$T$20="Local Bubble",POWER(Upgrades!$U$20,L408),1)*IF(Upgrades!$T$21="Local Bubble",POWER(Upgrades!$U$21,M408),1))*$F$6/AL408,0)</f>
        <v/>
      </c>
      <c r="BA408" s="32">
        <f>IFERROR(Upgrades!$K$15*(POWER(Upgrades!$Q$13,E408)*POWER(Upgrades!$Q$14,F408)*POWER(Upgrades!$Q$15,G408)*POWER(Upgrades!$Q$16,H408)*POWER(Upgrades!$Q$17,I408)*POWER(Upgrades!$Q$18,J408)*POWER(Upgrades!$Q$19,K408)*POWER(Upgrades!$Q$20,L408)*POWER(Upgrades!$Q$21,M408))*(IF(Upgrades!$T$13="Microlensing",POWER(Upgrades!$U$13,E408),1)*IF(Upgrades!$T$14="Microlensing",POWER(Upgrades!$U$14,F408),1)*IF(Upgrades!$T$16="Microlensing",POWER(Upgrades!$U$16,H408),1)*IF(Upgrades!$T$17="Microlensing",POWER(Upgrades!$U$17,I408),1)*IF(Upgrades!$T$18="Microlensing",POWER(Upgrades!$U$18,J408),1)*IF(Upgrades!$T$19="Microlensing",POWER(Upgrades!$U$19,K408),1)*IF(Upgrades!$T$20="Microlensing",POWER(Upgrades!$U$20,L408),1)*IF(Upgrades!$T$21="Microlensing",POWER(Upgrades!$U$21,M408),1))*$G$6*(Parameters!$B$10/60*Parameters!$B$11+Q408)/AM408,0)</f>
        <v/>
      </c>
      <c r="BB408" s="32">
        <f>IFERROR((Upgrades!$N$16*(POWER(Upgrades!$R$13,E408)*POWER(Upgrades!$R$14,F408)*POWER(Upgrades!$R$15,G408)*POWER(Upgrades!$R$16,H408)*POWER(Upgrades!$R$17,I408)*POWER(Upgrades!$R$18,J408)*POWER(Upgrades!$R$19,K408)*POWER(Upgrades!$R$20,L408)*POWER(Upgrades!$R$21,M408))*(IF(Upgrades!$T$13="Roche Lobe Overflow",POWER(Upgrades!$U$13,E408),1)*IF(Upgrades!$T$14="Roche Lobe Overflow",POWER(Upgrades!$U$14,F408),1)*IF(Upgrades!$T$15="Roche Lobe Overflow",POWER(Upgrades!$U$15,G408),1)*IF(Upgrades!$T$17="Roche Lobe Overflow",POWER(Upgrades!$U$17,I408),1)*IF(Upgrades!$T$18="Roche Lobe Overflow",POWER(Upgrades!$U$18,J408),1)*IF(Upgrades!$T$19="Roche Lobe Overflow",POWER(Upgrades!$U$19,K408),1)*IF(Upgrades!$T$20="Roche Lobe Overflow",POWER(Upgrades!$U$20,L408),1)*IF(Upgrades!$T$21="Roche Lobe Overflow",POWER(Upgrades!$U$21,M408),1))*$H$6*O408+((IF(F408=0,0,(Upgrades!$G$14+F408*Upgrades!$H$14)*POWER(Upgrades!$I$14,F408)))*(IF(Upgrades!$T$13="Local Bubble",POWER(Upgrades!$U$13,E408),1)*IF(Upgrades!$T$15="Local Bubble",POWER(Upgrades!$U$15,G408),1)*IF(Upgrades!$T$16="Local Bubble",POWER(Upgrades!$U$16,H408),1)*IF(Upgrades!$T$17="Local Bubble",POWER(Upgrades!$U$17,I408),1)*IF(Upgrades!$T$18="Local Bubble",POWER(Upgrades!$U$18,J408),1)*IF(Upgrades!$T$19="Local Bubble",POWER(Upgrades!$U$19,K408),1)*IF(Upgrades!$T$20="Local Bubble",POWER(Upgrades!$U$20,L408),1)*IF(Upgrades!$T$21="Local Bubble",POWER(Upgrades!$U$21,M408),1))*POWER(Upgrades!$P$13,E408)*POWER(Upgrades!$P$14,F408)*POWER(Upgrades!$P$15,G408)*POWER(Upgrades!$P$16,H408)*POWER(Upgrades!$P$17,I408)*POWER(Upgrades!$P$18,J408)*POWER(Upgrades!$P$19,K408)*POWER(Upgrades!$P$20,L408)*POWER(Upgrades!$P$21,M408)*$F$6)*0.05)/AN408,0)</f>
        <v/>
      </c>
      <c r="BC408" s="32">
        <f>IFERROR((Upgrades!$H$17*(POWER(Upgrades!$P$13,E408)*POWER(Upgrades!$P$14,F408)*POWER(Upgrades!$P$15,G408)*POWER(Upgrades!$P$16,H408)*POWER(Upgrades!$P$17,I408)*POWER(Upgrades!$P$18,J408)*POWER(Upgrades!$P$19,K408)*POWER(Upgrades!$P$20,L408)*POWER(Upgrades!$P$21,M408))*(IF(Upgrades!$T$13="Brown Dwarf",POWER(Upgrades!$U$13,E408),1)*IF(Upgrades!$T$14="Brown Dwarf",POWER(Upgrades!$U$14,F408),1)*IF(Upgrades!$T$15="Brown Dwarf",POWER(Upgrades!$U$15,G408),1)*IF(Upgrades!$T$16="Brown Dwarf",POWER(Upgrades!$U$16,H408),1)*IF(Upgrades!$T$18="Brown Dwarf",POWER(Upgrades!$U$18,J408),1)*IF(Upgrades!$T$19="Brown Dwarf",POWER(Upgrades!$U$19,K408),1)*IF(Upgrades!$T$20="Brown Dwarf",POWER(Upgrades!$U$20,L408),1)*IF(Upgrades!$T$21="Brown Dwarf",POWER(Upgrades!$U$21,M408),1))*$F$6+(((IF(H408=0,0,(Upgrades!$M$16+H408*Upgrades!$N$16)*POWER(Upgrades!$O$16,H408)))*(IF(Upgrades!$T$13="Roche Lobe Overflow",POWER(Upgrades!$U$13,E408),1)*IF(Upgrades!$T$14="Roche Lobe Overflow",POWER(Upgrades!$U$14,F408),1)*IF(Upgrades!$T$15="Roche Lobe Overflow",POWER(Upgrades!$U$15,G408),1)*IF(Upgrades!$T$17="Roche Lobe Overflow",POWER(Upgrades!$U$17,I408),1)*IF(Upgrades!$T$18="Roche Lobe Overflow",POWER(Upgrades!$U$18,J408),1)*IF(Upgrades!$T$19="Roche Lobe Overflow",POWER(Upgrades!$U$19,K408),1)*IF(Upgrades!$T$20="Roche Lobe Overflow",POWER(Upgrades!$U$20,L408),1)*IF(Upgrades!$T$21="Roche Lobe Overflow",POWER(Upgrades!$U$21,M408),1))*POWER(Upgrades!$R$13,E408)*POWER(Upgrades!$R$14,F408)*POWER(Upgrades!$R$15,G408)*POWER(Upgrades!$R$16,H408)*POWER(Upgrades!$R$17,I408)*POWER(Upgrades!$R$18,J408)*POWER(Upgrades!$R$19,K408)*POWER(Upgrades!$R$20,L408)*POWER(Upgrades!$R$21,M408)*$H$6)*O408)*0.10)/AO408,0)</f>
        <v/>
      </c>
      <c r="BD408" s="32">
        <f>MAX(IF(J408&gt;0,0,IFERROR(0.5*((IF(G408=0,0,(Upgrades!$J$15+G408*Upgrades!$K$15)*POWER(Upgrades!$L$15,G408)))*(IF(Upgrades!$T$13="Microlensing",POWER(Upgrades!$U$13,E408),1)*IF(Upgrades!$T$14="Microlensing",POWER(Upgrades!$U$14,F408),1)*IF(Upgrades!$T$16="Microlensing",POWER(Upgrades!$U$16,H408),1)*IF(Upgrades!$T$17="Microlensing",POWER(Upgrades!$U$17,I408),1)*IF(Upgrades!$T$18="Microlensing",POWER(Upgrades!$U$18,J408),1)*IF(Upgrades!$T$19="Microlensing",POWER(Upgrades!$U$19,K408),1)*IF(Upgrades!$T$20="Microlensing",POWER(Upgrades!$U$20,L408),1)*IF(Upgrades!$T$21="Microlensing",POWER(Upgrades!$U$21,M408),1))*(POWER(Upgrades!$Q$13,E408)*POWER(Upgrades!$Q$14,F408)*POWER(Upgrades!$Q$15,G408)*POWER(Upgrades!$Q$16,H408)*POWER(Upgrades!$Q$17,I408)*POWER(Upgrades!$Q$18,J408)*POWER(Upgrades!$Q$19,K408)*POWER(Upgrades!$Q$20,L408)*POWER(Upgrades!$Q$21,M408))*$G$6*(Parameters!$B$10/60*Parameters!$B$11+Q408))/Upgrades!$C$18,0)),IF(K408&gt;0,0,IFERROR(0.30*P408/Upgrades!$C$19,0)),IF(L408&gt;0,0,IFERROR(0.0001/Upgrades!$C$20,0)),IF(M408&gt;0,0,IFERROR((6.0*(POWER(Upgrades!$P$13,E408)*POWER(Upgrades!$P$14,F408)*POWER(Upgrades!$P$15,G408)*POWER(Upgrades!$P$16,H408)*POWER(Upgrades!$P$17,I408)*POWER(Upgrades!$P$18,J408)*POWER(Upgrades!$P$19,K408)*POWER(Upgrades!$P$20,L408)*POWER(Upgrades!$P$21,M408))*$F$6+0.20*O408*(Parameters!$B$10/60*Parameters!$B$11+Q408))/Upgrades!$C$21,0)),IF(AND(ISNUMBER(AK408),AK408&gt;(C408+T408)),AY408,0),IF(AND(ISNUMBER(AL408),AL408&gt;(C408+T408)),AZ408,0),IF(AND(ISNUMBER(AM408),AM408&gt;(C408+T408)),BA408,0),IF(AND(ISNUMBER(AN408),AN408&gt;(C408+T408)),BB408,0),IF(AND(ISNUMBER(AO408),AO408&gt;(C408+T408)),BC408,0))</f>
        <v/>
      </c>
      <c r="BE408" s="29">
        <f>IF(AT408=1,"transition",IF(MIN(IF(AND(J408=0,ISNUMBER(AP408),AP408&lt;=(C408+T408)),AP408,9E15),IF(AND(K408=0,ISNUMBER(AQ408),AQ408&lt;=(C408+T408)),AQ408,9E15),IF(AND(L408=0,ISNUMBER(AR408),AR408&lt;=(C408+T408)),AR408,9E15),IF(AND(M408=0,ISNUMBER(AS408),AS408&lt;=(C408+T408)),AS408,9E15))&lt;9E15,IF(AND(AND(J408=0,ISNUMBER(AP408),AP408&lt;=(C408+T408)),AP408=MIN(IF(AND(J408=0,ISNUMBER(AP408),AP408&lt;=(C408+T408)),AP408,9E15),IF(AND(K408=0,ISNUMBER(AQ408),AQ408&lt;=(C408+T408)),AQ408,9E15),IF(AND(L408=0,ISNUMBER(AR408),AR408&lt;=(C408+T408)),AR408,9E15),IF(AND(M408=0,ISNUMBER(AS408),AS408&lt;=(C408+T408)),AS408,9E15))),"BiP",IF(AND(AND(K408=0,ISNUMBER(AQ408),AQ408&lt;=(C408+T408)),AQ408=MIN(IF(AND(J408=0,ISNUMBER(AP408),AP408&lt;=(C408+T408)),AP408,9E15),IF(AND(K408=0,ISNUMBER(AQ408),AQ408&lt;=(C408+T408)),AQ408,9E15),IF(AND(L408=0,ISNUMBER(AR408),AR408&lt;=(C408+T408)),AR408,9E15),IF(AND(M408=0,ISNUMBER(AS408),AS408&lt;=(C408+T408)),AS408,9E15))),"PV",IF(AND(AND(L408=0,ISNUMBER(AR408),AR408&lt;=(C408+T408)),AR408=MIN(IF(AND(J408=0,ISNUMBER(AP408),AP408&lt;=(C408+T408)),AP408,9E15),IF(AND(K408=0,ISNUMBER(AQ408),AQ408&lt;=(C408+T408)),AQ408,9E15),IF(AND(L408=0,ISNUMBER(AR408),AR408&lt;=(C408+T408)),AR408,9E15),IF(AND(M408=0,ISNUMBER(AS408),AS408&lt;=(C408+T408)),AS408,9E15))),"OC","MG"))),IF(AX408=TRUE,"",IF(MAX(IF(AND(NOT(AND(AU408=1,AT408&lt;&gt;1)),ISNUMBER(AK408),AK408&lt;=(C408+T408)),AY408,0),IF(AND(NOT(AND(AU408=1,AT408&lt;&gt;1)),ISNUMBER(AL408),AL408&lt;=(C408+T408)),AZ408,0),IF(AND(NOT(AND(AU408=1,AT408&lt;&gt;1)),ISNUMBER(AM408),AM408&lt;=(C408+T408)),BA408,0),IF(AND(NOT(AND(AU408=1,AT408&lt;&gt;1)),ISNUMBER(AN408),AN408&lt;=(C408+T408)),BB408,0),IF(AND(ISNUMBER(AO408),AO408&lt;=(C408+T408)),BC408,0))&lt;=0,"",IF(AND(IF(AND(NOT(AND(AU408=1,AT408&lt;&gt;1)),ISNUMBER(AK408),AK408&lt;=(C408+T408)),AY408,0)&gt;0,IF(AND(NOT(AND(AU408=1,AT408&lt;&gt;1)),ISNUMBER(AK408),AK408&lt;=(C408+T408)),AY408,0)=MAX(IF(AND(NOT(AND(AU408=1,AT408&lt;&gt;1)),ISNUMBER(AK408),AK408&lt;=(C408+T408)),AY408,0),IF(AND(NOT(AND(AU408=1,AT408&lt;&gt;1)),ISNUMBER(AL408),AL408&lt;=(C408+T408)),AZ408,0),IF(AND(NOT(AND(AU408=1,AT408&lt;&gt;1)),ISNUMBER(AM408),AM408&lt;=(C408+T408)),BA408,0),IF(AND(NOT(AND(AU408=1,AT408&lt;&gt;1)),ISNUMBER(AN408),AN408&lt;=(C408+T408)),BB408,0),IF(AND(ISNUMBER(AO408),AO408&lt;=(C408+T408)),BC408,0))),"SK",IF(AND(IF(AND(NOT(AND(AU408=1,AT408&lt;&gt;1)),ISNUMBER(AL408),AL408&lt;=(C408+T408)),AZ408,0)&gt;0,IF(AND(NOT(AND(AU408=1,AT408&lt;&gt;1)),ISNUMBER(AL408),AL408&lt;=(C408+T408)),AZ408,0)=MAX(IF(AND(NOT(AND(AU408=1,AT408&lt;&gt;1)),ISNUMBER(AK408),AK408&lt;=(C408+T408)),AY408,0),IF(AND(NOT(AND(AU408=1,AT408&lt;&gt;1)),ISNUMBER(AL408),AL408&lt;=(C408+T408)),AZ408,0),IF(AND(NOT(AND(AU408=1,AT408&lt;&gt;1)),ISNUMBER(AM408),AM408&lt;=(C408+T408)),BA408,0),IF(AND(NOT(AND(AU408=1,AT408&lt;&gt;1)),ISNUMBER(AN408),AN408&lt;=(C408+T408)),BB408,0),IF(AND(ISNUMBER(AO408),AO408&lt;=(C408+T408)),BC408,0))),"LB",IF(AND(IF(AND(NOT(AND(AU408=1,AT408&lt;&gt;1)),ISNUMBER(AM408),AM408&lt;=(C408+T408)),BA408,0)&gt;0,IF(AND(NOT(AND(AU408=1,AT408&lt;&gt;1)),ISNUMBER(AM408),AM408&lt;=(C408+T408)),BA408,0)=MAX(IF(AND(NOT(AND(AU408=1,AT408&lt;&gt;1)),ISNUMBER(AK408),AK408&lt;=(C408+T408)),AY408,0),IF(AND(NOT(AND(AU408=1,AT408&lt;&gt;1)),ISNUMBER(AL408),AL408&lt;=(C408+T408)),AZ408,0),IF(AND(NOT(AND(AU408=1,AT408&lt;&gt;1)),ISNUMBER(AM408),AM408&lt;=(C408+T408)),BA408,0),IF(AND(NOT(AND(AU408=1,AT408&lt;&gt;1)),ISNUMBER(AN408),AN408&lt;=(C408+T408)),BB408,0),IF(AND(ISNUMBER(AO408),AO408&lt;=(C408+T408)),BC408,0))),"ML",IF(AND(IF(AND(NOT(AND(AU408=1,AT408&lt;&gt;1)),ISNUMBER(AN408),AN408&lt;=(C408+T408)),BB408,0)&gt;0,IF(AND(NOT(AND(AU408=1,AT408&lt;&gt;1)),ISNUMBER(AN408),AN408&lt;=(C408+T408)),BB408,0)=MAX(IF(AND(NOT(AND(AU408=1,AT408&lt;&gt;1)),ISNUMBER(AK408),AK408&lt;=(C408+T408)),AY408,0),IF(AND(NOT(AND(AU408=1,AT408&lt;&gt;1)),ISNUMBER(AL408),AL408&lt;=(C408+T408)),AZ408,0),IF(AND(NOT(AND(AU408=1,AT408&lt;&gt;1)),ISNUMBER(AM408),AM408&lt;=(C408+T408)),BA408,0),IF(AND(NOT(AND(AU408=1,AT408&lt;&gt;1)),ISNUMBER(AN408),AN408&lt;=(C408+T408)),BB408,0),IF(AND(ISNUMBER(AO408),AO408&lt;=(C408+T408)),BC408,0))),"RLO","BD"))))))))</f>
        <v/>
      </c>
    </row>
    <row r="409">
      <c r="A409" s="26" t="n">
        <v>398</v>
      </c>
      <c r="B409" s="27">
        <f>A409*10/60</f>
        <v/>
      </c>
      <c r="C409" s="22">
        <f>X408</f>
        <v/>
      </c>
      <c r="D409" s="27">
        <f>D408+W408</f>
        <v/>
      </c>
      <c r="E409" s="26">
        <f>E408+IF(U408="SK",1,0)</f>
        <v/>
      </c>
      <c r="F409" s="26">
        <f>F408+IF(U408="LB",1,0)</f>
        <v/>
      </c>
      <c r="G409" s="26">
        <f>G408+IF(U408="ML",1,0)</f>
        <v/>
      </c>
      <c r="H409" s="26">
        <f>H408+IF(U408="RLO",1,0)</f>
        <v/>
      </c>
      <c r="I409" s="26">
        <f>I408+IF(U408="BD",1,0)</f>
        <v/>
      </c>
      <c r="J409" s="26">
        <f>MAX(J408,IF(U408="BiP",1,0))</f>
        <v/>
      </c>
      <c r="K409" s="26">
        <f>MAX(K408,IF(U408="PV",1,0))</f>
        <v/>
      </c>
      <c r="L409" s="26">
        <f>MAX(L408,IF(U408="OC",1,0))</f>
        <v/>
      </c>
      <c r="M409" s="26">
        <f>MAX(M408,IF(U408="MG",1,0))</f>
        <v/>
      </c>
      <c r="N409" s="26">
        <f>MAX(N408,IF(U408="transition",1,0))</f>
        <v/>
      </c>
      <c r="O409" s="28">
        <f>(Parameters!$B$9+(IF(E409=0,0,(Upgrades!$J$13+E409*Upgrades!$K$13)*POWER(Upgrades!$L$13,E409)))*(IF(Upgrades!$T$14="Stellar Kinematics",POWER(Upgrades!$U$14,F409),1)*IF(Upgrades!$T$15="Stellar Kinematics",POWER(Upgrades!$U$15,G409),1)*IF(Upgrades!$T$16="Stellar Kinematics",POWER(Upgrades!$U$16,H409),1)*IF(Upgrades!$T$17="Stellar Kinematics",POWER(Upgrades!$U$17,I409),1)*IF(Upgrades!$T$18="Stellar Kinematics",POWER(Upgrades!$U$18,J409),1)*IF(Upgrades!$T$19="Stellar Kinematics",POWER(Upgrades!$U$19,K409),1)*IF(Upgrades!$T$20="Stellar Kinematics",POWER(Upgrades!$U$20,L409),1)*IF(Upgrades!$T$21="Stellar Kinematics",POWER(Upgrades!$U$21,M409),1))+(IF(F409=0,0,(Upgrades!$J$14+F409*Upgrades!$K$14)*POWER(Upgrades!$L$14,F409)))*(IF(Upgrades!$T$13="Local Bubble",POWER(Upgrades!$U$13,E409),1)*IF(Upgrades!$T$15="Local Bubble",POWER(Upgrades!$U$15,G409),1)*IF(Upgrades!$T$16="Local Bubble",POWER(Upgrades!$U$16,H409),1)*IF(Upgrades!$T$17="Local Bubble",POWER(Upgrades!$U$17,I409),1)*IF(Upgrades!$T$18="Local Bubble",POWER(Upgrades!$U$18,J409),1)*IF(Upgrades!$T$19="Local Bubble",POWER(Upgrades!$U$19,K409),1)*IF(Upgrades!$T$20="Local Bubble",POWER(Upgrades!$U$20,L409),1)*IF(Upgrades!$T$21="Local Bubble",POWER(Upgrades!$U$21,M409),1))+(IF(G409=0,0,(Upgrades!$J$15+G409*Upgrades!$K$15)*POWER(Upgrades!$L$15,G409)))*(IF(Upgrades!$T$13="Microlensing",POWER(Upgrades!$U$13,E409),1)*IF(Upgrades!$T$14="Microlensing",POWER(Upgrades!$U$14,F409),1)*IF(Upgrades!$T$16="Microlensing",POWER(Upgrades!$U$16,H409),1)*IF(Upgrades!$T$17="Microlensing",POWER(Upgrades!$U$17,I409),1)*IF(Upgrades!$T$18="Microlensing",POWER(Upgrades!$U$18,J409),1)*IF(Upgrades!$T$19="Microlensing",POWER(Upgrades!$U$19,K409),1)*IF(Upgrades!$T$20="Microlensing",POWER(Upgrades!$U$20,L409),1)*IF(Upgrades!$T$21="Microlensing",POWER(Upgrades!$U$21,M409),1))+(IF(H409=0,0,(Upgrades!$J$16+H409*Upgrades!$K$16)*POWER(Upgrades!$L$16,H409)))*(IF(Upgrades!$T$13="Roche Lobe Overflow",POWER(Upgrades!$U$13,E409),1)*IF(Upgrades!$T$14="Roche Lobe Overflow",POWER(Upgrades!$U$14,F409),1)*IF(Upgrades!$T$15="Roche Lobe Overflow",POWER(Upgrades!$U$15,G409),1)*IF(Upgrades!$T$17="Roche Lobe Overflow",POWER(Upgrades!$U$17,I409),1)*IF(Upgrades!$T$18="Roche Lobe Overflow",POWER(Upgrades!$U$18,J409),1)*IF(Upgrades!$T$19="Roche Lobe Overflow",POWER(Upgrades!$U$19,K409),1)*IF(Upgrades!$T$20="Roche Lobe Overflow",POWER(Upgrades!$U$20,L409),1)*IF(Upgrades!$T$21="Roche Lobe Overflow",POWER(Upgrades!$U$21,M409),1))+(IF(I409=0,0,(Upgrades!$J$17+I409*Upgrades!$K$17)*POWER(Upgrades!$L$17,I409)))*(IF(Upgrades!$T$13="Brown Dwarf",POWER(Upgrades!$U$13,E409),1)*IF(Upgrades!$T$14="Brown Dwarf",POWER(Upgrades!$U$14,F409),1)*IF(Upgrades!$T$15="Brown Dwarf",POWER(Upgrades!$U$15,G409),1)*IF(Upgrades!$T$16="Brown Dwarf",POWER(Upgrades!$U$16,H409),1)*IF(Upgrades!$T$18="Brown Dwarf",POWER(Upgrades!$U$18,J409),1)*IF(Upgrades!$T$19="Brown Dwarf",POWER(Upgrades!$U$19,K409),1)*IF(Upgrades!$T$20="Brown Dwarf",POWER(Upgrades!$U$20,L409),1)*IF(Upgrades!$T$21="Brown Dwarf",POWER(Upgrades!$U$21,M409),1))+(IF(J409=0,0,(Upgrades!$J$18+J409*Upgrades!$K$18)*POWER(Upgrades!$L$18,J409)))*(IF(Upgrades!$T$13="Binary Partner",POWER(Upgrades!$U$13,E409),1)*IF(Upgrades!$T$14="Binary Partner",POWER(Upgrades!$U$14,F409),1)*IF(Upgrades!$T$15="Binary Partner",POWER(Upgrades!$U$15,G409),1)*IF(Upgrades!$T$16="Binary Partner",POWER(Upgrades!$U$16,H409),1)*IF(Upgrades!$T$17="Binary Partner",POWER(Upgrades!$U$17,I409),1)*IF(Upgrades!$T$19="Binary Partner",POWER(Upgrades!$U$19,K409),1)*IF(Upgrades!$T$20="Binary Partner",POWER(Upgrades!$U$20,L409),1)*IF(Upgrades!$T$21="Binary Partner",POWER(Upgrades!$U$21,M409),1))+(IF(K409=0,0,(Upgrades!$J$19+K409*Upgrades!$K$19)*POWER(Upgrades!$L$19,K409)))*(IF(Upgrades!$T$13="Peculiar Velocity",POWER(Upgrades!$U$13,E409),1)*IF(Upgrades!$T$14="Peculiar Velocity",POWER(Upgrades!$U$14,F409),1)*IF(Upgrades!$T$15="Peculiar Velocity",POWER(Upgrades!$U$15,G409),1)*IF(Upgrades!$T$16="Peculiar Velocity",POWER(Upgrades!$U$16,H409),1)*IF(Upgrades!$T$17="Peculiar Velocity",POWER(Upgrades!$U$17,I409),1)*IF(Upgrades!$T$18="Peculiar Velocity",POWER(Upgrades!$U$18,J409),1)*IF(Upgrades!$T$20="Peculiar Velocity",POWER(Upgrades!$U$20,L409),1)*IF(Upgrades!$T$21="Peculiar Velocity",POWER(Upgrades!$U$21,M409),1))+(IF(L409=0,0,(Upgrades!$J$20+L409*Upgrades!$K$20)*POWER(Upgrades!$L$20,L409)))*(IF(Upgrades!$T$13="Open Cluster",POWER(Upgrades!$U$13,E409),1)*IF(Upgrades!$T$14="Open Cluster",POWER(Upgrades!$U$14,F409),1)*IF(Upgrades!$T$15="Open Cluster",POWER(Upgrades!$U$15,G409),1)*IF(Upgrades!$T$16="Open Cluster",POWER(Upgrades!$U$16,H409),1)*IF(Upgrades!$T$17="Open Cluster",POWER(Upgrades!$U$17,I409),1)*IF(Upgrades!$T$18="Open Cluster",POWER(Upgrades!$U$18,J409),1)*IF(Upgrades!$T$19="Open Cluster",POWER(Upgrades!$U$19,K409),1)*IF(Upgrades!$T$21="Open Cluster",POWER(Upgrades!$U$21,M409),1))+(IF(M409=0,0,(Upgrades!$J$21+M409*Upgrades!$K$21)*POWER(Upgrades!$L$21,M409)))*(IF(Upgrades!$T$13="Moving Group",POWER(Upgrades!$U$13,E409),1)*IF(Upgrades!$T$14="Moving Group",POWER(Upgrades!$U$14,F409),1)*IF(Upgrades!$T$15="Moving Group",POWER(Upgrades!$U$15,G409),1)*IF(Upgrades!$T$16="Moving Group",POWER(Upgrades!$U$16,H409),1)*IF(Upgrades!$T$17="Moving Group",POWER(Upgrades!$U$17,I409),1)*IF(Upgrades!$T$18="Moving Group",POWER(Upgrades!$U$18,J409),1)*IF(Upgrades!$T$19="Moving Group",POWER(Upgrades!$U$19,K409),1)*IF(Upgrades!$T$20="Moving Group",POWER(Upgrades!$U$20,L409),1)))*POWER(Upgrades!$Q$13,E409)*POWER(Upgrades!$Q$14,F409)*POWER(Upgrades!$Q$15,G409)*POWER(Upgrades!$Q$16,H409)*POWER(Upgrades!$Q$17,I409)*POWER(Upgrades!$Q$18,J409)*POWER(Upgrades!$Q$19,K409)*POWER(Upgrades!$Q$20,L409)*POWER(Upgrades!$Q$21,M409)*$G$6+$D$6</f>
        <v/>
      </c>
      <c r="P409" s="28">
        <f>((IF(E409=0,0,(Upgrades!$G$13+E409*Upgrades!$H$13)*POWER(Upgrades!$I$13,E409)))*(IF(Upgrades!$T$14="Stellar Kinematics",POWER(Upgrades!$U$14,F409),1)*IF(Upgrades!$T$15="Stellar Kinematics",POWER(Upgrades!$U$15,G409),1)*IF(Upgrades!$T$16="Stellar Kinematics",POWER(Upgrades!$U$16,H409),1)*IF(Upgrades!$T$17="Stellar Kinematics",POWER(Upgrades!$U$17,I409),1)*IF(Upgrades!$T$18="Stellar Kinematics",POWER(Upgrades!$U$18,J409),1)*IF(Upgrades!$T$19="Stellar Kinematics",POWER(Upgrades!$U$19,K409),1)*IF(Upgrades!$T$20="Stellar Kinematics",POWER(Upgrades!$U$20,L409),1)*IF(Upgrades!$T$21="Stellar Kinematics",POWER(Upgrades!$U$21,M409),1))+(IF(F409=0,0,(Upgrades!$G$14+F409*Upgrades!$H$14)*POWER(Upgrades!$I$14,F409)))*(IF(Upgrades!$T$13="Local Bubble",POWER(Upgrades!$U$13,E409),1)*IF(Upgrades!$T$15="Local Bubble",POWER(Upgrades!$U$15,G409),1)*IF(Upgrades!$T$16="Local Bubble",POWER(Upgrades!$U$16,H409),1)*IF(Upgrades!$T$17="Local Bubble",POWER(Upgrades!$U$17,I409),1)*IF(Upgrades!$T$18="Local Bubble",POWER(Upgrades!$U$18,J409),1)*IF(Upgrades!$T$19="Local Bubble",POWER(Upgrades!$U$19,K409),1)*IF(Upgrades!$T$20="Local Bubble",POWER(Upgrades!$U$20,L409),1)*IF(Upgrades!$T$21="Local Bubble",POWER(Upgrades!$U$21,M409),1))+(IF(G409=0,0,(Upgrades!$G$15+G409*Upgrades!$H$15)*POWER(Upgrades!$I$15,G409)))*(IF(Upgrades!$T$13="Microlensing",POWER(Upgrades!$U$13,E409),1)*IF(Upgrades!$T$14="Microlensing",POWER(Upgrades!$U$14,F409),1)*IF(Upgrades!$T$16="Microlensing",POWER(Upgrades!$U$16,H409),1)*IF(Upgrades!$T$17="Microlensing",POWER(Upgrades!$U$17,I409),1)*IF(Upgrades!$T$18="Microlensing",POWER(Upgrades!$U$18,J409),1)*IF(Upgrades!$T$19="Microlensing",POWER(Upgrades!$U$19,K409),1)*IF(Upgrades!$T$20="Microlensing",POWER(Upgrades!$U$20,L409),1)*IF(Upgrades!$T$21="Microlensing",POWER(Upgrades!$U$21,M409),1))+(IF(H409=0,0,(Upgrades!$G$16+H409*Upgrades!$H$16)*POWER(Upgrades!$I$16,H409)))*(IF(Upgrades!$T$13="Roche Lobe Overflow",POWER(Upgrades!$U$13,E409),1)*IF(Upgrades!$T$14="Roche Lobe Overflow",POWER(Upgrades!$U$14,F409),1)*IF(Upgrades!$T$15="Roche Lobe Overflow",POWER(Upgrades!$U$15,G409),1)*IF(Upgrades!$T$17="Roche Lobe Overflow",POWER(Upgrades!$U$17,I409),1)*IF(Upgrades!$T$18="Roche Lobe Overflow",POWER(Upgrades!$U$18,J409),1)*IF(Upgrades!$T$19="Roche Lobe Overflow",POWER(Upgrades!$U$19,K409),1)*IF(Upgrades!$T$20="Roche Lobe Overflow",POWER(Upgrades!$U$20,L409),1)*IF(Upgrades!$T$21="Roche Lobe Overflow",POWER(Upgrades!$U$21,M409),1))+(IF(I409=0,0,(Upgrades!$G$17+I409*Upgrades!$H$17)*POWER(Upgrades!$I$17,I409)))*(IF(Upgrades!$T$13="Brown Dwarf",POWER(Upgrades!$U$13,E409),1)*IF(Upgrades!$T$14="Brown Dwarf",POWER(Upgrades!$U$14,F409),1)*IF(Upgrades!$T$15="Brown Dwarf",POWER(Upgrades!$U$15,G409),1)*IF(Upgrades!$T$16="Brown Dwarf",POWER(Upgrades!$U$16,H409),1)*IF(Upgrades!$T$18="Brown Dwarf",POWER(Upgrades!$U$18,J409),1)*IF(Upgrades!$T$19="Brown Dwarf",POWER(Upgrades!$U$19,K409),1)*IF(Upgrades!$T$20="Brown Dwarf",POWER(Upgrades!$U$20,L409),1)*IF(Upgrades!$T$21="Brown Dwarf",POWER(Upgrades!$U$21,M409),1))+(IF(J409=0,0,(Upgrades!$G$18+J409*Upgrades!$H$18)*POWER(Upgrades!$I$18,J409)))*(IF(Upgrades!$T$13="Binary Partner",POWER(Upgrades!$U$13,E409),1)*IF(Upgrades!$T$14="Binary Partner",POWER(Upgrades!$U$14,F409),1)*IF(Upgrades!$T$15="Binary Partner",POWER(Upgrades!$U$15,G409),1)*IF(Upgrades!$T$16="Binary Partner",POWER(Upgrades!$U$16,H409),1)*IF(Upgrades!$T$17="Binary Partner",POWER(Upgrades!$U$17,I409),1)*IF(Upgrades!$T$19="Binary Partner",POWER(Upgrades!$U$19,K409),1)*IF(Upgrades!$T$20="Binary Partner",POWER(Upgrades!$U$20,L409),1)*IF(Upgrades!$T$21="Binary Partner",POWER(Upgrades!$U$21,M409),1))+(IF(K409=0,0,(Upgrades!$G$19+K409*Upgrades!$H$19)*POWER(Upgrades!$I$19,K409)))*(IF(Upgrades!$T$13="Peculiar Velocity",POWER(Upgrades!$U$13,E409),1)*IF(Upgrades!$T$14="Peculiar Velocity",POWER(Upgrades!$U$14,F409),1)*IF(Upgrades!$T$15="Peculiar Velocity",POWER(Upgrades!$U$15,G409),1)*IF(Upgrades!$T$16="Peculiar Velocity",POWER(Upgrades!$U$16,H409),1)*IF(Upgrades!$T$17="Peculiar Velocity",POWER(Upgrades!$U$17,I409),1)*IF(Upgrades!$T$18="Peculiar Velocity",POWER(Upgrades!$U$18,J409),1)*IF(Upgrades!$T$20="Peculiar Velocity",POWER(Upgrades!$U$20,L409),1)*IF(Upgrades!$T$21="Peculiar Velocity",POWER(Upgrades!$U$21,M409),1))+(IF(L409=0,0,(Upgrades!$G$20+L409*Upgrades!$H$20)*POWER(Upgrades!$I$20,L409)))*(IF(Upgrades!$T$13="Open Cluster",POWER(Upgrades!$U$13,E409),1)*IF(Upgrades!$T$14="Open Cluster",POWER(Upgrades!$U$14,F409),1)*IF(Upgrades!$T$15="Open Cluster",POWER(Upgrades!$U$15,G409),1)*IF(Upgrades!$T$16="Open Cluster",POWER(Upgrades!$U$16,H409),1)*IF(Upgrades!$T$17="Open Cluster",POWER(Upgrades!$U$17,I409),1)*IF(Upgrades!$T$18="Open Cluster",POWER(Upgrades!$U$18,J409),1)*IF(Upgrades!$T$19="Open Cluster",POWER(Upgrades!$U$19,K409),1)*IF(Upgrades!$T$21="Open Cluster",POWER(Upgrades!$U$21,M409),1))+(IF(M409=0,0,(Upgrades!$G$21+M409*Upgrades!$H$21)*POWER(Upgrades!$I$21,M409)))*(IF(Upgrades!$T$13="Moving Group",POWER(Upgrades!$U$13,E409),1)*IF(Upgrades!$T$14="Moving Group",POWER(Upgrades!$U$14,F409),1)*IF(Upgrades!$T$15="Moving Group",POWER(Upgrades!$U$15,G409),1)*IF(Upgrades!$T$16="Moving Group",POWER(Upgrades!$U$16,H409),1)*IF(Upgrades!$T$17="Moving Group",POWER(Upgrades!$U$17,I409),1)*IF(Upgrades!$T$18="Moving Group",POWER(Upgrades!$U$18,J409),1)*IF(Upgrades!$T$19="Moving Group",POWER(Upgrades!$U$19,K409),1)*IF(Upgrades!$T$20="Moving Group",POWER(Upgrades!$U$20,L409),1)))*POWER(Upgrades!$P$13,E409)*POWER(Upgrades!$P$14,F409)*POWER(Upgrades!$P$15,G409)*POWER(Upgrades!$P$16,H409)*POWER(Upgrades!$P$17,I409)*POWER(Upgrades!$P$18,J409)*POWER(Upgrades!$P$19,K409)*POWER(Upgrades!$P$20,L409)*POWER(Upgrades!$P$21,M409)*$F$6+$C$6</f>
        <v/>
      </c>
      <c r="Q409" s="28">
        <f>((IF(E409=0,0,(Upgrades!$M$13+E409*Upgrades!$N$13)*POWER(Upgrades!$O$13,E409)))*(IF(Upgrades!$T$14="Stellar Kinematics",POWER(Upgrades!$U$14,F409),1)*IF(Upgrades!$T$15="Stellar Kinematics",POWER(Upgrades!$U$15,G409),1)*IF(Upgrades!$T$16="Stellar Kinematics",POWER(Upgrades!$U$16,H409),1)*IF(Upgrades!$T$17="Stellar Kinematics",POWER(Upgrades!$U$17,I409),1)*IF(Upgrades!$T$18="Stellar Kinematics",POWER(Upgrades!$U$18,J409),1)*IF(Upgrades!$T$19="Stellar Kinematics",POWER(Upgrades!$U$19,K409),1)*IF(Upgrades!$T$20="Stellar Kinematics",POWER(Upgrades!$U$20,L409),1)*IF(Upgrades!$T$21="Stellar Kinematics",POWER(Upgrades!$U$21,M409),1))+(IF(F409=0,0,(Upgrades!$M$14+F409*Upgrades!$N$14)*POWER(Upgrades!$O$14,F409)))*(IF(Upgrades!$T$13="Local Bubble",POWER(Upgrades!$U$13,E409),1)*IF(Upgrades!$T$15="Local Bubble",POWER(Upgrades!$U$15,G409),1)*IF(Upgrades!$T$16="Local Bubble",POWER(Upgrades!$U$16,H409),1)*IF(Upgrades!$T$17="Local Bubble",POWER(Upgrades!$U$17,I409),1)*IF(Upgrades!$T$18="Local Bubble",POWER(Upgrades!$U$18,J409),1)*IF(Upgrades!$T$19="Local Bubble",POWER(Upgrades!$U$19,K409),1)*IF(Upgrades!$T$20="Local Bubble",POWER(Upgrades!$U$20,L409),1)*IF(Upgrades!$T$21="Local Bubble",POWER(Upgrades!$U$21,M409),1))+(IF(G409=0,0,(Upgrades!$M$15+G409*Upgrades!$N$15)*POWER(Upgrades!$O$15,G409)))*(IF(Upgrades!$T$13="Microlensing",POWER(Upgrades!$U$13,E409),1)*IF(Upgrades!$T$14="Microlensing",POWER(Upgrades!$U$14,F409),1)*IF(Upgrades!$T$16="Microlensing",POWER(Upgrades!$U$16,H409),1)*IF(Upgrades!$T$17="Microlensing",POWER(Upgrades!$U$17,I409),1)*IF(Upgrades!$T$18="Microlensing",POWER(Upgrades!$U$18,J409),1)*IF(Upgrades!$T$19="Microlensing",POWER(Upgrades!$U$19,K409),1)*IF(Upgrades!$T$20="Microlensing",POWER(Upgrades!$U$20,L409),1)*IF(Upgrades!$T$21="Microlensing",POWER(Upgrades!$U$21,M409),1))+(IF(H409=0,0,(Upgrades!$M$16+H409*Upgrades!$N$16)*POWER(Upgrades!$O$16,H409)))*(IF(Upgrades!$T$13="Roche Lobe Overflow",POWER(Upgrades!$U$13,E409),1)*IF(Upgrades!$T$14="Roche Lobe Overflow",POWER(Upgrades!$U$14,F409),1)*IF(Upgrades!$T$15="Roche Lobe Overflow",POWER(Upgrades!$U$15,G409),1)*IF(Upgrades!$T$17="Roche Lobe Overflow",POWER(Upgrades!$U$17,I409),1)*IF(Upgrades!$T$18="Roche Lobe Overflow",POWER(Upgrades!$U$18,J409),1)*IF(Upgrades!$T$19="Roche Lobe Overflow",POWER(Upgrades!$U$19,K409),1)*IF(Upgrades!$T$20="Roche Lobe Overflow",POWER(Upgrades!$U$20,L409),1)*IF(Upgrades!$T$21="Roche Lobe Overflow",POWER(Upgrades!$U$21,M409),1))+(IF(I409=0,0,(Upgrades!$M$17+I409*Upgrades!$N$17)*POWER(Upgrades!$O$17,I409)))*(IF(Upgrades!$T$13="Brown Dwarf",POWER(Upgrades!$U$13,E409),1)*IF(Upgrades!$T$14="Brown Dwarf",POWER(Upgrades!$U$14,F409),1)*IF(Upgrades!$T$15="Brown Dwarf",POWER(Upgrades!$U$15,G409),1)*IF(Upgrades!$T$16="Brown Dwarf",POWER(Upgrades!$U$16,H409),1)*IF(Upgrades!$T$18="Brown Dwarf",POWER(Upgrades!$U$18,J409),1)*IF(Upgrades!$T$19="Brown Dwarf",POWER(Upgrades!$U$19,K409),1)*IF(Upgrades!$T$20="Brown Dwarf",POWER(Upgrades!$U$20,L409),1)*IF(Upgrades!$T$21="Brown Dwarf",POWER(Upgrades!$U$21,M409),1))+(IF(J409=0,0,(Upgrades!$M$18+J409*Upgrades!$N$18)*POWER(Upgrades!$O$18,J409)))*(IF(Upgrades!$T$13="Binary Partner",POWER(Upgrades!$U$13,E409),1)*IF(Upgrades!$T$14="Binary Partner",POWER(Upgrades!$U$14,F409),1)*IF(Upgrades!$T$15="Binary Partner",POWER(Upgrades!$U$15,G409),1)*IF(Upgrades!$T$16="Binary Partner",POWER(Upgrades!$U$16,H409),1)*IF(Upgrades!$T$17="Binary Partner",POWER(Upgrades!$U$17,I409),1)*IF(Upgrades!$T$19="Binary Partner",POWER(Upgrades!$U$19,K409),1)*IF(Upgrades!$T$20="Binary Partner",POWER(Upgrades!$U$20,L409),1)*IF(Upgrades!$T$21="Binary Partner",POWER(Upgrades!$U$21,M409),1))+(IF(K409=0,0,(Upgrades!$M$19+K409*Upgrades!$N$19)*POWER(Upgrades!$O$19,K409)))*(IF(Upgrades!$T$13="Peculiar Velocity",POWER(Upgrades!$U$13,E409),1)*IF(Upgrades!$T$14="Peculiar Velocity",POWER(Upgrades!$U$14,F409),1)*IF(Upgrades!$T$15="Peculiar Velocity",POWER(Upgrades!$U$15,G409),1)*IF(Upgrades!$T$16="Peculiar Velocity",POWER(Upgrades!$U$16,H409),1)*IF(Upgrades!$T$17="Peculiar Velocity",POWER(Upgrades!$U$17,I409),1)*IF(Upgrades!$T$18="Peculiar Velocity",POWER(Upgrades!$U$18,J409),1)*IF(Upgrades!$T$20="Peculiar Velocity",POWER(Upgrades!$U$20,L409),1)*IF(Upgrades!$T$21="Peculiar Velocity",POWER(Upgrades!$U$21,M409),1))+(IF(L409=0,0,(Upgrades!$M$20+L409*Upgrades!$N$20)*POWER(Upgrades!$O$20,L409)))*(IF(Upgrades!$T$13="Open Cluster",POWER(Upgrades!$U$13,E409),1)*IF(Upgrades!$T$14="Open Cluster",POWER(Upgrades!$U$14,F409),1)*IF(Upgrades!$T$15="Open Cluster",POWER(Upgrades!$U$15,G409),1)*IF(Upgrades!$T$16="Open Cluster",POWER(Upgrades!$U$16,H409),1)*IF(Upgrades!$T$17="Open Cluster",POWER(Upgrades!$U$17,I409),1)*IF(Upgrades!$T$18="Open Cluster",POWER(Upgrades!$U$18,J409),1)*IF(Upgrades!$T$19="Open Cluster",POWER(Upgrades!$U$19,K409),1)*IF(Upgrades!$T$21="Open Cluster",POWER(Upgrades!$U$21,M409),1))+(IF(M409=0,0,(Upgrades!$M$21+M409*Upgrades!$N$21)*POWER(Upgrades!$O$21,M409)))*(IF(Upgrades!$T$13="Moving Group",POWER(Upgrades!$U$13,E409),1)*IF(Upgrades!$T$14="Moving Group",POWER(Upgrades!$U$14,F409),1)*IF(Upgrades!$T$15="Moving Group",POWER(Upgrades!$U$15,G409),1)*IF(Upgrades!$T$16="Moving Group",POWER(Upgrades!$U$16,H409),1)*IF(Upgrades!$T$17="Moving Group",POWER(Upgrades!$U$17,I409),1)*IF(Upgrades!$T$18="Moving Group",POWER(Upgrades!$U$18,J409),1)*IF(Upgrades!$T$19="Moving Group",POWER(Upgrades!$U$19,K409),1)*IF(Upgrades!$T$20="Moving Group",POWER(Upgrades!$U$20,L409),1)))*POWER(Upgrades!$R$13,E409)*POWER(Upgrades!$R$14,F409)*POWER(Upgrades!$R$15,G409)*POWER(Upgrades!$R$16,H409)*POWER(Upgrades!$R$17,I409)*POWER(Upgrades!$R$18,J409)*POWER(Upgrades!$R$19,K409)*POWER(Upgrades!$R$20,L409)*POWER(Upgrades!$R$21,M409)*$H$6+$E$6</f>
        <v/>
      </c>
      <c r="R409" s="27">
        <f>IF(N409=1,0,O409*Parameters!$B$10/60*Parameters!$B$11*10)</f>
        <v/>
      </c>
      <c r="S409" s="27">
        <f>IF(N409=1,0,Q409*O409*10)</f>
        <v/>
      </c>
      <c r="T409" s="27">
        <f>IF(N409=1,0,R409+S409+P409*10)</f>
        <v/>
      </c>
      <c r="U409" s="33">
        <f>BE409</f>
        <v/>
      </c>
      <c r="V409" s="22">
        <f>IF(U409="",0,IF(U409="transition",0,IF(U409="SK",AK409,IF(U409="LB",AL409,IF(U409="ML",AM409,IF(U409="RLO",AN409,IF(U409="BD",AO409,IF(U409="BiP",AP409,IF(U409="PV",AQ409,IF(U409="OC",AR409,IF(U409="MG",AS409,0))))))))))</f>
        <v/>
      </c>
      <c r="W409" s="27">
        <f>IF(U409="BiP",Upgrades!$F$18,IF(U409="PV",Upgrades!$F$19,IF(U409="OC",Upgrades!$F$20,IF(U409="MG",Upgrades!$F$21,IF(U409="transition",-Parameters!$B$18*Parameters!$B$19,0)))))</f>
        <v/>
      </c>
      <c r="X409" s="22">
        <f>C409+T409-V409</f>
        <v/>
      </c>
      <c r="Y409" s="30">
        <f>O409*Parameters!$B$10/60*Parameters!$B$11+Q409*O409+P409</f>
        <v/>
      </c>
      <c r="Z409" s="34">
        <f>IF(U409="transition","→ Tier 3 (Galactic Arm)",IF(U409="MG","Moving Group — pocket drifts together",IF(U409="OC","Open Cluster acquired",IF(U409="PV","Peculiar Velocity — passive multiplier active",IF(U409="BiP","Binary Partner — pair bond formed",IF(AND(AU409=1,N409=0,AT409&lt;&gt;1),"Cohesion ready (waiting on completionists)","")))))) </f>
        <v/>
      </c>
      <c r="AA409" s="27">
        <f>(IF(E409=0,0,(Upgrades!$G$13+E409*Upgrades!$H$13)*POWER(Upgrades!$I$13,E409)))*(IF(Upgrades!$T$14="Stellar Kinematics",POWER(Upgrades!$U$14,F409),1)*IF(Upgrades!$T$15="Stellar Kinematics",POWER(Upgrades!$U$15,G409),1)*IF(Upgrades!$T$16="Stellar Kinematics",POWER(Upgrades!$U$16,H409),1)*IF(Upgrades!$T$17="Stellar Kinematics",POWER(Upgrades!$U$17,I409),1)*IF(Upgrades!$T$18="Stellar Kinematics",POWER(Upgrades!$U$18,J409),1)*IF(Upgrades!$T$19="Stellar Kinematics",POWER(Upgrades!$U$19,K409),1)*IF(Upgrades!$T$20="Stellar Kinematics",POWER(Upgrades!$U$20,L409),1)*IF(Upgrades!$T$21="Stellar Kinematics",POWER(Upgrades!$U$21,M409),1))*POWER(Upgrades!$P$13,E409)*POWER(Upgrades!$P$14,F409)*POWER(Upgrades!$P$15,G409)*POWER(Upgrades!$P$16,H409)*POWER(Upgrades!$P$17,I409)*POWER(Upgrades!$P$18,J409)*POWER(Upgrades!$P$19,K409)*POWER(Upgrades!$P$20,L409)*POWER(Upgrades!$P$21,M409)*$F$6*60</f>
        <v/>
      </c>
      <c r="AB409" s="27">
        <f>(IF(F409=0,0,(Upgrades!$G$14+F409*Upgrades!$H$14)*POWER(Upgrades!$I$14,F409)))*(IF(Upgrades!$T$13="Local Bubble",POWER(Upgrades!$U$13,E409),1)*IF(Upgrades!$T$15="Local Bubble",POWER(Upgrades!$U$15,G409),1)*IF(Upgrades!$T$16="Local Bubble",POWER(Upgrades!$U$16,H409),1)*IF(Upgrades!$T$17="Local Bubble",POWER(Upgrades!$U$17,I409),1)*IF(Upgrades!$T$18="Local Bubble",POWER(Upgrades!$U$18,J409),1)*IF(Upgrades!$T$19="Local Bubble",POWER(Upgrades!$U$19,K409),1)*IF(Upgrades!$T$20="Local Bubble",POWER(Upgrades!$U$20,L409),1)*IF(Upgrades!$T$21="Local Bubble",POWER(Upgrades!$U$21,M409),1))*POWER(Upgrades!$P$13,E409)*POWER(Upgrades!$P$14,F409)*POWER(Upgrades!$P$15,G409)*POWER(Upgrades!$P$16,H409)*POWER(Upgrades!$P$17,I409)*POWER(Upgrades!$P$18,J409)*POWER(Upgrades!$P$19,K409)*POWER(Upgrades!$P$20,L409)*POWER(Upgrades!$P$21,M409)*$F$6*60</f>
        <v/>
      </c>
      <c r="AC409" s="27">
        <f>(IF(G409=0,0,(Upgrades!$J$15+G409*Upgrades!$K$15)*POWER(Upgrades!$L$15,G409)))*(IF(Upgrades!$T$13="Microlensing",POWER(Upgrades!$U$13,E409),1)*IF(Upgrades!$T$14="Microlensing",POWER(Upgrades!$U$14,F409),1)*IF(Upgrades!$T$16="Microlensing",POWER(Upgrades!$U$16,H409),1)*IF(Upgrades!$T$17="Microlensing",POWER(Upgrades!$U$17,I409),1)*IF(Upgrades!$T$18="Microlensing",POWER(Upgrades!$U$18,J409),1)*IF(Upgrades!$T$19="Microlensing",POWER(Upgrades!$U$19,K409),1)*IF(Upgrades!$T$20="Microlensing",POWER(Upgrades!$U$20,L409),1)*IF(Upgrades!$T$21="Microlensing",POWER(Upgrades!$U$21,M409),1))*POWER(Upgrades!$Q$13,E409)*POWER(Upgrades!$Q$14,F409)*POWER(Upgrades!$Q$15,G409)*POWER(Upgrades!$Q$16,H409)*POWER(Upgrades!$Q$17,I409)*POWER(Upgrades!$Q$18,J409)*POWER(Upgrades!$Q$19,K409)*POWER(Upgrades!$Q$20,L409)*POWER(Upgrades!$Q$21,M409)*$G$6*(Parameters!$B$10*Parameters!$B$11+Q409*60)</f>
        <v/>
      </c>
      <c r="AD409" s="27">
        <f>(IF(H409=0,0,(Upgrades!$M$16+H409*Upgrades!$N$16)*POWER(Upgrades!$O$16,H409)))*(IF(Upgrades!$T$13="Roche Lobe Overflow",POWER(Upgrades!$U$13,E409),1)*IF(Upgrades!$T$14="Roche Lobe Overflow",POWER(Upgrades!$U$14,F409),1)*IF(Upgrades!$T$15="Roche Lobe Overflow",POWER(Upgrades!$U$15,G409),1)*IF(Upgrades!$T$17="Roche Lobe Overflow",POWER(Upgrades!$U$17,I409),1)*IF(Upgrades!$T$18="Roche Lobe Overflow",POWER(Upgrades!$U$18,J409),1)*IF(Upgrades!$T$19="Roche Lobe Overflow",POWER(Upgrades!$U$19,K409),1)*IF(Upgrades!$T$20="Roche Lobe Overflow",POWER(Upgrades!$U$20,L409),1)*IF(Upgrades!$T$21="Roche Lobe Overflow",POWER(Upgrades!$U$21,M409),1))*POWER(Upgrades!$R$13,E409)*POWER(Upgrades!$R$14,F409)*POWER(Upgrades!$R$15,G409)*POWER(Upgrades!$R$16,H409)*POWER(Upgrades!$R$17,I409)*POWER(Upgrades!$R$18,J409)*POWER(Upgrades!$R$19,K409)*POWER(Upgrades!$R$20,L409)*POWER(Upgrades!$R$21,M409)*$H$6*O409*60</f>
        <v/>
      </c>
      <c r="AE409" s="27">
        <f>(IF(I409=0,0,(Upgrades!$G$17+I409*Upgrades!$H$17)*POWER(Upgrades!$I$17,I409)))*(IF(Upgrades!$T$13="Brown Dwarf",POWER(Upgrades!$U$13,E409),1)*IF(Upgrades!$T$14="Brown Dwarf",POWER(Upgrades!$U$14,F409),1)*IF(Upgrades!$T$15="Brown Dwarf",POWER(Upgrades!$U$15,G409),1)*IF(Upgrades!$T$16="Brown Dwarf",POWER(Upgrades!$U$16,H409),1)*IF(Upgrades!$T$18="Brown Dwarf",POWER(Upgrades!$U$18,J409),1)*IF(Upgrades!$T$19="Brown Dwarf",POWER(Upgrades!$U$19,K409),1)*IF(Upgrades!$T$20="Brown Dwarf",POWER(Upgrades!$U$20,L409),1)*IF(Upgrades!$T$21="Brown Dwarf",POWER(Upgrades!$U$21,M409),1))*POWER(Upgrades!$P$13,E409)*POWER(Upgrades!$P$14,F409)*POWER(Upgrades!$P$15,G409)*POWER(Upgrades!$P$16,H409)*POWER(Upgrades!$P$17,I409)*POWER(Upgrades!$P$18,J409)*POWER(Upgrades!$P$19,K409)*POWER(Upgrades!$P$20,L409)*POWER(Upgrades!$P$21,M409)*$F$6*60</f>
        <v/>
      </c>
      <c r="AF409" s="27" t="n">
        <v>0</v>
      </c>
      <c r="AG409" s="27" t="n">
        <v>0</v>
      </c>
      <c r="AH409" s="27" t="n">
        <v>0</v>
      </c>
      <c r="AI409" s="27">
        <f>(IF(M409=0,0,(Upgrades!$G$21+M409*Upgrades!$H$21)*POWER(Upgrades!$I$21,M409)))*(IF(Upgrades!$T$13="Moving Group",POWER(Upgrades!$U$13,E409),1)*IF(Upgrades!$T$14="Moving Group",POWER(Upgrades!$U$14,F409),1)*IF(Upgrades!$T$15="Moving Group",POWER(Upgrades!$U$15,G409),1)*IF(Upgrades!$T$16="Moving Group",POWER(Upgrades!$U$16,H409),1)*IF(Upgrades!$T$17="Moving Group",POWER(Upgrades!$U$17,I409),1)*IF(Upgrades!$T$18="Moving Group",POWER(Upgrades!$U$18,J409),1)*IF(Upgrades!$T$19="Moving Group",POWER(Upgrades!$U$19,K409),1)*IF(Upgrades!$T$20="Moving Group",POWER(Upgrades!$U$20,L409),1))*POWER(Upgrades!$P$13,E409)*POWER(Upgrades!$P$14,F409)*POWER(Upgrades!$P$15,G409)*POWER(Upgrades!$P$16,H409)*POWER(Upgrades!$P$17,I409)*POWER(Upgrades!$P$18,J409)*POWER(Upgrades!$P$19,K409)*POWER(Upgrades!$P$20,L409)*POWER(Upgrades!$P$21,M409)*$F$6*60</f>
        <v/>
      </c>
      <c r="AJ409" s="27">
        <f>$C$6*60</f>
        <v/>
      </c>
      <c r="AK409" s="22">
        <f>IF(E409&gt;=Upgrades!$E$13,"",Upgrades!$C$13*POWER(Upgrades!$D$13,E409))</f>
        <v/>
      </c>
      <c r="AL409" s="22">
        <f>IF(F409&gt;=Upgrades!$E$14,"",Upgrades!$C$14*POWER(Upgrades!$D$14,F409))</f>
        <v/>
      </c>
      <c r="AM409" s="22">
        <f>IF(G409&gt;=Upgrades!$E$15,"",Upgrades!$C$15*POWER(Upgrades!$D$15,G409))</f>
        <v/>
      </c>
      <c r="AN409" s="22">
        <f>IF(H409&gt;=Upgrades!$E$16,"",Upgrades!$C$16*POWER(Upgrades!$D$16,H409))</f>
        <v/>
      </c>
      <c r="AO409" s="22">
        <f>IF(I409&gt;=Upgrades!$E$17,"",Upgrades!$C$17*POWER(Upgrades!$D$17,I409))</f>
        <v/>
      </c>
      <c r="AP409" s="22">
        <f>IF(J409&gt;=Upgrades!$E$18,"",Upgrades!$C$18*POWER(Upgrades!$D$18,J409))</f>
        <v/>
      </c>
      <c r="AQ409" s="22">
        <f>IF(K409&gt;=Upgrades!$E$19,"",Upgrades!$C$19*POWER(Upgrades!$D$19,K409))</f>
        <v/>
      </c>
      <c r="AR409" s="22">
        <f>IF(L409&gt;=Upgrades!$E$20,"",Upgrades!$C$20*POWER(Upgrades!$D$20,L409))</f>
        <v/>
      </c>
      <c r="AS409" s="22">
        <f>IF(M409&gt;=Upgrades!$E$21,"",Upgrades!$C$21*POWER(Upgrades!$D$21,M409))</f>
        <v/>
      </c>
      <c r="AT409" s="26">
        <f>IF(AND(D409&gt;=Parameters!$B$18*Parameters!$B$19,(I409&gt;=Upgrades!$E$17)*(M409&gt;=Upgrades!$E$21)=1,N409=0),1,"")</f>
        <v/>
      </c>
      <c r="AU409" s="26">
        <f>IF(AND(D409&gt;=Parameters!$B$18*Parameters!$B$19,N409=0),1,"")</f>
        <v/>
      </c>
      <c r="AV409" s="22">
        <f>MIN(IF(ISNUMBER(AP409),AP409,9E15),IF(ISNUMBER(AQ409),AQ409,9E15),IF(ISNUMBER(AR409),AR409,9E15),IF(ISNUMBER(AS409),AS409,9E15))</f>
        <v/>
      </c>
      <c r="AW409" s="22">
        <f>MIN(IF(ISNUMBER(AK409),AK409,9E15),IF(ISNUMBER(AL409),AL409,9E15),IF(ISNUMBER(AM409),AM409,9E15),IF(ISNUMBER(AN409),AN409,9E15),IF(ISNUMBER(AO409),AO409,9E15))</f>
        <v/>
      </c>
      <c r="AX409" s="29">
        <f>IF(BD409&gt;Parameters!$B$21*(MAX(IF(AND(NOT(AND(AU409=1,AT409&lt;&gt;1)),ISNUMBER(AK409),AK409&lt;=(C409+T409)),AY409,0),IF(AND(NOT(AND(AU409=1,AT409&lt;&gt;1)),ISNUMBER(AL409),AL409&lt;=(C409+T409)),AZ409,0),IF(AND(NOT(AND(AU409=1,AT409&lt;&gt;1)),ISNUMBER(AM409),AM409&lt;=(C409+T409)),BA409,0),IF(AND(NOT(AND(AU409=1,AT409&lt;&gt;1)),ISNUMBER(AN409),AN409&lt;=(C409+T409)),BB409,0),IF(AND(ISNUMBER(AO409),AO409&lt;=(C409+T409)),BC409,0))),TRUE,FALSE)</f>
        <v/>
      </c>
      <c r="AY409" s="32">
        <f>IFERROR(Upgrades!$H$13*(POWER(Upgrades!$P$13,E409)*POWER(Upgrades!$P$14,F409)*POWER(Upgrades!$P$15,G409)*POWER(Upgrades!$P$16,H409)*POWER(Upgrades!$P$17,I409)*POWER(Upgrades!$P$18,J409)*POWER(Upgrades!$P$19,K409)*POWER(Upgrades!$P$20,L409)*POWER(Upgrades!$P$21,M409))*(IF(Upgrades!$T$14="Stellar Kinematics",POWER(Upgrades!$U$14,F409),1)*IF(Upgrades!$T$15="Stellar Kinematics",POWER(Upgrades!$U$15,G409),1)*IF(Upgrades!$T$16="Stellar Kinematics",POWER(Upgrades!$U$16,H409),1)*IF(Upgrades!$T$17="Stellar Kinematics",POWER(Upgrades!$U$17,I409),1)*IF(Upgrades!$T$18="Stellar Kinematics",POWER(Upgrades!$U$18,J409),1)*IF(Upgrades!$T$19="Stellar Kinematics",POWER(Upgrades!$U$19,K409),1)*IF(Upgrades!$T$20="Stellar Kinematics",POWER(Upgrades!$U$20,L409),1)*IF(Upgrades!$T$21="Stellar Kinematics",POWER(Upgrades!$U$21,M409),1))*$F$6/AK409,0)</f>
        <v/>
      </c>
      <c r="AZ409" s="32">
        <f>IFERROR(Upgrades!$H$14*(POWER(Upgrades!$P$13,E409)*POWER(Upgrades!$P$14,F409)*POWER(Upgrades!$P$15,G409)*POWER(Upgrades!$P$16,H409)*POWER(Upgrades!$P$17,I409)*POWER(Upgrades!$P$18,J409)*POWER(Upgrades!$P$19,K409)*POWER(Upgrades!$P$20,L409)*POWER(Upgrades!$P$21,M409))*(IF(Upgrades!$T$13="Local Bubble",POWER(Upgrades!$U$13,E409),1)*IF(Upgrades!$T$15="Local Bubble",POWER(Upgrades!$U$15,G409),1)*IF(Upgrades!$T$16="Local Bubble",POWER(Upgrades!$U$16,H409),1)*IF(Upgrades!$T$17="Local Bubble",POWER(Upgrades!$U$17,I409),1)*IF(Upgrades!$T$18="Local Bubble",POWER(Upgrades!$U$18,J409),1)*IF(Upgrades!$T$19="Local Bubble",POWER(Upgrades!$U$19,K409),1)*IF(Upgrades!$T$20="Local Bubble",POWER(Upgrades!$U$20,L409),1)*IF(Upgrades!$T$21="Local Bubble",POWER(Upgrades!$U$21,M409),1))*$F$6/AL409,0)</f>
        <v/>
      </c>
      <c r="BA409" s="32">
        <f>IFERROR(Upgrades!$K$15*(POWER(Upgrades!$Q$13,E409)*POWER(Upgrades!$Q$14,F409)*POWER(Upgrades!$Q$15,G409)*POWER(Upgrades!$Q$16,H409)*POWER(Upgrades!$Q$17,I409)*POWER(Upgrades!$Q$18,J409)*POWER(Upgrades!$Q$19,K409)*POWER(Upgrades!$Q$20,L409)*POWER(Upgrades!$Q$21,M409))*(IF(Upgrades!$T$13="Microlensing",POWER(Upgrades!$U$13,E409),1)*IF(Upgrades!$T$14="Microlensing",POWER(Upgrades!$U$14,F409),1)*IF(Upgrades!$T$16="Microlensing",POWER(Upgrades!$U$16,H409),1)*IF(Upgrades!$T$17="Microlensing",POWER(Upgrades!$U$17,I409),1)*IF(Upgrades!$T$18="Microlensing",POWER(Upgrades!$U$18,J409),1)*IF(Upgrades!$T$19="Microlensing",POWER(Upgrades!$U$19,K409),1)*IF(Upgrades!$T$20="Microlensing",POWER(Upgrades!$U$20,L409),1)*IF(Upgrades!$T$21="Microlensing",POWER(Upgrades!$U$21,M409),1))*$G$6*(Parameters!$B$10/60*Parameters!$B$11+Q409)/AM409,0)</f>
        <v/>
      </c>
      <c r="BB409" s="32">
        <f>IFERROR((Upgrades!$N$16*(POWER(Upgrades!$R$13,E409)*POWER(Upgrades!$R$14,F409)*POWER(Upgrades!$R$15,G409)*POWER(Upgrades!$R$16,H409)*POWER(Upgrades!$R$17,I409)*POWER(Upgrades!$R$18,J409)*POWER(Upgrades!$R$19,K409)*POWER(Upgrades!$R$20,L409)*POWER(Upgrades!$R$21,M409))*(IF(Upgrades!$T$13="Roche Lobe Overflow",POWER(Upgrades!$U$13,E409),1)*IF(Upgrades!$T$14="Roche Lobe Overflow",POWER(Upgrades!$U$14,F409),1)*IF(Upgrades!$T$15="Roche Lobe Overflow",POWER(Upgrades!$U$15,G409),1)*IF(Upgrades!$T$17="Roche Lobe Overflow",POWER(Upgrades!$U$17,I409),1)*IF(Upgrades!$T$18="Roche Lobe Overflow",POWER(Upgrades!$U$18,J409),1)*IF(Upgrades!$T$19="Roche Lobe Overflow",POWER(Upgrades!$U$19,K409),1)*IF(Upgrades!$T$20="Roche Lobe Overflow",POWER(Upgrades!$U$20,L409),1)*IF(Upgrades!$T$21="Roche Lobe Overflow",POWER(Upgrades!$U$21,M409),1))*$H$6*O409+((IF(F409=0,0,(Upgrades!$G$14+F409*Upgrades!$H$14)*POWER(Upgrades!$I$14,F409)))*(IF(Upgrades!$T$13="Local Bubble",POWER(Upgrades!$U$13,E409),1)*IF(Upgrades!$T$15="Local Bubble",POWER(Upgrades!$U$15,G409),1)*IF(Upgrades!$T$16="Local Bubble",POWER(Upgrades!$U$16,H409),1)*IF(Upgrades!$T$17="Local Bubble",POWER(Upgrades!$U$17,I409),1)*IF(Upgrades!$T$18="Local Bubble",POWER(Upgrades!$U$18,J409),1)*IF(Upgrades!$T$19="Local Bubble",POWER(Upgrades!$U$19,K409),1)*IF(Upgrades!$T$20="Local Bubble",POWER(Upgrades!$U$20,L409),1)*IF(Upgrades!$T$21="Local Bubble",POWER(Upgrades!$U$21,M409),1))*POWER(Upgrades!$P$13,E409)*POWER(Upgrades!$P$14,F409)*POWER(Upgrades!$P$15,G409)*POWER(Upgrades!$P$16,H409)*POWER(Upgrades!$P$17,I409)*POWER(Upgrades!$P$18,J409)*POWER(Upgrades!$P$19,K409)*POWER(Upgrades!$P$20,L409)*POWER(Upgrades!$P$21,M409)*$F$6)*0.05)/AN409,0)</f>
        <v/>
      </c>
      <c r="BC409" s="32">
        <f>IFERROR((Upgrades!$H$17*(POWER(Upgrades!$P$13,E409)*POWER(Upgrades!$P$14,F409)*POWER(Upgrades!$P$15,G409)*POWER(Upgrades!$P$16,H409)*POWER(Upgrades!$P$17,I409)*POWER(Upgrades!$P$18,J409)*POWER(Upgrades!$P$19,K409)*POWER(Upgrades!$P$20,L409)*POWER(Upgrades!$P$21,M409))*(IF(Upgrades!$T$13="Brown Dwarf",POWER(Upgrades!$U$13,E409),1)*IF(Upgrades!$T$14="Brown Dwarf",POWER(Upgrades!$U$14,F409),1)*IF(Upgrades!$T$15="Brown Dwarf",POWER(Upgrades!$U$15,G409),1)*IF(Upgrades!$T$16="Brown Dwarf",POWER(Upgrades!$U$16,H409),1)*IF(Upgrades!$T$18="Brown Dwarf",POWER(Upgrades!$U$18,J409),1)*IF(Upgrades!$T$19="Brown Dwarf",POWER(Upgrades!$U$19,K409),1)*IF(Upgrades!$T$20="Brown Dwarf",POWER(Upgrades!$U$20,L409),1)*IF(Upgrades!$T$21="Brown Dwarf",POWER(Upgrades!$U$21,M409),1))*$F$6+(((IF(H409=0,0,(Upgrades!$M$16+H409*Upgrades!$N$16)*POWER(Upgrades!$O$16,H409)))*(IF(Upgrades!$T$13="Roche Lobe Overflow",POWER(Upgrades!$U$13,E409),1)*IF(Upgrades!$T$14="Roche Lobe Overflow",POWER(Upgrades!$U$14,F409),1)*IF(Upgrades!$T$15="Roche Lobe Overflow",POWER(Upgrades!$U$15,G409),1)*IF(Upgrades!$T$17="Roche Lobe Overflow",POWER(Upgrades!$U$17,I409),1)*IF(Upgrades!$T$18="Roche Lobe Overflow",POWER(Upgrades!$U$18,J409),1)*IF(Upgrades!$T$19="Roche Lobe Overflow",POWER(Upgrades!$U$19,K409),1)*IF(Upgrades!$T$20="Roche Lobe Overflow",POWER(Upgrades!$U$20,L409),1)*IF(Upgrades!$T$21="Roche Lobe Overflow",POWER(Upgrades!$U$21,M409),1))*POWER(Upgrades!$R$13,E409)*POWER(Upgrades!$R$14,F409)*POWER(Upgrades!$R$15,G409)*POWER(Upgrades!$R$16,H409)*POWER(Upgrades!$R$17,I409)*POWER(Upgrades!$R$18,J409)*POWER(Upgrades!$R$19,K409)*POWER(Upgrades!$R$20,L409)*POWER(Upgrades!$R$21,M409)*$H$6)*O409)*0.10)/AO409,0)</f>
        <v/>
      </c>
      <c r="BD409" s="32">
        <f>MAX(IF(J409&gt;0,0,IFERROR(0.5*((IF(G409=0,0,(Upgrades!$J$15+G409*Upgrades!$K$15)*POWER(Upgrades!$L$15,G409)))*(IF(Upgrades!$T$13="Microlensing",POWER(Upgrades!$U$13,E409),1)*IF(Upgrades!$T$14="Microlensing",POWER(Upgrades!$U$14,F409),1)*IF(Upgrades!$T$16="Microlensing",POWER(Upgrades!$U$16,H409),1)*IF(Upgrades!$T$17="Microlensing",POWER(Upgrades!$U$17,I409),1)*IF(Upgrades!$T$18="Microlensing",POWER(Upgrades!$U$18,J409),1)*IF(Upgrades!$T$19="Microlensing",POWER(Upgrades!$U$19,K409),1)*IF(Upgrades!$T$20="Microlensing",POWER(Upgrades!$U$20,L409),1)*IF(Upgrades!$T$21="Microlensing",POWER(Upgrades!$U$21,M409),1))*(POWER(Upgrades!$Q$13,E409)*POWER(Upgrades!$Q$14,F409)*POWER(Upgrades!$Q$15,G409)*POWER(Upgrades!$Q$16,H409)*POWER(Upgrades!$Q$17,I409)*POWER(Upgrades!$Q$18,J409)*POWER(Upgrades!$Q$19,K409)*POWER(Upgrades!$Q$20,L409)*POWER(Upgrades!$Q$21,M409))*$G$6*(Parameters!$B$10/60*Parameters!$B$11+Q409))/Upgrades!$C$18,0)),IF(K409&gt;0,0,IFERROR(0.30*P409/Upgrades!$C$19,0)),IF(L409&gt;0,0,IFERROR(0.0001/Upgrades!$C$20,0)),IF(M409&gt;0,0,IFERROR((6.0*(POWER(Upgrades!$P$13,E409)*POWER(Upgrades!$P$14,F409)*POWER(Upgrades!$P$15,G409)*POWER(Upgrades!$P$16,H409)*POWER(Upgrades!$P$17,I409)*POWER(Upgrades!$P$18,J409)*POWER(Upgrades!$P$19,K409)*POWER(Upgrades!$P$20,L409)*POWER(Upgrades!$P$21,M409))*$F$6+0.20*O409*(Parameters!$B$10/60*Parameters!$B$11+Q409))/Upgrades!$C$21,0)),IF(AND(ISNUMBER(AK409),AK409&gt;(C409+T409)),AY409,0),IF(AND(ISNUMBER(AL409),AL409&gt;(C409+T409)),AZ409,0),IF(AND(ISNUMBER(AM409),AM409&gt;(C409+T409)),BA409,0),IF(AND(ISNUMBER(AN409),AN409&gt;(C409+T409)),BB409,0),IF(AND(ISNUMBER(AO409),AO409&gt;(C409+T409)),BC409,0))</f>
        <v/>
      </c>
      <c r="BE409" s="29">
        <f>IF(AT409=1,"transition",IF(MIN(IF(AND(J409=0,ISNUMBER(AP409),AP409&lt;=(C409+T409)),AP409,9E15),IF(AND(K409=0,ISNUMBER(AQ409),AQ409&lt;=(C409+T409)),AQ409,9E15),IF(AND(L409=0,ISNUMBER(AR409),AR409&lt;=(C409+T409)),AR409,9E15),IF(AND(M409=0,ISNUMBER(AS409),AS409&lt;=(C409+T409)),AS409,9E15))&lt;9E15,IF(AND(AND(J409=0,ISNUMBER(AP409),AP409&lt;=(C409+T409)),AP409=MIN(IF(AND(J409=0,ISNUMBER(AP409),AP409&lt;=(C409+T409)),AP409,9E15),IF(AND(K409=0,ISNUMBER(AQ409),AQ409&lt;=(C409+T409)),AQ409,9E15),IF(AND(L409=0,ISNUMBER(AR409),AR409&lt;=(C409+T409)),AR409,9E15),IF(AND(M409=0,ISNUMBER(AS409),AS409&lt;=(C409+T409)),AS409,9E15))),"BiP",IF(AND(AND(K409=0,ISNUMBER(AQ409),AQ409&lt;=(C409+T409)),AQ409=MIN(IF(AND(J409=0,ISNUMBER(AP409),AP409&lt;=(C409+T409)),AP409,9E15),IF(AND(K409=0,ISNUMBER(AQ409),AQ409&lt;=(C409+T409)),AQ409,9E15),IF(AND(L409=0,ISNUMBER(AR409),AR409&lt;=(C409+T409)),AR409,9E15),IF(AND(M409=0,ISNUMBER(AS409),AS409&lt;=(C409+T409)),AS409,9E15))),"PV",IF(AND(AND(L409=0,ISNUMBER(AR409),AR409&lt;=(C409+T409)),AR409=MIN(IF(AND(J409=0,ISNUMBER(AP409),AP409&lt;=(C409+T409)),AP409,9E15),IF(AND(K409=0,ISNUMBER(AQ409),AQ409&lt;=(C409+T409)),AQ409,9E15),IF(AND(L409=0,ISNUMBER(AR409),AR409&lt;=(C409+T409)),AR409,9E15),IF(AND(M409=0,ISNUMBER(AS409),AS409&lt;=(C409+T409)),AS409,9E15))),"OC","MG"))),IF(AX409=TRUE,"",IF(MAX(IF(AND(NOT(AND(AU409=1,AT409&lt;&gt;1)),ISNUMBER(AK409),AK409&lt;=(C409+T409)),AY409,0),IF(AND(NOT(AND(AU409=1,AT409&lt;&gt;1)),ISNUMBER(AL409),AL409&lt;=(C409+T409)),AZ409,0),IF(AND(NOT(AND(AU409=1,AT409&lt;&gt;1)),ISNUMBER(AM409),AM409&lt;=(C409+T409)),BA409,0),IF(AND(NOT(AND(AU409=1,AT409&lt;&gt;1)),ISNUMBER(AN409),AN409&lt;=(C409+T409)),BB409,0),IF(AND(ISNUMBER(AO409),AO409&lt;=(C409+T409)),BC409,0))&lt;=0,"",IF(AND(IF(AND(NOT(AND(AU409=1,AT409&lt;&gt;1)),ISNUMBER(AK409),AK409&lt;=(C409+T409)),AY409,0)&gt;0,IF(AND(NOT(AND(AU409=1,AT409&lt;&gt;1)),ISNUMBER(AK409),AK409&lt;=(C409+T409)),AY409,0)=MAX(IF(AND(NOT(AND(AU409=1,AT409&lt;&gt;1)),ISNUMBER(AK409),AK409&lt;=(C409+T409)),AY409,0),IF(AND(NOT(AND(AU409=1,AT409&lt;&gt;1)),ISNUMBER(AL409),AL409&lt;=(C409+T409)),AZ409,0),IF(AND(NOT(AND(AU409=1,AT409&lt;&gt;1)),ISNUMBER(AM409),AM409&lt;=(C409+T409)),BA409,0),IF(AND(NOT(AND(AU409=1,AT409&lt;&gt;1)),ISNUMBER(AN409),AN409&lt;=(C409+T409)),BB409,0),IF(AND(ISNUMBER(AO409),AO409&lt;=(C409+T409)),BC409,0))),"SK",IF(AND(IF(AND(NOT(AND(AU409=1,AT409&lt;&gt;1)),ISNUMBER(AL409),AL409&lt;=(C409+T409)),AZ409,0)&gt;0,IF(AND(NOT(AND(AU409=1,AT409&lt;&gt;1)),ISNUMBER(AL409),AL409&lt;=(C409+T409)),AZ409,0)=MAX(IF(AND(NOT(AND(AU409=1,AT409&lt;&gt;1)),ISNUMBER(AK409),AK409&lt;=(C409+T409)),AY409,0),IF(AND(NOT(AND(AU409=1,AT409&lt;&gt;1)),ISNUMBER(AL409),AL409&lt;=(C409+T409)),AZ409,0),IF(AND(NOT(AND(AU409=1,AT409&lt;&gt;1)),ISNUMBER(AM409),AM409&lt;=(C409+T409)),BA409,0),IF(AND(NOT(AND(AU409=1,AT409&lt;&gt;1)),ISNUMBER(AN409),AN409&lt;=(C409+T409)),BB409,0),IF(AND(ISNUMBER(AO409),AO409&lt;=(C409+T409)),BC409,0))),"LB",IF(AND(IF(AND(NOT(AND(AU409=1,AT409&lt;&gt;1)),ISNUMBER(AM409),AM409&lt;=(C409+T409)),BA409,0)&gt;0,IF(AND(NOT(AND(AU409=1,AT409&lt;&gt;1)),ISNUMBER(AM409),AM409&lt;=(C409+T409)),BA409,0)=MAX(IF(AND(NOT(AND(AU409=1,AT409&lt;&gt;1)),ISNUMBER(AK409),AK409&lt;=(C409+T409)),AY409,0),IF(AND(NOT(AND(AU409=1,AT409&lt;&gt;1)),ISNUMBER(AL409),AL409&lt;=(C409+T409)),AZ409,0),IF(AND(NOT(AND(AU409=1,AT409&lt;&gt;1)),ISNUMBER(AM409),AM409&lt;=(C409+T409)),BA409,0),IF(AND(NOT(AND(AU409=1,AT409&lt;&gt;1)),ISNUMBER(AN409),AN409&lt;=(C409+T409)),BB409,0),IF(AND(ISNUMBER(AO409),AO409&lt;=(C409+T409)),BC409,0))),"ML",IF(AND(IF(AND(NOT(AND(AU409=1,AT409&lt;&gt;1)),ISNUMBER(AN409),AN409&lt;=(C409+T409)),BB409,0)&gt;0,IF(AND(NOT(AND(AU409=1,AT409&lt;&gt;1)),ISNUMBER(AN409),AN409&lt;=(C409+T409)),BB409,0)=MAX(IF(AND(NOT(AND(AU409=1,AT409&lt;&gt;1)),ISNUMBER(AK409),AK409&lt;=(C409+T409)),AY409,0),IF(AND(NOT(AND(AU409=1,AT409&lt;&gt;1)),ISNUMBER(AL409),AL409&lt;=(C409+T409)),AZ409,0),IF(AND(NOT(AND(AU409=1,AT409&lt;&gt;1)),ISNUMBER(AM409),AM409&lt;=(C409+T409)),BA409,0),IF(AND(NOT(AND(AU409=1,AT409&lt;&gt;1)),ISNUMBER(AN409),AN409&lt;=(C409+T409)),BB409,0),IF(AND(ISNUMBER(AO409),AO409&lt;=(C409+T409)),BC409,0))),"RLO","BD"))))))))</f>
        <v/>
      </c>
    </row>
    <row r="410">
      <c r="A410" s="26" t="n">
        <v>399</v>
      </c>
      <c r="B410" s="27">
        <f>A410*10/60</f>
        <v/>
      </c>
      <c r="C410" s="22">
        <f>X409</f>
        <v/>
      </c>
      <c r="D410" s="27">
        <f>D409+W409</f>
        <v/>
      </c>
      <c r="E410" s="26">
        <f>E409+IF(U409="SK",1,0)</f>
        <v/>
      </c>
      <c r="F410" s="26">
        <f>F409+IF(U409="LB",1,0)</f>
        <v/>
      </c>
      <c r="G410" s="26">
        <f>G409+IF(U409="ML",1,0)</f>
        <v/>
      </c>
      <c r="H410" s="26">
        <f>H409+IF(U409="RLO",1,0)</f>
        <v/>
      </c>
      <c r="I410" s="26">
        <f>I409+IF(U409="BD",1,0)</f>
        <v/>
      </c>
      <c r="J410" s="26">
        <f>MAX(J409,IF(U409="BiP",1,0))</f>
        <v/>
      </c>
      <c r="K410" s="26">
        <f>MAX(K409,IF(U409="PV",1,0))</f>
        <v/>
      </c>
      <c r="L410" s="26">
        <f>MAX(L409,IF(U409="OC",1,0))</f>
        <v/>
      </c>
      <c r="M410" s="26">
        <f>MAX(M409,IF(U409="MG",1,0))</f>
        <v/>
      </c>
      <c r="N410" s="26">
        <f>MAX(N409,IF(U409="transition",1,0))</f>
        <v/>
      </c>
      <c r="O410" s="28">
        <f>(Parameters!$B$9+(IF(E410=0,0,(Upgrades!$J$13+E410*Upgrades!$K$13)*POWER(Upgrades!$L$13,E410)))*(IF(Upgrades!$T$14="Stellar Kinematics",POWER(Upgrades!$U$14,F410),1)*IF(Upgrades!$T$15="Stellar Kinematics",POWER(Upgrades!$U$15,G410),1)*IF(Upgrades!$T$16="Stellar Kinematics",POWER(Upgrades!$U$16,H410),1)*IF(Upgrades!$T$17="Stellar Kinematics",POWER(Upgrades!$U$17,I410),1)*IF(Upgrades!$T$18="Stellar Kinematics",POWER(Upgrades!$U$18,J410),1)*IF(Upgrades!$T$19="Stellar Kinematics",POWER(Upgrades!$U$19,K410),1)*IF(Upgrades!$T$20="Stellar Kinematics",POWER(Upgrades!$U$20,L410),1)*IF(Upgrades!$T$21="Stellar Kinematics",POWER(Upgrades!$U$21,M410),1))+(IF(F410=0,0,(Upgrades!$J$14+F410*Upgrades!$K$14)*POWER(Upgrades!$L$14,F410)))*(IF(Upgrades!$T$13="Local Bubble",POWER(Upgrades!$U$13,E410),1)*IF(Upgrades!$T$15="Local Bubble",POWER(Upgrades!$U$15,G410),1)*IF(Upgrades!$T$16="Local Bubble",POWER(Upgrades!$U$16,H410),1)*IF(Upgrades!$T$17="Local Bubble",POWER(Upgrades!$U$17,I410),1)*IF(Upgrades!$T$18="Local Bubble",POWER(Upgrades!$U$18,J410),1)*IF(Upgrades!$T$19="Local Bubble",POWER(Upgrades!$U$19,K410),1)*IF(Upgrades!$T$20="Local Bubble",POWER(Upgrades!$U$20,L410),1)*IF(Upgrades!$T$21="Local Bubble",POWER(Upgrades!$U$21,M410),1))+(IF(G410=0,0,(Upgrades!$J$15+G410*Upgrades!$K$15)*POWER(Upgrades!$L$15,G410)))*(IF(Upgrades!$T$13="Microlensing",POWER(Upgrades!$U$13,E410),1)*IF(Upgrades!$T$14="Microlensing",POWER(Upgrades!$U$14,F410),1)*IF(Upgrades!$T$16="Microlensing",POWER(Upgrades!$U$16,H410),1)*IF(Upgrades!$T$17="Microlensing",POWER(Upgrades!$U$17,I410),1)*IF(Upgrades!$T$18="Microlensing",POWER(Upgrades!$U$18,J410),1)*IF(Upgrades!$T$19="Microlensing",POWER(Upgrades!$U$19,K410),1)*IF(Upgrades!$T$20="Microlensing",POWER(Upgrades!$U$20,L410),1)*IF(Upgrades!$T$21="Microlensing",POWER(Upgrades!$U$21,M410),1))+(IF(H410=0,0,(Upgrades!$J$16+H410*Upgrades!$K$16)*POWER(Upgrades!$L$16,H410)))*(IF(Upgrades!$T$13="Roche Lobe Overflow",POWER(Upgrades!$U$13,E410),1)*IF(Upgrades!$T$14="Roche Lobe Overflow",POWER(Upgrades!$U$14,F410),1)*IF(Upgrades!$T$15="Roche Lobe Overflow",POWER(Upgrades!$U$15,G410),1)*IF(Upgrades!$T$17="Roche Lobe Overflow",POWER(Upgrades!$U$17,I410),1)*IF(Upgrades!$T$18="Roche Lobe Overflow",POWER(Upgrades!$U$18,J410),1)*IF(Upgrades!$T$19="Roche Lobe Overflow",POWER(Upgrades!$U$19,K410),1)*IF(Upgrades!$T$20="Roche Lobe Overflow",POWER(Upgrades!$U$20,L410),1)*IF(Upgrades!$T$21="Roche Lobe Overflow",POWER(Upgrades!$U$21,M410),1))+(IF(I410=0,0,(Upgrades!$J$17+I410*Upgrades!$K$17)*POWER(Upgrades!$L$17,I410)))*(IF(Upgrades!$T$13="Brown Dwarf",POWER(Upgrades!$U$13,E410),1)*IF(Upgrades!$T$14="Brown Dwarf",POWER(Upgrades!$U$14,F410),1)*IF(Upgrades!$T$15="Brown Dwarf",POWER(Upgrades!$U$15,G410),1)*IF(Upgrades!$T$16="Brown Dwarf",POWER(Upgrades!$U$16,H410),1)*IF(Upgrades!$T$18="Brown Dwarf",POWER(Upgrades!$U$18,J410),1)*IF(Upgrades!$T$19="Brown Dwarf",POWER(Upgrades!$U$19,K410),1)*IF(Upgrades!$T$20="Brown Dwarf",POWER(Upgrades!$U$20,L410),1)*IF(Upgrades!$T$21="Brown Dwarf",POWER(Upgrades!$U$21,M410),1))+(IF(J410=0,0,(Upgrades!$J$18+J410*Upgrades!$K$18)*POWER(Upgrades!$L$18,J410)))*(IF(Upgrades!$T$13="Binary Partner",POWER(Upgrades!$U$13,E410),1)*IF(Upgrades!$T$14="Binary Partner",POWER(Upgrades!$U$14,F410),1)*IF(Upgrades!$T$15="Binary Partner",POWER(Upgrades!$U$15,G410),1)*IF(Upgrades!$T$16="Binary Partner",POWER(Upgrades!$U$16,H410),1)*IF(Upgrades!$T$17="Binary Partner",POWER(Upgrades!$U$17,I410),1)*IF(Upgrades!$T$19="Binary Partner",POWER(Upgrades!$U$19,K410),1)*IF(Upgrades!$T$20="Binary Partner",POWER(Upgrades!$U$20,L410),1)*IF(Upgrades!$T$21="Binary Partner",POWER(Upgrades!$U$21,M410),1))+(IF(K410=0,0,(Upgrades!$J$19+K410*Upgrades!$K$19)*POWER(Upgrades!$L$19,K410)))*(IF(Upgrades!$T$13="Peculiar Velocity",POWER(Upgrades!$U$13,E410),1)*IF(Upgrades!$T$14="Peculiar Velocity",POWER(Upgrades!$U$14,F410),1)*IF(Upgrades!$T$15="Peculiar Velocity",POWER(Upgrades!$U$15,G410),1)*IF(Upgrades!$T$16="Peculiar Velocity",POWER(Upgrades!$U$16,H410),1)*IF(Upgrades!$T$17="Peculiar Velocity",POWER(Upgrades!$U$17,I410),1)*IF(Upgrades!$T$18="Peculiar Velocity",POWER(Upgrades!$U$18,J410),1)*IF(Upgrades!$T$20="Peculiar Velocity",POWER(Upgrades!$U$20,L410),1)*IF(Upgrades!$T$21="Peculiar Velocity",POWER(Upgrades!$U$21,M410),1))+(IF(L410=0,0,(Upgrades!$J$20+L410*Upgrades!$K$20)*POWER(Upgrades!$L$20,L410)))*(IF(Upgrades!$T$13="Open Cluster",POWER(Upgrades!$U$13,E410),1)*IF(Upgrades!$T$14="Open Cluster",POWER(Upgrades!$U$14,F410),1)*IF(Upgrades!$T$15="Open Cluster",POWER(Upgrades!$U$15,G410),1)*IF(Upgrades!$T$16="Open Cluster",POWER(Upgrades!$U$16,H410),1)*IF(Upgrades!$T$17="Open Cluster",POWER(Upgrades!$U$17,I410),1)*IF(Upgrades!$T$18="Open Cluster",POWER(Upgrades!$U$18,J410),1)*IF(Upgrades!$T$19="Open Cluster",POWER(Upgrades!$U$19,K410),1)*IF(Upgrades!$T$21="Open Cluster",POWER(Upgrades!$U$21,M410),1))+(IF(M410=0,0,(Upgrades!$J$21+M410*Upgrades!$K$21)*POWER(Upgrades!$L$21,M410)))*(IF(Upgrades!$T$13="Moving Group",POWER(Upgrades!$U$13,E410),1)*IF(Upgrades!$T$14="Moving Group",POWER(Upgrades!$U$14,F410),1)*IF(Upgrades!$T$15="Moving Group",POWER(Upgrades!$U$15,G410),1)*IF(Upgrades!$T$16="Moving Group",POWER(Upgrades!$U$16,H410),1)*IF(Upgrades!$T$17="Moving Group",POWER(Upgrades!$U$17,I410),1)*IF(Upgrades!$T$18="Moving Group",POWER(Upgrades!$U$18,J410),1)*IF(Upgrades!$T$19="Moving Group",POWER(Upgrades!$U$19,K410),1)*IF(Upgrades!$T$20="Moving Group",POWER(Upgrades!$U$20,L410),1)))*POWER(Upgrades!$Q$13,E410)*POWER(Upgrades!$Q$14,F410)*POWER(Upgrades!$Q$15,G410)*POWER(Upgrades!$Q$16,H410)*POWER(Upgrades!$Q$17,I410)*POWER(Upgrades!$Q$18,J410)*POWER(Upgrades!$Q$19,K410)*POWER(Upgrades!$Q$20,L410)*POWER(Upgrades!$Q$21,M410)*$G$6+$D$6</f>
        <v/>
      </c>
      <c r="P410" s="28">
        <f>((IF(E410=0,0,(Upgrades!$G$13+E410*Upgrades!$H$13)*POWER(Upgrades!$I$13,E410)))*(IF(Upgrades!$T$14="Stellar Kinematics",POWER(Upgrades!$U$14,F410),1)*IF(Upgrades!$T$15="Stellar Kinematics",POWER(Upgrades!$U$15,G410),1)*IF(Upgrades!$T$16="Stellar Kinematics",POWER(Upgrades!$U$16,H410),1)*IF(Upgrades!$T$17="Stellar Kinematics",POWER(Upgrades!$U$17,I410),1)*IF(Upgrades!$T$18="Stellar Kinematics",POWER(Upgrades!$U$18,J410),1)*IF(Upgrades!$T$19="Stellar Kinematics",POWER(Upgrades!$U$19,K410),1)*IF(Upgrades!$T$20="Stellar Kinematics",POWER(Upgrades!$U$20,L410),1)*IF(Upgrades!$T$21="Stellar Kinematics",POWER(Upgrades!$U$21,M410),1))+(IF(F410=0,0,(Upgrades!$G$14+F410*Upgrades!$H$14)*POWER(Upgrades!$I$14,F410)))*(IF(Upgrades!$T$13="Local Bubble",POWER(Upgrades!$U$13,E410),1)*IF(Upgrades!$T$15="Local Bubble",POWER(Upgrades!$U$15,G410),1)*IF(Upgrades!$T$16="Local Bubble",POWER(Upgrades!$U$16,H410),1)*IF(Upgrades!$T$17="Local Bubble",POWER(Upgrades!$U$17,I410),1)*IF(Upgrades!$T$18="Local Bubble",POWER(Upgrades!$U$18,J410),1)*IF(Upgrades!$T$19="Local Bubble",POWER(Upgrades!$U$19,K410),1)*IF(Upgrades!$T$20="Local Bubble",POWER(Upgrades!$U$20,L410),1)*IF(Upgrades!$T$21="Local Bubble",POWER(Upgrades!$U$21,M410),1))+(IF(G410=0,0,(Upgrades!$G$15+G410*Upgrades!$H$15)*POWER(Upgrades!$I$15,G410)))*(IF(Upgrades!$T$13="Microlensing",POWER(Upgrades!$U$13,E410),1)*IF(Upgrades!$T$14="Microlensing",POWER(Upgrades!$U$14,F410),1)*IF(Upgrades!$T$16="Microlensing",POWER(Upgrades!$U$16,H410),1)*IF(Upgrades!$T$17="Microlensing",POWER(Upgrades!$U$17,I410),1)*IF(Upgrades!$T$18="Microlensing",POWER(Upgrades!$U$18,J410),1)*IF(Upgrades!$T$19="Microlensing",POWER(Upgrades!$U$19,K410),1)*IF(Upgrades!$T$20="Microlensing",POWER(Upgrades!$U$20,L410),1)*IF(Upgrades!$T$21="Microlensing",POWER(Upgrades!$U$21,M410),1))+(IF(H410=0,0,(Upgrades!$G$16+H410*Upgrades!$H$16)*POWER(Upgrades!$I$16,H410)))*(IF(Upgrades!$T$13="Roche Lobe Overflow",POWER(Upgrades!$U$13,E410),1)*IF(Upgrades!$T$14="Roche Lobe Overflow",POWER(Upgrades!$U$14,F410),1)*IF(Upgrades!$T$15="Roche Lobe Overflow",POWER(Upgrades!$U$15,G410),1)*IF(Upgrades!$T$17="Roche Lobe Overflow",POWER(Upgrades!$U$17,I410),1)*IF(Upgrades!$T$18="Roche Lobe Overflow",POWER(Upgrades!$U$18,J410),1)*IF(Upgrades!$T$19="Roche Lobe Overflow",POWER(Upgrades!$U$19,K410),1)*IF(Upgrades!$T$20="Roche Lobe Overflow",POWER(Upgrades!$U$20,L410),1)*IF(Upgrades!$T$21="Roche Lobe Overflow",POWER(Upgrades!$U$21,M410),1))+(IF(I410=0,0,(Upgrades!$G$17+I410*Upgrades!$H$17)*POWER(Upgrades!$I$17,I410)))*(IF(Upgrades!$T$13="Brown Dwarf",POWER(Upgrades!$U$13,E410),1)*IF(Upgrades!$T$14="Brown Dwarf",POWER(Upgrades!$U$14,F410),1)*IF(Upgrades!$T$15="Brown Dwarf",POWER(Upgrades!$U$15,G410),1)*IF(Upgrades!$T$16="Brown Dwarf",POWER(Upgrades!$U$16,H410),1)*IF(Upgrades!$T$18="Brown Dwarf",POWER(Upgrades!$U$18,J410),1)*IF(Upgrades!$T$19="Brown Dwarf",POWER(Upgrades!$U$19,K410),1)*IF(Upgrades!$T$20="Brown Dwarf",POWER(Upgrades!$U$20,L410),1)*IF(Upgrades!$T$21="Brown Dwarf",POWER(Upgrades!$U$21,M410),1))+(IF(J410=0,0,(Upgrades!$G$18+J410*Upgrades!$H$18)*POWER(Upgrades!$I$18,J410)))*(IF(Upgrades!$T$13="Binary Partner",POWER(Upgrades!$U$13,E410),1)*IF(Upgrades!$T$14="Binary Partner",POWER(Upgrades!$U$14,F410),1)*IF(Upgrades!$T$15="Binary Partner",POWER(Upgrades!$U$15,G410),1)*IF(Upgrades!$T$16="Binary Partner",POWER(Upgrades!$U$16,H410),1)*IF(Upgrades!$T$17="Binary Partner",POWER(Upgrades!$U$17,I410),1)*IF(Upgrades!$T$19="Binary Partner",POWER(Upgrades!$U$19,K410),1)*IF(Upgrades!$T$20="Binary Partner",POWER(Upgrades!$U$20,L410),1)*IF(Upgrades!$T$21="Binary Partner",POWER(Upgrades!$U$21,M410),1))+(IF(K410=0,0,(Upgrades!$G$19+K410*Upgrades!$H$19)*POWER(Upgrades!$I$19,K410)))*(IF(Upgrades!$T$13="Peculiar Velocity",POWER(Upgrades!$U$13,E410),1)*IF(Upgrades!$T$14="Peculiar Velocity",POWER(Upgrades!$U$14,F410),1)*IF(Upgrades!$T$15="Peculiar Velocity",POWER(Upgrades!$U$15,G410),1)*IF(Upgrades!$T$16="Peculiar Velocity",POWER(Upgrades!$U$16,H410),1)*IF(Upgrades!$T$17="Peculiar Velocity",POWER(Upgrades!$U$17,I410),1)*IF(Upgrades!$T$18="Peculiar Velocity",POWER(Upgrades!$U$18,J410),1)*IF(Upgrades!$T$20="Peculiar Velocity",POWER(Upgrades!$U$20,L410),1)*IF(Upgrades!$T$21="Peculiar Velocity",POWER(Upgrades!$U$21,M410),1))+(IF(L410=0,0,(Upgrades!$G$20+L410*Upgrades!$H$20)*POWER(Upgrades!$I$20,L410)))*(IF(Upgrades!$T$13="Open Cluster",POWER(Upgrades!$U$13,E410),1)*IF(Upgrades!$T$14="Open Cluster",POWER(Upgrades!$U$14,F410),1)*IF(Upgrades!$T$15="Open Cluster",POWER(Upgrades!$U$15,G410),1)*IF(Upgrades!$T$16="Open Cluster",POWER(Upgrades!$U$16,H410),1)*IF(Upgrades!$T$17="Open Cluster",POWER(Upgrades!$U$17,I410),1)*IF(Upgrades!$T$18="Open Cluster",POWER(Upgrades!$U$18,J410),1)*IF(Upgrades!$T$19="Open Cluster",POWER(Upgrades!$U$19,K410),1)*IF(Upgrades!$T$21="Open Cluster",POWER(Upgrades!$U$21,M410),1))+(IF(M410=0,0,(Upgrades!$G$21+M410*Upgrades!$H$21)*POWER(Upgrades!$I$21,M410)))*(IF(Upgrades!$T$13="Moving Group",POWER(Upgrades!$U$13,E410),1)*IF(Upgrades!$T$14="Moving Group",POWER(Upgrades!$U$14,F410),1)*IF(Upgrades!$T$15="Moving Group",POWER(Upgrades!$U$15,G410),1)*IF(Upgrades!$T$16="Moving Group",POWER(Upgrades!$U$16,H410),1)*IF(Upgrades!$T$17="Moving Group",POWER(Upgrades!$U$17,I410),1)*IF(Upgrades!$T$18="Moving Group",POWER(Upgrades!$U$18,J410),1)*IF(Upgrades!$T$19="Moving Group",POWER(Upgrades!$U$19,K410),1)*IF(Upgrades!$T$20="Moving Group",POWER(Upgrades!$U$20,L410),1)))*POWER(Upgrades!$P$13,E410)*POWER(Upgrades!$P$14,F410)*POWER(Upgrades!$P$15,G410)*POWER(Upgrades!$P$16,H410)*POWER(Upgrades!$P$17,I410)*POWER(Upgrades!$P$18,J410)*POWER(Upgrades!$P$19,K410)*POWER(Upgrades!$P$20,L410)*POWER(Upgrades!$P$21,M410)*$F$6+$C$6</f>
        <v/>
      </c>
      <c r="Q410" s="28">
        <f>((IF(E410=0,0,(Upgrades!$M$13+E410*Upgrades!$N$13)*POWER(Upgrades!$O$13,E410)))*(IF(Upgrades!$T$14="Stellar Kinematics",POWER(Upgrades!$U$14,F410),1)*IF(Upgrades!$T$15="Stellar Kinematics",POWER(Upgrades!$U$15,G410),1)*IF(Upgrades!$T$16="Stellar Kinematics",POWER(Upgrades!$U$16,H410),1)*IF(Upgrades!$T$17="Stellar Kinematics",POWER(Upgrades!$U$17,I410),1)*IF(Upgrades!$T$18="Stellar Kinematics",POWER(Upgrades!$U$18,J410),1)*IF(Upgrades!$T$19="Stellar Kinematics",POWER(Upgrades!$U$19,K410),1)*IF(Upgrades!$T$20="Stellar Kinematics",POWER(Upgrades!$U$20,L410),1)*IF(Upgrades!$T$21="Stellar Kinematics",POWER(Upgrades!$U$21,M410),1))+(IF(F410=0,0,(Upgrades!$M$14+F410*Upgrades!$N$14)*POWER(Upgrades!$O$14,F410)))*(IF(Upgrades!$T$13="Local Bubble",POWER(Upgrades!$U$13,E410),1)*IF(Upgrades!$T$15="Local Bubble",POWER(Upgrades!$U$15,G410),1)*IF(Upgrades!$T$16="Local Bubble",POWER(Upgrades!$U$16,H410),1)*IF(Upgrades!$T$17="Local Bubble",POWER(Upgrades!$U$17,I410),1)*IF(Upgrades!$T$18="Local Bubble",POWER(Upgrades!$U$18,J410),1)*IF(Upgrades!$T$19="Local Bubble",POWER(Upgrades!$U$19,K410),1)*IF(Upgrades!$T$20="Local Bubble",POWER(Upgrades!$U$20,L410),1)*IF(Upgrades!$T$21="Local Bubble",POWER(Upgrades!$U$21,M410),1))+(IF(G410=0,0,(Upgrades!$M$15+G410*Upgrades!$N$15)*POWER(Upgrades!$O$15,G410)))*(IF(Upgrades!$T$13="Microlensing",POWER(Upgrades!$U$13,E410),1)*IF(Upgrades!$T$14="Microlensing",POWER(Upgrades!$U$14,F410),1)*IF(Upgrades!$T$16="Microlensing",POWER(Upgrades!$U$16,H410),1)*IF(Upgrades!$T$17="Microlensing",POWER(Upgrades!$U$17,I410),1)*IF(Upgrades!$T$18="Microlensing",POWER(Upgrades!$U$18,J410),1)*IF(Upgrades!$T$19="Microlensing",POWER(Upgrades!$U$19,K410),1)*IF(Upgrades!$T$20="Microlensing",POWER(Upgrades!$U$20,L410),1)*IF(Upgrades!$T$21="Microlensing",POWER(Upgrades!$U$21,M410),1))+(IF(H410=0,0,(Upgrades!$M$16+H410*Upgrades!$N$16)*POWER(Upgrades!$O$16,H410)))*(IF(Upgrades!$T$13="Roche Lobe Overflow",POWER(Upgrades!$U$13,E410),1)*IF(Upgrades!$T$14="Roche Lobe Overflow",POWER(Upgrades!$U$14,F410),1)*IF(Upgrades!$T$15="Roche Lobe Overflow",POWER(Upgrades!$U$15,G410),1)*IF(Upgrades!$T$17="Roche Lobe Overflow",POWER(Upgrades!$U$17,I410),1)*IF(Upgrades!$T$18="Roche Lobe Overflow",POWER(Upgrades!$U$18,J410),1)*IF(Upgrades!$T$19="Roche Lobe Overflow",POWER(Upgrades!$U$19,K410),1)*IF(Upgrades!$T$20="Roche Lobe Overflow",POWER(Upgrades!$U$20,L410),1)*IF(Upgrades!$T$21="Roche Lobe Overflow",POWER(Upgrades!$U$21,M410),1))+(IF(I410=0,0,(Upgrades!$M$17+I410*Upgrades!$N$17)*POWER(Upgrades!$O$17,I410)))*(IF(Upgrades!$T$13="Brown Dwarf",POWER(Upgrades!$U$13,E410),1)*IF(Upgrades!$T$14="Brown Dwarf",POWER(Upgrades!$U$14,F410),1)*IF(Upgrades!$T$15="Brown Dwarf",POWER(Upgrades!$U$15,G410),1)*IF(Upgrades!$T$16="Brown Dwarf",POWER(Upgrades!$U$16,H410),1)*IF(Upgrades!$T$18="Brown Dwarf",POWER(Upgrades!$U$18,J410),1)*IF(Upgrades!$T$19="Brown Dwarf",POWER(Upgrades!$U$19,K410),1)*IF(Upgrades!$T$20="Brown Dwarf",POWER(Upgrades!$U$20,L410),1)*IF(Upgrades!$T$21="Brown Dwarf",POWER(Upgrades!$U$21,M410),1))+(IF(J410=0,0,(Upgrades!$M$18+J410*Upgrades!$N$18)*POWER(Upgrades!$O$18,J410)))*(IF(Upgrades!$T$13="Binary Partner",POWER(Upgrades!$U$13,E410),1)*IF(Upgrades!$T$14="Binary Partner",POWER(Upgrades!$U$14,F410),1)*IF(Upgrades!$T$15="Binary Partner",POWER(Upgrades!$U$15,G410),1)*IF(Upgrades!$T$16="Binary Partner",POWER(Upgrades!$U$16,H410),1)*IF(Upgrades!$T$17="Binary Partner",POWER(Upgrades!$U$17,I410),1)*IF(Upgrades!$T$19="Binary Partner",POWER(Upgrades!$U$19,K410),1)*IF(Upgrades!$T$20="Binary Partner",POWER(Upgrades!$U$20,L410),1)*IF(Upgrades!$T$21="Binary Partner",POWER(Upgrades!$U$21,M410),1))+(IF(K410=0,0,(Upgrades!$M$19+K410*Upgrades!$N$19)*POWER(Upgrades!$O$19,K410)))*(IF(Upgrades!$T$13="Peculiar Velocity",POWER(Upgrades!$U$13,E410),1)*IF(Upgrades!$T$14="Peculiar Velocity",POWER(Upgrades!$U$14,F410),1)*IF(Upgrades!$T$15="Peculiar Velocity",POWER(Upgrades!$U$15,G410),1)*IF(Upgrades!$T$16="Peculiar Velocity",POWER(Upgrades!$U$16,H410),1)*IF(Upgrades!$T$17="Peculiar Velocity",POWER(Upgrades!$U$17,I410),1)*IF(Upgrades!$T$18="Peculiar Velocity",POWER(Upgrades!$U$18,J410),1)*IF(Upgrades!$T$20="Peculiar Velocity",POWER(Upgrades!$U$20,L410),1)*IF(Upgrades!$T$21="Peculiar Velocity",POWER(Upgrades!$U$21,M410),1))+(IF(L410=0,0,(Upgrades!$M$20+L410*Upgrades!$N$20)*POWER(Upgrades!$O$20,L410)))*(IF(Upgrades!$T$13="Open Cluster",POWER(Upgrades!$U$13,E410),1)*IF(Upgrades!$T$14="Open Cluster",POWER(Upgrades!$U$14,F410),1)*IF(Upgrades!$T$15="Open Cluster",POWER(Upgrades!$U$15,G410),1)*IF(Upgrades!$T$16="Open Cluster",POWER(Upgrades!$U$16,H410),1)*IF(Upgrades!$T$17="Open Cluster",POWER(Upgrades!$U$17,I410),1)*IF(Upgrades!$T$18="Open Cluster",POWER(Upgrades!$U$18,J410),1)*IF(Upgrades!$T$19="Open Cluster",POWER(Upgrades!$U$19,K410),1)*IF(Upgrades!$T$21="Open Cluster",POWER(Upgrades!$U$21,M410),1))+(IF(M410=0,0,(Upgrades!$M$21+M410*Upgrades!$N$21)*POWER(Upgrades!$O$21,M410)))*(IF(Upgrades!$T$13="Moving Group",POWER(Upgrades!$U$13,E410),1)*IF(Upgrades!$T$14="Moving Group",POWER(Upgrades!$U$14,F410),1)*IF(Upgrades!$T$15="Moving Group",POWER(Upgrades!$U$15,G410),1)*IF(Upgrades!$T$16="Moving Group",POWER(Upgrades!$U$16,H410),1)*IF(Upgrades!$T$17="Moving Group",POWER(Upgrades!$U$17,I410),1)*IF(Upgrades!$T$18="Moving Group",POWER(Upgrades!$U$18,J410),1)*IF(Upgrades!$T$19="Moving Group",POWER(Upgrades!$U$19,K410),1)*IF(Upgrades!$T$20="Moving Group",POWER(Upgrades!$U$20,L410),1)))*POWER(Upgrades!$R$13,E410)*POWER(Upgrades!$R$14,F410)*POWER(Upgrades!$R$15,G410)*POWER(Upgrades!$R$16,H410)*POWER(Upgrades!$R$17,I410)*POWER(Upgrades!$R$18,J410)*POWER(Upgrades!$R$19,K410)*POWER(Upgrades!$R$20,L410)*POWER(Upgrades!$R$21,M410)*$H$6+$E$6</f>
        <v/>
      </c>
      <c r="R410" s="27">
        <f>IF(N410=1,0,O410*Parameters!$B$10/60*Parameters!$B$11*10)</f>
        <v/>
      </c>
      <c r="S410" s="27">
        <f>IF(N410=1,0,Q410*O410*10)</f>
        <v/>
      </c>
      <c r="T410" s="27">
        <f>IF(N410=1,0,R410+S410+P410*10)</f>
        <v/>
      </c>
      <c r="U410" s="33">
        <f>BE410</f>
        <v/>
      </c>
      <c r="V410" s="22">
        <f>IF(U410="",0,IF(U410="transition",0,IF(U410="SK",AK410,IF(U410="LB",AL410,IF(U410="ML",AM410,IF(U410="RLO",AN410,IF(U410="BD",AO410,IF(U410="BiP",AP410,IF(U410="PV",AQ410,IF(U410="OC",AR410,IF(U410="MG",AS410,0))))))))))</f>
        <v/>
      </c>
      <c r="W410" s="27">
        <f>IF(U410="BiP",Upgrades!$F$18,IF(U410="PV",Upgrades!$F$19,IF(U410="OC",Upgrades!$F$20,IF(U410="MG",Upgrades!$F$21,IF(U410="transition",-Parameters!$B$18*Parameters!$B$19,0)))))</f>
        <v/>
      </c>
      <c r="X410" s="22">
        <f>C410+T410-V410</f>
        <v/>
      </c>
      <c r="Y410" s="30">
        <f>O410*Parameters!$B$10/60*Parameters!$B$11+Q410*O410+P410</f>
        <v/>
      </c>
      <c r="Z410" s="34">
        <f>IF(U410="transition","→ Tier 3 (Galactic Arm)",IF(U410="MG","Moving Group — pocket drifts together",IF(U410="OC","Open Cluster acquired",IF(U410="PV","Peculiar Velocity — passive multiplier active",IF(U410="BiP","Binary Partner — pair bond formed",IF(AND(AU410=1,N410=0,AT410&lt;&gt;1),"Cohesion ready (waiting on completionists)","")))))) </f>
        <v/>
      </c>
      <c r="AA410" s="27">
        <f>(IF(E410=0,0,(Upgrades!$G$13+E410*Upgrades!$H$13)*POWER(Upgrades!$I$13,E410)))*(IF(Upgrades!$T$14="Stellar Kinematics",POWER(Upgrades!$U$14,F410),1)*IF(Upgrades!$T$15="Stellar Kinematics",POWER(Upgrades!$U$15,G410),1)*IF(Upgrades!$T$16="Stellar Kinematics",POWER(Upgrades!$U$16,H410),1)*IF(Upgrades!$T$17="Stellar Kinematics",POWER(Upgrades!$U$17,I410),1)*IF(Upgrades!$T$18="Stellar Kinematics",POWER(Upgrades!$U$18,J410),1)*IF(Upgrades!$T$19="Stellar Kinematics",POWER(Upgrades!$U$19,K410),1)*IF(Upgrades!$T$20="Stellar Kinematics",POWER(Upgrades!$U$20,L410),1)*IF(Upgrades!$T$21="Stellar Kinematics",POWER(Upgrades!$U$21,M410),1))*POWER(Upgrades!$P$13,E410)*POWER(Upgrades!$P$14,F410)*POWER(Upgrades!$P$15,G410)*POWER(Upgrades!$P$16,H410)*POWER(Upgrades!$P$17,I410)*POWER(Upgrades!$P$18,J410)*POWER(Upgrades!$P$19,K410)*POWER(Upgrades!$P$20,L410)*POWER(Upgrades!$P$21,M410)*$F$6*60</f>
        <v/>
      </c>
      <c r="AB410" s="27">
        <f>(IF(F410=0,0,(Upgrades!$G$14+F410*Upgrades!$H$14)*POWER(Upgrades!$I$14,F410)))*(IF(Upgrades!$T$13="Local Bubble",POWER(Upgrades!$U$13,E410),1)*IF(Upgrades!$T$15="Local Bubble",POWER(Upgrades!$U$15,G410),1)*IF(Upgrades!$T$16="Local Bubble",POWER(Upgrades!$U$16,H410),1)*IF(Upgrades!$T$17="Local Bubble",POWER(Upgrades!$U$17,I410),1)*IF(Upgrades!$T$18="Local Bubble",POWER(Upgrades!$U$18,J410),1)*IF(Upgrades!$T$19="Local Bubble",POWER(Upgrades!$U$19,K410),1)*IF(Upgrades!$T$20="Local Bubble",POWER(Upgrades!$U$20,L410),1)*IF(Upgrades!$T$21="Local Bubble",POWER(Upgrades!$U$21,M410),1))*POWER(Upgrades!$P$13,E410)*POWER(Upgrades!$P$14,F410)*POWER(Upgrades!$P$15,G410)*POWER(Upgrades!$P$16,H410)*POWER(Upgrades!$P$17,I410)*POWER(Upgrades!$P$18,J410)*POWER(Upgrades!$P$19,K410)*POWER(Upgrades!$P$20,L410)*POWER(Upgrades!$P$21,M410)*$F$6*60</f>
        <v/>
      </c>
      <c r="AC410" s="27">
        <f>(IF(G410=0,0,(Upgrades!$J$15+G410*Upgrades!$K$15)*POWER(Upgrades!$L$15,G410)))*(IF(Upgrades!$T$13="Microlensing",POWER(Upgrades!$U$13,E410),1)*IF(Upgrades!$T$14="Microlensing",POWER(Upgrades!$U$14,F410),1)*IF(Upgrades!$T$16="Microlensing",POWER(Upgrades!$U$16,H410),1)*IF(Upgrades!$T$17="Microlensing",POWER(Upgrades!$U$17,I410),1)*IF(Upgrades!$T$18="Microlensing",POWER(Upgrades!$U$18,J410),1)*IF(Upgrades!$T$19="Microlensing",POWER(Upgrades!$U$19,K410),1)*IF(Upgrades!$T$20="Microlensing",POWER(Upgrades!$U$20,L410),1)*IF(Upgrades!$T$21="Microlensing",POWER(Upgrades!$U$21,M410),1))*POWER(Upgrades!$Q$13,E410)*POWER(Upgrades!$Q$14,F410)*POWER(Upgrades!$Q$15,G410)*POWER(Upgrades!$Q$16,H410)*POWER(Upgrades!$Q$17,I410)*POWER(Upgrades!$Q$18,J410)*POWER(Upgrades!$Q$19,K410)*POWER(Upgrades!$Q$20,L410)*POWER(Upgrades!$Q$21,M410)*$G$6*(Parameters!$B$10*Parameters!$B$11+Q410*60)</f>
        <v/>
      </c>
      <c r="AD410" s="27">
        <f>(IF(H410=0,0,(Upgrades!$M$16+H410*Upgrades!$N$16)*POWER(Upgrades!$O$16,H410)))*(IF(Upgrades!$T$13="Roche Lobe Overflow",POWER(Upgrades!$U$13,E410),1)*IF(Upgrades!$T$14="Roche Lobe Overflow",POWER(Upgrades!$U$14,F410),1)*IF(Upgrades!$T$15="Roche Lobe Overflow",POWER(Upgrades!$U$15,G410),1)*IF(Upgrades!$T$17="Roche Lobe Overflow",POWER(Upgrades!$U$17,I410),1)*IF(Upgrades!$T$18="Roche Lobe Overflow",POWER(Upgrades!$U$18,J410),1)*IF(Upgrades!$T$19="Roche Lobe Overflow",POWER(Upgrades!$U$19,K410),1)*IF(Upgrades!$T$20="Roche Lobe Overflow",POWER(Upgrades!$U$20,L410),1)*IF(Upgrades!$T$21="Roche Lobe Overflow",POWER(Upgrades!$U$21,M410),1))*POWER(Upgrades!$R$13,E410)*POWER(Upgrades!$R$14,F410)*POWER(Upgrades!$R$15,G410)*POWER(Upgrades!$R$16,H410)*POWER(Upgrades!$R$17,I410)*POWER(Upgrades!$R$18,J410)*POWER(Upgrades!$R$19,K410)*POWER(Upgrades!$R$20,L410)*POWER(Upgrades!$R$21,M410)*$H$6*O410*60</f>
        <v/>
      </c>
      <c r="AE410" s="27">
        <f>(IF(I410=0,0,(Upgrades!$G$17+I410*Upgrades!$H$17)*POWER(Upgrades!$I$17,I410)))*(IF(Upgrades!$T$13="Brown Dwarf",POWER(Upgrades!$U$13,E410),1)*IF(Upgrades!$T$14="Brown Dwarf",POWER(Upgrades!$U$14,F410),1)*IF(Upgrades!$T$15="Brown Dwarf",POWER(Upgrades!$U$15,G410),1)*IF(Upgrades!$T$16="Brown Dwarf",POWER(Upgrades!$U$16,H410),1)*IF(Upgrades!$T$18="Brown Dwarf",POWER(Upgrades!$U$18,J410),1)*IF(Upgrades!$T$19="Brown Dwarf",POWER(Upgrades!$U$19,K410),1)*IF(Upgrades!$T$20="Brown Dwarf",POWER(Upgrades!$U$20,L410),1)*IF(Upgrades!$T$21="Brown Dwarf",POWER(Upgrades!$U$21,M410),1))*POWER(Upgrades!$P$13,E410)*POWER(Upgrades!$P$14,F410)*POWER(Upgrades!$P$15,G410)*POWER(Upgrades!$P$16,H410)*POWER(Upgrades!$P$17,I410)*POWER(Upgrades!$P$18,J410)*POWER(Upgrades!$P$19,K410)*POWER(Upgrades!$P$20,L410)*POWER(Upgrades!$P$21,M410)*$F$6*60</f>
        <v/>
      </c>
      <c r="AF410" s="27" t="n">
        <v>0</v>
      </c>
      <c r="AG410" s="27" t="n">
        <v>0</v>
      </c>
      <c r="AH410" s="27" t="n">
        <v>0</v>
      </c>
      <c r="AI410" s="27">
        <f>(IF(M410=0,0,(Upgrades!$G$21+M410*Upgrades!$H$21)*POWER(Upgrades!$I$21,M410)))*(IF(Upgrades!$T$13="Moving Group",POWER(Upgrades!$U$13,E410),1)*IF(Upgrades!$T$14="Moving Group",POWER(Upgrades!$U$14,F410),1)*IF(Upgrades!$T$15="Moving Group",POWER(Upgrades!$U$15,G410),1)*IF(Upgrades!$T$16="Moving Group",POWER(Upgrades!$U$16,H410),1)*IF(Upgrades!$T$17="Moving Group",POWER(Upgrades!$U$17,I410),1)*IF(Upgrades!$T$18="Moving Group",POWER(Upgrades!$U$18,J410),1)*IF(Upgrades!$T$19="Moving Group",POWER(Upgrades!$U$19,K410),1)*IF(Upgrades!$T$20="Moving Group",POWER(Upgrades!$U$20,L410),1))*POWER(Upgrades!$P$13,E410)*POWER(Upgrades!$P$14,F410)*POWER(Upgrades!$P$15,G410)*POWER(Upgrades!$P$16,H410)*POWER(Upgrades!$P$17,I410)*POWER(Upgrades!$P$18,J410)*POWER(Upgrades!$P$19,K410)*POWER(Upgrades!$P$20,L410)*POWER(Upgrades!$P$21,M410)*$F$6*60</f>
        <v/>
      </c>
      <c r="AJ410" s="27">
        <f>$C$6*60</f>
        <v/>
      </c>
      <c r="AK410" s="22">
        <f>IF(E410&gt;=Upgrades!$E$13,"",Upgrades!$C$13*POWER(Upgrades!$D$13,E410))</f>
        <v/>
      </c>
      <c r="AL410" s="22">
        <f>IF(F410&gt;=Upgrades!$E$14,"",Upgrades!$C$14*POWER(Upgrades!$D$14,F410))</f>
        <v/>
      </c>
      <c r="AM410" s="22">
        <f>IF(G410&gt;=Upgrades!$E$15,"",Upgrades!$C$15*POWER(Upgrades!$D$15,G410))</f>
        <v/>
      </c>
      <c r="AN410" s="22">
        <f>IF(H410&gt;=Upgrades!$E$16,"",Upgrades!$C$16*POWER(Upgrades!$D$16,H410))</f>
        <v/>
      </c>
      <c r="AO410" s="22">
        <f>IF(I410&gt;=Upgrades!$E$17,"",Upgrades!$C$17*POWER(Upgrades!$D$17,I410))</f>
        <v/>
      </c>
      <c r="AP410" s="22">
        <f>IF(J410&gt;=Upgrades!$E$18,"",Upgrades!$C$18*POWER(Upgrades!$D$18,J410))</f>
        <v/>
      </c>
      <c r="AQ410" s="22">
        <f>IF(K410&gt;=Upgrades!$E$19,"",Upgrades!$C$19*POWER(Upgrades!$D$19,K410))</f>
        <v/>
      </c>
      <c r="AR410" s="22">
        <f>IF(L410&gt;=Upgrades!$E$20,"",Upgrades!$C$20*POWER(Upgrades!$D$20,L410))</f>
        <v/>
      </c>
      <c r="AS410" s="22">
        <f>IF(M410&gt;=Upgrades!$E$21,"",Upgrades!$C$21*POWER(Upgrades!$D$21,M410))</f>
        <v/>
      </c>
      <c r="AT410" s="26">
        <f>IF(AND(D410&gt;=Parameters!$B$18*Parameters!$B$19,(I410&gt;=Upgrades!$E$17)*(M410&gt;=Upgrades!$E$21)=1,N410=0),1,"")</f>
        <v/>
      </c>
      <c r="AU410" s="26">
        <f>IF(AND(D410&gt;=Parameters!$B$18*Parameters!$B$19,N410=0),1,"")</f>
        <v/>
      </c>
      <c r="AV410" s="22">
        <f>MIN(IF(ISNUMBER(AP410),AP410,9E15),IF(ISNUMBER(AQ410),AQ410,9E15),IF(ISNUMBER(AR410),AR410,9E15),IF(ISNUMBER(AS410),AS410,9E15))</f>
        <v/>
      </c>
      <c r="AW410" s="22">
        <f>MIN(IF(ISNUMBER(AK410),AK410,9E15),IF(ISNUMBER(AL410),AL410,9E15),IF(ISNUMBER(AM410),AM410,9E15),IF(ISNUMBER(AN410),AN410,9E15),IF(ISNUMBER(AO410),AO410,9E15))</f>
        <v/>
      </c>
      <c r="AX410" s="29">
        <f>IF(BD410&gt;Parameters!$B$21*(MAX(IF(AND(NOT(AND(AU410=1,AT410&lt;&gt;1)),ISNUMBER(AK410),AK410&lt;=(C410+T410)),AY410,0),IF(AND(NOT(AND(AU410=1,AT410&lt;&gt;1)),ISNUMBER(AL410),AL410&lt;=(C410+T410)),AZ410,0),IF(AND(NOT(AND(AU410=1,AT410&lt;&gt;1)),ISNUMBER(AM410),AM410&lt;=(C410+T410)),BA410,0),IF(AND(NOT(AND(AU410=1,AT410&lt;&gt;1)),ISNUMBER(AN410),AN410&lt;=(C410+T410)),BB410,0),IF(AND(ISNUMBER(AO410),AO410&lt;=(C410+T410)),BC410,0))),TRUE,FALSE)</f>
        <v/>
      </c>
      <c r="AY410" s="32">
        <f>IFERROR(Upgrades!$H$13*(POWER(Upgrades!$P$13,E410)*POWER(Upgrades!$P$14,F410)*POWER(Upgrades!$P$15,G410)*POWER(Upgrades!$P$16,H410)*POWER(Upgrades!$P$17,I410)*POWER(Upgrades!$P$18,J410)*POWER(Upgrades!$P$19,K410)*POWER(Upgrades!$P$20,L410)*POWER(Upgrades!$P$21,M410))*(IF(Upgrades!$T$14="Stellar Kinematics",POWER(Upgrades!$U$14,F410),1)*IF(Upgrades!$T$15="Stellar Kinematics",POWER(Upgrades!$U$15,G410),1)*IF(Upgrades!$T$16="Stellar Kinematics",POWER(Upgrades!$U$16,H410),1)*IF(Upgrades!$T$17="Stellar Kinematics",POWER(Upgrades!$U$17,I410),1)*IF(Upgrades!$T$18="Stellar Kinematics",POWER(Upgrades!$U$18,J410),1)*IF(Upgrades!$T$19="Stellar Kinematics",POWER(Upgrades!$U$19,K410),1)*IF(Upgrades!$T$20="Stellar Kinematics",POWER(Upgrades!$U$20,L410),1)*IF(Upgrades!$T$21="Stellar Kinematics",POWER(Upgrades!$U$21,M410),1))*$F$6/AK410,0)</f>
        <v/>
      </c>
      <c r="AZ410" s="32">
        <f>IFERROR(Upgrades!$H$14*(POWER(Upgrades!$P$13,E410)*POWER(Upgrades!$P$14,F410)*POWER(Upgrades!$P$15,G410)*POWER(Upgrades!$P$16,H410)*POWER(Upgrades!$P$17,I410)*POWER(Upgrades!$P$18,J410)*POWER(Upgrades!$P$19,K410)*POWER(Upgrades!$P$20,L410)*POWER(Upgrades!$P$21,M410))*(IF(Upgrades!$T$13="Local Bubble",POWER(Upgrades!$U$13,E410),1)*IF(Upgrades!$T$15="Local Bubble",POWER(Upgrades!$U$15,G410),1)*IF(Upgrades!$T$16="Local Bubble",POWER(Upgrades!$U$16,H410),1)*IF(Upgrades!$T$17="Local Bubble",POWER(Upgrades!$U$17,I410),1)*IF(Upgrades!$T$18="Local Bubble",POWER(Upgrades!$U$18,J410),1)*IF(Upgrades!$T$19="Local Bubble",POWER(Upgrades!$U$19,K410),1)*IF(Upgrades!$T$20="Local Bubble",POWER(Upgrades!$U$20,L410),1)*IF(Upgrades!$T$21="Local Bubble",POWER(Upgrades!$U$21,M410),1))*$F$6/AL410,0)</f>
        <v/>
      </c>
      <c r="BA410" s="32">
        <f>IFERROR(Upgrades!$K$15*(POWER(Upgrades!$Q$13,E410)*POWER(Upgrades!$Q$14,F410)*POWER(Upgrades!$Q$15,G410)*POWER(Upgrades!$Q$16,H410)*POWER(Upgrades!$Q$17,I410)*POWER(Upgrades!$Q$18,J410)*POWER(Upgrades!$Q$19,K410)*POWER(Upgrades!$Q$20,L410)*POWER(Upgrades!$Q$21,M410))*(IF(Upgrades!$T$13="Microlensing",POWER(Upgrades!$U$13,E410),1)*IF(Upgrades!$T$14="Microlensing",POWER(Upgrades!$U$14,F410),1)*IF(Upgrades!$T$16="Microlensing",POWER(Upgrades!$U$16,H410),1)*IF(Upgrades!$T$17="Microlensing",POWER(Upgrades!$U$17,I410),1)*IF(Upgrades!$T$18="Microlensing",POWER(Upgrades!$U$18,J410),1)*IF(Upgrades!$T$19="Microlensing",POWER(Upgrades!$U$19,K410),1)*IF(Upgrades!$T$20="Microlensing",POWER(Upgrades!$U$20,L410),1)*IF(Upgrades!$T$21="Microlensing",POWER(Upgrades!$U$21,M410),1))*$G$6*(Parameters!$B$10/60*Parameters!$B$11+Q410)/AM410,0)</f>
        <v/>
      </c>
      <c r="BB410" s="32">
        <f>IFERROR((Upgrades!$N$16*(POWER(Upgrades!$R$13,E410)*POWER(Upgrades!$R$14,F410)*POWER(Upgrades!$R$15,G410)*POWER(Upgrades!$R$16,H410)*POWER(Upgrades!$R$17,I410)*POWER(Upgrades!$R$18,J410)*POWER(Upgrades!$R$19,K410)*POWER(Upgrades!$R$20,L410)*POWER(Upgrades!$R$21,M410))*(IF(Upgrades!$T$13="Roche Lobe Overflow",POWER(Upgrades!$U$13,E410),1)*IF(Upgrades!$T$14="Roche Lobe Overflow",POWER(Upgrades!$U$14,F410),1)*IF(Upgrades!$T$15="Roche Lobe Overflow",POWER(Upgrades!$U$15,G410),1)*IF(Upgrades!$T$17="Roche Lobe Overflow",POWER(Upgrades!$U$17,I410),1)*IF(Upgrades!$T$18="Roche Lobe Overflow",POWER(Upgrades!$U$18,J410),1)*IF(Upgrades!$T$19="Roche Lobe Overflow",POWER(Upgrades!$U$19,K410),1)*IF(Upgrades!$T$20="Roche Lobe Overflow",POWER(Upgrades!$U$20,L410),1)*IF(Upgrades!$T$21="Roche Lobe Overflow",POWER(Upgrades!$U$21,M410),1))*$H$6*O410+((IF(F410=0,0,(Upgrades!$G$14+F410*Upgrades!$H$14)*POWER(Upgrades!$I$14,F410)))*(IF(Upgrades!$T$13="Local Bubble",POWER(Upgrades!$U$13,E410),1)*IF(Upgrades!$T$15="Local Bubble",POWER(Upgrades!$U$15,G410),1)*IF(Upgrades!$T$16="Local Bubble",POWER(Upgrades!$U$16,H410),1)*IF(Upgrades!$T$17="Local Bubble",POWER(Upgrades!$U$17,I410),1)*IF(Upgrades!$T$18="Local Bubble",POWER(Upgrades!$U$18,J410),1)*IF(Upgrades!$T$19="Local Bubble",POWER(Upgrades!$U$19,K410),1)*IF(Upgrades!$T$20="Local Bubble",POWER(Upgrades!$U$20,L410),1)*IF(Upgrades!$T$21="Local Bubble",POWER(Upgrades!$U$21,M410),1))*POWER(Upgrades!$P$13,E410)*POWER(Upgrades!$P$14,F410)*POWER(Upgrades!$P$15,G410)*POWER(Upgrades!$P$16,H410)*POWER(Upgrades!$P$17,I410)*POWER(Upgrades!$P$18,J410)*POWER(Upgrades!$P$19,K410)*POWER(Upgrades!$P$20,L410)*POWER(Upgrades!$P$21,M410)*$F$6)*0.05)/AN410,0)</f>
        <v/>
      </c>
      <c r="BC410" s="32">
        <f>IFERROR((Upgrades!$H$17*(POWER(Upgrades!$P$13,E410)*POWER(Upgrades!$P$14,F410)*POWER(Upgrades!$P$15,G410)*POWER(Upgrades!$P$16,H410)*POWER(Upgrades!$P$17,I410)*POWER(Upgrades!$P$18,J410)*POWER(Upgrades!$P$19,K410)*POWER(Upgrades!$P$20,L410)*POWER(Upgrades!$P$21,M410))*(IF(Upgrades!$T$13="Brown Dwarf",POWER(Upgrades!$U$13,E410),1)*IF(Upgrades!$T$14="Brown Dwarf",POWER(Upgrades!$U$14,F410),1)*IF(Upgrades!$T$15="Brown Dwarf",POWER(Upgrades!$U$15,G410),1)*IF(Upgrades!$T$16="Brown Dwarf",POWER(Upgrades!$U$16,H410),1)*IF(Upgrades!$T$18="Brown Dwarf",POWER(Upgrades!$U$18,J410),1)*IF(Upgrades!$T$19="Brown Dwarf",POWER(Upgrades!$U$19,K410),1)*IF(Upgrades!$T$20="Brown Dwarf",POWER(Upgrades!$U$20,L410),1)*IF(Upgrades!$T$21="Brown Dwarf",POWER(Upgrades!$U$21,M410),1))*$F$6+(((IF(H410=0,0,(Upgrades!$M$16+H410*Upgrades!$N$16)*POWER(Upgrades!$O$16,H410)))*(IF(Upgrades!$T$13="Roche Lobe Overflow",POWER(Upgrades!$U$13,E410),1)*IF(Upgrades!$T$14="Roche Lobe Overflow",POWER(Upgrades!$U$14,F410),1)*IF(Upgrades!$T$15="Roche Lobe Overflow",POWER(Upgrades!$U$15,G410),1)*IF(Upgrades!$T$17="Roche Lobe Overflow",POWER(Upgrades!$U$17,I410),1)*IF(Upgrades!$T$18="Roche Lobe Overflow",POWER(Upgrades!$U$18,J410),1)*IF(Upgrades!$T$19="Roche Lobe Overflow",POWER(Upgrades!$U$19,K410),1)*IF(Upgrades!$T$20="Roche Lobe Overflow",POWER(Upgrades!$U$20,L410),1)*IF(Upgrades!$T$21="Roche Lobe Overflow",POWER(Upgrades!$U$21,M410),1))*POWER(Upgrades!$R$13,E410)*POWER(Upgrades!$R$14,F410)*POWER(Upgrades!$R$15,G410)*POWER(Upgrades!$R$16,H410)*POWER(Upgrades!$R$17,I410)*POWER(Upgrades!$R$18,J410)*POWER(Upgrades!$R$19,K410)*POWER(Upgrades!$R$20,L410)*POWER(Upgrades!$R$21,M410)*$H$6)*O410)*0.10)/AO410,0)</f>
        <v/>
      </c>
      <c r="BD410" s="32">
        <f>MAX(IF(J410&gt;0,0,IFERROR(0.5*((IF(G410=0,0,(Upgrades!$J$15+G410*Upgrades!$K$15)*POWER(Upgrades!$L$15,G410)))*(IF(Upgrades!$T$13="Microlensing",POWER(Upgrades!$U$13,E410),1)*IF(Upgrades!$T$14="Microlensing",POWER(Upgrades!$U$14,F410),1)*IF(Upgrades!$T$16="Microlensing",POWER(Upgrades!$U$16,H410),1)*IF(Upgrades!$T$17="Microlensing",POWER(Upgrades!$U$17,I410),1)*IF(Upgrades!$T$18="Microlensing",POWER(Upgrades!$U$18,J410),1)*IF(Upgrades!$T$19="Microlensing",POWER(Upgrades!$U$19,K410),1)*IF(Upgrades!$T$20="Microlensing",POWER(Upgrades!$U$20,L410),1)*IF(Upgrades!$T$21="Microlensing",POWER(Upgrades!$U$21,M410),1))*(POWER(Upgrades!$Q$13,E410)*POWER(Upgrades!$Q$14,F410)*POWER(Upgrades!$Q$15,G410)*POWER(Upgrades!$Q$16,H410)*POWER(Upgrades!$Q$17,I410)*POWER(Upgrades!$Q$18,J410)*POWER(Upgrades!$Q$19,K410)*POWER(Upgrades!$Q$20,L410)*POWER(Upgrades!$Q$21,M410))*$G$6*(Parameters!$B$10/60*Parameters!$B$11+Q410))/Upgrades!$C$18,0)),IF(K410&gt;0,0,IFERROR(0.30*P410/Upgrades!$C$19,0)),IF(L410&gt;0,0,IFERROR(0.0001/Upgrades!$C$20,0)),IF(M410&gt;0,0,IFERROR((6.0*(POWER(Upgrades!$P$13,E410)*POWER(Upgrades!$P$14,F410)*POWER(Upgrades!$P$15,G410)*POWER(Upgrades!$P$16,H410)*POWER(Upgrades!$P$17,I410)*POWER(Upgrades!$P$18,J410)*POWER(Upgrades!$P$19,K410)*POWER(Upgrades!$P$20,L410)*POWER(Upgrades!$P$21,M410))*$F$6+0.20*O410*(Parameters!$B$10/60*Parameters!$B$11+Q410))/Upgrades!$C$21,0)),IF(AND(ISNUMBER(AK410),AK410&gt;(C410+T410)),AY410,0),IF(AND(ISNUMBER(AL410),AL410&gt;(C410+T410)),AZ410,0),IF(AND(ISNUMBER(AM410),AM410&gt;(C410+T410)),BA410,0),IF(AND(ISNUMBER(AN410),AN410&gt;(C410+T410)),BB410,0),IF(AND(ISNUMBER(AO410),AO410&gt;(C410+T410)),BC410,0))</f>
        <v/>
      </c>
      <c r="BE410" s="29">
        <f>IF(AT410=1,"transition",IF(MIN(IF(AND(J410=0,ISNUMBER(AP410),AP410&lt;=(C410+T410)),AP410,9E15),IF(AND(K410=0,ISNUMBER(AQ410),AQ410&lt;=(C410+T410)),AQ410,9E15),IF(AND(L410=0,ISNUMBER(AR410),AR410&lt;=(C410+T410)),AR410,9E15),IF(AND(M410=0,ISNUMBER(AS410),AS410&lt;=(C410+T410)),AS410,9E15))&lt;9E15,IF(AND(AND(J410=0,ISNUMBER(AP410),AP410&lt;=(C410+T410)),AP410=MIN(IF(AND(J410=0,ISNUMBER(AP410),AP410&lt;=(C410+T410)),AP410,9E15),IF(AND(K410=0,ISNUMBER(AQ410),AQ410&lt;=(C410+T410)),AQ410,9E15),IF(AND(L410=0,ISNUMBER(AR410),AR410&lt;=(C410+T410)),AR410,9E15),IF(AND(M410=0,ISNUMBER(AS410),AS410&lt;=(C410+T410)),AS410,9E15))),"BiP",IF(AND(AND(K410=0,ISNUMBER(AQ410),AQ410&lt;=(C410+T410)),AQ410=MIN(IF(AND(J410=0,ISNUMBER(AP410),AP410&lt;=(C410+T410)),AP410,9E15),IF(AND(K410=0,ISNUMBER(AQ410),AQ410&lt;=(C410+T410)),AQ410,9E15),IF(AND(L410=0,ISNUMBER(AR410),AR410&lt;=(C410+T410)),AR410,9E15),IF(AND(M410=0,ISNUMBER(AS410),AS410&lt;=(C410+T410)),AS410,9E15))),"PV",IF(AND(AND(L410=0,ISNUMBER(AR410),AR410&lt;=(C410+T410)),AR410=MIN(IF(AND(J410=0,ISNUMBER(AP410),AP410&lt;=(C410+T410)),AP410,9E15),IF(AND(K410=0,ISNUMBER(AQ410),AQ410&lt;=(C410+T410)),AQ410,9E15),IF(AND(L410=0,ISNUMBER(AR410),AR410&lt;=(C410+T410)),AR410,9E15),IF(AND(M410=0,ISNUMBER(AS410),AS410&lt;=(C410+T410)),AS410,9E15))),"OC","MG"))),IF(AX410=TRUE,"",IF(MAX(IF(AND(NOT(AND(AU410=1,AT410&lt;&gt;1)),ISNUMBER(AK410),AK410&lt;=(C410+T410)),AY410,0),IF(AND(NOT(AND(AU410=1,AT410&lt;&gt;1)),ISNUMBER(AL410),AL410&lt;=(C410+T410)),AZ410,0),IF(AND(NOT(AND(AU410=1,AT410&lt;&gt;1)),ISNUMBER(AM410),AM410&lt;=(C410+T410)),BA410,0),IF(AND(NOT(AND(AU410=1,AT410&lt;&gt;1)),ISNUMBER(AN410),AN410&lt;=(C410+T410)),BB410,0),IF(AND(ISNUMBER(AO410),AO410&lt;=(C410+T410)),BC410,0))&lt;=0,"",IF(AND(IF(AND(NOT(AND(AU410=1,AT410&lt;&gt;1)),ISNUMBER(AK410),AK410&lt;=(C410+T410)),AY410,0)&gt;0,IF(AND(NOT(AND(AU410=1,AT410&lt;&gt;1)),ISNUMBER(AK410),AK410&lt;=(C410+T410)),AY410,0)=MAX(IF(AND(NOT(AND(AU410=1,AT410&lt;&gt;1)),ISNUMBER(AK410),AK410&lt;=(C410+T410)),AY410,0),IF(AND(NOT(AND(AU410=1,AT410&lt;&gt;1)),ISNUMBER(AL410),AL410&lt;=(C410+T410)),AZ410,0),IF(AND(NOT(AND(AU410=1,AT410&lt;&gt;1)),ISNUMBER(AM410),AM410&lt;=(C410+T410)),BA410,0),IF(AND(NOT(AND(AU410=1,AT410&lt;&gt;1)),ISNUMBER(AN410),AN410&lt;=(C410+T410)),BB410,0),IF(AND(ISNUMBER(AO410),AO410&lt;=(C410+T410)),BC410,0))),"SK",IF(AND(IF(AND(NOT(AND(AU410=1,AT410&lt;&gt;1)),ISNUMBER(AL410),AL410&lt;=(C410+T410)),AZ410,0)&gt;0,IF(AND(NOT(AND(AU410=1,AT410&lt;&gt;1)),ISNUMBER(AL410),AL410&lt;=(C410+T410)),AZ410,0)=MAX(IF(AND(NOT(AND(AU410=1,AT410&lt;&gt;1)),ISNUMBER(AK410),AK410&lt;=(C410+T410)),AY410,0),IF(AND(NOT(AND(AU410=1,AT410&lt;&gt;1)),ISNUMBER(AL410),AL410&lt;=(C410+T410)),AZ410,0),IF(AND(NOT(AND(AU410=1,AT410&lt;&gt;1)),ISNUMBER(AM410),AM410&lt;=(C410+T410)),BA410,0),IF(AND(NOT(AND(AU410=1,AT410&lt;&gt;1)),ISNUMBER(AN410),AN410&lt;=(C410+T410)),BB410,0),IF(AND(ISNUMBER(AO410),AO410&lt;=(C410+T410)),BC410,0))),"LB",IF(AND(IF(AND(NOT(AND(AU410=1,AT410&lt;&gt;1)),ISNUMBER(AM410),AM410&lt;=(C410+T410)),BA410,0)&gt;0,IF(AND(NOT(AND(AU410=1,AT410&lt;&gt;1)),ISNUMBER(AM410),AM410&lt;=(C410+T410)),BA410,0)=MAX(IF(AND(NOT(AND(AU410=1,AT410&lt;&gt;1)),ISNUMBER(AK410),AK410&lt;=(C410+T410)),AY410,0),IF(AND(NOT(AND(AU410=1,AT410&lt;&gt;1)),ISNUMBER(AL410),AL410&lt;=(C410+T410)),AZ410,0),IF(AND(NOT(AND(AU410=1,AT410&lt;&gt;1)),ISNUMBER(AM410),AM410&lt;=(C410+T410)),BA410,0),IF(AND(NOT(AND(AU410=1,AT410&lt;&gt;1)),ISNUMBER(AN410),AN410&lt;=(C410+T410)),BB410,0),IF(AND(ISNUMBER(AO410),AO410&lt;=(C410+T410)),BC410,0))),"ML",IF(AND(IF(AND(NOT(AND(AU410=1,AT410&lt;&gt;1)),ISNUMBER(AN410),AN410&lt;=(C410+T410)),BB410,0)&gt;0,IF(AND(NOT(AND(AU410=1,AT410&lt;&gt;1)),ISNUMBER(AN410),AN410&lt;=(C410+T410)),BB410,0)=MAX(IF(AND(NOT(AND(AU410=1,AT410&lt;&gt;1)),ISNUMBER(AK410),AK410&lt;=(C410+T410)),AY410,0),IF(AND(NOT(AND(AU410=1,AT410&lt;&gt;1)),ISNUMBER(AL410),AL410&lt;=(C410+T410)),AZ410,0),IF(AND(NOT(AND(AU410=1,AT410&lt;&gt;1)),ISNUMBER(AM410),AM410&lt;=(C410+T410)),BA410,0),IF(AND(NOT(AND(AU410=1,AT410&lt;&gt;1)),ISNUMBER(AN410),AN410&lt;=(C410+T410)),BB410,0),IF(AND(ISNUMBER(AO410),AO410&lt;=(C410+T410)),BC410,0))),"RLO","BD"))))))))</f>
        <v/>
      </c>
    </row>
    <row r="411">
      <c r="A411" s="26" t="n">
        <v>400</v>
      </c>
      <c r="B411" s="27">
        <f>A411*10/60</f>
        <v/>
      </c>
      <c r="C411" s="22">
        <f>X410</f>
        <v/>
      </c>
      <c r="D411" s="27">
        <f>D410+W410</f>
        <v/>
      </c>
      <c r="E411" s="26">
        <f>E410+IF(U410="SK",1,0)</f>
        <v/>
      </c>
      <c r="F411" s="26">
        <f>F410+IF(U410="LB",1,0)</f>
        <v/>
      </c>
      <c r="G411" s="26">
        <f>G410+IF(U410="ML",1,0)</f>
        <v/>
      </c>
      <c r="H411" s="26">
        <f>H410+IF(U410="RLO",1,0)</f>
        <v/>
      </c>
      <c r="I411" s="26">
        <f>I410+IF(U410="BD",1,0)</f>
        <v/>
      </c>
      <c r="J411" s="26">
        <f>MAX(J410,IF(U410="BiP",1,0))</f>
        <v/>
      </c>
      <c r="K411" s="26">
        <f>MAX(K410,IF(U410="PV",1,0))</f>
        <v/>
      </c>
      <c r="L411" s="26">
        <f>MAX(L410,IF(U410="OC",1,0))</f>
        <v/>
      </c>
      <c r="M411" s="26">
        <f>MAX(M410,IF(U410="MG",1,0))</f>
        <v/>
      </c>
      <c r="N411" s="26">
        <f>MAX(N410,IF(U410="transition",1,0))</f>
        <v/>
      </c>
      <c r="O411" s="28">
        <f>(Parameters!$B$9+(IF(E411=0,0,(Upgrades!$J$13+E411*Upgrades!$K$13)*POWER(Upgrades!$L$13,E411)))*(IF(Upgrades!$T$14="Stellar Kinematics",POWER(Upgrades!$U$14,F411),1)*IF(Upgrades!$T$15="Stellar Kinematics",POWER(Upgrades!$U$15,G411),1)*IF(Upgrades!$T$16="Stellar Kinematics",POWER(Upgrades!$U$16,H411),1)*IF(Upgrades!$T$17="Stellar Kinematics",POWER(Upgrades!$U$17,I411),1)*IF(Upgrades!$T$18="Stellar Kinematics",POWER(Upgrades!$U$18,J411),1)*IF(Upgrades!$T$19="Stellar Kinematics",POWER(Upgrades!$U$19,K411),1)*IF(Upgrades!$T$20="Stellar Kinematics",POWER(Upgrades!$U$20,L411),1)*IF(Upgrades!$T$21="Stellar Kinematics",POWER(Upgrades!$U$21,M411),1))+(IF(F411=0,0,(Upgrades!$J$14+F411*Upgrades!$K$14)*POWER(Upgrades!$L$14,F411)))*(IF(Upgrades!$T$13="Local Bubble",POWER(Upgrades!$U$13,E411),1)*IF(Upgrades!$T$15="Local Bubble",POWER(Upgrades!$U$15,G411),1)*IF(Upgrades!$T$16="Local Bubble",POWER(Upgrades!$U$16,H411),1)*IF(Upgrades!$T$17="Local Bubble",POWER(Upgrades!$U$17,I411),1)*IF(Upgrades!$T$18="Local Bubble",POWER(Upgrades!$U$18,J411),1)*IF(Upgrades!$T$19="Local Bubble",POWER(Upgrades!$U$19,K411),1)*IF(Upgrades!$T$20="Local Bubble",POWER(Upgrades!$U$20,L411),1)*IF(Upgrades!$T$21="Local Bubble",POWER(Upgrades!$U$21,M411),1))+(IF(G411=0,0,(Upgrades!$J$15+G411*Upgrades!$K$15)*POWER(Upgrades!$L$15,G411)))*(IF(Upgrades!$T$13="Microlensing",POWER(Upgrades!$U$13,E411),1)*IF(Upgrades!$T$14="Microlensing",POWER(Upgrades!$U$14,F411),1)*IF(Upgrades!$T$16="Microlensing",POWER(Upgrades!$U$16,H411),1)*IF(Upgrades!$T$17="Microlensing",POWER(Upgrades!$U$17,I411),1)*IF(Upgrades!$T$18="Microlensing",POWER(Upgrades!$U$18,J411),1)*IF(Upgrades!$T$19="Microlensing",POWER(Upgrades!$U$19,K411),1)*IF(Upgrades!$T$20="Microlensing",POWER(Upgrades!$U$20,L411),1)*IF(Upgrades!$T$21="Microlensing",POWER(Upgrades!$U$21,M411),1))+(IF(H411=0,0,(Upgrades!$J$16+H411*Upgrades!$K$16)*POWER(Upgrades!$L$16,H411)))*(IF(Upgrades!$T$13="Roche Lobe Overflow",POWER(Upgrades!$U$13,E411),1)*IF(Upgrades!$T$14="Roche Lobe Overflow",POWER(Upgrades!$U$14,F411),1)*IF(Upgrades!$T$15="Roche Lobe Overflow",POWER(Upgrades!$U$15,G411),1)*IF(Upgrades!$T$17="Roche Lobe Overflow",POWER(Upgrades!$U$17,I411),1)*IF(Upgrades!$T$18="Roche Lobe Overflow",POWER(Upgrades!$U$18,J411),1)*IF(Upgrades!$T$19="Roche Lobe Overflow",POWER(Upgrades!$U$19,K411),1)*IF(Upgrades!$T$20="Roche Lobe Overflow",POWER(Upgrades!$U$20,L411),1)*IF(Upgrades!$T$21="Roche Lobe Overflow",POWER(Upgrades!$U$21,M411),1))+(IF(I411=0,0,(Upgrades!$J$17+I411*Upgrades!$K$17)*POWER(Upgrades!$L$17,I411)))*(IF(Upgrades!$T$13="Brown Dwarf",POWER(Upgrades!$U$13,E411),1)*IF(Upgrades!$T$14="Brown Dwarf",POWER(Upgrades!$U$14,F411),1)*IF(Upgrades!$T$15="Brown Dwarf",POWER(Upgrades!$U$15,G411),1)*IF(Upgrades!$T$16="Brown Dwarf",POWER(Upgrades!$U$16,H411),1)*IF(Upgrades!$T$18="Brown Dwarf",POWER(Upgrades!$U$18,J411),1)*IF(Upgrades!$T$19="Brown Dwarf",POWER(Upgrades!$U$19,K411),1)*IF(Upgrades!$T$20="Brown Dwarf",POWER(Upgrades!$U$20,L411),1)*IF(Upgrades!$T$21="Brown Dwarf",POWER(Upgrades!$U$21,M411),1))+(IF(J411=0,0,(Upgrades!$J$18+J411*Upgrades!$K$18)*POWER(Upgrades!$L$18,J411)))*(IF(Upgrades!$T$13="Binary Partner",POWER(Upgrades!$U$13,E411),1)*IF(Upgrades!$T$14="Binary Partner",POWER(Upgrades!$U$14,F411),1)*IF(Upgrades!$T$15="Binary Partner",POWER(Upgrades!$U$15,G411),1)*IF(Upgrades!$T$16="Binary Partner",POWER(Upgrades!$U$16,H411),1)*IF(Upgrades!$T$17="Binary Partner",POWER(Upgrades!$U$17,I411),1)*IF(Upgrades!$T$19="Binary Partner",POWER(Upgrades!$U$19,K411),1)*IF(Upgrades!$T$20="Binary Partner",POWER(Upgrades!$U$20,L411),1)*IF(Upgrades!$T$21="Binary Partner",POWER(Upgrades!$U$21,M411),1))+(IF(K411=0,0,(Upgrades!$J$19+K411*Upgrades!$K$19)*POWER(Upgrades!$L$19,K411)))*(IF(Upgrades!$T$13="Peculiar Velocity",POWER(Upgrades!$U$13,E411),1)*IF(Upgrades!$T$14="Peculiar Velocity",POWER(Upgrades!$U$14,F411),1)*IF(Upgrades!$T$15="Peculiar Velocity",POWER(Upgrades!$U$15,G411),1)*IF(Upgrades!$T$16="Peculiar Velocity",POWER(Upgrades!$U$16,H411),1)*IF(Upgrades!$T$17="Peculiar Velocity",POWER(Upgrades!$U$17,I411),1)*IF(Upgrades!$T$18="Peculiar Velocity",POWER(Upgrades!$U$18,J411),1)*IF(Upgrades!$T$20="Peculiar Velocity",POWER(Upgrades!$U$20,L411),1)*IF(Upgrades!$T$21="Peculiar Velocity",POWER(Upgrades!$U$21,M411),1))+(IF(L411=0,0,(Upgrades!$J$20+L411*Upgrades!$K$20)*POWER(Upgrades!$L$20,L411)))*(IF(Upgrades!$T$13="Open Cluster",POWER(Upgrades!$U$13,E411),1)*IF(Upgrades!$T$14="Open Cluster",POWER(Upgrades!$U$14,F411),1)*IF(Upgrades!$T$15="Open Cluster",POWER(Upgrades!$U$15,G411),1)*IF(Upgrades!$T$16="Open Cluster",POWER(Upgrades!$U$16,H411),1)*IF(Upgrades!$T$17="Open Cluster",POWER(Upgrades!$U$17,I411),1)*IF(Upgrades!$T$18="Open Cluster",POWER(Upgrades!$U$18,J411),1)*IF(Upgrades!$T$19="Open Cluster",POWER(Upgrades!$U$19,K411),1)*IF(Upgrades!$T$21="Open Cluster",POWER(Upgrades!$U$21,M411),1))+(IF(M411=0,0,(Upgrades!$J$21+M411*Upgrades!$K$21)*POWER(Upgrades!$L$21,M411)))*(IF(Upgrades!$T$13="Moving Group",POWER(Upgrades!$U$13,E411),1)*IF(Upgrades!$T$14="Moving Group",POWER(Upgrades!$U$14,F411),1)*IF(Upgrades!$T$15="Moving Group",POWER(Upgrades!$U$15,G411),1)*IF(Upgrades!$T$16="Moving Group",POWER(Upgrades!$U$16,H411),1)*IF(Upgrades!$T$17="Moving Group",POWER(Upgrades!$U$17,I411),1)*IF(Upgrades!$T$18="Moving Group",POWER(Upgrades!$U$18,J411),1)*IF(Upgrades!$T$19="Moving Group",POWER(Upgrades!$U$19,K411),1)*IF(Upgrades!$T$20="Moving Group",POWER(Upgrades!$U$20,L411),1)))*POWER(Upgrades!$Q$13,E411)*POWER(Upgrades!$Q$14,F411)*POWER(Upgrades!$Q$15,G411)*POWER(Upgrades!$Q$16,H411)*POWER(Upgrades!$Q$17,I411)*POWER(Upgrades!$Q$18,J411)*POWER(Upgrades!$Q$19,K411)*POWER(Upgrades!$Q$20,L411)*POWER(Upgrades!$Q$21,M411)*$G$6+$D$6</f>
        <v/>
      </c>
      <c r="P411" s="28">
        <f>((IF(E411=0,0,(Upgrades!$G$13+E411*Upgrades!$H$13)*POWER(Upgrades!$I$13,E411)))*(IF(Upgrades!$T$14="Stellar Kinematics",POWER(Upgrades!$U$14,F411),1)*IF(Upgrades!$T$15="Stellar Kinematics",POWER(Upgrades!$U$15,G411),1)*IF(Upgrades!$T$16="Stellar Kinematics",POWER(Upgrades!$U$16,H411),1)*IF(Upgrades!$T$17="Stellar Kinematics",POWER(Upgrades!$U$17,I411),1)*IF(Upgrades!$T$18="Stellar Kinematics",POWER(Upgrades!$U$18,J411),1)*IF(Upgrades!$T$19="Stellar Kinematics",POWER(Upgrades!$U$19,K411),1)*IF(Upgrades!$T$20="Stellar Kinematics",POWER(Upgrades!$U$20,L411),1)*IF(Upgrades!$T$21="Stellar Kinematics",POWER(Upgrades!$U$21,M411),1))+(IF(F411=0,0,(Upgrades!$G$14+F411*Upgrades!$H$14)*POWER(Upgrades!$I$14,F411)))*(IF(Upgrades!$T$13="Local Bubble",POWER(Upgrades!$U$13,E411),1)*IF(Upgrades!$T$15="Local Bubble",POWER(Upgrades!$U$15,G411),1)*IF(Upgrades!$T$16="Local Bubble",POWER(Upgrades!$U$16,H411),1)*IF(Upgrades!$T$17="Local Bubble",POWER(Upgrades!$U$17,I411),1)*IF(Upgrades!$T$18="Local Bubble",POWER(Upgrades!$U$18,J411),1)*IF(Upgrades!$T$19="Local Bubble",POWER(Upgrades!$U$19,K411),1)*IF(Upgrades!$T$20="Local Bubble",POWER(Upgrades!$U$20,L411),1)*IF(Upgrades!$T$21="Local Bubble",POWER(Upgrades!$U$21,M411),1))+(IF(G411=0,0,(Upgrades!$G$15+G411*Upgrades!$H$15)*POWER(Upgrades!$I$15,G411)))*(IF(Upgrades!$T$13="Microlensing",POWER(Upgrades!$U$13,E411),1)*IF(Upgrades!$T$14="Microlensing",POWER(Upgrades!$U$14,F411),1)*IF(Upgrades!$T$16="Microlensing",POWER(Upgrades!$U$16,H411),1)*IF(Upgrades!$T$17="Microlensing",POWER(Upgrades!$U$17,I411),1)*IF(Upgrades!$T$18="Microlensing",POWER(Upgrades!$U$18,J411),1)*IF(Upgrades!$T$19="Microlensing",POWER(Upgrades!$U$19,K411),1)*IF(Upgrades!$T$20="Microlensing",POWER(Upgrades!$U$20,L411),1)*IF(Upgrades!$T$21="Microlensing",POWER(Upgrades!$U$21,M411),1))+(IF(H411=0,0,(Upgrades!$G$16+H411*Upgrades!$H$16)*POWER(Upgrades!$I$16,H411)))*(IF(Upgrades!$T$13="Roche Lobe Overflow",POWER(Upgrades!$U$13,E411),1)*IF(Upgrades!$T$14="Roche Lobe Overflow",POWER(Upgrades!$U$14,F411),1)*IF(Upgrades!$T$15="Roche Lobe Overflow",POWER(Upgrades!$U$15,G411),1)*IF(Upgrades!$T$17="Roche Lobe Overflow",POWER(Upgrades!$U$17,I411),1)*IF(Upgrades!$T$18="Roche Lobe Overflow",POWER(Upgrades!$U$18,J411),1)*IF(Upgrades!$T$19="Roche Lobe Overflow",POWER(Upgrades!$U$19,K411),1)*IF(Upgrades!$T$20="Roche Lobe Overflow",POWER(Upgrades!$U$20,L411),1)*IF(Upgrades!$T$21="Roche Lobe Overflow",POWER(Upgrades!$U$21,M411),1))+(IF(I411=0,0,(Upgrades!$G$17+I411*Upgrades!$H$17)*POWER(Upgrades!$I$17,I411)))*(IF(Upgrades!$T$13="Brown Dwarf",POWER(Upgrades!$U$13,E411),1)*IF(Upgrades!$T$14="Brown Dwarf",POWER(Upgrades!$U$14,F411),1)*IF(Upgrades!$T$15="Brown Dwarf",POWER(Upgrades!$U$15,G411),1)*IF(Upgrades!$T$16="Brown Dwarf",POWER(Upgrades!$U$16,H411),1)*IF(Upgrades!$T$18="Brown Dwarf",POWER(Upgrades!$U$18,J411),1)*IF(Upgrades!$T$19="Brown Dwarf",POWER(Upgrades!$U$19,K411),1)*IF(Upgrades!$T$20="Brown Dwarf",POWER(Upgrades!$U$20,L411),1)*IF(Upgrades!$T$21="Brown Dwarf",POWER(Upgrades!$U$21,M411),1))+(IF(J411=0,0,(Upgrades!$G$18+J411*Upgrades!$H$18)*POWER(Upgrades!$I$18,J411)))*(IF(Upgrades!$T$13="Binary Partner",POWER(Upgrades!$U$13,E411),1)*IF(Upgrades!$T$14="Binary Partner",POWER(Upgrades!$U$14,F411),1)*IF(Upgrades!$T$15="Binary Partner",POWER(Upgrades!$U$15,G411),1)*IF(Upgrades!$T$16="Binary Partner",POWER(Upgrades!$U$16,H411),1)*IF(Upgrades!$T$17="Binary Partner",POWER(Upgrades!$U$17,I411),1)*IF(Upgrades!$T$19="Binary Partner",POWER(Upgrades!$U$19,K411),1)*IF(Upgrades!$T$20="Binary Partner",POWER(Upgrades!$U$20,L411),1)*IF(Upgrades!$T$21="Binary Partner",POWER(Upgrades!$U$21,M411),1))+(IF(K411=0,0,(Upgrades!$G$19+K411*Upgrades!$H$19)*POWER(Upgrades!$I$19,K411)))*(IF(Upgrades!$T$13="Peculiar Velocity",POWER(Upgrades!$U$13,E411),1)*IF(Upgrades!$T$14="Peculiar Velocity",POWER(Upgrades!$U$14,F411),1)*IF(Upgrades!$T$15="Peculiar Velocity",POWER(Upgrades!$U$15,G411),1)*IF(Upgrades!$T$16="Peculiar Velocity",POWER(Upgrades!$U$16,H411),1)*IF(Upgrades!$T$17="Peculiar Velocity",POWER(Upgrades!$U$17,I411),1)*IF(Upgrades!$T$18="Peculiar Velocity",POWER(Upgrades!$U$18,J411),1)*IF(Upgrades!$T$20="Peculiar Velocity",POWER(Upgrades!$U$20,L411),1)*IF(Upgrades!$T$21="Peculiar Velocity",POWER(Upgrades!$U$21,M411),1))+(IF(L411=0,0,(Upgrades!$G$20+L411*Upgrades!$H$20)*POWER(Upgrades!$I$20,L411)))*(IF(Upgrades!$T$13="Open Cluster",POWER(Upgrades!$U$13,E411),1)*IF(Upgrades!$T$14="Open Cluster",POWER(Upgrades!$U$14,F411),1)*IF(Upgrades!$T$15="Open Cluster",POWER(Upgrades!$U$15,G411),1)*IF(Upgrades!$T$16="Open Cluster",POWER(Upgrades!$U$16,H411),1)*IF(Upgrades!$T$17="Open Cluster",POWER(Upgrades!$U$17,I411),1)*IF(Upgrades!$T$18="Open Cluster",POWER(Upgrades!$U$18,J411),1)*IF(Upgrades!$T$19="Open Cluster",POWER(Upgrades!$U$19,K411),1)*IF(Upgrades!$T$21="Open Cluster",POWER(Upgrades!$U$21,M411),1))+(IF(M411=0,0,(Upgrades!$G$21+M411*Upgrades!$H$21)*POWER(Upgrades!$I$21,M411)))*(IF(Upgrades!$T$13="Moving Group",POWER(Upgrades!$U$13,E411),1)*IF(Upgrades!$T$14="Moving Group",POWER(Upgrades!$U$14,F411),1)*IF(Upgrades!$T$15="Moving Group",POWER(Upgrades!$U$15,G411),1)*IF(Upgrades!$T$16="Moving Group",POWER(Upgrades!$U$16,H411),1)*IF(Upgrades!$T$17="Moving Group",POWER(Upgrades!$U$17,I411),1)*IF(Upgrades!$T$18="Moving Group",POWER(Upgrades!$U$18,J411),1)*IF(Upgrades!$T$19="Moving Group",POWER(Upgrades!$U$19,K411),1)*IF(Upgrades!$T$20="Moving Group",POWER(Upgrades!$U$20,L411),1)))*POWER(Upgrades!$P$13,E411)*POWER(Upgrades!$P$14,F411)*POWER(Upgrades!$P$15,G411)*POWER(Upgrades!$P$16,H411)*POWER(Upgrades!$P$17,I411)*POWER(Upgrades!$P$18,J411)*POWER(Upgrades!$P$19,K411)*POWER(Upgrades!$P$20,L411)*POWER(Upgrades!$P$21,M411)*$F$6+$C$6</f>
        <v/>
      </c>
      <c r="Q411" s="28">
        <f>((IF(E411=0,0,(Upgrades!$M$13+E411*Upgrades!$N$13)*POWER(Upgrades!$O$13,E411)))*(IF(Upgrades!$T$14="Stellar Kinematics",POWER(Upgrades!$U$14,F411),1)*IF(Upgrades!$T$15="Stellar Kinematics",POWER(Upgrades!$U$15,G411),1)*IF(Upgrades!$T$16="Stellar Kinematics",POWER(Upgrades!$U$16,H411),1)*IF(Upgrades!$T$17="Stellar Kinematics",POWER(Upgrades!$U$17,I411),1)*IF(Upgrades!$T$18="Stellar Kinematics",POWER(Upgrades!$U$18,J411),1)*IF(Upgrades!$T$19="Stellar Kinematics",POWER(Upgrades!$U$19,K411),1)*IF(Upgrades!$T$20="Stellar Kinematics",POWER(Upgrades!$U$20,L411),1)*IF(Upgrades!$T$21="Stellar Kinematics",POWER(Upgrades!$U$21,M411),1))+(IF(F411=0,0,(Upgrades!$M$14+F411*Upgrades!$N$14)*POWER(Upgrades!$O$14,F411)))*(IF(Upgrades!$T$13="Local Bubble",POWER(Upgrades!$U$13,E411),1)*IF(Upgrades!$T$15="Local Bubble",POWER(Upgrades!$U$15,G411),1)*IF(Upgrades!$T$16="Local Bubble",POWER(Upgrades!$U$16,H411),1)*IF(Upgrades!$T$17="Local Bubble",POWER(Upgrades!$U$17,I411),1)*IF(Upgrades!$T$18="Local Bubble",POWER(Upgrades!$U$18,J411),1)*IF(Upgrades!$T$19="Local Bubble",POWER(Upgrades!$U$19,K411),1)*IF(Upgrades!$T$20="Local Bubble",POWER(Upgrades!$U$20,L411),1)*IF(Upgrades!$T$21="Local Bubble",POWER(Upgrades!$U$21,M411),1))+(IF(G411=0,0,(Upgrades!$M$15+G411*Upgrades!$N$15)*POWER(Upgrades!$O$15,G411)))*(IF(Upgrades!$T$13="Microlensing",POWER(Upgrades!$U$13,E411),1)*IF(Upgrades!$T$14="Microlensing",POWER(Upgrades!$U$14,F411),1)*IF(Upgrades!$T$16="Microlensing",POWER(Upgrades!$U$16,H411),1)*IF(Upgrades!$T$17="Microlensing",POWER(Upgrades!$U$17,I411),1)*IF(Upgrades!$T$18="Microlensing",POWER(Upgrades!$U$18,J411),1)*IF(Upgrades!$T$19="Microlensing",POWER(Upgrades!$U$19,K411),1)*IF(Upgrades!$T$20="Microlensing",POWER(Upgrades!$U$20,L411),1)*IF(Upgrades!$T$21="Microlensing",POWER(Upgrades!$U$21,M411),1))+(IF(H411=0,0,(Upgrades!$M$16+H411*Upgrades!$N$16)*POWER(Upgrades!$O$16,H411)))*(IF(Upgrades!$T$13="Roche Lobe Overflow",POWER(Upgrades!$U$13,E411),1)*IF(Upgrades!$T$14="Roche Lobe Overflow",POWER(Upgrades!$U$14,F411),1)*IF(Upgrades!$T$15="Roche Lobe Overflow",POWER(Upgrades!$U$15,G411),1)*IF(Upgrades!$T$17="Roche Lobe Overflow",POWER(Upgrades!$U$17,I411),1)*IF(Upgrades!$T$18="Roche Lobe Overflow",POWER(Upgrades!$U$18,J411),1)*IF(Upgrades!$T$19="Roche Lobe Overflow",POWER(Upgrades!$U$19,K411),1)*IF(Upgrades!$T$20="Roche Lobe Overflow",POWER(Upgrades!$U$20,L411),1)*IF(Upgrades!$T$21="Roche Lobe Overflow",POWER(Upgrades!$U$21,M411),1))+(IF(I411=0,0,(Upgrades!$M$17+I411*Upgrades!$N$17)*POWER(Upgrades!$O$17,I411)))*(IF(Upgrades!$T$13="Brown Dwarf",POWER(Upgrades!$U$13,E411),1)*IF(Upgrades!$T$14="Brown Dwarf",POWER(Upgrades!$U$14,F411),1)*IF(Upgrades!$T$15="Brown Dwarf",POWER(Upgrades!$U$15,G411),1)*IF(Upgrades!$T$16="Brown Dwarf",POWER(Upgrades!$U$16,H411),1)*IF(Upgrades!$T$18="Brown Dwarf",POWER(Upgrades!$U$18,J411),1)*IF(Upgrades!$T$19="Brown Dwarf",POWER(Upgrades!$U$19,K411),1)*IF(Upgrades!$T$20="Brown Dwarf",POWER(Upgrades!$U$20,L411),1)*IF(Upgrades!$T$21="Brown Dwarf",POWER(Upgrades!$U$21,M411),1))+(IF(J411=0,0,(Upgrades!$M$18+J411*Upgrades!$N$18)*POWER(Upgrades!$O$18,J411)))*(IF(Upgrades!$T$13="Binary Partner",POWER(Upgrades!$U$13,E411),1)*IF(Upgrades!$T$14="Binary Partner",POWER(Upgrades!$U$14,F411),1)*IF(Upgrades!$T$15="Binary Partner",POWER(Upgrades!$U$15,G411),1)*IF(Upgrades!$T$16="Binary Partner",POWER(Upgrades!$U$16,H411),1)*IF(Upgrades!$T$17="Binary Partner",POWER(Upgrades!$U$17,I411),1)*IF(Upgrades!$T$19="Binary Partner",POWER(Upgrades!$U$19,K411),1)*IF(Upgrades!$T$20="Binary Partner",POWER(Upgrades!$U$20,L411),1)*IF(Upgrades!$T$21="Binary Partner",POWER(Upgrades!$U$21,M411),1))+(IF(K411=0,0,(Upgrades!$M$19+K411*Upgrades!$N$19)*POWER(Upgrades!$O$19,K411)))*(IF(Upgrades!$T$13="Peculiar Velocity",POWER(Upgrades!$U$13,E411),1)*IF(Upgrades!$T$14="Peculiar Velocity",POWER(Upgrades!$U$14,F411),1)*IF(Upgrades!$T$15="Peculiar Velocity",POWER(Upgrades!$U$15,G411),1)*IF(Upgrades!$T$16="Peculiar Velocity",POWER(Upgrades!$U$16,H411),1)*IF(Upgrades!$T$17="Peculiar Velocity",POWER(Upgrades!$U$17,I411),1)*IF(Upgrades!$T$18="Peculiar Velocity",POWER(Upgrades!$U$18,J411),1)*IF(Upgrades!$T$20="Peculiar Velocity",POWER(Upgrades!$U$20,L411),1)*IF(Upgrades!$T$21="Peculiar Velocity",POWER(Upgrades!$U$21,M411),1))+(IF(L411=0,0,(Upgrades!$M$20+L411*Upgrades!$N$20)*POWER(Upgrades!$O$20,L411)))*(IF(Upgrades!$T$13="Open Cluster",POWER(Upgrades!$U$13,E411),1)*IF(Upgrades!$T$14="Open Cluster",POWER(Upgrades!$U$14,F411),1)*IF(Upgrades!$T$15="Open Cluster",POWER(Upgrades!$U$15,G411),1)*IF(Upgrades!$T$16="Open Cluster",POWER(Upgrades!$U$16,H411),1)*IF(Upgrades!$T$17="Open Cluster",POWER(Upgrades!$U$17,I411),1)*IF(Upgrades!$T$18="Open Cluster",POWER(Upgrades!$U$18,J411),1)*IF(Upgrades!$T$19="Open Cluster",POWER(Upgrades!$U$19,K411),1)*IF(Upgrades!$T$21="Open Cluster",POWER(Upgrades!$U$21,M411),1))+(IF(M411=0,0,(Upgrades!$M$21+M411*Upgrades!$N$21)*POWER(Upgrades!$O$21,M411)))*(IF(Upgrades!$T$13="Moving Group",POWER(Upgrades!$U$13,E411),1)*IF(Upgrades!$T$14="Moving Group",POWER(Upgrades!$U$14,F411),1)*IF(Upgrades!$T$15="Moving Group",POWER(Upgrades!$U$15,G411),1)*IF(Upgrades!$T$16="Moving Group",POWER(Upgrades!$U$16,H411),1)*IF(Upgrades!$T$17="Moving Group",POWER(Upgrades!$U$17,I411),1)*IF(Upgrades!$T$18="Moving Group",POWER(Upgrades!$U$18,J411),1)*IF(Upgrades!$T$19="Moving Group",POWER(Upgrades!$U$19,K411),1)*IF(Upgrades!$T$20="Moving Group",POWER(Upgrades!$U$20,L411),1)))*POWER(Upgrades!$R$13,E411)*POWER(Upgrades!$R$14,F411)*POWER(Upgrades!$R$15,G411)*POWER(Upgrades!$R$16,H411)*POWER(Upgrades!$R$17,I411)*POWER(Upgrades!$R$18,J411)*POWER(Upgrades!$R$19,K411)*POWER(Upgrades!$R$20,L411)*POWER(Upgrades!$R$21,M411)*$H$6+$E$6</f>
        <v/>
      </c>
      <c r="R411" s="27">
        <f>IF(N411=1,0,O411*Parameters!$B$10/60*Parameters!$B$11*10)</f>
        <v/>
      </c>
      <c r="S411" s="27">
        <f>IF(N411=1,0,Q411*O411*10)</f>
        <v/>
      </c>
      <c r="T411" s="27">
        <f>IF(N411=1,0,R411+S411+P411*10)</f>
        <v/>
      </c>
      <c r="U411" s="33">
        <f>BE411</f>
        <v/>
      </c>
      <c r="V411" s="22">
        <f>IF(U411="",0,IF(U411="transition",0,IF(U411="SK",AK411,IF(U411="LB",AL411,IF(U411="ML",AM411,IF(U411="RLO",AN411,IF(U411="BD",AO411,IF(U411="BiP",AP411,IF(U411="PV",AQ411,IF(U411="OC",AR411,IF(U411="MG",AS411,0))))))))))</f>
        <v/>
      </c>
      <c r="W411" s="27">
        <f>IF(U411="BiP",Upgrades!$F$18,IF(U411="PV",Upgrades!$F$19,IF(U411="OC",Upgrades!$F$20,IF(U411="MG",Upgrades!$F$21,IF(U411="transition",-Parameters!$B$18*Parameters!$B$19,0)))))</f>
        <v/>
      </c>
      <c r="X411" s="22">
        <f>C411+T411-V411</f>
        <v/>
      </c>
      <c r="Y411" s="30">
        <f>O411*Parameters!$B$10/60*Parameters!$B$11+Q411*O411+P411</f>
        <v/>
      </c>
      <c r="Z411" s="34">
        <f>IF(U411="transition","→ Tier 3 (Galactic Arm)",IF(U411="MG","Moving Group — pocket drifts together",IF(U411="OC","Open Cluster acquired",IF(U411="PV","Peculiar Velocity — passive multiplier active",IF(U411="BiP","Binary Partner — pair bond formed",IF(AND(AU411=1,N411=0,AT411&lt;&gt;1),"Cohesion ready (waiting on completionists)","")))))) </f>
        <v/>
      </c>
      <c r="AA411" s="27">
        <f>(IF(E411=0,0,(Upgrades!$G$13+E411*Upgrades!$H$13)*POWER(Upgrades!$I$13,E411)))*(IF(Upgrades!$T$14="Stellar Kinematics",POWER(Upgrades!$U$14,F411),1)*IF(Upgrades!$T$15="Stellar Kinematics",POWER(Upgrades!$U$15,G411),1)*IF(Upgrades!$T$16="Stellar Kinematics",POWER(Upgrades!$U$16,H411),1)*IF(Upgrades!$T$17="Stellar Kinematics",POWER(Upgrades!$U$17,I411),1)*IF(Upgrades!$T$18="Stellar Kinematics",POWER(Upgrades!$U$18,J411),1)*IF(Upgrades!$T$19="Stellar Kinematics",POWER(Upgrades!$U$19,K411),1)*IF(Upgrades!$T$20="Stellar Kinematics",POWER(Upgrades!$U$20,L411),1)*IF(Upgrades!$T$21="Stellar Kinematics",POWER(Upgrades!$U$21,M411),1))*POWER(Upgrades!$P$13,E411)*POWER(Upgrades!$P$14,F411)*POWER(Upgrades!$P$15,G411)*POWER(Upgrades!$P$16,H411)*POWER(Upgrades!$P$17,I411)*POWER(Upgrades!$P$18,J411)*POWER(Upgrades!$P$19,K411)*POWER(Upgrades!$P$20,L411)*POWER(Upgrades!$P$21,M411)*$F$6*60</f>
        <v/>
      </c>
      <c r="AB411" s="27">
        <f>(IF(F411=0,0,(Upgrades!$G$14+F411*Upgrades!$H$14)*POWER(Upgrades!$I$14,F411)))*(IF(Upgrades!$T$13="Local Bubble",POWER(Upgrades!$U$13,E411),1)*IF(Upgrades!$T$15="Local Bubble",POWER(Upgrades!$U$15,G411),1)*IF(Upgrades!$T$16="Local Bubble",POWER(Upgrades!$U$16,H411),1)*IF(Upgrades!$T$17="Local Bubble",POWER(Upgrades!$U$17,I411),1)*IF(Upgrades!$T$18="Local Bubble",POWER(Upgrades!$U$18,J411),1)*IF(Upgrades!$T$19="Local Bubble",POWER(Upgrades!$U$19,K411),1)*IF(Upgrades!$T$20="Local Bubble",POWER(Upgrades!$U$20,L411),1)*IF(Upgrades!$T$21="Local Bubble",POWER(Upgrades!$U$21,M411),1))*POWER(Upgrades!$P$13,E411)*POWER(Upgrades!$P$14,F411)*POWER(Upgrades!$P$15,G411)*POWER(Upgrades!$P$16,H411)*POWER(Upgrades!$P$17,I411)*POWER(Upgrades!$P$18,J411)*POWER(Upgrades!$P$19,K411)*POWER(Upgrades!$P$20,L411)*POWER(Upgrades!$P$21,M411)*$F$6*60</f>
        <v/>
      </c>
      <c r="AC411" s="27">
        <f>(IF(G411=0,0,(Upgrades!$J$15+G411*Upgrades!$K$15)*POWER(Upgrades!$L$15,G411)))*(IF(Upgrades!$T$13="Microlensing",POWER(Upgrades!$U$13,E411),1)*IF(Upgrades!$T$14="Microlensing",POWER(Upgrades!$U$14,F411),1)*IF(Upgrades!$T$16="Microlensing",POWER(Upgrades!$U$16,H411),1)*IF(Upgrades!$T$17="Microlensing",POWER(Upgrades!$U$17,I411),1)*IF(Upgrades!$T$18="Microlensing",POWER(Upgrades!$U$18,J411),1)*IF(Upgrades!$T$19="Microlensing",POWER(Upgrades!$U$19,K411),1)*IF(Upgrades!$T$20="Microlensing",POWER(Upgrades!$U$20,L411),1)*IF(Upgrades!$T$21="Microlensing",POWER(Upgrades!$U$21,M411),1))*POWER(Upgrades!$Q$13,E411)*POWER(Upgrades!$Q$14,F411)*POWER(Upgrades!$Q$15,G411)*POWER(Upgrades!$Q$16,H411)*POWER(Upgrades!$Q$17,I411)*POWER(Upgrades!$Q$18,J411)*POWER(Upgrades!$Q$19,K411)*POWER(Upgrades!$Q$20,L411)*POWER(Upgrades!$Q$21,M411)*$G$6*(Parameters!$B$10*Parameters!$B$11+Q411*60)</f>
        <v/>
      </c>
      <c r="AD411" s="27">
        <f>(IF(H411=0,0,(Upgrades!$M$16+H411*Upgrades!$N$16)*POWER(Upgrades!$O$16,H411)))*(IF(Upgrades!$T$13="Roche Lobe Overflow",POWER(Upgrades!$U$13,E411),1)*IF(Upgrades!$T$14="Roche Lobe Overflow",POWER(Upgrades!$U$14,F411),1)*IF(Upgrades!$T$15="Roche Lobe Overflow",POWER(Upgrades!$U$15,G411),1)*IF(Upgrades!$T$17="Roche Lobe Overflow",POWER(Upgrades!$U$17,I411),1)*IF(Upgrades!$T$18="Roche Lobe Overflow",POWER(Upgrades!$U$18,J411),1)*IF(Upgrades!$T$19="Roche Lobe Overflow",POWER(Upgrades!$U$19,K411),1)*IF(Upgrades!$T$20="Roche Lobe Overflow",POWER(Upgrades!$U$20,L411),1)*IF(Upgrades!$T$21="Roche Lobe Overflow",POWER(Upgrades!$U$21,M411),1))*POWER(Upgrades!$R$13,E411)*POWER(Upgrades!$R$14,F411)*POWER(Upgrades!$R$15,G411)*POWER(Upgrades!$R$16,H411)*POWER(Upgrades!$R$17,I411)*POWER(Upgrades!$R$18,J411)*POWER(Upgrades!$R$19,K411)*POWER(Upgrades!$R$20,L411)*POWER(Upgrades!$R$21,M411)*$H$6*O411*60</f>
        <v/>
      </c>
      <c r="AE411" s="27">
        <f>(IF(I411=0,0,(Upgrades!$G$17+I411*Upgrades!$H$17)*POWER(Upgrades!$I$17,I411)))*(IF(Upgrades!$T$13="Brown Dwarf",POWER(Upgrades!$U$13,E411),1)*IF(Upgrades!$T$14="Brown Dwarf",POWER(Upgrades!$U$14,F411),1)*IF(Upgrades!$T$15="Brown Dwarf",POWER(Upgrades!$U$15,G411),1)*IF(Upgrades!$T$16="Brown Dwarf",POWER(Upgrades!$U$16,H411),1)*IF(Upgrades!$T$18="Brown Dwarf",POWER(Upgrades!$U$18,J411),1)*IF(Upgrades!$T$19="Brown Dwarf",POWER(Upgrades!$U$19,K411),1)*IF(Upgrades!$T$20="Brown Dwarf",POWER(Upgrades!$U$20,L411),1)*IF(Upgrades!$T$21="Brown Dwarf",POWER(Upgrades!$U$21,M411),1))*POWER(Upgrades!$P$13,E411)*POWER(Upgrades!$P$14,F411)*POWER(Upgrades!$P$15,G411)*POWER(Upgrades!$P$16,H411)*POWER(Upgrades!$P$17,I411)*POWER(Upgrades!$P$18,J411)*POWER(Upgrades!$P$19,K411)*POWER(Upgrades!$P$20,L411)*POWER(Upgrades!$P$21,M411)*$F$6*60</f>
        <v/>
      </c>
      <c r="AF411" s="27" t="n">
        <v>0</v>
      </c>
      <c r="AG411" s="27" t="n">
        <v>0</v>
      </c>
      <c r="AH411" s="27" t="n">
        <v>0</v>
      </c>
      <c r="AI411" s="27">
        <f>(IF(M411=0,0,(Upgrades!$G$21+M411*Upgrades!$H$21)*POWER(Upgrades!$I$21,M411)))*(IF(Upgrades!$T$13="Moving Group",POWER(Upgrades!$U$13,E411),1)*IF(Upgrades!$T$14="Moving Group",POWER(Upgrades!$U$14,F411),1)*IF(Upgrades!$T$15="Moving Group",POWER(Upgrades!$U$15,G411),1)*IF(Upgrades!$T$16="Moving Group",POWER(Upgrades!$U$16,H411),1)*IF(Upgrades!$T$17="Moving Group",POWER(Upgrades!$U$17,I411),1)*IF(Upgrades!$T$18="Moving Group",POWER(Upgrades!$U$18,J411),1)*IF(Upgrades!$T$19="Moving Group",POWER(Upgrades!$U$19,K411),1)*IF(Upgrades!$T$20="Moving Group",POWER(Upgrades!$U$20,L411),1))*POWER(Upgrades!$P$13,E411)*POWER(Upgrades!$P$14,F411)*POWER(Upgrades!$P$15,G411)*POWER(Upgrades!$P$16,H411)*POWER(Upgrades!$P$17,I411)*POWER(Upgrades!$P$18,J411)*POWER(Upgrades!$P$19,K411)*POWER(Upgrades!$P$20,L411)*POWER(Upgrades!$P$21,M411)*$F$6*60</f>
        <v/>
      </c>
      <c r="AJ411" s="27">
        <f>$C$6*60</f>
        <v/>
      </c>
      <c r="AK411" s="22">
        <f>IF(E411&gt;=Upgrades!$E$13,"",Upgrades!$C$13*POWER(Upgrades!$D$13,E411))</f>
        <v/>
      </c>
      <c r="AL411" s="22">
        <f>IF(F411&gt;=Upgrades!$E$14,"",Upgrades!$C$14*POWER(Upgrades!$D$14,F411))</f>
        <v/>
      </c>
      <c r="AM411" s="22">
        <f>IF(G411&gt;=Upgrades!$E$15,"",Upgrades!$C$15*POWER(Upgrades!$D$15,G411))</f>
        <v/>
      </c>
      <c r="AN411" s="22">
        <f>IF(H411&gt;=Upgrades!$E$16,"",Upgrades!$C$16*POWER(Upgrades!$D$16,H411))</f>
        <v/>
      </c>
      <c r="AO411" s="22">
        <f>IF(I411&gt;=Upgrades!$E$17,"",Upgrades!$C$17*POWER(Upgrades!$D$17,I411))</f>
        <v/>
      </c>
      <c r="AP411" s="22">
        <f>IF(J411&gt;=Upgrades!$E$18,"",Upgrades!$C$18*POWER(Upgrades!$D$18,J411))</f>
        <v/>
      </c>
      <c r="AQ411" s="22">
        <f>IF(K411&gt;=Upgrades!$E$19,"",Upgrades!$C$19*POWER(Upgrades!$D$19,K411))</f>
        <v/>
      </c>
      <c r="AR411" s="22">
        <f>IF(L411&gt;=Upgrades!$E$20,"",Upgrades!$C$20*POWER(Upgrades!$D$20,L411))</f>
        <v/>
      </c>
      <c r="AS411" s="22">
        <f>IF(M411&gt;=Upgrades!$E$21,"",Upgrades!$C$21*POWER(Upgrades!$D$21,M411))</f>
        <v/>
      </c>
      <c r="AT411" s="26">
        <f>IF(AND(D411&gt;=Parameters!$B$18*Parameters!$B$19,(I411&gt;=Upgrades!$E$17)*(M411&gt;=Upgrades!$E$21)=1,N411=0),1,"")</f>
        <v/>
      </c>
      <c r="AU411" s="26">
        <f>IF(AND(D411&gt;=Parameters!$B$18*Parameters!$B$19,N411=0),1,"")</f>
        <v/>
      </c>
      <c r="AV411" s="22">
        <f>MIN(IF(ISNUMBER(AP411),AP411,9E15),IF(ISNUMBER(AQ411),AQ411,9E15),IF(ISNUMBER(AR411),AR411,9E15),IF(ISNUMBER(AS411),AS411,9E15))</f>
        <v/>
      </c>
      <c r="AW411" s="22">
        <f>MIN(IF(ISNUMBER(AK411),AK411,9E15),IF(ISNUMBER(AL411),AL411,9E15),IF(ISNUMBER(AM411),AM411,9E15),IF(ISNUMBER(AN411),AN411,9E15),IF(ISNUMBER(AO411),AO411,9E15))</f>
        <v/>
      </c>
      <c r="AX411" s="29">
        <f>IF(BD411&gt;Parameters!$B$21*(MAX(IF(AND(NOT(AND(AU411=1,AT411&lt;&gt;1)),ISNUMBER(AK411),AK411&lt;=(C411+T411)),AY411,0),IF(AND(NOT(AND(AU411=1,AT411&lt;&gt;1)),ISNUMBER(AL411),AL411&lt;=(C411+T411)),AZ411,0),IF(AND(NOT(AND(AU411=1,AT411&lt;&gt;1)),ISNUMBER(AM411),AM411&lt;=(C411+T411)),BA411,0),IF(AND(NOT(AND(AU411=1,AT411&lt;&gt;1)),ISNUMBER(AN411),AN411&lt;=(C411+T411)),BB411,0),IF(AND(ISNUMBER(AO411),AO411&lt;=(C411+T411)),BC411,0))),TRUE,FALSE)</f>
        <v/>
      </c>
      <c r="AY411" s="32">
        <f>IFERROR(Upgrades!$H$13*(POWER(Upgrades!$P$13,E411)*POWER(Upgrades!$P$14,F411)*POWER(Upgrades!$P$15,G411)*POWER(Upgrades!$P$16,H411)*POWER(Upgrades!$P$17,I411)*POWER(Upgrades!$P$18,J411)*POWER(Upgrades!$P$19,K411)*POWER(Upgrades!$P$20,L411)*POWER(Upgrades!$P$21,M411))*(IF(Upgrades!$T$14="Stellar Kinematics",POWER(Upgrades!$U$14,F411),1)*IF(Upgrades!$T$15="Stellar Kinematics",POWER(Upgrades!$U$15,G411),1)*IF(Upgrades!$T$16="Stellar Kinematics",POWER(Upgrades!$U$16,H411),1)*IF(Upgrades!$T$17="Stellar Kinematics",POWER(Upgrades!$U$17,I411),1)*IF(Upgrades!$T$18="Stellar Kinematics",POWER(Upgrades!$U$18,J411),1)*IF(Upgrades!$T$19="Stellar Kinematics",POWER(Upgrades!$U$19,K411),1)*IF(Upgrades!$T$20="Stellar Kinematics",POWER(Upgrades!$U$20,L411),1)*IF(Upgrades!$T$21="Stellar Kinematics",POWER(Upgrades!$U$21,M411),1))*$F$6/AK411,0)</f>
        <v/>
      </c>
      <c r="AZ411" s="32">
        <f>IFERROR(Upgrades!$H$14*(POWER(Upgrades!$P$13,E411)*POWER(Upgrades!$P$14,F411)*POWER(Upgrades!$P$15,G411)*POWER(Upgrades!$P$16,H411)*POWER(Upgrades!$P$17,I411)*POWER(Upgrades!$P$18,J411)*POWER(Upgrades!$P$19,K411)*POWER(Upgrades!$P$20,L411)*POWER(Upgrades!$P$21,M411))*(IF(Upgrades!$T$13="Local Bubble",POWER(Upgrades!$U$13,E411),1)*IF(Upgrades!$T$15="Local Bubble",POWER(Upgrades!$U$15,G411),1)*IF(Upgrades!$T$16="Local Bubble",POWER(Upgrades!$U$16,H411),1)*IF(Upgrades!$T$17="Local Bubble",POWER(Upgrades!$U$17,I411),1)*IF(Upgrades!$T$18="Local Bubble",POWER(Upgrades!$U$18,J411),1)*IF(Upgrades!$T$19="Local Bubble",POWER(Upgrades!$U$19,K411),1)*IF(Upgrades!$T$20="Local Bubble",POWER(Upgrades!$U$20,L411),1)*IF(Upgrades!$T$21="Local Bubble",POWER(Upgrades!$U$21,M411),1))*$F$6/AL411,0)</f>
        <v/>
      </c>
      <c r="BA411" s="32">
        <f>IFERROR(Upgrades!$K$15*(POWER(Upgrades!$Q$13,E411)*POWER(Upgrades!$Q$14,F411)*POWER(Upgrades!$Q$15,G411)*POWER(Upgrades!$Q$16,H411)*POWER(Upgrades!$Q$17,I411)*POWER(Upgrades!$Q$18,J411)*POWER(Upgrades!$Q$19,K411)*POWER(Upgrades!$Q$20,L411)*POWER(Upgrades!$Q$21,M411))*(IF(Upgrades!$T$13="Microlensing",POWER(Upgrades!$U$13,E411),1)*IF(Upgrades!$T$14="Microlensing",POWER(Upgrades!$U$14,F411),1)*IF(Upgrades!$T$16="Microlensing",POWER(Upgrades!$U$16,H411),1)*IF(Upgrades!$T$17="Microlensing",POWER(Upgrades!$U$17,I411),1)*IF(Upgrades!$T$18="Microlensing",POWER(Upgrades!$U$18,J411),1)*IF(Upgrades!$T$19="Microlensing",POWER(Upgrades!$U$19,K411),1)*IF(Upgrades!$T$20="Microlensing",POWER(Upgrades!$U$20,L411),1)*IF(Upgrades!$T$21="Microlensing",POWER(Upgrades!$U$21,M411),1))*$G$6*(Parameters!$B$10/60*Parameters!$B$11+Q411)/AM411,0)</f>
        <v/>
      </c>
      <c r="BB411" s="32">
        <f>IFERROR((Upgrades!$N$16*(POWER(Upgrades!$R$13,E411)*POWER(Upgrades!$R$14,F411)*POWER(Upgrades!$R$15,G411)*POWER(Upgrades!$R$16,H411)*POWER(Upgrades!$R$17,I411)*POWER(Upgrades!$R$18,J411)*POWER(Upgrades!$R$19,K411)*POWER(Upgrades!$R$20,L411)*POWER(Upgrades!$R$21,M411))*(IF(Upgrades!$T$13="Roche Lobe Overflow",POWER(Upgrades!$U$13,E411),1)*IF(Upgrades!$T$14="Roche Lobe Overflow",POWER(Upgrades!$U$14,F411),1)*IF(Upgrades!$T$15="Roche Lobe Overflow",POWER(Upgrades!$U$15,G411),1)*IF(Upgrades!$T$17="Roche Lobe Overflow",POWER(Upgrades!$U$17,I411),1)*IF(Upgrades!$T$18="Roche Lobe Overflow",POWER(Upgrades!$U$18,J411),1)*IF(Upgrades!$T$19="Roche Lobe Overflow",POWER(Upgrades!$U$19,K411),1)*IF(Upgrades!$T$20="Roche Lobe Overflow",POWER(Upgrades!$U$20,L411),1)*IF(Upgrades!$T$21="Roche Lobe Overflow",POWER(Upgrades!$U$21,M411),1))*$H$6*O411+((IF(F411=0,0,(Upgrades!$G$14+F411*Upgrades!$H$14)*POWER(Upgrades!$I$14,F411)))*(IF(Upgrades!$T$13="Local Bubble",POWER(Upgrades!$U$13,E411),1)*IF(Upgrades!$T$15="Local Bubble",POWER(Upgrades!$U$15,G411),1)*IF(Upgrades!$T$16="Local Bubble",POWER(Upgrades!$U$16,H411),1)*IF(Upgrades!$T$17="Local Bubble",POWER(Upgrades!$U$17,I411),1)*IF(Upgrades!$T$18="Local Bubble",POWER(Upgrades!$U$18,J411),1)*IF(Upgrades!$T$19="Local Bubble",POWER(Upgrades!$U$19,K411),1)*IF(Upgrades!$T$20="Local Bubble",POWER(Upgrades!$U$20,L411),1)*IF(Upgrades!$T$21="Local Bubble",POWER(Upgrades!$U$21,M411),1))*POWER(Upgrades!$P$13,E411)*POWER(Upgrades!$P$14,F411)*POWER(Upgrades!$P$15,G411)*POWER(Upgrades!$P$16,H411)*POWER(Upgrades!$P$17,I411)*POWER(Upgrades!$P$18,J411)*POWER(Upgrades!$P$19,K411)*POWER(Upgrades!$P$20,L411)*POWER(Upgrades!$P$21,M411)*$F$6)*0.05)/AN411,0)</f>
        <v/>
      </c>
      <c r="BC411" s="32">
        <f>IFERROR((Upgrades!$H$17*(POWER(Upgrades!$P$13,E411)*POWER(Upgrades!$P$14,F411)*POWER(Upgrades!$P$15,G411)*POWER(Upgrades!$P$16,H411)*POWER(Upgrades!$P$17,I411)*POWER(Upgrades!$P$18,J411)*POWER(Upgrades!$P$19,K411)*POWER(Upgrades!$P$20,L411)*POWER(Upgrades!$P$21,M411))*(IF(Upgrades!$T$13="Brown Dwarf",POWER(Upgrades!$U$13,E411),1)*IF(Upgrades!$T$14="Brown Dwarf",POWER(Upgrades!$U$14,F411),1)*IF(Upgrades!$T$15="Brown Dwarf",POWER(Upgrades!$U$15,G411),1)*IF(Upgrades!$T$16="Brown Dwarf",POWER(Upgrades!$U$16,H411),1)*IF(Upgrades!$T$18="Brown Dwarf",POWER(Upgrades!$U$18,J411),1)*IF(Upgrades!$T$19="Brown Dwarf",POWER(Upgrades!$U$19,K411),1)*IF(Upgrades!$T$20="Brown Dwarf",POWER(Upgrades!$U$20,L411),1)*IF(Upgrades!$T$21="Brown Dwarf",POWER(Upgrades!$U$21,M411),1))*$F$6+(((IF(H411=0,0,(Upgrades!$M$16+H411*Upgrades!$N$16)*POWER(Upgrades!$O$16,H411)))*(IF(Upgrades!$T$13="Roche Lobe Overflow",POWER(Upgrades!$U$13,E411),1)*IF(Upgrades!$T$14="Roche Lobe Overflow",POWER(Upgrades!$U$14,F411),1)*IF(Upgrades!$T$15="Roche Lobe Overflow",POWER(Upgrades!$U$15,G411),1)*IF(Upgrades!$T$17="Roche Lobe Overflow",POWER(Upgrades!$U$17,I411),1)*IF(Upgrades!$T$18="Roche Lobe Overflow",POWER(Upgrades!$U$18,J411),1)*IF(Upgrades!$T$19="Roche Lobe Overflow",POWER(Upgrades!$U$19,K411),1)*IF(Upgrades!$T$20="Roche Lobe Overflow",POWER(Upgrades!$U$20,L411),1)*IF(Upgrades!$T$21="Roche Lobe Overflow",POWER(Upgrades!$U$21,M411),1))*POWER(Upgrades!$R$13,E411)*POWER(Upgrades!$R$14,F411)*POWER(Upgrades!$R$15,G411)*POWER(Upgrades!$R$16,H411)*POWER(Upgrades!$R$17,I411)*POWER(Upgrades!$R$18,J411)*POWER(Upgrades!$R$19,K411)*POWER(Upgrades!$R$20,L411)*POWER(Upgrades!$R$21,M411)*$H$6)*O411)*0.10)/AO411,0)</f>
        <v/>
      </c>
      <c r="BD411" s="32">
        <f>MAX(IF(J411&gt;0,0,IFERROR(0.5*((IF(G411=0,0,(Upgrades!$J$15+G411*Upgrades!$K$15)*POWER(Upgrades!$L$15,G411)))*(IF(Upgrades!$T$13="Microlensing",POWER(Upgrades!$U$13,E411),1)*IF(Upgrades!$T$14="Microlensing",POWER(Upgrades!$U$14,F411),1)*IF(Upgrades!$T$16="Microlensing",POWER(Upgrades!$U$16,H411),1)*IF(Upgrades!$T$17="Microlensing",POWER(Upgrades!$U$17,I411),1)*IF(Upgrades!$T$18="Microlensing",POWER(Upgrades!$U$18,J411),1)*IF(Upgrades!$T$19="Microlensing",POWER(Upgrades!$U$19,K411),1)*IF(Upgrades!$T$20="Microlensing",POWER(Upgrades!$U$20,L411),1)*IF(Upgrades!$T$21="Microlensing",POWER(Upgrades!$U$21,M411),1))*(POWER(Upgrades!$Q$13,E411)*POWER(Upgrades!$Q$14,F411)*POWER(Upgrades!$Q$15,G411)*POWER(Upgrades!$Q$16,H411)*POWER(Upgrades!$Q$17,I411)*POWER(Upgrades!$Q$18,J411)*POWER(Upgrades!$Q$19,K411)*POWER(Upgrades!$Q$20,L411)*POWER(Upgrades!$Q$21,M411))*$G$6*(Parameters!$B$10/60*Parameters!$B$11+Q411))/Upgrades!$C$18,0)),IF(K411&gt;0,0,IFERROR(0.30*P411/Upgrades!$C$19,0)),IF(L411&gt;0,0,IFERROR(0.0001/Upgrades!$C$20,0)),IF(M411&gt;0,0,IFERROR((6.0*(POWER(Upgrades!$P$13,E411)*POWER(Upgrades!$P$14,F411)*POWER(Upgrades!$P$15,G411)*POWER(Upgrades!$P$16,H411)*POWER(Upgrades!$P$17,I411)*POWER(Upgrades!$P$18,J411)*POWER(Upgrades!$P$19,K411)*POWER(Upgrades!$P$20,L411)*POWER(Upgrades!$P$21,M411))*$F$6+0.20*O411*(Parameters!$B$10/60*Parameters!$B$11+Q411))/Upgrades!$C$21,0)),IF(AND(ISNUMBER(AK411),AK411&gt;(C411+T411)),AY411,0),IF(AND(ISNUMBER(AL411),AL411&gt;(C411+T411)),AZ411,0),IF(AND(ISNUMBER(AM411),AM411&gt;(C411+T411)),BA411,0),IF(AND(ISNUMBER(AN411),AN411&gt;(C411+T411)),BB411,0),IF(AND(ISNUMBER(AO411),AO411&gt;(C411+T411)),BC411,0))</f>
        <v/>
      </c>
      <c r="BE411" s="29">
        <f>IF(AT411=1,"transition",IF(MIN(IF(AND(J411=0,ISNUMBER(AP411),AP411&lt;=(C411+T411)),AP411,9E15),IF(AND(K411=0,ISNUMBER(AQ411),AQ411&lt;=(C411+T411)),AQ411,9E15),IF(AND(L411=0,ISNUMBER(AR411),AR411&lt;=(C411+T411)),AR411,9E15),IF(AND(M411=0,ISNUMBER(AS411),AS411&lt;=(C411+T411)),AS411,9E15))&lt;9E15,IF(AND(AND(J411=0,ISNUMBER(AP411),AP411&lt;=(C411+T411)),AP411=MIN(IF(AND(J411=0,ISNUMBER(AP411),AP411&lt;=(C411+T411)),AP411,9E15),IF(AND(K411=0,ISNUMBER(AQ411),AQ411&lt;=(C411+T411)),AQ411,9E15),IF(AND(L411=0,ISNUMBER(AR411),AR411&lt;=(C411+T411)),AR411,9E15),IF(AND(M411=0,ISNUMBER(AS411),AS411&lt;=(C411+T411)),AS411,9E15))),"BiP",IF(AND(AND(K411=0,ISNUMBER(AQ411),AQ411&lt;=(C411+T411)),AQ411=MIN(IF(AND(J411=0,ISNUMBER(AP411),AP411&lt;=(C411+T411)),AP411,9E15),IF(AND(K411=0,ISNUMBER(AQ411),AQ411&lt;=(C411+T411)),AQ411,9E15),IF(AND(L411=0,ISNUMBER(AR411),AR411&lt;=(C411+T411)),AR411,9E15),IF(AND(M411=0,ISNUMBER(AS411),AS411&lt;=(C411+T411)),AS411,9E15))),"PV",IF(AND(AND(L411=0,ISNUMBER(AR411),AR411&lt;=(C411+T411)),AR411=MIN(IF(AND(J411=0,ISNUMBER(AP411),AP411&lt;=(C411+T411)),AP411,9E15),IF(AND(K411=0,ISNUMBER(AQ411),AQ411&lt;=(C411+T411)),AQ411,9E15),IF(AND(L411=0,ISNUMBER(AR411),AR411&lt;=(C411+T411)),AR411,9E15),IF(AND(M411=0,ISNUMBER(AS411),AS411&lt;=(C411+T411)),AS411,9E15))),"OC","MG"))),IF(AX411=TRUE,"",IF(MAX(IF(AND(NOT(AND(AU411=1,AT411&lt;&gt;1)),ISNUMBER(AK411),AK411&lt;=(C411+T411)),AY411,0),IF(AND(NOT(AND(AU411=1,AT411&lt;&gt;1)),ISNUMBER(AL411),AL411&lt;=(C411+T411)),AZ411,0),IF(AND(NOT(AND(AU411=1,AT411&lt;&gt;1)),ISNUMBER(AM411),AM411&lt;=(C411+T411)),BA411,0),IF(AND(NOT(AND(AU411=1,AT411&lt;&gt;1)),ISNUMBER(AN411),AN411&lt;=(C411+T411)),BB411,0),IF(AND(ISNUMBER(AO411),AO411&lt;=(C411+T411)),BC411,0))&lt;=0,"",IF(AND(IF(AND(NOT(AND(AU411=1,AT411&lt;&gt;1)),ISNUMBER(AK411),AK411&lt;=(C411+T411)),AY411,0)&gt;0,IF(AND(NOT(AND(AU411=1,AT411&lt;&gt;1)),ISNUMBER(AK411),AK411&lt;=(C411+T411)),AY411,0)=MAX(IF(AND(NOT(AND(AU411=1,AT411&lt;&gt;1)),ISNUMBER(AK411),AK411&lt;=(C411+T411)),AY411,0),IF(AND(NOT(AND(AU411=1,AT411&lt;&gt;1)),ISNUMBER(AL411),AL411&lt;=(C411+T411)),AZ411,0),IF(AND(NOT(AND(AU411=1,AT411&lt;&gt;1)),ISNUMBER(AM411),AM411&lt;=(C411+T411)),BA411,0),IF(AND(NOT(AND(AU411=1,AT411&lt;&gt;1)),ISNUMBER(AN411),AN411&lt;=(C411+T411)),BB411,0),IF(AND(ISNUMBER(AO411),AO411&lt;=(C411+T411)),BC411,0))),"SK",IF(AND(IF(AND(NOT(AND(AU411=1,AT411&lt;&gt;1)),ISNUMBER(AL411),AL411&lt;=(C411+T411)),AZ411,0)&gt;0,IF(AND(NOT(AND(AU411=1,AT411&lt;&gt;1)),ISNUMBER(AL411),AL411&lt;=(C411+T411)),AZ411,0)=MAX(IF(AND(NOT(AND(AU411=1,AT411&lt;&gt;1)),ISNUMBER(AK411),AK411&lt;=(C411+T411)),AY411,0),IF(AND(NOT(AND(AU411=1,AT411&lt;&gt;1)),ISNUMBER(AL411),AL411&lt;=(C411+T411)),AZ411,0),IF(AND(NOT(AND(AU411=1,AT411&lt;&gt;1)),ISNUMBER(AM411),AM411&lt;=(C411+T411)),BA411,0),IF(AND(NOT(AND(AU411=1,AT411&lt;&gt;1)),ISNUMBER(AN411),AN411&lt;=(C411+T411)),BB411,0),IF(AND(ISNUMBER(AO411),AO411&lt;=(C411+T411)),BC411,0))),"LB",IF(AND(IF(AND(NOT(AND(AU411=1,AT411&lt;&gt;1)),ISNUMBER(AM411),AM411&lt;=(C411+T411)),BA411,0)&gt;0,IF(AND(NOT(AND(AU411=1,AT411&lt;&gt;1)),ISNUMBER(AM411),AM411&lt;=(C411+T411)),BA411,0)=MAX(IF(AND(NOT(AND(AU411=1,AT411&lt;&gt;1)),ISNUMBER(AK411),AK411&lt;=(C411+T411)),AY411,0),IF(AND(NOT(AND(AU411=1,AT411&lt;&gt;1)),ISNUMBER(AL411),AL411&lt;=(C411+T411)),AZ411,0),IF(AND(NOT(AND(AU411=1,AT411&lt;&gt;1)),ISNUMBER(AM411),AM411&lt;=(C411+T411)),BA411,0),IF(AND(NOT(AND(AU411=1,AT411&lt;&gt;1)),ISNUMBER(AN411),AN411&lt;=(C411+T411)),BB411,0),IF(AND(ISNUMBER(AO411),AO411&lt;=(C411+T411)),BC411,0))),"ML",IF(AND(IF(AND(NOT(AND(AU411=1,AT411&lt;&gt;1)),ISNUMBER(AN411),AN411&lt;=(C411+T411)),BB411,0)&gt;0,IF(AND(NOT(AND(AU411=1,AT411&lt;&gt;1)),ISNUMBER(AN411),AN411&lt;=(C411+T411)),BB411,0)=MAX(IF(AND(NOT(AND(AU411=1,AT411&lt;&gt;1)),ISNUMBER(AK411),AK411&lt;=(C411+T411)),AY411,0),IF(AND(NOT(AND(AU411=1,AT411&lt;&gt;1)),ISNUMBER(AL411),AL411&lt;=(C411+T411)),AZ411,0),IF(AND(NOT(AND(AU411=1,AT411&lt;&gt;1)),ISNUMBER(AM411),AM411&lt;=(C411+T411)),BA411,0),IF(AND(NOT(AND(AU411=1,AT411&lt;&gt;1)),ISNUMBER(AN411),AN411&lt;=(C411+T411)),BB411,0),IF(AND(ISNUMBER(AO411),AO411&lt;=(C411+T411)),BC411,0))),"RLO","BD"))))))))</f>
        <v/>
      </c>
    </row>
  </sheetData>
  <mergeCells count="3">
    <mergeCell ref="A4:H4"/>
    <mergeCell ref="H8:M8"/>
    <mergeCell ref="A8:D8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Curves — Tier 2</t>
        </is>
      </c>
    </row>
    <row r="2">
      <c r="A2" s="2" t="inlineStr">
        <is>
          <t>Purchase cadence and income split for T2. Tracks T2 sim minutes (independent of T1 minutes).</t>
        </is>
      </c>
    </row>
    <row r="4">
      <c r="A4" s="17" t="inlineStr">
        <is>
          <t>Minute (T2)</t>
        </is>
      </c>
      <c r="B4" s="17" t="inlineStr">
        <is>
          <t>Purchases</t>
        </is>
      </c>
      <c r="C4" s="17" t="inlineStr">
        <is>
          <t>Cum purchases</t>
        </is>
      </c>
      <c r="D4" s="17" t="inlineStr">
        <is>
          <t>Click share %</t>
        </is>
      </c>
      <c r="E4" s="17" t="inlineStr">
        <is>
          <t>Active income %</t>
        </is>
      </c>
      <c r="F4" s="17" t="inlineStr">
        <is>
          <t>Auto income %</t>
        </is>
      </c>
    </row>
    <row r="5">
      <c r="A5" s="35" t="n">
        <v>0</v>
      </c>
      <c r="B5" s="35">
        <f>COUNTIFS(UpgradeSimT2!$B$11:$B$411,"&gt;="&amp;0,UpgradeSimT2!$B$11:$B$411,"&lt;"&amp;1,UpgradeSimT2!$U$11:$U$411,"?*")</f>
        <v/>
      </c>
      <c r="C5" s="35">
        <f>SUM(B$5:B5)</f>
        <v/>
      </c>
      <c r="D5" s="36">
        <f>IFERROR(INDEX(UpgradeSimT2!$R$11:$R$411,MATCH(1,UpgradeSimT2!$B$11:$B$411,1))/INDEX(UpgradeSimT2!$T$11:$T$411,MATCH(1,UpgradeSimT2!$B$11:$B$411,1)),0)</f>
        <v/>
      </c>
      <c r="E5" s="36">
        <f>IFERROR((INDEX(UpgradeSimT2!$R$11:$R$411,MATCH(1,UpgradeSimT2!$B$11:$B$411,1))+INDEX(UpgradeSimT2!$S$11:$S$411,MATCH(1,UpgradeSimT2!$B$11:$B$411,1)))/INDEX(UpgradeSimT2!$T$11:$T$411,MATCH(1,UpgradeSimT2!$B$11:$B$411,1)),0)</f>
        <v/>
      </c>
      <c r="F5" s="36">
        <f>IFERROR(INDEX(UpgradeSimT2!$S$11:$S$411,MATCH(1,UpgradeSimT2!$B$11:$B$411,1))/INDEX(UpgradeSimT2!$T$11:$T$411,MATCH(1,UpgradeSimT2!$B$11:$B$411,1)),0)</f>
        <v/>
      </c>
    </row>
    <row r="6">
      <c r="A6" s="35" t="n">
        <v>1</v>
      </c>
      <c r="B6" s="35">
        <f>COUNTIFS(UpgradeSimT2!$B$11:$B$411,"&gt;="&amp;1,UpgradeSimT2!$B$11:$B$411,"&lt;"&amp;2,UpgradeSimT2!$U$11:$U$411,"?*")</f>
        <v/>
      </c>
      <c r="C6" s="35">
        <f>SUM(B$5:B6)</f>
        <v/>
      </c>
      <c r="D6" s="36">
        <f>IFERROR(INDEX(UpgradeSimT2!$R$11:$R$411,MATCH(2,UpgradeSimT2!$B$11:$B$411,1))/INDEX(UpgradeSimT2!$T$11:$T$411,MATCH(2,UpgradeSimT2!$B$11:$B$411,1)),0)</f>
        <v/>
      </c>
      <c r="E6" s="36">
        <f>IFERROR((INDEX(UpgradeSimT2!$R$11:$R$411,MATCH(2,UpgradeSimT2!$B$11:$B$411,1))+INDEX(UpgradeSimT2!$S$11:$S$411,MATCH(2,UpgradeSimT2!$B$11:$B$411,1)))/INDEX(UpgradeSimT2!$T$11:$T$411,MATCH(2,UpgradeSimT2!$B$11:$B$411,1)),0)</f>
        <v/>
      </c>
      <c r="F6" s="36">
        <f>IFERROR(INDEX(UpgradeSimT2!$S$11:$S$411,MATCH(2,UpgradeSimT2!$B$11:$B$411,1))/INDEX(UpgradeSimT2!$T$11:$T$411,MATCH(2,UpgradeSimT2!$B$11:$B$411,1)),0)</f>
        <v/>
      </c>
    </row>
    <row r="7">
      <c r="A7" s="35" t="n">
        <v>2</v>
      </c>
      <c r="B7" s="35">
        <f>COUNTIFS(UpgradeSimT2!$B$11:$B$411,"&gt;="&amp;2,UpgradeSimT2!$B$11:$B$411,"&lt;"&amp;3,UpgradeSimT2!$U$11:$U$411,"?*")</f>
        <v/>
      </c>
      <c r="C7" s="35">
        <f>SUM(B$5:B7)</f>
        <v/>
      </c>
      <c r="D7" s="36">
        <f>IFERROR(INDEX(UpgradeSimT2!$R$11:$R$411,MATCH(3,UpgradeSimT2!$B$11:$B$411,1))/INDEX(UpgradeSimT2!$T$11:$T$411,MATCH(3,UpgradeSimT2!$B$11:$B$411,1)),0)</f>
        <v/>
      </c>
      <c r="E7" s="36">
        <f>IFERROR((INDEX(UpgradeSimT2!$R$11:$R$411,MATCH(3,UpgradeSimT2!$B$11:$B$411,1))+INDEX(UpgradeSimT2!$S$11:$S$411,MATCH(3,UpgradeSimT2!$B$11:$B$411,1)))/INDEX(UpgradeSimT2!$T$11:$T$411,MATCH(3,UpgradeSimT2!$B$11:$B$411,1)),0)</f>
        <v/>
      </c>
      <c r="F7" s="36">
        <f>IFERROR(INDEX(UpgradeSimT2!$S$11:$S$411,MATCH(3,UpgradeSimT2!$B$11:$B$411,1))/INDEX(UpgradeSimT2!$T$11:$T$411,MATCH(3,UpgradeSimT2!$B$11:$B$411,1)),0)</f>
        <v/>
      </c>
    </row>
    <row r="8">
      <c r="A8" s="35" t="n">
        <v>3</v>
      </c>
      <c r="B8" s="35">
        <f>COUNTIFS(UpgradeSimT2!$B$11:$B$411,"&gt;="&amp;3,UpgradeSimT2!$B$11:$B$411,"&lt;"&amp;4,UpgradeSimT2!$U$11:$U$411,"?*")</f>
        <v/>
      </c>
      <c r="C8" s="35">
        <f>SUM(B$5:B8)</f>
        <v/>
      </c>
      <c r="D8" s="36">
        <f>IFERROR(INDEX(UpgradeSimT2!$R$11:$R$411,MATCH(4,UpgradeSimT2!$B$11:$B$411,1))/INDEX(UpgradeSimT2!$T$11:$T$411,MATCH(4,UpgradeSimT2!$B$11:$B$411,1)),0)</f>
        <v/>
      </c>
      <c r="E8" s="36">
        <f>IFERROR((INDEX(UpgradeSimT2!$R$11:$R$411,MATCH(4,UpgradeSimT2!$B$11:$B$411,1))+INDEX(UpgradeSimT2!$S$11:$S$411,MATCH(4,UpgradeSimT2!$B$11:$B$411,1)))/INDEX(UpgradeSimT2!$T$11:$T$411,MATCH(4,UpgradeSimT2!$B$11:$B$411,1)),0)</f>
        <v/>
      </c>
      <c r="F8" s="36">
        <f>IFERROR(INDEX(UpgradeSimT2!$S$11:$S$411,MATCH(4,UpgradeSimT2!$B$11:$B$411,1))/INDEX(UpgradeSimT2!$T$11:$T$411,MATCH(4,UpgradeSimT2!$B$11:$B$411,1)),0)</f>
        <v/>
      </c>
    </row>
    <row r="9">
      <c r="A9" s="35" t="n">
        <v>4</v>
      </c>
      <c r="B9" s="35">
        <f>COUNTIFS(UpgradeSimT2!$B$11:$B$411,"&gt;="&amp;4,UpgradeSimT2!$B$11:$B$411,"&lt;"&amp;5,UpgradeSimT2!$U$11:$U$411,"?*")</f>
        <v/>
      </c>
      <c r="C9" s="35">
        <f>SUM(B$5:B9)</f>
        <v/>
      </c>
      <c r="D9" s="36">
        <f>IFERROR(INDEX(UpgradeSimT2!$R$11:$R$411,MATCH(5,UpgradeSimT2!$B$11:$B$411,1))/INDEX(UpgradeSimT2!$T$11:$T$411,MATCH(5,UpgradeSimT2!$B$11:$B$411,1)),0)</f>
        <v/>
      </c>
      <c r="E9" s="36">
        <f>IFERROR((INDEX(UpgradeSimT2!$R$11:$R$411,MATCH(5,UpgradeSimT2!$B$11:$B$411,1))+INDEX(UpgradeSimT2!$S$11:$S$411,MATCH(5,UpgradeSimT2!$B$11:$B$411,1)))/INDEX(UpgradeSimT2!$T$11:$T$411,MATCH(5,UpgradeSimT2!$B$11:$B$411,1)),0)</f>
        <v/>
      </c>
      <c r="F9" s="36">
        <f>IFERROR(INDEX(UpgradeSimT2!$S$11:$S$411,MATCH(5,UpgradeSimT2!$B$11:$B$411,1))/INDEX(UpgradeSimT2!$T$11:$T$411,MATCH(5,UpgradeSimT2!$B$11:$B$411,1)),0)</f>
        <v/>
      </c>
    </row>
    <row r="10">
      <c r="A10" s="35" t="n">
        <v>5</v>
      </c>
      <c r="B10" s="35">
        <f>COUNTIFS(UpgradeSimT2!$B$11:$B$411,"&gt;="&amp;5,UpgradeSimT2!$B$11:$B$411,"&lt;"&amp;6,UpgradeSimT2!$U$11:$U$411,"?*")</f>
        <v/>
      </c>
      <c r="C10" s="35">
        <f>SUM(B$5:B10)</f>
        <v/>
      </c>
      <c r="D10" s="36">
        <f>IFERROR(INDEX(UpgradeSimT2!$R$11:$R$411,MATCH(6,UpgradeSimT2!$B$11:$B$411,1))/INDEX(UpgradeSimT2!$T$11:$T$411,MATCH(6,UpgradeSimT2!$B$11:$B$411,1)),0)</f>
        <v/>
      </c>
      <c r="E10" s="36">
        <f>IFERROR((INDEX(UpgradeSimT2!$R$11:$R$411,MATCH(6,UpgradeSimT2!$B$11:$B$411,1))+INDEX(UpgradeSimT2!$S$11:$S$411,MATCH(6,UpgradeSimT2!$B$11:$B$411,1)))/INDEX(UpgradeSimT2!$T$11:$T$411,MATCH(6,UpgradeSimT2!$B$11:$B$411,1)),0)</f>
        <v/>
      </c>
      <c r="F10" s="36">
        <f>IFERROR(INDEX(UpgradeSimT2!$S$11:$S$411,MATCH(6,UpgradeSimT2!$B$11:$B$411,1))/INDEX(UpgradeSimT2!$T$11:$T$411,MATCH(6,UpgradeSimT2!$B$11:$B$411,1)),0)</f>
        <v/>
      </c>
    </row>
    <row r="11">
      <c r="A11" s="35" t="n">
        <v>6</v>
      </c>
      <c r="B11" s="35">
        <f>COUNTIFS(UpgradeSimT2!$B$11:$B$411,"&gt;="&amp;6,UpgradeSimT2!$B$11:$B$411,"&lt;"&amp;7,UpgradeSimT2!$U$11:$U$411,"?*")</f>
        <v/>
      </c>
      <c r="C11" s="35">
        <f>SUM(B$5:B11)</f>
        <v/>
      </c>
      <c r="D11" s="36">
        <f>IFERROR(INDEX(UpgradeSimT2!$R$11:$R$411,MATCH(7,UpgradeSimT2!$B$11:$B$411,1))/INDEX(UpgradeSimT2!$T$11:$T$411,MATCH(7,UpgradeSimT2!$B$11:$B$411,1)),0)</f>
        <v/>
      </c>
      <c r="E11" s="36">
        <f>IFERROR((INDEX(UpgradeSimT2!$R$11:$R$411,MATCH(7,UpgradeSimT2!$B$11:$B$411,1))+INDEX(UpgradeSimT2!$S$11:$S$411,MATCH(7,UpgradeSimT2!$B$11:$B$411,1)))/INDEX(UpgradeSimT2!$T$11:$T$411,MATCH(7,UpgradeSimT2!$B$11:$B$411,1)),0)</f>
        <v/>
      </c>
      <c r="F11" s="36">
        <f>IFERROR(INDEX(UpgradeSimT2!$S$11:$S$411,MATCH(7,UpgradeSimT2!$B$11:$B$411,1))/INDEX(UpgradeSimT2!$T$11:$T$411,MATCH(7,UpgradeSimT2!$B$11:$B$411,1)),0)</f>
        <v/>
      </c>
    </row>
    <row r="12">
      <c r="A12" s="35" t="n">
        <v>7</v>
      </c>
      <c r="B12" s="35">
        <f>COUNTIFS(UpgradeSimT2!$B$11:$B$411,"&gt;="&amp;7,UpgradeSimT2!$B$11:$B$411,"&lt;"&amp;8,UpgradeSimT2!$U$11:$U$411,"?*")</f>
        <v/>
      </c>
      <c r="C12" s="35">
        <f>SUM(B$5:B12)</f>
        <v/>
      </c>
      <c r="D12" s="36">
        <f>IFERROR(INDEX(UpgradeSimT2!$R$11:$R$411,MATCH(8,UpgradeSimT2!$B$11:$B$411,1))/INDEX(UpgradeSimT2!$T$11:$T$411,MATCH(8,UpgradeSimT2!$B$11:$B$411,1)),0)</f>
        <v/>
      </c>
      <c r="E12" s="36">
        <f>IFERROR((INDEX(UpgradeSimT2!$R$11:$R$411,MATCH(8,UpgradeSimT2!$B$11:$B$411,1))+INDEX(UpgradeSimT2!$S$11:$S$411,MATCH(8,UpgradeSimT2!$B$11:$B$411,1)))/INDEX(UpgradeSimT2!$T$11:$T$411,MATCH(8,UpgradeSimT2!$B$11:$B$411,1)),0)</f>
        <v/>
      </c>
      <c r="F12" s="36">
        <f>IFERROR(INDEX(UpgradeSimT2!$S$11:$S$411,MATCH(8,UpgradeSimT2!$B$11:$B$411,1))/INDEX(UpgradeSimT2!$T$11:$T$411,MATCH(8,UpgradeSimT2!$B$11:$B$411,1)),0)</f>
        <v/>
      </c>
    </row>
    <row r="13">
      <c r="A13" s="35" t="n">
        <v>8</v>
      </c>
      <c r="B13" s="35">
        <f>COUNTIFS(UpgradeSimT2!$B$11:$B$411,"&gt;="&amp;8,UpgradeSimT2!$B$11:$B$411,"&lt;"&amp;9,UpgradeSimT2!$U$11:$U$411,"?*")</f>
        <v/>
      </c>
      <c r="C13" s="35">
        <f>SUM(B$5:B13)</f>
        <v/>
      </c>
      <c r="D13" s="36">
        <f>IFERROR(INDEX(UpgradeSimT2!$R$11:$R$411,MATCH(9,UpgradeSimT2!$B$11:$B$411,1))/INDEX(UpgradeSimT2!$T$11:$T$411,MATCH(9,UpgradeSimT2!$B$11:$B$411,1)),0)</f>
        <v/>
      </c>
      <c r="E13" s="36">
        <f>IFERROR((INDEX(UpgradeSimT2!$R$11:$R$411,MATCH(9,UpgradeSimT2!$B$11:$B$411,1))+INDEX(UpgradeSimT2!$S$11:$S$411,MATCH(9,UpgradeSimT2!$B$11:$B$411,1)))/INDEX(UpgradeSimT2!$T$11:$T$411,MATCH(9,UpgradeSimT2!$B$11:$B$411,1)),0)</f>
        <v/>
      </c>
      <c r="F13" s="36">
        <f>IFERROR(INDEX(UpgradeSimT2!$S$11:$S$411,MATCH(9,UpgradeSimT2!$B$11:$B$411,1))/INDEX(UpgradeSimT2!$T$11:$T$411,MATCH(9,UpgradeSimT2!$B$11:$B$411,1)),0)</f>
        <v/>
      </c>
    </row>
    <row r="14">
      <c r="A14" s="35" t="n">
        <v>9</v>
      </c>
      <c r="B14" s="35">
        <f>COUNTIFS(UpgradeSimT2!$B$11:$B$411,"&gt;="&amp;9,UpgradeSimT2!$B$11:$B$411,"&lt;"&amp;10,UpgradeSimT2!$U$11:$U$411,"?*")</f>
        <v/>
      </c>
      <c r="C14" s="35">
        <f>SUM(B$5:B14)</f>
        <v/>
      </c>
      <c r="D14" s="36">
        <f>IFERROR(INDEX(UpgradeSimT2!$R$11:$R$411,MATCH(10,UpgradeSimT2!$B$11:$B$411,1))/INDEX(UpgradeSimT2!$T$11:$T$411,MATCH(10,UpgradeSimT2!$B$11:$B$411,1)),0)</f>
        <v/>
      </c>
      <c r="E14" s="36">
        <f>IFERROR((INDEX(UpgradeSimT2!$R$11:$R$411,MATCH(10,UpgradeSimT2!$B$11:$B$411,1))+INDEX(UpgradeSimT2!$S$11:$S$411,MATCH(10,UpgradeSimT2!$B$11:$B$411,1)))/INDEX(UpgradeSimT2!$T$11:$T$411,MATCH(10,UpgradeSimT2!$B$11:$B$411,1)),0)</f>
        <v/>
      </c>
      <c r="F14" s="36">
        <f>IFERROR(INDEX(UpgradeSimT2!$S$11:$S$411,MATCH(10,UpgradeSimT2!$B$11:$B$411,1))/INDEX(UpgradeSimT2!$T$11:$T$411,MATCH(10,UpgradeSimT2!$B$11:$B$411,1)),0)</f>
        <v/>
      </c>
    </row>
    <row r="15">
      <c r="A15" s="35" t="n">
        <v>10</v>
      </c>
      <c r="B15" s="35">
        <f>COUNTIFS(UpgradeSimT2!$B$11:$B$411,"&gt;="&amp;10,UpgradeSimT2!$B$11:$B$411,"&lt;"&amp;11,UpgradeSimT2!$U$11:$U$411,"?*")</f>
        <v/>
      </c>
      <c r="C15" s="35">
        <f>SUM(B$5:B15)</f>
        <v/>
      </c>
      <c r="D15" s="36">
        <f>IFERROR(INDEX(UpgradeSimT2!$R$11:$R$411,MATCH(11,UpgradeSimT2!$B$11:$B$411,1))/INDEX(UpgradeSimT2!$T$11:$T$411,MATCH(11,UpgradeSimT2!$B$11:$B$411,1)),0)</f>
        <v/>
      </c>
      <c r="E15" s="36">
        <f>IFERROR((INDEX(UpgradeSimT2!$R$11:$R$411,MATCH(11,UpgradeSimT2!$B$11:$B$411,1))+INDEX(UpgradeSimT2!$S$11:$S$411,MATCH(11,UpgradeSimT2!$B$11:$B$411,1)))/INDEX(UpgradeSimT2!$T$11:$T$411,MATCH(11,UpgradeSimT2!$B$11:$B$411,1)),0)</f>
        <v/>
      </c>
      <c r="F15" s="36">
        <f>IFERROR(INDEX(UpgradeSimT2!$S$11:$S$411,MATCH(11,UpgradeSimT2!$B$11:$B$411,1))/INDEX(UpgradeSimT2!$T$11:$T$411,MATCH(11,UpgradeSimT2!$B$11:$B$411,1)),0)</f>
        <v/>
      </c>
    </row>
    <row r="16">
      <c r="A16" s="35" t="n">
        <v>11</v>
      </c>
      <c r="B16" s="35">
        <f>COUNTIFS(UpgradeSimT2!$B$11:$B$411,"&gt;="&amp;11,UpgradeSimT2!$B$11:$B$411,"&lt;"&amp;12,UpgradeSimT2!$U$11:$U$411,"?*")</f>
        <v/>
      </c>
      <c r="C16" s="35">
        <f>SUM(B$5:B16)</f>
        <v/>
      </c>
      <c r="D16" s="36">
        <f>IFERROR(INDEX(UpgradeSimT2!$R$11:$R$411,MATCH(12,UpgradeSimT2!$B$11:$B$411,1))/INDEX(UpgradeSimT2!$T$11:$T$411,MATCH(12,UpgradeSimT2!$B$11:$B$411,1)),0)</f>
        <v/>
      </c>
      <c r="E16" s="36">
        <f>IFERROR((INDEX(UpgradeSimT2!$R$11:$R$411,MATCH(12,UpgradeSimT2!$B$11:$B$411,1))+INDEX(UpgradeSimT2!$S$11:$S$411,MATCH(12,UpgradeSimT2!$B$11:$B$411,1)))/INDEX(UpgradeSimT2!$T$11:$T$411,MATCH(12,UpgradeSimT2!$B$11:$B$411,1)),0)</f>
        <v/>
      </c>
      <c r="F16" s="36">
        <f>IFERROR(INDEX(UpgradeSimT2!$S$11:$S$411,MATCH(12,UpgradeSimT2!$B$11:$B$411,1))/INDEX(UpgradeSimT2!$T$11:$T$411,MATCH(12,UpgradeSimT2!$B$11:$B$411,1)),0)</f>
        <v/>
      </c>
    </row>
    <row r="17">
      <c r="A17" s="35" t="n">
        <v>12</v>
      </c>
      <c r="B17" s="35">
        <f>COUNTIFS(UpgradeSimT2!$B$11:$B$411,"&gt;="&amp;12,UpgradeSimT2!$B$11:$B$411,"&lt;"&amp;13,UpgradeSimT2!$U$11:$U$411,"?*")</f>
        <v/>
      </c>
      <c r="C17" s="35">
        <f>SUM(B$5:B17)</f>
        <v/>
      </c>
      <c r="D17" s="36">
        <f>IFERROR(INDEX(UpgradeSimT2!$R$11:$R$411,MATCH(13,UpgradeSimT2!$B$11:$B$411,1))/INDEX(UpgradeSimT2!$T$11:$T$411,MATCH(13,UpgradeSimT2!$B$11:$B$411,1)),0)</f>
        <v/>
      </c>
      <c r="E17" s="36">
        <f>IFERROR((INDEX(UpgradeSimT2!$R$11:$R$411,MATCH(13,UpgradeSimT2!$B$11:$B$411,1))+INDEX(UpgradeSimT2!$S$11:$S$411,MATCH(13,UpgradeSimT2!$B$11:$B$411,1)))/INDEX(UpgradeSimT2!$T$11:$T$411,MATCH(13,UpgradeSimT2!$B$11:$B$411,1)),0)</f>
        <v/>
      </c>
      <c r="F17" s="36">
        <f>IFERROR(INDEX(UpgradeSimT2!$S$11:$S$411,MATCH(13,UpgradeSimT2!$B$11:$B$411,1))/INDEX(UpgradeSimT2!$T$11:$T$411,MATCH(13,UpgradeSimT2!$B$11:$B$411,1)),0)</f>
        <v/>
      </c>
    </row>
    <row r="18">
      <c r="A18" s="35" t="n">
        <v>13</v>
      </c>
      <c r="B18" s="35">
        <f>COUNTIFS(UpgradeSimT2!$B$11:$B$411,"&gt;="&amp;13,UpgradeSimT2!$B$11:$B$411,"&lt;"&amp;14,UpgradeSimT2!$U$11:$U$411,"?*")</f>
        <v/>
      </c>
      <c r="C18" s="35">
        <f>SUM(B$5:B18)</f>
        <v/>
      </c>
      <c r="D18" s="36">
        <f>IFERROR(INDEX(UpgradeSimT2!$R$11:$R$411,MATCH(14,UpgradeSimT2!$B$11:$B$411,1))/INDEX(UpgradeSimT2!$T$11:$T$411,MATCH(14,UpgradeSimT2!$B$11:$B$411,1)),0)</f>
        <v/>
      </c>
      <c r="E18" s="36">
        <f>IFERROR((INDEX(UpgradeSimT2!$R$11:$R$411,MATCH(14,UpgradeSimT2!$B$11:$B$411,1))+INDEX(UpgradeSimT2!$S$11:$S$411,MATCH(14,UpgradeSimT2!$B$11:$B$411,1)))/INDEX(UpgradeSimT2!$T$11:$T$411,MATCH(14,UpgradeSimT2!$B$11:$B$411,1)),0)</f>
        <v/>
      </c>
      <c r="F18" s="36">
        <f>IFERROR(INDEX(UpgradeSimT2!$S$11:$S$411,MATCH(14,UpgradeSimT2!$B$11:$B$411,1))/INDEX(UpgradeSimT2!$T$11:$T$411,MATCH(14,UpgradeSimT2!$B$11:$B$411,1)),0)</f>
        <v/>
      </c>
    </row>
    <row r="19">
      <c r="A19" s="35" t="n">
        <v>14</v>
      </c>
      <c r="B19" s="35">
        <f>COUNTIFS(UpgradeSimT2!$B$11:$B$411,"&gt;="&amp;14,UpgradeSimT2!$B$11:$B$411,"&lt;"&amp;15,UpgradeSimT2!$U$11:$U$411,"?*")</f>
        <v/>
      </c>
      <c r="C19" s="35">
        <f>SUM(B$5:B19)</f>
        <v/>
      </c>
      <c r="D19" s="36">
        <f>IFERROR(INDEX(UpgradeSimT2!$R$11:$R$411,MATCH(15,UpgradeSimT2!$B$11:$B$411,1))/INDEX(UpgradeSimT2!$T$11:$T$411,MATCH(15,UpgradeSimT2!$B$11:$B$411,1)),0)</f>
        <v/>
      </c>
      <c r="E19" s="36">
        <f>IFERROR((INDEX(UpgradeSimT2!$R$11:$R$411,MATCH(15,UpgradeSimT2!$B$11:$B$411,1))+INDEX(UpgradeSimT2!$S$11:$S$411,MATCH(15,UpgradeSimT2!$B$11:$B$411,1)))/INDEX(UpgradeSimT2!$T$11:$T$411,MATCH(15,UpgradeSimT2!$B$11:$B$411,1)),0)</f>
        <v/>
      </c>
      <c r="F19" s="36">
        <f>IFERROR(INDEX(UpgradeSimT2!$S$11:$S$411,MATCH(15,UpgradeSimT2!$B$11:$B$411,1))/INDEX(UpgradeSimT2!$T$11:$T$411,MATCH(15,UpgradeSimT2!$B$11:$B$411,1)),0)</f>
        <v/>
      </c>
    </row>
    <row r="20">
      <c r="A20" s="35" t="n">
        <v>15</v>
      </c>
      <c r="B20" s="35">
        <f>COUNTIFS(UpgradeSimT2!$B$11:$B$411,"&gt;="&amp;15,UpgradeSimT2!$B$11:$B$411,"&lt;"&amp;16,UpgradeSimT2!$U$11:$U$411,"?*")</f>
        <v/>
      </c>
      <c r="C20" s="35">
        <f>SUM(B$5:B20)</f>
        <v/>
      </c>
      <c r="D20" s="36">
        <f>IFERROR(INDEX(UpgradeSimT2!$R$11:$R$411,MATCH(16,UpgradeSimT2!$B$11:$B$411,1))/INDEX(UpgradeSimT2!$T$11:$T$411,MATCH(16,UpgradeSimT2!$B$11:$B$411,1)),0)</f>
        <v/>
      </c>
      <c r="E20" s="36">
        <f>IFERROR((INDEX(UpgradeSimT2!$R$11:$R$411,MATCH(16,UpgradeSimT2!$B$11:$B$411,1))+INDEX(UpgradeSimT2!$S$11:$S$411,MATCH(16,UpgradeSimT2!$B$11:$B$411,1)))/INDEX(UpgradeSimT2!$T$11:$T$411,MATCH(16,UpgradeSimT2!$B$11:$B$411,1)),0)</f>
        <v/>
      </c>
      <c r="F20" s="36">
        <f>IFERROR(INDEX(UpgradeSimT2!$S$11:$S$411,MATCH(16,UpgradeSimT2!$B$11:$B$411,1))/INDEX(UpgradeSimT2!$T$11:$T$411,MATCH(16,UpgradeSimT2!$B$11:$B$411,1)),0)</f>
        <v/>
      </c>
    </row>
    <row r="21">
      <c r="A21" s="35" t="n">
        <v>16</v>
      </c>
      <c r="B21" s="35">
        <f>COUNTIFS(UpgradeSimT2!$B$11:$B$411,"&gt;="&amp;16,UpgradeSimT2!$B$11:$B$411,"&lt;"&amp;17,UpgradeSimT2!$U$11:$U$411,"?*")</f>
        <v/>
      </c>
      <c r="C21" s="35">
        <f>SUM(B$5:B21)</f>
        <v/>
      </c>
      <c r="D21" s="36">
        <f>IFERROR(INDEX(UpgradeSimT2!$R$11:$R$411,MATCH(17,UpgradeSimT2!$B$11:$B$411,1))/INDEX(UpgradeSimT2!$T$11:$T$411,MATCH(17,UpgradeSimT2!$B$11:$B$411,1)),0)</f>
        <v/>
      </c>
      <c r="E21" s="36">
        <f>IFERROR((INDEX(UpgradeSimT2!$R$11:$R$411,MATCH(17,UpgradeSimT2!$B$11:$B$411,1))+INDEX(UpgradeSimT2!$S$11:$S$411,MATCH(17,UpgradeSimT2!$B$11:$B$411,1)))/INDEX(UpgradeSimT2!$T$11:$T$411,MATCH(17,UpgradeSimT2!$B$11:$B$411,1)),0)</f>
        <v/>
      </c>
      <c r="F21" s="36">
        <f>IFERROR(INDEX(UpgradeSimT2!$S$11:$S$411,MATCH(17,UpgradeSimT2!$B$11:$B$411,1))/INDEX(UpgradeSimT2!$T$11:$T$411,MATCH(17,UpgradeSimT2!$B$11:$B$411,1)),0)</f>
        <v/>
      </c>
    </row>
    <row r="22">
      <c r="A22" s="35" t="n">
        <v>17</v>
      </c>
      <c r="B22" s="35">
        <f>COUNTIFS(UpgradeSimT2!$B$11:$B$411,"&gt;="&amp;17,UpgradeSimT2!$B$11:$B$411,"&lt;"&amp;18,UpgradeSimT2!$U$11:$U$411,"?*")</f>
        <v/>
      </c>
      <c r="C22" s="35">
        <f>SUM(B$5:B22)</f>
        <v/>
      </c>
      <c r="D22" s="36">
        <f>IFERROR(INDEX(UpgradeSimT2!$R$11:$R$411,MATCH(18,UpgradeSimT2!$B$11:$B$411,1))/INDEX(UpgradeSimT2!$T$11:$T$411,MATCH(18,UpgradeSimT2!$B$11:$B$411,1)),0)</f>
        <v/>
      </c>
      <c r="E22" s="36">
        <f>IFERROR((INDEX(UpgradeSimT2!$R$11:$R$411,MATCH(18,UpgradeSimT2!$B$11:$B$411,1))+INDEX(UpgradeSimT2!$S$11:$S$411,MATCH(18,UpgradeSimT2!$B$11:$B$411,1)))/INDEX(UpgradeSimT2!$T$11:$T$411,MATCH(18,UpgradeSimT2!$B$11:$B$411,1)),0)</f>
        <v/>
      </c>
      <c r="F22" s="36">
        <f>IFERROR(INDEX(UpgradeSimT2!$S$11:$S$411,MATCH(18,UpgradeSimT2!$B$11:$B$411,1))/INDEX(UpgradeSimT2!$T$11:$T$411,MATCH(18,UpgradeSimT2!$B$11:$B$411,1)),0)</f>
        <v/>
      </c>
    </row>
    <row r="23">
      <c r="A23" s="35" t="n">
        <v>18</v>
      </c>
      <c r="B23" s="35">
        <f>COUNTIFS(UpgradeSimT2!$B$11:$B$411,"&gt;="&amp;18,UpgradeSimT2!$B$11:$B$411,"&lt;"&amp;19,UpgradeSimT2!$U$11:$U$411,"?*")</f>
        <v/>
      </c>
      <c r="C23" s="35">
        <f>SUM(B$5:B23)</f>
        <v/>
      </c>
      <c r="D23" s="36">
        <f>IFERROR(INDEX(UpgradeSimT2!$R$11:$R$411,MATCH(19,UpgradeSimT2!$B$11:$B$411,1))/INDEX(UpgradeSimT2!$T$11:$T$411,MATCH(19,UpgradeSimT2!$B$11:$B$411,1)),0)</f>
        <v/>
      </c>
      <c r="E23" s="36">
        <f>IFERROR((INDEX(UpgradeSimT2!$R$11:$R$411,MATCH(19,UpgradeSimT2!$B$11:$B$411,1))+INDEX(UpgradeSimT2!$S$11:$S$411,MATCH(19,UpgradeSimT2!$B$11:$B$411,1)))/INDEX(UpgradeSimT2!$T$11:$T$411,MATCH(19,UpgradeSimT2!$B$11:$B$411,1)),0)</f>
        <v/>
      </c>
      <c r="F23" s="36">
        <f>IFERROR(INDEX(UpgradeSimT2!$S$11:$S$411,MATCH(19,UpgradeSimT2!$B$11:$B$411,1))/INDEX(UpgradeSimT2!$T$11:$T$411,MATCH(19,UpgradeSimT2!$B$11:$B$411,1)),0)</f>
        <v/>
      </c>
    </row>
    <row r="24">
      <c r="A24" s="35" t="n">
        <v>19</v>
      </c>
      <c r="B24" s="35">
        <f>COUNTIFS(UpgradeSimT2!$B$11:$B$411,"&gt;="&amp;19,UpgradeSimT2!$B$11:$B$411,"&lt;"&amp;20,UpgradeSimT2!$U$11:$U$411,"?*")</f>
        <v/>
      </c>
      <c r="C24" s="35">
        <f>SUM(B$5:B24)</f>
        <v/>
      </c>
      <c r="D24" s="36">
        <f>IFERROR(INDEX(UpgradeSimT2!$R$11:$R$411,MATCH(20,UpgradeSimT2!$B$11:$B$411,1))/INDEX(UpgradeSimT2!$T$11:$T$411,MATCH(20,UpgradeSimT2!$B$11:$B$411,1)),0)</f>
        <v/>
      </c>
      <c r="E24" s="36">
        <f>IFERROR((INDEX(UpgradeSimT2!$R$11:$R$411,MATCH(20,UpgradeSimT2!$B$11:$B$411,1))+INDEX(UpgradeSimT2!$S$11:$S$411,MATCH(20,UpgradeSimT2!$B$11:$B$411,1)))/INDEX(UpgradeSimT2!$T$11:$T$411,MATCH(20,UpgradeSimT2!$B$11:$B$411,1)),0)</f>
        <v/>
      </c>
      <c r="F24" s="36">
        <f>IFERROR(INDEX(UpgradeSimT2!$S$11:$S$411,MATCH(20,UpgradeSimT2!$B$11:$B$411,1))/INDEX(UpgradeSimT2!$T$11:$T$411,MATCH(20,UpgradeSimT2!$B$11:$B$411,1)),0)</f>
        <v/>
      </c>
    </row>
    <row r="25">
      <c r="A25" s="35" t="n">
        <v>20</v>
      </c>
      <c r="B25" s="35">
        <f>COUNTIFS(UpgradeSimT2!$B$11:$B$411,"&gt;="&amp;20,UpgradeSimT2!$B$11:$B$411,"&lt;"&amp;21,UpgradeSimT2!$U$11:$U$411,"?*")</f>
        <v/>
      </c>
      <c r="C25" s="35">
        <f>SUM(B$5:B25)</f>
        <v/>
      </c>
      <c r="D25" s="36">
        <f>IFERROR(INDEX(UpgradeSimT2!$R$11:$R$411,MATCH(21,UpgradeSimT2!$B$11:$B$411,1))/INDEX(UpgradeSimT2!$T$11:$T$411,MATCH(21,UpgradeSimT2!$B$11:$B$411,1)),0)</f>
        <v/>
      </c>
      <c r="E25" s="36">
        <f>IFERROR((INDEX(UpgradeSimT2!$R$11:$R$411,MATCH(21,UpgradeSimT2!$B$11:$B$411,1))+INDEX(UpgradeSimT2!$S$11:$S$411,MATCH(21,UpgradeSimT2!$B$11:$B$411,1)))/INDEX(UpgradeSimT2!$T$11:$T$411,MATCH(21,UpgradeSimT2!$B$11:$B$411,1)),0)</f>
        <v/>
      </c>
      <c r="F25" s="36">
        <f>IFERROR(INDEX(UpgradeSimT2!$S$11:$S$411,MATCH(21,UpgradeSimT2!$B$11:$B$411,1))/INDEX(UpgradeSimT2!$T$11:$T$411,MATCH(21,UpgradeSimT2!$B$11:$B$411,1)),0)</f>
        <v/>
      </c>
    </row>
    <row r="26">
      <c r="A26" s="35" t="n">
        <v>21</v>
      </c>
      <c r="B26" s="35">
        <f>COUNTIFS(UpgradeSimT2!$B$11:$B$411,"&gt;="&amp;21,UpgradeSimT2!$B$11:$B$411,"&lt;"&amp;22,UpgradeSimT2!$U$11:$U$411,"?*")</f>
        <v/>
      </c>
      <c r="C26" s="35">
        <f>SUM(B$5:B26)</f>
        <v/>
      </c>
      <c r="D26" s="36">
        <f>IFERROR(INDEX(UpgradeSimT2!$R$11:$R$411,MATCH(22,UpgradeSimT2!$B$11:$B$411,1))/INDEX(UpgradeSimT2!$T$11:$T$411,MATCH(22,UpgradeSimT2!$B$11:$B$411,1)),0)</f>
        <v/>
      </c>
      <c r="E26" s="36">
        <f>IFERROR((INDEX(UpgradeSimT2!$R$11:$R$411,MATCH(22,UpgradeSimT2!$B$11:$B$411,1))+INDEX(UpgradeSimT2!$S$11:$S$411,MATCH(22,UpgradeSimT2!$B$11:$B$411,1)))/INDEX(UpgradeSimT2!$T$11:$T$411,MATCH(22,UpgradeSimT2!$B$11:$B$411,1)),0)</f>
        <v/>
      </c>
      <c r="F26" s="36">
        <f>IFERROR(INDEX(UpgradeSimT2!$S$11:$S$411,MATCH(22,UpgradeSimT2!$B$11:$B$411,1))/INDEX(UpgradeSimT2!$T$11:$T$411,MATCH(22,UpgradeSimT2!$B$11:$B$411,1)),0)</f>
        <v/>
      </c>
    </row>
    <row r="27">
      <c r="A27" s="35" t="n">
        <v>22</v>
      </c>
      <c r="B27" s="35">
        <f>COUNTIFS(UpgradeSimT2!$B$11:$B$411,"&gt;="&amp;22,UpgradeSimT2!$B$11:$B$411,"&lt;"&amp;23,UpgradeSimT2!$U$11:$U$411,"?*")</f>
        <v/>
      </c>
      <c r="C27" s="35">
        <f>SUM(B$5:B27)</f>
        <v/>
      </c>
      <c r="D27" s="36">
        <f>IFERROR(INDEX(UpgradeSimT2!$R$11:$R$411,MATCH(23,UpgradeSimT2!$B$11:$B$411,1))/INDEX(UpgradeSimT2!$T$11:$T$411,MATCH(23,UpgradeSimT2!$B$11:$B$411,1)),0)</f>
        <v/>
      </c>
      <c r="E27" s="36">
        <f>IFERROR((INDEX(UpgradeSimT2!$R$11:$R$411,MATCH(23,UpgradeSimT2!$B$11:$B$411,1))+INDEX(UpgradeSimT2!$S$11:$S$411,MATCH(23,UpgradeSimT2!$B$11:$B$411,1)))/INDEX(UpgradeSimT2!$T$11:$T$411,MATCH(23,UpgradeSimT2!$B$11:$B$411,1)),0)</f>
        <v/>
      </c>
      <c r="F27" s="36">
        <f>IFERROR(INDEX(UpgradeSimT2!$S$11:$S$411,MATCH(23,UpgradeSimT2!$B$11:$B$411,1))/INDEX(UpgradeSimT2!$T$11:$T$411,MATCH(23,UpgradeSimT2!$B$11:$B$411,1)),0)</f>
        <v/>
      </c>
    </row>
    <row r="28">
      <c r="A28" s="35" t="n">
        <v>23</v>
      </c>
      <c r="B28" s="35">
        <f>COUNTIFS(UpgradeSimT2!$B$11:$B$411,"&gt;="&amp;23,UpgradeSimT2!$B$11:$B$411,"&lt;"&amp;24,UpgradeSimT2!$U$11:$U$411,"?*")</f>
        <v/>
      </c>
      <c r="C28" s="35">
        <f>SUM(B$5:B28)</f>
        <v/>
      </c>
      <c r="D28" s="36">
        <f>IFERROR(INDEX(UpgradeSimT2!$R$11:$R$411,MATCH(24,UpgradeSimT2!$B$11:$B$411,1))/INDEX(UpgradeSimT2!$T$11:$T$411,MATCH(24,UpgradeSimT2!$B$11:$B$411,1)),0)</f>
        <v/>
      </c>
      <c r="E28" s="36">
        <f>IFERROR((INDEX(UpgradeSimT2!$R$11:$R$411,MATCH(24,UpgradeSimT2!$B$11:$B$411,1))+INDEX(UpgradeSimT2!$S$11:$S$411,MATCH(24,UpgradeSimT2!$B$11:$B$411,1)))/INDEX(UpgradeSimT2!$T$11:$T$411,MATCH(24,UpgradeSimT2!$B$11:$B$411,1)),0)</f>
        <v/>
      </c>
      <c r="F28" s="36">
        <f>IFERROR(INDEX(UpgradeSimT2!$S$11:$S$411,MATCH(24,UpgradeSimT2!$B$11:$B$411,1))/INDEX(UpgradeSimT2!$T$11:$T$411,MATCH(24,UpgradeSimT2!$B$11:$B$411,1)),0)</f>
        <v/>
      </c>
    </row>
    <row r="29">
      <c r="A29" s="35" t="n">
        <v>24</v>
      </c>
      <c r="B29" s="35">
        <f>COUNTIFS(UpgradeSimT2!$B$11:$B$411,"&gt;="&amp;24,UpgradeSimT2!$B$11:$B$411,"&lt;"&amp;25,UpgradeSimT2!$U$11:$U$411,"?*")</f>
        <v/>
      </c>
      <c r="C29" s="35">
        <f>SUM(B$5:B29)</f>
        <v/>
      </c>
      <c r="D29" s="36">
        <f>IFERROR(INDEX(UpgradeSimT2!$R$11:$R$411,MATCH(25,UpgradeSimT2!$B$11:$B$411,1))/INDEX(UpgradeSimT2!$T$11:$T$411,MATCH(25,UpgradeSimT2!$B$11:$B$411,1)),0)</f>
        <v/>
      </c>
      <c r="E29" s="36">
        <f>IFERROR((INDEX(UpgradeSimT2!$R$11:$R$411,MATCH(25,UpgradeSimT2!$B$11:$B$411,1))+INDEX(UpgradeSimT2!$S$11:$S$411,MATCH(25,UpgradeSimT2!$B$11:$B$411,1)))/INDEX(UpgradeSimT2!$T$11:$T$411,MATCH(25,UpgradeSimT2!$B$11:$B$411,1)),0)</f>
        <v/>
      </c>
      <c r="F29" s="36">
        <f>IFERROR(INDEX(UpgradeSimT2!$S$11:$S$411,MATCH(25,UpgradeSimT2!$B$11:$B$411,1))/INDEX(UpgradeSimT2!$T$11:$T$411,MATCH(25,UpgradeSimT2!$B$11:$B$411,1)),0)</f>
        <v/>
      </c>
    </row>
    <row r="30">
      <c r="A30" s="35" t="n">
        <v>25</v>
      </c>
      <c r="B30" s="35">
        <f>COUNTIFS(UpgradeSimT2!$B$11:$B$411,"&gt;="&amp;25,UpgradeSimT2!$B$11:$B$411,"&lt;"&amp;26,UpgradeSimT2!$U$11:$U$411,"?*")</f>
        <v/>
      </c>
      <c r="C30" s="35">
        <f>SUM(B$5:B30)</f>
        <v/>
      </c>
      <c r="D30" s="36">
        <f>IFERROR(INDEX(UpgradeSimT2!$R$11:$R$411,MATCH(26,UpgradeSimT2!$B$11:$B$411,1))/INDEX(UpgradeSimT2!$T$11:$T$411,MATCH(26,UpgradeSimT2!$B$11:$B$411,1)),0)</f>
        <v/>
      </c>
      <c r="E30" s="36">
        <f>IFERROR((INDEX(UpgradeSimT2!$R$11:$R$411,MATCH(26,UpgradeSimT2!$B$11:$B$411,1))+INDEX(UpgradeSimT2!$S$11:$S$411,MATCH(26,UpgradeSimT2!$B$11:$B$411,1)))/INDEX(UpgradeSimT2!$T$11:$T$411,MATCH(26,UpgradeSimT2!$B$11:$B$411,1)),0)</f>
        <v/>
      </c>
      <c r="F30" s="36">
        <f>IFERROR(INDEX(UpgradeSimT2!$S$11:$S$411,MATCH(26,UpgradeSimT2!$B$11:$B$411,1))/INDEX(UpgradeSimT2!$T$11:$T$411,MATCH(26,UpgradeSimT2!$B$11:$B$411,1)),0)</f>
        <v/>
      </c>
    </row>
    <row r="31">
      <c r="A31" s="35" t="n">
        <v>26</v>
      </c>
      <c r="B31" s="35">
        <f>COUNTIFS(UpgradeSimT2!$B$11:$B$411,"&gt;="&amp;26,UpgradeSimT2!$B$11:$B$411,"&lt;"&amp;27,UpgradeSimT2!$U$11:$U$411,"?*")</f>
        <v/>
      </c>
      <c r="C31" s="35">
        <f>SUM(B$5:B31)</f>
        <v/>
      </c>
      <c r="D31" s="36">
        <f>IFERROR(INDEX(UpgradeSimT2!$R$11:$R$411,MATCH(27,UpgradeSimT2!$B$11:$B$411,1))/INDEX(UpgradeSimT2!$T$11:$T$411,MATCH(27,UpgradeSimT2!$B$11:$B$411,1)),0)</f>
        <v/>
      </c>
      <c r="E31" s="36">
        <f>IFERROR((INDEX(UpgradeSimT2!$R$11:$R$411,MATCH(27,UpgradeSimT2!$B$11:$B$411,1))+INDEX(UpgradeSimT2!$S$11:$S$411,MATCH(27,UpgradeSimT2!$B$11:$B$411,1)))/INDEX(UpgradeSimT2!$T$11:$T$411,MATCH(27,UpgradeSimT2!$B$11:$B$411,1)),0)</f>
        <v/>
      </c>
      <c r="F31" s="36">
        <f>IFERROR(INDEX(UpgradeSimT2!$S$11:$S$411,MATCH(27,UpgradeSimT2!$B$11:$B$411,1))/INDEX(UpgradeSimT2!$T$11:$T$411,MATCH(27,UpgradeSimT2!$B$11:$B$411,1)),0)</f>
        <v/>
      </c>
    </row>
    <row r="32">
      <c r="A32" s="35" t="n">
        <v>27</v>
      </c>
      <c r="B32" s="35">
        <f>COUNTIFS(UpgradeSimT2!$B$11:$B$411,"&gt;="&amp;27,UpgradeSimT2!$B$11:$B$411,"&lt;"&amp;28,UpgradeSimT2!$U$11:$U$411,"?*")</f>
        <v/>
      </c>
      <c r="C32" s="35">
        <f>SUM(B$5:B32)</f>
        <v/>
      </c>
      <c r="D32" s="36">
        <f>IFERROR(INDEX(UpgradeSimT2!$R$11:$R$411,MATCH(28,UpgradeSimT2!$B$11:$B$411,1))/INDEX(UpgradeSimT2!$T$11:$T$411,MATCH(28,UpgradeSimT2!$B$11:$B$411,1)),0)</f>
        <v/>
      </c>
      <c r="E32" s="36">
        <f>IFERROR((INDEX(UpgradeSimT2!$R$11:$R$411,MATCH(28,UpgradeSimT2!$B$11:$B$411,1))+INDEX(UpgradeSimT2!$S$11:$S$411,MATCH(28,UpgradeSimT2!$B$11:$B$411,1)))/INDEX(UpgradeSimT2!$T$11:$T$411,MATCH(28,UpgradeSimT2!$B$11:$B$411,1)),0)</f>
        <v/>
      </c>
      <c r="F32" s="36">
        <f>IFERROR(INDEX(UpgradeSimT2!$S$11:$S$411,MATCH(28,UpgradeSimT2!$B$11:$B$411,1))/INDEX(UpgradeSimT2!$T$11:$T$411,MATCH(28,UpgradeSimT2!$B$11:$B$411,1)),0)</f>
        <v/>
      </c>
    </row>
    <row r="33">
      <c r="A33" s="35" t="n">
        <v>28</v>
      </c>
      <c r="B33" s="35">
        <f>COUNTIFS(UpgradeSimT2!$B$11:$B$411,"&gt;="&amp;28,UpgradeSimT2!$B$11:$B$411,"&lt;"&amp;29,UpgradeSimT2!$U$11:$U$411,"?*")</f>
        <v/>
      </c>
      <c r="C33" s="35">
        <f>SUM(B$5:B33)</f>
        <v/>
      </c>
      <c r="D33" s="36">
        <f>IFERROR(INDEX(UpgradeSimT2!$R$11:$R$411,MATCH(29,UpgradeSimT2!$B$11:$B$411,1))/INDEX(UpgradeSimT2!$T$11:$T$411,MATCH(29,UpgradeSimT2!$B$11:$B$411,1)),0)</f>
        <v/>
      </c>
      <c r="E33" s="36">
        <f>IFERROR((INDEX(UpgradeSimT2!$R$11:$R$411,MATCH(29,UpgradeSimT2!$B$11:$B$411,1))+INDEX(UpgradeSimT2!$S$11:$S$411,MATCH(29,UpgradeSimT2!$B$11:$B$411,1)))/INDEX(UpgradeSimT2!$T$11:$T$411,MATCH(29,UpgradeSimT2!$B$11:$B$411,1)),0)</f>
        <v/>
      </c>
      <c r="F33" s="36">
        <f>IFERROR(INDEX(UpgradeSimT2!$S$11:$S$411,MATCH(29,UpgradeSimT2!$B$11:$B$411,1))/INDEX(UpgradeSimT2!$T$11:$T$411,MATCH(29,UpgradeSimT2!$B$11:$B$411,1)),0)</f>
        <v/>
      </c>
    </row>
    <row r="34">
      <c r="A34" s="35" t="n">
        <v>29</v>
      </c>
      <c r="B34" s="35">
        <f>COUNTIFS(UpgradeSimT2!$B$11:$B$411,"&gt;="&amp;29,UpgradeSimT2!$B$11:$B$411,"&lt;"&amp;30,UpgradeSimT2!$U$11:$U$411,"?*")</f>
        <v/>
      </c>
      <c r="C34" s="35">
        <f>SUM(B$5:B34)</f>
        <v/>
      </c>
      <c r="D34" s="36">
        <f>IFERROR(INDEX(UpgradeSimT2!$R$11:$R$411,MATCH(30,UpgradeSimT2!$B$11:$B$411,1))/INDEX(UpgradeSimT2!$T$11:$T$411,MATCH(30,UpgradeSimT2!$B$11:$B$411,1)),0)</f>
        <v/>
      </c>
      <c r="E34" s="36">
        <f>IFERROR((INDEX(UpgradeSimT2!$R$11:$R$411,MATCH(30,UpgradeSimT2!$B$11:$B$411,1))+INDEX(UpgradeSimT2!$S$11:$S$411,MATCH(30,UpgradeSimT2!$B$11:$B$411,1)))/INDEX(UpgradeSimT2!$T$11:$T$411,MATCH(30,UpgradeSimT2!$B$11:$B$411,1)),0)</f>
        <v/>
      </c>
      <c r="F34" s="36">
        <f>IFERROR(INDEX(UpgradeSimT2!$S$11:$S$411,MATCH(30,UpgradeSimT2!$B$11:$B$411,1))/INDEX(UpgradeSimT2!$T$11:$T$411,MATCH(30,UpgradeSimT2!$B$11:$B$411,1)),0)</f>
        <v/>
      </c>
    </row>
    <row r="35">
      <c r="A35" s="35" t="n">
        <v>30</v>
      </c>
      <c r="B35" s="35">
        <f>COUNTIFS(UpgradeSimT2!$B$11:$B$411,"&gt;="&amp;30,UpgradeSimT2!$B$11:$B$411,"&lt;"&amp;31,UpgradeSimT2!$U$11:$U$411,"?*")</f>
        <v/>
      </c>
      <c r="C35" s="35">
        <f>SUM(B$5:B35)</f>
        <v/>
      </c>
      <c r="D35" s="36">
        <f>IFERROR(INDEX(UpgradeSimT2!$R$11:$R$411,MATCH(31,UpgradeSimT2!$B$11:$B$411,1))/INDEX(UpgradeSimT2!$T$11:$T$411,MATCH(31,UpgradeSimT2!$B$11:$B$411,1)),0)</f>
        <v/>
      </c>
      <c r="E35" s="36">
        <f>IFERROR((INDEX(UpgradeSimT2!$R$11:$R$411,MATCH(31,UpgradeSimT2!$B$11:$B$411,1))+INDEX(UpgradeSimT2!$S$11:$S$411,MATCH(31,UpgradeSimT2!$B$11:$B$411,1)))/INDEX(UpgradeSimT2!$T$11:$T$411,MATCH(31,UpgradeSimT2!$B$11:$B$411,1)),0)</f>
        <v/>
      </c>
      <c r="F35" s="36">
        <f>IFERROR(INDEX(UpgradeSimT2!$S$11:$S$411,MATCH(31,UpgradeSimT2!$B$11:$B$411,1))/INDEX(UpgradeSimT2!$T$11:$T$411,MATCH(31,UpgradeSimT2!$B$11:$B$411,1)),0)</f>
        <v/>
      </c>
    </row>
    <row r="36">
      <c r="A36" s="35" t="n">
        <v>31</v>
      </c>
      <c r="B36" s="35">
        <f>COUNTIFS(UpgradeSimT2!$B$11:$B$411,"&gt;="&amp;31,UpgradeSimT2!$B$11:$B$411,"&lt;"&amp;32,UpgradeSimT2!$U$11:$U$411,"?*")</f>
        <v/>
      </c>
      <c r="C36" s="35">
        <f>SUM(B$5:B36)</f>
        <v/>
      </c>
      <c r="D36" s="36">
        <f>IFERROR(INDEX(UpgradeSimT2!$R$11:$R$411,MATCH(32,UpgradeSimT2!$B$11:$B$411,1))/INDEX(UpgradeSimT2!$T$11:$T$411,MATCH(32,UpgradeSimT2!$B$11:$B$411,1)),0)</f>
        <v/>
      </c>
      <c r="E36" s="36">
        <f>IFERROR((INDEX(UpgradeSimT2!$R$11:$R$411,MATCH(32,UpgradeSimT2!$B$11:$B$411,1))+INDEX(UpgradeSimT2!$S$11:$S$411,MATCH(32,UpgradeSimT2!$B$11:$B$411,1)))/INDEX(UpgradeSimT2!$T$11:$T$411,MATCH(32,UpgradeSimT2!$B$11:$B$411,1)),0)</f>
        <v/>
      </c>
      <c r="F36" s="36">
        <f>IFERROR(INDEX(UpgradeSimT2!$S$11:$S$411,MATCH(32,UpgradeSimT2!$B$11:$B$411,1))/INDEX(UpgradeSimT2!$T$11:$T$411,MATCH(32,UpgradeSimT2!$B$11:$B$411,1)),0)</f>
        <v/>
      </c>
    </row>
    <row r="37">
      <c r="A37" s="35" t="n">
        <v>32</v>
      </c>
      <c r="B37" s="35">
        <f>COUNTIFS(UpgradeSimT2!$B$11:$B$411,"&gt;="&amp;32,UpgradeSimT2!$B$11:$B$411,"&lt;"&amp;33,UpgradeSimT2!$U$11:$U$411,"?*")</f>
        <v/>
      </c>
      <c r="C37" s="35">
        <f>SUM(B$5:B37)</f>
        <v/>
      </c>
      <c r="D37" s="36">
        <f>IFERROR(INDEX(UpgradeSimT2!$R$11:$R$411,MATCH(33,UpgradeSimT2!$B$11:$B$411,1))/INDEX(UpgradeSimT2!$T$11:$T$411,MATCH(33,UpgradeSimT2!$B$11:$B$411,1)),0)</f>
        <v/>
      </c>
      <c r="E37" s="36">
        <f>IFERROR((INDEX(UpgradeSimT2!$R$11:$R$411,MATCH(33,UpgradeSimT2!$B$11:$B$411,1))+INDEX(UpgradeSimT2!$S$11:$S$411,MATCH(33,UpgradeSimT2!$B$11:$B$411,1)))/INDEX(UpgradeSimT2!$T$11:$T$411,MATCH(33,UpgradeSimT2!$B$11:$B$411,1)),0)</f>
        <v/>
      </c>
      <c r="F37" s="36">
        <f>IFERROR(INDEX(UpgradeSimT2!$S$11:$S$411,MATCH(33,UpgradeSimT2!$B$11:$B$411,1))/INDEX(UpgradeSimT2!$T$11:$T$411,MATCH(33,UpgradeSimT2!$B$11:$B$411,1)),0)</f>
        <v/>
      </c>
    </row>
    <row r="38">
      <c r="A38" s="35" t="n">
        <v>33</v>
      </c>
      <c r="B38" s="35">
        <f>COUNTIFS(UpgradeSimT2!$B$11:$B$411,"&gt;="&amp;33,UpgradeSimT2!$B$11:$B$411,"&lt;"&amp;34,UpgradeSimT2!$U$11:$U$411,"?*")</f>
        <v/>
      </c>
      <c r="C38" s="35">
        <f>SUM(B$5:B38)</f>
        <v/>
      </c>
      <c r="D38" s="36">
        <f>IFERROR(INDEX(UpgradeSimT2!$R$11:$R$411,MATCH(34,UpgradeSimT2!$B$11:$B$411,1))/INDEX(UpgradeSimT2!$T$11:$T$411,MATCH(34,UpgradeSimT2!$B$11:$B$411,1)),0)</f>
        <v/>
      </c>
      <c r="E38" s="36">
        <f>IFERROR((INDEX(UpgradeSimT2!$R$11:$R$411,MATCH(34,UpgradeSimT2!$B$11:$B$411,1))+INDEX(UpgradeSimT2!$S$11:$S$411,MATCH(34,UpgradeSimT2!$B$11:$B$411,1)))/INDEX(UpgradeSimT2!$T$11:$T$411,MATCH(34,UpgradeSimT2!$B$11:$B$411,1)),0)</f>
        <v/>
      </c>
      <c r="F38" s="36">
        <f>IFERROR(INDEX(UpgradeSimT2!$S$11:$S$411,MATCH(34,UpgradeSimT2!$B$11:$B$411,1))/INDEX(UpgradeSimT2!$T$11:$T$411,MATCH(34,UpgradeSimT2!$B$11:$B$411,1)),0)</f>
        <v/>
      </c>
    </row>
    <row r="39">
      <c r="A39" s="35" t="n">
        <v>34</v>
      </c>
      <c r="B39" s="35">
        <f>COUNTIFS(UpgradeSimT2!$B$11:$B$411,"&gt;="&amp;34,UpgradeSimT2!$B$11:$B$411,"&lt;"&amp;35,UpgradeSimT2!$U$11:$U$411,"?*")</f>
        <v/>
      </c>
      <c r="C39" s="35">
        <f>SUM(B$5:B39)</f>
        <v/>
      </c>
      <c r="D39" s="36">
        <f>IFERROR(INDEX(UpgradeSimT2!$R$11:$R$411,MATCH(35,UpgradeSimT2!$B$11:$B$411,1))/INDEX(UpgradeSimT2!$T$11:$T$411,MATCH(35,UpgradeSimT2!$B$11:$B$411,1)),0)</f>
        <v/>
      </c>
      <c r="E39" s="36">
        <f>IFERROR((INDEX(UpgradeSimT2!$R$11:$R$411,MATCH(35,UpgradeSimT2!$B$11:$B$411,1))+INDEX(UpgradeSimT2!$S$11:$S$411,MATCH(35,UpgradeSimT2!$B$11:$B$411,1)))/INDEX(UpgradeSimT2!$T$11:$T$411,MATCH(35,UpgradeSimT2!$B$11:$B$411,1)),0)</f>
        <v/>
      </c>
      <c r="F39" s="36">
        <f>IFERROR(INDEX(UpgradeSimT2!$S$11:$S$411,MATCH(35,UpgradeSimT2!$B$11:$B$411,1))/INDEX(UpgradeSimT2!$T$11:$T$411,MATCH(35,UpgradeSimT2!$B$11:$B$411,1)),0)</f>
        <v/>
      </c>
    </row>
    <row r="40">
      <c r="A40" s="35" t="n">
        <v>35</v>
      </c>
      <c r="B40" s="35">
        <f>COUNTIFS(UpgradeSimT2!$B$11:$B$411,"&gt;="&amp;35,UpgradeSimT2!$B$11:$B$411,"&lt;"&amp;36,UpgradeSimT2!$U$11:$U$411,"?*")</f>
        <v/>
      </c>
      <c r="C40" s="35">
        <f>SUM(B$5:B40)</f>
        <v/>
      </c>
      <c r="D40" s="36">
        <f>IFERROR(INDEX(UpgradeSimT2!$R$11:$R$411,MATCH(36,UpgradeSimT2!$B$11:$B$411,1))/INDEX(UpgradeSimT2!$T$11:$T$411,MATCH(36,UpgradeSimT2!$B$11:$B$411,1)),0)</f>
        <v/>
      </c>
      <c r="E40" s="36">
        <f>IFERROR((INDEX(UpgradeSimT2!$R$11:$R$411,MATCH(36,UpgradeSimT2!$B$11:$B$411,1))+INDEX(UpgradeSimT2!$S$11:$S$411,MATCH(36,UpgradeSimT2!$B$11:$B$411,1)))/INDEX(UpgradeSimT2!$T$11:$T$411,MATCH(36,UpgradeSimT2!$B$11:$B$411,1)),0)</f>
        <v/>
      </c>
      <c r="F40" s="36">
        <f>IFERROR(INDEX(UpgradeSimT2!$S$11:$S$411,MATCH(36,UpgradeSimT2!$B$11:$B$411,1))/INDEX(UpgradeSimT2!$T$11:$T$411,MATCH(36,UpgradeSimT2!$B$11:$B$411,1)),0)</f>
        <v/>
      </c>
    </row>
    <row r="41">
      <c r="A41" s="35" t="n">
        <v>36</v>
      </c>
      <c r="B41" s="35">
        <f>COUNTIFS(UpgradeSimT2!$B$11:$B$411,"&gt;="&amp;36,UpgradeSimT2!$B$11:$B$411,"&lt;"&amp;37,UpgradeSimT2!$U$11:$U$411,"?*")</f>
        <v/>
      </c>
      <c r="C41" s="35">
        <f>SUM(B$5:B41)</f>
        <v/>
      </c>
      <c r="D41" s="36">
        <f>IFERROR(INDEX(UpgradeSimT2!$R$11:$R$411,MATCH(37,UpgradeSimT2!$B$11:$B$411,1))/INDEX(UpgradeSimT2!$T$11:$T$411,MATCH(37,UpgradeSimT2!$B$11:$B$411,1)),0)</f>
        <v/>
      </c>
      <c r="E41" s="36">
        <f>IFERROR((INDEX(UpgradeSimT2!$R$11:$R$411,MATCH(37,UpgradeSimT2!$B$11:$B$411,1))+INDEX(UpgradeSimT2!$S$11:$S$411,MATCH(37,UpgradeSimT2!$B$11:$B$411,1)))/INDEX(UpgradeSimT2!$T$11:$T$411,MATCH(37,UpgradeSimT2!$B$11:$B$411,1)),0)</f>
        <v/>
      </c>
      <c r="F41" s="36">
        <f>IFERROR(INDEX(UpgradeSimT2!$S$11:$S$411,MATCH(37,UpgradeSimT2!$B$11:$B$411,1))/INDEX(UpgradeSimT2!$T$11:$T$411,MATCH(37,UpgradeSimT2!$B$11:$B$411,1)),0)</f>
        <v/>
      </c>
    </row>
    <row r="42">
      <c r="A42" s="35" t="n">
        <v>37</v>
      </c>
      <c r="B42" s="35">
        <f>COUNTIFS(UpgradeSimT2!$B$11:$B$411,"&gt;="&amp;37,UpgradeSimT2!$B$11:$B$411,"&lt;"&amp;38,UpgradeSimT2!$U$11:$U$411,"?*")</f>
        <v/>
      </c>
      <c r="C42" s="35">
        <f>SUM(B$5:B42)</f>
        <v/>
      </c>
      <c r="D42" s="36">
        <f>IFERROR(INDEX(UpgradeSimT2!$R$11:$R$411,MATCH(38,UpgradeSimT2!$B$11:$B$411,1))/INDEX(UpgradeSimT2!$T$11:$T$411,MATCH(38,UpgradeSimT2!$B$11:$B$411,1)),0)</f>
        <v/>
      </c>
      <c r="E42" s="36">
        <f>IFERROR((INDEX(UpgradeSimT2!$R$11:$R$411,MATCH(38,UpgradeSimT2!$B$11:$B$411,1))+INDEX(UpgradeSimT2!$S$11:$S$411,MATCH(38,UpgradeSimT2!$B$11:$B$411,1)))/INDEX(UpgradeSimT2!$T$11:$T$411,MATCH(38,UpgradeSimT2!$B$11:$B$411,1)),0)</f>
        <v/>
      </c>
      <c r="F42" s="36">
        <f>IFERROR(INDEX(UpgradeSimT2!$S$11:$S$411,MATCH(38,UpgradeSimT2!$B$11:$B$411,1))/INDEX(UpgradeSimT2!$T$11:$T$411,MATCH(38,UpgradeSimT2!$B$11:$B$411,1)),0)</f>
        <v/>
      </c>
    </row>
    <row r="43">
      <c r="A43" s="35" t="n">
        <v>38</v>
      </c>
      <c r="B43" s="35">
        <f>COUNTIFS(UpgradeSimT2!$B$11:$B$411,"&gt;="&amp;38,UpgradeSimT2!$B$11:$B$411,"&lt;"&amp;39,UpgradeSimT2!$U$11:$U$411,"?*")</f>
        <v/>
      </c>
      <c r="C43" s="35">
        <f>SUM(B$5:B43)</f>
        <v/>
      </c>
      <c r="D43" s="36">
        <f>IFERROR(INDEX(UpgradeSimT2!$R$11:$R$411,MATCH(39,UpgradeSimT2!$B$11:$B$411,1))/INDEX(UpgradeSimT2!$T$11:$T$411,MATCH(39,UpgradeSimT2!$B$11:$B$411,1)),0)</f>
        <v/>
      </c>
      <c r="E43" s="36">
        <f>IFERROR((INDEX(UpgradeSimT2!$R$11:$R$411,MATCH(39,UpgradeSimT2!$B$11:$B$411,1))+INDEX(UpgradeSimT2!$S$11:$S$411,MATCH(39,UpgradeSimT2!$B$11:$B$411,1)))/INDEX(UpgradeSimT2!$T$11:$T$411,MATCH(39,UpgradeSimT2!$B$11:$B$411,1)),0)</f>
        <v/>
      </c>
      <c r="F43" s="36">
        <f>IFERROR(INDEX(UpgradeSimT2!$S$11:$S$411,MATCH(39,UpgradeSimT2!$B$11:$B$411,1))/INDEX(UpgradeSimT2!$T$11:$T$411,MATCH(39,UpgradeSimT2!$B$11:$B$411,1)),0)</f>
        <v/>
      </c>
    </row>
    <row r="44">
      <c r="A44" s="35" t="n">
        <v>39</v>
      </c>
      <c r="B44" s="35">
        <f>COUNTIFS(UpgradeSimT2!$B$11:$B$411,"&gt;="&amp;39,UpgradeSimT2!$B$11:$B$411,"&lt;"&amp;40,UpgradeSimT2!$U$11:$U$411,"?*")</f>
        <v/>
      </c>
      <c r="C44" s="35">
        <f>SUM(B$5:B44)</f>
        <v/>
      </c>
      <c r="D44" s="36">
        <f>IFERROR(INDEX(UpgradeSimT2!$R$11:$R$411,MATCH(40,UpgradeSimT2!$B$11:$B$411,1))/INDEX(UpgradeSimT2!$T$11:$T$411,MATCH(40,UpgradeSimT2!$B$11:$B$411,1)),0)</f>
        <v/>
      </c>
      <c r="E44" s="36">
        <f>IFERROR((INDEX(UpgradeSimT2!$R$11:$R$411,MATCH(40,UpgradeSimT2!$B$11:$B$411,1))+INDEX(UpgradeSimT2!$S$11:$S$411,MATCH(40,UpgradeSimT2!$B$11:$B$411,1)))/INDEX(UpgradeSimT2!$T$11:$T$411,MATCH(40,UpgradeSimT2!$B$11:$B$411,1)),0)</f>
        <v/>
      </c>
      <c r="F44" s="36">
        <f>IFERROR(INDEX(UpgradeSimT2!$S$11:$S$411,MATCH(40,UpgradeSimT2!$B$11:$B$411,1))/INDEX(UpgradeSimT2!$T$11:$T$411,MATCH(40,UpgradeSimT2!$B$11:$B$411,1)),0)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2026-05-08T02:17:20Z</dcterms:created>
  <dcterms:modified xsi:type="dcterms:W3CDTF">2026-05-08T02:17:20Z</dcterms:modified>
</cp:coreProperties>
</file>